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6\20250317_ホームページ掲載\01_集計・加工\"/>
    </mc:Choice>
  </mc:AlternateContent>
  <xr:revisionPtr revIDLastSave="0" documentId="13_ncr:1_{E3B78E94-5689-45CE-B89E-D60893E11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definedNames>
    <definedName name="_xlnm._FilterDatabase" localSheetId="0" hidden="1">template!$A$1:$N$3988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3988" i="1" l="1"/>
  <c r="M3254" i="1"/>
  <c r="L3254" i="1"/>
  <c r="DA3988" i="1"/>
  <c r="CZ3988" i="1"/>
  <c r="CY3988" i="1"/>
  <c r="CX3988" i="1"/>
  <c r="J3254" i="1"/>
  <c r="CW3988" i="1"/>
  <c r="BL3988" i="1"/>
  <c r="BK3988" i="1"/>
  <c r="DG3987" i="1"/>
  <c r="M3205" i="1"/>
  <c r="L3205" i="1"/>
  <c r="DA3987" i="1"/>
  <c r="CZ3987" i="1"/>
  <c r="CY3987" i="1"/>
  <c r="CX3987" i="1"/>
  <c r="J3205" i="1"/>
  <c r="CW3987" i="1"/>
  <c r="BL3987" i="1"/>
  <c r="BK3987" i="1"/>
  <c r="DG3986" i="1"/>
  <c r="M3240" i="1"/>
  <c r="L3240" i="1"/>
  <c r="DA3986" i="1"/>
  <c r="CZ3986" i="1"/>
  <c r="CY3986" i="1"/>
  <c r="CX3986" i="1"/>
  <c r="J3240" i="1"/>
  <c r="CW3986" i="1"/>
  <c r="BL3986" i="1"/>
  <c r="BK3986" i="1"/>
  <c r="DG3985" i="1"/>
  <c r="M3259" i="1"/>
  <c r="L3259" i="1"/>
  <c r="DA3985" i="1"/>
  <c r="CZ3985" i="1"/>
  <c r="CY3985" i="1"/>
  <c r="CX3985" i="1"/>
  <c r="J3259" i="1"/>
  <c r="CW3985" i="1"/>
  <c r="BL3985" i="1"/>
  <c r="BK3985" i="1"/>
  <c r="DG3984" i="1"/>
  <c r="M3251" i="1"/>
  <c r="L3251" i="1"/>
  <c r="DA3984" i="1"/>
  <c r="CZ3984" i="1"/>
  <c r="CY3984" i="1"/>
  <c r="CX3984" i="1"/>
  <c r="J3251" i="1"/>
  <c r="CW3984" i="1"/>
  <c r="BL3984" i="1"/>
  <c r="BK3984" i="1"/>
  <c r="DG3983" i="1"/>
  <c r="M3208" i="1"/>
  <c r="L3208" i="1"/>
  <c r="DA3983" i="1"/>
  <c r="CZ3983" i="1"/>
  <c r="CY3983" i="1"/>
  <c r="CX3983" i="1"/>
  <c r="J3208" i="1"/>
  <c r="CW3983" i="1"/>
  <c r="BL3983" i="1"/>
  <c r="BK3983" i="1"/>
  <c r="DG3982" i="1"/>
  <c r="M3245" i="1"/>
  <c r="L3245" i="1"/>
  <c r="DA3982" i="1"/>
  <c r="CZ3982" i="1"/>
  <c r="CY3982" i="1"/>
  <c r="CX3982" i="1"/>
  <c r="J3245" i="1"/>
  <c r="CW3982" i="1"/>
  <c r="BL3982" i="1"/>
  <c r="BK3982" i="1"/>
  <c r="DG3981" i="1"/>
  <c r="M3220" i="1"/>
  <c r="L3220" i="1"/>
  <c r="DA3981" i="1"/>
  <c r="CZ3981" i="1"/>
  <c r="CY3981" i="1"/>
  <c r="CX3981" i="1"/>
  <c r="J3220" i="1"/>
  <c r="CW3981" i="1"/>
  <c r="BL3981" i="1"/>
  <c r="BK3981" i="1"/>
  <c r="DG3980" i="1"/>
  <c r="M3947" i="1"/>
  <c r="L3947" i="1"/>
  <c r="DA3980" i="1"/>
  <c r="CZ3980" i="1"/>
  <c r="CY3980" i="1"/>
  <c r="CX3980" i="1"/>
  <c r="J3947" i="1"/>
  <c r="CW3980" i="1"/>
  <c r="BL3980" i="1"/>
  <c r="BK3980" i="1"/>
  <c r="DG3979" i="1"/>
  <c r="M3214" i="1"/>
  <c r="L3214" i="1"/>
  <c r="DA3979" i="1"/>
  <c r="CZ3979" i="1"/>
  <c r="CY3979" i="1"/>
  <c r="CX3979" i="1"/>
  <c r="J3214" i="1"/>
  <c r="CW3979" i="1"/>
  <c r="BL3979" i="1"/>
  <c r="BK3979" i="1"/>
  <c r="DG3978" i="1"/>
  <c r="M3444" i="1"/>
  <c r="L3444" i="1"/>
  <c r="DA3978" i="1"/>
  <c r="CZ3978" i="1"/>
  <c r="CY3978" i="1"/>
  <c r="CX3978" i="1"/>
  <c r="J3444" i="1"/>
  <c r="CW3978" i="1"/>
  <c r="BL3978" i="1"/>
  <c r="BK3978" i="1"/>
  <c r="DG3977" i="1"/>
  <c r="M3215" i="1"/>
  <c r="L3215" i="1"/>
  <c r="DA3977" i="1"/>
  <c r="CZ3977" i="1"/>
  <c r="CY3977" i="1"/>
  <c r="CX3977" i="1"/>
  <c r="J3215" i="1"/>
  <c r="CW3977" i="1"/>
  <c r="BL3977" i="1"/>
  <c r="BK3977" i="1"/>
  <c r="DG3976" i="1"/>
  <c r="M3466" i="1"/>
  <c r="L3466" i="1"/>
  <c r="DA3976" i="1"/>
  <c r="CY3976" i="1"/>
  <c r="CX3976" i="1"/>
  <c r="J3466" i="1"/>
  <c r="CW3976" i="1"/>
  <c r="BL3976" i="1"/>
  <c r="BK3976" i="1"/>
  <c r="DG3975" i="1"/>
  <c r="M193" i="1"/>
  <c r="L193" i="1"/>
  <c r="DA3975" i="1"/>
  <c r="CY3975" i="1"/>
  <c r="CX3975" i="1"/>
  <c r="J193" i="1"/>
  <c r="BL3975" i="1"/>
  <c r="BK3975" i="1"/>
  <c r="DG3974" i="1"/>
  <c r="M3263" i="1"/>
  <c r="L3263" i="1"/>
  <c r="DA3974" i="1"/>
  <c r="CZ3974" i="1"/>
  <c r="CY3974" i="1"/>
  <c r="CX3974" i="1"/>
  <c r="J3263" i="1"/>
  <c r="CW3974" i="1"/>
  <c r="BL3974" i="1"/>
  <c r="BK3974" i="1"/>
  <c r="DG3973" i="1"/>
  <c r="M3942" i="1"/>
  <c r="L3942" i="1"/>
  <c r="DA3973" i="1"/>
  <c r="CZ3973" i="1"/>
  <c r="CY3973" i="1"/>
  <c r="CX3973" i="1"/>
  <c r="J3942" i="1"/>
  <c r="CW3973" i="1"/>
  <c r="BL3973" i="1"/>
  <c r="BK3973" i="1"/>
  <c r="DG3972" i="1"/>
  <c r="M183" i="1"/>
  <c r="L183" i="1"/>
  <c r="DA3972" i="1"/>
  <c r="CY3972" i="1"/>
  <c r="CX3972" i="1"/>
  <c r="J183" i="1"/>
  <c r="BL3972" i="1"/>
  <c r="BK3972" i="1"/>
  <c r="DG3971" i="1"/>
  <c r="M3960" i="1"/>
  <c r="L3960" i="1"/>
  <c r="DA3971" i="1"/>
  <c r="CZ3971" i="1"/>
  <c r="CY3971" i="1"/>
  <c r="CX3971" i="1"/>
  <c r="J3960" i="1"/>
  <c r="CW3971" i="1"/>
  <c r="BL3971" i="1"/>
  <c r="BK3971" i="1"/>
  <c r="DG3970" i="1"/>
  <c r="M207" i="1"/>
  <c r="L207" i="1"/>
  <c r="DA3970" i="1"/>
  <c r="CY3970" i="1"/>
  <c r="CX3970" i="1"/>
  <c r="J207" i="1"/>
  <c r="BL3970" i="1"/>
  <c r="BK3970" i="1"/>
  <c r="DG3969" i="1"/>
  <c r="M3443" i="1"/>
  <c r="L3443" i="1"/>
  <c r="DA3969" i="1"/>
  <c r="CZ3969" i="1"/>
  <c r="CY3969" i="1"/>
  <c r="CX3969" i="1"/>
  <c r="J3443" i="1"/>
  <c r="CW3969" i="1"/>
  <c r="BL3969" i="1"/>
  <c r="BK3969" i="1"/>
  <c r="DG3968" i="1"/>
  <c r="M199" i="1"/>
  <c r="L199" i="1"/>
  <c r="DA3968" i="1"/>
  <c r="CY3968" i="1"/>
  <c r="CX3968" i="1"/>
  <c r="J199" i="1"/>
  <c r="BL3968" i="1"/>
  <c r="BK3968" i="1"/>
  <c r="DG3967" i="1"/>
  <c r="M3236" i="1"/>
  <c r="L3236" i="1"/>
  <c r="DA3967" i="1"/>
  <c r="CZ3967" i="1"/>
  <c r="CY3967" i="1"/>
  <c r="CX3967" i="1"/>
  <c r="J3236" i="1"/>
  <c r="CW3967" i="1"/>
  <c r="BL3967" i="1"/>
  <c r="BK3967" i="1"/>
  <c r="DG3966" i="1"/>
  <c r="M3956" i="1"/>
  <c r="L3956" i="1"/>
  <c r="DA3966" i="1"/>
  <c r="CZ3966" i="1"/>
  <c r="CY3966" i="1"/>
  <c r="CX3966" i="1"/>
  <c r="J3956" i="1"/>
  <c r="CW3966" i="1"/>
  <c r="BL3966" i="1"/>
  <c r="BK3966" i="1"/>
  <c r="DG3965" i="1"/>
  <c r="M3229" i="1"/>
  <c r="L3229" i="1"/>
  <c r="DA3965" i="1"/>
  <c r="CZ3965" i="1"/>
  <c r="CY3965" i="1"/>
  <c r="CX3965" i="1"/>
  <c r="J3229" i="1"/>
  <c r="CW3965" i="1"/>
  <c r="BL3965" i="1"/>
  <c r="BK3965" i="1"/>
  <c r="DG3964" i="1"/>
  <c r="M3939" i="1"/>
  <c r="L3939" i="1"/>
  <c r="DA3964" i="1"/>
  <c r="CZ3964" i="1"/>
  <c r="CY3964" i="1"/>
  <c r="CX3964" i="1"/>
  <c r="J3939" i="1"/>
  <c r="CW3964" i="1"/>
  <c r="BL3964" i="1"/>
  <c r="BK3964" i="1"/>
  <c r="DG3963" i="1"/>
  <c r="M3202" i="1"/>
  <c r="L3202" i="1"/>
  <c r="DA3963" i="1"/>
  <c r="CZ3963" i="1"/>
  <c r="CY3963" i="1"/>
  <c r="CX3963" i="1"/>
  <c r="J3202" i="1"/>
  <c r="CW3963" i="1"/>
  <c r="BL3963" i="1"/>
  <c r="BK3963" i="1"/>
  <c r="DG3962" i="1"/>
  <c r="M219" i="1"/>
  <c r="L219" i="1"/>
  <c r="DA3962" i="1"/>
  <c r="CY3962" i="1"/>
  <c r="CX3962" i="1"/>
  <c r="J219" i="1"/>
  <c r="BL3962" i="1"/>
  <c r="BK3962" i="1"/>
  <c r="DG3961" i="1"/>
  <c r="M3965" i="1"/>
  <c r="L3965" i="1"/>
  <c r="DA3961" i="1"/>
  <c r="CZ3961" i="1"/>
  <c r="CY3961" i="1"/>
  <c r="CX3961" i="1"/>
  <c r="J3965" i="1"/>
  <c r="CW3961" i="1"/>
  <c r="BL3961" i="1"/>
  <c r="BK3961" i="1"/>
  <c r="DG3960" i="1"/>
  <c r="M3204" i="1"/>
  <c r="L3204" i="1"/>
  <c r="DA3960" i="1"/>
  <c r="CZ3960" i="1"/>
  <c r="CY3960" i="1"/>
  <c r="CX3960" i="1"/>
  <c r="J3204" i="1"/>
  <c r="CW3960" i="1"/>
  <c r="BL3960" i="1"/>
  <c r="BK3960" i="1"/>
  <c r="DG3959" i="1"/>
  <c r="M3962" i="1"/>
  <c r="L3962" i="1"/>
  <c r="DA3959" i="1"/>
  <c r="CZ3959" i="1"/>
  <c r="CY3959" i="1"/>
  <c r="CX3959" i="1"/>
  <c r="J3962" i="1"/>
  <c r="CW3959" i="1"/>
  <c r="BL3959" i="1"/>
  <c r="BK3959" i="1"/>
  <c r="DG3958" i="1"/>
  <c r="M3239" i="1"/>
  <c r="L3239" i="1"/>
  <c r="DA3958" i="1"/>
  <c r="CZ3958" i="1"/>
  <c r="CY3958" i="1"/>
  <c r="CX3958" i="1"/>
  <c r="J3239" i="1"/>
  <c r="CW3958" i="1"/>
  <c r="BL3958" i="1"/>
  <c r="BK3958" i="1"/>
  <c r="DG3957" i="1"/>
  <c r="M3959" i="1"/>
  <c r="L3959" i="1"/>
  <c r="DA3957" i="1"/>
  <c r="CZ3957" i="1"/>
  <c r="CY3957" i="1"/>
  <c r="CX3957" i="1"/>
  <c r="J3959" i="1"/>
  <c r="CW3957" i="1"/>
  <c r="BL3957" i="1"/>
  <c r="BK3957" i="1"/>
  <c r="DG3956" i="1"/>
  <c r="M3222" i="1"/>
  <c r="L3222" i="1"/>
  <c r="DA3956" i="1"/>
  <c r="CZ3956" i="1"/>
  <c r="CY3956" i="1"/>
  <c r="CX3956" i="1"/>
  <c r="J3222" i="1"/>
  <c r="CW3956" i="1"/>
  <c r="BL3956" i="1"/>
  <c r="BK3956" i="1"/>
  <c r="DG3955" i="1"/>
  <c r="M3442" i="1"/>
  <c r="L3442" i="1"/>
  <c r="DA3955" i="1"/>
  <c r="CZ3955" i="1"/>
  <c r="CY3955" i="1"/>
  <c r="CX3955" i="1"/>
  <c r="J3442" i="1"/>
  <c r="CW3955" i="1"/>
  <c r="BL3955" i="1"/>
  <c r="BK3955" i="1"/>
  <c r="DG3954" i="1"/>
  <c r="M3957" i="1"/>
  <c r="L3957" i="1"/>
  <c r="DA3954" i="1"/>
  <c r="CZ3954" i="1"/>
  <c r="CY3954" i="1"/>
  <c r="CX3954" i="1"/>
  <c r="J3957" i="1"/>
  <c r="CW3954" i="1"/>
  <c r="BL3954" i="1"/>
  <c r="BK3954" i="1"/>
  <c r="DG3953" i="1"/>
  <c r="M214" i="1"/>
  <c r="L214" i="1"/>
  <c r="DA3953" i="1"/>
  <c r="CY3953" i="1"/>
  <c r="CX3953" i="1"/>
  <c r="J214" i="1"/>
  <c r="BL3953" i="1"/>
  <c r="BK3953" i="1"/>
  <c r="DG3952" i="1"/>
  <c r="M3951" i="1"/>
  <c r="L3951" i="1"/>
  <c r="DA3952" i="1"/>
  <c r="CZ3952" i="1"/>
  <c r="CY3952" i="1"/>
  <c r="CX3952" i="1"/>
  <c r="J3951" i="1"/>
  <c r="CW3952" i="1"/>
  <c r="BL3952" i="1"/>
  <c r="BK3952" i="1"/>
  <c r="DG3951" i="1"/>
  <c r="M3244" i="1"/>
  <c r="L3244" i="1"/>
  <c r="DA3951" i="1"/>
  <c r="CZ3951" i="1"/>
  <c r="CY3951" i="1"/>
  <c r="CX3951" i="1"/>
  <c r="J3244" i="1"/>
  <c r="CW3951" i="1"/>
  <c r="BL3951" i="1"/>
  <c r="BK3951" i="1"/>
  <c r="DG3950" i="1"/>
  <c r="M3950" i="1"/>
  <c r="L3950" i="1"/>
  <c r="DA3950" i="1"/>
  <c r="CZ3950" i="1"/>
  <c r="CY3950" i="1"/>
  <c r="CX3950" i="1"/>
  <c r="J3950" i="1"/>
  <c r="CW3950" i="1"/>
  <c r="BL3950" i="1"/>
  <c r="BK3950" i="1"/>
  <c r="DG3949" i="1"/>
  <c r="M3966" i="1"/>
  <c r="L3966" i="1"/>
  <c r="DA3949" i="1"/>
  <c r="CZ3949" i="1"/>
  <c r="CY3949" i="1"/>
  <c r="CX3949" i="1"/>
  <c r="J3966" i="1"/>
  <c r="CW3949" i="1"/>
  <c r="BL3949" i="1"/>
  <c r="BK3949" i="1"/>
  <c r="DG3948" i="1"/>
  <c r="M208" i="1"/>
  <c r="L208" i="1"/>
  <c r="DA3948" i="1"/>
  <c r="CY3948" i="1"/>
  <c r="CX3948" i="1"/>
  <c r="J208" i="1"/>
  <c r="BL3948" i="1"/>
  <c r="BK3948" i="1"/>
  <c r="DG3947" i="1"/>
  <c r="M3446" i="1"/>
  <c r="L3446" i="1"/>
  <c r="DA3947" i="1"/>
  <c r="CZ3947" i="1"/>
  <c r="CY3947" i="1"/>
  <c r="CX3947" i="1"/>
  <c r="J3446" i="1"/>
  <c r="CW3947" i="1"/>
  <c r="BL3947" i="1"/>
  <c r="BK3947" i="1"/>
  <c r="DG3946" i="1"/>
  <c r="M224" i="1"/>
  <c r="L224" i="1"/>
  <c r="DA3946" i="1"/>
  <c r="CY3946" i="1"/>
  <c r="CX3946" i="1"/>
  <c r="J224" i="1"/>
  <c r="BL3946" i="1"/>
  <c r="BK3946" i="1"/>
  <c r="DG3945" i="1"/>
  <c r="M196" i="1"/>
  <c r="L196" i="1"/>
  <c r="DA3945" i="1"/>
  <c r="CY3945" i="1"/>
  <c r="CX3945" i="1"/>
  <c r="J196" i="1"/>
  <c r="BL3945" i="1"/>
  <c r="BK3945" i="1"/>
  <c r="DG3944" i="1"/>
  <c r="M3447" i="1"/>
  <c r="L3447" i="1"/>
  <c r="DA3944" i="1"/>
  <c r="CZ3944" i="1"/>
  <c r="CY3944" i="1"/>
  <c r="CX3944" i="1"/>
  <c r="J3447" i="1"/>
  <c r="CW3944" i="1"/>
  <c r="BL3944" i="1"/>
  <c r="BK3944" i="1"/>
  <c r="DG3943" i="1"/>
  <c r="M223" i="1"/>
  <c r="L223" i="1"/>
  <c r="DA3943" i="1"/>
  <c r="CY3943" i="1"/>
  <c r="CX3943" i="1"/>
  <c r="J223" i="1"/>
  <c r="BL3943" i="1"/>
  <c r="BK3943" i="1"/>
  <c r="DG3942" i="1"/>
  <c r="M3234" i="1"/>
  <c r="L3234" i="1"/>
  <c r="DA3942" i="1"/>
  <c r="CZ3942" i="1"/>
  <c r="CY3942" i="1"/>
  <c r="CX3942" i="1"/>
  <c r="J3234" i="1"/>
  <c r="CW3942" i="1"/>
  <c r="BL3942" i="1"/>
  <c r="BK3942" i="1"/>
  <c r="DG3941" i="1"/>
  <c r="M190" i="1"/>
  <c r="L190" i="1"/>
  <c r="DA3941" i="1"/>
  <c r="CY3941" i="1"/>
  <c r="CX3941" i="1"/>
  <c r="J190" i="1"/>
  <c r="BL3941" i="1"/>
  <c r="BK3941" i="1"/>
  <c r="DG3940" i="1"/>
  <c r="M3260" i="1"/>
  <c r="L3260" i="1"/>
  <c r="DA3940" i="1"/>
  <c r="CY3940" i="1"/>
  <c r="CX3940" i="1"/>
  <c r="J3260" i="1"/>
  <c r="CW3940" i="1"/>
  <c r="BL3940" i="1"/>
  <c r="BK3940" i="1"/>
  <c r="DG3939" i="1"/>
  <c r="M3952" i="1"/>
  <c r="L3952" i="1"/>
  <c r="DA3939" i="1"/>
  <c r="CZ3939" i="1"/>
  <c r="CY3939" i="1"/>
  <c r="CX3939" i="1"/>
  <c r="J3952" i="1"/>
  <c r="CW3939" i="1"/>
  <c r="BL3939" i="1"/>
  <c r="BK3939" i="1"/>
  <c r="DG3938" i="1"/>
  <c r="M3257" i="1"/>
  <c r="L3257" i="1"/>
  <c r="DA3938" i="1"/>
  <c r="CZ3938" i="1"/>
  <c r="CY3938" i="1"/>
  <c r="CX3938" i="1"/>
  <c r="J3257" i="1"/>
  <c r="CW3938" i="1"/>
  <c r="BL3938" i="1"/>
  <c r="BK3938" i="1"/>
  <c r="DG3937" i="1"/>
  <c r="M200" i="1"/>
  <c r="L200" i="1"/>
  <c r="DA3937" i="1"/>
  <c r="CY3937" i="1"/>
  <c r="CX3937" i="1"/>
  <c r="J200" i="1"/>
  <c r="BL3937" i="1"/>
  <c r="BK3937" i="1"/>
  <c r="DG3936" i="1"/>
  <c r="M3221" i="1"/>
  <c r="L3221" i="1"/>
  <c r="DA3936" i="1"/>
  <c r="CZ3936" i="1"/>
  <c r="CY3936" i="1"/>
  <c r="CX3936" i="1"/>
  <c r="J3221" i="1"/>
  <c r="CW3936" i="1"/>
  <c r="BL3936" i="1"/>
  <c r="BK3936" i="1"/>
  <c r="DG3935" i="1"/>
  <c r="M213" i="1"/>
  <c r="L213" i="1"/>
  <c r="DA3935" i="1"/>
  <c r="CY3935" i="1"/>
  <c r="CX3935" i="1"/>
  <c r="J213" i="1"/>
  <c r="BL3935" i="1"/>
  <c r="BK3935" i="1"/>
  <c r="DG3934" i="1"/>
  <c r="M3949" i="1"/>
  <c r="L3949" i="1"/>
  <c r="DA3934" i="1"/>
  <c r="CZ3934" i="1"/>
  <c r="CY3934" i="1"/>
  <c r="CX3934" i="1"/>
  <c r="J3949" i="1"/>
  <c r="CW3934" i="1"/>
  <c r="BL3934" i="1"/>
  <c r="BK3934" i="1"/>
  <c r="DG3933" i="1"/>
  <c r="M3468" i="1"/>
  <c r="L3468" i="1"/>
  <c r="DA3933" i="1"/>
  <c r="CY3933" i="1"/>
  <c r="CX3933" i="1"/>
  <c r="J3468" i="1"/>
  <c r="CW3933" i="1"/>
  <c r="BL3933" i="1"/>
  <c r="BK3933" i="1"/>
  <c r="DG3932" i="1"/>
  <c r="M211" i="1"/>
  <c r="L211" i="1"/>
  <c r="DA3932" i="1"/>
  <c r="CY3932" i="1"/>
  <c r="CX3932" i="1"/>
  <c r="J211" i="1"/>
  <c r="BL3932" i="1"/>
  <c r="BK3932" i="1"/>
  <c r="DG3931" i="1"/>
  <c r="M3224" i="1"/>
  <c r="L3224" i="1"/>
  <c r="DA3931" i="1"/>
  <c r="CZ3931" i="1"/>
  <c r="CY3931" i="1"/>
  <c r="CX3931" i="1"/>
  <c r="J3224" i="1"/>
  <c r="CW3931" i="1"/>
  <c r="BL3931" i="1"/>
  <c r="BK3931" i="1"/>
  <c r="DG3930" i="1"/>
  <c r="M228" i="1"/>
  <c r="L228" i="1"/>
  <c r="DA3930" i="1"/>
  <c r="CY3930" i="1"/>
  <c r="CX3930" i="1"/>
  <c r="J228" i="1"/>
  <c r="BL3930" i="1"/>
  <c r="BK3930" i="1"/>
  <c r="DG3929" i="1"/>
  <c r="M3261" i="1"/>
  <c r="L3261" i="1"/>
  <c r="DA3929" i="1"/>
  <c r="CY3929" i="1"/>
  <c r="CX3929" i="1"/>
  <c r="J3261" i="1"/>
  <c r="CW3929" i="1"/>
  <c r="BL3929" i="1"/>
  <c r="BK3929" i="1"/>
  <c r="DG3928" i="1"/>
  <c r="M3494" i="1"/>
  <c r="L3494" i="1"/>
  <c r="DA3928" i="1"/>
  <c r="CY3928" i="1"/>
  <c r="CX3928" i="1"/>
  <c r="J3494" i="1"/>
  <c r="CW3928" i="1"/>
  <c r="BL3928" i="1"/>
  <c r="BK3928" i="1"/>
  <c r="DG3927" i="1"/>
  <c r="M3953" i="1"/>
  <c r="L3953" i="1"/>
  <c r="DA3927" i="1"/>
  <c r="CZ3927" i="1"/>
  <c r="CY3927" i="1"/>
  <c r="CX3927" i="1"/>
  <c r="J3953" i="1"/>
  <c r="CW3927" i="1"/>
  <c r="BL3927" i="1"/>
  <c r="BK3927" i="1"/>
  <c r="DG3926" i="1"/>
  <c r="M3961" i="1"/>
  <c r="L3961" i="1"/>
  <c r="DA3926" i="1"/>
  <c r="CZ3926" i="1"/>
  <c r="CY3926" i="1"/>
  <c r="CX3926" i="1"/>
  <c r="J3961" i="1"/>
  <c r="CW3926" i="1"/>
  <c r="BL3926" i="1"/>
  <c r="BK3926" i="1"/>
  <c r="DG3925" i="1"/>
  <c r="M3231" i="1"/>
  <c r="L3231" i="1"/>
  <c r="DA3925" i="1"/>
  <c r="CZ3925" i="1"/>
  <c r="CY3925" i="1"/>
  <c r="CX3925" i="1"/>
  <c r="J3231" i="1"/>
  <c r="CW3925" i="1"/>
  <c r="BL3925" i="1"/>
  <c r="BK3925" i="1"/>
  <c r="DG3924" i="1"/>
  <c r="M3946" i="1"/>
  <c r="L3946" i="1"/>
  <c r="DA3924" i="1"/>
  <c r="CZ3924" i="1"/>
  <c r="CY3924" i="1"/>
  <c r="CX3924" i="1"/>
  <c r="J3946" i="1"/>
  <c r="CW3924" i="1"/>
  <c r="BL3924" i="1"/>
  <c r="BK3924" i="1"/>
  <c r="DG3923" i="1"/>
  <c r="M3944" i="1"/>
  <c r="L3944" i="1"/>
  <c r="DA3923" i="1"/>
  <c r="CZ3923" i="1"/>
  <c r="CY3923" i="1"/>
  <c r="CX3923" i="1"/>
  <c r="J3944" i="1"/>
  <c r="CW3923" i="1"/>
  <c r="BL3923" i="1"/>
  <c r="BK3923" i="1"/>
  <c r="DG3922" i="1"/>
  <c r="M3209" i="1"/>
  <c r="L3209" i="1"/>
  <c r="DA3922" i="1"/>
  <c r="CZ3922" i="1"/>
  <c r="CY3922" i="1"/>
  <c r="CX3922" i="1"/>
  <c r="J3209" i="1"/>
  <c r="CW3922" i="1"/>
  <c r="BL3922" i="1"/>
  <c r="BK3922" i="1"/>
  <c r="DG3921" i="1"/>
  <c r="M3948" i="1"/>
  <c r="L3948" i="1"/>
  <c r="DA3921" i="1"/>
  <c r="CZ3921" i="1"/>
  <c r="CY3921" i="1"/>
  <c r="CX3921" i="1"/>
  <c r="J3948" i="1"/>
  <c r="CW3921" i="1"/>
  <c r="BL3921" i="1"/>
  <c r="BK3921" i="1"/>
  <c r="DG3920" i="1"/>
  <c r="M3945" i="1"/>
  <c r="L3945" i="1"/>
  <c r="DA3920" i="1"/>
  <c r="CZ3920" i="1"/>
  <c r="CY3920" i="1"/>
  <c r="CX3920" i="1"/>
  <c r="J3945" i="1"/>
  <c r="CW3920" i="1"/>
  <c r="BL3920" i="1"/>
  <c r="BK3920" i="1"/>
  <c r="DG3919" i="1"/>
  <c r="M3445" i="1"/>
  <c r="L3445" i="1"/>
  <c r="DA3919" i="1"/>
  <c r="CZ3919" i="1"/>
  <c r="CY3919" i="1"/>
  <c r="CX3919" i="1"/>
  <c r="J3445" i="1"/>
  <c r="CW3919" i="1"/>
  <c r="BL3919" i="1"/>
  <c r="BK3919" i="1"/>
  <c r="DG3918" i="1"/>
  <c r="M3973" i="1"/>
  <c r="L3973" i="1"/>
  <c r="DA3918" i="1"/>
  <c r="CZ3918" i="1"/>
  <c r="CY3918" i="1"/>
  <c r="CX3918" i="1"/>
  <c r="J3973" i="1"/>
  <c r="CW3918" i="1"/>
  <c r="BL3918" i="1"/>
  <c r="BK3918" i="1"/>
  <c r="DG3917" i="1"/>
  <c r="M210" i="1"/>
  <c r="L210" i="1"/>
  <c r="DA3917" i="1"/>
  <c r="CY3917" i="1"/>
  <c r="CX3917" i="1"/>
  <c r="J210" i="1"/>
  <c r="BL3917" i="1"/>
  <c r="BK3917" i="1"/>
  <c r="DG3916" i="1"/>
  <c r="M3219" i="1"/>
  <c r="L3219" i="1"/>
  <c r="DA3916" i="1"/>
  <c r="CZ3916" i="1"/>
  <c r="CY3916" i="1"/>
  <c r="CX3916" i="1"/>
  <c r="J3219" i="1"/>
  <c r="CW3916" i="1"/>
  <c r="BL3916" i="1"/>
  <c r="BK3916" i="1"/>
  <c r="DG3915" i="1"/>
  <c r="M3955" i="1"/>
  <c r="L3955" i="1"/>
  <c r="DA3915" i="1"/>
  <c r="CZ3915" i="1"/>
  <c r="CY3915" i="1"/>
  <c r="CX3915" i="1"/>
  <c r="J3955" i="1"/>
  <c r="CW3915" i="1"/>
  <c r="BL3915" i="1"/>
  <c r="BK3915" i="1"/>
  <c r="DG3914" i="1"/>
  <c r="M3242" i="1"/>
  <c r="L3242" i="1"/>
  <c r="DA3914" i="1"/>
  <c r="CZ3914" i="1"/>
  <c r="CY3914" i="1"/>
  <c r="CX3914" i="1"/>
  <c r="J3242" i="1"/>
  <c r="CW3914" i="1"/>
  <c r="BL3914" i="1"/>
  <c r="BK3914" i="1"/>
  <c r="DG3913" i="1"/>
  <c r="M3253" i="1"/>
  <c r="L3253" i="1"/>
  <c r="DA3913" i="1"/>
  <c r="CZ3913" i="1"/>
  <c r="CY3913" i="1"/>
  <c r="CX3913" i="1"/>
  <c r="J3253" i="1"/>
  <c r="CW3913" i="1"/>
  <c r="BL3913" i="1"/>
  <c r="BK3913" i="1"/>
  <c r="DG3912" i="1"/>
  <c r="M184" i="1"/>
  <c r="L184" i="1"/>
  <c r="DA3912" i="1"/>
  <c r="CY3912" i="1"/>
  <c r="CX3912" i="1"/>
  <c r="J184" i="1"/>
  <c r="BL3912" i="1"/>
  <c r="BK3912" i="1"/>
  <c r="DG3911" i="1"/>
  <c r="M191" i="1"/>
  <c r="L191" i="1"/>
  <c r="DA3911" i="1"/>
  <c r="CY3911" i="1"/>
  <c r="CX3911" i="1"/>
  <c r="J191" i="1"/>
  <c r="BL3911" i="1"/>
  <c r="BK3911" i="1"/>
  <c r="DG3910" i="1"/>
  <c r="M198" i="1"/>
  <c r="L198" i="1"/>
  <c r="DA3910" i="1"/>
  <c r="CY3910" i="1"/>
  <c r="CX3910" i="1"/>
  <c r="J198" i="1"/>
  <c r="BL3910" i="1"/>
  <c r="BK3910" i="1"/>
  <c r="DG3909" i="1"/>
  <c r="M3255" i="1"/>
  <c r="L3255" i="1"/>
  <c r="DA3909" i="1"/>
  <c r="CZ3909" i="1"/>
  <c r="CY3909" i="1"/>
  <c r="CX3909" i="1"/>
  <c r="J3255" i="1"/>
  <c r="CW3909" i="1"/>
  <c r="BL3909" i="1"/>
  <c r="BK3909" i="1"/>
  <c r="DG3908" i="1"/>
  <c r="M3440" i="1"/>
  <c r="L3440" i="1"/>
  <c r="DA3908" i="1"/>
  <c r="CZ3908" i="1"/>
  <c r="CY3908" i="1"/>
  <c r="CX3908" i="1"/>
  <c r="J3440" i="1"/>
  <c r="CW3908" i="1"/>
  <c r="BL3908" i="1"/>
  <c r="BK3908" i="1"/>
  <c r="DG3907" i="1"/>
  <c r="M3203" i="1"/>
  <c r="L3203" i="1"/>
  <c r="DA3907" i="1"/>
  <c r="CZ3907" i="1"/>
  <c r="CY3907" i="1"/>
  <c r="CX3907" i="1"/>
  <c r="J3203" i="1"/>
  <c r="CW3907" i="1"/>
  <c r="BL3907" i="1"/>
  <c r="BK3907" i="1"/>
  <c r="DG3906" i="1"/>
  <c r="M227" i="1"/>
  <c r="L227" i="1"/>
  <c r="DA3906" i="1"/>
  <c r="CY3906" i="1"/>
  <c r="CX3906" i="1"/>
  <c r="J227" i="1"/>
  <c r="BL3906" i="1"/>
  <c r="BK3906" i="1"/>
  <c r="DG3905" i="1"/>
  <c r="M3206" i="1"/>
  <c r="L3206" i="1"/>
  <c r="DA3905" i="1"/>
  <c r="CZ3905" i="1"/>
  <c r="CY3905" i="1"/>
  <c r="CX3905" i="1"/>
  <c r="J3206" i="1"/>
  <c r="CW3905" i="1"/>
  <c r="BL3905" i="1"/>
  <c r="BK3905" i="1"/>
  <c r="DG3904" i="1"/>
  <c r="M3943" i="1"/>
  <c r="L3943" i="1"/>
  <c r="DA3904" i="1"/>
  <c r="CZ3904" i="1"/>
  <c r="CY3904" i="1"/>
  <c r="CX3904" i="1"/>
  <c r="J3943" i="1"/>
  <c r="CW3904" i="1"/>
  <c r="BL3904" i="1"/>
  <c r="BK3904" i="1"/>
  <c r="DG3903" i="1"/>
  <c r="M3248" i="1"/>
  <c r="L3248" i="1"/>
  <c r="DA3903" i="1"/>
  <c r="CZ3903" i="1"/>
  <c r="CY3903" i="1"/>
  <c r="CX3903" i="1"/>
  <c r="J3248" i="1"/>
  <c r="CW3903" i="1"/>
  <c r="BL3903" i="1"/>
  <c r="BK3903" i="1"/>
  <c r="DG3902" i="1"/>
  <c r="M209" i="1"/>
  <c r="L209" i="1"/>
  <c r="DA3902" i="1"/>
  <c r="CY3902" i="1"/>
  <c r="CX3902" i="1"/>
  <c r="J209" i="1"/>
  <c r="BL3902" i="1"/>
  <c r="BK3902" i="1"/>
  <c r="DG3901" i="1"/>
  <c r="M189" i="1"/>
  <c r="L189" i="1"/>
  <c r="DA3901" i="1"/>
  <c r="CY3901" i="1"/>
  <c r="CX3901" i="1"/>
  <c r="J189" i="1"/>
  <c r="BL3901" i="1"/>
  <c r="BK3901" i="1"/>
  <c r="DG3900" i="1"/>
  <c r="M3213" i="1"/>
  <c r="L3213" i="1"/>
  <c r="DA3900" i="1"/>
  <c r="CZ3900" i="1"/>
  <c r="CY3900" i="1"/>
  <c r="CX3900" i="1"/>
  <c r="J3213" i="1"/>
  <c r="CW3900" i="1"/>
  <c r="BL3900" i="1"/>
  <c r="BK3900" i="1"/>
  <c r="DG3899" i="1"/>
  <c r="M131" i="1"/>
  <c r="L131" i="1"/>
  <c r="DA3899" i="1"/>
  <c r="CY3899" i="1"/>
  <c r="CX3899" i="1"/>
  <c r="J131" i="1"/>
  <c r="CW3899" i="1"/>
  <c r="BL3899" i="1"/>
  <c r="BK3899" i="1"/>
  <c r="DG3898" i="1"/>
  <c r="M3964" i="1"/>
  <c r="L3964" i="1"/>
  <c r="DA3898" i="1"/>
  <c r="CZ3898" i="1"/>
  <c r="CY3898" i="1"/>
  <c r="CX3898" i="1"/>
  <c r="J3964" i="1"/>
  <c r="CW3898" i="1"/>
  <c r="BL3898" i="1"/>
  <c r="BK3898" i="1"/>
  <c r="DG3897" i="1"/>
  <c r="M3441" i="1"/>
  <c r="L3441" i="1"/>
  <c r="DA3897" i="1"/>
  <c r="CZ3897" i="1"/>
  <c r="CY3897" i="1"/>
  <c r="CX3897" i="1"/>
  <c r="J3441" i="1"/>
  <c r="CW3897" i="1"/>
  <c r="BL3897" i="1"/>
  <c r="BK3897" i="1"/>
  <c r="DG3896" i="1"/>
  <c r="M3967" i="1"/>
  <c r="L3967" i="1"/>
  <c r="DA3896" i="1"/>
  <c r="CZ3896" i="1"/>
  <c r="CY3896" i="1"/>
  <c r="CX3896" i="1"/>
  <c r="J3967" i="1"/>
  <c r="CW3896" i="1"/>
  <c r="BL3896" i="1"/>
  <c r="BK3896" i="1"/>
  <c r="DG3895" i="1"/>
  <c r="M182" i="1"/>
  <c r="L182" i="1"/>
  <c r="DA3895" i="1"/>
  <c r="CY3895" i="1"/>
  <c r="CX3895" i="1"/>
  <c r="J182" i="1"/>
  <c r="BL3895" i="1"/>
  <c r="BK3895" i="1"/>
  <c r="DG3894" i="1"/>
  <c r="M3975" i="1"/>
  <c r="L3975" i="1"/>
  <c r="DA3894" i="1"/>
  <c r="CZ3894" i="1"/>
  <c r="CY3894" i="1"/>
  <c r="CX3894" i="1"/>
  <c r="J3975" i="1"/>
  <c r="CW3894" i="1"/>
  <c r="BL3894" i="1"/>
  <c r="BK3894" i="1"/>
  <c r="DG3893" i="1"/>
  <c r="M3252" i="1"/>
  <c r="L3252" i="1"/>
  <c r="DA3893" i="1"/>
  <c r="CZ3893" i="1"/>
  <c r="CY3893" i="1"/>
  <c r="CX3893" i="1"/>
  <c r="J3252" i="1"/>
  <c r="CW3893" i="1"/>
  <c r="BL3893" i="1"/>
  <c r="BK3893" i="1"/>
  <c r="DG3892" i="1"/>
  <c r="M3465" i="1"/>
  <c r="L3465" i="1"/>
  <c r="DA3892" i="1"/>
  <c r="CY3892" i="1"/>
  <c r="CX3892" i="1"/>
  <c r="J3465" i="1"/>
  <c r="CW3892" i="1"/>
  <c r="BL3892" i="1"/>
  <c r="BK3892" i="1"/>
  <c r="DG3891" i="1"/>
  <c r="M3969" i="1"/>
  <c r="L3969" i="1"/>
  <c r="DA3891" i="1"/>
  <c r="CZ3891" i="1"/>
  <c r="CY3891" i="1"/>
  <c r="CX3891" i="1"/>
  <c r="J3969" i="1"/>
  <c r="CW3891" i="1"/>
  <c r="BL3891" i="1"/>
  <c r="BK3891" i="1"/>
  <c r="DG3890" i="1"/>
  <c r="M3211" i="1"/>
  <c r="L3211" i="1"/>
  <c r="DA3890" i="1"/>
  <c r="CZ3890" i="1"/>
  <c r="CY3890" i="1"/>
  <c r="CX3890" i="1"/>
  <c r="J3211" i="1"/>
  <c r="CW3890" i="1"/>
  <c r="BL3890" i="1"/>
  <c r="BK3890" i="1"/>
  <c r="DG3889" i="1"/>
  <c r="M3217" i="1"/>
  <c r="L3217" i="1"/>
  <c r="DA3889" i="1"/>
  <c r="CZ3889" i="1"/>
  <c r="CY3889" i="1"/>
  <c r="CX3889" i="1"/>
  <c r="J3217" i="1"/>
  <c r="CW3889" i="1"/>
  <c r="BL3889" i="1"/>
  <c r="BK3889" i="1"/>
  <c r="DG3888" i="1"/>
  <c r="M192" i="1"/>
  <c r="L192" i="1"/>
  <c r="DA3888" i="1"/>
  <c r="CY3888" i="1"/>
  <c r="CX3888" i="1"/>
  <c r="J192" i="1"/>
  <c r="BL3888" i="1"/>
  <c r="BK3888" i="1"/>
  <c r="DG3887" i="1"/>
  <c r="M3210" i="1"/>
  <c r="L3210" i="1"/>
  <c r="DA3887" i="1"/>
  <c r="CZ3887" i="1"/>
  <c r="CY3887" i="1"/>
  <c r="CX3887" i="1"/>
  <c r="J3210" i="1"/>
  <c r="CW3887" i="1"/>
  <c r="BL3887" i="1"/>
  <c r="BK3887" i="1"/>
  <c r="DG3886" i="1"/>
  <c r="M3233" i="1"/>
  <c r="L3233" i="1"/>
  <c r="DA3886" i="1"/>
  <c r="CZ3886" i="1"/>
  <c r="CY3886" i="1"/>
  <c r="CX3886" i="1"/>
  <c r="J3233" i="1"/>
  <c r="CW3886" i="1"/>
  <c r="BL3886" i="1"/>
  <c r="BK3886" i="1"/>
  <c r="DG3885" i="1"/>
  <c r="M185" i="1"/>
  <c r="L185" i="1"/>
  <c r="DA3885" i="1"/>
  <c r="CY3885" i="1"/>
  <c r="CX3885" i="1"/>
  <c r="J185" i="1"/>
  <c r="CW3885" i="1"/>
  <c r="BL3885" i="1"/>
  <c r="BK3885" i="1"/>
  <c r="DG3884" i="1"/>
  <c r="M330" i="1"/>
  <c r="L330" i="1"/>
  <c r="DA3884" i="1"/>
  <c r="CY3884" i="1"/>
  <c r="CX3884" i="1"/>
  <c r="J330" i="1"/>
  <c r="CW3884" i="1"/>
  <c r="BL3884" i="1"/>
  <c r="BK3884" i="1"/>
  <c r="DG3883" i="1"/>
  <c r="M226" i="1"/>
  <c r="L226" i="1"/>
  <c r="DA3883" i="1"/>
  <c r="CY3883" i="1"/>
  <c r="CX3883" i="1"/>
  <c r="J226" i="1"/>
  <c r="BL3883" i="1"/>
  <c r="BK3883" i="1"/>
  <c r="DG3882" i="1"/>
  <c r="M3237" i="1"/>
  <c r="L3237" i="1"/>
  <c r="DA3882" i="1"/>
  <c r="CZ3882" i="1"/>
  <c r="CY3882" i="1"/>
  <c r="CX3882" i="1"/>
  <c r="J3237" i="1"/>
  <c r="CW3882" i="1"/>
  <c r="BL3882" i="1"/>
  <c r="BK3882" i="1"/>
  <c r="DG3881" i="1"/>
  <c r="M3467" i="1"/>
  <c r="L3467" i="1"/>
  <c r="DA3881" i="1"/>
  <c r="CY3881" i="1"/>
  <c r="CX3881" i="1"/>
  <c r="J3467" i="1"/>
  <c r="CW3881" i="1"/>
  <c r="BL3881" i="1"/>
  <c r="BK3881" i="1"/>
  <c r="DG3880" i="1"/>
  <c r="M180" i="1"/>
  <c r="L180" i="1"/>
  <c r="DA3880" i="1"/>
  <c r="CY3880" i="1"/>
  <c r="CX3880" i="1"/>
  <c r="J180" i="1"/>
  <c r="BL3880" i="1"/>
  <c r="BK3880" i="1"/>
  <c r="DG3879" i="1"/>
  <c r="M3265" i="1"/>
  <c r="L3265" i="1"/>
  <c r="DA3879" i="1"/>
  <c r="CZ3879" i="1"/>
  <c r="CY3879" i="1"/>
  <c r="CX3879" i="1"/>
  <c r="J3265" i="1"/>
  <c r="CW3879" i="1"/>
  <c r="BL3879" i="1"/>
  <c r="BK3879" i="1"/>
  <c r="DG3878" i="1"/>
  <c r="M188" i="1"/>
  <c r="L188" i="1"/>
  <c r="DA3878" i="1"/>
  <c r="CY3878" i="1"/>
  <c r="CX3878" i="1"/>
  <c r="J188" i="1"/>
  <c r="BL3878" i="1"/>
  <c r="BK3878" i="1"/>
  <c r="DG3877" i="1"/>
  <c r="M195" i="1"/>
  <c r="L195" i="1"/>
  <c r="DA3877" i="1"/>
  <c r="CY3877" i="1"/>
  <c r="CX3877" i="1"/>
  <c r="J195" i="1"/>
  <c r="BL3877" i="1"/>
  <c r="BK3877" i="1"/>
  <c r="DG3876" i="1"/>
  <c r="M3246" i="1"/>
  <c r="L3246" i="1"/>
  <c r="DA3876" i="1"/>
  <c r="CZ3876" i="1"/>
  <c r="CY3876" i="1"/>
  <c r="CX3876" i="1"/>
  <c r="J3246" i="1"/>
  <c r="CW3876" i="1"/>
  <c r="BL3876" i="1"/>
  <c r="BK3876" i="1"/>
  <c r="DG3875" i="1"/>
  <c r="M3250" i="1"/>
  <c r="L3250" i="1"/>
  <c r="DA3875" i="1"/>
  <c r="CZ3875" i="1"/>
  <c r="CY3875" i="1"/>
  <c r="CX3875" i="1"/>
  <c r="J3250" i="1"/>
  <c r="CW3875" i="1"/>
  <c r="BL3875" i="1"/>
  <c r="BK3875" i="1"/>
  <c r="DG3874" i="1"/>
  <c r="M69" i="1"/>
  <c r="L69" i="1"/>
  <c r="DA3874" i="1"/>
  <c r="CY3874" i="1"/>
  <c r="CX3874" i="1"/>
  <c r="J69" i="1"/>
  <c r="CW3874" i="1"/>
  <c r="BL3874" i="1"/>
  <c r="BK3874" i="1"/>
  <c r="DG3873" i="1"/>
  <c r="M194" i="1"/>
  <c r="L194" i="1"/>
  <c r="DA3873" i="1"/>
  <c r="CY3873" i="1"/>
  <c r="CX3873" i="1"/>
  <c r="J194" i="1"/>
  <c r="BL3873" i="1"/>
  <c r="BK3873" i="1"/>
  <c r="DG3872" i="1"/>
  <c r="M3264" i="1"/>
  <c r="L3264" i="1"/>
  <c r="DA3872" i="1"/>
  <c r="CZ3872" i="1"/>
  <c r="CY3872" i="1"/>
  <c r="CX3872" i="1"/>
  <c r="J3264" i="1"/>
  <c r="CW3872" i="1"/>
  <c r="BL3872" i="1"/>
  <c r="BK3872" i="1"/>
  <c r="DG3871" i="1"/>
  <c r="M3228" i="1"/>
  <c r="L3228" i="1"/>
  <c r="DA3871" i="1"/>
  <c r="CZ3871" i="1"/>
  <c r="CY3871" i="1"/>
  <c r="CX3871" i="1"/>
  <c r="J3228" i="1"/>
  <c r="CW3871" i="1"/>
  <c r="BL3871" i="1"/>
  <c r="BK3871" i="1"/>
  <c r="DG3870" i="1"/>
  <c r="M3249" i="1"/>
  <c r="L3249" i="1"/>
  <c r="DA3870" i="1"/>
  <c r="CZ3870" i="1"/>
  <c r="CY3870" i="1"/>
  <c r="CX3870" i="1"/>
  <c r="J3249" i="1"/>
  <c r="CW3870" i="1"/>
  <c r="BL3870" i="1"/>
  <c r="BK3870" i="1"/>
  <c r="DG3869" i="1"/>
  <c r="M3968" i="1"/>
  <c r="L3968" i="1"/>
  <c r="DA3869" i="1"/>
  <c r="CZ3869" i="1"/>
  <c r="CY3869" i="1"/>
  <c r="CX3869" i="1"/>
  <c r="J3968" i="1"/>
  <c r="CW3869" i="1"/>
  <c r="BL3869" i="1"/>
  <c r="BK3869" i="1"/>
  <c r="DG3868" i="1"/>
  <c r="M222" i="1"/>
  <c r="L222" i="1"/>
  <c r="DA3868" i="1"/>
  <c r="CY3868" i="1"/>
  <c r="CX3868" i="1"/>
  <c r="J222" i="1"/>
  <c r="BL3868" i="1"/>
  <c r="BK3868" i="1"/>
  <c r="DG3867" i="1"/>
  <c r="M3216" i="1"/>
  <c r="L3216" i="1"/>
  <c r="DA3867" i="1"/>
  <c r="CZ3867" i="1"/>
  <c r="CY3867" i="1"/>
  <c r="CX3867" i="1"/>
  <c r="J3216" i="1"/>
  <c r="CW3867" i="1"/>
  <c r="BL3867" i="1"/>
  <c r="BK3867" i="1"/>
  <c r="DG3866" i="1"/>
  <c r="M3941" i="1"/>
  <c r="L3941" i="1"/>
  <c r="DA3866" i="1"/>
  <c r="CZ3866" i="1"/>
  <c r="CY3866" i="1"/>
  <c r="CX3866" i="1"/>
  <c r="J3941" i="1"/>
  <c r="CW3866" i="1"/>
  <c r="BL3866" i="1"/>
  <c r="BK3866" i="1"/>
  <c r="DG3865" i="1"/>
  <c r="M217" i="1"/>
  <c r="L217" i="1"/>
  <c r="DA3865" i="1"/>
  <c r="CY3865" i="1"/>
  <c r="CX3865" i="1"/>
  <c r="J217" i="1"/>
  <c r="BL3865" i="1"/>
  <c r="BK3865" i="1"/>
  <c r="DG3864" i="1"/>
  <c r="M3230" i="1"/>
  <c r="L3230" i="1"/>
  <c r="DA3864" i="1"/>
  <c r="CZ3864" i="1"/>
  <c r="CY3864" i="1"/>
  <c r="CX3864" i="1"/>
  <c r="J3230" i="1"/>
  <c r="CW3864" i="1"/>
  <c r="BL3864" i="1"/>
  <c r="BK3864" i="1"/>
  <c r="DG3863" i="1"/>
  <c r="M3235" i="1"/>
  <c r="L3235" i="1"/>
  <c r="DA3863" i="1"/>
  <c r="CZ3863" i="1"/>
  <c r="CY3863" i="1"/>
  <c r="CX3863" i="1"/>
  <c r="J3235" i="1"/>
  <c r="CW3863" i="1"/>
  <c r="BL3863" i="1"/>
  <c r="BK3863" i="1"/>
  <c r="DG3862" i="1"/>
  <c r="M225" i="1"/>
  <c r="L225" i="1"/>
  <c r="DA3862" i="1"/>
  <c r="CY3862" i="1"/>
  <c r="CX3862" i="1"/>
  <c r="J225" i="1"/>
  <c r="BL3862" i="1"/>
  <c r="BK3862" i="1"/>
  <c r="DG3861" i="1"/>
  <c r="M3958" i="1"/>
  <c r="L3958" i="1"/>
  <c r="DA3861" i="1"/>
  <c r="CZ3861" i="1"/>
  <c r="CY3861" i="1"/>
  <c r="CX3861" i="1"/>
  <c r="J3958" i="1"/>
  <c r="CW3861" i="1"/>
  <c r="BL3861" i="1"/>
  <c r="BK3861" i="1"/>
  <c r="DG3860" i="1"/>
  <c r="M3940" i="1"/>
  <c r="L3940" i="1"/>
  <c r="DA3860" i="1"/>
  <c r="CZ3860" i="1"/>
  <c r="CY3860" i="1"/>
  <c r="CX3860" i="1"/>
  <c r="J3940" i="1"/>
  <c r="CW3860" i="1"/>
  <c r="BL3860" i="1"/>
  <c r="BK3860" i="1"/>
  <c r="DG3859" i="1"/>
  <c r="M3232" i="1"/>
  <c r="L3232" i="1"/>
  <c r="DA3859" i="1"/>
  <c r="CZ3859" i="1"/>
  <c r="CY3859" i="1"/>
  <c r="CX3859" i="1"/>
  <c r="J3232" i="1"/>
  <c r="CW3859" i="1"/>
  <c r="BL3859" i="1"/>
  <c r="BK3859" i="1"/>
  <c r="DG3858" i="1"/>
  <c r="M3439" i="1"/>
  <c r="L3439" i="1"/>
  <c r="DA3858" i="1"/>
  <c r="CZ3858" i="1"/>
  <c r="CY3858" i="1"/>
  <c r="CX3858" i="1"/>
  <c r="J3439" i="1"/>
  <c r="CW3858" i="1"/>
  <c r="BL3858" i="1"/>
  <c r="BK3858" i="1"/>
  <c r="DG3857" i="1"/>
  <c r="M3471" i="1"/>
  <c r="L3471" i="1"/>
  <c r="DA3857" i="1"/>
  <c r="CY3857" i="1"/>
  <c r="CX3857" i="1"/>
  <c r="J3471" i="1"/>
  <c r="CW3857" i="1"/>
  <c r="BL3857" i="1"/>
  <c r="BK3857" i="1"/>
  <c r="DG3856" i="1"/>
  <c r="M3972" i="1"/>
  <c r="L3972" i="1"/>
  <c r="DA3856" i="1"/>
  <c r="CZ3856" i="1"/>
  <c r="CY3856" i="1"/>
  <c r="CX3856" i="1"/>
  <c r="J3972" i="1"/>
  <c r="CW3856" i="1"/>
  <c r="BL3856" i="1"/>
  <c r="BK3856" i="1"/>
  <c r="DG3855" i="1"/>
  <c r="M3963" i="1"/>
  <c r="L3963" i="1"/>
  <c r="DA3855" i="1"/>
  <c r="CZ3855" i="1"/>
  <c r="CY3855" i="1"/>
  <c r="CX3855" i="1"/>
  <c r="J3963" i="1"/>
  <c r="CW3855" i="1"/>
  <c r="BL3855" i="1"/>
  <c r="BK3855" i="1"/>
  <c r="DG3854" i="1"/>
  <c r="M212" i="1"/>
  <c r="L212" i="1"/>
  <c r="DA3854" i="1"/>
  <c r="CY3854" i="1"/>
  <c r="CX3854" i="1"/>
  <c r="J212" i="1"/>
  <c r="BL3854" i="1"/>
  <c r="BK3854" i="1"/>
  <c r="DG3853" i="1"/>
  <c r="M3223" i="1"/>
  <c r="L3223" i="1"/>
  <c r="DA3853" i="1"/>
  <c r="CZ3853" i="1"/>
  <c r="CY3853" i="1"/>
  <c r="CX3853" i="1"/>
  <c r="J3223" i="1"/>
  <c r="CW3853" i="1"/>
  <c r="BL3853" i="1"/>
  <c r="BK3853" i="1"/>
  <c r="DG3852" i="1"/>
  <c r="M3207" i="1"/>
  <c r="L3207" i="1"/>
  <c r="DA3852" i="1"/>
  <c r="CZ3852" i="1"/>
  <c r="CY3852" i="1"/>
  <c r="CX3852" i="1"/>
  <c r="J3207" i="1"/>
  <c r="CW3852" i="1"/>
  <c r="BL3852" i="1"/>
  <c r="BK3852" i="1"/>
  <c r="DG3851" i="1"/>
  <c r="M3225" i="1"/>
  <c r="L3225" i="1"/>
  <c r="DA3851" i="1"/>
  <c r="CZ3851" i="1"/>
  <c r="CY3851" i="1"/>
  <c r="CX3851" i="1"/>
  <c r="J3225" i="1"/>
  <c r="CW3851" i="1"/>
  <c r="BL3851" i="1"/>
  <c r="BK3851" i="1"/>
  <c r="DG3850" i="1"/>
  <c r="M186" i="1"/>
  <c r="L186" i="1"/>
  <c r="DA3850" i="1"/>
  <c r="CY3850" i="1"/>
  <c r="CX3850" i="1"/>
  <c r="J186" i="1"/>
  <c r="BL3850" i="1"/>
  <c r="BK3850" i="1"/>
  <c r="DG3849" i="1"/>
  <c r="M187" i="1"/>
  <c r="L187" i="1"/>
  <c r="DA3849" i="1"/>
  <c r="CY3849" i="1"/>
  <c r="CX3849" i="1"/>
  <c r="J187" i="1"/>
  <c r="BL3849" i="1"/>
  <c r="BK3849" i="1"/>
  <c r="DG3848" i="1"/>
  <c r="M3974" i="1"/>
  <c r="L3974" i="1"/>
  <c r="DA3848" i="1"/>
  <c r="CZ3848" i="1"/>
  <c r="CY3848" i="1"/>
  <c r="CX3848" i="1"/>
  <c r="J3974" i="1"/>
  <c r="CW3848" i="1"/>
  <c r="BL3848" i="1"/>
  <c r="BK3848" i="1"/>
  <c r="DG3847" i="1"/>
  <c r="M3238" i="1"/>
  <c r="L3238" i="1"/>
  <c r="DA3847" i="1"/>
  <c r="CZ3847" i="1"/>
  <c r="CY3847" i="1"/>
  <c r="CX3847" i="1"/>
  <c r="J3238" i="1"/>
  <c r="CW3847" i="1"/>
  <c r="BL3847" i="1"/>
  <c r="BK3847" i="1"/>
  <c r="DG3846" i="1"/>
  <c r="M3470" i="1"/>
  <c r="L3470" i="1"/>
  <c r="DA3846" i="1"/>
  <c r="CY3846" i="1"/>
  <c r="CX3846" i="1"/>
  <c r="J3470" i="1"/>
  <c r="CW3846" i="1"/>
  <c r="BL3846" i="1"/>
  <c r="BK3846" i="1"/>
  <c r="DG3845" i="1"/>
  <c r="M3241" i="1"/>
  <c r="L3241" i="1"/>
  <c r="DA3845" i="1"/>
  <c r="CZ3845" i="1"/>
  <c r="CY3845" i="1"/>
  <c r="CX3845" i="1"/>
  <c r="J3241" i="1"/>
  <c r="CW3845" i="1"/>
  <c r="BL3845" i="1"/>
  <c r="BK3845" i="1"/>
  <c r="DG3844" i="1"/>
  <c r="M3256" i="1"/>
  <c r="L3256" i="1"/>
  <c r="DA3844" i="1"/>
  <c r="CZ3844" i="1"/>
  <c r="CY3844" i="1"/>
  <c r="CX3844" i="1"/>
  <c r="J3256" i="1"/>
  <c r="CW3844" i="1"/>
  <c r="BL3844" i="1"/>
  <c r="BK3844" i="1"/>
  <c r="DG3843" i="1"/>
  <c r="M197" i="1"/>
  <c r="L197" i="1"/>
  <c r="DA3843" i="1"/>
  <c r="CY3843" i="1"/>
  <c r="CX3843" i="1"/>
  <c r="J197" i="1"/>
  <c r="BL3843" i="1"/>
  <c r="BK3843" i="1"/>
  <c r="DG3842" i="1"/>
  <c r="M181" i="1"/>
  <c r="L181" i="1"/>
  <c r="DA3842" i="1"/>
  <c r="CY3842" i="1"/>
  <c r="CX3842" i="1"/>
  <c r="J181" i="1"/>
  <c r="BL3842" i="1"/>
  <c r="BK3842" i="1"/>
  <c r="DG3841" i="1"/>
  <c r="M3195" i="1"/>
  <c r="L3195" i="1"/>
  <c r="DA3841" i="1"/>
  <c r="CY3841" i="1"/>
  <c r="CX3841" i="1"/>
  <c r="J3195" i="1"/>
  <c r="CW3841" i="1"/>
  <c r="BL3841" i="1"/>
  <c r="BK3841" i="1"/>
  <c r="DG3840" i="1"/>
  <c r="M218" i="1"/>
  <c r="L218" i="1"/>
  <c r="DA3840" i="1"/>
  <c r="CY3840" i="1"/>
  <c r="CX3840" i="1"/>
  <c r="J218" i="1"/>
  <c r="BL3840" i="1"/>
  <c r="BK3840" i="1"/>
  <c r="DG3839" i="1"/>
  <c r="M3218" i="1"/>
  <c r="L3218" i="1"/>
  <c r="DA3839" i="1"/>
  <c r="CZ3839" i="1"/>
  <c r="CY3839" i="1"/>
  <c r="CX3839" i="1"/>
  <c r="J3218" i="1"/>
  <c r="CW3839" i="1"/>
  <c r="BL3839" i="1"/>
  <c r="BK3839" i="1"/>
  <c r="DG3838" i="1"/>
  <c r="M3954" i="1"/>
  <c r="L3954" i="1"/>
  <c r="DA3838" i="1"/>
  <c r="CZ3838" i="1"/>
  <c r="CY3838" i="1"/>
  <c r="CX3838" i="1"/>
  <c r="J3954" i="1"/>
  <c r="CW3838" i="1"/>
  <c r="BL3838" i="1"/>
  <c r="BK3838" i="1"/>
  <c r="DG3837" i="1"/>
  <c r="M3473" i="1"/>
  <c r="L3473" i="1"/>
  <c r="DA3837" i="1"/>
  <c r="CY3837" i="1"/>
  <c r="CX3837" i="1"/>
  <c r="J3473" i="1"/>
  <c r="CW3837" i="1"/>
  <c r="BL3837" i="1"/>
  <c r="BK3837" i="1"/>
  <c r="DG3836" i="1"/>
  <c r="M3262" i="1"/>
  <c r="L3262" i="1"/>
  <c r="DA3836" i="1"/>
  <c r="CZ3836" i="1"/>
  <c r="CY3836" i="1"/>
  <c r="CX3836" i="1"/>
  <c r="J3262" i="1"/>
  <c r="CW3836" i="1"/>
  <c r="BL3836" i="1"/>
  <c r="BK3836" i="1"/>
  <c r="DG3835" i="1"/>
  <c r="M3247" i="1"/>
  <c r="L3247" i="1"/>
  <c r="DA3835" i="1"/>
  <c r="CZ3835" i="1"/>
  <c r="CY3835" i="1"/>
  <c r="CX3835" i="1"/>
  <c r="J3247" i="1"/>
  <c r="CW3835" i="1"/>
  <c r="BL3835" i="1"/>
  <c r="BK3835" i="1"/>
  <c r="DG3834" i="1"/>
  <c r="M3938" i="1"/>
  <c r="L3938" i="1"/>
  <c r="DA3834" i="1"/>
  <c r="CZ3834" i="1"/>
  <c r="CY3834" i="1"/>
  <c r="CX3834" i="1"/>
  <c r="J3938" i="1"/>
  <c r="CW3834" i="1"/>
  <c r="BL3834" i="1"/>
  <c r="BK3834" i="1"/>
  <c r="DG3833" i="1"/>
  <c r="M3258" i="1"/>
  <c r="L3258" i="1"/>
  <c r="DA3833" i="1"/>
  <c r="CZ3833" i="1"/>
  <c r="CY3833" i="1"/>
  <c r="CX3833" i="1"/>
  <c r="J3258" i="1"/>
  <c r="CW3833" i="1"/>
  <c r="BL3833" i="1"/>
  <c r="BK3833" i="1"/>
  <c r="DG3832" i="1"/>
  <c r="M221" i="1"/>
  <c r="L221" i="1"/>
  <c r="DA3832" i="1"/>
  <c r="CY3832" i="1"/>
  <c r="CX3832" i="1"/>
  <c r="J221" i="1"/>
  <c r="BL3832" i="1"/>
  <c r="BK3832" i="1"/>
  <c r="DG3831" i="1"/>
  <c r="M3227" i="1"/>
  <c r="L3227" i="1"/>
  <c r="DA3831" i="1"/>
  <c r="CZ3831" i="1"/>
  <c r="CY3831" i="1"/>
  <c r="CX3831" i="1"/>
  <c r="J3227" i="1"/>
  <c r="CW3831" i="1"/>
  <c r="BL3831" i="1"/>
  <c r="BK3831" i="1"/>
  <c r="DG3830" i="1"/>
  <c r="M3226" i="1"/>
  <c r="L3226" i="1"/>
  <c r="DA3830" i="1"/>
  <c r="CZ3830" i="1"/>
  <c r="CY3830" i="1"/>
  <c r="CX3830" i="1"/>
  <c r="J3226" i="1"/>
  <c r="CW3830" i="1"/>
  <c r="BL3830" i="1"/>
  <c r="BK3830" i="1"/>
  <c r="DG3829" i="1"/>
  <c r="M215" i="1"/>
  <c r="L215" i="1"/>
  <c r="DA3829" i="1"/>
  <c r="CY3829" i="1"/>
  <c r="CX3829" i="1"/>
  <c r="J215" i="1"/>
  <c r="BL3829" i="1"/>
  <c r="BK3829" i="1"/>
  <c r="DG3828" i="1"/>
  <c r="M3243" i="1"/>
  <c r="L3243" i="1"/>
  <c r="DA3828" i="1"/>
  <c r="CZ3828" i="1"/>
  <c r="CY3828" i="1"/>
  <c r="CX3828" i="1"/>
  <c r="J3243" i="1"/>
  <c r="CW3828" i="1"/>
  <c r="BL3828" i="1"/>
  <c r="BK3828" i="1"/>
  <c r="DG3827" i="1"/>
  <c r="M3937" i="1"/>
  <c r="L3937" i="1"/>
  <c r="DA3827" i="1"/>
  <c r="CZ3827" i="1"/>
  <c r="CY3827" i="1"/>
  <c r="CX3827" i="1"/>
  <c r="J3937" i="1"/>
  <c r="CW3827" i="1"/>
  <c r="BL3827" i="1"/>
  <c r="BK3827" i="1"/>
  <c r="DG3826" i="1"/>
  <c r="M3469" i="1"/>
  <c r="L3469" i="1"/>
  <c r="DA3826" i="1"/>
  <c r="CY3826" i="1"/>
  <c r="CX3826" i="1"/>
  <c r="J3469" i="1"/>
  <c r="CW3826" i="1"/>
  <c r="BL3826" i="1"/>
  <c r="BK3826" i="1"/>
  <c r="DG3825" i="1"/>
  <c r="M3212" i="1"/>
  <c r="L3212" i="1"/>
  <c r="DA3825" i="1"/>
  <c r="CZ3825" i="1"/>
  <c r="CY3825" i="1"/>
  <c r="CX3825" i="1"/>
  <c r="J3212" i="1"/>
  <c r="CW3825" i="1"/>
  <c r="BL3825" i="1"/>
  <c r="BK3825" i="1"/>
  <c r="DG3824" i="1"/>
  <c r="M3472" i="1"/>
  <c r="L3472" i="1"/>
  <c r="DA3824" i="1"/>
  <c r="CY3824" i="1"/>
  <c r="CX3824" i="1"/>
  <c r="J3472" i="1"/>
  <c r="CW3824" i="1"/>
  <c r="BL3824" i="1"/>
  <c r="BK3824" i="1"/>
  <c r="DG3823" i="1"/>
  <c r="M3971" i="1"/>
  <c r="L3971" i="1"/>
  <c r="DA3823" i="1"/>
  <c r="CZ3823" i="1"/>
  <c r="CY3823" i="1"/>
  <c r="CX3823" i="1"/>
  <c r="J3971" i="1"/>
  <c r="CW3823" i="1"/>
  <c r="BL3823" i="1"/>
  <c r="BK3823" i="1"/>
  <c r="DG3822" i="1"/>
  <c r="M3970" i="1"/>
  <c r="L3970" i="1"/>
  <c r="DA3822" i="1"/>
  <c r="CZ3822" i="1"/>
  <c r="CY3822" i="1"/>
  <c r="CX3822" i="1"/>
  <c r="J3970" i="1"/>
  <c r="CW3822" i="1"/>
  <c r="BL3822" i="1"/>
  <c r="BK3822" i="1"/>
  <c r="DG3821" i="1"/>
  <c r="M216" i="1"/>
  <c r="L216" i="1"/>
  <c r="DA3821" i="1"/>
  <c r="CY3821" i="1"/>
  <c r="CX3821" i="1"/>
  <c r="J216" i="1"/>
  <c r="BL3821" i="1"/>
  <c r="BK3821" i="1"/>
  <c r="DG3820" i="1"/>
  <c r="M1826" i="1"/>
  <c r="L1826" i="1"/>
  <c r="DA3820" i="1"/>
  <c r="CY3820" i="1"/>
  <c r="CX3820" i="1"/>
  <c r="J1826" i="1"/>
  <c r="BL3820" i="1"/>
  <c r="BK3820" i="1"/>
  <c r="DG3819" i="1"/>
  <c r="M1853" i="1"/>
  <c r="L1853" i="1"/>
  <c r="DA3819" i="1"/>
  <c r="CY3819" i="1"/>
  <c r="CX3819" i="1"/>
  <c r="J1853" i="1"/>
  <c r="BL3819" i="1"/>
  <c r="BK3819" i="1"/>
  <c r="DG3818" i="1"/>
  <c r="M1825" i="1"/>
  <c r="L1825" i="1"/>
  <c r="DA3818" i="1"/>
  <c r="CY3818" i="1"/>
  <c r="CX3818" i="1"/>
  <c r="J1825" i="1"/>
  <c r="BL3818" i="1"/>
  <c r="BK3818" i="1"/>
  <c r="DG3817" i="1"/>
  <c r="M3197" i="1"/>
  <c r="L3197" i="1"/>
  <c r="DA3817" i="1"/>
  <c r="CY3817" i="1"/>
  <c r="CX3817" i="1"/>
  <c r="J3197" i="1"/>
  <c r="BL3817" i="1"/>
  <c r="BK3817" i="1"/>
  <c r="DG3816" i="1"/>
  <c r="M1903" i="1"/>
  <c r="L1903" i="1"/>
  <c r="DA3816" i="1"/>
  <c r="CY3816" i="1"/>
  <c r="CX3816" i="1"/>
  <c r="J1903" i="1"/>
  <c r="BL3816" i="1"/>
  <c r="BK3816" i="1"/>
  <c r="DG3815" i="1"/>
  <c r="M1824" i="1"/>
  <c r="L1824" i="1"/>
  <c r="DA3815" i="1"/>
  <c r="CY3815" i="1"/>
  <c r="CX3815" i="1"/>
  <c r="J1824" i="1"/>
  <c r="BL3815" i="1"/>
  <c r="BK3815" i="1"/>
  <c r="DG3814" i="1"/>
  <c r="M1823" i="1"/>
  <c r="L1823" i="1"/>
  <c r="DA3814" i="1"/>
  <c r="CY3814" i="1"/>
  <c r="CX3814" i="1"/>
  <c r="J1823" i="1"/>
  <c r="BL3814" i="1"/>
  <c r="BK3814" i="1"/>
  <c r="DG3813" i="1"/>
  <c r="M1822" i="1"/>
  <c r="L1822" i="1"/>
  <c r="DA3813" i="1"/>
  <c r="CY3813" i="1"/>
  <c r="CX3813" i="1"/>
  <c r="J1822" i="1"/>
  <c r="BL3813" i="1"/>
  <c r="BK3813" i="1"/>
  <c r="DG3812" i="1"/>
  <c r="M1860" i="1"/>
  <c r="L1860" i="1"/>
  <c r="DA3812" i="1"/>
  <c r="CY3812" i="1"/>
  <c r="CX3812" i="1"/>
  <c r="J1860" i="1"/>
  <c r="BL3812" i="1"/>
  <c r="BK3812" i="1"/>
  <c r="DG3811" i="1"/>
  <c r="M1821" i="1"/>
  <c r="L1821" i="1"/>
  <c r="DA3811" i="1"/>
  <c r="CY3811" i="1"/>
  <c r="CX3811" i="1"/>
  <c r="J1821" i="1"/>
  <c r="BL3811" i="1"/>
  <c r="BK3811" i="1"/>
  <c r="DG3810" i="1"/>
  <c r="M1908" i="1"/>
  <c r="L1908" i="1"/>
  <c r="DA3810" i="1"/>
  <c r="CY3810" i="1"/>
  <c r="CX3810" i="1"/>
  <c r="J1908" i="1"/>
  <c r="BL3810" i="1"/>
  <c r="BK3810" i="1"/>
  <c r="DG3809" i="1"/>
  <c r="M76" i="1"/>
  <c r="L76" i="1"/>
  <c r="DA3809" i="1"/>
  <c r="CY3809" i="1"/>
  <c r="CX3809" i="1"/>
  <c r="J76" i="1"/>
  <c r="BL3809" i="1"/>
  <c r="BK3809" i="1"/>
  <c r="DG3808" i="1"/>
  <c r="M1907" i="1"/>
  <c r="L1907" i="1"/>
  <c r="DA3808" i="1"/>
  <c r="CY3808" i="1"/>
  <c r="CX3808" i="1"/>
  <c r="J1907" i="1"/>
  <c r="BL3808" i="1"/>
  <c r="BK3808" i="1"/>
  <c r="DG3807" i="1"/>
  <c r="M1820" i="1"/>
  <c r="L1820" i="1"/>
  <c r="DA3807" i="1"/>
  <c r="CY3807" i="1"/>
  <c r="CX3807" i="1"/>
  <c r="J1820" i="1"/>
  <c r="BL3807" i="1"/>
  <c r="BK3807" i="1"/>
  <c r="DG3806" i="1"/>
  <c r="M1819" i="1"/>
  <c r="L1819" i="1"/>
  <c r="DA3806" i="1"/>
  <c r="CY3806" i="1"/>
  <c r="CX3806" i="1"/>
  <c r="J1819" i="1"/>
  <c r="BL3806" i="1"/>
  <c r="BK3806" i="1"/>
  <c r="DG3805" i="1"/>
  <c r="M1818" i="1"/>
  <c r="L1818" i="1"/>
  <c r="DA3805" i="1"/>
  <c r="CY3805" i="1"/>
  <c r="CX3805" i="1"/>
  <c r="J1818" i="1"/>
  <c r="BL3805" i="1"/>
  <c r="BK3805" i="1"/>
  <c r="DG3804" i="1"/>
  <c r="M1849" i="1"/>
  <c r="L1849" i="1"/>
  <c r="DA3804" i="1"/>
  <c r="CY3804" i="1"/>
  <c r="CX3804" i="1"/>
  <c r="J1849" i="1"/>
  <c r="BL3804" i="1"/>
  <c r="BK3804" i="1"/>
  <c r="DG3803" i="1"/>
  <c r="M1817" i="1"/>
  <c r="L1817" i="1"/>
  <c r="DA3803" i="1"/>
  <c r="CY3803" i="1"/>
  <c r="CX3803" i="1"/>
  <c r="J1817" i="1"/>
  <c r="BL3803" i="1"/>
  <c r="BK3803" i="1"/>
  <c r="DG3802" i="1"/>
  <c r="M1859" i="1"/>
  <c r="L1859" i="1"/>
  <c r="DA3802" i="1"/>
  <c r="CY3802" i="1"/>
  <c r="CX3802" i="1"/>
  <c r="J1859" i="1"/>
  <c r="BL3802" i="1"/>
  <c r="BK3802" i="1"/>
  <c r="DG3801" i="1"/>
  <c r="M1910" i="1"/>
  <c r="L1910" i="1"/>
  <c r="DA3801" i="1"/>
  <c r="CY3801" i="1"/>
  <c r="CX3801" i="1"/>
  <c r="J1910" i="1"/>
  <c r="BL3801" i="1"/>
  <c r="BK3801" i="1"/>
  <c r="DG3800" i="1"/>
  <c r="M1816" i="1"/>
  <c r="L1816" i="1"/>
  <c r="DA3800" i="1"/>
  <c r="CY3800" i="1"/>
  <c r="CX3800" i="1"/>
  <c r="J1816" i="1"/>
  <c r="BL3800" i="1"/>
  <c r="BK3800" i="1"/>
  <c r="DG3799" i="1"/>
  <c r="M1815" i="1"/>
  <c r="L1815" i="1"/>
  <c r="DA3799" i="1"/>
  <c r="CY3799" i="1"/>
  <c r="CX3799" i="1"/>
  <c r="J1815" i="1"/>
  <c r="BL3799" i="1"/>
  <c r="BK3799" i="1"/>
  <c r="DG3798" i="1"/>
  <c r="M1814" i="1"/>
  <c r="L1814" i="1"/>
  <c r="DA3798" i="1"/>
  <c r="CY3798" i="1"/>
  <c r="CX3798" i="1"/>
  <c r="J1814" i="1"/>
  <c r="BL3798" i="1"/>
  <c r="BK3798" i="1"/>
  <c r="DG3797" i="1"/>
  <c r="M3353" i="1"/>
  <c r="L3353" i="1"/>
  <c r="DA3797" i="1"/>
  <c r="CY3797" i="1"/>
  <c r="CX3797" i="1"/>
  <c r="J3353" i="1"/>
  <c r="CW3797" i="1"/>
  <c r="BL3797" i="1"/>
  <c r="BK3797" i="1"/>
  <c r="DG3796" i="1"/>
  <c r="M1813" i="1"/>
  <c r="L1813" i="1"/>
  <c r="DA3796" i="1"/>
  <c r="CY3796" i="1"/>
  <c r="CX3796" i="1"/>
  <c r="J1813" i="1"/>
  <c r="BL3796" i="1"/>
  <c r="BK3796" i="1"/>
  <c r="DG3795" i="1"/>
  <c r="M3199" i="1"/>
  <c r="L3199" i="1"/>
  <c r="DA3795" i="1"/>
  <c r="CY3795" i="1"/>
  <c r="CX3795" i="1"/>
  <c r="J3199" i="1"/>
  <c r="BL3795" i="1"/>
  <c r="BK3795" i="1"/>
  <c r="DG3794" i="1"/>
  <c r="M3198" i="1"/>
  <c r="L3198" i="1"/>
  <c r="DA3794" i="1"/>
  <c r="CY3794" i="1"/>
  <c r="CX3794" i="1"/>
  <c r="J3198" i="1"/>
  <c r="BL3794" i="1"/>
  <c r="BK3794" i="1"/>
  <c r="DG3793" i="1"/>
  <c r="M329" i="1"/>
  <c r="L329" i="1"/>
  <c r="DA3793" i="1"/>
  <c r="CY3793" i="1"/>
  <c r="CX3793" i="1"/>
  <c r="J329" i="1"/>
  <c r="BL3793" i="1"/>
  <c r="BK3793" i="1"/>
  <c r="DG3792" i="1"/>
  <c r="M1812" i="1"/>
  <c r="L1812" i="1"/>
  <c r="DA3792" i="1"/>
  <c r="CY3792" i="1"/>
  <c r="CX3792" i="1"/>
  <c r="J1812" i="1"/>
  <c r="BL3792" i="1"/>
  <c r="BK3792" i="1"/>
  <c r="DG3791" i="1"/>
  <c r="M1811" i="1"/>
  <c r="L1811" i="1"/>
  <c r="DA3791" i="1"/>
  <c r="CY3791" i="1"/>
  <c r="CX3791" i="1"/>
  <c r="J1811" i="1"/>
  <c r="BL3791" i="1"/>
  <c r="BK3791" i="1"/>
  <c r="DG3790" i="1"/>
  <c r="M1003" i="1"/>
  <c r="L1003" i="1"/>
  <c r="DA3790" i="1"/>
  <c r="CY3790" i="1"/>
  <c r="CX3790" i="1"/>
  <c r="J1003" i="1"/>
  <c r="BL3790" i="1"/>
  <c r="BK3790" i="1"/>
  <c r="DG3789" i="1"/>
  <c r="M1810" i="1"/>
  <c r="L1810" i="1"/>
  <c r="DA3789" i="1"/>
  <c r="CY3789" i="1"/>
  <c r="CX3789" i="1"/>
  <c r="J1810" i="1"/>
  <c r="BL3789" i="1"/>
  <c r="BK3789" i="1"/>
  <c r="DG3788" i="1"/>
  <c r="M324" i="1"/>
  <c r="L324" i="1"/>
  <c r="DA3788" i="1"/>
  <c r="CY3788" i="1"/>
  <c r="CX3788" i="1"/>
  <c r="J324" i="1"/>
  <c r="BL3788" i="1"/>
  <c r="BK3788" i="1"/>
  <c r="DG3787" i="1"/>
  <c r="M1809" i="1"/>
  <c r="L1809" i="1"/>
  <c r="DA3787" i="1"/>
  <c r="CY3787" i="1"/>
  <c r="CX3787" i="1"/>
  <c r="J1809" i="1"/>
  <c r="BL3787" i="1"/>
  <c r="BK3787" i="1"/>
  <c r="DG3786" i="1"/>
  <c r="M733" i="1"/>
  <c r="L733" i="1"/>
  <c r="DA3786" i="1"/>
  <c r="CY3786" i="1"/>
  <c r="CX3786" i="1"/>
  <c r="J733" i="1"/>
  <c r="BL3786" i="1"/>
  <c r="BK3786" i="1"/>
  <c r="DG3785" i="1"/>
  <c r="M323" i="1"/>
  <c r="L323" i="1"/>
  <c r="DA3785" i="1"/>
  <c r="CY3785" i="1"/>
  <c r="CX3785" i="1"/>
  <c r="J323" i="1"/>
  <c r="BL3785" i="1"/>
  <c r="BK3785" i="1"/>
  <c r="DG3784" i="1"/>
  <c r="M1808" i="1"/>
  <c r="L1808" i="1"/>
  <c r="DA3784" i="1"/>
  <c r="CY3784" i="1"/>
  <c r="CX3784" i="1"/>
  <c r="J1808" i="1"/>
  <c r="BL3784" i="1"/>
  <c r="BK3784" i="1"/>
  <c r="DG3783" i="1"/>
  <c r="M1807" i="1"/>
  <c r="L1807" i="1"/>
  <c r="DA3783" i="1"/>
  <c r="CY3783" i="1"/>
  <c r="CX3783" i="1"/>
  <c r="J1807" i="1"/>
  <c r="BL3783" i="1"/>
  <c r="BK3783" i="1"/>
  <c r="DG3782" i="1"/>
  <c r="M1806" i="1"/>
  <c r="L1806" i="1"/>
  <c r="DA3782" i="1"/>
  <c r="CY3782" i="1"/>
  <c r="CX3782" i="1"/>
  <c r="J1806" i="1"/>
  <c r="BL3782" i="1"/>
  <c r="BK3782" i="1"/>
  <c r="DG3781" i="1"/>
  <c r="M325" i="1"/>
  <c r="L325" i="1"/>
  <c r="DA3781" i="1"/>
  <c r="CY3781" i="1"/>
  <c r="CX3781" i="1"/>
  <c r="J325" i="1"/>
  <c r="BL3781" i="1"/>
  <c r="BK3781" i="1"/>
  <c r="DG3780" i="1"/>
  <c r="M3321" i="1"/>
  <c r="L3321" i="1"/>
  <c r="DA3780" i="1"/>
  <c r="CY3780" i="1"/>
  <c r="CX3780" i="1"/>
  <c r="J3321" i="1"/>
  <c r="CW3780" i="1"/>
  <c r="BL3780" i="1"/>
  <c r="BK3780" i="1"/>
  <c r="DG3779" i="1"/>
  <c r="M326" i="1"/>
  <c r="L326" i="1"/>
  <c r="DA3779" i="1"/>
  <c r="CY3779" i="1"/>
  <c r="CX3779" i="1"/>
  <c r="J326" i="1"/>
  <c r="BL3779" i="1"/>
  <c r="BK3779" i="1"/>
  <c r="DG3778" i="1"/>
  <c r="M1805" i="1"/>
  <c r="L1805" i="1"/>
  <c r="DA3778" i="1"/>
  <c r="CY3778" i="1"/>
  <c r="CX3778" i="1"/>
  <c r="J1805" i="1"/>
  <c r="BL3778" i="1"/>
  <c r="BK3778" i="1"/>
  <c r="DG3777" i="1"/>
  <c r="M320" i="1"/>
  <c r="L320" i="1"/>
  <c r="DA3777" i="1"/>
  <c r="CY3777" i="1"/>
  <c r="CX3777" i="1"/>
  <c r="J320" i="1"/>
  <c r="BL3777" i="1"/>
  <c r="BK3777" i="1"/>
  <c r="DG3776" i="1"/>
  <c r="M321" i="1"/>
  <c r="L321" i="1"/>
  <c r="DA3776" i="1"/>
  <c r="CY3776" i="1"/>
  <c r="CX3776" i="1"/>
  <c r="J321" i="1"/>
  <c r="BL3776" i="1"/>
  <c r="BK3776" i="1"/>
  <c r="DG3775" i="1"/>
  <c r="M322" i="1"/>
  <c r="L322" i="1"/>
  <c r="DA3775" i="1"/>
  <c r="CY3775" i="1"/>
  <c r="CX3775" i="1"/>
  <c r="J322" i="1"/>
  <c r="BL3775" i="1"/>
  <c r="BK3775" i="1"/>
  <c r="DG3774" i="1"/>
  <c r="M3329" i="1"/>
  <c r="L3329" i="1"/>
  <c r="DA3774" i="1"/>
  <c r="CY3774" i="1"/>
  <c r="CX3774" i="1"/>
  <c r="J3329" i="1"/>
  <c r="CW3774" i="1"/>
  <c r="BL3774" i="1"/>
  <c r="BK3774" i="1"/>
  <c r="DG3773" i="1"/>
  <c r="M734" i="1"/>
  <c r="L734" i="1"/>
  <c r="DA3773" i="1"/>
  <c r="CY3773" i="1"/>
  <c r="CX3773" i="1"/>
  <c r="J734" i="1"/>
  <c r="BL3773" i="1"/>
  <c r="BK3773" i="1"/>
  <c r="DG3772" i="1"/>
  <c r="M3331" i="1"/>
  <c r="L3331" i="1"/>
  <c r="DA3772" i="1"/>
  <c r="CY3772" i="1"/>
  <c r="CX3772" i="1"/>
  <c r="J3331" i="1"/>
  <c r="CW3772" i="1"/>
  <c r="BL3772" i="1"/>
  <c r="BK3772" i="1"/>
  <c r="DG3771" i="1"/>
  <c r="M319" i="1"/>
  <c r="L319" i="1"/>
  <c r="DA3771" i="1"/>
  <c r="CY3771" i="1"/>
  <c r="CX3771" i="1"/>
  <c r="J319" i="1"/>
  <c r="BL3771" i="1"/>
  <c r="BK3771" i="1"/>
  <c r="DG3770" i="1"/>
  <c r="M3342" i="1"/>
  <c r="L3342" i="1"/>
  <c r="DA3770" i="1"/>
  <c r="CY3770" i="1"/>
  <c r="CX3770" i="1"/>
  <c r="J3342" i="1"/>
  <c r="CW3770" i="1"/>
  <c r="BL3770" i="1"/>
  <c r="BK3770" i="1"/>
  <c r="DG3769" i="1"/>
  <c r="M327" i="1"/>
  <c r="L327" i="1"/>
  <c r="DA3769" i="1"/>
  <c r="CY3769" i="1"/>
  <c r="CX3769" i="1"/>
  <c r="J327" i="1"/>
  <c r="BL3769" i="1"/>
  <c r="BK3769" i="1"/>
  <c r="DG3768" i="1"/>
  <c r="M736" i="1"/>
  <c r="L736" i="1"/>
  <c r="DA3768" i="1"/>
  <c r="CY3768" i="1"/>
  <c r="CX3768" i="1"/>
  <c r="J736" i="1"/>
  <c r="BL3768" i="1"/>
  <c r="BK3768" i="1"/>
  <c r="DG3767" i="1"/>
  <c r="M738" i="1"/>
  <c r="L738" i="1"/>
  <c r="DA3767" i="1"/>
  <c r="CY3767" i="1"/>
  <c r="CX3767" i="1"/>
  <c r="J738" i="1"/>
  <c r="BL3767" i="1"/>
  <c r="BK3767" i="1"/>
  <c r="DG3766" i="1"/>
  <c r="M3345" i="1"/>
  <c r="L3345" i="1"/>
  <c r="DA3766" i="1"/>
  <c r="CY3766" i="1"/>
  <c r="CX3766" i="1"/>
  <c r="J3345" i="1"/>
  <c r="CW3766" i="1"/>
  <c r="BL3766" i="1"/>
  <c r="BK3766" i="1"/>
  <c r="DG3765" i="1"/>
  <c r="M3347" i="1"/>
  <c r="L3347" i="1"/>
  <c r="DA3765" i="1"/>
  <c r="CY3765" i="1"/>
  <c r="CX3765" i="1"/>
  <c r="J3347" i="1"/>
  <c r="CW3765" i="1"/>
  <c r="BL3765" i="1"/>
  <c r="BK3765" i="1"/>
  <c r="DG3764" i="1"/>
  <c r="M3349" i="1"/>
  <c r="L3349" i="1"/>
  <c r="DA3764" i="1"/>
  <c r="CY3764" i="1"/>
  <c r="CX3764" i="1"/>
  <c r="J3349" i="1"/>
  <c r="CW3764" i="1"/>
  <c r="BL3764" i="1"/>
  <c r="BK3764" i="1"/>
  <c r="DG3763" i="1"/>
  <c r="M328" i="1"/>
  <c r="L328" i="1"/>
  <c r="DA3763" i="1"/>
  <c r="CY3763" i="1"/>
  <c r="CX3763" i="1"/>
  <c r="J328" i="1"/>
  <c r="BL3763" i="1"/>
  <c r="BK3763" i="1"/>
  <c r="DG3762" i="1"/>
  <c r="M3354" i="1"/>
  <c r="L3354" i="1"/>
  <c r="DA3762" i="1"/>
  <c r="CY3762" i="1"/>
  <c r="CX3762" i="1"/>
  <c r="J3354" i="1"/>
  <c r="CW3762" i="1"/>
  <c r="BL3762" i="1"/>
  <c r="BK3762" i="1"/>
  <c r="DG3761" i="1"/>
  <c r="M3355" i="1"/>
  <c r="L3355" i="1"/>
  <c r="DA3761" i="1"/>
  <c r="CY3761" i="1"/>
  <c r="CX3761" i="1"/>
  <c r="J3355" i="1"/>
  <c r="CW3761" i="1"/>
  <c r="BL3761" i="1"/>
  <c r="BK3761" i="1"/>
  <c r="DG3760" i="1"/>
  <c r="M3357" i="1"/>
  <c r="L3357" i="1"/>
  <c r="DA3760" i="1"/>
  <c r="CY3760" i="1"/>
  <c r="CX3760" i="1"/>
  <c r="J3357" i="1"/>
  <c r="CW3760" i="1"/>
  <c r="BL3760" i="1"/>
  <c r="BK3760" i="1"/>
  <c r="DG3759" i="1"/>
  <c r="M3359" i="1"/>
  <c r="L3359" i="1"/>
  <c r="DA3759" i="1"/>
  <c r="CY3759" i="1"/>
  <c r="CX3759" i="1"/>
  <c r="J3359" i="1"/>
  <c r="CW3759" i="1"/>
  <c r="BL3759" i="1"/>
  <c r="BK3759" i="1"/>
  <c r="DG3758" i="1"/>
  <c r="M3361" i="1"/>
  <c r="L3361" i="1"/>
  <c r="DA3758" i="1"/>
  <c r="CY3758" i="1"/>
  <c r="CX3758" i="1"/>
  <c r="J3361" i="1"/>
  <c r="CW3758" i="1"/>
  <c r="BL3758" i="1"/>
  <c r="BK3758" i="1"/>
  <c r="DG3757" i="1"/>
  <c r="M3362" i="1"/>
  <c r="L3362" i="1"/>
  <c r="DA3757" i="1"/>
  <c r="CY3757" i="1"/>
  <c r="CX3757" i="1"/>
  <c r="J3362" i="1"/>
  <c r="CW3757" i="1"/>
  <c r="BL3757" i="1"/>
  <c r="BK3757" i="1"/>
  <c r="DG3756" i="1"/>
  <c r="M3364" i="1"/>
  <c r="L3364" i="1"/>
  <c r="DA3756" i="1"/>
  <c r="CY3756" i="1"/>
  <c r="CX3756" i="1"/>
  <c r="J3364" i="1"/>
  <c r="CW3756" i="1"/>
  <c r="BL3756" i="1"/>
  <c r="BK3756" i="1"/>
  <c r="DG3755" i="1"/>
  <c r="M1858" i="1"/>
  <c r="L1858" i="1"/>
  <c r="DA3755" i="1"/>
  <c r="CY3755" i="1"/>
  <c r="CX3755" i="1"/>
  <c r="J1858" i="1"/>
  <c r="BL3755" i="1"/>
  <c r="BK3755" i="1"/>
  <c r="DG3754" i="1"/>
  <c r="M3368" i="1"/>
  <c r="L3368" i="1"/>
  <c r="DA3754" i="1"/>
  <c r="CY3754" i="1"/>
  <c r="CX3754" i="1"/>
  <c r="J3368" i="1"/>
  <c r="CW3754" i="1"/>
  <c r="BL3754" i="1"/>
  <c r="BK3754" i="1"/>
  <c r="DG3753" i="1"/>
  <c r="M1848" i="1"/>
  <c r="L1848" i="1"/>
  <c r="DA3753" i="1"/>
  <c r="CY3753" i="1"/>
  <c r="CX3753" i="1"/>
  <c r="J1848" i="1"/>
  <c r="BL3753" i="1"/>
  <c r="BK3753" i="1"/>
  <c r="DG3752" i="1"/>
  <c r="M1847" i="1"/>
  <c r="L1847" i="1"/>
  <c r="DA3752" i="1"/>
  <c r="CY3752" i="1"/>
  <c r="CX3752" i="1"/>
  <c r="J1847" i="1"/>
  <c r="BL3752" i="1"/>
  <c r="BK3752" i="1"/>
  <c r="DG3751" i="1"/>
  <c r="M1906" i="1"/>
  <c r="L1906" i="1"/>
  <c r="DA3751" i="1"/>
  <c r="CY3751" i="1"/>
  <c r="CX3751" i="1"/>
  <c r="J1906" i="1"/>
  <c r="BL3751" i="1"/>
  <c r="BK3751" i="1"/>
  <c r="DG3750" i="1"/>
  <c r="M3644" i="1"/>
  <c r="L3644" i="1"/>
  <c r="DA3750" i="1"/>
  <c r="CY3750" i="1"/>
  <c r="CX3750" i="1"/>
  <c r="J3644" i="1"/>
  <c r="CW3750" i="1"/>
  <c r="BL3750" i="1"/>
  <c r="BK3750" i="1"/>
  <c r="DG3749" i="1"/>
  <c r="M3373" i="1"/>
  <c r="L3373" i="1"/>
  <c r="DA3749" i="1"/>
  <c r="CY3749" i="1"/>
  <c r="CX3749" i="1"/>
  <c r="J3373" i="1"/>
  <c r="CW3749" i="1"/>
  <c r="BL3749" i="1"/>
  <c r="BK3749" i="1"/>
  <c r="DG3748" i="1"/>
  <c r="M3375" i="1"/>
  <c r="L3375" i="1"/>
  <c r="DA3748" i="1"/>
  <c r="CY3748" i="1"/>
  <c r="CX3748" i="1"/>
  <c r="J3375" i="1"/>
  <c r="CW3748" i="1"/>
  <c r="BL3748" i="1"/>
  <c r="BK3748" i="1"/>
  <c r="DG3747" i="1"/>
  <c r="M1909" i="1"/>
  <c r="L1909" i="1"/>
  <c r="DA3747" i="1"/>
  <c r="CY3747" i="1"/>
  <c r="CX3747" i="1"/>
  <c r="J1909" i="1"/>
  <c r="BL3747" i="1"/>
  <c r="BK3747" i="1"/>
  <c r="DG3746" i="1"/>
  <c r="M3379" i="1"/>
  <c r="L3379" i="1"/>
  <c r="DA3746" i="1"/>
  <c r="CY3746" i="1"/>
  <c r="CX3746" i="1"/>
  <c r="J3379" i="1"/>
  <c r="CW3746" i="1"/>
  <c r="BL3746" i="1"/>
  <c r="BK3746" i="1"/>
  <c r="DG3745" i="1"/>
  <c r="M1856" i="1"/>
  <c r="L1856" i="1"/>
  <c r="DA3745" i="1"/>
  <c r="CY3745" i="1"/>
  <c r="CX3745" i="1"/>
  <c r="J1856" i="1"/>
  <c r="BL3745" i="1"/>
  <c r="BK3745" i="1"/>
  <c r="DG3744" i="1"/>
  <c r="M1857" i="1"/>
  <c r="L1857" i="1"/>
  <c r="DA3744" i="1"/>
  <c r="CY3744" i="1"/>
  <c r="CX3744" i="1"/>
  <c r="J1857" i="1"/>
  <c r="BL3744" i="1"/>
  <c r="BK3744" i="1"/>
  <c r="DG3743" i="1"/>
  <c r="M1863" i="1"/>
  <c r="L1863" i="1"/>
  <c r="DA3743" i="1"/>
  <c r="CY3743" i="1"/>
  <c r="CX3743" i="1"/>
  <c r="J1863" i="1"/>
  <c r="BL3743" i="1"/>
  <c r="BK3743" i="1"/>
  <c r="DG3742" i="1"/>
  <c r="M3387" i="1"/>
  <c r="L3387" i="1"/>
  <c r="DA3742" i="1"/>
  <c r="CY3742" i="1"/>
  <c r="CX3742" i="1"/>
  <c r="J3387" i="1"/>
  <c r="CW3742" i="1"/>
  <c r="BL3742" i="1"/>
  <c r="BK3742" i="1"/>
  <c r="DG3741" i="1"/>
  <c r="M1897" i="1"/>
  <c r="L1897" i="1"/>
  <c r="DA3741" i="1"/>
  <c r="CY3741" i="1"/>
  <c r="CX3741" i="1"/>
  <c r="J1897" i="1"/>
  <c r="BL3741" i="1"/>
  <c r="BK3741" i="1"/>
  <c r="DG3740" i="1"/>
  <c r="M3391" i="1"/>
  <c r="L3391" i="1"/>
  <c r="DA3740" i="1"/>
  <c r="CY3740" i="1"/>
  <c r="CX3740" i="1"/>
  <c r="J3391" i="1"/>
  <c r="CW3740" i="1"/>
  <c r="BL3740" i="1"/>
  <c r="BK3740" i="1"/>
  <c r="DG3739" i="1"/>
  <c r="M1854" i="1"/>
  <c r="L1854" i="1"/>
  <c r="DA3739" i="1"/>
  <c r="CY3739" i="1"/>
  <c r="CX3739" i="1"/>
  <c r="J1854" i="1"/>
  <c r="BL3739" i="1"/>
  <c r="BK3739" i="1"/>
  <c r="DG3738" i="1"/>
  <c r="M3395" i="1"/>
  <c r="L3395" i="1"/>
  <c r="DA3738" i="1"/>
  <c r="CY3738" i="1"/>
  <c r="CX3738" i="1"/>
  <c r="J3395" i="1"/>
  <c r="CW3738" i="1"/>
  <c r="BL3738" i="1"/>
  <c r="BK3738" i="1"/>
  <c r="DG3737" i="1"/>
  <c r="M1852" i="1"/>
  <c r="L1852" i="1"/>
  <c r="DA3737" i="1"/>
  <c r="CY3737" i="1"/>
  <c r="CX3737" i="1"/>
  <c r="J1852" i="1"/>
  <c r="BL3737" i="1"/>
  <c r="BK3737" i="1"/>
  <c r="DG3736" i="1"/>
  <c r="M1851" i="1"/>
  <c r="L1851" i="1"/>
  <c r="DA3736" i="1"/>
  <c r="CY3736" i="1"/>
  <c r="CX3736" i="1"/>
  <c r="J1851" i="1"/>
  <c r="BL3736" i="1"/>
  <c r="BK3736" i="1"/>
  <c r="DG3735" i="1"/>
  <c r="M1850" i="1"/>
  <c r="L1850" i="1"/>
  <c r="DA3735" i="1"/>
  <c r="CY3735" i="1"/>
  <c r="CX3735" i="1"/>
  <c r="J1850" i="1"/>
  <c r="BL3735" i="1"/>
  <c r="BK3735" i="1"/>
  <c r="DG3734" i="1"/>
  <c r="M3317" i="1"/>
  <c r="L3317" i="1"/>
  <c r="DA3734" i="1"/>
  <c r="CY3734" i="1"/>
  <c r="CX3734" i="1"/>
  <c r="J3317" i="1"/>
  <c r="CW3734" i="1"/>
  <c r="BL3734" i="1"/>
  <c r="BK3734" i="1"/>
  <c r="DG3733" i="1"/>
  <c r="M739" i="1"/>
  <c r="L739" i="1"/>
  <c r="DA3733" i="1"/>
  <c r="CY3733" i="1"/>
  <c r="CX3733" i="1"/>
  <c r="J739" i="1"/>
  <c r="BL3733" i="1"/>
  <c r="BK3733" i="1"/>
  <c r="DG3732" i="1"/>
  <c r="M740" i="1"/>
  <c r="L740" i="1"/>
  <c r="DA3732" i="1"/>
  <c r="CY3732" i="1"/>
  <c r="CX3732" i="1"/>
  <c r="J740" i="1"/>
  <c r="BL3732" i="1"/>
  <c r="BK3732" i="1"/>
  <c r="DG3731" i="1"/>
  <c r="M3313" i="1"/>
  <c r="L3313" i="1"/>
  <c r="DA3731" i="1"/>
  <c r="CY3731" i="1"/>
  <c r="CX3731" i="1"/>
  <c r="J3313" i="1"/>
  <c r="CW3731" i="1"/>
  <c r="BL3731" i="1"/>
  <c r="BK3731" i="1"/>
  <c r="DG3730" i="1"/>
  <c r="M316" i="1"/>
  <c r="L316" i="1"/>
  <c r="DA3730" i="1"/>
  <c r="CY3730" i="1"/>
  <c r="CX3730" i="1"/>
  <c r="J316" i="1"/>
  <c r="BL3730" i="1"/>
  <c r="BK3730" i="1"/>
  <c r="DG3729" i="1"/>
  <c r="M1804" i="1"/>
  <c r="L1804" i="1"/>
  <c r="DA3729" i="1"/>
  <c r="CY3729" i="1"/>
  <c r="CX3729" i="1"/>
  <c r="J1804" i="1"/>
  <c r="BL3729" i="1"/>
  <c r="BK3729" i="1"/>
  <c r="DG3728" i="1"/>
  <c r="M1803" i="1"/>
  <c r="L1803" i="1"/>
  <c r="DA3728" i="1"/>
  <c r="CY3728" i="1"/>
  <c r="CX3728" i="1"/>
  <c r="J1803" i="1"/>
  <c r="BL3728" i="1"/>
  <c r="BK3728" i="1"/>
  <c r="DG3727" i="1"/>
  <c r="M1005" i="1"/>
  <c r="L1005" i="1"/>
  <c r="DA3727" i="1"/>
  <c r="CY3727" i="1"/>
  <c r="CX3727" i="1"/>
  <c r="J1005" i="1"/>
  <c r="BL3727" i="1"/>
  <c r="BK3727" i="1"/>
  <c r="DG3726" i="1"/>
  <c r="M735" i="1"/>
  <c r="L735" i="1"/>
  <c r="DA3726" i="1"/>
  <c r="CY3726" i="1"/>
  <c r="CX3726" i="1"/>
  <c r="J735" i="1"/>
  <c r="BL3726" i="1"/>
  <c r="BK3726" i="1"/>
  <c r="DG3725" i="1"/>
  <c r="M317" i="1"/>
  <c r="L317" i="1"/>
  <c r="DA3725" i="1"/>
  <c r="CY3725" i="1"/>
  <c r="CX3725" i="1"/>
  <c r="J317" i="1"/>
  <c r="BL3725" i="1"/>
  <c r="BK3725" i="1"/>
  <c r="DG3724" i="1"/>
  <c r="M1802" i="1"/>
  <c r="L1802" i="1"/>
  <c r="DA3724" i="1"/>
  <c r="CY3724" i="1"/>
  <c r="CX3724" i="1"/>
  <c r="J1802" i="1"/>
  <c r="BL3724" i="1"/>
  <c r="BK3724" i="1"/>
  <c r="DG3723" i="1"/>
  <c r="M318" i="1"/>
  <c r="L318" i="1"/>
  <c r="DA3723" i="1"/>
  <c r="CY3723" i="1"/>
  <c r="CX3723" i="1"/>
  <c r="J318" i="1"/>
  <c r="BL3723" i="1"/>
  <c r="BK3723" i="1"/>
  <c r="DG3722" i="1"/>
  <c r="M3305" i="1"/>
  <c r="L3305" i="1"/>
  <c r="DA3722" i="1"/>
  <c r="CY3722" i="1"/>
  <c r="CX3722" i="1"/>
  <c r="J3305" i="1"/>
  <c r="CW3722" i="1"/>
  <c r="BL3722" i="1"/>
  <c r="BK3722" i="1"/>
  <c r="DG3721" i="1"/>
  <c r="M737" i="1"/>
  <c r="L737" i="1"/>
  <c r="DA3721" i="1"/>
  <c r="CY3721" i="1"/>
  <c r="CX3721" i="1"/>
  <c r="J737" i="1"/>
  <c r="BL3721" i="1"/>
  <c r="BK3721" i="1"/>
  <c r="DG3720" i="1"/>
  <c r="M1801" i="1"/>
  <c r="L1801" i="1"/>
  <c r="DA3720" i="1"/>
  <c r="CY3720" i="1"/>
  <c r="CX3720" i="1"/>
  <c r="J1801" i="1"/>
  <c r="BL3720" i="1"/>
  <c r="BK3720" i="1"/>
  <c r="DG3719" i="1"/>
  <c r="M3303" i="1"/>
  <c r="L3303" i="1"/>
  <c r="DA3719" i="1"/>
  <c r="CY3719" i="1"/>
  <c r="CX3719" i="1"/>
  <c r="J3303" i="1"/>
  <c r="CW3719" i="1"/>
  <c r="BL3719" i="1"/>
  <c r="BK3719" i="1"/>
  <c r="DG3718" i="1"/>
  <c r="M3302" i="1"/>
  <c r="L3302" i="1"/>
  <c r="DA3718" i="1"/>
  <c r="CY3718" i="1"/>
  <c r="CX3718" i="1"/>
  <c r="J3302" i="1"/>
  <c r="CW3718" i="1"/>
  <c r="BL3718" i="1"/>
  <c r="BK3718" i="1"/>
  <c r="DG3717" i="1"/>
  <c r="M3301" i="1"/>
  <c r="L3301" i="1"/>
  <c r="DA3717" i="1"/>
  <c r="CY3717" i="1"/>
  <c r="CX3717" i="1"/>
  <c r="J3301" i="1"/>
  <c r="CW3717" i="1"/>
  <c r="BL3717" i="1"/>
  <c r="BK3717" i="1"/>
  <c r="DG3716" i="1"/>
  <c r="M3299" i="1"/>
  <c r="L3299" i="1"/>
  <c r="DA3716" i="1"/>
  <c r="CY3716" i="1"/>
  <c r="CX3716" i="1"/>
  <c r="J3299" i="1"/>
  <c r="CW3716" i="1"/>
  <c r="BL3716" i="1"/>
  <c r="BK3716" i="1"/>
  <c r="DG3715" i="1"/>
  <c r="M3298" i="1"/>
  <c r="L3298" i="1"/>
  <c r="DA3715" i="1"/>
  <c r="CY3715" i="1"/>
  <c r="CX3715" i="1"/>
  <c r="J3298" i="1"/>
  <c r="CW3715" i="1"/>
  <c r="BL3715" i="1"/>
  <c r="BK3715" i="1"/>
  <c r="DG3714" i="1"/>
  <c r="M3296" i="1"/>
  <c r="L3296" i="1"/>
  <c r="DA3714" i="1"/>
  <c r="CY3714" i="1"/>
  <c r="CX3714" i="1"/>
  <c r="J3296" i="1"/>
  <c r="CW3714" i="1"/>
  <c r="BL3714" i="1"/>
  <c r="BK3714" i="1"/>
  <c r="DG3713" i="1"/>
  <c r="M1800" i="1"/>
  <c r="L1800" i="1"/>
  <c r="DA3713" i="1"/>
  <c r="CY3713" i="1"/>
  <c r="CX3713" i="1"/>
  <c r="J1800" i="1"/>
  <c r="BL3713" i="1"/>
  <c r="BK3713" i="1"/>
  <c r="DG3712" i="1"/>
  <c r="M1799" i="1"/>
  <c r="L1799" i="1"/>
  <c r="DA3712" i="1"/>
  <c r="CY3712" i="1"/>
  <c r="CX3712" i="1"/>
  <c r="J1799" i="1"/>
  <c r="BL3712" i="1"/>
  <c r="BK3712" i="1"/>
  <c r="DG3711" i="1"/>
  <c r="M3294" i="1"/>
  <c r="L3294" i="1"/>
  <c r="DA3711" i="1"/>
  <c r="CY3711" i="1"/>
  <c r="CX3711" i="1"/>
  <c r="J3294" i="1"/>
  <c r="CW3711" i="1"/>
  <c r="BL3711" i="1"/>
  <c r="BK3711" i="1"/>
  <c r="DG3710" i="1"/>
  <c r="M3293" i="1"/>
  <c r="L3293" i="1"/>
  <c r="DA3710" i="1"/>
  <c r="CY3710" i="1"/>
  <c r="CX3710" i="1"/>
  <c r="J3293" i="1"/>
  <c r="CW3710" i="1"/>
  <c r="BL3710" i="1"/>
  <c r="BK3710" i="1"/>
  <c r="DG3709" i="1"/>
  <c r="M1798" i="1"/>
  <c r="L1798" i="1"/>
  <c r="DA3709" i="1"/>
  <c r="CY3709" i="1"/>
  <c r="CX3709" i="1"/>
  <c r="J1798" i="1"/>
  <c r="BL3709" i="1"/>
  <c r="BK3709" i="1"/>
  <c r="DG3708" i="1"/>
  <c r="M3291" i="1"/>
  <c r="L3291" i="1"/>
  <c r="DA3708" i="1"/>
  <c r="CY3708" i="1"/>
  <c r="CX3708" i="1"/>
  <c r="J3291" i="1"/>
  <c r="CW3708" i="1"/>
  <c r="BL3708" i="1"/>
  <c r="BK3708" i="1"/>
  <c r="DG3707" i="1"/>
  <c r="M3290" i="1"/>
  <c r="L3290" i="1"/>
  <c r="DA3707" i="1"/>
  <c r="CY3707" i="1"/>
  <c r="CX3707" i="1"/>
  <c r="J3290" i="1"/>
  <c r="CW3707" i="1"/>
  <c r="BL3707" i="1"/>
  <c r="BK3707" i="1"/>
  <c r="DG3706" i="1"/>
  <c r="M3289" i="1"/>
  <c r="L3289" i="1"/>
  <c r="DA3706" i="1"/>
  <c r="CY3706" i="1"/>
  <c r="CX3706" i="1"/>
  <c r="J3289" i="1"/>
  <c r="CW3706" i="1"/>
  <c r="BL3706" i="1"/>
  <c r="BK3706" i="1"/>
  <c r="DG3705" i="1"/>
  <c r="M1797" i="1"/>
  <c r="L1797" i="1"/>
  <c r="DA3705" i="1"/>
  <c r="CY3705" i="1"/>
  <c r="CX3705" i="1"/>
  <c r="J1797" i="1"/>
  <c r="BL3705" i="1"/>
  <c r="BK3705" i="1"/>
  <c r="DG3704" i="1"/>
  <c r="M3287" i="1"/>
  <c r="L3287" i="1"/>
  <c r="DA3704" i="1"/>
  <c r="CY3704" i="1"/>
  <c r="CX3704" i="1"/>
  <c r="J3287" i="1"/>
  <c r="CW3704" i="1"/>
  <c r="BL3704" i="1"/>
  <c r="BK3704" i="1"/>
  <c r="DG3703" i="1"/>
  <c r="M3286" i="1"/>
  <c r="L3286" i="1"/>
  <c r="DA3703" i="1"/>
  <c r="CY3703" i="1"/>
  <c r="CX3703" i="1"/>
  <c r="J3286" i="1"/>
  <c r="CW3703" i="1"/>
  <c r="BL3703" i="1"/>
  <c r="BK3703" i="1"/>
  <c r="DG3702" i="1"/>
  <c r="M3285" i="1"/>
  <c r="L3285" i="1"/>
  <c r="DA3702" i="1"/>
  <c r="CY3702" i="1"/>
  <c r="CX3702" i="1"/>
  <c r="J3285" i="1"/>
  <c r="CW3702" i="1"/>
  <c r="BL3702" i="1"/>
  <c r="BK3702" i="1"/>
  <c r="DG3701" i="1"/>
  <c r="M3283" i="1"/>
  <c r="L3283" i="1"/>
  <c r="DA3701" i="1"/>
  <c r="CY3701" i="1"/>
  <c r="CX3701" i="1"/>
  <c r="J3283" i="1"/>
  <c r="CW3701" i="1"/>
  <c r="BL3701" i="1"/>
  <c r="BK3701" i="1"/>
  <c r="DG3700" i="1"/>
  <c r="M3282" i="1"/>
  <c r="L3282" i="1"/>
  <c r="DA3700" i="1"/>
  <c r="CY3700" i="1"/>
  <c r="CX3700" i="1"/>
  <c r="J3282" i="1"/>
  <c r="CW3700" i="1"/>
  <c r="BL3700" i="1"/>
  <c r="BK3700" i="1"/>
  <c r="DG3699" i="1"/>
  <c r="M3281" i="1"/>
  <c r="L3281" i="1"/>
  <c r="DA3699" i="1"/>
  <c r="CY3699" i="1"/>
  <c r="CX3699" i="1"/>
  <c r="J3281" i="1"/>
  <c r="CW3699" i="1"/>
  <c r="BL3699" i="1"/>
  <c r="BK3699" i="1"/>
  <c r="DG3698" i="1"/>
  <c r="M1796" i="1"/>
  <c r="L1796" i="1"/>
  <c r="DA3698" i="1"/>
  <c r="CY3698" i="1"/>
  <c r="CX3698" i="1"/>
  <c r="J1796" i="1"/>
  <c r="BL3698" i="1"/>
  <c r="BK3698" i="1"/>
  <c r="DG3697" i="1"/>
  <c r="M1914" i="1"/>
  <c r="L1914" i="1"/>
  <c r="DA3697" i="1"/>
  <c r="CY3697" i="1"/>
  <c r="CX3697" i="1"/>
  <c r="J1914" i="1"/>
  <c r="BL3697" i="1"/>
  <c r="BK3697" i="1"/>
  <c r="DG3696" i="1"/>
  <c r="M3978" i="1"/>
  <c r="L3978" i="1"/>
  <c r="CY3696" i="1"/>
  <c r="CX3696" i="1"/>
  <c r="J3978" i="1"/>
  <c r="CW3696" i="1"/>
  <c r="BL3696" i="1"/>
  <c r="BK3696" i="1"/>
  <c r="DG3695" i="1"/>
  <c r="M1004" i="1"/>
  <c r="L1004" i="1"/>
  <c r="DA3695" i="1"/>
  <c r="CY3695" i="1"/>
  <c r="CX3695" i="1"/>
  <c r="J1004" i="1"/>
  <c r="BL3695" i="1"/>
  <c r="BK3695" i="1"/>
  <c r="DG3694" i="1"/>
  <c r="M1002" i="1"/>
  <c r="L1002" i="1"/>
  <c r="DA3694" i="1"/>
  <c r="CY3694" i="1"/>
  <c r="CX3694" i="1"/>
  <c r="J1002" i="1"/>
  <c r="BL3694" i="1"/>
  <c r="BK3694" i="1"/>
  <c r="DG3693" i="1"/>
  <c r="M3279" i="1"/>
  <c r="L3279" i="1"/>
  <c r="DA3693" i="1"/>
  <c r="CY3693" i="1"/>
  <c r="CX3693" i="1"/>
  <c r="J3279" i="1"/>
  <c r="CW3693" i="1"/>
  <c r="BL3693" i="1"/>
  <c r="BK3693" i="1"/>
  <c r="DG3692" i="1"/>
  <c r="M3277" i="1"/>
  <c r="L3277" i="1"/>
  <c r="DA3692" i="1"/>
  <c r="CY3692" i="1"/>
  <c r="CX3692" i="1"/>
  <c r="J3277" i="1"/>
  <c r="CW3692" i="1"/>
  <c r="BL3692" i="1"/>
  <c r="BK3692" i="1"/>
  <c r="DG3691" i="1"/>
  <c r="M1913" i="1"/>
  <c r="L1913" i="1"/>
  <c r="DA3691" i="1"/>
  <c r="CY3691" i="1"/>
  <c r="CX3691" i="1"/>
  <c r="J1913" i="1"/>
  <c r="BL3691" i="1"/>
  <c r="BK3691" i="1"/>
  <c r="DG3690" i="1"/>
  <c r="M3275" i="1"/>
  <c r="L3275" i="1"/>
  <c r="DA3690" i="1"/>
  <c r="CY3690" i="1"/>
  <c r="CX3690" i="1"/>
  <c r="J3275" i="1"/>
  <c r="CW3690" i="1"/>
  <c r="BL3690" i="1"/>
  <c r="BK3690" i="1"/>
  <c r="DG3689" i="1"/>
  <c r="M3273" i="1"/>
  <c r="L3273" i="1"/>
  <c r="DA3689" i="1"/>
  <c r="CY3689" i="1"/>
  <c r="CX3689" i="1"/>
  <c r="J3273" i="1"/>
  <c r="CW3689" i="1"/>
  <c r="BL3689" i="1"/>
  <c r="BK3689" i="1"/>
  <c r="DG3688" i="1"/>
  <c r="M3191" i="1"/>
  <c r="L3191" i="1"/>
  <c r="DA3688" i="1"/>
  <c r="CY3688" i="1"/>
  <c r="CX3688" i="1"/>
  <c r="J3191" i="1"/>
  <c r="BL3688" i="1"/>
  <c r="BK3688" i="1"/>
  <c r="DG3687" i="1"/>
  <c r="M1795" i="1"/>
  <c r="L1795" i="1"/>
  <c r="DA3687" i="1"/>
  <c r="CY3687" i="1"/>
  <c r="CX3687" i="1"/>
  <c r="J1795" i="1"/>
  <c r="BL3687" i="1"/>
  <c r="BK3687" i="1"/>
  <c r="DG3686" i="1"/>
  <c r="M1912" i="1"/>
  <c r="L1912" i="1"/>
  <c r="DA3686" i="1"/>
  <c r="CY3686" i="1"/>
  <c r="CX3686" i="1"/>
  <c r="J1912" i="1"/>
  <c r="BL3686" i="1"/>
  <c r="BK3686" i="1"/>
  <c r="DG3685" i="1"/>
  <c r="M3269" i="1"/>
  <c r="L3269" i="1"/>
  <c r="DA3685" i="1"/>
  <c r="CY3685" i="1"/>
  <c r="CX3685" i="1"/>
  <c r="J3269" i="1"/>
  <c r="CW3685" i="1"/>
  <c r="BL3685" i="1"/>
  <c r="BK3685" i="1"/>
  <c r="DG3684" i="1"/>
  <c r="M1911" i="1"/>
  <c r="L1911" i="1"/>
  <c r="DA3684" i="1"/>
  <c r="CY3684" i="1"/>
  <c r="CX3684" i="1"/>
  <c r="J1911" i="1"/>
  <c r="BL3684" i="1"/>
  <c r="BK3684" i="1"/>
  <c r="DG3683" i="1"/>
  <c r="M1916" i="1"/>
  <c r="L1916" i="1"/>
  <c r="DA3683" i="1"/>
  <c r="CY3683" i="1"/>
  <c r="CX3683" i="1"/>
  <c r="J1916" i="1"/>
  <c r="BL3683" i="1"/>
  <c r="BK3683" i="1"/>
  <c r="DG3682" i="1"/>
  <c r="M3266" i="1"/>
  <c r="L3266" i="1"/>
  <c r="DA3682" i="1"/>
  <c r="CY3682" i="1"/>
  <c r="CX3682" i="1"/>
  <c r="J3266" i="1"/>
  <c r="CW3682" i="1"/>
  <c r="BL3682" i="1"/>
  <c r="BK3682" i="1"/>
  <c r="DG3681" i="1"/>
  <c r="M1905" i="1"/>
  <c r="L1905" i="1"/>
  <c r="DA3681" i="1"/>
  <c r="CY3681" i="1"/>
  <c r="CX3681" i="1"/>
  <c r="J1905" i="1"/>
  <c r="BL3681" i="1"/>
  <c r="BK3681" i="1"/>
  <c r="DG3680" i="1"/>
  <c r="M1794" i="1"/>
  <c r="L1794" i="1"/>
  <c r="DA3680" i="1"/>
  <c r="CY3680" i="1"/>
  <c r="CX3680" i="1"/>
  <c r="J1794" i="1"/>
  <c r="BL3680" i="1"/>
  <c r="BK3680" i="1"/>
  <c r="DG3679" i="1"/>
  <c r="M1793" i="1"/>
  <c r="L1793" i="1"/>
  <c r="DA3679" i="1"/>
  <c r="CY3679" i="1"/>
  <c r="CX3679" i="1"/>
  <c r="J1793" i="1"/>
  <c r="BL3679" i="1"/>
  <c r="BK3679" i="1"/>
  <c r="DG3678" i="1"/>
  <c r="M1904" i="1"/>
  <c r="L1904" i="1"/>
  <c r="DA3678" i="1"/>
  <c r="CY3678" i="1"/>
  <c r="CX3678" i="1"/>
  <c r="J1904" i="1"/>
  <c r="BL3678" i="1"/>
  <c r="BK3678" i="1"/>
  <c r="DG3677" i="1"/>
  <c r="M1902" i="1"/>
  <c r="L1902" i="1"/>
  <c r="DA3677" i="1"/>
  <c r="CY3677" i="1"/>
  <c r="CX3677" i="1"/>
  <c r="J1902" i="1"/>
  <c r="BL3677" i="1"/>
  <c r="BK3677" i="1"/>
  <c r="DG3676" i="1"/>
  <c r="M1792" i="1"/>
  <c r="L1792" i="1"/>
  <c r="DA3676" i="1"/>
  <c r="CY3676" i="1"/>
  <c r="CX3676" i="1"/>
  <c r="J1792" i="1"/>
  <c r="BL3676" i="1"/>
  <c r="BK3676" i="1"/>
  <c r="DG3675" i="1"/>
  <c r="M1901" i="1"/>
  <c r="L1901" i="1"/>
  <c r="DA3675" i="1"/>
  <c r="CY3675" i="1"/>
  <c r="CX3675" i="1"/>
  <c r="J1901" i="1"/>
  <c r="BL3675" i="1"/>
  <c r="BK3675" i="1"/>
  <c r="DG3674" i="1"/>
  <c r="M3550" i="1"/>
  <c r="L3550" i="1"/>
  <c r="DA3674" i="1"/>
  <c r="CY3674" i="1"/>
  <c r="CX3674" i="1"/>
  <c r="J3550" i="1"/>
  <c r="CW3674" i="1"/>
  <c r="BL3674" i="1"/>
  <c r="BK3674" i="1"/>
  <c r="DG3673" i="1"/>
  <c r="M1900" i="1"/>
  <c r="L1900" i="1"/>
  <c r="DA3673" i="1"/>
  <c r="CY3673" i="1"/>
  <c r="CX3673" i="1"/>
  <c r="J1900" i="1"/>
  <c r="BL3673" i="1"/>
  <c r="BK3673" i="1"/>
  <c r="DG3672" i="1"/>
  <c r="M1791" i="1"/>
  <c r="L1791" i="1"/>
  <c r="DA3672" i="1"/>
  <c r="CY3672" i="1"/>
  <c r="CX3672" i="1"/>
  <c r="J1791" i="1"/>
  <c r="BL3672" i="1"/>
  <c r="BK3672" i="1"/>
  <c r="DG3671" i="1"/>
  <c r="M1899" i="1"/>
  <c r="L1899" i="1"/>
  <c r="DA3671" i="1"/>
  <c r="CY3671" i="1"/>
  <c r="CX3671" i="1"/>
  <c r="J1899" i="1"/>
  <c r="BL3671" i="1"/>
  <c r="BK3671" i="1"/>
  <c r="DG3670" i="1"/>
  <c r="M3583" i="1"/>
  <c r="L3583" i="1"/>
  <c r="DA3670" i="1"/>
  <c r="CY3670" i="1"/>
  <c r="CX3670" i="1"/>
  <c r="J3583" i="1"/>
  <c r="CW3670" i="1"/>
  <c r="BL3670" i="1"/>
  <c r="BK3670" i="1"/>
  <c r="DG3669" i="1"/>
  <c r="M1898" i="1"/>
  <c r="L1898" i="1"/>
  <c r="DA3669" i="1"/>
  <c r="CY3669" i="1"/>
  <c r="CX3669" i="1"/>
  <c r="J1898" i="1"/>
  <c r="BL3669" i="1"/>
  <c r="BK3669" i="1"/>
  <c r="DG3668" i="1"/>
  <c r="M1896" i="1"/>
  <c r="L1896" i="1"/>
  <c r="DA3668" i="1"/>
  <c r="CY3668" i="1"/>
  <c r="CX3668" i="1"/>
  <c r="J1896" i="1"/>
  <c r="BL3668" i="1"/>
  <c r="BK3668" i="1"/>
  <c r="DG3667" i="1"/>
  <c r="M3933" i="1"/>
  <c r="L3933" i="1"/>
  <c r="DA3667" i="1"/>
  <c r="CY3667" i="1"/>
  <c r="CX3667" i="1"/>
  <c r="J3933" i="1"/>
  <c r="CW3667" i="1"/>
  <c r="BL3667" i="1"/>
  <c r="BK3667" i="1"/>
  <c r="DG3666" i="1"/>
  <c r="M1895" i="1"/>
  <c r="L1895" i="1"/>
  <c r="DA3666" i="1"/>
  <c r="CY3666" i="1"/>
  <c r="CX3666" i="1"/>
  <c r="J1895" i="1"/>
  <c r="BL3666" i="1"/>
  <c r="BK3666" i="1"/>
  <c r="DG3665" i="1"/>
  <c r="M1790" i="1"/>
  <c r="L1790" i="1"/>
  <c r="DA3665" i="1"/>
  <c r="CY3665" i="1"/>
  <c r="CX3665" i="1"/>
  <c r="J1790" i="1"/>
  <c r="BL3665" i="1"/>
  <c r="BK3665" i="1"/>
  <c r="DG3664" i="1"/>
  <c r="M1789" i="1"/>
  <c r="L1789" i="1"/>
  <c r="DA3664" i="1"/>
  <c r="CY3664" i="1"/>
  <c r="CX3664" i="1"/>
  <c r="J1789" i="1"/>
  <c r="BL3664" i="1"/>
  <c r="BK3664" i="1"/>
  <c r="DG3663" i="1"/>
  <c r="M1008" i="1"/>
  <c r="L1008" i="1"/>
  <c r="DA3663" i="1"/>
  <c r="CY3663" i="1"/>
  <c r="CX3663" i="1"/>
  <c r="J1008" i="1"/>
  <c r="BL3663" i="1"/>
  <c r="BK3663" i="1"/>
  <c r="DG3662" i="1"/>
  <c r="M1894" i="1"/>
  <c r="L1894" i="1"/>
  <c r="DA3662" i="1"/>
  <c r="CY3662" i="1"/>
  <c r="CX3662" i="1"/>
  <c r="J1894" i="1"/>
  <c r="BL3662" i="1"/>
  <c r="BK3662" i="1"/>
  <c r="DG3661" i="1"/>
  <c r="M1893" i="1"/>
  <c r="L1893" i="1"/>
  <c r="DA3661" i="1"/>
  <c r="CY3661" i="1"/>
  <c r="CX3661" i="1"/>
  <c r="J1893" i="1"/>
  <c r="BL3661" i="1"/>
  <c r="BK3661" i="1"/>
  <c r="DG3660" i="1"/>
  <c r="M1788" i="1"/>
  <c r="L1788" i="1"/>
  <c r="DA3660" i="1"/>
  <c r="CY3660" i="1"/>
  <c r="CX3660" i="1"/>
  <c r="J1788" i="1"/>
  <c r="BL3660" i="1"/>
  <c r="BK3660" i="1"/>
  <c r="DG3659" i="1"/>
  <c r="M1892" i="1"/>
  <c r="L1892" i="1"/>
  <c r="DA3659" i="1"/>
  <c r="CY3659" i="1"/>
  <c r="CX3659" i="1"/>
  <c r="J1892" i="1"/>
  <c r="BL3659" i="1"/>
  <c r="BK3659" i="1"/>
  <c r="DG3658" i="1"/>
  <c r="M3925" i="1"/>
  <c r="L3925" i="1"/>
  <c r="DA3658" i="1"/>
  <c r="CY3658" i="1"/>
  <c r="CX3658" i="1"/>
  <c r="J3925" i="1"/>
  <c r="CW3658" i="1"/>
  <c r="BL3658" i="1"/>
  <c r="BK3658" i="1"/>
  <c r="DG3657" i="1"/>
  <c r="M1891" i="1"/>
  <c r="L1891" i="1"/>
  <c r="DA3657" i="1"/>
  <c r="CY3657" i="1"/>
  <c r="CX3657" i="1"/>
  <c r="J1891" i="1"/>
  <c r="BL3657" i="1"/>
  <c r="BK3657" i="1"/>
  <c r="DG3656" i="1"/>
  <c r="M1787" i="1"/>
  <c r="L1787" i="1"/>
  <c r="DA3656" i="1"/>
  <c r="CY3656" i="1"/>
  <c r="CX3656" i="1"/>
  <c r="J1787" i="1"/>
  <c r="BL3656" i="1"/>
  <c r="BK3656" i="1"/>
  <c r="DG3655" i="1"/>
  <c r="M1890" i="1"/>
  <c r="L1890" i="1"/>
  <c r="DA3655" i="1"/>
  <c r="CY3655" i="1"/>
  <c r="CX3655" i="1"/>
  <c r="J1890" i="1"/>
  <c r="BL3655" i="1"/>
  <c r="BK3655" i="1"/>
  <c r="DG3654" i="1"/>
  <c r="M3922" i="1"/>
  <c r="L3922" i="1"/>
  <c r="DA3654" i="1"/>
  <c r="CY3654" i="1"/>
  <c r="CX3654" i="1"/>
  <c r="J3922" i="1"/>
  <c r="CW3654" i="1"/>
  <c r="BL3654" i="1"/>
  <c r="BK3654" i="1"/>
  <c r="DG3653" i="1"/>
  <c r="M3634" i="1"/>
  <c r="L3634" i="1"/>
  <c r="DA3653" i="1"/>
  <c r="CY3653" i="1"/>
  <c r="CX3653" i="1"/>
  <c r="J3634" i="1"/>
  <c r="CW3653" i="1"/>
  <c r="BL3653" i="1"/>
  <c r="BK3653" i="1"/>
  <c r="DG3652" i="1"/>
  <c r="M3921" i="1"/>
  <c r="L3921" i="1"/>
  <c r="DA3652" i="1"/>
  <c r="CY3652" i="1"/>
  <c r="CX3652" i="1"/>
  <c r="J3921" i="1"/>
  <c r="CW3652" i="1"/>
  <c r="BL3652" i="1"/>
  <c r="BK3652" i="1"/>
  <c r="DG3651" i="1"/>
  <c r="M1889" i="1"/>
  <c r="L1889" i="1"/>
  <c r="DA3651" i="1"/>
  <c r="CY3651" i="1"/>
  <c r="CX3651" i="1"/>
  <c r="J1889" i="1"/>
  <c r="BL3651" i="1"/>
  <c r="BK3651" i="1"/>
  <c r="DG3650" i="1"/>
  <c r="M3920" i="1"/>
  <c r="L3920" i="1"/>
  <c r="DA3650" i="1"/>
  <c r="CY3650" i="1"/>
  <c r="CX3650" i="1"/>
  <c r="J3920" i="1"/>
  <c r="CW3650" i="1"/>
  <c r="BL3650" i="1"/>
  <c r="BK3650" i="1"/>
  <c r="DG3649" i="1"/>
  <c r="M3919" i="1"/>
  <c r="L3919" i="1"/>
  <c r="DA3649" i="1"/>
  <c r="CY3649" i="1"/>
  <c r="CX3649" i="1"/>
  <c r="J3919" i="1"/>
  <c r="CW3649" i="1"/>
  <c r="BL3649" i="1"/>
  <c r="BK3649" i="1"/>
  <c r="DG3648" i="1"/>
  <c r="M3923" i="1"/>
  <c r="L3923" i="1"/>
  <c r="DA3648" i="1"/>
  <c r="CY3648" i="1"/>
  <c r="CX3648" i="1"/>
  <c r="J3923" i="1"/>
  <c r="CW3648" i="1"/>
  <c r="BL3648" i="1"/>
  <c r="BK3648" i="1"/>
  <c r="DG3647" i="1"/>
  <c r="M3924" i="1"/>
  <c r="L3924" i="1"/>
  <c r="DA3647" i="1"/>
  <c r="CY3647" i="1"/>
  <c r="CX3647" i="1"/>
  <c r="J3924" i="1"/>
  <c r="CW3647" i="1"/>
  <c r="BL3647" i="1"/>
  <c r="BK3647" i="1"/>
  <c r="DG3646" i="1"/>
  <c r="M3636" i="1"/>
  <c r="L3636" i="1"/>
  <c r="DA3646" i="1"/>
  <c r="CY3646" i="1"/>
  <c r="CX3646" i="1"/>
  <c r="J3636" i="1"/>
  <c r="CW3646" i="1"/>
  <c r="BL3646" i="1"/>
  <c r="BK3646" i="1"/>
  <c r="DG3645" i="1"/>
  <c r="M3926" i="1"/>
  <c r="L3926" i="1"/>
  <c r="DA3645" i="1"/>
  <c r="CY3645" i="1"/>
  <c r="CX3645" i="1"/>
  <c r="J3926" i="1"/>
  <c r="CW3645" i="1"/>
  <c r="BL3645" i="1"/>
  <c r="BK3645" i="1"/>
  <c r="DG3644" i="1"/>
  <c r="M3927" i="1"/>
  <c r="L3927" i="1"/>
  <c r="DA3644" i="1"/>
  <c r="CY3644" i="1"/>
  <c r="CX3644" i="1"/>
  <c r="J3927" i="1"/>
  <c r="CW3644" i="1"/>
  <c r="BL3644" i="1"/>
  <c r="BK3644" i="1"/>
  <c r="DG3643" i="1"/>
  <c r="M3928" i="1"/>
  <c r="L3928" i="1"/>
  <c r="DA3643" i="1"/>
  <c r="CY3643" i="1"/>
  <c r="CX3643" i="1"/>
  <c r="J3928" i="1"/>
  <c r="CW3643" i="1"/>
  <c r="BL3643" i="1"/>
  <c r="BK3643" i="1"/>
  <c r="DG3642" i="1"/>
  <c r="M3929" i="1"/>
  <c r="L3929" i="1"/>
  <c r="DA3642" i="1"/>
  <c r="CY3642" i="1"/>
  <c r="CX3642" i="1"/>
  <c r="J3929" i="1"/>
  <c r="CW3642" i="1"/>
  <c r="BL3642" i="1"/>
  <c r="BK3642" i="1"/>
  <c r="DG3641" i="1"/>
  <c r="M3930" i="1"/>
  <c r="L3930" i="1"/>
  <c r="DA3641" i="1"/>
  <c r="CY3641" i="1"/>
  <c r="CX3641" i="1"/>
  <c r="J3930" i="1"/>
  <c r="CW3641" i="1"/>
  <c r="BL3641" i="1"/>
  <c r="BK3641" i="1"/>
  <c r="DG3640" i="1"/>
  <c r="M3931" i="1"/>
  <c r="L3931" i="1"/>
  <c r="DA3640" i="1"/>
  <c r="CY3640" i="1"/>
  <c r="CX3640" i="1"/>
  <c r="J3931" i="1"/>
  <c r="CW3640" i="1"/>
  <c r="BL3640" i="1"/>
  <c r="BK3640" i="1"/>
  <c r="DG3639" i="1"/>
  <c r="M3932" i="1"/>
  <c r="L3932" i="1"/>
  <c r="DA3639" i="1"/>
  <c r="CY3639" i="1"/>
  <c r="CX3639" i="1"/>
  <c r="J3932" i="1"/>
  <c r="CW3639" i="1"/>
  <c r="BL3639" i="1"/>
  <c r="BK3639" i="1"/>
  <c r="DG3638" i="1"/>
  <c r="M3574" i="1"/>
  <c r="L3574" i="1"/>
  <c r="DA3638" i="1"/>
  <c r="CY3638" i="1"/>
  <c r="CX3638" i="1"/>
  <c r="J3574" i="1"/>
  <c r="CW3638" i="1"/>
  <c r="BL3638" i="1"/>
  <c r="BK3638" i="1"/>
  <c r="DG3637" i="1"/>
  <c r="M3934" i="1"/>
  <c r="L3934" i="1"/>
  <c r="DA3637" i="1"/>
  <c r="CY3637" i="1"/>
  <c r="CX3637" i="1"/>
  <c r="J3934" i="1"/>
  <c r="CW3637" i="1"/>
  <c r="BL3637" i="1"/>
  <c r="BK3637" i="1"/>
  <c r="DG3636" i="1"/>
  <c r="M3935" i="1"/>
  <c r="L3935" i="1"/>
  <c r="DA3636" i="1"/>
  <c r="CY3636" i="1"/>
  <c r="CX3636" i="1"/>
  <c r="J3935" i="1"/>
  <c r="CW3636" i="1"/>
  <c r="BL3636" i="1"/>
  <c r="BK3636" i="1"/>
  <c r="DG3635" i="1"/>
  <c r="M3936" i="1"/>
  <c r="L3936" i="1"/>
  <c r="DA3635" i="1"/>
  <c r="CY3635" i="1"/>
  <c r="CX3635" i="1"/>
  <c r="J3936" i="1"/>
  <c r="CW3635" i="1"/>
  <c r="BL3635" i="1"/>
  <c r="BK3635" i="1"/>
  <c r="DG3634" i="1"/>
  <c r="M3584" i="1"/>
  <c r="L3584" i="1"/>
  <c r="DA3634" i="1"/>
  <c r="CY3634" i="1"/>
  <c r="CX3634" i="1"/>
  <c r="J3584" i="1"/>
  <c r="CW3634" i="1"/>
  <c r="BL3634" i="1"/>
  <c r="BK3634" i="1"/>
  <c r="DG3633" i="1"/>
  <c r="M3585" i="1"/>
  <c r="L3585" i="1"/>
  <c r="DA3633" i="1"/>
  <c r="CY3633" i="1"/>
  <c r="CX3633" i="1"/>
  <c r="J3585" i="1"/>
  <c r="CW3633" i="1"/>
  <c r="BL3633" i="1"/>
  <c r="BK3633" i="1"/>
  <c r="DG3632" i="1"/>
  <c r="M3552" i="1"/>
  <c r="L3552" i="1"/>
  <c r="DA3632" i="1"/>
  <c r="CY3632" i="1"/>
  <c r="CX3632" i="1"/>
  <c r="J3552" i="1"/>
  <c r="CW3632" i="1"/>
  <c r="BL3632" i="1"/>
  <c r="BK3632" i="1"/>
  <c r="DG3631" i="1"/>
  <c r="M3553" i="1"/>
  <c r="L3553" i="1"/>
  <c r="DA3631" i="1"/>
  <c r="CY3631" i="1"/>
  <c r="CX3631" i="1"/>
  <c r="J3553" i="1"/>
  <c r="CW3631" i="1"/>
  <c r="BL3631" i="1"/>
  <c r="BK3631" i="1"/>
  <c r="DG3630" i="1"/>
  <c r="M3591" i="1"/>
  <c r="L3591" i="1"/>
  <c r="DA3630" i="1"/>
  <c r="CY3630" i="1"/>
  <c r="CX3630" i="1"/>
  <c r="J3591" i="1"/>
  <c r="CW3630" i="1"/>
  <c r="BL3630" i="1"/>
  <c r="BK3630" i="1"/>
  <c r="DG3629" i="1"/>
  <c r="M3551" i="1"/>
  <c r="L3551" i="1"/>
  <c r="DA3629" i="1"/>
  <c r="CY3629" i="1"/>
  <c r="CX3629" i="1"/>
  <c r="J3551" i="1"/>
  <c r="CW3629" i="1"/>
  <c r="BL3629" i="1"/>
  <c r="BK3629" i="1"/>
  <c r="DG3628" i="1"/>
  <c r="M3554" i="1"/>
  <c r="L3554" i="1"/>
  <c r="DA3628" i="1"/>
  <c r="CY3628" i="1"/>
  <c r="CX3628" i="1"/>
  <c r="J3554" i="1"/>
  <c r="CW3628" i="1"/>
  <c r="BL3628" i="1"/>
  <c r="BK3628" i="1"/>
  <c r="DG3627" i="1"/>
  <c r="M3555" i="1"/>
  <c r="L3555" i="1"/>
  <c r="DA3627" i="1"/>
  <c r="CY3627" i="1"/>
  <c r="CX3627" i="1"/>
  <c r="J3555" i="1"/>
  <c r="CW3627" i="1"/>
  <c r="BL3627" i="1"/>
  <c r="BK3627" i="1"/>
  <c r="DG3626" i="1"/>
  <c r="M3556" i="1"/>
  <c r="L3556" i="1"/>
  <c r="DA3626" i="1"/>
  <c r="CY3626" i="1"/>
  <c r="CX3626" i="1"/>
  <c r="J3556" i="1"/>
  <c r="CW3626" i="1"/>
  <c r="BL3626" i="1"/>
  <c r="BK3626" i="1"/>
  <c r="DG3625" i="1"/>
  <c r="M3637" i="1"/>
  <c r="L3637" i="1"/>
  <c r="DA3625" i="1"/>
  <c r="CY3625" i="1"/>
  <c r="CX3625" i="1"/>
  <c r="J3637" i="1"/>
  <c r="CW3625" i="1"/>
  <c r="BL3625" i="1"/>
  <c r="BK3625" i="1"/>
  <c r="DG3624" i="1"/>
  <c r="M3638" i="1"/>
  <c r="L3638" i="1"/>
  <c r="DA3624" i="1"/>
  <c r="CY3624" i="1"/>
  <c r="CX3624" i="1"/>
  <c r="J3638" i="1"/>
  <c r="CW3624" i="1"/>
  <c r="BL3624" i="1"/>
  <c r="BK3624" i="1"/>
  <c r="DG3623" i="1"/>
  <c r="M3605" i="1"/>
  <c r="L3605" i="1"/>
  <c r="DA3623" i="1"/>
  <c r="CY3623" i="1"/>
  <c r="CX3623" i="1"/>
  <c r="J3605" i="1"/>
  <c r="CW3623" i="1"/>
  <c r="BL3623" i="1"/>
  <c r="BK3623" i="1"/>
  <c r="DG3622" i="1"/>
  <c r="M3607" i="1"/>
  <c r="L3607" i="1"/>
  <c r="DA3622" i="1"/>
  <c r="CY3622" i="1"/>
  <c r="CX3622" i="1"/>
  <c r="J3607" i="1"/>
  <c r="CW3622" i="1"/>
  <c r="BL3622" i="1"/>
  <c r="BK3622" i="1"/>
  <c r="DG3621" i="1"/>
  <c r="M3609" i="1"/>
  <c r="L3609" i="1"/>
  <c r="DA3621" i="1"/>
  <c r="CY3621" i="1"/>
  <c r="CX3621" i="1"/>
  <c r="J3609" i="1"/>
  <c r="CW3621" i="1"/>
  <c r="BL3621" i="1"/>
  <c r="BK3621" i="1"/>
  <c r="DG3620" i="1"/>
  <c r="M3267" i="1"/>
  <c r="L3267" i="1"/>
  <c r="DA3620" i="1"/>
  <c r="CY3620" i="1"/>
  <c r="CX3620" i="1"/>
  <c r="J3267" i="1"/>
  <c r="CW3620" i="1"/>
  <c r="BL3620" i="1"/>
  <c r="BK3620" i="1"/>
  <c r="DG3619" i="1"/>
  <c r="M3268" i="1"/>
  <c r="L3268" i="1"/>
  <c r="DA3619" i="1"/>
  <c r="CY3619" i="1"/>
  <c r="CX3619" i="1"/>
  <c r="J3268" i="1"/>
  <c r="CW3619" i="1"/>
  <c r="BL3619" i="1"/>
  <c r="BK3619" i="1"/>
  <c r="DG3618" i="1"/>
  <c r="M3615" i="1"/>
  <c r="L3615" i="1"/>
  <c r="DA3618" i="1"/>
  <c r="CY3618" i="1"/>
  <c r="CX3618" i="1"/>
  <c r="J3615" i="1"/>
  <c r="CW3618" i="1"/>
  <c r="BL3618" i="1"/>
  <c r="BK3618" i="1"/>
  <c r="DG3617" i="1"/>
  <c r="M3270" i="1"/>
  <c r="L3270" i="1"/>
  <c r="DA3617" i="1"/>
  <c r="CY3617" i="1"/>
  <c r="CX3617" i="1"/>
  <c r="J3270" i="1"/>
  <c r="CW3617" i="1"/>
  <c r="BL3617" i="1"/>
  <c r="BK3617" i="1"/>
  <c r="DG3616" i="1"/>
  <c r="M3271" i="1"/>
  <c r="L3271" i="1"/>
  <c r="DA3616" i="1"/>
  <c r="CY3616" i="1"/>
  <c r="CX3616" i="1"/>
  <c r="J3271" i="1"/>
  <c r="CW3616" i="1"/>
  <c r="BL3616" i="1"/>
  <c r="BK3616" i="1"/>
  <c r="DG3615" i="1"/>
  <c r="M3272" i="1"/>
  <c r="L3272" i="1"/>
  <c r="DA3615" i="1"/>
  <c r="CY3615" i="1"/>
  <c r="CX3615" i="1"/>
  <c r="J3272" i="1"/>
  <c r="CW3615" i="1"/>
  <c r="BL3615" i="1"/>
  <c r="BK3615" i="1"/>
  <c r="DG3614" i="1"/>
  <c r="M3623" i="1"/>
  <c r="L3623" i="1"/>
  <c r="DA3614" i="1"/>
  <c r="CY3614" i="1"/>
  <c r="CX3614" i="1"/>
  <c r="J3623" i="1"/>
  <c r="CW3614" i="1"/>
  <c r="BL3614" i="1"/>
  <c r="BK3614" i="1"/>
  <c r="DG3613" i="1"/>
  <c r="M3274" i="1"/>
  <c r="L3274" i="1"/>
  <c r="DA3613" i="1"/>
  <c r="CY3613" i="1"/>
  <c r="CX3613" i="1"/>
  <c r="J3274" i="1"/>
  <c r="CW3613" i="1"/>
  <c r="BL3613" i="1"/>
  <c r="BK3613" i="1"/>
  <c r="DG3612" i="1"/>
  <c r="M3627" i="1"/>
  <c r="L3627" i="1"/>
  <c r="DA3612" i="1"/>
  <c r="CY3612" i="1"/>
  <c r="CX3612" i="1"/>
  <c r="J3627" i="1"/>
  <c r="CW3612" i="1"/>
  <c r="BL3612" i="1"/>
  <c r="BK3612" i="1"/>
  <c r="DG3611" i="1"/>
  <c r="M3276" i="1"/>
  <c r="L3276" i="1"/>
  <c r="DA3611" i="1"/>
  <c r="CY3611" i="1"/>
  <c r="CX3611" i="1"/>
  <c r="J3276" i="1"/>
  <c r="CW3611" i="1"/>
  <c r="BL3611" i="1"/>
  <c r="BK3611" i="1"/>
  <c r="DG3610" i="1"/>
  <c r="M3631" i="1"/>
  <c r="L3631" i="1"/>
  <c r="DA3610" i="1"/>
  <c r="CY3610" i="1"/>
  <c r="CX3610" i="1"/>
  <c r="J3631" i="1"/>
  <c r="CW3610" i="1"/>
  <c r="BL3610" i="1"/>
  <c r="BK3610" i="1"/>
  <c r="DG3609" i="1"/>
  <c r="M3278" i="1"/>
  <c r="L3278" i="1"/>
  <c r="DA3609" i="1"/>
  <c r="CY3609" i="1"/>
  <c r="CX3609" i="1"/>
  <c r="J3278" i="1"/>
  <c r="CW3609" i="1"/>
  <c r="BL3609" i="1"/>
  <c r="BK3609" i="1"/>
  <c r="DG3608" i="1"/>
  <c r="M3647" i="1"/>
  <c r="L3647" i="1"/>
  <c r="DA3608" i="1"/>
  <c r="CY3608" i="1"/>
  <c r="CX3608" i="1"/>
  <c r="J3647" i="1"/>
  <c r="CW3608" i="1"/>
  <c r="BL3608" i="1"/>
  <c r="BK3608" i="1"/>
  <c r="DG3607" i="1"/>
  <c r="M3280" i="1"/>
  <c r="L3280" i="1"/>
  <c r="DA3607" i="1"/>
  <c r="CY3607" i="1"/>
  <c r="CX3607" i="1"/>
  <c r="J3280" i="1"/>
  <c r="CW3607" i="1"/>
  <c r="BL3607" i="1"/>
  <c r="BK3607" i="1"/>
  <c r="DG3606" i="1"/>
  <c r="M3651" i="1"/>
  <c r="L3651" i="1"/>
  <c r="DA3606" i="1"/>
  <c r="CY3606" i="1"/>
  <c r="CX3606" i="1"/>
  <c r="J3651" i="1"/>
  <c r="CW3606" i="1"/>
  <c r="BL3606" i="1"/>
  <c r="BK3606" i="1"/>
  <c r="DG3605" i="1"/>
  <c r="M3653" i="1"/>
  <c r="L3653" i="1"/>
  <c r="DA3605" i="1"/>
  <c r="CY3605" i="1"/>
  <c r="CX3605" i="1"/>
  <c r="J3653" i="1"/>
  <c r="CW3605" i="1"/>
  <c r="BL3605" i="1"/>
  <c r="BK3605" i="1"/>
  <c r="DG3604" i="1"/>
  <c r="M3655" i="1"/>
  <c r="L3655" i="1"/>
  <c r="DA3604" i="1"/>
  <c r="CY3604" i="1"/>
  <c r="CX3604" i="1"/>
  <c r="J3655" i="1"/>
  <c r="CW3604" i="1"/>
  <c r="BL3604" i="1"/>
  <c r="BK3604" i="1"/>
  <c r="DG3603" i="1"/>
  <c r="M3284" i="1"/>
  <c r="L3284" i="1"/>
  <c r="DA3603" i="1"/>
  <c r="CY3603" i="1"/>
  <c r="CX3603" i="1"/>
  <c r="J3284" i="1"/>
  <c r="CW3603" i="1"/>
  <c r="BL3603" i="1"/>
  <c r="BK3603" i="1"/>
  <c r="DG3602" i="1"/>
  <c r="M3659" i="1"/>
  <c r="L3659" i="1"/>
  <c r="DA3602" i="1"/>
  <c r="CY3602" i="1"/>
  <c r="CX3602" i="1"/>
  <c r="J3659" i="1"/>
  <c r="CW3602" i="1"/>
  <c r="BL3602" i="1"/>
  <c r="BK3602" i="1"/>
  <c r="DG3601" i="1"/>
  <c r="M3661" i="1"/>
  <c r="L3661" i="1"/>
  <c r="DA3601" i="1"/>
  <c r="CY3601" i="1"/>
  <c r="CX3601" i="1"/>
  <c r="J3661" i="1"/>
  <c r="CW3601" i="1"/>
  <c r="BL3601" i="1"/>
  <c r="BK3601" i="1"/>
  <c r="DG3600" i="1"/>
  <c r="M3663" i="1"/>
  <c r="L3663" i="1"/>
  <c r="DA3600" i="1"/>
  <c r="CY3600" i="1"/>
  <c r="CX3600" i="1"/>
  <c r="J3663" i="1"/>
  <c r="CW3600" i="1"/>
  <c r="BL3600" i="1"/>
  <c r="BK3600" i="1"/>
  <c r="DG3599" i="1"/>
  <c r="M3288" i="1"/>
  <c r="L3288" i="1"/>
  <c r="DA3599" i="1"/>
  <c r="CY3599" i="1"/>
  <c r="CX3599" i="1"/>
  <c r="J3288" i="1"/>
  <c r="CW3599" i="1"/>
  <c r="BL3599" i="1"/>
  <c r="BK3599" i="1"/>
  <c r="DG3598" i="1"/>
  <c r="M3667" i="1"/>
  <c r="L3667" i="1"/>
  <c r="DA3598" i="1"/>
  <c r="CY3598" i="1"/>
  <c r="CX3598" i="1"/>
  <c r="J3667" i="1"/>
  <c r="CW3598" i="1"/>
  <c r="BL3598" i="1"/>
  <c r="BK3598" i="1"/>
  <c r="DG3597" i="1"/>
  <c r="M3669" i="1"/>
  <c r="L3669" i="1"/>
  <c r="DA3597" i="1"/>
  <c r="CY3597" i="1"/>
  <c r="CX3597" i="1"/>
  <c r="J3669" i="1"/>
  <c r="CW3597" i="1"/>
  <c r="BL3597" i="1"/>
  <c r="BK3597" i="1"/>
  <c r="DG3596" i="1"/>
  <c r="M3671" i="1"/>
  <c r="L3671" i="1"/>
  <c r="DA3596" i="1"/>
  <c r="CY3596" i="1"/>
  <c r="CX3596" i="1"/>
  <c r="J3671" i="1"/>
  <c r="CW3596" i="1"/>
  <c r="BL3596" i="1"/>
  <c r="BK3596" i="1"/>
  <c r="DG3595" i="1"/>
  <c r="M3292" i="1"/>
  <c r="L3292" i="1"/>
  <c r="DA3595" i="1"/>
  <c r="CY3595" i="1"/>
  <c r="CX3595" i="1"/>
  <c r="J3292" i="1"/>
  <c r="CW3595" i="1"/>
  <c r="BL3595" i="1"/>
  <c r="BK3595" i="1"/>
  <c r="DG3594" i="1"/>
  <c r="M3675" i="1"/>
  <c r="L3675" i="1"/>
  <c r="DA3594" i="1"/>
  <c r="CY3594" i="1"/>
  <c r="CX3594" i="1"/>
  <c r="J3675" i="1"/>
  <c r="CW3594" i="1"/>
  <c r="BL3594" i="1"/>
  <c r="BK3594" i="1"/>
  <c r="DG3593" i="1"/>
  <c r="M3297" i="1"/>
  <c r="L3297" i="1"/>
  <c r="DA3593" i="1"/>
  <c r="CY3593" i="1"/>
  <c r="CX3593" i="1"/>
  <c r="J3297" i="1"/>
  <c r="CW3593" i="1"/>
  <c r="BL3593" i="1"/>
  <c r="BK3593" i="1"/>
  <c r="DG3592" i="1"/>
  <c r="M3679" i="1"/>
  <c r="L3679" i="1"/>
  <c r="DA3592" i="1"/>
  <c r="CY3592" i="1"/>
  <c r="CX3592" i="1"/>
  <c r="J3679" i="1"/>
  <c r="CW3592" i="1"/>
  <c r="BL3592" i="1"/>
  <c r="BK3592" i="1"/>
  <c r="DG3591" i="1"/>
  <c r="M3295" i="1"/>
  <c r="L3295" i="1"/>
  <c r="DA3591" i="1"/>
  <c r="CY3591" i="1"/>
  <c r="CX3591" i="1"/>
  <c r="J3295" i="1"/>
  <c r="CW3591" i="1"/>
  <c r="BL3591" i="1"/>
  <c r="BK3591" i="1"/>
  <c r="DG3590" i="1"/>
  <c r="M3683" i="1"/>
  <c r="L3683" i="1"/>
  <c r="DA3590" i="1"/>
  <c r="CY3590" i="1"/>
  <c r="CX3590" i="1"/>
  <c r="J3683" i="1"/>
  <c r="CW3590" i="1"/>
  <c r="BL3590" i="1"/>
  <c r="BK3590" i="1"/>
  <c r="DG3589" i="1"/>
  <c r="M3685" i="1"/>
  <c r="L3685" i="1"/>
  <c r="DA3589" i="1"/>
  <c r="CY3589" i="1"/>
  <c r="CX3589" i="1"/>
  <c r="J3685" i="1"/>
  <c r="CW3589" i="1"/>
  <c r="BL3589" i="1"/>
  <c r="BK3589" i="1"/>
  <c r="DG3588" i="1"/>
  <c r="M3687" i="1"/>
  <c r="L3687" i="1"/>
  <c r="DA3588" i="1"/>
  <c r="CY3588" i="1"/>
  <c r="CX3588" i="1"/>
  <c r="J3687" i="1"/>
  <c r="CW3588" i="1"/>
  <c r="BL3588" i="1"/>
  <c r="BK3588" i="1"/>
  <c r="DG3587" i="1"/>
  <c r="M3300" i="1"/>
  <c r="L3300" i="1"/>
  <c r="DA3587" i="1"/>
  <c r="CY3587" i="1"/>
  <c r="CX3587" i="1"/>
  <c r="J3300" i="1"/>
  <c r="CW3587" i="1"/>
  <c r="BL3587" i="1"/>
  <c r="BK3587" i="1"/>
  <c r="DG3586" i="1"/>
  <c r="M3691" i="1"/>
  <c r="L3691" i="1"/>
  <c r="DA3586" i="1"/>
  <c r="CY3586" i="1"/>
  <c r="CX3586" i="1"/>
  <c r="J3691" i="1"/>
  <c r="CW3586" i="1"/>
  <c r="BL3586" i="1"/>
  <c r="BK3586" i="1"/>
  <c r="DG3585" i="1"/>
  <c r="M3693" i="1"/>
  <c r="L3693" i="1"/>
  <c r="DA3585" i="1"/>
  <c r="CY3585" i="1"/>
  <c r="CX3585" i="1"/>
  <c r="J3693" i="1"/>
  <c r="CW3585" i="1"/>
  <c r="BL3585" i="1"/>
  <c r="BK3585" i="1"/>
  <c r="DG3584" i="1"/>
  <c r="M3695" i="1"/>
  <c r="L3695" i="1"/>
  <c r="DA3584" i="1"/>
  <c r="CY3584" i="1"/>
  <c r="CX3584" i="1"/>
  <c r="J3695" i="1"/>
  <c r="CW3584" i="1"/>
  <c r="BL3584" i="1"/>
  <c r="BK3584" i="1"/>
  <c r="DG3583" i="1"/>
  <c r="M3304" i="1"/>
  <c r="L3304" i="1"/>
  <c r="DA3583" i="1"/>
  <c r="CY3583" i="1"/>
  <c r="CX3583" i="1"/>
  <c r="J3304" i="1"/>
  <c r="CW3583" i="1"/>
  <c r="BL3583" i="1"/>
  <c r="BK3583" i="1"/>
  <c r="DG3582" i="1"/>
  <c r="M3699" i="1"/>
  <c r="L3699" i="1"/>
  <c r="DA3582" i="1"/>
  <c r="CY3582" i="1"/>
  <c r="CX3582" i="1"/>
  <c r="J3699" i="1"/>
  <c r="CW3582" i="1"/>
  <c r="BL3582" i="1"/>
  <c r="BK3582" i="1"/>
  <c r="DG3581" i="1"/>
  <c r="M3306" i="1"/>
  <c r="L3306" i="1"/>
  <c r="DA3581" i="1"/>
  <c r="CY3581" i="1"/>
  <c r="CX3581" i="1"/>
  <c r="J3306" i="1"/>
  <c r="CW3581" i="1"/>
  <c r="BL3581" i="1"/>
  <c r="BK3581" i="1"/>
  <c r="DG3580" i="1"/>
  <c r="M3307" i="1"/>
  <c r="L3307" i="1"/>
  <c r="DA3580" i="1"/>
  <c r="CY3580" i="1"/>
  <c r="CX3580" i="1"/>
  <c r="J3307" i="1"/>
  <c r="CW3580" i="1"/>
  <c r="BL3580" i="1"/>
  <c r="BK3580" i="1"/>
  <c r="DG3579" i="1"/>
  <c r="M3308" i="1"/>
  <c r="L3308" i="1"/>
  <c r="DA3579" i="1"/>
  <c r="CY3579" i="1"/>
  <c r="CX3579" i="1"/>
  <c r="J3308" i="1"/>
  <c r="CW3579" i="1"/>
  <c r="BL3579" i="1"/>
  <c r="BK3579" i="1"/>
  <c r="DG3578" i="1"/>
  <c r="M3309" i="1"/>
  <c r="L3309" i="1"/>
  <c r="DA3578" i="1"/>
  <c r="CY3578" i="1"/>
  <c r="CX3578" i="1"/>
  <c r="J3309" i="1"/>
  <c r="CW3578" i="1"/>
  <c r="BL3578" i="1"/>
  <c r="BK3578" i="1"/>
  <c r="DG3577" i="1"/>
  <c r="M3310" i="1"/>
  <c r="L3310" i="1"/>
  <c r="DA3577" i="1"/>
  <c r="CY3577" i="1"/>
  <c r="CX3577" i="1"/>
  <c r="J3310" i="1"/>
  <c r="CW3577" i="1"/>
  <c r="BL3577" i="1"/>
  <c r="BK3577" i="1"/>
  <c r="DG3576" i="1"/>
  <c r="M3311" i="1"/>
  <c r="L3311" i="1"/>
  <c r="DA3576" i="1"/>
  <c r="CY3576" i="1"/>
  <c r="CX3576" i="1"/>
  <c r="J3311" i="1"/>
  <c r="CW3576" i="1"/>
  <c r="BL3576" i="1"/>
  <c r="BK3576" i="1"/>
  <c r="DG3575" i="1"/>
  <c r="M3312" i="1"/>
  <c r="L3312" i="1"/>
  <c r="DA3575" i="1"/>
  <c r="CY3575" i="1"/>
  <c r="CX3575" i="1"/>
  <c r="J3312" i="1"/>
  <c r="CW3575" i="1"/>
  <c r="BL3575" i="1"/>
  <c r="BK3575" i="1"/>
  <c r="DG3574" i="1"/>
  <c r="M3715" i="1"/>
  <c r="L3715" i="1"/>
  <c r="DA3574" i="1"/>
  <c r="CY3574" i="1"/>
  <c r="CX3574" i="1"/>
  <c r="J3715" i="1"/>
  <c r="CW3574" i="1"/>
  <c r="BL3574" i="1"/>
  <c r="BK3574" i="1"/>
  <c r="DG3573" i="1"/>
  <c r="M3717" i="1"/>
  <c r="L3717" i="1"/>
  <c r="DA3573" i="1"/>
  <c r="CY3573" i="1"/>
  <c r="CX3573" i="1"/>
  <c r="J3717" i="1"/>
  <c r="CW3573" i="1"/>
  <c r="BL3573" i="1"/>
  <c r="BK3573" i="1"/>
  <c r="DG3572" i="1"/>
  <c r="M3314" i="1"/>
  <c r="L3314" i="1"/>
  <c r="DA3572" i="1"/>
  <c r="CY3572" i="1"/>
  <c r="CX3572" i="1"/>
  <c r="J3314" i="1"/>
  <c r="CW3572" i="1"/>
  <c r="BL3572" i="1"/>
  <c r="BK3572" i="1"/>
  <c r="DG3571" i="1"/>
  <c r="M3315" i="1"/>
  <c r="L3315" i="1"/>
  <c r="DA3571" i="1"/>
  <c r="CY3571" i="1"/>
  <c r="CX3571" i="1"/>
  <c r="J3315" i="1"/>
  <c r="CW3571" i="1"/>
  <c r="BL3571" i="1"/>
  <c r="BK3571" i="1"/>
  <c r="DG3570" i="1"/>
  <c r="M3723" i="1"/>
  <c r="L3723" i="1"/>
  <c r="DA3570" i="1"/>
  <c r="CY3570" i="1"/>
  <c r="CX3570" i="1"/>
  <c r="J3723" i="1"/>
  <c r="CW3570" i="1"/>
  <c r="BL3570" i="1"/>
  <c r="BK3570" i="1"/>
  <c r="DG3569" i="1"/>
  <c r="M3318" i="1"/>
  <c r="L3318" i="1"/>
  <c r="DA3569" i="1"/>
  <c r="CY3569" i="1"/>
  <c r="CX3569" i="1"/>
  <c r="J3318" i="1"/>
  <c r="CW3569" i="1"/>
  <c r="BL3569" i="1"/>
  <c r="BK3569" i="1"/>
  <c r="DG3568" i="1"/>
  <c r="M3319" i="1"/>
  <c r="L3319" i="1"/>
  <c r="DA3568" i="1"/>
  <c r="CY3568" i="1"/>
  <c r="CX3568" i="1"/>
  <c r="J3319" i="1"/>
  <c r="CW3568" i="1"/>
  <c r="BL3568" i="1"/>
  <c r="BK3568" i="1"/>
  <c r="DG3567" i="1"/>
  <c r="M3320" i="1"/>
  <c r="L3320" i="1"/>
  <c r="DA3567" i="1"/>
  <c r="CY3567" i="1"/>
  <c r="CX3567" i="1"/>
  <c r="J3320" i="1"/>
  <c r="CW3567" i="1"/>
  <c r="BL3567" i="1"/>
  <c r="BK3567" i="1"/>
  <c r="DG3566" i="1"/>
  <c r="M3731" i="1"/>
  <c r="L3731" i="1"/>
  <c r="DA3566" i="1"/>
  <c r="CY3566" i="1"/>
  <c r="CX3566" i="1"/>
  <c r="J3731" i="1"/>
  <c r="CW3566" i="1"/>
  <c r="BL3566" i="1"/>
  <c r="BK3566" i="1"/>
  <c r="DG3565" i="1"/>
  <c r="M3322" i="1"/>
  <c r="L3322" i="1"/>
  <c r="DA3565" i="1"/>
  <c r="CY3565" i="1"/>
  <c r="CX3565" i="1"/>
  <c r="J3322" i="1"/>
  <c r="CW3565" i="1"/>
  <c r="BL3565" i="1"/>
  <c r="BK3565" i="1"/>
  <c r="DG3564" i="1"/>
  <c r="M3323" i="1"/>
  <c r="L3323" i="1"/>
  <c r="DA3564" i="1"/>
  <c r="CY3564" i="1"/>
  <c r="CX3564" i="1"/>
  <c r="J3323" i="1"/>
  <c r="CW3564" i="1"/>
  <c r="BL3564" i="1"/>
  <c r="BK3564" i="1"/>
  <c r="DG3563" i="1"/>
  <c r="M3324" i="1"/>
  <c r="L3324" i="1"/>
  <c r="DA3563" i="1"/>
  <c r="CY3563" i="1"/>
  <c r="CX3563" i="1"/>
  <c r="J3324" i="1"/>
  <c r="CW3563" i="1"/>
  <c r="BL3563" i="1"/>
  <c r="BK3563" i="1"/>
  <c r="DG3562" i="1"/>
  <c r="M3328" i="1"/>
  <c r="L3328" i="1"/>
  <c r="DA3562" i="1"/>
  <c r="CY3562" i="1"/>
  <c r="CX3562" i="1"/>
  <c r="J3328" i="1"/>
  <c r="CW3562" i="1"/>
  <c r="BL3562" i="1"/>
  <c r="BK3562" i="1"/>
  <c r="DG3561" i="1"/>
  <c r="M3325" i="1"/>
  <c r="L3325" i="1"/>
  <c r="DA3561" i="1"/>
  <c r="CY3561" i="1"/>
  <c r="CX3561" i="1"/>
  <c r="J3325" i="1"/>
  <c r="CW3561" i="1"/>
  <c r="BL3561" i="1"/>
  <c r="BK3561" i="1"/>
  <c r="DG3560" i="1"/>
  <c r="M3326" i="1"/>
  <c r="L3326" i="1"/>
  <c r="DA3560" i="1"/>
  <c r="CY3560" i="1"/>
  <c r="CX3560" i="1"/>
  <c r="J3326" i="1"/>
  <c r="CW3560" i="1"/>
  <c r="BL3560" i="1"/>
  <c r="BK3560" i="1"/>
  <c r="DG3559" i="1"/>
  <c r="M3327" i="1"/>
  <c r="L3327" i="1"/>
  <c r="DA3559" i="1"/>
  <c r="CY3559" i="1"/>
  <c r="CX3559" i="1"/>
  <c r="J3327" i="1"/>
  <c r="CW3559" i="1"/>
  <c r="BL3559" i="1"/>
  <c r="BK3559" i="1"/>
  <c r="DG3558" i="1"/>
  <c r="M3747" i="1"/>
  <c r="L3747" i="1"/>
  <c r="DA3558" i="1"/>
  <c r="CY3558" i="1"/>
  <c r="CX3558" i="1"/>
  <c r="J3747" i="1"/>
  <c r="CW3558" i="1"/>
  <c r="BL3558" i="1"/>
  <c r="BK3558" i="1"/>
  <c r="DG3557" i="1"/>
  <c r="M3330" i="1"/>
  <c r="L3330" i="1"/>
  <c r="DA3557" i="1"/>
  <c r="CY3557" i="1"/>
  <c r="CX3557" i="1"/>
  <c r="J3330" i="1"/>
  <c r="CW3557" i="1"/>
  <c r="BL3557" i="1"/>
  <c r="BK3557" i="1"/>
  <c r="DG3556" i="1"/>
  <c r="M3332" i="1"/>
  <c r="L3332" i="1"/>
  <c r="DA3556" i="1"/>
  <c r="CY3556" i="1"/>
  <c r="CX3556" i="1"/>
  <c r="J3332" i="1"/>
  <c r="CW3556" i="1"/>
  <c r="BL3556" i="1"/>
  <c r="BK3556" i="1"/>
  <c r="DG3555" i="1"/>
  <c r="M3333" i="1"/>
  <c r="L3333" i="1"/>
  <c r="DA3555" i="1"/>
  <c r="CY3555" i="1"/>
  <c r="CX3555" i="1"/>
  <c r="J3333" i="1"/>
  <c r="CW3555" i="1"/>
  <c r="BL3555" i="1"/>
  <c r="BK3555" i="1"/>
  <c r="DG3554" i="1"/>
  <c r="M3755" i="1"/>
  <c r="L3755" i="1"/>
  <c r="DA3554" i="1"/>
  <c r="CY3554" i="1"/>
  <c r="CX3554" i="1"/>
  <c r="J3755" i="1"/>
  <c r="CW3554" i="1"/>
  <c r="BL3554" i="1"/>
  <c r="BK3554" i="1"/>
  <c r="DG3553" i="1"/>
  <c r="M3334" i="1"/>
  <c r="L3334" i="1"/>
  <c r="DA3553" i="1"/>
  <c r="CY3553" i="1"/>
  <c r="CX3553" i="1"/>
  <c r="J3334" i="1"/>
  <c r="CW3553" i="1"/>
  <c r="BL3553" i="1"/>
  <c r="BK3553" i="1"/>
  <c r="DG3552" i="1"/>
  <c r="M3335" i="1"/>
  <c r="L3335" i="1"/>
  <c r="DA3552" i="1"/>
  <c r="CY3552" i="1"/>
  <c r="CX3552" i="1"/>
  <c r="J3335" i="1"/>
  <c r="CW3552" i="1"/>
  <c r="BL3552" i="1"/>
  <c r="BK3552" i="1"/>
  <c r="DG3551" i="1"/>
  <c r="M3336" i="1"/>
  <c r="L3336" i="1"/>
  <c r="DA3551" i="1"/>
  <c r="CY3551" i="1"/>
  <c r="CX3551" i="1"/>
  <c r="J3336" i="1"/>
  <c r="CW3551" i="1"/>
  <c r="BL3551" i="1"/>
  <c r="BK3551" i="1"/>
  <c r="DG3550" i="1"/>
  <c r="M3763" i="1"/>
  <c r="L3763" i="1"/>
  <c r="DA3550" i="1"/>
  <c r="CY3550" i="1"/>
  <c r="CX3550" i="1"/>
  <c r="J3763" i="1"/>
  <c r="CW3550" i="1"/>
  <c r="BL3550" i="1"/>
  <c r="BK3550" i="1"/>
  <c r="DG3549" i="1"/>
  <c r="M3337" i="1"/>
  <c r="L3337" i="1"/>
  <c r="DA3549" i="1"/>
  <c r="CY3549" i="1"/>
  <c r="CX3549" i="1"/>
  <c r="J3337" i="1"/>
  <c r="CW3549" i="1"/>
  <c r="BL3549" i="1"/>
  <c r="BK3549" i="1"/>
  <c r="DG3548" i="1"/>
  <c r="M3338" i="1"/>
  <c r="L3338" i="1"/>
  <c r="DA3548" i="1"/>
  <c r="CY3548" i="1"/>
  <c r="CX3548" i="1"/>
  <c r="J3338" i="1"/>
  <c r="CW3548" i="1"/>
  <c r="BL3548" i="1"/>
  <c r="BK3548" i="1"/>
  <c r="DG3547" i="1"/>
  <c r="M3339" i="1"/>
  <c r="L3339" i="1"/>
  <c r="DA3547" i="1"/>
  <c r="CY3547" i="1"/>
  <c r="CX3547" i="1"/>
  <c r="J3339" i="1"/>
  <c r="CW3547" i="1"/>
  <c r="BL3547" i="1"/>
  <c r="BK3547" i="1"/>
  <c r="DG3546" i="1"/>
  <c r="M3340" i="1"/>
  <c r="L3340" i="1"/>
  <c r="DA3546" i="1"/>
  <c r="CY3546" i="1"/>
  <c r="CX3546" i="1"/>
  <c r="J3340" i="1"/>
  <c r="CW3546" i="1"/>
  <c r="BL3546" i="1"/>
  <c r="BK3546" i="1"/>
  <c r="DG3545" i="1"/>
  <c r="M3341" i="1"/>
  <c r="L3341" i="1"/>
  <c r="DA3545" i="1"/>
  <c r="CY3545" i="1"/>
  <c r="CX3545" i="1"/>
  <c r="J3341" i="1"/>
  <c r="CW3545" i="1"/>
  <c r="BL3545" i="1"/>
  <c r="BK3545" i="1"/>
  <c r="DG3544" i="1"/>
  <c r="M3343" i="1"/>
  <c r="L3343" i="1"/>
  <c r="DA3544" i="1"/>
  <c r="CY3544" i="1"/>
  <c r="CX3544" i="1"/>
  <c r="J3343" i="1"/>
  <c r="CW3544" i="1"/>
  <c r="BL3544" i="1"/>
  <c r="BK3544" i="1"/>
  <c r="DG3543" i="1"/>
  <c r="M3344" i="1"/>
  <c r="L3344" i="1"/>
  <c r="DA3543" i="1"/>
  <c r="CY3543" i="1"/>
  <c r="CX3543" i="1"/>
  <c r="J3344" i="1"/>
  <c r="CW3543" i="1"/>
  <c r="BL3543" i="1"/>
  <c r="BK3543" i="1"/>
  <c r="DG3542" i="1"/>
  <c r="M3779" i="1"/>
  <c r="L3779" i="1"/>
  <c r="DA3542" i="1"/>
  <c r="CY3542" i="1"/>
  <c r="CX3542" i="1"/>
  <c r="J3779" i="1"/>
  <c r="CW3542" i="1"/>
  <c r="BL3542" i="1"/>
  <c r="BK3542" i="1"/>
  <c r="DG3541" i="1"/>
  <c r="M3346" i="1"/>
  <c r="L3346" i="1"/>
  <c r="DA3541" i="1"/>
  <c r="CY3541" i="1"/>
  <c r="CX3541" i="1"/>
  <c r="J3346" i="1"/>
  <c r="CW3541" i="1"/>
  <c r="BL3541" i="1"/>
  <c r="BK3541" i="1"/>
  <c r="DG3540" i="1"/>
  <c r="M3783" i="1"/>
  <c r="L3783" i="1"/>
  <c r="DA3540" i="1"/>
  <c r="CY3540" i="1"/>
  <c r="CX3540" i="1"/>
  <c r="J3783" i="1"/>
  <c r="CW3540" i="1"/>
  <c r="BL3540" i="1"/>
  <c r="BK3540" i="1"/>
  <c r="DG3539" i="1"/>
  <c r="M3348" i="1"/>
  <c r="L3348" i="1"/>
  <c r="DA3539" i="1"/>
  <c r="CY3539" i="1"/>
  <c r="CX3539" i="1"/>
  <c r="J3348" i="1"/>
  <c r="CW3539" i="1"/>
  <c r="BL3539" i="1"/>
  <c r="BK3539" i="1"/>
  <c r="DG3538" i="1"/>
  <c r="M3788" i="1"/>
  <c r="L3788" i="1"/>
  <c r="DA3538" i="1"/>
  <c r="CY3538" i="1"/>
  <c r="CX3538" i="1"/>
  <c r="J3788" i="1"/>
  <c r="CW3538" i="1"/>
  <c r="BL3538" i="1"/>
  <c r="BK3538" i="1"/>
  <c r="DG3537" i="1"/>
  <c r="M3350" i="1"/>
  <c r="L3350" i="1"/>
  <c r="DA3537" i="1"/>
  <c r="CY3537" i="1"/>
  <c r="CX3537" i="1"/>
  <c r="J3350" i="1"/>
  <c r="CW3537" i="1"/>
  <c r="BL3537" i="1"/>
  <c r="BK3537" i="1"/>
  <c r="DG3536" i="1"/>
  <c r="M3351" i="1"/>
  <c r="L3351" i="1"/>
  <c r="DA3536" i="1"/>
  <c r="CY3536" i="1"/>
  <c r="CX3536" i="1"/>
  <c r="J3351" i="1"/>
  <c r="CW3536" i="1"/>
  <c r="BL3536" i="1"/>
  <c r="BK3536" i="1"/>
  <c r="DG3535" i="1"/>
  <c r="M3352" i="1"/>
  <c r="L3352" i="1"/>
  <c r="DA3535" i="1"/>
  <c r="CY3535" i="1"/>
  <c r="CX3535" i="1"/>
  <c r="J3352" i="1"/>
  <c r="CW3535" i="1"/>
  <c r="BL3535" i="1"/>
  <c r="BK3535" i="1"/>
  <c r="DG3534" i="1"/>
  <c r="M3800" i="1"/>
  <c r="L3800" i="1"/>
  <c r="DA3534" i="1"/>
  <c r="CY3534" i="1"/>
  <c r="CX3534" i="1"/>
  <c r="J3800" i="1"/>
  <c r="CW3534" i="1"/>
  <c r="BL3534" i="1"/>
  <c r="BK3534" i="1"/>
  <c r="DG3533" i="1"/>
  <c r="M3802" i="1"/>
  <c r="L3802" i="1"/>
  <c r="DA3533" i="1"/>
  <c r="CY3533" i="1"/>
  <c r="CX3533" i="1"/>
  <c r="J3802" i="1"/>
  <c r="CW3533" i="1"/>
  <c r="BL3533" i="1"/>
  <c r="BK3533" i="1"/>
  <c r="DG3532" i="1"/>
  <c r="M3804" i="1"/>
  <c r="L3804" i="1"/>
  <c r="DA3532" i="1"/>
  <c r="CY3532" i="1"/>
  <c r="CX3532" i="1"/>
  <c r="J3804" i="1"/>
  <c r="CW3532" i="1"/>
  <c r="BL3532" i="1"/>
  <c r="BK3532" i="1"/>
  <c r="DG3531" i="1"/>
  <c r="M3356" i="1"/>
  <c r="L3356" i="1"/>
  <c r="DA3531" i="1"/>
  <c r="CY3531" i="1"/>
  <c r="CX3531" i="1"/>
  <c r="J3356" i="1"/>
  <c r="CW3531" i="1"/>
  <c r="BL3531" i="1"/>
  <c r="BK3531" i="1"/>
  <c r="DG3530" i="1"/>
  <c r="M3808" i="1"/>
  <c r="L3808" i="1"/>
  <c r="DA3530" i="1"/>
  <c r="CY3530" i="1"/>
  <c r="CX3530" i="1"/>
  <c r="J3808" i="1"/>
  <c r="CW3530" i="1"/>
  <c r="BL3530" i="1"/>
  <c r="BK3530" i="1"/>
  <c r="DG3529" i="1"/>
  <c r="M3358" i="1"/>
  <c r="L3358" i="1"/>
  <c r="DA3529" i="1"/>
  <c r="CY3529" i="1"/>
  <c r="CX3529" i="1"/>
  <c r="J3358" i="1"/>
  <c r="CW3529" i="1"/>
  <c r="BL3529" i="1"/>
  <c r="BK3529" i="1"/>
  <c r="DG3528" i="1"/>
  <c r="M3812" i="1"/>
  <c r="L3812" i="1"/>
  <c r="DA3528" i="1"/>
  <c r="CY3528" i="1"/>
  <c r="CX3528" i="1"/>
  <c r="J3812" i="1"/>
  <c r="CW3528" i="1"/>
  <c r="BL3528" i="1"/>
  <c r="BK3528" i="1"/>
  <c r="DG3527" i="1"/>
  <c r="M3360" i="1"/>
  <c r="L3360" i="1"/>
  <c r="DA3527" i="1"/>
  <c r="CY3527" i="1"/>
  <c r="CX3527" i="1"/>
  <c r="J3360" i="1"/>
  <c r="CW3527" i="1"/>
  <c r="BL3527" i="1"/>
  <c r="BK3527" i="1"/>
  <c r="DG3526" i="1"/>
  <c r="M3816" i="1"/>
  <c r="L3816" i="1"/>
  <c r="DA3526" i="1"/>
  <c r="CY3526" i="1"/>
  <c r="CX3526" i="1"/>
  <c r="J3816" i="1"/>
  <c r="CW3526" i="1"/>
  <c r="BL3526" i="1"/>
  <c r="BK3526" i="1"/>
  <c r="DG3525" i="1"/>
  <c r="M3365" i="1"/>
  <c r="L3365" i="1"/>
  <c r="DA3525" i="1"/>
  <c r="CY3525" i="1"/>
  <c r="CX3525" i="1"/>
  <c r="J3365" i="1"/>
  <c r="CW3525" i="1"/>
  <c r="BL3525" i="1"/>
  <c r="BK3525" i="1"/>
  <c r="DG3524" i="1"/>
  <c r="M3820" i="1"/>
  <c r="L3820" i="1"/>
  <c r="DA3524" i="1"/>
  <c r="CY3524" i="1"/>
  <c r="CX3524" i="1"/>
  <c r="J3820" i="1"/>
  <c r="CW3524" i="1"/>
  <c r="BL3524" i="1"/>
  <c r="BK3524" i="1"/>
  <c r="DG3523" i="1"/>
  <c r="M3363" i="1"/>
  <c r="L3363" i="1"/>
  <c r="DA3523" i="1"/>
  <c r="CY3523" i="1"/>
  <c r="CX3523" i="1"/>
  <c r="J3363" i="1"/>
  <c r="CW3523" i="1"/>
  <c r="BL3523" i="1"/>
  <c r="BK3523" i="1"/>
  <c r="DG3522" i="1"/>
  <c r="M3824" i="1"/>
  <c r="L3824" i="1"/>
  <c r="DA3522" i="1"/>
  <c r="CY3522" i="1"/>
  <c r="CX3522" i="1"/>
  <c r="J3824" i="1"/>
  <c r="CW3522" i="1"/>
  <c r="BL3522" i="1"/>
  <c r="BK3522" i="1"/>
  <c r="DG3521" i="1"/>
  <c r="M3366" i="1"/>
  <c r="L3366" i="1"/>
  <c r="DA3521" i="1"/>
  <c r="CY3521" i="1"/>
  <c r="CX3521" i="1"/>
  <c r="J3366" i="1"/>
  <c r="CW3521" i="1"/>
  <c r="BL3521" i="1"/>
  <c r="BK3521" i="1"/>
  <c r="DG3520" i="1"/>
  <c r="M3367" i="1"/>
  <c r="L3367" i="1"/>
  <c r="DA3520" i="1"/>
  <c r="CY3520" i="1"/>
  <c r="CX3520" i="1"/>
  <c r="J3367" i="1"/>
  <c r="CW3520" i="1"/>
  <c r="BL3520" i="1"/>
  <c r="BK3520" i="1"/>
  <c r="DG3519" i="1"/>
  <c r="M3369" i="1"/>
  <c r="L3369" i="1"/>
  <c r="DA3519" i="1"/>
  <c r="CY3519" i="1"/>
  <c r="CX3519" i="1"/>
  <c r="J3369" i="1"/>
  <c r="CW3519" i="1"/>
  <c r="BL3519" i="1"/>
  <c r="BK3519" i="1"/>
  <c r="DG3518" i="1"/>
  <c r="M3837" i="1"/>
  <c r="L3837" i="1"/>
  <c r="DA3518" i="1"/>
  <c r="CY3518" i="1"/>
  <c r="CX3518" i="1"/>
  <c r="J3837" i="1"/>
  <c r="CW3518" i="1"/>
  <c r="BL3518" i="1"/>
  <c r="BK3518" i="1"/>
  <c r="DG3517" i="1"/>
  <c r="M3370" i="1"/>
  <c r="L3370" i="1"/>
  <c r="DA3517" i="1"/>
  <c r="CY3517" i="1"/>
  <c r="CX3517" i="1"/>
  <c r="J3370" i="1"/>
  <c r="CW3517" i="1"/>
  <c r="BL3517" i="1"/>
  <c r="BK3517" i="1"/>
  <c r="DG3516" i="1"/>
  <c r="M3371" i="1"/>
  <c r="L3371" i="1"/>
  <c r="DA3516" i="1"/>
  <c r="CY3516" i="1"/>
  <c r="CX3516" i="1"/>
  <c r="J3371" i="1"/>
  <c r="CW3516" i="1"/>
  <c r="BL3516" i="1"/>
  <c r="BK3516" i="1"/>
  <c r="DG3515" i="1"/>
  <c r="M3639" i="1"/>
  <c r="L3639" i="1"/>
  <c r="DA3515" i="1"/>
  <c r="CY3515" i="1"/>
  <c r="CX3515" i="1"/>
  <c r="J3639" i="1"/>
  <c r="CW3515" i="1"/>
  <c r="BL3515" i="1"/>
  <c r="BK3515" i="1"/>
  <c r="DG3514" i="1"/>
  <c r="M3640" i="1"/>
  <c r="L3640" i="1"/>
  <c r="DA3514" i="1"/>
  <c r="CY3514" i="1"/>
  <c r="CX3514" i="1"/>
  <c r="J3640" i="1"/>
  <c r="CW3514" i="1"/>
  <c r="BL3514" i="1"/>
  <c r="BK3514" i="1"/>
  <c r="DG3513" i="1"/>
  <c r="M3641" i="1"/>
  <c r="L3641" i="1"/>
  <c r="DA3513" i="1"/>
  <c r="CY3513" i="1"/>
  <c r="CX3513" i="1"/>
  <c r="J3641" i="1"/>
  <c r="CW3513" i="1"/>
  <c r="BL3513" i="1"/>
  <c r="BK3513" i="1"/>
  <c r="DG3512" i="1"/>
  <c r="M3642" i="1"/>
  <c r="L3642" i="1"/>
  <c r="DA3512" i="1"/>
  <c r="CY3512" i="1"/>
  <c r="CX3512" i="1"/>
  <c r="J3642" i="1"/>
  <c r="CW3512" i="1"/>
  <c r="BL3512" i="1"/>
  <c r="BK3512" i="1"/>
  <c r="DG3511" i="1"/>
  <c r="M3643" i="1"/>
  <c r="L3643" i="1"/>
  <c r="DA3511" i="1"/>
  <c r="CY3511" i="1"/>
  <c r="CX3511" i="1"/>
  <c r="J3643" i="1"/>
  <c r="CW3511" i="1"/>
  <c r="BL3511" i="1"/>
  <c r="BK3511" i="1"/>
  <c r="DG3510" i="1"/>
  <c r="M1887" i="1"/>
  <c r="L1887" i="1"/>
  <c r="DA3510" i="1"/>
  <c r="CY3510" i="1"/>
  <c r="CX3510" i="1"/>
  <c r="J1887" i="1"/>
  <c r="BL3510" i="1"/>
  <c r="BK3510" i="1"/>
  <c r="DG3509" i="1"/>
  <c r="M3372" i="1"/>
  <c r="L3372" i="1"/>
  <c r="DA3509" i="1"/>
  <c r="CY3509" i="1"/>
  <c r="CX3509" i="1"/>
  <c r="J3372" i="1"/>
  <c r="CW3509" i="1"/>
  <c r="BL3509" i="1"/>
  <c r="BK3509" i="1"/>
  <c r="DG3508" i="1"/>
  <c r="M89" i="1"/>
  <c r="L89" i="1"/>
  <c r="DA3508" i="1"/>
  <c r="CY3508" i="1"/>
  <c r="CX3508" i="1"/>
  <c r="J89" i="1"/>
  <c r="BL3508" i="1"/>
  <c r="BK3508" i="1"/>
  <c r="DG3507" i="1"/>
  <c r="M3374" i="1"/>
  <c r="L3374" i="1"/>
  <c r="DA3507" i="1"/>
  <c r="CY3507" i="1"/>
  <c r="CX3507" i="1"/>
  <c r="J3374" i="1"/>
  <c r="CW3507" i="1"/>
  <c r="BL3507" i="1"/>
  <c r="BK3507" i="1"/>
  <c r="DG3506" i="1"/>
  <c r="M741" i="1"/>
  <c r="L741" i="1"/>
  <c r="DA3506" i="1"/>
  <c r="CY3506" i="1"/>
  <c r="CX3506" i="1"/>
  <c r="J741" i="1"/>
  <c r="BL3506" i="1"/>
  <c r="BK3506" i="1"/>
  <c r="DG3505" i="1"/>
  <c r="M3376" i="1"/>
  <c r="L3376" i="1"/>
  <c r="DA3505" i="1"/>
  <c r="CY3505" i="1"/>
  <c r="CX3505" i="1"/>
  <c r="J3376" i="1"/>
  <c r="CW3505" i="1"/>
  <c r="BL3505" i="1"/>
  <c r="BK3505" i="1"/>
  <c r="DG3504" i="1"/>
  <c r="M3377" i="1"/>
  <c r="L3377" i="1"/>
  <c r="DA3504" i="1"/>
  <c r="CY3504" i="1"/>
  <c r="CX3504" i="1"/>
  <c r="J3377" i="1"/>
  <c r="CW3504" i="1"/>
  <c r="BL3504" i="1"/>
  <c r="BK3504" i="1"/>
  <c r="DG3503" i="1"/>
  <c r="M3378" i="1"/>
  <c r="L3378" i="1"/>
  <c r="DA3503" i="1"/>
  <c r="CY3503" i="1"/>
  <c r="CX3503" i="1"/>
  <c r="J3378" i="1"/>
  <c r="CW3503" i="1"/>
  <c r="BL3503" i="1"/>
  <c r="BK3503" i="1"/>
  <c r="DG3502" i="1"/>
  <c r="M1056" i="1"/>
  <c r="L1056" i="1"/>
  <c r="DA3502" i="1"/>
  <c r="CY3502" i="1"/>
  <c r="CX3502" i="1"/>
  <c r="J1056" i="1"/>
  <c r="BL3502" i="1"/>
  <c r="BK3502" i="1"/>
  <c r="DG3501" i="1"/>
  <c r="M3380" i="1"/>
  <c r="L3380" i="1"/>
  <c r="DA3501" i="1"/>
  <c r="CY3501" i="1"/>
  <c r="CX3501" i="1"/>
  <c r="J3380" i="1"/>
  <c r="CW3501" i="1"/>
  <c r="BL3501" i="1"/>
  <c r="BK3501" i="1"/>
  <c r="DG3500" i="1"/>
  <c r="M3381" i="1"/>
  <c r="L3381" i="1"/>
  <c r="DA3500" i="1"/>
  <c r="CY3500" i="1"/>
  <c r="CX3500" i="1"/>
  <c r="J3381" i="1"/>
  <c r="CW3500" i="1"/>
  <c r="BL3500" i="1"/>
  <c r="BK3500" i="1"/>
  <c r="DG3499" i="1"/>
  <c r="M3382" i="1"/>
  <c r="L3382" i="1"/>
  <c r="DA3499" i="1"/>
  <c r="CY3499" i="1"/>
  <c r="CX3499" i="1"/>
  <c r="J3382" i="1"/>
  <c r="CW3499" i="1"/>
  <c r="BL3499" i="1"/>
  <c r="BK3499" i="1"/>
  <c r="DG3498" i="1"/>
  <c r="M3383" i="1"/>
  <c r="L3383" i="1"/>
  <c r="DA3498" i="1"/>
  <c r="CY3498" i="1"/>
  <c r="CX3498" i="1"/>
  <c r="J3383" i="1"/>
  <c r="CW3498" i="1"/>
  <c r="BL3498" i="1"/>
  <c r="BK3498" i="1"/>
  <c r="DG3497" i="1"/>
  <c r="M3384" i="1"/>
  <c r="L3384" i="1"/>
  <c r="DA3497" i="1"/>
  <c r="CY3497" i="1"/>
  <c r="CX3497" i="1"/>
  <c r="J3384" i="1"/>
  <c r="CW3497" i="1"/>
  <c r="BL3497" i="1"/>
  <c r="BK3497" i="1"/>
  <c r="DG3496" i="1"/>
  <c r="M3385" i="1"/>
  <c r="L3385" i="1"/>
  <c r="DA3496" i="1"/>
  <c r="CY3496" i="1"/>
  <c r="CX3496" i="1"/>
  <c r="J3385" i="1"/>
  <c r="CW3496" i="1"/>
  <c r="BL3496" i="1"/>
  <c r="BK3496" i="1"/>
  <c r="DG3495" i="1"/>
  <c r="M3386" i="1"/>
  <c r="L3386" i="1"/>
  <c r="DA3495" i="1"/>
  <c r="CY3495" i="1"/>
  <c r="CX3495" i="1"/>
  <c r="J3386" i="1"/>
  <c r="CW3495" i="1"/>
  <c r="BL3495" i="1"/>
  <c r="BK3495" i="1"/>
  <c r="DG3494" i="1"/>
  <c r="M1072" i="1"/>
  <c r="L1072" i="1"/>
  <c r="DA3494" i="1"/>
  <c r="CY3494" i="1"/>
  <c r="CX3494" i="1"/>
  <c r="J1072" i="1"/>
  <c r="BL3494" i="1"/>
  <c r="BK3494" i="1"/>
  <c r="DG3493" i="1"/>
  <c r="M3388" i="1"/>
  <c r="L3388" i="1"/>
  <c r="DA3493" i="1"/>
  <c r="CY3493" i="1"/>
  <c r="CX3493" i="1"/>
  <c r="J3388" i="1"/>
  <c r="CW3493" i="1"/>
  <c r="BL3493" i="1"/>
  <c r="BK3493" i="1"/>
  <c r="DG3492" i="1"/>
  <c r="M3389" i="1"/>
  <c r="L3389" i="1"/>
  <c r="DA3492" i="1"/>
  <c r="CY3492" i="1"/>
  <c r="CX3492" i="1"/>
  <c r="J3389" i="1"/>
  <c r="CW3492" i="1"/>
  <c r="BL3492" i="1"/>
  <c r="BK3492" i="1"/>
  <c r="DG3491" i="1"/>
  <c r="M3390" i="1"/>
  <c r="L3390" i="1"/>
  <c r="DA3491" i="1"/>
  <c r="CY3491" i="1"/>
  <c r="CX3491" i="1"/>
  <c r="J3390" i="1"/>
  <c r="CW3491" i="1"/>
  <c r="BL3491" i="1"/>
  <c r="BK3491" i="1"/>
  <c r="DG3490" i="1"/>
  <c r="M1080" i="1"/>
  <c r="L1080" i="1"/>
  <c r="DA3490" i="1"/>
  <c r="CY3490" i="1"/>
  <c r="CX3490" i="1"/>
  <c r="J1080" i="1"/>
  <c r="BL3490" i="1"/>
  <c r="BK3490" i="1"/>
  <c r="DG3489" i="1"/>
  <c r="M3392" i="1"/>
  <c r="L3392" i="1"/>
  <c r="DA3489" i="1"/>
  <c r="CY3489" i="1"/>
  <c r="CX3489" i="1"/>
  <c r="J3392" i="1"/>
  <c r="CW3489" i="1"/>
  <c r="BL3489" i="1"/>
  <c r="BK3489" i="1"/>
  <c r="DG3488" i="1"/>
  <c r="M3393" i="1"/>
  <c r="L3393" i="1"/>
  <c r="DA3488" i="1"/>
  <c r="CY3488" i="1"/>
  <c r="CX3488" i="1"/>
  <c r="J3393" i="1"/>
  <c r="CW3488" i="1"/>
  <c r="BL3488" i="1"/>
  <c r="BK3488" i="1"/>
  <c r="DG3487" i="1"/>
  <c r="M3394" i="1"/>
  <c r="L3394" i="1"/>
  <c r="DA3487" i="1"/>
  <c r="CY3487" i="1"/>
  <c r="CX3487" i="1"/>
  <c r="J3394" i="1"/>
  <c r="CW3487" i="1"/>
  <c r="BL3487" i="1"/>
  <c r="BK3487" i="1"/>
  <c r="DG3486" i="1"/>
  <c r="M1088" i="1"/>
  <c r="L1088" i="1"/>
  <c r="DA3486" i="1"/>
  <c r="CY3486" i="1"/>
  <c r="CX3486" i="1"/>
  <c r="J1088" i="1"/>
  <c r="BL3486" i="1"/>
  <c r="BK3486" i="1"/>
  <c r="DG3485" i="1"/>
  <c r="M3396" i="1"/>
  <c r="L3396" i="1"/>
  <c r="DA3485" i="1"/>
  <c r="CY3485" i="1"/>
  <c r="CX3485" i="1"/>
  <c r="J3396" i="1"/>
  <c r="CW3485" i="1"/>
  <c r="BL3485" i="1"/>
  <c r="BK3485" i="1"/>
  <c r="DG3484" i="1"/>
  <c r="M3397" i="1"/>
  <c r="L3397" i="1"/>
  <c r="DA3484" i="1"/>
  <c r="CY3484" i="1"/>
  <c r="CX3484" i="1"/>
  <c r="J3397" i="1"/>
  <c r="CW3484" i="1"/>
  <c r="BL3484" i="1"/>
  <c r="BK3484" i="1"/>
  <c r="DG3483" i="1"/>
  <c r="M3398" i="1"/>
  <c r="L3398" i="1"/>
  <c r="DA3483" i="1"/>
  <c r="CY3483" i="1"/>
  <c r="CX3483" i="1"/>
  <c r="J3398" i="1"/>
  <c r="CW3483" i="1"/>
  <c r="BL3483" i="1"/>
  <c r="BK3483" i="1"/>
  <c r="DG3482" i="1"/>
  <c r="M3399" i="1"/>
  <c r="L3399" i="1"/>
  <c r="DA3482" i="1"/>
  <c r="CY3482" i="1"/>
  <c r="CX3482" i="1"/>
  <c r="J3399" i="1"/>
  <c r="CW3482" i="1"/>
  <c r="BL3482" i="1"/>
  <c r="BK3482" i="1"/>
  <c r="DG3481" i="1"/>
  <c r="M3400" i="1"/>
  <c r="L3400" i="1"/>
  <c r="DA3481" i="1"/>
  <c r="CY3481" i="1"/>
  <c r="CX3481" i="1"/>
  <c r="J3400" i="1"/>
  <c r="CW3481" i="1"/>
  <c r="BL3481" i="1"/>
  <c r="BK3481" i="1"/>
  <c r="DG3480" i="1"/>
  <c r="M3401" i="1"/>
  <c r="L3401" i="1"/>
  <c r="DA3480" i="1"/>
  <c r="CY3480" i="1"/>
  <c r="CX3480" i="1"/>
  <c r="J3401" i="1"/>
  <c r="CW3480" i="1"/>
  <c r="BL3480" i="1"/>
  <c r="BK3480" i="1"/>
  <c r="DG3479" i="1"/>
  <c r="M3402" i="1"/>
  <c r="L3402" i="1"/>
  <c r="DA3479" i="1"/>
  <c r="CY3479" i="1"/>
  <c r="CX3479" i="1"/>
  <c r="J3402" i="1"/>
  <c r="CW3479" i="1"/>
  <c r="BL3479" i="1"/>
  <c r="BK3479" i="1"/>
  <c r="DG3478" i="1"/>
  <c r="M1888" i="1"/>
  <c r="L1888" i="1"/>
  <c r="DA3478" i="1"/>
  <c r="CY3478" i="1"/>
  <c r="CX3478" i="1"/>
  <c r="J1888" i="1"/>
  <c r="BL3478" i="1"/>
  <c r="BK3478" i="1"/>
  <c r="DG3477" i="1"/>
  <c r="M3918" i="1"/>
  <c r="L3918" i="1"/>
  <c r="DA3477" i="1"/>
  <c r="CY3477" i="1"/>
  <c r="CX3477" i="1"/>
  <c r="J3918" i="1"/>
  <c r="CW3477" i="1"/>
  <c r="BL3477" i="1"/>
  <c r="BK3477" i="1"/>
  <c r="DG3476" i="1"/>
  <c r="M3538" i="1"/>
  <c r="L3538" i="1"/>
  <c r="DA3476" i="1"/>
  <c r="CY3476" i="1"/>
  <c r="CX3476" i="1"/>
  <c r="J3538" i="1"/>
  <c r="CW3476" i="1"/>
  <c r="BL3476" i="1"/>
  <c r="BK3476" i="1"/>
  <c r="DG3475" i="1"/>
  <c r="M3917" i="1"/>
  <c r="L3917" i="1"/>
  <c r="DA3475" i="1"/>
  <c r="CY3475" i="1"/>
  <c r="CX3475" i="1"/>
  <c r="J3917" i="1"/>
  <c r="CW3475" i="1"/>
  <c r="BL3475" i="1"/>
  <c r="BK3475" i="1"/>
  <c r="DG3474" i="1"/>
  <c r="M1886" i="1"/>
  <c r="L1886" i="1"/>
  <c r="DA3474" i="1"/>
  <c r="CY3474" i="1"/>
  <c r="CX3474" i="1"/>
  <c r="J1886" i="1"/>
  <c r="BL3474" i="1"/>
  <c r="BK3474" i="1"/>
  <c r="DG3473" i="1"/>
  <c r="M1786" i="1"/>
  <c r="L1786" i="1"/>
  <c r="DA3473" i="1"/>
  <c r="CY3473" i="1"/>
  <c r="CX3473" i="1"/>
  <c r="J1786" i="1"/>
  <c r="BL3473" i="1"/>
  <c r="BK3473" i="1"/>
  <c r="DG3472" i="1"/>
  <c r="M1785" i="1"/>
  <c r="L1785" i="1"/>
  <c r="DA3472" i="1"/>
  <c r="CY3472" i="1"/>
  <c r="CX3472" i="1"/>
  <c r="J1785" i="1"/>
  <c r="BL3472" i="1"/>
  <c r="BK3472" i="1"/>
  <c r="DG3471" i="1"/>
  <c r="M3916" i="1"/>
  <c r="L3916" i="1"/>
  <c r="DA3471" i="1"/>
  <c r="CY3471" i="1"/>
  <c r="CX3471" i="1"/>
  <c r="J3916" i="1"/>
  <c r="CW3471" i="1"/>
  <c r="BL3471" i="1"/>
  <c r="BK3471" i="1"/>
  <c r="DG3470" i="1"/>
  <c r="M3915" i="1"/>
  <c r="L3915" i="1"/>
  <c r="DA3470" i="1"/>
  <c r="CY3470" i="1"/>
  <c r="CX3470" i="1"/>
  <c r="J3915" i="1"/>
  <c r="CW3470" i="1"/>
  <c r="BL3470" i="1"/>
  <c r="BK3470" i="1"/>
  <c r="DG3469" i="1"/>
  <c r="M1885" i="1"/>
  <c r="L1885" i="1"/>
  <c r="DA3469" i="1"/>
  <c r="CY3469" i="1"/>
  <c r="CX3469" i="1"/>
  <c r="J1885" i="1"/>
  <c r="BL3469" i="1"/>
  <c r="BK3469" i="1"/>
  <c r="DG3468" i="1"/>
  <c r="M3914" i="1"/>
  <c r="L3914" i="1"/>
  <c r="DA3468" i="1"/>
  <c r="CY3468" i="1"/>
  <c r="CX3468" i="1"/>
  <c r="J3914" i="1"/>
  <c r="CW3468" i="1"/>
  <c r="BL3468" i="1"/>
  <c r="BK3468" i="1"/>
  <c r="DG3467" i="1"/>
  <c r="M3913" i="1"/>
  <c r="L3913" i="1"/>
  <c r="DA3467" i="1"/>
  <c r="CY3467" i="1"/>
  <c r="CX3467" i="1"/>
  <c r="J3913" i="1"/>
  <c r="CW3467" i="1"/>
  <c r="BL3467" i="1"/>
  <c r="BK3467" i="1"/>
  <c r="DG3466" i="1"/>
  <c r="M1884" i="1"/>
  <c r="L1884" i="1"/>
  <c r="DA3466" i="1"/>
  <c r="CY3466" i="1"/>
  <c r="CX3466" i="1"/>
  <c r="J1884" i="1"/>
  <c r="BL3466" i="1"/>
  <c r="BK3466" i="1"/>
  <c r="DG3465" i="1"/>
  <c r="M1784" i="1"/>
  <c r="L1784" i="1"/>
  <c r="DA3465" i="1"/>
  <c r="CY3465" i="1"/>
  <c r="CX3465" i="1"/>
  <c r="J1784" i="1"/>
  <c r="BL3465" i="1"/>
  <c r="BK3465" i="1"/>
  <c r="DG3464" i="1"/>
  <c r="M3912" i="1"/>
  <c r="L3912" i="1"/>
  <c r="DA3464" i="1"/>
  <c r="CY3464" i="1"/>
  <c r="CX3464" i="1"/>
  <c r="J3912" i="1"/>
  <c r="CW3464" i="1"/>
  <c r="BL3464" i="1"/>
  <c r="BK3464" i="1"/>
  <c r="DG3463" i="1"/>
  <c r="M3911" i="1"/>
  <c r="L3911" i="1"/>
  <c r="DA3463" i="1"/>
  <c r="CY3463" i="1"/>
  <c r="CX3463" i="1"/>
  <c r="J3911" i="1"/>
  <c r="CW3463" i="1"/>
  <c r="BL3463" i="1"/>
  <c r="BK3463" i="1"/>
  <c r="DG3462" i="1"/>
  <c r="M1883" i="1"/>
  <c r="L1883" i="1"/>
  <c r="DA3462" i="1"/>
  <c r="CY3462" i="1"/>
  <c r="CX3462" i="1"/>
  <c r="J1883" i="1"/>
  <c r="BL3462" i="1"/>
  <c r="BK3462" i="1"/>
  <c r="DG3461" i="1"/>
  <c r="M3910" i="1"/>
  <c r="L3910" i="1"/>
  <c r="DA3461" i="1"/>
  <c r="CY3461" i="1"/>
  <c r="CX3461" i="1"/>
  <c r="J3910" i="1"/>
  <c r="CW3461" i="1"/>
  <c r="BL3461" i="1"/>
  <c r="BK3461" i="1"/>
  <c r="DG3460" i="1"/>
  <c r="M3524" i="1"/>
  <c r="L3524" i="1"/>
  <c r="DA3460" i="1"/>
  <c r="CY3460" i="1"/>
  <c r="CX3460" i="1"/>
  <c r="J3524" i="1"/>
  <c r="CW3460" i="1"/>
  <c r="BL3460" i="1"/>
  <c r="BK3460" i="1"/>
  <c r="DG3459" i="1"/>
  <c r="M3909" i="1"/>
  <c r="L3909" i="1"/>
  <c r="DA3459" i="1"/>
  <c r="CY3459" i="1"/>
  <c r="CX3459" i="1"/>
  <c r="J3909" i="1"/>
  <c r="CW3459" i="1"/>
  <c r="BL3459" i="1"/>
  <c r="BK3459" i="1"/>
  <c r="DG3458" i="1"/>
  <c r="M1882" i="1"/>
  <c r="L1882" i="1"/>
  <c r="DA3458" i="1"/>
  <c r="CY3458" i="1"/>
  <c r="CX3458" i="1"/>
  <c r="J1882" i="1"/>
  <c r="BL3458" i="1"/>
  <c r="BK3458" i="1"/>
  <c r="DG3457" i="1"/>
  <c r="M1783" i="1"/>
  <c r="L1783" i="1"/>
  <c r="DA3457" i="1"/>
  <c r="CY3457" i="1"/>
  <c r="CX3457" i="1"/>
  <c r="J1783" i="1"/>
  <c r="BL3457" i="1"/>
  <c r="BK3457" i="1"/>
  <c r="DG3456" i="1"/>
  <c r="M3908" i="1"/>
  <c r="L3908" i="1"/>
  <c r="DA3456" i="1"/>
  <c r="CY3456" i="1"/>
  <c r="CX3456" i="1"/>
  <c r="J3908" i="1"/>
  <c r="CW3456" i="1"/>
  <c r="BL3456" i="1"/>
  <c r="BK3456" i="1"/>
  <c r="DG3455" i="1"/>
  <c r="M3907" i="1"/>
  <c r="L3907" i="1"/>
  <c r="DA3455" i="1"/>
  <c r="CY3455" i="1"/>
  <c r="CX3455" i="1"/>
  <c r="J3907" i="1"/>
  <c r="CW3455" i="1"/>
  <c r="BL3455" i="1"/>
  <c r="BK3455" i="1"/>
  <c r="DG3454" i="1"/>
  <c r="M75" i="1"/>
  <c r="L75" i="1"/>
  <c r="DA3454" i="1"/>
  <c r="CY3454" i="1"/>
  <c r="CX3454" i="1"/>
  <c r="J75" i="1"/>
  <c r="BL3454" i="1"/>
  <c r="BK3454" i="1"/>
  <c r="DG3453" i="1"/>
  <c r="M3906" i="1"/>
  <c r="L3906" i="1"/>
  <c r="DA3453" i="1"/>
  <c r="CY3453" i="1"/>
  <c r="CX3453" i="1"/>
  <c r="J3906" i="1"/>
  <c r="CW3453" i="1"/>
  <c r="BL3453" i="1"/>
  <c r="BK3453" i="1"/>
  <c r="DG3452" i="1"/>
  <c r="M3516" i="1"/>
  <c r="L3516" i="1"/>
  <c r="DA3452" i="1"/>
  <c r="CY3452" i="1"/>
  <c r="CX3452" i="1"/>
  <c r="J3516" i="1"/>
  <c r="CW3452" i="1"/>
  <c r="BL3452" i="1"/>
  <c r="BK3452" i="1"/>
  <c r="DG3451" i="1"/>
  <c r="M3905" i="1"/>
  <c r="L3905" i="1"/>
  <c r="DA3451" i="1"/>
  <c r="CY3451" i="1"/>
  <c r="CX3451" i="1"/>
  <c r="J3905" i="1"/>
  <c r="CW3451" i="1"/>
  <c r="BL3451" i="1"/>
  <c r="BK3451" i="1"/>
  <c r="DG3450" i="1"/>
  <c r="M1880" i="1"/>
  <c r="L1880" i="1"/>
  <c r="DA3450" i="1"/>
  <c r="CY3450" i="1"/>
  <c r="CX3450" i="1"/>
  <c r="J1880" i="1"/>
  <c r="BL3450" i="1"/>
  <c r="BK3450" i="1"/>
  <c r="DG3449" i="1"/>
  <c r="M3904" i="1"/>
  <c r="L3904" i="1"/>
  <c r="DA3449" i="1"/>
  <c r="CY3449" i="1"/>
  <c r="CX3449" i="1"/>
  <c r="J3904" i="1"/>
  <c r="CW3449" i="1"/>
  <c r="BL3449" i="1"/>
  <c r="BK3449" i="1"/>
  <c r="DG3448" i="1"/>
  <c r="M3512" i="1"/>
  <c r="L3512" i="1"/>
  <c r="DA3448" i="1"/>
  <c r="CY3448" i="1"/>
  <c r="CX3448" i="1"/>
  <c r="J3512" i="1"/>
  <c r="CW3448" i="1"/>
  <c r="BL3448" i="1"/>
  <c r="BK3448" i="1"/>
  <c r="DG3447" i="1"/>
  <c r="M3903" i="1"/>
  <c r="L3903" i="1"/>
  <c r="DA3447" i="1"/>
  <c r="CY3447" i="1"/>
  <c r="CX3447" i="1"/>
  <c r="J3903" i="1"/>
  <c r="CW3447" i="1"/>
  <c r="BL3447" i="1"/>
  <c r="BK3447" i="1"/>
  <c r="DG3446" i="1"/>
  <c r="M3902" i="1"/>
  <c r="L3902" i="1"/>
  <c r="DA3446" i="1"/>
  <c r="CY3446" i="1"/>
  <c r="CX3446" i="1"/>
  <c r="J3902" i="1"/>
  <c r="CW3446" i="1"/>
  <c r="BL3446" i="1"/>
  <c r="BK3446" i="1"/>
  <c r="DG3445" i="1"/>
  <c r="M3508" i="1"/>
  <c r="L3508" i="1"/>
  <c r="DA3445" i="1"/>
  <c r="CY3445" i="1"/>
  <c r="CX3445" i="1"/>
  <c r="J3508" i="1"/>
  <c r="CW3445" i="1"/>
  <c r="BL3445" i="1"/>
  <c r="BK3445" i="1"/>
  <c r="DG3444" i="1"/>
  <c r="M3901" i="1"/>
  <c r="L3901" i="1"/>
  <c r="DA3444" i="1"/>
  <c r="CY3444" i="1"/>
  <c r="CX3444" i="1"/>
  <c r="J3901" i="1"/>
  <c r="CW3444" i="1"/>
  <c r="BL3444" i="1"/>
  <c r="BK3444" i="1"/>
  <c r="DG3443" i="1"/>
  <c r="M1879" i="1"/>
  <c r="L1879" i="1"/>
  <c r="DA3443" i="1"/>
  <c r="CY3443" i="1"/>
  <c r="CX3443" i="1"/>
  <c r="J1879" i="1"/>
  <c r="BL3443" i="1"/>
  <c r="BK3443" i="1"/>
  <c r="DG3442" i="1"/>
  <c r="M1878" i="1"/>
  <c r="L1878" i="1"/>
  <c r="DA3442" i="1"/>
  <c r="CY3442" i="1"/>
  <c r="CX3442" i="1"/>
  <c r="J1878" i="1"/>
  <c r="BL3442" i="1"/>
  <c r="BK3442" i="1"/>
  <c r="DG3441" i="1"/>
  <c r="M1881" i="1"/>
  <c r="L1881" i="1"/>
  <c r="DA3441" i="1"/>
  <c r="CY3441" i="1"/>
  <c r="CX3441" i="1"/>
  <c r="J1881" i="1"/>
  <c r="BL3441" i="1"/>
  <c r="BK3441" i="1"/>
  <c r="DG3440" i="1"/>
  <c r="M3979" i="1"/>
  <c r="L3979" i="1"/>
  <c r="CY3440" i="1"/>
  <c r="CX3440" i="1"/>
  <c r="J3979" i="1"/>
  <c r="CW3440" i="1"/>
  <c r="BL3440" i="1"/>
  <c r="BK3440" i="1"/>
  <c r="DG3439" i="1"/>
  <c r="M1007" i="1"/>
  <c r="L1007" i="1"/>
  <c r="DA3439" i="1"/>
  <c r="CY3439" i="1"/>
  <c r="CX3439" i="1"/>
  <c r="J1007" i="1"/>
  <c r="BL3439" i="1"/>
  <c r="BK3439" i="1"/>
  <c r="DG3438" i="1"/>
  <c r="M3900" i="1"/>
  <c r="L3900" i="1"/>
  <c r="DA3438" i="1"/>
  <c r="CY3438" i="1"/>
  <c r="CX3438" i="1"/>
  <c r="J3900" i="1"/>
  <c r="CW3438" i="1"/>
  <c r="BL3438" i="1"/>
  <c r="BK3438" i="1"/>
  <c r="DG3437" i="1"/>
  <c r="M3899" i="1"/>
  <c r="L3899" i="1"/>
  <c r="DA3437" i="1"/>
  <c r="CY3437" i="1"/>
  <c r="CX3437" i="1"/>
  <c r="J3899" i="1"/>
  <c r="CW3437" i="1"/>
  <c r="BL3437" i="1"/>
  <c r="BK3437" i="1"/>
  <c r="DG3436" i="1"/>
  <c r="M1877" i="1"/>
  <c r="L1877" i="1"/>
  <c r="DA3436" i="1"/>
  <c r="CY3436" i="1"/>
  <c r="CX3436" i="1"/>
  <c r="J1877" i="1"/>
  <c r="BL3436" i="1"/>
  <c r="BK3436" i="1"/>
  <c r="DG3435" i="1"/>
  <c r="M3898" i="1"/>
  <c r="L3898" i="1"/>
  <c r="DA3435" i="1"/>
  <c r="CY3435" i="1"/>
  <c r="CX3435" i="1"/>
  <c r="J3898" i="1"/>
  <c r="CW3435" i="1"/>
  <c r="BL3435" i="1"/>
  <c r="BK3435" i="1"/>
  <c r="DG3434" i="1"/>
  <c r="M3501" i="1"/>
  <c r="L3501" i="1"/>
  <c r="DA3434" i="1"/>
  <c r="CY3434" i="1"/>
  <c r="CX3434" i="1"/>
  <c r="J3501" i="1"/>
  <c r="CW3434" i="1"/>
  <c r="BL3434" i="1"/>
  <c r="BK3434" i="1"/>
  <c r="DG3433" i="1"/>
  <c r="M3897" i="1"/>
  <c r="L3897" i="1"/>
  <c r="DA3433" i="1"/>
  <c r="CY3433" i="1"/>
  <c r="CX3433" i="1"/>
  <c r="J3897" i="1"/>
  <c r="CW3433" i="1"/>
  <c r="BL3433" i="1"/>
  <c r="BK3433" i="1"/>
  <c r="DG3432" i="1"/>
  <c r="M1876" i="1"/>
  <c r="L1876" i="1"/>
  <c r="DA3432" i="1"/>
  <c r="CY3432" i="1"/>
  <c r="CX3432" i="1"/>
  <c r="J1876" i="1"/>
  <c r="BL3432" i="1"/>
  <c r="BK3432" i="1"/>
  <c r="DG3431" i="1"/>
  <c r="M3896" i="1"/>
  <c r="L3896" i="1"/>
  <c r="DA3431" i="1"/>
  <c r="CY3431" i="1"/>
  <c r="CX3431" i="1"/>
  <c r="J3896" i="1"/>
  <c r="CW3431" i="1"/>
  <c r="BL3431" i="1"/>
  <c r="BK3431" i="1"/>
  <c r="DG3430" i="1"/>
  <c r="M3499" i="1"/>
  <c r="L3499" i="1"/>
  <c r="DA3430" i="1"/>
  <c r="CY3430" i="1"/>
  <c r="CX3430" i="1"/>
  <c r="J3499" i="1"/>
  <c r="CW3430" i="1"/>
  <c r="BL3430" i="1"/>
  <c r="BK3430" i="1"/>
  <c r="DG3429" i="1"/>
  <c r="M3895" i="1"/>
  <c r="L3895" i="1"/>
  <c r="DA3429" i="1"/>
  <c r="CY3429" i="1"/>
  <c r="CX3429" i="1"/>
  <c r="J3895" i="1"/>
  <c r="CW3429" i="1"/>
  <c r="BL3429" i="1"/>
  <c r="BK3429" i="1"/>
  <c r="DG3428" i="1"/>
  <c r="M3894" i="1"/>
  <c r="L3894" i="1"/>
  <c r="DA3428" i="1"/>
  <c r="CY3428" i="1"/>
  <c r="CX3428" i="1"/>
  <c r="J3894" i="1"/>
  <c r="CW3428" i="1"/>
  <c r="BL3428" i="1"/>
  <c r="BK3428" i="1"/>
  <c r="DG3427" i="1"/>
  <c r="M3797" i="1"/>
  <c r="L3797" i="1"/>
  <c r="DA3427" i="1"/>
  <c r="CY3427" i="1"/>
  <c r="CX3427" i="1"/>
  <c r="J3797" i="1"/>
  <c r="CW3427" i="1"/>
  <c r="BL3427" i="1"/>
  <c r="BK3427" i="1"/>
  <c r="DG3426" i="1"/>
  <c r="M3893" i="1"/>
  <c r="L3893" i="1"/>
  <c r="DA3426" i="1"/>
  <c r="CY3426" i="1"/>
  <c r="CX3426" i="1"/>
  <c r="J3893" i="1"/>
  <c r="CW3426" i="1"/>
  <c r="BL3426" i="1"/>
  <c r="BK3426" i="1"/>
  <c r="DG3425" i="1"/>
  <c r="M1875" i="1"/>
  <c r="L1875" i="1"/>
  <c r="DA3425" i="1"/>
  <c r="CY3425" i="1"/>
  <c r="CX3425" i="1"/>
  <c r="J1875" i="1"/>
  <c r="BL3425" i="1"/>
  <c r="BK3425" i="1"/>
  <c r="DG3424" i="1"/>
  <c r="M1874" i="1"/>
  <c r="L1874" i="1"/>
  <c r="DA3424" i="1"/>
  <c r="CY3424" i="1"/>
  <c r="CX3424" i="1"/>
  <c r="J1874" i="1"/>
  <c r="BL3424" i="1"/>
  <c r="BK3424" i="1"/>
  <c r="DG3423" i="1"/>
  <c r="M3892" i="1"/>
  <c r="L3892" i="1"/>
  <c r="DA3423" i="1"/>
  <c r="CY3423" i="1"/>
  <c r="CX3423" i="1"/>
  <c r="J3892" i="1"/>
  <c r="CW3423" i="1"/>
  <c r="BL3423" i="1"/>
  <c r="BK3423" i="1"/>
  <c r="DG3422" i="1"/>
  <c r="M3891" i="1"/>
  <c r="L3891" i="1"/>
  <c r="DA3422" i="1"/>
  <c r="CY3422" i="1"/>
  <c r="CX3422" i="1"/>
  <c r="J3891" i="1"/>
  <c r="CW3422" i="1"/>
  <c r="BL3422" i="1"/>
  <c r="BK3422" i="1"/>
  <c r="DG3421" i="1"/>
  <c r="M1873" i="1"/>
  <c r="L1873" i="1"/>
  <c r="DA3421" i="1"/>
  <c r="CY3421" i="1"/>
  <c r="CX3421" i="1"/>
  <c r="J1873" i="1"/>
  <c r="BL3421" i="1"/>
  <c r="BK3421" i="1"/>
  <c r="DG3420" i="1"/>
  <c r="M3890" i="1"/>
  <c r="L3890" i="1"/>
  <c r="DA3420" i="1"/>
  <c r="CY3420" i="1"/>
  <c r="CX3420" i="1"/>
  <c r="J3890" i="1"/>
  <c r="CW3420" i="1"/>
  <c r="BL3420" i="1"/>
  <c r="BK3420" i="1"/>
  <c r="DG3419" i="1"/>
  <c r="M1314" i="1"/>
  <c r="L1314" i="1"/>
  <c r="DA3419" i="1"/>
  <c r="CY3419" i="1"/>
  <c r="CX3419" i="1"/>
  <c r="J1314" i="1"/>
  <c r="BL3419" i="1"/>
  <c r="BK3419" i="1"/>
  <c r="DG3418" i="1"/>
  <c r="M3889" i="1"/>
  <c r="L3889" i="1"/>
  <c r="DA3418" i="1"/>
  <c r="CY3418" i="1"/>
  <c r="CX3418" i="1"/>
  <c r="J3889" i="1"/>
  <c r="CW3418" i="1"/>
  <c r="BL3418" i="1"/>
  <c r="BK3418" i="1"/>
  <c r="DG3417" i="1"/>
  <c r="M1872" i="1"/>
  <c r="L1872" i="1"/>
  <c r="DA3417" i="1"/>
  <c r="CY3417" i="1"/>
  <c r="CX3417" i="1"/>
  <c r="J1872" i="1"/>
  <c r="BL3417" i="1"/>
  <c r="BK3417" i="1"/>
  <c r="DG3416" i="1"/>
  <c r="M3888" i="1"/>
  <c r="L3888" i="1"/>
  <c r="DA3416" i="1"/>
  <c r="CY3416" i="1"/>
  <c r="CX3416" i="1"/>
  <c r="J3888" i="1"/>
  <c r="CW3416" i="1"/>
  <c r="BL3416" i="1"/>
  <c r="BK3416" i="1"/>
  <c r="DG3415" i="1"/>
  <c r="M1306" i="1"/>
  <c r="L1306" i="1"/>
  <c r="DA3415" i="1"/>
  <c r="CY3415" i="1"/>
  <c r="CX3415" i="1"/>
  <c r="J1306" i="1"/>
  <c r="BL3415" i="1"/>
  <c r="BK3415" i="1"/>
  <c r="DG3414" i="1"/>
  <c r="M3887" i="1"/>
  <c r="L3887" i="1"/>
  <c r="DA3414" i="1"/>
  <c r="CY3414" i="1"/>
  <c r="CX3414" i="1"/>
  <c r="J3887" i="1"/>
  <c r="CW3414" i="1"/>
  <c r="BL3414" i="1"/>
  <c r="BK3414" i="1"/>
  <c r="DG3413" i="1"/>
  <c r="M3495" i="1"/>
  <c r="L3495" i="1"/>
  <c r="DA3413" i="1"/>
  <c r="CY3413" i="1"/>
  <c r="CX3413" i="1"/>
  <c r="J3495" i="1"/>
  <c r="CW3413" i="1"/>
  <c r="BL3413" i="1"/>
  <c r="BK3413" i="1"/>
  <c r="DG3412" i="1"/>
  <c r="M3493" i="1"/>
  <c r="L3493" i="1"/>
  <c r="DA3412" i="1"/>
  <c r="CY3412" i="1"/>
  <c r="CX3412" i="1"/>
  <c r="J3493" i="1"/>
  <c r="CW3412" i="1"/>
  <c r="BL3412" i="1"/>
  <c r="BK3412" i="1"/>
  <c r="DG3411" i="1"/>
  <c r="M3886" i="1"/>
  <c r="L3886" i="1"/>
  <c r="DA3411" i="1"/>
  <c r="CY3411" i="1"/>
  <c r="CX3411" i="1"/>
  <c r="J3886" i="1"/>
  <c r="CW3411" i="1"/>
  <c r="BL3411" i="1"/>
  <c r="BK3411" i="1"/>
  <c r="DG3410" i="1"/>
  <c r="M3885" i="1"/>
  <c r="L3885" i="1"/>
  <c r="DA3410" i="1"/>
  <c r="CY3410" i="1"/>
  <c r="CX3410" i="1"/>
  <c r="J3885" i="1"/>
  <c r="CW3410" i="1"/>
  <c r="BL3410" i="1"/>
  <c r="BK3410" i="1"/>
  <c r="DG3409" i="1"/>
  <c r="M1871" i="1"/>
  <c r="L1871" i="1"/>
  <c r="DA3409" i="1"/>
  <c r="CY3409" i="1"/>
  <c r="CX3409" i="1"/>
  <c r="J1871" i="1"/>
  <c r="BL3409" i="1"/>
  <c r="BK3409" i="1"/>
  <c r="DG3408" i="1"/>
  <c r="M1870" i="1"/>
  <c r="L1870" i="1"/>
  <c r="DA3408" i="1"/>
  <c r="CY3408" i="1"/>
  <c r="CX3408" i="1"/>
  <c r="J1870" i="1"/>
  <c r="BL3408" i="1"/>
  <c r="BK3408" i="1"/>
  <c r="DG3407" i="1"/>
  <c r="M3884" i="1"/>
  <c r="L3884" i="1"/>
  <c r="DA3407" i="1"/>
  <c r="CY3407" i="1"/>
  <c r="CX3407" i="1"/>
  <c r="J3884" i="1"/>
  <c r="CW3407" i="1"/>
  <c r="BL3407" i="1"/>
  <c r="BK3407" i="1"/>
  <c r="DG3406" i="1"/>
  <c r="M3883" i="1"/>
  <c r="L3883" i="1"/>
  <c r="DA3406" i="1"/>
  <c r="CY3406" i="1"/>
  <c r="CX3406" i="1"/>
  <c r="J3883" i="1"/>
  <c r="CW3406" i="1"/>
  <c r="BL3406" i="1"/>
  <c r="BK3406" i="1"/>
  <c r="DG3405" i="1"/>
  <c r="M1869" i="1"/>
  <c r="L1869" i="1"/>
  <c r="DA3405" i="1"/>
  <c r="CY3405" i="1"/>
  <c r="CX3405" i="1"/>
  <c r="J1869" i="1"/>
  <c r="BL3405" i="1"/>
  <c r="BK3405" i="1"/>
  <c r="DG3404" i="1"/>
  <c r="M3882" i="1"/>
  <c r="L3882" i="1"/>
  <c r="DA3404" i="1"/>
  <c r="CY3404" i="1"/>
  <c r="CX3404" i="1"/>
  <c r="J3882" i="1"/>
  <c r="CW3404" i="1"/>
  <c r="BL3404" i="1"/>
  <c r="BK3404" i="1"/>
  <c r="DG3403" i="1"/>
  <c r="M1282" i="1"/>
  <c r="L1282" i="1"/>
  <c r="DA3403" i="1"/>
  <c r="CY3403" i="1"/>
  <c r="CX3403" i="1"/>
  <c r="J1282" i="1"/>
  <c r="BL3403" i="1"/>
  <c r="BK3403" i="1"/>
  <c r="DG3402" i="1"/>
  <c r="M3881" i="1"/>
  <c r="L3881" i="1"/>
  <c r="DA3402" i="1"/>
  <c r="CY3402" i="1"/>
  <c r="CX3402" i="1"/>
  <c r="J3881" i="1"/>
  <c r="CW3402" i="1"/>
  <c r="BL3402" i="1"/>
  <c r="BK3402" i="1"/>
  <c r="DG3401" i="1"/>
  <c r="M1868" i="1"/>
  <c r="L1868" i="1"/>
  <c r="DA3401" i="1"/>
  <c r="CY3401" i="1"/>
  <c r="CX3401" i="1"/>
  <c r="J1868" i="1"/>
  <c r="BL3401" i="1"/>
  <c r="BK3401" i="1"/>
  <c r="DG3400" i="1"/>
  <c r="M3880" i="1"/>
  <c r="L3880" i="1"/>
  <c r="DA3400" i="1"/>
  <c r="CY3400" i="1"/>
  <c r="CX3400" i="1"/>
  <c r="J3880" i="1"/>
  <c r="CW3400" i="1"/>
  <c r="BL3400" i="1"/>
  <c r="BK3400" i="1"/>
  <c r="DG3399" i="1"/>
  <c r="M3488" i="1"/>
  <c r="L3488" i="1"/>
  <c r="DA3399" i="1"/>
  <c r="CY3399" i="1"/>
  <c r="CX3399" i="1"/>
  <c r="J3488" i="1"/>
  <c r="CW3399" i="1"/>
  <c r="BL3399" i="1"/>
  <c r="BK3399" i="1"/>
  <c r="DG3398" i="1"/>
  <c r="M1274" i="1"/>
  <c r="L1274" i="1"/>
  <c r="DA3398" i="1"/>
  <c r="CY3398" i="1"/>
  <c r="CX3398" i="1"/>
  <c r="J1274" i="1"/>
  <c r="BL3398" i="1"/>
  <c r="BK3398" i="1"/>
  <c r="DG3397" i="1"/>
  <c r="M3487" i="1"/>
  <c r="L3487" i="1"/>
  <c r="DA3397" i="1"/>
  <c r="CY3397" i="1"/>
  <c r="CX3397" i="1"/>
  <c r="J3487" i="1"/>
  <c r="CW3397" i="1"/>
  <c r="BL3397" i="1"/>
  <c r="BK3397" i="1"/>
  <c r="DG3396" i="1"/>
  <c r="M3879" i="1"/>
  <c r="L3879" i="1"/>
  <c r="DA3396" i="1"/>
  <c r="CY3396" i="1"/>
  <c r="CX3396" i="1"/>
  <c r="J3879" i="1"/>
  <c r="CW3396" i="1"/>
  <c r="BL3396" i="1"/>
  <c r="BK3396" i="1"/>
  <c r="DG3395" i="1"/>
  <c r="M3486" i="1"/>
  <c r="L3486" i="1"/>
  <c r="DA3395" i="1"/>
  <c r="CY3395" i="1"/>
  <c r="CX3395" i="1"/>
  <c r="J3486" i="1"/>
  <c r="CW3395" i="1"/>
  <c r="BL3395" i="1"/>
  <c r="BK3395" i="1"/>
  <c r="DG3394" i="1"/>
  <c r="M3485" i="1"/>
  <c r="L3485" i="1"/>
  <c r="DA3394" i="1"/>
  <c r="CY3394" i="1"/>
  <c r="CX3394" i="1"/>
  <c r="J3485" i="1"/>
  <c r="CW3394" i="1"/>
  <c r="BL3394" i="1"/>
  <c r="BK3394" i="1"/>
  <c r="DG3393" i="1"/>
  <c r="M3878" i="1"/>
  <c r="L3878" i="1"/>
  <c r="DA3393" i="1"/>
  <c r="CY3393" i="1"/>
  <c r="CX3393" i="1"/>
  <c r="J3878" i="1"/>
  <c r="CW3393" i="1"/>
  <c r="BL3393" i="1"/>
  <c r="BK3393" i="1"/>
  <c r="DG3392" i="1"/>
  <c r="M3489" i="1"/>
  <c r="L3489" i="1"/>
  <c r="DA3392" i="1"/>
  <c r="CY3392" i="1"/>
  <c r="CX3392" i="1"/>
  <c r="J3489" i="1"/>
  <c r="CW3392" i="1"/>
  <c r="BL3392" i="1"/>
  <c r="BK3392" i="1"/>
  <c r="DG3391" i="1"/>
  <c r="M3490" i="1"/>
  <c r="L3490" i="1"/>
  <c r="DA3391" i="1"/>
  <c r="CY3391" i="1"/>
  <c r="CX3391" i="1"/>
  <c r="J3490" i="1"/>
  <c r="CW3391" i="1"/>
  <c r="BL3391" i="1"/>
  <c r="BK3391" i="1"/>
  <c r="DG3390" i="1"/>
  <c r="M1283" i="1"/>
  <c r="L1283" i="1"/>
  <c r="DA3390" i="1"/>
  <c r="CY3390" i="1"/>
  <c r="CX3390" i="1"/>
  <c r="J1283" i="1"/>
  <c r="BL3390" i="1"/>
  <c r="BK3390" i="1"/>
  <c r="DG3389" i="1"/>
  <c r="M1284" i="1"/>
  <c r="L1284" i="1"/>
  <c r="DA3389" i="1"/>
  <c r="CY3389" i="1"/>
  <c r="CX3389" i="1"/>
  <c r="J1284" i="1"/>
  <c r="BL3389" i="1"/>
  <c r="BK3389" i="1"/>
  <c r="DG3388" i="1"/>
  <c r="M1286" i="1"/>
  <c r="L1286" i="1"/>
  <c r="DA3388" i="1"/>
  <c r="CY3388" i="1"/>
  <c r="CX3388" i="1"/>
  <c r="J1286" i="1"/>
  <c r="BL3388" i="1"/>
  <c r="BK3388" i="1"/>
  <c r="DG3387" i="1"/>
  <c r="M1288" i="1"/>
  <c r="L1288" i="1"/>
  <c r="DA3387" i="1"/>
  <c r="CY3387" i="1"/>
  <c r="CX3387" i="1"/>
  <c r="J1288" i="1"/>
  <c r="BL3387" i="1"/>
  <c r="BK3387" i="1"/>
  <c r="DG3386" i="1"/>
  <c r="M1290" i="1"/>
  <c r="L1290" i="1"/>
  <c r="DA3386" i="1"/>
  <c r="CY3386" i="1"/>
  <c r="CX3386" i="1"/>
  <c r="J1290" i="1"/>
  <c r="BL3386" i="1"/>
  <c r="BK3386" i="1"/>
  <c r="DG3385" i="1"/>
  <c r="M1292" i="1"/>
  <c r="L1292" i="1"/>
  <c r="DA3385" i="1"/>
  <c r="CY3385" i="1"/>
  <c r="CX3385" i="1"/>
  <c r="J1292" i="1"/>
  <c r="BL3385" i="1"/>
  <c r="BK3385" i="1"/>
  <c r="DG3384" i="1"/>
  <c r="M3491" i="1"/>
  <c r="L3491" i="1"/>
  <c r="DA3384" i="1"/>
  <c r="CY3384" i="1"/>
  <c r="CX3384" i="1"/>
  <c r="J3491" i="1"/>
  <c r="CW3384" i="1"/>
  <c r="BL3384" i="1"/>
  <c r="BK3384" i="1"/>
  <c r="DG3383" i="1"/>
  <c r="M3492" i="1"/>
  <c r="L3492" i="1"/>
  <c r="DA3383" i="1"/>
  <c r="CY3383" i="1"/>
  <c r="CX3383" i="1"/>
  <c r="J3492" i="1"/>
  <c r="CW3383" i="1"/>
  <c r="BL3383" i="1"/>
  <c r="BK3383" i="1"/>
  <c r="DG3382" i="1"/>
  <c r="M1298" i="1"/>
  <c r="L1298" i="1"/>
  <c r="DA3382" i="1"/>
  <c r="CY3382" i="1"/>
  <c r="CX3382" i="1"/>
  <c r="J1298" i="1"/>
  <c r="BL3382" i="1"/>
  <c r="BK3382" i="1"/>
  <c r="DG3381" i="1"/>
  <c r="M1300" i="1"/>
  <c r="L1300" i="1"/>
  <c r="DA3381" i="1"/>
  <c r="CY3381" i="1"/>
  <c r="CX3381" i="1"/>
  <c r="J1300" i="1"/>
  <c r="BL3381" i="1"/>
  <c r="BK3381" i="1"/>
  <c r="DG3380" i="1"/>
  <c r="M1302" i="1"/>
  <c r="L1302" i="1"/>
  <c r="DA3380" i="1"/>
  <c r="CY3380" i="1"/>
  <c r="CX3380" i="1"/>
  <c r="J1302" i="1"/>
  <c r="BL3380" i="1"/>
  <c r="BK3380" i="1"/>
  <c r="DG3379" i="1"/>
  <c r="M3496" i="1"/>
  <c r="L3496" i="1"/>
  <c r="DA3379" i="1"/>
  <c r="CY3379" i="1"/>
  <c r="CX3379" i="1"/>
  <c r="J3496" i="1"/>
  <c r="CW3379" i="1"/>
  <c r="BL3379" i="1"/>
  <c r="BK3379" i="1"/>
  <c r="DG3378" i="1"/>
  <c r="M1307" i="1"/>
  <c r="L1307" i="1"/>
  <c r="DA3378" i="1"/>
  <c r="CY3378" i="1"/>
  <c r="CX3378" i="1"/>
  <c r="J1307" i="1"/>
  <c r="BL3378" i="1"/>
  <c r="BK3378" i="1"/>
  <c r="DG3377" i="1"/>
  <c r="M1308" i="1"/>
  <c r="L1308" i="1"/>
  <c r="DA3377" i="1"/>
  <c r="CY3377" i="1"/>
  <c r="CX3377" i="1"/>
  <c r="J1308" i="1"/>
  <c r="BL3377" i="1"/>
  <c r="BK3377" i="1"/>
  <c r="DG3376" i="1"/>
  <c r="M1310" i="1"/>
  <c r="L1310" i="1"/>
  <c r="DA3376" i="1"/>
  <c r="CY3376" i="1"/>
  <c r="CX3376" i="1"/>
  <c r="J1310" i="1"/>
  <c r="BL3376" i="1"/>
  <c r="BK3376" i="1"/>
  <c r="DG3375" i="1"/>
  <c r="M1312" i="1"/>
  <c r="L1312" i="1"/>
  <c r="DA3375" i="1"/>
  <c r="CY3375" i="1"/>
  <c r="CX3375" i="1"/>
  <c r="J1312" i="1"/>
  <c r="BL3375" i="1"/>
  <c r="BK3375" i="1"/>
  <c r="DG3374" i="1"/>
  <c r="M1315" i="1"/>
  <c r="L1315" i="1"/>
  <c r="DA3374" i="1"/>
  <c r="CY3374" i="1"/>
  <c r="CX3374" i="1"/>
  <c r="J1315" i="1"/>
  <c r="BL3374" i="1"/>
  <c r="BK3374" i="1"/>
  <c r="DG3373" i="1"/>
  <c r="M1316" i="1"/>
  <c r="L1316" i="1"/>
  <c r="DA3373" i="1"/>
  <c r="CY3373" i="1"/>
  <c r="CX3373" i="1"/>
  <c r="J1316" i="1"/>
  <c r="BL3373" i="1"/>
  <c r="BK3373" i="1"/>
  <c r="DG3372" i="1"/>
  <c r="M1318" i="1"/>
  <c r="L1318" i="1"/>
  <c r="DA3372" i="1"/>
  <c r="CY3372" i="1"/>
  <c r="CX3372" i="1"/>
  <c r="J1318" i="1"/>
  <c r="BL3372" i="1"/>
  <c r="BK3372" i="1"/>
  <c r="DG3371" i="1"/>
  <c r="M3497" i="1"/>
  <c r="L3497" i="1"/>
  <c r="DA3371" i="1"/>
  <c r="CY3371" i="1"/>
  <c r="CX3371" i="1"/>
  <c r="J3497" i="1"/>
  <c r="CW3371" i="1"/>
  <c r="BL3371" i="1"/>
  <c r="BK3371" i="1"/>
  <c r="DG3370" i="1"/>
  <c r="M3785" i="1"/>
  <c r="L3785" i="1"/>
  <c r="DA3370" i="1"/>
  <c r="CY3370" i="1"/>
  <c r="CX3370" i="1"/>
  <c r="J3785" i="1"/>
  <c r="CW3370" i="1"/>
  <c r="BL3370" i="1"/>
  <c r="BK3370" i="1"/>
  <c r="DG3369" i="1"/>
  <c r="M3794" i="1"/>
  <c r="L3794" i="1"/>
  <c r="DA3369" i="1"/>
  <c r="CY3369" i="1"/>
  <c r="CX3369" i="1"/>
  <c r="J3794" i="1"/>
  <c r="CW3369" i="1"/>
  <c r="BL3369" i="1"/>
  <c r="BK3369" i="1"/>
  <c r="DG3368" i="1"/>
  <c r="M3795" i="1"/>
  <c r="L3795" i="1"/>
  <c r="DA3368" i="1"/>
  <c r="CY3368" i="1"/>
  <c r="CX3368" i="1"/>
  <c r="J3795" i="1"/>
  <c r="CW3368" i="1"/>
  <c r="BL3368" i="1"/>
  <c r="BK3368" i="1"/>
  <c r="DG3367" i="1"/>
  <c r="M3796" i="1"/>
  <c r="L3796" i="1"/>
  <c r="DA3367" i="1"/>
  <c r="CY3367" i="1"/>
  <c r="CX3367" i="1"/>
  <c r="J3796" i="1"/>
  <c r="CW3367" i="1"/>
  <c r="BL3367" i="1"/>
  <c r="BK3367" i="1"/>
  <c r="DG3366" i="1"/>
  <c r="M1330" i="1"/>
  <c r="L1330" i="1"/>
  <c r="DA3366" i="1"/>
  <c r="CY3366" i="1"/>
  <c r="CX3366" i="1"/>
  <c r="J1330" i="1"/>
  <c r="BL3366" i="1"/>
  <c r="BK3366" i="1"/>
  <c r="DG3365" i="1"/>
  <c r="M3830" i="1"/>
  <c r="L3830" i="1"/>
  <c r="DA3365" i="1"/>
  <c r="CY3365" i="1"/>
  <c r="CX3365" i="1"/>
  <c r="J3830" i="1"/>
  <c r="CW3365" i="1"/>
  <c r="BL3365" i="1"/>
  <c r="BK3365" i="1"/>
  <c r="DG3364" i="1"/>
  <c r="M3498" i="1"/>
  <c r="L3498" i="1"/>
  <c r="DA3364" i="1"/>
  <c r="CY3364" i="1"/>
  <c r="CX3364" i="1"/>
  <c r="J3498" i="1"/>
  <c r="CW3364" i="1"/>
  <c r="BL3364" i="1"/>
  <c r="BK3364" i="1"/>
  <c r="DG3363" i="1"/>
  <c r="M3831" i="1"/>
  <c r="L3831" i="1"/>
  <c r="DA3363" i="1"/>
  <c r="CY3363" i="1"/>
  <c r="CX3363" i="1"/>
  <c r="J3831" i="1"/>
  <c r="CW3363" i="1"/>
  <c r="BL3363" i="1"/>
  <c r="BK3363" i="1"/>
  <c r="DG3362" i="1"/>
  <c r="M1338" i="1"/>
  <c r="L1338" i="1"/>
  <c r="DA3362" i="1"/>
  <c r="CY3362" i="1"/>
  <c r="CX3362" i="1"/>
  <c r="J1338" i="1"/>
  <c r="BL3362" i="1"/>
  <c r="BK3362" i="1"/>
  <c r="DG3361" i="1"/>
  <c r="M3832" i="1"/>
  <c r="L3832" i="1"/>
  <c r="DA3361" i="1"/>
  <c r="CY3361" i="1"/>
  <c r="CX3361" i="1"/>
  <c r="J3832" i="1"/>
  <c r="CW3361" i="1"/>
  <c r="BL3361" i="1"/>
  <c r="BK3361" i="1"/>
  <c r="DG3360" i="1"/>
  <c r="M3500" i="1"/>
  <c r="L3500" i="1"/>
  <c r="DA3360" i="1"/>
  <c r="CY3360" i="1"/>
  <c r="CX3360" i="1"/>
  <c r="J3500" i="1"/>
  <c r="CW3360" i="1"/>
  <c r="BL3360" i="1"/>
  <c r="BK3360" i="1"/>
  <c r="DG3359" i="1"/>
  <c r="M3833" i="1"/>
  <c r="L3833" i="1"/>
  <c r="DA3359" i="1"/>
  <c r="CY3359" i="1"/>
  <c r="CX3359" i="1"/>
  <c r="J3833" i="1"/>
  <c r="CW3359" i="1"/>
  <c r="BL3359" i="1"/>
  <c r="BK3359" i="1"/>
  <c r="DG3358" i="1"/>
  <c r="M1346" i="1"/>
  <c r="L1346" i="1"/>
  <c r="DA3358" i="1"/>
  <c r="CY3358" i="1"/>
  <c r="CX3358" i="1"/>
  <c r="J1346" i="1"/>
  <c r="BL3358" i="1"/>
  <c r="BK3358" i="1"/>
  <c r="DG3357" i="1"/>
  <c r="M3502" i="1"/>
  <c r="L3502" i="1"/>
  <c r="DA3357" i="1"/>
  <c r="CY3357" i="1"/>
  <c r="CX3357" i="1"/>
  <c r="J3502" i="1"/>
  <c r="CW3357" i="1"/>
  <c r="BL3357" i="1"/>
  <c r="BK3357" i="1"/>
  <c r="DG3356" i="1"/>
  <c r="M3503" i="1"/>
  <c r="L3503" i="1"/>
  <c r="DA3356" i="1"/>
  <c r="CY3356" i="1"/>
  <c r="CX3356" i="1"/>
  <c r="J3503" i="1"/>
  <c r="CW3356" i="1"/>
  <c r="BL3356" i="1"/>
  <c r="BK3356" i="1"/>
  <c r="DG3355" i="1"/>
  <c r="M3834" i="1"/>
  <c r="L3834" i="1"/>
  <c r="DA3355" i="1"/>
  <c r="CY3355" i="1"/>
  <c r="CX3355" i="1"/>
  <c r="J3834" i="1"/>
  <c r="CW3355" i="1"/>
  <c r="BL3355" i="1"/>
  <c r="BK3355" i="1"/>
  <c r="DG3354" i="1"/>
  <c r="M3504" i="1"/>
  <c r="L3504" i="1"/>
  <c r="DA3354" i="1"/>
  <c r="CY3354" i="1"/>
  <c r="CX3354" i="1"/>
  <c r="J3504" i="1"/>
  <c r="CW3354" i="1"/>
  <c r="BL3354" i="1"/>
  <c r="BK3354" i="1"/>
  <c r="DG3353" i="1"/>
  <c r="M3505" i="1"/>
  <c r="L3505" i="1"/>
  <c r="DA3353" i="1"/>
  <c r="CY3353" i="1"/>
  <c r="CX3353" i="1"/>
  <c r="J3505" i="1"/>
  <c r="CW3353" i="1"/>
  <c r="BL3353" i="1"/>
  <c r="BK3353" i="1"/>
  <c r="DG3352" i="1"/>
  <c r="M3506" i="1"/>
  <c r="L3506" i="1"/>
  <c r="DA3352" i="1"/>
  <c r="CY3352" i="1"/>
  <c r="CX3352" i="1"/>
  <c r="J3506" i="1"/>
  <c r="CW3352" i="1"/>
  <c r="BL3352" i="1"/>
  <c r="BK3352" i="1"/>
  <c r="DG3351" i="1"/>
  <c r="M3507" i="1"/>
  <c r="L3507" i="1"/>
  <c r="DA3351" i="1"/>
  <c r="CY3351" i="1"/>
  <c r="CX3351" i="1"/>
  <c r="J3507" i="1"/>
  <c r="CW3351" i="1"/>
  <c r="BL3351" i="1"/>
  <c r="BK3351" i="1"/>
  <c r="DG3350" i="1"/>
  <c r="M1362" i="1"/>
  <c r="L1362" i="1"/>
  <c r="DA3350" i="1"/>
  <c r="CY3350" i="1"/>
  <c r="CX3350" i="1"/>
  <c r="J1362" i="1"/>
  <c r="BL3350" i="1"/>
  <c r="BK3350" i="1"/>
  <c r="DG3349" i="1"/>
  <c r="M3509" i="1"/>
  <c r="L3509" i="1"/>
  <c r="DA3349" i="1"/>
  <c r="CY3349" i="1"/>
  <c r="CX3349" i="1"/>
  <c r="J3509" i="1"/>
  <c r="CW3349" i="1"/>
  <c r="BL3349" i="1"/>
  <c r="BK3349" i="1"/>
  <c r="DG3348" i="1"/>
  <c r="M3510" i="1"/>
  <c r="L3510" i="1"/>
  <c r="DA3348" i="1"/>
  <c r="CY3348" i="1"/>
  <c r="CX3348" i="1"/>
  <c r="J3510" i="1"/>
  <c r="CW3348" i="1"/>
  <c r="BL3348" i="1"/>
  <c r="BK3348" i="1"/>
  <c r="DG3347" i="1"/>
  <c r="M3511" i="1"/>
  <c r="L3511" i="1"/>
  <c r="DA3347" i="1"/>
  <c r="CY3347" i="1"/>
  <c r="CX3347" i="1"/>
  <c r="J3511" i="1"/>
  <c r="CW3347" i="1"/>
  <c r="BL3347" i="1"/>
  <c r="BK3347" i="1"/>
  <c r="DG3346" i="1"/>
  <c r="M1370" i="1"/>
  <c r="L1370" i="1"/>
  <c r="DA3346" i="1"/>
  <c r="CY3346" i="1"/>
  <c r="CX3346" i="1"/>
  <c r="J1370" i="1"/>
  <c r="BL3346" i="1"/>
  <c r="BK3346" i="1"/>
  <c r="DG3345" i="1"/>
  <c r="M3513" i="1"/>
  <c r="L3513" i="1"/>
  <c r="DA3345" i="1"/>
  <c r="CY3345" i="1"/>
  <c r="CX3345" i="1"/>
  <c r="J3513" i="1"/>
  <c r="CW3345" i="1"/>
  <c r="BL3345" i="1"/>
  <c r="BK3345" i="1"/>
  <c r="DG3344" i="1"/>
  <c r="M3514" i="1"/>
  <c r="L3514" i="1"/>
  <c r="DA3344" i="1"/>
  <c r="CY3344" i="1"/>
  <c r="CX3344" i="1"/>
  <c r="J3514" i="1"/>
  <c r="CW3344" i="1"/>
  <c r="BL3344" i="1"/>
  <c r="BK3344" i="1"/>
  <c r="DG3343" i="1"/>
  <c r="M3515" i="1"/>
  <c r="L3515" i="1"/>
  <c r="DA3343" i="1"/>
  <c r="CY3343" i="1"/>
  <c r="CX3343" i="1"/>
  <c r="J3515" i="1"/>
  <c r="CW3343" i="1"/>
  <c r="BL3343" i="1"/>
  <c r="BK3343" i="1"/>
  <c r="DG3342" i="1"/>
  <c r="M1378" i="1"/>
  <c r="L1378" i="1"/>
  <c r="DA3342" i="1"/>
  <c r="CY3342" i="1"/>
  <c r="CX3342" i="1"/>
  <c r="J1378" i="1"/>
  <c r="BL3342" i="1"/>
  <c r="BK3342" i="1"/>
  <c r="DG3341" i="1"/>
  <c r="M3517" i="1"/>
  <c r="L3517" i="1"/>
  <c r="DA3341" i="1"/>
  <c r="CY3341" i="1"/>
  <c r="CX3341" i="1"/>
  <c r="J3517" i="1"/>
  <c r="CW3341" i="1"/>
  <c r="BL3341" i="1"/>
  <c r="BK3341" i="1"/>
  <c r="DG3340" i="1"/>
  <c r="M3518" i="1"/>
  <c r="L3518" i="1"/>
  <c r="DA3340" i="1"/>
  <c r="CY3340" i="1"/>
  <c r="CX3340" i="1"/>
  <c r="J3518" i="1"/>
  <c r="CW3340" i="1"/>
  <c r="BL3340" i="1"/>
  <c r="BK3340" i="1"/>
  <c r="DG3339" i="1"/>
  <c r="M3519" i="1"/>
  <c r="L3519" i="1"/>
  <c r="DA3339" i="1"/>
  <c r="CY3339" i="1"/>
  <c r="CX3339" i="1"/>
  <c r="J3519" i="1"/>
  <c r="CW3339" i="1"/>
  <c r="BL3339" i="1"/>
  <c r="BK3339" i="1"/>
  <c r="DG3338" i="1"/>
  <c r="M3520" i="1"/>
  <c r="L3520" i="1"/>
  <c r="DA3338" i="1"/>
  <c r="CY3338" i="1"/>
  <c r="CX3338" i="1"/>
  <c r="J3520" i="1"/>
  <c r="CW3338" i="1"/>
  <c r="BL3338" i="1"/>
  <c r="BK3338" i="1"/>
  <c r="DG3337" i="1"/>
  <c r="M3521" i="1"/>
  <c r="L3521" i="1"/>
  <c r="DA3337" i="1"/>
  <c r="CY3337" i="1"/>
  <c r="CX3337" i="1"/>
  <c r="J3521" i="1"/>
  <c r="CW3337" i="1"/>
  <c r="BL3337" i="1"/>
  <c r="BK3337" i="1"/>
  <c r="DG3336" i="1"/>
  <c r="M3522" i="1"/>
  <c r="L3522" i="1"/>
  <c r="DA3336" i="1"/>
  <c r="CY3336" i="1"/>
  <c r="CX3336" i="1"/>
  <c r="J3522" i="1"/>
  <c r="CW3336" i="1"/>
  <c r="BL3336" i="1"/>
  <c r="BK3336" i="1"/>
  <c r="DG3335" i="1"/>
  <c r="M3523" i="1"/>
  <c r="L3523" i="1"/>
  <c r="DA3335" i="1"/>
  <c r="CY3335" i="1"/>
  <c r="CX3335" i="1"/>
  <c r="J3523" i="1"/>
  <c r="CW3335" i="1"/>
  <c r="BL3335" i="1"/>
  <c r="BK3335" i="1"/>
  <c r="DG3334" i="1"/>
  <c r="M1394" i="1"/>
  <c r="L1394" i="1"/>
  <c r="DA3334" i="1"/>
  <c r="CY3334" i="1"/>
  <c r="CX3334" i="1"/>
  <c r="J1394" i="1"/>
  <c r="BL3334" i="1"/>
  <c r="BK3334" i="1"/>
  <c r="DG3333" i="1"/>
  <c r="M3525" i="1"/>
  <c r="L3525" i="1"/>
  <c r="DA3333" i="1"/>
  <c r="CY3333" i="1"/>
  <c r="CX3333" i="1"/>
  <c r="J3525" i="1"/>
  <c r="CW3333" i="1"/>
  <c r="BL3333" i="1"/>
  <c r="BK3333" i="1"/>
  <c r="DG3332" i="1"/>
  <c r="M3526" i="1"/>
  <c r="L3526" i="1"/>
  <c r="DA3332" i="1"/>
  <c r="CY3332" i="1"/>
  <c r="CX3332" i="1"/>
  <c r="J3526" i="1"/>
  <c r="CW3332" i="1"/>
  <c r="BL3332" i="1"/>
  <c r="BK3332" i="1"/>
  <c r="DG3331" i="1"/>
  <c r="M3527" i="1"/>
  <c r="L3527" i="1"/>
  <c r="DA3331" i="1"/>
  <c r="CY3331" i="1"/>
  <c r="CX3331" i="1"/>
  <c r="J3527" i="1"/>
  <c r="CW3331" i="1"/>
  <c r="BL3331" i="1"/>
  <c r="BK3331" i="1"/>
  <c r="DG3330" i="1"/>
  <c r="M3528" i="1"/>
  <c r="L3528" i="1"/>
  <c r="DA3330" i="1"/>
  <c r="CY3330" i="1"/>
  <c r="CX3330" i="1"/>
  <c r="J3528" i="1"/>
  <c r="CW3330" i="1"/>
  <c r="BL3330" i="1"/>
  <c r="BK3330" i="1"/>
  <c r="DG3329" i="1"/>
  <c r="M3529" i="1"/>
  <c r="L3529" i="1"/>
  <c r="DA3329" i="1"/>
  <c r="CY3329" i="1"/>
  <c r="CX3329" i="1"/>
  <c r="J3529" i="1"/>
  <c r="CW3329" i="1"/>
  <c r="BL3329" i="1"/>
  <c r="BK3329" i="1"/>
  <c r="DG3328" i="1"/>
  <c r="M3530" i="1"/>
  <c r="L3530" i="1"/>
  <c r="DA3328" i="1"/>
  <c r="CY3328" i="1"/>
  <c r="CX3328" i="1"/>
  <c r="J3530" i="1"/>
  <c r="CW3328" i="1"/>
  <c r="BL3328" i="1"/>
  <c r="BK3328" i="1"/>
  <c r="DG3327" i="1"/>
  <c r="M3531" i="1"/>
  <c r="L3531" i="1"/>
  <c r="DA3327" i="1"/>
  <c r="CY3327" i="1"/>
  <c r="CX3327" i="1"/>
  <c r="J3531" i="1"/>
  <c r="CW3327" i="1"/>
  <c r="BL3327" i="1"/>
  <c r="BK3327" i="1"/>
  <c r="DG3326" i="1"/>
  <c r="M3532" i="1"/>
  <c r="L3532" i="1"/>
  <c r="DA3326" i="1"/>
  <c r="CY3326" i="1"/>
  <c r="CX3326" i="1"/>
  <c r="J3532" i="1"/>
  <c r="CW3326" i="1"/>
  <c r="BL3326" i="1"/>
  <c r="BK3326" i="1"/>
  <c r="DG3325" i="1"/>
  <c r="M3533" i="1"/>
  <c r="L3533" i="1"/>
  <c r="DA3325" i="1"/>
  <c r="CY3325" i="1"/>
  <c r="CX3325" i="1"/>
  <c r="J3533" i="1"/>
  <c r="CW3325" i="1"/>
  <c r="BL3325" i="1"/>
  <c r="BK3325" i="1"/>
  <c r="DG3324" i="1"/>
  <c r="M3534" i="1"/>
  <c r="L3534" i="1"/>
  <c r="DA3324" i="1"/>
  <c r="CY3324" i="1"/>
  <c r="CX3324" i="1"/>
  <c r="J3534" i="1"/>
  <c r="CW3324" i="1"/>
  <c r="BL3324" i="1"/>
  <c r="BK3324" i="1"/>
  <c r="DG3323" i="1"/>
  <c r="M3535" i="1"/>
  <c r="L3535" i="1"/>
  <c r="DA3323" i="1"/>
  <c r="CY3323" i="1"/>
  <c r="CX3323" i="1"/>
  <c r="J3535" i="1"/>
  <c r="CW3323" i="1"/>
  <c r="BL3323" i="1"/>
  <c r="BK3323" i="1"/>
  <c r="DG3322" i="1"/>
  <c r="M3557" i="1"/>
  <c r="L3557" i="1"/>
  <c r="DA3322" i="1"/>
  <c r="CY3322" i="1"/>
  <c r="CX3322" i="1"/>
  <c r="J3557" i="1"/>
  <c r="CW3322" i="1"/>
  <c r="BL3322" i="1"/>
  <c r="BK3322" i="1"/>
  <c r="DG3321" i="1"/>
  <c r="M3558" i="1"/>
  <c r="L3558" i="1"/>
  <c r="DA3321" i="1"/>
  <c r="CY3321" i="1"/>
  <c r="CX3321" i="1"/>
  <c r="J3558" i="1"/>
  <c r="CW3321" i="1"/>
  <c r="BL3321" i="1"/>
  <c r="BK3321" i="1"/>
  <c r="DG3320" i="1"/>
  <c r="M3536" i="1"/>
  <c r="L3536" i="1"/>
  <c r="DA3320" i="1"/>
  <c r="CY3320" i="1"/>
  <c r="CX3320" i="1"/>
  <c r="J3536" i="1"/>
  <c r="CW3320" i="1"/>
  <c r="BL3320" i="1"/>
  <c r="BK3320" i="1"/>
  <c r="DG3319" i="1"/>
  <c r="M3537" i="1"/>
  <c r="L3537" i="1"/>
  <c r="DA3319" i="1"/>
  <c r="CY3319" i="1"/>
  <c r="CX3319" i="1"/>
  <c r="J3537" i="1"/>
  <c r="CW3319" i="1"/>
  <c r="BL3319" i="1"/>
  <c r="BK3319" i="1"/>
  <c r="DG3318" i="1"/>
  <c r="M1426" i="1"/>
  <c r="L1426" i="1"/>
  <c r="DA3318" i="1"/>
  <c r="CY3318" i="1"/>
  <c r="CX3318" i="1"/>
  <c r="J1426" i="1"/>
  <c r="BL3318" i="1"/>
  <c r="BK3318" i="1"/>
  <c r="DG3317" i="1"/>
  <c r="M3539" i="1"/>
  <c r="L3539" i="1"/>
  <c r="DA3317" i="1"/>
  <c r="CY3317" i="1"/>
  <c r="CX3317" i="1"/>
  <c r="J3539" i="1"/>
  <c r="CW3317" i="1"/>
  <c r="BL3317" i="1"/>
  <c r="BK3317" i="1"/>
  <c r="DG3316" i="1"/>
  <c r="M3540" i="1"/>
  <c r="L3540" i="1"/>
  <c r="DA3316" i="1"/>
  <c r="CY3316" i="1"/>
  <c r="CX3316" i="1"/>
  <c r="J3540" i="1"/>
  <c r="CW3316" i="1"/>
  <c r="BL3316" i="1"/>
  <c r="BK3316" i="1"/>
  <c r="DG3315" i="1"/>
  <c r="M3541" i="1"/>
  <c r="L3541" i="1"/>
  <c r="DA3315" i="1"/>
  <c r="CY3315" i="1"/>
  <c r="CX3315" i="1"/>
  <c r="J3541" i="1"/>
  <c r="CW3315" i="1"/>
  <c r="BL3315" i="1"/>
  <c r="BK3315" i="1"/>
  <c r="DG3314" i="1"/>
  <c r="M3542" i="1"/>
  <c r="L3542" i="1"/>
  <c r="DA3314" i="1"/>
  <c r="CY3314" i="1"/>
  <c r="CX3314" i="1"/>
  <c r="J3542" i="1"/>
  <c r="CW3314" i="1"/>
  <c r="BL3314" i="1"/>
  <c r="BK3314" i="1"/>
  <c r="DG3313" i="1"/>
  <c r="M3559" i="1"/>
  <c r="L3559" i="1"/>
  <c r="DA3313" i="1"/>
  <c r="CY3313" i="1"/>
  <c r="CX3313" i="1"/>
  <c r="J3559" i="1"/>
  <c r="CW3313" i="1"/>
  <c r="BL3313" i="1"/>
  <c r="BK3313" i="1"/>
  <c r="DG3312" i="1"/>
  <c r="M3576" i="1"/>
  <c r="L3576" i="1"/>
  <c r="DA3312" i="1"/>
  <c r="CY3312" i="1"/>
  <c r="CX3312" i="1"/>
  <c r="J3576" i="1"/>
  <c r="CW3312" i="1"/>
  <c r="BL3312" i="1"/>
  <c r="BK3312" i="1"/>
  <c r="DG3311" i="1"/>
  <c r="M3633" i="1"/>
  <c r="L3633" i="1"/>
  <c r="DA3311" i="1"/>
  <c r="CY3311" i="1"/>
  <c r="CX3311" i="1"/>
  <c r="J3633" i="1"/>
  <c r="CW3311" i="1"/>
  <c r="BL3311" i="1"/>
  <c r="BK3311" i="1"/>
  <c r="DG3310" i="1"/>
  <c r="M1442" i="1"/>
  <c r="L1442" i="1"/>
  <c r="DA3310" i="1"/>
  <c r="CY3310" i="1"/>
  <c r="CX3310" i="1"/>
  <c r="J1442" i="1"/>
  <c r="BL3310" i="1"/>
  <c r="BK3310" i="1"/>
  <c r="DG3309" i="1"/>
  <c r="M3543" i="1"/>
  <c r="L3543" i="1"/>
  <c r="DA3309" i="1"/>
  <c r="CY3309" i="1"/>
  <c r="CX3309" i="1"/>
  <c r="J3543" i="1"/>
  <c r="CW3309" i="1"/>
  <c r="BL3309" i="1"/>
  <c r="BK3309" i="1"/>
  <c r="DG3308" i="1"/>
  <c r="M3544" i="1"/>
  <c r="L3544" i="1"/>
  <c r="DA3308" i="1"/>
  <c r="CY3308" i="1"/>
  <c r="CX3308" i="1"/>
  <c r="J3544" i="1"/>
  <c r="CW3308" i="1"/>
  <c r="BL3308" i="1"/>
  <c r="BK3308" i="1"/>
  <c r="DG3307" i="1"/>
  <c r="M3545" i="1"/>
  <c r="L3545" i="1"/>
  <c r="DA3307" i="1"/>
  <c r="CY3307" i="1"/>
  <c r="CX3307" i="1"/>
  <c r="J3545" i="1"/>
  <c r="CW3307" i="1"/>
  <c r="BL3307" i="1"/>
  <c r="BK3307" i="1"/>
  <c r="DG3306" i="1"/>
  <c r="M3635" i="1"/>
  <c r="L3635" i="1"/>
  <c r="DA3306" i="1"/>
  <c r="CY3306" i="1"/>
  <c r="CX3306" i="1"/>
  <c r="J3635" i="1"/>
  <c r="CW3306" i="1"/>
  <c r="BL3306" i="1"/>
  <c r="BK3306" i="1"/>
  <c r="DG3305" i="1"/>
  <c r="M3546" i="1"/>
  <c r="L3546" i="1"/>
  <c r="DA3305" i="1"/>
  <c r="CY3305" i="1"/>
  <c r="CX3305" i="1"/>
  <c r="J3546" i="1"/>
  <c r="CW3305" i="1"/>
  <c r="BL3305" i="1"/>
  <c r="BK3305" i="1"/>
  <c r="DG3304" i="1"/>
  <c r="M3547" i="1"/>
  <c r="L3547" i="1"/>
  <c r="DA3304" i="1"/>
  <c r="CY3304" i="1"/>
  <c r="CX3304" i="1"/>
  <c r="J3547" i="1"/>
  <c r="CW3304" i="1"/>
  <c r="BL3304" i="1"/>
  <c r="BK3304" i="1"/>
  <c r="DG3303" i="1"/>
  <c r="M3548" i="1"/>
  <c r="L3548" i="1"/>
  <c r="DA3303" i="1"/>
  <c r="CY3303" i="1"/>
  <c r="CX3303" i="1"/>
  <c r="J3548" i="1"/>
  <c r="CW3303" i="1"/>
  <c r="BL3303" i="1"/>
  <c r="BK3303" i="1"/>
  <c r="DG3302" i="1"/>
  <c r="M1458" i="1"/>
  <c r="L1458" i="1"/>
  <c r="DA3302" i="1"/>
  <c r="CY3302" i="1"/>
  <c r="CX3302" i="1"/>
  <c r="J1458" i="1"/>
  <c r="BL3302" i="1"/>
  <c r="BK3302" i="1"/>
  <c r="DG3301" i="1"/>
  <c r="M3316" i="1"/>
  <c r="L3316" i="1"/>
  <c r="DA3301" i="1"/>
  <c r="CY3301" i="1"/>
  <c r="CX3301" i="1"/>
  <c r="J3316" i="1"/>
  <c r="CW3301" i="1"/>
  <c r="BL3301" i="1"/>
  <c r="BK3301" i="1"/>
  <c r="DG3300" i="1"/>
  <c r="M3560" i="1"/>
  <c r="L3560" i="1"/>
  <c r="DA3300" i="1"/>
  <c r="CY3300" i="1"/>
  <c r="CX3300" i="1"/>
  <c r="J3560" i="1"/>
  <c r="CW3300" i="1"/>
  <c r="BL3300" i="1"/>
  <c r="BK3300" i="1"/>
  <c r="DG3299" i="1"/>
  <c r="M3561" i="1"/>
  <c r="L3561" i="1"/>
  <c r="DA3299" i="1"/>
  <c r="CY3299" i="1"/>
  <c r="CX3299" i="1"/>
  <c r="J3561" i="1"/>
  <c r="CW3299" i="1"/>
  <c r="BL3299" i="1"/>
  <c r="BK3299" i="1"/>
  <c r="DG3298" i="1"/>
  <c r="M3562" i="1"/>
  <c r="L3562" i="1"/>
  <c r="DA3298" i="1"/>
  <c r="CY3298" i="1"/>
  <c r="CX3298" i="1"/>
  <c r="J3562" i="1"/>
  <c r="CW3298" i="1"/>
  <c r="BL3298" i="1"/>
  <c r="BK3298" i="1"/>
  <c r="DG3297" i="1"/>
  <c r="M3563" i="1"/>
  <c r="L3563" i="1"/>
  <c r="DA3297" i="1"/>
  <c r="CY3297" i="1"/>
  <c r="CX3297" i="1"/>
  <c r="J3563" i="1"/>
  <c r="CW3297" i="1"/>
  <c r="BL3297" i="1"/>
  <c r="BK3297" i="1"/>
  <c r="DG3296" i="1"/>
  <c r="M3564" i="1"/>
  <c r="L3564" i="1"/>
  <c r="DA3296" i="1"/>
  <c r="CY3296" i="1"/>
  <c r="CX3296" i="1"/>
  <c r="J3564" i="1"/>
  <c r="CW3296" i="1"/>
  <c r="BL3296" i="1"/>
  <c r="BK3296" i="1"/>
  <c r="DG3295" i="1"/>
  <c r="M3565" i="1"/>
  <c r="L3565" i="1"/>
  <c r="DA3295" i="1"/>
  <c r="CY3295" i="1"/>
  <c r="CX3295" i="1"/>
  <c r="J3565" i="1"/>
  <c r="CW3295" i="1"/>
  <c r="BL3295" i="1"/>
  <c r="BK3295" i="1"/>
  <c r="DG3294" i="1"/>
  <c r="M3566" i="1"/>
  <c r="L3566" i="1"/>
  <c r="DA3294" i="1"/>
  <c r="CY3294" i="1"/>
  <c r="CX3294" i="1"/>
  <c r="J3566" i="1"/>
  <c r="CW3294" i="1"/>
  <c r="BL3294" i="1"/>
  <c r="BK3294" i="1"/>
  <c r="DG3293" i="1"/>
  <c r="M3567" i="1"/>
  <c r="L3567" i="1"/>
  <c r="DA3293" i="1"/>
  <c r="CY3293" i="1"/>
  <c r="CX3293" i="1"/>
  <c r="J3567" i="1"/>
  <c r="CW3293" i="1"/>
  <c r="BL3293" i="1"/>
  <c r="BK3293" i="1"/>
  <c r="DG3292" i="1"/>
  <c r="M3568" i="1"/>
  <c r="L3568" i="1"/>
  <c r="DA3292" i="1"/>
  <c r="CY3292" i="1"/>
  <c r="CX3292" i="1"/>
  <c r="J3568" i="1"/>
  <c r="CW3292" i="1"/>
  <c r="BL3292" i="1"/>
  <c r="BK3292" i="1"/>
  <c r="DG3291" i="1"/>
  <c r="M3569" i="1"/>
  <c r="L3569" i="1"/>
  <c r="DA3291" i="1"/>
  <c r="CY3291" i="1"/>
  <c r="CX3291" i="1"/>
  <c r="J3569" i="1"/>
  <c r="CW3291" i="1"/>
  <c r="BL3291" i="1"/>
  <c r="BK3291" i="1"/>
  <c r="DG3290" i="1"/>
  <c r="M3570" i="1"/>
  <c r="L3570" i="1"/>
  <c r="DA3290" i="1"/>
  <c r="CY3290" i="1"/>
  <c r="CX3290" i="1"/>
  <c r="J3570" i="1"/>
  <c r="CW3290" i="1"/>
  <c r="BL3290" i="1"/>
  <c r="BK3290" i="1"/>
  <c r="DG3289" i="1"/>
  <c r="M3571" i="1"/>
  <c r="L3571" i="1"/>
  <c r="DA3289" i="1"/>
  <c r="CY3289" i="1"/>
  <c r="CX3289" i="1"/>
  <c r="J3571" i="1"/>
  <c r="CW3289" i="1"/>
  <c r="BL3289" i="1"/>
  <c r="BK3289" i="1"/>
  <c r="DG3288" i="1"/>
  <c r="M3572" i="1"/>
  <c r="L3572" i="1"/>
  <c r="DA3288" i="1"/>
  <c r="CY3288" i="1"/>
  <c r="CX3288" i="1"/>
  <c r="J3572" i="1"/>
  <c r="CW3288" i="1"/>
  <c r="BL3288" i="1"/>
  <c r="BK3288" i="1"/>
  <c r="DG3287" i="1"/>
  <c r="M3573" i="1"/>
  <c r="L3573" i="1"/>
  <c r="DA3287" i="1"/>
  <c r="CY3287" i="1"/>
  <c r="CX3287" i="1"/>
  <c r="J3573" i="1"/>
  <c r="CW3287" i="1"/>
  <c r="BL3287" i="1"/>
  <c r="BK3287" i="1"/>
  <c r="DG3286" i="1"/>
  <c r="M1490" i="1"/>
  <c r="L1490" i="1"/>
  <c r="DA3286" i="1"/>
  <c r="CY3286" i="1"/>
  <c r="CX3286" i="1"/>
  <c r="J1490" i="1"/>
  <c r="BL3286" i="1"/>
  <c r="BK3286" i="1"/>
  <c r="DG3285" i="1"/>
  <c r="M3575" i="1"/>
  <c r="L3575" i="1"/>
  <c r="DA3285" i="1"/>
  <c r="CY3285" i="1"/>
  <c r="CX3285" i="1"/>
  <c r="J3575" i="1"/>
  <c r="CW3285" i="1"/>
  <c r="BL3285" i="1"/>
  <c r="BK3285" i="1"/>
  <c r="DG3284" i="1"/>
  <c r="M3577" i="1"/>
  <c r="L3577" i="1"/>
  <c r="DA3284" i="1"/>
  <c r="CY3284" i="1"/>
  <c r="CX3284" i="1"/>
  <c r="J3577" i="1"/>
  <c r="CW3284" i="1"/>
  <c r="BL3284" i="1"/>
  <c r="BK3284" i="1"/>
  <c r="DG3283" i="1"/>
  <c r="M3578" i="1"/>
  <c r="L3578" i="1"/>
  <c r="DA3283" i="1"/>
  <c r="CY3283" i="1"/>
  <c r="CX3283" i="1"/>
  <c r="J3578" i="1"/>
  <c r="CW3283" i="1"/>
  <c r="BL3283" i="1"/>
  <c r="BK3283" i="1"/>
  <c r="DG3282" i="1"/>
  <c r="M3579" i="1"/>
  <c r="L3579" i="1"/>
  <c r="DA3282" i="1"/>
  <c r="CY3282" i="1"/>
  <c r="CX3282" i="1"/>
  <c r="J3579" i="1"/>
  <c r="CW3282" i="1"/>
  <c r="BL3282" i="1"/>
  <c r="BK3282" i="1"/>
  <c r="DG3281" i="1"/>
  <c r="M3580" i="1"/>
  <c r="L3580" i="1"/>
  <c r="DA3281" i="1"/>
  <c r="CY3281" i="1"/>
  <c r="CX3281" i="1"/>
  <c r="J3580" i="1"/>
  <c r="CW3281" i="1"/>
  <c r="BL3281" i="1"/>
  <c r="BK3281" i="1"/>
  <c r="DG3280" i="1"/>
  <c r="M3581" i="1"/>
  <c r="L3581" i="1"/>
  <c r="DA3280" i="1"/>
  <c r="CY3280" i="1"/>
  <c r="CX3280" i="1"/>
  <c r="J3581" i="1"/>
  <c r="CW3280" i="1"/>
  <c r="BL3280" i="1"/>
  <c r="BK3280" i="1"/>
  <c r="DG3279" i="1"/>
  <c r="M3582" i="1"/>
  <c r="L3582" i="1"/>
  <c r="DA3279" i="1"/>
  <c r="CY3279" i="1"/>
  <c r="CX3279" i="1"/>
  <c r="J3582" i="1"/>
  <c r="CW3279" i="1"/>
  <c r="BL3279" i="1"/>
  <c r="BK3279" i="1"/>
  <c r="DG3278" i="1"/>
  <c r="M1506" i="1"/>
  <c r="L1506" i="1"/>
  <c r="DA3278" i="1"/>
  <c r="CY3278" i="1"/>
  <c r="CX3278" i="1"/>
  <c r="J1506" i="1"/>
  <c r="BL3278" i="1"/>
  <c r="BK3278" i="1"/>
  <c r="DG3277" i="1"/>
  <c r="M1508" i="1"/>
  <c r="L1508" i="1"/>
  <c r="DA3277" i="1"/>
  <c r="CY3277" i="1"/>
  <c r="CX3277" i="1"/>
  <c r="J1508" i="1"/>
  <c r="BL3277" i="1"/>
  <c r="BK3277" i="1"/>
  <c r="DG3276" i="1"/>
  <c r="M1510" i="1"/>
  <c r="L1510" i="1"/>
  <c r="DA3276" i="1"/>
  <c r="CY3276" i="1"/>
  <c r="CX3276" i="1"/>
  <c r="J1510" i="1"/>
  <c r="BL3276" i="1"/>
  <c r="BK3276" i="1"/>
  <c r="DG3275" i="1"/>
  <c r="M3586" i="1"/>
  <c r="L3586" i="1"/>
  <c r="DA3275" i="1"/>
  <c r="CY3275" i="1"/>
  <c r="CX3275" i="1"/>
  <c r="J3586" i="1"/>
  <c r="CW3275" i="1"/>
  <c r="BL3275" i="1"/>
  <c r="BK3275" i="1"/>
  <c r="DG3274" i="1"/>
  <c r="M3587" i="1"/>
  <c r="L3587" i="1"/>
  <c r="DA3274" i="1"/>
  <c r="CY3274" i="1"/>
  <c r="CX3274" i="1"/>
  <c r="J3587" i="1"/>
  <c r="CW3274" i="1"/>
  <c r="BL3274" i="1"/>
  <c r="BK3274" i="1"/>
  <c r="DG3273" i="1"/>
  <c r="M3588" i="1"/>
  <c r="L3588" i="1"/>
  <c r="DA3273" i="1"/>
  <c r="CY3273" i="1"/>
  <c r="CX3273" i="1"/>
  <c r="J3588" i="1"/>
  <c r="CW3273" i="1"/>
  <c r="BL3273" i="1"/>
  <c r="BK3273" i="1"/>
  <c r="DG3272" i="1"/>
  <c r="M3589" i="1"/>
  <c r="L3589" i="1"/>
  <c r="DA3272" i="1"/>
  <c r="CY3272" i="1"/>
  <c r="CX3272" i="1"/>
  <c r="J3589" i="1"/>
  <c r="CW3272" i="1"/>
  <c r="BL3272" i="1"/>
  <c r="BK3272" i="1"/>
  <c r="DG3271" i="1"/>
  <c r="M3590" i="1"/>
  <c r="L3590" i="1"/>
  <c r="DA3271" i="1"/>
  <c r="CY3271" i="1"/>
  <c r="CX3271" i="1"/>
  <c r="J3590" i="1"/>
  <c r="CW3271" i="1"/>
  <c r="BL3271" i="1"/>
  <c r="BK3271" i="1"/>
  <c r="DG3270" i="1"/>
  <c r="M1522" i="1"/>
  <c r="L1522" i="1"/>
  <c r="DA3270" i="1"/>
  <c r="CY3270" i="1"/>
  <c r="CX3270" i="1"/>
  <c r="J1522" i="1"/>
  <c r="BL3270" i="1"/>
  <c r="BK3270" i="1"/>
  <c r="DG3269" i="1"/>
  <c r="M3592" i="1"/>
  <c r="L3592" i="1"/>
  <c r="DA3269" i="1"/>
  <c r="CY3269" i="1"/>
  <c r="CX3269" i="1"/>
  <c r="J3592" i="1"/>
  <c r="CW3269" i="1"/>
  <c r="BL3269" i="1"/>
  <c r="BK3269" i="1"/>
  <c r="DG3268" i="1"/>
  <c r="M3593" i="1"/>
  <c r="L3593" i="1"/>
  <c r="DA3268" i="1"/>
  <c r="CY3268" i="1"/>
  <c r="CX3268" i="1"/>
  <c r="J3593" i="1"/>
  <c r="CW3268" i="1"/>
  <c r="BL3268" i="1"/>
  <c r="BK3268" i="1"/>
  <c r="DG3267" i="1"/>
  <c r="M3594" i="1"/>
  <c r="L3594" i="1"/>
  <c r="DA3267" i="1"/>
  <c r="CY3267" i="1"/>
  <c r="CX3267" i="1"/>
  <c r="J3594" i="1"/>
  <c r="CW3267" i="1"/>
  <c r="BL3267" i="1"/>
  <c r="BK3267" i="1"/>
  <c r="DG3266" i="1"/>
  <c r="M3595" i="1"/>
  <c r="L3595" i="1"/>
  <c r="DA3266" i="1"/>
  <c r="CY3266" i="1"/>
  <c r="CX3266" i="1"/>
  <c r="J3595" i="1"/>
  <c r="CW3266" i="1"/>
  <c r="BL3266" i="1"/>
  <c r="BK3266" i="1"/>
  <c r="DG3265" i="1"/>
  <c r="M3596" i="1"/>
  <c r="L3596" i="1"/>
  <c r="DA3265" i="1"/>
  <c r="CY3265" i="1"/>
  <c r="CX3265" i="1"/>
  <c r="J3596" i="1"/>
  <c r="CW3265" i="1"/>
  <c r="BL3265" i="1"/>
  <c r="BK3265" i="1"/>
  <c r="DG3264" i="1"/>
  <c r="M3597" i="1"/>
  <c r="L3597" i="1"/>
  <c r="DA3264" i="1"/>
  <c r="CY3264" i="1"/>
  <c r="CX3264" i="1"/>
  <c r="J3597" i="1"/>
  <c r="CW3264" i="1"/>
  <c r="BL3264" i="1"/>
  <c r="BK3264" i="1"/>
  <c r="DG3263" i="1"/>
  <c r="M3598" i="1"/>
  <c r="L3598" i="1"/>
  <c r="DA3263" i="1"/>
  <c r="CY3263" i="1"/>
  <c r="CX3263" i="1"/>
  <c r="J3598" i="1"/>
  <c r="CW3263" i="1"/>
  <c r="BL3263" i="1"/>
  <c r="BK3263" i="1"/>
  <c r="DG3262" i="1"/>
  <c r="M3599" i="1"/>
  <c r="L3599" i="1"/>
  <c r="DA3262" i="1"/>
  <c r="CY3262" i="1"/>
  <c r="CX3262" i="1"/>
  <c r="J3599" i="1"/>
  <c r="CW3262" i="1"/>
  <c r="BL3262" i="1"/>
  <c r="BK3262" i="1"/>
  <c r="DG3261" i="1"/>
  <c r="M3600" i="1"/>
  <c r="L3600" i="1"/>
  <c r="DA3261" i="1"/>
  <c r="CY3261" i="1"/>
  <c r="CX3261" i="1"/>
  <c r="J3600" i="1"/>
  <c r="CW3261" i="1"/>
  <c r="BL3261" i="1"/>
  <c r="BK3261" i="1"/>
  <c r="DG3260" i="1"/>
  <c r="M3601" i="1"/>
  <c r="L3601" i="1"/>
  <c r="DA3260" i="1"/>
  <c r="CY3260" i="1"/>
  <c r="CX3260" i="1"/>
  <c r="J3601" i="1"/>
  <c r="CW3260" i="1"/>
  <c r="BL3260" i="1"/>
  <c r="BK3260" i="1"/>
  <c r="DG3259" i="1"/>
  <c r="M3602" i="1"/>
  <c r="L3602" i="1"/>
  <c r="DA3259" i="1"/>
  <c r="CY3259" i="1"/>
  <c r="CX3259" i="1"/>
  <c r="J3602" i="1"/>
  <c r="CW3259" i="1"/>
  <c r="BL3259" i="1"/>
  <c r="BK3259" i="1"/>
  <c r="DG3258" i="1"/>
  <c r="M3603" i="1"/>
  <c r="L3603" i="1"/>
  <c r="DA3258" i="1"/>
  <c r="CY3258" i="1"/>
  <c r="CX3258" i="1"/>
  <c r="J3603" i="1"/>
  <c r="CW3258" i="1"/>
  <c r="BL3258" i="1"/>
  <c r="BK3258" i="1"/>
  <c r="DG3257" i="1"/>
  <c r="M3604" i="1"/>
  <c r="L3604" i="1"/>
  <c r="DA3257" i="1"/>
  <c r="CY3257" i="1"/>
  <c r="CX3257" i="1"/>
  <c r="J3604" i="1"/>
  <c r="CW3257" i="1"/>
  <c r="BL3257" i="1"/>
  <c r="BK3257" i="1"/>
  <c r="DG3256" i="1"/>
  <c r="M1550" i="1"/>
  <c r="L1550" i="1"/>
  <c r="DA3256" i="1"/>
  <c r="CY3256" i="1"/>
  <c r="CX3256" i="1"/>
  <c r="J1550" i="1"/>
  <c r="BL3256" i="1"/>
  <c r="BK3256" i="1"/>
  <c r="DG3255" i="1"/>
  <c r="M3606" i="1"/>
  <c r="L3606" i="1"/>
  <c r="DA3255" i="1"/>
  <c r="CY3255" i="1"/>
  <c r="CX3255" i="1"/>
  <c r="J3606" i="1"/>
  <c r="CW3255" i="1"/>
  <c r="BL3255" i="1"/>
  <c r="BK3255" i="1"/>
  <c r="DG3254" i="1"/>
  <c r="M1554" i="1"/>
  <c r="L1554" i="1"/>
  <c r="DA3254" i="1"/>
  <c r="CY3254" i="1"/>
  <c r="CX3254" i="1"/>
  <c r="J1554" i="1"/>
  <c r="BL3254" i="1"/>
  <c r="BK3254" i="1"/>
  <c r="DG3253" i="1"/>
  <c r="M3608" i="1"/>
  <c r="L3608" i="1"/>
  <c r="DA3253" i="1"/>
  <c r="CY3253" i="1"/>
  <c r="CX3253" i="1"/>
  <c r="J3608" i="1"/>
  <c r="CW3253" i="1"/>
  <c r="BL3253" i="1"/>
  <c r="BK3253" i="1"/>
  <c r="DG3252" i="1"/>
  <c r="M1558" i="1"/>
  <c r="L1558" i="1"/>
  <c r="DA3252" i="1"/>
  <c r="CY3252" i="1"/>
  <c r="CX3252" i="1"/>
  <c r="J1558" i="1"/>
  <c r="BL3252" i="1"/>
  <c r="BK3252" i="1"/>
  <c r="DG3251" i="1"/>
  <c r="M3610" i="1"/>
  <c r="L3610" i="1"/>
  <c r="DA3251" i="1"/>
  <c r="CY3251" i="1"/>
  <c r="CX3251" i="1"/>
  <c r="J3610" i="1"/>
  <c r="CW3251" i="1"/>
  <c r="BL3251" i="1"/>
  <c r="BK3251" i="1"/>
  <c r="DG3250" i="1"/>
  <c r="M3611" i="1"/>
  <c r="L3611" i="1"/>
  <c r="DA3250" i="1"/>
  <c r="CY3250" i="1"/>
  <c r="CX3250" i="1"/>
  <c r="J3611" i="1"/>
  <c r="CW3250" i="1"/>
  <c r="BL3250" i="1"/>
  <c r="BK3250" i="1"/>
  <c r="DG3249" i="1"/>
  <c r="M3612" i="1"/>
  <c r="L3612" i="1"/>
  <c r="DA3249" i="1"/>
  <c r="CY3249" i="1"/>
  <c r="CX3249" i="1"/>
  <c r="J3612" i="1"/>
  <c r="CW3249" i="1"/>
  <c r="BL3249" i="1"/>
  <c r="BK3249" i="1"/>
  <c r="DG3248" i="1"/>
  <c r="M3613" i="1"/>
  <c r="L3613" i="1"/>
  <c r="DA3248" i="1"/>
  <c r="CY3248" i="1"/>
  <c r="CX3248" i="1"/>
  <c r="J3613" i="1"/>
  <c r="CW3248" i="1"/>
  <c r="BL3248" i="1"/>
  <c r="BK3248" i="1"/>
  <c r="DG3247" i="1"/>
  <c r="M3614" i="1"/>
  <c r="L3614" i="1"/>
  <c r="DA3247" i="1"/>
  <c r="CY3247" i="1"/>
  <c r="CX3247" i="1"/>
  <c r="J3614" i="1"/>
  <c r="CW3247" i="1"/>
  <c r="BL3247" i="1"/>
  <c r="BK3247" i="1"/>
  <c r="DG3246" i="1"/>
  <c r="M1570" i="1"/>
  <c r="L1570" i="1"/>
  <c r="DA3246" i="1"/>
  <c r="CY3246" i="1"/>
  <c r="CX3246" i="1"/>
  <c r="J1570" i="1"/>
  <c r="BL3246" i="1"/>
  <c r="BK3246" i="1"/>
  <c r="DG3245" i="1"/>
  <c r="M3616" i="1"/>
  <c r="L3616" i="1"/>
  <c r="DA3245" i="1"/>
  <c r="CY3245" i="1"/>
  <c r="CX3245" i="1"/>
  <c r="J3616" i="1"/>
  <c r="CW3245" i="1"/>
  <c r="BL3245" i="1"/>
  <c r="BK3245" i="1"/>
  <c r="DG3244" i="1"/>
  <c r="M3617" i="1"/>
  <c r="L3617" i="1"/>
  <c r="DA3244" i="1"/>
  <c r="CY3244" i="1"/>
  <c r="CX3244" i="1"/>
  <c r="J3617" i="1"/>
  <c r="CW3244" i="1"/>
  <c r="BL3244" i="1"/>
  <c r="BK3244" i="1"/>
  <c r="DG3243" i="1"/>
  <c r="M3618" i="1"/>
  <c r="L3618" i="1"/>
  <c r="DA3243" i="1"/>
  <c r="CY3243" i="1"/>
  <c r="CX3243" i="1"/>
  <c r="J3618" i="1"/>
  <c r="CW3243" i="1"/>
  <c r="BL3243" i="1"/>
  <c r="BK3243" i="1"/>
  <c r="DG3242" i="1"/>
  <c r="M3619" i="1"/>
  <c r="L3619" i="1"/>
  <c r="DA3242" i="1"/>
  <c r="CY3242" i="1"/>
  <c r="CX3242" i="1"/>
  <c r="J3619" i="1"/>
  <c r="CW3242" i="1"/>
  <c r="BL3242" i="1"/>
  <c r="BK3242" i="1"/>
  <c r="DG3241" i="1"/>
  <c r="M3620" i="1"/>
  <c r="L3620" i="1"/>
  <c r="DA3241" i="1"/>
  <c r="CY3241" i="1"/>
  <c r="CX3241" i="1"/>
  <c r="J3620" i="1"/>
  <c r="CW3241" i="1"/>
  <c r="BL3241" i="1"/>
  <c r="BK3241" i="1"/>
  <c r="DG3240" i="1"/>
  <c r="M3621" i="1"/>
  <c r="L3621" i="1"/>
  <c r="DA3240" i="1"/>
  <c r="CY3240" i="1"/>
  <c r="CX3240" i="1"/>
  <c r="J3621" i="1"/>
  <c r="CW3240" i="1"/>
  <c r="BL3240" i="1"/>
  <c r="BK3240" i="1"/>
  <c r="DG3239" i="1"/>
  <c r="M3622" i="1"/>
  <c r="L3622" i="1"/>
  <c r="DA3239" i="1"/>
  <c r="CY3239" i="1"/>
  <c r="CX3239" i="1"/>
  <c r="J3622" i="1"/>
  <c r="CW3239" i="1"/>
  <c r="BL3239" i="1"/>
  <c r="BK3239" i="1"/>
  <c r="DG3238" i="1"/>
  <c r="M1586" i="1"/>
  <c r="L1586" i="1"/>
  <c r="DA3238" i="1"/>
  <c r="CY3238" i="1"/>
  <c r="CX3238" i="1"/>
  <c r="J1586" i="1"/>
  <c r="BL3238" i="1"/>
  <c r="BK3238" i="1"/>
  <c r="DG3237" i="1"/>
  <c r="M3624" i="1"/>
  <c r="L3624" i="1"/>
  <c r="DA3237" i="1"/>
  <c r="CY3237" i="1"/>
  <c r="CX3237" i="1"/>
  <c r="J3624" i="1"/>
  <c r="CW3237" i="1"/>
  <c r="BL3237" i="1"/>
  <c r="BK3237" i="1"/>
  <c r="DG3236" i="1"/>
  <c r="M3625" i="1"/>
  <c r="L3625" i="1"/>
  <c r="DA3236" i="1"/>
  <c r="CY3236" i="1"/>
  <c r="CX3236" i="1"/>
  <c r="J3625" i="1"/>
  <c r="CW3236" i="1"/>
  <c r="BL3236" i="1"/>
  <c r="BK3236" i="1"/>
  <c r="DG3235" i="1"/>
  <c r="M3626" i="1"/>
  <c r="L3626" i="1"/>
  <c r="DA3235" i="1"/>
  <c r="CY3235" i="1"/>
  <c r="CX3235" i="1"/>
  <c r="J3626" i="1"/>
  <c r="CW3235" i="1"/>
  <c r="BL3235" i="1"/>
  <c r="BK3235" i="1"/>
  <c r="DG3234" i="1"/>
  <c r="M1594" i="1"/>
  <c r="L1594" i="1"/>
  <c r="DA3234" i="1"/>
  <c r="CY3234" i="1"/>
  <c r="CX3234" i="1"/>
  <c r="J1594" i="1"/>
  <c r="BL3234" i="1"/>
  <c r="BK3234" i="1"/>
  <c r="DG3233" i="1"/>
  <c r="M3628" i="1"/>
  <c r="L3628" i="1"/>
  <c r="DA3233" i="1"/>
  <c r="CY3233" i="1"/>
  <c r="CX3233" i="1"/>
  <c r="J3628" i="1"/>
  <c r="CW3233" i="1"/>
  <c r="BL3233" i="1"/>
  <c r="BK3233" i="1"/>
  <c r="DG3232" i="1"/>
  <c r="M3629" i="1"/>
  <c r="L3629" i="1"/>
  <c r="DA3232" i="1"/>
  <c r="CY3232" i="1"/>
  <c r="CX3232" i="1"/>
  <c r="J3629" i="1"/>
  <c r="CW3232" i="1"/>
  <c r="BL3232" i="1"/>
  <c r="BK3232" i="1"/>
  <c r="DG3231" i="1"/>
  <c r="M3630" i="1"/>
  <c r="L3630" i="1"/>
  <c r="DA3231" i="1"/>
  <c r="CY3231" i="1"/>
  <c r="CX3231" i="1"/>
  <c r="J3630" i="1"/>
  <c r="CW3231" i="1"/>
  <c r="BL3231" i="1"/>
  <c r="BK3231" i="1"/>
  <c r="DG3230" i="1"/>
  <c r="M1602" i="1"/>
  <c r="L1602" i="1"/>
  <c r="DA3230" i="1"/>
  <c r="CY3230" i="1"/>
  <c r="CX3230" i="1"/>
  <c r="J1602" i="1"/>
  <c r="BL3230" i="1"/>
  <c r="BK3230" i="1"/>
  <c r="DG3229" i="1"/>
  <c r="M3632" i="1"/>
  <c r="L3632" i="1"/>
  <c r="DA3229" i="1"/>
  <c r="CY3229" i="1"/>
  <c r="CX3229" i="1"/>
  <c r="J3632" i="1"/>
  <c r="CW3229" i="1"/>
  <c r="BL3229" i="1"/>
  <c r="BK3229" i="1"/>
  <c r="DG3228" i="1"/>
  <c r="M3645" i="1"/>
  <c r="L3645" i="1"/>
  <c r="DA3228" i="1"/>
  <c r="CY3228" i="1"/>
  <c r="CX3228" i="1"/>
  <c r="J3645" i="1"/>
  <c r="CW3228" i="1"/>
  <c r="BL3228" i="1"/>
  <c r="BK3228" i="1"/>
  <c r="DG3227" i="1"/>
  <c r="M3646" i="1"/>
  <c r="L3646" i="1"/>
  <c r="DA3227" i="1"/>
  <c r="CY3227" i="1"/>
  <c r="CX3227" i="1"/>
  <c r="J3646" i="1"/>
  <c r="CW3227" i="1"/>
  <c r="BL3227" i="1"/>
  <c r="BK3227" i="1"/>
  <c r="DG3226" i="1"/>
  <c r="M1610" i="1"/>
  <c r="L1610" i="1"/>
  <c r="DA3226" i="1"/>
  <c r="CY3226" i="1"/>
  <c r="CX3226" i="1"/>
  <c r="J1610" i="1"/>
  <c r="BL3226" i="1"/>
  <c r="BK3226" i="1"/>
  <c r="DG3225" i="1"/>
  <c r="M3648" i="1"/>
  <c r="L3648" i="1"/>
  <c r="DA3225" i="1"/>
  <c r="CY3225" i="1"/>
  <c r="CX3225" i="1"/>
  <c r="J3648" i="1"/>
  <c r="CW3225" i="1"/>
  <c r="BL3225" i="1"/>
  <c r="BK3225" i="1"/>
  <c r="DG3224" i="1"/>
  <c r="M3649" i="1"/>
  <c r="L3649" i="1"/>
  <c r="DA3224" i="1"/>
  <c r="CY3224" i="1"/>
  <c r="CX3224" i="1"/>
  <c r="J3649" i="1"/>
  <c r="CW3224" i="1"/>
  <c r="BL3224" i="1"/>
  <c r="BK3224" i="1"/>
  <c r="DG3223" i="1"/>
  <c r="M3650" i="1"/>
  <c r="L3650" i="1"/>
  <c r="DA3223" i="1"/>
  <c r="CY3223" i="1"/>
  <c r="CX3223" i="1"/>
  <c r="J3650" i="1"/>
  <c r="CW3223" i="1"/>
  <c r="BL3223" i="1"/>
  <c r="BK3223" i="1"/>
  <c r="DG3222" i="1"/>
  <c r="M1618" i="1"/>
  <c r="L1618" i="1"/>
  <c r="DA3222" i="1"/>
  <c r="CY3222" i="1"/>
  <c r="CX3222" i="1"/>
  <c r="J1618" i="1"/>
  <c r="BL3222" i="1"/>
  <c r="BK3222" i="1"/>
  <c r="DG3221" i="1"/>
  <c r="M3652" i="1"/>
  <c r="L3652" i="1"/>
  <c r="DA3221" i="1"/>
  <c r="CY3221" i="1"/>
  <c r="CX3221" i="1"/>
  <c r="J3652" i="1"/>
  <c r="CW3221" i="1"/>
  <c r="BL3221" i="1"/>
  <c r="BK3221" i="1"/>
  <c r="DG3220" i="1"/>
  <c r="M1622" i="1"/>
  <c r="L1622" i="1"/>
  <c r="DA3220" i="1"/>
  <c r="CY3220" i="1"/>
  <c r="CX3220" i="1"/>
  <c r="J1622" i="1"/>
  <c r="BL3220" i="1"/>
  <c r="BK3220" i="1"/>
  <c r="DG3219" i="1"/>
  <c r="M3654" i="1"/>
  <c r="L3654" i="1"/>
  <c r="DA3219" i="1"/>
  <c r="CY3219" i="1"/>
  <c r="CX3219" i="1"/>
  <c r="J3654" i="1"/>
  <c r="CW3219" i="1"/>
  <c r="BL3219" i="1"/>
  <c r="BK3219" i="1"/>
  <c r="DG3218" i="1"/>
  <c r="M1626" i="1"/>
  <c r="L1626" i="1"/>
  <c r="DA3218" i="1"/>
  <c r="CY3218" i="1"/>
  <c r="CX3218" i="1"/>
  <c r="J1626" i="1"/>
  <c r="BL3218" i="1"/>
  <c r="BK3218" i="1"/>
  <c r="DG3217" i="1"/>
  <c r="M3656" i="1"/>
  <c r="L3656" i="1"/>
  <c r="DA3217" i="1"/>
  <c r="CY3217" i="1"/>
  <c r="CX3217" i="1"/>
  <c r="J3656" i="1"/>
  <c r="CW3217" i="1"/>
  <c r="BL3217" i="1"/>
  <c r="BK3217" i="1"/>
  <c r="DG3216" i="1"/>
  <c r="M3657" i="1"/>
  <c r="L3657" i="1"/>
  <c r="DA3216" i="1"/>
  <c r="CY3216" i="1"/>
  <c r="CX3216" i="1"/>
  <c r="J3657" i="1"/>
  <c r="CW3216" i="1"/>
  <c r="BL3216" i="1"/>
  <c r="BK3216" i="1"/>
  <c r="DG3215" i="1"/>
  <c r="M3658" i="1"/>
  <c r="L3658" i="1"/>
  <c r="DA3215" i="1"/>
  <c r="CY3215" i="1"/>
  <c r="CX3215" i="1"/>
  <c r="J3658" i="1"/>
  <c r="CW3215" i="1"/>
  <c r="BL3215" i="1"/>
  <c r="BK3215" i="1"/>
  <c r="DG3214" i="1"/>
  <c r="M1634" i="1"/>
  <c r="L1634" i="1"/>
  <c r="DA3214" i="1"/>
  <c r="CY3214" i="1"/>
  <c r="CX3214" i="1"/>
  <c r="J1634" i="1"/>
  <c r="BL3214" i="1"/>
  <c r="BK3214" i="1"/>
  <c r="DG3213" i="1"/>
  <c r="M3660" i="1"/>
  <c r="L3660" i="1"/>
  <c r="DA3213" i="1"/>
  <c r="CY3213" i="1"/>
  <c r="CX3213" i="1"/>
  <c r="J3660" i="1"/>
  <c r="CW3213" i="1"/>
  <c r="BL3213" i="1"/>
  <c r="BK3213" i="1"/>
  <c r="DG3212" i="1"/>
  <c r="M1638" i="1"/>
  <c r="L1638" i="1"/>
  <c r="DA3212" i="1"/>
  <c r="CY3212" i="1"/>
  <c r="CX3212" i="1"/>
  <c r="J1638" i="1"/>
  <c r="BL3212" i="1"/>
  <c r="BK3212" i="1"/>
  <c r="DG3211" i="1"/>
  <c r="M3662" i="1"/>
  <c r="L3662" i="1"/>
  <c r="DA3211" i="1"/>
  <c r="CY3211" i="1"/>
  <c r="CX3211" i="1"/>
  <c r="J3662" i="1"/>
  <c r="CW3211" i="1"/>
  <c r="BL3211" i="1"/>
  <c r="BK3211" i="1"/>
  <c r="DG3210" i="1"/>
  <c r="M1642" i="1"/>
  <c r="L1642" i="1"/>
  <c r="DA3210" i="1"/>
  <c r="CY3210" i="1"/>
  <c r="CX3210" i="1"/>
  <c r="J1642" i="1"/>
  <c r="BL3210" i="1"/>
  <c r="BK3210" i="1"/>
  <c r="DG3209" i="1"/>
  <c r="M3664" i="1"/>
  <c r="L3664" i="1"/>
  <c r="DA3209" i="1"/>
  <c r="CY3209" i="1"/>
  <c r="CX3209" i="1"/>
  <c r="J3664" i="1"/>
  <c r="CW3209" i="1"/>
  <c r="BL3209" i="1"/>
  <c r="BK3209" i="1"/>
  <c r="DG3208" i="1"/>
  <c r="M3665" i="1"/>
  <c r="L3665" i="1"/>
  <c r="DA3208" i="1"/>
  <c r="CY3208" i="1"/>
  <c r="CX3208" i="1"/>
  <c r="J3665" i="1"/>
  <c r="CW3208" i="1"/>
  <c r="BL3208" i="1"/>
  <c r="BK3208" i="1"/>
  <c r="DG3207" i="1"/>
  <c r="M3666" i="1"/>
  <c r="L3666" i="1"/>
  <c r="DA3207" i="1"/>
  <c r="CY3207" i="1"/>
  <c r="CX3207" i="1"/>
  <c r="J3666" i="1"/>
  <c r="CW3207" i="1"/>
  <c r="BL3207" i="1"/>
  <c r="BK3207" i="1"/>
  <c r="DG3206" i="1"/>
  <c r="M1650" i="1"/>
  <c r="L1650" i="1"/>
  <c r="DA3206" i="1"/>
  <c r="CY3206" i="1"/>
  <c r="CX3206" i="1"/>
  <c r="J1650" i="1"/>
  <c r="BL3206" i="1"/>
  <c r="BK3206" i="1"/>
  <c r="DG3205" i="1"/>
  <c r="M3668" i="1"/>
  <c r="L3668" i="1"/>
  <c r="DA3205" i="1"/>
  <c r="CY3205" i="1"/>
  <c r="CX3205" i="1"/>
  <c r="J3668" i="1"/>
  <c r="CW3205" i="1"/>
  <c r="BL3205" i="1"/>
  <c r="BK3205" i="1"/>
  <c r="DG3204" i="1"/>
  <c r="M1654" i="1"/>
  <c r="L1654" i="1"/>
  <c r="DA3204" i="1"/>
  <c r="CY3204" i="1"/>
  <c r="CX3204" i="1"/>
  <c r="J1654" i="1"/>
  <c r="BL3204" i="1"/>
  <c r="BK3204" i="1"/>
  <c r="DG3203" i="1"/>
  <c r="M3670" i="1"/>
  <c r="L3670" i="1"/>
  <c r="DA3203" i="1"/>
  <c r="CY3203" i="1"/>
  <c r="CX3203" i="1"/>
  <c r="J3670" i="1"/>
  <c r="CW3203" i="1"/>
  <c r="BL3203" i="1"/>
  <c r="BK3203" i="1"/>
  <c r="DG3202" i="1"/>
  <c r="M1658" i="1"/>
  <c r="L1658" i="1"/>
  <c r="DA3202" i="1"/>
  <c r="CY3202" i="1"/>
  <c r="CX3202" i="1"/>
  <c r="J1658" i="1"/>
  <c r="BL3202" i="1"/>
  <c r="BK3202" i="1"/>
  <c r="DG3201" i="1"/>
  <c r="M3672" i="1"/>
  <c r="L3672" i="1"/>
  <c r="DA3201" i="1"/>
  <c r="CY3201" i="1"/>
  <c r="CX3201" i="1"/>
  <c r="J3672" i="1"/>
  <c r="CW3201" i="1"/>
  <c r="BL3201" i="1"/>
  <c r="BK3201" i="1"/>
  <c r="DG3200" i="1"/>
  <c r="M3673" i="1"/>
  <c r="L3673" i="1"/>
  <c r="DA3200" i="1"/>
  <c r="CY3200" i="1"/>
  <c r="CX3200" i="1"/>
  <c r="J3673" i="1"/>
  <c r="CW3200" i="1"/>
  <c r="BL3200" i="1"/>
  <c r="BK3200" i="1"/>
  <c r="DG3199" i="1"/>
  <c r="M3674" i="1"/>
  <c r="L3674" i="1"/>
  <c r="DA3199" i="1"/>
  <c r="CY3199" i="1"/>
  <c r="CX3199" i="1"/>
  <c r="J3674" i="1"/>
  <c r="CW3199" i="1"/>
  <c r="BL3199" i="1"/>
  <c r="BK3199" i="1"/>
  <c r="DG3198" i="1"/>
  <c r="M1666" i="1"/>
  <c r="L1666" i="1"/>
  <c r="DA3198" i="1"/>
  <c r="CY3198" i="1"/>
  <c r="CX3198" i="1"/>
  <c r="J1666" i="1"/>
  <c r="BL3198" i="1"/>
  <c r="BK3198" i="1"/>
  <c r="DG3197" i="1"/>
  <c r="M3676" i="1"/>
  <c r="L3676" i="1"/>
  <c r="DA3197" i="1"/>
  <c r="CY3197" i="1"/>
  <c r="CX3197" i="1"/>
  <c r="J3676" i="1"/>
  <c r="CW3197" i="1"/>
  <c r="BL3197" i="1"/>
  <c r="BK3197" i="1"/>
  <c r="DG3196" i="1"/>
  <c r="M3677" i="1"/>
  <c r="L3677" i="1"/>
  <c r="DA3196" i="1"/>
  <c r="CY3196" i="1"/>
  <c r="CX3196" i="1"/>
  <c r="J3677" i="1"/>
  <c r="CW3196" i="1"/>
  <c r="BL3196" i="1"/>
  <c r="BK3196" i="1"/>
  <c r="DG3195" i="1"/>
  <c r="M3678" i="1"/>
  <c r="L3678" i="1"/>
  <c r="DA3195" i="1"/>
  <c r="CY3195" i="1"/>
  <c r="CX3195" i="1"/>
  <c r="J3678" i="1"/>
  <c r="CW3195" i="1"/>
  <c r="BL3195" i="1"/>
  <c r="BK3195" i="1"/>
  <c r="DG3194" i="1"/>
  <c r="M1674" i="1"/>
  <c r="L1674" i="1"/>
  <c r="DA3194" i="1"/>
  <c r="CY3194" i="1"/>
  <c r="CX3194" i="1"/>
  <c r="J1674" i="1"/>
  <c r="BL3194" i="1"/>
  <c r="BK3194" i="1"/>
  <c r="DG3193" i="1"/>
  <c r="M3680" i="1"/>
  <c r="L3680" i="1"/>
  <c r="DA3193" i="1"/>
  <c r="CY3193" i="1"/>
  <c r="CX3193" i="1"/>
  <c r="J3680" i="1"/>
  <c r="CW3193" i="1"/>
  <c r="BL3193" i="1"/>
  <c r="BK3193" i="1"/>
  <c r="DG3192" i="1"/>
  <c r="M3681" i="1"/>
  <c r="L3681" i="1"/>
  <c r="DA3192" i="1"/>
  <c r="CY3192" i="1"/>
  <c r="CX3192" i="1"/>
  <c r="J3681" i="1"/>
  <c r="CW3192" i="1"/>
  <c r="BL3192" i="1"/>
  <c r="BK3192" i="1"/>
  <c r="DG3191" i="1"/>
  <c r="M3682" i="1"/>
  <c r="L3682" i="1"/>
  <c r="DA3191" i="1"/>
  <c r="CY3191" i="1"/>
  <c r="CX3191" i="1"/>
  <c r="J3682" i="1"/>
  <c r="CW3191" i="1"/>
  <c r="BL3191" i="1"/>
  <c r="BK3191" i="1"/>
  <c r="DG3190" i="1"/>
  <c r="M1682" i="1"/>
  <c r="L1682" i="1"/>
  <c r="DA3190" i="1"/>
  <c r="CY3190" i="1"/>
  <c r="CX3190" i="1"/>
  <c r="J1682" i="1"/>
  <c r="BL3190" i="1"/>
  <c r="BK3190" i="1"/>
  <c r="DG3189" i="1"/>
  <c r="M3684" i="1"/>
  <c r="L3684" i="1"/>
  <c r="DA3189" i="1"/>
  <c r="CY3189" i="1"/>
  <c r="CX3189" i="1"/>
  <c r="J3684" i="1"/>
  <c r="CW3189" i="1"/>
  <c r="BL3189" i="1"/>
  <c r="BK3189" i="1"/>
  <c r="DG3188" i="1"/>
  <c r="M1686" i="1"/>
  <c r="L1686" i="1"/>
  <c r="DA3188" i="1"/>
  <c r="CY3188" i="1"/>
  <c r="CX3188" i="1"/>
  <c r="J1686" i="1"/>
  <c r="BL3188" i="1"/>
  <c r="BK3188" i="1"/>
  <c r="DG3187" i="1"/>
  <c r="M3686" i="1"/>
  <c r="L3686" i="1"/>
  <c r="DA3187" i="1"/>
  <c r="CY3187" i="1"/>
  <c r="CX3187" i="1"/>
  <c r="J3686" i="1"/>
  <c r="CW3187" i="1"/>
  <c r="BL3187" i="1"/>
  <c r="BK3187" i="1"/>
  <c r="DG3186" i="1"/>
  <c r="M1690" i="1"/>
  <c r="L1690" i="1"/>
  <c r="DA3186" i="1"/>
  <c r="CY3186" i="1"/>
  <c r="CX3186" i="1"/>
  <c r="J1690" i="1"/>
  <c r="BL3186" i="1"/>
  <c r="BK3186" i="1"/>
  <c r="DG3185" i="1"/>
  <c r="M3688" i="1"/>
  <c r="L3688" i="1"/>
  <c r="DA3185" i="1"/>
  <c r="CY3185" i="1"/>
  <c r="CX3185" i="1"/>
  <c r="J3688" i="1"/>
  <c r="CW3185" i="1"/>
  <c r="BL3185" i="1"/>
  <c r="BK3185" i="1"/>
  <c r="DG3184" i="1"/>
  <c r="M3689" i="1"/>
  <c r="L3689" i="1"/>
  <c r="DA3184" i="1"/>
  <c r="CY3184" i="1"/>
  <c r="CX3184" i="1"/>
  <c r="J3689" i="1"/>
  <c r="CW3184" i="1"/>
  <c r="BL3184" i="1"/>
  <c r="BK3184" i="1"/>
  <c r="DG3183" i="1"/>
  <c r="M3690" i="1"/>
  <c r="L3690" i="1"/>
  <c r="DA3183" i="1"/>
  <c r="CY3183" i="1"/>
  <c r="CX3183" i="1"/>
  <c r="J3690" i="1"/>
  <c r="CW3183" i="1"/>
  <c r="BL3183" i="1"/>
  <c r="BK3183" i="1"/>
  <c r="DG3182" i="1"/>
  <c r="M1698" i="1"/>
  <c r="L1698" i="1"/>
  <c r="DA3182" i="1"/>
  <c r="CY3182" i="1"/>
  <c r="CX3182" i="1"/>
  <c r="J1698" i="1"/>
  <c r="BL3182" i="1"/>
  <c r="BK3182" i="1"/>
  <c r="DG3181" i="1"/>
  <c r="M3692" i="1"/>
  <c r="L3692" i="1"/>
  <c r="DA3181" i="1"/>
  <c r="CY3181" i="1"/>
  <c r="CX3181" i="1"/>
  <c r="J3692" i="1"/>
  <c r="CW3181" i="1"/>
  <c r="BL3181" i="1"/>
  <c r="BK3181" i="1"/>
  <c r="DG3180" i="1"/>
  <c r="M1702" i="1"/>
  <c r="L1702" i="1"/>
  <c r="DA3180" i="1"/>
  <c r="CY3180" i="1"/>
  <c r="CX3180" i="1"/>
  <c r="J1702" i="1"/>
  <c r="BL3180" i="1"/>
  <c r="BK3180" i="1"/>
  <c r="DG3179" i="1"/>
  <c r="M3694" i="1"/>
  <c r="L3694" i="1"/>
  <c r="DA3179" i="1"/>
  <c r="CY3179" i="1"/>
  <c r="CX3179" i="1"/>
  <c r="J3694" i="1"/>
  <c r="CW3179" i="1"/>
  <c r="BL3179" i="1"/>
  <c r="BK3179" i="1"/>
  <c r="DG3178" i="1"/>
  <c r="M1706" i="1"/>
  <c r="L1706" i="1"/>
  <c r="DA3178" i="1"/>
  <c r="CY3178" i="1"/>
  <c r="CX3178" i="1"/>
  <c r="J1706" i="1"/>
  <c r="BL3178" i="1"/>
  <c r="BK3178" i="1"/>
  <c r="DG3177" i="1"/>
  <c r="M3696" i="1"/>
  <c r="L3696" i="1"/>
  <c r="DA3177" i="1"/>
  <c r="CY3177" i="1"/>
  <c r="CX3177" i="1"/>
  <c r="J3696" i="1"/>
  <c r="CW3177" i="1"/>
  <c r="BL3177" i="1"/>
  <c r="BK3177" i="1"/>
  <c r="DG3176" i="1"/>
  <c r="M3697" i="1"/>
  <c r="L3697" i="1"/>
  <c r="DA3176" i="1"/>
  <c r="CY3176" i="1"/>
  <c r="CX3176" i="1"/>
  <c r="J3697" i="1"/>
  <c r="CW3176" i="1"/>
  <c r="BL3176" i="1"/>
  <c r="BK3176" i="1"/>
  <c r="DG3175" i="1"/>
  <c r="M3698" i="1"/>
  <c r="L3698" i="1"/>
  <c r="DA3175" i="1"/>
  <c r="CY3175" i="1"/>
  <c r="CX3175" i="1"/>
  <c r="J3698" i="1"/>
  <c r="CW3175" i="1"/>
  <c r="BL3175" i="1"/>
  <c r="BK3175" i="1"/>
  <c r="DG3174" i="1"/>
  <c r="M1714" i="1"/>
  <c r="L1714" i="1"/>
  <c r="DA3174" i="1"/>
  <c r="CY3174" i="1"/>
  <c r="CX3174" i="1"/>
  <c r="J1714" i="1"/>
  <c r="BL3174" i="1"/>
  <c r="BK3174" i="1"/>
  <c r="DG3173" i="1"/>
  <c r="M3700" i="1"/>
  <c r="L3700" i="1"/>
  <c r="DA3173" i="1"/>
  <c r="CY3173" i="1"/>
  <c r="CX3173" i="1"/>
  <c r="J3700" i="1"/>
  <c r="CW3173" i="1"/>
  <c r="BL3173" i="1"/>
  <c r="BK3173" i="1"/>
  <c r="DG3172" i="1"/>
  <c r="M3701" i="1"/>
  <c r="L3701" i="1"/>
  <c r="DA3172" i="1"/>
  <c r="CY3172" i="1"/>
  <c r="CX3172" i="1"/>
  <c r="J3701" i="1"/>
  <c r="CW3172" i="1"/>
  <c r="BL3172" i="1"/>
  <c r="BK3172" i="1"/>
  <c r="DG3171" i="1"/>
  <c r="M3702" i="1"/>
  <c r="L3702" i="1"/>
  <c r="DA3171" i="1"/>
  <c r="CY3171" i="1"/>
  <c r="CX3171" i="1"/>
  <c r="J3702" i="1"/>
  <c r="CW3171" i="1"/>
  <c r="BL3171" i="1"/>
  <c r="BK3171" i="1"/>
  <c r="DG3170" i="1"/>
  <c r="M3703" i="1"/>
  <c r="L3703" i="1"/>
  <c r="DA3170" i="1"/>
  <c r="CY3170" i="1"/>
  <c r="CX3170" i="1"/>
  <c r="J3703" i="1"/>
  <c r="CW3170" i="1"/>
  <c r="BL3170" i="1"/>
  <c r="BK3170" i="1"/>
  <c r="DG3169" i="1"/>
  <c r="M3704" i="1"/>
  <c r="L3704" i="1"/>
  <c r="DA3169" i="1"/>
  <c r="CY3169" i="1"/>
  <c r="CX3169" i="1"/>
  <c r="J3704" i="1"/>
  <c r="CW3169" i="1"/>
  <c r="BL3169" i="1"/>
  <c r="BK3169" i="1"/>
  <c r="DG3168" i="1"/>
  <c r="M3705" i="1"/>
  <c r="L3705" i="1"/>
  <c r="DA3168" i="1"/>
  <c r="CY3168" i="1"/>
  <c r="CX3168" i="1"/>
  <c r="J3705" i="1"/>
  <c r="CW3168" i="1"/>
  <c r="BL3168" i="1"/>
  <c r="BK3168" i="1"/>
  <c r="DG3167" i="1"/>
  <c r="M3706" i="1"/>
  <c r="L3706" i="1"/>
  <c r="DA3167" i="1"/>
  <c r="CY3167" i="1"/>
  <c r="CX3167" i="1"/>
  <c r="J3706" i="1"/>
  <c r="CW3167" i="1"/>
  <c r="BL3167" i="1"/>
  <c r="BK3167" i="1"/>
  <c r="DG3166" i="1"/>
  <c r="M3707" i="1"/>
  <c r="L3707" i="1"/>
  <c r="DA3166" i="1"/>
  <c r="CY3166" i="1"/>
  <c r="CX3166" i="1"/>
  <c r="J3707" i="1"/>
  <c r="CW3166" i="1"/>
  <c r="BL3166" i="1"/>
  <c r="BK3166" i="1"/>
  <c r="DG3165" i="1"/>
  <c r="M3708" i="1"/>
  <c r="L3708" i="1"/>
  <c r="DA3165" i="1"/>
  <c r="CY3165" i="1"/>
  <c r="CX3165" i="1"/>
  <c r="J3708" i="1"/>
  <c r="CW3165" i="1"/>
  <c r="BL3165" i="1"/>
  <c r="BK3165" i="1"/>
  <c r="DG3164" i="1"/>
  <c r="M3709" i="1"/>
  <c r="L3709" i="1"/>
  <c r="DA3164" i="1"/>
  <c r="CY3164" i="1"/>
  <c r="CX3164" i="1"/>
  <c r="J3709" i="1"/>
  <c r="CW3164" i="1"/>
  <c r="BL3164" i="1"/>
  <c r="BK3164" i="1"/>
  <c r="DG3163" i="1"/>
  <c r="M3710" i="1"/>
  <c r="L3710" i="1"/>
  <c r="DA3163" i="1"/>
  <c r="CY3163" i="1"/>
  <c r="CX3163" i="1"/>
  <c r="J3710" i="1"/>
  <c r="CW3163" i="1"/>
  <c r="BL3163" i="1"/>
  <c r="BK3163" i="1"/>
  <c r="DG3162" i="1"/>
  <c r="M3711" i="1"/>
  <c r="L3711" i="1"/>
  <c r="DA3162" i="1"/>
  <c r="CY3162" i="1"/>
  <c r="CX3162" i="1"/>
  <c r="J3711" i="1"/>
  <c r="CW3162" i="1"/>
  <c r="BL3162" i="1"/>
  <c r="BK3162" i="1"/>
  <c r="DG3161" i="1"/>
  <c r="M3712" i="1"/>
  <c r="L3712" i="1"/>
  <c r="DA3161" i="1"/>
  <c r="CY3161" i="1"/>
  <c r="CX3161" i="1"/>
  <c r="J3712" i="1"/>
  <c r="CW3161" i="1"/>
  <c r="BL3161" i="1"/>
  <c r="BK3161" i="1"/>
  <c r="DG3160" i="1"/>
  <c r="M3713" i="1"/>
  <c r="L3713" i="1"/>
  <c r="DA3160" i="1"/>
  <c r="CY3160" i="1"/>
  <c r="CX3160" i="1"/>
  <c r="J3713" i="1"/>
  <c r="CW3160" i="1"/>
  <c r="BL3160" i="1"/>
  <c r="BK3160" i="1"/>
  <c r="DG3159" i="1"/>
  <c r="M3714" i="1"/>
  <c r="L3714" i="1"/>
  <c r="DA3159" i="1"/>
  <c r="CY3159" i="1"/>
  <c r="CX3159" i="1"/>
  <c r="J3714" i="1"/>
  <c r="CW3159" i="1"/>
  <c r="BL3159" i="1"/>
  <c r="BK3159" i="1"/>
  <c r="DG3158" i="1"/>
  <c r="M1746" i="1"/>
  <c r="L1746" i="1"/>
  <c r="DA3158" i="1"/>
  <c r="CY3158" i="1"/>
  <c r="CX3158" i="1"/>
  <c r="J1746" i="1"/>
  <c r="BL3158" i="1"/>
  <c r="BK3158" i="1"/>
  <c r="DG3157" i="1"/>
  <c r="M3716" i="1"/>
  <c r="L3716" i="1"/>
  <c r="DA3157" i="1"/>
  <c r="CY3157" i="1"/>
  <c r="CX3157" i="1"/>
  <c r="J3716" i="1"/>
  <c r="CW3157" i="1"/>
  <c r="BL3157" i="1"/>
  <c r="BK3157" i="1"/>
  <c r="DG3156" i="1"/>
  <c r="M1750" i="1"/>
  <c r="L1750" i="1"/>
  <c r="DA3156" i="1"/>
  <c r="CY3156" i="1"/>
  <c r="CX3156" i="1"/>
  <c r="J1750" i="1"/>
  <c r="BL3156" i="1"/>
  <c r="BK3156" i="1"/>
  <c r="DG3155" i="1"/>
  <c r="M3718" i="1"/>
  <c r="L3718" i="1"/>
  <c r="DA3155" i="1"/>
  <c r="CY3155" i="1"/>
  <c r="CX3155" i="1"/>
  <c r="J3718" i="1"/>
  <c r="CW3155" i="1"/>
  <c r="BL3155" i="1"/>
  <c r="BK3155" i="1"/>
  <c r="DG3154" i="1"/>
  <c r="M3719" i="1"/>
  <c r="L3719" i="1"/>
  <c r="DA3154" i="1"/>
  <c r="CY3154" i="1"/>
  <c r="CX3154" i="1"/>
  <c r="J3719" i="1"/>
  <c r="CW3154" i="1"/>
  <c r="BL3154" i="1"/>
  <c r="BK3154" i="1"/>
  <c r="DG3153" i="1"/>
  <c r="M3720" i="1"/>
  <c r="L3720" i="1"/>
  <c r="DA3153" i="1"/>
  <c r="CY3153" i="1"/>
  <c r="CX3153" i="1"/>
  <c r="J3720" i="1"/>
  <c r="CW3153" i="1"/>
  <c r="BL3153" i="1"/>
  <c r="BK3153" i="1"/>
  <c r="DG3152" i="1"/>
  <c r="M3721" i="1"/>
  <c r="L3721" i="1"/>
  <c r="DA3152" i="1"/>
  <c r="CY3152" i="1"/>
  <c r="CX3152" i="1"/>
  <c r="J3721" i="1"/>
  <c r="CW3152" i="1"/>
  <c r="BL3152" i="1"/>
  <c r="BK3152" i="1"/>
  <c r="DG3151" i="1"/>
  <c r="M3722" i="1"/>
  <c r="L3722" i="1"/>
  <c r="DA3151" i="1"/>
  <c r="CY3151" i="1"/>
  <c r="CX3151" i="1"/>
  <c r="J3722" i="1"/>
  <c r="CW3151" i="1"/>
  <c r="BL3151" i="1"/>
  <c r="BK3151" i="1"/>
  <c r="DG3150" i="1"/>
  <c r="M1762" i="1"/>
  <c r="L1762" i="1"/>
  <c r="DA3150" i="1"/>
  <c r="CY3150" i="1"/>
  <c r="CX3150" i="1"/>
  <c r="J1762" i="1"/>
  <c r="BL3150" i="1"/>
  <c r="BK3150" i="1"/>
  <c r="DG3149" i="1"/>
  <c r="M3724" i="1"/>
  <c r="L3724" i="1"/>
  <c r="DA3149" i="1"/>
  <c r="CY3149" i="1"/>
  <c r="CX3149" i="1"/>
  <c r="J3724" i="1"/>
  <c r="CW3149" i="1"/>
  <c r="BL3149" i="1"/>
  <c r="BK3149" i="1"/>
  <c r="DG3148" i="1"/>
  <c r="M3725" i="1"/>
  <c r="L3725" i="1"/>
  <c r="DA3148" i="1"/>
  <c r="CY3148" i="1"/>
  <c r="CX3148" i="1"/>
  <c r="J3725" i="1"/>
  <c r="CW3148" i="1"/>
  <c r="BL3148" i="1"/>
  <c r="BK3148" i="1"/>
  <c r="DG3147" i="1"/>
  <c r="M3726" i="1"/>
  <c r="L3726" i="1"/>
  <c r="DA3147" i="1"/>
  <c r="CY3147" i="1"/>
  <c r="CX3147" i="1"/>
  <c r="J3726" i="1"/>
  <c r="CW3147" i="1"/>
  <c r="BL3147" i="1"/>
  <c r="BK3147" i="1"/>
  <c r="DG3146" i="1"/>
  <c r="M3727" i="1"/>
  <c r="L3727" i="1"/>
  <c r="DA3146" i="1"/>
  <c r="CY3146" i="1"/>
  <c r="CX3146" i="1"/>
  <c r="J3727" i="1"/>
  <c r="CW3146" i="1"/>
  <c r="BL3146" i="1"/>
  <c r="BK3146" i="1"/>
  <c r="DG3145" i="1"/>
  <c r="M3728" i="1"/>
  <c r="L3728" i="1"/>
  <c r="DA3145" i="1"/>
  <c r="CY3145" i="1"/>
  <c r="CX3145" i="1"/>
  <c r="J3728" i="1"/>
  <c r="CW3145" i="1"/>
  <c r="BL3145" i="1"/>
  <c r="BK3145" i="1"/>
  <c r="DG3144" i="1"/>
  <c r="M3729" i="1"/>
  <c r="L3729" i="1"/>
  <c r="DA3144" i="1"/>
  <c r="CY3144" i="1"/>
  <c r="CX3144" i="1"/>
  <c r="J3729" i="1"/>
  <c r="CW3144" i="1"/>
  <c r="BL3144" i="1"/>
  <c r="BK3144" i="1"/>
  <c r="DG3143" i="1"/>
  <c r="M3730" i="1"/>
  <c r="L3730" i="1"/>
  <c r="DA3143" i="1"/>
  <c r="CY3143" i="1"/>
  <c r="CX3143" i="1"/>
  <c r="J3730" i="1"/>
  <c r="CW3143" i="1"/>
  <c r="BL3143" i="1"/>
  <c r="BK3143" i="1"/>
  <c r="DG3142" i="1"/>
  <c r="M1778" i="1"/>
  <c r="L1778" i="1"/>
  <c r="DA3142" i="1"/>
  <c r="CY3142" i="1"/>
  <c r="CX3142" i="1"/>
  <c r="J1778" i="1"/>
  <c r="BL3142" i="1"/>
  <c r="BK3142" i="1"/>
  <c r="DG3141" i="1"/>
  <c r="M3732" i="1"/>
  <c r="L3732" i="1"/>
  <c r="DA3141" i="1"/>
  <c r="CY3141" i="1"/>
  <c r="CX3141" i="1"/>
  <c r="J3732" i="1"/>
  <c r="CW3141" i="1"/>
  <c r="BL3141" i="1"/>
  <c r="BK3141" i="1"/>
  <c r="DG3140" i="1"/>
  <c r="M3733" i="1"/>
  <c r="L3733" i="1"/>
  <c r="DA3140" i="1"/>
  <c r="CY3140" i="1"/>
  <c r="CX3140" i="1"/>
  <c r="J3733" i="1"/>
  <c r="CW3140" i="1"/>
  <c r="BL3140" i="1"/>
  <c r="BK3140" i="1"/>
  <c r="DG3139" i="1"/>
  <c r="M3734" i="1"/>
  <c r="L3734" i="1"/>
  <c r="DA3139" i="1"/>
  <c r="CY3139" i="1"/>
  <c r="CX3139" i="1"/>
  <c r="J3734" i="1"/>
  <c r="CW3139" i="1"/>
  <c r="BL3139" i="1"/>
  <c r="BK3139" i="1"/>
  <c r="DG3138" i="1"/>
  <c r="M3735" i="1"/>
  <c r="L3735" i="1"/>
  <c r="DA3138" i="1"/>
  <c r="CY3138" i="1"/>
  <c r="CX3138" i="1"/>
  <c r="J3735" i="1"/>
  <c r="CW3138" i="1"/>
  <c r="BL3138" i="1"/>
  <c r="BK3138" i="1"/>
  <c r="DG3137" i="1"/>
  <c r="M3736" i="1"/>
  <c r="L3736" i="1"/>
  <c r="DA3137" i="1"/>
  <c r="CY3137" i="1"/>
  <c r="CX3137" i="1"/>
  <c r="J3736" i="1"/>
  <c r="CW3137" i="1"/>
  <c r="BL3137" i="1"/>
  <c r="BK3137" i="1"/>
  <c r="DG3136" i="1"/>
  <c r="M3737" i="1"/>
  <c r="L3737" i="1"/>
  <c r="DA3136" i="1"/>
  <c r="CY3136" i="1"/>
  <c r="CX3136" i="1"/>
  <c r="J3737" i="1"/>
  <c r="CW3136" i="1"/>
  <c r="BL3136" i="1"/>
  <c r="BK3136" i="1"/>
  <c r="DG3135" i="1"/>
  <c r="M3738" i="1"/>
  <c r="L3738" i="1"/>
  <c r="DA3135" i="1"/>
  <c r="CY3135" i="1"/>
  <c r="CX3135" i="1"/>
  <c r="J3738" i="1"/>
  <c r="CW3135" i="1"/>
  <c r="BL3135" i="1"/>
  <c r="BK3135" i="1"/>
  <c r="DG3134" i="1"/>
  <c r="M3739" i="1"/>
  <c r="L3739" i="1"/>
  <c r="DA3134" i="1"/>
  <c r="CY3134" i="1"/>
  <c r="CX3134" i="1"/>
  <c r="J3739" i="1"/>
  <c r="CW3134" i="1"/>
  <c r="BL3134" i="1"/>
  <c r="BK3134" i="1"/>
  <c r="DG3133" i="1"/>
  <c r="M3740" i="1"/>
  <c r="L3740" i="1"/>
  <c r="DA3133" i="1"/>
  <c r="CY3133" i="1"/>
  <c r="CX3133" i="1"/>
  <c r="J3740" i="1"/>
  <c r="CW3133" i="1"/>
  <c r="BL3133" i="1"/>
  <c r="BK3133" i="1"/>
  <c r="DG3132" i="1"/>
  <c r="M3741" i="1"/>
  <c r="L3741" i="1"/>
  <c r="DA3132" i="1"/>
  <c r="CY3132" i="1"/>
  <c r="CX3132" i="1"/>
  <c r="J3741" i="1"/>
  <c r="CW3132" i="1"/>
  <c r="BL3132" i="1"/>
  <c r="BK3132" i="1"/>
  <c r="DG3131" i="1"/>
  <c r="M3742" i="1"/>
  <c r="L3742" i="1"/>
  <c r="DA3131" i="1"/>
  <c r="CY3131" i="1"/>
  <c r="CX3131" i="1"/>
  <c r="J3742" i="1"/>
  <c r="CW3131" i="1"/>
  <c r="BL3131" i="1"/>
  <c r="BK3131" i="1"/>
  <c r="DG3130" i="1"/>
  <c r="M3743" i="1"/>
  <c r="L3743" i="1"/>
  <c r="DA3130" i="1"/>
  <c r="CY3130" i="1"/>
  <c r="CX3130" i="1"/>
  <c r="J3743" i="1"/>
  <c r="CW3130" i="1"/>
  <c r="BL3130" i="1"/>
  <c r="BK3130" i="1"/>
  <c r="DG3129" i="1"/>
  <c r="M3744" i="1"/>
  <c r="L3744" i="1"/>
  <c r="DA3129" i="1"/>
  <c r="CY3129" i="1"/>
  <c r="CX3129" i="1"/>
  <c r="J3744" i="1"/>
  <c r="CW3129" i="1"/>
  <c r="BL3129" i="1"/>
  <c r="BK3129" i="1"/>
  <c r="DG3128" i="1"/>
  <c r="M3745" i="1"/>
  <c r="L3745" i="1"/>
  <c r="DA3128" i="1"/>
  <c r="CY3128" i="1"/>
  <c r="CX3128" i="1"/>
  <c r="J3745" i="1"/>
  <c r="CW3128" i="1"/>
  <c r="BL3128" i="1"/>
  <c r="BK3128" i="1"/>
  <c r="DG3127" i="1"/>
  <c r="M3746" i="1"/>
  <c r="L3746" i="1"/>
  <c r="DA3127" i="1"/>
  <c r="CY3127" i="1"/>
  <c r="CX3127" i="1"/>
  <c r="J3746" i="1"/>
  <c r="CW3127" i="1"/>
  <c r="BL3127" i="1"/>
  <c r="BK3127" i="1"/>
  <c r="DG3126" i="1"/>
  <c r="M1944" i="1"/>
  <c r="L1944" i="1"/>
  <c r="DA3126" i="1"/>
  <c r="CY3126" i="1"/>
  <c r="CX3126" i="1"/>
  <c r="J1944" i="1"/>
  <c r="BL3126" i="1"/>
  <c r="BK3126" i="1"/>
  <c r="DG3125" i="1"/>
  <c r="M3748" i="1"/>
  <c r="L3748" i="1"/>
  <c r="DA3125" i="1"/>
  <c r="CY3125" i="1"/>
  <c r="CX3125" i="1"/>
  <c r="J3748" i="1"/>
  <c r="CW3125" i="1"/>
  <c r="BL3125" i="1"/>
  <c r="BK3125" i="1"/>
  <c r="DG3124" i="1"/>
  <c r="M3749" i="1"/>
  <c r="L3749" i="1"/>
  <c r="DA3124" i="1"/>
  <c r="CY3124" i="1"/>
  <c r="CX3124" i="1"/>
  <c r="J3749" i="1"/>
  <c r="CW3124" i="1"/>
  <c r="BL3124" i="1"/>
  <c r="BK3124" i="1"/>
  <c r="DG3123" i="1"/>
  <c r="M3750" i="1"/>
  <c r="L3750" i="1"/>
  <c r="DA3123" i="1"/>
  <c r="CY3123" i="1"/>
  <c r="CX3123" i="1"/>
  <c r="J3750" i="1"/>
  <c r="CW3123" i="1"/>
  <c r="BL3123" i="1"/>
  <c r="BK3123" i="1"/>
  <c r="DG3122" i="1"/>
  <c r="M3751" i="1"/>
  <c r="L3751" i="1"/>
  <c r="DA3122" i="1"/>
  <c r="CY3122" i="1"/>
  <c r="CX3122" i="1"/>
  <c r="J3751" i="1"/>
  <c r="CW3122" i="1"/>
  <c r="BL3122" i="1"/>
  <c r="BK3122" i="1"/>
  <c r="DG3121" i="1"/>
  <c r="M3752" i="1"/>
  <c r="L3752" i="1"/>
  <c r="DA3121" i="1"/>
  <c r="CY3121" i="1"/>
  <c r="CX3121" i="1"/>
  <c r="J3752" i="1"/>
  <c r="CW3121" i="1"/>
  <c r="BL3121" i="1"/>
  <c r="BK3121" i="1"/>
  <c r="DG3120" i="1"/>
  <c r="M3753" i="1"/>
  <c r="L3753" i="1"/>
  <c r="DA3120" i="1"/>
  <c r="CY3120" i="1"/>
  <c r="CX3120" i="1"/>
  <c r="J3753" i="1"/>
  <c r="CW3120" i="1"/>
  <c r="BL3120" i="1"/>
  <c r="BK3120" i="1"/>
  <c r="DG3119" i="1"/>
  <c r="M3754" i="1"/>
  <c r="L3754" i="1"/>
  <c r="DA3119" i="1"/>
  <c r="CY3119" i="1"/>
  <c r="CX3119" i="1"/>
  <c r="J3754" i="1"/>
  <c r="CW3119" i="1"/>
  <c r="BL3119" i="1"/>
  <c r="BK3119" i="1"/>
  <c r="DG3118" i="1"/>
  <c r="M1960" i="1"/>
  <c r="L1960" i="1"/>
  <c r="DA3118" i="1"/>
  <c r="CY3118" i="1"/>
  <c r="CX3118" i="1"/>
  <c r="J1960" i="1"/>
  <c r="BL3118" i="1"/>
  <c r="BK3118" i="1"/>
  <c r="DG3117" i="1"/>
  <c r="M3756" i="1"/>
  <c r="L3756" i="1"/>
  <c r="DA3117" i="1"/>
  <c r="CY3117" i="1"/>
  <c r="CX3117" i="1"/>
  <c r="J3756" i="1"/>
  <c r="CW3117" i="1"/>
  <c r="BL3117" i="1"/>
  <c r="BK3117" i="1"/>
  <c r="DG3116" i="1"/>
  <c r="M3757" i="1"/>
  <c r="L3757" i="1"/>
  <c r="DA3116" i="1"/>
  <c r="CY3116" i="1"/>
  <c r="CX3116" i="1"/>
  <c r="J3757" i="1"/>
  <c r="CW3116" i="1"/>
  <c r="BL3116" i="1"/>
  <c r="BK3116" i="1"/>
  <c r="DG3115" i="1"/>
  <c r="M3758" i="1"/>
  <c r="L3758" i="1"/>
  <c r="DA3115" i="1"/>
  <c r="CY3115" i="1"/>
  <c r="CX3115" i="1"/>
  <c r="J3758" i="1"/>
  <c r="CW3115" i="1"/>
  <c r="BL3115" i="1"/>
  <c r="BK3115" i="1"/>
  <c r="DG3114" i="1"/>
  <c r="M3759" i="1"/>
  <c r="L3759" i="1"/>
  <c r="DA3114" i="1"/>
  <c r="CY3114" i="1"/>
  <c r="CX3114" i="1"/>
  <c r="J3759" i="1"/>
  <c r="CW3114" i="1"/>
  <c r="BL3114" i="1"/>
  <c r="BK3114" i="1"/>
  <c r="DG3113" i="1"/>
  <c r="M3760" i="1"/>
  <c r="L3760" i="1"/>
  <c r="DA3113" i="1"/>
  <c r="CY3113" i="1"/>
  <c r="CX3113" i="1"/>
  <c r="J3760" i="1"/>
  <c r="CW3113" i="1"/>
  <c r="BL3113" i="1"/>
  <c r="BK3113" i="1"/>
  <c r="DG3112" i="1"/>
  <c r="M3761" i="1"/>
  <c r="L3761" i="1"/>
  <c r="DA3112" i="1"/>
  <c r="CY3112" i="1"/>
  <c r="CX3112" i="1"/>
  <c r="J3761" i="1"/>
  <c r="CW3112" i="1"/>
  <c r="BL3112" i="1"/>
  <c r="BK3112" i="1"/>
  <c r="DG3111" i="1"/>
  <c r="M3762" i="1"/>
  <c r="L3762" i="1"/>
  <c r="DA3111" i="1"/>
  <c r="CY3111" i="1"/>
  <c r="CX3111" i="1"/>
  <c r="J3762" i="1"/>
  <c r="CW3111" i="1"/>
  <c r="BL3111" i="1"/>
  <c r="BK3111" i="1"/>
  <c r="DG3110" i="1"/>
  <c r="M1976" i="1"/>
  <c r="L1976" i="1"/>
  <c r="DA3110" i="1"/>
  <c r="CY3110" i="1"/>
  <c r="CX3110" i="1"/>
  <c r="J1976" i="1"/>
  <c r="BL3110" i="1"/>
  <c r="BK3110" i="1"/>
  <c r="DG3109" i="1"/>
  <c r="M3764" i="1"/>
  <c r="L3764" i="1"/>
  <c r="DA3109" i="1"/>
  <c r="CY3109" i="1"/>
  <c r="CX3109" i="1"/>
  <c r="J3764" i="1"/>
  <c r="CW3109" i="1"/>
  <c r="BL3109" i="1"/>
  <c r="BK3109" i="1"/>
  <c r="DG3108" i="1"/>
  <c r="M3765" i="1"/>
  <c r="L3765" i="1"/>
  <c r="DA3108" i="1"/>
  <c r="CY3108" i="1"/>
  <c r="CX3108" i="1"/>
  <c r="J3765" i="1"/>
  <c r="CW3108" i="1"/>
  <c r="BL3108" i="1"/>
  <c r="BK3108" i="1"/>
  <c r="DG3107" i="1"/>
  <c r="M3766" i="1"/>
  <c r="L3766" i="1"/>
  <c r="DA3107" i="1"/>
  <c r="CY3107" i="1"/>
  <c r="CX3107" i="1"/>
  <c r="J3766" i="1"/>
  <c r="CW3107" i="1"/>
  <c r="BL3107" i="1"/>
  <c r="BK3107" i="1"/>
  <c r="DG3106" i="1"/>
  <c r="M3767" i="1"/>
  <c r="L3767" i="1"/>
  <c r="DA3106" i="1"/>
  <c r="CY3106" i="1"/>
  <c r="CX3106" i="1"/>
  <c r="J3767" i="1"/>
  <c r="CW3106" i="1"/>
  <c r="BL3106" i="1"/>
  <c r="BK3106" i="1"/>
  <c r="DG3105" i="1"/>
  <c r="M3768" i="1"/>
  <c r="L3768" i="1"/>
  <c r="DA3105" i="1"/>
  <c r="CY3105" i="1"/>
  <c r="CX3105" i="1"/>
  <c r="J3768" i="1"/>
  <c r="CW3105" i="1"/>
  <c r="BL3105" i="1"/>
  <c r="BK3105" i="1"/>
  <c r="DG3104" i="1"/>
  <c r="M3769" i="1"/>
  <c r="L3769" i="1"/>
  <c r="DA3104" i="1"/>
  <c r="CY3104" i="1"/>
  <c r="CX3104" i="1"/>
  <c r="J3769" i="1"/>
  <c r="CW3104" i="1"/>
  <c r="BL3104" i="1"/>
  <c r="BK3104" i="1"/>
  <c r="DG3103" i="1"/>
  <c r="M3770" i="1"/>
  <c r="L3770" i="1"/>
  <c r="DA3103" i="1"/>
  <c r="CY3103" i="1"/>
  <c r="CX3103" i="1"/>
  <c r="J3770" i="1"/>
  <c r="CW3103" i="1"/>
  <c r="BL3103" i="1"/>
  <c r="BK3103" i="1"/>
  <c r="DG3102" i="1"/>
  <c r="M3771" i="1"/>
  <c r="L3771" i="1"/>
  <c r="DA3102" i="1"/>
  <c r="CY3102" i="1"/>
  <c r="CX3102" i="1"/>
  <c r="J3771" i="1"/>
  <c r="CW3102" i="1"/>
  <c r="BL3102" i="1"/>
  <c r="BK3102" i="1"/>
  <c r="DG3101" i="1"/>
  <c r="M3772" i="1"/>
  <c r="L3772" i="1"/>
  <c r="DA3101" i="1"/>
  <c r="CY3101" i="1"/>
  <c r="CX3101" i="1"/>
  <c r="J3772" i="1"/>
  <c r="CW3101" i="1"/>
  <c r="BL3101" i="1"/>
  <c r="BK3101" i="1"/>
  <c r="DG3100" i="1"/>
  <c r="M3773" i="1"/>
  <c r="L3773" i="1"/>
  <c r="DA3100" i="1"/>
  <c r="CY3100" i="1"/>
  <c r="CX3100" i="1"/>
  <c r="J3773" i="1"/>
  <c r="CW3100" i="1"/>
  <c r="BL3100" i="1"/>
  <c r="BK3100" i="1"/>
  <c r="DG3099" i="1"/>
  <c r="M3774" i="1"/>
  <c r="L3774" i="1"/>
  <c r="DA3099" i="1"/>
  <c r="CY3099" i="1"/>
  <c r="CX3099" i="1"/>
  <c r="J3774" i="1"/>
  <c r="CW3099" i="1"/>
  <c r="BL3099" i="1"/>
  <c r="BK3099" i="1"/>
  <c r="DG3098" i="1"/>
  <c r="M3775" i="1"/>
  <c r="L3775" i="1"/>
  <c r="DA3098" i="1"/>
  <c r="CY3098" i="1"/>
  <c r="CX3098" i="1"/>
  <c r="J3775" i="1"/>
  <c r="CW3098" i="1"/>
  <c r="BL3098" i="1"/>
  <c r="BK3098" i="1"/>
  <c r="DG3097" i="1"/>
  <c r="M3776" i="1"/>
  <c r="L3776" i="1"/>
  <c r="DA3097" i="1"/>
  <c r="CY3097" i="1"/>
  <c r="CX3097" i="1"/>
  <c r="J3776" i="1"/>
  <c r="CW3097" i="1"/>
  <c r="BL3097" i="1"/>
  <c r="BK3097" i="1"/>
  <c r="DG3096" i="1"/>
  <c r="M3777" i="1"/>
  <c r="L3777" i="1"/>
  <c r="DA3096" i="1"/>
  <c r="CY3096" i="1"/>
  <c r="CX3096" i="1"/>
  <c r="J3777" i="1"/>
  <c r="CW3096" i="1"/>
  <c r="BL3096" i="1"/>
  <c r="BK3096" i="1"/>
  <c r="DG3095" i="1"/>
  <c r="M3778" i="1"/>
  <c r="L3778" i="1"/>
  <c r="DA3095" i="1"/>
  <c r="CY3095" i="1"/>
  <c r="CX3095" i="1"/>
  <c r="J3778" i="1"/>
  <c r="CW3095" i="1"/>
  <c r="BL3095" i="1"/>
  <c r="BK3095" i="1"/>
  <c r="DG3094" i="1"/>
  <c r="M2009" i="1"/>
  <c r="L2009" i="1"/>
  <c r="DA3094" i="1"/>
  <c r="CY3094" i="1"/>
  <c r="CX3094" i="1"/>
  <c r="J2009" i="1"/>
  <c r="BL3094" i="1"/>
  <c r="BK3094" i="1"/>
  <c r="DG3093" i="1"/>
  <c r="M3780" i="1"/>
  <c r="L3780" i="1"/>
  <c r="DA3093" i="1"/>
  <c r="CY3093" i="1"/>
  <c r="CX3093" i="1"/>
  <c r="J3780" i="1"/>
  <c r="CW3093" i="1"/>
  <c r="BL3093" i="1"/>
  <c r="BK3093" i="1"/>
  <c r="DG3092" i="1"/>
  <c r="M3781" i="1"/>
  <c r="L3781" i="1"/>
  <c r="DA3092" i="1"/>
  <c r="CY3092" i="1"/>
  <c r="CX3092" i="1"/>
  <c r="J3781" i="1"/>
  <c r="CW3092" i="1"/>
  <c r="BL3092" i="1"/>
  <c r="BK3092" i="1"/>
  <c r="DG3091" i="1"/>
  <c r="M3782" i="1"/>
  <c r="L3782" i="1"/>
  <c r="DA3091" i="1"/>
  <c r="CY3091" i="1"/>
  <c r="CX3091" i="1"/>
  <c r="J3782" i="1"/>
  <c r="CW3091" i="1"/>
  <c r="BL3091" i="1"/>
  <c r="BK3091" i="1"/>
  <c r="DG3090" i="1"/>
  <c r="M2017" i="1"/>
  <c r="L2017" i="1"/>
  <c r="DA3090" i="1"/>
  <c r="CY3090" i="1"/>
  <c r="CX3090" i="1"/>
  <c r="J2017" i="1"/>
  <c r="BL3090" i="1"/>
  <c r="BK3090" i="1"/>
  <c r="DG3089" i="1"/>
  <c r="M3784" i="1"/>
  <c r="L3784" i="1"/>
  <c r="DA3089" i="1"/>
  <c r="CY3089" i="1"/>
  <c r="CX3089" i="1"/>
  <c r="J3784" i="1"/>
  <c r="CW3089" i="1"/>
  <c r="BL3089" i="1"/>
  <c r="BK3089" i="1"/>
  <c r="DG3088" i="1"/>
  <c r="M3786" i="1"/>
  <c r="L3786" i="1"/>
  <c r="DA3088" i="1"/>
  <c r="CY3088" i="1"/>
  <c r="CX3088" i="1"/>
  <c r="J3786" i="1"/>
  <c r="CW3088" i="1"/>
  <c r="BL3088" i="1"/>
  <c r="BK3088" i="1"/>
  <c r="DG3087" i="1"/>
  <c r="M3787" i="1"/>
  <c r="L3787" i="1"/>
  <c r="DA3087" i="1"/>
  <c r="CY3087" i="1"/>
  <c r="CX3087" i="1"/>
  <c r="J3787" i="1"/>
  <c r="CW3087" i="1"/>
  <c r="BL3087" i="1"/>
  <c r="BK3087" i="1"/>
  <c r="DG3086" i="1"/>
  <c r="M2025" i="1"/>
  <c r="L2025" i="1"/>
  <c r="DA3086" i="1"/>
  <c r="CY3086" i="1"/>
  <c r="CX3086" i="1"/>
  <c r="J2025" i="1"/>
  <c r="BL3086" i="1"/>
  <c r="BK3086" i="1"/>
  <c r="DG3085" i="1"/>
  <c r="M3789" i="1"/>
  <c r="L3789" i="1"/>
  <c r="DA3085" i="1"/>
  <c r="CY3085" i="1"/>
  <c r="CX3085" i="1"/>
  <c r="J3789" i="1"/>
  <c r="CW3085" i="1"/>
  <c r="BL3085" i="1"/>
  <c r="BK3085" i="1"/>
  <c r="DG3084" i="1"/>
  <c r="M3790" i="1"/>
  <c r="L3790" i="1"/>
  <c r="DA3084" i="1"/>
  <c r="CY3084" i="1"/>
  <c r="CX3084" i="1"/>
  <c r="J3790" i="1"/>
  <c r="CW3084" i="1"/>
  <c r="BL3084" i="1"/>
  <c r="BK3084" i="1"/>
  <c r="DG3083" i="1"/>
  <c r="M3791" i="1"/>
  <c r="L3791" i="1"/>
  <c r="DA3083" i="1"/>
  <c r="CY3083" i="1"/>
  <c r="CX3083" i="1"/>
  <c r="J3791" i="1"/>
  <c r="CW3083" i="1"/>
  <c r="BL3083" i="1"/>
  <c r="BK3083" i="1"/>
  <c r="DG3082" i="1"/>
  <c r="M3792" i="1"/>
  <c r="L3792" i="1"/>
  <c r="DA3082" i="1"/>
  <c r="CY3082" i="1"/>
  <c r="CX3082" i="1"/>
  <c r="J3792" i="1"/>
  <c r="CW3082" i="1"/>
  <c r="BL3082" i="1"/>
  <c r="BK3082" i="1"/>
  <c r="DG3081" i="1"/>
  <c r="M3793" i="1"/>
  <c r="L3793" i="1"/>
  <c r="DA3081" i="1"/>
  <c r="CY3081" i="1"/>
  <c r="CX3081" i="1"/>
  <c r="J3793" i="1"/>
  <c r="CW3081" i="1"/>
  <c r="BL3081" i="1"/>
  <c r="BK3081" i="1"/>
  <c r="DG3080" i="1"/>
  <c r="M3798" i="1"/>
  <c r="L3798" i="1"/>
  <c r="DA3080" i="1"/>
  <c r="CY3080" i="1"/>
  <c r="CX3080" i="1"/>
  <c r="J3798" i="1"/>
  <c r="CW3080" i="1"/>
  <c r="BL3080" i="1"/>
  <c r="BK3080" i="1"/>
  <c r="DG3079" i="1"/>
  <c r="M3799" i="1"/>
  <c r="L3799" i="1"/>
  <c r="DA3079" i="1"/>
  <c r="CY3079" i="1"/>
  <c r="CX3079" i="1"/>
  <c r="J3799" i="1"/>
  <c r="CW3079" i="1"/>
  <c r="BL3079" i="1"/>
  <c r="BK3079" i="1"/>
  <c r="DG3078" i="1"/>
  <c r="M2041" i="1"/>
  <c r="L2041" i="1"/>
  <c r="DA3078" i="1"/>
  <c r="CY3078" i="1"/>
  <c r="CX3078" i="1"/>
  <c r="J2041" i="1"/>
  <c r="BL3078" i="1"/>
  <c r="BK3078" i="1"/>
  <c r="DG3077" i="1"/>
  <c r="M3801" i="1"/>
  <c r="L3801" i="1"/>
  <c r="DA3077" i="1"/>
  <c r="CY3077" i="1"/>
  <c r="CX3077" i="1"/>
  <c r="J3801" i="1"/>
  <c r="CW3077" i="1"/>
  <c r="BL3077" i="1"/>
  <c r="BK3077" i="1"/>
  <c r="DG3076" i="1"/>
  <c r="M2045" i="1"/>
  <c r="L2045" i="1"/>
  <c r="DA3076" i="1"/>
  <c r="CY3076" i="1"/>
  <c r="CX3076" i="1"/>
  <c r="J2045" i="1"/>
  <c r="BL3076" i="1"/>
  <c r="BK3076" i="1"/>
  <c r="DG3075" i="1"/>
  <c r="M3803" i="1"/>
  <c r="L3803" i="1"/>
  <c r="DA3075" i="1"/>
  <c r="CY3075" i="1"/>
  <c r="CX3075" i="1"/>
  <c r="J3803" i="1"/>
  <c r="CW3075" i="1"/>
  <c r="BL3075" i="1"/>
  <c r="BK3075" i="1"/>
  <c r="DG3074" i="1"/>
  <c r="M2049" i="1"/>
  <c r="L2049" i="1"/>
  <c r="DA3074" i="1"/>
  <c r="CY3074" i="1"/>
  <c r="CX3074" i="1"/>
  <c r="J2049" i="1"/>
  <c r="BL3074" i="1"/>
  <c r="BK3074" i="1"/>
  <c r="DG3073" i="1"/>
  <c r="M3805" i="1"/>
  <c r="L3805" i="1"/>
  <c r="DA3073" i="1"/>
  <c r="CY3073" i="1"/>
  <c r="CX3073" i="1"/>
  <c r="J3805" i="1"/>
  <c r="CW3073" i="1"/>
  <c r="BL3073" i="1"/>
  <c r="BK3073" i="1"/>
  <c r="DG3072" i="1"/>
  <c r="M3806" i="1"/>
  <c r="L3806" i="1"/>
  <c r="DA3072" i="1"/>
  <c r="CY3072" i="1"/>
  <c r="CX3072" i="1"/>
  <c r="J3806" i="1"/>
  <c r="CW3072" i="1"/>
  <c r="BL3072" i="1"/>
  <c r="BK3072" i="1"/>
  <c r="DG3071" i="1"/>
  <c r="M3807" i="1"/>
  <c r="L3807" i="1"/>
  <c r="DA3071" i="1"/>
  <c r="CY3071" i="1"/>
  <c r="CX3071" i="1"/>
  <c r="J3807" i="1"/>
  <c r="CW3071" i="1"/>
  <c r="BL3071" i="1"/>
  <c r="BK3071" i="1"/>
  <c r="DG3070" i="1"/>
  <c r="M2057" i="1"/>
  <c r="L2057" i="1"/>
  <c r="DA3070" i="1"/>
  <c r="CY3070" i="1"/>
  <c r="CX3070" i="1"/>
  <c r="J2057" i="1"/>
  <c r="BL3070" i="1"/>
  <c r="BK3070" i="1"/>
  <c r="DG3069" i="1"/>
  <c r="M3809" i="1"/>
  <c r="L3809" i="1"/>
  <c r="DA3069" i="1"/>
  <c r="CY3069" i="1"/>
  <c r="CX3069" i="1"/>
  <c r="J3809" i="1"/>
  <c r="CW3069" i="1"/>
  <c r="BL3069" i="1"/>
  <c r="BK3069" i="1"/>
  <c r="DG3068" i="1"/>
  <c r="M3810" i="1"/>
  <c r="L3810" i="1"/>
  <c r="DA3068" i="1"/>
  <c r="CY3068" i="1"/>
  <c r="CX3068" i="1"/>
  <c r="J3810" i="1"/>
  <c r="CW3068" i="1"/>
  <c r="BL3068" i="1"/>
  <c r="BK3068" i="1"/>
  <c r="DG3067" i="1"/>
  <c r="M3811" i="1"/>
  <c r="L3811" i="1"/>
  <c r="DA3067" i="1"/>
  <c r="CY3067" i="1"/>
  <c r="CX3067" i="1"/>
  <c r="J3811" i="1"/>
  <c r="CW3067" i="1"/>
  <c r="BL3067" i="1"/>
  <c r="BK3067" i="1"/>
  <c r="DG3066" i="1"/>
  <c r="M2065" i="1"/>
  <c r="L2065" i="1"/>
  <c r="DA3066" i="1"/>
  <c r="CY3066" i="1"/>
  <c r="CX3066" i="1"/>
  <c r="J2065" i="1"/>
  <c r="BL3066" i="1"/>
  <c r="BK3066" i="1"/>
  <c r="DG3065" i="1"/>
  <c r="M3813" i="1"/>
  <c r="L3813" i="1"/>
  <c r="DA3065" i="1"/>
  <c r="CY3065" i="1"/>
  <c r="CX3065" i="1"/>
  <c r="J3813" i="1"/>
  <c r="CW3065" i="1"/>
  <c r="BL3065" i="1"/>
  <c r="BK3065" i="1"/>
  <c r="DG3064" i="1"/>
  <c r="M3814" i="1"/>
  <c r="L3814" i="1"/>
  <c r="DA3064" i="1"/>
  <c r="CY3064" i="1"/>
  <c r="CX3064" i="1"/>
  <c r="J3814" i="1"/>
  <c r="CW3064" i="1"/>
  <c r="BL3064" i="1"/>
  <c r="BK3064" i="1"/>
  <c r="DG3063" i="1"/>
  <c r="M3815" i="1"/>
  <c r="L3815" i="1"/>
  <c r="DA3063" i="1"/>
  <c r="CY3063" i="1"/>
  <c r="CX3063" i="1"/>
  <c r="J3815" i="1"/>
  <c r="CW3063" i="1"/>
  <c r="BL3063" i="1"/>
  <c r="BK3063" i="1"/>
  <c r="DG3062" i="1"/>
  <c r="M2073" i="1"/>
  <c r="L2073" i="1"/>
  <c r="DA3062" i="1"/>
  <c r="CY3062" i="1"/>
  <c r="CX3062" i="1"/>
  <c r="J2073" i="1"/>
  <c r="BL3062" i="1"/>
  <c r="BK3062" i="1"/>
  <c r="DG3061" i="1"/>
  <c r="M3817" i="1"/>
  <c r="L3817" i="1"/>
  <c r="DA3061" i="1"/>
  <c r="CY3061" i="1"/>
  <c r="CX3061" i="1"/>
  <c r="J3817" i="1"/>
  <c r="CW3061" i="1"/>
  <c r="BL3061" i="1"/>
  <c r="BK3061" i="1"/>
  <c r="DG3060" i="1"/>
  <c r="M3818" i="1"/>
  <c r="L3818" i="1"/>
  <c r="DA3060" i="1"/>
  <c r="CY3060" i="1"/>
  <c r="CX3060" i="1"/>
  <c r="J3818" i="1"/>
  <c r="CW3060" i="1"/>
  <c r="BL3060" i="1"/>
  <c r="BK3060" i="1"/>
  <c r="DG3059" i="1"/>
  <c r="M3819" i="1"/>
  <c r="L3819" i="1"/>
  <c r="DA3059" i="1"/>
  <c r="CY3059" i="1"/>
  <c r="CX3059" i="1"/>
  <c r="J3819" i="1"/>
  <c r="CW3059" i="1"/>
  <c r="BL3059" i="1"/>
  <c r="BK3059" i="1"/>
  <c r="DG3058" i="1"/>
  <c r="M2081" i="1"/>
  <c r="L2081" i="1"/>
  <c r="DA3058" i="1"/>
  <c r="CY3058" i="1"/>
  <c r="CX3058" i="1"/>
  <c r="J2081" i="1"/>
  <c r="BL3058" i="1"/>
  <c r="BK3058" i="1"/>
  <c r="DG3057" i="1"/>
  <c r="M3821" i="1"/>
  <c r="L3821" i="1"/>
  <c r="DA3057" i="1"/>
  <c r="CY3057" i="1"/>
  <c r="CX3057" i="1"/>
  <c r="J3821" i="1"/>
  <c r="CW3057" i="1"/>
  <c r="BL3057" i="1"/>
  <c r="BK3057" i="1"/>
  <c r="DG3056" i="1"/>
  <c r="M3822" i="1"/>
  <c r="L3822" i="1"/>
  <c r="DA3056" i="1"/>
  <c r="CY3056" i="1"/>
  <c r="CX3056" i="1"/>
  <c r="J3822" i="1"/>
  <c r="CW3056" i="1"/>
  <c r="BL3056" i="1"/>
  <c r="BK3056" i="1"/>
  <c r="DG3055" i="1"/>
  <c r="M3823" i="1"/>
  <c r="L3823" i="1"/>
  <c r="DA3055" i="1"/>
  <c r="CY3055" i="1"/>
  <c r="CX3055" i="1"/>
  <c r="J3823" i="1"/>
  <c r="CW3055" i="1"/>
  <c r="BL3055" i="1"/>
  <c r="BK3055" i="1"/>
  <c r="DG3054" i="1"/>
  <c r="M2089" i="1"/>
  <c r="L2089" i="1"/>
  <c r="DA3054" i="1"/>
  <c r="CY3054" i="1"/>
  <c r="CX3054" i="1"/>
  <c r="J2089" i="1"/>
  <c r="BL3054" i="1"/>
  <c r="BK3054" i="1"/>
  <c r="DG3053" i="1"/>
  <c r="M3825" i="1"/>
  <c r="L3825" i="1"/>
  <c r="DA3053" i="1"/>
  <c r="CY3053" i="1"/>
  <c r="CX3053" i="1"/>
  <c r="J3825" i="1"/>
  <c r="CW3053" i="1"/>
  <c r="BL3053" i="1"/>
  <c r="BK3053" i="1"/>
  <c r="DG3052" i="1"/>
  <c r="M3826" i="1"/>
  <c r="L3826" i="1"/>
  <c r="DA3052" i="1"/>
  <c r="CY3052" i="1"/>
  <c r="CX3052" i="1"/>
  <c r="J3826" i="1"/>
  <c r="CW3052" i="1"/>
  <c r="BL3052" i="1"/>
  <c r="BK3052" i="1"/>
  <c r="DG3051" i="1"/>
  <c r="M3827" i="1"/>
  <c r="L3827" i="1"/>
  <c r="DA3051" i="1"/>
  <c r="CY3051" i="1"/>
  <c r="CX3051" i="1"/>
  <c r="J3827" i="1"/>
  <c r="CW3051" i="1"/>
  <c r="BL3051" i="1"/>
  <c r="BK3051" i="1"/>
  <c r="DG3050" i="1"/>
  <c r="M3828" i="1"/>
  <c r="L3828" i="1"/>
  <c r="DA3050" i="1"/>
  <c r="CY3050" i="1"/>
  <c r="CX3050" i="1"/>
  <c r="J3828" i="1"/>
  <c r="CW3050" i="1"/>
  <c r="BL3050" i="1"/>
  <c r="BK3050" i="1"/>
  <c r="DG3049" i="1"/>
  <c r="M3829" i="1"/>
  <c r="L3829" i="1"/>
  <c r="DA3049" i="1"/>
  <c r="CY3049" i="1"/>
  <c r="CX3049" i="1"/>
  <c r="J3829" i="1"/>
  <c r="CW3049" i="1"/>
  <c r="BL3049" i="1"/>
  <c r="BK3049" i="1"/>
  <c r="DG3048" i="1"/>
  <c r="M3835" i="1"/>
  <c r="L3835" i="1"/>
  <c r="DA3048" i="1"/>
  <c r="CY3048" i="1"/>
  <c r="CX3048" i="1"/>
  <c r="J3835" i="1"/>
  <c r="CW3048" i="1"/>
  <c r="BL3048" i="1"/>
  <c r="BK3048" i="1"/>
  <c r="DG3047" i="1"/>
  <c r="M3836" i="1"/>
  <c r="L3836" i="1"/>
  <c r="DA3047" i="1"/>
  <c r="CY3047" i="1"/>
  <c r="CX3047" i="1"/>
  <c r="J3836" i="1"/>
  <c r="CW3047" i="1"/>
  <c r="BL3047" i="1"/>
  <c r="BK3047" i="1"/>
  <c r="DG3046" i="1"/>
  <c r="M2105" i="1"/>
  <c r="L2105" i="1"/>
  <c r="DA3046" i="1"/>
  <c r="CY3046" i="1"/>
  <c r="CX3046" i="1"/>
  <c r="J2105" i="1"/>
  <c r="BL3046" i="1"/>
  <c r="BK3046" i="1"/>
  <c r="DG3045" i="1"/>
  <c r="M3838" i="1"/>
  <c r="L3838" i="1"/>
  <c r="DA3045" i="1"/>
  <c r="CY3045" i="1"/>
  <c r="CX3045" i="1"/>
  <c r="J3838" i="1"/>
  <c r="CW3045" i="1"/>
  <c r="BL3045" i="1"/>
  <c r="BK3045" i="1"/>
  <c r="DG3044" i="1"/>
  <c r="M3839" i="1"/>
  <c r="L3839" i="1"/>
  <c r="DA3044" i="1"/>
  <c r="CY3044" i="1"/>
  <c r="CX3044" i="1"/>
  <c r="J3839" i="1"/>
  <c r="CW3044" i="1"/>
  <c r="BL3044" i="1"/>
  <c r="BK3044" i="1"/>
  <c r="DG3043" i="1"/>
  <c r="M3840" i="1"/>
  <c r="L3840" i="1"/>
  <c r="DA3043" i="1"/>
  <c r="CY3043" i="1"/>
  <c r="CX3043" i="1"/>
  <c r="J3840" i="1"/>
  <c r="CW3043" i="1"/>
  <c r="BL3043" i="1"/>
  <c r="BK3043" i="1"/>
  <c r="DG3042" i="1"/>
  <c r="M3841" i="1"/>
  <c r="L3841" i="1"/>
  <c r="DA3042" i="1"/>
  <c r="CY3042" i="1"/>
  <c r="CX3042" i="1"/>
  <c r="J3841" i="1"/>
  <c r="CW3042" i="1"/>
  <c r="BL3042" i="1"/>
  <c r="BK3042" i="1"/>
  <c r="DG3041" i="1"/>
  <c r="M3842" i="1"/>
  <c r="L3842" i="1"/>
  <c r="DA3041" i="1"/>
  <c r="CY3041" i="1"/>
  <c r="CX3041" i="1"/>
  <c r="J3842" i="1"/>
  <c r="CW3041" i="1"/>
  <c r="BL3041" i="1"/>
  <c r="BK3041" i="1"/>
  <c r="DG3040" i="1"/>
  <c r="M3843" i="1"/>
  <c r="L3843" i="1"/>
  <c r="DA3040" i="1"/>
  <c r="CY3040" i="1"/>
  <c r="CX3040" i="1"/>
  <c r="J3843" i="1"/>
  <c r="CW3040" i="1"/>
  <c r="BL3040" i="1"/>
  <c r="BK3040" i="1"/>
  <c r="DG3039" i="1"/>
  <c r="M3844" i="1"/>
  <c r="L3844" i="1"/>
  <c r="DA3039" i="1"/>
  <c r="CY3039" i="1"/>
  <c r="CX3039" i="1"/>
  <c r="J3844" i="1"/>
  <c r="CW3039" i="1"/>
  <c r="BL3039" i="1"/>
  <c r="BK3039" i="1"/>
  <c r="DG3038" i="1"/>
  <c r="M3845" i="1"/>
  <c r="L3845" i="1"/>
  <c r="DA3038" i="1"/>
  <c r="CY3038" i="1"/>
  <c r="CX3038" i="1"/>
  <c r="J3845" i="1"/>
  <c r="CW3038" i="1"/>
  <c r="BL3038" i="1"/>
  <c r="BK3038" i="1"/>
  <c r="DG3037" i="1"/>
  <c r="M3549" i="1"/>
  <c r="L3549" i="1"/>
  <c r="DA3037" i="1"/>
  <c r="CY3037" i="1"/>
  <c r="CX3037" i="1"/>
  <c r="J3549" i="1"/>
  <c r="CW3037" i="1"/>
  <c r="BL3037" i="1"/>
  <c r="BK3037" i="1"/>
  <c r="DG3036" i="1"/>
  <c r="M3196" i="1"/>
  <c r="L3196" i="1"/>
  <c r="DA3036" i="1"/>
  <c r="CY3036" i="1"/>
  <c r="CX3036" i="1"/>
  <c r="J3196" i="1"/>
  <c r="BL3036" i="1"/>
  <c r="BK3036" i="1"/>
  <c r="DG3035" i="1"/>
  <c r="M1844" i="1"/>
  <c r="L1844" i="1"/>
  <c r="DA3035" i="1"/>
  <c r="CY3035" i="1"/>
  <c r="CX3035" i="1"/>
  <c r="J1844" i="1"/>
  <c r="BL3035" i="1"/>
  <c r="BK3035" i="1"/>
  <c r="DG3034" i="1"/>
  <c r="M1843" i="1"/>
  <c r="L1843" i="1"/>
  <c r="DA3034" i="1"/>
  <c r="CY3034" i="1"/>
  <c r="CX3034" i="1"/>
  <c r="J1843" i="1"/>
  <c r="BL3034" i="1"/>
  <c r="BK3034" i="1"/>
  <c r="DG3033" i="1"/>
  <c r="M3194" i="1"/>
  <c r="L3194" i="1"/>
  <c r="DA3033" i="1"/>
  <c r="CY3033" i="1"/>
  <c r="CX3033" i="1"/>
  <c r="J3194" i="1"/>
  <c r="BL3033" i="1"/>
  <c r="BK3033" i="1"/>
  <c r="DG3032" i="1"/>
  <c r="M3193" i="1"/>
  <c r="L3193" i="1"/>
  <c r="DA3032" i="1"/>
  <c r="CY3032" i="1"/>
  <c r="CX3032" i="1"/>
  <c r="J3193" i="1"/>
  <c r="BL3032" i="1"/>
  <c r="BK3032" i="1"/>
  <c r="DG3031" i="1"/>
  <c r="M3192" i="1"/>
  <c r="L3192" i="1"/>
  <c r="DA3031" i="1"/>
  <c r="CY3031" i="1"/>
  <c r="CX3031" i="1"/>
  <c r="J3192" i="1"/>
  <c r="BL3031" i="1"/>
  <c r="BK3031" i="1"/>
  <c r="DG3030" i="1"/>
  <c r="M2137" i="1"/>
  <c r="L2137" i="1"/>
  <c r="DA3030" i="1"/>
  <c r="CY3030" i="1"/>
  <c r="CX3030" i="1"/>
  <c r="J2137" i="1"/>
  <c r="BL3030" i="1"/>
  <c r="BK3030" i="1"/>
  <c r="DG3029" i="1"/>
  <c r="M1861" i="1"/>
  <c r="L1861" i="1"/>
  <c r="DA3029" i="1"/>
  <c r="CY3029" i="1"/>
  <c r="CX3029" i="1"/>
  <c r="J1861" i="1"/>
  <c r="BL3029" i="1"/>
  <c r="BK3029" i="1"/>
  <c r="DG3028" i="1"/>
  <c r="M1855" i="1"/>
  <c r="L1855" i="1"/>
  <c r="DA3028" i="1"/>
  <c r="CY3028" i="1"/>
  <c r="CX3028" i="1"/>
  <c r="J1855" i="1"/>
  <c r="BL3028" i="1"/>
  <c r="BK3028" i="1"/>
  <c r="DG3027" i="1"/>
  <c r="M1845" i="1"/>
  <c r="L1845" i="1"/>
  <c r="DA3027" i="1"/>
  <c r="CY3027" i="1"/>
  <c r="CX3027" i="1"/>
  <c r="J1845" i="1"/>
  <c r="BL3027" i="1"/>
  <c r="BK3027" i="1"/>
  <c r="DG3026" i="1"/>
  <c r="M2145" i="1"/>
  <c r="L2145" i="1"/>
  <c r="DA3026" i="1"/>
  <c r="CY3026" i="1"/>
  <c r="CX3026" i="1"/>
  <c r="J2145" i="1"/>
  <c r="BL3026" i="1"/>
  <c r="BK3026" i="1"/>
  <c r="DG3025" i="1"/>
  <c r="M20" i="1"/>
  <c r="L20" i="1"/>
  <c r="DA3025" i="1"/>
  <c r="CY3025" i="1"/>
  <c r="CX3025" i="1"/>
  <c r="J20" i="1"/>
  <c r="BL3025" i="1"/>
  <c r="BK3025" i="1"/>
  <c r="DG3024" i="1"/>
  <c r="M70" i="1"/>
  <c r="L70" i="1"/>
  <c r="DA3024" i="1"/>
  <c r="CY3024" i="1"/>
  <c r="CX3024" i="1"/>
  <c r="J70" i="1"/>
  <c r="BL3024" i="1"/>
  <c r="BK3024" i="1"/>
  <c r="DG3023" i="1"/>
  <c r="M2151" i="1"/>
  <c r="L2151" i="1"/>
  <c r="DA3023" i="1"/>
  <c r="CY3023" i="1"/>
  <c r="CX3023" i="1"/>
  <c r="J2151" i="1"/>
  <c r="BL3023" i="1"/>
  <c r="BK3023" i="1"/>
  <c r="DG3022" i="1"/>
  <c r="M2153" i="1"/>
  <c r="L2153" i="1"/>
  <c r="DA3022" i="1"/>
  <c r="CY3022" i="1"/>
  <c r="CX3022" i="1"/>
  <c r="J2153" i="1"/>
  <c r="BL3022" i="1"/>
  <c r="BK3022" i="1"/>
  <c r="DG3021" i="1"/>
  <c r="M88" i="1"/>
  <c r="L88" i="1"/>
  <c r="DA3021" i="1"/>
  <c r="CY3021" i="1"/>
  <c r="CX3021" i="1"/>
  <c r="J88" i="1"/>
  <c r="BL3021" i="1"/>
  <c r="BK3021" i="1"/>
  <c r="DG3020" i="1"/>
  <c r="M1050" i="1"/>
  <c r="L1050" i="1"/>
  <c r="DA3020" i="1"/>
  <c r="CY3020" i="1"/>
  <c r="CX3020" i="1"/>
  <c r="J1050" i="1"/>
  <c r="BL3020" i="1"/>
  <c r="BK3020" i="1"/>
  <c r="DG3019" i="1"/>
  <c r="M1051" i="1"/>
  <c r="L1051" i="1"/>
  <c r="DA3019" i="1"/>
  <c r="CY3019" i="1"/>
  <c r="CX3019" i="1"/>
  <c r="J1051" i="1"/>
  <c r="BL3019" i="1"/>
  <c r="BK3019" i="1"/>
  <c r="DG3018" i="1"/>
  <c r="M1052" i="1"/>
  <c r="L1052" i="1"/>
  <c r="DA3018" i="1"/>
  <c r="CY3018" i="1"/>
  <c r="CX3018" i="1"/>
  <c r="J1052" i="1"/>
  <c r="BL3018" i="1"/>
  <c r="BK3018" i="1"/>
  <c r="DG3017" i="1"/>
  <c r="M1053" i="1"/>
  <c r="L1053" i="1"/>
  <c r="DA3017" i="1"/>
  <c r="CY3017" i="1"/>
  <c r="CX3017" i="1"/>
  <c r="J1053" i="1"/>
  <c r="BL3017" i="1"/>
  <c r="BK3017" i="1"/>
  <c r="DG3016" i="1"/>
  <c r="M1054" i="1"/>
  <c r="L1054" i="1"/>
  <c r="DA3016" i="1"/>
  <c r="CY3016" i="1"/>
  <c r="CX3016" i="1"/>
  <c r="J1054" i="1"/>
  <c r="BL3016" i="1"/>
  <c r="BK3016" i="1"/>
  <c r="DG3015" i="1"/>
  <c r="M1055" i="1"/>
  <c r="L1055" i="1"/>
  <c r="DA3015" i="1"/>
  <c r="CY3015" i="1"/>
  <c r="CX3015" i="1"/>
  <c r="J1055" i="1"/>
  <c r="BL3015" i="1"/>
  <c r="BK3015" i="1"/>
  <c r="DG3014" i="1"/>
  <c r="M2169" i="1"/>
  <c r="L2169" i="1"/>
  <c r="DA3014" i="1"/>
  <c r="CY3014" i="1"/>
  <c r="CX3014" i="1"/>
  <c r="J2169" i="1"/>
  <c r="BL3014" i="1"/>
  <c r="BK3014" i="1"/>
  <c r="DG3013" i="1"/>
  <c r="M1057" i="1"/>
  <c r="L1057" i="1"/>
  <c r="DA3013" i="1"/>
  <c r="CY3013" i="1"/>
  <c r="CX3013" i="1"/>
  <c r="J1057" i="1"/>
  <c r="BL3013" i="1"/>
  <c r="BK3013" i="1"/>
  <c r="DG3012" i="1"/>
  <c r="M1058" i="1"/>
  <c r="L1058" i="1"/>
  <c r="DA3012" i="1"/>
  <c r="CY3012" i="1"/>
  <c r="CX3012" i="1"/>
  <c r="J1058" i="1"/>
  <c r="BL3012" i="1"/>
  <c r="BK3012" i="1"/>
  <c r="DG3011" i="1"/>
  <c r="M1059" i="1"/>
  <c r="L1059" i="1"/>
  <c r="DA3011" i="1"/>
  <c r="CY3011" i="1"/>
  <c r="CX3011" i="1"/>
  <c r="J1059" i="1"/>
  <c r="BL3011" i="1"/>
  <c r="BK3011" i="1"/>
  <c r="DG3010" i="1"/>
  <c r="M1060" i="1"/>
  <c r="L1060" i="1"/>
  <c r="DA3010" i="1"/>
  <c r="CY3010" i="1"/>
  <c r="CX3010" i="1"/>
  <c r="J1060" i="1"/>
  <c r="BL3010" i="1"/>
  <c r="BK3010" i="1"/>
  <c r="DG3009" i="1"/>
  <c r="M1061" i="1"/>
  <c r="L1061" i="1"/>
  <c r="DA3009" i="1"/>
  <c r="CY3009" i="1"/>
  <c r="CX3009" i="1"/>
  <c r="J1061" i="1"/>
  <c r="BL3009" i="1"/>
  <c r="BK3009" i="1"/>
  <c r="DG3008" i="1"/>
  <c r="M1062" i="1"/>
  <c r="L1062" i="1"/>
  <c r="DA3008" i="1"/>
  <c r="CY3008" i="1"/>
  <c r="CX3008" i="1"/>
  <c r="J1062" i="1"/>
  <c r="BL3008" i="1"/>
  <c r="BK3008" i="1"/>
  <c r="DG3007" i="1"/>
  <c r="M1063" i="1"/>
  <c r="L1063" i="1"/>
  <c r="DA3007" i="1"/>
  <c r="CY3007" i="1"/>
  <c r="CX3007" i="1"/>
  <c r="J1063" i="1"/>
  <c r="BL3007" i="1"/>
  <c r="BK3007" i="1"/>
  <c r="DG3006" i="1"/>
  <c r="M1064" i="1"/>
  <c r="L1064" i="1"/>
  <c r="DA3006" i="1"/>
  <c r="CY3006" i="1"/>
  <c r="CX3006" i="1"/>
  <c r="J1064" i="1"/>
  <c r="BL3006" i="1"/>
  <c r="BK3006" i="1"/>
  <c r="DG3005" i="1"/>
  <c r="M1065" i="1"/>
  <c r="L1065" i="1"/>
  <c r="DA3005" i="1"/>
  <c r="CY3005" i="1"/>
  <c r="CX3005" i="1"/>
  <c r="J1065" i="1"/>
  <c r="BL3005" i="1"/>
  <c r="BK3005" i="1"/>
  <c r="DG3004" i="1"/>
  <c r="M1066" i="1"/>
  <c r="L1066" i="1"/>
  <c r="DA3004" i="1"/>
  <c r="CY3004" i="1"/>
  <c r="CX3004" i="1"/>
  <c r="J1066" i="1"/>
  <c r="BL3004" i="1"/>
  <c r="BK3004" i="1"/>
  <c r="DG3003" i="1"/>
  <c r="M1067" i="1"/>
  <c r="L1067" i="1"/>
  <c r="DA3003" i="1"/>
  <c r="CY3003" i="1"/>
  <c r="CX3003" i="1"/>
  <c r="J1067" i="1"/>
  <c r="BL3003" i="1"/>
  <c r="BK3003" i="1"/>
  <c r="DG3002" i="1"/>
  <c r="M1068" i="1"/>
  <c r="L1068" i="1"/>
  <c r="DA3002" i="1"/>
  <c r="CY3002" i="1"/>
  <c r="CX3002" i="1"/>
  <c r="J1068" i="1"/>
  <c r="BL3002" i="1"/>
  <c r="BK3002" i="1"/>
  <c r="DG3001" i="1"/>
  <c r="M1069" i="1"/>
  <c r="L1069" i="1"/>
  <c r="DA3001" i="1"/>
  <c r="CY3001" i="1"/>
  <c r="CX3001" i="1"/>
  <c r="J1069" i="1"/>
  <c r="BL3001" i="1"/>
  <c r="BK3001" i="1"/>
  <c r="DG3000" i="1"/>
  <c r="M1070" i="1"/>
  <c r="L1070" i="1"/>
  <c r="DA3000" i="1"/>
  <c r="CY3000" i="1"/>
  <c r="CX3000" i="1"/>
  <c r="J1070" i="1"/>
  <c r="BL3000" i="1"/>
  <c r="BK3000" i="1"/>
  <c r="DG2999" i="1"/>
  <c r="M1071" i="1"/>
  <c r="L1071" i="1"/>
  <c r="DA2999" i="1"/>
  <c r="CY2999" i="1"/>
  <c r="CX2999" i="1"/>
  <c r="J1071" i="1"/>
  <c r="BL2999" i="1"/>
  <c r="BK2999" i="1"/>
  <c r="DG2998" i="1"/>
  <c r="M2201" i="1"/>
  <c r="L2201" i="1"/>
  <c r="DA2998" i="1"/>
  <c r="CY2998" i="1"/>
  <c r="CX2998" i="1"/>
  <c r="J2201" i="1"/>
  <c r="BL2998" i="1"/>
  <c r="BK2998" i="1"/>
  <c r="DG2997" i="1"/>
  <c r="M1073" i="1"/>
  <c r="L1073" i="1"/>
  <c r="DA2997" i="1"/>
  <c r="CY2997" i="1"/>
  <c r="CX2997" i="1"/>
  <c r="J1073" i="1"/>
  <c r="BL2997" i="1"/>
  <c r="BK2997" i="1"/>
  <c r="DG2996" i="1"/>
  <c r="M1074" i="1"/>
  <c r="L1074" i="1"/>
  <c r="DA2996" i="1"/>
  <c r="CY2996" i="1"/>
  <c r="CX2996" i="1"/>
  <c r="J1074" i="1"/>
  <c r="BL2996" i="1"/>
  <c r="BK2996" i="1"/>
  <c r="DG2995" i="1"/>
  <c r="M1075" i="1"/>
  <c r="L1075" i="1"/>
  <c r="DA2995" i="1"/>
  <c r="CY2995" i="1"/>
  <c r="CX2995" i="1"/>
  <c r="J1075" i="1"/>
  <c r="BL2995" i="1"/>
  <c r="BK2995" i="1"/>
  <c r="DG2994" i="1"/>
  <c r="M1076" i="1"/>
  <c r="L1076" i="1"/>
  <c r="DA2994" i="1"/>
  <c r="CY2994" i="1"/>
  <c r="CX2994" i="1"/>
  <c r="J1076" i="1"/>
  <c r="BL2994" i="1"/>
  <c r="BK2994" i="1"/>
  <c r="DG2993" i="1"/>
  <c r="M1077" i="1"/>
  <c r="L1077" i="1"/>
  <c r="DA2993" i="1"/>
  <c r="CY2993" i="1"/>
  <c r="CX2993" i="1"/>
  <c r="J1077" i="1"/>
  <c r="BL2993" i="1"/>
  <c r="BK2993" i="1"/>
  <c r="DG2992" i="1"/>
  <c r="M1078" i="1"/>
  <c r="L1078" i="1"/>
  <c r="DA2992" i="1"/>
  <c r="CY2992" i="1"/>
  <c r="CX2992" i="1"/>
  <c r="J1078" i="1"/>
  <c r="BL2992" i="1"/>
  <c r="BK2992" i="1"/>
  <c r="DG2991" i="1"/>
  <c r="M1079" i="1"/>
  <c r="L1079" i="1"/>
  <c r="DA2991" i="1"/>
  <c r="CY2991" i="1"/>
  <c r="CX2991" i="1"/>
  <c r="J1079" i="1"/>
  <c r="BL2991" i="1"/>
  <c r="BK2991" i="1"/>
  <c r="DG2990" i="1"/>
  <c r="M2217" i="1"/>
  <c r="L2217" i="1"/>
  <c r="DA2990" i="1"/>
  <c r="CY2990" i="1"/>
  <c r="CX2990" i="1"/>
  <c r="J2217" i="1"/>
  <c r="BL2990" i="1"/>
  <c r="BK2990" i="1"/>
  <c r="DG2989" i="1"/>
  <c r="M1081" i="1"/>
  <c r="L1081" i="1"/>
  <c r="DA2989" i="1"/>
  <c r="CY2989" i="1"/>
  <c r="CX2989" i="1"/>
  <c r="J1081" i="1"/>
  <c r="BL2989" i="1"/>
  <c r="BK2989" i="1"/>
  <c r="DG2988" i="1"/>
  <c r="M1082" i="1"/>
  <c r="L1082" i="1"/>
  <c r="DA2988" i="1"/>
  <c r="CY2988" i="1"/>
  <c r="CX2988" i="1"/>
  <c r="J1082" i="1"/>
  <c r="BL2988" i="1"/>
  <c r="BK2988" i="1"/>
  <c r="DG2987" i="1"/>
  <c r="M1083" i="1"/>
  <c r="L1083" i="1"/>
  <c r="DA2987" i="1"/>
  <c r="CY2987" i="1"/>
  <c r="CX2987" i="1"/>
  <c r="J1083" i="1"/>
  <c r="BL2987" i="1"/>
  <c r="BK2987" i="1"/>
  <c r="DG2986" i="1"/>
  <c r="M1084" i="1"/>
  <c r="L1084" i="1"/>
  <c r="DA2986" i="1"/>
  <c r="CY2986" i="1"/>
  <c r="CX2986" i="1"/>
  <c r="J1084" i="1"/>
  <c r="BL2986" i="1"/>
  <c r="BK2986" i="1"/>
  <c r="DG2985" i="1"/>
  <c r="M1085" i="1"/>
  <c r="L1085" i="1"/>
  <c r="DA2985" i="1"/>
  <c r="CY2985" i="1"/>
  <c r="CX2985" i="1"/>
  <c r="J1085" i="1"/>
  <c r="BL2985" i="1"/>
  <c r="BK2985" i="1"/>
  <c r="DG2984" i="1"/>
  <c r="M1086" i="1"/>
  <c r="L1086" i="1"/>
  <c r="DA2984" i="1"/>
  <c r="CY2984" i="1"/>
  <c r="CX2984" i="1"/>
  <c r="J1086" i="1"/>
  <c r="BL2984" i="1"/>
  <c r="BK2984" i="1"/>
  <c r="DG2983" i="1"/>
  <c r="M1087" i="1"/>
  <c r="L1087" i="1"/>
  <c r="DA2983" i="1"/>
  <c r="CY2983" i="1"/>
  <c r="CX2983" i="1"/>
  <c r="J1087" i="1"/>
  <c r="BL2983" i="1"/>
  <c r="BK2983" i="1"/>
  <c r="DG2982" i="1"/>
  <c r="M2233" i="1"/>
  <c r="L2233" i="1"/>
  <c r="DA2982" i="1"/>
  <c r="CY2982" i="1"/>
  <c r="CX2982" i="1"/>
  <c r="J2233" i="1"/>
  <c r="BL2982" i="1"/>
  <c r="BK2982" i="1"/>
  <c r="DG2981" i="1"/>
  <c r="M1089" i="1"/>
  <c r="L1089" i="1"/>
  <c r="DA2981" i="1"/>
  <c r="CY2981" i="1"/>
  <c r="CX2981" i="1"/>
  <c r="J1089" i="1"/>
  <c r="BL2981" i="1"/>
  <c r="BK2981" i="1"/>
  <c r="DG2980" i="1"/>
  <c r="M1090" i="1"/>
  <c r="L1090" i="1"/>
  <c r="DA2980" i="1"/>
  <c r="CY2980" i="1"/>
  <c r="CX2980" i="1"/>
  <c r="J1090" i="1"/>
  <c r="BL2980" i="1"/>
  <c r="BK2980" i="1"/>
  <c r="DG2979" i="1"/>
  <c r="M1091" i="1"/>
  <c r="L1091" i="1"/>
  <c r="DA2979" i="1"/>
  <c r="CY2979" i="1"/>
  <c r="CX2979" i="1"/>
  <c r="J1091" i="1"/>
  <c r="BL2979" i="1"/>
  <c r="BK2979" i="1"/>
  <c r="DG2978" i="1"/>
  <c r="M1092" i="1"/>
  <c r="L1092" i="1"/>
  <c r="DA2978" i="1"/>
  <c r="CY2978" i="1"/>
  <c r="CX2978" i="1"/>
  <c r="J1092" i="1"/>
  <c r="BL2978" i="1"/>
  <c r="BK2978" i="1"/>
  <c r="DG2977" i="1"/>
  <c r="M1093" i="1"/>
  <c r="L1093" i="1"/>
  <c r="DA2977" i="1"/>
  <c r="CY2977" i="1"/>
  <c r="CX2977" i="1"/>
  <c r="J1093" i="1"/>
  <c r="BL2977" i="1"/>
  <c r="BK2977" i="1"/>
  <c r="DG2976" i="1"/>
  <c r="M1094" i="1"/>
  <c r="L1094" i="1"/>
  <c r="DA2976" i="1"/>
  <c r="CY2976" i="1"/>
  <c r="CX2976" i="1"/>
  <c r="J1094" i="1"/>
  <c r="BL2976" i="1"/>
  <c r="BK2976" i="1"/>
  <c r="DG2975" i="1"/>
  <c r="M1095" i="1"/>
  <c r="L1095" i="1"/>
  <c r="DA2975" i="1"/>
  <c r="CY2975" i="1"/>
  <c r="CX2975" i="1"/>
  <c r="J1095" i="1"/>
  <c r="BL2975" i="1"/>
  <c r="BK2975" i="1"/>
  <c r="DG2974" i="1"/>
  <c r="M1096" i="1"/>
  <c r="L1096" i="1"/>
  <c r="DA2974" i="1"/>
  <c r="CY2974" i="1"/>
  <c r="CX2974" i="1"/>
  <c r="J1096" i="1"/>
  <c r="BL2974" i="1"/>
  <c r="BK2974" i="1"/>
  <c r="DG2973" i="1"/>
  <c r="M1097" i="1"/>
  <c r="L1097" i="1"/>
  <c r="DA2973" i="1"/>
  <c r="CY2973" i="1"/>
  <c r="CX2973" i="1"/>
  <c r="J1097" i="1"/>
  <c r="BL2973" i="1"/>
  <c r="BK2973" i="1"/>
  <c r="DG2972" i="1"/>
  <c r="M1098" i="1"/>
  <c r="L1098" i="1"/>
  <c r="DA2972" i="1"/>
  <c r="CY2972" i="1"/>
  <c r="CX2972" i="1"/>
  <c r="J1098" i="1"/>
  <c r="BL2972" i="1"/>
  <c r="BK2972" i="1"/>
  <c r="DG2971" i="1"/>
  <c r="M1099" i="1"/>
  <c r="L1099" i="1"/>
  <c r="DA2971" i="1"/>
  <c r="CY2971" i="1"/>
  <c r="CX2971" i="1"/>
  <c r="J1099" i="1"/>
  <c r="BL2971" i="1"/>
  <c r="BK2971" i="1"/>
  <c r="DG2970" i="1"/>
  <c r="M1100" i="1"/>
  <c r="L1100" i="1"/>
  <c r="DA2970" i="1"/>
  <c r="CY2970" i="1"/>
  <c r="CX2970" i="1"/>
  <c r="J1100" i="1"/>
  <c r="BL2970" i="1"/>
  <c r="BK2970" i="1"/>
  <c r="DG2969" i="1"/>
  <c r="M1101" i="1"/>
  <c r="L1101" i="1"/>
  <c r="DA2969" i="1"/>
  <c r="CY2969" i="1"/>
  <c r="CX2969" i="1"/>
  <c r="J1101" i="1"/>
  <c r="BL2969" i="1"/>
  <c r="BK2969" i="1"/>
  <c r="DG2968" i="1"/>
  <c r="M1102" i="1"/>
  <c r="L1102" i="1"/>
  <c r="DA2968" i="1"/>
  <c r="CY2968" i="1"/>
  <c r="CX2968" i="1"/>
  <c r="J1102" i="1"/>
  <c r="BL2968" i="1"/>
  <c r="BK2968" i="1"/>
  <c r="DG2967" i="1"/>
  <c r="M1103" i="1"/>
  <c r="L1103" i="1"/>
  <c r="DA2967" i="1"/>
  <c r="CY2967" i="1"/>
  <c r="CX2967" i="1"/>
  <c r="J1103" i="1"/>
  <c r="BL2967" i="1"/>
  <c r="BK2967" i="1"/>
  <c r="DG2966" i="1"/>
  <c r="M3484" i="1"/>
  <c r="L3484" i="1"/>
  <c r="DA2966" i="1"/>
  <c r="CY2966" i="1"/>
  <c r="CX2966" i="1"/>
  <c r="J3484" i="1"/>
  <c r="CW2966" i="1"/>
  <c r="BL2966" i="1"/>
  <c r="BK2966" i="1"/>
  <c r="DG2965" i="1"/>
  <c r="M1266" i="1"/>
  <c r="L1266" i="1"/>
  <c r="DA2965" i="1"/>
  <c r="CY2965" i="1"/>
  <c r="CX2965" i="1"/>
  <c r="J1266" i="1"/>
  <c r="BL2965" i="1"/>
  <c r="BK2965" i="1"/>
  <c r="DG2964" i="1"/>
  <c r="M3483" i="1"/>
  <c r="L3483" i="1"/>
  <c r="DA2964" i="1"/>
  <c r="CY2964" i="1"/>
  <c r="CX2964" i="1"/>
  <c r="J3483" i="1"/>
  <c r="CW2964" i="1"/>
  <c r="BL2964" i="1"/>
  <c r="BK2964" i="1"/>
  <c r="DG2963" i="1"/>
  <c r="M3877" i="1"/>
  <c r="L3877" i="1"/>
  <c r="DA2963" i="1"/>
  <c r="CY2963" i="1"/>
  <c r="CX2963" i="1"/>
  <c r="J3877" i="1"/>
  <c r="CW2963" i="1"/>
  <c r="BL2963" i="1"/>
  <c r="BK2963" i="1"/>
  <c r="DG2962" i="1"/>
  <c r="M1867" i="1"/>
  <c r="L1867" i="1"/>
  <c r="DA2962" i="1"/>
  <c r="CY2962" i="1"/>
  <c r="CX2962" i="1"/>
  <c r="J1867" i="1"/>
  <c r="BL2962" i="1"/>
  <c r="BK2962" i="1"/>
  <c r="DG2961" i="1"/>
  <c r="M1866" i="1"/>
  <c r="L1866" i="1"/>
  <c r="DA2961" i="1"/>
  <c r="CY2961" i="1"/>
  <c r="CX2961" i="1"/>
  <c r="J1866" i="1"/>
  <c r="BL2961" i="1"/>
  <c r="BK2961" i="1"/>
  <c r="DG2960" i="1"/>
  <c r="M3482" i="1"/>
  <c r="L3482" i="1"/>
  <c r="DA2960" i="1"/>
  <c r="CY2960" i="1"/>
  <c r="CX2960" i="1"/>
  <c r="J3482" i="1"/>
  <c r="CW2960" i="1"/>
  <c r="BL2960" i="1"/>
  <c r="BK2960" i="1"/>
  <c r="DG2959" i="1"/>
  <c r="M3481" i="1"/>
  <c r="L3481" i="1"/>
  <c r="DA2959" i="1"/>
  <c r="CY2959" i="1"/>
  <c r="CX2959" i="1"/>
  <c r="J3481" i="1"/>
  <c r="CW2959" i="1"/>
  <c r="BL2959" i="1"/>
  <c r="BK2959" i="1"/>
  <c r="DG2958" i="1"/>
  <c r="M3876" i="1"/>
  <c r="L3876" i="1"/>
  <c r="DA2958" i="1"/>
  <c r="CY2958" i="1"/>
  <c r="CX2958" i="1"/>
  <c r="J3876" i="1"/>
  <c r="CW2958" i="1"/>
  <c r="BL2958" i="1"/>
  <c r="BK2958" i="1"/>
  <c r="DG2957" i="1"/>
  <c r="M3480" i="1"/>
  <c r="L3480" i="1"/>
  <c r="DA2957" i="1"/>
  <c r="CY2957" i="1"/>
  <c r="CX2957" i="1"/>
  <c r="J3480" i="1"/>
  <c r="CW2957" i="1"/>
  <c r="BL2957" i="1"/>
  <c r="BK2957" i="1"/>
  <c r="DG2956" i="1"/>
  <c r="M3479" i="1"/>
  <c r="L3479" i="1"/>
  <c r="DA2956" i="1"/>
  <c r="CY2956" i="1"/>
  <c r="CX2956" i="1"/>
  <c r="J3479" i="1"/>
  <c r="CW2956" i="1"/>
  <c r="BL2956" i="1"/>
  <c r="BK2956" i="1"/>
  <c r="DG2955" i="1"/>
  <c r="M3875" i="1"/>
  <c r="L3875" i="1"/>
  <c r="DA2955" i="1"/>
  <c r="CY2955" i="1"/>
  <c r="CX2955" i="1"/>
  <c r="J3875" i="1"/>
  <c r="CW2955" i="1"/>
  <c r="BL2955" i="1"/>
  <c r="BK2955" i="1"/>
  <c r="DG2954" i="1"/>
  <c r="M1865" i="1"/>
  <c r="L1865" i="1"/>
  <c r="DA2954" i="1"/>
  <c r="CY2954" i="1"/>
  <c r="CX2954" i="1"/>
  <c r="J1865" i="1"/>
  <c r="BL2954" i="1"/>
  <c r="BK2954" i="1"/>
  <c r="DG2953" i="1"/>
  <c r="M3478" i="1"/>
  <c r="L3478" i="1"/>
  <c r="DA2953" i="1"/>
  <c r="CY2953" i="1"/>
  <c r="CX2953" i="1"/>
  <c r="J3478" i="1"/>
  <c r="CW2953" i="1"/>
  <c r="BL2953" i="1"/>
  <c r="BK2953" i="1"/>
  <c r="DG2952" i="1"/>
  <c r="M3477" i="1"/>
  <c r="L3477" i="1"/>
  <c r="DA2952" i="1"/>
  <c r="CY2952" i="1"/>
  <c r="CX2952" i="1"/>
  <c r="J3477" i="1"/>
  <c r="CW2952" i="1"/>
  <c r="BL2952" i="1"/>
  <c r="BK2952" i="1"/>
  <c r="DG2951" i="1"/>
  <c r="M3874" i="1"/>
  <c r="L3874" i="1"/>
  <c r="DA2951" i="1"/>
  <c r="CY2951" i="1"/>
  <c r="CX2951" i="1"/>
  <c r="J3874" i="1"/>
  <c r="CW2951" i="1"/>
  <c r="BL2951" i="1"/>
  <c r="BK2951" i="1"/>
  <c r="DG2950" i="1"/>
  <c r="M3476" i="1"/>
  <c r="L3476" i="1"/>
  <c r="DA2950" i="1"/>
  <c r="CY2950" i="1"/>
  <c r="CX2950" i="1"/>
  <c r="J3476" i="1"/>
  <c r="CW2950" i="1"/>
  <c r="BL2950" i="1"/>
  <c r="BK2950" i="1"/>
  <c r="DG2949" i="1"/>
  <c r="M1250" i="1"/>
  <c r="L1250" i="1"/>
  <c r="DA2949" i="1"/>
  <c r="CY2949" i="1"/>
  <c r="CX2949" i="1"/>
  <c r="J1250" i="1"/>
  <c r="BL2949" i="1"/>
  <c r="BK2949" i="1"/>
  <c r="DG2948" i="1"/>
  <c r="M3475" i="1"/>
  <c r="L3475" i="1"/>
  <c r="DA2948" i="1"/>
  <c r="CY2948" i="1"/>
  <c r="CX2948" i="1"/>
  <c r="J3475" i="1"/>
  <c r="CW2948" i="1"/>
  <c r="BL2948" i="1"/>
  <c r="BK2948" i="1"/>
  <c r="DG2947" i="1"/>
  <c r="M3873" i="1"/>
  <c r="L3873" i="1"/>
  <c r="DA2947" i="1"/>
  <c r="CY2947" i="1"/>
  <c r="CX2947" i="1"/>
  <c r="J3873" i="1"/>
  <c r="CW2947" i="1"/>
  <c r="BL2947" i="1"/>
  <c r="BK2947" i="1"/>
  <c r="DG2946" i="1"/>
  <c r="M1864" i="1"/>
  <c r="L1864" i="1"/>
  <c r="DA2946" i="1"/>
  <c r="CY2946" i="1"/>
  <c r="CX2946" i="1"/>
  <c r="J1864" i="1"/>
  <c r="BL2946" i="1"/>
  <c r="BK2946" i="1"/>
  <c r="DG2945" i="1"/>
  <c r="M3474" i="1"/>
  <c r="L3474" i="1"/>
  <c r="DA2945" i="1"/>
  <c r="CY2945" i="1"/>
  <c r="CX2945" i="1"/>
  <c r="J3474" i="1"/>
  <c r="CW2945" i="1"/>
  <c r="BL2945" i="1"/>
  <c r="BK2945" i="1"/>
  <c r="DG2944" i="1"/>
  <c r="M1246" i="1"/>
  <c r="L1246" i="1"/>
  <c r="DA2944" i="1"/>
  <c r="CY2944" i="1"/>
  <c r="CX2944" i="1"/>
  <c r="J1246" i="1"/>
  <c r="BL2944" i="1"/>
  <c r="BK2944" i="1"/>
  <c r="DG2943" i="1"/>
  <c r="M3872" i="1"/>
  <c r="L3872" i="1"/>
  <c r="DA2943" i="1"/>
  <c r="CY2943" i="1"/>
  <c r="CX2943" i="1"/>
  <c r="J3872" i="1"/>
  <c r="CW2943" i="1"/>
  <c r="BL2943" i="1"/>
  <c r="BK2943" i="1"/>
  <c r="DG2942" i="1"/>
  <c r="M1244" i="1"/>
  <c r="L1244" i="1"/>
  <c r="DA2942" i="1"/>
  <c r="CY2942" i="1"/>
  <c r="CX2942" i="1"/>
  <c r="J1244" i="1"/>
  <c r="BL2942" i="1"/>
  <c r="BK2942" i="1"/>
  <c r="DG2941" i="1"/>
  <c r="M1243" i="1"/>
  <c r="L1243" i="1"/>
  <c r="DA2941" i="1"/>
  <c r="CY2941" i="1"/>
  <c r="CX2941" i="1"/>
  <c r="J1243" i="1"/>
  <c r="BL2941" i="1"/>
  <c r="BK2941" i="1"/>
  <c r="DG2940" i="1"/>
  <c r="M1242" i="1"/>
  <c r="L1242" i="1"/>
  <c r="DA2940" i="1"/>
  <c r="CY2940" i="1"/>
  <c r="CX2940" i="1"/>
  <c r="J1242" i="1"/>
  <c r="BL2940" i="1"/>
  <c r="BK2940" i="1"/>
  <c r="DG2939" i="1"/>
  <c r="M3871" i="1"/>
  <c r="L3871" i="1"/>
  <c r="DA2939" i="1"/>
  <c r="CY2939" i="1"/>
  <c r="CX2939" i="1"/>
  <c r="J3871" i="1"/>
  <c r="CW2939" i="1"/>
  <c r="BL2939" i="1"/>
  <c r="BK2939" i="1"/>
  <c r="DG2938" i="1"/>
  <c r="M1240" i="1"/>
  <c r="L1240" i="1"/>
  <c r="DA2938" i="1"/>
  <c r="CY2938" i="1"/>
  <c r="CX2938" i="1"/>
  <c r="J1240" i="1"/>
  <c r="BL2938" i="1"/>
  <c r="BK2938" i="1"/>
  <c r="DG2937" i="1"/>
  <c r="M1239" i="1"/>
  <c r="L1239" i="1"/>
  <c r="DA2937" i="1"/>
  <c r="CY2937" i="1"/>
  <c r="CX2937" i="1"/>
  <c r="J1239" i="1"/>
  <c r="BL2937" i="1"/>
  <c r="BK2937" i="1"/>
  <c r="DG2936" i="1"/>
  <c r="M1238" i="1"/>
  <c r="L1238" i="1"/>
  <c r="DA2936" i="1"/>
  <c r="CY2936" i="1"/>
  <c r="CX2936" i="1"/>
  <c r="J1238" i="1"/>
  <c r="BL2936" i="1"/>
  <c r="BK2936" i="1"/>
  <c r="DG2935" i="1"/>
  <c r="M1236" i="1"/>
  <c r="L1236" i="1"/>
  <c r="DA2935" i="1"/>
  <c r="CY2935" i="1"/>
  <c r="CX2935" i="1"/>
  <c r="J1236" i="1"/>
  <c r="BL2935" i="1"/>
  <c r="BK2935" i="1"/>
  <c r="DG2934" i="1"/>
  <c r="M1235" i="1"/>
  <c r="L1235" i="1"/>
  <c r="DA2934" i="1"/>
  <c r="CY2934" i="1"/>
  <c r="CX2934" i="1"/>
  <c r="J1235" i="1"/>
  <c r="BL2934" i="1"/>
  <c r="BK2934" i="1"/>
  <c r="DG2933" i="1"/>
  <c r="M1234" i="1"/>
  <c r="L1234" i="1"/>
  <c r="DA2933" i="1"/>
  <c r="CY2933" i="1"/>
  <c r="CX2933" i="1"/>
  <c r="J1234" i="1"/>
  <c r="BL2933" i="1"/>
  <c r="BK2933" i="1"/>
  <c r="DG2932" i="1"/>
  <c r="M3870" i="1"/>
  <c r="L3870" i="1"/>
  <c r="DA2932" i="1"/>
  <c r="CY2932" i="1"/>
  <c r="CX2932" i="1"/>
  <c r="J3870" i="1"/>
  <c r="CW2932" i="1"/>
  <c r="BL2932" i="1"/>
  <c r="BK2932" i="1"/>
  <c r="DG2931" i="1"/>
  <c r="M3869" i="1"/>
  <c r="L3869" i="1"/>
  <c r="DA2931" i="1"/>
  <c r="CY2931" i="1"/>
  <c r="CX2931" i="1"/>
  <c r="J3869" i="1"/>
  <c r="CW2931" i="1"/>
  <c r="BL2931" i="1"/>
  <c r="BK2931" i="1"/>
  <c r="DG2930" i="1"/>
  <c r="M1862" i="1"/>
  <c r="L1862" i="1"/>
  <c r="DA2930" i="1"/>
  <c r="CY2930" i="1"/>
  <c r="CX2930" i="1"/>
  <c r="J1862" i="1"/>
  <c r="BL2930" i="1"/>
  <c r="BK2930" i="1"/>
  <c r="DG2929" i="1"/>
  <c r="M1915" i="1"/>
  <c r="L1915" i="1"/>
  <c r="DA2929" i="1"/>
  <c r="CY2929" i="1"/>
  <c r="CX2929" i="1"/>
  <c r="J1915" i="1"/>
  <c r="BL2929" i="1"/>
  <c r="BK2929" i="1"/>
  <c r="DG2928" i="1"/>
  <c r="M3976" i="1"/>
  <c r="L3976" i="1"/>
  <c r="CY2928" i="1"/>
  <c r="CX2928" i="1"/>
  <c r="J3976" i="1"/>
  <c r="CW2928" i="1"/>
  <c r="BL2928" i="1"/>
  <c r="BK2928" i="1"/>
  <c r="DG2927" i="1"/>
  <c r="M1232" i="1"/>
  <c r="L1232" i="1"/>
  <c r="DA2927" i="1"/>
  <c r="CY2927" i="1"/>
  <c r="CX2927" i="1"/>
  <c r="J1232" i="1"/>
  <c r="BL2927" i="1"/>
  <c r="BK2927" i="1"/>
  <c r="DG2926" i="1"/>
  <c r="M1230" i="1"/>
  <c r="L1230" i="1"/>
  <c r="DA2926" i="1"/>
  <c r="CY2926" i="1"/>
  <c r="CX2926" i="1"/>
  <c r="J1230" i="1"/>
  <c r="BL2926" i="1"/>
  <c r="BK2926" i="1"/>
  <c r="DG2925" i="1"/>
  <c r="M3868" i="1"/>
  <c r="L3868" i="1"/>
  <c r="DA2925" i="1"/>
  <c r="CY2925" i="1"/>
  <c r="CX2925" i="1"/>
  <c r="J3868" i="1"/>
  <c r="CW2925" i="1"/>
  <c r="BL2925" i="1"/>
  <c r="BK2925" i="1"/>
  <c r="DG2924" i="1"/>
  <c r="M3464" i="1"/>
  <c r="L3464" i="1"/>
  <c r="DA2924" i="1"/>
  <c r="CY2924" i="1"/>
  <c r="CX2924" i="1"/>
  <c r="J3464" i="1"/>
  <c r="CW2924" i="1"/>
  <c r="BL2924" i="1"/>
  <c r="BK2924" i="1"/>
  <c r="DG2923" i="1"/>
  <c r="M3463" i="1"/>
  <c r="L3463" i="1"/>
  <c r="DA2923" i="1"/>
  <c r="CY2923" i="1"/>
  <c r="CX2923" i="1"/>
  <c r="J3463" i="1"/>
  <c r="CW2923" i="1"/>
  <c r="BL2923" i="1"/>
  <c r="BK2923" i="1"/>
  <c r="DG2922" i="1"/>
  <c r="M3867" i="1"/>
  <c r="L3867" i="1"/>
  <c r="DA2922" i="1"/>
  <c r="CY2922" i="1"/>
  <c r="CX2922" i="1"/>
  <c r="J3867" i="1"/>
  <c r="CW2922" i="1"/>
  <c r="BL2922" i="1"/>
  <c r="BK2922" i="1"/>
  <c r="DG2921" i="1"/>
  <c r="M1846" i="1"/>
  <c r="L1846" i="1"/>
  <c r="DA2921" i="1"/>
  <c r="CY2921" i="1"/>
  <c r="CX2921" i="1"/>
  <c r="J1846" i="1"/>
  <c r="BL2921" i="1"/>
  <c r="BK2921" i="1"/>
  <c r="DG2920" i="1"/>
  <c r="M3462" i="1"/>
  <c r="L3462" i="1"/>
  <c r="DA2920" i="1"/>
  <c r="CY2920" i="1"/>
  <c r="CX2920" i="1"/>
  <c r="J3462" i="1"/>
  <c r="CW2920" i="1"/>
  <c r="BL2920" i="1"/>
  <c r="BK2920" i="1"/>
  <c r="DG2919" i="1"/>
  <c r="M3461" i="1"/>
  <c r="L3461" i="1"/>
  <c r="DA2919" i="1"/>
  <c r="CY2919" i="1"/>
  <c r="CX2919" i="1"/>
  <c r="J3461" i="1"/>
  <c r="CW2919" i="1"/>
  <c r="BL2919" i="1"/>
  <c r="BK2919" i="1"/>
  <c r="DG2918" i="1"/>
  <c r="M3866" i="1"/>
  <c r="L3866" i="1"/>
  <c r="DA2918" i="1"/>
  <c r="CY2918" i="1"/>
  <c r="CX2918" i="1"/>
  <c r="J3866" i="1"/>
  <c r="CW2918" i="1"/>
  <c r="BL2918" i="1"/>
  <c r="BK2918" i="1"/>
  <c r="DG2917" i="1"/>
  <c r="M3460" i="1"/>
  <c r="L3460" i="1"/>
  <c r="DA2917" i="1"/>
  <c r="CY2917" i="1"/>
  <c r="CX2917" i="1"/>
  <c r="J3460" i="1"/>
  <c r="CW2917" i="1"/>
  <c r="BL2917" i="1"/>
  <c r="BK2917" i="1"/>
  <c r="DG2916" i="1"/>
  <c r="M1218" i="1"/>
  <c r="L1218" i="1"/>
  <c r="DA2916" i="1"/>
  <c r="CY2916" i="1"/>
  <c r="CX2916" i="1"/>
  <c r="J1218" i="1"/>
  <c r="BL2916" i="1"/>
  <c r="BK2916" i="1"/>
  <c r="DG2915" i="1"/>
  <c r="M3459" i="1"/>
  <c r="L3459" i="1"/>
  <c r="DA2915" i="1"/>
  <c r="CY2915" i="1"/>
  <c r="CX2915" i="1"/>
  <c r="J3459" i="1"/>
  <c r="CW2915" i="1"/>
  <c r="BL2915" i="1"/>
  <c r="BK2915" i="1"/>
  <c r="DG2914" i="1"/>
  <c r="M3865" i="1"/>
  <c r="L3865" i="1"/>
  <c r="DA2914" i="1"/>
  <c r="CY2914" i="1"/>
  <c r="CX2914" i="1"/>
  <c r="J3865" i="1"/>
  <c r="CW2914" i="1"/>
  <c r="BL2914" i="1"/>
  <c r="BK2914" i="1"/>
  <c r="DG2913" i="1"/>
  <c r="M1842" i="1"/>
  <c r="L1842" i="1"/>
  <c r="DA2913" i="1"/>
  <c r="CY2913" i="1"/>
  <c r="CX2913" i="1"/>
  <c r="J1842" i="1"/>
  <c r="BL2913" i="1"/>
  <c r="BK2913" i="1"/>
  <c r="DG2912" i="1"/>
  <c r="M3458" i="1"/>
  <c r="L3458" i="1"/>
  <c r="DA2912" i="1"/>
  <c r="CY2912" i="1"/>
  <c r="CX2912" i="1"/>
  <c r="J3458" i="1"/>
  <c r="CW2912" i="1"/>
  <c r="BL2912" i="1"/>
  <c r="BK2912" i="1"/>
  <c r="DG2911" i="1"/>
  <c r="M3457" i="1"/>
  <c r="L3457" i="1"/>
  <c r="DA2911" i="1"/>
  <c r="CY2911" i="1"/>
  <c r="CX2911" i="1"/>
  <c r="J3457" i="1"/>
  <c r="CW2911" i="1"/>
  <c r="BL2911" i="1"/>
  <c r="BK2911" i="1"/>
  <c r="DG2910" i="1"/>
  <c r="M3864" i="1"/>
  <c r="L3864" i="1"/>
  <c r="DA2910" i="1"/>
  <c r="CY2910" i="1"/>
  <c r="CX2910" i="1"/>
  <c r="J3864" i="1"/>
  <c r="CW2910" i="1"/>
  <c r="BL2910" i="1"/>
  <c r="BK2910" i="1"/>
  <c r="DG2909" i="1"/>
  <c r="M3456" i="1"/>
  <c r="L3456" i="1"/>
  <c r="DA2909" i="1"/>
  <c r="CY2909" i="1"/>
  <c r="CX2909" i="1"/>
  <c r="J3456" i="1"/>
  <c r="CW2909" i="1"/>
  <c r="BL2909" i="1"/>
  <c r="BK2909" i="1"/>
  <c r="DG2908" i="1"/>
  <c r="M1209" i="1"/>
  <c r="L1209" i="1"/>
  <c r="DA2908" i="1"/>
  <c r="CY2908" i="1"/>
  <c r="CX2908" i="1"/>
  <c r="J1209" i="1"/>
  <c r="BL2908" i="1"/>
  <c r="BK2908" i="1"/>
  <c r="DG2907" i="1"/>
  <c r="M3455" i="1"/>
  <c r="L3455" i="1"/>
  <c r="DA2907" i="1"/>
  <c r="CY2907" i="1"/>
  <c r="CX2907" i="1"/>
  <c r="J3455" i="1"/>
  <c r="CW2907" i="1"/>
  <c r="BL2907" i="1"/>
  <c r="BK2907" i="1"/>
  <c r="DG2906" i="1"/>
  <c r="M3863" i="1"/>
  <c r="L3863" i="1"/>
  <c r="DA2906" i="1"/>
  <c r="CY2906" i="1"/>
  <c r="CX2906" i="1"/>
  <c r="J3863" i="1"/>
  <c r="CW2906" i="1"/>
  <c r="BL2906" i="1"/>
  <c r="BK2906" i="1"/>
  <c r="DG2905" i="1"/>
  <c r="M3454" i="1"/>
  <c r="L3454" i="1"/>
  <c r="DA2905" i="1"/>
  <c r="CY2905" i="1"/>
  <c r="CX2905" i="1"/>
  <c r="J3454" i="1"/>
  <c r="CW2905" i="1"/>
  <c r="BL2905" i="1"/>
  <c r="BK2905" i="1"/>
  <c r="DG2904" i="1"/>
  <c r="M3453" i="1"/>
  <c r="L3453" i="1"/>
  <c r="DA2904" i="1"/>
  <c r="CY2904" i="1"/>
  <c r="CX2904" i="1"/>
  <c r="J3453" i="1"/>
  <c r="CW2904" i="1"/>
  <c r="BL2904" i="1"/>
  <c r="BK2904" i="1"/>
  <c r="DG2903" i="1"/>
  <c r="M3862" i="1"/>
  <c r="L3862" i="1"/>
  <c r="DA2903" i="1"/>
  <c r="CY2903" i="1"/>
  <c r="CX2903" i="1"/>
  <c r="J3862" i="1"/>
  <c r="CW2903" i="1"/>
  <c r="BL2903" i="1"/>
  <c r="BK2903" i="1"/>
  <c r="DG2902" i="1"/>
  <c r="M3452" i="1"/>
  <c r="L3452" i="1"/>
  <c r="DA2902" i="1"/>
  <c r="CY2902" i="1"/>
  <c r="CX2902" i="1"/>
  <c r="J3452" i="1"/>
  <c r="CW2902" i="1"/>
  <c r="BL2902" i="1"/>
  <c r="BK2902" i="1"/>
  <c r="DG2901" i="1"/>
  <c r="M1201" i="1"/>
  <c r="L1201" i="1"/>
  <c r="DA2901" i="1"/>
  <c r="CY2901" i="1"/>
  <c r="CX2901" i="1"/>
  <c r="J1201" i="1"/>
  <c r="BL2901" i="1"/>
  <c r="BK2901" i="1"/>
  <c r="DG2900" i="1"/>
  <c r="M3451" i="1"/>
  <c r="L3451" i="1"/>
  <c r="DA2900" i="1"/>
  <c r="CY2900" i="1"/>
  <c r="CX2900" i="1"/>
  <c r="J3451" i="1"/>
  <c r="CW2900" i="1"/>
  <c r="BL2900" i="1"/>
  <c r="BK2900" i="1"/>
  <c r="DG2899" i="1"/>
  <c r="M3861" i="1"/>
  <c r="L3861" i="1"/>
  <c r="DA2899" i="1"/>
  <c r="CY2899" i="1"/>
  <c r="CX2899" i="1"/>
  <c r="J3861" i="1"/>
  <c r="CW2899" i="1"/>
  <c r="BL2899" i="1"/>
  <c r="BK2899" i="1"/>
  <c r="DG2898" i="1"/>
  <c r="M1840" i="1"/>
  <c r="L1840" i="1"/>
  <c r="DA2898" i="1"/>
  <c r="CY2898" i="1"/>
  <c r="CX2898" i="1"/>
  <c r="J1840" i="1"/>
  <c r="BL2898" i="1"/>
  <c r="BK2898" i="1"/>
  <c r="DG2897" i="1"/>
  <c r="M1839" i="1"/>
  <c r="L1839" i="1"/>
  <c r="DA2897" i="1"/>
  <c r="CY2897" i="1"/>
  <c r="CX2897" i="1"/>
  <c r="J1839" i="1"/>
  <c r="BL2897" i="1"/>
  <c r="BK2897" i="1"/>
  <c r="DG2896" i="1"/>
  <c r="M3450" i="1"/>
  <c r="L3450" i="1"/>
  <c r="DA2896" i="1"/>
  <c r="CY2896" i="1"/>
  <c r="CX2896" i="1"/>
  <c r="J3450" i="1"/>
  <c r="CW2896" i="1"/>
  <c r="BL2896" i="1"/>
  <c r="BK2896" i="1"/>
  <c r="DG2895" i="1"/>
  <c r="M3449" i="1"/>
  <c r="L3449" i="1"/>
  <c r="DA2895" i="1"/>
  <c r="CY2895" i="1"/>
  <c r="CX2895" i="1"/>
  <c r="J3449" i="1"/>
  <c r="CW2895" i="1"/>
  <c r="BL2895" i="1"/>
  <c r="BK2895" i="1"/>
  <c r="DG2894" i="1"/>
  <c r="M3860" i="1"/>
  <c r="L3860" i="1"/>
  <c r="DA2894" i="1"/>
  <c r="CY2894" i="1"/>
  <c r="CX2894" i="1"/>
  <c r="J3860" i="1"/>
  <c r="CW2894" i="1"/>
  <c r="BL2894" i="1"/>
  <c r="BK2894" i="1"/>
  <c r="DG2893" i="1"/>
  <c r="M3448" i="1"/>
  <c r="L3448" i="1"/>
  <c r="DA2893" i="1"/>
  <c r="CY2893" i="1"/>
  <c r="CX2893" i="1"/>
  <c r="J3448" i="1"/>
  <c r="CW2893" i="1"/>
  <c r="BL2893" i="1"/>
  <c r="BK2893" i="1"/>
  <c r="DG2892" i="1"/>
  <c r="M1193" i="1"/>
  <c r="L1193" i="1"/>
  <c r="DA2892" i="1"/>
  <c r="CY2892" i="1"/>
  <c r="CX2892" i="1"/>
  <c r="J1193" i="1"/>
  <c r="BL2892" i="1"/>
  <c r="BK2892" i="1"/>
  <c r="DG2891" i="1"/>
  <c r="M3859" i="1"/>
  <c r="L3859" i="1"/>
  <c r="DA2891" i="1"/>
  <c r="CY2891" i="1"/>
  <c r="CX2891" i="1"/>
  <c r="J3859" i="1"/>
  <c r="CW2891" i="1"/>
  <c r="BL2891" i="1"/>
  <c r="BK2891" i="1"/>
  <c r="DG2890" i="1"/>
  <c r="M1838" i="1"/>
  <c r="L1838" i="1"/>
  <c r="DA2890" i="1"/>
  <c r="CY2890" i="1"/>
  <c r="CX2890" i="1"/>
  <c r="J1838" i="1"/>
  <c r="BL2890" i="1"/>
  <c r="BK2890" i="1"/>
  <c r="DG2889" i="1"/>
  <c r="M1191" i="1"/>
  <c r="L1191" i="1"/>
  <c r="DA2889" i="1"/>
  <c r="CY2889" i="1"/>
  <c r="CX2889" i="1"/>
  <c r="J1191" i="1"/>
  <c r="BL2889" i="1"/>
  <c r="BK2889" i="1"/>
  <c r="DG2888" i="1"/>
  <c r="M1190" i="1"/>
  <c r="L1190" i="1"/>
  <c r="DA2888" i="1"/>
  <c r="CY2888" i="1"/>
  <c r="CX2888" i="1"/>
  <c r="J1190" i="1"/>
  <c r="BL2888" i="1"/>
  <c r="BK2888" i="1"/>
  <c r="DG2887" i="1"/>
  <c r="M2433" i="1"/>
  <c r="L2433" i="1"/>
  <c r="DA2887" i="1"/>
  <c r="CY2887" i="1"/>
  <c r="CX2887" i="1"/>
  <c r="J2433" i="1"/>
  <c r="BL2887" i="1"/>
  <c r="BK2887" i="1"/>
  <c r="DG2886" i="1"/>
  <c r="M1189" i="1"/>
  <c r="L1189" i="1"/>
  <c r="DA2886" i="1"/>
  <c r="CY2886" i="1"/>
  <c r="CX2886" i="1"/>
  <c r="J1189" i="1"/>
  <c r="BL2886" i="1"/>
  <c r="BK2886" i="1"/>
  <c r="DG2885" i="1"/>
  <c r="M3858" i="1"/>
  <c r="L3858" i="1"/>
  <c r="DA2885" i="1"/>
  <c r="CY2885" i="1"/>
  <c r="CX2885" i="1"/>
  <c r="J3858" i="1"/>
  <c r="CW2885" i="1"/>
  <c r="BL2885" i="1"/>
  <c r="BK2885" i="1"/>
  <c r="DG2884" i="1"/>
  <c r="M1188" i="1"/>
  <c r="L1188" i="1"/>
  <c r="DA2884" i="1"/>
  <c r="CY2884" i="1"/>
  <c r="CX2884" i="1"/>
  <c r="J1188" i="1"/>
  <c r="BL2884" i="1"/>
  <c r="BK2884" i="1"/>
  <c r="DG2883" i="1"/>
  <c r="M2429" i="1"/>
  <c r="L2429" i="1"/>
  <c r="DA2883" i="1"/>
  <c r="CY2883" i="1"/>
  <c r="CX2883" i="1"/>
  <c r="J2429" i="1"/>
  <c r="BL2883" i="1"/>
  <c r="BK2883" i="1"/>
  <c r="DG2882" i="1"/>
  <c r="M1187" i="1"/>
  <c r="L1187" i="1"/>
  <c r="DA2882" i="1"/>
  <c r="CY2882" i="1"/>
  <c r="CX2882" i="1"/>
  <c r="J1187" i="1"/>
  <c r="BL2882" i="1"/>
  <c r="BK2882" i="1"/>
  <c r="DG2881" i="1"/>
  <c r="M2427" i="1"/>
  <c r="L2427" i="1"/>
  <c r="DA2881" i="1"/>
  <c r="CY2881" i="1"/>
  <c r="CX2881" i="1"/>
  <c r="J2427" i="1"/>
  <c r="BL2881" i="1"/>
  <c r="BK2881" i="1"/>
  <c r="DG2880" i="1"/>
  <c r="M2437" i="1"/>
  <c r="L2437" i="1"/>
  <c r="DA2880" i="1"/>
  <c r="CY2880" i="1"/>
  <c r="CX2880" i="1"/>
  <c r="J2437" i="1"/>
  <c r="BL2880" i="1"/>
  <c r="BK2880" i="1"/>
  <c r="DG2879" i="1"/>
  <c r="M1192" i="1"/>
  <c r="L1192" i="1"/>
  <c r="DA2879" i="1"/>
  <c r="CY2879" i="1"/>
  <c r="CX2879" i="1"/>
  <c r="J1192" i="1"/>
  <c r="BL2879" i="1"/>
  <c r="BK2879" i="1"/>
  <c r="DG2878" i="1"/>
  <c r="M2441" i="1"/>
  <c r="L2441" i="1"/>
  <c r="DA2878" i="1"/>
  <c r="CY2878" i="1"/>
  <c r="CX2878" i="1"/>
  <c r="J2441" i="1"/>
  <c r="BL2878" i="1"/>
  <c r="BK2878" i="1"/>
  <c r="DG2877" i="1"/>
  <c r="M1194" i="1"/>
  <c r="L1194" i="1"/>
  <c r="DA2877" i="1"/>
  <c r="CY2877" i="1"/>
  <c r="CX2877" i="1"/>
  <c r="J1194" i="1"/>
  <c r="BL2877" i="1"/>
  <c r="BK2877" i="1"/>
  <c r="DG2876" i="1"/>
  <c r="M1195" i="1"/>
  <c r="L1195" i="1"/>
  <c r="DA2876" i="1"/>
  <c r="CY2876" i="1"/>
  <c r="CX2876" i="1"/>
  <c r="J1195" i="1"/>
  <c r="BL2876" i="1"/>
  <c r="BK2876" i="1"/>
  <c r="DG2875" i="1"/>
  <c r="M1196" i="1"/>
  <c r="L1196" i="1"/>
  <c r="DA2875" i="1"/>
  <c r="CY2875" i="1"/>
  <c r="CX2875" i="1"/>
  <c r="J1196" i="1"/>
  <c r="BL2875" i="1"/>
  <c r="BK2875" i="1"/>
  <c r="DG2874" i="1"/>
  <c r="M1197" i="1"/>
  <c r="L1197" i="1"/>
  <c r="DA2874" i="1"/>
  <c r="CY2874" i="1"/>
  <c r="CX2874" i="1"/>
  <c r="J1197" i="1"/>
  <c r="BL2874" i="1"/>
  <c r="BK2874" i="1"/>
  <c r="DG2873" i="1"/>
  <c r="M1198" i="1"/>
  <c r="L1198" i="1"/>
  <c r="DA2873" i="1"/>
  <c r="CY2873" i="1"/>
  <c r="CX2873" i="1"/>
  <c r="J1198" i="1"/>
  <c r="BL2873" i="1"/>
  <c r="BK2873" i="1"/>
  <c r="DG2872" i="1"/>
  <c r="M1199" i="1"/>
  <c r="L1199" i="1"/>
  <c r="DA2872" i="1"/>
  <c r="CY2872" i="1"/>
  <c r="CX2872" i="1"/>
  <c r="J1199" i="1"/>
  <c r="BL2872" i="1"/>
  <c r="BK2872" i="1"/>
  <c r="DG2871" i="1"/>
  <c r="M1200" i="1"/>
  <c r="L1200" i="1"/>
  <c r="DA2871" i="1"/>
  <c r="CY2871" i="1"/>
  <c r="CX2871" i="1"/>
  <c r="J1200" i="1"/>
  <c r="BL2871" i="1"/>
  <c r="BK2871" i="1"/>
  <c r="DG2870" i="1"/>
  <c r="M2457" i="1"/>
  <c r="L2457" i="1"/>
  <c r="DA2870" i="1"/>
  <c r="CY2870" i="1"/>
  <c r="CX2870" i="1"/>
  <c r="J2457" i="1"/>
  <c r="BL2870" i="1"/>
  <c r="BK2870" i="1"/>
  <c r="DG2869" i="1"/>
  <c r="M1202" i="1"/>
  <c r="L1202" i="1"/>
  <c r="DA2869" i="1"/>
  <c r="CY2869" i="1"/>
  <c r="CX2869" i="1"/>
  <c r="J1202" i="1"/>
  <c r="BL2869" i="1"/>
  <c r="BK2869" i="1"/>
  <c r="DG2868" i="1"/>
  <c r="M1203" i="1"/>
  <c r="L1203" i="1"/>
  <c r="DA2868" i="1"/>
  <c r="CY2868" i="1"/>
  <c r="CX2868" i="1"/>
  <c r="J1203" i="1"/>
  <c r="BL2868" i="1"/>
  <c r="BK2868" i="1"/>
  <c r="DG2867" i="1"/>
  <c r="M1204" i="1"/>
  <c r="L1204" i="1"/>
  <c r="DA2867" i="1"/>
  <c r="CY2867" i="1"/>
  <c r="CX2867" i="1"/>
  <c r="J1204" i="1"/>
  <c r="BL2867" i="1"/>
  <c r="BK2867" i="1"/>
  <c r="DG2866" i="1"/>
  <c r="M1205" i="1"/>
  <c r="L1205" i="1"/>
  <c r="DA2866" i="1"/>
  <c r="CY2866" i="1"/>
  <c r="CX2866" i="1"/>
  <c r="J1205" i="1"/>
  <c r="BL2866" i="1"/>
  <c r="BK2866" i="1"/>
  <c r="DG2865" i="1"/>
  <c r="M1206" i="1"/>
  <c r="L1206" i="1"/>
  <c r="DA2865" i="1"/>
  <c r="CY2865" i="1"/>
  <c r="CX2865" i="1"/>
  <c r="J1206" i="1"/>
  <c r="BL2865" i="1"/>
  <c r="BK2865" i="1"/>
  <c r="DG2864" i="1"/>
  <c r="M1207" i="1"/>
  <c r="L1207" i="1"/>
  <c r="DA2864" i="1"/>
  <c r="CY2864" i="1"/>
  <c r="CX2864" i="1"/>
  <c r="J1207" i="1"/>
  <c r="BL2864" i="1"/>
  <c r="BK2864" i="1"/>
  <c r="DG2863" i="1"/>
  <c r="M1208" i="1"/>
  <c r="L1208" i="1"/>
  <c r="DA2863" i="1"/>
  <c r="CY2863" i="1"/>
  <c r="CX2863" i="1"/>
  <c r="J1208" i="1"/>
  <c r="BL2863" i="1"/>
  <c r="BK2863" i="1"/>
  <c r="DG2862" i="1"/>
  <c r="M2473" i="1"/>
  <c r="L2473" i="1"/>
  <c r="DA2862" i="1"/>
  <c r="CY2862" i="1"/>
  <c r="CX2862" i="1"/>
  <c r="J2473" i="1"/>
  <c r="BL2862" i="1"/>
  <c r="BK2862" i="1"/>
  <c r="DG2861" i="1"/>
  <c r="M1210" i="1"/>
  <c r="L1210" i="1"/>
  <c r="DA2861" i="1"/>
  <c r="CY2861" i="1"/>
  <c r="CX2861" i="1"/>
  <c r="J1210" i="1"/>
  <c r="BL2861" i="1"/>
  <c r="BK2861" i="1"/>
  <c r="DG2860" i="1"/>
  <c r="M1211" i="1"/>
  <c r="L1211" i="1"/>
  <c r="DA2860" i="1"/>
  <c r="CY2860" i="1"/>
  <c r="CX2860" i="1"/>
  <c r="J1211" i="1"/>
  <c r="BL2860" i="1"/>
  <c r="BK2860" i="1"/>
  <c r="DG2859" i="1"/>
  <c r="M1212" i="1"/>
  <c r="L1212" i="1"/>
  <c r="DA2859" i="1"/>
  <c r="CY2859" i="1"/>
  <c r="CX2859" i="1"/>
  <c r="J1212" i="1"/>
  <c r="BL2859" i="1"/>
  <c r="BK2859" i="1"/>
  <c r="DG2858" i="1"/>
  <c r="M1213" i="1"/>
  <c r="L1213" i="1"/>
  <c r="DA2858" i="1"/>
  <c r="CY2858" i="1"/>
  <c r="CX2858" i="1"/>
  <c r="J1213" i="1"/>
  <c r="BL2858" i="1"/>
  <c r="BK2858" i="1"/>
  <c r="DG2857" i="1"/>
  <c r="M1214" i="1"/>
  <c r="L1214" i="1"/>
  <c r="DA2857" i="1"/>
  <c r="CY2857" i="1"/>
  <c r="CX2857" i="1"/>
  <c r="J1214" i="1"/>
  <c r="BL2857" i="1"/>
  <c r="BK2857" i="1"/>
  <c r="DG2856" i="1"/>
  <c r="M1216" i="1"/>
  <c r="L1216" i="1"/>
  <c r="DA2856" i="1"/>
  <c r="CY2856" i="1"/>
  <c r="CX2856" i="1"/>
  <c r="J1216" i="1"/>
  <c r="BL2856" i="1"/>
  <c r="BK2856" i="1"/>
  <c r="DG2855" i="1"/>
  <c r="M1217" i="1"/>
  <c r="L1217" i="1"/>
  <c r="DA2855" i="1"/>
  <c r="CY2855" i="1"/>
  <c r="CX2855" i="1"/>
  <c r="J1217" i="1"/>
  <c r="BL2855" i="1"/>
  <c r="BK2855" i="1"/>
  <c r="DG2854" i="1"/>
  <c r="M2489" i="1"/>
  <c r="L2489" i="1"/>
  <c r="DA2854" i="1"/>
  <c r="CY2854" i="1"/>
  <c r="CX2854" i="1"/>
  <c r="J2489" i="1"/>
  <c r="BL2854" i="1"/>
  <c r="BK2854" i="1"/>
  <c r="DG2853" i="1"/>
  <c r="M1219" i="1"/>
  <c r="L1219" i="1"/>
  <c r="DA2853" i="1"/>
  <c r="CY2853" i="1"/>
  <c r="CX2853" i="1"/>
  <c r="J1219" i="1"/>
  <c r="BL2853" i="1"/>
  <c r="BK2853" i="1"/>
  <c r="DG2852" i="1"/>
  <c r="M1220" i="1"/>
  <c r="L1220" i="1"/>
  <c r="DA2852" i="1"/>
  <c r="CY2852" i="1"/>
  <c r="CX2852" i="1"/>
  <c r="J1220" i="1"/>
  <c r="BL2852" i="1"/>
  <c r="BK2852" i="1"/>
  <c r="DG2851" i="1"/>
  <c r="M1221" i="1"/>
  <c r="L1221" i="1"/>
  <c r="DA2851" i="1"/>
  <c r="CY2851" i="1"/>
  <c r="CX2851" i="1"/>
  <c r="J1221" i="1"/>
  <c r="BL2851" i="1"/>
  <c r="BK2851" i="1"/>
  <c r="DG2850" i="1"/>
  <c r="M1222" i="1"/>
  <c r="L1222" i="1"/>
  <c r="DA2850" i="1"/>
  <c r="CY2850" i="1"/>
  <c r="CX2850" i="1"/>
  <c r="J1222" i="1"/>
  <c r="BL2850" i="1"/>
  <c r="BK2850" i="1"/>
  <c r="DG2849" i="1"/>
  <c r="M1223" i="1"/>
  <c r="L1223" i="1"/>
  <c r="DA2849" i="1"/>
  <c r="CY2849" i="1"/>
  <c r="CX2849" i="1"/>
  <c r="J1223" i="1"/>
  <c r="BL2849" i="1"/>
  <c r="BK2849" i="1"/>
  <c r="DG2848" i="1"/>
  <c r="M1224" i="1"/>
  <c r="L1224" i="1"/>
  <c r="DA2848" i="1"/>
  <c r="CY2848" i="1"/>
  <c r="CX2848" i="1"/>
  <c r="J1224" i="1"/>
  <c r="BL2848" i="1"/>
  <c r="BK2848" i="1"/>
  <c r="DG2847" i="1"/>
  <c r="M1225" i="1"/>
  <c r="L1225" i="1"/>
  <c r="DA2847" i="1"/>
  <c r="CY2847" i="1"/>
  <c r="CX2847" i="1"/>
  <c r="J1225" i="1"/>
  <c r="BL2847" i="1"/>
  <c r="BK2847" i="1"/>
  <c r="DG2846" i="1"/>
  <c r="M1226" i="1"/>
  <c r="L1226" i="1"/>
  <c r="DA2846" i="1"/>
  <c r="CY2846" i="1"/>
  <c r="CX2846" i="1"/>
  <c r="J1226" i="1"/>
  <c r="BL2846" i="1"/>
  <c r="BK2846" i="1"/>
  <c r="DG2845" i="1"/>
  <c r="M1227" i="1"/>
  <c r="L1227" i="1"/>
  <c r="DA2845" i="1"/>
  <c r="CY2845" i="1"/>
  <c r="CX2845" i="1"/>
  <c r="J1227" i="1"/>
  <c r="BL2845" i="1"/>
  <c r="BK2845" i="1"/>
  <c r="DG2844" i="1"/>
  <c r="M1228" i="1"/>
  <c r="L1228" i="1"/>
  <c r="DA2844" i="1"/>
  <c r="CY2844" i="1"/>
  <c r="CX2844" i="1"/>
  <c r="J1228" i="1"/>
  <c r="BL2844" i="1"/>
  <c r="BK2844" i="1"/>
  <c r="DG2843" i="1"/>
  <c r="M1229" i="1"/>
  <c r="L1229" i="1"/>
  <c r="DA2843" i="1"/>
  <c r="CY2843" i="1"/>
  <c r="CX2843" i="1"/>
  <c r="J1229" i="1"/>
  <c r="BL2843" i="1"/>
  <c r="BK2843" i="1"/>
  <c r="DG2842" i="1"/>
  <c r="M2513" i="1"/>
  <c r="L2513" i="1"/>
  <c r="DA2842" i="1"/>
  <c r="CY2842" i="1"/>
  <c r="CX2842" i="1"/>
  <c r="J2513" i="1"/>
  <c r="BL2842" i="1"/>
  <c r="BK2842" i="1"/>
  <c r="DG2841" i="1"/>
  <c r="M1231" i="1"/>
  <c r="L1231" i="1"/>
  <c r="DA2841" i="1"/>
  <c r="CY2841" i="1"/>
  <c r="CX2841" i="1"/>
  <c r="J1231" i="1"/>
  <c r="BL2841" i="1"/>
  <c r="BK2841" i="1"/>
  <c r="DG2840" i="1"/>
  <c r="M2517" i="1"/>
  <c r="L2517" i="1"/>
  <c r="DA2840" i="1"/>
  <c r="CY2840" i="1"/>
  <c r="CX2840" i="1"/>
  <c r="J2517" i="1"/>
  <c r="BL2840" i="1"/>
  <c r="BK2840" i="1"/>
  <c r="DG2839" i="1"/>
  <c r="M1233" i="1"/>
  <c r="L1233" i="1"/>
  <c r="DA2839" i="1"/>
  <c r="CY2839" i="1"/>
  <c r="CX2839" i="1"/>
  <c r="J1233" i="1"/>
  <c r="BL2839" i="1"/>
  <c r="BK2839" i="1"/>
  <c r="DG2838" i="1"/>
  <c r="M2521" i="1"/>
  <c r="L2521" i="1"/>
  <c r="DA2838" i="1"/>
  <c r="CY2838" i="1"/>
  <c r="CX2838" i="1"/>
  <c r="J2521" i="1"/>
  <c r="BL2838" i="1"/>
  <c r="BK2838" i="1"/>
  <c r="DG2837" i="1"/>
  <c r="M2523" i="1"/>
  <c r="L2523" i="1"/>
  <c r="DA2837" i="1"/>
  <c r="CY2837" i="1"/>
  <c r="CX2837" i="1"/>
  <c r="J2523" i="1"/>
  <c r="BL2837" i="1"/>
  <c r="BK2837" i="1"/>
  <c r="DG2836" i="1"/>
  <c r="M2525" i="1"/>
  <c r="L2525" i="1"/>
  <c r="DA2836" i="1"/>
  <c r="CY2836" i="1"/>
  <c r="CX2836" i="1"/>
  <c r="J2525" i="1"/>
  <c r="BL2836" i="1"/>
  <c r="BK2836" i="1"/>
  <c r="DG2835" i="1"/>
  <c r="M1237" i="1"/>
  <c r="L1237" i="1"/>
  <c r="DA2835" i="1"/>
  <c r="CY2835" i="1"/>
  <c r="CX2835" i="1"/>
  <c r="J1237" i="1"/>
  <c r="BL2835" i="1"/>
  <c r="BK2835" i="1"/>
  <c r="DG2834" i="1"/>
  <c r="M2529" i="1"/>
  <c r="L2529" i="1"/>
  <c r="DA2834" i="1"/>
  <c r="CY2834" i="1"/>
  <c r="CX2834" i="1"/>
  <c r="J2529" i="1"/>
  <c r="BL2834" i="1"/>
  <c r="BK2834" i="1"/>
  <c r="DG2833" i="1"/>
  <c r="M2531" i="1"/>
  <c r="L2531" i="1"/>
  <c r="DA2833" i="1"/>
  <c r="CY2833" i="1"/>
  <c r="CX2833" i="1"/>
  <c r="J2531" i="1"/>
  <c r="BL2833" i="1"/>
  <c r="BK2833" i="1"/>
  <c r="DG2832" i="1"/>
  <c r="M2533" i="1"/>
  <c r="L2533" i="1"/>
  <c r="DA2832" i="1"/>
  <c r="CY2832" i="1"/>
  <c r="CX2832" i="1"/>
  <c r="J2533" i="1"/>
  <c r="BL2832" i="1"/>
  <c r="BK2832" i="1"/>
  <c r="DG2831" i="1"/>
  <c r="M1241" i="1"/>
  <c r="L1241" i="1"/>
  <c r="DA2831" i="1"/>
  <c r="CY2831" i="1"/>
  <c r="CX2831" i="1"/>
  <c r="J1241" i="1"/>
  <c r="BL2831" i="1"/>
  <c r="BK2831" i="1"/>
  <c r="DG2830" i="1"/>
  <c r="M2537" i="1"/>
  <c r="L2537" i="1"/>
  <c r="DA2830" i="1"/>
  <c r="CY2830" i="1"/>
  <c r="CX2830" i="1"/>
  <c r="J2537" i="1"/>
  <c r="BL2830" i="1"/>
  <c r="BK2830" i="1"/>
  <c r="DG2829" i="1"/>
  <c r="M2539" i="1"/>
  <c r="L2539" i="1"/>
  <c r="DA2829" i="1"/>
  <c r="CY2829" i="1"/>
  <c r="CX2829" i="1"/>
  <c r="J2539" i="1"/>
  <c r="BL2829" i="1"/>
  <c r="BK2829" i="1"/>
  <c r="DG2828" i="1"/>
  <c r="M2541" i="1"/>
  <c r="L2541" i="1"/>
  <c r="DA2828" i="1"/>
  <c r="CY2828" i="1"/>
  <c r="CX2828" i="1"/>
  <c r="J2541" i="1"/>
  <c r="BL2828" i="1"/>
  <c r="BK2828" i="1"/>
  <c r="DG2827" i="1"/>
  <c r="M1245" i="1"/>
  <c r="L1245" i="1"/>
  <c r="DA2827" i="1"/>
  <c r="CY2827" i="1"/>
  <c r="CX2827" i="1"/>
  <c r="J1245" i="1"/>
  <c r="BL2827" i="1"/>
  <c r="BK2827" i="1"/>
  <c r="DG2826" i="1"/>
  <c r="M2545" i="1"/>
  <c r="L2545" i="1"/>
  <c r="DA2826" i="1"/>
  <c r="CY2826" i="1"/>
  <c r="CX2826" i="1"/>
  <c r="J2545" i="1"/>
  <c r="BL2826" i="1"/>
  <c r="BK2826" i="1"/>
  <c r="DG2825" i="1"/>
  <c r="M1247" i="1"/>
  <c r="L1247" i="1"/>
  <c r="DA2825" i="1"/>
  <c r="CY2825" i="1"/>
  <c r="CX2825" i="1"/>
  <c r="J1247" i="1"/>
  <c r="BL2825" i="1"/>
  <c r="BK2825" i="1"/>
  <c r="DG2824" i="1"/>
  <c r="M1248" i="1"/>
  <c r="L1248" i="1"/>
  <c r="DA2824" i="1"/>
  <c r="CY2824" i="1"/>
  <c r="CX2824" i="1"/>
  <c r="J1248" i="1"/>
  <c r="BL2824" i="1"/>
  <c r="BK2824" i="1"/>
  <c r="DG2823" i="1"/>
  <c r="M1249" i="1"/>
  <c r="L1249" i="1"/>
  <c r="DA2823" i="1"/>
  <c r="CY2823" i="1"/>
  <c r="CX2823" i="1"/>
  <c r="J1249" i="1"/>
  <c r="BL2823" i="1"/>
  <c r="BK2823" i="1"/>
  <c r="DG2822" i="1"/>
  <c r="M2553" i="1"/>
  <c r="L2553" i="1"/>
  <c r="DA2822" i="1"/>
  <c r="CY2822" i="1"/>
  <c r="CX2822" i="1"/>
  <c r="J2553" i="1"/>
  <c r="BL2822" i="1"/>
  <c r="BK2822" i="1"/>
  <c r="DG2821" i="1"/>
  <c r="M1251" i="1"/>
  <c r="L1251" i="1"/>
  <c r="DA2821" i="1"/>
  <c r="CY2821" i="1"/>
  <c r="CX2821" i="1"/>
  <c r="J1251" i="1"/>
  <c r="BL2821" i="1"/>
  <c r="BK2821" i="1"/>
  <c r="DG2820" i="1"/>
  <c r="M1252" i="1"/>
  <c r="L1252" i="1"/>
  <c r="DA2820" i="1"/>
  <c r="CY2820" i="1"/>
  <c r="CX2820" i="1"/>
  <c r="J1252" i="1"/>
  <c r="BL2820" i="1"/>
  <c r="BK2820" i="1"/>
  <c r="DG2819" i="1"/>
  <c r="M1253" i="1"/>
  <c r="L1253" i="1"/>
  <c r="DA2819" i="1"/>
  <c r="CY2819" i="1"/>
  <c r="CX2819" i="1"/>
  <c r="J1253" i="1"/>
  <c r="BL2819" i="1"/>
  <c r="BK2819" i="1"/>
  <c r="DG2818" i="1"/>
  <c r="M1254" i="1"/>
  <c r="L1254" i="1"/>
  <c r="DA2818" i="1"/>
  <c r="CY2818" i="1"/>
  <c r="CX2818" i="1"/>
  <c r="J1254" i="1"/>
  <c r="BL2818" i="1"/>
  <c r="BK2818" i="1"/>
  <c r="DG2817" i="1"/>
  <c r="M1255" i="1"/>
  <c r="L1255" i="1"/>
  <c r="DA2817" i="1"/>
  <c r="CY2817" i="1"/>
  <c r="CX2817" i="1"/>
  <c r="J1255" i="1"/>
  <c r="BL2817" i="1"/>
  <c r="BK2817" i="1"/>
  <c r="DG2816" i="1"/>
  <c r="M1256" i="1"/>
  <c r="L1256" i="1"/>
  <c r="DA2816" i="1"/>
  <c r="CY2816" i="1"/>
  <c r="CX2816" i="1"/>
  <c r="J1256" i="1"/>
  <c r="BL2816" i="1"/>
  <c r="BK2816" i="1"/>
  <c r="DG2815" i="1"/>
  <c r="M1257" i="1"/>
  <c r="L1257" i="1"/>
  <c r="DA2815" i="1"/>
  <c r="CY2815" i="1"/>
  <c r="CX2815" i="1"/>
  <c r="J1257" i="1"/>
  <c r="BL2815" i="1"/>
  <c r="BK2815" i="1"/>
  <c r="DG2814" i="1"/>
  <c r="M1258" i="1"/>
  <c r="L1258" i="1"/>
  <c r="DA2814" i="1"/>
  <c r="CY2814" i="1"/>
  <c r="CX2814" i="1"/>
  <c r="J1258" i="1"/>
  <c r="BL2814" i="1"/>
  <c r="BK2814" i="1"/>
  <c r="DG2813" i="1"/>
  <c r="M1259" i="1"/>
  <c r="L1259" i="1"/>
  <c r="DA2813" i="1"/>
  <c r="CY2813" i="1"/>
  <c r="CX2813" i="1"/>
  <c r="J1259" i="1"/>
  <c r="BL2813" i="1"/>
  <c r="BK2813" i="1"/>
  <c r="DG2812" i="1"/>
  <c r="M1260" i="1"/>
  <c r="L1260" i="1"/>
  <c r="DA2812" i="1"/>
  <c r="CY2812" i="1"/>
  <c r="CX2812" i="1"/>
  <c r="J1260" i="1"/>
  <c r="BL2812" i="1"/>
  <c r="BK2812" i="1"/>
  <c r="DG2811" i="1"/>
  <c r="M1261" i="1"/>
  <c r="L1261" i="1"/>
  <c r="DA2811" i="1"/>
  <c r="CY2811" i="1"/>
  <c r="CX2811" i="1"/>
  <c r="J1261" i="1"/>
  <c r="BL2811" i="1"/>
  <c r="BK2811" i="1"/>
  <c r="DG2810" i="1"/>
  <c r="M1262" i="1"/>
  <c r="L1262" i="1"/>
  <c r="DA2810" i="1"/>
  <c r="CY2810" i="1"/>
  <c r="CX2810" i="1"/>
  <c r="J1262" i="1"/>
  <c r="BL2810" i="1"/>
  <c r="BK2810" i="1"/>
  <c r="DG2809" i="1"/>
  <c r="M1263" i="1"/>
  <c r="L1263" i="1"/>
  <c r="DA2809" i="1"/>
  <c r="CY2809" i="1"/>
  <c r="CX2809" i="1"/>
  <c r="J1263" i="1"/>
  <c r="BL2809" i="1"/>
  <c r="BK2809" i="1"/>
  <c r="DG2808" i="1"/>
  <c r="M1264" i="1"/>
  <c r="L1264" i="1"/>
  <c r="DA2808" i="1"/>
  <c r="CY2808" i="1"/>
  <c r="CX2808" i="1"/>
  <c r="J1264" i="1"/>
  <c r="BL2808" i="1"/>
  <c r="BK2808" i="1"/>
  <c r="DG2807" i="1"/>
  <c r="M1265" i="1"/>
  <c r="L1265" i="1"/>
  <c r="DA2807" i="1"/>
  <c r="CY2807" i="1"/>
  <c r="CX2807" i="1"/>
  <c r="J1265" i="1"/>
  <c r="BL2807" i="1"/>
  <c r="BK2807" i="1"/>
  <c r="DG2806" i="1"/>
  <c r="M2585" i="1"/>
  <c r="L2585" i="1"/>
  <c r="DA2806" i="1"/>
  <c r="CY2806" i="1"/>
  <c r="CX2806" i="1"/>
  <c r="J2585" i="1"/>
  <c r="BL2806" i="1"/>
  <c r="BK2806" i="1"/>
  <c r="DG2805" i="1"/>
  <c r="M1267" i="1"/>
  <c r="L1267" i="1"/>
  <c r="DA2805" i="1"/>
  <c r="CY2805" i="1"/>
  <c r="CX2805" i="1"/>
  <c r="J1267" i="1"/>
  <c r="BL2805" i="1"/>
  <c r="BK2805" i="1"/>
  <c r="DG2804" i="1"/>
  <c r="M1268" i="1"/>
  <c r="L1268" i="1"/>
  <c r="DA2804" i="1"/>
  <c r="CY2804" i="1"/>
  <c r="CX2804" i="1"/>
  <c r="J1268" i="1"/>
  <c r="BL2804" i="1"/>
  <c r="BK2804" i="1"/>
  <c r="DG2803" i="1"/>
  <c r="M1269" i="1"/>
  <c r="L1269" i="1"/>
  <c r="DA2803" i="1"/>
  <c r="CY2803" i="1"/>
  <c r="CX2803" i="1"/>
  <c r="J1269" i="1"/>
  <c r="BL2803" i="1"/>
  <c r="BK2803" i="1"/>
  <c r="DG2802" i="1"/>
  <c r="M1270" i="1"/>
  <c r="L1270" i="1"/>
  <c r="DA2802" i="1"/>
  <c r="CY2802" i="1"/>
  <c r="CX2802" i="1"/>
  <c r="J1270" i="1"/>
  <c r="BL2802" i="1"/>
  <c r="BK2802" i="1"/>
  <c r="DG2801" i="1"/>
  <c r="M1271" i="1"/>
  <c r="L1271" i="1"/>
  <c r="DA2801" i="1"/>
  <c r="CY2801" i="1"/>
  <c r="CX2801" i="1"/>
  <c r="J1271" i="1"/>
  <c r="BL2801" i="1"/>
  <c r="BK2801" i="1"/>
  <c r="DG2800" i="1"/>
  <c r="M1272" i="1"/>
  <c r="L1272" i="1"/>
  <c r="DA2800" i="1"/>
  <c r="CY2800" i="1"/>
  <c r="CX2800" i="1"/>
  <c r="J1272" i="1"/>
  <c r="BL2800" i="1"/>
  <c r="BK2800" i="1"/>
  <c r="DG2799" i="1"/>
  <c r="M1273" i="1"/>
  <c r="L1273" i="1"/>
  <c r="DA2799" i="1"/>
  <c r="CY2799" i="1"/>
  <c r="CX2799" i="1"/>
  <c r="J1273" i="1"/>
  <c r="BL2799" i="1"/>
  <c r="BK2799" i="1"/>
  <c r="DG2798" i="1"/>
  <c r="M2601" i="1"/>
  <c r="L2601" i="1"/>
  <c r="DA2798" i="1"/>
  <c r="CY2798" i="1"/>
  <c r="CX2798" i="1"/>
  <c r="J2601" i="1"/>
  <c r="BL2798" i="1"/>
  <c r="BK2798" i="1"/>
  <c r="DG2797" i="1"/>
  <c r="M1275" i="1"/>
  <c r="L1275" i="1"/>
  <c r="DA2797" i="1"/>
  <c r="CY2797" i="1"/>
  <c r="CX2797" i="1"/>
  <c r="J1275" i="1"/>
  <c r="BL2797" i="1"/>
  <c r="BK2797" i="1"/>
  <c r="DG2796" i="1"/>
  <c r="M1276" i="1"/>
  <c r="L1276" i="1"/>
  <c r="DA2796" i="1"/>
  <c r="CY2796" i="1"/>
  <c r="CX2796" i="1"/>
  <c r="J1276" i="1"/>
  <c r="BL2796" i="1"/>
  <c r="BK2796" i="1"/>
  <c r="DG2795" i="1"/>
  <c r="M1277" i="1"/>
  <c r="L1277" i="1"/>
  <c r="DA2795" i="1"/>
  <c r="CY2795" i="1"/>
  <c r="CX2795" i="1"/>
  <c r="J1277" i="1"/>
  <c r="BL2795" i="1"/>
  <c r="BK2795" i="1"/>
  <c r="DG2794" i="1"/>
  <c r="M1278" i="1"/>
  <c r="L1278" i="1"/>
  <c r="DA2794" i="1"/>
  <c r="CY2794" i="1"/>
  <c r="CX2794" i="1"/>
  <c r="J1278" i="1"/>
  <c r="BL2794" i="1"/>
  <c r="BK2794" i="1"/>
  <c r="DG2793" i="1"/>
  <c r="M1279" i="1"/>
  <c r="L1279" i="1"/>
  <c r="DA2793" i="1"/>
  <c r="CY2793" i="1"/>
  <c r="CX2793" i="1"/>
  <c r="J1279" i="1"/>
  <c r="BL2793" i="1"/>
  <c r="BK2793" i="1"/>
  <c r="DG2792" i="1"/>
  <c r="M1280" i="1"/>
  <c r="L1280" i="1"/>
  <c r="DA2792" i="1"/>
  <c r="CY2792" i="1"/>
  <c r="CX2792" i="1"/>
  <c r="J1280" i="1"/>
  <c r="BL2792" i="1"/>
  <c r="BK2792" i="1"/>
  <c r="DG2791" i="1"/>
  <c r="M1281" i="1"/>
  <c r="L1281" i="1"/>
  <c r="DA2791" i="1"/>
  <c r="CY2791" i="1"/>
  <c r="CX2791" i="1"/>
  <c r="J1281" i="1"/>
  <c r="BL2791" i="1"/>
  <c r="BK2791" i="1"/>
  <c r="DG2790" i="1"/>
  <c r="M2617" i="1"/>
  <c r="L2617" i="1"/>
  <c r="DA2790" i="1"/>
  <c r="CY2790" i="1"/>
  <c r="CX2790" i="1"/>
  <c r="J2617" i="1"/>
  <c r="BL2790" i="1"/>
  <c r="BK2790" i="1"/>
  <c r="DG2789" i="1"/>
  <c r="M2619" i="1"/>
  <c r="L2619" i="1"/>
  <c r="DA2789" i="1"/>
  <c r="CY2789" i="1"/>
  <c r="CX2789" i="1"/>
  <c r="J2619" i="1"/>
  <c r="BL2789" i="1"/>
  <c r="BK2789" i="1"/>
  <c r="DG2788" i="1"/>
  <c r="M2621" i="1"/>
  <c r="L2621" i="1"/>
  <c r="DA2788" i="1"/>
  <c r="CY2788" i="1"/>
  <c r="CX2788" i="1"/>
  <c r="J2621" i="1"/>
  <c r="BL2788" i="1"/>
  <c r="BK2788" i="1"/>
  <c r="DG2787" i="1"/>
  <c r="M1285" i="1"/>
  <c r="L1285" i="1"/>
  <c r="DA2787" i="1"/>
  <c r="CY2787" i="1"/>
  <c r="CX2787" i="1"/>
  <c r="J1285" i="1"/>
  <c r="BL2787" i="1"/>
  <c r="BK2787" i="1"/>
  <c r="DG2786" i="1"/>
  <c r="M2625" i="1"/>
  <c r="L2625" i="1"/>
  <c r="DA2786" i="1"/>
  <c r="CY2786" i="1"/>
  <c r="CX2786" i="1"/>
  <c r="J2625" i="1"/>
  <c r="BL2786" i="1"/>
  <c r="BK2786" i="1"/>
  <c r="DG2785" i="1"/>
  <c r="M1287" i="1"/>
  <c r="L1287" i="1"/>
  <c r="DA2785" i="1"/>
  <c r="CY2785" i="1"/>
  <c r="CX2785" i="1"/>
  <c r="J1287" i="1"/>
  <c r="BL2785" i="1"/>
  <c r="BK2785" i="1"/>
  <c r="DG2784" i="1"/>
  <c r="M2629" i="1"/>
  <c r="L2629" i="1"/>
  <c r="DA2784" i="1"/>
  <c r="CY2784" i="1"/>
  <c r="CX2784" i="1"/>
  <c r="J2629" i="1"/>
  <c r="BL2784" i="1"/>
  <c r="BK2784" i="1"/>
  <c r="DG2783" i="1"/>
  <c r="M1289" i="1"/>
  <c r="L1289" i="1"/>
  <c r="DA2783" i="1"/>
  <c r="CY2783" i="1"/>
  <c r="CX2783" i="1"/>
  <c r="J1289" i="1"/>
  <c r="BL2783" i="1"/>
  <c r="BK2783" i="1"/>
  <c r="DG2782" i="1"/>
  <c r="M2633" i="1"/>
  <c r="L2633" i="1"/>
  <c r="DA2782" i="1"/>
  <c r="CY2782" i="1"/>
  <c r="CX2782" i="1"/>
  <c r="J2633" i="1"/>
  <c r="BL2782" i="1"/>
  <c r="BK2782" i="1"/>
  <c r="DG2781" i="1"/>
  <c r="M1291" i="1"/>
  <c r="L1291" i="1"/>
  <c r="DA2781" i="1"/>
  <c r="CY2781" i="1"/>
  <c r="CX2781" i="1"/>
  <c r="J1291" i="1"/>
  <c r="BL2781" i="1"/>
  <c r="BK2781" i="1"/>
  <c r="DG2780" i="1"/>
  <c r="M2637" i="1"/>
  <c r="L2637" i="1"/>
  <c r="DA2780" i="1"/>
  <c r="CY2780" i="1"/>
  <c r="CX2780" i="1"/>
  <c r="J2637" i="1"/>
  <c r="BL2780" i="1"/>
  <c r="BK2780" i="1"/>
  <c r="DG2779" i="1"/>
  <c r="M1293" i="1"/>
  <c r="L1293" i="1"/>
  <c r="DA2779" i="1"/>
  <c r="CY2779" i="1"/>
  <c r="CX2779" i="1"/>
  <c r="J1293" i="1"/>
  <c r="BL2779" i="1"/>
  <c r="BK2779" i="1"/>
  <c r="DG2778" i="1"/>
  <c r="M1294" i="1"/>
  <c r="L1294" i="1"/>
  <c r="DA2778" i="1"/>
  <c r="CY2778" i="1"/>
  <c r="CX2778" i="1"/>
  <c r="J1294" i="1"/>
  <c r="BL2778" i="1"/>
  <c r="BK2778" i="1"/>
  <c r="DG2777" i="1"/>
  <c r="M1295" i="1"/>
  <c r="L1295" i="1"/>
  <c r="DA2777" i="1"/>
  <c r="CY2777" i="1"/>
  <c r="CX2777" i="1"/>
  <c r="J1295" i="1"/>
  <c r="BL2777" i="1"/>
  <c r="BK2777" i="1"/>
  <c r="DG2776" i="1"/>
  <c r="M1296" i="1"/>
  <c r="L1296" i="1"/>
  <c r="DA2776" i="1"/>
  <c r="CY2776" i="1"/>
  <c r="CX2776" i="1"/>
  <c r="J1296" i="1"/>
  <c r="BL2776" i="1"/>
  <c r="BK2776" i="1"/>
  <c r="DG2775" i="1"/>
  <c r="M1297" i="1"/>
  <c r="L1297" i="1"/>
  <c r="DA2775" i="1"/>
  <c r="CY2775" i="1"/>
  <c r="CX2775" i="1"/>
  <c r="J1297" i="1"/>
  <c r="BL2775" i="1"/>
  <c r="BK2775" i="1"/>
  <c r="DG2774" i="1"/>
  <c r="M2649" i="1"/>
  <c r="L2649" i="1"/>
  <c r="DA2774" i="1"/>
  <c r="CY2774" i="1"/>
  <c r="CX2774" i="1"/>
  <c r="J2649" i="1"/>
  <c r="BL2774" i="1"/>
  <c r="BK2774" i="1"/>
  <c r="DG2773" i="1"/>
  <c r="M1299" i="1"/>
  <c r="L1299" i="1"/>
  <c r="DA2773" i="1"/>
  <c r="CY2773" i="1"/>
  <c r="CX2773" i="1"/>
  <c r="J1299" i="1"/>
  <c r="BL2773" i="1"/>
  <c r="BK2773" i="1"/>
  <c r="DG2772" i="1"/>
  <c r="M2653" i="1"/>
  <c r="L2653" i="1"/>
  <c r="DA2772" i="1"/>
  <c r="CY2772" i="1"/>
  <c r="CX2772" i="1"/>
  <c r="J2653" i="1"/>
  <c r="BL2772" i="1"/>
  <c r="BK2772" i="1"/>
  <c r="DG2771" i="1"/>
  <c r="M1301" i="1"/>
  <c r="L1301" i="1"/>
  <c r="DA2771" i="1"/>
  <c r="CY2771" i="1"/>
  <c r="CX2771" i="1"/>
  <c r="J1301" i="1"/>
  <c r="BL2771" i="1"/>
  <c r="BK2771" i="1"/>
  <c r="DG2770" i="1"/>
  <c r="M2657" i="1"/>
  <c r="L2657" i="1"/>
  <c r="DA2770" i="1"/>
  <c r="CY2770" i="1"/>
  <c r="CX2770" i="1"/>
  <c r="J2657" i="1"/>
  <c r="BL2770" i="1"/>
  <c r="BK2770" i="1"/>
  <c r="DG2769" i="1"/>
  <c r="M1303" i="1"/>
  <c r="L1303" i="1"/>
  <c r="DA2769" i="1"/>
  <c r="CY2769" i="1"/>
  <c r="CX2769" i="1"/>
  <c r="J1303" i="1"/>
  <c r="BL2769" i="1"/>
  <c r="BK2769" i="1"/>
  <c r="DG2768" i="1"/>
  <c r="M1304" i="1"/>
  <c r="L1304" i="1"/>
  <c r="DA2768" i="1"/>
  <c r="CY2768" i="1"/>
  <c r="CX2768" i="1"/>
  <c r="J1304" i="1"/>
  <c r="BL2768" i="1"/>
  <c r="BK2768" i="1"/>
  <c r="DG2767" i="1"/>
  <c r="M1305" i="1"/>
  <c r="L1305" i="1"/>
  <c r="DA2767" i="1"/>
  <c r="CY2767" i="1"/>
  <c r="CX2767" i="1"/>
  <c r="J1305" i="1"/>
  <c r="BL2767" i="1"/>
  <c r="BK2767" i="1"/>
  <c r="DG2766" i="1"/>
  <c r="M2665" i="1"/>
  <c r="L2665" i="1"/>
  <c r="DA2766" i="1"/>
  <c r="CY2766" i="1"/>
  <c r="CX2766" i="1"/>
  <c r="J2665" i="1"/>
  <c r="BL2766" i="1"/>
  <c r="BK2766" i="1"/>
  <c r="DG2765" i="1"/>
  <c r="M2667" i="1"/>
  <c r="L2667" i="1"/>
  <c r="DA2765" i="1"/>
  <c r="CY2765" i="1"/>
  <c r="CX2765" i="1"/>
  <c r="J2667" i="1"/>
  <c r="BL2765" i="1"/>
  <c r="BK2765" i="1"/>
  <c r="DG2764" i="1"/>
  <c r="M2669" i="1"/>
  <c r="L2669" i="1"/>
  <c r="DA2764" i="1"/>
  <c r="CY2764" i="1"/>
  <c r="CX2764" i="1"/>
  <c r="J2669" i="1"/>
  <c r="BL2764" i="1"/>
  <c r="BK2764" i="1"/>
  <c r="DG2763" i="1"/>
  <c r="M1309" i="1"/>
  <c r="L1309" i="1"/>
  <c r="DA2763" i="1"/>
  <c r="CY2763" i="1"/>
  <c r="CX2763" i="1"/>
  <c r="J1309" i="1"/>
  <c r="BL2763" i="1"/>
  <c r="BK2763" i="1"/>
  <c r="DG2762" i="1"/>
  <c r="M2673" i="1"/>
  <c r="L2673" i="1"/>
  <c r="DA2762" i="1"/>
  <c r="CY2762" i="1"/>
  <c r="CX2762" i="1"/>
  <c r="J2673" i="1"/>
  <c r="BL2762" i="1"/>
  <c r="BK2762" i="1"/>
  <c r="DG2761" i="1"/>
  <c r="M1311" i="1"/>
  <c r="L1311" i="1"/>
  <c r="DA2761" i="1"/>
  <c r="CY2761" i="1"/>
  <c r="CX2761" i="1"/>
  <c r="J1311" i="1"/>
  <c r="BL2761" i="1"/>
  <c r="BK2761" i="1"/>
  <c r="DG2760" i="1"/>
  <c r="M2677" i="1"/>
  <c r="L2677" i="1"/>
  <c r="DA2760" i="1"/>
  <c r="CY2760" i="1"/>
  <c r="CX2760" i="1"/>
  <c r="J2677" i="1"/>
  <c r="BL2760" i="1"/>
  <c r="BK2760" i="1"/>
  <c r="DG2759" i="1"/>
  <c r="M1313" i="1"/>
  <c r="L1313" i="1"/>
  <c r="DA2759" i="1"/>
  <c r="CY2759" i="1"/>
  <c r="CX2759" i="1"/>
  <c r="J1313" i="1"/>
  <c r="BL2759" i="1"/>
  <c r="BK2759" i="1"/>
  <c r="DG2758" i="1"/>
  <c r="M2681" i="1"/>
  <c r="L2681" i="1"/>
  <c r="DA2758" i="1"/>
  <c r="CY2758" i="1"/>
  <c r="CX2758" i="1"/>
  <c r="J2681" i="1"/>
  <c r="BL2758" i="1"/>
  <c r="BK2758" i="1"/>
  <c r="DG2757" i="1"/>
  <c r="M2683" i="1"/>
  <c r="L2683" i="1"/>
  <c r="DA2757" i="1"/>
  <c r="CY2757" i="1"/>
  <c r="CX2757" i="1"/>
  <c r="J2683" i="1"/>
  <c r="BL2757" i="1"/>
  <c r="BK2757" i="1"/>
  <c r="DG2756" i="1"/>
  <c r="M2685" i="1"/>
  <c r="L2685" i="1"/>
  <c r="DA2756" i="1"/>
  <c r="CY2756" i="1"/>
  <c r="CX2756" i="1"/>
  <c r="J2685" i="1"/>
  <c r="BL2756" i="1"/>
  <c r="BK2756" i="1"/>
  <c r="DG2755" i="1"/>
  <c r="M1317" i="1"/>
  <c r="L1317" i="1"/>
  <c r="DA2755" i="1"/>
  <c r="CY2755" i="1"/>
  <c r="CX2755" i="1"/>
  <c r="J1317" i="1"/>
  <c r="BL2755" i="1"/>
  <c r="BK2755" i="1"/>
  <c r="DG2754" i="1"/>
  <c r="M2689" i="1"/>
  <c r="L2689" i="1"/>
  <c r="DA2754" i="1"/>
  <c r="CY2754" i="1"/>
  <c r="CX2754" i="1"/>
  <c r="J2689" i="1"/>
  <c r="BL2754" i="1"/>
  <c r="BK2754" i="1"/>
  <c r="DG2753" i="1"/>
  <c r="M1319" i="1"/>
  <c r="L1319" i="1"/>
  <c r="DA2753" i="1"/>
  <c r="CY2753" i="1"/>
  <c r="CX2753" i="1"/>
  <c r="J1319" i="1"/>
  <c r="BL2753" i="1"/>
  <c r="BK2753" i="1"/>
  <c r="DG2752" i="1"/>
  <c r="M1320" i="1"/>
  <c r="L1320" i="1"/>
  <c r="DA2752" i="1"/>
  <c r="CY2752" i="1"/>
  <c r="CX2752" i="1"/>
  <c r="J1320" i="1"/>
  <c r="BL2752" i="1"/>
  <c r="BK2752" i="1"/>
  <c r="DG2751" i="1"/>
  <c r="M1321" i="1"/>
  <c r="L1321" i="1"/>
  <c r="DA2751" i="1"/>
  <c r="CY2751" i="1"/>
  <c r="CX2751" i="1"/>
  <c r="J1321" i="1"/>
  <c r="BL2751" i="1"/>
  <c r="BK2751" i="1"/>
  <c r="DG2750" i="1"/>
  <c r="M1322" i="1"/>
  <c r="L1322" i="1"/>
  <c r="DA2750" i="1"/>
  <c r="CY2750" i="1"/>
  <c r="CX2750" i="1"/>
  <c r="J1322" i="1"/>
  <c r="BL2750" i="1"/>
  <c r="BK2750" i="1"/>
  <c r="DG2749" i="1"/>
  <c r="M1323" i="1"/>
  <c r="L1323" i="1"/>
  <c r="DA2749" i="1"/>
  <c r="CY2749" i="1"/>
  <c r="CX2749" i="1"/>
  <c r="J1323" i="1"/>
  <c r="BL2749" i="1"/>
  <c r="BK2749" i="1"/>
  <c r="DG2748" i="1"/>
  <c r="M1324" i="1"/>
  <c r="L1324" i="1"/>
  <c r="DA2748" i="1"/>
  <c r="CY2748" i="1"/>
  <c r="CX2748" i="1"/>
  <c r="J1324" i="1"/>
  <c r="BL2748" i="1"/>
  <c r="BK2748" i="1"/>
  <c r="DG2747" i="1"/>
  <c r="M1325" i="1"/>
  <c r="L1325" i="1"/>
  <c r="DA2747" i="1"/>
  <c r="CY2747" i="1"/>
  <c r="CX2747" i="1"/>
  <c r="J1325" i="1"/>
  <c r="BL2747" i="1"/>
  <c r="BK2747" i="1"/>
  <c r="DG2746" i="1"/>
  <c r="M1326" i="1"/>
  <c r="L1326" i="1"/>
  <c r="DA2746" i="1"/>
  <c r="CY2746" i="1"/>
  <c r="CX2746" i="1"/>
  <c r="J1326" i="1"/>
  <c r="BL2746" i="1"/>
  <c r="BK2746" i="1"/>
  <c r="DG2745" i="1"/>
  <c r="M1327" i="1"/>
  <c r="L1327" i="1"/>
  <c r="DA2745" i="1"/>
  <c r="CY2745" i="1"/>
  <c r="CX2745" i="1"/>
  <c r="J1327" i="1"/>
  <c r="BL2745" i="1"/>
  <c r="BK2745" i="1"/>
  <c r="DG2744" i="1"/>
  <c r="M1328" i="1"/>
  <c r="L1328" i="1"/>
  <c r="DA2744" i="1"/>
  <c r="CY2744" i="1"/>
  <c r="CX2744" i="1"/>
  <c r="J1328" i="1"/>
  <c r="BL2744" i="1"/>
  <c r="BK2744" i="1"/>
  <c r="DG2743" i="1"/>
  <c r="M1329" i="1"/>
  <c r="L1329" i="1"/>
  <c r="DA2743" i="1"/>
  <c r="CY2743" i="1"/>
  <c r="CX2743" i="1"/>
  <c r="J1329" i="1"/>
  <c r="BL2743" i="1"/>
  <c r="BK2743" i="1"/>
  <c r="DG2742" i="1"/>
  <c r="M2713" i="1"/>
  <c r="L2713" i="1"/>
  <c r="DA2742" i="1"/>
  <c r="CY2742" i="1"/>
  <c r="CX2742" i="1"/>
  <c r="J2713" i="1"/>
  <c r="BL2742" i="1"/>
  <c r="BK2742" i="1"/>
  <c r="DG2741" i="1"/>
  <c r="M1331" i="1"/>
  <c r="L1331" i="1"/>
  <c r="DA2741" i="1"/>
  <c r="CY2741" i="1"/>
  <c r="CX2741" i="1"/>
  <c r="J1331" i="1"/>
  <c r="BL2741" i="1"/>
  <c r="BK2741" i="1"/>
  <c r="DG2740" i="1"/>
  <c r="M1332" i="1"/>
  <c r="L1332" i="1"/>
  <c r="DA2740" i="1"/>
  <c r="CY2740" i="1"/>
  <c r="CX2740" i="1"/>
  <c r="J1332" i="1"/>
  <c r="BL2740" i="1"/>
  <c r="BK2740" i="1"/>
  <c r="DG2739" i="1"/>
  <c r="M1333" i="1"/>
  <c r="L1333" i="1"/>
  <c r="DA2739" i="1"/>
  <c r="CY2739" i="1"/>
  <c r="CX2739" i="1"/>
  <c r="J1333" i="1"/>
  <c r="BL2739" i="1"/>
  <c r="BK2739" i="1"/>
  <c r="DG2738" i="1"/>
  <c r="M1334" i="1"/>
  <c r="L1334" i="1"/>
  <c r="DA2738" i="1"/>
  <c r="CY2738" i="1"/>
  <c r="CX2738" i="1"/>
  <c r="J1334" i="1"/>
  <c r="BL2738" i="1"/>
  <c r="BK2738" i="1"/>
  <c r="DG2737" i="1"/>
  <c r="M1335" i="1"/>
  <c r="L1335" i="1"/>
  <c r="DA2737" i="1"/>
  <c r="CY2737" i="1"/>
  <c r="CX2737" i="1"/>
  <c r="J1335" i="1"/>
  <c r="BL2737" i="1"/>
  <c r="BK2737" i="1"/>
  <c r="DG2736" i="1"/>
  <c r="M1336" i="1"/>
  <c r="L1336" i="1"/>
  <c r="DA2736" i="1"/>
  <c r="CY2736" i="1"/>
  <c r="CX2736" i="1"/>
  <c r="J1336" i="1"/>
  <c r="BL2736" i="1"/>
  <c r="BK2736" i="1"/>
  <c r="DG2735" i="1"/>
  <c r="M1337" i="1"/>
  <c r="L1337" i="1"/>
  <c r="DA2735" i="1"/>
  <c r="CY2735" i="1"/>
  <c r="CX2735" i="1"/>
  <c r="J1337" i="1"/>
  <c r="BL2735" i="1"/>
  <c r="BK2735" i="1"/>
  <c r="DG2734" i="1"/>
  <c r="M2729" i="1"/>
  <c r="L2729" i="1"/>
  <c r="DA2734" i="1"/>
  <c r="CY2734" i="1"/>
  <c r="CX2734" i="1"/>
  <c r="J2729" i="1"/>
  <c r="BL2734" i="1"/>
  <c r="BK2734" i="1"/>
  <c r="DG2733" i="1"/>
  <c r="M1339" i="1"/>
  <c r="L1339" i="1"/>
  <c r="DA2733" i="1"/>
  <c r="CY2733" i="1"/>
  <c r="CX2733" i="1"/>
  <c r="J1339" i="1"/>
  <c r="BL2733" i="1"/>
  <c r="BK2733" i="1"/>
  <c r="DG2732" i="1"/>
  <c r="M1340" i="1"/>
  <c r="L1340" i="1"/>
  <c r="DA2732" i="1"/>
  <c r="CY2732" i="1"/>
  <c r="CX2732" i="1"/>
  <c r="J1340" i="1"/>
  <c r="BL2732" i="1"/>
  <c r="BK2732" i="1"/>
  <c r="DG2731" i="1"/>
  <c r="M1341" i="1"/>
  <c r="L1341" i="1"/>
  <c r="DA2731" i="1"/>
  <c r="CY2731" i="1"/>
  <c r="CX2731" i="1"/>
  <c r="J1341" i="1"/>
  <c r="BL2731" i="1"/>
  <c r="BK2731" i="1"/>
  <c r="DG2730" i="1"/>
  <c r="M1342" i="1"/>
  <c r="L1342" i="1"/>
  <c r="DA2730" i="1"/>
  <c r="CY2730" i="1"/>
  <c r="CX2730" i="1"/>
  <c r="J1342" i="1"/>
  <c r="BL2730" i="1"/>
  <c r="BK2730" i="1"/>
  <c r="DG2729" i="1"/>
  <c r="M1343" i="1"/>
  <c r="L1343" i="1"/>
  <c r="DA2729" i="1"/>
  <c r="CY2729" i="1"/>
  <c r="CX2729" i="1"/>
  <c r="J1343" i="1"/>
  <c r="BL2729" i="1"/>
  <c r="BK2729" i="1"/>
  <c r="DG2728" i="1"/>
  <c r="M1344" i="1"/>
  <c r="L1344" i="1"/>
  <c r="DA2728" i="1"/>
  <c r="CY2728" i="1"/>
  <c r="CX2728" i="1"/>
  <c r="J1344" i="1"/>
  <c r="BL2728" i="1"/>
  <c r="BK2728" i="1"/>
  <c r="DG2727" i="1"/>
  <c r="M1345" i="1"/>
  <c r="L1345" i="1"/>
  <c r="DA2727" i="1"/>
  <c r="CY2727" i="1"/>
  <c r="CX2727" i="1"/>
  <c r="J1345" i="1"/>
  <c r="BL2727" i="1"/>
  <c r="BK2727" i="1"/>
  <c r="DG2726" i="1"/>
  <c r="M2745" i="1"/>
  <c r="L2745" i="1"/>
  <c r="DA2726" i="1"/>
  <c r="CY2726" i="1"/>
  <c r="CX2726" i="1"/>
  <c r="J2745" i="1"/>
  <c r="BL2726" i="1"/>
  <c r="BK2726" i="1"/>
  <c r="DG2725" i="1"/>
  <c r="M1347" i="1"/>
  <c r="L1347" i="1"/>
  <c r="DA2725" i="1"/>
  <c r="CY2725" i="1"/>
  <c r="CX2725" i="1"/>
  <c r="J1347" i="1"/>
  <c r="BL2725" i="1"/>
  <c r="BK2725" i="1"/>
  <c r="DG2724" i="1"/>
  <c r="M1348" i="1"/>
  <c r="L1348" i="1"/>
  <c r="DA2724" i="1"/>
  <c r="CY2724" i="1"/>
  <c r="CX2724" i="1"/>
  <c r="J1348" i="1"/>
  <c r="BL2724" i="1"/>
  <c r="BK2724" i="1"/>
  <c r="DG2723" i="1"/>
  <c r="M1349" i="1"/>
  <c r="L1349" i="1"/>
  <c r="DA2723" i="1"/>
  <c r="CY2723" i="1"/>
  <c r="CX2723" i="1"/>
  <c r="J1349" i="1"/>
  <c r="BL2723" i="1"/>
  <c r="BK2723" i="1"/>
  <c r="DG2722" i="1"/>
  <c r="M1350" i="1"/>
  <c r="L1350" i="1"/>
  <c r="DA2722" i="1"/>
  <c r="CY2722" i="1"/>
  <c r="CX2722" i="1"/>
  <c r="J1350" i="1"/>
  <c r="BL2722" i="1"/>
  <c r="BK2722" i="1"/>
  <c r="DG2721" i="1"/>
  <c r="M1351" i="1"/>
  <c r="L1351" i="1"/>
  <c r="DA2721" i="1"/>
  <c r="CY2721" i="1"/>
  <c r="CX2721" i="1"/>
  <c r="J1351" i="1"/>
  <c r="BL2721" i="1"/>
  <c r="BK2721" i="1"/>
  <c r="DG2720" i="1"/>
  <c r="M1352" i="1"/>
  <c r="L1352" i="1"/>
  <c r="DA2720" i="1"/>
  <c r="CY2720" i="1"/>
  <c r="CX2720" i="1"/>
  <c r="J1352" i="1"/>
  <c r="BL2720" i="1"/>
  <c r="BK2720" i="1"/>
  <c r="DG2719" i="1"/>
  <c r="M1353" i="1"/>
  <c r="L1353" i="1"/>
  <c r="DA2719" i="1"/>
  <c r="CY2719" i="1"/>
  <c r="CX2719" i="1"/>
  <c r="J1353" i="1"/>
  <c r="BL2719" i="1"/>
  <c r="BK2719" i="1"/>
  <c r="DG2718" i="1"/>
  <c r="M1354" i="1"/>
  <c r="L1354" i="1"/>
  <c r="DA2718" i="1"/>
  <c r="CY2718" i="1"/>
  <c r="CX2718" i="1"/>
  <c r="J1354" i="1"/>
  <c r="BL2718" i="1"/>
  <c r="BK2718" i="1"/>
  <c r="DG2717" i="1"/>
  <c r="M1355" i="1"/>
  <c r="L1355" i="1"/>
  <c r="DA2717" i="1"/>
  <c r="CY2717" i="1"/>
  <c r="CX2717" i="1"/>
  <c r="J1355" i="1"/>
  <c r="BL2717" i="1"/>
  <c r="BK2717" i="1"/>
  <c r="DG2716" i="1"/>
  <c r="M1356" i="1"/>
  <c r="L1356" i="1"/>
  <c r="DA2716" i="1"/>
  <c r="CY2716" i="1"/>
  <c r="CX2716" i="1"/>
  <c r="J1356" i="1"/>
  <c r="BL2716" i="1"/>
  <c r="BK2716" i="1"/>
  <c r="DG2715" i="1"/>
  <c r="M1357" i="1"/>
  <c r="L1357" i="1"/>
  <c r="DA2715" i="1"/>
  <c r="CY2715" i="1"/>
  <c r="CX2715" i="1"/>
  <c r="J1357" i="1"/>
  <c r="BL2715" i="1"/>
  <c r="BK2715" i="1"/>
  <c r="DG2714" i="1"/>
  <c r="M1358" i="1"/>
  <c r="L1358" i="1"/>
  <c r="DA2714" i="1"/>
  <c r="CY2714" i="1"/>
  <c r="CX2714" i="1"/>
  <c r="J1358" i="1"/>
  <c r="BL2714" i="1"/>
  <c r="BK2714" i="1"/>
  <c r="DG2713" i="1"/>
  <c r="M1359" i="1"/>
  <c r="L1359" i="1"/>
  <c r="DA2713" i="1"/>
  <c r="CY2713" i="1"/>
  <c r="CX2713" i="1"/>
  <c r="J1359" i="1"/>
  <c r="BL2713" i="1"/>
  <c r="BK2713" i="1"/>
  <c r="DG2712" i="1"/>
  <c r="M1360" i="1"/>
  <c r="L1360" i="1"/>
  <c r="DA2712" i="1"/>
  <c r="CY2712" i="1"/>
  <c r="CX2712" i="1"/>
  <c r="J1360" i="1"/>
  <c r="BL2712" i="1"/>
  <c r="BK2712" i="1"/>
  <c r="DG2711" i="1"/>
  <c r="M1361" i="1"/>
  <c r="L1361" i="1"/>
  <c r="DA2711" i="1"/>
  <c r="CY2711" i="1"/>
  <c r="CX2711" i="1"/>
  <c r="J1361" i="1"/>
  <c r="BL2711" i="1"/>
  <c r="BK2711" i="1"/>
  <c r="DG2710" i="1"/>
  <c r="M2777" i="1"/>
  <c r="L2777" i="1"/>
  <c r="DA2710" i="1"/>
  <c r="CY2710" i="1"/>
  <c r="CX2710" i="1"/>
  <c r="J2777" i="1"/>
  <c r="BL2710" i="1"/>
  <c r="BK2710" i="1"/>
  <c r="DG2709" i="1"/>
  <c r="M1363" i="1"/>
  <c r="L1363" i="1"/>
  <c r="DA2709" i="1"/>
  <c r="CY2709" i="1"/>
  <c r="CX2709" i="1"/>
  <c r="J1363" i="1"/>
  <c r="BL2709" i="1"/>
  <c r="BK2709" i="1"/>
  <c r="DG2708" i="1"/>
  <c r="M1364" i="1"/>
  <c r="L1364" i="1"/>
  <c r="DA2708" i="1"/>
  <c r="CY2708" i="1"/>
  <c r="CX2708" i="1"/>
  <c r="J1364" i="1"/>
  <c r="BL2708" i="1"/>
  <c r="BK2708" i="1"/>
  <c r="DG2707" i="1"/>
  <c r="M1365" i="1"/>
  <c r="L1365" i="1"/>
  <c r="DA2707" i="1"/>
  <c r="CY2707" i="1"/>
  <c r="CX2707" i="1"/>
  <c r="J1365" i="1"/>
  <c r="BL2707" i="1"/>
  <c r="BK2707" i="1"/>
  <c r="DG2706" i="1"/>
  <c r="M1366" i="1"/>
  <c r="L1366" i="1"/>
  <c r="DA2706" i="1"/>
  <c r="CY2706" i="1"/>
  <c r="CX2706" i="1"/>
  <c r="J1366" i="1"/>
  <c r="BL2706" i="1"/>
  <c r="BK2706" i="1"/>
  <c r="DG2705" i="1"/>
  <c r="M1367" i="1"/>
  <c r="L1367" i="1"/>
  <c r="DA2705" i="1"/>
  <c r="CY2705" i="1"/>
  <c r="CX2705" i="1"/>
  <c r="J1367" i="1"/>
  <c r="BL2705" i="1"/>
  <c r="BK2705" i="1"/>
  <c r="DG2704" i="1"/>
  <c r="M1368" i="1"/>
  <c r="L1368" i="1"/>
  <c r="DA2704" i="1"/>
  <c r="CY2704" i="1"/>
  <c r="CX2704" i="1"/>
  <c r="J1368" i="1"/>
  <c r="BL2704" i="1"/>
  <c r="BK2704" i="1"/>
  <c r="DG2703" i="1"/>
  <c r="M1369" i="1"/>
  <c r="L1369" i="1"/>
  <c r="DA2703" i="1"/>
  <c r="CY2703" i="1"/>
  <c r="CX2703" i="1"/>
  <c r="J1369" i="1"/>
  <c r="BL2703" i="1"/>
  <c r="BK2703" i="1"/>
  <c r="DG2702" i="1"/>
  <c r="M2793" i="1"/>
  <c r="L2793" i="1"/>
  <c r="DA2702" i="1"/>
  <c r="CY2702" i="1"/>
  <c r="CX2702" i="1"/>
  <c r="J2793" i="1"/>
  <c r="BL2702" i="1"/>
  <c r="BK2702" i="1"/>
  <c r="DG2701" i="1"/>
  <c r="M1371" i="1"/>
  <c r="L1371" i="1"/>
  <c r="DA2701" i="1"/>
  <c r="CY2701" i="1"/>
  <c r="CX2701" i="1"/>
  <c r="J1371" i="1"/>
  <c r="BL2701" i="1"/>
  <c r="BK2701" i="1"/>
  <c r="DG2700" i="1"/>
  <c r="M1372" i="1"/>
  <c r="L1372" i="1"/>
  <c r="DA2700" i="1"/>
  <c r="CY2700" i="1"/>
  <c r="CX2700" i="1"/>
  <c r="J1372" i="1"/>
  <c r="BL2700" i="1"/>
  <c r="BK2700" i="1"/>
  <c r="DG2699" i="1"/>
  <c r="M1373" i="1"/>
  <c r="L1373" i="1"/>
  <c r="DA2699" i="1"/>
  <c r="CY2699" i="1"/>
  <c r="CX2699" i="1"/>
  <c r="J1373" i="1"/>
  <c r="BL2699" i="1"/>
  <c r="BK2699" i="1"/>
  <c r="DG2698" i="1"/>
  <c r="M1374" i="1"/>
  <c r="L1374" i="1"/>
  <c r="DA2698" i="1"/>
  <c r="CY2698" i="1"/>
  <c r="CX2698" i="1"/>
  <c r="J1374" i="1"/>
  <c r="BL2698" i="1"/>
  <c r="BK2698" i="1"/>
  <c r="DG2697" i="1"/>
  <c r="M1375" i="1"/>
  <c r="L1375" i="1"/>
  <c r="DA2697" i="1"/>
  <c r="CY2697" i="1"/>
  <c r="CX2697" i="1"/>
  <c r="J1375" i="1"/>
  <c r="BL2697" i="1"/>
  <c r="BK2697" i="1"/>
  <c r="DG2696" i="1"/>
  <c r="M1376" i="1"/>
  <c r="L1376" i="1"/>
  <c r="DA2696" i="1"/>
  <c r="CY2696" i="1"/>
  <c r="CX2696" i="1"/>
  <c r="J1376" i="1"/>
  <c r="BL2696" i="1"/>
  <c r="BK2696" i="1"/>
  <c r="DG2695" i="1"/>
  <c r="M1377" i="1"/>
  <c r="L1377" i="1"/>
  <c r="DA2695" i="1"/>
  <c r="CY2695" i="1"/>
  <c r="CX2695" i="1"/>
  <c r="J1377" i="1"/>
  <c r="BL2695" i="1"/>
  <c r="BK2695" i="1"/>
  <c r="DG2694" i="1"/>
  <c r="M2809" i="1"/>
  <c r="L2809" i="1"/>
  <c r="DA2694" i="1"/>
  <c r="CY2694" i="1"/>
  <c r="CX2694" i="1"/>
  <c r="J2809" i="1"/>
  <c r="BL2694" i="1"/>
  <c r="BK2694" i="1"/>
  <c r="DG2693" i="1"/>
  <c r="M1379" i="1"/>
  <c r="L1379" i="1"/>
  <c r="DA2693" i="1"/>
  <c r="CY2693" i="1"/>
  <c r="CX2693" i="1"/>
  <c r="J1379" i="1"/>
  <c r="BL2693" i="1"/>
  <c r="BK2693" i="1"/>
  <c r="DG2692" i="1"/>
  <c r="M1380" i="1"/>
  <c r="L1380" i="1"/>
  <c r="DA2692" i="1"/>
  <c r="CY2692" i="1"/>
  <c r="CX2692" i="1"/>
  <c r="J1380" i="1"/>
  <c r="BL2692" i="1"/>
  <c r="BK2692" i="1"/>
  <c r="DG2691" i="1"/>
  <c r="M1381" i="1"/>
  <c r="L1381" i="1"/>
  <c r="DA2691" i="1"/>
  <c r="CY2691" i="1"/>
  <c r="CX2691" i="1"/>
  <c r="J1381" i="1"/>
  <c r="BL2691" i="1"/>
  <c r="BK2691" i="1"/>
  <c r="DG2690" i="1"/>
  <c r="M1382" i="1"/>
  <c r="L1382" i="1"/>
  <c r="DA2690" i="1"/>
  <c r="CY2690" i="1"/>
  <c r="CX2690" i="1"/>
  <c r="J1382" i="1"/>
  <c r="BL2690" i="1"/>
  <c r="BK2690" i="1"/>
  <c r="DG2689" i="1"/>
  <c r="M1383" i="1"/>
  <c r="L1383" i="1"/>
  <c r="DA2689" i="1"/>
  <c r="CY2689" i="1"/>
  <c r="CX2689" i="1"/>
  <c r="J1383" i="1"/>
  <c r="BL2689" i="1"/>
  <c r="BK2689" i="1"/>
  <c r="DG2688" i="1"/>
  <c r="M1384" i="1"/>
  <c r="L1384" i="1"/>
  <c r="DA2688" i="1"/>
  <c r="CY2688" i="1"/>
  <c r="CX2688" i="1"/>
  <c r="J1384" i="1"/>
  <c r="BL2688" i="1"/>
  <c r="BK2688" i="1"/>
  <c r="DG2687" i="1"/>
  <c r="M1385" i="1"/>
  <c r="L1385" i="1"/>
  <c r="DA2687" i="1"/>
  <c r="CY2687" i="1"/>
  <c r="CX2687" i="1"/>
  <c r="J1385" i="1"/>
  <c r="BL2687" i="1"/>
  <c r="BK2687" i="1"/>
  <c r="DG2686" i="1"/>
  <c r="M1386" i="1"/>
  <c r="L1386" i="1"/>
  <c r="DA2686" i="1"/>
  <c r="CY2686" i="1"/>
  <c r="CX2686" i="1"/>
  <c r="J1386" i="1"/>
  <c r="BL2686" i="1"/>
  <c r="BK2686" i="1"/>
  <c r="DG2685" i="1"/>
  <c r="M1387" i="1"/>
  <c r="L1387" i="1"/>
  <c r="DA2685" i="1"/>
  <c r="CY2685" i="1"/>
  <c r="CX2685" i="1"/>
  <c r="J1387" i="1"/>
  <c r="BL2685" i="1"/>
  <c r="BK2685" i="1"/>
  <c r="DG2684" i="1"/>
  <c r="M1388" i="1"/>
  <c r="L1388" i="1"/>
  <c r="DA2684" i="1"/>
  <c r="CY2684" i="1"/>
  <c r="CX2684" i="1"/>
  <c r="J1388" i="1"/>
  <c r="BL2684" i="1"/>
  <c r="BK2684" i="1"/>
  <c r="DG2683" i="1"/>
  <c r="M1389" i="1"/>
  <c r="L1389" i="1"/>
  <c r="DA2683" i="1"/>
  <c r="CY2683" i="1"/>
  <c r="CX2683" i="1"/>
  <c r="J1389" i="1"/>
  <c r="BL2683" i="1"/>
  <c r="BK2683" i="1"/>
  <c r="DG2682" i="1"/>
  <c r="M1390" i="1"/>
  <c r="L1390" i="1"/>
  <c r="DA2682" i="1"/>
  <c r="CY2682" i="1"/>
  <c r="CX2682" i="1"/>
  <c r="J1390" i="1"/>
  <c r="BL2682" i="1"/>
  <c r="BK2682" i="1"/>
  <c r="DG2681" i="1"/>
  <c r="M1391" i="1"/>
  <c r="L1391" i="1"/>
  <c r="DA2681" i="1"/>
  <c r="CY2681" i="1"/>
  <c r="CX2681" i="1"/>
  <c r="J1391" i="1"/>
  <c r="BL2681" i="1"/>
  <c r="BK2681" i="1"/>
  <c r="DG2680" i="1"/>
  <c r="M1392" i="1"/>
  <c r="L1392" i="1"/>
  <c r="DA2680" i="1"/>
  <c r="CY2680" i="1"/>
  <c r="CX2680" i="1"/>
  <c r="J1392" i="1"/>
  <c r="BL2680" i="1"/>
  <c r="BK2680" i="1"/>
  <c r="DG2679" i="1"/>
  <c r="M1393" i="1"/>
  <c r="L1393" i="1"/>
  <c r="DA2679" i="1"/>
  <c r="CY2679" i="1"/>
  <c r="CX2679" i="1"/>
  <c r="J1393" i="1"/>
  <c r="BL2679" i="1"/>
  <c r="BK2679" i="1"/>
  <c r="DG2678" i="1"/>
  <c r="M2841" i="1"/>
  <c r="L2841" i="1"/>
  <c r="DA2678" i="1"/>
  <c r="CY2678" i="1"/>
  <c r="CX2678" i="1"/>
  <c r="J2841" i="1"/>
  <c r="BL2678" i="1"/>
  <c r="BK2678" i="1"/>
  <c r="DG2677" i="1"/>
  <c r="M1395" i="1"/>
  <c r="L1395" i="1"/>
  <c r="DA2677" i="1"/>
  <c r="CY2677" i="1"/>
  <c r="CX2677" i="1"/>
  <c r="J1395" i="1"/>
  <c r="BL2677" i="1"/>
  <c r="BK2677" i="1"/>
  <c r="DG2676" i="1"/>
  <c r="M1396" i="1"/>
  <c r="L1396" i="1"/>
  <c r="DA2676" i="1"/>
  <c r="CY2676" i="1"/>
  <c r="CX2676" i="1"/>
  <c r="J1396" i="1"/>
  <c r="BL2676" i="1"/>
  <c r="BK2676" i="1"/>
  <c r="DG2675" i="1"/>
  <c r="M1397" i="1"/>
  <c r="L1397" i="1"/>
  <c r="DA2675" i="1"/>
  <c r="CY2675" i="1"/>
  <c r="CX2675" i="1"/>
  <c r="J1397" i="1"/>
  <c r="BL2675" i="1"/>
  <c r="BK2675" i="1"/>
  <c r="DG2674" i="1"/>
  <c r="M1398" i="1"/>
  <c r="L1398" i="1"/>
  <c r="DA2674" i="1"/>
  <c r="CY2674" i="1"/>
  <c r="CX2674" i="1"/>
  <c r="J1398" i="1"/>
  <c r="BL2674" i="1"/>
  <c r="BK2674" i="1"/>
  <c r="DG2673" i="1"/>
  <c r="M1399" i="1"/>
  <c r="L1399" i="1"/>
  <c r="DA2673" i="1"/>
  <c r="CY2673" i="1"/>
  <c r="CX2673" i="1"/>
  <c r="J1399" i="1"/>
  <c r="BL2673" i="1"/>
  <c r="BK2673" i="1"/>
  <c r="DG2672" i="1"/>
  <c r="M1400" i="1"/>
  <c r="L1400" i="1"/>
  <c r="DA2672" i="1"/>
  <c r="CY2672" i="1"/>
  <c r="CX2672" i="1"/>
  <c r="J1400" i="1"/>
  <c r="BL2672" i="1"/>
  <c r="BK2672" i="1"/>
  <c r="DG2671" i="1"/>
  <c r="M1401" i="1"/>
  <c r="L1401" i="1"/>
  <c r="DA2671" i="1"/>
  <c r="CY2671" i="1"/>
  <c r="CX2671" i="1"/>
  <c r="J1401" i="1"/>
  <c r="BL2671" i="1"/>
  <c r="BK2671" i="1"/>
  <c r="DG2670" i="1"/>
  <c r="M1402" i="1"/>
  <c r="L1402" i="1"/>
  <c r="DA2670" i="1"/>
  <c r="CY2670" i="1"/>
  <c r="CX2670" i="1"/>
  <c r="J1402" i="1"/>
  <c r="BL2670" i="1"/>
  <c r="BK2670" i="1"/>
  <c r="DG2669" i="1"/>
  <c r="M1403" i="1"/>
  <c r="L1403" i="1"/>
  <c r="DA2669" i="1"/>
  <c r="CY2669" i="1"/>
  <c r="CX2669" i="1"/>
  <c r="J1403" i="1"/>
  <c r="BL2669" i="1"/>
  <c r="BK2669" i="1"/>
  <c r="DG2668" i="1"/>
  <c r="M1404" i="1"/>
  <c r="L1404" i="1"/>
  <c r="DA2668" i="1"/>
  <c r="CY2668" i="1"/>
  <c r="CX2668" i="1"/>
  <c r="J1404" i="1"/>
  <c r="BL2668" i="1"/>
  <c r="BK2668" i="1"/>
  <c r="DG2667" i="1"/>
  <c r="M1405" i="1"/>
  <c r="L1405" i="1"/>
  <c r="DA2667" i="1"/>
  <c r="CY2667" i="1"/>
  <c r="CX2667" i="1"/>
  <c r="J1405" i="1"/>
  <c r="BL2667" i="1"/>
  <c r="BK2667" i="1"/>
  <c r="DG2666" i="1"/>
  <c r="M1406" i="1"/>
  <c r="L1406" i="1"/>
  <c r="DA2666" i="1"/>
  <c r="CY2666" i="1"/>
  <c r="CX2666" i="1"/>
  <c r="J1406" i="1"/>
  <c r="BL2666" i="1"/>
  <c r="BK2666" i="1"/>
  <c r="DG2665" i="1"/>
  <c r="M1407" i="1"/>
  <c r="L1407" i="1"/>
  <c r="DA2665" i="1"/>
  <c r="CY2665" i="1"/>
  <c r="CX2665" i="1"/>
  <c r="J1407" i="1"/>
  <c r="BL2665" i="1"/>
  <c r="BK2665" i="1"/>
  <c r="DG2664" i="1"/>
  <c r="M1408" i="1"/>
  <c r="L1408" i="1"/>
  <c r="DA2664" i="1"/>
  <c r="CY2664" i="1"/>
  <c r="CX2664" i="1"/>
  <c r="J1408" i="1"/>
  <c r="BL2664" i="1"/>
  <c r="BK2664" i="1"/>
  <c r="DG2663" i="1"/>
  <c r="M1409" i="1"/>
  <c r="L1409" i="1"/>
  <c r="DA2663" i="1"/>
  <c r="CY2663" i="1"/>
  <c r="CX2663" i="1"/>
  <c r="J1409" i="1"/>
  <c r="BL2663" i="1"/>
  <c r="BK2663" i="1"/>
  <c r="DG2662" i="1"/>
  <c r="M1410" i="1"/>
  <c r="L1410" i="1"/>
  <c r="DA2662" i="1"/>
  <c r="CY2662" i="1"/>
  <c r="CX2662" i="1"/>
  <c r="J1410" i="1"/>
  <c r="BL2662" i="1"/>
  <c r="BK2662" i="1"/>
  <c r="DG2661" i="1"/>
  <c r="M1411" i="1"/>
  <c r="L1411" i="1"/>
  <c r="DA2661" i="1"/>
  <c r="CY2661" i="1"/>
  <c r="CX2661" i="1"/>
  <c r="J1411" i="1"/>
  <c r="BL2661" i="1"/>
  <c r="BK2661" i="1"/>
  <c r="DG2660" i="1"/>
  <c r="M1412" i="1"/>
  <c r="L1412" i="1"/>
  <c r="DA2660" i="1"/>
  <c r="CY2660" i="1"/>
  <c r="CX2660" i="1"/>
  <c r="J1412" i="1"/>
  <c r="BL2660" i="1"/>
  <c r="BK2660" i="1"/>
  <c r="DG2659" i="1"/>
  <c r="M1413" i="1"/>
  <c r="L1413" i="1"/>
  <c r="DA2659" i="1"/>
  <c r="CY2659" i="1"/>
  <c r="CX2659" i="1"/>
  <c r="J1413" i="1"/>
  <c r="BL2659" i="1"/>
  <c r="BK2659" i="1"/>
  <c r="DG2658" i="1"/>
  <c r="M1414" i="1"/>
  <c r="L1414" i="1"/>
  <c r="DA2658" i="1"/>
  <c r="CY2658" i="1"/>
  <c r="CX2658" i="1"/>
  <c r="J1414" i="1"/>
  <c r="BL2658" i="1"/>
  <c r="BK2658" i="1"/>
  <c r="DG2657" i="1"/>
  <c r="M1415" i="1"/>
  <c r="L1415" i="1"/>
  <c r="DA2657" i="1"/>
  <c r="CY2657" i="1"/>
  <c r="CX2657" i="1"/>
  <c r="J1415" i="1"/>
  <c r="BL2657" i="1"/>
  <c r="BK2657" i="1"/>
  <c r="DG2656" i="1"/>
  <c r="M1416" i="1"/>
  <c r="L1416" i="1"/>
  <c r="DA2656" i="1"/>
  <c r="CY2656" i="1"/>
  <c r="CX2656" i="1"/>
  <c r="J1416" i="1"/>
  <c r="BL2656" i="1"/>
  <c r="BK2656" i="1"/>
  <c r="DG2655" i="1"/>
  <c r="M1417" i="1"/>
  <c r="L1417" i="1"/>
  <c r="DA2655" i="1"/>
  <c r="CY2655" i="1"/>
  <c r="CX2655" i="1"/>
  <c r="J1417" i="1"/>
  <c r="BL2655" i="1"/>
  <c r="BK2655" i="1"/>
  <c r="DG2654" i="1"/>
  <c r="M1418" i="1"/>
  <c r="L1418" i="1"/>
  <c r="DA2654" i="1"/>
  <c r="CY2654" i="1"/>
  <c r="CX2654" i="1"/>
  <c r="J1418" i="1"/>
  <c r="BL2654" i="1"/>
  <c r="BK2654" i="1"/>
  <c r="DG2653" i="1"/>
  <c r="M1419" i="1"/>
  <c r="L1419" i="1"/>
  <c r="DA2653" i="1"/>
  <c r="CY2653" i="1"/>
  <c r="CX2653" i="1"/>
  <c r="J1419" i="1"/>
  <c r="BL2653" i="1"/>
  <c r="BK2653" i="1"/>
  <c r="DG2652" i="1"/>
  <c r="M1420" i="1"/>
  <c r="L1420" i="1"/>
  <c r="DA2652" i="1"/>
  <c r="CY2652" i="1"/>
  <c r="CX2652" i="1"/>
  <c r="J1420" i="1"/>
  <c r="BL2652" i="1"/>
  <c r="BK2652" i="1"/>
  <c r="DG2651" i="1"/>
  <c r="M1421" i="1"/>
  <c r="L1421" i="1"/>
  <c r="DA2651" i="1"/>
  <c r="CY2651" i="1"/>
  <c r="CX2651" i="1"/>
  <c r="J1421" i="1"/>
  <c r="BL2651" i="1"/>
  <c r="BK2651" i="1"/>
  <c r="DG2650" i="1"/>
  <c r="M1422" i="1"/>
  <c r="L1422" i="1"/>
  <c r="DA2650" i="1"/>
  <c r="CY2650" i="1"/>
  <c r="CX2650" i="1"/>
  <c r="J1422" i="1"/>
  <c r="BL2650" i="1"/>
  <c r="BK2650" i="1"/>
  <c r="DG2649" i="1"/>
  <c r="M1423" i="1"/>
  <c r="L1423" i="1"/>
  <c r="DA2649" i="1"/>
  <c r="CY2649" i="1"/>
  <c r="CX2649" i="1"/>
  <c r="J1423" i="1"/>
  <c r="BL2649" i="1"/>
  <c r="BK2649" i="1"/>
  <c r="DG2648" i="1"/>
  <c r="M1424" i="1"/>
  <c r="L1424" i="1"/>
  <c r="DA2648" i="1"/>
  <c r="CY2648" i="1"/>
  <c r="CX2648" i="1"/>
  <c r="J1424" i="1"/>
  <c r="BL2648" i="1"/>
  <c r="BK2648" i="1"/>
  <c r="DG2647" i="1"/>
  <c r="M1425" i="1"/>
  <c r="L1425" i="1"/>
  <c r="DA2647" i="1"/>
  <c r="CY2647" i="1"/>
  <c r="CX2647" i="1"/>
  <c r="J1425" i="1"/>
  <c r="BL2647" i="1"/>
  <c r="BK2647" i="1"/>
  <c r="DG2646" i="1"/>
  <c r="M2905" i="1"/>
  <c r="L2905" i="1"/>
  <c r="DA2646" i="1"/>
  <c r="CY2646" i="1"/>
  <c r="CX2646" i="1"/>
  <c r="J2905" i="1"/>
  <c r="BL2646" i="1"/>
  <c r="BK2646" i="1"/>
  <c r="DG2645" i="1"/>
  <c r="M1427" i="1"/>
  <c r="L1427" i="1"/>
  <c r="DA2645" i="1"/>
  <c r="CY2645" i="1"/>
  <c r="CX2645" i="1"/>
  <c r="J1427" i="1"/>
  <c r="BL2645" i="1"/>
  <c r="BK2645" i="1"/>
  <c r="DG2644" i="1"/>
  <c r="M1428" i="1"/>
  <c r="L1428" i="1"/>
  <c r="DA2644" i="1"/>
  <c r="CY2644" i="1"/>
  <c r="CX2644" i="1"/>
  <c r="J1428" i="1"/>
  <c r="BL2644" i="1"/>
  <c r="BK2644" i="1"/>
  <c r="DG2643" i="1"/>
  <c r="M1429" i="1"/>
  <c r="L1429" i="1"/>
  <c r="DA2643" i="1"/>
  <c r="CY2643" i="1"/>
  <c r="CX2643" i="1"/>
  <c r="J1429" i="1"/>
  <c r="BL2643" i="1"/>
  <c r="BK2643" i="1"/>
  <c r="DG2642" i="1"/>
  <c r="M1430" i="1"/>
  <c r="L1430" i="1"/>
  <c r="DA2642" i="1"/>
  <c r="CY2642" i="1"/>
  <c r="CX2642" i="1"/>
  <c r="J1430" i="1"/>
  <c r="BL2642" i="1"/>
  <c r="BK2642" i="1"/>
  <c r="DG2641" i="1"/>
  <c r="M1431" i="1"/>
  <c r="L1431" i="1"/>
  <c r="DA2641" i="1"/>
  <c r="CY2641" i="1"/>
  <c r="CX2641" i="1"/>
  <c r="J1431" i="1"/>
  <c r="BL2641" i="1"/>
  <c r="BK2641" i="1"/>
  <c r="DG2640" i="1"/>
  <c r="M1432" i="1"/>
  <c r="L1432" i="1"/>
  <c r="DA2640" i="1"/>
  <c r="CY2640" i="1"/>
  <c r="CX2640" i="1"/>
  <c r="J1432" i="1"/>
  <c r="BL2640" i="1"/>
  <c r="BK2640" i="1"/>
  <c r="DG2639" i="1"/>
  <c r="M1433" i="1"/>
  <c r="L1433" i="1"/>
  <c r="DA2639" i="1"/>
  <c r="CY2639" i="1"/>
  <c r="CX2639" i="1"/>
  <c r="J1433" i="1"/>
  <c r="BL2639" i="1"/>
  <c r="BK2639" i="1"/>
  <c r="DG2638" i="1"/>
  <c r="M1434" i="1"/>
  <c r="L1434" i="1"/>
  <c r="DA2638" i="1"/>
  <c r="CY2638" i="1"/>
  <c r="CX2638" i="1"/>
  <c r="J1434" i="1"/>
  <c r="BL2638" i="1"/>
  <c r="BK2638" i="1"/>
  <c r="DG2637" i="1"/>
  <c r="M1435" i="1"/>
  <c r="L1435" i="1"/>
  <c r="DA2637" i="1"/>
  <c r="CY2637" i="1"/>
  <c r="CX2637" i="1"/>
  <c r="J1435" i="1"/>
  <c r="BL2637" i="1"/>
  <c r="BK2637" i="1"/>
  <c r="DG2636" i="1"/>
  <c r="M1436" i="1"/>
  <c r="L1436" i="1"/>
  <c r="DA2636" i="1"/>
  <c r="CY2636" i="1"/>
  <c r="CX2636" i="1"/>
  <c r="J1436" i="1"/>
  <c r="BL2636" i="1"/>
  <c r="BK2636" i="1"/>
  <c r="DG2635" i="1"/>
  <c r="M1437" i="1"/>
  <c r="L1437" i="1"/>
  <c r="DA2635" i="1"/>
  <c r="CY2635" i="1"/>
  <c r="CX2635" i="1"/>
  <c r="J1437" i="1"/>
  <c r="BL2635" i="1"/>
  <c r="BK2635" i="1"/>
  <c r="DG2634" i="1"/>
  <c r="M1438" i="1"/>
  <c r="L1438" i="1"/>
  <c r="DA2634" i="1"/>
  <c r="CY2634" i="1"/>
  <c r="CX2634" i="1"/>
  <c r="J1438" i="1"/>
  <c r="BL2634" i="1"/>
  <c r="BK2634" i="1"/>
  <c r="DG2633" i="1"/>
  <c r="M1439" i="1"/>
  <c r="L1439" i="1"/>
  <c r="DA2633" i="1"/>
  <c r="CY2633" i="1"/>
  <c r="CX2633" i="1"/>
  <c r="J1439" i="1"/>
  <c r="BL2633" i="1"/>
  <c r="BK2633" i="1"/>
  <c r="DG2632" i="1"/>
  <c r="M1440" i="1"/>
  <c r="L1440" i="1"/>
  <c r="DA2632" i="1"/>
  <c r="CY2632" i="1"/>
  <c r="CX2632" i="1"/>
  <c r="J1440" i="1"/>
  <c r="BL2632" i="1"/>
  <c r="BK2632" i="1"/>
  <c r="DG2631" i="1"/>
  <c r="M1441" i="1"/>
  <c r="L1441" i="1"/>
  <c r="DA2631" i="1"/>
  <c r="CY2631" i="1"/>
  <c r="CX2631" i="1"/>
  <c r="J1441" i="1"/>
  <c r="BL2631" i="1"/>
  <c r="BK2631" i="1"/>
  <c r="DG2630" i="1"/>
  <c r="M2938" i="1"/>
  <c r="L2938" i="1"/>
  <c r="DA2630" i="1"/>
  <c r="CY2630" i="1"/>
  <c r="CX2630" i="1"/>
  <c r="J2938" i="1"/>
  <c r="BL2630" i="1"/>
  <c r="BK2630" i="1"/>
  <c r="DG2629" i="1"/>
  <c r="M1443" i="1"/>
  <c r="L1443" i="1"/>
  <c r="DA2629" i="1"/>
  <c r="CY2629" i="1"/>
  <c r="CX2629" i="1"/>
  <c r="J1443" i="1"/>
  <c r="BL2629" i="1"/>
  <c r="BK2629" i="1"/>
  <c r="DG2628" i="1"/>
  <c r="M1444" i="1"/>
  <c r="L1444" i="1"/>
  <c r="DA2628" i="1"/>
  <c r="CY2628" i="1"/>
  <c r="CX2628" i="1"/>
  <c r="J1444" i="1"/>
  <c r="BL2628" i="1"/>
  <c r="BK2628" i="1"/>
  <c r="DG2627" i="1"/>
  <c r="M1445" i="1"/>
  <c r="L1445" i="1"/>
  <c r="DA2627" i="1"/>
  <c r="CY2627" i="1"/>
  <c r="CX2627" i="1"/>
  <c r="J1445" i="1"/>
  <c r="BL2627" i="1"/>
  <c r="BK2627" i="1"/>
  <c r="DG2626" i="1"/>
  <c r="M1446" i="1"/>
  <c r="L1446" i="1"/>
  <c r="DA2626" i="1"/>
  <c r="CY2626" i="1"/>
  <c r="CX2626" i="1"/>
  <c r="J1446" i="1"/>
  <c r="BL2626" i="1"/>
  <c r="BK2626" i="1"/>
  <c r="DG2625" i="1"/>
  <c r="M1447" i="1"/>
  <c r="L1447" i="1"/>
  <c r="DA2625" i="1"/>
  <c r="CY2625" i="1"/>
  <c r="CX2625" i="1"/>
  <c r="J1447" i="1"/>
  <c r="BL2625" i="1"/>
  <c r="BK2625" i="1"/>
  <c r="DG2624" i="1"/>
  <c r="M1448" i="1"/>
  <c r="L1448" i="1"/>
  <c r="DA2624" i="1"/>
  <c r="CY2624" i="1"/>
  <c r="CX2624" i="1"/>
  <c r="J1448" i="1"/>
  <c r="BL2624" i="1"/>
  <c r="BK2624" i="1"/>
  <c r="DG2623" i="1"/>
  <c r="M1449" i="1"/>
  <c r="L1449" i="1"/>
  <c r="DA2623" i="1"/>
  <c r="CY2623" i="1"/>
  <c r="CX2623" i="1"/>
  <c r="J1449" i="1"/>
  <c r="BL2623" i="1"/>
  <c r="BK2623" i="1"/>
  <c r="DG2622" i="1"/>
  <c r="M1450" i="1"/>
  <c r="L1450" i="1"/>
  <c r="DA2622" i="1"/>
  <c r="CY2622" i="1"/>
  <c r="CX2622" i="1"/>
  <c r="J1450" i="1"/>
  <c r="BL2622" i="1"/>
  <c r="BK2622" i="1"/>
  <c r="DG2621" i="1"/>
  <c r="M1451" i="1"/>
  <c r="L1451" i="1"/>
  <c r="DA2621" i="1"/>
  <c r="CY2621" i="1"/>
  <c r="CX2621" i="1"/>
  <c r="J1451" i="1"/>
  <c r="BL2621" i="1"/>
  <c r="BK2621" i="1"/>
  <c r="DG2620" i="1"/>
  <c r="M1452" i="1"/>
  <c r="L1452" i="1"/>
  <c r="DA2620" i="1"/>
  <c r="CY2620" i="1"/>
  <c r="CX2620" i="1"/>
  <c r="J1452" i="1"/>
  <c r="BL2620" i="1"/>
  <c r="BK2620" i="1"/>
  <c r="DG2619" i="1"/>
  <c r="M1453" i="1"/>
  <c r="L1453" i="1"/>
  <c r="DA2619" i="1"/>
  <c r="CY2619" i="1"/>
  <c r="CX2619" i="1"/>
  <c r="J1453" i="1"/>
  <c r="BL2619" i="1"/>
  <c r="BK2619" i="1"/>
  <c r="DG2618" i="1"/>
  <c r="M1454" i="1"/>
  <c r="L1454" i="1"/>
  <c r="DA2618" i="1"/>
  <c r="CY2618" i="1"/>
  <c r="CX2618" i="1"/>
  <c r="J1454" i="1"/>
  <c r="BL2618" i="1"/>
  <c r="BK2618" i="1"/>
  <c r="DG2617" i="1"/>
  <c r="M1455" i="1"/>
  <c r="L1455" i="1"/>
  <c r="DA2617" i="1"/>
  <c r="CY2617" i="1"/>
  <c r="CX2617" i="1"/>
  <c r="J1455" i="1"/>
  <c r="BL2617" i="1"/>
  <c r="BK2617" i="1"/>
  <c r="DG2616" i="1"/>
  <c r="M1456" i="1"/>
  <c r="L1456" i="1"/>
  <c r="DA2616" i="1"/>
  <c r="CY2616" i="1"/>
  <c r="CX2616" i="1"/>
  <c r="J1456" i="1"/>
  <c r="BL2616" i="1"/>
  <c r="BK2616" i="1"/>
  <c r="DG2615" i="1"/>
  <c r="M1457" i="1"/>
  <c r="L1457" i="1"/>
  <c r="DA2615" i="1"/>
  <c r="CY2615" i="1"/>
  <c r="CX2615" i="1"/>
  <c r="J1457" i="1"/>
  <c r="BL2615" i="1"/>
  <c r="BK2615" i="1"/>
  <c r="DG2614" i="1"/>
  <c r="M2970" i="1"/>
  <c r="L2970" i="1"/>
  <c r="DA2614" i="1"/>
  <c r="CY2614" i="1"/>
  <c r="CX2614" i="1"/>
  <c r="J2970" i="1"/>
  <c r="BL2614" i="1"/>
  <c r="BK2614" i="1"/>
  <c r="DG2613" i="1"/>
  <c r="M1459" i="1"/>
  <c r="L1459" i="1"/>
  <c r="DA2613" i="1"/>
  <c r="CY2613" i="1"/>
  <c r="CX2613" i="1"/>
  <c r="J1459" i="1"/>
  <c r="BL2613" i="1"/>
  <c r="BK2613" i="1"/>
  <c r="DG2612" i="1"/>
  <c r="M1460" i="1"/>
  <c r="L1460" i="1"/>
  <c r="DA2612" i="1"/>
  <c r="CY2612" i="1"/>
  <c r="CX2612" i="1"/>
  <c r="J1460" i="1"/>
  <c r="BL2612" i="1"/>
  <c r="BK2612" i="1"/>
  <c r="DG2611" i="1"/>
  <c r="M1461" i="1"/>
  <c r="L1461" i="1"/>
  <c r="DA2611" i="1"/>
  <c r="CY2611" i="1"/>
  <c r="CX2611" i="1"/>
  <c r="J1461" i="1"/>
  <c r="BL2611" i="1"/>
  <c r="BK2611" i="1"/>
  <c r="DG2610" i="1"/>
  <c r="M1462" i="1"/>
  <c r="L1462" i="1"/>
  <c r="DA2610" i="1"/>
  <c r="CY2610" i="1"/>
  <c r="CX2610" i="1"/>
  <c r="J1462" i="1"/>
  <c r="BL2610" i="1"/>
  <c r="BK2610" i="1"/>
  <c r="DG2609" i="1"/>
  <c r="M1463" i="1"/>
  <c r="L1463" i="1"/>
  <c r="DA2609" i="1"/>
  <c r="CY2609" i="1"/>
  <c r="CX2609" i="1"/>
  <c r="J1463" i="1"/>
  <c r="BL2609" i="1"/>
  <c r="BK2609" i="1"/>
  <c r="DG2608" i="1"/>
  <c r="M1464" i="1"/>
  <c r="L1464" i="1"/>
  <c r="DA2608" i="1"/>
  <c r="CY2608" i="1"/>
  <c r="CX2608" i="1"/>
  <c r="J1464" i="1"/>
  <c r="BL2608" i="1"/>
  <c r="BK2608" i="1"/>
  <c r="DG2607" i="1"/>
  <c r="M1465" i="1"/>
  <c r="L1465" i="1"/>
  <c r="DA2607" i="1"/>
  <c r="CY2607" i="1"/>
  <c r="CX2607" i="1"/>
  <c r="J1465" i="1"/>
  <c r="BL2607" i="1"/>
  <c r="BK2607" i="1"/>
  <c r="DG2606" i="1"/>
  <c r="M1466" i="1"/>
  <c r="L1466" i="1"/>
  <c r="DA2606" i="1"/>
  <c r="CY2606" i="1"/>
  <c r="CX2606" i="1"/>
  <c r="J1466" i="1"/>
  <c r="BL2606" i="1"/>
  <c r="BK2606" i="1"/>
  <c r="DG2605" i="1"/>
  <c r="M1467" i="1"/>
  <c r="L1467" i="1"/>
  <c r="DA2605" i="1"/>
  <c r="CY2605" i="1"/>
  <c r="CX2605" i="1"/>
  <c r="J1467" i="1"/>
  <c r="BL2605" i="1"/>
  <c r="BK2605" i="1"/>
  <c r="DG2604" i="1"/>
  <c r="M1468" i="1"/>
  <c r="L1468" i="1"/>
  <c r="DA2604" i="1"/>
  <c r="CY2604" i="1"/>
  <c r="CX2604" i="1"/>
  <c r="J1468" i="1"/>
  <c r="BL2604" i="1"/>
  <c r="BK2604" i="1"/>
  <c r="DG2603" i="1"/>
  <c r="M1469" i="1"/>
  <c r="L1469" i="1"/>
  <c r="DA2603" i="1"/>
  <c r="CY2603" i="1"/>
  <c r="CX2603" i="1"/>
  <c r="J1469" i="1"/>
  <c r="BL2603" i="1"/>
  <c r="BK2603" i="1"/>
  <c r="DG2602" i="1"/>
  <c r="M1470" i="1"/>
  <c r="L1470" i="1"/>
  <c r="DA2602" i="1"/>
  <c r="CY2602" i="1"/>
  <c r="CX2602" i="1"/>
  <c r="J1470" i="1"/>
  <c r="BL2602" i="1"/>
  <c r="BK2602" i="1"/>
  <c r="DG2601" i="1"/>
  <c r="M1471" i="1"/>
  <c r="L1471" i="1"/>
  <c r="DA2601" i="1"/>
  <c r="CY2601" i="1"/>
  <c r="CX2601" i="1"/>
  <c r="J1471" i="1"/>
  <c r="BL2601" i="1"/>
  <c r="BK2601" i="1"/>
  <c r="DG2600" i="1"/>
  <c r="M1472" i="1"/>
  <c r="L1472" i="1"/>
  <c r="DA2600" i="1"/>
  <c r="CY2600" i="1"/>
  <c r="CX2600" i="1"/>
  <c r="J1472" i="1"/>
  <c r="BL2600" i="1"/>
  <c r="BK2600" i="1"/>
  <c r="DG2599" i="1"/>
  <c r="M1473" i="1"/>
  <c r="L1473" i="1"/>
  <c r="DA2599" i="1"/>
  <c r="CY2599" i="1"/>
  <c r="CX2599" i="1"/>
  <c r="J1473" i="1"/>
  <c r="BL2599" i="1"/>
  <c r="BK2599" i="1"/>
  <c r="DG2598" i="1"/>
  <c r="M1474" i="1"/>
  <c r="L1474" i="1"/>
  <c r="DA2598" i="1"/>
  <c r="CY2598" i="1"/>
  <c r="CX2598" i="1"/>
  <c r="J1474" i="1"/>
  <c r="BL2598" i="1"/>
  <c r="BK2598" i="1"/>
  <c r="DG2597" i="1"/>
  <c r="M1475" i="1"/>
  <c r="L1475" i="1"/>
  <c r="DA2597" i="1"/>
  <c r="CY2597" i="1"/>
  <c r="CX2597" i="1"/>
  <c r="J1475" i="1"/>
  <c r="BL2597" i="1"/>
  <c r="BK2597" i="1"/>
  <c r="DG2596" i="1"/>
  <c r="M1476" i="1"/>
  <c r="L1476" i="1"/>
  <c r="DA2596" i="1"/>
  <c r="CY2596" i="1"/>
  <c r="CX2596" i="1"/>
  <c r="J1476" i="1"/>
  <c r="BL2596" i="1"/>
  <c r="BK2596" i="1"/>
  <c r="DG2595" i="1"/>
  <c r="M1477" i="1"/>
  <c r="L1477" i="1"/>
  <c r="DA2595" i="1"/>
  <c r="CY2595" i="1"/>
  <c r="CX2595" i="1"/>
  <c r="J1477" i="1"/>
  <c r="BL2595" i="1"/>
  <c r="BK2595" i="1"/>
  <c r="DG2594" i="1"/>
  <c r="M1478" i="1"/>
  <c r="L1478" i="1"/>
  <c r="DA2594" i="1"/>
  <c r="CY2594" i="1"/>
  <c r="CX2594" i="1"/>
  <c r="J1478" i="1"/>
  <c r="BL2594" i="1"/>
  <c r="BK2594" i="1"/>
  <c r="DG2593" i="1"/>
  <c r="M1479" i="1"/>
  <c r="L1479" i="1"/>
  <c r="DA2593" i="1"/>
  <c r="CY2593" i="1"/>
  <c r="CX2593" i="1"/>
  <c r="J1479" i="1"/>
  <c r="BL2593" i="1"/>
  <c r="BK2593" i="1"/>
  <c r="DG2592" i="1"/>
  <c r="M1480" i="1"/>
  <c r="L1480" i="1"/>
  <c r="DA2592" i="1"/>
  <c r="CY2592" i="1"/>
  <c r="CX2592" i="1"/>
  <c r="J1480" i="1"/>
  <c r="BL2592" i="1"/>
  <c r="BK2592" i="1"/>
  <c r="DG2591" i="1"/>
  <c r="M1481" i="1"/>
  <c r="L1481" i="1"/>
  <c r="DA2591" i="1"/>
  <c r="CY2591" i="1"/>
  <c r="CX2591" i="1"/>
  <c r="J1481" i="1"/>
  <c r="BL2591" i="1"/>
  <c r="BK2591" i="1"/>
  <c r="DG2590" i="1"/>
  <c r="M1482" i="1"/>
  <c r="L1482" i="1"/>
  <c r="DA2590" i="1"/>
  <c r="CY2590" i="1"/>
  <c r="CX2590" i="1"/>
  <c r="J1482" i="1"/>
  <c r="BL2590" i="1"/>
  <c r="BK2590" i="1"/>
  <c r="DG2589" i="1"/>
  <c r="M1483" i="1"/>
  <c r="L1483" i="1"/>
  <c r="DA2589" i="1"/>
  <c r="CY2589" i="1"/>
  <c r="CX2589" i="1"/>
  <c r="J1483" i="1"/>
  <c r="BL2589" i="1"/>
  <c r="BK2589" i="1"/>
  <c r="DG2588" i="1"/>
  <c r="M1484" i="1"/>
  <c r="L1484" i="1"/>
  <c r="DA2588" i="1"/>
  <c r="CY2588" i="1"/>
  <c r="CX2588" i="1"/>
  <c r="J1484" i="1"/>
  <c r="BL2588" i="1"/>
  <c r="BK2588" i="1"/>
  <c r="DG2587" i="1"/>
  <c r="M1485" i="1"/>
  <c r="L1485" i="1"/>
  <c r="DA2587" i="1"/>
  <c r="CY2587" i="1"/>
  <c r="CX2587" i="1"/>
  <c r="J1485" i="1"/>
  <c r="BL2587" i="1"/>
  <c r="BK2587" i="1"/>
  <c r="DG2586" i="1"/>
  <c r="M1486" i="1"/>
  <c r="L1486" i="1"/>
  <c r="DA2586" i="1"/>
  <c r="CY2586" i="1"/>
  <c r="CX2586" i="1"/>
  <c r="J1486" i="1"/>
  <c r="BL2586" i="1"/>
  <c r="BK2586" i="1"/>
  <c r="DG2585" i="1"/>
  <c r="M1487" i="1"/>
  <c r="L1487" i="1"/>
  <c r="DA2585" i="1"/>
  <c r="CY2585" i="1"/>
  <c r="CX2585" i="1"/>
  <c r="J1487" i="1"/>
  <c r="BL2585" i="1"/>
  <c r="BK2585" i="1"/>
  <c r="DG2584" i="1"/>
  <c r="M1488" i="1"/>
  <c r="L1488" i="1"/>
  <c r="DA2584" i="1"/>
  <c r="CY2584" i="1"/>
  <c r="CX2584" i="1"/>
  <c r="J1488" i="1"/>
  <c r="BL2584" i="1"/>
  <c r="BK2584" i="1"/>
  <c r="DG2583" i="1"/>
  <c r="M1489" i="1"/>
  <c r="L1489" i="1"/>
  <c r="DA2583" i="1"/>
  <c r="CY2583" i="1"/>
  <c r="CX2583" i="1"/>
  <c r="J1489" i="1"/>
  <c r="BL2583" i="1"/>
  <c r="BK2583" i="1"/>
  <c r="DG2582" i="1"/>
  <c r="M3034" i="1"/>
  <c r="L3034" i="1"/>
  <c r="DA2582" i="1"/>
  <c r="CY2582" i="1"/>
  <c r="CX2582" i="1"/>
  <c r="J3034" i="1"/>
  <c r="BL2582" i="1"/>
  <c r="BK2582" i="1"/>
  <c r="DG2581" i="1"/>
  <c r="M1491" i="1"/>
  <c r="L1491" i="1"/>
  <c r="DA2581" i="1"/>
  <c r="CY2581" i="1"/>
  <c r="CX2581" i="1"/>
  <c r="J1491" i="1"/>
  <c r="BL2581" i="1"/>
  <c r="BK2581" i="1"/>
  <c r="DG2580" i="1"/>
  <c r="M1492" i="1"/>
  <c r="L1492" i="1"/>
  <c r="DA2580" i="1"/>
  <c r="CY2580" i="1"/>
  <c r="CX2580" i="1"/>
  <c r="J1492" i="1"/>
  <c r="BL2580" i="1"/>
  <c r="BK2580" i="1"/>
  <c r="DG2579" i="1"/>
  <c r="M1493" i="1"/>
  <c r="L1493" i="1"/>
  <c r="DA2579" i="1"/>
  <c r="CY2579" i="1"/>
  <c r="CX2579" i="1"/>
  <c r="J1493" i="1"/>
  <c r="BL2579" i="1"/>
  <c r="BK2579" i="1"/>
  <c r="DG2578" i="1"/>
  <c r="M1494" i="1"/>
  <c r="L1494" i="1"/>
  <c r="DA2578" i="1"/>
  <c r="CY2578" i="1"/>
  <c r="CX2578" i="1"/>
  <c r="J1494" i="1"/>
  <c r="BL2578" i="1"/>
  <c r="BK2578" i="1"/>
  <c r="DG2577" i="1"/>
  <c r="M1495" i="1"/>
  <c r="L1495" i="1"/>
  <c r="DA2577" i="1"/>
  <c r="CY2577" i="1"/>
  <c r="CX2577" i="1"/>
  <c r="J1495" i="1"/>
  <c r="BL2577" i="1"/>
  <c r="BK2577" i="1"/>
  <c r="DG2576" i="1"/>
  <c r="M1496" i="1"/>
  <c r="L1496" i="1"/>
  <c r="DA2576" i="1"/>
  <c r="CY2576" i="1"/>
  <c r="CX2576" i="1"/>
  <c r="J1496" i="1"/>
  <c r="BL2576" i="1"/>
  <c r="BK2576" i="1"/>
  <c r="DG2575" i="1"/>
  <c r="M1497" i="1"/>
  <c r="L1497" i="1"/>
  <c r="DA2575" i="1"/>
  <c r="CY2575" i="1"/>
  <c r="CX2575" i="1"/>
  <c r="J1497" i="1"/>
  <c r="BL2575" i="1"/>
  <c r="BK2575" i="1"/>
  <c r="DG2574" i="1"/>
  <c r="M1498" i="1"/>
  <c r="L1498" i="1"/>
  <c r="DA2574" i="1"/>
  <c r="CY2574" i="1"/>
  <c r="CX2574" i="1"/>
  <c r="J1498" i="1"/>
  <c r="BL2574" i="1"/>
  <c r="BK2574" i="1"/>
  <c r="DG2573" i="1"/>
  <c r="M1499" i="1"/>
  <c r="L1499" i="1"/>
  <c r="DA2573" i="1"/>
  <c r="CY2573" i="1"/>
  <c r="CX2573" i="1"/>
  <c r="J1499" i="1"/>
  <c r="BL2573" i="1"/>
  <c r="BK2573" i="1"/>
  <c r="DG2572" i="1"/>
  <c r="M1500" i="1"/>
  <c r="L1500" i="1"/>
  <c r="DA2572" i="1"/>
  <c r="CY2572" i="1"/>
  <c r="CX2572" i="1"/>
  <c r="J1500" i="1"/>
  <c r="BL2572" i="1"/>
  <c r="BK2572" i="1"/>
  <c r="DG2571" i="1"/>
  <c r="M1501" i="1"/>
  <c r="L1501" i="1"/>
  <c r="DA2571" i="1"/>
  <c r="CY2571" i="1"/>
  <c r="CX2571" i="1"/>
  <c r="J1501" i="1"/>
  <c r="BL2571" i="1"/>
  <c r="BK2571" i="1"/>
  <c r="DG2570" i="1"/>
  <c r="M1502" i="1"/>
  <c r="L1502" i="1"/>
  <c r="DA2570" i="1"/>
  <c r="CY2570" i="1"/>
  <c r="CX2570" i="1"/>
  <c r="J1502" i="1"/>
  <c r="BL2570" i="1"/>
  <c r="BK2570" i="1"/>
  <c r="DG2569" i="1"/>
  <c r="M1503" i="1"/>
  <c r="L1503" i="1"/>
  <c r="DA2569" i="1"/>
  <c r="CY2569" i="1"/>
  <c r="CX2569" i="1"/>
  <c r="J1503" i="1"/>
  <c r="BL2569" i="1"/>
  <c r="BK2569" i="1"/>
  <c r="DG2568" i="1"/>
  <c r="M1504" i="1"/>
  <c r="L1504" i="1"/>
  <c r="DA2568" i="1"/>
  <c r="CY2568" i="1"/>
  <c r="CX2568" i="1"/>
  <c r="J1504" i="1"/>
  <c r="BL2568" i="1"/>
  <c r="BK2568" i="1"/>
  <c r="DG2567" i="1"/>
  <c r="M1505" i="1"/>
  <c r="L1505" i="1"/>
  <c r="DA2567" i="1"/>
  <c r="CY2567" i="1"/>
  <c r="CX2567" i="1"/>
  <c r="J1505" i="1"/>
  <c r="BL2567" i="1"/>
  <c r="BK2567" i="1"/>
  <c r="DG2566" i="1"/>
  <c r="M3066" i="1"/>
  <c r="L3066" i="1"/>
  <c r="DA2566" i="1"/>
  <c r="CY2566" i="1"/>
  <c r="CX2566" i="1"/>
  <c r="J3066" i="1"/>
  <c r="BL2566" i="1"/>
  <c r="BK2566" i="1"/>
  <c r="DG2565" i="1"/>
  <c r="M1507" i="1"/>
  <c r="L1507" i="1"/>
  <c r="DA2565" i="1"/>
  <c r="CY2565" i="1"/>
  <c r="CX2565" i="1"/>
  <c r="J1507" i="1"/>
  <c r="BL2565" i="1"/>
  <c r="BK2565" i="1"/>
  <c r="DG2564" i="1"/>
  <c r="M3070" i="1"/>
  <c r="L3070" i="1"/>
  <c r="DA2564" i="1"/>
  <c r="CY2564" i="1"/>
  <c r="CX2564" i="1"/>
  <c r="J3070" i="1"/>
  <c r="BL2564" i="1"/>
  <c r="BK2564" i="1"/>
  <c r="DG2563" i="1"/>
  <c r="M1509" i="1"/>
  <c r="L1509" i="1"/>
  <c r="DA2563" i="1"/>
  <c r="CY2563" i="1"/>
  <c r="CX2563" i="1"/>
  <c r="J1509" i="1"/>
  <c r="BL2563" i="1"/>
  <c r="BK2563" i="1"/>
  <c r="DG2562" i="1"/>
  <c r="M3074" i="1"/>
  <c r="L3074" i="1"/>
  <c r="DA2562" i="1"/>
  <c r="CY2562" i="1"/>
  <c r="CX2562" i="1"/>
  <c r="J3074" i="1"/>
  <c r="BL2562" i="1"/>
  <c r="BK2562" i="1"/>
  <c r="DG2561" i="1"/>
  <c r="M1511" i="1"/>
  <c r="L1511" i="1"/>
  <c r="DA2561" i="1"/>
  <c r="CY2561" i="1"/>
  <c r="CX2561" i="1"/>
  <c r="J1511" i="1"/>
  <c r="BL2561" i="1"/>
  <c r="BK2561" i="1"/>
  <c r="DG2560" i="1"/>
  <c r="M1512" i="1"/>
  <c r="L1512" i="1"/>
  <c r="DA2560" i="1"/>
  <c r="CY2560" i="1"/>
  <c r="CX2560" i="1"/>
  <c r="J1512" i="1"/>
  <c r="BL2560" i="1"/>
  <c r="BK2560" i="1"/>
  <c r="DG2559" i="1"/>
  <c r="M1513" i="1"/>
  <c r="L1513" i="1"/>
  <c r="DA2559" i="1"/>
  <c r="CY2559" i="1"/>
  <c r="CX2559" i="1"/>
  <c r="J1513" i="1"/>
  <c r="BL2559" i="1"/>
  <c r="BK2559" i="1"/>
  <c r="DG2558" i="1"/>
  <c r="M1514" i="1"/>
  <c r="L1514" i="1"/>
  <c r="DA2558" i="1"/>
  <c r="CY2558" i="1"/>
  <c r="CX2558" i="1"/>
  <c r="J1514" i="1"/>
  <c r="BL2558" i="1"/>
  <c r="BK2558" i="1"/>
  <c r="DG2557" i="1"/>
  <c r="M1515" i="1"/>
  <c r="L1515" i="1"/>
  <c r="DA2557" i="1"/>
  <c r="CY2557" i="1"/>
  <c r="CX2557" i="1"/>
  <c r="J1515" i="1"/>
  <c r="BL2557" i="1"/>
  <c r="BK2557" i="1"/>
  <c r="DG2556" i="1"/>
  <c r="M1516" i="1"/>
  <c r="L1516" i="1"/>
  <c r="DA2556" i="1"/>
  <c r="CY2556" i="1"/>
  <c r="CX2556" i="1"/>
  <c r="J1516" i="1"/>
  <c r="BL2556" i="1"/>
  <c r="BK2556" i="1"/>
  <c r="DG2555" i="1"/>
  <c r="M1517" i="1"/>
  <c r="L1517" i="1"/>
  <c r="DA2555" i="1"/>
  <c r="CY2555" i="1"/>
  <c r="CX2555" i="1"/>
  <c r="J1517" i="1"/>
  <c r="BL2555" i="1"/>
  <c r="BK2555" i="1"/>
  <c r="DG2554" i="1"/>
  <c r="M1518" i="1"/>
  <c r="L1518" i="1"/>
  <c r="DA2554" i="1"/>
  <c r="CY2554" i="1"/>
  <c r="CX2554" i="1"/>
  <c r="J1518" i="1"/>
  <c r="BL2554" i="1"/>
  <c r="BK2554" i="1"/>
  <c r="DG2553" i="1"/>
  <c r="M1519" i="1"/>
  <c r="L1519" i="1"/>
  <c r="DA2553" i="1"/>
  <c r="CY2553" i="1"/>
  <c r="CX2553" i="1"/>
  <c r="J1519" i="1"/>
  <c r="BL2553" i="1"/>
  <c r="BK2553" i="1"/>
  <c r="DG2552" i="1"/>
  <c r="M1520" i="1"/>
  <c r="L1520" i="1"/>
  <c r="DA2552" i="1"/>
  <c r="CY2552" i="1"/>
  <c r="CX2552" i="1"/>
  <c r="J1520" i="1"/>
  <c r="BL2552" i="1"/>
  <c r="BK2552" i="1"/>
  <c r="DG2551" i="1"/>
  <c r="M1521" i="1"/>
  <c r="L1521" i="1"/>
  <c r="DA2551" i="1"/>
  <c r="CY2551" i="1"/>
  <c r="CX2551" i="1"/>
  <c r="J1521" i="1"/>
  <c r="BL2551" i="1"/>
  <c r="BK2551" i="1"/>
  <c r="DG2550" i="1"/>
  <c r="M3098" i="1"/>
  <c r="L3098" i="1"/>
  <c r="DA2550" i="1"/>
  <c r="CY2550" i="1"/>
  <c r="CX2550" i="1"/>
  <c r="J3098" i="1"/>
  <c r="BL2550" i="1"/>
  <c r="BK2550" i="1"/>
  <c r="DG2549" i="1"/>
  <c r="M1523" i="1"/>
  <c r="L1523" i="1"/>
  <c r="DA2549" i="1"/>
  <c r="CY2549" i="1"/>
  <c r="CX2549" i="1"/>
  <c r="J1523" i="1"/>
  <c r="BL2549" i="1"/>
  <c r="BK2549" i="1"/>
  <c r="DG2548" i="1"/>
  <c r="M1524" i="1"/>
  <c r="L1524" i="1"/>
  <c r="DA2548" i="1"/>
  <c r="CY2548" i="1"/>
  <c r="CX2548" i="1"/>
  <c r="J1524" i="1"/>
  <c r="BL2548" i="1"/>
  <c r="BK2548" i="1"/>
  <c r="DG2547" i="1"/>
  <c r="M1525" i="1"/>
  <c r="L1525" i="1"/>
  <c r="DA2547" i="1"/>
  <c r="CY2547" i="1"/>
  <c r="CX2547" i="1"/>
  <c r="J1525" i="1"/>
  <c r="BL2547" i="1"/>
  <c r="BK2547" i="1"/>
  <c r="DG2546" i="1"/>
  <c r="M1526" i="1"/>
  <c r="L1526" i="1"/>
  <c r="DA2546" i="1"/>
  <c r="CY2546" i="1"/>
  <c r="CX2546" i="1"/>
  <c r="J1526" i="1"/>
  <c r="BL2546" i="1"/>
  <c r="BK2546" i="1"/>
  <c r="DG2545" i="1"/>
  <c r="M1527" i="1"/>
  <c r="L1527" i="1"/>
  <c r="DA2545" i="1"/>
  <c r="CY2545" i="1"/>
  <c r="CX2545" i="1"/>
  <c r="J1527" i="1"/>
  <c r="BL2545" i="1"/>
  <c r="BK2545" i="1"/>
  <c r="DG2544" i="1"/>
  <c r="M1528" i="1"/>
  <c r="L1528" i="1"/>
  <c r="DA2544" i="1"/>
  <c r="CY2544" i="1"/>
  <c r="CX2544" i="1"/>
  <c r="J1528" i="1"/>
  <c r="BL2544" i="1"/>
  <c r="BK2544" i="1"/>
  <c r="DG2543" i="1"/>
  <c r="M1529" i="1"/>
  <c r="L1529" i="1"/>
  <c r="DA2543" i="1"/>
  <c r="CY2543" i="1"/>
  <c r="CX2543" i="1"/>
  <c r="J1529" i="1"/>
  <c r="BL2543" i="1"/>
  <c r="BK2543" i="1"/>
  <c r="DG2542" i="1"/>
  <c r="M1530" i="1"/>
  <c r="L1530" i="1"/>
  <c r="DA2542" i="1"/>
  <c r="CY2542" i="1"/>
  <c r="CX2542" i="1"/>
  <c r="J1530" i="1"/>
  <c r="BL2542" i="1"/>
  <c r="BK2542" i="1"/>
  <c r="DG2541" i="1"/>
  <c r="M1531" i="1"/>
  <c r="L1531" i="1"/>
  <c r="DA2541" i="1"/>
  <c r="CY2541" i="1"/>
  <c r="CX2541" i="1"/>
  <c r="J1531" i="1"/>
  <c r="BL2541" i="1"/>
  <c r="BK2541" i="1"/>
  <c r="DG2540" i="1"/>
  <c r="M1532" i="1"/>
  <c r="L1532" i="1"/>
  <c r="DA2540" i="1"/>
  <c r="CY2540" i="1"/>
  <c r="CX2540" i="1"/>
  <c r="J1532" i="1"/>
  <c r="BL2540" i="1"/>
  <c r="BK2540" i="1"/>
  <c r="DG2539" i="1"/>
  <c r="M1533" i="1"/>
  <c r="L1533" i="1"/>
  <c r="DA2539" i="1"/>
  <c r="CY2539" i="1"/>
  <c r="CX2539" i="1"/>
  <c r="J1533" i="1"/>
  <c r="BL2539" i="1"/>
  <c r="BK2539" i="1"/>
  <c r="DG2538" i="1"/>
  <c r="M1534" i="1"/>
  <c r="L1534" i="1"/>
  <c r="DA2538" i="1"/>
  <c r="CY2538" i="1"/>
  <c r="CX2538" i="1"/>
  <c r="J1534" i="1"/>
  <c r="BL2538" i="1"/>
  <c r="BK2538" i="1"/>
  <c r="DG2537" i="1"/>
  <c r="M1535" i="1"/>
  <c r="L1535" i="1"/>
  <c r="DA2537" i="1"/>
  <c r="CY2537" i="1"/>
  <c r="CX2537" i="1"/>
  <c r="J1535" i="1"/>
  <c r="BL2537" i="1"/>
  <c r="BK2537" i="1"/>
  <c r="DG2536" i="1"/>
  <c r="M1536" i="1"/>
  <c r="L1536" i="1"/>
  <c r="DA2536" i="1"/>
  <c r="CY2536" i="1"/>
  <c r="CX2536" i="1"/>
  <c r="J1536" i="1"/>
  <c r="BL2536" i="1"/>
  <c r="BK2536" i="1"/>
  <c r="DG2535" i="1"/>
  <c r="M1537" i="1"/>
  <c r="L1537" i="1"/>
  <c r="DA2535" i="1"/>
  <c r="CY2535" i="1"/>
  <c r="CX2535" i="1"/>
  <c r="J1537" i="1"/>
  <c r="BL2535" i="1"/>
  <c r="BK2535" i="1"/>
  <c r="DG2534" i="1"/>
  <c r="M1538" i="1"/>
  <c r="L1538" i="1"/>
  <c r="DA2534" i="1"/>
  <c r="CY2534" i="1"/>
  <c r="CX2534" i="1"/>
  <c r="J1538" i="1"/>
  <c r="BL2534" i="1"/>
  <c r="BK2534" i="1"/>
  <c r="DG2533" i="1"/>
  <c r="M1539" i="1"/>
  <c r="L1539" i="1"/>
  <c r="DA2533" i="1"/>
  <c r="CY2533" i="1"/>
  <c r="CX2533" i="1"/>
  <c r="J1539" i="1"/>
  <c r="BL2533" i="1"/>
  <c r="BK2533" i="1"/>
  <c r="DG2532" i="1"/>
  <c r="M1540" i="1"/>
  <c r="L1540" i="1"/>
  <c r="DA2532" i="1"/>
  <c r="CY2532" i="1"/>
  <c r="CX2532" i="1"/>
  <c r="J1540" i="1"/>
  <c r="BL2532" i="1"/>
  <c r="BK2532" i="1"/>
  <c r="DG2531" i="1"/>
  <c r="M1541" i="1"/>
  <c r="L1541" i="1"/>
  <c r="DA2531" i="1"/>
  <c r="CY2531" i="1"/>
  <c r="CX2531" i="1"/>
  <c r="J1541" i="1"/>
  <c r="BL2531" i="1"/>
  <c r="BK2531" i="1"/>
  <c r="DG2530" i="1"/>
  <c r="M1542" i="1"/>
  <c r="L1542" i="1"/>
  <c r="DA2530" i="1"/>
  <c r="CY2530" i="1"/>
  <c r="CX2530" i="1"/>
  <c r="J1542" i="1"/>
  <c r="BL2530" i="1"/>
  <c r="BK2530" i="1"/>
  <c r="DG2529" i="1"/>
  <c r="M1543" i="1"/>
  <c r="L1543" i="1"/>
  <c r="DA2529" i="1"/>
  <c r="CY2529" i="1"/>
  <c r="CX2529" i="1"/>
  <c r="J1543" i="1"/>
  <c r="BL2529" i="1"/>
  <c r="BK2529" i="1"/>
  <c r="DG2528" i="1"/>
  <c r="M1544" i="1"/>
  <c r="L1544" i="1"/>
  <c r="DA2528" i="1"/>
  <c r="CY2528" i="1"/>
  <c r="CX2528" i="1"/>
  <c r="J1544" i="1"/>
  <c r="BL2528" i="1"/>
  <c r="BK2528" i="1"/>
  <c r="DG2527" i="1"/>
  <c r="M1545" i="1"/>
  <c r="L1545" i="1"/>
  <c r="DA2527" i="1"/>
  <c r="CY2527" i="1"/>
  <c r="CX2527" i="1"/>
  <c r="J1545" i="1"/>
  <c r="BL2527" i="1"/>
  <c r="BK2527" i="1"/>
  <c r="DG2526" i="1"/>
  <c r="M1546" i="1"/>
  <c r="L1546" i="1"/>
  <c r="DA2526" i="1"/>
  <c r="CY2526" i="1"/>
  <c r="CX2526" i="1"/>
  <c r="J1546" i="1"/>
  <c r="BL2526" i="1"/>
  <c r="BK2526" i="1"/>
  <c r="DG2525" i="1"/>
  <c r="M1547" i="1"/>
  <c r="L1547" i="1"/>
  <c r="DA2525" i="1"/>
  <c r="CY2525" i="1"/>
  <c r="CX2525" i="1"/>
  <c r="J1547" i="1"/>
  <c r="BL2525" i="1"/>
  <c r="BK2525" i="1"/>
  <c r="DG2524" i="1"/>
  <c r="M1548" i="1"/>
  <c r="L1548" i="1"/>
  <c r="DA2524" i="1"/>
  <c r="CY2524" i="1"/>
  <c r="CX2524" i="1"/>
  <c r="J1548" i="1"/>
  <c r="BL2524" i="1"/>
  <c r="BK2524" i="1"/>
  <c r="DG2523" i="1"/>
  <c r="M1549" i="1"/>
  <c r="L1549" i="1"/>
  <c r="DA2523" i="1"/>
  <c r="CY2523" i="1"/>
  <c r="CX2523" i="1"/>
  <c r="J1549" i="1"/>
  <c r="BL2523" i="1"/>
  <c r="BK2523" i="1"/>
  <c r="DG2522" i="1"/>
  <c r="M3154" i="1"/>
  <c r="L3154" i="1"/>
  <c r="DA2522" i="1"/>
  <c r="CY2522" i="1"/>
  <c r="CX2522" i="1"/>
  <c r="J3154" i="1"/>
  <c r="BL2522" i="1"/>
  <c r="BK2522" i="1"/>
  <c r="DG2521" i="1"/>
  <c r="M1551" i="1"/>
  <c r="L1551" i="1"/>
  <c r="DA2521" i="1"/>
  <c r="CY2521" i="1"/>
  <c r="CX2521" i="1"/>
  <c r="J1551" i="1"/>
  <c r="BL2521" i="1"/>
  <c r="BK2521" i="1"/>
  <c r="DG2520" i="1"/>
  <c r="M1552" i="1"/>
  <c r="L1552" i="1"/>
  <c r="DA2520" i="1"/>
  <c r="CY2520" i="1"/>
  <c r="CX2520" i="1"/>
  <c r="J1552" i="1"/>
  <c r="BL2520" i="1"/>
  <c r="BK2520" i="1"/>
  <c r="DG2519" i="1"/>
  <c r="M1553" i="1"/>
  <c r="L1553" i="1"/>
  <c r="DA2519" i="1"/>
  <c r="CY2519" i="1"/>
  <c r="CX2519" i="1"/>
  <c r="J1553" i="1"/>
  <c r="BL2519" i="1"/>
  <c r="BK2519" i="1"/>
  <c r="DG2518" i="1"/>
  <c r="M3162" i="1"/>
  <c r="L3162" i="1"/>
  <c r="DA2518" i="1"/>
  <c r="CY2518" i="1"/>
  <c r="CX2518" i="1"/>
  <c r="J3162" i="1"/>
  <c r="BL2518" i="1"/>
  <c r="BK2518" i="1"/>
  <c r="DG2517" i="1"/>
  <c r="M1555" i="1"/>
  <c r="L1555" i="1"/>
  <c r="DA2517" i="1"/>
  <c r="CY2517" i="1"/>
  <c r="CX2517" i="1"/>
  <c r="J1555" i="1"/>
  <c r="BL2517" i="1"/>
  <c r="BK2517" i="1"/>
  <c r="DG2516" i="1"/>
  <c r="M1556" i="1"/>
  <c r="L1556" i="1"/>
  <c r="DA2516" i="1"/>
  <c r="CY2516" i="1"/>
  <c r="CX2516" i="1"/>
  <c r="J1556" i="1"/>
  <c r="BL2516" i="1"/>
  <c r="BK2516" i="1"/>
  <c r="DG2515" i="1"/>
  <c r="M1557" i="1"/>
  <c r="L1557" i="1"/>
  <c r="DA2515" i="1"/>
  <c r="CY2515" i="1"/>
  <c r="CX2515" i="1"/>
  <c r="J1557" i="1"/>
  <c r="BL2515" i="1"/>
  <c r="BK2515" i="1"/>
  <c r="DG2514" i="1"/>
  <c r="M3170" i="1"/>
  <c r="L3170" i="1"/>
  <c r="DA2514" i="1"/>
  <c r="CY2514" i="1"/>
  <c r="CX2514" i="1"/>
  <c r="J3170" i="1"/>
  <c r="BL2514" i="1"/>
  <c r="BK2514" i="1"/>
  <c r="DG2513" i="1"/>
  <c r="M1559" i="1"/>
  <c r="L1559" i="1"/>
  <c r="DA2513" i="1"/>
  <c r="CY2513" i="1"/>
  <c r="CX2513" i="1"/>
  <c r="J1559" i="1"/>
  <c r="BL2513" i="1"/>
  <c r="BK2513" i="1"/>
  <c r="DG2512" i="1"/>
  <c r="M1560" i="1"/>
  <c r="L1560" i="1"/>
  <c r="DA2512" i="1"/>
  <c r="CY2512" i="1"/>
  <c r="CX2512" i="1"/>
  <c r="J1560" i="1"/>
  <c r="BL2512" i="1"/>
  <c r="BK2512" i="1"/>
  <c r="DG2511" i="1"/>
  <c r="M1561" i="1"/>
  <c r="L1561" i="1"/>
  <c r="DA2511" i="1"/>
  <c r="CY2511" i="1"/>
  <c r="CX2511" i="1"/>
  <c r="J1561" i="1"/>
  <c r="BL2511" i="1"/>
  <c r="BK2511" i="1"/>
  <c r="DG2510" i="1"/>
  <c r="M1562" i="1"/>
  <c r="L1562" i="1"/>
  <c r="DA2510" i="1"/>
  <c r="CY2510" i="1"/>
  <c r="CX2510" i="1"/>
  <c r="J1562" i="1"/>
  <c r="BL2510" i="1"/>
  <c r="BK2510" i="1"/>
  <c r="DG2509" i="1"/>
  <c r="M1563" i="1"/>
  <c r="L1563" i="1"/>
  <c r="DA2509" i="1"/>
  <c r="CY2509" i="1"/>
  <c r="CX2509" i="1"/>
  <c r="J1563" i="1"/>
  <c r="BL2509" i="1"/>
  <c r="BK2509" i="1"/>
  <c r="DG2508" i="1"/>
  <c r="M1564" i="1"/>
  <c r="L1564" i="1"/>
  <c r="DA2508" i="1"/>
  <c r="CY2508" i="1"/>
  <c r="CX2508" i="1"/>
  <c r="J1564" i="1"/>
  <c r="BL2508" i="1"/>
  <c r="BK2508" i="1"/>
  <c r="DG2507" i="1"/>
  <c r="M1565" i="1"/>
  <c r="L1565" i="1"/>
  <c r="DA2507" i="1"/>
  <c r="CY2507" i="1"/>
  <c r="CX2507" i="1"/>
  <c r="J1565" i="1"/>
  <c r="BL2507" i="1"/>
  <c r="BK2507" i="1"/>
  <c r="DG2506" i="1"/>
  <c r="M1566" i="1"/>
  <c r="L1566" i="1"/>
  <c r="DA2506" i="1"/>
  <c r="CY2506" i="1"/>
  <c r="CX2506" i="1"/>
  <c r="J1566" i="1"/>
  <c r="BL2506" i="1"/>
  <c r="BK2506" i="1"/>
  <c r="DG2505" i="1"/>
  <c r="M1567" i="1"/>
  <c r="L1567" i="1"/>
  <c r="DA2505" i="1"/>
  <c r="CY2505" i="1"/>
  <c r="CX2505" i="1"/>
  <c r="J1567" i="1"/>
  <c r="BL2505" i="1"/>
  <c r="BK2505" i="1"/>
  <c r="DG2504" i="1"/>
  <c r="M1568" i="1"/>
  <c r="L1568" i="1"/>
  <c r="DA2504" i="1"/>
  <c r="CY2504" i="1"/>
  <c r="CX2504" i="1"/>
  <c r="J1568" i="1"/>
  <c r="BL2504" i="1"/>
  <c r="BK2504" i="1"/>
  <c r="DG2503" i="1"/>
  <c r="M1569" i="1"/>
  <c r="L1569" i="1"/>
  <c r="DA2503" i="1"/>
  <c r="CY2503" i="1"/>
  <c r="CX2503" i="1"/>
  <c r="J1569" i="1"/>
  <c r="BL2503" i="1"/>
  <c r="BK2503" i="1"/>
  <c r="DG2502" i="1"/>
  <c r="M2425" i="1"/>
  <c r="L2425" i="1"/>
  <c r="DA2502" i="1"/>
  <c r="CY2502" i="1"/>
  <c r="CX2502" i="1"/>
  <c r="J2425" i="1"/>
  <c r="BL2502" i="1"/>
  <c r="BK2502" i="1"/>
  <c r="DG2501" i="1"/>
  <c r="M1571" i="1"/>
  <c r="L1571" i="1"/>
  <c r="DA2501" i="1"/>
  <c r="CY2501" i="1"/>
  <c r="CX2501" i="1"/>
  <c r="J1571" i="1"/>
  <c r="BL2501" i="1"/>
  <c r="BK2501" i="1"/>
  <c r="DG2500" i="1"/>
  <c r="M1572" i="1"/>
  <c r="L1572" i="1"/>
  <c r="DA2500" i="1"/>
  <c r="CY2500" i="1"/>
  <c r="CX2500" i="1"/>
  <c r="J1572" i="1"/>
  <c r="BL2500" i="1"/>
  <c r="BK2500" i="1"/>
  <c r="DG2499" i="1"/>
  <c r="M1573" i="1"/>
  <c r="L1573" i="1"/>
  <c r="DA2499" i="1"/>
  <c r="CY2499" i="1"/>
  <c r="CX2499" i="1"/>
  <c r="J1573" i="1"/>
  <c r="BL2499" i="1"/>
  <c r="BK2499" i="1"/>
  <c r="DG2498" i="1"/>
  <c r="M1574" i="1"/>
  <c r="L1574" i="1"/>
  <c r="DA2498" i="1"/>
  <c r="CY2498" i="1"/>
  <c r="CX2498" i="1"/>
  <c r="J1574" i="1"/>
  <c r="BL2498" i="1"/>
  <c r="BK2498" i="1"/>
  <c r="DG2497" i="1"/>
  <c r="M1575" i="1"/>
  <c r="L1575" i="1"/>
  <c r="DA2497" i="1"/>
  <c r="CY2497" i="1"/>
  <c r="CX2497" i="1"/>
  <c r="J1575" i="1"/>
  <c r="BL2497" i="1"/>
  <c r="BK2497" i="1"/>
  <c r="DG2496" i="1"/>
  <c r="M1576" i="1"/>
  <c r="L1576" i="1"/>
  <c r="DA2496" i="1"/>
  <c r="CY2496" i="1"/>
  <c r="CX2496" i="1"/>
  <c r="J1576" i="1"/>
  <c r="BL2496" i="1"/>
  <c r="BK2496" i="1"/>
  <c r="DG2495" i="1"/>
  <c r="M1577" i="1"/>
  <c r="L1577" i="1"/>
  <c r="DA2495" i="1"/>
  <c r="CY2495" i="1"/>
  <c r="CX2495" i="1"/>
  <c r="J1577" i="1"/>
  <c r="BL2495" i="1"/>
  <c r="BK2495" i="1"/>
  <c r="DG2494" i="1"/>
  <c r="M1578" i="1"/>
  <c r="L1578" i="1"/>
  <c r="DA2494" i="1"/>
  <c r="CY2494" i="1"/>
  <c r="CX2494" i="1"/>
  <c r="J1578" i="1"/>
  <c r="BL2494" i="1"/>
  <c r="BK2494" i="1"/>
  <c r="DG2493" i="1"/>
  <c r="M1579" i="1"/>
  <c r="L1579" i="1"/>
  <c r="DA2493" i="1"/>
  <c r="CY2493" i="1"/>
  <c r="CX2493" i="1"/>
  <c r="J1579" i="1"/>
  <c r="BL2493" i="1"/>
  <c r="BK2493" i="1"/>
  <c r="DG2492" i="1"/>
  <c r="M1580" i="1"/>
  <c r="L1580" i="1"/>
  <c r="DA2492" i="1"/>
  <c r="CY2492" i="1"/>
  <c r="CX2492" i="1"/>
  <c r="J1580" i="1"/>
  <c r="BL2492" i="1"/>
  <c r="BK2492" i="1"/>
  <c r="DG2491" i="1"/>
  <c r="M1581" i="1"/>
  <c r="L1581" i="1"/>
  <c r="DA2491" i="1"/>
  <c r="CY2491" i="1"/>
  <c r="CX2491" i="1"/>
  <c r="J1581" i="1"/>
  <c r="BL2491" i="1"/>
  <c r="BK2491" i="1"/>
  <c r="DG2490" i="1"/>
  <c r="M1582" i="1"/>
  <c r="L1582" i="1"/>
  <c r="DA2490" i="1"/>
  <c r="CY2490" i="1"/>
  <c r="CX2490" i="1"/>
  <c r="J1582" i="1"/>
  <c r="BL2490" i="1"/>
  <c r="BK2490" i="1"/>
  <c r="DG2489" i="1"/>
  <c r="M1583" i="1"/>
  <c r="L1583" i="1"/>
  <c r="DA2489" i="1"/>
  <c r="CY2489" i="1"/>
  <c r="CX2489" i="1"/>
  <c r="J1583" i="1"/>
  <c r="BL2489" i="1"/>
  <c r="BK2489" i="1"/>
  <c r="DG2488" i="1"/>
  <c r="M1584" i="1"/>
  <c r="L1584" i="1"/>
  <c r="DA2488" i="1"/>
  <c r="CY2488" i="1"/>
  <c r="CX2488" i="1"/>
  <c r="J1584" i="1"/>
  <c r="BL2488" i="1"/>
  <c r="BK2488" i="1"/>
  <c r="DG2487" i="1"/>
  <c r="M1585" i="1"/>
  <c r="L1585" i="1"/>
  <c r="DA2487" i="1"/>
  <c r="CY2487" i="1"/>
  <c r="CX2487" i="1"/>
  <c r="J1585" i="1"/>
  <c r="BL2487" i="1"/>
  <c r="BK2487" i="1"/>
  <c r="DG2486" i="1"/>
  <c r="M663" i="1"/>
  <c r="L663" i="1"/>
  <c r="DA2486" i="1"/>
  <c r="CY2486" i="1"/>
  <c r="CX2486" i="1"/>
  <c r="J663" i="1"/>
  <c r="BL2486" i="1"/>
  <c r="BK2486" i="1"/>
  <c r="DG2485" i="1"/>
  <c r="M1587" i="1"/>
  <c r="L1587" i="1"/>
  <c r="DA2485" i="1"/>
  <c r="CY2485" i="1"/>
  <c r="CX2485" i="1"/>
  <c r="J1587" i="1"/>
  <c r="BL2485" i="1"/>
  <c r="BK2485" i="1"/>
  <c r="DG2484" i="1"/>
  <c r="M1588" i="1"/>
  <c r="L1588" i="1"/>
  <c r="DA2484" i="1"/>
  <c r="CY2484" i="1"/>
  <c r="CX2484" i="1"/>
  <c r="J1588" i="1"/>
  <c r="BL2484" i="1"/>
  <c r="BK2484" i="1"/>
  <c r="DG2483" i="1"/>
  <c r="M1589" i="1"/>
  <c r="L1589" i="1"/>
  <c r="DA2483" i="1"/>
  <c r="CY2483" i="1"/>
  <c r="CX2483" i="1"/>
  <c r="J1589" i="1"/>
  <c r="BL2483" i="1"/>
  <c r="BK2483" i="1"/>
  <c r="DG2482" i="1"/>
  <c r="M1590" i="1"/>
  <c r="L1590" i="1"/>
  <c r="DA2482" i="1"/>
  <c r="CY2482" i="1"/>
  <c r="CX2482" i="1"/>
  <c r="J1590" i="1"/>
  <c r="BL2482" i="1"/>
  <c r="BK2482" i="1"/>
  <c r="DG2481" i="1"/>
  <c r="M1591" i="1"/>
  <c r="L1591" i="1"/>
  <c r="DA2481" i="1"/>
  <c r="CY2481" i="1"/>
  <c r="CX2481" i="1"/>
  <c r="J1591" i="1"/>
  <c r="BL2481" i="1"/>
  <c r="BK2481" i="1"/>
  <c r="DG2480" i="1"/>
  <c r="M1592" i="1"/>
  <c r="L1592" i="1"/>
  <c r="DA2480" i="1"/>
  <c r="CY2480" i="1"/>
  <c r="CX2480" i="1"/>
  <c r="J1592" i="1"/>
  <c r="BL2480" i="1"/>
  <c r="BK2480" i="1"/>
  <c r="DG2479" i="1"/>
  <c r="M1593" i="1"/>
  <c r="L1593" i="1"/>
  <c r="DA2479" i="1"/>
  <c r="CY2479" i="1"/>
  <c r="CX2479" i="1"/>
  <c r="J1593" i="1"/>
  <c r="BL2479" i="1"/>
  <c r="BK2479" i="1"/>
  <c r="DG2478" i="1"/>
  <c r="M802" i="1"/>
  <c r="L802" i="1"/>
  <c r="DA2478" i="1"/>
  <c r="CY2478" i="1"/>
  <c r="CX2478" i="1"/>
  <c r="J802" i="1"/>
  <c r="BL2478" i="1"/>
  <c r="BK2478" i="1"/>
  <c r="DG2477" i="1"/>
  <c r="M1595" i="1"/>
  <c r="L1595" i="1"/>
  <c r="DA2477" i="1"/>
  <c r="CY2477" i="1"/>
  <c r="CX2477" i="1"/>
  <c r="J1595" i="1"/>
  <c r="BL2477" i="1"/>
  <c r="BK2477" i="1"/>
  <c r="DG2476" i="1"/>
  <c r="M1596" i="1"/>
  <c r="L1596" i="1"/>
  <c r="DA2476" i="1"/>
  <c r="CY2476" i="1"/>
  <c r="CX2476" i="1"/>
  <c r="J1596" i="1"/>
  <c r="BL2476" i="1"/>
  <c r="BK2476" i="1"/>
  <c r="DG2475" i="1"/>
  <c r="M1597" i="1"/>
  <c r="L1597" i="1"/>
  <c r="DA2475" i="1"/>
  <c r="CY2475" i="1"/>
  <c r="CX2475" i="1"/>
  <c r="J1597" i="1"/>
  <c r="BL2475" i="1"/>
  <c r="BK2475" i="1"/>
  <c r="DG2474" i="1"/>
  <c r="M1598" i="1"/>
  <c r="L1598" i="1"/>
  <c r="DA2474" i="1"/>
  <c r="CY2474" i="1"/>
  <c r="CX2474" i="1"/>
  <c r="J1598" i="1"/>
  <c r="BL2474" i="1"/>
  <c r="BK2474" i="1"/>
  <c r="DG2473" i="1"/>
  <c r="M1599" i="1"/>
  <c r="L1599" i="1"/>
  <c r="DA2473" i="1"/>
  <c r="CY2473" i="1"/>
  <c r="CX2473" i="1"/>
  <c r="J1599" i="1"/>
  <c r="BL2473" i="1"/>
  <c r="BK2473" i="1"/>
  <c r="DG2472" i="1"/>
  <c r="M1600" i="1"/>
  <c r="L1600" i="1"/>
  <c r="DA2472" i="1"/>
  <c r="CY2472" i="1"/>
  <c r="CX2472" i="1"/>
  <c r="J1600" i="1"/>
  <c r="BL2472" i="1"/>
  <c r="BK2472" i="1"/>
  <c r="DG2471" i="1"/>
  <c r="M1601" i="1"/>
  <c r="L1601" i="1"/>
  <c r="DA2471" i="1"/>
  <c r="CY2471" i="1"/>
  <c r="CX2471" i="1"/>
  <c r="J1601" i="1"/>
  <c r="BL2471" i="1"/>
  <c r="BK2471" i="1"/>
  <c r="DG2470" i="1"/>
  <c r="M643" i="1"/>
  <c r="L643" i="1"/>
  <c r="DA2470" i="1"/>
  <c r="CY2470" i="1"/>
  <c r="CX2470" i="1"/>
  <c r="J643" i="1"/>
  <c r="BL2470" i="1"/>
  <c r="BK2470" i="1"/>
  <c r="DG2469" i="1"/>
  <c r="M1603" i="1"/>
  <c r="L1603" i="1"/>
  <c r="DA2469" i="1"/>
  <c r="CY2469" i="1"/>
  <c r="CX2469" i="1"/>
  <c r="J1603" i="1"/>
  <c r="BL2469" i="1"/>
  <c r="BK2469" i="1"/>
  <c r="DG2468" i="1"/>
  <c r="M1604" i="1"/>
  <c r="L1604" i="1"/>
  <c r="DA2468" i="1"/>
  <c r="CY2468" i="1"/>
  <c r="CX2468" i="1"/>
  <c r="J1604" i="1"/>
  <c r="BL2468" i="1"/>
  <c r="BK2468" i="1"/>
  <c r="DG2467" i="1"/>
  <c r="M1605" i="1"/>
  <c r="L1605" i="1"/>
  <c r="DA2467" i="1"/>
  <c r="CY2467" i="1"/>
  <c r="CX2467" i="1"/>
  <c r="J1605" i="1"/>
  <c r="BL2467" i="1"/>
  <c r="BK2467" i="1"/>
  <c r="DG2466" i="1"/>
  <c r="M1606" i="1"/>
  <c r="L1606" i="1"/>
  <c r="DA2466" i="1"/>
  <c r="CY2466" i="1"/>
  <c r="CX2466" i="1"/>
  <c r="J1606" i="1"/>
  <c r="BL2466" i="1"/>
  <c r="BK2466" i="1"/>
  <c r="DG2465" i="1"/>
  <c r="M1607" i="1"/>
  <c r="L1607" i="1"/>
  <c r="DA2465" i="1"/>
  <c r="CY2465" i="1"/>
  <c r="CX2465" i="1"/>
  <c r="J1607" i="1"/>
  <c r="BL2465" i="1"/>
  <c r="BK2465" i="1"/>
  <c r="DG2464" i="1"/>
  <c r="M1608" i="1"/>
  <c r="L1608" i="1"/>
  <c r="DA2464" i="1"/>
  <c r="CY2464" i="1"/>
  <c r="CX2464" i="1"/>
  <c r="J1608" i="1"/>
  <c r="BL2464" i="1"/>
  <c r="BK2464" i="1"/>
  <c r="DG2463" i="1"/>
  <c r="M1609" i="1"/>
  <c r="L1609" i="1"/>
  <c r="DA2463" i="1"/>
  <c r="CY2463" i="1"/>
  <c r="CX2463" i="1"/>
  <c r="J1609" i="1"/>
  <c r="BL2463" i="1"/>
  <c r="BK2463" i="1"/>
  <c r="DG2462" i="1"/>
  <c r="M154" i="1"/>
  <c r="L154" i="1"/>
  <c r="DA2462" i="1"/>
  <c r="CY2462" i="1"/>
  <c r="CX2462" i="1"/>
  <c r="J154" i="1"/>
  <c r="BL2462" i="1"/>
  <c r="BK2462" i="1"/>
  <c r="DG2461" i="1"/>
  <c r="M1611" i="1"/>
  <c r="L1611" i="1"/>
  <c r="DA2461" i="1"/>
  <c r="CY2461" i="1"/>
  <c r="CX2461" i="1"/>
  <c r="J1611" i="1"/>
  <c r="BL2461" i="1"/>
  <c r="BK2461" i="1"/>
  <c r="DG2460" i="1"/>
  <c r="M1612" i="1"/>
  <c r="L1612" i="1"/>
  <c r="DA2460" i="1"/>
  <c r="CY2460" i="1"/>
  <c r="CX2460" i="1"/>
  <c r="J1612" i="1"/>
  <c r="BL2460" i="1"/>
  <c r="BK2460" i="1"/>
  <c r="DG2459" i="1"/>
  <c r="M1613" i="1"/>
  <c r="L1613" i="1"/>
  <c r="DA2459" i="1"/>
  <c r="CY2459" i="1"/>
  <c r="CX2459" i="1"/>
  <c r="J1613" i="1"/>
  <c r="BL2459" i="1"/>
  <c r="BK2459" i="1"/>
  <c r="DG2458" i="1"/>
  <c r="M1614" i="1"/>
  <c r="L1614" i="1"/>
  <c r="DA2458" i="1"/>
  <c r="CY2458" i="1"/>
  <c r="CX2458" i="1"/>
  <c r="J1614" i="1"/>
  <c r="BL2458" i="1"/>
  <c r="BK2458" i="1"/>
  <c r="DG2457" i="1"/>
  <c r="M1615" i="1"/>
  <c r="L1615" i="1"/>
  <c r="DA2457" i="1"/>
  <c r="CY2457" i="1"/>
  <c r="CX2457" i="1"/>
  <c r="J1615" i="1"/>
  <c r="BL2457" i="1"/>
  <c r="BK2457" i="1"/>
  <c r="DG2456" i="1"/>
  <c r="M1616" i="1"/>
  <c r="L1616" i="1"/>
  <c r="DA2456" i="1"/>
  <c r="CY2456" i="1"/>
  <c r="CX2456" i="1"/>
  <c r="J1616" i="1"/>
  <c r="BL2456" i="1"/>
  <c r="BK2456" i="1"/>
  <c r="DG2455" i="1"/>
  <c r="M1617" i="1"/>
  <c r="L1617" i="1"/>
  <c r="DA2455" i="1"/>
  <c r="CY2455" i="1"/>
  <c r="CX2455" i="1"/>
  <c r="J1617" i="1"/>
  <c r="BL2455" i="1"/>
  <c r="BK2455" i="1"/>
  <c r="DG2454" i="1"/>
  <c r="M4" i="1"/>
  <c r="L4" i="1"/>
  <c r="DA2454" i="1"/>
  <c r="CY2454" i="1"/>
  <c r="CX2454" i="1"/>
  <c r="J4" i="1"/>
  <c r="BL2454" i="1"/>
  <c r="BK2454" i="1"/>
  <c r="DG2453" i="1"/>
  <c r="M1619" i="1"/>
  <c r="L1619" i="1"/>
  <c r="DA2453" i="1"/>
  <c r="CY2453" i="1"/>
  <c r="CX2453" i="1"/>
  <c r="J1619" i="1"/>
  <c r="BL2453" i="1"/>
  <c r="BK2453" i="1"/>
  <c r="DG2452" i="1"/>
  <c r="M1620" i="1"/>
  <c r="L1620" i="1"/>
  <c r="DA2452" i="1"/>
  <c r="CY2452" i="1"/>
  <c r="CX2452" i="1"/>
  <c r="J1620" i="1"/>
  <c r="BL2452" i="1"/>
  <c r="BK2452" i="1"/>
  <c r="DG2451" i="1"/>
  <c r="M1621" i="1"/>
  <c r="L1621" i="1"/>
  <c r="DA2451" i="1"/>
  <c r="CY2451" i="1"/>
  <c r="CX2451" i="1"/>
  <c r="J1621" i="1"/>
  <c r="BL2451" i="1"/>
  <c r="BK2451" i="1"/>
  <c r="DG2450" i="1"/>
  <c r="M12" i="1"/>
  <c r="L12" i="1"/>
  <c r="DA2450" i="1"/>
  <c r="CY2450" i="1"/>
  <c r="CX2450" i="1"/>
  <c r="J12" i="1"/>
  <c r="BL2450" i="1"/>
  <c r="BK2450" i="1"/>
  <c r="DG2449" i="1"/>
  <c r="M1623" i="1"/>
  <c r="L1623" i="1"/>
  <c r="DA2449" i="1"/>
  <c r="CY2449" i="1"/>
  <c r="CX2449" i="1"/>
  <c r="J1623" i="1"/>
  <c r="BL2449" i="1"/>
  <c r="BK2449" i="1"/>
  <c r="DG2448" i="1"/>
  <c r="M1624" i="1"/>
  <c r="L1624" i="1"/>
  <c r="DA2448" i="1"/>
  <c r="CY2448" i="1"/>
  <c r="CX2448" i="1"/>
  <c r="J1624" i="1"/>
  <c r="BL2448" i="1"/>
  <c r="BK2448" i="1"/>
  <c r="DG2447" i="1"/>
  <c r="M1625" i="1"/>
  <c r="L1625" i="1"/>
  <c r="DA2447" i="1"/>
  <c r="CY2447" i="1"/>
  <c r="CX2447" i="1"/>
  <c r="J1625" i="1"/>
  <c r="BL2447" i="1"/>
  <c r="BK2447" i="1"/>
  <c r="DG2446" i="1"/>
  <c r="M21" i="1"/>
  <c r="L21" i="1"/>
  <c r="DA2446" i="1"/>
  <c r="CY2446" i="1"/>
  <c r="CX2446" i="1"/>
  <c r="J21" i="1"/>
  <c r="BL2446" i="1"/>
  <c r="BK2446" i="1"/>
  <c r="DG2445" i="1"/>
  <c r="M1627" i="1"/>
  <c r="L1627" i="1"/>
  <c r="DA2445" i="1"/>
  <c r="CY2445" i="1"/>
  <c r="CX2445" i="1"/>
  <c r="J1627" i="1"/>
  <c r="BL2445" i="1"/>
  <c r="BK2445" i="1"/>
  <c r="DG2444" i="1"/>
  <c r="M1628" i="1"/>
  <c r="L1628" i="1"/>
  <c r="DA2444" i="1"/>
  <c r="CY2444" i="1"/>
  <c r="CX2444" i="1"/>
  <c r="J1628" i="1"/>
  <c r="BL2444" i="1"/>
  <c r="BK2444" i="1"/>
  <c r="DG2443" i="1"/>
  <c r="M1629" i="1"/>
  <c r="L1629" i="1"/>
  <c r="DA2443" i="1"/>
  <c r="CY2443" i="1"/>
  <c r="CX2443" i="1"/>
  <c r="J1629" i="1"/>
  <c r="BL2443" i="1"/>
  <c r="BK2443" i="1"/>
  <c r="DG2442" i="1"/>
  <c r="M1630" i="1"/>
  <c r="L1630" i="1"/>
  <c r="DA2442" i="1"/>
  <c r="CY2442" i="1"/>
  <c r="CX2442" i="1"/>
  <c r="J1630" i="1"/>
  <c r="BL2442" i="1"/>
  <c r="BK2442" i="1"/>
  <c r="DG2441" i="1"/>
  <c r="M1631" i="1"/>
  <c r="L1631" i="1"/>
  <c r="DA2441" i="1"/>
  <c r="CY2441" i="1"/>
  <c r="CX2441" i="1"/>
  <c r="J1631" i="1"/>
  <c r="BL2441" i="1"/>
  <c r="BK2441" i="1"/>
  <c r="DG2440" i="1"/>
  <c r="M1632" i="1"/>
  <c r="L1632" i="1"/>
  <c r="DA2440" i="1"/>
  <c r="CY2440" i="1"/>
  <c r="CX2440" i="1"/>
  <c r="J1632" i="1"/>
  <c r="BL2440" i="1"/>
  <c r="BK2440" i="1"/>
  <c r="DG2439" i="1"/>
  <c r="M1633" i="1"/>
  <c r="L1633" i="1"/>
  <c r="DA2439" i="1"/>
  <c r="CY2439" i="1"/>
  <c r="CX2439" i="1"/>
  <c r="J1633" i="1"/>
  <c r="BL2439" i="1"/>
  <c r="BK2439" i="1"/>
  <c r="DG2438" i="1"/>
  <c r="M40" i="1"/>
  <c r="L40" i="1"/>
  <c r="DA2438" i="1"/>
  <c r="CY2438" i="1"/>
  <c r="CX2438" i="1"/>
  <c r="J40" i="1"/>
  <c r="BL2438" i="1"/>
  <c r="BK2438" i="1"/>
  <c r="DG2437" i="1"/>
  <c r="M1635" i="1"/>
  <c r="L1635" i="1"/>
  <c r="DA2437" i="1"/>
  <c r="CY2437" i="1"/>
  <c r="CX2437" i="1"/>
  <c r="J1635" i="1"/>
  <c r="BL2437" i="1"/>
  <c r="BK2437" i="1"/>
  <c r="DG2436" i="1"/>
  <c r="M1636" i="1"/>
  <c r="L1636" i="1"/>
  <c r="DA2436" i="1"/>
  <c r="CY2436" i="1"/>
  <c r="CX2436" i="1"/>
  <c r="J1636" i="1"/>
  <c r="BL2436" i="1"/>
  <c r="BK2436" i="1"/>
  <c r="DG2435" i="1"/>
  <c r="M1637" i="1"/>
  <c r="L1637" i="1"/>
  <c r="DA2435" i="1"/>
  <c r="CY2435" i="1"/>
  <c r="CX2435" i="1"/>
  <c r="J1637" i="1"/>
  <c r="BL2435" i="1"/>
  <c r="BK2435" i="1"/>
  <c r="DG2434" i="1"/>
  <c r="M48" i="1"/>
  <c r="L48" i="1"/>
  <c r="DA2434" i="1"/>
  <c r="CY2434" i="1"/>
  <c r="CX2434" i="1"/>
  <c r="J48" i="1"/>
  <c r="BL2434" i="1"/>
  <c r="BK2434" i="1"/>
  <c r="DG2433" i="1"/>
  <c r="M1639" i="1"/>
  <c r="L1639" i="1"/>
  <c r="DA2433" i="1"/>
  <c r="CY2433" i="1"/>
  <c r="CX2433" i="1"/>
  <c r="J1639" i="1"/>
  <c r="BL2433" i="1"/>
  <c r="BK2433" i="1"/>
  <c r="DG2432" i="1"/>
  <c r="M1640" i="1"/>
  <c r="L1640" i="1"/>
  <c r="DA2432" i="1"/>
  <c r="CY2432" i="1"/>
  <c r="CX2432" i="1"/>
  <c r="J1640" i="1"/>
  <c r="BL2432" i="1"/>
  <c r="BK2432" i="1"/>
  <c r="DG2431" i="1"/>
  <c r="M1641" i="1"/>
  <c r="L1641" i="1"/>
  <c r="DA2431" i="1"/>
  <c r="CY2431" i="1"/>
  <c r="CX2431" i="1"/>
  <c r="J1641" i="1"/>
  <c r="BL2431" i="1"/>
  <c r="BK2431" i="1"/>
  <c r="DG2430" i="1"/>
  <c r="M56" i="1"/>
  <c r="L56" i="1"/>
  <c r="DA2430" i="1"/>
  <c r="CY2430" i="1"/>
  <c r="CX2430" i="1"/>
  <c r="J56" i="1"/>
  <c r="BL2430" i="1"/>
  <c r="BK2430" i="1"/>
  <c r="DG2429" i="1"/>
  <c r="M1643" i="1"/>
  <c r="L1643" i="1"/>
  <c r="DA2429" i="1"/>
  <c r="CY2429" i="1"/>
  <c r="CX2429" i="1"/>
  <c r="J1643" i="1"/>
  <c r="BL2429" i="1"/>
  <c r="BK2429" i="1"/>
  <c r="DG2428" i="1"/>
  <c r="M1644" i="1"/>
  <c r="L1644" i="1"/>
  <c r="DA2428" i="1"/>
  <c r="CY2428" i="1"/>
  <c r="CX2428" i="1"/>
  <c r="J1644" i="1"/>
  <c r="BL2428" i="1"/>
  <c r="BK2428" i="1"/>
  <c r="DG2427" i="1"/>
  <c r="M1645" i="1"/>
  <c r="L1645" i="1"/>
  <c r="DA2427" i="1"/>
  <c r="CY2427" i="1"/>
  <c r="CX2427" i="1"/>
  <c r="J1645" i="1"/>
  <c r="BL2427" i="1"/>
  <c r="BK2427" i="1"/>
  <c r="DG2426" i="1"/>
  <c r="M1646" i="1"/>
  <c r="L1646" i="1"/>
  <c r="DA2426" i="1"/>
  <c r="CY2426" i="1"/>
  <c r="CX2426" i="1"/>
  <c r="J1646" i="1"/>
  <c r="BL2426" i="1"/>
  <c r="BK2426" i="1"/>
  <c r="DG2425" i="1"/>
  <c r="M1647" i="1"/>
  <c r="L1647" i="1"/>
  <c r="DA2425" i="1"/>
  <c r="CY2425" i="1"/>
  <c r="CX2425" i="1"/>
  <c r="J1647" i="1"/>
  <c r="BL2425" i="1"/>
  <c r="BK2425" i="1"/>
  <c r="DG2424" i="1"/>
  <c r="M1648" i="1"/>
  <c r="L1648" i="1"/>
  <c r="DA2424" i="1"/>
  <c r="CY2424" i="1"/>
  <c r="CX2424" i="1"/>
  <c r="J1648" i="1"/>
  <c r="BL2424" i="1"/>
  <c r="BK2424" i="1"/>
  <c r="DG2423" i="1"/>
  <c r="M1649" i="1"/>
  <c r="L1649" i="1"/>
  <c r="DA2423" i="1"/>
  <c r="CY2423" i="1"/>
  <c r="CX2423" i="1"/>
  <c r="J1649" i="1"/>
  <c r="BL2423" i="1"/>
  <c r="BK2423" i="1"/>
  <c r="DG2422" i="1"/>
  <c r="M77" i="1"/>
  <c r="L77" i="1"/>
  <c r="DA2422" i="1"/>
  <c r="CY2422" i="1"/>
  <c r="CX2422" i="1"/>
  <c r="J77" i="1"/>
  <c r="BL2422" i="1"/>
  <c r="BK2422" i="1"/>
  <c r="DG2421" i="1"/>
  <c r="M1651" i="1"/>
  <c r="L1651" i="1"/>
  <c r="DA2421" i="1"/>
  <c r="CY2421" i="1"/>
  <c r="CX2421" i="1"/>
  <c r="J1651" i="1"/>
  <c r="BL2421" i="1"/>
  <c r="BK2421" i="1"/>
  <c r="DG2420" i="1"/>
  <c r="M1652" i="1"/>
  <c r="L1652" i="1"/>
  <c r="DA2420" i="1"/>
  <c r="CY2420" i="1"/>
  <c r="CX2420" i="1"/>
  <c r="J1652" i="1"/>
  <c r="BL2420" i="1"/>
  <c r="BK2420" i="1"/>
  <c r="DG2419" i="1"/>
  <c r="M1653" i="1"/>
  <c r="L1653" i="1"/>
  <c r="DA2419" i="1"/>
  <c r="CY2419" i="1"/>
  <c r="CX2419" i="1"/>
  <c r="J1653" i="1"/>
  <c r="BL2419" i="1"/>
  <c r="BK2419" i="1"/>
  <c r="DG2418" i="1"/>
  <c r="M85" i="1"/>
  <c r="L85" i="1"/>
  <c r="DA2418" i="1"/>
  <c r="CY2418" i="1"/>
  <c r="CX2418" i="1"/>
  <c r="J85" i="1"/>
  <c r="BL2418" i="1"/>
  <c r="BK2418" i="1"/>
  <c r="DG2417" i="1"/>
  <c r="M1655" i="1"/>
  <c r="L1655" i="1"/>
  <c r="DA2417" i="1"/>
  <c r="CY2417" i="1"/>
  <c r="CX2417" i="1"/>
  <c r="J1655" i="1"/>
  <c r="BL2417" i="1"/>
  <c r="BK2417" i="1"/>
  <c r="DG2416" i="1"/>
  <c r="M1656" i="1"/>
  <c r="L1656" i="1"/>
  <c r="DA2416" i="1"/>
  <c r="CY2416" i="1"/>
  <c r="CX2416" i="1"/>
  <c r="J1656" i="1"/>
  <c r="BL2416" i="1"/>
  <c r="BK2416" i="1"/>
  <c r="DG2415" i="1"/>
  <c r="M1657" i="1"/>
  <c r="L1657" i="1"/>
  <c r="DA2415" i="1"/>
  <c r="CY2415" i="1"/>
  <c r="CX2415" i="1"/>
  <c r="J1657" i="1"/>
  <c r="BL2415" i="1"/>
  <c r="BK2415" i="1"/>
  <c r="DG2414" i="1"/>
  <c r="M95" i="1"/>
  <c r="L95" i="1"/>
  <c r="DA2414" i="1"/>
  <c r="CY2414" i="1"/>
  <c r="CX2414" i="1"/>
  <c r="J95" i="1"/>
  <c r="BL2414" i="1"/>
  <c r="BK2414" i="1"/>
  <c r="DG2413" i="1"/>
  <c r="M1659" i="1"/>
  <c r="L1659" i="1"/>
  <c r="DA2413" i="1"/>
  <c r="CY2413" i="1"/>
  <c r="CX2413" i="1"/>
  <c r="J1659" i="1"/>
  <c r="BL2413" i="1"/>
  <c r="BK2413" i="1"/>
  <c r="DG2412" i="1"/>
  <c r="M1660" i="1"/>
  <c r="L1660" i="1"/>
  <c r="DA2412" i="1"/>
  <c r="CY2412" i="1"/>
  <c r="CX2412" i="1"/>
  <c r="J1660" i="1"/>
  <c r="BL2412" i="1"/>
  <c r="BK2412" i="1"/>
  <c r="DG2411" i="1"/>
  <c r="M1661" i="1"/>
  <c r="L1661" i="1"/>
  <c r="DA2411" i="1"/>
  <c r="CY2411" i="1"/>
  <c r="CX2411" i="1"/>
  <c r="J1661" i="1"/>
  <c r="BL2411" i="1"/>
  <c r="BK2411" i="1"/>
  <c r="DG2410" i="1"/>
  <c r="M1662" i="1"/>
  <c r="L1662" i="1"/>
  <c r="DA2410" i="1"/>
  <c r="CY2410" i="1"/>
  <c r="CX2410" i="1"/>
  <c r="J1662" i="1"/>
  <c r="BL2410" i="1"/>
  <c r="BK2410" i="1"/>
  <c r="DG2409" i="1"/>
  <c r="M1663" i="1"/>
  <c r="L1663" i="1"/>
  <c r="DA2409" i="1"/>
  <c r="CY2409" i="1"/>
  <c r="CX2409" i="1"/>
  <c r="J1663" i="1"/>
  <c r="BL2409" i="1"/>
  <c r="BK2409" i="1"/>
  <c r="DG2408" i="1"/>
  <c r="M1664" i="1"/>
  <c r="L1664" i="1"/>
  <c r="DA2408" i="1"/>
  <c r="CY2408" i="1"/>
  <c r="CX2408" i="1"/>
  <c r="J1664" i="1"/>
  <c r="BL2408" i="1"/>
  <c r="BK2408" i="1"/>
  <c r="DG2407" i="1"/>
  <c r="M1665" i="1"/>
  <c r="L1665" i="1"/>
  <c r="DA2407" i="1"/>
  <c r="CY2407" i="1"/>
  <c r="CX2407" i="1"/>
  <c r="J1665" i="1"/>
  <c r="BL2407" i="1"/>
  <c r="BK2407" i="1"/>
  <c r="DG2406" i="1"/>
  <c r="M112" i="1"/>
  <c r="L112" i="1"/>
  <c r="DA2406" i="1"/>
  <c r="CY2406" i="1"/>
  <c r="CX2406" i="1"/>
  <c r="J112" i="1"/>
  <c r="BL2406" i="1"/>
  <c r="BK2406" i="1"/>
  <c r="DG2405" i="1"/>
  <c r="M1667" i="1"/>
  <c r="L1667" i="1"/>
  <c r="DA2405" i="1"/>
  <c r="CY2405" i="1"/>
  <c r="CX2405" i="1"/>
  <c r="J1667" i="1"/>
  <c r="BL2405" i="1"/>
  <c r="BK2405" i="1"/>
  <c r="DG2404" i="1"/>
  <c r="M1668" i="1"/>
  <c r="L1668" i="1"/>
  <c r="DA2404" i="1"/>
  <c r="CY2404" i="1"/>
  <c r="CX2404" i="1"/>
  <c r="J1668" i="1"/>
  <c r="BL2404" i="1"/>
  <c r="BK2404" i="1"/>
  <c r="DG2403" i="1"/>
  <c r="M1669" i="1"/>
  <c r="L1669" i="1"/>
  <c r="DA2403" i="1"/>
  <c r="CY2403" i="1"/>
  <c r="CX2403" i="1"/>
  <c r="J1669" i="1"/>
  <c r="BL2403" i="1"/>
  <c r="BK2403" i="1"/>
  <c r="DG2402" i="1"/>
  <c r="M1670" i="1"/>
  <c r="L1670" i="1"/>
  <c r="DA2402" i="1"/>
  <c r="CY2402" i="1"/>
  <c r="CX2402" i="1"/>
  <c r="J1670" i="1"/>
  <c r="BL2402" i="1"/>
  <c r="BK2402" i="1"/>
  <c r="DG2401" i="1"/>
  <c r="M1671" i="1"/>
  <c r="L1671" i="1"/>
  <c r="DA2401" i="1"/>
  <c r="CY2401" i="1"/>
  <c r="CX2401" i="1"/>
  <c r="J1671" i="1"/>
  <c r="BL2401" i="1"/>
  <c r="BK2401" i="1"/>
  <c r="DG2400" i="1"/>
  <c r="M1672" i="1"/>
  <c r="L1672" i="1"/>
  <c r="DA2400" i="1"/>
  <c r="CY2400" i="1"/>
  <c r="CX2400" i="1"/>
  <c r="J1672" i="1"/>
  <c r="BL2400" i="1"/>
  <c r="BK2400" i="1"/>
  <c r="DG2399" i="1"/>
  <c r="M1673" i="1"/>
  <c r="L1673" i="1"/>
  <c r="DA2399" i="1"/>
  <c r="CY2399" i="1"/>
  <c r="CX2399" i="1"/>
  <c r="J1673" i="1"/>
  <c r="BL2399" i="1"/>
  <c r="BK2399" i="1"/>
  <c r="DG2398" i="1"/>
  <c r="M136" i="1"/>
  <c r="L136" i="1"/>
  <c r="DA2398" i="1"/>
  <c r="CY2398" i="1"/>
  <c r="CX2398" i="1"/>
  <c r="J136" i="1"/>
  <c r="BL2398" i="1"/>
  <c r="BK2398" i="1"/>
  <c r="DG2397" i="1"/>
  <c r="M1675" i="1"/>
  <c r="L1675" i="1"/>
  <c r="DA2397" i="1"/>
  <c r="CY2397" i="1"/>
  <c r="CX2397" i="1"/>
  <c r="J1675" i="1"/>
  <c r="BL2397" i="1"/>
  <c r="BK2397" i="1"/>
  <c r="DG2396" i="1"/>
  <c r="M1676" i="1"/>
  <c r="L1676" i="1"/>
  <c r="DA2396" i="1"/>
  <c r="CY2396" i="1"/>
  <c r="CX2396" i="1"/>
  <c r="J1676" i="1"/>
  <c r="BL2396" i="1"/>
  <c r="BK2396" i="1"/>
  <c r="DG2395" i="1"/>
  <c r="M1677" i="1"/>
  <c r="L1677" i="1"/>
  <c r="DA2395" i="1"/>
  <c r="CY2395" i="1"/>
  <c r="CX2395" i="1"/>
  <c r="J1677" i="1"/>
  <c r="BL2395" i="1"/>
  <c r="BK2395" i="1"/>
  <c r="DG2394" i="1"/>
  <c r="M1678" i="1"/>
  <c r="L1678" i="1"/>
  <c r="DA2394" i="1"/>
  <c r="CY2394" i="1"/>
  <c r="CX2394" i="1"/>
  <c r="J1678" i="1"/>
  <c r="BL2394" i="1"/>
  <c r="BK2394" i="1"/>
  <c r="DG2393" i="1"/>
  <c r="M1679" i="1"/>
  <c r="L1679" i="1"/>
  <c r="DA2393" i="1"/>
  <c r="CY2393" i="1"/>
  <c r="CX2393" i="1"/>
  <c r="J1679" i="1"/>
  <c r="BL2393" i="1"/>
  <c r="BK2393" i="1"/>
  <c r="DG2392" i="1"/>
  <c r="M1680" i="1"/>
  <c r="L1680" i="1"/>
  <c r="DA2392" i="1"/>
  <c r="CY2392" i="1"/>
  <c r="CX2392" i="1"/>
  <c r="J1680" i="1"/>
  <c r="BL2392" i="1"/>
  <c r="BK2392" i="1"/>
  <c r="DG2391" i="1"/>
  <c r="M1681" i="1"/>
  <c r="L1681" i="1"/>
  <c r="DA2391" i="1"/>
  <c r="CY2391" i="1"/>
  <c r="CX2391" i="1"/>
  <c r="J1681" i="1"/>
  <c r="BL2391" i="1"/>
  <c r="BK2391" i="1"/>
  <c r="DG2390" i="1"/>
  <c r="M156" i="1"/>
  <c r="L156" i="1"/>
  <c r="DA2390" i="1"/>
  <c r="CY2390" i="1"/>
  <c r="CX2390" i="1"/>
  <c r="J156" i="1"/>
  <c r="BL2390" i="1"/>
  <c r="BK2390" i="1"/>
  <c r="DG2389" i="1"/>
  <c r="M1683" i="1"/>
  <c r="L1683" i="1"/>
  <c r="DA2389" i="1"/>
  <c r="CY2389" i="1"/>
  <c r="CX2389" i="1"/>
  <c r="J1683" i="1"/>
  <c r="BL2389" i="1"/>
  <c r="BK2389" i="1"/>
  <c r="DG2388" i="1"/>
  <c r="M1684" i="1"/>
  <c r="L1684" i="1"/>
  <c r="DA2388" i="1"/>
  <c r="CY2388" i="1"/>
  <c r="CX2388" i="1"/>
  <c r="J1684" i="1"/>
  <c r="BL2388" i="1"/>
  <c r="BK2388" i="1"/>
  <c r="DG2387" i="1"/>
  <c r="M1685" i="1"/>
  <c r="L1685" i="1"/>
  <c r="DA2387" i="1"/>
  <c r="CY2387" i="1"/>
  <c r="CX2387" i="1"/>
  <c r="J1685" i="1"/>
  <c r="BL2387" i="1"/>
  <c r="BK2387" i="1"/>
  <c r="DG2386" i="1"/>
  <c r="M165" i="1"/>
  <c r="L165" i="1"/>
  <c r="DA2386" i="1"/>
  <c r="CY2386" i="1"/>
  <c r="CX2386" i="1"/>
  <c r="J165" i="1"/>
  <c r="BL2386" i="1"/>
  <c r="BK2386" i="1"/>
  <c r="DG2385" i="1"/>
  <c r="M1687" i="1"/>
  <c r="L1687" i="1"/>
  <c r="DA2385" i="1"/>
  <c r="CY2385" i="1"/>
  <c r="CX2385" i="1"/>
  <c r="J1687" i="1"/>
  <c r="BL2385" i="1"/>
  <c r="BK2385" i="1"/>
  <c r="DG2384" i="1"/>
  <c r="M1688" i="1"/>
  <c r="L1688" i="1"/>
  <c r="DA2384" i="1"/>
  <c r="CY2384" i="1"/>
  <c r="CX2384" i="1"/>
  <c r="J1688" i="1"/>
  <c r="BL2384" i="1"/>
  <c r="BK2384" i="1"/>
  <c r="DG2383" i="1"/>
  <c r="M1689" i="1"/>
  <c r="L1689" i="1"/>
  <c r="DA2383" i="1"/>
  <c r="CY2383" i="1"/>
  <c r="CX2383" i="1"/>
  <c r="J1689" i="1"/>
  <c r="BL2383" i="1"/>
  <c r="BK2383" i="1"/>
  <c r="DG2382" i="1"/>
  <c r="M172" i="1"/>
  <c r="L172" i="1"/>
  <c r="DA2382" i="1"/>
  <c r="CY2382" i="1"/>
  <c r="CX2382" i="1"/>
  <c r="J172" i="1"/>
  <c r="BL2382" i="1"/>
  <c r="BK2382" i="1"/>
  <c r="DG2381" i="1"/>
  <c r="M1691" i="1"/>
  <c r="L1691" i="1"/>
  <c r="DA2381" i="1"/>
  <c r="CY2381" i="1"/>
  <c r="CX2381" i="1"/>
  <c r="J1691" i="1"/>
  <c r="BL2381" i="1"/>
  <c r="BK2381" i="1"/>
  <c r="DG2380" i="1"/>
  <c r="M1692" i="1"/>
  <c r="L1692" i="1"/>
  <c r="DA2380" i="1"/>
  <c r="CY2380" i="1"/>
  <c r="CX2380" i="1"/>
  <c r="J1692" i="1"/>
  <c r="BL2380" i="1"/>
  <c r="BK2380" i="1"/>
  <c r="DG2379" i="1"/>
  <c r="M1693" i="1"/>
  <c r="L1693" i="1"/>
  <c r="DA2379" i="1"/>
  <c r="CY2379" i="1"/>
  <c r="CX2379" i="1"/>
  <c r="J1693" i="1"/>
  <c r="BL2379" i="1"/>
  <c r="BK2379" i="1"/>
  <c r="DG2378" i="1"/>
  <c r="M1694" i="1"/>
  <c r="L1694" i="1"/>
  <c r="DA2378" i="1"/>
  <c r="CY2378" i="1"/>
  <c r="CX2378" i="1"/>
  <c r="J1694" i="1"/>
  <c r="BL2378" i="1"/>
  <c r="BK2378" i="1"/>
  <c r="DG2377" i="1"/>
  <c r="M1695" i="1"/>
  <c r="L1695" i="1"/>
  <c r="DA2377" i="1"/>
  <c r="CY2377" i="1"/>
  <c r="CX2377" i="1"/>
  <c r="J1695" i="1"/>
  <c r="BL2377" i="1"/>
  <c r="BK2377" i="1"/>
  <c r="DG2376" i="1"/>
  <c r="M1696" i="1"/>
  <c r="L1696" i="1"/>
  <c r="DA2376" i="1"/>
  <c r="CY2376" i="1"/>
  <c r="CX2376" i="1"/>
  <c r="J1696" i="1"/>
  <c r="BL2376" i="1"/>
  <c r="BK2376" i="1"/>
  <c r="DG2375" i="1"/>
  <c r="M1697" i="1"/>
  <c r="L1697" i="1"/>
  <c r="DA2375" i="1"/>
  <c r="CY2375" i="1"/>
  <c r="CX2375" i="1"/>
  <c r="J1697" i="1"/>
  <c r="BL2375" i="1"/>
  <c r="BK2375" i="1"/>
  <c r="DG2374" i="1"/>
  <c r="M1186" i="1"/>
  <c r="L1186" i="1"/>
  <c r="DA2374" i="1"/>
  <c r="CY2374" i="1"/>
  <c r="CX2374" i="1"/>
  <c r="J1186" i="1"/>
  <c r="BL2374" i="1"/>
  <c r="BK2374" i="1"/>
  <c r="DG2373" i="1"/>
  <c r="M1699" i="1"/>
  <c r="L1699" i="1"/>
  <c r="DA2373" i="1"/>
  <c r="CY2373" i="1"/>
  <c r="CX2373" i="1"/>
  <c r="J1699" i="1"/>
  <c r="BL2373" i="1"/>
  <c r="BK2373" i="1"/>
  <c r="DG2372" i="1"/>
  <c r="M1700" i="1"/>
  <c r="L1700" i="1"/>
  <c r="DA2372" i="1"/>
  <c r="CY2372" i="1"/>
  <c r="CX2372" i="1"/>
  <c r="J1700" i="1"/>
  <c r="BL2372" i="1"/>
  <c r="BK2372" i="1"/>
  <c r="DG2371" i="1"/>
  <c r="M1701" i="1"/>
  <c r="L1701" i="1"/>
  <c r="DA2371" i="1"/>
  <c r="CY2371" i="1"/>
  <c r="CX2371" i="1"/>
  <c r="J1701" i="1"/>
  <c r="BL2371" i="1"/>
  <c r="BK2371" i="1"/>
  <c r="DG2370" i="1"/>
  <c r="M1185" i="1"/>
  <c r="L1185" i="1"/>
  <c r="DA2370" i="1"/>
  <c r="CY2370" i="1"/>
  <c r="CX2370" i="1"/>
  <c r="J1185" i="1"/>
  <c r="BL2370" i="1"/>
  <c r="BK2370" i="1"/>
  <c r="DG2369" i="1"/>
  <c r="M1703" i="1"/>
  <c r="L1703" i="1"/>
  <c r="DA2369" i="1"/>
  <c r="CY2369" i="1"/>
  <c r="CX2369" i="1"/>
  <c r="J1703" i="1"/>
  <c r="BL2369" i="1"/>
  <c r="BK2369" i="1"/>
  <c r="DG2368" i="1"/>
  <c r="M1704" i="1"/>
  <c r="L1704" i="1"/>
  <c r="DA2368" i="1"/>
  <c r="CY2368" i="1"/>
  <c r="CX2368" i="1"/>
  <c r="J1704" i="1"/>
  <c r="BL2368" i="1"/>
  <c r="BK2368" i="1"/>
  <c r="DG2367" i="1"/>
  <c r="M1705" i="1"/>
  <c r="L1705" i="1"/>
  <c r="DA2367" i="1"/>
  <c r="CY2367" i="1"/>
  <c r="CX2367" i="1"/>
  <c r="J1705" i="1"/>
  <c r="BL2367" i="1"/>
  <c r="BK2367" i="1"/>
  <c r="DG2366" i="1"/>
  <c r="M231" i="1"/>
  <c r="L231" i="1"/>
  <c r="DA2366" i="1"/>
  <c r="CY2366" i="1"/>
  <c r="CX2366" i="1"/>
  <c r="J231" i="1"/>
  <c r="BL2366" i="1"/>
  <c r="BK2366" i="1"/>
  <c r="DG2365" i="1"/>
  <c r="M1707" i="1"/>
  <c r="L1707" i="1"/>
  <c r="DA2365" i="1"/>
  <c r="CY2365" i="1"/>
  <c r="CX2365" i="1"/>
  <c r="J1707" i="1"/>
  <c r="BL2365" i="1"/>
  <c r="BK2365" i="1"/>
  <c r="DG2364" i="1"/>
  <c r="M1708" i="1"/>
  <c r="L1708" i="1"/>
  <c r="DA2364" i="1"/>
  <c r="CY2364" i="1"/>
  <c r="CX2364" i="1"/>
  <c r="J1708" i="1"/>
  <c r="BL2364" i="1"/>
  <c r="BK2364" i="1"/>
  <c r="DG2363" i="1"/>
  <c r="M1709" i="1"/>
  <c r="L1709" i="1"/>
  <c r="DA2363" i="1"/>
  <c r="CY2363" i="1"/>
  <c r="CX2363" i="1"/>
  <c r="J1709" i="1"/>
  <c r="BL2363" i="1"/>
  <c r="BK2363" i="1"/>
  <c r="DG2362" i="1"/>
  <c r="M1710" i="1"/>
  <c r="L1710" i="1"/>
  <c r="DA2362" i="1"/>
  <c r="CY2362" i="1"/>
  <c r="CX2362" i="1"/>
  <c r="J1710" i="1"/>
  <c r="BL2362" i="1"/>
  <c r="BK2362" i="1"/>
  <c r="DG2361" i="1"/>
  <c r="M1711" i="1"/>
  <c r="L1711" i="1"/>
  <c r="DA2361" i="1"/>
  <c r="CY2361" i="1"/>
  <c r="CX2361" i="1"/>
  <c r="J1711" i="1"/>
  <c r="BL2361" i="1"/>
  <c r="BK2361" i="1"/>
  <c r="DG2360" i="1"/>
  <c r="M1712" i="1"/>
  <c r="L1712" i="1"/>
  <c r="DA2360" i="1"/>
  <c r="CY2360" i="1"/>
  <c r="CX2360" i="1"/>
  <c r="J1712" i="1"/>
  <c r="BL2360" i="1"/>
  <c r="BK2360" i="1"/>
  <c r="DG2359" i="1"/>
  <c r="M1713" i="1"/>
  <c r="L1713" i="1"/>
  <c r="DA2359" i="1"/>
  <c r="CY2359" i="1"/>
  <c r="CX2359" i="1"/>
  <c r="J1713" i="1"/>
  <c r="BL2359" i="1"/>
  <c r="BK2359" i="1"/>
  <c r="DG2358" i="1"/>
  <c r="M235" i="1"/>
  <c r="L235" i="1"/>
  <c r="DA2358" i="1"/>
  <c r="CY2358" i="1"/>
  <c r="CX2358" i="1"/>
  <c r="J235" i="1"/>
  <c r="BL2358" i="1"/>
  <c r="BK2358" i="1"/>
  <c r="DG2357" i="1"/>
  <c r="M1715" i="1"/>
  <c r="L1715" i="1"/>
  <c r="DA2357" i="1"/>
  <c r="CY2357" i="1"/>
  <c r="CX2357" i="1"/>
  <c r="J1715" i="1"/>
  <c r="BL2357" i="1"/>
  <c r="BK2357" i="1"/>
  <c r="DG2356" i="1"/>
  <c r="M1716" i="1"/>
  <c r="L1716" i="1"/>
  <c r="DA2356" i="1"/>
  <c r="CY2356" i="1"/>
  <c r="CX2356" i="1"/>
  <c r="J1716" i="1"/>
  <c r="BL2356" i="1"/>
  <c r="BK2356" i="1"/>
  <c r="DG2355" i="1"/>
  <c r="M1717" i="1"/>
  <c r="L1717" i="1"/>
  <c r="DA2355" i="1"/>
  <c r="CY2355" i="1"/>
  <c r="CX2355" i="1"/>
  <c r="J1717" i="1"/>
  <c r="BL2355" i="1"/>
  <c r="BK2355" i="1"/>
  <c r="DG2354" i="1"/>
  <c r="M1718" i="1"/>
  <c r="L1718" i="1"/>
  <c r="DA2354" i="1"/>
  <c r="CY2354" i="1"/>
  <c r="CX2354" i="1"/>
  <c r="J1718" i="1"/>
  <c r="BL2354" i="1"/>
  <c r="BK2354" i="1"/>
  <c r="DG2353" i="1"/>
  <c r="M1719" i="1"/>
  <c r="L1719" i="1"/>
  <c r="DA2353" i="1"/>
  <c r="CY2353" i="1"/>
  <c r="CX2353" i="1"/>
  <c r="J1719" i="1"/>
  <c r="BL2353" i="1"/>
  <c r="BK2353" i="1"/>
  <c r="DG2352" i="1"/>
  <c r="M1720" i="1"/>
  <c r="L1720" i="1"/>
  <c r="DA2352" i="1"/>
  <c r="CY2352" i="1"/>
  <c r="CX2352" i="1"/>
  <c r="J1720" i="1"/>
  <c r="BL2352" i="1"/>
  <c r="BK2352" i="1"/>
  <c r="DG2351" i="1"/>
  <c r="M1721" i="1"/>
  <c r="L1721" i="1"/>
  <c r="DA2351" i="1"/>
  <c r="CY2351" i="1"/>
  <c r="CX2351" i="1"/>
  <c r="J1721" i="1"/>
  <c r="BL2351" i="1"/>
  <c r="BK2351" i="1"/>
  <c r="DG2350" i="1"/>
  <c r="M1722" i="1"/>
  <c r="L1722" i="1"/>
  <c r="DA2350" i="1"/>
  <c r="CY2350" i="1"/>
  <c r="CX2350" i="1"/>
  <c r="J1722" i="1"/>
  <c r="BL2350" i="1"/>
  <c r="BK2350" i="1"/>
  <c r="DG2349" i="1"/>
  <c r="M1723" i="1"/>
  <c r="L1723" i="1"/>
  <c r="DA2349" i="1"/>
  <c r="CY2349" i="1"/>
  <c r="CX2349" i="1"/>
  <c r="J1723" i="1"/>
  <c r="BL2349" i="1"/>
  <c r="BK2349" i="1"/>
  <c r="DG2348" i="1"/>
  <c r="M1724" i="1"/>
  <c r="L1724" i="1"/>
  <c r="DA2348" i="1"/>
  <c r="CY2348" i="1"/>
  <c r="CX2348" i="1"/>
  <c r="J1724" i="1"/>
  <c r="BL2348" i="1"/>
  <c r="BK2348" i="1"/>
  <c r="DG2347" i="1"/>
  <c r="M1725" i="1"/>
  <c r="L1725" i="1"/>
  <c r="DA2347" i="1"/>
  <c r="CY2347" i="1"/>
  <c r="CX2347" i="1"/>
  <c r="J1725" i="1"/>
  <c r="BL2347" i="1"/>
  <c r="BK2347" i="1"/>
  <c r="DG2346" i="1"/>
  <c r="M1726" i="1"/>
  <c r="L1726" i="1"/>
  <c r="DA2346" i="1"/>
  <c r="CY2346" i="1"/>
  <c r="CX2346" i="1"/>
  <c r="J1726" i="1"/>
  <c r="BL2346" i="1"/>
  <c r="BK2346" i="1"/>
  <c r="DG2345" i="1"/>
  <c r="M1727" i="1"/>
  <c r="L1727" i="1"/>
  <c r="DA2345" i="1"/>
  <c r="CY2345" i="1"/>
  <c r="CX2345" i="1"/>
  <c r="J1727" i="1"/>
  <c r="BL2345" i="1"/>
  <c r="BK2345" i="1"/>
  <c r="DG2344" i="1"/>
  <c r="M1728" i="1"/>
  <c r="L1728" i="1"/>
  <c r="DA2344" i="1"/>
  <c r="CY2344" i="1"/>
  <c r="CX2344" i="1"/>
  <c r="J1728" i="1"/>
  <c r="BL2344" i="1"/>
  <c r="BK2344" i="1"/>
  <c r="DG2343" i="1"/>
  <c r="M1729" i="1"/>
  <c r="L1729" i="1"/>
  <c r="DA2343" i="1"/>
  <c r="CY2343" i="1"/>
  <c r="CX2343" i="1"/>
  <c r="J1729" i="1"/>
  <c r="BL2343" i="1"/>
  <c r="BK2343" i="1"/>
  <c r="DG2342" i="1"/>
  <c r="M1730" i="1"/>
  <c r="L1730" i="1"/>
  <c r="DA2342" i="1"/>
  <c r="CY2342" i="1"/>
  <c r="CX2342" i="1"/>
  <c r="J1730" i="1"/>
  <c r="BL2342" i="1"/>
  <c r="BK2342" i="1"/>
  <c r="DG2341" i="1"/>
  <c r="M1731" i="1"/>
  <c r="L1731" i="1"/>
  <c r="DA2341" i="1"/>
  <c r="CY2341" i="1"/>
  <c r="CX2341" i="1"/>
  <c r="J1731" i="1"/>
  <c r="BL2341" i="1"/>
  <c r="BK2341" i="1"/>
  <c r="DG2340" i="1"/>
  <c r="M1732" i="1"/>
  <c r="L1732" i="1"/>
  <c r="DA2340" i="1"/>
  <c r="CY2340" i="1"/>
  <c r="CX2340" i="1"/>
  <c r="J1732" i="1"/>
  <c r="BL2340" i="1"/>
  <c r="BK2340" i="1"/>
  <c r="DG2339" i="1"/>
  <c r="M1733" i="1"/>
  <c r="L1733" i="1"/>
  <c r="DA2339" i="1"/>
  <c r="CY2339" i="1"/>
  <c r="CX2339" i="1"/>
  <c r="J1733" i="1"/>
  <c r="BL2339" i="1"/>
  <c r="BK2339" i="1"/>
  <c r="DG2338" i="1"/>
  <c r="M1734" i="1"/>
  <c r="L1734" i="1"/>
  <c r="DA2338" i="1"/>
  <c r="CY2338" i="1"/>
  <c r="CX2338" i="1"/>
  <c r="J1734" i="1"/>
  <c r="BL2338" i="1"/>
  <c r="BK2338" i="1"/>
  <c r="DG2337" i="1"/>
  <c r="M1735" i="1"/>
  <c r="L1735" i="1"/>
  <c r="DA2337" i="1"/>
  <c r="CY2337" i="1"/>
  <c r="CX2337" i="1"/>
  <c r="J1735" i="1"/>
  <c r="BL2337" i="1"/>
  <c r="BK2337" i="1"/>
  <c r="DG2336" i="1"/>
  <c r="M1736" i="1"/>
  <c r="L1736" i="1"/>
  <c r="DA2336" i="1"/>
  <c r="CY2336" i="1"/>
  <c r="CX2336" i="1"/>
  <c r="J1736" i="1"/>
  <c r="BL2336" i="1"/>
  <c r="BK2336" i="1"/>
  <c r="DG2335" i="1"/>
  <c r="M1737" i="1"/>
  <c r="L1737" i="1"/>
  <c r="DA2335" i="1"/>
  <c r="CY2335" i="1"/>
  <c r="CX2335" i="1"/>
  <c r="J1737" i="1"/>
  <c r="BL2335" i="1"/>
  <c r="BK2335" i="1"/>
  <c r="DG2334" i="1"/>
  <c r="M1738" i="1"/>
  <c r="L1738" i="1"/>
  <c r="DA2334" i="1"/>
  <c r="CY2334" i="1"/>
  <c r="CX2334" i="1"/>
  <c r="J1738" i="1"/>
  <c r="BL2334" i="1"/>
  <c r="BK2334" i="1"/>
  <c r="DG2333" i="1"/>
  <c r="M1739" i="1"/>
  <c r="L1739" i="1"/>
  <c r="DA2333" i="1"/>
  <c r="CY2333" i="1"/>
  <c r="CX2333" i="1"/>
  <c r="J1739" i="1"/>
  <c r="BL2333" i="1"/>
  <c r="BK2333" i="1"/>
  <c r="DG2332" i="1"/>
  <c r="M1740" i="1"/>
  <c r="L1740" i="1"/>
  <c r="DA2332" i="1"/>
  <c r="CY2332" i="1"/>
  <c r="CX2332" i="1"/>
  <c r="J1740" i="1"/>
  <c r="BL2332" i="1"/>
  <c r="BK2332" i="1"/>
  <c r="DG2331" i="1"/>
  <c r="M1741" i="1"/>
  <c r="L1741" i="1"/>
  <c r="DA2331" i="1"/>
  <c r="CY2331" i="1"/>
  <c r="CX2331" i="1"/>
  <c r="J1741" i="1"/>
  <c r="BL2331" i="1"/>
  <c r="BK2331" i="1"/>
  <c r="DG2330" i="1"/>
  <c r="M1742" i="1"/>
  <c r="L1742" i="1"/>
  <c r="DA2330" i="1"/>
  <c r="CY2330" i="1"/>
  <c r="CX2330" i="1"/>
  <c r="J1742" i="1"/>
  <c r="BL2330" i="1"/>
  <c r="BK2330" i="1"/>
  <c r="DG2329" i="1"/>
  <c r="M1743" i="1"/>
  <c r="L1743" i="1"/>
  <c r="DA2329" i="1"/>
  <c r="CY2329" i="1"/>
  <c r="CX2329" i="1"/>
  <c r="J1743" i="1"/>
  <c r="BL2329" i="1"/>
  <c r="BK2329" i="1"/>
  <c r="DG2328" i="1"/>
  <c r="M1744" i="1"/>
  <c r="L1744" i="1"/>
  <c r="DA2328" i="1"/>
  <c r="CY2328" i="1"/>
  <c r="CX2328" i="1"/>
  <c r="J1744" i="1"/>
  <c r="BL2328" i="1"/>
  <c r="BK2328" i="1"/>
  <c r="DG2327" i="1"/>
  <c r="M1745" i="1"/>
  <c r="L1745" i="1"/>
  <c r="DA2327" i="1"/>
  <c r="CY2327" i="1"/>
  <c r="CX2327" i="1"/>
  <c r="J1745" i="1"/>
  <c r="BL2327" i="1"/>
  <c r="BK2327" i="1"/>
  <c r="DG2326" i="1"/>
  <c r="M299" i="1"/>
  <c r="L299" i="1"/>
  <c r="DA2326" i="1"/>
  <c r="CY2326" i="1"/>
  <c r="CX2326" i="1"/>
  <c r="J299" i="1"/>
  <c r="BL2326" i="1"/>
  <c r="BK2326" i="1"/>
  <c r="DG2325" i="1"/>
  <c r="M1747" i="1"/>
  <c r="L1747" i="1"/>
  <c r="DA2325" i="1"/>
  <c r="CY2325" i="1"/>
  <c r="CX2325" i="1"/>
  <c r="J1747" i="1"/>
  <c r="BL2325" i="1"/>
  <c r="BK2325" i="1"/>
  <c r="DG2324" i="1"/>
  <c r="M1748" i="1"/>
  <c r="L1748" i="1"/>
  <c r="DA2324" i="1"/>
  <c r="CY2324" i="1"/>
  <c r="CX2324" i="1"/>
  <c r="J1748" i="1"/>
  <c r="BL2324" i="1"/>
  <c r="BK2324" i="1"/>
  <c r="DG2323" i="1"/>
  <c r="M1749" i="1"/>
  <c r="L1749" i="1"/>
  <c r="DA2323" i="1"/>
  <c r="CY2323" i="1"/>
  <c r="CX2323" i="1"/>
  <c r="J1749" i="1"/>
  <c r="BL2323" i="1"/>
  <c r="BK2323" i="1"/>
  <c r="DG2322" i="1"/>
  <c r="M307" i="1"/>
  <c r="L307" i="1"/>
  <c r="DA2322" i="1"/>
  <c r="CY2322" i="1"/>
  <c r="CX2322" i="1"/>
  <c r="J307" i="1"/>
  <c r="BL2322" i="1"/>
  <c r="BK2322" i="1"/>
  <c r="DG2321" i="1"/>
  <c r="M1751" i="1"/>
  <c r="L1751" i="1"/>
  <c r="DA2321" i="1"/>
  <c r="CY2321" i="1"/>
  <c r="CX2321" i="1"/>
  <c r="J1751" i="1"/>
  <c r="BL2321" i="1"/>
  <c r="BK2321" i="1"/>
  <c r="DG2320" i="1"/>
  <c r="M1752" i="1"/>
  <c r="L1752" i="1"/>
  <c r="DA2320" i="1"/>
  <c r="CY2320" i="1"/>
  <c r="CX2320" i="1"/>
  <c r="J1752" i="1"/>
  <c r="BL2320" i="1"/>
  <c r="BK2320" i="1"/>
  <c r="DG2319" i="1"/>
  <c r="M1753" i="1"/>
  <c r="L1753" i="1"/>
  <c r="DA2319" i="1"/>
  <c r="CY2319" i="1"/>
  <c r="CX2319" i="1"/>
  <c r="J1753" i="1"/>
  <c r="BL2319" i="1"/>
  <c r="BK2319" i="1"/>
  <c r="DG2318" i="1"/>
  <c r="M1754" i="1"/>
  <c r="L1754" i="1"/>
  <c r="DA2318" i="1"/>
  <c r="CY2318" i="1"/>
  <c r="CX2318" i="1"/>
  <c r="J1754" i="1"/>
  <c r="BL2318" i="1"/>
  <c r="BK2318" i="1"/>
  <c r="DG2317" i="1"/>
  <c r="M1755" i="1"/>
  <c r="L1755" i="1"/>
  <c r="DA2317" i="1"/>
  <c r="CY2317" i="1"/>
  <c r="CX2317" i="1"/>
  <c r="J1755" i="1"/>
  <c r="BL2317" i="1"/>
  <c r="BK2317" i="1"/>
  <c r="DG2316" i="1"/>
  <c r="M1756" i="1"/>
  <c r="L1756" i="1"/>
  <c r="DA2316" i="1"/>
  <c r="CY2316" i="1"/>
  <c r="CX2316" i="1"/>
  <c r="J1756" i="1"/>
  <c r="BL2316" i="1"/>
  <c r="BK2316" i="1"/>
  <c r="DG2315" i="1"/>
  <c r="M1757" i="1"/>
  <c r="L1757" i="1"/>
  <c r="DA2315" i="1"/>
  <c r="CY2315" i="1"/>
  <c r="CX2315" i="1"/>
  <c r="J1757" i="1"/>
  <c r="BL2315" i="1"/>
  <c r="BK2315" i="1"/>
  <c r="DG2314" i="1"/>
  <c r="M1758" i="1"/>
  <c r="L1758" i="1"/>
  <c r="DA2314" i="1"/>
  <c r="CY2314" i="1"/>
  <c r="CX2314" i="1"/>
  <c r="J1758" i="1"/>
  <c r="BL2314" i="1"/>
  <c r="BK2314" i="1"/>
  <c r="DG2313" i="1"/>
  <c r="M1759" i="1"/>
  <c r="L1759" i="1"/>
  <c r="DA2313" i="1"/>
  <c r="CY2313" i="1"/>
  <c r="CX2313" i="1"/>
  <c r="J1759" i="1"/>
  <c r="BL2313" i="1"/>
  <c r="BK2313" i="1"/>
  <c r="DG2312" i="1"/>
  <c r="M1760" i="1"/>
  <c r="L1760" i="1"/>
  <c r="DA2312" i="1"/>
  <c r="CY2312" i="1"/>
  <c r="CX2312" i="1"/>
  <c r="J1760" i="1"/>
  <c r="BL2312" i="1"/>
  <c r="BK2312" i="1"/>
  <c r="DG2311" i="1"/>
  <c r="M1761" i="1"/>
  <c r="L1761" i="1"/>
  <c r="DA2311" i="1"/>
  <c r="CY2311" i="1"/>
  <c r="CX2311" i="1"/>
  <c r="J1761" i="1"/>
  <c r="BL2311" i="1"/>
  <c r="BK2311" i="1"/>
  <c r="DG2310" i="1"/>
  <c r="M346" i="1"/>
  <c r="L346" i="1"/>
  <c r="DA2310" i="1"/>
  <c r="CY2310" i="1"/>
  <c r="CX2310" i="1"/>
  <c r="J346" i="1"/>
  <c r="BL2310" i="1"/>
  <c r="BK2310" i="1"/>
  <c r="DG2309" i="1"/>
  <c r="M1763" i="1"/>
  <c r="L1763" i="1"/>
  <c r="DA2309" i="1"/>
  <c r="CY2309" i="1"/>
  <c r="CX2309" i="1"/>
  <c r="J1763" i="1"/>
  <c r="BL2309" i="1"/>
  <c r="BK2309" i="1"/>
  <c r="DG2308" i="1"/>
  <c r="M1764" i="1"/>
  <c r="L1764" i="1"/>
  <c r="DA2308" i="1"/>
  <c r="CY2308" i="1"/>
  <c r="CX2308" i="1"/>
  <c r="J1764" i="1"/>
  <c r="BL2308" i="1"/>
  <c r="BK2308" i="1"/>
  <c r="DG2307" i="1"/>
  <c r="M1765" i="1"/>
  <c r="L1765" i="1"/>
  <c r="DA2307" i="1"/>
  <c r="CY2307" i="1"/>
  <c r="CX2307" i="1"/>
  <c r="J1765" i="1"/>
  <c r="BL2307" i="1"/>
  <c r="BK2307" i="1"/>
  <c r="DG2306" i="1"/>
  <c r="M1766" i="1"/>
  <c r="L1766" i="1"/>
  <c r="DA2306" i="1"/>
  <c r="CY2306" i="1"/>
  <c r="CX2306" i="1"/>
  <c r="J1766" i="1"/>
  <c r="BL2306" i="1"/>
  <c r="BK2306" i="1"/>
  <c r="DG2305" i="1"/>
  <c r="M1767" i="1"/>
  <c r="L1767" i="1"/>
  <c r="DA2305" i="1"/>
  <c r="CY2305" i="1"/>
  <c r="CX2305" i="1"/>
  <c r="J1767" i="1"/>
  <c r="BL2305" i="1"/>
  <c r="BK2305" i="1"/>
  <c r="DG2304" i="1"/>
  <c r="M1768" i="1"/>
  <c r="L1768" i="1"/>
  <c r="DA2304" i="1"/>
  <c r="CY2304" i="1"/>
  <c r="CX2304" i="1"/>
  <c r="J1768" i="1"/>
  <c r="BL2304" i="1"/>
  <c r="BK2304" i="1"/>
  <c r="DG2303" i="1"/>
  <c r="M1769" i="1"/>
  <c r="L1769" i="1"/>
  <c r="DA2303" i="1"/>
  <c r="CY2303" i="1"/>
  <c r="CX2303" i="1"/>
  <c r="J1769" i="1"/>
  <c r="BL2303" i="1"/>
  <c r="BK2303" i="1"/>
  <c r="DG2302" i="1"/>
  <c r="M1770" i="1"/>
  <c r="L1770" i="1"/>
  <c r="DA2302" i="1"/>
  <c r="CY2302" i="1"/>
  <c r="CX2302" i="1"/>
  <c r="J1770" i="1"/>
  <c r="BL2302" i="1"/>
  <c r="BK2302" i="1"/>
  <c r="DG2301" i="1"/>
  <c r="M1771" i="1"/>
  <c r="L1771" i="1"/>
  <c r="DA2301" i="1"/>
  <c r="CY2301" i="1"/>
  <c r="CX2301" i="1"/>
  <c r="J1771" i="1"/>
  <c r="BL2301" i="1"/>
  <c r="BK2301" i="1"/>
  <c r="DG2300" i="1"/>
  <c r="M1772" i="1"/>
  <c r="L1772" i="1"/>
  <c r="DA2300" i="1"/>
  <c r="CY2300" i="1"/>
  <c r="CX2300" i="1"/>
  <c r="J1772" i="1"/>
  <c r="BL2300" i="1"/>
  <c r="BK2300" i="1"/>
  <c r="DG2299" i="1"/>
  <c r="M1773" i="1"/>
  <c r="L1773" i="1"/>
  <c r="DA2299" i="1"/>
  <c r="CY2299" i="1"/>
  <c r="CX2299" i="1"/>
  <c r="J1773" i="1"/>
  <c r="BL2299" i="1"/>
  <c r="BK2299" i="1"/>
  <c r="DG2298" i="1"/>
  <c r="M1774" i="1"/>
  <c r="L1774" i="1"/>
  <c r="DA2298" i="1"/>
  <c r="CY2298" i="1"/>
  <c r="CX2298" i="1"/>
  <c r="J1774" i="1"/>
  <c r="BL2298" i="1"/>
  <c r="BK2298" i="1"/>
  <c r="DG2297" i="1"/>
  <c r="M1775" i="1"/>
  <c r="L1775" i="1"/>
  <c r="DA2297" i="1"/>
  <c r="CY2297" i="1"/>
  <c r="CX2297" i="1"/>
  <c r="J1775" i="1"/>
  <c r="BL2297" i="1"/>
  <c r="BK2297" i="1"/>
  <c r="DG2296" i="1"/>
  <c r="M1776" i="1"/>
  <c r="L1776" i="1"/>
  <c r="DA2296" i="1"/>
  <c r="CY2296" i="1"/>
  <c r="CX2296" i="1"/>
  <c r="J1776" i="1"/>
  <c r="BL2296" i="1"/>
  <c r="BK2296" i="1"/>
  <c r="DG2295" i="1"/>
  <c r="M1777" i="1"/>
  <c r="L1777" i="1"/>
  <c r="DA2295" i="1"/>
  <c r="CY2295" i="1"/>
  <c r="CX2295" i="1"/>
  <c r="J1777" i="1"/>
  <c r="BL2295" i="1"/>
  <c r="BK2295" i="1"/>
  <c r="DG2294" i="1"/>
  <c r="M380" i="1"/>
  <c r="L380" i="1"/>
  <c r="DA2294" i="1"/>
  <c r="CY2294" i="1"/>
  <c r="CX2294" i="1"/>
  <c r="J380" i="1"/>
  <c r="BL2294" i="1"/>
  <c r="BK2294" i="1"/>
  <c r="DG2293" i="1"/>
  <c r="M1779" i="1"/>
  <c r="L1779" i="1"/>
  <c r="DA2293" i="1"/>
  <c r="CY2293" i="1"/>
  <c r="CX2293" i="1"/>
  <c r="J1779" i="1"/>
  <c r="BL2293" i="1"/>
  <c r="BK2293" i="1"/>
  <c r="DG2292" i="1"/>
  <c r="M1780" i="1"/>
  <c r="L1780" i="1"/>
  <c r="DA2292" i="1"/>
  <c r="CY2292" i="1"/>
  <c r="CX2292" i="1"/>
  <c r="J1780" i="1"/>
  <c r="BL2292" i="1"/>
  <c r="BK2292" i="1"/>
  <c r="DG2291" i="1"/>
  <c r="M1781" i="1"/>
  <c r="L1781" i="1"/>
  <c r="DA2291" i="1"/>
  <c r="CY2291" i="1"/>
  <c r="CX2291" i="1"/>
  <c r="J1781" i="1"/>
  <c r="BL2291" i="1"/>
  <c r="BK2291" i="1"/>
  <c r="DG2290" i="1"/>
  <c r="M1782" i="1"/>
  <c r="L1782" i="1"/>
  <c r="DA2290" i="1"/>
  <c r="CY2290" i="1"/>
  <c r="CX2290" i="1"/>
  <c r="J1782" i="1"/>
  <c r="BL2290" i="1"/>
  <c r="BK2290" i="1"/>
  <c r="DG2289" i="1"/>
  <c r="M1937" i="1"/>
  <c r="L1937" i="1"/>
  <c r="DA2289" i="1"/>
  <c r="CY2289" i="1"/>
  <c r="CX2289" i="1"/>
  <c r="J1937" i="1"/>
  <c r="BL2289" i="1"/>
  <c r="BK2289" i="1"/>
  <c r="DG2288" i="1"/>
  <c r="M1929" i="1"/>
  <c r="L1929" i="1"/>
  <c r="DA2288" i="1"/>
  <c r="CY2288" i="1"/>
  <c r="CX2288" i="1"/>
  <c r="J1929" i="1"/>
  <c r="BL2288" i="1"/>
  <c r="BK2288" i="1"/>
  <c r="DG2287" i="1"/>
  <c r="M1917" i="1"/>
  <c r="L1917" i="1"/>
  <c r="DA2287" i="1"/>
  <c r="CY2287" i="1"/>
  <c r="CX2287" i="1"/>
  <c r="J1917" i="1"/>
  <c r="BL2287" i="1"/>
  <c r="BK2287" i="1"/>
  <c r="DG2286" i="1"/>
  <c r="M1918" i="1"/>
  <c r="L1918" i="1"/>
  <c r="DA2286" i="1"/>
  <c r="CY2286" i="1"/>
  <c r="CX2286" i="1"/>
  <c r="J1918" i="1"/>
  <c r="BL2286" i="1"/>
  <c r="BK2286" i="1"/>
  <c r="DG2285" i="1"/>
  <c r="M1919" i="1"/>
  <c r="L1919" i="1"/>
  <c r="DA2285" i="1"/>
  <c r="CY2285" i="1"/>
  <c r="CX2285" i="1"/>
  <c r="J1919" i="1"/>
  <c r="BL2285" i="1"/>
  <c r="BK2285" i="1"/>
  <c r="DG2284" i="1"/>
  <c r="M1920" i="1"/>
  <c r="L1920" i="1"/>
  <c r="DA2284" i="1"/>
  <c r="CY2284" i="1"/>
  <c r="CX2284" i="1"/>
  <c r="J1920" i="1"/>
  <c r="BL2284" i="1"/>
  <c r="BK2284" i="1"/>
  <c r="DG2283" i="1"/>
  <c r="M1921" i="1"/>
  <c r="L1921" i="1"/>
  <c r="DA2283" i="1"/>
  <c r="CY2283" i="1"/>
  <c r="CX2283" i="1"/>
  <c r="J1921" i="1"/>
  <c r="BL2283" i="1"/>
  <c r="BK2283" i="1"/>
  <c r="DG2282" i="1"/>
  <c r="M1922" i="1"/>
  <c r="L1922" i="1"/>
  <c r="DA2282" i="1"/>
  <c r="CY2282" i="1"/>
  <c r="CX2282" i="1"/>
  <c r="J1922" i="1"/>
  <c r="BL2282" i="1"/>
  <c r="BK2282" i="1"/>
  <c r="DG2281" i="1"/>
  <c r="M1923" i="1"/>
  <c r="L1923" i="1"/>
  <c r="DA2281" i="1"/>
  <c r="CY2281" i="1"/>
  <c r="CX2281" i="1"/>
  <c r="J1923" i="1"/>
  <c r="BL2281" i="1"/>
  <c r="BK2281" i="1"/>
  <c r="DG2280" i="1"/>
  <c r="M1924" i="1"/>
  <c r="L1924" i="1"/>
  <c r="DA2280" i="1"/>
  <c r="CY2280" i="1"/>
  <c r="CX2280" i="1"/>
  <c r="J1924" i="1"/>
  <c r="BL2280" i="1"/>
  <c r="BK2280" i="1"/>
  <c r="DG2279" i="1"/>
  <c r="M1925" i="1"/>
  <c r="L1925" i="1"/>
  <c r="DA2279" i="1"/>
  <c r="CY2279" i="1"/>
  <c r="CX2279" i="1"/>
  <c r="J1925" i="1"/>
  <c r="BL2279" i="1"/>
  <c r="BK2279" i="1"/>
  <c r="DG2278" i="1"/>
  <c r="M1926" i="1"/>
  <c r="L1926" i="1"/>
  <c r="DA2278" i="1"/>
  <c r="CY2278" i="1"/>
  <c r="CX2278" i="1"/>
  <c r="J1926" i="1"/>
  <c r="BL2278" i="1"/>
  <c r="BK2278" i="1"/>
  <c r="DG2277" i="1"/>
  <c r="M1927" i="1"/>
  <c r="L1927" i="1"/>
  <c r="DA2277" i="1"/>
  <c r="CY2277" i="1"/>
  <c r="CX2277" i="1"/>
  <c r="J1927" i="1"/>
  <c r="BL2277" i="1"/>
  <c r="BK2277" i="1"/>
  <c r="DG2276" i="1"/>
  <c r="M1928" i="1"/>
  <c r="L1928" i="1"/>
  <c r="DA2276" i="1"/>
  <c r="CY2276" i="1"/>
  <c r="CX2276" i="1"/>
  <c r="J1928" i="1"/>
  <c r="BL2276" i="1"/>
  <c r="BK2276" i="1"/>
  <c r="DG2275" i="1"/>
  <c r="M1930" i="1"/>
  <c r="L1930" i="1"/>
  <c r="DA2275" i="1"/>
  <c r="CY2275" i="1"/>
  <c r="CX2275" i="1"/>
  <c r="J1930" i="1"/>
  <c r="BL2275" i="1"/>
  <c r="BK2275" i="1"/>
  <c r="DG2274" i="1"/>
  <c r="M1931" i="1"/>
  <c r="L1931" i="1"/>
  <c r="DA2274" i="1"/>
  <c r="CY2274" i="1"/>
  <c r="CX2274" i="1"/>
  <c r="J1931" i="1"/>
  <c r="BL2274" i="1"/>
  <c r="BK2274" i="1"/>
  <c r="DG2273" i="1"/>
  <c r="M1932" i="1"/>
  <c r="L1932" i="1"/>
  <c r="DA2273" i="1"/>
  <c r="CY2273" i="1"/>
  <c r="CX2273" i="1"/>
  <c r="J1932" i="1"/>
  <c r="BL2273" i="1"/>
  <c r="BK2273" i="1"/>
  <c r="DG2272" i="1"/>
  <c r="M1933" i="1"/>
  <c r="L1933" i="1"/>
  <c r="DA2272" i="1"/>
  <c r="CY2272" i="1"/>
  <c r="CX2272" i="1"/>
  <c r="J1933" i="1"/>
  <c r="BL2272" i="1"/>
  <c r="BK2272" i="1"/>
  <c r="DG2271" i="1"/>
  <c r="M1934" i="1"/>
  <c r="L1934" i="1"/>
  <c r="DA2271" i="1"/>
  <c r="CY2271" i="1"/>
  <c r="CX2271" i="1"/>
  <c r="J1934" i="1"/>
  <c r="BL2271" i="1"/>
  <c r="BK2271" i="1"/>
  <c r="DG2270" i="1"/>
  <c r="M1935" i="1"/>
  <c r="L1935" i="1"/>
  <c r="DA2270" i="1"/>
  <c r="CY2270" i="1"/>
  <c r="CX2270" i="1"/>
  <c r="J1935" i="1"/>
  <c r="BL2270" i="1"/>
  <c r="BK2270" i="1"/>
  <c r="DG2269" i="1"/>
  <c r="M1936" i="1"/>
  <c r="L1936" i="1"/>
  <c r="DA2269" i="1"/>
  <c r="CY2269" i="1"/>
  <c r="CX2269" i="1"/>
  <c r="J1936" i="1"/>
  <c r="BL2269" i="1"/>
  <c r="BK2269" i="1"/>
  <c r="DG2268" i="1"/>
  <c r="M1938" i="1"/>
  <c r="L1938" i="1"/>
  <c r="DA2268" i="1"/>
  <c r="CY2268" i="1"/>
  <c r="CX2268" i="1"/>
  <c r="J1938" i="1"/>
  <c r="BL2268" i="1"/>
  <c r="BK2268" i="1"/>
  <c r="DG2267" i="1"/>
  <c r="M1939" i="1"/>
  <c r="L1939" i="1"/>
  <c r="DA2267" i="1"/>
  <c r="CY2267" i="1"/>
  <c r="CX2267" i="1"/>
  <c r="J1939" i="1"/>
  <c r="BL2267" i="1"/>
  <c r="BK2267" i="1"/>
  <c r="DG2266" i="1"/>
  <c r="M1940" i="1"/>
  <c r="L1940" i="1"/>
  <c r="DA2266" i="1"/>
  <c r="CY2266" i="1"/>
  <c r="CX2266" i="1"/>
  <c r="J1940" i="1"/>
  <c r="BL2266" i="1"/>
  <c r="BK2266" i="1"/>
  <c r="DG2265" i="1"/>
  <c r="M1941" i="1"/>
  <c r="L1941" i="1"/>
  <c r="DA2265" i="1"/>
  <c r="CY2265" i="1"/>
  <c r="CX2265" i="1"/>
  <c r="J1941" i="1"/>
  <c r="BL2265" i="1"/>
  <c r="BK2265" i="1"/>
  <c r="DG2264" i="1"/>
  <c r="M1942" i="1"/>
  <c r="L1942" i="1"/>
  <c r="DA2264" i="1"/>
  <c r="CY2264" i="1"/>
  <c r="CX2264" i="1"/>
  <c r="J1942" i="1"/>
  <c r="BL2264" i="1"/>
  <c r="BK2264" i="1"/>
  <c r="DG2263" i="1"/>
  <c r="M1943" i="1"/>
  <c r="L1943" i="1"/>
  <c r="DA2263" i="1"/>
  <c r="CY2263" i="1"/>
  <c r="CX2263" i="1"/>
  <c r="J1943" i="1"/>
  <c r="BL2263" i="1"/>
  <c r="BK2263" i="1"/>
  <c r="DG2262" i="1"/>
  <c r="M445" i="1"/>
  <c r="L445" i="1"/>
  <c r="DA2262" i="1"/>
  <c r="CY2262" i="1"/>
  <c r="CX2262" i="1"/>
  <c r="J445" i="1"/>
  <c r="BL2262" i="1"/>
  <c r="BK2262" i="1"/>
  <c r="DG2261" i="1"/>
  <c r="M1945" i="1"/>
  <c r="L1945" i="1"/>
  <c r="DA2261" i="1"/>
  <c r="CY2261" i="1"/>
  <c r="CX2261" i="1"/>
  <c r="J1945" i="1"/>
  <c r="BL2261" i="1"/>
  <c r="BK2261" i="1"/>
  <c r="DG2260" i="1"/>
  <c r="M1946" i="1"/>
  <c r="L1946" i="1"/>
  <c r="DA2260" i="1"/>
  <c r="CY2260" i="1"/>
  <c r="CX2260" i="1"/>
  <c r="J1946" i="1"/>
  <c r="BL2260" i="1"/>
  <c r="BK2260" i="1"/>
  <c r="DG2259" i="1"/>
  <c r="M1947" i="1"/>
  <c r="L1947" i="1"/>
  <c r="DA2259" i="1"/>
  <c r="CY2259" i="1"/>
  <c r="CX2259" i="1"/>
  <c r="J1947" i="1"/>
  <c r="BL2259" i="1"/>
  <c r="BK2259" i="1"/>
  <c r="DG2258" i="1"/>
  <c r="M1948" i="1"/>
  <c r="L1948" i="1"/>
  <c r="DA2258" i="1"/>
  <c r="CY2258" i="1"/>
  <c r="CX2258" i="1"/>
  <c r="J1948" i="1"/>
  <c r="BL2258" i="1"/>
  <c r="BK2258" i="1"/>
  <c r="DG2257" i="1"/>
  <c r="M1949" i="1"/>
  <c r="L1949" i="1"/>
  <c r="DA2257" i="1"/>
  <c r="CY2257" i="1"/>
  <c r="CX2257" i="1"/>
  <c r="J1949" i="1"/>
  <c r="BL2257" i="1"/>
  <c r="BK2257" i="1"/>
  <c r="DG2256" i="1"/>
  <c r="M1950" i="1"/>
  <c r="L1950" i="1"/>
  <c r="DA2256" i="1"/>
  <c r="CY2256" i="1"/>
  <c r="CX2256" i="1"/>
  <c r="J1950" i="1"/>
  <c r="BL2256" i="1"/>
  <c r="BK2256" i="1"/>
  <c r="DG2255" i="1"/>
  <c r="M1951" i="1"/>
  <c r="L1951" i="1"/>
  <c r="DA2255" i="1"/>
  <c r="CY2255" i="1"/>
  <c r="CX2255" i="1"/>
  <c r="J1951" i="1"/>
  <c r="BL2255" i="1"/>
  <c r="BK2255" i="1"/>
  <c r="DG2254" i="1"/>
  <c r="M1952" i="1"/>
  <c r="L1952" i="1"/>
  <c r="DA2254" i="1"/>
  <c r="CY2254" i="1"/>
  <c r="CX2254" i="1"/>
  <c r="J1952" i="1"/>
  <c r="BL2254" i="1"/>
  <c r="BK2254" i="1"/>
  <c r="DG2253" i="1"/>
  <c r="M1953" i="1"/>
  <c r="L1953" i="1"/>
  <c r="DA2253" i="1"/>
  <c r="CY2253" i="1"/>
  <c r="CX2253" i="1"/>
  <c r="J1953" i="1"/>
  <c r="BL2253" i="1"/>
  <c r="BK2253" i="1"/>
  <c r="DG2252" i="1"/>
  <c r="M1954" i="1"/>
  <c r="L1954" i="1"/>
  <c r="DA2252" i="1"/>
  <c r="CY2252" i="1"/>
  <c r="CX2252" i="1"/>
  <c r="J1954" i="1"/>
  <c r="BL2252" i="1"/>
  <c r="BK2252" i="1"/>
  <c r="DG2251" i="1"/>
  <c r="M1955" i="1"/>
  <c r="L1955" i="1"/>
  <c r="DA2251" i="1"/>
  <c r="CY2251" i="1"/>
  <c r="CX2251" i="1"/>
  <c r="J1955" i="1"/>
  <c r="BL2251" i="1"/>
  <c r="BK2251" i="1"/>
  <c r="DG2250" i="1"/>
  <c r="M1956" i="1"/>
  <c r="L1956" i="1"/>
  <c r="DA2250" i="1"/>
  <c r="CY2250" i="1"/>
  <c r="CX2250" i="1"/>
  <c r="J1956" i="1"/>
  <c r="BL2250" i="1"/>
  <c r="BK2250" i="1"/>
  <c r="DG2249" i="1"/>
  <c r="M1957" i="1"/>
  <c r="L1957" i="1"/>
  <c r="DA2249" i="1"/>
  <c r="CY2249" i="1"/>
  <c r="CX2249" i="1"/>
  <c r="J1957" i="1"/>
  <c r="BL2249" i="1"/>
  <c r="BK2249" i="1"/>
  <c r="DG2248" i="1"/>
  <c r="M1958" i="1"/>
  <c r="L1958" i="1"/>
  <c r="DA2248" i="1"/>
  <c r="CY2248" i="1"/>
  <c r="CX2248" i="1"/>
  <c r="J1958" i="1"/>
  <c r="BL2248" i="1"/>
  <c r="BK2248" i="1"/>
  <c r="DG2247" i="1"/>
  <c r="M1959" i="1"/>
  <c r="L1959" i="1"/>
  <c r="DA2247" i="1"/>
  <c r="CY2247" i="1"/>
  <c r="CX2247" i="1"/>
  <c r="J1959" i="1"/>
  <c r="BL2247" i="1"/>
  <c r="BK2247" i="1"/>
  <c r="DG2246" i="1"/>
  <c r="M478" i="1"/>
  <c r="L478" i="1"/>
  <c r="DA2246" i="1"/>
  <c r="CY2246" i="1"/>
  <c r="CX2246" i="1"/>
  <c r="J478" i="1"/>
  <c r="BL2246" i="1"/>
  <c r="BK2246" i="1"/>
  <c r="DG2245" i="1"/>
  <c r="M1961" i="1"/>
  <c r="L1961" i="1"/>
  <c r="DA2245" i="1"/>
  <c r="CY2245" i="1"/>
  <c r="CX2245" i="1"/>
  <c r="J1961" i="1"/>
  <c r="BL2245" i="1"/>
  <c r="BK2245" i="1"/>
  <c r="DG2244" i="1"/>
  <c r="M1962" i="1"/>
  <c r="L1962" i="1"/>
  <c r="DA2244" i="1"/>
  <c r="CY2244" i="1"/>
  <c r="CX2244" i="1"/>
  <c r="J1962" i="1"/>
  <c r="BL2244" i="1"/>
  <c r="BK2244" i="1"/>
  <c r="DG2243" i="1"/>
  <c r="M1963" i="1"/>
  <c r="L1963" i="1"/>
  <c r="DA2243" i="1"/>
  <c r="CY2243" i="1"/>
  <c r="CX2243" i="1"/>
  <c r="J1963" i="1"/>
  <c r="BL2243" i="1"/>
  <c r="BK2243" i="1"/>
  <c r="DG2242" i="1"/>
  <c r="M1964" i="1"/>
  <c r="L1964" i="1"/>
  <c r="DA2242" i="1"/>
  <c r="CY2242" i="1"/>
  <c r="CX2242" i="1"/>
  <c r="J1964" i="1"/>
  <c r="BL2242" i="1"/>
  <c r="BK2242" i="1"/>
  <c r="DG2241" i="1"/>
  <c r="M1965" i="1"/>
  <c r="L1965" i="1"/>
  <c r="DA2241" i="1"/>
  <c r="CY2241" i="1"/>
  <c r="CX2241" i="1"/>
  <c r="J1965" i="1"/>
  <c r="BL2241" i="1"/>
  <c r="BK2241" i="1"/>
  <c r="DG2240" i="1"/>
  <c r="M1966" i="1"/>
  <c r="L1966" i="1"/>
  <c r="DA2240" i="1"/>
  <c r="CY2240" i="1"/>
  <c r="CX2240" i="1"/>
  <c r="J1966" i="1"/>
  <c r="BL2240" i="1"/>
  <c r="BK2240" i="1"/>
  <c r="DG2239" i="1"/>
  <c r="M1967" i="1"/>
  <c r="L1967" i="1"/>
  <c r="DA2239" i="1"/>
  <c r="CY2239" i="1"/>
  <c r="CX2239" i="1"/>
  <c r="J1967" i="1"/>
  <c r="BL2239" i="1"/>
  <c r="BK2239" i="1"/>
  <c r="DG2238" i="1"/>
  <c r="M1968" i="1"/>
  <c r="L1968" i="1"/>
  <c r="DA2238" i="1"/>
  <c r="CY2238" i="1"/>
  <c r="CX2238" i="1"/>
  <c r="J1968" i="1"/>
  <c r="BL2238" i="1"/>
  <c r="BK2238" i="1"/>
  <c r="DG2237" i="1"/>
  <c r="M1969" i="1"/>
  <c r="L1969" i="1"/>
  <c r="DA2237" i="1"/>
  <c r="CY2237" i="1"/>
  <c r="CX2237" i="1"/>
  <c r="J1969" i="1"/>
  <c r="BL2237" i="1"/>
  <c r="BK2237" i="1"/>
  <c r="DG2236" i="1"/>
  <c r="M1970" i="1"/>
  <c r="L1970" i="1"/>
  <c r="DA2236" i="1"/>
  <c r="CY2236" i="1"/>
  <c r="CX2236" i="1"/>
  <c r="J1970" i="1"/>
  <c r="BL2236" i="1"/>
  <c r="BK2236" i="1"/>
  <c r="DG2235" i="1"/>
  <c r="M1971" i="1"/>
  <c r="L1971" i="1"/>
  <c r="DA2235" i="1"/>
  <c r="CY2235" i="1"/>
  <c r="CX2235" i="1"/>
  <c r="J1971" i="1"/>
  <c r="BL2235" i="1"/>
  <c r="BK2235" i="1"/>
  <c r="DG2234" i="1"/>
  <c r="M1972" i="1"/>
  <c r="L1972" i="1"/>
  <c r="DA2234" i="1"/>
  <c r="CY2234" i="1"/>
  <c r="CX2234" i="1"/>
  <c r="J1972" i="1"/>
  <c r="BL2234" i="1"/>
  <c r="BK2234" i="1"/>
  <c r="DG2233" i="1"/>
  <c r="M1973" i="1"/>
  <c r="L1973" i="1"/>
  <c r="DA2233" i="1"/>
  <c r="CY2233" i="1"/>
  <c r="CX2233" i="1"/>
  <c r="J1973" i="1"/>
  <c r="BL2233" i="1"/>
  <c r="BK2233" i="1"/>
  <c r="DG2232" i="1"/>
  <c r="M1974" i="1"/>
  <c r="L1974" i="1"/>
  <c r="DA2232" i="1"/>
  <c r="CY2232" i="1"/>
  <c r="CX2232" i="1"/>
  <c r="J1974" i="1"/>
  <c r="BL2232" i="1"/>
  <c r="BK2232" i="1"/>
  <c r="DG2231" i="1"/>
  <c r="M1975" i="1"/>
  <c r="L1975" i="1"/>
  <c r="DA2231" i="1"/>
  <c r="CY2231" i="1"/>
  <c r="CX2231" i="1"/>
  <c r="J1975" i="1"/>
  <c r="BL2231" i="1"/>
  <c r="BK2231" i="1"/>
  <c r="DG2230" i="1"/>
  <c r="M532" i="1"/>
  <c r="L532" i="1"/>
  <c r="DA2230" i="1"/>
  <c r="CY2230" i="1"/>
  <c r="CX2230" i="1"/>
  <c r="J532" i="1"/>
  <c r="BL2230" i="1"/>
  <c r="BK2230" i="1"/>
  <c r="DG2229" i="1"/>
  <c r="M1977" i="1"/>
  <c r="L1977" i="1"/>
  <c r="DA2229" i="1"/>
  <c r="CY2229" i="1"/>
  <c r="CX2229" i="1"/>
  <c r="J1977" i="1"/>
  <c r="BL2229" i="1"/>
  <c r="BK2229" i="1"/>
  <c r="DG2228" i="1"/>
  <c r="M1978" i="1"/>
  <c r="L1978" i="1"/>
  <c r="DA2228" i="1"/>
  <c r="CY2228" i="1"/>
  <c r="CX2228" i="1"/>
  <c r="J1978" i="1"/>
  <c r="BL2228" i="1"/>
  <c r="BK2228" i="1"/>
  <c r="DG2227" i="1"/>
  <c r="M1979" i="1"/>
  <c r="L1979" i="1"/>
  <c r="DA2227" i="1"/>
  <c r="CY2227" i="1"/>
  <c r="CX2227" i="1"/>
  <c r="J1979" i="1"/>
  <c r="BL2227" i="1"/>
  <c r="BK2227" i="1"/>
  <c r="DG2226" i="1"/>
  <c r="M1980" i="1"/>
  <c r="L1980" i="1"/>
  <c r="DA2226" i="1"/>
  <c r="CY2226" i="1"/>
  <c r="CX2226" i="1"/>
  <c r="J1980" i="1"/>
  <c r="BL2226" i="1"/>
  <c r="BK2226" i="1"/>
  <c r="DG2225" i="1"/>
  <c r="M1981" i="1"/>
  <c r="L1981" i="1"/>
  <c r="DA2225" i="1"/>
  <c r="CY2225" i="1"/>
  <c r="CX2225" i="1"/>
  <c r="J1981" i="1"/>
  <c r="BL2225" i="1"/>
  <c r="BK2225" i="1"/>
  <c r="DG2224" i="1"/>
  <c r="M1982" i="1"/>
  <c r="L1982" i="1"/>
  <c r="DA2224" i="1"/>
  <c r="CY2224" i="1"/>
  <c r="CX2224" i="1"/>
  <c r="J1982" i="1"/>
  <c r="BL2224" i="1"/>
  <c r="BK2224" i="1"/>
  <c r="DG2223" i="1"/>
  <c r="M1983" i="1"/>
  <c r="L1983" i="1"/>
  <c r="DA2223" i="1"/>
  <c r="CY2223" i="1"/>
  <c r="CX2223" i="1"/>
  <c r="J1983" i="1"/>
  <c r="BL2223" i="1"/>
  <c r="BK2223" i="1"/>
  <c r="DG2222" i="1"/>
  <c r="M1984" i="1"/>
  <c r="L1984" i="1"/>
  <c r="DA2222" i="1"/>
  <c r="CY2222" i="1"/>
  <c r="CX2222" i="1"/>
  <c r="J1984" i="1"/>
  <c r="BL2222" i="1"/>
  <c r="BK2222" i="1"/>
  <c r="DG2221" i="1"/>
  <c r="M1985" i="1"/>
  <c r="L1985" i="1"/>
  <c r="DA2221" i="1"/>
  <c r="CY2221" i="1"/>
  <c r="CX2221" i="1"/>
  <c r="J1985" i="1"/>
  <c r="BL2221" i="1"/>
  <c r="BK2221" i="1"/>
  <c r="DG2220" i="1"/>
  <c r="M1986" i="1"/>
  <c r="L1986" i="1"/>
  <c r="DA2220" i="1"/>
  <c r="CY2220" i="1"/>
  <c r="CX2220" i="1"/>
  <c r="J1986" i="1"/>
  <c r="BL2220" i="1"/>
  <c r="BK2220" i="1"/>
  <c r="DG2219" i="1"/>
  <c r="M1987" i="1"/>
  <c r="L1987" i="1"/>
  <c r="DA2219" i="1"/>
  <c r="CY2219" i="1"/>
  <c r="CX2219" i="1"/>
  <c r="J1987" i="1"/>
  <c r="BL2219" i="1"/>
  <c r="BK2219" i="1"/>
  <c r="DG2218" i="1"/>
  <c r="M1988" i="1"/>
  <c r="L1988" i="1"/>
  <c r="DA2218" i="1"/>
  <c r="CY2218" i="1"/>
  <c r="CX2218" i="1"/>
  <c r="J1988" i="1"/>
  <c r="BL2218" i="1"/>
  <c r="BK2218" i="1"/>
  <c r="DG2217" i="1"/>
  <c r="M1990" i="1"/>
  <c r="L1990" i="1"/>
  <c r="DA2217" i="1"/>
  <c r="CY2217" i="1"/>
  <c r="CX2217" i="1"/>
  <c r="J1990" i="1"/>
  <c r="BL2217" i="1"/>
  <c r="BK2217" i="1"/>
  <c r="DG2216" i="1"/>
  <c r="M1991" i="1"/>
  <c r="L1991" i="1"/>
  <c r="DA2216" i="1"/>
  <c r="CY2216" i="1"/>
  <c r="CX2216" i="1"/>
  <c r="J1991" i="1"/>
  <c r="BL2216" i="1"/>
  <c r="BK2216" i="1"/>
  <c r="DG2215" i="1"/>
  <c r="M1992" i="1"/>
  <c r="L1992" i="1"/>
  <c r="DA2215" i="1"/>
  <c r="CY2215" i="1"/>
  <c r="CX2215" i="1"/>
  <c r="J1992" i="1"/>
  <c r="BL2215" i="1"/>
  <c r="BK2215" i="1"/>
  <c r="DG2214" i="1"/>
  <c r="M1993" i="1"/>
  <c r="L1993" i="1"/>
  <c r="DA2214" i="1"/>
  <c r="CY2214" i="1"/>
  <c r="CX2214" i="1"/>
  <c r="J1993" i="1"/>
  <c r="BL2214" i="1"/>
  <c r="BK2214" i="1"/>
  <c r="DG2213" i="1"/>
  <c r="M1994" i="1"/>
  <c r="L1994" i="1"/>
  <c r="DA2213" i="1"/>
  <c r="CY2213" i="1"/>
  <c r="CX2213" i="1"/>
  <c r="J1994" i="1"/>
  <c r="BL2213" i="1"/>
  <c r="BK2213" i="1"/>
  <c r="DG2212" i="1"/>
  <c r="M1995" i="1"/>
  <c r="L1995" i="1"/>
  <c r="DA2212" i="1"/>
  <c r="CY2212" i="1"/>
  <c r="CX2212" i="1"/>
  <c r="J1995" i="1"/>
  <c r="BL2212" i="1"/>
  <c r="BK2212" i="1"/>
  <c r="DG2211" i="1"/>
  <c r="M1996" i="1"/>
  <c r="L1996" i="1"/>
  <c r="DA2211" i="1"/>
  <c r="CY2211" i="1"/>
  <c r="CX2211" i="1"/>
  <c r="J1996" i="1"/>
  <c r="BL2211" i="1"/>
  <c r="BK2211" i="1"/>
  <c r="DG2210" i="1"/>
  <c r="M1997" i="1"/>
  <c r="L1997" i="1"/>
  <c r="DA2210" i="1"/>
  <c r="CY2210" i="1"/>
  <c r="CX2210" i="1"/>
  <c r="J1997" i="1"/>
  <c r="BL2210" i="1"/>
  <c r="BK2210" i="1"/>
  <c r="DG2209" i="1"/>
  <c r="M1998" i="1"/>
  <c r="L1998" i="1"/>
  <c r="DA2209" i="1"/>
  <c r="CY2209" i="1"/>
  <c r="CX2209" i="1"/>
  <c r="J1998" i="1"/>
  <c r="BL2209" i="1"/>
  <c r="BK2209" i="1"/>
  <c r="DG2208" i="1"/>
  <c r="M1999" i="1"/>
  <c r="L1999" i="1"/>
  <c r="DA2208" i="1"/>
  <c r="CY2208" i="1"/>
  <c r="CX2208" i="1"/>
  <c r="J1999" i="1"/>
  <c r="BL2208" i="1"/>
  <c r="BK2208" i="1"/>
  <c r="DG2207" i="1"/>
  <c r="M2000" i="1"/>
  <c r="L2000" i="1"/>
  <c r="DA2207" i="1"/>
  <c r="CY2207" i="1"/>
  <c r="CX2207" i="1"/>
  <c r="J2000" i="1"/>
  <c r="BL2207" i="1"/>
  <c r="BK2207" i="1"/>
  <c r="DG2206" i="1"/>
  <c r="M2001" i="1"/>
  <c r="L2001" i="1"/>
  <c r="DA2206" i="1"/>
  <c r="CY2206" i="1"/>
  <c r="CX2206" i="1"/>
  <c r="J2001" i="1"/>
  <c r="BL2206" i="1"/>
  <c r="BK2206" i="1"/>
  <c r="DG2205" i="1"/>
  <c r="M2002" i="1"/>
  <c r="L2002" i="1"/>
  <c r="DA2205" i="1"/>
  <c r="CY2205" i="1"/>
  <c r="CX2205" i="1"/>
  <c r="J2002" i="1"/>
  <c r="BL2205" i="1"/>
  <c r="BK2205" i="1"/>
  <c r="DG2204" i="1"/>
  <c r="M2003" i="1"/>
  <c r="L2003" i="1"/>
  <c r="DA2204" i="1"/>
  <c r="CY2204" i="1"/>
  <c r="CX2204" i="1"/>
  <c r="J2003" i="1"/>
  <c r="BL2204" i="1"/>
  <c r="BK2204" i="1"/>
  <c r="DG2203" i="1"/>
  <c r="M2004" i="1"/>
  <c r="L2004" i="1"/>
  <c r="DA2203" i="1"/>
  <c r="CY2203" i="1"/>
  <c r="CX2203" i="1"/>
  <c r="J2004" i="1"/>
  <c r="BL2203" i="1"/>
  <c r="BK2203" i="1"/>
  <c r="DG2202" i="1"/>
  <c r="M2005" i="1"/>
  <c r="L2005" i="1"/>
  <c r="DA2202" i="1"/>
  <c r="CY2202" i="1"/>
  <c r="CX2202" i="1"/>
  <c r="J2005" i="1"/>
  <c r="BL2202" i="1"/>
  <c r="BK2202" i="1"/>
  <c r="DG2201" i="1"/>
  <c r="M2006" i="1"/>
  <c r="L2006" i="1"/>
  <c r="DA2201" i="1"/>
  <c r="CY2201" i="1"/>
  <c r="CX2201" i="1"/>
  <c r="J2006" i="1"/>
  <c r="BL2201" i="1"/>
  <c r="BK2201" i="1"/>
  <c r="DG2200" i="1"/>
  <c r="M2007" i="1"/>
  <c r="L2007" i="1"/>
  <c r="DA2200" i="1"/>
  <c r="CY2200" i="1"/>
  <c r="CX2200" i="1"/>
  <c r="J2007" i="1"/>
  <c r="BL2200" i="1"/>
  <c r="BK2200" i="1"/>
  <c r="DG2199" i="1"/>
  <c r="M2008" i="1"/>
  <c r="L2008" i="1"/>
  <c r="DA2199" i="1"/>
  <c r="CY2199" i="1"/>
  <c r="CX2199" i="1"/>
  <c r="J2008" i="1"/>
  <c r="BL2199" i="1"/>
  <c r="BK2199" i="1"/>
  <c r="DG2198" i="1"/>
  <c r="M596" i="1"/>
  <c r="L596" i="1"/>
  <c r="DA2198" i="1"/>
  <c r="CY2198" i="1"/>
  <c r="CX2198" i="1"/>
  <c r="J596" i="1"/>
  <c r="BL2198" i="1"/>
  <c r="BK2198" i="1"/>
  <c r="DG2197" i="1"/>
  <c r="M2010" i="1"/>
  <c r="L2010" i="1"/>
  <c r="DA2197" i="1"/>
  <c r="CY2197" i="1"/>
  <c r="CX2197" i="1"/>
  <c r="J2010" i="1"/>
  <c r="BL2197" i="1"/>
  <c r="BK2197" i="1"/>
  <c r="DG2196" i="1"/>
  <c r="M2011" i="1"/>
  <c r="L2011" i="1"/>
  <c r="DA2196" i="1"/>
  <c r="CY2196" i="1"/>
  <c r="CX2196" i="1"/>
  <c r="J2011" i="1"/>
  <c r="BL2196" i="1"/>
  <c r="BK2196" i="1"/>
  <c r="DG2195" i="1"/>
  <c r="M2012" i="1"/>
  <c r="L2012" i="1"/>
  <c r="DA2195" i="1"/>
  <c r="CY2195" i="1"/>
  <c r="CX2195" i="1"/>
  <c r="J2012" i="1"/>
  <c r="BL2195" i="1"/>
  <c r="BK2195" i="1"/>
  <c r="DG2194" i="1"/>
  <c r="M2013" i="1"/>
  <c r="L2013" i="1"/>
  <c r="DA2194" i="1"/>
  <c r="CY2194" i="1"/>
  <c r="CX2194" i="1"/>
  <c r="J2013" i="1"/>
  <c r="BL2194" i="1"/>
  <c r="BK2194" i="1"/>
  <c r="DG2193" i="1"/>
  <c r="M2014" i="1"/>
  <c r="L2014" i="1"/>
  <c r="DA2193" i="1"/>
  <c r="CY2193" i="1"/>
  <c r="CX2193" i="1"/>
  <c r="J2014" i="1"/>
  <c r="BL2193" i="1"/>
  <c r="BK2193" i="1"/>
  <c r="DG2192" i="1"/>
  <c r="M2015" i="1"/>
  <c r="L2015" i="1"/>
  <c r="DA2192" i="1"/>
  <c r="CY2192" i="1"/>
  <c r="CX2192" i="1"/>
  <c r="J2015" i="1"/>
  <c r="BL2192" i="1"/>
  <c r="BK2192" i="1"/>
  <c r="DG2191" i="1"/>
  <c r="M2016" i="1"/>
  <c r="L2016" i="1"/>
  <c r="DA2191" i="1"/>
  <c r="CY2191" i="1"/>
  <c r="CX2191" i="1"/>
  <c r="J2016" i="1"/>
  <c r="BL2191" i="1"/>
  <c r="BK2191" i="1"/>
  <c r="DG2190" i="1"/>
  <c r="M612" i="1"/>
  <c r="L612" i="1"/>
  <c r="DA2190" i="1"/>
  <c r="CY2190" i="1"/>
  <c r="CX2190" i="1"/>
  <c r="J612" i="1"/>
  <c r="BL2190" i="1"/>
  <c r="BK2190" i="1"/>
  <c r="DG2189" i="1"/>
  <c r="M2018" i="1"/>
  <c r="L2018" i="1"/>
  <c r="DA2189" i="1"/>
  <c r="CY2189" i="1"/>
  <c r="CX2189" i="1"/>
  <c r="J2018" i="1"/>
  <c r="BL2189" i="1"/>
  <c r="BK2189" i="1"/>
  <c r="DG2188" i="1"/>
  <c r="M2019" i="1"/>
  <c r="L2019" i="1"/>
  <c r="DA2188" i="1"/>
  <c r="CY2188" i="1"/>
  <c r="CX2188" i="1"/>
  <c r="J2019" i="1"/>
  <c r="BL2188" i="1"/>
  <c r="BK2188" i="1"/>
  <c r="DG2187" i="1"/>
  <c r="M2020" i="1"/>
  <c r="L2020" i="1"/>
  <c r="DA2187" i="1"/>
  <c r="CY2187" i="1"/>
  <c r="CX2187" i="1"/>
  <c r="J2020" i="1"/>
  <c r="BL2187" i="1"/>
  <c r="BK2187" i="1"/>
  <c r="DG2186" i="1"/>
  <c r="M2021" i="1"/>
  <c r="L2021" i="1"/>
  <c r="DA2186" i="1"/>
  <c r="CY2186" i="1"/>
  <c r="CX2186" i="1"/>
  <c r="J2021" i="1"/>
  <c r="BL2186" i="1"/>
  <c r="BK2186" i="1"/>
  <c r="DG2185" i="1"/>
  <c r="M2022" i="1"/>
  <c r="L2022" i="1"/>
  <c r="DA2185" i="1"/>
  <c r="CY2185" i="1"/>
  <c r="CX2185" i="1"/>
  <c r="J2022" i="1"/>
  <c r="BL2185" i="1"/>
  <c r="BK2185" i="1"/>
  <c r="DG2184" i="1"/>
  <c r="M2023" i="1"/>
  <c r="L2023" i="1"/>
  <c r="DA2184" i="1"/>
  <c r="CY2184" i="1"/>
  <c r="CX2184" i="1"/>
  <c r="J2023" i="1"/>
  <c r="BL2184" i="1"/>
  <c r="BK2184" i="1"/>
  <c r="DG2183" i="1"/>
  <c r="M2024" i="1"/>
  <c r="L2024" i="1"/>
  <c r="DA2183" i="1"/>
  <c r="CY2183" i="1"/>
  <c r="CX2183" i="1"/>
  <c r="J2024" i="1"/>
  <c r="BL2183" i="1"/>
  <c r="BK2183" i="1"/>
  <c r="DG2182" i="1"/>
  <c r="M628" i="1"/>
  <c r="L628" i="1"/>
  <c r="DA2182" i="1"/>
  <c r="CY2182" i="1"/>
  <c r="CX2182" i="1"/>
  <c r="J628" i="1"/>
  <c r="BL2182" i="1"/>
  <c r="BK2182" i="1"/>
  <c r="DG2181" i="1"/>
  <c r="M2026" i="1"/>
  <c r="L2026" i="1"/>
  <c r="DA2181" i="1"/>
  <c r="CY2181" i="1"/>
  <c r="CX2181" i="1"/>
  <c r="J2026" i="1"/>
  <c r="BL2181" i="1"/>
  <c r="BK2181" i="1"/>
  <c r="DG2180" i="1"/>
  <c r="M2027" i="1"/>
  <c r="L2027" i="1"/>
  <c r="DA2180" i="1"/>
  <c r="CY2180" i="1"/>
  <c r="CX2180" i="1"/>
  <c r="J2027" i="1"/>
  <c r="BL2180" i="1"/>
  <c r="BK2180" i="1"/>
  <c r="DG2179" i="1"/>
  <c r="M2028" i="1"/>
  <c r="L2028" i="1"/>
  <c r="DA2179" i="1"/>
  <c r="CY2179" i="1"/>
  <c r="CX2179" i="1"/>
  <c r="J2028" i="1"/>
  <c r="BL2179" i="1"/>
  <c r="BK2179" i="1"/>
  <c r="DG2178" i="1"/>
  <c r="M2029" i="1"/>
  <c r="L2029" i="1"/>
  <c r="DA2178" i="1"/>
  <c r="CY2178" i="1"/>
  <c r="CX2178" i="1"/>
  <c r="J2029" i="1"/>
  <c r="BL2178" i="1"/>
  <c r="BK2178" i="1"/>
  <c r="DG2177" i="1"/>
  <c r="M2030" i="1"/>
  <c r="L2030" i="1"/>
  <c r="DA2177" i="1"/>
  <c r="CY2177" i="1"/>
  <c r="CX2177" i="1"/>
  <c r="J2030" i="1"/>
  <c r="BL2177" i="1"/>
  <c r="BK2177" i="1"/>
  <c r="DG2176" i="1"/>
  <c r="M2031" i="1"/>
  <c r="L2031" i="1"/>
  <c r="DA2176" i="1"/>
  <c r="CY2176" i="1"/>
  <c r="CX2176" i="1"/>
  <c r="J2031" i="1"/>
  <c r="BL2176" i="1"/>
  <c r="BK2176" i="1"/>
  <c r="DG2175" i="1"/>
  <c r="M2032" i="1"/>
  <c r="L2032" i="1"/>
  <c r="DA2175" i="1"/>
  <c r="CY2175" i="1"/>
  <c r="CX2175" i="1"/>
  <c r="J2032" i="1"/>
  <c r="BL2175" i="1"/>
  <c r="BK2175" i="1"/>
  <c r="DG2174" i="1"/>
  <c r="M2033" i="1"/>
  <c r="L2033" i="1"/>
  <c r="DA2174" i="1"/>
  <c r="CY2174" i="1"/>
  <c r="CX2174" i="1"/>
  <c r="J2033" i="1"/>
  <c r="BL2174" i="1"/>
  <c r="BK2174" i="1"/>
  <c r="DG2173" i="1"/>
  <c r="M2034" i="1"/>
  <c r="L2034" i="1"/>
  <c r="DA2173" i="1"/>
  <c r="CY2173" i="1"/>
  <c r="CX2173" i="1"/>
  <c r="J2034" i="1"/>
  <c r="BL2173" i="1"/>
  <c r="BK2173" i="1"/>
  <c r="DG2172" i="1"/>
  <c r="M2035" i="1"/>
  <c r="L2035" i="1"/>
  <c r="DA2172" i="1"/>
  <c r="CY2172" i="1"/>
  <c r="CX2172" i="1"/>
  <c r="J2035" i="1"/>
  <c r="BL2172" i="1"/>
  <c r="BK2172" i="1"/>
  <c r="DG2171" i="1"/>
  <c r="M2036" i="1"/>
  <c r="L2036" i="1"/>
  <c r="DA2171" i="1"/>
  <c r="CY2171" i="1"/>
  <c r="CX2171" i="1"/>
  <c r="J2036" i="1"/>
  <c r="BL2171" i="1"/>
  <c r="BK2171" i="1"/>
  <c r="DG2170" i="1"/>
  <c r="M2037" i="1"/>
  <c r="L2037" i="1"/>
  <c r="DA2170" i="1"/>
  <c r="CY2170" i="1"/>
  <c r="CX2170" i="1"/>
  <c r="J2037" i="1"/>
  <c r="BL2170" i="1"/>
  <c r="BK2170" i="1"/>
  <c r="DG2169" i="1"/>
  <c r="M2038" i="1"/>
  <c r="L2038" i="1"/>
  <c r="DA2169" i="1"/>
  <c r="CY2169" i="1"/>
  <c r="CX2169" i="1"/>
  <c r="J2038" i="1"/>
  <c r="BL2169" i="1"/>
  <c r="BK2169" i="1"/>
  <c r="DG2168" i="1"/>
  <c r="M2039" i="1"/>
  <c r="L2039" i="1"/>
  <c r="DA2168" i="1"/>
  <c r="CY2168" i="1"/>
  <c r="CX2168" i="1"/>
  <c r="J2039" i="1"/>
  <c r="BL2168" i="1"/>
  <c r="BK2168" i="1"/>
  <c r="DG2167" i="1"/>
  <c r="M2040" i="1"/>
  <c r="L2040" i="1"/>
  <c r="DA2167" i="1"/>
  <c r="CY2167" i="1"/>
  <c r="CX2167" i="1"/>
  <c r="J2040" i="1"/>
  <c r="BL2167" i="1"/>
  <c r="BK2167" i="1"/>
  <c r="DG2166" i="1"/>
  <c r="M690" i="1"/>
  <c r="L690" i="1"/>
  <c r="DA2166" i="1"/>
  <c r="CY2166" i="1"/>
  <c r="CX2166" i="1"/>
  <c r="J690" i="1"/>
  <c r="BL2166" i="1"/>
  <c r="BK2166" i="1"/>
  <c r="DG2165" i="1"/>
  <c r="M2042" i="1"/>
  <c r="L2042" i="1"/>
  <c r="DA2165" i="1"/>
  <c r="CY2165" i="1"/>
  <c r="CX2165" i="1"/>
  <c r="J2042" i="1"/>
  <c r="BL2165" i="1"/>
  <c r="BK2165" i="1"/>
  <c r="DG2164" i="1"/>
  <c r="M2043" i="1"/>
  <c r="L2043" i="1"/>
  <c r="DA2164" i="1"/>
  <c r="CY2164" i="1"/>
  <c r="CX2164" i="1"/>
  <c r="J2043" i="1"/>
  <c r="BL2164" i="1"/>
  <c r="BK2164" i="1"/>
  <c r="DG2163" i="1"/>
  <c r="M2044" i="1"/>
  <c r="L2044" i="1"/>
  <c r="DA2163" i="1"/>
  <c r="CY2163" i="1"/>
  <c r="CX2163" i="1"/>
  <c r="J2044" i="1"/>
  <c r="BL2163" i="1"/>
  <c r="BK2163" i="1"/>
  <c r="DG2162" i="1"/>
  <c r="M698" i="1"/>
  <c r="L698" i="1"/>
  <c r="DA2162" i="1"/>
  <c r="CY2162" i="1"/>
  <c r="CX2162" i="1"/>
  <c r="J698" i="1"/>
  <c r="BL2162" i="1"/>
  <c r="BK2162" i="1"/>
  <c r="DG2161" i="1"/>
  <c r="M2046" i="1"/>
  <c r="L2046" i="1"/>
  <c r="DA2161" i="1"/>
  <c r="CY2161" i="1"/>
  <c r="CX2161" i="1"/>
  <c r="J2046" i="1"/>
  <c r="BL2161" i="1"/>
  <c r="BK2161" i="1"/>
  <c r="DG2160" i="1"/>
  <c r="M2047" i="1"/>
  <c r="L2047" i="1"/>
  <c r="DA2160" i="1"/>
  <c r="CY2160" i="1"/>
  <c r="CX2160" i="1"/>
  <c r="J2047" i="1"/>
  <c r="BL2160" i="1"/>
  <c r="BK2160" i="1"/>
  <c r="DG2159" i="1"/>
  <c r="M2048" i="1"/>
  <c r="L2048" i="1"/>
  <c r="DA2159" i="1"/>
  <c r="CY2159" i="1"/>
  <c r="CX2159" i="1"/>
  <c r="J2048" i="1"/>
  <c r="BL2159" i="1"/>
  <c r="BK2159" i="1"/>
  <c r="DG2158" i="1"/>
  <c r="M706" i="1"/>
  <c r="L706" i="1"/>
  <c r="DA2158" i="1"/>
  <c r="CY2158" i="1"/>
  <c r="CX2158" i="1"/>
  <c r="J706" i="1"/>
  <c r="BL2158" i="1"/>
  <c r="BK2158" i="1"/>
  <c r="DG2157" i="1"/>
  <c r="M2050" i="1"/>
  <c r="L2050" i="1"/>
  <c r="DA2157" i="1"/>
  <c r="CY2157" i="1"/>
  <c r="CX2157" i="1"/>
  <c r="J2050" i="1"/>
  <c r="BL2157" i="1"/>
  <c r="BK2157" i="1"/>
  <c r="DG2156" i="1"/>
  <c r="M2051" i="1"/>
  <c r="L2051" i="1"/>
  <c r="DA2156" i="1"/>
  <c r="CY2156" i="1"/>
  <c r="CX2156" i="1"/>
  <c r="J2051" i="1"/>
  <c r="BL2156" i="1"/>
  <c r="BK2156" i="1"/>
  <c r="DG2155" i="1"/>
  <c r="M2052" i="1"/>
  <c r="L2052" i="1"/>
  <c r="DA2155" i="1"/>
  <c r="CY2155" i="1"/>
  <c r="CX2155" i="1"/>
  <c r="J2052" i="1"/>
  <c r="BL2155" i="1"/>
  <c r="BK2155" i="1"/>
  <c r="DG2154" i="1"/>
  <c r="M2053" i="1"/>
  <c r="L2053" i="1"/>
  <c r="DA2154" i="1"/>
  <c r="CY2154" i="1"/>
  <c r="CX2154" i="1"/>
  <c r="J2053" i="1"/>
  <c r="BL2154" i="1"/>
  <c r="BK2154" i="1"/>
  <c r="DG2153" i="1"/>
  <c r="M2054" i="1"/>
  <c r="L2054" i="1"/>
  <c r="DA2153" i="1"/>
  <c r="CY2153" i="1"/>
  <c r="CX2153" i="1"/>
  <c r="J2054" i="1"/>
  <c r="BL2153" i="1"/>
  <c r="BK2153" i="1"/>
  <c r="DG2152" i="1"/>
  <c r="M2055" i="1"/>
  <c r="L2055" i="1"/>
  <c r="DA2152" i="1"/>
  <c r="CY2152" i="1"/>
  <c r="CX2152" i="1"/>
  <c r="J2055" i="1"/>
  <c r="BL2152" i="1"/>
  <c r="BK2152" i="1"/>
  <c r="DG2151" i="1"/>
  <c r="M2056" i="1"/>
  <c r="L2056" i="1"/>
  <c r="DA2151" i="1"/>
  <c r="CY2151" i="1"/>
  <c r="CX2151" i="1"/>
  <c r="J2056" i="1"/>
  <c r="BL2151" i="1"/>
  <c r="BK2151" i="1"/>
  <c r="DG2150" i="1"/>
  <c r="M722" i="1"/>
  <c r="L722" i="1"/>
  <c r="DA2150" i="1"/>
  <c r="CY2150" i="1"/>
  <c r="CX2150" i="1"/>
  <c r="J722" i="1"/>
  <c r="BL2150" i="1"/>
  <c r="BK2150" i="1"/>
  <c r="DG2149" i="1"/>
  <c r="M2058" i="1"/>
  <c r="L2058" i="1"/>
  <c r="DA2149" i="1"/>
  <c r="CY2149" i="1"/>
  <c r="CX2149" i="1"/>
  <c r="J2058" i="1"/>
  <c r="BL2149" i="1"/>
  <c r="BK2149" i="1"/>
  <c r="DG2148" i="1"/>
  <c r="M2059" i="1"/>
  <c r="L2059" i="1"/>
  <c r="DA2148" i="1"/>
  <c r="CY2148" i="1"/>
  <c r="CX2148" i="1"/>
  <c r="J2059" i="1"/>
  <c r="BL2148" i="1"/>
  <c r="BK2148" i="1"/>
  <c r="DG2147" i="1"/>
  <c r="M2060" i="1"/>
  <c r="L2060" i="1"/>
  <c r="DA2147" i="1"/>
  <c r="CY2147" i="1"/>
  <c r="CX2147" i="1"/>
  <c r="J2060" i="1"/>
  <c r="BL2147" i="1"/>
  <c r="BK2147" i="1"/>
  <c r="DG2146" i="1"/>
  <c r="M2061" i="1"/>
  <c r="L2061" i="1"/>
  <c r="DA2146" i="1"/>
  <c r="CY2146" i="1"/>
  <c r="CX2146" i="1"/>
  <c r="J2061" i="1"/>
  <c r="BL2146" i="1"/>
  <c r="BK2146" i="1"/>
  <c r="DG2145" i="1"/>
  <c r="M2062" i="1"/>
  <c r="L2062" i="1"/>
  <c r="DA2145" i="1"/>
  <c r="CY2145" i="1"/>
  <c r="CX2145" i="1"/>
  <c r="J2062" i="1"/>
  <c r="BL2145" i="1"/>
  <c r="BK2145" i="1"/>
  <c r="DG2144" i="1"/>
  <c r="M2063" i="1"/>
  <c r="L2063" i="1"/>
  <c r="DA2144" i="1"/>
  <c r="CY2144" i="1"/>
  <c r="CX2144" i="1"/>
  <c r="J2063" i="1"/>
  <c r="BL2144" i="1"/>
  <c r="BK2144" i="1"/>
  <c r="DG2143" i="1"/>
  <c r="M2064" i="1"/>
  <c r="L2064" i="1"/>
  <c r="DA2143" i="1"/>
  <c r="CY2143" i="1"/>
  <c r="CX2143" i="1"/>
  <c r="J2064" i="1"/>
  <c r="BL2143" i="1"/>
  <c r="BK2143" i="1"/>
  <c r="DG2142" i="1"/>
  <c r="M749" i="1"/>
  <c r="L749" i="1"/>
  <c r="DA2142" i="1"/>
  <c r="CY2142" i="1"/>
  <c r="CX2142" i="1"/>
  <c r="J749" i="1"/>
  <c r="BL2142" i="1"/>
  <c r="BK2142" i="1"/>
  <c r="DG2141" i="1"/>
  <c r="M2066" i="1"/>
  <c r="L2066" i="1"/>
  <c r="DA2141" i="1"/>
  <c r="CY2141" i="1"/>
  <c r="CX2141" i="1"/>
  <c r="J2066" i="1"/>
  <c r="BL2141" i="1"/>
  <c r="BK2141" i="1"/>
  <c r="DG2140" i="1"/>
  <c r="M2067" i="1"/>
  <c r="L2067" i="1"/>
  <c r="DA2140" i="1"/>
  <c r="CY2140" i="1"/>
  <c r="CX2140" i="1"/>
  <c r="J2067" i="1"/>
  <c r="BL2140" i="1"/>
  <c r="BK2140" i="1"/>
  <c r="DG2139" i="1"/>
  <c r="M2068" i="1"/>
  <c r="L2068" i="1"/>
  <c r="DA2139" i="1"/>
  <c r="CY2139" i="1"/>
  <c r="CX2139" i="1"/>
  <c r="J2068" i="1"/>
  <c r="BL2139" i="1"/>
  <c r="BK2139" i="1"/>
  <c r="DG2138" i="1"/>
  <c r="M2069" i="1"/>
  <c r="L2069" i="1"/>
  <c r="DA2138" i="1"/>
  <c r="CY2138" i="1"/>
  <c r="CX2138" i="1"/>
  <c r="J2069" i="1"/>
  <c r="BL2138" i="1"/>
  <c r="BK2138" i="1"/>
  <c r="DG2137" i="1"/>
  <c r="M2070" i="1"/>
  <c r="L2070" i="1"/>
  <c r="DA2137" i="1"/>
  <c r="CY2137" i="1"/>
  <c r="CX2137" i="1"/>
  <c r="J2070" i="1"/>
  <c r="BL2137" i="1"/>
  <c r="BK2137" i="1"/>
  <c r="DG2136" i="1"/>
  <c r="M2071" i="1"/>
  <c r="L2071" i="1"/>
  <c r="DA2136" i="1"/>
  <c r="CY2136" i="1"/>
  <c r="CX2136" i="1"/>
  <c r="J2071" i="1"/>
  <c r="BL2136" i="1"/>
  <c r="BK2136" i="1"/>
  <c r="DG2135" i="1"/>
  <c r="M2072" i="1"/>
  <c r="L2072" i="1"/>
  <c r="DA2135" i="1"/>
  <c r="CY2135" i="1"/>
  <c r="CX2135" i="1"/>
  <c r="J2072" i="1"/>
  <c r="BL2135" i="1"/>
  <c r="BK2135" i="1"/>
  <c r="DG2134" i="1"/>
  <c r="M765" i="1"/>
  <c r="L765" i="1"/>
  <c r="DA2134" i="1"/>
  <c r="CY2134" i="1"/>
  <c r="CX2134" i="1"/>
  <c r="J765" i="1"/>
  <c r="BL2134" i="1"/>
  <c r="BK2134" i="1"/>
  <c r="DG2133" i="1"/>
  <c r="M2074" i="1"/>
  <c r="L2074" i="1"/>
  <c r="DA2133" i="1"/>
  <c r="CY2133" i="1"/>
  <c r="CX2133" i="1"/>
  <c r="J2074" i="1"/>
  <c r="BL2133" i="1"/>
  <c r="BK2133" i="1"/>
  <c r="DG2132" i="1"/>
  <c r="M2075" i="1"/>
  <c r="L2075" i="1"/>
  <c r="DA2132" i="1"/>
  <c r="CY2132" i="1"/>
  <c r="CX2132" i="1"/>
  <c r="J2075" i="1"/>
  <c r="BL2132" i="1"/>
  <c r="BK2132" i="1"/>
  <c r="DG2131" i="1"/>
  <c r="M2076" i="1"/>
  <c r="L2076" i="1"/>
  <c r="DA2131" i="1"/>
  <c r="CY2131" i="1"/>
  <c r="CX2131" i="1"/>
  <c r="J2076" i="1"/>
  <c r="BL2131" i="1"/>
  <c r="BK2131" i="1"/>
  <c r="DG2130" i="1"/>
  <c r="M2077" i="1"/>
  <c r="L2077" i="1"/>
  <c r="DA2130" i="1"/>
  <c r="CY2130" i="1"/>
  <c r="CX2130" i="1"/>
  <c r="J2077" i="1"/>
  <c r="BL2130" i="1"/>
  <c r="BK2130" i="1"/>
  <c r="DG2129" i="1"/>
  <c r="M2078" i="1"/>
  <c r="L2078" i="1"/>
  <c r="DA2129" i="1"/>
  <c r="CY2129" i="1"/>
  <c r="CX2129" i="1"/>
  <c r="J2078" i="1"/>
  <c r="BL2129" i="1"/>
  <c r="BK2129" i="1"/>
  <c r="DG2128" i="1"/>
  <c r="M2079" i="1"/>
  <c r="L2079" i="1"/>
  <c r="DA2128" i="1"/>
  <c r="CY2128" i="1"/>
  <c r="CX2128" i="1"/>
  <c r="J2079" i="1"/>
  <c r="BL2128" i="1"/>
  <c r="BK2128" i="1"/>
  <c r="DG2127" i="1"/>
  <c r="M2080" i="1"/>
  <c r="L2080" i="1"/>
  <c r="DA2127" i="1"/>
  <c r="CY2127" i="1"/>
  <c r="CX2127" i="1"/>
  <c r="J2080" i="1"/>
  <c r="BL2127" i="1"/>
  <c r="BK2127" i="1"/>
  <c r="DG2126" i="1"/>
  <c r="M781" i="1"/>
  <c r="L781" i="1"/>
  <c r="DA2126" i="1"/>
  <c r="CY2126" i="1"/>
  <c r="CX2126" i="1"/>
  <c r="J781" i="1"/>
  <c r="BL2126" i="1"/>
  <c r="BK2126" i="1"/>
  <c r="DG2125" i="1"/>
  <c r="M2082" i="1"/>
  <c r="L2082" i="1"/>
  <c r="DA2125" i="1"/>
  <c r="CY2125" i="1"/>
  <c r="CX2125" i="1"/>
  <c r="J2082" i="1"/>
  <c r="BL2125" i="1"/>
  <c r="BK2125" i="1"/>
  <c r="DG2124" i="1"/>
  <c r="M2083" i="1"/>
  <c r="L2083" i="1"/>
  <c r="DA2124" i="1"/>
  <c r="CY2124" i="1"/>
  <c r="CX2124" i="1"/>
  <c r="J2083" i="1"/>
  <c r="BL2124" i="1"/>
  <c r="BK2124" i="1"/>
  <c r="DG2123" i="1"/>
  <c r="M2084" i="1"/>
  <c r="L2084" i="1"/>
  <c r="DA2123" i="1"/>
  <c r="CY2123" i="1"/>
  <c r="CX2123" i="1"/>
  <c r="J2084" i="1"/>
  <c r="BL2123" i="1"/>
  <c r="BK2123" i="1"/>
  <c r="DG2122" i="1"/>
  <c r="M2085" i="1"/>
  <c r="L2085" i="1"/>
  <c r="DA2122" i="1"/>
  <c r="CY2122" i="1"/>
  <c r="CX2122" i="1"/>
  <c r="J2085" i="1"/>
  <c r="BL2122" i="1"/>
  <c r="BK2122" i="1"/>
  <c r="DG2121" i="1"/>
  <c r="M2086" i="1"/>
  <c r="L2086" i="1"/>
  <c r="DA2121" i="1"/>
  <c r="CY2121" i="1"/>
  <c r="CX2121" i="1"/>
  <c r="J2086" i="1"/>
  <c r="BL2121" i="1"/>
  <c r="BK2121" i="1"/>
  <c r="DG2120" i="1"/>
  <c r="M2087" i="1"/>
  <c r="L2087" i="1"/>
  <c r="DA2120" i="1"/>
  <c r="CY2120" i="1"/>
  <c r="CX2120" i="1"/>
  <c r="J2087" i="1"/>
  <c r="BL2120" i="1"/>
  <c r="BK2120" i="1"/>
  <c r="DG2119" i="1"/>
  <c r="M2088" i="1"/>
  <c r="L2088" i="1"/>
  <c r="DA2119" i="1"/>
  <c r="CY2119" i="1"/>
  <c r="CX2119" i="1"/>
  <c r="J2088" i="1"/>
  <c r="BL2119" i="1"/>
  <c r="BK2119" i="1"/>
  <c r="DG2118" i="1"/>
  <c r="M824" i="1"/>
  <c r="L824" i="1"/>
  <c r="DA2118" i="1"/>
  <c r="CY2118" i="1"/>
  <c r="CX2118" i="1"/>
  <c r="J824" i="1"/>
  <c r="BL2118" i="1"/>
  <c r="BK2118" i="1"/>
  <c r="DG2117" i="1"/>
  <c r="M2090" i="1"/>
  <c r="L2090" i="1"/>
  <c r="DA2117" i="1"/>
  <c r="CY2117" i="1"/>
  <c r="CX2117" i="1"/>
  <c r="J2090" i="1"/>
  <c r="BL2117" i="1"/>
  <c r="BK2117" i="1"/>
  <c r="DG2116" i="1"/>
  <c r="M2091" i="1"/>
  <c r="L2091" i="1"/>
  <c r="DA2116" i="1"/>
  <c r="CY2116" i="1"/>
  <c r="CX2116" i="1"/>
  <c r="J2091" i="1"/>
  <c r="BL2116" i="1"/>
  <c r="BK2116" i="1"/>
  <c r="DG2115" i="1"/>
  <c r="M2092" i="1"/>
  <c r="L2092" i="1"/>
  <c r="DA2115" i="1"/>
  <c r="CY2115" i="1"/>
  <c r="CX2115" i="1"/>
  <c r="J2092" i="1"/>
  <c r="BL2115" i="1"/>
  <c r="BK2115" i="1"/>
  <c r="DG2114" i="1"/>
  <c r="M2093" i="1"/>
  <c r="L2093" i="1"/>
  <c r="DA2114" i="1"/>
  <c r="CY2114" i="1"/>
  <c r="CX2114" i="1"/>
  <c r="J2093" i="1"/>
  <c r="BL2114" i="1"/>
  <c r="BK2114" i="1"/>
  <c r="DG2113" i="1"/>
  <c r="M2094" i="1"/>
  <c r="L2094" i="1"/>
  <c r="DA2113" i="1"/>
  <c r="CY2113" i="1"/>
  <c r="CX2113" i="1"/>
  <c r="J2094" i="1"/>
  <c r="BL2113" i="1"/>
  <c r="BK2113" i="1"/>
  <c r="DG2112" i="1"/>
  <c r="M2095" i="1"/>
  <c r="L2095" i="1"/>
  <c r="DA2112" i="1"/>
  <c r="CY2112" i="1"/>
  <c r="CX2112" i="1"/>
  <c r="J2095" i="1"/>
  <c r="BL2112" i="1"/>
  <c r="BK2112" i="1"/>
  <c r="DG2111" i="1"/>
  <c r="M2096" i="1"/>
  <c r="L2096" i="1"/>
  <c r="DA2111" i="1"/>
  <c r="CY2111" i="1"/>
  <c r="CX2111" i="1"/>
  <c r="J2096" i="1"/>
  <c r="BL2111" i="1"/>
  <c r="BK2111" i="1"/>
  <c r="DG2110" i="1"/>
  <c r="M2097" i="1"/>
  <c r="L2097" i="1"/>
  <c r="DA2110" i="1"/>
  <c r="CY2110" i="1"/>
  <c r="CX2110" i="1"/>
  <c r="J2097" i="1"/>
  <c r="BL2110" i="1"/>
  <c r="BK2110" i="1"/>
  <c r="DG2109" i="1"/>
  <c r="M2098" i="1"/>
  <c r="L2098" i="1"/>
  <c r="DA2109" i="1"/>
  <c r="CY2109" i="1"/>
  <c r="CX2109" i="1"/>
  <c r="J2098" i="1"/>
  <c r="BL2109" i="1"/>
  <c r="BK2109" i="1"/>
  <c r="DG2108" i="1"/>
  <c r="M2099" i="1"/>
  <c r="L2099" i="1"/>
  <c r="DA2108" i="1"/>
  <c r="CY2108" i="1"/>
  <c r="CX2108" i="1"/>
  <c r="J2099" i="1"/>
  <c r="BL2108" i="1"/>
  <c r="BK2108" i="1"/>
  <c r="DG2107" i="1"/>
  <c r="M2100" i="1"/>
  <c r="L2100" i="1"/>
  <c r="DA2107" i="1"/>
  <c r="CY2107" i="1"/>
  <c r="CX2107" i="1"/>
  <c r="J2100" i="1"/>
  <c r="BL2107" i="1"/>
  <c r="BK2107" i="1"/>
  <c r="DG2106" i="1"/>
  <c r="M2101" i="1"/>
  <c r="L2101" i="1"/>
  <c r="DA2106" i="1"/>
  <c r="CY2106" i="1"/>
  <c r="CX2106" i="1"/>
  <c r="J2101" i="1"/>
  <c r="BL2106" i="1"/>
  <c r="BK2106" i="1"/>
  <c r="DG2105" i="1"/>
  <c r="M2102" i="1"/>
  <c r="L2102" i="1"/>
  <c r="DA2105" i="1"/>
  <c r="CY2105" i="1"/>
  <c r="CX2105" i="1"/>
  <c r="J2102" i="1"/>
  <c r="BL2105" i="1"/>
  <c r="BK2105" i="1"/>
  <c r="DG2104" i="1"/>
  <c r="M2103" i="1"/>
  <c r="L2103" i="1"/>
  <c r="DA2104" i="1"/>
  <c r="CY2104" i="1"/>
  <c r="CX2104" i="1"/>
  <c r="J2103" i="1"/>
  <c r="BL2104" i="1"/>
  <c r="BK2104" i="1"/>
  <c r="DG2103" i="1"/>
  <c r="M2104" i="1"/>
  <c r="L2104" i="1"/>
  <c r="DA2103" i="1"/>
  <c r="CY2103" i="1"/>
  <c r="CX2103" i="1"/>
  <c r="J2104" i="1"/>
  <c r="BL2103" i="1"/>
  <c r="BK2103" i="1"/>
  <c r="DG2102" i="1"/>
  <c r="M856" i="1"/>
  <c r="L856" i="1"/>
  <c r="DA2102" i="1"/>
  <c r="CY2102" i="1"/>
  <c r="CX2102" i="1"/>
  <c r="J856" i="1"/>
  <c r="BL2102" i="1"/>
  <c r="BK2102" i="1"/>
  <c r="DG2101" i="1"/>
  <c r="M2106" i="1"/>
  <c r="L2106" i="1"/>
  <c r="DA2101" i="1"/>
  <c r="CY2101" i="1"/>
  <c r="CX2101" i="1"/>
  <c r="J2106" i="1"/>
  <c r="BL2101" i="1"/>
  <c r="BK2101" i="1"/>
  <c r="DG2100" i="1"/>
  <c r="M2107" i="1"/>
  <c r="L2107" i="1"/>
  <c r="DA2100" i="1"/>
  <c r="CY2100" i="1"/>
  <c r="CX2100" i="1"/>
  <c r="J2107" i="1"/>
  <c r="BL2100" i="1"/>
  <c r="BK2100" i="1"/>
  <c r="DG2099" i="1"/>
  <c r="M2108" i="1"/>
  <c r="L2108" i="1"/>
  <c r="DA2099" i="1"/>
  <c r="CY2099" i="1"/>
  <c r="CX2099" i="1"/>
  <c r="J2108" i="1"/>
  <c r="BL2099" i="1"/>
  <c r="BK2099" i="1"/>
  <c r="DG2098" i="1"/>
  <c r="M2109" i="1"/>
  <c r="L2109" i="1"/>
  <c r="DA2098" i="1"/>
  <c r="CY2098" i="1"/>
  <c r="CX2098" i="1"/>
  <c r="J2109" i="1"/>
  <c r="BL2098" i="1"/>
  <c r="BK2098" i="1"/>
  <c r="DG2097" i="1"/>
  <c r="M2110" i="1"/>
  <c r="L2110" i="1"/>
  <c r="DA2097" i="1"/>
  <c r="CY2097" i="1"/>
  <c r="CX2097" i="1"/>
  <c r="J2110" i="1"/>
  <c r="BL2097" i="1"/>
  <c r="BK2097" i="1"/>
  <c r="DG2096" i="1"/>
  <c r="M2111" i="1"/>
  <c r="L2111" i="1"/>
  <c r="DA2096" i="1"/>
  <c r="CY2096" i="1"/>
  <c r="CX2096" i="1"/>
  <c r="J2111" i="1"/>
  <c r="BL2096" i="1"/>
  <c r="BK2096" i="1"/>
  <c r="DG2095" i="1"/>
  <c r="M2112" i="1"/>
  <c r="L2112" i="1"/>
  <c r="DA2095" i="1"/>
  <c r="CY2095" i="1"/>
  <c r="CX2095" i="1"/>
  <c r="J2112" i="1"/>
  <c r="BL2095" i="1"/>
  <c r="BK2095" i="1"/>
  <c r="DG2094" i="1"/>
  <c r="M2113" i="1"/>
  <c r="L2113" i="1"/>
  <c r="DA2094" i="1"/>
  <c r="CY2094" i="1"/>
  <c r="CX2094" i="1"/>
  <c r="J2113" i="1"/>
  <c r="BL2094" i="1"/>
  <c r="BK2094" i="1"/>
  <c r="DG2093" i="1"/>
  <c r="M2114" i="1"/>
  <c r="L2114" i="1"/>
  <c r="DA2093" i="1"/>
  <c r="CY2093" i="1"/>
  <c r="CX2093" i="1"/>
  <c r="J2114" i="1"/>
  <c r="BL2093" i="1"/>
  <c r="BK2093" i="1"/>
  <c r="DG2092" i="1"/>
  <c r="M2115" i="1"/>
  <c r="L2115" i="1"/>
  <c r="DA2092" i="1"/>
  <c r="CY2092" i="1"/>
  <c r="CX2092" i="1"/>
  <c r="J2115" i="1"/>
  <c r="BL2092" i="1"/>
  <c r="BK2092" i="1"/>
  <c r="DG2091" i="1"/>
  <c r="M2116" i="1"/>
  <c r="L2116" i="1"/>
  <c r="DA2091" i="1"/>
  <c r="CY2091" i="1"/>
  <c r="CX2091" i="1"/>
  <c r="J2116" i="1"/>
  <c r="BL2091" i="1"/>
  <c r="BK2091" i="1"/>
  <c r="DG2090" i="1"/>
  <c r="M2117" i="1"/>
  <c r="L2117" i="1"/>
  <c r="DA2090" i="1"/>
  <c r="CY2090" i="1"/>
  <c r="CX2090" i="1"/>
  <c r="J2117" i="1"/>
  <c r="BL2090" i="1"/>
  <c r="BK2090" i="1"/>
  <c r="DG2089" i="1"/>
  <c r="M2118" i="1"/>
  <c r="L2118" i="1"/>
  <c r="DA2089" i="1"/>
  <c r="CY2089" i="1"/>
  <c r="CX2089" i="1"/>
  <c r="J2118" i="1"/>
  <c r="BL2089" i="1"/>
  <c r="BK2089" i="1"/>
  <c r="DG2088" i="1"/>
  <c r="M2119" i="1"/>
  <c r="L2119" i="1"/>
  <c r="DA2088" i="1"/>
  <c r="CY2088" i="1"/>
  <c r="CX2088" i="1"/>
  <c r="J2119" i="1"/>
  <c r="BL2088" i="1"/>
  <c r="BK2088" i="1"/>
  <c r="DG2087" i="1"/>
  <c r="M2120" i="1"/>
  <c r="L2120" i="1"/>
  <c r="DA2087" i="1"/>
  <c r="CY2087" i="1"/>
  <c r="CX2087" i="1"/>
  <c r="J2120" i="1"/>
  <c r="BL2087" i="1"/>
  <c r="BK2087" i="1"/>
  <c r="DG2086" i="1"/>
  <c r="M2121" i="1"/>
  <c r="L2121" i="1"/>
  <c r="DA2086" i="1"/>
  <c r="CY2086" i="1"/>
  <c r="CX2086" i="1"/>
  <c r="J2121" i="1"/>
  <c r="BL2086" i="1"/>
  <c r="BK2086" i="1"/>
  <c r="DG2085" i="1"/>
  <c r="M2122" i="1"/>
  <c r="L2122" i="1"/>
  <c r="DA2085" i="1"/>
  <c r="CY2085" i="1"/>
  <c r="CX2085" i="1"/>
  <c r="J2122" i="1"/>
  <c r="BL2085" i="1"/>
  <c r="BK2085" i="1"/>
  <c r="DG2084" i="1"/>
  <c r="M2123" i="1"/>
  <c r="L2123" i="1"/>
  <c r="DA2084" i="1"/>
  <c r="CY2084" i="1"/>
  <c r="CX2084" i="1"/>
  <c r="J2123" i="1"/>
  <c r="BL2084" i="1"/>
  <c r="BK2084" i="1"/>
  <c r="DG2083" i="1"/>
  <c r="M2124" i="1"/>
  <c r="L2124" i="1"/>
  <c r="DA2083" i="1"/>
  <c r="CY2083" i="1"/>
  <c r="CX2083" i="1"/>
  <c r="J2124" i="1"/>
  <c r="BL2083" i="1"/>
  <c r="BK2083" i="1"/>
  <c r="DG2082" i="1"/>
  <c r="M2125" i="1"/>
  <c r="L2125" i="1"/>
  <c r="DA2082" i="1"/>
  <c r="CY2082" i="1"/>
  <c r="CX2082" i="1"/>
  <c r="J2125" i="1"/>
  <c r="BL2082" i="1"/>
  <c r="BK2082" i="1"/>
  <c r="DG2081" i="1"/>
  <c r="M2126" i="1"/>
  <c r="L2126" i="1"/>
  <c r="DA2081" i="1"/>
  <c r="CY2081" i="1"/>
  <c r="CX2081" i="1"/>
  <c r="J2126" i="1"/>
  <c r="BL2081" i="1"/>
  <c r="BK2081" i="1"/>
  <c r="DG2080" i="1"/>
  <c r="M2127" i="1"/>
  <c r="L2127" i="1"/>
  <c r="DA2080" i="1"/>
  <c r="CY2080" i="1"/>
  <c r="CX2080" i="1"/>
  <c r="J2127" i="1"/>
  <c r="BL2080" i="1"/>
  <c r="BK2080" i="1"/>
  <c r="DG2079" i="1"/>
  <c r="M2128" i="1"/>
  <c r="L2128" i="1"/>
  <c r="DA2079" i="1"/>
  <c r="CY2079" i="1"/>
  <c r="CX2079" i="1"/>
  <c r="J2128" i="1"/>
  <c r="BL2079" i="1"/>
  <c r="BK2079" i="1"/>
  <c r="DG2078" i="1"/>
  <c r="M2129" i="1"/>
  <c r="L2129" i="1"/>
  <c r="DA2078" i="1"/>
  <c r="CY2078" i="1"/>
  <c r="CX2078" i="1"/>
  <c r="J2129" i="1"/>
  <c r="BL2078" i="1"/>
  <c r="BK2078" i="1"/>
  <c r="DG2077" i="1"/>
  <c r="M2130" i="1"/>
  <c r="L2130" i="1"/>
  <c r="DA2077" i="1"/>
  <c r="CY2077" i="1"/>
  <c r="CX2077" i="1"/>
  <c r="J2130" i="1"/>
  <c r="BL2077" i="1"/>
  <c r="BK2077" i="1"/>
  <c r="DG2076" i="1"/>
  <c r="M2131" i="1"/>
  <c r="L2131" i="1"/>
  <c r="DA2076" i="1"/>
  <c r="CY2076" i="1"/>
  <c r="CX2076" i="1"/>
  <c r="J2131" i="1"/>
  <c r="BL2076" i="1"/>
  <c r="BK2076" i="1"/>
  <c r="DG2075" i="1"/>
  <c r="M2132" i="1"/>
  <c r="L2132" i="1"/>
  <c r="DA2075" i="1"/>
  <c r="CY2075" i="1"/>
  <c r="CX2075" i="1"/>
  <c r="J2132" i="1"/>
  <c r="BL2075" i="1"/>
  <c r="BK2075" i="1"/>
  <c r="DG2074" i="1"/>
  <c r="M2133" i="1"/>
  <c r="L2133" i="1"/>
  <c r="DA2074" i="1"/>
  <c r="CY2074" i="1"/>
  <c r="CX2074" i="1"/>
  <c r="J2133" i="1"/>
  <c r="BL2074" i="1"/>
  <c r="BK2074" i="1"/>
  <c r="DG2073" i="1"/>
  <c r="M2134" i="1"/>
  <c r="L2134" i="1"/>
  <c r="DA2073" i="1"/>
  <c r="CY2073" i="1"/>
  <c r="CX2073" i="1"/>
  <c r="J2134" i="1"/>
  <c r="BL2073" i="1"/>
  <c r="BK2073" i="1"/>
  <c r="DG2072" i="1"/>
  <c r="M2135" i="1"/>
  <c r="L2135" i="1"/>
  <c r="DA2072" i="1"/>
  <c r="CY2072" i="1"/>
  <c r="CX2072" i="1"/>
  <c r="J2135" i="1"/>
  <c r="BL2072" i="1"/>
  <c r="BK2072" i="1"/>
  <c r="DG2071" i="1"/>
  <c r="M2136" i="1"/>
  <c r="L2136" i="1"/>
  <c r="DA2071" i="1"/>
  <c r="CY2071" i="1"/>
  <c r="CX2071" i="1"/>
  <c r="J2136" i="1"/>
  <c r="BL2071" i="1"/>
  <c r="BK2071" i="1"/>
  <c r="DG2070" i="1"/>
  <c r="M920" i="1"/>
  <c r="L920" i="1"/>
  <c r="DA2070" i="1"/>
  <c r="CY2070" i="1"/>
  <c r="CX2070" i="1"/>
  <c r="J920" i="1"/>
  <c r="BL2070" i="1"/>
  <c r="BK2070" i="1"/>
  <c r="DG2069" i="1"/>
  <c r="M2138" i="1"/>
  <c r="L2138" i="1"/>
  <c r="DA2069" i="1"/>
  <c r="CY2069" i="1"/>
  <c r="CX2069" i="1"/>
  <c r="J2138" i="1"/>
  <c r="BL2069" i="1"/>
  <c r="BK2069" i="1"/>
  <c r="DG2068" i="1"/>
  <c r="M2139" i="1"/>
  <c r="L2139" i="1"/>
  <c r="DA2068" i="1"/>
  <c r="CY2068" i="1"/>
  <c r="CX2068" i="1"/>
  <c r="J2139" i="1"/>
  <c r="BL2068" i="1"/>
  <c r="BK2068" i="1"/>
  <c r="DG2067" i="1"/>
  <c r="M2140" i="1"/>
  <c r="L2140" i="1"/>
  <c r="DA2067" i="1"/>
  <c r="CY2067" i="1"/>
  <c r="CX2067" i="1"/>
  <c r="J2140" i="1"/>
  <c r="BL2067" i="1"/>
  <c r="BK2067" i="1"/>
  <c r="DG2066" i="1"/>
  <c r="M2141" i="1"/>
  <c r="L2141" i="1"/>
  <c r="DA2066" i="1"/>
  <c r="CY2066" i="1"/>
  <c r="CX2066" i="1"/>
  <c r="J2141" i="1"/>
  <c r="BL2066" i="1"/>
  <c r="BK2066" i="1"/>
  <c r="DG2065" i="1"/>
  <c r="M2142" i="1"/>
  <c r="L2142" i="1"/>
  <c r="DA2065" i="1"/>
  <c r="CY2065" i="1"/>
  <c r="CX2065" i="1"/>
  <c r="J2142" i="1"/>
  <c r="BL2065" i="1"/>
  <c r="BK2065" i="1"/>
  <c r="DG2064" i="1"/>
  <c r="M2143" i="1"/>
  <c r="L2143" i="1"/>
  <c r="DA2064" i="1"/>
  <c r="CY2064" i="1"/>
  <c r="CX2064" i="1"/>
  <c r="J2143" i="1"/>
  <c r="BL2064" i="1"/>
  <c r="BK2064" i="1"/>
  <c r="DG2063" i="1"/>
  <c r="M2144" i="1"/>
  <c r="L2144" i="1"/>
  <c r="DA2063" i="1"/>
  <c r="CY2063" i="1"/>
  <c r="CX2063" i="1"/>
  <c r="J2144" i="1"/>
  <c r="BL2063" i="1"/>
  <c r="BK2063" i="1"/>
  <c r="DG2062" i="1"/>
  <c r="M936" i="1"/>
  <c r="L936" i="1"/>
  <c r="DA2062" i="1"/>
  <c r="CY2062" i="1"/>
  <c r="CX2062" i="1"/>
  <c r="J936" i="1"/>
  <c r="BL2062" i="1"/>
  <c r="BK2062" i="1"/>
  <c r="DG2061" i="1"/>
  <c r="M2146" i="1"/>
  <c r="L2146" i="1"/>
  <c r="DA2061" i="1"/>
  <c r="CY2061" i="1"/>
  <c r="CX2061" i="1"/>
  <c r="J2146" i="1"/>
  <c r="BL2061" i="1"/>
  <c r="BK2061" i="1"/>
  <c r="DG2060" i="1"/>
  <c r="M2147" i="1"/>
  <c r="L2147" i="1"/>
  <c r="DA2060" i="1"/>
  <c r="CY2060" i="1"/>
  <c r="CX2060" i="1"/>
  <c r="J2147" i="1"/>
  <c r="BL2060" i="1"/>
  <c r="BK2060" i="1"/>
  <c r="DG2059" i="1"/>
  <c r="M2148" i="1"/>
  <c r="L2148" i="1"/>
  <c r="DA2059" i="1"/>
  <c r="CY2059" i="1"/>
  <c r="CX2059" i="1"/>
  <c r="J2148" i="1"/>
  <c r="BL2059" i="1"/>
  <c r="BK2059" i="1"/>
  <c r="DG2058" i="1"/>
  <c r="M2149" i="1"/>
  <c r="L2149" i="1"/>
  <c r="DA2058" i="1"/>
  <c r="CY2058" i="1"/>
  <c r="CX2058" i="1"/>
  <c r="J2149" i="1"/>
  <c r="BL2058" i="1"/>
  <c r="BK2058" i="1"/>
  <c r="DG2057" i="1"/>
  <c r="M2150" i="1"/>
  <c r="L2150" i="1"/>
  <c r="DA2057" i="1"/>
  <c r="CY2057" i="1"/>
  <c r="CX2057" i="1"/>
  <c r="J2150" i="1"/>
  <c r="BL2057" i="1"/>
  <c r="BK2057" i="1"/>
  <c r="DG2056" i="1"/>
  <c r="M948" i="1"/>
  <c r="L948" i="1"/>
  <c r="DA2056" i="1"/>
  <c r="CY2056" i="1"/>
  <c r="CX2056" i="1"/>
  <c r="J948" i="1"/>
  <c r="BL2056" i="1"/>
  <c r="BK2056" i="1"/>
  <c r="DG2055" i="1"/>
  <c r="M2152" i="1"/>
  <c r="L2152" i="1"/>
  <c r="DA2055" i="1"/>
  <c r="CY2055" i="1"/>
  <c r="CX2055" i="1"/>
  <c r="J2152" i="1"/>
  <c r="BL2055" i="1"/>
  <c r="BK2055" i="1"/>
  <c r="DG2054" i="1"/>
  <c r="M952" i="1"/>
  <c r="L952" i="1"/>
  <c r="DA2054" i="1"/>
  <c r="CY2054" i="1"/>
  <c r="CX2054" i="1"/>
  <c r="J952" i="1"/>
  <c r="BL2054" i="1"/>
  <c r="BK2054" i="1"/>
  <c r="DG2053" i="1"/>
  <c r="M2154" i="1"/>
  <c r="L2154" i="1"/>
  <c r="DA2053" i="1"/>
  <c r="CY2053" i="1"/>
  <c r="CX2053" i="1"/>
  <c r="J2154" i="1"/>
  <c r="BL2053" i="1"/>
  <c r="BK2053" i="1"/>
  <c r="DG2052" i="1"/>
  <c r="M2155" i="1"/>
  <c r="L2155" i="1"/>
  <c r="DA2052" i="1"/>
  <c r="CY2052" i="1"/>
  <c r="CX2052" i="1"/>
  <c r="J2155" i="1"/>
  <c r="BL2052" i="1"/>
  <c r="BK2052" i="1"/>
  <c r="DG2051" i="1"/>
  <c r="M2156" i="1"/>
  <c r="L2156" i="1"/>
  <c r="DA2051" i="1"/>
  <c r="CY2051" i="1"/>
  <c r="CX2051" i="1"/>
  <c r="J2156" i="1"/>
  <c r="BL2051" i="1"/>
  <c r="BK2051" i="1"/>
  <c r="DG2050" i="1"/>
  <c r="M2157" i="1"/>
  <c r="L2157" i="1"/>
  <c r="DA2050" i="1"/>
  <c r="CY2050" i="1"/>
  <c r="CX2050" i="1"/>
  <c r="J2157" i="1"/>
  <c r="BL2050" i="1"/>
  <c r="BK2050" i="1"/>
  <c r="DG2049" i="1"/>
  <c r="M2158" i="1"/>
  <c r="L2158" i="1"/>
  <c r="DA2049" i="1"/>
  <c r="CY2049" i="1"/>
  <c r="CX2049" i="1"/>
  <c r="J2158" i="1"/>
  <c r="BL2049" i="1"/>
  <c r="BK2049" i="1"/>
  <c r="DG2048" i="1"/>
  <c r="M2159" i="1"/>
  <c r="L2159" i="1"/>
  <c r="DA2048" i="1"/>
  <c r="CY2048" i="1"/>
  <c r="CX2048" i="1"/>
  <c r="J2159" i="1"/>
  <c r="BL2048" i="1"/>
  <c r="BK2048" i="1"/>
  <c r="DG2047" i="1"/>
  <c r="M2160" i="1"/>
  <c r="L2160" i="1"/>
  <c r="DA2047" i="1"/>
  <c r="CY2047" i="1"/>
  <c r="CX2047" i="1"/>
  <c r="J2160" i="1"/>
  <c r="BL2047" i="1"/>
  <c r="BK2047" i="1"/>
  <c r="DG2046" i="1"/>
  <c r="M2161" i="1"/>
  <c r="L2161" i="1"/>
  <c r="DA2046" i="1"/>
  <c r="CY2046" i="1"/>
  <c r="CX2046" i="1"/>
  <c r="J2161" i="1"/>
  <c r="BL2046" i="1"/>
  <c r="BK2046" i="1"/>
  <c r="DG2045" i="1"/>
  <c r="M2162" i="1"/>
  <c r="L2162" i="1"/>
  <c r="DA2045" i="1"/>
  <c r="CY2045" i="1"/>
  <c r="CX2045" i="1"/>
  <c r="J2162" i="1"/>
  <c r="BL2045" i="1"/>
  <c r="BK2045" i="1"/>
  <c r="DG2044" i="1"/>
  <c r="M2163" i="1"/>
  <c r="L2163" i="1"/>
  <c r="DA2044" i="1"/>
  <c r="CY2044" i="1"/>
  <c r="CX2044" i="1"/>
  <c r="J2163" i="1"/>
  <c r="BL2044" i="1"/>
  <c r="BK2044" i="1"/>
  <c r="DG2043" i="1"/>
  <c r="M2164" i="1"/>
  <c r="L2164" i="1"/>
  <c r="DA2043" i="1"/>
  <c r="CY2043" i="1"/>
  <c r="CX2043" i="1"/>
  <c r="J2164" i="1"/>
  <c r="BL2043" i="1"/>
  <c r="BK2043" i="1"/>
  <c r="DG2042" i="1"/>
  <c r="M2165" i="1"/>
  <c r="L2165" i="1"/>
  <c r="DA2042" i="1"/>
  <c r="CY2042" i="1"/>
  <c r="CX2042" i="1"/>
  <c r="J2165" i="1"/>
  <c r="BL2042" i="1"/>
  <c r="BK2042" i="1"/>
  <c r="DG2041" i="1"/>
  <c r="M2166" i="1"/>
  <c r="L2166" i="1"/>
  <c r="DA2041" i="1"/>
  <c r="CY2041" i="1"/>
  <c r="CX2041" i="1"/>
  <c r="J2166" i="1"/>
  <c r="BL2041" i="1"/>
  <c r="BK2041" i="1"/>
  <c r="DG2040" i="1"/>
  <c r="M2167" i="1"/>
  <c r="L2167" i="1"/>
  <c r="DA2040" i="1"/>
  <c r="CY2040" i="1"/>
  <c r="CX2040" i="1"/>
  <c r="J2167" i="1"/>
  <c r="BL2040" i="1"/>
  <c r="BK2040" i="1"/>
  <c r="DG2039" i="1"/>
  <c r="M2168" i="1"/>
  <c r="L2168" i="1"/>
  <c r="DA2039" i="1"/>
  <c r="CY2039" i="1"/>
  <c r="CX2039" i="1"/>
  <c r="J2168" i="1"/>
  <c r="BL2039" i="1"/>
  <c r="BK2039" i="1"/>
  <c r="DG2038" i="1"/>
  <c r="M984" i="1"/>
  <c r="L984" i="1"/>
  <c r="DA2038" i="1"/>
  <c r="CY2038" i="1"/>
  <c r="CX2038" i="1"/>
  <c r="J984" i="1"/>
  <c r="BL2038" i="1"/>
  <c r="BK2038" i="1"/>
  <c r="DG2037" i="1"/>
  <c r="M2170" i="1"/>
  <c r="L2170" i="1"/>
  <c r="DA2037" i="1"/>
  <c r="CY2037" i="1"/>
  <c r="CX2037" i="1"/>
  <c r="J2170" i="1"/>
  <c r="BL2037" i="1"/>
  <c r="BK2037" i="1"/>
  <c r="DG2036" i="1"/>
  <c r="M2171" i="1"/>
  <c r="L2171" i="1"/>
  <c r="DA2036" i="1"/>
  <c r="CY2036" i="1"/>
  <c r="CX2036" i="1"/>
  <c r="J2171" i="1"/>
  <c r="BL2036" i="1"/>
  <c r="BK2036" i="1"/>
  <c r="DG2035" i="1"/>
  <c r="M2172" i="1"/>
  <c r="L2172" i="1"/>
  <c r="DA2035" i="1"/>
  <c r="CY2035" i="1"/>
  <c r="CX2035" i="1"/>
  <c r="J2172" i="1"/>
  <c r="BL2035" i="1"/>
  <c r="BK2035" i="1"/>
  <c r="DG2034" i="1"/>
  <c r="M2173" i="1"/>
  <c r="L2173" i="1"/>
  <c r="DA2034" i="1"/>
  <c r="CY2034" i="1"/>
  <c r="CX2034" i="1"/>
  <c r="J2173" i="1"/>
  <c r="BL2034" i="1"/>
  <c r="BK2034" i="1"/>
  <c r="DG2033" i="1"/>
  <c r="M2174" i="1"/>
  <c r="L2174" i="1"/>
  <c r="DA2033" i="1"/>
  <c r="CY2033" i="1"/>
  <c r="CX2033" i="1"/>
  <c r="J2174" i="1"/>
  <c r="BL2033" i="1"/>
  <c r="BK2033" i="1"/>
  <c r="DG2032" i="1"/>
  <c r="M2175" i="1"/>
  <c r="L2175" i="1"/>
  <c r="DA2032" i="1"/>
  <c r="CY2032" i="1"/>
  <c r="CX2032" i="1"/>
  <c r="J2175" i="1"/>
  <c r="BL2032" i="1"/>
  <c r="BK2032" i="1"/>
  <c r="DG2031" i="1"/>
  <c r="M2176" i="1"/>
  <c r="L2176" i="1"/>
  <c r="DA2031" i="1"/>
  <c r="CY2031" i="1"/>
  <c r="CX2031" i="1"/>
  <c r="J2176" i="1"/>
  <c r="BL2031" i="1"/>
  <c r="BK2031" i="1"/>
  <c r="DG2030" i="1"/>
  <c r="M2177" i="1"/>
  <c r="L2177" i="1"/>
  <c r="DA2030" i="1"/>
  <c r="CY2030" i="1"/>
  <c r="CX2030" i="1"/>
  <c r="J2177" i="1"/>
  <c r="BL2030" i="1"/>
  <c r="BK2030" i="1"/>
  <c r="DG2029" i="1"/>
  <c r="M2178" i="1"/>
  <c r="L2178" i="1"/>
  <c r="DA2029" i="1"/>
  <c r="CY2029" i="1"/>
  <c r="CX2029" i="1"/>
  <c r="J2178" i="1"/>
  <c r="BL2029" i="1"/>
  <c r="BK2029" i="1"/>
  <c r="DG2028" i="1"/>
  <c r="M2179" i="1"/>
  <c r="L2179" i="1"/>
  <c r="DA2028" i="1"/>
  <c r="CY2028" i="1"/>
  <c r="CX2028" i="1"/>
  <c r="J2179" i="1"/>
  <c r="BL2028" i="1"/>
  <c r="BK2028" i="1"/>
  <c r="DG2027" i="1"/>
  <c r="M2180" i="1"/>
  <c r="L2180" i="1"/>
  <c r="DA2027" i="1"/>
  <c r="CY2027" i="1"/>
  <c r="CX2027" i="1"/>
  <c r="J2180" i="1"/>
  <c r="BL2027" i="1"/>
  <c r="BK2027" i="1"/>
  <c r="DG2026" i="1"/>
  <c r="M2181" i="1"/>
  <c r="L2181" i="1"/>
  <c r="DA2026" i="1"/>
  <c r="CY2026" i="1"/>
  <c r="CX2026" i="1"/>
  <c r="J2181" i="1"/>
  <c r="BL2026" i="1"/>
  <c r="BK2026" i="1"/>
  <c r="DG2025" i="1"/>
  <c r="M2182" i="1"/>
  <c r="L2182" i="1"/>
  <c r="DA2025" i="1"/>
  <c r="CY2025" i="1"/>
  <c r="CX2025" i="1"/>
  <c r="J2182" i="1"/>
  <c r="BL2025" i="1"/>
  <c r="BK2025" i="1"/>
  <c r="DG2024" i="1"/>
  <c r="M2183" i="1"/>
  <c r="L2183" i="1"/>
  <c r="DA2024" i="1"/>
  <c r="CY2024" i="1"/>
  <c r="CX2024" i="1"/>
  <c r="J2183" i="1"/>
  <c r="BL2024" i="1"/>
  <c r="BK2024" i="1"/>
  <c r="DG2023" i="1"/>
  <c r="M2184" i="1"/>
  <c r="L2184" i="1"/>
  <c r="DA2023" i="1"/>
  <c r="CY2023" i="1"/>
  <c r="CX2023" i="1"/>
  <c r="J2184" i="1"/>
  <c r="BL2023" i="1"/>
  <c r="BK2023" i="1"/>
  <c r="DG2022" i="1"/>
  <c r="M2185" i="1"/>
  <c r="L2185" i="1"/>
  <c r="DA2022" i="1"/>
  <c r="CY2022" i="1"/>
  <c r="CX2022" i="1"/>
  <c r="J2185" i="1"/>
  <c r="BL2022" i="1"/>
  <c r="BK2022" i="1"/>
  <c r="DG2021" i="1"/>
  <c r="M2186" i="1"/>
  <c r="L2186" i="1"/>
  <c r="DA2021" i="1"/>
  <c r="CY2021" i="1"/>
  <c r="CX2021" i="1"/>
  <c r="J2186" i="1"/>
  <c r="BL2021" i="1"/>
  <c r="BK2021" i="1"/>
  <c r="DG2020" i="1"/>
  <c r="M2187" i="1"/>
  <c r="L2187" i="1"/>
  <c r="DA2020" i="1"/>
  <c r="CY2020" i="1"/>
  <c r="CX2020" i="1"/>
  <c r="J2187" i="1"/>
  <c r="BL2020" i="1"/>
  <c r="BK2020" i="1"/>
  <c r="DG2019" i="1"/>
  <c r="M2188" i="1"/>
  <c r="L2188" i="1"/>
  <c r="DA2019" i="1"/>
  <c r="CY2019" i="1"/>
  <c r="CX2019" i="1"/>
  <c r="J2188" i="1"/>
  <c r="BL2019" i="1"/>
  <c r="BK2019" i="1"/>
  <c r="DG2018" i="1"/>
  <c r="M2189" i="1"/>
  <c r="L2189" i="1"/>
  <c r="DA2018" i="1"/>
  <c r="CY2018" i="1"/>
  <c r="CX2018" i="1"/>
  <c r="J2189" i="1"/>
  <c r="BL2018" i="1"/>
  <c r="BK2018" i="1"/>
  <c r="DG2017" i="1"/>
  <c r="M2190" i="1"/>
  <c r="L2190" i="1"/>
  <c r="DA2017" i="1"/>
  <c r="CY2017" i="1"/>
  <c r="CX2017" i="1"/>
  <c r="J2190" i="1"/>
  <c r="BL2017" i="1"/>
  <c r="BK2017" i="1"/>
  <c r="DG2016" i="1"/>
  <c r="M2191" i="1"/>
  <c r="L2191" i="1"/>
  <c r="DA2016" i="1"/>
  <c r="CY2016" i="1"/>
  <c r="CX2016" i="1"/>
  <c r="J2191" i="1"/>
  <c r="BL2016" i="1"/>
  <c r="BK2016" i="1"/>
  <c r="DG2015" i="1"/>
  <c r="M2192" i="1"/>
  <c r="L2192" i="1"/>
  <c r="DA2015" i="1"/>
  <c r="CY2015" i="1"/>
  <c r="CX2015" i="1"/>
  <c r="J2192" i="1"/>
  <c r="BL2015" i="1"/>
  <c r="BK2015" i="1"/>
  <c r="DG2014" i="1"/>
  <c r="M2193" i="1"/>
  <c r="L2193" i="1"/>
  <c r="DA2014" i="1"/>
  <c r="CY2014" i="1"/>
  <c r="CX2014" i="1"/>
  <c r="J2193" i="1"/>
  <c r="BL2014" i="1"/>
  <c r="BK2014" i="1"/>
  <c r="DG2013" i="1"/>
  <c r="M2194" i="1"/>
  <c r="L2194" i="1"/>
  <c r="DA2013" i="1"/>
  <c r="CY2013" i="1"/>
  <c r="CX2013" i="1"/>
  <c r="J2194" i="1"/>
  <c r="BL2013" i="1"/>
  <c r="BK2013" i="1"/>
  <c r="DG2012" i="1"/>
  <c r="M2195" i="1"/>
  <c r="L2195" i="1"/>
  <c r="DA2012" i="1"/>
  <c r="CY2012" i="1"/>
  <c r="CX2012" i="1"/>
  <c r="J2195" i="1"/>
  <c r="BL2012" i="1"/>
  <c r="BK2012" i="1"/>
  <c r="DG2011" i="1"/>
  <c r="M2196" i="1"/>
  <c r="L2196" i="1"/>
  <c r="DA2011" i="1"/>
  <c r="CY2011" i="1"/>
  <c r="CX2011" i="1"/>
  <c r="J2196" i="1"/>
  <c r="BL2011" i="1"/>
  <c r="BK2011" i="1"/>
  <c r="DG2010" i="1"/>
  <c r="M2197" i="1"/>
  <c r="L2197" i="1"/>
  <c r="DA2010" i="1"/>
  <c r="CY2010" i="1"/>
  <c r="CX2010" i="1"/>
  <c r="J2197" i="1"/>
  <c r="BL2010" i="1"/>
  <c r="BK2010" i="1"/>
  <c r="DG2009" i="1"/>
  <c r="M2198" i="1"/>
  <c r="L2198" i="1"/>
  <c r="DA2009" i="1"/>
  <c r="CY2009" i="1"/>
  <c r="CX2009" i="1"/>
  <c r="J2198" i="1"/>
  <c r="BL2009" i="1"/>
  <c r="BK2009" i="1"/>
  <c r="DG2008" i="1"/>
  <c r="M2199" i="1"/>
  <c r="L2199" i="1"/>
  <c r="DA2008" i="1"/>
  <c r="CY2008" i="1"/>
  <c r="CX2008" i="1"/>
  <c r="J2199" i="1"/>
  <c r="BL2008" i="1"/>
  <c r="BK2008" i="1"/>
  <c r="DG2007" i="1"/>
  <c r="M2200" i="1"/>
  <c r="L2200" i="1"/>
  <c r="DA2007" i="1"/>
  <c r="CY2007" i="1"/>
  <c r="CX2007" i="1"/>
  <c r="J2200" i="1"/>
  <c r="BL2007" i="1"/>
  <c r="BK2007" i="1"/>
  <c r="DG2006" i="1"/>
  <c r="M3857" i="1"/>
  <c r="L3857" i="1"/>
  <c r="DA2006" i="1"/>
  <c r="CY2006" i="1"/>
  <c r="CX2006" i="1"/>
  <c r="J3857" i="1"/>
  <c r="CW2006" i="1"/>
  <c r="BL2006" i="1"/>
  <c r="BK2006" i="1"/>
  <c r="DG2005" i="1"/>
  <c r="M2202" i="1"/>
  <c r="L2202" i="1"/>
  <c r="DA2005" i="1"/>
  <c r="CY2005" i="1"/>
  <c r="CX2005" i="1"/>
  <c r="J2202" i="1"/>
  <c r="BL2005" i="1"/>
  <c r="BK2005" i="1"/>
  <c r="DG2004" i="1"/>
  <c r="M2203" i="1"/>
  <c r="L2203" i="1"/>
  <c r="DA2004" i="1"/>
  <c r="CY2004" i="1"/>
  <c r="CX2004" i="1"/>
  <c r="J2203" i="1"/>
  <c r="BL2004" i="1"/>
  <c r="BK2004" i="1"/>
  <c r="DG2003" i="1"/>
  <c r="M2204" i="1"/>
  <c r="L2204" i="1"/>
  <c r="DA2003" i="1"/>
  <c r="CY2003" i="1"/>
  <c r="CX2003" i="1"/>
  <c r="J2204" i="1"/>
  <c r="BL2003" i="1"/>
  <c r="BK2003" i="1"/>
  <c r="DG2002" i="1"/>
  <c r="M2205" i="1"/>
  <c r="L2205" i="1"/>
  <c r="DA2002" i="1"/>
  <c r="CY2002" i="1"/>
  <c r="CX2002" i="1"/>
  <c r="J2205" i="1"/>
  <c r="BL2002" i="1"/>
  <c r="BK2002" i="1"/>
  <c r="DG2001" i="1"/>
  <c r="M2206" i="1"/>
  <c r="L2206" i="1"/>
  <c r="DA2001" i="1"/>
  <c r="CY2001" i="1"/>
  <c r="CX2001" i="1"/>
  <c r="J2206" i="1"/>
  <c r="BL2001" i="1"/>
  <c r="BK2001" i="1"/>
  <c r="DG2000" i="1"/>
  <c r="M2207" i="1"/>
  <c r="L2207" i="1"/>
  <c r="DA2000" i="1"/>
  <c r="CY2000" i="1"/>
  <c r="CX2000" i="1"/>
  <c r="J2207" i="1"/>
  <c r="BL2000" i="1"/>
  <c r="BK2000" i="1"/>
  <c r="DG1999" i="1"/>
  <c r="M2208" i="1"/>
  <c r="L2208" i="1"/>
  <c r="DA1999" i="1"/>
  <c r="CY1999" i="1"/>
  <c r="CX1999" i="1"/>
  <c r="J2208" i="1"/>
  <c r="BL1999" i="1"/>
  <c r="BK1999" i="1"/>
  <c r="DG1998" i="1"/>
  <c r="M2209" i="1"/>
  <c r="L2209" i="1"/>
  <c r="DA1998" i="1"/>
  <c r="CY1998" i="1"/>
  <c r="CX1998" i="1"/>
  <c r="J2209" i="1"/>
  <c r="BL1998" i="1"/>
  <c r="BK1998" i="1"/>
  <c r="DG1997" i="1"/>
  <c r="M2210" i="1"/>
  <c r="L2210" i="1"/>
  <c r="DA1997" i="1"/>
  <c r="CY1997" i="1"/>
  <c r="CX1997" i="1"/>
  <c r="J2210" i="1"/>
  <c r="BL1997" i="1"/>
  <c r="BK1997" i="1"/>
  <c r="DG1996" i="1"/>
  <c r="M2211" i="1"/>
  <c r="L2211" i="1"/>
  <c r="DA1996" i="1"/>
  <c r="CY1996" i="1"/>
  <c r="CX1996" i="1"/>
  <c r="J2211" i="1"/>
  <c r="BL1996" i="1"/>
  <c r="BK1996" i="1"/>
  <c r="DG1995" i="1"/>
  <c r="M2212" i="1"/>
  <c r="L2212" i="1"/>
  <c r="DA1995" i="1"/>
  <c r="CY1995" i="1"/>
  <c r="CX1995" i="1"/>
  <c r="J2212" i="1"/>
  <c r="BL1995" i="1"/>
  <c r="BK1995" i="1"/>
  <c r="DG1994" i="1"/>
  <c r="M2213" i="1"/>
  <c r="L2213" i="1"/>
  <c r="DA1994" i="1"/>
  <c r="CY1994" i="1"/>
  <c r="CX1994" i="1"/>
  <c r="J2213" i="1"/>
  <c r="BL1994" i="1"/>
  <c r="BK1994" i="1"/>
  <c r="DG1993" i="1"/>
  <c r="M2214" i="1"/>
  <c r="L2214" i="1"/>
  <c r="DA1993" i="1"/>
  <c r="CY1993" i="1"/>
  <c r="CX1993" i="1"/>
  <c r="J2214" i="1"/>
  <c r="BL1993" i="1"/>
  <c r="BK1993" i="1"/>
  <c r="DG1992" i="1"/>
  <c r="M2215" i="1"/>
  <c r="L2215" i="1"/>
  <c r="DA1992" i="1"/>
  <c r="CY1992" i="1"/>
  <c r="CX1992" i="1"/>
  <c r="J2215" i="1"/>
  <c r="BL1992" i="1"/>
  <c r="BK1992" i="1"/>
  <c r="DG1991" i="1"/>
  <c r="M2216" i="1"/>
  <c r="L2216" i="1"/>
  <c r="DA1991" i="1"/>
  <c r="CY1991" i="1"/>
  <c r="CX1991" i="1"/>
  <c r="J2216" i="1"/>
  <c r="BL1991" i="1"/>
  <c r="BK1991" i="1"/>
  <c r="DG1990" i="1"/>
  <c r="M1837" i="1"/>
  <c r="L1837" i="1"/>
  <c r="DA1990" i="1"/>
  <c r="CY1990" i="1"/>
  <c r="CX1990" i="1"/>
  <c r="J1837" i="1"/>
  <c r="BL1990" i="1"/>
  <c r="BK1990" i="1"/>
  <c r="DG1989" i="1"/>
  <c r="M2218" i="1"/>
  <c r="L2218" i="1"/>
  <c r="DA1989" i="1"/>
  <c r="CY1989" i="1"/>
  <c r="CX1989" i="1"/>
  <c r="J2218" i="1"/>
  <c r="BL1989" i="1"/>
  <c r="BK1989" i="1"/>
  <c r="DG1988" i="1"/>
  <c r="M2219" i="1"/>
  <c r="L2219" i="1"/>
  <c r="DA1988" i="1"/>
  <c r="CY1988" i="1"/>
  <c r="CX1988" i="1"/>
  <c r="J2219" i="1"/>
  <c r="BL1988" i="1"/>
  <c r="BK1988" i="1"/>
  <c r="DG1987" i="1"/>
  <c r="M2220" i="1"/>
  <c r="L2220" i="1"/>
  <c r="DA1987" i="1"/>
  <c r="CY1987" i="1"/>
  <c r="CX1987" i="1"/>
  <c r="J2220" i="1"/>
  <c r="BL1987" i="1"/>
  <c r="BK1987" i="1"/>
  <c r="DG1986" i="1"/>
  <c r="M2221" i="1"/>
  <c r="L2221" i="1"/>
  <c r="DA1986" i="1"/>
  <c r="CY1986" i="1"/>
  <c r="CX1986" i="1"/>
  <c r="J2221" i="1"/>
  <c r="BL1986" i="1"/>
  <c r="BK1986" i="1"/>
  <c r="DG1985" i="1"/>
  <c r="M2222" i="1"/>
  <c r="L2222" i="1"/>
  <c r="DA1985" i="1"/>
  <c r="CY1985" i="1"/>
  <c r="CX1985" i="1"/>
  <c r="J2222" i="1"/>
  <c r="BL1985" i="1"/>
  <c r="BK1985" i="1"/>
  <c r="DG1984" i="1"/>
  <c r="M2223" i="1"/>
  <c r="L2223" i="1"/>
  <c r="DA1984" i="1"/>
  <c r="CY1984" i="1"/>
  <c r="CX1984" i="1"/>
  <c r="J2223" i="1"/>
  <c r="BL1984" i="1"/>
  <c r="BK1984" i="1"/>
  <c r="DG1983" i="1"/>
  <c r="M2224" i="1"/>
  <c r="L2224" i="1"/>
  <c r="DA1983" i="1"/>
  <c r="CY1983" i="1"/>
  <c r="CX1983" i="1"/>
  <c r="J2224" i="1"/>
  <c r="BL1983" i="1"/>
  <c r="BK1983" i="1"/>
  <c r="DG1982" i="1"/>
  <c r="M2225" i="1"/>
  <c r="L2225" i="1"/>
  <c r="DA1982" i="1"/>
  <c r="CY1982" i="1"/>
  <c r="CX1982" i="1"/>
  <c r="J2225" i="1"/>
  <c r="BL1982" i="1"/>
  <c r="BK1982" i="1"/>
  <c r="DG1981" i="1"/>
  <c r="M2226" i="1"/>
  <c r="L2226" i="1"/>
  <c r="DA1981" i="1"/>
  <c r="CY1981" i="1"/>
  <c r="CX1981" i="1"/>
  <c r="J2226" i="1"/>
  <c r="BL1981" i="1"/>
  <c r="BK1981" i="1"/>
  <c r="DG1980" i="1"/>
  <c r="M2227" i="1"/>
  <c r="L2227" i="1"/>
  <c r="DA1980" i="1"/>
  <c r="CY1980" i="1"/>
  <c r="CX1980" i="1"/>
  <c r="J2227" i="1"/>
  <c r="BL1980" i="1"/>
  <c r="BK1980" i="1"/>
  <c r="DG1979" i="1"/>
  <c r="M2228" i="1"/>
  <c r="L2228" i="1"/>
  <c r="DA1979" i="1"/>
  <c r="CY1979" i="1"/>
  <c r="CX1979" i="1"/>
  <c r="J2228" i="1"/>
  <c r="BL1979" i="1"/>
  <c r="BK1979" i="1"/>
  <c r="DG1978" i="1"/>
  <c r="M2229" i="1"/>
  <c r="L2229" i="1"/>
  <c r="DA1978" i="1"/>
  <c r="CY1978" i="1"/>
  <c r="CX1978" i="1"/>
  <c r="J2229" i="1"/>
  <c r="BL1978" i="1"/>
  <c r="BK1978" i="1"/>
  <c r="DG1977" i="1"/>
  <c r="M2230" i="1"/>
  <c r="L2230" i="1"/>
  <c r="DA1977" i="1"/>
  <c r="CY1977" i="1"/>
  <c r="CX1977" i="1"/>
  <c r="J2230" i="1"/>
  <c r="BL1977" i="1"/>
  <c r="BK1977" i="1"/>
  <c r="DG1976" i="1"/>
  <c r="M2231" i="1"/>
  <c r="L2231" i="1"/>
  <c r="DA1976" i="1"/>
  <c r="CY1976" i="1"/>
  <c r="CX1976" i="1"/>
  <c r="J2231" i="1"/>
  <c r="BL1976" i="1"/>
  <c r="BK1976" i="1"/>
  <c r="DG1975" i="1"/>
  <c r="M2232" i="1"/>
  <c r="L2232" i="1"/>
  <c r="DA1975" i="1"/>
  <c r="CY1975" i="1"/>
  <c r="CX1975" i="1"/>
  <c r="J2232" i="1"/>
  <c r="BL1975" i="1"/>
  <c r="BK1975" i="1"/>
  <c r="DG1974" i="1"/>
  <c r="M1184" i="1"/>
  <c r="L1184" i="1"/>
  <c r="DA1974" i="1"/>
  <c r="CY1974" i="1"/>
  <c r="CX1974" i="1"/>
  <c r="J1184" i="1"/>
  <c r="BL1974" i="1"/>
  <c r="BK1974" i="1"/>
  <c r="DG1973" i="1"/>
  <c r="M2234" i="1"/>
  <c r="L2234" i="1"/>
  <c r="DA1973" i="1"/>
  <c r="CY1973" i="1"/>
  <c r="CX1973" i="1"/>
  <c r="J2234" i="1"/>
  <c r="BL1973" i="1"/>
  <c r="BK1973" i="1"/>
  <c r="DG1972" i="1"/>
  <c r="M2235" i="1"/>
  <c r="L2235" i="1"/>
  <c r="DA1972" i="1"/>
  <c r="CY1972" i="1"/>
  <c r="CX1972" i="1"/>
  <c r="J2235" i="1"/>
  <c r="BL1972" i="1"/>
  <c r="BK1972" i="1"/>
  <c r="DG1971" i="1"/>
  <c r="M2236" i="1"/>
  <c r="L2236" i="1"/>
  <c r="DA1971" i="1"/>
  <c r="CY1971" i="1"/>
  <c r="CX1971" i="1"/>
  <c r="J2236" i="1"/>
  <c r="BL1971" i="1"/>
  <c r="BK1971" i="1"/>
  <c r="DG1970" i="1"/>
  <c r="M2237" i="1"/>
  <c r="L2237" i="1"/>
  <c r="DA1970" i="1"/>
  <c r="CY1970" i="1"/>
  <c r="CX1970" i="1"/>
  <c r="J2237" i="1"/>
  <c r="BL1970" i="1"/>
  <c r="BK1970" i="1"/>
  <c r="DG1969" i="1"/>
  <c r="M2238" i="1"/>
  <c r="L2238" i="1"/>
  <c r="DA1969" i="1"/>
  <c r="CY1969" i="1"/>
  <c r="CX1969" i="1"/>
  <c r="J2238" i="1"/>
  <c r="BL1969" i="1"/>
  <c r="BK1969" i="1"/>
  <c r="DG1968" i="1"/>
  <c r="M2239" i="1"/>
  <c r="L2239" i="1"/>
  <c r="DA1968" i="1"/>
  <c r="CY1968" i="1"/>
  <c r="CX1968" i="1"/>
  <c r="J2239" i="1"/>
  <c r="BL1968" i="1"/>
  <c r="BK1968" i="1"/>
  <c r="DG1967" i="1"/>
  <c r="M2240" i="1"/>
  <c r="L2240" i="1"/>
  <c r="DA1967" i="1"/>
  <c r="CY1967" i="1"/>
  <c r="CX1967" i="1"/>
  <c r="J2240" i="1"/>
  <c r="BL1967" i="1"/>
  <c r="BK1967" i="1"/>
  <c r="DG1966" i="1"/>
  <c r="M2241" i="1"/>
  <c r="L2241" i="1"/>
  <c r="DA1966" i="1"/>
  <c r="CY1966" i="1"/>
  <c r="CX1966" i="1"/>
  <c r="J2241" i="1"/>
  <c r="BL1966" i="1"/>
  <c r="BK1966" i="1"/>
  <c r="DG1965" i="1"/>
  <c r="M2242" i="1"/>
  <c r="L2242" i="1"/>
  <c r="DA1965" i="1"/>
  <c r="CY1965" i="1"/>
  <c r="CX1965" i="1"/>
  <c r="J2242" i="1"/>
  <c r="BL1965" i="1"/>
  <c r="BK1965" i="1"/>
  <c r="DG1964" i="1"/>
  <c r="M2243" i="1"/>
  <c r="L2243" i="1"/>
  <c r="DA1964" i="1"/>
  <c r="CY1964" i="1"/>
  <c r="CX1964" i="1"/>
  <c r="J2243" i="1"/>
  <c r="BL1964" i="1"/>
  <c r="BK1964" i="1"/>
  <c r="DG1963" i="1"/>
  <c r="M2244" i="1"/>
  <c r="L2244" i="1"/>
  <c r="DA1963" i="1"/>
  <c r="CY1963" i="1"/>
  <c r="CX1963" i="1"/>
  <c r="J2244" i="1"/>
  <c r="BL1963" i="1"/>
  <c r="BK1963" i="1"/>
  <c r="DG1962" i="1"/>
  <c r="M2245" i="1"/>
  <c r="L2245" i="1"/>
  <c r="DA1962" i="1"/>
  <c r="CY1962" i="1"/>
  <c r="CX1962" i="1"/>
  <c r="J2245" i="1"/>
  <c r="BL1962" i="1"/>
  <c r="BK1962" i="1"/>
  <c r="DG1961" i="1"/>
  <c r="M2246" i="1"/>
  <c r="L2246" i="1"/>
  <c r="DA1961" i="1"/>
  <c r="CY1961" i="1"/>
  <c r="CX1961" i="1"/>
  <c r="J2246" i="1"/>
  <c r="BL1961" i="1"/>
  <c r="BK1961" i="1"/>
  <c r="DG1960" i="1"/>
  <c r="M2247" i="1"/>
  <c r="L2247" i="1"/>
  <c r="DA1960" i="1"/>
  <c r="CY1960" i="1"/>
  <c r="CX1960" i="1"/>
  <c r="J2247" i="1"/>
  <c r="BL1960" i="1"/>
  <c r="BK1960" i="1"/>
  <c r="DG1959" i="1"/>
  <c r="M2248" i="1"/>
  <c r="L2248" i="1"/>
  <c r="DA1959" i="1"/>
  <c r="CY1959" i="1"/>
  <c r="CX1959" i="1"/>
  <c r="J2248" i="1"/>
  <c r="BL1959" i="1"/>
  <c r="BK1959" i="1"/>
  <c r="DG1958" i="1"/>
  <c r="M2249" i="1"/>
  <c r="L2249" i="1"/>
  <c r="DA1958" i="1"/>
  <c r="CY1958" i="1"/>
  <c r="CX1958" i="1"/>
  <c r="J2249" i="1"/>
  <c r="BL1958" i="1"/>
  <c r="BK1958" i="1"/>
  <c r="DG1957" i="1"/>
  <c r="M2250" i="1"/>
  <c r="L2250" i="1"/>
  <c r="DA1957" i="1"/>
  <c r="CY1957" i="1"/>
  <c r="CX1957" i="1"/>
  <c r="J2250" i="1"/>
  <c r="BL1957" i="1"/>
  <c r="BK1957" i="1"/>
  <c r="DG1956" i="1"/>
  <c r="M2251" i="1"/>
  <c r="L2251" i="1"/>
  <c r="DA1956" i="1"/>
  <c r="CY1956" i="1"/>
  <c r="CX1956" i="1"/>
  <c r="J2251" i="1"/>
  <c r="BL1956" i="1"/>
  <c r="BK1956" i="1"/>
  <c r="DG1955" i="1"/>
  <c r="M2252" i="1"/>
  <c r="L2252" i="1"/>
  <c r="DA1955" i="1"/>
  <c r="CY1955" i="1"/>
  <c r="CX1955" i="1"/>
  <c r="J2252" i="1"/>
  <c r="BL1955" i="1"/>
  <c r="BK1955" i="1"/>
  <c r="DG1954" i="1"/>
  <c r="M2253" i="1"/>
  <c r="L2253" i="1"/>
  <c r="DA1954" i="1"/>
  <c r="CY1954" i="1"/>
  <c r="CX1954" i="1"/>
  <c r="J2253" i="1"/>
  <c r="BL1954" i="1"/>
  <c r="BK1954" i="1"/>
  <c r="DG1953" i="1"/>
  <c r="M2254" i="1"/>
  <c r="L2254" i="1"/>
  <c r="DA1953" i="1"/>
  <c r="CY1953" i="1"/>
  <c r="CX1953" i="1"/>
  <c r="J2254" i="1"/>
  <c r="BL1953" i="1"/>
  <c r="BK1953" i="1"/>
  <c r="DG1952" i="1"/>
  <c r="M2255" i="1"/>
  <c r="L2255" i="1"/>
  <c r="DA1952" i="1"/>
  <c r="CY1952" i="1"/>
  <c r="CX1952" i="1"/>
  <c r="J2255" i="1"/>
  <c r="BL1952" i="1"/>
  <c r="BK1952" i="1"/>
  <c r="DG1951" i="1"/>
  <c r="M2256" i="1"/>
  <c r="L2256" i="1"/>
  <c r="DA1951" i="1"/>
  <c r="CY1951" i="1"/>
  <c r="CX1951" i="1"/>
  <c r="J2256" i="1"/>
  <c r="BL1951" i="1"/>
  <c r="BK1951" i="1"/>
  <c r="DG1950" i="1"/>
  <c r="M2257" i="1"/>
  <c r="L2257" i="1"/>
  <c r="DA1950" i="1"/>
  <c r="CY1950" i="1"/>
  <c r="CX1950" i="1"/>
  <c r="J2257" i="1"/>
  <c r="BL1950" i="1"/>
  <c r="BK1950" i="1"/>
  <c r="DG1949" i="1"/>
  <c r="M2258" i="1"/>
  <c r="L2258" i="1"/>
  <c r="DA1949" i="1"/>
  <c r="CY1949" i="1"/>
  <c r="CX1949" i="1"/>
  <c r="J2258" i="1"/>
  <c r="BL1949" i="1"/>
  <c r="BK1949" i="1"/>
  <c r="DG1948" i="1"/>
  <c r="M2259" i="1"/>
  <c r="L2259" i="1"/>
  <c r="DA1948" i="1"/>
  <c r="CY1948" i="1"/>
  <c r="CX1948" i="1"/>
  <c r="J2259" i="1"/>
  <c r="BL1948" i="1"/>
  <c r="BK1948" i="1"/>
  <c r="DG1947" i="1"/>
  <c r="M2260" i="1"/>
  <c r="L2260" i="1"/>
  <c r="DA1947" i="1"/>
  <c r="CY1947" i="1"/>
  <c r="CX1947" i="1"/>
  <c r="J2260" i="1"/>
  <c r="BL1947" i="1"/>
  <c r="BK1947" i="1"/>
  <c r="DG1946" i="1"/>
  <c r="M2261" i="1"/>
  <c r="L2261" i="1"/>
  <c r="DA1946" i="1"/>
  <c r="CY1946" i="1"/>
  <c r="CX1946" i="1"/>
  <c r="J2261" i="1"/>
  <c r="BL1946" i="1"/>
  <c r="BK1946" i="1"/>
  <c r="DG1945" i="1"/>
  <c r="M2262" i="1"/>
  <c r="L2262" i="1"/>
  <c r="DA1945" i="1"/>
  <c r="CY1945" i="1"/>
  <c r="CX1945" i="1"/>
  <c r="J2262" i="1"/>
  <c r="BL1945" i="1"/>
  <c r="BK1945" i="1"/>
  <c r="DG1944" i="1"/>
  <c r="M2263" i="1"/>
  <c r="L2263" i="1"/>
  <c r="DA1944" i="1"/>
  <c r="CY1944" i="1"/>
  <c r="CX1944" i="1"/>
  <c r="J2263" i="1"/>
  <c r="BL1944" i="1"/>
  <c r="BK1944" i="1"/>
  <c r="DG1943" i="1"/>
  <c r="M2264" i="1"/>
  <c r="L2264" i="1"/>
  <c r="DA1943" i="1"/>
  <c r="CY1943" i="1"/>
  <c r="CX1943" i="1"/>
  <c r="J2264" i="1"/>
  <c r="BL1943" i="1"/>
  <c r="BK1943" i="1"/>
  <c r="DG1942" i="1"/>
  <c r="M2421" i="1"/>
  <c r="L2421" i="1"/>
  <c r="DA1942" i="1"/>
  <c r="CY1942" i="1"/>
  <c r="CX1942" i="1"/>
  <c r="J2421" i="1"/>
  <c r="BL1942" i="1"/>
  <c r="BK1942" i="1"/>
  <c r="DG1941" i="1"/>
  <c r="M1183" i="1"/>
  <c r="L1183" i="1"/>
  <c r="DA1941" i="1"/>
  <c r="CY1941" i="1"/>
  <c r="CX1941" i="1"/>
  <c r="J1183" i="1"/>
  <c r="BL1941" i="1"/>
  <c r="BK1941" i="1"/>
  <c r="DG1940" i="1"/>
  <c r="M1182" i="1"/>
  <c r="L1182" i="1"/>
  <c r="DA1940" i="1"/>
  <c r="CY1940" i="1"/>
  <c r="CX1940" i="1"/>
  <c r="J1182" i="1"/>
  <c r="BL1940" i="1"/>
  <c r="BK1940" i="1"/>
  <c r="DG1939" i="1"/>
  <c r="M2417" i="1"/>
  <c r="L2417" i="1"/>
  <c r="DA1939" i="1"/>
  <c r="CY1939" i="1"/>
  <c r="CX1939" i="1"/>
  <c r="J2417" i="1"/>
  <c r="BL1939" i="1"/>
  <c r="BK1939" i="1"/>
  <c r="DG1938" i="1"/>
  <c r="M1181" i="1"/>
  <c r="L1181" i="1"/>
  <c r="DA1938" i="1"/>
  <c r="CY1938" i="1"/>
  <c r="CX1938" i="1"/>
  <c r="J1181" i="1"/>
  <c r="BL1938" i="1"/>
  <c r="BK1938" i="1"/>
  <c r="DG1937" i="1"/>
  <c r="M3856" i="1"/>
  <c r="L3856" i="1"/>
  <c r="DA1937" i="1"/>
  <c r="CY1937" i="1"/>
  <c r="CX1937" i="1"/>
  <c r="J3856" i="1"/>
  <c r="CW1937" i="1"/>
  <c r="BL1937" i="1"/>
  <c r="BK1937" i="1"/>
  <c r="DG1936" i="1"/>
  <c r="M1180" i="1"/>
  <c r="L1180" i="1"/>
  <c r="DA1936" i="1"/>
  <c r="CY1936" i="1"/>
  <c r="CX1936" i="1"/>
  <c r="J1180" i="1"/>
  <c r="BL1936" i="1"/>
  <c r="BK1936" i="1"/>
  <c r="DG1935" i="1"/>
  <c r="M2413" i="1"/>
  <c r="L2413" i="1"/>
  <c r="DA1935" i="1"/>
  <c r="CY1935" i="1"/>
  <c r="CX1935" i="1"/>
  <c r="J2413" i="1"/>
  <c r="BL1935" i="1"/>
  <c r="BK1935" i="1"/>
  <c r="DG1934" i="1"/>
  <c r="M1179" i="1"/>
  <c r="L1179" i="1"/>
  <c r="DA1934" i="1"/>
  <c r="CY1934" i="1"/>
  <c r="CX1934" i="1"/>
  <c r="J1179" i="1"/>
  <c r="BL1934" i="1"/>
  <c r="BK1934" i="1"/>
  <c r="DG1933" i="1"/>
  <c r="M2411" i="1"/>
  <c r="L2411" i="1"/>
  <c r="DA1933" i="1"/>
  <c r="CY1933" i="1"/>
  <c r="CX1933" i="1"/>
  <c r="J2411" i="1"/>
  <c r="BL1933" i="1"/>
  <c r="BK1933" i="1"/>
  <c r="DG1932" i="1"/>
  <c r="M2409" i="1"/>
  <c r="L2409" i="1"/>
  <c r="DA1932" i="1"/>
  <c r="CY1932" i="1"/>
  <c r="CX1932" i="1"/>
  <c r="J2409" i="1"/>
  <c r="BL1932" i="1"/>
  <c r="BK1932" i="1"/>
  <c r="DG1931" i="1"/>
  <c r="M1178" i="1"/>
  <c r="L1178" i="1"/>
  <c r="DA1931" i="1"/>
  <c r="CY1931" i="1"/>
  <c r="CX1931" i="1"/>
  <c r="J1178" i="1"/>
  <c r="BL1931" i="1"/>
  <c r="BK1931" i="1"/>
  <c r="DG1930" i="1"/>
  <c r="M1177" i="1"/>
  <c r="L1177" i="1"/>
  <c r="DA1930" i="1"/>
  <c r="CY1930" i="1"/>
  <c r="CX1930" i="1"/>
  <c r="J1177" i="1"/>
  <c r="BL1930" i="1"/>
  <c r="BK1930" i="1"/>
  <c r="DG1929" i="1"/>
  <c r="M3855" i="1"/>
  <c r="L3855" i="1"/>
  <c r="DA1929" i="1"/>
  <c r="CY1929" i="1"/>
  <c r="CX1929" i="1"/>
  <c r="J3855" i="1"/>
  <c r="CW1929" i="1"/>
  <c r="BL1929" i="1"/>
  <c r="BK1929" i="1"/>
  <c r="DG1928" i="1"/>
  <c r="M1176" i="1"/>
  <c r="L1176" i="1"/>
  <c r="DA1928" i="1"/>
  <c r="CY1928" i="1"/>
  <c r="CX1928" i="1"/>
  <c r="J1176" i="1"/>
  <c r="BL1928" i="1"/>
  <c r="BK1928" i="1"/>
  <c r="DG1927" i="1"/>
  <c r="M1175" i="1"/>
  <c r="L1175" i="1"/>
  <c r="DA1927" i="1"/>
  <c r="CY1927" i="1"/>
  <c r="CX1927" i="1"/>
  <c r="J1175" i="1"/>
  <c r="BL1927" i="1"/>
  <c r="BK1927" i="1"/>
  <c r="DG1926" i="1"/>
  <c r="M3438" i="1"/>
  <c r="L3438" i="1"/>
  <c r="DA1926" i="1"/>
  <c r="CY1926" i="1"/>
  <c r="CX1926" i="1"/>
  <c r="J3438" i="1"/>
  <c r="CW1926" i="1"/>
  <c r="BL1926" i="1"/>
  <c r="BK1926" i="1"/>
  <c r="DG1925" i="1"/>
  <c r="M1174" i="1"/>
  <c r="L1174" i="1"/>
  <c r="DA1925" i="1"/>
  <c r="CY1925" i="1"/>
  <c r="CX1925" i="1"/>
  <c r="J1174" i="1"/>
  <c r="BL1925" i="1"/>
  <c r="BK1925" i="1"/>
  <c r="DG1924" i="1"/>
  <c r="M2401" i="1"/>
  <c r="L2401" i="1"/>
  <c r="DA1924" i="1"/>
  <c r="CY1924" i="1"/>
  <c r="CX1924" i="1"/>
  <c r="J2401" i="1"/>
  <c r="BL1924" i="1"/>
  <c r="BK1924" i="1"/>
  <c r="DG1923" i="1"/>
  <c r="M1173" i="1"/>
  <c r="L1173" i="1"/>
  <c r="DA1923" i="1"/>
  <c r="CY1923" i="1"/>
  <c r="CX1923" i="1"/>
  <c r="J1173" i="1"/>
  <c r="BL1923" i="1"/>
  <c r="BK1923" i="1"/>
  <c r="DG1922" i="1"/>
  <c r="M3437" i="1"/>
  <c r="L3437" i="1"/>
  <c r="DA1922" i="1"/>
  <c r="CY1922" i="1"/>
  <c r="CX1922" i="1"/>
  <c r="J3437" i="1"/>
  <c r="CW1922" i="1"/>
  <c r="BL1922" i="1"/>
  <c r="BK1922" i="1"/>
  <c r="DG1921" i="1"/>
  <c r="M1172" i="1"/>
  <c r="L1172" i="1"/>
  <c r="DA1921" i="1"/>
  <c r="CY1921" i="1"/>
  <c r="CX1921" i="1"/>
  <c r="J1172" i="1"/>
  <c r="BL1921" i="1"/>
  <c r="BK1921" i="1"/>
  <c r="DG1920" i="1"/>
  <c r="M1171" i="1"/>
  <c r="L1171" i="1"/>
  <c r="DA1920" i="1"/>
  <c r="CY1920" i="1"/>
  <c r="CX1920" i="1"/>
  <c r="J1171" i="1"/>
  <c r="BL1920" i="1"/>
  <c r="BK1920" i="1"/>
  <c r="DG1919" i="1"/>
  <c r="M3436" i="1"/>
  <c r="L3436" i="1"/>
  <c r="DA1919" i="1"/>
  <c r="CY1919" i="1"/>
  <c r="CX1919" i="1"/>
  <c r="J3436" i="1"/>
  <c r="CW1919" i="1"/>
  <c r="BL1919" i="1"/>
  <c r="BK1919" i="1"/>
  <c r="DG1918" i="1"/>
  <c r="M1170" i="1"/>
  <c r="L1170" i="1"/>
  <c r="DA1918" i="1"/>
  <c r="CY1918" i="1"/>
  <c r="CX1918" i="1"/>
  <c r="J1170" i="1"/>
  <c r="BL1918" i="1"/>
  <c r="BK1918" i="1"/>
  <c r="DG1917" i="1"/>
  <c r="M2393" i="1"/>
  <c r="L2393" i="1"/>
  <c r="DA1917" i="1"/>
  <c r="CY1917" i="1"/>
  <c r="CX1917" i="1"/>
  <c r="J2393" i="1"/>
  <c r="BL1917" i="1"/>
  <c r="BK1917" i="1"/>
  <c r="DG1916" i="1"/>
  <c r="M1169" i="1"/>
  <c r="L1169" i="1"/>
  <c r="DA1916" i="1"/>
  <c r="CY1916" i="1"/>
  <c r="CX1916" i="1"/>
  <c r="J1169" i="1"/>
  <c r="BL1916" i="1"/>
  <c r="BK1916" i="1"/>
  <c r="DG1915" i="1"/>
  <c r="M3435" i="1"/>
  <c r="L3435" i="1"/>
  <c r="DA1915" i="1"/>
  <c r="CY1915" i="1"/>
  <c r="CX1915" i="1"/>
  <c r="J3435" i="1"/>
  <c r="CW1915" i="1"/>
  <c r="BL1915" i="1"/>
  <c r="BK1915" i="1"/>
  <c r="DG1914" i="1"/>
  <c r="M3854" i="1"/>
  <c r="L3854" i="1"/>
  <c r="DA1914" i="1"/>
  <c r="CY1914" i="1"/>
  <c r="CX1914" i="1"/>
  <c r="J3854" i="1"/>
  <c r="CW1914" i="1"/>
  <c r="BL1914" i="1"/>
  <c r="BK1914" i="1"/>
  <c r="DG1913" i="1"/>
  <c r="M3853" i="1"/>
  <c r="L3853" i="1"/>
  <c r="DA1913" i="1"/>
  <c r="CY1913" i="1"/>
  <c r="CX1913" i="1"/>
  <c r="J3853" i="1"/>
  <c r="CW1913" i="1"/>
  <c r="BL1913" i="1"/>
  <c r="BK1913" i="1"/>
  <c r="DG1912" i="1"/>
  <c r="M1836" i="1"/>
  <c r="L1836" i="1"/>
  <c r="DA1912" i="1"/>
  <c r="CY1912" i="1"/>
  <c r="CX1912" i="1"/>
  <c r="J1836" i="1"/>
  <c r="BL1912" i="1"/>
  <c r="BK1912" i="1"/>
  <c r="DG1911" i="1"/>
  <c r="M1835" i="1"/>
  <c r="L1835" i="1"/>
  <c r="DA1911" i="1"/>
  <c r="CY1911" i="1"/>
  <c r="CX1911" i="1"/>
  <c r="J1835" i="1"/>
  <c r="BL1911" i="1"/>
  <c r="BK1911" i="1"/>
  <c r="DG1910" i="1"/>
  <c r="M1168" i="1"/>
  <c r="L1168" i="1"/>
  <c r="DA1910" i="1"/>
  <c r="CY1910" i="1"/>
  <c r="CX1910" i="1"/>
  <c r="J1168" i="1"/>
  <c r="BL1910" i="1"/>
  <c r="BK1910" i="1"/>
  <c r="DG1909" i="1"/>
  <c r="M1166" i="1"/>
  <c r="L1166" i="1"/>
  <c r="DA1909" i="1"/>
  <c r="CY1909" i="1"/>
  <c r="CX1909" i="1"/>
  <c r="J1166" i="1"/>
  <c r="BL1909" i="1"/>
  <c r="BK1909" i="1"/>
  <c r="DG1908" i="1"/>
  <c r="M3434" i="1"/>
  <c r="L3434" i="1"/>
  <c r="DA1908" i="1"/>
  <c r="CY1908" i="1"/>
  <c r="CX1908" i="1"/>
  <c r="J3434" i="1"/>
  <c r="CW1908" i="1"/>
  <c r="BL1908" i="1"/>
  <c r="BK1908" i="1"/>
  <c r="DG1907" i="1"/>
  <c r="M1165" i="1"/>
  <c r="L1165" i="1"/>
  <c r="DA1907" i="1"/>
  <c r="CY1907" i="1"/>
  <c r="CX1907" i="1"/>
  <c r="J1165" i="1"/>
  <c r="BL1907" i="1"/>
  <c r="BK1907" i="1"/>
  <c r="DG1906" i="1"/>
  <c r="M1164" i="1"/>
  <c r="L1164" i="1"/>
  <c r="DA1906" i="1"/>
  <c r="CY1906" i="1"/>
  <c r="CX1906" i="1"/>
  <c r="J1164" i="1"/>
  <c r="BL1906" i="1"/>
  <c r="BK1906" i="1"/>
  <c r="DG1905" i="1"/>
  <c r="M3433" i="1"/>
  <c r="L3433" i="1"/>
  <c r="DA1905" i="1"/>
  <c r="CY1905" i="1"/>
  <c r="CX1905" i="1"/>
  <c r="J3433" i="1"/>
  <c r="CW1905" i="1"/>
  <c r="BL1905" i="1"/>
  <c r="BK1905" i="1"/>
  <c r="DG1904" i="1"/>
  <c r="M3852" i="1"/>
  <c r="L3852" i="1"/>
  <c r="DA1904" i="1"/>
  <c r="CY1904" i="1"/>
  <c r="CX1904" i="1"/>
  <c r="J3852" i="1"/>
  <c r="CW1904" i="1"/>
  <c r="BL1904" i="1"/>
  <c r="BK1904" i="1"/>
  <c r="DG1903" i="1"/>
  <c r="M1163" i="1"/>
  <c r="L1163" i="1"/>
  <c r="DA1903" i="1"/>
  <c r="CY1903" i="1"/>
  <c r="CX1903" i="1"/>
  <c r="J1163" i="1"/>
  <c r="BL1903" i="1"/>
  <c r="BK1903" i="1"/>
  <c r="DG1902" i="1"/>
  <c r="M1162" i="1"/>
  <c r="L1162" i="1"/>
  <c r="DA1902" i="1"/>
  <c r="CY1902" i="1"/>
  <c r="CX1902" i="1"/>
  <c r="J1162" i="1"/>
  <c r="BL1902" i="1"/>
  <c r="BK1902" i="1"/>
  <c r="DG1901" i="1"/>
  <c r="M3432" i="1"/>
  <c r="L3432" i="1"/>
  <c r="DA1901" i="1"/>
  <c r="CY1901" i="1"/>
  <c r="CX1901" i="1"/>
  <c r="J3432" i="1"/>
  <c r="CW1901" i="1"/>
  <c r="BL1901" i="1"/>
  <c r="BK1901" i="1"/>
  <c r="DG1900" i="1"/>
  <c r="M1161" i="1"/>
  <c r="L1161" i="1"/>
  <c r="DA1900" i="1"/>
  <c r="CY1900" i="1"/>
  <c r="CX1900" i="1"/>
  <c r="J1161" i="1"/>
  <c r="BL1900" i="1"/>
  <c r="BK1900" i="1"/>
  <c r="DG1899" i="1"/>
  <c r="M1160" i="1"/>
  <c r="L1160" i="1"/>
  <c r="DA1899" i="1"/>
  <c r="CY1899" i="1"/>
  <c r="CX1899" i="1"/>
  <c r="J1160" i="1"/>
  <c r="BL1899" i="1"/>
  <c r="BK1899" i="1"/>
  <c r="DG1898" i="1"/>
  <c r="M3431" i="1"/>
  <c r="L3431" i="1"/>
  <c r="DA1898" i="1"/>
  <c r="CY1898" i="1"/>
  <c r="CX1898" i="1"/>
  <c r="J3431" i="1"/>
  <c r="CW1898" i="1"/>
  <c r="BL1898" i="1"/>
  <c r="BK1898" i="1"/>
  <c r="DG1897" i="1"/>
  <c r="M3851" i="1"/>
  <c r="L3851" i="1"/>
  <c r="DA1897" i="1"/>
  <c r="CY1897" i="1"/>
  <c r="CX1897" i="1"/>
  <c r="J3851" i="1"/>
  <c r="CW1897" i="1"/>
  <c r="BL1897" i="1"/>
  <c r="BK1897" i="1"/>
  <c r="DG1896" i="1"/>
  <c r="M1834" i="1"/>
  <c r="L1834" i="1"/>
  <c r="DA1896" i="1"/>
  <c r="CY1896" i="1"/>
  <c r="CX1896" i="1"/>
  <c r="J1834" i="1"/>
  <c r="BL1896" i="1"/>
  <c r="BK1896" i="1"/>
  <c r="DG1895" i="1"/>
  <c r="M1159" i="1"/>
  <c r="L1159" i="1"/>
  <c r="DA1895" i="1"/>
  <c r="CY1895" i="1"/>
  <c r="CX1895" i="1"/>
  <c r="J1159" i="1"/>
  <c r="BL1895" i="1"/>
  <c r="BK1895" i="1"/>
  <c r="DG1894" i="1"/>
  <c r="M1158" i="1"/>
  <c r="L1158" i="1"/>
  <c r="DA1894" i="1"/>
  <c r="CY1894" i="1"/>
  <c r="CX1894" i="1"/>
  <c r="J1158" i="1"/>
  <c r="BL1894" i="1"/>
  <c r="BK1894" i="1"/>
  <c r="DG1893" i="1"/>
  <c r="M3430" i="1"/>
  <c r="L3430" i="1"/>
  <c r="DA1893" i="1"/>
  <c r="CY1893" i="1"/>
  <c r="CX1893" i="1"/>
  <c r="J3430" i="1"/>
  <c r="CW1893" i="1"/>
  <c r="BL1893" i="1"/>
  <c r="BK1893" i="1"/>
  <c r="DG1892" i="1"/>
  <c r="M1157" i="1"/>
  <c r="L1157" i="1"/>
  <c r="DA1892" i="1"/>
  <c r="CY1892" i="1"/>
  <c r="CX1892" i="1"/>
  <c r="J1157" i="1"/>
  <c r="BL1892" i="1"/>
  <c r="BK1892" i="1"/>
  <c r="DG1891" i="1"/>
  <c r="M1156" i="1"/>
  <c r="L1156" i="1"/>
  <c r="DA1891" i="1"/>
  <c r="CY1891" i="1"/>
  <c r="CX1891" i="1"/>
  <c r="J1156" i="1"/>
  <c r="BL1891" i="1"/>
  <c r="BK1891" i="1"/>
  <c r="DG1890" i="1"/>
  <c r="M3429" i="1"/>
  <c r="L3429" i="1"/>
  <c r="DA1890" i="1"/>
  <c r="CY1890" i="1"/>
  <c r="CX1890" i="1"/>
  <c r="J3429" i="1"/>
  <c r="CW1890" i="1"/>
  <c r="BL1890" i="1"/>
  <c r="BK1890" i="1"/>
  <c r="DG1889" i="1"/>
  <c r="M3850" i="1"/>
  <c r="L3850" i="1"/>
  <c r="DA1889" i="1"/>
  <c r="CY1889" i="1"/>
  <c r="CX1889" i="1"/>
  <c r="J3850" i="1"/>
  <c r="CW1889" i="1"/>
  <c r="BL1889" i="1"/>
  <c r="BK1889" i="1"/>
  <c r="DG1888" i="1"/>
  <c r="M1155" i="1"/>
  <c r="L1155" i="1"/>
  <c r="DA1888" i="1"/>
  <c r="CY1888" i="1"/>
  <c r="CX1888" i="1"/>
  <c r="J1155" i="1"/>
  <c r="BL1888" i="1"/>
  <c r="BK1888" i="1"/>
  <c r="DG1887" i="1"/>
  <c r="M1154" i="1"/>
  <c r="L1154" i="1"/>
  <c r="DA1887" i="1"/>
  <c r="CY1887" i="1"/>
  <c r="CX1887" i="1"/>
  <c r="J1154" i="1"/>
  <c r="BL1887" i="1"/>
  <c r="BK1887" i="1"/>
  <c r="DG1886" i="1"/>
  <c r="M3428" i="1"/>
  <c r="L3428" i="1"/>
  <c r="DA1886" i="1"/>
  <c r="CY1886" i="1"/>
  <c r="CX1886" i="1"/>
  <c r="J3428" i="1"/>
  <c r="CW1886" i="1"/>
  <c r="BL1886" i="1"/>
  <c r="BK1886" i="1"/>
  <c r="DG1885" i="1"/>
  <c r="M1153" i="1"/>
  <c r="L1153" i="1"/>
  <c r="DA1885" i="1"/>
  <c r="CY1885" i="1"/>
  <c r="CX1885" i="1"/>
  <c r="J1153" i="1"/>
  <c r="BL1885" i="1"/>
  <c r="BK1885" i="1"/>
  <c r="DG1884" i="1"/>
  <c r="M2361" i="1"/>
  <c r="L2361" i="1"/>
  <c r="DA1884" i="1"/>
  <c r="CY1884" i="1"/>
  <c r="CX1884" i="1"/>
  <c r="J2361" i="1"/>
  <c r="BL1884" i="1"/>
  <c r="BK1884" i="1"/>
  <c r="DG1883" i="1"/>
  <c r="M1152" i="1"/>
  <c r="L1152" i="1"/>
  <c r="DA1883" i="1"/>
  <c r="CY1883" i="1"/>
  <c r="CX1883" i="1"/>
  <c r="J1152" i="1"/>
  <c r="BL1883" i="1"/>
  <c r="BK1883" i="1"/>
  <c r="DG1882" i="1"/>
  <c r="M3427" i="1"/>
  <c r="L3427" i="1"/>
  <c r="DA1882" i="1"/>
  <c r="CY1882" i="1"/>
  <c r="CX1882" i="1"/>
  <c r="J3427" i="1"/>
  <c r="CW1882" i="1"/>
  <c r="BL1882" i="1"/>
  <c r="BK1882" i="1"/>
  <c r="DG1881" i="1"/>
  <c r="M3849" i="1"/>
  <c r="L3849" i="1"/>
  <c r="DA1881" i="1"/>
  <c r="CY1881" i="1"/>
  <c r="CX1881" i="1"/>
  <c r="J3849" i="1"/>
  <c r="CW1881" i="1"/>
  <c r="BL1881" i="1"/>
  <c r="BK1881" i="1"/>
  <c r="DG1880" i="1"/>
  <c r="M1833" i="1"/>
  <c r="L1833" i="1"/>
  <c r="DA1880" i="1"/>
  <c r="CY1880" i="1"/>
  <c r="CX1880" i="1"/>
  <c r="J1833" i="1"/>
  <c r="BL1880" i="1"/>
  <c r="BK1880" i="1"/>
  <c r="DG1879" i="1"/>
  <c r="M1151" i="1"/>
  <c r="L1151" i="1"/>
  <c r="DA1879" i="1"/>
  <c r="CY1879" i="1"/>
  <c r="CX1879" i="1"/>
  <c r="J1151" i="1"/>
  <c r="BL1879" i="1"/>
  <c r="BK1879" i="1"/>
  <c r="DG1878" i="1"/>
  <c r="M1150" i="1"/>
  <c r="L1150" i="1"/>
  <c r="DA1878" i="1"/>
  <c r="CY1878" i="1"/>
  <c r="CX1878" i="1"/>
  <c r="J1150" i="1"/>
  <c r="BL1878" i="1"/>
  <c r="BK1878" i="1"/>
  <c r="DG1877" i="1"/>
  <c r="M3426" i="1"/>
  <c r="L3426" i="1"/>
  <c r="DA1877" i="1"/>
  <c r="CY1877" i="1"/>
  <c r="CX1877" i="1"/>
  <c r="J3426" i="1"/>
  <c r="CW1877" i="1"/>
  <c r="BL1877" i="1"/>
  <c r="BK1877" i="1"/>
  <c r="DG1876" i="1"/>
  <c r="M1149" i="1"/>
  <c r="L1149" i="1"/>
  <c r="DA1876" i="1"/>
  <c r="CY1876" i="1"/>
  <c r="CX1876" i="1"/>
  <c r="J1149" i="1"/>
  <c r="BL1876" i="1"/>
  <c r="BK1876" i="1"/>
  <c r="DG1875" i="1"/>
  <c r="M1148" i="1"/>
  <c r="L1148" i="1"/>
  <c r="DA1875" i="1"/>
  <c r="CY1875" i="1"/>
  <c r="CX1875" i="1"/>
  <c r="J1148" i="1"/>
  <c r="BL1875" i="1"/>
  <c r="BK1875" i="1"/>
  <c r="DG1874" i="1"/>
  <c r="M3425" i="1"/>
  <c r="L3425" i="1"/>
  <c r="DA1874" i="1"/>
  <c r="CY1874" i="1"/>
  <c r="CX1874" i="1"/>
  <c r="J3425" i="1"/>
  <c r="CW1874" i="1"/>
  <c r="BL1874" i="1"/>
  <c r="BK1874" i="1"/>
  <c r="DG1873" i="1"/>
  <c r="M3848" i="1"/>
  <c r="L3848" i="1"/>
  <c r="DA1873" i="1"/>
  <c r="CY1873" i="1"/>
  <c r="CX1873" i="1"/>
  <c r="J3848" i="1"/>
  <c r="CW1873" i="1"/>
  <c r="BL1873" i="1"/>
  <c r="BK1873" i="1"/>
  <c r="DG1872" i="1"/>
  <c r="M1147" i="1"/>
  <c r="L1147" i="1"/>
  <c r="DA1872" i="1"/>
  <c r="CY1872" i="1"/>
  <c r="CX1872" i="1"/>
  <c r="J1147" i="1"/>
  <c r="BL1872" i="1"/>
  <c r="BK1872" i="1"/>
  <c r="DG1871" i="1"/>
  <c r="M1146" i="1"/>
  <c r="L1146" i="1"/>
  <c r="DA1871" i="1"/>
  <c r="CY1871" i="1"/>
  <c r="CX1871" i="1"/>
  <c r="J1146" i="1"/>
  <c r="BL1871" i="1"/>
  <c r="BK1871" i="1"/>
  <c r="DG1870" i="1"/>
  <c r="M3424" i="1"/>
  <c r="L3424" i="1"/>
  <c r="DA1870" i="1"/>
  <c r="CY1870" i="1"/>
  <c r="CX1870" i="1"/>
  <c r="J3424" i="1"/>
  <c r="CW1870" i="1"/>
  <c r="BL1870" i="1"/>
  <c r="BK1870" i="1"/>
  <c r="DG1869" i="1"/>
  <c r="M2347" i="1"/>
  <c r="L2347" i="1"/>
  <c r="DA1869" i="1"/>
  <c r="CY1869" i="1"/>
  <c r="CX1869" i="1"/>
  <c r="J2347" i="1"/>
  <c r="BL1869" i="1"/>
  <c r="BK1869" i="1"/>
  <c r="DG1868" i="1"/>
  <c r="M1145" i="1"/>
  <c r="L1145" i="1"/>
  <c r="DA1868" i="1"/>
  <c r="CY1868" i="1"/>
  <c r="CX1868" i="1"/>
  <c r="J1145" i="1"/>
  <c r="BL1868" i="1"/>
  <c r="BK1868" i="1"/>
  <c r="DG1867" i="1"/>
  <c r="M2346" i="1"/>
  <c r="L2346" i="1"/>
  <c r="DA1867" i="1"/>
  <c r="CY1867" i="1"/>
  <c r="CX1867" i="1"/>
  <c r="J2346" i="1"/>
  <c r="BL1867" i="1"/>
  <c r="BK1867" i="1"/>
  <c r="DG1866" i="1"/>
  <c r="M2345" i="1"/>
  <c r="L2345" i="1"/>
  <c r="DA1866" i="1"/>
  <c r="CY1866" i="1"/>
  <c r="CX1866" i="1"/>
  <c r="J2345" i="1"/>
  <c r="BL1866" i="1"/>
  <c r="BK1866" i="1"/>
  <c r="DG1865" i="1"/>
  <c r="M1144" i="1"/>
  <c r="L1144" i="1"/>
  <c r="DA1865" i="1"/>
  <c r="CY1865" i="1"/>
  <c r="CX1865" i="1"/>
  <c r="J1144" i="1"/>
  <c r="BL1865" i="1"/>
  <c r="BK1865" i="1"/>
  <c r="DG1864" i="1"/>
  <c r="M3423" i="1"/>
  <c r="L3423" i="1"/>
  <c r="DA1864" i="1"/>
  <c r="CY1864" i="1"/>
  <c r="CX1864" i="1"/>
  <c r="J3423" i="1"/>
  <c r="CW1864" i="1"/>
  <c r="BL1864" i="1"/>
  <c r="BK1864" i="1"/>
  <c r="DG1863" i="1"/>
  <c r="M3847" i="1"/>
  <c r="L3847" i="1"/>
  <c r="DA1863" i="1"/>
  <c r="CY1863" i="1"/>
  <c r="CX1863" i="1"/>
  <c r="J3847" i="1"/>
  <c r="CW1863" i="1"/>
  <c r="BL1863" i="1"/>
  <c r="BK1863" i="1"/>
  <c r="DG1862" i="1"/>
  <c r="M2344" i="1"/>
  <c r="L2344" i="1"/>
  <c r="DA1862" i="1"/>
  <c r="CY1862" i="1"/>
  <c r="CX1862" i="1"/>
  <c r="J2344" i="1"/>
  <c r="BL1862" i="1"/>
  <c r="BK1862" i="1"/>
  <c r="DG1861" i="1"/>
  <c r="M2343" i="1"/>
  <c r="L2343" i="1"/>
  <c r="DA1861" i="1"/>
  <c r="CY1861" i="1"/>
  <c r="CX1861" i="1"/>
  <c r="J2343" i="1"/>
  <c r="BL1861" i="1"/>
  <c r="BK1861" i="1"/>
  <c r="DG1860" i="1"/>
  <c r="M1143" i="1"/>
  <c r="L1143" i="1"/>
  <c r="DA1860" i="1"/>
  <c r="CY1860" i="1"/>
  <c r="CX1860" i="1"/>
  <c r="J1143" i="1"/>
  <c r="BL1860" i="1"/>
  <c r="BK1860" i="1"/>
  <c r="DG1859" i="1"/>
  <c r="M2348" i="1"/>
  <c r="L2348" i="1"/>
  <c r="DA1859" i="1"/>
  <c r="CY1859" i="1"/>
  <c r="CX1859" i="1"/>
  <c r="J2348" i="1"/>
  <c r="BL1859" i="1"/>
  <c r="BK1859" i="1"/>
  <c r="DG1858" i="1"/>
  <c r="M2349" i="1"/>
  <c r="L2349" i="1"/>
  <c r="DA1858" i="1"/>
  <c r="CY1858" i="1"/>
  <c r="CX1858" i="1"/>
  <c r="J2349" i="1"/>
  <c r="BL1858" i="1"/>
  <c r="BK1858" i="1"/>
  <c r="DG1857" i="1"/>
  <c r="M2350" i="1"/>
  <c r="L2350" i="1"/>
  <c r="DA1857" i="1"/>
  <c r="CY1857" i="1"/>
  <c r="CX1857" i="1"/>
  <c r="J2350" i="1"/>
  <c r="BL1857" i="1"/>
  <c r="BK1857" i="1"/>
  <c r="DG1856" i="1"/>
  <c r="M2351" i="1"/>
  <c r="L2351" i="1"/>
  <c r="DA1856" i="1"/>
  <c r="CY1856" i="1"/>
  <c r="CX1856" i="1"/>
  <c r="J2351" i="1"/>
  <c r="BL1856" i="1"/>
  <c r="BK1856" i="1"/>
  <c r="DG1855" i="1"/>
  <c r="M2352" i="1"/>
  <c r="L2352" i="1"/>
  <c r="DA1855" i="1"/>
  <c r="CY1855" i="1"/>
  <c r="CX1855" i="1"/>
  <c r="J2352" i="1"/>
  <c r="BL1855" i="1"/>
  <c r="BK1855" i="1"/>
  <c r="DG1854" i="1"/>
  <c r="M2353" i="1"/>
  <c r="L2353" i="1"/>
  <c r="DA1854" i="1"/>
  <c r="CY1854" i="1"/>
  <c r="CX1854" i="1"/>
  <c r="J2353" i="1"/>
  <c r="BL1854" i="1"/>
  <c r="BK1854" i="1"/>
  <c r="DG1853" i="1"/>
  <c r="M2354" i="1"/>
  <c r="L2354" i="1"/>
  <c r="DA1853" i="1"/>
  <c r="CY1853" i="1"/>
  <c r="CX1853" i="1"/>
  <c r="J2354" i="1"/>
  <c r="BL1853" i="1"/>
  <c r="BK1853" i="1"/>
  <c r="DG1852" i="1"/>
  <c r="M2355" i="1"/>
  <c r="L2355" i="1"/>
  <c r="DA1852" i="1"/>
  <c r="CY1852" i="1"/>
  <c r="CX1852" i="1"/>
  <c r="J2355" i="1"/>
  <c r="BL1852" i="1"/>
  <c r="BK1852" i="1"/>
  <c r="DG1851" i="1"/>
  <c r="M2356" i="1"/>
  <c r="L2356" i="1"/>
  <c r="DA1851" i="1"/>
  <c r="CY1851" i="1"/>
  <c r="CX1851" i="1"/>
  <c r="J2356" i="1"/>
  <c r="BL1851" i="1"/>
  <c r="BK1851" i="1"/>
  <c r="DG1850" i="1"/>
  <c r="M2357" i="1"/>
  <c r="L2357" i="1"/>
  <c r="DA1850" i="1"/>
  <c r="CY1850" i="1"/>
  <c r="CX1850" i="1"/>
  <c r="J2357" i="1"/>
  <c r="BL1850" i="1"/>
  <c r="BK1850" i="1"/>
  <c r="DG1849" i="1"/>
  <c r="M2358" i="1"/>
  <c r="L2358" i="1"/>
  <c r="DA1849" i="1"/>
  <c r="CY1849" i="1"/>
  <c r="CX1849" i="1"/>
  <c r="J2358" i="1"/>
  <c r="BL1849" i="1"/>
  <c r="BK1849" i="1"/>
  <c r="DG1848" i="1"/>
  <c r="M2359" i="1"/>
  <c r="L2359" i="1"/>
  <c r="DA1848" i="1"/>
  <c r="CY1848" i="1"/>
  <c r="CX1848" i="1"/>
  <c r="J2359" i="1"/>
  <c r="BL1848" i="1"/>
  <c r="BK1848" i="1"/>
  <c r="DG1847" i="1"/>
  <c r="M2360" i="1"/>
  <c r="L2360" i="1"/>
  <c r="DA1847" i="1"/>
  <c r="CY1847" i="1"/>
  <c r="CX1847" i="1"/>
  <c r="J2360" i="1"/>
  <c r="BL1847" i="1"/>
  <c r="BK1847" i="1"/>
  <c r="DG1846" i="1"/>
  <c r="M2342" i="1"/>
  <c r="L2342" i="1"/>
  <c r="DA1846" i="1"/>
  <c r="CY1846" i="1"/>
  <c r="CX1846" i="1"/>
  <c r="J2342" i="1"/>
  <c r="BL1846" i="1"/>
  <c r="BK1846" i="1"/>
  <c r="DG1845" i="1"/>
  <c r="M2362" i="1"/>
  <c r="L2362" i="1"/>
  <c r="DA1845" i="1"/>
  <c r="CY1845" i="1"/>
  <c r="CX1845" i="1"/>
  <c r="J2362" i="1"/>
  <c r="BL1845" i="1"/>
  <c r="BK1845" i="1"/>
  <c r="DG1844" i="1"/>
  <c r="M2363" i="1"/>
  <c r="L2363" i="1"/>
  <c r="DA1844" i="1"/>
  <c r="CY1844" i="1"/>
  <c r="CX1844" i="1"/>
  <c r="J2363" i="1"/>
  <c r="BL1844" i="1"/>
  <c r="BK1844" i="1"/>
  <c r="DG1843" i="1"/>
  <c r="M2364" i="1"/>
  <c r="L2364" i="1"/>
  <c r="DA1843" i="1"/>
  <c r="CY1843" i="1"/>
  <c r="CX1843" i="1"/>
  <c r="J2364" i="1"/>
  <c r="BL1843" i="1"/>
  <c r="BK1843" i="1"/>
  <c r="DG1842" i="1"/>
  <c r="M2365" i="1"/>
  <c r="L2365" i="1"/>
  <c r="DA1842" i="1"/>
  <c r="CY1842" i="1"/>
  <c r="CX1842" i="1"/>
  <c r="J2365" i="1"/>
  <c r="BL1842" i="1"/>
  <c r="BK1842" i="1"/>
  <c r="DG1841" i="1"/>
  <c r="M2366" i="1"/>
  <c r="L2366" i="1"/>
  <c r="DA1841" i="1"/>
  <c r="CY1841" i="1"/>
  <c r="CX1841" i="1"/>
  <c r="J2366" i="1"/>
  <c r="BL1841" i="1"/>
  <c r="BK1841" i="1"/>
  <c r="DG1840" i="1"/>
  <c r="M2367" i="1"/>
  <c r="L2367" i="1"/>
  <c r="DA1840" i="1"/>
  <c r="CY1840" i="1"/>
  <c r="CX1840" i="1"/>
  <c r="J2367" i="1"/>
  <c r="BL1840" i="1"/>
  <c r="BK1840" i="1"/>
  <c r="DG1839" i="1"/>
  <c r="M2368" i="1"/>
  <c r="L2368" i="1"/>
  <c r="DA1839" i="1"/>
  <c r="CY1839" i="1"/>
  <c r="CX1839" i="1"/>
  <c r="J2368" i="1"/>
  <c r="BL1839" i="1"/>
  <c r="BK1839" i="1"/>
  <c r="DG1838" i="1"/>
  <c r="M2369" i="1"/>
  <c r="L2369" i="1"/>
  <c r="DA1838" i="1"/>
  <c r="CY1838" i="1"/>
  <c r="CX1838" i="1"/>
  <c r="J2369" i="1"/>
  <c r="BL1838" i="1"/>
  <c r="BK1838" i="1"/>
  <c r="DG1837" i="1"/>
  <c r="M2370" i="1"/>
  <c r="L2370" i="1"/>
  <c r="DA1837" i="1"/>
  <c r="CY1837" i="1"/>
  <c r="CX1837" i="1"/>
  <c r="J2370" i="1"/>
  <c r="BL1837" i="1"/>
  <c r="BK1837" i="1"/>
  <c r="DG1836" i="1"/>
  <c r="M2371" i="1"/>
  <c r="L2371" i="1"/>
  <c r="DA1836" i="1"/>
  <c r="CY1836" i="1"/>
  <c r="CX1836" i="1"/>
  <c r="J2371" i="1"/>
  <c r="BL1836" i="1"/>
  <c r="BK1836" i="1"/>
  <c r="DG1835" i="1"/>
  <c r="M2372" i="1"/>
  <c r="L2372" i="1"/>
  <c r="DA1835" i="1"/>
  <c r="CY1835" i="1"/>
  <c r="CX1835" i="1"/>
  <c r="J2372" i="1"/>
  <c r="BL1835" i="1"/>
  <c r="BK1835" i="1"/>
  <c r="DG1834" i="1"/>
  <c r="M2373" i="1"/>
  <c r="L2373" i="1"/>
  <c r="DA1834" i="1"/>
  <c r="CY1834" i="1"/>
  <c r="CX1834" i="1"/>
  <c r="J2373" i="1"/>
  <c r="BL1834" i="1"/>
  <c r="BK1834" i="1"/>
  <c r="DG1833" i="1"/>
  <c r="M2374" i="1"/>
  <c r="L2374" i="1"/>
  <c r="DA1833" i="1"/>
  <c r="CY1833" i="1"/>
  <c r="CX1833" i="1"/>
  <c r="J2374" i="1"/>
  <c r="BL1833" i="1"/>
  <c r="BK1833" i="1"/>
  <c r="DG1832" i="1"/>
  <c r="M2375" i="1"/>
  <c r="L2375" i="1"/>
  <c r="DA1832" i="1"/>
  <c r="CY1832" i="1"/>
  <c r="CX1832" i="1"/>
  <c r="J2375" i="1"/>
  <c r="BL1832" i="1"/>
  <c r="BK1832" i="1"/>
  <c r="DG1831" i="1"/>
  <c r="M2376" i="1"/>
  <c r="L2376" i="1"/>
  <c r="DA1831" i="1"/>
  <c r="CY1831" i="1"/>
  <c r="CX1831" i="1"/>
  <c r="J2376" i="1"/>
  <c r="BL1831" i="1"/>
  <c r="BK1831" i="1"/>
  <c r="DG1830" i="1"/>
  <c r="M2377" i="1"/>
  <c r="L2377" i="1"/>
  <c r="DA1830" i="1"/>
  <c r="CY1830" i="1"/>
  <c r="CX1830" i="1"/>
  <c r="J2377" i="1"/>
  <c r="BL1830" i="1"/>
  <c r="BK1830" i="1"/>
  <c r="DG1829" i="1"/>
  <c r="M2378" i="1"/>
  <c r="L2378" i="1"/>
  <c r="DA1829" i="1"/>
  <c r="CY1829" i="1"/>
  <c r="CX1829" i="1"/>
  <c r="J2378" i="1"/>
  <c r="BL1829" i="1"/>
  <c r="BK1829" i="1"/>
  <c r="DG1828" i="1"/>
  <c r="M2379" i="1"/>
  <c r="L2379" i="1"/>
  <c r="DA1828" i="1"/>
  <c r="CY1828" i="1"/>
  <c r="CX1828" i="1"/>
  <c r="J2379" i="1"/>
  <c r="BL1828" i="1"/>
  <c r="BK1828" i="1"/>
  <c r="DG1827" i="1"/>
  <c r="M2380" i="1"/>
  <c r="L2380" i="1"/>
  <c r="DA1827" i="1"/>
  <c r="CY1827" i="1"/>
  <c r="CX1827" i="1"/>
  <c r="J2380" i="1"/>
  <c r="BL1827" i="1"/>
  <c r="BK1827" i="1"/>
  <c r="DG1826" i="1"/>
  <c r="M2381" i="1"/>
  <c r="L2381" i="1"/>
  <c r="DA1826" i="1"/>
  <c r="CY1826" i="1"/>
  <c r="CX1826" i="1"/>
  <c r="J2381" i="1"/>
  <c r="BL1826" i="1"/>
  <c r="BK1826" i="1"/>
  <c r="DG1825" i="1"/>
  <c r="M2382" i="1"/>
  <c r="L2382" i="1"/>
  <c r="DA1825" i="1"/>
  <c r="CY1825" i="1"/>
  <c r="CX1825" i="1"/>
  <c r="J2382" i="1"/>
  <c r="BL1825" i="1"/>
  <c r="BK1825" i="1"/>
  <c r="DG1824" i="1"/>
  <c r="M2383" i="1"/>
  <c r="L2383" i="1"/>
  <c r="DA1824" i="1"/>
  <c r="CY1824" i="1"/>
  <c r="CX1824" i="1"/>
  <c r="J2383" i="1"/>
  <c r="BL1824" i="1"/>
  <c r="BK1824" i="1"/>
  <c r="DG1823" i="1"/>
  <c r="M2384" i="1"/>
  <c r="L2384" i="1"/>
  <c r="DA1823" i="1"/>
  <c r="CY1823" i="1"/>
  <c r="CX1823" i="1"/>
  <c r="J2384" i="1"/>
  <c r="BL1823" i="1"/>
  <c r="BK1823" i="1"/>
  <c r="DG1822" i="1"/>
  <c r="M2385" i="1"/>
  <c r="L2385" i="1"/>
  <c r="DA1822" i="1"/>
  <c r="CY1822" i="1"/>
  <c r="CX1822" i="1"/>
  <c r="J2385" i="1"/>
  <c r="BL1822" i="1"/>
  <c r="BK1822" i="1"/>
  <c r="DG1821" i="1"/>
  <c r="M2386" i="1"/>
  <c r="L2386" i="1"/>
  <c r="DA1821" i="1"/>
  <c r="CY1821" i="1"/>
  <c r="CX1821" i="1"/>
  <c r="J2386" i="1"/>
  <c r="BL1821" i="1"/>
  <c r="BK1821" i="1"/>
  <c r="DG1820" i="1"/>
  <c r="M2387" i="1"/>
  <c r="L2387" i="1"/>
  <c r="DA1820" i="1"/>
  <c r="CY1820" i="1"/>
  <c r="CX1820" i="1"/>
  <c r="J2387" i="1"/>
  <c r="BL1820" i="1"/>
  <c r="BK1820" i="1"/>
  <c r="DG1819" i="1"/>
  <c r="M2388" i="1"/>
  <c r="L2388" i="1"/>
  <c r="DA1819" i="1"/>
  <c r="CY1819" i="1"/>
  <c r="CX1819" i="1"/>
  <c r="J2388" i="1"/>
  <c r="BL1819" i="1"/>
  <c r="BK1819" i="1"/>
  <c r="DG1818" i="1"/>
  <c r="M2389" i="1"/>
  <c r="L2389" i="1"/>
  <c r="DA1818" i="1"/>
  <c r="CY1818" i="1"/>
  <c r="CX1818" i="1"/>
  <c r="J2389" i="1"/>
  <c r="BL1818" i="1"/>
  <c r="BK1818" i="1"/>
  <c r="DG1817" i="1"/>
  <c r="M2390" i="1"/>
  <c r="L2390" i="1"/>
  <c r="DA1817" i="1"/>
  <c r="CY1817" i="1"/>
  <c r="CX1817" i="1"/>
  <c r="J2390" i="1"/>
  <c r="BL1817" i="1"/>
  <c r="BK1817" i="1"/>
  <c r="DG1816" i="1"/>
  <c r="M2391" i="1"/>
  <c r="L2391" i="1"/>
  <c r="DA1816" i="1"/>
  <c r="CY1816" i="1"/>
  <c r="CX1816" i="1"/>
  <c r="J2391" i="1"/>
  <c r="BL1816" i="1"/>
  <c r="BK1816" i="1"/>
  <c r="DG1815" i="1"/>
  <c r="M2392" i="1"/>
  <c r="L2392" i="1"/>
  <c r="DA1815" i="1"/>
  <c r="CY1815" i="1"/>
  <c r="CX1815" i="1"/>
  <c r="J2392" i="1"/>
  <c r="BL1815" i="1"/>
  <c r="BK1815" i="1"/>
  <c r="DG1814" i="1"/>
  <c r="M2341" i="1"/>
  <c r="L2341" i="1"/>
  <c r="DA1814" i="1"/>
  <c r="CY1814" i="1"/>
  <c r="CX1814" i="1"/>
  <c r="J2341" i="1"/>
  <c r="BL1814" i="1"/>
  <c r="BK1814" i="1"/>
  <c r="DG1813" i="1"/>
  <c r="M2394" i="1"/>
  <c r="L2394" i="1"/>
  <c r="DA1813" i="1"/>
  <c r="CY1813" i="1"/>
  <c r="CX1813" i="1"/>
  <c r="J2394" i="1"/>
  <c r="BL1813" i="1"/>
  <c r="BK1813" i="1"/>
  <c r="DG1812" i="1"/>
  <c r="M2395" i="1"/>
  <c r="L2395" i="1"/>
  <c r="DA1812" i="1"/>
  <c r="CY1812" i="1"/>
  <c r="CX1812" i="1"/>
  <c r="J2395" i="1"/>
  <c r="BL1812" i="1"/>
  <c r="BK1812" i="1"/>
  <c r="DG1811" i="1"/>
  <c r="M2396" i="1"/>
  <c r="L2396" i="1"/>
  <c r="DA1811" i="1"/>
  <c r="CY1811" i="1"/>
  <c r="CX1811" i="1"/>
  <c r="J2396" i="1"/>
  <c r="BL1811" i="1"/>
  <c r="BK1811" i="1"/>
  <c r="DG1810" i="1"/>
  <c r="M2397" i="1"/>
  <c r="L2397" i="1"/>
  <c r="DA1810" i="1"/>
  <c r="CY1810" i="1"/>
  <c r="CX1810" i="1"/>
  <c r="J2397" i="1"/>
  <c r="BL1810" i="1"/>
  <c r="BK1810" i="1"/>
  <c r="DG1809" i="1"/>
  <c r="M2398" i="1"/>
  <c r="L2398" i="1"/>
  <c r="DA1809" i="1"/>
  <c r="CY1809" i="1"/>
  <c r="CX1809" i="1"/>
  <c r="J2398" i="1"/>
  <c r="BL1809" i="1"/>
  <c r="BK1809" i="1"/>
  <c r="DG1808" i="1"/>
  <c r="M2399" i="1"/>
  <c r="L2399" i="1"/>
  <c r="DA1808" i="1"/>
  <c r="CY1808" i="1"/>
  <c r="CX1808" i="1"/>
  <c r="J2399" i="1"/>
  <c r="BL1808" i="1"/>
  <c r="BK1808" i="1"/>
  <c r="DG1807" i="1"/>
  <c r="M2400" i="1"/>
  <c r="L2400" i="1"/>
  <c r="DA1807" i="1"/>
  <c r="CY1807" i="1"/>
  <c r="CX1807" i="1"/>
  <c r="J2400" i="1"/>
  <c r="BL1807" i="1"/>
  <c r="BK1807" i="1"/>
  <c r="DG1806" i="1"/>
  <c r="M1142" i="1"/>
  <c r="L1142" i="1"/>
  <c r="DA1806" i="1"/>
  <c r="CY1806" i="1"/>
  <c r="CX1806" i="1"/>
  <c r="J1142" i="1"/>
  <c r="BL1806" i="1"/>
  <c r="BK1806" i="1"/>
  <c r="DG1805" i="1"/>
  <c r="M2402" i="1"/>
  <c r="L2402" i="1"/>
  <c r="DA1805" i="1"/>
  <c r="CY1805" i="1"/>
  <c r="CX1805" i="1"/>
  <c r="J2402" i="1"/>
  <c r="BL1805" i="1"/>
  <c r="BK1805" i="1"/>
  <c r="DG1804" i="1"/>
  <c r="M2403" i="1"/>
  <c r="L2403" i="1"/>
  <c r="DA1804" i="1"/>
  <c r="CY1804" i="1"/>
  <c r="CX1804" i="1"/>
  <c r="J2403" i="1"/>
  <c r="BL1804" i="1"/>
  <c r="BK1804" i="1"/>
  <c r="DG1803" i="1"/>
  <c r="M2404" i="1"/>
  <c r="L2404" i="1"/>
  <c r="DA1803" i="1"/>
  <c r="CY1803" i="1"/>
  <c r="CX1803" i="1"/>
  <c r="J2404" i="1"/>
  <c r="BL1803" i="1"/>
  <c r="BK1803" i="1"/>
  <c r="DG1802" i="1"/>
  <c r="M2405" i="1"/>
  <c r="L2405" i="1"/>
  <c r="DA1802" i="1"/>
  <c r="CY1802" i="1"/>
  <c r="CX1802" i="1"/>
  <c r="J2405" i="1"/>
  <c r="BL1802" i="1"/>
  <c r="BK1802" i="1"/>
  <c r="DG1801" i="1"/>
  <c r="M2406" i="1"/>
  <c r="L2406" i="1"/>
  <c r="DA1801" i="1"/>
  <c r="CY1801" i="1"/>
  <c r="CX1801" i="1"/>
  <c r="J2406" i="1"/>
  <c r="BL1801" i="1"/>
  <c r="BK1801" i="1"/>
  <c r="DG1800" i="1"/>
  <c r="M2407" i="1"/>
  <c r="L2407" i="1"/>
  <c r="DA1800" i="1"/>
  <c r="CY1800" i="1"/>
  <c r="CX1800" i="1"/>
  <c r="J2407" i="1"/>
  <c r="BL1800" i="1"/>
  <c r="BK1800" i="1"/>
  <c r="DG1799" i="1"/>
  <c r="M2408" i="1"/>
  <c r="L2408" i="1"/>
  <c r="DA1799" i="1"/>
  <c r="CY1799" i="1"/>
  <c r="CX1799" i="1"/>
  <c r="J2408" i="1"/>
  <c r="BL1799" i="1"/>
  <c r="BK1799" i="1"/>
  <c r="DG1798" i="1"/>
  <c r="M3422" i="1"/>
  <c r="L3422" i="1"/>
  <c r="DA1798" i="1"/>
  <c r="CY1798" i="1"/>
  <c r="CX1798" i="1"/>
  <c r="J3422" i="1"/>
  <c r="CW1798" i="1"/>
  <c r="BL1798" i="1"/>
  <c r="BK1798" i="1"/>
  <c r="DG1797" i="1"/>
  <c r="M2410" i="1"/>
  <c r="L2410" i="1"/>
  <c r="DA1797" i="1"/>
  <c r="CY1797" i="1"/>
  <c r="CX1797" i="1"/>
  <c r="J2410" i="1"/>
  <c r="BL1797" i="1"/>
  <c r="BK1797" i="1"/>
  <c r="DG1796" i="1"/>
  <c r="M2340" i="1"/>
  <c r="L2340" i="1"/>
  <c r="DA1796" i="1"/>
  <c r="CY1796" i="1"/>
  <c r="CX1796" i="1"/>
  <c r="J2340" i="1"/>
  <c r="BL1796" i="1"/>
  <c r="BK1796" i="1"/>
  <c r="DG1795" i="1"/>
  <c r="M2412" i="1"/>
  <c r="L2412" i="1"/>
  <c r="DA1795" i="1"/>
  <c r="CY1795" i="1"/>
  <c r="CX1795" i="1"/>
  <c r="J2412" i="1"/>
  <c r="BL1795" i="1"/>
  <c r="BK1795" i="1"/>
  <c r="DG1794" i="1"/>
  <c r="M2339" i="1"/>
  <c r="L2339" i="1"/>
  <c r="DA1794" i="1"/>
  <c r="CY1794" i="1"/>
  <c r="CX1794" i="1"/>
  <c r="J2339" i="1"/>
  <c r="BL1794" i="1"/>
  <c r="BK1794" i="1"/>
  <c r="DG1793" i="1"/>
  <c r="M2414" i="1"/>
  <c r="L2414" i="1"/>
  <c r="DA1793" i="1"/>
  <c r="CY1793" i="1"/>
  <c r="CX1793" i="1"/>
  <c r="J2414" i="1"/>
  <c r="BL1793" i="1"/>
  <c r="BK1793" i="1"/>
  <c r="DG1792" i="1"/>
  <c r="M2415" i="1"/>
  <c r="L2415" i="1"/>
  <c r="DA1792" i="1"/>
  <c r="CY1792" i="1"/>
  <c r="CX1792" i="1"/>
  <c r="J2415" i="1"/>
  <c r="BL1792" i="1"/>
  <c r="BK1792" i="1"/>
  <c r="DG1791" i="1"/>
  <c r="M2416" i="1"/>
  <c r="L2416" i="1"/>
  <c r="DA1791" i="1"/>
  <c r="CY1791" i="1"/>
  <c r="CX1791" i="1"/>
  <c r="J2416" i="1"/>
  <c r="BL1791" i="1"/>
  <c r="BK1791" i="1"/>
  <c r="DG1790" i="1"/>
  <c r="M1141" i="1"/>
  <c r="L1141" i="1"/>
  <c r="DA1790" i="1"/>
  <c r="CY1790" i="1"/>
  <c r="CX1790" i="1"/>
  <c r="J1141" i="1"/>
  <c r="BL1790" i="1"/>
  <c r="BK1790" i="1"/>
  <c r="DG1789" i="1"/>
  <c r="M2418" i="1"/>
  <c r="L2418" i="1"/>
  <c r="DA1789" i="1"/>
  <c r="CY1789" i="1"/>
  <c r="CX1789" i="1"/>
  <c r="J2418" i="1"/>
  <c r="BL1789" i="1"/>
  <c r="BK1789" i="1"/>
  <c r="DG1788" i="1"/>
  <c r="M2419" i="1"/>
  <c r="L2419" i="1"/>
  <c r="DA1788" i="1"/>
  <c r="CY1788" i="1"/>
  <c r="CX1788" i="1"/>
  <c r="J2419" i="1"/>
  <c r="BL1788" i="1"/>
  <c r="BK1788" i="1"/>
  <c r="DG1787" i="1"/>
  <c r="M2420" i="1"/>
  <c r="L2420" i="1"/>
  <c r="DA1787" i="1"/>
  <c r="CY1787" i="1"/>
  <c r="CX1787" i="1"/>
  <c r="J2420" i="1"/>
  <c r="BL1787" i="1"/>
  <c r="BK1787" i="1"/>
  <c r="DG1786" i="1"/>
  <c r="M2338" i="1"/>
  <c r="L2338" i="1"/>
  <c r="DA1786" i="1"/>
  <c r="CY1786" i="1"/>
  <c r="CX1786" i="1"/>
  <c r="J2338" i="1"/>
  <c r="BL1786" i="1"/>
  <c r="BK1786" i="1"/>
  <c r="DG1785" i="1"/>
  <c r="M2422" i="1"/>
  <c r="L2422" i="1"/>
  <c r="DA1785" i="1"/>
  <c r="CY1785" i="1"/>
  <c r="CX1785" i="1"/>
  <c r="J2422" i="1"/>
  <c r="BL1785" i="1"/>
  <c r="BK1785" i="1"/>
  <c r="DG1784" i="1"/>
  <c r="M2423" i="1"/>
  <c r="L2423" i="1"/>
  <c r="DA1784" i="1"/>
  <c r="CY1784" i="1"/>
  <c r="CX1784" i="1"/>
  <c r="J2423" i="1"/>
  <c r="BL1784" i="1"/>
  <c r="BK1784" i="1"/>
  <c r="DG1783" i="1"/>
  <c r="M2424" i="1"/>
  <c r="L2424" i="1"/>
  <c r="DA1783" i="1"/>
  <c r="CY1783" i="1"/>
  <c r="CX1783" i="1"/>
  <c r="J2424" i="1"/>
  <c r="BL1783" i="1"/>
  <c r="BK1783" i="1"/>
  <c r="DG1782" i="1"/>
  <c r="M2337" i="1"/>
  <c r="L2337" i="1"/>
  <c r="DA1782" i="1"/>
  <c r="CY1782" i="1"/>
  <c r="CX1782" i="1"/>
  <c r="J2337" i="1"/>
  <c r="BL1782" i="1"/>
  <c r="BK1782" i="1"/>
  <c r="DG1781" i="1"/>
  <c r="M2426" i="1"/>
  <c r="L2426" i="1"/>
  <c r="DA1781" i="1"/>
  <c r="CY1781" i="1"/>
  <c r="CX1781" i="1"/>
  <c r="J2426" i="1"/>
  <c r="BL1781" i="1"/>
  <c r="BK1781" i="1"/>
  <c r="DG1780" i="1"/>
  <c r="M1140" i="1"/>
  <c r="L1140" i="1"/>
  <c r="DA1780" i="1"/>
  <c r="CY1780" i="1"/>
  <c r="CX1780" i="1"/>
  <c r="J1140" i="1"/>
  <c r="BL1780" i="1"/>
  <c r="BK1780" i="1"/>
  <c r="DG1779" i="1"/>
  <c r="M2428" i="1"/>
  <c r="L2428" i="1"/>
  <c r="DA1779" i="1"/>
  <c r="CY1779" i="1"/>
  <c r="CX1779" i="1"/>
  <c r="J2428" i="1"/>
  <c r="BL1779" i="1"/>
  <c r="BK1779" i="1"/>
  <c r="DG1778" i="1"/>
  <c r="M3421" i="1"/>
  <c r="L3421" i="1"/>
  <c r="DA1778" i="1"/>
  <c r="CY1778" i="1"/>
  <c r="CX1778" i="1"/>
  <c r="J3421" i="1"/>
  <c r="CW1778" i="1"/>
  <c r="BL1778" i="1"/>
  <c r="BK1778" i="1"/>
  <c r="DG1777" i="1"/>
  <c r="M2430" i="1"/>
  <c r="L2430" i="1"/>
  <c r="DA1777" i="1"/>
  <c r="CY1777" i="1"/>
  <c r="CX1777" i="1"/>
  <c r="J2430" i="1"/>
  <c r="BL1777" i="1"/>
  <c r="BK1777" i="1"/>
  <c r="DG1776" i="1"/>
  <c r="M2431" i="1"/>
  <c r="L2431" i="1"/>
  <c r="DA1776" i="1"/>
  <c r="CY1776" i="1"/>
  <c r="CX1776" i="1"/>
  <c r="J2431" i="1"/>
  <c r="BL1776" i="1"/>
  <c r="BK1776" i="1"/>
  <c r="DG1775" i="1"/>
  <c r="M2432" i="1"/>
  <c r="L2432" i="1"/>
  <c r="DA1775" i="1"/>
  <c r="CY1775" i="1"/>
  <c r="CX1775" i="1"/>
  <c r="J2432" i="1"/>
  <c r="BL1775" i="1"/>
  <c r="BK1775" i="1"/>
  <c r="DG1774" i="1"/>
  <c r="M3846" i="1"/>
  <c r="L3846" i="1"/>
  <c r="DA1774" i="1"/>
  <c r="CY1774" i="1"/>
  <c r="CX1774" i="1"/>
  <c r="J3846" i="1"/>
  <c r="CW1774" i="1"/>
  <c r="BL1774" i="1"/>
  <c r="BK1774" i="1"/>
  <c r="DG1773" i="1"/>
  <c r="M2434" i="1"/>
  <c r="L2434" i="1"/>
  <c r="DA1773" i="1"/>
  <c r="CY1773" i="1"/>
  <c r="CX1773" i="1"/>
  <c r="J2434" i="1"/>
  <c r="BL1773" i="1"/>
  <c r="BK1773" i="1"/>
  <c r="DG1772" i="1"/>
  <c r="M2435" i="1"/>
  <c r="L2435" i="1"/>
  <c r="DA1772" i="1"/>
  <c r="CY1772" i="1"/>
  <c r="CX1772" i="1"/>
  <c r="J2435" i="1"/>
  <c r="BL1772" i="1"/>
  <c r="BK1772" i="1"/>
  <c r="DG1771" i="1"/>
  <c r="M2436" i="1"/>
  <c r="L2436" i="1"/>
  <c r="DA1771" i="1"/>
  <c r="CY1771" i="1"/>
  <c r="CX1771" i="1"/>
  <c r="J2436" i="1"/>
  <c r="BL1771" i="1"/>
  <c r="BK1771" i="1"/>
  <c r="DG1770" i="1"/>
  <c r="M2336" i="1"/>
  <c r="L2336" i="1"/>
  <c r="DA1770" i="1"/>
  <c r="CY1770" i="1"/>
  <c r="CX1770" i="1"/>
  <c r="J2336" i="1"/>
  <c r="BL1770" i="1"/>
  <c r="BK1770" i="1"/>
  <c r="DG1769" i="1"/>
  <c r="M2438" i="1"/>
  <c r="L2438" i="1"/>
  <c r="DA1769" i="1"/>
  <c r="CY1769" i="1"/>
  <c r="CX1769" i="1"/>
  <c r="J2438" i="1"/>
  <c r="BL1769" i="1"/>
  <c r="BK1769" i="1"/>
  <c r="DG1768" i="1"/>
  <c r="M2439" i="1"/>
  <c r="L2439" i="1"/>
  <c r="DA1768" i="1"/>
  <c r="CY1768" i="1"/>
  <c r="CX1768" i="1"/>
  <c r="J2439" i="1"/>
  <c r="BL1768" i="1"/>
  <c r="BK1768" i="1"/>
  <c r="DG1767" i="1"/>
  <c r="M2440" i="1"/>
  <c r="L2440" i="1"/>
  <c r="DA1767" i="1"/>
  <c r="CY1767" i="1"/>
  <c r="CX1767" i="1"/>
  <c r="J2440" i="1"/>
  <c r="BL1767" i="1"/>
  <c r="BK1767" i="1"/>
  <c r="DG1766" i="1"/>
  <c r="M2335" i="1"/>
  <c r="L2335" i="1"/>
  <c r="DA1766" i="1"/>
  <c r="CY1766" i="1"/>
  <c r="CX1766" i="1"/>
  <c r="J2335" i="1"/>
  <c r="BL1766" i="1"/>
  <c r="BK1766" i="1"/>
  <c r="DG1765" i="1"/>
  <c r="M2442" i="1"/>
  <c r="L2442" i="1"/>
  <c r="DA1765" i="1"/>
  <c r="CY1765" i="1"/>
  <c r="CX1765" i="1"/>
  <c r="J2442" i="1"/>
  <c r="BL1765" i="1"/>
  <c r="BK1765" i="1"/>
  <c r="DG1764" i="1"/>
  <c r="M2443" i="1"/>
  <c r="L2443" i="1"/>
  <c r="DA1764" i="1"/>
  <c r="CY1764" i="1"/>
  <c r="CX1764" i="1"/>
  <c r="J2443" i="1"/>
  <c r="BL1764" i="1"/>
  <c r="BK1764" i="1"/>
  <c r="DG1763" i="1"/>
  <c r="M2444" i="1"/>
  <c r="L2444" i="1"/>
  <c r="DA1763" i="1"/>
  <c r="CY1763" i="1"/>
  <c r="CX1763" i="1"/>
  <c r="J2444" i="1"/>
  <c r="BL1763" i="1"/>
  <c r="BK1763" i="1"/>
  <c r="DG1762" i="1"/>
  <c r="M2445" i="1"/>
  <c r="L2445" i="1"/>
  <c r="DA1762" i="1"/>
  <c r="CY1762" i="1"/>
  <c r="CX1762" i="1"/>
  <c r="J2445" i="1"/>
  <c r="BL1762" i="1"/>
  <c r="BK1762" i="1"/>
  <c r="DG1761" i="1"/>
  <c r="M2446" i="1"/>
  <c r="L2446" i="1"/>
  <c r="DA1761" i="1"/>
  <c r="CY1761" i="1"/>
  <c r="CX1761" i="1"/>
  <c r="J2446" i="1"/>
  <c r="BL1761" i="1"/>
  <c r="BK1761" i="1"/>
  <c r="DG1760" i="1"/>
  <c r="M2447" i="1"/>
  <c r="L2447" i="1"/>
  <c r="DA1760" i="1"/>
  <c r="CY1760" i="1"/>
  <c r="CX1760" i="1"/>
  <c r="J2447" i="1"/>
  <c r="BL1760" i="1"/>
  <c r="BK1760" i="1"/>
  <c r="DG1759" i="1"/>
  <c r="M2448" i="1"/>
  <c r="L2448" i="1"/>
  <c r="DA1759" i="1"/>
  <c r="CY1759" i="1"/>
  <c r="CX1759" i="1"/>
  <c r="J2448" i="1"/>
  <c r="BL1759" i="1"/>
  <c r="BK1759" i="1"/>
  <c r="DG1758" i="1"/>
  <c r="M2449" i="1"/>
  <c r="L2449" i="1"/>
  <c r="DA1758" i="1"/>
  <c r="CY1758" i="1"/>
  <c r="CX1758" i="1"/>
  <c r="J2449" i="1"/>
  <c r="BL1758" i="1"/>
  <c r="BK1758" i="1"/>
  <c r="DG1757" i="1"/>
  <c r="M2450" i="1"/>
  <c r="L2450" i="1"/>
  <c r="DA1757" i="1"/>
  <c r="CY1757" i="1"/>
  <c r="CX1757" i="1"/>
  <c r="J2450" i="1"/>
  <c r="BL1757" i="1"/>
  <c r="BK1757" i="1"/>
  <c r="DG1756" i="1"/>
  <c r="M2451" i="1"/>
  <c r="L2451" i="1"/>
  <c r="DA1756" i="1"/>
  <c r="CY1756" i="1"/>
  <c r="CX1756" i="1"/>
  <c r="J2451" i="1"/>
  <c r="BL1756" i="1"/>
  <c r="BK1756" i="1"/>
  <c r="DG1755" i="1"/>
  <c r="M2452" i="1"/>
  <c r="L2452" i="1"/>
  <c r="DA1755" i="1"/>
  <c r="CY1755" i="1"/>
  <c r="CX1755" i="1"/>
  <c r="J2452" i="1"/>
  <c r="BL1755" i="1"/>
  <c r="BK1755" i="1"/>
  <c r="DG1754" i="1"/>
  <c r="M2453" i="1"/>
  <c r="L2453" i="1"/>
  <c r="DA1754" i="1"/>
  <c r="CY1754" i="1"/>
  <c r="CX1754" i="1"/>
  <c r="J2453" i="1"/>
  <c r="BL1754" i="1"/>
  <c r="BK1754" i="1"/>
  <c r="DG1753" i="1"/>
  <c r="M2454" i="1"/>
  <c r="L2454" i="1"/>
  <c r="DA1753" i="1"/>
  <c r="CY1753" i="1"/>
  <c r="CX1753" i="1"/>
  <c r="J2454" i="1"/>
  <c r="BL1753" i="1"/>
  <c r="BK1753" i="1"/>
  <c r="DG1752" i="1"/>
  <c r="M2455" i="1"/>
  <c r="L2455" i="1"/>
  <c r="DA1752" i="1"/>
  <c r="CY1752" i="1"/>
  <c r="CX1752" i="1"/>
  <c r="J2455" i="1"/>
  <c r="BL1752" i="1"/>
  <c r="BK1752" i="1"/>
  <c r="DG1751" i="1"/>
  <c r="M2456" i="1"/>
  <c r="L2456" i="1"/>
  <c r="DA1751" i="1"/>
  <c r="CY1751" i="1"/>
  <c r="CX1751" i="1"/>
  <c r="J2456" i="1"/>
  <c r="BL1751" i="1"/>
  <c r="BK1751" i="1"/>
  <c r="DG1750" i="1"/>
  <c r="M1139" i="1"/>
  <c r="L1139" i="1"/>
  <c r="DA1750" i="1"/>
  <c r="CY1750" i="1"/>
  <c r="CX1750" i="1"/>
  <c r="J1139" i="1"/>
  <c r="BL1750" i="1"/>
  <c r="BK1750" i="1"/>
  <c r="DG1749" i="1"/>
  <c r="M2458" i="1"/>
  <c r="L2458" i="1"/>
  <c r="DA1749" i="1"/>
  <c r="CY1749" i="1"/>
  <c r="CX1749" i="1"/>
  <c r="J2458" i="1"/>
  <c r="BL1749" i="1"/>
  <c r="BK1749" i="1"/>
  <c r="DG1748" i="1"/>
  <c r="M2459" i="1"/>
  <c r="L2459" i="1"/>
  <c r="DA1748" i="1"/>
  <c r="CY1748" i="1"/>
  <c r="CX1748" i="1"/>
  <c r="J2459" i="1"/>
  <c r="BL1748" i="1"/>
  <c r="BK1748" i="1"/>
  <c r="DG1747" i="1"/>
  <c r="M2460" i="1"/>
  <c r="L2460" i="1"/>
  <c r="DA1747" i="1"/>
  <c r="CY1747" i="1"/>
  <c r="CX1747" i="1"/>
  <c r="J2460" i="1"/>
  <c r="BL1747" i="1"/>
  <c r="BK1747" i="1"/>
  <c r="DG1746" i="1"/>
  <c r="M2461" i="1"/>
  <c r="L2461" i="1"/>
  <c r="DA1746" i="1"/>
  <c r="CY1746" i="1"/>
  <c r="CX1746" i="1"/>
  <c r="J2461" i="1"/>
  <c r="BL1746" i="1"/>
  <c r="BK1746" i="1"/>
  <c r="DG1745" i="1"/>
  <c r="M2462" i="1"/>
  <c r="L2462" i="1"/>
  <c r="DA1745" i="1"/>
  <c r="CY1745" i="1"/>
  <c r="CX1745" i="1"/>
  <c r="J2462" i="1"/>
  <c r="BL1745" i="1"/>
  <c r="BK1745" i="1"/>
  <c r="DG1744" i="1"/>
  <c r="M2463" i="1"/>
  <c r="L2463" i="1"/>
  <c r="DA1744" i="1"/>
  <c r="CY1744" i="1"/>
  <c r="CX1744" i="1"/>
  <c r="J2463" i="1"/>
  <c r="BL1744" i="1"/>
  <c r="BK1744" i="1"/>
  <c r="DG1743" i="1"/>
  <c r="M2464" i="1"/>
  <c r="L2464" i="1"/>
  <c r="DA1743" i="1"/>
  <c r="CY1743" i="1"/>
  <c r="CX1743" i="1"/>
  <c r="J2464" i="1"/>
  <c r="BL1743" i="1"/>
  <c r="BK1743" i="1"/>
  <c r="DG1742" i="1"/>
  <c r="M2465" i="1"/>
  <c r="L2465" i="1"/>
  <c r="DA1742" i="1"/>
  <c r="CY1742" i="1"/>
  <c r="CX1742" i="1"/>
  <c r="J2465" i="1"/>
  <c r="BL1742" i="1"/>
  <c r="BK1742" i="1"/>
  <c r="DG1741" i="1"/>
  <c r="M2466" i="1"/>
  <c r="L2466" i="1"/>
  <c r="DA1741" i="1"/>
  <c r="CY1741" i="1"/>
  <c r="CX1741" i="1"/>
  <c r="J2466" i="1"/>
  <c r="BL1741" i="1"/>
  <c r="BK1741" i="1"/>
  <c r="DG1740" i="1"/>
  <c r="M2467" i="1"/>
  <c r="L2467" i="1"/>
  <c r="DA1740" i="1"/>
  <c r="CY1740" i="1"/>
  <c r="CX1740" i="1"/>
  <c r="J2467" i="1"/>
  <c r="BL1740" i="1"/>
  <c r="BK1740" i="1"/>
  <c r="DG1739" i="1"/>
  <c r="M2468" i="1"/>
  <c r="L2468" i="1"/>
  <c r="DA1739" i="1"/>
  <c r="CY1739" i="1"/>
  <c r="CX1739" i="1"/>
  <c r="J2468" i="1"/>
  <c r="BL1739" i="1"/>
  <c r="BK1739" i="1"/>
  <c r="DG1738" i="1"/>
  <c r="M2469" i="1"/>
  <c r="L2469" i="1"/>
  <c r="DA1738" i="1"/>
  <c r="CY1738" i="1"/>
  <c r="CX1738" i="1"/>
  <c r="J2469" i="1"/>
  <c r="BL1738" i="1"/>
  <c r="BK1738" i="1"/>
  <c r="DG1737" i="1"/>
  <c r="M2470" i="1"/>
  <c r="L2470" i="1"/>
  <c r="DA1737" i="1"/>
  <c r="CY1737" i="1"/>
  <c r="CX1737" i="1"/>
  <c r="J2470" i="1"/>
  <c r="BL1737" i="1"/>
  <c r="BK1737" i="1"/>
  <c r="DG1736" i="1"/>
  <c r="M2471" i="1"/>
  <c r="L2471" i="1"/>
  <c r="DA1736" i="1"/>
  <c r="CY1736" i="1"/>
  <c r="CX1736" i="1"/>
  <c r="J2471" i="1"/>
  <c r="BL1736" i="1"/>
  <c r="BK1736" i="1"/>
  <c r="DG1735" i="1"/>
  <c r="M2472" i="1"/>
  <c r="L2472" i="1"/>
  <c r="DA1735" i="1"/>
  <c r="CY1735" i="1"/>
  <c r="CX1735" i="1"/>
  <c r="J2472" i="1"/>
  <c r="BL1735" i="1"/>
  <c r="BK1735" i="1"/>
  <c r="DG1734" i="1"/>
  <c r="M2334" i="1"/>
  <c r="L2334" i="1"/>
  <c r="DA1734" i="1"/>
  <c r="CY1734" i="1"/>
  <c r="CX1734" i="1"/>
  <c r="J2334" i="1"/>
  <c r="BL1734" i="1"/>
  <c r="BK1734" i="1"/>
  <c r="DG1733" i="1"/>
  <c r="M2474" i="1"/>
  <c r="L2474" i="1"/>
  <c r="DA1733" i="1"/>
  <c r="CY1733" i="1"/>
  <c r="CX1733" i="1"/>
  <c r="J2474" i="1"/>
  <c r="BL1733" i="1"/>
  <c r="BK1733" i="1"/>
  <c r="DG1732" i="1"/>
  <c r="M2475" i="1"/>
  <c r="L2475" i="1"/>
  <c r="DA1732" i="1"/>
  <c r="CY1732" i="1"/>
  <c r="CX1732" i="1"/>
  <c r="J2475" i="1"/>
  <c r="BL1732" i="1"/>
  <c r="BK1732" i="1"/>
  <c r="DG1731" i="1"/>
  <c r="M2476" i="1"/>
  <c r="L2476" i="1"/>
  <c r="DA1731" i="1"/>
  <c r="CY1731" i="1"/>
  <c r="CX1731" i="1"/>
  <c r="J2476" i="1"/>
  <c r="BL1731" i="1"/>
  <c r="BK1731" i="1"/>
  <c r="DG1730" i="1"/>
  <c r="M2477" i="1"/>
  <c r="L2477" i="1"/>
  <c r="DA1730" i="1"/>
  <c r="CY1730" i="1"/>
  <c r="CX1730" i="1"/>
  <c r="J2477" i="1"/>
  <c r="BL1730" i="1"/>
  <c r="BK1730" i="1"/>
  <c r="DG1729" i="1"/>
  <c r="M2478" i="1"/>
  <c r="L2478" i="1"/>
  <c r="DA1729" i="1"/>
  <c r="CY1729" i="1"/>
  <c r="CX1729" i="1"/>
  <c r="J2478" i="1"/>
  <c r="BL1729" i="1"/>
  <c r="BK1729" i="1"/>
  <c r="DG1728" i="1"/>
  <c r="M2479" i="1"/>
  <c r="L2479" i="1"/>
  <c r="DA1728" i="1"/>
  <c r="CY1728" i="1"/>
  <c r="CX1728" i="1"/>
  <c r="J2479" i="1"/>
  <c r="BL1728" i="1"/>
  <c r="BK1728" i="1"/>
  <c r="DG1727" i="1"/>
  <c r="M2480" i="1"/>
  <c r="L2480" i="1"/>
  <c r="DA1727" i="1"/>
  <c r="CY1727" i="1"/>
  <c r="CX1727" i="1"/>
  <c r="J2480" i="1"/>
  <c r="BL1727" i="1"/>
  <c r="BK1727" i="1"/>
  <c r="DG1726" i="1"/>
  <c r="M2481" i="1"/>
  <c r="L2481" i="1"/>
  <c r="DA1726" i="1"/>
  <c r="CY1726" i="1"/>
  <c r="CX1726" i="1"/>
  <c r="J2481" i="1"/>
  <c r="BL1726" i="1"/>
  <c r="BK1726" i="1"/>
  <c r="DG1725" i="1"/>
  <c r="M2482" i="1"/>
  <c r="L2482" i="1"/>
  <c r="DA1725" i="1"/>
  <c r="CY1725" i="1"/>
  <c r="CX1725" i="1"/>
  <c r="J2482" i="1"/>
  <c r="BL1725" i="1"/>
  <c r="BK1725" i="1"/>
  <c r="DG1724" i="1"/>
  <c r="M2483" i="1"/>
  <c r="L2483" i="1"/>
  <c r="DA1724" i="1"/>
  <c r="CY1724" i="1"/>
  <c r="CX1724" i="1"/>
  <c r="J2483" i="1"/>
  <c r="BL1724" i="1"/>
  <c r="BK1724" i="1"/>
  <c r="DG1723" i="1"/>
  <c r="M2484" i="1"/>
  <c r="L2484" i="1"/>
  <c r="DA1723" i="1"/>
  <c r="CY1723" i="1"/>
  <c r="CX1723" i="1"/>
  <c r="J2484" i="1"/>
  <c r="BL1723" i="1"/>
  <c r="BK1723" i="1"/>
  <c r="DG1722" i="1"/>
  <c r="M2485" i="1"/>
  <c r="L2485" i="1"/>
  <c r="DA1722" i="1"/>
  <c r="CY1722" i="1"/>
  <c r="CX1722" i="1"/>
  <c r="J2485" i="1"/>
  <c r="BL1722" i="1"/>
  <c r="BK1722" i="1"/>
  <c r="DG1721" i="1"/>
  <c r="M2486" i="1"/>
  <c r="L2486" i="1"/>
  <c r="DA1721" i="1"/>
  <c r="CY1721" i="1"/>
  <c r="CX1721" i="1"/>
  <c r="J2486" i="1"/>
  <c r="BL1721" i="1"/>
  <c r="BK1721" i="1"/>
  <c r="DG1720" i="1"/>
  <c r="M2487" i="1"/>
  <c r="L2487" i="1"/>
  <c r="DA1720" i="1"/>
  <c r="CY1720" i="1"/>
  <c r="CX1720" i="1"/>
  <c r="J2487" i="1"/>
  <c r="BL1720" i="1"/>
  <c r="BK1720" i="1"/>
  <c r="DG1719" i="1"/>
  <c r="M2488" i="1"/>
  <c r="L2488" i="1"/>
  <c r="DA1719" i="1"/>
  <c r="CY1719" i="1"/>
  <c r="CX1719" i="1"/>
  <c r="J2488" i="1"/>
  <c r="BL1719" i="1"/>
  <c r="BK1719" i="1"/>
  <c r="DG1718" i="1"/>
  <c r="M2333" i="1"/>
  <c r="L2333" i="1"/>
  <c r="DA1718" i="1"/>
  <c r="CY1718" i="1"/>
  <c r="CX1718" i="1"/>
  <c r="J2333" i="1"/>
  <c r="BL1718" i="1"/>
  <c r="BK1718" i="1"/>
  <c r="DG1717" i="1"/>
  <c r="M2490" i="1"/>
  <c r="L2490" i="1"/>
  <c r="DA1717" i="1"/>
  <c r="CY1717" i="1"/>
  <c r="CX1717" i="1"/>
  <c r="J2490" i="1"/>
  <c r="BL1717" i="1"/>
  <c r="BK1717" i="1"/>
  <c r="DG1716" i="1"/>
  <c r="M2491" i="1"/>
  <c r="L2491" i="1"/>
  <c r="DA1716" i="1"/>
  <c r="CY1716" i="1"/>
  <c r="CX1716" i="1"/>
  <c r="J2491" i="1"/>
  <c r="BL1716" i="1"/>
  <c r="BK1716" i="1"/>
  <c r="DG1715" i="1"/>
  <c r="M2492" i="1"/>
  <c r="L2492" i="1"/>
  <c r="DA1715" i="1"/>
  <c r="CY1715" i="1"/>
  <c r="CX1715" i="1"/>
  <c r="J2492" i="1"/>
  <c r="BL1715" i="1"/>
  <c r="BK1715" i="1"/>
  <c r="DG1714" i="1"/>
  <c r="M2493" i="1"/>
  <c r="L2493" i="1"/>
  <c r="DA1714" i="1"/>
  <c r="CY1714" i="1"/>
  <c r="CX1714" i="1"/>
  <c r="J2493" i="1"/>
  <c r="BL1714" i="1"/>
  <c r="BK1714" i="1"/>
  <c r="DG1713" i="1"/>
  <c r="M2494" i="1"/>
  <c r="L2494" i="1"/>
  <c r="DA1713" i="1"/>
  <c r="CY1713" i="1"/>
  <c r="CX1713" i="1"/>
  <c r="J2494" i="1"/>
  <c r="BL1713" i="1"/>
  <c r="BK1713" i="1"/>
  <c r="DG1712" i="1"/>
  <c r="M2495" i="1"/>
  <c r="L2495" i="1"/>
  <c r="DA1712" i="1"/>
  <c r="CY1712" i="1"/>
  <c r="CX1712" i="1"/>
  <c r="J2495" i="1"/>
  <c r="BL1712" i="1"/>
  <c r="BK1712" i="1"/>
  <c r="DG1711" i="1"/>
  <c r="M2496" i="1"/>
  <c r="L2496" i="1"/>
  <c r="DA1711" i="1"/>
  <c r="CY1711" i="1"/>
  <c r="CX1711" i="1"/>
  <c r="J2496" i="1"/>
  <c r="BL1711" i="1"/>
  <c r="BK1711" i="1"/>
  <c r="DG1710" i="1"/>
  <c r="M2497" i="1"/>
  <c r="L2497" i="1"/>
  <c r="DA1710" i="1"/>
  <c r="CY1710" i="1"/>
  <c r="CX1710" i="1"/>
  <c r="J2497" i="1"/>
  <c r="BL1710" i="1"/>
  <c r="BK1710" i="1"/>
  <c r="DG1709" i="1"/>
  <c r="M2498" i="1"/>
  <c r="L2498" i="1"/>
  <c r="DA1709" i="1"/>
  <c r="CY1709" i="1"/>
  <c r="CX1709" i="1"/>
  <c r="J2498" i="1"/>
  <c r="BL1709" i="1"/>
  <c r="BK1709" i="1"/>
  <c r="DG1708" i="1"/>
  <c r="M2499" i="1"/>
  <c r="L2499" i="1"/>
  <c r="DA1708" i="1"/>
  <c r="CY1708" i="1"/>
  <c r="CX1708" i="1"/>
  <c r="J2499" i="1"/>
  <c r="BL1708" i="1"/>
  <c r="BK1708" i="1"/>
  <c r="DG1707" i="1"/>
  <c r="M2500" i="1"/>
  <c r="L2500" i="1"/>
  <c r="DA1707" i="1"/>
  <c r="CY1707" i="1"/>
  <c r="CX1707" i="1"/>
  <c r="J2500" i="1"/>
  <c r="BL1707" i="1"/>
  <c r="BK1707" i="1"/>
  <c r="DG1706" i="1"/>
  <c r="M2501" i="1"/>
  <c r="L2501" i="1"/>
  <c r="DA1706" i="1"/>
  <c r="CY1706" i="1"/>
  <c r="CX1706" i="1"/>
  <c r="J2501" i="1"/>
  <c r="BL1706" i="1"/>
  <c r="BK1706" i="1"/>
  <c r="DG1705" i="1"/>
  <c r="M2502" i="1"/>
  <c r="L2502" i="1"/>
  <c r="DA1705" i="1"/>
  <c r="CY1705" i="1"/>
  <c r="CX1705" i="1"/>
  <c r="J2502" i="1"/>
  <c r="BL1705" i="1"/>
  <c r="BK1705" i="1"/>
  <c r="DG1704" i="1"/>
  <c r="M2503" i="1"/>
  <c r="L2503" i="1"/>
  <c r="DA1704" i="1"/>
  <c r="CY1704" i="1"/>
  <c r="CX1704" i="1"/>
  <c r="J2503" i="1"/>
  <c r="BL1704" i="1"/>
  <c r="BK1704" i="1"/>
  <c r="DG1703" i="1"/>
  <c r="M2504" i="1"/>
  <c r="L2504" i="1"/>
  <c r="DA1703" i="1"/>
  <c r="CY1703" i="1"/>
  <c r="CX1703" i="1"/>
  <c r="J2504" i="1"/>
  <c r="BL1703" i="1"/>
  <c r="BK1703" i="1"/>
  <c r="DG1702" i="1"/>
  <c r="M2505" i="1"/>
  <c r="L2505" i="1"/>
  <c r="DA1702" i="1"/>
  <c r="CY1702" i="1"/>
  <c r="CX1702" i="1"/>
  <c r="J2505" i="1"/>
  <c r="BL1702" i="1"/>
  <c r="BK1702" i="1"/>
  <c r="DG1701" i="1"/>
  <c r="M2506" i="1"/>
  <c r="L2506" i="1"/>
  <c r="DA1701" i="1"/>
  <c r="CY1701" i="1"/>
  <c r="CX1701" i="1"/>
  <c r="J2506" i="1"/>
  <c r="BL1701" i="1"/>
  <c r="BK1701" i="1"/>
  <c r="DG1700" i="1"/>
  <c r="M2507" i="1"/>
  <c r="L2507" i="1"/>
  <c r="DA1700" i="1"/>
  <c r="CY1700" i="1"/>
  <c r="CX1700" i="1"/>
  <c r="J2507" i="1"/>
  <c r="BL1700" i="1"/>
  <c r="BK1700" i="1"/>
  <c r="DG1699" i="1"/>
  <c r="M2508" i="1"/>
  <c r="L2508" i="1"/>
  <c r="DA1699" i="1"/>
  <c r="CY1699" i="1"/>
  <c r="CX1699" i="1"/>
  <c r="J2508" i="1"/>
  <c r="BL1699" i="1"/>
  <c r="BK1699" i="1"/>
  <c r="DG1698" i="1"/>
  <c r="M2509" i="1"/>
  <c r="L2509" i="1"/>
  <c r="DA1698" i="1"/>
  <c r="CY1698" i="1"/>
  <c r="CX1698" i="1"/>
  <c r="J2509" i="1"/>
  <c r="BL1698" i="1"/>
  <c r="BK1698" i="1"/>
  <c r="DG1697" i="1"/>
  <c r="M2510" i="1"/>
  <c r="L2510" i="1"/>
  <c r="DA1697" i="1"/>
  <c r="CY1697" i="1"/>
  <c r="CX1697" i="1"/>
  <c r="J2510" i="1"/>
  <c r="BL1697" i="1"/>
  <c r="BK1697" i="1"/>
  <c r="DG1696" i="1"/>
  <c r="M2511" i="1"/>
  <c r="L2511" i="1"/>
  <c r="DA1696" i="1"/>
  <c r="CY1696" i="1"/>
  <c r="CX1696" i="1"/>
  <c r="J2511" i="1"/>
  <c r="BL1696" i="1"/>
  <c r="BK1696" i="1"/>
  <c r="DG1695" i="1"/>
  <c r="M2512" i="1"/>
  <c r="L2512" i="1"/>
  <c r="DA1695" i="1"/>
  <c r="CY1695" i="1"/>
  <c r="CX1695" i="1"/>
  <c r="J2512" i="1"/>
  <c r="BL1695" i="1"/>
  <c r="BK1695" i="1"/>
  <c r="DG1694" i="1"/>
  <c r="M1138" i="1"/>
  <c r="L1138" i="1"/>
  <c r="DA1694" i="1"/>
  <c r="CY1694" i="1"/>
  <c r="CX1694" i="1"/>
  <c r="J1138" i="1"/>
  <c r="BL1694" i="1"/>
  <c r="BK1694" i="1"/>
  <c r="DG1693" i="1"/>
  <c r="M2514" i="1"/>
  <c r="L2514" i="1"/>
  <c r="DA1693" i="1"/>
  <c r="CY1693" i="1"/>
  <c r="CX1693" i="1"/>
  <c r="J2514" i="1"/>
  <c r="BL1693" i="1"/>
  <c r="BK1693" i="1"/>
  <c r="DG1692" i="1"/>
  <c r="M2515" i="1"/>
  <c r="L2515" i="1"/>
  <c r="DA1692" i="1"/>
  <c r="CY1692" i="1"/>
  <c r="CX1692" i="1"/>
  <c r="J2515" i="1"/>
  <c r="BL1692" i="1"/>
  <c r="BK1692" i="1"/>
  <c r="DG1691" i="1"/>
  <c r="M2516" i="1"/>
  <c r="L2516" i="1"/>
  <c r="DA1691" i="1"/>
  <c r="CY1691" i="1"/>
  <c r="CX1691" i="1"/>
  <c r="J2516" i="1"/>
  <c r="BL1691" i="1"/>
  <c r="BK1691" i="1"/>
  <c r="DG1690" i="1"/>
  <c r="M3420" i="1"/>
  <c r="L3420" i="1"/>
  <c r="DA1690" i="1"/>
  <c r="CY1690" i="1"/>
  <c r="CX1690" i="1"/>
  <c r="J3420" i="1"/>
  <c r="CW1690" i="1"/>
  <c r="BL1690" i="1"/>
  <c r="BK1690" i="1"/>
  <c r="DG1689" i="1"/>
  <c r="M2518" i="1"/>
  <c r="L2518" i="1"/>
  <c r="DA1689" i="1"/>
  <c r="CY1689" i="1"/>
  <c r="CX1689" i="1"/>
  <c r="J2518" i="1"/>
  <c r="BL1689" i="1"/>
  <c r="BK1689" i="1"/>
  <c r="DG1688" i="1"/>
  <c r="M2519" i="1"/>
  <c r="L2519" i="1"/>
  <c r="DA1688" i="1"/>
  <c r="CY1688" i="1"/>
  <c r="CX1688" i="1"/>
  <c r="J2519" i="1"/>
  <c r="BL1688" i="1"/>
  <c r="BK1688" i="1"/>
  <c r="DG1687" i="1"/>
  <c r="M2520" i="1"/>
  <c r="L2520" i="1"/>
  <c r="DA1687" i="1"/>
  <c r="CY1687" i="1"/>
  <c r="CX1687" i="1"/>
  <c r="J2520" i="1"/>
  <c r="BL1687" i="1"/>
  <c r="BK1687" i="1"/>
  <c r="DG1686" i="1"/>
  <c r="M2332" i="1"/>
  <c r="L2332" i="1"/>
  <c r="DA1686" i="1"/>
  <c r="CY1686" i="1"/>
  <c r="CX1686" i="1"/>
  <c r="J2332" i="1"/>
  <c r="BL1686" i="1"/>
  <c r="BK1686" i="1"/>
  <c r="DG1685" i="1"/>
  <c r="M2522" i="1"/>
  <c r="L2522" i="1"/>
  <c r="DA1685" i="1"/>
  <c r="CY1685" i="1"/>
  <c r="CX1685" i="1"/>
  <c r="J2522" i="1"/>
  <c r="BL1685" i="1"/>
  <c r="BK1685" i="1"/>
  <c r="DG1684" i="1"/>
  <c r="M2331" i="1"/>
  <c r="L2331" i="1"/>
  <c r="DA1684" i="1"/>
  <c r="CY1684" i="1"/>
  <c r="CX1684" i="1"/>
  <c r="J2331" i="1"/>
  <c r="BL1684" i="1"/>
  <c r="BK1684" i="1"/>
  <c r="DG1683" i="1"/>
  <c r="M2524" i="1"/>
  <c r="L2524" i="1"/>
  <c r="DA1683" i="1"/>
  <c r="CY1683" i="1"/>
  <c r="CX1683" i="1"/>
  <c r="J2524" i="1"/>
  <c r="BL1683" i="1"/>
  <c r="BK1683" i="1"/>
  <c r="DG1682" i="1"/>
  <c r="M1137" i="1"/>
  <c r="L1137" i="1"/>
  <c r="DA1682" i="1"/>
  <c r="CY1682" i="1"/>
  <c r="CX1682" i="1"/>
  <c r="J1137" i="1"/>
  <c r="BL1682" i="1"/>
  <c r="BK1682" i="1"/>
  <c r="DG1681" i="1"/>
  <c r="M2526" i="1"/>
  <c r="L2526" i="1"/>
  <c r="DA1681" i="1"/>
  <c r="CY1681" i="1"/>
  <c r="CX1681" i="1"/>
  <c r="J2526" i="1"/>
  <c r="BL1681" i="1"/>
  <c r="BK1681" i="1"/>
  <c r="DG1680" i="1"/>
  <c r="M2527" i="1"/>
  <c r="L2527" i="1"/>
  <c r="DA1680" i="1"/>
  <c r="CY1680" i="1"/>
  <c r="CX1680" i="1"/>
  <c r="J2527" i="1"/>
  <c r="BL1680" i="1"/>
  <c r="BK1680" i="1"/>
  <c r="DG1679" i="1"/>
  <c r="M2528" i="1"/>
  <c r="L2528" i="1"/>
  <c r="DA1679" i="1"/>
  <c r="CY1679" i="1"/>
  <c r="CX1679" i="1"/>
  <c r="J2528" i="1"/>
  <c r="BL1679" i="1"/>
  <c r="BK1679" i="1"/>
  <c r="DG1678" i="1"/>
  <c r="M2330" i="1"/>
  <c r="L2330" i="1"/>
  <c r="DA1678" i="1"/>
  <c r="CY1678" i="1"/>
  <c r="CX1678" i="1"/>
  <c r="J2330" i="1"/>
  <c r="BL1678" i="1"/>
  <c r="BK1678" i="1"/>
  <c r="DG1677" i="1"/>
  <c r="M2530" i="1"/>
  <c r="L2530" i="1"/>
  <c r="DA1677" i="1"/>
  <c r="CY1677" i="1"/>
  <c r="CX1677" i="1"/>
  <c r="J2530" i="1"/>
  <c r="BL1677" i="1"/>
  <c r="BK1677" i="1"/>
  <c r="DG1676" i="1"/>
  <c r="M2329" i="1"/>
  <c r="L2329" i="1"/>
  <c r="DA1676" i="1"/>
  <c r="CY1676" i="1"/>
  <c r="CX1676" i="1"/>
  <c r="J2329" i="1"/>
  <c r="BL1676" i="1"/>
  <c r="BK1676" i="1"/>
  <c r="DG1675" i="1"/>
  <c r="M2532" i="1"/>
  <c r="L2532" i="1"/>
  <c r="DA1675" i="1"/>
  <c r="CY1675" i="1"/>
  <c r="CX1675" i="1"/>
  <c r="J2532" i="1"/>
  <c r="BL1675" i="1"/>
  <c r="BK1675" i="1"/>
  <c r="DG1674" i="1"/>
  <c r="M1136" i="1"/>
  <c r="L1136" i="1"/>
  <c r="DA1674" i="1"/>
  <c r="CY1674" i="1"/>
  <c r="CX1674" i="1"/>
  <c r="J1136" i="1"/>
  <c r="BL1674" i="1"/>
  <c r="BK1674" i="1"/>
  <c r="DG1673" i="1"/>
  <c r="M2534" i="1"/>
  <c r="L2534" i="1"/>
  <c r="DA1673" i="1"/>
  <c r="CY1673" i="1"/>
  <c r="CX1673" i="1"/>
  <c r="J2534" i="1"/>
  <c r="BL1673" i="1"/>
  <c r="BK1673" i="1"/>
  <c r="DG1672" i="1"/>
  <c r="M2535" i="1"/>
  <c r="L2535" i="1"/>
  <c r="DA1672" i="1"/>
  <c r="CY1672" i="1"/>
  <c r="CX1672" i="1"/>
  <c r="J2535" i="1"/>
  <c r="BL1672" i="1"/>
  <c r="BK1672" i="1"/>
  <c r="DG1671" i="1"/>
  <c r="M2536" i="1"/>
  <c r="L2536" i="1"/>
  <c r="DA1671" i="1"/>
  <c r="CY1671" i="1"/>
  <c r="CX1671" i="1"/>
  <c r="J2536" i="1"/>
  <c r="BL1671" i="1"/>
  <c r="BK1671" i="1"/>
  <c r="DG1670" i="1"/>
  <c r="M3419" i="1"/>
  <c r="L3419" i="1"/>
  <c r="DA1670" i="1"/>
  <c r="CY1670" i="1"/>
  <c r="CX1670" i="1"/>
  <c r="J3419" i="1"/>
  <c r="CW1670" i="1"/>
  <c r="BL1670" i="1"/>
  <c r="BK1670" i="1"/>
  <c r="DG1669" i="1"/>
  <c r="M2538" i="1"/>
  <c r="L2538" i="1"/>
  <c r="DA1669" i="1"/>
  <c r="CY1669" i="1"/>
  <c r="CX1669" i="1"/>
  <c r="J2538" i="1"/>
  <c r="BL1669" i="1"/>
  <c r="BK1669" i="1"/>
  <c r="DG1668" i="1"/>
  <c r="M463" i="1"/>
  <c r="L463" i="1"/>
  <c r="DA1668" i="1"/>
  <c r="CY1668" i="1"/>
  <c r="CX1668" i="1"/>
  <c r="J463" i="1"/>
  <c r="BL1668" i="1"/>
  <c r="BK1668" i="1"/>
  <c r="DG1667" i="1"/>
  <c r="M2540" i="1"/>
  <c r="L2540" i="1"/>
  <c r="DA1667" i="1"/>
  <c r="CY1667" i="1"/>
  <c r="CX1667" i="1"/>
  <c r="J2540" i="1"/>
  <c r="BL1667" i="1"/>
  <c r="BK1667" i="1"/>
  <c r="DG1666" i="1"/>
  <c r="M1832" i="1"/>
  <c r="L1832" i="1"/>
  <c r="DA1666" i="1"/>
  <c r="CY1666" i="1"/>
  <c r="CX1666" i="1"/>
  <c r="J1832" i="1"/>
  <c r="BL1666" i="1"/>
  <c r="BK1666" i="1"/>
  <c r="DG1665" i="1"/>
  <c r="M2542" i="1"/>
  <c r="L2542" i="1"/>
  <c r="DA1665" i="1"/>
  <c r="CY1665" i="1"/>
  <c r="CX1665" i="1"/>
  <c r="J2542" i="1"/>
  <c r="BL1665" i="1"/>
  <c r="BK1665" i="1"/>
  <c r="DG1664" i="1"/>
  <c r="M2543" i="1"/>
  <c r="L2543" i="1"/>
  <c r="DA1664" i="1"/>
  <c r="CY1664" i="1"/>
  <c r="CX1664" i="1"/>
  <c r="J2543" i="1"/>
  <c r="BL1664" i="1"/>
  <c r="BK1664" i="1"/>
  <c r="DG1663" i="1"/>
  <c r="M2544" i="1"/>
  <c r="L2544" i="1"/>
  <c r="DA1663" i="1"/>
  <c r="CY1663" i="1"/>
  <c r="CX1663" i="1"/>
  <c r="J2544" i="1"/>
  <c r="BL1663" i="1"/>
  <c r="BK1663" i="1"/>
  <c r="DG1662" i="1"/>
  <c r="M1831" i="1"/>
  <c r="L1831" i="1"/>
  <c r="DA1662" i="1"/>
  <c r="CY1662" i="1"/>
  <c r="CX1662" i="1"/>
  <c r="J1831" i="1"/>
  <c r="BL1662" i="1"/>
  <c r="BK1662" i="1"/>
  <c r="DG1661" i="1"/>
  <c r="M2546" i="1"/>
  <c r="L2546" i="1"/>
  <c r="DA1661" i="1"/>
  <c r="CY1661" i="1"/>
  <c r="CX1661" i="1"/>
  <c r="J2546" i="1"/>
  <c r="BL1661" i="1"/>
  <c r="BK1661" i="1"/>
  <c r="DG1660" i="1"/>
  <c r="M2547" i="1"/>
  <c r="L2547" i="1"/>
  <c r="DA1660" i="1"/>
  <c r="CY1660" i="1"/>
  <c r="CX1660" i="1"/>
  <c r="J2547" i="1"/>
  <c r="BL1660" i="1"/>
  <c r="BK1660" i="1"/>
  <c r="DG1659" i="1"/>
  <c r="M2548" i="1"/>
  <c r="L2548" i="1"/>
  <c r="DA1659" i="1"/>
  <c r="CY1659" i="1"/>
  <c r="CX1659" i="1"/>
  <c r="J2548" i="1"/>
  <c r="BL1659" i="1"/>
  <c r="BK1659" i="1"/>
  <c r="DG1658" i="1"/>
  <c r="M2549" i="1"/>
  <c r="L2549" i="1"/>
  <c r="DA1658" i="1"/>
  <c r="CY1658" i="1"/>
  <c r="CX1658" i="1"/>
  <c r="J2549" i="1"/>
  <c r="BL1658" i="1"/>
  <c r="BK1658" i="1"/>
  <c r="DG1657" i="1"/>
  <c r="M2550" i="1"/>
  <c r="L2550" i="1"/>
  <c r="DA1657" i="1"/>
  <c r="CY1657" i="1"/>
  <c r="CX1657" i="1"/>
  <c r="J2550" i="1"/>
  <c r="BL1657" i="1"/>
  <c r="BK1657" i="1"/>
  <c r="DG1656" i="1"/>
  <c r="M2551" i="1"/>
  <c r="L2551" i="1"/>
  <c r="DA1656" i="1"/>
  <c r="CY1656" i="1"/>
  <c r="CX1656" i="1"/>
  <c r="J2551" i="1"/>
  <c r="BL1656" i="1"/>
  <c r="BK1656" i="1"/>
  <c r="DG1655" i="1"/>
  <c r="M2552" i="1"/>
  <c r="L2552" i="1"/>
  <c r="DA1655" i="1"/>
  <c r="CY1655" i="1"/>
  <c r="CX1655" i="1"/>
  <c r="J2552" i="1"/>
  <c r="BL1655" i="1"/>
  <c r="BK1655" i="1"/>
  <c r="DG1654" i="1"/>
  <c r="M2328" i="1"/>
  <c r="L2328" i="1"/>
  <c r="DA1654" i="1"/>
  <c r="CY1654" i="1"/>
  <c r="CX1654" i="1"/>
  <c r="J2328" i="1"/>
  <c r="BL1654" i="1"/>
  <c r="BK1654" i="1"/>
  <c r="DG1653" i="1"/>
  <c r="M2554" i="1"/>
  <c r="L2554" i="1"/>
  <c r="DA1653" i="1"/>
  <c r="CY1653" i="1"/>
  <c r="CX1653" i="1"/>
  <c r="J2554" i="1"/>
  <c r="BL1653" i="1"/>
  <c r="BK1653" i="1"/>
  <c r="DG1652" i="1"/>
  <c r="M2555" i="1"/>
  <c r="L2555" i="1"/>
  <c r="DA1652" i="1"/>
  <c r="CY1652" i="1"/>
  <c r="CX1652" i="1"/>
  <c r="J2555" i="1"/>
  <c r="BL1652" i="1"/>
  <c r="BK1652" i="1"/>
  <c r="DG1651" i="1"/>
  <c r="M2556" i="1"/>
  <c r="L2556" i="1"/>
  <c r="DA1651" i="1"/>
  <c r="CY1651" i="1"/>
  <c r="CX1651" i="1"/>
  <c r="J2556" i="1"/>
  <c r="BL1651" i="1"/>
  <c r="BK1651" i="1"/>
  <c r="DG1650" i="1"/>
  <c r="M2557" i="1"/>
  <c r="L2557" i="1"/>
  <c r="DA1650" i="1"/>
  <c r="CY1650" i="1"/>
  <c r="CX1650" i="1"/>
  <c r="J2557" i="1"/>
  <c r="BL1650" i="1"/>
  <c r="BK1650" i="1"/>
  <c r="DG1649" i="1"/>
  <c r="M2558" i="1"/>
  <c r="L2558" i="1"/>
  <c r="DA1649" i="1"/>
  <c r="CY1649" i="1"/>
  <c r="CX1649" i="1"/>
  <c r="J2558" i="1"/>
  <c r="BL1649" i="1"/>
  <c r="BK1649" i="1"/>
  <c r="DG1648" i="1"/>
  <c r="M2559" i="1"/>
  <c r="L2559" i="1"/>
  <c r="DA1648" i="1"/>
  <c r="CY1648" i="1"/>
  <c r="CX1648" i="1"/>
  <c r="J2559" i="1"/>
  <c r="BL1648" i="1"/>
  <c r="BK1648" i="1"/>
  <c r="DG1647" i="1"/>
  <c r="M2560" i="1"/>
  <c r="L2560" i="1"/>
  <c r="DA1647" i="1"/>
  <c r="CY1647" i="1"/>
  <c r="CX1647" i="1"/>
  <c r="J2560" i="1"/>
  <c r="BL1647" i="1"/>
  <c r="BK1647" i="1"/>
  <c r="DG1646" i="1"/>
  <c r="M2561" i="1"/>
  <c r="L2561" i="1"/>
  <c r="DA1646" i="1"/>
  <c r="CY1646" i="1"/>
  <c r="CX1646" i="1"/>
  <c r="J2561" i="1"/>
  <c r="BL1646" i="1"/>
  <c r="BK1646" i="1"/>
  <c r="DG1645" i="1"/>
  <c r="M2562" i="1"/>
  <c r="L2562" i="1"/>
  <c r="DA1645" i="1"/>
  <c r="CY1645" i="1"/>
  <c r="CX1645" i="1"/>
  <c r="J2562" i="1"/>
  <c r="BL1645" i="1"/>
  <c r="BK1645" i="1"/>
  <c r="DG1644" i="1"/>
  <c r="M2563" i="1"/>
  <c r="L2563" i="1"/>
  <c r="DA1644" i="1"/>
  <c r="CY1644" i="1"/>
  <c r="CX1644" i="1"/>
  <c r="J2563" i="1"/>
  <c r="BL1644" i="1"/>
  <c r="BK1644" i="1"/>
  <c r="DG1643" i="1"/>
  <c r="M2564" i="1"/>
  <c r="L2564" i="1"/>
  <c r="DA1643" i="1"/>
  <c r="CY1643" i="1"/>
  <c r="CX1643" i="1"/>
  <c r="J2564" i="1"/>
  <c r="BL1643" i="1"/>
  <c r="BK1643" i="1"/>
  <c r="DG1642" i="1"/>
  <c r="M2565" i="1"/>
  <c r="L2565" i="1"/>
  <c r="DA1642" i="1"/>
  <c r="CY1642" i="1"/>
  <c r="CX1642" i="1"/>
  <c r="J2565" i="1"/>
  <c r="BL1642" i="1"/>
  <c r="BK1642" i="1"/>
  <c r="DG1641" i="1"/>
  <c r="M2566" i="1"/>
  <c r="L2566" i="1"/>
  <c r="DA1641" i="1"/>
  <c r="CY1641" i="1"/>
  <c r="CX1641" i="1"/>
  <c r="J2566" i="1"/>
  <c r="BL1641" i="1"/>
  <c r="BK1641" i="1"/>
  <c r="DG1640" i="1"/>
  <c r="M2567" i="1"/>
  <c r="L2567" i="1"/>
  <c r="DA1640" i="1"/>
  <c r="CY1640" i="1"/>
  <c r="CX1640" i="1"/>
  <c r="J2567" i="1"/>
  <c r="BL1640" i="1"/>
  <c r="BK1640" i="1"/>
  <c r="DG1639" i="1"/>
  <c r="M2568" i="1"/>
  <c r="L2568" i="1"/>
  <c r="DA1639" i="1"/>
  <c r="CY1639" i="1"/>
  <c r="CX1639" i="1"/>
  <c r="J2568" i="1"/>
  <c r="BL1639" i="1"/>
  <c r="BK1639" i="1"/>
  <c r="DG1638" i="1"/>
  <c r="M2569" i="1"/>
  <c r="L2569" i="1"/>
  <c r="DA1638" i="1"/>
  <c r="CY1638" i="1"/>
  <c r="CX1638" i="1"/>
  <c r="J2569" i="1"/>
  <c r="BL1638" i="1"/>
  <c r="BK1638" i="1"/>
  <c r="DG1637" i="1"/>
  <c r="M2570" i="1"/>
  <c r="L2570" i="1"/>
  <c r="DA1637" i="1"/>
  <c r="CY1637" i="1"/>
  <c r="CX1637" i="1"/>
  <c r="J2570" i="1"/>
  <c r="BL1637" i="1"/>
  <c r="BK1637" i="1"/>
  <c r="DG1636" i="1"/>
  <c r="M2571" i="1"/>
  <c r="L2571" i="1"/>
  <c r="DA1636" i="1"/>
  <c r="CY1636" i="1"/>
  <c r="CX1636" i="1"/>
  <c r="J2571" i="1"/>
  <c r="BL1636" i="1"/>
  <c r="BK1636" i="1"/>
  <c r="DG1635" i="1"/>
  <c r="M2572" i="1"/>
  <c r="L2572" i="1"/>
  <c r="DA1635" i="1"/>
  <c r="CY1635" i="1"/>
  <c r="CX1635" i="1"/>
  <c r="J2572" i="1"/>
  <c r="BL1635" i="1"/>
  <c r="BK1635" i="1"/>
  <c r="DG1634" i="1"/>
  <c r="M2573" i="1"/>
  <c r="L2573" i="1"/>
  <c r="DA1634" i="1"/>
  <c r="CY1634" i="1"/>
  <c r="CX1634" i="1"/>
  <c r="J2573" i="1"/>
  <c r="BL1634" i="1"/>
  <c r="BK1634" i="1"/>
  <c r="DG1633" i="1"/>
  <c r="M2574" i="1"/>
  <c r="L2574" i="1"/>
  <c r="DA1633" i="1"/>
  <c r="CY1633" i="1"/>
  <c r="CX1633" i="1"/>
  <c r="J2574" i="1"/>
  <c r="BL1633" i="1"/>
  <c r="BK1633" i="1"/>
  <c r="DG1632" i="1"/>
  <c r="M2575" i="1"/>
  <c r="L2575" i="1"/>
  <c r="DA1632" i="1"/>
  <c r="CY1632" i="1"/>
  <c r="CX1632" i="1"/>
  <c r="J2575" i="1"/>
  <c r="BL1632" i="1"/>
  <c r="BK1632" i="1"/>
  <c r="DG1631" i="1"/>
  <c r="M2576" i="1"/>
  <c r="L2576" i="1"/>
  <c r="DA1631" i="1"/>
  <c r="CY1631" i="1"/>
  <c r="CX1631" i="1"/>
  <c r="J2576" i="1"/>
  <c r="BL1631" i="1"/>
  <c r="BK1631" i="1"/>
  <c r="DG1630" i="1"/>
  <c r="M2577" i="1"/>
  <c r="L2577" i="1"/>
  <c r="DA1630" i="1"/>
  <c r="CY1630" i="1"/>
  <c r="CX1630" i="1"/>
  <c r="J2577" i="1"/>
  <c r="BL1630" i="1"/>
  <c r="BK1630" i="1"/>
  <c r="DG1629" i="1"/>
  <c r="M2578" i="1"/>
  <c r="L2578" i="1"/>
  <c r="DA1629" i="1"/>
  <c r="CY1629" i="1"/>
  <c r="CX1629" i="1"/>
  <c r="J2578" i="1"/>
  <c r="BL1629" i="1"/>
  <c r="BK1629" i="1"/>
  <c r="DG1628" i="1"/>
  <c r="M2579" i="1"/>
  <c r="L2579" i="1"/>
  <c r="DA1628" i="1"/>
  <c r="CY1628" i="1"/>
  <c r="CX1628" i="1"/>
  <c r="J2579" i="1"/>
  <c r="BL1628" i="1"/>
  <c r="BK1628" i="1"/>
  <c r="DG1627" i="1"/>
  <c r="M2580" i="1"/>
  <c r="L2580" i="1"/>
  <c r="DA1627" i="1"/>
  <c r="CY1627" i="1"/>
  <c r="CX1627" i="1"/>
  <c r="J2580" i="1"/>
  <c r="BL1627" i="1"/>
  <c r="BK1627" i="1"/>
  <c r="DG1626" i="1"/>
  <c r="M2581" i="1"/>
  <c r="L2581" i="1"/>
  <c r="DA1626" i="1"/>
  <c r="CY1626" i="1"/>
  <c r="CX1626" i="1"/>
  <c r="J2581" i="1"/>
  <c r="BL1626" i="1"/>
  <c r="BK1626" i="1"/>
  <c r="DG1625" i="1"/>
  <c r="M2582" i="1"/>
  <c r="L2582" i="1"/>
  <c r="DA1625" i="1"/>
  <c r="CY1625" i="1"/>
  <c r="CX1625" i="1"/>
  <c r="J2582" i="1"/>
  <c r="BL1625" i="1"/>
  <c r="BK1625" i="1"/>
  <c r="DG1624" i="1"/>
  <c r="M2583" i="1"/>
  <c r="L2583" i="1"/>
  <c r="DA1624" i="1"/>
  <c r="CY1624" i="1"/>
  <c r="CX1624" i="1"/>
  <c r="J2583" i="1"/>
  <c r="BL1624" i="1"/>
  <c r="BK1624" i="1"/>
  <c r="DG1623" i="1"/>
  <c r="M2584" i="1"/>
  <c r="L2584" i="1"/>
  <c r="DA1623" i="1"/>
  <c r="CY1623" i="1"/>
  <c r="CX1623" i="1"/>
  <c r="J2584" i="1"/>
  <c r="BL1623" i="1"/>
  <c r="BK1623" i="1"/>
  <c r="DG1622" i="1"/>
  <c r="M2327" i="1"/>
  <c r="L2327" i="1"/>
  <c r="DA1622" i="1"/>
  <c r="CY1622" i="1"/>
  <c r="CX1622" i="1"/>
  <c r="J2327" i="1"/>
  <c r="BL1622" i="1"/>
  <c r="BK1622" i="1"/>
  <c r="DG1621" i="1"/>
  <c r="M2586" i="1"/>
  <c r="L2586" i="1"/>
  <c r="DA1621" i="1"/>
  <c r="CY1621" i="1"/>
  <c r="CX1621" i="1"/>
  <c r="J2586" i="1"/>
  <c r="BL1621" i="1"/>
  <c r="BK1621" i="1"/>
  <c r="DG1620" i="1"/>
  <c r="M2587" i="1"/>
  <c r="L2587" i="1"/>
  <c r="DA1620" i="1"/>
  <c r="CY1620" i="1"/>
  <c r="CX1620" i="1"/>
  <c r="J2587" i="1"/>
  <c r="BL1620" i="1"/>
  <c r="BK1620" i="1"/>
  <c r="DG1619" i="1"/>
  <c r="M2588" i="1"/>
  <c r="L2588" i="1"/>
  <c r="DA1619" i="1"/>
  <c r="CY1619" i="1"/>
  <c r="CX1619" i="1"/>
  <c r="J2588" i="1"/>
  <c r="BL1619" i="1"/>
  <c r="BK1619" i="1"/>
  <c r="DG1618" i="1"/>
  <c r="M2589" i="1"/>
  <c r="L2589" i="1"/>
  <c r="DA1618" i="1"/>
  <c r="CY1618" i="1"/>
  <c r="CX1618" i="1"/>
  <c r="J2589" i="1"/>
  <c r="BL1618" i="1"/>
  <c r="BK1618" i="1"/>
  <c r="DG1617" i="1"/>
  <c r="M2590" i="1"/>
  <c r="L2590" i="1"/>
  <c r="DA1617" i="1"/>
  <c r="CY1617" i="1"/>
  <c r="CX1617" i="1"/>
  <c r="J2590" i="1"/>
  <c r="BL1617" i="1"/>
  <c r="BK1617" i="1"/>
  <c r="DG1616" i="1"/>
  <c r="M2591" i="1"/>
  <c r="L2591" i="1"/>
  <c r="DA1616" i="1"/>
  <c r="CY1616" i="1"/>
  <c r="CX1616" i="1"/>
  <c r="J2591" i="1"/>
  <c r="BL1616" i="1"/>
  <c r="BK1616" i="1"/>
  <c r="DG1615" i="1"/>
  <c r="M2592" i="1"/>
  <c r="L2592" i="1"/>
  <c r="DA1615" i="1"/>
  <c r="CY1615" i="1"/>
  <c r="CX1615" i="1"/>
  <c r="J2592" i="1"/>
  <c r="BL1615" i="1"/>
  <c r="BK1615" i="1"/>
  <c r="DG1614" i="1"/>
  <c r="M2593" i="1"/>
  <c r="L2593" i="1"/>
  <c r="DA1614" i="1"/>
  <c r="CY1614" i="1"/>
  <c r="CX1614" i="1"/>
  <c r="J2593" i="1"/>
  <c r="BL1614" i="1"/>
  <c r="BK1614" i="1"/>
  <c r="DG1613" i="1"/>
  <c r="M2594" i="1"/>
  <c r="L2594" i="1"/>
  <c r="DA1613" i="1"/>
  <c r="CY1613" i="1"/>
  <c r="CX1613" i="1"/>
  <c r="J2594" i="1"/>
  <c r="BL1613" i="1"/>
  <c r="BK1613" i="1"/>
  <c r="DG1612" i="1"/>
  <c r="M2595" i="1"/>
  <c r="L2595" i="1"/>
  <c r="DA1612" i="1"/>
  <c r="CY1612" i="1"/>
  <c r="CX1612" i="1"/>
  <c r="J2595" i="1"/>
  <c r="BL1612" i="1"/>
  <c r="BK1612" i="1"/>
  <c r="DG1611" i="1"/>
  <c r="M2596" i="1"/>
  <c r="L2596" i="1"/>
  <c r="DA1611" i="1"/>
  <c r="CY1611" i="1"/>
  <c r="CX1611" i="1"/>
  <c r="J2596" i="1"/>
  <c r="BL1611" i="1"/>
  <c r="BK1611" i="1"/>
  <c r="DG1610" i="1"/>
  <c r="M2597" i="1"/>
  <c r="L2597" i="1"/>
  <c r="DA1610" i="1"/>
  <c r="CY1610" i="1"/>
  <c r="CX1610" i="1"/>
  <c r="J2597" i="1"/>
  <c r="BL1610" i="1"/>
  <c r="BK1610" i="1"/>
  <c r="DG1609" i="1"/>
  <c r="M2598" i="1"/>
  <c r="L2598" i="1"/>
  <c r="DA1609" i="1"/>
  <c r="CY1609" i="1"/>
  <c r="CX1609" i="1"/>
  <c r="J2598" i="1"/>
  <c r="BL1609" i="1"/>
  <c r="BK1609" i="1"/>
  <c r="DG1608" i="1"/>
  <c r="M2599" i="1"/>
  <c r="L2599" i="1"/>
  <c r="DA1608" i="1"/>
  <c r="CY1608" i="1"/>
  <c r="CX1608" i="1"/>
  <c r="J2599" i="1"/>
  <c r="BL1608" i="1"/>
  <c r="BK1608" i="1"/>
  <c r="DG1607" i="1"/>
  <c r="M2600" i="1"/>
  <c r="L2600" i="1"/>
  <c r="DA1607" i="1"/>
  <c r="CY1607" i="1"/>
  <c r="CX1607" i="1"/>
  <c r="J2600" i="1"/>
  <c r="BL1607" i="1"/>
  <c r="BK1607" i="1"/>
  <c r="DG1606" i="1"/>
  <c r="M1135" i="1"/>
  <c r="L1135" i="1"/>
  <c r="DA1606" i="1"/>
  <c r="CY1606" i="1"/>
  <c r="CX1606" i="1"/>
  <c r="J1135" i="1"/>
  <c r="BL1606" i="1"/>
  <c r="BK1606" i="1"/>
  <c r="DG1605" i="1"/>
  <c r="M2602" i="1"/>
  <c r="L2602" i="1"/>
  <c r="DA1605" i="1"/>
  <c r="CY1605" i="1"/>
  <c r="CX1605" i="1"/>
  <c r="J2602" i="1"/>
  <c r="BL1605" i="1"/>
  <c r="BK1605" i="1"/>
  <c r="DG1604" i="1"/>
  <c r="M2603" i="1"/>
  <c r="L2603" i="1"/>
  <c r="DA1604" i="1"/>
  <c r="CY1604" i="1"/>
  <c r="CX1604" i="1"/>
  <c r="J2603" i="1"/>
  <c r="BL1604" i="1"/>
  <c r="BK1604" i="1"/>
  <c r="DG1603" i="1"/>
  <c r="M2604" i="1"/>
  <c r="L2604" i="1"/>
  <c r="DA1603" i="1"/>
  <c r="CY1603" i="1"/>
  <c r="CX1603" i="1"/>
  <c r="J2604" i="1"/>
  <c r="BL1603" i="1"/>
  <c r="BK1603" i="1"/>
  <c r="DG1602" i="1"/>
  <c r="M2605" i="1"/>
  <c r="L2605" i="1"/>
  <c r="DA1602" i="1"/>
  <c r="CY1602" i="1"/>
  <c r="CX1602" i="1"/>
  <c r="J2605" i="1"/>
  <c r="BL1602" i="1"/>
  <c r="BK1602" i="1"/>
  <c r="DG1601" i="1"/>
  <c r="M2606" i="1"/>
  <c r="L2606" i="1"/>
  <c r="DA1601" i="1"/>
  <c r="CY1601" i="1"/>
  <c r="CX1601" i="1"/>
  <c r="J2606" i="1"/>
  <c r="BL1601" i="1"/>
  <c r="BK1601" i="1"/>
  <c r="DG1600" i="1"/>
  <c r="M2607" i="1"/>
  <c r="L2607" i="1"/>
  <c r="DA1600" i="1"/>
  <c r="CY1600" i="1"/>
  <c r="CX1600" i="1"/>
  <c r="J2607" i="1"/>
  <c r="BL1600" i="1"/>
  <c r="BK1600" i="1"/>
  <c r="DG1599" i="1"/>
  <c r="M2608" i="1"/>
  <c r="L2608" i="1"/>
  <c r="DA1599" i="1"/>
  <c r="CY1599" i="1"/>
  <c r="CX1599" i="1"/>
  <c r="J2608" i="1"/>
  <c r="BL1599" i="1"/>
  <c r="BK1599" i="1"/>
  <c r="DG1598" i="1"/>
  <c r="M2609" i="1"/>
  <c r="L2609" i="1"/>
  <c r="DA1598" i="1"/>
  <c r="CY1598" i="1"/>
  <c r="CX1598" i="1"/>
  <c r="J2609" i="1"/>
  <c r="BL1598" i="1"/>
  <c r="BK1598" i="1"/>
  <c r="DG1597" i="1"/>
  <c r="M2610" i="1"/>
  <c r="L2610" i="1"/>
  <c r="DA1597" i="1"/>
  <c r="CY1597" i="1"/>
  <c r="CX1597" i="1"/>
  <c r="J2610" i="1"/>
  <c r="BL1597" i="1"/>
  <c r="BK1597" i="1"/>
  <c r="DG1596" i="1"/>
  <c r="M2611" i="1"/>
  <c r="L2611" i="1"/>
  <c r="DA1596" i="1"/>
  <c r="CY1596" i="1"/>
  <c r="CX1596" i="1"/>
  <c r="J2611" i="1"/>
  <c r="BL1596" i="1"/>
  <c r="BK1596" i="1"/>
  <c r="DG1595" i="1"/>
  <c r="M2612" i="1"/>
  <c r="L2612" i="1"/>
  <c r="DA1595" i="1"/>
  <c r="CY1595" i="1"/>
  <c r="CX1595" i="1"/>
  <c r="J2612" i="1"/>
  <c r="BL1595" i="1"/>
  <c r="BK1595" i="1"/>
  <c r="DG1594" i="1"/>
  <c r="M2613" i="1"/>
  <c r="L2613" i="1"/>
  <c r="DA1594" i="1"/>
  <c r="CY1594" i="1"/>
  <c r="CX1594" i="1"/>
  <c r="J2613" i="1"/>
  <c r="BL1594" i="1"/>
  <c r="BK1594" i="1"/>
  <c r="DG1593" i="1"/>
  <c r="M2614" i="1"/>
  <c r="L2614" i="1"/>
  <c r="DA1593" i="1"/>
  <c r="CY1593" i="1"/>
  <c r="CX1593" i="1"/>
  <c r="J2614" i="1"/>
  <c r="BL1593" i="1"/>
  <c r="BK1593" i="1"/>
  <c r="DG1592" i="1"/>
  <c r="M2615" i="1"/>
  <c r="L2615" i="1"/>
  <c r="DA1592" i="1"/>
  <c r="CY1592" i="1"/>
  <c r="CX1592" i="1"/>
  <c r="J2615" i="1"/>
  <c r="BL1592" i="1"/>
  <c r="BK1592" i="1"/>
  <c r="DG1591" i="1"/>
  <c r="M2616" i="1"/>
  <c r="L2616" i="1"/>
  <c r="DA1591" i="1"/>
  <c r="CY1591" i="1"/>
  <c r="CX1591" i="1"/>
  <c r="J2616" i="1"/>
  <c r="BL1591" i="1"/>
  <c r="BK1591" i="1"/>
  <c r="DG1590" i="1"/>
  <c r="M2326" i="1"/>
  <c r="L2326" i="1"/>
  <c r="DA1590" i="1"/>
  <c r="CY1590" i="1"/>
  <c r="CX1590" i="1"/>
  <c r="J2326" i="1"/>
  <c r="BL1590" i="1"/>
  <c r="BK1590" i="1"/>
  <c r="DG1589" i="1"/>
  <c r="M2618" i="1"/>
  <c r="L2618" i="1"/>
  <c r="DA1589" i="1"/>
  <c r="CY1589" i="1"/>
  <c r="CX1589" i="1"/>
  <c r="J2618" i="1"/>
  <c r="BL1589" i="1"/>
  <c r="BK1589" i="1"/>
  <c r="DG1588" i="1"/>
  <c r="M2325" i="1"/>
  <c r="L2325" i="1"/>
  <c r="DA1588" i="1"/>
  <c r="CY1588" i="1"/>
  <c r="CX1588" i="1"/>
  <c r="J2325" i="1"/>
  <c r="BL1588" i="1"/>
  <c r="BK1588" i="1"/>
  <c r="DG1587" i="1"/>
  <c r="M2620" i="1"/>
  <c r="L2620" i="1"/>
  <c r="DA1587" i="1"/>
  <c r="CY1587" i="1"/>
  <c r="CX1587" i="1"/>
  <c r="J2620" i="1"/>
  <c r="BL1587" i="1"/>
  <c r="BK1587" i="1"/>
  <c r="DG1586" i="1"/>
  <c r="M1134" i="1"/>
  <c r="L1134" i="1"/>
  <c r="DA1586" i="1"/>
  <c r="CY1586" i="1"/>
  <c r="CX1586" i="1"/>
  <c r="J1134" i="1"/>
  <c r="BL1586" i="1"/>
  <c r="BK1586" i="1"/>
  <c r="DG1585" i="1"/>
  <c r="M2622" i="1"/>
  <c r="L2622" i="1"/>
  <c r="DA1585" i="1"/>
  <c r="CY1585" i="1"/>
  <c r="CX1585" i="1"/>
  <c r="J2622" i="1"/>
  <c r="BL1585" i="1"/>
  <c r="BK1585" i="1"/>
  <c r="DG1584" i="1"/>
  <c r="M2623" i="1"/>
  <c r="L2623" i="1"/>
  <c r="DA1584" i="1"/>
  <c r="CY1584" i="1"/>
  <c r="CX1584" i="1"/>
  <c r="J2623" i="1"/>
  <c r="BL1584" i="1"/>
  <c r="BK1584" i="1"/>
  <c r="DG1583" i="1"/>
  <c r="M2624" i="1"/>
  <c r="L2624" i="1"/>
  <c r="DA1583" i="1"/>
  <c r="CY1583" i="1"/>
  <c r="CX1583" i="1"/>
  <c r="J2624" i="1"/>
  <c r="BL1583" i="1"/>
  <c r="BK1583" i="1"/>
  <c r="DG1582" i="1"/>
  <c r="M3418" i="1"/>
  <c r="L3418" i="1"/>
  <c r="DA1582" i="1"/>
  <c r="CY1582" i="1"/>
  <c r="CX1582" i="1"/>
  <c r="J3418" i="1"/>
  <c r="CW1582" i="1"/>
  <c r="BL1582" i="1"/>
  <c r="BK1582" i="1"/>
  <c r="DG1581" i="1"/>
  <c r="M2626" i="1"/>
  <c r="L2626" i="1"/>
  <c r="DA1581" i="1"/>
  <c r="CY1581" i="1"/>
  <c r="CX1581" i="1"/>
  <c r="J2626" i="1"/>
  <c r="BL1581" i="1"/>
  <c r="BK1581" i="1"/>
  <c r="DG1580" i="1"/>
  <c r="M2627" i="1"/>
  <c r="L2627" i="1"/>
  <c r="DA1580" i="1"/>
  <c r="CY1580" i="1"/>
  <c r="CX1580" i="1"/>
  <c r="J2627" i="1"/>
  <c r="BL1580" i="1"/>
  <c r="BK1580" i="1"/>
  <c r="DG1579" i="1"/>
  <c r="M2628" i="1"/>
  <c r="L2628" i="1"/>
  <c r="DA1579" i="1"/>
  <c r="CY1579" i="1"/>
  <c r="CX1579" i="1"/>
  <c r="J2628" i="1"/>
  <c r="BL1579" i="1"/>
  <c r="BK1579" i="1"/>
  <c r="DG1578" i="1"/>
  <c r="M2324" i="1"/>
  <c r="L2324" i="1"/>
  <c r="DA1578" i="1"/>
  <c r="CY1578" i="1"/>
  <c r="CX1578" i="1"/>
  <c r="J2324" i="1"/>
  <c r="BL1578" i="1"/>
  <c r="BK1578" i="1"/>
  <c r="DG1577" i="1"/>
  <c r="M2630" i="1"/>
  <c r="L2630" i="1"/>
  <c r="DA1577" i="1"/>
  <c r="CY1577" i="1"/>
  <c r="CX1577" i="1"/>
  <c r="J2630" i="1"/>
  <c r="BL1577" i="1"/>
  <c r="BK1577" i="1"/>
  <c r="DG1576" i="1"/>
  <c r="M2631" i="1"/>
  <c r="L2631" i="1"/>
  <c r="DA1576" i="1"/>
  <c r="CY1576" i="1"/>
  <c r="CX1576" i="1"/>
  <c r="J2631" i="1"/>
  <c r="BL1576" i="1"/>
  <c r="BK1576" i="1"/>
  <c r="DG1575" i="1"/>
  <c r="M2632" i="1"/>
  <c r="L2632" i="1"/>
  <c r="DA1575" i="1"/>
  <c r="CY1575" i="1"/>
  <c r="CX1575" i="1"/>
  <c r="J2632" i="1"/>
  <c r="BL1575" i="1"/>
  <c r="BK1575" i="1"/>
  <c r="DG1574" i="1"/>
  <c r="M2323" i="1"/>
  <c r="L2323" i="1"/>
  <c r="DA1574" i="1"/>
  <c r="CY1574" i="1"/>
  <c r="CX1574" i="1"/>
  <c r="J2323" i="1"/>
  <c r="BL1574" i="1"/>
  <c r="BK1574" i="1"/>
  <c r="DG1573" i="1"/>
  <c r="M2634" i="1"/>
  <c r="L2634" i="1"/>
  <c r="DA1573" i="1"/>
  <c r="CY1573" i="1"/>
  <c r="CX1573" i="1"/>
  <c r="J2634" i="1"/>
  <c r="BL1573" i="1"/>
  <c r="BK1573" i="1"/>
  <c r="DG1572" i="1"/>
  <c r="M2635" i="1"/>
  <c r="L2635" i="1"/>
  <c r="DA1572" i="1"/>
  <c r="CY1572" i="1"/>
  <c r="CX1572" i="1"/>
  <c r="J2635" i="1"/>
  <c r="BL1572" i="1"/>
  <c r="BK1572" i="1"/>
  <c r="DG1571" i="1"/>
  <c r="M2636" i="1"/>
  <c r="L2636" i="1"/>
  <c r="DA1571" i="1"/>
  <c r="CY1571" i="1"/>
  <c r="CX1571" i="1"/>
  <c r="J2636" i="1"/>
  <c r="BL1571" i="1"/>
  <c r="BK1571" i="1"/>
  <c r="DG1570" i="1"/>
  <c r="M1133" i="1"/>
  <c r="L1133" i="1"/>
  <c r="DA1570" i="1"/>
  <c r="CY1570" i="1"/>
  <c r="CX1570" i="1"/>
  <c r="J1133" i="1"/>
  <c r="BL1570" i="1"/>
  <c r="BK1570" i="1"/>
  <c r="DG1569" i="1"/>
  <c r="M2638" i="1"/>
  <c r="L2638" i="1"/>
  <c r="DA1569" i="1"/>
  <c r="CY1569" i="1"/>
  <c r="CX1569" i="1"/>
  <c r="J2638" i="1"/>
  <c r="BL1569" i="1"/>
  <c r="BK1569" i="1"/>
  <c r="DG1568" i="1"/>
  <c r="M2639" i="1"/>
  <c r="L2639" i="1"/>
  <c r="DA1568" i="1"/>
  <c r="CY1568" i="1"/>
  <c r="CX1568" i="1"/>
  <c r="J2639" i="1"/>
  <c r="BL1568" i="1"/>
  <c r="BK1568" i="1"/>
  <c r="DG1567" i="1"/>
  <c r="M2640" i="1"/>
  <c r="L2640" i="1"/>
  <c r="DA1567" i="1"/>
  <c r="CY1567" i="1"/>
  <c r="CX1567" i="1"/>
  <c r="J2640" i="1"/>
  <c r="BL1567" i="1"/>
  <c r="BK1567" i="1"/>
  <c r="DG1566" i="1"/>
  <c r="M2641" i="1"/>
  <c r="L2641" i="1"/>
  <c r="DA1566" i="1"/>
  <c r="CY1566" i="1"/>
  <c r="CX1566" i="1"/>
  <c r="J2641" i="1"/>
  <c r="BL1566" i="1"/>
  <c r="BK1566" i="1"/>
  <c r="DG1565" i="1"/>
  <c r="M2642" i="1"/>
  <c r="L2642" i="1"/>
  <c r="DA1565" i="1"/>
  <c r="CY1565" i="1"/>
  <c r="CX1565" i="1"/>
  <c r="J2642" i="1"/>
  <c r="BL1565" i="1"/>
  <c r="BK1565" i="1"/>
  <c r="DG1564" i="1"/>
  <c r="M2643" i="1"/>
  <c r="L2643" i="1"/>
  <c r="DA1564" i="1"/>
  <c r="CY1564" i="1"/>
  <c r="CX1564" i="1"/>
  <c r="J2643" i="1"/>
  <c r="BL1564" i="1"/>
  <c r="BK1564" i="1"/>
  <c r="DG1563" i="1"/>
  <c r="M2644" i="1"/>
  <c r="L2644" i="1"/>
  <c r="DA1563" i="1"/>
  <c r="CY1563" i="1"/>
  <c r="CX1563" i="1"/>
  <c r="J2644" i="1"/>
  <c r="BL1563" i="1"/>
  <c r="BK1563" i="1"/>
  <c r="DG1562" i="1"/>
  <c r="M2645" i="1"/>
  <c r="L2645" i="1"/>
  <c r="DA1562" i="1"/>
  <c r="CY1562" i="1"/>
  <c r="CX1562" i="1"/>
  <c r="J2645" i="1"/>
  <c r="BL1562" i="1"/>
  <c r="BK1562" i="1"/>
  <c r="DG1561" i="1"/>
  <c r="M2646" i="1"/>
  <c r="L2646" i="1"/>
  <c r="DA1561" i="1"/>
  <c r="CY1561" i="1"/>
  <c r="CX1561" i="1"/>
  <c r="J2646" i="1"/>
  <c r="BL1561" i="1"/>
  <c r="BK1561" i="1"/>
  <c r="DG1560" i="1"/>
  <c r="M2647" i="1"/>
  <c r="L2647" i="1"/>
  <c r="DA1560" i="1"/>
  <c r="CY1560" i="1"/>
  <c r="CX1560" i="1"/>
  <c r="J2647" i="1"/>
  <c r="BL1560" i="1"/>
  <c r="BK1560" i="1"/>
  <c r="DG1559" i="1"/>
  <c r="M2648" i="1"/>
  <c r="L2648" i="1"/>
  <c r="DA1559" i="1"/>
  <c r="CY1559" i="1"/>
  <c r="CX1559" i="1"/>
  <c r="J2648" i="1"/>
  <c r="BL1559" i="1"/>
  <c r="BK1559" i="1"/>
  <c r="DG1558" i="1"/>
  <c r="M2322" i="1"/>
  <c r="L2322" i="1"/>
  <c r="DA1558" i="1"/>
  <c r="CY1558" i="1"/>
  <c r="CX1558" i="1"/>
  <c r="J2322" i="1"/>
  <c r="BL1558" i="1"/>
  <c r="BK1558" i="1"/>
  <c r="DG1557" i="1"/>
  <c r="M2650" i="1"/>
  <c r="L2650" i="1"/>
  <c r="DA1557" i="1"/>
  <c r="CY1557" i="1"/>
  <c r="CX1557" i="1"/>
  <c r="J2650" i="1"/>
  <c r="BL1557" i="1"/>
  <c r="BK1557" i="1"/>
  <c r="DG1556" i="1"/>
  <c r="M2651" i="1"/>
  <c r="L2651" i="1"/>
  <c r="DA1556" i="1"/>
  <c r="CY1556" i="1"/>
  <c r="CX1556" i="1"/>
  <c r="J2651" i="1"/>
  <c r="BL1556" i="1"/>
  <c r="BK1556" i="1"/>
  <c r="DG1555" i="1"/>
  <c r="M2652" i="1"/>
  <c r="L2652" i="1"/>
  <c r="DA1555" i="1"/>
  <c r="CY1555" i="1"/>
  <c r="CX1555" i="1"/>
  <c r="J2652" i="1"/>
  <c r="BL1555" i="1"/>
  <c r="BK1555" i="1"/>
  <c r="DG1554" i="1"/>
  <c r="M2321" i="1"/>
  <c r="L2321" i="1"/>
  <c r="DA1554" i="1"/>
  <c r="CY1554" i="1"/>
  <c r="CX1554" i="1"/>
  <c r="J2321" i="1"/>
  <c r="BL1554" i="1"/>
  <c r="BK1554" i="1"/>
  <c r="DG1553" i="1"/>
  <c r="M2654" i="1"/>
  <c r="L2654" i="1"/>
  <c r="DA1553" i="1"/>
  <c r="CY1553" i="1"/>
  <c r="CX1553" i="1"/>
  <c r="J2654" i="1"/>
  <c r="BL1553" i="1"/>
  <c r="BK1553" i="1"/>
  <c r="DG1552" i="1"/>
  <c r="M2655" i="1"/>
  <c r="L2655" i="1"/>
  <c r="DA1552" i="1"/>
  <c r="CY1552" i="1"/>
  <c r="CX1552" i="1"/>
  <c r="J2655" i="1"/>
  <c r="BL1552" i="1"/>
  <c r="BK1552" i="1"/>
  <c r="DG1551" i="1"/>
  <c r="M2656" i="1"/>
  <c r="L2656" i="1"/>
  <c r="DA1551" i="1"/>
  <c r="CY1551" i="1"/>
  <c r="CX1551" i="1"/>
  <c r="J2656" i="1"/>
  <c r="BL1551" i="1"/>
  <c r="BK1551" i="1"/>
  <c r="DG1550" i="1"/>
  <c r="M1132" i="1"/>
  <c r="L1132" i="1"/>
  <c r="DA1550" i="1"/>
  <c r="CY1550" i="1"/>
  <c r="CX1550" i="1"/>
  <c r="J1132" i="1"/>
  <c r="BL1550" i="1"/>
  <c r="BK1550" i="1"/>
  <c r="DG1549" i="1"/>
  <c r="M2658" i="1"/>
  <c r="L2658" i="1"/>
  <c r="DA1549" i="1"/>
  <c r="CY1549" i="1"/>
  <c r="CX1549" i="1"/>
  <c r="J2658" i="1"/>
  <c r="BL1549" i="1"/>
  <c r="BK1549" i="1"/>
  <c r="DG1548" i="1"/>
  <c r="M2659" i="1"/>
  <c r="L2659" i="1"/>
  <c r="DA1548" i="1"/>
  <c r="CY1548" i="1"/>
  <c r="CX1548" i="1"/>
  <c r="J2659" i="1"/>
  <c r="BL1548" i="1"/>
  <c r="BK1548" i="1"/>
  <c r="DG1547" i="1"/>
  <c r="M2660" i="1"/>
  <c r="L2660" i="1"/>
  <c r="DA1547" i="1"/>
  <c r="CY1547" i="1"/>
  <c r="CX1547" i="1"/>
  <c r="J2660" i="1"/>
  <c r="BL1547" i="1"/>
  <c r="BK1547" i="1"/>
  <c r="DG1546" i="1"/>
  <c r="M2661" i="1"/>
  <c r="L2661" i="1"/>
  <c r="DA1546" i="1"/>
  <c r="CY1546" i="1"/>
  <c r="CX1546" i="1"/>
  <c r="J2661" i="1"/>
  <c r="BL1546" i="1"/>
  <c r="BK1546" i="1"/>
  <c r="DG1545" i="1"/>
  <c r="M2662" i="1"/>
  <c r="L2662" i="1"/>
  <c r="DA1545" i="1"/>
  <c r="CY1545" i="1"/>
  <c r="CX1545" i="1"/>
  <c r="J2662" i="1"/>
  <c r="BL1545" i="1"/>
  <c r="BK1545" i="1"/>
  <c r="DG1544" i="1"/>
  <c r="M2663" i="1"/>
  <c r="L2663" i="1"/>
  <c r="DA1544" i="1"/>
  <c r="CY1544" i="1"/>
  <c r="CX1544" i="1"/>
  <c r="J2663" i="1"/>
  <c r="BL1544" i="1"/>
  <c r="BK1544" i="1"/>
  <c r="DG1543" i="1"/>
  <c r="M2664" i="1"/>
  <c r="L2664" i="1"/>
  <c r="DA1543" i="1"/>
  <c r="CY1543" i="1"/>
  <c r="CX1543" i="1"/>
  <c r="J2664" i="1"/>
  <c r="BL1543" i="1"/>
  <c r="BK1543" i="1"/>
  <c r="DG1542" i="1"/>
  <c r="M3417" i="1"/>
  <c r="L3417" i="1"/>
  <c r="DA1542" i="1"/>
  <c r="CY1542" i="1"/>
  <c r="CX1542" i="1"/>
  <c r="J3417" i="1"/>
  <c r="CW1542" i="1"/>
  <c r="BL1542" i="1"/>
  <c r="BK1542" i="1"/>
  <c r="DG1541" i="1"/>
  <c r="M2666" i="1"/>
  <c r="L2666" i="1"/>
  <c r="DA1541" i="1"/>
  <c r="CY1541" i="1"/>
  <c r="CX1541" i="1"/>
  <c r="J2666" i="1"/>
  <c r="BL1541" i="1"/>
  <c r="BK1541" i="1"/>
  <c r="DG1540" i="1"/>
  <c r="M132" i="1"/>
  <c r="L132" i="1"/>
  <c r="DA1540" i="1"/>
  <c r="CY1540" i="1"/>
  <c r="CX1540" i="1"/>
  <c r="J132" i="1"/>
  <c r="BL1540" i="1"/>
  <c r="BK1540" i="1"/>
  <c r="DG1539" i="1"/>
  <c r="M2668" i="1"/>
  <c r="L2668" i="1"/>
  <c r="DA1539" i="1"/>
  <c r="CY1539" i="1"/>
  <c r="CX1539" i="1"/>
  <c r="J2668" i="1"/>
  <c r="BL1539" i="1"/>
  <c r="BK1539" i="1"/>
  <c r="DG1538" i="1"/>
  <c r="M2320" i="1"/>
  <c r="L2320" i="1"/>
  <c r="DA1538" i="1"/>
  <c r="CY1538" i="1"/>
  <c r="CX1538" i="1"/>
  <c r="J2320" i="1"/>
  <c r="BL1538" i="1"/>
  <c r="BK1538" i="1"/>
  <c r="DG1537" i="1"/>
  <c r="M2670" i="1"/>
  <c r="L2670" i="1"/>
  <c r="DA1537" i="1"/>
  <c r="CY1537" i="1"/>
  <c r="CX1537" i="1"/>
  <c r="J2670" i="1"/>
  <c r="BL1537" i="1"/>
  <c r="BK1537" i="1"/>
  <c r="DG1536" i="1"/>
  <c r="M2671" i="1"/>
  <c r="L2671" i="1"/>
  <c r="DA1536" i="1"/>
  <c r="CY1536" i="1"/>
  <c r="CX1536" i="1"/>
  <c r="J2671" i="1"/>
  <c r="BL1536" i="1"/>
  <c r="BK1536" i="1"/>
  <c r="DG1535" i="1"/>
  <c r="M2672" i="1"/>
  <c r="L2672" i="1"/>
  <c r="DA1535" i="1"/>
  <c r="CY1535" i="1"/>
  <c r="CX1535" i="1"/>
  <c r="J2672" i="1"/>
  <c r="BL1535" i="1"/>
  <c r="BK1535" i="1"/>
  <c r="DG1534" i="1"/>
  <c r="M2319" i="1"/>
  <c r="L2319" i="1"/>
  <c r="DA1534" i="1"/>
  <c r="CY1534" i="1"/>
  <c r="CX1534" i="1"/>
  <c r="J2319" i="1"/>
  <c r="BL1534" i="1"/>
  <c r="BK1534" i="1"/>
  <c r="DG1533" i="1"/>
  <c r="M2674" i="1"/>
  <c r="L2674" i="1"/>
  <c r="DA1533" i="1"/>
  <c r="CY1533" i="1"/>
  <c r="CX1533" i="1"/>
  <c r="J2674" i="1"/>
  <c r="BL1533" i="1"/>
  <c r="BK1533" i="1"/>
  <c r="DG1532" i="1"/>
  <c r="M2675" i="1"/>
  <c r="L2675" i="1"/>
  <c r="DA1532" i="1"/>
  <c r="CY1532" i="1"/>
  <c r="CX1532" i="1"/>
  <c r="J2675" i="1"/>
  <c r="BL1532" i="1"/>
  <c r="BK1532" i="1"/>
  <c r="DG1531" i="1"/>
  <c r="M2676" i="1"/>
  <c r="L2676" i="1"/>
  <c r="DA1531" i="1"/>
  <c r="CY1531" i="1"/>
  <c r="CX1531" i="1"/>
  <c r="J2676" i="1"/>
  <c r="BL1531" i="1"/>
  <c r="BK1531" i="1"/>
  <c r="DG1530" i="1"/>
  <c r="M1131" i="1"/>
  <c r="L1131" i="1"/>
  <c r="DA1530" i="1"/>
  <c r="CY1530" i="1"/>
  <c r="CX1530" i="1"/>
  <c r="J1131" i="1"/>
  <c r="BL1530" i="1"/>
  <c r="BK1530" i="1"/>
  <c r="DG1529" i="1"/>
  <c r="M2678" i="1"/>
  <c r="L2678" i="1"/>
  <c r="DA1529" i="1"/>
  <c r="CY1529" i="1"/>
  <c r="CX1529" i="1"/>
  <c r="J2678" i="1"/>
  <c r="BL1529" i="1"/>
  <c r="BK1529" i="1"/>
  <c r="DG1528" i="1"/>
  <c r="M2679" i="1"/>
  <c r="L2679" i="1"/>
  <c r="DA1528" i="1"/>
  <c r="CY1528" i="1"/>
  <c r="CX1528" i="1"/>
  <c r="J2679" i="1"/>
  <c r="BL1528" i="1"/>
  <c r="BK1528" i="1"/>
  <c r="DG1527" i="1"/>
  <c r="M2680" i="1"/>
  <c r="L2680" i="1"/>
  <c r="DA1527" i="1"/>
  <c r="CY1527" i="1"/>
  <c r="CX1527" i="1"/>
  <c r="J2680" i="1"/>
  <c r="BL1527" i="1"/>
  <c r="BK1527" i="1"/>
  <c r="DG1526" i="1"/>
  <c r="M2318" i="1"/>
  <c r="L2318" i="1"/>
  <c r="DA1526" i="1"/>
  <c r="CY1526" i="1"/>
  <c r="CX1526" i="1"/>
  <c r="J2318" i="1"/>
  <c r="BL1526" i="1"/>
  <c r="BK1526" i="1"/>
  <c r="DG1525" i="1"/>
  <c r="M2682" i="1"/>
  <c r="L2682" i="1"/>
  <c r="DA1525" i="1"/>
  <c r="CY1525" i="1"/>
  <c r="CX1525" i="1"/>
  <c r="J2682" i="1"/>
  <c r="BL1525" i="1"/>
  <c r="BK1525" i="1"/>
  <c r="DG1524" i="1"/>
  <c r="M2317" i="1"/>
  <c r="L2317" i="1"/>
  <c r="DA1524" i="1"/>
  <c r="CY1524" i="1"/>
  <c r="CX1524" i="1"/>
  <c r="J2317" i="1"/>
  <c r="BL1524" i="1"/>
  <c r="BK1524" i="1"/>
  <c r="DG1523" i="1"/>
  <c r="M2684" i="1"/>
  <c r="L2684" i="1"/>
  <c r="DA1523" i="1"/>
  <c r="CY1523" i="1"/>
  <c r="CX1523" i="1"/>
  <c r="J2684" i="1"/>
  <c r="BL1523" i="1"/>
  <c r="BK1523" i="1"/>
  <c r="DG1522" i="1"/>
  <c r="M1130" i="1"/>
  <c r="L1130" i="1"/>
  <c r="DA1522" i="1"/>
  <c r="CY1522" i="1"/>
  <c r="CX1522" i="1"/>
  <c r="J1130" i="1"/>
  <c r="BL1522" i="1"/>
  <c r="BK1522" i="1"/>
  <c r="DG1521" i="1"/>
  <c r="M2686" i="1"/>
  <c r="L2686" i="1"/>
  <c r="DA1521" i="1"/>
  <c r="CY1521" i="1"/>
  <c r="CX1521" i="1"/>
  <c r="J2686" i="1"/>
  <c r="BL1521" i="1"/>
  <c r="BK1521" i="1"/>
  <c r="DG1520" i="1"/>
  <c r="M2687" i="1"/>
  <c r="L2687" i="1"/>
  <c r="DA1520" i="1"/>
  <c r="CY1520" i="1"/>
  <c r="CX1520" i="1"/>
  <c r="J2687" i="1"/>
  <c r="BL1520" i="1"/>
  <c r="BK1520" i="1"/>
  <c r="DG1519" i="1"/>
  <c r="M2688" i="1"/>
  <c r="L2688" i="1"/>
  <c r="DA1519" i="1"/>
  <c r="CY1519" i="1"/>
  <c r="CX1519" i="1"/>
  <c r="J2688" i="1"/>
  <c r="BL1519" i="1"/>
  <c r="BK1519" i="1"/>
  <c r="DG1518" i="1"/>
  <c r="M3416" i="1"/>
  <c r="L3416" i="1"/>
  <c r="DA1518" i="1"/>
  <c r="CY1518" i="1"/>
  <c r="CX1518" i="1"/>
  <c r="J3416" i="1"/>
  <c r="CW1518" i="1"/>
  <c r="BL1518" i="1"/>
  <c r="BK1518" i="1"/>
  <c r="DG1517" i="1"/>
  <c r="M2690" i="1"/>
  <c r="L2690" i="1"/>
  <c r="DA1517" i="1"/>
  <c r="CY1517" i="1"/>
  <c r="CX1517" i="1"/>
  <c r="J2690" i="1"/>
  <c r="BL1517" i="1"/>
  <c r="BK1517" i="1"/>
  <c r="DG1516" i="1"/>
  <c r="M2691" i="1"/>
  <c r="L2691" i="1"/>
  <c r="DA1516" i="1"/>
  <c r="CY1516" i="1"/>
  <c r="CX1516" i="1"/>
  <c r="J2691" i="1"/>
  <c r="BL1516" i="1"/>
  <c r="BK1516" i="1"/>
  <c r="DG1515" i="1"/>
  <c r="M2692" i="1"/>
  <c r="L2692" i="1"/>
  <c r="DA1515" i="1"/>
  <c r="CY1515" i="1"/>
  <c r="CX1515" i="1"/>
  <c r="J2692" i="1"/>
  <c r="BL1515" i="1"/>
  <c r="BK1515" i="1"/>
  <c r="DG1514" i="1"/>
  <c r="M2693" i="1"/>
  <c r="L2693" i="1"/>
  <c r="DA1514" i="1"/>
  <c r="CY1514" i="1"/>
  <c r="CX1514" i="1"/>
  <c r="J2693" i="1"/>
  <c r="BL1514" i="1"/>
  <c r="BK1514" i="1"/>
  <c r="DG1513" i="1"/>
  <c r="M2694" i="1"/>
  <c r="L2694" i="1"/>
  <c r="DA1513" i="1"/>
  <c r="CY1513" i="1"/>
  <c r="CX1513" i="1"/>
  <c r="J2694" i="1"/>
  <c r="BL1513" i="1"/>
  <c r="BK1513" i="1"/>
  <c r="DG1512" i="1"/>
  <c r="M2695" i="1"/>
  <c r="L2695" i="1"/>
  <c r="DA1512" i="1"/>
  <c r="CY1512" i="1"/>
  <c r="CX1512" i="1"/>
  <c r="J2695" i="1"/>
  <c r="BL1512" i="1"/>
  <c r="BK1512" i="1"/>
  <c r="DG1511" i="1"/>
  <c r="M2696" i="1"/>
  <c r="L2696" i="1"/>
  <c r="DA1511" i="1"/>
  <c r="CY1511" i="1"/>
  <c r="CX1511" i="1"/>
  <c r="J2696" i="1"/>
  <c r="BL1511" i="1"/>
  <c r="BK1511" i="1"/>
  <c r="DG1510" i="1"/>
  <c r="M2697" i="1"/>
  <c r="L2697" i="1"/>
  <c r="DA1510" i="1"/>
  <c r="CY1510" i="1"/>
  <c r="CX1510" i="1"/>
  <c r="J2697" i="1"/>
  <c r="BL1510" i="1"/>
  <c r="BK1510" i="1"/>
  <c r="DG1509" i="1"/>
  <c r="M2698" i="1"/>
  <c r="L2698" i="1"/>
  <c r="DA1509" i="1"/>
  <c r="CY1509" i="1"/>
  <c r="CX1509" i="1"/>
  <c r="J2698" i="1"/>
  <c r="BL1509" i="1"/>
  <c r="BK1509" i="1"/>
  <c r="DG1508" i="1"/>
  <c r="M2699" i="1"/>
  <c r="L2699" i="1"/>
  <c r="DA1508" i="1"/>
  <c r="CY1508" i="1"/>
  <c r="CX1508" i="1"/>
  <c r="J2699" i="1"/>
  <c r="BL1508" i="1"/>
  <c r="BK1508" i="1"/>
  <c r="DG1507" i="1"/>
  <c r="M2700" i="1"/>
  <c r="L2700" i="1"/>
  <c r="DA1507" i="1"/>
  <c r="CY1507" i="1"/>
  <c r="CX1507" i="1"/>
  <c r="J2700" i="1"/>
  <c r="BL1507" i="1"/>
  <c r="BK1507" i="1"/>
  <c r="DG1506" i="1"/>
  <c r="M2701" i="1"/>
  <c r="L2701" i="1"/>
  <c r="DA1506" i="1"/>
  <c r="CY1506" i="1"/>
  <c r="CX1506" i="1"/>
  <c r="J2701" i="1"/>
  <c r="BL1506" i="1"/>
  <c r="BK1506" i="1"/>
  <c r="DG1505" i="1"/>
  <c r="M2702" i="1"/>
  <c r="L2702" i="1"/>
  <c r="DA1505" i="1"/>
  <c r="CY1505" i="1"/>
  <c r="CX1505" i="1"/>
  <c r="J2702" i="1"/>
  <c r="BL1505" i="1"/>
  <c r="BK1505" i="1"/>
  <c r="DG1504" i="1"/>
  <c r="M2703" i="1"/>
  <c r="L2703" i="1"/>
  <c r="DA1504" i="1"/>
  <c r="CY1504" i="1"/>
  <c r="CX1504" i="1"/>
  <c r="J2703" i="1"/>
  <c r="BL1504" i="1"/>
  <c r="BK1504" i="1"/>
  <c r="DG1503" i="1"/>
  <c r="M2704" i="1"/>
  <c r="L2704" i="1"/>
  <c r="DA1503" i="1"/>
  <c r="CY1503" i="1"/>
  <c r="CX1503" i="1"/>
  <c r="J2704" i="1"/>
  <c r="BL1503" i="1"/>
  <c r="BK1503" i="1"/>
  <c r="DG1502" i="1"/>
  <c r="M2705" i="1"/>
  <c r="L2705" i="1"/>
  <c r="DA1502" i="1"/>
  <c r="CY1502" i="1"/>
  <c r="CX1502" i="1"/>
  <c r="J2705" i="1"/>
  <c r="BL1502" i="1"/>
  <c r="BK1502" i="1"/>
  <c r="DG1501" i="1"/>
  <c r="M2706" i="1"/>
  <c r="L2706" i="1"/>
  <c r="DA1501" i="1"/>
  <c r="CY1501" i="1"/>
  <c r="CX1501" i="1"/>
  <c r="J2706" i="1"/>
  <c r="BL1501" i="1"/>
  <c r="BK1501" i="1"/>
  <c r="DG1500" i="1"/>
  <c r="M2707" i="1"/>
  <c r="L2707" i="1"/>
  <c r="DA1500" i="1"/>
  <c r="CY1500" i="1"/>
  <c r="CX1500" i="1"/>
  <c r="J2707" i="1"/>
  <c r="BL1500" i="1"/>
  <c r="BK1500" i="1"/>
  <c r="DG1499" i="1"/>
  <c r="M2708" i="1"/>
  <c r="L2708" i="1"/>
  <c r="DA1499" i="1"/>
  <c r="CY1499" i="1"/>
  <c r="CX1499" i="1"/>
  <c r="J2708" i="1"/>
  <c r="BL1499" i="1"/>
  <c r="BK1499" i="1"/>
  <c r="DG1498" i="1"/>
  <c r="M2709" i="1"/>
  <c r="L2709" i="1"/>
  <c r="DA1498" i="1"/>
  <c r="CY1498" i="1"/>
  <c r="CX1498" i="1"/>
  <c r="J2709" i="1"/>
  <c r="BL1498" i="1"/>
  <c r="BK1498" i="1"/>
  <c r="DG1497" i="1"/>
  <c r="M2710" i="1"/>
  <c r="L2710" i="1"/>
  <c r="DA1497" i="1"/>
  <c r="CY1497" i="1"/>
  <c r="CX1497" i="1"/>
  <c r="J2710" i="1"/>
  <c r="BL1497" i="1"/>
  <c r="BK1497" i="1"/>
  <c r="DG1496" i="1"/>
  <c r="M2711" i="1"/>
  <c r="L2711" i="1"/>
  <c r="DA1496" i="1"/>
  <c r="CY1496" i="1"/>
  <c r="CX1496" i="1"/>
  <c r="J2711" i="1"/>
  <c r="BL1496" i="1"/>
  <c r="BK1496" i="1"/>
  <c r="DG1495" i="1"/>
  <c r="M2712" i="1"/>
  <c r="L2712" i="1"/>
  <c r="DA1495" i="1"/>
  <c r="CY1495" i="1"/>
  <c r="CX1495" i="1"/>
  <c r="J2712" i="1"/>
  <c r="BL1495" i="1"/>
  <c r="BK1495" i="1"/>
  <c r="DG1494" i="1"/>
  <c r="M2316" i="1"/>
  <c r="L2316" i="1"/>
  <c r="DA1494" i="1"/>
  <c r="CY1494" i="1"/>
  <c r="CX1494" i="1"/>
  <c r="J2316" i="1"/>
  <c r="BL1494" i="1"/>
  <c r="BK1494" i="1"/>
  <c r="DG1493" i="1"/>
  <c r="M2714" i="1"/>
  <c r="L2714" i="1"/>
  <c r="DA1493" i="1"/>
  <c r="CY1493" i="1"/>
  <c r="CX1493" i="1"/>
  <c r="J2714" i="1"/>
  <c r="BL1493" i="1"/>
  <c r="BK1493" i="1"/>
  <c r="DG1492" i="1"/>
  <c r="M2715" i="1"/>
  <c r="L2715" i="1"/>
  <c r="DA1492" i="1"/>
  <c r="CY1492" i="1"/>
  <c r="CX1492" i="1"/>
  <c r="J2715" i="1"/>
  <c r="BL1492" i="1"/>
  <c r="BK1492" i="1"/>
  <c r="DG1491" i="1"/>
  <c r="M2716" i="1"/>
  <c r="L2716" i="1"/>
  <c r="DA1491" i="1"/>
  <c r="CY1491" i="1"/>
  <c r="CX1491" i="1"/>
  <c r="J2716" i="1"/>
  <c r="BL1491" i="1"/>
  <c r="BK1491" i="1"/>
  <c r="DG1490" i="1"/>
  <c r="M2717" i="1"/>
  <c r="L2717" i="1"/>
  <c r="DA1490" i="1"/>
  <c r="CY1490" i="1"/>
  <c r="CX1490" i="1"/>
  <c r="J2717" i="1"/>
  <c r="BL1490" i="1"/>
  <c r="BK1490" i="1"/>
  <c r="DG1489" i="1"/>
  <c r="M2718" i="1"/>
  <c r="L2718" i="1"/>
  <c r="DA1489" i="1"/>
  <c r="CY1489" i="1"/>
  <c r="CX1489" i="1"/>
  <c r="J2718" i="1"/>
  <c r="BL1489" i="1"/>
  <c r="BK1489" i="1"/>
  <c r="DG1488" i="1"/>
  <c r="M2719" i="1"/>
  <c r="L2719" i="1"/>
  <c r="DA1488" i="1"/>
  <c r="CY1488" i="1"/>
  <c r="CX1488" i="1"/>
  <c r="J2719" i="1"/>
  <c r="BL1488" i="1"/>
  <c r="BK1488" i="1"/>
  <c r="DG1487" i="1"/>
  <c r="M2720" i="1"/>
  <c r="L2720" i="1"/>
  <c r="DA1487" i="1"/>
  <c r="CY1487" i="1"/>
  <c r="CX1487" i="1"/>
  <c r="J2720" i="1"/>
  <c r="BL1487" i="1"/>
  <c r="BK1487" i="1"/>
  <c r="DG1486" i="1"/>
  <c r="M2721" i="1"/>
  <c r="L2721" i="1"/>
  <c r="DA1486" i="1"/>
  <c r="CY1486" i="1"/>
  <c r="CX1486" i="1"/>
  <c r="J2721" i="1"/>
  <c r="BL1486" i="1"/>
  <c r="BK1486" i="1"/>
  <c r="DG1485" i="1"/>
  <c r="M2722" i="1"/>
  <c r="L2722" i="1"/>
  <c r="DA1485" i="1"/>
  <c r="CY1485" i="1"/>
  <c r="CX1485" i="1"/>
  <c r="J2722" i="1"/>
  <c r="BL1485" i="1"/>
  <c r="BK1485" i="1"/>
  <c r="DG1484" i="1"/>
  <c r="M2723" i="1"/>
  <c r="L2723" i="1"/>
  <c r="DA1484" i="1"/>
  <c r="CY1484" i="1"/>
  <c r="CX1484" i="1"/>
  <c r="J2723" i="1"/>
  <c r="BL1484" i="1"/>
  <c r="BK1484" i="1"/>
  <c r="DG1483" i="1"/>
  <c r="M2724" i="1"/>
  <c r="L2724" i="1"/>
  <c r="DA1483" i="1"/>
  <c r="CY1483" i="1"/>
  <c r="CX1483" i="1"/>
  <c r="J2724" i="1"/>
  <c r="BL1483" i="1"/>
  <c r="BK1483" i="1"/>
  <c r="DG1482" i="1"/>
  <c r="M2725" i="1"/>
  <c r="L2725" i="1"/>
  <c r="DA1482" i="1"/>
  <c r="CY1482" i="1"/>
  <c r="CX1482" i="1"/>
  <c r="J2725" i="1"/>
  <c r="BL1482" i="1"/>
  <c r="BK1482" i="1"/>
  <c r="DG1481" i="1"/>
  <c r="M2726" i="1"/>
  <c r="L2726" i="1"/>
  <c r="DA1481" i="1"/>
  <c r="CY1481" i="1"/>
  <c r="CX1481" i="1"/>
  <c r="J2726" i="1"/>
  <c r="BL1481" i="1"/>
  <c r="BK1481" i="1"/>
  <c r="DG1480" i="1"/>
  <c r="M2727" i="1"/>
  <c r="L2727" i="1"/>
  <c r="DA1480" i="1"/>
  <c r="CY1480" i="1"/>
  <c r="CX1480" i="1"/>
  <c r="J2727" i="1"/>
  <c r="BL1480" i="1"/>
  <c r="BK1480" i="1"/>
  <c r="DG1479" i="1"/>
  <c r="M2728" i="1"/>
  <c r="L2728" i="1"/>
  <c r="DA1479" i="1"/>
  <c r="CY1479" i="1"/>
  <c r="CX1479" i="1"/>
  <c r="J2728" i="1"/>
  <c r="BL1479" i="1"/>
  <c r="BK1479" i="1"/>
  <c r="DG1478" i="1"/>
  <c r="M2315" i="1"/>
  <c r="L2315" i="1"/>
  <c r="DA1478" i="1"/>
  <c r="CY1478" i="1"/>
  <c r="CX1478" i="1"/>
  <c r="J2315" i="1"/>
  <c r="BL1478" i="1"/>
  <c r="BK1478" i="1"/>
  <c r="DG1477" i="1"/>
  <c r="M2730" i="1"/>
  <c r="L2730" i="1"/>
  <c r="DA1477" i="1"/>
  <c r="CY1477" i="1"/>
  <c r="CX1477" i="1"/>
  <c r="J2730" i="1"/>
  <c r="BL1477" i="1"/>
  <c r="BK1477" i="1"/>
  <c r="DG1476" i="1"/>
  <c r="M2731" i="1"/>
  <c r="L2731" i="1"/>
  <c r="DA1476" i="1"/>
  <c r="CY1476" i="1"/>
  <c r="CX1476" i="1"/>
  <c r="J2731" i="1"/>
  <c r="BL1476" i="1"/>
  <c r="BK1476" i="1"/>
  <c r="DG1475" i="1"/>
  <c r="M2732" i="1"/>
  <c r="L2732" i="1"/>
  <c r="DA1475" i="1"/>
  <c r="CY1475" i="1"/>
  <c r="CX1475" i="1"/>
  <c r="J2732" i="1"/>
  <c r="BL1475" i="1"/>
  <c r="BK1475" i="1"/>
  <c r="DG1474" i="1"/>
  <c r="M2733" i="1"/>
  <c r="L2733" i="1"/>
  <c r="DA1474" i="1"/>
  <c r="CY1474" i="1"/>
  <c r="CX1474" i="1"/>
  <c r="J2733" i="1"/>
  <c r="BL1474" i="1"/>
  <c r="BK1474" i="1"/>
  <c r="DG1473" i="1"/>
  <c r="M2734" i="1"/>
  <c r="L2734" i="1"/>
  <c r="DA1473" i="1"/>
  <c r="CY1473" i="1"/>
  <c r="CX1473" i="1"/>
  <c r="J2734" i="1"/>
  <c r="BL1473" i="1"/>
  <c r="BK1473" i="1"/>
  <c r="DG1472" i="1"/>
  <c r="M2735" i="1"/>
  <c r="L2735" i="1"/>
  <c r="DA1472" i="1"/>
  <c r="CY1472" i="1"/>
  <c r="CX1472" i="1"/>
  <c r="J2735" i="1"/>
  <c r="BL1472" i="1"/>
  <c r="BK1472" i="1"/>
  <c r="DG1471" i="1"/>
  <c r="M2736" i="1"/>
  <c r="L2736" i="1"/>
  <c r="DA1471" i="1"/>
  <c r="CY1471" i="1"/>
  <c r="CX1471" i="1"/>
  <c r="J2736" i="1"/>
  <c r="BL1471" i="1"/>
  <c r="BK1471" i="1"/>
  <c r="DG1470" i="1"/>
  <c r="M2737" i="1"/>
  <c r="L2737" i="1"/>
  <c r="DA1470" i="1"/>
  <c r="CY1470" i="1"/>
  <c r="CX1470" i="1"/>
  <c r="J2737" i="1"/>
  <c r="BL1470" i="1"/>
  <c r="BK1470" i="1"/>
  <c r="DG1469" i="1"/>
  <c r="M2738" i="1"/>
  <c r="L2738" i="1"/>
  <c r="DA1469" i="1"/>
  <c r="CY1469" i="1"/>
  <c r="CX1469" i="1"/>
  <c r="J2738" i="1"/>
  <c r="BL1469" i="1"/>
  <c r="BK1469" i="1"/>
  <c r="DG1468" i="1"/>
  <c r="M2739" i="1"/>
  <c r="L2739" i="1"/>
  <c r="DA1468" i="1"/>
  <c r="CY1468" i="1"/>
  <c r="CX1468" i="1"/>
  <c r="J2739" i="1"/>
  <c r="BL1468" i="1"/>
  <c r="BK1468" i="1"/>
  <c r="DG1467" i="1"/>
  <c r="M2740" i="1"/>
  <c r="L2740" i="1"/>
  <c r="DA1467" i="1"/>
  <c r="CY1467" i="1"/>
  <c r="CX1467" i="1"/>
  <c r="J2740" i="1"/>
  <c r="BL1467" i="1"/>
  <c r="BK1467" i="1"/>
  <c r="DG1466" i="1"/>
  <c r="M2741" i="1"/>
  <c r="L2741" i="1"/>
  <c r="DA1466" i="1"/>
  <c r="CY1466" i="1"/>
  <c r="CX1466" i="1"/>
  <c r="J2741" i="1"/>
  <c r="BL1466" i="1"/>
  <c r="BK1466" i="1"/>
  <c r="DG1465" i="1"/>
  <c r="M2742" i="1"/>
  <c r="L2742" i="1"/>
  <c r="DA1465" i="1"/>
  <c r="CY1465" i="1"/>
  <c r="CX1465" i="1"/>
  <c r="J2742" i="1"/>
  <c r="BL1465" i="1"/>
  <c r="BK1465" i="1"/>
  <c r="DG1464" i="1"/>
  <c r="M2743" i="1"/>
  <c r="L2743" i="1"/>
  <c r="DA1464" i="1"/>
  <c r="CY1464" i="1"/>
  <c r="CX1464" i="1"/>
  <c r="J2743" i="1"/>
  <c r="BL1464" i="1"/>
  <c r="BK1464" i="1"/>
  <c r="DG1463" i="1"/>
  <c r="M2744" i="1"/>
  <c r="L2744" i="1"/>
  <c r="DA1463" i="1"/>
  <c r="CY1463" i="1"/>
  <c r="CX1463" i="1"/>
  <c r="J2744" i="1"/>
  <c r="BL1463" i="1"/>
  <c r="BK1463" i="1"/>
  <c r="DG1462" i="1"/>
  <c r="M1129" i="1"/>
  <c r="L1129" i="1"/>
  <c r="DA1462" i="1"/>
  <c r="CY1462" i="1"/>
  <c r="CX1462" i="1"/>
  <c r="J1129" i="1"/>
  <c r="BL1462" i="1"/>
  <c r="BK1462" i="1"/>
  <c r="DG1461" i="1"/>
  <c r="M2746" i="1"/>
  <c r="L2746" i="1"/>
  <c r="DA1461" i="1"/>
  <c r="CY1461" i="1"/>
  <c r="CX1461" i="1"/>
  <c r="J2746" i="1"/>
  <c r="BL1461" i="1"/>
  <c r="BK1461" i="1"/>
  <c r="DG1460" i="1"/>
  <c r="M2747" i="1"/>
  <c r="L2747" i="1"/>
  <c r="DA1460" i="1"/>
  <c r="CY1460" i="1"/>
  <c r="CX1460" i="1"/>
  <c r="J2747" i="1"/>
  <c r="BL1460" i="1"/>
  <c r="BK1460" i="1"/>
  <c r="DG1459" i="1"/>
  <c r="M2748" i="1"/>
  <c r="L2748" i="1"/>
  <c r="DA1459" i="1"/>
  <c r="CY1459" i="1"/>
  <c r="CX1459" i="1"/>
  <c r="J2748" i="1"/>
  <c r="BL1459" i="1"/>
  <c r="BK1459" i="1"/>
  <c r="DG1458" i="1"/>
  <c r="M2749" i="1"/>
  <c r="L2749" i="1"/>
  <c r="DA1458" i="1"/>
  <c r="CY1458" i="1"/>
  <c r="CX1458" i="1"/>
  <c r="J2749" i="1"/>
  <c r="BL1458" i="1"/>
  <c r="BK1458" i="1"/>
  <c r="DG1457" i="1"/>
  <c r="M2750" i="1"/>
  <c r="L2750" i="1"/>
  <c r="DA1457" i="1"/>
  <c r="CY1457" i="1"/>
  <c r="CX1457" i="1"/>
  <c r="J2750" i="1"/>
  <c r="BL1457" i="1"/>
  <c r="BK1457" i="1"/>
  <c r="DG1456" i="1"/>
  <c r="M2751" i="1"/>
  <c r="L2751" i="1"/>
  <c r="DA1456" i="1"/>
  <c r="CY1456" i="1"/>
  <c r="CX1456" i="1"/>
  <c r="J2751" i="1"/>
  <c r="BL1456" i="1"/>
  <c r="BK1456" i="1"/>
  <c r="DG1455" i="1"/>
  <c r="M2752" i="1"/>
  <c r="L2752" i="1"/>
  <c r="DA1455" i="1"/>
  <c r="CY1455" i="1"/>
  <c r="CX1455" i="1"/>
  <c r="J2752" i="1"/>
  <c r="BL1455" i="1"/>
  <c r="BK1455" i="1"/>
  <c r="DG1454" i="1"/>
  <c r="M2753" i="1"/>
  <c r="L2753" i="1"/>
  <c r="DA1454" i="1"/>
  <c r="CY1454" i="1"/>
  <c r="CX1454" i="1"/>
  <c r="J2753" i="1"/>
  <c r="BL1454" i="1"/>
  <c r="BK1454" i="1"/>
  <c r="DG1453" i="1"/>
  <c r="M2754" i="1"/>
  <c r="L2754" i="1"/>
  <c r="DA1453" i="1"/>
  <c r="CY1453" i="1"/>
  <c r="CX1453" i="1"/>
  <c r="J2754" i="1"/>
  <c r="BL1453" i="1"/>
  <c r="BK1453" i="1"/>
  <c r="DG1452" i="1"/>
  <c r="M2755" i="1"/>
  <c r="L2755" i="1"/>
  <c r="DA1452" i="1"/>
  <c r="CY1452" i="1"/>
  <c r="CX1452" i="1"/>
  <c r="J2755" i="1"/>
  <c r="BL1452" i="1"/>
  <c r="BK1452" i="1"/>
  <c r="DG1451" i="1"/>
  <c r="M2756" i="1"/>
  <c r="L2756" i="1"/>
  <c r="DA1451" i="1"/>
  <c r="CY1451" i="1"/>
  <c r="CX1451" i="1"/>
  <c r="J2756" i="1"/>
  <c r="BL1451" i="1"/>
  <c r="BK1451" i="1"/>
  <c r="DG1450" i="1"/>
  <c r="M2757" i="1"/>
  <c r="L2757" i="1"/>
  <c r="DA1450" i="1"/>
  <c r="CY1450" i="1"/>
  <c r="CX1450" i="1"/>
  <c r="J2757" i="1"/>
  <c r="BL1450" i="1"/>
  <c r="BK1450" i="1"/>
  <c r="DG1449" i="1"/>
  <c r="M2758" i="1"/>
  <c r="L2758" i="1"/>
  <c r="DA1449" i="1"/>
  <c r="CY1449" i="1"/>
  <c r="CX1449" i="1"/>
  <c r="J2758" i="1"/>
  <c r="BL1449" i="1"/>
  <c r="BK1449" i="1"/>
  <c r="DG1448" i="1"/>
  <c r="M2759" i="1"/>
  <c r="L2759" i="1"/>
  <c r="DA1448" i="1"/>
  <c r="CY1448" i="1"/>
  <c r="CX1448" i="1"/>
  <c r="J2759" i="1"/>
  <c r="BL1448" i="1"/>
  <c r="BK1448" i="1"/>
  <c r="DG1447" i="1"/>
  <c r="M2760" i="1"/>
  <c r="L2760" i="1"/>
  <c r="DA1447" i="1"/>
  <c r="CY1447" i="1"/>
  <c r="CX1447" i="1"/>
  <c r="J2760" i="1"/>
  <c r="BL1447" i="1"/>
  <c r="BK1447" i="1"/>
  <c r="DG1446" i="1"/>
  <c r="M2761" i="1"/>
  <c r="L2761" i="1"/>
  <c r="DA1446" i="1"/>
  <c r="CY1446" i="1"/>
  <c r="CX1446" i="1"/>
  <c r="J2761" i="1"/>
  <c r="BL1446" i="1"/>
  <c r="BK1446" i="1"/>
  <c r="DG1445" i="1"/>
  <c r="M2762" i="1"/>
  <c r="L2762" i="1"/>
  <c r="DA1445" i="1"/>
  <c r="CY1445" i="1"/>
  <c r="CX1445" i="1"/>
  <c r="J2762" i="1"/>
  <c r="BL1445" i="1"/>
  <c r="BK1445" i="1"/>
  <c r="DG1444" i="1"/>
  <c r="M2763" i="1"/>
  <c r="L2763" i="1"/>
  <c r="DA1444" i="1"/>
  <c r="CY1444" i="1"/>
  <c r="CX1444" i="1"/>
  <c r="J2763" i="1"/>
  <c r="BL1444" i="1"/>
  <c r="BK1444" i="1"/>
  <c r="DG1443" i="1"/>
  <c r="M2764" i="1"/>
  <c r="L2764" i="1"/>
  <c r="DA1443" i="1"/>
  <c r="CY1443" i="1"/>
  <c r="CX1443" i="1"/>
  <c r="J2764" i="1"/>
  <c r="BL1443" i="1"/>
  <c r="BK1443" i="1"/>
  <c r="DG1442" i="1"/>
  <c r="M2765" i="1"/>
  <c r="L2765" i="1"/>
  <c r="DA1442" i="1"/>
  <c r="CY1442" i="1"/>
  <c r="CX1442" i="1"/>
  <c r="J2765" i="1"/>
  <c r="BL1442" i="1"/>
  <c r="BK1442" i="1"/>
  <c r="DG1441" i="1"/>
  <c r="M2766" i="1"/>
  <c r="L2766" i="1"/>
  <c r="DA1441" i="1"/>
  <c r="CY1441" i="1"/>
  <c r="CX1441" i="1"/>
  <c r="J2766" i="1"/>
  <c r="BL1441" i="1"/>
  <c r="BK1441" i="1"/>
  <c r="DG1440" i="1"/>
  <c r="M2767" i="1"/>
  <c r="L2767" i="1"/>
  <c r="DA1440" i="1"/>
  <c r="CY1440" i="1"/>
  <c r="CX1440" i="1"/>
  <c r="J2767" i="1"/>
  <c r="BL1440" i="1"/>
  <c r="BK1440" i="1"/>
  <c r="DG1439" i="1"/>
  <c r="M2768" i="1"/>
  <c r="L2768" i="1"/>
  <c r="DA1439" i="1"/>
  <c r="CY1439" i="1"/>
  <c r="CX1439" i="1"/>
  <c r="J2768" i="1"/>
  <c r="BL1439" i="1"/>
  <c r="BK1439" i="1"/>
  <c r="DG1438" i="1"/>
  <c r="M2769" i="1"/>
  <c r="L2769" i="1"/>
  <c r="DA1438" i="1"/>
  <c r="CY1438" i="1"/>
  <c r="CX1438" i="1"/>
  <c r="J2769" i="1"/>
  <c r="BL1438" i="1"/>
  <c r="BK1438" i="1"/>
  <c r="DG1437" i="1"/>
  <c r="M2770" i="1"/>
  <c r="L2770" i="1"/>
  <c r="DA1437" i="1"/>
  <c r="CY1437" i="1"/>
  <c r="CX1437" i="1"/>
  <c r="J2770" i="1"/>
  <c r="BL1437" i="1"/>
  <c r="BK1437" i="1"/>
  <c r="DG1436" i="1"/>
  <c r="M2771" i="1"/>
  <c r="L2771" i="1"/>
  <c r="DA1436" i="1"/>
  <c r="CY1436" i="1"/>
  <c r="CX1436" i="1"/>
  <c r="J2771" i="1"/>
  <c r="BL1436" i="1"/>
  <c r="BK1436" i="1"/>
  <c r="DG1435" i="1"/>
  <c r="M2772" i="1"/>
  <c r="L2772" i="1"/>
  <c r="DA1435" i="1"/>
  <c r="CY1435" i="1"/>
  <c r="CX1435" i="1"/>
  <c r="J2772" i="1"/>
  <c r="BL1435" i="1"/>
  <c r="BK1435" i="1"/>
  <c r="DG1434" i="1"/>
  <c r="M2773" i="1"/>
  <c r="L2773" i="1"/>
  <c r="DA1434" i="1"/>
  <c r="CY1434" i="1"/>
  <c r="CX1434" i="1"/>
  <c r="J2773" i="1"/>
  <c r="BL1434" i="1"/>
  <c r="BK1434" i="1"/>
  <c r="DG1433" i="1"/>
  <c r="M2774" i="1"/>
  <c r="L2774" i="1"/>
  <c r="DA1433" i="1"/>
  <c r="CY1433" i="1"/>
  <c r="CX1433" i="1"/>
  <c r="J2774" i="1"/>
  <c r="BL1433" i="1"/>
  <c r="BK1433" i="1"/>
  <c r="DG1432" i="1"/>
  <c r="M2775" i="1"/>
  <c r="L2775" i="1"/>
  <c r="DA1432" i="1"/>
  <c r="CY1432" i="1"/>
  <c r="CX1432" i="1"/>
  <c r="J2775" i="1"/>
  <c r="BL1432" i="1"/>
  <c r="BK1432" i="1"/>
  <c r="DG1431" i="1"/>
  <c r="M2776" i="1"/>
  <c r="L2776" i="1"/>
  <c r="DA1431" i="1"/>
  <c r="CY1431" i="1"/>
  <c r="CX1431" i="1"/>
  <c r="J2776" i="1"/>
  <c r="BL1431" i="1"/>
  <c r="BK1431" i="1"/>
  <c r="DG1430" i="1"/>
  <c r="M2314" i="1"/>
  <c r="L2314" i="1"/>
  <c r="DA1430" i="1"/>
  <c r="CY1430" i="1"/>
  <c r="CX1430" i="1"/>
  <c r="J2314" i="1"/>
  <c r="BL1430" i="1"/>
  <c r="BK1430" i="1"/>
  <c r="DG1429" i="1"/>
  <c r="M2778" i="1"/>
  <c r="L2778" i="1"/>
  <c r="DA1429" i="1"/>
  <c r="CY1429" i="1"/>
  <c r="CX1429" i="1"/>
  <c r="J2778" i="1"/>
  <c r="BL1429" i="1"/>
  <c r="BK1429" i="1"/>
  <c r="DG1428" i="1"/>
  <c r="M2779" i="1"/>
  <c r="L2779" i="1"/>
  <c r="DA1428" i="1"/>
  <c r="CY1428" i="1"/>
  <c r="CX1428" i="1"/>
  <c r="J2779" i="1"/>
  <c r="BL1428" i="1"/>
  <c r="BK1428" i="1"/>
  <c r="DG1427" i="1"/>
  <c r="M2780" i="1"/>
  <c r="L2780" i="1"/>
  <c r="DA1427" i="1"/>
  <c r="CY1427" i="1"/>
  <c r="CX1427" i="1"/>
  <c r="J2780" i="1"/>
  <c r="BL1427" i="1"/>
  <c r="BK1427" i="1"/>
  <c r="DG1426" i="1"/>
  <c r="M2781" i="1"/>
  <c r="L2781" i="1"/>
  <c r="DA1426" i="1"/>
  <c r="CY1426" i="1"/>
  <c r="CX1426" i="1"/>
  <c r="J2781" i="1"/>
  <c r="BL1426" i="1"/>
  <c r="BK1426" i="1"/>
  <c r="DG1425" i="1"/>
  <c r="M2782" i="1"/>
  <c r="L2782" i="1"/>
  <c r="DA1425" i="1"/>
  <c r="CY1425" i="1"/>
  <c r="CX1425" i="1"/>
  <c r="J2782" i="1"/>
  <c r="BL1425" i="1"/>
  <c r="BK1425" i="1"/>
  <c r="DG1424" i="1"/>
  <c r="M2783" i="1"/>
  <c r="L2783" i="1"/>
  <c r="DA1424" i="1"/>
  <c r="CY1424" i="1"/>
  <c r="CX1424" i="1"/>
  <c r="J2783" i="1"/>
  <c r="BL1424" i="1"/>
  <c r="BK1424" i="1"/>
  <c r="DG1423" i="1"/>
  <c r="M2784" i="1"/>
  <c r="L2784" i="1"/>
  <c r="DA1423" i="1"/>
  <c r="CY1423" i="1"/>
  <c r="CX1423" i="1"/>
  <c r="J2784" i="1"/>
  <c r="BL1423" i="1"/>
  <c r="BK1423" i="1"/>
  <c r="DG1422" i="1"/>
  <c r="M2785" i="1"/>
  <c r="L2785" i="1"/>
  <c r="DA1422" i="1"/>
  <c r="CY1422" i="1"/>
  <c r="CX1422" i="1"/>
  <c r="J2785" i="1"/>
  <c r="BL1422" i="1"/>
  <c r="BK1422" i="1"/>
  <c r="DG1421" i="1"/>
  <c r="M2786" i="1"/>
  <c r="L2786" i="1"/>
  <c r="DA1421" i="1"/>
  <c r="CY1421" i="1"/>
  <c r="CX1421" i="1"/>
  <c r="J2786" i="1"/>
  <c r="BL1421" i="1"/>
  <c r="BK1421" i="1"/>
  <c r="DG1420" i="1"/>
  <c r="M2787" i="1"/>
  <c r="L2787" i="1"/>
  <c r="DA1420" i="1"/>
  <c r="CY1420" i="1"/>
  <c r="CX1420" i="1"/>
  <c r="J2787" i="1"/>
  <c r="BL1420" i="1"/>
  <c r="BK1420" i="1"/>
  <c r="DG1419" i="1"/>
  <c r="M2788" i="1"/>
  <c r="L2788" i="1"/>
  <c r="DA1419" i="1"/>
  <c r="CY1419" i="1"/>
  <c r="CX1419" i="1"/>
  <c r="J2788" i="1"/>
  <c r="BL1419" i="1"/>
  <c r="BK1419" i="1"/>
  <c r="DG1418" i="1"/>
  <c r="M2789" i="1"/>
  <c r="L2789" i="1"/>
  <c r="DA1418" i="1"/>
  <c r="CY1418" i="1"/>
  <c r="CX1418" i="1"/>
  <c r="J2789" i="1"/>
  <c r="BL1418" i="1"/>
  <c r="BK1418" i="1"/>
  <c r="DG1417" i="1"/>
  <c r="M2790" i="1"/>
  <c r="L2790" i="1"/>
  <c r="DA1417" i="1"/>
  <c r="CY1417" i="1"/>
  <c r="CX1417" i="1"/>
  <c r="J2790" i="1"/>
  <c r="BL1417" i="1"/>
  <c r="BK1417" i="1"/>
  <c r="DG1416" i="1"/>
  <c r="M2791" i="1"/>
  <c r="L2791" i="1"/>
  <c r="DA1416" i="1"/>
  <c r="CY1416" i="1"/>
  <c r="CX1416" i="1"/>
  <c r="J2791" i="1"/>
  <c r="BL1416" i="1"/>
  <c r="BK1416" i="1"/>
  <c r="DG1415" i="1"/>
  <c r="M2792" i="1"/>
  <c r="L2792" i="1"/>
  <c r="DA1415" i="1"/>
  <c r="CY1415" i="1"/>
  <c r="CX1415" i="1"/>
  <c r="J2792" i="1"/>
  <c r="BL1415" i="1"/>
  <c r="BK1415" i="1"/>
  <c r="DG1414" i="1"/>
  <c r="M2313" i="1"/>
  <c r="L2313" i="1"/>
  <c r="DA1414" i="1"/>
  <c r="CY1414" i="1"/>
  <c r="CX1414" i="1"/>
  <c r="J2313" i="1"/>
  <c r="BL1414" i="1"/>
  <c r="BK1414" i="1"/>
  <c r="DG1413" i="1"/>
  <c r="M2794" i="1"/>
  <c r="L2794" i="1"/>
  <c r="DA1413" i="1"/>
  <c r="CY1413" i="1"/>
  <c r="CX1413" i="1"/>
  <c r="J2794" i="1"/>
  <c r="BL1413" i="1"/>
  <c r="BK1413" i="1"/>
  <c r="DG1412" i="1"/>
  <c r="M2795" i="1"/>
  <c r="L2795" i="1"/>
  <c r="DA1412" i="1"/>
  <c r="CY1412" i="1"/>
  <c r="CX1412" i="1"/>
  <c r="J2795" i="1"/>
  <c r="BL1412" i="1"/>
  <c r="BK1412" i="1"/>
  <c r="DG1411" i="1"/>
  <c r="M2796" i="1"/>
  <c r="L2796" i="1"/>
  <c r="DA1411" i="1"/>
  <c r="CY1411" i="1"/>
  <c r="CX1411" i="1"/>
  <c r="J2796" i="1"/>
  <c r="BL1411" i="1"/>
  <c r="BK1411" i="1"/>
  <c r="DG1410" i="1"/>
  <c r="M2797" i="1"/>
  <c r="L2797" i="1"/>
  <c r="DA1410" i="1"/>
  <c r="CY1410" i="1"/>
  <c r="CX1410" i="1"/>
  <c r="J2797" i="1"/>
  <c r="BL1410" i="1"/>
  <c r="BK1410" i="1"/>
  <c r="DG1409" i="1"/>
  <c r="M2798" i="1"/>
  <c r="L2798" i="1"/>
  <c r="DA1409" i="1"/>
  <c r="CY1409" i="1"/>
  <c r="CX1409" i="1"/>
  <c r="J2798" i="1"/>
  <c r="BL1409" i="1"/>
  <c r="BK1409" i="1"/>
  <c r="DG1408" i="1"/>
  <c r="M2799" i="1"/>
  <c r="L2799" i="1"/>
  <c r="DA1408" i="1"/>
  <c r="CY1408" i="1"/>
  <c r="CX1408" i="1"/>
  <c r="J2799" i="1"/>
  <c r="BL1408" i="1"/>
  <c r="BK1408" i="1"/>
  <c r="DG1407" i="1"/>
  <c r="M2800" i="1"/>
  <c r="L2800" i="1"/>
  <c r="DA1407" i="1"/>
  <c r="CY1407" i="1"/>
  <c r="CX1407" i="1"/>
  <c r="J2800" i="1"/>
  <c r="BL1407" i="1"/>
  <c r="BK1407" i="1"/>
  <c r="DG1406" i="1"/>
  <c r="M2801" i="1"/>
  <c r="L2801" i="1"/>
  <c r="DA1406" i="1"/>
  <c r="CY1406" i="1"/>
  <c r="CX1406" i="1"/>
  <c r="J2801" i="1"/>
  <c r="BL1406" i="1"/>
  <c r="BK1406" i="1"/>
  <c r="DG1405" i="1"/>
  <c r="M2802" i="1"/>
  <c r="L2802" i="1"/>
  <c r="DA1405" i="1"/>
  <c r="CY1405" i="1"/>
  <c r="CX1405" i="1"/>
  <c r="J2802" i="1"/>
  <c r="BL1405" i="1"/>
  <c r="BK1405" i="1"/>
  <c r="DG1404" i="1"/>
  <c r="M2803" i="1"/>
  <c r="L2803" i="1"/>
  <c r="DA1404" i="1"/>
  <c r="CY1404" i="1"/>
  <c r="CX1404" i="1"/>
  <c r="J2803" i="1"/>
  <c r="BL1404" i="1"/>
  <c r="BK1404" i="1"/>
  <c r="DG1403" i="1"/>
  <c r="M2804" i="1"/>
  <c r="L2804" i="1"/>
  <c r="DA1403" i="1"/>
  <c r="CY1403" i="1"/>
  <c r="CX1403" i="1"/>
  <c r="J2804" i="1"/>
  <c r="BL1403" i="1"/>
  <c r="BK1403" i="1"/>
  <c r="DG1402" i="1"/>
  <c r="M2805" i="1"/>
  <c r="L2805" i="1"/>
  <c r="DA1402" i="1"/>
  <c r="CY1402" i="1"/>
  <c r="CX1402" i="1"/>
  <c r="J2805" i="1"/>
  <c r="BL1402" i="1"/>
  <c r="BK1402" i="1"/>
  <c r="DG1401" i="1"/>
  <c r="M2806" i="1"/>
  <c r="L2806" i="1"/>
  <c r="DA1401" i="1"/>
  <c r="CY1401" i="1"/>
  <c r="CX1401" i="1"/>
  <c r="J2806" i="1"/>
  <c r="BL1401" i="1"/>
  <c r="BK1401" i="1"/>
  <c r="DG1400" i="1"/>
  <c r="M2807" i="1"/>
  <c r="L2807" i="1"/>
  <c r="DA1400" i="1"/>
  <c r="CY1400" i="1"/>
  <c r="CX1400" i="1"/>
  <c r="J2807" i="1"/>
  <c r="BL1400" i="1"/>
  <c r="BK1400" i="1"/>
  <c r="DG1399" i="1"/>
  <c r="M2808" i="1"/>
  <c r="L2808" i="1"/>
  <c r="DA1399" i="1"/>
  <c r="CY1399" i="1"/>
  <c r="CX1399" i="1"/>
  <c r="J2808" i="1"/>
  <c r="BL1399" i="1"/>
  <c r="BK1399" i="1"/>
  <c r="DG1398" i="1"/>
  <c r="M1128" i="1"/>
  <c r="L1128" i="1"/>
  <c r="DA1398" i="1"/>
  <c r="CY1398" i="1"/>
  <c r="CX1398" i="1"/>
  <c r="J1128" i="1"/>
  <c r="BL1398" i="1"/>
  <c r="BK1398" i="1"/>
  <c r="DG1397" i="1"/>
  <c r="M2810" i="1"/>
  <c r="L2810" i="1"/>
  <c r="DA1397" i="1"/>
  <c r="CY1397" i="1"/>
  <c r="CX1397" i="1"/>
  <c r="J2810" i="1"/>
  <c r="BL1397" i="1"/>
  <c r="BK1397" i="1"/>
  <c r="DG1396" i="1"/>
  <c r="M2811" i="1"/>
  <c r="L2811" i="1"/>
  <c r="DA1396" i="1"/>
  <c r="CY1396" i="1"/>
  <c r="CX1396" i="1"/>
  <c r="J2811" i="1"/>
  <c r="BL1396" i="1"/>
  <c r="BK1396" i="1"/>
  <c r="DG1395" i="1"/>
  <c r="M2812" i="1"/>
  <c r="L2812" i="1"/>
  <c r="DA1395" i="1"/>
  <c r="CY1395" i="1"/>
  <c r="CX1395" i="1"/>
  <c r="J2812" i="1"/>
  <c r="BL1395" i="1"/>
  <c r="BK1395" i="1"/>
  <c r="DG1394" i="1"/>
  <c r="M2813" i="1"/>
  <c r="L2813" i="1"/>
  <c r="DA1394" i="1"/>
  <c r="CY1394" i="1"/>
  <c r="CX1394" i="1"/>
  <c r="J2813" i="1"/>
  <c r="BL1394" i="1"/>
  <c r="BK1394" i="1"/>
  <c r="DG1393" i="1"/>
  <c r="M2814" i="1"/>
  <c r="L2814" i="1"/>
  <c r="DA1393" i="1"/>
  <c r="CY1393" i="1"/>
  <c r="CX1393" i="1"/>
  <c r="J2814" i="1"/>
  <c r="BL1393" i="1"/>
  <c r="BK1393" i="1"/>
  <c r="DG1392" i="1"/>
  <c r="M2815" i="1"/>
  <c r="L2815" i="1"/>
  <c r="DA1392" i="1"/>
  <c r="CY1392" i="1"/>
  <c r="CX1392" i="1"/>
  <c r="J2815" i="1"/>
  <c r="BL1392" i="1"/>
  <c r="BK1392" i="1"/>
  <c r="DG1391" i="1"/>
  <c r="M2816" i="1"/>
  <c r="L2816" i="1"/>
  <c r="DA1391" i="1"/>
  <c r="CY1391" i="1"/>
  <c r="CX1391" i="1"/>
  <c r="J2816" i="1"/>
  <c r="BL1391" i="1"/>
  <c r="BK1391" i="1"/>
  <c r="DG1390" i="1"/>
  <c r="M2817" i="1"/>
  <c r="L2817" i="1"/>
  <c r="DA1390" i="1"/>
  <c r="CY1390" i="1"/>
  <c r="CX1390" i="1"/>
  <c r="J2817" i="1"/>
  <c r="BL1390" i="1"/>
  <c r="BK1390" i="1"/>
  <c r="DG1389" i="1"/>
  <c r="M2818" i="1"/>
  <c r="L2818" i="1"/>
  <c r="DA1389" i="1"/>
  <c r="CY1389" i="1"/>
  <c r="CX1389" i="1"/>
  <c r="J2818" i="1"/>
  <c r="BL1389" i="1"/>
  <c r="BK1389" i="1"/>
  <c r="DG1388" i="1"/>
  <c r="M2819" i="1"/>
  <c r="L2819" i="1"/>
  <c r="DA1388" i="1"/>
  <c r="CY1388" i="1"/>
  <c r="CX1388" i="1"/>
  <c r="J2819" i="1"/>
  <c r="BL1388" i="1"/>
  <c r="BK1388" i="1"/>
  <c r="DG1387" i="1"/>
  <c r="M2820" i="1"/>
  <c r="L2820" i="1"/>
  <c r="DA1387" i="1"/>
  <c r="CY1387" i="1"/>
  <c r="CX1387" i="1"/>
  <c r="J2820" i="1"/>
  <c r="BL1387" i="1"/>
  <c r="BK1387" i="1"/>
  <c r="DG1386" i="1"/>
  <c r="M2821" i="1"/>
  <c r="L2821" i="1"/>
  <c r="DA1386" i="1"/>
  <c r="CY1386" i="1"/>
  <c r="CX1386" i="1"/>
  <c r="J2821" i="1"/>
  <c r="BL1386" i="1"/>
  <c r="BK1386" i="1"/>
  <c r="DG1385" i="1"/>
  <c r="M2822" i="1"/>
  <c r="L2822" i="1"/>
  <c r="DA1385" i="1"/>
  <c r="CY1385" i="1"/>
  <c r="CX1385" i="1"/>
  <c r="J2822" i="1"/>
  <c r="BL1385" i="1"/>
  <c r="BK1385" i="1"/>
  <c r="DG1384" i="1"/>
  <c r="M2823" i="1"/>
  <c r="L2823" i="1"/>
  <c r="DA1384" i="1"/>
  <c r="CY1384" i="1"/>
  <c r="CX1384" i="1"/>
  <c r="J2823" i="1"/>
  <c r="BL1384" i="1"/>
  <c r="BK1384" i="1"/>
  <c r="DG1383" i="1"/>
  <c r="M2824" i="1"/>
  <c r="L2824" i="1"/>
  <c r="DA1383" i="1"/>
  <c r="CY1383" i="1"/>
  <c r="CX1383" i="1"/>
  <c r="J2824" i="1"/>
  <c r="BL1383" i="1"/>
  <c r="BK1383" i="1"/>
  <c r="DG1382" i="1"/>
  <c r="M2825" i="1"/>
  <c r="L2825" i="1"/>
  <c r="DA1382" i="1"/>
  <c r="CY1382" i="1"/>
  <c r="CX1382" i="1"/>
  <c r="J2825" i="1"/>
  <c r="BL1382" i="1"/>
  <c r="BK1382" i="1"/>
  <c r="DG1381" i="1"/>
  <c r="M2826" i="1"/>
  <c r="L2826" i="1"/>
  <c r="DA1381" i="1"/>
  <c r="CY1381" i="1"/>
  <c r="CX1381" i="1"/>
  <c r="J2826" i="1"/>
  <c r="BL1381" i="1"/>
  <c r="BK1381" i="1"/>
  <c r="DG1380" i="1"/>
  <c r="M2827" i="1"/>
  <c r="L2827" i="1"/>
  <c r="DA1380" i="1"/>
  <c r="CY1380" i="1"/>
  <c r="CX1380" i="1"/>
  <c r="J2827" i="1"/>
  <c r="BL1380" i="1"/>
  <c r="BK1380" i="1"/>
  <c r="DG1379" i="1"/>
  <c r="M2828" i="1"/>
  <c r="L2828" i="1"/>
  <c r="DA1379" i="1"/>
  <c r="CY1379" i="1"/>
  <c r="CX1379" i="1"/>
  <c r="J2828" i="1"/>
  <c r="BL1379" i="1"/>
  <c r="BK1379" i="1"/>
  <c r="DG1378" i="1"/>
  <c r="M2829" i="1"/>
  <c r="L2829" i="1"/>
  <c r="DA1378" i="1"/>
  <c r="CY1378" i="1"/>
  <c r="CX1378" i="1"/>
  <c r="J2829" i="1"/>
  <c r="BL1378" i="1"/>
  <c r="BK1378" i="1"/>
  <c r="DG1377" i="1"/>
  <c r="M2830" i="1"/>
  <c r="L2830" i="1"/>
  <c r="DA1377" i="1"/>
  <c r="CY1377" i="1"/>
  <c r="CX1377" i="1"/>
  <c r="J2830" i="1"/>
  <c r="BL1377" i="1"/>
  <c r="BK1377" i="1"/>
  <c r="DG1376" i="1"/>
  <c r="M2831" i="1"/>
  <c r="L2831" i="1"/>
  <c r="DA1376" i="1"/>
  <c r="CY1376" i="1"/>
  <c r="CX1376" i="1"/>
  <c r="J2831" i="1"/>
  <c r="BL1376" i="1"/>
  <c r="BK1376" i="1"/>
  <c r="DG1375" i="1"/>
  <c r="M2832" i="1"/>
  <c r="L2832" i="1"/>
  <c r="DA1375" i="1"/>
  <c r="CY1375" i="1"/>
  <c r="CX1375" i="1"/>
  <c r="J2832" i="1"/>
  <c r="BL1375" i="1"/>
  <c r="BK1375" i="1"/>
  <c r="DG1374" i="1"/>
  <c r="M2833" i="1"/>
  <c r="L2833" i="1"/>
  <c r="DA1374" i="1"/>
  <c r="CY1374" i="1"/>
  <c r="CX1374" i="1"/>
  <c r="J2833" i="1"/>
  <c r="BL1374" i="1"/>
  <c r="BK1374" i="1"/>
  <c r="DG1373" i="1"/>
  <c r="M2834" i="1"/>
  <c r="L2834" i="1"/>
  <c r="DA1373" i="1"/>
  <c r="CY1373" i="1"/>
  <c r="CX1373" i="1"/>
  <c r="J2834" i="1"/>
  <c r="BL1373" i="1"/>
  <c r="BK1373" i="1"/>
  <c r="DG1372" i="1"/>
  <c r="M2835" i="1"/>
  <c r="L2835" i="1"/>
  <c r="DA1372" i="1"/>
  <c r="CY1372" i="1"/>
  <c r="CX1372" i="1"/>
  <c r="J2835" i="1"/>
  <c r="BL1372" i="1"/>
  <c r="BK1372" i="1"/>
  <c r="DG1371" i="1"/>
  <c r="M2836" i="1"/>
  <c r="L2836" i="1"/>
  <c r="DA1371" i="1"/>
  <c r="CY1371" i="1"/>
  <c r="CX1371" i="1"/>
  <c r="J2836" i="1"/>
  <c r="BL1371" i="1"/>
  <c r="BK1371" i="1"/>
  <c r="DG1370" i="1"/>
  <c r="M2837" i="1"/>
  <c r="L2837" i="1"/>
  <c r="DA1370" i="1"/>
  <c r="CY1370" i="1"/>
  <c r="CX1370" i="1"/>
  <c r="J2837" i="1"/>
  <c r="BL1370" i="1"/>
  <c r="BK1370" i="1"/>
  <c r="DG1369" i="1"/>
  <c r="M2838" i="1"/>
  <c r="L2838" i="1"/>
  <c r="DA1369" i="1"/>
  <c r="CY1369" i="1"/>
  <c r="CX1369" i="1"/>
  <c r="J2838" i="1"/>
  <c r="BL1369" i="1"/>
  <c r="BK1369" i="1"/>
  <c r="DG1368" i="1"/>
  <c r="M2839" i="1"/>
  <c r="L2839" i="1"/>
  <c r="DA1368" i="1"/>
  <c r="CY1368" i="1"/>
  <c r="CX1368" i="1"/>
  <c r="J2839" i="1"/>
  <c r="BL1368" i="1"/>
  <c r="BK1368" i="1"/>
  <c r="DG1367" i="1"/>
  <c r="M2840" i="1"/>
  <c r="L2840" i="1"/>
  <c r="DA1367" i="1"/>
  <c r="CY1367" i="1"/>
  <c r="CX1367" i="1"/>
  <c r="J2840" i="1"/>
  <c r="BL1367" i="1"/>
  <c r="BK1367" i="1"/>
  <c r="DG1366" i="1"/>
  <c r="M3415" i="1"/>
  <c r="L3415" i="1"/>
  <c r="DA1366" i="1"/>
  <c r="CY1366" i="1"/>
  <c r="CX1366" i="1"/>
  <c r="J3415" i="1"/>
  <c r="CW1366" i="1"/>
  <c r="BL1366" i="1"/>
  <c r="BK1366" i="1"/>
  <c r="DG1365" i="1"/>
  <c r="M2842" i="1"/>
  <c r="L2842" i="1"/>
  <c r="DA1365" i="1"/>
  <c r="CY1365" i="1"/>
  <c r="CX1365" i="1"/>
  <c r="J2842" i="1"/>
  <c r="BL1365" i="1"/>
  <c r="BK1365" i="1"/>
  <c r="DG1364" i="1"/>
  <c r="M2843" i="1"/>
  <c r="L2843" i="1"/>
  <c r="DA1364" i="1"/>
  <c r="CY1364" i="1"/>
  <c r="CX1364" i="1"/>
  <c r="J2843" i="1"/>
  <c r="BL1364" i="1"/>
  <c r="BK1364" i="1"/>
  <c r="DG1363" i="1"/>
  <c r="M2844" i="1"/>
  <c r="L2844" i="1"/>
  <c r="DA1363" i="1"/>
  <c r="CY1363" i="1"/>
  <c r="CX1363" i="1"/>
  <c r="J2844" i="1"/>
  <c r="BL1363" i="1"/>
  <c r="BK1363" i="1"/>
  <c r="DG1362" i="1"/>
  <c r="M2845" i="1"/>
  <c r="L2845" i="1"/>
  <c r="DA1362" i="1"/>
  <c r="CY1362" i="1"/>
  <c r="CX1362" i="1"/>
  <c r="J2845" i="1"/>
  <c r="BL1362" i="1"/>
  <c r="BK1362" i="1"/>
  <c r="DG1361" i="1"/>
  <c r="M2846" i="1"/>
  <c r="L2846" i="1"/>
  <c r="DA1361" i="1"/>
  <c r="CY1361" i="1"/>
  <c r="CX1361" i="1"/>
  <c r="J2846" i="1"/>
  <c r="BL1361" i="1"/>
  <c r="BK1361" i="1"/>
  <c r="DG1360" i="1"/>
  <c r="M2847" i="1"/>
  <c r="L2847" i="1"/>
  <c r="DA1360" i="1"/>
  <c r="CY1360" i="1"/>
  <c r="CX1360" i="1"/>
  <c r="J2847" i="1"/>
  <c r="BL1360" i="1"/>
  <c r="BK1360" i="1"/>
  <c r="DG1359" i="1"/>
  <c r="M2848" i="1"/>
  <c r="L2848" i="1"/>
  <c r="DA1359" i="1"/>
  <c r="CY1359" i="1"/>
  <c r="CX1359" i="1"/>
  <c r="J2848" i="1"/>
  <c r="BL1359" i="1"/>
  <c r="BK1359" i="1"/>
  <c r="DG1358" i="1"/>
  <c r="M2849" i="1"/>
  <c r="L2849" i="1"/>
  <c r="DA1358" i="1"/>
  <c r="CY1358" i="1"/>
  <c r="CX1358" i="1"/>
  <c r="J2849" i="1"/>
  <c r="BL1358" i="1"/>
  <c r="BK1358" i="1"/>
  <c r="DG1357" i="1"/>
  <c r="M2850" i="1"/>
  <c r="L2850" i="1"/>
  <c r="DA1357" i="1"/>
  <c r="CY1357" i="1"/>
  <c r="CX1357" i="1"/>
  <c r="J2850" i="1"/>
  <c r="BL1357" i="1"/>
  <c r="BK1357" i="1"/>
  <c r="DG1356" i="1"/>
  <c r="M2851" i="1"/>
  <c r="L2851" i="1"/>
  <c r="DA1356" i="1"/>
  <c r="CY1356" i="1"/>
  <c r="CX1356" i="1"/>
  <c r="J2851" i="1"/>
  <c r="BL1356" i="1"/>
  <c r="BK1356" i="1"/>
  <c r="DG1355" i="1"/>
  <c r="M2852" i="1"/>
  <c r="L2852" i="1"/>
  <c r="DA1355" i="1"/>
  <c r="CY1355" i="1"/>
  <c r="CX1355" i="1"/>
  <c r="J2852" i="1"/>
  <c r="BL1355" i="1"/>
  <c r="BK1355" i="1"/>
  <c r="DG1354" i="1"/>
  <c r="M2853" i="1"/>
  <c r="L2853" i="1"/>
  <c r="DA1354" i="1"/>
  <c r="CY1354" i="1"/>
  <c r="CX1354" i="1"/>
  <c r="J2853" i="1"/>
  <c r="BL1354" i="1"/>
  <c r="BK1354" i="1"/>
  <c r="DG1353" i="1"/>
  <c r="M2854" i="1"/>
  <c r="L2854" i="1"/>
  <c r="DA1353" i="1"/>
  <c r="CY1353" i="1"/>
  <c r="CX1353" i="1"/>
  <c r="J2854" i="1"/>
  <c r="BL1353" i="1"/>
  <c r="BK1353" i="1"/>
  <c r="DG1352" i="1"/>
  <c r="M2855" i="1"/>
  <c r="L2855" i="1"/>
  <c r="DA1352" i="1"/>
  <c r="CY1352" i="1"/>
  <c r="CX1352" i="1"/>
  <c r="J2855" i="1"/>
  <c r="BL1352" i="1"/>
  <c r="BK1352" i="1"/>
  <c r="DG1351" i="1"/>
  <c r="M2856" i="1"/>
  <c r="L2856" i="1"/>
  <c r="DA1351" i="1"/>
  <c r="CY1351" i="1"/>
  <c r="CX1351" i="1"/>
  <c r="J2856" i="1"/>
  <c r="BL1351" i="1"/>
  <c r="BK1351" i="1"/>
  <c r="DG1350" i="1"/>
  <c r="M2857" i="1"/>
  <c r="L2857" i="1"/>
  <c r="DA1350" i="1"/>
  <c r="CY1350" i="1"/>
  <c r="CX1350" i="1"/>
  <c r="J2857" i="1"/>
  <c r="BL1350" i="1"/>
  <c r="BK1350" i="1"/>
  <c r="DG1349" i="1"/>
  <c r="M2858" i="1"/>
  <c r="L2858" i="1"/>
  <c r="DA1349" i="1"/>
  <c r="CY1349" i="1"/>
  <c r="CX1349" i="1"/>
  <c r="J2858" i="1"/>
  <c r="BL1349" i="1"/>
  <c r="BK1349" i="1"/>
  <c r="DG1348" i="1"/>
  <c r="M2859" i="1"/>
  <c r="L2859" i="1"/>
  <c r="DA1348" i="1"/>
  <c r="CY1348" i="1"/>
  <c r="CX1348" i="1"/>
  <c r="J2859" i="1"/>
  <c r="BL1348" i="1"/>
  <c r="BK1348" i="1"/>
  <c r="DG1347" i="1"/>
  <c r="M2860" i="1"/>
  <c r="L2860" i="1"/>
  <c r="DA1347" i="1"/>
  <c r="CY1347" i="1"/>
  <c r="CX1347" i="1"/>
  <c r="J2860" i="1"/>
  <c r="BL1347" i="1"/>
  <c r="BK1347" i="1"/>
  <c r="DG1346" i="1"/>
  <c r="M2861" i="1"/>
  <c r="L2861" i="1"/>
  <c r="DA1346" i="1"/>
  <c r="CY1346" i="1"/>
  <c r="CX1346" i="1"/>
  <c r="J2861" i="1"/>
  <c r="BL1346" i="1"/>
  <c r="BK1346" i="1"/>
  <c r="DG1345" i="1"/>
  <c r="M2862" i="1"/>
  <c r="L2862" i="1"/>
  <c r="DA1345" i="1"/>
  <c r="CY1345" i="1"/>
  <c r="CX1345" i="1"/>
  <c r="J2862" i="1"/>
  <c r="BL1345" i="1"/>
  <c r="BK1345" i="1"/>
  <c r="DG1344" i="1"/>
  <c r="M2863" i="1"/>
  <c r="L2863" i="1"/>
  <c r="DA1344" i="1"/>
  <c r="CY1344" i="1"/>
  <c r="CX1344" i="1"/>
  <c r="J2863" i="1"/>
  <c r="BL1344" i="1"/>
  <c r="BK1344" i="1"/>
  <c r="DG1343" i="1"/>
  <c r="M2864" i="1"/>
  <c r="L2864" i="1"/>
  <c r="DA1343" i="1"/>
  <c r="CY1343" i="1"/>
  <c r="CX1343" i="1"/>
  <c r="J2864" i="1"/>
  <c r="BL1343" i="1"/>
  <c r="BK1343" i="1"/>
  <c r="DG1342" i="1"/>
  <c r="M2865" i="1"/>
  <c r="L2865" i="1"/>
  <c r="DA1342" i="1"/>
  <c r="CY1342" i="1"/>
  <c r="CX1342" i="1"/>
  <c r="J2865" i="1"/>
  <c r="BL1342" i="1"/>
  <c r="BK1342" i="1"/>
  <c r="DG1341" i="1"/>
  <c r="M2866" i="1"/>
  <c r="L2866" i="1"/>
  <c r="DA1341" i="1"/>
  <c r="CY1341" i="1"/>
  <c r="CX1341" i="1"/>
  <c r="J2866" i="1"/>
  <c r="BL1341" i="1"/>
  <c r="BK1341" i="1"/>
  <c r="DG1340" i="1"/>
  <c r="M2867" i="1"/>
  <c r="L2867" i="1"/>
  <c r="DA1340" i="1"/>
  <c r="CY1340" i="1"/>
  <c r="CX1340" i="1"/>
  <c r="J2867" i="1"/>
  <c r="BL1340" i="1"/>
  <c r="BK1340" i="1"/>
  <c r="DG1339" i="1"/>
  <c r="M2868" i="1"/>
  <c r="L2868" i="1"/>
  <c r="DA1339" i="1"/>
  <c r="CY1339" i="1"/>
  <c r="CX1339" i="1"/>
  <c r="J2868" i="1"/>
  <c r="BL1339" i="1"/>
  <c r="BK1339" i="1"/>
  <c r="DG1338" i="1"/>
  <c r="M2869" i="1"/>
  <c r="L2869" i="1"/>
  <c r="DA1338" i="1"/>
  <c r="CY1338" i="1"/>
  <c r="CX1338" i="1"/>
  <c r="J2869" i="1"/>
  <c r="BL1338" i="1"/>
  <c r="BK1338" i="1"/>
  <c r="DG1337" i="1"/>
  <c r="M2870" i="1"/>
  <c r="L2870" i="1"/>
  <c r="DA1337" i="1"/>
  <c r="CY1337" i="1"/>
  <c r="CX1337" i="1"/>
  <c r="J2870" i="1"/>
  <c r="BL1337" i="1"/>
  <c r="BK1337" i="1"/>
  <c r="DG1336" i="1"/>
  <c r="M2871" i="1"/>
  <c r="L2871" i="1"/>
  <c r="DA1336" i="1"/>
  <c r="CY1336" i="1"/>
  <c r="CX1336" i="1"/>
  <c r="J2871" i="1"/>
  <c r="BL1336" i="1"/>
  <c r="BK1336" i="1"/>
  <c r="DG1335" i="1"/>
  <c r="M2872" i="1"/>
  <c r="L2872" i="1"/>
  <c r="DA1335" i="1"/>
  <c r="CY1335" i="1"/>
  <c r="CX1335" i="1"/>
  <c r="J2872" i="1"/>
  <c r="BL1335" i="1"/>
  <c r="BK1335" i="1"/>
  <c r="DG1334" i="1"/>
  <c r="M2873" i="1"/>
  <c r="L2873" i="1"/>
  <c r="DA1334" i="1"/>
  <c r="CY1334" i="1"/>
  <c r="CX1334" i="1"/>
  <c r="J2873" i="1"/>
  <c r="BL1334" i="1"/>
  <c r="BK1334" i="1"/>
  <c r="DG1333" i="1"/>
  <c r="M2874" i="1"/>
  <c r="L2874" i="1"/>
  <c r="DA1333" i="1"/>
  <c r="CY1333" i="1"/>
  <c r="CX1333" i="1"/>
  <c r="J2874" i="1"/>
  <c r="BL1333" i="1"/>
  <c r="BK1333" i="1"/>
  <c r="DG1332" i="1"/>
  <c r="M2875" i="1"/>
  <c r="L2875" i="1"/>
  <c r="DA1332" i="1"/>
  <c r="CY1332" i="1"/>
  <c r="CX1332" i="1"/>
  <c r="J2875" i="1"/>
  <c r="BL1332" i="1"/>
  <c r="BK1332" i="1"/>
  <c r="DG1331" i="1"/>
  <c r="M2876" i="1"/>
  <c r="L2876" i="1"/>
  <c r="DA1331" i="1"/>
  <c r="CY1331" i="1"/>
  <c r="CX1331" i="1"/>
  <c r="J2876" i="1"/>
  <c r="BL1331" i="1"/>
  <c r="BK1331" i="1"/>
  <c r="DG1330" i="1"/>
  <c r="M2877" i="1"/>
  <c r="L2877" i="1"/>
  <c r="DA1330" i="1"/>
  <c r="CY1330" i="1"/>
  <c r="CX1330" i="1"/>
  <c r="J2877" i="1"/>
  <c r="BL1330" i="1"/>
  <c r="BK1330" i="1"/>
  <c r="DG1329" i="1"/>
  <c r="M2878" i="1"/>
  <c r="L2878" i="1"/>
  <c r="DA1329" i="1"/>
  <c r="CY1329" i="1"/>
  <c r="CX1329" i="1"/>
  <c r="J2878" i="1"/>
  <c r="BL1329" i="1"/>
  <c r="BK1329" i="1"/>
  <c r="DG1328" i="1"/>
  <c r="M2879" i="1"/>
  <c r="L2879" i="1"/>
  <c r="DA1328" i="1"/>
  <c r="CY1328" i="1"/>
  <c r="CX1328" i="1"/>
  <c r="J2879" i="1"/>
  <c r="BL1328" i="1"/>
  <c r="BK1328" i="1"/>
  <c r="DG1327" i="1"/>
  <c r="M2880" i="1"/>
  <c r="L2880" i="1"/>
  <c r="DA1327" i="1"/>
  <c r="CY1327" i="1"/>
  <c r="CX1327" i="1"/>
  <c r="J2880" i="1"/>
  <c r="BL1327" i="1"/>
  <c r="BK1327" i="1"/>
  <c r="DG1326" i="1"/>
  <c r="M2881" i="1"/>
  <c r="L2881" i="1"/>
  <c r="DA1326" i="1"/>
  <c r="CY1326" i="1"/>
  <c r="CX1326" i="1"/>
  <c r="J2881" i="1"/>
  <c r="BL1326" i="1"/>
  <c r="BK1326" i="1"/>
  <c r="DG1325" i="1"/>
  <c r="M2882" i="1"/>
  <c r="L2882" i="1"/>
  <c r="DA1325" i="1"/>
  <c r="CY1325" i="1"/>
  <c r="CX1325" i="1"/>
  <c r="J2882" i="1"/>
  <c r="BL1325" i="1"/>
  <c r="BK1325" i="1"/>
  <c r="DG1324" i="1"/>
  <c r="M2883" i="1"/>
  <c r="L2883" i="1"/>
  <c r="DA1324" i="1"/>
  <c r="CY1324" i="1"/>
  <c r="CX1324" i="1"/>
  <c r="J2883" i="1"/>
  <c r="BL1324" i="1"/>
  <c r="BK1324" i="1"/>
  <c r="DG1323" i="1"/>
  <c r="M2884" i="1"/>
  <c r="L2884" i="1"/>
  <c r="DA1323" i="1"/>
  <c r="CY1323" i="1"/>
  <c r="CX1323" i="1"/>
  <c r="J2884" i="1"/>
  <c r="BL1323" i="1"/>
  <c r="BK1323" i="1"/>
  <c r="DG1322" i="1"/>
  <c r="M2885" i="1"/>
  <c r="L2885" i="1"/>
  <c r="DA1322" i="1"/>
  <c r="CY1322" i="1"/>
  <c r="CX1322" i="1"/>
  <c r="J2885" i="1"/>
  <c r="BL1322" i="1"/>
  <c r="BK1322" i="1"/>
  <c r="DG1321" i="1"/>
  <c r="M2886" i="1"/>
  <c r="L2886" i="1"/>
  <c r="DA1321" i="1"/>
  <c r="CY1321" i="1"/>
  <c r="CX1321" i="1"/>
  <c r="J2886" i="1"/>
  <c r="BL1321" i="1"/>
  <c r="BK1321" i="1"/>
  <c r="DG1320" i="1"/>
  <c r="M2887" i="1"/>
  <c r="L2887" i="1"/>
  <c r="DA1320" i="1"/>
  <c r="CY1320" i="1"/>
  <c r="CX1320" i="1"/>
  <c r="J2887" i="1"/>
  <c r="BL1320" i="1"/>
  <c r="BK1320" i="1"/>
  <c r="DG1319" i="1"/>
  <c r="M2888" i="1"/>
  <c r="L2888" i="1"/>
  <c r="DA1319" i="1"/>
  <c r="CY1319" i="1"/>
  <c r="CX1319" i="1"/>
  <c r="J2888" i="1"/>
  <c r="BL1319" i="1"/>
  <c r="BK1319" i="1"/>
  <c r="DG1318" i="1"/>
  <c r="M2889" i="1"/>
  <c r="L2889" i="1"/>
  <c r="DA1318" i="1"/>
  <c r="CY1318" i="1"/>
  <c r="CX1318" i="1"/>
  <c r="J2889" i="1"/>
  <c r="BL1318" i="1"/>
  <c r="BK1318" i="1"/>
  <c r="DG1317" i="1"/>
  <c r="M2890" i="1"/>
  <c r="L2890" i="1"/>
  <c r="DA1317" i="1"/>
  <c r="CY1317" i="1"/>
  <c r="CX1317" i="1"/>
  <c r="J2890" i="1"/>
  <c r="BL1317" i="1"/>
  <c r="BK1317" i="1"/>
  <c r="DG1316" i="1"/>
  <c r="M2891" i="1"/>
  <c r="L2891" i="1"/>
  <c r="DA1316" i="1"/>
  <c r="CY1316" i="1"/>
  <c r="CX1316" i="1"/>
  <c r="J2891" i="1"/>
  <c r="BL1316" i="1"/>
  <c r="BK1316" i="1"/>
  <c r="DG1315" i="1"/>
  <c r="M2892" i="1"/>
  <c r="L2892" i="1"/>
  <c r="DA1315" i="1"/>
  <c r="CY1315" i="1"/>
  <c r="CX1315" i="1"/>
  <c r="J2892" i="1"/>
  <c r="BL1315" i="1"/>
  <c r="BK1315" i="1"/>
  <c r="DG1314" i="1"/>
  <c r="M2893" i="1"/>
  <c r="L2893" i="1"/>
  <c r="DA1314" i="1"/>
  <c r="CY1314" i="1"/>
  <c r="CX1314" i="1"/>
  <c r="J2893" i="1"/>
  <c r="BL1314" i="1"/>
  <c r="BK1314" i="1"/>
  <c r="DG1313" i="1"/>
  <c r="M2894" i="1"/>
  <c r="L2894" i="1"/>
  <c r="DA1313" i="1"/>
  <c r="CY1313" i="1"/>
  <c r="CX1313" i="1"/>
  <c r="J2894" i="1"/>
  <c r="BL1313" i="1"/>
  <c r="BK1313" i="1"/>
  <c r="DG1312" i="1"/>
  <c r="M2895" i="1"/>
  <c r="L2895" i="1"/>
  <c r="DA1312" i="1"/>
  <c r="CY1312" i="1"/>
  <c r="CX1312" i="1"/>
  <c r="J2895" i="1"/>
  <c r="BL1312" i="1"/>
  <c r="BK1312" i="1"/>
  <c r="DG1311" i="1"/>
  <c r="M2896" i="1"/>
  <c r="L2896" i="1"/>
  <c r="DA1311" i="1"/>
  <c r="CY1311" i="1"/>
  <c r="CX1311" i="1"/>
  <c r="J2896" i="1"/>
  <c r="BL1311" i="1"/>
  <c r="BK1311" i="1"/>
  <c r="DG1310" i="1"/>
  <c r="M2897" i="1"/>
  <c r="L2897" i="1"/>
  <c r="DA1310" i="1"/>
  <c r="CY1310" i="1"/>
  <c r="CX1310" i="1"/>
  <c r="J2897" i="1"/>
  <c r="BL1310" i="1"/>
  <c r="BK1310" i="1"/>
  <c r="DG1309" i="1"/>
  <c r="M2898" i="1"/>
  <c r="L2898" i="1"/>
  <c r="DA1309" i="1"/>
  <c r="CY1309" i="1"/>
  <c r="CX1309" i="1"/>
  <c r="J2898" i="1"/>
  <c r="BL1309" i="1"/>
  <c r="BK1309" i="1"/>
  <c r="DG1308" i="1"/>
  <c r="M2899" i="1"/>
  <c r="L2899" i="1"/>
  <c r="DA1308" i="1"/>
  <c r="CY1308" i="1"/>
  <c r="CX1308" i="1"/>
  <c r="J2899" i="1"/>
  <c r="BL1308" i="1"/>
  <c r="BK1308" i="1"/>
  <c r="DG1307" i="1"/>
  <c r="M2900" i="1"/>
  <c r="L2900" i="1"/>
  <c r="DA1307" i="1"/>
  <c r="CY1307" i="1"/>
  <c r="CX1307" i="1"/>
  <c r="J2900" i="1"/>
  <c r="BL1307" i="1"/>
  <c r="BK1307" i="1"/>
  <c r="DG1306" i="1"/>
  <c r="M2901" i="1"/>
  <c r="L2901" i="1"/>
  <c r="DA1306" i="1"/>
  <c r="CY1306" i="1"/>
  <c r="CX1306" i="1"/>
  <c r="J2901" i="1"/>
  <c r="BL1306" i="1"/>
  <c r="BK1306" i="1"/>
  <c r="DG1305" i="1"/>
  <c r="M2902" i="1"/>
  <c r="L2902" i="1"/>
  <c r="DA1305" i="1"/>
  <c r="CY1305" i="1"/>
  <c r="CX1305" i="1"/>
  <c r="J2902" i="1"/>
  <c r="BL1305" i="1"/>
  <c r="BK1305" i="1"/>
  <c r="DG1304" i="1"/>
  <c r="M2903" i="1"/>
  <c r="L2903" i="1"/>
  <c r="DA1304" i="1"/>
  <c r="CY1304" i="1"/>
  <c r="CX1304" i="1"/>
  <c r="J2903" i="1"/>
  <c r="BL1304" i="1"/>
  <c r="BK1304" i="1"/>
  <c r="DG1303" i="1"/>
  <c r="M2904" i="1"/>
  <c r="L2904" i="1"/>
  <c r="DA1303" i="1"/>
  <c r="CY1303" i="1"/>
  <c r="CX1303" i="1"/>
  <c r="J2904" i="1"/>
  <c r="BL1303" i="1"/>
  <c r="BK1303" i="1"/>
  <c r="DG1302" i="1"/>
  <c r="M732" i="1"/>
  <c r="L732" i="1"/>
  <c r="DA1302" i="1"/>
  <c r="CY1302" i="1"/>
  <c r="CX1302" i="1"/>
  <c r="J732" i="1"/>
  <c r="BL1302" i="1"/>
  <c r="BK1302" i="1"/>
  <c r="DG1301" i="1"/>
  <c r="M2906" i="1"/>
  <c r="L2906" i="1"/>
  <c r="DA1301" i="1"/>
  <c r="CY1301" i="1"/>
  <c r="CX1301" i="1"/>
  <c r="J2906" i="1"/>
  <c r="BL1301" i="1"/>
  <c r="BK1301" i="1"/>
  <c r="DG1300" i="1"/>
  <c r="M2907" i="1"/>
  <c r="L2907" i="1"/>
  <c r="DA1300" i="1"/>
  <c r="CY1300" i="1"/>
  <c r="CX1300" i="1"/>
  <c r="J2907" i="1"/>
  <c r="BL1300" i="1"/>
  <c r="BK1300" i="1"/>
  <c r="DG1299" i="1"/>
  <c r="M2908" i="1"/>
  <c r="L2908" i="1"/>
  <c r="DA1299" i="1"/>
  <c r="CY1299" i="1"/>
  <c r="CX1299" i="1"/>
  <c r="J2908" i="1"/>
  <c r="BL1299" i="1"/>
  <c r="BK1299" i="1"/>
  <c r="DG1298" i="1"/>
  <c r="M2909" i="1"/>
  <c r="L2909" i="1"/>
  <c r="DA1298" i="1"/>
  <c r="CY1298" i="1"/>
  <c r="CX1298" i="1"/>
  <c r="J2909" i="1"/>
  <c r="BL1298" i="1"/>
  <c r="BK1298" i="1"/>
  <c r="DG1297" i="1"/>
  <c r="M2910" i="1"/>
  <c r="L2910" i="1"/>
  <c r="DA1297" i="1"/>
  <c r="CY1297" i="1"/>
  <c r="CX1297" i="1"/>
  <c r="J2910" i="1"/>
  <c r="BL1297" i="1"/>
  <c r="BK1297" i="1"/>
  <c r="DG1296" i="1"/>
  <c r="M2911" i="1"/>
  <c r="L2911" i="1"/>
  <c r="DA1296" i="1"/>
  <c r="CY1296" i="1"/>
  <c r="CX1296" i="1"/>
  <c r="J2911" i="1"/>
  <c r="BL1296" i="1"/>
  <c r="BK1296" i="1"/>
  <c r="DG1295" i="1"/>
  <c r="M2912" i="1"/>
  <c r="L2912" i="1"/>
  <c r="DA1295" i="1"/>
  <c r="CY1295" i="1"/>
  <c r="CX1295" i="1"/>
  <c r="J2912" i="1"/>
  <c r="BL1295" i="1"/>
  <c r="BK1295" i="1"/>
  <c r="DG1294" i="1"/>
  <c r="M2913" i="1"/>
  <c r="L2913" i="1"/>
  <c r="DA1294" i="1"/>
  <c r="CY1294" i="1"/>
  <c r="CX1294" i="1"/>
  <c r="J2913" i="1"/>
  <c r="BL1294" i="1"/>
  <c r="BK1294" i="1"/>
  <c r="DG1293" i="1"/>
  <c r="M2914" i="1"/>
  <c r="L2914" i="1"/>
  <c r="DA1293" i="1"/>
  <c r="CY1293" i="1"/>
  <c r="CX1293" i="1"/>
  <c r="J2914" i="1"/>
  <c r="BL1293" i="1"/>
  <c r="BK1293" i="1"/>
  <c r="DG1292" i="1"/>
  <c r="M2915" i="1"/>
  <c r="L2915" i="1"/>
  <c r="DA1292" i="1"/>
  <c r="CY1292" i="1"/>
  <c r="CX1292" i="1"/>
  <c r="J2915" i="1"/>
  <c r="BL1292" i="1"/>
  <c r="BK1292" i="1"/>
  <c r="DG1291" i="1"/>
  <c r="M2916" i="1"/>
  <c r="L2916" i="1"/>
  <c r="DA1291" i="1"/>
  <c r="CY1291" i="1"/>
  <c r="CX1291" i="1"/>
  <c r="J2916" i="1"/>
  <c r="BL1291" i="1"/>
  <c r="BK1291" i="1"/>
  <c r="DG1290" i="1"/>
  <c r="M2918" i="1"/>
  <c r="L2918" i="1"/>
  <c r="DA1290" i="1"/>
  <c r="CY1290" i="1"/>
  <c r="CX1290" i="1"/>
  <c r="J2918" i="1"/>
  <c r="BL1290" i="1"/>
  <c r="BK1290" i="1"/>
  <c r="DG1289" i="1"/>
  <c r="M2919" i="1"/>
  <c r="L2919" i="1"/>
  <c r="DA1289" i="1"/>
  <c r="CY1289" i="1"/>
  <c r="CX1289" i="1"/>
  <c r="J2919" i="1"/>
  <c r="BL1289" i="1"/>
  <c r="BK1289" i="1"/>
  <c r="DG1288" i="1"/>
  <c r="M2920" i="1"/>
  <c r="L2920" i="1"/>
  <c r="DA1288" i="1"/>
  <c r="CY1288" i="1"/>
  <c r="CX1288" i="1"/>
  <c r="J2920" i="1"/>
  <c r="BL1288" i="1"/>
  <c r="BK1288" i="1"/>
  <c r="DG1287" i="1"/>
  <c r="M2921" i="1"/>
  <c r="L2921" i="1"/>
  <c r="DA1287" i="1"/>
  <c r="CY1287" i="1"/>
  <c r="CX1287" i="1"/>
  <c r="J2921" i="1"/>
  <c r="BL1287" i="1"/>
  <c r="BK1287" i="1"/>
  <c r="DG1286" i="1"/>
  <c r="M2922" i="1"/>
  <c r="L2922" i="1"/>
  <c r="DA1286" i="1"/>
  <c r="CY1286" i="1"/>
  <c r="CX1286" i="1"/>
  <c r="J2922" i="1"/>
  <c r="BL1286" i="1"/>
  <c r="BK1286" i="1"/>
  <c r="DG1285" i="1"/>
  <c r="M2923" i="1"/>
  <c r="L2923" i="1"/>
  <c r="DA1285" i="1"/>
  <c r="CY1285" i="1"/>
  <c r="CX1285" i="1"/>
  <c r="J2923" i="1"/>
  <c r="BL1285" i="1"/>
  <c r="BK1285" i="1"/>
  <c r="DG1284" i="1"/>
  <c r="M2924" i="1"/>
  <c r="L2924" i="1"/>
  <c r="DA1284" i="1"/>
  <c r="CY1284" i="1"/>
  <c r="CX1284" i="1"/>
  <c r="J2924" i="1"/>
  <c r="BL1284" i="1"/>
  <c r="BK1284" i="1"/>
  <c r="DG1283" i="1"/>
  <c r="M2925" i="1"/>
  <c r="L2925" i="1"/>
  <c r="DA1283" i="1"/>
  <c r="CY1283" i="1"/>
  <c r="CX1283" i="1"/>
  <c r="J2925" i="1"/>
  <c r="BL1283" i="1"/>
  <c r="BK1283" i="1"/>
  <c r="DG1282" i="1"/>
  <c r="M2926" i="1"/>
  <c r="L2926" i="1"/>
  <c r="DA1282" i="1"/>
  <c r="CY1282" i="1"/>
  <c r="CX1282" i="1"/>
  <c r="J2926" i="1"/>
  <c r="BL1282" i="1"/>
  <c r="BK1282" i="1"/>
  <c r="DG1281" i="1"/>
  <c r="M2927" i="1"/>
  <c r="L2927" i="1"/>
  <c r="DA1281" i="1"/>
  <c r="CY1281" i="1"/>
  <c r="CX1281" i="1"/>
  <c r="J2927" i="1"/>
  <c r="BL1281" i="1"/>
  <c r="BK1281" i="1"/>
  <c r="DG1280" i="1"/>
  <c r="M2928" i="1"/>
  <c r="L2928" i="1"/>
  <c r="DA1280" i="1"/>
  <c r="CY1280" i="1"/>
  <c r="CX1280" i="1"/>
  <c r="J2928" i="1"/>
  <c r="BL1280" i="1"/>
  <c r="BK1280" i="1"/>
  <c r="DG1279" i="1"/>
  <c r="M2929" i="1"/>
  <c r="L2929" i="1"/>
  <c r="DA1279" i="1"/>
  <c r="CY1279" i="1"/>
  <c r="CX1279" i="1"/>
  <c r="J2929" i="1"/>
  <c r="BL1279" i="1"/>
  <c r="BK1279" i="1"/>
  <c r="DG1278" i="1"/>
  <c r="M2930" i="1"/>
  <c r="L2930" i="1"/>
  <c r="DA1278" i="1"/>
  <c r="CY1278" i="1"/>
  <c r="CX1278" i="1"/>
  <c r="J2930" i="1"/>
  <c r="BL1278" i="1"/>
  <c r="BK1278" i="1"/>
  <c r="DG1277" i="1"/>
  <c r="M2931" i="1"/>
  <c r="L2931" i="1"/>
  <c r="DA1277" i="1"/>
  <c r="CY1277" i="1"/>
  <c r="CX1277" i="1"/>
  <c r="J2931" i="1"/>
  <c r="BL1277" i="1"/>
  <c r="BK1277" i="1"/>
  <c r="DG1276" i="1"/>
  <c r="M2932" i="1"/>
  <c r="L2932" i="1"/>
  <c r="DA1276" i="1"/>
  <c r="CY1276" i="1"/>
  <c r="CX1276" i="1"/>
  <c r="J2932" i="1"/>
  <c r="BL1276" i="1"/>
  <c r="BK1276" i="1"/>
  <c r="DG1275" i="1"/>
  <c r="M2933" i="1"/>
  <c r="L2933" i="1"/>
  <c r="DA1275" i="1"/>
  <c r="CY1275" i="1"/>
  <c r="CX1275" i="1"/>
  <c r="J2933" i="1"/>
  <c r="BL1275" i="1"/>
  <c r="BK1275" i="1"/>
  <c r="DG1274" i="1"/>
  <c r="M2934" i="1"/>
  <c r="L2934" i="1"/>
  <c r="DA1274" i="1"/>
  <c r="CY1274" i="1"/>
  <c r="CX1274" i="1"/>
  <c r="J2934" i="1"/>
  <c r="BL1274" i="1"/>
  <c r="BK1274" i="1"/>
  <c r="DG1273" i="1"/>
  <c r="M2935" i="1"/>
  <c r="L2935" i="1"/>
  <c r="DA1273" i="1"/>
  <c r="CY1273" i="1"/>
  <c r="CX1273" i="1"/>
  <c r="J2935" i="1"/>
  <c r="BL1273" i="1"/>
  <c r="BK1273" i="1"/>
  <c r="DG1272" i="1"/>
  <c r="M2936" i="1"/>
  <c r="L2936" i="1"/>
  <c r="DA1272" i="1"/>
  <c r="CY1272" i="1"/>
  <c r="CX1272" i="1"/>
  <c r="J2936" i="1"/>
  <c r="BL1272" i="1"/>
  <c r="BK1272" i="1"/>
  <c r="DG1271" i="1"/>
  <c r="M2937" i="1"/>
  <c r="L2937" i="1"/>
  <c r="DA1271" i="1"/>
  <c r="CY1271" i="1"/>
  <c r="CX1271" i="1"/>
  <c r="J2937" i="1"/>
  <c r="BL1271" i="1"/>
  <c r="BK1271" i="1"/>
  <c r="DG1270" i="1"/>
  <c r="M1830" i="1"/>
  <c r="L1830" i="1"/>
  <c r="DA1270" i="1"/>
  <c r="CY1270" i="1"/>
  <c r="CX1270" i="1"/>
  <c r="J1830" i="1"/>
  <c r="BL1270" i="1"/>
  <c r="BK1270" i="1"/>
  <c r="DG1269" i="1"/>
  <c r="M2939" i="1"/>
  <c r="L2939" i="1"/>
  <c r="DA1269" i="1"/>
  <c r="CY1269" i="1"/>
  <c r="CX1269" i="1"/>
  <c r="J2939" i="1"/>
  <c r="BL1269" i="1"/>
  <c r="BK1269" i="1"/>
  <c r="DG1268" i="1"/>
  <c r="M2940" i="1"/>
  <c r="L2940" i="1"/>
  <c r="DA1268" i="1"/>
  <c r="CY1268" i="1"/>
  <c r="CX1268" i="1"/>
  <c r="J2940" i="1"/>
  <c r="BL1268" i="1"/>
  <c r="BK1268" i="1"/>
  <c r="DG1267" i="1"/>
  <c r="M2941" i="1"/>
  <c r="L2941" i="1"/>
  <c r="DA1267" i="1"/>
  <c r="CY1267" i="1"/>
  <c r="CX1267" i="1"/>
  <c r="J2941" i="1"/>
  <c r="BL1267" i="1"/>
  <c r="BK1267" i="1"/>
  <c r="DG1266" i="1"/>
  <c r="M2942" i="1"/>
  <c r="L2942" i="1"/>
  <c r="DA1266" i="1"/>
  <c r="CY1266" i="1"/>
  <c r="CX1266" i="1"/>
  <c r="J2942" i="1"/>
  <c r="BL1266" i="1"/>
  <c r="BK1266" i="1"/>
  <c r="DG1265" i="1"/>
  <c r="M2943" i="1"/>
  <c r="L2943" i="1"/>
  <c r="DA1265" i="1"/>
  <c r="CY1265" i="1"/>
  <c r="CX1265" i="1"/>
  <c r="J2943" i="1"/>
  <c r="BL1265" i="1"/>
  <c r="BK1265" i="1"/>
  <c r="DG1264" i="1"/>
  <c r="M2944" i="1"/>
  <c r="L2944" i="1"/>
  <c r="DA1264" i="1"/>
  <c r="CY1264" i="1"/>
  <c r="CX1264" i="1"/>
  <c r="J2944" i="1"/>
  <c r="BL1264" i="1"/>
  <c r="BK1264" i="1"/>
  <c r="DG1263" i="1"/>
  <c r="M2945" i="1"/>
  <c r="L2945" i="1"/>
  <c r="DA1263" i="1"/>
  <c r="CY1263" i="1"/>
  <c r="CX1263" i="1"/>
  <c r="J2945" i="1"/>
  <c r="BL1263" i="1"/>
  <c r="BK1263" i="1"/>
  <c r="DG1262" i="1"/>
  <c r="M2946" i="1"/>
  <c r="L2946" i="1"/>
  <c r="DA1262" i="1"/>
  <c r="CY1262" i="1"/>
  <c r="CX1262" i="1"/>
  <c r="J2946" i="1"/>
  <c r="BL1262" i="1"/>
  <c r="BK1262" i="1"/>
  <c r="DG1261" i="1"/>
  <c r="M2947" i="1"/>
  <c r="L2947" i="1"/>
  <c r="DA1261" i="1"/>
  <c r="CY1261" i="1"/>
  <c r="CX1261" i="1"/>
  <c r="J2947" i="1"/>
  <c r="BL1261" i="1"/>
  <c r="BK1261" i="1"/>
  <c r="DG1260" i="1"/>
  <c r="M2948" i="1"/>
  <c r="L2948" i="1"/>
  <c r="DA1260" i="1"/>
  <c r="CY1260" i="1"/>
  <c r="CX1260" i="1"/>
  <c r="J2948" i="1"/>
  <c r="BL1260" i="1"/>
  <c r="BK1260" i="1"/>
  <c r="DG1259" i="1"/>
  <c r="M2949" i="1"/>
  <c r="L2949" i="1"/>
  <c r="DA1259" i="1"/>
  <c r="CY1259" i="1"/>
  <c r="CX1259" i="1"/>
  <c r="J2949" i="1"/>
  <c r="BL1259" i="1"/>
  <c r="BK1259" i="1"/>
  <c r="DG1258" i="1"/>
  <c r="M2950" i="1"/>
  <c r="L2950" i="1"/>
  <c r="DA1258" i="1"/>
  <c r="CY1258" i="1"/>
  <c r="CX1258" i="1"/>
  <c r="J2950" i="1"/>
  <c r="BL1258" i="1"/>
  <c r="BK1258" i="1"/>
  <c r="DG1257" i="1"/>
  <c r="M2951" i="1"/>
  <c r="L2951" i="1"/>
  <c r="DA1257" i="1"/>
  <c r="CY1257" i="1"/>
  <c r="CX1257" i="1"/>
  <c r="J2951" i="1"/>
  <c r="BL1257" i="1"/>
  <c r="BK1257" i="1"/>
  <c r="DG1256" i="1"/>
  <c r="M2952" i="1"/>
  <c r="L2952" i="1"/>
  <c r="DA1256" i="1"/>
  <c r="CY1256" i="1"/>
  <c r="CX1256" i="1"/>
  <c r="J2952" i="1"/>
  <c r="BL1256" i="1"/>
  <c r="BK1256" i="1"/>
  <c r="DG1255" i="1"/>
  <c r="M2953" i="1"/>
  <c r="L2953" i="1"/>
  <c r="DA1255" i="1"/>
  <c r="CY1255" i="1"/>
  <c r="CX1255" i="1"/>
  <c r="J2953" i="1"/>
  <c r="BL1255" i="1"/>
  <c r="BK1255" i="1"/>
  <c r="DG1254" i="1"/>
  <c r="M2954" i="1"/>
  <c r="L2954" i="1"/>
  <c r="DA1254" i="1"/>
  <c r="CY1254" i="1"/>
  <c r="CX1254" i="1"/>
  <c r="J2954" i="1"/>
  <c r="BL1254" i="1"/>
  <c r="BK1254" i="1"/>
  <c r="DG1253" i="1"/>
  <c r="M2955" i="1"/>
  <c r="L2955" i="1"/>
  <c r="DA1253" i="1"/>
  <c r="CY1253" i="1"/>
  <c r="CX1253" i="1"/>
  <c r="J2955" i="1"/>
  <c r="BL1253" i="1"/>
  <c r="BK1253" i="1"/>
  <c r="DG1252" i="1"/>
  <c r="M2956" i="1"/>
  <c r="L2956" i="1"/>
  <c r="DA1252" i="1"/>
  <c r="CY1252" i="1"/>
  <c r="CX1252" i="1"/>
  <c r="J2956" i="1"/>
  <c r="BL1252" i="1"/>
  <c r="BK1252" i="1"/>
  <c r="DG1251" i="1"/>
  <c r="M2957" i="1"/>
  <c r="L2957" i="1"/>
  <c r="DA1251" i="1"/>
  <c r="CY1251" i="1"/>
  <c r="CX1251" i="1"/>
  <c r="J2957" i="1"/>
  <c r="BL1251" i="1"/>
  <c r="BK1251" i="1"/>
  <c r="DG1250" i="1"/>
  <c r="M2958" i="1"/>
  <c r="L2958" i="1"/>
  <c r="DA1250" i="1"/>
  <c r="CY1250" i="1"/>
  <c r="CX1250" i="1"/>
  <c r="J2958" i="1"/>
  <c r="BL1250" i="1"/>
  <c r="BK1250" i="1"/>
  <c r="DG1249" i="1"/>
  <c r="M2959" i="1"/>
  <c r="L2959" i="1"/>
  <c r="DA1249" i="1"/>
  <c r="CY1249" i="1"/>
  <c r="CX1249" i="1"/>
  <c r="J2959" i="1"/>
  <c r="BL1249" i="1"/>
  <c r="BK1249" i="1"/>
  <c r="DG1248" i="1"/>
  <c r="M2960" i="1"/>
  <c r="L2960" i="1"/>
  <c r="DA1248" i="1"/>
  <c r="CY1248" i="1"/>
  <c r="CX1248" i="1"/>
  <c r="J2960" i="1"/>
  <c r="BL1248" i="1"/>
  <c r="BK1248" i="1"/>
  <c r="DG1247" i="1"/>
  <c r="M2961" i="1"/>
  <c r="L2961" i="1"/>
  <c r="DA1247" i="1"/>
  <c r="CY1247" i="1"/>
  <c r="CX1247" i="1"/>
  <c r="J2961" i="1"/>
  <c r="BL1247" i="1"/>
  <c r="BK1247" i="1"/>
  <c r="DG1246" i="1"/>
  <c r="M2962" i="1"/>
  <c r="L2962" i="1"/>
  <c r="DA1246" i="1"/>
  <c r="CY1246" i="1"/>
  <c r="CX1246" i="1"/>
  <c r="J2962" i="1"/>
  <c r="BL1246" i="1"/>
  <c r="BK1246" i="1"/>
  <c r="DG1245" i="1"/>
  <c r="M2963" i="1"/>
  <c r="L2963" i="1"/>
  <c r="DA1245" i="1"/>
  <c r="CY1245" i="1"/>
  <c r="CX1245" i="1"/>
  <c r="J2963" i="1"/>
  <c r="BL1245" i="1"/>
  <c r="BK1245" i="1"/>
  <c r="DG1244" i="1"/>
  <c r="M2964" i="1"/>
  <c r="L2964" i="1"/>
  <c r="DA1244" i="1"/>
  <c r="CY1244" i="1"/>
  <c r="CX1244" i="1"/>
  <c r="J2964" i="1"/>
  <c r="BL1244" i="1"/>
  <c r="BK1244" i="1"/>
  <c r="DG1243" i="1"/>
  <c r="M2965" i="1"/>
  <c r="L2965" i="1"/>
  <c r="DA1243" i="1"/>
  <c r="CY1243" i="1"/>
  <c r="CX1243" i="1"/>
  <c r="J2965" i="1"/>
  <c r="BL1243" i="1"/>
  <c r="BK1243" i="1"/>
  <c r="DG1242" i="1"/>
  <c r="M2966" i="1"/>
  <c r="L2966" i="1"/>
  <c r="DA1242" i="1"/>
  <c r="CY1242" i="1"/>
  <c r="CX1242" i="1"/>
  <c r="J2966" i="1"/>
  <c r="BL1242" i="1"/>
  <c r="BK1242" i="1"/>
  <c r="DG1241" i="1"/>
  <c r="M2967" i="1"/>
  <c r="L2967" i="1"/>
  <c r="DA1241" i="1"/>
  <c r="CY1241" i="1"/>
  <c r="CX1241" i="1"/>
  <c r="J2967" i="1"/>
  <c r="BL1241" i="1"/>
  <c r="BK1241" i="1"/>
  <c r="DG1240" i="1"/>
  <c r="M2968" i="1"/>
  <c r="L2968" i="1"/>
  <c r="DA1240" i="1"/>
  <c r="CY1240" i="1"/>
  <c r="CX1240" i="1"/>
  <c r="J2968" i="1"/>
  <c r="BL1240" i="1"/>
  <c r="BK1240" i="1"/>
  <c r="DG1239" i="1"/>
  <c r="M2969" i="1"/>
  <c r="L2969" i="1"/>
  <c r="DA1239" i="1"/>
  <c r="CY1239" i="1"/>
  <c r="CX1239" i="1"/>
  <c r="J2969" i="1"/>
  <c r="BL1239" i="1"/>
  <c r="BK1239" i="1"/>
  <c r="DG1238" i="1"/>
  <c r="M2312" i="1"/>
  <c r="L2312" i="1"/>
  <c r="DA1238" i="1"/>
  <c r="CY1238" i="1"/>
  <c r="CX1238" i="1"/>
  <c r="J2312" i="1"/>
  <c r="BL1238" i="1"/>
  <c r="BK1238" i="1"/>
  <c r="DG1237" i="1"/>
  <c r="M2971" i="1"/>
  <c r="L2971" i="1"/>
  <c r="DA1237" i="1"/>
  <c r="CY1237" i="1"/>
  <c r="CX1237" i="1"/>
  <c r="J2971" i="1"/>
  <c r="BL1237" i="1"/>
  <c r="BK1237" i="1"/>
  <c r="DG1236" i="1"/>
  <c r="M2972" i="1"/>
  <c r="L2972" i="1"/>
  <c r="DA1236" i="1"/>
  <c r="CY1236" i="1"/>
  <c r="CX1236" i="1"/>
  <c r="J2972" i="1"/>
  <c r="BL1236" i="1"/>
  <c r="BK1236" i="1"/>
  <c r="DG1235" i="1"/>
  <c r="M2973" i="1"/>
  <c r="L2973" i="1"/>
  <c r="DA1235" i="1"/>
  <c r="CY1235" i="1"/>
  <c r="CX1235" i="1"/>
  <c r="J2973" i="1"/>
  <c r="BL1235" i="1"/>
  <c r="BK1235" i="1"/>
  <c r="DG1234" i="1"/>
  <c r="M2974" i="1"/>
  <c r="L2974" i="1"/>
  <c r="DA1234" i="1"/>
  <c r="CY1234" i="1"/>
  <c r="CX1234" i="1"/>
  <c r="J2974" i="1"/>
  <c r="BL1234" i="1"/>
  <c r="BK1234" i="1"/>
  <c r="DG1233" i="1"/>
  <c r="M2975" i="1"/>
  <c r="L2975" i="1"/>
  <c r="DA1233" i="1"/>
  <c r="CY1233" i="1"/>
  <c r="CX1233" i="1"/>
  <c r="J2975" i="1"/>
  <c r="BL1233" i="1"/>
  <c r="BK1233" i="1"/>
  <c r="DG1232" i="1"/>
  <c r="M2976" i="1"/>
  <c r="L2976" i="1"/>
  <c r="DA1232" i="1"/>
  <c r="CY1232" i="1"/>
  <c r="CX1232" i="1"/>
  <c r="J2976" i="1"/>
  <c r="BL1232" i="1"/>
  <c r="BK1232" i="1"/>
  <c r="DG1231" i="1"/>
  <c r="M2977" i="1"/>
  <c r="L2977" i="1"/>
  <c r="DA1231" i="1"/>
  <c r="CY1231" i="1"/>
  <c r="CX1231" i="1"/>
  <c r="J2977" i="1"/>
  <c r="BL1231" i="1"/>
  <c r="BK1231" i="1"/>
  <c r="DG1230" i="1"/>
  <c r="M2978" i="1"/>
  <c r="L2978" i="1"/>
  <c r="DA1230" i="1"/>
  <c r="CY1230" i="1"/>
  <c r="CX1230" i="1"/>
  <c r="J2978" i="1"/>
  <c r="BL1230" i="1"/>
  <c r="BK1230" i="1"/>
  <c r="DG1229" i="1"/>
  <c r="M2979" i="1"/>
  <c r="L2979" i="1"/>
  <c r="DA1229" i="1"/>
  <c r="CY1229" i="1"/>
  <c r="CX1229" i="1"/>
  <c r="J2979" i="1"/>
  <c r="BL1229" i="1"/>
  <c r="BK1229" i="1"/>
  <c r="DG1228" i="1"/>
  <c r="M2980" i="1"/>
  <c r="L2980" i="1"/>
  <c r="DA1228" i="1"/>
  <c r="CY1228" i="1"/>
  <c r="CX1228" i="1"/>
  <c r="J2980" i="1"/>
  <c r="BL1228" i="1"/>
  <c r="BK1228" i="1"/>
  <c r="DG1227" i="1"/>
  <c r="M2981" i="1"/>
  <c r="L2981" i="1"/>
  <c r="DA1227" i="1"/>
  <c r="CY1227" i="1"/>
  <c r="CX1227" i="1"/>
  <c r="J2981" i="1"/>
  <c r="BL1227" i="1"/>
  <c r="BK1227" i="1"/>
  <c r="DG1226" i="1"/>
  <c r="M2982" i="1"/>
  <c r="L2982" i="1"/>
  <c r="DA1226" i="1"/>
  <c r="CY1226" i="1"/>
  <c r="CX1226" i="1"/>
  <c r="J2982" i="1"/>
  <c r="BL1226" i="1"/>
  <c r="BK1226" i="1"/>
  <c r="DG1225" i="1"/>
  <c r="M2983" i="1"/>
  <c r="L2983" i="1"/>
  <c r="DA1225" i="1"/>
  <c r="CY1225" i="1"/>
  <c r="CX1225" i="1"/>
  <c r="J2983" i="1"/>
  <c r="BL1225" i="1"/>
  <c r="BK1225" i="1"/>
  <c r="DG1224" i="1"/>
  <c r="M2984" i="1"/>
  <c r="L2984" i="1"/>
  <c r="DA1224" i="1"/>
  <c r="CY1224" i="1"/>
  <c r="CX1224" i="1"/>
  <c r="J2984" i="1"/>
  <c r="BL1224" i="1"/>
  <c r="BK1224" i="1"/>
  <c r="DG1223" i="1"/>
  <c r="M2985" i="1"/>
  <c r="L2985" i="1"/>
  <c r="DA1223" i="1"/>
  <c r="CY1223" i="1"/>
  <c r="CX1223" i="1"/>
  <c r="J2985" i="1"/>
  <c r="BL1223" i="1"/>
  <c r="BK1223" i="1"/>
  <c r="DG1222" i="1"/>
  <c r="M2986" i="1"/>
  <c r="L2986" i="1"/>
  <c r="DA1222" i="1"/>
  <c r="CY1222" i="1"/>
  <c r="CX1222" i="1"/>
  <c r="J2986" i="1"/>
  <c r="BL1222" i="1"/>
  <c r="BK1222" i="1"/>
  <c r="DG1221" i="1"/>
  <c r="M2987" i="1"/>
  <c r="L2987" i="1"/>
  <c r="DA1221" i="1"/>
  <c r="CY1221" i="1"/>
  <c r="CX1221" i="1"/>
  <c r="J2987" i="1"/>
  <c r="BL1221" i="1"/>
  <c r="BK1221" i="1"/>
  <c r="DG1220" i="1"/>
  <c r="M2988" i="1"/>
  <c r="L2988" i="1"/>
  <c r="DA1220" i="1"/>
  <c r="CY1220" i="1"/>
  <c r="CX1220" i="1"/>
  <c r="J2988" i="1"/>
  <c r="BL1220" i="1"/>
  <c r="BK1220" i="1"/>
  <c r="DG1219" i="1"/>
  <c r="M2989" i="1"/>
  <c r="L2989" i="1"/>
  <c r="DA1219" i="1"/>
  <c r="CY1219" i="1"/>
  <c r="CX1219" i="1"/>
  <c r="J2989" i="1"/>
  <c r="BL1219" i="1"/>
  <c r="BK1219" i="1"/>
  <c r="DG1218" i="1"/>
  <c r="M2990" i="1"/>
  <c r="L2990" i="1"/>
  <c r="DA1218" i="1"/>
  <c r="CY1218" i="1"/>
  <c r="CX1218" i="1"/>
  <c r="J2990" i="1"/>
  <c r="BL1218" i="1"/>
  <c r="BK1218" i="1"/>
  <c r="DG1217" i="1"/>
  <c r="M2991" i="1"/>
  <c r="L2991" i="1"/>
  <c r="DA1217" i="1"/>
  <c r="CY1217" i="1"/>
  <c r="CX1217" i="1"/>
  <c r="J2991" i="1"/>
  <c r="BL1217" i="1"/>
  <c r="BK1217" i="1"/>
  <c r="DG1216" i="1"/>
  <c r="M2992" i="1"/>
  <c r="L2992" i="1"/>
  <c r="DA1216" i="1"/>
  <c r="CY1216" i="1"/>
  <c r="CX1216" i="1"/>
  <c r="J2992" i="1"/>
  <c r="BL1216" i="1"/>
  <c r="BK1216" i="1"/>
  <c r="DG1215" i="1"/>
  <c r="M2993" i="1"/>
  <c r="L2993" i="1"/>
  <c r="DA1215" i="1"/>
  <c r="CY1215" i="1"/>
  <c r="CX1215" i="1"/>
  <c r="J2993" i="1"/>
  <c r="BL1215" i="1"/>
  <c r="BK1215" i="1"/>
  <c r="DG1214" i="1"/>
  <c r="M2994" i="1"/>
  <c r="L2994" i="1"/>
  <c r="DA1214" i="1"/>
  <c r="CY1214" i="1"/>
  <c r="CX1214" i="1"/>
  <c r="J2994" i="1"/>
  <c r="BL1214" i="1"/>
  <c r="BK1214" i="1"/>
  <c r="DG1213" i="1"/>
  <c r="M2995" i="1"/>
  <c r="L2995" i="1"/>
  <c r="DA1213" i="1"/>
  <c r="CY1213" i="1"/>
  <c r="CX1213" i="1"/>
  <c r="J2995" i="1"/>
  <c r="BL1213" i="1"/>
  <c r="BK1213" i="1"/>
  <c r="DG1212" i="1"/>
  <c r="M2996" i="1"/>
  <c r="L2996" i="1"/>
  <c r="DA1212" i="1"/>
  <c r="CY1212" i="1"/>
  <c r="CX1212" i="1"/>
  <c r="J2996" i="1"/>
  <c r="BL1212" i="1"/>
  <c r="BK1212" i="1"/>
  <c r="DG1211" i="1"/>
  <c r="M2997" i="1"/>
  <c r="L2997" i="1"/>
  <c r="DA1211" i="1"/>
  <c r="CY1211" i="1"/>
  <c r="CX1211" i="1"/>
  <c r="J2997" i="1"/>
  <c r="BL1211" i="1"/>
  <c r="BK1211" i="1"/>
  <c r="DG1210" i="1"/>
  <c r="M2998" i="1"/>
  <c r="L2998" i="1"/>
  <c r="DA1210" i="1"/>
  <c r="CY1210" i="1"/>
  <c r="CX1210" i="1"/>
  <c r="J2998" i="1"/>
  <c r="BL1210" i="1"/>
  <c r="BK1210" i="1"/>
  <c r="DG1209" i="1"/>
  <c r="M2999" i="1"/>
  <c r="L2999" i="1"/>
  <c r="DA1209" i="1"/>
  <c r="CY1209" i="1"/>
  <c r="CX1209" i="1"/>
  <c r="J2999" i="1"/>
  <c r="BL1209" i="1"/>
  <c r="BK1209" i="1"/>
  <c r="DG1208" i="1"/>
  <c r="M3000" i="1"/>
  <c r="L3000" i="1"/>
  <c r="DA1208" i="1"/>
  <c r="CY1208" i="1"/>
  <c r="CX1208" i="1"/>
  <c r="J3000" i="1"/>
  <c r="BL1208" i="1"/>
  <c r="BK1208" i="1"/>
  <c r="DG1207" i="1"/>
  <c r="M3001" i="1"/>
  <c r="L3001" i="1"/>
  <c r="DA1207" i="1"/>
  <c r="CY1207" i="1"/>
  <c r="CX1207" i="1"/>
  <c r="J3001" i="1"/>
  <c r="BL1207" i="1"/>
  <c r="BK1207" i="1"/>
  <c r="DG1206" i="1"/>
  <c r="M3002" i="1"/>
  <c r="L3002" i="1"/>
  <c r="DA1206" i="1"/>
  <c r="CY1206" i="1"/>
  <c r="CX1206" i="1"/>
  <c r="J3002" i="1"/>
  <c r="BL1206" i="1"/>
  <c r="BK1206" i="1"/>
  <c r="DG1205" i="1"/>
  <c r="M3003" i="1"/>
  <c r="L3003" i="1"/>
  <c r="DA1205" i="1"/>
  <c r="CY1205" i="1"/>
  <c r="CX1205" i="1"/>
  <c r="J3003" i="1"/>
  <c r="BL1205" i="1"/>
  <c r="BK1205" i="1"/>
  <c r="DG1204" i="1"/>
  <c r="M3004" i="1"/>
  <c r="L3004" i="1"/>
  <c r="DA1204" i="1"/>
  <c r="CY1204" i="1"/>
  <c r="CX1204" i="1"/>
  <c r="J3004" i="1"/>
  <c r="BL1204" i="1"/>
  <c r="BK1204" i="1"/>
  <c r="DG1203" i="1"/>
  <c r="M3005" i="1"/>
  <c r="L3005" i="1"/>
  <c r="DA1203" i="1"/>
  <c r="CY1203" i="1"/>
  <c r="CX1203" i="1"/>
  <c r="J3005" i="1"/>
  <c r="BL1203" i="1"/>
  <c r="BK1203" i="1"/>
  <c r="DG1202" i="1"/>
  <c r="M3006" i="1"/>
  <c r="L3006" i="1"/>
  <c r="DA1202" i="1"/>
  <c r="CY1202" i="1"/>
  <c r="CX1202" i="1"/>
  <c r="J3006" i="1"/>
  <c r="BL1202" i="1"/>
  <c r="BK1202" i="1"/>
  <c r="DG1201" i="1"/>
  <c r="M3007" i="1"/>
  <c r="L3007" i="1"/>
  <c r="DA1201" i="1"/>
  <c r="CY1201" i="1"/>
  <c r="CX1201" i="1"/>
  <c r="J3007" i="1"/>
  <c r="BL1201" i="1"/>
  <c r="BK1201" i="1"/>
  <c r="DG1200" i="1"/>
  <c r="M3008" i="1"/>
  <c r="L3008" i="1"/>
  <c r="DA1200" i="1"/>
  <c r="CY1200" i="1"/>
  <c r="CX1200" i="1"/>
  <c r="J3008" i="1"/>
  <c r="BL1200" i="1"/>
  <c r="BK1200" i="1"/>
  <c r="DG1199" i="1"/>
  <c r="M3009" i="1"/>
  <c r="L3009" i="1"/>
  <c r="DA1199" i="1"/>
  <c r="CY1199" i="1"/>
  <c r="CX1199" i="1"/>
  <c r="J3009" i="1"/>
  <c r="BL1199" i="1"/>
  <c r="BK1199" i="1"/>
  <c r="DG1198" i="1"/>
  <c r="M3010" i="1"/>
  <c r="L3010" i="1"/>
  <c r="DA1198" i="1"/>
  <c r="CY1198" i="1"/>
  <c r="CX1198" i="1"/>
  <c r="J3010" i="1"/>
  <c r="BL1198" i="1"/>
  <c r="BK1198" i="1"/>
  <c r="DG1197" i="1"/>
  <c r="M3011" i="1"/>
  <c r="L3011" i="1"/>
  <c r="DA1197" i="1"/>
  <c r="CY1197" i="1"/>
  <c r="CX1197" i="1"/>
  <c r="J3011" i="1"/>
  <c r="BL1197" i="1"/>
  <c r="BK1197" i="1"/>
  <c r="DG1196" i="1"/>
  <c r="M3012" i="1"/>
  <c r="L3012" i="1"/>
  <c r="DA1196" i="1"/>
  <c r="CY1196" i="1"/>
  <c r="CX1196" i="1"/>
  <c r="J3012" i="1"/>
  <c r="BL1196" i="1"/>
  <c r="BK1196" i="1"/>
  <c r="DG1195" i="1"/>
  <c r="M3013" i="1"/>
  <c r="L3013" i="1"/>
  <c r="DA1195" i="1"/>
  <c r="CY1195" i="1"/>
  <c r="CX1195" i="1"/>
  <c r="J3013" i="1"/>
  <c r="BL1195" i="1"/>
  <c r="BK1195" i="1"/>
  <c r="DG1194" i="1"/>
  <c r="M3014" i="1"/>
  <c r="L3014" i="1"/>
  <c r="DA1194" i="1"/>
  <c r="CY1194" i="1"/>
  <c r="CX1194" i="1"/>
  <c r="J3014" i="1"/>
  <c r="BL1194" i="1"/>
  <c r="BK1194" i="1"/>
  <c r="DG1193" i="1"/>
  <c r="M3015" i="1"/>
  <c r="L3015" i="1"/>
  <c r="DA1193" i="1"/>
  <c r="CY1193" i="1"/>
  <c r="CX1193" i="1"/>
  <c r="J3015" i="1"/>
  <c r="BL1193" i="1"/>
  <c r="BK1193" i="1"/>
  <c r="DG1192" i="1"/>
  <c r="M3016" i="1"/>
  <c r="L3016" i="1"/>
  <c r="DA1192" i="1"/>
  <c r="CY1192" i="1"/>
  <c r="CX1192" i="1"/>
  <c r="J3016" i="1"/>
  <c r="BL1192" i="1"/>
  <c r="BK1192" i="1"/>
  <c r="DG1191" i="1"/>
  <c r="M3017" i="1"/>
  <c r="L3017" i="1"/>
  <c r="DA1191" i="1"/>
  <c r="CY1191" i="1"/>
  <c r="CX1191" i="1"/>
  <c r="J3017" i="1"/>
  <c r="BL1191" i="1"/>
  <c r="BK1191" i="1"/>
  <c r="DG1190" i="1"/>
  <c r="M3018" i="1"/>
  <c r="L3018" i="1"/>
  <c r="DA1190" i="1"/>
  <c r="CY1190" i="1"/>
  <c r="CX1190" i="1"/>
  <c r="J3018" i="1"/>
  <c r="BL1190" i="1"/>
  <c r="BK1190" i="1"/>
  <c r="DG1189" i="1"/>
  <c r="M3019" i="1"/>
  <c r="L3019" i="1"/>
  <c r="DA1189" i="1"/>
  <c r="CY1189" i="1"/>
  <c r="CX1189" i="1"/>
  <c r="J3019" i="1"/>
  <c r="BL1189" i="1"/>
  <c r="BK1189" i="1"/>
  <c r="DG1188" i="1"/>
  <c r="M3020" i="1"/>
  <c r="L3020" i="1"/>
  <c r="DA1188" i="1"/>
  <c r="CY1188" i="1"/>
  <c r="CX1188" i="1"/>
  <c r="J3020" i="1"/>
  <c r="BL1188" i="1"/>
  <c r="BK1188" i="1"/>
  <c r="DG1187" i="1"/>
  <c r="M3021" i="1"/>
  <c r="L3021" i="1"/>
  <c r="DA1187" i="1"/>
  <c r="CY1187" i="1"/>
  <c r="CX1187" i="1"/>
  <c r="J3021" i="1"/>
  <c r="BL1187" i="1"/>
  <c r="BK1187" i="1"/>
  <c r="DG1186" i="1"/>
  <c r="M3022" i="1"/>
  <c r="L3022" i="1"/>
  <c r="DA1186" i="1"/>
  <c r="CY1186" i="1"/>
  <c r="CX1186" i="1"/>
  <c r="J3022" i="1"/>
  <c r="BL1186" i="1"/>
  <c r="BK1186" i="1"/>
  <c r="DG1185" i="1"/>
  <c r="M3023" i="1"/>
  <c r="L3023" i="1"/>
  <c r="DA1185" i="1"/>
  <c r="CY1185" i="1"/>
  <c r="CX1185" i="1"/>
  <c r="J3023" i="1"/>
  <c r="BL1185" i="1"/>
  <c r="BK1185" i="1"/>
  <c r="DG1184" i="1"/>
  <c r="M3024" i="1"/>
  <c r="L3024" i="1"/>
  <c r="DA1184" i="1"/>
  <c r="CY1184" i="1"/>
  <c r="CX1184" i="1"/>
  <c r="J3024" i="1"/>
  <c r="BL1184" i="1"/>
  <c r="BK1184" i="1"/>
  <c r="DG1183" i="1"/>
  <c r="M3025" i="1"/>
  <c r="L3025" i="1"/>
  <c r="DA1183" i="1"/>
  <c r="CY1183" i="1"/>
  <c r="CX1183" i="1"/>
  <c r="J3025" i="1"/>
  <c r="BL1183" i="1"/>
  <c r="BK1183" i="1"/>
  <c r="DG1182" i="1"/>
  <c r="M3026" i="1"/>
  <c r="L3026" i="1"/>
  <c r="DA1182" i="1"/>
  <c r="CY1182" i="1"/>
  <c r="CX1182" i="1"/>
  <c r="J3026" i="1"/>
  <c r="BL1182" i="1"/>
  <c r="BK1182" i="1"/>
  <c r="DG1181" i="1"/>
  <c r="M3027" i="1"/>
  <c r="L3027" i="1"/>
  <c r="DA1181" i="1"/>
  <c r="CY1181" i="1"/>
  <c r="CX1181" i="1"/>
  <c r="J3027" i="1"/>
  <c r="BL1181" i="1"/>
  <c r="BK1181" i="1"/>
  <c r="DG1180" i="1"/>
  <c r="M3028" i="1"/>
  <c r="L3028" i="1"/>
  <c r="DA1180" i="1"/>
  <c r="CY1180" i="1"/>
  <c r="CX1180" i="1"/>
  <c r="J3028" i="1"/>
  <c r="BL1180" i="1"/>
  <c r="BK1180" i="1"/>
  <c r="DG1179" i="1"/>
  <c r="M3029" i="1"/>
  <c r="L3029" i="1"/>
  <c r="DA1179" i="1"/>
  <c r="CY1179" i="1"/>
  <c r="CX1179" i="1"/>
  <c r="J3029" i="1"/>
  <c r="BL1179" i="1"/>
  <c r="BK1179" i="1"/>
  <c r="DG1178" i="1"/>
  <c r="M3030" i="1"/>
  <c r="L3030" i="1"/>
  <c r="DA1178" i="1"/>
  <c r="CY1178" i="1"/>
  <c r="CX1178" i="1"/>
  <c r="J3030" i="1"/>
  <c r="BL1178" i="1"/>
  <c r="BK1178" i="1"/>
  <c r="DG1177" i="1"/>
  <c r="M3031" i="1"/>
  <c r="L3031" i="1"/>
  <c r="DA1177" i="1"/>
  <c r="CY1177" i="1"/>
  <c r="CX1177" i="1"/>
  <c r="J3031" i="1"/>
  <c r="BL1177" i="1"/>
  <c r="BK1177" i="1"/>
  <c r="DG1176" i="1"/>
  <c r="M3032" i="1"/>
  <c r="L3032" i="1"/>
  <c r="DA1176" i="1"/>
  <c r="CY1176" i="1"/>
  <c r="CX1176" i="1"/>
  <c r="J3032" i="1"/>
  <c r="BL1176" i="1"/>
  <c r="BK1176" i="1"/>
  <c r="DG1175" i="1"/>
  <c r="M3033" i="1"/>
  <c r="L3033" i="1"/>
  <c r="DA1175" i="1"/>
  <c r="CY1175" i="1"/>
  <c r="CX1175" i="1"/>
  <c r="J3033" i="1"/>
  <c r="BL1175" i="1"/>
  <c r="BK1175" i="1"/>
  <c r="DG1174" i="1"/>
  <c r="M2311" i="1"/>
  <c r="L2311" i="1"/>
  <c r="DA1174" i="1"/>
  <c r="CY1174" i="1"/>
  <c r="CX1174" i="1"/>
  <c r="J2311" i="1"/>
  <c r="BL1174" i="1"/>
  <c r="BK1174" i="1"/>
  <c r="DG1173" i="1"/>
  <c r="M3035" i="1"/>
  <c r="L3035" i="1"/>
  <c r="DA1173" i="1"/>
  <c r="CY1173" i="1"/>
  <c r="CX1173" i="1"/>
  <c r="J3035" i="1"/>
  <c r="BL1173" i="1"/>
  <c r="BK1173" i="1"/>
  <c r="DG1172" i="1"/>
  <c r="M3036" i="1"/>
  <c r="L3036" i="1"/>
  <c r="DA1172" i="1"/>
  <c r="CY1172" i="1"/>
  <c r="CX1172" i="1"/>
  <c r="J3036" i="1"/>
  <c r="BL1172" i="1"/>
  <c r="BK1172" i="1"/>
  <c r="DG1171" i="1"/>
  <c r="M3037" i="1"/>
  <c r="L3037" i="1"/>
  <c r="DA1171" i="1"/>
  <c r="CY1171" i="1"/>
  <c r="CX1171" i="1"/>
  <c r="J3037" i="1"/>
  <c r="BL1171" i="1"/>
  <c r="BK1171" i="1"/>
  <c r="DG1170" i="1"/>
  <c r="M3038" i="1"/>
  <c r="L3038" i="1"/>
  <c r="DA1170" i="1"/>
  <c r="CY1170" i="1"/>
  <c r="CX1170" i="1"/>
  <c r="J3038" i="1"/>
  <c r="BL1170" i="1"/>
  <c r="BK1170" i="1"/>
  <c r="DG1169" i="1"/>
  <c r="M3039" i="1"/>
  <c r="L3039" i="1"/>
  <c r="DA1169" i="1"/>
  <c r="CY1169" i="1"/>
  <c r="CX1169" i="1"/>
  <c r="J3039" i="1"/>
  <c r="BL1169" i="1"/>
  <c r="BK1169" i="1"/>
  <c r="DG1168" i="1"/>
  <c r="M3040" i="1"/>
  <c r="L3040" i="1"/>
  <c r="DA1168" i="1"/>
  <c r="CY1168" i="1"/>
  <c r="CX1168" i="1"/>
  <c r="J3040" i="1"/>
  <c r="BL1168" i="1"/>
  <c r="BK1168" i="1"/>
  <c r="DG1167" i="1"/>
  <c r="M3041" i="1"/>
  <c r="L3041" i="1"/>
  <c r="DA1167" i="1"/>
  <c r="CY1167" i="1"/>
  <c r="CX1167" i="1"/>
  <c r="J3041" i="1"/>
  <c r="BL1167" i="1"/>
  <c r="BK1167" i="1"/>
  <c r="DG1166" i="1"/>
  <c r="M3042" i="1"/>
  <c r="L3042" i="1"/>
  <c r="DA1166" i="1"/>
  <c r="CY1166" i="1"/>
  <c r="CX1166" i="1"/>
  <c r="J3042" i="1"/>
  <c r="BL1166" i="1"/>
  <c r="BK1166" i="1"/>
  <c r="DG1165" i="1"/>
  <c r="M3043" i="1"/>
  <c r="L3043" i="1"/>
  <c r="DA1165" i="1"/>
  <c r="CY1165" i="1"/>
  <c r="CX1165" i="1"/>
  <c r="J3043" i="1"/>
  <c r="BL1165" i="1"/>
  <c r="BK1165" i="1"/>
  <c r="DG1164" i="1"/>
  <c r="M3044" i="1"/>
  <c r="L3044" i="1"/>
  <c r="DA1164" i="1"/>
  <c r="CY1164" i="1"/>
  <c r="CX1164" i="1"/>
  <c r="J3044" i="1"/>
  <c r="BL1164" i="1"/>
  <c r="BK1164" i="1"/>
  <c r="DG1163" i="1"/>
  <c r="M3045" i="1"/>
  <c r="L3045" i="1"/>
  <c r="DA1163" i="1"/>
  <c r="CY1163" i="1"/>
  <c r="CX1163" i="1"/>
  <c r="J3045" i="1"/>
  <c r="BL1163" i="1"/>
  <c r="BK1163" i="1"/>
  <c r="DG1162" i="1"/>
  <c r="M3046" i="1"/>
  <c r="L3046" i="1"/>
  <c r="DA1162" i="1"/>
  <c r="CY1162" i="1"/>
  <c r="CX1162" i="1"/>
  <c r="J3046" i="1"/>
  <c r="BL1162" i="1"/>
  <c r="BK1162" i="1"/>
  <c r="DG1161" i="1"/>
  <c r="M3047" i="1"/>
  <c r="L3047" i="1"/>
  <c r="DA1161" i="1"/>
  <c r="CY1161" i="1"/>
  <c r="CX1161" i="1"/>
  <c r="J3047" i="1"/>
  <c r="BL1161" i="1"/>
  <c r="BK1161" i="1"/>
  <c r="DG1160" i="1"/>
  <c r="M3048" i="1"/>
  <c r="L3048" i="1"/>
  <c r="DA1160" i="1"/>
  <c r="CY1160" i="1"/>
  <c r="CX1160" i="1"/>
  <c r="J3048" i="1"/>
  <c r="BL1160" i="1"/>
  <c r="BK1160" i="1"/>
  <c r="DG1159" i="1"/>
  <c r="M3049" i="1"/>
  <c r="L3049" i="1"/>
  <c r="DA1159" i="1"/>
  <c r="CY1159" i="1"/>
  <c r="CX1159" i="1"/>
  <c r="J3049" i="1"/>
  <c r="BL1159" i="1"/>
  <c r="BK1159" i="1"/>
  <c r="DG1158" i="1"/>
  <c r="M3050" i="1"/>
  <c r="L3050" i="1"/>
  <c r="DA1158" i="1"/>
  <c r="CY1158" i="1"/>
  <c r="CX1158" i="1"/>
  <c r="J3050" i="1"/>
  <c r="BL1158" i="1"/>
  <c r="BK1158" i="1"/>
  <c r="DG1157" i="1"/>
  <c r="M3051" i="1"/>
  <c r="L3051" i="1"/>
  <c r="DA1157" i="1"/>
  <c r="CY1157" i="1"/>
  <c r="CX1157" i="1"/>
  <c r="J3051" i="1"/>
  <c r="BL1157" i="1"/>
  <c r="BK1157" i="1"/>
  <c r="DG1156" i="1"/>
  <c r="M3052" i="1"/>
  <c r="L3052" i="1"/>
  <c r="DA1156" i="1"/>
  <c r="CY1156" i="1"/>
  <c r="CX1156" i="1"/>
  <c r="J3052" i="1"/>
  <c r="BL1156" i="1"/>
  <c r="BK1156" i="1"/>
  <c r="DG1155" i="1"/>
  <c r="M3053" i="1"/>
  <c r="L3053" i="1"/>
  <c r="DA1155" i="1"/>
  <c r="CY1155" i="1"/>
  <c r="CX1155" i="1"/>
  <c r="J3053" i="1"/>
  <c r="BL1155" i="1"/>
  <c r="BK1155" i="1"/>
  <c r="DG1154" i="1"/>
  <c r="M3054" i="1"/>
  <c r="L3054" i="1"/>
  <c r="DA1154" i="1"/>
  <c r="CY1154" i="1"/>
  <c r="CX1154" i="1"/>
  <c r="J3054" i="1"/>
  <c r="BL1154" i="1"/>
  <c r="BK1154" i="1"/>
  <c r="DG1153" i="1"/>
  <c r="M3055" i="1"/>
  <c r="L3055" i="1"/>
  <c r="DA1153" i="1"/>
  <c r="CY1153" i="1"/>
  <c r="CX1153" i="1"/>
  <c r="J3055" i="1"/>
  <c r="BL1153" i="1"/>
  <c r="BK1153" i="1"/>
  <c r="DG1152" i="1"/>
  <c r="M3056" i="1"/>
  <c r="L3056" i="1"/>
  <c r="DA1152" i="1"/>
  <c r="CY1152" i="1"/>
  <c r="CX1152" i="1"/>
  <c r="J3056" i="1"/>
  <c r="BL1152" i="1"/>
  <c r="BK1152" i="1"/>
  <c r="DG1151" i="1"/>
  <c r="M3057" i="1"/>
  <c r="L3057" i="1"/>
  <c r="DA1151" i="1"/>
  <c r="CY1151" i="1"/>
  <c r="CX1151" i="1"/>
  <c r="J3057" i="1"/>
  <c r="BL1151" i="1"/>
  <c r="BK1151" i="1"/>
  <c r="DG1150" i="1"/>
  <c r="M3058" i="1"/>
  <c r="L3058" i="1"/>
  <c r="DA1150" i="1"/>
  <c r="CY1150" i="1"/>
  <c r="CX1150" i="1"/>
  <c r="J3058" i="1"/>
  <c r="BL1150" i="1"/>
  <c r="BK1150" i="1"/>
  <c r="DG1149" i="1"/>
  <c r="M3059" i="1"/>
  <c r="L3059" i="1"/>
  <c r="DA1149" i="1"/>
  <c r="CY1149" i="1"/>
  <c r="CX1149" i="1"/>
  <c r="J3059" i="1"/>
  <c r="BL1149" i="1"/>
  <c r="BK1149" i="1"/>
  <c r="DG1148" i="1"/>
  <c r="M3060" i="1"/>
  <c r="L3060" i="1"/>
  <c r="DA1148" i="1"/>
  <c r="CY1148" i="1"/>
  <c r="CX1148" i="1"/>
  <c r="J3060" i="1"/>
  <c r="BL1148" i="1"/>
  <c r="BK1148" i="1"/>
  <c r="DG1147" i="1"/>
  <c r="M3061" i="1"/>
  <c r="L3061" i="1"/>
  <c r="DA1147" i="1"/>
  <c r="CY1147" i="1"/>
  <c r="CX1147" i="1"/>
  <c r="J3061" i="1"/>
  <c r="BL1147" i="1"/>
  <c r="BK1147" i="1"/>
  <c r="DG1146" i="1"/>
  <c r="M3062" i="1"/>
  <c r="L3062" i="1"/>
  <c r="DA1146" i="1"/>
  <c r="CY1146" i="1"/>
  <c r="CX1146" i="1"/>
  <c r="J3062" i="1"/>
  <c r="BL1146" i="1"/>
  <c r="BK1146" i="1"/>
  <c r="DG1145" i="1"/>
  <c r="M3063" i="1"/>
  <c r="L3063" i="1"/>
  <c r="DA1145" i="1"/>
  <c r="CY1145" i="1"/>
  <c r="CX1145" i="1"/>
  <c r="J3063" i="1"/>
  <c r="BL1145" i="1"/>
  <c r="BK1145" i="1"/>
  <c r="DG1144" i="1"/>
  <c r="M3064" i="1"/>
  <c r="L3064" i="1"/>
  <c r="DA1144" i="1"/>
  <c r="CY1144" i="1"/>
  <c r="CX1144" i="1"/>
  <c r="J3064" i="1"/>
  <c r="BL1144" i="1"/>
  <c r="BK1144" i="1"/>
  <c r="DG1143" i="1"/>
  <c r="M3065" i="1"/>
  <c r="L3065" i="1"/>
  <c r="DA1143" i="1"/>
  <c r="CY1143" i="1"/>
  <c r="CX1143" i="1"/>
  <c r="J3065" i="1"/>
  <c r="BL1143" i="1"/>
  <c r="BK1143" i="1"/>
  <c r="DG1142" i="1"/>
  <c r="M1127" i="1"/>
  <c r="L1127" i="1"/>
  <c r="DA1142" i="1"/>
  <c r="CY1142" i="1"/>
  <c r="CX1142" i="1"/>
  <c r="J1127" i="1"/>
  <c r="BL1142" i="1"/>
  <c r="BK1142" i="1"/>
  <c r="DG1141" i="1"/>
  <c r="M3067" i="1"/>
  <c r="L3067" i="1"/>
  <c r="DA1141" i="1"/>
  <c r="CY1141" i="1"/>
  <c r="CX1141" i="1"/>
  <c r="J3067" i="1"/>
  <c r="BL1141" i="1"/>
  <c r="BK1141" i="1"/>
  <c r="DG1140" i="1"/>
  <c r="M3068" i="1"/>
  <c r="L3068" i="1"/>
  <c r="DA1140" i="1"/>
  <c r="CY1140" i="1"/>
  <c r="CX1140" i="1"/>
  <c r="J3068" i="1"/>
  <c r="BL1140" i="1"/>
  <c r="BK1140" i="1"/>
  <c r="DG1139" i="1"/>
  <c r="M3069" i="1"/>
  <c r="L3069" i="1"/>
  <c r="DA1139" i="1"/>
  <c r="CY1139" i="1"/>
  <c r="CX1139" i="1"/>
  <c r="J3069" i="1"/>
  <c r="BL1139" i="1"/>
  <c r="BK1139" i="1"/>
  <c r="DG1138" i="1"/>
  <c r="M2310" i="1"/>
  <c r="L2310" i="1"/>
  <c r="DA1138" i="1"/>
  <c r="CY1138" i="1"/>
  <c r="CX1138" i="1"/>
  <c r="J2310" i="1"/>
  <c r="BL1138" i="1"/>
  <c r="BK1138" i="1"/>
  <c r="DG1137" i="1"/>
  <c r="M3071" i="1"/>
  <c r="L3071" i="1"/>
  <c r="DA1137" i="1"/>
  <c r="CY1137" i="1"/>
  <c r="CX1137" i="1"/>
  <c r="J3071" i="1"/>
  <c r="BL1137" i="1"/>
  <c r="BK1137" i="1"/>
  <c r="DG1136" i="1"/>
  <c r="M3072" i="1"/>
  <c r="L3072" i="1"/>
  <c r="DA1136" i="1"/>
  <c r="CY1136" i="1"/>
  <c r="CX1136" i="1"/>
  <c r="J3072" i="1"/>
  <c r="BL1136" i="1"/>
  <c r="BK1136" i="1"/>
  <c r="DG1135" i="1"/>
  <c r="M3073" i="1"/>
  <c r="L3073" i="1"/>
  <c r="DA1135" i="1"/>
  <c r="CY1135" i="1"/>
  <c r="CX1135" i="1"/>
  <c r="J3073" i="1"/>
  <c r="BL1135" i="1"/>
  <c r="BK1135" i="1"/>
  <c r="DG1134" i="1"/>
  <c r="M2309" i="1"/>
  <c r="L2309" i="1"/>
  <c r="DA1134" i="1"/>
  <c r="CY1134" i="1"/>
  <c r="CX1134" i="1"/>
  <c r="J2309" i="1"/>
  <c r="BL1134" i="1"/>
  <c r="BK1134" i="1"/>
  <c r="DG1133" i="1"/>
  <c r="M3075" i="1"/>
  <c r="L3075" i="1"/>
  <c r="DA1133" i="1"/>
  <c r="CY1133" i="1"/>
  <c r="CX1133" i="1"/>
  <c r="J3075" i="1"/>
  <c r="BL1133" i="1"/>
  <c r="BK1133" i="1"/>
  <c r="DG1132" i="1"/>
  <c r="M3076" i="1"/>
  <c r="L3076" i="1"/>
  <c r="DA1132" i="1"/>
  <c r="CY1132" i="1"/>
  <c r="CX1132" i="1"/>
  <c r="J3076" i="1"/>
  <c r="BL1132" i="1"/>
  <c r="BK1132" i="1"/>
  <c r="DG1131" i="1"/>
  <c r="M3077" i="1"/>
  <c r="L3077" i="1"/>
  <c r="DA1131" i="1"/>
  <c r="CY1131" i="1"/>
  <c r="CX1131" i="1"/>
  <c r="J3077" i="1"/>
  <c r="BL1131" i="1"/>
  <c r="BK1131" i="1"/>
  <c r="DG1130" i="1"/>
  <c r="M3078" i="1"/>
  <c r="L3078" i="1"/>
  <c r="DA1130" i="1"/>
  <c r="CY1130" i="1"/>
  <c r="CX1130" i="1"/>
  <c r="J3078" i="1"/>
  <c r="BL1130" i="1"/>
  <c r="BK1130" i="1"/>
  <c r="DG1129" i="1"/>
  <c r="M3079" i="1"/>
  <c r="L3079" i="1"/>
  <c r="DA1129" i="1"/>
  <c r="CY1129" i="1"/>
  <c r="CX1129" i="1"/>
  <c r="J3079" i="1"/>
  <c r="BL1129" i="1"/>
  <c r="BK1129" i="1"/>
  <c r="DG1128" i="1"/>
  <c r="M3080" i="1"/>
  <c r="L3080" i="1"/>
  <c r="DA1128" i="1"/>
  <c r="CY1128" i="1"/>
  <c r="CX1128" i="1"/>
  <c r="J3080" i="1"/>
  <c r="BL1128" i="1"/>
  <c r="BK1128" i="1"/>
  <c r="DG1127" i="1"/>
  <c r="M3081" i="1"/>
  <c r="L3081" i="1"/>
  <c r="DA1127" i="1"/>
  <c r="CY1127" i="1"/>
  <c r="CX1127" i="1"/>
  <c r="J3081" i="1"/>
  <c r="BL1127" i="1"/>
  <c r="BK1127" i="1"/>
  <c r="DG1126" i="1"/>
  <c r="M3082" i="1"/>
  <c r="L3082" i="1"/>
  <c r="DA1126" i="1"/>
  <c r="CY1126" i="1"/>
  <c r="CX1126" i="1"/>
  <c r="J3082" i="1"/>
  <c r="BL1126" i="1"/>
  <c r="BK1126" i="1"/>
  <c r="DG1125" i="1"/>
  <c r="M3083" i="1"/>
  <c r="L3083" i="1"/>
  <c r="DA1125" i="1"/>
  <c r="CY1125" i="1"/>
  <c r="CX1125" i="1"/>
  <c r="J3083" i="1"/>
  <c r="BL1125" i="1"/>
  <c r="BK1125" i="1"/>
  <c r="DG1124" i="1"/>
  <c r="M3084" i="1"/>
  <c r="L3084" i="1"/>
  <c r="DA1124" i="1"/>
  <c r="CY1124" i="1"/>
  <c r="CX1124" i="1"/>
  <c r="J3084" i="1"/>
  <c r="BL1124" i="1"/>
  <c r="BK1124" i="1"/>
  <c r="DG1123" i="1"/>
  <c r="M3085" i="1"/>
  <c r="L3085" i="1"/>
  <c r="DA1123" i="1"/>
  <c r="CY1123" i="1"/>
  <c r="CX1123" i="1"/>
  <c r="J3085" i="1"/>
  <c r="BL1123" i="1"/>
  <c r="BK1123" i="1"/>
  <c r="DG1122" i="1"/>
  <c r="M3086" i="1"/>
  <c r="L3086" i="1"/>
  <c r="DA1122" i="1"/>
  <c r="CY1122" i="1"/>
  <c r="CX1122" i="1"/>
  <c r="J3086" i="1"/>
  <c r="BL1122" i="1"/>
  <c r="BK1122" i="1"/>
  <c r="DG1121" i="1"/>
  <c r="M3087" i="1"/>
  <c r="L3087" i="1"/>
  <c r="DA1121" i="1"/>
  <c r="CY1121" i="1"/>
  <c r="CX1121" i="1"/>
  <c r="J3087" i="1"/>
  <c r="BL1121" i="1"/>
  <c r="BK1121" i="1"/>
  <c r="DG1120" i="1"/>
  <c r="M3088" i="1"/>
  <c r="L3088" i="1"/>
  <c r="DA1120" i="1"/>
  <c r="CY1120" i="1"/>
  <c r="CX1120" i="1"/>
  <c r="J3088" i="1"/>
  <c r="BL1120" i="1"/>
  <c r="BK1120" i="1"/>
  <c r="DG1119" i="1"/>
  <c r="M3089" i="1"/>
  <c r="L3089" i="1"/>
  <c r="DA1119" i="1"/>
  <c r="CY1119" i="1"/>
  <c r="CX1119" i="1"/>
  <c r="J3089" i="1"/>
  <c r="BL1119" i="1"/>
  <c r="BK1119" i="1"/>
  <c r="DG1118" i="1"/>
  <c r="M3090" i="1"/>
  <c r="L3090" i="1"/>
  <c r="DA1118" i="1"/>
  <c r="CY1118" i="1"/>
  <c r="CX1118" i="1"/>
  <c r="J3090" i="1"/>
  <c r="BL1118" i="1"/>
  <c r="BK1118" i="1"/>
  <c r="DG1117" i="1"/>
  <c r="M3091" i="1"/>
  <c r="L3091" i="1"/>
  <c r="DA1117" i="1"/>
  <c r="CY1117" i="1"/>
  <c r="CX1117" i="1"/>
  <c r="J3091" i="1"/>
  <c r="BL1117" i="1"/>
  <c r="BK1117" i="1"/>
  <c r="DG1116" i="1"/>
  <c r="M3092" i="1"/>
  <c r="L3092" i="1"/>
  <c r="DA1116" i="1"/>
  <c r="CY1116" i="1"/>
  <c r="CX1116" i="1"/>
  <c r="J3092" i="1"/>
  <c r="BL1116" i="1"/>
  <c r="BK1116" i="1"/>
  <c r="DG1115" i="1"/>
  <c r="M3093" i="1"/>
  <c r="L3093" i="1"/>
  <c r="DA1115" i="1"/>
  <c r="CY1115" i="1"/>
  <c r="CX1115" i="1"/>
  <c r="J3093" i="1"/>
  <c r="BL1115" i="1"/>
  <c r="BK1115" i="1"/>
  <c r="DG1114" i="1"/>
  <c r="M3094" i="1"/>
  <c r="L3094" i="1"/>
  <c r="DA1114" i="1"/>
  <c r="CY1114" i="1"/>
  <c r="CX1114" i="1"/>
  <c r="J3094" i="1"/>
  <c r="BL1114" i="1"/>
  <c r="BK1114" i="1"/>
  <c r="DG1113" i="1"/>
  <c r="M3095" i="1"/>
  <c r="L3095" i="1"/>
  <c r="DA1113" i="1"/>
  <c r="CY1113" i="1"/>
  <c r="CX1113" i="1"/>
  <c r="J3095" i="1"/>
  <c r="BL1113" i="1"/>
  <c r="BK1113" i="1"/>
  <c r="DG1112" i="1"/>
  <c r="M3096" i="1"/>
  <c r="L3096" i="1"/>
  <c r="DA1112" i="1"/>
  <c r="CY1112" i="1"/>
  <c r="CX1112" i="1"/>
  <c r="J3096" i="1"/>
  <c r="BL1112" i="1"/>
  <c r="BK1112" i="1"/>
  <c r="DG1111" i="1"/>
  <c r="M3097" i="1"/>
  <c r="L3097" i="1"/>
  <c r="DA1111" i="1"/>
  <c r="CY1111" i="1"/>
  <c r="CX1111" i="1"/>
  <c r="J3097" i="1"/>
  <c r="BL1111" i="1"/>
  <c r="BK1111" i="1"/>
  <c r="DG1110" i="1"/>
  <c r="M1126" i="1"/>
  <c r="L1126" i="1"/>
  <c r="DA1110" i="1"/>
  <c r="CY1110" i="1"/>
  <c r="CX1110" i="1"/>
  <c r="J1126" i="1"/>
  <c r="BL1110" i="1"/>
  <c r="BK1110" i="1"/>
  <c r="DG1109" i="1"/>
  <c r="M3099" i="1"/>
  <c r="L3099" i="1"/>
  <c r="DA1109" i="1"/>
  <c r="CY1109" i="1"/>
  <c r="CX1109" i="1"/>
  <c r="J3099" i="1"/>
  <c r="BL1109" i="1"/>
  <c r="BK1109" i="1"/>
  <c r="DG1108" i="1"/>
  <c r="M3100" i="1"/>
  <c r="L3100" i="1"/>
  <c r="DA1108" i="1"/>
  <c r="CY1108" i="1"/>
  <c r="CX1108" i="1"/>
  <c r="J3100" i="1"/>
  <c r="BL1108" i="1"/>
  <c r="BK1108" i="1"/>
  <c r="DG1107" i="1"/>
  <c r="M3101" i="1"/>
  <c r="L3101" i="1"/>
  <c r="DA1107" i="1"/>
  <c r="CY1107" i="1"/>
  <c r="CX1107" i="1"/>
  <c r="J3101" i="1"/>
  <c r="BL1107" i="1"/>
  <c r="BK1107" i="1"/>
  <c r="DG1106" i="1"/>
  <c r="M3102" i="1"/>
  <c r="L3102" i="1"/>
  <c r="DA1106" i="1"/>
  <c r="CY1106" i="1"/>
  <c r="CX1106" i="1"/>
  <c r="J3102" i="1"/>
  <c r="BL1106" i="1"/>
  <c r="BK1106" i="1"/>
  <c r="DG1105" i="1"/>
  <c r="M3103" i="1"/>
  <c r="L3103" i="1"/>
  <c r="DA1105" i="1"/>
  <c r="CY1105" i="1"/>
  <c r="CX1105" i="1"/>
  <c r="J3103" i="1"/>
  <c r="BL1105" i="1"/>
  <c r="BK1105" i="1"/>
  <c r="DG1104" i="1"/>
  <c r="M3104" i="1"/>
  <c r="L3104" i="1"/>
  <c r="DA1104" i="1"/>
  <c r="CY1104" i="1"/>
  <c r="CX1104" i="1"/>
  <c r="J3104" i="1"/>
  <c r="BL1104" i="1"/>
  <c r="BK1104" i="1"/>
  <c r="DG1103" i="1"/>
  <c r="M3105" i="1"/>
  <c r="L3105" i="1"/>
  <c r="DA1103" i="1"/>
  <c r="CY1103" i="1"/>
  <c r="CX1103" i="1"/>
  <c r="J3105" i="1"/>
  <c r="BL1103" i="1"/>
  <c r="BK1103" i="1"/>
  <c r="DG1102" i="1"/>
  <c r="M3106" i="1"/>
  <c r="L3106" i="1"/>
  <c r="DA1102" i="1"/>
  <c r="CY1102" i="1"/>
  <c r="CX1102" i="1"/>
  <c r="J3106" i="1"/>
  <c r="BL1102" i="1"/>
  <c r="BK1102" i="1"/>
  <c r="DG1101" i="1"/>
  <c r="M3107" i="1"/>
  <c r="L3107" i="1"/>
  <c r="DA1101" i="1"/>
  <c r="CY1101" i="1"/>
  <c r="CX1101" i="1"/>
  <c r="J3107" i="1"/>
  <c r="BL1101" i="1"/>
  <c r="BK1101" i="1"/>
  <c r="DG1100" i="1"/>
  <c r="M3108" i="1"/>
  <c r="L3108" i="1"/>
  <c r="DA1100" i="1"/>
  <c r="CY1100" i="1"/>
  <c r="CX1100" i="1"/>
  <c r="J3108" i="1"/>
  <c r="BL1100" i="1"/>
  <c r="BK1100" i="1"/>
  <c r="DG1099" i="1"/>
  <c r="M3109" i="1"/>
  <c r="L3109" i="1"/>
  <c r="DA1099" i="1"/>
  <c r="CY1099" i="1"/>
  <c r="CX1099" i="1"/>
  <c r="J3109" i="1"/>
  <c r="BL1099" i="1"/>
  <c r="BK1099" i="1"/>
  <c r="DG1098" i="1"/>
  <c r="M3110" i="1"/>
  <c r="L3110" i="1"/>
  <c r="DA1098" i="1"/>
  <c r="CY1098" i="1"/>
  <c r="CX1098" i="1"/>
  <c r="J3110" i="1"/>
  <c r="BL1098" i="1"/>
  <c r="BK1098" i="1"/>
  <c r="DG1097" i="1"/>
  <c r="M3111" i="1"/>
  <c r="L3111" i="1"/>
  <c r="DA1097" i="1"/>
  <c r="CY1097" i="1"/>
  <c r="CX1097" i="1"/>
  <c r="J3111" i="1"/>
  <c r="BL1097" i="1"/>
  <c r="BK1097" i="1"/>
  <c r="DG1096" i="1"/>
  <c r="M3112" i="1"/>
  <c r="L3112" i="1"/>
  <c r="DA1096" i="1"/>
  <c r="CY1096" i="1"/>
  <c r="CX1096" i="1"/>
  <c r="J3112" i="1"/>
  <c r="BL1096" i="1"/>
  <c r="BK1096" i="1"/>
  <c r="DG1095" i="1"/>
  <c r="M3113" i="1"/>
  <c r="L3113" i="1"/>
  <c r="DA1095" i="1"/>
  <c r="CY1095" i="1"/>
  <c r="CX1095" i="1"/>
  <c r="J3113" i="1"/>
  <c r="BL1095" i="1"/>
  <c r="BK1095" i="1"/>
  <c r="DG1094" i="1"/>
  <c r="M3114" i="1"/>
  <c r="L3114" i="1"/>
  <c r="DA1094" i="1"/>
  <c r="CY1094" i="1"/>
  <c r="CX1094" i="1"/>
  <c r="J3114" i="1"/>
  <c r="BL1094" i="1"/>
  <c r="BK1094" i="1"/>
  <c r="DG1093" i="1"/>
  <c r="M3115" i="1"/>
  <c r="L3115" i="1"/>
  <c r="DA1093" i="1"/>
  <c r="CY1093" i="1"/>
  <c r="CX1093" i="1"/>
  <c r="J3115" i="1"/>
  <c r="BL1093" i="1"/>
  <c r="BK1093" i="1"/>
  <c r="DG1092" i="1"/>
  <c r="M3116" i="1"/>
  <c r="L3116" i="1"/>
  <c r="DA1092" i="1"/>
  <c r="CY1092" i="1"/>
  <c r="CX1092" i="1"/>
  <c r="J3116" i="1"/>
  <c r="BL1092" i="1"/>
  <c r="BK1092" i="1"/>
  <c r="DG1091" i="1"/>
  <c r="M3117" i="1"/>
  <c r="L3117" i="1"/>
  <c r="DA1091" i="1"/>
  <c r="CY1091" i="1"/>
  <c r="CX1091" i="1"/>
  <c r="J3117" i="1"/>
  <c r="BL1091" i="1"/>
  <c r="BK1091" i="1"/>
  <c r="DG1090" i="1"/>
  <c r="M3118" i="1"/>
  <c r="L3118" i="1"/>
  <c r="DA1090" i="1"/>
  <c r="CY1090" i="1"/>
  <c r="CX1090" i="1"/>
  <c r="J3118" i="1"/>
  <c r="BL1090" i="1"/>
  <c r="BK1090" i="1"/>
  <c r="DG1089" i="1"/>
  <c r="M3119" i="1"/>
  <c r="L3119" i="1"/>
  <c r="DA1089" i="1"/>
  <c r="CY1089" i="1"/>
  <c r="CX1089" i="1"/>
  <c r="J3119" i="1"/>
  <c r="BL1089" i="1"/>
  <c r="BK1089" i="1"/>
  <c r="DG1088" i="1"/>
  <c r="M3120" i="1"/>
  <c r="L3120" i="1"/>
  <c r="DA1088" i="1"/>
  <c r="CY1088" i="1"/>
  <c r="CX1088" i="1"/>
  <c r="J3120" i="1"/>
  <c r="BL1088" i="1"/>
  <c r="BK1088" i="1"/>
  <c r="DG1087" i="1"/>
  <c r="M3121" i="1"/>
  <c r="L3121" i="1"/>
  <c r="DA1087" i="1"/>
  <c r="CY1087" i="1"/>
  <c r="CX1087" i="1"/>
  <c r="J3121" i="1"/>
  <c r="BL1087" i="1"/>
  <c r="BK1087" i="1"/>
  <c r="DG1086" i="1"/>
  <c r="M3122" i="1"/>
  <c r="L3122" i="1"/>
  <c r="DA1086" i="1"/>
  <c r="CY1086" i="1"/>
  <c r="CX1086" i="1"/>
  <c r="J3122" i="1"/>
  <c r="BL1086" i="1"/>
  <c r="BK1086" i="1"/>
  <c r="DG1085" i="1"/>
  <c r="M3123" i="1"/>
  <c r="L3123" i="1"/>
  <c r="DA1085" i="1"/>
  <c r="CY1085" i="1"/>
  <c r="CX1085" i="1"/>
  <c r="J3123" i="1"/>
  <c r="BL1085" i="1"/>
  <c r="BK1085" i="1"/>
  <c r="DG1084" i="1"/>
  <c r="M3124" i="1"/>
  <c r="L3124" i="1"/>
  <c r="DA1084" i="1"/>
  <c r="CY1084" i="1"/>
  <c r="CX1084" i="1"/>
  <c r="J3124" i="1"/>
  <c r="BL1084" i="1"/>
  <c r="BK1084" i="1"/>
  <c r="DG1083" i="1"/>
  <c r="M3125" i="1"/>
  <c r="L3125" i="1"/>
  <c r="DA1083" i="1"/>
  <c r="CY1083" i="1"/>
  <c r="CX1083" i="1"/>
  <c r="J3125" i="1"/>
  <c r="BL1083" i="1"/>
  <c r="BK1083" i="1"/>
  <c r="DG1082" i="1"/>
  <c r="M3126" i="1"/>
  <c r="L3126" i="1"/>
  <c r="DA1082" i="1"/>
  <c r="CY1082" i="1"/>
  <c r="CX1082" i="1"/>
  <c r="J3126" i="1"/>
  <c r="BL1082" i="1"/>
  <c r="BK1082" i="1"/>
  <c r="DG1081" i="1"/>
  <c r="M3127" i="1"/>
  <c r="L3127" i="1"/>
  <c r="DA1081" i="1"/>
  <c r="CY1081" i="1"/>
  <c r="CX1081" i="1"/>
  <c r="J3127" i="1"/>
  <c r="BL1081" i="1"/>
  <c r="BK1081" i="1"/>
  <c r="DG1080" i="1"/>
  <c r="M3128" i="1"/>
  <c r="L3128" i="1"/>
  <c r="DA1080" i="1"/>
  <c r="CY1080" i="1"/>
  <c r="CX1080" i="1"/>
  <c r="J3128" i="1"/>
  <c r="BL1080" i="1"/>
  <c r="BK1080" i="1"/>
  <c r="DG1079" i="1"/>
  <c r="M3129" i="1"/>
  <c r="L3129" i="1"/>
  <c r="DA1079" i="1"/>
  <c r="CY1079" i="1"/>
  <c r="CX1079" i="1"/>
  <c r="J3129" i="1"/>
  <c r="BL1079" i="1"/>
  <c r="BK1079" i="1"/>
  <c r="DG1078" i="1"/>
  <c r="M3130" i="1"/>
  <c r="L3130" i="1"/>
  <c r="DA1078" i="1"/>
  <c r="CY1078" i="1"/>
  <c r="CX1078" i="1"/>
  <c r="J3130" i="1"/>
  <c r="BL1078" i="1"/>
  <c r="BK1078" i="1"/>
  <c r="DG1077" i="1"/>
  <c r="M3131" i="1"/>
  <c r="L3131" i="1"/>
  <c r="DA1077" i="1"/>
  <c r="CY1077" i="1"/>
  <c r="CX1077" i="1"/>
  <c r="J3131" i="1"/>
  <c r="BL1077" i="1"/>
  <c r="BK1077" i="1"/>
  <c r="DG1076" i="1"/>
  <c r="M3132" i="1"/>
  <c r="L3132" i="1"/>
  <c r="DA1076" i="1"/>
  <c r="CY1076" i="1"/>
  <c r="CX1076" i="1"/>
  <c r="J3132" i="1"/>
  <c r="BL1076" i="1"/>
  <c r="BK1076" i="1"/>
  <c r="DG1075" i="1"/>
  <c r="M3133" i="1"/>
  <c r="L3133" i="1"/>
  <c r="DA1075" i="1"/>
  <c r="CY1075" i="1"/>
  <c r="CX1075" i="1"/>
  <c r="J3133" i="1"/>
  <c r="BL1075" i="1"/>
  <c r="BK1075" i="1"/>
  <c r="DG1074" i="1"/>
  <c r="M3134" i="1"/>
  <c r="L3134" i="1"/>
  <c r="DA1074" i="1"/>
  <c r="CY1074" i="1"/>
  <c r="CX1074" i="1"/>
  <c r="J3134" i="1"/>
  <c r="BL1074" i="1"/>
  <c r="BK1074" i="1"/>
  <c r="DG1073" i="1"/>
  <c r="M3135" i="1"/>
  <c r="L3135" i="1"/>
  <c r="DA1073" i="1"/>
  <c r="CY1073" i="1"/>
  <c r="CX1073" i="1"/>
  <c r="J3135" i="1"/>
  <c r="BL1073" i="1"/>
  <c r="BK1073" i="1"/>
  <c r="DG1072" i="1"/>
  <c r="M3136" i="1"/>
  <c r="L3136" i="1"/>
  <c r="DA1072" i="1"/>
  <c r="CY1072" i="1"/>
  <c r="CX1072" i="1"/>
  <c r="J3136" i="1"/>
  <c r="BL1072" i="1"/>
  <c r="BK1072" i="1"/>
  <c r="DG1071" i="1"/>
  <c r="M3137" i="1"/>
  <c r="L3137" i="1"/>
  <c r="DA1071" i="1"/>
  <c r="CY1071" i="1"/>
  <c r="CX1071" i="1"/>
  <c r="J3137" i="1"/>
  <c r="BL1071" i="1"/>
  <c r="BK1071" i="1"/>
  <c r="DG1070" i="1"/>
  <c r="M3138" i="1"/>
  <c r="L3138" i="1"/>
  <c r="DA1070" i="1"/>
  <c r="CY1070" i="1"/>
  <c r="CX1070" i="1"/>
  <c r="J3138" i="1"/>
  <c r="BL1070" i="1"/>
  <c r="BK1070" i="1"/>
  <c r="DG1069" i="1"/>
  <c r="M3139" i="1"/>
  <c r="L3139" i="1"/>
  <c r="DA1069" i="1"/>
  <c r="CY1069" i="1"/>
  <c r="CX1069" i="1"/>
  <c r="J3139" i="1"/>
  <c r="BL1069" i="1"/>
  <c r="BK1069" i="1"/>
  <c r="DG1068" i="1"/>
  <c r="M3140" i="1"/>
  <c r="L3140" i="1"/>
  <c r="DA1068" i="1"/>
  <c r="CY1068" i="1"/>
  <c r="CX1068" i="1"/>
  <c r="J3140" i="1"/>
  <c r="BL1068" i="1"/>
  <c r="BK1068" i="1"/>
  <c r="DG1067" i="1"/>
  <c r="M3141" i="1"/>
  <c r="L3141" i="1"/>
  <c r="DA1067" i="1"/>
  <c r="CY1067" i="1"/>
  <c r="CX1067" i="1"/>
  <c r="J3141" i="1"/>
  <c r="BL1067" i="1"/>
  <c r="BK1067" i="1"/>
  <c r="DG1066" i="1"/>
  <c r="M3142" i="1"/>
  <c r="L3142" i="1"/>
  <c r="DA1066" i="1"/>
  <c r="CY1066" i="1"/>
  <c r="CX1066" i="1"/>
  <c r="J3142" i="1"/>
  <c r="BL1066" i="1"/>
  <c r="BK1066" i="1"/>
  <c r="DG1065" i="1"/>
  <c r="M3143" i="1"/>
  <c r="L3143" i="1"/>
  <c r="DA1065" i="1"/>
  <c r="CY1065" i="1"/>
  <c r="CX1065" i="1"/>
  <c r="J3143" i="1"/>
  <c r="BL1065" i="1"/>
  <c r="BK1065" i="1"/>
  <c r="DG1064" i="1"/>
  <c r="M3144" i="1"/>
  <c r="L3144" i="1"/>
  <c r="DA1064" i="1"/>
  <c r="CY1064" i="1"/>
  <c r="CX1064" i="1"/>
  <c r="J3144" i="1"/>
  <c r="BL1064" i="1"/>
  <c r="BK1064" i="1"/>
  <c r="DG1063" i="1"/>
  <c r="M3145" i="1"/>
  <c r="L3145" i="1"/>
  <c r="DA1063" i="1"/>
  <c r="CY1063" i="1"/>
  <c r="CX1063" i="1"/>
  <c r="J3145" i="1"/>
  <c r="BL1063" i="1"/>
  <c r="BK1063" i="1"/>
  <c r="DG1062" i="1"/>
  <c r="M3146" i="1"/>
  <c r="L3146" i="1"/>
  <c r="DA1062" i="1"/>
  <c r="CY1062" i="1"/>
  <c r="CX1062" i="1"/>
  <c r="J3146" i="1"/>
  <c r="BL1062" i="1"/>
  <c r="BK1062" i="1"/>
  <c r="DG1061" i="1"/>
  <c r="M3147" i="1"/>
  <c r="L3147" i="1"/>
  <c r="DA1061" i="1"/>
  <c r="CY1061" i="1"/>
  <c r="CX1061" i="1"/>
  <c r="J3147" i="1"/>
  <c r="BL1061" i="1"/>
  <c r="BK1061" i="1"/>
  <c r="DG1060" i="1"/>
  <c r="M3148" i="1"/>
  <c r="L3148" i="1"/>
  <c r="DA1060" i="1"/>
  <c r="CY1060" i="1"/>
  <c r="CX1060" i="1"/>
  <c r="J3148" i="1"/>
  <c r="BL1060" i="1"/>
  <c r="BK1060" i="1"/>
  <c r="DG1059" i="1"/>
  <c r="M3149" i="1"/>
  <c r="L3149" i="1"/>
  <c r="DA1059" i="1"/>
  <c r="CY1059" i="1"/>
  <c r="CX1059" i="1"/>
  <c r="J3149" i="1"/>
  <c r="BL1059" i="1"/>
  <c r="BK1059" i="1"/>
  <c r="DG1058" i="1"/>
  <c r="M3150" i="1"/>
  <c r="L3150" i="1"/>
  <c r="DA1058" i="1"/>
  <c r="CY1058" i="1"/>
  <c r="CX1058" i="1"/>
  <c r="J3150" i="1"/>
  <c r="BL1058" i="1"/>
  <c r="BK1058" i="1"/>
  <c r="DG1057" i="1"/>
  <c r="M3151" i="1"/>
  <c r="L3151" i="1"/>
  <c r="DA1057" i="1"/>
  <c r="CY1057" i="1"/>
  <c r="CX1057" i="1"/>
  <c r="J3151" i="1"/>
  <c r="BL1057" i="1"/>
  <c r="BK1057" i="1"/>
  <c r="DG1056" i="1"/>
  <c r="M3152" i="1"/>
  <c r="L3152" i="1"/>
  <c r="DA1056" i="1"/>
  <c r="CY1056" i="1"/>
  <c r="CX1056" i="1"/>
  <c r="J3152" i="1"/>
  <c r="BL1056" i="1"/>
  <c r="BK1056" i="1"/>
  <c r="DG1055" i="1"/>
  <c r="M3153" i="1"/>
  <c r="L3153" i="1"/>
  <c r="DA1055" i="1"/>
  <c r="CY1055" i="1"/>
  <c r="CX1055" i="1"/>
  <c r="J3153" i="1"/>
  <c r="BL1055" i="1"/>
  <c r="BK1055" i="1"/>
  <c r="DG1054" i="1"/>
  <c r="M3414" i="1"/>
  <c r="L3414" i="1"/>
  <c r="DA1054" i="1"/>
  <c r="CY1054" i="1"/>
  <c r="CX1054" i="1"/>
  <c r="J3414" i="1"/>
  <c r="CW1054" i="1"/>
  <c r="BL1054" i="1"/>
  <c r="BK1054" i="1"/>
  <c r="DG1053" i="1"/>
  <c r="M3155" i="1"/>
  <c r="L3155" i="1"/>
  <c r="DA1053" i="1"/>
  <c r="CY1053" i="1"/>
  <c r="CX1053" i="1"/>
  <c r="J3155" i="1"/>
  <c r="BL1053" i="1"/>
  <c r="BK1053" i="1"/>
  <c r="DG1052" i="1"/>
  <c r="M3156" i="1"/>
  <c r="L3156" i="1"/>
  <c r="DA1052" i="1"/>
  <c r="CY1052" i="1"/>
  <c r="CX1052" i="1"/>
  <c r="J3156" i="1"/>
  <c r="BL1052" i="1"/>
  <c r="BK1052" i="1"/>
  <c r="DG1051" i="1"/>
  <c r="M3157" i="1"/>
  <c r="L3157" i="1"/>
  <c r="DA1051" i="1"/>
  <c r="CY1051" i="1"/>
  <c r="CX1051" i="1"/>
  <c r="J3157" i="1"/>
  <c r="BL1051" i="1"/>
  <c r="BK1051" i="1"/>
  <c r="DG1050" i="1"/>
  <c r="M3158" i="1"/>
  <c r="L3158" i="1"/>
  <c r="DA1050" i="1"/>
  <c r="CY1050" i="1"/>
  <c r="CX1050" i="1"/>
  <c r="J3158" i="1"/>
  <c r="BL1050" i="1"/>
  <c r="BK1050" i="1"/>
  <c r="DG1049" i="1"/>
  <c r="M3159" i="1"/>
  <c r="L3159" i="1"/>
  <c r="DA1049" i="1"/>
  <c r="CY1049" i="1"/>
  <c r="CX1049" i="1"/>
  <c r="J3159" i="1"/>
  <c r="BL1049" i="1"/>
  <c r="BK1049" i="1"/>
  <c r="DG1048" i="1"/>
  <c r="M3160" i="1"/>
  <c r="L3160" i="1"/>
  <c r="DA1048" i="1"/>
  <c r="CY1048" i="1"/>
  <c r="CX1048" i="1"/>
  <c r="J3160" i="1"/>
  <c r="BL1048" i="1"/>
  <c r="BK1048" i="1"/>
  <c r="DG1047" i="1"/>
  <c r="M3161" i="1"/>
  <c r="L3161" i="1"/>
  <c r="DA1047" i="1"/>
  <c r="CY1047" i="1"/>
  <c r="CX1047" i="1"/>
  <c r="J3161" i="1"/>
  <c r="BL1047" i="1"/>
  <c r="BK1047" i="1"/>
  <c r="DG1046" i="1"/>
  <c r="M2308" i="1"/>
  <c r="L2308" i="1"/>
  <c r="DA1046" i="1"/>
  <c r="CY1046" i="1"/>
  <c r="CX1046" i="1"/>
  <c r="J2308" i="1"/>
  <c r="BL1046" i="1"/>
  <c r="BK1046" i="1"/>
  <c r="DG1045" i="1"/>
  <c r="M3163" i="1"/>
  <c r="L3163" i="1"/>
  <c r="DA1045" i="1"/>
  <c r="CY1045" i="1"/>
  <c r="CX1045" i="1"/>
  <c r="J3163" i="1"/>
  <c r="BL1045" i="1"/>
  <c r="BK1045" i="1"/>
  <c r="DG1044" i="1"/>
  <c r="M3164" i="1"/>
  <c r="L3164" i="1"/>
  <c r="DA1044" i="1"/>
  <c r="CY1044" i="1"/>
  <c r="CX1044" i="1"/>
  <c r="J3164" i="1"/>
  <c r="BL1044" i="1"/>
  <c r="BK1044" i="1"/>
  <c r="DG1043" i="1"/>
  <c r="M3165" i="1"/>
  <c r="L3165" i="1"/>
  <c r="DA1043" i="1"/>
  <c r="CY1043" i="1"/>
  <c r="CX1043" i="1"/>
  <c r="J3165" i="1"/>
  <c r="BL1043" i="1"/>
  <c r="BK1043" i="1"/>
  <c r="DG1042" i="1"/>
  <c r="M3166" i="1"/>
  <c r="L3166" i="1"/>
  <c r="DA1042" i="1"/>
  <c r="CY1042" i="1"/>
  <c r="CX1042" i="1"/>
  <c r="J3166" i="1"/>
  <c r="BL1042" i="1"/>
  <c r="BK1042" i="1"/>
  <c r="DG1041" i="1"/>
  <c r="M3167" i="1"/>
  <c r="L3167" i="1"/>
  <c r="DA1041" i="1"/>
  <c r="CY1041" i="1"/>
  <c r="CX1041" i="1"/>
  <c r="J3167" i="1"/>
  <c r="BL1041" i="1"/>
  <c r="BK1041" i="1"/>
  <c r="DG1040" i="1"/>
  <c r="M3168" i="1"/>
  <c r="L3168" i="1"/>
  <c r="DA1040" i="1"/>
  <c r="CY1040" i="1"/>
  <c r="CX1040" i="1"/>
  <c r="J3168" i="1"/>
  <c r="BL1040" i="1"/>
  <c r="BK1040" i="1"/>
  <c r="DG1039" i="1"/>
  <c r="M3169" i="1"/>
  <c r="L3169" i="1"/>
  <c r="DA1039" i="1"/>
  <c r="CY1039" i="1"/>
  <c r="CX1039" i="1"/>
  <c r="J3169" i="1"/>
  <c r="BL1039" i="1"/>
  <c r="BK1039" i="1"/>
  <c r="DG1038" i="1"/>
  <c r="M2307" i="1"/>
  <c r="L2307" i="1"/>
  <c r="DA1038" i="1"/>
  <c r="CY1038" i="1"/>
  <c r="CX1038" i="1"/>
  <c r="J2307" i="1"/>
  <c r="BL1038" i="1"/>
  <c r="BK1038" i="1"/>
  <c r="DG1037" i="1"/>
  <c r="M3171" i="1"/>
  <c r="L3171" i="1"/>
  <c r="DA1037" i="1"/>
  <c r="CY1037" i="1"/>
  <c r="CX1037" i="1"/>
  <c r="J3171" i="1"/>
  <c r="BL1037" i="1"/>
  <c r="BK1037" i="1"/>
  <c r="DG1036" i="1"/>
  <c r="M3172" i="1"/>
  <c r="L3172" i="1"/>
  <c r="DA1036" i="1"/>
  <c r="CY1036" i="1"/>
  <c r="CX1036" i="1"/>
  <c r="J3172" i="1"/>
  <c r="BL1036" i="1"/>
  <c r="BK1036" i="1"/>
  <c r="DG1035" i="1"/>
  <c r="M3173" i="1"/>
  <c r="L3173" i="1"/>
  <c r="DA1035" i="1"/>
  <c r="CY1035" i="1"/>
  <c r="CX1035" i="1"/>
  <c r="J3173" i="1"/>
  <c r="BL1035" i="1"/>
  <c r="BK1035" i="1"/>
  <c r="DG1034" i="1"/>
  <c r="M3174" i="1"/>
  <c r="L3174" i="1"/>
  <c r="DA1034" i="1"/>
  <c r="CY1034" i="1"/>
  <c r="CX1034" i="1"/>
  <c r="J3174" i="1"/>
  <c r="BL1034" i="1"/>
  <c r="BK1034" i="1"/>
  <c r="DG1033" i="1"/>
  <c r="M3175" i="1"/>
  <c r="L3175" i="1"/>
  <c r="DA1033" i="1"/>
  <c r="CY1033" i="1"/>
  <c r="CX1033" i="1"/>
  <c r="J3175" i="1"/>
  <c r="BL1033" i="1"/>
  <c r="BK1033" i="1"/>
  <c r="DG1032" i="1"/>
  <c r="M3176" i="1"/>
  <c r="L3176" i="1"/>
  <c r="DA1032" i="1"/>
  <c r="CY1032" i="1"/>
  <c r="CX1032" i="1"/>
  <c r="J3176" i="1"/>
  <c r="BL1032" i="1"/>
  <c r="BK1032" i="1"/>
  <c r="DG1031" i="1"/>
  <c r="M3177" i="1"/>
  <c r="L3177" i="1"/>
  <c r="DA1031" i="1"/>
  <c r="CY1031" i="1"/>
  <c r="CX1031" i="1"/>
  <c r="J3177" i="1"/>
  <c r="BL1031" i="1"/>
  <c r="BK1031" i="1"/>
  <c r="DG1030" i="1"/>
  <c r="M3178" i="1"/>
  <c r="L3178" i="1"/>
  <c r="DA1030" i="1"/>
  <c r="CY1030" i="1"/>
  <c r="CX1030" i="1"/>
  <c r="J3178" i="1"/>
  <c r="BL1030" i="1"/>
  <c r="BK1030" i="1"/>
  <c r="DG1029" i="1"/>
  <c r="M3179" i="1"/>
  <c r="L3179" i="1"/>
  <c r="DA1029" i="1"/>
  <c r="CY1029" i="1"/>
  <c r="CX1029" i="1"/>
  <c r="J3179" i="1"/>
  <c r="BL1029" i="1"/>
  <c r="BK1029" i="1"/>
  <c r="DG1028" i="1"/>
  <c r="M3180" i="1"/>
  <c r="L3180" i="1"/>
  <c r="DA1028" i="1"/>
  <c r="CY1028" i="1"/>
  <c r="CX1028" i="1"/>
  <c r="J3180" i="1"/>
  <c r="BL1028" i="1"/>
  <c r="BK1028" i="1"/>
  <c r="DG1027" i="1"/>
  <c r="M3181" i="1"/>
  <c r="L3181" i="1"/>
  <c r="DA1027" i="1"/>
  <c r="CY1027" i="1"/>
  <c r="CX1027" i="1"/>
  <c r="J3181" i="1"/>
  <c r="BL1027" i="1"/>
  <c r="BK1027" i="1"/>
  <c r="DG1026" i="1"/>
  <c r="M3182" i="1"/>
  <c r="L3182" i="1"/>
  <c r="DA1026" i="1"/>
  <c r="CY1026" i="1"/>
  <c r="CX1026" i="1"/>
  <c r="J3182" i="1"/>
  <c r="BL1026" i="1"/>
  <c r="BK1026" i="1"/>
  <c r="DG1025" i="1"/>
  <c r="M3183" i="1"/>
  <c r="L3183" i="1"/>
  <c r="DA1025" i="1"/>
  <c r="CY1025" i="1"/>
  <c r="CX1025" i="1"/>
  <c r="J3183" i="1"/>
  <c r="BL1025" i="1"/>
  <c r="BK1025" i="1"/>
  <c r="DG1024" i="1"/>
  <c r="M3184" i="1"/>
  <c r="L3184" i="1"/>
  <c r="DA1024" i="1"/>
  <c r="CY1024" i="1"/>
  <c r="CX1024" i="1"/>
  <c r="J3184" i="1"/>
  <c r="BL1024" i="1"/>
  <c r="BK1024" i="1"/>
  <c r="DG1023" i="1"/>
  <c r="M3185" i="1"/>
  <c r="L3185" i="1"/>
  <c r="DA1023" i="1"/>
  <c r="CY1023" i="1"/>
  <c r="CX1023" i="1"/>
  <c r="J3185" i="1"/>
  <c r="BL1023" i="1"/>
  <c r="BK1023" i="1"/>
  <c r="DG1022" i="1"/>
  <c r="M3186" i="1"/>
  <c r="L3186" i="1"/>
  <c r="DA1022" i="1"/>
  <c r="CY1022" i="1"/>
  <c r="CX1022" i="1"/>
  <c r="J3186" i="1"/>
  <c r="BL1022" i="1"/>
  <c r="BK1022" i="1"/>
  <c r="DG1021" i="1"/>
  <c r="M3187" i="1"/>
  <c r="L3187" i="1"/>
  <c r="DA1021" i="1"/>
  <c r="CY1021" i="1"/>
  <c r="CX1021" i="1"/>
  <c r="J3187" i="1"/>
  <c r="BL1021" i="1"/>
  <c r="BK1021" i="1"/>
  <c r="DG1020" i="1"/>
  <c r="M3188" i="1"/>
  <c r="L3188" i="1"/>
  <c r="DA1020" i="1"/>
  <c r="CY1020" i="1"/>
  <c r="CX1020" i="1"/>
  <c r="J3188" i="1"/>
  <c r="BL1020" i="1"/>
  <c r="BK1020" i="1"/>
  <c r="DG1019" i="1"/>
  <c r="M3189" i="1"/>
  <c r="L3189" i="1"/>
  <c r="DA1019" i="1"/>
  <c r="CY1019" i="1"/>
  <c r="CX1019" i="1"/>
  <c r="J3189" i="1"/>
  <c r="BL1019" i="1"/>
  <c r="BK1019" i="1"/>
  <c r="DG1018" i="1"/>
  <c r="M3190" i="1"/>
  <c r="L3190" i="1"/>
  <c r="DA1018" i="1"/>
  <c r="CY1018" i="1"/>
  <c r="CX1018" i="1"/>
  <c r="J3190" i="1"/>
  <c r="BL1018" i="1"/>
  <c r="BK1018" i="1"/>
  <c r="DG1017" i="1"/>
  <c r="M2917" i="1"/>
  <c r="L2917" i="1"/>
  <c r="DA1017" i="1"/>
  <c r="CY1017" i="1"/>
  <c r="CX1017" i="1"/>
  <c r="J2917" i="1"/>
  <c r="BL1017" i="1"/>
  <c r="BK1017" i="1"/>
  <c r="DG1016" i="1"/>
  <c r="M1125" i="1"/>
  <c r="L1125" i="1"/>
  <c r="DA1016" i="1"/>
  <c r="CY1016" i="1"/>
  <c r="CX1016" i="1"/>
  <c r="J1125" i="1"/>
  <c r="BL1016" i="1"/>
  <c r="BK1016" i="1"/>
  <c r="DG1015" i="1"/>
  <c r="M2306" i="1"/>
  <c r="L2306" i="1"/>
  <c r="DA1015" i="1"/>
  <c r="CY1015" i="1"/>
  <c r="CX1015" i="1"/>
  <c r="J2306" i="1"/>
  <c r="BL1015" i="1"/>
  <c r="BK1015" i="1"/>
  <c r="DG1014" i="1"/>
  <c r="M2305" i="1"/>
  <c r="L2305" i="1"/>
  <c r="DA1014" i="1"/>
  <c r="CY1014" i="1"/>
  <c r="CX1014" i="1"/>
  <c r="J2305" i="1"/>
  <c r="BL1014" i="1"/>
  <c r="BK1014" i="1"/>
  <c r="DG1013" i="1"/>
  <c r="M1124" i="1"/>
  <c r="L1124" i="1"/>
  <c r="DA1013" i="1"/>
  <c r="CY1013" i="1"/>
  <c r="CX1013" i="1"/>
  <c r="J1124" i="1"/>
  <c r="BL1013" i="1"/>
  <c r="BK1013" i="1"/>
  <c r="DG1012" i="1"/>
  <c r="M3413" i="1"/>
  <c r="L3413" i="1"/>
  <c r="DA1012" i="1"/>
  <c r="CY1012" i="1"/>
  <c r="CX1012" i="1"/>
  <c r="J3413" i="1"/>
  <c r="CW1012" i="1"/>
  <c r="BL1012" i="1"/>
  <c r="BK1012" i="1"/>
  <c r="DG1011" i="1"/>
  <c r="M2304" i="1"/>
  <c r="L2304" i="1"/>
  <c r="DA1011" i="1"/>
  <c r="CY1011" i="1"/>
  <c r="CX1011" i="1"/>
  <c r="J2304" i="1"/>
  <c r="BL1011" i="1"/>
  <c r="BK1011" i="1"/>
  <c r="DG1010" i="1"/>
  <c r="M2303" i="1"/>
  <c r="L2303" i="1"/>
  <c r="DA1010" i="1"/>
  <c r="CY1010" i="1"/>
  <c r="CX1010" i="1"/>
  <c r="J2303" i="1"/>
  <c r="BL1010" i="1"/>
  <c r="BK1010" i="1"/>
  <c r="DG1009" i="1"/>
  <c r="M1123" i="1"/>
  <c r="L1123" i="1"/>
  <c r="DA1009" i="1"/>
  <c r="CY1009" i="1"/>
  <c r="CX1009" i="1"/>
  <c r="J1123" i="1"/>
  <c r="BL1009" i="1"/>
  <c r="BK1009" i="1"/>
  <c r="DG1008" i="1"/>
  <c r="M2302" i="1"/>
  <c r="L2302" i="1"/>
  <c r="DA1008" i="1"/>
  <c r="CY1008" i="1"/>
  <c r="CX1008" i="1"/>
  <c r="J2302" i="1"/>
  <c r="BL1008" i="1"/>
  <c r="BK1008" i="1"/>
  <c r="DG1007" i="1"/>
  <c r="M2301" i="1"/>
  <c r="L2301" i="1"/>
  <c r="DA1007" i="1"/>
  <c r="CY1007" i="1"/>
  <c r="CX1007" i="1"/>
  <c r="J2301" i="1"/>
  <c r="BL1007" i="1"/>
  <c r="BK1007" i="1"/>
  <c r="DG1006" i="1"/>
  <c r="M1122" i="1"/>
  <c r="L1122" i="1"/>
  <c r="DA1006" i="1"/>
  <c r="CY1006" i="1"/>
  <c r="CX1006" i="1"/>
  <c r="J1122" i="1"/>
  <c r="BL1006" i="1"/>
  <c r="BK1006" i="1"/>
  <c r="DG1005" i="1"/>
  <c r="M646" i="1"/>
  <c r="L646" i="1"/>
  <c r="DA1005" i="1"/>
  <c r="CY1005" i="1"/>
  <c r="CX1005" i="1"/>
  <c r="J646" i="1"/>
  <c r="BL1005" i="1"/>
  <c r="BK1005" i="1"/>
  <c r="DG1004" i="1"/>
  <c r="M111" i="1"/>
  <c r="L111" i="1"/>
  <c r="DA1004" i="1"/>
  <c r="CY1004" i="1"/>
  <c r="CX1004" i="1"/>
  <c r="J111" i="1"/>
  <c r="BL1004" i="1"/>
  <c r="BK1004" i="1"/>
  <c r="DG1003" i="1"/>
  <c r="M113" i="1"/>
  <c r="L113" i="1"/>
  <c r="DA1003" i="1"/>
  <c r="CY1003" i="1"/>
  <c r="CX1003" i="1"/>
  <c r="J113" i="1"/>
  <c r="BL1003" i="1"/>
  <c r="BK1003" i="1"/>
  <c r="DG1002" i="1"/>
  <c r="M3412" i="1"/>
  <c r="L3412" i="1"/>
  <c r="DA1002" i="1"/>
  <c r="CY1002" i="1"/>
  <c r="CX1002" i="1"/>
  <c r="J3412" i="1"/>
  <c r="CW1002" i="1"/>
  <c r="BL1002" i="1"/>
  <c r="BK1002" i="1"/>
  <c r="DG1001" i="1"/>
  <c r="M157" i="1"/>
  <c r="L157" i="1"/>
  <c r="DA1001" i="1"/>
  <c r="CY1001" i="1"/>
  <c r="CX1001" i="1"/>
  <c r="J157" i="1"/>
  <c r="BL1001" i="1"/>
  <c r="BK1001" i="1"/>
  <c r="DG1000" i="1"/>
  <c r="M345" i="1"/>
  <c r="L345" i="1"/>
  <c r="DA1000" i="1"/>
  <c r="CY1000" i="1"/>
  <c r="CX1000" i="1"/>
  <c r="J345" i="1"/>
  <c r="BL1000" i="1"/>
  <c r="BK1000" i="1"/>
  <c r="DG999" i="1"/>
  <c r="M685" i="1"/>
  <c r="L685" i="1"/>
  <c r="DA999" i="1"/>
  <c r="CY999" i="1"/>
  <c r="CX999" i="1"/>
  <c r="J685" i="1"/>
  <c r="BL999" i="1"/>
  <c r="BK999" i="1"/>
  <c r="DG998" i="1"/>
  <c r="M686" i="1"/>
  <c r="L686" i="1"/>
  <c r="DA998" i="1"/>
  <c r="CY998" i="1"/>
  <c r="CX998" i="1"/>
  <c r="J686" i="1"/>
  <c r="BL998" i="1"/>
  <c r="BK998" i="1"/>
  <c r="DG997" i="1"/>
  <c r="M687" i="1"/>
  <c r="L687" i="1"/>
  <c r="DA997" i="1"/>
  <c r="CY997" i="1"/>
  <c r="CX997" i="1"/>
  <c r="J687" i="1"/>
  <c r="BL997" i="1"/>
  <c r="BK997" i="1"/>
  <c r="DG996" i="1"/>
  <c r="M727" i="1"/>
  <c r="L727" i="1"/>
  <c r="DA996" i="1"/>
  <c r="CY996" i="1"/>
  <c r="CX996" i="1"/>
  <c r="J727" i="1"/>
  <c r="BL996" i="1"/>
  <c r="BK996" i="1"/>
  <c r="DG995" i="1"/>
  <c r="M178" i="1"/>
  <c r="L178" i="1"/>
  <c r="DA995" i="1"/>
  <c r="CY995" i="1"/>
  <c r="CX995" i="1"/>
  <c r="J178" i="1"/>
  <c r="BL995" i="1"/>
  <c r="BK995" i="1"/>
  <c r="DG994" i="1"/>
  <c r="M1215" i="1"/>
  <c r="L1215" i="1"/>
  <c r="DA994" i="1"/>
  <c r="CY994" i="1"/>
  <c r="CX994" i="1"/>
  <c r="J1215" i="1"/>
  <c r="BL994" i="1"/>
  <c r="BK994" i="1"/>
  <c r="M3200" i="1"/>
  <c r="L3200" i="1"/>
  <c r="DA993" i="1"/>
  <c r="CX993" i="1"/>
  <c r="BL993" i="1"/>
  <c r="BK993" i="1"/>
  <c r="M3201" i="1"/>
  <c r="L3201" i="1"/>
  <c r="DA992" i="1"/>
  <c r="CX992" i="1"/>
  <c r="J3201" i="1"/>
  <c r="CW992" i="1"/>
  <c r="BL992" i="1"/>
  <c r="BK992" i="1"/>
  <c r="DG991" i="1"/>
  <c r="M2300" i="1"/>
  <c r="L2300" i="1"/>
  <c r="DA991" i="1"/>
  <c r="CY991" i="1"/>
  <c r="CX991" i="1"/>
  <c r="J2300" i="1"/>
  <c r="BL991" i="1"/>
  <c r="BK991" i="1"/>
  <c r="DG990" i="1"/>
  <c r="M484" i="1"/>
  <c r="L484" i="1"/>
  <c r="DA990" i="1"/>
  <c r="CY990" i="1"/>
  <c r="CX990" i="1"/>
  <c r="J484" i="1"/>
  <c r="BL990" i="1"/>
  <c r="BK990" i="1"/>
  <c r="DG989" i="1"/>
  <c r="M655" i="1"/>
  <c r="L655" i="1"/>
  <c r="DA989" i="1"/>
  <c r="CY989" i="1"/>
  <c r="CX989" i="1"/>
  <c r="J655" i="1"/>
  <c r="BL989" i="1"/>
  <c r="BK989" i="1"/>
  <c r="DG988" i="1"/>
  <c r="M657" i="1"/>
  <c r="L657" i="1"/>
  <c r="DA988" i="1"/>
  <c r="CY988" i="1"/>
  <c r="CX988" i="1"/>
  <c r="J657" i="1"/>
  <c r="BL988" i="1"/>
  <c r="BK988" i="1"/>
  <c r="DG987" i="1"/>
  <c r="M658" i="1"/>
  <c r="L658" i="1"/>
  <c r="DA987" i="1"/>
  <c r="CY987" i="1"/>
  <c r="CX987" i="1"/>
  <c r="J658" i="1"/>
  <c r="BL987" i="1"/>
  <c r="BK987" i="1"/>
  <c r="DG986" i="1"/>
  <c r="M659" i="1"/>
  <c r="L659" i="1"/>
  <c r="DA986" i="1"/>
  <c r="CY986" i="1"/>
  <c r="CX986" i="1"/>
  <c r="J659" i="1"/>
  <c r="BL986" i="1"/>
  <c r="BK986" i="1"/>
  <c r="DG985" i="1"/>
  <c r="M660" i="1"/>
  <c r="L660" i="1"/>
  <c r="DA985" i="1"/>
  <c r="CY985" i="1"/>
  <c r="CX985" i="1"/>
  <c r="J660" i="1"/>
  <c r="BL985" i="1"/>
  <c r="BK985" i="1"/>
  <c r="DG984" i="1"/>
  <c r="M661" i="1"/>
  <c r="L661" i="1"/>
  <c r="DA984" i="1"/>
  <c r="CY984" i="1"/>
  <c r="CX984" i="1"/>
  <c r="J661" i="1"/>
  <c r="BL984" i="1"/>
  <c r="BK984" i="1"/>
  <c r="DG983" i="1"/>
  <c r="M662" i="1"/>
  <c r="L662" i="1"/>
  <c r="DA983" i="1"/>
  <c r="CY983" i="1"/>
  <c r="CX983" i="1"/>
  <c r="J662" i="1"/>
  <c r="BL983" i="1"/>
  <c r="BK983" i="1"/>
  <c r="DG982" i="1"/>
  <c r="M2299" i="1"/>
  <c r="L2299" i="1"/>
  <c r="DA982" i="1"/>
  <c r="CY982" i="1"/>
  <c r="CX982" i="1"/>
  <c r="J2299" i="1"/>
  <c r="BL982" i="1"/>
  <c r="BK982" i="1"/>
  <c r="DG981" i="1"/>
  <c r="M664" i="1"/>
  <c r="L664" i="1"/>
  <c r="DA981" i="1"/>
  <c r="CY981" i="1"/>
  <c r="CX981" i="1"/>
  <c r="J664" i="1"/>
  <c r="BL981" i="1"/>
  <c r="BK981" i="1"/>
  <c r="DG980" i="1"/>
  <c r="M665" i="1"/>
  <c r="L665" i="1"/>
  <c r="DA980" i="1"/>
  <c r="CY980" i="1"/>
  <c r="CX980" i="1"/>
  <c r="J665" i="1"/>
  <c r="BL980" i="1"/>
  <c r="BK980" i="1"/>
  <c r="DG979" i="1"/>
  <c r="M666" i="1"/>
  <c r="L666" i="1"/>
  <c r="DA979" i="1"/>
  <c r="CY979" i="1"/>
  <c r="CX979" i="1"/>
  <c r="J666" i="1"/>
  <c r="BL979" i="1"/>
  <c r="BK979" i="1"/>
  <c r="DG978" i="1"/>
  <c r="M667" i="1"/>
  <c r="L667" i="1"/>
  <c r="DA978" i="1"/>
  <c r="CY978" i="1"/>
  <c r="CX978" i="1"/>
  <c r="J667" i="1"/>
  <c r="BL978" i="1"/>
  <c r="BK978" i="1"/>
  <c r="DG977" i="1"/>
  <c r="M668" i="1"/>
  <c r="L668" i="1"/>
  <c r="DA977" i="1"/>
  <c r="CY977" i="1"/>
  <c r="CX977" i="1"/>
  <c r="J668" i="1"/>
  <c r="BL977" i="1"/>
  <c r="BK977" i="1"/>
  <c r="DG976" i="1"/>
  <c r="M795" i="1"/>
  <c r="L795" i="1"/>
  <c r="DA976" i="1"/>
  <c r="CY976" i="1"/>
  <c r="CX976" i="1"/>
  <c r="J795" i="1"/>
  <c r="BL976" i="1"/>
  <c r="BK976" i="1"/>
  <c r="DG975" i="1"/>
  <c r="M796" i="1"/>
  <c r="L796" i="1"/>
  <c r="DA975" i="1"/>
  <c r="CY975" i="1"/>
  <c r="CX975" i="1"/>
  <c r="J796" i="1"/>
  <c r="BL975" i="1"/>
  <c r="BK975" i="1"/>
  <c r="DG974" i="1"/>
  <c r="M797" i="1"/>
  <c r="L797" i="1"/>
  <c r="DA974" i="1"/>
  <c r="CY974" i="1"/>
  <c r="CX974" i="1"/>
  <c r="J797" i="1"/>
  <c r="BL974" i="1"/>
  <c r="BK974" i="1"/>
  <c r="DG973" i="1"/>
  <c r="M798" i="1"/>
  <c r="L798" i="1"/>
  <c r="DA973" i="1"/>
  <c r="CY973" i="1"/>
  <c r="CX973" i="1"/>
  <c r="J798" i="1"/>
  <c r="BL973" i="1"/>
  <c r="BK973" i="1"/>
  <c r="DG972" i="1"/>
  <c r="M799" i="1"/>
  <c r="L799" i="1"/>
  <c r="DA972" i="1"/>
  <c r="CY972" i="1"/>
  <c r="CX972" i="1"/>
  <c r="J799" i="1"/>
  <c r="BL972" i="1"/>
  <c r="BK972" i="1"/>
  <c r="DG971" i="1"/>
  <c r="M800" i="1"/>
  <c r="L800" i="1"/>
  <c r="DA971" i="1"/>
  <c r="CY971" i="1"/>
  <c r="CX971" i="1"/>
  <c r="J800" i="1"/>
  <c r="BL971" i="1"/>
  <c r="BK971" i="1"/>
  <c r="DG970" i="1"/>
  <c r="M801" i="1"/>
  <c r="L801" i="1"/>
  <c r="DA970" i="1"/>
  <c r="CY970" i="1"/>
  <c r="CX970" i="1"/>
  <c r="J801" i="1"/>
  <c r="BL970" i="1"/>
  <c r="BK970" i="1"/>
  <c r="DG969" i="1"/>
  <c r="M1167" i="1"/>
  <c r="L1167" i="1"/>
  <c r="DA969" i="1"/>
  <c r="CY969" i="1"/>
  <c r="CX969" i="1"/>
  <c r="J1167" i="1"/>
  <c r="BL969" i="1"/>
  <c r="BK969" i="1"/>
  <c r="DG968" i="1"/>
  <c r="M1989" i="1"/>
  <c r="L1989" i="1"/>
  <c r="DA968" i="1"/>
  <c r="CY968" i="1"/>
  <c r="CX968" i="1"/>
  <c r="J1989" i="1"/>
  <c r="BL968" i="1"/>
  <c r="BK968" i="1"/>
  <c r="DG967" i="1"/>
  <c r="M742" i="1"/>
  <c r="L742" i="1"/>
  <c r="DA967" i="1"/>
  <c r="CY967" i="1"/>
  <c r="CX967" i="1"/>
  <c r="J742" i="1"/>
  <c r="BL967" i="1"/>
  <c r="BK967" i="1"/>
  <c r="DG966" i="1"/>
  <c r="M1121" i="1"/>
  <c r="L1121" i="1"/>
  <c r="DA966" i="1"/>
  <c r="CY966" i="1"/>
  <c r="CX966" i="1"/>
  <c r="J1121" i="1"/>
  <c r="BL966" i="1"/>
  <c r="BK966" i="1"/>
  <c r="DG965" i="1"/>
  <c r="M803" i="1"/>
  <c r="L803" i="1"/>
  <c r="DA965" i="1"/>
  <c r="CY965" i="1"/>
  <c r="CX965" i="1"/>
  <c r="J803" i="1"/>
  <c r="BL965" i="1"/>
  <c r="BK965" i="1"/>
  <c r="DG964" i="1"/>
  <c r="M804" i="1"/>
  <c r="L804" i="1"/>
  <c r="DA964" i="1"/>
  <c r="CY964" i="1"/>
  <c r="CX964" i="1"/>
  <c r="J804" i="1"/>
  <c r="BL964" i="1"/>
  <c r="BK964" i="1"/>
  <c r="DG963" i="1"/>
  <c r="M805" i="1"/>
  <c r="L805" i="1"/>
  <c r="DA963" i="1"/>
  <c r="CY963" i="1"/>
  <c r="CX963" i="1"/>
  <c r="J805" i="1"/>
  <c r="BL963" i="1"/>
  <c r="BK963" i="1"/>
  <c r="DG962" i="1"/>
  <c r="M806" i="1"/>
  <c r="L806" i="1"/>
  <c r="DA962" i="1"/>
  <c r="CY962" i="1"/>
  <c r="CX962" i="1"/>
  <c r="J806" i="1"/>
  <c r="BL962" i="1"/>
  <c r="BK962" i="1"/>
  <c r="DG961" i="1"/>
  <c r="M807" i="1"/>
  <c r="L807" i="1"/>
  <c r="DA961" i="1"/>
  <c r="CY961" i="1"/>
  <c r="CX961" i="1"/>
  <c r="J807" i="1"/>
  <c r="BL961" i="1"/>
  <c r="BK961" i="1"/>
  <c r="DG960" i="1"/>
  <c r="M808" i="1"/>
  <c r="L808" i="1"/>
  <c r="DA960" i="1"/>
  <c r="CY960" i="1"/>
  <c r="CX960" i="1"/>
  <c r="J808" i="1"/>
  <c r="BL960" i="1"/>
  <c r="BK960" i="1"/>
  <c r="DG959" i="1"/>
  <c r="M809" i="1"/>
  <c r="L809" i="1"/>
  <c r="DA959" i="1"/>
  <c r="CY959" i="1"/>
  <c r="CX959" i="1"/>
  <c r="J809" i="1"/>
  <c r="BL959" i="1"/>
  <c r="BK959" i="1"/>
  <c r="DG958" i="1"/>
  <c r="M503" i="1"/>
  <c r="L503" i="1"/>
  <c r="DA958" i="1"/>
  <c r="CY958" i="1"/>
  <c r="CX958" i="1"/>
  <c r="J503" i="1"/>
  <c r="BL958" i="1"/>
  <c r="BK958" i="1"/>
  <c r="DG957" i="1"/>
  <c r="M504" i="1"/>
  <c r="L504" i="1"/>
  <c r="DA957" i="1"/>
  <c r="CY957" i="1"/>
  <c r="CX957" i="1"/>
  <c r="J504" i="1"/>
  <c r="BL957" i="1"/>
  <c r="BK957" i="1"/>
  <c r="DG956" i="1"/>
  <c r="M531" i="1"/>
  <c r="L531" i="1"/>
  <c r="DA956" i="1"/>
  <c r="CY956" i="1"/>
  <c r="CX956" i="1"/>
  <c r="J531" i="1"/>
  <c r="BL956" i="1"/>
  <c r="BK956" i="1"/>
  <c r="DG955" i="1"/>
  <c r="M810" i="1"/>
  <c r="L810" i="1"/>
  <c r="DA955" i="1"/>
  <c r="CY955" i="1"/>
  <c r="CX955" i="1"/>
  <c r="J810" i="1"/>
  <c r="BL955" i="1"/>
  <c r="BK955" i="1"/>
  <c r="DG954" i="1"/>
  <c r="M640" i="1"/>
  <c r="L640" i="1"/>
  <c r="DA954" i="1"/>
  <c r="CY954" i="1"/>
  <c r="CX954" i="1"/>
  <c r="J640" i="1"/>
  <c r="BL954" i="1"/>
  <c r="BK954" i="1"/>
  <c r="DG953" i="1"/>
  <c r="M641" i="1"/>
  <c r="L641" i="1"/>
  <c r="DA953" i="1"/>
  <c r="CY953" i="1"/>
  <c r="CX953" i="1"/>
  <c r="J641" i="1"/>
  <c r="BL953" i="1"/>
  <c r="BK953" i="1"/>
  <c r="DG952" i="1"/>
  <c r="M642" i="1"/>
  <c r="L642" i="1"/>
  <c r="DA952" i="1"/>
  <c r="CY952" i="1"/>
  <c r="CX952" i="1"/>
  <c r="J642" i="1"/>
  <c r="BL952" i="1"/>
  <c r="BK952" i="1"/>
  <c r="DG951" i="1"/>
  <c r="M811" i="1"/>
  <c r="L811" i="1"/>
  <c r="DA951" i="1"/>
  <c r="CY951" i="1"/>
  <c r="CX951" i="1"/>
  <c r="J811" i="1"/>
  <c r="BL951" i="1"/>
  <c r="BK951" i="1"/>
  <c r="DG950" i="1"/>
  <c r="M2298" i="1"/>
  <c r="L2298" i="1"/>
  <c r="DA950" i="1"/>
  <c r="CY950" i="1"/>
  <c r="CX950" i="1"/>
  <c r="J2298" i="1"/>
  <c r="BL950" i="1"/>
  <c r="BK950" i="1"/>
  <c r="DG949" i="1"/>
  <c r="M644" i="1"/>
  <c r="L644" i="1"/>
  <c r="DA949" i="1"/>
  <c r="CY949" i="1"/>
  <c r="CX949" i="1"/>
  <c r="J644" i="1"/>
  <c r="BL949" i="1"/>
  <c r="BK949" i="1"/>
  <c r="DG948" i="1"/>
  <c r="M812" i="1"/>
  <c r="L812" i="1"/>
  <c r="DA948" i="1"/>
  <c r="CY948" i="1"/>
  <c r="CX948" i="1"/>
  <c r="J812" i="1"/>
  <c r="BL948" i="1"/>
  <c r="BK948" i="1"/>
  <c r="DG947" i="1"/>
  <c r="M813" i="1"/>
  <c r="L813" i="1"/>
  <c r="DA947" i="1"/>
  <c r="CY947" i="1"/>
  <c r="CX947" i="1"/>
  <c r="J813" i="1"/>
  <c r="BL947" i="1"/>
  <c r="BK947" i="1"/>
  <c r="DG946" i="1"/>
  <c r="M645" i="1"/>
  <c r="L645" i="1"/>
  <c r="DA946" i="1"/>
  <c r="CY946" i="1"/>
  <c r="CX946" i="1"/>
  <c r="J645" i="1"/>
  <c r="BL946" i="1"/>
  <c r="BK946" i="1"/>
  <c r="DG945" i="1"/>
  <c r="M814" i="1"/>
  <c r="L814" i="1"/>
  <c r="DA945" i="1"/>
  <c r="CY945" i="1"/>
  <c r="CX945" i="1"/>
  <c r="J814" i="1"/>
  <c r="BL945" i="1"/>
  <c r="BK945" i="1"/>
  <c r="DG944" i="1"/>
  <c r="M647" i="1"/>
  <c r="L647" i="1"/>
  <c r="DA944" i="1"/>
  <c r="CY944" i="1"/>
  <c r="CX944" i="1"/>
  <c r="J647" i="1"/>
  <c r="BL944" i="1"/>
  <c r="BK944" i="1"/>
  <c r="DG943" i="1"/>
  <c r="M23" i="1"/>
  <c r="L23" i="1"/>
  <c r="DA943" i="1"/>
  <c r="CY943" i="1"/>
  <c r="CX943" i="1"/>
  <c r="J23" i="1"/>
  <c r="BL943" i="1"/>
  <c r="BK943" i="1"/>
  <c r="DG942" i="1"/>
  <c r="M24" i="1"/>
  <c r="L24" i="1"/>
  <c r="DA942" i="1"/>
  <c r="CY942" i="1"/>
  <c r="CX942" i="1"/>
  <c r="J24" i="1"/>
  <c r="BL942" i="1"/>
  <c r="BK942" i="1"/>
  <c r="DG941" i="1"/>
  <c r="M648" i="1"/>
  <c r="L648" i="1"/>
  <c r="DA941" i="1"/>
  <c r="CY941" i="1"/>
  <c r="CX941" i="1"/>
  <c r="J648" i="1"/>
  <c r="BL941" i="1"/>
  <c r="BK941" i="1"/>
  <c r="DG940" i="1"/>
  <c r="M115" i="1"/>
  <c r="L115" i="1"/>
  <c r="DA940" i="1"/>
  <c r="CY940" i="1"/>
  <c r="CX940" i="1"/>
  <c r="J115" i="1"/>
  <c r="BL940" i="1"/>
  <c r="BK940" i="1"/>
  <c r="DG939" i="1"/>
  <c r="M117" i="1"/>
  <c r="L117" i="1"/>
  <c r="DA939" i="1"/>
  <c r="CY939" i="1"/>
  <c r="CX939" i="1"/>
  <c r="J117" i="1"/>
  <c r="BL939" i="1"/>
  <c r="BK939" i="1"/>
  <c r="DG938" i="1"/>
  <c r="M118" i="1"/>
  <c r="L118" i="1"/>
  <c r="DA938" i="1"/>
  <c r="CY938" i="1"/>
  <c r="CX938" i="1"/>
  <c r="J118" i="1"/>
  <c r="BL938" i="1"/>
  <c r="BK938" i="1"/>
  <c r="DG937" i="1"/>
  <c r="M148" i="1"/>
  <c r="L148" i="1"/>
  <c r="DA937" i="1"/>
  <c r="CY937" i="1"/>
  <c r="CX937" i="1"/>
  <c r="J148" i="1"/>
  <c r="BL937" i="1"/>
  <c r="BK937" i="1"/>
  <c r="DG936" i="1"/>
  <c r="M149" i="1"/>
  <c r="L149" i="1"/>
  <c r="DA936" i="1"/>
  <c r="CY936" i="1"/>
  <c r="CX936" i="1"/>
  <c r="J149" i="1"/>
  <c r="BL936" i="1"/>
  <c r="BK936" i="1"/>
  <c r="DG935" i="1"/>
  <c r="M150" i="1"/>
  <c r="L150" i="1"/>
  <c r="DA935" i="1"/>
  <c r="CY935" i="1"/>
  <c r="CX935" i="1"/>
  <c r="J150" i="1"/>
  <c r="BL935" i="1"/>
  <c r="BK935" i="1"/>
  <c r="DG934" i="1"/>
  <c r="M2297" i="1"/>
  <c r="L2297" i="1"/>
  <c r="DA934" i="1"/>
  <c r="CY934" i="1"/>
  <c r="CX934" i="1"/>
  <c r="J2297" i="1"/>
  <c r="BL934" i="1"/>
  <c r="BK934" i="1"/>
  <c r="DG933" i="1"/>
  <c r="M155" i="1"/>
  <c r="L155" i="1"/>
  <c r="DA933" i="1"/>
  <c r="CY933" i="1"/>
  <c r="CX933" i="1"/>
  <c r="J155" i="1"/>
  <c r="BL933" i="1"/>
  <c r="BK933" i="1"/>
  <c r="DG932" i="1"/>
  <c r="M363" i="1"/>
  <c r="L363" i="1"/>
  <c r="DA932" i="1"/>
  <c r="CY932" i="1"/>
  <c r="CX932" i="1"/>
  <c r="J363" i="1"/>
  <c r="BL932" i="1"/>
  <c r="BK932" i="1"/>
  <c r="DG931" i="1"/>
  <c r="M370" i="1"/>
  <c r="L370" i="1"/>
  <c r="DA931" i="1"/>
  <c r="CY931" i="1"/>
  <c r="CX931" i="1"/>
  <c r="J370" i="1"/>
  <c r="BL931" i="1"/>
  <c r="BK931" i="1"/>
  <c r="DG930" i="1"/>
  <c r="M437" i="1"/>
  <c r="L437" i="1"/>
  <c r="DA930" i="1"/>
  <c r="CY930" i="1"/>
  <c r="CX930" i="1"/>
  <c r="J437" i="1"/>
  <c r="BL930" i="1"/>
  <c r="BK930" i="1"/>
  <c r="DG929" i="1"/>
  <c r="M731" i="1"/>
  <c r="L731" i="1"/>
  <c r="DA929" i="1"/>
  <c r="CY929" i="1"/>
  <c r="CX929" i="1"/>
  <c r="J731" i="1"/>
  <c r="BL929" i="1"/>
  <c r="BK929" i="1"/>
  <c r="DG928" i="1"/>
  <c r="M815" i="1"/>
  <c r="L815" i="1"/>
  <c r="DA928" i="1"/>
  <c r="CY928" i="1"/>
  <c r="CX928" i="1"/>
  <c r="J815" i="1"/>
  <c r="BL928" i="1"/>
  <c r="BK928" i="1"/>
  <c r="DG927" i="1"/>
  <c r="M649" i="1"/>
  <c r="L649" i="1"/>
  <c r="DA927" i="1"/>
  <c r="CY927" i="1"/>
  <c r="CX927" i="1"/>
  <c r="J649" i="1"/>
  <c r="BL927" i="1"/>
  <c r="BK927" i="1"/>
  <c r="DG926" i="1"/>
  <c r="M650" i="1"/>
  <c r="L650" i="1"/>
  <c r="DA926" i="1"/>
  <c r="CY926" i="1"/>
  <c r="CX926" i="1"/>
  <c r="J650" i="1"/>
  <c r="BL926" i="1"/>
  <c r="BK926" i="1"/>
  <c r="DG925" i="1"/>
  <c r="M651" i="1"/>
  <c r="L651" i="1"/>
  <c r="DA925" i="1"/>
  <c r="CY925" i="1"/>
  <c r="CX925" i="1"/>
  <c r="J651" i="1"/>
  <c r="BL925" i="1"/>
  <c r="BK925" i="1"/>
  <c r="DG924" i="1"/>
  <c r="M652" i="1"/>
  <c r="L652" i="1"/>
  <c r="DA924" i="1"/>
  <c r="CY924" i="1"/>
  <c r="CX924" i="1"/>
  <c r="J652" i="1"/>
  <c r="BL924" i="1"/>
  <c r="BK924" i="1"/>
  <c r="DG923" i="1"/>
  <c r="M816" i="1"/>
  <c r="L816" i="1"/>
  <c r="DA923" i="1"/>
  <c r="CY923" i="1"/>
  <c r="CX923" i="1"/>
  <c r="J816" i="1"/>
  <c r="BL923" i="1"/>
  <c r="BK923" i="1"/>
  <c r="DG922" i="1"/>
  <c r="M501" i="1"/>
  <c r="L501" i="1"/>
  <c r="DA922" i="1"/>
  <c r="CY922" i="1"/>
  <c r="CX922" i="1"/>
  <c r="J501" i="1"/>
  <c r="BL922" i="1"/>
  <c r="BK922" i="1"/>
  <c r="DG921" i="1"/>
  <c r="M817" i="1"/>
  <c r="L817" i="1"/>
  <c r="DA921" i="1"/>
  <c r="CY921" i="1"/>
  <c r="CX921" i="1"/>
  <c r="J817" i="1"/>
  <c r="BL921" i="1"/>
  <c r="BK921" i="1"/>
  <c r="DG920" i="1"/>
  <c r="M2" i="1"/>
  <c r="L2" i="1"/>
  <c r="DA920" i="1"/>
  <c r="CY920" i="1"/>
  <c r="CX920" i="1"/>
  <c r="J2" i="1"/>
  <c r="BL920" i="1"/>
  <c r="BK920" i="1"/>
  <c r="DG919" i="1"/>
  <c r="M3" i="1"/>
  <c r="L3" i="1"/>
  <c r="DA919" i="1"/>
  <c r="CY919" i="1"/>
  <c r="CX919" i="1"/>
  <c r="J3" i="1"/>
  <c r="BL919" i="1"/>
  <c r="BK919" i="1"/>
  <c r="DG918" i="1"/>
  <c r="M1120" i="1"/>
  <c r="L1120" i="1"/>
  <c r="DA918" i="1"/>
  <c r="CY918" i="1"/>
  <c r="CX918" i="1"/>
  <c r="J1120" i="1"/>
  <c r="BL918" i="1"/>
  <c r="BK918" i="1"/>
  <c r="DG917" i="1"/>
  <c r="M5" i="1"/>
  <c r="L5" i="1"/>
  <c r="DA917" i="1"/>
  <c r="CY917" i="1"/>
  <c r="CX917" i="1"/>
  <c r="J5" i="1"/>
  <c r="BL917" i="1"/>
  <c r="BK917" i="1"/>
  <c r="DG916" i="1"/>
  <c r="M6" i="1"/>
  <c r="L6" i="1"/>
  <c r="DA916" i="1"/>
  <c r="CY916" i="1"/>
  <c r="CX916" i="1"/>
  <c r="J6" i="1"/>
  <c r="BL916" i="1"/>
  <c r="BK916" i="1"/>
  <c r="DG915" i="1"/>
  <c r="M7" i="1"/>
  <c r="L7" i="1"/>
  <c r="DA915" i="1"/>
  <c r="CY915" i="1"/>
  <c r="CX915" i="1"/>
  <c r="J7" i="1"/>
  <c r="BL915" i="1"/>
  <c r="BK915" i="1"/>
  <c r="DG914" i="1"/>
  <c r="M8" i="1"/>
  <c r="L8" i="1"/>
  <c r="DA914" i="1"/>
  <c r="CY914" i="1"/>
  <c r="CX914" i="1"/>
  <c r="J8" i="1"/>
  <c r="BL914" i="1"/>
  <c r="BK914" i="1"/>
  <c r="DG913" i="1"/>
  <c r="M9" i="1"/>
  <c r="L9" i="1"/>
  <c r="DA913" i="1"/>
  <c r="CY913" i="1"/>
  <c r="CX913" i="1"/>
  <c r="J9" i="1"/>
  <c r="BL913" i="1"/>
  <c r="BK913" i="1"/>
  <c r="DG912" i="1"/>
  <c r="M10" i="1"/>
  <c r="L10" i="1"/>
  <c r="DA912" i="1"/>
  <c r="CY912" i="1"/>
  <c r="CX912" i="1"/>
  <c r="J10" i="1"/>
  <c r="BL912" i="1"/>
  <c r="BK912" i="1"/>
  <c r="DG911" i="1"/>
  <c r="M11" i="1"/>
  <c r="L11" i="1"/>
  <c r="DA911" i="1"/>
  <c r="CY911" i="1"/>
  <c r="CX911" i="1"/>
  <c r="J11" i="1"/>
  <c r="BL911" i="1"/>
  <c r="BK911" i="1"/>
  <c r="DG910" i="1"/>
  <c r="M3411" i="1"/>
  <c r="L3411" i="1"/>
  <c r="DA910" i="1"/>
  <c r="CY910" i="1"/>
  <c r="CX910" i="1"/>
  <c r="J3411" i="1"/>
  <c r="CW910" i="1"/>
  <c r="BL910" i="1"/>
  <c r="BK910" i="1"/>
  <c r="DG909" i="1"/>
  <c r="M13" i="1"/>
  <c r="L13" i="1"/>
  <c r="DA909" i="1"/>
  <c r="CY909" i="1"/>
  <c r="CX909" i="1"/>
  <c r="J13" i="1"/>
  <c r="BL909" i="1"/>
  <c r="BK909" i="1"/>
  <c r="DG908" i="1"/>
  <c r="M14" i="1"/>
  <c r="L14" i="1"/>
  <c r="DA908" i="1"/>
  <c r="CY908" i="1"/>
  <c r="CX908" i="1"/>
  <c r="J14" i="1"/>
  <c r="BL908" i="1"/>
  <c r="BK908" i="1"/>
  <c r="DG907" i="1"/>
  <c r="M15" i="1"/>
  <c r="L15" i="1"/>
  <c r="DA907" i="1"/>
  <c r="CY907" i="1"/>
  <c r="CX907" i="1"/>
  <c r="J15" i="1"/>
  <c r="BL907" i="1"/>
  <c r="BK907" i="1"/>
  <c r="DG906" i="1"/>
  <c r="M16" i="1"/>
  <c r="L16" i="1"/>
  <c r="DA906" i="1"/>
  <c r="CY906" i="1"/>
  <c r="CX906" i="1"/>
  <c r="J16" i="1"/>
  <c r="BL906" i="1"/>
  <c r="BK906" i="1"/>
  <c r="DG905" i="1"/>
  <c r="M17" i="1"/>
  <c r="L17" i="1"/>
  <c r="DA905" i="1"/>
  <c r="CY905" i="1"/>
  <c r="CX905" i="1"/>
  <c r="J17" i="1"/>
  <c r="BL905" i="1"/>
  <c r="BK905" i="1"/>
  <c r="DG904" i="1"/>
  <c r="M18" i="1"/>
  <c r="L18" i="1"/>
  <c r="DA904" i="1"/>
  <c r="CY904" i="1"/>
  <c r="CX904" i="1"/>
  <c r="J18" i="1"/>
  <c r="BL904" i="1"/>
  <c r="BK904" i="1"/>
  <c r="DG903" i="1"/>
  <c r="M19" i="1"/>
  <c r="L19" i="1"/>
  <c r="DA903" i="1"/>
  <c r="CY903" i="1"/>
  <c r="CX903" i="1"/>
  <c r="J19" i="1"/>
  <c r="BL903" i="1"/>
  <c r="BK903" i="1"/>
  <c r="DG902" i="1"/>
  <c r="M134" i="1"/>
  <c r="L134" i="1"/>
  <c r="DA902" i="1"/>
  <c r="CY902" i="1"/>
  <c r="CX902" i="1"/>
  <c r="J134" i="1"/>
  <c r="BL902" i="1"/>
  <c r="BK902" i="1"/>
  <c r="DG901" i="1"/>
  <c r="M22" i="1"/>
  <c r="L22" i="1"/>
  <c r="DA901" i="1"/>
  <c r="CY901" i="1"/>
  <c r="CX901" i="1"/>
  <c r="J22" i="1"/>
  <c r="BL901" i="1"/>
  <c r="BK901" i="1"/>
  <c r="DG900" i="1"/>
  <c r="M25" i="1"/>
  <c r="L25" i="1"/>
  <c r="DA900" i="1"/>
  <c r="CY900" i="1"/>
  <c r="CX900" i="1"/>
  <c r="J25" i="1"/>
  <c r="BL900" i="1"/>
  <c r="BK900" i="1"/>
  <c r="DG899" i="1"/>
  <c r="M26" i="1"/>
  <c r="L26" i="1"/>
  <c r="DA899" i="1"/>
  <c r="CY899" i="1"/>
  <c r="CX899" i="1"/>
  <c r="J26" i="1"/>
  <c r="BL899" i="1"/>
  <c r="BK899" i="1"/>
  <c r="DG898" i="1"/>
  <c r="M28" i="1"/>
  <c r="L28" i="1"/>
  <c r="DA898" i="1"/>
  <c r="CY898" i="1"/>
  <c r="CX898" i="1"/>
  <c r="J28" i="1"/>
  <c r="BL898" i="1"/>
  <c r="BK898" i="1"/>
  <c r="DG897" i="1"/>
  <c r="M29" i="1"/>
  <c r="L29" i="1"/>
  <c r="DA897" i="1"/>
  <c r="CY897" i="1"/>
  <c r="CX897" i="1"/>
  <c r="J29" i="1"/>
  <c r="BL897" i="1"/>
  <c r="BK897" i="1"/>
  <c r="DG896" i="1"/>
  <c r="M30" i="1"/>
  <c r="L30" i="1"/>
  <c r="DA896" i="1"/>
  <c r="CY896" i="1"/>
  <c r="CX896" i="1"/>
  <c r="J30" i="1"/>
  <c r="BL896" i="1"/>
  <c r="BK896" i="1"/>
  <c r="DG895" i="1"/>
  <c r="M31" i="1"/>
  <c r="L31" i="1"/>
  <c r="DA895" i="1"/>
  <c r="CY895" i="1"/>
  <c r="CX895" i="1"/>
  <c r="J31" i="1"/>
  <c r="BL895" i="1"/>
  <c r="BK895" i="1"/>
  <c r="DG894" i="1"/>
  <c r="M32" i="1"/>
  <c r="L32" i="1"/>
  <c r="DA894" i="1"/>
  <c r="CY894" i="1"/>
  <c r="CX894" i="1"/>
  <c r="J32" i="1"/>
  <c r="BL894" i="1"/>
  <c r="BK894" i="1"/>
  <c r="DG893" i="1"/>
  <c r="M33" i="1"/>
  <c r="L33" i="1"/>
  <c r="DA893" i="1"/>
  <c r="CY893" i="1"/>
  <c r="CX893" i="1"/>
  <c r="J33" i="1"/>
  <c r="BL893" i="1"/>
  <c r="BK893" i="1"/>
  <c r="DG892" i="1"/>
  <c r="M34" i="1"/>
  <c r="L34" i="1"/>
  <c r="DA892" i="1"/>
  <c r="CY892" i="1"/>
  <c r="CX892" i="1"/>
  <c r="J34" i="1"/>
  <c r="BL892" i="1"/>
  <c r="BK892" i="1"/>
  <c r="DG891" i="1"/>
  <c r="M35" i="1"/>
  <c r="L35" i="1"/>
  <c r="DA891" i="1"/>
  <c r="CY891" i="1"/>
  <c r="CX891" i="1"/>
  <c r="J35" i="1"/>
  <c r="BL891" i="1"/>
  <c r="BK891" i="1"/>
  <c r="DG890" i="1"/>
  <c r="M36" i="1"/>
  <c r="L36" i="1"/>
  <c r="DA890" i="1"/>
  <c r="CY890" i="1"/>
  <c r="CX890" i="1"/>
  <c r="J36" i="1"/>
  <c r="BL890" i="1"/>
  <c r="BK890" i="1"/>
  <c r="DG889" i="1"/>
  <c r="M37" i="1"/>
  <c r="L37" i="1"/>
  <c r="DA889" i="1"/>
  <c r="CY889" i="1"/>
  <c r="CX889" i="1"/>
  <c r="J37" i="1"/>
  <c r="BL889" i="1"/>
  <c r="BK889" i="1"/>
  <c r="DG888" i="1"/>
  <c r="M38" i="1"/>
  <c r="L38" i="1"/>
  <c r="DA888" i="1"/>
  <c r="CY888" i="1"/>
  <c r="CX888" i="1"/>
  <c r="J38" i="1"/>
  <c r="BL888" i="1"/>
  <c r="BK888" i="1"/>
  <c r="DG887" i="1"/>
  <c r="M39" i="1"/>
  <c r="L39" i="1"/>
  <c r="DA887" i="1"/>
  <c r="CY887" i="1"/>
  <c r="CX887" i="1"/>
  <c r="J39" i="1"/>
  <c r="BL887" i="1"/>
  <c r="BK887" i="1"/>
  <c r="DG886" i="1"/>
  <c r="M1829" i="1"/>
  <c r="L1829" i="1"/>
  <c r="DA886" i="1"/>
  <c r="CY886" i="1"/>
  <c r="CX886" i="1"/>
  <c r="J1829" i="1"/>
  <c r="BL886" i="1"/>
  <c r="BK886" i="1"/>
  <c r="DG885" i="1"/>
  <c r="M41" i="1"/>
  <c r="L41" i="1"/>
  <c r="DA885" i="1"/>
  <c r="CY885" i="1"/>
  <c r="CX885" i="1"/>
  <c r="J41" i="1"/>
  <c r="BL885" i="1"/>
  <c r="BK885" i="1"/>
  <c r="DG884" i="1"/>
  <c r="M42" i="1"/>
  <c r="L42" i="1"/>
  <c r="DA884" i="1"/>
  <c r="CY884" i="1"/>
  <c r="CX884" i="1"/>
  <c r="J42" i="1"/>
  <c r="BL884" i="1"/>
  <c r="BK884" i="1"/>
  <c r="DG883" i="1"/>
  <c r="M43" i="1"/>
  <c r="L43" i="1"/>
  <c r="DA883" i="1"/>
  <c r="CY883" i="1"/>
  <c r="CX883" i="1"/>
  <c r="J43" i="1"/>
  <c r="BL883" i="1"/>
  <c r="BK883" i="1"/>
  <c r="DG882" i="1"/>
  <c r="M44" i="1"/>
  <c r="L44" i="1"/>
  <c r="DA882" i="1"/>
  <c r="CY882" i="1"/>
  <c r="CX882" i="1"/>
  <c r="J44" i="1"/>
  <c r="BL882" i="1"/>
  <c r="BK882" i="1"/>
  <c r="DG881" i="1"/>
  <c r="M45" i="1"/>
  <c r="L45" i="1"/>
  <c r="DA881" i="1"/>
  <c r="CY881" i="1"/>
  <c r="CX881" i="1"/>
  <c r="J45" i="1"/>
  <c r="BL881" i="1"/>
  <c r="BK881" i="1"/>
  <c r="DG880" i="1"/>
  <c r="M46" i="1"/>
  <c r="L46" i="1"/>
  <c r="DA880" i="1"/>
  <c r="CY880" i="1"/>
  <c r="CX880" i="1"/>
  <c r="J46" i="1"/>
  <c r="BL880" i="1"/>
  <c r="BK880" i="1"/>
  <c r="DG879" i="1"/>
  <c r="M47" i="1"/>
  <c r="L47" i="1"/>
  <c r="DA879" i="1"/>
  <c r="CY879" i="1"/>
  <c r="CX879" i="1"/>
  <c r="J47" i="1"/>
  <c r="BL879" i="1"/>
  <c r="BK879" i="1"/>
  <c r="DG878" i="1"/>
  <c r="M2296" i="1"/>
  <c r="L2296" i="1"/>
  <c r="DA878" i="1"/>
  <c r="CY878" i="1"/>
  <c r="CX878" i="1"/>
  <c r="J2296" i="1"/>
  <c r="BL878" i="1"/>
  <c r="BK878" i="1"/>
  <c r="DG877" i="1"/>
  <c r="M49" i="1"/>
  <c r="L49" i="1"/>
  <c r="DA877" i="1"/>
  <c r="CY877" i="1"/>
  <c r="CX877" i="1"/>
  <c r="J49" i="1"/>
  <c r="BL877" i="1"/>
  <c r="BK877" i="1"/>
  <c r="DG876" i="1"/>
  <c r="M50" i="1"/>
  <c r="L50" i="1"/>
  <c r="DA876" i="1"/>
  <c r="CY876" i="1"/>
  <c r="CX876" i="1"/>
  <c r="J50" i="1"/>
  <c r="BL876" i="1"/>
  <c r="BK876" i="1"/>
  <c r="DG875" i="1"/>
  <c r="M51" i="1"/>
  <c r="L51" i="1"/>
  <c r="DA875" i="1"/>
  <c r="CY875" i="1"/>
  <c r="CX875" i="1"/>
  <c r="J51" i="1"/>
  <c r="BL875" i="1"/>
  <c r="BK875" i="1"/>
  <c r="DG874" i="1"/>
  <c r="M52" i="1"/>
  <c r="L52" i="1"/>
  <c r="DA874" i="1"/>
  <c r="CY874" i="1"/>
  <c r="CX874" i="1"/>
  <c r="J52" i="1"/>
  <c r="BL874" i="1"/>
  <c r="BK874" i="1"/>
  <c r="DG873" i="1"/>
  <c r="M53" i="1"/>
  <c r="L53" i="1"/>
  <c r="DA873" i="1"/>
  <c r="CY873" i="1"/>
  <c r="CX873" i="1"/>
  <c r="J53" i="1"/>
  <c r="BL873" i="1"/>
  <c r="BK873" i="1"/>
  <c r="DG872" i="1"/>
  <c r="M54" i="1"/>
  <c r="L54" i="1"/>
  <c r="DA872" i="1"/>
  <c r="CY872" i="1"/>
  <c r="CX872" i="1"/>
  <c r="J54" i="1"/>
  <c r="BL872" i="1"/>
  <c r="BK872" i="1"/>
  <c r="DG871" i="1"/>
  <c r="M55" i="1"/>
  <c r="L55" i="1"/>
  <c r="DA871" i="1"/>
  <c r="CY871" i="1"/>
  <c r="CX871" i="1"/>
  <c r="J55" i="1"/>
  <c r="BL871" i="1"/>
  <c r="BK871" i="1"/>
  <c r="DG870" i="1"/>
  <c r="M2295" i="1"/>
  <c r="L2295" i="1"/>
  <c r="DA870" i="1"/>
  <c r="CY870" i="1"/>
  <c r="CX870" i="1"/>
  <c r="J2295" i="1"/>
  <c r="BL870" i="1"/>
  <c r="BK870" i="1"/>
  <c r="DG869" i="1"/>
  <c r="M57" i="1"/>
  <c r="L57" i="1"/>
  <c r="DA869" i="1"/>
  <c r="CY869" i="1"/>
  <c r="CX869" i="1"/>
  <c r="J57" i="1"/>
  <c r="BL869" i="1"/>
  <c r="BK869" i="1"/>
  <c r="DG868" i="1"/>
  <c r="M58" i="1"/>
  <c r="L58" i="1"/>
  <c r="DA868" i="1"/>
  <c r="CY868" i="1"/>
  <c r="CX868" i="1"/>
  <c r="J58" i="1"/>
  <c r="BL868" i="1"/>
  <c r="BK868" i="1"/>
  <c r="DG867" i="1"/>
  <c r="M59" i="1"/>
  <c r="L59" i="1"/>
  <c r="DA867" i="1"/>
  <c r="CY867" i="1"/>
  <c r="CX867" i="1"/>
  <c r="J59" i="1"/>
  <c r="BL867" i="1"/>
  <c r="BK867" i="1"/>
  <c r="DG866" i="1"/>
  <c r="M60" i="1"/>
  <c r="L60" i="1"/>
  <c r="DA866" i="1"/>
  <c r="CY866" i="1"/>
  <c r="CX866" i="1"/>
  <c r="J60" i="1"/>
  <c r="BL866" i="1"/>
  <c r="BK866" i="1"/>
  <c r="DG865" i="1"/>
  <c r="M61" i="1"/>
  <c r="L61" i="1"/>
  <c r="DA865" i="1"/>
  <c r="CY865" i="1"/>
  <c r="CX865" i="1"/>
  <c r="J61" i="1"/>
  <c r="BL865" i="1"/>
  <c r="BK865" i="1"/>
  <c r="DG864" i="1"/>
  <c r="M62" i="1"/>
  <c r="L62" i="1"/>
  <c r="DA864" i="1"/>
  <c r="CY864" i="1"/>
  <c r="CX864" i="1"/>
  <c r="J62" i="1"/>
  <c r="BL864" i="1"/>
  <c r="BK864" i="1"/>
  <c r="DG863" i="1"/>
  <c r="M63" i="1"/>
  <c r="L63" i="1"/>
  <c r="DA863" i="1"/>
  <c r="CY863" i="1"/>
  <c r="CX863" i="1"/>
  <c r="J63" i="1"/>
  <c r="BL863" i="1"/>
  <c r="BK863" i="1"/>
  <c r="DG862" i="1"/>
  <c r="M64" i="1"/>
  <c r="L64" i="1"/>
  <c r="DA862" i="1"/>
  <c r="CY862" i="1"/>
  <c r="CX862" i="1"/>
  <c r="J64" i="1"/>
  <c r="BL862" i="1"/>
  <c r="BK862" i="1"/>
  <c r="DG861" i="1"/>
  <c r="M65" i="1"/>
  <c r="L65" i="1"/>
  <c r="DA861" i="1"/>
  <c r="CY861" i="1"/>
  <c r="CX861" i="1"/>
  <c r="J65" i="1"/>
  <c r="BL861" i="1"/>
  <c r="BK861" i="1"/>
  <c r="DG860" i="1"/>
  <c r="M66" i="1"/>
  <c r="L66" i="1"/>
  <c r="DA860" i="1"/>
  <c r="CY860" i="1"/>
  <c r="CX860" i="1"/>
  <c r="J66" i="1"/>
  <c r="BL860" i="1"/>
  <c r="BK860" i="1"/>
  <c r="DG859" i="1"/>
  <c r="M67" i="1"/>
  <c r="L67" i="1"/>
  <c r="DA859" i="1"/>
  <c r="CY859" i="1"/>
  <c r="CX859" i="1"/>
  <c r="J67" i="1"/>
  <c r="BL859" i="1"/>
  <c r="BK859" i="1"/>
  <c r="DG858" i="1"/>
  <c r="M68" i="1"/>
  <c r="L68" i="1"/>
  <c r="DA858" i="1"/>
  <c r="CY858" i="1"/>
  <c r="CX858" i="1"/>
  <c r="J68" i="1"/>
  <c r="BL858" i="1"/>
  <c r="BK858" i="1"/>
  <c r="DG857" i="1"/>
  <c r="M72" i="1"/>
  <c r="L72" i="1"/>
  <c r="DA857" i="1"/>
  <c r="CY857" i="1"/>
  <c r="CX857" i="1"/>
  <c r="J72" i="1"/>
  <c r="BL857" i="1"/>
  <c r="BK857" i="1"/>
  <c r="DG856" i="1"/>
  <c r="M73" i="1"/>
  <c r="L73" i="1"/>
  <c r="DA856" i="1"/>
  <c r="CY856" i="1"/>
  <c r="CX856" i="1"/>
  <c r="J73" i="1"/>
  <c r="BL856" i="1"/>
  <c r="BK856" i="1"/>
  <c r="DG855" i="1"/>
  <c r="M74" i="1"/>
  <c r="L74" i="1"/>
  <c r="DA855" i="1"/>
  <c r="CY855" i="1"/>
  <c r="CX855" i="1"/>
  <c r="J74" i="1"/>
  <c r="BL855" i="1"/>
  <c r="BK855" i="1"/>
  <c r="DG854" i="1"/>
  <c r="M1119" i="1"/>
  <c r="L1119" i="1"/>
  <c r="DA854" i="1"/>
  <c r="CY854" i="1"/>
  <c r="CX854" i="1"/>
  <c r="J1119" i="1"/>
  <c r="BL854" i="1"/>
  <c r="BK854" i="1"/>
  <c r="DG853" i="1"/>
  <c r="M78" i="1"/>
  <c r="L78" i="1"/>
  <c r="DA853" i="1"/>
  <c r="CY853" i="1"/>
  <c r="CX853" i="1"/>
  <c r="J78" i="1"/>
  <c r="BL853" i="1"/>
  <c r="BK853" i="1"/>
  <c r="DG852" i="1"/>
  <c r="M79" i="1"/>
  <c r="L79" i="1"/>
  <c r="DA852" i="1"/>
  <c r="CY852" i="1"/>
  <c r="CX852" i="1"/>
  <c r="J79" i="1"/>
  <c r="BL852" i="1"/>
  <c r="BK852" i="1"/>
  <c r="DG851" i="1"/>
  <c r="M80" i="1"/>
  <c r="L80" i="1"/>
  <c r="DA851" i="1"/>
  <c r="CY851" i="1"/>
  <c r="CX851" i="1"/>
  <c r="J80" i="1"/>
  <c r="BL851" i="1"/>
  <c r="BK851" i="1"/>
  <c r="DG850" i="1"/>
  <c r="M81" i="1"/>
  <c r="L81" i="1"/>
  <c r="DA850" i="1"/>
  <c r="CY850" i="1"/>
  <c r="CX850" i="1"/>
  <c r="J81" i="1"/>
  <c r="BL850" i="1"/>
  <c r="BK850" i="1"/>
  <c r="DG849" i="1"/>
  <c r="M82" i="1"/>
  <c r="L82" i="1"/>
  <c r="DA849" i="1"/>
  <c r="CY849" i="1"/>
  <c r="CX849" i="1"/>
  <c r="J82" i="1"/>
  <c r="BL849" i="1"/>
  <c r="BK849" i="1"/>
  <c r="DG848" i="1"/>
  <c r="M83" i="1"/>
  <c r="L83" i="1"/>
  <c r="DA848" i="1"/>
  <c r="CY848" i="1"/>
  <c r="CX848" i="1"/>
  <c r="J83" i="1"/>
  <c r="BL848" i="1"/>
  <c r="BK848" i="1"/>
  <c r="DG847" i="1"/>
  <c r="M84" i="1"/>
  <c r="L84" i="1"/>
  <c r="DA847" i="1"/>
  <c r="CY847" i="1"/>
  <c r="CX847" i="1"/>
  <c r="J84" i="1"/>
  <c r="BL847" i="1"/>
  <c r="BK847" i="1"/>
  <c r="DG846" i="1"/>
  <c r="M2294" i="1"/>
  <c r="L2294" i="1"/>
  <c r="DA846" i="1"/>
  <c r="CY846" i="1"/>
  <c r="CX846" i="1"/>
  <c r="J2294" i="1"/>
  <c r="BL846" i="1"/>
  <c r="BK846" i="1"/>
  <c r="DG845" i="1"/>
  <c r="M86" i="1"/>
  <c r="L86" i="1"/>
  <c r="DA845" i="1"/>
  <c r="CY845" i="1"/>
  <c r="CX845" i="1"/>
  <c r="J86" i="1"/>
  <c r="BL845" i="1"/>
  <c r="BK845" i="1"/>
  <c r="DG844" i="1"/>
  <c r="M87" i="1"/>
  <c r="L87" i="1"/>
  <c r="DA844" i="1"/>
  <c r="CY844" i="1"/>
  <c r="CX844" i="1"/>
  <c r="J87" i="1"/>
  <c r="BL844" i="1"/>
  <c r="BK844" i="1"/>
  <c r="DG843" i="1"/>
  <c r="M90" i="1"/>
  <c r="L90" i="1"/>
  <c r="DA843" i="1"/>
  <c r="CY843" i="1"/>
  <c r="CX843" i="1"/>
  <c r="J90" i="1"/>
  <c r="BL843" i="1"/>
  <c r="BK843" i="1"/>
  <c r="DG842" i="1"/>
  <c r="M91" i="1"/>
  <c r="L91" i="1"/>
  <c r="DA842" i="1"/>
  <c r="CY842" i="1"/>
  <c r="CX842" i="1"/>
  <c r="J91" i="1"/>
  <c r="BL842" i="1"/>
  <c r="BK842" i="1"/>
  <c r="DG841" i="1"/>
  <c r="M92" i="1"/>
  <c r="L92" i="1"/>
  <c r="DA841" i="1"/>
  <c r="CY841" i="1"/>
  <c r="CX841" i="1"/>
  <c r="J92" i="1"/>
  <c r="BL841" i="1"/>
  <c r="BK841" i="1"/>
  <c r="DG840" i="1"/>
  <c r="M93" i="1"/>
  <c r="L93" i="1"/>
  <c r="DA840" i="1"/>
  <c r="CY840" i="1"/>
  <c r="CX840" i="1"/>
  <c r="J93" i="1"/>
  <c r="BL840" i="1"/>
  <c r="BK840" i="1"/>
  <c r="DG839" i="1"/>
  <c r="M94" i="1"/>
  <c r="L94" i="1"/>
  <c r="DA839" i="1"/>
  <c r="CY839" i="1"/>
  <c r="CX839" i="1"/>
  <c r="J94" i="1"/>
  <c r="BL839" i="1"/>
  <c r="BK839" i="1"/>
  <c r="DG838" i="1"/>
  <c r="M2293" i="1"/>
  <c r="L2293" i="1"/>
  <c r="DA838" i="1"/>
  <c r="CY838" i="1"/>
  <c r="CX838" i="1"/>
  <c r="J2293" i="1"/>
  <c r="BL838" i="1"/>
  <c r="BK838" i="1"/>
  <c r="DG837" i="1"/>
  <c r="M96" i="1"/>
  <c r="L96" i="1"/>
  <c r="DA837" i="1"/>
  <c r="CY837" i="1"/>
  <c r="CX837" i="1"/>
  <c r="J96" i="1"/>
  <c r="BL837" i="1"/>
  <c r="BK837" i="1"/>
  <c r="DG836" i="1"/>
  <c r="M97" i="1"/>
  <c r="L97" i="1"/>
  <c r="DA836" i="1"/>
  <c r="CY836" i="1"/>
  <c r="CX836" i="1"/>
  <c r="J97" i="1"/>
  <c r="BL836" i="1"/>
  <c r="BK836" i="1"/>
  <c r="DG835" i="1"/>
  <c r="M98" i="1"/>
  <c r="L98" i="1"/>
  <c r="DA835" i="1"/>
  <c r="CY835" i="1"/>
  <c r="CX835" i="1"/>
  <c r="J98" i="1"/>
  <c r="BL835" i="1"/>
  <c r="BK835" i="1"/>
  <c r="DG834" i="1"/>
  <c r="M99" i="1"/>
  <c r="L99" i="1"/>
  <c r="DA834" i="1"/>
  <c r="CY834" i="1"/>
  <c r="CX834" i="1"/>
  <c r="J99" i="1"/>
  <c r="BL834" i="1"/>
  <c r="BK834" i="1"/>
  <c r="DG833" i="1"/>
  <c r="M100" i="1"/>
  <c r="L100" i="1"/>
  <c r="DA833" i="1"/>
  <c r="CY833" i="1"/>
  <c r="CX833" i="1"/>
  <c r="J100" i="1"/>
  <c r="BL833" i="1"/>
  <c r="BK833" i="1"/>
  <c r="DG832" i="1"/>
  <c r="M101" i="1"/>
  <c r="L101" i="1"/>
  <c r="DA832" i="1"/>
  <c r="CY832" i="1"/>
  <c r="CX832" i="1"/>
  <c r="J101" i="1"/>
  <c r="BL832" i="1"/>
  <c r="BK832" i="1"/>
  <c r="DG831" i="1"/>
  <c r="M102" i="1"/>
  <c r="L102" i="1"/>
  <c r="DA831" i="1"/>
  <c r="CY831" i="1"/>
  <c r="CX831" i="1"/>
  <c r="J102" i="1"/>
  <c r="BL831" i="1"/>
  <c r="BK831" i="1"/>
  <c r="DG830" i="1"/>
  <c r="M103" i="1"/>
  <c r="L103" i="1"/>
  <c r="DA830" i="1"/>
  <c r="CY830" i="1"/>
  <c r="CX830" i="1"/>
  <c r="J103" i="1"/>
  <c r="BL830" i="1"/>
  <c r="BK830" i="1"/>
  <c r="DG829" i="1"/>
  <c r="M104" i="1"/>
  <c r="L104" i="1"/>
  <c r="DA829" i="1"/>
  <c r="CY829" i="1"/>
  <c r="CX829" i="1"/>
  <c r="J104" i="1"/>
  <c r="BL829" i="1"/>
  <c r="BK829" i="1"/>
  <c r="DG828" i="1"/>
  <c r="M105" i="1"/>
  <c r="L105" i="1"/>
  <c r="DA828" i="1"/>
  <c r="CY828" i="1"/>
  <c r="CX828" i="1"/>
  <c r="J105" i="1"/>
  <c r="BL828" i="1"/>
  <c r="BK828" i="1"/>
  <c r="DG827" i="1"/>
  <c r="M106" i="1"/>
  <c r="L106" i="1"/>
  <c r="DA827" i="1"/>
  <c r="CY827" i="1"/>
  <c r="CX827" i="1"/>
  <c r="J106" i="1"/>
  <c r="BL827" i="1"/>
  <c r="BK827" i="1"/>
  <c r="DG826" i="1"/>
  <c r="M107" i="1"/>
  <c r="L107" i="1"/>
  <c r="DA826" i="1"/>
  <c r="CY826" i="1"/>
  <c r="CX826" i="1"/>
  <c r="J107" i="1"/>
  <c r="BL826" i="1"/>
  <c r="BK826" i="1"/>
  <c r="DG825" i="1"/>
  <c r="M108" i="1"/>
  <c r="L108" i="1"/>
  <c r="DA825" i="1"/>
  <c r="CY825" i="1"/>
  <c r="CX825" i="1"/>
  <c r="J108" i="1"/>
  <c r="BL825" i="1"/>
  <c r="BK825" i="1"/>
  <c r="DG824" i="1"/>
  <c r="M109" i="1"/>
  <c r="L109" i="1"/>
  <c r="DA824" i="1"/>
  <c r="CY824" i="1"/>
  <c r="CX824" i="1"/>
  <c r="J109" i="1"/>
  <c r="BL824" i="1"/>
  <c r="BK824" i="1"/>
  <c r="DG823" i="1"/>
  <c r="M110" i="1"/>
  <c r="L110" i="1"/>
  <c r="DA823" i="1"/>
  <c r="CY823" i="1"/>
  <c r="CX823" i="1"/>
  <c r="J110" i="1"/>
  <c r="BL823" i="1"/>
  <c r="BK823" i="1"/>
  <c r="DG822" i="1"/>
  <c r="M1118" i="1"/>
  <c r="L1118" i="1"/>
  <c r="DA822" i="1"/>
  <c r="CY822" i="1"/>
  <c r="CX822" i="1"/>
  <c r="J1118" i="1"/>
  <c r="BL822" i="1"/>
  <c r="BK822" i="1"/>
  <c r="DG821" i="1"/>
  <c r="M114" i="1"/>
  <c r="L114" i="1"/>
  <c r="DA821" i="1"/>
  <c r="CY821" i="1"/>
  <c r="CX821" i="1"/>
  <c r="J114" i="1"/>
  <c r="BL821" i="1"/>
  <c r="BK821" i="1"/>
  <c r="DG820" i="1"/>
  <c r="M116" i="1"/>
  <c r="L116" i="1"/>
  <c r="DA820" i="1"/>
  <c r="CY820" i="1"/>
  <c r="CX820" i="1"/>
  <c r="J116" i="1"/>
  <c r="BL820" i="1"/>
  <c r="BK820" i="1"/>
  <c r="DG819" i="1"/>
  <c r="M119" i="1"/>
  <c r="L119" i="1"/>
  <c r="DA819" i="1"/>
  <c r="CY819" i="1"/>
  <c r="CX819" i="1"/>
  <c r="J119" i="1"/>
  <c r="BL819" i="1"/>
  <c r="BK819" i="1"/>
  <c r="DG818" i="1"/>
  <c r="M120" i="1"/>
  <c r="L120" i="1"/>
  <c r="DA818" i="1"/>
  <c r="CY818" i="1"/>
  <c r="CX818" i="1"/>
  <c r="J120" i="1"/>
  <c r="BL818" i="1"/>
  <c r="BK818" i="1"/>
  <c r="DG817" i="1"/>
  <c r="M121" i="1"/>
  <c r="L121" i="1"/>
  <c r="DA817" i="1"/>
  <c r="CY817" i="1"/>
  <c r="CX817" i="1"/>
  <c r="J121" i="1"/>
  <c r="BL817" i="1"/>
  <c r="BK817" i="1"/>
  <c r="DG816" i="1"/>
  <c r="M122" i="1"/>
  <c r="L122" i="1"/>
  <c r="DA816" i="1"/>
  <c r="CY816" i="1"/>
  <c r="CX816" i="1"/>
  <c r="J122" i="1"/>
  <c r="BL816" i="1"/>
  <c r="BK816" i="1"/>
  <c r="DG815" i="1"/>
  <c r="M123" i="1"/>
  <c r="L123" i="1"/>
  <c r="DA815" i="1"/>
  <c r="CY815" i="1"/>
  <c r="CX815" i="1"/>
  <c r="J123" i="1"/>
  <c r="BL815" i="1"/>
  <c r="BK815" i="1"/>
  <c r="DG814" i="1"/>
  <c r="M124" i="1"/>
  <c r="L124" i="1"/>
  <c r="DA814" i="1"/>
  <c r="CY814" i="1"/>
  <c r="CX814" i="1"/>
  <c r="J124" i="1"/>
  <c r="BL814" i="1"/>
  <c r="BK814" i="1"/>
  <c r="DG813" i="1"/>
  <c r="M125" i="1"/>
  <c r="L125" i="1"/>
  <c r="DA813" i="1"/>
  <c r="CY813" i="1"/>
  <c r="CX813" i="1"/>
  <c r="J125" i="1"/>
  <c r="BL813" i="1"/>
  <c r="BK813" i="1"/>
  <c r="DG812" i="1"/>
  <c r="M126" i="1"/>
  <c r="L126" i="1"/>
  <c r="DA812" i="1"/>
  <c r="CY812" i="1"/>
  <c r="CX812" i="1"/>
  <c r="J126" i="1"/>
  <c r="BL812" i="1"/>
  <c r="BK812" i="1"/>
  <c r="DG811" i="1"/>
  <c r="M127" i="1"/>
  <c r="L127" i="1"/>
  <c r="DA811" i="1"/>
  <c r="CY811" i="1"/>
  <c r="CX811" i="1"/>
  <c r="J127" i="1"/>
  <c r="BL811" i="1"/>
  <c r="BK811" i="1"/>
  <c r="DG810" i="1"/>
  <c r="M128" i="1"/>
  <c r="L128" i="1"/>
  <c r="DA810" i="1"/>
  <c r="CY810" i="1"/>
  <c r="CX810" i="1"/>
  <c r="J128" i="1"/>
  <c r="BL810" i="1"/>
  <c r="BK810" i="1"/>
  <c r="DG809" i="1"/>
  <c r="M129" i="1"/>
  <c r="L129" i="1"/>
  <c r="DA809" i="1"/>
  <c r="CY809" i="1"/>
  <c r="CX809" i="1"/>
  <c r="J129" i="1"/>
  <c r="BL809" i="1"/>
  <c r="BK809" i="1"/>
  <c r="DG808" i="1"/>
  <c r="M130" i="1"/>
  <c r="L130" i="1"/>
  <c r="DA808" i="1"/>
  <c r="CY808" i="1"/>
  <c r="CX808" i="1"/>
  <c r="J130" i="1"/>
  <c r="BL808" i="1"/>
  <c r="BK808" i="1"/>
  <c r="DG807" i="1"/>
  <c r="M135" i="1"/>
  <c r="L135" i="1"/>
  <c r="DA807" i="1"/>
  <c r="CY807" i="1"/>
  <c r="CX807" i="1"/>
  <c r="J135" i="1"/>
  <c r="BL807" i="1"/>
  <c r="BK807" i="1"/>
  <c r="DG806" i="1"/>
  <c r="M3410" i="1"/>
  <c r="L3410" i="1"/>
  <c r="DA806" i="1"/>
  <c r="CY806" i="1"/>
  <c r="CX806" i="1"/>
  <c r="J3410" i="1"/>
  <c r="CW806" i="1"/>
  <c r="BL806" i="1"/>
  <c r="BK806" i="1"/>
  <c r="DG805" i="1"/>
  <c r="M137" i="1"/>
  <c r="L137" i="1"/>
  <c r="DA805" i="1"/>
  <c r="CY805" i="1"/>
  <c r="CX805" i="1"/>
  <c r="J137" i="1"/>
  <c r="BL805" i="1"/>
  <c r="BK805" i="1"/>
  <c r="DG804" i="1"/>
  <c r="M138" i="1"/>
  <c r="L138" i="1"/>
  <c r="DA804" i="1"/>
  <c r="CY804" i="1"/>
  <c r="CX804" i="1"/>
  <c r="J138" i="1"/>
  <c r="BL804" i="1"/>
  <c r="BK804" i="1"/>
  <c r="DG803" i="1"/>
  <c r="M818" i="1"/>
  <c r="L818" i="1"/>
  <c r="DA803" i="1"/>
  <c r="CY803" i="1"/>
  <c r="CX803" i="1"/>
  <c r="J818" i="1"/>
  <c r="BL803" i="1"/>
  <c r="BK803" i="1"/>
  <c r="DG802" i="1"/>
  <c r="M139" i="1"/>
  <c r="L139" i="1"/>
  <c r="DA802" i="1"/>
  <c r="CY802" i="1"/>
  <c r="CX802" i="1"/>
  <c r="J139" i="1"/>
  <c r="BL802" i="1"/>
  <c r="BK802" i="1"/>
  <c r="DG801" i="1"/>
  <c r="M140" i="1"/>
  <c r="L140" i="1"/>
  <c r="DA801" i="1"/>
  <c r="CY801" i="1"/>
  <c r="CX801" i="1"/>
  <c r="J140" i="1"/>
  <c r="BL801" i="1"/>
  <c r="BK801" i="1"/>
  <c r="DG800" i="1"/>
  <c r="M141" i="1"/>
  <c r="L141" i="1"/>
  <c r="DA800" i="1"/>
  <c r="CY800" i="1"/>
  <c r="CX800" i="1"/>
  <c r="J141" i="1"/>
  <c r="BL800" i="1"/>
  <c r="BK800" i="1"/>
  <c r="DG799" i="1"/>
  <c r="M142" i="1"/>
  <c r="L142" i="1"/>
  <c r="DA799" i="1"/>
  <c r="CY799" i="1"/>
  <c r="CX799" i="1"/>
  <c r="J142" i="1"/>
  <c r="BL799" i="1"/>
  <c r="BK799" i="1"/>
  <c r="DG798" i="1"/>
  <c r="M143" i="1"/>
  <c r="L143" i="1"/>
  <c r="DA798" i="1"/>
  <c r="CY798" i="1"/>
  <c r="CX798" i="1"/>
  <c r="J143" i="1"/>
  <c r="BL798" i="1"/>
  <c r="BK798" i="1"/>
  <c r="DG797" i="1"/>
  <c r="M144" i="1"/>
  <c r="L144" i="1"/>
  <c r="DA797" i="1"/>
  <c r="CY797" i="1"/>
  <c r="CX797" i="1"/>
  <c r="J144" i="1"/>
  <c r="BL797" i="1"/>
  <c r="BK797" i="1"/>
  <c r="DG796" i="1"/>
  <c r="M145" i="1"/>
  <c r="L145" i="1"/>
  <c r="DA796" i="1"/>
  <c r="CY796" i="1"/>
  <c r="CX796" i="1"/>
  <c r="J145" i="1"/>
  <c r="BL796" i="1"/>
  <c r="BK796" i="1"/>
  <c r="DG795" i="1"/>
  <c r="M146" i="1"/>
  <c r="L146" i="1"/>
  <c r="DA795" i="1"/>
  <c r="CY795" i="1"/>
  <c r="CX795" i="1"/>
  <c r="J146" i="1"/>
  <c r="BL795" i="1"/>
  <c r="BK795" i="1"/>
  <c r="DG794" i="1"/>
  <c r="M147" i="1"/>
  <c r="L147" i="1"/>
  <c r="DA794" i="1"/>
  <c r="CY794" i="1"/>
  <c r="CX794" i="1"/>
  <c r="J147" i="1"/>
  <c r="BL794" i="1"/>
  <c r="BK794" i="1"/>
  <c r="DG793" i="1"/>
  <c r="M151" i="1"/>
  <c r="L151" i="1"/>
  <c r="DA793" i="1"/>
  <c r="CY793" i="1"/>
  <c r="CX793" i="1"/>
  <c r="J151" i="1"/>
  <c r="BL793" i="1"/>
  <c r="BK793" i="1"/>
  <c r="DG792" i="1"/>
  <c r="M152" i="1"/>
  <c r="L152" i="1"/>
  <c r="DA792" i="1"/>
  <c r="CY792" i="1"/>
  <c r="CX792" i="1"/>
  <c r="J152" i="1"/>
  <c r="BL792" i="1"/>
  <c r="BK792" i="1"/>
  <c r="DG791" i="1"/>
  <c r="M153" i="1"/>
  <c r="L153" i="1"/>
  <c r="DA791" i="1"/>
  <c r="CY791" i="1"/>
  <c r="CX791" i="1"/>
  <c r="J153" i="1"/>
  <c r="BL791" i="1"/>
  <c r="BK791" i="1"/>
  <c r="DG790" i="1"/>
  <c r="M2292" i="1"/>
  <c r="L2292" i="1"/>
  <c r="DA790" i="1"/>
  <c r="CY790" i="1"/>
  <c r="CX790" i="1"/>
  <c r="J2292" i="1"/>
  <c r="BL790" i="1"/>
  <c r="BK790" i="1"/>
  <c r="DG789" i="1"/>
  <c r="M158" i="1"/>
  <c r="L158" i="1"/>
  <c r="DA789" i="1"/>
  <c r="CY789" i="1"/>
  <c r="CX789" i="1"/>
  <c r="J158" i="1"/>
  <c r="BL789" i="1"/>
  <c r="BK789" i="1"/>
  <c r="DG788" i="1"/>
  <c r="M159" i="1"/>
  <c r="L159" i="1"/>
  <c r="DA788" i="1"/>
  <c r="CY788" i="1"/>
  <c r="CX788" i="1"/>
  <c r="J159" i="1"/>
  <c r="BL788" i="1"/>
  <c r="BK788" i="1"/>
  <c r="DG787" i="1"/>
  <c r="M160" i="1"/>
  <c r="L160" i="1"/>
  <c r="DA787" i="1"/>
  <c r="CY787" i="1"/>
  <c r="CX787" i="1"/>
  <c r="J160" i="1"/>
  <c r="BL787" i="1"/>
  <c r="BK787" i="1"/>
  <c r="DG786" i="1"/>
  <c r="M161" i="1"/>
  <c r="L161" i="1"/>
  <c r="DA786" i="1"/>
  <c r="CY786" i="1"/>
  <c r="CX786" i="1"/>
  <c r="J161" i="1"/>
  <c r="BL786" i="1"/>
  <c r="BK786" i="1"/>
  <c r="DG785" i="1"/>
  <c r="M162" i="1"/>
  <c r="L162" i="1"/>
  <c r="DA785" i="1"/>
  <c r="CY785" i="1"/>
  <c r="CX785" i="1"/>
  <c r="J162" i="1"/>
  <c r="BL785" i="1"/>
  <c r="BK785" i="1"/>
  <c r="DG784" i="1"/>
  <c r="M163" i="1"/>
  <c r="L163" i="1"/>
  <c r="DA784" i="1"/>
  <c r="CY784" i="1"/>
  <c r="CX784" i="1"/>
  <c r="J163" i="1"/>
  <c r="BL784" i="1"/>
  <c r="BK784" i="1"/>
  <c r="DG783" i="1"/>
  <c r="M164" i="1"/>
  <c r="L164" i="1"/>
  <c r="DA783" i="1"/>
  <c r="CY783" i="1"/>
  <c r="CX783" i="1"/>
  <c r="J164" i="1"/>
  <c r="BL783" i="1"/>
  <c r="BK783" i="1"/>
  <c r="DG782" i="1"/>
  <c r="M2291" i="1"/>
  <c r="L2291" i="1"/>
  <c r="DA782" i="1"/>
  <c r="CY782" i="1"/>
  <c r="CX782" i="1"/>
  <c r="J2291" i="1"/>
  <c r="BL782" i="1"/>
  <c r="BK782" i="1"/>
  <c r="DG781" i="1"/>
  <c r="M166" i="1"/>
  <c r="L166" i="1"/>
  <c r="DA781" i="1"/>
  <c r="CY781" i="1"/>
  <c r="CX781" i="1"/>
  <c r="J166" i="1"/>
  <c r="BL781" i="1"/>
  <c r="BK781" i="1"/>
  <c r="DG780" i="1"/>
  <c r="M819" i="1"/>
  <c r="L819" i="1"/>
  <c r="DA780" i="1"/>
  <c r="CY780" i="1"/>
  <c r="CX780" i="1"/>
  <c r="J819" i="1"/>
  <c r="BL780" i="1"/>
  <c r="BK780" i="1"/>
  <c r="DG779" i="1"/>
  <c r="M167" i="1"/>
  <c r="L167" i="1"/>
  <c r="DA779" i="1"/>
  <c r="CY779" i="1"/>
  <c r="CX779" i="1"/>
  <c r="J167" i="1"/>
  <c r="BL779" i="1"/>
  <c r="BK779" i="1"/>
  <c r="DG778" i="1"/>
  <c r="M168" i="1"/>
  <c r="L168" i="1"/>
  <c r="DA778" i="1"/>
  <c r="CY778" i="1"/>
  <c r="CX778" i="1"/>
  <c r="J168" i="1"/>
  <c r="BL778" i="1"/>
  <c r="BK778" i="1"/>
  <c r="DG777" i="1"/>
  <c r="M169" i="1"/>
  <c r="L169" i="1"/>
  <c r="DA777" i="1"/>
  <c r="CY777" i="1"/>
  <c r="CX777" i="1"/>
  <c r="J169" i="1"/>
  <c r="BL777" i="1"/>
  <c r="BK777" i="1"/>
  <c r="DG776" i="1"/>
  <c r="M170" i="1"/>
  <c r="L170" i="1"/>
  <c r="DA776" i="1"/>
  <c r="CY776" i="1"/>
  <c r="CX776" i="1"/>
  <c r="J170" i="1"/>
  <c r="BL776" i="1"/>
  <c r="BK776" i="1"/>
  <c r="DG775" i="1"/>
  <c r="M171" i="1"/>
  <c r="L171" i="1"/>
  <c r="DA775" i="1"/>
  <c r="CY775" i="1"/>
  <c r="CX775" i="1"/>
  <c r="J171" i="1"/>
  <c r="BL775" i="1"/>
  <c r="BK775" i="1"/>
  <c r="DG774" i="1"/>
  <c r="M1117" i="1"/>
  <c r="L1117" i="1"/>
  <c r="DA774" i="1"/>
  <c r="CY774" i="1"/>
  <c r="CX774" i="1"/>
  <c r="J1117" i="1"/>
  <c r="BL774" i="1"/>
  <c r="BK774" i="1"/>
  <c r="DG773" i="1"/>
  <c r="M173" i="1"/>
  <c r="L173" i="1"/>
  <c r="DA773" i="1"/>
  <c r="CY773" i="1"/>
  <c r="CX773" i="1"/>
  <c r="J173" i="1"/>
  <c r="BL773" i="1"/>
  <c r="BK773" i="1"/>
  <c r="DG772" i="1"/>
  <c r="M174" i="1"/>
  <c r="L174" i="1"/>
  <c r="DA772" i="1"/>
  <c r="CY772" i="1"/>
  <c r="CX772" i="1"/>
  <c r="J174" i="1"/>
  <c r="BL772" i="1"/>
  <c r="BK772" i="1"/>
  <c r="DG771" i="1"/>
  <c r="M175" i="1"/>
  <c r="L175" i="1"/>
  <c r="DA771" i="1"/>
  <c r="CY771" i="1"/>
  <c r="CX771" i="1"/>
  <c r="J175" i="1"/>
  <c r="BL771" i="1"/>
  <c r="BK771" i="1"/>
  <c r="DG770" i="1"/>
  <c r="M176" i="1"/>
  <c r="L176" i="1"/>
  <c r="DA770" i="1"/>
  <c r="CY770" i="1"/>
  <c r="CX770" i="1"/>
  <c r="J176" i="1"/>
  <c r="BL770" i="1"/>
  <c r="BK770" i="1"/>
  <c r="DG769" i="1"/>
  <c r="M177" i="1"/>
  <c r="L177" i="1"/>
  <c r="DA769" i="1"/>
  <c r="CY769" i="1"/>
  <c r="CX769" i="1"/>
  <c r="J177" i="1"/>
  <c r="BL769" i="1"/>
  <c r="BK769" i="1"/>
  <c r="DG768" i="1"/>
  <c r="M179" i="1"/>
  <c r="L179" i="1"/>
  <c r="DA768" i="1"/>
  <c r="CY768" i="1"/>
  <c r="CX768" i="1"/>
  <c r="J179" i="1"/>
  <c r="BL768" i="1"/>
  <c r="BK768" i="1"/>
  <c r="DG767" i="1"/>
  <c r="M2290" i="1"/>
  <c r="L2290" i="1"/>
  <c r="DA767" i="1"/>
  <c r="CY767" i="1"/>
  <c r="CX767" i="1"/>
  <c r="J2290" i="1"/>
  <c r="BL767" i="1"/>
  <c r="BK767" i="1"/>
  <c r="DG766" i="1"/>
  <c r="M2289" i="1"/>
  <c r="L2289" i="1"/>
  <c r="DA766" i="1"/>
  <c r="CY766" i="1"/>
  <c r="CX766" i="1"/>
  <c r="J2289" i="1"/>
  <c r="BL766" i="1"/>
  <c r="BK766" i="1"/>
  <c r="DG765" i="1"/>
  <c r="M1116" i="1"/>
  <c r="L1116" i="1"/>
  <c r="DA765" i="1"/>
  <c r="CY765" i="1"/>
  <c r="CX765" i="1"/>
  <c r="J1116" i="1"/>
  <c r="BL765" i="1"/>
  <c r="BK765" i="1"/>
  <c r="DG764" i="1"/>
  <c r="M201" i="1"/>
  <c r="L201" i="1"/>
  <c r="DA764" i="1"/>
  <c r="CY764" i="1"/>
  <c r="CX764" i="1"/>
  <c r="J201" i="1"/>
  <c r="BL764" i="1"/>
  <c r="BK764" i="1"/>
  <c r="DG763" i="1"/>
  <c r="M202" i="1"/>
  <c r="L202" i="1"/>
  <c r="DA763" i="1"/>
  <c r="CY763" i="1"/>
  <c r="CX763" i="1"/>
  <c r="J202" i="1"/>
  <c r="BL763" i="1"/>
  <c r="BK763" i="1"/>
  <c r="DG762" i="1"/>
  <c r="M203" i="1"/>
  <c r="L203" i="1"/>
  <c r="DA762" i="1"/>
  <c r="CY762" i="1"/>
  <c r="CX762" i="1"/>
  <c r="J203" i="1"/>
  <c r="BL762" i="1"/>
  <c r="BK762" i="1"/>
  <c r="DG761" i="1"/>
  <c r="M204" i="1"/>
  <c r="L204" i="1"/>
  <c r="DA761" i="1"/>
  <c r="CY761" i="1"/>
  <c r="CX761" i="1"/>
  <c r="J204" i="1"/>
  <c r="BL761" i="1"/>
  <c r="BK761" i="1"/>
  <c r="DG760" i="1"/>
  <c r="M205" i="1"/>
  <c r="L205" i="1"/>
  <c r="DA760" i="1"/>
  <c r="CY760" i="1"/>
  <c r="CX760" i="1"/>
  <c r="J205" i="1"/>
  <c r="BL760" i="1"/>
  <c r="BK760" i="1"/>
  <c r="DG759" i="1"/>
  <c r="M206" i="1"/>
  <c r="L206" i="1"/>
  <c r="DA759" i="1"/>
  <c r="CY759" i="1"/>
  <c r="CX759" i="1"/>
  <c r="J206" i="1"/>
  <c r="BL759" i="1"/>
  <c r="BK759" i="1"/>
  <c r="DG758" i="1"/>
  <c r="M3409" i="1"/>
  <c r="L3409" i="1"/>
  <c r="DA758" i="1"/>
  <c r="CY758" i="1"/>
  <c r="CX758" i="1"/>
  <c r="J3409" i="1"/>
  <c r="CW758" i="1"/>
  <c r="BL758" i="1"/>
  <c r="BK758" i="1"/>
  <c r="DG757" i="1"/>
  <c r="M2288" i="1"/>
  <c r="L2288" i="1"/>
  <c r="DA757" i="1"/>
  <c r="CY757" i="1"/>
  <c r="CX757" i="1"/>
  <c r="J2288" i="1"/>
  <c r="BL757" i="1"/>
  <c r="BK757" i="1"/>
  <c r="DG756" i="1"/>
  <c r="M2287" i="1"/>
  <c r="L2287" i="1"/>
  <c r="DA756" i="1"/>
  <c r="CY756" i="1"/>
  <c r="CX756" i="1"/>
  <c r="J2287" i="1"/>
  <c r="BL756" i="1"/>
  <c r="BK756" i="1"/>
  <c r="DG755" i="1"/>
  <c r="M1115" i="1"/>
  <c r="L1115" i="1"/>
  <c r="DA755" i="1"/>
  <c r="CY755" i="1"/>
  <c r="CX755" i="1"/>
  <c r="J1115" i="1"/>
  <c r="BL755" i="1"/>
  <c r="BK755" i="1"/>
  <c r="DG754" i="1"/>
  <c r="M2286" i="1"/>
  <c r="L2286" i="1"/>
  <c r="DA754" i="1"/>
  <c r="CY754" i="1"/>
  <c r="CX754" i="1"/>
  <c r="J2286" i="1"/>
  <c r="BL754" i="1"/>
  <c r="BK754" i="1"/>
  <c r="DG753" i="1"/>
  <c r="M2285" i="1"/>
  <c r="L2285" i="1"/>
  <c r="DA753" i="1"/>
  <c r="CY753" i="1"/>
  <c r="CX753" i="1"/>
  <c r="J2285" i="1"/>
  <c r="BL753" i="1"/>
  <c r="BK753" i="1"/>
  <c r="DG752" i="1"/>
  <c r="M1114" i="1"/>
  <c r="L1114" i="1"/>
  <c r="DA752" i="1"/>
  <c r="CY752" i="1"/>
  <c r="CX752" i="1"/>
  <c r="J1114" i="1"/>
  <c r="BL752" i="1"/>
  <c r="BK752" i="1"/>
  <c r="DG751" i="1"/>
  <c r="M3408" i="1"/>
  <c r="L3408" i="1"/>
  <c r="DA751" i="1"/>
  <c r="CY751" i="1"/>
  <c r="CX751" i="1"/>
  <c r="J3408" i="1"/>
  <c r="CW751" i="1"/>
  <c r="BL751" i="1"/>
  <c r="BK751" i="1"/>
  <c r="DG750" i="1"/>
  <c r="M2284" i="1"/>
  <c r="L2284" i="1"/>
  <c r="DA750" i="1"/>
  <c r="CY750" i="1"/>
  <c r="CX750" i="1"/>
  <c r="J2284" i="1"/>
  <c r="BL750" i="1"/>
  <c r="BK750" i="1"/>
  <c r="DG749" i="1"/>
  <c r="M2283" i="1"/>
  <c r="L2283" i="1"/>
  <c r="DA749" i="1"/>
  <c r="CY749" i="1"/>
  <c r="CX749" i="1"/>
  <c r="J2283" i="1"/>
  <c r="BL749" i="1"/>
  <c r="BK749" i="1"/>
  <c r="DG748" i="1"/>
  <c r="M1113" i="1"/>
  <c r="L1113" i="1"/>
  <c r="DA748" i="1"/>
  <c r="CY748" i="1"/>
  <c r="CX748" i="1"/>
  <c r="J1113" i="1"/>
  <c r="BL748" i="1"/>
  <c r="BK748" i="1"/>
  <c r="DG747" i="1"/>
  <c r="M2282" i="1"/>
  <c r="L2282" i="1"/>
  <c r="DA747" i="1"/>
  <c r="CY747" i="1"/>
  <c r="CX747" i="1"/>
  <c r="J2282" i="1"/>
  <c r="BL747" i="1"/>
  <c r="BK747" i="1"/>
  <c r="DG746" i="1"/>
  <c r="M2281" i="1"/>
  <c r="L2281" i="1"/>
  <c r="DA746" i="1"/>
  <c r="CY746" i="1"/>
  <c r="CX746" i="1"/>
  <c r="J2281" i="1"/>
  <c r="BL746" i="1"/>
  <c r="BK746" i="1"/>
  <c r="DG745" i="1"/>
  <c r="M220" i="1"/>
  <c r="L220" i="1"/>
  <c r="DA745" i="1"/>
  <c r="CY745" i="1"/>
  <c r="CX745" i="1"/>
  <c r="J220" i="1"/>
  <c r="BL745" i="1"/>
  <c r="BK745" i="1"/>
  <c r="DG744" i="1"/>
  <c r="M229" i="1"/>
  <c r="L229" i="1"/>
  <c r="DA744" i="1"/>
  <c r="CY744" i="1"/>
  <c r="CX744" i="1"/>
  <c r="J229" i="1"/>
  <c r="BL744" i="1"/>
  <c r="BK744" i="1"/>
  <c r="DG743" i="1"/>
  <c r="M230" i="1"/>
  <c r="L230" i="1"/>
  <c r="DA743" i="1"/>
  <c r="CY743" i="1"/>
  <c r="CX743" i="1"/>
  <c r="J230" i="1"/>
  <c r="BL743" i="1"/>
  <c r="BK743" i="1"/>
  <c r="DG742" i="1"/>
  <c r="M1112" i="1"/>
  <c r="L1112" i="1"/>
  <c r="DA742" i="1"/>
  <c r="CY742" i="1"/>
  <c r="CX742" i="1"/>
  <c r="J1112" i="1"/>
  <c r="BL742" i="1"/>
  <c r="BK742" i="1"/>
  <c r="DG741" i="1"/>
  <c r="M232" i="1"/>
  <c r="L232" i="1"/>
  <c r="DA741" i="1"/>
  <c r="CY741" i="1"/>
  <c r="CX741" i="1"/>
  <c r="J232" i="1"/>
  <c r="BL741" i="1"/>
  <c r="BK741" i="1"/>
  <c r="DG740" i="1"/>
  <c r="M233" i="1"/>
  <c r="L233" i="1"/>
  <c r="DA740" i="1"/>
  <c r="CY740" i="1"/>
  <c r="CX740" i="1"/>
  <c r="J233" i="1"/>
  <c r="BL740" i="1"/>
  <c r="BK740" i="1"/>
  <c r="DG739" i="1"/>
  <c r="M3407" i="1"/>
  <c r="L3407" i="1"/>
  <c r="DA739" i="1"/>
  <c r="CY739" i="1"/>
  <c r="CX739" i="1"/>
  <c r="J3407" i="1"/>
  <c r="CW739" i="1"/>
  <c r="BL739" i="1"/>
  <c r="BK739" i="1"/>
  <c r="DG738" i="1"/>
  <c r="M1841" i="1"/>
  <c r="L1841" i="1"/>
  <c r="DA738" i="1"/>
  <c r="CY738" i="1"/>
  <c r="CX738" i="1"/>
  <c r="J1841" i="1"/>
  <c r="BL738" i="1"/>
  <c r="BK738" i="1"/>
  <c r="DG737" i="1"/>
  <c r="M2280" i="1"/>
  <c r="L2280" i="1"/>
  <c r="DA737" i="1"/>
  <c r="CY737" i="1"/>
  <c r="CX737" i="1"/>
  <c r="J2280" i="1"/>
  <c r="BL737" i="1"/>
  <c r="BK737" i="1"/>
  <c r="DG736" i="1"/>
  <c r="M2279" i="1"/>
  <c r="L2279" i="1"/>
  <c r="DA736" i="1"/>
  <c r="CY736" i="1"/>
  <c r="CX736" i="1"/>
  <c r="J2279" i="1"/>
  <c r="BL736" i="1"/>
  <c r="BK736" i="1"/>
  <c r="DG735" i="1"/>
  <c r="M1111" i="1"/>
  <c r="L1111" i="1"/>
  <c r="DA735" i="1"/>
  <c r="CY735" i="1"/>
  <c r="CX735" i="1"/>
  <c r="J1111" i="1"/>
  <c r="BL735" i="1"/>
  <c r="BK735" i="1"/>
  <c r="DG734" i="1"/>
  <c r="M2278" i="1"/>
  <c r="L2278" i="1"/>
  <c r="DA734" i="1"/>
  <c r="CY734" i="1"/>
  <c r="CX734" i="1"/>
  <c r="J2278" i="1"/>
  <c r="BL734" i="1"/>
  <c r="BK734" i="1"/>
  <c r="DG733" i="1"/>
  <c r="M2277" i="1"/>
  <c r="L2277" i="1"/>
  <c r="DA733" i="1"/>
  <c r="CY733" i="1"/>
  <c r="CX733" i="1"/>
  <c r="J2277" i="1"/>
  <c r="BL733" i="1"/>
  <c r="BK733" i="1"/>
  <c r="DG732" i="1"/>
  <c r="M1110" i="1"/>
  <c r="L1110" i="1"/>
  <c r="DA732" i="1"/>
  <c r="CY732" i="1"/>
  <c r="CX732" i="1"/>
  <c r="J1110" i="1"/>
  <c r="BL732" i="1"/>
  <c r="BK732" i="1"/>
  <c r="DG731" i="1"/>
  <c r="M3406" i="1"/>
  <c r="L3406" i="1"/>
  <c r="DA731" i="1"/>
  <c r="CY731" i="1"/>
  <c r="CX731" i="1"/>
  <c r="J3406" i="1"/>
  <c r="CW731" i="1"/>
  <c r="BL731" i="1"/>
  <c r="BK731" i="1"/>
  <c r="DG730" i="1"/>
  <c r="M2276" i="1"/>
  <c r="L2276" i="1"/>
  <c r="DA730" i="1"/>
  <c r="CY730" i="1"/>
  <c r="CX730" i="1"/>
  <c r="J2276" i="1"/>
  <c r="BL730" i="1"/>
  <c r="BK730" i="1"/>
  <c r="DG729" i="1"/>
  <c r="M2275" i="1"/>
  <c r="L2275" i="1"/>
  <c r="DA729" i="1"/>
  <c r="CY729" i="1"/>
  <c r="CX729" i="1"/>
  <c r="J2275" i="1"/>
  <c r="BL729" i="1"/>
  <c r="BK729" i="1"/>
  <c r="DG728" i="1"/>
  <c r="M1109" i="1"/>
  <c r="L1109" i="1"/>
  <c r="DA728" i="1"/>
  <c r="CY728" i="1"/>
  <c r="CX728" i="1"/>
  <c r="J1109" i="1"/>
  <c r="BL728" i="1"/>
  <c r="BK728" i="1"/>
  <c r="DG727" i="1"/>
  <c r="M234" i="1"/>
  <c r="L234" i="1"/>
  <c r="DA727" i="1"/>
  <c r="CY727" i="1"/>
  <c r="CX727" i="1"/>
  <c r="J234" i="1"/>
  <c r="BL727" i="1"/>
  <c r="BK727" i="1"/>
  <c r="DG726" i="1"/>
  <c r="M2274" i="1"/>
  <c r="L2274" i="1"/>
  <c r="DA726" i="1"/>
  <c r="CY726" i="1"/>
  <c r="CX726" i="1"/>
  <c r="J2274" i="1"/>
  <c r="BL726" i="1"/>
  <c r="BK726" i="1"/>
  <c r="DG725" i="1"/>
  <c r="M236" i="1"/>
  <c r="L236" i="1"/>
  <c r="DA725" i="1"/>
  <c r="CY725" i="1"/>
  <c r="CX725" i="1"/>
  <c r="J236" i="1"/>
  <c r="BL725" i="1"/>
  <c r="BK725" i="1"/>
  <c r="DG724" i="1"/>
  <c r="M237" i="1"/>
  <c r="L237" i="1"/>
  <c r="DA724" i="1"/>
  <c r="CY724" i="1"/>
  <c r="CX724" i="1"/>
  <c r="J237" i="1"/>
  <c r="BL724" i="1"/>
  <c r="BK724" i="1"/>
  <c r="DG723" i="1"/>
  <c r="M238" i="1"/>
  <c r="L238" i="1"/>
  <c r="DA723" i="1"/>
  <c r="CY723" i="1"/>
  <c r="CX723" i="1"/>
  <c r="J238" i="1"/>
  <c r="BL723" i="1"/>
  <c r="BK723" i="1"/>
  <c r="DG722" i="1"/>
  <c r="M239" i="1"/>
  <c r="L239" i="1"/>
  <c r="DA722" i="1"/>
  <c r="CY722" i="1"/>
  <c r="CX722" i="1"/>
  <c r="J239" i="1"/>
  <c r="BL722" i="1"/>
  <c r="BK722" i="1"/>
  <c r="DG721" i="1"/>
  <c r="M240" i="1"/>
  <c r="L240" i="1"/>
  <c r="DA721" i="1"/>
  <c r="CY721" i="1"/>
  <c r="CX721" i="1"/>
  <c r="J240" i="1"/>
  <c r="BL721" i="1"/>
  <c r="BK721" i="1"/>
  <c r="DG720" i="1"/>
  <c r="M241" i="1"/>
  <c r="L241" i="1"/>
  <c r="DA720" i="1"/>
  <c r="CY720" i="1"/>
  <c r="CX720" i="1"/>
  <c r="J241" i="1"/>
  <c r="BL720" i="1"/>
  <c r="BK720" i="1"/>
  <c r="DG719" i="1"/>
  <c r="M242" i="1"/>
  <c r="L242" i="1"/>
  <c r="DA719" i="1"/>
  <c r="CY719" i="1"/>
  <c r="CX719" i="1"/>
  <c r="J242" i="1"/>
  <c r="BL719" i="1"/>
  <c r="BK719" i="1"/>
  <c r="DG718" i="1"/>
  <c r="M243" i="1"/>
  <c r="L243" i="1"/>
  <c r="DA718" i="1"/>
  <c r="CY718" i="1"/>
  <c r="CX718" i="1"/>
  <c r="J243" i="1"/>
  <c r="BL718" i="1"/>
  <c r="BK718" i="1"/>
  <c r="DG717" i="1"/>
  <c r="M244" i="1"/>
  <c r="L244" i="1"/>
  <c r="DA717" i="1"/>
  <c r="CY717" i="1"/>
  <c r="CX717" i="1"/>
  <c r="J244" i="1"/>
  <c r="BL717" i="1"/>
  <c r="BK717" i="1"/>
  <c r="DG716" i="1"/>
  <c r="M245" i="1"/>
  <c r="L245" i="1"/>
  <c r="DA716" i="1"/>
  <c r="CY716" i="1"/>
  <c r="CX716" i="1"/>
  <c r="J245" i="1"/>
  <c r="BL716" i="1"/>
  <c r="BK716" i="1"/>
  <c r="DG715" i="1"/>
  <c r="M246" i="1"/>
  <c r="L246" i="1"/>
  <c r="DA715" i="1"/>
  <c r="CY715" i="1"/>
  <c r="CX715" i="1"/>
  <c r="J246" i="1"/>
  <c r="BL715" i="1"/>
  <c r="BK715" i="1"/>
  <c r="DG714" i="1"/>
  <c r="M247" i="1"/>
  <c r="L247" i="1"/>
  <c r="DA714" i="1"/>
  <c r="CY714" i="1"/>
  <c r="CX714" i="1"/>
  <c r="J247" i="1"/>
  <c r="BL714" i="1"/>
  <c r="BK714" i="1"/>
  <c r="DG713" i="1"/>
  <c r="M248" i="1"/>
  <c r="L248" i="1"/>
  <c r="DA713" i="1"/>
  <c r="CY713" i="1"/>
  <c r="CX713" i="1"/>
  <c r="J248" i="1"/>
  <c r="BL713" i="1"/>
  <c r="BK713" i="1"/>
  <c r="DG712" i="1"/>
  <c r="M249" i="1"/>
  <c r="L249" i="1"/>
  <c r="DA712" i="1"/>
  <c r="CY712" i="1"/>
  <c r="CX712" i="1"/>
  <c r="J249" i="1"/>
  <c r="BL712" i="1"/>
  <c r="BK712" i="1"/>
  <c r="DG711" i="1"/>
  <c r="M250" i="1"/>
  <c r="L250" i="1"/>
  <c r="DA711" i="1"/>
  <c r="CY711" i="1"/>
  <c r="CX711" i="1"/>
  <c r="J250" i="1"/>
  <c r="BL711" i="1"/>
  <c r="BK711" i="1"/>
  <c r="DG710" i="1"/>
  <c r="M251" i="1"/>
  <c r="L251" i="1"/>
  <c r="DA710" i="1"/>
  <c r="CY710" i="1"/>
  <c r="CX710" i="1"/>
  <c r="J251" i="1"/>
  <c r="BL710" i="1"/>
  <c r="BK710" i="1"/>
  <c r="DG709" i="1"/>
  <c r="M252" i="1"/>
  <c r="L252" i="1"/>
  <c r="DA709" i="1"/>
  <c r="CY709" i="1"/>
  <c r="CX709" i="1"/>
  <c r="J252" i="1"/>
  <c r="BL709" i="1"/>
  <c r="BK709" i="1"/>
  <c r="DG708" i="1"/>
  <c r="M253" i="1"/>
  <c r="L253" i="1"/>
  <c r="DA708" i="1"/>
  <c r="CY708" i="1"/>
  <c r="CX708" i="1"/>
  <c r="J253" i="1"/>
  <c r="BL708" i="1"/>
  <c r="BK708" i="1"/>
  <c r="DG707" i="1"/>
  <c r="M254" i="1"/>
  <c r="L254" i="1"/>
  <c r="DA707" i="1"/>
  <c r="CY707" i="1"/>
  <c r="CX707" i="1"/>
  <c r="J254" i="1"/>
  <c r="BL707" i="1"/>
  <c r="BK707" i="1"/>
  <c r="DG706" i="1"/>
  <c r="M255" i="1"/>
  <c r="L255" i="1"/>
  <c r="DA706" i="1"/>
  <c r="CY706" i="1"/>
  <c r="CX706" i="1"/>
  <c r="J255" i="1"/>
  <c r="BL706" i="1"/>
  <c r="BK706" i="1"/>
  <c r="DG705" i="1"/>
  <c r="M256" i="1"/>
  <c r="L256" i="1"/>
  <c r="DA705" i="1"/>
  <c r="CY705" i="1"/>
  <c r="CX705" i="1"/>
  <c r="J256" i="1"/>
  <c r="BL705" i="1"/>
  <c r="BK705" i="1"/>
  <c r="DG704" i="1"/>
  <c r="M257" i="1"/>
  <c r="L257" i="1"/>
  <c r="DA704" i="1"/>
  <c r="CY704" i="1"/>
  <c r="CX704" i="1"/>
  <c r="J257" i="1"/>
  <c r="BL704" i="1"/>
  <c r="BK704" i="1"/>
  <c r="DG703" i="1"/>
  <c r="M258" i="1"/>
  <c r="L258" i="1"/>
  <c r="DA703" i="1"/>
  <c r="CY703" i="1"/>
  <c r="CX703" i="1"/>
  <c r="J258" i="1"/>
  <c r="BL703" i="1"/>
  <c r="BK703" i="1"/>
  <c r="DG702" i="1"/>
  <c r="M259" i="1"/>
  <c r="L259" i="1"/>
  <c r="DA702" i="1"/>
  <c r="CY702" i="1"/>
  <c r="CX702" i="1"/>
  <c r="J259" i="1"/>
  <c r="BL702" i="1"/>
  <c r="BK702" i="1"/>
  <c r="DG701" i="1"/>
  <c r="M260" i="1"/>
  <c r="L260" i="1"/>
  <c r="DA701" i="1"/>
  <c r="CY701" i="1"/>
  <c r="CX701" i="1"/>
  <c r="J260" i="1"/>
  <c r="BL701" i="1"/>
  <c r="BK701" i="1"/>
  <c r="DG700" i="1"/>
  <c r="M261" i="1"/>
  <c r="L261" i="1"/>
  <c r="DA700" i="1"/>
  <c r="CY700" i="1"/>
  <c r="CX700" i="1"/>
  <c r="J261" i="1"/>
  <c r="BL700" i="1"/>
  <c r="BK700" i="1"/>
  <c r="DG699" i="1"/>
  <c r="M262" i="1"/>
  <c r="L262" i="1"/>
  <c r="DA699" i="1"/>
  <c r="CY699" i="1"/>
  <c r="CX699" i="1"/>
  <c r="J262" i="1"/>
  <c r="BL699" i="1"/>
  <c r="BK699" i="1"/>
  <c r="DG698" i="1"/>
  <c r="M263" i="1"/>
  <c r="L263" i="1"/>
  <c r="DA698" i="1"/>
  <c r="CY698" i="1"/>
  <c r="CX698" i="1"/>
  <c r="J263" i="1"/>
  <c r="BL698" i="1"/>
  <c r="BK698" i="1"/>
  <c r="DG697" i="1"/>
  <c r="M264" i="1"/>
  <c r="L264" i="1"/>
  <c r="DA697" i="1"/>
  <c r="CY697" i="1"/>
  <c r="CX697" i="1"/>
  <c r="J264" i="1"/>
  <c r="BL697" i="1"/>
  <c r="BK697" i="1"/>
  <c r="DG696" i="1"/>
  <c r="M265" i="1"/>
  <c r="L265" i="1"/>
  <c r="DA696" i="1"/>
  <c r="CY696" i="1"/>
  <c r="CX696" i="1"/>
  <c r="J265" i="1"/>
  <c r="BL696" i="1"/>
  <c r="BK696" i="1"/>
  <c r="DG695" i="1"/>
  <c r="M266" i="1"/>
  <c r="L266" i="1"/>
  <c r="DA695" i="1"/>
  <c r="CY695" i="1"/>
  <c r="CX695" i="1"/>
  <c r="J266" i="1"/>
  <c r="BL695" i="1"/>
  <c r="BK695" i="1"/>
  <c r="DG694" i="1"/>
  <c r="M267" i="1"/>
  <c r="L267" i="1"/>
  <c r="DA694" i="1"/>
  <c r="CY694" i="1"/>
  <c r="CX694" i="1"/>
  <c r="J267" i="1"/>
  <c r="BL694" i="1"/>
  <c r="BK694" i="1"/>
  <c r="DG693" i="1"/>
  <c r="M268" i="1"/>
  <c r="L268" i="1"/>
  <c r="DA693" i="1"/>
  <c r="CY693" i="1"/>
  <c r="CX693" i="1"/>
  <c r="J268" i="1"/>
  <c r="BL693" i="1"/>
  <c r="BK693" i="1"/>
  <c r="DG692" i="1"/>
  <c r="M269" i="1"/>
  <c r="L269" i="1"/>
  <c r="DA692" i="1"/>
  <c r="CY692" i="1"/>
  <c r="CX692" i="1"/>
  <c r="J269" i="1"/>
  <c r="BL692" i="1"/>
  <c r="BK692" i="1"/>
  <c r="DG691" i="1"/>
  <c r="M270" i="1"/>
  <c r="L270" i="1"/>
  <c r="DA691" i="1"/>
  <c r="CY691" i="1"/>
  <c r="CX691" i="1"/>
  <c r="J270" i="1"/>
  <c r="BL691" i="1"/>
  <c r="BK691" i="1"/>
  <c r="DG690" i="1"/>
  <c r="M271" i="1"/>
  <c r="L271" i="1"/>
  <c r="DA690" i="1"/>
  <c r="CY690" i="1"/>
  <c r="CX690" i="1"/>
  <c r="J271" i="1"/>
  <c r="BL690" i="1"/>
  <c r="BK690" i="1"/>
  <c r="DG689" i="1"/>
  <c r="M272" i="1"/>
  <c r="L272" i="1"/>
  <c r="DA689" i="1"/>
  <c r="CY689" i="1"/>
  <c r="CX689" i="1"/>
  <c r="J272" i="1"/>
  <c r="BL689" i="1"/>
  <c r="BK689" i="1"/>
  <c r="DG688" i="1"/>
  <c r="M273" i="1"/>
  <c r="L273" i="1"/>
  <c r="DA688" i="1"/>
  <c r="CY688" i="1"/>
  <c r="CX688" i="1"/>
  <c r="J273" i="1"/>
  <c r="BL688" i="1"/>
  <c r="BK688" i="1"/>
  <c r="DG687" i="1"/>
  <c r="M274" i="1"/>
  <c r="L274" i="1"/>
  <c r="DA687" i="1"/>
  <c r="CY687" i="1"/>
  <c r="CX687" i="1"/>
  <c r="J274" i="1"/>
  <c r="BL687" i="1"/>
  <c r="BK687" i="1"/>
  <c r="DG686" i="1"/>
  <c r="M275" i="1"/>
  <c r="L275" i="1"/>
  <c r="DA686" i="1"/>
  <c r="CY686" i="1"/>
  <c r="CX686" i="1"/>
  <c r="J275" i="1"/>
  <c r="BL686" i="1"/>
  <c r="BK686" i="1"/>
  <c r="DG685" i="1"/>
  <c r="M276" i="1"/>
  <c r="L276" i="1"/>
  <c r="DA685" i="1"/>
  <c r="CY685" i="1"/>
  <c r="CX685" i="1"/>
  <c r="J276" i="1"/>
  <c r="BL685" i="1"/>
  <c r="BK685" i="1"/>
  <c r="DG684" i="1"/>
  <c r="M277" i="1"/>
  <c r="L277" i="1"/>
  <c r="DA684" i="1"/>
  <c r="CY684" i="1"/>
  <c r="CX684" i="1"/>
  <c r="J277" i="1"/>
  <c r="BL684" i="1"/>
  <c r="BK684" i="1"/>
  <c r="DG683" i="1"/>
  <c r="M278" i="1"/>
  <c r="L278" i="1"/>
  <c r="DA683" i="1"/>
  <c r="CY683" i="1"/>
  <c r="CX683" i="1"/>
  <c r="J278" i="1"/>
  <c r="BL683" i="1"/>
  <c r="BK683" i="1"/>
  <c r="DG682" i="1"/>
  <c r="M279" i="1"/>
  <c r="L279" i="1"/>
  <c r="DA682" i="1"/>
  <c r="CY682" i="1"/>
  <c r="CX682" i="1"/>
  <c r="J279" i="1"/>
  <c r="BL682" i="1"/>
  <c r="BK682" i="1"/>
  <c r="DG681" i="1"/>
  <c r="M280" i="1"/>
  <c r="L280" i="1"/>
  <c r="DA681" i="1"/>
  <c r="CY681" i="1"/>
  <c r="CX681" i="1"/>
  <c r="J280" i="1"/>
  <c r="BL681" i="1"/>
  <c r="BK681" i="1"/>
  <c r="DG680" i="1"/>
  <c r="M281" i="1"/>
  <c r="L281" i="1"/>
  <c r="DA680" i="1"/>
  <c r="CY680" i="1"/>
  <c r="CX680" i="1"/>
  <c r="J281" i="1"/>
  <c r="BL680" i="1"/>
  <c r="BK680" i="1"/>
  <c r="DG679" i="1"/>
  <c r="M282" i="1"/>
  <c r="L282" i="1"/>
  <c r="DA679" i="1"/>
  <c r="CY679" i="1"/>
  <c r="CX679" i="1"/>
  <c r="J282" i="1"/>
  <c r="BL679" i="1"/>
  <c r="BK679" i="1"/>
  <c r="DG678" i="1"/>
  <c r="M283" i="1"/>
  <c r="L283" i="1"/>
  <c r="DA678" i="1"/>
  <c r="CY678" i="1"/>
  <c r="CX678" i="1"/>
  <c r="J283" i="1"/>
  <c r="BL678" i="1"/>
  <c r="BK678" i="1"/>
  <c r="DG677" i="1"/>
  <c r="M284" i="1"/>
  <c r="L284" i="1"/>
  <c r="DA677" i="1"/>
  <c r="CY677" i="1"/>
  <c r="CX677" i="1"/>
  <c r="J284" i="1"/>
  <c r="BL677" i="1"/>
  <c r="BK677" i="1"/>
  <c r="DG676" i="1"/>
  <c r="M285" i="1"/>
  <c r="L285" i="1"/>
  <c r="DA676" i="1"/>
  <c r="CY676" i="1"/>
  <c r="CX676" i="1"/>
  <c r="J285" i="1"/>
  <c r="BL676" i="1"/>
  <c r="BK676" i="1"/>
  <c r="DG675" i="1"/>
  <c r="M286" i="1"/>
  <c r="L286" i="1"/>
  <c r="DA675" i="1"/>
  <c r="CY675" i="1"/>
  <c r="CX675" i="1"/>
  <c r="J286" i="1"/>
  <c r="BL675" i="1"/>
  <c r="BK675" i="1"/>
  <c r="DG674" i="1"/>
  <c r="M287" i="1"/>
  <c r="L287" i="1"/>
  <c r="DA674" i="1"/>
  <c r="CY674" i="1"/>
  <c r="CX674" i="1"/>
  <c r="J287" i="1"/>
  <c r="BL674" i="1"/>
  <c r="BK674" i="1"/>
  <c r="DG673" i="1"/>
  <c r="M288" i="1"/>
  <c r="L288" i="1"/>
  <c r="DA673" i="1"/>
  <c r="CY673" i="1"/>
  <c r="CX673" i="1"/>
  <c r="J288" i="1"/>
  <c r="BL673" i="1"/>
  <c r="BK673" i="1"/>
  <c r="DG672" i="1"/>
  <c r="M289" i="1"/>
  <c r="L289" i="1"/>
  <c r="DA672" i="1"/>
  <c r="CY672" i="1"/>
  <c r="CX672" i="1"/>
  <c r="J289" i="1"/>
  <c r="BL672" i="1"/>
  <c r="BK672" i="1"/>
  <c r="DG671" i="1"/>
  <c r="M290" i="1"/>
  <c r="L290" i="1"/>
  <c r="DA671" i="1"/>
  <c r="CY671" i="1"/>
  <c r="CX671" i="1"/>
  <c r="J290" i="1"/>
  <c r="BL671" i="1"/>
  <c r="BK671" i="1"/>
  <c r="DG670" i="1"/>
  <c r="M291" i="1"/>
  <c r="L291" i="1"/>
  <c r="DA670" i="1"/>
  <c r="CY670" i="1"/>
  <c r="CX670" i="1"/>
  <c r="J291" i="1"/>
  <c r="BL670" i="1"/>
  <c r="BK670" i="1"/>
  <c r="DG669" i="1"/>
  <c r="M292" i="1"/>
  <c r="L292" i="1"/>
  <c r="DA669" i="1"/>
  <c r="CY669" i="1"/>
  <c r="CX669" i="1"/>
  <c r="J292" i="1"/>
  <c r="BL669" i="1"/>
  <c r="BK669" i="1"/>
  <c r="DG668" i="1"/>
  <c r="M293" i="1"/>
  <c r="L293" i="1"/>
  <c r="DA668" i="1"/>
  <c r="CY668" i="1"/>
  <c r="CX668" i="1"/>
  <c r="J293" i="1"/>
  <c r="BL668" i="1"/>
  <c r="BK668" i="1"/>
  <c r="DG667" i="1"/>
  <c r="M294" i="1"/>
  <c r="L294" i="1"/>
  <c r="DA667" i="1"/>
  <c r="CY667" i="1"/>
  <c r="CX667" i="1"/>
  <c r="J294" i="1"/>
  <c r="BL667" i="1"/>
  <c r="BK667" i="1"/>
  <c r="DG666" i="1"/>
  <c r="M295" i="1"/>
  <c r="L295" i="1"/>
  <c r="DA666" i="1"/>
  <c r="CY666" i="1"/>
  <c r="CX666" i="1"/>
  <c r="J295" i="1"/>
  <c r="BL666" i="1"/>
  <c r="BK666" i="1"/>
  <c r="DG665" i="1"/>
  <c r="M296" i="1"/>
  <c r="L296" i="1"/>
  <c r="DA665" i="1"/>
  <c r="CY665" i="1"/>
  <c r="CX665" i="1"/>
  <c r="J296" i="1"/>
  <c r="BL665" i="1"/>
  <c r="BK665" i="1"/>
  <c r="DG664" i="1"/>
  <c r="M297" i="1"/>
  <c r="L297" i="1"/>
  <c r="DA664" i="1"/>
  <c r="CY664" i="1"/>
  <c r="CX664" i="1"/>
  <c r="J297" i="1"/>
  <c r="BL664" i="1"/>
  <c r="BK664" i="1"/>
  <c r="DG663" i="1"/>
  <c r="M298" i="1"/>
  <c r="L298" i="1"/>
  <c r="DA663" i="1"/>
  <c r="CY663" i="1"/>
  <c r="CX663" i="1"/>
  <c r="J298" i="1"/>
  <c r="BL663" i="1"/>
  <c r="BK663" i="1"/>
  <c r="DG662" i="1"/>
  <c r="M2273" i="1"/>
  <c r="L2273" i="1"/>
  <c r="DA662" i="1"/>
  <c r="CY662" i="1"/>
  <c r="CX662" i="1"/>
  <c r="J2273" i="1"/>
  <c r="BL662" i="1"/>
  <c r="BK662" i="1"/>
  <c r="DG661" i="1"/>
  <c r="M300" i="1"/>
  <c r="L300" i="1"/>
  <c r="DA661" i="1"/>
  <c r="CY661" i="1"/>
  <c r="CX661" i="1"/>
  <c r="J300" i="1"/>
  <c r="BL661" i="1"/>
  <c r="BK661" i="1"/>
  <c r="DG660" i="1"/>
  <c r="M301" i="1"/>
  <c r="L301" i="1"/>
  <c r="DA660" i="1"/>
  <c r="CY660" i="1"/>
  <c r="CX660" i="1"/>
  <c r="J301" i="1"/>
  <c r="BL660" i="1"/>
  <c r="BK660" i="1"/>
  <c r="DG659" i="1"/>
  <c r="M302" i="1"/>
  <c r="L302" i="1"/>
  <c r="DA659" i="1"/>
  <c r="CY659" i="1"/>
  <c r="CX659" i="1"/>
  <c r="J302" i="1"/>
  <c r="BL659" i="1"/>
  <c r="BK659" i="1"/>
  <c r="DG658" i="1"/>
  <c r="M303" i="1"/>
  <c r="L303" i="1"/>
  <c r="DA658" i="1"/>
  <c r="CY658" i="1"/>
  <c r="CX658" i="1"/>
  <c r="J303" i="1"/>
  <c r="BL658" i="1"/>
  <c r="BK658" i="1"/>
  <c r="DG657" i="1"/>
  <c r="M304" i="1"/>
  <c r="L304" i="1"/>
  <c r="DA657" i="1"/>
  <c r="CY657" i="1"/>
  <c r="CX657" i="1"/>
  <c r="J304" i="1"/>
  <c r="BL657" i="1"/>
  <c r="BK657" i="1"/>
  <c r="DG656" i="1"/>
  <c r="M305" i="1"/>
  <c r="L305" i="1"/>
  <c r="DA656" i="1"/>
  <c r="CY656" i="1"/>
  <c r="CX656" i="1"/>
  <c r="J305" i="1"/>
  <c r="BL656" i="1"/>
  <c r="BK656" i="1"/>
  <c r="DG655" i="1"/>
  <c r="M306" i="1"/>
  <c r="L306" i="1"/>
  <c r="DA655" i="1"/>
  <c r="CY655" i="1"/>
  <c r="CX655" i="1"/>
  <c r="J306" i="1"/>
  <c r="BL655" i="1"/>
  <c r="BK655" i="1"/>
  <c r="DG654" i="1"/>
  <c r="M1108" i="1"/>
  <c r="L1108" i="1"/>
  <c r="DA654" i="1"/>
  <c r="CY654" i="1"/>
  <c r="CX654" i="1"/>
  <c r="J1108" i="1"/>
  <c r="BL654" i="1"/>
  <c r="BK654" i="1"/>
  <c r="DG653" i="1"/>
  <c r="M308" i="1"/>
  <c r="L308" i="1"/>
  <c r="DA653" i="1"/>
  <c r="CY653" i="1"/>
  <c r="CX653" i="1"/>
  <c r="J308" i="1"/>
  <c r="BL653" i="1"/>
  <c r="BK653" i="1"/>
  <c r="DG652" i="1"/>
  <c r="M309" i="1"/>
  <c r="L309" i="1"/>
  <c r="DA652" i="1"/>
  <c r="CY652" i="1"/>
  <c r="CX652" i="1"/>
  <c r="J309" i="1"/>
  <c r="BL652" i="1"/>
  <c r="BK652" i="1"/>
  <c r="DG651" i="1"/>
  <c r="M310" i="1"/>
  <c r="L310" i="1"/>
  <c r="DA651" i="1"/>
  <c r="CY651" i="1"/>
  <c r="CX651" i="1"/>
  <c r="J310" i="1"/>
  <c r="BL651" i="1"/>
  <c r="BK651" i="1"/>
  <c r="DG650" i="1"/>
  <c r="M311" i="1"/>
  <c r="L311" i="1"/>
  <c r="DA650" i="1"/>
  <c r="CY650" i="1"/>
  <c r="CX650" i="1"/>
  <c r="J311" i="1"/>
  <c r="BL650" i="1"/>
  <c r="BK650" i="1"/>
  <c r="DG649" i="1"/>
  <c r="M312" i="1"/>
  <c r="L312" i="1"/>
  <c r="DA649" i="1"/>
  <c r="CY649" i="1"/>
  <c r="CX649" i="1"/>
  <c r="J312" i="1"/>
  <c r="BL649" i="1"/>
  <c r="BK649" i="1"/>
  <c r="DG648" i="1"/>
  <c r="M313" i="1"/>
  <c r="L313" i="1"/>
  <c r="DA648" i="1"/>
  <c r="CY648" i="1"/>
  <c r="CX648" i="1"/>
  <c r="J313" i="1"/>
  <c r="BL648" i="1"/>
  <c r="BK648" i="1"/>
  <c r="DG647" i="1"/>
  <c r="M314" i="1"/>
  <c r="L314" i="1"/>
  <c r="DA647" i="1"/>
  <c r="CY647" i="1"/>
  <c r="CX647" i="1"/>
  <c r="J314" i="1"/>
  <c r="BL647" i="1"/>
  <c r="BK647" i="1"/>
  <c r="DG646" i="1"/>
  <c r="M315" i="1"/>
  <c r="L315" i="1"/>
  <c r="DA646" i="1"/>
  <c r="CY646" i="1"/>
  <c r="CX646" i="1"/>
  <c r="J315" i="1"/>
  <c r="BL646" i="1"/>
  <c r="BK646" i="1"/>
  <c r="DG645" i="1"/>
  <c r="M331" i="1"/>
  <c r="L331" i="1"/>
  <c r="DA645" i="1"/>
  <c r="CY645" i="1"/>
  <c r="CX645" i="1"/>
  <c r="J331" i="1"/>
  <c r="BL645" i="1"/>
  <c r="BK645" i="1"/>
  <c r="DG644" i="1"/>
  <c r="M332" i="1"/>
  <c r="L332" i="1"/>
  <c r="DA644" i="1"/>
  <c r="CY644" i="1"/>
  <c r="CX644" i="1"/>
  <c r="J332" i="1"/>
  <c r="BL644" i="1"/>
  <c r="BK644" i="1"/>
  <c r="DG643" i="1"/>
  <c r="M333" i="1"/>
  <c r="L333" i="1"/>
  <c r="DA643" i="1"/>
  <c r="CY643" i="1"/>
  <c r="CX643" i="1"/>
  <c r="J333" i="1"/>
  <c r="BL643" i="1"/>
  <c r="BK643" i="1"/>
  <c r="DG642" i="1"/>
  <c r="M334" i="1"/>
  <c r="L334" i="1"/>
  <c r="DA642" i="1"/>
  <c r="CY642" i="1"/>
  <c r="CX642" i="1"/>
  <c r="J334" i="1"/>
  <c r="BL642" i="1"/>
  <c r="BK642" i="1"/>
  <c r="DG641" i="1"/>
  <c r="M335" i="1"/>
  <c r="L335" i="1"/>
  <c r="DA641" i="1"/>
  <c r="CY641" i="1"/>
  <c r="CX641" i="1"/>
  <c r="J335" i="1"/>
  <c r="BL641" i="1"/>
  <c r="BK641" i="1"/>
  <c r="DG640" i="1"/>
  <c r="M389" i="1"/>
  <c r="L389" i="1"/>
  <c r="DA640" i="1"/>
  <c r="CY640" i="1"/>
  <c r="CX640" i="1"/>
  <c r="J389" i="1"/>
  <c r="BL640" i="1"/>
  <c r="BK640" i="1"/>
  <c r="DG639" i="1"/>
  <c r="M336" i="1"/>
  <c r="L336" i="1"/>
  <c r="DA639" i="1"/>
  <c r="CY639" i="1"/>
  <c r="CX639" i="1"/>
  <c r="J336" i="1"/>
  <c r="BL639" i="1"/>
  <c r="BK639" i="1"/>
  <c r="DG638" i="1"/>
  <c r="M337" i="1"/>
  <c r="L337" i="1"/>
  <c r="DA638" i="1"/>
  <c r="CY638" i="1"/>
  <c r="CX638" i="1"/>
  <c r="J337" i="1"/>
  <c r="BL638" i="1"/>
  <c r="BK638" i="1"/>
  <c r="DG637" i="1"/>
  <c r="M338" i="1"/>
  <c r="L338" i="1"/>
  <c r="DA637" i="1"/>
  <c r="CY637" i="1"/>
  <c r="CX637" i="1"/>
  <c r="J338" i="1"/>
  <c r="BL637" i="1"/>
  <c r="BK637" i="1"/>
  <c r="DG636" i="1"/>
  <c r="M339" i="1"/>
  <c r="L339" i="1"/>
  <c r="DA636" i="1"/>
  <c r="CY636" i="1"/>
  <c r="CX636" i="1"/>
  <c r="J339" i="1"/>
  <c r="BL636" i="1"/>
  <c r="BK636" i="1"/>
  <c r="DG635" i="1"/>
  <c r="M340" i="1"/>
  <c r="L340" i="1"/>
  <c r="DA635" i="1"/>
  <c r="CY635" i="1"/>
  <c r="CX635" i="1"/>
  <c r="J340" i="1"/>
  <c r="BL635" i="1"/>
  <c r="BK635" i="1"/>
  <c r="DG634" i="1"/>
  <c r="M341" i="1"/>
  <c r="L341" i="1"/>
  <c r="DA634" i="1"/>
  <c r="CY634" i="1"/>
  <c r="CX634" i="1"/>
  <c r="J341" i="1"/>
  <c r="BL634" i="1"/>
  <c r="BK634" i="1"/>
  <c r="DG633" i="1"/>
  <c r="M342" i="1"/>
  <c r="L342" i="1"/>
  <c r="DA633" i="1"/>
  <c r="CY633" i="1"/>
  <c r="CX633" i="1"/>
  <c r="J342" i="1"/>
  <c r="BL633" i="1"/>
  <c r="BK633" i="1"/>
  <c r="DG632" i="1"/>
  <c r="M343" i="1"/>
  <c r="L343" i="1"/>
  <c r="DA632" i="1"/>
  <c r="CY632" i="1"/>
  <c r="CX632" i="1"/>
  <c r="J343" i="1"/>
  <c r="BL632" i="1"/>
  <c r="BK632" i="1"/>
  <c r="DG631" i="1"/>
  <c r="M344" i="1"/>
  <c r="L344" i="1"/>
  <c r="DA631" i="1"/>
  <c r="CY631" i="1"/>
  <c r="CX631" i="1"/>
  <c r="J344" i="1"/>
  <c r="BL631" i="1"/>
  <c r="BK631" i="1"/>
  <c r="DG630" i="1"/>
  <c r="M3405" i="1"/>
  <c r="L3405" i="1"/>
  <c r="DA630" i="1"/>
  <c r="CY630" i="1"/>
  <c r="CX630" i="1"/>
  <c r="J3405" i="1"/>
  <c r="CW630" i="1"/>
  <c r="BL630" i="1"/>
  <c r="BK630" i="1"/>
  <c r="DG629" i="1"/>
  <c r="M347" i="1"/>
  <c r="L347" i="1"/>
  <c r="DA629" i="1"/>
  <c r="CY629" i="1"/>
  <c r="CX629" i="1"/>
  <c r="J347" i="1"/>
  <c r="BL629" i="1"/>
  <c r="BK629" i="1"/>
  <c r="DG628" i="1"/>
  <c r="M348" i="1"/>
  <c r="L348" i="1"/>
  <c r="DA628" i="1"/>
  <c r="CY628" i="1"/>
  <c r="CX628" i="1"/>
  <c r="J348" i="1"/>
  <c r="BL628" i="1"/>
  <c r="BK628" i="1"/>
  <c r="DG627" i="1"/>
  <c r="M349" i="1"/>
  <c r="L349" i="1"/>
  <c r="DA627" i="1"/>
  <c r="CY627" i="1"/>
  <c r="CX627" i="1"/>
  <c r="J349" i="1"/>
  <c r="BL627" i="1"/>
  <c r="BK627" i="1"/>
  <c r="DG626" i="1"/>
  <c r="M350" i="1"/>
  <c r="L350" i="1"/>
  <c r="DA626" i="1"/>
  <c r="CY626" i="1"/>
  <c r="CX626" i="1"/>
  <c r="J350" i="1"/>
  <c r="BL626" i="1"/>
  <c r="BK626" i="1"/>
  <c r="DG625" i="1"/>
  <c r="M351" i="1"/>
  <c r="L351" i="1"/>
  <c r="DA625" i="1"/>
  <c r="CY625" i="1"/>
  <c r="CX625" i="1"/>
  <c r="J351" i="1"/>
  <c r="BL625" i="1"/>
  <c r="BK625" i="1"/>
  <c r="DG624" i="1"/>
  <c r="M352" i="1"/>
  <c r="L352" i="1"/>
  <c r="DA624" i="1"/>
  <c r="CY624" i="1"/>
  <c r="CX624" i="1"/>
  <c r="J352" i="1"/>
  <c r="BL624" i="1"/>
  <c r="BK624" i="1"/>
  <c r="DG623" i="1"/>
  <c r="M353" i="1"/>
  <c r="L353" i="1"/>
  <c r="DA623" i="1"/>
  <c r="CY623" i="1"/>
  <c r="CX623" i="1"/>
  <c r="J353" i="1"/>
  <c r="BL623" i="1"/>
  <c r="BK623" i="1"/>
  <c r="DG622" i="1"/>
  <c r="M354" i="1"/>
  <c r="L354" i="1"/>
  <c r="DA622" i="1"/>
  <c r="CY622" i="1"/>
  <c r="CX622" i="1"/>
  <c r="J354" i="1"/>
  <c r="BL622" i="1"/>
  <c r="BK622" i="1"/>
  <c r="DG621" i="1"/>
  <c r="M355" i="1"/>
  <c r="L355" i="1"/>
  <c r="DA621" i="1"/>
  <c r="CY621" i="1"/>
  <c r="CX621" i="1"/>
  <c r="J355" i="1"/>
  <c r="BL621" i="1"/>
  <c r="BK621" i="1"/>
  <c r="DG620" i="1"/>
  <c r="M356" i="1"/>
  <c r="L356" i="1"/>
  <c r="DA620" i="1"/>
  <c r="CY620" i="1"/>
  <c r="CX620" i="1"/>
  <c r="J356" i="1"/>
  <c r="BL620" i="1"/>
  <c r="BK620" i="1"/>
  <c r="DG619" i="1"/>
  <c r="M357" i="1"/>
  <c r="L357" i="1"/>
  <c r="DA619" i="1"/>
  <c r="CY619" i="1"/>
  <c r="CX619" i="1"/>
  <c r="J357" i="1"/>
  <c r="BL619" i="1"/>
  <c r="BK619" i="1"/>
  <c r="DG618" i="1"/>
  <c r="M358" i="1"/>
  <c r="L358" i="1"/>
  <c r="DA618" i="1"/>
  <c r="CY618" i="1"/>
  <c r="CX618" i="1"/>
  <c r="J358" i="1"/>
  <c r="BL618" i="1"/>
  <c r="BK618" i="1"/>
  <c r="DG617" i="1"/>
  <c r="M359" i="1"/>
  <c r="L359" i="1"/>
  <c r="DA617" i="1"/>
  <c r="CY617" i="1"/>
  <c r="CX617" i="1"/>
  <c r="J359" i="1"/>
  <c r="BL617" i="1"/>
  <c r="BK617" i="1"/>
  <c r="DG616" i="1"/>
  <c r="M360" i="1"/>
  <c r="L360" i="1"/>
  <c r="DA616" i="1"/>
  <c r="CY616" i="1"/>
  <c r="CX616" i="1"/>
  <c r="J360" i="1"/>
  <c r="BL616" i="1"/>
  <c r="BK616" i="1"/>
  <c r="DG615" i="1"/>
  <c r="M361" i="1"/>
  <c r="L361" i="1"/>
  <c r="DA615" i="1"/>
  <c r="CY615" i="1"/>
  <c r="CX615" i="1"/>
  <c r="J361" i="1"/>
  <c r="BL615" i="1"/>
  <c r="BK615" i="1"/>
  <c r="DG614" i="1"/>
  <c r="M362" i="1"/>
  <c r="L362" i="1"/>
  <c r="DA614" i="1"/>
  <c r="CY614" i="1"/>
  <c r="CX614" i="1"/>
  <c r="J362" i="1"/>
  <c r="BL614" i="1"/>
  <c r="BK614" i="1"/>
  <c r="DG613" i="1"/>
  <c r="M364" i="1"/>
  <c r="L364" i="1"/>
  <c r="DA613" i="1"/>
  <c r="CY613" i="1"/>
  <c r="CX613" i="1"/>
  <c r="J364" i="1"/>
  <c r="BL613" i="1"/>
  <c r="BK613" i="1"/>
  <c r="DG612" i="1"/>
  <c r="M365" i="1"/>
  <c r="L365" i="1"/>
  <c r="DA612" i="1"/>
  <c r="CY612" i="1"/>
  <c r="CX612" i="1"/>
  <c r="J365" i="1"/>
  <c r="BL612" i="1"/>
  <c r="BK612" i="1"/>
  <c r="DG611" i="1"/>
  <c r="M366" i="1"/>
  <c r="L366" i="1"/>
  <c r="DA611" i="1"/>
  <c r="CY611" i="1"/>
  <c r="CX611" i="1"/>
  <c r="J366" i="1"/>
  <c r="BL611" i="1"/>
  <c r="BK611" i="1"/>
  <c r="DG610" i="1"/>
  <c r="M367" i="1"/>
  <c r="L367" i="1"/>
  <c r="DA610" i="1"/>
  <c r="CY610" i="1"/>
  <c r="CX610" i="1"/>
  <c r="J367" i="1"/>
  <c r="BL610" i="1"/>
  <c r="BK610" i="1"/>
  <c r="DG609" i="1"/>
  <c r="M368" i="1"/>
  <c r="L368" i="1"/>
  <c r="DA609" i="1"/>
  <c r="CY609" i="1"/>
  <c r="CX609" i="1"/>
  <c r="J368" i="1"/>
  <c r="BL609" i="1"/>
  <c r="BK609" i="1"/>
  <c r="DG608" i="1"/>
  <c r="M369" i="1"/>
  <c r="L369" i="1"/>
  <c r="DA608" i="1"/>
  <c r="CY608" i="1"/>
  <c r="CX608" i="1"/>
  <c r="J369" i="1"/>
  <c r="BL608" i="1"/>
  <c r="BK608" i="1"/>
  <c r="DG607" i="1"/>
  <c r="M371" i="1"/>
  <c r="L371" i="1"/>
  <c r="DA607" i="1"/>
  <c r="CY607" i="1"/>
  <c r="CX607" i="1"/>
  <c r="J371" i="1"/>
  <c r="BL607" i="1"/>
  <c r="BK607" i="1"/>
  <c r="DG606" i="1"/>
  <c r="M372" i="1"/>
  <c r="L372" i="1"/>
  <c r="DA606" i="1"/>
  <c r="CY606" i="1"/>
  <c r="CX606" i="1"/>
  <c r="J372" i="1"/>
  <c r="BL606" i="1"/>
  <c r="BK606" i="1"/>
  <c r="DG605" i="1"/>
  <c r="M373" i="1"/>
  <c r="L373" i="1"/>
  <c r="DA605" i="1"/>
  <c r="CY605" i="1"/>
  <c r="CX605" i="1"/>
  <c r="J373" i="1"/>
  <c r="BL605" i="1"/>
  <c r="BK605" i="1"/>
  <c r="DG604" i="1"/>
  <c r="M374" i="1"/>
  <c r="L374" i="1"/>
  <c r="DA604" i="1"/>
  <c r="CY604" i="1"/>
  <c r="CX604" i="1"/>
  <c r="J374" i="1"/>
  <c r="BL604" i="1"/>
  <c r="BK604" i="1"/>
  <c r="DG603" i="1"/>
  <c r="M375" i="1"/>
  <c r="L375" i="1"/>
  <c r="DA603" i="1"/>
  <c r="CY603" i="1"/>
  <c r="CX603" i="1"/>
  <c r="J375" i="1"/>
  <c r="BL603" i="1"/>
  <c r="BK603" i="1"/>
  <c r="DG602" i="1"/>
  <c r="M376" i="1"/>
  <c r="L376" i="1"/>
  <c r="DA602" i="1"/>
  <c r="CY602" i="1"/>
  <c r="CX602" i="1"/>
  <c r="J376" i="1"/>
  <c r="BL602" i="1"/>
  <c r="BK602" i="1"/>
  <c r="DG601" i="1"/>
  <c r="M377" i="1"/>
  <c r="L377" i="1"/>
  <c r="DA601" i="1"/>
  <c r="CY601" i="1"/>
  <c r="CX601" i="1"/>
  <c r="J377" i="1"/>
  <c r="BL601" i="1"/>
  <c r="BK601" i="1"/>
  <c r="DG600" i="1"/>
  <c r="M378" i="1"/>
  <c r="L378" i="1"/>
  <c r="DA600" i="1"/>
  <c r="CY600" i="1"/>
  <c r="CX600" i="1"/>
  <c r="J378" i="1"/>
  <c r="BL600" i="1"/>
  <c r="BK600" i="1"/>
  <c r="DG599" i="1"/>
  <c r="M379" i="1"/>
  <c r="L379" i="1"/>
  <c r="DA599" i="1"/>
  <c r="CY599" i="1"/>
  <c r="CX599" i="1"/>
  <c r="J379" i="1"/>
  <c r="BL599" i="1"/>
  <c r="BK599" i="1"/>
  <c r="DG598" i="1"/>
  <c r="M2272" i="1"/>
  <c r="L2272" i="1"/>
  <c r="DA598" i="1"/>
  <c r="CY598" i="1"/>
  <c r="CX598" i="1"/>
  <c r="J2272" i="1"/>
  <c r="BL598" i="1"/>
  <c r="BK598" i="1"/>
  <c r="DG597" i="1"/>
  <c r="M381" i="1"/>
  <c r="L381" i="1"/>
  <c r="DA597" i="1"/>
  <c r="CY597" i="1"/>
  <c r="CX597" i="1"/>
  <c r="J381" i="1"/>
  <c r="BL597" i="1"/>
  <c r="BK597" i="1"/>
  <c r="DG596" i="1"/>
  <c r="M382" i="1"/>
  <c r="L382" i="1"/>
  <c r="DA596" i="1"/>
  <c r="CY596" i="1"/>
  <c r="CX596" i="1"/>
  <c r="J382" i="1"/>
  <c r="BL596" i="1"/>
  <c r="BK596" i="1"/>
  <c r="DG595" i="1"/>
  <c r="M383" i="1"/>
  <c r="L383" i="1"/>
  <c r="DA595" i="1"/>
  <c r="CY595" i="1"/>
  <c r="CX595" i="1"/>
  <c r="J383" i="1"/>
  <c r="BL595" i="1"/>
  <c r="BK595" i="1"/>
  <c r="DG594" i="1"/>
  <c r="M384" i="1"/>
  <c r="L384" i="1"/>
  <c r="DA594" i="1"/>
  <c r="CY594" i="1"/>
  <c r="CX594" i="1"/>
  <c r="J384" i="1"/>
  <c r="BL594" i="1"/>
  <c r="BK594" i="1"/>
  <c r="DG593" i="1"/>
  <c r="M385" i="1"/>
  <c r="L385" i="1"/>
  <c r="DA593" i="1"/>
  <c r="CY593" i="1"/>
  <c r="CX593" i="1"/>
  <c r="J385" i="1"/>
  <c r="BL593" i="1"/>
  <c r="BK593" i="1"/>
  <c r="DG592" i="1"/>
  <c r="M386" i="1"/>
  <c r="L386" i="1"/>
  <c r="DA592" i="1"/>
  <c r="CY592" i="1"/>
  <c r="CX592" i="1"/>
  <c r="J386" i="1"/>
  <c r="BL592" i="1"/>
  <c r="BK592" i="1"/>
  <c r="DG591" i="1"/>
  <c r="M387" i="1"/>
  <c r="L387" i="1"/>
  <c r="DA591" i="1"/>
  <c r="CY591" i="1"/>
  <c r="CX591" i="1"/>
  <c r="J387" i="1"/>
  <c r="BL591" i="1"/>
  <c r="BK591" i="1"/>
  <c r="DG590" i="1"/>
  <c r="M388" i="1"/>
  <c r="L388" i="1"/>
  <c r="DA590" i="1"/>
  <c r="CY590" i="1"/>
  <c r="CX590" i="1"/>
  <c r="J388" i="1"/>
  <c r="BL590" i="1"/>
  <c r="BK590" i="1"/>
  <c r="DG589" i="1"/>
  <c r="M390" i="1"/>
  <c r="L390" i="1"/>
  <c r="DA589" i="1"/>
  <c r="CY589" i="1"/>
  <c r="CX589" i="1"/>
  <c r="J390" i="1"/>
  <c r="BL589" i="1"/>
  <c r="BK589" i="1"/>
  <c r="DG588" i="1"/>
  <c r="M391" i="1"/>
  <c r="L391" i="1"/>
  <c r="DA588" i="1"/>
  <c r="CY588" i="1"/>
  <c r="CX588" i="1"/>
  <c r="J391" i="1"/>
  <c r="BL588" i="1"/>
  <c r="BK588" i="1"/>
  <c r="DG587" i="1"/>
  <c r="M392" i="1"/>
  <c r="L392" i="1"/>
  <c r="DA587" i="1"/>
  <c r="CY587" i="1"/>
  <c r="CX587" i="1"/>
  <c r="J392" i="1"/>
  <c r="BL587" i="1"/>
  <c r="BK587" i="1"/>
  <c r="DG586" i="1"/>
  <c r="M393" i="1"/>
  <c r="L393" i="1"/>
  <c r="DA586" i="1"/>
  <c r="CY586" i="1"/>
  <c r="CX586" i="1"/>
  <c r="J393" i="1"/>
  <c r="BL586" i="1"/>
  <c r="BK586" i="1"/>
  <c r="DG585" i="1"/>
  <c r="M394" i="1"/>
  <c r="L394" i="1"/>
  <c r="DA585" i="1"/>
  <c r="CY585" i="1"/>
  <c r="CX585" i="1"/>
  <c r="J394" i="1"/>
  <c r="BL585" i="1"/>
  <c r="BK585" i="1"/>
  <c r="DG584" i="1"/>
  <c r="M395" i="1"/>
  <c r="L395" i="1"/>
  <c r="DA584" i="1"/>
  <c r="CY584" i="1"/>
  <c r="CX584" i="1"/>
  <c r="J395" i="1"/>
  <c r="BL584" i="1"/>
  <c r="BK584" i="1"/>
  <c r="DG583" i="1"/>
  <c r="M396" i="1"/>
  <c r="L396" i="1"/>
  <c r="DA583" i="1"/>
  <c r="CY583" i="1"/>
  <c r="CX583" i="1"/>
  <c r="J396" i="1"/>
  <c r="BL583" i="1"/>
  <c r="BK583" i="1"/>
  <c r="DG582" i="1"/>
  <c r="M397" i="1"/>
  <c r="L397" i="1"/>
  <c r="DA582" i="1"/>
  <c r="CY582" i="1"/>
  <c r="CX582" i="1"/>
  <c r="J397" i="1"/>
  <c r="BL582" i="1"/>
  <c r="BK582" i="1"/>
  <c r="DG581" i="1"/>
  <c r="M398" i="1"/>
  <c r="L398" i="1"/>
  <c r="DA581" i="1"/>
  <c r="CY581" i="1"/>
  <c r="CX581" i="1"/>
  <c r="J398" i="1"/>
  <c r="BL581" i="1"/>
  <c r="BK581" i="1"/>
  <c r="DG580" i="1"/>
  <c r="M399" i="1"/>
  <c r="L399" i="1"/>
  <c r="DA580" i="1"/>
  <c r="CY580" i="1"/>
  <c r="CX580" i="1"/>
  <c r="J399" i="1"/>
  <c r="BL580" i="1"/>
  <c r="BK580" i="1"/>
  <c r="DG579" i="1"/>
  <c r="M400" i="1"/>
  <c r="L400" i="1"/>
  <c r="DA579" i="1"/>
  <c r="CY579" i="1"/>
  <c r="CX579" i="1"/>
  <c r="J400" i="1"/>
  <c r="BL579" i="1"/>
  <c r="BK579" i="1"/>
  <c r="DG578" i="1"/>
  <c r="M401" i="1"/>
  <c r="L401" i="1"/>
  <c r="DA578" i="1"/>
  <c r="CY578" i="1"/>
  <c r="CX578" i="1"/>
  <c r="J401" i="1"/>
  <c r="BL578" i="1"/>
  <c r="BK578" i="1"/>
  <c r="DG577" i="1"/>
  <c r="M402" i="1"/>
  <c r="L402" i="1"/>
  <c r="DA577" i="1"/>
  <c r="CY577" i="1"/>
  <c r="CX577" i="1"/>
  <c r="J402" i="1"/>
  <c r="BL577" i="1"/>
  <c r="BK577" i="1"/>
  <c r="DG576" i="1"/>
  <c r="M403" i="1"/>
  <c r="L403" i="1"/>
  <c r="DA576" i="1"/>
  <c r="CY576" i="1"/>
  <c r="CX576" i="1"/>
  <c r="J403" i="1"/>
  <c r="BL576" i="1"/>
  <c r="BK576" i="1"/>
  <c r="DG575" i="1"/>
  <c r="M404" i="1"/>
  <c r="L404" i="1"/>
  <c r="DA575" i="1"/>
  <c r="CY575" i="1"/>
  <c r="CX575" i="1"/>
  <c r="J404" i="1"/>
  <c r="BL575" i="1"/>
  <c r="BK575" i="1"/>
  <c r="DG574" i="1"/>
  <c r="M405" i="1"/>
  <c r="L405" i="1"/>
  <c r="DA574" i="1"/>
  <c r="CY574" i="1"/>
  <c r="CX574" i="1"/>
  <c r="J405" i="1"/>
  <c r="BL574" i="1"/>
  <c r="BK574" i="1"/>
  <c r="DG573" i="1"/>
  <c r="M406" i="1"/>
  <c r="L406" i="1"/>
  <c r="DA573" i="1"/>
  <c r="CY573" i="1"/>
  <c r="CX573" i="1"/>
  <c r="J406" i="1"/>
  <c r="BL573" i="1"/>
  <c r="BK573" i="1"/>
  <c r="DG572" i="1"/>
  <c r="M407" i="1"/>
  <c r="L407" i="1"/>
  <c r="DA572" i="1"/>
  <c r="CY572" i="1"/>
  <c r="CX572" i="1"/>
  <c r="J407" i="1"/>
  <c r="BL572" i="1"/>
  <c r="BK572" i="1"/>
  <c r="DG571" i="1"/>
  <c r="M408" i="1"/>
  <c r="L408" i="1"/>
  <c r="DA571" i="1"/>
  <c r="CY571" i="1"/>
  <c r="CX571" i="1"/>
  <c r="J408" i="1"/>
  <c r="BL571" i="1"/>
  <c r="BK571" i="1"/>
  <c r="DG570" i="1"/>
  <c r="M409" i="1"/>
  <c r="L409" i="1"/>
  <c r="DA570" i="1"/>
  <c r="CY570" i="1"/>
  <c r="CX570" i="1"/>
  <c r="J409" i="1"/>
  <c r="BL570" i="1"/>
  <c r="BK570" i="1"/>
  <c r="DG569" i="1"/>
  <c r="M410" i="1"/>
  <c r="L410" i="1"/>
  <c r="DA569" i="1"/>
  <c r="CY569" i="1"/>
  <c r="CX569" i="1"/>
  <c r="J410" i="1"/>
  <c r="BL569" i="1"/>
  <c r="BK569" i="1"/>
  <c r="DG568" i="1"/>
  <c r="M411" i="1"/>
  <c r="L411" i="1"/>
  <c r="DA568" i="1"/>
  <c r="CY568" i="1"/>
  <c r="CX568" i="1"/>
  <c r="J411" i="1"/>
  <c r="BL568" i="1"/>
  <c r="BK568" i="1"/>
  <c r="DG567" i="1"/>
  <c r="M412" i="1"/>
  <c r="L412" i="1"/>
  <c r="DA567" i="1"/>
  <c r="CY567" i="1"/>
  <c r="CX567" i="1"/>
  <c r="J412" i="1"/>
  <c r="BL567" i="1"/>
  <c r="BK567" i="1"/>
  <c r="DG566" i="1"/>
  <c r="M413" i="1"/>
  <c r="L413" i="1"/>
  <c r="DA566" i="1"/>
  <c r="CY566" i="1"/>
  <c r="CX566" i="1"/>
  <c r="J413" i="1"/>
  <c r="BL566" i="1"/>
  <c r="BK566" i="1"/>
  <c r="DG565" i="1"/>
  <c r="M414" i="1"/>
  <c r="L414" i="1"/>
  <c r="DA565" i="1"/>
  <c r="CY565" i="1"/>
  <c r="CX565" i="1"/>
  <c r="J414" i="1"/>
  <c r="BL565" i="1"/>
  <c r="BK565" i="1"/>
  <c r="DG564" i="1"/>
  <c r="M415" i="1"/>
  <c r="L415" i="1"/>
  <c r="DA564" i="1"/>
  <c r="CY564" i="1"/>
  <c r="CX564" i="1"/>
  <c r="J415" i="1"/>
  <c r="BL564" i="1"/>
  <c r="BK564" i="1"/>
  <c r="DG563" i="1"/>
  <c r="M416" i="1"/>
  <c r="L416" i="1"/>
  <c r="DA563" i="1"/>
  <c r="CY563" i="1"/>
  <c r="CX563" i="1"/>
  <c r="J416" i="1"/>
  <c r="BL563" i="1"/>
  <c r="BK563" i="1"/>
  <c r="DG562" i="1"/>
  <c r="M417" i="1"/>
  <c r="L417" i="1"/>
  <c r="DA562" i="1"/>
  <c r="CY562" i="1"/>
  <c r="CX562" i="1"/>
  <c r="J417" i="1"/>
  <c r="BL562" i="1"/>
  <c r="BK562" i="1"/>
  <c r="DG561" i="1"/>
  <c r="M418" i="1"/>
  <c r="L418" i="1"/>
  <c r="DA561" i="1"/>
  <c r="CY561" i="1"/>
  <c r="CX561" i="1"/>
  <c r="J418" i="1"/>
  <c r="BL561" i="1"/>
  <c r="BK561" i="1"/>
  <c r="DG560" i="1"/>
  <c r="M419" i="1"/>
  <c r="L419" i="1"/>
  <c r="DA560" i="1"/>
  <c r="CY560" i="1"/>
  <c r="CX560" i="1"/>
  <c r="J419" i="1"/>
  <c r="BL560" i="1"/>
  <c r="BK560" i="1"/>
  <c r="DG559" i="1"/>
  <c r="M420" i="1"/>
  <c r="L420" i="1"/>
  <c r="DA559" i="1"/>
  <c r="CY559" i="1"/>
  <c r="CX559" i="1"/>
  <c r="J420" i="1"/>
  <c r="BL559" i="1"/>
  <c r="BK559" i="1"/>
  <c r="DG558" i="1"/>
  <c r="M421" i="1"/>
  <c r="L421" i="1"/>
  <c r="DA558" i="1"/>
  <c r="CY558" i="1"/>
  <c r="CX558" i="1"/>
  <c r="J421" i="1"/>
  <c r="BL558" i="1"/>
  <c r="BK558" i="1"/>
  <c r="DG557" i="1"/>
  <c r="M422" i="1"/>
  <c r="L422" i="1"/>
  <c r="DA557" i="1"/>
  <c r="CY557" i="1"/>
  <c r="CX557" i="1"/>
  <c r="J422" i="1"/>
  <c r="BL557" i="1"/>
  <c r="BK557" i="1"/>
  <c r="DG556" i="1"/>
  <c r="M423" i="1"/>
  <c r="L423" i="1"/>
  <c r="DA556" i="1"/>
  <c r="CY556" i="1"/>
  <c r="CX556" i="1"/>
  <c r="J423" i="1"/>
  <c r="BL556" i="1"/>
  <c r="BK556" i="1"/>
  <c r="DG555" i="1"/>
  <c r="M424" i="1"/>
  <c r="L424" i="1"/>
  <c r="DA555" i="1"/>
  <c r="CY555" i="1"/>
  <c r="CX555" i="1"/>
  <c r="J424" i="1"/>
  <c r="BL555" i="1"/>
  <c r="BK555" i="1"/>
  <c r="DG554" i="1"/>
  <c r="M425" i="1"/>
  <c r="L425" i="1"/>
  <c r="DA554" i="1"/>
  <c r="CY554" i="1"/>
  <c r="CX554" i="1"/>
  <c r="J425" i="1"/>
  <c r="BL554" i="1"/>
  <c r="BK554" i="1"/>
  <c r="DG553" i="1"/>
  <c r="M426" i="1"/>
  <c r="L426" i="1"/>
  <c r="DA553" i="1"/>
  <c r="CY553" i="1"/>
  <c r="CX553" i="1"/>
  <c r="J426" i="1"/>
  <c r="BL553" i="1"/>
  <c r="BK553" i="1"/>
  <c r="DG552" i="1"/>
  <c r="M427" i="1"/>
  <c r="L427" i="1"/>
  <c r="DA552" i="1"/>
  <c r="CY552" i="1"/>
  <c r="CX552" i="1"/>
  <c r="J427" i="1"/>
  <c r="BL552" i="1"/>
  <c r="BK552" i="1"/>
  <c r="DG551" i="1"/>
  <c r="M502" i="1"/>
  <c r="L502" i="1"/>
  <c r="DA551" i="1"/>
  <c r="CY551" i="1"/>
  <c r="CX551" i="1"/>
  <c r="J502" i="1"/>
  <c r="BL551" i="1"/>
  <c r="BK551" i="1"/>
  <c r="DG550" i="1"/>
  <c r="M428" i="1"/>
  <c r="L428" i="1"/>
  <c r="DA550" i="1"/>
  <c r="CY550" i="1"/>
  <c r="CX550" i="1"/>
  <c r="J428" i="1"/>
  <c r="BL550" i="1"/>
  <c r="BK550" i="1"/>
  <c r="DG549" i="1"/>
  <c r="M429" i="1"/>
  <c r="L429" i="1"/>
  <c r="DA549" i="1"/>
  <c r="CY549" i="1"/>
  <c r="CX549" i="1"/>
  <c r="J429" i="1"/>
  <c r="BL549" i="1"/>
  <c r="BK549" i="1"/>
  <c r="DG548" i="1"/>
  <c r="M430" i="1"/>
  <c r="L430" i="1"/>
  <c r="DA548" i="1"/>
  <c r="CY548" i="1"/>
  <c r="CX548" i="1"/>
  <c r="J430" i="1"/>
  <c r="BL548" i="1"/>
  <c r="BK548" i="1"/>
  <c r="DG547" i="1"/>
  <c r="M431" i="1"/>
  <c r="L431" i="1"/>
  <c r="DA547" i="1"/>
  <c r="CY547" i="1"/>
  <c r="CX547" i="1"/>
  <c r="J431" i="1"/>
  <c r="BL547" i="1"/>
  <c r="BK547" i="1"/>
  <c r="DG546" i="1"/>
  <c r="M432" i="1"/>
  <c r="L432" i="1"/>
  <c r="DA546" i="1"/>
  <c r="CY546" i="1"/>
  <c r="CX546" i="1"/>
  <c r="J432" i="1"/>
  <c r="BL546" i="1"/>
  <c r="BK546" i="1"/>
  <c r="DG545" i="1"/>
  <c r="M433" i="1"/>
  <c r="L433" i="1"/>
  <c r="DA545" i="1"/>
  <c r="CY545" i="1"/>
  <c r="CX545" i="1"/>
  <c r="J433" i="1"/>
  <c r="BL545" i="1"/>
  <c r="BK545" i="1"/>
  <c r="DG544" i="1"/>
  <c r="M434" i="1"/>
  <c r="L434" i="1"/>
  <c r="DA544" i="1"/>
  <c r="CY544" i="1"/>
  <c r="CX544" i="1"/>
  <c r="J434" i="1"/>
  <c r="BL544" i="1"/>
  <c r="BK544" i="1"/>
  <c r="DG543" i="1"/>
  <c r="M435" i="1"/>
  <c r="L435" i="1"/>
  <c r="DA543" i="1"/>
  <c r="CY543" i="1"/>
  <c r="CX543" i="1"/>
  <c r="J435" i="1"/>
  <c r="BL543" i="1"/>
  <c r="BK543" i="1"/>
  <c r="DG542" i="1"/>
  <c r="M436" i="1"/>
  <c r="L436" i="1"/>
  <c r="DA542" i="1"/>
  <c r="CY542" i="1"/>
  <c r="CX542" i="1"/>
  <c r="J436" i="1"/>
  <c r="BL542" i="1"/>
  <c r="BK542" i="1"/>
  <c r="DG541" i="1"/>
  <c r="M438" i="1"/>
  <c r="L438" i="1"/>
  <c r="DA541" i="1"/>
  <c r="CY541" i="1"/>
  <c r="CX541" i="1"/>
  <c r="J438" i="1"/>
  <c r="BL541" i="1"/>
  <c r="BK541" i="1"/>
  <c r="DG540" i="1"/>
  <c r="M439" i="1"/>
  <c r="L439" i="1"/>
  <c r="DA540" i="1"/>
  <c r="CY540" i="1"/>
  <c r="CX540" i="1"/>
  <c r="J439" i="1"/>
  <c r="BL540" i="1"/>
  <c r="BK540" i="1"/>
  <c r="DG539" i="1"/>
  <c r="M440" i="1"/>
  <c r="L440" i="1"/>
  <c r="DA539" i="1"/>
  <c r="CY539" i="1"/>
  <c r="CX539" i="1"/>
  <c r="J440" i="1"/>
  <c r="BL539" i="1"/>
  <c r="BK539" i="1"/>
  <c r="DG538" i="1"/>
  <c r="M441" i="1"/>
  <c r="L441" i="1"/>
  <c r="DA538" i="1"/>
  <c r="CY538" i="1"/>
  <c r="CX538" i="1"/>
  <c r="J441" i="1"/>
  <c r="BL538" i="1"/>
  <c r="BK538" i="1"/>
  <c r="DG537" i="1"/>
  <c r="M442" i="1"/>
  <c r="L442" i="1"/>
  <c r="DA537" i="1"/>
  <c r="CY537" i="1"/>
  <c r="CX537" i="1"/>
  <c r="J442" i="1"/>
  <c r="BL537" i="1"/>
  <c r="BK537" i="1"/>
  <c r="DG536" i="1"/>
  <c r="M443" i="1"/>
  <c r="L443" i="1"/>
  <c r="DA536" i="1"/>
  <c r="CY536" i="1"/>
  <c r="CX536" i="1"/>
  <c r="J443" i="1"/>
  <c r="BL536" i="1"/>
  <c r="BK536" i="1"/>
  <c r="DG535" i="1"/>
  <c r="M444" i="1"/>
  <c r="L444" i="1"/>
  <c r="DA535" i="1"/>
  <c r="CY535" i="1"/>
  <c r="CX535" i="1"/>
  <c r="J444" i="1"/>
  <c r="BL535" i="1"/>
  <c r="BK535" i="1"/>
  <c r="DG534" i="1"/>
  <c r="M2271" i="1"/>
  <c r="L2271" i="1"/>
  <c r="DA534" i="1"/>
  <c r="CY534" i="1"/>
  <c r="CX534" i="1"/>
  <c r="J2271" i="1"/>
  <c r="BL534" i="1"/>
  <c r="BK534" i="1"/>
  <c r="DG533" i="1"/>
  <c r="M446" i="1"/>
  <c r="L446" i="1"/>
  <c r="DA533" i="1"/>
  <c r="CY533" i="1"/>
  <c r="CX533" i="1"/>
  <c r="J446" i="1"/>
  <c r="BL533" i="1"/>
  <c r="BK533" i="1"/>
  <c r="DG532" i="1"/>
  <c r="M447" i="1"/>
  <c r="L447" i="1"/>
  <c r="DA532" i="1"/>
  <c r="CY532" i="1"/>
  <c r="CX532" i="1"/>
  <c r="J447" i="1"/>
  <c r="BL532" i="1"/>
  <c r="BK532" i="1"/>
  <c r="DG531" i="1"/>
  <c r="M448" i="1"/>
  <c r="L448" i="1"/>
  <c r="DA531" i="1"/>
  <c r="CY531" i="1"/>
  <c r="CX531" i="1"/>
  <c r="J448" i="1"/>
  <c r="BL531" i="1"/>
  <c r="BK531" i="1"/>
  <c r="DG530" i="1"/>
  <c r="M449" i="1"/>
  <c r="L449" i="1"/>
  <c r="DA530" i="1"/>
  <c r="CY530" i="1"/>
  <c r="CX530" i="1"/>
  <c r="J449" i="1"/>
  <c r="BL530" i="1"/>
  <c r="BK530" i="1"/>
  <c r="DG529" i="1"/>
  <c r="M450" i="1"/>
  <c r="L450" i="1"/>
  <c r="DA529" i="1"/>
  <c r="CY529" i="1"/>
  <c r="CX529" i="1"/>
  <c r="J450" i="1"/>
  <c r="BL529" i="1"/>
  <c r="BK529" i="1"/>
  <c r="DG528" i="1"/>
  <c r="M451" i="1"/>
  <c r="L451" i="1"/>
  <c r="DA528" i="1"/>
  <c r="CY528" i="1"/>
  <c r="CX528" i="1"/>
  <c r="J451" i="1"/>
  <c r="BL528" i="1"/>
  <c r="BK528" i="1"/>
  <c r="DG527" i="1"/>
  <c r="M452" i="1"/>
  <c r="L452" i="1"/>
  <c r="DA527" i="1"/>
  <c r="CY527" i="1"/>
  <c r="CX527" i="1"/>
  <c r="J452" i="1"/>
  <c r="BL527" i="1"/>
  <c r="BK527" i="1"/>
  <c r="DG526" i="1"/>
  <c r="M453" i="1"/>
  <c r="L453" i="1"/>
  <c r="DA526" i="1"/>
  <c r="CY526" i="1"/>
  <c r="CX526" i="1"/>
  <c r="J453" i="1"/>
  <c r="BL526" i="1"/>
  <c r="BK526" i="1"/>
  <c r="DG525" i="1"/>
  <c r="M454" i="1"/>
  <c r="L454" i="1"/>
  <c r="DA525" i="1"/>
  <c r="CY525" i="1"/>
  <c r="CX525" i="1"/>
  <c r="J454" i="1"/>
  <c r="BL525" i="1"/>
  <c r="BK525" i="1"/>
  <c r="DG524" i="1"/>
  <c r="M455" i="1"/>
  <c r="L455" i="1"/>
  <c r="DA524" i="1"/>
  <c r="CY524" i="1"/>
  <c r="CX524" i="1"/>
  <c r="J455" i="1"/>
  <c r="BL524" i="1"/>
  <c r="BK524" i="1"/>
  <c r="DG523" i="1"/>
  <c r="M456" i="1"/>
  <c r="L456" i="1"/>
  <c r="DA523" i="1"/>
  <c r="CY523" i="1"/>
  <c r="CX523" i="1"/>
  <c r="J456" i="1"/>
  <c r="BL523" i="1"/>
  <c r="BK523" i="1"/>
  <c r="DG522" i="1"/>
  <c r="M457" i="1"/>
  <c r="L457" i="1"/>
  <c r="DA522" i="1"/>
  <c r="CY522" i="1"/>
  <c r="CX522" i="1"/>
  <c r="J457" i="1"/>
  <c r="BL522" i="1"/>
  <c r="BK522" i="1"/>
  <c r="DG521" i="1"/>
  <c r="M458" i="1"/>
  <c r="L458" i="1"/>
  <c r="DA521" i="1"/>
  <c r="CY521" i="1"/>
  <c r="CX521" i="1"/>
  <c r="J458" i="1"/>
  <c r="BL521" i="1"/>
  <c r="BK521" i="1"/>
  <c r="DG520" i="1"/>
  <c r="M459" i="1"/>
  <c r="L459" i="1"/>
  <c r="DA520" i="1"/>
  <c r="CY520" i="1"/>
  <c r="CX520" i="1"/>
  <c r="J459" i="1"/>
  <c r="BL520" i="1"/>
  <c r="BK520" i="1"/>
  <c r="DG519" i="1"/>
  <c r="M460" i="1"/>
  <c r="L460" i="1"/>
  <c r="DA519" i="1"/>
  <c r="CY519" i="1"/>
  <c r="CX519" i="1"/>
  <c r="J460" i="1"/>
  <c r="BL519" i="1"/>
  <c r="BK519" i="1"/>
  <c r="DG518" i="1"/>
  <c r="M461" i="1"/>
  <c r="L461" i="1"/>
  <c r="DA518" i="1"/>
  <c r="CY518" i="1"/>
  <c r="CX518" i="1"/>
  <c r="J461" i="1"/>
  <c r="BL518" i="1"/>
  <c r="BK518" i="1"/>
  <c r="DG517" i="1"/>
  <c r="M462" i="1"/>
  <c r="L462" i="1"/>
  <c r="DA517" i="1"/>
  <c r="CY517" i="1"/>
  <c r="CX517" i="1"/>
  <c r="J462" i="1"/>
  <c r="BL517" i="1"/>
  <c r="BK517" i="1"/>
  <c r="DG516" i="1"/>
  <c r="M464" i="1"/>
  <c r="L464" i="1"/>
  <c r="DA516" i="1"/>
  <c r="CY516" i="1"/>
  <c r="CX516" i="1"/>
  <c r="J464" i="1"/>
  <c r="BL516" i="1"/>
  <c r="BK516" i="1"/>
  <c r="DG515" i="1"/>
  <c r="M465" i="1"/>
  <c r="L465" i="1"/>
  <c r="DA515" i="1"/>
  <c r="CY515" i="1"/>
  <c r="CX515" i="1"/>
  <c r="J465" i="1"/>
  <c r="BL515" i="1"/>
  <c r="BK515" i="1"/>
  <c r="DG514" i="1"/>
  <c r="M466" i="1"/>
  <c r="L466" i="1"/>
  <c r="DA514" i="1"/>
  <c r="CY514" i="1"/>
  <c r="CX514" i="1"/>
  <c r="J466" i="1"/>
  <c r="BL514" i="1"/>
  <c r="BK514" i="1"/>
  <c r="DG513" i="1"/>
  <c r="M467" i="1"/>
  <c r="L467" i="1"/>
  <c r="DA513" i="1"/>
  <c r="CY513" i="1"/>
  <c r="CX513" i="1"/>
  <c r="J467" i="1"/>
  <c r="BL513" i="1"/>
  <c r="BK513" i="1"/>
  <c r="DG512" i="1"/>
  <c r="M468" i="1"/>
  <c r="L468" i="1"/>
  <c r="DA512" i="1"/>
  <c r="CY512" i="1"/>
  <c r="CX512" i="1"/>
  <c r="J468" i="1"/>
  <c r="BL512" i="1"/>
  <c r="BK512" i="1"/>
  <c r="DG511" i="1"/>
  <c r="M469" i="1"/>
  <c r="L469" i="1"/>
  <c r="DA511" i="1"/>
  <c r="CY511" i="1"/>
  <c r="CX511" i="1"/>
  <c r="J469" i="1"/>
  <c r="BL511" i="1"/>
  <c r="BK511" i="1"/>
  <c r="DG510" i="1"/>
  <c r="M470" i="1"/>
  <c r="L470" i="1"/>
  <c r="DA510" i="1"/>
  <c r="CY510" i="1"/>
  <c r="CX510" i="1"/>
  <c r="J470" i="1"/>
  <c r="BL510" i="1"/>
  <c r="BK510" i="1"/>
  <c r="DG509" i="1"/>
  <c r="M471" i="1"/>
  <c r="L471" i="1"/>
  <c r="DA509" i="1"/>
  <c r="CY509" i="1"/>
  <c r="CX509" i="1"/>
  <c r="J471" i="1"/>
  <c r="BL509" i="1"/>
  <c r="BK509" i="1"/>
  <c r="DG508" i="1"/>
  <c r="M472" i="1"/>
  <c r="L472" i="1"/>
  <c r="DA508" i="1"/>
  <c r="CY508" i="1"/>
  <c r="CX508" i="1"/>
  <c r="J472" i="1"/>
  <c r="BL508" i="1"/>
  <c r="BK508" i="1"/>
  <c r="DG507" i="1"/>
  <c r="M473" i="1"/>
  <c r="L473" i="1"/>
  <c r="DA507" i="1"/>
  <c r="CY507" i="1"/>
  <c r="CX507" i="1"/>
  <c r="J473" i="1"/>
  <c r="BL507" i="1"/>
  <c r="BK507" i="1"/>
  <c r="DG506" i="1"/>
  <c r="M474" i="1"/>
  <c r="L474" i="1"/>
  <c r="DA506" i="1"/>
  <c r="CY506" i="1"/>
  <c r="CX506" i="1"/>
  <c r="J474" i="1"/>
  <c r="BL506" i="1"/>
  <c r="BK506" i="1"/>
  <c r="DG505" i="1"/>
  <c r="M475" i="1"/>
  <c r="L475" i="1"/>
  <c r="DA505" i="1"/>
  <c r="CY505" i="1"/>
  <c r="CX505" i="1"/>
  <c r="J475" i="1"/>
  <c r="BL505" i="1"/>
  <c r="BK505" i="1"/>
  <c r="DG504" i="1"/>
  <c r="M476" i="1"/>
  <c r="L476" i="1"/>
  <c r="DA504" i="1"/>
  <c r="CY504" i="1"/>
  <c r="CX504" i="1"/>
  <c r="J476" i="1"/>
  <c r="BL504" i="1"/>
  <c r="BK504" i="1"/>
  <c r="DG503" i="1"/>
  <c r="M477" i="1"/>
  <c r="L477" i="1"/>
  <c r="DA503" i="1"/>
  <c r="CY503" i="1"/>
  <c r="CX503" i="1"/>
  <c r="J477" i="1"/>
  <c r="BL503" i="1"/>
  <c r="BK503" i="1"/>
  <c r="DG502" i="1"/>
  <c r="M1107" i="1"/>
  <c r="L1107" i="1"/>
  <c r="DA502" i="1"/>
  <c r="CY502" i="1"/>
  <c r="CX502" i="1"/>
  <c r="J1107" i="1"/>
  <c r="BL502" i="1"/>
  <c r="BK502" i="1"/>
  <c r="DG501" i="1"/>
  <c r="M479" i="1"/>
  <c r="L479" i="1"/>
  <c r="DA501" i="1"/>
  <c r="CY501" i="1"/>
  <c r="CX501" i="1"/>
  <c r="J479" i="1"/>
  <c r="BL501" i="1"/>
  <c r="BK501" i="1"/>
  <c r="DG500" i="1"/>
  <c r="M480" i="1"/>
  <c r="L480" i="1"/>
  <c r="DA500" i="1"/>
  <c r="CY500" i="1"/>
  <c r="CX500" i="1"/>
  <c r="J480" i="1"/>
  <c r="BL500" i="1"/>
  <c r="BK500" i="1"/>
  <c r="DG499" i="1"/>
  <c r="M481" i="1"/>
  <c r="L481" i="1"/>
  <c r="DA499" i="1"/>
  <c r="CY499" i="1"/>
  <c r="CX499" i="1"/>
  <c r="J481" i="1"/>
  <c r="BL499" i="1"/>
  <c r="BK499" i="1"/>
  <c r="DG498" i="1"/>
  <c r="M482" i="1"/>
  <c r="L482" i="1"/>
  <c r="DA498" i="1"/>
  <c r="CY498" i="1"/>
  <c r="CX498" i="1"/>
  <c r="J482" i="1"/>
  <c r="BL498" i="1"/>
  <c r="BK498" i="1"/>
  <c r="DG497" i="1"/>
  <c r="M483" i="1"/>
  <c r="L483" i="1"/>
  <c r="DA497" i="1"/>
  <c r="CY497" i="1"/>
  <c r="CX497" i="1"/>
  <c r="J483" i="1"/>
  <c r="BL497" i="1"/>
  <c r="BK497" i="1"/>
  <c r="DG496" i="1"/>
  <c r="M498" i="1"/>
  <c r="L498" i="1"/>
  <c r="DA496" i="1"/>
  <c r="CY496" i="1"/>
  <c r="CX496" i="1"/>
  <c r="J498" i="1"/>
  <c r="BL496" i="1"/>
  <c r="BK496" i="1"/>
  <c r="DG495" i="1"/>
  <c r="M499" i="1"/>
  <c r="L499" i="1"/>
  <c r="DA495" i="1"/>
  <c r="CY495" i="1"/>
  <c r="CX495" i="1"/>
  <c r="J499" i="1"/>
  <c r="BL495" i="1"/>
  <c r="BK495" i="1"/>
  <c r="DG494" i="1"/>
  <c r="M500" i="1"/>
  <c r="L500" i="1"/>
  <c r="DA494" i="1"/>
  <c r="CY494" i="1"/>
  <c r="CX494" i="1"/>
  <c r="J500" i="1"/>
  <c r="BL494" i="1"/>
  <c r="BK494" i="1"/>
  <c r="DG493" i="1"/>
  <c r="M505" i="1"/>
  <c r="L505" i="1"/>
  <c r="DA493" i="1"/>
  <c r="CY493" i="1"/>
  <c r="CX493" i="1"/>
  <c r="J505" i="1"/>
  <c r="BL493" i="1"/>
  <c r="BK493" i="1"/>
  <c r="DG492" i="1"/>
  <c r="M506" i="1"/>
  <c r="L506" i="1"/>
  <c r="DA492" i="1"/>
  <c r="CY492" i="1"/>
  <c r="CX492" i="1"/>
  <c r="J506" i="1"/>
  <c r="BL492" i="1"/>
  <c r="BK492" i="1"/>
  <c r="DG491" i="1"/>
  <c r="M507" i="1"/>
  <c r="L507" i="1"/>
  <c r="DA491" i="1"/>
  <c r="CY491" i="1"/>
  <c r="CX491" i="1"/>
  <c r="J507" i="1"/>
  <c r="BL491" i="1"/>
  <c r="BK491" i="1"/>
  <c r="DG490" i="1"/>
  <c r="M508" i="1"/>
  <c r="L508" i="1"/>
  <c r="DA490" i="1"/>
  <c r="CY490" i="1"/>
  <c r="CX490" i="1"/>
  <c r="J508" i="1"/>
  <c r="BL490" i="1"/>
  <c r="BK490" i="1"/>
  <c r="DG489" i="1"/>
  <c r="M509" i="1"/>
  <c r="L509" i="1"/>
  <c r="DA489" i="1"/>
  <c r="CY489" i="1"/>
  <c r="CX489" i="1"/>
  <c r="J509" i="1"/>
  <c r="BL489" i="1"/>
  <c r="BK489" i="1"/>
  <c r="DG488" i="1"/>
  <c r="M510" i="1"/>
  <c r="L510" i="1"/>
  <c r="DA488" i="1"/>
  <c r="CY488" i="1"/>
  <c r="CX488" i="1"/>
  <c r="J510" i="1"/>
  <c r="BL488" i="1"/>
  <c r="BK488" i="1"/>
  <c r="DG487" i="1"/>
  <c r="M511" i="1"/>
  <c r="L511" i="1"/>
  <c r="DA487" i="1"/>
  <c r="CY487" i="1"/>
  <c r="CX487" i="1"/>
  <c r="J511" i="1"/>
  <c r="BL487" i="1"/>
  <c r="BK487" i="1"/>
  <c r="DG486" i="1"/>
  <c r="M512" i="1"/>
  <c r="L512" i="1"/>
  <c r="DA486" i="1"/>
  <c r="CY486" i="1"/>
  <c r="CX486" i="1"/>
  <c r="J512" i="1"/>
  <c r="BL486" i="1"/>
  <c r="BK486" i="1"/>
  <c r="DG485" i="1"/>
  <c r="M513" i="1"/>
  <c r="L513" i="1"/>
  <c r="DA485" i="1"/>
  <c r="CY485" i="1"/>
  <c r="CX485" i="1"/>
  <c r="J513" i="1"/>
  <c r="BL485" i="1"/>
  <c r="BK485" i="1"/>
  <c r="DG484" i="1"/>
  <c r="M514" i="1"/>
  <c r="L514" i="1"/>
  <c r="DA484" i="1"/>
  <c r="CY484" i="1"/>
  <c r="CX484" i="1"/>
  <c r="J514" i="1"/>
  <c r="BL484" i="1"/>
  <c r="BK484" i="1"/>
  <c r="DG483" i="1"/>
  <c r="M515" i="1"/>
  <c r="L515" i="1"/>
  <c r="DA483" i="1"/>
  <c r="CY483" i="1"/>
  <c r="CX483" i="1"/>
  <c r="J515" i="1"/>
  <c r="BL483" i="1"/>
  <c r="BK483" i="1"/>
  <c r="DG482" i="1"/>
  <c r="M516" i="1"/>
  <c r="L516" i="1"/>
  <c r="DA482" i="1"/>
  <c r="CY482" i="1"/>
  <c r="CX482" i="1"/>
  <c r="J516" i="1"/>
  <c r="BL482" i="1"/>
  <c r="BK482" i="1"/>
  <c r="DG481" i="1"/>
  <c r="M517" i="1"/>
  <c r="L517" i="1"/>
  <c r="DA481" i="1"/>
  <c r="CY481" i="1"/>
  <c r="CX481" i="1"/>
  <c r="J517" i="1"/>
  <c r="BL481" i="1"/>
  <c r="BK481" i="1"/>
  <c r="DG480" i="1"/>
  <c r="M518" i="1"/>
  <c r="L518" i="1"/>
  <c r="DA480" i="1"/>
  <c r="CY480" i="1"/>
  <c r="CX480" i="1"/>
  <c r="J518" i="1"/>
  <c r="BL480" i="1"/>
  <c r="BK480" i="1"/>
  <c r="DG479" i="1"/>
  <c r="M519" i="1"/>
  <c r="L519" i="1"/>
  <c r="DA479" i="1"/>
  <c r="CY479" i="1"/>
  <c r="CX479" i="1"/>
  <c r="J519" i="1"/>
  <c r="BL479" i="1"/>
  <c r="BK479" i="1"/>
  <c r="DG478" i="1"/>
  <c r="M520" i="1"/>
  <c r="L520" i="1"/>
  <c r="DA478" i="1"/>
  <c r="CY478" i="1"/>
  <c r="CX478" i="1"/>
  <c r="J520" i="1"/>
  <c r="BL478" i="1"/>
  <c r="BK478" i="1"/>
  <c r="DG477" i="1"/>
  <c r="M521" i="1"/>
  <c r="L521" i="1"/>
  <c r="DA477" i="1"/>
  <c r="CY477" i="1"/>
  <c r="CX477" i="1"/>
  <c r="J521" i="1"/>
  <c r="BL477" i="1"/>
  <c r="BK477" i="1"/>
  <c r="DG476" i="1"/>
  <c r="M522" i="1"/>
  <c r="L522" i="1"/>
  <c r="DA476" i="1"/>
  <c r="CY476" i="1"/>
  <c r="CX476" i="1"/>
  <c r="J522" i="1"/>
  <c r="BL476" i="1"/>
  <c r="BK476" i="1"/>
  <c r="DG475" i="1"/>
  <c r="M523" i="1"/>
  <c r="L523" i="1"/>
  <c r="DA475" i="1"/>
  <c r="CY475" i="1"/>
  <c r="CX475" i="1"/>
  <c r="J523" i="1"/>
  <c r="BL475" i="1"/>
  <c r="BK475" i="1"/>
  <c r="DG474" i="1"/>
  <c r="M524" i="1"/>
  <c r="L524" i="1"/>
  <c r="DA474" i="1"/>
  <c r="CY474" i="1"/>
  <c r="CX474" i="1"/>
  <c r="J524" i="1"/>
  <c r="BL474" i="1"/>
  <c r="BK474" i="1"/>
  <c r="DG473" i="1"/>
  <c r="M525" i="1"/>
  <c r="L525" i="1"/>
  <c r="DA473" i="1"/>
  <c r="CY473" i="1"/>
  <c r="CX473" i="1"/>
  <c r="J525" i="1"/>
  <c r="BL473" i="1"/>
  <c r="BK473" i="1"/>
  <c r="DG472" i="1"/>
  <c r="M526" i="1"/>
  <c r="L526" i="1"/>
  <c r="DA472" i="1"/>
  <c r="CY472" i="1"/>
  <c r="CX472" i="1"/>
  <c r="J526" i="1"/>
  <c r="BL472" i="1"/>
  <c r="BK472" i="1"/>
  <c r="DG471" i="1"/>
  <c r="M527" i="1"/>
  <c r="L527" i="1"/>
  <c r="DA471" i="1"/>
  <c r="CY471" i="1"/>
  <c r="CX471" i="1"/>
  <c r="J527" i="1"/>
  <c r="BL471" i="1"/>
  <c r="BK471" i="1"/>
  <c r="DG470" i="1"/>
  <c r="M2270" i="1"/>
  <c r="L2270" i="1"/>
  <c r="DA470" i="1"/>
  <c r="CY470" i="1"/>
  <c r="CX470" i="1"/>
  <c r="J2270" i="1"/>
  <c r="BL470" i="1"/>
  <c r="BK470" i="1"/>
  <c r="DG469" i="1"/>
  <c r="M533" i="1"/>
  <c r="L533" i="1"/>
  <c r="DA469" i="1"/>
  <c r="CY469" i="1"/>
  <c r="CX469" i="1"/>
  <c r="J533" i="1"/>
  <c r="BL469" i="1"/>
  <c r="BK469" i="1"/>
  <c r="DG468" i="1"/>
  <c r="M534" i="1"/>
  <c r="L534" i="1"/>
  <c r="DA468" i="1"/>
  <c r="CY468" i="1"/>
  <c r="CX468" i="1"/>
  <c r="J534" i="1"/>
  <c r="BL468" i="1"/>
  <c r="BK468" i="1"/>
  <c r="DG467" i="1"/>
  <c r="M535" i="1"/>
  <c r="L535" i="1"/>
  <c r="DA467" i="1"/>
  <c r="CY467" i="1"/>
  <c r="CX467" i="1"/>
  <c r="J535" i="1"/>
  <c r="BL467" i="1"/>
  <c r="BK467" i="1"/>
  <c r="DG466" i="1"/>
  <c r="M536" i="1"/>
  <c r="L536" i="1"/>
  <c r="DA466" i="1"/>
  <c r="CY466" i="1"/>
  <c r="CX466" i="1"/>
  <c r="J536" i="1"/>
  <c r="BL466" i="1"/>
  <c r="BK466" i="1"/>
  <c r="DG465" i="1"/>
  <c r="M537" i="1"/>
  <c r="L537" i="1"/>
  <c r="DA465" i="1"/>
  <c r="CY465" i="1"/>
  <c r="CX465" i="1"/>
  <c r="J537" i="1"/>
  <c r="BL465" i="1"/>
  <c r="BK465" i="1"/>
  <c r="DG464" i="1"/>
  <c r="M538" i="1"/>
  <c r="L538" i="1"/>
  <c r="DA464" i="1"/>
  <c r="CY464" i="1"/>
  <c r="CX464" i="1"/>
  <c r="J538" i="1"/>
  <c r="BL464" i="1"/>
  <c r="BK464" i="1"/>
  <c r="DG463" i="1"/>
  <c r="M539" i="1"/>
  <c r="L539" i="1"/>
  <c r="DA463" i="1"/>
  <c r="CY463" i="1"/>
  <c r="CX463" i="1"/>
  <c r="J539" i="1"/>
  <c r="BL463" i="1"/>
  <c r="BK463" i="1"/>
  <c r="DG462" i="1"/>
  <c r="M540" i="1"/>
  <c r="L540" i="1"/>
  <c r="DA462" i="1"/>
  <c r="CY462" i="1"/>
  <c r="CX462" i="1"/>
  <c r="J540" i="1"/>
  <c r="BL462" i="1"/>
  <c r="BK462" i="1"/>
  <c r="DG461" i="1"/>
  <c r="M541" i="1"/>
  <c r="L541" i="1"/>
  <c r="DA461" i="1"/>
  <c r="CY461" i="1"/>
  <c r="CX461" i="1"/>
  <c r="J541" i="1"/>
  <c r="BL461" i="1"/>
  <c r="BK461" i="1"/>
  <c r="DG460" i="1"/>
  <c r="M542" i="1"/>
  <c r="L542" i="1"/>
  <c r="DA460" i="1"/>
  <c r="CY460" i="1"/>
  <c r="CX460" i="1"/>
  <c r="J542" i="1"/>
  <c r="BL460" i="1"/>
  <c r="BK460" i="1"/>
  <c r="DG459" i="1"/>
  <c r="M543" i="1"/>
  <c r="L543" i="1"/>
  <c r="DA459" i="1"/>
  <c r="CY459" i="1"/>
  <c r="CX459" i="1"/>
  <c r="J543" i="1"/>
  <c r="BL459" i="1"/>
  <c r="BK459" i="1"/>
  <c r="DG458" i="1"/>
  <c r="M544" i="1"/>
  <c r="L544" i="1"/>
  <c r="DA458" i="1"/>
  <c r="CY458" i="1"/>
  <c r="CX458" i="1"/>
  <c r="J544" i="1"/>
  <c r="BL458" i="1"/>
  <c r="BK458" i="1"/>
  <c r="DG457" i="1"/>
  <c r="M545" i="1"/>
  <c r="L545" i="1"/>
  <c r="DA457" i="1"/>
  <c r="CY457" i="1"/>
  <c r="CX457" i="1"/>
  <c r="J545" i="1"/>
  <c r="BL457" i="1"/>
  <c r="BK457" i="1"/>
  <c r="DG456" i="1"/>
  <c r="M546" i="1"/>
  <c r="L546" i="1"/>
  <c r="DA456" i="1"/>
  <c r="CY456" i="1"/>
  <c r="CX456" i="1"/>
  <c r="J546" i="1"/>
  <c r="BL456" i="1"/>
  <c r="BK456" i="1"/>
  <c r="DG455" i="1"/>
  <c r="M547" i="1"/>
  <c r="L547" i="1"/>
  <c r="DA455" i="1"/>
  <c r="CY455" i="1"/>
  <c r="CX455" i="1"/>
  <c r="J547" i="1"/>
  <c r="BL455" i="1"/>
  <c r="BK455" i="1"/>
  <c r="DG454" i="1"/>
  <c r="M548" i="1"/>
  <c r="L548" i="1"/>
  <c r="DA454" i="1"/>
  <c r="CY454" i="1"/>
  <c r="CX454" i="1"/>
  <c r="J548" i="1"/>
  <c r="BL454" i="1"/>
  <c r="BK454" i="1"/>
  <c r="DG453" i="1"/>
  <c r="M549" i="1"/>
  <c r="L549" i="1"/>
  <c r="DA453" i="1"/>
  <c r="CY453" i="1"/>
  <c r="CX453" i="1"/>
  <c r="J549" i="1"/>
  <c r="BL453" i="1"/>
  <c r="BK453" i="1"/>
  <c r="DG452" i="1"/>
  <c r="M550" i="1"/>
  <c r="L550" i="1"/>
  <c r="DA452" i="1"/>
  <c r="CY452" i="1"/>
  <c r="CX452" i="1"/>
  <c r="J550" i="1"/>
  <c r="BL452" i="1"/>
  <c r="BK452" i="1"/>
  <c r="DG451" i="1"/>
  <c r="M551" i="1"/>
  <c r="L551" i="1"/>
  <c r="DA451" i="1"/>
  <c r="CY451" i="1"/>
  <c r="CX451" i="1"/>
  <c r="J551" i="1"/>
  <c r="BL451" i="1"/>
  <c r="BK451" i="1"/>
  <c r="DG450" i="1"/>
  <c r="M552" i="1"/>
  <c r="L552" i="1"/>
  <c r="DA450" i="1"/>
  <c r="CY450" i="1"/>
  <c r="CX450" i="1"/>
  <c r="J552" i="1"/>
  <c r="BL450" i="1"/>
  <c r="BK450" i="1"/>
  <c r="DG449" i="1"/>
  <c r="M553" i="1"/>
  <c r="L553" i="1"/>
  <c r="DA449" i="1"/>
  <c r="CY449" i="1"/>
  <c r="CX449" i="1"/>
  <c r="J553" i="1"/>
  <c r="BL449" i="1"/>
  <c r="BK449" i="1"/>
  <c r="DG448" i="1"/>
  <c r="M554" i="1"/>
  <c r="L554" i="1"/>
  <c r="DA448" i="1"/>
  <c r="CY448" i="1"/>
  <c r="CX448" i="1"/>
  <c r="J554" i="1"/>
  <c r="BL448" i="1"/>
  <c r="BK448" i="1"/>
  <c r="DG447" i="1"/>
  <c r="M555" i="1"/>
  <c r="L555" i="1"/>
  <c r="DA447" i="1"/>
  <c r="CY447" i="1"/>
  <c r="CX447" i="1"/>
  <c r="J555" i="1"/>
  <c r="BL447" i="1"/>
  <c r="BK447" i="1"/>
  <c r="DG446" i="1"/>
  <c r="M556" i="1"/>
  <c r="L556" i="1"/>
  <c r="DA446" i="1"/>
  <c r="CY446" i="1"/>
  <c r="CX446" i="1"/>
  <c r="J556" i="1"/>
  <c r="BL446" i="1"/>
  <c r="BK446" i="1"/>
  <c r="DG445" i="1"/>
  <c r="M557" i="1"/>
  <c r="L557" i="1"/>
  <c r="DA445" i="1"/>
  <c r="CY445" i="1"/>
  <c r="CX445" i="1"/>
  <c r="J557" i="1"/>
  <c r="BL445" i="1"/>
  <c r="BK445" i="1"/>
  <c r="DG444" i="1"/>
  <c r="M558" i="1"/>
  <c r="L558" i="1"/>
  <c r="DA444" i="1"/>
  <c r="CY444" i="1"/>
  <c r="CX444" i="1"/>
  <c r="J558" i="1"/>
  <c r="BL444" i="1"/>
  <c r="BK444" i="1"/>
  <c r="DG443" i="1"/>
  <c r="M559" i="1"/>
  <c r="L559" i="1"/>
  <c r="DA443" i="1"/>
  <c r="CY443" i="1"/>
  <c r="CX443" i="1"/>
  <c r="J559" i="1"/>
  <c r="BL443" i="1"/>
  <c r="BK443" i="1"/>
  <c r="DG442" i="1"/>
  <c r="M560" i="1"/>
  <c r="L560" i="1"/>
  <c r="DA442" i="1"/>
  <c r="CY442" i="1"/>
  <c r="CX442" i="1"/>
  <c r="J560" i="1"/>
  <c r="BL442" i="1"/>
  <c r="BK442" i="1"/>
  <c r="DG441" i="1"/>
  <c r="M561" i="1"/>
  <c r="L561" i="1"/>
  <c r="DA441" i="1"/>
  <c r="CY441" i="1"/>
  <c r="CX441" i="1"/>
  <c r="J561" i="1"/>
  <c r="BL441" i="1"/>
  <c r="BK441" i="1"/>
  <c r="DG440" i="1"/>
  <c r="M562" i="1"/>
  <c r="L562" i="1"/>
  <c r="DA440" i="1"/>
  <c r="CY440" i="1"/>
  <c r="CX440" i="1"/>
  <c r="J562" i="1"/>
  <c r="BL440" i="1"/>
  <c r="BK440" i="1"/>
  <c r="DG439" i="1"/>
  <c r="M563" i="1"/>
  <c r="L563" i="1"/>
  <c r="DA439" i="1"/>
  <c r="CY439" i="1"/>
  <c r="CX439" i="1"/>
  <c r="J563" i="1"/>
  <c r="BL439" i="1"/>
  <c r="BK439" i="1"/>
  <c r="DG438" i="1"/>
  <c r="M564" i="1"/>
  <c r="L564" i="1"/>
  <c r="DA438" i="1"/>
  <c r="CY438" i="1"/>
  <c r="CX438" i="1"/>
  <c r="J564" i="1"/>
  <c r="BL438" i="1"/>
  <c r="BK438" i="1"/>
  <c r="DG437" i="1"/>
  <c r="M565" i="1"/>
  <c r="L565" i="1"/>
  <c r="DA437" i="1"/>
  <c r="CY437" i="1"/>
  <c r="CX437" i="1"/>
  <c r="J565" i="1"/>
  <c r="BL437" i="1"/>
  <c r="BK437" i="1"/>
  <c r="DG436" i="1"/>
  <c r="M566" i="1"/>
  <c r="L566" i="1"/>
  <c r="DA436" i="1"/>
  <c r="CY436" i="1"/>
  <c r="CX436" i="1"/>
  <c r="J566" i="1"/>
  <c r="BL436" i="1"/>
  <c r="BK436" i="1"/>
  <c r="DG435" i="1"/>
  <c r="M567" i="1"/>
  <c r="L567" i="1"/>
  <c r="DA435" i="1"/>
  <c r="CY435" i="1"/>
  <c r="CX435" i="1"/>
  <c r="J567" i="1"/>
  <c r="BL435" i="1"/>
  <c r="BK435" i="1"/>
  <c r="DG434" i="1"/>
  <c r="M568" i="1"/>
  <c r="L568" i="1"/>
  <c r="DA434" i="1"/>
  <c r="CY434" i="1"/>
  <c r="CX434" i="1"/>
  <c r="J568" i="1"/>
  <c r="BL434" i="1"/>
  <c r="BK434" i="1"/>
  <c r="DG433" i="1"/>
  <c r="M569" i="1"/>
  <c r="L569" i="1"/>
  <c r="DA433" i="1"/>
  <c r="CY433" i="1"/>
  <c r="CX433" i="1"/>
  <c r="J569" i="1"/>
  <c r="BL433" i="1"/>
  <c r="BK433" i="1"/>
  <c r="DG432" i="1"/>
  <c r="M570" i="1"/>
  <c r="L570" i="1"/>
  <c r="DA432" i="1"/>
  <c r="CY432" i="1"/>
  <c r="CX432" i="1"/>
  <c r="J570" i="1"/>
  <c r="BL432" i="1"/>
  <c r="BK432" i="1"/>
  <c r="DG431" i="1"/>
  <c r="M571" i="1"/>
  <c r="L571" i="1"/>
  <c r="DA431" i="1"/>
  <c r="CY431" i="1"/>
  <c r="CX431" i="1"/>
  <c r="J571" i="1"/>
  <c r="BL431" i="1"/>
  <c r="BK431" i="1"/>
  <c r="DG430" i="1"/>
  <c r="M572" i="1"/>
  <c r="L572" i="1"/>
  <c r="DA430" i="1"/>
  <c r="CY430" i="1"/>
  <c r="CX430" i="1"/>
  <c r="J572" i="1"/>
  <c r="BL430" i="1"/>
  <c r="BK430" i="1"/>
  <c r="DG429" i="1"/>
  <c r="M573" i="1"/>
  <c r="L573" i="1"/>
  <c r="DA429" i="1"/>
  <c r="CY429" i="1"/>
  <c r="CX429" i="1"/>
  <c r="J573" i="1"/>
  <c r="BL429" i="1"/>
  <c r="BK429" i="1"/>
  <c r="DG428" i="1"/>
  <c r="M574" i="1"/>
  <c r="L574" i="1"/>
  <c r="DA428" i="1"/>
  <c r="CY428" i="1"/>
  <c r="CX428" i="1"/>
  <c r="J574" i="1"/>
  <c r="BL428" i="1"/>
  <c r="BK428" i="1"/>
  <c r="DG427" i="1"/>
  <c r="M575" i="1"/>
  <c r="L575" i="1"/>
  <c r="DA427" i="1"/>
  <c r="CY427" i="1"/>
  <c r="CX427" i="1"/>
  <c r="J575" i="1"/>
  <c r="BL427" i="1"/>
  <c r="BK427" i="1"/>
  <c r="DG426" i="1"/>
  <c r="M576" i="1"/>
  <c r="L576" i="1"/>
  <c r="DA426" i="1"/>
  <c r="CY426" i="1"/>
  <c r="CX426" i="1"/>
  <c r="J576" i="1"/>
  <c r="BL426" i="1"/>
  <c r="BK426" i="1"/>
  <c r="DG425" i="1"/>
  <c r="M577" i="1"/>
  <c r="L577" i="1"/>
  <c r="DA425" i="1"/>
  <c r="CY425" i="1"/>
  <c r="CX425" i="1"/>
  <c r="J577" i="1"/>
  <c r="BL425" i="1"/>
  <c r="BK425" i="1"/>
  <c r="DG424" i="1"/>
  <c r="M578" i="1"/>
  <c r="L578" i="1"/>
  <c r="DA424" i="1"/>
  <c r="CY424" i="1"/>
  <c r="CX424" i="1"/>
  <c r="J578" i="1"/>
  <c r="BL424" i="1"/>
  <c r="BK424" i="1"/>
  <c r="DG423" i="1"/>
  <c r="M579" i="1"/>
  <c r="L579" i="1"/>
  <c r="DA423" i="1"/>
  <c r="CY423" i="1"/>
  <c r="CX423" i="1"/>
  <c r="J579" i="1"/>
  <c r="BL423" i="1"/>
  <c r="BK423" i="1"/>
  <c r="DG422" i="1"/>
  <c r="M580" i="1"/>
  <c r="L580" i="1"/>
  <c r="DA422" i="1"/>
  <c r="CY422" i="1"/>
  <c r="CX422" i="1"/>
  <c r="J580" i="1"/>
  <c r="BL422" i="1"/>
  <c r="BK422" i="1"/>
  <c r="DG421" i="1"/>
  <c r="M581" i="1"/>
  <c r="L581" i="1"/>
  <c r="DA421" i="1"/>
  <c r="CY421" i="1"/>
  <c r="CX421" i="1"/>
  <c r="J581" i="1"/>
  <c r="BL421" i="1"/>
  <c r="BK421" i="1"/>
  <c r="DG420" i="1"/>
  <c r="M582" i="1"/>
  <c r="L582" i="1"/>
  <c r="DA420" i="1"/>
  <c r="CY420" i="1"/>
  <c r="CX420" i="1"/>
  <c r="J582" i="1"/>
  <c r="BL420" i="1"/>
  <c r="BK420" i="1"/>
  <c r="DG419" i="1"/>
  <c r="M583" i="1"/>
  <c r="L583" i="1"/>
  <c r="DA419" i="1"/>
  <c r="CY419" i="1"/>
  <c r="CX419" i="1"/>
  <c r="J583" i="1"/>
  <c r="BL419" i="1"/>
  <c r="BK419" i="1"/>
  <c r="DG418" i="1"/>
  <c r="M584" i="1"/>
  <c r="L584" i="1"/>
  <c r="DA418" i="1"/>
  <c r="CY418" i="1"/>
  <c r="CX418" i="1"/>
  <c r="J584" i="1"/>
  <c r="BL418" i="1"/>
  <c r="BK418" i="1"/>
  <c r="DG417" i="1"/>
  <c r="M585" i="1"/>
  <c r="L585" i="1"/>
  <c r="DA417" i="1"/>
  <c r="CY417" i="1"/>
  <c r="CX417" i="1"/>
  <c r="J585" i="1"/>
  <c r="BL417" i="1"/>
  <c r="BK417" i="1"/>
  <c r="DG416" i="1"/>
  <c r="M586" i="1"/>
  <c r="L586" i="1"/>
  <c r="DA416" i="1"/>
  <c r="CY416" i="1"/>
  <c r="CX416" i="1"/>
  <c r="J586" i="1"/>
  <c r="BL416" i="1"/>
  <c r="BK416" i="1"/>
  <c r="DG415" i="1"/>
  <c r="M587" i="1"/>
  <c r="L587" i="1"/>
  <c r="DA415" i="1"/>
  <c r="CY415" i="1"/>
  <c r="CX415" i="1"/>
  <c r="J587" i="1"/>
  <c r="BL415" i="1"/>
  <c r="BK415" i="1"/>
  <c r="DG414" i="1"/>
  <c r="M588" i="1"/>
  <c r="L588" i="1"/>
  <c r="DA414" i="1"/>
  <c r="CY414" i="1"/>
  <c r="CX414" i="1"/>
  <c r="J588" i="1"/>
  <c r="BL414" i="1"/>
  <c r="BK414" i="1"/>
  <c r="DG413" i="1"/>
  <c r="M589" i="1"/>
  <c r="L589" i="1"/>
  <c r="DA413" i="1"/>
  <c r="CY413" i="1"/>
  <c r="CX413" i="1"/>
  <c r="J589" i="1"/>
  <c r="BL413" i="1"/>
  <c r="BK413" i="1"/>
  <c r="DG412" i="1"/>
  <c r="M590" i="1"/>
  <c r="L590" i="1"/>
  <c r="DA412" i="1"/>
  <c r="CY412" i="1"/>
  <c r="CX412" i="1"/>
  <c r="J590" i="1"/>
  <c r="BL412" i="1"/>
  <c r="BK412" i="1"/>
  <c r="DG411" i="1"/>
  <c r="M591" i="1"/>
  <c r="L591" i="1"/>
  <c r="DA411" i="1"/>
  <c r="CY411" i="1"/>
  <c r="CX411" i="1"/>
  <c r="J591" i="1"/>
  <c r="BL411" i="1"/>
  <c r="BK411" i="1"/>
  <c r="DG410" i="1"/>
  <c r="M592" i="1"/>
  <c r="L592" i="1"/>
  <c r="DA410" i="1"/>
  <c r="CY410" i="1"/>
  <c r="CX410" i="1"/>
  <c r="J592" i="1"/>
  <c r="BL410" i="1"/>
  <c r="BK410" i="1"/>
  <c r="DG409" i="1"/>
  <c r="M27" i="1"/>
  <c r="L27" i="1"/>
  <c r="DA409" i="1"/>
  <c r="CY409" i="1"/>
  <c r="CX409" i="1"/>
  <c r="J27" i="1"/>
  <c r="BL409" i="1"/>
  <c r="BK409" i="1"/>
  <c r="DG408" i="1"/>
  <c r="M654" i="1"/>
  <c r="L654" i="1"/>
  <c r="DA408" i="1"/>
  <c r="CY408" i="1"/>
  <c r="CX408" i="1"/>
  <c r="J654" i="1"/>
  <c r="BL408" i="1"/>
  <c r="BK408" i="1"/>
  <c r="DG407" i="1"/>
  <c r="M653" i="1"/>
  <c r="L653" i="1"/>
  <c r="DA407" i="1"/>
  <c r="CY407" i="1"/>
  <c r="CX407" i="1"/>
  <c r="J653" i="1"/>
  <c r="BL407" i="1"/>
  <c r="BK407" i="1"/>
  <c r="DG406" i="1"/>
  <c r="M530" i="1"/>
  <c r="L530" i="1"/>
  <c r="DA406" i="1"/>
  <c r="CY406" i="1"/>
  <c r="CX406" i="1"/>
  <c r="J530" i="1"/>
  <c r="BL406" i="1"/>
  <c r="BK406" i="1"/>
  <c r="DG405" i="1"/>
  <c r="M529" i="1"/>
  <c r="L529" i="1"/>
  <c r="DA405" i="1"/>
  <c r="CY405" i="1"/>
  <c r="CX405" i="1"/>
  <c r="J529" i="1"/>
  <c r="BL405" i="1"/>
  <c r="BK405" i="1"/>
  <c r="DG404" i="1"/>
  <c r="M528" i="1"/>
  <c r="L528" i="1"/>
  <c r="DA404" i="1"/>
  <c r="CY404" i="1"/>
  <c r="CX404" i="1"/>
  <c r="J528" i="1"/>
  <c r="BL404" i="1"/>
  <c r="BK404" i="1"/>
  <c r="DG403" i="1"/>
  <c r="M497" i="1"/>
  <c r="L497" i="1"/>
  <c r="DA403" i="1"/>
  <c r="CY403" i="1"/>
  <c r="CX403" i="1"/>
  <c r="J497" i="1"/>
  <c r="BL403" i="1"/>
  <c r="BK403" i="1"/>
  <c r="DG402" i="1"/>
  <c r="M496" i="1"/>
  <c r="L496" i="1"/>
  <c r="DA402" i="1"/>
  <c r="CY402" i="1"/>
  <c r="CX402" i="1"/>
  <c r="J496" i="1"/>
  <c r="BL402" i="1"/>
  <c r="BK402" i="1"/>
  <c r="DG401" i="1"/>
  <c r="M495" i="1"/>
  <c r="L495" i="1"/>
  <c r="DA401" i="1"/>
  <c r="CY401" i="1"/>
  <c r="CX401" i="1"/>
  <c r="J495" i="1"/>
  <c r="BL401" i="1"/>
  <c r="BK401" i="1"/>
  <c r="DG400" i="1"/>
  <c r="M494" i="1"/>
  <c r="L494" i="1"/>
  <c r="DA400" i="1"/>
  <c r="CY400" i="1"/>
  <c r="CX400" i="1"/>
  <c r="J494" i="1"/>
  <c r="BL400" i="1"/>
  <c r="BK400" i="1"/>
  <c r="DG399" i="1"/>
  <c r="M493" i="1"/>
  <c r="L493" i="1"/>
  <c r="DA399" i="1"/>
  <c r="CY399" i="1"/>
  <c r="CX399" i="1"/>
  <c r="J493" i="1"/>
  <c r="BL399" i="1"/>
  <c r="BK399" i="1"/>
  <c r="DG398" i="1"/>
  <c r="M492" i="1"/>
  <c r="L492" i="1"/>
  <c r="DA398" i="1"/>
  <c r="CY398" i="1"/>
  <c r="CX398" i="1"/>
  <c r="J492" i="1"/>
  <c r="BL398" i="1"/>
  <c r="BK398" i="1"/>
  <c r="DG397" i="1"/>
  <c r="M491" i="1"/>
  <c r="L491" i="1"/>
  <c r="DA397" i="1"/>
  <c r="CY397" i="1"/>
  <c r="CX397" i="1"/>
  <c r="J491" i="1"/>
  <c r="BL397" i="1"/>
  <c r="BK397" i="1"/>
  <c r="DG396" i="1"/>
  <c r="M490" i="1"/>
  <c r="L490" i="1"/>
  <c r="DA396" i="1"/>
  <c r="CY396" i="1"/>
  <c r="CX396" i="1"/>
  <c r="J490" i="1"/>
  <c r="BL396" i="1"/>
  <c r="BK396" i="1"/>
  <c r="DG395" i="1"/>
  <c r="M489" i="1"/>
  <c r="L489" i="1"/>
  <c r="DA395" i="1"/>
  <c r="CY395" i="1"/>
  <c r="CX395" i="1"/>
  <c r="J489" i="1"/>
  <c r="BL395" i="1"/>
  <c r="BK395" i="1"/>
  <c r="DG394" i="1"/>
  <c r="M488" i="1"/>
  <c r="L488" i="1"/>
  <c r="DA394" i="1"/>
  <c r="CY394" i="1"/>
  <c r="CX394" i="1"/>
  <c r="J488" i="1"/>
  <c r="BL394" i="1"/>
  <c r="BK394" i="1"/>
  <c r="DG393" i="1"/>
  <c r="M485" i="1"/>
  <c r="L485" i="1"/>
  <c r="DA393" i="1"/>
  <c r="CY393" i="1"/>
  <c r="CX393" i="1"/>
  <c r="J485" i="1"/>
  <c r="BL393" i="1"/>
  <c r="BK393" i="1"/>
  <c r="DG392" i="1"/>
  <c r="M656" i="1"/>
  <c r="L656" i="1"/>
  <c r="DA392" i="1"/>
  <c r="CY392" i="1"/>
  <c r="CX392" i="1"/>
  <c r="J656" i="1"/>
  <c r="BL392" i="1"/>
  <c r="BK392" i="1"/>
  <c r="DG391" i="1"/>
  <c r="M1049" i="1"/>
  <c r="L1049" i="1"/>
  <c r="DA391" i="1"/>
  <c r="CY391" i="1"/>
  <c r="CX391" i="1"/>
  <c r="J1049" i="1"/>
  <c r="BL391" i="1"/>
  <c r="BK391" i="1"/>
  <c r="DG390" i="1"/>
  <c r="M1048" i="1"/>
  <c r="L1048" i="1"/>
  <c r="DA390" i="1"/>
  <c r="CY390" i="1"/>
  <c r="CX390" i="1"/>
  <c r="J1048" i="1"/>
  <c r="BL390" i="1"/>
  <c r="BK390" i="1"/>
  <c r="DG389" i="1"/>
  <c r="M1047" i="1"/>
  <c r="L1047" i="1"/>
  <c r="DA389" i="1"/>
  <c r="CY389" i="1"/>
  <c r="CX389" i="1"/>
  <c r="J1047" i="1"/>
  <c r="BL389" i="1"/>
  <c r="BK389" i="1"/>
  <c r="DG388" i="1"/>
  <c r="M1046" i="1"/>
  <c r="L1046" i="1"/>
  <c r="DA388" i="1"/>
  <c r="CY388" i="1"/>
  <c r="CX388" i="1"/>
  <c r="J1046" i="1"/>
  <c r="BL388" i="1"/>
  <c r="BK388" i="1"/>
  <c r="DG387" i="1"/>
  <c r="M1045" i="1"/>
  <c r="L1045" i="1"/>
  <c r="DA387" i="1"/>
  <c r="CY387" i="1"/>
  <c r="CX387" i="1"/>
  <c r="J1045" i="1"/>
  <c r="BL387" i="1"/>
  <c r="BK387" i="1"/>
  <c r="DG386" i="1"/>
  <c r="M1044" i="1"/>
  <c r="L1044" i="1"/>
  <c r="DA386" i="1"/>
  <c r="CY386" i="1"/>
  <c r="CX386" i="1"/>
  <c r="J1044" i="1"/>
  <c r="BL386" i="1"/>
  <c r="BK386" i="1"/>
  <c r="DG385" i="1"/>
  <c r="M1043" i="1"/>
  <c r="L1043" i="1"/>
  <c r="DA385" i="1"/>
  <c r="CY385" i="1"/>
  <c r="CX385" i="1"/>
  <c r="J1043" i="1"/>
  <c r="BL385" i="1"/>
  <c r="BK385" i="1"/>
  <c r="DG384" i="1"/>
  <c r="M1042" i="1"/>
  <c r="L1042" i="1"/>
  <c r="DA384" i="1"/>
  <c r="CY384" i="1"/>
  <c r="CX384" i="1"/>
  <c r="J1042" i="1"/>
  <c r="BL384" i="1"/>
  <c r="BK384" i="1"/>
  <c r="DG383" i="1"/>
  <c r="M1041" i="1"/>
  <c r="L1041" i="1"/>
  <c r="DA383" i="1"/>
  <c r="CY383" i="1"/>
  <c r="CX383" i="1"/>
  <c r="J1041" i="1"/>
  <c r="BL383" i="1"/>
  <c r="BK383" i="1"/>
  <c r="DG382" i="1"/>
  <c r="M1040" i="1"/>
  <c r="L1040" i="1"/>
  <c r="DA382" i="1"/>
  <c r="CY382" i="1"/>
  <c r="CX382" i="1"/>
  <c r="J1040" i="1"/>
  <c r="BL382" i="1"/>
  <c r="BK382" i="1"/>
  <c r="DG381" i="1"/>
  <c r="M1039" i="1"/>
  <c r="L1039" i="1"/>
  <c r="DA381" i="1"/>
  <c r="CY381" i="1"/>
  <c r="CX381" i="1"/>
  <c r="J1039" i="1"/>
  <c r="BL381" i="1"/>
  <c r="BK381" i="1"/>
  <c r="DG380" i="1"/>
  <c r="M1038" i="1"/>
  <c r="L1038" i="1"/>
  <c r="DA380" i="1"/>
  <c r="CY380" i="1"/>
  <c r="CX380" i="1"/>
  <c r="J1038" i="1"/>
  <c r="BL380" i="1"/>
  <c r="BK380" i="1"/>
  <c r="DG379" i="1"/>
  <c r="M1037" i="1"/>
  <c r="L1037" i="1"/>
  <c r="DA379" i="1"/>
  <c r="CY379" i="1"/>
  <c r="CX379" i="1"/>
  <c r="J1037" i="1"/>
  <c r="BL379" i="1"/>
  <c r="BK379" i="1"/>
  <c r="DG378" i="1"/>
  <c r="M1036" i="1"/>
  <c r="L1036" i="1"/>
  <c r="DA378" i="1"/>
  <c r="CY378" i="1"/>
  <c r="CX378" i="1"/>
  <c r="J1036" i="1"/>
  <c r="BL378" i="1"/>
  <c r="BK378" i="1"/>
  <c r="DG377" i="1"/>
  <c r="M1035" i="1"/>
  <c r="L1035" i="1"/>
  <c r="DA377" i="1"/>
  <c r="CY377" i="1"/>
  <c r="CX377" i="1"/>
  <c r="J1035" i="1"/>
  <c r="BL377" i="1"/>
  <c r="BK377" i="1"/>
  <c r="DG376" i="1"/>
  <c r="M1034" i="1"/>
  <c r="L1034" i="1"/>
  <c r="DA376" i="1"/>
  <c r="CY376" i="1"/>
  <c r="CX376" i="1"/>
  <c r="J1034" i="1"/>
  <c r="BL376" i="1"/>
  <c r="BK376" i="1"/>
  <c r="DG375" i="1"/>
  <c r="M1033" i="1"/>
  <c r="L1033" i="1"/>
  <c r="DA375" i="1"/>
  <c r="CY375" i="1"/>
  <c r="CX375" i="1"/>
  <c r="J1033" i="1"/>
  <c r="BL375" i="1"/>
  <c r="BK375" i="1"/>
  <c r="DG374" i="1"/>
  <c r="M1032" i="1"/>
  <c r="L1032" i="1"/>
  <c r="DA374" i="1"/>
  <c r="CY374" i="1"/>
  <c r="CX374" i="1"/>
  <c r="J1032" i="1"/>
  <c r="BL374" i="1"/>
  <c r="BK374" i="1"/>
  <c r="DG373" i="1"/>
  <c r="M1031" i="1"/>
  <c r="L1031" i="1"/>
  <c r="DA373" i="1"/>
  <c r="CY373" i="1"/>
  <c r="CX373" i="1"/>
  <c r="J1031" i="1"/>
  <c r="BL373" i="1"/>
  <c r="BK373" i="1"/>
  <c r="DG372" i="1"/>
  <c r="M1030" i="1"/>
  <c r="L1030" i="1"/>
  <c r="DA372" i="1"/>
  <c r="CY372" i="1"/>
  <c r="CX372" i="1"/>
  <c r="J1030" i="1"/>
  <c r="BL372" i="1"/>
  <c r="BK372" i="1"/>
  <c r="DG371" i="1"/>
  <c r="M1029" i="1"/>
  <c r="L1029" i="1"/>
  <c r="DA371" i="1"/>
  <c r="CY371" i="1"/>
  <c r="CX371" i="1"/>
  <c r="J1029" i="1"/>
  <c r="BL371" i="1"/>
  <c r="BK371" i="1"/>
  <c r="DG370" i="1"/>
  <c r="M1028" i="1"/>
  <c r="L1028" i="1"/>
  <c r="DA370" i="1"/>
  <c r="CY370" i="1"/>
  <c r="CX370" i="1"/>
  <c r="J1028" i="1"/>
  <c r="BL370" i="1"/>
  <c r="BK370" i="1"/>
  <c r="DG369" i="1"/>
  <c r="M1027" i="1"/>
  <c r="L1027" i="1"/>
  <c r="DA369" i="1"/>
  <c r="CY369" i="1"/>
  <c r="CX369" i="1"/>
  <c r="J1027" i="1"/>
  <c r="BL369" i="1"/>
  <c r="BK369" i="1"/>
  <c r="DG368" i="1"/>
  <c r="M1026" i="1"/>
  <c r="L1026" i="1"/>
  <c r="DA368" i="1"/>
  <c r="CY368" i="1"/>
  <c r="CX368" i="1"/>
  <c r="J1026" i="1"/>
  <c r="BL368" i="1"/>
  <c r="BK368" i="1"/>
  <c r="DG367" i="1"/>
  <c r="M1025" i="1"/>
  <c r="L1025" i="1"/>
  <c r="DA367" i="1"/>
  <c r="CY367" i="1"/>
  <c r="CX367" i="1"/>
  <c r="J1025" i="1"/>
  <c r="BL367" i="1"/>
  <c r="BK367" i="1"/>
  <c r="DG366" i="1"/>
  <c r="M1024" i="1"/>
  <c r="L1024" i="1"/>
  <c r="DA366" i="1"/>
  <c r="CY366" i="1"/>
  <c r="CX366" i="1"/>
  <c r="J1024" i="1"/>
  <c r="BL366" i="1"/>
  <c r="BK366" i="1"/>
  <c r="DG365" i="1"/>
  <c r="M1023" i="1"/>
  <c r="L1023" i="1"/>
  <c r="DA365" i="1"/>
  <c r="CY365" i="1"/>
  <c r="CX365" i="1"/>
  <c r="J1023" i="1"/>
  <c r="BL365" i="1"/>
  <c r="BK365" i="1"/>
  <c r="DG364" i="1"/>
  <c r="M1022" i="1"/>
  <c r="L1022" i="1"/>
  <c r="DA364" i="1"/>
  <c r="CY364" i="1"/>
  <c r="CX364" i="1"/>
  <c r="J1022" i="1"/>
  <c r="BL364" i="1"/>
  <c r="BK364" i="1"/>
  <c r="DG363" i="1"/>
  <c r="M1021" i="1"/>
  <c r="L1021" i="1"/>
  <c r="DA363" i="1"/>
  <c r="CY363" i="1"/>
  <c r="CX363" i="1"/>
  <c r="J1021" i="1"/>
  <c r="BL363" i="1"/>
  <c r="BK363" i="1"/>
  <c r="DG362" i="1"/>
  <c r="M1020" i="1"/>
  <c r="L1020" i="1"/>
  <c r="DA362" i="1"/>
  <c r="CY362" i="1"/>
  <c r="CX362" i="1"/>
  <c r="J1020" i="1"/>
  <c r="BL362" i="1"/>
  <c r="BK362" i="1"/>
  <c r="DG361" i="1"/>
  <c r="M1019" i="1"/>
  <c r="L1019" i="1"/>
  <c r="DA361" i="1"/>
  <c r="CY361" i="1"/>
  <c r="CX361" i="1"/>
  <c r="J1019" i="1"/>
  <c r="BL361" i="1"/>
  <c r="BK361" i="1"/>
  <c r="DG360" i="1"/>
  <c r="M1018" i="1"/>
  <c r="L1018" i="1"/>
  <c r="DA360" i="1"/>
  <c r="CY360" i="1"/>
  <c r="CX360" i="1"/>
  <c r="J1018" i="1"/>
  <c r="BL360" i="1"/>
  <c r="BK360" i="1"/>
  <c r="DG359" i="1"/>
  <c r="M1017" i="1"/>
  <c r="L1017" i="1"/>
  <c r="DA359" i="1"/>
  <c r="CY359" i="1"/>
  <c r="CX359" i="1"/>
  <c r="J1017" i="1"/>
  <c r="BL359" i="1"/>
  <c r="BK359" i="1"/>
  <c r="DG358" i="1"/>
  <c r="M1016" i="1"/>
  <c r="L1016" i="1"/>
  <c r="DA358" i="1"/>
  <c r="CY358" i="1"/>
  <c r="CX358" i="1"/>
  <c r="J1016" i="1"/>
  <c r="BL358" i="1"/>
  <c r="BK358" i="1"/>
  <c r="DG357" i="1"/>
  <c r="M1015" i="1"/>
  <c r="L1015" i="1"/>
  <c r="DA357" i="1"/>
  <c r="CY357" i="1"/>
  <c r="CX357" i="1"/>
  <c r="J1015" i="1"/>
  <c r="BL357" i="1"/>
  <c r="BK357" i="1"/>
  <c r="DG356" i="1"/>
  <c r="M1014" i="1"/>
  <c r="L1014" i="1"/>
  <c r="DA356" i="1"/>
  <c r="CY356" i="1"/>
  <c r="CX356" i="1"/>
  <c r="J1014" i="1"/>
  <c r="BL356" i="1"/>
  <c r="BK356" i="1"/>
  <c r="DG355" i="1"/>
  <c r="M1013" i="1"/>
  <c r="L1013" i="1"/>
  <c r="DA355" i="1"/>
  <c r="CY355" i="1"/>
  <c r="CX355" i="1"/>
  <c r="J1013" i="1"/>
  <c r="BL355" i="1"/>
  <c r="BK355" i="1"/>
  <c r="DG354" i="1"/>
  <c r="M1012" i="1"/>
  <c r="L1012" i="1"/>
  <c r="DA354" i="1"/>
  <c r="CY354" i="1"/>
  <c r="CX354" i="1"/>
  <c r="J1012" i="1"/>
  <c r="BL354" i="1"/>
  <c r="BK354" i="1"/>
  <c r="DG353" i="1"/>
  <c r="M1011" i="1"/>
  <c r="L1011" i="1"/>
  <c r="DA353" i="1"/>
  <c r="CY353" i="1"/>
  <c r="CX353" i="1"/>
  <c r="J1011" i="1"/>
  <c r="BL353" i="1"/>
  <c r="BK353" i="1"/>
  <c r="DG352" i="1"/>
  <c r="M1010" i="1"/>
  <c r="L1010" i="1"/>
  <c r="DA352" i="1"/>
  <c r="CY352" i="1"/>
  <c r="CX352" i="1"/>
  <c r="J1010" i="1"/>
  <c r="BL352" i="1"/>
  <c r="BK352" i="1"/>
  <c r="DG351" i="1"/>
  <c r="M593" i="1"/>
  <c r="L593" i="1"/>
  <c r="DA351" i="1"/>
  <c r="CY351" i="1"/>
  <c r="CX351" i="1"/>
  <c r="J593" i="1"/>
  <c r="BL351" i="1"/>
  <c r="BK351" i="1"/>
  <c r="DG350" i="1"/>
  <c r="M594" i="1"/>
  <c r="L594" i="1"/>
  <c r="DA350" i="1"/>
  <c r="CY350" i="1"/>
  <c r="CX350" i="1"/>
  <c r="J594" i="1"/>
  <c r="BL350" i="1"/>
  <c r="BK350" i="1"/>
  <c r="DG349" i="1"/>
  <c r="M595" i="1"/>
  <c r="L595" i="1"/>
  <c r="DA349" i="1"/>
  <c r="CY349" i="1"/>
  <c r="CX349" i="1"/>
  <c r="J595" i="1"/>
  <c r="BL349" i="1"/>
  <c r="BK349" i="1"/>
  <c r="DG348" i="1"/>
  <c r="M2269" i="1"/>
  <c r="L2269" i="1"/>
  <c r="DA348" i="1"/>
  <c r="CY348" i="1"/>
  <c r="CX348" i="1"/>
  <c r="J2269" i="1"/>
  <c r="BL348" i="1"/>
  <c r="BK348" i="1"/>
  <c r="DG347" i="1"/>
  <c r="M597" i="1"/>
  <c r="L597" i="1"/>
  <c r="DA347" i="1"/>
  <c r="CY347" i="1"/>
  <c r="CX347" i="1"/>
  <c r="J597" i="1"/>
  <c r="BL347" i="1"/>
  <c r="BK347" i="1"/>
  <c r="DG346" i="1"/>
  <c r="M598" i="1"/>
  <c r="L598" i="1"/>
  <c r="DA346" i="1"/>
  <c r="CY346" i="1"/>
  <c r="CX346" i="1"/>
  <c r="J598" i="1"/>
  <c r="BL346" i="1"/>
  <c r="BK346" i="1"/>
  <c r="DG345" i="1"/>
  <c r="M599" i="1"/>
  <c r="L599" i="1"/>
  <c r="DA345" i="1"/>
  <c r="CY345" i="1"/>
  <c r="CX345" i="1"/>
  <c r="J599" i="1"/>
  <c r="BL345" i="1"/>
  <c r="BK345" i="1"/>
  <c r="DG344" i="1"/>
  <c r="M600" i="1"/>
  <c r="L600" i="1"/>
  <c r="DA344" i="1"/>
  <c r="CY344" i="1"/>
  <c r="CX344" i="1"/>
  <c r="J600" i="1"/>
  <c r="BL344" i="1"/>
  <c r="BK344" i="1"/>
  <c r="DG343" i="1"/>
  <c r="M601" i="1"/>
  <c r="L601" i="1"/>
  <c r="DA343" i="1"/>
  <c r="CY343" i="1"/>
  <c r="CX343" i="1"/>
  <c r="J601" i="1"/>
  <c r="BL343" i="1"/>
  <c r="BK343" i="1"/>
  <c r="DG342" i="1"/>
  <c r="M602" i="1"/>
  <c r="L602" i="1"/>
  <c r="DA342" i="1"/>
  <c r="CY342" i="1"/>
  <c r="CX342" i="1"/>
  <c r="J602" i="1"/>
  <c r="BL342" i="1"/>
  <c r="BK342" i="1"/>
  <c r="DG341" i="1"/>
  <c r="M603" i="1"/>
  <c r="L603" i="1"/>
  <c r="DA341" i="1"/>
  <c r="CY341" i="1"/>
  <c r="CX341" i="1"/>
  <c r="J603" i="1"/>
  <c r="BL341" i="1"/>
  <c r="BK341" i="1"/>
  <c r="DG340" i="1"/>
  <c r="M604" i="1"/>
  <c r="L604" i="1"/>
  <c r="DA340" i="1"/>
  <c r="CY340" i="1"/>
  <c r="CX340" i="1"/>
  <c r="J604" i="1"/>
  <c r="BL340" i="1"/>
  <c r="BK340" i="1"/>
  <c r="DG339" i="1"/>
  <c r="M605" i="1"/>
  <c r="L605" i="1"/>
  <c r="DA339" i="1"/>
  <c r="CY339" i="1"/>
  <c r="CX339" i="1"/>
  <c r="J605" i="1"/>
  <c r="BL339" i="1"/>
  <c r="BK339" i="1"/>
  <c r="DG338" i="1"/>
  <c r="M606" i="1"/>
  <c r="L606" i="1"/>
  <c r="DA338" i="1"/>
  <c r="CY338" i="1"/>
  <c r="CX338" i="1"/>
  <c r="J606" i="1"/>
  <c r="BL338" i="1"/>
  <c r="BK338" i="1"/>
  <c r="DG337" i="1"/>
  <c r="M607" i="1"/>
  <c r="L607" i="1"/>
  <c r="DA337" i="1"/>
  <c r="CY337" i="1"/>
  <c r="CX337" i="1"/>
  <c r="J607" i="1"/>
  <c r="BL337" i="1"/>
  <c r="BK337" i="1"/>
  <c r="DG336" i="1"/>
  <c r="M608" i="1"/>
  <c r="L608" i="1"/>
  <c r="DA336" i="1"/>
  <c r="CY336" i="1"/>
  <c r="CX336" i="1"/>
  <c r="J608" i="1"/>
  <c r="BL336" i="1"/>
  <c r="BK336" i="1"/>
  <c r="DG335" i="1"/>
  <c r="M609" i="1"/>
  <c r="L609" i="1"/>
  <c r="DA335" i="1"/>
  <c r="CY335" i="1"/>
  <c r="CX335" i="1"/>
  <c r="J609" i="1"/>
  <c r="BL335" i="1"/>
  <c r="BK335" i="1"/>
  <c r="DG334" i="1"/>
  <c r="M610" i="1"/>
  <c r="L610" i="1"/>
  <c r="DA334" i="1"/>
  <c r="CY334" i="1"/>
  <c r="CX334" i="1"/>
  <c r="J610" i="1"/>
  <c r="BL334" i="1"/>
  <c r="BK334" i="1"/>
  <c r="DG333" i="1"/>
  <c r="M611" i="1"/>
  <c r="L611" i="1"/>
  <c r="DA333" i="1"/>
  <c r="CY333" i="1"/>
  <c r="CX333" i="1"/>
  <c r="J611" i="1"/>
  <c r="BL333" i="1"/>
  <c r="BK333" i="1"/>
  <c r="DG332" i="1"/>
  <c r="M1106" i="1"/>
  <c r="L1106" i="1"/>
  <c r="DA332" i="1"/>
  <c r="CY332" i="1"/>
  <c r="CX332" i="1"/>
  <c r="J1106" i="1"/>
  <c r="BL332" i="1"/>
  <c r="BK332" i="1"/>
  <c r="DG331" i="1"/>
  <c r="M613" i="1"/>
  <c r="L613" i="1"/>
  <c r="DA331" i="1"/>
  <c r="CY331" i="1"/>
  <c r="CX331" i="1"/>
  <c r="J613" i="1"/>
  <c r="BL331" i="1"/>
  <c r="BK331" i="1"/>
  <c r="DG330" i="1"/>
  <c r="M614" i="1"/>
  <c r="L614" i="1"/>
  <c r="DA330" i="1"/>
  <c r="CY330" i="1"/>
  <c r="CX330" i="1"/>
  <c r="J614" i="1"/>
  <c r="BL330" i="1"/>
  <c r="BK330" i="1"/>
  <c r="DG329" i="1"/>
  <c r="M615" i="1"/>
  <c r="L615" i="1"/>
  <c r="DA329" i="1"/>
  <c r="CY329" i="1"/>
  <c r="CX329" i="1"/>
  <c r="J615" i="1"/>
  <c r="BL329" i="1"/>
  <c r="BK329" i="1"/>
  <c r="DG328" i="1"/>
  <c r="M616" i="1"/>
  <c r="L616" i="1"/>
  <c r="DA328" i="1"/>
  <c r="CY328" i="1"/>
  <c r="CX328" i="1"/>
  <c r="J616" i="1"/>
  <c r="BL328" i="1"/>
  <c r="BK328" i="1"/>
  <c r="DG327" i="1"/>
  <c r="M617" i="1"/>
  <c r="L617" i="1"/>
  <c r="DA327" i="1"/>
  <c r="CY327" i="1"/>
  <c r="CX327" i="1"/>
  <c r="J617" i="1"/>
  <c r="BL327" i="1"/>
  <c r="BK327" i="1"/>
  <c r="DG326" i="1"/>
  <c r="M618" i="1"/>
  <c r="L618" i="1"/>
  <c r="DA326" i="1"/>
  <c r="CY326" i="1"/>
  <c r="CX326" i="1"/>
  <c r="J618" i="1"/>
  <c r="BL326" i="1"/>
  <c r="BK326" i="1"/>
  <c r="DG325" i="1"/>
  <c r="M619" i="1"/>
  <c r="L619" i="1"/>
  <c r="DA325" i="1"/>
  <c r="CY325" i="1"/>
  <c r="CX325" i="1"/>
  <c r="J619" i="1"/>
  <c r="BL325" i="1"/>
  <c r="BK325" i="1"/>
  <c r="DG324" i="1"/>
  <c r="M620" i="1"/>
  <c r="L620" i="1"/>
  <c r="DA324" i="1"/>
  <c r="CY324" i="1"/>
  <c r="CX324" i="1"/>
  <c r="J620" i="1"/>
  <c r="BL324" i="1"/>
  <c r="BK324" i="1"/>
  <c r="DG323" i="1"/>
  <c r="M621" i="1"/>
  <c r="L621" i="1"/>
  <c r="DA323" i="1"/>
  <c r="CY323" i="1"/>
  <c r="CX323" i="1"/>
  <c r="J621" i="1"/>
  <c r="BL323" i="1"/>
  <c r="BK323" i="1"/>
  <c r="DG322" i="1"/>
  <c r="M622" i="1"/>
  <c r="L622" i="1"/>
  <c r="DA322" i="1"/>
  <c r="CY322" i="1"/>
  <c r="CX322" i="1"/>
  <c r="J622" i="1"/>
  <c r="BL322" i="1"/>
  <c r="BK322" i="1"/>
  <c r="DG321" i="1"/>
  <c r="M623" i="1"/>
  <c r="L623" i="1"/>
  <c r="DA321" i="1"/>
  <c r="CY321" i="1"/>
  <c r="CX321" i="1"/>
  <c r="J623" i="1"/>
  <c r="BL321" i="1"/>
  <c r="BK321" i="1"/>
  <c r="DG320" i="1"/>
  <c r="M624" i="1"/>
  <c r="L624" i="1"/>
  <c r="DA320" i="1"/>
  <c r="CY320" i="1"/>
  <c r="CX320" i="1"/>
  <c r="J624" i="1"/>
  <c r="BL320" i="1"/>
  <c r="BK320" i="1"/>
  <c r="DG319" i="1"/>
  <c r="M625" i="1"/>
  <c r="L625" i="1"/>
  <c r="DA319" i="1"/>
  <c r="CY319" i="1"/>
  <c r="CX319" i="1"/>
  <c r="J625" i="1"/>
  <c r="BL319" i="1"/>
  <c r="BK319" i="1"/>
  <c r="DG318" i="1"/>
  <c r="M626" i="1"/>
  <c r="L626" i="1"/>
  <c r="DA318" i="1"/>
  <c r="CY318" i="1"/>
  <c r="CX318" i="1"/>
  <c r="J626" i="1"/>
  <c r="BL318" i="1"/>
  <c r="BK318" i="1"/>
  <c r="DG317" i="1"/>
  <c r="M627" i="1"/>
  <c r="L627" i="1"/>
  <c r="DA317" i="1"/>
  <c r="CY317" i="1"/>
  <c r="CX317" i="1"/>
  <c r="J627" i="1"/>
  <c r="BL317" i="1"/>
  <c r="BK317" i="1"/>
  <c r="DG316" i="1"/>
  <c r="M3404" i="1"/>
  <c r="L3404" i="1"/>
  <c r="DA316" i="1"/>
  <c r="CY316" i="1"/>
  <c r="CX316" i="1"/>
  <c r="J3404" i="1"/>
  <c r="CW316" i="1"/>
  <c r="BL316" i="1"/>
  <c r="BK316" i="1"/>
  <c r="DG315" i="1"/>
  <c r="M629" i="1"/>
  <c r="L629" i="1"/>
  <c r="DA315" i="1"/>
  <c r="CY315" i="1"/>
  <c r="CX315" i="1"/>
  <c r="J629" i="1"/>
  <c r="BL315" i="1"/>
  <c r="BK315" i="1"/>
  <c r="DG314" i="1"/>
  <c r="M630" i="1"/>
  <c r="L630" i="1"/>
  <c r="DA314" i="1"/>
  <c r="CY314" i="1"/>
  <c r="CX314" i="1"/>
  <c r="J630" i="1"/>
  <c r="BL314" i="1"/>
  <c r="BK314" i="1"/>
  <c r="DG313" i="1"/>
  <c r="M631" i="1"/>
  <c r="L631" i="1"/>
  <c r="DA313" i="1"/>
  <c r="CY313" i="1"/>
  <c r="CX313" i="1"/>
  <c r="J631" i="1"/>
  <c r="BL313" i="1"/>
  <c r="BK313" i="1"/>
  <c r="DG312" i="1"/>
  <c r="M632" i="1"/>
  <c r="L632" i="1"/>
  <c r="DA312" i="1"/>
  <c r="CY312" i="1"/>
  <c r="CX312" i="1"/>
  <c r="J632" i="1"/>
  <c r="BL312" i="1"/>
  <c r="BK312" i="1"/>
  <c r="DG311" i="1"/>
  <c r="M633" i="1"/>
  <c r="L633" i="1"/>
  <c r="DA311" i="1"/>
  <c r="CY311" i="1"/>
  <c r="CX311" i="1"/>
  <c r="J633" i="1"/>
  <c r="BL311" i="1"/>
  <c r="BK311" i="1"/>
  <c r="DG310" i="1"/>
  <c r="M634" i="1"/>
  <c r="L634" i="1"/>
  <c r="DA310" i="1"/>
  <c r="CY310" i="1"/>
  <c r="CX310" i="1"/>
  <c r="J634" i="1"/>
  <c r="BL310" i="1"/>
  <c r="BK310" i="1"/>
  <c r="DG309" i="1"/>
  <c r="M635" i="1"/>
  <c r="L635" i="1"/>
  <c r="DA309" i="1"/>
  <c r="CY309" i="1"/>
  <c r="CX309" i="1"/>
  <c r="J635" i="1"/>
  <c r="BL309" i="1"/>
  <c r="BK309" i="1"/>
  <c r="DG308" i="1"/>
  <c r="M636" i="1"/>
  <c r="L636" i="1"/>
  <c r="DA308" i="1"/>
  <c r="CY308" i="1"/>
  <c r="CX308" i="1"/>
  <c r="J636" i="1"/>
  <c r="BL308" i="1"/>
  <c r="BK308" i="1"/>
  <c r="DG307" i="1"/>
  <c r="M637" i="1"/>
  <c r="L637" i="1"/>
  <c r="DA307" i="1"/>
  <c r="CY307" i="1"/>
  <c r="CX307" i="1"/>
  <c r="J637" i="1"/>
  <c r="BL307" i="1"/>
  <c r="BK307" i="1"/>
  <c r="DG306" i="1"/>
  <c r="M638" i="1"/>
  <c r="L638" i="1"/>
  <c r="DA306" i="1"/>
  <c r="CY306" i="1"/>
  <c r="CX306" i="1"/>
  <c r="J638" i="1"/>
  <c r="BL306" i="1"/>
  <c r="BK306" i="1"/>
  <c r="DG305" i="1"/>
  <c r="M639" i="1"/>
  <c r="L639" i="1"/>
  <c r="DA305" i="1"/>
  <c r="CY305" i="1"/>
  <c r="CX305" i="1"/>
  <c r="J639" i="1"/>
  <c r="BL305" i="1"/>
  <c r="BK305" i="1"/>
  <c r="DG304" i="1"/>
  <c r="M669" i="1"/>
  <c r="L669" i="1"/>
  <c r="DA304" i="1"/>
  <c r="CY304" i="1"/>
  <c r="CX304" i="1"/>
  <c r="J669" i="1"/>
  <c r="BL304" i="1"/>
  <c r="BK304" i="1"/>
  <c r="DG303" i="1"/>
  <c r="M670" i="1"/>
  <c r="L670" i="1"/>
  <c r="DA303" i="1"/>
  <c r="CY303" i="1"/>
  <c r="CX303" i="1"/>
  <c r="J670" i="1"/>
  <c r="BL303" i="1"/>
  <c r="BK303" i="1"/>
  <c r="DG302" i="1"/>
  <c r="M671" i="1"/>
  <c r="L671" i="1"/>
  <c r="DA302" i="1"/>
  <c r="CY302" i="1"/>
  <c r="CX302" i="1"/>
  <c r="J671" i="1"/>
  <c r="BL302" i="1"/>
  <c r="BK302" i="1"/>
  <c r="DG301" i="1"/>
  <c r="M672" i="1"/>
  <c r="L672" i="1"/>
  <c r="DA301" i="1"/>
  <c r="CY301" i="1"/>
  <c r="CX301" i="1"/>
  <c r="J672" i="1"/>
  <c r="BL301" i="1"/>
  <c r="BK301" i="1"/>
  <c r="DG300" i="1"/>
  <c r="M673" i="1"/>
  <c r="L673" i="1"/>
  <c r="DA300" i="1"/>
  <c r="CY300" i="1"/>
  <c r="CX300" i="1"/>
  <c r="J673" i="1"/>
  <c r="BL300" i="1"/>
  <c r="BK300" i="1"/>
  <c r="DG299" i="1"/>
  <c r="M674" i="1"/>
  <c r="L674" i="1"/>
  <c r="DA299" i="1"/>
  <c r="CY299" i="1"/>
  <c r="CX299" i="1"/>
  <c r="J674" i="1"/>
  <c r="BL299" i="1"/>
  <c r="BK299" i="1"/>
  <c r="DG298" i="1"/>
  <c r="M675" i="1"/>
  <c r="L675" i="1"/>
  <c r="DA298" i="1"/>
  <c r="CY298" i="1"/>
  <c r="CX298" i="1"/>
  <c r="J675" i="1"/>
  <c r="BL298" i="1"/>
  <c r="BK298" i="1"/>
  <c r="DG297" i="1"/>
  <c r="M676" i="1"/>
  <c r="L676" i="1"/>
  <c r="DA297" i="1"/>
  <c r="CY297" i="1"/>
  <c r="CX297" i="1"/>
  <c r="J676" i="1"/>
  <c r="BL297" i="1"/>
  <c r="BK297" i="1"/>
  <c r="DG296" i="1"/>
  <c r="M677" i="1"/>
  <c r="L677" i="1"/>
  <c r="DA296" i="1"/>
  <c r="CY296" i="1"/>
  <c r="CX296" i="1"/>
  <c r="J677" i="1"/>
  <c r="BL296" i="1"/>
  <c r="BK296" i="1"/>
  <c r="DG295" i="1"/>
  <c r="M678" i="1"/>
  <c r="L678" i="1"/>
  <c r="DA295" i="1"/>
  <c r="CY295" i="1"/>
  <c r="CX295" i="1"/>
  <c r="J678" i="1"/>
  <c r="BL295" i="1"/>
  <c r="BK295" i="1"/>
  <c r="DG294" i="1"/>
  <c r="M679" i="1"/>
  <c r="L679" i="1"/>
  <c r="DA294" i="1"/>
  <c r="CY294" i="1"/>
  <c r="CX294" i="1"/>
  <c r="J679" i="1"/>
  <c r="BL294" i="1"/>
  <c r="BK294" i="1"/>
  <c r="DG293" i="1"/>
  <c r="M680" i="1"/>
  <c r="L680" i="1"/>
  <c r="DA293" i="1"/>
  <c r="CY293" i="1"/>
  <c r="CX293" i="1"/>
  <c r="J680" i="1"/>
  <c r="BL293" i="1"/>
  <c r="BK293" i="1"/>
  <c r="DG292" i="1"/>
  <c r="M681" i="1"/>
  <c r="L681" i="1"/>
  <c r="DA292" i="1"/>
  <c r="CY292" i="1"/>
  <c r="CX292" i="1"/>
  <c r="J681" i="1"/>
  <c r="BL292" i="1"/>
  <c r="BK292" i="1"/>
  <c r="DG291" i="1"/>
  <c r="M682" i="1"/>
  <c r="L682" i="1"/>
  <c r="DA291" i="1"/>
  <c r="CY291" i="1"/>
  <c r="CX291" i="1"/>
  <c r="J682" i="1"/>
  <c r="BL291" i="1"/>
  <c r="BK291" i="1"/>
  <c r="DG290" i="1"/>
  <c r="M683" i="1"/>
  <c r="L683" i="1"/>
  <c r="DA290" i="1"/>
  <c r="CY290" i="1"/>
  <c r="CX290" i="1"/>
  <c r="J683" i="1"/>
  <c r="BL290" i="1"/>
  <c r="BK290" i="1"/>
  <c r="DG289" i="1"/>
  <c r="M684" i="1"/>
  <c r="L684" i="1"/>
  <c r="DA289" i="1"/>
  <c r="CY289" i="1"/>
  <c r="CX289" i="1"/>
  <c r="J684" i="1"/>
  <c r="BL289" i="1"/>
  <c r="BK289" i="1"/>
  <c r="DG288" i="1"/>
  <c r="M486" i="1"/>
  <c r="L486" i="1"/>
  <c r="DA288" i="1"/>
  <c r="CY288" i="1"/>
  <c r="CX288" i="1"/>
  <c r="J486" i="1"/>
  <c r="BL288" i="1"/>
  <c r="BK288" i="1"/>
  <c r="DG287" i="1"/>
  <c r="M487" i="1"/>
  <c r="L487" i="1"/>
  <c r="DA287" i="1"/>
  <c r="CY287" i="1"/>
  <c r="CX287" i="1"/>
  <c r="J487" i="1"/>
  <c r="BL287" i="1"/>
  <c r="BK287" i="1"/>
  <c r="DG286" i="1"/>
  <c r="M688" i="1"/>
  <c r="L688" i="1"/>
  <c r="DA286" i="1"/>
  <c r="CY286" i="1"/>
  <c r="CX286" i="1"/>
  <c r="J688" i="1"/>
  <c r="BL286" i="1"/>
  <c r="BK286" i="1"/>
  <c r="DG285" i="1"/>
  <c r="M689" i="1"/>
  <c r="L689" i="1"/>
  <c r="DA285" i="1"/>
  <c r="CY285" i="1"/>
  <c r="CX285" i="1"/>
  <c r="J689" i="1"/>
  <c r="BL285" i="1"/>
  <c r="BK285" i="1"/>
  <c r="DG284" i="1"/>
  <c r="M2268" i="1"/>
  <c r="L2268" i="1"/>
  <c r="DA284" i="1"/>
  <c r="CY284" i="1"/>
  <c r="CX284" i="1"/>
  <c r="J2268" i="1"/>
  <c r="BL284" i="1"/>
  <c r="BK284" i="1"/>
  <c r="DG283" i="1"/>
  <c r="M691" i="1"/>
  <c r="L691" i="1"/>
  <c r="DA283" i="1"/>
  <c r="CY283" i="1"/>
  <c r="CX283" i="1"/>
  <c r="J691" i="1"/>
  <c r="BL283" i="1"/>
  <c r="BK283" i="1"/>
  <c r="DG282" i="1"/>
  <c r="M692" i="1"/>
  <c r="L692" i="1"/>
  <c r="DA282" i="1"/>
  <c r="CY282" i="1"/>
  <c r="CX282" i="1"/>
  <c r="J692" i="1"/>
  <c r="BL282" i="1"/>
  <c r="BK282" i="1"/>
  <c r="DG281" i="1"/>
  <c r="M693" i="1"/>
  <c r="L693" i="1"/>
  <c r="DA281" i="1"/>
  <c r="CY281" i="1"/>
  <c r="CX281" i="1"/>
  <c r="J693" i="1"/>
  <c r="BL281" i="1"/>
  <c r="BK281" i="1"/>
  <c r="DG280" i="1"/>
  <c r="M694" i="1"/>
  <c r="L694" i="1"/>
  <c r="DA280" i="1"/>
  <c r="CY280" i="1"/>
  <c r="CX280" i="1"/>
  <c r="J694" i="1"/>
  <c r="BL280" i="1"/>
  <c r="BK280" i="1"/>
  <c r="DG279" i="1"/>
  <c r="M695" i="1"/>
  <c r="L695" i="1"/>
  <c r="DA279" i="1"/>
  <c r="CY279" i="1"/>
  <c r="CX279" i="1"/>
  <c r="J695" i="1"/>
  <c r="BL279" i="1"/>
  <c r="BK279" i="1"/>
  <c r="DG278" i="1"/>
  <c r="M696" i="1"/>
  <c r="L696" i="1"/>
  <c r="DA278" i="1"/>
  <c r="CY278" i="1"/>
  <c r="CX278" i="1"/>
  <c r="J696" i="1"/>
  <c r="BL278" i="1"/>
  <c r="BK278" i="1"/>
  <c r="DG277" i="1"/>
  <c r="M697" i="1"/>
  <c r="L697" i="1"/>
  <c r="DA277" i="1"/>
  <c r="CY277" i="1"/>
  <c r="CX277" i="1"/>
  <c r="J697" i="1"/>
  <c r="BL277" i="1"/>
  <c r="BK277" i="1"/>
  <c r="DG276" i="1"/>
  <c r="M2267" i="1"/>
  <c r="L2267" i="1"/>
  <c r="DA276" i="1"/>
  <c r="CY276" i="1"/>
  <c r="CX276" i="1"/>
  <c r="J2267" i="1"/>
  <c r="BL276" i="1"/>
  <c r="BK276" i="1"/>
  <c r="DG275" i="1"/>
  <c r="M699" i="1"/>
  <c r="L699" i="1"/>
  <c r="DA275" i="1"/>
  <c r="CY275" i="1"/>
  <c r="CX275" i="1"/>
  <c r="J699" i="1"/>
  <c r="BL275" i="1"/>
  <c r="BK275" i="1"/>
  <c r="DG274" i="1"/>
  <c r="M700" i="1"/>
  <c r="L700" i="1"/>
  <c r="DA274" i="1"/>
  <c r="CY274" i="1"/>
  <c r="CX274" i="1"/>
  <c r="J700" i="1"/>
  <c r="BL274" i="1"/>
  <c r="BK274" i="1"/>
  <c r="DG273" i="1"/>
  <c r="M701" i="1"/>
  <c r="L701" i="1"/>
  <c r="DA273" i="1"/>
  <c r="CY273" i="1"/>
  <c r="CX273" i="1"/>
  <c r="J701" i="1"/>
  <c r="BL273" i="1"/>
  <c r="BK273" i="1"/>
  <c r="DG272" i="1"/>
  <c r="M702" i="1"/>
  <c r="L702" i="1"/>
  <c r="DA272" i="1"/>
  <c r="CY272" i="1"/>
  <c r="CX272" i="1"/>
  <c r="J702" i="1"/>
  <c r="BL272" i="1"/>
  <c r="BK272" i="1"/>
  <c r="DG271" i="1"/>
  <c r="M703" i="1"/>
  <c r="L703" i="1"/>
  <c r="DA271" i="1"/>
  <c r="CY271" i="1"/>
  <c r="CX271" i="1"/>
  <c r="J703" i="1"/>
  <c r="BL271" i="1"/>
  <c r="BK271" i="1"/>
  <c r="DG270" i="1"/>
  <c r="M704" i="1"/>
  <c r="L704" i="1"/>
  <c r="DA270" i="1"/>
  <c r="CY270" i="1"/>
  <c r="CX270" i="1"/>
  <c r="J704" i="1"/>
  <c r="BL270" i="1"/>
  <c r="BK270" i="1"/>
  <c r="DG269" i="1"/>
  <c r="M705" i="1"/>
  <c r="L705" i="1"/>
  <c r="DA269" i="1"/>
  <c r="CY269" i="1"/>
  <c r="CX269" i="1"/>
  <c r="J705" i="1"/>
  <c r="BL269" i="1"/>
  <c r="BK269" i="1"/>
  <c r="DG268" i="1"/>
  <c r="M1105" i="1"/>
  <c r="L1105" i="1"/>
  <c r="DA268" i="1"/>
  <c r="CY268" i="1"/>
  <c r="CX268" i="1"/>
  <c r="J1105" i="1"/>
  <c r="BL268" i="1"/>
  <c r="BK268" i="1"/>
  <c r="DG267" i="1"/>
  <c r="M707" i="1"/>
  <c r="L707" i="1"/>
  <c r="DA267" i="1"/>
  <c r="CY267" i="1"/>
  <c r="CX267" i="1"/>
  <c r="J707" i="1"/>
  <c r="BL267" i="1"/>
  <c r="BK267" i="1"/>
  <c r="DG266" i="1"/>
  <c r="M708" i="1"/>
  <c r="L708" i="1"/>
  <c r="DA266" i="1"/>
  <c r="CY266" i="1"/>
  <c r="CX266" i="1"/>
  <c r="J708" i="1"/>
  <c r="BL266" i="1"/>
  <c r="BK266" i="1"/>
  <c r="DG265" i="1"/>
  <c r="M709" i="1"/>
  <c r="L709" i="1"/>
  <c r="DA265" i="1"/>
  <c r="CY265" i="1"/>
  <c r="CX265" i="1"/>
  <c r="J709" i="1"/>
  <c r="BL265" i="1"/>
  <c r="BK265" i="1"/>
  <c r="DG264" i="1"/>
  <c r="M710" i="1"/>
  <c r="L710" i="1"/>
  <c r="DA264" i="1"/>
  <c r="CY264" i="1"/>
  <c r="CX264" i="1"/>
  <c r="J710" i="1"/>
  <c r="BL264" i="1"/>
  <c r="BK264" i="1"/>
  <c r="DG263" i="1"/>
  <c r="M711" i="1"/>
  <c r="L711" i="1"/>
  <c r="DA263" i="1"/>
  <c r="CY263" i="1"/>
  <c r="CX263" i="1"/>
  <c r="J711" i="1"/>
  <c r="BL263" i="1"/>
  <c r="BK263" i="1"/>
  <c r="DG262" i="1"/>
  <c r="M712" i="1"/>
  <c r="L712" i="1"/>
  <c r="DA262" i="1"/>
  <c r="CY262" i="1"/>
  <c r="CX262" i="1"/>
  <c r="J712" i="1"/>
  <c r="BL262" i="1"/>
  <c r="BK262" i="1"/>
  <c r="DG261" i="1"/>
  <c r="M713" i="1"/>
  <c r="L713" i="1"/>
  <c r="DA261" i="1"/>
  <c r="CY261" i="1"/>
  <c r="CX261" i="1"/>
  <c r="J713" i="1"/>
  <c r="BL261" i="1"/>
  <c r="BK261" i="1"/>
  <c r="DG260" i="1"/>
  <c r="M714" i="1"/>
  <c r="L714" i="1"/>
  <c r="DA260" i="1"/>
  <c r="CY260" i="1"/>
  <c r="CX260" i="1"/>
  <c r="J714" i="1"/>
  <c r="BL260" i="1"/>
  <c r="BK260" i="1"/>
  <c r="DG259" i="1"/>
  <c r="M715" i="1"/>
  <c r="L715" i="1"/>
  <c r="DA259" i="1"/>
  <c r="CY259" i="1"/>
  <c r="CX259" i="1"/>
  <c r="J715" i="1"/>
  <c r="BL259" i="1"/>
  <c r="BK259" i="1"/>
  <c r="DG258" i="1"/>
  <c r="M716" i="1"/>
  <c r="L716" i="1"/>
  <c r="DA258" i="1"/>
  <c r="CY258" i="1"/>
  <c r="CX258" i="1"/>
  <c r="J716" i="1"/>
  <c r="BL258" i="1"/>
  <c r="BK258" i="1"/>
  <c r="DG257" i="1"/>
  <c r="M717" i="1"/>
  <c r="L717" i="1"/>
  <c r="DA257" i="1"/>
  <c r="CY257" i="1"/>
  <c r="CX257" i="1"/>
  <c r="J717" i="1"/>
  <c r="BL257" i="1"/>
  <c r="BK257" i="1"/>
  <c r="DG256" i="1"/>
  <c r="M718" i="1"/>
  <c r="L718" i="1"/>
  <c r="DA256" i="1"/>
  <c r="CY256" i="1"/>
  <c r="CX256" i="1"/>
  <c r="J718" i="1"/>
  <c r="BL256" i="1"/>
  <c r="BK256" i="1"/>
  <c r="DG255" i="1"/>
  <c r="M719" i="1"/>
  <c r="L719" i="1"/>
  <c r="DA255" i="1"/>
  <c r="CY255" i="1"/>
  <c r="CX255" i="1"/>
  <c r="J719" i="1"/>
  <c r="BL255" i="1"/>
  <c r="BK255" i="1"/>
  <c r="DG254" i="1"/>
  <c r="M720" i="1"/>
  <c r="L720" i="1"/>
  <c r="DA254" i="1"/>
  <c r="CY254" i="1"/>
  <c r="CX254" i="1"/>
  <c r="J720" i="1"/>
  <c r="BL254" i="1"/>
  <c r="BK254" i="1"/>
  <c r="DG253" i="1"/>
  <c r="M721" i="1"/>
  <c r="L721" i="1"/>
  <c r="DA253" i="1"/>
  <c r="CY253" i="1"/>
  <c r="CX253" i="1"/>
  <c r="J721" i="1"/>
  <c r="BL253" i="1"/>
  <c r="BK253" i="1"/>
  <c r="DG252" i="1"/>
  <c r="M2266" i="1"/>
  <c r="L2266" i="1"/>
  <c r="DA252" i="1"/>
  <c r="CY252" i="1"/>
  <c r="CX252" i="1"/>
  <c r="J2266" i="1"/>
  <c r="BL252" i="1"/>
  <c r="BK252" i="1"/>
  <c r="DG251" i="1"/>
  <c r="M723" i="1"/>
  <c r="L723" i="1"/>
  <c r="DA251" i="1"/>
  <c r="CY251" i="1"/>
  <c r="CX251" i="1"/>
  <c r="J723" i="1"/>
  <c r="BL251" i="1"/>
  <c r="BK251" i="1"/>
  <c r="DG250" i="1"/>
  <c r="M724" i="1"/>
  <c r="L724" i="1"/>
  <c r="DA250" i="1"/>
  <c r="CY250" i="1"/>
  <c r="CX250" i="1"/>
  <c r="J724" i="1"/>
  <c r="BL250" i="1"/>
  <c r="BK250" i="1"/>
  <c r="DG249" i="1"/>
  <c r="M725" i="1"/>
  <c r="L725" i="1"/>
  <c r="DA249" i="1"/>
  <c r="CY249" i="1"/>
  <c r="CX249" i="1"/>
  <c r="J725" i="1"/>
  <c r="BL249" i="1"/>
  <c r="BK249" i="1"/>
  <c r="DG248" i="1"/>
  <c r="M726" i="1"/>
  <c r="L726" i="1"/>
  <c r="DA248" i="1"/>
  <c r="CY248" i="1"/>
  <c r="CX248" i="1"/>
  <c r="J726" i="1"/>
  <c r="BL248" i="1"/>
  <c r="BK248" i="1"/>
  <c r="DG247" i="1"/>
  <c r="M728" i="1"/>
  <c r="L728" i="1"/>
  <c r="DA247" i="1"/>
  <c r="CY247" i="1"/>
  <c r="CX247" i="1"/>
  <c r="J728" i="1"/>
  <c r="BL247" i="1"/>
  <c r="BK247" i="1"/>
  <c r="DG246" i="1"/>
  <c r="M729" i="1"/>
  <c r="L729" i="1"/>
  <c r="DA246" i="1"/>
  <c r="CY246" i="1"/>
  <c r="CX246" i="1"/>
  <c r="J729" i="1"/>
  <c r="BL246" i="1"/>
  <c r="BK246" i="1"/>
  <c r="DG245" i="1"/>
  <c r="M730" i="1"/>
  <c r="L730" i="1"/>
  <c r="DA245" i="1"/>
  <c r="CY245" i="1"/>
  <c r="CX245" i="1"/>
  <c r="J730" i="1"/>
  <c r="BL245" i="1"/>
  <c r="BK245" i="1"/>
  <c r="DG244" i="1"/>
  <c r="M820" i="1"/>
  <c r="L820" i="1"/>
  <c r="DA244" i="1"/>
  <c r="CY244" i="1"/>
  <c r="CX244" i="1"/>
  <c r="J820" i="1"/>
  <c r="BL244" i="1"/>
  <c r="BK244" i="1"/>
  <c r="DG243" i="1"/>
  <c r="M758" i="1"/>
  <c r="L758" i="1"/>
  <c r="DA243" i="1"/>
  <c r="CY243" i="1"/>
  <c r="CX243" i="1"/>
  <c r="J758" i="1"/>
  <c r="BL243" i="1"/>
  <c r="BK243" i="1"/>
  <c r="DG242" i="1"/>
  <c r="M743" i="1"/>
  <c r="L743" i="1"/>
  <c r="DA242" i="1"/>
  <c r="CY242" i="1"/>
  <c r="CX242" i="1"/>
  <c r="J743" i="1"/>
  <c r="BL242" i="1"/>
  <c r="BK242" i="1"/>
  <c r="DG241" i="1"/>
  <c r="M744" i="1"/>
  <c r="L744" i="1"/>
  <c r="DA241" i="1"/>
  <c r="CY241" i="1"/>
  <c r="CX241" i="1"/>
  <c r="J744" i="1"/>
  <c r="BL241" i="1"/>
  <c r="BK241" i="1"/>
  <c r="DG240" i="1"/>
  <c r="M745" i="1"/>
  <c r="L745" i="1"/>
  <c r="DA240" i="1"/>
  <c r="CY240" i="1"/>
  <c r="CX240" i="1"/>
  <c r="J745" i="1"/>
  <c r="BL240" i="1"/>
  <c r="BK240" i="1"/>
  <c r="DG239" i="1"/>
  <c r="M746" i="1"/>
  <c r="L746" i="1"/>
  <c r="DA239" i="1"/>
  <c r="CY239" i="1"/>
  <c r="CX239" i="1"/>
  <c r="J746" i="1"/>
  <c r="BL239" i="1"/>
  <c r="BK239" i="1"/>
  <c r="DG238" i="1"/>
  <c r="M747" i="1"/>
  <c r="L747" i="1"/>
  <c r="DA238" i="1"/>
  <c r="CY238" i="1"/>
  <c r="CX238" i="1"/>
  <c r="J747" i="1"/>
  <c r="BL238" i="1"/>
  <c r="BK238" i="1"/>
  <c r="DG237" i="1"/>
  <c r="M748" i="1"/>
  <c r="L748" i="1"/>
  <c r="DA237" i="1"/>
  <c r="CY237" i="1"/>
  <c r="CX237" i="1"/>
  <c r="J748" i="1"/>
  <c r="BL237" i="1"/>
  <c r="BK237" i="1"/>
  <c r="DG236" i="1"/>
  <c r="M2265" i="1"/>
  <c r="L2265" i="1"/>
  <c r="DA236" i="1"/>
  <c r="CY236" i="1"/>
  <c r="CX236" i="1"/>
  <c r="J2265" i="1"/>
  <c r="BL236" i="1"/>
  <c r="BK236" i="1"/>
  <c r="DG235" i="1"/>
  <c r="M750" i="1"/>
  <c r="L750" i="1"/>
  <c r="DA235" i="1"/>
  <c r="CY235" i="1"/>
  <c r="CX235" i="1"/>
  <c r="J750" i="1"/>
  <c r="BL235" i="1"/>
  <c r="BK235" i="1"/>
  <c r="DG234" i="1"/>
  <c r="M821" i="1"/>
  <c r="L821" i="1"/>
  <c r="DA234" i="1"/>
  <c r="CY234" i="1"/>
  <c r="CX234" i="1"/>
  <c r="J821" i="1"/>
  <c r="BL234" i="1"/>
  <c r="BK234" i="1"/>
  <c r="DG233" i="1"/>
  <c r="M751" i="1"/>
  <c r="L751" i="1"/>
  <c r="DA233" i="1"/>
  <c r="CY233" i="1"/>
  <c r="CX233" i="1"/>
  <c r="J751" i="1"/>
  <c r="BL233" i="1"/>
  <c r="BK233" i="1"/>
  <c r="DG232" i="1"/>
  <c r="M752" i="1"/>
  <c r="L752" i="1"/>
  <c r="DA232" i="1"/>
  <c r="CY232" i="1"/>
  <c r="CX232" i="1"/>
  <c r="J752" i="1"/>
  <c r="BL232" i="1"/>
  <c r="BK232" i="1"/>
  <c r="DG231" i="1"/>
  <c r="M753" i="1"/>
  <c r="L753" i="1"/>
  <c r="DA231" i="1"/>
  <c r="CY231" i="1"/>
  <c r="CX231" i="1"/>
  <c r="J753" i="1"/>
  <c r="BL231" i="1"/>
  <c r="BK231" i="1"/>
  <c r="DG230" i="1"/>
  <c r="M754" i="1"/>
  <c r="L754" i="1"/>
  <c r="DA230" i="1"/>
  <c r="CY230" i="1"/>
  <c r="CX230" i="1"/>
  <c r="J754" i="1"/>
  <c r="BL230" i="1"/>
  <c r="BK230" i="1"/>
  <c r="DG229" i="1"/>
  <c r="M755" i="1"/>
  <c r="L755" i="1"/>
  <c r="DA229" i="1"/>
  <c r="CY229" i="1"/>
  <c r="CX229" i="1"/>
  <c r="J755" i="1"/>
  <c r="BL229" i="1"/>
  <c r="BK229" i="1"/>
  <c r="DG228" i="1"/>
  <c r="M756" i="1"/>
  <c r="L756" i="1"/>
  <c r="DA228" i="1"/>
  <c r="CY228" i="1"/>
  <c r="CX228" i="1"/>
  <c r="J756" i="1"/>
  <c r="BL228" i="1"/>
  <c r="BK228" i="1"/>
  <c r="DG227" i="1"/>
  <c r="M757" i="1"/>
  <c r="L757" i="1"/>
  <c r="DA227" i="1"/>
  <c r="CY227" i="1"/>
  <c r="CX227" i="1"/>
  <c r="J757" i="1"/>
  <c r="BL227" i="1"/>
  <c r="BK227" i="1"/>
  <c r="DG226" i="1"/>
  <c r="M759" i="1"/>
  <c r="L759" i="1"/>
  <c r="DA226" i="1"/>
  <c r="CY226" i="1"/>
  <c r="CX226" i="1"/>
  <c r="J759" i="1"/>
  <c r="BL226" i="1"/>
  <c r="BK226" i="1"/>
  <c r="DG225" i="1"/>
  <c r="M760" i="1"/>
  <c r="L760" i="1"/>
  <c r="DA225" i="1"/>
  <c r="CY225" i="1"/>
  <c r="CX225" i="1"/>
  <c r="J760" i="1"/>
  <c r="BL225" i="1"/>
  <c r="BK225" i="1"/>
  <c r="DG224" i="1"/>
  <c r="M761" i="1"/>
  <c r="L761" i="1"/>
  <c r="DA224" i="1"/>
  <c r="CY224" i="1"/>
  <c r="CX224" i="1"/>
  <c r="J761" i="1"/>
  <c r="BL224" i="1"/>
  <c r="BK224" i="1"/>
  <c r="DG223" i="1"/>
  <c r="M762" i="1"/>
  <c r="L762" i="1"/>
  <c r="DA223" i="1"/>
  <c r="CY223" i="1"/>
  <c r="CX223" i="1"/>
  <c r="J762" i="1"/>
  <c r="BL223" i="1"/>
  <c r="BK223" i="1"/>
  <c r="DG222" i="1"/>
  <c r="M763" i="1"/>
  <c r="L763" i="1"/>
  <c r="DA222" i="1"/>
  <c r="CY222" i="1"/>
  <c r="CX222" i="1"/>
  <c r="J763" i="1"/>
  <c r="BL222" i="1"/>
  <c r="BK222" i="1"/>
  <c r="DG221" i="1"/>
  <c r="M764" i="1"/>
  <c r="L764" i="1"/>
  <c r="DA221" i="1"/>
  <c r="CY221" i="1"/>
  <c r="CX221" i="1"/>
  <c r="J764" i="1"/>
  <c r="BL221" i="1"/>
  <c r="BK221" i="1"/>
  <c r="DG220" i="1"/>
  <c r="M1104" i="1"/>
  <c r="L1104" i="1"/>
  <c r="DA220" i="1"/>
  <c r="CY220" i="1"/>
  <c r="CX220" i="1"/>
  <c r="J1104" i="1"/>
  <c r="BL220" i="1"/>
  <c r="BK220" i="1"/>
  <c r="DG219" i="1"/>
  <c r="M766" i="1"/>
  <c r="L766" i="1"/>
  <c r="DA219" i="1"/>
  <c r="CY219" i="1"/>
  <c r="CX219" i="1"/>
  <c r="J766" i="1"/>
  <c r="BL219" i="1"/>
  <c r="BK219" i="1"/>
  <c r="DG218" i="1"/>
  <c r="M767" i="1"/>
  <c r="L767" i="1"/>
  <c r="DA218" i="1"/>
  <c r="CY218" i="1"/>
  <c r="CX218" i="1"/>
  <c r="J767" i="1"/>
  <c r="BL218" i="1"/>
  <c r="BK218" i="1"/>
  <c r="DG217" i="1"/>
  <c r="M768" i="1"/>
  <c r="L768" i="1"/>
  <c r="DA217" i="1"/>
  <c r="CY217" i="1"/>
  <c r="CX217" i="1"/>
  <c r="J768" i="1"/>
  <c r="BL217" i="1"/>
  <c r="BK217" i="1"/>
  <c r="DG216" i="1"/>
  <c r="M769" i="1"/>
  <c r="L769" i="1"/>
  <c r="DA216" i="1"/>
  <c r="CY216" i="1"/>
  <c r="CX216" i="1"/>
  <c r="J769" i="1"/>
  <c r="BL216" i="1"/>
  <c r="BK216" i="1"/>
  <c r="DG215" i="1"/>
  <c r="M770" i="1"/>
  <c r="L770" i="1"/>
  <c r="DA215" i="1"/>
  <c r="CY215" i="1"/>
  <c r="CX215" i="1"/>
  <c r="J770" i="1"/>
  <c r="BL215" i="1"/>
  <c r="BK215" i="1"/>
  <c r="DG214" i="1"/>
  <c r="M771" i="1"/>
  <c r="L771" i="1"/>
  <c r="DA214" i="1"/>
  <c r="CY214" i="1"/>
  <c r="CX214" i="1"/>
  <c r="J771" i="1"/>
  <c r="BL214" i="1"/>
  <c r="BK214" i="1"/>
  <c r="DG213" i="1"/>
  <c r="M772" i="1"/>
  <c r="L772" i="1"/>
  <c r="DA213" i="1"/>
  <c r="CY213" i="1"/>
  <c r="CX213" i="1"/>
  <c r="J772" i="1"/>
  <c r="BL213" i="1"/>
  <c r="BK213" i="1"/>
  <c r="DG212" i="1"/>
  <c r="M773" i="1"/>
  <c r="L773" i="1"/>
  <c r="DA212" i="1"/>
  <c r="CY212" i="1"/>
  <c r="CX212" i="1"/>
  <c r="J773" i="1"/>
  <c r="BL212" i="1"/>
  <c r="BK212" i="1"/>
  <c r="DG211" i="1"/>
  <c r="M774" i="1"/>
  <c r="L774" i="1"/>
  <c r="DA211" i="1"/>
  <c r="CY211" i="1"/>
  <c r="CX211" i="1"/>
  <c r="J774" i="1"/>
  <c r="BL211" i="1"/>
  <c r="BK211" i="1"/>
  <c r="DG210" i="1"/>
  <c r="M775" i="1"/>
  <c r="L775" i="1"/>
  <c r="DA210" i="1"/>
  <c r="CY210" i="1"/>
  <c r="CX210" i="1"/>
  <c r="J775" i="1"/>
  <c r="BL210" i="1"/>
  <c r="BK210" i="1"/>
  <c r="DG209" i="1"/>
  <c r="M776" i="1"/>
  <c r="L776" i="1"/>
  <c r="DA209" i="1"/>
  <c r="CY209" i="1"/>
  <c r="CX209" i="1"/>
  <c r="J776" i="1"/>
  <c r="BL209" i="1"/>
  <c r="BK209" i="1"/>
  <c r="DG208" i="1"/>
  <c r="M777" i="1"/>
  <c r="L777" i="1"/>
  <c r="DA208" i="1"/>
  <c r="CY208" i="1"/>
  <c r="CX208" i="1"/>
  <c r="J777" i="1"/>
  <c r="BL208" i="1"/>
  <c r="BK208" i="1"/>
  <c r="DG207" i="1"/>
  <c r="M778" i="1"/>
  <c r="L778" i="1"/>
  <c r="DA207" i="1"/>
  <c r="CY207" i="1"/>
  <c r="CX207" i="1"/>
  <c r="J778" i="1"/>
  <c r="BL207" i="1"/>
  <c r="BK207" i="1"/>
  <c r="DG206" i="1"/>
  <c r="M779" i="1"/>
  <c r="L779" i="1"/>
  <c r="DA206" i="1"/>
  <c r="CY206" i="1"/>
  <c r="CX206" i="1"/>
  <c r="J779" i="1"/>
  <c r="BL206" i="1"/>
  <c r="BK206" i="1"/>
  <c r="DG205" i="1"/>
  <c r="M780" i="1"/>
  <c r="L780" i="1"/>
  <c r="DA205" i="1"/>
  <c r="CY205" i="1"/>
  <c r="CX205" i="1"/>
  <c r="J780" i="1"/>
  <c r="BL205" i="1"/>
  <c r="BK205" i="1"/>
  <c r="DG204" i="1"/>
  <c r="M3403" i="1"/>
  <c r="L3403" i="1"/>
  <c r="DA204" i="1"/>
  <c r="CY204" i="1"/>
  <c r="CX204" i="1"/>
  <c r="J3403" i="1"/>
  <c r="CW204" i="1"/>
  <c r="BL204" i="1"/>
  <c r="BK204" i="1"/>
  <c r="DG203" i="1"/>
  <c r="M782" i="1"/>
  <c r="L782" i="1"/>
  <c r="DA203" i="1"/>
  <c r="CY203" i="1"/>
  <c r="CX203" i="1"/>
  <c r="J782" i="1"/>
  <c r="BL203" i="1"/>
  <c r="BK203" i="1"/>
  <c r="DG202" i="1"/>
  <c r="M783" i="1"/>
  <c r="L783" i="1"/>
  <c r="DA202" i="1"/>
  <c r="CY202" i="1"/>
  <c r="CX202" i="1"/>
  <c r="J783" i="1"/>
  <c r="BL202" i="1"/>
  <c r="BK202" i="1"/>
  <c r="DG201" i="1"/>
  <c r="M784" i="1"/>
  <c r="L784" i="1"/>
  <c r="DA201" i="1"/>
  <c r="CY201" i="1"/>
  <c r="CX201" i="1"/>
  <c r="J784" i="1"/>
  <c r="BL201" i="1"/>
  <c r="BK201" i="1"/>
  <c r="DG200" i="1"/>
  <c r="M785" i="1"/>
  <c r="L785" i="1"/>
  <c r="DA200" i="1"/>
  <c r="CY200" i="1"/>
  <c r="CX200" i="1"/>
  <c r="J785" i="1"/>
  <c r="BL200" i="1"/>
  <c r="BK200" i="1"/>
  <c r="DG199" i="1"/>
  <c r="M786" i="1"/>
  <c r="L786" i="1"/>
  <c r="DA199" i="1"/>
  <c r="CY199" i="1"/>
  <c r="CX199" i="1"/>
  <c r="J786" i="1"/>
  <c r="BL199" i="1"/>
  <c r="BK199" i="1"/>
  <c r="DG198" i="1"/>
  <c r="M787" i="1"/>
  <c r="L787" i="1"/>
  <c r="DA198" i="1"/>
  <c r="CY198" i="1"/>
  <c r="CX198" i="1"/>
  <c r="J787" i="1"/>
  <c r="BL198" i="1"/>
  <c r="BK198" i="1"/>
  <c r="DG197" i="1"/>
  <c r="M788" i="1"/>
  <c r="L788" i="1"/>
  <c r="DA197" i="1"/>
  <c r="CY197" i="1"/>
  <c r="CX197" i="1"/>
  <c r="J788" i="1"/>
  <c r="BL197" i="1"/>
  <c r="BK197" i="1"/>
  <c r="DG196" i="1"/>
  <c r="M789" i="1"/>
  <c r="L789" i="1"/>
  <c r="DA196" i="1"/>
  <c r="CY196" i="1"/>
  <c r="CX196" i="1"/>
  <c r="J789" i="1"/>
  <c r="BL196" i="1"/>
  <c r="BK196" i="1"/>
  <c r="DG195" i="1"/>
  <c r="M790" i="1"/>
  <c r="L790" i="1"/>
  <c r="DA195" i="1"/>
  <c r="CY195" i="1"/>
  <c r="CX195" i="1"/>
  <c r="J790" i="1"/>
  <c r="BL195" i="1"/>
  <c r="BK195" i="1"/>
  <c r="DG194" i="1"/>
  <c r="M791" i="1"/>
  <c r="L791" i="1"/>
  <c r="DA194" i="1"/>
  <c r="CY194" i="1"/>
  <c r="CX194" i="1"/>
  <c r="J791" i="1"/>
  <c r="BL194" i="1"/>
  <c r="BK194" i="1"/>
  <c r="DG193" i="1"/>
  <c r="M792" i="1"/>
  <c r="L792" i="1"/>
  <c r="DA193" i="1"/>
  <c r="CY193" i="1"/>
  <c r="CX193" i="1"/>
  <c r="J792" i="1"/>
  <c r="BL193" i="1"/>
  <c r="BK193" i="1"/>
  <c r="DG192" i="1"/>
  <c r="M793" i="1"/>
  <c r="L793" i="1"/>
  <c r="DA192" i="1"/>
  <c r="CY192" i="1"/>
  <c r="CX192" i="1"/>
  <c r="J793" i="1"/>
  <c r="BL192" i="1"/>
  <c r="BK192" i="1"/>
  <c r="DG191" i="1"/>
  <c r="M794" i="1"/>
  <c r="L794" i="1"/>
  <c r="DA191" i="1"/>
  <c r="CY191" i="1"/>
  <c r="CX191" i="1"/>
  <c r="J794" i="1"/>
  <c r="BL191" i="1"/>
  <c r="BK191" i="1"/>
  <c r="DG190" i="1"/>
  <c r="M822" i="1"/>
  <c r="L822" i="1"/>
  <c r="DA190" i="1"/>
  <c r="CY190" i="1"/>
  <c r="CX190" i="1"/>
  <c r="J822" i="1"/>
  <c r="BL190" i="1"/>
  <c r="BK190" i="1"/>
  <c r="DG189" i="1"/>
  <c r="M823" i="1"/>
  <c r="L823" i="1"/>
  <c r="DA189" i="1"/>
  <c r="CY189" i="1"/>
  <c r="CX189" i="1"/>
  <c r="J823" i="1"/>
  <c r="BL189" i="1"/>
  <c r="BK189" i="1"/>
  <c r="DG188" i="1"/>
  <c r="M133" i="1"/>
  <c r="L133" i="1"/>
  <c r="DA188" i="1"/>
  <c r="CY188" i="1"/>
  <c r="CX188" i="1"/>
  <c r="J133" i="1"/>
  <c r="BL188" i="1"/>
  <c r="BK188" i="1"/>
  <c r="DG187" i="1"/>
  <c r="M825" i="1"/>
  <c r="L825" i="1"/>
  <c r="DA187" i="1"/>
  <c r="CY187" i="1"/>
  <c r="CX187" i="1"/>
  <c r="J825" i="1"/>
  <c r="BL187" i="1"/>
  <c r="BK187" i="1"/>
  <c r="DG186" i="1"/>
  <c r="M826" i="1"/>
  <c r="L826" i="1"/>
  <c r="DA186" i="1"/>
  <c r="CY186" i="1"/>
  <c r="CX186" i="1"/>
  <c r="J826" i="1"/>
  <c r="BL186" i="1"/>
  <c r="BK186" i="1"/>
  <c r="DG185" i="1"/>
  <c r="M827" i="1"/>
  <c r="L827" i="1"/>
  <c r="DA185" i="1"/>
  <c r="CY185" i="1"/>
  <c r="CX185" i="1"/>
  <c r="J827" i="1"/>
  <c r="BL185" i="1"/>
  <c r="BK185" i="1"/>
  <c r="DG184" i="1"/>
  <c r="M828" i="1"/>
  <c r="L828" i="1"/>
  <c r="DA184" i="1"/>
  <c r="CY184" i="1"/>
  <c r="CX184" i="1"/>
  <c r="J828" i="1"/>
  <c r="BL184" i="1"/>
  <c r="BK184" i="1"/>
  <c r="DG183" i="1"/>
  <c r="M829" i="1"/>
  <c r="L829" i="1"/>
  <c r="DA183" i="1"/>
  <c r="CY183" i="1"/>
  <c r="CX183" i="1"/>
  <c r="J829" i="1"/>
  <c r="BL183" i="1"/>
  <c r="BK183" i="1"/>
  <c r="DG182" i="1"/>
  <c r="M830" i="1"/>
  <c r="L830" i="1"/>
  <c r="DA182" i="1"/>
  <c r="CY182" i="1"/>
  <c r="CX182" i="1"/>
  <c r="J830" i="1"/>
  <c r="BL182" i="1"/>
  <c r="BK182" i="1"/>
  <c r="DG181" i="1"/>
  <c r="M831" i="1"/>
  <c r="L831" i="1"/>
  <c r="DA181" i="1"/>
  <c r="CY181" i="1"/>
  <c r="CX181" i="1"/>
  <c r="J831" i="1"/>
  <c r="BL181" i="1"/>
  <c r="BK181" i="1"/>
  <c r="DG180" i="1"/>
  <c r="M832" i="1"/>
  <c r="L832" i="1"/>
  <c r="DA180" i="1"/>
  <c r="CY180" i="1"/>
  <c r="CX180" i="1"/>
  <c r="J832" i="1"/>
  <c r="BL180" i="1"/>
  <c r="BK180" i="1"/>
  <c r="DG179" i="1"/>
  <c r="M833" i="1"/>
  <c r="L833" i="1"/>
  <c r="DA179" i="1"/>
  <c r="CY179" i="1"/>
  <c r="CX179" i="1"/>
  <c r="J833" i="1"/>
  <c r="BL179" i="1"/>
  <c r="BK179" i="1"/>
  <c r="DG178" i="1"/>
  <c r="M834" i="1"/>
  <c r="L834" i="1"/>
  <c r="DA178" i="1"/>
  <c r="CY178" i="1"/>
  <c r="CX178" i="1"/>
  <c r="J834" i="1"/>
  <c r="BL178" i="1"/>
  <c r="BK178" i="1"/>
  <c r="DG177" i="1"/>
  <c r="M835" i="1"/>
  <c r="L835" i="1"/>
  <c r="DA177" i="1"/>
  <c r="CY177" i="1"/>
  <c r="CX177" i="1"/>
  <c r="J835" i="1"/>
  <c r="BL177" i="1"/>
  <c r="BK177" i="1"/>
  <c r="DG176" i="1"/>
  <c r="M836" i="1"/>
  <c r="L836" i="1"/>
  <c r="DA176" i="1"/>
  <c r="CY176" i="1"/>
  <c r="CX176" i="1"/>
  <c r="J836" i="1"/>
  <c r="BL176" i="1"/>
  <c r="BK176" i="1"/>
  <c r="DG175" i="1"/>
  <c r="M837" i="1"/>
  <c r="L837" i="1"/>
  <c r="DA175" i="1"/>
  <c r="CY175" i="1"/>
  <c r="CX175" i="1"/>
  <c r="J837" i="1"/>
  <c r="BL175" i="1"/>
  <c r="BK175" i="1"/>
  <c r="DG174" i="1"/>
  <c r="M838" i="1"/>
  <c r="L838" i="1"/>
  <c r="DA174" i="1"/>
  <c r="CY174" i="1"/>
  <c r="CX174" i="1"/>
  <c r="J838" i="1"/>
  <c r="BL174" i="1"/>
  <c r="BK174" i="1"/>
  <c r="DG173" i="1"/>
  <c r="M839" i="1"/>
  <c r="L839" i="1"/>
  <c r="DA173" i="1"/>
  <c r="CY173" i="1"/>
  <c r="CX173" i="1"/>
  <c r="J839" i="1"/>
  <c r="BL173" i="1"/>
  <c r="BK173" i="1"/>
  <c r="DG172" i="1"/>
  <c r="M840" i="1"/>
  <c r="L840" i="1"/>
  <c r="DA172" i="1"/>
  <c r="CY172" i="1"/>
  <c r="CX172" i="1"/>
  <c r="J840" i="1"/>
  <c r="BL172" i="1"/>
  <c r="BK172" i="1"/>
  <c r="DG171" i="1"/>
  <c r="M841" i="1"/>
  <c r="L841" i="1"/>
  <c r="DA171" i="1"/>
  <c r="CY171" i="1"/>
  <c r="CX171" i="1"/>
  <c r="J841" i="1"/>
  <c r="BL171" i="1"/>
  <c r="BK171" i="1"/>
  <c r="DG170" i="1"/>
  <c r="M842" i="1"/>
  <c r="L842" i="1"/>
  <c r="DA170" i="1"/>
  <c r="CY170" i="1"/>
  <c r="CX170" i="1"/>
  <c r="J842" i="1"/>
  <c r="BL170" i="1"/>
  <c r="BK170" i="1"/>
  <c r="DG169" i="1"/>
  <c r="M843" i="1"/>
  <c r="L843" i="1"/>
  <c r="DA169" i="1"/>
  <c r="CY169" i="1"/>
  <c r="CX169" i="1"/>
  <c r="J843" i="1"/>
  <c r="BL169" i="1"/>
  <c r="BK169" i="1"/>
  <c r="DG168" i="1"/>
  <c r="M844" i="1"/>
  <c r="L844" i="1"/>
  <c r="DA168" i="1"/>
  <c r="CY168" i="1"/>
  <c r="CX168" i="1"/>
  <c r="J844" i="1"/>
  <c r="BL168" i="1"/>
  <c r="BK168" i="1"/>
  <c r="DG167" i="1"/>
  <c r="M845" i="1"/>
  <c r="L845" i="1"/>
  <c r="DA167" i="1"/>
  <c r="CY167" i="1"/>
  <c r="CX167" i="1"/>
  <c r="J845" i="1"/>
  <c r="BL167" i="1"/>
  <c r="BK167" i="1"/>
  <c r="DG166" i="1"/>
  <c r="M846" i="1"/>
  <c r="L846" i="1"/>
  <c r="DA166" i="1"/>
  <c r="CY166" i="1"/>
  <c r="CX166" i="1"/>
  <c r="J846" i="1"/>
  <c r="BL166" i="1"/>
  <c r="BK166" i="1"/>
  <c r="DG165" i="1"/>
  <c r="M847" i="1"/>
  <c r="L847" i="1"/>
  <c r="DA165" i="1"/>
  <c r="CY165" i="1"/>
  <c r="CX165" i="1"/>
  <c r="J847" i="1"/>
  <c r="BL165" i="1"/>
  <c r="BK165" i="1"/>
  <c r="DG164" i="1"/>
  <c r="M848" i="1"/>
  <c r="L848" i="1"/>
  <c r="DA164" i="1"/>
  <c r="CY164" i="1"/>
  <c r="CX164" i="1"/>
  <c r="J848" i="1"/>
  <c r="BL164" i="1"/>
  <c r="BK164" i="1"/>
  <c r="DG163" i="1"/>
  <c r="M849" i="1"/>
  <c r="L849" i="1"/>
  <c r="DA163" i="1"/>
  <c r="CY163" i="1"/>
  <c r="CX163" i="1"/>
  <c r="J849" i="1"/>
  <c r="BL163" i="1"/>
  <c r="BK163" i="1"/>
  <c r="DG162" i="1"/>
  <c r="M850" i="1"/>
  <c r="L850" i="1"/>
  <c r="DA162" i="1"/>
  <c r="CY162" i="1"/>
  <c r="CX162" i="1"/>
  <c r="J850" i="1"/>
  <c r="BL162" i="1"/>
  <c r="BK162" i="1"/>
  <c r="DG161" i="1"/>
  <c r="M851" i="1"/>
  <c r="L851" i="1"/>
  <c r="DA161" i="1"/>
  <c r="CY161" i="1"/>
  <c r="CX161" i="1"/>
  <c r="J851" i="1"/>
  <c r="BL161" i="1"/>
  <c r="BK161" i="1"/>
  <c r="DG160" i="1"/>
  <c r="M852" i="1"/>
  <c r="L852" i="1"/>
  <c r="DA160" i="1"/>
  <c r="CY160" i="1"/>
  <c r="CX160" i="1"/>
  <c r="J852" i="1"/>
  <c r="BL160" i="1"/>
  <c r="BK160" i="1"/>
  <c r="DG159" i="1"/>
  <c r="M853" i="1"/>
  <c r="L853" i="1"/>
  <c r="DA159" i="1"/>
  <c r="CY159" i="1"/>
  <c r="CX159" i="1"/>
  <c r="J853" i="1"/>
  <c r="BL159" i="1"/>
  <c r="BK159" i="1"/>
  <c r="DG158" i="1"/>
  <c r="M854" i="1"/>
  <c r="L854" i="1"/>
  <c r="DA158" i="1"/>
  <c r="CY158" i="1"/>
  <c r="CX158" i="1"/>
  <c r="J854" i="1"/>
  <c r="BL158" i="1"/>
  <c r="BK158" i="1"/>
  <c r="DG157" i="1"/>
  <c r="M855" i="1"/>
  <c r="L855" i="1"/>
  <c r="DA157" i="1"/>
  <c r="CY157" i="1"/>
  <c r="CX157" i="1"/>
  <c r="J855" i="1"/>
  <c r="BL157" i="1"/>
  <c r="BK157" i="1"/>
  <c r="DG156" i="1"/>
  <c r="M71" i="1"/>
  <c r="L71" i="1"/>
  <c r="DA156" i="1"/>
  <c r="CY156" i="1"/>
  <c r="CX156" i="1"/>
  <c r="J71" i="1"/>
  <c r="BL156" i="1"/>
  <c r="BK156" i="1"/>
  <c r="DG155" i="1"/>
  <c r="M857" i="1"/>
  <c r="L857" i="1"/>
  <c r="DA155" i="1"/>
  <c r="CY155" i="1"/>
  <c r="CX155" i="1"/>
  <c r="J857" i="1"/>
  <c r="BL155" i="1"/>
  <c r="BK155" i="1"/>
  <c r="DG154" i="1"/>
  <c r="M858" i="1"/>
  <c r="L858" i="1"/>
  <c r="DA154" i="1"/>
  <c r="CY154" i="1"/>
  <c r="CX154" i="1"/>
  <c r="J858" i="1"/>
  <c r="BL154" i="1"/>
  <c r="BK154" i="1"/>
  <c r="DG153" i="1"/>
  <c r="M859" i="1"/>
  <c r="L859" i="1"/>
  <c r="DA153" i="1"/>
  <c r="CY153" i="1"/>
  <c r="CX153" i="1"/>
  <c r="J859" i="1"/>
  <c r="BL153" i="1"/>
  <c r="BK153" i="1"/>
  <c r="DG152" i="1"/>
  <c r="M860" i="1"/>
  <c r="L860" i="1"/>
  <c r="DA152" i="1"/>
  <c r="CY152" i="1"/>
  <c r="CX152" i="1"/>
  <c r="J860" i="1"/>
  <c r="BL152" i="1"/>
  <c r="BK152" i="1"/>
  <c r="DG151" i="1"/>
  <c r="M861" i="1"/>
  <c r="L861" i="1"/>
  <c r="DA151" i="1"/>
  <c r="CY151" i="1"/>
  <c r="CX151" i="1"/>
  <c r="J861" i="1"/>
  <c r="BL151" i="1"/>
  <c r="BK151" i="1"/>
  <c r="DG150" i="1"/>
  <c r="M862" i="1"/>
  <c r="L862" i="1"/>
  <c r="DA150" i="1"/>
  <c r="CY150" i="1"/>
  <c r="CX150" i="1"/>
  <c r="J862" i="1"/>
  <c r="BL150" i="1"/>
  <c r="BK150" i="1"/>
  <c r="DG149" i="1"/>
  <c r="M863" i="1"/>
  <c r="L863" i="1"/>
  <c r="DA149" i="1"/>
  <c r="CY149" i="1"/>
  <c r="CX149" i="1"/>
  <c r="J863" i="1"/>
  <c r="BL149" i="1"/>
  <c r="BK149" i="1"/>
  <c r="DG148" i="1"/>
  <c r="M864" i="1"/>
  <c r="L864" i="1"/>
  <c r="DA148" i="1"/>
  <c r="CY148" i="1"/>
  <c r="CX148" i="1"/>
  <c r="J864" i="1"/>
  <c r="BL148" i="1"/>
  <c r="BK148" i="1"/>
  <c r="DG147" i="1"/>
  <c r="M865" i="1"/>
  <c r="L865" i="1"/>
  <c r="DA147" i="1"/>
  <c r="CY147" i="1"/>
  <c r="CX147" i="1"/>
  <c r="J865" i="1"/>
  <c r="BL147" i="1"/>
  <c r="BK147" i="1"/>
  <c r="DG146" i="1"/>
  <c r="M866" i="1"/>
  <c r="L866" i="1"/>
  <c r="DA146" i="1"/>
  <c r="CY146" i="1"/>
  <c r="CX146" i="1"/>
  <c r="J866" i="1"/>
  <c r="BL146" i="1"/>
  <c r="BK146" i="1"/>
  <c r="DG145" i="1"/>
  <c r="M867" i="1"/>
  <c r="L867" i="1"/>
  <c r="DA145" i="1"/>
  <c r="CY145" i="1"/>
  <c r="CX145" i="1"/>
  <c r="J867" i="1"/>
  <c r="BL145" i="1"/>
  <c r="BK145" i="1"/>
  <c r="DG144" i="1"/>
  <c r="M868" i="1"/>
  <c r="L868" i="1"/>
  <c r="DA144" i="1"/>
  <c r="CY144" i="1"/>
  <c r="CX144" i="1"/>
  <c r="J868" i="1"/>
  <c r="BL144" i="1"/>
  <c r="BK144" i="1"/>
  <c r="DG143" i="1"/>
  <c r="M869" i="1"/>
  <c r="L869" i="1"/>
  <c r="DA143" i="1"/>
  <c r="CY143" i="1"/>
  <c r="CX143" i="1"/>
  <c r="J869" i="1"/>
  <c r="BL143" i="1"/>
  <c r="BK143" i="1"/>
  <c r="DG142" i="1"/>
  <c r="M870" i="1"/>
  <c r="L870" i="1"/>
  <c r="DA142" i="1"/>
  <c r="CY142" i="1"/>
  <c r="CX142" i="1"/>
  <c r="J870" i="1"/>
  <c r="BL142" i="1"/>
  <c r="BK142" i="1"/>
  <c r="DG141" i="1"/>
  <c r="M871" i="1"/>
  <c r="L871" i="1"/>
  <c r="DA141" i="1"/>
  <c r="CY141" i="1"/>
  <c r="CX141" i="1"/>
  <c r="J871" i="1"/>
  <c r="BL141" i="1"/>
  <c r="BK141" i="1"/>
  <c r="DG140" i="1"/>
  <c r="M872" i="1"/>
  <c r="L872" i="1"/>
  <c r="DA140" i="1"/>
  <c r="CY140" i="1"/>
  <c r="CX140" i="1"/>
  <c r="J872" i="1"/>
  <c r="BL140" i="1"/>
  <c r="BK140" i="1"/>
  <c r="DG139" i="1"/>
  <c r="M873" i="1"/>
  <c r="L873" i="1"/>
  <c r="DA139" i="1"/>
  <c r="CY139" i="1"/>
  <c r="CX139" i="1"/>
  <c r="J873" i="1"/>
  <c r="BL139" i="1"/>
  <c r="BK139" i="1"/>
  <c r="DG138" i="1"/>
  <c r="M874" i="1"/>
  <c r="L874" i="1"/>
  <c r="DA138" i="1"/>
  <c r="CY138" i="1"/>
  <c r="CX138" i="1"/>
  <c r="J874" i="1"/>
  <c r="BL138" i="1"/>
  <c r="BK138" i="1"/>
  <c r="DG137" i="1"/>
  <c r="M875" i="1"/>
  <c r="L875" i="1"/>
  <c r="DA137" i="1"/>
  <c r="CY137" i="1"/>
  <c r="CX137" i="1"/>
  <c r="J875" i="1"/>
  <c r="BL137" i="1"/>
  <c r="BK137" i="1"/>
  <c r="DG136" i="1"/>
  <c r="M876" i="1"/>
  <c r="L876" i="1"/>
  <c r="DA136" i="1"/>
  <c r="CY136" i="1"/>
  <c r="CX136" i="1"/>
  <c r="J876" i="1"/>
  <c r="BL136" i="1"/>
  <c r="BK136" i="1"/>
  <c r="DG135" i="1"/>
  <c r="M877" i="1"/>
  <c r="L877" i="1"/>
  <c r="DA135" i="1"/>
  <c r="CY135" i="1"/>
  <c r="CX135" i="1"/>
  <c r="J877" i="1"/>
  <c r="BL135" i="1"/>
  <c r="BK135" i="1"/>
  <c r="DG134" i="1"/>
  <c r="M878" i="1"/>
  <c r="L878" i="1"/>
  <c r="DA134" i="1"/>
  <c r="CY134" i="1"/>
  <c r="CX134" i="1"/>
  <c r="J878" i="1"/>
  <c r="BL134" i="1"/>
  <c r="BK134" i="1"/>
  <c r="DG133" i="1"/>
  <c r="M879" i="1"/>
  <c r="L879" i="1"/>
  <c r="DA133" i="1"/>
  <c r="CY133" i="1"/>
  <c r="CX133" i="1"/>
  <c r="J879" i="1"/>
  <c r="BL133" i="1"/>
  <c r="BK133" i="1"/>
  <c r="DG132" i="1"/>
  <c r="M880" i="1"/>
  <c r="L880" i="1"/>
  <c r="DA132" i="1"/>
  <c r="CY132" i="1"/>
  <c r="CX132" i="1"/>
  <c r="J880" i="1"/>
  <c r="BL132" i="1"/>
  <c r="BK132" i="1"/>
  <c r="DG131" i="1"/>
  <c r="M881" i="1"/>
  <c r="L881" i="1"/>
  <c r="DA131" i="1"/>
  <c r="CY131" i="1"/>
  <c r="CX131" i="1"/>
  <c r="J881" i="1"/>
  <c r="BL131" i="1"/>
  <c r="BK131" i="1"/>
  <c r="DG130" i="1"/>
  <c r="M882" i="1"/>
  <c r="L882" i="1"/>
  <c r="DA130" i="1"/>
  <c r="CY130" i="1"/>
  <c r="CX130" i="1"/>
  <c r="J882" i="1"/>
  <c r="BL130" i="1"/>
  <c r="BK130" i="1"/>
  <c r="DG129" i="1"/>
  <c r="M883" i="1"/>
  <c r="L883" i="1"/>
  <c r="DA129" i="1"/>
  <c r="CY129" i="1"/>
  <c r="CX129" i="1"/>
  <c r="J883" i="1"/>
  <c r="BL129" i="1"/>
  <c r="BK129" i="1"/>
  <c r="DG128" i="1"/>
  <c r="M884" i="1"/>
  <c r="L884" i="1"/>
  <c r="DA128" i="1"/>
  <c r="CY128" i="1"/>
  <c r="CX128" i="1"/>
  <c r="J884" i="1"/>
  <c r="BL128" i="1"/>
  <c r="BK128" i="1"/>
  <c r="DG127" i="1"/>
  <c r="M885" i="1"/>
  <c r="L885" i="1"/>
  <c r="DA127" i="1"/>
  <c r="CY127" i="1"/>
  <c r="CX127" i="1"/>
  <c r="J885" i="1"/>
  <c r="BL127" i="1"/>
  <c r="BK127" i="1"/>
  <c r="DG126" i="1"/>
  <c r="M886" i="1"/>
  <c r="L886" i="1"/>
  <c r="DA126" i="1"/>
  <c r="CY126" i="1"/>
  <c r="CX126" i="1"/>
  <c r="J886" i="1"/>
  <c r="BL126" i="1"/>
  <c r="BK126" i="1"/>
  <c r="DG125" i="1"/>
  <c r="M887" i="1"/>
  <c r="L887" i="1"/>
  <c r="DA125" i="1"/>
  <c r="CY125" i="1"/>
  <c r="CX125" i="1"/>
  <c r="J887" i="1"/>
  <c r="BL125" i="1"/>
  <c r="BK125" i="1"/>
  <c r="DG124" i="1"/>
  <c r="M888" i="1"/>
  <c r="L888" i="1"/>
  <c r="DA124" i="1"/>
  <c r="CY124" i="1"/>
  <c r="CX124" i="1"/>
  <c r="J888" i="1"/>
  <c r="BL124" i="1"/>
  <c r="BK124" i="1"/>
  <c r="DG123" i="1"/>
  <c r="M889" i="1"/>
  <c r="L889" i="1"/>
  <c r="DA123" i="1"/>
  <c r="CY123" i="1"/>
  <c r="CX123" i="1"/>
  <c r="J889" i="1"/>
  <c r="BL123" i="1"/>
  <c r="BK123" i="1"/>
  <c r="DG122" i="1"/>
  <c r="M890" i="1"/>
  <c r="L890" i="1"/>
  <c r="DA122" i="1"/>
  <c r="CY122" i="1"/>
  <c r="CX122" i="1"/>
  <c r="J890" i="1"/>
  <c r="BL122" i="1"/>
  <c r="BK122" i="1"/>
  <c r="DG121" i="1"/>
  <c r="M891" i="1"/>
  <c r="L891" i="1"/>
  <c r="DA121" i="1"/>
  <c r="CY121" i="1"/>
  <c r="CX121" i="1"/>
  <c r="J891" i="1"/>
  <c r="BL121" i="1"/>
  <c r="BK121" i="1"/>
  <c r="DG120" i="1"/>
  <c r="M892" i="1"/>
  <c r="L892" i="1"/>
  <c r="DA120" i="1"/>
  <c r="CY120" i="1"/>
  <c r="CX120" i="1"/>
  <c r="J892" i="1"/>
  <c r="BL120" i="1"/>
  <c r="BK120" i="1"/>
  <c r="DG119" i="1"/>
  <c r="M893" i="1"/>
  <c r="L893" i="1"/>
  <c r="DA119" i="1"/>
  <c r="CY119" i="1"/>
  <c r="CX119" i="1"/>
  <c r="J893" i="1"/>
  <c r="BL119" i="1"/>
  <c r="BK119" i="1"/>
  <c r="DG118" i="1"/>
  <c r="M894" i="1"/>
  <c r="L894" i="1"/>
  <c r="DA118" i="1"/>
  <c r="CY118" i="1"/>
  <c r="CX118" i="1"/>
  <c r="J894" i="1"/>
  <c r="BL118" i="1"/>
  <c r="BK118" i="1"/>
  <c r="DG117" i="1"/>
  <c r="M895" i="1"/>
  <c r="L895" i="1"/>
  <c r="DA117" i="1"/>
  <c r="CY117" i="1"/>
  <c r="CX117" i="1"/>
  <c r="J895" i="1"/>
  <c r="BL117" i="1"/>
  <c r="BK117" i="1"/>
  <c r="DG116" i="1"/>
  <c r="M896" i="1"/>
  <c r="L896" i="1"/>
  <c r="DA116" i="1"/>
  <c r="CY116" i="1"/>
  <c r="CX116" i="1"/>
  <c r="J896" i="1"/>
  <c r="BL116" i="1"/>
  <c r="BK116" i="1"/>
  <c r="DG115" i="1"/>
  <c r="M897" i="1"/>
  <c r="L897" i="1"/>
  <c r="DA115" i="1"/>
  <c r="CY115" i="1"/>
  <c r="CX115" i="1"/>
  <c r="J897" i="1"/>
  <c r="BL115" i="1"/>
  <c r="BK115" i="1"/>
  <c r="DG114" i="1"/>
  <c r="M898" i="1"/>
  <c r="L898" i="1"/>
  <c r="DA114" i="1"/>
  <c r="CY114" i="1"/>
  <c r="CX114" i="1"/>
  <c r="J898" i="1"/>
  <c r="BL114" i="1"/>
  <c r="BK114" i="1"/>
  <c r="DG113" i="1"/>
  <c r="M899" i="1"/>
  <c r="L899" i="1"/>
  <c r="DA113" i="1"/>
  <c r="CY113" i="1"/>
  <c r="CX113" i="1"/>
  <c r="J899" i="1"/>
  <c r="BL113" i="1"/>
  <c r="BK113" i="1"/>
  <c r="DG112" i="1"/>
  <c r="M900" i="1"/>
  <c r="L900" i="1"/>
  <c r="DA112" i="1"/>
  <c r="CY112" i="1"/>
  <c r="CX112" i="1"/>
  <c r="J900" i="1"/>
  <c r="BL112" i="1"/>
  <c r="BK112" i="1"/>
  <c r="DG111" i="1"/>
  <c r="M901" i="1"/>
  <c r="L901" i="1"/>
  <c r="DA111" i="1"/>
  <c r="CY111" i="1"/>
  <c r="CX111" i="1"/>
  <c r="J901" i="1"/>
  <c r="BL111" i="1"/>
  <c r="BK111" i="1"/>
  <c r="DG110" i="1"/>
  <c r="M902" i="1"/>
  <c r="L902" i="1"/>
  <c r="DA110" i="1"/>
  <c r="CY110" i="1"/>
  <c r="CX110" i="1"/>
  <c r="J902" i="1"/>
  <c r="BL110" i="1"/>
  <c r="BK110" i="1"/>
  <c r="DG109" i="1"/>
  <c r="M903" i="1"/>
  <c r="L903" i="1"/>
  <c r="DA109" i="1"/>
  <c r="CY109" i="1"/>
  <c r="CX109" i="1"/>
  <c r="J903" i="1"/>
  <c r="BL109" i="1"/>
  <c r="BK109" i="1"/>
  <c r="DG108" i="1"/>
  <c r="M904" i="1"/>
  <c r="L904" i="1"/>
  <c r="DA108" i="1"/>
  <c r="CY108" i="1"/>
  <c r="CX108" i="1"/>
  <c r="J904" i="1"/>
  <c r="BL108" i="1"/>
  <c r="BK108" i="1"/>
  <c r="DG107" i="1"/>
  <c r="M905" i="1"/>
  <c r="L905" i="1"/>
  <c r="DA107" i="1"/>
  <c r="CY107" i="1"/>
  <c r="CX107" i="1"/>
  <c r="J905" i="1"/>
  <c r="BL107" i="1"/>
  <c r="BK107" i="1"/>
  <c r="DG106" i="1"/>
  <c r="M906" i="1"/>
  <c r="L906" i="1"/>
  <c r="DA106" i="1"/>
  <c r="CY106" i="1"/>
  <c r="CX106" i="1"/>
  <c r="J906" i="1"/>
  <c r="BL106" i="1"/>
  <c r="BK106" i="1"/>
  <c r="DG105" i="1"/>
  <c r="M907" i="1"/>
  <c r="L907" i="1"/>
  <c r="DA105" i="1"/>
  <c r="CY105" i="1"/>
  <c r="CX105" i="1"/>
  <c r="J907" i="1"/>
  <c r="BL105" i="1"/>
  <c r="BK105" i="1"/>
  <c r="DG104" i="1"/>
  <c r="M908" i="1"/>
  <c r="L908" i="1"/>
  <c r="DA104" i="1"/>
  <c r="CY104" i="1"/>
  <c r="CX104" i="1"/>
  <c r="J908" i="1"/>
  <c r="BL104" i="1"/>
  <c r="BK104" i="1"/>
  <c r="DG103" i="1"/>
  <c r="M909" i="1"/>
  <c r="L909" i="1"/>
  <c r="DA103" i="1"/>
  <c r="CY103" i="1"/>
  <c r="CX103" i="1"/>
  <c r="J909" i="1"/>
  <c r="BL103" i="1"/>
  <c r="BK103" i="1"/>
  <c r="DG102" i="1"/>
  <c r="M910" i="1"/>
  <c r="L910" i="1"/>
  <c r="DA102" i="1"/>
  <c r="CY102" i="1"/>
  <c r="CX102" i="1"/>
  <c r="J910" i="1"/>
  <c r="BL102" i="1"/>
  <c r="BK102" i="1"/>
  <c r="DG101" i="1"/>
  <c r="M911" i="1"/>
  <c r="L911" i="1"/>
  <c r="DA101" i="1"/>
  <c r="CY101" i="1"/>
  <c r="CX101" i="1"/>
  <c r="J911" i="1"/>
  <c r="BL101" i="1"/>
  <c r="BK101" i="1"/>
  <c r="DG100" i="1"/>
  <c r="M912" i="1"/>
  <c r="L912" i="1"/>
  <c r="DA100" i="1"/>
  <c r="CY100" i="1"/>
  <c r="CX100" i="1"/>
  <c r="J912" i="1"/>
  <c r="BL100" i="1"/>
  <c r="BK100" i="1"/>
  <c r="DG99" i="1"/>
  <c r="M913" i="1"/>
  <c r="L913" i="1"/>
  <c r="DA99" i="1"/>
  <c r="CY99" i="1"/>
  <c r="CX99" i="1"/>
  <c r="J913" i="1"/>
  <c r="BL99" i="1"/>
  <c r="BK99" i="1"/>
  <c r="DG98" i="1"/>
  <c r="M914" i="1"/>
  <c r="L914" i="1"/>
  <c r="DA98" i="1"/>
  <c r="CY98" i="1"/>
  <c r="CX98" i="1"/>
  <c r="J914" i="1"/>
  <c r="BL98" i="1"/>
  <c r="BK98" i="1"/>
  <c r="DG97" i="1"/>
  <c r="M915" i="1"/>
  <c r="L915" i="1"/>
  <c r="DA97" i="1"/>
  <c r="CY97" i="1"/>
  <c r="CX97" i="1"/>
  <c r="J915" i="1"/>
  <c r="BL97" i="1"/>
  <c r="BK97" i="1"/>
  <c r="DG96" i="1"/>
  <c r="M916" i="1"/>
  <c r="L916" i="1"/>
  <c r="DA96" i="1"/>
  <c r="CY96" i="1"/>
  <c r="CX96" i="1"/>
  <c r="J916" i="1"/>
  <c r="BL96" i="1"/>
  <c r="BK96" i="1"/>
  <c r="DG95" i="1"/>
  <c r="M917" i="1"/>
  <c r="L917" i="1"/>
  <c r="DA95" i="1"/>
  <c r="CY95" i="1"/>
  <c r="CX95" i="1"/>
  <c r="J917" i="1"/>
  <c r="BL95" i="1"/>
  <c r="BK95" i="1"/>
  <c r="DG94" i="1"/>
  <c r="M918" i="1"/>
  <c r="L918" i="1"/>
  <c r="DA94" i="1"/>
  <c r="CY94" i="1"/>
  <c r="CX94" i="1"/>
  <c r="J918" i="1"/>
  <c r="BL94" i="1"/>
  <c r="BK94" i="1"/>
  <c r="DG93" i="1"/>
  <c r="M919" i="1"/>
  <c r="L919" i="1"/>
  <c r="DA93" i="1"/>
  <c r="CY93" i="1"/>
  <c r="CX93" i="1"/>
  <c r="J919" i="1"/>
  <c r="BL93" i="1"/>
  <c r="BK93" i="1"/>
  <c r="DG92" i="1"/>
  <c r="M1828" i="1"/>
  <c r="L1828" i="1"/>
  <c r="DA92" i="1"/>
  <c r="CY92" i="1"/>
  <c r="CX92" i="1"/>
  <c r="J1828" i="1"/>
  <c r="BL92" i="1"/>
  <c r="BK92" i="1"/>
  <c r="DG91" i="1"/>
  <c r="M921" i="1"/>
  <c r="L921" i="1"/>
  <c r="DA91" i="1"/>
  <c r="CY91" i="1"/>
  <c r="CX91" i="1"/>
  <c r="J921" i="1"/>
  <c r="BL91" i="1"/>
  <c r="BK91" i="1"/>
  <c r="DG90" i="1"/>
  <c r="M922" i="1"/>
  <c r="L922" i="1"/>
  <c r="DA90" i="1"/>
  <c r="CY90" i="1"/>
  <c r="CX90" i="1"/>
  <c r="J922" i="1"/>
  <c r="BL90" i="1"/>
  <c r="BK90" i="1"/>
  <c r="DG89" i="1"/>
  <c r="M923" i="1"/>
  <c r="L923" i="1"/>
  <c r="DA89" i="1"/>
  <c r="CY89" i="1"/>
  <c r="CX89" i="1"/>
  <c r="J923" i="1"/>
  <c r="BL89" i="1"/>
  <c r="BK89" i="1"/>
  <c r="DG88" i="1"/>
  <c r="M924" i="1"/>
  <c r="L924" i="1"/>
  <c r="DA88" i="1"/>
  <c r="CY88" i="1"/>
  <c r="CX88" i="1"/>
  <c r="J924" i="1"/>
  <c r="BL88" i="1"/>
  <c r="BK88" i="1"/>
  <c r="DG87" i="1"/>
  <c r="M925" i="1"/>
  <c r="L925" i="1"/>
  <c r="DA87" i="1"/>
  <c r="CY87" i="1"/>
  <c r="CX87" i="1"/>
  <c r="J925" i="1"/>
  <c r="BL87" i="1"/>
  <c r="BK87" i="1"/>
  <c r="DG86" i="1"/>
  <c r="M926" i="1"/>
  <c r="L926" i="1"/>
  <c r="DA86" i="1"/>
  <c r="CY86" i="1"/>
  <c r="CX86" i="1"/>
  <c r="J926" i="1"/>
  <c r="BL86" i="1"/>
  <c r="BK86" i="1"/>
  <c r="DG85" i="1"/>
  <c r="M927" i="1"/>
  <c r="L927" i="1"/>
  <c r="DA85" i="1"/>
  <c r="CY85" i="1"/>
  <c r="CX85" i="1"/>
  <c r="J927" i="1"/>
  <c r="BL85" i="1"/>
  <c r="BK85" i="1"/>
  <c r="DG84" i="1"/>
  <c r="M928" i="1"/>
  <c r="L928" i="1"/>
  <c r="DA84" i="1"/>
  <c r="CY84" i="1"/>
  <c r="CX84" i="1"/>
  <c r="J928" i="1"/>
  <c r="BL84" i="1"/>
  <c r="BK84" i="1"/>
  <c r="DG83" i="1"/>
  <c r="M929" i="1"/>
  <c r="L929" i="1"/>
  <c r="DA83" i="1"/>
  <c r="CY83" i="1"/>
  <c r="CX83" i="1"/>
  <c r="J929" i="1"/>
  <c r="BL83" i="1"/>
  <c r="BK83" i="1"/>
  <c r="DG82" i="1"/>
  <c r="M930" i="1"/>
  <c r="L930" i="1"/>
  <c r="DA82" i="1"/>
  <c r="CY82" i="1"/>
  <c r="CX82" i="1"/>
  <c r="J930" i="1"/>
  <c r="BL82" i="1"/>
  <c r="BK82" i="1"/>
  <c r="DG81" i="1"/>
  <c r="M931" i="1"/>
  <c r="L931" i="1"/>
  <c r="DA81" i="1"/>
  <c r="CY81" i="1"/>
  <c r="CX81" i="1"/>
  <c r="J931" i="1"/>
  <c r="BL81" i="1"/>
  <c r="BK81" i="1"/>
  <c r="DG80" i="1"/>
  <c r="M932" i="1"/>
  <c r="L932" i="1"/>
  <c r="DA80" i="1"/>
  <c r="CY80" i="1"/>
  <c r="CX80" i="1"/>
  <c r="J932" i="1"/>
  <c r="BL80" i="1"/>
  <c r="BK80" i="1"/>
  <c r="DG79" i="1"/>
  <c r="M933" i="1"/>
  <c r="L933" i="1"/>
  <c r="DA79" i="1"/>
  <c r="CY79" i="1"/>
  <c r="CX79" i="1"/>
  <c r="J933" i="1"/>
  <c r="BL79" i="1"/>
  <c r="BK79" i="1"/>
  <c r="DG78" i="1"/>
  <c r="M934" i="1"/>
  <c r="L934" i="1"/>
  <c r="DA78" i="1"/>
  <c r="CY78" i="1"/>
  <c r="CX78" i="1"/>
  <c r="J934" i="1"/>
  <c r="BL78" i="1"/>
  <c r="BK78" i="1"/>
  <c r="DG77" i="1"/>
  <c r="M935" i="1"/>
  <c r="L935" i="1"/>
  <c r="DA77" i="1"/>
  <c r="CY77" i="1"/>
  <c r="CX77" i="1"/>
  <c r="J935" i="1"/>
  <c r="BL77" i="1"/>
  <c r="BK77" i="1"/>
  <c r="DG76" i="1"/>
  <c r="M1827" i="1"/>
  <c r="L1827" i="1"/>
  <c r="DA76" i="1"/>
  <c r="CY76" i="1"/>
  <c r="CX76" i="1"/>
  <c r="J1827" i="1"/>
  <c r="BL76" i="1"/>
  <c r="BK76" i="1"/>
  <c r="DG75" i="1"/>
  <c r="M937" i="1"/>
  <c r="L937" i="1"/>
  <c r="DA75" i="1"/>
  <c r="CY75" i="1"/>
  <c r="CX75" i="1"/>
  <c r="J937" i="1"/>
  <c r="BL75" i="1"/>
  <c r="BK75" i="1"/>
  <c r="DG74" i="1"/>
  <c r="M938" i="1"/>
  <c r="L938" i="1"/>
  <c r="DA74" i="1"/>
  <c r="CY74" i="1"/>
  <c r="CX74" i="1"/>
  <c r="J938" i="1"/>
  <c r="BL74" i="1"/>
  <c r="BK74" i="1"/>
  <c r="DG73" i="1"/>
  <c r="M939" i="1"/>
  <c r="L939" i="1"/>
  <c r="DA73" i="1"/>
  <c r="CY73" i="1"/>
  <c r="CX73" i="1"/>
  <c r="J939" i="1"/>
  <c r="BL73" i="1"/>
  <c r="BK73" i="1"/>
  <c r="DG72" i="1"/>
  <c r="M940" i="1"/>
  <c r="L940" i="1"/>
  <c r="DA72" i="1"/>
  <c r="CY72" i="1"/>
  <c r="CX72" i="1"/>
  <c r="J940" i="1"/>
  <c r="BL72" i="1"/>
  <c r="BK72" i="1"/>
  <c r="DG71" i="1"/>
  <c r="M941" i="1"/>
  <c r="L941" i="1"/>
  <c r="DA71" i="1"/>
  <c r="CY71" i="1"/>
  <c r="CX71" i="1"/>
  <c r="J941" i="1"/>
  <c r="BL71" i="1"/>
  <c r="BK71" i="1"/>
  <c r="DG70" i="1"/>
  <c r="M942" i="1"/>
  <c r="L942" i="1"/>
  <c r="DA70" i="1"/>
  <c r="CY70" i="1"/>
  <c r="CX70" i="1"/>
  <c r="J942" i="1"/>
  <c r="BL70" i="1"/>
  <c r="BK70" i="1"/>
  <c r="DG69" i="1"/>
  <c r="M943" i="1"/>
  <c r="L943" i="1"/>
  <c r="DA69" i="1"/>
  <c r="CY69" i="1"/>
  <c r="CX69" i="1"/>
  <c r="J943" i="1"/>
  <c r="BL69" i="1"/>
  <c r="BK69" i="1"/>
  <c r="DG68" i="1"/>
  <c r="M944" i="1"/>
  <c r="L944" i="1"/>
  <c r="DA68" i="1"/>
  <c r="CY68" i="1"/>
  <c r="CX68" i="1"/>
  <c r="J944" i="1"/>
  <c r="BL68" i="1"/>
  <c r="BK68" i="1"/>
  <c r="DG67" i="1"/>
  <c r="M945" i="1"/>
  <c r="L945" i="1"/>
  <c r="DA67" i="1"/>
  <c r="CY67" i="1"/>
  <c r="CX67" i="1"/>
  <c r="J945" i="1"/>
  <c r="BL67" i="1"/>
  <c r="BK67" i="1"/>
  <c r="DG66" i="1"/>
  <c r="M946" i="1"/>
  <c r="L946" i="1"/>
  <c r="DA66" i="1"/>
  <c r="CY66" i="1"/>
  <c r="CX66" i="1"/>
  <c r="J946" i="1"/>
  <c r="BL66" i="1"/>
  <c r="BK66" i="1"/>
  <c r="DG65" i="1"/>
  <c r="M947" i="1"/>
  <c r="L947" i="1"/>
  <c r="DA65" i="1"/>
  <c r="CY65" i="1"/>
  <c r="CX65" i="1"/>
  <c r="J947" i="1"/>
  <c r="BL65" i="1"/>
  <c r="BK65" i="1"/>
  <c r="DG64" i="1"/>
  <c r="M3977" i="1"/>
  <c r="L3977" i="1"/>
  <c r="CY64" i="1"/>
  <c r="CX64" i="1"/>
  <c r="J3977" i="1"/>
  <c r="CW64" i="1"/>
  <c r="BL64" i="1"/>
  <c r="BK64" i="1"/>
  <c r="DG63" i="1"/>
  <c r="M949" i="1"/>
  <c r="L949" i="1"/>
  <c r="DA63" i="1"/>
  <c r="CY63" i="1"/>
  <c r="CX63" i="1"/>
  <c r="J949" i="1"/>
  <c r="BL63" i="1"/>
  <c r="BK63" i="1"/>
  <c r="DG62" i="1"/>
  <c r="M950" i="1"/>
  <c r="L950" i="1"/>
  <c r="DA62" i="1"/>
  <c r="CY62" i="1"/>
  <c r="CX62" i="1"/>
  <c r="J950" i="1"/>
  <c r="BL62" i="1"/>
  <c r="BK62" i="1"/>
  <c r="DG61" i="1"/>
  <c r="M951" i="1"/>
  <c r="L951" i="1"/>
  <c r="DA61" i="1"/>
  <c r="CY61" i="1"/>
  <c r="CX61" i="1"/>
  <c r="J951" i="1"/>
  <c r="BL61" i="1"/>
  <c r="BK61" i="1"/>
  <c r="DG60" i="1"/>
  <c r="M1009" i="1"/>
  <c r="L1009" i="1"/>
  <c r="DA60" i="1"/>
  <c r="CY60" i="1"/>
  <c r="CX60" i="1"/>
  <c r="J1009" i="1"/>
  <c r="BL60" i="1"/>
  <c r="BK60" i="1"/>
  <c r="DG59" i="1"/>
  <c r="M953" i="1"/>
  <c r="L953" i="1"/>
  <c r="DA59" i="1"/>
  <c r="CY59" i="1"/>
  <c r="CX59" i="1"/>
  <c r="J953" i="1"/>
  <c r="BL59" i="1"/>
  <c r="BK59" i="1"/>
  <c r="DG58" i="1"/>
  <c r="M954" i="1"/>
  <c r="L954" i="1"/>
  <c r="DA58" i="1"/>
  <c r="CY58" i="1"/>
  <c r="CX58" i="1"/>
  <c r="J954" i="1"/>
  <c r="BL58" i="1"/>
  <c r="BK58" i="1"/>
  <c r="DG57" i="1"/>
  <c r="M955" i="1"/>
  <c r="L955" i="1"/>
  <c r="DA57" i="1"/>
  <c r="CY57" i="1"/>
  <c r="CX57" i="1"/>
  <c r="J955" i="1"/>
  <c r="BL57" i="1"/>
  <c r="BK57" i="1"/>
  <c r="DG56" i="1"/>
  <c r="M956" i="1"/>
  <c r="L956" i="1"/>
  <c r="DA56" i="1"/>
  <c r="CY56" i="1"/>
  <c r="CX56" i="1"/>
  <c r="J956" i="1"/>
  <c r="BL56" i="1"/>
  <c r="BK56" i="1"/>
  <c r="DG55" i="1"/>
  <c r="M957" i="1"/>
  <c r="L957" i="1"/>
  <c r="DA55" i="1"/>
  <c r="CY55" i="1"/>
  <c r="CX55" i="1"/>
  <c r="J957" i="1"/>
  <c r="BL55" i="1"/>
  <c r="BK55" i="1"/>
  <c r="DG54" i="1"/>
  <c r="M958" i="1"/>
  <c r="L958" i="1"/>
  <c r="DA54" i="1"/>
  <c r="CY54" i="1"/>
  <c r="CX54" i="1"/>
  <c r="J958" i="1"/>
  <c r="BL54" i="1"/>
  <c r="BK54" i="1"/>
  <c r="DG53" i="1"/>
  <c r="M959" i="1"/>
  <c r="L959" i="1"/>
  <c r="DA53" i="1"/>
  <c r="CY53" i="1"/>
  <c r="CX53" i="1"/>
  <c r="J959" i="1"/>
  <c r="BL53" i="1"/>
  <c r="BK53" i="1"/>
  <c r="DG52" i="1"/>
  <c r="M960" i="1"/>
  <c r="L960" i="1"/>
  <c r="DA52" i="1"/>
  <c r="CY52" i="1"/>
  <c r="CX52" i="1"/>
  <c r="J960" i="1"/>
  <c r="BL52" i="1"/>
  <c r="BK52" i="1"/>
  <c r="DG51" i="1"/>
  <c r="M961" i="1"/>
  <c r="L961" i="1"/>
  <c r="DA51" i="1"/>
  <c r="CY51" i="1"/>
  <c r="CX51" i="1"/>
  <c r="J961" i="1"/>
  <c r="BL51" i="1"/>
  <c r="BK51" i="1"/>
  <c r="DG50" i="1"/>
  <c r="M962" i="1"/>
  <c r="L962" i="1"/>
  <c r="DA50" i="1"/>
  <c r="CY50" i="1"/>
  <c r="CX50" i="1"/>
  <c r="J962" i="1"/>
  <c r="BL50" i="1"/>
  <c r="BK50" i="1"/>
  <c r="DG49" i="1"/>
  <c r="M963" i="1"/>
  <c r="L963" i="1"/>
  <c r="DA49" i="1"/>
  <c r="CY49" i="1"/>
  <c r="CX49" i="1"/>
  <c r="J963" i="1"/>
  <c r="BL49" i="1"/>
  <c r="BK49" i="1"/>
  <c r="DG48" i="1"/>
  <c r="M964" i="1"/>
  <c r="L964" i="1"/>
  <c r="DA48" i="1"/>
  <c r="CY48" i="1"/>
  <c r="CX48" i="1"/>
  <c r="J964" i="1"/>
  <c r="BL48" i="1"/>
  <c r="BK48" i="1"/>
  <c r="DG47" i="1"/>
  <c r="M965" i="1"/>
  <c r="L965" i="1"/>
  <c r="DA47" i="1"/>
  <c r="CY47" i="1"/>
  <c r="CX47" i="1"/>
  <c r="J965" i="1"/>
  <c r="BL47" i="1"/>
  <c r="BK47" i="1"/>
  <c r="DG46" i="1"/>
  <c r="M966" i="1"/>
  <c r="L966" i="1"/>
  <c r="DA46" i="1"/>
  <c r="CY46" i="1"/>
  <c r="CX46" i="1"/>
  <c r="J966" i="1"/>
  <c r="BL46" i="1"/>
  <c r="BK46" i="1"/>
  <c r="DG45" i="1"/>
  <c r="M967" i="1"/>
  <c r="L967" i="1"/>
  <c r="DA45" i="1"/>
  <c r="CY45" i="1"/>
  <c r="CX45" i="1"/>
  <c r="J967" i="1"/>
  <c r="BL45" i="1"/>
  <c r="BK45" i="1"/>
  <c r="DG44" i="1"/>
  <c r="M968" i="1"/>
  <c r="L968" i="1"/>
  <c r="DA44" i="1"/>
  <c r="CY44" i="1"/>
  <c r="CX44" i="1"/>
  <c r="J968" i="1"/>
  <c r="BL44" i="1"/>
  <c r="BK44" i="1"/>
  <c r="DG43" i="1"/>
  <c r="M969" i="1"/>
  <c r="L969" i="1"/>
  <c r="DA43" i="1"/>
  <c r="CY43" i="1"/>
  <c r="CX43" i="1"/>
  <c r="J969" i="1"/>
  <c r="BL43" i="1"/>
  <c r="BK43" i="1"/>
  <c r="DG42" i="1"/>
  <c r="M970" i="1"/>
  <c r="L970" i="1"/>
  <c r="DA42" i="1"/>
  <c r="CY42" i="1"/>
  <c r="CX42" i="1"/>
  <c r="J970" i="1"/>
  <c r="BL42" i="1"/>
  <c r="BK42" i="1"/>
  <c r="DG41" i="1"/>
  <c r="M971" i="1"/>
  <c r="L971" i="1"/>
  <c r="DA41" i="1"/>
  <c r="CY41" i="1"/>
  <c r="CX41" i="1"/>
  <c r="J971" i="1"/>
  <c r="BL41" i="1"/>
  <c r="BK41" i="1"/>
  <c r="DG40" i="1"/>
  <c r="M972" i="1"/>
  <c r="L972" i="1"/>
  <c r="DA40" i="1"/>
  <c r="CY40" i="1"/>
  <c r="CX40" i="1"/>
  <c r="J972" i="1"/>
  <c r="BL40" i="1"/>
  <c r="BK40" i="1"/>
  <c r="DG39" i="1"/>
  <c r="M973" i="1"/>
  <c r="L973" i="1"/>
  <c r="DA39" i="1"/>
  <c r="CY39" i="1"/>
  <c r="CX39" i="1"/>
  <c r="J973" i="1"/>
  <c r="BL39" i="1"/>
  <c r="BK39" i="1"/>
  <c r="DG38" i="1"/>
  <c r="M974" i="1"/>
  <c r="L974" i="1"/>
  <c r="DA38" i="1"/>
  <c r="CY38" i="1"/>
  <c r="CX38" i="1"/>
  <c r="J974" i="1"/>
  <c r="BL38" i="1"/>
  <c r="BK38" i="1"/>
  <c r="DG37" i="1"/>
  <c r="M975" i="1"/>
  <c r="L975" i="1"/>
  <c r="DA37" i="1"/>
  <c r="CY37" i="1"/>
  <c r="CX37" i="1"/>
  <c r="J975" i="1"/>
  <c r="BL37" i="1"/>
  <c r="BK37" i="1"/>
  <c r="DG36" i="1"/>
  <c r="M976" i="1"/>
  <c r="L976" i="1"/>
  <c r="DA36" i="1"/>
  <c r="CY36" i="1"/>
  <c r="CX36" i="1"/>
  <c r="J976" i="1"/>
  <c r="BL36" i="1"/>
  <c r="BK36" i="1"/>
  <c r="DG35" i="1"/>
  <c r="M977" i="1"/>
  <c r="L977" i="1"/>
  <c r="DA35" i="1"/>
  <c r="CY35" i="1"/>
  <c r="CX35" i="1"/>
  <c r="J977" i="1"/>
  <c r="BL35" i="1"/>
  <c r="BK35" i="1"/>
  <c r="DG34" i="1"/>
  <c r="M978" i="1"/>
  <c r="L978" i="1"/>
  <c r="DA34" i="1"/>
  <c r="CY34" i="1"/>
  <c r="CX34" i="1"/>
  <c r="J978" i="1"/>
  <c r="BL34" i="1"/>
  <c r="BK34" i="1"/>
  <c r="DG33" i="1"/>
  <c r="M979" i="1"/>
  <c r="L979" i="1"/>
  <c r="DA33" i="1"/>
  <c r="CY33" i="1"/>
  <c r="CX33" i="1"/>
  <c r="J979" i="1"/>
  <c r="BL33" i="1"/>
  <c r="BK33" i="1"/>
  <c r="DG32" i="1"/>
  <c r="M980" i="1"/>
  <c r="L980" i="1"/>
  <c r="DA32" i="1"/>
  <c r="CY32" i="1"/>
  <c r="CX32" i="1"/>
  <c r="J980" i="1"/>
  <c r="BL32" i="1"/>
  <c r="BK32" i="1"/>
  <c r="DG31" i="1"/>
  <c r="M981" i="1"/>
  <c r="L981" i="1"/>
  <c r="DA31" i="1"/>
  <c r="CY31" i="1"/>
  <c r="CX31" i="1"/>
  <c r="J981" i="1"/>
  <c r="BL31" i="1"/>
  <c r="BK31" i="1"/>
  <c r="DG30" i="1"/>
  <c r="M982" i="1"/>
  <c r="L982" i="1"/>
  <c r="DA30" i="1"/>
  <c r="CY30" i="1"/>
  <c r="CX30" i="1"/>
  <c r="J982" i="1"/>
  <c r="BL30" i="1"/>
  <c r="BK30" i="1"/>
  <c r="DG29" i="1"/>
  <c r="M983" i="1"/>
  <c r="L983" i="1"/>
  <c r="DA29" i="1"/>
  <c r="CY29" i="1"/>
  <c r="CX29" i="1"/>
  <c r="J983" i="1"/>
  <c r="BL29" i="1"/>
  <c r="BK29" i="1"/>
  <c r="DG28" i="1"/>
  <c r="M1006" i="1"/>
  <c r="L1006" i="1"/>
  <c r="DA28" i="1"/>
  <c r="CY28" i="1"/>
  <c r="CX28" i="1"/>
  <c r="J1006" i="1"/>
  <c r="BL28" i="1"/>
  <c r="BK28" i="1"/>
  <c r="DG27" i="1"/>
  <c r="M985" i="1"/>
  <c r="L985" i="1"/>
  <c r="DA27" i="1"/>
  <c r="CY27" i="1"/>
  <c r="CX27" i="1"/>
  <c r="J985" i="1"/>
  <c r="BL27" i="1"/>
  <c r="BK27" i="1"/>
  <c r="DG26" i="1"/>
  <c r="M986" i="1"/>
  <c r="L986" i="1"/>
  <c r="DA26" i="1"/>
  <c r="CY26" i="1"/>
  <c r="CX26" i="1"/>
  <c r="J986" i="1"/>
  <c r="BL26" i="1"/>
  <c r="BK26" i="1"/>
  <c r="DG25" i="1"/>
  <c r="M987" i="1"/>
  <c r="L987" i="1"/>
  <c r="DA25" i="1"/>
  <c r="CY25" i="1"/>
  <c r="CX25" i="1"/>
  <c r="J987" i="1"/>
  <c r="BL25" i="1"/>
  <c r="BK25" i="1"/>
  <c r="DG24" i="1"/>
  <c r="M988" i="1"/>
  <c r="L988" i="1"/>
  <c r="DA24" i="1"/>
  <c r="CY24" i="1"/>
  <c r="CX24" i="1"/>
  <c r="J988" i="1"/>
  <c r="BL24" i="1"/>
  <c r="BK24" i="1"/>
  <c r="DG23" i="1"/>
  <c r="M989" i="1"/>
  <c r="L989" i="1"/>
  <c r="DA23" i="1"/>
  <c r="CY23" i="1"/>
  <c r="CX23" i="1"/>
  <c r="J989" i="1"/>
  <c r="BL23" i="1"/>
  <c r="BK23" i="1"/>
  <c r="DG22" i="1"/>
  <c r="M990" i="1"/>
  <c r="L990" i="1"/>
  <c r="DA22" i="1"/>
  <c r="CY22" i="1"/>
  <c r="CX22" i="1"/>
  <c r="J990" i="1"/>
  <c r="BL22" i="1"/>
  <c r="BK22" i="1"/>
  <c r="DG21" i="1"/>
  <c r="M991" i="1"/>
  <c r="L991" i="1"/>
  <c r="DA21" i="1"/>
  <c r="CY21" i="1"/>
  <c r="CX21" i="1"/>
  <c r="J991" i="1"/>
  <c r="BL21" i="1"/>
  <c r="BK21" i="1"/>
  <c r="DG20" i="1"/>
  <c r="M992" i="1"/>
  <c r="L992" i="1"/>
  <c r="DA20" i="1"/>
  <c r="CY20" i="1"/>
  <c r="CX20" i="1"/>
  <c r="J992" i="1"/>
  <c r="BL20" i="1"/>
  <c r="BK20" i="1"/>
  <c r="DG19" i="1"/>
  <c r="M993" i="1"/>
  <c r="L993" i="1"/>
  <c r="DA19" i="1"/>
  <c r="CY19" i="1"/>
  <c r="CX19" i="1"/>
  <c r="J993" i="1"/>
  <c r="BL19" i="1"/>
  <c r="BK19" i="1"/>
  <c r="DG18" i="1"/>
  <c r="M994" i="1"/>
  <c r="L994" i="1"/>
  <c r="DA18" i="1"/>
  <c r="CY18" i="1"/>
  <c r="CX18" i="1"/>
  <c r="J994" i="1"/>
  <c r="BL18" i="1"/>
  <c r="BK18" i="1"/>
  <c r="DG17" i="1"/>
  <c r="M995" i="1"/>
  <c r="L995" i="1"/>
  <c r="DA17" i="1"/>
  <c r="CY17" i="1"/>
  <c r="CX17" i="1"/>
  <c r="J995" i="1"/>
  <c r="BL17" i="1"/>
  <c r="BK17" i="1"/>
  <c r="DG16" i="1"/>
  <c r="M996" i="1"/>
  <c r="L996" i="1"/>
  <c r="DA16" i="1"/>
  <c r="CY16" i="1"/>
  <c r="CX16" i="1"/>
  <c r="J996" i="1"/>
  <c r="BL16" i="1"/>
  <c r="BK16" i="1"/>
  <c r="DG15" i="1"/>
  <c r="M997" i="1"/>
  <c r="L997" i="1"/>
  <c r="DA15" i="1"/>
  <c r="CY15" i="1"/>
  <c r="CX15" i="1"/>
  <c r="J997" i="1"/>
  <c r="BL15" i="1"/>
  <c r="BK15" i="1"/>
  <c r="DG14" i="1"/>
  <c r="M998" i="1"/>
  <c r="L998" i="1"/>
  <c r="DA14" i="1"/>
  <c r="CY14" i="1"/>
  <c r="CX14" i="1"/>
  <c r="J998" i="1"/>
  <c r="BL14" i="1"/>
  <c r="BK14" i="1"/>
  <c r="DG13" i="1"/>
  <c r="M999" i="1"/>
  <c r="L999" i="1"/>
  <c r="DA13" i="1"/>
  <c r="CY13" i="1"/>
  <c r="CX13" i="1"/>
  <c r="J999" i="1"/>
  <c r="BL13" i="1"/>
  <c r="BK13" i="1"/>
  <c r="DG12" i="1"/>
  <c r="M1000" i="1"/>
  <c r="L1000" i="1"/>
  <c r="DA12" i="1"/>
  <c r="CY12" i="1"/>
  <c r="CX12" i="1"/>
  <c r="J1000" i="1"/>
  <c r="BL12" i="1"/>
  <c r="BK12" i="1"/>
  <c r="DG11" i="1"/>
  <c r="M1001" i="1"/>
  <c r="L1001" i="1"/>
  <c r="DA11" i="1"/>
  <c r="CY11" i="1"/>
  <c r="CX11" i="1"/>
  <c r="J1001" i="1"/>
  <c r="BL11" i="1"/>
  <c r="BK11" i="1"/>
  <c r="DG10" i="1"/>
  <c r="M3988" i="1"/>
  <c r="L3988" i="1"/>
  <c r="CY10" i="1"/>
  <c r="CX10" i="1"/>
  <c r="J3988" i="1"/>
  <c r="CW10" i="1"/>
  <c r="BL10" i="1"/>
  <c r="BK10" i="1"/>
  <c r="DG9" i="1"/>
  <c r="M3985" i="1"/>
  <c r="L3985" i="1"/>
  <c r="CY9" i="1"/>
  <c r="CX9" i="1"/>
  <c r="J3985" i="1"/>
  <c r="CW9" i="1"/>
  <c r="BL9" i="1"/>
  <c r="BK9" i="1"/>
  <c r="DG8" i="1"/>
  <c r="M3980" i="1"/>
  <c r="L3980" i="1"/>
  <c r="CY8" i="1"/>
  <c r="CX8" i="1"/>
  <c r="J3980" i="1"/>
  <c r="CW8" i="1"/>
  <c r="BL8" i="1"/>
  <c r="BK8" i="1"/>
  <c r="DG7" i="1"/>
  <c r="M3983" i="1"/>
  <c r="L3983" i="1"/>
  <c r="CY7" i="1"/>
  <c r="CX7" i="1"/>
  <c r="J3983" i="1"/>
  <c r="CW7" i="1"/>
  <c r="BL7" i="1"/>
  <c r="BK7" i="1"/>
  <c r="DG6" i="1"/>
  <c r="M3982" i="1"/>
  <c r="L3982" i="1"/>
  <c r="CY6" i="1"/>
  <c r="CX6" i="1"/>
  <c r="J3982" i="1"/>
  <c r="CW6" i="1"/>
  <c r="BL6" i="1"/>
  <c r="BK6" i="1"/>
  <c r="DG5" i="1"/>
  <c r="M3986" i="1"/>
  <c r="L3986" i="1"/>
  <c r="CY5" i="1"/>
  <c r="CX5" i="1"/>
  <c r="J3986" i="1"/>
  <c r="CW5" i="1"/>
  <c r="BL5" i="1"/>
  <c r="BK5" i="1"/>
  <c r="DG4" i="1"/>
  <c r="M3981" i="1"/>
  <c r="L3981" i="1"/>
  <c r="CY4" i="1"/>
  <c r="CX4" i="1"/>
  <c r="J3981" i="1"/>
  <c r="CW4" i="1"/>
  <c r="BL4" i="1"/>
  <c r="BK4" i="1"/>
  <c r="DG3" i="1"/>
  <c r="M3987" i="1"/>
  <c r="L3987" i="1"/>
  <c r="CY3" i="1"/>
  <c r="CX3" i="1"/>
  <c r="J3987" i="1"/>
  <c r="CW3" i="1"/>
  <c r="BL3" i="1"/>
  <c r="BK3" i="1"/>
  <c r="DG2" i="1"/>
  <c r="M3984" i="1"/>
  <c r="L3984" i="1"/>
  <c r="CY2" i="1"/>
  <c r="CX2" i="1"/>
  <c r="J3984" i="1"/>
  <c r="CW2" i="1"/>
  <c r="BL2" i="1"/>
  <c r="BK2" i="1"/>
</calcChain>
</file>

<file path=xl/sharedStrings.xml><?xml version="1.0" encoding="utf-8"?>
<sst xmlns="http://schemas.openxmlformats.org/spreadsheetml/2006/main" count="361824" uniqueCount="7282">
  <si>
    <t>資産ID</t>
  </si>
  <si>
    <t>資産名</t>
  </si>
  <si>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</si>
  <si>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</si>
  <si>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</si>
  <si>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</si>
  <si>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</si>
  <si>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</si>
  <si>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</si>
  <si>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</si>
  <si>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</si>
  <si>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</si>
  <si>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</si>
  <si>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</si>
  <si>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</si>
  <si>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</si>
  <si>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</si>
  <si>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</si>
  <si>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</si>
  <si>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</si>
  <si>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</si>
  <si>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</si>
  <si>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</si>
  <si>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</si>
  <si>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</si>
  <si>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</si>
  <si>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</si>
  <si>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</si>
  <si>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</si>
  <si>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</si>
  <si>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</si>
  <si>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</si>
  <si>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</si>
  <si>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</si>
  <si>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</si>
  <si>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</si>
  <si>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</si>
  <si>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</si>
  <si>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</si>
  <si>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</si>
  <si>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</si>
  <si>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</si>
  <si>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</si>
  <si>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</si>
  <si>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</si>
  <si>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</si>
  <si>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</si>
  <si>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</si>
  <si>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</si>
  <si>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</si>
  <si>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</si>
  <si>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</si>
  <si>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</si>
  <si>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</si>
  <si>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</si>
  <si>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</si>
  <si>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</si>
  <si>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</si>
  <si>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</si>
  <si>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</si>
  <si>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</si>
  <si>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</si>
  <si>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</si>
  <si>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</si>
  <si>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</si>
  <si>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</si>
  <si>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</si>
  <si>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</si>
  <si>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</si>
  <si>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</si>
  <si>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</si>
  <si>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</si>
  <si>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</si>
  <si>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</si>
  <si>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</si>
  <si>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</si>
  <si>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</si>
  <si>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</si>
  <si>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</si>
  <si>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</si>
  <si>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</si>
  <si>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</si>
  <si>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</si>
  <si>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</si>
  <si>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</si>
  <si>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</si>
  <si>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</si>
  <si>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</si>
  <si>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</si>
  <si>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</si>
  <si>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</si>
  <si>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</si>
  <si>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</si>
  <si>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</si>
  <si>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</si>
  <si>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</si>
  <si>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</si>
  <si>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</si>
  <si>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</si>
  <si>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時価等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</si>
  <si>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</si>
  <si>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</si>
  <si>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</si>
  <si>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</si>
  <si>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</si>
  <si>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</si>
  <si>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</si>
  <si>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</si>
  <si>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</si>
  <si>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</si>
  <si>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</si>
  <si>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</si>
  <si>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</si>
  <si>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</si>
  <si>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</si>
  <si>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</si>
  <si>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</si>
  <si>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</si>
  <si>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</si>
  <si>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</si>
  <si>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</si>
  <si>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</si>
  <si>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</si>
  <si>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</si>
  <si>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自由入力１</t>
  </si>
  <si>
    <t>自由入力２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</si>
  <si>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</si>
  <si>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</si>
  <si>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</si>
  <si>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</si>
  <si>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</si>
  <si>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</si>
  <si>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</si>
  <si>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</si>
  <si>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</si>
  <si>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</si>
  <si>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</si>
  <si>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</si>
  <si>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</si>
  <si>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</si>
  <si>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</si>
  <si>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</si>
  <si>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</si>
  <si>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</si>
  <si>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</si>
  <si>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</si>
  <si>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</si>
  <si>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</si>
  <si>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</si>
  <si>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</si>
  <si>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</si>
  <si>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</si>
  <si>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</si>
  <si>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</si>
  <si>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</si>
  <si>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</si>
  <si>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</si>
  <si>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</si>
  <si>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</si>
  <si>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</si>
  <si>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</si>
  <si>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</si>
  <si>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</si>
  <si>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</si>
  <si>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</si>
  <si>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</si>
  <si>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</si>
  <si>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</si>
  <si>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</si>
  <si>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</si>
  <si>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</si>
  <si>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</si>
  <si>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</si>
  <si>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</si>
  <si>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</si>
  <si>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</si>
  <si>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</si>
  <si>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</si>
  <si>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</si>
  <si>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</si>
  <si>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</si>
  <si>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</si>
  <si>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</si>
  <si>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</si>
  <si>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</si>
  <si>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</si>
  <si>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</si>
  <si>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</si>
  <si>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</si>
  <si>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</si>
  <si>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</si>
  <si>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</si>
  <si>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</si>
  <si>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</si>
  <si>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</si>
  <si>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ストック情報調査区分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</si>
  <si>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</si>
  <si>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</si>
  <si>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</si>
  <si>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</si>
  <si>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</si>
  <si>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</si>
  <si>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</si>
  <si>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</si>
  <si>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</si>
  <si>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</si>
  <si>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</si>
  <si>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</si>
  <si>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</si>
  <si>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</si>
  <si>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</si>
  <si>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</si>
  <si>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</si>
  <si>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</si>
  <si>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</si>
  <si>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</si>
  <si>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</si>
  <si>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</si>
  <si>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</si>
  <si>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</si>
  <si>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</si>
  <si>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</si>
  <si>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</si>
  <si>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</si>
  <si>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</si>
  <si>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</si>
  <si>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</si>
  <si>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</si>
  <si>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</si>
  <si>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</si>
  <si>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</si>
  <si>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</si>
  <si>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</si>
  <si>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</si>
  <si>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</si>
  <si>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</si>
  <si>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</si>
  <si>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</si>
  <si>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</si>
  <si>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工作物明細一覧</t>
  </si>
  <si>
    <t/>
  </si>
  <si>
    <t>大網4号線　道路整備事業（平成30年度～令和５年度）</t>
  </si>
  <si>
    <t>41:インフラ資産／土地</t>
  </si>
  <si>
    <t>0:その他</t>
  </si>
  <si>
    <t>1:生活インフラ・国土保全（生活インフラ・国土保全）</t>
  </si>
  <si>
    <t>1040100000:建設総務課</t>
  </si>
  <si>
    <t>1040200000:道路課</t>
  </si>
  <si>
    <t>2024/03/26</t>
  </si>
  <si>
    <t>0:通常</t>
  </si>
  <si>
    <t>100</t>
  </si>
  <si>
    <t>迫町佐沼字大網　地内</t>
  </si>
  <si>
    <t>0:計上対象</t>
  </si>
  <si>
    <t>0:通常資産</t>
  </si>
  <si>
    <t>0:自己資産</t>
  </si>
  <si>
    <t>1:行政財産</t>
  </si>
  <si>
    <t>0:売却不可資産</t>
  </si>
  <si>
    <t>2023</t>
  </si>
  <si>
    <t>24:新規（本勘定振替）</t>
  </si>
  <si>
    <t>001</t>
  </si>
  <si>
    <t>01</t>
  </si>
  <si>
    <t>0</t>
  </si>
  <si>
    <t>1:償却対象でない</t>
  </si>
  <si>
    <t>0:翌年度から開始</t>
  </si>
  <si>
    <t>1:一円残しする</t>
  </si>
  <si>
    <t>0:新規資産</t>
  </si>
  <si>
    <t>60</t>
  </si>
  <si>
    <t>99:その他</t>
  </si>
  <si>
    <t>新田駅前・山ノ神線　道路整備事業（平成28年度～令和元年度）</t>
  </si>
  <si>
    <t>2020/03/12</t>
  </si>
  <si>
    <t>迫町新田字狼ノ欠　地内</t>
  </si>
  <si>
    <t>2024/03/31</t>
  </si>
  <si>
    <t>辺室山中道線　道路整備事業（令和３年度～令和５年度）</t>
  </si>
  <si>
    <t>2024/02/08</t>
  </si>
  <si>
    <t>登米町寺池辺室山　地内</t>
  </si>
  <si>
    <t>桜岡善王寺境線　道路整備事業（平成28年度～平成30年度）</t>
  </si>
  <si>
    <t>2019/03/30</t>
  </si>
  <si>
    <t>米山町字桜岡　地内</t>
  </si>
  <si>
    <t>蒜畑線　道路整備事業（平成30年度～令和５年度）</t>
  </si>
  <si>
    <t>2023/12/04</t>
  </si>
  <si>
    <t>東和町米川　地内</t>
  </si>
  <si>
    <t>北大畑3号線　道路整備事業（平成28年度～令和５年度）</t>
  </si>
  <si>
    <t>2024/02/09</t>
  </si>
  <si>
    <t>南方町大畑　地内</t>
  </si>
  <si>
    <t>野出来千才線　道路整備事業（平成27年度～令和５年度）</t>
  </si>
  <si>
    <t>2023/11/30</t>
  </si>
  <si>
    <t>石越町南郷字前久保　地内</t>
  </si>
  <si>
    <t>堀米・下川面線　道路整備事業（平成25年度～令和５年度）</t>
  </si>
  <si>
    <t>2024/03/29</t>
  </si>
  <si>
    <t>中田町浅水　地内</t>
  </si>
  <si>
    <t>柳津駅前1号線　用地購入事業（平成29年度～平成30年度）</t>
  </si>
  <si>
    <t>11100</t>
  </si>
  <si>
    <t>2017/12/06</t>
  </si>
  <si>
    <t>津山町柳津　地内</t>
  </si>
  <si>
    <t>0:一円残ししない</t>
  </si>
  <si>
    <t>土地明細一覧</t>
  </si>
  <si>
    <t>公衆用道路</t>
  </si>
  <si>
    <t>1:道路河川及び水路の敷地</t>
  </si>
  <si>
    <t>002018:公衆用道路</t>
  </si>
  <si>
    <t>1900/01/01</t>
  </si>
  <si>
    <t>2016/03/31</t>
  </si>
  <si>
    <t>東和町米谷字楼台91</t>
  </si>
  <si>
    <t>2015</t>
  </si>
  <si>
    <t>25:訂正</t>
  </si>
  <si>
    <t>3104:運用開始時</t>
  </si>
  <si>
    <t>9:評価しない</t>
  </si>
  <si>
    <t>0:個別評価</t>
  </si>
  <si>
    <t>1050000:事業用／土地</t>
  </si>
  <si>
    <t xml:space="preserve">0: </t>
  </si>
  <si>
    <t>01:平方メートル</t>
  </si>
  <si>
    <t>11:公衆用道路</t>
  </si>
  <si>
    <t>0750001</t>
  </si>
  <si>
    <t>260</t>
  </si>
  <si>
    <t>1</t>
  </si>
  <si>
    <t>東和町米谷字楼台90</t>
  </si>
  <si>
    <t>259</t>
  </si>
  <si>
    <t>東和町米谷字楼台89</t>
  </si>
  <si>
    <t>258</t>
  </si>
  <si>
    <t>東和町米谷字楼台88</t>
  </si>
  <si>
    <t>257</t>
  </si>
  <si>
    <t>東和町米谷字楼台87</t>
  </si>
  <si>
    <t>256</t>
  </si>
  <si>
    <t>東和町米谷字楼台86</t>
  </si>
  <si>
    <t>255</t>
  </si>
  <si>
    <t>東和町米谷字楼台85</t>
  </si>
  <si>
    <t>254</t>
  </si>
  <si>
    <t>東和町米谷字楼台84</t>
  </si>
  <si>
    <t>253</t>
  </si>
  <si>
    <t>東和町米谷字楼台83</t>
  </si>
  <si>
    <t>252</t>
  </si>
  <si>
    <t>東和町米谷字楼台82</t>
  </si>
  <si>
    <t>251</t>
  </si>
  <si>
    <t>東和町米谷字楼台81</t>
  </si>
  <si>
    <t>250</t>
  </si>
  <si>
    <t>東和町米谷字楼台80</t>
  </si>
  <si>
    <t>249</t>
  </si>
  <si>
    <t>東和町米谷字楼台79</t>
  </si>
  <si>
    <t>248</t>
  </si>
  <si>
    <t>東和町米谷字楼台78</t>
  </si>
  <si>
    <t>247</t>
  </si>
  <si>
    <t>東和町米谷字楼台77</t>
  </si>
  <si>
    <t>246</t>
  </si>
  <si>
    <t>東和町米谷字楼台76</t>
  </si>
  <si>
    <t>245</t>
  </si>
  <si>
    <t>東和町米谷字楼台75</t>
  </si>
  <si>
    <t>244</t>
  </si>
  <si>
    <t>登米町大字日根牛新北沢41</t>
  </si>
  <si>
    <t>265</t>
  </si>
  <si>
    <t>東和町米谷字楼台73</t>
  </si>
  <si>
    <t>242</t>
  </si>
  <si>
    <t>東和町米谷字楼台72</t>
  </si>
  <si>
    <t>241</t>
  </si>
  <si>
    <t>東和町米谷字楼台71</t>
  </si>
  <si>
    <t>240</t>
  </si>
  <si>
    <t>東和町米谷字楼台70</t>
  </si>
  <si>
    <t>239</t>
  </si>
  <si>
    <t>東和町米谷字楼台69</t>
  </si>
  <si>
    <t>238</t>
  </si>
  <si>
    <t>東和町米谷字楼台68</t>
  </si>
  <si>
    <t>237</t>
  </si>
  <si>
    <t>東和町米谷字沖ノ田115</t>
  </si>
  <si>
    <t>236</t>
  </si>
  <si>
    <t>東和町米谷字沖ノ田114</t>
  </si>
  <si>
    <t>235</t>
  </si>
  <si>
    <t>東和町米谷字沖ノ田113</t>
  </si>
  <si>
    <t>234</t>
  </si>
  <si>
    <t>東和町米谷字沖ノ田112</t>
  </si>
  <si>
    <t>233</t>
  </si>
  <si>
    <t>東和町米谷字沖ノ田111</t>
  </si>
  <si>
    <t>232</t>
  </si>
  <si>
    <t>東和町米谷字沖ノ田110</t>
  </si>
  <si>
    <t>231</t>
  </si>
  <si>
    <t>東和町米谷字沖ノ田109</t>
  </si>
  <si>
    <t>230</t>
  </si>
  <si>
    <t>東和町米谷字沖ノ田108</t>
  </si>
  <si>
    <t>229</t>
  </si>
  <si>
    <t>東和町米谷字沖ノ田107</t>
  </si>
  <si>
    <t>228</t>
  </si>
  <si>
    <t>東和町米谷字沖ノ田106</t>
  </si>
  <si>
    <t>227</t>
  </si>
  <si>
    <t>東和町米谷字沖ノ田105</t>
  </si>
  <si>
    <t>226</t>
  </si>
  <si>
    <t>東和町米谷字沖ノ田104</t>
  </si>
  <si>
    <t>225</t>
  </si>
  <si>
    <t>東和町米谷字沖ノ田103</t>
  </si>
  <si>
    <t>224</t>
  </si>
  <si>
    <t>東和町米谷字沖ノ田102</t>
  </si>
  <si>
    <t>223</t>
  </si>
  <si>
    <t>東和町米谷字沖ノ田101</t>
  </si>
  <si>
    <t>222</t>
  </si>
  <si>
    <t>東和町米谷字沖ノ田100</t>
  </si>
  <si>
    <t>221</t>
  </si>
  <si>
    <t>東和町米谷字沖ノ田99</t>
  </si>
  <si>
    <t>220</t>
  </si>
  <si>
    <t>東和町米谷字沖ノ田98</t>
  </si>
  <si>
    <t>219</t>
  </si>
  <si>
    <t>東和町米谷字沖ノ田97</t>
  </si>
  <si>
    <t>218</t>
  </si>
  <si>
    <t>東和町米谷字沖ノ田96</t>
  </si>
  <si>
    <t>217</t>
  </si>
  <si>
    <t>東和町米谷字沖ノ田95</t>
  </si>
  <si>
    <t>216</t>
  </si>
  <si>
    <t>東和町米谷字沖ノ田94</t>
  </si>
  <si>
    <t>215</t>
  </si>
  <si>
    <t>東和町米谷字沖ノ田93</t>
  </si>
  <si>
    <t>214</t>
  </si>
  <si>
    <t>東和町米谷字沖ノ田92</t>
  </si>
  <si>
    <t>213</t>
  </si>
  <si>
    <t>東和町米谷字沖ノ田91</t>
  </si>
  <si>
    <t>212</t>
  </si>
  <si>
    <t>登米町大字日根牛新北沢39</t>
  </si>
  <si>
    <t>268</t>
  </si>
  <si>
    <t>東和町米谷字沖ノ田89</t>
  </si>
  <si>
    <t>210</t>
  </si>
  <si>
    <t>東和町米谷字沖ノ田88</t>
  </si>
  <si>
    <t>209</t>
  </si>
  <si>
    <t>東和町米谷字沖ノ田87</t>
  </si>
  <si>
    <t>208</t>
  </si>
  <si>
    <t>豊里花の公園</t>
  </si>
  <si>
    <t>1040300000:住宅都市整備課</t>
  </si>
  <si>
    <t>2023/05/31</t>
  </si>
  <si>
    <t>豊里町小口前98</t>
  </si>
  <si>
    <t>東和町米谷字沖ノ田85</t>
  </si>
  <si>
    <t>206</t>
  </si>
  <si>
    <t>東和町米谷字沖ノ田84</t>
  </si>
  <si>
    <t>205</t>
  </si>
  <si>
    <t>東和町米谷字沖ノ田83</t>
  </si>
  <si>
    <t>204</t>
  </si>
  <si>
    <t>東和町米谷字沖ノ田82</t>
  </si>
  <si>
    <t>203</t>
  </si>
  <si>
    <t>東和町米谷字沖ノ田81</t>
  </si>
  <si>
    <t>202</t>
  </si>
  <si>
    <t>東和町米谷字沖ノ田80</t>
  </si>
  <si>
    <t>201</t>
  </si>
  <si>
    <t>東和町米谷字沖ノ田79</t>
  </si>
  <si>
    <t>200</t>
  </si>
  <si>
    <t>東和町米谷字沖ノ田78</t>
  </si>
  <si>
    <t>199</t>
  </si>
  <si>
    <t>東和町米谷字沖ノ田77</t>
  </si>
  <si>
    <t>198</t>
  </si>
  <si>
    <t>東和町米谷字沖ノ田76</t>
  </si>
  <si>
    <t>197</t>
  </si>
  <si>
    <t>東和町米谷字沖ノ田75</t>
  </si>
  <si>
    <t>196</t>
  </si>
  <si>
    <t>H30仲浦2号線（土地購入）</t>
  </si>
  <si>
    <t>2019/03/25</t>
  </si>
  <si>
    <t>2017/11/17</t>
  </si>
  <si>
    <t>豊里町新田町</t>
  </si>
  <si>
    <t>2017</t>
  </si>
  <si>
    <t>0102:売買（受）</t>
  </si>
  <si>
    <t>1:取得価額等</t>
  </si>
  <si>
    <t>25:その他</t>
  </si>
  <si>
    <t>1112</t>
  </si>
  <si>
    <t>東和町米谷字沖ノ田73</t>
  </si>
  <si>
    <t>194</t>
  </si>
  <si>
    <t>東和町錦織字新二良根44</t>
  </si>
  <si>
    <t>193</t>
  </si>
  <si>
    <t>東和町錦織字新二良根43</t>
  </si>
  <si>
    <t>192</t>
  </si>
  <si>
    <t>東和町錦織字新二良根42</t>
  </si>
  <si>
    <t>191</t>
  </si>
  <si>
    <t>東和町錦織字新二良根41</t>
  </si>
  <si>
    <t>190</t>
  </si>
  <si>
    <t>東和町錦織字新二良根40</t>
  </si>
  <si>
    <t>189</t>
  </si>
  <si>
    <t>東和町錦織字新二良根38</t>
  </si>
  <si>
    <t>188</t>
  </si>
  <si>
    <t>東和町錦織字新二良根37</t>
  </si>
  <si>
    <t>187</t>
  </si>
  <si>
    <t>東和町錦織字新二良根39</t>
  </si>
  <si>
    <t>186</t>
  </si>
  <si>
    <t>東和町錦織字新二良根29</t>
  </si>
  <si>
    <t>185</t>
  </si>
  <si>
    <t>東和町錦織字新川端39</t>
  </si>
  <si>
    <t>184</t>
  </si>
  <si>
    <t>東和町錦織字新川端38</t>
  </si>
  <si>
    <t>183</t>
  </si>
  <si>
    <t>東和町錦織字新川端37</t>
  </si>
  <si>
    <t>182</t>
  </si>
  <si>
    <t>東和町錦織字新川端36</t>
  </si>
  <si>
    <t>181</t>
  </si>
  <si>
    <t>東和町錦織字新川端35</t>
  </si>
  <si>
    <t>180</t>
  </si>
  <si>
    <t>H30中沢線（移転補償）</t>
  </si>
  <si>
    <t>2019/03/19</t>
  </si>
  <si>
    <t>2017/12/08</t>
  </si>
  <si>
    <t>迫町北方字舟橋前</t>
  </si>
  <si>
    <t>1113</t>
  </si>
  <si>
    <t>東和町米谷字中渡戸240</t>
  </si>
  <si>
    <t>178</t>
  </si>
  <si>
    <t>東和町米谷字中渡戸239</t>
  </si>
  <si>
    <t>177</t>
  </si>
  <si>
    <t>東和町米谷字中渡戸238</t>
  </si>
  <si>
    <t>176</t>
  </si>
  <si>
    <t>東和町米谷字中渡戸237</t>
  </si>
  <si>
    <t>175</t>
  </si>
  <si>
    <t>東和町米谷字中渡戸236</t>
  </si>
  <si>
    <t>174</t>
  </si>
  <si>
    <t>東和町米谷字中渡戸235</t>
  </si>
  <si>
    <t>173</t>
  </si>
  <si>
    <t>東和町米谷字中渡戸234</t>
  </si>
  <si>
    <t>172</t>
  </si>
  <si>
    <t>東和町米谷字新中渡戸26</t>
  </si>
  <si>
    <t>171</t>
  </si>
  <si>
    <t>東和町米谷字新中渡戸25</t>
  </si>
  <si>
    <t>170</t>
  </si>
  <si>
    <t>東和町米谷字新中渡戸24</t>
  </si>
  <si>
    <t>169</t>
  </si>
  <si>
    <t>東和町米谷字新中渡戸23</t>
  </si>
  <si>
    <t>168</t>
  </si>
  <si>
    <t>東和町米谷字新中渡戸22</t>
  </si>
  <si>
    <t>167</t>
  </si>
  <si>
    <t>東和町米谷字新中渡戸21</t>
  </si>
  <si>
    <t>166</t>
  </si>
  <si>
    <t>東和町米谷字新中渡戸20</t>
  </si>
  <si>
    <t>165</t>
  </si>
  <si>
    <t>東和町米谷字新中渡戸19</t>
  </si>
  <si>
    <t>164</t>
  </si>
  <si>
    <t>東和町米谷字新吉田28</t>
  </si>
  <si>
    <t>163</t>
  </si>
  <si>
    <t>東和町米谷字新吉田27</t>
  </si>
  <si>
    <t>162</t>
  </si>
  <si>
    <t>東和町米谷字新吉田26</t>
  </si>
  <si>
    <t>161</t>
  </si>
  <si>
    <t>東和町米谷字新吉田23</t>
  </si>
  <si>
    <t>160</t>
  </si>
  <si>
    <t>東和町米谷字新吉田22</t>
  </si>
  <si>
    <t>159</t>
  </si>
  <si>
    <t>東和町錦織字嵯峨立22</t>
  </si>
  <si>
    <t>158</t>
  </si>
  <si>
    <t>東和町錦織字嵯峨立21</t>
  </si>
  <si>
    <t>157</t>
  </si>
  <si>
    <t>東和町錦織字嵯峨立20</t>
  </si>
  <si>
    <t>156</t>
  </si>
  <si>
    <t>東和町錦織字嵯峨立19</t>
  </si>
  <si>
    <t>155</t>
  </si>
  <si>
    <t>東和町錦織字嵯峨立18</t>
  </si>
  <si>
    <t>154</t>
  </si>
  <si>
    <t>東和町錦織字嵯峨立17</t>
  </si>
  <si>
    <t>153</t>
  </si>
  <si>
    <t>東和町錦織字嵯峨立16</t>
  </si>
  <si>
    <t>152</t>
  </si>
  <si>
    <t>東和町米川字新寺前26</t>
  </si>
  <si>
    <t>151</t>
  </si>
  <si>
    <t>東和町米川字新寺前25</t>
  </si>
  <si>
    <t>150</t>
  </si>
  <si>
    <t>東和町米川字新寺前24</t>
  </si>
  <si>
    <t>149</t>
  </si>
  <si>
    <t>東和町米川字新寺前23</t>
  </si>
  <si>
    <t>148</t>
  </si>
  <si>
    <t>東和町米川字新寺前22</t>
  </si>
  <si>
    <t>147</t>
  </si>
  <si>
    <t>東和町米川字新寺前21</t>
  </si>
  <si>
    <t>146</t>
  </si>
  <si>
    <t>東和町米川字新青木87</t>
  </si>
  <si>
    <t>145</t>
  </si>
  <si>
    <t>東和町米川字新青木86</t>
  </si>
  <si>
    <t>144</t>
  </si>
  <si>
    <t>東和町米川字新青木85</t>
  </si>
  <si>
    <t>143</t>
  </si>
  <si>
    <t>東和町米川字新青木83</t>
  </si>
  <si>
    <t>142</t>
  </si>
  <si>
    <t>東和町米川字新青木82</t>
  </si>
  <si>
    <t>141</t>
  </si>
  <si>
    <t>東和町米川字新青木81</t>
  </si>
  <si>
    <t>140</t>
  </si>
  <si>
    <t>東和町米川字新青木80</t>
  </si>
  <si>
    <t>139</t>
  </si>
  <si>
    <t>東和町米川字新青木79</t>
  </si>
  <si>
    <t>138</t>
  </si>
  <si>
    <t>東和町米川字新青木78</t>
  </si>
  <si>
    <t>137</t>
  </si>
  <si>
    <t>東和町米川字新青木77</t>
  </si>
  <si>
    <t>136</t>
  </si>
  <si>
    <t>東和町米川字新青木76</t>
  </si>
  <si>
    <t>135</t>
  </si>
  <si>
    <t>東和町米川字新青木75</t>
  </si>
  <si>
    <t>134</t>
  </si>
  <si>
    <t>東和町米川字新青木74</t>
  </si>
  <si>
    <t>133</t>
  </si>
  <si>
    <t>東和町米川字新青木73</t>
  </si>
  <si>
    <t>132</t>
  </si>
  <si>
    <t>東和町米川字新青木72</t>
  </si>
  <si>
    <t>131</t>
  </si>
  <si>
    <t>東和町米川字新青木71</t>
  </si>
  <si>
    <t>130</t>
  </si>
  <si>
    <t>迫町新田字松原東88</t>
  </si>
  <si>
    <t>129</t>
  </si>
  <si>
    <t>迫町新田字松原東87</t>
  </si>
  <si>
    <t>128</t>
  </si>
  <si>
    <t>迫町新田字松原東82</t>
  </si>
  <si>
    <t>127</t>
  </si>
  <si>
    <t>迫町新田字松原東80</t>
  </si>
  <si>
    <t>126</t>
  </si>
  <si>
    <t>迫町新田字松原東79</t>
  </si>
  <si>
    <t>125</t>
  </si>
  <si>
    <t>迫町新田字松原東73</t>
  </si>
  <si>
    <t>124</t>
  </si>
  <si>
    <t>迫町新田字松原東72</t>
  </si>
  <si>
    <t>123</t>
  </si>
  <si>
    <t>迫町新田字松原東70</t>
  </si>
  <si>
    <t>122</t>
  </si>
  <si>
    <t>迫町新田字松原東68</t>
  </si>
  <si>
    <t>121</t>
  </si>
  <si>
    <t>迫町新田字松原東67</t>
  </si>
  <si>
    <t>120</t>
  </si>
  <si>
    <t>迫町新田字松原東66</t>
  </si>
  <si>
    <t>119</t>
  </si>
  <si>
    <t>迫町新田字新蓮沼132</t>
  </si>
  <si>
    <t>118</t>
  </si>
  <si>
    <t>迫町新田字新蓮沼130</t>
  </si>
  <si>
    <t>117</t>
  </si>
  <si>
    <t>迫町新田字新蓮沼128</t>
  </si>
  <si>
    <t>116</t>
  </si>
  <si>
    <t>01:公有財産土地台帳</t>
  </si>
  <si>
    <t>001487:豊里花の公園</t>
  </si>
  <si>
    <t>一部用途廃止（308.99㎡）　【現況地積】修正</t>
  </si>
  <si>
    <t>豊里町小口前88</t>
  </si>
  <si>
    <t>2:再調達原価</t>
  </si>
  <si>
    <t>10:雑種地</t>
  </si>
  <si>
    <t>0180025</t>
  </si>
  <si>
    <t>3</t>
  </si>
  <si>
    <t>2</t>
  </si>
  <si>
    <t>迫町新田字新蓮沼122</t>
  </si>
  <si>
    <t>114</t>
  </si>
  <si>
    <t>迫町新田字新蓮沼121</t>
  </si>
  <si>
    <t>113</t>
  </si>
  <si>
    <t>迫町新田字新蓮沼118</t>
  </si>
  <si>
    <t>112</t>
  </si>
  <si>
    <t>迫町新田字新蓮沼117</t>
  </si>
  <si>
    <t>111</t>
  </si>
  <si>
    <t>迫町新田字新蓮沼116</t>
  </si>
  <si>
    <t>110</t>
  </si>
  <si>
    <t>迫町新田字新蓮沼115</t>
  </si>
  <si>
    <t>109</t>
  </si>
  <si>
    <t>迫町新田字新蓮沼112</t>
  </si>
  <si>
    <t>108</t>
  </si>
  <si>
    <t>迫町新田字新蓮沼108</t>
  </si>
  <si>
    <t>107</t>
  </si>
  <si>
    <t>迫町新田字新蓮沼105</t>
  </si>
  <si>
    <t>106</t>
  </si>
  <si>
    <t>迫町新田字新蓮沼103</t>
  </si>
  <si>
    <t>105</t>
  </si>
  <si>
    <t>迫町新田字新蒲西118</t>
  </si>
  <si>
    <t>104</t>
  </si>
  <si>
    <t>迫町新田字新蒲西115</t>
  </si>
  <si>
    <t>103</t>
  </si>
  <si>
    <t>迫町新田字新蒲西114</t>
  </si>
  <si>
    <t>102</t>
  </si>
  <si>
    <t>迫町新田字新蒲西111</t>
  </si>
  <si>
    <t>101</t>
  </si>
  <si>
    <t>迫町新田字新蒲西110</t>
  </si>
  <si>
    <t>迫町新田字新蒲西109</t>
  </si>
  <si>
    <t>99</t>
  </si>
  <si>
    <t>迫町新田字新蒲西108</t>
  </si>
  <si>
    <t>98</t>
  </si>
  <si>
    <t>迫町新田字新蒲西107</t>
  </si>
  <si>
    <t>97</t>
  </si>
  <si>
    <t>迫町新田字新東坂戸74</t>
  </si>
  <si>
    <t>96</t>
  </si>
  <si>
    <t>迫町新田字新東坂戸72</t>
  </si>
  <si>
    <t>95</t>
  </si>
  <si>
    <t>迫町新田字松原東74</t>
  </si>
  <si>
    <t>94</t>
  </si>
  <si>
    <t>迫町新田字新舟崎174</t>
  </si>
  <si>
    <t>93</t>
  </si>
  <si>
    <t>迫町新田字新茂栗93-2</t>
  </si>
  <si>
    <t>92</t>
  </si>
  <si>
    <t>迫町新田字新伊豆崎156</t>
  </si>
  <si>
    <t>91</t>
  </si>
  <si>
    <t>迫町新田字新舟崎121</t>
  </si>
  <si>
    <t>90</t>
  </si>
  <si>
    <t>迫町新田字新舟崎120</t>
  </si>
  <si>
    <t>89</t>
  </si>
  <si>
    <t>迫町新田字新舟崎119</t>
  </si>
  <si>
    <t>88</t>
  </si>
  <si>
    <t>迫町新田字新舟崎118</t>
  </si>
  <si>
    <t>87</t>
  </si>
  <si>
    <t>迫町新田字新舟崎116</t>
  </si>
  <si>
    <t>86</t>
  </si>
  <si>
    <t>迫町新田字新舟崎115</t>
  </si>
  <si>
    <t>85</t>
  </si>
  <si>
    <t>迫町新田字新舟崎114</t>
  </si>
  <si>
    <t>84</t>
  </si>
  <si>
    <t>米山桜岡公園</t>
  </si>
  <si>
    <t>001518:米山桜岡公園</t>
  </si>
  <si>
    <t>米山町字桜岡上待井300-3</t>
  </si>
  <si>
    <t>01_01_08:（１）土地及び建物　行政財産　公共用財産　公園</t>
  </si>
  <si>
    <t>2018</t>
  </si>
  <si>
    <t>2018/12/03</t>
  </si>
  <si>
    <t>08:公園</t>
  </si>
  <si>
    <t>0190024</t>
  </si>
  <si>
    <t>4</t>
  </si>
  <si>
    <t>迫町新田字新舟崎112</t>
  </si>
  <si>
    <t>82</t>
  </si>
  <si>
    <t>迫町新田字新舟崎111</t>
  </si>
  <si>
    <t>81</t>
  </si>
  <si>
    <t>迫町新田字新舟崎83</t>
  </si>
  <si>
    <t>53</t>
  </si>
  <si>
    <t>迫町新田字新舟崎82</t>
  </si>
  <si>
    <t>52</t>
  </si>
  <si>
    <t>迫町新田字新舟崎81</t>
  </si>
  <si>
    <t>51</t>
  </si>
  <si>
    <t>迫町新田字新舟崎80</t>
  </si>
  <si>
    <t>50</t>
  </si>
  <si>
    <t>迫町新田字新伊豆崎121</t>
  </si>
  <si>
    <t>49</t>
  </si>
  <si>
    <t>迫町新田字新伊豆崎120</t>
  </si>
  <si>
    <t>48</t>
  </si>
  <si>
    <t>迫町新田字新伊豆崎119</t>
  </si>
  <si>
    <t>47</t>
  </si>
  <si>
    <t>迫町新田字新伊豆崎118</t>
  </si>
  <si>
    <t>46</t>
  </si>
  <si>
    <t>迫町新田字新伊豆崎117</t>
  </si>
  <si>
    <t>45</t>
  </si>
  <si>
    <t>迫町新田字新伊豆崎116</t>
  </si>
  <si>
    <t>44</t>
  </si>
  <si>
    <t>迫町新田字新伊豆崎115</t>
  </si>
  <si>
    <t>43</t>
  </si>
  <si>
    <t>迫町新田字新伊豆崎114</t>
  </si>
  <si>
    <t>42</t>
  </si>
  <si>
    <t>迫町新田字新伊豆崎113</t>
  </si>
  <si>
    <t>41</t>
  </si>
  <si>
    <t>ため池</t>
  </si>
  <si>
    <t>001639:ため池</t>
  </si>
  <si>
    <t>7:総務（総務）</t>
  </si>
  <si>
    <t>1035400000:農林振興課</t>
  </si>
  <si>
    <t>AsyzAP</t>
  </si>
  <si>
    <t>1:廃止</t>
  </si>
  <si>
    <t>迫町北方字天形179</t>
  </si>
  <si>
    <t>0.0000000000</t>
  </si>
  <si>
    <t>0:普通財産</t>
  </si>
  <si>
    <t>0:　</t>
  </si>
  <si>
    <t>2022</t>
  </si>
  <si>
    <t>2023/03/31</t>
  </si>
  <si>
    <t>31:調査判明</t>
  </si>
  <si>
    <t>1210000:インフラ／土地</t>
  </si>
  <si>
    <t>2013/03/14</t>
  </si>
  <si>
    <t>04:池沼</t>
  </si>
  <si>
    <t>0790002</t>
  </si>
  <si>
    <t>迫町新田字新伊豆崎111</t>
  </si>
  <si>
    <t>39</t>
  </si>
  <si>
    <t>迫町新田字新伊豆崎128</t>
  </si>
  <si>
    <t>38</t>
  </si>
  <si>
    <t>迫町新田字新伊豆崎127</t>
  </si>
  <si>
    <t>37</t>
  </si>
  <si>
    <t>2017/09/12</t>
  </si>
  <si>
    <t>迫町新田字新伊豆崎126</t>
  </si>
  <si>
    <t>2019/03/29</t>
  </si>
  <si>
    <t>36</t>
  </si>
  <si>
    <t>迫町新田字新伊豆崎125</t>
  </si>
  <si>
    <t>35</t>
  </si>
  <si>
    <t>迫町新田字新伊豆崎124</t>
  </si>
  <si>
    <t>34</t>
  </si>
  <si>
    <t>迫町新田字新伊豆崎123</t>
  </si>
  <si>
    <t>33</t>
  </si>
  <si>
    <t>迫町新田字新伊豆崎122</t>
  </si>
  <si>
    <t>32</t>
  </si>
  <si>
    <t>迫町新田字新茂栗82</t>
  </si>
  <si>
    <t>31</t>
  </si>
  <si>
    <t>迫町新田字新茂栗81</t>
  </si>
  <si>
    <t>30</t>
  </si>
  <si>
    <t>迫町新田字新茂栗80</t>
  </si>
  <si>
    <t>2018/04/26</t>
  </si>
  <si>
    <t>29</t>
  </si>
  <si>
    <t>迫町新田字新茂栗79</t>
  </si>
  <si>
    <t>28</t>
  </si>
  <si>
    <t>2016/04/01</t>
  </si>
  <si>
    <t>迫町新田字新茂栗78</t>
  </si>
  <si>
    <t>2016</t>
  </si>
  <si>
    <t>27</t>
  </si>
  <si>
    <t>迫町新田字新茂栗77</t>
  </si>
  <si>
    <t>2010/03/31</t>
  </si>
  <si>
    <t>26</t>
  </si>
  <si>
    <t>迫町新田字新茂栗76</t>
  </si>
  <si>
    <t>1975/05/10</t>
  </si>
  <si>
    <t>25</t>
  </si>
  <si>
    <t>中田町上沼字新八幡浦43</t>
  </si>
  <si>
    <t>363</t>
  </si>
  <si>
    <t>迫町新田字新茂栗74</t>
  </si>
  <si>
    <t>23</t>
  </si>
  <si>
    <t>迫町新田字新茂栗73</t>
  </si>
  <si>
    <t>22</t>
  </si>
  <si>
    <t>迫町新田字新茂栗72</t>
  </si>
  <si>
    <t>21</t>
  </si>
  <si>
    <t>迫町新田字新茂栗71</t>
  </si>
  <si>
    <t>20</t>
  </si>
  <si>
    <t>迫町新田字新茂栗70</t>
  </si>
  <si>
    <t>19</t>
  </si>
  <si>
    <t>迫町新田字新茂栗69</t>
  </si>
  <si>
    <t>18</t>
  </si>
  <si>
    <t>迫町新田字新茂栗100</t>
  </si>
  <si>
    <t>16</t>
  </si>
  <si>
    <t>迫町新田字新茂栗99</t>
  </si>
  <si>
    <t>15</t>
  </si>
  <si>
    <t>迫町新田字新茂栗98</t>
  </si>
  <si>
    <t>14</t>
  </si>
  <si>
    <t>迫町新田字新茂栗97</t>
  </si>
  <si>
    <t>13</t>
  </si>
  <si>
    <t>迫町新田字新茂栗96</t>
  </si>
  <si>
    <t>12</t>
  </si>
  <si>
    <t>迫町新田字新茂栗95</t>
  </si>
  <si>
    <t>11</t>
  </si>
  <si>
    <t>迫町新田字新茂栗94</t>
  </si>
  <si>
    <t>2008/06/10</t>
  </si>
  <si>
    <t>10</t>
  </si>
  <si>
    <t>迫町新田字新舟崎110</t>
  </si>
  <si>
    <t>80</t>
  </si>
  <si>
    <t>迫町新田字新茂栗93-1</t>
  </si>
  <si>
    <t>9</t>
  </si>
  <si>
    <t>用悪水路</t>
  </si>
  <si>
    <t>002007:用悪水路</t>
  </si>
  <si>
    <t>登米町大字日根牛新峯畑137</t>
  </si>
  <si>
    <t>19:用悪水路</t>
  </si>
  <si>
    <t>0750002</t>
  </si>
  <si>
    <t>349</t>
  </si>
  <si>
    <t>迫町新田字新茂栗91-1</t>
  </si>
  <si>
    <t>7</t>
  </si>
  <si>
    <t>迫町新田字新茂栗90</t>
  </si>
  <si>
    <t>6</t>
  </si>
  <si>
    <t>迫町新田字新茂栗89</t>
  </si>
  <si>
    <t>5</t>
  </si>
  <si>
    <t>迫町新田字新茂栗88</t>
  </si>
  <si>
    <t>迫町新田字新茂栗87</t>
  </si>
  <si>
    <t>迫町新田字新茂栗83</t>
  </si>
  <si>
    <t>迫町新田字新茂栗101</t>
  </si>
  <si>
    <t>17</t>
  </si>
  <si>
    <t>迫町新田字新舟崎109</t>
  </si>
  <si>
    <t>79</t>
  </si>
  <si>
    <t>石越高森児童遊園</t>
  </si>
  <si>
    <t>001568:石越高森公園</t>
  </si>
  <si>
    <t>1980/11/04</t>
  </si>
  <si>
    <t>石越町南郷字高森301-1</t>
  </si>
  <si>
    <t>1987/09/09</t>
  </si>
  <si>
    <t>0270003</t>
  </si>
  <si>
    <t>1981/06/23</t>
  </si>
  <si>
    <t>石越町南郷字高森300-2</t>
  </si>
  <si>
    <t>2011/07/04</t>
  </si>
  <si>
    <t>1975/12/22</t>
  </si>
  <si>
    <t>石越町南郷字高森293-1</t>
  </si>
  <si>
    <t>迫谷地児童遊園</t>
  </si>
  <si>
    <t>001676:迫谷地児童遊園</t>
  </si>
  <si>
    <t>迫町北方字新谷地113</t>
  </si>
  <si>
    <t>01_01_09:（１）土地及び建物　行政財産　公共用財産　その他の施設</t>
  </si>
  <si>
    <t>03:宅地</t>
  </si>
  <si>
    <t>0270001</t>
  </si>
  <si>
    <t>日根牛地区調整池（宅地造成地内）</t>
  </si>
  <si>
    <t>001600:調整池</t>
  </si>
  <si>
    <t>登米町大字日根牛小池前5-21</t>
  </si>
  <si>
    <t>0260037</t>
  </si>
  <si>
    <t>用水溜池</t>
  </si>
  <si>
    <t>001671:用水溜池</t>
  </si>
  <si>
    <t>1060100000:中田総合支所市民課</t>
  </si>
  <si>
    <t>アギナシ沢　</t>
  </si>
  <si>
    <t>中田町上沼字大泉伊勢山46</t>
  </si>
  <si>
    <t>12:溜池</t>
  </si>
  <si>
    <t>0260036</t>
  </si>
  <si>
    <t>山居沢　</t>
  </si>
  <si>
    <t>中田町上沼字本宮58</t>
  </si>
  <si>
    <t>1974/11/05</t>
  </si>
  <si>
    <t>0260035</t>
  </si>
  <si>
    <t>登米町大字日根牛新峯畑136</t>
  </si>
  <si>
    <t>350</t>
  </si>
  <si>
    <t>蛇筒沼　</t>
  </si>
  <si>
    <t>中田町上沼字大泉伊勢山3</t>
  </si>
  <si>
    <t>新堤　</t>
  </si>
  <si>
    <t>中田町上沼字大泉伊勢山2-1</t>
  </si>
  <si>
    <t>南方町南沢59</t>
  </si>
  <si>
    <t>0260034</t>
  </si>
  <si>
    <t>冠木沼　</t>
  </si>
  <si>
    <t>中田町上沼字冠木45-1</t>
  </si>
  <si>
    <t>0260033</t>
  </si>
  <si>
    <t>地蔵沼　</t>
  </si>
  <si>
    <t>中田町上沼字中ノ土手1</t>
  </si>
  <si>
    <t>中田町上沼字内ノ目130-1</t>
  </si>
  <si>
    <t>溜池（調整池）</t>
  </si>
  <si>
    <t>中田町上沼字大泉伊勢山115</t>
  </si>
  <si>
    <t>0260032</t>
  </si>
  <si>
    <t>遠沢溜池</t>
  </si>
  <si>
    <t>石越町北郷字遠沢98</t>
  </si>
  <si>
    <t>0260031</t>
  </si>
  <si>
    <t>芦倉北溜池</t>
  </si>
  <si>
    <t>石越町北郷字芦倉156</t>
  </si>
  <si>
    <t>0260030</t>
  </si>
  <si>
    <t>寺山溜池</t>
  </si>
  <si>
    <t>石越町北郷字赤谷167</t>
  </si>
  <si>
    <t>0260029</t>
  </si>
  <si>
    <t>野庭前溜池</t>
  </si>
  <si>
    <t>石越町北郷字九輪堂29</t>
  </si>
  <si>
    <t>0260028</t>
  </si>
  <si>
    <t>堂地溜池</t>
  </si>
  <si>
    <t>石越町北郷字中沢106</t>
  </si>
  <si>
    <t>0260027</t>
  </si>
  <si>
    <t>中沢溜池</t>
  </si>
  <si>
    <t>石越町北郷字中沢79-1</t>
  </si>
  <si>
    <t>0260026</t>
  </si>
  <si>
    <t>西風田裏溜池</t>
  </si>
  <si>
    <t>石越町北郷字長根100</t>
  </si>
  <si>
    <t>0260025</t>
  </si>
  <si>
    <t>西風田下溜池</t>
  </si>
  <si>
    <t>石越町北郷字長根94-1</t>
  </si>
  <si>
    <t>0260024</t>
  </si>
  <si>
    <t>中田町上沼字新八幡浦44</t>
  </si>
  <si>
    <t>364</t>
  </si>
  <si>
    <t>北沢溜池</t>
  </si>
  <si>
    <t>石越町南郷字とど台126</t>
  </si>
  <si>
    <t>0260022</t>
  </si>
  <si>
    <t>苗代沢溜池</t>
  </si>
  <si>
    <t>石越町南郷字高森44</t>
  </si>
  <si>
    <t>0260021</t>
  </si>
  <si>
    <t>日向溜池</t>
  </si>
  <si>
    <t>石越町南郷字田上47</t>
  </si>
  <si>
    <t>0260020</t>
  </si>
  <si>
    <t>御上溜池</t>
  </si>
  <si>
    <t>石越町南郷字矢作91</t>
  </si>
  <si>
    <t>0260019</t>
  </si>
  <si>
    <t>銃禅寺溜池</t>
  </si>
  <si>
    <t>石越町南郷字芦倉47-1</t>
  </si>
  <si>
    <t>0260018</t>
  </si>
  <si>
    <t>二反田溜池</t>
  </si>
  <si>
    <t>石越町南郷字新田117</t>
  </si>
  <si>
    <t>0260017</t>
  </si>
  <si>
    <t>小付田溜池</t>
  </si>
  <si>
    <t>石越町東郷字苦木136</t>
  </si>
  <si>
    <t>0260016</t>
  </si>
  <si>
    <t>登米町大字日根牛新峯畑141</t>
  </si>
  <si>
    <t>351</t>
  </si>
  <si>
    <t>苦木上溜池</t>
  </si>
  <si>
    <t>石越町東郷字苦木107-1</t>
  </si>
  <si>
    <t>0260014</t>
  </si>
  <si>
    <t>五味倉溜池</t>
  </si>
  <si>
    <t>石越町東郷字千貫巻149-2</t>
  </si>
  <si>
    <t>0260013</t>
  </si>
  <si>
    <t>登戸上溜池</t>
  </si>
  <si>
    <t>石越町東郷字登戸22</t>
  </si>
  <si>
    <t>0260012</t>
  </si>
  <si>
    <t>十八引溜池</t>
  </si>
  <si>
    <t>石越町東郷字十八引129-1</t>
  </si>
  <si>
    <t>0260011</t>
  </si>
  <si>
    <t>新墓裏溜池</t>
  </si>
  <si>
    <t>石越町東郷字十八引94</t>
  </si>
  <si>
    <t>1968/02/29</t>
  </si>
  <si>
    <t>0260010</t>
  </si>
  <si>
    <t>大根沢カゲ溜池</t>
  </si>
  <si>
    <t>石越町東郷字大根沢171-1</t>
  </si>
  <si>
    <t>0260009</t>
  </si>
  <si>
    <t>大根沢溜池</t>
  </si>
  <si>
    <t>石越町東郷字大根沢106</t>
  </si>
  <si>
    <t>0260008</t>
  </si>
  <si>
    <t>登米町大字日根牛新峯畑123</t>
  </si>
  <si>
    <t>352</t>
  </si>
  <si>
    <t>羽竜溜池</t>
  </si>
  <si>
    <t>石越町東郷字蕪木231-1</t>
  </si>
  <si>
    <t>0260006</t>
  </si>
  <si>
    <t>海上連溜池</t>
  </si>
  <si>
    <t>石越町東郷字蕪木60-3</t>
  </si>
  <si>
    <t>0260005</t>
  </si>
  <si>
    <t>迫町新田字西沢28</t>
  </si>
  <si>
    <t>0260001</t>
  </si>
  <si>
    <t>24</t>
  </si>
  <si>
    <t>迫町新田字西沢11</t>
  </si>
  <si>
    <t>豊里町久寿田65-3</t>
  </si>
  <si>
    <t>20:井溝</t>
  </si>
  <si>
    <t>豊里町久寿田64-8</t>
  </si>
  <si>
    <t>豊里町上沼田378-2</t>
  </si>
  <si>
    <t>豊里町上沼田376-2</t>
  </si>
  <si>
    <t>豊里町上沼田11-2</t>
  </si>
  <si>
    <t>豊里町上沼田2-2</t>
  </si>
  <si>
    <t>豊里町久寿田62-1</t>
  </si>
  <si>
    <t>豊里町大沢77-1</t>
  </si>
  <si>
    <t>豊里町笑沢153-33</t>
  </si>
  <si>
    <t>南方町若狭前192-1</t>
  </si>
  <si>
    <t>南方町横代46-1</t>
  </si>
  <si>
    <t>211</t>
  </si>
  <si>
    <t>南方町横代41-1</t>
  </si>
  <si>
    <t>南方町翌沢207</t>
  </si>
  <si>
    <t>南方町翌沢88</t>
  </si>
  <si>
    <t>南方町柳沢75</t>
  </si>
  <si>
    <t>207</t>
  </si>
  <si>
    <t>南方町柳沢73</t>
  </si>
  <si>
    <t>南方町三代前189</t>
  </si>
  <si>
    <t>南方町三代前179</t>
  </si>
  <si>
    <t>南方町三代前62</t>
  </si>
  <si>
    <t>南方町苔野谷地39</t>
  </si>
  <si>
    <t>南方町上平貝187</t>
  </si>
  <si>
    <t>南方町大森前107</t>
  </si>
  <si>
    <t>南方町大森前83</t>
  </si>
  <si>
    <t>南方町大上103-1</t>
  </si>
  <si>
    <t>南方町板ケ沢78</t>
  </si>
  <si>
    <t>迫町佐沼字丸子13-1</t>
  </si>
  <si>
    <t>迫町新田字寺志田39-2</t>
  </si>
  <si>
    <t>溜池</t>
  </si>
  <si>
    <t>東和町米川字新四十田38</t>
  </si>
  <si>
    <t>迫町新田字山居70</t>
  </si>
  <si>
    <t>迫町新田字山居1</t>
  </si>
  <si>
    <t>迫町新田字堤田7-2</t>
  </si>
  <si>
    <t>迫町新田字堤田6-3</t>
  </si>
  <si>
    <t>迫町新田字錠穴39</t>
  </si>
  <si>
    <t>迫町新田字錠穴24</t>
  </si>
  <si>
    <t>迫町新田字錠穴21</t>
  </si>
  <si>
    <t>迫町新田字錠穴9</t>
  </si>
  <si>
    <t>迫町新田字上大田切56</t>
  </si>
  <si>
    <t>迫町新田字上大田切48</t>
  </si>
  <si>
    <t>迫町新田字上大田切46</t>
  </si>
  <si>
    <t>迫町新田字上大田切43</t>
  </si>
  <si>
    <t>迫町新田字上大田切40</t>
  </si>
  <si>
    <t>迫町新田字上大田切28</t>
  </si>
  <si>
    <t>迫町新田字上大田切26</t>
  </si>
  <si>
    <t>中田町上沼字新八幡浦45</t>
  </si>
  <si>
    <t>365</t>
  </si>
  <si>
    <t>迫町新田字上大田切11</t>
  </si>
  <si>
    <t>迫町新田字上大田切3</t>
  </si>
  <si>
    <t>迫町新田字北山70</t>
  </si>
  <si>
    <t>迫町新田字塒場36</t>
  </si>
  <si>
    <t>迫町新田字塒場25</t>
  </si>
  <si>
    <t>迫町新田字塒場21</t>
  </si>
  <si>
    <t>迫町新田字塒場12</t>
  </si>
  <si>
    <t>迫町新田字大沢田21</t>
  </si>
  <si>
    <t>迫町新田字小待井19</t>
  </si>
  <si>
    <t>迫町新田字小待井11</t>
  </si>
  <si>
    <t>迫町新田字刈又沢145-1</t>
  </si>
  <si>
    <t>迫町新田字刈又沢132</t>
  </si>
  <si>
    <t>迫町新田字刈又沢114</t>
  </si>
  <si>
    <t>迫町新田字刈又沢79</t>
  </si>
  <si>
    <t>迫町新田字刈又沢69-1</t>
  </si>
  <si>
    <t>登米町大字日根牛新峯畑131</t>
  </si>
  <si>
    <t>353</t>
  </si>
  <si>
    <t>迫町新田字西坂戸109</t>
  </si>
  <si>
    <t>迫町新田字東坂戸160-1</t>
  </si>
  <si>
    <t>迫町新田字山ノ神276</t>
  </si>
  <si>
    <t>登米町大字日根牛新北沢38</t>
  </si>
  <si>
    <t>269</t>
  </si>
  <si>
    <t>登米町大字日根牛新北沢47</t>
  </si>
  <si>
    <t>270</t>
  </si>
  <si>
    <t>登米町大字日根牛新北沢49</t>
  </si>
  <si>
    <t>271</t>
  </si>
  <si>
    <t>登米町大字日根牛新中田50</t>
  </si>
  <si>
    <t>272</t>
  </si>
  <si>
    <t>登米町大字日根牛新中田44</t>
  </si>
  <si>
    <t>273</t>
  </si>
  <si>
    <t>登米町大字日根牛新中田45</t>
  </si>
  <si>
    <t>274</t>
  </si>
  <si>
    <t>登米町大字日根牛新中田46</t>
  </si>
  <si>
    <t>275</t>
  </si>
  <si>
    <t>登米町大字日根牛新中田47</t>
  </si>
  <si>
    <t>276</t>
  </si>
  <si>
    <t>登米町大字日根牛新中田48</t>
  </si>
  <si>
    <t>277</t>
  </si>
  <si>
    <t>登米町大字日根牛新中田49</t>
  </si>
  <si>
    <t>278</t>
  </si>
  <si>
    <t>登米町大字日根牛新中田60</t>
  </si>
  <si>
    <t>279</t>
  </si>
  <si>
    <t>登米町大字日根牛新中田59</t>
  </si>
  <si>
    <t>280</t>
  </si>
  <si>
    <t>登米町大字日根牛新中田58</t>
  </si>
  <si>
    <t>281</t>
  </si>
  <si>
    <t>登米町大字日根牛新中田57</t>
  </si>
  <si>
    <t>282</t>
  </si>
  <si>
    <t>登米町大字日根牛新五郎峯92</t>
  </si>
  <si>
    <t>283</t>
  </si>
  <si>
    <t>登米町大字日根牛新五郎峯105</t>
  </si>
  <si>
    <t>284</t>
  </si>
  <si>
    <t>登米町大字日根牛新五郎峯115</t>
  </si>
  <si>
    <t>285</t>
  </si>
  <si>
    <t>登米町大字日根牛新五郎峯114</t>
  </si>
  <si>
    <t>286</t>
  </si>
  <si>
    <t>登米町大字日根牛新五郎峯91</t>
  </si>
  <si>
    <t>287</t>
  </si>
  <si>
    <t>登米町大字日根牛新五郎峯88</t>
  </si>
  <si>
    <t>288</t>
  </si>
  <si>
    <t>登米町大字日根牛新五郎峯98</t>
  </si>
  <si>
    <t>289</t>
  </si>
  <si>
    <t>登米町大字日根牛新五郎峯86</t>
  </si>
  <si>
    <t>290</t>
  </si>
  <si>
    <t>登米町大字日根牛新五郎峯97</t>
  </si>
  <si>
    <t>291</t>
  </si>
  <si>
    <t>登米町大字日根牛新五郎峯85</t>
  </si>
  <si>
    <t>292</t>
  </si>
  <si>
    <t>登米町大字日根牛新五郎峯94</t>
  </si>
  <si>
    <t>293</t>
  </si>
  <si>
    <t>登米町大字日根牛新五郎峯95</t>
  </si>
  <si>
    <t>294</t>
  </si>
  <si>
    <t>登米町大字日根牛新五郎峯125</t>
  </si>
  <si>
    <t>295</t>
  </si>
  <si>
    <t>登米町大字日根牛新五郎峯100</t>
  </si>
  <si>
    <t>296</t>
  </si>
  <si>
    <t>登米町大字日根牛新五郎峯122</t>
  </si>
  <si>
    <t>297</t>
  </si>
  <si>
    <t>登米町大字日根牛新五郎峯101</t>
  </si>
  <si>
    <t>298</t>
  </si>
  <si>
    <t>登米町大字日根牛新五郎峯102</t>
  </si>
  <si>
    <t>299</t>
  </si>
  <si>
    <t>登米町大字日根牛新五郎峯93</t>
  </si>
  <si>
    <t>300</t>
  </si>
  <si>
    <t>登米町大字日根牛新五郎峯128</t>
  </si>
  <si>
    <t>301</t>
  </si>
  <si>
    <t>登米町大字日根牛新五郎峯123</t>
  </si>
  <si>
    <t>302</t>
  </si>
  <si>
    <t>登米町大字日根牛新五郎峯126</t>
  </si>
  <si>
    <t>303</t>
  </si>
  <si>
    <t>登米町大字日根牛新五郎峯113</t>
  </si>
  <si>
    <t>304</t>
  </si>
  <si>
    <t>登米町大字日根牛新五郎峯129</t>
  </si>
  <si>
    <t>305</t>
  </si>
  <si>
    <t>登米町大字日根牛新五郎峯132</t>
  </si>
  <si>
    <t>306</t>
  </si>
  <si>
    <t>登米町大字日根牛新峯畑100</t>
  </si>
  <si>
    <t>307</t>
  </si>
  <si>
    <t>登米町大字日根牛新峯畑104</t>
  </si>
  <si>
    <t>308</t>
  </si>
  <si>
    <t>南方町中ノ口120</t>
  </si>
  <si>
    <t>迫町新田字田上101</t>
  </si>
  <si>
    <t>迫町新田字西沢38</t>
  </si>
  <si>
    <t>迫町新田字西沢40</t>
  </si>
  <si>
    <t>迫町新田字大田切25</t>
  </si>
  <si>
    <t>迫町新田字大田切72</t>
  </si>
  <si>
    <t>迫町新田字大田切57-1</t>
  </si>
  <si>
    <t>迫町新田字大浦前23</t>
  </si>
  <si>
    <t>迫町新田字大浦前43</t>
  </si>
  <si>
    <t>迫町新田字大浦前44</t>
  </si>
  <si>
    <t>迫町新田字大浦前45</t>
  </si>
  <si>
    <t>迫町新田字鍛治ケ沢45</t>
  </si>
  <si>
    <t>迫町新田字十五丸23</t>
  </si>
  <si>
    <t>65</t>
  </si>
  <si>
    <t>迫町新田字十五丸33</t>
  </si>
  <si>
    <t>66</t>
  </si>
  <si>
    <t>迫町新田字十五丸34</t>
  </si>
  <si>
    <t>67</t>
  </si>
  <si>
    <t>南方町中ノ口50</t>
  </si>
  <si>
    <t>南方町中ノ口52</t>
  </si>
  <si>
    <t>迫梅ノ木公園（梅ノ木グリーンパーク）</t>
  </si>
  <si>
    <t>001481:迫梅ノ木公園（梅ノ木グリーンパーク）</t>
  </si>
  <si>
    <t>3010150000:生涯学習課</t>
  </si>
  <si>
    <t>2019/03/13</t>
  </si>
  <si>
    <t>迫町佐沼字梅ノ木二丁目4-3</t>
  </si>
  <si>
    <t>3105:換地（取得）</t>
  </si>
  <si>
    <t>0180019</t>
  </si>
  <si>
    <t>迫町新田字山ノ神89</t>
  </si>
  <si>
    <t>迫町新田字狼ノ欠26</t>
  </si>
  <si>
    <t>迫町新田字狼ノ欠22-1</t>
  </si>
  <si>
    <t>迫町新田字狼ノ欠16</t>
  </si>
  <si>
    <t>迫町新田字山田83-4</t>
  </si>
  <si>
    <t>迫町新田字山田42</t>
  </si>
  <si>
    <t>迫町新田字大久保189</t>
  </si>
  <si>
    <t>迫町新田字大久保177</t>
  </si>
  <si>
    <t>迫町新田字大久保172</t>
  </si>
  <si>
    <t>迫町新田字大久保48</t>
  </si>
  <si>
    <t>迫町新田字山崎196</t>
  </si>
  <si>
    <t>迫町新田字山崎146</t>
  </si>
  <si>
    <t>迫町新田字山崎145</t>
  </si>
  <si>
    <t>迫町新田字山崎4</t>
  </si>
  <si>
    <t>迫町新田字小友117</t>
  </si>
  <si>
    <t>115</t>
  </si>
  <si>
    <t>迫町新田字小友2</t>
  </si>
  <si>
    <t>迫町新田字小友1</t>
  </si>
  <si>
    <t>迫町新田字日向71</t>
  </si>
  <si>
    <t>迫町新田字日向60-1</t>
  </si>
  <si>
    <t>迫町新田字日向48</t>
  </si>
  <si>
    <t>迫町新田字日向33</t>
  </si>
  <si>
    <t>迫町新田字下板橋97</t>
  </si>
  <si>
    <t>迫町新田字下板橋90</t>
  </si>
  <si>
    <t>迫町新田字北深沢9</t>
  </si>
  <si>
    <t>迫町新田字番屋6-4</t>
  </si>
  <si>
    <t>迫町新田字上立戸139</t>
  </si>
  <si>
    <t>迫町新田字上立戸63</t>
  </si>
  <si>
    <t>迫町新田字上立戸57</t>
  </si>
  <si>
    <t>迫町新田字下葉木沢28</t>
  </si>
  <si>
    <t>迫町新田字下葉木沢12-3</t>
  </si>
  <si>
    <t>迫町新田字下葉木沢8</t>
  </si>
  <si>
    <t>迫町新田字中葉木沢55</t>
  </si>
  <si>
    <t>迫町新田字中葉木沢40</t>
  </si>
  <si>
    <t>迫町新田字中葉木沢21</t>
  </si>
  <si>
    <t>迫町新田字外沢田70</t>
  </si>
  <si>
    <t>迫町新田字外沢田63</t>
  </si>
  <si>
    <t>迫町新田字外沢田59</t>
  </si>
  <si>
    <t>迫町新田字外沢田43</t>
  </si>
  <si>
    <t>迫町新田字外沢田28</t>
  </si>
  <si>
    <t>迫町新田字東原51</t>
  </si>
  <si>
    <t>迫町新田字下十五丸65</t>
  </si>
  <si>
    <t>迫町新田字台所71</t>
  </si>
  <si>
    <t>迫町新田字台所64</t>
  </si>
  <si>
    <t>迫町新田字台所57</t>
  </si>
  <si>
    <t>迫町新田字南深沢39</t>
  </si>
  <si>
    <t>迫町新田字南深沢29-1</t>
  </si>
  <si>
    <t>迫町新田字南深沢6-1</t>
  </si>
  <si>
    <t>83</t>
  </si>
  <si>
    <t>迫町新田字南深沢4</t>
  </si>
  <si>
    <t>迫町新田字舘林70</t>
  </si>
  <si>
    <t>迫町新田字舘林67</t>
  </si>
  <si>
    <t>迫町新田字舘林57</t>
  </si>
  <si>
    <t>迫町新田字駒林4</t>
  </si>
  <si>
    <t>78</t>
  </si>
  <si>
    <t>迫町新田字駒林2</t>
  </si>
  <si>
    <t>77</t>
  </si>
  <si>
    <t>迫町新田字横沢78</t>
  </si>
  <si>
    <t>76</t>
  </si>
  <si>
    <t>迫町新田字横沢54</t>
  </si>
  <si>
    <t>75</t>
  </si>
  <si>
    <t>迫町新田字横沢13</t>
  </si>
  <si>
    <t>74</t>
  </si>
  <si>
    <t>迫町新田字横沢8</t>
  </si>
  <si>
    <t>73</t>
  </si>
  <si>
    <t>迫町新田字横沢1-1</t>
  </si>
  <si>
    <t>72</t>
  </si>
  <si>
    <t>迫町新田字対馬50-1</t>
  </si>
  <si>
    <t>71</t>
  </si>
  <si>
    <t>迫町新田字駒林前85</t>
  </si>
  <si>
    <t>70</t>
  </si>
  <si>
    <t>登米町大字日根牛新峯畑124</t>
  </si>
  <si>
    <t>354</t>
  </si>
  <si>
    <t>迫町新田字苗代沢46</t>
  </si>
  <si>
    <t>64</t>
  </si>
  <si>
    <t>迫町新田字苗代沢1</t>
  </si>
  <si>
    <t>63</t>
  </si>
  <si>
    <t>迫町新田字境田3</t>
  </si>
  <si>
    <t>62</t>
  </si>
  <si>
    <t>迫町新田字寺志田114</t>
  </si>
  <si>
    <t>61</t>
  </si>
  <si>
    <t>迫町新田字寺志田110-1</t>
  </si>
  <si>
    <t>迫町新田字寺志田58</t>
  </si>
  <si>
    <t>59</t>
  </si>
  <si>
    <t>迫町新田字寺志田57</t>
  </si>
  <si>
    <t>58</t>
  </si>
  <si>
    <t>迫町新田字寺志田41</t>
  </si>
  <si>
    <t>57</t>
  </si>
  <si>
    <t>迫町新田字寺志田24</t>
  </si>
  <si>
    <t>56</t>
  </si>
  <si>
    <t>迫町新田字寺志田20</t>
  </si>
  <si>
    <t>55</t>
  </si>
  <si>
    <t>迫町新田字寺志田19</t>
  </si>
  <si>
    <t>54</t>
  </si>
  <si>
    <t>迫町新田字寺志田4</t>
  </si>
  <si>
    <t>迫町新田字大樟49</t>
  </si>
  <si>
    <t>迫町新田字大樟18</t>
  </si>
  <si>
    <t>迫町新田字彦道183-1</t>
  </si>
  <si>
    <t>迫町新田字彦道53</t>
  </si>
  <si>
    <t>迫町新田字新板橋1-1</t>
  </si>
  <si>
    <t>迫町新田字大沢3</t>
  </si>
  <si>
    <t>迫町新田字大沢2</t>
  </si>
  <si>
    <t>迫町新田字大沢1</t>
  </si>
  <si>
    <t>迫町新田字飯島34</t>
  </si>
  <si>
    <t>迫町新田字高森41</t>
  </si>
  <si>
    <t>迫町新田字下品ノ浦55</t>
  </si>
  <si>
    <t>迫町新田字菱ノ倉10-1</t>
  </si>
  <si>
    <t>迫町新田字山守屋敷209</t>
  </si>
  <si>
    <t>迫町新田字山守屋敷72</t>
  </si>
  <si>
    <t>迫町新田字田上70</t>
  </si>
  <si>
    <t>迫町新田字田上22-2</t>
  </si>
  <si>
    <t>01:田</t>
  </si>
  <si>
    <t>迫町新田字田上22-1</t>
  </si>
  <si>
    <t>迫町新田字田上21</t>
  </si>
  <si>
    <t>迫町新田字大上28</t>
  </si>
  <si>
    <t>中田町上沼字新八幡浦46</t>
  </si>
  <si>
    <t>366</t>
  </si>
  <si>
    <t>迫町新田字大上21</t>
  </si>
  <si>
    <t>迫町新田字大久保228</t>
  </si>
  <si>
    <t>迫町新田字品ノ浦162</t>
  </si>
  <si>
    <t>迫町北方字南観音寺75</t>
  </si>
  <si>
    <t>迫町北方字丸森65</t>
  </si>
  <si>
    <t>迫町北方字地粮41-6</t>
  </si>
  <si>
    <t>迫町北方字川戸沼53</t>
  </si>
  <si>
    <t>8</t>
  </si>
  <si>
    <t>迫町北方字大洞63-3</t>
  </si>
  <si>
    <t>迫町北方字金ケ森29</t>
  </si>
  <si>
    <t>迫町北方字三ツ目沢57</t>
  </si>
  <si>
    <t>迫町北方字三ツ目沢41</t>
  </si>
  <si>
    <t>迫町北方字北観音寺92</t>
  </si>
  <si>
    <t>迫町北方字来田126</t>
  </si>
  <si>
    <t>迫町北方字天形173-1</t>
  </si>
  <si>
    <t>十五畴公園</t>
  </si>
  <si>
    <t>001593:十五畴公園</t>
  </si>
  <si>
    <t>1045100000:迫総合支所市民課</t>
  </si>
  <si>
    <t>迫町佐沼字十五畴114-18</t>
  </si>
  <si>
    <t>1978/06/23</t>
  </si>
  <si>
    <t>0230012</t>
  </si>
  <si>
    <t>寺浦団地公園</t>
  </si>
  <si>
    <t>001592:寺浦団地公園</t>
  </si>
  <si>
    <t>迫町佐沼字寺浦1-5</t>
  </si>
  <si>
    <t>1990/06/14</t>
  </si>
  <si>
    <t>0230011</t>
  </si>
  <si>
    <t>舟橋公園</t>
  </si>
  <si>
    <t>001591:舟橋公園</t>
  </si>
  <si>
    <t>迫町北方字舟橋前38-9</t>
  </si>
  <si>
    <t>0230010</t>
  </si>
  <si>
    <t>迫町北方字舟橋前38-1</t>
  </si>
  <si>
    <t>迫町北方字舟橋前37-8</t>
  </si>
  <si>
    <t>迫町北方字舟橋前37-6</t>
  </si>
  <si>
    <t>1975/12/23</t>
  </si>
  <si>
    <t>友愛団地公園</t>
  </si>
  <si>
    <t>001590:友愛団地公園</t>
  </si>
  <si>
    <t>迫町北方字大洞118-97</t>
  </si>
  <si>
    <t>2014/03/28</t>
  </si>
  <si>
    <t>0230009</t>
  </si>
  <si>
    <t>公園（旧小関邸）</t>
  </si>
  <si>
    <t>001589:公園（旧小関邸）</t>
  </si>
  <si>
    <t>2014/03/19</t>
  </si>
  <si>
    <t>町並み環境整備事業による小公園整備のための土地の取得　</t>
  </si>
  <si>
    <t>登米町寺池桜小路72-5</t>
  </si>
  <si>
    <t>0230008</t>
  </si>
  <si>
    <t>小池前公園（日根牛地区宅地造成地内）</t>
  </si>
  <si>
    <t>001493:小池前公園</t>
  </si>
  <si>
    <t>登米町大字日根牛小池前5-22</t>
  </si>
  <si>
    <t>0230007</t>
  </si>
  <si>
    <t>阿羅田公園（日根牛地区宅地造成地内）</t>
  </si>
  <si>
    <t>001587:阿羅田公園（日根牛地区宅地造成地内）</t>
  </si>
  <si>
    <t>登米町大字日根牛阿羅田75-12</t>
  </si>
  <si>
    <t>0230006</t>
  </si>
  <si>
    <t>間伐材流通合理化センター　他</t>
  </si>
  <si>
    <t>001585:間伐材流通合理化センター・食品加工普及施設</t>
  </si>
  <si>
    <t>1035500000:地域ビジネス支援課</t>
  </si>
  <si>
    <t>津山町横山字細屋29-21</t>
  </si>
  <si>
    <t>0230003</t>
  </si>
  <si>
    <t>津山町横山字細屋29-23</t>
  </si>
  <si>
    <t>津山町横山字細屋26-107</t>
  </si>
  <si>
    <t>津山町横山字細屋26-102</t>
  </si>
  <si>
    <t>津山町横山字細屋26-103</t>
  </si>
  <si>
    <t>津山町横山字細屋26-109</t>
  </si>
  <si>
    <t>津山町横山字細屋17-1</t>
  </si>
  <si>
    <t>登米町大字日根牛新峯畑130</t>
  </si>
  <si>
    <t>355</t>
  </si>
  <si>
    <t>津山町横山字細屋29-13</t>
  </si>
  <si>
    <t>05:山林</t>
  </si>
  <si>
    <t>津山町横山字細屋24-2</t>
  </si>
  <si>
    <t>津山町横山字細屋24</t>
  </si>
  <si>
    <t>森林史跡公園</t>
  </si>
  <si>
    <t>001583:森林史跡公園</t>
  </si>
  <si>
    <t>1015150000:観光シティプロモーション課</t>
  </si>
  <si>
    <t>東和町米川字東綱木209-1</t>
  </si>
  <si>
    <t>0230002</t>
  </si>
  <si>
    <t>東和町米川字東綱木191-1</t>
  </si>
  <si>
    <t>東和町米川字東綱木205</t>
  </si>
  <si>
    <t>東和町米川字東綱木210</t>
  </si>
  <si>
    <t>登米市豊里運動公園</t>
  </si>
  <si>
    <t>001581:登米市豊里運動公園</t>
  </si>
  <si>
    <t>豊里町上屋浦114-11</t>
  </si>
  <si>
    <t>0220007</t>
  </si>
  <si>
    <t>豊里町上屋浦113-2</t>
  </si>
  <si>
    <t>豊里町上屋浦112-2</t>
  </si>
  <si>
    <t>豊里町上屋浦111-2</t>
  </si>
  <si>
    <t>02:畑</t>
  </si>
  <si>
    <t>豊里町上屋浦110-2</t>
  </si>
  <si>
    <t>豊里町上屋浦109-2</t>
  </si>
  <si>
    <t>豊里町上屋浦108-2</t>
  </si>
  <si>
    <t>豊里町上屋浦107-2</t>
  </si>
  <si>
    <t>豊里町上屋浦106-2</t>
  </si>
  <si>
    <t>迫町新田字菱ノ倉19</t>
  </si>
  <si>
    <t>豊里町上屋浦105-2</t>
  </si>
  <si>
    <t>豊里町上屋浦104</t>
  </si>
  <si>
    <t>豊里町上屋浦103-2</t>
  </si>
  <si>
    <t>豊里町上屋浦102-2</t>
  </si>
  <si>
    <t>豊里町上屋浦101-2</t>
  </si>
  <si>
    <t>豊里町上屋浦100-2</t>
  </si>
  <si>
    <t>豊里町上屋浦99-3</t>
  </si>
  <si>
    <t>豊里町上屋浦98-1</t>
  </si>
  <si>
    <t>豊里町上屋浦97</t>
  </si>
  <si>
    <t>豊里町上屋浦96</t>
  </si>
  <si>
    <t>豊里町上屋浦95-1</t>
  </si>
  <si>
    <t>豊里町上屋浦94</t>
  </si>
  <si>
    <t>豊里町上屋浦93</t>
  </si>
  <si>
    <t>豊里町上屋浦92</t>
  </si>
  <si>
    <t>豊里町上屋浦91-2</t>
  </si>
  <si>
    <t>豊里町上屋浦91-1</t>
  </si>
  <si>
    <t>豊里町上屋浦90</t>
  </si>
  <si>
    <t>豊里町上屋浦89</t>
  </si>
  <si>
    <t>豊里町上屋浦88</t>
  </si>
  <si>
    <t>40</t>
  </si>
  <si>
    <t>豊里町上屋浦87</t>
  </si>
  <si>
    <t>豊里町上屋浦86</t>
  </si>
  <si>
    <t>豊里町上屋浦85</t>
  </si>
  <si>
    <t>豊里町上屋浦84-3</t>
  </si>
  <si>
    <t>豊里町上屋浦82-6</t>
  </si>
  <si>
    <t>豊里町上屋浦81-10</t>
  </si>
  <si>
    <t>豊里町上屋浦81-9</t>
  </si>
  <si>
    <t>豊里町上屋浦80-5</t>
  </si>
  <si>
    <t>豊里町上屋浦79-5</t>
  </si>
  <si>
    <t>豊里町上屋浦78</t>
  </si>
  <si>
    <t>豊里町上屋浦77</t>
  </si>
  <si>
    <t>豊里町上屋浦76</t>
  </si>
  <si>
    <t>豊里町上屋浦75</t>
  </si>
  <si>
    <t>豊里町上屋浦74</t>
  </si>
  <si>
    <t>豊里町上屋浦73</t>
  </si>
  <si>
    <t>豊里町上屋浦72</t>
  </si>
  <si>
    <t>豊里町上屋浦71</t>
  </si>
  <si>
    <t>豊里町上屋浦70</t>
  </si>
  <si>
    <t>豊里町上屋浦69</t>
  </si>
  <si>
    <t>豊里町上屋浦67</t>
  </si>
  <si>
    <t>豊里町上屋浦66</t>
  </si>
  <si>
    <t>豊里町上屋浦65-1</t>
  </si>
  <si>
    <t>豊里町上屋浦64-1</t>
  </si>
  <si>
    <t>豊里町上屋浦63-3</t>
  </si>
  <si>
    <t>豊里町上屋浦62-3</t>
  </si>
  <si>
    <t>豊里町上屋浦62-2</t>
  </si>
  <si>
    <t>豊里町上屋浦61-2</t>
  </si>
  <si>
    <t>登米町大字日根牛新峯畑140</t>
  </si>
  <si>
    <t>356</t>
  </si>
  <si>
    <t>豊里町上屋浦59-2</t>
  </si>
  <si>
    <t>豊里町上屋浦58</t>
  </si>
  <si>
    <t>豊里町上屋浦57</t>
  </si>
  <si>
    <t>豊里町上屋浦56-2</t>
  </si>
  <si>
    <t>豊里町上屋浦55</t>
  </si>
  <si>
    <t>豊里町上屋浦54</t>
  </si>
  <si>
    <t>豊里町上屋浦53-2</t>
  </si>
  <si>
    <t>豊里町上屋浦52-2</t>
  </si>
  <si>
    <t>豊里町上屋浦51-2</t>
  </si>
  <si>
    <t>登米市石越総合運動公園</t>
  </si>
  <si>
    <t>001580:登米市石越総合運動公園</t>
  </si>
  <si>
    <t>石越町南郷字矢作135-5</t>
  </si>
  <si>
    <t>0220006</t>
  </si>
  <si>
    <t>石越町南郷字矢作134-14</t>
  </si>
  <si>
    <t>石越町南郷字矢作125-7</t>
  </si>
  <si>
    <t>石越町南郷字矢作122-5</t>
  </si>
  <si>
    <t>石越町南郷字矢作122-2</t>
  </si>
  <si>
    <t>石越町南郷字矢作122-1</t>
  </si>
  <si>
    <t>中田総合運動公園</t>
  </si>
  <si>
    <t>001578:中田総合運動公園</t>
  </si>
  <si>
    <t>中田町宝江黒沼字畑中138-14</t>
  </si>
  <si>
    <t>0220004</t>
  </si>
  <si>
    <t>中田町宝江黒沼字浦99-13</t>
  </si>
  <si>
    <t>中田町宝江黒沼字浦98-1</t>
  </si>
  <si>
    <t>中田町宝江黒沼字浦97-2</t>
  </si>
  <si>
    <t>中田町宝江黒沼字浦97-1</t>
  </si>
  <si>
    <t>中田町宝江黒沼字浦96</t>
  </si>
  <si>
    <t>中田町宝江黒沼字浦95-3</t>
  </si>
  <si>
    <t>中田町宝江黒沼字浦95-2</t>
  </si>
  <si>
    <t>中田町宝江黒沼字浦95-1</t>
  </si>
  <si>
    <t>中田町宝江黒沼字浦95</t>
  </si>
  <si>
    <t>中田町宝江黒沼字浦94</t>
  </si>
  <si>
    <t>中田町宝江黒沼字浦93-3</t>
  </si>
  <si>
    <t>中田町宝江黒沼字浦93-2</t>
  </si>
  <si>
    <t>中田町宝江黒沼字浦93-1</t>
  </si>
  <si>
    <t>中田町宝江黒沼字浦92-1</t>
  </si>
  <si>
    <t>中田町宝江黒沼字浦91-1</t>
  </si>
  <si>
    <t>東和町米谷字相川17</t>
  </si>
  <si>
    <t>登米市登米総合運動公園</t>
  </si>
  <si>
    <t>001575:登米市登米総合運動公園</t>
  </si>
  <si>
    <t>登米町小島弁慶山84-2</t>
  </si>
  <si>
    <t>0220001</t>
  </si>
  <si>
    <t>登米町小島弁慶山84-1</t>
  </si>
  <si>
    <t>登米町小島弁慶山81</t>
  </si>
  <si>
    <t>登米町小島弁慶山79</t>
  </si>
  <si>
    <t>登米町小島弁慶山77-1</t>
  </si>
  <si>
    <t>登米町小島弁慶山77</t>
  </si>
  <si>
    <t>登米町小島長橋630</t>
  </si>
  <si>
    <t>登米町小島長橋590</t>
  </si>
  <si>
    <t>登米町小島長橋576</t>
  </si>
  <si>
    <t>豊里町上屋浦68</t>
  </si>
  <si>
    <t>登米町小島長橋568</t>
  </si>
  <si>
    <t>登米町小島長橋565</t>
  </si>
  <si>
    <t>登米町寺池金沢山137</t>
  </si>
  <si>
    <t>登米町小島長橋561</t>
  </si>
  <si>
    <t>登米町小島長橋549-1</t>
  </si>
  <si>
    <t>町裏ポケットパーク</t>
  </si>
  <si>
    <t>001573:町裏ポケットパーク</t>
  </si>
  <si>
    <t>東和町米川字町裏28-2</t>
  </si>
  <si>
    <t>0210022</t>
  </si>
  <si>
    <t>南方平貝清水公園</t>
  </si>
  <si>
    <t>001572:南方平貝清水公園</t>
  </si>
  <si>
    <t>南方町下平貝133-3</t>
  </si>
  <si>
    <t>0210021</t>
  </si>
  <si>
    <t>南方町下平貝131-2</t>
  </si>
  <si>
    <t>南方町下平貝130-2</t>
  </si>
  <si>
    <t>南方町下平貝129</t>
  </si>
  <si>
    <t>南方町下平貝128</t>
  </si>
  <si>
    <t>南方町下平貝127-1</t>
  </si>
  <si>
    <t>南方花菖蒲の郷公園</t>
  </si>
  <si>
    <t>001571:南方花菖蒲の郷公園</t>
  </si>
  <si>
    <t>南方町須崎下296-2</t>
  </si>
  <si>
    <t>0210020</t>
  </si>
  <si>
    <t>中田町上沼字新八幡浦47</t>
  </si>
  <si>
    <t>367</t>
  </si>
  <si>
    <t>南方町翌沢217</t>
  </si>
  <si>
    <t>南方町翌沢78</t>
  </si>
  <si>
    <t>南方町翌沢77</t>
  </si>
  <si>
    <t>南方町翌沢76</t>
  </si>
  <si>
    <t>南方町翌沢75</t>
  </si>
  <si>
    <t>南方町翌沢74-1</t>
  </si>
  <si>
    <t>南方町翌沢73-1</t>
  </si>
  <si>
    <t>登米町大字日根牛新峯畑125</t>
  </si>
  <si>
    <t>357</t>
  </si>
  <si>
    <t>南方町翌沢71-1</t>
  </si>
  <si>
    <t>南方町翌沢70</t>
  </si>
  <si>
    <t>南方町翌沢69</t>
  </si>
  <si>
    <t>南方町翌沢68-1</t>
  </si>
  <si>
    <t>南方町翌沢67</t>
  </si>
  <si>
    <t>南方町翌沢66-2</t>
  </si>
  <si>
    <t>南方町翌沢66-1</t>
  </si>
  <si>
    <t>南方町翌沢65-1</t>
  </si>
  <si>
    <t>南方町翌沢37-5</t>
  </si>
  <si>
    <t>南方町翌沢37-1</t>
  </si>
  <si>
    <t>南方町翌沢36-3</t>
  </si>
  <si>
    <t>南方町翌沢36-2</t>
  </si>
  <si>
    <t>南方町翌沢36-1</t>
  </si>
  <si>
    <t>南方町翌沢34-2</t>
  </si>
  <si>
    <t>南方町翌沢34-1</t>
  </si>
  <si>
    <t>南方大嶽山交流広場</t>
  </si>
  <si>
    <t>001570:南方大嶽山交流広場</t>
  </si>
  <si>
    <t>南方町南沢60</t>
  </si>
  <si>
    <t>0210019</t>
  </si>
  <si>
    <t>南方町南沢33-1</t>
  </si>
  <si>
    <t>南方町大嶽山15</t>
  </si>
  <si>
    <t>石越海上連親水公園</t>
  </si>
  <si>
    <t>001569:石越海上連親水公園</t>
  </si>
  <si>
    <t>石越町東郷字祢宜屋敷143</t>
  </si>
  <si>
    <t>0210018</t>
  </si>
  <si>
    <t>石越町東郷字祢宜屋敷125-1</t>
  </si>
  <si>
    <t>石越町東郷字祢宜屋敷124-1</t>
  </si>
  <si>
    <t>石越町東郷字祢宜屋敷123-2</t>
  </si>
  <si>
    <t>石越町東郷字祢宜屋敷120-2</t>
  </si>
  <si>
    <t>石越町東郷字祢宜屋敷119-3</t>
  </si>
  <si>
    <t>石越町東郷字祢宜屋敷119-2</t>
  </si>
  <si>
    <t>石越町東郷字祢宜屋敷118-2</t>
  </si>
  <si>
    <t>石越町東郷字祢宜屋敷117-2</t>
  </si>
  <si>
    <t>石越町東郷字祢宜屋敷116-4</t>
  </si>
  <si>
    <t>石越町東郷字祢宜屋敷116-3</t>
  </si>
  <si>
    <t>石越町東郷字祢宜屋敷115-4</t>
  </si>
  <si>
    <t>石越町東郷字祢宜屋敷115-3</t>
  </si>
  <si>
    <t>石越町東郷字祢宜屋敷115-2</t>
  </si>
  <si>
    <t>石越町東郷字祢宜屋敷114-3</t>
  </si>
  <si>
    <t>石越町東郷字祢宜屋敷114-2</t>
  </si>
  <si>
    <t>石越町東郷字祢宜屋敷113-4</t>
  </si>
  <si>
    <t>石越町東郷字祢宜屋敷113-3</t>
  </si>
  <si>
    <t>石越町東郷字祢宜屋敷112-2</t>
  </si>
  <si>
    <t>石越町東郷字祢宜屋敷107-2</t>
  </si>
  <si>
    <t>石越町東郷字祢宜屋敷102-2</t>
  </si>
  <si>
    <t>石越町東郷字祢宜屋敷96-2</t>
  </si>
  <si>
    <t>石越町東郷字苦木145-3</t>
  </si>
  <si>
    <t>石越町東郷字苦木144</t>
  </si>
  <si>
    <t>2017/05/03</t>
  </si>
  <si>
    <t>石越町東郷字苦木142-2</t>
  </si>
  <si>
    <t>石越町東郷字苦木141-2</t>
  </si>
  <si>
    <t>石越町東郷字苦木138-12</t>
  </si>
  <si>
    <t>石越陽だまり公園</t>
  </si>
  <si>
    <t>001567:石越陽だまり公園</t>
  </si>
  <si>
    <t>石越町南郷字西門沖49</t>
  </si>
  <si>
    <t>0210016</t>
  </si>
  <si>
    <t>平筒沼ふれあい公園</t>
  </si>
  <si>
    <t>001566:平筒沼ふれあい公園</t>
  </si>
  <si>
    <t>平筒沼遊歩道の一部　</t>
  </si>
  <si>
    <t>米山町字桜岡楠田145-1</t>
  </si>
  <si>
    <t>0210015</t>
  </si>
  <si>
    <t>憩いの森（山林）　</t>
  </si>
  <si>
    <t>米山町字桜岡貝待井709</t>
  </si>
  <si>
    <t>13:保安林</t>
  </si>
  <si>
    <t>米山町字桜岡貝待井708-1</t>
  </si>
  <si>
    <t>（youyou館）　</t>
  </si>
  <si>
    <t>米山町字桜岡貝待井581-1</t>
  </si>
  <si>
    <t>米山町字桜岡貝待井581-3</t>
  </si>
  <si>
    <t>米山町字桜岡貝待井582-1</t>
  </si>
  <si>
    <t>中央広場（公園）　</t>
  </si>
  <si>
    <t>米山町字桜岡貝待井575</t>
  </si>
  <si>
    <t>米山町字桜岡貝待井571-2</t>
  </si>
  <si>
    <t>平筒沼　</t>
  </si>
  <si>
    <t>米山町字桜岡貝待井150-2</t>
  </si>
  <si>
    <t>（道路？）　</t>
  </si>
  <si>
    <t>米山町字桜岡貝待井149-2</t>
  </si>
  <si>
    <t>1999/12/01</t>
  </si>
  <si>
    <t>米山町字桜岡貝待井151</t>
  </si>
  <si>
    <t>2001/07/10</t>
  </si>
  <si>
    <t>さくら公園</t>
  </si>
  <si>
    <t>001565:豊里笑沢自然公園（桜公園）（栗園）</t>
  </si>
  <si>
    <t>豊里町笑沢153-25</t>
  </si>
  <si>
    <t>0210014</t>
  </si>
  <si>
    <t>くり公園</t>
  </si>
  <si>
    <t>豊里町笑沢153-22</t>
  </si>
  <si>
    <t>中田地蔵沼親水公園</t>
  </si>
  <si>
    <t>001564:中田地蔵沼親水公園</t>
  </si>
  <si>
    <t>中田町上沼字新小塚前1</t>
  </si>
  <si>
    <t>0210013</t>
  </si>
  <si>
    <t>中田冠木沼親水公園</t>
  </si>
  <si>
    <t>001563:中田冠木沼親水公園</t>
  </si>
  <si>
    <t>中田町上沼字弥勒寺住吉185-3</t>
  </si>
  <si>
    <t>0210012</t>
  </si>
  <si>
    <t>中田町上沼字弥勒寺住吉184-3</t>
  </si>
  <si>
    <t>中田町上沼字弥勒寺住吉182-2</t>
  </si>
  <si>
    <t>登米町大字日根牛新峯畑129</t>
  </si>
  <si>
    <t>358</t>
  </si>
  <si>
    <t>中田町上沼字弥勒寺住吉180-2</t>
  </si>
  <si>
    <t>中田町上沼字新八幡浦48</t>
  </si>
  <si>
    <t>368</t>
  </si>
  <si>
    <t>登米町大字日根牛新峯畑126</t>
  </si>
  <si>
    <t>359</t>
  </si>
  <si>
    <t>登米町大字日根牛新峯畑127</t>
  </si>
  <si>
    <t>360</t>
  </si>
  <si>
    <t>東和町米谷字福平46</t>
  </si>
  <si>
    <t>中田町上沼字新八幡浦49</t>
  </si>
  <si>
    <t>369</t>
  </si>
  <si>
    <t>登米町大字日根牛新峯畑128</t>
  </si>
  <si>
    <t>361</t>
  </si>
  <si>
    <t>登米町大字日根牛新峯畑133</t>
  </si>
  <si>
    <t>362</t>
  </si>
  <si>
    <t>中田町上沼字新八幡浦50</t>
  </si>
  <si>
    <t>370</t>
  </si>
  <si>
    <t>登米町大字日根牛新峯畑135</t>
  </si>
  <si>
    <t>登米町大字日根牛新峯畑134</t>
  </si>
  <si>
    <t>H30桜岡善王寺境線（土地購入）</t>
  </si>
  <si>
    <t>2018/03/30</t>
  </si>
  <si>
    <t>米山町字桜岡貝待井</t>
  </si>
  <si>
    <t>1126</t>
  </si>
  <si>
    <t>東和町米川字西綱木1-1</t>
  </si>
  <si>
    <t>中田町上沼字弥勒寺住吉179-2</t>
  </si>
  <si>
    <t>中田町上沼字弥勒寺住吉167-10</t>
  </si>
  <si>
    <t>中田町上沼字新北要害浦50</t>
  </si>
  <si>
    <t>371</t>
  </si>
  <si>
    <t>中田町上沼字冠木45-6</t>
  </si>
  <si>
    <t>中田町上沼字冠木45-4</t>
  </si>
  <si>
    <t>中田ふれあい中央公園</t>
  </si>
  <si>
    <t>001561:中田ふれあい中央公園</t>
  </si>
  <si>
    <t>中田町上沼字西桜場18</t>
  </si>
  <si>
    <t>1975/02/17</t>
  </si>
  <si>
    <t>0210010</t>
  </si>
  <si>
    <t>登米町大字日根牛新峯畑139</t>
  </si>
  <si>
    <t>登米町大字日根牛新峯畑122</t>
  </si>
  <si>
    <t>中田町上沼字新北要害浦51</t>
  </si>
  <si>
    <t>372</t>
  </si>
  <si>
    <t>登米町大字日根牛新北沢51</t>
  </si>
  <si>
    <t>登米町大字日根牛新北沢52</t>
  </si>
  <si>
    <t>東和町米川字町裏105-1</t>
  </si>
  <si>
    <t>中田町上沼字新北要害浦52</t>
  </si>
  <si>
    <t>373</t>
  </si>
  <si>
    <t>登米町大字日根牛新五郎峯144</t>
  </si>
  <si>
    <t>登米町大字日根牛新五郎峯147</t>
  </si>
  <si>
    <t>中田町上沼字新北要害浦53</t>
  </si>
  <si>
    <t>374</t>
  </si>
  <si>
    <t>登米町大字日根牛新五郎峯152</t>
  </si>
  <si>
    <t>登米町大字日根牛新五郎峯153</t>
  </si>
  <si>
    <t>東和町米谷字福平26</t>
  </si>
  <si>
    <t>登米駒つなぎの広場</t>
  </si>
  <si>
    <t>001555:登米駒つなぎの広場</t>
  </si>
  <si>
    <t>登米町寺池桜小路150</t>
  </si>
  <si>
    <t>0210004</t>
  </si>
  <si>
    <t>登米町寺池桜小路1-8</t>
  </si>
  <si>
    <t>登米寺池城址公園</t>
  </si>
  <si>
    <t>001554:登米寺池城址公園</t>
  </si>
  <si>
    <t>登米町寺池桜小路103-10</t>
  </si>
  <si>
    <t>0210003</t>
  </si>
  <si>
    <t>登米町寺池桜小路103-1</t>
  </si>
  <si>
    <t>登米町寺池桜小路103-11</t>
  </si>
  <si>
    <t>1987/08/03</t>
  </si>
  <si>
    <t>登米町寺池桜小路103-2</t>
  </si>
  <si>
    <t>中田町上沼字新北要害浦54</t>
  </si>
  <si>
    <t>375</t>
  </si>
  <si>
    <t>登米町大字日根牛新五郎峯160</t>
  </si>
  <si>
    <t>登米町大字日根牛新五郎峯166</t>
  </si>
  <si>
    <t>東和森林公園</t>
  </si>
  <si>
    <t>001550:東和森林公園</t>
  </si>
  <si>
    <t>東和町米川字北上沢102-13</t>
  </si>
  <si>
    <t>0200002</t>
  </si>
  <si>
    <t>東和町米川字北上沢102-14</t>
  </si>
  <si>
    <t>東和町米川字北上沢102-8</t>
  </si>
  <si>
    <t>登米森林公園</t>
  </si>
  <si>
    <t>001549:登米森林公園</t>
  </si>
  <si>
    <t>登米町大字日根牛上羽沢158-2</t>
  </si>
  <si>
    <t>0200001</t>
  </si>
  <si>
    <t>米山西野農村公園</t>
  </si>
  <si>
    <t>001541:米山西野農村公園</t>
  </si>
  <si>
    <t>米山町西野字新遠田71</t>
  </si>
  <si>
    <t>1989/12/04</t>
  </si>
  <si>
    <t>0190047</t>
  </si>
  <si>
    <t>米山町西野字新遠田70</t>
  </si>
  <si>
    <t>中田町上沼字新北要害浦55</t>
  </si>
  <si>
    <t>376</t>
  </si>
  <si>
    <t>津山木の体験広場</t>
  </si>
  <si>
    <t>001539:津山木の体験広場</t>
  </si>
  <si>
    <t>津山町柳津字形沼150-3</t>
  </si>
  <si>
    <t>0190045</t>
  </si>
  <si>
    <t>津山久保農村公園</t>
  </si>
  <si>
    <t>001538:津山久保農村公園</t>
  </si>
  <si>
    <t>津山町横山字久保82-5</t>
  </si>
  <si>
    <t>0190044</t>
  </si>
  <si>
    <t>津山南沢農村公園</t>
  </si>
  <si>
    <t>001537:津山南沢農村公園</t>
  </si>
  <si>
    <t>津山町横山字寺倉21</t>
  </si>
  <si>
    <t>0190043</t>
  </si>
  <si>
    <t>津山町横山字寺倉22-6</t>
  </si>
  <si>
    <t>津山町横山字寺倉22-3</t>
  </si>
  <si>
    <t>16:学校用地</t>
  </si>
  <si>
    <t>迫町新田字新舟崎108</t>
  </si>
  <si>
    <t>津山町横山字寺倉22-2</t>
  </si>
  <si>
    <t>登米町大字日根牛新峯畑132</t>
  </si>
  <si>
    <t>津山町横山字寺倉15-4</t>
  </si>
  <si>
    <t>津山町横山字寺倉14-5</t>
  </si>
  <si>
    <t>津山町横山字寺倉14-4</t>
  </si>
  <si>
    <t>津山町横山字寺倉14-3</t>
  </si>
  <si>
    <t>津山町横山字寺倉14-2</t>
  </si>
  <si>
    <t>津山黄牛町農村公園</t>
  </si>
  <si>
    <t>001536:津山黄牛町農村公園</t>
  </si>
  <si>
    <t>津山町柳津字黄牛新岩前245-1</t>
  </si>
  <si>
    <t>0190042</t>
  </si>
  <si>
    <t>津山入沢農村公園</t>
  </si>
  <si>
    <t>001535:津山入沢農村公園</t>
  </si>
  <si>
    <t>（他施設と土地併用）　</t>
  </si>
  <si>
    <t>津山町柳津字黄牛山窪36</t>
  </si>
  <si>
    <t>0190041</t>
  </si>
  <si>
    <t>登米町大字日根牛新峯畑138</t>
  </si>
  <si>
    <t>南方砥落農村公園</t>
  </si>
  <si>
    <t>001531:南方砥落農村公園</t>
  </si>
  <si>
    <t>南方町米袋前56</t>
  </si>
  <si>
    <t>0190037</t>
  </si>
  <si>
    <t>南方町米袋前55-2</t>
  </si>
  <si>
    <t>南方町米袋前55-1</t>
  </si>
  <si>
    <t>南方沢田農村公園</t>
  </si>
  <si>
    <t>001527:南方沢田農村公園</t>
  </si>
  <si>
    <t>南方町松島屋敷85</t>
  </si>
  <si>
    <t>0190033</t>
  </si>
  <si>
    <t>南方町松島屋敷82</t>
  </si>
  <si>
    <t>南方苔下農村公園</t>
  </si>
  <si>
    <t>001526:南方苔下農村公園</t>
  </si>
  <si>
    <t>1978/12/05</t>
  </si>
  <si>
    <t>南方町後高石162-3</t>
  </si>
  <si>
    <t>0190032</t>
  </si>
  <si>
    <t>南方中央公園</t>
  </si>
  <si>
    <t>001525:南方中央公園</t>
  </si>
  <si>
    <t>南方町八の森40-1</t>
  </si>
  <si>
    <t>0190031</t>
  </si>
  <si>
    <t>南方町八の森11-1</t>
  </si>
  <si>
    <t>南方町八の森10-1</t>
  </si>
  <si>
    <t>南方町八の森12-1</t>
  </si>
  <si>
    <t>南方町八の森24-11</t>
  </si>
  <si>
    <t>南方町八の森30-1</t>
  </si>
  <si>
    <t>迫町新田字新舟崎107</t>
  </si>
  <si>
    <t>石越第3農村公園</t>
  </si>
  <si>
    <t>001524:石越第3農村公園</t>
  </si>
  <si>
    <t>石越町南郷字松ケ崎前6-1</t>
  </si>
  <si>
    <t>0190030</t>
  </si>
  <si>
    <t>石越舘前住宅団地公園</t>
  </si>
  <si>
    <t>001523:石越舘前住宅団地公園</t>
  </si>
  <si>
    <t>石越町南郷字舘前190-5</t>
  </si>
  <si>
    <t>0190029</t>
  </si>
  <si>
    <t>東和町米川字町裏101-1</t>
  </si>
  <si>
    <t>米山千貫公園</t>
  </si>
  <si>
    <t>001521:米山千貫公園</t>
  </si>
  <si>
    <t>米山町中津山字東千貫47-3</t>
  </si>
  <si>
    <t>0190027</t>
  </si>
  <si>
    <t>豊里山根農村公園</t>
  </si>
  <si>
    <t>001515:豊里山根農村公園</t>
  </si>
  <si>
    <t>豊里町沢尻166</t>
  </si>
  <si>
    <t>0190021</t>
  </si>
  <si>
    <t>豊里十五貫農村公園</t>
  </si>
  <si>
    <t>001514:豊里十五貫農村公園</t>
  </si>
  <si>
    <t>豊里町内畑132</t>
  </si>
  <si>
    <t>0190020</t>
  </si>
  <si>
    <t>中田曲袋農村公園</t>
  </si>
  <si>
    <t>001513:中田曲袋農村公園</t>
  </si>
  <si>
    <t>2009/03/09</t>
  </si>
  <si>
    <t>中田町浅水字曲袋南5</t>
  </si>
  <si>
    <t>0190019</t>
  </si>
  <si>
    <t>中田町浅水字曲袋南4</t>
  </si>
  <si>
    <t>中田浅水農村公園</t>
  </si>
  <si>
    <t>001512:中田浅水農村公園</t>
  </si>
  <si>
    <t>中田町浅水字荒神堂149-1</t>
  </si>
  <si>
    <t>0190018</t>
  </si>
  <si>
    <t>中田町浅水字荒神堂148-1</t>
  </si>
  <si>
    <t>1999/09/21</t>
  </si>
  <si>
    <t>中田町浅水字荒神堂143-1</t>
  </si>
  <si>
    <t>中田新井田公園</t>
  </si>
  <si>
    <t>001511:中田新井田公園</t>
  </si>
  <si>
    <t>中田町宝江新井田字上待井31-2</t>
  </si>
  <si>
    <t>0190017</t>
  </si>
  <si>
    <t>中田西田公園</t>
  </si>
  <si>
    <t>001510:中田西田公園</t>
  </si>
  <si>
    <t>圃場整備事業による　</t>
  </si>
  <si>
    <t>中田町石森字西田北29</t>
  </si>
  <si>
    <t>1973/02/15</t>
  </si>
  <si>
    <t>0190016</t>
  </si>
  <si>
    <t>中田石森長根公園</t>
  </si>
  <si>
    <t>001509:中田石森長根公園</t>
  </si>
  <si>
    <t>中田町石森字長根66-1</t>
  </si>
  <si>
    <t>0190015</t>
  </si>
  <si>
    <t>中田町石森字西小倉1-1</t>
  </si>
  <si>
    <t>1994/06/28</t>
  </si>
  <si>
    <t>中田町石森字小倉253-1</t>
  </si>
  <si>
    <t>中田川面公園</t>
  </si>
  <si>
    <t>001506:中田川面公園</t>
  </si>
  <si>
    <t>中田町浅水字東川面198-1</t>
  </si>
  <si>
    <t>1994/07/12</t>
  </si>
  <si>
    <t>0190012</t>
  </si>
  <si>
    <t>中田大手口公園</t>
  </si>
  <si>
    <t>001505:中田大手口公園</t>
  </si>
  <si>
    <t>中田町上沼字長根3-1</t>
  </si>
  <si>
    <t>1987/08/04</t>
  </si>
  <si>
    <t>0190011</t>
  </si>
  <si>
    <t>中田町上沼字新北要害浦56</t>
  </si>
  <si>
    <t>377</t>
  </si>
  <si>
    <t>東和軽米農村公園</t>
  </si>
  <si>
    <t>001503:東和軽米農村公園</t>
  </si>
  <si>
    <t>東和町米川字軽米141</t>
  </si>
  <si>
    <t>0190009</t>
  </si>
  <si>
    <t>東和町米川字軽米91-1</t>
  </si>
  <si>
    <t>東和町米川字軽米90-1</t>
  </si>
  <si>
    <t>東和町米川字軽米87-4</t>
  </si>
  <si>
    <t>東和町米川字軽米93-1</t>
  </si>
  <si>
    <t>06:原野</t>
  </si>
  <si>
    <t>東和町米川字軽米89-5</t>
  </si>
  <si>
    <t>東和町米川字軽米89-4</t>
  </si>
  <si>
    <t>東和町米川字軽米93-2</t>
  </si>
  <si>
    <t>東和町米川字軽米89-3</t>
  </si>
  <si>
    <t>東和町米川字軽米89-1</t>
  </si>
  <si>
    <t>東和町米川字軽米88-1</t>
  </si>
  <si>
    <t>東和南沢農村公園</t>
  </si>
  <si>
    <t>001502:東和南沢農村公園</t>
  </si>
  <si>
    <t>東和町米谷字南沢53-11</t>
  </si>
  <si>
    <t>0190008</t>
  </si>
  <si>
    <t>東和町米谷字南沢52-8</t>
  </si>
  <si>
    <t>東和町米谷字南沢53-10</t>
  </si>
  <si>
    <t>東和町米谷字南沢1-20</t>
  </si>
  <si>
    <t>中田町浅水字曲袋北104</t>
  </si>
  <si>
    <t>東和綱木農村公園</t>
  </si>
  <si>
    <t>001501:東和綱木農村公園</t>
  </si>
  <si>
    <t>東和町米川字東綱木211</t>
  </si>
  <si>
    <t>0190007</t>
  </si>
  <si>
    <t>東和機織沼農村公園</t>
  </si>
  <si>
    <t>001500:東和機織沼農村公園</t>
  </si>
  <si>
    <t>東和町錦織字内ノ目294-2</t>
  </si>
  <si>
    <t>0190006</t>
  </si>
  <si>
    <t>東和町錦織字内ノ目291-3</t>
  </si>
  <si>
    <t>東和大清水農村公園</t>
  </si>
  <si>
    <t>001499:東和大清水農村公園</t>
  </si>
  <si>
    <t>東和町錦織字中畑106-1</t>
  </si>
  <si>
    <t>0190005</t>
  </si>
  <si>
    <t>東和大沢農村公園</t>
  </si>
  <si>
    <t>001498:東和大沢農村公園</t>
  </si>
  <si>
    <t>東和町米谷字新大沢94-2</t>
  </si>
  <si>
    <t>0190004</t>
  </si>
  <si>
    <t>迫泥内農村公園</t>
  </si>
  <si>
    <t>001497:迫泥内農村公園</t>
  </si>
  <si>
    <t>迫町北方字新土手ノ内71-4</t>
  </si>
  <si>
    <t>2018/04/01</t>
  </si>
  <si>
    <t>0190003</t>
  </si>
  <si>
    <t>迫町北方字新土手ノ内71-3</t>
  </si>
  <si>
    <t>中田町浅水字曲袋北106</t>
  </si>
  <si>
    <t>378</t>
  </si>
  <si>
    <t>迫町北方字新土手ノ内71-1</t>
  </si>
  <si>
    <t>迫坂戸公園</t>
  </si>
  <si>
    <t>001496:迫坂戸公園</t>
  </si>
  <si>
    <t>2007/11/13</t>
  </si>
  <si>
    <t>迫町新田字東坂戸155-4</t>
  </si>
  <si>
    <t>0190002</t>
  </si>
  <si>
    <t>迫永田農村公園</t>
  </si>
  <si>
    <t>001495:迫永田農村公園</t>
  </si>
  <si>
    <t>迫町北方字熊沢44-3</t>
  </si>
  <si>
    <t>0190001</t>
  </si>
  <si>
    <t>迫町北方字熊沢6-3</t>
  </si>
  <si>
    <t>迫町北方字熊沢5-2</t>
  </si>
  <si>
    <t>迫町北方字熊沢4-3</t>
  </si>
  <si>
    <t>2002/09/09</t>
  </si>
  <si>
    <t>迫町北方字熊沢1-4</t>
  </si>
  <si>
    <t>中田町上沼字新北要害浦57</t>
  </si>
  <si>
    <t>佐沼墓園</t>
  </si>
  <si>
    <t>001491:佐沼墓園</t>
  </si>
  <si>
    <t>迫町佐沼字沼向69-1</t>
  </si>
  <si>
    <t>17:墓地</t>
  </si>
  <si>
    <t>0180029</t>
  </si>
  <si>
    <t>迫町佐沼字沼向58</t>
  </si>
  <si>
    <t>豊里水辺の公園</t>
  </si>
  <si>
    <t>001489:豊里水辺の公園</t>
  </si>
  <si>
    <t>2008/03/31</t>
  </si>
  <si>
    <t>2018/03/28</t>
  </si>
  <si>
    <t>H19.10.1開設　</t>
  </si>
  <si>
    <t>豊里町川前187-1</t>
  </si>
  <si>
    <t>0180027</t>
  </si>
  <si>
    <t>鹿ヶ城公園（歴史博物館）</t>
  </si>
  <si>
    <t>001485:鹿ヶ城公園</t>
  </si>
  <si>
    <t>迫町佐沼字内町-道</t>
  </si>
  <si>
    <t>0180024</t>
  </si>
  <si>
    <t>2016/10/07</t>
  </si>
  <si>
    <t>迫町佐沼字内町15-3</t>
  </si>
  <si>
    <t>迫町佐沼字内町14-2</t>
  </si>
  <si>
    <t>迫町佐沼字内町10-3</t>
  </si>
  <si>
    <t>迫町佐沼字内町13-2</t>
  </si>
  <si>
    <t>迫町佐沼字内町10-2</t>
  </si>
  <si>
    <t>迫町佐沼字内町12-2</t>
  </si>
  <si>
    <t>迫町佐沼字内町63-29</t>
  </si>
  <si>
    <t>迫町佐沼字内町15-2</t>
  </si>
  <si>
    <t>迫町佐沼字内町27-1</t>
  </si>
  <si>
    <t>中田町浅水字曲袋北108</t>
  </si>
  <si>
    <t>379</t>
  </si>
  <si>
    <t>迫町佐沼字内町12-8</t>
  </si>
  <si>
    <t>迫町佐沼字内町12-7</t>
  </si>
  <si>
    <t>迫町佐沼字内町67-1</t>
  </si>
  <si>
    <t>迫町佐沼字内町63-20</t>
  </si>
  <si>
    <t>迫町佐沼字内町63-19</t>
  </si>
  <si>
    <t>迫町佐沼字内町63-1</t>
  </si>
  <si>
    <t>迫町佐沼字内町27-3</t>
  </si>
  <si>
    <t>中田町浅水字曲袋北103</t>
  </si>
  <si>
    <t>380</t>
  </si>
  <si>
    <t>迫町佐沼字内町23-6</t>
  </si>
  <si>
    <t>迫町佐沼字内町23-1</t>
  </si>
  <si>
    <t>迫町佐沼字内町67-7</t>
  </si>
  <si>
    <t>平成8年3月26日　亘理智胤氏より寄付　</t>
  </si>
  <si>
    <t>迫町佐沼字内町15-1</t>
  </si>
  <si>
    <t>鹿ヶ城公園</t>
  </si>
  <si>
    <t>0180023</t>
  </si>
  <si>
    <t>迫町佐沼字内町67-5</t>
  </si>
  <si>
    <t>迫町佐沼字内町63-22</t>
  </si>
  <si>
    <t>H30中沢線（土地購入）</t>
  </si>
  <si>
    <t>2017/12/11</t>
  </si>
  <si>
    <t>1114</t>
  </si>
  <si>
    <t>迫町佐沼字内町29-1</t>
  </si>
  <si>
    <t>迫町佐沼字内町28</t>
  </si>
  <si>
    <t>迫町佐沼字内町33-1</t>
  </si>
  <si>
    <t>かがの公園</t>
  </si>
  <si>
    <t>001484:かがの公園</t>
  </si>
  <si>
    <t>中田町石森字加賀野一丁目65</t>
  </si>
  <si>
    <t>0180022</t>
  </si>
  <si>
    <t>ぜん荷公園</t>
  </si>
  <si>
    <t>001483:ぜん荷公園</t>
  </si>
  <si>
    <t>東和町米谷字ぜん荷36</t>
  </si>
  <si>
    <t>0180021</t>
  </si>
  <si>
    <t>東和町米谷字ぜん荷22-7</t>
  </si>
  <si>
    <t>東和町米谷字ぜん荷22-6</t>
  </si>
  <si>
    <t>東和町米谷字ぜん荷22-5</t>
  </si>
  <si>
    <t>東和町米谷字ぜん荷53-1</t>
  </si>
  <si>
    <t>1998/10/22</t>
  </si>
  <si>
    <t>東和町米谷字ぜん荷22-3</t>
  </si>
  <si>
    <t>東和町米谷字ぜん荷22-2</t>
  </si>
  <si>
    <t>萩洗公園</t>
  </si>
  <si>
    <t>001482:萩洗公園</t>
  </si>
  <si>
    <t>迫町佐沼字江合一丁目6-5</t>
  </si>
  <si>
    <t>0180020</t>
  </si>
  <si>
    <t>迫町佐沼字梅ノ木二丁目4-5</t>
  </si>
  <si>
    <t>迫町佐沼字梅ノ木二丁目4-4</t>
  </si>
  <si>
    <t>大東公園</t>
  </si>
  <si>
    <t>001479:大東公園</t>
  </si>
  <si>
    <t>迫町佐沼字新大東54</t>
  </si>
  <si>
    <t>0180017</t>
  </si>
  <si>
    <t>米山桜岡第二公園</t>
  </si>
  <si>
    <t>001519:米山桜岡第２公園</t>
  </si>
  <si>
    <t>米山町字桜岡新東新田25-6</t>
  </si>
  <si>
    <t>0190025</t>
  </si>
  <si>
    <t>前田公園</t>
  </si>
  <si>
    <t>001477:前田公園</t>
  </si>
  <si>
    <t>中田町石森字前田46-3</t>
  </si>
  <si>
    <t>0180015</t>
  </si>
  <si>
    <t>下屋浦公園</t>
  </si>
  <si>
    <t>001476:下屋浦公園</t>
  </si>
  <si>
    <t>下屋浦土地区画整理事業により整備、都市公園として開設　</t>
  </si>
  <si>
    <t>豊里町下屋浦305</t>
  </si>
  <si>
    <t>0180014</t>
  </si>
  <si>
    <t>仲の松公園</t>
  </si>
  <si>
    <t>001475:仲の松公園</t>
  </si>
  <si>
    <t>豊里町新田町53-6</t>
  </si>
  <si>
    <t>0180013</t>
  </si>
  <si>
    <t>豊里町新田町53-4</t>
  </si>
  <si>
    <t>豊里町新田町53-1</t>
  </si>
  <si>
    <t>2018/08/01</t>
  </si>
  <si>
    <t>なかよし公園</t>
  </si>
  <si>
    <t>001474:なかよし公園</t>
  </si>
  <si>
    <t>中田町石森字加賀野二丁目87</t>
  </si>
  <si>
    <t>0180012</t>
  </si>
  <si>
    <t>中田町石森字加賀野二丁目10-5</t>
  </si>
  <si>
    <t>東和町米川字町裏21-2</t>
  </si>
  <si>
    <t>萩洗1号公園</t>
  </si>
  <si>
    <t>001472:萩洗1号公園</t>
  </si>
  <si>
    <t>迫町佐沼字萩洗一丁目14-7</t>
  </si>
  <si>
    <t>0180010</t>
  </si>
  <si>
    <t>梅ノ木4号公園</t>
  </si>
  <si>
    <t>001471:梅ノ木4号公園</t>
  </si>
  <si>
    <t>迫町佐沼字梅ノ木五丁目3-1</t>
  </si>
  <si>
    <t>1999/08/10</t>
  </si>
  <si>
    <t>0180009</t>
  </si>
  <si>
    <t>梅ノ木3号公園</t>
  </si>
  <si>
    <t>001470:梅ノ木3号公園</t>
  </si>
  <si>
    <t>迫町佐沼字梅ノ木三丁目5-12</t>
  </si>
  <si>
    <t>0180008</t>
  </si>
  <si>
    <t>梅ノ木2号公園</t>
  </si>
  <si>
    <t>001469:梅ノ木2号公園</t>
  </si>
  <si>
    <t>迫町佐沼字八幡一丁目9-3</t>
  </si>
  <si>
    <t>0180007</t>
  </si>
  <si>
    <t>梅ノ木1号公園</t>
  </si>
  <si>
    <t>001468:梅ノ木1号公園</t>
  </si>
  <si>
    <t>迫町佐沼字八幡三丁目3-2</t>
  </si>
  <si>
    <t>0180006</t>
  </si>
  <si>
    <t>南佐沼公園</t>
  </si>
  <si>
    <t>001467:南佐沼公園</t>
  </si>
  <si>
    <t>迫町佐沼字南佐沼二丁目3-5</t>
  </si>
  <si>
    <t>0180005</t>
  </si>
  <si>
    <t>中江南公園</t>
  </si>
  <si>
    <t>001466:中江南公園</t>
  </si>
  <si>
    <t>迫町佐沼字中江三丁目3-2</t>
  </si>
  <si>
    <t>0180004</t>
  </si>
  <si>
    <t>中田町上沼字新北要害浦58</t>
  </si>
  <si>
    <t>中江東公園</t>
  </si>
  <si>
    <t>001464:中江東公園</t>
  </si>
  <si>
    <t>迫町佐沼字中江一丁目4-1</t>
  </si>
  <si>
    <t>0180002</t>
  </si>
  <si>
    <t>錦公園</t>
  </si>
  <si>
    <t>001463:錦公園</t>
  </si>
  <si>
    <t>迫町佐沼字錦138</t>
  </si>
  <si>
    <t>0180001</t>
  </si>
  <si>
    <t>迫町新田字新舟崎106</t>
  </si>
  <si>
    <t>迫町新田字菱ノ倉12-1</t>
  </si>
  <si>
    <t>迫町新田字新舟崎105</t>
  </si>
  <si>
    <t>南方町中須崎244-1</t>
  </si>
  <si>
    <t>南方町中須崎224</t>
  </si>
  <si>
    <t>南方町中須崎46</t>
  </si>
  <si>
    <t>南方町銭金壇73-2</t>
  </si>
  <si>
    <t>迫町新田字新舟崎104</t>
  </si>
  <si>
    <t>南方東郷児童遊園</t>
  </si>
  <si>
    <t>001679:南方東郷児童遊園</t>
  </si>
  <si>
    <t>1973/01/30</t>
  </si>
  <si>
    <t>南方町堂地220-1</t>
  </si>
  <si>
    <t>1974/07/17</t>
  </si>
  <si>
    <t>0270004</t>
  </si>
  <si>
    <t>大萱沢渓流公園</t>
  </si>
  <si>
    <t>001582:大萱沢渓流公園</t>
  </si>
  <si>
    <t>津山町横山字大萱沢148-1</t>
  </si>
  <si>
    <t>0230001</t>
  </si>
  <si>
    <t>豊里町上屋浦50-5</t>
  </si>
  <si>
    <t>石越町南郷字矢作98-6</t>
  </si>
  <si>
    <t>南方北本郷遊園</t>
  </si>
  <si>
    <t>001533:南方北本郷遊園</t>
  </si>
  <si>
    <t>南方町照井225-1</t>
  </si>
  <si>
    <t>0190039</t>
  </si>
  <si>
    <t>中田町浅水字曲袋北105</t>
  </si>
  <si>
    <t>381</t>
  </si>
  <si>
    <t>南方町米袋前54-2</t>
  </si>
  <si>
    <t>南方南大畑農村公園</t>
  </si>
  <si>
    <t>001530:南方南大畑農村公園</t>
  </si>
  <si>
    <t>南方町新田15-1</t>
  </si>
  <si>
    <t>0190036</t>
  </si>
  <si>
    <t>南方原農村公園</t>
  </si>
  <si>
    <t>001529:南方原農村公園</t>
  </si>
  <si>
    <t>南方町新大村前5</t>
  </si>
  <si>
    <t>1979/02/26</t>
  </si>
  <si>
    <t>0190035</t>
  </si>
  <si>
    <t>中田浅部公園</t>
  </si>
  <si>
    <t>001508:中田浅部公園</t>
  </si>
  <si>
    <t>中田町浅水字浅部玉山180-4</t>
  </si>
  <si>
    <t>0190014</t>
  </si>
  <si>
    <t>中田舘公園</t>
  </si>
  <si>
    <t>001507:中田舘公園</t>
  </si>
  <si>
    <t>中田町宝江新井田字細谷125</t>
  </si>
  <si>
    <t>1990/10/30</t>
  </si>
  <si>
    <t>0190013</t>
  </si>
  <si>
    <t>中田町浅水字東川面195-2</t>
  </si>
  <si>
    <t>1988/01/20</t>
  </si>
  <si>
    <t>南方町銭金壇73-1</t>
  </si>
  <si>
    <t>迫町佐沼字梅ノ木二丁目4-1</t>
  </si>
  <si>
    <t>中江中央公園</t>
  </si>
  <si>
    <t>001480:中江中央公園</t>
  </si>
  <si>
    <t>迫町佐沼字中江二丁目6-3</t>
  </si>
  <si>
    <t>0180018</t>
  </si>
  <si>
    <t>南方町銭金壇56-1</t>
  </si>
  <si>
    <t>迫町新田字新舟崎103</t>
  </si>
  <si>
    <t>南方町銭金壇4</t>
  </si>
  <si>
    <t>迫町新田字新舟崎102</t>
  </si>
  <si>
    <t>迫町新田字新舟崎101</t>
  </si>
  <si>
    <t>南方町下平貝11</t>
  </si>
  <si>
    <t>中田町浅水字曲袋北107</t>
  </si>
  <si>
    <t>382</t>
  </si>
  <si>
    <t>迫町新田字新舟崎100</t>
  </si>
  <si>
    <t>南方町三代前206</t>
  </si>
  <si>
    <t>179</t>
  </si>
  <si>
    <t>南方町三代前198-1</t>
  </si>
  <si>
    <t>南方町三代前110-1</t>
  </si>
  <si>
    <t>迫町新田字新舟崎99</t>
  </si>
  <si>
    <t>69</t>
  </si>
  <si>
    <t>迫町新田字十五丸40</t>
  </si>
  <si>
    <t>68</t>
  </si>
  <si>
    <t>迫町新田字菱ノ倉28</t>
  </si>
  <si>
    <t>迫町新田字菱ノ倉22</t>
  </si>
  <si>
    <t>迫町新田字新舟崎98</t>
  </si>
  <si>
    <t>迫町新田字新舟崎97</t>
  </si>
  <si>
    <t>迫町新田字新舟崎96</t>
  </si>
  <si>
    <t>迫町新田字新舟崎95</t>
  </si>
  <si>
    <t>迫町新田字新舟崎94</t>
  </si>
  <si>
    <t>迫町新田字新舟崎93</t>
  </si>
  <si>
    <t>迫町新田字新舟崎92</t>
  </si>
  <si>
    <t>中田町上沼字新北要害浦59</t>
  </si>
  <si>
    <t>迫町新田字新茂栗68</t>
  </si>
  <si>
    <t>迫町新田字新舟崎138</t>
  </si>
  <si>
    <t>中田町石森字寺浦34</t>
  </si>
  <si>
    <t>426</t>
  </si>
  <si>
    <t>迫町新田字新舟崎90</t>
  </si>
  <si>
    <t>迫町新田字新舟崎89</t>
  </si>
  <si>
    <t>迫町新田字新舟崎88</t>
  </si>
  <si>
    <t>迫町新田字新舟崎87</t>
  </si>
  <si>
    <t>迫町新田字新舟崎86</t>
  </si>
  <si>
    <t>迫町新田字新舟崎85</t>
  </si>
  <si>
    <t>迫町新田字新舟崎84</t>
  </si>
  <si>
    <t>南方町南沢96-2</t>
  </si>
  <si>
    <t>南方町実沢42</t>
  </si>
  <si>
    <t>南方町間内34-1</t>
  </si>
  <si>
    <t>南方町間内19</t>
  </si>
  <si>
    <t>南方町間内下173</t>
  </si>
  <si>
    <t>中田町浅水字曲袋南94</t>
  </si>
  <si>
    <t>383</t>
  </si>
  <si>
    <t>南方町畑岡41-1</t>
  </si>
  <si>
    <t>南方町沼崎7</t>
  </si>
  <si>
    <t>南方町中ノ口174</t>
  </si>
  <si>
    <t>南方町中ノ口159</t>
  </si>
  <si>
    <t>南方町中ノ口127</t>
  </si>
  <si>
    <t>195</t>
  </si>
  <si>
    <t>南方町中ノ口124</t>
  </si>
  <si>
    <t>南方町中ノ口78-1</t>
  </si>
  <si>
    <t>迫町新田字田上87</t>
  </si>
  <si>
    <t>中田町浅水字曲袋南97</t>
  </si>
  <si>
    <t>384</t>
  </si>
  <si>
    <t>03:道路台帳</t>
  </si>
  <si>
    <t>R2公民館東線（土地購入）</t>
  </si>
  <si>
    <t>2020/10/02</t>
  </si>
  <si>
    <t>登米町寺池目子待井</t>
  </si>
  <si>
    <t>2020</t>
  </si>
  <si>
    <t>1189</t>
  </si>
  <si>
    <t>R2瀬ヶ崎・萩洗線（移転補償）</t>
  </si>
  <si>
    <t>2020/06/02</t>
  </si>
  <si>
    <t>迫町北方字日向前下8</t>
  </si>
  <si>
    <t>1184</t>
  </si>
  <si>
    <t>中田町宝江新井田字南下道44</t>
  </si>
  <si>
    <t>474</t>
  </si>
  <si>
    <t>東和町米川字北上沢220-2</t>
  </si>
  <si>
    <t>登米金沢山児童遊園</t>
  </si>
  <si>
    <t>001677:登米金沢山児童遊園</t>
  </si>
  <si>
    <t>1974/02/18</t>
  </si>
  <si>
    <t>登米町寺池金沢山46</t>
  </si>
  <si>
    <t>0270002</t>
  </si>
  <si>
    <t>古屋敷溜池</t>
  </si>
  <si>
    <t>石越町東郷字黒山115</t>
  </si>
  <si>
    <t>0260004</t>
  </si>
  <si>
    <t>石鼻溜池</t>
  </si>
  <si>
    <t>石越町東郷字黒山81</t>
  </si>
  <si>
    <t>0260003</t>
  </si>
  <si>
    <t>温水溜池</t>
  </si>
  <si>
    <t>登米町大字日根牛小池前342</t>
  </si>
  <si>
    <t>0260002</t>
  </si>
  <si>
    <t>中田町宝江黒沼字浦88-1</t>
  </si>
  <si>
    <t>津山元町農村公園</t>
  </si>
  <si>
    <t>001534:津山元町農村公園</t>
  </si>
  <si>
    <t>津山町柳津字平形161-1</t>
  </si>
  <si>
    <t>0190040</t>
  </si>
  <si>
    <t>東和町米谷字寺沢129</t>
  </si>
  <si>
    <t>中田町上沼字長根108</t>
  </si>
  <si>
    <t>1981/11/10</t>
  </si>
  <si>
    <t>東和馬の足農村公園</t>
  </si>
  <si>
    <t>001504:東和馬の足農村公園</t>
  </si>
  <si>
    <t>東和町米川字馬ノ足26-3</t>
  </si>
  <si>
    <t>0190010</t>
  </si>
  <si>
    <t>南方町銭金壇26-1</t>
  </si>
  <si>
    <t>中田町上沼字新北要害浦60</t>
  </si>
  <si>
    <t>中田町浅水字曲袋南93</t>
  </si>
  <si>
    <t>385</t>
  </si>
  <si>
    <t>中田町浅水字曲袋南96</t>
  </si>
  <si>
    <t>386</t>
  </si>
  <si>
    <t>中田町上沼字新北要害浦61</t>
  </si>
  <si>
    <t>中田町浅水字曲袋南92</t>
  </si>
  <si>
    <t>387</t>
  </si>
  <si>
    <t>中田町浅水字曲袋南95</t>
  </si>
  <si>
    <t>388</t>
  </si>
  <si>
    <t>東和町米谷字山桑72</t>
  </si>
  <si>
    <t>中田町上沼字新北要害浦62</t>
  </si>
  <si>
    <t>中田町浅水字曲袋南91</t>
  </si>
  <si>
    <t>389</t>
  </si>
  <si>
    <t>中田町浅水字曲袋南90</t>
  </si>
  <si>
    <t>390</t>
  </si>
  <si>
    <t>中田町上沼字新北要害浦63</t>
  </si>
  <si>
    <t>石越町北郷字新押込55</t>
  </si>
  <si>
    <t>1001</t>
  </si>
  <si>
    <t>津山町横山字北沢上90</t>
  </si>
  <si>
    <t>1991/12/10</t>
  </si>
  <si>
    <t>1274</t>
  </si>
  <si>
    <t>津山町横山字北沢上80</t>
  </si>
  <si>
    <t>1995/01/26</t>
  </si>
  <si>
    <t>1273</t>
  </si>
  <si>
    <t>津山町横山字北沢上79</t>
  </si>
  <si>
    <t>1991/11/15</t>
  </si>
  <si>
    <t>1272</t>
  </si>
  <si>
    <t>津山町横山字南沢中12</t>
  </si>
  <si>
    <t>1992/01/08</t>
  </si>
  <si>
    <t>1271</t>
  </si>
  <si>
    <t>津山町横山字南沢中11</t>
  </si>
  <si>
    <t>1991/12/24</t>
  </si>
  <si>
    <t>1270</t>
  </si>
  <si>
    <t>津山町横山字南沢中10</t>
  </si>
  <si>
    <t>1992/02/06</t>
  </si>
  <si>
    <t>1269</t>
  </si>
  <si>
    <t>津山町横山字南沢上83</t>
  </si>
  <si>
    <t>1268</t>
  </si>
  <si>
    <t>津山町横山字南沢上82</t>
  </si>
  <si>
    <t>1267</t>
  </si>
  <si>
    <t>津山町横山字南沢上81</t>
  </si>
  <si>
    <t>1266</t>
  </si>
  <si>
    <t>津山町横山字南沢上78</t>
  </si>
  <si>
    <t>1265</t>
  </si>
  <si>
    <t>津山町横山字高谷地56</t>
  </si>
  <si>
    <t>2014/02/21</t>
  </si>
  <si>
    <t>1264</t>
  </si>
  <si>
    <t>津山町横山字高谷地55</t>
  </si>
  <si>
    <t>1263</t>
  </si>
  <si>
    <t>津山町横山字高谷地54</t>
  </si>
  <si>
    <t>1262</t>
  </si>
  <si>
    <t>津山町横山字高谷地53</t>
  </si>
  <si>
    <t>1261</t>
  </si>
  <si>
    <t>津山町横山字高谷地52</t>
  </si>
  <si>
    <t>1260</t>
  </si>
  <si>
    <t>津山町柳津字締切沼上37</t>
  </si>
  <si>
    <t>1259</t>
  </si>
  <si>
    <t>石越町南郷字新南埣190</t>
  </si>
  <si>
    <t>1980/08/29</t>
  </si>
  <si>
    <t>1258</t>
  </si>
  <si>
    <t>石越町南郷字新南埣189</t>
  </si>
  <si>
    <t>1257</t>
  </si>
  <si>
    <t>石越町南郷字新南埣188</t>
  </si>
  <si>
    <t>1256</t>
  </si>
  <si>
    <t>2018/01/22</t>
  </si>
  <si>
    <t>石越町南郷字新南埣187</t>
  </si>
  <si>
    <t>1255</t>
  </si>
  <si>
    <t>中田町上沼字新御蔵41</t>
  </si>
  <si>
    <t>391</t>
  </si>
  <si>
    <t>2018/12/27</t>
  </si>
  <si>
    <t>石越町北郷字新北71</t>
  </si>
  <si>
    <t>1253</t>
  </si>
  <si>
    <t>2017/05/01</t>
  </si>
  <si>
    <t>石越町北郷字新北70</t>
  </si>
  <si>
    <t>2017/04/18</t>
  </si>
  <si>
    <t>1252</t>
  </si>
  <si>
    <t>2018/11/20</t>
  </si>
  <si>
    <t>石越町北郷字新北69</t>
  </si>
  <si>
    <t>1251</t>
  </si>
  <si>
    <t>石越町北郷字新北68</t>
  </si>
  <si>
    <t>1250</t>
  </si>
  <si>
    <t>石越町北郷字新北67</t>
  </si>
  <si>
    <t>1249</t>
  </si>
  <si>
    <t>石越町北郷字新北66</t>
  </si>
  <si>
    <t>1248</t>
  </si>
  <si>
    <t>石越町北郷字新北65</t>
  </si>
  <si>
    <t>1247</t>
  </si>
  <si>
    <t>中田町上沼字新御蔵42</t>
  </si>
  <si>
    <t>392</t>
  </si>
  <si>
    <t>石越町北郷字新北63</t>
  </si>
  <si>
    <t>1245</t>
  </si>
  <si>
    <t>石越町北郷字新北62</t>
  </si>
  <si>
    <t>1244</t>
  </si>
  <si>
    <t>石越町北郷字新北61</t>
  </si>
  <si>
    <t>1243</t>
  </si>
  <si>
    <t>石越町北郷字新北60</t>
  </si>
  <si>
    <t>1242</t>
  </si>
  <si>
    <t>石越町北郷字新北59</t>
  </si>
  <si>
    <t>1241</t>
  </si>
  <si>
    <t>石越町北郷字新北58</t>
  </si>
  <si>
    <t>1240</t>
  </si>
  <si>
    <t>石越町北郷字新北57</t>
  </si>
  <si>
    <t>1239</t>
  </si>
  <si>
    <t>東和町米谷字福平24</t>
  </si>
  <si>
    <t>石越町北郷字新北55</t>
  </si>
  <si>
    <t>1237</t>
  </si>
  <si>
    <t>石越町北郷字新北54</t>
  </si>
  <si>
    <t>1236</t>
  </si>
  <si>
    <t>石越町北郷字新北53</t>
  </si>
  <si>
    <t>1235</t>
  </si>
  <si>
    <t>石越町北郷字新北52</t>
  </si>
  <si>
    <t>1234</t>
  </si>
  <si>
    <t>石越町北郷字新北51</t>
  </si>
  <si>
    <t>1233</t>
  </si>
  <si>
    <t>石越町北郷字新北50</t>
  </si>
  <si>
    <t>1232</t>
  </si>
  <si>
    <t>石越町北郷字新北39</t>
  </si>
  <si>
    <t>14:河川敷</t>
  </si>
  <si>
    <t>1231</t>
  </si>
  <si>
    <t>石越町北郷字新南73</t>
  </si>
  <si>
    <t>1230</t>
  </si>
  <si>
    <t>石越町北郷字新南72</t>
  </si>
  <si>
    <t>1229</t>
  </si>
  <si>
    <t>石越町北郷字新南71</t>
  </si>
  <si>
    <t>1228</t>
  </si>
  <si>
    <t>石越町北郷字新南70</t>
  </si>
  <si>
    <t>1227</t>
  </si>
  <si>
    <t>石越町北郷字新南69</t>
  </si>
  <si>
    <t>1226</t>
  </si>
  <si>
    <t>石越町北郷字新南68</t>
  </si>
  <si>
    <t>1225</t>
  </si>
  <si>
    <t>石越町北郷字新南67</t>
  </si>
  <si>
    <t>1224</t>
  </si>
  <si>
    <t>石越町北郷字新南66</t>
  </si>
  <si>
    <t>1223</t>
  </si>
  <si>
    <t>石越町北郷字新南65</t>
  </si>
  <si>
    <t>1222</t>
  </si>
  <si>
    <t>石越町北郷字新南64</t>
  </si>
  <si>
    <t>1221</t>
  </si>
  <si>
    <t>石越町北郷字新南63</t>
  </si>
  <si>
    <t>1220</t>
  </si>
  <si>
    <t>石越町北郷字新南62</t>
  </si>
  <si>
    <t>1219</t>
  </si>
  <si>
    <t>石越町北郷字新西47</t>
  </si>
  <si>
    <t>1218</t>
  </si>
  <si>
    <t>石越町北郷字新西46</t>
  </si>
  <si>
    <t>1217</t>
  </si>
  <si>
    <t>石越町北郷字新西45</t>
  </si>
  <si>
    <t>1216</t>
  </si>
  <si>
    <t>石越町北郷字新西44</t>
  </si>
  <si>
    <t>1215</t>
  </si>
  <si>
    <t>石越町北郷字新西43</t>
  </si>
  <si>
    <t>1214</t>
  </si>
  <si>
    <t>石越町北郷字新西42</t>
  </si>
  <si>
    <t>1213</t>
  </si>
  <si>
    <t>石越町北郷字新西41</t>
  </si>
  <si>
    <t>1212</t>
  </si>
  <si>
    <t>石越町北郷字新西40</t>
  </si>
  <si>
    <t>1211</t>
  </si>
  <si>
    <t>石越町北郷字新西39</t>
  </si>
  <si>
    <t>1210</t>
  </si>
  <si>
    <t>石越町北郷字新西38</t>
  </si>
  <si>
    <t>1209</t>
  </si>
  <si>
    <t>石越町北郷字新東53</t>
  </si>
  <si>
    <t>1208</t>
  </si>
  <si>
    <t>石越町北郷字新東52</t>
  </si>
  <si>
    <t>1207</t>
  </si>
  <si>
    <t>石越町北郷字新東51</t>
  </si>
  <si>
    <t>1206</t>
  </si>
  <si>
    <t>石越町北郷字新東50</t>
  </si>
  <si>
    <t>1205</t>
  </si>
  <si>
    <t>石越町北郷字新東49</t>
  </si>
  <si>
    <t>1204</t>
  </si>
  <si>
    <t>石越町北郷字新東48</t>
  </si>
  <si>
    <t>1203</t>
  </si>
  <si>
    <t>石越町北郷字新東47</t>
  </si>
  <si>
    <t>1202</t>
  </si>
  <si>
    <t>石越町北郷字新東46</t>
  </si>
  <si>
    <t>1201</t>
  </si>
  <si>
    <t>石越町北郷字新東45</t>
  </si>
  <si>
    <t>1200</t>
  </si>
  <si>
    <t>石越町北郷字新東44</t>
  </si>
  <si>
    <t>1199</t>
  </si>
  <si>
    <t>石越町北郷字新的場下45</t>
  </si>
  <si>
    <t>1198</t>
  </si>
  <si>
    <t>石越町北郷字新的場下44</t>
  </si>
  <si>
    <t>1197</t>
  </si>
  <si>
    <t>石越町北郷字新的場下43</t>
  </si>
  <si>
    <t>1196</t>
  </si>
  <si>
    <t>石越町北郷字新的場下42</t>
  </si>
  <si>
    <t>1195</t>
  </si>
  <si>
    <t>石越町北郷字新橋向111</t>
  </si>
  <si>
    <t>1194</t>
  </si>
  <si>
    <t>石越町北郷字新橋向114</t>
  </si>
  <si>
    <t>1193</t>
  </si>
  <si>
    <t>石越町北郷字新橋向112</t>
  </si>
  <si>
    <t>1192</t>
  </si>
  <si>
    <t>石越町北郷字新橋向137</t>
  </si>
  <si>
    <t>1191</t>
  </si>
  <si>
    <t>石越町北郷字新橋向125</t>
  </si>
  <si>
    <t>1190</t>
  </si>
  <si>
    <t>石越町北郷字新橋向126</t>
  </si>
  <si>
    <t>石越町北郷字新橋向123</t>
  </si>
  <si>
    <t>1188</t>
  </si>
  <si>
    <t>石越町北郷字新橋向124</t>
  </si>
  <si>
    <t>1187</t>
  </si>
  <si>
    <t>石越町北郷字新橋向122</t>
  </si>
  <si>
    <t>1186</t>
  </si>
  <si>
    <t>石越町北郷字新橋向120</t>
  </si>
  <si>
    <t>1185</t>
  </si>
  <si>
    <t>石越町北郷字新橋向119</t>
  </si>
  <si>
    <t>石越町北郷字新橋向121</t>
  </si>
  <si>
    <t>1183</t>
  </si>
  <si>
    <t>中田町上沼字新北要害浦64</t>
  </si>
  <si>
    <t>石越町北郷字新橋向117</t>
  </si>
  <si>
    <t>1181</t>
  </si>
  <si>
    <t>石越町北郷字新橋向116</t>
  </si>
  <si>
    <t>1180</t>
  </si>
  <si>
    <t>石越町北郷字新橋向115</t>
  </si>
  <si>
    <t>1179</t>
  </si>
  <si>
    <t>石越町北郷字新橋向105</t>
  </si>
  <si>
    <t>1178</t>
  </si>
  <si>
    <t>石越町北郷字新橋向110</t>
  </si>
  <si>
    <t>1177</t>
  </si>
  <si>
    <t>石越町北郷字新橋向109</t>
  </si>
  <si>
    <t>1176</t>
  </si>
  <si>
    <t>石越町北郷字新橋向113</t>
  </si>
  <si>
    <t>1175</t>
  </si>
  <si>
    <t>石越町北郷字新橋向108</t>
  </si>
  <si>
    <t>1174</t>
  </si>
  <si>
    <t>石越町北郷字新橋向106</t>
  </si>
  <si>
    <t>1173</t>
  </si>
  <si>
    <t>石越町北郷字新橋向107</t>
  </si>
  <si>
    <t>1172</t>
  </si>
  <si>
    <t>石越町北郷字新橋向141</t>
  </si>
  <si>
    <t>1171</t>
  </si>
  <si>
    <t>石越町北郷字新橋向142</t>
  </si>
  <si>
    <t>1170</t>
  </si>
  <si>
    <t>石越町北郷字新橋向140</t>
  </si>
  <si>
    <t>1169</t>
  </si>
  <si>
    <t>石越町北郷字新橋向139</t>
  </si>
  <si>
    <t>1168</t>
  </si>
  <si>
    <t>石越町北郷字新橋向138</t>
  </si>
  <si>
    <t>1167</t>
  </si>
  <si>
    <t>石越町北郷字新橋向136</t>
  </si>
  <si>
    <t>1166</t>
  </si>
  <si>
    <t>石越町北郷字新橋向135</t>
  </si>
  <si>
    <t>1165</t>
  </si>
  <si>
    <t>石越町北郷字新橋向134</t>
  </si>
  <si>
    <t>1164</t>
  </si>
  <si>
    <t>石越町北郷字新橋向133</t>
  </si>
  <si>
    <t>1163</t>
  </si>
  <si>
    <t>石越町北郷字新橋向132</t>
  </si>
  <si>
    <t>1162</t>
  </si>
  <si>
    <t>石越町北郷字新橋向131</t>
  </si>
  <si>
    <t>1161</t>
  </si>
  <si>
    <t>石越町北郷字新橋向129</t>
  </si>
  <si>
    <t>1160</t>
  </si>
  <si>
    <t>石越町北郷字新橋向127</t>
  </si>
  <si>
    <t>1159</t>
  </si>
  <si>
    <t>中田町上沼字新大柳26</t>
  </si>
  <si>
    <t>393</t>
  </si>
  <si>
    <t>石越町北郷字新橋向130</t>
  </si>
  <si>
    <t>1157</t>
  </si>
  <si>
    <t>石越町北郷字新傾城渕79</t>
  </si>
  <si>
    <t>1156</t>
  </si>
  <si>
    <t>石越町北郷字新傾城渕78</t>
  </si>
  <si>
    <t>1155</t>
  </si>
  <si>
    <t>中田町上沼字新大柳28</t>
  </si>
  <si>
    <t>394</t>
  </si>
  <si>
    <t>石越町北郷字新傾城渕76</t>
  </si>
  <si>
    <t>1153</t>
  </si>
  <si>
    <t>石越町北郷字新傾城渕75</t>
  </si>
  <si>
    <t>1152</t>
  </si>
  <si>
    <t>石越町北郷字新傾城渕74</t>
  </si>
  <si>
    <t>1151</t>
  </si>
  <si>
    <t>中田町上沼字新北要害浦65</t>
  </si>
  <si>
    <t>石越町北郷字新傾城渕72</t>
  </si>
  <si>
    <t>1149</t>
  </si>
  <si>
    <t>石越町北郷字新傾城渕71</t>
  </si>
  <si>
    <t>1148</t>
  </si>
  <si>
    <t>石越町北郷字新傾城渕70</t>
  </si>
  <si>
    <t>1147</t>
  </si>
  <si>
    <t>石越町北郷字新傾城渕69</t>
  </si>
  <si>
    <t>1146</t>
  </si>
  <si>
    <t>石越町北郷字新傾城渕68</t>
  </si>
  <si>
    <t>1145</t>
  </si>
  <si>
    <t>石越町北郷字新丸谷地92</t>
  </si>
  <si>
    <t>1144</t>
  </si>
  <si>
    <t>石越町北郷字新丸谷地91</t>
  </si>
  <si>
    <t>1143</t>
  </si>
  <si>
    <t>石越町北郷字新丸谷地90</t>
  </si>
  <si>
    <t>1142</t>
  </si>
  <si>
    <t>石越町北郷字新丸谷地89</t>
  </si>
  <si>
    <t>1141</t>
  </si>
  <si>
    <t>石越町北郷字新丸谷地88</t>
  </si>
  <si>
    <t>1140</t>
  </si>
  <si>
    <t>石越町北郷字新丸谷地87</t>
  </si>
  <si>
    <t>1139</t>
  </si>
  <si>
    <t>石越町北郷字新丸谷地86</t>
  </si>
  <si>
    <t>1138</t>
  </si>
  <si>
    <t>石越町北郷字新丸谷地85</t>
  </si>
  <si>
    <t>1137</t>
  </si>
  <si>
    <t>石越町北郷字新丸谷地84</t>
  </si>
  <si>
    <t>1136</t>
  </si>
  <si>
    <t>石越町北郷字新丸谷地83</t>
  </si>
  <si>
    <t>1135</t>
  </si>
  <si>
    <t>石越町北郷字新丸谷地82</t>
  </si>
  <si>
    <t>1134</t>
  </si>
  <si>
    <t>石越町北郷字新丸谷地81</t>
  </si>
  <si>
    <t>1133</t>
  </si>
  <si>
    <t>石越町北郷字新丸谷地80</t>
  </si>
  <si>
    <t>1132</t>
  </si>
  <si>
    <t>石越町北郷字新丸谷地79</t>
  </si>
  <si>
    <t>1131</t>
  </si>
  <si>
    <t>石越町北郷字新丸谷地78</t>
  </si>
  <si>
    <t>1130</t>
  </si>
  <si>
    <t>石越町北郷字新丸谷地77</t>
  </si>
  <si>
    <t>1129</t>
  </si>
  <si>
    <t>石越町北郷字新丸谷地76</t>
  </si>
  <si>
    <t>1128</t>
  </si>
  <si>
    <t>石越町北郷字新丸谷地75</t>
  </si>
  <si>
    <t>1127</t>
  </si>
  <si>
    <t>石越町北郷字新丸谷地74</t>
  </si>
  <si>
    <t>石越町北郷字新丸谷地73</t>
  </si>
  <si>
    <t>1125</t>
  </si>
  <si>
    <t>石越町北郷字新大和田67</t>
  </si>
  <si>
    <t>1124</t>
  </si>
  <si>
    <t>石越町北郷字新大和田66</t>
  </si>
  <si>
    <t>1123</t>
  </si>
  <si>
    <t>石越町北郷字新大和田65</t>
  </si>
  <si>
    <t>1122</t>
  </si>
  <si>
    <t>石越町北郷字新大和田64</t>
  </si>
  <si>
    <t>1121</t>
  </si>
  <si>
    <t>石越町北郷字新大和田63</t>
  </si>
  <si>
    <t>1120</t>
  </si>
  <si>
    <t>石越町北郷字新大和田62</t>
  </si>
  <si>
    <t>1119</t>
  </si>
  <si>
    <t>中田町上沼字新大柳29</t>
  </si>
  <si>
    <t>395</t>
  </si>
  <si>
    <t>石越町北郷字新大和田60</t>
  </si>
  <si>
    <t>1117</t>
  </si>
  <si>
    <t>石越町北郷字新富崎前76</t>
  </si>
  <si>
    <t>1116</t>
  </si>
  <si>
    <t>石越町北郷字新富崎前75</t>
  </si>
  <si>
    <t>1115</t>
  </si>
  <si>
    <t>石越町北郷字新富崎前74</t>
  </si>
  <si>
    <t>石越町北郷字新富崎前73</t>
  </si>
  <si>
    <t>石越町北郷字新富崎前72</t>
  </si>
  <si>
    <t>石越町北郷字新富崎前71</t>
  </si>
  <si>
    <t>1111</t>
  </si>
  <si>
    <t>石越町北郷字新富崎前70</t>
  </si>
  <si>
    <t>1110</t>
  </si>
  <si>
    <t>石越町北郷字新富崎前69</t>
  </si>
  <si>
    <t>1109</t>
  </si>
  <si>
    <t>石越町北郷字新富崎前68</t>
  </si>
  <si>
    <t>1108</t>
  </si>
  <si>
    <t>石越町北郷字新富崎前67</t>
  </si>
  <si>
    <t>1107</t>
  </si>
  <si>
    <t>石越町北郷字新富崎前66</t>
  </si>
  <si>
    <t>1106</t>
  </si>
  <si>
    <t>石越町北郷字新富崎前65</t>
  </si>
  <si>
    <t>1105</t>
  </si>
  <si>
    <t>石越町北郷字新富崎前64</t>
  </si>
  <si>
    <t>1104</t>
  </si>
  <si>
    <t>石越町北郷字新富崎前63</t>
  </si>
  <si>
    <t>1103</t>
  </si>
  <si>
    <t>石越町北郷字新富崎前62</t>
  </si>
  <si>
    <t>1102</t>
  </si>
  <si>
    <t>石越町北郷字新富崎前61</t>
  </si>
  <si>
    <t>1101</t>
  </si>
  <si>
    <t>石越町北郷字新富崎前60</t>
  </si>
  <si>
    <t>1100</t>
  </si>
  <si>
    <t>石越町北郷字新富崎前59</t>
  </si>
  <si>
    <t>1099</t>
  </si>
  <si>
    <t>石越町北郷字新富崎前58</t>
  </si>
  <si>
    <t>1098</t>
  </si>
  <si>
    <t>石越町北郷字新富崎前57</t>
  </si>
  <si>
    <t>1097</t>
  </si>
  <si>
    <t>石越町北郷字新富崎前56</t>
  </si>
  <si>
    <t>1096</t>
  </si>
  <si>
    <t>石越町北郷字新堀内前86</t>
  </si>
  <si>
    <t>1095</t>
  </si>
  <si>
    <t>石越町北郷字新堀内前85</t>
  </si>
  <si>
    <t>1094</t>
  </si>
  <si>
    <t>石越町北郷字新堀内前84</t>
  </si>
  <si>
    <t>1093</t>
  </si>
  <si>
    <t>石越町北郷字新堀内前83</t>
  </si>
  <si>
    <t>1092</t>
  </si>
  <si>
    <t>石越町北郷字新堀内前82</t>
  </si>
  <si>
    <t>1091</t>
  </si>
  <si>
    <t>石越町北郷字新堀内前81</t>
  </si>
  <si>
    <t>1090</t>
  </si>
  <si>
    <t>石越町北郷字新堀内前80</t>
  </si>
  <si>
    <t>1089</t>
  </si>
  <si>
    <t>石越町北郷字新堀内前79</t>
  </si>
  <si>
    <t>1088</t>
  </si>
  <si>
    <t>石越町北郷字新堀内前78</t>
  </si>
  <si>
    <t>1087</t>
  </si>
  <si>
    <t>石越町北郷字新堀内前77</t>
  </si>
  <si>
    <t>1086</t>
  </si>
  <si>
    <t>石越町北郷字新堀内前76</t>
  </si>
  <si>
    <t>1085</t>
  </si>
  <si>
    <t>石越町北郷字新堀内前75</t>
  </si>
  <si>
    <t>1084</t>
  </si>
  <si>
    <t>石越町北郷字新堀内前74</t>
  </si>
  <si>
    <t>1083</t>
  </si>
  <si>
    <t>石越町北郷字新堀内前73</t>
  </si>
  <si>
    <t>1082</t>
  </si>
  <si>
    <t>石越町北郷字新堀内前72</t>
  </si>
  <si>
    <t>1081</t>
  </si>
  <si>
    <t>石越町北郷字新堀内前71</t>
  </si>
  <si>
    <t>1080</t>
  </si>
  <si>
    <t>石越町北郷字新堀内前70</t>
  </si>
  <si>
    <t>1079</t>
  </si>
  <si>
    <t>石越町北郷字新堀内前69</t>
  </si>
  <si>
    <t>1078</t>
  </si>
  <si>
    <t>石越町北郷字新堀内前68</t>
  </si>
  <si>
    <t>1077</t>
  </si>
  <si>
    <t>石越町北郷字新堀内前67</t>
  </si>
  <si>
    <t>1076</t>
  </si>
  <si>
    <t>石越町北郷字新堀内前66</t>
  </si>
  <si>
    <t>1075</t>
  </si>
  <si>
    <t>石越町北郷字新堀内前65</t>
  </si>
  <si>
    <t>1074</t>
  </si>
  <si>
    <t>石越町北郷字新内の目153</t>
  </si>
  <si>
    <t>1073</t>
  </si>
  <si>
    <t>石越町北郷字新内の目152</t>
  </si>
  <si>
    <t>1072</t>
  </si>
  <si>
    <t>石越町北郷字新内の目151</t>
  </si>
  <si>
    <t>1071</t>
  </si>
  <si>
    <t>石越町北郷字新内の目150</t>
  </si>
  <si>
    <t>1070</t>
  </si>
  <si>
    <t>石越町北郷字新内の目149</t>
  </si>
  <si>
    <t>1069</t>
  </si>
  <si>
    <t>石越町北郷字新内の目148</t>
  </si>
  <si>
    <t>1068</t>
  </si>
  <si>
    <t>石越町北郷字新内の目147</t>
  </si>
  <si>
    <t>1067</t>
  </si>
  <si>
    <t>石越町北郷字新内の目146</t>
  </si>
  <si>
    <t>1066</t>
  </si>
  <si>
    <t>石越町北郷字新内の目145</t>
  </si>
  <si>
    <t>1065</t>
  </si>
  <si>
    <t>石越町北郷字新内の目144</t>
  </si>
  <si>
    <t>1064</t>
  </si>
  <si>
    <t>石越町北郷字新内の目143</t>
  </si>
  <si>
    <t>1063</t>
  </si>
  <si>
    <t>石越町北郷字新内の目142</t>
  </si>
  <si>
    <t>1062</t>
  </si>
  <si>
    <t>石越町北郷字新内の目141</t>
  </si>
  <si>
    <t>1061</t>
  </si>
  <si>
    <t>石越町北郷字新内の目140</t>
  </si>
  <si>
    <t>1060</t>
  </si>
  <si>
    <t>石越町北郷字新内の目139</t>
  </si>
  <si>
    <t>1059</t>
  </si>
  <si>
    <t>石越町北郷字新内の目138</t>
  </si>
  <si>
    <t>1058</t>
  </si>
  <si>
    <t>石越町北郷字新内の目137</t>
  </si>
  <si>
    <t>1057</t>
  </si>
  <si>
    <t>石越町北郷字新内の目136</t>
  </si>
  <si>
    <t>1056</t>
  </si>
  <si>
    <t>石越町北郷字新内の目135</t>
  </si>
  <si>
    <t>1055</t>
  </si>
  <si>
    <t>中田町上沼字新大柳30</t>
  </si>
  <si>
    <t>396</t>
  </si>
  <si>
    <t>石越町北郷字新内の目133</t>
  </si>
  <si>
    <t>1053</t>
  </si>
  <si>
    <t>石越町北郷字新内の目132</t>
  </si>
  <si>
    <t>1052</t>
  </si>
  <si>
    <t>石越町北郷字新内の目131</t>
  </si>
  <si>
    <t>1051</t>
  </si>
  <si>
    <t>石越町北郷字新内の目130</t>
  </si>
  <si>
    <t>1050</t>
  </si>
  <si>
    <t>石越町北郷字新内の目129</t>
  </si>
  <si>
    <t>1049</t>
  </si>
  <si>
    <t>石越町北郷字新内の目128</t>
  </si>
  <si>
    <t>1048</t>
  </si>
  <si>
    <t>石越町北郷字新内の目127</t>
  </si>
  <si>
    <t>1047</t>
  </si>
  <si>
    <t>石越町北郷字新内の目126</t>
  </si>
  <si>
    <t>1046</t>
  </si>
  <si>
    <t>石越町北郷字新内の目125</t>
  </si>
  <si>
    <t>1045</t>
  </si>
  <si>
    <t>石越町北郷字新内の目124</t>
  </si>
  <si>
    <t>1044</t>
  </si>
  <si>
    <t>石越町北郷字新内の目123</t>
  </si>
  <si>
    <t>1043</t>
  </si>
  <si>
    <t>石越町北郷字新内の目122</t>
  </si>
  <si>
    <t>1042</t>
  </si>
  <si>
    <t>石越町北郷字新内の目121</t>
  </si>
  <si>
    <t>1041</t>
  </si>
  <si>
    <t>石越町北郷字新内の目120</t>
  </si>
  <si>
    <t>1040</t>
  </si>
  <si>
    <t>石越町北郷字新内の目119</t>
  </si>
  <si>
    <t>1039</t>
  </si>
  <si>
    <t>石越町北郷字新内の目118</t>
  </si>
  <si>
    <t>1038</t>
  </si>
  <si>
    <t>石越町北郷字新長下田86</t>
  </si>
  <si>
    <t>1037</t>
  </si>
  <si>
    <t>石越町北郷字新長下田85</t>
  </si>
  <si>
    <t>1036</t>
  </si>
  <si>
    <t>石越町北郷字新長下田84</t>
  </si>
  <si>
    <t>1035</t>
  </si>
  <si>
    <t>石越町北郷字新長下田83</t>
  </si>
  <si>
    <t>1034</t>
  </si>
  <si>
    <t>石越町北郷字新長下田82</t>
  </si>
  <si>
    <t>1033</t>
  </si>
  <si>
    <t>石越町北郷字新長下田81</t>
  </si>
  <si>
    <t>1032</t>
  </si>
  <si>
    <t>石越町北郷字新長下田80</t>
  </si>
  <si>
    <t>1031</t>
  </si>
  <si>
    <t>石越町北郷字新長下田79</t>
  </si>
  <si>
    <t>1030</t>
  </si>
  <si>
    <t>石越町北郷字新長下田78</t>
  </si>
  <si>
    <t>1029</t>
  </si>
  <si>
    <t>石越町北郷字新長下田77</t>
  </si>
  <si>
    <t>1028</t>
  </si>
  <si>
    <t>石越町北郷字新長下田76</t>
  </si>
  <si>
    <t>1027</t>
  </si>
  <si>
    <t>石越町北郷字新長下田75</t>
  </si>
  <si>
    <t>1026</t>
  </si>
  <si>
    <t>石越町北郷字新長下田74</t>
  </si>
  <si>
    <t>1025</t>
  </si>
  <si>
    <t>石越町北郷字新長下田73</t>
  </si>
  <si>
    <t>1024</t>
  </si>
  <si>
    <t>石越町北郷字新長下田72</t>
  </si>
  <si>
    <t>1023</t>
  </si>
  <si>
    <t>H30東表前4号線（移転補償）</t>
  </si>
  <si>
    <t>2019/03/26</t>
  </si>
  <si>
    <t>2018/03/22</t>
  </si>
  <si>
    <t>迫町森字表前</t>
  </si>
  <si>
    <t>石越町北郷字新長下田70</t>
  </si>
  <si>
    <t>1021</t>
  </si>
  <si>
    <t>石越町北郷字新長下田69</t>
  </si>
  <si>
    <t>1020</t>
  </si>
  <si>
    <t>石越町北郷字新長下田68</t>
  </si>
  <si>
    <t>1019</t>
  </si>
  <si>
    <t>石越町北郷字新粒庭74</t>
  </si>
  <si>
    <t>1018</t>
  </si>
  <si>
    <t>石越町北郷字新粒庭73</t>
  </si>
  <si>
    <t>1017</t>
  </si>
  <si>
    <t>石越町北郷字新粒庭72</t>
  </si>
  <si>
    <t>1016</t>
  </si>
  <si>
    <t>石越町北郷字新粒庭71</t>
  </si>
  <si>
    <t>1015</t>
  </si>
  <si>
    <t>石越町北郷字新粒庭70</t>
  </si>
  <si>
    <t>1014</t>
  </si>
  <si>
    <t>石越町北郷字新粒庭69</t>
  </si>
  <si>
    <t>1013</t>
  </si>
  <si>
    <t>石越町北郷字新粒庭68</t>
  </si>
  <si>
    <t>1012</t>
  </si>
  <si>
    <t>石越町北郷字新粒庭67</t>
  </si>
  <si>
    <t>1011</t>
  </si>
  <si>
    <t>石越町北郷字新粒庭66</t>
  </si>
  <si>
    <t>1010</t>
  </si>
  <si>
    <t>石越町北郷字新粒庭65</t>
  </si>
  <si>
    <t>1009</t>
  </si>
  <si>
    <t>石越町北郷字新粒庭64</t>
  </si>
  <si>
    <t>1008</t>
  </si>
  <si>
    <t>石越町北郷字新粒庭63</t>
  </si>
  <si>
    <t>1007</t>
  </si>
  <si>
    <t>石越町北郷字新粒庭62</t>
  </si>
  <si>
    <t>1006</t>
  </si>
  <si>
    <t>石越町北郷字新粒庭61</t>
  </si>
  <si>
    <t>1005</t>
  </si>
  <si>
    <t>石越町北郷字新粒庭60</t>
  </si>
  <si>
    <t>1004</t>
  </si>
  <si>
    <t>石越町北郷字新押込57</t>
  </si>
  <si>
    <t>1003</t>
  </si>
  <si>
    <t>石越町北郷字新押込56</t>
  </si>
  <si>
    <t>1002</t>
  </si>
  <si>
    <t>石越町北郷字新押込54</t>
  </si>
  <si>
    <t>1000</t>
  </si>
  <si>
    <t>石越町北郷字新押込53</t>
  </si>
  <si>
    <t>999</t>
  </si>
  <si>
    <t>石越町北郷字新押込52</t>
  </si>
  <si>
    <t>998</t>
  </si>
  <si>
    <t>石越町北郷字新押込51</t>
  </si>
  <si>
    <t>997</t>
  </si>
  <si>
    <t>石越町北郷字新押込50</t>
  </si>
  <si>
    <t>996</t>
  </si>
  <si>
    <t>石越町北郷字新押込49</t>
  </si>
  <si>
    <t>995</t>
  </si>
  <si>
    <t>石越町北郷字新押込48</t>
  </si>
  <si>
    <t>994</t>
  </si>
  <si>
    <t>石越町北郷字新押込47</t>
  </si>
  <si>
    <t>993</t>
  </si>
  <si>
    <t>石越町北郷字新押込46</t>
  </si>
  <si>
    <t>992</t>
  </si>
  <si>
    <t>石越町北郷字新押込45</t>
  </si>
  <si>
    <t>991</t>
  </si>
  <si>
    <t>中田町上沼字新東金谷59</t>
  </si>
  <si>
    <t>990</t>
  </si>
  <si>
    <t>上屋浦児童遊園</t>
  </si>
  <si>
    <t>001680:上屋浦児童遊園</t>
  </si>
  <si>
    <t>警防課へ所管替（乾燥塔4.0㎡、ポンプ置場19.87㎡）　</t>
  </si>
  <si>
    <t>豊里町上屋浦214-4</t>
  </si>
  <si>
    <t>2502:訂正処分（減）</t>
  </si>
  <si>
    <t>1982/08/20</t>
  </si>
  <si>
    <t>0270005</t>
  </si>
  <si>
    <t>中田町上沼字新東金谷57</t>
  </si>
  <si>
    <t>988</t>
  </si>
  <si>
    <t>中田町上沼字新東金谷56</t>
  </si>
  <si>
    <t>987</t>
  </si>
  <si>
    <t>中田町上沼字新東金谷55</t>
  </si>
  <si>
    <t>986</t>
  </si>
  <si>
    <t>中田町上沼字新東金谷54</t>
  </si>
  <si>
    <t>985</t>
  </si>
  <si>
    <t>中田町上沼字新東金谷53</t>
  </si>
  <si>
    <t>984</t>
  </si>
  <si>
    <t>中田町上沼字新東金谷52</t>
  </si>
  <si>
    <t>983</t>
  </si>
  <si>
    <t>中田町上沼字新東金谷51</t>
  </si>
  <si>
    <t>982</t>
  </si>
  <si>
    <t>中田町上沼字新東金谷50</t>
  </si>
  <si>
    <t>981</t>
  </si>
  <si>
    <t>中田町上沼字新東金谷49</t>
  </si>
  <si>
    <t>980</t>
  </si>
  <si>
    <t>中田町上沼字新東金谷48</t>
  </si>
  <si>
    <t>979</t>
  </si>
  <si>
    <t>中田町上沼字新東金谷47</t>
  </si>
  <si>
    <t>978</t>
  </si>
  <si>
    <t>中田町上沼字新東金谷46</t>
  </si>
  <si>
    <t>977</t>
  </si>
  <si>
    <t>中田町上沼字新東金谷45</t>
  </si>
  <si>
    <t>976</t>
  </si>
  <si>
    <t>中田町上沼字新東金谷44</t>
  </si>
  <si>
    <t>975</t>
  </si>
  <si>
    <t>中田町上沼字新東金谷43</t>
  </si>
  <si>
    <t>974</t>
  </si>
  <si>
    <t>中田町上沼字新東金谷42</t>
  </si>
  <si>
    <t>973</t>
  </si>
  <si>
    <t>中田町上沼字新東金谷41</t>
  </si>
  <si>
    <t>972</t>
  </si>
  <si>
    <t>中田町上沼字新東金谷40</t>
  </si>
  <si>
    <t>971</t>
  </si>
  <si>
    <t>中田町上沼字新東金谷39</t>
  </si>
  <si>
    <t>970</t>
  </si>
  <si>
    <t>中田町上沼字中田南139</t>
  </si>
  <si>
    <t>969</t>
  </si>
  <si>
    <t>中田町上沼字中田南140</t>
  </si>
  <si>
    <t>968</t>
  </si>
  <si>
    <t>中田町上沼字中田南141</t>
  </si>
  <si>
    <t>967</t>
  </si>
  <si>
    <t>中田町上沼字中田南136</t>
  </si>
  <si>
    <t>966</t>
  </si>
  <si>
    <t>中田町上沼字中田南135</t>
  </si>
  <si>
    <t>965</t>
  </si>
  <si>
    <t>中田町上沼字中田南134</t>
  </si>
  <si>
    <t>964</t>
  </si>
  <si>
    <t>中田町上沼字中田南133</t>
  </si>
  <si>
    <t>963</t>
  </si>
  <si>
    <t>中田町上沼字中田南132</t>
  </si>
  <si>
    <t>962</t>
  </si>
  <si>
    <t>中田町上沼字中田南131</t>
  </si>
  <si>
    <t>961</t>
  </si>
  <si>
    <t>中田町上沼字中田南130</t>
  </si>
  <si>
    <t>960</t>
  </si>
  <si>
    <t>中田町上沼字中田南129</t>
  </si>
  <si>
    <t>959</t>
  </si>
  <si>
    <t>中田町上沼字中田南128</t>
  </si>
  <si>
    <t>958</t>
  </si>
  <si>
    <t>中田町上沼字中田南127</t>
  </si>
  <si>
    <t>957</t>
  </si>
  <si>
    <t>中田町上沼字中田東86</t>
  </si>
  <si>
    <t>956</t>
  </si>
  <si>
    <t>中田町上沼字中田東85</t>
  </si>
  <si>
    <t>955</t>
  </si>
  <si>
    <t>中田町上沼字中田東84</t>
  </si>
  <si>
    <t>954</t>
  </si>
  <si>
    <t>中田町上沼字中田東83</t>
  </si>
  <si>
    <t>953</t>
  </si>
  <si>
    <t>中田町上沼字中田東82</t>
  </si>
  <si>
    <t>952</t>
  </si>
  <si>
    <t>中田町上沼字中田東81</t>
  </si>
  <si>
    <t>951</t>
  </si>
  <si>
    <t>中田町上沼字中田東80</t>
  </si>
  <si>
    <t>950</t>
  </si>
  <si>
    <t>中田町上沼字中田東79</t>
  </si>
  <si>
    <t>949</t>
  </si>
  <si>
    <t>中田町上沼字中田東78</t>
  </si>
  <si>
    <t>948</t>
  </si>
  <si>
    <t>中田町上沼字中田東77</t>
  </si>
  <si>
    <t>947</t>
  </si>
  <si>
    <t>中田町上沼字中田東76</t>
  </si>
  <si>
    <t>946</t>
  </si>
  <si>
    <t>中田町上沼字中田東75</t>
  </si>
  <si>
    <t>945</t>
  </si>
  <si>
    <t>中田町上沼字中田東74</t>
  </si>
  <si>
    <t>944</t>
  </si>
  <si>
    <t>中田町上沼字中田東73</t>
  </si>
  <si>
    <t>943</t>
  </si>
  <si>
    <t>中田町上沼字中田東72</t>
  </si>
  <si>
    <t>942</t>
  </si>
  <si>
    <t>中田町上沼字中田東71</t>
  </si>
  <si>
    <t>941</t>
  </si>
  <si>
    <t>中田町上沼字金谷西98</t>
  </si>
  <si>
    <t>940</t>
  </si>
  <si>
    <t>中田町上沼字金谷西97</t>
  </si>
  <si>
    <t>939</t>
  </si>
  <si>
    <t>中田町上沼字金谷西96</t>
  </si>
  <si>
    <t>938</t>
  </si>
  <si>
    <t>中田町上沼字金谷西95</t>
  </si>
  <si>
    <t>937</t>
  </si>
  <si>
    <t>中田町上沼字金谷西94</t>
  </si>
  <si>
    <t>936</t>
  </si>
  <si>
    <t>中田町上沼字金谷西93</t>
  </si>
  <si>
    <t>935</t>
  </si>
  <si>
    <t>中田町上沼字金谷西92</t>
  </si>
  <si>
    <t>934</t>
  </si>
  <si>
    <t>中田町上沼字金谷西91</t>
  </si>
  <si>
    <t>933</t>
  </si>
  <si>
    <t>中田町上沼字金谷西90</t>
  </si>
  <si>
    <t>932</t>
  </si>
  <si>
    <t>中田町上沼字金谷西89</t>
  </si>
  <si>
    <t>931</t>
  </si>
  <si>
    <t>中田町上沼字金谷西88</t>
  </si>
  <si>
    <t>930</t>
  </si>
  <si>
    <t>中田町上沼字金谷西87</t>
  </si>
  <si>
    <t>929</t>
  </si>
  <si>
    <t>中田町上沼字金谷西86</t>
  </si>
  <si>
    <t>928</t>
  </si>
  <si>
    <t>中田町石森字中田西115</t>
  </si>
  <si>
    <t>927</t>
  </si>
  <si>
    <t>中田町石森字中田西114</t>
  </si>
  <si>
    <t>926</t>
  </si>
  <si>
    <t>東和町米川字町下46-1</t>
  </si>
  <si>
    <t>中田町石森字中田西112</t>
  </si>
  <si>
    <t>924</t>
  </si>
  <si>
    <t>中田町石森字中田西111</t>
  </si>
  <si>
    <t>923</t>
  </si>
  <si>
    <t>中田町石森字中田西110</t>
  </si>
  <si>
    <t>922</t>
  </si>
  <si>
    <t>中田町石森字中田西109</t>
  </si>
  <si>
    <t>921</t>
  </si>
  <si>
    <t>中田町石森字中田西108</t>
  </si>
  <si>
    <t>920</t>
  </si>
  <si>
    <t>中田町石森字中田西107</t>
  </si>
  <si>
    <t>919</t>
  </si>
  <si>
    <t>中田町石森字中田西106</t>
  </si>
  <si>
    <t>918</t>
  </si>
  <si>
    <t>中田町石森字中田西105</t>
  </si>
  <si>
    <t>917</t>
  </si>
  <si>
    <t>中田町石森字中田西104</t>
  </si>
  <si>
    <t>916</t>
  </si>
  <si>
    <t>中田町石森字中田西103</t>
  </si>
  <si>
    <t>915</t>
  </si>
  <si>
    <t>中田町石森字中田西102</t>
  </si>
  <si>
    <t>914</t>
  </si>
  <si>
    <t>中田町石森字中田西101</t>
  </si>
  <si>
    <t>913</t>
  </si>
  <si>
    <t>中田町石森字中田西100</t>
  </si>
  <si>
    <t>912</t>
  </si>
  <si>
    <t>中田町石森字中田西99</t>
  </si>
  <si>
    <t>911</t>
  </si>
  <si>
    <t>中田町石森字中田西98</t>
  </si>
  <si>
    <t>910</t>
  </si>
  <si>
    <t>中田町石森字中田西97</t>
  </si>
  <si>
    <t>909</t>
  </si>
  <si>
    <t>中田町石森字中田西96</t>
  </si>
  <si>
    <t>908</t>
  </si>
  <si>
    <t>中田町石森字中田西95</t>
  </si>
  <si>
    <t>907</t>
  </si>
  <si>
    <t>中田町石森字中田西94</t>
  </si>
  <si>
    <t>906</t>
  </si>
  <si>
    <t>中田町石森字中田西93</t>
  </si>
  <si>
    <t>905</t>
  </si>
  <si>
    <t>中田町石森字中田西92</t>
  </si>
  <si>
    <t>904</t>
  </si>
  <si>
    <t>中田町石森字中田西91</t>
  </si>
  <si>
    <t>903</t>
  </si>
  <si>
    <t>中田町石森字中田西90</t>
  </si>
  <si>
    <t>902</t>
  </si>
  <si>
    <t>中田町石森字小倉南107</t>
  </si>
  <si>
    <t>901</t>
  </si>
  <si>
    <t>中田町石森字小倉南106</t>
  </si>
  <si>
    <t>900</t>
  </si>
  <si>
    <t>中田町石森字小倉南105</t>
  </si>
  <si>
    <t>899</t>
  </si>
  <si>
    <t>中田町石森字小倉南104</t>
  </si>
  <si>
    <t>898</t>
  </si>
  <si>
    <t>中田町石森字小倉南103</t>
  </si>
  <si>
    <t>897</t>
  </si>
  <si>
    <t>中田町石森字小倉南102</t>
  </si>
  <si>
    <t>896</t>
  </si>
  <si>
    <t>中田町石森字小倉南101</t>
  </si>
  <si>
    <t>895</t>
  </si>
  <si>
    <t>中田町石森字小倉南100</t>
  </si>
  <si>
    <t>894</t>
  </si>
  <si>
    <t>中田町上沼字新北要害浦66</t>
  </si>
  <si>
    <t>中田町石森字小倉南98</t>
  </si>
  <si>
    <t>892</t>
  </si>
  <si>
    <t>中田町石森字小倉南97</t>
  </si>
  <si>
    <t>891</t>
  </si>
  <si>
    <t>中田町石森字小倉南96</t>
  </si>
  <si>
    <t>890</t>
  </si>
  <si>
    <t>中田町石森字小倉南95</t>
  </si>
  <si>
    <t>889</t>
  </si>
  <si>
    <t>中田町石森字小倉南94</t>
  </si>
  <si>
    <t>888</t>
  </si>
  <si>
    <t>中田町石森字小倉南93</t>
  </si>
  <si>
    <t>887</t>
  </si>
  <si>
    <t>中田町石森字新小倉109</t>
  </si>
  <si>
    <t>886</t>
  </si>
  <si>
    <t>中田町石森字新小倉108</t>
  </si>
  <si>
    <t>885</t>
  </si>
  <si>
    <t>中田町石森字新小倉107</t>
  </si>
  <si>
    <t>884</t>
  </si>
  <si>
    <t>中田町石森字新小倉106</t>
  </si>
  <si>
    <t>883</t>
  </si>
  <si>
    <t>中田町石森字新小倉105</t>
  </si>
  <si>
    <t>882</t>
  </si>
  <si>
    <t>中田町石森字新小倉104</t>
  </si>
  <si>
    <t>881</t>
  </si>
  <si>
    <t>中田町石森字新小倉103</t>
  </si>
  <si>
    <t>880</t>
  </si>
  <si>
    <t>中田町石森字新小倉102</t>
  </si>
  <si>
    <t>879</t>
  </si>
  <si>
    <t>中田町石森字新小倉101</t>
  </si>
  <si>
    <t>878</t>
  </si>
  <si>
    <t>中田町上沼字新大柳32</t>
  </si>
  <si>
    <t>397</t>
  </si>
  <si>
    <t>中田町石森字新小倉99</t>
  </si>
  <si>
    <t>876</t>
  </si>
  <si>
    <t>中田町石森字新小倉98</t>
  </si>
  <si>
    <t>875</t>
  </si>
  <si>
    <t>中田町石森字新小倉97</t>
  </si>
  <si>
    <t>874</t>
  </si>
  <si>
    <t>中田町石森字新小倉96</t>
  </si>
  <si>
    <t>873</t>
  </si>
  <si>
    <t>中田町石森字新小倉95</t>
  </si>
  <si>
    <t>872</t>
  </si>
  <si>
    <t>中田町石森字新小倉94</t>
  </si>
  <si>
    <t>871</t>
  </si>
  <si>
    <t>中田町石森字新小倉93</t>
  </si>
  <si>
    <t>870</t>
  </si>
  <si>
    <t>中田町石森字新小倉92</t>
  </si>
  <si>
    <t>869</t>
  </si>
  <si>
    <t>中田町石森字新小倉91</t>
  </si>
  <si>
    <t>868</t>
  </si>
  <si>
    <t>中田町石森字新小倉90</t>
  </si>
  <si>
    <t>867</t>
  </si>
  <si>
    <t>中田町石森字新小倉89</t>
  </si>
  <si>
    <t>866</t>
  </si>
  <si>
    <t>中田町石森字新小倉88</t>
  </si>
  <si>
    <t>865</t>
  </si>
  <si>
    <t>中田町石森字新小倉87</t>
  </si>
  <si>
    <t>864</t>
  </si>
  <si>
    <t>中田町石森字新小倉86</t>
  </si>
  <si>
    <t>863</t>
  </si>
  <si>
    <t>中田町石森字新小倉85</t>
  </si>
  <si>
    <t>862</t>
  </si>
  <si>
    <t>中田町上沼字新大柳33</t>
  </si>
  <si>
    <t>398</t>
  </si>
  <si>
    <t>中田町石森字小倉北71</t>
  </si>
  <si>
    <t>860</t>
  </si>
  <si>
    <t>中田町石森字小倉北70</t>
  </si>
  <si>
    <t>859</t>
  </si>
  <si>
    <t>中田町石森字小倉北69</t>
  </si>
  <si>
    <t>858</t>
  </si>
  <si>
    <t>中田町石森字小倉北68</t>
  </si>
  <si>
    <t>857</t>
  </si>
  <si>
    <t>中田町石森字小倉北65</t>
  </si>
  <si>
    <t>856</t>
  </si>
  <si>
    <t>中田町石森字小倉北64</t>
  </si>
  <si>
    <t>855</t>
  </si>
  <si>
    <t>中田町石森字小倉北62</t>
  </si>
  <si>
    <t>854</t>
  </si>
  <si>
    <t>中田町石森字小倉北63</t>
  </si>
  <si>
    <t>853</t>
  </si>
  <si>
    <t>中田町石森字小倉北66</t>
  </si>
  <si>
    <t>852</t>
  </si>
  <si>
    <t>中田町石森字小倉北67</t>
  </si>
  <si>
    <t>851</t>
  </si>
  <si>
    <t>中田町石森字小倉北58</t>
  </si>
  <si>
    <t>850</t>
  </si>
  <si>
    <t>中田町石森字小倉北55</t>
  </si>
  <si>
    <t>849</t>
  </si>
  <si>
    <t>中田町石森字小倉北57</t>
  </si>
  <si>
    <t>848</t>
  </si>
  <si>
    <t>中田町石森字小倉北56</t>
  </si>
  <si>
    <t>847</t>
  </si>
  <si>
    <t>中田町石森字小倉北54</t>
  </si>
  <si>
    <t>846</t>
  </si>
  <si>
    <t>石越町東郷字北今道37</t>
  </si>
  <si>
    <t>845</t>
  </si>
  <si>
    <t>石越町東郷字北今道36</t>
  </si>
  <si>
    <t>844</t>
  </si>
  <si>
    <t>石越町東郷字北今道35</t>
  </si>
  <si>
    <t>843</t>
  </si>
  <si>
    <t>石越町東郷字北今道34</t>
  </si>
  <si>
    <t>842</t>
  </si>
  <si>
    <t>石越町東郷字北今道33</t>
  </si>
  <si>
    <t>841</t>
  </si>
  <si>
    <t>石越町東郷字北今道32</t>
  </si>
  <si>
    <t>840</t>
  </si>
  <si>
    <t>石越町東郷字北今道31</t>
  </si>
  <si>
    <t>839</t>
  </si>
  <si>
    <t>石越町東郷字北今道30</t>
  </si>
  <si>
    <t>838</t>
  </si>
  <si>
    <t>石越町東郷字北今道29</t>
  </si>
  <si>
    <t>837</t>
  </si>
  <si>
    <t>中田町石森字若林前54</t>
  </si>
  <si>
    <t>836</t>
  </si>
  <si>
    <t>中田町石森字若林前53</t>
  </si>
  <si>
    <t>835</t>
  </si>
  <si>
    <t>中田町石森字若林前52</t>
  </si>
  <si>
    <t>834</t>
  </si>
  <si>
    <t>中田町石森字若林前51</t>
  </si>
  <si>
    <t>833</t>
  </si>
  <si>
    <t>中田町石森字若林前50</t>
  </si>
  <si>
    <t>832</t>
  </si>
  <si>
    <t>中田町石森字若林前49</t>
  </si>
  <si>
    <t>831</t>
  </si>
  <si>
    <t>中田町石森字若林前48</t>
  </si>
  <si>
    <t>830</t>
  </si>
  <si>
    <t>中田町上沼字新南要害浦60</t>
  </si>
  <si>
    <t>中田町石森字若林前46</t>
  </si>
  <si>
    <t>828</t>
  </si>
  <si>
    <t>中田町石森字若林前45</t>
  </si>
  <si>
    <t>827</t>
  </si>
  <si>
    <t>中田町石森字藤崎85</t>
  </si>
  <si>
    <t>826</t>
  </si>
  <si>
    <t>中田町石森字藤崎84</t>
  </si>
  <si>
    <t>825</t>
  </si>
  <si>
    <t>中田町石森字藤崎83</t>
  </si>
  <si>
    <t>824</t>
  </si>
  <si>
    <t>中田町石森字藤崎82</t>
  </si>
  <si>
    <t>823</t>
  </si>
  <si>
    <t>中田町石森字藤崎81</t>
  </si>
  <si>
    <t>822</t>
  </si>
  <si>
    <t>中田町石森字藤崎80</t>
  </si>
  <si>
    <t>821</t>
  </si>
  <si>
    <t>中田町石森字藤崎79</t>
  </si>
  <si>
    <t>820</t>
  </si>
  <si>
    <t>中田町石森字藤崎78</t>
  </si>
  <si>
    <t>819</t>
  </si>
  <si>
    <t>中田町石森字藤崎77</t>
  </si>
  <si>
    <t>818</t>
  </si>
  <si>
    <t>中田町石森字藤崎76</t>
  </si>
  <si>
    <t>817</t>
  </si>
  <si>
    <t>中田町石森字藤崎75</t>
  </si>
  <si>
    <t>816</t>
  </si>
  <si>
    <t>中田町石森字藤崎74</t>
  </si>
  <si>
    <t>815</t>
  </si>
  <si>
    <t>中田町石森字藤崎73</t>
  </si>
  <si>
    <t>814</t>
  </si>
  <si>
    <t>中田町上沼字新大柳34</t>
  </si>
  <si>
    <t>399</t>
  </si>
  <si>
    <t>中田町石森字藤崎71</t>
  </si>
  <si>
    <t>812</t>
  </si>
  <si>
    <t>中田町石森字藤崎70</t>
  </si>
  <si>
    <t>811</t>
  </si>
  <si>
    <t>中田町石森字藤崎69</t>
  </si>
  <si>
    <t>810</t>
  </si>
  <si>
    <t>中田町石森字藤崎68</t>
  </si>
  <si>
    <t>809</t>
  </si>
  <si>
    <t>中田町石森字藤崎67</t>
  </si>
  <si>
    <t>808</t>
  </si>
  <si>
    <t>中田町石森字藤崎66</t>
  </si>
  <si>
    <t>807</t>
  </si>
  <si>
    <t>中田町石森字藤崎65</t>
  </si>
  <si>
    <t>806</t>
  </si>
  <si>
    <t>中田町石森字藤崎64</t>
  </si>
  <si>
    <t>805</t>
  </si>
  <si>
    <t>中田町石森字藤崎63</t>
  </si>
  <si>
    <t>804</t>
  </si>
  <si>
    <t>中田町石森字藤崎62</t>
  </si>
  <si>
    <t>803</t>
  </si>
  <si>
    <t>中田町石森字藤崎61</t>
  </si>
  <si>
    <t>802</t>
  </si>
  <si>
    <t>中田町石森字藤崎60</t>
  </si>
  <si>
    <t>801</t>
  </si>
  <si>
    <t>中田町石森字藤崎59</t>
  </si>
  <si>
    <t>800</t>
  </si>
  <si>
    <t>中田町石森字西長根104</t>
  </si>
  <si>
    <t>799</t>
  </si>
  <si>
    <t>中田町石森字西長根103</t>
  </si>
  <si>
    <t>798</t>
  </si>
  <si>
    <t>中田町上沼字新大柳36</t>
  </si>
  <si>
    <t>400</t>
  </si>
  <si>
    <t>中田町石森字西長根101</t>
  </si>
  <si>
    <t>796</t>
  </si>
  <si>
    <t>中田町石森字西長根100</t>
  </si>
  <si>
    <t>795</t>
  </si>
  <si>
    <t>中田町石森字西長根99</t>
  </si>
  <si>
    <t>794</t>
  </si>
  <si>
    <t>中田町石森字西長根98</t>
  </si>
  <si>
    <t>793</t>
  </si>
  <si>
    <t>中田町石森字西長根97</t>
  </si>
  <si>
    <t>792</t>
  </si>
  <si>
    <t>中田町石森字西長根96</t>
  </si>
  <si>
    <t>791</t>
  </si>
  <si>
    <t>中田町石森字西長根95</t>
  </si>
  <si>
    <t>790</t>
  </si>
  <si>
    <t>中田町石森字西長根94</t>
  </si>
  <si>
    <t>789</t>
  </si>
  <si>
    <t>中田町石森字西長根93</t>
  </si>
  <si>
    <t>788</t>
  </si>
  <si>
    <t>中田町石森字西長根92</t>
  </si>
  <si>
    <t>787</t>
  </si>
  <si>
    <t>中田町石森字西長根91</t>
  </si>
  <si>
    <t>786</t>
  </si>
  <si>
    <t>中田町石森字西長根90</t>
  </si>
  <si>
    <t>785</t>
  </si>
  <si>
    <t>中田町石森字西長根89</t>
  </si>
  <si>
    <t>784</t>
  </si>
  <si>
    <t>中田町石森字西長根88</t>
  </si>
  <si>
    <t>783</t>
  </si>
  <si>
    <t>中田町石森字西長根87</t>
  </si>
  <si>
    <t>782</t>
  </si>
  <si>
    <t>中田町石森字西長根86</t>
  </si>
  <si>
    <t>781</t>
  </si>
  <si>
    <t>中田町石森字西長根85</t>
  </si>
  <si>
    <t>780</t>
  </si>
  <si>
    <t>中田町石森字西長根84</t>
  </si>
  <si>
    <t>779</t>
  </si>
  <si>
    <t>中田町石森字西長根83</t>
  </si>
  <si>
    <t>778</t>
  </si>
  <si>
    <t>中田町石森字西長根82</t>
  </si>
  <si>
    <t>777</t>
  </si>
  <si>
    <t>中田町石森字西長根81</t>
  </si>
  <si>
    <t>776</t>
  </si>
  <si>
    <t>中田町石森字西長根80</t>
  </si>
  <si>
    <t>775</t>
  </si>
  <si>
    <t>中田町石森字西長根79</t>
  </si>
  <si>
    <t>774</t>
  </si>
  <si>
    <t>袖の沢溜池</t>
  </si>
  <si>
    <t>石越町北郷字遠沢162</t>
  </si>
  <si>
    <t>01_02_04:（１）土地及び建物　普通財産　その他　</t>
  </si>
  <si>
    <t>2015/05/25</t>
  </si>
  <si>
    <t>0790036</t>
  </si>
  <si>
    <t>中田町石森字西長根77</t>
  </si>
  <si>
    <t>772</t>
  </si>
  <si>
    <t>中田町石森字西長根76</t>
  </si>
  <si>
    <t>771</t>
  </si>
  <si>
    <t>中田町石森字北川前93</t>
  </si>
  <si>
    <t>770</t>
  </si>
  <si>
    <t>中田町上沼字新南要害浦61</t>
  </si>
  <si>
    <t>中田町石森字北川前91</t>
  </si>
  <si>
    <t>768</t>
  </si>
  <si>
    <t>中田町上沼字新大柳37</t>
  </si>
  <si>
    <t>401</t>
  </si>
  <si>
    <t>中田町石森字北川前89</t>
  </si>
  <si>
    <t>766</t>
  </si>
  <si>
    <t>中田町上沼字新大柳38</t>
  </si>
  <si>
    <t>402</t>
  </si>
  <si>
    <t>中田町石森字北川前87</t>
  </si>
  <si>
    <t>764</t>
  </si>
  <si>
    <t>中田町石森字北川前86</t>
  </si>
  <si>
    <t>763</t>
  </si>
  <si>
    <t>中田町石森字北川前85</t>
  </si>
  <si>
    <t>762</t>
  </si>
  <si>
    <t>中田町上沼字新南要害浦62</t>
  </si>
  <si>
    <t>中田町石森字北川前83</t>
  </si>
  <si>
    <t>760</t>
  </si>
  <si>
    <t>中田町石森字北川前82</t>
  </si>
  <si>
    <t>759</t>
  </si>
  <si>
    <t>中田町石森字北川前81</t>
  </si>
  <si>
    <t>758</t>
  </si>
  <si>
    <t>中田町上沼字揚地南23</t>
  </si>
  <si>
    <t>403</t>
  </si>
  <si>
    <t>中田町石森字北川前79</t>
  </si>
  <si>
    <t>756</t>
  </si>
  <si>
    <t>中田町石森字北川前78</t>
  </si>
  <si>
    <t>755</t>
  </si>
  <si>
    <t>中田町石森字北川前77</t>
  </si>
  <si>
    <t>754</t>
  </si>
  <si>
    <t>中田町上沼字揚地南24</t>
  </si>
  <si>
    <t>404</t>
  </si>
  <si>
    <t>中田町石森字北川前75</t>
  </si>
  <si>
    <t>752</t>
  </si>
  <si>
    <t>米山中津山公園</t>
  </si>
  <si>
    <t>001517:米山中津山公園</t>
  </si>
  <si>
    <t>公衆トイレ、ゲートボール場あり　</t>
  </si>
  <si>
    <t>米山町中津山字平潟642-2</t>
  </si>
  <si>
    <t>2504:変更</t>
  </si>
  <si>
    <t>0190023</t>
  </si>
  <si>
    <t>中田町石森字北川前73</t>
  </si>
  <si>
    <t>750</t>
  </si>
  <si>
    <t>東和町米川字町下55-1</t>
  </si>
  <si>
    <t>中田町石森字北川前71</t>
  </si>
  <si>
    <t>748</t>
  </si>
  <si>
    <t>中田町石森字北川前70</t>
  </si>
  <si>
    <t>747</t>
  </si>
  <si>
    <t>中田町石森字北川前69</t>
  </si>
  <si>
    <t>746</t>
  </si>
  <si>
    <t>中田町石森字北川前68</t>
  </si>
  <si>
    <t>745</t>
  </si>
  <si>
    <t>中田町石森字北川前67</t>
  </si>
  <si>
    <t>744</t>
  </si>
  <si>
    <t>中田町石森字高見前29</t>
  </si>
  <si>
    <t>743</t>
  </si>
  <si>
    <t>中田町石森字高見前28</t>
  </si>
  <si>
    <t>742</t>
  </si>
  <si>
    <t>中田町上沼字新南要害浦63</t>
  </si>
  <si>
    <t>中田町石森字高見前26</t>
  </si>
  <si>
    <t>740</t>
  </si>
  <si>
    <t>中田町石森字高見前25</t>
  </si>
  <si>
    <t>739</t>
  </si>
  <si>
    <t>中田町石森字高見前24</t>
  </si>
  <si>
    <t>738</t>
  </si>
  <si>
    <t>中田町上沼字揚地南26</t>
  </si>
  <si>
    <t>405</t>
  </si>
  <si>
    <t>中田町石森字高見前22</t>
  </si>
  <si>
    <t>736</t>
  </si>
  <si>
    <t>中田町石森字霜田前65</t>
  </si>
  <si>
    <t>735</t>
  </si>
  <si>
    <t>中田町石森字霜田前64</t>
  </si>
  <si>
    <t>734</t>
  </si>
  <si>
    <t>中田町上沼字揚地南27</t>
  </si>
  <si>
    <t>406</t>
  </si>
  <si>
    <t>中田町石森字霜田前62</t>
  </si>
  <si>
    <t>732</t>
  </si>
  <si>
    <t>中田町石森字霜田前61</t>
  </si>
  <si>
    <t>731</t>
  </si>
  <si>
    <t>中田町石森字霜田前60</t>
  </si>
  <si>
    <t>730</t>
  </si>
  <si>
    <t>中田町石森字霜田前59</t>
  </si>
  <si>
    <t>729</t>
  </si>
  <si>
    <t>中田町石森字霜田前58</t>
  </si>
  <si>
    <t>728</t>
  </si>
  <si>
    <t>中田町石森字霜田前57</t>
  </si>
  <si>
    <t>727</t>
  </si>
  <si>
    <t>中田町石森字霜田前56</t>
  </si>
  <si>
    <t>726</t>
  </si>
  <si>
    <t>中田町石森字霜田前55</t>
  </si>
  <si>
    <t>725</t>
  </si>
  <si>
    <t>中田町石森字霜田前54</t>
  </si>
  <si>
    <t>724</t>
  </si>
  <si>
    <t>中田町石森字霜田前53</t>
  </si>
  <si>
    <t>723</t>
  </si>
  <si>
    <t>中田町石森字霜田前52</t>
  </si>
  <si>
    <t>722</t>
  </si>
  <si>
    <t>中田町上沼字新南要害浦64</t>
  </si>
  <si>
    <t>中田町石森字霜田前50</t>
  </si>
  <si>
    <t>720</t>
  </si>
  <si>
    <t>中田町石森字脇谷前93</t>
  </si>
  <si>
    <t>719</t>
  </si>
  <si>
    <t>中田町石森字脇谷前92</t>
  </si>
  <si>
    <t>718</t>
  </si>
  <si>
    <t>中田町上沼字揚地南28</t>
  </si>
  <si>
    <t>407</t>
  </si>
  <si>
    <t>中田町石森字脇谷前90</t>
  </si>
  <si>
    <t>716</t>
  </si>
  <si>
    <t>中田町石森字脇谷前89</t>
  </si>
  <si>
    <t>715</t>
  </si>
  <si>
    <t>中田町石森字脇谷前88</t>
  </si>
  <si>
    <t>714</t>
  </si>
  <si>
    <t>中田町上沼字新八幡浦53</t>
  </si>
  <si>
    <t>408</t>
  </si>
  <si>
    <t>中田町石森字脇谷前86</t>
  </si>
  <si>
    <t>712</t>
  </si>
  <si>
    <t>中田町石森字脇谷前85</t>
  </si>
  <si>
    <t>711</t>
  </si>
  <si>
    <t>中田町石森字脇谷前84</t>
  </si>
  <si>
    <t>710</t>
  </si>
  <si>
    <t>金山溜池</t>
  </si>
  <si>
    <t>石越町南郷字とど台142</t>
  </si>
  <si>
    <t>0790035</t>
  </si>
  <si>
    <t>中田町石森字脇谷前81</t>
  </si>
  <si>
    <t>708</t>
  </si>
  <si>
    <t>中田町石森字脇谷前80</t>
  </si>
  <si>
    <t>707</t>
  </si>
  <si>
    <t>中田町石森字脇谷前79</t>
  </si>
  <si>
    <t>706</t>
  </si>
  <si>
    <t>中田町上沼字新南要害浦65</t>
  </si>
  <si>
    <t>中田町石森字脇谷前77</t>
  </si>
  <si>
    <t>704</t>
  </si>
  <si>
    <t>中田町上沼字新八幡浦54</t>
  </si>
  <si>
    <t>409</t>
  </si>
  <si>
    <t>中田町石森字脇谷前75</t>
  </si>
  <si>
    <t>702</t>
  </si>
  <si>
    <t>中田町上沼字新八幡浦55</t>
  </si>
  <si>
    <t>410</t>
  </si>
  <si>
    <t>中田町石森字脇谷前73</t>
  </si>
  <si>
    <t>700</t>
  </si>
  <si>
    <t>中田町石森字脇谷前72</t>
  </si>
  <si>
    <t>699</t>
  </si>
  <si>
    <t>中田町石森字脇谷前71</t>
  </si>
  <si>
    <t>698</t>
  </si>
  <si>
    <t>中田町石森字二木前62</t>
  </si>
  <si>
    <t>697</t>
  </si>
  <si>
    <t>中田町石森字二木前61</t>
  </si>
  <si>
    <t>696</t>
  </si>
  <si>
    <t>中田町石森字二木前60</t>
  </si>
  <si>
    <t>695</t>
  </si>
  <si>
    <t>中田町石森字二木前59</t>
  </si>
  <si>
    <t>694</t>
  </si>
  <si>
    <t>中田町石森字二木前58</t>
  </si>
  <si>
    <t>693</t>
  </si>
  <si>
    <t>中田町石森字二木前57</t>
  </si>
  <si>
    <t>692</t>
  </si>
  <si>
    <t>中田町石森字二木前56</t>
  </si>
  <si>
    <t>691</t>
  </si>
  <si>
    <t>中田町石森字二木前55</t>
  </si>
  <si>
    <t>690</t>
  </si>
  <si>
    <t>中田町石森字二木前54</t>
  </si>
  <si>
    <t>689</t>
  </si>
  <si>
    <t>中田町石森字二木前53</t>
  </si>
  <si>
    <t>688</t>
  </si>
  <si>
    <t>中田町石森字二木前52</t>
  </si>
  <si>
    <t>687</t>
  </si>
  <si>
    <t>中田町石森字二木前51</t>
  </si>
  <si>
    <t>686</t>
  </si>
  <si>
    <t>中田町上沼字新南要害浦66</t>
  </si>
  <si>
    <t>中田町石森字二木前49</t>
  </si>
  <si>
    <t>684</t>
  </si>
  <si>
    <t>中田町石森字桑代前69</t>
  </si>
  <si>
    <t>683</t>
  </si>
  <si>
    <t>中田町石森字桑代前68</t>
  </si>
  <si>
    <t>682</t>
  </si>
  <si>
    <t>中田町石森字桑代前67</t>
  </si>
  <si>
    <t>681</t>
  </si>
  <si>
    <t>中田町石森字桑代前66</t>
  </si>
  <si>
    <t>680</t>
  </si>
  <si>
    <t>中田町石森字桑代前65</t>
  </si>
  <si>
    <t>679</t>
  </si>
  <si>
    <t>中田町石森字桑代前64</t>
  </si>
  <si>
    <t>678</t>
  </si>
  <si>
    <t>中田町石森字桑代前63</t>
  </si>
  <si>
    <t>677</t>
  </si>
  <si>
    <t>中田町石森字桑代前62</t>
  </si>
  <si>
    <t>676</t>
  </si>
  <si>
    <t>中田町石森字桑代前61</t>
  </si>
  <si>
    <t>675</t>
  </si>
  <si>
    <t>中田町石森字桑代前60</t>
  </si>
  <si>
    <t>674</t>
  </si>
  <si>
    <t>石越町東郷字新今道24</t>
  </si>
  <si>
    <t>673</t>
  </si>
  <si>
    <t>石越町東郷字新今道23</t>
  </si>
  <si>
    <t>672</t>
  </si>
  <si>
    <t>石越町東郷字新今道22</t>
  </si>
  <si>
    <t>671</t>
  </si>
  <si>
    <t>石越町東郷字新今道21</t>
  </si>
  <si>
    <t>670</t>
  </si>
  <si>
    <t>中田町上沼字新八幡浦56</t>
  </si>
  <si>
    <t>411</t>
  </si>
  <si>
    <t>石越町東郷字新今道17</t>
  </si>
  <si>
    <t>668</t>
  </si>
  <si>
    <t>中田町石森字南川前121</t>
  </si>
  <si>
    <t>667</t>
  </si>
  <si>
    <t>中田町石森字南川前120</t>
  </si>
  <si>
    <t>666</t>
  </si>
  <si>
    <t>中田町石森字南川前119</t>
  </si>
  <si>
    <t>665</t>
  </si>
  <si>
    <t>中田町石森字南川前118</t>
  </si>
  <si>
    <t>664</t>
  </si>
  <si>
    <t>中田町石森字南川前117</t>
  </si>
  <si>
    <t>663</t>
  </si>
  <si>
    <t>中田町石森字南川前116</t>
  </si>
  <si>
    <t>662</t>
  </si>
  <si>
    <t>中田町石森字南川前115</t>
  </si>
  <si>
    <t>661</t>
  </si>
  <si>
    <t>中田町石森字南川前111</t>
  </si>
  <si>
    <t>660</t>
  </si>
  <si>
    <t>中田町石森字南川前110</t>
  </si>
  <si>
    <t>659</t>
  </si>
  <si>
    <t>中田町石森字南川前109</t>
  </si>
  <si>
    <t>658</t>
  </si>
  <si>
    <t>中田町石森字南川前108</t>
  </si>
  <si>
    <t>657</t>
  </si>
  <si>
    <t>中田町石森字南川前107</t>
  </si>
  <si>
    <t>656</t>
  </si>
  <si>
    <t>中田町石森字南川前106</t>
  </si>
  <si>
    <t>655</t>
  </si>
  <si>
    <t>中田町石森字南川前105</t>
  </si>
  <si>
    <t>654</t>
  </si>
  <si>
    <t>中田町石森字南川前103</t>
  </si>
  <si>
    <t>653</t>
  </si>
  <si>
    <t>中田町石森字南川前102</t>
  </si>
  <si>
    <t>652</t>
  </si>
  <si>
    <t>中田町石森字南川前101</t>
  </si>
  <si>
    <t>651</t>
  </si>
  <si>
    <t>中田町石森字南川前100</t>
  </si>
  <si>
    <t>650</t>
  </si>
  <si>
    <t>中田町石森字南川前99</t>
  </si>
  <si>
    <t>649</t>
  </si>
  <si>
    <t>中田町石森字南川前98</t>
  </si>
  <si>
    <t>648</t>
  </si>
  <si>
    <t>中田町石森字南川前97</t>
  </si>
  <si>
    <t>647</t>
  </si>
  <si>
    <t>中田町石森字南川前96</t>
  </si>
  <si>
    <t>646</t>
  </si>
  <si>
    <t>中田町石森字南川前95</t>
  </si>
  <si>
    <t>645</t>
  </si>
  <si>
    <t>中田町石森字南川前94</t>
  </si>
  <si>
    <t>644</t>
  </si>
  <si>
    <t>中田町石森字南川前93</t>
  </si>
  <si>
    <t>643</t>
  </si>
  <si>
    <t>中田町石森字西田北165</t>
  </si>
  <si>
    <t>642</t>
  </si>
  <si>
    <t>中田町石森字西田北164</t>
  </si>
  <si>
    <t>641</t>
  </si>
  <si>
    <t>中田町石森字西田北163</t>
  </si>
  <si>
    <t>640</t>
  </si>
  <si>
    <t>中田町石森字西田北162</t>
  </si>
  <si>
    <t>639</t>
  </si>
  <si>
    <t>中田町石森字西田北161</t>
  </si>
  <si>
    <t>638</t>
  </si>
  <si>
    <t>中田町上沼字新八幡浦57</t>
  </si>
  <si>
    <t>412</t>
  </si>
  <si>
    <t>中田町石森字西田北159</t>
  </si>
  <si>
    <t>636</t>
  </si>
  <si>
    <t>中田町石森字西田北158</t>
  </si>
  <si>
    <t>635</t>
  </si>
  <si>
    <t>中田町石森字西田北157</t>
  </si>
  <si>
    <t>634</t>
  </si>
  <si>
    <t>中田町石森字西田北156</t>
  </si>
  <si>
    <t>633</t>
  </si>
  <si>
    <t>中田町石森字西田北155</t>
  </si>
  <si>
    <t>632</t>
  </si>
  <si>
    <t>中田町石森字西田北154</t>
  </si>
  <si>
    <t>631</t>
  </si>
  <si>
    <t>中田町石森字西田北153</t>
  </si>
  <si>
    <t>630</t>
  </si>
  <si>
    <t>H30東表前4号線（土地購入）</t>
  </si>
  <si>
    <t>2019/03/28</t>
  </si>
  <si>
    <t>2018/01/18</t>
  </si>
  <si>
    <t>中田町石森字西田北151</t>
  </si>
  <si>
    <t>628</t>
  </si>
  <si>
    <t>中田町石森字西田北150</t>
  </si>
  <si>
    <t>627</t>
  </si>
  <si>
    <t>中田町石森字西田北149</t>
  </si>
  <si>
    <t>626</t>
  </si>
  <si>
    <t>H30東待井下2号線（移転補償）</t>
  </si>
  <si>
    <t>2018/06/25</t>
  </si>
  <si>
    <t>2018/03/27</t>
  </si>
  <si>
    <t>豊里町東待井下</t>
  </si>
  <si>
    <t>中田町石森字西田南170</t>
  </si>
  <si>
    <t>624</t>
  </si>
  <si>
    <t>公園（駐車場）</t>
  </si>
  <si>
    <t>001594:公園（駐車場）</t>
  </si>
  <si>
    <t>定住促進住宅地造事業（中津山地区）に付帯する工事により、米山ひだまり公園の駐車場として整備　</t>
  </si>
  <si>
    <t>米山町中津山字筒場埣229-33</t>
  </si>
  <si>
    <t>0230013</t>
  </si>
  <si>
    <t>中田町石森字西田南168</t>
  </si>
  <si>
    <t>622</t>
  </si>
  <si>
    <t>東和町米谷字福平5</t>
  </si>
  <si>
    <t>中田町石森字西田南166</t>
  </si>
  <si>
    <t>620</t>
  </si>
  <si>
    <t>中田町石森字西田南165</t>
  </si>
  <si>
    <t>619</t>
  </si>
  <si>
    <t>中田町石森字西田南164</t>
  </si>
  <si>
    <t>618</t>
  </si>
  <si>
    <t>中田町上沼字新南要害浦67</t>
  </si>
  <si>
    <t>中田町石森字西田南162</t>
  </si>
  <si>
    <t>616</t>
  </si>
  <si>
    <t>中田町上沼字新八幡浦58</t>
  </si>
  <si>
    <t>413</t>
  </si>
  <si>
    <t>中田町石森字西田南160</t>
  </si>
  <si>
    <t>614</t>
  </si>
  <si>
    <t>中田町上沼字新八幡浦59</t>
  </si>
  <si>
    <t>414</t>
  </si>
  <si>
    <t>中田町石森字西田南158</t>
  </si>
  <si>
    <t>612</t>
  </si>
  <si>
    <t>中田町石森字西田南157</t>
  </si>
  <si>
    <t>611</t>
  </si>
  <si>
    <t>中田町石森字西田南156</t>
  </si>
  <si>
    <t>610</t>
  </si>
  <si>
    <t>中田町上沼字新南要害浦68</t>
  </si>
  <si>
    <t>中田町石森字西田南154</t>
  </si>
  <si>
    <t>608</t>
  </si>
  <si>
    <t>中田町上沼字新八幡浦60</t>
  </si>
  <si>
    <t>415</t>
  </si>
  <si>
    <t>中田町石森字西田南151</t>
  </si>
  <si>
    <t>606</t>
  </si>
  <si>
    <t>中田町上沼字新八幡浦62</t>
  </si>
  <si>
    <t>416</t>
  </si>
  <si>
    <t>中田町石森字西田南149</t>
  </si>
  <si>
    <t>604</t>
  </si>
  <si>
    <t>中田町石森字西田南148</t>
  </si>
  <si>
    <t>603</t>
  </si>
  <si>
    <t>中田町石森字新西細谷155</t>
  </si>
  <si>
    <t>602</t>
  </si>
  <si>
    <t>東和町錦織字山居沢42-1</t>
  </si>
  <si>
    <t>中田町石森字新西細谷153</t>
  </si>
  <si>
    <t>600</t>
  </si>
  <si>
    <t>中田町石森字新西細谷152</t>
  </si>
  <si>
    <t>599</t>
  </si>
  <si>
    <t>中田町石森字新西細谷151</t>
  </si>
  <si>
    <t>598</t>
  </si>
  <si>
    <t>中田町上沼字新南要害浦69</t>
  </si>
  <si>
    <t>中田町石森字新西細谷149</t>
  </si>
  <si>
    <t>596</t>
  </si>
  <si>
    <t>中田町石森字新西細谷148</t>
  </si>
  <si>
    <t>595</t>
  </si>
  <si>
    <t>中田町石森字新西細谷147</t>
  </si>
  <si>
    <t>594</t>
  </si>
  <si>
    <t>中田町石森字新西細谷146</t>
  </si>
  <si>
    <t>593</t>
  </si>
  <si>
    <t>中田町石森字新西細谷144</t>
  </si>
  <si>
    <t>592</t>
  </si>
  <si>
    <t>中田町石森字新西細谷143</t>
  </si>
  <si>
    <t>591</t>
  </si>
  <si>
    <t>中田町石森字新西細谷141</t>
  </si>
  <si>
    <t>590</t>
  </si>
  <si>
    <t>中田町石森字新西細谷140</t>
  </si>
  <si>
    <t>589</t>
  </si>
  <si>
    <t>中田町石森字新西細谷138</t>
  </si>
  <si>
    <t>588</t>
  </si>
  <si>
    <t>中田町石森字新西細谷137</t>
  </si>
  <si>
    <t>587</t>
  </si>
  <si>
    <t>中田町石森字新西細谷136</t>
  </si>
  <si>
    <t>586</t>
  </si>
  <si>
    <t>中田町石森字新西細谷135</t>
  </si>
  <si>
    <t>585</t>
  </si>
  <si>
    <t>中田町石森字新西細谷134</t>
  </si>
  <si>
    <t>584</t>
  </si>
  <si>
    <t>中田町石森字新西細谷133</t>
  </si>
  <si>
    <t>583</t>
  </si>
  <si>
    <t>中田町石森字新西細谷132</t>
  </si>
  <si>
    <t>582</t>
  </si>
  <si>
    <t>中田町石森字新西細谷131</t>
  </si>
  <si>
    <t>581</t>
  </si>
  <si>
    <t>中田町石森字新西細谷130</t>
  </si>
  <si>
    <t>580</t>
  </si>
  <si>
    <t>中田町石森字新西細谷129</t>
  </si>
  <si>
    <t>579</t>
  </si>
  <si>
    <t>中田町石森字新西細谷128</t>
  </si>
  <si>
    <t>578</t>
  </si>
  <si>
    <t>中田町石森字新西細谷127</t>
  </si>
  <si>
    <t>577</t>
  </si>
  <si>
    <t>中田町石森字新西細谷126</t>
  </si>
  <si>
    <t>576</t>
  </si>
  <si>
    <t>中田町石森字新西細谷125</t>
  </si>
  <si>
    <t>575</t>
  </si>
  <si>
    <t>中田町石森字新西細谷124</t>
  </si>
  <si>
    <t>574</t>
  </si>
  <si>
    <t>中田町上沼字新八幡浦63</t>
  </si>
  <si>
    <t>417</t>
  </si>
  <si>
    <t>中田町石森字新西細谷122</t>
  </si>
  <si>
    <t>572</t>
  </si>
  <si>
    <t>中田町石森字新牡丹埣127</t>
  </si>
  <si>
    <t>571</t>
  </si>
  <si>
    <t>中田町石森字新牡丹埣125</t>
  </si>
  <si>
    <t>570</t>
  </si>
  <si>
    <t>中田町石森字新牡丹埣124</t>
  </si>
  <si>
    <t>569</t>
  </si>
  <si>
    <t>中田町石森字新牡丹埣123</t>
  </si>
  <si>
    <t>568</t>
  </si>
  <si>
    <t>中田町石森字新牡丹埣119</t>
  </si>
  <si>
    <t>567</t>
  </si>
  <si>
    <t>中田町石森字新牡丹埣118</t>
  </si>
  <si>
    <t>566</t>
  </si>
  <si>
    <t>中田町石森字新牡丹埣116</t>
  </si>
  <si>
    <t>565</t>
  </si>
  <si>
    <t>中田町石森字新牡丹埣115</t>
  </si>
  <si>
    <t>564</t>
  </si>
  <si>
    <t>中田町石森字新牡丹埣112</t>
  </si>
  <si>
    <t>563</t>
  </si>
  <si>
    <t>中田町石森字新牡丹埣110</t>
  </si>
  <si>
    <t>562</t>
  </si>
  <si>
    <t>中田町石森字新牡丹埣107</t>
  </si>
  <si>
    <t>561</t>
  </si>
  <si>
    <t>中田町石森字新牡丹埣106</t>
  </si>
  <si>
    <t>560</t>
  </si>
  <si>
    <t>中田町石森字新牡丹埣105</t>
  </si>
  <si>
    <t>559</t>
  </si>
  <si>
    <t>中田町石森字新牡丹埣104</t>
  </si>
  <si>
    <t>558</t>
  </si>
  <si>
    <t>中田町上沼字新八幡浦64</t>
  </si>
  <si>
    <t>418</t>
  </si>
  <si>
    <t>中田町宝江新井田字南下道67</t>
  </si>
  <si>
    <t>556</t>
  </si>
  <si>
    <t>中田町宝江新井田字南下道66</t>
  </si>
  <si>
    <t>555</t>
  </si>
  <si>
    <t>中田町宝江新井田字南下道65</t>
  </si>
  <si>
    <t>554</t>
  </si>
  <si>
    <t>中田町宝江新井田字南下道64</t>
  </si>
  <si>
    <t>553</t>
  </si>
  <si>
    <t>中田町宝江新井田字南下道63</t>
  </si>
  <si>
    <t>552</t>
  </si>
  <si>
    <t>中田町宝江新井田字南下道62</t>
  </si>
  <si>
    <t>551</t>
  </si>
  <si>
    <t>中田町宝江新井田字南下道61</t>
  </si>
  <si>
    <t>550</t>
  </si>
  <si>
    <t>中田町宝江新井田字南下道60</t>
  </si>
  <si>
    <t>549</t>
  </si>
  <si>
    <t>中田町宝江新井田字南下道59</t>
  </si>
  <si>
    <t>548</t>
  </si>
  <si>
    <t>中田町宝江新井田字南下道58</t>
  </si>
  <si>
    <t>547</t>
  </si>
  <si>
    <t>中田町宝江新井田字南下道57</t>
  </si>
  <si>
    <t>546</t>
  </si>
  <si>
    <t>中田町宝江新井田字南下道56</t>
  </si>
  <si>
    <t>545</t>
  </si>
  <si>
    <t>中田町宝江新井田字南下道55</t>
  </si>
  <si>
    <t>544</t>
  </si>
  <si>
    <t>中田町宝江新井田字南下道54</t>
  </si>
  <si>
    <t>543</t>
  </si>
  <si>
    <t>中田町宝江新井田字東大谷地55</t>
  </si>
  <si>
    <t>542</t>
  </si>
  <si>
    <t>中田町上沼字新南要害浦70</t>
  </si>
  <si>
    <t>中田町宝江新井田字東大谷地53</t>
  </si>
  <si>
    <t>540</t>
  </si>
  <si>
    <t>中田町宝江新井田字東大谷地52</t>
  </si>
  <si>
    <t>539</t>
  </si>
  <si>
    <t>中田町宝江新井田字東大谷地51</t>
  </si>
  <si>
    <t>538</t>
  </si>
  <si>
    <t>中田町宝江新井田字東大谷地50</t>
  </si>
  <si>
    <t>537</t>
  </si>
  <si>
    <t>中田町宝江新井田字東大谷地49</t>
  </si>
  <si>
    <t>536</t>
  </si>
  <si>
    <t>中田町宝江新井田字東大谷地48</t>
  </si>
  <si>
    <t>535</t>
  </si>
  <si>
    <t>中田町宝江新井田字西芝尻94</t>
  </si>
  <si>
    <t>534</t>
  </si>
  <si>
    <t>中田町宝江新井田字西芝尻93</t>
  </si>
  <si>
    <t>533</t>
  </si>
  <si>
    <t>中田町宝江新井田字西芝尻92</t>
  </si>
  <si>
    <t>532</t>
  </si>
  <si>
    <t>中田町宝江新井田字西芝尻91</t>
  </si>
  <si>
    <t>531</t>
  </si>
  <si>
    <t>中田町宝江新井田字西芝尻90</t>
  </si>
  <si>
    <t>530</t>
  </si>
  <si>
    <t>中田町宝江新井田字西芝尻89</t>
  </si>
  <si>
    <t>529</t>
  </si>
  <si>
    <t>中田町宝江新井田字西芝尻88</t>
  </si>
  <si>
    <t>528</t>
  </si>
  <si>
    <t>中田町宝江新井田字西芝尻87</t>
  </si>
  <si>
    <t>527</t>
  </si>
  <si>
    <t>中田町宝江新井田字西芝尻86</t>
  </si>
  <si>
    <t>526</t>
  </si>
  <si>
    <t>中田町上沼字新北要害浦67</t>
  </si>
  <si>
    <t>419</t>
  </si>
  <si>
    <t>中田町宝江新井田字西芝尻84</t>
  </si>
  <si>
    <t>524</t>
  </si>
  <si>
    <t>中田町宝江新井田字西芝尻83</t>
  </si>
  <si>
    <t>523</t>
  </si>
  <si>
    <t>中田町宝江新井田字西芝尻82</t>
  </si>
  <si>
    <t>522</t>
  </si>
  <si>
    <t>中田町上沼字新北要害浦68</t>
  </si>
  <si>
    <t>420</t>
  </si>
  <si>
    <t>中田町宝江新井田字西芝尻80</t>
  </si>
  <si>
    <t>520</t>
  </si>
  <si>
    <t>中田町宝江新井田字西芝尻79</t>
  </si>
  <si>
    <t>519</t>
  </si>
  <si>
    <t>中田町宝江新井田字西芝尻78</t>
  </si>
  <si>
    <t>518</t>
  </si>
  <si>
    <t>12:ため池台帳</t>
  </si>
  <si>
    <t>東和町米谷福平189番地ため池</t>
  </si>
  <si>
    <t>東和町米谷福平189番地</t>
  </si>
  <si>
    <t>1900/04/01</t>
  </si>
  <si>
    <t>33:面</t>
  </si>
  <si>
    <t>0910001</t>
  </si>
  <si>
    <t>中田町石森字野元北59</t>
  </si>
  <si>
    <t>516</t>
  </si>
  <si>
    <t>中田町石森字野元北58</t>
  </si>
  <si>
    <t>515</t>
  </si>
  <si>
    <t>中田町石森字野元北57</t>
  </si>
  <si>
    <t>514</t>
  </si>
  <si>
    <t>柿の木沢下溜池</t>
  </si>
  <si>
    <t>石越町東郷字大根沢240</t>
  </si>
  <si>
    <t>0790033</t>
  </si>
  <si>
    <t>中田町石森字野元北55</t>
  </si>
  <si>
    <t>512</t>
  </si>
  <si>
    <t>中田町上沼字新南要害浦71</t>
  </si>
  <si>
    <t>中田町石森字野元北53</t>
  </si>
  <si>
    <t>510</t>
  </si>
  <si>
    <t>中田町上沼字新北要害浦69</t>
  </si>
  <si>
    <t>421</t>
  </si>
  <si>
    <t>中田町石森字野元北51</t>
  </si>
  <si>
    <t>508</t>
  </si>
  <si>
    <t>中田町石森字野元北50</t>
  </si>
  <si>
    <t>507</t>
  </si>
  <si>
    <t>中田町石森字野元北49</t>
  </si>
  <si>
    <t>506</t>
  </si>
  <si>
    <t>中田町上沼字新北要害浦70</t>
  </si>
  <si>
    <t>422</t>
  </si>
  <si>
    <t>中田町石森字新駒牽北54</t>
  </si>
  <si>
    <t>504</t>
  </si>
  <si>
    <t>中田町石森字新駒牽北53</t>
  </si>
  <si>
    <t>503</t>
  </si>
  <si>
    <t>中田町石森字新駒牽北52</t>
  </si>
  <si>
    <t>502</t>
  </si>
  <si>
    <t>中田町上沼字新南要害浦72</t>
  </si>
  <si>
    <t>中田町石森字新駒牽北48</t>
  </si>
  <si>
    <t>500</t>
  </si>
  <si>
    <t>中田町石森字新駒牽北47</t>
  </si>
  <si>
    <t>499</t>
  </si>
  <si>
    <t>中田町石森字新駒牽北46</t>
  </si>
  <si>
    <t>498</t>
  </si>
  <si>
    <t>中田町上沼字新北要害浦71</t>
  </si>
  <si>
    <t>423</t>
  </si>
  <si>
    <t>中田町石森字新駒牽北44</t>
  </si>
  <si>
    <t>496</t>
  </si>
  <si>
    <t>中田町上沼字新北要害浦72</t>
  </si>
  <si>
    <t>424</t>
  </si>
  <si>
    <t>中田町石森字新駒牽北41</t>
  </si>
  <si>
    <t>494</t>
  </si>
  <si>
    <t>鴻の巣溜池</t>
  </si>
  <si>
    <t>石越町東郷字蕪木113</t>
  </si>
  <si>
    <t>0790032</t>
  </si>
  <si>
    <t>中田町石森字新駒牽北39</t>
  </si>
  <si>
    <t>492</t>
  </si>
  <si>
    <t>中田町石森字新駒牽北38</t>
  </si>
  <si>
    <t>491</t>
  </si>
  <si>
    <t>中田町石森字寺浦58</t>
  </si>
  <si>
    <t>490</t>
  </si>
  <si>
    <t>中田町石森字寺浦57</t>
  </si>
  <si>
    <t>489</t>
  </si>
  <si>
    <t>中田町石森字寺浦56</t>
  </si>
  <si>
    <t>488</t>
  </si>
  <si>
    <t>中田町石森字寺浦55</t>
  </si>
  <si>
    <t>487</t>
  </si>
  <si>
    <t>中田町石森字寺浦52</t>
  </si>
  <si>
    <t>486</t>
  </si>
  <si>
    <t>中田町上沼字北新田25</t>
  </si>
  <si>
    <t>中田町石森字寺浦50</t>
  </si>
  <si>
    <t>484</t>
  </si>
  <si>
    <t>中田町石森字寺浦49</t>
  </si>
  <si>
    <t>483</t>
  </si>
  <si>
    <t>中田町石森字寺浦47</t>
  </si>
  <si>
    <t>482</t>
  </si>
  <si>
    <t>中田町石森字寺浦45</t>
  </si>
  <si>
    <t>481</t>
  </si>
  <si>
    <t>中田町石森字小塚南53</t>
  </si>
  <si>
    <t>480</t>
  </si>
  <si>
    <t>中田町石森字小塚南52</t>
  </si>
  <si>
    <t>479</t>
  </si>
  <si>
    <t>中田町石森字小塚南51</t>
  </si>
  <si>
    <t>478</t>
  </si>
  <si>
    <t>中田町上沼字新北要害浦73</t>
  </si>
  <si>
    <t>425</t>
  </si>
  <si>
    <t>中田町石森字小塚南49</t>
  </si>
  <si>
    <t>476</t>
  </si>
  <si>
    <t>中田町石森字小塚南48</t>
  </si>
  <si>
    <t>475</t>
  </si>
  <si>
    <t>中田町石森字小塚南47</t>
  </si>
  <si>
    <t>中田町石森字東蓬田58</t>
  </si>
  <si>
    <t>473</t>
  </si>
  <si>
    <t>中田町石森字東蓬田57</t>
  </si>
  <si>
    <t>472</t>
  </si>
  <si>
    <t>中田町石森字東蓬田56</t>
  </si>
  <si>
    <t>471</t>
  </si>
  <si>
    <t>中田町石森字東蓬田55</t>
  </si>
  <si>
    <t>470</t>
  </si>
  <si>
    <t>中田町石森字東蓬田54</t>
  </si>
  <si>
    <t>469</t>
  </si>
  <si>
    <t>中田町石森字東蓬田53</t>
  </si>
  <si>
    <t>468</t>
  </si>
  <si>
    <t>中田町石森字東蓬田52</t>
  </si>
  <si>
    <t>467</t>
  </si>
  <si>
    <t>中田町石森字東蓬田51</t>
  </si>
  <si>
    <t>466</t>
  </si>
  <si>
    <t>中田町石森字東蓬田50</t>
  </si>
  <si>
    <t>465</t>
  </si>
  <si>
    <t>中田町上沼字北新田43</t>
  </si>
  <si>
    <t>464</t>
  </si>
  <si>
    <t>中田町上沼字北新田41</t>
  </si>
  <si>
    <t>463</t>
  </si>
  <si>
    <t>中田町上沼字北新田40</t>
  </si>
  <si>
    <t>462</t>
  </si>
  <si>
    <t>中田町上沼字北新田38</t>
  </si>
  <si>
    <t>461</t>
  </si>
  <si>
    <t>中田町上沼字北新田37</t>
  </si>
  <si>
    <t>460</t>
  </si>
  <si>
    <t>中田町上沼字北新田36</t>
  </si>
  <si>
    <t>459</t>
  </si>
  <si>
    <t>中田町上沼字北新田35</t>
  </si>
  <si>
    <t>458</t>
  </si>
  <si>
    <t>中田町上沼字北新田34</t>
  </si>
  <si>
    <t>457</t>
  </si>
  <si>
    <t>中田町上沼字北新田33</t>
  </si>
  <si>
    <t>456</t>
  </si>
  <si>
    <t>中田町上沼字北新田32</t>
  </si>
  <si>
    <t>455</t>
  </si>
  <si>
    <t>中田町上沼字新南要害浦93</t>
  </si>
  <si>
    <t>454</t>
  </si>
  <si>
    <t>中田町上沼字新南要害浦92</t>
  </si>
  <si>
    <t>453</t>
  </si>
  <si>
    <t>中田町上沼字新南要害浦91</t>
  </si>
  <si>
    <t>452</t>
  </si>
  <si>
    <t>中田町上沼字新南要害浦90</t>
  </si>
  <si>
    <t>451</t>
  </si>
  <si>
    <t>中田町上沼字新南要害浦89</t>
  </si>
  <si>
    <t>450</t>
  </si>
  <si>
    <t>中田町上沼字新南要害浦88</t>
  </si>
  <si>
    <t>449</t>
  </si>
  <si>
    <t>中田町上沼字新南要害浦87</t>
  </si>
  <si>
    <t>448</t>
  </si>
  <si>
    <t>中田町上沼字新南要害浦86</t>
  </si>
  <si>
    <t>447</t>
  </si>
  <si>
    <t>中田町上沼字新南要害浦85</t>
  </si>
  <si>
    <t>446</t>
  </si>
  <si>
    <t>中田町上沼字新北要害浦74</t>
  </si>
  <si>
    <t>中田町上沼字新南要害浦83</t>
  </si>
  <si>
    <t>444</t>
  </si>
  <si>
    <t>中田町上沼字新南要害浦82</t>
  </si>
  <si>
    <t>443</t>
  </si>
  <si>
    <t>中田町上沼字新南要害浦81</t>
  </si>
  <si>
    <t>442</t>
  </si>
  <si>
    <t>中田町上沼字新南要害浦80</t>
  </si>
  <si>
    <t>441</t>
  </si>
  <si>
    <t>中田町上沼字新南要害浦79</t>
  </si>
  <si>
    <t>440</t>
  </si>
  <si>
    <t>中田町上沼字新南要害浦78</t>
  </si>
  <si>
    <t>439</t>
  </si>
  <si>
    <t>中田町上沼字新南要害浦77</t>
  </si>
  <si>
    <t>438</t>
  </si>
  <si>
    <t>中田町上沼字新南要害浦76</t>
  </si>
  <si>
    <t>437</t>
  </si>
  <si>
    <t>中田町上沼字新南要害浦75</t>
  </si>
  <si>
    <t>436</t>
  </si>
  <si>
    <t>中田町上沼字新南要害浦74</t>
  </si>
  <si>
    <t>435</t>
  </si>
  <si>
    <t>中田町上沼字新南要害浦73</t>
  </si>
  <si>
    <t>434</t>
  </si>
  <si>
    <t>中田町上沼字新北要害浦81</t>
  </si>
  <si>
    <t>433</t>
  </si>
  <si>
    <t>中田町上沼字新北要害浦80</t>
  </si>
  <si>
    <t>432</t>
  </si>
  <si>
    <t>中田町上沼字北新田26</t>
  </si>
  <si>
    <t>中田町上沼字新北要害浦75</t>
  </si>
  <si>
    <t>427</t>
  </si>
  <si>
    <t>中田町上沼字新北要害浦76</t>
  </si>
  <si>
    <t>428</t>
  </si>
  <si>
    <t>東和町米谷福平124番地ため池</t>
  </si>
  <si>
    <t>東和町米谷福平124番地</t>
  </si>
  <si>
    <t>東和町錦織字山居沢47</t>
  </si>
  <si>
    <t>中田町上沼字北新田27</t>
  </si>
  <si>
    <t>中田町上沼字新北要害浦77</t>
  </si>
  <si>
    <t>429</t>
  </si>
  <si>
    <t>中田町上沼字新北要害浦78</t>
  </si>
  <si>
    <t>430</t>
  </si>
  <si>
    <t>中田町上沼字北新田28</t>
  </si>
  <si>
    <t>中田町上沼字新北要害浦79</t>
  </si>
  <si>
    <t>431</t>
  </si>
  <si>
    <t>東和町米谷字山桑71</t>
  </si>
  <si>
    <t>中田町上沼字北新田29</t>
  </si>
  <si>
    <t>中田町上沼字北新田30</t>
  </si>
  <si>
    <t>東和町米谷福平5番地ため池</t>
  </si>
  <si>
    <t>東和町米谷福平5番地</t>
  </si>
  <si>
    <t>264</t>
  </si>
  <si>
    <t>東和町米谷字来京74</t>
  </si>
  <si>
    <t>中田町上沼字北新田31</t>
  </si>
  <si>
    <t>中田町石森字東蓬田42</t>
  </si>
  <si>
    <t>東和町錦織字山居沢38</t>
  </si>
  <si>
    <t>中田町石森字東蓬田43</t>
  </si>
  <si>
    <t>中田町石森字東蓬田44</t>
  </si>
  <si>
    <t>H30東待井下2号線（土地購入）</t>
  </si>
  <si>
    <t>2018/09/18</t>
  </si>
  <si>
    <t>2018/03/26</t>
  </si>
  <si>
    <t>1118</t>
  </si>
  <si>
    <t>東和町米谷平倉163番地ため池</t>
  </si>
  <si>
    <t>東和町米谷平倉163番地</t>
  </si>
  <si>
    <t>東和町錦織字入沢58</t>
  </si>
  <si>
    <t>中田町石森字東蓬田45</t>
  </si>
  <si>
    <t>中田町上沼字新南要害浦84</t>
  </si>
  <si>
    <t>445</t>
  </si>
  <si>
    <t>中田町石森字東蓬田46</t>
  </si>
  <si>
    <t>迫町新田字上十五丸75</t>
  </si>
  <si>
    <t>中田町石森字東蓬田47</t>
  </si>
  <si>
    <t>中田町石森字東蓬田48</t>
  </si>
  <si>
    <t>東和町米川大綱木16番地ため池</t>
  </si>
  <si>
    <t>東和町米川大綱木16番地</t>
  </si>
  <si>
    <t>AsyzAPカラケ沼</t>
  </si>
  <si>
    <t>中田町上沼字弥勒寺大下5</t>
  </si>
  <si>
    <t>中田町石森字小塚南37</t>
  </si>
  <si>
    <t>中田町石森字小塚南38</t>
  </si>
  <si>
    <t>東和町米谷字来京54</t>
  </si>
  <si>
    <t>中田町石森字小塚南39</t>
  </si>
  <si>
    <t>中田町石森字小塚南40</t>
  </si>
  <si>
    <t>H30舟越線（土地購入）</t>
  </si>
  <si>
    <t>2018/03/23</t>
  </si>
  <si>
    <t>南方町翌沢</t>
  </si>
  <si>
    <t>東和町錦織大木沢124番地ため池</t>
  </si>
  <si>
    <t>AsyzAP042120096：大木沢（３）溜池</t>
  </si>
  <si>
    <t>東和町錦織大木沢124番地</t>
  </si>
  <si>
    <t>東和町錦織字畑ノ沢181</t>
  </si>
  <si>
    <t>中田町石森字小塚南41</t>
  </si>
  <si>
    <t>中田町石森字小塚南42</t>
  </si>
  <si>
    <t>南方町新間内7</t>
  </si>
  <si>
    <t>中田町石森字小塚南43</t>
  </si>
  <si>
    <t>中田町石森字小塚南44</t>
  </si>
  <si>
    <t>東和町錦織岩ノ沢204番地ため池</t>
  </si>
  <si>
    <t>東和町錦織岩ノ沢204番地</t>
  </si>
  <si>
    <t>南方町翌沢203</t>
  </si>
  <si>
    <t>中田町石森字小塚南45</t>
  </si>
  <si>
    <t>中田町石森字寺浦32</t>
  </si>
  <si>
    <t>AsyzAP所有者：東和石灰工業</t>
  </si>
  <si>
    <t>東和町錦織字土手外137</t>
  </si>
  <si>
    <t>中田町石森字寺浦33</t>
  </si>
  <si>
    <t>中田町石森字寺浦35</t>
  </si>
  <si>
    <t>H30的場2号線（移転補償）</t>
  </si>
  <si>
    <t>2019/02/25</t>
  </si>
  <si>
    <t>迫町佐沼字的場</t>
  </si>
  <si>
    <t>H30的場2号線（土地購入）</t>
  </si>
  <si>
    <t>2019/02/27</t>
  </si>
  <si>
    <t>石越町北郷芦倉156番地ため池</t>
  </si>
  <si>
    <t>AsyzAP042120122：芦倉溜池</t>
  </si>
  <si>
    <t>石越町北郷芦倉156番地</t>
  </si>
  <si>
    <t>石越町北郷中沢79-1番地ため池</t>
  </si>
  <si>
    <t>AsyzAP042120119：中沢溜池</t>
  </si>
  <si>
    <t>石越町北郷中沢79-1番地</t>
  </si>
  <si>
    <t>南方町翌沢202</t>
  </si>
  <si>
    <t>中田町石森字寺浦36</t>
  </si>
  <si>
    <t>中田町石森字小塚南50</t>
  </si>
  <si>
    <t>477</t>
  </si>
  <si>
    <t>中田町石森字寺浦37</t>
  </si>
  <si>
    <t>南方町翌沢200</t>
  </si>
  <si>
    <t>中田町石森字寺浦38</t>
  </si>
  <si>
    <t>中田町石森字寺浦39</t>
  </si>
  <si>
    <t>東和町錦織字萱野1-1</t>
  </si>
  <si>
    <t>中田町石森字寺浦40</t>
  </si>
  <si>
    <t>中田町石森字寺浦51</t>
  </si>
  <si>
    <t>485</t>
  </si>
  <si>
    <t>中田町石森字寺浦41</t>
  </si>
  <si>
    <t>東和町錦織字川端91-1</t>
  </si>
  <si>
    <t>中田町石森字寺浦42</t>
  </si>
  <si>
    <t>中田町石森字寺浦43</t>
  </si>
  <si>
    <t>石越町南郷?台126番地ため池</t>
  </si>
  <si>
    <t>AsyzAP042120148：北沢溜池</t>
  </si>
  <si>
    <t>石越町南郷?台126番地</t>
  </si>
  <si>
    <t>中田町石森字新駒牽北33</t>
  </si>
  <si>
    <t>中田町石森字新駒牽北34</t>
  </si>
  <si>
    <t>中田町石森字新駒牽北40</t>
  </si>
  <si>
    <t>493</t>
  </si>
  <si>
    <t>中田町石森字新駒牽北42</t>
  </si>
  <si>
    <t>495</t>
  </si>
  <si>
    <t>中田町石森字新駒牽北35</t>
  </si>
  <si>
    <t>中田町石森字新駒牽北45</t>
  </si>
  <si>
    <t>497</t>
  </si>
  <si>
    <t>中田町石森字新駒牽北36</t>
  </si>
  <si>
    <t>石越町南郷芦倉47-1番地ため池</t>
  </si>
  <si>
    <t>石越町南郷芦倉47-1番地</t>
  </si>
  <si>
    <t>中田町石森字新駒牽北37</t>
  </si>
  <si>
    <t>中田町石森字新駒牽北49</t>
  </si>
  <si>
    <t>501</t>
  </si>
  <si>
    <t>中田町石森字野元北42</t>
  </si>
  <si>
    <t>中田町石森字野元北43</t>
  </si>
  <si>
    <t>中田町石森字新駒牽北55</t>
  </si>
  <si>
    <t>505</t>
  </si>
  <si>
    <t>登米町大字日根牛新峯畑121</t>
  </si>
  <si>
    <t>348</t>
  </si>
  <si>
    <t>登米町大字日根牛新峯畑120</t>
  </si>
  <si>
    <t>347</t>
  </si>
  <si>
    <t>登米町大字日根牛新五郎峯165</t>
  </si>
  <si>
    <t>346</t>
  </si>
  <si>
    <t>登米町大字日根牛新五郎峯167</t>
  </si>
  <si>
    <t>345</t>
  </si>
  <si>
    <t>登米町大字日根牛新五郎峯161</t>
  </si>
  <si>
    <t>344</t>
  </si>
  <si>
    <t>登米町大字日根牛新五郎峯148</t>
  </si>
  <si>
    <t>343</t>
  </si>
  <si>
    <t>登米町大字日根牛新五郎峯157</t>
  </si>
  <si>
    <t>342</t>
  </si>
  <si>
    <t>登米町大字日根牛新五郎峯150</t>
  </si>
  <si>
    <t>341</t>
  </si>
  <si>
    <t>登米町大字日根牛新五郎峯149</t>
  </si>
  <si>
    <t>340</t>
  </si>
  <si>
    <t>登米町大字日根牛新五郎峯151</t>
  </si>
  <si>
    <t>339</t>
  </si>
  <si>
    <t>登米町大字日根牛新五郎峯158</t>
  </si>
  <si>
    <t>338</t>
  </si>
  <si>
    <t>登米町大字日根牛新五郎峯159</t>
  </si>
  <si>
    <t>337</t>
  </si>
  <si>
    <t>登米町大字日根牛新五郎峯143</t>
  </si>
  <si>
    <t>336</t>
  </si>
  <si>
    <t>登米町大字日根牛新五郎峯142</t>
  </si>
  <si>
    <t>335</t>
  </si>
  <si>
    <t>登米町大字日根牛新五郎峯164</t>
  </si>
  <si>
    <t>334</t>
  </si>
  <si>
    <t>登米町大字日根牛新五郎峯136</t>
  </si>
  <si>
    <t>333</t>
  </si>
  <si>
    <t>登米町大字日根牛新五郎峯156</t>
  </si>
  <si>
    <t>332</t>
  </si>
  <si>
    <t>登米町大字日根牛新五郎峯145</t>
  </si>
  <si>
    <t>331</t>
  </si>
  <si>
    <t>登米町大字日根牛新五郎峯146</t>
  </si>
  <si>
    <t>330</t>
  </si>
  <si>
    <t>登米町大字日根牛新五郎峯137</t>
  </si>
  <si>
    <t>329</t>
  </si>
  <si>
    <t>登米町大字日根牛新五郎峯138</t>
  </si>
  <si>
    <t>328</t>
  </si>
  <si>
    <t>登米町大字日根牛新五郎峯139</t>
  </si>
  <si>
    <t>327</t>
  </si>
  <si>
    <t>登米町大字日根牛新五郎峯140</t>
  </si>
  <si>
    <t>326</t>
  </si>
  <si>
    <t>登米町大字日根牛新五郎峯162</t>
  </si>
  <si>
    <t>325</t>
  </si>
  <si>
    <t>登米町大字日根牛新五郎峯155</t>
  </si>
  <si>
    <t>324</t>
  </si>
  <si>
    <t>登米町大字日根牛新五郎峯154</t>
  </si>
  <si>
    <t>323</t>
  </si>
  <si>
    <t>登米町大字日根牛新五郎峯163</t>
  </si>
  <si>
    <t>322</t>
  </si>
  <si>
    <t>登米町大字日根牛新五郎峯141</t>
  </si>
  <si>
    <t>321</t>
  </si>
  <si>
    <t>登米町大字日根牛新中田71</t>
  </si>
  <si>
    <t>320</t>
  </si>
  <si>
    <t>登米町大字日根牛新中田70</t>
  </si>
  <si>
    <t>319</t>
  </si>
  <si>
    <t>登米町大字日根牛新中田69</t>
  </si>
  <si>
    <t>318</t>
  </si>
  <si>
    <t>中田町石森字野元北44</t>
  </si>
  <si>
    <t>登米町大字日根牛新中田65</t>
  </si>
  <si>
    <t>316</t>
  </si>
  <si>
    <t>登米町大字日根牛新中田63</t>
  </si>
  <si>
    <t>315</t>
  </si>
  <si>
    <t>登米町大字日根牛新中田68</t>
  </si>
  <si>
    <t>314</t>
  </si>
  <si>
    <t>登米町大字日根牛新中田66</t>
  </si>
  <si>
    <t>313</t>
  </si>
  <si>
    <t>登米町大字日根牛新中田64</t>
  </si>
  <si>
    <t>312</t>
  </si>
  <si>
    <t>登米町大字日根牛新中田62</t>
  </si>
  <si>
    <t>311</t>
  </si>
  <si>
    <t>登米町大字日根牛新北沢56</t>
  </si>
  <si>
    <t>310</t>
  </si>
  <si>
    <t>登米町大字日根牛新北沢57</t>
  </si>
  <si>
    <t>309</t>
  </si>
  <si>
    <t>登米町大字日根牛新北沢55</t>
  </si>
  <si>
    <t>登米町大字日根牛新北沢50</t>
  </si>
  <si>
    <t>登米町大字日根牛新北沢53</t>
  </si>
  <si>
    <t>登米町大字日根牛新北沢54</t>
  </si>
  <si>
    <t>東和町米谷字楼台125</t>
  </si>
  <si>
    <t>東和町米谷字楼台124</t>
  </si>
  <si>
    <t>東和町米谷字楼台123</t>
  </si>
  <si>
    <t>H30水沢線（移転補償）</t>
  </si>
  <si>
    <t>津山町横山字久保</t>
  </si>
  <si>
    <t>東和町米谷字楼台121</t>
  </si>
  <si>
    <t>東和町米谷字楼台120</t>
  </si>
  <si>
    <t>東和町米谷字楼台119</t>
  </si>
  <si>
    <t>東和町米谷字楼台118</t>
  </si>
  <si>
    <t>東和町米谷字楼台117</t>
  </si>
  <si>
    <t>東和町米谷字楼台116</t>
  </si>
  <si>
    <t>東和町米谷字楼台115</t>
  </si>
  <si>
    <t>東和町米谷字楼台114</t>
  </si>
  <si>
    <t>東和町米谷字楼台113</t>
  </si>
  <si>
    <t>東和町米谷字楼台112</t>
  </si>
  <si>
    <t>東和町米谷字楼台111</t>
  </si>
  <si>
    <t>東和町米谷字楼台109</t>
  </si>
  <si>
    <t>東和町米谷字楼台106</t>
  </si>
  <si>
    <t>東和町米谷字楼台105</t>
  </si>
  <si>
    <t>東和町米谷字楼台104</t>
  </si>
  <si>
    <t>石越町東郷苦木107-1番地ため池</t>
  </si>
  <si>
    <t>石越町東郷苦木107-1番地</t>
  </si>
  <si>
    <t>東和町米谷字楼台99</t>
  </si>
  <si>
    <t>東和町米谷字楼台98</t>
  </si>
  <si>
    <t>東和町米谷字楼台97</t>
  </si>
  <si>
    <t>東和町米谷字楼台96</t>
  </si>
  <si>
    <t>東和町米谷字楼台95</t>
  </si>
  <si>
    <t>東和町米谷字沖ノ田167</t>
  </si>
  <si>
    <t>東和町米谷字沖ノ田166</t>
  </si>
  <si>
    <t>東和町米谷字沖ノ田165</t>
  </si>
  <si>
    <t>東和町米谷字沖ノ田164</t>
  </si>
  <si>
    <t>東和町米谷字沖ノ田163</t>
  </si>
  <si>
    <t>東和町米谷字沖ノ田162</t>
  </si>
  <si>
    <t>東和町米谷字沖ノ田161</t>
  </si>
  <si>
    <t>東和町米谷字沖ノ田160</t>
  </si>
  <si>
    <t>東和町米谷字沖ノ田159</t>
  </si>
  <si>
    <t>東和町米谷字沖ノ田158</t>
  </si>
  <si>
    <t>東和町米谷字沖ノ田157</t>
  </si>
  <si>
    <t>東和町米谷字沖ノ田156</t>
  </si>
  <si>
    <t>東和町米谷字沖ノ田155</t>
  </si>
  <si>
    <t>267</t>
  </si>
  <si>
    <t>東和町米谷字沖ノ田153</t>
  </si>
  <si>
    <t>266</t>
  </si>
  <si>
    <t>東和町米谷字沖ノ田152</t>
  </si>
  <si>
    <t>東和町米谷字沖ノ田151</t>
  </si>
  <si>
    <t>東和町米谷字沖ノ田150</t>
  </si>
  <si>
    <t>263</t>
  </si>
  <si>
    <t>東和町米谷字沖ノ田149</t>
  </si>
  <si>
    <t>262</t>
  </si>
  <si>
    <t>東和町米谷字沖ノ田148</t>
  </si>
  <si>
    <t>261</t>
  </si>
  <si>
    <t>東和町米谷字沖ノ田147</t>
  </si>
  <si>
    <t>東和町米谷字沖ノ田146</t>
  </si>
  <si>
    <t>東和町米谷字沖ノ田145</t>
  </si>
  <si>
    <t>東和町米谷字沖ノ田144</t>
  </si>
  <si>
    <t>東和町米谷字沖ノ田143</t>
  </si>
  <si>
    <t>東和町米谷字沖ノ田142</t>
  </si>
  <si>
    <t>東和町米谷字沖ノ田141</t>
  </si>
  <si>
    <t>東和町米谷字楼台74</t>
  </si>
  <si>
    <t>243</t>
  </si>
  <si>
    <t>東和町米谷字沖ノ田139</t>
  </si>
  <si>
    <t>東和町米谷字沖ノ田138</t>
  </si>
  <si>
    <t>東和町米谷字沖ノ田137</t>
  </si>
  <si>
    <t>東和町米谷字沖ノ田136</t>
  </si>
  <si>
    <t>東和町米谷字沖ノ田135</t>
  </si>
  <si>
    <t>東和町米谷字沖ノ田134</t>
  </si>
  <si>
    <t>東和町米谷字沖ノ田133</t>
  </si>
  <si>
    <t>東和町米谷字沖ノ田132</t>
  </si>
  <si>
    <t>東和町米谷字沖ノ田131</t>
  </si>
  <si>
    <t>東和町米谷字沖ノ田130</t>
  </si>
  <si>
    <t>東和町米谷字沖ノ田129</t>
  </si>
  <si>
    <t>東和町米谷字沖ノ田128</t>
  </si>
  <si>
    <t>東和町米谷字沖ノ田127</t>
  </si>
  <si>
    <t>東和町米谷字沖ノ田126</t>
  </si>
  <si>
    <t>東和町米谷字沖ノ田125</t>
  </si>
  <si>
    <t>東和町米谷字沖ノ田90</t>
  </si>
  <si>
    <t>東和町米谷字沖ノ田123</t>
  </si>
  <si>
    <t>東和町米谷字沖ノ田86</t>
  </si>
  <si>
    <t>東和町米谷字沖ノ田121</t>
  </si>
  <si>
    <t>東和町米谷字沖ノ田120</t>
  </si>
  <si>
    <t>東和町米谷字沖ノ田119</t>
  </si>
  <si>
    <t>東和町米谷字沖ノ田118</t>
  </si>
  <si>
    <t>東和町錦織字新二良根54</t>
  </si>
  <si>
    <t>東和町米谷字沖ノ田74</t>
  </si>
  <si>
    <t>東和町錦織字新二良根52</t>
  </si>
  <si>
    <t>東和町錦織字新二良根51</t>
  </si>
  <si>
    <t>東和町錦織字新二良根50</t>
  </si>
  <si>
    <t>東和町錦織字新二良根48</t>
  </si>
  <si>
    <t>東和町錦織字新二良根47</t>
  </si>
  <si>
    <t>東和町錦織字新二良根46</t>
  </si>
  <si>
    <t>東和町錦織字新二良根45</t>
  </si>
  <si>
    <t>東和町米谷字中渡戸241</t>
  </si>
  <si>
    <t>東和町錦織字新二良根30</t>
  </si>
  <si>
    <t>東和町錦織字新川端48</t>
  </si>
  <si>
    <t>東和町錦織字新川端47</t>
  </si>
  <si>
    <t>東和町錦織字新川端46</t>
  </si>
  <si>
    <t>東和町錦織字新川端45</t>
  </si>
  <si>
    <t>東和町錦織字新川端44</t>
  </si>
  <si>
    <t>東和町錦織字新川端43</t>
  </si>
  <si>
    <t>東和町錦織字新川端42</t>
  </si>
  <si>
    <t>東和町錦織字新川端41</t>
  </si>
  <si>
    <t>東和町錦織字新川端40</t>
  </si>
  <si>
    <t>東和町米谷字新中渡戸37</t>
  </si>
  <si>
    <t>東和町米谷字新中渡戸36</t>
  </si>
  <si>
    <t>東和町米谷字新中渡戸35</t>
  </si>
  <si>
    <t>東和町米谷字新中渡戸34</t>
  </si>
  <si>
    <t>東和町米谷字新中渡戸33</t>
  </si>
  <si>
    <t>東和町米谷字新中渡戸32</t>
  </si>
  <si>
    <t>東和町米谷字新中渡戸31</t>
  </si>
  <si>
    <t>東和町米谷字新中渡戸30</t>
  </si>
  <si>
    <t>東和町米谷字新中渡戸29</t>
  </si>
  <si>
    <t>東和町米谷字新中渡戸28</t>
  </si>
  <si>
    <t>東和町米谷字新中渡戸27</t>
  </si>
  <si>
    <t>東和町米谷字新吉田37</t>
  </si>
  <si>
    <t>東和町米谷字新吉田36</t>
  </si>
  <si>
    <t>東和町米谷字新吉田35</t>
  </si>
  <si>
    <t>東和町米谷字新吉田34</t>
  </si>
  <si>
    <t>東和町米谷字新吉田33</t>
  </si>
  <si>
    <t>東和町米谷字新吉田32</t>
  </si>
  <si>
    <t>東和町米谷字新吉田31</t>
  </si>
  <si>
    <t>東和町錦織字嵯峨立32</t>
  </si>
  <si>
    <t>東和町錦織字嵯峨立31</t>
  </si>
  <si>
    <t>東和町錦織字嵯峨立30</t>
  </si>
  <si>
    <t>迫町新田字新蓮沼125</t>
  </si>
  <si>
    <t>東和町錦織字嵯峨立28</t>
  </si>
  <si>
    <t>東和町錦織字嵯峨立27</t>
  </si>
  <si>
    <t>東和町錦織字嵯峨立26</t>
  </si>
  <si>
    <t>東和町錦織字嵯峨立25</t>
  </si>
  <si>
    <t>東和町錦織字嵯峨立24</t>
  </si>
  <si>
    <t>東和町錦織字嵯峨立23</t>
  </si>
  <si>
    <t>東和町米川字新寺前36</t>
  </si>
  <si>
    <t>東和町米川字新寺前35</t>
  </si>
  <si>
    <t>東和町米川字新寺前34</t>
  </si>
  <si>
    <t>東和町米川字新寺前33</t>
  </si>
  <si>
    <t>東和町米川字新寺前32</t>
  </si>
  <si>
    <t>東和町米川字新寺前31</t>
  </si>
  <si>
    <t>東和町米川字新寺前30</t>
  </si>
  <si>
    <t>東和町米川字新寺前29</t>
  </si>
  <si>
    <t>東和町米川字新寺前28</t>
  </si>
  <si>
    <t>迫町新田字新舟崎113</t>
  </si>
  <si>
    <t>東和町米川字新青木119</t>
  </si>
  <si>
    <t>東和町米川字新青木118</t>
  </si>
  <si>
    <t>東和町米川字新青木117</t>
  </si>
  <si>
    <t>東和町米川字新青木116</t>
  </si>
  <si>
    <t>東和町米川字新青木115</t>
  </si>
  <si>
    <t>東和町米川字新青木114</t>
  </si>
  <si>
    <t>東和町米川字新青木113</t>
  </si>
  <si>
    <t>迫町新田字新伊豆崎112</t>
  </si>
  <si>
    <t>東和町米川字新青木111</t>
  </si>
  <si>
    <t>東和町米川字新青木110</t>
  </si>
  <si>
    <t>東和町米川字新青木109</t>
  </si>
  <si>
    <t>東和町米川字新青木108</t>
  </si>
  <si>
    <t>東和町米川字新青木107</t>
  </si>
  <si>
    <t>東和町米川字新青木106</t>
  </si>
  <si>
    <t>東和町米川字新青木105</t>
  </si>
  <si>
    <t>迫町新田字新茂栗75</t>
  </si>
  <si>
    <t>1975/08/21</t>
  </si>
  <si>
    <t>東和町米川字新青木103</t>
  </si>
  <si>
    <t>東和町米川字新青木102</t>
  </si>
  <si>
    <t>東和町米川字新青木101</t>
  </si>
  <si>
    <t>東和町米川字新青木100</t>
  </si>
  <si>
    <t>東和町米川字新青木99</t>
  </si>
  <si>
    <t>東和町米川字新青木98</t>
  </si>
  <si>
    <t>東和町米川字新青木97</t>
  </si>
  <si>
    <t>迫町新田字新茂栗92</t>
  </si>
  <si>
    <t>東和町米川字新青木95</t>
  </si>
  <si>
    <t>東和町米川字新青木94</t>
  </si>
  <si>
    <t>東和町米川字新青木93</t>
  </si>
  <si>
    <t>東和町米川字新青木92</t>
  </si>
  <si>
    <t>東和町米川字新青木91</t>
  </si>
  <si>
    <t>東和町米川字新青木90</t>
  </si>
  <si>
    <t>東和町米川字新青木89</t>
  </si>
  <si>
    <t>ウサギ沢　</t>
  </si>
  <si>
    <t>中田町上沼字大泉伊勢山45</t>
  </si>
  <si>
    <t>1975/05/08</t>
  </si>
  <si>
    <t>迫町新田字松原東86</t>
  </si>
  <si>
    <t>迫町新田字松原東85</t>
  </si>
  <si>
    <t>迫町新田字松原東84</t>
  </si>
  <si>
    <t>迫町新田字松原東83</t>
  </si>
  <si>
    <t>迫町新田字松原東81</t>
  </si>
  <si>
    <t>迫町新田字松原東78</t>
  </si>
  <si>
    <t>迫町新田字松原東77</t>
  </si>
  <si>
    <t>西風田上溜池</t>
  </si>
  <si>
    <t>石越町北郷字長根94-2</t>
  </si>
  <si>
    <t>0260023</t>
  </si>
  <si>
    <t>迫町新田字松原東75</t>
  </si>
  <si>
    <t>迫町新田字松原東69</t>
  </si>
  <si>
    <t>迫町新田字新蓮沼131</t>
  </si>
  <si>
    <t>苦木下溜池</t>
  </si>
  <si>
    <t>石越町東郷字苦木115-1</t>
  </si>
  <si>
    <t>0260015</t>
  </si>
  <si>
    <t>迫町新田字新蓮沼126</t>
  </si>
  <si>
    <t>迫町新田字新蓮沼124</t>
  </si>
  <si>
    <t>迫町新田字新蓮沼123</t>
  </si>
  <si>
    <t>不動沢溜池</t>
  </si>
  <si>
    <t>石越町東郷字大根沢47</t>
  </si>
  <si>
    <t>0260007</t>
  </si>
  <si>
    <t>迫町新田字新蓮沼119</t>
  </si>
  <si>
    <t>迫町新田字新蓮沼114</t>
  </si>
  <si>
    <t>迫町新田字新蓮沼113</t>
  </si>
  <si>
    <t>迫町新田字新蓮沼107</t>
  </si>
  <si>
    <t>迫町新田字新蓮沼106</t>
  </si>
  <si>
    <t>迫町新田字新蓮沼104</t>
  </si>
  <si>
    <t>迫町新田字新蒲西125</t>
  </si>
  <si>
    <t>迫町新田字新蒲西124</t>
  </si>
  <si>
    <t>迫町新田字新蒲西119</t>
  </si>
  <si>
    <t>迫町新田字新蒲西117</t>
  </si>
  <si>
    <t>迫町新田字新蒲西116</t>
  </si>
  <si>
    <t>迫町新田字新蒲西113</t>
  </si>
  <si>
    <t>迫町新田字新蒲西112</t>
  </si>
  <si>
    <t>迫町新田字新蒲西106</t>
  </si>
  <si>
    <t>迫町新田字新東坂戸73</t>
  </si>
  <si>
    <t>迫町新田字大鹿野57</t>
  </si>
  <si>
    <t>迫町新田字新舟崎173</t>
  </si>
  <si>
    <t>迫町新田字新舟崎172</t>
  </si>
  <si>
    <t>迫町新田字新舟崎171</t>
  </si>
  <si>
    <t>迫町新田字新舟崎170</t>
  </si>
  <si>
    <t>迫町新田字新舟崎169</t>
  </si>
  <si>
    <t>迫町新田字新舟崎168</t>
  </si>
  <si>
    <t>迫町新田字新舟崎167</t>
  </si>
  <si>
    <t>迫町新田字上大田切15</t>
  </si>
  <si>
    <t>迫町新田字新舟崎165</t>
  </si>
  <si>
    <t>迫町新田字新舟崎164</t>
  </si>
  <si>
    <t>迫町新田字新舟崎163</t>
  </si>
  <si>
    <t>迫町新田字新舟崎162</t>
  </si>
  <si>
    <t>迫町新田字新舟崎161</t>
  </si>
  <si>
    <t>迫町新田字新舟崎160</t>
  </si>
  <si>
    <t>迫町新田字新舟崎159</t>
  </si>
  <si>
    <t>迫町新田字刈又沢17</t>
  </si>
  <si>
    <t>迫町新田字新舟崎157</t>
  </si>
  <si>
    <t>迫町新田字新舟崎156</t>
  </si>
  <si>
    <t>迫町新田字新舟崎155</t>
  </si>
  <si>
    <t>迫町新田字新舟崎154</t>
  </si>
  <si>
    <t>迫町新田字新舟崎153</t>
  </si>
  <si>
    <t>迫町新田字新舟崎152</t>
  </si>
  <si>
    <t>迫町新田字新舟崎151</t>
  </si>
  <si>
    <t>迫町新田字新舟崎150</t>
  </si>
  <si>
    <t>迫町新田字新舟崎149</t>
  </si>
  <si>
    <t>迫町新田字新舟崎148</t>
  </si>
  <si>
    <t>迫町新田字新舟崎147</t>
  </si>
  <si>
    <t>迫町新田字新舟崎146</t>
  </si>
  <si>
    <t>迫町新田字新舟崎145</t>
  </si>
  <si>
    <t>迫町新田字新舟崎144</t>
  </si>
  <si>
    <t>迫町新田字新舟崎143</t>
  </si>
  <si>
    <t>迫町新田字新舟崎142</t>
  </si>
  <si>
    <t>迫町新田字新舟崎141</t>
  </si>
  <si>
    <t>迫町新田字新舟崎140</t>
  </si>
  <si>
    <t>迫町新田字新舟崎139</t>
  </si>
  <si>
    <t>迫町新田字新舟崎137</t>
  </si>
  <si>
    <t>迫町新田字新舟崎136</t>
  </si>
  <si>
    <t>迫町新田字新舟崎135</t>
  </si>
  <si>
    <t>迫町新田字新舟崎134</t>
  </si>
  <si>
    <t>迫町新田字新舟崎133</t>
  </si>
  <si>
    <t>迫町新田字新舟崎132</t>
  </si>
  <si>
    <t>迫町新田字新舟崎131</t>
  </si>
  <si>
    <t>迫町新田字新舟崎130</t>
  </si>
  <si>
    <t>迫町新田字新舟崎129</t>
  </si>
  <si>
    <t>迫町新田字新舟崎128</t>
  </si>
  <si>
    <t>迫町新田字新舟崎127</t>
  </si>
  <si>
    <t>迫町新田字新舟崎126-3</t>
  </si>
  <si>
    <t>迫町新田字上十五丸74</t>
  </si>
  <si>
    <t>迫町新田字新舟崎125</t>
  </si>
  <si>
    <t>迫町新田字新舟崎124</t>
  </si>
  <si>
    <t>迫町新田字新舟崎123</t>
  </si>
  <si>
    <t>迫町新田字新舟崎122</t>
  </si>
  <si>
    <t>迫町新田字新伊豆崎141</t>
  </si>
  <si>
    <t>迫町新田字新伊豆崎140</t>
  </si>
  <si>
    <t>迫町新田字新伊豆崎139</t>
  </si>
  <si>
    <t>迫町新田字新伊豆崎138</t>
  </si>
  <si>
    <t>迫町新田字新伊豆崎137</t>
  </si>
  <si>
    <t>迫町新田字新伊豆崎136</t>
  </si>
  <si>
    <t>迫町新田字新伊豆崎135</t>
  </si>
  <si>
    <t>迫町新田字新伊豆崎134</t>
  </si>
  <si>
    <t>迫町新田字新伊豆崎133</t>
  </si>
  <si>
    <t>迫町新田字新伊豆崎132</t>
  </si>
  <si>
    <t>迫町新田字新伊豆崎131</t>
  </si>
  <si>
    <t>迫町新田字大上27</t>
  </si>
  <si>
    <t>迫町新田字新伊豆崎129</t>
  </si>
  <si>
    <t>迫町新田字新伊豆崎155</t>
  </si>
  <si>
    <t>迫町新田字新伊豆崎154</t>
  </si>
  <si>
    <t>迫町新田字新伊豆崎153</t>
  </si>
  <si>
    <t>迫町新田字新伊豆崎152</t>
  </si>
  <si>
    <t>迫町新田字新伊豆崎151</t>
  </si>
  <si>
    <t>迫町新田字新伊豆崎150</t>
  </si>
  <si>
    <t>迫町新田字新伊豆崎149</t>
  </si>
  <si>
    <t>迫町新田字新伊豆崎148</t>
  </si>
  <si>
    <t>迫町新田字新伊豆崎147</t>
  </si>
  <si>
    <t>迫町新田字新伊豆崎146</t>
  </si>
  <si>
    <t>迫町新田字新伊豆崎145</t>
  </si>
  <si>
    <t>迫町新田字新伊豆崎144</t>
  </si>
  <si>
    <t>迫町新田字新伊豆崎143</t>
  </si>
  <si>
    <t>迫町新田字新伊豆崎142</t>
  </si>
  <si>
    <t>津山町横山字細屋23-1</t>
  </si>
  <si>
    <t>迫町新田字新茂栗110</t>
  </si>
  <si>
    <t>迫町新田字新茂栗109</t>
  </si>
  <si>
    <t>迫町新田字新茂栗108</t>
  </si>
  <si>
    <t>迫町新田字新茂栗107</t>
  </si>
  <si>
    <t>迫町新田字新茂栗106</t>
  </si>
  <si>
    <t>迫町新田字新茂栗105</t>
  </si>
  <si>
    <t>迫町新田字新茂栗103</t>
  </si>
  <si>
    <t>迫町新田字新茂栗129</t>
  </si>
  <si>
    <t>迫町新田字新茂栗128</t>
  </si>
  <si>
    <t>迫町新田字新茂栗127</t>
  </si>
  <si>
    <t>迫町新田字新茂栗126</t>
  </si>
  <si>
    <t>迫町新田字新茂栗125</t>
  </si>
  <si>
    <t>迫町新田字新茂栗124</t>
  </si>
  <si>
    <t>迫町新田字新茂栗122</t>
  </si>
  <si>
    <t>迫町新田字新茂栗121</t>
  </si>
  <si>
    <t>迫町新田字新茂栗120</t>
  </si>
  <si>
    <t>迫町新田字新茂栗119</t>
  </si>
  <si>
    <t>迫町新田字新茂栗118</t>
  </si>
  <si>
    <t>迫町新田字新茂栗117</t>
  </si>
  <si>
    <t>迫町新田字新茂栗116</t>
  </si>
  <si>
    <t>迫町新田字新茂栗115</t>
  </si>
  <si>
    <t>迫町新田字新茂栗114</t>
  </si>
  <si>
    <t>迫町新田字新茂栗113</t>
  </si>
  <si>
    <t>迫町新田字新茂栗112</t>
  </si>
  <si>
    <t>迫町新田字新茂栗102</t>
  </si>
  <si>
    <t>迫町新田字新茂栗123</t>
  </si>
  <si>
    <t>迫町新田字新茂栗104</t>
  </si>
  <si>
    <t>津山町横山字北沢下2</t>
  </si>
  <si>
    <t>津山町横山字北沢上78</t>
  </si>
  <si>
    <t>津山町横山字北沢上77</t>
  </si>
  <si>
    <t>津山町横山字北沢上76</t>
  </si>
  <si>
    <t>豊里町上屋浦60-2</t>
  </si>
  <si>
    <t>津山町横山字北沢上74</t>
  </si>
  <si>
    <t>津山町横山字北沢上73</t>
  </si>
  <si>
    <t>津山町横山字北沢上72</t>
  </si>
  <si>
    <t>津山町横山字北沢上71</t>
  </si>
  <si>
    <t>津山町横山字北沢上70</t>
  </si>
  <si>
    <t>津山町横山字南沢下6</t>
  </si>
  <si>
    <t>津山町横山字南沢中9</t>
  </si>
  <si>
    <t>津山町横山字南沢上77</t>
  </si>
  <si>
    <t>津山町横山字南沢上76</t>
  </si>
  <si>
    <t>津山町横山字南沢上75</t>
  </si>
  <si>
    <t>津山町横山字南沢上74</t>
  </si>
  <si>
    <t>津山町横山字南沢上73</t>
  </si>
  <si>
    <t>津山町横山字南沢上72</t>
  </si>
  <si>
    <t>津山町横山字南沢上69</t>
  </si>
  <si>
    <t>津山町横山字南沢上68</t>
  </si>
  <si>
    <t>1022</t>
  </si>
  <si>
    <t>中田町宝江黒沼字浦90-1</t>
  </si>
  <si>
    <t>津山町横山字南沢上66</t>
  </si>
  <si>
    <t>津山町横山字南沢上65</t>
  </si>
  <si>
    <t>津山町横山字南沢上62</t>
  </si>
  <si>
    <t>津山町横山字南沢上61</t>
  </si>
  <si>
    <t>津山町横山字高谷地51</t>
  </si>
  <si>
    <t>津山町横山字高谷地49</t>
  </si>
  <si>
    <t>津山町横山字高谷地48</t>
  </si>
  <si>
    <t>津山町横山字高谷地47</t>
  </si>
  <si>
    <t>津山町横山字高谷地46</t>
  </si>
  <si>
    <t>津山町横山字高谷地45</t>
  </si>
  <si>
    <t>津山町横山字高谷地44</t>
  </si>
  <si>
    <t>南方町翌沢218-2</t>
  </si>
  <si>
    <t>津山町柳津字締切沼上41</t>
  </si>
  <si>
    <t>石越町南郷字新南埣169-5</t>
  </si>
  <si>
    <t>石越町南郷字新南埣169-4</t>
  </si>
  <si>
    <t>南方町翌沢72</t>
  </si>
  <si>
    <t>石越町南郷字新南埣169-2</t>
  </si>
  <si>
    <t>石越町南郷字新南埣169-1</t>
  </si>
  <si>
    <t>石越町北郷字新北49</t>
  </si>
  <si>
    <t>石越町北郷字新北48</t>
  </si>
  <si>
    <t>石越町北郷字新北47</t>
  </si>
  <si>
    <t>石越町北郷字新北46</t>
  </si>
  <si>
    <t>石越町北郷字新北45</t>
  </si>
  <si>
    <t>石越町北郷字新北44</t>
  </si>
  <si>
    <t>石越町北郷字新北43</t>
  </si>
  <si>
    <t>石越町北郷字新北42</t>
  </si>
  <si>
    <t>石越町北郷字新北41</t>
  </si>
  <si>
    <t>石越町北郷字新南61</t>
  </si>
  <si>
    <t>石越町北郷字新南60</t>
  </si>
  <si>
    <t>石越町北郷字新南59</t>
  </si>
  <si>
    <t>石越町北郷字新南58</t>
  </si>
  <si>
    <t>石越町北郷字新南57</t>
  </si>
  <si>
    <t>989</t>
  </si>
  <si>
    <t>石越町北郷字新南56</t>
  </si>
  <si>
    <t>石越町北郷字新南55</t>
  </si>
  <si>
    <t>石越町北郷字新南54</t>
  </si>
  <si>
    <t>石越町北郷字新南53</t>
  </si>
  <si>
    <t>石越町北郷字新南52</t>
  </si>
  <si>
    <t>石越町北郷字新南51</t>
  </si>
  <si>
    <t>石越町北郷字新南50-2</t>
  </si>
  <si>
    <t>石越町北郷字新南50-1</t>
  </si>
  <si>
    <t>石越町北郷字新西37</t>
  </si>
  <si>
    <t>石越町北郷字新西36</t>
  </si>
  <si>
    <t>石越町北郷字新西35</t>
  </si>
  <si>
    <t>石越町北郷字新西34</t>
  </si>
  <si>
    <t>石越町北郷字新西33</t>
  </si>
  <si>
    <t>石越町北郷字新西32</t>
  </si>
  <si>
    <t>石越町北郷字新西31</t>
  </si>
  <si>
    <t>中田町上沼字弥勒寺住吉181-2</t>
  </si>
  <si>
    <t>石越町北郷字新西29</t>
  </si>
  <si>
    <t>石越町北郷字新東43</t>
  </si>
  <si>
    <t>石越町北郷字新東42</t>
  </si>
  <si>
    <t>石越町北郷字新東41</t>
  </si>
  <si>
    <t>石越町北郷字新東40</t>
  </si>
  <si>
    <t>石越町北郷字新東39</t>
  </si>
  <si>
    <t>石越町北郷字新東38</t>
  </si>
  <si>
    <t>中田町上沼字冠木45-8</t>
  </si>
  <si>
    <t>石越町北郷字新東36</t>
  </si>
  <si>
    <t>石越町北郷字新東35</t>
  </si>
  <si>
    <t>石越町北郷字新的場下41</t>
  </si>
  <si>
    <t>中田町石森字野元北45</t>
  </si>
  <si>
    <t>石越町北郷字新的場下39</t>
  </si>
  <si>
    <t>石越町北郷字新的場下38-3</t>
  </si>
  <si>
    <t>石越町北郷字新的場下38-1</t>
  </si>
  <si>
    <t>中田町石森字野元北46</t>
  </si>
  <si>
    <t>石越町北郷字新的場下37</t>
  </si>
  <si>
    <t>石越町北郷字新的場下36</t>
  </si>
  <si>
    <t>石越町北郷字新橋向83</t>
  </si>
  <si>
    <t>石越町北郷字新橋向94</t>
  </si>
  <si>
    <t>石越町北郷字新橋向99</t>
  </si>
  <si>
    <t>石越町北郷字新橋向90</t>
  </si>
  <si>
    <t>石越町北郷字新橋向92</t>
  </si>
  <si>
    <t>米山町西野字新遠田69</t>
  </si>
  <si>
    <t>石越町北郷字新橋向89</t>
  </si>
  <si>
    <t>石越町北郷字新橋向88</t>
  </si>
  <si>
    <t>石越町北郷字新橋向87</t>
  </si>
  <si>
    <t>津山町横山字寺倉15-2</t>
  </si>
  <si>
    <t>石越町北郷字新橋向85</t>
  </si>
  <si>
    <t>石越町北郷字新橋向84</t>
  </si>
  <si>
    <t>石越町北郷字新橋向79</t>
  </si>
  <si>
    <t>南方町照井251-1</t>
  </si>
  <si>
    <t>石越町北郷字新橋向77</t>
  </si>
  <si>
    <t>石越町北郷字新橋向104</t>
  </si>
  <si>
    <t>石越町北郷字新橋向103</t>
  </si>
  <si>
    <t>石越町北郷字新橋向101</t>
  </si>
  <si>
    <t>石越町北郷字新橋向102</t>
  </si>
  <si>
    <t>石越町北郷字新橋向100</t>
  </si>
  <si>
    <t>石越町北郷字新橋向98</t>
  </si>
  <si>
    <t>米山中埣公園</t>
  </si>
  <si>
    <t>001522:米山中埣公園</t>
  </si>
  <si>
    <t>米山町西野字平埣前72</t>
  </si>
  <si>
    <t>0190028</t>
  </si>
  <si>
    <t>石越町北郷字新橋向96</t>
  </si>
  <si>
    <t>石越町北郷字新橋向97</t>
  </si>
  <si>
    <t>石越町北郷字新傾城渕67</t>
  </si>
  <si>
    <t>石越町北郷字新傾城渕66</t>
  </si>
  <si>
    <t>石越町北郷字新傾城渕65</t>
  </si>
  <si>
    <t>石越町北郷字新傾城渕64</t>
  </si>
  <si>
    <t>石越町北郷字新傾城渕63</t>
  </si>
  <si>
    <t>東和町米川字馬ノ足28-7</t>
  </si>
  <si>
    <t>1982/04/17</t>
  </si>
  <si>
    <t>石越町北郷字新傾城渕61</t>
  </si>
  <si>
    <t>石越町北郷字新傾城渕60</t>
  </si>
  <si>
    <t>石越町北郷字新傾城渕59</t>
  </si>
  <si>
    <t>石越町北郷字新傾城渕58</t>
  </si>
  <si>
    <t>石越町北郷字新傾城渕57</t>
  </si>
  <si>
    <t>石越町北郷字新傾城渕56</t>
  </si>
  <si>
    <t>石越町北郷字新傾城渕55</t>
  </si>
  <si>
    <t>東和町米谷字南沢53-12</t>
  </si>
  <si>
    <t>石越町北郷字新丸谷地71</t>
  </si>
  <si>
    <t>石越町北郷字新丸谷地70</t>
  </si>
  <si>
    <t>石越町北郷字新丸谷地69</t>
  </si>
  <si>
    <t>迫町北方字新土手ノ内71-2</t>
  </si>
  <si>
    <t>石越町北郷字新丸谷地67</t>
  </si>
  <si>
    <t>石越町北郷字新丸谷地66</t>
  </si>
  <si>
    <t>石越町北郷字新丸谷地65</t>
  </si>
  <si>
    <t>迫町北方字熊沢44-6</t>
  </si>
  <si>
    <t>石越町北郷字新丸谷地63</t>
  </si>
  <si>
    <t>石越町北郷字新丸谷地62</t>
  </si>
  <si>
    <t>石越町北郷字新丸谷地61</t>
  </si>
  <si>
    <t>石越町北郷字新丸谷地60</t>
  </si>
  <si>
    <t>石越町北郷字新丸谷地59</t>
  </si>
  <si>
    <t>石越町北郷字新丸谷地58</t>
  </si>
  <si>
    <t>石越町北郷字新丸谷地57</t>
  </si>
  <si>
    <t>迫町佐沼字内町23-4</t>
  </si>
  <si>
    <t>石越町北郷字新大和田59</t>
  </si>
  <si>
    <t>石越町北郷字新大和田58</t>
  </si>
  <si>
    <t>石越町北郷字新大和田57</t>
  </si>
  <si>
    <t>迫町佐沼字内町12</t>
  </si>
  <si>
    <t>石越町北郷字新大和田54</t>
  </si>
  <si>
    <t>石越町北郷字新大和田53</t>
  </si>
  <si>
    <t>石越町北郷字新大和田51</t>
  </si>
  <si>
    <t>迫町佐沼字内町63-21</t>
  </si>
  <si>
    <t>石越町北郷字新大和田49</t>
  </si>
  <si>
    <t>石越町北郷字新大和田48</t>
  </si>
  <si>
    <t>石越町北郷字新大和田47</t>
  </si>
  <si>
    <t>石越町北郷字新大和田46</t>
  </si>
  <si>
    <t>石越町北郷字新大和田45</t>
  </si>
  <si>
    <t>石越町北郷字新大和田44</t>
  </si>
  <si>
    <t>石越町北郷字新富崎前55</t>
  </si>
  <si>
    <t>迫町佐沼字新大東53</t>
  </si>
  <si>
    <t>石越町北郷字新富崎前53</t>
  </si>
  <si>
    <t>石越町北郷字新富崎前52</t>
  </si>
  <si>
    <t>石越町北郷字新富崎前51</t>
  </si>
  <si>
    <t>萩洗2号公園</t>
  </si>
  <si>
    <t>001473:萩洗2号公園</t>
  </si>
  <si>
    <t>迫町佐沼字江合三丁目7-5</t>
  </si>
  <si>
    <t>0180011</t>
  </si>
  <si>
    <t>石越町北郷字新富崎前49</t>
  </si>
  <si>
    <t>石越町北郷字新富崎前48</t>
  </si>
  <si>
    <t>石越町北郷字新富崎前47</t>
  </si>
  <si>
    <t>中江西公園</t>
  </si>
  <si>
    <t>001465:中江西公園</t>
  </si>
  <si>
    <t>迫町佐沼字中江五丁目3-2</t>
  </si>
  <si>
    <t>1998/12/15</t>
  </si>
  <si>
    <t>0180003</t>
  </si>
  <si>
    <t>石越町北郷字新富崎前45</t>
  </si>
  <si>
    <t>石越町北郷字新堀内前64-1</t>
  </si>
  <si>
    <t>石越町北郷字新堀内前63</t>
  </si>
  <si>
    <t>石越町北郷字新堀内前62</t>
  </si>
  <si>
    <t>石越町北郷字新堀内前61</t>
  </si>
  <si>
    <t>石越町北郷字新堀内前60-1</t>
  </si>
  <si>
    <t>石越町北郷字新堀内前59</t>
  </si>
  <si>
    <t>南方柳沢農村公園</t>
  </si>
  <si>
    <t>001532:南方柳沢農村公園</t>
  </si>
  <si>
    <t>南方町大平10-5</t>
  </si>
  <si>
    <t>0190038</t>
  </si>
  <si>
    <t>石越町北郷字新堀内前57</t>
  </si>
  <si>
    <t>石越町北郷字新堀内前56</t>
  </si>
  <si>
    <t>石越町北郷字新堀内前55</t>
  </si>
  <si>
    <t>石越町北郷字新堀内前54</t>
  </si>
  <si>
    <t>石越町北郷字新堀内前53</t>
  </si>
  <si>
    <t>石越町北郷字新堀内前52</t>
  </si>
  <si>
    <t>石越町北郷字新堀内前51</t>
  </si>
  <si>
    <t>南方町三代前208</t>
  </si>
  <si>
    <t>石越町北郷字新堀内前49</t>
  </si>
  <si>
    <t>石越町北郷字新堀内前48</t>
  </si>
  <si>
    <t>石越町北郷字新堀内前47</t>
  </si>
  <si>
    <t>石越町北郷字新堀内前46</t>
  </si>
  <si>
    <t>石越町北郷字新内の目117</t>
  </si>
  <si>
    <t>石越町北郷字新内の目116</t>
  </si>
  <si>
    <t>石越町北郷字新内の目115</t>
  </si>
  <si>
    <t>迫町新田字新舟崎91</t>
  </si>
  <si>
    <t>石越町北郷字新内の目109-2</t>
  </si>
  <si>
    <t>石越町北郷字新内の目107</t>
  </si>
  <si>
    <t>石越町北郷字新内の目106</t>
  </si>
  <si>
    <t>石越町北郷字新内の目104</t>
  </si>
  <si>
    <t>石越町北郷字新内の目103</t>
  </si>
  <si>
    <t>石越町北郷字新内の目102</t>
  </si>
  <si>
    <t>石越町北郷字新内の目101</t>
  </si>
  <si>
    <t>南方町蛇沼32-1</t>
  </si>
  <si>
    <t>石越町北郷字新内の目99</t>
  </si>
  <si>
    <t>石越町北郷字新内の目98</t>
  </si>
  <si>
    <t>石越町北郷字新内の目97</t>
  </si>
  <si>
    <t>石越町北郷字新内の目96</t>
  </si>
  <si>
    <t>石越町北郷字新内の目95</t>
  </si>
  <si>
    <t>石越町北郷字新内の目94</t>
  </si>
  <si>
    <t>石越町北郷字新内の目93</t>
  </si>
  <si>
    <t>石越町北郷字新内の目92</t>
  </si>
  <si>
    <t>石越町北郷字新内の目91</t>
  </si>
  <si>
    <t>石越町北郷字新内の目90</t>
  </si>
  <si>
    <t>石越町北郷字新内の目89</t>
  </si>
  <si>
    <t>石越町北郷字新長下田66</t>
  </si>
  <si>
    <t>石越町北郷字新長下田64</t>
  </si>
  <si>
    <t>石越町北郷字新長下田63</t>
  </si>
  <si>
    <t>石越町北郷字新長下田62</t>
  </si>
  <si>
    <t>中田町石森字野元北52</t>
  </si>
  <si>
    <t>509</t>
  </si>
  <si>
    <t>石越町北郷字新長下田60</t>
  </si>
  <si>
    <t>石越町北郷字新長下田59</t>
  </si>
  <si>
    <t>石越町北郷字新長下田58</t>
  </si>
  <si>
    <t>石越町北郷字新長下田57</t>
  </si>
  <si>
    <t>石越町北郷字新長下田56</t>
  </si>
  <si>
    <t>石越町北郷字新長下田55</t>
  </si>
  <si>
    <t>石越町北郷字新長下田54</t>
  </si>
  <si>
    <t>石越町北郷字新長下田53</t>
  </si>
  <si>
    <t>石越町北郷字新長下田52</t>
  </si>
  <si>
    <t>石越町北郷字新長下田51</t>
  </si>
  <si>
    <t>石越町北郷字新長下田50</t>
  </si>
  <si>
    <t>2019/03/31</t>
  </si>
  <si>
    <t>石越町北郷字新北72</t>
  </si>
  <si>
    <t>1254</t>
  </si>
  <si>
    <t>石越町北郷字新長下田48</t>
  </si>
  <si>
    <t>石越町北郷字新長下田47</t>
  </si>
  <si>
    <t>石越町北郷字新長下田46-3</t>
  </si>
  <si>
    <t>石越町北郷字新北64</t>
  </si>
  <si>
    <t>1246</t>
  </si>
  <si>
    <t>石越町北郷字新粒庭58</t>
  </si>
  <si>
    <t>石越町北郷字新粒庭56</t>
  </si>
  <si>
    <t>石越町北郷字新粒庭55</t>
  </si>
  <si>
    <t>石越町北郷字新北56</t>
  </si>
  <si>
    <t>1238</t>
  </si>
  <si>
    <t>石越町北郷字新粒庭53</t>
  </si>
  <si>
    <t>石越町北郷字新粒庭52</t>
  </si>
  <si>
    <t>石越町北郷字新粒庭51</t>
  </si>
  <si>
    <t>石越町北郷字新粒庭50</t>
  </si>
  <si>
    <t>石越町北郷字新粒庭49</t>
  </si>
  <si>
    <t>石越町北郷字新粒庭48</t>
  </si>
  <si>
    <t>石越町北郷字新粒庭47</t>
  </si>
  <si>
    <t>石越町北郷字新粒庭46</t>
  </si>
  <si>
    <t>石越町北郷字新粒庭45</t>
  </si>
  <si>
    <t>石越町北郷字新粒庭44</t>
  </si>
  <si>
    <t>石越町北郷字新粒庭43</t>
  </si>
  <si>
    <t>石越町北郷字新押込44</t>
  </si>
  <si>
    <t>797</t>
  </si>
  <si>
    <t>石越町北郷字新押込43</t>
  </si>
  <si>
    <t>石越町北郷字新押込42</t>
  </si>
  <si>
    <t>石越町北郷字新押込41</t>
  </si>
  <si>
    <t>石越町北郷字新押込40</t>
  </si>
  <si>
    <t>石越町北郷字新押込39</t>
  </si>
  <si>
    <t>中田町上沼字新東金谷38</t>
  </si>
  <si>
    <t>中田町上沼字新東金谷37</t>
  </si>
  <si>
    <t>中田町上沼字新東金谷36</t>
  </si>
  <si>
    <t>中田町上沼字新東金谷35</t>
  </si>
  <si>
    <t>中田町上沼字新東金谷34</t>
  </si>
  <si>
    <t>中田町上沼字新東金谷33</t>
  </si>
  <si>
    <t>中田町上沼字新東金谷32</t>
  </si>
  <si>
    <t>中田町上沼字新東金谷31</t>
  </si>
  <si>
    <t>中田町上沼字新東金谷30</t>
  </si>
  <si>
    <t>中田町上沼字新東金谷29</t>
  </si>
  <si>
    <t>石越町北郷字新橋向118</t>
  </si>
  <si>
    <t>1182</t>
  </si>
  <si>
    <t>中田町上沼字新東金谷27</t>
  </si>
  <si>
    <t>中田町上沼字新東金谷26</t>
  </si>
  <si>
    <t>中田町上沼字新東金谷25</t>
  </si>
  <si>
    <t>中田町上沼字中田南126</t>
  </si>
  <si>
    <t>中田町上沼字中田南125</t>
  </si>
  <si>
    <t>中田町上沼字中田南124</t>
  </si>
  <si>
    <t>中田町上沼字中田南123</t>
  </si>
  <si>
    <t>中田町上沼字中田南122</t>
  </si>
  <si>
    <t>773</t>
  </si>
  <si>
    <t>中田町上沼字中田南121</t>
  </si>
  <si>
    <t>中田町上沼字中田南120</t>
  </si>
  <si>
    <t>中田町上沼字中田南119</t>
  </si>
  <si>
    <t>石越町北郷字新橋向128</t>
  </si>
  <si>
    <t>1158</t>
  </si>
  <si>
    <t>中田町上沼字中田南117</t>
  </si>
  <si>
    <t>石越町北郷字新傾城渕77</t>
  </si>
  <si>
    <t>1154</t>
  </si>
  <si>
    <t>中田町上沼字中田南115</t>
  </si>
  <si>
    <t>石越町北郷字新傾城渕73</t>
  </si>
  <si>
    <t>1150</t>
  </si>
  <si>
    <t>中田町上沼字中田南113</t>
  </si>
  <si>
    <t>中田町上沼字中田南112</t>
  </si>
  <si>
    <t>中田町上沼字中田南111</t>
  </si>
  <si>
    <t>中田町上沼字中田東70</t>
  </si>
  <si>
    <t>761</t>
  </si>
  <si>
    <t>中田町上沼字中田東69</t>
  </si>
  <si>
    <t>中田町上沼字中田東68</t>
  </si>
  <si>
    <t>中田町上沼字中田東67</t>
  </si>
  <si>
    <t>中田町上沼字中田東66</t>
  </si>
  <si>
    <t>757</t>
  </si>
  <si>
    <t>中田町上沼字中田東65</t>
  </si>
  <si>
    <t>中田町上沼字中田東64</t>
  </si>
  <si>
    <t>中田町上沼字中田東63</t>
  </si>
  <si>
    <t>中田町上沼字中田東62</t>
  </si>
  <si>
    <t>753</t>
  </si>
  <si>
    <t>中田町上沼字金谷西83</t>
  </si>
  <si>
    <t>中田町上沼字金谷西82</t>
  </si>
  <si>
    <t>751</t>
  </si>
  <si>
    <t>中田町上沼字金谷西81</t>
  </si>
  <si>
    <t>石越町北郷字新大和田61</t>
  </si>
  <si>
    <t>中田町上沼字金谷西79</t>
  </si>
  <si>
    <t>中田町上沼字金谷西78</t>
  </si>
  <si>
    <t>中田町上沼字金谷西77</t>
  </si>
  <si>
    <t>中田町上沼字金谷西76</t>
  </si>
  <si>
    <t>中田町上沼字金谷西75</t>
  </si>
  <si>
    <t>中田町上沼字金谷西74</t>
  </si>
  <si>
    <t>中田町上沼字金谷西73</t>
  </si>
  <si>
    <t>中田町石森字中田西89</t>
  </si>
  <si>
    <t>741</t>
  </si>
  <si>
    <t>中田町石森字中田西88</t>
  </si>
  <si>
    <t>中田町石森字中田西87</t>
  </si>
  <si>
    <t>中田町石森字中田西86</t>
  </si>
  <si>
    <t>中田町石森字中田西85</t>
  </si>
  <si>
    <t>737</t>
  </si>
  <si>
    <t>中田町石森字中田西84</t>
  </si>
  <si>
    <t>中田町石森字中田西83</t>
  </si>
  <si>
    <t>中田町石森字中田西82</t>
  </si>
  <si>
    <t>中田町石森字中田西81</t>
  </si>
  <si>
    <t>733</t>
  </si>
  <si>
    <t>中田町石森字中田西80</t>
  </si>
  <si>
    <t>中田町石森字中田西79</t>
  </si>
  <si>
    <t>中田町石森字中田西78</t>
  </si>
  <si>
    <t>中田町石森字中田西77</t>
  </si>
  <si>
    <t>中田町石森字中田西76</t>
  </si>
  <si>
    <t>中田町石森字中田西75</t>
  </si>
  <si>
    <t>中田町石森字中田西74</t>
  </si>
  <si>
    <t>中田町石森字中田西73</t>
  </si>
  <si>
    <t>中田町石森字中田西72</t>
  </si>
  <si>
    <t>中田町石森字小倉南92</t>
  </si>
  <si>
    <t>中田町石森字小倉南91</t>
  </si>
  <si>
    <t>中田町石森字小倉南90</t>
  </si>
  <si>
    <t>721</t>
  </si>
  <si>
    <t>中田町石森字小倉南89</t>
  </si>
  <si>
    <t>中田町石森字小倉南88</t>
  </si>
  <si>
    <t>中田町石森字小倉南87</t>
  </si>
  <si>
    <t>石越町北郷字新内の目134</t>
  </si>
  <si>
    <t>1054</t>
  </si>
  <si>
    <t>中田町石森字小倉南85</t>
  </si>
  <si>
    <t>中田町石森字小倉南84</t>
  </si>
  <si>
    <t>中田町石森字小倉南83</t>
  </si>
  <si>
    <t>中田町石森字小倉南82</t>
  </si>
  <si>
    <t>713</t>
  </si>
  <si>
    <t>中田町石森字小倉南81</t>
  </si>
  <si>
    <t>中田町石森字小倉南80</t>
  </si>
  <si>
    <t>中田町石森字小倉南79</t>
  </si>
  <si>
    <t>中田町石森字小倉南78</t>
  </si>
  <si>
    <t>709</t>
  </si>
  <si>
    <t>中田町石森字新小倉84</t>
  </si>
  <si>
    <t>中田町石森字新小倉83</t>
  </si>
  <si>
    <t>中田町石森字新小倉82</t>
  </si>
  <si>
    <t>中田町石森字新小倉81</t>
  </si>
  <si>
    <t>705</t>
  </si>
  <si>
    <t>中田町石森字新小倉80</t>
  </si>
  <si>
    <t>中田町石森字新小倉79</t>
  </si>
  <si>
    <t>703</t>
  </si>
  <si>
    <t>中田町石森字新小倉78</t>
  </si>
  <si>
    <t>石越町北郷字新長下田71</t>
  </si>
  <si>
    <t>中田町石森字新小倉76</t>
  </si>
  <si>
    <t>中田町石森字新小倉75</t>
  </si>
  <si>
    <t>中田町石森字新小倉74</t>
  </si>
  <si>
    <t>中田町石森字新小倉73</t>
  </si>
  <si>
    <t>中田町石森字新小倉72</t>
  </si>
  <si>
    <t>中田町石森字新小倉71</t>
  </si>
  <si>
    <t>中田町石森字新小倉70</t>
  </si>
  <si>
    <t>中田町石森字新小倉69</t>
  </si>
  <si>
    <t>中田町石森字新小倉68</t>
  </si>
  <si>
    <t>中田町石森字新小倉67</t>
  </si>
  <si>
    <t>中田町石森字新小倉66</t>
  </si>
  <si>
    <t>中田町石森字新小倉65</t>
  </si>
  <si>
    <t>中田町石森字新小倉64</t>
  </si>
  <si>
    <t>中田町石森字新小倉63</t>
  </si>
  <si>
    <t>中田町石森字新小倉62</t>
  </si>
  <si>
    <t>中田町上沼字新東金谷58</t>
  </si>
  <si>
    <t>中田町石森字新小倉60</t>
  </si>
  <si>
    <t>中田町石森字小倉北50</t>
  </si>
  <si>
    <t>中田町石森字小倉北51</t>
  </si>
  <si>
    <t>中田町石森字小倉北49</t>
  </si>
  <si>
    <t>中田町石森字小倉北48</t>
  </si>
  <si>
    <t>中田町石森字小倉北47</t>
  </si>
  <si>
    <t>中田町石森字小倉北46</t>
  </si>
  <si>
    <t>中田町石森字小倉北45</t>
  </si>
  <si>
    <t>中田町石森字小倉北44</t>
  </si>
  <si>
    <t>中田町石森字小倉北43</t>
  </si>
  <si>
    <t>中田町石森字小倉北42</t>
  </si>
  <si>
    <t>中田町石森字小倉北41</t>
  </si>
  <si>
    <t>中田町石森字小倉北40</t>
  </si>
  <si>
    <t>石越町東郷字北今道28</t>
  </si>
  <si>
    <t>石越町東郷字北今道27</t>
  </si>
  <si>
    <t>石越町東郷字北今道26</t>
  </si>
  <si>
    <t>669</t>
  </si>
  <si>
    <t>石越町東郷字北今道25</t>
  </si>
  <si>
    <t>石越町東郷字北今道24</t>
  </si>
  <si>
    <t>石越町東郷字北今道23</t>
  </si>
  <si>
    <t>石越町東郷字北今道22</t>
  </si>
  <si>
    <t>中田町石森字若林前44</t>
  </si>
  <si>
    <t>中田町石森字若林前43</t>
  </si>
  <si>
    <t>中田町石森字若林前42</t>
  </si>
  <si>
    <t>中田町石森字若林前41</t>
  </si>
  <si>
    <t>中田町石森字若林前40</t>
  </si>
  <si>
    <t>中田町石森字若林前39</t>
  </si>
  <si>
    <t>中田町石森字若林前38</t>
  </si>
  <si>
    <t>中田町石森字藤崎58</t>
  </si>
  <si>
    <t>中田町石森字藤崎57</t>
  </si>
  <si>
    <t>中田町石森字藤崎56</t>
  </si>
  <si>
    <t>中田町石森字藤崎55</t>
  </si>
  <si>
    <t>中田町石森字中田西113</t>
  </si>
  <si>
    <t>925</t>
  </si>
  <si>
    <t>中田町石森字藤崎53</t>
  </si>
  <si>
    <t>中田町石森字藤崎52</t>
  </si>
  <si>
    <t>中田町石森字藤崎51</t>
  </si>
  <si>
    <t>中田町石森字藤崎50</t>
  </si>
  <si>
    <t>中田町石森字藤崎49</t>
  </si>
  <si>
    <t>中田町石森字藤崎48</t>
  </si>
  <si>
    <t>中田町石森字藤崎47</t>
  </si>
  <si>
    <t>中田町石森字藤崎46</t>
  </si>
  <si>
    <t>中田町石森字西長根74</t>
  </si>
  <si>
    <t>中田町石森字西長根73</t>
  </si>
  <si>
    <t>中田町石森字西長根72</t>
  </si>
  <si>
    <t>中田町石森字西長根71</t>
  </si>
  <si>
    <t>中田町石森字西長根70</t>
  </si>
  <si>
    <t>中田町石森字西長根69</t>
  </si>
  <si>
    <t>中田町石森字西長根68</t>
  </si>
  <si>
    <t>中田町石森字小倉南99</t>
  </si>
  <si>
    <t>893</t>
  </si>
  <si>
    <t>中田町石森字西長根66</t>
  </si>
  <si>
    <t>中田町石森字西長根65</t>
  </si>
  <si>
    <t>中田町石森字西長根64</t>
  </si>
  <si>
    <t>中田町石森字西長根63</t>
  </si>
  <si>
    <t>中田町石森字西長根62</t>
  </si>
  <si>
    <t>中田町石森字西長根61</t>
  </si>
  <si>
    <t>中田町石森字西長根60</t>
  </si>
  <si>
    <t>中田町石森字新小倉100</t>
  </si>
  <si>
    <t>877</t>
  </si>
  <si>
    <t>中田町石森字西長根58</t>
  </si>
  <si>
    <t>中田町石森字西長根57</t>
  </si>
  <si>
    <t>中田町石森字西長根56</t>
  </si>
  <si>
    <t>中田町石森字西長根55</t>
  </si>
  <si>
    <t>625</t>
  </si>
  <si>
    <t>中田町石森字北川前66</t>
  </si>
  <si>
    <t>中田町石森字北川前65</t>
  </si>
  <si>
    <t>623</t>
  </si>
  <si>
    <t>中田町石森字北川前64</t>
  </si>
  <si>
    <t>中田町石森字小倉北72</t>
  </si>
  <si>
    <t>861</t>
  </si>
  <si>
    <t>中田町石森字北川前62</t>
  </si>
  <si>
    <t>中田町石森字北川前61</t>
  </si>
  <si>
    <t>中田町石森字北川前60</t>
  </si>
  <si>
    <t>中田町石森字北川前59</t>
  </si>
  <si>
    <t>617</t>
  </si>
  <si>
    <t>中田町石森字北川前58</t>
  </si>
  <si>
    <t>中田町石森字北川前57</t>
  </si>
  <si>
    <t>615</t>
  </si>
  <si>
    <t>中田町石森字北川前56</t>
  </si>
  <si>
    <t>中田町石森字北川前55</t>
  </si>
  <si>
    <t>613</t>
  </si>
  <si>
    <t>中田町石森字北川前54</t>
  </si>
  <si>
    <t>中田町石森字北川前53</t>
  </si>
  <si>
    <t>中田町石森字北川前52</t>
  </si>
  <si>
    <t>中田町石森字北川前51</t>
  </si>
  <si>
    <t>609</t>
  </si>
  <si>
    <t>中田町石森字高見前21</t>
  </si>
  <si>
    <t>中田町石森字高見前20</t>
  </si>
  <si>
    <t>607</t>
  </si>
  <si>
    <t>中田町石森字高見前19</t>
  </si>
  <si>
    <t>中田町石森字若林前47</t>
  </si>
  <si>
    <t>829</t>
  </si>
  <si>
    <t>中田町石森字霜田前48</t>
  </si>
  <si>
    <t>中田町石森字霜田前47</t>
  </si>
  <si>
    <t>中田町石森字霜田前46</t>
  </si>
  <si>
    <t>中田町石森字霜田前45</t>
  </si>
  <si>
    <t>601</t>
  </si>
  <si>
    <t>中田町石森字霜田前44</t>
  </si>
  <si>
    <t>中田町石森字霜田前43</t>
  </si>
  <si>
    <t>中田町石森字霜田前42</t>
  </si>
  <si>
    <t>中田町石森字藤崎72</t>
  </si>
  <si>
    <t>813</t>
  </si>
  <si>
    <t>中田町石森字霜田前40</t>
  </si>
  <si>
    <t>中田町石森字霜田前39</t>
  </si>
  <si>
    <t>中田町石森字脇谷前70</t>
  </si>
  <si>
    <t>中田町石森字脇谷前69</t>
  </si>
  <si>
    <t>中田町石森字脇谷前68</t>
  </si>
  <si>
    <t>中田町石森字脇谷前67</t>
  </si>
  <si>
    <t>中田町石森字脇谷前66</t>
  </si>
  <si>
    <t>中田町石森字西長根102</t>
  </si>
  <si>
    <t>中田町石森字脇谷前64</t>
  </si>
  <si>
    <t>中田町石森字脇谷前63</t>
  </si>
  <si>
    <t>中田町石森字脇谷前62</t>
  </si>
  <si>
    <t>中田町石森字脇谷前61</t>
  </si>
  <si>
    <t>中田町石森字脇谷前60</t>
  </si>
  <si>
    <t>中田町石森字脇谷前59</t>
  </si>
  <si>
    <t>中田町石森字脇谷前58</t>
  </si>
  <si>
    <t>中田町石森字脇谷前57</t>
  </si>
  <si>
    <t>中田町石森字脇谷前56</t>
  </si>
  <si>
    <t>中田町石森字脇谷前55</t>
  </si>
  <si>
    <t>中田町石森字脇谷前54</t>
  </si>
  <si>
    <t>中田町石森字西長根78</t>
  </si>
  <si>
    <t>中田町石森字脇谷前52</t>
  </si>
  <si>
    <t>中田町石森字北川前92</t>
  </si>
  <si>
    <t>769</t>
  </si>
  <si>
    <t>中田町石森字北川前90</t>
  </si>
  <si>
    <t>767</t>
  </si>
  <si>
    <t>中田町石森字北川前88</t>
  </si>
  <si>
    <t>765</t>
  </si>
  <si>
    <t>中田町石森字二木前47</t>
  </si>
  <si>
    <t>中田町石森字北川前84</t>
  </si>
  <si>
    <t>中田町石森字二木前45</t>
  </si>
  <si>
    <t>中田町石森字北川前80</t>
  </si>
  <si>
    <t>中田町石森字二木前43</t>
  </si>
  <si>
    <t>中田町石森字北川前76</t>
  </si>
  <si>
    <t>中田町石森字北川前74</t>
  </si>
  <si>
    <t>中田町石森字北川前72</t>
  </si>
  <si>
    <t>749</t>
  </si>
  <si>
    <t>中田町石森字二木前39</t>
  </si>
  <si>
    <t>中田町石森字桑代前59</t>
  </si>
  <si>
    <t>中田町石森字桑代前58</t>
  </si>
  <si>
    <t>中田町石森字高見前27</t>
  </si>
  <si>
    <t>中田町石森字桑代前56</t>
  </si>
  <si>
    <t>中田町石森字高見前23</t>
  </si>
  <si>
    <t>中田町石森字桑代前54</t>
  </si>
  <si>
    <t>中田町石森字霜田前63</t>
  </si>
  <si>
    <t>中田町石森字桑代前52</t>
  </si>
  <si>
    <t>石越町東郷字新今道15</t>
  </si>
  <si>
    <t>石越町東郷字新今道14</t>
  </si>
  <si>
    <t>石越町東郷字新今道13</t>
  </si>
  <si>
    <t>石越町東郷字新今道12</t>
  </si>
  <si>
    <t>中田町石森字霜田前51</t>
  </si>
  <si>
    <t>中田町石森字南川前92</t>
  </si>
  <si>
    <t>中田町石森字脇谷前91</t>
  </si>
  <si>
    <t>717</t>
  </si>
  <si>
    <t>中田町石森字南川前90</t>
  </si>
  <si>
    <t>中田町石森字脇谷前87</t>
  </si>
  <si>
    <t>中田町石森字南川前88</t>
  </si>
  <si>
    <t>中田町石森字脇谷前83</t>
  </si>
  <si>
    <t>中田町石森字南川前86</t>
  </si>
  <si>
    <t>中田町石森字脇谷前78</t>
  </si>
  <si>
    <t>中田町石森字脇谷前76</t>
  </si>
  <si>
    <t>中田町石森字脇谷前74</t>
  </si>
  <si>
    <t>701</t>
  </si>
  <si>
    <t>中田町石森字南川前82</t>
  </si>
  <si>
    <t>中田町石森字南川前81</t>
  </si>
  <si>
    <t>中田町石森字南川前80</t>
  </si>
  <si>
    <t>中田町石森字西田北147</t>
  </si>
  <si>
    <t>中田町石森字西田北146</t>
  </si>
  <si>
    <t>中田町石森字西田北145</t>
  </si>
  <si>
    <t>中田町石森字西田北144</t>
  </si>
  <si>
    <t>中田町石森字二木前50</t>
  </si>
  <si>
    <t>685</t>
  </si>
  <si>
    <t>中田町石森字西田北141</t>
  </si>
  <si>
    <t>中田町石森字西田北139</t>
  </si>
  <si>
    <t>中田町石森字西田北138</t>
  </si>
  <si>
    <t>中田町石森字西田北137</t>
  </si>
  <si>
    <t>中田町石森字西田北136</t>
  </si>
  <si>
    <t>中田町石森字西田北135</t>
  </si>
  <si>
    <t>中田町石森字西田南146</t>
  </si>
  <si>
    <t>石越町東郷字新今道18</t>
  </si>
  <si>
    <t>中田町石森字西田南144</t>
  </si>
  <si>
    <t>中田町石森字西田南143</t>
  </si>
  <si>
    <t>中田町石森字西田南142</t>
  </si>
  <si>
    <t>中田町石森字西田南141</t>
  </si>
  <si>
    <t>521</t>
  </si>
  <si>
    <t>中田町石森字西田南140</t>
  </si>
  <si>
    <t>中田町石森字西田南139</t>
  </si>
  <si>
    <t>中田町石森字西田南138</t>
  </si>
  <si>
    <t>中田町石森字西田南136</t>
  </si>
  <si>
    <t>517</t>
  </si>
  <si>
    <t>中田町石森字西田南135</t>
  </si>
  <si>
    <t>中田町石森字西田南134</t>
  </si>
  <si>
    <t>中田町石森字西田南133</t>
  </si>
  <si>
    <t>中田町石森字西田南132</t>
  </si>
  <si>
    <t>513</t>
  </si>
  <si>
    <t>中田町石森字西田南131</t>
  </si>
  <si>
    <t>中田町石森字西田南129</t>
  </si>
  <si>
    <t>511</t>
  </si>
  <si>
    <t>中田町石森字新西細谷121</t>
  </si>
  <si>
    <t>中田町石森字西田北160</t>
  </si>
  <si>
    <t>637</t>
  </si>
  <si>
    <t>中田町石森字新西細谷119</t>
  </si>
  <si>
    <t>中田町石森字新西細谷118</t>
  </si>
  <si>
    <t>中田町石森字新西細谷117</t>
  </si>
  <si>
    <t>中田町石森字西田北152</t>
  </si>
  <si>
    <t>629</t>
  </si>
  <si>
    <t>中田町石森字新西細谷115</t>
  </si>
  <si>
    <t>中田町石森字西田北148</t>
  </si>
  <si>
    <t>中田町石森字西田南169</t>
  </si>
  <si>
    <t>中田町石森字西田南167</t>
  </si>
  <si>
    <t>621</t>
  </si>
  <si>
    <t>中田町石森字新西細谷108</t>
  </si>
  <si>
    <t>中田町石森字西田南163</t>
  </si>
  <si>
    <t>中田町石森字西田南161</t>
  </si>
  <si>
    <t>中田町石森字西田南159</t>
  </si>
  <si>
    <t>中田町石森字新西細谷103</t>
  </si>
  <si>
    <t>中田町石森字西田南155</t>
  </si>
  <si>
    <t>中田町石森字西田南153</t>
  </si>
  <si>
    <t>中田町石森字西田南150</t>
  </si>
  <si>
    <t>605</t>
  </si>
  <si>
    <t>中田町石森字新牡丹埣98</t>
  </si>
  <si>
    <t>中田町石森字新西細谷154</t>
  </si>
  <si>
    <t>中田町石森字新牡丹埣96</t>
  </si>
  <si>
    <t>中田町石森字新西細谷150</t>
  </si>
  <si>
    <t>597</t>
  </si>
  <si>
    <t>中田町石森字新牡丹埣94</t>
  </si>
  <si>
    <t>中田町石森字新牡丹埣93</t>
  </si>
  <si>
    <t>中田町石森字新牡丹埣92</t>
  </si>
  <si>
    <t>中田町石森字新牡丹埣91</t>
  </si>
  <si>
    <t>中田町石森字新牡丹埣90</t>
  </si>
  <si>
    <t>中田町宝江新井田字南下道53</t>
  </si>
  <si>
    <t>中田町宝江新井田字南下道52</t>
  </si>
  <si>
    <t>中田町宝江新井田字南下道51</t>
  </si>
  <si>
    <t>中田町宝江新井田字南下道50</t>
  </si>
  <si>
    <t>中田町宝江新井田字南下道49</t>
  </si>
  <si>
    <t>中田町宝江新井田字南下道48</t>
  </si>
  <si>
    <t>中田町石森字新西細谷123</t>
  </si>
  <si>
    <t>573</t>
  </si>
  <si>
    <t>中田町宝江新井田字南下道46</t>
  </si>
  <si>
    <t>中田町宝江新井田字南下道45</t>
  </si>
  <si>
    <t>中田町宝江新井田字南下道43</t>
  </si>
  <si>
    <t>中田町宝江新井田字南下道42</t>
  </si>
  <si>
    <t>中田町宝江新井田字南下道41</t>
  </si>
  <si>
    <t>中田町宝江新井田字東大谷地47</t>
  </si>
  <si>
    <t>中田町宝江新井田字東大谷地46</t>
  </si>
  <si>
    <t>中田町石森字新牡丹埣103</t>
  </si>
  <si>
    <t>557</t>
  </si>
  <si>
    <t>中田町宝江新井田字東大谷地44</t>
  </si>
  <si>
    <t>中田町宝江新井田字東大谷地43</t>
  </si>
  <si>
    <t>中田町宝江新井田字東大谷地42</t>
  </si>
  <si>
    <t>中田町宝江新井田字東大谷地41</t>
  </si>
  <si>
    <t>中田町宝江新井田字東大谷地40</t>
  </si>
  <si>
    <t>中田町宝江新井田字東大谷地39</t>
  </si>
  <si>
    <t>中田町宝江新井田字東大谷地38</t>
  </si>
  <si>
    <t>中田町宝江新井田字東大谷地54</t>
  </si>
  <si>
    <t>541</t>
  </si>
  <si>
    <t>中田町宝江新井田字西芝尻76</t>
  </si>
  <si>
    <t>中田町宝江新井田字西芝尻75</t>
  </si>
  <si>
    <t>中田町宝江新井田字西芝尻74</t>
  </si>
  <si>
    <t>中田町宝江新井田字西芝尻73</t>
  </si>
  <si>
    <t>中田町宝江新井田字西芝尻72</t>
  </si>
  <si>
    <t>中田町宝江新井田字西芝尻71</t>
  </si>
  <si>
    <t>中田町宝江新井田字西芝尻70</t>
  </si>
  <si>
    <t>中田町宝江新井田字西芝尻85</t>
  </si>
  <si>
    <t>525</t>
  </si>
  <si>
    <t>中田町宝江新井田字西芝尻68</t>
  </si>
  <si>
    <t>中田町宝江新井田字西芝尻81</t>
  </si>
  <si>
    <t>中田町石森字野元北54</t>
  </si>
  <si>
    <t>中田町石森字野元北47</t>
  </si>
  <si>
    <t>中田町石森字野元北56</t>
  </si>
  <si>
    <t>中田町石森字野元北48</t>
  </si>
  <si>
    <t>石越町東郷十八引94番地ため池</t>
  </si>
  <si>
    <t>AsyzAP042120146：新墓裏溜池</t>
  </si>
  <si>
    <t>石越町東郷十八引94番地</t>
  </si>
  <si>
    <t>中田町宝江新井田字西芝尻65</t>
  </si>
  <si>
    <t>中田町石森字野元北60</t>
  </si>
  <si>
    <t>中田町宝江新井田字西芝尻66</t>
  </si>
  <si>
    <t>中田町宝江新井田字西芝尻67</t>
  </si>
  <si>
    <t>H30水沢線（土地購入）</t>
  </si>
  <si>
    <t>2019/03/20</t>
  </si>
  <si>
    <t>2018/03/29</t>
  </si>
  <si>
    <t>石越町東郷蕪木231-1番地ため池</t>
  </si>
  <si>
    <t>AsyzAP042120111：羽竜溜池</t>
  </si>
  <si>
    <t>石越町東郷蕪木231-1番地</t>
  </si>
  <si>
    <t>中田町宝江新井田字西芝尻69</t>
  </si>
  <si>
    <t>迫町新田畑中25-1番地ため池</t>
  </si>
  <si>
    <t>1010300000:総務課</t>
  </si>
  <si>
    <t>AsyzAPH27.3.31総務部総務課所管替予定ため池</t>
  </si>
  <si>
    <t>迫町新田畑中25-1番地</t>
  </si>
  <si>
    <t>0920001</t>
  </si>
  <si>
    <t>登米町大字日根牛小池前342番地ため池</t>
  </si>
  <si>
    <t>AsyzAP042120079：小池沢溜池</t>
  </si>
  <si>
    <t>登米町大字日根牛小池前342番地</t>
  </si>
  <si>
    <t>迫町新田畑中49番地ため池</t>
  </si>
  <si>
    <t>迫町新田畑中49番地</t>
  </si>
  <si>
    <t>迫町新田山守屋敷76番地ため池</t>
  </si>
  <si>
    <t>迫町新田山守屋敷76番地</t>
  </si>
  <si>
    <t>H30柳津駅前１号線（土地購入）</t>
  </si>
  <si>
    <t>2018/07/10</t>
  </si>
  <si>
    <t>津山町柳津字新形沼96-6</t>
  </si>
  <si>
    <t>H30桜岡善王寺境線（移転補償）</t>
  </si>
  <si>
    <t>南方町横代41-1番地ため池</t>
  </si>
  <si>
    <t>南方町横代41-1番地</t>
  </si>
  <si>
    <t>迫町新田飯島21番地ため池</t>
  </si>
  <si>
    <t>迫町新田飯島21番地</t>
  </si>
  <si>
    <t>中田町宝江新井田字西芝尻77</t>
  </si>
  <si>
    <t>迫町新田寺志田93番地ため池</t>
  </si>
  <si>
    <t>迫町新田寺志田93番地</t>
  </si>
  <si>
    <t>南方町柳沢73番地ため池</t>
  </si>
  <si>
    <t>南方町柳沢73番地</t>
  </si>
  <si>
    <t>迫町新田舘林72番地ため池</t>
  </si>
  <si>
    <t>迫町新田舘林72番地</t>
  </si>
  <si>
    <t>迫町新田台所60番地ため池</t>
  </si>
  <si>
    <t>迫町新田台所60番地</t>
  </si>
  <si>
    <t>南方町間内34-1番地ため池</t>
  </si>
  <si>
    <t>南方町間内34-1番地</t>
  </si>
  <si>
    <t>迫町新田中葉ノ木沢42番地ため池</t>
  </si>
  <si>
    <t>迫町新田中葉ノ木沢42番地</t>
  </si>
  <si>
    <t>中田町宝江新井田字東大谷地45</t>
  </si>
  <si>
    <t>迫町北方漆沢52番地ため池</t>
  </si>
  <si>
    <t>迫町北方漆沢52番地</t>
  </si>
  <si>
    <t>南方町畑岡41-1番地ため池</t>
  </si>
  <si>
    <t>南方町畑岡41-1番地</t>
  </si>
  <si>
    <t>迫町新田小友113番地ため池</t>
  </si>
  <si>
    <t>迫町新田小友113番地</t>
  </si>
  <si>
    <t>迫町新田大形160番地ため池</t>
  </si>
  <si>
    <t>迫町新田大形160番地</t>
  </si>
  <si>
    <t>H30梅ノ木・平柳線（土地購入）</t>
  </si>
  <si>
    <t>2018/03/20</t>
  </si>
  <si>
    <t>迫町森字赤沼</t>
  </si>
  <si>
    <t>南方町中ノ口127番地ため池</t>
  </si>
  <si>
    <t>AsyzAP042120132：雷神２号溜池</t>
  </si>
  <si>
    <t>南方町中ノ口127番地</t>
  </si>
  <si>
    <t>迫町新田深間内48番地ため池</t>
  </si>
  <si>
    <t>迫町新田深間内48番地</t>
  </si>
  <si>
    <t>中田町宝江新井田字南下道47</t>
  </si>
  <si>
    <t>南方町板ケ沢84番地ため池番地ため池</t>
  </si>
  <si>
    <t>南方町板ケ沢84番地番地</t>
  </si>
  <si>
    <t>南方町中ノ口52番地ため池</t>
  </si>
  <si>
    <t>AsyzAP042120156：中の口２号溜池</t>
  </si>
  <si>
    <t>南方町中ノ口52番地</t>
  </si>
  <si>
    <t>南方町大嶽山58-1番地ため池</t>
  </si>
  <si>
    <t>南方町大嶽山58-1番地</t>
  </si>
  <si>
    <t>南方町下平貝304番地ため池</t>
  </si>
  <si>
    <t>南方町下平貝304番地</t>
  </si>
  <si>
    <t>H30糠塚線（土地購入）H29繰災害復旧</t>
  </si>
  <si>
    <t>2018/04/20</t>
  </si>
  <si>
    <t>2019/03/11</t>
  </si>
  <si>
    <t>迫町新田字糠塚</t>
  </si>
  <si>
    <t>南方町中須崎46番地ため池</t>
  </si>
  <si>
    <t>南方町中須崎46番地</t>
  </si>
  <si>
    <t>南方町外浦61番地ため池</t>
  </si>
  <si>
    <t>南方町外浦61番地</t>
  </si>
  <si>
    <t>南方町翌沢202番地ため池</t>
  </si>
  <si>
    <t>南方町翌沢202番地</t>
  </si>
  <si>
    <t>南方町銭金壇26-1番地ため池</t>
  </si>
  <si>
    <t>南方町銭金壇26-1番地</t>
  </si>
  <si>
    <t>中田町石森字新牡丹埣95</t>
  </si>
  <si>
    <t>中田町石森字新牡丹埣97</t>
  </si>
  <si>
    <t>豊里町小口前62-5</t>
  </si>
  <si>
    <t>R2上の山・黄牛線（土地購入）</t>
  </si>
  <si>
    <t>2020/10/01</t>
  </si>
  <si>
    <t>津山町横山字上の山</t>
  </si>
  <si>
    <t>R1日野渡・窪田線（土地購入）</t>
  </si>
  <si>
    <t>2019/07/10</t>
  </si>
  <si>
    <t>2019/02/08</t>
  </si>
  <si>
    <t>中田町浅水字窪田216-2</t>
  </si>
  <si>
    <t>南方町三代前206番地ため池</t>
  </si>
  <si>
    <t>南方町三代前206番地</t>
  </si>
  <si>
    <t>南方町大森前107番地ため池</t>
  </si>
  <si>
    <t>南方町大森前107番地</t>
  </si>
  <si>
    <t>中田町石森字新牡丹埣99</t>
  </si>
  <si>
    <t>中田町石森字新牡丹埣101</t>
  </si>
  <si>
    <t>中田町石森字新西細谷102</t>
  </si>
  <si>
    <t>中田町石森字新西細谷104</t>
  </si>
  <si>
    <t>中田町石森字新西細谷105</t>
  </si>
  <si>
    <t>中田町石森字新西細谷106</t>
  </si>
  <si>
    <t>中田町上沼寇木45-1番地ため池</t>
  </si>
  <si>
    <t>中田町上沼寇木45-1番地</t>
  </si>
  <si>
    <t>中田町石森字新西細谷110</t>
  </si>
  <si>
    <t>中田町石森字新西細谷112</t>
  </si>
  <si>
    <t>中田町石森字新西細谷114</t>
  </si>
  <si>
    <t>迫町佐沼丸子13番地ため池</t>
  </si>
  <si>
    <t>迫町佐沼丸子13番地</t>
  </si>
  <si>
    <t>中田町石森字新西細谷116</t>
  </si>
  <si>
    <t>迫町新田外沢田27番地ため池</t>
  </si>
  <si>
    <t>迫町新田外沢田27番地</t>
  </si>
  <si>
    <t>R1穴山・南大畑線（土地購入）</t>
  </si>
  <si>
    <t>2019/12/10</t>
  </si>
  <si>
    <t>米山町内</t>
  </si>
  <si>
    <t>迫町新田山居1番地ため池</t>
  </si>
  <si>
    <t>AsyzAP042120032：山守屋敷（２）溜池</t>
  </si>
  <si>
    <t>迫町新田山居1番地</t>
  </si>
  <si>
    <t>迫町新田大浦前22番地ため池</t>
  </si>
  <si>
    <t>迫町新田大浦前22番地</t>
  </si>
  <si>
    <t>中田町石森字新西細谷120</t>
  </si>
  <si>
    <t>迫町新田畑中48番地ため池</t>
  </si>
  <si>
    <t>迫町新田畑中48番地</t>
  </si>
  <si>
    <t>迫町新田錠穴24番地ため池</t>
  </si>
  <si>
    <t>迫町新田錠穴24番地</t>
  </si>
  <si>
    <t>迫町新田梅ヶ沢43番地ため池</t>
  </si>
  <si>
    <t>迫町新田梅ヶ沢43番地</t>
  </si>
  <si>
    <t>迫町新田高森40番地ため池</t>
  </si>
  <si>
    <t>迫町新田高森40番地</t>
  </si>
  <si>
    <t>R1大網４号線（土地購入）</t>
  </si>
  <si>
    <t>2020/02/10</t>
  </si>
  <si>
    <t>迫町内</t>
  </si>
  <si>
    <t>迫町新田上大田切48番地ため池</t>
  </si>
  <si>
    <t>AsyzAP042120023：上太田切（乙）溜池</t>
  </si>
  <si>
    <t>迫町新田上大田切48番地</t>
  </si>
  <si>
    <t>迫町新田寺志田30番地ため池</t>
  </si>
  <si>
    <t>迫町新田寺志田30番地</t>
  </si>
  <si>
    <t>迫町新田上十五丸83番地ため池</t>
  </si>
  <si>
    <t>迫町新田上十五丸83番地</t>
  </si>
  <si>
    <t>迫町新田上大田切28番地ため池</t>
  </si>
  <si>
    <t>迫町新田上大田切28番地</t>
  </si>
  <si>
    <t>南方町大嶽山55番地ため池</t>
  </si>
  <si>
    <t>南方町大嶽山55番地</t>
  </si>
  <si>
    <t>迫町新田南深沢46-1番地ため池</t>
  </si>
  <si>
    <t>迫町新田南深沢46-1番地</t>
  </si>
  <si>
    <t>R1梅ノ木・平柳線（移転補償）</t>
  </si>
  <si>
    <t>2020/01/31</t>
  </si>
  <si>
    <t>R1駅前油島線（土地購入）</t>
  </si>
  <si>
    <t>2019/06/25</t>
  </si>
  <si>
    <t>石越町北郷</t>
  </si>
  <si>
    <t>迫町新田上大田切3番地ため池</t>
  </si>
  <si>
    <t>AsyzAP042120069：上太田切１号溜池</t>
  </si>
  <si>
    <t>迫町新田上大田切3番地</t>
  </si>
  <si>
    <t>南方町外浦12番地ため池</t>
  </si>
  <si>
    <t>南方町外浦12番地</t>
  </si>
  <si>
    <t>中田町石森字西田南145</t>
  </si>
  <si>
    <t>迫町新田深間内45番地ため池</t>
  </si>
  <si>
    <t>迫町新田深間内45番地</t>
  </si>
  <si>
    <t>中田町上沼字新八幡浦42</t>
  </si>
  <si>
    <t>中田町上沼字新八幡浦41</t>
  </si>
  <si>
    <t>中田町上沼字新八幡浦40</t>
  </si>
  <si>
    <t>中田町上沼字揚地南22</t>
  </si>
  <si>
    <t>中田町上沼字揚地南21</t>
  </si>
  <si>
    <t>中田町上沼字揚地南20</t>
  </si>
  <si>
    <t>中田町上沼字揚地南19</t>
  </si>
  <si>
    <t>中田町上沼字揚地南18</t>
  </si>
  <si>
    <t>中田町上沼字新大柳25</t>
  </si>
  <si>
    <t>中田町上沼字新大柳24</t>
  </si>
  <si>
    <t>中田町上沼字新大柳23</t>
  </si>
  <si>
    <t>中田町上沼字新大柳22</t>
  </si>
  <si>
    <t>中田町上沼字新大柳21-3</t>
  </si>
  <si>
    <t>中田町上沼字新大柳21-2</t>
  </si>
  <si>
    <t>中田町上沼字新大柳21-1</t>
  </si>
  <si>
    <t>登米町大字日根牛新中田67</t>
  </si>
  <si>
    <t>317</t>
  </si>
  <si>
    <t>中田町上沼字新御蔵39</t>
  </si>
  <si>
    <t>中田町上沼字新御蔵38</t>
  </si>
  <si>
    <t>中田町上沼字新御蔵37</t>
  </si>
  <si>
    <t>中田町上沼字新御蔵36</t>
  </si>
  <si>
    <t>中田町浅水字曲袋南88</t>
  </si>
  <si>
    <t>中田町浅水字曲袋南84</t>
  </si>
  <si>
    <t>中田町浅水字曲袋南85</t>
  </si>
  <si>
    <t>東和町米谷字楼台122</t>
  </si>
  <si>
    <t>中田町浅水字曲袋南89</t>
  </si>
  <si>
    <t>中田町浅水字曲袋南86</t>
  </si>
  <si>
    <t>中田町浅水字曲袋北93</t>
  </si>
  <si>
    <t>中田町浅水字曲袋南81</t>
  </si>
  <si>
    <t>登米町大字日根牛新峯畑103</t>
  </si>
  <si>
    <t>登米町大字日根牛新峯畑97</t>
  </si>
  <si>
    <t>登米町大字日根牛新五郎峯127</t>
  </si>
  <si>
    <t>東和町米谷字楼台100</t>
  </si>
  <si>
    <t>登米町大字日根牛新五郎峯103</t>
  </si>
  <si>
    <t>登米町大字日根牛新五郎峯99</t>
  </si>
  <si>
    <t>登米町大字日根牛新五郎峯96</t>
  </si>
  <si>
    <t>登米町大字日根牛新五郎峯90</t>
  </si>
  <si>
    <t>登米町大字日根牛新五郎峯89</t>
  </si>
  <si>
    <t>登米町大字日根牛新五郎峯87</t>
  </si>
  <si>
    <t>登米町大字日根牛新北沢44</t>
  </si>
  <si>
    <t>登米町大字日根牛新北沢43</t>
  </si>
  <si>
    <t>登米町大字日根牛新峯畑114</t>
  </si>
  <si>
    <t>登米町大字日根牛新峯畑115</t>
  </si>
  <si>
    <t>登米町大字日根牛新峯畑109</t>
  </si>
  <si>
    <t>登米町大字日根牛新峯畑92</t>
  </si>
  <si>
    <t>登米町大字日根牛新峯畑93</t>
  </si>
  <si>
    <t>登米町大字日根牛新峯畑94</t>
  </si>
  <si>
    <t>登米町大字日根牛新峯畑95</t>
  </si>
  <si>
    <t>東和町米谷字沖ノ田140</t>
  </si>
  <si>
    <t>登米町大字日根牛新峯畑91</t>
  </si>
  <si>
    <t>登米町大字日根牛新峯畑102</t>
  </si>
  <si>
    <t>登米町大字日根牛新峯畑90</t>
  </si>
  <si>
    <t>登米町大字日根牛新峯畑96</t>
  </si>
  <si>
    <t>登米町大字日根牛新峯畑99</t>
  </si>
  <si>
    <t>登米町大字日根牛新峯畑98</t>
  </si>
  <si>
    <t>用途廃止に伴い200㎡（443,000円）を総務課所管普通財産へ　</t>
  </si>
  <si>
    <t>東和町米谷字新大沢97-1</t>
  </si>
  <si>
    <t>3102:調査判明（減）</t>
  </si>
  <si>
    <t>東和町米谷字沖ノ田124</t>
  </si>
  <si>
    <t>東和町米谷字沖ノ田122</t>
  </si>
  <si>
    <t>豊里町小口前71-1</t>
  </si>
  <si>
    <t>迫佐沼公園（光ヶ丘球場）</t>
  </si>
  <si>
    <t>001478:迫佐沼公園（光ヶ丘球場）</t>
  </si>
  <si>
    <t>迫総合支所管理迫中継ポンプへ　</t>
  </si>
  <si>
    <t>迫町佐沼字光ケ丘1-1</t>
  </si>
  <si>
    <t>0180016</t>
  </si>
  <si>
    <t>東和町錦織字新二良根53</t>
  </si>
  <si>
    <t>Ｈ29筒場埣８号線（土地購入）</t>
  </si>
  <si>
    <t>2019/03/08</t>
  </si>
  <si>
    <t>定住促進宅地造成事業により土地購入　</t>
  </si>
  <si>
    <t>米山町中津山字筒場埣</t>
  </si>
  <si>
    <t>3101:調査判明（増）</t>
  </si>
  <si>
    <t>道路用地</t>
  </si>
  <si>
    <t>2019/03/15</t>
  </si>
  <si>
    <t>迫町新田字駒林41-2</t>
  </si>
  <si>
    <t>2019/09/02</t>
  </si>
  <si>
    <t>2019/03/18</t>
  </si>
  <si>
    <t>豊里町小口前80-2</t>
  </si>
  <si>
    <t>東和町錦織字新二良根49</t>
  </si>
  <si>
    <t>豊里町小口前73-5</t>
  </si>
  <si>
    <t>1276</t>
  </si>
  <si>
    <t>豊里町小口前64-2</t>
  </si>
  <si>
    <t>1991/11/26</t>
  </si>
  <si>
    <t>1277</t>
  </si>
  <si>
    <t>豊里町小口前80-5</t>
  </si>
  <si>
    <t>1278</t>
  </si>
  <si>
    <t>Ｈ29筒場埣６号線（土地購入）</t>
  </si>
  <si>
    <t>Ｈ29筒場埣７号線（土地購入）</t>
  </si>
  <si>
    <t>道路用地（山林）</t>
  </si>
  <si>
    <t>産業振興課から所管替え　</t>
  </si>
  <si>
    <t>東和町米谷字福平山1-33</t>
  </si>
  <si>
    <t>2000/10/18</t>
  </si>
  <si>
    <t>0750011</t>
  </si>
  <si>
    <t>石越町東郷黒山81番地ため池</t>
  </si>
  <si>
    <t>石越町東郷黒山81番地</t>
  </si>
  <si>
    <t>東和町米谷照井44番地ため池</t>
  </si>
  <si>
    <t>東和町米谷照井44番地</t>
  </si>
  <si>
    <t>豊里町久寿田62-1番地ため池</t>
  </si>
  <si>
    <t>AsyzAP042120105：平筒沼</t>
  </si>
  <si>
    <t>豊里町久寿田62-1番地</t>
  </si>
  <si>
    <t>豊里町上沼田378-2番地ため池</t>
  </si>
  <si>
    <t>豊里町上沼田378-2番地</t>
  </si>
  <si>
    <t>米山町桜岡今泉73-1番地ため池</t>
  </si>
  <si>
    <t>米山町桜岡今泉73-1番地</t>
  </si>
  <si>
    <t>米山町桜岡大又73-1番地ため池</t>
  </si>
  <si>
    <t>米山町桜岡大又73-1番地</t>
  </si>
  <si>
    <t>米山町桜岡大又137-1、138-1番地ため池</t>
  </si>
  <si>
    <t>米山町桜岡大又137-1、138-1番地</t>
  </si>
  <si>
    <t>米山町桜岡貝待井12-1番地ため池</t>
  </si>
  <si>
    <t>米山町桜岡貝待井12-1番地</t>
  </si>
  <si>
    <t>米山町桜岡貝待井69番地ため池</t>
  </si>
  <si>
    <t>米山町桜岡貝待井69番地</t>
  </si>
  <si>
    <t>東和町錦織字嵯峨立29</t>
  </si>
  <si>
    <t>米山町善王寺大久保84番地ため池</t>
  </si>
  <si>
    <t>米山町善王寺大久保84番地</t>
  </si>
  <si>
    <t>津山町柳津沢田181-1番ため池</t>
  </si>
  <si>
    <t>津山町柳津沢田181-1番</t>
  </si>
  <si>
    <t>横沢１号溜池</t>
  </si>
  <si>
    <t>AsyzAP迫町新田</t>
  </si>
  <si>
    <t>太田切溜池</t>
  </si>
  <si>
    <t>迫町北方北観音寺92番地ため池</t>
  </si>
  <si>
    <t>AsyzAP042120078：北観音寺溜池</t>
  </si>
  <si>
    <t>迫町北方北観音寺92番地</t>
  </si>
  <si>
    <t>迫町北方大洞63-3番地ため池</t>
  </si>
  <si>
    <t>迫町北方大洞63-3番地</t>
  </si>
  <si>
    <t>迫町新田品ノ浦162番地ため池</t>
  </si>
  <si>
    <t>迫町新田品ノ浦162番地</t>
  </si>
  <si>
    <t>東和町米川字新寺前27</t>
  </si>
  <si>
    <t>迫町新田田上101番地ため池</t>
  </si>
  <si>
    <t>迫町新田田上101番地</t>
  </si>
  <si>
    <t>迫町新田西沢40番地ため池</t>
  </si>
  <si>
    <t>迫町新田西沢40番地</t>
  </si>
  <si>
    <t>迫町新田大浦前23番地ため池</t>
  </si>
  <si>
    <t>迫町新田大浦前23番地</t>
  </si>
  <si>
    <t>東和町米川字新青木112</t>
  </si>
  <si>
    <t>迫町新田菱ノ倉12-1番地ため池</t>
  </si>
  <si>
    <t>迫町新田菱ノ倉12-1番地</t>
  </si>
  <si>
    <t>迫町新田下品ノ浦55番地ため池</t>
  </si>
  <si>
    <t>迫町新田下品ノ浦55番地</t>
  </si>
  <si>
    <t>迫町新田大沢2番地ため池</t>
  </si>
  <si>
    <t>迫町新田大沢2番地</t>
  </si>
  <si>
    <t>東和町米川字新青木104</t>
  </si>
  <si>
    <t>迫町新田寺志田19番地ため池</t>
  </si>
  <si>
    <t>AsyzAP042120055：寺志田１号溜池</t>
  </si>
  <si>
    <t>迫町新田寺志田19番地</t>
  </si>
  <si>
    <t>迫町新田寺志田57番地ため池</t>
  </si>
  <si>
    <t>迫町新田寺志田57番地</t>
  </si>
  <si>
    <t>迫町新田境田3番地ため池</t>
  </si>
  <si>
    <t>迫町新田境田3番地</t>
  </si>
  <si>
    <t>東和町米川字新青木96</t>
  </si>
  <si>
    <t>迫町新田駒林前85番地ため池</t>
  </si>
  <si>
    <t>迫町新田駒林前85番地</t>
  </si>
  <si>
    <t>迫町新田横沢13番地ため池</t>
  </si>
  <si>
    <t>迫町新田横沢13番地</t>
  </si>
  <si>
    <t>迫町新田駒林4番地ため池</t>
  </si>
  <si>
    <t>迫町新田駒林4番地</t>
  </si>
  <si>
    <t>東和町米川字新青木88</t>
  </si>
  <si>
    <t>迫町新田台所57番地ため池</t>
  </si>
  <si>
    <t>迫町新田台所57番地</t>
  </si>
  <si>
    <t>迫町新田東原51番地ため池</t>
  </si>
  <si>
    <t>迫町新田東原51番地</t>
  </si>
  <si>
    <t>迫町新田外沢田63番地ため池</t>
  </si>
  <si>
    <t>AsyzAP042120022：梅ヶ沢溜池</t>
  </si>
  <si>
    <t>迫町新田外沢田63番地</t>
  </si>
  <si>
    <t>迫町新田字松原東76</t>
  </si>
  <si>
    <t>迫町新田上立戸57番地ため池</t>
  </si>
  <si>
    <t>AsyzAP042120065：上立戸１号溜池</t>
  </si>
  <si>
    <t>迫町新田上立戸57番地</t>
  </si>
  <si>
    <t>迫町新田字新蓮沼129</t>
  </si>
  <si>
    <t>迫町新田狼ノ欠16番地ため池</t>
  </si>
  <si>
    <t>AsyzAP042120028：狼ノ欠溜池</t>
  </si>
  <si>
    <t>迫町新田狼ノ欠16番地</t>
  </si>
  <si>
    <t>迫町新田字新蓮沼120</t>
  </si>
  <si>
    <t>迫町新田菱ノ倉28番地ため池</t>
  </si>
  <si>
    <t>AsyzAP042120037：高森（１）溜池</t>
  </si>
  <si>
    <t>迫町新田菱ノ倉28番地</t>
  </si>
  <si>
    <t>米山町桜岡今泉70-9番地ため池</t>
  </si>
  <si>
    <t>米山町桜岡今泉70-9番地</t>
  </si>
  <si>
    <t>西中の口５号溜池</t>
  </si>
  <si>
    <t>AsyzAP南方町西中の口</t>
  </si>
  <si>
    <t>沢田（その２）溜池</t>
  </si>
  <si>
    <t>津山町柳津黄牛字名19-1地先番地ため池</t>
  </si>
  <si>
    <t>津山町柳津黄牛字名19-1地先番地</t>
  </si>
  <si>
    <t>米山町善王寺相ノ田53番地ため池</t>
  </si>
  <si>
    <t>米山町善王寺相ノ田53番地</t>
  </si>
  <si>
    <t>大樟１号溜池</t>
  </si>
  <si>
    <t>迫町新田字新東坂戸71</t>
  </si>
  <si>
    <t>米山町桜岡貝待井66番地ため池</t>
  </si>
  <si>
    <t>米山町桜岡貝待井66番地</t>
  </si>
  <si>
    <t>迫町北方来田126番地ため池</t>
  </si>
  <si>
    <t>AsyzAP042120077：来田溜池</t>
  </si>
  <si>
    <t>迫町北方来田126番地</t>
  </si>
  <si>
    <t>米山町桜岡大又190-1番地ため池</t>
  </si>
  <si>
    <t>米山町桜岡大又190-1番地</t>
  </si>
  <si>
    <t>迫町新田字新舟崎166</t>
  </si>
  <si>
    <t>迫町北方金ヶ森29番地ため池</t>
  </si>
  <si>
    <t>迫町北方金ヶ森29番地</t>
  </si>
  <si>
    <t>迫町北方南観音寺75番地ため池</t>
  </si>
  <si>
    <t>迫町北方南観音寺75番地</t>
  </si>
  <si>
    <t>迫町新田田上21番地ため池</t>
  </si>
  <si>
    <t>AsyzAP042120073：田上１号溜池</t>
  </si>
  <si>
    <t>迫町新田田上21番地</t>
  </si>
  <si>
    <t>迫町新田字新舟崎158</t>
  </si>
  <si>
    <t>迫町新田西沢38番地ため池</t>
  </si>
  <si>
    <t>迫町新田西沢38番地</t>
  </si>
  <si>
    <t>迫町新田日向33番地ため池</t>
  </si>
  <si>
    <t>AsyzAP042120064：日向４号溜池</t>
  </si>
  <si>
    <t>迫町新田日向33番地</t>
  </si>
  <si>
    <t>迫町新田大田切57-1番地ため池</t>
  </si>
  <si>
    <t>迫町新田大田切57-1番地</t>
  </si>
  <si>
    <t>迫町新田小友1番地ため池</t>
  </si>
  <si>
    <t>迫町新田小友1番地</t>
  </si>
  <si>
    <t>迫町新田山崎145番地ため池</t>
  </si>
  <si>
    <t>迫町新田山崎145番地</t>
  </si>
  <si>
    <t>迫町新田大浦前45番地ため池</t>
  </si>
  <si>
    <t>迫町新田大浦前45番地</t>
  </si>
  <si>
    <t>迫町新田大久保172番地ため池</t>
  </si>
  <si>
    <t>迫町新田大久保172番地</t>
  </si>
  <si>
    <t>迫町新田番屋6-4番地ため池</t>
  </si>
  <si>
    <t>迫町新田番屋6-4番地</t>
  </si>
  <si>
    <t>東和町米谷山桑44番地ため池</t>
  </si>
  <si>
    <t>AsyzAP042120082：山桑（１）溜池</t>
  </si>
  <si>
    <t>東和町米谷山桑44番地</t>
  </si>
  <si>
    <t>豊里町大沢77-1番地ため池</t>
  </si>
  <si>
    <t>AsyzAP042120103：菖蒲沢溜池</t>
  </si>
  <si>
    <t>豊里町大沢77-1番地</t>
  </si>
  <si>
    <t>豊里町上沼田376-2番地ため池</t>
  </si>
  <si>
    <t>豊里町上沼田376-2番地</t>
  </si>
  <si>
    <t>米山町桜岡大又30-1番地ため池</t>
  </si>
  <si>
    <t>米山町桜岡大又30-1番地</t>
  </si>
  <si>
    <t>迫町新田大沢1番地ため池</t>
  </si>
  <si>
    <t>迫町新田大沢1番地</t>
  </si>
  <si>
    <t>迫町新田山ノ神276番地ため池</t>
  </si>
  <si>
    <t>AsyzAP042120027：山の神下溜池</t>
  </si>
  <si>
    <t>迫町新田山ノ神276番地</t>
  </si>
  <si>
    <t>迫町新田彦道53番地ため池</t>
  </si>
  <si>
    <t>迫町新田彦道53番地</t>
  </si>
  <si>
    <t>迫町新田字新舟崎126-1</t>
  </si>
  <si>
    <t>迫町新田刈又沢145-1番地ため池</t>
  </si>
  <si>
    <t>AsyzAP042120158：刈又沢（１）溜池</t>
  </si>
  <si>
    <t>迫町新田刈又沢145-1番地</t>
  </si>
  <si>
    <t>迫町新田塒場12番地ため池</t>
  </si>
  <si>
    <t>AsyzAP042120045：沢田溜池</t>
  </si>
  <si>
    <t>迫町新田塒場12番地</t>
  </si>
  <si>
    <t>迫町新田寺志田4番地ため池</t>
  </si>
  <si>
    <t>AsyzAP042120057：寺志田３号溜池</t>
  </si>
  <si>
    <t>迫町新田寺志田4番地</t>
  </si>
  <si>
    <t>迫町新田北山70番地ため池</t>
  </si>
  <si>
    <t>迫町新田北山70番地</t>
  </si>
  <si>
    <t>迫町新田上大田切26番地ため池</t>
  </si>
  <si>
    <t>迫町新田上大田切26番地</t>
  </si>
  <si>
    <t>迫町新田上大田切46番地ため池</t>
  </si>
  <si>
    <t>迫町新田上大田切46番地</t>
  </si>
  <si>
    <t>迫町新田寺志田41番地ため池</t>
  </si>
  <si>
    <t>AsyzAP042120043：下駒林溜池</t>
  </si>
  <si>
    <t>迫町新田寺志田41番地</t>
  </si>
  <si>
    <t>迫町新田字新伊豆崎130</t>
  </si>
  <si>
    <t>迫町新田堤田7-2番地ため池</t>
  </si>
  <si>
    <t>AsyzAP042120033：山守屋敷溜池</t>
  </si>
  <si>
    <t>迫町新田堤田7-2番地</t>
  </si>
  <si>
    <t>迫町新田寺志田114番地ため池</t>
  </si>
  <si>
    <t>迫町新田寺志田114番地</t>
  </si>
  <si>
    <t>迫町新田寺志田39-2番地ため池</t>
  </si>
  <si>
    <t>AsyzAP042120044：寺志田溜池</t>
  </si>
  <si>
    <t>迫町新田寺志田39-2番地</t>
  </si>
  <si>
    <t>中田町上沼中ノ土手1番地ため池</t>
  </si>
  <si>
    <t>中田町上沼中ノ土手1番地</t>
  </si>
  <si>
    <t>南方町大森前83番地ため池</t>
  </si>
  <si>
    <t>AsyzAP042120129：鳥の子溜池</t>
  </si>
  <si>
    <t>南方町大森前83番地</t>
  </si>
  <si>
    <t>迫町新田十五丸23番地ため池</t>
  </si>
  <si>
    <t>AsyzAP042120049：中島（２）溜池</t>
  </si>
  <si>
    <t>迫町新田十五丸23番地</t>
  </si>
  <si>
    <t>南方町三代前62番地ため池</t>
  </si>
  <si>
    <t>南方町三代前62番地</t>
  </si>
  <si>
    <t>迫町新田字新茂栗111</t>
  </si>
  <si>
    <t>南方町銭金壇4番地ため池</t>
  </si>
  <si>
    <t>南方町銭金壇4番地</t>
  </si>
  <si>
    <t>迫町新田上十五丸74番地ため池</t>
  </si>
  <si>
    <t>迫町新田上十五丸74番地</t>
  </si>
  <si>
    <t>南方町銭金壇73-2番地ため池</t>
  </si>
  <si>
    <t>南方町銭金壇73-2番地</t>
  </si>
  <si>
    <t>南方町中ノ口50番地ため池</t>
  </si>
  <si>
    <t>AsyzAP042120155：中の口１号溜池</t>
  </si>
  <si>
    <t>南方町中ノ口50番地</t>
  </si>
  <si>
    <t>迫町新田横沢8番地ため池</t>
  </si>
  <si>
    <t>AsyzAP042120015：横沢溜池</t>
  </si>
  <si>
    <t>迫町新田横沢8番地</t>
  </si>
  <si>
    <t>南方町中ノ口124番地ため池</t>
  </si>
  <si>
    <t>AsyzAP042120136：雷神（その他）溜池</t>
  </si>
  <si>
    <t>南方町中ノ口124番地</t>
  </si>
  <si>
    <t>南方町沼崎7番地ため池</t>
  </si>
  <si>
    <t>南方町沼崎7番地</t>
  </si>
  <si>
    <t>南方町間内19番地ため池</t>
  </si>
  <si>
    <t>南方町間内19番地</t>
  </si>
  <si>
    <t>迫町新田駒林2番地ため池</t>
  </si>
  <si>
    <t>迫町新田駒林2番地</t>
  </si>
  <si>
    <t>南方町南沢59番地ため池</t>
  </si>
  <si>
    <t>南方町南沢59番地</t>
  </si>
  <si>
    <t>南方町翌沢207番地ため池</t>
  </si>
  <si>
    <t>南方町翌沢207番地</t>
  </si>
  <si>
    <t>南方町新間内7番地ため池</t>
  </si>
  <si>
    <t>南方町新間内7番地</t>
  </si>
  <si>
    <t>迫町新田舘林70番地ため池</t>
  </si>
  <si>
    <t>AsyzAP042120009：館林（３）溜池</t>
  </si>
  <si>
    <t>迫町新田舘林70番地</t>
  </si>
  <si>
    <t>石越町東郷蕪木60-3番地ため池</t>
  </si>
  <si>
    <t>AsyzAP042120113：海上連溜池</t>
  </si>
  <si>
    <t>石越町東郷蕪木60-3番地</t>
  </si>
  <si>
    <t>石越町東郷大根沢171-1番地ため池</t>
  </si>
  <si>
    <t>AsyzAP042120114：大根沢（１）溜池</t>
  </si>
  <si>
    <t>石越町東郷大根沢171-1番地</t>
  </si>
  <si>
    <t>津山町横山字北沢上75</t>
  </si>
  <si>
    <t>迫町新田南深沢39番地ため池</t>
  </si>
  <si>
    <t>迫町新田南深沢39番地</t>
  </si>
  <si>
    <t>石越町南郷新田117番地ため池</t>
  </si>
  <si>
    <t>AsyzAP042120125：二反田溜池</t>
  </si>
  <si>
    <t>石越町南郷新田117番地</t>
  </si>
  <si>
    <t>石越町南郷高森44番地ため池</t>
  </si>
  <si>
    <t>AsyzAP042120109：苗代沢溜池</t>
  </si>
  <si>
    <t>石越町南郷高森44番地</t>
  </si>
  <si>
    <t>迫町新田下十五丸65番地ため池</t>
  </si>
  <si>
    <t>AsyzAP042120052：下十五丸溜池</t>
  </si>
  <si>
    <t>迫町新田下十五丸65番地</t>
  </si>
  <si>
    <t>石越町北郷長根100番地ため池</t>
  </si>
  <si>
    <t>AsyzAP042120118：西風田裏溜池</t>
  </si>
  <si>
    <t>石越町北郷長根100番地</t>
  </si>
  <si>
    <t>石越町北郷赤谷167番地ため池</t>
  </si>
  <si>
    <t>AsyzAP042120124：寺山溜池</t>
  </si>
  <si>
    <t>石越町北郷赤谷167番地</t>
  </si>
  <si>
    <t>東和町錦織雷神山6-2番地ため池</t>
  </si>
  <si>
    <t>東和町錦織雷神山6-2番地</t>
  </si>
  <si>
    <t>津山町横山字南沢上67</t>
  </si>
  <si>
    <t>東和町錦織大木沢98番地ため池</t>
  </si>
  <si>
    <t>AsyzAP042120095：大木沢（２）溜池</t>
  </si>
  <si>
    <t>東和町錦織大木沢98番地</t>
  </si>
  <si>
    <t>東和町米川新四十田38番地ため池</t>
  </si>
  <si>
    <t>東和町米川新四十田38番地</t>
  </si>
  <si>
    <t>東和町米谷平倉104番地ため池</t>
  </si>
  <si>
    <t>AsyzAP042120090：平倉（４）溜池</t>
  </si>
  <si>
    <t>東和町米谷平倉104番地</t>
  </si>
  <si>
    <t>迫町新田中葉ノ木沢40番地ため池</t>
  </si>
  <si>
    <t>迫町新田中葉ノ木沢40番地</t>
  </si>
  <si>
    <t>東和町米谷来京74番地ため池</t>
  </si>
  <si>
    <t>AsyzAP042120081：来京（２）溜池</t>
  </si>
  <si>
    <t>東和町米谷来京74番地</t>
  </si>
  <si>
    <t>津山町横山字高谷地43</t>
  </si>
  <si>
    <t>東和町米谷福平183番地ため池</t>
  </si>
  <si>
    <t>東和町米谷福平183番地</t>
  </si>
  <si>
    <t>石越町南郷字新南埣169-3</t>
  </si>
  <si>
    <t>米山町桜岡大又104-1番地ため池</t>
  </si>
  <si>
    <t>米山町桜岡大又104-1番地</t>
  </si>
  <si>
    <t>豊里町上沼田11-2番地ため池</t>
  </si>
  <si>
    <t>豊里町上沼田11-2番地</t>
  </si>
  <si>
    <t>迫町新田上立戸139番地ため池</t>
  </si>
  <si>
    <t>迫町新田上立戸139番地</t>
  </si>
  <si>
    <t>豊里町笑沢153-33番地ため池</t>
  </si>
  <si>
    <t>豊里町笑沢153-33番地</t>
  </si>
  <si>
    <t>東和町米谷福平197番地ため池</t>
  </si>
  <si>
    <t>東和町米谷福平197番地</t>
  </si>
  <si>
    <t>迫町新田下葉ノ木沢12-3番地ため池</t>
  </si>
  <si>
    <t>迫町新田下葉ノ木沢12-3番地</t>
  </si>
  <si>
    <t>東和町米谷福平174番地ため池</t>
  </si>
  <si>
    <t>東和町米谷福平174番地</t>
  </si>
  <si>
    <t>東和町米谷福平26番地ため池</t>
  </si>
  <si>
    <t>東和町米谷福平26番地</t>
  </si>
  <si>
    <t>東和町米谷来京54番地ため池</t>
  </si>
  <si>
    <t>東和町米谷来京54番地</t>
  </si>
  <si>
    <t>迫町新田中葉ノ木沢21番地ため池</t>
  </si>
  <si>
    <t>迫町新田中葉ノ木沢21番地</t>
  </si>
  <si>
    <t>東和町米谷平倉83番地ため池</t>
  </si>
  <si>
    <t>AsyzAP042120088：平倉（１）溜池</t>
  </si>
  <si>
    <t>東和町米谷平倉83番地</t>
  </si>
  <si>
    <t>東和町米川町裏105-1番地ため池</t>
  </si>
  <si>
    <t>東和町米川町裏105-1番地</t>
  </si>
  <si>
    <t>東和町錦織山沢34番地ため池</t>
  </si>
  <si>
    <t>東和町錦織山沢34番地</t>
  </si>
  <si>
    <t>迫町新田外沢田43番地ため池</t>
  </si>
  <si>
    <t>AsyzAP042120021：外沢田溜池</t>
  </si>
  <si>
    <t>迫町新田外沢田43番地</t>
  </si>
  <si>
    <t>豊里町久寿田65-3番地ため池</t>
  </si>
  <si>
    <t>豊里町久寿田65-3番地</t>
  </si>
  <si>
    <t>石越町北郷字新西30</t>
  </si>
  <si>
    <t>石越町北郷長根94-1番地ため池</t>
  </si>
  <si>
    <t>石越町北郷長根94-1番地</t>
  </si>
  <si>
    <t>迫町新田台所71番地ため池</t>
  </si>
  <si>
    <t>迫町新田台所71番地</t>
  </si>
  <si>
    <t>石越町東郷苦木136番地ため池</t>
  </si>
  <si>
    <t>石越町東郷苦木136番地</t>
  </si>
  <si>
    <t>石越町北郷字新東37</t>
  </si>
  <si>
    <t>石越町東郷登戸22番地ため池</t>
  </si>
  <si>
    <t>AsyzAP042120106：登戸上溜池</t>
  </si>
  <si>
    <t>石越町東郷登戸22番地</t>
  </si>
  <si>
    <t>石越町北郷字新的場下40</t>
  </si>
  <si>
    <t>石越町東郷黒山115番地ため池</t>
  </si>
  <si>
    <t>AsyzAP042120145：古屋敷溜池</t>
  </si>
  <si>
    <t>石越町東郷黒山115番地</t>
  </si>
  <si>
    <t>石越町北郷字新的場下38-2</t>
  </si>
  <si>
    <t>南方町若狭前192-1番地ため池</t>
  </si>
  <si>
    <t>南方町若狭前192-1番地</t>
  </si>
  <si>
    <t>南方町翌沢88番地ため池</t>
  </si>
  <si>
    <t>南方町翌沢88番地</t>
  </si>
  <si>
    <t>南方町南沢96-2番地ため池</t>
  </si>
  <si>
    <t>南方町南沢96-2番地</t>
  </si>
  <si>
    <t>石越町北郷字新橋向91</t>
  </si>
  <si>
    <t>南方町間内下173番地ため池</t>
  </si>
  <si>
    <t>AsyzAP042120131：新山溜池</t>
  </si>
  <si>
    <t>南方町間内下173番地</t>
  </si>
  <si>
    <t>石越町北郷字新橋向86</t>
  </si>
  <si>
    <t>南方町中ノ口120番地ため池</t>
  </si>
  <si>
    <t>AsyzAP042120133：雷神１号溜池</t>
  </si>
  <si>
    <t>南方町中ノ口120番地</t>
  </si>
  <si>
    <t>石越町北郷字新橋向78</t>
  </si>
  <si>
    <t>南方町中須崎244-1番地ため池</t>
  </si>
  <si>
    <t>南方町中須崎244-1番地</t>
  </si>
  <si>
    <t>南方町銭金壇73-1番地ため池</t>
  </si>
  <si>
    <t>AsyzAP042120127：寺下溜池</t>
  </si>
  <si>
    <t>南方町銭金壇73-1番地</t>
  </si>
  <si>
    <t>迫町新田十五丸40番地ため池</t>
  </si>
  <si>
    <t>迫町新田十五丸40番地</t>
  </si>
  <si>
    <t>石越町北郷字新橋向95</t>
  </si>
  <si>
    <t>南方町三代前110-1番地ため池</t>
  </si>
  <si>
    <t>南方町三代前110-1番地</t>
  </si>
  <si>
    <t>南方町苔野谷地39番地ため池</t>
  </si>
  <si>
    <t>南方町苔野谷地39番地</t>
  </si>
  <si>
    <t>迫町新田苗代沢46番地ため池</t>
  </si>
  <si>
    <t>迫町新田苗代沢46番地</t>
  </si>
  <si>
    <t>石越町北郷字新傾城渕62</t>
  </si>
  <si>
    <t>中田町上沼内ノ目130-1番地ため池</t>
  </si>
  <si>
    <t>中田町上沼内ノ目130-1番地</t>
  </si>
  <si>
    <t>迫町新田大鹿野57番地ため池</t>
  </si>
  <si>
    <t>迫町新田大鹿野57番地</t>
  </si>
  <si>
    <t>迫町新田寺志田110-1番地ため池</t>
  </si>
  <si>
    <t>迫町新田寺志田110-1番地</t>
  </si>
  <si>
    <t>石越町北郷字新丸谷地72</t>
  </si>
  <si>
    <t>迫町新田錠穴9番地ため池</t>
  </si>
  <si>
    <t>AsyzAP042120035：高森溜池</t>
  </si>
  <si>
    <t>迫町新田錠穴9番地</t>
  </si>
  <si>
    <t>石越町北郷字新丸谷地68</t>
  </si>
  <si>
    <t>迫町新田上大田切43番地ため池</t>
  </si>
  <si>
    <t>AsyzAP042120024：上太田切（甲）溜池</t>
  </si>
  <si>
    <t>迫町新田上大田切43番地</t>
  </si>
  <si>
    <t>石越町北郷字新丸谷地64</t>
  </si>
  <si>
    <t>迫町新田塒場36番地ため池</t>
  </si>
  <si>
    <t>迫町新田塒場36番地</t>
  </si>
  <si>
    <t>迫町新田大樟49番地ため池</t>
  </si>
  <si>
    <t>迫町新田大樟49番地</t>
  </si>
  <si>
    <t>迫町新田大沢田21番地ため池</t>
  </si>
  <si>
    <t>迫町新田大沢田21番地</t>
  </si>
  <si>
    <t>石越町北郷字新丸谷地56</t>
  </si>
  <si>
    <t>迫町新田刈又沢17番地ため池</t>
  </si>
  <si>
    <t>AsyzAP042120014：横沢（甲）溜池</t>
  </si>
  <si>
    <t>迫町新田刈又沢17番地</t>
  </si>
  <si>
    <t>石越町北郷字新大和田55</t>
  </si>
  <si>
    <t>迫町新田飯島34番地ため池</t>
  </si>
  <si>
    <t>迫町新田飯島34番地</t>
  </si>
  <si>
    <t>石越町北郷字新大和田50</t>
  </si>
  <si>
    <t>迫町新田山ノ神89番地ため池</t>
  </si>
  <si>
    <t>AsyzAP042120004：山の神上溜池</t>
  </si>
  <si>
    <t>迫町新田山ノ神89番地</t>
  </si>
  <si>
    <t>迫町新田山守屋敷209番地ため池</t>
  </si>
  <si>
    <t>迫町新田山守屋敷209番地</t>
  </si>
  <si>
    <t>迫町新田山田42番地ため池</t>
  </si>
  <si>
    <t>迫町新田山田42番地</t>
  </si>
  <si>
    <t>石越町北郷字新富崎前54</t>
  </si>
  <si>
    <t>迫町新田大浦前44番地ため池</t>
  </si>
  <si>
    <t>迫町新田大浦前44番地</t>
  </si>
  <si>
    <t>石越町北郷字新富崎前50</t>
  </si>
  <si>
    <t>迫町新田日向71番地ため池</t>
  </si>
  <si>
    <t>AsyzAP042120012：日向溜池</t>
  </si>
  <si>
    <t>迫町新田日向71番地</t>
  </si>
  <si>
    <t>石越町北郷字新富崎前46</t>
  </si>
  <si>
    <t>迫町新田下板橋97番地ため池</t>
  </si>
  <si>
    <t>迫町新田下板橋97番地</t>
  </si>
  <si>
    <t>迫町新田西沢28番地ため池</t>
  </si>
  <si>
    <t>迫町新田西沢28番地</t>
  </si>
  <si>
    <t>道木溜池</t>
  </si>
  <si>
    <t>AsyzAP東和町米川字道木</t>
  </si>
  <si>
    <t>石越町北郷字新堀内前58</t>
  </si>
  <si>
    <t>迫町新田大上28番地ため池</t>
  </si>
  <si>
    <t>迫町新田大上28番地</t>
  </si>
  <si>
    <t>迫町北方丸森65番地ため池</t>
  </si>
  <si>
    <t>AsyzAP042120003：丸森溜池</t>
  </si>
  <si>
    <t>迫町北方丸森65番地</t>
  </si>
  <si>
    <t>菱ノ倉２号溜池</t>
  </si>
  <si>
    <t>石越町北郷字新堀内前50</t>
  </si>
  <si>
    <t>米山町桜岡今泉138番地ため池</t>
  </si>
  <si>
    <t>米山町桜岡今泉138番地</t>
  </si>
  <si>
    <t>石越町北郷新鹿沼124-2番地ため池</t>
  </si>
  <si>
    <t>石越町北郷新鹿沼124-2番地</t>
  </si>
  <si>
    <t>大木沢（１）溜池</t>
  </si>
  <si>
    <t>AsyzAP東和町錦織字大木沢</t>
  </si>
  <si>
    <t>石越町北郷字新内の目114</t>
  </si>
  <si>
    <t>米山町桜岡貝待井257番地ため池</t>
  </si>
  <si>
    <t>米山町桜岡貝待井257番地</t>
  </si>
  <si>
    <t>迫町新田小友117番地ため池</t>
  </si>
  <si>
    <t>迫町新田小友117番地</t>
  </si>
  <si>
    <t>東和町錦織入沢58番地ため池</t>
  </si>
  <si>
    <t>東和町錦織入沢58番地</t>
  </si>
  <si>
    <t>石越町北郷字新内の目100</t>
  </si>
  <si>
    <t>迫町新田日向60-1番地ため池</t>
  </si>
  <si>
    <t>迫町新田日向60-1番地</t>
  </si>
  <si>
    <t>中の口溜池</t>
  </si>
  <si>
    <t>下板橋２号溜池</t>
  </si>
  <si>
    <t>迫町新田外沢田70番地ため池</t>
  </si>
  <si>
    <t>迫町新田外沢田70番地</t>
  </si>
  <si>
    <t>迫町新田大田切25番地ため池</t>
  </si>
  <si>
    <t>AsyzAP042120026：西沢（１）溜池</t>
  </si>
  <si>
    <t>迫町新田大田切25番地</t>
  </si>
  <si>
    <t>東和町米谷平倉43番地ため池</t>
  </si>
  <si>
    <t>AsyzAP042120087：平倉（３）溜池</t>
  </si>
  <si>
    <t>東和町米谷平倉43番地</t>
  </si>
  <si>
    <t>米山町善王寺武道ヶ崎55番地ため池</t>
  </si>
  <si>
    <t>米山町善王寺武道ヶ崎55番地</t>
  </si>
  <si>
    <t>石越町北郷字新長下田61</t>
  </si>
  <si>
    <t>迫町新田西沢11番地ため池</t>
  </si>
  <si>
    <t>AsyzAP042120025：西沢（２）溜池</t>
  </si>
  <si>
    <t>迫町新田西沢11番地</t>
  </si>
  <si>
    <t>迫町新田寺志田20番地ため池</t>
  </si>
  <si>
    <t>迫町新田寺志田20番地</t>
  </si>
  <si>
    <t>迫町新田上大田切11番地ため池</t>
  </si>
  <si>
    <t>迫町新田上大田切11番地</t>
  </si>
  <si>
    <t>迫町新田下板橋90番地ため池</t>
  </si>
  <si>
    <t>迫町新田下板橋90番地</t>
  </si>
  <si>
    <t>迫町新田塒場25番地ため池</t>
  </si>
  <si>
    <t>迫町新田塒場25番地</t>
  </si>
  <si>
    <t>石越町北郷字新長下田49</t>
  </si>
  <si>
    <t>米山町桜岡大又100-2番地ため池</t>
  </si>
  <si>
    <t>米山町桜岡大又100-2番地</t>
  </si>
  <si>
    <t>石越町北郷字新粒庭59</t>
  </si>
  <si>
    <t>迫町新田大樟18番地ため池</t>
  </si>
  <si>
    <t>迫町新田大樟18番地</t>
  </si>
  <si>
    <t>石越町北郷字新粒庭54</t>
  </si>
  <si>
    <t>迫町新田刈又沢114番地ため池</t>
  </si>
  <si>
    <t>迫町新田刈又沢114番地</t>
  </si>
  <si>
    <t>豊里町久寿田64-8番地ため池</t>
  </si>
  <si>
    <t>豊里町久寿田64-8番地</t>
  </si>
  <si>
    <t>迫町新田西坂戸109番地ため池</t>
  </si>
  <si>
    <t>迫町新田西坂戸109番地</t>
  </si>
  <si>
    <t>米山町桜岡貝待井16番地ため池</t>
  </si>
  <si>
    <t>米山町桜岡貝待井16番地</t>
  </si>
  <si>
    <t>迫町新田大沢3番地ため池</t>
  </si>
  <si>
    <t>AsyzAP042120034：番屋溜池</t>
  </si>
  <si>
    <t>迫町新田大沢3番地</t>
  </si>
  <si>
    <t>迫町新田高森41番地ため池</t>
  </si>
  <si>
    <t>AsyzAP042120036：高森（２）溜池</t>
  </si>
  <si>
    <t>迫町新田高森41番地</t>
  </si>
  <si>
    <t>上太田切２号溜池</t>
  </si>
  <si>
    <t>迫町新田菱ノ倉19番地ため池</t>
  </si>
  <si>
    <t>AsyzAP042120038：菱の倉溜池</t>
  </si>
  <si>
    <t>迫町新田菱ノ倉19番地</t>
  </si>
  <si>
    <t>迫町新田狼ノ欠26番地ため池</t>
  </si>
  <si>
    <t>迫町新田狼ノ欠26番地</t>
  </si>
  <si>
    <t>米山町桜岡貝待井96-1番地ため池</t>
  </si>
  <si>
    <t>米山町桜岡貝待井96-1番地</t>
  </si>
  <si>
    <t>上葉の木沢溜池</t>
  </si>
  <si>
    <t>AsyzAP迫町新田字大浦</t>
  </si>
  <si>
    <t>迫町新田大久保189番地ため池</t>
  </si>
  <si>
    <t>AsyzAP042120029：大形溜池</t>
  </si>
  <si>
    <t>迫町新田大久保189番地</t>
  </si>
  <si>
    <t>迫町新田山守屋敷72番地ため池</t>
  </si>
  <si>
    <t>迫町新田山守屋敷72番地</t>
  </si>
  <si>
    <t>中田町上沼字新東金谷28</t>
  </si>
  <si>
    <t>迫町新田横沢54番地ため池</t>
  </si>
  <si>
    <t>迫町新田横沢54番地</t>
  </si>
  <si>
    <t>南方町中ノ口159番地ため池</t>
  </si>
  <si>
    <t>AsyzAP042120139：西中の口３号溜池</t>
  </si>
  <si>
    <t>南方町中ノ口159番地</t>
  </si>
  <si>
    <t>東和町米谷福平126番地ため池</t>
  </si>
  <si>
    <t>東和町米谷福平126番地</t>
  </si>
  <si>
    <t>南方町中ノ口78-1番地ため池</t>
  </si>
  <si>
    <t>南方町中ノ口78-1番地</t>
  </si>
  <si>
    <t>迫町新田品ノ浦228番地ため池</t>
  </si>
  <si>
    <t>迫町新田品ノ浦228番地</t>
  </si>
  <si>
    <t>中田町上沼字中田南118</t>
  </si>
  <si>
    <t>中田町上沼字中田南116</t>
  </si>
  <si>
    <t>中田町上沼字中田南114</t>
  </si>
  <si>
    <t>迫町新田上立戸63番地ため池</t>
  </si>
  <si>
    <t>AsyzAP042120053：上立戸溜池</t>
  </si>
  <si>
    <t>迫町新田上立戸63番地</t>
  </si>
  <si>
    <t>南方町銭金壇56-1番地ため池</t>
  </si>
  <si>
    <t>南方町銭金壇56-1番地</t>
  </si>
  <si>
    <t>南方町三代前208番地ため池</t>
  </si>
  <si>
    <t>南方町三代前208番地</t>
  </si>
  <si>
    <t>迫町新田十五丸34番地ため池</t>
  </si>
  <si>
    <t>迫町新田十五丸34番地</t>
  </si>
  <si>
    <t>蓬沢溜池</t>
  </si>
  <si>
    <t>AsyzAP豊里町大沢</t>
  </si>
  <si>
    <t>南方町三代前189番地ため池</t>
  </si>
  <si>
    <t>南方町三代前189番地</t>
  </si>
  <si>
    <t>南方町上平貝187番地ため池</t>
  </si>
  <si>
    <t>南方町上平貝187番地</t>
  </si>
  <si>
    <t>中田町上沼字金谷西80</t>
  </si>
  <si>
    <t>迫町新田苗代沢1番地ため池</t>
  </si>
  <si>
    <t>AsyzAP042120042：苗代沢溜池</t>
  </si>
  <si>
    <t>迫町新田苗代沢1番地</t>
  </si>
  <si>
    <t>東和町米谷照井64番地ため池</t>
  </si>
  <si>
    <t>東和町米谷照井64番地</t>
  </si>
  <si>
    <t>中田町上沼大泉伊勢山115番地ため池</t>
  </si>
  <si>
    <t>AsyzAP042120100：小名倉溜池</t>
  </si>
  <si>
    <t>中田町上沼大泉伊勢山115番地</t>
  </si>
  <si>
    <t>迫町北方川戸沼53番地ため池</t>
  </si>
  <si>
    <t>迫町北方川戸沼53番地</t>
  </si>
  <si>
    <t>迫町新田山居70番地ため池</t>
  </si>
  <si>
    <t>迫町新田山居70番地</t>
  </si>
  <si>
    <t>迫町新田錠穴39番地ため池</t>
  </si>
  <si>
    <t>迫町新田錠穴39番地</t>
  </si>
  <si>
    <t>迫町新田寺志田58番地ため池</t>
  </si>
  <si>
    <t>迫町新田寺志田58番地</t>
  </si>
  <si>
    <t>豊里町上沼田2-2番地ため池</t>
  </si>
  <si>
    <t>豊里町上沼田2-2番地</t>
  </si>
  <si>
    <t>迫町新田上大田切56番地ため池</t>
  </si>
  <si>
    <t>迫町新田上大田切56番地</t>
  </si>
  <si>
    <t>迫町新田上大田切40番地ため池</t>
  </si>
  <si>
    <t>迫町新田上大田切40番地</t>
  </si>
  <si>
    <t>石越町北郷遠沢98番地ため池</t>
  </si>
  <si>
    <t>石越町北郷遠沢98番地</t>
  </si>
  <si>
    <t>迫町新田外沢田28番地ため池</t>
  </si>
  <si>
    <t>AsyzAP042120016：大浦前溜池</t>
  </si>
  <si>
    <t>迫町新田外沢田28番地</t>
  </si>
  <si>
    <t>石越町北郷中沢106番地ため池</t>
  </si>
  <si>
    <t>AsyzAP042120120：堂地溜池</t>
  </si>
  <si>
    <t>石越町北郷中沢106番地</t>
  </si>
  <si>
    <t>石越町北郷長根94-2番地ため池</t>
  </si>
  <si>
    <t>AsyzAP042120117：西風田上溜池</t>
  </si>
  <si>
    <t>石越町北郷長根94-2番地</t>
  </si>
  <si>
    <t>南方町大上96</t>
  </si>
  <si>
    <t>中田町石森字小倉南86</t>
  </si>
  <si>
    <t>迫町新田大上27番地ため池</t>
  </si>
  <si>
    <t>迫町新田大上27番地</t>
  </si>
  <si>
    <t>南方町横代46-1番地ため池</t>
  </si>
  <si>
    <t>南方町横代46-1番地</t>
  </si>
  <si>
    <t>迫町新田舘林57番地ため池</t>
  </si>
  <si>
    <t>AsyzAP042120010：館林（２）溜池</t>
  </si>
  <si>
    <t>迫町新田舘林57番地</t>
  </si>
  <si>
    <t>井戸沢溜池</t>
  </si>
  <si>
    <t>AsyzAP津山町柳津字黄牛比良159-1</t>
  </si>
  <si>
    <t>南方町柳沢75番地ため池</t>
  </si>
  <si>
    <t>AsyzAP042120134：差橋２号溜池</t>
  </si>
  <si>
    <t>南方町柳沢75番地</t>
  </si>
  <si>
    <t>南方町実沢42番地ため池</t>
  </si>
  <si>
    <t>AsyzAP042120135：実沢溜池</t>
  </si>
  <si>
    <t>南方町実沢42番地</t>
  </si>
  <si>
    <t>迫町新田下葉ノ木沢8番地ため池</t>
  </si>
  <si>
    <t>迫町新田下葉ノ木沢8番地</t>
  </si>
  <si>
    <t>中田町石森字新小倉77</t>
  </si>
  <si>
    <t>中島（４）溜池</t>
  </si>
  <si>
    <t>AsyzAP迫町新田字十五丸</t>
  </si>
  <si>
    <t>大洞上溜池</t>
  </si>
  <si>
    <t>AsyzAP迫町北方字八ノ森</t>
  </si>
  <si>
    <t>石越町南郷矢作91番地ため池</t>
  </si>
  <si>
    <t>AsyzAP042120116：御上溜池</t>
  </si>
  <si>
    <t>石越町南郷矢作91番地</t>
  </si>
  <si>
    <t>迫町新田大上21番地ため池</t>
  </si>
  <si>
    <t>AsyzAP042120040：品の浦溜池</t>
  </si>
  <si>
    <t>迫町新田大上21番地</t>
  </si>
  <si>
    <t>南方町蛇沼32-1番地ため池</t>
  </si>
  <si>
    <t>南方町蛇沼32-1番地</t>
  </si>
  <si>
    <t>迫町北方永田102番地ため池</t>
  </si>
  <si>
    <t>迫町北方永田102番地</t>
  </si>
  <si>
    <t>石越町南郷?台142番地ため池</t>
  </si>
  <si>
    <t>石越町南郷?台142番地</t>
  </si>
  <si>
    <t>中田町石森字新小倉61</t>
  </si>
  <si>
    <t>南方町沼崎50番地ため池</t>
  </si>
  <si>
    <t>南方町沼崎50番地</t>
  </si>
  <si>
    <t>迫町新田鍛治ヶ沢30-1番地ため池</t>
  </si>
  <si>
    <t>迫町新田鍛治ヶ沢30-1番地</t>
  </si>
  <si>
    <t>迫町新田台所64番地ため池</t>
  </si>
  <si>
    <t>迫町新田台所64番地</t>
  </si>
  <si>
    <t>迫町新田田上22-2番地ため池</t>
  </si>
  <si>
    <t>迫町新田田上22-2番地</t>
  </si>
  <si>
    <t>迫町新田山崎136番地ため池</t>
  </si>
  <si>
    <t>迫町新田山崎136番地</t>
  </si>
  <si>
    <t>迫町新田大沢田43番地ため池</t>
  </si>
  <si>
    <t>迫町新田大沢田43番地</t>
  </si>
  <si>
    <t>迫町新田飯島87番地ため池</t>
  </si>
  <si>
    <t>迫町新田飯島87番地</t>
  </si>
  <si>
    <t>迫町新田井守沢64番地ため池</t>
  </si>
  <si>
    <t>迫町新田井守沢64番地</t>
  </si>
  <si>
    <t>迫町新田上立戸147番地ため池</t>
  </si>
  <si>
    <t>迫町新田上立戸147番地</t>
  </si>
  <si>
    <t>迫町新田畑中43番地ため池</t>
  </si>
  <si>
    <t>迫町新田畑中43番地</t>
  </si>
  <si>
    <t>南方町翌沢203番地ため池</t>
  </si>
  <si>
    <t>南方町翌沢203番地</t>
  </si>
  <si>
    <t>南方町下新山61番地ため池</t>
  </si>
  <si>
    <t>南方町下新山61番地</t>
  </si>
  <si>
    <t>南方町中須崎36番地ため池</t>
  </si>
  <si>
    <t>南方町中須崎36番地</t>
  </si>
  <si>
    <t>南方町大西2番地ため池</t>
  </si>
  <si>
    <t>南方町大西2番地</t>
  </si>
  <si>
    <t>南方町苔野谷地54-1番地ため池</t>
  </si>
  <si>
    <t>南方町苔野谷地54-1番地</t>
  </si>
  <si>
    <t>中田町石森字藤崎54</t>
  </si>
  <si>
    <t>迫町新田台所77番地ため池</t>
  </si>
  <si>
    <t>迫町新田台所77番地</t>
  </si>
  <si>
    <t>石越町北郷遠沢162番地ため池</t>
  </si>
  <si>
    <t>石越町北郷遠沢162番地</t>
  </si>
  <si>
    <t>南方町大上96番地ため池番地ため池</t>
  </si>
  <si>
    <t>南方町大上96番地番地</t>
  </si>
  <si>
    <t>迫町新田品ノ浦246番地ため池</t>
  </si>
  <si>
    <t>迫町新田品ノ浦246番地</t>
  </si>
  <si>
    <t>迫町新田南深沢12番地ため池</t>
  </si>
  <si>
    <t>迫町新田南深沢12番地</t>
  </si>
  <si>
    <t>南方町実沢173-1番地ため池</t>
  </si>
  <si>
    <t>南方町実沢173-1番地</t>
  </si>
  <si>
    <t>迫町新田狼ノ欠39-1番地ため池</t>
  </si>
  <si>
    <t>迫町新田狼ノ欠39-1番地</t>
  </si>
  <si>
    <t>中田町石森字西長根67</t>
  </si>
  <si>
    <t>迫町新田十五丸26番地ため池</t>
  </si>
  <si>
    <t>迫町新田十五丸26番地</t>
  </si>
  <si>
    <t>迫町新田上十五丸75番地ため池</t>
  </si>
  <si>
    <t>迫町新田上十五丸75番地</t>
  </si>
  <si>
    <t>迫町新田大沢6番地ため池</t>
  </si>
  <si>
    <t>迫町新田大沢6番地</t>
  </si>
  <si>
    <t>中田町石森字西長根59</t>
  </si>
  <si>
    <t>迫町新田井守沢107番地ため池</t>
  </si>
  <si>
    <t>迫町新田井守沢107番地</t>
  </si>
  <si>
    <t>南方町下新山67番地ため池</t>
  </si>
  <si>
    <t>南方町下新山67番地</t>
  </si>
  <si>
    <t>迫町新田梅ヶ沢39番地ため池</t>
  </si>
  <si>
    <t>迫町新田梅ヶ沢39番地</t>
  </si>
  <si>
    <t>中田町石森字北川前63</t>
  </si>
  <si>
    <t>迫町新田畑中44番地ため池</t>
  </si>
  <si>
    <t>迫町新田畑中44番地</t>
  </si>
  <si>
    <t>迫町新田大田切46番地ため池</t>
  </si>
  <si>
    <t>迫町新田大田切46番地</t>
  </si>
  <si>
    <t>南方町中須崎230-1番地ため池</t>
  </si>
  <si>
    <t>南方町中須崎230-1番地</t>
  </si>
  <si>
    <t>迫町新田倉崎194-1番地ため池</t>
  </si>
  <si>
    <t>迫町新田倉崎194-1番地</t>
  </si>
  <si>
    <t>館林（１）溜池</t>
  </si>
  <si>
    <t>AsyzAP迫町新田字深沢</t>
  </si>
  <si>
    <t>迫町新田山崎183番地ため池</t>
  </si>
  <si>
    <t>迫町新田山崎183番地</t>
  </si>
  <si>
    <t>迫町北方相ヶ沢75番地ため池</t>
  </si>
  <si>
    <t>迫町北方相ヶ沢75番地</t>
  </si>
  <si>
    <t>中田町石森字霜田前49</t>
  </si>
  <si>
    <t>中島（１）溜池</t>
  </si>
  <si>
    <t>AsyzAP迫町新田字駒林</t>
  </si>
  <si>
    <t>迫町新田北深沢206-1番地ため池</t>
  </si>
  <si>
    <t>迫町新田北深沢206-1番地</t>
  </si>
  <si>
    <t>平倉（２）溜池</t>
  </si>
  <si>
    <t>AsyzAP東和町米谷字平倉</t>
  </si>
  <si>
    <t>中田町石森字霜田前41</t>
  </si>
  <si>
    <t>新堤溜池</t>
  </si>
  <si>
    <t>AsyzAP中田町上沼字大泉</t>
  </si>
  <si>
    <t>迫町新田下十五丸72番地ため池</t>
  </si>
  <si>
    <t>迫町新田下十五丸72番地</t>
  </si>
  <si>
    <t>柳沢溜池</t>
  </si>
  <si>
    <t>AsyzAP石越町南郷字高森１１９</t>
  </si>
  <si>
    <t>中田町石森字脇谷前65</t>
  </si>
  <si>
    <t>入の沢上溜池</t>
  </si>
  <si>
    <t>AsyzAP石越町南郷字高森２８１</t>
  </si>
  <si>
    <t>井守沢溜池</t>
  </si>
  <si>
    <t>AsyzAP迫町新田字品の浦</t>
  </si>
  <si>
    <t>館林（５）溜池</t>
  </si>
  <si>
    <t>AsyzAP迫町新田字滝</t>
  </si>
  <si>
    <t>三居溜池</t>
  </si>
  <si>
    <t>AsyzAP中田町上沼字小塚</t>
  </si>
  <si>
    <t>迫町新田山居107番地ため池</t>
  </si>
  <si>
    <t>迫町新田山居107番地</t>
  </si>
  <si>
    <t>中田町石森字脇谷前53</t>
  </si>
  <si>
    <t>中田町石森字脇谷前51</t>
  </si>
  <si>
    <t>中田町石森字脇谷前50</t>
  </si>
  <si>
    <t>中田町石森字二木前46</t>
  </si>
  <si>
    <t>中田町石森字二木前44</t>
  </si>
  <si>
    <t>中田町石森字二木前42</t>
  </si>
  <si>
    <t>中田町石森字二木前41</t>
  </si>
  <si>
    <t>南方町実沢154-2番地ため池</t>
  </si>
  <si>
    <t>南方町実沢154-2番地</t>
  </si>
  <si>
    <t>中田町石森字桑代前57</t>
  </si>
  <si>
    <t>中田町石森字桑代前55</t>
  </si>
  <si>
    <t>中田町石森字桑代前53</t>
  </si>
  <si>
    <t>迫町北方永田101番地ため池</t>
  </si>
  <si>
    <t>AsyzAPH27.3.31総務部総務課所管替予定ため池　042120054：永田溜池</t>
  </si>
  <si>
    <t>迫町北方永田101番地</t>
  </si>
  <si>
    <t>石越町東郷大根沢240番地ため池</t>
  </si>
  <si>
    <t>石越町東郷大根沢240番地</t>
  </si>
  <si>
    <t>石越町東郷字新今道11</t>
  </si>
  <si>
    <t>中田町石森字南川前91</t>
  </si>
  <si>
    <t>中田町石森字南川前89</t>
  </si>
  <si>
    <t>中田町石森字南川前87</t>
  </si>
  <si>
    <t>中田町石森字南川前85</t>
  </si>
  <si>
    <t>中田町石森字南川前84</t>
  </si>
  <si>
    <t>南方町翌沢200番地ため池</t>
  </si>
  <si>
    <t>南方町翌沢200番地</t>
  </si>
  <si>
    <t>南方町実沢156-1番地ため池</t>
  </si>
  <si>
    <t>南方町実沢156-1番地</t>
  </si>
  <si>
    <t>迫町新田塒場21番地ため池</t>
  </si>
  <si>
    <t>迫町新田塒場21番地</t>
  </si>
  <si>
    <t>迫町新田日向80番地ため池</t>
  </si>
  <si>
    <t>迫町新田日向80番地</t>
  </si>
  <si>
    <t>南方町下平貝259番地ため池</t>
  </si>
  <si>
    <t>南方町下平貝259番地</t>
  </si>
  <si>
    <t>迫町新田小待井11番地ため池</t>
  </si>
  <si>
    <t>AsyzAP042120051：中島溜池</t>
  </si>
  <si>
    <t>迫町新田小待井11番地</t>
  </si>
  <si>
    <t>迫町新田山田18番地ため池</t>
  </si>
  <si>
    <t>迫町新田山田18番地</t>
  </si>
  <si>
    <t>中田町石森字西田北143</t>
  </si>
  <si>
    <t>南方町中須崎238番地ため池</t>
  </si>
  <si>
    <t>南方町中須崎238番地</t>
  </si>
  <si>
    <t>迫町新田刈又沢79番地ため池</t>
  </si>
  <si>
    <t>迫町新田刈又沢79番地</t>
  </si>
  <si>
    <t>R1駅前油島線（移転補償）</t>
  </si>
  <si>
    <t>2019/06/21</t>
  </si>
  <si>
    <t>迫町新田東坂戸160-1番地ため池</t>
  </si>
  <si>
    <t>AsyzAP042120031：坂戸溜池</t>
  </si>
  <si>
    <t>迫町新田東坂戸160-1番地</t>
  </si>
  <si>
    <t>中田町石森字南川前83</t>
  </si>
  <si>
    <t>迫町新田狼ノ欠22番地ため池</t>
  </si>
  <si>
    <t>迫町新田狼ノ欠22番地</t>
  </si>
  <si>
    <t>R1鴻ノ木・薬師島線（土地購入）</t>
  </si>
  <si>
    <t>2020/03/30</t>
  </si>
  <si>
    <t>迫町新田大久保177番地ため池</t>
  </si>
  <si>
    <t>迫町新田大久保177番地</t>
  </si>
  <si>
    <t>迫町新田山崎146番地ため池</t>
  </si>
  <si>
    <t>迫町新田山崎146番地</t>
  </si>
  <si>
    <t>R1駒木・赤沼線（土地購入）</t>
  </si>
  <si>
    <t>2019/07/09</t>
  </si>
  <si>
    <t>R1米袋線（土地購入）</t>
  </si>
  <si>
    <t>2020/03/11</t>
  </si>
  <si>
    <t>南方町米袋</t>
  </si>
  <si>
    <t>迫町新田小友2番地ため池</t>
  </si>
  <si>
    <t>AsyzAP042120030：山守屋敷（１）溜池</t>
  </si>
  <si>
    <t>迫町新田小友2番地</t>
  </si>
  <si>
    <t>迫町新田日向48番地ため池</t>
  </si>
  <si>
    <t>迫町新田日向48番地</t>
  </si>
  <si>
    <t>迫町新田滝75-25番地ため池</t>
  </si>
  <si>
    <t>迫町新田滝75-25番地</t>
  </si>
  <si>
    <t>迫町新田南深沢26番地ため池</t>
  </si>
  <si>
    <t>迫町新田南深沢26番地</t>
  </si>
  <si>
    <t>迫町新田北深沢9番地ため池</t>
  </si>
  <si>
    <t>迫町新田北深沢9番地</t>
  </si>
  <si>
    <t>中田町石森字二木前40</t>
  </si>
  <si>
    <t>東和町米川六反146番地ため池</t>
  </si>
  <si>
    <t>AsyzAPH27.3.31産業経済部農林政課所管替予定ため池</t>
  </si>
  <si>
    <t>東和町米川六反146番地</t>
  </si>
  <si>
    <t>0:通常財産</t>
  </si>
  <si>
    <t>0920002</t>
  </si>
  <si>
    <t>R1米袋線（移転補償）</t>
  </si>
  <si>
    <t>2020/03/09</t>
  </si>
  <si>
    <t>東和町米川町144-1番地ため池</t>
  </si>
  <si>
    <t>東和町米川町144-1番地</t>
  </si>
  <si>
    <t>中田町石森字脇谷前49</t>
  </si>
  <si>
    <t>東和町米川大綱木56番地ため池</t>
  </si>
  <si>
    <t>東和町米川大綱木56番地</t>
  </si>
  <si>
    <t>R1白地５号線（土地購入）</t>
  </si>
  <si>
    <t>中田町内</t>
  </si>
  <si>
    <t>東和町米川町下55-1番地ため池</t>
  </si>
  <si>
    <t>東和町米川町下55-1番地</t>
  </si>
  <si>
    <t>東和町米川町下46-1番地ため池</t>
  </si>
  <si>
    <t>東和町米川町下46-1番地</t>
  </si>
  <si>
    <t>R1白地５号線（移転補償）</t>
  </si>
  <si>
    <t>2020/03/05</t>
  </si>
  <si>
    <t>R1白鳥１号線（土地購入）</t>
  </si>
  <si>
    <t>2019/12/16</t>
  </si>
  <si>
    <t>豊里町白鳥</t>
  </si>
  <si>
    <t>東和町米川町裏101-1番地ため池</t>
  </si>
  <si>
    <t>東和町米川町裏101-1番地</t>
  </si>
  <si>
    <t>来京（１）溜池</t>
  </si>
  <si>
    <t>AsyzAP東和町字来京</t>
  </si>
  <si>
    <t>東和町米川小出沢15-1番地ため池</t>
  </si>
  <si>
    <t>東和町米川小出沢15-1番地</t>
  </si>
  <si>
    <t>東和町米谷山桑71番地ため池</t>
  </si>
  <si>
    <t>AsyzAPH27.3.31産業経済部農林政課所管替予定ため池　042120083：山桑（２）溜池</t>
  </si>
  <si>
    <t>東和町米谷山桑71番地</t>
  </si>
  <si>
    <t>南方町下平貝192番地ため池</t>
  </si>
  <si>
    <t>南方町下平貝192番地</t>
  </si>
  <si>
    <t>東和町米谷相川17番地ため池</t>
  </si>
  <si>
    <t>東和町米谷相川17番地</t>
  </si>
  <si>
    <t>R1白鳥１号線（移転補償）</t>
  </si>
  <si>
    <t>2020/03/23</t>
  </si>
  <si>
    <t>東和町米谷根廻143番地ため池</t>
  </si>
  <si>
    <t>東和町米谷根廻143番地</t>
  </si>
  <si>
    <t>石越町東郷蕪木113番地ため池</t>
  </si>
  <si>
    <t>石越町東郷蕪木113番地</t>
  </si>
  <si>
    <t>東和町米谷根廻169番地ため池</t>
  </si>
  <si>
    <t>AsyzAPH27.3.31産業経済部農林政課所管替予定ため池　042120097：根廻溜池</t>
  </si>
  <si>
    <t>東和町米谷根廻169番地</t>
  </si>
  <si>
    <t>R1新北谷地・菱ノ倉線（土地購入）</t>
  </si>
  <si>
    <t>2019/10/18</t>
  </si>
  <si>
    <t>東和町米谷寺沢129番地ため池</t>
  </si>
  <si>
    <t>東和町米谷寺沢129番地</t>
  </si>
  <si>
    <t>東和町米谷天神前31番地ため池</t>
  </si>
  <si>
    <t>東和町米谷天神前31番地</t>
  </si>
  <si>
    <t>登米町大字日根牛新北沢40</t>
  </si>
  <si>
    <t>R4赤坂線（土地購入）</t>
  </si>
  <si>
    <t>2023/09/25</t>
  </si>
  <si>
    <t>迫町新田字菱ノ倉　地内外</t>
  </si>
  <si>
    <t>2023/09/26</t>
  </si>
  <si>
    <t>R1野出来千才線（土地購入）</t>
  </si>
  <si>
    <t>2020/01/14</t>
  </si>
  <si>
    <t>石越町内</t>
  </si>
  <si>
    <t>R1新北谷地・菱ノ倉線（移転補償）</t>
  </si>
  <si>
    <t>2020/03/27</t>
  </si>
  <si>
    <t>R1中沢線（土地購入）</t>
  </si>
  <si>
    <t>東和町米谷平倉86番地ため池</t>
  </si>
  <si>
    <t>東和町米谷平倉86番地</t>
  </si>
  <si>
    <t>南方町大森前125番地ため池</t>
  </si>
  <si>
    <t>南方町大森前125番地</t>
  </si>
  <si>
    <t>東和町米谷宮ヶ沢94番地ため池</t>
  </si>
  <si>
    <t>東和町米谷宮ヶ沢94番地</t>
  </si>
  <si>
    <t>東和町米谷平倉161番地ため池</t>
  </si>
  <si>
    <t>東和町米谷平倉161番地</t>
  </si>
  <si>
    <t>南方町間内前54番地ため池</t>
  </si>
  <si>
    <t>南方町間内前54番地</t>
  </si>
  <si>
    <t>東和町米谷平倉164番地ため池</t>
  </si>
  <si>
    <t>東和町米谷平倉164番地</t>
  </si>
  <si>
    <t>R1中沢線（移転補償）</t>
  </si>
  <si>
    <t>2019/11/29</t>
  </si>
  <si>
    <t>東和町米谷岩沢107-2番地ため池</t>
  </si>
  <si>
    <t>AsyzAPH27.3.31産業経済部農林政課所管替予定ため池　042120085：耳取（２）溜池</t>
  </si>
  <si>
    <t>東和町米谷岩沢107-2番地</t>
  </si>
  <si>
    <t>南方町沼崎53番地ため池</t>
  </si>
  <si>
    <t>南方町沼崎53番地</t>
  </si>
  <si>
    <t>東和町米谷岩沢110-3番地ため池</t>
  </si>
  <si>
    <t>東和町米谷岩沢110-3番地</t>
  </si>
  <si>
    <t>米山ひだまり公園（都市公園）</t>
  </si>
  <si>
    <t>001494:米山ひだまり公園</t>
  </si>
  <si>
    <t>定住促進住宅地造成事業（中津山地区）により都市公園として整備　</t>
  </si>
  <si>
    <t>米山町中津山字筒場埣229-27</t>
  </si>
  <si>
    <t>0180032</t>
  </si>
  <si>
    <t>東和町米谷福平52番地ため池</t>
  </si>
  <si>
    <t>東和町米谷福平52番地</t>
  </si>
  <si>
    <t>東和町米谷福平63番地ため池</t>
  </si>
  <si>
    <t>東和町米谷福平63番地</t>
  </si>
  <si>
    <t>H29浦小路黄牛線土地購入</t>
  </si>
  <si>
    <t>2017/06/01</t>
  </si>
  <si>
    <t>登米町大字日根牛中山</t>
  </si>
  <si>
    <t>R1野出来千才線（移転補償）</t>
  </si>
  <si>
    <t>2019/11/11</t>
  </si>
  <si>
    <t>東和町米谷山桑72番地ため池</t>
  </si>
  <si>
    <t>東和町米谷山桑72番地</t>
  </si>
  <si>
    <t>迫町北方漆沢58番地ため池</t>
  </si>
  <si>
    <t>迫町北方漆沢58番地</t>
  </si>
  <si>
    <t>東和町米谷根廻47番地ため池</t>
  </si>
  <si>
    <t>東和町米谷根廻47番地</t>
  </si>
  <si>
    <t>R1堀米・下川面線（土地購入）</t>
  </si>
  <si>
    <t>中田町浅水</t>
  </si>
  <si>
    <t>東和町米谷寺沢108番地ため池</t>
  </si>
  <si>
    <t>東和町米谷寺沢108番地</t>
  </si>
  <si>
    <t>東和町米谷寺沢110番地ため池</t>
  </si>
  <si>
    <t>東和町米谷寺沢110番地</t>
  </si>
  <si>
    <t>H29遠見台渋江線土地購入</t>
  </si>
  <si>
    <t>2017/05/05</t>
  </si>
  <si>
    <t>登米町日野渡内の目</t>
  </si>
  <si>
    <t>R1堀米・下川面線（移転補償）</t>
  </si>
  <si>
    <t>東和町米谷菅浪102番地ため池</t>
  </si>
  <si>
    <t>東和町米谷菅浪102番地</t>
  </si>
  <si>
    <t>東和町米谷細野180番地ため池</t>
  </si>
  <si>
    <t>東和町米谷細野180番地</t>
  </si>
  <si>
    <t>R1亀ヶ岡・舘野線（土地購入）</t>
  </si>
  <si>
    <t>2020/02/28</t>
  </si>
  <si>
    <t>2018/11/13</t>
  </si>
  <si>
    <t>東和町錦織雷神山32番地ため池</t>
  </si>
  <si>
    <t>東和町錦織雷神山32番地</t>
  </si>
  <si>
    <t>東和町錦織川端91-1番地ため池</t>
  </si>
  <si>
    <t>東和町錦織川端91-1番地</t>
  </si>
  <si>
    <t>H29野出来千才線土地購入</t>
  </si>
  <si>
    <t>石越町南郷字前久保</t>
  </si>
  <si>
    <t>H29白鳥1号線土地購入</t>
  </si>
  <si>
    <t>2017/05/17</t>
  </si>
  <si>
    <t>豊里町白鳥89-11</t>
  </si>
  <si>
    <t>R1西上沢線（土地購入）</t>
  </si>
  <si>
    <t>2019/08/02</t>
  </si>
  <si>
    <t>東和町内</t>
  </si>
  <si>
    <t>東和町錦織洞山18番地ため池</t>
  </si>
  <si>
    <t>東和町錦織洞山18番地</t>
  </si>
  <si>
    <t>南方町実沢157-4番地ため池</t>
  </si>
  <si>
    <t>南方町実沢157-4番地</t>
  </si>
  <si>
    <t>東和町錦織萱野1-1番地ため池</t>
  </si>
  <si>
    <t>AsyzAPH27.3.31産業経済部農林政課所管替予定ため池　042120093：萱野溜池</t>
  </si>
  <si>
    <t>東和町錦織萱野1-1番地</t>
  </si>
  <si>
    <t>沢田７号線</t>
  </si>
  <si>
    <t>2020/08/21</t>
  </si>
  <si>
    <t>2018/12/19</t>
  </si>
  <si>
    <t>南方町松島屋敷130-4</t>
  </si>
  <si>
    <t>東和町米川字四十田27-5</t>
  </si>
  <si>
    <t>東和町米谷字福平52-1</t>
  </si>
  <si>
    <t>迫町北方字天形371</t>
  </si>
  <si>
    <t>迫町北方字榎沢75</t>
  </si>
  <si>
    <t>迫町北方字二分屋敷45-1</t>
  </si>
  <si>
    <t>迫町北方字北観音寺97</t>
  </si>
  <si>
    <t>東和町米川字末田54</t>
  </si>
  <si>
    <t>中田町上沼字新大柳20</t>
  </si>
  <si>
    <t>迫町北方字早稲田86</t>
  </si>
  <si>
    <t>迫町北方字丸森81</t>
  </si>
  <si>
    <t>迫町北方字漆沢58</t>
  </si>
  <si>
    <t>中田町浅水字曲袋南83</t>
  </si>
  <si>
    <t>東和町米谷字福平63-1</t>
  </si>
  <si>
    <t>東和町米谷字根廻47</t>
  </si>
  <si>
    <t>東和町米谷字照井44</t>
  </si>
  <si>
    <t>登米町大字日根牛新五郎峯104</t>
  </si>
  <si>
    <t>迫町北方字永田101</t>
  </si>
  <si>
    <t>迫町北方字永田102</t>
  </si>
  <si>
    <t>迫町新田字大田切46</t>
  </si>
  <si>
    <t>東和町米川字町144-1</t>
  </si>
  <si>
    <t>迫町新田字大浦前22</t>
  </si>
  <si>
    <t>迫町新田字畑中25-1</t>
  </si>
  <si>
    <t>迫町新田字畑中43</t>
  </si>
  <si>
    <t>登米町大字日根牛新峯畑101</t>
  </si>
  <si>
    <t>東和町米川字大綱木16</t>
  </si>
  <si>
    <t>東和町米谷字福平124</t>
  </si>
  <si>
    <t>迫町新田字畑中48</t>
  </si>
  <si>
    <t>豊里こども園</t>
  </si>
  <si>
    <t>001970:豊里こども園</t>
  </si>
  <si>
    <t>1030300000:子育て支援課</t>
  </si>
  <si>
    <t>2017/09/01</t>
  </si>
  <si>
    <t>豊里町小口前73-1</t>
  </si>
  <si>
    <t>0710079</t>
  </si>
  <si>
    <t>迫町新田字鍛治ケ沢30-1</t>
  </si>
  <si>
    <t>用途廃止に伴い410㎡（908,150円）を総務課所管普通財産へ　</t>
  </si>
  <si>
    <t>東和町米谷字新大沢95-2</t>
  </si>
  <si>
    <t>東和町米川字大綱木56</t>
  </si>
  <si>
    <t>2021/03/31</t>
  </si>
  <si>
    <t>中田町石森字前田29</t>
  </si>
  <si>
    <t>米山町桜岡大又184-1番地ため池</t>
  </si>
  <si>
    <t>米山町桜岡大又184-1番地</t>
  </si>
  <si>
    <t>米山町桜岡貝待井51番地ため池</t>
  </si>
  <si>
    <t>米山町桜岡貝待井51番地</t>
  </si>
  <si>
    <t>米山町桜岡貝待井106番地ため池</t>
  </si>
  <si>
    <t>米山町桜岡貝待井106番地</t>
  </si>
  <si>
    <t>米山町善王寺朝来下15番地ため池</t>
  </si>
  <si>
    <t>米山町善王寺朝来下15番地</t>
  </si>
  <si>
    <t>日向１号溜池</t>
  </si>
  <si>
    <t>迫町新田字梅ケ沢43</t>
  </si>
  <si>
    <t>迫町新田字山守屋敷76</t>
  </si>
  <si>
    <t>米山町桜岡貝待井151番地ため池</t>
  </si>
  <si>
    <t>米山町桜岡貝待井151番地</t>
  </si>
  <si>
    <t>迫町新田字井守沢107</t>
  </si>
  <si>
    <t>東和町米川字道木66</t>
  </si>
  <si>
    <t>東和町米谷字福平126</t>
  </si>
  <si>
    <t>迫町新田田上22-1番地ため池</t>
  </si>
  <si>
    <t>AsyzAP042120074：田上２号溜池</t>
  </si>
  <si>
    <t>迫町新田田上22-1番地</t>
  </si>
  <si>
    <t>迫町新田字飯島87</t>
  </si>
  <si>
    <t>迫町新田鍛治ヶ沢45番地ため池</t>
  </si>
  <si>
    <t>迫町新田鍛治ヶ沢45番地</t>
  </si>
  <si>
    <t>東和町米谷字根廻143</t>
  </si>
  <si>
    <t>迫町新田彦道183-1番地ため池</t>
  </si>
  <si>
    <t>AsyzAP042120076：彦道溜池</t>
  </si>
  <si>
    <t>迫町新田彦道183-1番地</t>
  </si>
  <si>
    <t>東和町米川字小出沢15-1</t>
  </si>
  <si>
    <t>迫町新田十五丸33番地ため池</t>
  </si>
  <si>
    <t>AsyzAP042120048：中島（３）溜池</t>
  </si>
  <si>
    <t>迫町新田十五丸33番地</t>
  </si>
  <si>
    <t>迫町新田字南深沢26</t>
  </si>
  <si>
    <t>迫町新田南深沢4番地ため池</t>
  </si>
  <si>
    <t>AsyzAP042120006：南深沢（２）溜池</t>
  </si>
  <si>
    <t>迫町新田南深沢4番地</t>
  </si>
  <si>
    <t>迫町新田字南深沢46-1</t>
  </si>
  <si>
    <t>迫町新田中葉ノ木沢55番地ため池</t>
  </si>
  <si>
    <t>迫町新田中葉ノ木沢55番地</t>
  </si>
  <si>
    <t>南方町三代前179番地ため池</t>
  </si>
  <si>
    <t>AsyzAP042120130：下新山溜池</t>
  </si>
  <si>
    <t>南方町三代前179番地</t>
  </si>
  <si>
    <t>迫町新田菱ノ倉10-1番地ため池</t>
  </si>
  <si>
    <t>迫町新田菱ノ倉10-1番地</t>
  </si>
  <si>
    <t>東和町米谷字福平174</t>
  </si>
  <si>
    <t>迫町新田字台所77</t>
  </si>
  <si>
    <t>迫町新田字下十五丸72</t>
  </si>
  <si>
    <t>米山町桜岡貝待井150-2番地ため池</t>
  </si>
  <si>
    <t>米山町桜岡貝待井150-2番地</t>
  </si>
  <si>
    <t>迫町新田字外沢田27</t>
  </si>
  <si>
    <t>米山町桜岡大又126番地ため池</t>
  </si>
  <si>
    <t>米山町桜岡大又126番地</t>
  </si>
  <si>
    <t>東和町米谷字平倉83</t>
  </si>
  <si>
    <t>迫町新田田上87番地ため池</t>
  </si>
  <si>
    <t>迫町新田田上87番地</t>
  </si>
  <si>
    <t>迫町新田字北深沢206-1</t>
  </si>
  <si>
    <t>東和町錦織字川端125-1</t>
  </si>
  <si>
    <t>2001/03/22</t>
  </si>
  <si>
    <t>迫町新田字日向80</t>
  </si>
  <si>
    <t>迫町新田字小友113</t>
  </si>
  <si>
    <t>AsyzAP所有者：建設省</t>
  </si>
  <si>
    <t>東和町錦織字細野36</t>
  </si>
  <si>
    <t>東和町米谷字平倉86</t>
  </si>
  <si>
    <t>東和町米谷字福平183</t>
  </si>
  <si>
    <t>迫町新田刈又沢69-1番地ため池</t>
  </si>
  <si>
    <t>AsyzAP042120013：横沢（乙）溜池</t>
  </si>
  <si>
    <t>迫町新田刈又沢69-1番地</t>
  </si>
  <si>
    <t>東和町米谷字根廻169</t>
  </si>
  <si>
    <t>東和町米谷字照井64</t>
  </si>
  <si>
    <t>迫町新田字山崎183</t>
  </si>
  <si>
    <t>迫町新田錠穴21番地ため池</t>
  </si>
  <si>
    <t>迫町新田錠穴21番地</t>
  </si>
  <si>
    <t>迫町新田字山田18</t>
  </si>
  <si>
    <t>AsyzAP所有者：佐藤昭司</t>
  </si>
  <si>
    <t>東和町錦織字石沢81</t>
  </si>
  <si>
    <t>迫町新田字狼ノ欠39-1</t>
  </si>
  <si>
    <t>南方町三代前198-1番地ため池</t>
  </si>
  <si>
    <t>AsyzAP042120128：横代溜池</t>
  </si>
  <si>
    <t>南方町三代前198-1番地</t>
  </si>
  <si>
    <t>迫町新田字倉崎194-1</t>
  </si>
  <si>
    <t>迫町新田字深間内45</t>
  </si>
  <si>
    <t>東和町錦織字高城山112</t>
  </si>
  <si>
    <t>東和町米谷字平倉104</t>
  </si>
  <si>
    <t>迫町新田字深間内48</t>
  </si>
  <si>
    <t>迫町新田字山居107</t>
  </si>
  <si>
    <t>東和町錦織字天沼1-1</t>
  </si>
  <si>
    <t>石越町東郷千貫巻149-2番地ため池</t>
  </si>
  <si>
    <t>AsyzAP042120112：五味倉溜池</t>
  </si>
  <si>
    <t>石越町東郷千貫巻149-2番地</t>
  </si>
  <si>
    <t>東和町米谷字福平189</t>
  </si>
  <si>
    <t>迫町新田字滝75-25</t>
  </si>
  <si>
    <t>南方町板ケ沢84</t>
  </si>
  <si>
    <t>迫町新田外沢田59番地ため池</t>
  </si>
  <si>
    <t>迫町新田外沢田59番地</t>
  </si>
  <si>
    <t>南方町大西2</t>
  </si>
  <si>
    <t>東和町錦織字新岩の沢10</t>
  </si>
  <si>
    <t>東和町米谷福平46番地ため池</t>
  </si>
  <si>
    <t>AsyzAP042120086：福平（２）溜池</t>
  </si>
  <si>
    <t>東和町米谷福平46番地</t>
  </si>
  <si>
    <t>迫町新田下葉ノ木沢28番地ため池</t>
  </si>
  <si>
    <t>AsyzAP042120019：下葉の木沢溜池</t>
  </si>
  <si>
    <t>迫町新田下葉ノ木沢28番地</t>
  </si>
  <si>
    <t>南方町大森前125</t>
  </si>
  <si>
    <t>南方町大嶽山55</t>
  </si>
  <si>
    <t>東和町錦織字高城山34</t>
  </si>
  <si>
    <t>南方町大嶽山58-1</t>
  </si>
  <si>
    <t>南方町苔野谷地54-1</t>
  </si>
  <si>
    <t>東和町錦織字高城山35</t>
  </si>
  <si>
    <t>東和町米谷字平倉164</t>
  </si>
  <si>
    <t>石越町北郷九輪堂29番地ため池</t>
  </si>
  <si>
    <t>AsyzAP042120150：野庭前溜池</t>
  </si>
  <si>
    <t>石越町北郷九輪堂29番地</t>
  </si>
  <si>
    <t>東和町米谷字寺沢108</t>
  </si>
  <si>
    <t>迫町新田南深沢29-1番地ため池</t>
  </si>
  <si>
    <t>AsyzAP042120005：南深沢（１）溜池</t>
  </si>
  <si>
    <t>迫町新田南深沢29-1番地</t>
  </si>
  <si>
    <t>石越町東郷大根沢106番地ため池</t>
  </si>
  <si>
    <t>AsyzAP042120115：大根沢（２）溜池</t>
  </si>
  <si>
    <t>石越町東郷大根沢106番地</t>
  </si>
  <si>
    <t>迫町新田舘林67番地ため池</t>
  </si>
  <si>
    <t>迫町新田舘林67番地</t>
  </si>
  <si>
    <t>南方町下新山61</t>
  </si>
  <si>
    <t>迫町新田横沢78番地ため池</t>
  </si>
  <si>
    <t>AsyzAP042120060：横沢４号溜池</t>
  </si>
  <si>
    <t>迫町新田横沢78番地</t>
  </si>
  <si>
    <t>南方町中ノ口174番地ため池</t>
  </si>
  <si>
    <t>AsyzAP042120138：西中の口溜池</t>
  </si>
  <si>
    <t>南方町中ノ口174番地</t>
  </si>
  <si>
    <t>迫町新田横沢1-1番地ため池</t>
  </si>
  <si>
    <t>迫町新田横沢1-1番地</t>
  </si>
  <si>
    <t>東和町錦織字山沢40</t>
  </si>
  <si>
    <t>南方町下平貝11番地ため池</t>
  </si>
  <si>
    <t>南方町下平貝11番地</t>
  </si>
  <si>
    <t>南方町下新山67</t>
  </si>
  <si>
    <t>南方町大上103-1番地ため池番地ため池</t>
  </si>
  <si>
    <t>AsyzAP042120126：滝沢堤</t>
  </si>
  <si>
    <t>南方町大上103-1番地番地</t>
  </si>
  <si>
    <t>南方町中須崎230-1</t>
  </si>
  <si>
    <t>迫町新田堤田6-3番地ため池</t>
  </si>
  <si>
    <t>迫町新田堤田6-3番地</t>
  </si>
  <si>
    <t>迫町新田寺志田24番地ため池</t>
  </si>
  <si>
    <t>迫町新田寺志田24番地</t>
  </si>
  <si>
    <t>迫町新田上大田切15番地ため池</t>
  </si>
  <si>
    <t>迫町新田上大田切15番地</t>
  </si>
  <si>
    <t>東和町米谷字岩の沢93</t>
  </si>
  <si>
    <t>迫町新田刈又沢132番地ため池</t>
  </si>
  <si>
    <t>迫町新田刈又沢132番地</t>
  </si>
  <si>
    <t>迫町新田新板橋1-1番地ため池</t>
  </si>
  <si>
    <t>AsyzAP042120017：上板橋溜池</t>
  </si>
  <si>
    <t>迫町新田新板橋1-1番地</t>
  </si>
  <si>
    <t>迫町新田菱ノ倉22番地ため池</t>
  </si>
  <si>
    <t>迫町新田菱ノ倉22番地</t>
  </si>
  <si>
    <t>東和町錦織字大木沢98</t>
  </si>
  <si>
    <t>迫町新田大久保48番地ため池</t>
  </si>
  <si>
    <t>迫町新田大久保48番地</t>
  </si>
  <si>
    <t>迫町新田山崎4番地ため池</t>
  </si>
  <si>
    <t>迫町新田山崎4番地</t>
  </si>
  <si>
    <t>迫町新田大田切72番地ため池</t>
  </si>
  <si>
    <t>迫町新田大田切72番地</t>
  </si>
  <si>
    <t>東和町米谷字岩の沢107-2</t>
  </si>
  <si>
    <t>迫町新田田上70番地ため池</t>
  </si>
  <si>
    <t>迫町新田田上70番地</t>
  </si>
  <si>
    <t>南方町実沢157-4</t>
  </si>
  <si>
    <t>二百切溜池</t>
  </si>
  <si>
    <t>AsyzAP豊里町大椚</t>
  </si>
  <si>
    <t>南方町実沢173-1</t>
  </si>
  <si>
    <t>迫町新田大浦前43番地ため池</t>
  </si>
  <si>
    <t>迫町新田大浦前43番地</t>
  </si>
  <si>
    <t>東和町錦織字土手外1</t>
  </si>
  <si>
    <t>米山町桜岡今泉88番地ため池</t>
  </si>
  <si>
    <t>米山町桜岡今泉88番地</t>
  </si>
  <si>
    <t>東和町米谷字山桑44</t>
  </si>
  <si>
    <t>東和町米谷字寺沢110</t>
  </si>
  <si>
    <t>迫町新田字上十五丸83</t>
  </si>
  <si>
    <t>東和町米谷岩沢93番地ため池</t>
  </si>
  <si>
    <t>AsyzAP042120084：耳取（１）溜池</t>
  </si>
  <si>
    <t>東和町米谷岩沢93番地</t>
  </si>
  <si>
    <t>迫町新田字南深沢12</t>
  </si>
  <si>
    <t>東和町米谷字宮ケ沢94</t>
  </si>
  <si>
    <t>米山町桜岡大又159-1番地ため池</t>
  </si>
  <si>
    <t>米山町桜岡大又159-1番地</t>
  </si>
  <si>
    <t>迫町新田小待井19番地ため池</t>
  </si>
  <si>
    <t>迫町新田小待井19番地</t>
  </si>
  <si>
    <t>迫町北方新三ツ目沢41番地ため池</t>
  </si>
  <si>
    <t>迫町北方新三ツ目沢41番地</t>
  </si>
  <si>
    <t>米山町善王寺森ノ腰143番地ため池</t>
  </si>
  <si>
    <t>米山町善王寺森ノ腰143番地</t>
  </si>
  <si>
    <t>石越町南郷田上47番地ため池</t>
  </si>
  <si>
    <t>AsyzAP042120110：日向溜池</t>
  </si>
  <si>
    <t>石越町南郷田上47番地</t>
  </si>
  <si>
    <t>石越町東郷苦木115-1番地ため池</t>
  </si>
  <si>
    <t>石越町東郷苦木115-1番地</t>
  </si>
  <si>
    <t>刈又沢（２）溜池</t>
  </si>
  <si>
    <t>AsyzAP迫町新田字板橋</t>
  </si>
  <si>
    <t>石越町東郷十八引129-1番地ため池</t>
  </si>
  <si>
    <t>AsyzAP042120107：十八引溜池</t>
  </si>
  <si>
    <t>石越町東郷十八引129-1番地</t>
  </si>
  <si>
    <t>東和町錦織新岩の沢10番地ため池</t>
  </si>
  <si>
    <t>東和町錦織新岩の沢10番地</t>
  </si>
  <si>
    <t>迫町新田山崎196番地ため池</t>
  </si>
  <si>
    <t>迫町新田山崎196番地</t>
  </si>
  <si>
    <t>迫町新田南深沢6-1番地ため池</t>
  </si>
  <si>
    <t>迫町新田南深沢6-1番地</t>
  </si>
  <si>
    <t>石越町東郷大根沢47番地ため池</t>
  </si>
  <si>
    <t>AsyzAP042120108：不動沢溜池</t>
  </si>
  <si>
    <t>石越町東郷大根沢47番地</t>
  </si>
  <si>
    <t>東和町米谷福平192番地ため池</t>
  </si>
  <si>
    <t>東和町米谷福平192番地</t>
  </si>
  <si>
    <t>南方町中須崎224番地ため池</t>
  </si>
  <si>
    <t>南方町中須崎224番地</t>
  </si>
  <si>
    <t>東和町米川末田54番地ため池</t>
  </si>
  <si>
    <t>東和町米川末田54番地</t>
  </si>
  <si>
    <t>東和町米川西綱木1-1番地ため池</t>
  </si>
  <si>
    <t>東和町米川西綱木1-1番地</t>
  </si>
  <si>
    <t>東和町米川町裏21-2番地ため池</t>
  </si>
  <si>
    <t>東和町米川町裏21-2番地</t>
  </si>
  <si>
    <t>南方町板ケ沢78番地ため池番地ため池</t>
  </si>
  <si>
    <t>南方町板ケ沢78番地番地</t>
  </si>
  <si>
    <t>東和町錦織山居沢47番地ため池</t>
  </si>
  <si>
    <t>東和町錦織山居沢47番地</t>
  </si>
  <si>
    <t>東和町錦織山居沢38番地ため池</t>
  </si>
  <si>
    <t>東和町錦織山居沢38番地</t>
  </si>
  <si>
    <t>東和町錦織畑ノ沢181番地ため池</t>
  </si>
  <si>
    <t>東和町錦織畑ノ沢181番地</t>
  </si>
  <si>
    <t>東和町錦織土手外137番地ため池</t>
  </si>
  <si>
    <t>東和町錦織土手外137番地</t>
  </si>
  <si>
    <t>東和町錦織大木沢108番地ため池</t>
  </si>
  <si>
    <t>東和町錦織大木沢108番地</t>
  </si>
  <si>
    <t>東和町錦織山沢58番地ため池</t>
  </si>
  <si>
    <t>東和町錦織山沢58番地</t>
  </si>
  <si>
    <t>東和町錦織山沢40番地ため池</t>
  </si>
  <si>
    <t>東和町錦織山沢40番地</t>
  </si>
  <si>
    <t>館林（４）溜池</t>
  </si>
  <si>
    <t>東和町錦織天沼1-1番地ため池</t>
  </si>
  <si>
    <t>AsyzAPH27.3.31産業経済部農林政課所管替予定ため池　042120091：天沼（１）溜池</t>
  </si>
  <si>
    <t>東和町錦織天沼1-1番地</t>
  </si>
  <si>
    <t>東和町錦織細野36番地ため池</t>
  </si>
  <si>
    <t>東和町錦織細野36番地</t>
  </si>
  <si>
    <t>東和町錦織土手外1番地ため池</t>
  </si>
  <si>
    <t>東和町錦織土手外1番地</t>
  </si>
  <si>
    <t>東和町錦織石沢81番地ため池</t>
  </si>
  <si>
    <t>東和町錦織石沢81番地</t>
  </si>
  <si>
    <t>大泉・小名倉線</t>
  </si>
  <si>
    <t>2021/03/26</t>
  </si>
  <si>
    <t>2019/02/28</t>
  </si>
  <si>
    <t>中田町上沼字大泉天神山106-2</t>
  </si>
  <si>
    <t>東和町錦織高城山35番地ため池</t>
  </si>
  <si>
    <t>東和町錦織高城山35番地</t>
  </si>
  <si>
    <t>境田溜池</t>
  </si>
  <si>
    <t>AsyzAP迫町新田字菱ノ倉</t>
  </si>
  <si>
    <t>東和町錦織川端125-1番地ため池</t>
  </si>
  <si>
    <t>東和町錦織川端125-1番地</t>
  </si>
  <si>
    <t>R2赤坂線（土地購入）</t>
  </si>
  <si>
    <t>2020/12/01</t>
  </si>
  <si>
    <t>迫町新田字山守屋敷120-2</t>
  </si>
  <si>
    <t>H29川面・高石線土地購入</t>
  </si>
  <si>
    <t>2017/06/14</t>
  </si>
  <si>
    <t>南方町新中山</t>
  </si>
  <si>
    <t>R2石打坂・一ツ塚線（土地購入）</t>
  </si>
  <si>
    <t>2021/03/01</t>
  </si>
  <si>
    <t>迫町北方字新八ノ森前113-1</t>
  </si>
  <si>
    <t>東和町錦織高城山34番地ため池</t>
  </si>
  <si>
    <t>東和町錦織高城山34番地</t>
  </si>
  <si>
    <t>R2新中道4号線（土地購入）</t>
  </si>
  <si>
    <t>迫町北方字別当</t>
  </si>
  <si>
    <t>H29藤渡戸線土地購入</t>
  </si>
  <si>
    <t>2018/03/14</t>
  </si>
  <si>
    <t>米山町西野字藤渡戸</t>
  </si>
  <si>
    <t>R2新中道4号線（移転補償）</t>
  </si>
  <si>
    <t>2020/09/30</t>
  </si>
  <si>
    <t>R2瀬ヶ崎・萩洗線（土地購入）</t>
  </si>
  <si>
    <t>登米町大字日根牛新北沢45</t>
  </si>
  <si>
    <t>H29下道・大柳線土地購入</t>
  </si>
  <si>
    <t>2017/09/19</t>
  </si>
  <si>
    <t>H29川戸沼線土地購入</t>
  </si>
  <si>
    <t>迫町北方字大洞</t>
  </si>
  <si>
    <t>R2梅ノ木・平柳線（土地購入）</t>
  </si>
  <si>
    <t>2021/03/19</t>
  </si>
  <si>
    <t>迫町佐沼字新駒木袋</t>
  </si>
  <si>
    <t>東和町錦織山居沢42-1番地ため池</t>
  </si>
  <si>
    <t>東和町錦織山居沢42-1番地</t>
  </si>
  <si>
    <t>R2梅ノ木・平柳線（移転補償）</t>
  </si>
  <si>
    <t>R2公民館東線（移転補償）</t>
  </si>
  <si>
    <t>2020/09/25</t>
  </si>
  <si>
    <t>迫町新田対馬50-1番地ため池</t>
  </si>
  <si>
    <t>AsyzAP042120020：対馬溜池</t>
  </si>
  <si>
    <t>迫町新田対馬50-1番地</t>
  </si>
  <si>
    <t>R2軍場線（土地購入）</t>
  </si>
  <si>
    <t>2020/12/10</t>
  </si>
  <si>
    <t>登米町日野渡軍場</t>
  </si>
  <si>
    <t>H29公民館東線土地購入</t>
  </si>
  <si>
    <t>R2軍場線（移転補償）</t>
  </si>
  <si>
    <t>東和町米谷福平24番地ため池</t>
  </si>
  <si>
    <t>東和町米谷福平24番地</t>
  </si>
  <si>
    <t>R2辺室山中道線（土地購入）</t>
  </si>
  <si>
    <t>登米町寺池辺室山</t>
  </si>
  <si>
    <t>H29駒木・赤沼線土地購入</t>
  </si>
  <si>
    <t>R2辺室山中道線（移転補償）</t>
  </si>
  <si>
    <t>2021/02/25</t>
  </si>
  <si>
    <t>R2米袋線（土地購入）</t>
  </si>
  <si>
    <t>2020/11/27</t>
  </si>
  <si>
    <t>H29梅ノ木・平柳線土地購入</t>
  </si>
  <si>
    <t>迫町佐沼字北散田</t>
  </si>
  <si>
    <t>H29天神前2号線土地購入</t>
  </si>
  <si>
    <t>迫町佐沼字天神前</t>
  </si>
  <si>
    <t>R2米袋線（移転補償）</t>
  </si>
  <si>
    <t>2020/11/05</t>
  </si>
  <si>
    <t>東和町米谷字天神前31</t>
  </si>
  <si>
    <t>R2上の山・黄牛線（移転補償）</t>
  </si>
  <si>
    <t>R2永田・板倉線（土地購入）</t>
  </si>
  <si>
    <t>2021/02/12</t>
  </si>
  <si>
    <t>迫町北方字新永田前</t>
  </si>
  <si>
    <t>迫町新田字舘林72</t>
  </si>
  <si>
    <t>R2北大畑3号線（土地購入）</t>
  </si>
  <si>
    <t>2021/03/16</t>
  </si>
  <si>
    <t>南方町大畑</t>
  </si>
  <si>
    <t>H29新小路・山崎線土地購入</t>
  </si>
  <si>
    <t>東和町米谷字天神峯</t>
  </si>
  <si>
    <t>用悪水路（南方町細川地内）</t>
  </si>
  <si>
    <t>南方町細川</t>
  </si>
  <si>
    <t>1275</t>
  </si>
  <si>
    <t>東和町米谷字岩の沢110-3</t>
  </si>
  <si>
    <t>南方町実沢154-2</t>
  </si>
  <si>
    <t>R2北大畑3号線（移転補償）</t>
  </si>
  <si>
    <t>2021/03/15</t>
  </si>
  <si>
    <t>東和町錦織字大木沢124</t>
  </si>
  <si>
    <t>南方町実沢156-1</t>
  </si>
  <si>
    <t>東和町米谷字楼台92</t>
  </si>
  <si>
    <t>東和町米谷字楼台94</t>
  </si>
  <si>
    <t>H29野出来千才線（土地購入）</t>
  </si>
  <si>
    <t>R2支所線（土地購入）</t>
  </si>
  <si>
    <t>2021/02/08</t>
  </si>
  <si>
    <t>迫町新田字山守屋敷211</t>
  </si>
  <si>
    <t>H29沢田3号線土地購入</t>
  </si>
  <si>
    <t>迫町新田字駒林</t>
  </si>
  <si>
    <t>東和町錦織字大木沢108</t>
  </si>
  <si>
    <t>南方町間内前54</t>
  </si>
  <si>
    <t>南方町沼崎53</t>
  </si>
  <si>
    <t>南方町沼崎50</t>
  </si>
  <si>
    <t>南方町中須崎238</t>
  </si>
  <si>
    <t>東和町米谷字福平197</t>
  </si>
  <si>
    <t>H29駒木1号線土地購入</t>
  </si>
  <si>
    <t>迫町佐沼字駒木袋106</t>
  </si>
  <si>
    <t>東和町錦織字山沢58</t>
  </si>
  <si>
    <t>迫町北方字榎沢154</t>
  </si>
  <si>
    <t>迫町北方字漆沢52</t>
  </si>
  <si>
    <t>H29的場2号線土地購入</t>
  </si>
  <si>
    <t>米山町中津山字的場39-4</t>
  </si>
  <si>
    <t>南方町中須崎36</t>
  </si>
  <si>
    <t>迫町新田字十五丸26</t>
  </si>
  <si>
    <t>H29八丁田待井・亀ヶ下線土地購入</t>
  </si>
  <si>
    <t>登米町寺池八丁田待井</t>
  </si>
  <si>
    <t>H29三沼線土地購入</t>
  </si>
  <si>
    <t>迫町北方字石打坂85-1</t>
  </si>
  <si>
    <t>南方町外浦61</t>
  </si>
  <si>
    <t>東和町米谷字菅浪102</t>
  </si>
  <si>
    <t>東和町錦織字山沢34</t>
  </si>
  <si>
    <t>南方町下平貝304</t>
  </si>
  <si>
    <t>南方町下平貝259</t>
  </si>
  <si>
    <t>南方町下平貝192</t>
  </si>
  <si>
    <t>H29東待井下2号線土地購入</t>
  </si>
  <si>
    <t>石越高森公園</t>
  </si>
  <si>
    <t>001792:パークゴルフ場整備用地</t>
  </si>
  <si>
    <t>石越町南郷字高森280</t>
  </si>
  <si>
    <t>0301:所管換</t>
  </si>
  <si>
    <t>0440022</t>
  </si>
  <si>
    <t>東和町米谷字福平192</t>
  </si>
  <si>
    <t>石越町南郷字高森303-11</t>
  </si>
  <si>
    <t>0210023</t>
  </si>
  <si>
    <t>H29迫・石越地区（きめ細）土地購入</t>
  </si>
  <si>
    <t>迫町新田字狼ノ欠58-2</t>
  </si>
  <si>
    <t>石越町南郷字高森302-9</t>
  </si>
  <si>
    <t>石越町南郷字高森178-1</t>
  </si>
  <si>
    <t>登米町大字日根牛新北沢42</t>
  </si>
  <si>
    <t>H29桜岡善王寺境線土地購入</t>
  </si>
  <si>
    <t>米山町字善王寺相ノ田</t>
  </si>
  <si>
    <t>H29下在線（物件移転補償費）</t>
  </si>
  <si>
    <t>津山町柳津字茶臼</t>
  </si>
  <si>
    <t>石越町南郷字高森274</t>
  </si>
  <si>
    <t>東和町米谷字平倉163</t>
  </si>
  <si>
    <t>石越町南郷字高森283</t>
  </si>
  <si>
    <t>石越町南郷字高森282</t>
  </si>
  <si>
    <t>東和町錦織字岩ノ沢204</t>
  </si>
  <si>
    <t>筒場埣６号線（測量）</t>
  </si>
  <si>
    <t>住宅都市整備課宅地造成事業にて測量　</t>
  </si>
  <si>
    <t>2401:新規（本勘定振替）</t>
  </si>
  <si>
    <t>筒場埣７号線（測量）</t>
  </si>
  <si>
    <t>2019/03/05</t>
  </si>
  <si>
    <t>筒場埣８号線（測量）</t>
  </si>
  <si>
    <t>迫町北方字大洞63-4</t>
  </si>
  <si>
    <t>H30東待井下２号線（用地測量）</t>
  </si>
  <si>
    <t>東和町米川字六反146</t>
  </si>
  <si>
    <t>R2大沢長久保線（用地測量）</t>
  </si>
  <si>
    <t>2021/03/25</t>
  </si>
  <si>
    <t>迫町北方字相ケ沢75</t>
  </si>
  <si>
    <t>R1浅水・登米線整備事業</t>
  </si>
  <si>
    <t>2019/02/13</t>
  </si>
  <si>
    <t>H28長橋成沢線（土地購入）</t>
  </si>
  <si>
    <t>2019/02/12</t>
  </si>
  <si>
    <t>移転補償込み　</t>
  </si>
  <si>
    <t>登米町小島長橋</t>
  </si>
  <si>
    <t>H28浦小路黄牛線（土地購入）</t>
  </si>
  <si>
    <t>測量・移転補償込み　</t>
  </si>
  <si>
    <t>登米町大字日根牛浦小路</t>
  </si>
  <si>
    <t>迫町新田字畑中44</t>
  </si>
  <si>
    <t>R2遠見台渋江線（移転補償）</t>
  </si>
  <si>
    <t>2021/01/19</t>
  </si>
  <si>
    <t>迫町新田字畑中49</t>
  </si>
  <si>
    <t>迫町新田字梅ケ沢39</t>
  </si>
  <si>
    <t>迫町北方新三ツ目沢57番地ため池</t>
  </si>
  <si>
    <t>AsyzAP042120002：三ツ目沢溜池</t>
  </si>
  <si>
    <t>迫町北方新三ツ目沢57番地</t>
  </si>
  <si>
    <t>R2下在線（用地測量）</t>
  </si>
  <si>
    <t>2021/02/26</t>
  </si>
  <si>
    <t>H28川面・高石線土地購入</t>
  </si>
  <si>
    <t>2019/02/19</t>
  </si>
  <si>
    <t>H28H29峯前子線（土地購入）</t>
  </si>
  <si>
    <t>米山町字桜岡峯前子</t>
  </si>
  <si>
    <t>迫町新田字高森40</t>
  </si>
  <si>
    <t>H28筒場埣２号線（土地購入）</t>
  </si>
  <si>
    <t>測量込み　</t>
  </si>
  <si>
    <t>迫町新田字飯島21</t>
  </si>
  <si>
    <t>迫町新田字大沢6</t>
  </si>
  <si>
    <t>迫町新田字寺志田30</t>
  </si>
  <si>
    <t>迫町新田字寺志田93</t>
  </si>
  <si>
    <t>東和町錦織字雷神山6-2</t>
  </si>
  <si>
    <t>迫町新田字台所60</t>
  </si>
  <si>
    <t>東和町錦織字雷神山32</t>
  </si>
  <si>
    <t>石越町南郷字高森245-1</t>
  </si>
  <si>
    <t>AsyzAP耕地整理換地により清水上徳三郎宅前に移転</t>
  </si>
  <si>
    <t>東和町錦織字小童子21</t>
  </si>
  <si>
    <t>迫町新田字中葉木沢42</t>
  </si>
  <si>
    <t>迫町新田字上立戸147</t>
  </si>
  <si>
    <t>石越町南郷字高森281</t>
  </si>
  <si>
    <t>石越町南郷字高森179-13</t>
  </si>
  <si>
    <t>石越町南郷字高森321-4</t>
  </si>
  <si>
    <t>南方町外浦12</t>
  </si>
  <si>
    <t>石越町南郷字高森307-2</t>
  </si>
  <si>
    <t>迫町新田字大形160</t>
  </si>
  <si>
    <t>石越町南郷字高森148-1</t>
  </si>
  <si>
    <t>東和町錦織字洞山18</t>
  </si>
  <si>
    <t>石越町南郷字高森311</t>
  </si>
  <si>
    <t>石越町南郷字高森308-3</t>
  </si>
  <si>
    <t>石越町南郷字高森308-1</t>
  </si>
  <si>
    <t>H29新堀2号線（物件移転補償費）</t>
  </si>
  <si>
    <t>中田町石森字茶畑</t>
  </si>
  <si>
    <t>石越町南郷字高森321-3</t>
  </si>
  <si>
    <t>東和町米谷字平倉161</t>
  </si>
  <si>
    <t>石越町南郷字高森314-19</t>
  </si>
  <si>
    <t>H29石打坂・西舘線（物件移転補償費）</t>
  </si>
  <si>
    <t>関連伝票：0090445001　</t>
  </si>
  <si>
    <t>迫町北方字日向前</t>
  </si>
  <si>
    <t>H30浅水・登米線（土地購入）</t>
  </si>
  <si>
    <t>H30穴山・南大畑線（移転補償）</t>
  </si>
  <si>
    <t>伝票：81496-001、002　</t>
  </si>
  <si>
    <t>石越町南郷字高森314-1</t>
  </si>
  <si>
    <t>石越町南郷字高森140</t>
  </si>
  <si>
    <t>H30穴山・南大畑線（土地購入）</t>
  </si>
  <si>
    <t>伝票：81493-001　</t>
  </si>
  <si>
    <t>石越町南郷字高森314-18</t>
  </si>
  <si>
    <t>H30荒戸沢線（移転補償）</t>
  </si>
  <si>
    <t>東和町米谷字楼台93</t>
  </si>
  <si>
    <t>H30荒戸沢線（土地購入）</t>
  </si>
  <si>
    <t>H30石打坂・一ツ塚線（移転補償）</t>
  </si>
  <si>
    <t>迫町北方字石打坂</t>
  </si>
  <si>
    <t>石越町南郷字高森100</t>
  </si>
  <si>
    <t>H29蛭沢いたち沢線土地購入</t>
  </si>
  <si>
    <t>002030:蛭沢いたち沢線</t>
  </si>
  <si>
    <t>登米町日野渡鼬沢</t>
  </si>
  <si>
    <t>2000/11/08</t>
  </si>
  <si>
    <t>0750013</t>
  </si>
  <si>
    <t>東和町米谷字新大沢96-1</t>
  </si>
  <si>
    <t>0790168</t>
  </si>
  <si>
    <t>H30石打坂・一ツ塚線（土地購入）</t>
  </si>
  <si>
    <t>東和町米谷字平倉43</t>
  </si>
  <si>
    <t>H30瀬ヶ崎・萩洗線（移転補償）</t>
  </si>
  <si>
    <t>米山町中津山字小深</t>
  </si>
  <si>
    <t>H30瀬ヶ崎・萩洗線（土地購入）</t>
  </si>
  <si>
    <t>H30駅前油島線（移転補償）</t>
  </si>
  <si>
    <t>石越町南郷字西門沖</t>
  </si>
  <si>
    <t>R2亀ヶ岡・舘野線（用地測量）</t>
  </si>
  <si>
    <t>2021/03/30</t>
  </si>
  <si>
    <t>H28下道・大柳線土地購入</t>
  </si>
  <si>
    <t>2019/03/27</t>
  </si>
  <si>
    <t>移転補償込み。前払金のため面積はH29購入分に計上。　</t>
  </si>
  <si>
    <t>H30駅前油島線（土地購入）</t>
  </si>
  <si>
    <t>H28H29峯前子線（移転補償）</t>
  </si>
  <si>
    <t>H30大沢長久保線（移転補償）</t>
  </si>
  <si>
    <t>東和町米谷字長円田</t>
  </si>
  <si>
    <t>H30大沢長久保線（土地購入）</t>
  </si>
  <si>
    <t>H30駒木・赤沼線（移転補償）</t>
  </si>
  <si>
    <t>迫町佐沼字南駒木袋</t>
  </si>
  <si>
    <t>R2遠見台渋江線（用地測量）</t>
  </si>
  <si>
    <t>米山ひだまり公園（測量）</t>
  </si>
  <si>
    <t>R2遠見台渋江線（土地購入）</t>
  </si>
  <si>
    <t>H30白鳥1号線（移転補償）</t>
  </si>
  <si>
    <t>H29西門新田線土地購入</t>
  </si>
  <si>
    <t>2019/03/07</t>
  </si>
  <si>
    <t>分筆測量含む　</t>
  </si>
  <si>
    <t>石越町南郷字峯</t>
  </si>
  <si>
    <t>H30白鳥1号線（土地購入）</t>
  </si>
  <si>
    <t>H30新北谷地・菱ノ倉線（移転補償）</t>
  </si>
  <si>
    <t>迫町新田字倉崎</t>
  </si>
  <si>
    <t>H30新北谷地・菱ノ倉線（土地購入）</t>
  </si>
  <si>
    <t>R2駒木・赤沼線（用地測量）</t>
  </si>
  <si>
    <t>2021/03/10</t>
  </si>
  <si>
    <t>蛭沢いたち沢線（H28購入分）</t>
  </si>
  <si>
    <t>H30新田駅前・山ノ神線（移転補償）</t>
  </si>
  <si>
    <t>迫町新田字狼ノ欠</t>
  </si>
  <si>
    <t>H28H29峯前子線（用地測量）</t>
  </si>
  <si>
    <t>H30新田駅前・山ノ神線（土地購入）</t>
  </si>
  <si>
    <t>中田弥勒公園</t>
  </si>
  <si>
    <t>001559:中田弥勒公園</t>
  </si>
  <si>
    <t>中田町上沼字弥勒寺大下120</t>
  </si>
  <si>
    <t>0210008</t>
  </si>
  <si>
    <t>R5赤坂線（移転補償）</t>
  </si>
  <si>
    <t>2024/03/13</t>
  </si>
  <si>
    <t>2024/08/08</t>
  </si>
  <si>
    <t>迫町新田字上大田切　地内外</t>
  </si>
  <si>
    <t>30:突合</t>
  </si>
  <si>
    <t>01:新規</t>
  </si>
  <si>
    <t>08</t>
  </si>
  <si>
    <t>02</t>
  </si>
  <si>
    <t>03</t>
  </si>
  <si>
    <t>000</t>
  </si>
  <si>
    <t>510050666</t>
  </si>
  <si>
    <t>12:式</t>
  </si>
  <si>
    <t>付随費用（登記費用）米山町中津山字猪込地内分筆登記業務</t>
  </si>
  <si>
    <t>002650:付随費用</t>
  </si>
  <si>
    <t>2023/07/28</t>
  </si>
  <si>
    <t>AsyzAP米山町中津山字猪込地内分筆登記業務</t>
  </si>
  <si>
    <t>米山町中津山字猪込540-2、541-2</t>
  </si>
  <si>
    <t>510023569</t>
  </si>
  <si>
    <t>19:件</t>
  </si>
  <si>
    <t>迫町北方大洞36-4番地ため池</t>
  </si>
  <si>
    <t>迫町北方大洞36-4番地</t>
  </si>
  <si>
    <t>R3堀米・下川面線（土地購入）</t>
  </si>
  <si>
    <t>2021/12/08</t>
  </si>
  <si>
    <t>公衆道路用地</t>
  </si>
  <si>
    <t>中田町浅水字上川面　地内外</t>
  </si>
  <si>
    <t>2021</t>
  </si>
  <si>
    <t>2021/12/17</t>
  </si>
  <si>
    <t>510013772</t>
  </si>
  <si>
    <t>AsyzAP公衆道路用地 PPP元キー:00000001-0000008576-1</t>
  </si>
  <si>
    <t>迫町北方榎沢75番地ため池</t>
  </si>
  <si>
    <t>迫町北方榎沢75番地</t>
  </si>
  <si>
    <t>2023/11/15</t>
  </si>
  <si>
    <t>AsyzAP【登記地目】【現況地目】【登記地積】【現況地積】修正　R4整備時に事業用→インフラへ修正</t>
  </si>
  <si>
    <t xml:space="preserve">迫町北方字川戸沼20-1 </t>
  </si>
  <si>
    <t>R4永田・板倉線（土地購入）</t>
  </si>
  <si>
    <t>2022/06/21</t>
  </si>
  <si>
    <t>AsyzAP公衆道路用地</t>
  </si>
  <si>
    <t>南方町新作田 地内外</t>
  </si>
  <si>
    <t>2022/07/01</t>
  </si>
  <si>
    <t>510012652</t>
  </si>
  <si>
    <t>東和錦織公園</t>
  </si>
  <si>
    <t>001558:東和錦織公園</t>
  </si>
  <si>
    <t>東和町錦織字山居沢94-1</t>
  </si>
  <si>
    <t>0210007</t>
  </si>
  <si>
    <t>R3黄牛線（移転補償）</t>
  </si>
  <si>
    <t>2021/05/28</t>
  </si>
  <si>
    <t>2021/06/18</t>
  </si>
  <si>
    <t>510018254</t>
  </si>
  <si>
    <t>AsyzAP公衆道路用地 PPP元キー:00000001-0000008590-1</t>
  </si>
  <si>
    <t>R3新北谷地菱ノ倉線（移転補償）</t>
  </si>
  <si>
    <t>2021/08/10</t>
  </si>
  <si>
    <t>2021/08/27</t>
  </si>
  <si>
    <t>510022684</t>
  </si>
  <si>
    <t>AsyzAP公衆道路用地 PPP元キー:00000001-0000008591-1</t>
  </si>
  <si>
    <t>中田大手口つり公園</t>
  </si>
  <si>
    <t>001562:中田大手口つり公園</t>
  </si>
  <si>
    <t>中田町上沼字新内ノ目10</t>
  </si>
  <si>
    <t>1972/08/29</t>
  </si>
  <si>
    <t>0210011</t>
  </si>
  <si>
    <t>登米市南方町松島屋敷162番11</t>
  </si>
  <si>
    <t>2022/12/04</t>
  </si>
  <si>
    <t>02:寄付</t>
  </si>
  <si>
    <t>AsyzAP【901-123-1】より分筆</t>
  </si>
  <si>
    <t>迫町北方字川戸沼20-3</t>
  </si>
  <si>
    <t>R4北大畑３号線（移転補償）</t>
  </si>
  <si>
    <t>2022/09/02</t>
  </si>
  <si>
    <t>2022/09/16</t>
  </si>
  <si>
    <t>510017228</t>
  </si>
  <si>
    <t>観光駐車場</t>
  </si>
  <si>
    <t>002106:旧壱番館</t>
  </si>
  <si>
    <t>2022/06/24</t>
  </si>
  <si>
    <t>AsyzAP警察資料館整備事業に係る土地開発基金からの土地取得費</t>
  </si>
  <si>
    <t>登米町寺池中町1、3-2</t>
  </si>
  <si>
    <t>07</t>
  </si>
  <si>
    <t>002</t>
  </si>
  <si>
    <t>510021993</t>
  </si>
  <si>
    <t>迫町北方早稲田86番地ため池</t>
  </si>
  <si>
    <t>迫町北方早稲田86番地</t>
  </si>
  <si>
    <t>田（登米町登米字寺池目子待井233番2）</t>
  </si>
  <si>
    <t>002280:田</t>
  </si>
  <si>
    <t>2023/06/14</t>
  </si>
  <si>
    <t>登米町登米字寺池目子待井233番2</t>
  </si>
  <si>
    <t>付随費用（測量費等）境界測量及び地積測量図作成業務（石越）</t>
  </si>
  <si>
    <t>2022/03/31</t>
  </si>
  <si>
    <t>AsyzAP境界測量及び地積測量図作成業務</t>
  </si>
  <si>
    <t>2022/04/15</t>
  </si>
  <si>
    <t>510078894</t>
  </si>
  <si>
    <t>中田長谷山公園</t>
  </si>
  <si>
    <t>001560:中田長谷山公園</t>
  </si>
  <si>
    <t>中田町浅水字長谷山309-1</t>
  </si>
  <si>
    <t>0210009</t>
  </si>
  <si>
    <t>AsyzAPR5整備時調査判明</t>
  </si>
  <si>
    <t>迫町新田字狼ノ欠20-432</t>
  </si>
  <si>
    <t>1:開始資産</t>
  </si>
  <si>
    <t>03:所管換え主管課</t>
  </si>
  <si>
    <t>1601:分割（増）</t>
  </si>
  <si>
    <t>0750010</t>
  </si>
  <si>
    <t>長沼フートピア公園</t>
  </si>
  <si>
    <t>001552:長沼フートピア公園</t>
  </si>
  <si>
    <t>迫町北方字天形114-2</t>
  </si>
  <si>
    <t>1501:併合（減）</t>
  </si>
  <si>
    <t>0210001</t>
  </si>
  <si>
    <t>迫町北方字天形161-90</t>
  </si>
  <si>
    <t>登米市豊里町鳥越43番4</t>
  </si>
  <si>
    <t>2023/01/30</t>
  </si>
  <si>
    <t>R4上の山・黄牛線（土地購入）</t>
  </si>
  <si>
    <t>2023/01/26</t>
  </si>
  <si>
    <t>津山町横山字上の山　地内</t>
  </si>
  <si>
    <t>2023/02/17</t>
  </si>
  <si>
    <t>011</t>
  </si>
  <si>
    <t>510061905</t>
  </si>
  <si>
    <t>迫町北方天形371番地ため池</t>
  </si>
  <si>
    <t>迫町北方天形371番地</t>
  </si>
  <si>
    <t>R4北大畑３号線（土地購入）</t>
  </si>
  <si>
    <t>2022/09/05</t>
  </si>
  <si>
    <t>510017229</t>
  </si>
  <si>
    <t>付随費用（登記費用）米山町中津山字粟ケ崎８３番分筆登記業務</t>
  </si>
  <si>
    <t>2023/07/21</t>
  </si>
  <si>
    <t>AsyzAP米山町中津山字粟ケ崎８３番分筆登記業務</t>
  </si>
  <si>
    <t>米山町中津山字粟ケ崎83</t>
  </si>
  <si>
    <t>510023263</t>
  </si>
  <si>
    <t>迫町北方字天形273-9</t>
  </si>
  <si>
    <t>迫町北方字天形161-86</t>
  </si>
  <si>
    <t>R3北大畑３号線（移転補償）</t>
  </si>
  <si>
    <t>2021/07/19</t>
  </si>
  <si>
    <t>2021/08/13</t>
  </si>
  <si>
    <t>510013776</t>
  </si>
  <si>
    <t>AsyzAP公衆道路用地 PPP元キー:00000001-0000008589-1</t>
  </si>
  <si>
    <t>R3北大畑3号線（土地購入）</t>
  </si>
  <si>
    <t>2021/07/29</t>
  </si>
  <si>
    <t>510013775</t>
  </si>
  <si>
    <t>AsyzAP公衆道路用地 PPP元キー:00000001-0000008571-1</t>
  </si>
  <si>
    <t>R3赤坂線（移転補償）</t>
  </si>
  <si>
    <t>2022/01/05</t>
  </si>
  <si>
    <t>迫町新田字山守屋敷　地内</t>
  </si>
  <si>
    <t>2022/01/21</t>
  </si>
  <si>
    <t>510013760</t>
  </si>
  <si>
    <t>AsyzAP PPP元キー:00000001-0000008587-1</t>
  </si>
  <si>
    <t>東和若草山公園</t>
  </si>
  <si>
    <t>001557:東和若草山公園</t>
  </si>
  <si>
    <t>東和町米川字東綱木32-1</t>
  </si>
  <si>
    <t>0210006</t>
  </si>
  <si>
    <t>東和町米川字六反137番4</t>
  </si>
  <si>
    <t>002139:畑</t>
  </si>
  <si>
    <t>2024/02/21</t>
  </si>
  <si>
    <t>付随費用（登記費用）登米市南方町大嶽地内未登記土地分筆登記業務</t>
  </si>
  <si>
    <t>2024/03/22</t>
  </si>
  <si>
    <t>AsyzAP登米市南方町大嶽地内未登記土地分筆登記業務</t>
  </si>
  <si>
    <t>南方町大嶽 地内</t>
  </si>
  <si>
    <t>510067789</t>
  </si>
  <si>
    <t>迫町北方丸森81番地ため池</t>
  </si>
  <si>
    <t>迫町北方丸森81番地</t>
  </si>
  <si>
    <t>2012/04/01</t>
  </si>
  <si>
    <t>AsyzAPH24ほ場整備の際に取得→組織改編に伴い、R1頃住宅都市整備課へ所管替え</t>
  </si>
  <si>
    <t>中田町石森字小倉北33番地</t>
  </si>
  <si>
    <t>2021/04/01</t>
  </si>
  <si>
    <t>道-78</t>
  </si>
  <si>
    <t>1:売却可能資産</t>
  </si>
  <si>
    <t>AsyzAP PPP元キー:00000001-0000008597-1</t>
  </si>
  <si>
    <t>石越高森児童遊園跡地</t>
  </si>
  <si>
    <t>2024/01/17</t>
  </si>
  <si>
    <t>AsyzAPR4　用途廃止に伴い3,660㎡（8,106,900円,負債番号1590-1）を総務課所管普通財産へ→1590-1を分筆し、一部を売却、残りを観光シティプロモーション課へ所管替え※PPP連携のため、所管替えした部分(9482-1,9483-1)を調査判明として登録</t>
  </si>
  <si>
    <t xml:space="preserve">石越町南郷字高森275-8  </t>
  </si>
  <si>
    <t>2022/11/08</t>
  </si>
  <si>
    <t>米山町中津山字猪込541番2</t>
  </si>
  <si>
    <t>2023/06/23</t>
  </si>
  <si>
    <t>中田町上沼字冠木101</t>
  </si>
  <si>
    <t>1992/06/05</t>
  </si>
  <si>
    <t>R2北大畑３号線（移転補償）</t>
  </si>
  <si>
    <t>道-89</t>
  </si>
  <si>
    <t>AsyzAP PPP元キー:00000001-0000008600-1</t>
  </si>
  <si>
    <t>R2赤坂線（移転補償）</t>
  </si>
  <si>
    <t>インフラ資産/土地</t>
  </si>
  <si>
    <t>道-19</t>
  </si>
  <si>
    <t>AsyzAPインフラ資産/土地 PPP元キー:00000001-0000008595-1</t>
  </si>
  <si>
    <t>中田町浅水字長谷山295-1</t>
  </si>
  <si>
    <t>R4桃取線（土地購入）</t>
  </si>
  <si>
    <t>2024/03/08</t>
  </si>
  <si>
    <t>東和町米川字西綱木　地内</t>
  </si>
  <si>
    <t>510047319</t>
  </si>
  <si>
    <t>付随費用（測量費等）米山町中津山字追土地地内土地境界確認及び地積測量図作成業務</t>
  </si>
  <si>
    <t>2021/09/14</t>
  </si>
  <si>
    <t>米山町中津山字追土地地内土地境界確認及び地積測量図作成業務　完成払い</t>
  </si>
  <si>
    <t>2021/10/08</t>
  </si>
  <si>
    <t>510040574</t>
  </si>
  <si>
    <t>AsyzAP米山町中津山字追土地地内土地境界確認及び地積測量図作成業務　完成払い PPP元キー:00000001-0000008580-1</t>
  </si>
  <si>
    <t>中田町上沼字新内ノ目5-1</t>
  </si>
  <si>
    <t>1982/07/19</t>
  </si>
  <si>
    <t>R5つづら渕線（移転補償）</t>
  </si>
  <si>
    <t>2024/01/09</t>
  </si>
  <si>
    <t>登米町小島　地内</t>
  </si>
  <si>
    <t>2024/01/19</t>
  </si>
  <si>
    <t>510061234</t>
  </si>
  <si>
    <t>R4堀米・下川面線（移転補償）</t>
  </si>
  <si>
    <t>2023/02/10</t>
  </si>
  <si>
    <t>2023/03/03</t>
  </si>
  <si>
    <t>510047119</t>
  </si>
  <si>
    <t>R3大網4号線（移転補償）</t>
  </si>
  <si>
    <t>2022/02/28</t>
  </si>
  <si>
    <t>2022/03/18</t>
  </si>
  <si>
    <t>510041379</t>
  </si>
  <si>
    <t>AsyzAP公衆道路用地 PPP元キー:00000001-0000008592-1</t>
  </si>
  <si>
    <t>高森地内排水路</t>
  </si>
  <si>
    <t>AsyzAPR4 建設総務課にて寄附受納した後、観光シティプロモーション課へ所管替え（取得年月日は登記日）</t>
  </si>
  <si>
    <t>石越町南郷字高森297-6</t>
  </si>
  <si>
    <t>近傍宅地のR4固定資産税評価額単価：4,500円
固定資産税に係る７割評価の割戻：0.70
払下単価基準による道路及び用悪水路の比準割合：0.25
土地の価格＝(4,500/0.7)×0.25×面積</t>
  </si>
  <si>
    <t>迫町北方字天形161-38</t>
  </si>
  <si>
    <t>12:評価替え（減）</t>
  </si>
  <si>
    <t>R4幹線用水線（移転補償）</t>
  </si>
  <si>
    <t>2022/08/29</t>
  </si>
  <si>
    <t>登米町登米　地内</t>
  </si>
  <si>
    <t>510021565</t>
  </si>
  <si>
    <t>R4大網4号線（移転補償）</t>
  </si>
  <si>
    <t>2022/11/10</t>
  </si>
  <si>
    <t>2022/11/25</t>
  </si>
  <si>
    <t>510038706</t>
  </si>
  <si>
    <t>迫町北方字天形161-76</t>
  </si>
  <si>
    <t>迫町北方字天形274-1</t>
  </si>
  <si>
    <t>2022/12/09</t>
  </si>
  <si>
    <t>石越町南郷字高森294-7</t>
  </si>
  <si>
    <t>グリーンキャンプなかだ</t>
  </si>
  <si>
    <t>001551:グリーンキャンプなかだ</t>
  </si>
  <si>
    <t>中田町上沼字本宮8-1</t>
  </si>
  <si>
    <t>0200003</t>
  </si>
  <si>
    <t>迫町北方二分屋敷45-1番地ため池</t>
  </si>
  <si>
    <t>迫町北方二分屋敷45-1番地</t>
  </si>
  <si>
    <t>R4堀米・下川面線（土地購入）</t>
  </si>
  <si>
    <t>2022/12/21</t>
  </si>
  <si>
    <t>中田町浅水字東川面　地内</t>
  </si>
  <si>
    <t>2023/01/13</t>
  </si>
  <si>
    <t>510047120</t>
  </si>
  <si>
    <t>中田町上沼字冠木41</t>
  </si>
  <si>
    <t>石越町南郷字高森275-1</t>
  </si>
  <si>
    <t>09:除却</t>
  </si>
  <si>
    <t>迫町北方字天形161-85</t>
  </si>
  <si>
    <t>R2堀米・下川面線（土地購入）</t>
  </si>
  <si>
    <t>AsyzAP PPP元キー:00000001-0000008598-1</t>
  </si>
  <si>
    <t>R3赤坂線（土地購入）</t>
  </si>
  <si>
    <t>2021/12/23</t>
  </si>
  <si>
    <t>2022/01/14</t>
  </si>
  <si>
    <t>510020188</t>
  </si>
  <si>
    <t>AsyzAP公衆道路用地 PPP元キー:00000001-0000008574-1</t>
  </si>
  <si>
    <t>迫町北方字天形161-35</t>
  </si>
  <si>
    <t>付随費用（測量費等）八幡浦６号線未登記用地測量業務</t>
  </si>
  <si>
    <t>AsyzAP八幡浦６号線未登記用地測量業務</t>
  </si>
  <si>
    <t>510077905</t>
  </si>
  <si>
    <t>R3永田・板倉線（土地購入）</t>
  </si>
  <si>
    <t>2021/11/24</t>
  </si>
  <si>
    <t>迫町北方字新広沖　地内外</t>
  </si>
  <si>
    <t>510022364</t>
  </si>
  <si>
    <t>AsyzAP公衆道路用地 PPP元キー:00000001-0000008575-1</t>
  </si>
  <si>
    <t>R5堀米・下川面線（移転補償）</t>
  </si>
  <si>
    <t>2024/02/26</t>
  </si>
  <si>
    <t>510062937</t>
  </si>
  <si>
    <t>迫町北方北観音寺97番地ため池</t>
  </si>
  <si>
    <t>迫町北方北観音寺97番地</t>
  </si>
  <si>
    <t>付随費用（登記費用）南方町松島屋敷１６２－１土地分筆業務</t>
  </si>
  <si>
    <t>2022/12/28</t>
  </si>
  <si>
    <t>AsyzAP南方町松島屋敷１６２－１土地分筆業務</t>
  </si>
  <si>
    <t>南方町松島屋敷162-1</t>
  </si>
  <si>
    <t>510043067</t>
  </si>
  <si>
    <t>R5桃取線（移転補償）</t>
  </si>
  <si>
    <t>2024/11/22</t>
  </si>
  <si>
    <t>AsyzAP東和地区道路災害復旧事業に伴う物件移転補償費（前払金）</t>
  </si>
  <si>
    <t>015</t>
  </si>
  <si>
    <t>510047329</t>
  </si>
  <si>
    <t>迫町北方字天形114-4</t>
  </si>
  <si>
    <t>R5浦小路黄牛線（移転補償）</t>
  </si>
  <si>
    <t>登米町大字日根牛阿羅田　地内</t>
  </si>
  <si>
    <t>510050992</t>
  </si>
  <si>
    <t>豊里町町浦302-1</t>
  </si>
  <si>
    <t>2024/02/29</t>
  </si>
  <si>
    <t>2024/06/10</t>
  </si>
  <si>
    <t>東和町米川字飯土井20-1</t>
  </si>
  <si>
    <t>米山後小路公園</t>
  </si>
  <si>
    <t>001516:米山後小路公園</t>
  </si>
  <si>
    <t>AsyzAPR5所管替えの代替対応のため一部除却</t>
  </si>
  <si>
    <t>米山町西野字中島134-1</t>
  </si>
  <si>
    <t>33:誤記載減少</t>
  </si>
  <si>
    <t>0190022</t>
  </si>
  <si>
    <t>付随費用（登記費用）大岳線未登記土地分筆業務</t>
  </si>
  <si>
    <t>AsyzAP大岳線未登記土地分筆業務</t>
  </si>
  <si>
    <t>510077912</t>
  </si>
  <si>
    <t>迫町北方字天形274-4</t>
  </si>
  <si>
    <t>東和町米川字東綱木28-1</t>
  </si>
  <si>
    <t>R4蒜畑線（移転補償）</t>
  </si>
  <si>
    <t>2022/10/07</t>
  </si>
  <si>
    <t>AsyzAP公共道路用地</t>
  </si>
  <si>
    <t>東和町米川字北上沢　地内</t>
  </si>
  <si>
    <t>2022/10/21</t>
  </si>
  <si>
    <t>510039656</t>
  </si>
  <si>
    <t>R5赤坂線（土地購入）</t>
  </si>
  <si>
    <t>2024/03/15</t>
  </si>
  <si>
    <t>2024/08/07</t>
  </si>
  <si>
    <t>510043507</t>
  </si>
  <si>
    <t>R3幹線用水線（土地購入）</t>
  </si>
  <si>
    <t>2021/09/03</t>
  </si>
  <si>
    <t>登米町登米字小島長橋　地内</t>
  </si>
  <si>
    <t>2021/09/17</t>
  </si>
  <si>
    <t>510021338</t>
  </si>
  <si>
    <t>AsyzAP公衆道路用地 PPP元キー:00000001-0000008570-1</t>
  </si>
  <si>
    <t>中田町上沼字冠木42-2</t>
  </si>
  <si>
    <t>南方町堂地246番4、南方町堂地246番1</t>
  </si>
  <si>
    <t>2021/12/28</t>
  </si>
  <si>
    <t>市道新井宿・堂地線排水路整備事業に伴う土地購入</t>
  </si>
  <si>
    <t>510064939</t>
  </si>
  <si>
    <t>AsyzAP市道新井宿・堂地線排水路整備事業に伴う土地購入 PPP元キー:00000001-0000008555-1</t>
  </si>
  <si>
    <t>豊里町町浦303</t>
  </si>
  <si>
    <t>登米市石越町南郷高森297番3、297番4</t>
  </si>
  <si>
    <t>2023/01/27</t>
  </si>
  <si>
    <t>AsyzAP石越町南郷字高森地内排水路に係る用地購入</t>
  </si>
  <si>
    <t>510063630</t>
  </si>
  <si>
    <t>1987/07/23</t>
  </si>
  <si>
    <t>迫町北方字天形273-1</t>
  </si>
  <si>
    <t>迫町北方字天形161-34</t>
  </si>
  <si>
    <t>迫町北方字天形161-84</t>
  </si>
  <si>
    <t>付随費用（登記費用）石越町南郷字高森地内土地分筆登記業務</t>
  </si>
  <si>
    <t>2022/12/23</t>
  </si>
  <si>
    <t>AsyzAP石越町南郷字高森地内土地分筆登記業務</t>
  </si>
  <si>
    <t>510050048</t>
  </si>
  <si>
    <t>R4蒜畑線（土地購入）</t>
  </si>
  <si>
    <t>2022/10/17</t>
  </si>
  <si>
    <t>2022/10/28</t>
  </si>
  <si>
    <t>510039658</t>
  </si>
  <si>
    <t>南方町蛇沼46番3</t>
  </si>
  <si>
    <t>2024/02/02</t>
  </si>
  <si>
    <t>付随費用（登記費用）米山町中津山字丸森地内土地分筆登記業務</t>
  </si>
  <si>
    <t>2021/12/09</t>
  </si>
  <si>
    <t>米山町中津山字丸森地内土地分筆登記業務　完成払い</t>
  </si>
  <si>
    <t>2021/12/24</t>
  </si>
  <si>
    <t>510022678</t>
  </si>
  <si>
    <t>AsyzAP米山町中津山字丸森地内土地分筆登記業務　完成払い PPP元キー:00000001-0000008583-1</t>
  </si>
  <si>
    <t>東和町米川字東綱木28-2</t>
  </si>
  <si>
    <t>付随費用（登記費用）南方町沢田待井地内分筆登記業務</t>
  </si>
  <si>
    <t>2023/08/10</t>
  </si>
  <si>
    <t>AsyzAP南方町沢田待井地内分筆登記業務</t>
  </si>
  <si>
    <t>南方町沢田待井地内</t>
  </si>
  <si>
    <t>510023121</t>
  </si>
  <si>
    <t>迫町北方天形173-1番地</t>
  </si>
  <si>
    <t>R5高古屋線（土地購入）</t>
  </si>
  <si>
    <t>2023/09/28</t>
  </si>
  <si>
    <t>東和町米川字東上沢　地内</t>
  </si>
  <si>
    <t>2023/10/13</t>
  </si>
  <si>
    <t>510030360</t>
  </si>
  <si>
    <t>道路用地（南方町田中浦24番地12）</t>
  </si>
  <si>
    <t>001376:宅地</t>
  </si>
  <si>
    <t>2023/10/27</t>
  </si>
  <si>
    <t>2024/08/14</t>
  </si>
  <si>
    <t>登米市南方町田中浦24番地12</t>
  </si>
  <si>
    <t>01_01_03:（１）土地及び建物　行政財産　公用財産　その他の施設</t>
  </si>
  <si>
    <t>2023/12/28</t>
  </si>
  <si>
    <t>510046928</t>
  </si>
  <si>
    <t>R3大網４号線（土地購入）</t>
  </si>
  <si>
    <t>2022/03/01</t>
  </si>
  <si>
    <t>510041377</t>
  </si>
  <si>
    <t>AsyzAP公衆道路用地 PPP元キー:00000001-0000008573-1</t>
  </si>
  <si>
    <t>R5境堀川原毛線（土地購入）</t>
  </si>
  <si>
    <t>2023/11/01</t>
  </si>
  <si>
    <t>中田町石森字川原毛　地内</t>
  </si>
  <si>
    <t>2023/11/17</t>
  </si>
  <si>
    <t>510045979</t>
  </si>
  <si>
    <t>R5成沢線（土地購入）</t>
  </si>
  <si>
    <t>2023/06/28</t>
  </si>
  <si>
    <t>登米町登米字寺池銀山　地内</t>
  </si>
  <si>
    <t>2023/07/14</t>
  </si>
  <si>
    <t>510022313</t>
  </si>
  <si>
    <t>AsyzAPインフラ資産/土地 PPP元キー:00000001-0000008596-1</t>
  </si>
  <si>
    <t>南方町瀬ノ渕86番19</t>
  </si>
  <si>
    <t>2023/09/11</t>
  </si>
  <si>
    <t>田（登米町登米字寺池目子待井226番2）</t>
  </si>
  <si>
    <t>登米町登米字寺池目子待井226番2</t>
  </si>
  <si>
    <t>迫町北方天形179番地ため池</t>
  </si>
  <si>
    <t>迫町北方天形179番地</t>
  </si>
  <si>
    <t>登米市石越保育所</t>
  </si>
  <si>
    <t>1981/04/27</t>
  </si>
  <si>
    <t>AsyzAPAsyzAPR4　用途廃止に伴い、子育て支援課から総務課へ所管替え（6908㎡）→調査判明120.54㎡を追加の後、275-4を分筆し、観光シティプロモーション課へ所管替え</t>
  </si>
  <si>
    <t>石越町南郷字高森275-10</t>
  </si>
  <si>
    <t>2023/04/01</t>
  </si>
  <si>
    <t>16:分筆等</t>
  </si>
  <si>
    <t>1607</t>
  </si>
  <si>
    <t>0280008</t>
  </si>
  <si>
    <t>中田町上沼字冠木44-8</t>
  </si>
  <si>
    <t>R3堀米・下川面線（移転補償）</t>
  </si>
  <si>
    <t>2022/01/28</t>
  </si>
  <si>
    <t>510013770</t>
  </si>
  <si>
    <t>AsyzAP公衆道路用地 PPP元キー:00000001-0000008588-1</t>
  </si>
  <si>
    <t>東和町米川字東綱木29-1</t>
  </si>
  <si>
    <t>迫町北方榎沢154番地ため池</t>
  </si>
  <si>
    <t>迫町北方榎沢154番地</t>
  </si>
  <si>
    <t>宅地（中田町浅水字長谷山352番19）</t>
  </si>
  <si>
    <t>2023/10/04</t>
  </si>
  <si>
    <t>中田町浅水字長谷山352番19</t>
  </si>
  <si>
    <t>東和町米川字東綱木33-1</t>
  </si>
  <si>
    <t>付随費用（登記費用）南方町堂地地内土地分筆登記業務</t>
  </si>
  <si>
    <t>2021/04/16</t>
  </si>
  <si>
    <t>南方町堂地地内土地分筆登記業務</t>
  </si>
  <si>
    <t>2022/03/25</t>
  </si>
  <si>
    <t>510078622</t>
  </si>
  <si>
    <t>AsyzAP南方町堂地地内土地分筆登記業務 PPP元キー:00000001-0000008585-1</t>
  </si>
  <si>
    <t>迫兵粮山公園</t>
  </si>
  <si>
    <t>001553:迫兵粮山公園</t>
  </si>
  <si>
    <t>迫町北方字兵粮23-54</t>
  </si>
  <si>
    <t>0210002</t>
  </si>
  <si>
    <t>登米市中田町石森字加賀野田中69番6</t>
  </si>
  <si>
    <t>2022/10/04</t>
  </si>
  <si>
    <t>田（登米町登米字寺池目子待井220番2）</t>
  </si>
  <si>
    <t>登米町登米字寺池目子待井220番2</t>
  </si>
  <si>
    <t>登米市旧石越保育所跡地</t>
  </si>
  <si>
    <t>石越町南郷字高森275-9</t>
  </si>
  <si>
    <t>迫町北方字天形161-16</t>
  </si>
  <si>
    <t>R2堀米・下川面線（移転補償）</t>
  </si>
  <si>
    <t>AsyzAP PPP元キー:00000001-0000008599-1</t>
  </si>
  <si>
    <t>中田町上沼字新内ノ目8</t>
  </si>
  <si>
    <t>1975/07/02</t>
  </si>
  <si>
    <t>迫町新田山田83-4番地</t>
  </si>
  <si>
    <t>迫町北方字天形161-89</t>
  </si>
  <si>
    <t>中田町上沼字新内ノ目9</t>
  </si>
  <si>
    <t>迫町北方地粮41-6番地</t>
  </si>
  <si>
    <t>東和町米川字東綱木28</t>
  </si>
  <si>
    <t>R5北大畑3号線（移転補償）</t>
  </si>
  <si>
    <t>2023/12/11</t>
  </si>
  <si>
    <t>2023/12/22</t>
  </si>
  <si>
    <t>510046205</t>
  </si>
  <si>
    <t>公衆用道路（中田町浅水字長谷山352番21）</t>
  </si>
  <si>
    <t>中田町浅水字長谷山352番21</t>
  </si>
  <si>
    <t>R4梅ノ木・平柳線（土地購入）</t>
  </si>
  <si>
    <t>2022/11/14</t>
  </si>
  <si>
    <t>迫町佐沼字新駒木袋　地内外</t>
  </si>
  <si>
    <t>510008070</t>
  </si>
  <si>
    <t>中田町浅水字長谷山352番22</t>
  </si>
  <si>
    <t>2023/10/14</t>
  </si>
  <si>
    <t>東和町米川字東綱木33-2</t>
  </si>
  <si>
    <t>米山町中津山字猪込540番2</t>
  </si>
  <si>
    <t>豊里町町浦320</t>
  </si>
  <si>
    <t>付随費用（測量費等）南方町堂地地内土地分割点設置及び地積測量図作成業務</t>
  </si>
  <si>
    <t>2021/12/13</t>
  </si>
  <si>
    <t>南方町堂地地内土地分割点設置及び地積測量図作成業務　完成払い</t>
  </si>
  <si>
    <t>2022/02/04</t>
  </si>
  <si>
    <t>510058942</t>
  </si>
  <si>
    <t>AsyzAP南方町堂地地内土地分割点設置及び地積測量図作成業務　完成払い PPP元キー:00000001-0000008586-1</t>
  </si>
  <si>
    <t>米山町中津山字粟ヶ崎83番1</t>
  </si>
  <si>
    <t>2023/06/12</t>
  </si>
  <si>
    <t>02:公有財産建物台帳</t>
  </si>
  <si>
    <t>R4大網４号線（土地購入）</t>
  </si>
  <si>
    <t>2022/11/11</t>
  </si>
  <si>
    <t>510038711</t>
  </si>
  <si>
    <t>中田町浅水字新田137番2</t>
  </si>
  <si>
    <t>2023/05/18</t>
  </si>
  <si>
    <t>R3辺室山中道線（土地購入）</t>
  </si>
  <si>
    <t>2021/10/26</t>
  </si>
  <si>
    <t>2021/10/29</t>
  </si>
  <si>
    <t>登米町登米字寺池辺室山</t>
  </si>
  <si>
    <t>2021/11/12</t>
  </si>
  <si>
    <t>510045837</t>
  </si>
  <si>
    <t>AsyzAP公衆道路用地 PPP元キー:00000001-0000008562-1</t>
  </si>
  <si>
    <t>R5成沢線（移転補償）</t>
  </si>
  <si>
    <t>510022309</t>
  </si>
  <si>
    <t>中田町浅水字長谷山316-3</t>
  </si>
  <si>
    <t>南方町堂地253番3、南方町堂地254番7</t>
  </si>
  <si>
    <t>2021/11/10</t>
  </si>
  <si>
    <t>2021/12/03</t>
  </si>
  <si>
    <t>510053211</t>
  </si>
  <si>
    <t>AsyzAP市道新井宿・堂地線排水路整備事業に伴う土地購入 PPP元キー:00000001-0000008554-1</t>
  </si>
  <si>
    <t>AsyzAPR4　用途廃止に伴い3,660㎡（8,106,900円,負債番号1590-1）を総務課所管普通財産へ→1590-1を分筆し、275-3を売却、残りを観光シティプロモーション課へ所管替え※PPP連携のため、所管替えした部分(9482-1,9483-1)を調査判明として登録</t>
  </si>
  <si>
    <t xml:space="preserve">石越町南郷字高森275-7 </t>
  </si>
  <si>
    <t>R3東表前４号線（移転補償）</t>
  </si>
  <si>
    <t>迫町森字表前　地内</t>
  </si>
  <si>
    <t>510057959</t>
  </si>
  <si>
    <t>AsyzAP公衆道路用地 PPP元キー:00000001-0000008593-1</t>
  </si>
  <si>
    <t>南方町沢田待井7番2</t>
  </si>
  <si>
    <t>2023/06/16</t>
  </si>
  <si>
    <t>R２北大畑３号線（移転補償）</t>
  </si>
  <si>
    <t>AsyzAP PPP元キー:00000001-0000008601-1</t>
  </si>
  <si>
    <t>迫町北方字兵粮23-1</t>
  </si>
  <si>
    <t>ため池（茶屋沼）</t>
  </si>
  <si>
    <t>AsyzAPR4整備時に工作物→土地へ変換</t>
  </si>
  <si>
    <t>中田町浅水字鮎川田216-1</t>
  </si>
  <si>
    <t>東和大関川河川公園</t>
  </si>
  <si>
    <t>001556:東和大関川河川公園</t>
  </si>
  <si>
    <t>管理棟　</t>
  </si>
  <si>
    <t>東和町米谷字相川1-6</t>
  </si>
  <si>
    <t>0210005</t>
  </si>
  <si>
    <t>中田町石森字塚崎57番7</t>
  </si>
  <si>
    <t>2023/06/21</t>
  </si>
  <si>
    <t>迫町北方字天形161-39</t>
  </si>
  <si>
    <t>1992/05/28</t>
  </si>
  <si>
    <t>R5永田・板倉線（土地購入）</t>
  </si>
  <si>
    <t>南方町新板倉後　地内</t>
  </si>
  <si>
    <t>510007730</t>
  </si>
  <si>
    <t>AsyzAPR4 建設総務課で寄附受納した後、観光シティプロモーション課へ所管替え（取得年月日は登記日）</t>
  </si>
  <si>
    <t>石越町南郷字高森297-5</t>
  </si>
  <si>
    <t>近傍宅地のR4固定資産税評価額単価：4,500円
固定資産税に係る７割評価の割戻：0.70
払下単価基準による道路及び用悪水路の比準割合：0.25
土地の価格＝(4,500/0.7)×0.25×面積</t>
  </si>
  <si>
    <t>迫町北方字天形161-37</t>
  </si>
  <si>
    <t>迫町北方来田9-2番地ため池</t>
  </si>
  <si>
    <t>迫町北方来田9-2番地</t>
  </si>
  <si>
    <t>付随費用（測量費等）分割点設置及び地積測量図作成業務</t>
  </si>
  <si>
    <t>2021/09/01</t>
  </si>
  <si>
    <t>分割点設置及び地積測量図作成業務</t>
  </si>
  <si>
    <t>510038537</t>
  </si>
  <si>
    <t>AsyzAP分割点設置及び地積測量図作成業務 PPP元キー:00000001-0000008579-1</t>
  </si>
  <si>
    <t>7010300000:消防本部警防課</t>
  </si>
  <si>
    <t>迫町新田品ノ浦191-2番地</t>
  </si>
  <si>
    <t>付随費用（分筆費用）登米市南方町畑岡地内土地分筆業務</t>
  </si>
  <si>
    <t>2021/08/03</t>
  </si>
  <si>
    <t>土地分筆登記業務</t>
  </si>
  <si>
    <t>510022664</t>
  </si>
  <si>
    <t>AsyzAP土地分筆登記業務 PPP元キー:00000001-0000008578-1</t>
  </si>
  <si>
    <t>R5支所線（土地購入）</t>
  </si>
  <si>
    <t>2024/03/19</t>
  </si>
  <si>
    <t>登米市迫町新田字山守屋敷59番6</t>
  </si>
  <si>
    <t>510074070</t>
  </si>
  <si>
    <t>付随費用（測量費等）境界測量及び地積測量図作成業務（その２）（石越）</t>
  </si>
  <si>
    <t>AsyzAP境界測量及び地積測量図作成業務（その２）</t>
  </si>
  <si>
    <t>510079927</t>
  </si>
  <si>
    <t>2022/10/18</t>
  </si>
  <si>
    <t>510022325</t>
  </si>
  <si>
    <t>R3白鳥１号線（土地購入）</t>
  </si>
  <si>
    <t>豊里町白鳥　地内</t>
  </si>
  <si>
    <t>510017368</t>
  </si>
  <si>
    <t>AsyzAP公衆道路用地 PPP元キー:00000001-0000008572-1</t>
  </si>
  <si>
    <t>R4赤坂線（移転補償）</t>
  </si>
  <si>
    <t>登米市迫町新田字山守屋敷　地内</t>
  </si>
  <si>
    <t>510068295</t>
  </si>
  <si>
    <t>東和町米川字富沢77-2、77-3</t>
  </si>
  <si>
    <t>2023/03/23</t>
  </si>
  <si>
    <t>AsyzAP不同沢川災害復旧工事に係る用地購入</t>
  </si>
  <si>
    <t>2023/04/07</t>
  </si>
  <si>
    <t>005</t>
  </si>
  <si>
    <t>510081694</t>
  </si>
  <si>
    <t>R4大手前上町線（土地購入）</t>
  </si>
  <si>
    <t>2023/03/27</t>
  </si>
  <si>
    <t>登米町登米字寺池桜小路　地内</t>
  </si>
  <si>
    <t>2023/04/14</t>
  </si>
  <si>
    <t>510081208</t>
  </si>
  <si>
    <t>R3梅ノ木・平柳線（土地購入）</t>
  </si>
  <si>
    <t>2021/10/13</t>
  </si>
  <si>
    <t>2021/12/10</t>
  </si>
  <si>
    <t>510010288</t>
  </si>
  <si>
    <t>AsyzAP公衆道路用地 PPP元キー:00000001-0000008568-1</t>
  </si>
  <si>
    <t>付随費用（登記費用）豊里町鳥越４３－１土地分筆登記業務</t>
  </si>
  <si>
    <t>2023/02/03</t>
  </si>
  <si>
    <t>AsyzAP豊里町鳥越４３－１土地分筆登記業務</t>
  </si>
  <si>
    <t>豊里町鳥越43-1</t>
  </si>
  <si>
    <t>510062334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</si>
</sst>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3988"/>
  <sheetViews>
    <sheetView tabSelected="1" defaultGridColor="0" colorId="8" zoomScale="85" zoomScaleNormal="85" workbookViewId="0"/>
  </sheetViews>
  <sheetFormatPr defaultColWidth="2.7109375" defaultRowHeight="19.5" x14ac:dyDescent="0.4"/>
  <cols>
    <col min="1" max="2" width="17" style="5" bestFit="1" customWidth="1"/>
    <col min="3" max="3" width="22.28515625" style="5" bestFit="1" customWidth="1"/>
    <col min="4" max="4" width="67.42578125" style="5" bestFit="1" customWidth="1"/>
    <col min="5" max="5" width="51.7109375" style="5" bestFit="1" customWidth="1"/>
    <col min="6" max="6" width="13.7109375" style="5" bestFit="1" customWidth="1"/>
    <col min="7" max="7" width="255.7109375" style="5" hidden="1" customWidth="1"/>
    <col min="8" max="8" width="48" style="6" bestFit="1" customWidth="1"/>
    <col min="9" max="9" width="105.85546875" style="5" bestFit="1" customWidth="1"/>
    <col min="10" max="10" width="14.5703125" style="7" bestFit="1" customWidth="1"/>
    <col min="11" max="11" width="20.85546875" style="5" bestFit="1" customWidth="1"/>
    <col min="12" max="12" width="16.140625" style="7" bestFit="1" customWidth="1"/>
    <col min="13" max="13" width="19.5703125" style="7" bestFit="1" customWidth="1"/>
    <col min="14" max="14" width="28.85546875" style="5" bestFit="1" customWidth="1"/>
    <col min="15" max="15" width="6.5703125" style="5" hidden="1" customWidth="1"/>
    <col min="16" max="16" width="13.7109375" style="5" hidden="1" customWidth="1"/>
    <col min="17" max="17" width="18.5703125" style="5" hidden="1" customWidth="1"/>
    <col min="18" max="19" width="10.5703125" style="5" hidden="1" customWidth="1"/>
    <col min="20" max="20" width="23.28515625" style="5" hidden="1" customWidth="1"/>
    <col min="21" max="21" width="45.7109375" style="5" hidden="1" customWidth="1"/>
    <col min="22" max="24" width="12.5703125" style="5" hidden="1" customWidth="1"/>
    <col min="25" max="25" width="36" style="5" hidden="1" customWidth="1"/>
    <col min="26" max="27" width="10.5703125" style="6" hidden="1" customWidth="1"/>
    <col min="28" max="28" width="14.5703125" style="6" hidden="1" customWidth="1"/>
    <col min="29" max="29" width="12.5703125" style="5" hidden="1" customWidth="1"/>
    <col min="30" max="31" width="10.5703125" style="6" hidden="1" customWidth="1"/>
    <col min="32" max="32" width="10.5703125" style="5" hidden="1" customWidth="1"/>
    <col min="33" max="34" width="8.5703125" style="5" hidden="1" customWidth="1"/>
    <col min="35" max="35" width="14.5703125" style="5" hidden="1" customWidth="1"/>
    <col min="36" max="36" width="12.5703125" style="5" hidden="1" customWidth="1"/>
    <col min="37" max="37" width="14.5703125" style="5" hidden="1" customWidth="1"/>
    <col min="38" max="39" width="12.5703125" style="5" hidden="1" customWidth="1"/>
    <col min="40" max="40" width="14.5703125" style="5" hidden="1" customWidth="1"/>
    <col min="41" max="41" width="12.5703125" style="5" hidden="1" customWidth="1"/>
    <col min="42" max="43" width="4.5703125" style="6" hidden="1" customWidth="1"/>
    <col min="44" max="44" width="8.5703125" style="6" hidden="1" customWidth="1"/>
    <col min="45" max="45" width="10.5703125" style="6" hidden="1" customWidth="1"/>
    <col min="46" max="46" width="10.5703125" style="5" hidden="1" customWidth="1"/>
    <col min="47" max="51" width="12.5703125" style="5" hidden="1" customWidth="1"/>
    <col min="52" max="52" width="10.5703125" style="5" hidden="1" customWidth="1"/>
    <col min="53" max="53" width="13.85546875" style="5" hidden="1" customWidth="1"/>
    <col min="54" max="54" width="14.5703125" style="5" hidden="1" customWidth="1"/>
    <col min="55" max="55" width="16.5703125" style="6" hidden="1" customWidth="1"/>
    <col min="56" max="56" width="60.28515625" style="5" hidden="1" customWidth="1"/>
    <col min="57" max="57" width="12.5703125" style="5" hidden="1" customWidth="1"/>
    <col min="58" max="58" width="8.5703125" style="5" hidden="1" customWidth="1"/>
    <col min="59" max="59" width="10.5703125" style="6" hidden="1" customWidth="1"/>
    <col min="60" max="60" width="18.5703125" style="5" hidden="1" customWidth="1"/>
    <col min="61" max="61" width="22.5703125" style="5" hidden="1" customWidth="1"/>
    <col min="62" max="62" width="12.5703125" style="5" hidden="1" customWidth="1"/>
    <col min="63" max="64" width="20" style="7" hidden="1" customWidth="1"/>
    <col min="65" max="65" width="10.5703125" style="5" hidden="1" customWidth="1"/>
    <col min="66" max="66" width="4.5703125" style="5" hidden="1" customWidth="1"/>
    <col min="67" max="69" width="12.5703125" style="5" hidden="1" customWidth="1"/>
    <col min="70" max="74" width="16.5703125" style="5" hidden="1" customWidth="1"/>
    <col min="75" max="75" width="9.5703125" style="6" hidden="1" customWidth="1"/>
    <col min="76" max="78" width="8.5703125" style="5" hidden="1" customWidth="1"/>
    <col min="79" max="79" width="10.5703125" style="5" hidden="1" customWidth="1"/>
    <col min="80" max="80" width="8.5703125" style="5" hidden="1" customWidth="1"/>
    <col min="81" max="81" width="12.5703125" style="5" hidden="1" customWidth="1"/>
    <col min="82" max="83" width="14.5703125" style="5" hidden="1" customWidth="1"/>
    <col min="84" max="84" width="18.5703125" style="5" hidden="1" customWidth="1"/>
    <col min="85" max="86" width="12.5703125" style="5" hidden="1" customWidth="1"/>
    <col min="87" max="87" width="6.5703125" style="5" hidden="1" customWidth="1"/>
    <col min="88" max="88" width="47.7109375" style="5" hidden="1" customWidth="1"/>
    <col min="89" max="89" width="14.5703125" style="5" hidden="1" customWidth="1"/>
    <col min="90" max="90" width="15.7109375" style="6" hidden="1" customWidth="1"/>
    <col min="91" max="92" width="15.7109375" style="5" hidden="1" customWidth="1"/>
    <col min="93" max="93" width="10.140625" style="5" hidden="1" customWidth="1"/>
    <col min="94" max="94" width="12.5703125" style="5" hidden="1" customWidth="1"/>
    <col min="95" max="95" width="10.5703125" style="5" hidden="1" customWidth="1"/>
    <col min="96" max="96" width="21.7109375" style="5" hidden="1" customWidth="1"/>
    <col min="97" max="98" width="14.5703125" style="5" hidden="1" customWidth="1"/>
    <col min="99" max="100" width="8.5703125" style="5" hidden="1" customWidth="1"/>
    <col min="101" max="101" width="20" style="8" hidden="1" customWidth="1"/>
    <col min="102" max="106" width="20" style="7" hidden="1" customWidth="1"/>
    <col min="107" max="107" width="13" style="5" hidden="1" customWidth="1"/>
    <col min="108" max="108" width="4.5703125" style="5" hidden="1" customWidth="1"/>
    <col min="109" max="109" width="8.5703125" style="5" hidden="1" customWidth="1"/>
    <col min="110" max="110" width="13" style="5" hidden="1" customWidth="1"/>
    <col min="111" max="111" width="20" style="7" hidden="1" customWidth="1"/>
    <col min="112" max="112" width="10.5703125" style="6" hidden="1" customWidth="1"/>
    <col min="113" max="113" width="11.140625" style="5" hidden="1" customWidth="1"/>
    <col min="114" max="114" width="4.5703125" style="5" hidden="1" customWidth="1"/>
    <col min="115" max="115" width="2.7109375" style="5" hidden="1" customWidth="1"/>
    <col min="116" max="116" width="4.5703125" style="5" hidden="1" customWidth="1"/>
    <col min="117" max="118" width="8.5703125" style="5" hidden="1" customWidth="1"/>
    <col min="119" max="119" width="20" style="7" hidden="1" customWidth="1"/>
    <col min="120" max="120" width="4.5703125" style="5" hidden="1" customWidth="1"/>
    <col min="121" max="121" width="8.5703125" style="5" hidden="1" customWidth="1"/>
    <col min="122" max="125" width="4.5703125" style="5" hidden="1" customWidth="1"/>
    <col min="126" max="134" width="10.5703125" style="5" hidden="1" customWidth="1"/>
    <col min="135" max="195" width="12.5703125" style="5" hidden="1" customWidth="1"/>
    <col min="196" max="196" width="100" style="5" hidden="1" customWidth="1"/>
    <col min="197" max="197" width="20.5703125" style="5" hidden="1" customWidth="1"/>
    <col min="198" max="204" width="10.5703125" style="5" hidden="1" customWidth="1"/>
    <col min="205" max="225" width="12.5703125" style="5" hidden="1" customWidth="1"/>
    <col min="226" max="226" width="18.5703125" style="5" hidden="1" customWidth="1"/>
    <col min="227" max="227" width="16.5703125" style="5" hidden="1" customWidth="1"/>
    <col min="228" max="228" width="12.5703125" style="5" hidden="1" customWidth="1"/>
    <col min="229" max="229" width="10.5703125" style="5" hidden="1" customWidth="1"/>
    <col min="230" max="230" width="14.5703125" style="5" hidden="1" customWidth="1"/>
    <col min="231" max="231" width="6.5703125" style="5" hidden="1" customWidth="1"/>
    <col min="232" max="234" width="8.5703125" style="5" hidden="1" customWidth="1"/>
    <col min="235" max="235" width="16.5703125" style="5" hidden="1" customWidth="1"/>
    <col min="236" max="240" width="20.5703125" style="5" hidden="1" customWidth="1"/>
    <col min="241" max="241" width="2.7109375" style="5" customWidth="1"/>
    <col min="242" max="16384" width="2.7109375" style="5"/>
  </cols>
  <sheetData>
    <row r="1" spans="1:240" x14ac:dyDescent="0.4">
      <c r="A1" s="1" t="s">
        <v>2</v>
      </c>
      <c r="B1" s="1" t="s">
        <v>3</v>
      </c>
      <c r="C1" s="1" t="s">
        <v>4</v>
      </c>
      <c r="D1" s="1" t="s">
        <v>11</v>
      </c>
      <c r="E1" s="1" t="s">
        <v>16</v>
      </c>
      <c r="F1" s="1" t="s">
        <v>46</v>
      </c>
      <c r="G1" s="1" t="s">
        <v>24</v>
      </c>
      <c r="H1" s="2" t="s">
        <v>35</v>
      </c>
      <c r="I1" s="1" t="s">
        <v>8</v>
      </c>
      <c r="J1" s="3" t="s">
        <v>97</v>
      </c>
      <c r="K1" s="1" t="s">
        <v>98</v>
      </c>
      <c r="L1" s="3" t="s">
        <v>103</v>
      </c>
      <c r="M1" s="3" t="s">
        <v>104</v>
      </c>
      <c r="N1" s="1" t="s">
        <v>9</v>
      </c>
      <c r="O1" s="1" t="s">
        <v>0</v>
      </c>
      <c r="P1" s="1" t="s">
        <v>1</v>
      </c>
      <c r="Q1" s="1" t="s">
        <v>5</v>
      </c>
      <c r="R1" s="1" t="s">
        <v>6</v>
      </c>
      <c r="S1" s="1" t="s">
        <v>7</v>
      </c>
      <c r="T1" s="1" t="s">
        <v>10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17</v>
      </c>
      <c r="Z1" s="2" t="s">
        <v>18</v>
      </c>
      <c r="AA1" s="2" t="s">
        <v>19</v>
      </c>
      <c r="AB1" s="2" t="s">
        <v>20</v>
      </c>
      <c r="AC1" s="1" t="s">
        <v>21</v>
      </c>
      <c r="AD1" s="2" t="s">
        <v>22</v>
      </c>
      <c r="AE1" s="2" t="s">
        <v>23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2" t="s">
        <v>36</v>
      </c>
      <c r="AQ1" s="2" t="s">
        <v>37</v>
      </c>
      <c r="AR1" s="2" t="s">
        <v>38</v>
      </c>
      <c r="AS1" s="2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47</v>
      </c>
      <c r="BA1" s="1" t="s">
        <v>48</v>
      </c>
      <c r="BB1" s="1" t="s">
        <v>49</v>
      </c>
      <c r="BC1" s="2" t="s">
        <v>50</v>
      </c>
      <c r="BD1" s="1" t="s">
        <v>51</v>
      </c>
      <c r="BE1" s="1" t="s">
        <v>52</v>
      </c>
      <c r="BF1" s="1" t="s">
        <v>53</v>
      </c>
      <c r="BG1" s="2" t="s">
        <v>54</v>
      </c>
      <c r="BH1" s="1" t="s">
        <v>55</v>
      </c>
      <c r="BI1" s="1" t="s">
        <v>56</v>
      </c>
      <c r="BJ1" s="1" t="s">
        <v>57</v>
      </c>
      <c r="BK1" s="3" t="s">
        <v>58</v>
      </c>
      <c r="BL1" s="3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2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2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  <c r="CT1" s="1" t="s">
        <v>93</v>
      </c>
      <c r="CU1" s="1" t="s">
        <v>94</v>
      </c>
      <c r="CV1" s="1" t="s">
        <v>95</v>
      </c>
      <c r="CW1" s="4" t="s">
        <v>96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3" t="s">
        <v>110</v>
      </c>
      <c r="DH1" s="2" t="s">
        <v>111</v>
      </c>
      <c r="DI1" s="1" t="s">
        <v>112</v>
      </c>
      <c r="DJ1" s="1" t="s">
        <v>24</v>
      </c>
      <c r="DK1" s="1" t="s">
        <v>113</v>
      </c>
      <c r="DL1" s="1" t="s">
        <v>114</v>
      </c>
      <c r="DM1" s="1" t="s">
        <v>115</v>
      </c>
      <c r="DN1" s="1" t="s">
        <v>116</v>
      </c>
      <c r="DO1" s="3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</row>
    <row r="2" spans="1:240" x14ac:dyDescent="0.4">
      <c r="A2" s="5">
        <v>709</v>
      </c>
      <c r="B2" s="5">
        <v>1</v>
      </c>
      <c r="C2" s="5">
        <v>1</v>
      </c>
      <c r="D2" s="5" t="s">
        <v>1985</v>
      </c>
      <c r="E2" s="5" t="s">
        <v>418</v>
      </c>
      <c r="F2" s="5" t="s">
        <v>254</v>
      </c>
      <c r="G2" s="5" t="s">
        <v>240</v>
      </c>
      <c r="H2" s="6" t="s">
        <v>1986</v>
      </c>
      <c r="I2" s="5" t="s">
        <v>1984</v>
      </c>
      <c r="J2" s="8">
        <f>3740</f>
        <v>3740</v>
      </c>
      <c r="K2" s="5" t="s">
        <v>308</v>
      </c>
      <c r="L2" s="7">
        <f>8284100</f>
        <v>8284100</v>
      </c>
      <c r="M2" s="7">
        <f>8284100</f>
        <v>8284100</v>
      </c>
      <c r="N2" s="5" t="s">
        <v>242</v>
      </c>
      <c r="O2" s="5">
        <v>3</v>
      </c>
      <c r="P2" s="5" t="s">
        <v>239</v>
      </c>
      <c r="Q2" s="5" t="s">
        <v>240</v>
      </c>
      <c r="R2" s="5" t="s">
        <v>240</v>
      </c>
      <c r="S2" s="5" t="s">
        <v>240</v>
      </c>
      <c r="T2" s="5" t="s">
        <v>243</v>
      </c>
      <c r="U2" s="5" t="s">
        <v>244</v>
      </c>
      <c r="V2" s="5" t="s">
        <v>240</v>
      </c>
      <c r="W2" s="5" t="s">
        <v>240</v>
      </c>
      <c r="X2" s="5" t="s">
        <v>240</v>
      </c>
      <c r="Y2" s="5" t="s">
        <v>246</v>
      </c>
      <c r="Z2" s="6" t="s">
        <v>247</v>
      </c>
      <c r="AA2" s="6" t="s">
        <v>240</v>
      </c>
      <c r="AB2" s="6" t="s">
        <v>240</v>
      </c>
      <c r="AC2" s="5" t="s">
        <v>240</v>
      </c>
      <c r="AD2" s="6" t="s">
        <v>240</v>
      </c>
      <c r="AE2" s="6" t="s">
        <v>240</v>
      </c>
      <c r="AF2" s="5" t="s">
        <v>248</v>
      </c>
      <c r="AG2" s="5" t="s">
        <v>249</v>
      </c>
      <c r="AH2" s="5" t="s">
        <v>240</v>
      </c>
      <c r="AI2" s="5" t="s">
        <v>240</v>
      </c>
      <c r="AJ2" s="5" t="s">
        <v>240</v>
      </c>
      <c r="AK2" s="5" t="s">
        <v>240</v>
      </c>
      <c r="AL2" s="5" t="s">
        <v>240</v>
      </c>
      <c r="AM2" s="5" t="s">
        <v>240</v>
      </c>
      <c r="AN2" s="5" t="s">
        <v>240</v>
      </c>
      <c r="AO2" s="5" t="s">
        <v>240</v>
      </c>
      <c r="AP2" s="6" t="s">
        <v>240</v>
      </c>
      <c r="AQ2" s="6" t="s">
        <v>240</v>
      </c>
      <c r="AR2" s="6" t="s">
        <v>240</v>
      </c>
      <c r="AS2" s="6" t="s">
        <v>240</v>
      </c>
      <c r="AT2" s="5" t="s">
        <v>240</v>
      </c>
      <c r="AU2" s="5" t="s">
        <v>240</v>
      </c>
      <c r="AV2" s="5" t="s">
        <v>240</v>
      </c>
      <c r="AW2" s="5" t="s">
        <v>251</v>
      </c>
      <c r="AX2" s="5" t="s">
        <v>252</v>
      </c>
      <c r="AY2" s="5" t="s">
        <v>253</v>
      </c>
      <c r="AZ2" s="5" t="s">
        <v>240</v>
      </c>
      <c r="BA2" s="5" t="s">
        <v>255</v>
      </c>
      <c r="BB2" s="5" t="s">
        <v>240</v>
      </c>
      <c r="BC2" s="6" t="s">
        <v>240</v>
      </c>
      <c r="BD2" s="5" t="s">
        <v>240</v>
      </c>
      <c r="BE2" s="5" t="s">
        <v>240</v>
      </c>
      <c r="BF2" s="5" t="s">
        <v>256</v>
      </c>
      <c r="BG2" s="6" t="s">
        <v>247</v>
      </c>
      <c r="BH2" s="5" t="s">
        <v>257</v>
      </c>
      <c r="BI2" s="5" t="s">
        <v>240</v>
      </c>
      <c r="BJ2" s="5" t="s">
        <v>240</v>
      </c>
      <c r="BK2" s="7">
        <f>0</f>
        <v>0</v>
      </c>
      <c r="BL2" s="7">
        <f>4140400</f>
        <v>4140400</v>
      </c>
      <c r="BM2" s="5" t="s">
        <v>258</v>
      </c>
      <c r="BN2" s="5" t="s">
        <v>259</v>
      </c>
      <c r="BO2" s="5" t="s">
        <v>240</v>
      </c>
      <c r="BP2" s="5" t="s">
        <v>240</v>
      </c>
      <c r="BQ2" s="5" t="s">
        <v>240</v>
      </c>
      <c r="BR2" s="5" t="s">
        <v>240</v>
      </c>
      <c r="BS2" s="5" t="s">
        <v>240</v>
      </c>
      <c r="BT2" s="5" t="s">
        <v>240</v>
      </c>
      <c r="BU2" s="5" t="s">
        <v>240</v>
      </c>
      <c r="BV2" s="5" t="s">
        <v>240</v>
      </c>
      <c r="BW2" s="6" t="s">
        <v>240</v>
      </c>
      <c r="BX2" s="5" t="s">
        <v>240</v>
      </c>
      <c r="BY2" s="5" t="s">
        <v>260</v>
      </c>
      <c r="BZ2" s="5" t="s">
        <v>260</v>
      </c>
      <c r="CA2" s="5" t="s">
        <v>259</v>
      </c>
      <c r="CB2" s="5" t="s">
        <v>240</v>
      </c>
      <c r="CC2" s="5" t="s">
        <v>240</v>
      </c>
      <c r="CD2" s="5" t="s">
        <v>240</v>
      </c>
      <c r="CE2" s="5" t="s">
        <v>240</v>
      </c>
      <c r="CF2" s="5" t="s">
        <v>240</v>
      </c>
      <c r="CG2" s="5" t="s">
        <v>240</v>
      </c>
      <c r="CH2" s="5" t="s">
        <v>240</v>
      </c>
      <c r="CI2" s="5" t="s">
        <v>240</v>
      </c>
      <c r="CJ2" s="5" t="s">
        <v>240</v>
      </c>
      <c r="CK2" s="5" t="s">
        <v>240</v>
      </c>
      <c r="CL2" s="6" t="s">
        <v>261</v>
      </c>
      <c r="CM2" s="5" t="s">
        <v>262</v>
      </c>
      <c r="CN2" s="5" t="s">
        <v>263</v>
      </c>
      <c r="CO2" s="5" t="s">
        <v>264</v>
      </c>
      <c r="CP2" s="5" t="s">
        <v>240</v>
      </c>
      <c r="CQ2" s="5">
        <v>0</v>
      </c>
      <c r="CR2" s="5" t="s">
        <v>240</v>
      </c>
      <c r="CS2" s="5" t="s">
        <v>240</v>
      </c>
      <c r="CT2" s="5" t="s">
        <v>240</v>
      </c>
      <c r="CU2" s="5" t="s">
        <v>265</v>
      </c>
      <c r="CV2" s="5" t="s">
        <v>240</v>
      </c>
      <c r="CW2" s="8">
        <f>0</f>
        <v>0</v>
      </c>
      <c r="CX2" s="7">
        <f>0</f>
        <v>0</v>
      </c>
      <c r="CY2" s="7">
        <f>0</f>
        <v>0</v>
      </c>
      <c r="CZ2" s="7" t="s">
        <v>240</v>
      </c>
      <c r="DA2" s="7" t="s">
        <v>240</v>
      </c>
      <c r="DB2" s="7" t="s">
        <v>240</v>
      </c>
      <c r="DC2" s="5" t="s">
        <v>240</v>
      </c>
      <c r="DD2" s="5" t="s">
        <v>240</v>
      </c>
      <c r="DE2" s="5" t="s">
        <v>240</v>
      </c>
      <c r="DF2" s="5" t="s">
        <v>240</v>
      </c>
      <c r="DG2" s="7">
        <f>0</f>
        <v>0</v>
      </c>
      <c r="DH2" s="6" t="s">
        <v>240</v>
      </c>
      <c r="DI2" s="5" t="s">
        <v>240</v>
      </c>
      <c r="DJ2" s="5" t="s">
        <v>240</v>
      </c>
      <c r="DK2" s="5" t="s">
        <v>240</v>
      </c>
      <c r="DL2" s="5" t="s">
        <v>240</v>
      </c>
      <c r="DM2" s="5" t="s">
        <v>240</v>
      </c>
      <c r="DN2" s="5" t="s">
        <v>240</v>
      </c>
      <c r="DO2" s="7" t="s">
        <v>240</v>
      </c>
      <c r="DP2" s="5" t="s">
        <v>240</v>
      </c>
      <c r="DQ2" s="5" t="s">
        <v>240</v>
      </c>
      <c r="DR2" s="5" t="s">
        <v>240</v>
      </c>
      <c r="DS2" s="5" t="s">
        <v>240</v>
      </c>
      <c r="DT2" s="5" t="s">
        <v>240</v>
      </c>
      <c r="DU2" s="5" t="s">
        <v>240</v>
      </c>
      <c r="DV2" s="5" t="s">
        <v>240</v>
      </c>
      <c r="DW2" s="5" t="s">
        <v>240</v>
      </c>
      <c r="DX2" s="5" t="s">
        <v>240</v>
      </c>
      <c r="DY2" s="5" t="s">
        <v>240</v>
      </c>
      <c r="DZ2" s="5" t="s">
        <v>240</v>
      </c>
      <c r="EA2" s="5" t="s">
        <v>240</v>
      </c>
      <c r="EB2" s="5" t="s">
        <v>240</v>
      </c>
      <c r="EC2" s="5" t="s">
        <v>240</v>
      </c>
      <c r="ED2" s="5" t="s">
        <v>240</v>
      </c>
      <c r="EE2" s="5" t="s">
        <v>240</v>
      </c>
      <c r="EF2" s="5" t="s">
        <v>240</v>
      </c>
      <c r="EG2" s="5" t="s">
        <v>240</v>
      </c>
      <c r="EH2" s="5" t="s">
        <v>240</v>
      </c>
      <c r="EI2" s="5" t="s">
        <v>240</v>
      </c>
      <c r="EJ2" s="5" t="s">
        <v>240</v>
      </c>
      <c r="EK2" s="5" t="s">
        <v>240</v>
      </c>
      <c r="EL2" s="5" t="s">
        <v>240</v>
      </c>
      <c r="EM2" s="5" t="s">
        <v>240</v>
      </c>
      <c r="EN2" s="5" t="s">
        <v>240</v>
      </c>
      <c r="EO2" s="5" t="s">
        <v>240</v>
      </c>
      <c r="EP2" s="5" t="s">
        <v>240</v>
      </c>
      <c r="EQ2" s="5" t="s">
        <v>240</v>
      </c>
      <c r="ER2" s="5" t="s">
        <v>240</v>
      </c>
      <c r="ES2" s="5" t="s">
        <v>240</v>
      </c>
      <c r="ET2" s="5" t="s">
        <v>240</v>
      </c>
      <c r="EU2" s="5" t="s">
        <v>240</v>
      </c>
      <c r="EV2" s="5" t="s">
        <v>240</v>
      </c>
      <c r="EW2" s="5" t="s">
        <v>240</v>
      </c>
      <c r="EX2" s="5" t="s">
        <v>240</v>
      </c>
      <c r="EY2" s="5" t="s">
        <v>240</v>
      </c>
      <c r="EZ2" s="5" t="s">
        <v>240</v>
      </c>
      <c r="FA2" s="5" t="s">
        <v>240</v>
      </c>
      <c r="FB2" s="5" t="s">
        <v>240</v>
      </c>
      <c r="FC2" s="5" t="s">
        <v>240</v>
      </c>
      <c r="FD2" s="5" t="s">
        <v>240</v>
      </c>
      <c r="FE2" s="5" t="s">
        <v>240</v>
      </c>
      <c r="FF2" s="5" t="s">
        <v>240</v>
      </c>
      <c r="FG2" s="5" t="s">
        <v>240</v>
      </c>
      <c r="FH2" s="5" t="s">
        <v>240</v>
      </c>
      <c r="FI2" s="5" t="s">
        <v>240</v>
      </c>
      <c r="FJ2" s="5" t="s">
        <v>240</v>
      </c>
      <c r="FK2" s="5" t="s">
        <v>240</v>
      </c>
      <c r="FL2" s="5" t="s">
        <v>240</v>
      </c>
      <c r="FM2" s="5" t="s">
        <v>240</v>
      </c>
      <c r="FN2" s="5" t="s">
        <v>240</v>
      </c>
      <c r="FO2" s="5" t="s">
        <v>240</v>
      </c>
      <c r="FP2" s="5" t="s">
        <v>240</v>
      </c>
      <c r="FQ2" s="5" t="s">
        <v>240</v>
      </c>
      <c r="FR2" s="5" t="s">
        <v>240</v>
      </c>
      <c r="FS2" s="5" t="s">
        <v>240</v>
      </c>
      <c r="FT2" s="5" t="s">
        <v>240</v>
      </c>
      <c r="FU2" s="5" t="s">
        <v>240</v>
      </c>
      <c r="FV2" s="5" t="s">
        <v>240</v>
      </c>
      <c r="FW2" s="5" t="s">
        <v>240</v>
      </c>
      <c r="FX2" s="5" t="s">
        <v>240</v>
      </c>
      <c r="FY2" s="5" t="s">
        <v>240</v>
      </c>
      <c r="FZ2" s="5" t="s">
        <v>240</v>
      </c>
      <c r="GA2" s="5" t="s">
        <v>240</v>
      </c>
      <c r="GB2" s="5" t="s">
        <v>240</v>
      </c>
      <c r="GC2" s="5" t="s">
        <v>240</v>
      </c>
      <c r="GD2" s="5" t="s">
        <v>240</v>
      </c>
      <c r="GE2" s="5" t="s">
        <v>240</v>
      </c>
      <c r="GF2" s="5" t="s">
        <v>240</v>
      </c>
      <c r="GG2" s="5" t="s">
        <v>240</v>
      </c>
      <c r="GH2" s="5" t="s">
        <v>240</v>
      </c>
      <c r="GI2" s="5" t="s">
        <v>240</v>
      </c>
      <c r="GJ2" s="5" t="s">
        <v>240</v>
      </c>
      <c r="GK2" s="5" t="s">
        <v>240</v>
      </c>
      <c r="GL2" s="5" t="s">
        <v>240</v>
      </c>
      <c r="GM2" s="5" t="s">
        <v>240</v>
      </c>
      <c r="GN2" s="5" t="s">
        <v>240</v>
      </c>
      <c r="GO2" s="5" t="s">
        <v>240</v>
      </c>
      <c r="GP2" s="5" t="s">
        <v>240</v>
      </c>
      <c r="GQ2" s="5" t="s">
        <v>240</v>
      </c>
      <c r="GR2" s="5" t="s">
        <v>240</v>
      </c>
      <c r="GS2" s="5" t="s">
        <v>240</v>
      </c>
      <c r="GT2" s="5" t="s">
        <v>240</v>
      </c>
      <c r="GU2" s="5" t="s">
        <v>240</v>
      </c>
      <c r="GV2" s="5" t="s">
        <v>240</v>
      </c>
      <c r="GW2" s="5" t="s">
        <v>240</v>
      </c>
      <c r="GX2" s="5" t="s">
        <v>240</v>
      </c>
      <c r="GY2" s="5" t="s">
        <v>240</v>
      </c>
      <c r="GZ2" s="5" t="s">
        <v>240</v>
      </c>
      <c r="HA2" s="5" t="s">
        <v>240</v>
      </c>
      <c r="HB2" s="5" t="s">
        <v>240</v>
      </c>
      <c r="HC2" s="5" t="s">
        <v>240</v>
      </c>
      <c r="HD2" s="5" t="s">
        <v>240</v>
      </c>
      <c r="HE2" s="5" t="s">
        <v>240</v>
      </c>
      <c r="HF2" s="5" t="s">
        <v>240</v>
      </c>
      <c r="HG2" s="5" t="s">
        <v>240</v>
      </c>
      <c r="HH2" s="5" t="s">
        <v>240</v>
      </c>
      <c r="HI2" s="5" t="s">
        <v>240</v>
      </c>
      <c r="HJ2" s="5" t="s">
        <v>240</v>
      </c>
      <c r="HK2" s="5" t="s">
        <v>240</v>
      </c>
      <c r="HL2" s="5" t="s">
        <v>240</v>
      </c>
      <c r="HM2" s="5" t="s">
        <v>240</v>
      </c>
      <c r="HN2" s="5" t="s">
        <v>240</v>
      </c>
      <c r="HO2" s="5" t="s">
        <v>240</v>
      </c>
      <c r="HP2" s="5" t="s">
        <v>240</v>
      </c>
      <c r="HQ2" s="5" t="s">
        <v>240</v>
      </c>
      <c r="HR2" s="5" t="s">
        <v>240</v>
      </c>
      <c r="HS2" s="5" t="s">
        <v>240</v>
      </c>
      <c r="HT2" s="5" t="s">
        <v>240</v>
      </c>
      <c r="HU2" s="5" t="s">
        <v>240</v>
      </c>
      <c r="HV2" s="5" t="s">
        <v>240</v>
      </c>
      <c r="HW2" s="5" t="s">
        <v>240</v>
      </c>
      <c r="HX2" s="5" t="s">
        <v>240</v>
      </c>
      <c r="HY2" s="5" t="s">
        <v>240</v>
      </c>
      <c r="HZ2" s="5" t="s">
        <v>240</v>
      </c>
      <c r="IA2" s="5" t="s">
        <v>240</v>
      </c>
      <c r="IB2" s="5" t="s">
        <v>240</v>
      </c>
      <c r="IC2" s="5" t="s">
        <v>240</v>
      </c>
      <c r="ID2" s="5" t="s">
        <v>240</v>
      </c>
      <c r="IE2" s="5" t="s">
        <v>240</v>
      </c>
      <c r="IF2" s="5" t="s">
        <v>240</v>
      </c>
    </row>
    <row r="3" spans="1:240" x14ac:dyDescent="0.4">
      <c r="A3" s="5">
        <v>710</v>
      </c>
      <c r="B3" s="5">
        <v>1</v>
      </c>
      <c r="C3" s="5">
        <v>1</v>
      </c>
      <c r="D3" s="5" t="s">
        <v>1981</v>
      </c>
      <c r="E3" s="5" t="s">
        <v>418</v>
      </c>
      <c r="F3" s="5" t="s">
        <v>254</v>
      </c>
      <c r="G3" s="5" t="s">
        <v>240</v>
      </c>
      <c r="H3" s="6" t="s">
        <v>1982</v>
      </c>
      <c r="I3" s="5" t="s">
        <v>1980</v>
      </c>
      <c r="J3" s="8">
        <f>1761</f>
        <v>1761</v>
      </c>
      <c r="K3" s="5" t="s">
        <v>308</v>
      </c>
      <c r="L3" s="7">
        <f>3900615</f>
        <v>3900615</v>
      </c>
      <c r="M3" s="7">
        <f>3900615</f>
        <v>3900615</v>
      </c>
      <c r="N3" s="5" t="s">
        <v>242</v>
      </c>
      <c r="O3" s="5">
        <v>3</v>
      </c>
      <c r="P3" s="5" t="s">
        <v>239</v>
      </c>
      <c r="Q3" s="5" t="s">
        <v>240</v>
      </c>
      <c r="R3" s="5" t="s">
        <v>240</v>
      </c>
      <c r="S3" s="5" t="s">
        <v>240</v>
      </c>
      <c r="T3" s="5" t="s">
        <v>243</v>
      </c>
      <c r="U3" s="5" t="s">
        <v>244</v>
      </c>
      <c r="V3" s="5" t="s">
        <v>240</v>
      </c>
      <c r="W3" s="5" t="s">
        <v>240</v>
      </c>
      <c r="X3" s="5" t="s">
        <v>240</v>
      </c>
      <c r="Y3" s="5" t="s">
        <v>246</v>
      </c>
      <c r="Z3" s="6" t="s">
        <v>268</v>
      </c>
      <c r="AA3" s="6" t="s">
        <v>240</v>
      </c>
      <c r="AB3" s="6" t="s">
        <v>240</v>
      </c>
      <c r="AC3" s="5" t="s">
        <v>240</v>
      </c>
      <c r="AD3" s="6" t="s">
        <v>240</v>
      </c>
      <c r="AE3" s="6" t="s">
        <v>240</v>
      </c>
      <c r="AF3" s="5" t="s">
        <v>248</v>
      </c>
      <c r="AG3" s="5" t="s">
        <v>249</v>
      </c>
      <c r="AH3" s="5" t="s">
        <v>240</v>
      </c>
      <c r="AI3" s="5" t="s">
        <v>240</v>
      </c>
      <c r="AJ3" s="5" t="s">
        <v>240</v>
      </c>
      <c r="AK3" s="5" t="s">
        <v>240</v>
      </c>
      <c r="AL3" s="5" t="s">
        <v>240</v>
      </c>
      <c r="AM3" s="5" t="s">
        <v>240</v>
      </c>
      <c r="AN3" s="5" t="s">
        <v>240</v>
      </c>
      <c r="AO3" s="5" t="s">
        <v>240</v>
      </c>
      <c r="AP3" s="6" t="s">
        <v>240</v>
      </c>
      <c r="AQ3" s="6" t="s">
        <v>240</v>
      </c>
      <c r="AR3" s="6" t="s">
        <v>240</v>
      </c>
      <c r="AS3" s="6" t="s">
        <v>240</v>
      </c>
      <c r="AT3" s="5" t="s">
        <v>240</v>
      </c>
      <c r="AU3" s="5" t="s">
        <v>240</v>
      </c>
      <c r="AV3" s="5" t="s">
        <v>240</v>
      </c>
      <c r="AW3" s="5" t="s">
        <v>251</v>
      </c>
      <c r="AX3" s="5" t="s">
        <v>252</v>
      </c>
      <c r="AY3" s="5" t="s">
        <v>253</v>
      </c>
      <c r="AZ3" s="5" t="s">
        <v>240</v>
      </c>
      <c r="BA3" s="5" t="s">
        <v>255</v>
      </c>
      <c r="BB3" s="5" t="s">
        <v>240</v>
      </c>
      <c r="BC3" s="6" t="s">
        <v>240</v>
      </c>
      <c r="BD3" s="5" t="s">
        <v>240</v>
      </c>
      <c r="BE3" s="5" t="s">
        <v>240</v>
      </c>
      <c r="BF3" s="5" t="s">
        <v>256</v>
      </c>
      <c r="BG3" s="6" t="s">
        <v>270</v>
      </c>
      <c r="BH3" s="5" t="s">
        <v>257</v>
      </c>
      <c r="BI3" s="5" t="s">
        <v>240</v>
      </c>
      <c r="BJ3" s="5" t="s">
        <v>240</v>
      </c>
      <c r="BK3" s="7">
        <f>0</f>
        <v>0</v>
      </c>
      <c r="BL3" s="7">
        <f>3545900</f>
        <v>3545900</v>
      </c>
      <c r="BM3" s="5" t="s">
        <v>258</v>
      </c>
      <c r="BN3" s="5" t="s">
        <v>259</v>
      </c>
      <c r="BO3" s="5" t="s">
        <v>240</v>
      </c>
      <c r="BP3" s="5" t="s">
        <v>240</v>
      </c>
      <c r="BQ3" s="5" t="s">
        <v>240</v>
      </c>
      <c r="BR3" s="5" t="s">
        <v>240</v>
      </c>
      <c r="BS3" s="5" t="s">
        <v>240</v>
      </c>
      <c r="BT3" s="5" t="s">
        <v>240</v>
      </c>
      <c r="BU3" s="5" t="s">
        <v>240</v>
      </c>
      <c r="BV3" s="5" t="s">
        <v>240</v>
      </c>
      <c r="BW3" s="6" t="s">
        <v>240</v>
      </c>
      <c r="BX3" s="5" t="s">
        <v>240</v>
      </c>
      <c r="BY3" s="5" t="s">
        <v>260</v>
      </c>
      <c r="BZ3" s="5" t="s">
        <v>260</v>
      </c>
      <c r="CA3" s="5" t="s">
        <v>259</v>
      </c>
      <c r="CB3" s="5" t="s">
        <v>240</v>
      </c>
      <c r="CC3" s="5" t="s">
        <v>240</v>
      </c>
      <c r="CD3" s="5" t="s">
        <v>240</v>
      </c>
      <c r="CE3" s="5" t="s">
        <v>240</v>
      </c>
      <c r="CF3" s="5" t="s">
        <v>240</v>
      </c>
      <c r="CG3" s="5" t="s">
        <v>240</v>
      </c>
      <c r="CH3" s="5" t="s">
        <v>240</v>
      </c>
      <c r="CI3" s="5" t="s">
        <v>240</v>
      </c>
      <c r="CJ3" s="5" t="s">
        <v>240</v>
      </c>
      <c r="CK3" s="5" t="s">
        <v>240</v>
      </c>
      <c r="CL3" s="6" t="s">
        <v>261</v>
      </c>
      <c r="CM3" s="5" t="s">
        <v>262</v>
      </c>
      <c r="CN3" s="5" t="s">
        <v>263</v>
      </c>
      <c r="CO3" s="5" t="s">
        <v>264</v>
      </c>
      <c r="CP3" s="5" t="s">
        <v>240</v>
      </c>
      <c r="CQ3" s="5">
        <v>0</v>
      </c>
      <c r="CR3" s="5" t="s">
        <v>240</v>
      </c>
      <c r="CS3" s="5" t="s">
        <v>240</v>
      </c>
      <c r="CT3" s="5" t="s">
        <v>240</v>
      </c>
      <c r="CU3" s="5" t="s">
        <v>265</v>
      </c>
      <c r="CV3" s="5" t="s">
        <v>240</v>
      </c>
      <c r="CW3" s="8">
        <f>0</f>
        <v>0</v>
      </c>
      <c r="CX3" s="7">
        <f>0</f>
        <v>0</v>
      </c>
      <c r="CY3" s="7">
        <f>0</f>
        <v>0</v>
      </c>
      <c r="CZ3" s="7" t="s">
        <v>240</v>
      </c>
      <c r="DA3" s="7" t="s">
        <v>240</v>
      </c>
      <c r="DB3" s="7" t="s">
        <v>240</v>
      </c>
      <c r="DC3" s="5" t="s">
        <v>240</v>
      </c>
      <c r="DD3" s="5" t="s">
        <v>240</v>
      </c>
      <c r="DE3" s="5" t="s">
        <v>240</v>
      </c>
      <c r="DF3" s="5" t="s">
        <v>240</v>
      </c>
      <c r="DG3" s="7">
        <f>0</f>
        <v>0</v>
      </c>
      <c r="DH3" s="6" t="s">
        <v>240</v>
      </c>
      <c r="DI3" s="5" t="s">
        <v>240</v>
      </c>
      <c r="DJ3" s="5" t="s">
        <v>240</v>
      </c>
      <c r="DK3" s="5" t="s">
        <v>240</v>
      </c>
      <c r="DL3" s="5" t="s">
        <v>240</v>
      </c>
      <c r="DM3" s="5" t="s">
        <v>240</v>
      </c>
      <c r="DN3" s="5" t="s">
        <v>240</v>
      </c>
      <c r="DO3" s="7" t="s">
        <v>240</v>
      </c>
      <c r="DP3" s="5" t="s">
        <v>240</v>
      </c>
      <c r="DQ3" s="5" t="s">
        <v>240</v>
      </c>
      <c r="DR3" s="5" t="s">
        <v>240</v>
      </c>
      <c r="DS3" s="5" t="s">
        <v>240</v>
      </c>
      <c r="DT3" s="5" t="s">
        <v>240</v>
      </c>
      <c r="DU3" s="5" t="s">
        <v>240</v>
      </c>
      <c r="DV3" s="5" t="s">
        <v>240</v>
      </c>
      <c r="DW3" s="5" t="s">
        <v>240</v>
      </c>
      <c r="DX3" s="5" t="s">
        <v>240</v>
      </c>
      <c r="DY3" s="5" t="s">
        <v>240</v>
      </c>
      <c r="DZ3" s="5" t="s">
        <v>240</v>
      </c>
      <c r="EA3" s="5" t="s">
        <v>240</v>
      </c>
      <c r="EB3" s="5" t="s">
        <v>240</v>
      </c>
      <c r="EC3" s="5" t="s">
        <v>240</v>
      </c>
      <c r="ED3" s="5" t="s">
        <v>240</v>
      </c>
      <c r="EE3" s="5" t="s">
        <v>240</v>
      </c>
      <c r="EF3" s="5" t="s">
        <v>240</v>
      </c>
      <c r="EG3" s="5" t="s">
        <v>240</v>
      </c>
      <c r="EH3" s="5" t="s">
        <v>240</v>
      </c>
      <c r="EI3" s="5" t="s">
        <v>240</v>
      </c>
      <c r="EJ3" s="5" t="s">
        <v>240</v>
      </c>
      <c r="EK3" s="5" t="s">
        <v>240</v>
      </c>
      <c r="EL3" s="5" t="s">
        <v>240</v>
      </c>
      <c r="EM3" s="5" t="s">
        <v>240</v>
      </c>
      <c r="EN3" s="5" t="s">
        <v>240</v>
      </c>
      <c r="EO3" s="5" t="s">
        <v>240</v>
      </c>
      <c r="EP3" s="5" t="s">
        <v>240</v>
      </c>
      <c r="EQ3" s="5" t="s">
        <v>240</v>
      </c>
      <c r="ER3" s="5" t="s">
        <v>240</v>
      </c>
      <c r="ES3" s="5" t="s">
        <v>240</v>
      </c>
      <c r="ET3" s="5" t="s">
        <v>240</v>
      </c>
      <c r="EU3" s="5" t="s">
        <v>240</v>
      </c>
      <c r="EV3" s="5" t="s">
        <v>240</v>
      </c>
      <c r="EW3" s="5" t="s">
        <v>240</v>
      </c>
      <c r="EX3" s="5" t="s">
        <v>240</v>
      </c>
      <c r="EY3" s="5" t="s">
        <v>240</v>
      </c>
      <c r="EZ3" s="5" t="s">
        <v>240</v>
      </c>
      <c r="FA3" s="5" t="s">
        <v>240</v>
      </c>
      <c r="FB3" s="5" t="s">
        <v>240</v>
      </c>
      <c r="FC3" s="5" t="s">
        <v>240</v>
      </c>
      <c r="FD3" s="5" t="s">
        <v>240</v>
      </c>
      <c r="FE3" s="5" t="s">
        <v>240</v>
      </c>
      <c r="FF3" s="5" t="s">
        <v>240</v>
      </c>
      <c r="FG3" s="5" t="s">
        <v>240</v>
      </c>
      <c r="FH3" s="5" t="s">
        <v>240</v>
      </c>
      <c r="FI3" s="5" t="s">
        <v>240</v>
      </c>
      <c r="FJ3" s="5" t="s">
        <v>240</v>
      </c>
      <c r="FK3" s="5" t="s">
        <v>240</v>
      </c>
      <c r="FL3" s="5" t="s">
        <v>240</v>
      </c>
      <c r="FM3" s="5" t="s">
        <v>240</v>
      </c>
      <c r="FN3" s="5" t="s">
        <v>240</v>
      </c>
      <c r="FO3" s="5" t="s">
        <v>240</v>
      </c>
      <c r="FP3" s="5" t="s">
        <v>240</v>
      </c>
      <c r="FQ3" s="5" t="s">
        <v>240</v>
      </c>
      <c r="FR3" s="5" t="s">
        <v>240</v>
      </c>
      <c r="FS3" s="5" t="s">
        <v>240</v>
      </c>
      <c r="FT3" s="5" t="s">
        <v>240</v>
      </c>
      <c r="FU3" s="5" t="s">
        <v>240</v>
      </c>
      <c r="FV3" s="5" t="s">
        <v>240</v>
      </c>
      <c r="FW3" s="5" t="s">
        <v>240</v>
      </c>
      <c r="FX3" s="5" t="s">
        <v>240</v>
      </c>
      <c r="FY3" s="5" t="s">
        <v>240</v>
      </c>
      <c r="FZ3" s="5" t="s">
        <v>240</v>
      </c>
      <c r="GA3" s="5" t="s">
        <v>240</v>
      </c>
      <c r="GB3" s="5" t="s">
        <v>240</v>
      </c>
      <c r="GC3" s="5" t="s">
        <v>240</v>
      </c>
      <c r="GD3" s="5" t="s">
        <v>240</v>
      </c>
      <c r="GE3" s="5" t="s">
        <v>240</v>
      </c>
      <c r="GF3" s="5" t="s">
        <v>240</v>
      </c>
      <c r="GG3" s="5" t="s">
        <v>240</v>
      </c>
      <c r="GH3" s="5" t="s">
        <v>240</v>
      </c>
      <c r="GI3" s="5" t="s">
        <v>240</v>
      </c>
      <c r="GJ3" s="5" t="s">
        <v>240</v>
      </c>
      <c r="GK3" s="5" t="s">
        <v>240</v>
      </c>
      <c r="GL3" s="5" t="s">
        <v>240</v>
      </c>
      <c r="GM3" s="5" t="s">
        <v>240</v>
      </c>
      <c r="GN3" s="5" t="s">
        <v>240</v>
      </c>
      <c r="GO3" s="5" t="s">
        <v>240</v>
      </c>
      <c r="GP3" s="5" t="s">
        <v>240</v>
      </c>
      <c r="GQ3" s="5" t="s">
        <v>240</v>
      </c>
      <c r="GR3" s="5" t="s">
        <v>240</v>
      </c>
      <c r="GS3" s="5" t="s">
        <v>240</v>
      </c>
      <c r="GT3" s="5" t="s">
        <v>240</v>
      </c>
      <c r="GU3" s="5" t="s">
        <v>240</v>
      </c>
      <c r="GV3" s="5" t="s">
        <v>240</v>
      </c>
      <c r="GW3" s="5" t="s">
        <v>240</v>
      </c>
      <c r="GX3" s="5" t="s">
        <v>240</v>
      </c>
      <c r="GY3" s="5" t="s">
        <v>240</v>
      </c>
      <c r="GZ3" s="5" t="s">
        <v>240</v>
      </c>
      <c r="HA3" s="5" t="s">
        <v>240</v>
      </c>
      <c r="HB3" s="5" t="s">
        <v>240</v>
      </c>
      <c r="HC3" s="5" t="s">
        <v>240</v>
      </c>
      <c r="HD3" s="5" t="s">
        <v>240</v>
      </c>
      <c r="HE3" s="5" t="s">
        <v>240</v>
      </c>
      <c r="HF3" s="5" t="s">
        <v>240</v>
      </c>
      <c r="HG3" s="5" t="s">
        <v>240</v>
      </c>
      <c r="HH3" s="5" t="s">
        <v>240</v>
      </c>
      <c r="HI3" s="5" t="s">
        <v>240</v>
      </c>
      <c r="HJ3" s="5" t="s">
        <v>240</v>
      </c>
      <c r="HK3" s="5" t="s">
        <v>240</v>
      </c>
      <c r="HL3" s="5" t="s">
        <v>240</v>
      </c>
      <c r="HM3" s="5" t="s">
        <v>240</v>
      </c>
      <c r="HN3" s="5" t="s">
        <v>240</v>
      </c>
      <c r="HO3" s="5" t="s">
        <v>240</v>
      </c>
      <c r="HP3" s="5" t="s">
        <v>240</v>
      </c>
      <c r="HQ3" s="5" t="s">
        <v>240</v>
      </c>
      <c r="HR3" s="5" t="s">
        <v>240</v>
      </c>
      <c r="HS3" s="5" t="s">
        <v>240</v>
      </c>
      <c r="HT3" s="5" t="s">
        <v>240</v>
      </c>
      <c r="HU3" s="5" t="s">
        <v>240</v>
      </c>
      <c r="HV3" s="5" t="s">
        <v>240</v>
      </c>
      <c r="HW3" s="5" t="s">
        <v>240</v>
      </c>
      <c r="HX3" s="5" t="s">
        <v>240</v>
      </c>
      <c r="HY3" s="5" t="s">
        <v>240</v>
      </c>
      <c r="HZ3" s="5" t="s">
        <v>240</v>
      </c>
      <c r="IA3" s="5" t="s">
        <v>240</v>
      </c>
      <c r="IB3" s="5" t="s">
        <v>240</v>
      </c>
      <c r="IC3" s="5" t="s">
        <v>240</v>
      </c>
      <c r="ID3" s="5" t="s">
        <v>240</v>
      </c>
      <c r="IE3" s="5" t="s">
        <v>240</v>
      </c>
      <c r="IF3" s="5" t="s">
        <v>240</v>
      </c>
    </row>
    <row r="4" spans="1:240" x14ac:dyDescent="0.4">
      <c r="A4" s="5">
        <v>711</v>
      </c>
      <c r="B4" s="5">
        <v>1</v>
      </c>
      <c r="C4" s="5">
        <v>1</v>
      </c>
      <c r="D4" s="5" t="s">
        <v>4549</v>
      </c>
      <c r="E4" s="5" t="s">
        <v>418</v>
      </c>
      <c r="F4" s="5" t="s">
        <v>254</v>
      </c>
      <c r="G4" s="5" t="s">
        <v>240</v>
      </c>
      <c r="H4" s="6" t="s">
        <v>4550</v>
      </c>
      <c r="I4" s="5" t="s">
        <v>4548</v>
      </c>
      <c r="J4" s="8">
        <f>4641</f>
        <v>4641</v>
      </c>
      <c r="K4" s="5" t="s">
        <v>308</v>
      </c>
      <c r="L4" s="7">
        <f>10279815</f>
        <v>10279815</v>
      </c>
      <c r="M4" s="7">
        <f>10279815</f>
        <v>10279815</v>
      </c>
      <c r="N4" s="5" t="s">
        <v>242</v>
      </c>
      <c r="O4" s="5">
        <v>3</v>
      </c>
      <c r="P4" s="5" t="s">
        <v>239</v>
      </c>
      <c r="Q4" s="5" t="s">
        <v>240</v>
      </c>
      <c r="R4" s="5" t="s">
        <v>240</v>
      </c>
      <c r="S4" s="5" t="s">
        <v>240</v>
      </c>
      <c r="T4" s="5" t="s">
        <v>243</v>
      </c>
      <c r="U4" s="5" t="s">
        <v>244</v>
      </c>
      <c r="V4" s="5" t="s">
        <v>240</v>
      </c>
      <c r="W4" s="5" t="s">
        <v>240</v>
      </c>
      <c r="X4" s="5" t="s">
        <v>240</v>
      </c>
      <c r="Y4" s="5" t="s">
        <v>246</v>
      </c>
      <c r="Z4" s="6" t="s">
        <v>272</v>
      </c>
      <c r="AA4" s="6" t="s">
        <v>240</v>
      </c>
      <c r="AB4" s="6" t="s">
        <v>240</v>
      </c>
      <c r="AC4" s="5" t="s">
        <v>240</v>
      </c>
      <c r="AD4" s="6" t="s">
        <v>240</v>
      </c>
      <c r="AE4" s="6" t="s">
        <v>240</v>
      </c>
      <c r="AF4" s="5" t="s">
        <v>248</v>
      </c>
      <c r="AG4" s="5" t="s">
        <v>249</v>
      </c>
      <c r="AH4" s="5" t="s">
        <v>240</v>
      </c>
      <c r="AI4" s="5" t="s">
        <v>240</v>
      </c>
      <c r="AJ4" s="5" t="s">
        <v>240</v>
      </c>
      <c r="AK4" s="5" t="s">
        <v>240</v>
      </c>
      <c r="AL4" s="5" t="s">
        <v>240</v>
      </c>
      <c r="AM4" s="5" t="s">
        <v>240</v>
      </c>
      <c r="AN4" s="5" t="s">
        <v>240</v>
      </c>
      <c r="AO4" s="5" t="s">
        <v>240</v>
      </c>
      <c r="AP4" s="6" t="s">
        <v>240</v>
      </c>
      <c r="AQ4" s="6" t="s">
        <v>240</v>
      </c>
      <c r="AR4" s="6" t="s">
        <v>240</v>
      </c>
      <c r="AS4" s="6" t="s">
        <v>240</v>
      </c>
      <c r="AT4" s="5" t="s">
        <v>240</v>
      </c>
      <c r="AU4" s="5" t="s">
        <v>240</v>
      </c>
      <c r="AV4" s="5" t="s">
        <v>240</v>
      </c>
      <c r="AW4" s="5" t="s">
        <v>251</v>
      </c>
      <c r="AX4" s="5" t="s">
        <v>252</v>
      </c>
      <c r="AY4" s="5" t="s">
        <v>253</v>
      </c>
      <c r="AZ4" s="5" t="s">
        <v>240</v>
      </c>
      <c r="BA4" s="5" t="s">
        <v>255</v>
      </c>
      <c r="BB4" s="5" t="s">
        <v>240</v>
      </c>
      <c r="BC4" s="6" t="s">
        <v>240</v>
      </c>
      <c r="BD4" s="5" t="s">
        <v>240</v>
      </c>
      <c r="BE4" s="5" t="s">
        <v>240</v>
      </c>
      <c r="BF4" s="5" t="s">
        <v>256</v>
      </c>
      <c r="BG4" s="6" t="s">
        <v>272</v>
      </c>
      <c r="BH4" s="5" t="s">
        <v>257</v>
      </c>
      <c r="BI4" s="5" t="s">
        <v>240</v>
      </c>
      <c r="BJ4" s="5" t="s">
        <v>240</v>
      </c>
      <c r="BK4" s="7">
        <f>0</f>
        <v>0</v>
      </c>
      <c r="BL4" s="7">
        <f>12340900</f>
        <v>12340900</v>
      </c>
      <c r="BM4" s="5" t="s">
        <v>258</v>
      </c>
      <c r="BN4" s="5" t="s">
        <v>259</v>
      </c>
      <c r="BO4" s="5" t="s">
        <v>240</v>
      </c>
      <c r="BP4" s="5" t="s">
        <v>240</v>
      </c>
      <c r="BQ4" s="5" t="s">
        <v>240</v>
      </c>
      <c r="BR4" s="5" t="s">
        <v>240</v>
      </c>
      <c r="BS4" s="5" t="s">
        <v>240</v>
      </c>
      <c r="BT4" s="5" t="s">
        <v>240</v>
      </c>
      <c r="BU4" s="5" t="s">
        <v>240</v>
      </c>
      <c r="BV4" s="5" t="s">
        <v>240</v>
      </c>
      <c r="BW4" s="6" t="s">
        <v>240</v>
      </c>
      <c r="BX4" s="5" t="s">
        <v>240</v>
      </c>
      <c r="BY4" s="5" t="s">
        <v>260</v>
      </c>
      <c r="BZ4" s="5" t="s">
        <v>260</v>
      </c>
      <c r="CA4" s="5" t="s">
        <v>259</v>
      </c>
      <c r="CB4" s="5" t="s">
        <v>240</v>
      </c>
      <c r="CC4" s="5" t="s">
        <v>240</v>
      </c>
      <c r="CD4" s="5" t="s">
        <v>240</v>
      </c>
      <c r="CE4" s="5" t="s">
        <v>240</v>
      </c>
      <c r="CF4" s="5" t="s">
        <v>240</v>
      </c>
      <c r="CG4" s="5" t="s">
        <v>240</v>
      </c>
      <c r="CH4" s="5" t="s">
        <v>240</v>
      </c>
      <c r="CI4" s="5" t="s">
        <v>240</v>
      </c>
      <c r="CJ4" s="5" t="s">
        <v>240</v>
      </c>
      <c r="CK4" s="5" t="s">
        <v>240</v>
      </c>
      <c r="CL4" s="6" t="s">
        <v>261</v>
      </c>
      <c r="CM4" s="5" t="s">
        <v>262</v>
      </c>
      <c r="CN4" s="5" t="s">
        <v>263</v>
      </c>
      <c r="CO4" s="5" t="s">
        <v>264</v>
      </c>
      <c r="CP4" s="5" t="s">
        <v>240</v>
      </c>
      <c r="CQ4" s="5">
        <v>0</v>
      </c>
      <c r="CR4" s="5" t="s">
        <v>240</v>
      </c>
      <c r="CS4" s="5" t="s">
        <v>240</v>
      </c>
      <c r="CT4" s="5" t="s">
        <v>240</v>
      </c>
      <c r="CU4" s="5" t="s">
        <v>265</v>
      </c>
      <c r="CV4" s="5" t="s">
        <v>240</v>
      </c>
      <c r="CW4" s="8">
        <f>0</f>
        <v>0</v>
      </c>
      <c r="CX4" s="7">
        <f>0</f>
        <v>0</v>
      </c>
      <c r="CY4" s="7">
        <f>0</f>
        <v>0</v>
      </c>
      <c r="CZ4" s="7" t="s">
        <v>240</v>
      </c>
      <c r="DA4" s="7" t="s">
        <v>240</v>
      </c>
      <c r="DB4" s="7" t="s">
        <v>240</v>
      </c>
      <c r="DC4" s="5" t="s">
        <v>240</v>
      </c>
      <c r="DD4" s="5" t="s">
        <v>240</v>
      </c>
      <c r="DE4" s="5" t="s">
        <v>240</v>
      </c>
      <c r="DF4" s="5" t="s">
        <v>240</v>
      </c>
      <c r="DG4" s="7">
        <f>0</f>
        <v>0</v>
      </c>
      <c r="DH4" s="6" t="s">
        <v>240</v>
      </c>
      <c r="DI4" s="5" t="s">
        <v>240</v>
      </c>
      <c r="DJ4" s="5" t="s">
        <v>240</v>
      </c>
      <c r="DK4" s="5" t="s">
        <v>240</v>
      </c>
      <c r="DL4" s="5" t="s">
        <v>240</v>
      </c>
      <c r="DM4" s="5" t="s">
        <v>240</v>
      </c>
      <c r="DN4" s="5" t="s">
        <v>240</v>
      </c>
      <c r="DO4" s="7" t="s">
        <v>240</v>
      </c>
      <c r="DP4" s="5" t="s">
        <v>240</v>
      </c>
      <c r="DQ4" s="5" t="s">
        <v>240</v>
      </c>
      <c r="DR4" s="5" t="s">
        <v>240</v>
      </c>
      <c r="DS4" s="5" t="s">
        <v>240</v>
      </c>
      <c r="DT4" s="5" t="s">
        <v>240</v>
      </c>
      <c r="DU4" s="5" t="s">
        <v>240</v>
      </c>
      <c r="DV4" s="5" t="s">
        <v>240</v>
      </c>
      <c r="DW4" s="5" t="s">
        <v>240</v>
      </c>
      <c r="DX4" s="5" t="s">
        <v>240</v>
      </c>
      <c r="DY4" s="5" t="s">
        <v>240</v>
      </c>
      <c r="DZ4" s="5" t="s">
        <v>240</v>
      </c>
      <c r="EA4" s="5" t="s">
        <v>240</v>
      </c>
      <c r="EB4" s="5" t="s">
        <v>240</v>
      </c>
      <c r="EC4" s="5" t="s">
        <v>240</v>
      </c>
      <c r="ED4" s="5" t="s">
        <v>240</v>
      </c>
      <c r="EE4" s="5" t="s">
        <v>240</v>
      </c>
      <c r="EF4" s="5" t="s">
        <v>240</v>
      </c>
      <c r="EG4" s="5" t="s">
        <v>240</v>
      </c>
      <c r="EH4" s="5" t="s">
        <v>240</v>
      </c>
      <c r="EI4" s="5" t="s">
        <v>240</v>
      </c>
      <c r="EJ4" s="5" t="s">
        <v>240</v>
      </c>
      <c r="EK4" s="5" t="s">
        <v>240</v>
      </c>
      <c r="EL4" s="5" t="s">
        <v>240</v>
      </c>
      <c r="EM4" s="5" t="s">
        <v>240</v>
      </c>
      <c r="EN4" s="5" t="s">
        <v>240</v>
      </c>
      <c r="EO4" s="5" t="s">
        <v>240</v>
      </c>
      <c r="EP4" s="5" t="s">
        <v>240</v>
      </c>
      <c r="EQ4" s="5" t="s">
        <v>240</v>
      </c>
      <c r="ER4" s="5" t="s">
        <v>240</v>
      </c>
      <c r="ES4" s="5" t="s">
        <v>240</v>
      </c>
      <c r="ET4" s="5" t="s">
        <v>240</v>
      </c>
      <c r="EU4" s="5" t="s">
        <v>240</v>
      </c>
      <c r="EV4" s="5" t="s">
        <v>240</v>
      </c>
      <c r="EW4" s="5" t="s">
        <v>240</v>
      </c>
      <c r="EX4" s="5" t="s">
        <v>240</v>
      </c>
      <c r="EY4" s="5" t="s">
        <v>240</v>
      </c>
      <c r="EZ4" s="5" t="s">
        <v>240</v>
      </c>
      <c r="FA4" s="5" t="s">
        <v>240</v>
      </c>
      <c r="FB4" s="5" t="s">
        <v>240</v>
      </c>
      <c r="FC4" s="5" t="s">
        <v>240</v>
      </c>
      <c r="FD4" s="5" t="s">
        <v>240</v>
      </c>
      <c r="FE4" s="5" t="s">
        <v>240</v>
      </c>
      <c r="FF4" s="5" t="s">
        <v>240</v>
      </c>
      <c r="FG4" s="5" t="s">
        <v>240</v>
      </c>
      <c r="FH4" s="5" t="s">
        <v>240</v>
      </c>
      <c r="FI4" s="5" t="s">
        <v>240</v>
      </c>
      <c r="FJ4" s="5" t="s">
        <v>240</v>
      </c>
      <c r="FK4" s="5" t="s">
        <v>240</v>
      </c>
      <c r="FL4" s="5" t="s">
        <v>240</v>
      </c>
      <c r="FM4" s="5" t="s">
        <v>240</v>
      </c>
      <c r="FN4" s="5" t="s">
        <v>240</v>
      </c>
      <c r="FO4" s="5" t="s">
        <v>240</v>
      </c>
      <c r="FP4" s="5" t="s">
        <v>240</v>
      </c>
      <c r="FQ4" s="5" t="s">
        <v>240</v>
      </c>
      <c r="FR4" s="5" t="s">
        <v>240</v>
      </c>
      <c r="FS4" s="5" t="s">
        <v>240</v>
      </c>
      <c r="FT4" s="5" t="s">
        <v>240</v>
      </c>
      <c r="FU4" s="5" t="s">
        <v>240</v>
      </c>
      <c r="FV4" s="5" t="s">
        <v>240</v>
      </c>
      <c r="FW4" s="5" t="s">
        <v>240</v>
      </c>
      <c r="FX4" s="5" t="s">
        <v>240</v>
      </c>
      <c r="FY4" s="5" t="s">
        <v>240</v>
      </c>
      <c r="FZ4" s="5" t="s">
        <v>240</v>
      </c>
      <c r="GA4" s="5" t="s">
        <v>240</v>
      </c>
      <c r="GB4" s="5" t="s">
        <v>240</v>
      </c>
      <c r="GC4" s="5" t="s">
        <v>240</v>
      </c>
      <c r="GD4" s="5" t="s">
        <v>240</v>
      </c>
      <c r="GE4" s="5" t="s">
        <v>240</v>
      </c>
      <c r="GF4" s="5" t="s">
        <v>240</v>
      </c>
      <c r="GG4" s="5" t="s">
        <v>240</v>
      </c>
      <c r="GH4" s="5" t="s">
        <v>240</v>
      </c>
      <c r="GI4" s="5" t="s">
        <v>240</v>
      </c>
      <c r="GJ4" s="5" t="s">
        <v>240</v>
      </c>
      <c r="GK4" s="5" t="s">
        <v>240</v>
      </c>
      <c r="GL4" s="5" t="s">
        <v>240</v>
      </c>
      <c r="GM4" s="5" t="s">
        <v>240</v>
      </c>
      <c r="GN4" s="5" t="s">
        <v>240</v>
      </c>
      <c r="GO4" s="5" t="s">
        <v>240</v>
      </c>
      <c r="GP4" s="5" t="s">
        <v>240</v>
      </c>
      <c r="GQ4" s="5" t="s">
        <v>240</v>
      </c>
      <c r="GR4" s="5" t="s">
        <v>240</v>
      </c>
      <c r="GS4" s="5" t="s">
        <v>240</v>
      </c>
      <c r="GT4" s="5" t="s">
        <v>240</v>
      </c>
      <c r="GU4" s="5" t="s">
        <v>240</v>
      </c>
      <c r="GV4" s="5" t="s">
        <v>240</v>
      </c>
      <c r="GW4" s="5" t="s">
        <v>240</v>
      </c>
      <c r="GX4" s="5" t="s">
        <v>240</v>
      </c>
      <c r="GY4" s="5" t="s">
        <v>240</v>
      </c>
      <c r="GZ4" s="5" t="s">
        <v>240</v>
      </c>
      <c r="HA4" s="5" t="s">
        <v>240</v>
      </c>
      <c r="HB4" s="5" t="s">
        <v>240</v>
      </c>
      <c r="HC4" s="5" t="s">
        <v>240</v>
      </c>
      <c r="HD4" s="5" t="s">
        <v>240</v>
      </c>
      <c r="HE4" s="5" t="s">
        <v>240</v>
      </c>
      <c r="HF4" s="5" t="s">
        <v>240</v>
      </c>
      <c r="HG4" s="5" t="s">
        <v>240</v>
      </c>
      <c r="HH4" s="5" t="s">
        <v>240</v>
      </c>
      <c r="HI4" s="5" t="s">
        <v>240</v>
      </c>
      <c r="HJ4" s="5" t="s">
        <v>240</v>
      </c>
      <c r="HK4" s="5" t="s">
        <v>240</v>
      </c>
      <c r="HL4" s="5" t="s">
        <v>240</v>
      </c>
      <c r="HM4" s="5" t="s">
        <v>240</v>
      </c>
      <c r="HN4" s="5" t="s">
        <v>240</v>
      </c>
      <c r="HO4" s="5" t="s">
        <v>240</v>
      </c>
      <c r="HP4" s="5" t="s">
        <v>240</v>
      </c>
      <c r="HQ4" s="5" t="s">
        <v>240</v>
      </c>
      <c r="HR4" s="5" t="s">
        <v>240</v>
      </c>
      <c r="HS4" s="5" t="s">
        <v>240</v>
      </c>
      <c r="HT4" s="5" t="s">
        <v>240</v>
      </c>
      <c r="HU4" s="5" t="s">
        <v>240</v>
      </c>
      <c r="HV4" s="5" t="s">
        <v>240</v>
      </c>
      <c r="HW4" s="5" t="s">
        <v>240</v>
      </c>
      <c r="HX4" s="5" t="s">
        <v>240</v>
      </c>
      <c r="HY4" s="5" t="s">
        <v>240</v>
      </c>
      <c r="HZ4" s="5" t="s">
        <v>240</v>
      </c>
      <c r="IA4" s="5" t="s">
        <v>240</v>
      </c>
      <c r="IB4" s="5" t="s">
        <v>240</v>
      </c>
      <c r="IC4" s="5" t="s">
        <v>240</v>
      </c>
      <c r="ID4" s="5" t="s">
        <v>240</v>
      </c>
      <c r="IE4" s="5" t="s">
        <v>240</v>
      </c>
      <c r="IF4" s="5" t="s">
        <v>240</v>
      </c>
    </row>
    <row r="5" spans="1:240" x14ac:dyDescent="0.4">
      <c r="A5" s="5">
        <v>712</v>
      </c>
      <c r="B5" s="5">
        <v>1</v>
      </c>
      <c r="C5" s="5">
        <v>1</v>
      </c>
      <c r="D5" s="5" t="s">
        <v>1976</v>
      </c>
      <c r="E5" s="5" t="s">
        <v>418</v>
      </c>
      <c r="F5" s="5" t="s">
        <v>254</v>
      </c>
      <c r="G5" s="5" t="s">
        <v>240</v>
      </c>
      <c r="H5" s="6" t="s">
        <v>1977</v>
      </c>
      <c r="I5" s="5" t="s">
        <v>1975</v>
      </c>
      <c r="J5" s="8">
        <f>1757</f>
        <v>1757</v>
      </c>
      <c r="K5" s="5" t="s">
        <v>308</v>
      </c>
      <c r="L5" s="7">
        <f>3891755</f>
        <v>3891755</v>
      </c>
      <c r="M5" s="7">
        <f>3891755</f>
        <v>3891755</v>
      </c>
      <c r="N5" s="5" t="s">
        <v>242</v>
      </c>
      <c r="O5" s="5">
        <v>3</v>
      </c>
      <c r="P5" s="5" t="s">
        <v>239</v>
      </c>
      <c r="Q5" s="5" t="s">
        <v>240</v>
      </c>
      <c r="R5" s="5" t="s">
        <v>240</v>
      </c>
      <c r="S5" s="5" t="s">
        <v>240</v>
      </c>
      <c r="T5" s="5" t="s">
        <v>243</v>
      </c>
      <c r="U5" s="5" t="s">
        <v>244</v>
      </c>
      <c r="V5" s="5" t="s">
        <v>240</v>
      </c>
      <c r="W5" s="5" t="s">
        <v>240</v>
      </c>
      <c r="X5" s="5" t="s">
        <v>240</v>
      </c>
      <c r="Y5" s="5" t="s">
        <v>246</v>
      </c>
      <c r="Z5" s="6" t="s">
        <v>275</v>
      </c>
      <c r="AA5" s="6" t="s">
        <v>240</v>
      </c>
      <c r="AB5" s="6" t="s">
        <v>240</v>
      </c>
      <c r="AC5" s="5" t="s">
        <v>240</v>
      </c>
      <c r="AD5" s="6" t="s">
        <v>240</v>
      </c>
      <c r="AE5" s="6" t="s">
        <v>240</v>
      </c>
      <c r="AF5" s="5" t="s">
        <v>248</v>
      </c>
      <c r="AG5" s="5" t="s">
        <v>249</v>
      </c>
      <c r="AH5" s="5" t="s">
        <v>240</v>
      </c>
      <c r="AI5" s="5" t="s">
        <v>240</v>
      </c>
      <c r="AJ5" s="5" t="s">
        <v>240</v>
      </c>
      <c r="AK5" s="5" t="s">
        <v>240</v>
      </c>
      <c r="AL5" s="5" t="s">
        <v>240</v>
      </c>
      <c r="AM5" s="5" t="s">
        <v>240</v>
      </c>
      <c r="AN5" s="5" t="s">
        <v>240</v>
      </c>
      <c r="AO5" s="5" t="s">
        <v>240</v>
      </c>
      <c r="AP5" s="6" t="s">
        <v>240</v>
      </c>
      <c r="AQ5" s="6" t="s">
        <v>240</v>
      </c>
      <c r="AR5" s="6" t="s">
        <v>240</v>
      </c>
      <c r="AS5" s="6" t="s">
        <v>240</v>
      </c>
      <c r="AT5" s="5" t="s">
        <v>240</v>
      </c>
      <c r="AU5" s="5" t="s">
        <v>240</v>
      </c>
      <c r="AV5" s="5" t="s">
        <v>240</v>
      </c>
      <c r="AW5" s="5" t="s">
        <v>251</v>
      </c>
      <c r="AX5" s="5" t="s">
        <v>252</v>
      </c>
      <c r="AY5" s="5" t="s">
        <v>253</v>
      </c>
      <c r="AZ5" s="5" t="s">
        <v>240</v>
      </c>
      <c r="BA5" s="5" t="s">
        <v>255</v>
      </c>
      <c r="BB5" s="5" t="s">
        <v>240</v>
      </c>
      <c r="BC5" s="6" t="s">
        <v>240</v>
      </c>
      <c r="BD5" s="5" t="s">
        <v>240</v>
      </c>
      <c r="BE5" s="5" t="s">
        <v>240</v>
      </c>
      <c r="BF5" s="5" t="s">
        <v>256</v>
      </c>
      <c r="BG5" s="6" t="s">
        <v>270</v>
      </c>
      <c r="BH5" s="5" t="s">
        <v>257</v>
      </c>
      <c r="BI5" s="5" t="s">
        <v>240</v>
      </c>
      <c r="BJ5" s="5" t="s">
        <v>240</v>
      </c>
      <c r="BK5" s="7">
        <f>0</f>
        <v>0</v>
      </c>
      <c r="BL5" s="7">
        <f>16072560</f>
        <v>16072560</v>
      </c>
      <c r="BM5" s="5" t="s">
        <v>258</v>
      </c>
      <c r="BN5" s="5" t="s">
        <v>259</v>
      </c>
      <c r="BO5" s="5" t="s">
        <v>240</v>
      </c>
      <c r="BP5" s="5" t="s">
        <v>240</v>
      </c>
      <c r="BQ5" s="5" t="s">
        <v>240</v>
      </c>
      <c r="BR5" s="5" t="s">
        <v>240</v>
      </c>
      <c r="BS5" s="5" t="s">
        <v>240</v>
      </c>
      <c r="BT5" s="5" t="s">
        <v>240</v>
      </c>
      <c r="BU5" s="5" t="s">
        <v>240</v>
      </c>
      <c r="BV5" s="5" t="s">
        <v>240</v>
      </c>
      <c r="BW5" s="6" t="s">
        <v>240</v>
      </c>
      <c r="BX5" s="5" t="s">
        <v>240</v>
      </c>
      <c r="BY5" s="5" t="s">
        <v>260</v>
      </c>
      <c r="BZ5" s="5" t="s">
        <v>260</v>
      </c>
      <c r="CA5" s="5" t="s">
        <v>259</v>
      </c>
      <c r="CB5" s="5" t="s">
        <v>240</v>
      </c>
      <c r="CC5" s="5" t="s">
        <v>240</v>
      </c>
      <c r="CD5" s="5" t="s">
        <v>240</v>
      </c>
      <c r="CE5" s="5" t="s">
        <v>240</v>
      </c>
      <c r="CF5" s="5" t="s">
        <v>240</v>
      </c>
      <c r="CG5" s="5" t="s">
        <v>240</v>
      </c>
      <c r="CH5" s="5" t="s">
        <v>240</v>
      </c>
      <c r="CI5" s="5" t="s">
        <v>240</v>
      </c>
      <c r="CJ5" s="5" t="s">
        <v>240</v>
      </c>
      <c r="CK5" s="5" t="s">
        <v>240</v>
      </c>
      <c r="CL5" s="6" t="s">
        <v>261</v>
      </c>
      <c r="CM5" s="5" t="s">
        <v>262</v>
      </c>
      <c r="CN5" s="5" t="s">
        <v>263</v>
      </c>
      <c r="CO5" s="5" t="s">
        <v>264</v>
      </c>
      <c r="CP5" s="5" t="s">
        <v>240</v>
      </c>
      <c r="CQ5" s="5">
        <v>0</v>
      </c>
      <c r="CR5" s="5" t="s">
        <v>240</v>
      </c>
      <c r="CS5" s="5" t="s">
        <v>240</v>
      </c>
      <c r="CT5" s="5" t="s">
        <v>240</v>
      </c>
      <c r="CU5" s="5" t="s">
        <v>265</v>
      </c>
      <c r="CV5" s="5" t="s">
        <v>240</v>
      </c>
      <c r="CW5" s="8">
        <f>0</f>
        <v>0</v>
      </c>
      <c r="CX5" s="7">
        <f>0</f>
        <v>0</v>
      </c>
      <c r="CY5" s="7">
        <f>0</f>
        <v>0</v>
      </c>
      <c r="CZ5" s="7" t="s">
        <v>240</v>
      </c>
      <c r="DA5" s="7" t="s">
        <v>240</v>
      </c>
      <c r="DB5" s="7" t="s">
        <v>240</v>
      </c>
      <c r="DC5" s="5" t="s">
        <v>240</v>
      </c>
      <c r="DD5" s="5" t="s">
        <v>240</v>
      </c>
      <c r="DE5" s="5" t="s">
        <v>240</v>
      </c>
      <c r="DF5" s="5" t="s">
        <v>240</v>
      </c>
      <c r="DG5" s="7">
        <f>0</f>
        <v>0</v>
      </c>
      <c r="DH5" s="6" t="s">
        <v>240</v>
      </c>
      <c r="DI5" s="5" t="s">
        <v>240</v>
      </c>
      <c r="DJ5" s="5" t="s">
        <v>240</v>
      </c>
      <c r="DK5" s="5" t="s">
        <v>240</v>
      </c>
      <c r="DL5" s="5" t="s">
        <v>240</v>
      </c>
      <c r="DM5" s="5" t="s">
        <v>240</v>
      </c>
      <c r="DN5" s="5" t="s">
        <v>240</v>
      </c>
      <c r="DO5" s="7" t="s">
        <v>240</v>
      </c>
      <c r="DP5" s="5" t="s">
        <v>240</v>
      </c>
      <c r="DQ5" s="5" t="s">
        <v>240</v>
      </c>
      <c r="DR5" s="5" t="s">
        <v>240</v>
      </c>
      <c r="DS5" s="5" t="s">
        <v>240</v>
      </c>
      <c r="DT5" s="5" t="s">
        <v>240</v>
      </c>
      <c r="DU5" s="5" t="s">
        <v>240</v>
      </c>
      <c r="DV5" s="5" t="s">
        <v>240</v>
      </c>
      <c r="DW5" s="5" t="s">
        <v>240</v>
      </c>
      <c r="DX5" s="5" t="s">
        <v>240</v>
      </c>
      <c r="DY5" s="5" t="s">
        <v>240</v>
      </c>
      <c r="DZ5" s="5" t="s">
        <v>240</v>
      </c>
      <c r="EA5" s="5" t="s">
        <v>240</v>
      </c>
      <c r="EB5" s="5" t="s">
        <v>240</v>
      </c>
      <c r="EC5" s="5" t="s">
        <v>240</v>
      </c>
      <c r="ED5" s="5" t="s">
        <v>240</v>
      </c>
      <c r="EE5" s="5" t="s">
        <v>240</v>
      </c>
      <c r="EF5" s="5" t="s">
        <v>240</v>
      </c>
      <c r="EG5" s="5" t="s">
        <v>240</v>
      </c>
      <c r="EH5" s="5" t="s">
        <v>240</v>
      </c>
      <c r="EI5" s="5" t="s">
        <v>240</v>
      </c>
      <c r="EJ5" s="5" t="s">
        <v>240</v>
      </c>
      <c r="EK5" s="5" t="s">
        <v>240</v>
      </c>
      <c r="EL5" s="5" t="s">
        <v>240</v>
      </c>
      <c r="EM5" s="5" t="s">
        <v>240</v>
      </c>
      <c r="EN5" s="5" t="s">
        <v>240</v>
      </c>
      <c r="EO5" s="5" t="s">
        <v>240</v>
      </c>
      <c r="EP5" s="5" t="s">
        <v>240</v>
      </c>
      <c r="EQ5" s="5" t="s">
        <v>240</v>
      </c>
      <c r="ER5" s="5" t="s">
        <v>240</v>
      </c>
      <c r="ES5" s="5" t="s">
        <v>240</v>
      </c>
      <c r="ET5" s="5" t="s">
        <v>240</v>
      </c>
      <c r="EU5" s="5" t="s">
        <v>240</v>
      </c>
      <c r="EV5" s="5" t="s">
        <v>240</v>
      </c>
      <c r="EW5" s="5" t="s">
        <v>240</v>
      </c>
      <c r="EX5" s="5" t="s">
        <v>240</v>
      </c>
      <c r="EY5" s="5" t="s">
        <v>240</v>
      </c>
      <c r="EZ5" s="5" t="s">
        <v>240</v>
      </c>
      <c r="FA5" s="5" t="s">
        <v>240</v>
      </c>
      <c r="FB5" s="5" t="s">
        <v>240</v>
      </c>
      <c r="FC5" s="5" t="s">
        <v>240</v>
      </c>
      <c r="FD5" s="5" t="s">
        <v>240</v>
      </c>
      <c r="FE5" s="5" t="s">
        <v>240</v>
      </c>
      <c r="FF5" s="5" t="s">
        <v>240</v>
      </c>
      <c r="FG5" s="5" t="s">
        <v>240</v>
      </c>
      <c r="FH5" s="5" t="s">
        <v>240</v>
      </c>
      <c r="FI5" s="5" t="s">
        <v>240</v>
      </c>
      <c r="FJ5" s="5" t="s">
        <v>240</v>
      </c>
      <c r="FK5" s="5" t="s">
        <v>240</v>
      </c>
      <c r="FL5" s="5" t="s">
        <v>240</v>
      </c>
      <c r="FM5" s="5" t="s">
        <v>240</v>
      </c>
      <c r="FN5" s="5" t="s">
        <v>240</v>
      </c>
      <c r="FO5" s="5" t="s">
        <v>240</v>
      </c>
      <c r="FP5" s="5" t="s">
        <v>240</v>
      </c>
      <c r="FQ5" s="5" t="s">
        <v>240</v>
      </c>
      <c r="FR5" s="5" t="s">
        <v>240</v>
      </c>
      <c r="FS5" s="5" t="s">
        <v>240</v>
      </c>
      <c r="FT5" s="5" t="s">
        <v>240</v>
      </c>
      <c r="FU5" s="5" t="s">
        <v>240</v>
      </c>
      <c r="FV5" s="5" t="s">
        <v>240</v>
      </c>
      <c r="FW5" s="5" t="s">
        <v>240</v>
      </c>
      <c r="FX5" s="5" t="s">
        <v>240</v>
      </c>
      <c r="FY5" s="5" t="s">
        <v>240</v>
      </c>
      <c r="FZ5" s="5" t="s">
        <v>240</v>
      </c>
      <c r="GA5" s="5" t="s">
        <v>240</v>
      </c>
      <c r="GB5" s="5" t="s">
        <v>240</v>
      </c>
      <c r="GC5" s="5" t="s">
        <v>240</v>
      </c>
      <c r="GD5" s="5" t="s">
        <v>240</v>
      </c>
      <c r="GE5" s="5" t="s">
        <v>240</v>
      </c>
      <c r="GF5" s="5" t="s">
        <v>240</v>
      </c>
      <c r="GG5" s="5" t="s">
        <v>240</v>
      </c>
      <c r="GH5" s="5" t="s">
        <v>240</v>
      </c>
      <c r="GI5" s="5" t="s">
        <v>240</v>
      </c>
      <c r="GJ5" s="5" t="s">
        <v>240</v>
      </c>
      <c r="GK5" s="5" t="s">
        <v>240</v>
      </c>
      <c r="GL5" s="5" t="s">
        <v>240</v>
      </c>
      <c r="GM5" s="5" t="s">
        <v>240</v>
      </c>
      <c r="GN5" s="5" t="s">
        <v>240</v>
      </c>
      <c r="GO5" s="5" t="s">
        <v>240</v>
      </c>
      <c r="GP5" s="5" t="s">
        <v>240</v>
      </c>
      <c r="GQ5" s="5" t="s">
        <v>240</v>
      </c>
      <c r="GR5" s="5" t="s">
        <v>240</v>
      </c>
      <c r="GS5" s="5" t="s">
        <v>240</v>
      </c>
      <c r="GT5" s="5" t="s">
        <v>240</v>
      </c>
      <c r="GU5" s="5" t="s">
        <v>240</v>
      </c>
      <c r="GV5" s="5" t="s">
        <v>240</v>
      </c>
      <c r="GW5" s="5" t="s">
        <v>240</v>
      </c>
      <c r="GX5" s="5" t="s">
        <v>240</v>
      </c>
      <c r="GY5" s="5" t="s">
        <v>240</v>
      </c>
      <c r="GZ5" s="5" t="s">
        <v>240</v>
      </c>
      <c r="HA5" s="5" t="s">
        <v>240</v>
      </c>
      <c r="HB5" s="5" t="s">
        <v>240</v>
      </c>
      <c r="HC5" s="5" t="s">
        <v>240</v>
      </c>
      <c r="HD5" s="5" t="s">
        <v>240</v>
      </c>
      <c r="HE5" s="5" t="s">
        <v>240</v>
      </c>
      <c r="HF5" s="5" t="s">
        <v>240</v>
      </c>
      <c r="HG5" s="5" t="s">
        <v>240</v>
      </c>
      <c r="HH5" s="5" t="s">
        <v>240</v>
      </c>
      <c r="HI5" s="5" t="s">
        <v>240</v>
      </c>
      <c r="HJ5" s="5" t="s">
        <v>240</v>
      </c>
      <c r="HK5" s="5" t="s">
        <v>240</v>
      </c>
      <c r="HL5" s="5" t="s">
        <v>240</v>
      </c>
      <c r="HM5" s="5" t="s">
        <v>240</v>
      </c>
      <c r="HN5" s="5" t="s">
        <v>240</v>
      </c>
      <c r="HO5" s="5" t="s">
        <v>240</v>
      </c>
      <c r="HP5" s="5" t="s">
        <v>240</v>
      </c>
      <c r="HQ5" s="5" t="s">
        <v>240</v>
      </c>
      <c r="HR5" s="5" t="s">
        <v>240</v>
      </c>
      <c r="HS5" s="5" t="s">
        <v>240</v>
      </c>
      <c r="HT5" s="5" t="s">
        <v>240</v>
      </c>
      <c r="HU5" s="5" t="s">
        <v>240</v>
      </c>
      <c r="HV5" s="5" t="s">
        <v>240</v>
      </c>
      <c r="HW5" s="5" t="s">
        <v>240</v>
      </c>
      <c r="HX5" s="5" t="s">
        <v>240</v>
      </c>
      <c r="HY5" s="5" t="s">
        <v>240</v>
      </c>
      <c r="HZ5" s="5" t="s">
        <v>240</v>
      </c>
      <c r="IA5" s="5" t="s">
        <v>240</v>
      </c>
      <c r="IB5" s="5" t="s">
        <v>240</v>
      </c>
      <c r="IC5" s="5" t="s">
        <v>240</v>
      </c>
      <c r="ID5" s="5" t="s">
        <v>240</v>
      </c>
      <c r="IE5" s="5" t="s">
        <v>240</v>
      </c>
      <c r="IF5" s="5" t="s">
        <v>240</v>
      </c>
    </row>
    <row r="6" spans="1:240" x14ac:dyDescent="0.4">
      <c r="A6" s="5">
        <v>713</v>
      </c>
      <c r="B6" s="5">
        <v>1</v>
      </c>
      <c r="C6" s="5">
        <v>1</v>
      </c>
      <c r="D6" s="5" t="s">
        <v>1972</v>
      </c>
      <c r="E6" s="5" t="s">
        <v>418</v>
      </c>
      <c r="F6" s="5" t="s">
        <v>254</v>
      </c>
      <c r="G6" s="5" t="s">
        <v>240</v>
      </c>
      <c r="H6" s="6" t="s">
        <v>1973</v>
      </c>
      <c r="I6" s="5" t="s">
        <v>1971</v>
      </c>
      <c r="J6" s="8">
        <f>3550</f>
        <v>3550</v>
      </c>
      <c r="K6" s="5" t="s">
        <v>308</v>
      </c>
      <c r="L6" s="7">
        <f>7863250</f>
        <v>7863250</v>
      </c>
      <c r="M6" s="7">
        <f>7863250</f>
        <v>7863250</v>
      </c>
      <c r="N6" s="5" t="s">
        <v>242</v>
      </c>
      <c r="O6" s="5">
        <v>3</v>
      </c>
      <c r="P6" s="5" t="s">
        <v>239</v>
      </c>
      <c r="Q6" s="5" t="s">
        <v>240</v>
      </c>
      <c r="R6" s="5" t="s">
        <v>240</v>
      </c>
      <c r="S6" s="5" t="s">
        <v>240</v>
      </c>
      <c r="T6" s="5" t="s">
        <v>243</v>
      </c>
      <c r="U6" s="5" t="s">
        <v>244</v>
      </c>
      <c r="V6" s="5" t="s">
        <v>240</v>
      </c>
      <c r="W6" s="5" t="s">
        <v>240</v>
      </c>
      <c r="X6" s="5" t="s">
        <v>240</v>
      </c>
      <c r="Y6" s="5" t="s">
        <v>246</v>
      </c>
      <c r="Z6" s="6" t="s">
        <v>278</v>
      </c>
      <c r="AA6" s="6" t="s">
        <v>240</v>
      </c>
      <c r="AB6" s="6" t="s">
        <v>240</v>
      </c>
      <c r="AC6" s="5" t="s">
        <v>240</v>
      </c>
      <c r="AD6" s="6" t="s">
        <v>240</v>
      </c>
      <c r="AE6" s="6" t="s">
        <v>240</v>
      </c>
      <c r="AF6" s="5" t="s">
        <v>248</v>
      </c>
      <c r="AG6" s="5" t="s">
        <v>249</v>
      </c>
      <c r="AH6" s="5" t="s">
        <v>240</v>
      </c>
      <c r="AI6" s="5" t="s">
        <v>240</v>
      </c>
      <c r="AJ6" s="5" t="s">
        <v>240</v>
      </c>
      <c r="AK6" s="5" t="s">
        <v>240</v>
      </c>
      <c r="AL6" s="5" t="s">
        <v>240</v>
      </c>
      <c r="AM6" s="5" t="s">
        <v>240</v>
      </c>
      <c r="AN6" s="5" t="s">
        <v>240</v>
      </c>
      <c r="AO6" s="5" t="s">
        <v>240</v>
      </c>
      <c r="AP6" s="6" t="s">
        <v>240</v>
      </c>
      <c r="AQ6" s="6" t="s">
        <v>240</v>
      </c>
      <c r="AR6" s="6" t="s">
        <v>240</v>
      </c>
      <c r="AS6" s="6" t="s">
        <v>240</v>
      </c>
      <c r="AT6" s="5" t="s">
        <v>240</v>
      </c>
      <c r="AU6" s="5" t="s">
        <v>240</v>
      </c>
      <c r="AV6" s="5" t="s">
        <v>240</v>
      </c>
      <c r="AW6" s="5" t="s">
        <v>251</v>
      </c>
      <c r="AX6" s="5" t="s">
        <v>252</v>
      </c>
      <c r="AY6" s="5" t="s">
        <v>253</v>
      </c>
      <c r="AZ6" s="5" t="s">
        <v>240</v>
      </c>
      <c r="BA6" s="5" t="s">
        <v>255</v>
      </c>
      <c r="BB6" s="5" t="s">
        <v>240</v>
      </c>
      <c r="BC6" s="6" t="s">
        <v>240</v>
      </c>
      <c r="BD6" s="5" t="s">
        <v>240</v>
      </c>
      <c r="BE6" s="5" t="s">
        <v>240</v>
      </c>
      <c r="BF6" s="5" t="s">
        <v>256</v>
      </c>
      <c r="BG6" s="6" t="s">
        <v>278</v>
      </c>
      <c r="BH6" s="5" t="s">
        <v>257</v>
      </c>
      <c r="BI6" s="5" t="s">
        <v>240</v>
      </c>
      <c r="BJ6" s="5" t="s">
        <v>240</v>
      </c>
      <c r="BK6" s="7">
        <f>0</f>
        <v>0</v>
      </c>
      <c r="BL6" s="7">
        <f>14747700</f>
        <v>14747700</v>
      </c>
      <c r="BM6" s="5" t="s">
        <v>258</v>
      </c>
      <c r="BN6" s="5" t="s">
        <v>259</v>
      </c>
      <c r="BO6" s="5" t="s">
        <v>240</v>
      </c>
      <c r="BP6" s="5" t="s">
        <v>240</v>
      </c>
      <c r="BQ6" s="5" t="s">
        <v>240</v>
      </c>
      <c r="BR6" s="5" t="s">
        <v>240</v>
      </c>
      <c r="BS6" s="5" t="s">
        <v>240</v>
      </c>
      <c r="BT6" s="5" t="s">
        <v>240</v>
      </c>
      <c r="BU6" s="5" t="s">
        <v>240</v>
      </c>
      <c r="BV6" s="5" t="s">
        <v>240</v>
      </c>
      <c r="BW6" s="6" t="s">
        <v>240</v>
      </c>
      <c r="BX6" s="5" t="s">
        <v>240</v>
      </c>
      <c r="BY6" s="5" t="s">
        <v>260</v>
      </c>
      <c r="BZ6" s="5" t="s">
        <v>260</v>
      </c>
      <c r="CA6" s="5" t="s">
        <v>259</v>
      </c>
      <c r="CB6" s="5" t="s">
        <v>240</v>
      </c>
      <c r="CC6" s="5" t="s">
        <v>240</v>
      </c>
      <c r="CD6" s="5" t="s">
        <v>240</v>
      </c>
      <c r="CE6" s="5" t="s">
        <v>240</v>
      </c>
      <c r="CF6" s="5" t="s">
        <v>240</v>
      </c>
      <c r="CG6" s="5" t="s">
        <v>240</v>
      </c>
      <c r="CH6" s="5" t="s">
        <v>240</v>
      </c>
      <c r="CI6" s="5" t="s">
        <v>240</v>
      </c>
      <c r="CJ6" s="5" t="s">
        <v>240</v>
      </c>
      <c r="CK6" s="5" t="s">
        <v>240</v>
      </c>
      <c r="CL6" s="6" t="s">
        <v>261</v>
      </c>
      <c r="CM6" s="5" t="s">
        <v>262</v>
      </c>
      <c r="CN6" s="5" t="s">
        <v>263</v>
      </c>
      <c r="CO6" s="5" t="s">
        <v>264</v>
      </c>
      <c r="CP6" s="5" t="s">
        <v>240</v>
      </c>
      <c r="CQ6" s="5">
        <v>0</v>
      </c>
      <c r="CR6" s="5" t="s">
        <v>240</v>
      </c>
      <c r="CS6" s="5" t="s">
        <v>240</v>
      </c>
      <c r="CT6" s="5" t="s">
        <v>240</v>
      </c>
      <c r="CU6" s="5" t="s">
        <v>265</v>
      </c>
      <c r="CV6" s="5" t="s">
        <v>240</v>
      </c>
      <c r="CW6" s="8">
        <f>0</f>
        <v>0</v>
      </c>
      <c r="CX6" s="7">
        <f>0</f>
        <v>0</v>
      </c>
      <c r="CY6" s="7">
        <f>0</f>
        <v>0</v>
      </c>
      <c r="CZ6" s="7" t="s">
        <v>240</v>
      </c>
      <c r="DA6" s="7" t="s">
        <v>240</v>
      </c>
      <c r="DB6" s="7" t="s">
        <v>240</v>
      </c>
      <c r="DC6" s="5" t="s">
        <v>240</v>
      </c>
      <c r="DD6" s="5" t="s">
        <v>240</v>
      </c>
      <c r="DE6" s="5" t="s">
        <v>240</v>
      </c>
      <c r="DF6" s="5" t="s">
        <v>240</v>
      </c>
      <c r="DG6" s="7">
        <f>0</f>
        <v>0</v>
      </c>
      <c r="DH6" s="6" t="s">
        <v>240</v>
      </c>
      <c r="DI6" s="5" t="s">
        <v>240</v>
      </c>
      <c r="DJ6" s="5" t="s">
        <v>240</v>
      </c>
      <c r="DK6" s="5" t="s">
        <v>240</v>
      </c>
      <c r="DL6" s="5" t="s">
        <v>240</v>
      </c>
      <c r="DM6" s="5" t="s">
        <v>240</v>
      </c>
      <c r="DN6" s="5" t="s">
        <v>240</v>
      </c>
      <c r="DO6" s="7" t="s">
        <v>240</v>
      </c>
      <c r="DP6" s="5" t="s">
        <v>240</v>
      </c>
      <c r="DQ6" s="5" t="s">
        <v>240</v>
      </c>
      <c r="DR6" s="5" t="s">
        <v>240</v>
      </c>
      <c r="DS6" s="5" t="s">
        <v>240</v>
      </c>
      <c r="DT6" s="5" t="s">
        <v>240</v>
      </c>
      <c r="DU6" s="5" t="s">
        <v>240</v>
      </c>
      <c r="DV6" s="5" t="s">
        <v>240</v>
      </c>
      <c r="DW6" s="5" t="s">
        <v>240</v>
      </c>
      <c r="DX6" s="5" t="s">
        <v>240</v>
      </c>
      <c r="DY6" s="5" t="s">
        <v>240</v>
      </c>
      <c r="DZ6" s="5" t="s">
        <v>240</v>
      </c>
      <c r="EA6" s="5" t="s">
        <v>240</v>
      </c>
      <c r="EB6" s="5" t="s">
        <v>240</v>
      </c>
      <c r="EC6" s="5" t="s">
        <v>240</v>
      </c>
      <c r="ED6" s="5" t="s">
        <v>240</v>
      </c>
      <c r="EE6" s="5" t="s">
        <v>240</v>
      </c>
      <c r="EF6" s="5" t="s">
        <v>240</v>
      </c>
      <c r="EG6" s="5" t="s">
        <v>240</v>
      </c>
      <c r="EH6" s="5" t="s">
        <v>240</v>
      </c>
      <c r="EI6" s="5" t="s">
        <v>240</v>
      </c>
      <c r="EJ6" s="5" t="s">
        <v>240</v>
      </c>
      <c r="EK6" s="5" t="s">
        <v>240</v>
      </c>
      <c r="EL6" s="5" t="s">
        <v>240</v>
      </c>
      <c r="EM6" s="5" t="s">
        <v>240</v>
      </c>
      <c r="EN6" s="5" t="s">
        <v>240</v>
      </c>
      <c r="EO6" s="5" t="s">
        <v>240</v>
      </c>
      <c r="EP6" s="5" t="s">
        <v>240</v>
      </c>
      <c r="EQ6" s="5" t="s">
        <v>240</v>
      </c>
      <c r="ER6" s="5" t="s">
        <v>240</v>
      </c>
      <c r="ES6" s="5" t="s">
        <v>240</v>
      </c>
      <c r="ET6" s="5" t="s">
        <v>240</v>
      </c>
      <c r="EU6" s="5" t="s">
        <v>240</v>
      </c>
      <c r="EV6" s="5" t="s">
        <v>240</v>
      </c>
      <c r="EW6" s="5" t="s">
        <v>240</v>
      </c>
      <c r="EX6" s="5" t="s">
        <v>240</v>
      </c>
      <c r="EY6" s="5" t="s">
        <v>240</v>
      </c>
      <c r="EZ6" s="5" t="s">
        <v>240</v>
      </c>
      <c r="FA6" s="5" t="s">
        <v>240</v>
      </c>
      <c r="FB6" s="5" t="s">
        <v>240</v>
      </c>
      <c r="FC6" s="5" t="s">
        <v>240</v>
      </c>
      <c r="FD6" s="5" t="s">
        <v>240</v>
      </c>
      <c r="FE6" s="5" t="s">
        <v>240</v>
      </c>
      <c r="FF6" s="5" t="s">
        <v>240</v>
      </c>
      <c r="FG6" s="5" t="s">
        <v>240</v>
      </c>
      <c r="FH6" s="5" t="s">
        <v>240</v>
      </c>
      <c r="FI6" s="5" t="s">
        <v>240</v>
      </c>
      <c r="FJ6" s="5" t="s">
        <v>240</v>
      </c>
      <c r="FK6" s="5" t="s">
        <v>240</v>
      </c>
      <c r="FL6" s="5" t="s">
        <v>240</v>
      </c>
      <c r="FM6" s="5" t="s">
        <v>240</v>
      </c>
      <c r="FN6" s="5" t="s">
        <v>240</v>
      </c>
      <c r="FO6" s="5" t="s">
        <v>240</v>
      </c>
      <c r="FP6" s="5" t="s">
        <v>240</v>
      </c>
      <c r="FQ6" s="5" t="s">
        <v>240</v>
      </c>
      <c r="FR6" s="5" t="s">
        <v>240</v>
      </c>
      <c r="FS6" s="5" t="s">
        <v>240</v>
      </c>
      <c r="FT6" s="5" t="s">
        <v>240</v>
      </c>
      <c r="FU6" s="5" t="s">
        <v>240</v>
      </c>
      <c r="FV6" s="5" t="s">
        <v>240</v>
      </c>
      <c r="FW6" s="5" t="s">
        <v>240</v>
      </c>
      <c r="FX6" s="5" t="s">
        <v>240</v>
      </c>
      <c r="FY6" s="5" t="s">
        <v>240</v>
      </c>
      <c r="FZ6" s="5" t="s">
        <v>240</v>
      </c>
      <c r="GA6" s="5" t="s">
        <v>240</v>
      </c>
      <c r="GB6" s="5" t="s">
        <v>240</v>
      </c>
      <c r="GC6" s="5" t="s">
        <v>240</v>
      </c>
      <c r="GD6" s="5" t="s">
        <v>240</v>
      </c>
      <c r="GE6" s="5" t="s">
        <v>240</v>
      </c>
      <c r="GF6" s="5" t="s">
        <v>240</v>
      </c>
      <c r="GG6" s="5" t="s">
        <v>240</v>
      </c>
      <c r="GH6" s="5" t="s">
        <v>240</v>
      </c>
      <c r="GI6" s="5" t="s">
        <v>240</v>
      </c>
      <c r="GJ6" s="5" t="s">
        <v>240</v>
      </c>
      <c r="GK6" s="5" t="s">
        <v>240</v>
      </c>
      <c r="GL6" s="5" t="s">
        <v>240</v>
      </c>
      <c r="GM6" s="5" t="s">
        <v>240</v>
      </c>
      <c r="GN6" s="5" t="s">
        <v>240</v>
      </c>
      <c r="GO6" s="5" t="s">
        <v>240</v>
      </c>
      <c r="GP6" s="5" t="s">
        <v>240</v>
      </c>
      <c r="GQ6" s="5" t="s">
        <v>240</v>
      </c>
      <c r="GR6" s="5" t="s">
        <v>240</v>
      </c>
      <c r="GS6" s="5" t="s">
        <v>240</v>
      </c>
      <c r="GT6" s="5" t="s">
        <v>240</v>
      </c>
      <c r="GU6" s="5" t="s">
        <v>240</v>
      </c>
      <c r="GV6" s="5" t="s">
        <v>240</v>
      </c>
      <c r="GW6" s="5" t="s">
        <v>240</v>
      </c>
      <c r="GX6" s="5" t="s">
        <v>240</v>
      </c>
      <c r="GY6" s="5" t="s">
        <v>240</v>
      </c>
      <c r="GZ6" s="5" t="s">
        <v>240</v>
      </c>
      <c r="HA6" s="5" t="s">
        <v>240</v>
      </c>
      <c r="HB6" s="5" t="s">
        <v>240</v>
      </c>
      <c r="HC6" s="5" t="s">
        <v>240</v>
      </c>
      <c r="HD6" s="5" t="s">
        <v>240</v>
      </c>
      <c r="HE6" s="5" t="s">
        <v>240</v>
      </c>
      <c r="HF6" s="5" t="s">
        <v>240</v>
      </c>
      <c r="HG6" s="5" t="s">
        <v>240</v>
      </c>
      <c r="HH6" s="5" t="s">
        <v>240</v>
      </c>
      <c r="HI6" s="5" t="s">
        <v>240</v>
      </c>
      <c r="HJ6" s="5" t="s">
        <v>240</v>
      </c>
      <c r="HK6" s="5" t="s">
        <v>240</v>
      </c>
      <c r="HL6" s="5" t="s">
        <v>240</v>
      </c>
      <c r="HM6" s="5" t="s">
        <v>240</v>
      </c>
      <c r="HN6" s="5" t="s">
        <v>240</v>
      </c>
      <c r="HO6" s="5" t="s">
        <v>240</v>
      </c>
      <c r="HP6" s="5" t="s">
        <v>240</v>
      </c>
      <c r="HQ6" s="5" t="s">
        <v>240</v>
      </c>
      <c r="HR6" s="5" t="s">
        <v>240</v>
      </c>
      <c r="HS6" s="5" t="s">
        <v>240</v>
      </c>
      <c r="HT6" s="5" t="s">
        <v>240</v>
      </c>
      <c r="HU6" s="5" t="s">
        <v>240</v>
      </c>
      <c r="HV6" s="5" t="s">
        <v>240</v>
      </c>
      <c r="HW6" s="5" t="s">
        <v>240</v>
      </c>
      <c r="HX6" s="5" t="s">
        <v>240</v>
      </c>
      <c r="HY6" s="5" t="s">
        <v>240</v>
      </c>
      <c r="HZ6" s="5" t="s">
        <v>240</v>
      </c>
      <c r="IA6" s="5" t="s">
        <v>240</v>
      </c>
      <c r="IB6" s="5" t="s">
        <v>240</v>
      </c>
      <c r="IC6" s="5" t="s">
        <v>240</v>
      </c>
      <c r="ID6" s="5" t="s">
        <v>240</v>
      </c>
      <c r="IE6" s="5" t="s">
        <v>240</v>
      </c>
      <c r="IF6" s="5" t="s">
        <v>240</v>
      </c>
    </row>
    <row r="7" spans="1:240" x14ac:dyDescent="0.4">
      <c r="A7" s="5">
        <v>714</v>
      </c>
      <c r="B7" s="5">
        <v>1</v>
      </c>
      <c r="C7" s="5">
        <v>1</v>
      </c>
      <c r="D7" s="5" t="s">
        <v>1968</v>
      </c>
      <c r="E7" s="5" t="s">
        <v>418</v>
      </c>
      <c r="F7" s="5" t="s">
        <v>254</v>
      </c>
      <c r="G7" s="5" t="s">
        <v>240</v>
      </c>
      <c r="H7" s="6" t="s">
        <v>1969</v>
      </c>
      <c r="I7" s="5" t="s">
        <v>1967</v>
      </c>
      <c r="J7" s="8">
        <f>1406.15</f>
        <v>1406.15</v>
      </c>
      <c r="K7" s="5" t="s">
        <v>308</v>
      </c>
      <c r="L7" s="7">
        <f>3114622</f>
        <v>3114622</v>
      </c>
      <c r="M7" s="7">
        <f>3114622</f>
        <v>3114622</v>
      </c>
      <c r="N7" s="5" t="s">
        <v>242</v>
      </c>
      <c r="O7" s="5">
        <v>3</v>
      </c>
      <c r="P7" s="5" t="s">
        <v>239</v>
      </c>
      <c r="Q7" s="5" t="s">
        <v>240</v>
      </c>
      <c r="R7" s="5" t="s">
        <v>240</v>
      </c>
      <c r="S7" s="5" t="s">
        <v>240</v>
      </c>
      <c r="T7" s="5" t="s">
        <v>243</v>
      </c>
      <c r="U7" s="5" t="s">
        <v>244</v>
      </c>
      <c r="V7" s="5" t="s">
        <v>240</v>
      </c>
      <c r="W7" s="5" t="s">
        <v>240</v>
      </c>
      <c r="X7" s="5" t="s">
        <v>240</v>
      </c>
      <c r="Y7" s="5" t="s">
        <v>246</v>
      </c>
      <c r="Z7" s="6" t="s">
        <v>281</v>
      </c>
      <c r="AA7" s="6" t="s">
        <v>240</v>
      </c>
      <c r="AB7" s="6" t="s">
        <v>240</v>
      </c>
      <c r="AC7" s="5" t="s">
        <v>240</v>
      </c>
      <c r="AD7" s="6" t="s">
        <v>240</v>
      </c>
      <c r="AE7" s="6" t="s">
        <v>240</v>
      </c>
      <c r="AF7" s="5" t="s">
        <v>248</v>
      </c>
      <c r="AG7" s="5" t="s">
        <v>249</v>
      </c>
      <c r="AH7" s="5" t="s">
        <v>240</v>
      </c>
      <c r="AI7" s="5" t="s">
        <v>240</v>
      </c>
      <c r="AJ7" s="5" t="s">
        <v>240</v>
      </c>
      <c r="AK7" s="5" t="s">
        <v>240</v>
      </c>
      <c r="AL7" s="5" t="s">
        <v>240</v>
      </c>
      <c r="AM7" s="5" t="s">
        <v>240</v>
      </c>
      <c r="AN7" s="5" t="s">
        <v>240</v>
      </c>
      <c r="AO7" s="5" t="s">
        <v>240</v>
      </c>
      <c r="AP7" s="6" t="s">
        <v>240</v>
      </c>
      <c r="AQ7" s="6" t="s">
        <v>240</v>
      </c>
      <c r="AR7" s="6" t="s">
        <v>240</v>
      </c>
      <c r="AS7" s="6" t="s">
        <v>240</v>
      </c>
      <c r="AT7" s="5" t="s">
        <v>240</v>
      </c>
      <c r="AU7" s="5" t="s">
        <v>240</v>
      </c>
      <c r="AV7" s="5" t="s">
        <v>240</v>
      </c>
      <c r="AW7" s="5" t="s">
        <v>251</v>
      </c>
      <c r="AX7" s="5" t="s">
        <v>252</v>
      </c>
      <c r="AY7" s="5" t="s">
        <v>253</v>
      </c>
      <c r="AZ7" s="5" t="s">
        <v>240</v>
      </c>
      <c r="BA7" s="5" t="s">
        <v>255</v>
      </c>
      <c r="BB7" s="5" t="s">
        <v>240</v>
      </c>
      <c r="BC7" s="6" t="s">
        <v>240</v>
      </c>
      <c r="BD7" s="5" t="s">
        <v>240</v>
      </c>
      <c r="BE7" s="5" t="s">
        <v>240</v>
      </c>
      <c r="BF7" s="5" t="s">
        <v>256</v>
      </c>
      <c r="BG7" s="6" t="s">
        <v>281</v>
      </c>
      <c r="BH7" s="5" t="s">
        <v>257</v>
      </c>
      <c r="BI7" s="5" t="s">
        <v>240</v>
      </c>
      <c r="BJ7" s="5" t="s">
        <v>240</v>
      </c>
      <c r="BK7" s="7">
        <f>0</f>
        <v>0</v>
      </c>
      <c r="BL7" s="7">
        <f>9165200</f>
        <v>9165200</v>
      </c>
      <c r="BM7" s="5" t="s">
        <v>258</v>
      </c>
      <c r="BN7" s="5" t="s">
        <v>259</v>
      </c>
      <c r="BO7" s="5" t="s">
        <v>240</v>
      </c>
      <c r="BP7" s="5" t="s">
        <v>240</v>
      </c>
      <c r="BQ7" s="5" t="s">
        <v>240</v>
      </c>
      <c r="BR7" s="5" t="s">
        <v>240</v>
      </c>
      <c r="BS7" s="5" t="s">
        <v>240</v>
      </c>
      <c r="BT7" s="5" t="s">
        <v>240</v>
      </c>
      <c r="BU7" s="5" t="s">
        <v>240</v>
      </c>
      <c r="BV7" s="5" t="s">
        <v>240</v>
      </c>
      <c r="BW7" s="6" t="s">
        <v>240</v>
      </c>
      <c r="BX7" s="5" t="s">
        <v>240</v>
      </c>
      <c r="BY7" s="5" t="s">
        <v>260</v>
      </c>
      <c r="BZ7" s="5" t="s">
        <v>260</v>
      </c>
      <c r="CA7" s="5" t="s">
        <v>259</v>
      </c>
      <c r="CB7" s="5" t="s">
        <v>240</v>
      </c>
      <c r="CC7" s="5" t="s">
        <v>240</v>
      </c>
      <c r="CD7" s="5" t="s">
        <v>240</v>
      </c>
      <c r="CE7" s="5" t="s">
        <v>240</v>
      </c>
      <c r="CF7" s="5" t="s">
        <v>240</v>
      </c>
      <c r="CG7" s="5" t="s">
        <v>240</v>
      </c>
      <c r="CH7" s="5" t="s">
        <v>240</v>
      </c>
      <c r="CI7" s="5" t="s">
        <v>240</v>
      </c>
      <c r="CJ7" s="5" t="s">
        <v>240</v>
      </c>
      <c r="CK7" s="5" t="s">
        <v>240</v>
      </c>
      <c r="CL7" s="6" t="s">
        <v>261</v>
      </c>
      <c r="CM7" s="5" t="s">
        <v>262</v>
      </c>
      <c r="CN7" s="5" t="s">
        <v>263</v>
      </c>
      <c r="CO7" s="5" t="s">
        <v>264</v>
      </c>
      <c r="CP7" s="5" t="s">
        <v>240</v>
      </c>
      <c r="CQ7" s="5">
        <v>0</v>
      </c>
      <c r="CR7" s="5" t="s">
        <v>240</v>
      </c>
      <c r="CS7" s="5" t="s">
        <v>240</v>
      </c>
      <c r="CT7" s="5" t="s">
        <v>240</v>
      </c>
      <c r="CU7" s="5" t="s">
        <v>265</v>
      </c>
      <c r="CV7" s="5" t="s">
        <v>240</v>
      </c>
      <c r="CW7" s="8">
        <f>0</f>
        <v>0</v>
      </c>
      <c r="CX7" s="7">
        <f>0</f>
        <v>0</v>
      </c>
      <c r="CY7" s="7">
        <f>0</f>
        <v>0</v>
      </c>
      <c r="CZ7" s="7" t="s">
        <v>240</v>
      </c>
      <c r="DA7" s="7" t="s">
        <v>240</v>
      </c>
      <c r="DB7" s="7" t="s">
        <v>240</v>
      </c>
      <c r="DC7" s="5" t="s">
        <v>240</v>
      </c>
      <c r="DD7" s="5" t="s">
        <v>240</v>
      </c>
      <c r="DE7" s="5" t="s">
        <v>240</v>
      </c>
      <c r="DF7" s="5" t="s">
        <v>240</v>
      </c>
      <c r="DG7" s="7">
        <f>0</f>
        <v>0</v>
      </c>
      <c r="DH7" s="6" t="s">
        <v>240</v>
      </c>
      <c r="DI7" s="5" t="s">
        <v>240</v>
      </c>
      <c r="DJ7" s="5" t="s">
        <v>240</v>
      </c>
      <c r="DK7" s="5" t="s">
        <v>240</v>
      </c>
      <c r="DL7" s="5" t="s">
        <v>240</v>
      </c>
      <c r="DM7" s="5" t="s">
        <v>240</v>
      </c>
      <c r="DN7" s="5" t="s">
        <v>240</v>
      </c>
      <c r="DO7" s="7" t="s">
        <v>240</v>
      </c>
      <c r="DP7" s="5" t="s">
        <v>240</v>
      </c>
      <c r="DQ7" s="5" t="s">
        <v>240</v>
      </c>
      <c r="DR7" s="5" t="s">
        <v>240</v>
      </c>
      <c r="DS7" s="5" t="s">
        <v>240</v>
      </c>
      <c r="DT7" s="5" t="s">
        <v>240</v>
      </c>
      <c r="DU7" s="5" t="s">
        <v>240</v>
      </c>
      <c r="DV7" s="5" t="s">
        <v>240</v>
      </c>
      <c r="DW7" s="5" t="s">
        <v>240</v>
      </c>
      <c r="DX7" s="5" t="s">
        <v>240</v>
      </c>
      <c r="DY7" s="5" t="s">
        <v>240</v>
      </c>
      <c r="DZ7" s="5" t="s">
        <v>240</v>
      </c>
      <c r="EA7" s="5" t="s">
        <v>240</v>
      </c>
      <c r="EB7" s="5" t="s">
        <v>240</v>
      </c>
      <c r="EC7" s="5" t="s">
        <v>240</v>
      </c>
      <c r="ED7" s="5" t="s">
        <v>240</v>
      </c>
      <c r="EE7" s="5" t="s">
        <v>240</v>
      </c>
      <c r="EF7" s="5" t="s">
        <v>240</v>
      </c>
      <c r="EG7" s="5" t="s">
        <v>240</v>
      </c>
      <c r="EH7" s="5" t="s">
        <v>240</v>
      </c>
      <c r="EI7" s="5" t="s">
        <v>240</v>
      </c>
      <c r="EJ7" s="5" t="s">
        <v>240</v>
      </c>
      <c r="EK7" s="5" t="s">
        <v>240</v>
      </c>
      <c r="EL7" s="5" t="s">
        <v>240</v>
      </c>
      <c r="EM7" s="5" t="s">
        <v>240</v>
      </c>
      <c r="EN7" s="5" t="s">
        <v>240</v>
      </c>
      <c r="EO7" s="5" t="s">
        <v>240</v>
      </c>
      <c r="EP7" s="5" t="s">
        <v>240</v>
      </c>
      <c r="EQ7" s="5" t="s">
        <v>240</v>
      </c>
      <c r="ER7" s="5" t="s">
        <v>240</v>
      </c>
      <c r="ES7" s="5" t="s">
        <v>240</v>
      </c>
      <c r="ET7" s="5" t="s">
        <v>240</v>
      </c>
      <c r="EU7" s="5" t="s">
        <v>240</v>
      </c>
      <c r="EV7" s="5" t="s">
        <v>240</v>
      </c>
      <c r="EW7" s="5" t="s">
        <v>240</v>
      </c>
      <c r="EX7" s="5" t="s">
        <v>240</v>
      </c>
      <c r="EY7" s="5" t="s">
        <v>240</v>
      </c>
      <c r="EZ7" s="5" t="s">
        <v>240</v>
      </c>
      <c r="FA7" s="5" t="s">
        <v>240</v>
      </c>
      <c r="FB7" s="5" t="s">
        <v>240</v>
      </c>
      <c r="FC7" s="5" t="s">
        <v>240</v>
      </c>
      <c r="FD7" s="5" t="s">
        <v>240</v>
      </c>
      <c r="FE7" s="5" t="s">
        <v>240</v>
      </c>
      <c r="FF7" s="5" t="s">
        <v>240</v>
      </c>
      <c r="FG7" s="5" t="s">
        <v>240</v>
      </c>
      <c r="FH7" s="5" t="s">
        <v>240</v>
      </c>
      <c r="FI7" s="5" t="s">
        <v>240</v>
      </c>
      <c r="FJ7" s="5" t="s">
        <v>240</v>
      </c>
      <c r="FK7" s="5" t="s">
        <v>240</v>
      </c>
      <c r="FL7" s="5" t="s">
        <v>240</v>
      </c>
      <c r="FM7" s="5" t="s">
        <v>240</v>
      </c>
      <c r="FN7" s="5" t="s">
        <v>240</v>
      </c>
      <c r="FO7" s="5" t="s">
        <v>240</v>
      </c>
      <c r="FP7" s="5" t="s">
        <v>240</v>
      </c>
      <c r="FQ7" s="5" t="s">
        <v>240</v>
      </c>
      <c r="FR7" s="5" t="s">
        <v>240</v>
      </c>
      <c r="FS7" s="5" t="s">
        <v>240</v>
      </c>
      <c r="FT7" s="5" t="s">
        <v>240</v>
      </c>
      <c r="FU7" s="5" t="s">
        <v>240</v>
      </c>
      <c r="FV7" s="5" t="s">
        <v>240</v>
      </c>
      <c r="FW7" s="5" t="s">
        <v>240</v>
      </c>
      <c r="FX7" s="5" t="s">
        <v>240</v>
      </c>
      <c r="FY7" s="5" t="s">
        <v>240</v>
      </c>
      <c r="FZ7" s="5" t="s">
        <v>240</v>
      </c>
      <c r="GA7" s="5" t="s">
        <v>240</v>
      </c>
      <c r="GB7" s="5" t="s">
        <v>240</v>
      </c>
      <c r="GC7" s="5" t="s">
        <v>240</v>
      </c>
      <c r="GD7" s="5" t="s">
        <v>240</v>
      </c>
      <c r="GE7" s="5" t="s">
        <v>240</v>
      </c>
      <c r="GF7" s="5" t="s">
        <v>240</v>
      </c>
      <c r="GG7" s="5" t="s">
        <v>240</v>
      </c>
      <c r="GH7" s="5" t="s">
        <v>240</v>
      </c>
      <c r="GI7" s="5" t="s">
        <v>240</v>
      </c>
      <c r="GJ7" s="5" t="s">
        <v>240</v>
      </c>
      <c r="GK7" s="5" t="s">
        <v>240</v>
      </c>
      <c r="GL7" s="5" t="s">
        <v>240</v>
      </c>
      <c r="GM7" s="5" t="s">
        <v>240</v>
      </c>
      <c r="GN7" s="5" t="s">
        <v>240</v>
      </c>
      <c r="GO7" s="5" t="s">
        <v>240</v>
      </c>
      <c r="GP7" s="5" t="s">
        <v>240</v>
      </c>
      <c r="GQ7" s="5" t="s">
        <v>240</v>
      </c>
      <c r="GR7" s="5" t="s">
        <v>240</v>
      </c>
      <c r="GS7" s="5" t="s">
        <v>240</v>
      </c>
      <c r="GT7" s="5" t="s">
        <v>240</v>
      </c>
      <c r="GU7" s="5" t="s">
        <v>240</v>
      </c>
      <c r="GV7" s="5" t="s">
        <v>240</v>
      </c>
      <c r="GW7" s="5" t="s">
        <v>240</v>
      </c>
      <c r="GX7" s="5" t="s">
        <v>240</v>
      </c>
      <c r="GY7" s="5" t="s">
        <v>240</v>
      </c>
      <c r="GZ7" s="5" t="s">
        <v>240</v>
      </c>
      <c r="HA7" s="5" t="s">
        <v>240</v>
      </c>
      <c r="HB7" s="5" t="s">
        <v>240</v>
      </c>
      <c r="HC7" s="5" t="s">
        <v>240</v>
      </c>
      <c r="HD7" s="5" t="s">
        <v>240</v>
      </c>
      <c r="HE7" s="5" t="s">
        <v>240</v>
      </c>
      <c r="HF7" s="5" t="s">
        <v>240</v>
      </c>
      <c r="HG7" s="5" t="s">
        <v>240</v>
      </c>
      <c r="HH7" s="5" t="s">
        <v>240</v>
      </c>
      <c r="HI7" s="5" t="s">
        <v>240</v>
      </c>
      <c r="HJ7" s="5" t="s">
        <v>240</v>
      </c>
      <c r="HK7" s="5" t="s">
        <v>240</v>
      </c>
      <c r="HL7" s="5" t="s">
        <v>240</v>
      </c>
      <c r="HM7" s="5" t="s">
        <v>240</v>
      </c>
      <c r="HN7" s="5" t="s">
        <v>240</v>
      </c>
      <c r="HO7" s="5" t="s">
        <v>240</v>
      </c>
      <c r="HP7" s="5" t="s">
        <v>240</v>
      </c>
      <c r="HQ7" s="5" t="s">
        <v>240</v>
      </c>
      <c r="HR7" s="5" t="s">
        <v>240</v>
      </c>
      <c r="HS7" s="5" t="s">
        <v>240</v>
      </c>
      <c r="HT7" s="5" t="s">
        <v>240</v>
      </c>
      <c r="HU7" s="5" t="s">
        <v>240</v>
      </c>
      <c r="HV7" s="5" t="s">
        <v>240</v>
      </c>
      <c r="HW7" s="5" t="s">
        <v>240</v>
      </c>
      <c r="HX7" s="5" t="s">
        <v>240</v>
      </c>
      <c r="HY7" s="5" t="s">
        <v>240</v>
      </c>
      <c r="HZ7" s="5" t="s">
        <v>240</v>
      </c>
      <c r="IA7" s="5" t="s">
        <v>240</v>
      </c>
      <c r="IB7" s="5" t="s">
        <v>240</v>
      </c>
      <c r="IC7" s="5" t="s">
        <v>240</v>
      </c>
      <c r="ID7" s="5" t="s">
        <v>240</v>
      </c>
      <c r="IE7" s="5" t="s">
        <v>240</v>
      </c>
      <c r="IF7" s="5" t="s">
        <v>240</v>
      </c>
    </row>
    <row r="8" spans="1:240" x14ac:dyDescent="0.4">
      <c r="A8" s="5">
        <v>715</v>
      </c>
      <c r="B8" s="5">
        <v>1</v>
      </c>
      <c r="C8" s="5">
        <v>1</v>
      </c>
      <c r="D8" s="5" t="s">
        <v>1964</v>
      </c>
      <c r="E8" s="5" t="s">
        <v>418</v>
      </c>
      <c r="F8" s="5" t="s">
        <v>254</v>
      </c>
      <c r="G8" s="5" t="s">
        <v>240</v>
      </c>
      <c r="H8" s="6" t="s">
        <v>1965</v>
      </c>
      <c r="I8" s="5" t="s">
        <v>1963</v>
      </c>
      <c r="J8" s="8">
        <f>2396.69</f>
        <v>2396.69</v>
      </c>
      <c r="K8" s="5" t="s">
        <v>308</v>
      </c>
      <c r="L8" s="7">
        <f>5308668</f>
        <v>5308668</v>
      </c>
      <c r="M8" s="7">
        <f>5308668</f>
        <v>5308668</v>
      </c>
      <c r="N8" s="5" t="s">
        <v>242</v>
      </c>
      <c r="O8" s="5">
        <v>3</v>
      </c>
      <c r="P8" s="5" t="s">
        <v>239</v>
      </c>
      <c r="Q8" s="5" t="s">
        <v>240</v>
      </c>
      <c r="R8" s="5" t="s">
        <v>240</v>
      </c>
      <c r="S8" s="5" t="s">
        <v>240</v>
      </c>
      <c r="T8" s="5" t="s">
        <v>243</v>
      </c>
      <c r="U8" s="5" t="s">
        <v>244</v>
      </c>
      <c r="V8" s="5" t="s">
        <v>240</v>
      </c>
      <c r="W8" s="5" t="s">
        <v>240</v>
      </c>
      <c r="X8" s="5" t="s">
        <v>240</v>
      </c>
      <c r="Y8" s="5" t="s">
        <v>246</v>
      </c>
      <c r="Z8" s="6" t="s">
        <v>284</v>
      </c>
      <c r="AA8" s="6" t="s">
        <v>240</v>
      </c>
      <c r="AB8" s="6" t="s">
        <v>240</v>
      </c>
      <c r="AC8" s="5" t="s">
        <v>240</v>
      </c>
      <c r="AD8" s="6" t="s">
        <v>240</v>
      </c>
      <c r="AE8" s="6" t="s">
        <v>240</v>
      </c>
      <c r="AF8" s="5" t="s">
        <v>248</v>
      </c>
      <c r="AG8" s="5" t="s">
        <v>249</v>
      </c>
      <c r="AH8" s="5" t="s">
        <v>240</v>
      </c>
      <c r="AI8" s="5" t="s">
        <v>240</v>
      </c>
      <c r="AJ8" s="5" t="s">
        <v>240</v>
      </c>
      <c r="AK8" s="5" t="s">
        <v>240</v>
      </c>
      <c r="AL8" s="5" t="s">
        <v>240</v>
      </c>
      <c r="AM8" s="5" t="s">
        <v>240</v>
      </c>
      <c r="AN8" s="5" t="s">
        <v>240</v>
      </c>
      <c r="AO8" s="5" t="s">
        <v>240</v>
      </c>
      <c r="AP8" s="6" t="s">
        <v>240</v>
      </c>
      <c r="AQ8" s="6" t="s">
        <v>240</v>
      </c>
      <c r="AR8" s="6" t="s">
        <v>240</v>
      </c>
      <c r="AS8" s="6" t="s">
        <v>240</v>
      </c>
      <c r="AT8" s="5" t="s">
        <v>240</v>
      </c>
      <c r="AU8" s="5" t="s">
        <v>240</v>
      </c>
      <c r="AV8" s="5" t="s">
        <v>240</v>
      </c>
      <c r="AW8" s="5" t="s">
        <v>251</v>
      </c>
      <c r="AX8" s="5" t="s">
        <v>252</v>
      </c>
      <c r="AY8" s="5" t="s">
        <v>253</v>
      </c>
      <c r="AZ8" s="5" t="s">
        <v>240</v>
      </c>
      <c r="BA8" s="5" t="s">
        <v>255</v>
      </c>
      <c r="BB8" s="5" t="s">
        <v>240</v>
      </c>
      <c r="BC8" s="6" t="s">
        <v>240</v>
      </c>
      <c r="BD8" s="5" t="s">
        <v>240</v>
      </c>
      <c r="BE8" s="5" t="s">
        <v>240</v>
      </c>
      <c r="BF8" s="5" t="s">
        <v>256</v>
      </c>
      <c r="BG8" s="6" t="s">
        <v>284</v>
      </c>
      <c r="BH8" s="5" t="s">
        <v>257</v>
      </c>
      <c r="BI8" s="5" t="s">
        <v>240</v>
      </c>
      <c r="BJ8" s="5" t="s">
        <v>240</v>
      </c>
      <c r="BK8" s="7">
        <f>0</f>
        <v>0</v>
      </c>
      <c r="BL8" s="7">
        <f>9682200</f>
        <v>9682200</v>
      </c>
      <c r="BM8" s="5" t="s">
        <v>258</v>
      </c>
      <c r="BN8" s="5" t="s">
        <v>259</v>
      </c>
      <c r="BO8" s="5" t="s">
        <v>240</v>
      </c>
      <c r="BP8" s="5" t="s">
        <v>240</v>
      </c>
      <c r="BQ8" s="5" t="s">
        <v>240</v>
      </c>
      <c r="BR8" s="5" t="s">
        <v>240</v>
      </c>
      <c r="BS8" s="5" t="s">
        <v>240</v>
      </c>
      <c r="BT8" s="5" t="s">
        <v>240</v>
      </c>
      <c r="BU8" s="5" t="s">
        <v>240</v>
      </c>
      <c r="BV8" s="5" t="s">
        <v>240</v>
      </c>
      <c r="BW8" s="6" t="s">
        <v>240</v>
      </c>
      <c r="BX8" s="5" t="s">
        <v>240</v>
      </c>
      <c r="BY8" s="5" t="s">
        <v>260</v>
      </c>
      <c r="BZ8" s="5" t="s">
        <v>260</v>
      </c>
      <c r="CA8" s="5" t="s">
        <v>259</v>
      </c>
      <c r="CB8" s="5" t="s">
        <v>240</v>
      </c>
      <c r="CC8" s="5" t="s">
        <v>240</v>
      </c>
      <c r="CD8" s="5" t="s">
        <v>240</v>
      </c>
      <c r="CE8" s="5" t="s">
        <v>240</v>
      </c>
      <c r="CF8" s="5" t="s">
        <v>240</v>
      </c>
      <c r="CG8" s="5" t="s">
        <v>240</v>
      </c>
      <c r="CH8" s="5" t="s">
        <v>240</v>
      </c>
      <c r="CI8" s="5" t="s">
        <v>240</v>
      </c>
      <c r="CJ8" s="5" t="s">
        <v>240</v>
      </c>
      <c r="CK8" s="5" t="s">
        <v>240</v>
      </c>
      <c r="CL8" s="6" t="s">
        <v>261</v>
      </c>
      <c r="CM8" s="5" t="s">
        <v>262</v>
      </c>
      <c r="CN8" s="5" t="s">
        <v>263</v>
      </c>
      <c r="CO8" s="5" t="s">
        <v>264</v>
      </c>
      <c r="CP8" s="5" t="s">
        <v>240</v>
      </c>
      <c r="CQ8" s="5">
        <v>0</v>
      </c>
      <c r="CR8" s="5" t="s">
        <v>240</v>
      </c>
      <c r="CS8" s="5" t="s">
        <v>240</v>
      </c>
      <c r="CT8" s="5" t="s">
        <v>240</v>
      </c>
      <c r="CU8" s="5" t="s">
        <v>265</v>
      </c>
      <c r="CV8" s="5" t="s">
        <v>240</v>
      </c>
      <c r="CW8" s="8">
        <f>0</f>
        <v>0</v>
      </c>
      <c r="CX8" s="7">
        <f>0</f>
        <v>0</v>
      </c>
      <c r="CY8" s="7">
        <f>0</f>
        <v>0</v>
      </c>
      <c r="CZ8" s="7" t="s">
        <v>240</v>
      </c>
      <c r="DA8" s="7" t="s">
        <v>240</v>
      </c>
      <c r="DB8" s="7" t="s">
        <v>240</v>
      </c>
      <c r="DC8" s="5" t="s">
        <v>240</v>
      </c>
      <c r="DD8" s="5" t="s">
        <v>240</v>
      </c>
      <c r="DE8" s="5" t="s">
        <v>240</v>
      </c>
      <c r="DF8" s="5" t="s">
        <v>240</v>
      </c>
      <c r="DG8" s="7">
        <f>0</f>
        <v>0</v>
      </c>
      <c r="DH8" s="6" t="s">
        <v>240</v>
      </c>
      <c r="DI8" s="5" t="s">
        <v>240</v>
      </c>
      <c r="DJ8" s="5" t="s">
        <v>240</v>
      </c>
      <c r="DK8" s="5" t="s">
        <v>240</v>
      </c>
      <c r="DL8" s="5" t="s">
        <v>240</v>
      </c>
      <c r="DM8" s="5" t="s">
        <v>240</v>
      </c>
      <c r="DN8" s="5" t="s">
        <v>240</v>
      </c>
      <c r="DO8" s="7" t="s">
        <v>240</v>
      </c>
      <c r="DP8" s="5" t="s">
        <v>240</v>
      </c>
      <c r="DQ8" s="5" t="s">
        <v>240</v>
      </c>
      <c r="DR8" s="5" t="s">
        <v>240</v>
      </c>
      <c r="DS8" s="5" t="s">
        <v>240</v>
      </c>
      <c r="DT8" s="5" t="s">
        <v>240</v>
      </c>
      <c r="DU8" s="5" t="s">
        <v>240</v>
      </c>
      <c r="DV8" s="5" t="s">
        <v>240</v>
      </c>
      <c r="DW8" s="5" t="s">
        <v>240</v>
      </c>
      <c r="DX8" s="5" t="s">
        <v>240</v>
      </c>
      <c r="DY8" s="5" t="s">
        <v>240</v>
      </c>
      <c r="DZ8" s="5" t="s">
        <v>240</v>
      </c>
      <c r="EA8" s="5" t="s">
        <v>240</v>
      </c>
      <c r="EB8" s="5" t="s">
        <v>240</v>
      </c>
      <c r="EC8" s="5" t="s">
        <v>240</v>
      </c>
      <c r="ED8" s="5" t="s">
        <v>240</v>
      </c>
      <c r="EE8" s="5" t="s">
        <v>240</v>
      </c>
      <c r="EF8" s="5" t="s">
        <v>240</v>
      </c>
      <c r="EG8" s="5" t="s">
        <v>240</v>
      </c>
      <c r="EH8" s="5" t="s">
        <v>240</v>
      </c>
      <c r="EI8" s="5" t="s">
        <v>240</v>
      </c>
      <c r="EJ8" s="5" t="s">
        <v>240</v>
      </c>
      <c r="EK8" s="5" t="s">
        <v>240</v>
      </c>
      <c r="EL8" s="5" t="s">
        <v>240</v>
      </c>
      <c r="EM8" s="5" t="s">
        <v>240</v>
      </c>
      <c r="EN8" s="5" t="s">
        <v>240</v>
      </c>
      <c r="EO8" s="5" t="s">
        <v>240</v>
      </c>
      <c r="EP8" s="5" t="s">
        <v>240</v>
      </c>
      <c r="EQ8" s="5" t="s">
        <v>240</v>
      </c>
      <c r="ER8" s="5" t="s">
        <v>240</v>
      </c>
      <c r="ES8" s="5" t="s">
        <v>240</v>
      </c>
      <c r="ET8" s="5" t="s">
        <v>240</v>
      </c>
      <c r="EU8" s="5" t="s">
        <v>240</v>
      </c>
      <c r="EV8" s="5" t="s">
        <v>240</v>
      </c>
      <c r="EW8" s="5" t="s">
        <v>240</v>
      </c>
      <c r="EX8" s="5" t="s">
        <v>240</v>
      </c>
      <c r="EY8" s="5" t="s">
        <v>240</v>
      </c>
      <c r="EZ8" s="5" t="s">
        <v>240</v>
      </c>
      <c r="FA8" s="5" t="s">
        <v>240</v>
      </c>
      <c r="FB8" s="5" t="s">
        <v>240</v>
      </c>
      <c r="FC8" s="5" t="s">
        <v>240</v>
      </c>
      <c r="FD8" s="5" t="s">
        <v>240</v>
      </c>
      <c r="FE8" s="5" t="s">
        <v>240</v>
      </c>
      <c r="FF8" s="5" t="s">
        <v>240</v>
      </c>
      <c r="FG8" s="5" t="s">
        <v>240</v>
      </c>
      <c r="FH8" s="5" t="s">
        <v>240</v>
      </c>
      <c r="FI8" s="5" t="s">
        <v>240</v>
      </c>
      <c r="FJ8" s="5" t="s">
        <v>240</v>
      </c>
      <c r="FK8" s="5" t="s">
        <v>240</v>
      </c>
      <c r="FL8" s="5" t="s">
        <v>240</v>
      </c>
      <c r="FM8" s="5" t="s">
        <v>240</v>
      </c>
      <c r="FN8" s="5" t="s">
        <v>240</v>
      </c>
      <c r="FO8" s="5" t="s">
        <v>240</v>
      </c>
      <c r="FP8" s="5" t="s">
        <v>240</v>
      </c>
      <c r="FQ8" s="5" t="s">
        <v>240</v>
      </c>
      <c r="FR8" s="5" t="s">
        <v>240</v>
      </c>
      <c r="FS8" s="5" t="s">
        <v>240</v>
      </c>
      <c r="FT8" s="5" t="s">
        <v>240</v>
      </c>
      <c r="FU8" s="5" t="s">
        <v>240</v>
      </c>
      <c r="FV8" s="5" t="s">
        <v>240</v>
      </c>
      <c r="FW8" s="5" t="s">
        <v>240</v>
      </c>
      <c r="FX8" s="5" t="s">
        <v>240</v>
      </c>
      <c r="FY8" s="5" t="s">
        <v>240</v>
      </c>
      <c r="FZ8" s="5" t="s">
        <v>240</v>
      </c>
      <c r="GA8" s="5" t="s">
        <v>240</v>
      </c>
      <c r="GB8" s="5" t="s">
        <v>240</v>
      </c>
      <c r="GC8" s="5" t="s">
        <v>240</v>
      </c>
      <c r="GD8" s="5" t="s">
        <v>240</v>
      </c>
      <c r="GE8" s="5" t="s">
        <v>240</v>
      </c>
      <c r="GF8" s="5" t="s">
        <v>240</v>
      </c>
      <c r="GG8" s="5" t="s">
        <v>240</v>
      </c>
      <c r="GH8" s="5" t="s">
        <v>240</v>
      </c>
      <c r="GI8" s="5" t="s">
        <v>240</v>
      </c>
      <c r="GJ8" s="5" t="s">
        <v>240</v>
      </c>
      <c r="GK8" s="5" t="s">
        <v>240</v>
      </c>
      <c r="GL8" s="5" t="s">
        <v>240</v>
      </c>
      <c r="GM8" s="5" t="s">
        <v>240</v>
      </c>
      <c r="GN8" s="5" t="s">
        <v>240</v>
      </c>
      <c r="GO8" s="5" t="s">
        <v>240</v>
      </c>
      <c r="GP8" s="5" t="s">
        <v>240</v>
      </c>
      <c r="GQ8" s="5" t="s">
        <v>240</v>
      </c>
      <c r="GR8" s="5" t="s">
        <v>240</v>
      </c>
      <c r="GS8" s="5" t="s">
        <v>240</v>
      </c>
      <c r="GT8" s="5" t="s">
        <v>240</v>
      </c>
      <c r="GU8" s="5" t="s">
        <v>240</v>
      </c>
      <c r="GV8" s="5" t="s">
        <v>240</v>
      </c>
      <c r="GW8" s="5" t="s">
        <v>240</v>
      </c>
      <c r="GX8" s="5" t="s">
        <v>240</v>
      </c>
      <c r="GY8" s="5" t="s">
        <v>240</v>
      </c>
      <c r="GZ8" s="5" t="s">
        <v>240</v>
      </c>
      <c r="HA8" s="5" t="s">
        <v>240</v>
      </c>
      <c r="HB8" s="5" t="s">
        <v>240</v>
      </c>
      <c r="HC8" s="5" t="s">
        <v>240</v>
      </c>
      <c r="HD8" s="5" t="s">
        <v>240</v>
      </c>
      <c r="HE8" s="5" t="s">
        <v>240</v>
      </c>
      <c r="HF8" s="5" t="s">
        <v>240</v>
      </c>
      <c r="HG8" s="5" t="s">
        <v>240</v>
      </c>
      <c r="HH8" s="5" t="s">
        <v>240</v>
      </c>
      <c r="HI8" s="5" t="s">
        <v>240</v>
      </c>
      <c r="HJ8" s="5" t="s">
        <v>240</v>
      </c>
      <c r="HK8" s="5" t="s">
        <v>240</v>
      </c>
      <c r="HL8" s="5" t="s">
        <v>240</v>
      </c>
      <c r="HM8" s="5" t="s">
        <v>240</v>
      </c>
      <c r="HN8" s="5" t="s">
        <v>240</v>
      </c>
      <c r="HO8" s="5" t="s">
        <v>240</v>
      </c>
      <c r="HP8" s="5" t="s">
        <v>240</v>
      </c>
      <c r="HQ8" s="5" t="s">
        <v>240</v>
      </c>
      <c r="HR8" s="5" t="s">
        <v>240</v>
      </c>
      <c r="HS8" s="5" t="s">
        <v>240</v>
      </c>
      <c r="HT8" s="5" t="s">
        <v>240</v>
      </c>
      <c r="HU8" s="5" t="s">
        <v>240</v>
      </c>
      <c r="HV8" s="5" t="s">
        <v>240</v>
      </c>
      <c r="HW8" s="5" t="s">
        <v>240</v>
      </c>
      <c r="HX8" s="5" t="s">
        <v>240</v>
      </c>
      <c r="HY8" s="5" t="s">
        <v>240</v>
      </c>
      <c r="HZ8" s="5" t="s">
        <v>240</v>
      </c>
      <c r="IA8" s="5" t="s">
        <v>240</v>
      </c>
      <c r="IB8" s="5" t="s">
        <v>240</v>
      </c>
      <c r="IC8" s="5" t="s">
        <v>240</v>
      </c>
      <c r="ID8" s="5" t="s">
        <v>240</v>
      </c>
      <c r="IE8" s="5" t="s">
        <v>240</v>
      </c>
      <c r="IF8" s="5" t="s">
        <v>240</v>
      </c>
    </row>
    <row r="9" spans="1:240" x14ac:dyDescent="0.4">
      <c r="A9" s="5">
        <v>716</v>
      </c>
      <c r="B9" s="5">
        <v>1</v>
      </c>
      <c r="C9" s="5">
        <v>1</v>
      </c>
      <c r="D9" s="5" t="s">
        <v>1960</v>
      </c>
      <c r="E9" s="5" t="s">
        <v>418</v>
      </c>
      <c r="F9" s="5" t="s">
        <v>254</v>
      </c>
      <c r="G9" s="5" t="s">
        <v>240</v>
      </c>
      <c r="H9" s="6" t="s">
        <v>1961</v>
      </c>
      <c r="I9" s="5" t="s">
        <v>1959</v>
      </c>
      <c r="J9" s="8">
        <f>1692.48</f>
        <v>1692.48</v>
      </c>
      <c r="K9" s="5" t="s">
        <v>308</v>
      </c>
      <c r="L9" s="7">
        <f>3748843</f>
        <v>3748843</v>
      </c>
      <c r="M9" s="7">
        <f>3748843</f>
        <v>3748843</v>
      </c>
      <c r="N9" s="5" t="s">
        <v>242</v>
      </c>
      <c r="O9" s="5">
        <v>3</v>
      </c>
      <c r="P9" s="5" t="s">
        <v>239</v>
      </c>
      <c r="Q9" s="5" t="s">
        <v>240</v>
      </c>
      <c r="R9" s="5" t="s">
        <v>240</v>
      </c>
      <c r="S9" s="5" t="s">
        <v>240</v>
      </c>
      <c r="T9" s="5" t="s">
        <v>243</v>
      </c>
      <c r="U9" s="5" t="s">
        <v>244</v>
      </c>
      <c r="V9" s="5" t="s">
        <v>240</v>
      </c>
      <c r="W9" s="5" t="s">
        <v>240</v>
      </c>
      <c r="X9" s="5" t="s">
        <v>240</v>
      </c>
      <c r="Y9" s="5" t="s">
        <v>246</v>
      </c>
      <c r="Z9" s="6" t="s">
        <v>287</v>
      </c>
      <c r="AA9" s="6" t="s">
        <v>240</v>
      </c>
      <c r="AB9" s="6" t="s">
        <v>240</v>
      </c>
      <c r="AC9" s="5" t="s">
        <v>240</v>
      </c>
      <c r="AD9" s="6" t="s">
        <v>240</v>
      </c>
      <c r="AE9" s="6" t="s">
        <v>240</v>
      </c>
      <c r="AF9" s="5" t="s">
        <v>248</v>
      </c>
      <c r="AG9" s="5" t="s">
        <v>249</v>
      </c>
      <c r="AH9" s="5" t="s">
        <v>240</v>
      </c>
      <c r="AI9" s="5" t="s">
        <v>240</v>
      </c>
      <c r="AJ9" s="5" t="s">
        <v>240</v>
      </c>
      <c r="AK9" s="5" t="s">
        <v>240</v>
      </c>
      <c r="AL9" s="5" t="s">
        <v>240</v>
      </c>
      <c r="AM9" s="5" t="s">
        <v>240</v>
      </c>
      <c r="AN9" s="5" t="s">
        <v>240</v>
      </c>
      <c r="AO9" s="5" t="s">
        <v>240</v>
      </c>
      <c r="AP9" s="6" t="s">
        <v>240</v>
      </c>
      <c r="AQ9" s="6" t="s">
        <v>240</v>
      </c>
      <c r="AR9" s="6" t="s">
        <v>240</v>
      </c>
      <c r="AS9" s="6" t="s">
        <v>240</v>
      </c>
      <c r="AT9" s="5" t="s">
        <v>240</v>
      </c>
      <c r="AU9" s="5" t="s">
        <v>240</v>
      </c>
      <c r="AV9" s="5" t="s">
        <v>240</v>
      </c>
      <c r="AW9" s="5" t="s">
        <v>251</v>
      </c>
      <c r="AX9" s="5" t="s">
        <v>252</v>
      </c>
      <c r="AY9" s="5" t="s">
        <v>253</v>
      </c>
      <c r="AZ9" s="5" t="s">
        <v>240</v>
      </c>
      <c r="BA9" s="5" t="s">
        <v>255</v>
      </c>
      <c r="BB9" s="5" t="s">
        <v>240</v>
      </c>
      <c r="BC9" s="6" t="s">
        <v>240</v>
      </c>
      <c r="BD9" s="5" t="s">
        <v>240</v>
      </c>
      <c r="BE9" s="5" t="s">
        <v>240</v>
      </c>
      <c r="BF9" s="5" t="s">
        <v>256</v>
      </c>
      <c r="BG9" s="6" t="s">
        <v>287</v>
      </c>
      <c r="BH9" s="5" t="s">
        <v>257</v>
      </c>
      <c r="BI9" s="5" t="s">
        <v>240</v>
      </c>
      <c r="BJ9" s="5" t="s">
        <v>240</v>
      </c>
      <c r="BK9" s="7">
        <f>0</f>
        <v>0</v>
      </c>
      <c r="BL9" s="7">
        <f>74747200</f>
        <v>74747200</v>
      </c>
      <c r="BM9" s="5" t="s">
        <v>258</v>
      </c>
      <c r="BN9" s="5" t="s">
        <v>259</v>
      </c>
      <c r="BO9" s="5" t="s">
        <v>240</v>
      </c>
      <c r="BP9" s="5" t="s">
        <v>240</v>
      </c>
      <c r="BQ9" s="5" t="s">
        <v>240</v>
      </c>
      <c r="BR9" s="5" t="s">
        <v>240</v>
      </c>
      <c r="BS9" s="5" t="s">
        <v>240</v>
      </c>
      <c r="BT9" s="5" t="s">
        <v>240</v>
      </c>
      <c r="BU9" s="5" t="s">
        <v>240</v>
      </c>
      <c r="BV9" s="5" t="s">
        <v>240</v>
      </c>
      <c r="BW9" s="6" t="s">
        <v>240</v>
      </c>
      <c r="BX9" s="5" t="s">
        <v>240</v>
      </c>
      <c r="BY9" s="5" t="s">
        <v>260</v>
      </c>
      <c r="BZ9" s="5" t="s">
        <v>260</v>
      </c>
      <c r="CA9" s="5" t="s">
        <v>259</v>
      </c>
      <c r="CB9" s="5" t="s">
        <v>240</v>
      </c>
      <c r="CC9" s="5" t="s">
        <v>240</v>
      </c>
      <c r="CD9" s="5" t="s">
        <v>240</v>
      </c>
      <c r="CE9" s="5" t="s">
        <v>240</v>
      </c>
      <c r="CF9" s="5" t="s">
        <v>240</v>
      </c>
      <c r="CG9" s="5" t="s">
        <v>240</v>
      </c>
      <c r="CH9" s="5" t="s">
        <v>240</v>
      </c>
      <c r="CI9" s="5" t="s">
        <v>240</v>
      </c>
      <c r="CJ9" s="5" t="s">
        <v>240</v>
      </c>
      <c r="CK9" s="5" t="s">
        <v>240</v>
      </c>
      <c r="CL9" s="6" t="s">
        <v>261</v>
      </c>
      <c r="CM9" s="5" t="s">
        <v>262</v>
      </c>
      <c r="CN9" s="5" t="s">
        <v>263</v>
      </c>
      <c r="CO9" s="5" t="s">
        <v>264</v>
      </c>
      <c r="CP9" s="5" t="s">
        <v>240</v>
      </c>
      <c r="CQ9" s="5">
        <v>0</v>
      </c>
      <c r="CR9" s="5" t="s">
        <v>240</v>
      </c>
      <c r="CS9" s="5" t="s">
        <v>240</v>
      </c>
      <c r="CT9" s="5" t="s">
        <v>240</v>
      </c>
      <c r="CU9" s="5" t="s">
        <v>265</v>
      </c>
      <c r="CV9" s="5" t="s">
        <v>240</v>
      </c>
      <c r="CW9" s="8">
        <f>0</f>
        <v>0</v>
      </c>
      <c r="CX9" s="7">
        <f>0</f>
        <v>0</v>
      </c>
      <c r="CY9" s="7">
        <f>0</f>
        <v>0</v>
      </c>
      <c r="CZ9" s="7" t="s">
        <v>240</v>
      </c>
      <c r="DA9" s="7" t="s">
        <v>240</v>
      </c>
      <c r="DB9" s="7" t="s">
        <v>240</v>
      </c>
      <c r="DC9" s="5" t="s">
        <v>240</v>
      </c>
      <c r="DD9" s="5" t="s">
        <v>240</v>
      </c>
      <c r="DE9" s="5" t="s">
        <v>240</v>
      </c>
      <c r="DF9" s="5" t="s">
        <v>240</v>
      </c>
      <c r="DG9" s="7">
        <f>0</f>
        <v>0</v>
      </c>
      <c r="DH9" s="6" t="s">
        <v>240</v>
      </c>
      <c r="DI9" s="5" t="s">
        <v>240</v>
      </c>
      <c r="DJ9" s="5" t="s">
        <v>240</v>
      </c>
      <c r="DK9" s="5" t="s">
        <v>240</v>
      </c>
      <c r="DL9" s="5" t="s">
        <v>240</v>
      </c>
      <c r="DM9" s="5" t="s">
        <v>240</v>
      </c>
      <c r="DN9" s="5" t="s">
        <v>240</v>
      </c>
      <c r="DO9" s="7" t="s">
        <v>240</v>
      </c>
      <c r="DP9" s="5" t="s">
        <v>240</v>
      </c>
      <c r="DQ9" s="5" t="s">
        <v>240</v>
      </c>
      <c r="DR9" s="5" t="s">
        <v>240</v>
      </c>
      <c r="DS9" s="5" t="s">
        <v>240</v>
      </c>
      <c r="DT9" s="5" t="s">
        <v>240</v>
      </c>
      <c r="DU9" s="5" t="s">
        <v>240</v>
      </c>
      <c r="DV9" s="5" t="s">
        <v>240</v>
      </c>
      <c r="DW9" s="5" t="s">
        <v>240</v>
      </c>
      <c r="DX9" s="5" t="s">
        <v>240</v>
      </c>
      <c r="DY9" s="5" t="s">
        <v>240</v>
      </c>
      <c r="DZ9" s="5" t="s">
        <v>240</v>
      </c>
      <c r="EA9" s="5" t="s">
        <v>240</v>
      </c>
      <c r="EB9" s="5" t="s">
        <v>240</v>
      </c>
      <c r="EC9" s="5" t="s">
        <v>240</v>
      </c>
      <c r="ED9" s="5" t="s">
        <v>240</v>
      </c>
      <c r="EE9" s="5" t="s">
        <v>240</v>
      </c>
      <c r="EF9" s="5" t="s">
        <v>240</v>
      </c>
      <c r="EG9" s="5" t="s">
        <v>240</v>
      </c>
      <c r="EH9" s="5" t="s">
        <v>240</v>
      </c>
      <c r="EI9" s="5" t="s">
        <v>240</v>
      </c>
      <c r="EJ9" s="5" t="s">
        <v>240</v>
      </c>
      <c r="EK9" s="5" t="s">
        <v>240</v>
      </c>
      <c r="EL9" s="5" t="s">
        <v>240</v>
      </c>
      <c r="EM9" s="5" t="s">
        <v>240</v>
      </c>
      <c r="EN9" s="5" t="s">
        <v>240</v>
      </c>
      <c r="EO9" s="5" t="s">
        <v>240</v>
      </c>
      <c r="EP9" s="5" t="s">
        <v>240</v>
      </c>
      <c r="EQ9" s="5" t="s">
        <v>240</v>
      </c>
      <c r="ER9" s="5" t="s">
        <v>240</v>
      </c>
      <c r="ES9" s="5" t="s">
        <v>240</v>
      </c>
      <c r="ET9" s="5" t="s">
        <v>240</v>
      </c>
      <c r="EU9" s="5" t="s">
        <v>240</v>
      </c>
      <c r="EV9" s="5" t="s">
        <v>240</v>
      </c>
      <c r="EW9" s="5" t="s">
        <v>240</v>
      </c>
      <c r="EX9" s="5" t="s">
        <v>240</v>
      </c>
      <c r="EY9" s="5" t="s">
        <v>240</v>
      </c>
      <c r="EZ9" s="5" t="s">
        <v>240</v>
      </c>
      <c r="FA9" s="5" t="s">
        <v>240</v>
      </c>
      <c r="FB9" s="5" t="s">
        <v>240</v>
      </c>
      <c r="FC9" s="5" t="s">
        <v>240</v>
      </c>
      <c r="FD9" s="5" t="s">
        <v>240</v>
      </c>
      <c r="FE9" s="5" t="s">
        <v>240</v>
      </c>
      <c r="FF9" s="5" t="s">
        <v>240</v>
      </c>
      <c r="FG9" s="5" t="s">
        <v>240</v>
      </c>
      <c r="FH9" s="5" t="s">
        <v>240</v>
      </c>
      <c r="FI9" s="5" t="s">
        <v>240</v>
      </c>
      <c r="FJ9" s="5" t="s">
        <v>240</v>
      </c>
      <c r="FK9" s="5" t="s">
        <v>240</v>
      </c>
      <c r="FL9" s="5" t="s">
        <v>240</v>
      </c>
      <c r="FM9" s="5" t="s">
        <v>240</v>
      </c>
      <c r="FN9" s="5" t="s">
        <v>240</v>
      </c>
      <c r="FO9" s="5" t="s">
        <v>240</v>
      </c>
      <c r="FP9" s="5" t="s">
        <v>240</v>
      </c>
      <c r="FQ9" s="5" t="s">
        <v>240</v>
      </c>
      <c r="FR9" s="5" t="s">
        <v>240</v>
      </c>
      <c r="FS9" s="5" t="s">
        <v>240</v>
      </c>
      <c r="FT9" s="5" t="s">
        <v>240</v>
      </c>
      <c r="FU9" s="5" t="s">
        <v>240</v>
      </c>
      <c r="FV9" s="5" t="s">
        <v>240</v>
      </c>
      <c r="FW9" s="5" t="s">
        <v>240</v>
      </c>
      <c r="FX9" s="5" t="s">
        <v>240</v>
      </c>
      <c r="FY9" s="5" t="s">
        <v>240</v>
      </c>
      <c r="FZ9" s="5" t="s">
        <v>240</v>
      </c>
      <c r="GA9" s="5" t="s">
        <v>240</v>
      </c>
      <c r="GB9" s="5" t="s">
        <v>240</v>
      </c>
      <c r="GC9" s="5" t="s">
        <v>240</v>
      </c>
      <c r="GD9" s="5" t="s">
        <v>240</v>
      </c>
      <c r="GE9" s="5" t="s">
        <v>240</v>
      </c>
      <c r="GF9" s="5" t="s">
        <v>240</v>
      </c>
      <c r="GG9" s="5" t="s">
        <v>240</v>
      </c>
      <c r="GH9" s="5" t="s">
        <v>240</v>
      </c>
      <c r="GI9" s="5" t="s">
        <v>240</v>
      </c>
      <c r="GJ9" s="5" t="s">
        <v>240</v>
      </c>
      <c r="GK9" s="5" t="s">
        <v>240</v>
      </c>
      <c r="GL9" s="5" t="s">
        <v>240</v>
      </c>
      <c r="GM9" s="5" t="s">
        <v>240</v>
      </c>
      <c r="GN9" s="5" t="s">
        <v>240</v>
      </c>
      <c r="GO9" s="5" t="s">
        <v>240</v>
      </c>
      <c r="GP9" s="5" t="s">
        <v>240</v>
      </c>
      <c r="GQ9" s="5" t="s">
        <v>240</v>
      </c>
      <c r="GR9" s="5" t="s">
        <v>240</v>
      </c>
      <c r="GS9" s="5" t="s">
        <v>240</v>
      </c>
      <c r="GT9" s="5" t="s">
        <v>240</v>
      </c>
      <c r="GU9" s="5" t="s">
        <v>240</v>
      </c>
      <c r="GV9" s="5" t="s">
        <v>240</v>
      </c>
      <c r="GW9" s="5" t="s">
        <v>240</v>
      </c>
      <c r="GX9" s="5" t="s">
        <v>240</v>
      </c>
      <c r="GY9" s="5" t="s">
        <v>240</v>
      </c>
      <c r="GZ9" s="5" t="s">
        <v>240</v>
      </c>
      <c r="HA9" s="5" t="s">
        <v>240</v>
      </c>
      <c r="HB9" s="5" t="s">
        <v>240</v>
      </c>
      <c r="HC9" s="5" t="s">
        <v>240</v>
      </c>
      <c r="HD9" s="5" t="s">
        <v>240</v>
      </c>
      <c r="HE9" s="5" t="s">
        <v>240</v>
      </c>
      <c r="HF9" s="5" t="s">
        <v>240</v>
      </c>
      <c r="HG9" s="5" t="s">
        <v>240</v>
      </c>
      <c r="HH9" s="5" t="s">
        <v>240</v>
      </c>
      <c r="HI9" s="5" t="s">
        <v>240</v>
      </c>
      <c r="HJ9" s="5" t="s">
        <v>240</v>
      </c>
      <c r="HK9" s="5" t="s">
        <v>240</v>
      </c>
      <c r="HL9" s="5" t="s">
        <v>240</v>
      </c>
      <c r="HM9" s="5" t="s">
        <v>240</v>
      </c>
      <c r="HN9" s="5" t="s">
        <v>240</v>
      </c>
      <c r="HO9" s="5" t="s">
        <v>240</v>
      </c>
      <c r="HP9" s="5" t="s">
        <v>240</v>
      </c>
      <c r="HQ9" s="5" t="s">
        <v>240</v>
      </c>
      <c r="HR9" s="5" t="s">
        <v>240</v>
      </c>
      <c r="HS9" s="5" t="s">
        <v>240</v>
      </c>
      <c r="HT9" s="5" t="s">
        <v>240</v>
      </c>
      <c r="HU9" s="5" t="s">
        <v>240</v>
      </c>
      <c r="HV9" s="5" t="s">
        <v>240</v>
      </c>
      <c r="HW9" s="5" t="s">
        <v>240</v>
      </c>
      <c r="HX9" s="5" t="s">
        <v>240</v>
      </c>
      <c r="HY9" s="5" t="s">
        <v>240</v>
      </c>
      <c r="HZ9" s="5" t="s">
        <v>240</v>
      </c>
      <c r="IA9" s="5" t="s">
        <v>240</v>
      </c>
      <c r="IB9" s="5" t="s">
        <v>240</v>
      </c>
      <c r="IC9" s="5" t="s">
        <v>240</v>
      </c>
      <c r="ID9" s="5" t="s">
        <v>240</v>
      </c>
      <c r="IE9" s="5" t="s">
        <v>240</v>
      </c>
      <c r="IF9" s="5" t="s">
        <v>240</v>
      </c>
    </row>
    <row r="10" spans="1:240" x14ac:dyDescent="0.4">
      <c r="A10" s="5">
        <v>717</v>
      </c>
      <c r="B10" s="5">
        <v>1</v>
      </c>
      <c r="C10" s="5">
        <v>1</v>
      </c>
      <c r="D10" s="5" t="s">
        <v>1955</v>
      </c>
      <c r="E10" s="5" t="s">
        <v>418</v>
      </c>
      <c r="F10" s="5" t="s">
        <v>254</v>
      </c>
      <c r="G10" s="5" t="s">
        <v>240</v>
      </c>
      <c r="H10" s="6" t="s">
        <v>1956</v>
      </c>
      <c r="I10" s="5" t="s">
        <v>1954</v>
      </c>
      <c r="J10" s="8">
        <f>2025.79</f>
        <v>2025.79</v>
      </c>
      <c r="K10" s="5" t="s">
        <v>308</v>
      </c>
      <c r="L10" s="7">
        <f>4487124</f>
        <v>4487124</v>
      </c>
      <c r="M10" s="7">
        <f>4487124</f>
        <v>4487124</v>
      </c>
      <c r="N10" s="5" t="s">
        <v>242</v>
      </c>
      <c r="O10" s="5">
        <v>3</v>
      </c>
      <c r="P10" s="5" t="s">
        <v>239</v>
      </c>
      <c r="Q10" s="5" t="s">
        <v>240</v>
      </c>
      <c r="R10" s="5" t="s">
        <v>240</v>
      </c>
      <c r="S10" s="5" t="s">
        <v>240</v>
      </c>
      <c r="T10" s="5" t="s">
        <v>243</v>
      </c>
      <c r="U10" s="5" t="s">
        <v>290</v>
      </c>
      <c r="V10" s="5" t="s">
        <v>240</v>
      </c>
      <c r="W10" s="5" t="s">
        <v>240</v>
      </c>
      <c r="X10" s="5" t="s">
        <v>240</v>
      </c>
      <c r="Y10" s="5" t="s">
        <v>246</v>
      </c>
      <c r="Z10" s="6" t="s">
        <v>291</v>
      </c>
      <c r="AA10" s="6" t="s">
        <v>240</v>
      </c>
      <c r="AB10" s="6" t="s">
        <v>240</v>
      </c>
      <c r="AC10" s="5" t="s">
        <v>240</v>
      </c>
      <c r="AD10" s="6" t="s">
        <v>240</v>
      </c>
      <c r="AE10" s="6" t="s">
        <v>240</v>
      </c>
      <c r="AF10" s="5" t="s">
        <v>248</v>
      </c>
      <c r="AG10" s="5" t="s">
        <v>249</v>
      </c>
      <c r="AH10" s="5" t="s">
        <v>240</v>
      </c>
      <c r="AI10" s="5" t="s">
        <v>240</v>
      </c>
      <c r="AJ10" s="5" t="s">
        <v>240</v>
      </c>
      <c r="AK10" s="5" t="s">
        <v>240</v>
      </c>
      <c r="AL10" s="5" t="s">
        <v>240</v>
      </c>
      <c r="AM10" s="5" t="s">
        <v>240</v>
      </c>
      <c r="AN10" s="5" t="s">
        <v>240</v>
      </c>
      <c r="AO10" s="5" t="s">
        <v>240</v>
      </c>
      <c r="AP10" s="6" t="s">
        <v>240</v>
      </c>
      <c r="AQ10" s="6" t="s">
        <v>240</v>
      </c>
      <c r="AR10" s="6" t="s">
        <v>240</v>
      </c>
      <c r="AS10" s="6" t="s">
        <v>240</v>
      </c>
      <c r="AT10" s="5" t="s">
        <v>240</v>
      </c>
      <c r="AU10" s="5" t="s">
        <v>240</v>
      </c>
      <c r="AV10" s="5" t="s">
        <v>240</v>
      </c>
      <c r="AW10" s="5" t="s">
        <v>251</v>
      </c>
      <c r="AX10" s="5" t="s">
        <v>252</v>
      </c>
      <c r="AY10" s="5" t="s">
        <v>253</v>
      </c>
      <c r="AZ10" s="5" t="s">
        <v>240</v>
      </c>
      <c r="BA10" s="5" t="s">
        <v>255</v>
      </c>
      <c r="BB10" s="5" t="s">
        <v>240</v>
      </c>
      <c r="BC10" s="6" t="s">
        <v>240</v>
      </c>
      <c r="BD10" s="5" t="s">
        <v>240</v>
      </c>
      <c r="BE10" s="5" t="s">
        <v>240</v>
      </c>
      <c r="BF10" s="5" t="s">
        <v>256</v>
      </c>
      <c r="BG10" s="6" t="s">
        <v>270</v>
      </c>
      <c r="BH10" s="5" t="s">
        <v>257</v>
      </c>
      <c r="BI10" s="5" t="s">
        <v>240</v>
      </c>
      <c r="BJ10" s="5" t="s">
        <v>240</v>
      </c>
      <c r="BK10" s="7">
        <f>0</f>
        <v>0</v>
      </c>
      <c r="BL10" s="7">
        <f>4574880</f>
        <v>4574880</v>
      </c>
      <c r="BM10" s="5" t="s">
        <v>258</v>
      </c>
      <c r="BN10" s="5" t="s">
        <v>259</v>
      </c>
      <c r="BO10" s="5" t="s">
        <v>240</v>
      </c>
      <c r="BP10" s="5" t="s">
        <v>240</v>
      </c>
      <c r="BQ10" s="5" t="s">
        <v>240</v>
      </c>
      <c r="BR10" s="5" t="s">
        <v>240</v>
      </c>
      <c r="BS10" s="5" t="s">
        <v>240</v>
      </c>
      <c r="BT10" s="5" t="s">
        <v>240</v>
      </c>
      <c r="BU10" s="5" t="s">
        <v>240</v>
      </c>
      <c r="BV10" s="5" t="s">
        <v>240</v>
      </c>
      <c r="BW10" s="6" t="s">
        <v>240</v>
      </c>
      <c r="BX10" s="5" t="s">
        <v>240</v>
      </c>
      <c r="BY10" s="5" t="s">
        <v>260</v>
      </c>
      <c r="BZ10" s="5" t="s">
        <v>260</v>
      </c>
      <c r="CA10" s="5" t="s">
        <v>259</v>
      </c>
      <c r="CB10" s="5" t="s">
        <v>240</v>
      </c>
      <c r="CC10" s="5" t="s">
        <v>240</v>
      </c>
      <c r="CD10" s="5" t="s">
        <v>240</v>
      </c>
      <c r="CE10" s="5" t="s">
        <v>240</v>
      </c>
      <c r="CF10" s="5" t="s">
        <v>240</v>
      </c>
      <c r="CG10" s="5" t="s">
        <v>240</v>
      </c>
      <c r="CH10" s="5" t="s">
        <v>240</v>
      </c>
      <c r="CI10" s="5" t="s">
        <v>240</v>
      </c>
      <c r="CJ10" s="5" t="s">
        <v>240</v>
      </c>
      <c r="CK10" s="5" t="s">
        <v>240</v>
      </c>
      <c r="CL10" s="6" t="s">
        <v>261</v>
      </c>
      <c r="CM10" s="5" t="s">
        <v>262</v>
      </c>
      <c r="CN10" s="5" t="s">
        <v>293</v>
      </c>
      <c r="CO10" s="5" t="s">
        <v>264</v>
      </c>
      <c r="CP10" s="5" t="s">
        <v>240</v>
      </c>
      <c r="CQ10" s="5">
        <v>0</v>
      </c>
      <c r="CR10" s="5" t="s">
        <v>240</v>
      </c>
      <c r="CS10" s="5" t="s">
        <v>240</v>
      </c>
      <c r="CT10" s="5" t="s">
        <v>240</v>
      </c>
      <c r="CU10" s="5" t="s">
        <v>260</v>
      </c>
      <c r="CV10" s="5" t="s">
        <v>240</v>
      </c>
      <c r="CW10" s="8">
        <f>0</f>
        <v>0</v>
      </c>
      <c r="CX10" s="7">
        <f>0</f>
        <v>0</v>
      </c>
      <c r="CY10" s="7">
        <f>0</f>
        <v>0</v>
      </c>
      <c r="CZ10" s="7" t="s">
        <v>240</v>
      </c>
      <c r="DA10" s="7" t="s">
        <v>240</v>
      </c>
      <c r="DB10" s="7" t="s">
        <v>240</v>
      </c>
      <c r="DC10" s="5" t="s">
        <v>240</v>
      </c>
      <c r="DD10" s="5" t="s">
        <v>240</v>
      </c>
      <c r="DE10" s="5" t="s">
        <v>240</v>
      </c>
      <c r="DF10" s="5" t="s">
        <v>240</v>
      </c>
      <c r="DG10" s="7">
        <f>0</f>
        <v>0</v>
      </c>
      <c r="DH10" s="6" t="s">
        <v>240</v>
      </c>
      <c r="DI10" s="5" t="s">
        <v>240</v>
      </c>
      <c r="DJ10" s="5" t="s">
        <v>240</v>
      </c>
      <c r="DK10" s="5" t="s">
        <v>240</v>
      </c>
      <c r="DL10" s="5" t="s">
        <v>240</v>
      </c>
      <c r="DM10" s="5" t="s">
        <v>240</v>
      </c>
      <c r="DN10" s="5" t="s">
        <v>240</v>
      </c>
      <c r="DO10" s="7" t="s">
        <v>240</v>
      </c>
      <c r="DP10" s="5" t="s">
        <v>240</v>
      </c>
      <c r="DQ10" s="5" t="s">
        <v>240</v>
      </c>
      <c r="DR10" s="5" t="s">
        <v>240</v>
      </c>
      <c r="DS10" s="5" t="s">
        <v>240</v>
      </c>
      <c r="DT10" s="5" t="s">
        <v>240</v>
      </c>
      <c r="DU10" s="5" t="s">
        <v>240</v>
      </c>
      <c r="DV10" s="5" t="s">
        <v>240</v>
      </c>
      <c r="DW10" s="5" t="s">
        <v>240</v>
      </c>
      <c r="DX10" s="5" t="s">
        <v>240</v>
      </c>
      <c r="DY10" s="5" t="s">
        <v>240</v>
      </c>
      <c r="DZ10" s="5" t="s">
        <v>240</v>
      </c>
      <c r="EA10" s="5" t="s">
        <v>240</v>
      </c>
      <c r="EB10" s="5" t="s">
        <v>240</v>
      </c>
      <c r="EC10" s="5" t="s">
        <v>240</v>
      </c>
      <c r="ED10" s="5" t="s">
        <v>240</v>
      </c>
      <c r="EE10" s="5" t="s">
        <v>240</v>
      </c>
      <c r="EF10" s="5" t="s">
        <v>240</v>
      </c>
      <c r="EG10" s="5" t="s">
        <v>240</v>
      </c>
      <c r="EH10" s="5" t="s">
        <v>240</v>
      </c>
      <c r="EI10" s="5" t="s">
        <v>240</v>
      </c>
      <c r="EJ10" s="5" t="s">
        <v>240</v>
      </c>
      <c r="EK10" s="5" t="s">
        <v>240</v>
      </c>
      <c r="EL10" s="5" t="s">
        <v>240</v>
      </c>
      <c r="EM10" s="5" t="s">
        <v>240</v>
      </c>
      <c r="EN10" s="5" t="s">
        <v>240</v>
      </c>
      <c r="EO10" s="5" t="s">
        <v>240</v>
      </c>
      <c r="EP10" s="5" t="s">
        <v>240</v>
      </c>
      <c r="EQ10" s="5" t="s">
        <v>240</v>
      </c>
      <c r="ER10" s="5" t="s">
        <v>240</v>
      </c>
      <c r="ES10" s="5" t="s">
        <v>240</v>
      </c>
      <c r="ET10" s="5" t="s">
        <v>240</v>
      </c>
      <c r="EU10" s="5" t="s">
        <v>240</v>
      </c>
      <c r="EV10" s="5" t="s">
        <v>240</v>
      </c>
      <c r="EW10" s="5" t="s">
        <v>240</v>
      </c>
      <c r="EX10" s="5" t="s">
        <v>240</v>
      </c>
      <c r="EY10" s="5" t="s">
        <v>240</v>
      </c>
      <c r="EZ10" s="5" t="s">
        <v>240</v>
      </c>
      <c r="FA10" s="5" t="s">
        <v>240</v>
      </c>
      <c r="FB10" s="5" t="s">
        <v>240</v>
      </c>
      <c r="FC10" s="5" t="s">
        <v>240</v>
      </c>
      <c r="FD10" s="5" t="s">
        <v>240</v>
      </c>
      <c r="FE10" s="5" t="s">
        <v>240</v>
      </c>
      <c r="FF10" s="5" t="s">
        <v>240</v>
      </c>
      <c r="FG10" s="5" t="s">
        <v>240</v>
      </c>
      <c r="FH10" s="5" t="s">
        <v>240</v>
      </c>
      <c r="FI10" s="5" t="s">
        <v>240</v>
      </c>
      <c r="FJ10" s="5" t="s">
        <v>240</v>
      </c>
      <c r="FK10" s="5" t="s">
        <v>240</v>
      </c>
      <c r="FL10" s="5" t="s">
        <v>240</v>
      </c>
      <c r="FM10" s="5" t="s">
        <v>240</v>
      </c>
      <c r="FN10" s="5" t="s">
        <v>240</v>
      </c>
      <c r="FO10" s="5" t="s">
        <v>240</v>
      </c>
      <c r="FP10" s="5" t="s">
        <v>240</v>
      </c>
      <c r="FQ10" s="5" t="s">
        <v>240</v>
      </c>
      <c r="FR10" s="5" t="s">
        <v>240</v>
      </c>
      <c r="FS10" s="5" t="s">
        <v>240</v>
      </c>
      <c r="FT10" s="5" t="s">
        <v>240</v>
      </c>
      <c r="FU10" s="5" t="s">
        <v>240</v>
      </c>
      <c r="FV10" s="5" t="s">
        <v>240</v>
      </c>
      <c r="FW10" s="5" t="s">
        <v>240</v>
      </c>
      <c r="FX10" s="5" t="s">
        <v>240</v>
      </c>
      <c r="FY10" s="5" t="s">
        <v>240</v>
      </c>
      <c r="FZ10" s="5" t="s">
        <v>240</v>
      </c>
      <c r="GA10" s="5" t="s">
        <v>240</v>
      </c>
      <c r="GB10" s="5" t="s">
        <v>240</v>
      </c>
      <c r="GC10" s="5" t="s">
        <v>240</v>
      </c>
      <c r="GD10" s="5" t="s">
        <v>240</v>
      </c>
      <c r="GE10" s="5" t="s">
        <v>240</v>
      </c>
      <c r="GF10" s="5" t="s">
        <v>240</v>
      </c>
      <c r="GG10" s="5" t="s">
        <v>240</v>
      </c>
      <c r="GH10" s="5" t="s">
        <v>240</v>
      </c>
      <c r="GI10" s="5" t="s">
        <v>240</v>
      </c>
      <c r="GJ10" s="5" t="s">
        <v>240</v>
      </c>
      <c r="GK10" s="5" t="s">
        <v>240</v>
      </c>
      <c r="GL10" s="5" t="s">
        <v>240</v>
      </c>
      <c r="GM10" s="5" t="s">
        <v>240</v>
      </c>
      <c r="GN10" s="5" t="s">
        <v>240</v>
      </c>
      <c r="GO10" s="5" t="s">
        <v>240</v>
      </c>
      <c r="GP10" s="5" t="s">
        <v>240</v>
      </c>
      <c r="GQ10" s="5" t="s">
        <v>240</v>
      </c>
      <c r="GR10" s="5" t="s">
        <v>240</v>
      </c>
      <c r="GS10" s="5" t="s">
        <v>240</v>
      </c>
      <c r="GT10" s="5" t="s">
        <v>240</v>
      </c>
      <c r="GU10" s="5" t="s">
        <v>240</v>
      </c>
      <c r="GV10" s="5" t="s">
        <v>240</v>
      </c>
      <c r="GW10" s="5" t="s">
        <v>240</v>
      </c>
      <c r="GX10" s="5" t="s">
        <v>240</v>
      </c>
      <c r="GY10" s="5" t="s">
        <v>240</v>
      </c>
      <c r="GZ10" s="5" t="s">
        <v>240</v>
      </c>
      <c r="HA10" s="5" t="s">
        <v>240</v>
      </c>
      <c r="HB10" s="5" t="s">
        <v>240</v>
      </c>
      <c r="HC10" s="5" t="s">
        <v>240</v>
      </c>
      <c r="HD10" s="5" t="s">
        <v>240</v>
      </c>
      <c r="HE10" s="5" t="s">
        <v>240</v>
      </c>
      <c r="HF10" s="5" t="s">
        <v>240</v>
      </c>
      <c r="HG10" s="5" t="s">
        <v>240</v>
      </c>
      <c r="HH10" s="5" t="s">
        <v>240</v>
      </c>
      <c r="HI10" s="5" t="s">
        <v>240</v>
      </c>
      <c r="HJ10" s="5" t="s">
        <v>240</v>
      </c>
      <c r="HK10" s="5" t="s">
        <v>240</v>
      </c>
      <c r="HL10" s="5" t="s">
        <v>240</v>
      </c>
      <c r="HM10" s="5" t="s">
        <v>240</v>
      </c>
      <c r="HN10" s="5" t="s">
        <v>240</v>
      </c>
      <c r="HO10" s="5" t="s">
        <v>240</v>
      </c>
      <c r="HP10" s="5" t="s">
        <v>240</v>
      </c>
      <c r="HQ10" s="5" t="s">
        <v>240</v>
      </c>
      <c r="HR10" s="5" t="s">
        <v>240</v>
      </c>
      <c r="HS10" s="5" t="s">
        <v>240</v>
      </c>
      <c r="HT10" s="5" t="s">
        <v>240</v>
      </c>
      <c r="HU10" s="5" t="s">
        <v>240</v>
      </c>
      <c r="HV10" s="5" t="s">
        <v>240</v>
      </c>
      <c r="HW10" s="5" t="s">
        <v>240</v>
      </c>
      <c r="HX10" s="5" t="s">
        <v>240</v>
      </c>
      <c r="HY10" s="5" t="s">
        <v>240</v>
      </c>
      <c r="HZ10" s="5" t="s">
        <v>240</v>
      </c>
      <c r="IA10" s="5" t="s">
        <v>240</v>
      </c>
      <c r="IB10" s="5" t="s">
        <v>240</v>
      </c>
      <c r="IC10" s="5" t="s">
        <v>240</v>
      </c>
      <c r="ID10" s="5" t="s">
        <v>240</v>
      </c>
      <c r="IE10" s="5" t="s">
        <v>240</v>
      </c>
      <c r="IF10" s="5" t="s">
        <v>240</v>
      </c>
    </row>
    <row r="11" spans="1:240" x14ac:dyDescent="0.4">
      <c r="A11" s="5">
        <v>718</v>
      </c>
      <c r="B11" s="5">
        <v>1</v>
      </c>
      <c r="C11" s="5">
        <v>1</v>
      </c>
      <c r="D11" s="5" t="s">
        <v>1951</v>
      </c>
      <c r="E11" s="5" t="s">
        <v>418</v>
      </c>
      <c r="F11" s="5" t="s">
        <v>254</v>
      </c>
      <c r="G11" s="5" t="s">
        <v>240</v>
      </c>
      <c r="H11" s="6" t="s">
        <v>1952</v>
      </c>
      <c r="I11" s="5" t="s">
        <v>1950</v>
      </c>
      <c r="J11" s="8">
        <f>1800</f>
        <v>1800</v>
      </c>
      <c r="K11" s="5" t="s">
        <v>308</v>
      </c>
      <c r="L11" s="7">
        <f>3987000</f>
        <v>3987000</v>
      </c>
      <c r="M11" s="7">
        <f>3987000</f>
        <v>3987000</v>
      </c>
      <c r="N11" s="5" t="s">
        <v>242</v>
      </c>
      <c r="O11" s="5">
        <v>1</v>
      </c>
      <c r="P11" s="5" t="s">
        <v>294</v>
      </c>
      <c r="Q11" s="5" t="s">
        <v>266</v>
      </c>
      <c r="R11" s="5" t="s">
        <v>240</v>
      </c>
      <c r="S11" s="5" t="s">
        <v>240</v>
      </c>
      <c r="T11" s="5" t="s">
        <v>296</v>
      </c>
      <c r="U11" s="5" t="s">
        <v>244</v>
      </c>
      <c r="V11" s="5" t="s">
        <v>240</v>
      </c>
      <c r="Y11" s="5" t="s">
        <v>240</v>
      </c>
      <c r="Z11" s="6" t="s">
        <v>298</v>
      </c>
      <c r="AB11" s="6" t="s">
        <v>240</v>
      </c>
      <c r="AE11" s="6" t="s">
        <v>299</v>
      </c>
      <c r="AF11" s="5" t="s">
        <v>248</v>
      </c>
      <c r="AG11" s="5" t="s">
        <v>249</v>
      </c>
      <c r="AW11" s="5" t="s">
        <v>251</v>
      </c>
      <c r="AX11" s="5" t="s">
        <v>240</v>
      </c>
      <c r="AY11" s="5" t="s">
        <v>253</v>
      </c>
      <c r="AZ11" s="5" t="s">
        <v>240</v>
      </c>
      <c r="BA11" s="5" t="s">
        <v>255</v>
      </c>
      <c r="BB11" s="5" t="s">
        <v>240</v>
      </c>
      <c r="BD11" s="5" t="s">
        <v>240</v>
      </c>
      <c r="BF11" s="5" t="s">
        <v>301</v>
      </c>
      <c r="BG11" s="6" t="s">
        <v>299</v>
      </c>
      <c r="BH11" s="5" t="s">
        <v>302</v>
      </c>
      <c r="BI11" s="5" t="s">
        <v>303</v>
      </c>
      <c r="BJ11" s="5" t="s">
        <v>240</v>
      </c>
      <c r="BK11" s="8">
        <f>0</f>
        <v>0</v>
      </c>
      <c r="BL11" s="7">
        <f>0</f>
        <v>0</v>
      </c>
      <c r="BM11" s="5" t="s">
        <v>258</v>
      </c>
      <c r="BN11" s="5" t="s">
        <v>259</v>
      </c>
      <c r="CB11" s="5" t="s">
        <v>240</v>
      </c>
      <c r="CC11" s="5" t="s">
        <v>240</v>
      </c>
      <c r="CG11" s="5" t="s">
        <v>304</v>
      </c>
      <c r="CH11" s="5" t="s">
        <v>305</v>
      </c>
      <c r="CI11" s="5" t="s">
        <v>240</v>
      </c>
      <c r="CL11" s="6" t="s">
        <v>261</v>
      </c>
      <c r="CM11" s="5" t="s">
        <v>240</v>
      </c>
      <c r="CN11" s="5" t="s">
        <v>263</v>
      </c>
      <c r="CO11" s="5" t="s">
        <v>240</v>
      </c>
      <c r="CP11" s="5" t="s">
        <v>240</v>
      </c>
      <c r="CQ11" s="5">
        <v>0</v>
      </c>
      <c r="CR11" s="5" t="s">
        <v>306</v>
      </c>
      <c r="CS11" s="5" t="s">
        <v>307</v>
      </c>
      <c r="CT11" s="5" t="s">
        <v>307</v>
      </c>
      <c r="CU11" s="5" t="s">
        <v>260</v>
      </c>
      <c r="CX11" s="7">
        <f>1</f>
        <v>1</v>
      </c>
      <c r="CY11" s="7">
        <f>0</f>
        <v>0</v>
      </c>
      <c r="DA11" s="7">
        <f>0</f>
        <v>0</v>
      </c>
      <c r="DC11" s="5" t="s">
        <v>309</v>
      </c>
      <c r="DD11" s="5" t="s">
        <v>240</v>
      </c>
      <c r="DF11" s="5" t="s">
        <v>309</v>
      </c>
      <c r="DG11" s="7">
        <f>4.56</f>
        <v>4.5599999999999996</v>
      </c>
      <c r="DI11" s="5" t="s">
        <v>240</v>
      </c>
      <c r="DJ11" s="5" t="s">
        <v>240</v>
      </c>
      <c r="DK11" s="5" t="s">
        <v>240</v>
      </c>
      <c r="DL11" s="5" t="s">
        <v>240</v>
      </c>
      <c r="DP11" s="5" t="s">
        <v>240</v>
      </c>
      <c r="DQ11" s="5" t="s">
        <v>240</v>
      </c>
      <c r="DR11" s="5" t="s">
        <v>240</v>
      </c>
      <c r="DS11" s="5" t="s">
        <v>240</v>
      </c>
      <c r="DV11" s="5" t="s">
        <v>310</v>
      </c>
      <c r="DW11" s="5" t="s">
        <v>311</v>
      </c>
      <c r="HO11" s="5" t="s">
        <v>312</v>
      </c>
    </row>
    <row r="12" spans="1:240" x14ac:dyDescent="0.4">
      <c r="A12" s="5">
        <v>719</v>
      </c>
      <c r="B12" s="5">
        <v>1</v>
      </c>
      <c r="C12" s="5">
        <v>1</v>
      </c>
      <c r="D12" s="5" t="s">
        <v>4542</v>
      </c>
      <c r="E12" s="5" t="s">
        <v>418</v>
      </c>
      <c r="F12" s="5" t="s">
        <v>254</v>
      </c>
      <c r="G12" s="5" t="s">
        <v>240</v>
      </c>
      <c r="H12" s="6" t="s">
        <v>4543</v>
      </c>
      <c r="I12" s="5" t="s">
        <v>4541</v>
      </c>
      <c r="J12" s="8">
        <f>1811.88</f>
        <v>1811.88</v>
      </c>
      <c r="K12" s="5" t="s">
        <v>308</v>
      </c>
      <c r="L12" s="7">
        <f>4013314</f>
        <v>4013314</v>
      </c>
      <c r="M12" s="7">
        <f>4013314</f>
        <v>4013314</v>
      </c>
      <c r="N12" s="5" t="s">
        <v>242</v>
      </c>
      <c r="O12" s="5">
        <v>1</v>
      </c>
      <c r="P12" s="5" t="s">
        <v>294</v>
      </c>
      <c r="Q12" s="5" t="s">
        <v>266</v>
      </c>
      <c r="R12" s="5" t="s">
        <v>240</v>
      </c>
      <c r="S12" s="5" t="s">
        <v>240</v>
      </c>
      <c r="T12" s="5" t="s">
        <v>296</v>
      </c>
      <c r="U12" s="5" t="s">
        <v>244</v>
      </c>
      <c r="V12" s="5" t="s">
        <v>240</v>
      </c>
      <c r="Y12" s="5" t="s">
        <v>240</v>
      </c>
      <c r="Z12" s="6" t="s">
        <v>298</v>
      </c>
      <c r="AB12" s="6" t="s">
        <v>240</v>
      </c>
      <c r="AE12" s="6" t="s">
        <v>299</v>
      </c>
      <c r="AF12" s="5" t="s">
        <v>248</v>
      </c>
      <c r="AG12" s="5" t="s">
        <v>249</v>
      </c>
      <c r="AW12" s="5" t="s">
        <v>251</v>
      </c>
      <c r="AX12" s="5" t="s">
        <v>240</v>
      </c>
      <c r="AY12" s="5" t="s">
        <v>253</v>
      </c>
      <c r="AZ12" s="5" t="s">
        <v>240</v>
      </c>
      <c r="BA12" s="5" t="s">
        <v>255</v>
      </c>
      <c r="BB12" s="5" t="s">
        <v>240</v>
      </c>
      <c r="BD12" s="5" t="s">
        <v>240</v>
      </c>
      <c r="BF12" s="5" t="s">
        <v>301</v>
      </c>
      <c r="BG12" s="6" t="s">
        <v>299</v>
      </c>
      <c r="BH12" s="5" t="s">
        <v>302</v>
      </c>
      <c r="BI12" s="5" t="s">
        <v>303</v>
      </c>
      <c r="BJ12" s="5" t="s">
        <v>240</v>
      </c>
      <c r="BK12" s="8">
        <f>0</f>
        <v>0</v>
      </c>
      <c r="BL12" s="7">
        <f>0</f>
        <v>0</v>
      </c>
      <c r="BM12" s="5" t="s">
        <v>258</v>
      </c>
      <c r="BN12" s="5" t="s">
        <v>259</v>
      </c>
      <c r="CB12" s="5" t="s">
        <v>240</v>
      </c>
      <c r="CC12" s="5" t="s">
        <v>240</v>
      </c>
      <c r="CG12" s="5" t="s">
        <v>304</v>
      </c>
      <c r="CH12" s="5" t="s">
        <v>305</v>
      </c>
      <c r="CI12" s="5" t="s">
        <v>240</v>
      </c>
      <c r="CL12" s="6" t="s">
        <v>261</v>
      </c>
      <c r="CM12" s="5" t="s">
        <v>240</v>
      </c>
      <c r="CN12" s="5" t="s">
        <v>263</v>
      </c>
      <c r="CO12" s="5" t="s">
        <v>240</v>
      </c>
      <c r="CP12" s="5" t="s">
        <v>240</v>
      </c>
      <c r="CQ12" s="5">
        <v>0</v>
      </c>
      <c r="CR12" s="5" t="s">
        <v>306</v>
      </c>
      <c r="CS12" s="5" t="s">
        <v>307</v>
      </c>
      <c r="CT12" s="5" t="s">
        <v>307</v>
      </c>
      <c r="CU12" s="5" t="s">
        <v>260</v>
      </c>
      <c r="CX12" s="7">
        <f>1</f>
        <v>1</v>
      </c>
      <c r="CY12" s="7">
        <f>0</f>
        <v>0</v>
      </c>
      <c r="DA12" s="7">
        <f>0</f>
        <v>0</v>
      </c>
      <c r="DC12" s="5" t="s">
        <v>309</v>
      </c>
      <c r="DD12" s="5" t="s">
        <v>240</v>
      </c>
      <c r="DF12" s="5" t="s">
        <v>309</v>
      </c>
      <c r="DG12" s="7">
        <f>6305</f>
        <v>6305</v>
      </c>
      <c r="DI12" s="5" t="s">
        <v>240</v>
      </c>
      <c r="DJ12" s="5" t="s">
        <v>240</v>
      </c>
      <c r="DK12" s="5" t="s">
        <v>240</v>
      </c>
      <c r="DL12" s="5" t="s">
        <v>240</v>
      </c>
      <c r="DP12" s="5" t="s">
        <v>240</v>
      </c>
      <c r="DQ12" s="5" t="s">
        <v>240</v>
      </c>
      <c r="DR12" s="5" t="s">
        <v>240</v>
      </c>
      <c r="DS12" s="5" t="s">
        <v>240</v>
      </c>
      <c r="DV12" s="5" t="s">
        <v>310</v>
      </c>
      <c r="DW12" s="5" t="s">
        <v>314</v>
      </c>
      <c r="HO12" s="5" t="s">
        <v>312</v>
      </c>
    </row>
    <row r="13" spans="1:240" x14ac:dyDescent="0.4">
      <c r="A13" s="5">
        <v>720</v>
      </c>
      <c r="B13" s="5">
        <v>1</v>
      </c>
      <c r="C13" s="5">
        <v>1</v>
      </c>
      <c r="D13" s="5" t="s">
        <v>1945</v>
      </c>
      <c r="E13" s="5" t="s">
        <v>418</v>
      </c>
      <c r="F13" s="5" t="s">
        <v>254</v>
      </c>
      <c r="G13" s="5" t="s">
        <v>240</v>
      </c>
      <c r="H13" s="6" t="s">
        <v>1948</v>
      </c>
      <c r="I13" s="5" t="s">
        <v>1944</v>
      </c>
      <c r="J13" s="8">
        <f>1589.97</f>
        <v>1589.97</v>
      </c>
      <c r="K13" s="5" t="s">
        <v>308</v>
      </c>
      <c r="L13" s="7">
        <f>3521783</f>
        <v>3521783</v>
      </c>
      <c r="M13" s="7">
        <f>3521783</f>
        <v>3521783</v>
      </c>
      <c r="N13" s="5" t="s">
        <v>242</v>
      </c>
      <c r="O13" s="5">
        <v>1</v>
      </c>
      <c r="P13" s="5" t="s">
        <v>294</v>
      </c>
      <c r="Q13" s="5" t="s">
        <v>266</v>
      </c>
      <c r="R13" s="5" t="s">
        <v>240</v>
      </c>
      <c r="S13" s="5" t="s">
        <v>240</v>
      </c>
      <c r="T13" s="5" t="s">
        <v>296</v>
      </c>
      <c r="U13" s="5" t="s">
        <v>244</v>
      </c>
      <c r="V13" s="5" t="s">
        <v>240</v>
      </c>
      <c r="Y13" s="5" t="s">
        <v>240</v>
      </c>
      <c r="Z13" s="6" t="s">
        <v>298</v>
      </c>
      <c r="AB13" s="6" t="s">
        <v>240</v>
      </c>
      <c r="AE13" s="6" t="s">
        <v>299</v>
      </c>
      <c r="AF13" s="5" t="s">
        <v>248</v>
      </c>
      <c r="AG13" s="5" t="s">
        <v>249</v>
      </c>
      <c r="AW13" s="5" t="s">
        <v>251</v>
      </c>
      <c r="AX13" s="5" t="s">
        <v>240</v>
      </c>
      <c r="AY13" s="5" t="s">
        <v>253</v>
      </c>
      <c r="AZ13" s="5" t="s">
        <v>240</v>
      </c>
      <c r="BA13" s="5" t="s">
        <v>255</v>
      </c>
      <c r="BB13" s="5" t="s">
        <v>240</v>
      </c>
      <c r="BD13" s="5" t="s">
        <v>240</v>
      </c>
      <c r="BF13" s="5" t="s">
        <v>301</v>
      </c>
      <c r="BG13" s="6" t="s">
        <v>299</v>
      </c>
      <c r="BH13" s="5" t="s">
        <v>302</v>
      </c>
      <c r="BI13" s="5" t="s">
        <v>303</v>
      </c>
      <c r="BJ13" s="5" t="s">
        <v>240</v>
      </c>
      <c r="BK13" s="8">
        <f>0</f>
        <v>0</v>
      </c>
      <c r="BL13" s="7">
        <f>0</f>
        <v>0</v>
      </c>
      <c r="BM13" s="5" t="s">
        <v>258</v>
      </c>
      <c r="BN13" s="5" t="s">
        <v>259</v>
      </c>
      <c r="CB13" s="5" t="s">
        <v>240</v>
      </c>
      <c r="CC13" s="5" t="s">
        <v>240</v>
      </c>
      <c r="CG13" s="5" t="s">
        <v>304</v>
      </c>
      <c r="CH13" s="5" t="s">
        <v>305</v>
      </c>
      <c r="CI13" s="5" t="s">
        <v>240</v>
      </c>
      <c r="CL13" s="6" t="s">
        <v>261</v>
      </c>
      <c r="CM13" s="5" t="s">
        <v>240</v>
      </c>
      <c r="CN13" s="5" t="s">
        <v>263</v>
      </c>
      <c r="CO13" s="5" t="s">
        <v>240</v>
      </c>
      <c r="CP13" s="5" t="s">
        <v>240</v>
      </c>
      <c r="CQ13" s="5">
        <v>0</v>
      </c>
      <c r="CR13" s="5" t="s">
        <v>306</v>
      </c>
      <c r="CS13" s="5" t="s">
        <v>307</v>
      </c>
      <c r="CT13" s="5" t="s">
        <v>307</v>
      </c>
      <c r="CU13" s="5" t="s">
        <v>260</v>
      </c>
      <c r="CX13" s="7">
        <f>1</f>
        <v>1</v>
      </c>
      <c r="CY13" s="7">
        <f>0</f>
        <v>0</v>
      </c>
      <c r="DA13" s="7">
        <f>0</f>
        <v>0</v>
      </c>
      <c r="DC13" s="5" t="s">
        <v>309</v>
      </c>
      <c r="DD13" s="5" t="s">
        <v>240</v>
      </c>
      <c r="DF13" s="5" t="s">
        <v>309</v>
      </c>
      <c r="DG13" s="7">
        <f>60</f>
        <v>60</v>
      </c>
      <c r="DI13" s="5" t="s">
        <v>240</v>
      </c>
      <c r="DJ13" s="5" t="s">
        <v>240</v>
      </c>
      <c r="DK13" s="5" t="s">
        <v>240</v>
      </c>
      <c r="DL13" s="5" t="s">
        <v>240</v>
      </c>
      <c r="DP13" s="5" t="s">
        <v>240</v>
      </c>
      <c r="DQ13" s="5" t="s">
        <v>240</v>
      </c>
      <c r="DR13" s="5" t="s">
        <v>240</v>
      </c>
      <c r="DS13" s="5" t="s">
        <v>240</v>
      </c>
      <c r="DV13" s="5" t="s">
        <v>310</v>
      </c>
      <c r="DW13" s="5" t="s">
        <v>316</v>
      </c>
      <c r="HO13" s="5" t="s">
        <v>312</v>
      </c>
    </row>
    <row r="14" spans="1:240" x14ac:dyDescent="0.4">
      <c r="A14" s="5">
        <v>721</v>
      </c>
      <c r="B14" s="5">
        <v>1</v>
      </c>
      <c r="C14" s="5">
        <v>1</v>
      </c>
      <c r="D14" s="5" t="s">
        <v>1945</v>
      </c>
      <c r="E14" s="5" t="s">
        <v>418</v>
      </c>
      <c r="F14" s="5" t="s">
        <v>254</v>
      </c>
      <c r="G14" s="5" t="s">
        <v>240</v>
      </c>
      <c r="H14" s="6" t="s">
        <v>1946</v>
      </c>
      <c r="I14" s="5" t="s">
        <v>1944</v>
      </c>
      <c r="J14" s="8">
        <f>3001</f>
        <v>3001</v>
      </c>
      <c r="K14" s="5" t="s">
        <v>308</v>
      </c>
      <c r="L14" s="7">
        <f>6647215</f>
        <v>6647215</v>
      </c>
      <c r="M14" s="7">
        <f>6647215</f>
        <v>6647215</v>
      </c>
      <c r="N14" s="5" t="s">
        <v>242</v>
      </c>
      <c r="O14" s="5">
        <v>1</v>
      </c>
      <c r="P14" s="5" t="s">
        <v>294</v>
      </c>
      <c r="Q14" s="5" t="s">
        <v>266</v>
      </c>
      <c r="R14" s="5" t="s">
        <v>240</v>
      </c>
      <c r="S14" s="5" t="s">
        <v>240</v>
      </c>
      <c r="T14" s="5" t="s">
        <v>296</v>
      </c>
      <c r="U14" s="5" t="s">
        <v>244</v>
      </c>
      <c r="V14" s="5" t="s">
        <v>240</v>
      </c>
      <c r="Y14" s="5" t="s">
        <v>240</v>
      </c>
      <c r="Z14" s="6" t="s">
        <v>298</v>
      </c>
      <c r="AB14" s="6" t="s">
        <v>240</v>
      </c>
      <c r="AE14" s="6" t="s">
        <v>299</v>
      </c>
      <c r="AF14" s="5" t="s">
        <v>248</v>
      </c>
      <c r="AG14" s="5" t="s">
        <v>249</v>
      </c>
      <c r="AW14" s="5" t="s">
        <v>251</v>
      </c>
      <c r="AX14" s="5" t="s">
        <v>240</v>
      </c>
      <c r="AY14" s="5" t="s">
        <v>253</v>
      </c>
      <c r="AZ14" s="5" t="s">
        <v>240</v>
      </c>
      <c r="BA14" s="5" t="s">
        <v>255</v>
      </c>
      <c r="BB14" s="5" t="s">
        <v>240</v>
      </c>
      <c r="BD14" s="5" t="s">
        <v>240</v>
      </c>
      <c r="BF14" s="5" t="s">
        <v>301</v>
      </c>
      <c r="BG14" s="6" t="s">
        <v>299</v>
      </c>
      <c r="BH14" s="5" t="s">
        <v>302</v>
      </c>
      <c r="BI14" s="5" t="s">
        <v>303</v>
      </c>
      <c r="BJ14" s="5" t="s">
        <v>240</v>
      </c>
      <c r="BK14" s="8">
        <f>0</f>
        <v>0</v>
      </c>
      <c r="BL14" s="7">
        <f>0</f>
        <v>0</v>
      </c>
      <c r="BM14" s="5" t="s">
        <v>258</v>
      </c>
      <c r="BN14" s="5" t="s">
        <v>259</v>
      </c>
      <c r="CB14" s="5" t="s">
        <v>240</v>
      </c>
      <c r="CC14" s="5" t="s">
        <v>240</v>
      </c>
      <c r="CG14" s="5" t="s">
        <v>304</v>
      </c>
      <c r="CH14" s="5" t="s">
        <v>305</v>
      </c>
      <c r="CI14" s="5" t="s">
        <v>240</v>
      </c>
      <c r="CL14" s="6" t="s">
        <v>261</v>
      </c>
      <c r="CM14" s="5" t="s">
        <v>240</v>
      </c>
      <c r="CN14" s="5" t="s">
        <v>263</v>
      </c>
      <c r="CO14" s="5" t="s">
        <v>240</v>
      </c>
      <c r="CP14" s="5" t="s">
        <v>240</v>
      </c>
      <c r="CQ14" s="5">
        <v>0</v>
      </c>
      <c r="CR14" s="5" t="s">
        <v>306</v>
      </c>
      <c r="CS14" s="5" t="s">
        <v>307</v>
      </c>
      <c r="CT14" s="5" t="s">
        <v>307</v>
      </c>
      <c r="CU14" s="5" t="s">
        <v>260</v>
      </c>
      <c r="CX14" s="7">
        <f>1</f>
        <v>1</v>
      </c>
      <c r="CY14" s="7">
        <f>0</f>
        <v>0</v>
      </c>
      <c r="DA14" s="7">
        <f>0</f>
        <v>0</v>
      </c>
      <c r="DC14" s="5" t="s">
        <v>309</v>
      </c>
      <c r="DD14" s="5" t="s">
        <v>240</v>
      </c>
      <c r="DF14" s="5" t="s">
        <v>309</v>
      </c>
      <c r="DG14" s="7">
        <f>259</f>
        <v>259</v>
      </c>
      <c r="DI14" s="5" t="s">
        <v>240</v>
      </c>
      <c r="DJ14" s="5" t="s">
        <v>240</v>
      </c>
      <c r="DK14" s="5" t="s">
        <v>240</v>
      </c>
      <c r="DL14" s="5" t="s">
        <v>240</v>
      </c>
      <c r="DP14" s="5" t="s">
        <v>240</v>
      </c>
      <c r="DQ14" s="5" t="s">
        <v>240</v>
      </c>
      <c r="DR14" s="5" t="s">
        <v>240</v>
      </c>
      <c r="DS14" s="5" t="s">
        <v>240</v>
      </c>
      <c r="DV14" s="5" t="s">
        <v>310</v>
      </c>
      <c r="DW14" s="5" t="s">
        <v>318</v>
      </c>
      <c r="HO14" s="5" t="s">
        <v>312</v>
      </c>
    </row>
    <row r="15" spans="1:240" x14ac:dyDescent="0.4">
      <c r="A15" s="5">
        <v>722</v>
      </c>
      <c r="B15" s="5">
        <v>1</v>
      </c>
      <c r="C15" s="5">
        <v>1</v>
      </c>
      <c r="D15" s="5" t="s">
        <v>1938</v>
      </c>
      <c r="E15" s="5" t="s">
        <v>418</v>
      </c>
      <c r="F15" s="5" t="s">
        <v>254</v>
      </c>
      <c r="G15" s="5" t="s">
        <v>240</v>
      </c>
      <c r="H15" s="6" t="s">
        <v>1942</v>
      </c>
      <c r="I15" s="5" t="s">
        <v>1937</v>
      </c>
      <c r="J15" s="8">
        <f>546.89</f>
        <v>546.89</v>
      </c>
      <c r="K15" s="5" t="s">
        <v>308</v>
      </c>
      <c r="L15" s="7">
        <f>4703254</f>
        <v>4703254</v>
      </c>
      <c r="M15" s="7">
        <f>4703254</f>
        <v>4703254</v>
      </c>
      <c r="N15" s="5" t="s">
        <v>242</v>
      </c>
      <c r="O15" s="5">
        <v>1</v>
      </c>
      <c r="P15" s="5" t="s">
        <v>294</v>
      </c>
      <c r="Q15" s="5" t="s">
        <v>266</v>
      </c>
      <c r="R15" s="5" t="s">
        <v>240</v>
      </c>
      <c r="S15" s="5" t="s">
        <v>240</v>
      </c>
      <c r="T15" s="5" t="s">
        <v>296</v>
      </c>
      <c r="U15" s="5" t="s">
        <v>244</v>
      </c>
      <c r="V15" s="5" t="s">
        <v>240</v>
      </c>
      <c r="Y15" s="5" t="s">
        <v>240</v>
      </c>
      <c r="Z15" s="6" t="s">
        <v>298</v>
      </c>
      <c r="AB15" s="6" t="s">
        <v>240</v>
      </c>
      <c r="AE15" s="6" t="s">
        <v>299</v>
      </c>
      <c r="AF15" s="5" t="s">
        <v>248</v>
      </c>
      <c r="AG15" s="5" t="s">
        <v>249</v>
      </c>
      <c r="AW15" s="5" t="s">
        <v>251</v>
      </c>
      <c r="AX15" s="5" t="s">
        <v>240</v>
      </c>
      <c r="AY15" s="5" t="s">
        <v>253</v>
      </c>
      <c r="AZ15" s="5" t="s">
        <v>240</v>
      </c>
      <c r="BA15" s="5" t="s">
        <v>255</v>
      </c>
      <c r="BB15" s="5" t="s">
        <v>240</v>
      </c>
      <c r="BD15" s="5" t="s">
        <v>240</v>
      </c>
      <c r="BF15" s="5" t="s">
        <v>301</v>
      </c>
      <c r="BG15" s="6" t="s">
        <v>299</v>
      </c>
      <c r="BH15" s="5" t="s">
        <v>302</v>
      </c>
      <c r="BI15" s="5" t="s">
        <v>303</v>
      </c>
      <c r="BJ15" s="5" t="s">
        <v>240</v>
      </c>
      <c r="BK15" s="8">
        <f>0</f>
        <v>0</v>
      </c>
      <c r="BL15" s="7">
        <f>0</f>
        <v>0</v>
      </c>
      <c r="BM15" s="5" t="s">
        <v>258</v>
      </c>
      <c r="BN15" s="5" t="s">
        <v>259</v>
      </c>
      <c r="CB15" s="5" t="s">
        <v>240</v>
      </c>
      <c r="CC15" s="5" t="s">
        <v>240</v>
      </c>
      <c r="CG15" s="5" t="s">
        <v>304</v>
      </c>
      <c r="CH15" s="5" t="s">
        <v>305</v>
      </c>
      <c r="CI15" s="5" t="s">
        <v>240</v>
      </c>
      <c r="CL15" s="6" t="s">
        <v>261</v>
      </c>
      <c r="CM15" s="5" t="s">
        <v>240</v>
      </c>
      <c r="CN15" s="5" t="s">
        <v>263</v>
      </c>
      <c r="CO15" s="5" t="s">
        <v>240</v>
      </c>
      <c r="CP15" s="5" t="s">
        <v>240</v>
      </c>
      <c r="CQ15" s="5">
        <v>0</v>
      </c>
      <c r="CR15" s="5" t="s">
        <v>306</v>
      </c>
      <c r="CS15" s="5" t="s">
        <v>307</v>
      </c>
      <c r="CT15" s="5" t="s">
        <v>307</v>
      </c>
      <c r="CU15" s="5" t="s">
        <v>260</v>
      </c>
      <c r="CX15" s="7">
        <f>1</f>
        <v>1</v>
      </c>
      <c r="CY15" s="7">
        <f>0</f>
        <v>0</v>
      </c>
      <c r="DA15" s="7">
        <f>0</f>
        <v>0</v>
      </c>
      <c r="DC15" s="5" t="s">
        <v>309</v>
      </c>
      <c r="DD15" s="5" t="s">
        <v>240</v>
      </c>
      <c r="DF15" s="5" t="s">
        <v>309</v>
      </c>
      <c r="DG15" s="7">
        <f>830</f>
        <v>830</v>
      </c>
      <c r="DI15" s="5" t="s">
        <v>240</v>
      </c>
      <c r="DJ15" s="5" t="s">
        <v>240</v>
      </c>
      <c r="DK15" s="5" t="s">
        <v>240</v>
      </c>
      <c r="DL15" s="5" t="s">
        <v>240</v>
      </c>
      <c r="DP15" s="5" t="s">
        <v>240</v>
      </c>
      <c r="DQ15" s="5" t="s">
        <v>240</v>
      </c>
      <c r="DR15" s="5" t="s">
        <v>240</v>
      </c>
      <c r="DS15" s="5" t="s">
        <v>240</v>
      </c>
      <c r="DV15" s="5" t="s">
        <v>310</v>
      </c>
      <c r="DW15" s="5" t="s">
        <v>320</v>
      </c>
      <c r="HO15" s="5" t="s">
        <v>312</v>
      </c>
    </row>
    <row r="16" spans="1:240" x14ac:dyDescent="0.4">
      <c r="A16" s="5">
        <v>723</v>
      </c>
      <c r="B16" s="5">
        <v>1</v>
      </c>
      <c r="C16" s="5">
        <v>1</v>
      </c>
      <c r="D16" s="5" t="s">
        <v>1938</v>
      </c>
      <c r="E16" s="5" t="s">
        <v>418</v>
      </c>
      <c r="F16" s="5" t="s">
        <v>254</v>
      </c>
      <c r="G16" s="5" t="s">
        <v>240</v>
      </c>
      <c r="H16" s="6" t="s">
        <v>1941</v>
      </c>
      <c r="I16" s="5" t="s">
        <v>1937</v>
      </c>
      <c r="J16" s="8">
        <f>1282.85</f>
        <v>1282.8499999999999</v>
      </c>
      <c r="K16" s="5" t="s">
        <v>308</v>
      </c>
      <c r="L16" s="7">
        <f>11032510</f>
        <v>11032510</v>
      </c>
      <c r="M16" s="7">
        <f>11032510</f>
        <v>11032510</v>
      </c>
      <c r="N16" s="5" t="s">
        <v>242</v>
      </c>
      <c r="O16" s="5">
        <v>1</v>
      </c>
      <c r="P16" s="5" t="s">
        <v>294</v>
      </c>
      <c r="Q16" s="5" t="s">
        <v>266</v>
      </c>
      <c r="R16" s="5" t="s">
        <v>240</v>
      </c>
      <c r="S16" s="5" t="s">
        <v>240</v>
      </c>
      <c r="T16" s="5" t="s">
        <v>296</v>
      </c>
      <c r="U16" s="5" t="s">
        <v>244</v>
      </c>
      <c r="V16" s="5" t="s">
        <v>240</v>
      </c>
      <c r="Y16" s="5" t="s">
        <v>240</v>
      </c>
      <c r="Z16" s="6" t="s">
        <v>298</v>
      </c>
      <c r="AB16" s="6" t="s">
        <v>240</v>
      </c>
      <c r="AE16" s="6" t="s">
        <v>299</v>
      </c>
      <c r="AF16" s="5" t="s">
        <v>248</v>
      </c>
      <c r="AG16" s="5" t="s">
        <v>249</v>
      </c>
      <c r="AW16" s="5" t="s">
        <v>251</v>
      </c>
      <c r="AX16" s="5" t="s">
        <v>240</v>
      </c>
      <c r="AY16" s="5" t="s">
        <v>253</v>
      </c>
      <c r="AZ16" s="5" t="s">
        <v>240</v>
      </c>
      <c r="BA16" s="5" t="s">
        <v>255</v>
      </c>
      <c r="BB16" s="5" t="s">
        <v>240</v>
      </c>
      <c r="BD16" s="5" t="s">
        <v>240</v>
      </c>
      <c r="BF16" s="5" t="s">
        <v>301</v>
      </c>
      <c r="BG16" s="6" t="s">
        <v>299</v>
      </c>
      <c r="BH16" s="5" t="s">
        <v>302</v>
      </c>
      <c r="BI16" s="5" t="s">
        <v>303</v>
      </c>
      <c r="BJ16" s="5" t="s">
        <v>240</v>
      </c>
      <c r="BK16" s="8">
        <f>0</f>
        <v>0</v>
      </c>
      <c r="BL16" s="7">
        <f>0</f>
        <v>0</v>
      </c>
      <c r="BM16" s="5" t="s">
        <v>258</v>
      </c>
      <c r="BN16" s="5" t="s">
        <v>259</v>
      </c>
      <c r="CB16" s="5" t="s">
        <v>240</v>
      </c>
      <c r="CC16" s="5" t="s">
        <v>240</v>
      </c>
      <c r="CG16" s="5" t="s">
        <v>304</v>
      </c>
      <c r="CH16" s="5" t="s">
        <v>305</v>
      </c>
      <c r="CI16" s="5" t="s">
        <v>240</v>
      </c>
      <c r="CL16" s="6" t="s">
        <v>261</v>
      </c>
      <c r="CM16" s="5" t="s">
        <v>240</v>
      </c>
      <c r="CN16" s="5" t="s">
        <v>263</v>
      </c>
      <c r="CO16" s="5" t="s">
        <v>240</v>
      </c>
      <c r="CP16" s="5" t="s">
        <v>240</v>
      </c>
      <c r="CQ16" s="5">
        <v>0</v>
      </c>
      <c r="CR16" s="5" t="s">
        <v>306</v>
      </c>
      <c r="CS16" s="5" t="s">
        <v>307</v>
      </c>
      <c r="CT16" s="5" t="s">
        <v>307</v>
      </c>
      <c r="CU16" s="5" t="s">
        <v>260</v>
      </c>
      <c r="CX16" s="7">
        <f>1</f>
        <v>1</v>
      </c>
      <c r="CY16" s="7">
        <f>0</f>
        <v>0</v>
      </c>
      <c r="DA16" s="7">
        <f>0</f>
        <v>0</v>
      </c>
      <c r="DC16" s="5" t="s">
        <v>309</v>
      </c>
      <c r="DD16" s="5" t="s">
        <v>240</v>
      </c>
      <c r="DF16" s="5" t="s">
        <v>309</v>
      </c>
      <c r="DG16" s="7">
        <f>7175</f>
        <v>7175</v>
      </c>
      <c r="DI16" s="5" t="s">
        <v>240</v>
      </c>
      <c r="DJ16" s="5" t="s">
        <v>240</v>
      </c>
      <c r="DK16" s="5" t="s">
        <v>240</v>
      </c>
      <c r="DL16" s="5" t="s">
        <v>240</v>
      </c>
      <c r="DP16" s="5" t="s">
        <v>240</v>
      </c>
      <c r="DQ16" s="5" t="s">
        <v>240</v>
      </c>
      <c r="DR16" s="5" t="s">
        <v>240</v>
      </c>
      <c r="DS16" s="5" t="s">
        <v>240</v>
      </c>
      <c r="DV16" s="5" t="s">
        <v>310</v>
      </c>
      <c r="DW16" s="5" t="s">
        <v>322</v>
      </c>
      <c r="HO16" s="5" t="s">
        <v>312</v>
      </c>
    </row>
    <row r="17" spans="1:223" x14ac:dyDescent="0.4">
      <c r="A17" s="5">
        <v>724</v>
      </c>
      <c r="B17" s="5">
        <v>1</v>
      </c>
      <c r="C17" s="5">
        <v>1</v>
      </c>
      <c r="D17" s="5" t="s">
        <v>1938</v>
      </c>
      <c r="E17" s="5" t="s">
        <v>418</v>
      </c>
      <c r="F17" s="5" t="s">
        <v>254</v>
      </c>
      <c r="G17" s="5" t="s">
        <v>240</v>
      </c>
      <c r="H17" s="6" t="s">
        <v>1939</v>
      </c>
      <c r="I17" s="5" t="s">
        <v>1937</v>
      </c>
      <c r="J17" s="8">
        <f>11.21</f>
        <v>11.21</v>
      </c>
      <c r="K17" s="5" t="s">
        <v>308</v>
      </c>
      <c r="L17" s="7">
        <f>24830</f>
        <v>24830</v>
      </c>
      <c r="M17" s="7">
        <f>24830</f>
        <v>24830</v>
      </c>
      <c r="N17" s="5" t="s">
        <v>242</v>
      </c>
      <c r="O17" s="5">
        <v>1</v>
      </c>
      <c r="P17" s="5" t="s">
        <v>294</v>
      </c>
      <c r="Q17" s="5" t="s">
        <v>266</v>
      </c>
      <c r="R17" s="5" t="s">
        <v>240</v>
      </c>
      <c r="S17" s="5" t="s">
        <v>240</v>
      </c>
      <c r="T17" s="5" t="s">
        <v>296</v>
      </c>
      <c r="U17" s="5" t="s">
        <v>244</v>
      </c>
      <c r="V17" s="5" t="s">
        <v>240</v>
      </c>
      <c r="Y17" s="5" t="s">
        <v>240</v>
      </c>
      <c r="Z17" s="6" t="s">
        <v>298</v>
      </c>
      <c r="AB17" s="6" t="s">
        <v>240</v>
      </c>
      <c r="AE17" s="6" t="s">
        <v>299</v>
      </c>
      <c r="AF17" s="5" t="s">
        <v>248</v>
      </c>
      <c r="AG17" s="5" t="s">
        <v>249</v>
      </c>
      <c r="AW17" s="5" t="s">
        <v>251</v>
      </c>
      <c r="AX17" s="5" t="s">
        <v>240</v>
      </c>
      <c r="AY17" s="5" t="s">
        <v>253</v>
      </c>
      <c r="AZ17" s="5" t="s">
        <v>240</v>
      </c>
      <c r="BA17" s="5" t="s">
        <v>255</v>
      </c>
      <c r="BB17" s="5" t="s">
        <v>240</v>
      </c>
      <c r="BD17" s="5" t="s">
        <v>240</v>
      </c>
      <c r="BF17" s="5" t="s">
        <v>301</v>
      </c>
      <c r="BG17" s="6" t="s">
        <v>299</v>
      </c>
      <c r="BH17" s="5" t="s">
        <v>302</v>
      </c>
      <c r="BI17" s="5" t="s">
        <v>303</v>
      </c>
      <c r="BJ17" s="5" t="s">
        <v>240</v>
      </c>
      <c r="BK17" s="8">
        <f>0</f>
        <v>0</v>
      </c>
      <c r="BL17" s="7">
        <f>0</f>
        <v>0</v>
      </c>
      <c r="BM17" s="5" t="s">
        <v>258</v>
      </c>
      <c r="BN17" s="5" t="s">
        <v>259</v>
      </c>
      <c r="CB17" s="5" t="s">
        <v>240</v>
      </c>
      <c r="CC17" s="5" t="s">
        <v>240</v>
      </c>
      <c r="CG17" s="5" t="s">
        <v>304</v>
      </c>
      <c r="CH17" s="5" t="s">
        <v>305</v>
      </c>
      <c r="CI17" s="5" t="s">
        <v>240</v>
      </c>
      <c r="CL17" s="6" t="s">
        <v>261</v>
      </c>
      <c r="CM17" s="5" t="s">
        <v>240</v>
      </c>
      <c r="CN17" s="5" t="s">
        <v>263</v>
      </c>
      <c r="CO17" s="5" t="s">
        <v>240</v>
      </c>
      <c r="CP17" s="5" t="s">
        <v>240</v>
      </c>
      <c r="CQ17" s="5">
        <v>0</v>
      </c>
      <c r="CR17" s="5" t="s">
        <v>306</v>
      </c>
      <c r="CS17" s="5" t="s">
        <v>307</v>
      </c>
      <c r="CT17" s="5" t="s">
        <v>307</v>
      </c>
      <c r="CU17" s="5" t="s">
        <v>260</v>
      </c>
      <c r="CX17" s="7">
        <f>1</f>
        <v>1</v>
      </c>
      <c r="CY17" s="7">
        <f>0</f>
        <v>0</v>
      </c>
      <c r="DA17" s="7">
        <f>0</f>
        <v>0</v>
      </c>
      <c r="DC17" s="5" t="s">
        <v>309</v>
      </c>
      <c r="DD17" s="5" t="s">
        <v>240</v>
      </c>
      <c r="DF17" s="5" t="s">
        <v>309</v>
      </c>
      <c r="DG17" s="7">
        <f>714</f>
        <v>714</v>
      </c>
      <c r="DI17" s="5" t="s">
        <v>240</v>
      </c>
      <c r="DJ17" s="5" t="s">
        <v>240</v>
      </c>
      <c r="DK17" s="5" t="s">
        <v>240</v>
      </c>
      <c r="DL17" s="5" t="s">
        <v>240</v>
      </c>
      <c r="DP17" s="5" t="s">
        <v>240</v>
      </c>
      <c r="DQ17" s="5" t="s">
        <v>240</v>
      </c>
      <c r="DR17" s="5" t="s">
        <v>240</v>
      </c>
      <c r="DS17" s="5" t="s">
        <v>240</v>
      </c>
      <c r="DV17" s="5" t="s">
        <v>310</v>
      </c>
      <c r="DW17" s="5" t="s">
        <v>324</v>
      </c>
      <c r="HO17" s="5" t="s">
        <v>312</v>
      </c>
    </row>
    <row r="18" spans="1:223" x14ac:dyDescent="0.4">
      <c r="A18" s="5">
        <v>725</v>
      </c>
      <c r="B18" s="5">
        <v>1</v>
      </c>
      <c r="C18" s="5">
        <v>1</v>
      </c>
      <c r="D18" s="5" t="s">
        <v>1933</v>
      </c>
      <c r="E18" s="5" t="s">
        <v>418</v>
      </c>
      <c r="F18" s="5" t="s">
        <v>254</v>
      </c>
      <c r="G18" s="5" t="s">
        <v>1934</v>
      </c>
      <c r="H18" s="6" t="s">
        <v>1935</v>
      </c>
      <c r="I18" s="5" t="s">
        <v>1932</v>
      </c>
      <c r="J18" s="8">
        <f>2471.85</f>
        <v>2471.85</v>
      </c>
      <c r="K18" s="5" t="s">
        <v>308</v>
      </c>
      <c r="L18" s="7">
        <f>5475147</f>
        <v>5475147</v>
      </c>
      <c r="M18" s="7">
        <f>5475147</f>
        <v>5475147</v>
      </c>
      <c r="N18" s="5" t="s">
        <v>242</v>
      </c>
      <c r="O18" s="5">
        <v>1</v>
      </c>
      <c r="P18" s="5" t="s">
        <v>294</v>
      </c>
      <c r="Q18" s="5" t="s">
        <v>266</v>
      </c>
      <c r="R18" s="5" t="s">
        <v>240</v>
      </c>
      <c r="S18" s="5" t="s">
        <v>240</v>
      </c>
      <c r="T18" s="5" t="s">
        <v>296</v>
      </c>
      <c r="U18" s="5" t="s">
        <v>244</v>
      </c>
      <c r="V18" s="5" t="s">
        <v>240</v>
      </c>
      <c r="Y18" s="5" t="s">
        <v>240</v>
      </c>
      <c r="Z18" s="6" t="s">
        <v>298</v>
      </c>
      <c r="AB18" s="6" t="s">
        <v>240</v>
      </c>
      <c r="AE18" s="6" t="s">
        <v>299</v>
      </c>
      <c r="AF18" s="5" t="s">
        <v>248</v>
      </c>
      <c r="AG18" s="5" t="s">
        <v>249</v>
      </c>
      <c r="AW18" s="5" t="s">
        <v>251</v>
      </c>
      <c r="AX18" s="5" t="s">
        <v>240</v>
      </c>
      <c r="AY18" s="5" t="s">
        <v>253</v>
      </c>
      <c r="AZ18" s="5" t="s">
        <v>240</v>
      </c>
      <c r="BA18" s="5" t="s">
        <v>255</v>
      </c>
      <c r="BB18" s="5" t="s">
        <v>240</v>
      </c>
      <c r="BD18" s="5" t="s">
        <v>240</v>
      </c>
      <c r="BF18" s="5" t="s">
        <v>301</v>
      </c>
      <c r="BG18" s="6" t="s">
        <v>299</v>
      </c>
      <c r="BH18" s="5" t="s">
        <v>302</v>
      </c>
      <c r="BI18" s="5" t="s">
        <v>303</v>
      </c>
      <c r="BJ18" s="5" t="s">
        <v>240</v>
      </c>
      <c r="BK18" s="8">
        <f>0</f>
        <v>0</v>
      </c>
      <c r="BL18" s="7">
        <f>0</f>
        <v>0</v>
      </c>
      <c r="BM18" s="5" t="s">
        <v>258</v>
      </c>
      <c r="BN18" s="5" t="s">
        <v>259</v>
      </c>
      <c r="CB18" s="5" t="s">
        <v>240</v>
      </c>
      <c r="CC18" s="5" t="s">
        <v>240</v>
      </c>
      <c r="CG18" s="5" t="s">
        <v>304</v>
      </c>
      <c r="CH18" s="5" t="s">
        <v>305</v>
      </c>
      <c r="CI18" s="5" t="s">
        <v>240</v>
      </c>
      <c r="CL18" s="6" t="s">
        <v>261</v>
      </c>
      <c r="CM18" s="5" t="s">
        <v>240</v>
      </c>
      <c r="CN18" s="5" t="s">
        <v>263</v>
      </c>
      <c r="CO18" s="5" t="s">
        <v>240</v>
      </c>
      <c r="CP18" s="5" t="s">
        <v>240</v>
      </c>
      <c r="CQ18" s="5">
        <v>0</v>
      </c>
      <c r="CR18" s="5" t="s">
        <v>306</v>
      </c>
      <c r="CS18" s="5" t="s">
        <v>307</v>
      </c>
      <c r="CT18" s="5" t="s">
        <v>307</v>
      </c>
      <c r="CU18" s="5" t="s">
        <v>260</v>
      </c>
      <c r="CX18" s="7">
        <f>1</f>
        <v>1</v>
      </c>
      <c r="CY18" s="7">
        <f>0</f>
        <v>0</v>
      </c>
      <c r="DA18" s="7">
        <f>0</f>
        <v>0</v>
      </c>
      <c r="DC18" s="5" t="s">
        <v>309</v>
      </c>
      <c r="DD18" s="5" t="s">
        <v>240</v>
      </c>
      <c r="DF18" s="5" t="s">
        <v>309</v>
      </c>
      <c r="DG18" s="7">
        <f>1768</f>
        <v>1768</v>
      </c>
      <c r="DI18" s="5" t="s">
        <v>240</v>
      </c>
      <c r="DJ18" s="5" t="s">
        <v>240</v>
      </c>
      <c r="DK18" s="5" t="s">
        <v>240</v>
      </c>
      <c r="DL18" s="5" t="s">
        <v>240</v>
      </c>
      <c r="DP18" s="5" t="s">
        <v>240</v>
      </c>
      <c r="DQ18" s="5" t="s">
        <v>240</v>
      </c>
      <c r="DR18" s="5" t="s">
        <v>240</v>
      </c>
      <c r="DS18" s="5" t="s">
        <v>240</v>
      </c>
      <c r="DV18" s="5" t="s">
        <v>310</v>
      </c>
      <c r="DW18" s="5" t="s">
        <v>326</v>
      </c>
      <c r="HO18" s="5" t="s">
        <v>312</v>
      </c>
    </row>
    <row r="19" spans="1:223" x14ac:dyDescent="0.4">
      <c r="A19" s="5">
        <v>726</v>
      </c>
      <c r="B19" s="5">
        <v>1</v>
      </c>
      <c r="C19" s="5">
        <v>1</v>
      </c>
      <c r="D19" s="5" t="s">
        <v>1929</v>
      </c>
      <c r="E19" s="5" t="s">
        <v>418</v>
      </c>
      <c r="F19" s="5" t="s">
        <v>254</v>
      </c>
      <c r="G19" s="5" t="s">
        <v>240</v>
      </c>
      <c r="H19" s="6" t="s">
        <v>1930</v>
      </c>
      <c r="I19" s="5" t="s">
        <v>1928</v>
      </c>
      <c r="J19" s="8">
        <f>2496</f>
        <v>2496</v>
      </c>
      <c r="K19" s="5" t="s">
        <v>308</v>
      </c>
      <c r="L19" s="7">
        <f>5528640</f>
        <v>5528640</v>
      </c>
      <c r="M19" s="7">
        <f>5528640</f>
        <v>5528640</v>
      </c>
      <c r="N19" s="5" t="s">
        <v>242</v>
      </c>
      <c r="O19" s="5">
        <v>1</v>
      </c>
      <c r="P19" s="5" t="s">
        <v>294</v>
      </c>
      <c r="Q19" s="5" t="s">
        <v>266</v>
      </c>
      <c r="R19" s="5" t="s">
        <v>240</v>
      </c>
      <c r="S19" s="5" t="s">
        <v>240</v>
      </c>
      <c r="T19" s="5" t="s">
        <v>296</v>
      </c>
      <c r="U19" s="5" t="s">
        <v>244</v>
      </c>
      <c r="V19" s="5" t="s">
        <v>240</v>
      </c>
      <c r="Y19" s="5" t="s">
        <v>240</v>
      </c>
      <c r="Z19" s="6" t="s">
        <v>298</v>
      </c>
      <c r="AB19" s="6" t="s">
        <v>240</v>
      </c>
      <c r="AE19" s="6" t="s">
        <v>299</v>
      </c>
      <c r="AF19" s="5" t="s">
        <v>248</v>
      </c>
      <c r="AG19" s="5" t="s">
        <v>249</v>
      </c>
      <c r="AW19" s="5" t="s">
        <v>251</v>
      </c>
      <c r="AX19" s="5" t="s">
        <v>240</v>
      </c>
      <c r="AY19" s="5" t="s">
        <v>253</v>
      </c>
      <c r="AZ19" s="5" t="s">
        <v>240</v>
      </c>
      <c r="BA19" s="5" t="s">
        <v>255</v>
      </c>
      <c r="BB19" s="5" t="s">
        <v>240</v>
      </c>
      <c r="BD19" s="5" t="s">
        <v>240</v>
      </c>
      <c r="BF19" s="5" t="s">
        <v>301</v>
      </c>
      <c r="BG19" s="6" t="s">
        <v>299</v>
      </c>
      <c r="BH19" s="5" t="s">
        <v>302</v>
      </c>
      <c r="BI19" s="5" t="s">
        <v>303</v>
      </c>
      <c r="BJ19" s="5" t="s">
        <v>240</v>
      </c>
      <c r="BK19" s="8">
        <f>0</f>
        <v>0</v>
      </c>
      <c r="BL19" s="7">
        <f>0</f>
        <v>0</v>
      </c>
      <c r="BM19" s="5" t="s">
        <v>258</v>
      </c>
      <c r="BN19" s="5" t="s">
        <v>259</v>
      </c>
      <c r="CB19" s="5" t="s">
        <v>240</v>
      </c>
      <c r="CC19" s="5" t="s">
        <v>240</v>
      </c>
      <c r="CG19" s="5" t="s">
        <v>304</v>
      </c>
      <c r="CH19" s="5" t="s">
        <v>305</v>
      </c>
      <c r="CI19" s="5" t="s">
        <v>240</v>
      </c>
      <c r="CL19" s="6" t="s">
        <v>261</v>
      </c>
      <c r="CM19" s="5" t="s">
        <v>240</v>
      </c>
      <c r="CN19" s="5" t="s">
        <v>263</v>
      </c>
      <c r="CO19" s="5" t="s">
        <v>240</v>
      </c>
      <c r="CP19" s="5" t="s">
        <v>240</v>
      </c>
      <c r="CQ19" s="5">
        <v>0</v>
      </c>
      <c r="CR19" s="5" t="s">
        <v>306</v>
      </c>
      <c r="CS19" s="5" t="s">
        <v>307</v>
      </c>
      <c r="CT19" s="5" t="s">
        <v>307</v>
      </c>
      <c r="CU19" s="5" t="s">
        <v>260</v>
      </c>
      <c r="CX19" s="7">
        <f>1</f>
        <v>1</v>
      </c>
      <c r="CY19" s="7">
        <f>0</f>
        <v>0</v>
      </c>
      <c r="DA19" s="7">
        <f>0</f>
        <v>0</v>
      </c>
      <c r="DC19" s="5" t="s">
        <v>309</v>
      </c>
      <c r="DD19" s="5" t="s">
        <v>240</v>
      </c>
      <c r="DF19" s="5" t="s">
        <v>309</v>
      </c>
      <c r="DG19" s="7">
        <f>1923</f>
        <v>1923</v>
      </c>
      <c r="DI19" s="5" t="s">
        <v>240</v>
      </c>
      <c r="DJ19" s="5" t="s">
        <v>240</v>
      </c>
      <c r="DK19" s="5" t="s">
        <v>240</v>
      </c>
      <c r="DL19" s="5" t="s">
        <v>240</v>
      </c>
      <c r="DP19" s="5" t="s">
        <v>240</v>
      </c>
      <c r="DQ19" s="5" t="s">
        <v>240</v>
      </c>
      <c r="DR19" s="5" t="s">
        <v>240</v>
      </c>
      <c r="DS19" s="5" t="s">
        <v>240</v>
      </c>
      <c r="DV19" s="5" t="s">
        <v>310</v>
      </c>
      <c r="DW19" s="5" t="s">
        <v>328</v>
      </c>
      <c r="HO19" s="5" t="s">
        <v>312</v>
      </c>
    </row>
    <row r="20" spans="1:223" x14ac:dyDescent="0.4">
      <c r="A20" s="5">
        <v>727</v>
      </c>
      <c r="B20" s="5">
        <v>1</v>
      </c>
      <c r="C20" s="5">
        <v>1</v>
      </c>
      <c r="D20" s="5" t="s">
        <v>5269</v>
      </c>
      <c r="E20" s="5" t="s">
        <v>1131</v>
      </c>
      <c r="F20" s="5" t="s">
        <v>254</v>
      </c>
      <c r="G20" s="5" t="s">
        <v>5270</v>
      </c>
      <c r="H20" s="6" t="s">
        <v>5271</v>
      </c>
      <c r="I20" s="5" t="s">
        <v>5268</v>
      </c>
      <c r="J20" s="8">
        <f>20493.2</f>
        <v>20493.2</v>
      </c>
      <c r="K20" s="5" t="s">
        <v>308</v>
      </c>
      <c r="L20" s="7">
        <f>45392438</f>
        <v>45392438</v>
      </c>
      <c r="M20" s="7">
        <f>45392438</f>
        <v>45392438</v>
      </c>
      <c r="N20" s="5" t="s">
        <v>242</v>
      </c>
      <c r="O20" s="5">
        <v>1</v>
      </c>
      <c r="P20" s="5" t="s">
        <v>294</v>
      </c>
      <c r="Q20" s="5" t="s">
        <v>266</v>
      </c>
      <c r="R20" s="5" t="s">
        <v>240</v>
      </c>
      <c r="S20" s="5" t="s">
        <v>240</v>
      </c>
      <c r="T20" s="5" t="s">
        <v>296</v>
      </c>
      <c r="U20" s="5" t="s">
        <v>244</v>
      </c>
      <c r="V20" s="5" t="s">
        <v>240</v>
      </c>
      <c r="Y20" s="5" t="s">
        <v>240</v>
      </c>
      <c r="Z20" s="6" t="s">
        <v>298</v>
      </c>
      <c r="AB20" s="6" t="s">
        <v>240</v>
      </c>
      <c r="AE20" s="6" t="s">
        <v>299</v>
      </c>
      <c r="AF20" s="5" t="s">
        <v>248</v>
      </c>
      <c r="AG20" s="5" t="s">
        <v>249</v>
      </c>
      <c r="AW20" s="5" t="s">
        <v>251</v>
      </c>
      <c r="AX20" s="5" t="s">
        <v>240</v>
      </c>
      <c r="AY20" s="5" t="s">
        <v>253</v>
      </c>
      <c r="AZ20" s="5" t="s">
        <v>240</v>
      </c>
      <c r="BA20" s="5" t="s">
        <v>255</v>
      </c>
      <c r="BB20" s="5" t="s">
        <v>240</v>
      </c>
      <c r="BD20" s="5" t="s">
        <v>240</v>
      </c>
      <c r="BF20" s="5" t="s">
        <v>301</v>
      </c>
      <c r="BG20" s="6" t="s">
        <v>299</v>
      </c>
      <c r="BH20" s="5" t="s">
        <v>302</v>
      </c>
      <c r="BI20" s="5" t="s">
        <v>303</v>
      </c>
      <c r="BJ20" s="5" t="s">
        <v>240</v>
      </c>
      <c r="BK20" s="8">
        <f>0</f>
        <v>0</v>
      </c>
      <c r="BL20" s="7">
        <f>0</f>
        <v>0</v>
      </c>
      <c r="BM20" s="5" t="s">
        <v>258</v>
      </c>
      <c r="BN20" s="5" t="s">
        <v>259</v>
      </c>
      <c r="CB20" s="5" t="s">
        <v>240</v>
      </c>
      <c r="CC20" s="5" t="s">
        <v>240</v>
      </c>
      <c r="CG20" s="5" t="s">
        <v>304</v>
      </c>
      <c r="CH20" s="5" t="s">
        <v>305</v>
      </c>
      <c r="CI20" s="5" t="s">
        <v>240</v>
      </c>
      <c r="CL20" s="6" t="s">
        <v>261</v>
      </c>
      <c r="CM20" s="5" t="s">
        <v>240</v>
      </c>
      <c r="CN20" s="5" t="s">
        <v>263</v>
      </c>
      <c r="CO20" s="5" t="s">
        <v>240</v>
      </c>
      <c r="CP20" s="5" t="s">
        <v>240</v>
      </c>
      <c r="CQ20" s="5">
        <v>0</v>
      </c>
      <c r="CR20" s="5" t="s">
        <v>306</v>
      </c>
      <c r="CS20" s="5" t="s">
        <v>307</v>
      </c>
      <c r="CT20" s="5" t="s">
        <v>307</v>
      </c>
      <c r="CU20" s="5" t="s">
        <v>260</v>
      </c>
      <c r="CX20" s="7">
        <f>1</f>
        <v>1</v>
      </c>
      <c r="CY20" s="7">
        <f>0</f>
        <v>0</v>
      </c>
      <c r="DA20" s="7">
        <f>0</f>
        <v>0</v>
      </c>
      <c r="DC20" s="5" t="s">
        <v>309</v>
      </c>
      <c r="DD20" s="5" t="s">
        <v>240</v>
      </c>
      <c r="DF20" s="5" t="s">
        <v>309</v>
      </c>
      <c r="DG20" s="7">
        <f>713</f>
        <v>713</v>
      </c>
      <c r="DI20" s="5" t="s">
        <v>240</v>
      </c>
      <c r="DJ20" s="5" t="s">
        <v>240</v>
      </c>
      <c r="DK20" s="5" t="s">
        <v>240</v>
      </c>
      <c r="DL20" s="5" t="s">
        <v>240</v>
      </c>
      <c r="DP20" s="5" t="s">
        <v>240</v>
      </c>
      <c r="DQ20" s="5" t="s">
        <v>240</v>
      </c>
      <c r="DR20" s="5" t="s">
        <v>240</v>
      </c>
      <c r="DS20" s="5" t="s">
        <v>240</v>
      </c>
      <c r="DV20" s="5" t="s">
        <v>310</v>
      </c>
      <c r="DW20" s="5" t="s">
        <v>330</v>
      </c>
      <c r="HO20" s="5" t="s">
        <v>312</v>
      </c>
    </row>
    <row r="21" spans="1:223" x14ac:dyDescent="0.4">
      <c r="A21" s="5">
        <v>728</v>
      </c>
      <c r="B21" s="5">
        <v>1</v>
      </c>
      <c r="C21" s="5">
        <v>1</v>
      </c>
      <c r="D21" s="5" t="s">
        <v>1921</v>
      </c>
      <c r="E21" s="5" t="s">
        <v>418</v>
      </c>
      <c r="F21" s="5" t="s">
        <v>254</v>
      </c>
      <c r="G21" s="5" t="s">
        <v>240</v>
      </c>
      <c r="H21" s="6" t="s">
        <v>4537</v>
      </c>
      <c r="I21" s="5" t="s">
        <v>1920</v>
      </c>
      <c r="J21" s="8">
        <f>2758</f>
        <v>2758</v>
      </c>
      <c r="K21" s="5" t="s">
        <v>308</v>
      </c>
      <c r="L21" s="7">
        <f>6108970</f>
        <v>6108970</v>
      </c>
      <c r="M21" s="7">
        <f>6108970</f>
        <v>6108970</v>
      </c>
      <c r="N21" s="5" t="s">
        <v>242</v>
      </c>
      <c r="O21" s="5">
        <v>1</v>
      </c>
      <c r="P21" s="5" t="s">
        <v>294</v>
      </c>
      <c r="Q21" s="5" t="s">
        <v>266</v>
      </c>
      <c r="R21" s="5" t="s">
        <v>240</v>
      </c>
      <c r="S21" s="5" t="s">
        <v>240</v>
      </c>
      <c r="T21" s="5" t="s">
        <v>296</v>
      </c>
      <c r="U21" s="5" t="s">
        <v>244</v>
      </c>
      <c r="V21" s="5" t="s">
        <v>240</v>
      </c>
      <c r="Y21" s="5" t="s">
        <v>240</v>
      </c>
      <c r="Z21" s="6" t="s">
        <v>298</v>
      </c>
      <c r="AB21" s="6" t="s">
        <v>240</v>
      </c>
      <c r="AE21" s="6" t="s">
        <v>299</v>
      </c>
      <c r="AF21" s="5" t="s">
        <v>248</v>
      </c>
      <c r="AG21" s="5" t="s">
        <v>249</v>
      </c>
      <c r="AW21" s="5" t="s">
        <v>251</v>
      </c>
      <c r="AX21" s="5" t="s">
        <v>240</v>
      </c>
      <c r="AY21" s="5" t="s">
        <v>253</v>
      </c>
      <c r="AZ21" s="5" t="s">
        <v>240</v>
      </c>
      <c r="BA21" s="5" t="s">
        <v>255</v>
      </c>
      <c r="BB21" s="5" t="s">
        <v>240</v>
      </c>
      <c r="BD21" s="5" t="s">
        <v>240</v>
      </c>
      <c r="BF21" s="5" t="s">
        <v>301</v>
      </c>
      <c r="BG21" s="6" t="s">
        <v>299</v>
      </c>
      <c r="BH21" s="5" t="s">
        <v>302</v>
      </c>
      <c r="BI21" s="5" t="s">
        <v>303</v>
      </c>
      <c r="BJ21" s="5" t="s">
        <v>240</v>
      </c>
      <c r="BK21" s="8">
        <f>0</f>
        <v>0</v>
      </c>
      <c r="BL21" s="7">
        <f>0</f>
        <v>0</v>
      </c>
      <c r="BM21" s="5" t="s">
        <v>258</v>
      </c>
      <c r="BN21" s="5" t="s">
        <v>259</v>
      </c>
      <c r="CB21" s="5" t="s">
        <v>240</v>
      </c>
      <c r="CC21" s="5" t="s">
        <v>240</v>
      </c>
      <c r="CG21" s="5" t="s">
        <v>304</v>
      </c>
      <c r="CH21" s="5" t="s">
        <v>305</v>
      </c>
      <c r="CI21" s="5" t="s">
        <v>240</v>
      </c>
      <c r="CL21" s="6" t="s">
        <v>261</v>
      </c>
      <c r="CM21" s="5" t="s">
        <v>240</v>
      </c>
      <c r="CN21" s="5" t="s">
        <v>263</v>
      </c>
      <c r="CO21" s="5" t="s">
        <v>240</v>
      </c>
      <c r="CP21" s="5" t="s">
        <v>240</v>
      </c>
      <c r="CQ21" s="5">
        <v>0</v>
      </c>
      <c r="CR21" s="5" t="s">
        <v>306</v>
      </c>
      <c r="CS21" s="5" t="s">
        <v>307</v>
      </c>
      <c r="CT21" s="5" t="s">
        <v>307</v>
      </c>
      <c r="CU21" s="5" t="s">
        <v>260</v>
      </c>
      <c r="CX21" s="7">
        <f>1</f>
        <v>1</v>
      </c>
      <c r="CY21" s="7">
        <f>0</f>
        <v>0</v>
      </c>
      <c r="DA21" s="7">
        <f>0</f>
        <v>0</v>
      </c>
      <c r="DC21" s="5" t="s">
        <v>309</v>
      </c>
      <c r="DD21" s="5" t="s">
        <v>240</v>
      </c>
      <c r="DF21" s="5" t="s">
        <v>309</v>
      </c>
      <c r="DG21" s="7">
        <f>42</f>
        <v>42</v>
      </c>
      <c r="DI21" s="5" t="s">
        <v>240</v>
      </c>
      <c r="DJ21" s="5" t="s">
        <v>240</v>
      </c>
      <c r="DK21" s="5" t="s">
        <v>240</v>
      </c>
      <c r="DL21" s="5" t="s">
        <v>240</v>
      </c>
      <c r="DP21" s="5" t="s">
        <v>240</v>
      </c>
      <c r="DQ21" s="5" t="s">
        <v>240</v>
      </c>
      <c r="DR21" s="5" t="s">
        <v>240</v>
      </c>
      <c r="DS21" s="5" t="s">
        <v>240</v>
      </c>
      <c r="DV21" s="5" t="s">
        <v>310</v>
      </c>
      <c r="DW21" s="5" t="s">
        <v>332</v>
      </c>
      <c r="HO21" s="5" t="s">
        <v>312</v>
      </c>
    </row>
    <row r="22" spans="1:223" x14ac:dyDescent="0.4">
      <c r="A22" s="5">
        <v>729</v>
      </c>
      <c r="B22" s="5">
        <v>1</v>
      </c>
      <c r="C22" s="5">
        <v>1</v>
      </c>
      <c r="D22" s="5" t="s">
        <v>1921</v>
      </c>
      <c r="E22" s="5" t="s">
        <v>418</v>
      </c>
      <c r="F22" s="5" t="s">
        <v>254</v>
      </c>
      <c r="G22" s="5" t="s">
        <v>240</v>
      </c>
      <c r="H22" s="6" t="s">
        <v>1922</v>
      </c>
      <c r="I22" s="5" t="s">
        <v>1920</v>
      </c>
      <c r="J22" s="8">
        <f>12161</f>
        <v>12161</v>
      </c>
      <c r="K22" s="5" t="s">
        <v>308</v>
      </c>
      <c r="L22" s="7">
        <f>26936615</f>
        <v>26936615</v>
      </c>
      <c r="M22" s="7">
        <f>26936615</f>
        <v>26936615</v>
      </c>
      <c r="N22" s="5" t="s">
        <v>242</v>
      </c>
      <c r="O22" s="5">
        <v>1</v>
      </c>
      <c r="P22" s="5" t="s">
        <v>294</v>
      </c>
      <c r="Q22" s="5" t="s">
        <v>266</v>
      </c>
      <c r="R22" s="5" t="s">
        <v>240</v>
      </c>
      <c r="S22" s="5" t="s">
        <v>240</v>
      </c>
      <c r="T22" s="5" t="s">
        <v>296</v>
      </c>
      <c r="U22" s="5" t="s">
        <v>244</v>
      </c>
      <c r="V22" s="5" t="s">
        <v>240</v>
      </c>
      <c r="Y22" s="5" t="s">
        <v>240</v>
      </c>
      <c r="Z22" s="6" t="s">
        <v>298</v>
      </c>
      <c r="AB22" s="6" t="s">
        <v>240</v>
      </c>
      <c r="AE22" s="6" t="s">
        <v>299</v>
      </c>
      <c r="AF22" s="5" t="s">
        <v>248</v>
      </c>
      <c r="AG22" s="5" t="s">
        <v>249</v>
      </c>
      <c r="AW22" s="5" t="s">
        <v>251</v>
      </c>
      <c r="AX22" s="5" t="s">
        <v>240</v>
      </c>
      <c r="AY22" s="5" t="s">
        <v>253</v>
      </c>
      <c r="AZ22" s="5" t="s">
        <v>240</v>
      </c>
      <c r="BA22" s="5" t="s">
        <v>255</v>
      </c>
      <c r="BB22" s="5" t="s">
        <v>240</v>
      </c>
      <c r="BD22" s="5" t="s">
        <v>240</v>
      </c>
      <c r="BF22" s="5" t="s">
        <v>301</v>
      </c>
      <c r="BG22" s="6" t="s">
        <v>299</v>
      </c>
      <c r="BH22" s="5" t="s">
        <v>302</v>
      </c>
      <c r="BI22" s="5" t="s">
        <v>303</v>
      </c>
      <c r="BJ22" s="5" t="s">
        <v>240</v>
      </c>
      <c r="BK22" s="8">
        <f>0</f>
        <v>0</v>
      </c>
      <c r="BL22" s="7">
        <f>0</f>
        <v>0</v>
      </c>
      <c r="BM22" s="5" t="s">
        <v>258</v>
      </c>
      <c r="BN22" s="5" t="s">
        <v>259</v>
      </c>
      <c r="CB22" s="5" t="s">
        <v>240</v>
      </c>
      <c r="CC22" s="5" t="s">
        <v>240</v>
      </c>
      <c r="CG22" s="5" t="s">
        <v>304</v>
      </c>
      <c r="CH22" s="5" t="s">
        <v>305</v>
      </c>
      <c r="CI22" s="5" t="s">
        <v>240</v>
      </c>
      <c r="CL22" s="6" t="s">
        <v>261</v>
      </c>
      <c r="CM22" s="5" t="s">
        <v>240</v>
      </c>
      <c r="CN22" s="5" t="s">
        <v>263</v>
      </c>
      <c r="CO22" s="5" t="s">
        <v>240</v>
      </c>
      <c r="CP22" s="5" t="s">
        <v>240</v>
      </c>
      <c r="CQ22" s="5">
        <v>0</v>
      </c>
      <c r="CR22" s="5" t="s">
        <v>306</v>
      </c>
      <c r="CS22" s="5" t="s">
        <v>307</v>
      </c>
      <c r="CT22" s="5" t="s">
        <v>307</v>
      </c>
      <c r="CU22" s="5" t="s">
        <v>260</v>
      </c>
      <c r="CX22" s="7">
        <f>1</f>
        <v>1</v>
      </c>
      <c r="CY22" s="7">
        <f>0</f>
        <v>0</v>
      </c>
      <c r="DA22" s="7">
        <f>0</f>
        <v>0</v>
      </c>
      <c r="DC22" s="5" t="s">
        <v>309</v>
      </c>
      <c r="DD22" s="5" t="s">
        <v>240</v>
      </c>
      <c r="DF22" s="5" t="s">
        <v>309</v>
      </c>
      <c r="DG22" s="7">
        <f>2910</f>
        <v>2910</v>
      </c>
      <c r="DI22" s="5" t="s">
        <v>240</v>
      </c>
      <c r="DJ22" s="5" t="s">
        <v>240</v>
      </c>
      <c r="DK22" s="5" t="s">
        <v>240</v>
      </c>
      <c r="DL22" s="5" t="s">
        <v>240</v>
      </c>
      <c r="DP22" s="5" t="s">
        <v>240</v>
      </c>
      <c r="DQ22" s="5" t="s">
        <v>240</v>
      </c>
      <c r="DR22" s="5" t="s">
        <v>240</v>
      </c>
      <c r="DS22" s="5" t="s">
        <v>240</v>
      </c>
      <c r="DV22" s="5" t="s">
        <v>310</v>
      </c>
      <c r="DW22" s="5" t="s">
        <v>334</v>
      </c>
      <c r="HO22" s="5" t="s">
        <v>312</v>
      </c>
    </row>
    <row r="23" spans="1:223" x14ac:dyDescent="0.4">
      <c r="A23" s="5">
        <v>730</v>
      </c>
      <c r="B23" s="5">
        <v>1</v>
      </c>
      <c r="C23" s="5">
        <v>1</v>
      </c>
      <c r="D23" s="5" t="s">
        <v>2038</v>
      </c>
      <c r="E23" s="5" t="s">
        <v>418</v>
      </c>
      <c r="F23" s="5" t="s">
        <v>254</v>
      </c>
      <c r="G23" s="5" t="s">
        <v>240</v>
      </c>
      <c r="H23" s="6" t="s">
        <v>2039</v>
      </c>
      <c r="I23" s="5" t="s">
        <v>2037</v>
      </c>
      <c r="J23" s="8">
        <f>14115</f>
        <v>14115</v>
      </c>
      <c r="K23" s="5" t="s">
        <v>308</v>
      </c>
      <c r="L23" s="7">
        <f>31264725</f>
        <v>31264725</v>
      </c>
      <c r="M23" s="7">
        <f>31264725</f>
        <v>31264725</v>
      </c>
      <c r="N23" s="5" t="s">
        <v>242</v>
      </c>
      <c r="O23" s="5">
        <v>1</v>
      </c>
      <c r="P23" s="5" t="s">
        <v>294</v>
      </c>
      <c r="Q23" s="5" t="s">
        <v>266</v>
      </c>
      <c r="R23" s="5" t="s">
        <v>240</v>
      </c>
      <c r="S23" s="5" t="s">
        <v>240</v>
      </c>
      <c r="T23" s="5" t="s">
        <v>296</v>
      </c>
      <c r="U23" s="5" t="s">
        <v>244</v>
      </c>
      <c r="V23" s="5" t="s">
        <v>240</v>
      </c>
      <c r="Y23" s="5" t="s">
        <v>240</v>
      </c>
      <c r="Z23" s="6" t="s">
        <v>298</v>
      </c>
      <c r="AB23" s="6" t="s">
        <v>240</v>
      </c>
      <c r="AE23" s="6" t="s">
        <v>299</v>
      </c>
      <c r="AF23" s="5" t="s">
        <v>248</v>
      </c>
      <c r="AG23" s="5" t="s">
        <v>249</v>
      </c>
      <c r="AW23" s="5" t="s">
        <v>251</v>
      </c>
      <c r="AX23" s="5" t="s">
        <v>240</v>
      </c>
      <c r="AY23" s="5" t="s">
        <v>253</v>
      </c>
      <c r="AZ23" s="5" t="s">
        <v>240</v>
      </c>
      <c r="BA23" s="5" t="s">
        <v>255</v>
      </c>
      <c r="BB23" s="5" t="s">
        <v>240</v>
      </c>
      <c r="BD23" s="5" t="s">
        <v>240</v>
      </c>
      <c r="BF23" s="5" t="s">
        <v>301</v>
      </c>
      <c r="BG23" s="6" t="s">
        <v>299</v>
      </c>
      <c r="BH23" s="5" t="s">
        <v>302</v>
      </c>
      <c r="BI23" s="5" t="s">
        <v>303</v>
      </c>
      <c r="BJ23" s="5" t="s">
        <v>240</v>
      </c>
      <c r="BK23" s="8">
        <f>0</f>
        <v>0</v>
      </c>
      <c r="BL23" s="7">
        <f>0</f>
        <v>0</v>
      </c>
      <c r="BM23" s="5" t="s">
        <v>258</v>
      </c>
      <c r="BN23" s="5" t="s">
        <v>259</v>
      </c>
      <c r="CB23" s="5" t="s">
        <v>240</v>
      </c>
      <c r="CC23" s="5" t="s">
        <v>240</v>
      </c>
      <c r="CG23" s="5" t="s">
        <v>304</v>
      </c>
      <c r="CH23" s="5" t="s">
        <v>305</v>
      </c>
      <c r="CI23" s="5" t="s">
        <v>240</v>
      </c>
      <c r="CL23" s="6" t="s">
        <v>261</v>
      </c>
      <c r="CM23" s="5" t="s">
        <v>240</v>
      </c>
      <c r="CN23" s="5" t="s">
        <v>263</v>
      </c>
      <c r="CO23" s="5" t="s">
        <v>240</v>
      </c>
      <c r="CP23" s="5" t="s">
        <v>240</v>
      </c>
      <c r="CQ23" s="5">
        <v>0</v>
      </c>
      <c r="CR23" s="5" t="s">
        <v>306</v>
      </c>
      <c r="CS23" s="5" t="s">
        <v>307</v>
      </c>
      <c r="CT23" s="5" t="s">
        <v>307</v>
      </c>
      <c r="CU23" s="5" t="s">
        <v>260</v>
      </c>
      <c r="CX23" s="7">
        <f>1</f>
        <v>1</v>
      </c>
      <c r="CY23" s="7">
        <f>0</f>
        <v>0</v>
      </c>
      <c r="DA23" s="7">
        <f>0</f>
        <v>0</v>
      </c>
      <c r="DC23" s="5" t="s">
        <v>309</v>
      </c>
      <c r="DD23" s="5" t="s">
        <v>240</v>
      </c>
      <c r="DF23" s="5" t="s">
        <v>309</v>
      </c>
      <c r="DG23" s="7">
        <f>2463</f>
        <v>2463</v>
      </c>
      <c r="DI23" s="5" t="s">
        <v>240</v>
      </c>
      <c r="DJ23" s="5" t="s">
        <v>240</v>
      </c>
      <c r="DK23" s="5" t="s">
        <v>240</v>
      </c>
      <c r="DL23" s="5" t="s">
        <v>240</v>
      </c>
      <c r="DP23" s="5" t="s">
        <v>240</v>
      </c>
      <c r="DQ23" s="5" t="s">
        <v>240</v>
      </c>
      <c r="DR23" s="5" t="s">
        <v>240</v>
      </c>
      <c r="DS23" s="5" t="s">
        <v>240</v>
      </c>
      <c r="DV23" s="5" t="s">
        <v>310</v>
      </c>
      <c r="DW23" s="5" t="s">
        <v>336</v>
      </c>
      <c r="HO23" s="5" t="s">
        <v>312</v>
      </c>
    </row>
    <row r="24" spans="1:223" x14ac:dyDescent="0.4">
      <c r="A24" s="5">
        <v>731</v>
      </c>
      <c r="B24" s="5">
        <v>1</v>
      </c>
      <c r="C24" s="5">
        <v>1</v>
      </c>
      <c r="D24" s="5" t="s">
        <v>1130</v>
      </c>
      <c r="E24" s="5" t="s">
        <v>1131</v>
      </c>
      <c r="F24" s="5" t="s">
        <v>254</v>
      </c>
      <c r="G24" s="5" t="s">
        <v>240</v>
      </c>
      <c r="H24" s="6" t="s">
        <v>2036</v>
      </c>
      <c r="I24" s="5" t="s">
        <v>1129</v>
      </c>
      <c r="J24" s="8">
        <f>20779</f>
        <v>20779</v>
      </c>
      <c r="K24" s="5" t="s">
        <v>308</v>
      </c>
      <c r="L24" s="7">
        <f>46025485</f>
        <v>46025485</v>
      </c>
      <c r="M24" s="7">
        <f>46025485</f>
        <v>46025485</v>
      </c>
      <c r="N24" s="5" t="s">
        <v>242</v>
      </c>
      <c r="O24" s="5">
        <v>1</v>
      </c>
      <c r="P24" s="5" t="s">
        <v>294</v>
      </c>
      <c r="Q24" s="5" t="s">
        <v>266</v>
      </c>
      <c r="R24" s="5" t="s">
        <v>240</v>
      </c>
      <c r="S24" s="5" t="s">
        <v>240</v>
      </c>
      <c r="T24" s="5" t="s">
        <v>296</v>
      </c>
      <c r="U24" s="5" t="s">
        <v>244</v>
      </c>
      <c r="V24" s="5" t="s">
        <v>240</v>
      </c>
      <c r="Y24" s="5" t="s">
        <v>240</v>
      </c>
      <c r="Z24" s="6" t="s">
        <v>298</v>
      </c>
      <c r="AB24" s="6" t="s">
        <v>240</v>
      </c>
      <c r="AE24" s="6" t="s">
        <v>299</v>
      </c>
      <c r="AF24" s="5" t="s">
        <v>248</v>
      </c>
      <c r="AG24" s="5" t="s">
        <v>249</v>
      </c>
      <c r="AW24" s="5" t="s">
        <v>251</v>
      </c>
      <c r="AX24" s="5" t="s">
        <v>240</v>
      </c>
      <c r="AY24" s="5" t="s">
        <v>253</v>
      </c>
      <c r="AZ24" s="5" t="s">
        <v>240</v>
      </c>
      <c r="BA24" s="5" t="s">
        <v>255</v>
      </c>
      <c r="BB24" s="5" t="s">
        <v>240</v>
      </c>
      <c r="BD24" s="5" t="s">
        <v>240</v>
      </c>
      <c r="BF24" s="5" t="s">
        <v>301</v>
      </c>
      <c r="BG24" s="6" t="s">
        <v>299</v>
      </c>
      <c r="BH24" s="5" t="s">
        <v>302</v>
      </c>
      <c r="BI24" s="5" t="s">
        <v>303</v>
      </c>
      <c r="BJ24" s="5" t="s">
        <v>240</v>
      </c>
      <c r="BK24" s="8">
        <f>0</f>
        <v>0</v>
      </c>
      <c r="BL24" s="7">
        <f>0</f>
        <v>0</v>
      </c>
      <c r="BM24" s="5" t="s">
        <v>258</v>
      </c>
      <c r="BN24" s="5" t="s">
        <v>259</v>
      </c>
      <c r="CB24" s="5" t="s">
        <v>240</v>
      </c>
      <c r="CC24" s="5" t="s">
        <v>240</v>
      </c>
      <c r="CG24" s="5" t="s">
        <v>304</v>
      </c>
      <c r="CH24" s="5" t="s">
        <v>305</v>
      </c>
      <c r="CI24" s="5" t="s">
        <v>240</v>
      </c>
      <c r="CL24" s="6" t="s">
        <v>261</v>
      </c>
      <c r="CM24" s="5" t="s">
        <v>240</v>
      </c>
      <c r="CN24" s="5" t="s">
        <v>263</v>
      </c>
      <c r="CO24" s="5" t="s">
        <v>240</v>
      </c>
      <c r="CP24" s="5" t="s">
        <v>240</v>
      </c>
      <c r="CQ24" s="5">
        <v>0</v>
      </c>
      <c r="CR24" s="5" t="s">
        <v>306</v>
      </c>
      <c r="CS24" s="5" t="s">
        <v>307</v>
      </c>
      <c r="CT24" s="5" t="s">
        <v>307</v>
      </c>
      <c r="CU24" s="5" t="s">
        <v>260</v>
      </c>
      <c r="CX24" s="7">
        <f>1</f>
        <v>1</v>
      </c>
      <c r="CY24" s="7">
        <f>0</f>
        <v>0</v>
      </c>
      <c r="DA24" s="7">
        <f>0</f>
        <v>0</v>
      </c>
      <c r="DC24" s="5" t="s">
        <v>309</v>
      </c>
      <c r="DD24" s="5" t="s">
        <v>240</v>
      </c>
      <c r="DF24" s="5" t="s">
        <v>309</v>
      </c>
      <c r="DG24" s="7">
        <f>618</f>
        <v>618</v>
      </c>
      <c r="DI24" s="5" t="s">
        <v>240</v>
      </c>
      <c r="DJ24" s="5" t="s">
        <v>240</v>
      </c>
      <c r="DK24" s="5" t="s">
        <v>240</v>
      </c>
      <c r="DL24" s="5" t="s">
        <v>240</v>
      </c>
      <c r="DP24" s="5" t="s">
        <v>240</v>
      </c>
      <c r="DQ24" s="5" t="s">
        <v>240</v>
      </c>
      <c r="DR24" s="5" t="s">
        <v>240</v>
      </c>
      <c r="DS24" s="5" t="s">
        <v>240</v>
      </c>
      <c r="DV24" s="5" t="s">
        <v>310</v>
      </c>
      <c r="DW24" s="5" t="s">
        <v>338</v>
      </c>
      <c r="HO24" s="5" t="s">
        <v>312</v>
      </c>
    </row>
    <row r="25" spans="1:223" x14ac:dyDescent="0.4">
      <c r="A25" s="5">
        <v>732</v>
      </c>
      <c r="B25" s="5">
        <v>1</v>
      </c>
      <c r="C25" s="5">
        <v>1</v>
      </c>
      <c r="D25" s="5" t="s">
        <v>1130</v>
      </c>
      <c r="E25" s="5" t="s">
        <v>1131</v>
      </c>
      <c r="F25" s="5" t="s">
        <v>254</v>
      </c>
      <c r="G25" s="5" t="s">
        <v>240</v>
      </c>
      <c r="H25" s="6" t="s">
        <v>1919</v>
      </c>
      <c r="I25" s="5" t="s">
        <v>1129</v>
      </c>
      <c r="J25" s="8">
        <f>7409</f>
        <v>7409</v>
      </c>
      <c r="K25" s="5" t="s">
        <v>308</v>
      </c>
      <c r="L25" s="7">
        <f>16410935</f>
        <v>16410935</v>
      </c>
      <c r="M25" s="7">
        <f>16410935</f>
        <v>16410935</v>
      </c>
      <c r="N25" s="5" t="s">
        <v>242</v>
      </c>
      <c r="O25" s="5">
        <v>1</v>
      </c>
      <c r="P25" s="5" t="s">
        <v>294</v>
      </c>
      <c r="Q25" s="5" t="s">
        <v>266</v>
      </c>
      <c r="R25" s="5" t="s">
        <v>240</v>
      </c>
      <c r="S25" s="5" t="s">
        <v>240</v>
      </c>
      <c r="T25" s="5" t="s">
        <v>296</v>
      </c>
      <c r="U25" s="5" t="s">
        <v>244</v>
      </c>
      <c r="V25" s="5" t="s">
        <v>240</v>
      </c>
      <c r="Y25" s="5" t="s">
        <v>240</v>
      </c>
      <c r="Z25" s="6" t="s">
        <v>298</v>
      </c>
      <c r="AB25" s="6" t="s">
        <v>240</v>
      </c>
      <c r="AE25" s="6" t="s">
        <v>299</v>
      </c>
      <c r="AF25" s="5" t="s">
        <v>248</v>
      </c>
      <c r="AG25" s="5" t="s">
        <v>249</v>
      </c>
      <c r="AW25" s="5" t="s">
        <v>251</v>
      </c>
      <c r="AX25" s="5" t="s">
        <v>240</v>
      </c>
      <c r="AY25" s="5" t="s">
        <v>253</v>
      </c>
      <c r="AZ25" s="5" t="s">
        <v>240</v>
      </c>
      <c r="BA25" s="5" t="s">
        <v>255</v>
      </c>
      <c r="BB25" s="5" t="s">
        <v>240</v>
      </c>
      <c r="BD25" s="5" t="s">
        <v>240</v>
      </c>
      <c r="BF25" s="5" t="s">
        <v>301</v>
      </c>
      <c r="BG25" s="6" t="s">
        <v>299</v>
      </c>
      <c r="BH25" s="5" t="s">
        <v>302</v>
      </c>
      <c r="BI25" s="5" t="s">
        <v>303</v>
      </c>
      <c r="BJ25" s="5" t="s">
        <v>240</v>
      </c>
      <c r="BK25" s="8">
        <f>0</f>
        <v>0</v>
      </c>
      <c r="BL25" s="7">
        <f>0</f>
        <v>0</v>
      </c>
      <c r="BM25" s="5" t="s">
        <v>258</v>
      </c>
      <c r="BN25" s="5" t="s">
        <v>259</v>
      </c>
      <c r="CB25" s="5" t="s">
        <v>240</v>
      </c>
      <c r="CC25" s="5" t="s">
        <v>240</v>
      </c>
      <c r="CG25" s="5" t="s">
        <v>304</v>
      </c>
      <c r="CH25" s="5" t="s">
        <v>305</v>
      </c>
      <c r="CI25" s="5" t="s">
        <v>240</v>
      </c>
      <c r="CL25" s="6" t="s">
        <v>261</v>
      </c>
      <c r="CM25" s="5" t="s">
        <v>240</v>
      </c>
      <c r="CN25" s="5" t="s">
        <v>263</v>
      </c>
      <c r="CO25" s="5" t="s">
        <v>240</v>
      </c>
      <c r="CP25" s="5" t="s">
        <v>240</v>
      </c>
      <c r="CQ25" s="5">
        <v>0</v>
      </c>
      <c r="CR25" s="5" t="s">
        <v>306</v>
      </c>
      <c r="CS25" s="5" t="s">
        <v>307</v>
      </c>
      <c r="CT25" s="5" t="s">
        <v>307</v>
      </c>
      <c r="CU25" s="5" t="s">
        <v>260</v>
      </c>
      <c r="CX25" s="7">
        <f>1</f>
        <v>1</v>
      </c>
      <c r="CY25" s="7">
        <f>0</f>
        <v>0</v>
      </c>
      <c r="DA25" s="7">
        <f>0</f>
        <v>0</v>
      </c>
      <c r="DC25" s="5" t="s">
        <v>309</v>
      </c>
      <c r="DD25" s="5" t="s">
        <v>240</v>
      </c>
      <c r="DF25" s="5" t="s">
        <v>309</v>
      </c>
      <c r="DG25" s="7">
        <f>1167</f>
        <v>1167</v>
      </c>
      <c r="DI25" s="5" t="s">
        <v>240</v>
      </c>
      <c r="DJ25" s="5" t="s">
        <v>240</v>
      </c>
      <c r="DK25" s="5" t="s">
        <v>240</v>
      </c>
      <c r="DL25" s="5" t="s">
        <v>240</v>
      </c>
      <c r="DP25" s="5" t="s">
        <v>240</v>
      </c>
      <c r="DQ25" s="5" t="s">
        <v>240</v>
      </c>
      <c r="DR25" s="5" t="s">
        <v>240</v>
      </c>
      <c r="DS25" s="5" t="s">
        <v>240</v>
      </c>
      <c r="DV25" s="5" t="s">
        <v>310</v>
      </c>
      <c r="DW25" s="5" t="s">
        <v>340</v>
      </c>
      <c r="HO25" s="5" t="s">
        <v>312</v>
      </c>
    </row>
    <row r="26" spans="1:223" x14ac:dyDescent="0.4">
      <c r="A26" s="5">
        <v>733</v>
      </c>
      <c r="B26" s="5">
        <v>1</v>
      </c>
      <c r="C26" s="5">
        <v>1</v>
      </c>
      <c r="D26" s="5" t="s">
        <v>1130</v>
      </c>
      <c r="E26" s="5" t="s">
        <v>1131</v>
      </c>
      <c r="F26" s="5" t="s">
        <v>254</v>
      </c>
      <c r="G26" s="5" t="s">
        <v>240</v>
      </c>
      <c r="H26" s="6" t="s">
        <v>1918</v>
      </c>
      <c r="I26" s="5" t="s">
        <v>1129</v>
      </c>
      <c r="J26" s="8">
        <f>5370</f>
        <v>5370</v>
      </c>
      <c r="K26" s="5" t="s">
        <v>308</v>
      </c>
      <c r="L26" s="7">
        <f>11894550</f>
        <v>11894550</v>
      </c>
      <c r="M26" s="7">
        <f>11894550</f>
        <v>11894550</v>
      </c>
      <c r="N26" s="5" t="s">
        <v>242</v>
      </c>
      <c r="O26" s="5">
        <v>1</v>
      </c>
      <c r="P26" s="5" t="s">
        <v>294</v>
      </c>
      <c r="Q26" s="5" t="s">
        <v>266</v>
      </c>
      <c r="R26" s="5" t="s">
        <v>240</v>
      </c>
      <c r="S26" s="5" t="s">
        <v>240</v>
      </c>
      <c r="T26" s="5" t="s">
        <v>296</v>
      </c>
      <c r="U26" s="5" t="s">
        <v>244</v>
      </c>
      <c r="V26" s="5" t="s">
        <v>240</v>
      </c>
      <c r="Y26" s="5" t="s">
        <v>240</v>
      </c>
      <c r="Z26" s="6" t="s">
        <v>298</v>
      </c>
      <c r="AB26" s="6" t="s">
        <v>240</v>
      </c>
      <c r="AE26" s="6" t="s">
        <v>299</v>
      </c>
      <c r="AF26" s="5" t="s">
        <v>248</v>
      </c>
      <c r="AG26" s="5" t="s">
        <v>249</v>
      </c>
      <c r="AW26" s="5" t="s">
        <v>251</v>
      </c>
      <c r="AX26" s="5" t="s">
        <v>240</v>
      </c>
      <c r="AY26" s="5" t="s">
        <v>253</v>
      </c>
      <c r="AZ26" s="5" t="s">
        <v>240</v>
      </c>
      <c r="BA26" s="5" t="s">
        <v>255</v>
      </c>
      <c r="BB26" s="5" t="s">
        <v>240</v>
      </c>
      <c r="BD26" s="5" t="s">
        <v>240</v>
      </c>
      <c r="BF26" s="5" t="s">
        <v>301</v>
      </c>
      <c r="BG26" s="6" t="s">
        <v>299</v>
      </c>
      <c r="BH26" s="5" t="s">
        <v>302</v>
      </c>
      <c r="BI26" s="5" t="s">
        <v>303</v>
      </c>
      <c r="BJ26" s="5" t="s">
        <v>240</v>
      </c>
      <c r="BK26" s="8">
        <f>0</f>
        <v>0</v>
      </c>
      <c r="BL26" s="7">
        <f>0</f>
        <v>0</v>
      </c>
      <c r="BM26" s="5" t="s">
        <v>258</v>
      </c>
      <c r="BN26" s="5" t="s">
        <v>259</v>
      </c>
      <c r="CB26" s="5" t="s">
        <v>240</v>
      </c>
      <c r="CC26" s="5" t="s">
        <v>240</v>
      </c>
      <c r="CG26" s="5" t="s">
        <v>304</v>
      </c>
      <c r="CH26" s="5" t="s">
        <v>305</v>
      </c>
      <c r="CI26" s="5" t="s">
        <v>240</v>
      </c>
      <c r="CL26" s="6" t="s">
        <v>261</v>
      </c>
      <c r="CM26" s="5" t="s">
        <v>240</v>
      </c>
      <c r="CN26" s="5" t="s">
        <v>263</v>
      </c>
      <c r="CO26" s="5" t="s">
        <v>240</v>
      </c>
      <c r="CP26" s="5" t="s">
        <v>240</v>
      </c>
      <c r="CQ26" s="5">
        <v>0</v>
      </c>
      <c r="CR26" s="5" t="s">
        <v>306</v>
      </c>
      <c r="CS26" s="5" t="s">
        <v>307</v>
      </c>
      <c r="CT26" s="5" t="s">
        <v>307</v>
      </c>
      <c r="CU26" s="5" t="s">
        <v>260</v>
      </c>
      <c r="CX26" s="7">
        <f>1</f>
        <v>1</v>
      </c>
      <c r="CY26" s="7">
        <f>0</f>
        <v>0</v>
      </c>
      <c r="DA26" s="7">
        <f>0</f>
        <v>0</v>
      </c>
      <c r="DC26" s="5" t="s">
        <v>309</v>
      </c>
      <c r="DD26" s="5" t="s">
        <v>240</v>
      </c>
      <c r="DF26" s="5" t="s">
        <v>309</v>
      </c>
      <c r="DG26" s="7">
        <f>1137</f>
        <v>1137</v>
      </c>
      <c r="DI26" s="5" t="s">
        <v>240</v>
      </c>
      <c r="DJ26" s="5" t="s">
        <v>240</v>
      </c>
      <c r="DK26" s="5" t="s">
        <v>240</v>
      </c>
      <c r="DL26" s="5" t="s">
        <v>240</v>
      </c>
      <c r="DP26" s="5" t="s">
        <v>240</v>
      </c>
      <c r="DQ26" s="5" t="s">
        <v>240</v>
      </c>
      <c r="DR26" s="5" t="s">
        <v>240</v>
      </c>
      <c r="DS26" s="5" t="s">
        <v>240</v>
      </c>
      <c r="DV26" s="5" t="s">
        <v>310</v>
      </c>
      <c r="DW26" s="5" t="s">
        <v>342</v>
      </c>
      <c r="HO26" s="5" t="s">
        <v>312</v>
      </c>
    </row>
    <row r="27" spans="1:223" x14ac:dyDescent="0.4">
      <c r="A27" s="5">
        <v>734</v>
      </c>
      <c r="B27" s="5">
        <v>1</v>
      </c>
      <c r="C27" s="5">
        <v>1</v>
      </c>
      <c r="D27" s="5" t="s">
        <v>1130</v>
      </c>
      <c r="E27" s="5" t="s">
        <v>1131</v>
      </c>
      <c r="F27" s="5" t="s">
        <v>254</v>
      </c>
      <c r="G27" s="5" t="s">
        <v>240</v>
      </c>
      <c r="H27" s="6" t="s">
        <v>1133</v>
      </c>
      <c r="I27" s="5" t="s">
        <v>1129</v>
      </c>
      <c r="J27" s="8">
        <f>318.27</f>
        <v>318.27</v>
      </c>
      <c r="K27" s="5" t="s">
        <v>308</v>
      </c>
      <c r="L27" s="7">
        <f>7956750</f>
        <v>7956750</v>
      </c>
      <c r="M27" s="7">
        <f>7956750</f>
        <v>7956750</v>
      </c>
      <c r="N27" s="5" t="s">
        <v>242</v>
      </c>
      <c r="O27" s="5">
        <v>1</v>
      </c>
      <c r="P27" s="5" t="s">
        <v>294</v>
      </c>
      <c r="Q27" s="5" t="s">
        <v>266</v>
      </c>
      <c r="R27" s="5" t="s">
        <v>240</v>
      </c>
      <c r="S27" s="5" t="s">
        <v>240</v>
      </c>
      <c r="T27" s="5" t="s">
        <v>296</v>
      </c>
      <c r="U27" s="5" t="s">
        <v>244</v>
      </c>
      <c r="V27" s="5" t="s">
        <v>240</v>
      </c>
      <c r="Y27" s="5" t="s">
        <v>240</v>
      </c>
      <c r="Z27" s="6" t="s">
        <v>298</v>
      </c>
      <c r="AB27" s="6" t="s">
        <v>240</v>
      </c>
      <c r="AE27" s="6" t="s">
        <v>299</v>
      </c>
      <c r="AF27" s="5" t="s">
        <v>248</v>
      </c>
      <c r="AG27" s="5" t="s">
        <v>249</v>
      </c>
      <c r="AW27" s="5" t="s">
        <v>251</v>
      </c>
      <c r="AX27" s="5" t="s">
        <v>240</v>
      </c>
      <c r="AY27" s="5" t="s">
        <v>253</v>
      </c>
      <c r="AZ27" s="5" t="s">
        <v>240</v>
      </c>
      <c r="BA27" s="5" t="s">
        <v>255</v>
      </c>
      <c r="BB27" s="5" t="s">
        <v>240</v>
      </c>
      <c r="BD27" s="5" t="s">
        <v>240</v>
      </c>
      <c r="BF27" s="5" t="s">
        <v>301</v>
      </c>
      <c r="BG27" s="6" t="s">
        <v>299</v>
      </c>
      <c r="BH27" s="5" t="s">
        <v>302</v>
      </c>
      <c r="BI27" s="5" t="s">
        <v>303</v>
      </c>
      <c r="BJ27" s="5" t="s">
        <v>240</v>
      </c>
      <c r="BK27" s="8">
        <f>0</f>
        <v>0</v>
      </c>
      <c r="BL27" s="7">
        <f>0</f>
        <v>0</v>
      </c>
      <c r="BM27" s="5" t="s">
        <v>258</v>
      </c>
      <c r="BN27" s="5" t="s">
        <v>259</v>
      </c>
      <c r="CB27" s="5" t="s">
        <v>240</v>
      </c>
      <c r="CC27" s="5" t="s">
        <v>240</v>
      </c>
      <c r="CG27" s="5" t="s">
        <v>304</v>
      </c>
      <c r="CH27" s="5" t="s">
        <v>305</v>
      </c>
      <c r="CI27" s="5" t="s">
        <v>240</v>
      </c>
      <c r="CL27" s="6" t="s">
        <v>261</v>
      </c>
      <c r="CM27" s="5" t="s">
        <v>240</v>
      </c>
      <c r="CN27" s="5" t="s">
        <v>263</v>
      </c>
      <c r="CO27" s="5" t="s">
        <v>240</v>
      </c>
      <c r="CP27" s="5" t="s">
        <v>240</v>
      </c>
      <c r="CQ27" s="5">
        <v>0</v>
      </c>
      <c r="CR27" s="5" t="s">
        <v>306</v>
      </c>
      <c r="CS27" s="5" t="s">
        <v>307</v>
      </c>
      <c r="CT27" s="5" t="s">
        <v>307</v>
      </c>
      <c r="CU27" s="5" t="s">
        <v>260</v>
      </c>
      <c r="CX27" s="7">
        <f>1</f>
        <v>1</v>
      </c>
      <c r="CY27" s="7">
        <f>0</f>
        <v>0</v>
      </c>
      <c r="DA27" s="7">
        <f>0</f>
        <v>0</v>
      </c>
      <c r="DC27" s="5" t="s">
        <v>309</v>
      </c>
      <c r="DD27" s="5" t="s">
        <v>240</v>
      </c>
      <c r="DF27" s="5" t="s">
        <v>309</v>
      </c>
      <c r="DG27" s="7">
        <f>1929</f>
        <v>1929</v>
      </c>
      <c r="DI27" s="5" t="s">
        <v>240</v>
      </c>
      <c r="DJ27" s="5" t="s">
        <v>240</v>
      </c>
      <c r="DK27" s="5" t="s">
        <v>240</v>
      </c>
      <c r="DL27" s="5" t="s">
        <v>240</v>
      </c>
      <c r="DP27" s="5" t="s">
        <v>240</v>
      </c>
      <c r="DQ27" s="5" t="s">
        <v>240</v>
      </c>
      <c r="DR27" s="5" t="s">
        <v>240</v>
      </c>
      <c r="DS27" s="5" t="s">
        <v>240</v>
      </c>
      <c r="DV27" s="5" t="s">
        <v>310</v>
      </c>
      <c r="DW27" s="5" t="s">
        <v>344</v>
      </c>
      <c r="HO27" s="5" t="s">
        <v>312</v>
      </c>
    </row>
    <row r="28" spans="1:223" x14ac:dyDescent="0.4">
      <c r="A28" s="5">
        <v>735</v>
      </c>
      <c r="B28" s="5">
        <v>1</v>
      </c>
      <c r="C28" s="5">
        <v>1</v>
      </c>
      <c r="D28" s="5" t="s">
        <v>1915</v>
      </c>
      <c r="E28" s="5" t="s">
        <v>418</v>
      </c>
      <c r="F28" s="5" t="s">
        <v>254</v>
      </c>
      <c r="G28" s="5" t="s">
        <v>240</v>
      </c>
      <c r="H28" s="6" t="s">
        <v>1916</v>
      </c>
      <c r="I28" s="5" t="s">
        <v>1914</v>
      </c>
      <c r="J28" s="8">
        <f>10500.2</f>
        <v>10500.2</v>
      </c>
      <c r="K28" s="5" t="s">
        <v>308</v>
      </c>
      <c r="L28" s="7">
        <f>23257943</f>
        <v>23257943</v>
      </c>
      <c r="M28" s="7">
        <f>23257943</f>
        <v>23257943</v>
      </c>
      <c r="N28" s="5" t="s">
        <v>242</v>
      </c>
      <c r="O28" s="5">
        <v>1</v>
      </c>
      <c r="P28" s="5" t="s">
        <v>294</v>
      </c>
      <c r="Q28" s="5" t="s">
        <v>266</v>
      </c>
      <c r="R28" s="5" t="s">
        <v>240</v>
      </c>
      <c r="S28" s="5" t="s">
        <v>240</v>
      </c>
      <c r="T28" s="5" t="s">
        <v>296</v>
      </c>
      <c r="U28" s="5" t="s">
        <v>244</v>
      </c>
      <c r="V28" s="5" t="s">
        <v>240</v>
      </c>
      <c r="Y28" s="5" t="s">
        <v>240</v>
      </c>
      <c r="Z28" s="6" t="s">
        <v>298</v>
      </c>
      <c r="AB28" s="6" t="s">
        <v>240</v>
      </c>
      <c r="AE28" s="6" t="s">
        <v>299</v>
      </c>
      <c r="AF28" s="5" t="s">
        <v>248</v>
      </c>
      <c r="AG28" s="5" t="s">
        <v>249</v>
      </c>
      <c r="AW28" s="5" t="s">
        <v>251</v>
      </c>
      <c r="AX28" s="5" t="s">
        <v>240</v>
      </c>
      <c r="AY28" s="5" t="s">
        <v>253</v>
      </c>
      <c r="AZ28" s="5" t="s">
        <v>240</v>
      </c>
      <c r="BA28" s="5" t="s">
        <v>255</v>
      </c>
      <c r="BB28" s="5" t="s">
        <v>240</v>
      </c>
      <c r="BD28" s="5" t="s">
        <v>240</v>
      </c>
      <c r="BF28" s="5" t="s">
        <v>301</v>
      </c>
      <c r="BG28" s="6" t="s">
        <v>299</v>
      </c>
      <c r="BH28" s="5" t="s">
        <v>302</v>
      </c>
      <c r="BI28" s="5" t="s">
        <v>303</v>
      </c>
      <c r="BJ28" s="5" t="s">
        <v>240</v>
      </c>
      <c r="BK28" s="8">
        <f>0</f>
        <v>0</v>
      </c>
      <c r="BL28" s="7">
        <f>0</f>
        <v>0</v>
      </c>
      <c r="BM28" s="5" t="s">
        <v>258</v>
      </c>
      <c r="BN28" s="5" t="s">
        <v>259</v>
      </c>
      <c r="CB28" s="5" t="s">
        <v>240</v>
      </c>
      <c r="CC28" s="5" t="s">
        <v>240</v>
      </c>
      <c r="CG28" s="5" t="s">
        <v>304</v>
      </c>
      <c r="CH28" s="5" t="s">
        <v>305</v>
      </c>
      <c r="CI28" s="5" t="s">
        <v>240</v>
      </c>
      <c r="CL28" s="6" t="s">
        <v>261</v>
      </c>
      <c r="CM28" s="5" t="s">
        <v>240</v>
      </c>
      <c r="CN28" s="5" t="s">
        <v>263</v>
      </c>
      <c r="CO28" s="5" t="s">
        <v>240</v>
      </c>
      <c r="CP28" s="5" t="s">
        <v>240</v>
      </c>
      <c r="CQ28" s="5">
        <v>0</v>
      </c>
      <c r="CR28" s="5" t="s">
        <v>306</v>
      </c>
      <c r="CS28" s="5" t="s">
        <v>307</v>
      </c>
      <c r="CT28" s="5" t="s">
        <v>307</v>
      </c>
      <c r="CU28" s="5" t="s">
        <v>260</v>
      </c>
      <c r="CX28" s="7">
        <f>1</f>
        <v>1</v>
      </c>
      <c r="CY28" s="7">
        <f>0</f>
        <v>0</v>
      </c>
      <c r="DA28" s="7">
        <f>0</f>
        <v>0</v>
      </c>
      <c r="DC28" s="5" t="s">
        <v>309</v>
      </c>
      <c r="DD28" s="5" t="s">
        <v>240</v>
      </c>
      <c r="DF28" s="5" t="s">
        <v>309</v>
      </c>
      <c r="DG28" s="7">
        <f>3488</f>
        <v>3488</v>
      </c>
      <c r="DI28" s="5" t="s">
        <v>240</v>
      </c>
      <c r="DJ28" s="5" t="s">
        <v>240</v>
      </c>
      <c r="DK28" s="5" t="s">
        <v>240</v>
      </c>
      <c r="DL28" s="5" t="s">
        <v>240</v>
      </c>
      <c r="DP28" s="5" t="s">
        <v>240</v>
      </c>
      <c r="DQ28" s="5" t="s">
        <v>240</v>
      </c>
      <c r="DR28" s="5" t="s">
        <v>240</v>
      </c>
      <c r="DS28" s="5" t="s">
        <v>240</v>
      </c>
      <c r="DV28" s="5" t="s">
        <v>310</v>
      </c>
      <c r="DW28" s="5" t="s">
        <v>346</v>
      </c>
      <c r="HO28" s="5" t="s">
        <v>312</v>
      </c>
    </row>
    <row r="29" spans="1:223" x14ac:dyDescent="0.4">
      <c r="A29" s="5">
        <v>736</v>
      </c>
      <c r="B29" s="5">
        <v>1</v>
      </c>
      <c r="C29" s="5">
        <v>1</v>
      </c>
      <c r="D29" s="5" t="s">
        <v>1904</v>
      </c>
      <c r="E29" s="5" t="s">
        <v>418</v>
      </c>
      <c r="F29" s="5" t="s">
        <v>254</v>
      </c>
      <c r="G29" s="5" t="s">
        <v>240</v>
      </c>
      <c r="H29" s="6" t="s">
        <v>1913</v>
      </c>
      <c r="I29" s="5" t="s">
        <v>1903</v>
      </c>
      <c r="J29" s="8">
        <f>109</f>
        <v>109</v>
      </c>
      <c r="K29" s="5" t="s">
        <v>308</v>
      </c>
      <c r="L29" s="7">
        <f>241435</f>
        <v>241435</v>
      </c>
      <c r="M29" s="7">
        <f>241435</f>
        <v>241435</v>
      </c>
      <c r="N29" s="5" t="s">
        <v>242</v>
      </c>
      <c r="O29" s="5">
        <v>1</v>
      </c>
      <c r="P29" s="5" t="s">
        <v>294</v>
      </c>
      <c r="Q29" s="5" t="s">
        <v>266</v>
      </c>
      <c r="R29" s="5" t="s">
        <v>240</v>
      </c>
      <c r="S29" s="5" t="s">
        <v>240</v>
      </c>
      <c r="T29" s="5" t="s">
        <v>296</v>
      </c>
      <c r="U29" s="5" t="s">
        <v>244</v>
      </c>
      <c r="V29" s="5" t="s">
        <v>240</v>
      </c>
      <c r="Y29" s="5" t="s">
        <v>240</v>
      </c>
      <c r="Z29" s="6" t="s">
        <v>298</v>
      </c>
      <c r="AB29" s="6" t="s">
        <v>240</v>
      </c>
      <c r="AE29" s="6" t="s">
        <v>299</v>
      </c>
      <c r="AF29" s="5" t="s">
        <v>248</v>
      </c>
      <c r="AG29" s="5" t="s">
        <v>249</v>
      </c>
      <c r="AW29" s="5" t="s">
        <v>251</v>
      </c>
      <c r="AX29" s="5" t="s">
        <v>240</v>
      </c>
      <c r="AY29" s="5" t="s">
        <v>253</v>
      </c>
      <c r="AZ29" s="5" t="s">
        <v>240</v>
      </c>
      <c r="BA29" s="5" t="s">
        <v>255</v>
      </c>
      <c r="BB29" s="5" t="s">
        <v>240</v>
      </c>
      <c r="BD29" s="5" t="s">
        <v>240</v>
      </c>
      <c r="BF29" s="5" t="s">
        <v>301</v>
      </c>
      <c r="BG29" s="6" t="s">
        <v>299</v>
      </c>
      <c r="BH29" s="5" t="s">
        <v>302</v>
      </c>
      <c r="BI29" s="5" t="s">
        <v>303</v>
      </c>
      <c r="BJ29" s="5" t="s">
        <v>240</v>
      </c>
      <c r="BK29" s="8">
        <f>0</f>
        <v>0</v>
      </c>
      <c r="BL29" s="7">
        <f>0</f>
        <v>0</v>
      </c>
      <c r="BM29" s="5" t="s">
        <v>258</v>
      </c>
      <c r="BN29" s="5" t="s">
        <v>259</v>
      </c>
      <c r="CB29" s="5" t="s">
        <v>240</v>
      </c>
      <c r="CC29" s="5" t="s">
        <v>240</v>
      </c>
      <c r="CG29" s="5" t="s">
        <v>304</v>
      </c>
      <c r="CH29" s="5" t="s">
        <v>305</v>
      </c>
      <c r="CI29" s="5" t="s">
        <v>240</v>
      </c>
      <c r="CL29" s="6" t="s">
        <v>261</v>
      </c>
      <c r="CM29" s="5" t="s">
        <v>240</v>
      </c>
      <c r="CN29" s="5" t="s">
        <v>263</v>
      </c>
      <c r="CO29" s="5" t="s">
        <v>240</v>
      </c>
      <c r="CP29" s="5" t="s">
        <v>240</v>
      </c>
      <c r="CQ29" s="5">
        <v>0</v>
      </c>
      <c r="CR29" s="5" t="s">
        <v>306</v>
      </c>
      <c r="CS29" s="5" t="s">
        <v>307</v>
      </c>
      <c r="CT29" s="5" t="s">
        <v>307</v>
      </c>
      <c r="CU29" s="5" t="s">
        <v>260</v>
      </c>
      <c r="CX29" s="7">
        <f>1</f>
        <v>1</v>
      </c>
      <c r="CY29" s="7">
        <f>0</f>
        <v>0</v>
      </c>
      <c r="DA29" s="7">
        <f>0</f>
        <v>0</v>
      </c>
      <c r="DC29" s="5" t="s">
        <v>309</v>
      </c>
      <c r="DD29" s="5" t="s">
        <v>240</v>
      </c>
      <c r="DF29" s="5" t="s">
        <v>309</v>
      </c>
      <c r="DG29" s="7">
        <f>8337</f>
        <v>8337</v>
      </c>
      <c r="DI29" s="5" t="s">
        <v>240</v>
      </c>
      <c r="DJ29" s="5" t="s">
        <v>240</v>
      </c>
      <c r="DK29" s="5" t="s">
        <v>240</v>
      </c>
      <c r="DL29" s="5" t="s">
        <v>240</v>
      </c>
      <c r="DP29" s="5" t="s">
        <v>240</v>
      </c>
      <c r="DQ29" s="5" t="s">
        <v>240</v>
      </c>
      <c r="DR29" s="5" t="s">
        <v>240</v>
      </c>
      <c r="DS29" s="5" t="s">
        <v>240</v>
      </c>
      <c r="DV29" s="5" t="s">
        <v>310</v>
      </c>
      <c r="DW29" s="5" t="s">
        <v>348</v>
      </c>
      <c r="HO29" s="5" t="s">
        <v>312</v>
      </c>
    </row>
    <row r="30" spans="1:223" x14ac:dyDescent="0.4">
      <c r="A30" s="5">
        <v>737</v>
      </c>
      <c r="B30" s="5">
        <v>1</v>
      </c>
      <c r="C30" s="5">
        <v>1</v>
      </c>
      <c r="D30" s="5" t="s">
        <v>1904</v>
      </c>
      <c r="E30" s="5" t="s">
        <v>418</v>
      </c>
      <c r="F30" s="5" t="s">
        <v>254</v>
      </c>
      <c r="G30" s="5" t="s">
        <v>240</v>
      </c>
      <c r="H30" s="6" t="s">
        <v>1912</v>
      </c>
      <c r="I30" s="5" t="s">
        <v>1903</v>
      </c>
      <c r="J30" s="8">
        <f>1011</f>
        <v>1011</v>
      </c>
      <c r="K30" s="5" t="s">
        <v>308</v>
      </c>
      <c r="L30" s="7">
        <f>2239365</f>
        <v>2239365</v>
      </c>
      <c r="M30" s="7">
        <f>2239365</f>
        <v>2239365</v>
      </c>
      <c r="N30" s="5" t="s">
        <v>242</v>
      </c>
      <c r="O30" s="5">
        <v>1</v>
      </c>
      <c r="P30" s="5" t="s">
        <v>294</v>
      </c>
      <c r="Q30" s="5" t="s">
        <v>266</v>
      </c>
      <c r="R30" s="5" t="s">
        <v>240</v>
      </c>
      <c r="S30" s="5" t="s">
        <v>240</v>
      </c>
      <c r="T30" s="5" t="s">
        <v>296</v>
      </c>
      <c r="U30" s="5" t="s">
        <v>244</v>
      </c>
      <c r="V30" s="5" t="s">
        <v>240</v>
      </c>
      <c r="Y30" s="5" t="s">
        <v>240</v>
      </c>
      <c r="Z30" s="6" t="s">
        <v>298</v>
      </c>
      <c r="AB30" s="6" t="s">
        <v>240</v>
      </c>
      <c r="AE30" s="6" t="s">
        <v>299</v>
      </c>
      <c r="AF30" s="5" t="s">
        <v>248</v>
      </c>
      <c r="AG30" s="5" t="s">
        <v>249</v>
      </c>
      <c r="AW30" s="5" t="s">
        <v>251</v>
      </c>
      <c r="AX30" s="5" t="s">
        <v>240</v>
      </c>
      <c r="AY30" s="5" t="s">
        <v>253</v>
      </c>
      <c r="AZ30" s="5" t="s">
        <v>240</v>
      </c>
      <c r="BA30" s="5" t="s">
        <v>255</v>
      </c>
      <c r="BB30" s="5" t="s">
        <v>240</v>
      </c>
      <c r="BD30" s="5" t="s">
        <v>240</v>
      </c>
      <c r="BF30" s="5" t="s">
        <v>301</v>
      </c>
      <c r="BG30" s="6" t="s">
        <v>299</v>
      </c>
      <c r="BH30" s="5" t="s">
        <v>302</v>
      </c>
      <c r="BI30" s="5" t="s">
        <v>303</v>
      </c>
      <c r="BJ30" s="5" t="s">
        <v>240</v>
      </c>
      <c r="BK30" s="8">
        <f>0</f>
        <v>0</v>
      </c>
      <c r="BL30" s="7">
        <f>0</f>
        <v>0</v>
      </c>
      <c r="BM30" s="5" t="s">
        <v>258</v>
      </c>
      <c r="BN30" s="5" t="s">
        <v>259</v>
      </c>
      <c r="CB30" s="5" t="s">
        <v>240</v>
      </c>
      <c r="CC30" s="5" t="s">
        <v>240</v>
      </c>
      <c r="CG30" s="5" t="s">
        <v>304</v>
      </c>
      <c r="CH30" s="5" t="s">
        <v>305</v>
      </c>
      <c r="CI30" s="5" t="s">
        <v>240</v>
      </c>
      <c r="CL30" s="6" t="s">
        <v>261</v>
      </c>
      <c r="CM30" s="5" t="s">
        <v>240</v>
      </c>
      <c r="CN30" s="5" t="s">
        <v>263</v>
      </c>
      <c r="CO30" s="5" t="s">
        <v>240</v>
      </c>
      <c r="CP30" s="5" t="s">
        <v>240</v>
      </c>
      <c r="CQ30" s="5">
        <v>0</v>
      </c>
      <c r="CR30" s="5" t="s">
        <v>306</v>
      </c>
      <c r="CS30" s="5" t="s">
        <v>307</v>
      </c>
      <c r="CT30" s="5" t="s">
        <v>307</v>
      </c>
      <c r="CU30" s="5" t="s">
        <v>260</v>
      </c>
      <c r="CX30" s="7">
        <f>1</f>
        <v>1</v>
      </c>
      <c r="CY30" s="7">
        <f>0</f>
        <v>0</v>
      </c>
      <c r="DA30" s="7">
        <f>0</f>
        <v>0</v>
      </c>
      <c r="DC30" s="5" t="s">
        <v>309</v>
      </c>
      <c r="DD30" s="5" t="s">
        <v>240</v>
      </c>
      <c r="DF30" s="5" t="s">
        <v>309</v>
      </c>
      <c r="DG30" s="7">
        <f>12031</f>
        <v>12031</v>
      </c>
      <c r="DI30" s="5" t="s">
        <v>240</v>
      </c>
      <c r="DJ30" s="5" t="s">
        <v>240</v>
      </c>
      <c r="DK30" s="5" t="s">
        <v>240</v>
      </c>
      <c r="DL30" s="5" t="s">
        <v>240</v>
      </c>
      <c r="DP30" s="5" t="s">
        <v>240</v>
      </c>
      <c r="DQ30" s="5" t="s">
        <v>240</v>
      </c>
      <c r="DR30" s="5" t="s">
        <v>240</v>
      </c>
      <c r="DS30" s="5" t="s">
        <v>240</v>
      </c>
      <c r="DV30" s="5" t="s">
        <v>310</v>
      </c>
      <c r="DW30" s="5" t="s">
        <v>350</v>
      </c>
      <c r="HO30" s="5" t="s">
        <v>312</v>
      </c>
    </row>
    <row r="31" spans="1:223" x14ac:dyDescent="0.4">
      <c r="A31" s="5">
        <v>738</v>
      </c>
      <c r="B31" s="5">
        <v>1</v>
      </c>
      <c r="C31" s="5">
        <v>1</v>
      </c>
      <c r="D31" s="5" t="s">
        <v>1904</v>
      </c>
      <c r="E31" s="5" t="s">
        <v>418</v>
      </c>
      <c r="F31" s="5" t="s">
        <v>254</v>
      </c>
      <c r="G31" s="5" t="s">
        <v>240</v>
      </c>
      <c r="H31" s="6" t="s">
        <v>1910</v>
      </c>
      <c r="I31" s="5" t="s">
        <v>1903</v>
      </c>
      <c r="J31" s="8">
        <f>3142</f>
        <v>3142</v>
      </c>
      <c r="K31" s="5" t="s">
        <v>308</v>
      </c>
      <c r="L31" s="7">
        <f>6959530</f>
        <v>6959530</v>
      </c>
      <c r="M31" s="7">
        <f>6959530</f>
        <v>6959530</v>
      </c>
      <c r="N31" s="5" t="s">
        <v>242</v>
      </c>
      <c r="O31" s="5">
        <v>1</v>
      </c>
      <c r="P31" s="5" t="s">
        <v>294</v>
      </c>
      <c r="Q31" s="5" t="s">
        <v>266</v>
      </c>
      <c r="R31" s="5" t="s">
        <v>240</v>
      </c>
      <c r="S31" s="5" t="s">
        <v>240</v>
      </c>
      <c r="T31" s="5" t="s">
        <v>296</v>
      </c>
      <c r="U31" s="5" t="s">
        <v>244</v>
      </c>
      <c r="V31" s="5" t="s">
        <v>240</v>
      </c>
      <c r="Y31" s="5" t="s">
        <v>240</v>
      </c>
      <c r="Z31" s="6" t="s">
        <v>298</v>
      </c>
      <c r="AB31" s="6" t="s">
        <v>240</v>
      </c>
      <c r="AE31" s="6" t="s">
        <v>299</v>
      </c>
      <c r="AF31" s="5" t="s">
        <v>248</v>
      </c>
      <c r="AG31" s="5" t="s">
        <v>249</v>
      </c>
      <c r="AW31" s="5" t="s">
        <v>251</v>
      </c>
      <c r="AX31" s="5" t="s">
        <v>240</v>
      </c>
      <c r="AY31" s="5" t="s">
        <v>253</v>
      </c>
      <c r="AZ31" s="5" t="s">
        <v>240</v>
      </c>
      <c r="BA31" s="5" t="s">
        <v>255</v>
      </c>
      <c r="BB31" s="5" t="s">
        <v>240</v>
      </c>
      <c r="BD31" s="5" t="s">
        <v>240</v>
      </c>
      <c r="BF31" s="5" t="s">
        <v>301</v>
      </c>
      <c r="BG31" s="6" t="s">
        <v>299</v>
      </c>
      <c r="BH31" s="5" t="s">
        <v>302</v>
      </c>
      <c r="BI31" s="5" t="s">
        <v>303</v>
      </c>
      <c r="BJ31" s="5" t="s">
        <v>240</v>
      </c>
      <c r="BK31" s="8">
        <f>0</f>
        <v>0</v>
      </c>
      <c r="BL31" s="7">
        <f>0</f>
        <v>0</v>
      </c>
      <c r="BM31" s="5" t="s">
        <v>258</v>
      </c>
      <c r="BN31" s="5" t="s">
        <v>259</v>
      </c>
      <c r="CB31" s="5" t="s">
        <v>240</v>
      </c>
      <c r="CC31" s="5" t="s">
        <v>240</v>
      </c>
      <c r="CG31" s="5" t="s">
        <v>304</v>
      </c>
      <c r="CH31" s="5" t="s">
        <v>305</v>
      </c>
      <c r="CI31" s="5" t="s">
        <v>240</v>
      </c>
      <c r="CL31" s="6" t="s">
        <v>261</v>
      </c>
      <c r="CM31" s="5" t="s">
        <v>240</v>
      </c>
      <c r="CN31" s="5" t="s">
        <v>263</v>
      </c>
      <c r="CO31" s="5" t="s">
        <v>240</v>
      </c>
      <c r="CP31" s="5" t="s">
        <v>240</v>
      </c>
      <c r="CQ31" s="5">
        <v>0</v>
      </c>
      <c r="CR31" s="5" t="s">
        <v>306</v>
      </c>
      <c r="CS31" s="5" t="s">
        <v>307</v>
      </c>
      <c r="CT31" s="5" t="s">
        <v>307</v>
      </c>
      <c r="CU31" s="5" t="s">
        <v>260</v>
      </c>
      <c r="CX31" s="7">
        <f>1</f>
        <v>1</v>
      </c>
      <c r="CY31" s="7">
        <f>0</f>
        <v>0</v>
      </c>
      <c r="DA31" s="7">
        <f>0</f>
        <v>0</v>
      </c>
      <c r="DC31" s="5" t="s">
        <v>309</v>
      </c>
      <c r="DD31" s="5" t="s">
        <v>240</v>
      </c>
      <c r="DF31" s="5" t="s">
        <v>309</v>
      </c>
      <c r="DG31" s="7">
        <f>118</f>
        <v>118</v>
      </c>
      <c r="DI31" s="5" t="s">
        <v>240</v>
      </c>
      <c r="DJ31" s="5" t="s">
        <v>240</v>
      </c>
      <c r="DK31" s="5" t="s">
        <v>240</v>
      </c>
      <c r="DL31" s="5" t="s">
        <v>240</v>
      </c>
      <c r="DP31" s="5" t="s">
        <v>240</v>
      </c>
      <c r="DQ31" s="5" t="s">
        <v>240</v>
      </c>
      <c r="DR31" s="5" t="s">
        <v>240</v>
      </c>
      <c r="DS31" s="5" t="s">
        <v>240</v>
      </c>
      <c r="DV31" s="5" t="s">
        <v>310</v>
      </c>
      <c r="DW31" s="5" t="s">
        <v>352</v>
      </c>
      <c r="HO31" s="5" t="s">
        <v>312</v>
      </c>
    </row>
    <row r="32" spans="1:223" x14ac:dyDescent="0.4">
      <c r="A32" s="5">
        <v>739</v>
      </c>
      <c r="B32" s="5">
        <v>1</v>
      </c>
      <c r="C32" s="5">
        <v>1</v>
      </c>
      <c r="D32" s="5" t="s">
        <v>1904</v>
      </c>
      <c r="E32" s="5" t="s">
        <v>418</v>
      </c>
      <c r="F32" s="5" t="s">
        <v>254</v>
      </c>
      <c r="G32" s="5" t="s">
        <v>240</v>
      </c>
      <c r="H32" s="6" t="s">
        <v>1909</v>
      </c>
      <c r="I32" s="5" t="s">
        <v>1903</v>
      </c>
      <c r="J32" s="8">
        <f>1758</f>
        <v>1758</v>
      </c>
      <c r="K32" s="5" t="s">
        <v>308</v>
      </c>
      <c r="L32" s="7">
        <f>3893970</f>
        <v>3893970</v>
      </c>
      <c r="M32" s="7">
        <f>3893970</f>
        <v>3893970</v>
      </c>
      <c r="N32" s="5" t="s">
        <v>242</v>
      </c>
      <c r="O32" s="5">
        <v>1</v>
      </c>
      <c r="P32" s="5" t="s">
        <v>294</v>
      </c>
      <c r="Q32" s="5" t="s">
        <v>266</v>
      </c>
      <c r="R32" s="5" t="s">
        <v>240</v>
      </c>
      <c r="S32" s="5" t="s">
        <v>240</v>
      </c>
      <c r="T32" s="5" t="s">
        <v>296</v>
      </c>
      <c r="U32" s="5" t="s">
        <v>244</v>
      </c>
      <c r="V32" s="5" t="s">
        <v>240</v>
      </c>
      <c r="Y32" s="5" t="s">
        <v>240</v>
      </c>
      <c r="Z32" s="6" t="s">
        <v>298</v>
      </c>
      <c r="AB32" s="6" t="s">
        <v>240</v>
      </c>
      <c r="AE32" s="6" t="s">
        <v>299</v>
      </c>
      <c r="AF32" s="5" t="s">
        <v>248</v>
      </c>
      <c r="AG32" s="5" t="s">
        <v>249</v>
      </c>
      <c r="AW32" s="5" t="s">
        <v>251</v>
      </c>
      <c r="AX32" s="5" t="s">
        <v>240</v>
      </c>
      <c r="AY32" s="5" t="s">
        <v>253</v>
      </c>
      <c r="AZ32" s="5" t="s">
        <v>240</v>
      </c>
      <c r="BA32" s="5" t="s">
        <v>255</v>
      </c>
      <c r="BB32" s="5" t="s">
        <v>240</v>
      </c>
      <c r="BD32" s="5" t="s">
        <v>240</v>
      </c>
      <c r="BF32" s="5" t="s">
        <v>301</v>
      </c>
      <c r="BG32" s="6" t="s">
        <v>299</v>
      </c>
      <c r="BH32" s="5" t="s">
        <v>302</v>
      </c>
      <c r="BI32" s="5" t="s">
        <v>303</v>
      </c>
      <c r="BJ32" s="5" t="s">
        <v>240</v>
      </c>
      <c r="BK32" s="8">
        <f>0</f>
        <v>0</v>
      </c>
      <c r="BL32" s="7">
        <f>0</f>
        <v>0</v>
      </c>
      <c r="BM32" s="5" t="s">
        <v>258</v>
      </c>
      <c r="BN32" s="5" t="s">
        <v>259</v>
      </c>
      <c r="CB32" s="5" t="s">
        <v>240</v>
      </c>
      <c r="CC32" s="5" t="s">
        <v>240</v>
      </c>
      <c r="CG32" s="5" t="s">
        <v>304</v>
      </c>
      <c r="CH32" s="5" t="s">
        <v>305</v>
      </c>
      <c r="CI32" s="5" t="s">
        <v>240</v>
      </c>
      <c r="CL32" s="6" t="s">
        <v>261</v>
      </c>
      <c r="CM32" s="5" t="s">
        <v>240</v>
      </c>
      <c r="CN32" s="5" t="s">
        <v>263</v>
      </c>
      <c r="CO32" s="5" t="s">
        <v>240</v>
      </c>
      <c r="CP32" s="5" t="s">
        <v>240</v>
      </c>
      <c r="CQ32" s="5">
        <v>0</v>
      </c>
      <c r="CR32" s="5" t="s">
        <v>306</v>
      </c>
      <c r="CS32" s="5" t="s">
        <v>307</v>
      </c>
      <c r="CT32" s="5" t="s">
        <v>307</v>
      </c>
      <c r="CU32" s="5" t="s">
        <v>260</v>
      </c>
      <c r="CX32" s="7">
        <f>1</f>
        <v>1</v>
      </c>
      <c r="CY32" s="7">
        <f>0</f>
        <v>0</v>
      </c>
      <c r="DA32" s="7">
        <f>0</f>
        <v>0</v>
      </c>
      <c r="DC32" s="5" t="s">
        <v>309</v>
      </c>
      <c r="DD32" s="5" t="s">
        <v>240</v>
      </c>
      <c r="DF32" s="5" t="s">
        <v>309</v>
      </c>
      <c r="DG32" s="7">
        <f>66</f>
        <v>66</v>
      </c>
      <c r="DI32" s="5" t="s">
        <v>240</v>
      </c>
      <c r="DJ32" s="5" t="s">
        <v>240</v>
      </c>
      <c r="DK32" s="5" t="s">
        <v>240</v>
      </c>
      <c r="DL32" s="5" t="s">
        <v>240</v>
      </c>
      <c r="DP32" s="5" t="s">
        <v>240</v>
      </c>
      <c r="DQ32" s="5" t="s">
        <v>240</v>
      </c>
      <c r="DR32" s="5" t="s">
        <v>240</v>
      </c>
      <c r="DS32" s="5" t="s">
        <v>240</v>
      </c>
      <c r="DV32" s="5" t="s">
        <v>310</v>
      </c>
      <c r="DW32" s="5" t="s">
        <v>354</v>
      </c>
      <c r="HO32" s="5" t="s">
        <v>312</v>
      </c>
    </row>
    <row r="33" spans="1:223" x14ac:dyDescent="0.4">
      <c r="A33" s="5">
        <v>740</v>
      </c>
      <c r="B33" s="5">
        <v>1</v>
      </c>
      <c r="C33" s="5">
        <v>1</v>
      </c>
      <c r="D33" s="5" t="s">
        <v>1904</v>
      </c>
      <c r="E33" s="5" t="s">
        <v>418</v>
      </c>
      <c r="F33" s="5" t="s">
        <v>254</v>
      </c>
      <c r="G33" s="5" t="s">
        <v>240</v>
      </c>
      <c r="H33" s="6" t="s">
        <v>1908</v>
      </c>
      <c r="I33" s="5" t="s">
        <v>1903</v>
      </c>
      <c r="J33" s="8">
        <f>1203</f>
        <v>1203</v>
      </c>
      <c r="K33" s="5" t="s">
        <v>308</v>
      </c>
      <c r="L33" s="7">
        <f>2664645</f>
        <v>2664645</v>
      </c>
      <c r="M33" s="7">
        <f>2664645</f>
        <v>2664645</v>
      </c>
      <c r="N33" s="5" t="s">
        <v>242</v>
      </c>
      <c r="O33" s="5">
        <v>1</v>
      </c>
      <c r="P33" s="5" t="s">
        <v>294</v>
      </c>
      <c r="Q33" s="5" t="s">
        <v>266</v>
      </c>
      <c r="R33" s="5" t="s">
        <v>240</v>
      </c>
      <c r="S33" s="5" t="s">
        <v>240</v>
      </c>
      <c r="T33" s="5" t="s">
        <v>296</v>
      </c>
      <c r="U33" s="5" t="s">
        <v>244</v>
      </c>
      <c r="V33" s="5" t="s">
        <v>240</v>
      </c>
      <c r="Y33" s="5" t="s">
        <v>240</v>
      </c>
      <c r="Z33" s="6" t="s">
        <v>298</v>
      </c>
      <c r="AB33" s="6" t="s">
        <v>240</v>
      </c>
      <c r="AE33" s="6" t="s">
        <v>299</v>
      </c>
      <c r="AF33" s="5" t="s">
        <v>248</v>
      </c>
      <c r="AG33" s="5" t="s">
        <v>249</v>
      </c>
      <c r="AW33" s="5" t="s">
        <v>251</v>
      </c>
      <c r="AX33" s="5" t="s">
        <v>240</v>
      </c>
      <c r="AY33" s="5" t="s">
        <v>253</v>
      </c>
      <c r="AZ33" s="5" t="s">
        <v>240</v>
      </c>
      <c r="BA33" s="5" t="s">
        <v>255</v>
      </c>
      <c r="BB33" s="5" t="s">
        <v>240</v>
      </c>
      <c r="BD33" s="5" t="s">
        <v>240</v>
      </c>
      <c r="BF33" s="5" t="s">
        <v>301</v>
      </c>
      <c r="BG33" s="6" t="s">
        <v>299</v>
      </c>
      <c r="BH33" s="5" t="s">
        <v>302</v>
      </c>
      <c r="BI33" s="5" t="s">
        <v>303</v>
      </c>
      <c r="BJ33" s="5" t="s">
        <v>240</v>
      </c>
      <c r="BK33" s="8">
        <f>0</f>
        <v>0</v>
      </c>
      <c r="BL33" s="7">
        <f>0</f>
        <v>0</v>
      </c>
      <c r="BM33" s="5" t="s">
        <v>258</v>
      </c>
      <c r="BN33" s="5" t="s">
        <v>259</v>
      </c>
      <c r="CB33" s="5" t="s">
        <v>240</v>
      </c>
      <c r="CC33" s="5" t="s">
        <v>240</v>
      </c>
      <c r="CG33" s="5" t="s">
        <v>304</v>
      </c>
      <c r="CH33" s="5" t="s">
        <v>305</v>
      </c>
      <c r="CI33" s="5" t="s">
        <v>240</v>
      </c>
      <c r="CL33" s="6" t="s">
        <v>261</v>
      </c>
      <c r="CM33" s="5" t="s">
        <v>240</v>
      </c>
      <c r="CN33" s="5" t="s">
        <v>263</v>
      </c>
      <c r="CO33" s="5" t="s">
        <v>240</v>
      </c>
      <c r="CP33" s="5" t="s">
        <v>240</v>
      </c>
      <c r="CQ33" s="5">
        <v>0</v>
      </c>
      <c r="CR33" s="5" t="s">
        <v>306</v>
      </c>
      <c r="CS33" s="5" t="s">
        <v>307</v>
      </c>
      <c r="CT33" s="5" t="s">
        <v>307</v>
      </c>
      <c r="CU33" s="5" t="s">
        <v>260</v>
      </c>
      <c r="CX33" s="7">
        <f>1</f>
        <v>1</v>
      </c>
      <c r="CY33" s="7">
        <f>0</f>
        <v>0</v>
      </c>
      <c r="DA33" s="7">
        <f>0</f>
        <v>0</v>
      </c>
      <c r="DC33" s="5" t="s">
        <v>309</v>
      </c>
      <c r="DD33" s="5" t="s">
        <v>240</v>
      </c>
      <c r="DF33" s="5" t="s">
        <v>309</v>
      </c>
      <c r="DG33" s="7">
        <f>579</f>
        <v>579</v>
      </c>
      <c r="DI33" s="5" t="s">
        <v>240</v>
      </c>
      <c r="DJ33" s="5" t="s">
        <v>240</v>
      </c>
      <c r="DK33" s="5" t="s">
        <v>240</v>
      </c>
      <c r="DL33" s="5" t="s">
        <v>240</v>
      </c>
      <c r="DP33" s="5" t="s">
        <v>240</v>
      </c>
      <c r="DQ33" s="5" t="s">
        <v>240</v>
      </c>
      <c r="DR33" s="5" t="s">
        <v>240</v>
      </c>
      <c r="DS33" s="5" t="s">
        <v>240</v>
      </c>
      <c r="DV33" s="5" t="s">
        <v>310</v>
      </c>
      <c r="DW33" s="5" t="s">
        <v>356</v>
      </c>
      <c r="HO33" s="5" t="s">
        <v>312</v>
      </c>
    </row>
    <row r="34" spans="1:223" x14ac:dyDescent="0.4">
      <c r="A34" s="5">
        <v>741</v>
      </c>
      <c r="B34" s="5">
        <v>1</v>
      </c>
      <c r="C34" s="5">
        <v>1</v>
      </c>
      <c r="D34" s="5" t="s">
        <v>1904</v>
      </c>
      <c r="E34" s="5" t="s">
        <v>418</v>
      </c>
      <c r="F34" s="5" t="s">
        <v>254</v>
      </c>
      <c r="G34" s="5" t="s">
        <v>240</v>
      </c>
      <c r="H34" s="6" t="s">
        <v>1907</v>
      </c>
      <c r="I34" s="5" t="s">
        <v>1903</v>
      </c>
      <c r="J34" s="8">
        <f>1313</f>
        <v>1313</v>
      </c>
      <c r="K34" s="5" t="s">
        <v>308</v>
      </c>
      <c r="L34" s="7">
        <f>2908295</f>
        <v>2908295</v>
      </c>
      <c r="M34" s="7">
        <f>2908295</f>
        <v>2908295</v>
      </c>
      <c r="N34" s="5" t="s">
        <v>242</v>
      </c>
      <c r="O34" s="5">
        <v>1</v>
      </c>
      <c r="P34" s="5" t="s">
        <v>294</v>
      </c>
      <c r="Q34" s="5" t="s">
        <v>266</v>
      </c>
      <c r="R34" s="5" t="s">
        <v>240</v>
      </c>
      <c r="S34" s="5" t="s">
        <v>240</v>
      </c>
      <c r="T34" s="5" t="s">
        <v>296</v>
      </c>
      <c r="U34" s="5" t="s">
        <v>244</v>
      </c>
      <c r="V34" s="5" t="s">
        <v>240</v>
      </c>
      <c r="Y34" s="5" t="s">
        <v>240</v>
      </c>
      <c r="Z34" s="6" t="s">
        <v>298</v>
      </c>
      <c r="AB34" s="6" t="s">
        <v>240</v>
      </c>
      <c r="AE34" s="6" t="s">
        <v>299</v>
      </c>
      <c r="AF34" s="5" t="s">
        <v>248</v>
      </c>
      <c r="AG34" s="5" t="s">
        <v>249</v>
      </c>
      <c r="AW34" s="5" t="s">
        <v>251</v>
      </c>
      <c r="AX34" s="5" t="s">
        <v>240</v>
      </c>
      <c r="AY34" s="5" t="s">
        <v>253</v>
      </c>
      <c r="AZ34" s="5" t="s">
        <v>240</v>
      </c>
      <c r="BA34" s="5" t="s">
        <v>255</v>
      </c>
      <c r="BB34" s="5" t="s">
        <v>240</v>
      </c>
      <c r="BD34" s="5" t="s">
        <v>240</v>
      </c>
      <c r="BF34" s="5" t="s">
        <v>301</v>
      </c>
      <c r="BG34" s="6" t="s">
        <v>299</v>
      </c>
      <c r="BH34" s="5" t="s">
        <v>302</v>
      </c>
      <c r="BI34" s="5" t="s">
        <v>303</v>
      </c>
      <c r="BJ34" s="5" t="s">
        <v>240</v>
      </c>
      <c r="BK34" s="8">
        <f>0</f>
        <v>0</v>
      </c>
      <c r="BL34" s="7">
        <f>0</f>
        <v>0</v>
      </c>
      <c r="BM34" s="5" t="s">
        <v>258</v>
      </c>
      <c r="BN34" s="5" t="s">
        <v>259</v>
      </c>
      <c r="CB34" s="5" t="s">
        <v>240</v>
      </c>
      <c r="CC34" s="5" t="s">
        <v>240</v>
      </c>
      <c r="CG34" s="5" t="s">
        <v>304</v>
      </c>
      <c r="CH34" s="5" t="s">
        <v>305</v>
      </c>
      <c r="CI34" s="5" t="s">
        <v>240</v>
      </c>
      <c r="CL34" s="6" t="s">
        <v>261</v>
      </c>
      <c r="CM34" s="5" t="s">
        <v>240</v>
      </c>
      <c r="CN34" s="5" t="s">
        <v>263</v>
      </c>
      <c r="CO34" s="5" t="s">
        <v>240</v>
      </c>
      <c r="CP34" s="5" t="s">
        <v>240</v>
      </c>
      <c r="CQ34" s="5">
        <v>0</v>
      </c>
      <c r="CR34" s="5" t="s">
        <v>306</v>
      </c>
      <c r="CS34" s="5" t="s">
        <v>307</v>
      </c>
      <c r="CT34" s="5" t="s">
        <v>307</v>
      </c>
      <c r="CU34" s="5" t="s">
        <v>260</v>
      </c>
      <c r="CX34" s="7">
        <f>1</f>
        <v>1</v>
      </c>
      <c r="CY34" s="7">
        <f>0</f>
        <v>0</v>
      </c>
      <c r="DA34" s="7">
        <f>0</f>
        <v>0</v>
      </c>
      <c r="DC34" s="5" t="s">
        <v>309</v>
      </c>
      <c r="DD34" s="5" t="s">
        <v>240</v>
      </c>
      <c r="DF34" s="5" t="s">
        <v>309</v>
      </c>
      <c r="DG34" s="7">
        <f>727</f>
        <v>727</v>
      </c>
      <c r="DI34" s="5" t="s">
        <v>240</v>
      </c>
      <c r="DJ34" s="5" t="s">
        <v>240</v>
      </c>
      <c r="DK34" s="5" t="s">
        <v>240</v>
      </c>
      <c r="DL34" s="5" t="s">
        <v>240</v>
      </c>
      <c r="DP34" s="5" t="s">
        <v>240</v>
      </c>
      <c r="DQ34" s="5" t="s">
        <v>240</v>
      </c>
      <c r="DR34" s="5" t="s">
        <v>240</v>
      </c>
      <c r="DS34" s="5" t="s">
        <v>240</v>
      </c>
      <c r="DV34" s="5" t="s">
        <v>310</v>
      </c>
      <c r="DW34" s="5" t="s">
        <v>358</v>
      </c>
      <c r="HO34" s="5" t="s">
        <v>312</v>
      </c>
    </row>
    <row r="35" spans="1:223" x14ac:dyDescent="0.4">
      <c r="A35" s="5">
        <v>742</v>
      </c>
      <c r="B35" s="5">
        <v>1</v>
      </c>
      <c r="C35" s="5">
        <v>1</v>
      </c>
      <c r="D35" s="5" t="s">
        <v>1904</v>
      </c>
      <c r="E35" s="5" t="s">
        <v>418</v>
      </c>
      <c r="F35" s="5" t="s">
        <v>254</v>
      </c>
      <c r="G35" s="5" t="s">
        <v>240</v>
      </c>
      <c r="H35" s="6" t="s">
        <v>1905</v>
      </c>
      <c r="I35" s="5" t="s">
        <v>1903</v>
      </c>
      <c r="J35" s="8">
        <f>1983</f>
        <v>1983</v>
      </c>
      <c r="K35" s="5" t="s">
        <v>308</v>
      </c>
      <c r="L35" s="7">
        <f>4392345</f>
        <v>4392345</v>
      </c>
      <c r="M35" s="7">
        <f>4392345</f>
        <v>4392345</v>
      </c>
      <c r="N35" s="5" t="s">
        <v>242</v>
      </c>
      <c r="O35" s="5">
        <v>1</v>
      </c>
      <c r="P35" s="5" t="s">
        <v>294</v>
      </c>
      <c r="Q35" s="5" t="s">
        <v>266</v>
      </c>
      <c r="R35" s="5" t="s">
        <v>240</v>
      </c>
      <c r="S35" s="5" t="s">
        <v>240</v>
      </c>
      <c r="T35" s="5" t="s">
        <v>296</v>
      </c>
      <c r="U35" s="5" t="s">
        <v>244</v>
      </c>
      <c r="V35" s="5" t="s">
        <v>240</v>
      </c>
      <c r="Y35" s="5" t="s">
        <v>240</v>
      </c>
      <c r="Z35" s="6" t="s">
        <v>298</v>
      </c>
      <c r="AB35" s="6" t="s">
        <v>240</v>
      </c>
      <c r="AE35" s="6" t="s">
        <v>299</v>
      </c>
      <c r="AF35" s="5" t="s">
        <v>248</v>
      </c>
      <c r="AG35" s="5" t="s">
        <v>249</v>
      </c>
      <c r="AW35" s="5" t="s">
        <v>251</v>
      </c>
      <c r="AX35" s="5" t="s">
        <v>240</v>
      </c>
      <c r="AY35" s="5" t="s">
        <v>253</v>
      </c>
      <c r="AZ35" s="5" t="s">
        <v>240</v>
      </c>
      <c r="BA35" s="5" t="s">
        <v>255</v>
      </c>
      <c r="BB35" s="5" t="s">
        <v>240</v>
      </c>
      <c r="BD35" s="5" t="s">
        <v>240</v>
      </c>
      <c r="BF35" s="5" t="s">
        <v>301</v>
      </c>
      <c r="BG35" s="6" t="s">
        <v>299</v>
      </c>
      <c r="BH35" s="5" t="s">
        <v>302</v>
      </c>
      <c r="BI35" s="5" t="s">
        <v>303</v>
      </c>
      <c r="BJ35" s="5" t="s">
        <v>240</v>
      </c>
      <c r="BK35" s="8">
        <f>0</f>
        <v>0</v>
      </c>
      <c r="BL35" s="7">
        <f>0</f>
        <v>0</v>
      </c>
      <c r="BM35" s="5" t="s">
        <v>258</v>
      </c>
      <c r="BN35" s="5" t="s">
        <v>259</v>
      </c>
      <c r="CB35" s="5" t="s">
        <v>240</v>
      </c>
      <c r="CC35" s="5" t="s">
        <v>240</v>
      </c>
      <c r="CG35" s="5" t="s">
        <v>304</v>
      </c>
      <c r="CH35" s="5" t="s">
        <v>305</v>
      </c>
      <c r="CI35" s="5" t="s">
        <v>240</v>
      </c>
      <c r="CL35" s="6" t="s">
        <v>261</v>
      </c>
      <c r="CM35" s="5" t="s">
        <v>240</v>
      </c>
      <c r="CN35" s="5" t="s">
        <v>263</v>
      </c>
      <c r="CO35" s="5" t="s">
        <v>240</v>
      </c>
      <c r="CP35" s="5" t="s">
        <v>240</v>
      </c>
      <c r="CQ35" s="5">
        <v>0</v>
      </c>
      <c r="CR35" s="5" t="s">
        <v>306</v>
      </c>
      <c r="CS35" s="5" t="s">
        <v>307</v>
      </c>
      <c r="CT35" s="5" t="s">
        <v>307</v>
      </c>
      <c r="CU35" s="5" t="s">
        <v>260</v>
      </c>
      <c r="CX35" s="7">
        <f>1</f>
        <v>1</v>
      </c>
      <c r="CY35" s="7">
        <f>0</f>
        <v>0</v>
      </c>
      <c r="DA35" s="7">
        <f>0</f>
        <v>0</v>
      </c>
      <c r="DC35" s="5" t="s">
        <v>309</v>
      </c>
      <c r="DD35" s="5" t="s">
        <v>240</v>
      </c>
      <c r="DF35" s="5" t="s">
        <v>309</v>
      </c>
      <c r="DG35" s="7">
        <f>135</f>
        <v>135</v>
      </c>
      <c r="DI35" s="5" t="s">
        <v>240</v>
      </c>
      <c r="DJ35" s="5" t="s">
        <v>240</v>
      </c>
      <c r="DK35" s="5" t="s">
        <v>240</v>
      </c>
      <c r="DL35" s="5" t="s">
        <v>240</v>
      </c>
      <c r="DP35" s="5" t="s">
        <v>240</v>
      </c>
      <c r="DQ35" s="5" t="s">
        <v>240</v>
      </c>
      <c r="DR35" s="5" t="s">
        <v>240</v>
      </c>
      <c r="DS35" s="5" t="s">
        <v>240</v>
      </c>
      <c r="DV35" s="5" t="s">
        <v>310</v>
      </c>
      <c r="DW35" s="5" t="s">
        <v>360</v>
      </c>
      <c r="HO35" s="5" t="s">
        <v>312</v>
      </c>
    </row>
    <row r="36" spans="1:223" x14ac:dyDescent="0.4">
      <c r="A36" s="5">
        <v>743</v>
      </c>
      <c r="B36" s="5">
        <v>1</v>
      </c>
      <c r="C36" s="5">
        <v>1</v>
      </c>
      <c r="D36" s="5" t="s">
        <v>1900</v>
      </c>
      <c r="E36" s="5" t="s">
        <v>418</v>
      </c>
      <c r="F36" s="5" t="s">
        <v>254</v>
      </c>
      <c r="G36" s="5" t="s">
        <v>240</v>
      </c>
      <c r="H36" s="6" t="s">
        <v>1901</v>
      </c>
      <c r="I36" s="5" t="s">
        <v>1899</v>
      </c>
      <c r="J36" s="8">
        <f>11005</f>
        <v>11005</v>
      </c>
      <c r="K36" s="5" t="s">
        <v>308</v>
      </c>
      <c r="L36" s="7">
        <f>24376075</f>
        <v>24376075</v>
      </c>
      <c r="M36" s="7">
        <f>24376075</f>
        <v>24376075</v>
      </c>
      <c r="N36" s="5" t="s">
        <v>242</v>
      </c>
      <c r="O36" s="5">
        <v>1</v>
      </c>
      <c r="P36" s="5" t="s">
        <v>294</v>
      </c>
      <c r="Q36" s="5" t="s">
        <v>266</v>
      </c>
      <c r="R36" s="5" t="s">
        <v>240</v>
      </c>
      <c r="S36" s="5" t="s">
        <v>240</v>
      </c>
      <c r="T36" s="5" t="s">
        <v>296</v>
      </c>
      <c r="U36" s="5" t="s">
        <v>244</v>
      </c>
      <c r="V36" s="5" t="s">
        <v>240</v>
      </c>
      <c r="Y36" s="5" t="s">
        <v>240</v>
      </c>
      <c r="Z36" s="6" t="s">
        <v>298</v>
      </c>
      <c r="AB36" s="6" t="s">
        <v>240</v>
      </c>
      <c r="AE36" s="6" t="s">
        <v>299</v>
      </c>
      <c r="AF36" s="5" t="s">
        <v>248</v>
      </c>
      <c r="AG36" s="5" t="s">
        <v>249</v>
      </c>
      <c r="AW36" s="5" t="s">
        <v>251</v>
      </c>
      <c r="AX36" s="5" t="s">
        <v>240</v>
      </c>
      <c r="AY36" s="5" t="s">
        <v>253</v>
      </c>
      <c r="AZ36" s="5" t="s">
        <v>240</v>
      </c>
      <c r="BA36" s="5" t="s">
        <v>255</v>
      </c>
      <c r="BB36" s="5" t="s">
        <v>240</v>
      </c>
      <c r="BD36" s="5" t="s">
        <v>240</v>
      </c>
      <c r="BF36" s="5" t="s">
        <v>301</v>
      </c>
      <c r="BG36" s="6" t="s">
        <v>299</v>
      </c>
      <c r="BH36" s="5" t="s">
        <v>302</v>
      </c>
      <c r="BI36" s="5" t="s">
        <v>303</v>
      </c>
      <c r="BJ36" s="5" t="s">
        <v>240</v>
      </c>
      <c r="BK36" s="8">
        <f>0</f>
        <v>0</v>
      </c>
      <c r="BL36" s="7">
        <f>0</f>
        <v>0</v>
      </c>
      <c r="BM36" s="5" t="s">
        <v>258</v>
      </c>
      <c r="BN36" s="5" t="s">
        <v>259</v>
      </c>
      <c r="CB36" s="5" t="s">
        <v>240</v>
      </c>
      <c r="CC36" s="5" t="s">
        <v>240</v>
      </c>
      <c r="CG36" s="5" t="s">
        <v>304</v>
      </c>
      <c r="CH36" s="5" t="s">
        <v>305</v>
      </c>
      <c r="CI36" s="5" t="s">
        <v>240</v>
      </c>
      <c r="CL36" s="6" t="s">
        <v>261</v>
      </c>
      <c r="CM36" s="5" t="s">
        <v>240</v>
      </c>
      <c r="CN36" s="5" t="s">
        <v>263</v>
      </c>
      <c r="CO36" s="5" t="s">
        <v>240</v>
      </c>
      <c r="CP36" s="5" t="s">
        <v>240</v>
      </c>
      <c r="CQ36" s="5">
        <v>0</v>
      </c>
      <c r="CR36" s="5" t="s">
        <v>306</v>
      </c>
      <c r="CS36" s="5" t="s">
        <v>307</v>
      </c>
      <c r="CT36" s="5" t="s">
        <v>307</v>
      </c>
      <c r="CU36" s="5" t="s">
        <v>260</v>
      </c>
      <c r="CX36" s="7">
        <f>1</f>
        <v>1</v>
      </c>
      <c r="CY36" s="7">
        <f>0</f>
        <v>0</v>
      </c>
      <c r="DA36" s="7">
        <f>0</f>
        <v>0</v>
      </c>
      <c r="DC36" s="5" t="s">
        <v>309</v>
      </c>
      <c r="DD36" s="5" t="s">
        <v>240</v>
      </c>
      <c r="DF36" s="5" t="s">
        <v>309</v>
      </c>
      <c r="DG36" s="7">
        <f>92</f>
        <v>92</v>
      </c>
      <c r="DI36" s="5" t="s">
        <v>240</v>
      </c>
      <c r="DJ36" s="5" t="s">
        <v>240</v>
      </c>
      <c r="DK36" s="5" t="s">
        <v>240</v>
      </c>
      <c r="DL36" s="5" t="s">
        <v>240</v>
      </c>
      <c r="DP36" s="5" t="s">
        <v>240</v>
      </c>
      <c r="DQ36" s="5" t="s">
        <v>240</v>
      </c>
      <c r="DR36" s="5" t="s">
        <v>240</v>
      </c>
      <c r="DS36" s="5" t="s">
        <v>240</v>
      </c>
      <c r="DV36" s="5" t="s">
        <v>310</v>
      </c>
      <c r="DW36" s="5" t="s">
        <v>362</v>
      </c>
      <c r="HO36" s="5" t="s">
        <v>312</v>
      </c>
    </row>
    <row r="37" spans="1:223" x14ac:dyDescent="0.4">
      <c r="A37" s="5">
        <v>744</v>
      </c>
      <c r="B37" s="5">
        <v>1</v>
      </c>
      <c r="C37" s="5">
        <v>1</v>
      </c>
      <c r="D37" s="5" t="s">
        <v>1860</v>
      </c>
      <c r="E37" s="5" t="s">
        <v>418</v>
      </c>
      <c r="F37" s="5" t="s">
        <v>254</v>
      </c>
      <c r="G37" s="5" t="s">
        <v>240</v>
      </c>
      <c r="H37" s="6" t="s">
        <v>1898</v>
      </c>
      <c r="I37" s="5" t="s">
        <v>1889</v>
      </c>
      <c r="J37" s="8">
        <f>11103</f>
        <v>11103</v>
      </c>
      <c r="K37" s="5" t="s">
        <v>308</v>
      </c>
      <c r="L37" s="7">
        <f>24593145</f>
        <v>24593145</v>
      </c>
      <c r="M37" s="7">
        <f>24593145</f>
        <v>24593145</v>
      </c>
      <c r="N37" s="5" t="s">
        <v>242</v>
      </c>
      <c r="O37" s="5">
        <v>1</v>
      </c>
      <c r="P37" s="5" t="s">
        <v>294</v>
      </c>
      <c r="Q37" s="5" t="s">
        <v>266</v>
      </c>
      <c r="R37" s="5" t="s">
        <v>240</v>
      </c>
      <c r="S37" s="5" t="s">
        <v>240</v>
      </c>
      <c r="T37" s="5" t="s">
        <v>296</v>
      </c>
      <c r="U37" s="5" t="s">
        <v>244</v>
      </c>
      <c r="V37" s="5" t="s">
        <v>240</v>
      </c>
      <c r="Y37" s="5" t="s">
        <v>240</v>
      </c>
      <c r="Z37" s="6" t="s">
        <v>298</v>
      </c>
      <c r="AB37" s="6" t="s">
        <v>240</v>
      </c>
      <c r="AE37" s="6" t="s">
        <v>299</v>
      </c>
      <c r="AF37" s="5" t="s">
        <v>248</v>
      </c>
      <c r="AG37" s="5" t="s">
        <v>249</v>
      </c>
      <c r="AW37" s="5" t="s">
        <v>251</v>
      </c>
      <c r="AX37" s="5" t="s">
        <v>240</v>
      </c>
      <c r="AY37" s="5" t="s">
        <v>253</v>
      </c>
      <c r="AZ37" s="5" t="s">
        <v>240</v>
      </c>
      <c r="BA37" s="5" t="s">
        <v>255</v>
      </c>
      <c r="BB37" s="5" t="s">
        <v>240</v>
      </c>
      <c r="BD37" s="5" t="s">
        <v>240</v>
      </c>
      <c r="BF37" s="5" t="s">
        <v>301</v>
      </c>
      <c r="BG37" s="6" t="s">
        <v>299</v>
      </c>
      <c r="BH37" s="5" t="s">
        <v>302</v>
      </c>
      <c r="BI37" s="5" t="s">
        <v>303</v>
      </c>
      <c r="BJ37" s="5" t="s">
        <v>240</v>
      </c>
      <c r="BK37" s="8">
        <f>0</f>
        <v>0</v>
      </c>
      <c r="BL37" s="7">
        <f>0</f>
        <v>0</v>
      </c>
      <c r="BM37" s="5" t="s">
        <v>258</v>
      </c>
      <c r="BN37" s="5" t="s">
        <v>259</v>
      </c>
      <c r="CB37" s="5" t="s">
        <v>240</v>
      </c>
      <c r="CC37" s="5" t="s">
        <v>240</v>
      </c>
      <c r="CG37" s="5" t="s">
        <v>304</v>
      </c>
      <c r="CH37" s="5" t="s">
        <v>305</v>
      </c>
      <c r="CI37" s="5" t="s">
        <v>240</v>
      </c>
      <c r="CL37" s="6" t="s">
        <v>261</v>
      </c>
      <c r="CM37" s="5" t="s">
        <v>240</v>
      </c>
      <c r="CN37" s="5" t="s">
        <v>263</v>
      </c>
      <c r="CO37" s="5" t="s">
        <v>240</v>
      </c>
      <c r="CP37" s="5" t="s">
        <v>240</v>
      </c>
      <c r="CQ37" s="5">
        <v>0</v>
      </c>
      <c r="CR37" s="5" t="s">
        <v>306</v>
      </c>
      <c r="CS37" s="5" t="s">
        <v>307</v>
      </c>
      <c r="CT37" s="5" t="s">
        <v>307</v>
      </c>
      <c r="CU37" s="5" t="s">
        <v>260</v>
      </c>
      <c r="CX37" s="7">
        <f>1</f>
        <v>1</v>
      </c>
      <c r="CY37" s="7">
        <f>0</f>
        <v>0</v>
      </c>
      <c r="DA37" s="7">
        <f>0</f>
        <v>0</v>
      </c>
      <c r="DC37" s="5" t="s">
        <v>309</v>
      </c>
      <c r="DD37" s="5" t="s">
        <v>240</v>
      </c>
      <c r="DF37" s="5" t="s">
        <v>309</v>
      </c>
      <c r="DG37" s="7">
        <f>51</f>
        <v>51</v>
      </c>
      <c r="DI37" s="5" t="s">
        <v>240</v>
      </c>
      <c r="DJ37" s="5" t="s">
        <v>240</v>
      </c>
      <c r="DK37" s="5" t="s">
        <v>240</v>
      </c>
      <c r="DL37" s="5" t="s">
        <v>240</v>
      </c>
      <c r="DP37" s="5" t="s">
        <v>240</v>
      </c>
      <c r="DQ37" s="5" t="s">
        <v>240</v>
      </c>
      <c r="DR37" s="5" t="s">
        <v>240</v>
      </c>
      <c r="DS37" s="5" t="s">
        <v>240</v>
      </c>
      <c r="DV37" s="5" t="s">
        <v>310</v>
      </c>
      <c r="DW37" s="5" t="s">
        <v>364</v>
      </c>
      <c r="HO37" s="5" t="s">
        <v>312</v>
      </c>
    </row>
    <row r="38" spans="1:223" x14ac:dyDescent="0.4">
      <c r="A38" s="5">
        <v>745</v>
      </c>
      <c r="B38" s="5">
        <v>1</v>
      </c>
      <c r="C38" s="5">
        <v>1</v>
      </c>
      <c r="D38" s="5" t="s">
        <v>1860</v>
      </c>
      <c r="E38" s="5" t="s">
        <v>418</v>
      </c>
      <c r="F38" s="5" t="s">
        <v>254</v>
      </c>
      <c r="G38" s="5" t="s">
        <v>240</v>
      </c>
      <c r="H38" s="6" t="s">
        <v>1897</v>
      </c>
      <c r="I38" s="5" t="s">
        <v>1889</v>
      </c>
      <c r="J38" s="8">
        <f>2069</f>
        <v>2069</v>
      </c>
      <c r="K38" s="5" t="s">
        <v>308</v>
      </c>
      <c r="L38" s="7">
        <f>4582835</f>
        <v>4582835</v>
      </c>
      <c r="M38" s="7">
        <f>4582835</f>
        <v>4582835</v>
      </c>
      <c r="N38" s="5" t="s">
        <v>242</v>
      </c>
      <c r="O38" s="5">
        <v>1</v>
      </c>
      <c r="P38" s="5" t="s">
        <v>294</v>
      </c>
      <c r="Q38" s="5" t="s">
        <v>266</v>
      </c>
      <c r="R38" s="5" t="s">
        <v>240</v>
      </c>
      <c r="S38" s="5" t="s">
        <v>240</v>
      </c>
      <c r="T38" s="5" t="s">
        <v>296</v>
      </c>
      <c r="U38" s="5" t="s">
        <v>244</v>
      </c>
      <c r="V38" s="5" t="s">
        <v>240</v>
      </c>
      <c r="Y38" s="5" t="s">
        <v>240</v>
      </c>
      <c r="Z38" s="6" t="s">
        <v>298</v>
      </c>
      <c r="AB38" s="6" t="s">
        <v>240</v>
      </c>
      <c r="AE38" s="6" t="s">
        <v>299</v>
      </c>
      <c r="AF38" s="5" t="s">
        <v>248</v>
      </c>
      <c r="AG38" s="5" t="s">
        <v>249</v>
      </c>
      <c r="AW38" s="5" t="s">
        <v>251</v>
      </c>
      <c r="AX38" s="5" t="s">
        <v>240</v>
      </c>
      <c r="AY38" s="5" t="s">
        <v>253</v>
      </c>
      <c r="AZ38" s="5" t="s">
        <v>240</v>
      </c>
      <c r="BA38" s="5" t="s">
        <v>255</v>
      </c>
      <c r="BB38" s="5" t="s">
        <v>240</v>
      </c>
      <c r="BD38" s="5" t="s">
        <v>240</v>
      </c>
      <c r="BF38" s="5" t="s">
        <v>301</v>
      </c>
      <c r="BG38" s="6" t="s">
        <v>299</v>
      </c>
      <c r="BH38" s="5" t="s">
        <v>302</v>
      </c>
      <c r="BI38" s="5" t="s">
        <v>303</v>
      </c>
      <c r="BJ38" s="5" t="s">
        <v>240</v>
      </c>
      <c r="BK38" s="8">
        <f>0</f>
        <v>0</v>
      </c>
      <c r="BL38" s="7">
        <f>0</f>
        <v>0</v>
      </c>
      <c r="BM38" s="5" t="s">
        <v>258</v>
      </c>
      <c r="BN38" s="5" t="s">
        <v>259</v>
      </c>
      <c r="CB38" s="5" t="s">
        <v>240</v>
      </c>
      <c r="CC38" s="5" t="s">
        <v>240</v>
      </c>
      <c r="CG38" s="5" t="s">
        <v>304</v>
      </c>
      <c r="CH38" s="5" t="s">
        <v>305</v>
      </c>
      <c r="CI38" s="5" t="s">
        <v>240</v>
      </c>
      <c r="CL38" s="6" t="s">
        <v>261</v>
      </c>
      <c r="CM38" s="5" t="s">
        <v>240</v>
      </c>
      <c r="CN38" s="5" t="s">
        <v>263</v>
      </c>
      <c r="CO38" s="5" t="s">
        <v>240</v>
      </c>
      <c r="CP38" s="5" t="s">
        <v>240</v>
      </c>
      <c r="CQ38" s="5">
        <v>0</v>
      </c>
      <c r="CR38" s="5" t="s">
        <v>306</v>
      </c>
      <c r="CS38" s="5" t="s">
        <v>307</v>
      </c>
      <c r="CT38" s="5" t="s">
        <v>307</v>
      </c>
      <c r="CU38" s="5" t="s">
        <v>260</v>
      </c>
      <c r="CX38" s="7">
        <f>1</f>
        <v>1</v>
      </c>
      <c r="CY38" s="7">
        <f>0</f>
        <v>0</v>
      </c>
      <c r="DA38" s="7">
        <f>0</f>
        <v>0</v>
      </c>
      <c r="DC38" s="5" t="s">
        <v>309</v>
      </c>
      <c r="DD38" s="5" t="s">
        <v>240</v>
      </c>
      <c r="DF38" s="5" t="s">
        <v>309</v>
      </c>
      <c r="DG38" s="7">
        <f>266</f>
        <v>266</v>
      </c>
      <c r="DI38" s="5" t="s">
        <v>240</v>
      </c>
      <c r="DJ38" s="5" t="s">
        <v>240</v>
      </c>
      <c r="DK38" s="5" t="s">
        <v>240</v>
      </c>
      <c r="DL38" s="5" t="s">
        <v>240</v>
      </c>
      <c r="DP38" s="5" t="s">
        <v>240</v>
      </c>
      <c r="DQ38" s="5" t="s">
        <v>240</v>
      </c>
      <c r="DR38" s="5" t="s">
        <v>240</v>
      </c>
      <c r="DS38" s="5" t="s">
        <v>240</v>
      </c>
      <c r="DV38" s="5" t="s">
        <v>310</v>
      </c>
      <c r="DW38" s="5" t="s">
        <v>366</v>
      </c>
      <c r="HO38" s="5" t="s">
        <v>312</v>
      </c>
    </row>
    <row r="39" spans="1:223" x14ac:dyDescent="0.4">
      <c r="A39" s="5">
        <v>746</v>
      </c>
      <c r="B39" s="5">
        <v>1</v>
      </c>
      <c r="C39" s="5">
        <v>1</v>
      </c>
      <c r="D39" s="5" t="s">
        <v>1860</v>
      </c>
      <c r="E39" s="5" t="s">
        <v>418</v>
      </c>
      <c r="F39" s="5" t="s">
        <v>254</v>
      </c>
      <c r="G39" s="5" t="s">
        <v>240</v>
      </c>
      <c r="H39" s="6" t="s">
        <v>1896</v>
      </c>
      <c r="I39" s="5" t="s">
        <v>1889</v>
      </c>
      <c r="J39" s="8">
        <f>1739</f>
        <v>1739</v>
      </c>
      <c r="K39" s="5" t="s">
        <v>308</v>
      </c>
      <c r="L39" s="7">
        <f>3851885</f>
        <v>3851885</v>
      </c>
      <c r="M39" s="7">
        <f>3851885</f>
        <v>3851885</v>
      </c>
      <c r="N39" s="5" t="s">
        <v>242</v>
      </c>
      <c r="O39" s="5">
        <v>1</v>
      </c>
      <c r="P39" s="5" t="s">
        <v>294</v>
      </c>
      <c r="Q39" s="5" t="s">
        <v>266</v>
      </c>
      <c r="R39" s="5" t="s">
        <v>240</v>
      </c>
      <c r="S39" s="5" t="s">
        <v>240</v>
      </c>
      <c r="T39" s="5" t="s">
        <v>296</v>
      </c>
      <c r="U39" s="5" t="s">
        <v>244</v>
      </c>
      <c r="V39" s="5" t="s">
        <v>240</v>
      </c>
      <c r="Y39" s="5" t="s">
        <v>240</v>
      </c>
      <c r="Z39" s="6" t="s">
        <v>298</v>
      </c>
      <c r="AB39" s="6" t="s">
        <v>240</v>
      </c>
      <c r="AE39" s="6" t="s">
        <v>299</v>
      </c>
      <c r="AF39" s="5" t="s">
        <v>248</v>
      </c>
      <c r="AG39" s="5" t="s">
        <v>249</v>
      </c>
      <c r="AW39" s="5" t="s">
        <v>251</v>
      </c>
      <c r="AX39" s="5" t="s">
        <v>240</v>
      </c>
      <c r="AY39" s="5" t="s">
        <v>253</v>
      </c>
      <c r="AZ39" s="5" t="s">
        <v>240</v>
      </c>
      <c r="BA39" s="5" t="s">
        <v>255</v>
      </c>
      <c r="BB39" s="5" t="s">
        <v>240</v>
      </c>
      <c r="BD39" s="5" t="s">
        <v>240</v>
      </c>
      <c r="BF39" s="5" t="s">
        <v>301</v>
      </c>
      <c r="BG39" s="6" t="s">
        <v>299</v>
      </c>
      <c r="BH39" s="5" t="s">
        <v>302</v>
      </c>
      <c r="BI39" s="5" t="s">
        <v>303</v>
      </c>
      <c r="BJ39" s="5" t="s">
        <v>240</v>
      </c>
      <c r="BK39" s="8">
        <f>0</f>
        <v>0</v>
      </c>
      <c r="BL39" s="7">
        <f>0</f>
        <v>0</v>
      </c>
      <c r="BM39" s="5" t="s">
        <v>258</v>
      </c>
      <c r="BN39" s="5" t="s">
        <v>259</v>
      </c>
      <c r="CB39" s="5" t="s">
        <v>240</v>
      </c>
      <c r="CC39" s="5" t="s">
        <v>240</v>
      </c>
      <c r="CG39" s="5" t="s">
        <v>304</v>
      </c>
      <c r="CH39" s="5" t="s">
        <v>305</v>
      </c>
      <c r="CI39" s="5" t="s">
        <v>240</v>
      </c>
      <c r="CL39" s="6" t="s">
        <v>261</v>
      </c>
      <c r="CM39" s="5" t="s">
        <v>240</v>
      </c>
      <c r="CN39" s="5" t="s">
        <v>263</v>
      </c>
      <c r="CO39" s="5" t="s">
        <v>240</v>
      </c>
      <c r="CP39" s="5" t="s">
        <v>240</v>
      </c>
      <c r="CQ39" s="5">
        <v>0</v>
      </c>
      <c r="CR39" s="5" t="s">
        <v>306</v>
      </c>
      <c r="CS39" s="5" t="s">
        <v>307</v>
      </c>
      <c r="CT39" s="5" t="s">
        <v>307</v>
      </c>
      <c r="CU39" s="5" t="s">
        <v>260</v>
      </c>
      <c r="CX39" s="7">
        <f>1</f>
        <v>1</v>
      </c>
      <c r="CY39" s="7">
        <f>0</f>
        <v>0</v>
      </c>
      <c r="DA39" s="7">
        <f>0</f>
        <v>0</v>
      </c>
      <c r="DC39" s="5" t="s">
        <v>309</v>
      </c>
      <c r="DD39" s="5" t="s">
        <v>240</v>
      </c>
      <c r="DF39" s="5" t="s">
        <v>309</v>
      </c>
      <c r="DG39" s="7">
        <f>1430</f>
        <v>1430</v>
      </c>
      <c r="DI39" s="5" t="s">
        <v>240</v>
      </c>
      <c r="DJ39" s="5" t="s">
        <v>240</v>
      </c>
      <c r="DK39" s="5" t="s">
        <v>240</v>
      </c>
      <c r="DL39" s="5" t="s">
        <v>240</v>
      </c>
      <c r="DP39" s="5" t="s">
        <v>240</v>
      </c>
      <c r="DQ39" s="5" t="s">
        <v>240</v>
      </c>
      <c r="DR39" s="5" t="s">
        <v>240</v>
      </c>
      <c r="DS39" s="5" t="s">
        <v>240</v>
      </c>
      <c r="DV39" s="5" t="s">
        <v>310</v>
      </c>
      <c r="DW39" s="5" t="s">
        <v>368</v>
      </c>
      <c r="HO39" s="5" t="s">
        <v>312</v>
      </c>
    </row>
    <row r="40" spans="1:223" x14ac:dyDescent="0.4">
      <c r="A40" s="5">
        <v>747</v>
      </c>
      <c r="B40" s="5">
        <v>1</v>
      </c>
      <c r="C40" s="5">
        <v>1</v>
      </c>
      <c r="D40" s="5" t="s">
        <v>1860</v>
      </c>
      <c r="E40" s="5" t="s">
        <v>418</v>
      </c>
      <c r="F40" s="5" t="s">
        <v>254</v>
      </c>
      <c r="G40" s="5" t="s">
        <v>240</v>
      </c>
      <c r="H40" s="6" t="s">
        <v>4529</v>
      </c>
      <c r="I40" s="5" t="s">
        <v>1889</v>
      </c>
      <c r="J40" s="8">
        <f>670</f>
        <v>670</v>
      </c>
      <c r="K40" s="5" t="s">
        <v>308</v>
      </c>
      <c r="L40" s="7">
        <f>1484050</f>
        <v>1484050</v>
      </c>
      <c r="M40" s="7">
        <f>1484050</f>
        <v>1484050</v>
      </c>
      <c r="N40" s="5" t="s">
        <v>242</v>
      </c>
      <c r="O40" s="5">
        <v>1</v>
      </c>
      <c r="P40" s="5" t="s">
        <v>294</v>
      </c>
      <c r="Q40" s="5" t="s">
        <v>266</v>
      </c>
      <c r="R40" s="5" t="s">
        <v>240</v>
      </c>
      <c r="S40" s="5" t="s">
        <v>240</v>
      </c>
      <c r="T40" s="5" t="s">
        <v>296</v>
      </c>
      <c r="U40" s="5" t="s">
        <v>244</v>
      </c>
      <c r="V40" s="5" t="s">
        <v>240</v>
      </c>
      <c r="Y40" s="5" t="s">
        <v>240</v>
      </c>
      <c r="Z40" s="6" t="s">
        <v>298</v>
      </c>
      <c r="AB40" s="6" t="s">
        <v>240</v>
      </c>
      <c r="AE40" s="6" t="s">
        <v>299</v>
      </c>
      <c r="AF40" s="5" t="s">
        <v>248</v>
      </c>
      <c r="AG40" s="5" t="s">
        <v>249</v>
      </c>
      <c r="AW40" s="5" t="s">
        <v>251</v>
      </c>
      <c r="AX40" s="5" t="s">
        <v>240</v>
      </c>
      <c r="AY40" s="5" t="s">
        <v>253</v>
      </c>
      <c r="AZ40" s="5" t="s">
        <v>240</v>
      </c>
      <c r="BA40" s="5" t="s">
        <v>255</v>
      </c>
      <c r="BB40" s="5" t="s">
        <v>240</v>
      </c>
      <c r="BD40" s="5" t="s">
        <v>240</v>
      </c>
      <c r="BF40" s="5" t="s">
        <v>301</v>
      </c>
      <c r="BG40" s="6" t="s">
        <v>299</v>
      </c>
      <c r="BH40" s="5" t="s">
        <v>302</v>
      </c>
      <c r="BI40" s="5" t="s">
        <v>303</v>
      </c>
      <c r="BJ40" s="5" t="s">
        <v>240</v>
      </c>
      <c r="BK40" s="8">
        <f>0</f>
        <v>0</v>
      </c>
      <c r="BL40" s="7">
        <f>0</f>
        <v>0</v>
      </c>
      <c r="BM40" s="5" t="s">
        <v>258</v>
      </c>
      <c r="BN40" s="5" t="s">
        <v>259</v>
      </c>
      <c r="CB40" s="5" t="s">
        <v>240</v>
      </c>
      <c r="CC40" s="5" t="s">
        <v>240</v>
      </c>
      <c r="CG40" s="5" t="s">
        <v>304</v>
      </c>
      <c r="CH40" s="5" t="s">
        <v>305</v>
      </c>
      <c r="CI40" s="5" t="s">
        <v>240</v>
      </c>
      <c r="CL40" s="6" t="s">
        <v>261</v>
      </c>
      <c r="CM40" s="5" t="s">
        <v>240</v>
      </c>
      <c r="CN40" s="5" t="s">
        <v>263</v>
      </c>
      <c r="CO40" s="5" t="s">
        <v>240</v>
      </c>
      <c r="CP40" s="5" t="s">
        <v>240</v>
      </c>
      <c r="CQ40" s="5">
        <v>0</v>
      </c>
      <c r="CR40" s="5" t="s">
        <v>306</v>
      </c>
      <c r="CS40" s="5" t="s">
        <v>307</v>
      </c>
      <c r="CT40" s="5" t="s">
        <v>307</v>
      </c>
      <c r="CU40" s="5" t="s">
        <v>260</v>
      </c>
      <c r="CX40" s="7">
        <f>1</f>
        <v>1</v>
      </c>
      <c r="CY40" s="7">
        <f>0</f>
        <v>0</v>
      </c>
      <c r="DA40" s="7">
        <f>0</f>
        <v>0</v>
      </c>
      <c r="DC40" s="5" t="s">
        <v>309</v>
      </c>
      <c r="DD40" s="5" t="s">
        <v>240</v>
      </c>
      <c r="DF40" s="5" t="s">
        <v>309</v>
      </c>
      <c r="DG40" s="7">
        <f>650</f>
        <v>650</v>
      </c>
      <c r="DI40" s="5" t="s">
        <v>240</v>
      </c>
      <c r="DJ40" s="5" t="s">
        <v>240</v>
      </c>
      <c r="DK40" s="5" t="s">
        <v>240</v>
      </c>
      <c r="DL40" s="5" t="s">
        <v>240</v>
      </c>
      <c r="DP40" s="5" t="s">
        <v>240</v>
      </c>
      <c r="DQ40" s="5" t="s">
        <v>240</v>
      </c>
      <c r="DR40" s="5" t="s">
        <v>240</v>
      </c>
      <c r="DS40" s="5" t="s">
        <v>240</v>
      </c>
      <c r="DV40" s="5" t="s">
        <v>310</v>
      </c>
      <c r="DW40" s="5" t="s">
        <v>370</v>
      </c>
      <c r="HO40" s="5" t="s">
        <v>312</v>
      </c>
    </row>
    <row r="41" spans="1:223" x14ac:dyDescent="0.4">
      <c r="A41" s="5">
        <v>748</v>
      </c>
      <c r="B41" s="5">
        <v>1</v>
      </c>
      <c r="C41" s="5">
        <v>1</v>
      </c>
      <c r="D41" s="5" t="s">
        <v>1860</v>
      </c>
      <c r="E41" s="5" t="s">
        <v>418</v>
      </c>
      <c r="F41" s="5" t="s">
        <v>254</v>
      </c>
      <c r="G41" s="5" t="s">
        <v>240</v>
      </c>
      <c r="H41" s="6" t="s">
        <v>1892</v>
      </c>
      <c r="I41" s="5" t="s">
        <v>1889</v>
      </c>
      <c r="J41" s="8">
        <f>448</f>
        <v>448</v>
      </c>
      <c r="K41" s="5" t="s">
        <v>308</v>
      </c>
      <c r="L41" s="7">
        <f>992320</f>
        <v>992320</v>
      </c>
      <c r="M41" s="7">
        <f>992320</f>
        <v>992320</v>
      </c>
      <c r="N41" s="5" t="s">
        <v>242</v>
      </c>
      <c r="O41" s="5">
        <v>1</v>
      </c>
      <c r="P41" s="5" t="s">
        <v>294</v>
      </c>
      <c r="Q41" s="5" t="s">
        <v>266</v>
      </c>
      <c r="R41" s="5" t="s">
        <v>240</v>
      </c>
      <c r="S41" s="5" t="s">
        <v>240</v>
      </c>
      <c r="T41" s="5" t="s">
        <v>296</v>
      </c>
      <c r="U41" s="5" t="s">
        <v>244</v>
      </c>
      <c r="V41" s="5" t="s">
        <v>240</v>
      </c>
      <c r="Y41" s="5" t="s">
        <v>240</v>
      </c>
      <c r="Z41" s="6" t="s">
        <v>298</v>
      </c>
      <c r="AB41" s="6" t="s">
        <v>240</v>
      </c>
      <c r="AE41" s="6" t="s">
        <v>299</v>
      </c>
      <c r="AF41" s="5" t="s">
        <v>248</v>
      </c>
      <c r="AG41" s="5" t="s">
        <v>249</v>
      </c>
      <c r="AW41" s="5" t="s">
        <v>251</v>
      </c>
      <c r="AX41" s="5" t="s">
        <v>240</v>
      </c>
      <c r="AY41" s="5" t="s">
        <v>253</v>
      </c>
      <c r="AZ41" s="5" t="s">
        <v>240</v>
      </c>
      <c r="BA41" s="5" t="s">
        <v>255</v>
      </c>
      <c r="BB41" s="5" t="s">
        <v>240</v>
      </c>
      <c r="BD41" s="5" t="s">
        <v>240</v>
      </c>
      <c r="BF41" s="5" t="s">
        <v>301</v>
      </c>
      <c r="BG41" s="6" t="s">
        <v>299</v>
      </c>
      <c r="BH41" s="5" t="s">
        <v>302</v>
      </c>
      <c r="BI41" s="5" t="s">
        <v>303</v>
      </c>
      <c r="BJ41" s="5" t="s">
        <v>240</v>
      </c>
      <c r="BK41" s="8">
        <f>0</f>
        <v>0</v>
      </c>
      <c r="BL41" s="7">
        <f>0</f>
        <v>0</v>
      </c>
      <c r="BM41" s="5" t="s">
        <v>258</v>
      </c>
      <c r="BN41" s="5" t="s">
        <v>259</v>
      </c>
      <c r="CB41" s="5" t="s">
        <v>240</v>
      </c>
      <c r="CC41" s="5" t="s">
        <v>240</v>
      </c>
      <c r="CG41" s="5" t="s">
        <v>304</v>
      </c>
      <c r="CH41" s="5" t="s">
        <v>305</v>
      </c>
      <c r="CI41" s="5" t="s">
        <v>240</v>
      </c>
      <c r="CL41" s="6" t="s">
        <v>261</v>
      </c>
      <c r="CM41" s="5" t="s">
        <v>240</v>
      </c>
      <c r="CN41" s="5" t="s">
        <v>263</v>
      </c>
      <c r="CO41" s="5" t="s">
        <v>240</v>
      </c>
      <c r="CP41" s="5" t="s">
        <v>240</v>
      </c>
      <c r="CQ41" s="5">
        <v>0</v>
      </c>
      <c r="CR41" s="5" t="s">
        <v>306</v>
      </c>
      <c r="CS41" s="5" t="s">
        <v>307</v>
      </c>
      <c r="CT41" s="5" t="s">
        <v>307</v>
      </c>
      <c r="CU41" s="5" t="s">
        <v>260</v>
      </c>
      <c r="CX41" s="7">
        <f>1</f>
        <v>1</v>
      </c>
      <c r="CY41" s="7">
        <f>0</f>
        <v>0</v>
      </c>
      <c r="DA41" s="7">
        <f>0</f>
        <v>0</v>
      </c>
      <c r="DC41" s="5" t="s">
        <v>309</v>
      </c>
      <c r="DD41" s="5" t="s">
        <v>240</v>
      </c>
      <c r="DF41" s="5" t="s">
        <v>309</v>
      </c>
      <c r="DG41" s="7">
        <f>90</f>
        <v>90</v>
      </c>
      <c r="DI41" s="5" t="s">
        <v>240</v>
      </c>
      <c r="DJ41" s="5" t="s">
        <v>240</v>
      </c>
      <c r="DK41" s="5" t="s">
        <v>240</v>
      </c>
      <c r="DL41" s="5" t="s">
        <v>240</v>
      </c>
      <c r="DP41" s="5" t="s">
        <v>240</v>
      </c>
      <c r="DQ41" s="5" t="s">
        <v>240</v>
      </c>
      <c r="DR41" s="5" t="s">
        <v>240</v>
      </c>
      <c r="DS41" s="5" t="s">
        <v>240</v>
      </c>
      <c r="DV41" s="5" t="s">
        <v>310</v>
      </c>
      <c r="DW41" s="5" t="s">
        <v>372</v>
      </c>
      <c r="HO41" s="5" t="s">
        <v>312</v>
      </c>
    </row>
    <row r="42" spans="1:223" x14ac:dyDescent="0.4">
      <c r="A42" s="5">
        <v>749</v>
      </c>
      <c r="B42" s="5">
        <v>1</v>
      </c>
      <c r="C42" s="5">
        <v>1</v>
      </c>
      <c r="D42" s="5" t="s">
        <v>1860</v>
      </c>
      <c r="E42" s="5" t="s">
        <v>418</v>
      </c>
      <c r="F42" s="5" t="s">
        <v>254</v>
      </c>
      <c r="G42" s="5" t="s">
        <v>240</v>
      </c>
      <c r="H42" s="6" t="s">
        <v>1891</v>
      </c>
      <c r="I42" s="5" t="s">
        <v>1889</v>
      </c>
      <c r="J42" s="8">
        <f>458</f>
        <v>458</v>
      </c>
      <c r="K42" s="5" t="s">
        <v>308</v>
      </c>
      <c r="L42" s="7">
        <f>1014470</f>
        <v>1014470</v>
      </c>
      <c r="M42" s="7">
        <f>1014470</f>
        <v>1014470</v>
      </c>
      <c r="N42" s="5" t="s">
        <v>242</v>
      </c>
      <c r="O42" s="5">
        <v>1</v>
      </c>
      <c r="P42" s="5" t="s">
        <v>294</v>
      </c>
      <c r="Q42" s="5" t="s">
        <v>266</v>
      </c>
      <c r="R42" s="5" t="s">
        <v>240</v>
      </c>
      <c r="S42" s="5" t="s">
        <v>240</v>
      </c>
      <c r="T42" s="5" t="s">
        <v>296</v>
      </c>
      <c r="U42" s="5" t="s">
        <v>244</v>
      </c>
      <c r="V42" s="5" t="s">
        <v>240</v>
      </c>
      <c r="Y42" s="5" t="s">
        <v>240</v>
      </c>
      <c r="Z42" s="6" t="s">
        <v>298</v>
      </c>
      <c r="AB42" s="6" t="s">
        <v>240</v>
      </c>
      <c r="AE42" s="6" t="s">
        <v>299</v>
      </c>
      <c r="AF42" s="5" t="s">
        <v>248</v>
      </c>
      <c r="AG42" s="5" t="s">
        <v>249</v>
      </c>
      <c r="AW42" s="5" t="s">
        <v>251</v>
      </c>
      <c r="AX42" s="5" t="s">
        <v>240</v>
      </c>
      <c r="AY42" s="5" t="s">
        <v>253</v>
      </c>
      <c r="AZ42" s="5" t="s">
        <v>240</v>
      </c>
      <c r="BA42" s="5" t="s">
        <v>255</v>
      </c>
      <c r="BB42" s="5" t="s">
        <v>240</v>
      </c>
      <c r="BD42" s="5" t="s">
        <v>240</v>
      </c>
      <c r="BF42" s="5" t="s">
        <v>301</v>
      </c>
      <c r="BG42" s="6" t="s">
        <v>299</v>
      </c>
      <c r="BH42" s="5" t="s">
        <v>302</v>
      </c>
      <c r="BI42" s="5" t="s">
        <v>303</v>
      </c>
      <c r="BJ42" s="5" t="s">
        <v>240</v>
      </c>
      <c r="BK42" s="8">
        <f>0</f>
        <v>0</v>
      </c>
      <c r="BL42" s="7">
        <f>0</f>
        <v>0</v>
      </c>
      <c r="BM42" s="5" t="s">
        <v>258</v>
      </c>
      <c r="BN42" s="5" t="s">
        <v>259</v>
      </c>
      <c r="CB42" s="5" t="s">
        <v>240</v>
      </c>
      <c r="CC42" s="5" t="s">
        <v>240</v>
      </c>
      <c r="CG42" s="5" t="s">
        <v>304</v>
      </c>
      <c r="CH42" s="5" t="s">
        <v>305</v>
      </c>
      <c r="CI42" s="5" t="s">
        <v>240</v>
      </c>
      <c r="CL42" s="6" t="s">
        <v>261</v>
      </c>
      <c r="CM42" s="5" t="s">
        <v>240</v>
      </c>
      <c r="CN42" s="5" t="s">
        <v>263</v>
      </c>
      <c r="CO42" s="5" t="s">
        <v>240</v>
      </c>
      <c r="CP42" s="5" t="s">
        <v>240</v>
      </c>
      <c r="CQ42" s="5">
        <v>0</v>
      </c>
      <c r="CR42" s="5" t="s">
        <v>306</v>
      </c>
      <c r="CS42" s="5" t="s">
        <v>307</v>
      </c>
      <c r="CT42" s="5" t="s">
        <v>307</v>
      </c>
      <c r="CU42" s="5" t="s">
        <v>260</v>
      </c>
      <c r="CX42" s="7">
        <f>1</f>
        <v>1</v>
      </c>
      <c r="CY42" s="7">
        <f>0</f>
        <v>0</v>
      </c>
      <c r="DA42" s="7">
        <f>0</f>
        <v>0</v>
      </c>
      <c r="DC42" s="5" t="s">
        <v>309</v>
      </c>
      <c r="DD42" s="5" t="s">
        <v>240</v>
      </c>
      <c r="DF42" s="5" t="s">
        <v>309</v>
      </c>
      <c r="DG42" s="7">
        <f>93</f>
        <v>93</v>
      </c>
      <c r="DI42" s="5" t="s">
        <v>240</v>
      </c>
      <c r="DJ42" s="5" t="s">
        <v>240</v>
      </c>
      <c r="DK42" s="5" t="s">
        <v>240</v>
      </c>
      <c r="DL42" s="5" t="s">
        <v>240</v>
      </c>
      <c r="DP42" s="5" t="s">
        <v>240</v>
      </c>
      <c r="DQ42" s="5" t="s">
        <v>240</v>
      </c>
      <c r="DR42" s="5" t="s">
        <v>240</v>
      </c>
      <c r="DS42" s="5" t="s">
        <v>240</v>
      </c>
      <c r="DV42" s="5" t="s">
        <v>310</v>
      </c>
      <c r="DW42" s="5" t="s">
        <v>374</v>
      </c>
      <c r="HO42" s="5" t="s">
        <v>312</v>
      </c>
    </row>
    <row r="43" spans="1:223" x14ac:dyDescent="0.4">
      <c r="A43" s="5">
        <v>750</v>
      </c>
      <c r="B43" s="5">
        <v>1</v>
      </c>
      <c r="C43" s="5">
        <v>1</v>
      </c>
      <c r="D43" s="5" t="s">
        <v>1860</v>
      </c>
      <c r="E43" s="5" t="s">
        <v>418</v>
      </c>
      <c r="F43" s="5" t="s">
        <v>254</v>
      </c>
      <c r="G43" s="5" t="s">
        <v>240</v>
      </c>
      <c r="H43" s="6" t="s">
        <v>1861</v>
      </c>
      <c r="I43" s="5" t="s">
        <v>1889</v>
      </c>
      <c r="J43" s="8">
        <f>278</f>
        <v>278</v>
      </c>
      <c r="K43" s="5" t="s">
        <v>308</v>
      </c>
      <c r="L43" s="7">
        <f>136220</f>
        <v>136220</v>
      </c>
      <c r="M43" s="7">
        <f>136220</f>
        <v>136220</v>
      </c>
      <c r="N43" s="5" t="s">
        <v>242</v>
      </c>
      <c r="O43" s="5">
        <v>1</v>
      </c>
      <c r="P43" s="5" t="s">
        <v>294</v>
      </c>
      <c r="Q43" s="5" t="s">
        <v>266</v>
      </c>
      <c r="R43" s="5" t="s">
        <v>240</v>
      </c>
      <c r="S43" s="5" t="s">
        <v>240</v>
      </c>
      <c r="T43" s="5" t="s">
        <v>296</v>
      </c>
      <c r="U43" s="5" t="s">
        <v>244</v>
      </c>
      <c r="V43" s="5" t="s">
        <v>240</v>
      </c>
      <c r="Y43" s="5" t="s">
        <v>240</v>
      </c>
      <c r="Z43" s="6" t="s">
        <v>298</v>
      </c>
      <c r="AB43" s="6" t="s">
        <v>240</v>
      </c>
      <c r="AE43" s="6" t="s">
        <v>299</v>
      </c>
      <c r="AF43" s="5" t="s">
        <v>248</v>
      </c>
      <c r="AG43" s="5" t="s">
        <v>249</v>
      </c>
      <c r="AW43" s="5" t="s">
        <v>251</v>
      </c>
      <c r="AX43" s="5" t="s">
        <v>240</v>
      </c>
      <c r="AY43" s="5" t="s">
        <v>253</v>
      </c>
      <c r="AZ43" s="5" t="s">
        <v>240</v>
      </c>
      <c r="BA43" s="5" t="s">
        <v>255</v>
      </c>
      <c r="BB43" s="5" t="s">
        <v>240</v>
      </c>
      <c r="BD43" s="5" t="s">
        <v>240</v>
      </c>
      <c r="BF43" s="5" t="s">
        <v>301</v>
      </c>
      <c r="BG43" s="6" t="s">
        <v>299</v>
      </c>
      <c r="BH43" s="5" t="s">
        <v>302</v>
      </c>
      <c r="BI43" s="5" t="s">
        <v>303</v>
      </c>
      <c r="BJ43" s="5" t="s">
        <v>240</v>
      </c>
      <c r="BK43" s="8">
        <f>0</f>
        <v>0</v>
      </c>
      <c r="BL43" s="7">
        <f>0</f>
        <v>0</v>
      </c>
      <c r="BM43" s="5" t="s">
        <v>258</v>
      </c>
      <c r="BN43" s="5" t="s">
        <v>259</v>
      </c>
      <c r="CB43" s="5" t="s">
        <v>240</v>
      </c>
      <c r="CC43" s="5" t="s">
        <v>240</v>
      </c>
      <c r="CG43" s="5" t="s">
        <v>304</v>
      </c>
      <c r="CH43" s="5" t="s">
        <v>305</v>
      </c>
      <c r="CI43" s="5" t="s">
        <v>240</v>
      </c>
      <c r="CL43" s="6" t="s">
        <v>261</v>
      </c>
      <c r="CM43" s="5" t="s">
        <v>240</v>
      </c>
      <c r="CN43" s="5" t="s">
        <v>263</v>
      </c>
      <c r="CO43" s="5" t="s">
        <v>240</v>
      </c>
      <c r="CP43" s="5" t="s">
        <v>240</v>
      </c>
      <c r="CQ43" s="5">
        <v>0</v>
      </c>
      <c r="CR43" s="5" t="s">
        <v>306</v>
      </c>
      <c r="CS43" s="5" t="s">
        <v>307</v>
      </c>
      <c r="CT43" s="5" t="s">
        <v>307</v>
      </c>
      <c r="CU43" s="5" t="s">
        <v>260</v>
      </c>
      <c r="CX43" s="7">
        <f>1</f>
        <v>1</v>
      </c>
      <c r="CY43" s="7">
        <f>0</f>
        <v>0</v>
      </c>
      <c r="DA43" s="7">
        <f>0</f>
        <v>0</v>
      </c>
      <c r="DC43" s="5" t="s">
        <v>309</v>
      </c>
      <c r="DD43" s="5" t="s">
        <v>240</v>
      </c>
      <c r="DF43" s="5" t="s">
        <v>309</v>
      </c>
      <c r="DG43" s="7">
        <f>912</f>
        <v>912</v>
      </c>
      <c r="DI43" s="5" t="s">
        <v>240</v>
      </c>
      <c r="DJ43" s="5" t="s">
        <v>240</v>
      </c>
      <c r="DK43" s="5" t="s">
        <v>240</v>
      </c>
      <c r="DL43" s="5" t="s">
        <v>240</v>
      </c>
      <c r="DP43" s="5" t="s">
        <v>240</v>
      </c>
      <c r="DQ43" s="5" t="s">
        <v>240</v>
      </c>
      <c r="DR43" s="5" t="s">
        <v>240</v>
      </c>
      <c r="DS43" s="5" t="s">
        <v>240</v>
      </c>
      <c r="DV43" s="5" t="s">
        <v>310</v>
      </c>
      <c r="DW43" s="5" t="s">
        <v>376</v>
      </c>
      <c r="HO43" s="5" t="s">
        <v>312</v>
      </c>
    </row>
    <row r="44" spans="1:223" x14ac:dyDescent="0.4">
      <c r="A44" s="5">
        <v>751</v>
      </c>
      <c r="B44" s="5">
        <v>1</v>
      </c>
      <c r="C44" s="5">
        <v>1</v>
      </c>
      <c r="D44" s="5" t="s">
        <v>1860</v>
      </c>
      <c r="E44" s="5" t="s">
        <v>1131</v>
      </c>
      <c r="F44" s="5" t="s">
        <v>254</v>
      </c>
      <c r="G44" s="5" t="s">
        <v>1887</v>
      </c>
      <c r="H44" s="6" t="s">
        <v>1888</v>
      </c>
      <c r="I44" s="5" t="s">
        <v>1859</v>
      </c>
      <c r="J44" s="8">
        <f>3062</f>
        <v>3062</v>
      </c>
      <c r="K44" s="5" t="s">
        <v>308</v>
      </c>
      <c r="L44" s="7">
        <f>6782330</f>
        <v>6782330</v>
      </c>
      <c r="M44" s="7">
        <f>6782330</f>
        <v>6782330</v>
      </c>
      <c r="N44" s="5" t="s">
        <v>242</v>
      </c>
      <c r="O44" s="5">
        <v>1</v>
      </c>
      <c r="P44" s="5" t="s">
        <v>294</v>
      </c>
      <c r="Q44" s="5" t="s">
        <v>266</v>
      </c>
      <c r="R44" s="5" t="s">
        <v>240</v>
      </c>
      <c r="S44" s="5" t="s">
        <v>240</v>
      </c>
      <c r="T44" s="5" t="s">
        <v>296</v>
      </c>
      <c r="U44" s="5" t="s">
        <v>244</v>
      </c>
      <c r="V44" s="5" t="s">
        <v>240</v>
      </c>
      <c r="Y44" s="5" t="s">
        <v>240</v>
      </c>
      <c r="Z44" s="6" t="s">
        <v>298</v>
      </c>
      <c r="AB44" s="6" t="s">
        <v>240</v>
      </c>
      <c r="AE44" s="6" t="s">
        <v>299</v>
      </c>
      <c r="AF44" s="5" t="s">
        <v>248</v>
      </c>
      <c r="AG44" s="5" t="s">
        <v>249</v>
      </c>
      <c r="AW44" s="5" t="s">
        <v>251</v>
      </c>
      <c r="AX44" s="5" t="s">
        <v>240</v>
      </c>
      <c r="AY44" s="5" t="s">
        <v>253</v>
      </c>
      <c r="AZ44" s="5" t="s">
        <v>240</v>
      </c>
      <c r="BA44" s="5" t="s">
        <v>255</v>
      </c>
      <c r="BB44" s="5" t="s">
        <v>240</v>
      </c>
      <c r="BD44" s="5" t="s">
        <v>240</v>
      </c>
      <c r="BF44" s="5" t="s">
        <v>301</v>
      </c>
      <c r="BG44" s="6" t="s">
        <v>299</v>
      </c>
      <c r="BH44" s="5" t="s">
        <v>302</v>
      </c>
      <c r="BI44" s="5" t="s">
        <v>303</v>
      </c>
      <c r="BJ44" s="5" t="s">
        <v>240</v>
      </c>
      <c r="BK44" s="8">
        <f>0</f>
        <v>0</v>
      </c>
      <c r="BL44" s="7">
        <f>0</f>
        <v>0</v>
      </c>
      <c r="BM44" s="5" t="s">
        <v>258</v>
      </c>
      <c r="BN44" s="5" t="s">
        <v>259</v>
      </c>
      <c r="CB44" s="5" t="s">
        <v>240</v>
      </c>
      <c r="CC44" s="5" t="s">
        <v>240</v>
      </c>
      <c r="CG44" s="5" t="s">
        <v>304</v>
      </c>
      <c r="CH44" s="5" t="s">
        <v>305</v>
      </c>
      <c r="CI44" s="5" t="s">
        <v>240</v>
      </c>
      <c r="CL44" s="6" t="s">
        <v>261</v>
      </c>
      <c r="CM44" s="5" t="s">
        <v>240</v>
      </c>
      <c r="CN44" s="5" t="s">
        <v>263</v>
      </c>
      <c r="CO44" s="5" t="s">
        <v>240</v>
      </c>
      <c r="CP44" s="5" t="s">
        <v>240</v>
      </c>
      <c r="CQ44" s="5">
        <v>0</v>
      </c>
      <c r="CR44" s="5" t="s">
        <v>306</v>
      </c>
      <c r="CS44" s="5" t="s">
        <v>307</v>
      </c>
      <c r="CT44" s="5" t="s">
        <v>307</v>
      </c>
      <c r="CU44" s="5" t="s">
        <v>260</v>
      </c>
      <c r="CX44" s="7">
        <f>1</f>
        <v>1</v>
      </c>
      <c r="CY44" s="7">
        <f>0</f>
        <v>0</v>
      </c>
      <c r="DA44" s="7">
        <f>0</f>
        <v>0</v>
      </c>
      <c r="DC44" s="5" t="s">
        <v>309</v>
      </c>
      <c r="DD44" s="5" t="s">
        <v>240</v>
      </c>
      <c r="DF44" s="5" t="s">
        <v>309</v>
      </c>
      <c r="DG44" s="7">
        <f>1557</f>
        <v>1557</v>
      </c>
      <c r="DI44" s="5" t="s">
        <v>240</v>
      </c>
      <c r="DJ44" s="5" t="s">
        <v>240</v>
      </c>
      <c r="DK44" s="5" t="s">
        <v>240</v>
      </c>
      <c r="DL44" s="5" t="s">
        <v>240</v>
      </c>
      <c r="DP44" s="5" t="s">
        <v>240</v>
      </c>
      <c r="DQ44" s="5" t="s">
        <v>240</v>
      </c>
      <c r="DR44" s="5" t="s">
        <v>240</v>
      </c>
      <c r="DS44" s="5" t="s">
        <v>240</v>
      </c>
      <c r="DV44" s="5" t="s">
        <v>310</v>
      </c>
      <c r="DW44" s="5" t="s">
        <v>378</v>
      </c>
      <c r="HO44" s="5" t="s">
        <v>312</v>
      </c>
    </row>
    <row r="45" spans="1:223" x14ac:dyDescent="0.4">
      <c r="A45" s="5">
        <v>752</v>
      </c>
      <c r="B45" s="5">
        <v>1</v>
      </c>
      <c r="C45" s="5">
        <v>1</v>
      </c>
      <c r="D45" s="5" t="s">
        <v>1860</v>
      </c>
      <c r="E45" s="5" t="s">
        <v>1131</v>
      </c>
      <c r="F45" s="5" t="s">
        <v>254</v>
      </c>
      <c r="G45" s="5" t="s">
        <v>240</v>
      </c>
      <c r="H45" s="6" t="s">
        <v>1886</v>
      </c>
      <c r="I45" s="5" t="s">
        <v>1859</v>
      </c>
      <c r="J45" s="8">
        <f>862</f>
        <v>862</v>
      </c>
      <c r="K45" s="5" t="s">
        <v>308</v>
      </c>
      <c r="L45" s="7">
        <f>1909330</f>
        <v>1909330</v>
      </c>
      <c r="M45" s="7">
        <f>1909330</f>
        <v>1909330</v>
      </c>
      <c r="N45" s="5" t="s">
        <v>242</v>
      </c>
      <c r="O45" s="5">
        <v>1</v>
      </c>
      <c r="P45" s="5" t="s">
        <v>294</v>
      </c>
      <c r="Q45" s="5" t="s">
        <v>266</v>
      </c>
      <c r="R45" s="5" t="s">
        <v>240</v>
      </c>
      <c r="S45" s="5" t="s">
        <v>240</v>
      </c>
      <c r="T45" s="5" t="s">
        <v>296</v>
      </c>
      <c r="U45" s="5" t="s">
        <v>244</v>
      </c>
      <c r="V45" s="5" t="s">
        <v>240</v>
      </c>
      <c r="Y45" s="5" t="s">
        <v>240</v>
      </c>
      <c r="Z45" s="6" t="s">
        <v>298</v>
      </c>
      <c r="AB45" s="6" t="s">
        <v>240</v>
      </c>
      <c r="AE45" s="6" t="s">
        <v>299</v>
      </c>
      <c r="AF45" s="5" t="s">
        <v>248</v>
      </c>
      <c r="AG45" s="5" t="s">
        <v>249</v>
      </c>
      <c r="AW45" s="5" t="s">
        <v>251</v>
      </c>
      <c r="AX45" s="5" t="s">
        <v>240</v>
      </c>
      <c r="AY45" s="5" t="s">
        <v>253</v>
      </c>
      <c r="AZ45" s="5" t="s">
        <v>240</v>
      </c>
      <c r="BA45" s="5" t="s">
        <v>255</v>
      </c>
      <c r="BB45" s="5" t="s">
        <v>240</v>
      </c>
      <c r="BD45" s="5" t="s">
        <v>240</v>
      </c>
      <c r="BF45" s="5" t="s">
        <v>301</v>
      </c>
      <c r="BG45" s="6" t="s">
        <v>299</v>
      </c>
      <c r="BH45" s="5" t="s">
        <v>302</v>
      </c>
      <c r="BI45" s="5" t="s">
        <v>303</v>
      </c>
      <c r="BJ45" s="5" t="s">
        <v>240</v>
      </c>
      <c r="BK45" s="8">
        <f>0</f>
        <v>0</v>
      </c>
      <c r="BL45" s="7">
        <f>0</f>
        <v>0</v>
      </c>
      <c r="BM45" s="5" t="s">
        <v>258</v>
      </c>
      <c r="BN45" s="5" t="s">
        <v>259</v>
      </c>
      <c r="CB45" s="5" t="s">
        <v>240</v>
      </c>
      <c r="CC45" s="5" t="s">
        <v>240</v>
      </c>
      <c r="CG45" s="5" t="s">
        <v>304</v>
      </c>
      <c r="CH45" s="5" t="s">
        <v>305</v>
      </c>
      <c r="CI45" s="5" t="s">
        <v>240</v>
      </c>
      <c r="CL45" s="6" t="s">
        <v>261</v>
      </c>
      <c r="CM45" s="5" t="s">
        <v>240</v>
      </c>
      <c r="CN45" s="5" t="s">
        <v>263</v>
      </c>
      <c r="CO45" s="5" t="s">
        <v>240</v>
      </c>
      <c r="CP45" s="5" t="s">
        <v>240</v>
      </c>
      <c r="CQ45" s="5">
        <v>0</v>
      </c>
      <c r="CR45" s="5" t="s">
        <v>306</v>
      </c>
      <c r="CS45" s="5" t="s">
        <v>307</v>
      </c>
      <c r="CT45" s="5" t="s">
        <v>307</v>
      </c>
      <c r="CU45" s="5" t="s">
        <v>260</v>
      </c>
      <c r="CX45" s="7">
        <f>1</f>
        <v>1</v>
      </c>
      <c r="CY45" s="7">
        <f>0</f>
        <v>0</v>
      </c>
      <c r="DA45" s="7">
        <f>0</f>
        <v>0</v>
      </c>
      <c r="DC45" s="5" t="s">
        <v>309</v>
      </c>
      <c r="DD45" s="5" t="s">
        <v>240</v>
      </c>
      <c r="DF45" s="5" t="s">
        <v>309</v>
      </c>
      <c r="DG45" s="7">
        <f>281</f>
        <v>281</v>
      </c>
      <c r="DI45" s="5" t="s">
        <v>240</v>
      </c>
      <c r="DJ45" s="5" t="s">
        <v>240</v>
      </c>
      <c r="DK45" s="5" t="s">
        <v>240</v>
      </c>
      <c r="DL45" s="5" t="s">
        <v>240</v>
      </c>
      <c r="DP45" s="5" t="s">
        <v>240</v>
      </c>
      <c r="DQ45" s="5" t="s">
        <v>240</v>
      </c>
      <c r="DR45" s="5" t="s">
        <v>240</v>
      </c>
      <c r="DS45" s="5" t="s">
        <v>240</v>
      </c>
      <c r="DV45" s="5" t="s">
        <v>310</v>
      </c>
      <c r="DW45" s="5" t="s">
        <v>380</v>
      </c>
      <c r="HO45" s="5" t="s">
        <v>312</v>
      </c>
    </row>
    <row r="46" spans="1:223" x14ac:dyDescent="0.4">
      <c r="A46" s="5">
        <v>753</v>
      </c>
      <c r="B46" s="5">
        <v>1</v>
      </c>
      <c r="C46" s="5">
        <v>1</v>
      </c>
      <c r="D46" s="5" t="s">
        <v>1860</v>
      </c>
      <c r="E46" s="5" t="s">
        <v>1131</v>
      </c>
      <c r="F46" s="5" t="s">
        <v>254</v>
      </c>
      <c r="G46" s="5" t="s">
        <v>240</v>
      </c>
      <c r="H46" s="6" t="s">
        <v>1885</v>
      </c>
      <c r="I46" s="5" t="s">
        <v>1859</v>
      </c>
      <c r="J46" s="8">
        <f>74</f>
        <v>74</v>
      </c>
      <c r="K46" s="5" t="s">
        <v>308</v>
      </c>
      <c r="L46" s="7">
        <f>163910</f>
        <v>163910</v>
      </c>
      <c r="M46" s="7">
        <f>163910</f>
        <v>163910</v>
      </c>
      <c r="N46" s="5" t="s">
        <v>242</v>
      </c>
      <c r="O46" s="5">
        <v>1</v>
      </c>
      <c r="P46" s="5" t="s">
        <v>294</v>
      </c>
      <c r="Q46" s="5" t="s">
        <v>266</v>
      </c>
      <c r="R46" s="5" t="s">
        <v>240</v>
      </c>
      <c r="S46" s="5" t="s">
        <v>240</v>
      </c>
      <c r="T46" s="5" t="s">
        <v>296</v>
      </c>
      <c r="U46" s="5" t="s">
        <v>244</v>
      </c>
      <c r="V46" s="5" t="s">
        <v>240</v>
      </c>
      <c r="Y46" s="5" t="s">
        <v>240</v>
      </c>
      <c r="Z46" s="6" t="s">
        <v>298</v>
      </c>
      <c r="AB46" s="6" t="s">
        <v>240</v>
      </c>
      <c r="AE46" s="6" t="s">
        <v>299</v>
      </c>
      <c r="AF46" s="5" t="s">
        <v>248</v>
      </c>
      <c r="AG46" s="5" t="s">
        <v>249</v>
      </c>
      <c r="AW46" s="5" t="s">
        <v>251</v>
      </c>
      <c r="AX46" s="5" t="s">
        <v>240</v>
      </c>
      <c r="AY46" s="5" t="s">
        <v>253</v>
      </c>
      <c r="AZ46" s="5" t="s">
        <v>240</v>
      </c>
      <c r="BA46" s="5" t="s">
        <v>255</v>
      </c>
      <c r="BB46" s="5" t="s">
        <v>240</v>
      </c>
      <c r="BD46" s="5" t="s">
        <v>240</v>
      </c>
      <c r="BF46" s="5" t="s">
        <v>301</v>
      </c>
      <c r="BG46" s="6" t="s">
        <v>299</v>
      </c>
      <c r="BH46" s="5" t="s">
        <v>302</v>
      </c>
      <c r="BI46" s="5" t="s">
        <v>303</v>
      </c>
      <c r="BJ46" s="5" t="s">
        <v>240</v>
      </c>
      <c r="BK46" s="8">
        <f>0</f>
        <v>0</v>
      </c>
      <c r="BL46" s="7">
        <f>0</f>
        <v>0</v>
      </c>
      <c r="BM46" s="5" t="s">
        <v>258</v>
      </c>
      <c r="BN46" s="5" t="s">
        <v>259</v>
      </c>
      <c r="CB46" s="5" t="s">
        <v>240</v>
      </c>
      <c r="CC46" s="5" t="s">
        <v>240</v>
      </c>
      <c r="CG46" s="5" t="s">
        <v>304</v>
      </c>
      <c r="CH46" s="5" t="s">
        <v>305</v>
      </c>
      <c r="CI46" s="5" t="s">
        <v>240</v>
      </c>
      <c r="CL46" s="6" t="s">
        <v>261</v>
      </c>
      <c r="CM46" s="5" t="s">
        <v>240</v>
      </c>
      <c r="CN46" s="5" t="s">
        <v>263</v>
      </c>
      <c r="CO46" s="5" t="s">
        <v>240</v>
      </c>
      <c r="CP46" s="5" t="s">
        <v>240</v>
      </c>
      <c r="CQ46" s="5">
        <v>0</v>
      </c>
      <c r="CR46" s="5" t="s">
        <v>306</v>
      </c>
      <c r="CS46" s="5" t="s">
        <v>307</v>
      </c>
      <c r="CT46" s="5" t="s">
        <v>307</v>
      </c>
      <c r="CU46" s="5" t="s">
        <v>260</v>
      </c>
      <c r="CX46" s="7">
        <f>1</f>
        <v>1</v>
      </c>
      <c r="CY46" s="7">
        <f>0</f>
        <v>0</v>
      </c>
      <c r="DA46" s="7">
        <f>0</f>
        <v>0</v>
      </c>
      <c r="DC46" s="5" t="s">
        <v>309</v>
      </c>
      <c r="DD46" s="5" t="s">
        <v>240</v>
      </c>
      <c r="DF46" s="5" t="s">
        <v>309</v>
      </c>
      <c r="DG46" s="7">
        <f>1076</f>
        <v>1076</v>
      </c>
      <c r="DI46" s="5" t="s">
        <v>240</v>
      </c>
      <c r="DJ46" s="5" t="s">
        <v>240</v>
      </c>
      <c r="DK46" s="5" t="s">
        <v>240</v>
      </c>
      <c r="DL46" s="5" t="s">
        <v>240</v>
      </c>
      <c r="DP46" s="5" t="s">
        <v>240</v>
      </c>
      <c r="DQ46" s="5" t="s">
        <v>240</v>
      </c>
      <c r="DR46" s="5" t="s">
        <v>240</v>
      </c>
      <c r="DS46" s="5" t="s">
        <v>240</v>
      </c>
      <c r="DV46" s="5" t="s">
        <v>310</v>
      </c>
      <c r="DW46" s="5" t="s">
        <v>382</v>
      </c>
      <c r="HO46" s="5" t="s">
        <v>312</v>
      </c>
    </row>
    <row r="47" spans="1:223" x14ac:dyDescent="0.4">
      <c r="A47" s="5">
        <v>754</v>
      </c>
      <c r="B47" s="5">
        <v>1</v>
      </c>
      <c r="C47" s="5">
        <v>1</v>
      </c>
      <c r="D47" s="5" t="s">
        <v>1860</v>
      </c>
      <c r="E47" s="5" t="s">
        <v>1131</v>
      </c>
      <c r="F47" s="5" t="s">
        <v>254</v>
      </c>
      <c r="G47" s="5" t="s">
        <v>240</v>
      </c>
      <c r="H47" s="6" t="s">
        <v>1884</v>
      </c>
      <c r="I47" s="5" t="s">
        <v>1859</v>
      </c>
      <c r="J47" s="8">
        <f>19</f>
        <v>19</v>
      </c>
      <c r="K47" s="5" t="s">
        <v>308</v>
      </c>
      <c r="L47" s="7">
        <f>42085</f>
        <v>42085</v>
      </c>
      <c r="M47" s="7">
        <f>42085</f>
        <v>42085</v>
      </c>
      <c r="N47" s="5" t="s">
        <v>242</v>
      </c>
      <c r="O47" s="5">
        <v>1</v>
      </c>
      <c r="P47" s="5" t="s">
        <v>294</v>
      </c>
      <c r="Q47" s="5" t="s">
        <v>266</v>
      </c>
      <c r="R47" s="5" t="s">
        <v>240</v>
      </c>
      <c r="S47" s="5" t="s">
        <v>240</v>
      </c>
      <c r="T47" s="5" t="s">
        <v>296</v>
      </c>
      <c r="U47" s="5" t="s">
        <v>244</v>
      </c>
      <c r="V47" s="5" t="s">
        <v>240</v>
      </c>
      <c r="Y47" s="5" t="s">
        <v>240</v>
      </c>
      <c r="Z47" s="6" t="s">
        <v>298</v>
      </c>
      <c r="AB47" s="6" t="s">
        <v>240</v>
      </c>
      <c r="AE47" s="6" t="s">
        <v>299</v>
      </c>
      <c r="AF47" s="5" t="s">
        <v>248</v>
      </c>
      <c r="AG47" s="5" t="s">
        <v>249</v>
      </c>
      <c r="AW47" s="5" t="s">
        <v>251</v>
      </c>
      <c r="AX47" s="5" t="s">
        <v>240</v>
      </c>
      <c r="AY47" s="5" t="s">
        <v>253</v>
      </c>
      <c r="AZ47" s="5" t="s">
        <v>240</v>
      </c>
      <c r="BA47" s="5" t="s">
        <v>255</v>
      </c>
      <c r="BB47" s="5" t="s">
        <v>240</v>
      </c>
      <c r="BD47" s="5" t="s">
        <v>240</v>
      </c>
      <c r="BF47" s="5" t="s">
        <v>301</v>
      </c>
      <c r="BG47" s="6" t="s">
        <v>299</v>
      </c>
      <c r="BH47" s="5" t="s">
        <v>302</v>
      </c>
      <c r="BI47" s="5" t="s">
        <v>303</v>
      </c>
      <c r="BJ47" s="5" t="s">
        <v>240</v>
      </c>
      <c r="BK47" s="8">
        <f>0</f>
        <v>0</v>
      </c>
      <c r="BL47" s="7">
        <f>0</f>
        <v>0</v>
      </c>
      <c r="BM47" s="5" t="s">
        <v>258</v>
      </c>
      <c r="BN47" s="5" t="s">
        <v>259</v>
      </c>
      <c r="CB47" s="5" t="s">
        <v>240</v>
      </c>
      <c r="CC47" s="5" t="s">
        <v>240</v>
      </c>
      <c r="CG47" s="5" t="s">
        <v>304</v>
      </c>
      <c r="CH47" s="5" t="s">
        <v>305</v>
      </c>
      <c r="CI47" s="5" t="s">
        <v>240</v>
      </c>
      <c r="CL47" s="6" t="s">
        <v>261</v>
      </c>
      <c r="CM47" s="5" t="s">
        <v>240</v>
      </c>
      <c r="CN47" s="5" t="s">
        <v>263</v>
      </c>
      <c r="CO47" s="5" t="s">
        <v>240</v>
      </c>
      <c r="CP47" s="5" t="s">
        <v>240</v>
      </c>
      <c r="CQ47" s="5">
        <v>0</v>
      </c>
      <c r="CR47" s="5" t="s">
        <v>306</v>
      </c>
      <c r="CS47" s="5" t="s">
        <v>307</v>
      </c>
      <c r="CT47" s="5" t="s">
        <v>307</v>
      </c>
      <c r="CU47" s="5" t="s">
        <v>260</v>
      </c>
      <c r="CX47" s="7">
        <f>1</f>
        <v>1</v>
      </c>
      <c r="CY47" s="7">
        <f>0</f>
        <v>0</v>
      </c>
      <c r="DA47" s="7">
        <f>0</f>
        <v>0</v>
      </c>
      <c r="DC47" s="5" t="s">
        <v>309</v>
      </c>
      <c r="DD47" s="5" t="s">
        <v>240</v>
      </c>
      <c r="DF47" s="5" t="s">
        <v>309</v>
      </c>
      <c r="DG47" s="7">
        <f>1407</f>
        <v>1407</v>
      </c>
      <c r="DI47" s="5" t="s">
        <v>240</v>
      </c>
      <c r="DJ47" s="5" t="s">
        <v>240</v>
      </c>
      <c r="DK47" s="5" t="s">
        <v>240</v>
      </c>
      <c r="DL47" s="5" t="s">
        <v>240</v>
      </c>
      <c r="DP47" s="5" t="s">
        <v>240</v>
      </c>
      <c r="DQ47" s="5" t="s">
        <v>240</v>
      </c>
      <c r="DR47" s="5" t="s">
        <v>240</v>
      </c>
      <c r="DS47" s="5" t="s">
        <v>240</v>
      </c>
      <c r="DV47" s="5" t="s">
        <v>310</v>
      </c>
      <c r="DW47" s="5" t="s">
        <v>384</v>
      </c>
      <c r="HO47" s="5" t="s">
        <v>312</v>
      </c>
    </row>
    <row r="48" spans="1:223" x14ac:dyDescent="0.4">
      <c r="A48" s="5">
        <v>755</v>
      </c>
      <c r="B48" s="5">
        <v>1</v>
      </c>
      <c r="C48" s="5">
        <v>1</v>
      </c>
      <c r="D48" s="5" t="s">
        <v>1860</v>
      </c>
      <c r="E48" s="5" t="s">
        <v>1131</v>
      </c>
      <c r="F48" s="5" t="s">
        <v>254</v>
      </c>
      <c r="G48" s="5" t="s">
        <v>240</v>
      </c>
      <c r="H48" s="6" t="s">
        <v>4525</v>
      </c>
      <c r="I48" s="5" t="s">
        <v>1859</v>
      </c>
      <c r="J48" s="8">
        <f>3937.53</f>
        <v>3937.53</v>
      </c>
      <c r="K48" s="5" t="s">
        <v>308</v>
      </c>
      <c r="L48" s="7">
        <f>38587794</f>
        <v>38587794</v>
      </c>
      <c r="M48" s="7">
        <f>38587794</f>
        <v>38587794</v>
      </c>
      <c r="N48" s="5" t="s">
        <v>242</v>
      </c>
      <c r="O48" s="5">
        <v>1</v>
      </c>
      <c r="P48" s="5" t="s">
        <v>294</v>
      </c>
      <c r="Q48" s="5" t="s">
        <v>266</v>
      </c>
      <c r="R48" s="5" t="s">
        <v>240</v>
      </c>
      <c r="S48" s="5" t="s">
        <v>240</v>
      </c>
      <c r="T48" s="5" t="s">
        <v>296</v>
      </c>
      <c r="U48" s="5" t="s">
        <v>244</v>
      </c>
      <c r="V48" s="5" t="s">
        <v>240</v>
      </c>
      <c r="Y48" s="5" t="s">
        <v>240</v>
      </c>
      <c r="Z48" s="6" t="s">
        <v>298</v>
      </c>
      <c r="AB48" s="6" t="s">
        <v>240</v>
      </c>
      <c r="AE48" s="6" t="s">
        <v>299</v>
      </c>
      <c r="AF48" s="5" t="s">
        <v>248</v>
      </c>
      <c r="AG48" s="5" t="s">
        <v>249</v>
      </c>
      <c r="AW48" s="5" t="s">
        <v>251</v>
      </c>
      <c r="AX48" s="5" t="s">
        <v>240</v>
      </c>
      <c r="AY48" s="5" t="s">
        <v>253</v>
      </c>
      <c r="AZ48" s="5" t="s">
        <v>240</v>
      </c>
      <c r="BA48" s="5" t="s">
        <v>255</v>
      </c>
      <c r="BB48" s="5" t="s">
        <v>240</v>
      </c>
      <c r="BD48" s="5" t="s">
        <v>240</v>
      </c>
      <c r="BF48" s="5" t="s">
        <v>301</v>
      </c>
      <c r="BG48" s="6" t="s">
        <v>299</v>
      </c>
      <c r="BH48" s="5" t="s">
        <v>302</v>
      </c>
      <c r="BI48" s="5" t="s">
        <v>303</v>
      </c>
      <c r="BJ48" s="5" t="s">
        <v>240</v>
      </c>
      <c r="BK48" s="8">
        <f>0</f>
        <v>0</v>
      </c>
      <c r="BL48" s="7">
        <f>0</f>
        <v>0</v>
      </c>
      <c r="BM48" s="5" t="s">
        <v>258</v>
      </c>
      <c r="BN48" s="5" t="s">
        <v>259</v>
      </c>
      <c r="CB48" s="5" t="s">
        <v>240</v>
      </c>
      <c r="CC48" s="5" t="s">
        <v>240</v>
      </c>
      <c r="CG48" s="5" t="s">
        <v>304</v>
      </c>
      <c r="CH48" s="5" t="s">
        <v>305</v>
      </c>
      <c r="CI48" s="5" t="s">
        <v>240</v>
      </c>
      <c r="CL48" s="6" t="s">
        <v>261</v>
      </c>
      <c r="CM48" s="5" t="s">
        <v>240</v>
      </c>
      <c r="CN48" s="5" t="s">
        <v>263</v>
      </c>
      <c r="CO48" s="5" t="s">
        <v>240</v>
      </c>
      <c r="CP48" s="5" t="s">
        <v>240</v>
      </c>
      <c r="CQ48" s="5">
        <v>0</v>
      </c>
      <c r="CR48" s="5" t="s">
        <v>306</v>
      </c>
      <c r="CS48" s="5" t="s">
        <v>307</v>
      </c>
      <c r="CT48" s="5" t="s">
        <v>307</v>
      </c>
      <c r="CU48" s="5" t="s">
        <v>260</v>
      </c>
      <c r="CX48" s="7">
        <f>1</f>
        <v>1</v>
      </c>
      <c r="CY48" s="7">
        <f>0</f>
        <v>0</v>
      </c>
      <c r="DA48" s="7">
        <f>0</f>
        <v>0</v>
      </c>
      <c r="DC48" s="5" t="s">
        <v>309</v>
      </c>
      <c r="DD48" s="5" t="s">
        <v>240</v>
      </c>
      <c r="DF48" s="5" t="s">
        <v>309</v>
      </c>
      <c r="DG48" s="7">
        <f>2031</f>
        <v>2031</v>
      </c>
      <c r="DI48" s="5" t="s">
        <v>240</v>
      </c>
      <c r="DJ48" s="5" t="s">
        <v>240</v>
      </c>
      <c r="DK48" s="5" t="s">
        <v>240</v>
      </c>
      <c r="DL48" s="5" t="s">
        <v>240</v>
      </c>
      <c r="DP48" s="5" t="s">
        <v>240</v>
      </c>
      <c r="DQ48" s="5" t="s">
        <v>240</v>
      </c>
      <c r="DR48" s="5" t="s">
        <v>240</v>
      </c>
      <c r="DS48" s="5" t="s">
        <v>240</v>
      </c>
      <c r="DV48" s="5" t="s">
        <v>310</v>
      </c>
      <c r="DW48" s="5" t="s">
        <v>386</v>
      </c>
      <c r="HO48" s="5" t="s">
        <v>312</v>
      </c>
    </row>
    <row r="49" spans="1:240" x14ac:dyDescent="0.4">
      <c r="A49" s="5">
        <v>756</v>
      </c>
      <c r="B49" s="5">
        <v>1</v>
      </c>
      <c r="C49" s="5">
        <v>1</v>
      </c>
      <c r="D49" s="5" t="s">
        <v>1860</v>
      </c>
      <c r="E49" s="5" t="s">
        <v>1131</v>
      </c>
      <c r="F49" s="5" t="s">
        <v>254</v>
      </c>
      <c r="G49" s="5" t="s">
        <v>240</v>
      </c>
      <c r="H49" s="6" t="s">
        <v>1881</v>
      </c>
      <c r="I49" s="5" t="s">
        <v>1859</v>
      </c>
      <c r="J49" s="8">
        <f>144</f>
        <v>144</v>
      </c>
      <c r="K49" s="5" t="s">
        <v>308</v>
      </c>
      <c r="L49" s="7">
        <f>1584</f>
        <v>1584</v>
      </c>
      <c r="M49" s="7">
        <f>1584</f>
        <v>1584</v>
      </c>
      <c r="N49" s="5" t="s">
        <v>242</v>
      </c>
      <c r="O49" s="5">
        <v>1</v>
      </c>
      <c r="P49" s="5" t="s">
        <v>294</v>
      </c>
      <c r="Q49" s="5" t="s">
        <v>266</v>
      </c>
      <c r="R49" s="5" t="s">
        <v>240</v>
      </c>
      <c r="S49" s="5" t="s">
        <v>240</v>
      </c>
      <c r="T49" s="5" t="s">
        <v>296</v>
      </c>
      <c r="U49" s="5" t="s">
        <v>244</v>
      </c>
      <c r="V49" s="5" t="s">
        <v>240</v>
      </c>
      <c r="Y49" s="5" t="s">
        <v>240</v>
      </c>
      <c r="Z49" s="6" t="s">
        <v>298</v>
      </c>
      <c r="AB49" s="6" t="s">
        <v>240</v>
      </c>
      <c r="AE49" s="6" t="s">
        <v>299</v>
      </c>
      <c r="AF49" s="5" t="s">
        <v>248</v>
      </c>
      <c r="AG49" s="5" t="s">
        <v>249</v>
      </c>
      <c r="AW49" s="5" t="s">
        <v>251</v>
      </c>
      <c r="AX49" s="5" t="s">
        <v>240</v>
      </c>
      <c r="AY49" s="5" t="s">
        <v>253</v>
      </c>
      <c r="AZ49" s="5" t="s">
        <v>240</v>
      </c>
      <c r="BA49" s="5" t="s">
        <v>255</v>
      </c>
      <c r="BB49" s="5" t="s">
        <v>240</v>
      </c>
      <c r="BD49" s="5" t="s">
        <v>240</v>
      </c>
      <c r="BF49" s="5" t="s">
        <v>301</v>
      </c>
      <c r="BG49" s="6" t="s">
        <v>299</v>
      </c>
      <c r="BH49" s="5" t="s">
        <v>302</v>
      </c>
      <c r="BI49" s="5" t="s">
        <v>303</v>
      </c>
      <c r="BJ49" s="5" t="s">
        <v>240</v>
      </c>
      <c r="BK49" s="8">
        <f>0</f>
        <v>0</v>
      </c>
      <c r="BL49" s="7">
        <f>0</f>
        <v>0</v>
      </c>
      <c r="BM49" s="5" t="s">
        <v>258</v>
      </c>
      <c r="BN49" s="5" t="s">
        <v>259</v>
      </c>
      <c r="CB49" s="5" t="s">
        <v>240</v>
      </c>
      <c r="CC49" s="5" t="s">
        <v>240</v>
      </c>
      <c r="CG49" s="5" t="s">
        <v>304</v>
      </c>
      <c r="CH49" s="5" t="s">
        <v>305</v>
      </c>
      <c r="CI49" s="5" t="s">
        <v>240</v>
      </c>
      <c r="CL49" s="6" t="s">
        <v>261</v>
      </c>
      <c r="CM49" s="5" t="s">
        <v>240</v>
      </c>
      <c r="CN49" s="5" t="s">
        <v>263</v>
      </c>
      <c r="CO49" s="5" t="s">
        <v>240</v>
      </c>
      <c r="CP49" s="5" t="s">
        <v>240</v>
      </c>
      <c r="CQ49" s="5">
        <v>0</v>
      </c>
      <c r="CR49" s="5" t="s">
        <v>306</v>
      </c>
      <c r="CS49" s="5" t="s">
        <v>307</v>
      </c>
      <c r="CT49" s="5" t="s">
        <v>307</v>
      </c>
      <c r="CU49" s="5" t="s">
        <v>260</v>
      </c>
      <c r="CX49" s="7">
        <f>1</f>
        <v>1</v>
      </c>
      <c r="CY49" s="7">
        <f>0</f>
        <v>0</v>
      </c>
      <c r="DA49" s="7">
        <f>0</f>
        <v>0</v>
      </c>
      <c r="DC49" s="5" t="s">
        <v>309</v>
      </c>
      <c r="DD49" s="5" t="s">
        <v>240</v>
      </c>
      <c r="DF49" s="5" t="s">
        <v>309</v>
      </c>
      <c r="DG49" s="7">
        <f>816</f>
        <v>816</v>
      </c>
      <c r="DI49" s="5" t="s">
        <v>240</v>
      </c>
      <c r="DJ49" s="5" t="s">
        <v>240</v>
      </c>
      <c r="DK49" s="5" t="s">
        <v>240</v>
      </c>
      <c r="DL49" s="5" t="s">
        <v>240</v>
      </c>
      <c r="DP49" s="5" t="s">
        <v>240</v>
      </c>
      <c r="DQ49" s="5" t="s">
        <v>240</v>
      </c>
      <c r="DR49" s="5" t="s">
        <v>240</v>
      </c>
      <c r="DS49" s="5" t="s">
        <v>240</v>
      </c>
      <c r="DV49" s="5" t="s">
        <v>310</v>
      </c>
      <c r="DW49" s="5" t="s">
        <v>388</v>
      </c>
      <c r="HO49" s="5" t="s">
        <v>312</v>
      </c>
    </row>
    <row r="50" spans="1:240" x14ac:dyDescent="0.4">
      <c r="A50" s="5">
        <v>757</v>
      </c>
      <c r="B50" s="5">
        <v>1</v>
      </c>
      <c r="C50" s="5">
        <v>1</v>
      </c>
      <c r="D50" s="5" t="s">
        <v>1860</v>
      </c>
      <c r="E50" s="5" t="s">
        <v>1131</v>
      </c>
      <c r="F50" s="5" t="s">
        <v>254</v>
      </c>
      <c r="G50" s="5" t="s">
        <v>240</v>
      </c>
      <c r="H50" s="6" t="s">
        <v>1880</v>
      </c>
      <c r="I50" s="5" t="s">
        <v>1859</v>
      </c>
      <c r="J50" s="8">
        <f>441</f>
        <v>441</v>
      </c>
      <c r="K50" s="5" t="s">
        <v>308</v>
      </c>
      <c r="L50" s="7">
        <f>976815</f>
        <v>976815</v>
      </c>
      <c r="M50" s="7">
        <f>976815</f>
        <v>976815</v>
      </c>
      <c r="N50" s="5" t="s">
        <v>242</v>
      </c>
      <c r="O50" s="5">
        <v>1</v>
      </c>
      <c r="P50" s="5" t="s">
        <v>294</v>
      </c>
      <c r="Q50" s="5" t="s">
        <v>266</v>
      </c>
      <c r="R50" s="5" t="s">
        <v>240</v>
      </c>
      <c r="S50" s="5" t="s">
        <v>240</v>
      </c>
      <c r="T50" s="5" t="s">
        <v>296</v>
      </c>
      <c r="U50" s="5" t="s">
        <v>244</v>
      </c>
      <c r="V50" s="5" t="s">
        <v>240</v>
      </c>
      <c r="Y50" s="5" t="s">
        <v>240</v>
      </c>
      <c r="Z50" s="6" t="s">
        <v>298</v>
      </c>
      <c r="AB50" s="6" t="s">
        <v>240</v>
      </c>
      <c r="AE50" s="6" t="s">
        <v>299</v>
      </c>
      <c r="AF50" s="5" t="s">
        <v>248</v>
      </c>
      <c r="AG50" s="5" t="s">
        <v>249</v>
      </c>
      <c r="AW50" s="5" t="s">
        <v>251</v>
      </c>
      <c r="AX50" s="5" t="s">
        <v>240</v>
      </c>
      <c r="AY50" s="5" t="s">
        <v>253</v>
      </c>
      <c r="AZ50" s="5" t="s">
        <v>240</v>
      </c>
      <c r="BA50" s="5" t="s">
        <v>255</v>
      </c>
      <c r="BB50" s="5" t="s">
        <v>240</v>
      </c>
      <c r="BD50" s="5" t="s">
        <v>240</v>
      </c>
      <c r="BF50" s="5" t="s">
        <v>301</v>
      </c>
      <c r="BG50" s="6" t="s">
        <v>299</v>
      </c>
      <c r="BH50" s="5" t="s">
        <v>302</v>
      </c>
      <c r="BI50" s="5" t="s">
        <v>303</v>
      </c>
      <c r="BJ50" s="5" t="s">
        <v>240</v>
      </c>
      <c r="BK50" s="8">
        <f>0</f>
        <v>0</v>
      </c>
      <c r="BL50" s="7">
        <f>0</f>
        <v>0</v>
      </c>
      <c r="BM50" s="5" t="s">
        <v>258</v>
      </c>
      <c r="BN50" s="5" t="s">
        <v>259</v>
      </c>
      <c r="CB50" s="5" t="s">
        <v>240</v>
      </c>
      <c r="CC50" s="5" t="s">
        <v>240</v>
      </c>
      <c r="CG50" s="5" t="s">
        <v>304</v>
      </c>
      <c r="CH50" s="5" t="s">
        <v>305</v>
      </c>
      <c r="CI50" s="5" t="s">
        <v>240</v>
      </c>
      <c r="CL50" s="6" t="s">
        <v>261</v>
      </c>
      <c r="CM50" s="5" t="s">
        <v>240</v>
      </c>
      <c r="CN50" s="5" t="s">
        <v>263</v>
      </c>
      <c r="CO50" s="5" t="s">
        <v>240</v>
      </c>
      <c r="CP50" s="5" t="s">
        <v>240</v>
      </c>
      <c r="CQ50" s="5">
        <v>0</v>
      </c>
      <c r="CR50" s="5" t="s">
        <v>306</v>
      </c>
      <c r="CS50" s="5" t="s">
        <v>307</v>
      </c>
      <c r="CT50" s="5" t="s">
        <v>307</v>
      </c>
      <c r="CU50" s="5" t="s">
        <v>260</v>
      </c>
      <c r="CX50" s="7">
        <f>1</f>
        <v>1</v>
      </c>
      <c r="CY50" s="7">
        <f>0</f>
        <v>0</v>
      </c>
      <c r="DA50" s="7">
        <f>0</f>
        <v>0</v>
      </c>
      <c r="DC50" s="5" t="s">
        <v>309</v>
      </c>
      <c r="DD50" s="5" t="s">
        <v>240</v>
      </c>
      <c r="DF50" s="5" t="s">
        <v>309</v>
      </c>
      <c r="DG50" s="7">
        <f>8734</f>
        <v>8734</v>
      </c>
      <c r="DI50" s="5" t="s">
        <v>240</v>
      </c>
      <c r="DJ50" s="5" t="s">
        <v>240</v>
      </c>
      <c r="DK50" s="5" t="s">
        <v>240</v>
      </c>
      <c r="DL50" s="5" t="s">
        <v>240</v>
      </c>
      <c r="DP50" s="5" t="s">
        <v>240</v>
      </c>
      <c r="DQ50" s="5" t="s">
        <v>240</v>
      </c>
      <c r="DR50" s="5" t="s">
        <v>240</v>
      </c>
      <c r="DS50" s="5" t="s">
        <v>240</v>
      </c>
      <c r="DV50" s="5" t="s">
        <v>310</v>
      </c>
      <c r="DW50" s="5" t="s">
        <v>390</v>
      </c>
      <c r="HO50" s="5" t="s">
        <v>312</v>
      </c>
    </row>
    <row r="51" spans="1:240" x14ac:dyDescent="0.4">
      <c r="A51" s="5">
        <v>758</v>
      </c>
      <c r="B51" s="5">
        <v>1</v>
      </c>
      <c r="C51" s="5">
        <v>1</v>
      </c>
      <c r="D51" s="5" t="s">
        <v>1860</v>
      </c>
      <c r="E51" s="5" t="s">
        <v>1131</v>
      </c>
      <c r="F51" s="5" t="s">
        <v>254</v>
      </c>
      <c r="G51" s="5" t="s">
        <v>240</v>
      </c>
      <c r="H51" s="6" t="s">
        <v>1879</v>
      </c>
      <c r="I51" s="5" t="s">
        <v>1859</v>
      </c>
      <c r="J51" s="8">
        <f>774</f>
        <v>774</v>
      </c>
      <c r="K51" s="5" t="s">
        <v>308</v>
      </c>
      <c r="L51" s="7">
        <f>1714410</f>
        <v>1714410</v>
      </c>
      <c r="M51" s="7">
        <f>1714410</f>
        <v>1714410</v>
      </c>
      <c r="N51" s="5" t="s">
        <v>242</v>
      </c>
      <c r="O51" s="5">
        <v>1</v>
      </c>
      <c r="P51" s="5" t="s">
        <v>294</v>
      </c>
      <c r="Q51" s="5" t="s">
        <v>266</v>
      </c>
      <c r="R51" s="5" t="s">
        <v>240</v>
      </c>
      <c r="S51" s="5" t="s">
        <v>240</v>
      </c>
      <c r="T51" s="5" t="s">
        <v>296</v>
      </c>
      <c r="U51" s="5" t="s">
        <v>244</v>
      </c>
      <c r="V51" s="5" t="s">
        <v>240</v>
      </c>
      <c r="Y51" s="5" t="s">
        <v>240</v>
      </c>
      <c r="Z51" s="6" t="s">
        <v>298</v>
      </c>
      <c r="AB51" s="6" t="s">
        <v>240</v>
      </c>
      <c r="AE51" s="6" t="s">
        <v>299</v>
      </c>
      <c r="AF51" s="5" t="s">
        <v>248</v>
      </c>
      <c r="AG51" s="5" t="s">
        <v>249</v>
      </c>
      <c r="AW51" s="5" t="s">
        <v>251</v>
      </c>
      <c r="AX51" s="5" t="s">
        <v>240</v>
      </c>
      <c r="AY51" s="5" t="s">
        <v>253</v>
      </c>
      <c r="AZ51" s="5" t="s">
        <v>240</v>
      </c>
      <c r="BA51" s="5" t="s">
        <v>255</v>
      </c>
      <c r="BB51" s="5" t="s">
        <v>240</v>
      </c>
      <c r="BD51" s="5" t="s">
        <v>240</v>
      </c>
      <c r="BF51" s="5" t="s">
        <v>301</v>
      </c>
      <c r="BG51" s="6" t="s">
        <v>299</v>
      </c>
      <c r="BH51" s="5" t="s">
        <v>302</v>
      </c>
      <c r="BI51" s="5" t="s">
        <v>303</v>
      </c>
      <c r="BJ51" s="5" t="s">
        <v>240</v>
      </c>
      <c r="BK51" s="8">
        <f>0</f>
        <v>0</v>
      </c>
      <c r="BL51" s="7">
        <f>0</f>
        <v>0</v>
      </c>
      <c r="BM51" s="5" t="s">
        <v>258</v>
      </c>
      <c r="BN51" s="5" t="s">
        <v>259</v>
      </c>
      <c r="CB51" s="5" t="s">
        <v>240</v>
      </c>
      <c r="CC51" s="5" t="s">
        <v>240</v>
      </c>
      <c r="CG51" s="5" t="s">
        <v>304</v>
      </c>
      <c r="CH51" s="5" t="s">
        <v>305</v>
      </c>
      <c r="CI51" s="5" t="s">
        <v>240</v>
      </c>
      <c r="CL51" s="6" t="s">
        <v>261</v>
      </c>
      <c r="CM51" s="5" t="s">
        <v>240</v>
      </c>
      <c r="CN51" s="5" t="s">
        <v>263</v>
      </c>
      <c r="CO51" s="5" t="s">
        <v>240</v>
      </c>
      <c r="CP51" s="5" t="s">
        <v>240</v>
      </c>
      <c r="CQ51" s="5">
        <v>0</v>
      </c>
      <c r="CR51" s="5" t="s">
        <v>306</v>
      </c>
      <c r="CS51" s="5" t="s">
        <v>307</v>
      </c>
      <c r="CT51" s="5" t="s">
        <v>307</v>
      </c>
      <c r="CU51" s="5" t="s">
        <v>260</v>
      </c>
      <c r="CX51" s="7">
        <f>1</f>
        <v>1</v>
      </c>
      <c r="CY51" s="7">
        <f>0</f>
        <v>0</v>
      </c>
      <c r="DA51" s="7">
        <f>0</f>
        <v>0</v>
      </c>
      <c r="DC51" s="5" t="s">
        <v>309</v>
      </c>
      <c r="DD51" s="5" t="s">
        <v>240</v>
      </c>
      <c r="DF51" s="5" t="s">
        <v>309</v>
      </c>
      <c r="DG51" s="7">
        <f>2380</f>
        <v>2380</v>
      </c>
      <c r="DI51" s="5" t="s">
        <v>240</v>
      </c>
      <c r="DJ51" s="5" t="s">
        <v>240</v>
      </c>
      <c r="DK51" s="5" t="s">
        <v>240</v>
      </c>
      <c r="DL51" s="5" t="s">
        <v>240</v>
      </c>
      <c r="DP51" s="5" t="s">
        <v>240</v>
      </c>
      <c r="DQ51" s="5" t="s">
        <v>240</v>
      </c>
      <c r="DR51" s="5" t="s">
        <v>240</v>
      </c>
      <c r="DS51" s="5" t="s">
        <v>240</v>
      </c>
      <c r="DV51" s="5" t="s">
        <v>310</v>
      </c>
      <c r="DW51" s="5" t="s">
        <v>392</v>
      </c>
      <c r="HO51" s="5" t="s">
        <v>312</v>
      </c>
    </row>
    <row r="52" spans="1:240" x14ac:dyDescent="0.4">
      <c r="A52" s="5">
        <v>759</v>
      </c>
      <c r="B52" s="5">
        <v>1</v>
      </c>
      <c r="C52" s="5">
        <v>1</v>
      </c>
      <c r="D52" s="5" t="s">
        <v>1860</v>
      </c>
      <c r="E52" s="5" t="s">
        <v>1131</v>
      </c>
      <c r="F52" s="5" t="s">
        <v>254</v>
      </c>
      <c r="G52" s="5" t="s">
        <v>240</v>
      </c>
      <c r="H52" s="6" t="s">
        <v>1878</v>
      </c>
      <c r="I52" s="5" t="s">
        <v>1859</v>
      </c>
      <c r="J52" s="8">
        <f>4340</f>
        <v>4340</v>
      </c>
      <c r="K52" s="5" t="s">
        <v>308</v>
      </c>
      <c r="L52" s="7">
        <f>9613100</f>
        <v>9613100</v>
      </c>
      <c r="M52" s="7">
        <f>9613100</f>
        <v>9613100</v>
      </c>
      <c r="N52" s="5" t="s">
        <v>242</v>
      </c>
      <c r="O52" s="5">
        <v>1</v>
      </c>
      <c r="P52" s="5" t="s">
        <v>294</v>
      </c>
      <c r="Q52" s="5" t="s">
        <v>266</v>
      </c>
      <c r="R52" s="5" t="s">
        <v>240</v>
      </c>
      <c r="S52" s="5" t="s">
        <v>240</v>
      </c>
      <c r="T52" s="5" t="s">
        <v>296</v>
      </c>
      <c r="U52" s="5" t="s">
        <v>244</v>
      </c>
      <c r="V52" s="5" t="s">
        <v>240</v>
      </c>
      <c r="Y52" s="5" t="s">
        <v>240</v>
      </c>
      <c r="Z52" s="6" t="s">
        <v>298</v>
      </c>
      <c r="AB52" s="6" t="s">
        <v>240</v>
      </c>
      <c r="AE52" s="6" t="s">
        <v>299</v>
      </c>
      <c r="AF52" s="5" t="s">
        <v>248</v>
      </c>
      <c r="AG52" s="5" t="s">
        <v>249</v>
      </c>
      <c r="AW52" s="5" t="s">
        <v>251</v>
      </c>
      <c r="AX52" s="5" t="s">
        <v>240</v>
      </c>
      <c r="AY52" s="5" t="s">
        <v>253</v>
      </c>
      <c r="AZ52" s="5" t="s">
        <v>240</v>
      </c>
      <c r="BA52" s="5" t="s">
        <v>255</v>
      </c>
      <c r="BB52" s="5" t="s">
        <v>240</v>
      </c>
      <c r="BD52" s="5" t="s">
        <v>240</v>
      </c>
      <c r="BF52" s="5" t="s">
        <v>301</v>
      </c>
      <c r="BG52" s="6" t="s">
        <v>299</v>
      </c>
      <c r="BH52" s="5" t="s">
        <v>302</v>
      </c>
      <c r="BI52" s="5" t="s">
        <v>303</v>
      </c>
      <c r="BJ52" s="5" t="s">
        <v>240</v>
      </c>
      <c r="BK52" s="8">
        <f>0</f>
        <v>0</v>
      </c>
      <c r="BL52" s="7">
        <f>0</f>
        <v>0</v>
      </c>
      <c r="BM52" s="5" t="s">
        <v>258</v>
      </c>
      <c r="BN52" s="5" t="s">
        <v>259</v>
      </c>
      <c r="CB52" s="5" t="s">
        <v>240</v>
      </c>
      <c r="CC52" s="5" t="s">
        <v>240</v>
      </c>
      <c r="CG52" s="5" t="s">
        <v>304</v>
      </c>
      <c r="CH52" s="5" t="s">
        <v>305</v>
      </c>
      <c r="CI52" s="5" t="s">
        <v>240</v>
      </c>
      <c r="CL52" s="6" t="s">
        <v>261</v>
      </c>
      <c r="CM52" s="5" t="s">
        <v>240</v>
      </c>
      <c r="CN52" s="5" t="s">
        <v>263</v>
      </c>
      <c r="CO52" s="5" t="s">
        <v>240</v>
      </c>
      <c r="CP52" s="5" t="s">
        <v>240</v>
      </c>
      <c r="CQ52" s="5">
        <v>0</v>
      </c>
      <c r="CR52" s="5" t="s">
        <v>306</v>
      </c>
      <c r="CS52" s="5" t="s">
        <v>307</v>
      </c>
      <c r="CT52" s="5" t="s">
        <v>307</v>
      </c>
      <c r="CU52" s="5" t="s">
        <v>260</v>
      </c>
      <c r="CX52" s="7">
        <f>1</f>
        <v>1</v>
      </c>
      <c r="CY52" s="7">
        <f>0</f>
        <v>0</v>
      </c>
      <c r="DA52" s="7">
        <f>0</f>
        <v>0</v>
      </c>
      <c r="DC52" s="5" t="s">
        <v>309</v>
      </c>
      <c r="DD52" s="5" t="s">
        <v>240</v>
      </c>
      <c r="DF52" s="5" t="s">
        <v>309</v>
      </c>
      <c r="DG52" s="7">
        <f>2993</f>
        <v>2993</v>
      </c>
      <c r="DI52" s="5" t="s">
        <v>240</v>
      </c>
      <c r="DJ52" s="5" t="s">
        <v>240</v>
      </c>
      <c r="DK52" s="5" t="s">
        <v>240</v>
      </c>
      <c r="DL52" s="5" t="s">
        <v>240</v>
      </c>
      <c r="DP52" s="5" t="s">
        <v>240</v>
      </c>
      <c r="DQ52" s="5" t="s">
        <v>240</v>
      </c>
      <c r="DR52" s="5" t="s">
        <v>240</v>
      </c>
      <c r="DS52" s="5" t="s">
        <v>240</v>
      </c>
      <c r="DV52" s="5" t="s">
        <v>310</v>
      </c>
      <c r="DW52" s="5" t="s">
        <v>394</v>
      </c>
      <c r="HO52" s="5" t="s">
        <v>312</v>
      </c>
    </row>
    <row r="53" spans="1:240" x14ac:dyDescent="0.4">
      <c r="A53" s="5">
        <v>760</v>
      </c>
      <c r="B53" s="5">
        <v>1</v>
      </c>
      <c r="C53" s="5">
        <v>1</v>
      </c>
      <c r="D53" s="5" t="s">
        <v>1860</v>
      </c>
      <c r="E53" s="5" t="s">
        <v>1131</v>
      </c>
      <c r="F53" s="5" t="s">
        <v>254</v>
      </c>
      <c r="G53" s="5" t="s">
        <v>240</v>
      </c>
      <c r="H53" s="6" t="s">
        <v>1877</v>
      </c>
      <c r="I53" s="5" t="s">
        <v>1859</v>
      </c>
      <c r="J53" s="8">
        <f>1038</f>
        <v>1038</v>
      </c>
      <c r="K53" s="5" t="s">
        <v>308</v>
      </c>
      <c r="L53" s="7">
        <f>2299170</f>
        <v>2299170</v>
      </c>
      <c r="M53" s="7">
        <f>2299170</f>
        <v>2299170</v>
      </c>
      <c r="N53" s="5" t="s">
        <v>242</v>
      </c>
      <c r="O53" s="5">
        <v>1</v>
      </c>
      <c r="P53" s="5" t="s">
        <v>294</v>
      </c>
      <c r="Q53" s="5" t="s">
        <v>266</v>
      </c>
      <c r="R53" s="5" t="s">
        <v>240</v>
      </c>
      <c r="S53" s="5" t="s">
        <v>240</v>
      </c>
      <c r="T53" s="5" t="s">
        <v>296</v>
      </c>
      <c r="U53" s="5" t="s">
        <v>244</v>
      </c>
      <c r="V53" s="5" t="s">
        <v>240</v>
      </c>
      <c r="Y53" s="5" t="s">
        <v>240</v>
      </c>
      <c r="Z53" s="6" t="s">
        <v>298</v>
      </c>
      <c r="AB53" s="6" t="s">
        <v>240</v>
      </c>
      <c r="AE53" s="6" t="s">
        <v>299</v>
      </c>
      <c r="AF53" s="5" t="s">
        <v>248</v>
      </c>
      <c r="AG53" s="5" t="s">
        <v>249</v>
      </c>
      <c r="AW53" s="5" t="s">
        <v>251</v>
      </c>
      <c r="AX53" s="5" t="s">
        <v>240</v>
      </c>
      <c r="AY53" s="5" t="s">
        <v>253</v>
      </c>
      <c r="AZ53" s="5" t="s">
        <v>240</v>
      </c>
      <c r="BA53" s="5" t="s">
        <v>255</v>
      </c>
      <c r="BB53" s="5" t="s">
        <v>240</v>
      </c>
      <c r="BD53" s="5" t="s">
        <v>240</v>
      </c>
      <c r="BF53" s="5" t="s">
        <v>301</v>
      </c>
      <c r="BG53" s="6" t="s">
        <v>299</v>
      </c>
      <c r="BH53" s="5" t="s">
        <v>302</v>
      </c>
      <c r="BI53" s="5" t="s">
        <v>303</v>
      </c>
      <c r="BJ53" s="5" t="s">
        <v>240</v>
      </c>
      <c r="BK53" s="8">
        <f>0</f>
        <v>0</v>
      </c>
      <c r="BL53" s="7">
        <f>0</f>
        <v>0</v>
      </c>
      <c r="BM53" s="5" t="s">
        <v>258</v>
      </c>
      <c r="BN53" s="5" t="s">
        <v>259</v>
      </c>
      <c r="CB53" s="5" t="s">
        <v>240</v>
      </c>
      <c r="CC53" s="5" t="s">
        <v>240</v>
      </c>
      <c r="CG53" s="5" t="s">
        <v>304</v>
      </c>
      <c r="CH53" s="5" t="s">
        <v>305</v>
      </c>
      <c r="CI53" s="5" t="s">
        <v>240</v>
      </c>
      <c r="CL53" s="6" t="s">
        <v>261</v>
      </c>
      <c r="CM53" s="5" t="s">
        <v>240</v>
      </c>
      <c r="CN53" s="5" t="s">
        <v>263</v>
      </c>
      <c r="CO53" s="5" t="s">
        <v>240</v>
      </c>
      <c r="CP53" s="5" t="s">
        <v>240</v>
      </c>
      <c r="CQ53" s="5">
        <v>0</v>
      </c>
      <c r="CR53" s="5" t="s">
        <v>306</v>
      </c>
      <c r="CS53" s="5" t="s">
        <v>307</v>
      </c>
      <c r="CT53" s="5" t="s">
        <v>307</v>
      </c>
      <c r="CU53" s="5" t="s">
        <v>260</v>
      </c>
      <c r="CX53" s="7">
        <f>1</f>
        <v>1</v>
      </c>
      <c r="CY53" s="7">
        <f>0</f>
        <v>0</v>
      </c>
      <c r="DA53" s="7">
        <f>0</f>
        <v>0</v>
      </c>
      <c r="DC53" s="5" t="s">
        <v>309</v>
      </c>
      <c r="DD53" s="5" t="s">
        <v>240</v>
      </c>
      <c r="DF53" s="5" t="s">
        <v>309</v>
      </c>
      <c r="DG53" s="7">
        <f>368</f>
        <v>368</v>
      </c>
      <c r="DI53" s="5" t="s">
        <v>240</v>
      </c>
      <c r="DJ53" s="5" t="s">
        <v>240</v>
      </c>
      <c r="DK53" s="5" t="s">
        <v>240</v>
      </c>
      <c r="DL53" s="5" t="s">
        <v>240</v>
      </c>
      <c r="DP53" s="5" t="s">
        <v>240</v>
      </c>
      <c r="DQ53" s="5" t="s">
        <v>240</v>
      </c>
      <c r="DR53" s="5" t="s">
        <v>240</v>
      </c>
      <c r="DS53" s="5" t="s">
        <v>240</v>
      </c>
      <c r="DV53" s="5" t="s">
        <v>310</v>
      </c>
      <c r="DW53" s="5" t="s">
        <v>396</v>
      </c>
      <c r="HO53" s="5" t="s">
        <v>312</v>
      </c>
    </row>
    <row r="54" spans="1:240" x14ac:dyDescent="0.4">
      <c r="A54" s="5">
        <v>761</v>
      </c>
      <c r="B54" s="5">
        <v>1</v>
      </c>
      <c r="C54" s="5">
        <v>1</v>
      </c>
      <c r="D54" s="5" t="s">
        <v>1860</v>
      </c>
      <c r="E54" s="5" t="s">
        <v>1131</v>
      </c>
      <c r="F54" s="5" t="s">
        <v>254</v>
      </c>
      <c r="G54" s="5" t="s">
        <v>240</v>
      </c>
      <c r="H54" s="6" t="s">
        <v>1876</v>
      </c>
      <c r="I54" s="5" t="s">
        <v>1859</v>
      </c>
      <c r="J54" s="8">
        <f>81.22</f>
        <v>81.22</v>
      </c>
      <c r="K54" s="5" t="s">
        <v>308</v>
      </c>
      <c r="L54" s="7">
        <f>795956</f>
        <v>795956</v>
      </c>
      <c r="M54" s="7">
        <f>795956</f>
        <v>795956</v>
      </c>
      <c r="N54" s="5" t="s">
        <v>242</v>
      </c>
      <c r="O54" s="5">
        <v>1</v>
      </c>
      <c r="P54" s="5" t="s">
        <v>294</v>
      </c>
      <c r="Q54" s="5" t="s">
        <v>266</v>
      </c>
      <c r="R54" s="5" t="s">
        <v>240</v>
      </c>
      <c r="S54" s="5" t="s">
        <v>240</v>
      </c>
      <c r="T54" s="5" t="s">
        <v>296</v>
      </c>
      <c r="U54" s="5" t="s">
        <v>244</v>
      </c>
      <c r="V54" s="5" t="s">
        <v>240</v>
      </c>
      <c r="Y54" s="5" t="s">
        <v>240</v>
      </c>
      <c r="Z54" s="6" t="s">
        <v>298</v>
      </c>
      <c r="AB54" s="6" t="s">
        <v>240</v>
      </c>
      <c r="AE54" s="6" t="s">
        <v>299</v>
      </c>
      <c r="AF54" s="5" t="s">
        <v>248</v>
      </c>
      <c r="AG54" s="5" t="s">
        <v>249</v>
      </c>
      <c r="AW54" s="5" t="s">
        <v>251</v>
      </c>
      <c r="AX54" s="5" t="s">
        <v>240</v>
      </c>
      <c r="AY54" s="5" t="s">
        <v>253</v>
      </c>
      <c r="AZ54" s="5" t="s">
        <v>240</v>
      </c>
      <c r="BA54" s="5" t="s">
        <v>255</v>
      </c>
      <c r="BB54" s="5" t="s">
        <v>240</v>
      </c>
      <c r="BD54" s="5" t="s">
        <v>240</v>
      </c>
      <c r="BF54" s="5" t="s">
        <v>301</v>
      </c>
      <c r="BG54" s="6" t="s">
        <v>299</v>
      </c>
      <c r="BH54" s="5" t="s">
        <v>302</v>
      </c>
      <c r="BI54" s="5" t="s">
        <v>303</v>
      </c>
      <c r="BJ54" s="5" t="s">
        <v>240</v>
      </c>
      <c r="BK54" s="8">
        <f>0</f>
        <v>0</v>
      </c>
      <c r="BL54" s="7">
        <f>0</f>
        <v>0</v>
      </c>
      <c r="BM54" s="5" t="s">
        <v>258</v>
      </c>
      <c r="BN54" s="5" t="s">
        <v>259</v>
      </c>
      <c r="CB54" s="5" t="s">
        <v>240</v>
      </c>
      <c r="CC54" s="5" t="s">
        <v>240</v>
      </c>
      <c r="CG54" s="5" t="s">
        <v>304</v>
      </c>
      <c r="CH54" s="5" t="s">
        <v>305</v>
      </c>
      <c r="CI54" s="5" t="s">
        <v>240</v>
      </c>
      <c r="CL54" s="6" t="s">
        <v>261</v>
      </c>
      <c r="CM54" s="5" t="s">
        <v>240</v>
      </c>
      <c r="CN54" s="5" t="s">
        <v>263</v>
      </c>
      <c r="CO54" s="5" t="s">
        <v>240</v>
      </c>
      <c r="CP54" s="5" t="s">
        <v>240</v>
      </c>
      <c r="CQ54" s="5">
        <v>0</v>
      </c>
      <c r="CR54" s="5" t="s">
        <v>306</v>
      </c>
      <c r="CS54" s="5" t="s">
        <v>307</v>
      </c>
      <c r="CT54" s="5" t="s">
        <v>307</v>
      </c>
      <c r="CU54" s="5" t="s">
        <v>260</v>
      </c>
      <c r="CX54" s="7">
        <f>1</f>
        <v>1</v>
      </c>
      <c r="CY54" s="7">
        <f>0</f>
        <v>0</v>
      </c>
      <c r="DA54" s="7">
        <f>0</f>
        <v>0</v>
      </c>
      <c r="DC54" s="5" t="s">
        <v>309</v>
      </c>
      <c r="DD54" s="5" t="s">
        <v>240</v>
      </c>
      <c r="DF54" s="5" t="s">
        <v>309</v>
      </c>
      <c r="DG54" s="7">
        <f>1747</f>
        <v>1747</v>
      </c>
      <c r="DI54" s="5" t="s">
        <v>240</v>
      </c>
      <c r="DJ54" s="5" t="s">
        <v>240</v>
      </c>
      <c r="DK54" s="5" t="s">
        <v>240</v>
      </c>
      <c r="DL54" s="5" t="s">
        <v>240</v>
      </c>
      <c r="DP54" s="5" t="s">
        <v>240</v>
      </c>
      <c r="DQ54" s="5" t="s">
        <v>240</v>
      </c>
      <c r="DR54" s="5" t="s">
        <v>240</v>
      </c>
      <c r="DS54" s="5" t="s">
        <v>240</v>
      </c>
      <c r="DV54" s="5" t="s">
        <v>310</v>
      </c>
      <c r="DW54" s="5" t="s">
        <v>398</v>
      </c>
      <c r="HO54" s="5" t="s">
        <v>312</v>
      </c>
    </row>
    <row r="55" spans="1:240" x14ac:dyDescent="0.4">
      <c r="A55" s="5">
        <v>762</v>
      </c>
      <c r="B55" s="5">
        <v>1</v>
      </c>
      <c r="C55" s="5">
        <v>1</v>
      </c>
      <c r="D55" s="5" t="s">
        <v>1860</v>
      </c>
      <c r="E55" s="5" t="s">
        <v>1131</v>
      </c>
      <c r="F55" s="5" t="s">
        <v>254</v>
      </c>
      <c r="G55" s="5" t="s">
        <v>240</v>
      </c>
      <c r="H55" s="6" t="s">
        <v>1875</v>
      </c>
      <c r="I55" s="5" t="s">
        <v>1859</v>
      </c>
      <c r="J55" s="8">
        <f>15.54</f>
        <v>15.54</v>
      </c>
      <c r="K55" s="5" t="s">
        <v>308</v>
      </c>
      <c r="L55" s="7">
        <f>152292</f>
        <v>152292</v>
      </c>
      <c r="M55" s="7">
        <f>152292</f>
        <v>152292</v>
      </c>
      <c r="N55" s="5" t="s">
        <v>242</v>
      </c>
      <c r="O55" s="5">
        <v>1</v>
      </c>
      <c r="P55" s="5" t="s">
        <v>294</v>
      </c>
      <c r="Q55" s="5" t="s">
        <v>266</v>
      </c>
      <c r="R55" s="5" t="s">
        <v>240</v>
      </c>
      <c r="S55" s="5" t="s">
        <v>240</v>
      </c>
      <c r="T55" s="5" t="s">
        <v>296</v>
      </c>
      <c r="U55" s="5" t="s">
        <v>244</v>
      </c>
      <c r="V55" s="5" t="s">
        <v>240</v>
      </c>
      <c r="Y55" s="5" t="s">
        <v>240</v>
      </c>
      <c r="Z55" s="6" t="s">
        <v>298</v>
      </c>
      <c r="AB55" s="6" t="s">
        <v>240</v>
      </c>
      <c r="AE55" s="6" t="s">
        <v>299</v>
      </c>
      <c r="AF55" s="5" t="s">
        <v>248</v>
      </c>
      <c r="AG55" s="5" t="s">
        <v>249</v>
      </c>
      <c r="AW55" s="5" t="s">
        <v>251</v>
      </c>
      <c r="AX55" s="5" t="s">
        <v>240</v>
      </c>
      <c r="AY55" s="5" t="s">
        <v>253</v>
      </c>
      <c r="AZ55" s="5" t="s">
        <v>240</v>
      </c>
      <c r="BA55" s="5" t="s">
        <v>255</v>
      </c>
      <c r="BB55" s="5" t="s">
        <v>240</v>
      </c>
      <c r="BD55" s="5" t="s">
        <v>240</v>
      </c>
      <c r="BF55" s="5" t="s">
        <v>301</v>
      </c>
      <c r="BG55" s="6" t="s">
        <v>299</v>
      </c>
      <c r="BH55" s="5" t="s">
        <v>302</v>
      </c>
      <c r="BI55" s="5" t="s">
        <v>303</v>
      </c>
      <c r="BJ55" s="5" t="s">
        <v>240</v>
      </c>
      <c r="BK55" s="8">
        <f>0</f>
        <v>0</v>
      </c>
      <c r="BL55" s="7">
        <f>0</f>
        <v>0</v>
      </c>
      <c r="BM55" s="5" t="s">
        <v>258</v>
      </c>
      <c r="BN55" s="5" t="s">
        <v>259</v>
      </c>
      <c r="CB55" s="5" t="s">
        <v>240</v>
      </c>
      <c r="CC55" s="5" t="s">
        <v>240</v>
      </c>
      <c r="CG55" s="5" t="s">
        <v>304</v>
      </c>
      <c r="CH55" s="5" t="s">
        <v>305</v>
      </c>
      <c r="CI55" s="5" t="s">
        <v>240</v>
      </c>
      <c r="CL55" s="6" t="s">
        <v>261</v>
      </c>
      <c r="CM55" s="5" t="s">
        <v>240</v>
      </c>
      <c r="CN55" s="5" t="s">
        <v>263</v>
      </c>
      <c r="CO55" s="5" t="s">
        <v>240</v>
      </c>
      <c r="CP55" s="5" t="s">
        <v>240</v>
      </c>
      <c r="CQ55" s="5">
        <v>0</v>
      </c>
      <c r="CR55" s="5" t="s">
        <v>306</v>
      </c>
      <c r="CS55" s="5" t="s">
        <v>307</v>
      </c>
      <c r="CT55" s="5" t="s">
        <v>307</v>
      </c>
      <c r="CU55" s="5" t="s">
        <v>260</v>
      </c>
      <c r="CX55" s="7">
        <f>1</f>
        <v>1</v>
      </c>
      <c r="CY55" s="7">
        <f>0</f>
        <v>0</v>
      </c>
      <c r="DA55" s="7">
        <f>0</f>
        <v>0</v>
      </c>
      <c r="DC55" s="5" t="s">
        <v>309</v>
      </c>
      <c r="DD55" s="5" t="s">
        <v>240</v>
      </c>
      <c r="DF55" s="5" t="s">
        <v>309</v>
      </c>
      <c r="DG55" s="7">
        <f>532</f>
        <v>532</v>
      </c>
      <c r="DI55" s="5" t="s">
        <v>240</v>
      </c>
      <c r="DJ55" s="5" t="s">
        <v>240</v>
      </c>
      <c r="DK55" s="5" t="s">
        <v>240</v>
      </c>
      <c r="DL55" s="5" t="s">
        <v>240</v>
      </c>
      <c r="DP55" s="5" t="s">
        <v>240</v>
      </c>
      <c r="DQ55" s="5" t="s">
        <v>240</v>
      </c>
      <c r="DR55" s="5" t="s">
        <v>240</v>
      </c>
      <c r="DS55" s="5" t="s">
        <v>240</v>
      </c>
      <c r="DV55" s="5" t="s">
        <v>310</v>
      </c>
      <c r="DW55" s="5" t="s">
        <v>400</v>
      </c>
      <c r="HO55" s="5" t="s">
        <v>312</v>
      </c>
    </row>
    <row r="56" spans="1:240" x14ac:dyDescent="0.4">
      <c r="A56" s="5">
        <v>763</v>
      </c>
      <c r="B56" s="5">
        <v>1</v>
      </c>
      <c r="C56" s="5">
        <v>1</v>
      </c>
      <c r="D56" s="5" t="s">
        <v>1860</v>
      </c>
      <c r="E56" s="5" t="s">
        <v>1131</v>
      </c>
      <c r="F56" s="5" t="s">
        <v>254</v>
      </c>
      <c r="G56" s="5" t="s">
        <v>240</v>
      </c>
      <c r="H56" s="6" t="s">
        <v>4521</v>
      </c>
      <c r="I56" s="5" t="s">
        <v>1859</v>
      </c>
      <c r="J56" s="8">
        <f>160.19</f>
        <v>160.19</v>
      </c>
      <c r="K56" s="5" t="s">
        <v>308</v>
      </c>
      <c r="L56" s="7">
        <f>1601900</f>
        <v>1601900</v>
      </c>
      <c r="M56" s="7">
        <f>1601900</f>
        <v>1601900</v>
      </c>
      <c r="N56" s="5" t="s">
        <v>242</v>
      </c>
      <c r="O56" s="5">
        <v>1</v>
      </c>
      <c r="P56" s="5" t="s">
        <v>294</v>
      </c>
      <c r="Q56" s="5" t="s">
        <v>266</v>
      </c>
      <c r="R56" s="5" t="s">
        <v>240</v>
      </c>
      <c r="S56" s="5" t="s">
        <v>240</v>
      </c>
      <c r="T56" s="5" t="s">
        <v>296</v>
      </c>
      <c r="U56" s="5" t="s">
        <v>244</v>
      </c>
      <c r="V56" s="5" t="s">
        <v>240</v>
      </c>
      <c r="Y56" s="5" t="s">
        <v>240</v>
      </c>
      <c r="Z56" s="6" t="s">
        <v>298</v>
      </c>
      <c r="AB56" s="6" t="s">
        <v>240</v>
      </c>
      <c r="AE56" s="6" t="s">
        <v>299</v>
      </c>
      <c r="AF56" s="5" t="s">
        <v>248</v>
      </c>
      <c r="AG56" s="5" t="s">
        <v>249</v>
      </c>
      <c r="AW56" s="5" t="s">
        <v>251</v>
      </c>
      <c r="AX56" s="5" t="s">
        <v>240</v>
      </c>
      <c r="AY56" s="5" t="s">
        <v>253</v>
      </c>
      <c r="AZ56" s="5" t="s">
        <v>240</v>
      </c>
      <c r="BA56" s="5" t="s">
        <v>255</v>
      </c>
      <c r="BB56" s="5" t="s">
        <v>240</v>
      </c>
      <c r="BD56" s="5" t="s">
        <v>240</v>
      </c>
      <c r="BF56" s="5" t="s">
        <v>301</v>
      </c>
      <c r="BG56" s="6" t="s">
        <v>299</v>
      </c>
      <c r="BH56" s="5" t="s">
        <v>302</v>
      </c>
      <c r="BI56" s="5" t="s">
        <v>303</v>
      </c>
      <c r="BJ56" s="5" t="s">
        <v>240</v>
      </c>
      <c r="BK56" s="8">
        <f>0</f>
        <v>0</v>
      </c>
      <c r="BL56" s="7">
        <f>0</f>
        <v>0</v>
      </c>
      <c r="BM56" s="5" t="s">
        <v>258</v>
      </c>
      <c r="BN56" s="5" t="s">
        <v>259</v>
      </c>
      <c r="CB56" s="5" t="s">
        <v>240</v>
      </c>
      <c r="CC56" s="5" t="s">
        <v>240</v>
      </c>
      <c r="CG56" s="5" t="s">
        <v>304</v>
      </c>
      <c r="CH56" s="5" t="s">
        <v>305</v>
      </c>
      <c r="CI56" s="5" t="s">
        <v>240</v>
      </c>
      <c r="CL56" s="6" t="s">
        <v>261</v>
      </c>
      <c r="CM56" s="5" t="s">
        <v>240</v>
      </c>
      <c r="CN56" s="5" t="s">
        <v>263</v>
      </c>
      <c r="CO56" s="5" t="s">
        <v>240</v>
      </c>
      <c r="CP56" s="5" t="s">
        <v>240</v>
      </c>
      <c r="CQ56" s="5">
        <v>0</v>
      </c>
      <c r="CR56" s="5" t="s">
        <v>306</v>
      </c>
      <c r="CS56" s="5" t="s">
        <v>307</v>
      </c>
      <c r="CT56" s="5" t="s">
        <v>307</v>
      </c>
      <c r="CU56" s="5" t="s">
        <v>260</v>
      </c>
      <c r="CX56" s="7">
        <f>1</f>
        <v>1</v>
      </c>
      <c r="CY56" s="7">
        <f>0</f>
        <v>0</v>
      </c>
      <c r="DA56" s="7">
        <f>0</f>
        <v>0</v>
      </c>
      <c r="DC56" s="5" t="s">
        <v>309</v>
      </c>
      <c r="DD56" s="5" t="s">
        <v>240</v>
      </c>
      <c r="DF56" s="5" t="s">
        <v>309</v>
      </c>
      <c r="DG56" s="7">
        <f>169</f>
        <v>169</v>
      </c>
      <c r="DI56" s="5" t="s">
        <v>240</v>
      </c>
      <c r="DJ56" s="5" t="s">
        <v>240</v>
      </c>
      <c r="DK56" s="5" t="s">
        <v>240</v>
      </c>
      <c r="DL56" s="5" t="s">
        <v>240</v>
      </c>
      <c r="DP56" s="5" t="s">
        <v>240</v>
      </c>
      <c r="DQ56" s="5" t="s">
        <v>240</v>
      </c>
      <c r="DR56" s="5" t="s">
        <v>240</v>
      </c>
      <c r="DS56" s="5" t="s">
        <v>240</v>
      </c>
      <c r="DV56" s="5" t="s">
        <v>310</v>
      </c>
      <c r="DW56" s="5" t="s">
        <v>402</v>
      </c>
      <c r="HO56" s="5" t="s">
        <v>312</v>
      </c>
    </row>
    <row r="57" spans="1:240" x14ac:dyDescent="0.4">
      <c r="A57" s="5">
        <v>764</v>
      </c>
      <c r="B57" s="5">
        <v>1</v>
      </c>
      <c r="C57" s="5">
        <v>1</v>
      </c>
      <c r="D57" s="5" t="s">
        <v>1860</v>
      </c>
      <c r="E57" s="5" t="s">
        <v>1131</v>
      </c>
      <c r="F57" s="5" t="s">
        <v>254</v>
      </c>
      <c r="G57" s="5" t="s">
        <v>240</v>
      </c>
      <c r="H57" s="6" t="s">
        <v>1872</v>
      </c>
      <c r="I57" s="5" t="s">
        <v>1859</v>
      </c>
      <c r="J57" s="8">
        <f>292.98</f>
        <v>292.98</v>
      </c>
      <c r="K57" s="5" t="s">
        <v>308</v>
      </c>
      <c r="L57" s="7">
        <f>2929800</f>
        <v>2929800</v>
      </c>
      <c r="M57" s="7">
        <f>2929800</f>
        <v>2929800</v>
      </c>
      <c r="N57" s="5" t="s">
        <v>242</v>
      </c>
      <c r="O57" s="5">
        <v>1</v>
      </c>
      <c r="P57" s="5" t="s">
        <v>294</v>
      </c>
      <c r="Q57" s="5" t="s">
        <v>266</v>
      </c>
      <c r="R57" s="5" t="s">
        <v>240</v>
      </c>
      <c r="S57" s="5" t="s">
        <v>240</v>
      </c>
      <c r="T57" s="5" t="s">
        <v>296</v>
      </c>
      <c r="U57" s="5" t="s">
        <v>244</v>
      </c>
      <c r="V57" s="5" t="s">
        <v>240</v>
      </c>
      <c r="Y57" s="5" t="s">
        <v>240</v>
      </c>
      <c r="Z57" s="6" t="s">
        <v>298</v>
      </c>
      <c r="AB57" s="6" t="s">
        <v>240</v>
      </c>
      <c r="AE57" s="6" t="s">
        <v>299</v>
      </c>
      <c r="AF57" s="5" t="s">
        <v>248</v>
      </c>
      <c r="AG57" s="5" t="s">
        <v>249</v>
      </c>
      <c r="AW57" s="5" t="s">
        <v>251</v>
      </c>
      <c r="AX57" s="5" t="s">
        <v>240</v>
      </c>
      <c r="AY57" s="5" t="s">
        <v>253</v>
      </c>
      <c r="AZ57" s="5" t="s">
        <v>240</v>
      </c>
      <c r="BA57" s="5" t="s">
        <v>255</v>
      </c>
      <c r="BB57" s="5" t="s">
        <v>240</v>
      </c>
      <c r="BD57" s="5" t="s">
        <v>240</v>
      </c>
      <c r="BF57" s="5" t="s">
        <v>301</v>
      </c>
      <c r="BG57" s="6" t="s">
        <v>299</v>
      </c>
      <c r="BH57" s="5" t="s">
        <v>302</v>
      </c>
      <c r="BI57" s="5" t="s">
        <v>303</v>
      </c>
      <c r="BJ57" s="5" t="s">
        <v>240</v>
      </c>
      <c r="BK57" s="8">
        <f>0</f>
        <v>0</v>
      </c>
      <c r="BL57" s="7">
        <f>0</f>
        <v>0</v>
      </c>
      <c r="BM57" s="5" t="s">
        <v>258</v>
      </c>
      <c r="BN57" s="5" t="s">
        <v>259</v>
      </c>
      <c r="CB57" s="5" t="s">
        <v>240</v>
      </c>
      <c r="CC57" s="5" t="s">
        <v>240</v>
      </c>
      <c r="CG57" s="5" t="s">
        <v>304</v>
      </c>
      <c r="CH57" s="5" t="s">
        <v>305</v>
      </c>
      <c r="CI57" s="5" t="s">
        <v>240</v>
      </c>
      <c r="CL57" s="6" t="s">
        <v>261</v>
      </c>
      <c r="CM57" s="5" t="s">
        <v>240</v>
      </c>
      <c r="CN57" s="5" t="s">
        <v>263</v>
      </c>
      <c r="CO57" s="5" t="s">
        <v>240</v>
      </c>
      <c r="CP57" s="5" t="s">
        <v>240</v>
      </c>
      <c r="CQ57" s="5">
        <v>0</v>
      </c>
      <c r="CR57" s="5" t="s">
        <v>306</v>
      </c>
      <c r="CS57" s="5" t="s">
        <v>307</v>
      </c>
      <c r="CT57" s="5" t="s">
        <v>307</v>
      </c>
      <c r="CU57" s="5" t="s">
        <v>260</v>
      </c>
      <c r="CX57" s="7">
        <f>1</f>
        <v>1</v>
      </c>
      <c r="CY57" s="7">
        <f>0</f>
        <v>0</v>
      </c>
      <c r="DA57" s="7">
        <f>0</f>
        <v>0</v>
      </c>
      <c r="DC57" s="5" t="s">
        <v>309</v>
      </c>
      <c r="DD57" s="5" t="s">
        <v>240</v>
      </c>
      <c r="DF57" s="5" t="s">
        <v>309</v>
      </c>
      <c r="DG57" s="7">
        <f>706</f>
        <v>706</v>
      </c>
      <c r="DI57" s="5" t="s">
        <v>240</v>
      </c>
      <c r="DJ57" s="5" t="s">
        <v>240</v>
      </c>
      <c r="DK57" s="5" t="s">
        <v>240</v>
      </c>
      <c r="DL57" s="5" t="s">
        <v>240</v>
      </c>
      <c r="DP57" s="5" t="s">
        <v>240</v>
      </c>
      <c r="DQ57" s="5" t="s">
        <v>240</v>
      </c>
      <c r="DR57" s="5" t="s">
        <v>240</v>
      </c>
      <c r="DS57" s="5" t="s">
        <v>240</v>
      </c>
      <c r="DV57" s="5" t="s">
        <v>310</v>
      </c>
      <c r="DW57" s="5" t="s">
        <v>404</v>
      </c>
      <c r="HO57" s="5" t="s">
        <v>312</v>
      </c>
    </row>
    <row r="58" spans="1:240" x14ac:dyDescent="0.4">
      <c r="A58" s="5">
        <v>765</v>
      </c>
      <c r="B58" s="5">
        <v>1</v>
      </c>
      <c r="C58" s="5">
        <v>1</v>
      </c>
      <c r="D58" s="5" t="s">
        <v>1860</v>
      </c>
      <c r="E58" s="5" t="s">
        <v>1131</v>
      </c>
      <c r="F58" s="5" t="s">
        <v>254</v>
      </c>
      <c r="G58" s="5" t="s">
        <v>240</v>
      </c>
      <c r="H58" s="6" t="s">
        <v>1871</v>
      </c>
      <c r="I58" s="5" t="s">
        <v>1859</v>
      </c>
      <c r="J58" s="8">
        <f>2612</f>
        <v>2612</v>
      </c>
      <c r="K58" s="5" t="s">
        <v>308</v>
      </c>
      <c r="L58" s="7">
        <f>5785580</f>
        <v>5785580</v>
      </c>
      <c r="M58" s="7">
        <f>5785580</f>
        <v>5785580</v>
      </c>
      <c r="N58" s="5" t="s">
        <v>242</v>
      </c>
      <c r="O58" s="5">
        <v>1</v>
      </c>
      <c r="P58" s="5" t="s">
        <v>294</v>
      </c>
      <c r="Q58" s="5" t="s">
        <v>266</v>
      </c>
      <c r="R58" s="5" t="s">
        <v>240</v>
      </c>
      <c r="S58" s="5" t="s">
        <v>240</v>
      </c>
      <c r="T58" s="5" t="s">
        <v>296</v>
      </c>
      <c r="U58" s="5" t="s">
        <v>244</v>
      </c>
      <c r="V58" s="5" t="s">
        <v>240</v>
      </c>
      <c r="Y58" s="5" t="s">
        <v>240</v>
      </c>
      <c r="Z58" s="6" t="s">
        <v>298</v>
      </c>
      <c r="AB58" s="6" t="s">
        <v>240</v>
      </c>
      <c r="AE58" s="6" t="s">
        <v>299</v>
      </c>
      <c r="AF58" s="5" t="s">
        <v>248</v>
      </c>
      <c r="AG58" s="5" t="s">
        <v>249</v>
      </c>
      <c r="AW58" s="5" t="s">
        <v>251</v>
      </c>
      <c r="AX58" s="5" t="s">
        <v>240</v>
      </c>
      <c r="AY58" s="5" t="s">
        <v>253</v>
      </c>
      <c r="AZ58" s="5" t="s">
        <v>240</v>
      </c>
      <c r="BA58" s="5" t="s">
        <v>255</v>
      </c>
      <c r="BB58" s="5" t="s">
        <v>240</v>
      </c>
      <c r="BD58" s="5" t="s">
        <v>240</v>
      </c>
      <c r="BF58" s="5" t="s">
        <v>301</v>
      </c>
      <c r="BG58" s="6" t="s">
        <v>299</v>
      </c>
      <c r="BH58" s="5" t="s">
        <v>302</v>
      </c>
      <c r="BI58" s="5" t="s">
        <v>303</v>
      </c>
      <c r="BJ58" s="5" t="s">
        <v>240</v>
      </c>
      <c r="BK58" s="8">
        <f>0</f>
        <v>0</v>
      </c>
      <c r="BL58" s="7">
        <f>0</f>
        <v>0</v>
      </c>
      <c r="BM58" s="5" t="s">
        <v>258</v>
      </c>
      <c r="BN58" s="5" t="s">
        <v>259</v>
      </c>
      <c r="CB58" s="5" t="s">
        <v>240</v>
      </c>
      <c r="CC58" s="5" t="s">
        <v>240</v>
      </c>
      <c r="CG58" s="5" t="s">
        <v>304</v>
      </c>
      <c r="CH58" s="5" t="s">
        <v>305</v>
      </c>
      <c r="CI58" s="5" t="s">
        <v>240</v>
      </c>
      <c r="CL58" s="6" t="s">
        <v>261</v>
      </c>
      <c r="CM58" s="5" t="s">
        <v>240</v>
      </c>
      <c r="CN58" s="5" t="s">
        <v>263</v>
      </c>
      <c r="CO58" s="5" t="s">
        <v>240</v>
      </c>
      <c r="CP58" s="5" t="s">
        <v>240</v>
      </c>
      <c r="CQ58" s="5">
        <v>0</v>
      </c>
      <c r="CR58" s="5" t="s">
        <v>306</v>
      </c>
      <c r="CS58" s="5" t="s">
        <v>307</v>
      </c>
      <c r="CT58" s="5" t="s">
        <v>307</v>
      </c>
      <c r="CU58" s="5" t="s">
        <v>260</v>
      </c>
      <c r="CX58" s="7">
        <f>1</f>
        <v>1</v>
      </c>
      <c r="CY58" s="7">
        <f>0</f>
        <v>0</v>
      </c>
      <c r="DA58" s="7">
        <f>0</f>
        <v>0</v>
      </c>
      <c r="DC58" s="5" t="s">
        <v>309</v>
      </c>
      <c r="DD58" s="5" t="s">
        <v>240</v>
      </c>
      <c r="DF58" s="5" t="s">
        <v>309</v>
      </c>
      <c r="DG58" s="7">
        <f>2218</f>
        <v>2218</v>
      </c>
      <c r="DI58" s="5" t="s">
        <v>240</v>
      </c>
      <c r="DJ58" s="5" t="s">
        <v>240</v>
      </c>
      <c r="DK58" s="5" t="s">
        <v>240</v>
      </c>
      <c r="DL58" s="5" t="s">
        <v>240</v>
      </c>
      <c r="DP58" s="5" t="s">
        <v>240</v>
      </c>
      <c r="DQ58" s="5" t="s">
        <v>240</v>
      </c>
      <c r="DR58" s="5" t="s">
        <v>240</v>
      </c>
      <c r="DS58" s="5" t="s">
        <v>240</v>
      </c>
      <c r="DV58" s="5" t="s">
        <v>310</v>
      </c>
      <c r="DW58" s="5" t="s">
        <v>406</v>
      </c>
      <c r="HO58" s="5" t="s">
        <v>312</v>
      </c>
    </row>
    <row r="59" spans="1:240" x14ac:dyDescent="0.4">
      <c r="A59" s="5">
        <v>766</v>
      </c>
      <c r="B59" s="5">
        <v>1</v>
      </c>
      <c r="C59" s="5">
        <v>1</v>
      </c>
      <c r="D59" s="5" t="s">
        <v>1860</v>
      </c>
      <c r="E59" s="5" t="s">
        <v>1131</v>
      </c>
      <c r="F59" s="5" t="s">
        <v>254</v>
      </c>
      <c r="G59" s="5" t="s">
        <v>240</v>
      </c>
      <c r="H59" s="6" t="s">
        <v>1870</v>
      </c>
      <c r="I59" s="5" t="s">
        <v>1859</v>
      </c>
      <c r="J59" s="8">
        <f>5.97</f>
        <v>5.97</v>
      </c>
      <c r="K59" s="5" t="s">
        <v>308</v>
      </c>
      <c r="L59" s="7">
        <f>2925</f>
        <v>2925</v>
      </c>
      <c r="M59" s="7">
        <f>2925</f>
        <v>2925</v>
      </c>
      <c r="N59" s="5" t="s">
        <v>242</v>
      </c>
      <c r="O59" s="5">
        <v>1</v>
      </c>
      <c r="P59" s="5" t="s">
        <v>294</v>
      </c>
      <c r="Q59" s="5" t="s">
        <v>266</v>
      </c>
      <c r="R59" s="5" t="s">
        <v>240</v>
      </c>
      <c r="S59" s="5" t="s">
        <v>240</v>
      </c>
      <c r="T59" s="5" t="s">
        <v>296</v>
      </c>
      <c r="U59" s="5" t="s">
        <v>244</v>
      </c>
      <c r="V59" s="5" t="s">
        <v>240</v>
      </c>
      <c r="Y59" s="5" t="s">
        <v>240</v>
      </c>
      <c r="Z59" s="6" t="s">
        <v>298</v>
      </c>
      <c r="AB59" s="6" t="s">
        <v>240</v>
      </c>
      <c r="AE59" s="6" t="s">
        <v>299</v>
      </c>
      <c r="AF59" s="5" t="s">
        <v>248</v>
      </c>
      <c r="AG59" s="5" t="s">
        <v>249</v>
      </c>
      <c r="AW59" s="5" t="s">
        <v>251</v>
      </c>
      <c r="AX59" s="5" t="s">
        <v>240</v>
      </c>
      <c r="AY59" s="5" t="s">
        <v>253</v>
      </c>
      <c r="AZ59" s="5" t="s">
        <v>240</v>
      </c>
      <c r="BA59" s="5" t="s">
        <v>255</v>
      </c>
      <c r="BB59" s="5" t="s">
        <v>240</v>
      </c>
      <c r="BD59" s="5" t="s">
        <v>240</v>
      </c>
      <c r="BF59" s="5" t="s">
        <v>301</v>
      </c>
      <c r="BG59" s="6" t="s">
        <v>299</v>
      </c>
      <c r="BH59" s="5" t="s">
        <v>302</v>
      </c>
      <c r="BI59" s="5" t="s">
        <v>303</v>
      </c>
      <c r="BJ59" s="5" t="s">
        <v>240</v>
      </c>
      <c r="BK59" s="8">
        <f>0</f>
        <v>0</v>
      </c>
      <c r="BL59" s="7">
        <f>0</f>
        <v>0</v>
      </c>
      <c r="BM59" s="5" t="s">
        <v>258</v>
      </c>
      <c r="BN59" s="5" t="s">
        <v>259</v>
      </c>
      <c r="CB59" s="5" t="s">
        <v>240</v>
      </c>
      <c r="CC59" s="5" t="s">
        <v>240</v>
      </c>
      <c r="CG59" s="5" t="s">
        <v>304</v>
      </c>
      <c r="CH59" s="5" t="s">
        <v>305</v>
      </c>
      <c r="CI59" s="5" t="s">
        <v>240</v>
      </c>
      <c r="CL59" s="6" t="s">
        <v>261</v>
      </c>
      <c r="CM59" s="5" t="s">
        <v>240</v>
      </c>
      <c r="CN59" s="5" t="s">
        <v>263</v>
      </c>
      <c r="CO59" s="5" t="s">
        <v>240</v>
      </c>
      <c r="CP59" s="5" t="s">
        <v>240</v>
      </c>
      <c r="CQ59" s="5">
        <v>0</v>
      </c>
      <c r="CR59" s="5" t="s">
        <v>306</v>
      </c>
      <c r="CS59" s="5" t="s">
        <v>307</v>
      </c>
      <c r="CT59" s="5" t="s">
        <v>307</v>
      </c>
      <c r="CU59" s="5" t="s">
        <v>260</v>
      </c>
      <c r="CX59" s="7">
        <f>1</f>
        <v>1</v>
      </c>
      <c r="CY59" s="7">
        <f>0</f>
        <v>0</v>
      </c>
      <c r="DA59" s="7">
        <f>0</f>
        <v>0</v>
      </c>
      <c r="DC59" s="5" t="s">
        <v>309</v>
      </c>
      <c r="DD59" s="5" t="s">
        <v>240</v>
      </c>
      <c r="DF59" s="5" t="s">
        <v>309</v>
      </c>
      <c r="DG59" s="7">
        <f>5722</f>
        <v>5722</v>
      </c>
      <c r="DI59" s="5" t="s">
        <v>240</v>
      </c>
      <c r="DJ59" s="5" t="s">
        <v>240</v>
      </c>
      <c r="DK59" s="5" t="s">
        <v>240</v>
      </c>
      <c r="DL59" s="5" t="s">
        <v>240</v>
      </c>
      <c r="DP59" s="5" t="s">
        <v>240</v>
      </c>
      <c r="DQ59" s="5" t="s">
        <v>240</v>
      </c>
      <c r="DR59" s="5" t="s">
        <v>240</v>
      </c>
      <c r="DS59" s="5" t="s">
        <v>240</v>
      </c>
      <c r="DV59" s="5" t="s">
        <v>310</v>
      </c>
      <c r="DW59" s="5" t="s">
        <v>408</v>
      </c>
      <c r="HO59" s="5" t="s">
        <v>312</v>
      </c>
    </row>
    <row r="60" spans="1:240" x14ac:dyDescent="0.4">
      <c r="A60" s="5">
        <v>767</v>
      </c>
      <c r="B60" s="5">
        <v>1</v>
      </c>
      <c r="C60" s="5">
        <v>1</v>
      </c>
      <c r="D60" s="5" t="s">
        <v>1860</v>
      </c>
      <c r="E60" s="5" t="s">
        <v>1131</v>
      </c>
      <c r="F60" s="5" t="s">
        <v>254</v>
      </c>
      <c r="G60" s="5" t="s">
        <v>240</v>
      </c>
      <c r="H60" s="6" t="s">
        <v>1869</v>
      </c>
      <c r="I60" s="5" t="s">
        <v>1859</v>
      </c>
      <c r="J60" s="8">
        <f>120</f>
        <v>120</v>
      </c>
      <c r="K60" s="5" t="s">
        <v>308</v>
      </c>
      <c r="L60" s="7">
        <f>58800</f>
        <v>58800</v>
      </c>
      <c r="M60" s="7">
        <f>58800</f>
        <v>58800</v>
      </c>
      <c r="N60" s="5" t="s">
        <v>242</v>
      </c>
      <c r="O60" s="5">
        <v>1</v>
      </c>
      <c r="P60" s="5" t="s">
        <v>294</v>
      </c>
      <c r="Q60" s="5" t="s">
        <v>266</v>
      </c>
      <c r="R60" s="5" t="s">
        <v>240</v>
      </c>
      <c r="S60" s="5" t="s">
        <v>240</v>
      </c>
      <c r="T60" s="5" t="s">
        <v>296</v>
      </c>
      <c r="U60" s="5" t="s">
        <v>244</v>
      </c>
      <c r="V60" s="5" t="s">
        <v>240</v>
      </c>
      <c r="Y60" s="5" t="s">
        <v>240</v>
      </c>
      <c r="Z60" s="6" t="s">
        <v>298</v>
      </c>
      <c r="AB60" s="6" t="s">
        <v>240</v>
      </c>
      <c r="AE60" s="6" t="s">
        <v>299</v>
      </c>
      <c r="AF60" s="5" t="s">
        <v>248</v>
      </c>
      <c r="AG60" s="5" t="s">
        <v>249</v>
      </c>
      <c r="AW60" s="5" t="s">
        <v>251</v>
      </c>
      <c r="AX60" s="5" t="s">
        <v>240</v>
      </c>
      <c r="AY60" s="5" t="s">
        <v>253</v>
      </c>
      <c r="AZ60" s="5" t="s">
        <v>240</v>
      </c>
      <c r="BA60" s="5" t="s">
        <v>255</v>
      </c>
      <c r="BB60" s="5" t="s">
        <v>240</v>
      </c>
      <c r="BD60" s="5" t="s">
        <v>240</v>
      </c>
      <c r="BF60" s="5" t="s">
        <v>301</v>
      </c>
      <c r="BG60" s="6" t="s">
        <v>299</v>
      </c>
      <c r="BH60" s="5" t="s">
        <v>302</v>
      </c>
      <c r="BI60" s="5" t="s">
        <v>303</v>
      </c>
      <c r="BJ60" s="5" t="s">
        <v>240</v>
      </c>
      <c r="BK60" s="8">
        <f>0</f>
        <v>0</v>
      </c>
      <c r="BL60" s="7">
        <f>0</f>
        <v>0</v>
      </c>
      <c r="BM60" s="5" t="s">
        <v>258</v>
      </c>
      <c r="BN60" s="5" t="s">
        <v>259</v>
      </c>
      <c r="CB60" s="5" t="s">
        <v>240</v>
      </c>
      <c r="CC60" s="5" t="s">
        <v>240</v>
      </c>
      <c r="CG60" s="5" t="s">
        <v>304</v>
      </c>
      <c r="CH60" s="5" t="s">
        <v>305</v>
      </c>
      <c r="CI60" s="5" t="s">
        <v>240</v>
      </c>
      <c r="CL60" s="6" t="s">
        <v>261</v>
      </c>
      <c r="CM60" s="5" t="s">
        <v>240</v>
      </c>
      <c r="CN60" s="5" t="s">
        <v>263</v>
      </c>
      <c r="CO60" s="5" t="s">
        <v>240</v>
      </c>
      <c r="CP60" s="5" t="s">
        <v>240</v>
      </c>
      <c r="CQ60" s="5">
        <v>0</v>
      </c>
      <c r="CR60" s="5" t="s">
        <v>306</v>
      </c>
      <c r="CS60" s="5" t="s">
        <v>307</v>
      </c>
      <c r="CT60" s="5" t="s">
        <v>307</v>
      </c>
      <c r="CU60" s="5" t="s">
        <v>260</v>
      </c>
      <c r="CX60" s="7">
        <f>1</f>
        <v>1</v>
      </c>
      <c r="CY60" s="7">
        <f>0</f>
        <v>0</v>
      </c>
      <c r="DA60" s="7">
        <f>0</f>
        <v>0</v>
      </c>
      <c r="DC60" s="5" t="s">
        <v>309</v>
      </c>
      <c r="DD60" s="5" t="s">
        <v>240</v>
      </c>
      <c r="DF60" s="5" t="s">
        <v>309</v>
      </c>
      <c r="DG60" s="7">
        <f>675</f>
        <v>675</v>
      </c>
      <c r="DI60" s="5" t="s">
        <v>240</v>
      </c>
      <c r="DJ60" s="5" t="s">
        <v>240</v>
      </c>
      <c r="DK60" s="5" t="s">
        <v>240</v>
      </c>
      <c r="DL60" s="5" t="s">
        <v>240</v>
      </c>
      <c r="DP60" s="5" t="s">
        <v>240</v>
      </c>
      <c r="DQ60" s="5" t="s">
        <v>240</v>
      </c>
      <c r="DR60" s="5" t="s">
        <v>240</v>
      </c>
      <c r="DS60" s="5" t="s">
        <v>240</v>
      </c>
      <c r="DV60" s="5" t="s">
        <v>310</v>
      </c>
      <c r="DW60" s="5" t="s">
        <v>410</v>
      </c>
      <c r="HO60" s="5" t="s">
        <v>312</v>
      </c>
    </row>
    <row r="61" spans="1:240" x14ac:dyDescent="0.4">
      <c r="A61" s="5">
        <v>768</v>
      </c>
      <c r="B61" s="5">
        <v>1</v>
      </c>
      <c r="C61" s="5">
        <v>1</v>
      </c>
      <c r="D61" s="5" t="s">
        <v>1860</v>
      </c>
      <c r="E61" s="5" t="s">
        <v>1131</v>
      </c>
      <c r="F61" s="5" t="s">
        <v>254</v>
      </c>
      <c r="G61" s="5" t="s">
        <v>240</v>
      </c>
      <c r="H61" s="6" t="s">
        <v>1868</v>
      </c>
      <c r="I61" s="5" t="s">
        <v>1859</v>
      </c>
      <c r="J61" s="8">
        <f>8.71</f>
        <v>8.7100000000000009</v>
      </c>
      <c r="K61" s="5" t="s">
        <v>308</v>
      </c>
      <c r="L61" s="7">
        <f>243</f>
        <v>243</v>
      </c>
      <c r="M61" s="7">
        <f>243</f>
        <v>243</v>
      </c>
      <c r="N61" s="5" t="s">
        <v>242</v>
      </c>
      <c r="O61" s="5">
        <v>1</v>
      </c>
      <c r="P61" s="5" t="s">
        <v>294</v>
      </c>
      <c r="Q61" s="5" t="s">
        <v>266</v>
      </c>
      <c r="R61" s="5" t="s">
        <v>240</v>
      </c>
      <c r="S61" s="5" t="s">
        <v>240</v>
      </c>
      <c r="T61" s="5" t="s">
        <v>296</v>
      </c>
      <c r="U61" s="5" t="s">
        <v>244</v>
      </c>
      <c r="V61" s="5" t="s">
        <v>240</v>
      </c>
      <c r="Y61" s="5" t="s">
        <v>240</v>
      </c>
      <c r="Z61" s="6" t="s">
        <v>298</v>
      </c>
      <c r="AB61" s="6" t="s">
        <v>240</v>
      </c>
      <c r="AE61" s="6" t="s">
        <v>299</v>
      </c>
      <c r="AF61" s="5" t="s">
        <v>248</v>
      </c>
      <c r="AG61" s="5" t="s">
        <v>249</v>
      </c>
      <c r="AW61" s="5" t="s">
        <v>251</v>
      </c>
      <c r="AX61" s="5" t="s">
        <v>240</v>
      </c>
      <c r="AY61" s="5" t="s">
        <v>253</v>
      </c>
      <c r="AZ61" s="5" t="s">
        <v>240</v>
      </c>
      <c r="BA61" s="5" t="s">
        <v>255</v>
      </c>
      <c r="BB61" s="5" t="s">
        <v>240</v>
      </c>
      <c r="BD61" s="5" t="s">
        <v>240</v>
      </c>
      <c r="BF61" s="5" t="s">
        <v>301</v>
      </c>
      <c r="BG61" s="6" t="s">
        <v>299</v>
      </c>
      <c r="BH61" s="5" t="s">
        <v>302</v>
      </c>
      <c r="BI61" s="5" t="s">
        <v>303</v>
      </c>
      <c r="BJ61" s="5" t="s">
        <v>240</v>
      </c>
      <c r="BK61" s="8">
        <f>0</f>
        <v>0</v>
      </c>
      <c r="BL61" s="7">
        <f>0</f>
        <v>0</v>
      </c>
      <c r="BM61" s="5" t="s">
        <v>258</v>
      </c>
      <c r="BN61" s="5" t="s">
        <v>259</v>
      </c>
      <c r="CB61" s="5" t="s">
        <v>240</v>
      </c>
      <c r="CC61" s="5" t="s">
        <v>240</v>
      </c>
      <c r="CG61" s="5" t="s">
        <v>304</v>
      </c>
      <c r="CH61" s="5" t="s">
        <v>305</v>
      </c>
      <c r="CI61" s="5" t="s">
        <v>240</v>
      </c>
      <c r="CL61" s="6" t="s">
        <v>261</v>
      </c>
      <c r="CM61" s="5" t="s">
        <v>240</v>
      </c>
      <c r="CN61" s="5" t="s">
        <v>263</v>
      </c>
      <c r="CO61" s="5" t="s">
        <v>240</v>
      </c>
      <c r="CP61" s="5" t="s">
        <v>240</v>
      </c>
      <c r="CQ61" s="5">
        <v>0</v>
      </c>
      <c r="CR61" s="5" t="s">
        <v>306</v>
      </c>
      <c r="CS61" s="5" t="s">
        <v>307</v>
      </c>
      <c r="CT61" s="5" t="s">
        <v>307</v>
      </c>
      <c r="CU61" s="5" t="s">
        <v>260</v>
      </c>
      <c r="CX61" s="7">
        <f>1</f>
        <v>1</v>
      </c>
      <c r="CY61" s="7">
        <f>0</f>
        <v>0</v>
      </c>
      <c r="DA61" s="7">
        <f>0</f>
        <v>0</v>
      </c>
      <c r="DC61" s="5" t="s">
        <v>309</v>
      </c>
      <c r="DD61" s="5" t="s">
        <v>240</v>
      </c>
      <c r="DF61" s="5" t="s">
        <v>309</v>
      </c>
      <c r="DG61" s="7">
        <f>1359</f>
        <v>1359</v>
      </c>
      <c r="DI61" s="5" t="s">
        <v>240</v>
      </c>
      <c r="DJ61" s="5" t="s">
        <v>240</v>
      </c>
      <c r="DK61" s="5" t="s">
        <v>240</v>
      </c>
      <c r="DL61" s="5" t="s">
        <v>240</v>
      </c>
      <c r="DP61" s="5" t="s">
        <v>240</v>
      </c>
      <c r="DQ61" s="5" t="s">
        <v>240</v>
      </c>
      <c r="DR61" s="5" t="s">
        <v>240</v>
      </c>
      <c r="DS61" s="5" t="s">
        <v>240</v>
      </c>
      <c r="DV61" s="5" t="s">
        <v>310</v>
      </c>
      <c r="DW61" s="5" t="s">
        <v>412</v>
      </c>
      <c r="HO61" s="5" t="s">
        <v>312</v>
      </c>
    </row>
    <row r="62" spans="1:240" x14ac:dyDescent="0.4">
      <c r="A62" s="5">
        <v>769</v>
      </c>
      <c r="B62" s="5">
        <v>1</v>
      </c>
      <c r="C62" s="5">
        <v>1</v>
      </c>
      <c r="D62" s="5" t="s">
        <v>1860</v>
      </c>
      <c r="E62" s="5" t="s">
        <v>1131</v>
      </c>
      <c r="F62" s="5" t="s">
        <v>254</v>
      </c>
      <c r="G62" s="5" t="s">
        <v>240</v>
      </c>
      <c r="H62" s="6" t="s">
        <v>1867</v>
      </c>
      <c r="I62" s="5" t="s">
        <v>1859</v>
      </c>
      <c r="J62" s="8">
        <f>43</f>
        <v>43</v>
      </c>
      <c r="K62" s="5" t="s">
        <v>308</v>
      </c>
      <c r="L62" s="7">
        <f>21070</f>
        <v>21070</v>
      </c>
      <c r="M62" s="7">
        <f>21070</f>
        <v>21070</v>
      </c>
      <c r="N62" s="5" t="s">
        <v>242</v>
      </c>
      <c r="O62" s="5">
        <v>1</v>
      </c>
      <c r="P62" s="5" t="s">
        <v>294</v>
      </c>
      <c r="Q62" s="5" t="s">
        <v>266</v>
      </c>
      <c r="R62" s="5" t="s">
        <v>240</v>
      </c>
      <c r="S62" s="5" t="s">
        <v>240</v>
      </c>
      <c r="T62" s="5" t="s">
        <v>296</v>
      </c>
      <c r="U62" s="5" t="s">
        <v>244</v>
      </c>
      <c r="V62" s="5" t="s">
        <v>240</v>
      </c>
      <c r="Y62" s="5" t="s">
        <v>240</v>
      </c>
      <c r="Z62" s="6" t="s">
        <v>298</v>
      </c>
      <c r="AB62" s="6" t="s">
        <v>240</v>
      </c>
      <c r="AE62" s="6" t="s">
        <v>299</v>
      </c>
      <c r="AF62" s="5" t="s">
        <v>248</v>
      </c>
      <c r="AG62" s="5" t="s">
        <v>249</v>
      </c>
      <c r="AW62" s="5" t="s">
        <v>251</v>
      </c>
      <c r="AX62" s="5" t="s">
        <v>240</v>
      </c>
      <c r="AY62" s="5" t="s">
        <v>253</v>
      </c>
      <c r="AZ62" s="5" t="s">
        <v>240</v>
      </c>
      <c r="BA62" s="5" t="s">
        <v>255</v>
      </c>
      <c r="BB62" s="5" t="s">
        <v>240</v>
      </c>
      <c r="BD62" s="5" t="s">
        <v>240</v>
      </c>
      <c r="BF62" s="5" t="s">
        <v>301</v>
      </c>
      <c r="BG62" s="6" t="s">
        <v>299</v>
      </c>
      <c r="BH62" s="5" t="s">
        <v>302</v>
      </c>
      <c r="BI62" s="5" t="s">
        <v>303</v>
      </c>
      <c r="BJ62" s="5" t="s">
        <v>240</v>
      </c>
      <c r="BK62" s="8">
        <f>0</f>
        <v>0</v>
      </c>
      <c r="BL62" s="7">
        <f>0</f>
        <v>0</v>
      </c>
      <c r="BM62" s="5" t="s">
        <v>258</v>
      </c>
      <c r="BN62" s="5" t="s">
        <v>259</v>
      </c>
      <c r="CB62" s="5" t="s">
        <v>240</v>
      </c>
      <c r="CC62" s="5" t="s">
        <v>240</v>
      </c>
      <c r="CG62" s="5" t="s">
        <v>304</v>
      </c>
      <c r="CH62" s="5" t="s">
        <v>305</v>
      </c>
      <c r="CI62" s="5" t="s">
        <v>240</v>
      </c>
      <c r="CL62" s="6" t="s">
        <v>261</v>
      </c>
      <c r="CM62" s="5" t="s">
        <v>240</v>
      </c>
      <c r="CN62" s="5" t="s">
        <v>263</v>
      </c>
      <c r="CO62" s="5" t="s">
        <v>240</v>
      </c>
      <c r="CP62" s="5" t="s">
        <v>240</v>
      </c>
      <c r="CQ62" s="5">
        <v>0</v>
      </c>
      <c r="CR62" s="5" t="s">
        <v>306</v>
      </c>
      <c r="CS62" s="5" t="s">
        <v>307</v>
      </c>
      <c r="CT62" s="5" t="s">
        <v>307</v>
      </c>
      <c r="CU62" s="5" t="s">
        <v>260</v>
      </c>
      <c r="CX62" s="7">
        <f>1</f>
        <v>1</v>
      </c>
      <c r="CY62" s="7">
        <f>0</f>
        <v>0</v>
      </c>
      <c r="DA62" s="7">
        <f>0</f>
        <v>0</v>
      </c>
      <c r="DC62" s="5" t="s">
        <v>309</v>
      </c>
      <c r="DD62" s="5" t="s">
        <v>240</v>
      </c>
      <c r="DF62" s="5" t="s">
        <v>309</v>
      </c>
      <c r="DG62" s="7">
        <f>714</f>
        <v>714</v>
      </c>
      <c r="DI62" s="5" t="s">
        <v>240</v>
      </c>
      <c r="DJ62" s="5" t="s">
        <v>240</v>
      </c>
      <c r="DK62" s="5" t="s">
        <v>240</v>
      </c>
      <c r="DL62" s="5" t="s">
        <v>240</v>
      </c>
      <c r="DP62" s="5" t="s">
        <v>240</v>
      </c>
      <c r="DQ62" s="5" t="s">
        <v>240</v>
      </c>
      <c r="DR62" s="5" t="s">
        <v>240</v>
      </c>
      <c r="DS62" s="5" t="s">
        <v>240</v>
      </c>
      <c r="DV62" s="5" t="s">
        <v>310</v>
      </c>
      <c r="DW62" s="5" t="s">
        <v>414</v>
      </c>
      <c r="HO62" s="5" t="s">
        <v>312</v>
      </c>
    </row>
    <row r="63" spans="1:240" x14ac:dyDescent="0.4">
      <c r="A63" s="5">
        <v>770</v>
      </c>
      <c r="B63" s="5">
        <v>1</v>
      </c>
      <c r="C63" s="5">
        <v>1</v>
      </c>
      <c r="D63" s="5" t="s">
        <v>1860</v>
      </c>
      <c r="E63" s="5" t="s">
        <v>1131</v>
      </c>
      <c r="F63" s="5" t="s">
        <v>254</v>
      </c>
      <c r="G63" s="5" t="s">
        <v>240</v>
      </c>
      <c r="H63" s="6" t="s">
        <v>1866</v>
      </c>
      <c r="I63" s="5" t="s">
        <v>1859</v>
      </c>
      <c r="J63" s="8">
        <f>112</f>
        <v>112</v>
      </c>
      <c r="K63" s="5" t="s">
        <v>308</v>
      </c>
      <c r="L63" s="7">
        <f>3136</f>
        <v>3136</v>
      </c>
      <c r="M63" s="7">
        <f>3136</f>
        <v>3136</v>
      </c>
      <c r="N63" s="5" t="s">
        <v>242</v>
      </c>
      <c r="O63" s="5">
        <v>1</v>
      </c>
      <c r="P63" s="5" t="s">
        <v>294</v>
      </c>
      <c r="Q63" s="5" t="s">
        <v>266</v>
      </c>
      <c r="R63" s="5" t="s">
        <v>240</v>
      </c>
      <c r="S63" s="5" t="s">
        <v>240</v>
      </c>
      <c r="T63" s="5" t="s">
        <v>296</v>
      </c>
      <c r="U63" s="5" t="s">
        <v>244</v>
      </c>
      <c r="V63" s="5" t="s">
        <v>240</v>
      </c>
      <c r="Y63" s="5" t="s">
        <v>240</v>
      </c>
      <c r="Z63" s="6" t="s">
        <v>298</v>
      </c>
      <c r="AB63" s="6" t="s">
        <v>240</v>
      </c>
      <c r="AE63" s="6" t="s">
        <v>299</v>
      </c>
      <c r="AF63" s="5" t="s">
        <v>248</v>
      </c>
      <c r="AG63" s="5" t="s">
        <v>249</v>
      </c>
      <c r="AW63" s="5" t="s">
        <v>251</v>
      </c>
      <c r="AX63" s="5" t="s">
        <v>240</v>
      </c>
      <c r="AY63" s="5" t="s">
        <v>253</v>
      </c>
      <c r="AZ63" s="5" t="s">
        <v>240</v>
      </c>
      <c r="BA63" s="5" t="s">
        <v>255</v>
      </c>
      <c r="BB63" s="5" t="s">
        <v>240</v>
      </c>
      <c r="BD63" s="5" t="s">
        <v>240</v>
      </c>
      <c r="BF63" s="5" t="s">
        <v>301</v>
      </c>
      <c r="BG63" s="6" t="s">
        <v>299</v>
      </c>
      <c r="BH63" s="5" t="s">
        <v>302</v>
      </c>
      <c r="BI63" s="5" t="s">
        <v>303</v>
      </c>
      <c r="BJ63" s="5" t="s">
        <v>240</v>
      </c>
      <c r="BK63" s="8">
        <f>0</f>
        <v>0</v>
      </c>
      <c r="BL63" s="7">
        <f>0</f>
        <v>0</v>
      </c>
      <c r="BM63" s="5" t="s">
        <v>258</v>
      </c>
      <c r="BN63" s="5" t="s">
        <v>259</v>
      </c>
      <c r="CB63" s="5" t="s">
        <v>240</v>
      </c>
      <c r="CC63" s="5" t="s">
        <v>240</v>
      </c>
      <c r="CG63" s="5" t="s">
        <v>304</v>
      </c>
      <c r="CH63" s="5" t="s">
        <v>305</v>
      </c>
      <c r="CI63" s="5" t="s">
        <v>240</v>
      </c>
      <c r="CL63" s="6" t="s">
        <v>261</v>
      </c>
      <c r="CM63" s="5" t="s">
        <v>240</v>
      </c>
      <c r="CN63" s="5" t="s">
        <v>263</v>
      </c>
      <c r="CO63" s="5" t="s">
        <v>240</v>
      </c>
      <c r="CP63" s="5" t="s">
        <v>240</v>
      </c>
      <c r="CQ63" s="5">
        <v>0</v>
      </c>
      <c r="CR63" s="5" t="s">
        <v>306</v>
      </c>
      <c r="CS63" s="5" t="s">
        <v>307</v>
      </c>
      <c r="CT63" s="5" t="s">
        <v>307</v>
      </c>
      <c r="CU63" s="5" t="s">
        <v>260</v>
      </c>
      <c r="CX63" s="7">
        <f>1</f>
        <v>1</v>
      </c>
      <c r="CY63" s="7">
        <f>0</f>
        <v>0</v>
      </c>
      <c r="DA63" s="7">
        <f>0</f>
        <v>0</v>
      </c>
      <c r="DC63" s="5" t="s">
        <v>309</v>
      </c>
      <c r="DD63" s="5" t="s">
        <v>240</v>
      </c>
      <c r="DF63" s="5" t="s">
        <v>309</v>
      </c>
      <c r="DG63" s="7">
        <f>1760</f>
        <v>1760</v>
      </c>
      <c r="DI63" s="5" t="s">
        <v>240</v>
      </c>
      <c r="DJ63" s="5" t="s">
        <v>240</v>
      </c>
      <c r="DK63" s="5" t="s">
        <v>240</v>
      </c>
      <c r="DL63" s="5" t="s">
        <v>240</v>
      </c>
      <c r="DP63" s="5" t="s">
        <v>240</v>
      </c>
      <c r="DQ63" s="5" t="s">
        <v>240</v>
      </c>
      <c r="DR63" s="5" t="s">
        <v>240</v>
      </c>
      <c r="DS63" s="5" t="s">
        <v>240</v>
      </c>
      <c r="DV63" s="5" t="s">
        <v>310</v>
      </c>
      <c r="DW63" s="5" t="s">
        <v>416</v>
      </c>
      <c r="HO63" s="5" t="s">
        <v>312</v>
      </c>
    </row>
    <row r="64" spans="1:240" x14ac:dyDescent="0.4">
      <c r="A64" s="5">
        <v>771</v>
      </c>
      <c r="B64" s="5">
        <v>1</v>
      </c>
      <c r="C64" s="5">
        <v>1</v>
      </c>
      <c r="D64" s="5" t="s">
        <v>1860</v>
      </c>
      <c r="E64" s="5" t="s">
        <v>1131</v>
      </c>
      <c r="F64" s="5" t="s">
        <v>254</v>
      </c>
      <c r="G64" s="5" t="s">
        <v>240</v>
      </c>
      <c r="H64" s="6" t="s">
        <v>1865</v>
      </c>
      <c r="I64" s="5" t="s">
        <v>1859</v>
      </c>
      <c r="J64" s="8">
        <f>194</f>
        <v>194</v>
      </c>
      <c r="K64" s="5" t="s">
        <v>308</v>
      </c>
      <c r="L64" s="7">
        <f>95060</f>
        <v>95060</v>
      </c>
      <c r="M64" s="7">
        <f>95060</f>
        <v>95060</v>
      </c>
      <c r="N64" s="5" t="s">
        <v>242</v>
      </c>
      <c r="O64" s="5">
        <v>1</v>
      </c>
      <c r="P64" s="5" t="s">
        <v>294</v>
      </c>
      <c r="Q64" s="5" t="s">
        <v>240</v>
      </c>
      <c r="R64" s="5" t="s">
        <v>240</v>
      </c>
      <c r="S64" s="5" t="s">
        <v>240</v>
      </c>
      <c r="T64" s="5" t="s">
        <v>243</v>
      </c>
      <c r="U64" s="5" t="s">
        <v>244</v>
      </c>
      <c r="V64" s="5" t="s">
        <v>240</v>
      </c>
      <c r="W64" s="5" t="s">
        <v>240</v>
      </c>
      <c r="X64" s="5" t="s">
        <v>240</v>
      </c>
      <c r="Y64" s="5" t="s">
        <v>240</v>
      </c>
      <c r="Z64" s="6" t="s">
        <v>419</v>
      </c>
      <c r="AA64" s="6" t="s">
        <v>419</v>
      </c>
      <c r="AB64" s="6" t="s">
        <v>240</v>
      </c>
      <c r="AC64" s="5" t="s">
        <v>240</v>
      </c>
      <c r="AD64" s="6" t="s">
        <v>240</v>
      </c>
      <c r="AE64" s="6" t="s">
        <v>240</v>
      </c>
      <c r="AF64" s="5" t="s">
        <v>248</v>
      </c>
      <c r="AG64" s="5" t="s">
        <v>249</v>
      </c>
      <c r="AH64" s="5" t="s">
        <v>240</v>
      </c>
      <c r="AI64" s="5" t="s">
        <v>240</v>
      </c>
      <c r="AJ64" s="5" t="s">
        <v>240</v>
      </c>
      <c r="AK64" s="5" t="s">
        <v>240</v>
      </c>
      <c r="AL64" s="5" t="s">
        <v>240</v>
      </c>
      <c r="AM64" s="5" t="s">
        <v>240</v>
      </c>
      <c r="AN64" s="5" t="s">
        <v>240</v>
      </c>
      <c r="AO64" s="5" t="s">
        <v>240</v>
      </c>
      <c r="AP64" s="6" t="s">
        <v>240</v>
      </c>
      <c r="AQ64" s="6" t="s">
        <v>240</v>
      </c>
      <c r="AR64" s="6" t="s">
        <v>240</v>
      </c>
      <c r="AS64" s="6" t="s">
        <v>240</v>
      </c>
      <c r="AT64" s="5" t="s">
        <v>240</v>
      </c>
      <c r="AU64" s="5" t="s">
        <v>240</v>
      </c>
      <c r="AV64" s="5" t="s">
        <v>240</v>
      </c>
      <c r="AW64" s="5" t="s">
        <v>251</v>
      </c>
      <c r="AX64" s="5" t="s">
        <v>252</v>
      </c>
      <c r="AY64" s="5" t="s">
        <v>253</v>
      </c>
      <c r="AZ64" s="5" t="s">
        <v>240</v>
      </c>
      <c r="BA64" s="5" t="s">
        <v>255</v>
      </c>
      <c r="BB64" s="5" t="s">
        <v>240</v>
      </c>
      <c r="BC64" s="6" t="s">
        <v>240</v>
      </c>
      <c r="BD64" s="5" t="s">
        <v>240</v>
      </c>
      <c r="BE64" s="5" t="s">
        <v>240</v>
      </c>
      <c r="BF64" s="5" t="s">
        <v>256</v>
      </c>
      <c r="BG64" s="6" t="s">
        <v>419</v>
      </c>
      <c r="BH64" s="5" t="s">
        <v>257</v>
      </c>
      <c r="BI64" s="5" t="s">
        <v>240</v>
      </c>
      <c r="BJ64" s="5" t="s">
        <v>240</v>
      </c>
      <c r="BK64" s="7">
        <f>0</f>
        <v>0</v>
      </c>
      <c r="BL64" s="7">
        <f>4679978</f>
        <v>4679978</v>
      </c>
      <c r="BM64" s="5" t="s">
        <v>258</v>
      </c>
      <c r="BN64" s="5" t="s">
        <v>259</v>
      </c>
      <c r="BO64" s="5" t="s">
        <v>240</v>
      </c>
      <c r="BP64" s="5" t="s">
        <v>240</v>
      </c>
      <c r="BQ64" s="5" t="s">
        <v>240</v>
      </c>
      <c r="BR64" s="5" t="s">
        <v>240</v>
      </c>
      <c r="BS64" s="5" t="s">
        <v>240</v>
      </c>
      <c r="BT64" s="5" t="s">
        <v>240</v>
      </c>
      <c r="BU64" s="5" t="s">
        <v>240</v>
      </c>
      <c r="BV64" s="5" t="s">
        <v>240</v>
      </c>
      <c r="BW64" s="6" t="s">
        <v>240</v>
      </c>
      <c r="BX64" s="5" t="s">
        <v>240</v>
      </c>
      <c r="BY64" s="5" t="s">
        <v>260</v>
      </c>
      <c r="BZ64" s="5" t="s">
        <v>260</v>
      </c>
      <c r="CA64" s="5" t="s">
        <v>259</v>
      </c>
      <c r="CB64" s="5" t="s">
        <v>240</v>
      </c>
      <c r="CC64" s="5" t="s">
        <v>240</v>
      </c>
      <c r="CD64" s="5" t="s">
        <v>240</v>
      </c>
      <c r="CE64" s="5" t="s">
        <v>240</v>
      </c>
      <c r="CF64" s="5" t="s">
        <v>240</v>
      </c>
      <c r="CG64" s="5" t="s">
        <v>240</v>
      </c>
      <c r="CH64" s="5" t="s">
        <v>240</v>
      </c>
      <c r="CI64" s="5" t="s">
        <v>240</v>
      </c>
      <c r="CJ64" s="5" t="s">
        <v>240</v>
      </c>
      <c r="CK64" s="5" t="s">
        <v>240</v>
      </c>
      <c r="CL64" s="6" t="s">
        <v>261</v>
      </c>
      <c r="CM64" s="5" t="s">
        <v>262</v>
      </c>
      <c r="CN64" s="5" t="s">
        <v>293</v>
      </c>
      <c r="CO64" s="5" t="s">
        <v>264</v>
      </c>
      <c r="CP64" s="5" t="s">
        <v>240</v>
      </c>
      <c r="CQ64" s="5">
        <v>0</v>
      </c>
      <c r="CR64" s="5" t="s">
        <v>240</v>
      </c>
      <c r="CS64" s="5" t="s">
        <v>240</v>
      </c>
      <c r="CT64" s="5" t="s">
        <v>240</v>
      </c>
      <c r="CU64" s="5" t="s">
        <v>260</v>
      </c>
      <c r="CV64" s="5" t="s">
        <v>240</v>
      </c>
      <c r="CW64" s="8">
        <f>0</f>
        <v>0</v>
      </c>
      <c r="CX64" s="7">
        <f>0</f>
        <v>0</v>
      </c>
      <c r="CY64" s="7">
        <f>0</f>
        <v>0</v>
      </c>
      <c r="CZ64" s="7" t="s">
        <v>240</v>
      </c>
      <c r="DA64" s="7" t="s">
        <v>240</v>
      </c>
      <c r="DB64" s="7" t="s">
        <v>240</v>
      </c>
      <c r="DC64" s="5" t="s">
        <v>240</v>
      </c>
      <c r="DD64" s="5" t="s">
        <v>240</v>
      </c>
      <c r="DE64" s="5" t="s">
        <v>240</v>
      </c>
      <c r="DF64" s="5" t="s">
        <v>240</v>
      </c>
      <c r="DG64" s="7">
        <f>0</f>
        <v>0</v>
      </c>
      <c r="DH64" s="6" t="s">
        <v>240</v>
      </c>
      <c r="DI64" s="5" t="s">
        <v>240</v>
      </c>
      <c r="DJ64" s="5" t="s">
        <v>240</v>
      </c>
      <c r="DK64" s="5" t="s">
        <v>240</v>
      </c>
      <c r="DL64" s="5" t="s">
        <v>240</v>
      </c>
      <c r="DM64" s="5" t="s">
        <v>240</v>
      </c>
      <c r="DN64" s="5" t="s">
        <v>240</v>
      </c>
      <c r="DO64" s="7" t="s">
        <v>240</v>
      </c>
      <c r="DP64" s="5" t="s">
        <v>240</v>
      </c>
      <c r="DQ64" s="5" t="s">
        <v>240</v>
      </c>
      <c r="DR64" s="5" t="s">
        <v>240</v>
      </c>
      <c r="DS64" s="5" t="s">
        <v>240</v>
      </c>
      <c r="DT64" s="5" t="s">
        <v>240</v>
      </c>
      <c r="DU64" s="5" t="s">
        <v>240</v>
      </c>
      <c r="DV64" s="5" t="s">
        <v>240</v>
      </c>
      <c r="DW64" s="5" t="s">
        <v>240</v>
      </c>
      <c r="DX64" s="5" t="s">
        <v>240</v>
      </c>
      <c r="DY64" s="5" t="s">
        <v>240</v>
      </c>
      <c r="DZ64" s="5" t="s">
        <v>240</v>
      </c>
      <c r="EA64" s="5" t="s">
        <v>240</v>
      </c>
      <c r="EB64" s="5" t="s">
        <v>240</v>
      </c>
      <c r="EC64" s="5" t="s">
        <v>240</v>
      </c>
      <c r="ED64" s="5" t="s">
        <v>240</v>
      </c>
      <c r="EE64" s="5" t="s">
        <v>240</v>
      </c>
      <c r="EF64" s="5" t="s">
        <v>240</v>
      </c>
      <c r="EG64" s="5" t="s">
        <v>240</v>
      </c>
      <c r="EH64" s="5" t="s">
        <v>240</v>
      </c>
      <c r="EI64" s="5" t="s">
        <v>240</v>
      </c>
      <c r="EJ64" s="5" t="s">
        <v>240</v>
      </c>
      <c r="EK64" s="5" t="s">
        <v>240</v>
      </c>
      <c r="EL64" s="5" t="s">
        <v>240</v>
      </c>
      <c r="EM64" s="5" t="s">
        <v>240</v>
      </c>
      <c r="EN64" s="5" t="s">
        <v>240</v>
      </c>
      <c r="EO64" s="5" t="s">
        <v>240</v>
      </c>
      <c r="EP64" s="5" t="s">
        <v>240</v>
      </c>
      <c r="EQ64" s="5" t="s">
        <v>240</v>
      </c>
      <c r="ER64" s="5" t="s">
        <v>240</v>
      </c>
      <c r="ES64" s="5" t="s">
        <v>240</v>
      </c>
      <c r="ET64" s="5" t="s">
        <v>240</v>
      </c>
      <c r="EU64" s="5" t="s">
        <v>240</v>
      </c>
      <c r="EV64" s="5" t="s">
        <v>240</v>
      </c>
      <c r="EW64" s="5" t="s">
        <v>240</v>
      </c>
      <c r="EX64" s="5" t="s">
        <v>240</v>
      </c>
      <c r="EY64" s="5" t="s">
        <v>240</v>
      </c>
      <c r="EZ64" s="5" t="s">
        <v>240</v>
      </c>
      <c r="FA64" s="5" t="s">
        <v>240</v>
      </c>
      <c r="FB64" s="5" t="s">
        <v>240</v>
      </c>
      <c r="FC64" s="5" t="s">
        <v>240</v>
      </c>
      <c r="FD64" s="5" t="s">
        <v>240</v>
      </c>
      <c r="FE64" s="5" t="s">
        <v>240</v>
      </c>
      <c r="FF64" s="5" t="s">
        <v>240</v>
      </c>
      <c r="FG64" s="5" t="s">
        <v>240</v>
      </c>
      <c r="FH64" s="5" t="s">
        <v>240</v>
      </c>
      <c r="FI64" s="5" t="s">
        <v>240</v>
      </c>
      <c r="FJ64" s="5" t="s">
        <v>240</v>
      </c>
      <c r="FK64" s="5" t="s">
        <v>240</v>
      </c>
      <c r="FL64" s="5" t="s">
        <v>240</v>
      </c>
      <c r="FM64" s="5" t="s">
        <v>240</v>
      </c>
      <c r="FN64" s="5" t="s">
        <v>240</v>
      </c>
      <c r="FO64" s="5" t="s">
        <v>240</v>
      </c>
      <c r="FP64" s="5" t="s">
        <v>240</v>
      </c>
      <c r="FQ64" s="5" t="s">
        <v>240</v>
      </c>
      <c r="FR64" s="5" t="s">
        <v>240</v>
      </c>
      <c r="FS64" s="5" t="s">
        <v>240</v>
      </c>
      <c r="FT64" s="5" t="s">
        <v>240</v>
      </c>
      <c r="FU64" s="5" t="s">
        <v>240</v>
      </c>
      <c r="FV64" s="5" t="s">
        <v>240</v>
      </c>
      <c r="FW64" s="5" t="s">
        <v>240</v>
      </c>
      <c r="FX64" s="5" t="s">
        <v>240</v>
      </c>
      <c r="FY64" s="5" t="s">
        <v>240</v>
      </c>
      <c r="FZ64" s="5" t="s">
        <v>240</v>
      </c>
      <c r="GA64" s="5" t="s">
        <v>240</v>
      </c>
      <c r="GB64" s="5" t="s">
        <v>240</v>
      </c>
      <c r="GC64" s="5" t="s">
        <v>240</v>
      </c>
      <c r="GD64" s="5" t="s">
        <v>240</v>
      </c>
      <c r="GE64" s="5" t="s">
        <v>240</v>
      </c>
      <c r="GF64" s="5" t="s">
        <v>240</v>
      </c>
      <c r="GG64" s="5" t="s">
        <v>240</v>
      </c>
      <c r="GH64" s="5" t="s">
        <v>240</v>
      </c>
      <c r="GI64" s="5" t="s">
        <v>240</v>
      </c>
      <c r="GJ64" s="5" t="s">
        <v>240</v>
      </c>
      <c r="GK64" s="5" t="s">
        <v>240</v>
      </c>
      <c r="GL64" s="5" t="s">
        <v>240</v>
      </c>
      <c r="GM64" s="5" t="s">
        <v>240</v>
      </c>
      <c r="GN64" s="5" t="s">
        <v>240</v>
      </c>
      <c r="GO64" s="5" t="s">
        <v>240</v>
      </c>
      <c r="GP64" s="5" t="s">
        <v>240</v>
      </c>
      <c r="GQ64" s="5" t="s">
        <v>240</v>
      </c>
      <c r="GR64" s="5" t="s">
        <v>240</v>
      </c>
      <c r="GS64" s="5" t="s">
        <v>240</v>
      </c>
      <c r="GT64" s="5" t="s">
        <v>240</v>
      </c>
      <c r="GU64" s="5" t="s">
        <v>240</v>
      </c>
      <c r="GV64" s="5" t="s">
        <v>240</v>
      </c>
      <c r="GW64" s="5" t="s">
        <v>240</v>
      </c>
      <c r="GX64" s="5" t="s">
        <v>240</v>
      </c>
      <c r="GY64" s="5" t="s">
        <v>240</v>
      </c>
      <c r="GZ64" s="5" t="s">
        <v>240</v>
      </c>
      <c r="HA64" s="5" t="s">
        <v>240</v>
      </c>
      <c r="HB64" s="5" t="s">
        <v>240</v>
      </c>
      <c r="HC64" s="5" t="s">
        <v>240</v>
      </c>
      <c r="HD64" s="5" t="s">
        <v>240</v>
      </c>
      <c r="HE64" s="5" t="s">
        <v>240</v>
      </c>
      <c r="HF64" s="5" t="s">
        <v>240</v>
      </c>
      <c r="HG64" s="5" t="s">
        <v>240</v>
      </c>
      <c r="HH64" s="5" t="s">
        <v>240</v>
      </c>
      <c r="HI64" s="5" t="s">
        <v>240</v>
      </c>
      <c r="HJ64" s="5" t="s">
        <v>240</v>
      </c>
      <c r="HK64" s="5" t="s">
        <v>240</v>
      </c>
      <c r="HL64" s="5" t="s">
        <v>240</v>
      </c>
      <c r="HM64" s="5" t="s">
        <v>240</v>
      </c>
      <c r="HN64" s="5" t="s">
        <v>240</v>
      </c>
      <c r="HO64" s="5" t="s">
        <v>240</v>
      </c>
      <c r="HP64" s="5" t="s">
        <v>240</v>
      </c>
      <c r="HQ64" s="5" t="s">
        <v>240</v>
      </c>
      <c r="HR64" s="5" t="s">
        <v>240</v>
      </c>
      <c r="HS64" s="5" t="s">
        <v>240</v>
      </c>
      <c r="HT64" s="5" t="s">
        <v>240</v>
      </c>
      <c r="HU64" s="5" t="s">
        <v>240</v>
      </c>
      <c r="HV64" s="5" t="s">
        <v>240</v>
      </c>
      <c r="HW64" s="5" t="s">
        <v>240</v>
      </c>
      <c r="HX64" s="5" t="s">
        <v>240</v>
      </c>
      <c r="HY64" s="5" t="s">
        <v>240</v>
      </c>
      <c r="HZ64" s="5" t="s">
        <v>240</v>
      </c>
      <c r="IA64" s="5" t="s">
        <v>240</v>
      </c>
      <c r="IB64" s="5" t="s">
        <v>240</v>
      </c>
      <c r="IC64" s="5" t="s">
        <v>240</v>
      </c>
      <c r="ID64" s="5" t="s">
        <v>240</v>
      </c>
      <c r="IE64" s="5" t="s">
        <v>240</v>
      </c>
      <c r="IF64" s="5" t="s">
        <v>240</v>
      </c>
    </row>
    <row r="65" spans="1:223" x14ac:dyDescent="0.4">
      <c r="A65" s="5">
        <v>772</v>
      </c>
      <c r="B65" s="5">
        <v>1</v>
      </c>
      <c r="C65" s="5">
        <v>1</v>
      </c>
      <c r="D65" s="5" t="s">
        <v>1860</v>
      </c>
      <c r="E65" s="5" t="s">
        <v>1131</v>
      </c>
      <c r="F65" s="5" t="s">
        <v>254</v>
      </c>
      <c r="G65" s="5" t="s">
        <v>240</v>
      </c>
      <c r="H65" s="6" t="s">
        <v>1864</v>
      </c>
      <c r="I65" s="5" t="s">
        <v>1859</v>
      </c>
      <c r="J65" s="8">
        <f>24</f>
        <v>24</v>
      </c>
      <c r="K65" s="5" t="s">
        <v>308</v>
      </c>
      <c r="L65" s="7">
        <f>11760</f>
        <v>11760</v>
      </c>
      <c r="M65" s="7">
        <f>11760</f>
        <v>11760</v>
      </c>
      <c r="N65" s="5" t="s">
        <v>242</v>
      </c>
      <c r="O65" s="5">
        <v>1</v>
      </c>
      <c r="P65" s="5" t="s">
        <v>294</v>
      </c>
      <c r="Q65" s="5" t="s">
        <v>266</v>
      </c>
      <c r="R65" s="5" t="s">
        <v>240</v>
      </c>
      <c r="S65" s="5" t="s">
        <v>240</v>
      </c>
      <c r="T65" s="5" t="s">
        <v>296</v>
      </c>
      <c r="U65" s="5" t="s">
        <v>244</v>
      </c>
      <c r="V65" s="5" t="s">
        <v>240</v>
      </c>
      <c r="Y65" s="5" t="s">
        <v>240</v>
      </c>
      <c r="Z65" s="6" t="s">
        <v>298</v>
      </c>
      <c r="AB65" s="6" t="s">
        <v>240</v>
      </c>
      <c r="AE65" s="6" t="s">
        <v>299</v>
      </c>
      <c r="AF65" s="5" t="s">
        <v>248</v>
      </c>
      <c r="AG65" s="5" t="s">
        <v>249</v>
      </c>
      <c r="AW65" s="5" t="s">
        <v>251</v>
      </c>
      <c r="AX65" s="5" t="s">
        <v>240</v>
      </c>
      <c r="AY65" s="5" t="s">
        <v>253</v>
      </c>
      <c r="AZ65" s="5" t="s">
        <v>240</v>
      </c>
      <c r="BA65" s="5" t="s">
        <v>255</v>
      </c>
      <c r="BB65" s="5" t="s">
        <v>240</v>
      </c>
      <c r="BD65" s="5" t="s">
        <v>240</v>
      </c>
      <c r="BF65" s="5" t="s">
        <v>301</v>
      </c>
      <c r="BG65" s="6" t="s">
        <v>299</v>
      </c>
      <c r="BH65" s="5" t="s">
        <v>302</v>
      </c>
      <c r="BI65" s="5" t="s">
        <v>303</v>
      </c>
      <c r="BJ65" s="5" t="s">
        <v>240</v>
      </c>
      <c r="BK65" s="8">
        <f>0</f>
        <v>0</v>
      </c>
      <c r="BL65" s="7">
        <f>0</f>
        <v>0</v>
      </c>
      <c r="BM65" s="5" t="s">
        <v>258</v>
      </c>
      <c r="BN65" s="5" t="s">
        <v>259</v>
      </c>
      <c r="CB65" s="5" t="s">
        <v>240</v>
      </c>
      <c r="CC65" s="5" t="s">
        <v>240</v>
      </c>
      <c r="CG65" s="5" t="s">
        <v>304</v>
      </c>
      <c r="CH65" s="5" t="s">
        <v>305</v>
      </c>
      <c r="CI65" s="5" t="s">
        <v>240</v>
      </c>
      <c r="CL65" s="6" t="s">
        <v>261</v>
      </c>
      <c r="CM65" s="5" t="s">
        <v>240</v>
      </c>
      <c r="CN65" s="5" t="s">
        <v>263</v>
      </c>
      <c r="CO65" s="5" t="s">
        <v>240</v>
      </c>
      <c r="CP65" s="5" t="s">
        <v>240</v>
      </c>
      <c r="CQ65" s="5">
        <v>0</v>
      </c>
      <c r="CR65" s="5" t="s">
        <v>306</v>
      </c>
      <c r="CS65" s="5" t="s">
        <v>307</v>
      </c>
      <c r="CT65" s="5" t="s">
        <v>307</v>
      </c>
      <c r="CU65" s="5" t="s">
        <v>260</v>
      </c>
      <c r="CX65" s="7">
        <f>1</f>
        <v>1</v>
      </c>
      <c r="CY65" s="7">
        <f>0</f>
        <v>0</v>
      </c>
      <c r="DA65" s="7">
        <f>0</f>
        <v>0</v>
      </c>
      <c r="DC65" s="5" t="s">
        <v>309</v>
      </c>
      <c r="DD65" s="5" t="s">
        <v>240</v>
      </c>
      <c r="DF65" s="5" t="s">
        <v>309</v>
      </c>
      <c r="DG65" s="7">
        <f>2018</f>
        <v>2018</v>
      </c>
      <c r="DI65" s="5" t="s">
        <v>240</v>
      </c>
      <c r="DJ65" s="5" t="s">
        <v>240</v>
      </c>
      <c r="DK65" s="5" t="s">
        <v>240</v>
      </c>
      <c r="DL65" s="5" t="s">
        <v>240</v>
      </c>
      <c r="DP65" s="5" t="s">
        <v>240</v>
      </c>
      <c r="DQ65" s="5" t="s">
        <v>240</v>
      </c>
      <c r="DR65" s="5" t="s">
        <v>240</v>
      </c>
      <c r="DS65" s="5" t="s">
        <v>240</v>
      </c>
      <c r="DV65" s="5" t="s">
        <v>310</v>
      </c>
      <c r="DW65" s="5" t="s">
        <v>422</v>
      </c>
      <c r="HO65" s="5" t="s">
        <v>312</v>
      </c>
    </row>
    <row r="66" spans="1:223" x14ac:dyDescent="0.4">
      <c r="A66" s="5">
        <v>773</v>
      </c>
      <c r="B66" s="5">
        <v>1</v>
      </c>
      <c r="C66" s="5">
        <v>1</v>
      </c>
      <c r="D66" s="5" t="s">
        <v>1860</v>
      </c>
      <c r="E66" s="5" t="s">
        <v>1131</v>
      </c>
      <c r="F66" s="5" t="s">
        <v>254</v>
      </c>
      <c r="G66" s="5" t="s">
        <v>240</v>
      </c>
      <c r="H66" s="6" t="s">
        <v>1861</v>
      </c>
      <c r="I66" s="5" t="s">
        <v>1859</v>
      </c>
      <c r="J66" s="8">
        <f>1727.85</f>
        <v>1727.85</v>
      </c>
      <c r="K66" s="5" t="s">
        <v>308</v>
      </c>
      <c r="L66" s="7">
        <f>846646</f>
        <v>846646</v>
      </c>
      <c r="M66" s="7">
        <f>846646</f>
        <v>846646</v>
      </c>
      <c r="N66" s="5" t="s">
        <v>242</v>
      </c>
      <c r="O66" s="5">
        <v>1</v>
      </c>
      <c r="P66" s="5" t="s">
        <v>294</v>
      </c>
      <c r="Q66" s="5" t="s">
        <v>266</v>
      </c>
      <c r="R66" s="5" t="s">
        <v>240</v>
      </c>
      <c r="S66" s="5" t="s">
        <v>240</v>
      </c>
      <c r="T66" s="5" t="s">
        <v>296</v>
      </c>
      <c r="U66" s="5" t="s">
        <v>244</v>
      </c>
      <c r="V66" s="5" t="s">
        <v>240</v>
      </c>
      <c r="Y66" s="5" t="s">
        <v>240</v>
      </c>
      <c r="Z66" s="6" t="s">
        <v>298</v>
      </c>
      <c r="AB66" s="6" t="s">
        <v>240</v>
      </c>
      <c r="AE66" s="6" t="s">
        <v>299</v>
      </c>
      <c r="AF66" s="5" t="s">
        <v>248</v>
      </c>
      <c r="AG66" s="5" t="s">
        <v>249</v>
      </c>
      <c r="AW66" s="5" t="s">
        <v>251</v>
      </c>
      <c r="AX66" s="5" t="s">
        <v>240</v>
      </c>
      <c r="AY66" s="5" t="s">
        <v>253</v>
      </c>
      <c r="AZ66" s="5" t="s">
        <v>240</v>
      </c>
      <c r="BA66" s="5" t="s">
        <v>255</v>
      </c>
      <c r="BB66" s="5" t="s">
        <v>240</v>
      </c>
      <c r="BD66" s="5" t="s">
        <v>240</v>
      </c>
      <c r="BF66" s="5" t="s">
        <v>301</v>
      </c>
      <c r="BG66" s="6" t="s">
        <v>299</v>
      </c>
      <c r="BH66" s="5" t="s">
        <v>302</v>
      </c>
      <c r="BI66" s="5" t="s">
        <v>303</v>
      </c>
      <c r="BJ66" s="5" t="s">
        <v>240</v>
      </c>
      <c r="BK66" s="8">
        <f>0</f>
        <v>0</v>
      </c>
      <c r="BL66" s="7">
        <f>0</f>
        <v>0</v>
      </c>
      <c r="BM66" s="5" t="s">
        <v>258</v>
      </c>
      <c r="BN66" s="5" t="s">
        <v>259</v>
      </c>
      <c r="CB66" s="5" t="s">
        <v>240</v>
      </c>
      <c r="CC66" s="5" t="s">
        <v>240</v>
      </c>
      <c r="CG66" s="5" t="s">
        <v>304</v>
      </c>
      <c r="CH66" s="5" t="s">
        <v>305</v>
      </c>
      <c r="CI66" s="5" t="s">
        <v>240</v>
      </c>
      <c r="CL66" s="6" t="s">
        <v>261</v>
      </c>
      <c r="CM66" s="5" t="s">
        <v>240</v>
      </c>
      <c r="CN66" s="5" t="s">
        <v>263</v>
      </c>
      <c r="CO66" s="5" t="s">
        <v>240</v>
      </c>
      <c r="CP66" s="5" t="s">
        <v>240</v>
      </c>
      <c r="CQ66" s="5">
        <v>0</v>
      </c>
      <c r="CR66" s="5" t="s">
        <v>306</v>
      </c>
      <c r="CS66" s="5" t="s">
        <v>307</v>
      </c>
      <c r="CT66" s="5" t="s">
        <v>307</v>
      </c>
      <c r="CU66" s="5" t="s">
        <v>260</v>
      </c>
      <c r="CX66" s="7">
        <f>1</f>
        <v>1</v>
      </c>
      <c r="CY66" s="7">
        <f>0</f>
        <v>0</v>
      </c>
      <c r="DA66" s="7">
        <f>0</f>
        <v>0</v>
      </c>
      <c r="DC66" s="5" t="s">
        <v>309</v>
      </c>
      <c r="DD66" s="5" t="s">
        <v>240</v>
      </c>
      <c r="DF66" s="5" t="s">
        <v>309</v>
      </c>
      <c r="DG66" s="7">
        <f>2865</f>
        <v>2865</v>
      </c>
      <c r="DI66" s="5" t="s">
        <v>240</v>
      </c>
      <c r="DJ66" s="5" t="s">
        <v>240</v>
      </c>
      <c r="DK66" s="5" t="s">
        <v>240</v>
      </c>
      <c r="DL66" s="5" t="s">
        <v>240</v>
      </c>
      <c r="DP66" s="5" t="s">
        <v>240</v>
      </c>
      <c r="DQ66" s="5" t="s">
        <v>240</v>
      </c>
      <c r="DR66" s="5" t="s">
        <v>240</v>
      </c>
      <c r="DS66" s="5" t="s">
        <v>240</v>
      </c>
      <c r="DV66" s="5" t="s">
        <v>310</v>
      </c>
      <c r="DW66" s="5" t="s">
        <v>424</v>
      </c>
      <c r="HO66" s="5" t="s">
        <v>312</v>
      </c>
    </row>
    <row r="67" spans="1:223" x14ac:dyDescent="0.4">
      <c r="A67" s="5">
        <v>774</v>
      </c>
      <c r="B67" s="5">
        <v>1</v>
      </c>
      <c r="C67" s="5">
        <v>1</v>
      </c>
      <c r="D67" s="5" t="s">
        <v>1860</v>
      </c>
      <c r="E67" s="5" t="s">
        <v>1131</v>
      </c>
      <c r="F67" s="5" t="s">
        <v>254</v>
      </c>
      <c r="G67" s="5" t="s">
        <v>240</v>
      </c>
      <c r="H67" s="6" t="s">
        <v>1861</v>
      </c>
      <c r="I67" s="5" t="s">
        <v>1859</v>
      </c>
      <c r="J67" s="8">
        <f>10.32</f>
        <v>10.32</v>
      </c>
      <c r="K67" s="5" t="s">
        <v>308</v>
      </c>
      <c r="L67" s="7">
        <f>5056</f>
        <v>5056</v>
      </c>
      <c r="M67" s="7">
        <f>5056</f>
        <v>5056</v>
      </c>
      <c r="N67" s="5" t="s">
        <v>242</v>
      </c>
      <c r="O67" s="5">
        <v>1</v>
      </c>
      <c r="P67" s="5" t="s">
        <v>294</v>
      </c>
      <c r="Q67" s="5" t="s">
        <v>266</v>
      </c>
      <c r="R67" s="5" t="s">
        <v>240</v>
      </c>
      <c r="S67" s="5" t="s">
        <v>240</v>
      </c>
      <c r="T67" s="5" t="s">
        <v>296</v>
      </c>
      <c r="U67" s="5" t="s">
        <v>244</v>
      </c>
      <c r="V67" s="5" t="s">
        <v>240</v>
      </c>
      <c r="Y67" s="5" t="s">
        <v>240</v>
      </c>
      <c r="Z67" s="6" t="s">
        <v>298</v>
      </c>
      <c r="AB67" s="6" t="s">
        <v>240</v>
      </c>
      <c r="AE67" s="6" t="s">
        <v>299</v>
      </c>
      <c r="AF67" s="5" t="s">
        <v>248</v>
      </c>
      <c r="AG67" s="5" t="s">
        <v>249</v>
      </c>
      <c r="AW67" s="5" t="s">
        <v>251</v>
      </c>
      <c r="AX67" s="5" t="s">
        <v>240</v>
      </c>
      <c r="AY67" s="5" t="s">
        <v>253</v>
      </c>
      <c r="AZ67" s="5" t="s">
        <v>240</v>
      </c>
      <c r="BA67" s="5" t="s">
        <v>255</v>
      </c>
      <c r="BB67" s="5" t="s">
        <v>240</v>
      </c>
      <c r="BD67" s="5" t="s">
        <v>240</v>
      </c>
      <c r="BF67" s="5" t="s">
        <v>301</v>
      </c>
      <c r="BG67" s="6" t="s">
        <v>299</v>
      </c>
      <c r="BH67" s="5" t="s">
        <v>302</v>
      </c>
      <c r="BI67" s="5" t="s">
        <v>303</v>
      </c>
      <c r="BJ67" s="5" t="s">
        <v>240</v>
      </c>
      <c r="BK67" s="8">
        <f>0</f>
        <v>0</v>
      </c>
      <c r="BL67" s="7">
        <f>0</f>
        <v>0</v>
      </c>
      <c r="BM67" s="5" t="s">
        <v>258</v>
      </c>
      <c r="BN67" s="5" t="s">
        <v>259</v>
      </c>
      <c r="CB67" s="5" t="s">
        <v>240</v>
      </c>
      <c r="CC67" s="5" t="s">
        <v>240</v>
      </c>
      <c r="CG67" s="5" t="s">
        <v>304</v>
      </c>
      <c r="CH67" s="5" t="s">
        <v>305</v>
      </c>
      <c r="CI67" s="5" t="s">
        <v>240</v>
      </c>
      <c r="CL67" s="6" t="s">
        <v>261</v>
      </c>
      <c r="CM67" s="5" t="s">
        <v>240</v>
      </c>
      <c r="CN67" s="5" t="s">
        <v>263</v>
      </c>
      <c r="CO67" s="5" t="s">
        <v>240</v>
      </c>
      <c r="CP67" s="5" t="s">
        <v>240</v>
      </c>
      <c r="CQ67" s="5">
        <v>0</v>
      </c>
      <c r="CR67" s="5" t="s">
        <v>306</v>
      </c>
      <c r="CS67" s="5" t="s">
        <v>307</v>
      </c>
      <c r="CT67" s="5" t="s">
        <v>307</v>
      </c>
      <c r="CU67" s="5" t="s">
        <v>260</v>
      </c>
      <c r="CX67" s="7">
        <f>1</f>
        <v>1</v>
      </c>
      <c r="CY67" s="7">
        <f>0</f>
        <v>0</v>
      </c>
      <c r="DA67" s="7">
        <f>0</f>
        <v>0</v>
      </c>
      <c r="DC67" s="5" t="s">
        <v>309</v>
      </c>
      <c r="DD67" s="5" t="s">
        <v>240</v>
      </c>
      <c r="DF67" s="5" t="s">
        <v>309</v>
      </c>
      <c r="DG67" s="7">
        <f>170</f>
        <v>170</v>
      </c>
      <c r="DI67" s="5" t="s">
        <v>240</v>
      </c>
      <c r="DJ67" s="5" t="s">
        <v>240</v>
      </c>
      <c r="DK67" s="5" t="s">
        <v>240</v>
      </c>
      <c r="DL67" s="5" t="s">
        <v>240</v>
      </c>
      <c r="DP67" s="5" t="s">
        <v>240</v>
      </c>
      <c r="DQ67" s="5" t="s">
        <v>240</v>
      </c>
      <c r="DR67" s="5" t="s">
        <v>240</v>
      </c>
      <c r="DS67" s="5" t="s">
        <v>240</v>
      </c>
      <c r="DV67" s="5" t="s">
        <v>310</v>
      </c>
      <c r="DW67" s="5" t="s">
        <v>426</v>
      </c>
      <c r="HO67" s="5" t="s">
        <v>312</v>
      </c>
    </row>
    <row r="68" spans="1:223" x14ac:dyDescent="0.4">
      <c r="A68" s="5">
        <v>775</v>
      </c>
      <c r="B68" s="5">
        <v>1</v>
      </c>
      <c r="C68" s="5">
        <v>1</v>
      </c>
      <c r="D68" s="5" t="s">
        <v>1860</v>
      </c>
      <c r="E68" s="5" t="s">
        <v>1131</v>
      </c>
      <c r="F68" s="5" t="s">
        <v>254</v>
      </c>
      <c r="G68" s="5" t="s">
        <v>240</v>
      </c>
      <c r="H68" s="6" t="s">
        <v>1861</v>
      </c>
      <c r="I68" s="5" t="s">
        <v>1859</v>
      </c>
      <c r="J68" s="8">
        <f>99.66</f>
        <v>99.66</v>
      </c>
      <c r="K68" s="5" t="s">
        <v>308</v>
      </c>
      <c r="L68" s="7">
        <f>48833</f>
        <v>48833</v>
      </c>
      <c r="M68" s="7">
        <f>48833</f>
        <v>48833</v>
      </c>
      <c r="N68" s="5" t="s">
        <v>242</v>
      </c>
      <c r="O68" s="5">
        <v>1</v>
      </c>
      <c r="P68" s="5" t="s">
        <v>294</v>
      </c>
      <c r="Q68" s="5" t="s">
        <v>266</v>
      </c>
      <c r="R68" s="5" t="s">
        <v>240</v>
      </c>
      <c r="S68" s="5" t="s">
        <v>240</v>
      </c>
      <c r="T68" s="5" t="s">
        <v>296</v>
      </c>
      <c r="U68" s="5" t="s">
        <v>244</v>
      </c>
      <c r="V68" s="5" t="s">
        <v>240</v>
      </c>
      <c r="Y68" s="5" t="s">
        <v>240</v>
      </c>
      <c r="Z68" s="6" t="s">
        <v>298</v>
      </c>
      <c r="AB68" s="6" t="s">
        <v>240</v>
      </c>
      <c r="AE68" s="6" t="s">
        <v>299</v>
      </c>
      <c r="AF68" s="5" t="s">
        <v>248</v>
      </c>
      <c r="AG68" s="5" t="s">
        <v>249</v>
      </c>
      <c r="AW68" s="5" t="s">
        <v>251</v>
      </c>
      <c r="AX68" s="5" t="s">
        <v>240</v>
      </c>
      <c r="AY68" s="5" t="s">
        <v>253</v>
      </c>
      <c r="AZ68" s="5" t="s">
        <v>240</v>
      </c>
      <c r="BA68" s="5" t="s">
        <v>255</v>
      </c>
      <c r="BB68" s="5" t="s">
        <v>240</v>
      </c>
      <c r="BD68" s="5" t="s">
        <v>240</v>
      </c>
      <c r="BF68" s="5" t="s">
        <v>301</v>
      </c>
      <c r="BG68" s="6" t="s">
        <v>299</v>
      </c>
      <c r="BH68" s="5" t="s">
        <v>302</v>
      </c>
      <c r="BI68" s="5" t="s">
        <v>303</v>
      </c>
      <c r="BJ68" s="5" t="s">
        <v>240</v>
      </c>
      <c r="BK68" s="8">
        <f>0</f>
        <v>0</v>
      </c>
      <c r="BL68" s="7">
        <f>0</f>
        <v>0</v>
      </c>
      <c r="BM68" s="5" t="s">
        <v>258</v>
      </c>
      <c r="BN68" s="5" t="s">
        <v>259</v>
      </c>
      <c r="CB68" s="5" t="s">
        <v>240</v>
      </c>
      <c r="CC68" s="5" t="s">
        <v>240</v>
      </c>
      <c r="CG68" s="5" t="s">
        <v>304</v>
      </c>
      <c r="CH68" s="5" t="s">
        <v>305</v>
      </c>
      <c r="CI68" s="5" t="s">
        <v>240</v>
      </c>
      <c r="CL68" s="6" t="s">
        <v>261</v>
      </c>
      <c r="CM68" s="5" t="s">
        <v>240</v>
      </c>
      <c r="CN68" s="5" t="s">
        <v>263</v>
      </c>
      <c r="CO68" s="5" t="s">
        <v>240</v>
      </c>
      <c r="CP68" s="5" t="s">
        <v>240</v>
      </c>
      <c r="CQ68" s="5">
        <v>0</v>
      </c>
      <c r="CR68" s="5" t="s">
        <v>306</v>
      </c>
      <c r="CS68" s="5" t="s">
        <v>307</v>
      </c>
      <c r="CT68" s="5" t="s">
        <v>307</v>
      </c>
      <c r="CU68" s="5" t="s">
        <v>260</v>
      </c>
      <c r="CX68" s="7">
        <f>1</f>
        <v>1</v>
      </c>
      <c r="CY68" s="7">
        <f>0</f>
        <v>0</v>
      </c>
      <c r="DA68" s="7">
        <f>0</f>
        <v>0</v>
      </c>
      <c r="DC68" s="5" t="s">
        <v>309</v>
      </c>
      <c r="DD68" s="5" t="s">
        <v>240</v>
      </c>
      <c r="DF68" s="5" t="s">
        <v>309</v>
      </c>
      <c r="DG68" s="7">
        <f>1261</f>
        <v>1261</v>
      </c>
      <c r="DI68" s="5" t="s">
        <v>240</v>
      </c>
      <c r="DJ68" s="5" t="s">
        <v>240</v>
      </c>
      <c r="DK68" s="5" t="s">
        <v>240</v>
      </c>
      <c r="DL68" s="5" t="s">
        <v>240</v>
      </c>
      <c r="DP68" s="5" t="s">
        <v>240</v>
      </c>
      <c r="DQ68" s="5" t="s">
        <v>240</v>
      </c>
      <c r="DR68" s="5" t="s">
        <v>240</v>
      </c>
      <c r="DS68" s="5" t="s">
        <v>240</v>
      </c>
      <c r="DV68" s="5" t="s">
        <v>310</v>
      </c>
      <c r="DW68" s="5" t="s">
        <v>428</v>
      </c>
      <c r="HO68" s="5" t="s">
        <v>312</v>
      </c>
    </row>
    <row r="69" spans="1:223" x14ac:dyDescent="0.4">
      <c r="A69" s="5">
        <v>776</v>
      </c>
      <c r="B69" s="5">
        <v>1</v>
      </c>
      <c r="C69" s="5">
        <v>2</v>
      </c>
      <c r="D69" s="5" t="s">
        <v>614</v>
      </c>
      <c r="E69" s="5" t="s">
        <v>418</v>
      </c>
      <c r="F69" s="5" t="s">
        <v>254</v>
      </c>
      <c r="G69" s="5" t="s">
        <v>726</v>
      </c>
      <c r="H69" s="6" t="s">
        <v>5133</v>
      </c>
      <c r="I69" s="5" t="s">
        <v>417</v>
      </c>
      <c r="J69" s="8">
        <f>1</f>
        <v>1</v>
      </c>
      <c r="K69" s="5" t="s">
        <v>308</v>
      </c>
      <c r="L69" s="7">
        <f>5633498</f>
        <v>5633498</v>
      </c>
      <c r="M69" s="7">
        <f>5633498</f>
        <v>5633498</v>
      </c>
      <c r="N69" s="5" t="s">
        <v>242</v>
      </c>
      <c r="O69" s="5">
        <v>1</v>
      </c>
      <c r="P69" s="5" t="s">
        <v>294</v>
      </c>
      <c r="Q69" s="5" t="s">
        <v>266</v>
      </c>
      <c r="R69" s="5" t="s">
        <v>240</v>
      </c>
      <c r="S69" s="5" t="s">
        <v>240</v>
      </c>
      <c r="T69" s="5" t="s">
        <v>296</v>
      </c>
      <c r="U69" s="5" t="s">
        <v>244</v>
      </c>
      <c r="V69" s="5" t="s">
        <v>240</v>
      </c>
      <c r="Y69" s="5" t="s">
        <v>240</v>
      </c>
      <c r="Z69" s="6" t="s">
        <v>298</v>
      </c>
      <c r="AB69" s="6" t="s">
        <v>240</v>
      </c>
      <c r="AE69" s="6" t="s">
        <v>299</v>
      </c>
      <c r="AF69" s="5" t="s">
        <v>248</v>
      </c>
      <c r="AG69" s="5" t="s">
        <v>249</v>
      </c>
      <c r="AW69" s="5" t="s">
        <v>251</v>
      </c>
      <c r="AX69" s="5" t="s">
        <v>240</v>
      </c>
      <c r="AY69" s="5" t="s">
        <v>253</v>
      </c>
      <c r="AZ69" s="5" t="s">
        <v>240</v>
      </c>
      <c r="BA69" s="5" t="s">
        <v>255</v>
      </c>
      <c r="BB69" s="5" t="s">
        <v>240</v>
      </c>
      <c r="BD69" s="5" t="s">
        <v>240</v>
      </c>
      <c r="BF69" s="5" t="s">
        <v>301</v>
      </c>
      <c r="BG69" s="6" t="s">
        <v>299</v>
      </c>
      <c r="BH69" s="5" t="s">
        <v>302</v>
      </c>
      <c r="BI69" s="5" t="s">
        <v>303</v>
      </c>
      <c r="BJ69" s="5" t="s">
        <v>240</v>
      </c>
      <c r="BK69" s="8">
        <f>0</f>
        <v>0</v>
      </c>
      <c r="BL69" s="7">
        <f>0</f>
        <v>0</v>
      </c>
      <c r="BM69" s="5" t="s">
        <v>258</v>
      </c>
      <c r="BN69" s="5" t="s">
        <v>259</v>
      </c>
      <c r="CB69" s="5" t="s">
        <v>240</v>
      </c>
      <c r="CC69" s="5" t="s">
        <v>240</v>
      </c>
      <c r="CG69" s="5" t="s">
        <v>304</v>
      </c>
      <c r="CH69" s="5" t="s">
        <v>305</v>
      </c>
      <c r="CI69" s="5" t="s">
        <v>240</v>
      </c>
      <c r="CL69" s="6" t="s">
        <v>261</v>
      </c>
      <c r="CM69" s="5" t="s">
        <v>240</v>
      </c>
      <c r="CN69" s="5" t="s">
        <v>263</v>
      </c>
      <c r="CO69" s="5" t="s">
        <v>240</v>
      </c>
      <c r="CP69" s="5" t="s">
        <v>240</v>
      </c>
      <c r="CQ69" s="5">
        <v>0</v>
      </c>
      <c r="CR69" s="5" t="s">
        <v>306</v>
      </c>
      <c r="CS69" s="5" t="s">
        <v>307</v>
      </c>
      <c r="CT69" s="5" t="s">
        <v>307</v>
      </c>
      <c r="CU69" s="5" t="s">
        <v>260</v>
      </c>
      <c r="CX69" s="7">
        <f>1</f>
        <v>1</v>
      </c>
      <c r="CY69" s="7">
        <f>0</f>
        <v>0</v>
      </c>
      <c r="DA69" s="7">
        <f>0</f>
        <v>0</v>
      </c>
      <c r="DC69" s="5" t="s">
        <v>309</v>
      </c>
      <c r="DD69" s="5" t="s">
        <v>240</v>
      </c>
      <c r="DF69" s="5" t="s">
        <v>309</v>
      </c>
      <c r="DG69" s="7">
        <f>346</f>
        <v>346</v>
      </c>
      <c r="DI69" s="5" t="s">
        <v>240</v>
      </c>
      <c r="DJ69" s="5" t="s">
        <v>240</v>
      </c>
      <c r="DK69" s="5" t="s">
        <v>240</v>
      </c>
      <c r="DL69" s="5" t="s">
        <v>240</v>
      </c>
      <c r="DP69" s="5" t="s">
        <v>240</v>
      </c>
      <c r="DQ69" s="5" t="s">
        <v>240</v>
      </c>
      <c r="DR69" s="5" t="s">
        <v>240</v>
      </c>
      <c r="DS69" s="5" t="s">
        <v>240</v>
      </c>
      <c r="DV69" s="5" t="s">
        <v>310</v>
      </c>
      <c r="DW69" s="5" t="s">
        <v>430</v>
      </c>
      <c r="HO69" s="5" t="s">
        <v>312</v>
      </c>
    </row>
    <row r="70" spans="1:223" x14ac:dyDescent="0.4">
      <c r="A70" s="5">
        <v>777</v>
      </c>
      <c r="B70" s="5">
        <v>1</v>
      </c>
      <c r="C70" s="5">
        <v>1</v>
      </c>
      <c r="D70" s="5" t="s">
        <v>614</v>
      </c>
      <c r="E70" s="5" t="s">
        <v>418</v>
      </c>
      <c r="F70" s="5" t="s">
        <v>254</v>
      </c>
      <c r="G70" s="5" t="s">
        <v>240</v>
      </c>
      <c r="H70" s="6" t="s">
        <v>5267</v>
      </c>
      <c r="I70" s="5" t="s">
        <v>417</v>
      </c>
      <c r="J70" s="8">
        <f>1489</f>
        <v>1489</v>
      </c>
      <c r="K70" s="5" t="s">
        <v>308</v>
      </c>
      <c r="L70" s="7">
        <f>3298135</f>
        <v>3298135</v>
      </c>
      <c r="M70" s="7">
        <f>3298135</f>
        <v>3298135</v>
      </c>
      <c r="N70" s="5" t="s">
        <v>242</v>
      </c>
      <c r="O70" s="5">
        <v>1</v>
      </c>
      <c r="P70" s="5" t="s">
        <v>294</v>
      </c>
      <c r="Q70" s="5" t="s">
        <v>266</v>
      </c>
      <c r="R70" s="5" t="s">
        <v>240</v>
      </c>
      <c r="S70" s="5" t="s">
        <v>240</v>
      </c>
      <c r="T70" s="5" t="s">
        <v>296</v>
      </c>
      <c r="U70" s="5" t="s">
        <v>244</v>
      </c>
      <c r="V70" s="5" t="s">
        <v>240</v>
      </c>
      <c r="Y70" s="5" t="s">
        <v>240</v>
      </c>
      <c r="Z70" s="6" t="s">
        <v>298</v>
      </c>
      <c r="AB70" s="6" t="s">
        <v>240</v>
      </c>
      <c r="AE70" s="6" t="s">
        <v>299</v>
      </c>
      <c r="AF70" s="5" t="s">
        <v>248</v>
      </c>
      <c r="AG70" s="5" t="s">
        <v>249</v>
      </c>
      <c r="AW70" s="5" t="s">
        <v>251</v>
      </c>
      <c r="AX70" s="5" t="s">
        <v>240</v>
      </c>
      <c r="AY70" s="5" t="s">
        <v>253</v>
      </c>
      <c r="AZ70" s="5" t="s">
        <v>240</v>
      </c>
      <c r="BA70" s="5" t="s">
        <v>255</v>
      </c>
      <c r="BB70" s="5" t="s">
        <v>240</v>
      </c>
      <c r="BD70" s="5" t="s">
        <v>240</v>
      </c>
      <c r="BF70" s="5" t="s">
        <v>301</v>
      </c>
      <c r="BG70" s="6" t="s">
        <v>299</v>
      </c>
      <c r="BH70" s="5" t="s">
        <v>302</v>
      </c>
      <c r="BI70" s="5" t="s">
        <v>303</v>
      </c>
      <c r="BJ70" s="5" t="s">
        <v>240</v>
      </c>
      <c r="BK70" s="8">
        <f>0</f>
        <v>0</v>
      </c>
      <c r="BL70" s="7">
        <f>0</f>
        <v>0</v>
      </c>
      <c r="BM70" s="5" t="s">
        <v>258</v>
      </c>
      <c r="BN70" s="5" t="s">
        <v>259</v>
      </c>
      <c r="CB70" s="5" t="s">
        <v>240</v>
      </c>
      <c r="CC70" s="5" t="s">
        <v>240</v>
      </c>
      <c r="CG70" s="5" t="s">
        <v>304</v>
      </c>
      <c r="CH70" s="5" t="s">
        <v>305</v>
      </c>
      <c r="CI70" s="5" t="s">
        <v>240</v>
      </c>
      <c r="CL70" s="6" t="s">
        <v>261</v>
      </c>
      <c r="CM70" s="5" t="s">
        <v>240</v>
      </c>
      <c r="CN70" s="5" t="s">
        <v>263</v>
      </c>
      <c r="CO70" s="5" t="s">
        <v>240</v>
      </c>
      <c r="CP70" s="5" t="s">
        <v>240</v>
      </c>
      <c r="CQ70" s="5">
        <v>0</v>
      </c>
      <c r="CR70" s="5" t="s">
        <v>306</v>
      </c>
      <c r="CS70" s="5" t="s">
        <v>307</v>
      </c>
      <c r="CT70" s="5" t="s">
        <v>307</v>
      </c>
      <c r="CU70" s="5" t="s">
        <v>260</v>
      </c>
      <c r="CX70" s="7">
        <f>1</f>
        <v>1</v>
      </c>
      <c r="CY70" s="7">
        <f>0</f>
        <v>0</v>
      </c>
      <c r="DA70" s="7">
        <f>0</f>
        <v>0</v>
      </c>
      <c r="DC70" s="5" t="s">
        <v>309</v>
      </c>
      <c r="DD70" s="5" t="s">
        <v>240</v>
      </c>
      <c r="DF70" s="5" t="s">
        <v>309</v>
      </c>
      <c r="DG70" s="7">
        <f>3914</f>
        <v>3914</v>
      </c>
      <c r="DI70" s="5" t="s">
        <v>240</v>
      </c>
      <c r="DJ70" s="5" t="s">
        <v>240</v>
      </c>
      <c r="DK70" s="5" t="s">
        <v>240</v>
      </c>
      <c r="DL70" s="5" t="s">
        <v>240</v>
      </c>
      <c r="DP70" s="5" t="s">
        <v>240</v>
      </c>
      <c r="DQ70" s="5" t="s">
        <v>240</v>
      </c>
      <c r="DR70" s="5" t="s">
        <v>240</v>
      </c>
      <c r="DS70" s="5" t="s">
        <v>240</v>
      </c>
      <c r="DV70" s="5" t="s">
        <v>310</v>
      </c>
      <c r="DW70" s="5" t="s">
        <v>432</v>
      </c>
      <c r="HO70" s="5" t="s">
        <v>312</v>
      </c>
    </row>
    <row r="71" spans="1:223" x14ac:dyDescent="0.4">
      <c r="A71" s="5">
        <v>778</v>
      </c>
      <c r="B71" s="5">
        <v>1</v>
      </c>
      <c r="C71" s="5">
        <v>1</v>
      </c>
      <c r="D71" s="5" t="s">
        <v>614</v>
      </c>
      <c r="E71" s="5" t="s">
        <v>418</v>
      </c>
      <c r="F71" s="5" t="s">
        <v>254</v>
      </c>
      <c r="G71" s="5" t="s">
        <v>615</v>
      </c>
      <c r="H71" s="6" t="s">
        <v>616</v>
      </c>
      <c r="I71" s="5" t="s">
        <v>417</v>
      </c>
      <c r="J71" s="8">
        <f>23356</f>
        <v>23356</v>
      </c>
      <c r="K71" s="5" t="s">
        <v>308</v>
      </c>
      <c r="L71" s="7">
        <f>51049127</f>
        <v>51049127</v>
      </c>
      <c r="M71" s="7">
        <f>51049127</f>
        <v>51049127</v>
      </c>
      <c r="N71" s="5" t="s">
        <v>242</v>
      </c>
      <c r="O71" s="5">
        <v>1</v>
      </c>
      <c r="P71" s="5" t="s">
        <v>294</v>
      </c>
      <c r="Q71" s="5" t="s">
        <v>266</v>
      </c>
      <c r="R71" s="5" t="s">
        <v>240</v>
      </c>
      <c r="S71" s="5" t="s">
        <v>240</v>
      </c>
      <c r="T71" s="5" t="s">
        <v>296</v>
      </c>
      <c r="U71" s="5" t="s">
        <v>244</v>
      </c>
      <c r="V71" s="5" t="s">
        <v>240</v>
      </c>
      <c r="Y71" s="5" t="s">
        <v>240</v>
      </c>
      <c r="Z71" s="6" t="s">
        <v>298</v>
      </c>
      <c r="AB71" s="6" t="s">
        <v>240</v>
      </c>
      <c r="AE71" s="6" t="s">
        <v>299</v>
      </c>
      <c r="AF71" s="5" t="s">
        <v>248</v>
      </c>
      <c r="AG71" s="5" t="s">
        <v>249</v>
      </c>
      <c r="AW71" s="5" t="s">
        <v>251</v>
      </c>
      <c r="AX71" s="5" t="s">
        <v>240</v>
      </c>
      <c r="AY71" s="5" t="s">
        <v>253</v>
      </c>
      <c r="AZ71" s="5" t="s">
        <v>240</v>
      </c>
      <c r="BA71" s="5" t="s">
        <v>255</v>
      </c>
      <c r="BB71" s="5" t="s">
        <v>240</v>
      </c>
      <c r="BD71" s="5" t="s">
        <v>240</v>
      </c>
      <c r="BF71" s="5" t="s">
        <v>301</v>
      </c>
      <c r="BG71" s="6" t="s">
        <v>299</v>
      </c>
      <c r="BH71" s="5" t="s">
        <v>302</v>
      </c>
      <c r="BI71" s="5" t="s">
        <v>303</v>
      </c>
      <c r="BJ71" s="5" t="s">
        <v>240</v>
      </c>
      <c r="BK71" s="8">
        <f>0</f>
        <v>0</v>
      </c>
      <c r="BL71" s="7">
        <f>0</f>
        <v>0</v>
      </c>
      <c r="BM71" s="5" t="s">
        <v>258</v>
      </c>
      <c r="BN71" s="5" t="s">
        <v>259</v>
      </c>
      <c r="CB71" s="5" t="s">
        <v>240</v>
      </c>
      <c r="CC71" s="5" t="s">
        <v>240</v>
      </c>
      <c r="CG71" s="5" t="s">
        <v>304</v>
      </c>
      <c r="CH71" s="5" t="s">
        <v>305</v>
      </c>
      <c r="CI71" s="5" t="s">
        <v>240</v>
      </c>
      <c r="CL71" s="6" t="s">
        <v>261</v>
      </c>
      <c r="CM71" s="5" t="s">
        <v>240</v>
      </c>
      <c r="CN71" s="5" t="s">
        <v>263</v>
      </c>
      <c r="CO71" s="5" t="s">
        <v>240</v>
      </c>
      <c r="CP71" s="5" t="s">
        <v>240</v>
      </c>
      <c r="CQ71" s="5">
        <v>0</v>
      </c>
      <c r="CR71" s="5" t="s">
        <v>306</v>
      </c>
      <c r="CS71" s="5" t="s">
        <v>307</v>
      </c>
      <c r="CT71" s="5" t="s">
        <v>307</v>
      </c>
      <c r="CU71" s="5" t="s">
        <v>260</v>
      </c>
      <c r="CX71" s="7">
        <f>1</f>
        <v>1</v>
      </c>
      <c r="CY71" s="7">
        <f>0</f>
        <v>0</v>
      </c>
      <c r="DA71" s="7">
        <f>0</f>
        <v>0</v>
      </c>
      <c r="DC71" s="5" t="s">
        <v>309</v>
      </c>
      <c r="DD71" s="5" t="s">
        <v>240</v>
      </c>
      <c r="DF71" s="5" t="s">
        <v>309</v>
      </c>
      <c r="DG71" s="7">
        <f>1102</f>
        <v>1102</v>
      </c>
      <c r="DI71" s="5" t="s">
        <v>240</v>
      </c>
      <c r="DJ71" s="5" t="s">
        <v>240</v>
      </c>
      <c r="DK71" s="5" t="s">
        <v>240</v>
      </c>
      <c r="DL71" s="5" t="s">
        <v>240</v>
      </c>
      <c r="DP71" s="5" t="s">
        <v>240</v>
      </c>
      <c r="DQ71" s="5" t="s">
        <v>240</v>
      </c>
      <c r="DR71" s="5" t="s">
        <v>240</v>
      </c>
      <c r="DS71" s="5" t="s">
        <v>240</v>
      </c>
      <c r="DV71" s="5" t="s">
        <v>310</v>
      </c>
      <c r="DW71" s="5" t="s">
        <v>434</v>
      </c>
      <c r="HO71" s="5" t="s">
        <v>312</v>
      </c>
    </row>
    <row r="72" spans="1:223" x14ac:dyDescent="0.4">
      <c r="A72" s="5">
        <v>781</v>
      </c>
      <c r="B72" s="5">
        <v>1</v>
      </c>
      <c r="C72" s="5">
        <v>1</v>
      </c>
      <c r="D72" s="5" t="s">
        <v>1853</v>
      </c>
      <c r="E72" s="5" t="s">
        <v>418</v>
      </c>
      <c r="F72" s="5" t="s">
        <v>254</v>
      </c>
      <c r="G72" s="5" t="s">
        <v>1856</v>
      </c>
      <c r="H72" s="6" t="s">
        <v>1857</v>
      </c>
      <c r="I72" s="5" t="s">
        <v>1852</v>
      </c>
      <c r="J72" s="8">
        <f>265</f>
        <v>265</v>
      </c>
      <c r="K72" s="5" t="s">
        <v>308</v>
      </c>
      <c r="L72" s="7">
        <f>936775</f>
        <v>936775</v>
      </c>
      <c r="M72" s="7">
        <f>936775</f>
        <v>936775</v>
      </c>
      <c r="N72" s="5" t="s">
        <v>242</v>
      </c>
      <c r="O72" s="5">
        <v>1</v>
      </c>
      <c r="P72" s="5" t="s">
        <v>294</v>
      </c>
      <c r="Q72" s="5" t="s">
        <v>266</v>
      </c>
      <c r="R72" s="5" t="s">
        <v>240</v>
      </c>
      <c r="S72" s="5" t="s">
        <v>240</v>
      </c>
      <c r="T72" s="5" t="s">
        <v>296</v>
      </c>
      <c r="U72" s="5" t="s">
        <v>244</v>
      </c>
      <c r="V72" s="5" t="s">
        <v>240</v>
      </c>
      <c r="Y72" s="5" t="s">
        <v>240</v>
      </c>
      <c r="Z72" s="6" t="s">
        <v>298</v>
      </c>
      <c r="AB72" s="6" t="s">
        <v>240</v>
      </c>
      <c r="AE72" s="6" t="s">
        <v>299</v>
      </c>
      <c r="AF72" s="5" t="s">
        <v>248</v>
      </c>
      <c r="AG72" s="5" t="s">
        <v>249</v>
      </c>
      <c r="AW72" s="5" t="s">
        <v>251</v>
      </c>
      <c r="AX72" s="5" t="s">
        <v>240</v>
      </c>
      <c r="AY72" s="5" t="s">
        <v>253</v>
      </c>
      <c r="AZ72" s="5" t="s">
        <v>240</v>
      </c>
      <c r="BA72" s="5" t="s">
        <v>255</v>
      </c>
      <c r="BB72" s="5" t="s">
        <v>240</v>
      </c>
      <c r="BD72" s="5" t="s">
        <v>240</v>
      </c>
      <c r="BF72" s="5" t="s">
        <v>301</v>
      </c>
      <c r="BG72" s="6" t="s">
        <v>299</v>
      </c>
      <c r="BH72" s="5" t="s">
        <v>302</v>
      </c>
      <c r="BI72" s="5" t="s">
        <v>303</v>
      </c>
      <c r="BJ72" s="5" t="s">
        <v>240</v>
      </c>
      <c r="BK72" s="8">
        <f>0</f>
        <v>0</v>
      </c>
      <c r="BL72" s="7">
        <f>0</f>
        <v>0</v>
      </c>
      <c r="BM72" s="5" t="s">
        <v>258</v>
      </c>
      <c r="BN72" s="5" t="s">
        <v>259</v>
      </c>
      <c r="CB72" s="5" t="s">
        <v>240</v>
      </c>
      <c r="CC72" s="5" t="s">
        <v>240</v>
      </c>
      <c r="CG72" s="5" t="s">
        <v>304</v>
      </c>
      <c r="CH72" s="5" t="s">
        <v>305</v>
      </c>
      <c r="CI72" s="5" t="s">
        <v>240</v>
      </c>
      <c r="CL72" s="6" t="s">
        <v>261</v>
      </c>
      <c r="CM72" s="5" t="s">
        <v>240</v>
      </c>
      <c r="CN72" s="5" t="s">
        <v>263</v>
      </c>
      <c r="CO72" s="5" t="s">
        <v>240</v>
      </c>
      <c r="CP72" s="5" t="s">
        <v>240</v>
      </c>
      <c r="CQ72" s="5">
        <v>0</v>
      </c>
      <c r="CR72" s="5" t="s">
        <v>306</v>
      </c>
      <c r="CS72" s="5" t="s">
        <v>307</v>
      </c>
      <c r="CT72" s="5" t="s">
        <v>307</v>
      </c>
      <c r="CU72" s="5" t="s">
        <v>260</v>
      </c>
      <c r="CX72" s="7">
        <f>1</f>
        <v>1</v>
      </c>
      <c r="CY72" s="7">
        <f>0</f>
        <v>0</v>
      </c>
      <c r="DA72" s="7">
        <f>0</f>
        <v>0</v>
      </c>
      <c r="DC72" s="5" t="s">
        <v>309</v>
      </c>
      <c r="DD72" s="5" t="s">
        <v>240</v>
      </c>
      <c r="DF72" s="5" t="s">
        <v>309</v>
      </c>
      <c r="DG72" s="7">
        <f>2050</f>
        <v>2050</v>
      </c>
      <c r="DI72" s="5" t="s">
        <v>240</v>
      </c>
      <c r="DJ72" s="5" t="s">
        <v>240</v>
      </c>
      <c r="DK72" s="5" t="s">
        <v>240</v>
      </c>
      <c r="DL72" s="5" t="s">
        <v>240</v>
      </c>
      <c r="DP72" s="5" t="s">
        <v>240</v>
      </c>
      <c r="DQ72" s="5" t="s">
        <v>240</v>
      </c>
      <c r="DR72" s="5" t="s">
        <v>240</v>
      </c>
      <c r="DS72" s="5" t="s">
        <v>240</v>
      </c>
      <c r="DV72" s="5" t="s">
        <v>310</v>
      </c>
      <c r="DW72" s="5" t="s">
        <v>436</v>
      </c>
      <c r="HO72" s="5" t="s">
        <v>312</v>
      </c>
    </row>
    <row r="73" spans="1:223" x14ac:dyDescent="0.4">
      <c r="A73" s="5">
        <v>782</v>
      </c>
      <c r="B73" s="5">
        <v>1</v>
      </c>
      <c r="C73" s="5">
        <v>1</v>
      </c>
      <c r="D73" s="5" t="s">
        <v>1847</v>
      </c>
      <c r="E73" s="5" t="s">
        <v>418</v>
      </c>
      <c r="F73" s="5" t="s">
        <v>254</v>
      </c>
      <c r="G73" s="5" t="s">
        <v>240</v>
      </c>
      <c r="H73" s="6" t="s">
        <v>1851</v>
      </c>
      <c r="I73" s="5" t="s">
        <v>1846</v>
      </c>
      <c r="J73" s="8">
        <f>14442</f>
        <v>14442</v>
      </c>
      <c r="K73" s="5" t="s">
        <v>308</v>
      </c>
      <c r="L73" s="7">
        <f>31989030</f>
        <v>31989030</v>
      </c>
      <c r="M73" s="7">
        <f>31989030</f>
        <v>31989030</v>
      </c>
      <c r="N73" s="5" t="s">
        <v>242</v>
      </c>
      <c r="O73" s="5">
        <v>1</v>
      </c>
      <c r="P73" s="5" t="s">
        <v>294</v>
      </c>
      <c r="Q73" s="5" t="s">
        <v>266</v>
      </c>
      <c r="R73" s="5" t="s">
        <v>240</v>
      </c>
      <c r="S73" s="5" t="s">
        <v>240</v>
      </c>
      <c r="T73" s="5" t="s">
        <v>296</v>
      </c>
      <c r="U73" s="5" t="s">
        <v>244</v>
      </c>
      <c r="V73" s="5" t="s">
        <v>240</v>
      </c>
      <c r="Y73" s="5" t="s">
        <v>240</v>
      </c>
      <c r="Z73" s="6" t="s">
        <v>298</v>
      </c>
      <c r="AB73" s="6" t="s">
        <v>240</v>
      </c>
      <c r="AE73" s="6" t="s">
        <v>299</v>
      </c>
      <c r="AF73" s="5" t="s">
        <v>248</v>
      </c>
      <c r="AG73" s="5" t="s">
        <v>249</v>
      </c>
      <c r="AW73" s="5" t="s">
        <v>251</v>
      </c>
      <c r="AX73" s="5" t="s">
        <v>240</v>
      </c>
      <c r="AY73" s="5" t="s">
        <v>253</v>
      </c>
      <c r="AZ73" s="5" t="s">
        <v>240</v>
      </c>
      <c r="BA73" s="5" t="s">
        <v>255</v>
      </c>
      <c r="BB73" s="5" t="s">
        <v>240</v>
      </c>
      <c r="BD73" s="5" t="s">
        <v>240</v>
      </c>
      <c r="BF73" s="5" t="s">
        <v>301</v>
      </c>
      <c r="BG73" s="6" t="s">
        <v>299</v>
      </c>
      <c r="BH73" s="5" t="s">
        <v>302</v>
      </c>
      <c r="BI73" s="5" t="s">
        <v>303</v>
      </c>
      <c r="BJ73" s="5" t="s">
        <v>240</v>
      </c>
      <c r="BK73" s="8">
        <f>0</f>
        <v>0</v>
      </c>
      <c r="BL73" s="7">
        <f>0</f>
        <v>0</v>
      </c>
      <c r="BM73" s="5" t="s">
        <v>258</v>
      </c>
      <c r="BN73" s="5" t="s">
        <v>259</v>
      </c>
      <c r="CB73" s="5" t="s">
        <v>240</v>
      </c>
      <c r="CC73" s="5" t="s">
        <v>240</v>
      </c>
      <c r="CG73" s="5" t="s">
        <v>304</v>
      </c>
      <c r="CH73" s="5" t="s">
        <v>305</v>
      </c>
      <c r="CI73" s="5" t="s">
        <v>240</v>
      </c>
      <c r="CL73" s="6" t="s">
        <v>261</v>
      </c>
      <c r="CM73" s="5" t="s">
        <v>240</v>
      </c>
      <c r="CN73" s="5" t="s">
        <v>263</v>
      </c>
      <c r="CO73" s="5" t="s">
        <v>240</v>
      </c>
      <c r="CP73" s="5" t="s">
        <v>240</v>
      </c>
      <c r="CQ73" s="5">
        <v>0</v>
      </c>
      <c r="CR73" s="5" t="s">
        <v>306</v>
      </c>
      <c r="CS73" s="5" t="s">
        <v>307</v>
      </c>
      <c r="CT73" s="5" t="s">
        <v>307</v>
      </c>
      <c r="CU73" s="5" t="s">
        <v>260</v>
      </c>
      <c r="CX73" s="7">
        <f>1</f>
        <v>1</v>
      </c>
      <c r="CY73" s="7">
        <f>0</f>
        <v>0</v>
      </c>
      <c r="DA73" s="7">
        <f>0</f>
        <v>0</v>
      </c>
      <c r="DC73" s="5" t="s">
        <v>309</v>
      </c>
      <c r="DD73" s="5" t="s">
        <v>240</v>
      </c>
      <c r="DF73" s="5" t="s">
        <v>309</v>
      </c>
      <c r="DG73" s="7">
        <f>2693</f>
        <v>2693</v>
      </c>
      <c r="DI73" s="5" t="s">
        <v>240</v>
      </c>
      <c r="DJ73" s="5" t="s">
        <v>240</v>
      </c>
      <c r="DK73" s="5" t="s">
        <v>240</v>
      </c>
      <c r="DL73" s="5" t="s">
        <v>240</v>
      </c>
      <c r="DP73" s="5" t="s">
        <v>240</v>
      </c>
      <c r="DQ73" s="5" t="s">
        <v>240</v>
      </c>
      <c r="DR73" s="5" t="s">
        <v>240</v>
      </c>
      <c r="DS73" s="5" t="s">
        <v>240</v>
      </c>
      <c r="DV73" s="5" t="s">
        <v>310</v>
      </c>
      <c r="DW73" s="5" t="s">
        <v>438</v>
      </c>
      <c r="HO73" s="5" t="s">
        <v>312</v>
      </c>
    </row>
    <row r="74" spans="1:223" x14ac:dyDescent="0.4">
      <c r="A74" s="5">
        <v>783</v>
      </c>
      <c r="B74" s="5">
        <v>1</v>
      </c>
      <c r="C74" s="5">
        <v>1</v>
      </c>
      <c r="D74" s="5" t="s">
        <v>1847</v>
      </c>
      <c r="E74" s="5" t="s">
        <v>418</v>
      </c>
      <c r="F74" s="5" t="s">
        <v>254</v>
      </c>
      <c r="G74" s="5" t="s">
        <v>240</v>
      </c>
      <c r="H74" s="6" t="s">
        <v>1848</v>
      </c>
      <c r="I74" s="5" t="s">
        <v>1846</v>
      </c>
      <c r="J74" s="8">
        <f>8393</f>
        <v>8393</v>
      </c>
      <c r="K74" s="5" t="s">
        <v>308</v>
      </c>
      <c r="L74" s="7">
        <f>18590495</f>
        <v>18590495</v>
      </c>
      <c r="M74" s="7">
        <f>18590495</f>
        <v>18590495</v>
      </c>
      <c r="N74" s="5" t="s">
        <v>242</v>
      </c>
      <c r="O74" s="5">
        <v>1</v>
      </c>
      <c r="P74" s="5" t="s">
        <v>294</v>
      </c>
      <c r="Q74" s="5" t="s">
        <v>266</v>
      </c>
      <c r="R74" s="5" t="s">
        <v>240</v>
      </c>
      <c r="S74" s="5" t="s">
        <v>240</v>
      </c>
      <c r="T74" s="5" t="s">
        <v>296</v>
      </c>
      <c r="U74" s="5" t="s">
        <v>244</v>
      </c>
      <c r="V74" s="5" t="s">
        <v>240</v>
      </c>
      <c r="Y74" s="5" t="s">
        <v>240</v>
      </c>
      <c r="Z74" s="6" t="s">
        <v>298</v>
      </c>
      <c r="AB74" s="6" t="s">
        <v>240</v>
      </c>
      <c r="AE74" s="6" t="s">
        <v>299</v>
      </c>
      <c r="AF74" s="5" t="s">
        <v>248</v>
      </c>
      <c r="AG74" s="5" t="s">
        <v>249</v>
      </c>
      <c r="AW74" s="5" t="s">
        <v>251</v>
      </c>
      <c r="AX74" s="5" t="s">
        <v>240</v>
      </c>
      <c r="AY74" s="5" t="s">
        <v>253</v>
      </c>
      <c r="AZ74" s="5" t="s">
        <v>240</v>
      </c>
      <c r="BA74" s="5" t="s">
        <v>255</v>
      </c>
      <c r="BB74" s="5" t="s">
        <v>240</v>
      </c>
      <c r="BD74" s="5" t="s">
        <v>240</v>
      </c>
      <c r="BF74" s="5" t="s">
        <v>301</v>
      </c>
      <c r="BG74" s="6" t="s">
        <v>299</v>
      </c>
      <c r="BH74" s="5" t="s">
        <v>302</v>
      </c>
      <c r="BI74" s="5" t="s">
        <v>303</v>
      </c>
      <c r="BJ74" s="5" t="s">
        <v>240</v>
      </c>
      <c r="BK74" s="8">
        <f>0</f>
        <v>0</v>
      </c>
      <c r="BL74" s="7">
        <f>0</f>
        <v>0</v>
      </c>
      <c r="BM74" s="5" t="s">
        <v>258</v>
      </c>
      <c r="BN74" s="5" t="s">
        <v>259</v>
      </c>
      <c r="CB74" s="5" t="s">
        <v>240</v>
      </c>
      <c r="CC74" s="5" t="s">
        <v>240</v>
      </c>
      <c r="CG74" s="5" t="s">
        <v>304</v>
      </c>
      <c r="CH74" s="5" t="s">
        <v>305</v>
      </c>
      <c r="CI74" s="5" t="s">
        <v>240</v>
      </c>
      <c r="CL74" s="6" t="s">
        <v>261</v>
      </c>
      <c r="CM74" s="5" t="s">
        <v>240</v>
      </c>
      <c r="CN74" s="5" t="s">
        <v>263</v>
      </c>
      <c r="CO74" s="5" t="s">
        <v>240</v>
      </c>
      <c r="CP74" s="5" t="s">
        <v>240</v>
      </c>
      <c r="CQ74" s="5">
        <v>0</v>
      </c>
      <c r="CR74" s="5" t="s">
        <v>306</v>
      </c>
      <c r="CS74" s="5" t="s">
        <v>307</v>
      </c>
      <c r="CT74" s="5" t="s">
        <v>307</v>
      </c>
      <c r="CU74" s="5" t="s">
        <v>260</v>
      </c>
      <c r="CX74" s="7">
        <f>1</f>
        <v>1</v>
      </c>
      <c r="CY74" s="7">
        <f>0</f>
        <v>0</v>
      </c>
      <c r="DA74" s="7">
        <f>0</f>
        <v>0</v>
      </c>
      <c r="DC74" s="5" t="s">
        <v>309</v>
      </c>
      <c r="DD74" s="5" t="s">
        <v>240</v>
      </c>
      <c r="DF74" s="5" t="s">
        <v>309</v>
      </c>
      <c r="DG74" s="7">
        <f>654</f>
        <v>654</v>
      </c>
      <c r="DI74" s="5" t="s">
        <v>240</v>
      </c>
      <c r="DJ74" s="5" t="s">
        <v>240</v>
      </c>
      <c r="DK74" s="5" t="s">
        <v>240</v>
      </c>
      <c r="DL74" s="5" t="s">
        <v>240</v>
      </c>
      <c r="DP74" s="5" t="s">
        <v>240</v>
      </c>
      <c r="DQ74" s="5" t="s">
        <v>240</v>
      </c>
      <c r="DR74" s="5" t="s">
        <v>240</v>
      </c>
      <c r="DS74" s="5" t="s">
        <v>240</v>
      </c>
      <c r="DV74" s="5" t="s">
        <v>310</v>
      </c>
      <c r="DW74" s="5" t="s">
        <v>440</v>
      </c>
      <c r="HO74" s="5" t="s">
        <v>312</v>
      </c>
    </row>
    <row r="75" spans="1:223" x14ac:dyDescent="0.4">
      <c r="A75" s="5">
        <v>784</v>
      </c>
      <c r="B75" s="5">
        <v>1</v>
      </c>
      <c r="C75" s="5">
        <v>1</v>
      </c>
      <c r="D75" s="5" t="s">
        <v>6127</v>
      </c>
      <c r="E75" s="5" t="s">
        <v>418</v>
      </c>
      <c r="F75" s="5" t="s">
        <v>254</v>
      </c>
      <c r="G75" s="5" t="s">
        <v>6128</v>
      </c>
      <c r="H75" s="6" t="s">
        <v>6129</v>
      </c>
      <c r="I75" s="5" t="s">
        <v>6126</v>
      </c>
      <c r="J75" s="8">
        <f>304</f>
        <v>304</v>
      </c>
      <c r="K75" s="5" t="s">
        <v>308</v>
      </c>
      <c r="L75" s="7">
        <f>130590</f>
        <v>130590</v>
      </c>
      <c r="M75" s="7">
        <f>130590</f>
        <v>130590</v>
      </c>
      <c r="N75" s="5" t="s">
        <v>242</v>
      </c>
      <c r="O75" s="5">
        <v>1</v>
      </c>
      <c r="P75" s="5" t="s">
        <v>294</v>
      </c>
      <c r="Q75" s="5" t="s">
        <v>266</v>
      </c>
      <c r="R75" s="5" t="s">
        <v>240</v>
      </c>
      <c r="S75" s="5" t="s">
        <v>240</v>
      </c>
      <c r="T75" s="5" t="s">
        <v>296</v>
      </c>
      <c r="U75" s="5" t="s">
        <v>244</v>
      </c>
      <c r="V75" s="5" t="s">
        <v>240</v>
      </c>
      <c r="Y75" s="5" t="s">
        <v>240</v>
      </c>
      <c r="Z75" s="6" t="s">
        <v>298</v>
      </c>
      <c r="AB75" s="6" t="s">
        <v>240</v>
      </c>
      <c r="AE75" s="6" t="s">
        <v>299</v>
      </c>
      <c r="AF75" s="5" t="s">
        <v>248</v>
      </c>
      <c r="AG75" s="5" t="s">
        <v>249</v>
      </c>
      <c r="AW75" s="5" t="s">
        <v>251</v>
      </c>
      <c r="AX75" s="5" t="s">
        <v>240</v>
      </c>
      <c r="AY75" s="5" t="s">
        <v>253</v>
      </c>
      <c r="AZ75" s="5" t="s">
        <v>240</v>
      </c>
      <c r="BA75" s="5" t="s">
        <v>255</v>
      </c>
      <c r="BB75" s="5" t="s">
        <v>240</v>
      </c>
      <c r="BD75" s="5" t="s">
        <v>240</v>
      </c>
      <c r="BF75" s="5" t="s">
        <v>301</v>
      </c>
      <c r="BG75" s="6" t="s">
        <v>299</v>
      </c>
      <c r="BH75" s="5" t="s">
        <v>302</v>
      </c>
      <c r="BI75" s="5" t="s">
        <v>303</v>
      </c>
      <c r="BJ75" s="5" t="s">
        <v>240</v>
      </c>
      <c r="BK75" s="8">
        <f>0</f>
        <v>0</v>
      </c>
      <c r="BL75" s="7">
        <f>0</f>
        <v>0</v>
      </c>
      <c r="BM75" s="5" t="s">
        <v>258</v>
      </c>
      <c r="BN75" s="5" t="s">
        <v>259</v>
      </c>
      <c r="CB75" s="5" t="s">
        <v>240</v>
      </c>
      <c r="CC75" s="5" t="s">
        <v>240</v>
      </c>
      <c r="CG75" s="5" t="s">
        <v>304</v>
      </c>
      <c r="CH75" s="5" t="s">
        <v>305</v>
      </c>
      <c r="CI75" s="5" t="s">
        <v>240</v>
      </c>
      <c r="CL75" s="6" t="s">
        <v>261</v>
      </c>
      <c r="CM75" s="5" t="s">
        <v>240</v>
      </c>
      <c r="CN75" s="5" t="s">
        <v>263</v>
      </c>
      <c r="CO75" s="5" t="s">
        <v>240</v>
      </c>
      <c r="CP75" s="5" t="s">
        <v>240</v>
      </c>
      <c r="CQ75" s="5">
        <v>0</v>
      </c>
      <c r="CR75" s="5" t="s">
        <v>306</v>
      </c>
      <c r="CS75" s="5" t="s">
        <v>307</v>
      </c>
      <c r="CT75" s="5" t="s">
        <v>307</v>
      </c>
      <c r="CU75" s="5" t="s">
        <v>260</v>
      </c>
      <c r="CX75" s="7">
        <f>1</f>
        <v>1</v>
      </c>
      <c r="CY75" s="7">
        <f>0</f>
        <v>0</v>
      </c>
      <c r="DA75" s="7">
        <f>0</f>
        <v>0</v>
      </c>
      <c r="DC75" s="5" t="s">
        <v>309</v>
      </c>
      <c r="DD75" s="5" t="s">
        <v>240</v>
      </c>
      <c r="DF75" s="5" t="s">
        <v>309</v>
      </c>
      <c r="DG75" s="7">
        <f>341</f>
        <v>341</v>
      </c>
      <c r="DI75" s="5" t="s">
        <v>240</v>
      </c>
      <c r="DJ75" s="5" t="s">
        <v>240</v>
      </c>
      <c r="DK75" s="5" t="s">
        <v>240</v>
      </c>
      <c r="DL75" s="5" t="s">
        <v>240</v>
      </c>
      <c r="DP75" s="5" t="s">
        <v>240</v>
      </c>
      <c r="DQ75" s="5" t="s">
        <v>240</v>
      </c>
      <c r="DR75" s="5" t="s">
        <v>240</v>
      </c>
      <c r="DS75" s="5" t="s">
        <v>240</v>
      </c>
      <c r="DV75" s="5" t="s">
        <v>310</v>
      </c>
      <c r="DW75" s="5" t="s">
        <v>442</v>
      </c>
      <c r="HO75" s="5" t="s">
        <v>312</v>
      </c>
    </row>
    <row r="76" spans="1:223" x14ac:dyDescent="0.4">
      <c r="A76" s="5">
        <v>786</v>
      </c>
      <c r="B76" s="5">
        <v>1</v>
      </c>
      <c r="C76" s="5">
        <v>1</v>
      </c>
      <c r="D76" s="5" t="s">
        <v>6127</v>
      </c>
      <c r="E76" s="5" t="s">
        <v>418</v>
      </c>
      <c r="F76" s="5" t="s">
        <v>254</v>
      </c>
      <c r="G76" s="5" t="s">
        <v>240</v>
      </c>
      <c r="H76" s="6" t="s">
        <v>5277</v>
      </c>
      <c r="I76" s="5" t="s">
        <v>6716</v>
      </c>
      <c r="J76" s="8">
        <f>0</f>
        <v>0</v>
      </c>
      <c r="K76" s="5" t="s">
        <v>308</v>
      </c>
      <c r="L76" s="7">
        <f>1880399</f>
        <v>1880399</v>
      </c>
      <c r="M76" s="7">
        <f>1880399</f>
        <v>1880399</v>
      </c>
      <c r="N76" s="5" t="s">
        <v>242</v>
      </c>
      <c r="O76" s="5">
        <v>1</v>
      </c>
      <c r="P76" s="5" t="s">
        <v>294</v>
      </c>
      <c r="Q76" s="5" t="s">
        <v>266</v>
      </c>
      <c r="R76" s="5" t="s">
        <v>240</v>
      </c>
      <c r="S76" s="5" t="s">
        <v>240</v>
      </c>
      <c r="T76" s="5" t="s">
        <v>243</v>
      </c>
      <c r="U76" s="5" t="s">
        <v>240</v>
      </c>
      <c r="V76" s="5" t="s">
        <v>240</v>
      </c>
      <c r="Y76" s="5" t="s">
        <v>240</v>
      </c>
      <c r="Z76" s="6" t="s">
        <v>444</v>
      </c>
      <c r="AB76" s="6" t="s">
        <v>240</v>
      </c>
      <c r="AE76" s="6" t="s">
        <v>445</v>
      </c>
      <c r="AF76" s="5" t="s">
        <v>248</v>
      </c>
      <c r="AG76" s="5" t="s">
        <v>260</v>
      </c>
      <c r="AW76" s="5" t="s">
        <v>251</v>
      </c>
      <c r="AX76" s="5" t="s">
        <v>240</v>
      </c>
      <c r="AY76" s="5" t="s">
        <v>253</v>
      </c>
      <c r="AZ76" s="5" t="s">
        <v>240</v>
      </c>
      <c r="BA76" s="5" t="s">
        <v>255</v>
      </c>
      <c r="BB76" s="5" t="s">
        <v>240</v>
      </c>
      <c r="BD76" s="5" t="s">
        <v>240</v>
      </c>
      <c r="BF76" s="5" t="s">
        <v>447</v>
      </c>
      <c r="BG76" s="6" t="s">
        <v>444</v>
      </c>
      <c r="BH76" s="5" t="s">
        <v>302</v>
      </c>
      <c r="BI76" s="5" t="s">
        <v>448</v>
      </c>
      <c r="BJ76" s="5" t="s">
        <v>240</v>
      </c>
      <c r="BK76" s="8">
        <f>0</f>
        <v>0</v>
      </c>
      <c r="BL76" s="7">
        <f>0</f>
        <v>0</v>
      </c>
      <c r="BM76" s="5" t="s">
        <v>258</v>
      </c>
      <c r="BN76" s="5" t="s">
        <v>259</v>
      </c>
      <c r="CB76" s="5" t="s">
        <v>240</v>
      </c>
      <c r="CC76" s="5" t="s">
        <v>240</v>
      </c>
      <c r="CG76" s="5" t="s">
        <v>449</v>
      </c>
      <c r="CH76" s="5" t="s">
        <v>305</v>
      </c>
      <c r="CI76" s="5" t="s">
        <v>240</v>
      </c>
      <c r="CL76" s="6" t="s">
        <v>261</v>
      </c>
      <c r="CM76" s="5" t="s">
        <v>240</v>
      </c>
      <c r="CN76" s="5" t="s">
        <v>263</v>
      </c>
      <c r="CO76" s="5" t="s">
        <v>240</v>
      </c>
      <c r="CP76" s="5" t="s">
        <v>240</v>
      </c>
      <c r="CQ76" s="5">
        <v>0</v>
      </c>
      <c r="CR76" s="5" t="s">
        <v>306</v>
      </c>
      <c r="CS76" s="5" t="s">
        <v>307</v>
      </c>
      <c r="CT76" s="5" t="s">
        <v>307</v>
      </c>
      <c r="CU76" s="5" t="s">
        <v>260</v>
      </c>
      <c r="CX76" s="7">
        <f>223896</f>
        <v>223896</v>
      </c>
      <c r="CY76" s="7">
        <f>0</f>
        <v>0</v>
      </c>
      <c r="DA76" s="7">
        <f>0</f>
        <v>0</v>
      </c>
      <c r="DC76" s="5" t="s">
        <v>450</v>
      </c>
      <c r="DD76" s="5" t="s">
        <v>240</v>
      </c>
      <c r="DF76" s="5" t="s">
        <v>450</v>
      </c>
      <c r="DG76" s="7">
        <f>14.73</f>
        <v>14.73</v>
      </c>
      <c r="DI76" s="5" t="s">
        <v>240</v>
      </c>
      <c r="DJ76" s="5" t="s">
        <v>240</v>
      </c>
      <c r="DK76" s="5" t="s">
        <v>240</v>
      </c>
      <c r="DL76" s="5" t="s">
        <v>240</v>
      </c>
      <c r="DP76" s="5" t="s">
        <v>240</v>
      </c>
      <c r="DQ76" s="5" t="s">
        <v>240</v>
      </c>
      <c r="DR76" s="5" t="s">
        <v>240</v>
      </c>
      <c r="DS76" s="5" t="s">
        <v>240</v>
      </c>
      <c r="DV76" s="5" t="s">
        <v>310</v>
      </c>
      <c r="DW76" s="5" t="s">
        <v>451</v>
      </c>
      <c r="HO76" s="5" t="s">
        <v>312</v>
      </c>
    </row>
    <row r="77" spans="1:223" x14ac:dyDescent="0.4">
      <c r="A77" s="5">
        <v>787</v>
      </c>
      <c r="B77" s="5">
        <v>1</v>
      </c>
      <c r="C77" s="5">
        <v>1</v>
      </c>
      <c r="D77" s="5" t="s">
        <v>1837</v>
      </c>
      <c r="E77" s="5" t="s">
        <v>418</v>
      </c>
      <c r="F77" s="5" t="s">
        <v>254</v>
      </c>
      <c r="G77" s="5" t="s">
        <v>240</v>
      </c>
      <c r="H77" s="6" t="s">
        <v>4513</v>
      </c>
      <c r="I77" s="5" t="s">
        <v>1836</v>
      </c>
      <c r="J77" s="8">
        <f>28</f>
        <v>28</v>
      </c>
      <c r="K77" s="5" t="s">
        <v>308</v>
      </c>
      <c r="L77" s="7">
        <f>308</f>
        <v>308</v>
      </c>
      <c r="M77" s="7">
        <f>308</f>
        <v>308</v>
      </c>
      <c r="N77" s="5" t="s">
        <v>242</v>
      </c>
      <c r="O77" s="5">
        <v>1</v>
      </c>
      <c r="P77" s="5" t="s">
        <v>294</v>
      </c>
      <c r="Q77" s="5" t="s">
        <v>266</v>
      </c>
      <c r="R77" s="5" t="s">
        <v>240</v>
      </c>
      <c r="S77" s="5" t="s">
        <v>240</v>
      </c>
      <c r="T77" s="5" t="s">
        <v>296</v>
      </c>
      <c r="U77" s="5" t="s">
        <v>244</v>
      </c>
      <c r="V77" s="5" t="s">
        <v>240</v>
      </c>
      <c r="Y77" s="5" t="s">
        <v>240</v>
      </c>
      <c r="Z77" s="6" t="s">
        <v>298</v>
      </c>
      <c r="AB77" s="6" t="s">
        <v>240</v>
      </c>
      <c r="AE77" s="6" t="s">
        <v>299</v>
      </c>
      <c r="AF77" s="5" t="s">
        <v>248</v>
      </c>
      <c r="AG77" s="5" t="s">
        <v>249</v>
      </c>
      <c r="AW77" s="5" t="s">
        <v>251</v>
      </c>
      <c r="AX77" s="5" t="s">
        <v>240</v>
      </c>
      <c r="AY77" s="5" t="s">
        <v>253</v>
      </c>
      <c r="AZ77" s="5" t="s">
        <v>240</v>
      </c>
      <c r="BA77" s="5" t="s">
        <v>255</v>
      </c>
      <c r="BB77" s="5" t="s">
        <v>240</v>
      </c>
      <c r="BD77" s="5" t="s">
        <v>240</v>
      </c>
      <c r="BF77" s="5" t="s">
        <v>301</v>
      </c>
      <c r="BG77" s="6" t="s">
        <v>299</v>
      </c>
      <c r="BH77" s="5" t="s">
        <v>302</v>
      </c>
      <c r="BI77" s="5" t="s">
        <v>303</v>
      </c>
      <c r="BJ77" s="5" t="s">
        <v>240</v>
      </c>
      <c r="BK77" s="8">
        <f>0</f>
        <v>0</v>
      </c>
      <c r="BL77" s="7">
        <f>0</f>
        <v>0</v>
      </c>
      <c r="BM77" s="5" t="s">
        <v>258</v>
      </c>
      <c r="BN77" s="5" t="s">
        <v>259</v>
      </c>
      <c r="CB77" s="5" t="s">
        <v>240</v>
      </c>
      <c r="CC77" s="5" t="s">
        <v>240</v>
      </c>
      <c r="CG77" s="5" t="s">
        <v>304</v>
      </c>
      <c r="CH77" s="5" t="s">
        <v>305</v>
      </c>
      <c r="CI77" s="5" t="s">
        <v>240</v>
      </c>
      <c r="CL77" s="6" t="s">
        <v>261</v>
      </c>
      <c r="CM77" s="5" t="s">
        <v>240</v>
      </c>
      <c r="CN77" s="5" t="s">
        <v>263</v>
      </c>
      <c r="CO77" s="5" t="s">
        <v>240</v>
      </c>
      <c r="CP77" s="5" t="s">
        <v>240</v>
      </c>
      <c r="CQ77" s="5">
        <v>0</v>
      </c>
      <c r="CR77" s="5" t="s">
        <v>306</v>
      </c>
      <c r="CS77" s="5" t="s">
        <v>307</v>
      </c>
      <c r="CT77" s="5" t="s">
        <v>307</v>
      </c>
      <c r="CU77" s="5" t="s">
        <v>260</v>
      </c>
      <c r="CX77" s="7">
        <f>1</f>
        <v>1</v>
      </c>
      <c r="CY77" s="7">
        <f>0</f>
        <v>0</v>
      </c>
      <c r="DA77" s="7">
        <f>0</f>
        <v>0</v>
      </c>
      <c r="DC77" s="5" t="s">
        <v>309</v>
      </c>
      <c r="DD77" s="5" t="s">
        <v>240</v>
      </c>
      <c r="DF77" s="5" t="s">
        <v>309</v>
      </c>
      <c r="DG77" s="7">
        <f>1732</f>
        <v>1732</v>
      </c>
      <c r="DI77" s="5" t="s">
        <v>240</v>
      </c>
      <c r="DJ77" s="5" t="s">
        <v>240</v>
      </c>
      <c r="DK77" s="5" t="s">
        <v>240</v>
      </c>
      <c r="DL77" s="5" t="s">
        <v>240</v>
      </c>
      <c r="DP77" s="5" t="s">
        <v>240</v>
      </c>
      <c r="DQ77" s="5" t="s">
        <v>240</v>
      </c>
      <c r="DR77" s="5" t="s">
        <v>240</v>
      </c>
      <c r="DS77" s="5" t="s">
        <v>240</v>
      </c>
      <c r="DV77" s="5" t="s">
        <v>310</v>
      </c>
      <c r="DW77" s="5" t="s">
        <v>453</v>
      </c>
      <c r="HO77" s="5" t="s">
        <v>312</v>
      </c>
    </row>
    <row r="78" spans="1:223" x14ac:dyDescent="0.4">
      <c r="A78" s="5">
        <v>788</v>
      </c>
      <c r="B78" s="5">
        <v>1</v>
      </c>
      <c r="C78" s="5">
        <v>1</v>
      </c>
      <c r="D78" s="5" t="s">
        <v>1837</v>
      </c>
      <c r="E78" s="5" t="s">
        <v>418</v>
      </c>
      <c r="F78" s="5" t="s">
        <v>254</v>
      </c>
      <c r="G78" s="5" t="s">
        <v>240</v>
      </c>
      <c r="H78" s="6" t="s">
        <v>1844</v>
      </c>
      <c r="I78" s="5" t="s">
        <v>1836</v>
      </c>
      <c r="J78" s="8">
        <f>8.54</f>
        <v>8.5399999999999991</v>
      </c>
      <c r="K78" s="5" t="s">
        <v>308</v>
      </c>
      <c r="L78" s="7">
        <f>4184</f>
        <v>4184</v>
      </c>
      <c r="M78" s="7">
        <f>4184</f>
        <v>4184</v>
      </c>
      <c r="N78" s="5" t="s">
        <v>242</v>
      </c>
      <c r="O78" s="5">
        <v>1</v>
      </c>
      <c r="P78" s="5" t="s">
        <v>294</v>
      </c>
      <c r="Q78" s="5" t="s">
        <v>266</v>
      </c>
      <c r="R78" s="5" t="s">
        <v>240</v>
      </c>
      <c r="S78" s="5" t="s">
        <v>240</v>
      </c>
      <c r="T78" s="5" t="s">
        <v>296</v>
      </c>
      <c r="U78" s="5" t="s">
        <v>244</v>
      </c>
      <c r="V78" s="5" t="s">
        <v>240</v>
      </c>
      <c r="Y78" s="5" t="s">
        <v>240</v>
      </c>
      <c r="Z78" s="6" t="s">
        <v>298</v>
      </c>
      <c r="AB78" s="6" t="s">
        <v>240</v>
      </c>
      <c r="AE78" s="6" t="s">
        <v>299</v>
      </c>
      <c r="AF78" s="5" t="s">
        <v>248</v>
      </c>
      <c r="AG78" s="5" t="s">
        <v>249</v>
      </c>
      <c r="AW78" s="5" t="s">
        <v>251</v>
      </c>
      <c r="AX78" s="5" t="s">
        <v>240</v>
      </c>
      <c r="AY78" s="5" t="s">
        <v>253</v>
      </c>
      <c r="AZ78" s="5" t="s">
        <v>240</v>
      </c>
      <c r="BA78" s="5" t="s">
        <v>255</v>
      </c>
      <c r="BB78" s="5" t="s">
        <v>240</v>
      </c>
      <c r="BD78" s="5" t="s">
        <v>240</v>
      </c>
      <c r="BF78" s="5" t="s">
        <v>301</v>
      </c>
      <c r="BG78" s="6" t="s">
        <v>299</v>
      </c>
      <c r="BH78" s="5" t="s">
        <v>302</v>
      </c>
      <c r="BI78" s="5" t="s">
        <v>303</v>
      </c>
      <c r="BJ78" s="5" t="s">
        <v>240</v>
      </c>
      <c r="BK78" s="8">
        <f>0</f>
        <v>0</v>
      </c>
      <c r="BL78" s="7">
        <f>0</f>
        <v>0</v>
      </c>
      <c r="BM78" s="5" t="s">
        <v>258</v>
      </c>
      <c r="BN78" s="5" t="s">
        <v>259</v>
      </c>
      <c r="CB78" s="5" t="s">
        <v>240</v>
      </c>
      <c r="CC78" s="5" t="s">
        <v>240</v>
      </c>
      <c r="CG78" s="5" t="s">
        <v>304</v>
      </c>
      <c r="CH78" s="5" t="s">
        <v>305</v>
      </c>
      <c r="CI78" s="5" t="s">
        <v>240</v>
      </c>
      <c r="CL78" s="6" t="s">
        <v>261</v>
      </c>
      <c r="CM78" s="5" t="s">
        <v>240</v>
      </c>
      <c r="CN78" s="5" t="s">
        <v>263</v>
      </c>
      <c r="CO78" s="5" t="s">
        <v>240</v>
      </c>
      <c r="CP78" s="5" t="s">
        <v>240</v>
      </c>
      <c r="CQ78" s="5">
        <v>0</v>
      </c>
      <c r="CR78" s="5" t="s">
        <v>306</v>
      </c>
      <c r="CS78" s="5" t="s">
        <v>307</v>
      </c>
      <c r="CT78" s="5" t="s">
        <v>307</v>
      </c>
      <c r="CU78" s="5" t="s">
        <v>260</v>
      </c>
      <c r="CX78" s="7">
        <f>1</f>
        <v>1</v>
      </c>
      <c r="CY78" s="7">
        <f>0</f>
        <v>0</v>
      </c>
      <c r="DA78" s="7">
        <f>0</f>
        <v>0</v>
      </c>
      <c r="DC78" s="5" t="s">
        <v>309</v>
      </c>
      <c r="DD78" s="5" t="s">
        <v>240</v>
      </c>
      <c r="DF78" s="5" t="s">
        <v>309</v>
      </c>
      <c r="DG78" s="7">
        <f>109</f>
        <v>109</v>
      </c>
      <c r="DI78" s="5" t="s">
        <v>240</v>
      </c>
      <c r="DJ78" s="5" t="s">
        <v>240</v>
      </c>
      <c r="DK78" s="5" t="s">
        <v>240</v>
      </c>
      <c r="DL78" s="5" t="s">
        <v>240</v>
      </c>
      <c r="DP78" s="5" t="s">
        <v>240</v>
      </c>
      <c r="DQ78" s="5" t="s">
        <v>240</v>
      </c>
      <c r="DR78" s="5" t="s">
        <v>240</v>
      </c>
      <c r="DS78" s="5" t="s">
        <v>240</v>
      </c>
      <c r="DV78" s="5" t="s">
        <v>310</v>
      </c>
      <c r="DW78" s="5" t="s">
        <v>455</v>
      </c>
      <c r="HO78" s="5" t="s">
        <v>312</v>
      </c>
    </row>
    <row r="79" spans="1:223" x14ac:dyDescent="0.4">
      <c r="A79" s="5">
        <v>789</v>
      </c>
      <c r="B79" s="5">
        <v>1</v>
      </c>
      <c r="C79" s="5">
        <v>1</v>
      </c>
      <c r="D79" s="5" t="s">
        <v>1837</v>
      </c>
      <c r="E79" s="5" t="s">
        <v>418</v>
      </c>
      <c r="F79" s="5" t="s">
        <v>254</v>
      </c>
      <c r="G79" s="5" t="s">
        <v>240</v>
      </c>
      <c r="H79" s="6" t="s">
        <v>1842</v>
      </c>
      <c r="I79" s="5" t="s">
        <v>1836</v>
      </c>
      <c r="J79" s="8">
        <f>10</f>
        <v>10</v>
      </c>
      <c r="K79" s="5" t="s">
        <v>308</v>
      </c>
      <c r="L79" s="7">
        <f>4900</f>
        <v>4900</v>
      </c>
      <c r="M79" s="7">
        <f>4900</f>
        <v>4900</v>
      </c>
      <c r="N79" s="5" t="s">
        <v>242</v>
      </c>
      <c r="O79" s="5">
        <v>1</v>
      </c>
      <c r="P79" s="5" t="s">
        <v>294</v>
      </c>
      <c r="Q79" s="5" t="s">
        <v>266</v>
      </c>
      <c r="R79" s="5" t="s">
        <v>240</v>
      </c>
      <c r="S79" s="5" t="s">
        <v>240</v>
      </c>
      <c r="T79" s="5" t="s">
        <v>296</v>
      </c>
      <c r="U79" s="5" t="s">
        <v>244</v>
      </c>
      <c r="V79" s="5" t="s">
        <v>240</v>
      </c>
      <c r="Y79" s="5" t="s">
        <v>240</v>
      </c>
      <c r="Z79" s="6" t="s">
        <v>298</v>
      </c>
      <c r="AB79" s="6" t="s">
        <v>240</v>
      </c>
      <c r="AE79" s="6" t="s">
        <v>299</v>
      </c>
      <c r="AF79" s="5" t="s">
        <v>248</v>
      </c>
      <c r="AG79" s="5" t="s">
        <v>249</v>
      </c>
      <c r="AW79" s="5" t="s">
        <v>251</v>
      </c>
      <c r="AX79" s="5" t="s">
        <v>240</v>
      </c>
      <c r="AY79" s="5" t="s">
        <v>253</v>
      </c>
      <c r="AZ79" s="5" t="s">
        <v>240</v>
      </c>
      <c r="BA79" s="5" t="s">
        <v>255</v>
      </c>
      <c r="BB79" s="5" t="s">
        <v>240</v>
      </c>
      <c r="BD79" s="5" t="s">
        <v>240</v>
      </c>
      <c r="BF79" s="5" t="s">
        <v>301</v>
      </c>
      <c r="BG79" s="6" t="s">
        <v>299</v>
      </c>
      <c r="BH79" s="5" t="s">
        <v>302</v>
      </c>
      <c r="BI79" s="5" t="s">
        <v>303</v>
      </c>
      <c r="BJ79" s="5" t="s">
        <v>240</v>
      </c>
      <c r="BK79" s="8">
        <f>0</f>
        <v>0</v>
      </c>
      <c r="BL79" s="7">
        <f>0</f>
        <v>0</v>
      </c>
      <c r="BM79" s="5" t="s">
        <v>258</v>
      </c>
      <c r="BN79" s="5" t="s">
        <v>259</v>
      </c>
      <c r="CB79" s="5" t="s">
        <v>240</v>
      </c>
      <c r="CC79" s="5" t="s">
        <v>240</v>
      </c>
      <c r="CG79" s="5" t="s">
        <v>304</v>
      </c>
      <c r="CH79" s="5" t="s">
        <v>305</v>
      </c>
      <c r="CI79" s="5" t="s">
        <v>240</v>
      </c>
      <c r="CL79" s="6" t="s">
        <v>261</v>
      </c>
      <c r="CM79" s="5" t="s">
        <v>240</v>
      </c>
      <c r="CN79" s="5" t="s">
        <v>263</v>
      </c>
      <c r="CO79" s="5" t="s">
        <v>240</v>
      </c>
      <c r="CP79" s="5" t="s">
        <v>240</v>
      </c>
      <c r="CQ79" s="5">
        <v>0</v>
      </c>
      <c r="CR79" s="5" t="s">
        <v>306</v>
      </c>
      <c r="CS79" s="5" t="s">
        <v>307</v>
      </c>
      <c r="CT79" s="5" t="s">
        <v>307</v>
      </c>
      <c r="CU79" s="5" t="s">
        <v>260</v>
      </c>
      <c r="CX79" s="7">
        <f>1</f>
        <v>1</v>
      </c>
      <c r="CY79" s="7">
        <f>0</f>
        <v>0</v>
      </c>
      <c r="DA79" s="7">
        <f>0</f>
        <v>0</v>
      </c>
      <c r="DC79" s="5" t="s">
        <v>309</v>
      </c>
      <c r="DD79" s="5" t="s">
        <v>240</v>
      </c>
      <c r="DF79" s="5" t="s">
        <v>309</v>
      </c>
      <c r="DG79" s="7">
        <f>92</f>
        <v>92</v>
      </c>
      <c r="DI79" s="5" t="s">
        <v>240</v>
      </c>
      <c r="DJ79" s="5" t="s">
        <v>240</v>
      </c>
      <c r="DK79" s="5" t="s">
        <v>240</v>
      </c>
      <c r="DL79" s="5" t="s">
        <v>240</v>
      </c>
      <c r="DP79" s="5" t="s">
        <v>240</v>
      </c>
      <c r="DQ79" s="5" t="s">
        <v>240</v>
      </c>
      <c r="DR79" s="5" t="s">
        <v>240</v>
      </c>
      <c r="DS79" s="5" t="s">
        <v>240</v>
      </c>
      <c r="DV79" s="5" t="s">
        <v>310</v>
      </c>
      <c r="DW79" s="5" t="s">
        <v>457</v>
      </c>
      <c r="HO79" s="5" t="s">
        <v>312</v>
      </c>
    </row>
    <row r="80" spans="1:223" x14ac:dyDescent="0.4">
      <c r="A80" s="5">
        <v>790</v>
      </c>
      <c r="B80" s="5">
        <v>1</v>
      </c>
      <c r="C80" s="5">
        <v>1</v>
      </c>
      <c r="D80" s="5" t="s">
        <v>1837</v>
      </c>
      <c r="E80" s="5" t="s">
        <v>418</v>
      </c>
      <c r="F80" s="5" t="s">
        <v>254</v>
      </c>
      <c r="G80" s="5" t="s">
        <v>240</v>
      </c>
      <c r="H80" s="6" t="s">
        <v>1841</v>
      </c>
      <c r="I80" s="5" t="s">
        <v>1836</v>
      </c>
      <c r="J80" s="8">
        <f>13</f>
        <v>13</v>
      </c>
      <c r="K80" s="5" t="s">
        <v>308</v>
      </c>
      <c r="L80" s="7">
        <f>559</f>
        <v>559</v>
      </c>
      <c r="M80" s="7">
        <f>559</f>
        <v>559</v>
      </c>
      <c r="N80" s="5" t="s">
        <v>242</v>
      </c>
      <c r="O80" s="5">
        <v>1</v>
      </c>
      <c r="P80" s="5" t="s">
        <v>294</v>
      </c>
      <c r="Q80" s="5" t="s">
        <v>266</v>
      </c>
      <c r="R80" s="5" t="s">
        <v>240</v>
      </c>
      <c r="S80" s="5" t="s">
        <v>240</v>
      </c>
      <c r="T80" s="5" t="s">
        <v>296</v>
      </c>
      <c r="U80" s="5" t="s">
        <v>244</v>
      </c>
      <c r="V80" s="5" t="s">
        <v>240</v>
      </c>
      <c r="Y80" s="5" t="s">
        <v>240</v>
      </c>
      <c r="Z80" s="6" t="s">
        <v>298</v>
      </c>
      <c r="AB80" s="6" t="s">
        <v>240</v>
      </c>
      <c r="AE80" s="6" t="s">
        <v>299</v>
      </c>
      <c r="AF80" s="5" t="s">
        <v>248</v>
      </c>
      <c r="AG80" s="5" t="s">
        <v>249</v>
      </c>
      <c r="AW80" s="5" t="s">
        <v>251</v>
      </c>
      <c r="AX80" s="5" t="s">
        <v>240</v>
      </c>
      <c r="AY80" s="5" t="s">
        <v>253</v>
      </c>
      <c r="AZ80" s="5" t="s">
        <v>240</v>
      </c>
      <c r="BA80" s="5" t="s">
        <v>255</v>
      </c>
      <c r="BB80" s="5" t="s">
        <v>240</v>
      </c>
      <c r="BD80" s="5" t="s">
        <v>240</v>
      </c>
      <c r="BF80" s="5" t="s">
        <v>301</v>
      </c>
      <c r="BG80" s="6" t="s">
        <v>299</v>
      </c>
      <c r="BH80" s="5" t="s">
        <v>302</v>
      </c>
      <c r="BI80" s="5" t="s">
        <v>303</v>
      </c>
      <c r="BJ80" s="5" t="s">
        <v>240</v>
      </c>
      <c r="BK80" s="8">
        <f>0</f>
        <v>0</v>
      </c>
      <c r="BL80" s="7">
        <f>0</f>
        <v>0</v>
      </c>
      <c r="BM80" s="5" t="s">
        <v>258</v>
      </c>
      <c r="BN80" s="5" t="s">
        <v>259</v>
      </c>
      <c r="CB80" s="5" t="s">
        <v>240</v>
      </c>
      <c r="CC80" s="5" t="s">
        <v>240</v>
      </c>
      <c r="CG80" s="5" t="s">
        <v>304</v>
      </c>
      <c r="CH80" s="5" t="s">
        <v>305</v>
      </c>
      <c r="CI80" s="5" t="s">
        <v>240</v>
      </c>
      <c r="CL80" s="6" t="s">
        <v>261</v>
      </c>
      <c r="CM80" s="5" t="s">
        <v>240</v>
      </c>
      <c r="CN80" s="5" t="s">
        <v>263</v>
      </c>
      <c r="CO80" s="5" t="s">
        <v>240</v>
      </c>
      <c r="CP80" s="5" t="s">
        <v>240</v>
      </c>
      <c r="CQ80" s="5">
        <v>0</v>
      </c>
      <c r="CR80" s="5" t="s">
        <v>306</v>
      </c>
      <c r="CS80" s="5" t="s">
        <v>307</v>
      </c>
      <c r="CT80" s="5" t="s">
        <v>307</v>
      </c>
      <c r="CU80" s="5" t="s">
        <v>260</v>
      </c>
      <c r="CX80" s="7">
        <f>1</f>
        <v>1</v>
      </c>
      <c r="CY80" s="7">
        <f>0</f>
        <v>0</v>
      </c>
      <c r="DA80" s="7">
        <f>0</f>
        <v>0</v>
      </c>
      <c r="DC80" s="5" t="s">
        <v>309</v>
      </c>
      <c r="DD80" s="5" t="s">
        <v>240</v>
      </c>
      <c r="DF80" s="5" t="s">
        <v>309</v>
      </c>
      <c r="DG80" s="7">
        <f>603</f>
        <v>603</v>
      </c>
      <c r="DI80" s="5" t="s">
        <v>240</v>
      </c>
      <c r="DJ80" s="5" t="s">
        <v>240</v>
      </c>
      <c r="DK80" s="5" t="s">
        <v>240</v>
      </c>
      <c r="DL80" s="5" t="s">
        <v>240</v>
      </c>
      <c r="DP80" s="5" t="s">
        <v>240</v>
      </c>
      <c r="DQ80" s="5" t="s">
        <v>240</v>
      </c>
      <c r="DR80" s="5" t="s">
        <v>240</v>
      </c>
      <c r="DS80" s="5" t="s">
        <v>240</v>
      </c>
      <c r="DV80" s="5" t="s">
        <v>310</v>
      </c>
      <c r="DW80" s="5" t="s">
        <v>459</v>
      </c>
      <c r="HO80" s="5" t="s">
        <v>312</v>
      </c>
    </row>
    <row r="81" spans="1:223" x14ac:dyDescent="0.4">
      <c r="A81" s="5">
        <v>791</v>
      </c>
      <c r="B81" s="5">
        <v>1</v>
      </c>
      <c r="C81" s="5">
        <v>1</v>
      </c>
      <c r="D81" s="5" t="s">
        <v>1837</v>
      </c>
      <c r="E81" s="5" t="s">
        <v>418</v>
      </c>
      <c r="F81" s="5" t="s">
        <v>254</v>
      </c>
      <c r="G81" s="5" t="s">
        <v>240</v>
      </c>
      <c r="H81" s="6" t="s">
        <v>1840</v>
      </c>
      <c r="I81" s="5" t="s">
        <v>1836</v>
      </c>
      <c r="J81" s="8">
        <f>9.09</f>
        <v>9.09</v>
      </c>
      <c r="K81" s="5" t="s">
        <v>308</v>
      </c>
      <c r="L81" s="7">
        <f>4454</f>
        <v>4454</v>
      </c>
      <c r="M81" s="7">
        <f>4454</f>
        <v>4454</v>
      </c>
      <c r="N81" s="5" t="s">
        <v>242</v>
      </c>
      <c r="O81" s="5">
        <v>1</v>
      </c>
      <c r="P81" s="5" t="s">
        <v>294</v>
      </c>
      <c r="Q81" s="5" t="s">
        <v>266</v>
      </c>
      <c r="R81" s="5" t="s">
        <v>240</v>
      </c>
      <c r="S81" s="5" t="s">
        <v>240</v>
      </c>
      <c r="T81" s="5" t="s">
        <v>296</v>
      </c>
      <c r="U81" s="5" t="s">
        <v>244</v>
      </c>
      <c r="V81" s="5" t="s">
        <v>240</v>
      </c>
      <c r="Y81" s="5" t="s">
        <v>240</v>
      </c>
      <c r="Z81" s="6" t="s">
        <v>298</v>
      </c>
      <c r="AB81" s="6" t="s">
        <v>240</v>
      </c>
      <c r="AE81" s="6" t="s">
        <v>299</v>
      </c>
      <c r="AF81" s="5" t="s">
        <v>248</v>
      </c>
      <c r="AG81" s="5" t="s">
        <v>249</v>
      </c>
      <c r="AW81" s="5" t="s">
        <v>251</v>
      </c>
      <c r="AX81" s="5" t="s">
        <v>240</v>
      </c>
      <c r="AY81" s="5" t="s">
        <v>253</v>
      </c>
      <c r="AZ81" s="5" t="s">
        <v>240</v>
      </c>
      <c r="BA81" s="5" t="s">
        <v>255</v>
      </c>
      <c r="BB81" s="5" t="s">
        <v>240</v>
      </c>
      <c r="BD81" s="5" t="s">
        <v>240</v>
      </c>
      <c r="BF81" s="5" t="s">
        <v>301</v>
      </c>
      <c r="BG81" s="6" t="s">
        <v>299</v>
      </c>
      <c r="BH81" s="5" t="s">
        <v>302</v>
      </c>
      <c r="BI81" s="5" t="s">
        <v>303</v>
      </c>
      <c r="BJ81" s="5" t="s">
        <v>240</v>
      </c>
      <c r="BK81" s="8">
        <f>0</f>
        <v>0</v>
      </c>
      <c r="BL81" s="7">
        <f>0</f>
        <v>0</v>
      </c>
      <c r="BM81" s="5" t="s">
        <v>258</v>
      </c>
      <c r="BN81" s="5" t="s">
        <v>259</v>
      </c>
      <c r="CB81" s="5" t="s">
        <v>240</v>
      </c>
      <c r="CC81" s="5" t="s">
        <v>240</v>
      </c>
      <c r="CG81" s="5" t="s">
        <v>304</v>
      </c>
      <c r="CH81" s="5" t="s">
        <v>305</v>
      </c>
      <c r="CI81" s="5" t="s">
        <v>240</v>
      </c>
      <c r="CL81" s="6" t="s">
        <v>261</v>
      </c>
      <c r="CM81" s="5" t="s">
        <v>240</v>
      </c>
      <c r="CN81" s="5" t="s">
        <v>263</v>
      </c>
      <c r="CO81" s="5" t="s">
        <v>240</v>
      </c>
      <c r="CP81" s="5" t="s">
        <v>240</v>
      </c>
      <c r="CQ81" s="5">
        <v>0</v>
      </c>
      <c r="CR81" s="5" t="s">
        <v>306</v>
      </c>
      <c r="CS81" s="5" t="s">
        <v>307</v>
      </c>
      <c r="CT81" s="5" t="s">
        <v>307</v>
      </c>
      <c r="CU81" s="5" t="s">
        <v>260</v>
      </c>
      <c r="CX81" s="7">
        <f>1</f>
        <v>1</v>
      </c>
      <c r="CY81" s="7">
        <f>0</f>
        <v>0</v>
      </c>
      <c r="DA81" s="7">
        <f>0</f>
        <v>0</v>
      </c>
      <c r="DC81" s="5" t="s">
        <v>309</v>
      </c>
      <c r="DD81" s="5" t="s">
        <v>240</v>
      </c>
      <c r="DF81" s="5" t="s">
        <v>309</v>
      </c>
      <c r="DG81" s="7">
        <f>3581</f>
        <v>3581</v>
      </c>
      <c r="DI81" s="5" t="s">
        <v>240</v>
      </c>
      <c r="DJ81" s="5" t="s">
        <v>240</v>
      </c>
      <c r="DK81" s="5" t="s">
        <v>240</v>
      </c>
      <c r="DL81" s="5" t="s">
        <v>240</v>
      </c>
      <c r="DP81" s="5" t="s">
        <v>240</v>
      </c>
      <c r="DQ81" s="5" t="s">
        <v>240</v>
      </c>
      <c r="DR81" s="5" t="s">
        <v>240</v>
      </c>
      <c r="DS81" s="5" t="s">
        <v>240</v>
      </c>
      <c r="DV81" s="5" t="s">
        <v>310</v>
      </c>
      <c r="DW81" s="5" t="s">
        <v>461</v>
      </c>
      <c r="HO81" s="5" t="s">
        <v>312</v>
      </c>
    </row>
    <row r="82" spans="1:223" x14ac:dyDescent="0.4">
      <c r="A82" s="5">
        <v>792</v>
      </c>
      <c r="B82" s="5">
        <v>1</v>
      </c>
      <c r="C82" s="5">
        <v>1</v>
      </c>
      <c r="D82" s="5" t="s">
        <v>1837</v>
      </c>
      <c r="E82" s="5" t="s">
        <v>418</v>
      </c>
      <c r="F82" s="5" t="s">
        <v>254</v>
      </c>
      <c r="G82" s="5" t="s">
        <v>240</v>
      </c>
      <c r="H82" s="6" t="s">
        <v>1838</v>
      </c>
      <c r="I82" s="5" t="s">
        <v>1836</v>
      </c>
      <c r="J82" s="8">
        <f>22</f>
        <v>22</v>
      </c>
      <c r="K82" s="5" t="s">
        <v>308</v>
      </c>
      <c r="L82" s="7">
        <f>242</f>
        <v>242</v>
      </c>
      <c r="M82" s="7">
        <f>242</f>
        <v>242</v>
      </c>
      <c r="N82" s="5" t="s">
        <v>242</v>
      </c>
      <c r="O82" s="5">
        <v>1</v>
      </c>
      <c r="P82" s="5" t="s">
        <v>294</v>
      </c>
      <c r="Q82" s="5" t="s">
        <v>266</v>
      </c>
      <c r="R82" s="5" t="s">
        <v>240</v>
      </c>
      <c r="S82" s="5" t="s">
        <v>240</v>
      </c>
      <c r="T82" s="5" t="s">
        <v>296</v>
      </c>
      <c r="U82" s="5" t="s">
        <v>244</v>
      </c>
      <c r="V82" s="5" t="s">
        <v>240</v>
      </c>
      <c r="Y82" s="5" t="s">
        <v>240</v>
      </c>
      <c r="Z82" s="6" t="s">
        <v>298</v>
      </c>
      <c r="AB82" s="6" t="s">
        <v>240</v>
      </c>
      <c r="AE82" s="6" t="s">
        <v>299</v>
      </c>
      <c r="AF82" s="5" t="s">
        <v>248</v>
      </c>
      <c r="AG82" s="5" t="s">
        <v>249</v>
      </c>
      <c r="AW82" s="5" t="s">
        <v>251</v>
      </c>
      <c r="AX82" s="5" t="s">
        <v>240</v>
      </c>
      <c r="AY82" s="5" t="s">
        <v>253</v>
      </c>
      <c r="AZ82" s="5" t="s">
        <v>240</v>
      </c>
      <c r="BA82" s="5" t="s">
        <v>255</v>
      </c>
      <c r="BB82" s="5" t="s">
        <v>240</v>
      </c>
      <c r="BD82" s="5" t="s">
        <v>240</v>
      </c>
      <c r="BF82" s="5" t="s">
        <v>301</v>
      </c>
      <c r="BG82" s="6" t="s">
        <v>299</v>
      </c>
      <c r="BH82" s="5" t="s">
        <v>302</v>
      </c>
      <c r="BI82" s="5" t="s">
        <v>303</v>
      </c>
      <c r="BJ82" s="5" t="s">
        <v>240</v>
      </c>
      <c r="BK82" s="8">
        <f>0</f>
        <v>0</v>
      </c>
      <c r="BL82" s="7">
        <f>0</f>
        <v>0</v>
      </c>
      <c r="BM82" s="5" t="s">
        <v>258</v>
      </c>
      <c r="BN82" s="5" t="s">
        <v>259</v>
      </c>
      <c r="CB82" s="5" t="s">
        <v>240</v>
      </c>
      <c r="CC82" s="5" t="s">
        <v>240</v>
      </c>
      <c r="CG82" s="5" t="s">
        <v>304</v>
      </c>
      <c r="CH82" s="5" t="s">
        <v>305</v>
      </c>
      <c r="CI82" s="5" t="s">
        <v>240</v>
      </c>
      <c r="CL82" s="6" t="s">
        <v>261</v>
      </c>
      <c r="CM82" s="5" t="s">
        <v>240</v>
      </c>
      <c r="CN82" s="5" t="s">
        <v>263</v>
      </c>
      <c r="CO82" s="5" t="s">
        <v>240</v>
      </c>
      <c r="CP82" s="5" t="s">
        <v>240</v>
      </c>
      <c r="CQ82" s="5">
        <v>0</v>
      </c>
      <c r="CR82" s="5" t="s">
        <v>306</v>
      </c>
      <c r="CS82" s="5" t="s">
        <v>307</v>
      </c>
      <c r="CT82" s="5" t="s">
        <v>307</v>
      </c>
      <c r="CU82" s="5" t="s">
        <v>260</v>
      </c>
      <c r="CX82" s="7">
        <f>1</f>
        <v>1</v>
      </c>
      <c r="CY82" s="7">
        <f>0</f>
        <v>0</v>
      </c>
      <c r="DA82" s="7">
        <f>0</f>
        <v>0</v>
      </c>
      <c r="DC82" s="5" t="s">
        <v>309</v>
      </c>
      <c r="DD82" s="5" t="s">
        <v>240</v>
      </c>
      <c r="DF82" s="5" t="s">
        <v>309</v>
      </c>
      <c r="DG82" s="7">
        <f>222</f>
        <v>222</v>
      </c>
      <c r="DI82" s="5" t="s">
        <v>240</v>
      </c>
      <c r="DJ82" s="5" t="s">
        <v>240</v>
      </c>
      <c r="DK82" s="5" t="s">
        <v>240</v>
      </c>
      <c r="DL82" s="5" t="s">
        <v>240</v>
      </c>
      <c r="DP82" s="5" t="s">
        <v>240</v>
      </c>
      <c r="DQ82" s="5" t="s">
        <v>240</v>
      </c>
      <c r="DR82" s="5" t="s">
        <v>240</v>
      </c>
      <c r="DS82" s="5" t="s">
        <v>240</v>
      </c>
      <c r="DV82" s="5" t="s">
        <v>310</v>
      </c>
      <c r="DW82" s="5" t="s">
        <v>463</v>
      </c>
      <c r="HO82" s="5" t="s">
        <v>312</v>
      </c>
    </row>
    <row r="83" spans="1:223" x14ac:dyDescent="0.4">
      <c r="A83" s="5">
        <v>793</v>
      </c>
      <c r="B83" s="5">
        <v>1</v>
      </c>
      <c r="C83" s="5">
        <v>1</v>
      </c>
      <c r="D83" s="5" t="s">
        <v>1832</v>
      </c>
      <c r="E83" s="5" t="s">
        <v>418</v>
      </c>
      <c r="F83" s="5" t="s">
        <v>254</v>
      </c>
      <c r="G83" s="5" t="s">
        <v>240</v>
      </c>
      <c r="H83" s="6" t="s">
        <v>1834</v>
      </c>
      <c r="I83" s="5" t="s">
        <v>1831</v>
      </c>
      <c r="J83" s="8">
        <f>1329</f>
        <v>1329</v>
      </c>
      <c r="K83" s="5" t="s">
        <v>308</v>
      </c>
      <c r="L83" s="7">
        <f>207324</f>
        <v>207324</v>
      </c>
      <c r="M83" s="7">
        <f>207324</f>
        <v>207324</v>
      </c>
      <c r="N83" s="5" t="s">
        <v>242</v>
      </c>
      <c r="O83" s="5">
        <v>1</v>
      </c>
      <c r="P83" s="5" t="s">
        <v>294</v>
      </c>
      <c r="Q83" s="5" t="s">
        <v>266</v>
      </c>
      <c r="R83" s="5" t="s">
        <v>240</v>
      </c>
      <c r="S83" s="5" t="s">
        <v>240</v>
      </c>
      <c r="T83" s="5" t="s">
        <v>296</v>
      </c>
      <c r="U83" s="5" t="s">
        <v>244</v>
      </c>
      <c r="V83" s="5" t="s">
        <v>240</v>
      </c>
      <c r="Y83" s="5" t="s">
        <v>240</v>
      </c>
      <c r="Z83" s="6" t="s">
        <v>298</v>
      </c>
      <c r="AB83" s="6" t="s">
        <v>240</v>
      </c>
      <c r="AE83" s="6" t="s">
        <v>299</v>
      </c>
      <c r="AF83" s="5" t="s">
        <v>248</v>
      </c>
      <c r="AG83" s="5" t="s">
        <v>249</v>
      </c>
      <c r="AW83" s="5" t="s">
        <v>251</v>
      </c>
      <c r="AX83" s="5" t="s">
        <v>240</v>
      </c>
      <c r="AY83" s="5" t="s">
        <v>253</v>
      </c>
      <c r="AZ83" s="5" t="s">
        <v>240</v>
      </c>
      <c r="BA83" s="5" t="s">
        <v>255</v>
      </c>
      <c r="BB83" s="5" t="s">
        <v>240</v>
      </c>
      <c r="BD83" s="5" t="s">
        <v>240</v>
      </c>
      <c r="BF83" s="5" t="s">
        <v>301</v>
      </c>
      <c r="BG83" s="6" t="s">
        <v>299</v>
      </c>
      <c r="BH83" s="5" t="s">
        <v>302</v>
      </c>
      <c r="BI83" s="5" t="s">
        <v>303</v>
      </c>
      <c r="BJ83" s="5" t="s">
        <v>240</v>
      </c>
      <c r="BK83" s="8">
        <f>0</f>
        <v>0</v>
      </c>
      <c r="BL83" s="7">
        <f>0</f>
        <v>0</v>
      </c>
      <c r="BM83" s="5" t="s">
        <v>258</v>
      </c>
      <c r="BN83" s="5" t="s">
        <v>259</v>
      </c>
      <c r="CB83" s="5" t="s">
        <v>240</v>
      </c>
      <c r="CC83" s="5" t="s">
        <v>240</v>
      </c>
      <c r="CG83" s="5" t="s">
        <v>304</v>
      </c>
      <c r="CH83" s="5" t="s">
        <v>305</v>
      </c>
      <c r="CI83" s="5" t="s">
        <v>240</v>
      </c>
      <c r="CL83" s="6" t="s">
        <v>261</v>
      </c>
      <c r="CM83" s="5" t="s">
        <v>240</v>
      </c>
      <c r="CN83" s="5" t="s">
        <v>263</v>
      </c>
      <c r="CO83" s="5" t="s">
        <v>240</v>
      </c>
      <c r="CP83" s="5" t="s">
        <v>240</v>
      </c>
      <c r="CQ83" s="5">
        <v>0</v>
      </c>
      <c r="CR83" s="5" t="s">
        <v>306</v>
      </c>
      <c r="CS83" s="5" t="s">
        <v>307</v>
      </c>
      <c r="CT83" s="5" t="s">
        <v>307</v>
      </c>
      <c r="CU83" s="5" t="s">
        <v>260</v>
      </c>
      <c r="CX83" s="7">
        <f>1</f>
        <v>1</v>
      </c>
      <c r="CY83" s="7">
        <f>0</f>
        <v>0</v>
      </c>
      <c r="DA83" s="7">
        <f>0</f>
        <v>0</v>
      </c>
      <c r="DC83" s="5" t="s">
        <v>309</v>
      </c>
      <c r="DD83" s="5" t="s">
        <v>240</v>
      </c>
      <c r="DF83" s="5" t="s">
        <v>309</v>
      </c>
      <c r="DG83" s="7">
        <f>180</f>
        <v>180</v>
      </c>
      <c r="DI83" s="5" t="s">
        <v>240</v>
      </c>
      <c r="DJ83" s="5" t="s">
        <v>240</v>
      </c>
      <c r="DK83" s="5" t="s">
        <v>240</v>
      </c>
      <c r="DL83" s="5" t="s">
        <v>240</v>
      </c>
      <c r="DP83" s="5" t="s">
        <v>240</v>
      </c>
      <c r="DQ83" s="5" t="s">
        <v>240</v>
      </c>
      <c r="DR83" s="5" t="s">
        <v>240</v>
      </c>
      <c r="DS83" s="5" t="s">
        <v>240</v>
      </c>
      <c r="DV83" s="5" t="s">
        <v>310</v>
      </c>
      <c r="DW83" s="5" t="s">
        <v>465</v>
      </c>
      <c r="HO83" s="5" t="s">
        <v>312</v>
      </c>
    </row>
    <row r="84" spans="1:223" x14ac:dyDescent="0.4">
      <c r="A84" s="5">
        <v>794</v>
      </c>
      <c r="B84" s="5">
        <v>1</v>
      </c>
      <c r="C84" s="5">
        <v>1</v>
      </c>
      <c r="D84" s="5" t="s">
        <v>1823</v>
      </c>
      <c r="E84" s="5" t="s">
        <v>418</v>
      </c>
      <c r="F84" s="5" t="s">
        <v>254</v>
      </c>
      <c r="G84" s="5" t="s">
        <v>240</v>
      </c>
      <c r="H84" s="6" t="s">
        <v>1830</v>
      </c>
      <c r="I84" s="5" t="s">
        <v>1822</v>
      </c>
      <c r="J84" s="8">
        <f>221</f>
        <v>221</v>
      </c>
      <c r="K84" s="5" t="s">
        <v>308</v>
      </c>
      <c r="L84" s="7">
        <f>489515</f>
        <v>489515</v>
      </c>
      <c r="M84" s="7">
        <f>489515</f>
        <v>489515</v>
      </c>
      <c r="N84" s="5" t="s">
        <v>242</v>
      </c>
      <c r="O84" s="5">
        <v>1</v>
      </c>
      <c r="P84" s="5" t="s">
        <v>294</v>
      </c>
      <c r="Q84" s="5" t="s">
        <v>266</v>
      </c>
      <c r="R84" s="5" t="s">
        <v>240</v>
      </c>
      <c r="S84" s="5" t="s">
        <v>240</v>
      </c>
      <c r="T84" s="5" t="s">
        <v>296</v>
      </c>
      <c r="U84" s="5" t="s">
        <v>244</v>
      </c>
      <c r="V84" s="5" t="s">
        <v>240</v>
      </c>
      <c r="Y84" s="5" t="s">
        <v>240</v>
      </c>
      <c r="Z84" s="6" t="s">
        <v>298</v>
      </c>
      <c r="AB84" s="6" t="s">
        <v>240</v>
      </c>
      <c r="AE84" s="6" t="s">
        <v>299</v>
      </c>
      <c r="AF84" s="5" t="s">
        <v>248</v>
      </c>
      <c r="AG84" s="5" t="s">
        <v>249</v>
      </c>
      <c r="AW84" s="5" t="s">
        <v>251</v>
      </c>
      <c r="AX84" s="5" t="s">
        <v>240</v>
      </c>
      <c r="AY84" s="5" t="s">
        <v>253</v>
      </c>
      <c r="AZ84" s="5" t="s">
        <v>240</v>
      </c>
      <c r="BA84" s="5" t="s">
        <v>255</v>
      </c>
      <c r="BB84" s="5" t="s">
        <v>240</v>
      </c>
      <c r="BD84" s="5" t="s">
        <v>240</v>
      </c>
      <c r="BF84" s="5" t="s">
        <v>301</v>
      </c>
      <c r="BG84" s="6" t="s">
        <v>299</v>
      </c>
      <c r="BH84" s="5" t="s">
        <v>302</v>
      </c>
      <c r="BI84" s="5" t="s">
        <v>303</v>
      </c>
      <c r="BJ84" s="5" t="s">
        <v>240</v>
      </c>
      <c r="BK84" s="8">
        <f>0</f>
        <v>0</v>
      </c>
      <c r="BL84" s="7">
        <f>0</f>
        <v>0</v>
      </c>
      <c r="BM84" s="5" t="s">
        <v>258</v>
      </c>
      <c r="BN84" s="5" t="s">
        <v>259</v>
      </c>
      <c r="CB84" s="5" t="s">
        <v>240</v>
      </c>
      <c r="CC84" s="5" t="s">
        <v>240</v>
      </c>
      <c r="CG84" s="5" t="s">
        <v>304</v>
      </c>
      <c r="CH84" s="5" t="s">
        <v>305</v>
      </c>
      <c r="CI84" s="5" t="s">
        <v>240</v>
      </c>
      <c r="CL84" s="6" t="s">
        <v>261</v>
      </c>
      <c r="CM84" s="5" t="s">
        <v>240</v>
      </c>
      <c r="CN84" s="5" t="s">
        <v>263</v>
      </c>
      <c r="CO84" s="5" t="s">
        <v>240</v>
      </c>
      <c r="CP84" s="5" t="s">
        <v>240</v>
      </c>
      <c r="CQ84" s="5">
        <v>0</v>
      </c>
      <c r="CR84" s="5" t="s">
        <v>306</v>
      </c>
      <c r="CS84" s="5" t="s">
        <v>307</v>
      </c>
      <c r="CT84" s="5" t="s">
        <v>307</v>
      </c>
      <c r="CU84" s="5" t="s">
        <v>260</v>
      </c>
      <c r="CX84" s="7">
        <f>1</f>
        <v>1</v>
      </c>
      <c r="CY84" s="7">
        <f>0</f>
        <v>0</v>
      </c>
      <c r="DA84" s="7">
        <f>0</f>
        <v>0</v>
      </c>
      <c r="DC84" s="5" t="s">
        <v>309</v>
      </c>
      <c r="DD84" s="5" t="s">
        <v>240</v>
      </c>
      <c r="DF84" s="5" t="s">
        <v>309</v>
      </c>
      <c r="DG84" s="7">
        <f>605</f>
        <v>605</v>
      </c>
      <c r="DI84" s="5" t="s">
        <v>240</v>
      </c>
      <c r="DJ84" s="5" t="s">
        <v>240</v>
      </c>
      <c r="DK84" s="5" t="s">
        <v>240</v>
      </c>
      <c r="DL84" s="5" t="s">
        <v>240</v>
      </c>
      <c r="DP84" s="5" t="s">
        <v>240</v>
      </c>
      <c r="DQ84" s="5" t="s">
        <v>240</v>
      </c>
      <c r="DR84" s="5" t="s">
        <v>240</v>
      </c>
      <c r="DS84" s="5" t="s">
        <v>240</v>
      </c>
      <c r="DV84" s="5" t="s">
        <v>310</v>
      </c>
      <c r="DW84" s="5" t="s">
        <v>467</v>
      </c>
      <c r="HO84" s="5" t="s">
        <v>312</v>
      </c>
    </row>
    <row r="85" spans="1:223" x14ac:dyDescent="0.4">
      <c r="A85" s="5">
        <v>795</v>
      </c>
      <c r="B85" s="5">
        <v>1</v>
      </c>
      <c r="C85" s="5">
        <v>1</v>
      </c>
      <c r="D85" s="5" t="s">
        <v>1823</v>
      </c>
      <c r="E85" s="5" t="s">
        <v>418</v>
      </c>
      <c r="F85" s="5" t="s">
        <v>254</v>
      </c>
      <c r="G85" s="5" t="s">
        <v>240</v>
      </c>
      <c r="H85" s="6" t="s">
        <v>4509</v>
      </c>
      <c r="I85" s="5" t="s">
        <v>1822</v>
      </c>
      <c r="J85" s="8">
        <f>173</f>
        <v>173</v>
      </c>
      <c r="K85" s="5" t="s">
        <v>308</v>
      </c>
      <c r="L85" s="7">
        <f>383195</f>
        <v>383195</v>
      </c>
      <c r="M85" s="7">
        <f>383195</f>
        <v>383195</v>
      </c>
      <c r="N85" s="5" t="s">
        <v>242</v>
      </c>
      <c r="O85" s="5">
        <v>1</v>
      </c>
      <c r="P85" s="5" t="s">
        <v>294</v>
      </c>
      <c r="Q85" s="5" t="s">
        <v>266</v>
      </c>
      <c r="R85" s="5" t="s">
        <v>240</v>
      </c>
      <c r="S85" s="5" t="s">
        <v>240</v>
      </c>
      <c r="T85" s="5" t="s">
        <v>296</v>
      </c>
      <c r="U85" s="5" t="s">
        <v>244</v>
      </c>
      <c r="V85" s="5" t="s">
        <v>240</v>
      </c>
      <c r="Y85" s="5" t="s">
        <v>240</v>
      </c>
      <c r="Z85" s="6" t="s">
        <v>298</v>
      </c>
      <c r="AB85" s="6" t="s">
        <v>240</v>
      </c>
      <c r="AE85" s="6" t="s">
        <v>299</v>
      </c>
      <c r="AF85" s="5" t="s">
        <v>248</v>
      </c>
      <c r="AG85" s="5" t="s">
        <v>249</v>
      </c>
      <c r="AW85" s="5" t="s">
        <v>251</v>
      </c>
      <c r="AX85" s="5" t="s">
        <v>240</v>
      </c>
      <c r="AY85" s="5" t="s">
        <v>253</v>
      </c>
      <c r="AZ85" s="5" t="s">
        <v>240</v>
      </c>
      <c r="BA85" s="5" t="s">
        <v>255</v>
      </c>
      <c r="BB85" s="5" t="s">
        <v>240</v>
      </c>
      <c r="BD85" s="5" t="s">
        <v>240</v>
      </c>
      <c r="BF85" s="5" t="s">
        <v>301</v>
      </c>
      <c r="BG85" s="6" t="s">
        <v>299</v>
      </c>
      <c r="BH85" s="5" t="s">
        <v>302</v>
      </c>
      <c r="BI85" s="5" t="s">
        <v>303</v>
      </c>
      <c r="BJ85" s="5" t="s">
        <v>240</v>
      </c>
      <c r="BK85" s="8">
        <f>0</f>
        <v>0</v>
      </c>
      <c r="BL85" s="7">
        <f>0</f>
        <v>0</v>
      </c>
      <c r="BM85" s="5" t="s">
        <v>258</v>
      </c>
      <c r="BN85" s="5" t="s">
        <v>259</v>
      </c>
      <c r="CB85" s="5" t="s">
        <v>240</v>
      </c>
      <c r="CC85" s="5" t="s">
        <v>240</v>
      </c>
      <c r="CG85" s="5" t="s">
        <v>304</v>
      </c>
      <c r="CH85" s="5" t="s">
        <v>305</v>
      </c>
      <c r="CI85" s="5" t="s">
        <v>240</v>
      </c>
      <c r="CL85" s="6" t="s">
        <v>261</v>
      </c>
      <c r="CM85" s="5" t="s">
        <v>240</v>
      </c>
      <c r="CN85" s="5" t="s">
        <v>263</v>
      </c>
      <c r="CO85" s="5" t="s">
        <v>240</v>
      </c>
      <c r="CP85" s="5" t="s">
        <v>240</v>
      </c>
      <c r="CQ85" s="5">
        <v>0</v>
      </c>
      <c r="CR85" s="5" t="s">
        <v>306</v>
      </c>
      <c r="CS85" s="5" t="s">
        <v>307</v>
      </c>
      <c r="CT85" s="5" t="s">
        <v>307</v>
      </c>
      <c r="CU85" s="5" t="s">
        <v>260</v>
      </c>
      <c r="CX85" s="7">
        <f>1</f>
        <v>1</v>
      </c>
      <c r="CY85" s="7">
        <f>0</f>
        <v>0</v>
      </c>
      <c r="DA85" s="7">
        <f>0</f>
        <v>0</v>
      </c>
      <c r="DC85" s="5" t="s">
        <v>309</v>
      </c>
      <c r="DD85" s="5" t="s">
        <v>240</v>
      </c>
      <c r="DF85" s="5" t="s">
        <v>309</v>
      </c>
      <c r="DG85" s="7">
        <f>4600</f>
        <v>4600</v>
      </c>
      <c r="DI85" s="5" t="s">
        <v>240</v>
      </c>
      <c r="DJ85" s="5" t="s">
        <v>240</v>
      </c>
      <c r="DK85" s="5" t="s">
        <v>240</v>
      </c>
      <c r="DL85" s="5" t="s">
        <v>240</v>
      </c>
      <c r="DP85" s="5" t="s">
        <v>240</v>
      </c>
      <c r="DQ85" s="5" t="s">
        <v>240</v>
      </c>
      <c r="DR85" s="5" t="s">
        <v>240</v>
      </c>
      <c r="DS85" s="5" t="s">
        <v>240</v>
      </c>
      <c r="DV85" s="5" t="s">
        <v>310</v>
      </c>
      <c r="DW85" s="5" t="s">
        <v>469</v>
      </c>
      <c r="HO85" s="5" t="s">
        <v>312</v>
      </c>
    </row>
    <row r="86" spans="1:223" x14ac:dyDescent="0.4">
      <c r="A86" s="5">
        <v>796</v>
      </c>
      <c r="B86" s="5">
        <v>1</v>
      </c>
      <c r="C86" s="5">
        <v>1</v>
      </c>
      <c r="D86" s="5" t="s">
        <v>1823</v>
      </c>
      <c r="E86" s="5" t="s">
        <v>418</v>
      </c>
      <c r="F86" s="5" t="s">
        <v>254</v>
      </c>
      <c r="G86" s="5" t="s">
        <v>240</v>
      </c>
      <c r="H86" s="6" t="s">
        <v>1827</v>
      </c>
      <c r="I86" s="5" t="s">
        <v>1822</v>
      </c>
      <c r="J86" s="8">
        <f>845</f>
        <v>845</v>
      </c>
      <c r="K86" s="5" t="s">
        <v>308</v>
      </c>
      <c r="L86" s="7">
        <f>1871675</f>
        <v>1871675</v>
      </c>
      <c r="M86" s="7">
        <f>1871675</f>
        <v>1871675</v>
      </c>
      <c r="N86" s="5" t="s">
        <v>242</v>
      </c>
      <c r="O86" s="5">
        <v>1</v>
      </c>
      <c r="P86" s="5" t="s">
        <v>294</v>
      </c>
      <c r="Q86" s="5" t="s">
        <v>266</v>
      </c>
      <c r="R86" s="5" t="s">
        <v>240</v>
      </c>
      <c r="S86" s="5" t="s">
        <v>240</v>
      </c>
      <c r="T86" s="5" t="s">
        <v>296</v>
      </c>
      <c r="U86" s="5" t="s">
        <v>244</v>
      </c>
      <c r="V86" s="5" t="s">
        <v>240</v>
      </c>
      <c r="Y86" s="5" t="s">
        <v>240</v>
      </c>
      <c r="Z86" s="6" t="s">
        <v>298</v>
      </c>
      <c r="AB86" s="6" t="s">
        <v>240</v>
      </c>
      <c r="AE86" s="6" t="s">
        <v>299</v>
      </c>
      <c r="AF86" s="5" t="s">
        <v>248</v>
      </c>
      <c r="AG86" s="5" t="s">
        <v>249</v>
      </c>
      <c r="AW86" s="5" t="s">
        <v>251</v>
      </c>
      <c r="AX86" s="5" t="s">
        <v>240</v>
      </c>
      <c r="AY86" s="5" t="s">
        <v>253</v>
      </c>
      <c r="AZ86" s="5" t="s">
        <v>240</v>
      </c>
      <c r="BA86" s="5" t="s">
        <v>255</v>
      </c>
      <c r="BB86" s="5" t="s">
        <v>240</v>
      </c>
      <c r="BD86" s="5" t="s">
        <v>240</v>
      </c>
      <c r="BF86" s="5" t="s">
        <v>301</v>
      </c>
      <c r="BG86" s="6" t="s">
        <v>299</v>
      </c>
      <c r="BH86" s="5" t="s">
        <v>302</v>
      </c>
      <c r="BI86" s="5" t="s">
        <v>303</v>
      </c>
      <c r="BJ86" s="5" t="s">
        <v>240</v>
      </c>
      <c r="BK86" s="8">
        <f>0</f>
        <v>0</v>
      </c>
      <c r="BL86" s="7">
        <f>0</f>
        <v>0</v>
      </c>
      <c r="BM86" s="5" t="s">
        <v>258</v>
      </c>
      <c r="BN86" s="5" t="s">
        <v>259</v>
      </c>
      <c r="CB86" s="5" t="s">
        <v>240</v>
      </c>
      <c r="CC86" s="5" t="s">
        <v>240</v>
      </c>
      <c r="CG86" s="5" t="s">
        <v>304</v>
      </c>
      <c r="CH86" s="5" t="s">
        <v>305</v>
      </c>
      <c r="CI86" s="5" t="s">
        <v>240</v>
      </c>
      <c r="CL86" s="6" t="s">
        <v>261</v>
      </c>
      <c r="CM86" s="5" t="s">
        <v>240</v>
      </c>
      <c r="CN86" s="5" t="s">
        <v>263</v>
      </c>
      <c r="CO86" s="5" t="s">
        <v>240</v>
      </c>
      <c r="CP86" s="5" t="s">
        <v>240</v>
      </c>
      <c r="CQ86" s="5">
        <v>0</v>
      </c>
      <c r="CR86" s="5" t="s">
        <v>306</v>
      </c>
      <c r="CS86" s="5" t="s">
        <v>307</v>
      </c>
      <c r="CT86" s="5" t="s">
        <v>307</v>
      </c>
      <c r="CU86" s="5" t="s">
        <v>260</v>
      </c>
      <c r="CX86" s="7">
        <f>1</f>
        <v>1</v>
      </c>
      <c r="CY86" s="7">
        <f>0</f>
        <v>0</v>
      </c>
      <c r="DA86" s="7">
        <f>0</f>
        <v>0</v>
      </c>
      <c r="DC86" s="5" t="s">
        <v>309</v>
      </c>
      <c r="DD86" s="5" t="s">
        <v>240</v>
      </c>
      <c r="DF86" s="5" t="s">
        <v>309</v>
      </c>
      <c r="DG86" s="7">
        <f>161</f>
        <v>161</v>
      </c>
      <c r="DI86" s="5" t="s">
        <v>240</v>
      </c>
      <c r="DJ86" s="5" t="s">
        <v>240</v>
      </c>
      <c r="DK86" s="5" t="s">
        <v>240</v>
      </c>
      <c r="DL86" s="5" t="s">
        <v>240</v>
      </c>
      <c r="DP86" s="5" t="s">
        <v>240</v>
      </c>
      <c r="DQ86" s="5" t="s">
        <v>240</v>
      </c>
      <c r="DR86" s="5" t="s">
        <v>240</v>
      </c>
      <c r="DS86" s="5" t="s">
        <v>240</v>
      </c>
      <c r="DV86" s="5" t="s">
        <v>310</v>
      </c>
      <c r="DW86" s="5" t="s">
        <v>471</v>
      </c>
      <c r="HO86" s="5" t="s">
        <v>312</v>
      </c>
    </row>
    <row r="87" spans="1:223" x14ac:dyDescent="0.4">
      <c r="A87" s="5">
        <v>797</v>
      </c>
      <c r="B87" s="5">
        <v>1</v>
      </c>
      <c r="C87" s="5">
        <v>1</v>
      </c>
      <c r="D87" s="5" t="s">
        <v>1823</v>
      </c>
      <c r="E87" s="5" t="s">
        <v>418</v>
      </c>
      <c r="F87" s="5" t="s">
        <v>254</v>
      </c>
      <c r="G87" s="5" t="s">
        <v>240</v>
      </c>
      <c r="H87" s="6" t="s">
        <v>1824</v>
      </c>
      <c r="I87" s="5" t="s">
        <v>1822</v>
      </c>
      <c r="J87" s="8">
        <f>411</f>
        <v>411</v>
      </c>
      <c r="K87" s="5" t="s">
        <v>308</v>
      </c>
      <c r="L87" s="7">
        <f>910365</f>
        <v>910365</v>
      </c>
      <c r="M87" s="7">
        <f>910365</f>
        <v>910365</v>
      </c>
      <c r="N87" s="5" t="s">
        <v>242</v>
      </c>
      <c r="O87" s="5">
        <v>1</v>
      </c>
      <c r="P87" s="5" t="s">
        <v>294</v>
      </c>
      <c r="Q87" s="5" t="s">
        <v>266</v>
      </c>
      <c r="R87" s="5" t="s">
        <v>240</v>
      </c>
      <c r="S87" s="5" t="s">
        <v>240</v>
      </c>
      <c r="T87" s="5" t="s">
        <v>296</v>
      </c>
      <c r="U87" s="5" t="s">
        <v>244</v>
      </c>
      <c r="V87" s="5" t="s">
        <v>240</v>
      </c>
      <c r="Y87" s="5" t="s">
        <v>240</v>
      </c>
      <c r="Z87" s="6" t="s">
        <v>298</v>
      </c>
      <c r="AB87" s="6" t="s">
        <v>240</v>
      </c>
      <c r="AE87" s="6" t="s">
        <v>299</v>
      </c>
      <c r="AF87" s="5" t="s">
        <v>248</v>
      </c>
      <c r="AG87" s="5" t="s">
        <v>249</v>
      </c>
      <c r="AW87" s="5" t="s">
        <v>251</v>
      </c>
      <c r="AX87" s="5" t="s">
        <v>240</v>
      </c>
      <c r="AY87" s="5" t="s">
        <v>253</v>
      </c>
      <c r="AZ87" s="5" t="s">
        <v>240</v>
      </c>
      <c r="BA87" s="5" t="s">
        <v>255</v>
      </c>
      <c r="BB87" s="5" t="s">
        <v>240</v>
      </c>
      <c r="BD87" s="5" t="s">
        <v>240</v>
      </c>
      <c r="BF87" s="5" t="s">
        <v>301</v>
      </c>
      <c r="BG87" s="6" t="s">
        <v>299</v>
      </c>
      <c r="BH87" s="5" t="s">
        <v>302</v>
      </c>
      <c r="BI87" s="5" t="s">
        <v>303</v>
      </c>
      <c r="BJ87" s="5" t="s">
        <v>240</v>
      </c>
      <c r="BK87" s="8">
        <f>0</f>
        <v>0</v>
      </c>
      <c r="BL87" s="7">
        <f>0</f>
        <v>0</v>
      </c>
      <c r="BM87" s="5" t="s">
        <v>258</v>
      </c>
      <c r="BN87" s="5" t="s">
        <v>259</v>
      </c>
      <c r="CB87" s="5" t="s">
        <v>240</v>
      </c>
      <c r="CC87" s="5" t="s">
        <v>240</v>
      </c>
      <c r="CG87" s="5" t="s">
        <v>304</v>
      </c>
      <c r="CH87" s="5" t="s">
        <v>305</v>
      </c>
      <c r="CI87" s="5" t="s">
        <v>240</v>
      </c>
      <c r="CL87" s="6" t="s">
        <v>261</v>
      </c>
      <c r="CM87" s="5" t="s">
        <v>240</v>
      </c>
      <c r="CN87" s="5" t="s">
        <v>263</v>
      </c>
      <c r="CO87" s="5" t="s">
        <v>240</v>
      </c>
      <c r="CP87" s="5" t="s">
        <v>240</v>
      </c>
      <c r="CQ87" s="5">
        <v>0</v>
      </c>
      <c r="CR87" s="5" t="s">
        <v>306</v>
      </c>
      <c r="CS87" s="5" t="s">
        <v>307</v>
      </c>
      <c r="CT87" s="5" t="s">
        <v>307</v>
      </c>
      <c r="CU87" s="5" t="s">
        <v>260</v>
      </c>
      <c r="CX87" s="7">
        <f>1</f>
        <v>1</v>
      </c>
      <c r="CY87" s="7">
        <f>0</f>
        <v>0</v>
      </c>
      <c r="DA87" s="7">
        <f>0</f>
        <v>0</v>
      </c>
      <c r="DC87" s="5" t="s">
        <v>309</v>
      </c>
      <c r="DD87" s="5" t="s">
        <v>240</v>
      </c>
      <c r="DF87" s="5" t="s">
        <v>309</v>
      </c>
      <c r="DG87" s="7">
        <f>40</f>
        <v>40</v>
      </c>
      <c r="DI87" s="5" t="s">
        <v>240</v>
      </c>
      <c r="DJ87" s="5" t="s">
        <v>240</v>
      </c>
      <c r="DK87" s="5" t="s">
        <v>240</v>
      </c>
      <c r="DL87" s="5" t="s">
        <v>240</v>
      </c>
      <c r="DP87" s="5" t="s">
        <v>240</v>
      </c>
      <c r="DQ87" s="5" t="s">
        <v>240</v>
      </c>
      <c r="DR87" s="5" t="s">
        <v>240</v>
      </c>
      <c r="DS87" s="5" t="s">
        <v>240</v>
      </c>
      <c r="DV87" s="5" t="s">
        <v>310</v>
      </c>
      <c r="DW87" s="5" t="s">
        <v>473</v>
      </c>
      <c r="HO87" s="5" t="s">
        <v>312</v>
      </c>
    </row>
    <row r="88" spans="1:223" x14ac:dyDescent="0.4">
      <c r="A88" s="5">
        <v>799</v>
      </c>
      <c r="B88" s="5">
        <v>1</v>
      </c>
      <c r="C88" s="5">
        <v>1</v>
      </c>
      <c r="D88" s="5" t="s">
        <v>1819</v>
      </c>
      <c r="E88" s="5" t="s">
        <v>418</v>
      </c>
      <c r="F88" s="5" t="s">
        <v>254</v>
      </c>
      <c r="G88" s="5" t="s">
        <v>5262</v>
      </c>
      <c r="H88" s="6" t="s">
        <v>5263</v>
      </c>
      <c r="I88" s="5" t="s">
        <v>1818</v>
      </c>
      <c r="J88" s="8">
        <f>758</f>
        <v>758</v>
      </c>
      <c r="K88" s="5" t="s">
        <v>308</v>
      </c>
      <c r="L88" s="7">
        <f>1678970</f>
        <v>1678970</v>
      </c>
      <c r="M88" s="7">
        <f>1678970</f>
        <v>1678970</v>
      </c>
      <c r="N88" s="5" t="s">
        <v>242</v>
      </c>
      <c r="O88" s="5">
        <v>1</v>
      </c>
      <c r="P88" s="5" t="s">
        <v>294</v>
      </c>
      <c r="Q88" s="5" t="s">
        <v>266</v>
      </c>
      <c r="R88" s="5" t="s">
        <v>240</v>
      </c>
      <c r="S88" s="5" t="s">
        <v>240</v>
      </c>
      <c r="T88" s="5" t="s">
        <v>296</v>
      </c>
      <c r="U88" s="5" t="s">
        <v>244</v>
      </c>
      <c r="V88" s="5" t="s">
        <v>240</v>
      </c>
      <c r="Y88" s="5" t="s">
        <v>240</v>
      </c>
      <c r="Z88" s="6" t="s">
        <v>298</v>
      </c>
      <c r="AB88" s="6" t="s">
        <v>240</v>
      </c>
      <c r="AE88" s="6" t="s">
        <v>299</v>
      </c>
      <c r="AF88" s="5" t="s">
        <v>248</v>
      </c>
      <c r="AG88" s="5" t="s">
        <v>249</v>
      </c>
      <c r="AW88" s="5" t="s">
        <v>251</v>
      </c>
      <c r="AX88" s="5" t="s">
        <v>240</v>
      </c>
      <c r="AY88" s="5" t="s">
        <v>253</v>
      </c>
      <c r="AZ88" s="5" t="s">
        <v>240</v>
      </c>
      <c r="BA88" s="5" t="s">
        <v>255</v>
      </c>
      <c r="BB88" s="5" t="s">
        <v>240</v>
      </c>
      <c r="BD88" s="5" t="s">
        <v>240</v>
      </c>
      <c r="BF88" s="5" t="s">
        <v>301</v>
      </c>
      <c r="BG88" s="6" t="s">
        <v>299</v>
      </c>
      <c r="BH88" s="5" t="s">
        <v>302</v>
      </c>
      <c r="BI88" s="5" t="s">
        <v>303</v>
      </c>
      <c r="BJ88" s="5" t="s">
        <v>240</v>
      </c>
      <c r="BK88" s="8">
        <f>0</f>
        <v>0</v>
      </c>
      <c r="BL88" s="7">
        <f>0</f>
        <v>0</v>
      </c>
      <c r="BM88" s="5" t="s">
        <v>258</v>
      </c>
      <c r="BN88" s="5" t="s">
        <v>259</v>
      </c>
      <c r="CB88" s="5" t="s">
        <v>240</v>
      </c>
      <c r="CC88" s="5" t="s">
        <v>240</v>
      </c>
      <c r="CG88" s="5" t="s">
        <v>304</v>
      </c>
      <c r="CH88" s="5" t="s">
        <v>305</v>
      </c>
      <c r="CI88" s="5" t="s">
        <v>240</v>
      </c>
      <c r="CL88" s="6" t="s">
        <v>261</v>
      </c>
      <c r="CM88" s="5" t="s">
        <v>240</v>
      </c>
      <c r="CN88" s="5" t="s">
        <v>263</v>
      </c>
      <c r="CO88" s="5" t="s">
        <v>240</v>
      </c>
      <c r="CP88" s="5" t="s">
        <v>240</v>
      </c>
      <c r="CQ88" s="5">
        <v>0</v>
      </c>
      <c r="CR88" s="5" t="s">
        <v>306</v>
      </c>
      <c r="CS88" s="5" t="s">
        <v>307</v>
      </c>
      <c r="CT88" s="5" t="s">
        <v>307</v>
      </c>
      <c r="CU88" s="5" t="s">
        <v>260</v>
      </c>
      <c r="CX88" s="7">
        <f>1</f>
        <v>1</v>
      </c>
      <c r="CY88" s="7">
        <f>0</f>
        <v>0</v>
      </c>
      <c r="DA88" s="7">
        <f>0</f>
        <v>0</v>
      </c>
      <c r="DC88" s="5" t="s">
        <v>309</v>
      </c>
      <c r="DD88" s="5" t="s">
        <v>240</v>
      </c>
      <c r="DF88" s="5" t="s">
        <v>309</v>
      </c>
      <c r="DG88" s="7">
        <f>1526</f>
        <v>1526</v>
      </c>
      <c r="DI88" s="5" t="s">
        <v>240</v>
      </c>
      <c r="DJ88" s="5" t="s">
        <v>240</v>
      </c>
      <c r="DK88" s="5" t="s">
        <v>240</v>
      </c>
      <c r="DL88" s="5" t="s">
        <v>240</v>
      </c>
      <c r="DP88" s="5" t="s">
        <v>240</v>
      </c>
      <c r="DQ88" s="5" t="s">
        <v>240</v>
      </c>
      <c r="DR88" s="5" t="s">
        <v>240</v>
      </c>
      <c r="DS88" s="5" t="s">
        <v>240</v>
      </c>
      <c r="DV88" s="5" t="s">
        <v>310</v>
      </c>
      <c r="DW88" s="5" t="s">
        <v>475</v>
      </c>
      <c r="HO88" s="5" t="s">
        <v>312</v>
      </c>
    </row>
    <row r="89" spans="1:223" x14ac:dyDescent="0.4">
      <c r="A89" s="5">
        <v>800</v>
      </c>
      <c r="B89" s="5">
        <v>1</v>
      </c>
      <c r="C89" s="5">
        <v>1</v>
      </c>
      <c r="D89" s="5" t="s">
        <v>1819</v>
      </c>
      <c r="E89" s="5" t="s">
        <v>418</v>
      </c>
      <c r="F89" s="5" t="s">
        <v>254</v>
      </c>
      <c r="G89" s="5" t="s">
        <v>6220</v>
      </c>
      <c r="H89" s="6" t="s">
        <v>6221</v>
      </c>
      <c r="I89" s="5" t="s">
        <v>1818</v>
      </c>
      <c r="J89" s="8">
        <f>120</f>
        <v>120</v>
      </c>
      <c r="K89" s="5" t="s">
        <v>308</v>
      </c>
      <c r="L89" s="7">
        <f>265800</f>
        <v>265800</v>
      </c>
      <c r="M89" s="7">
        <f>265800</f>
        <v>265800</v>
      </c>
      <c r="N89" s="5" t="s">
        <v>242</v>
      </c>
      <c r="O89" s="5">
        <v>1</v>
      </c>
      <c r="P89" s="5" t="s">
        <v>294</v>
      </c>
      <c r="Q89" s="5" t="s">
        <v>266</v>
      </c>
      <c r="R89" s="5" t="s">
        <v>240</v>
      </c>
      <c r="S89" s="5" t="s">
        <v>240</v>
      </c>
      <c r="T89" s="5" t="s">
        <v>296</v>
      </c>
      <c r="U89" s="5" t="s">
        <v>244</v>
      </c>
      <c r="V89" s="5" t="s">
        <v>240</v>
      </c>
      <c r="Y89" s="5" t="s">
        <v>240</v>
      </c>
      <c r="Z89" s="6" t="s">
        <v>298</v>
      </c>
      <c r="AB89" s="6" t="s">
        <v>240</v>
      </c>
      <c r="AE89" s="6" t="s">
        <v>299</v>
      </c>
      <c r="AF89" s="5" t="s">
        <v>248</v>
      </c>
      <c r="AG89" s="5" t="s">
        <v>249</v>
      </c>
      <c r="AW89" s="5" t="s">
        <v>251</v>
      </c>
      <c r="AX89" s="5" t="s">
        <v>240</v>
      </c>
      <c r="AY89" s="5" t="s">
        <v>253</v>
      </c>
      <c r="AZ89" s="5" t="s">
        <v>240</v>
      </c>
      <c r="BA89" s="5" t="s">
        <v>255</v>
      </c>
      <c r="BB89" s="5" t="s">
        <v>240</v>
      </c>
      <c r="BD89" s="5" t="s">
        <v>240</v>
      </c>
      <c r="BF89" s="5" t="s">
        <v>301</v>
      </c>
      <c r="BG89" s="6" t="s">
        <v>299</v>
      </c>
      <c r="BH89" s="5" t="s">
        <v>302</v>
      </c>
      <c r="BI89" s="5" t="s">
        <v>303</v>
      </c>
      <c r="BJ89" s="5" t="s">
        <v>240</v>
      </c>
      <c r="BK89" s="8">
        <f>0</f>
        <v>0</v>
      </c>
      <c r="BL89" s="7">
        <f>0</f>
        <v>0</v>
      </c>
      <c r="BM89" s="5" t="s">
        <v>258</v>
      </c>
      <c r="BN89" s="5" t="s">
        <v>259</v>
      </c>
      <c r="CB89" s="5" t="s">
        <v>240</v>
      </c>
      <c r="CC89" s="5" t="s">
        <v>240</v>
      </c>
      <c r="CG89" s="5" t="s">
        <v>304</v>
      </c>
      <c r="CH89" s="5" t="s">
        <v>305</v>
      </c>
      <c r="CI89" s="5" t="s">
        <v>240</v>
      </c>
      <c r="CL89" s="6" t="s">
        <v>261</v>
      </c>
      <c r="CM89" s="5" t="s">
        <v>240</v>
      </c>
      <c r="CN89" s="5" t="s">
        <v>263</v>
      </c>
      <c r="CO89" s="5" t="s">
        <v>240</v>
      </c>
      <c r="CP89" s="5" t="s">
        <v>240</v>
      </c>
      <c r="CQ89" s="5">
        <v>0</v>
      </c>
      <c r="CR89" s="5" t="s">
        <v>306</v>
      </c>
      <c r="CS89" s="5" t="s">
        <v>307</v>
      </c>
      <c r="CT89" s="5" t="s">
        <v>307</v>
      </c>
      <c r="CU89" s="5" t="s">
        <v>260</v>
      </c>
      <c r="CX89" s="7">
        <f>1</f>
        <v>1</v>
      </c>
      <c r="CY89" s="7">
        <f>0</f>
        <v>0</v>
      </c>
      <c r="DA89" s="7">
        <f>0</f>
        <v>0</v>
      </c>
      <c r="DC89" s="5" t="s">
        <v>309</v>
      </c>
      <c r="DD89" s="5" t="s">
        <v>240</v>
      </c>
      <c r="DF89" s="5" t="s">
        <v>309</v>
      </c>
      <c r="DG89" s="7">
        <f>1127</f>
        <v>1127</v>
      </c>
      <c r="DI89" s="5" t="s">
        <v>240</v>
      </c>
      <c r="DJ89" s="5" t="s">
        <v>240</v>
      </c>
      <c r="DK89" s="5" t="s">
        <v>240</v>
      </c>
      <c r="DL89" s="5" t="s">
        <v>240</v>
      </c>
      <c r="DP89" s="5" t="s">
        <v>240</v>
      </c>
      <c r="DQ89" s="5" t="s">
        <v>240</v>
      </c>
      <c r="DR89" s="5" t="s">
        <v>240</v>
      </c>
      <c r="DS89" s="5" t="s">
        <v>240</v>
      </c>
      <c r="DV89" s="5" t="s">
        <v>310</v>
      </c>
      <c r="DW89" s="5" t="s">
        <v>477</v>
      </c>
      <c r="HO89" s="5" t="s">
        <v>312</v>
      </c>
    </row>
    <row r="90" spans="1:223" x14ac:dyDescent="0.4">
      <c r="A90" s="5">
        <v>801</v>
      </c>
      <c r="B90" s="5">
        <v>1</v>
      </c>
      <c r="C90" s="5">
        <v>1</v>
      </c>
      <c r="D90" s="5" t="s">
        <v>1819</v>
      </c>
      <c r="E90" s="5" t="s">
        <v>418</v>
      </c>
      <c r="F90" s="5" t="s">
        <v>254</v>
      </c>
      <c r="G90" s="5" t="s">
        <v>240</v>
      </c>
      <c r="H90" s="6" t="s">
        <v>1820</v>
      </c>
      <c r="I90" s="5" t="s">
        <v>1818</v>
      </c>
      <c r="J90" s="8">
        <f>412</f>
        <v>412</v>
      </c>
      <c r="K90" s="5" t="s">
        <v>308</v>
      </c>
      <c r="L90" s="7">
        <f>912580</f>
        <v>912580</v>
      </c>
      <c r="M90" s="7">
        <f>912580</f>
        <v>912580</v>
      </c>
      <c r="N90" s="5" t="s">
        <v>242</v>
      </c>
      <c r="O90" s="5">
        <v>1</v>
      </c>
      <c r="P90" s="5" t="s">
        <v>294</v>
      </c>
      <c r="Q90" s="5" t="s">
        <v>266</v>
      </c>
      <c r="R90" s="5" t="s">
        <v>240</v>
      </c>
      <c r="S90" s="5" t="s">
        <v>240</v>
      </c>
      <c r="T90" s="5" t="s">
        <v>296</v>
      </c>
      <c r="U90" s="5" t="s">
        <v>244</v>
      </c>
      <c r="V90" s="5" t="s">
        <v>240</v>
      </c>
      <c r="Y90" s="5" t="s">
        <v>240</v>
      </c>
      <c r="Z90" s="6" t="s">
        <v>298</v>
      </c>
      <c r="AB90" s="6" t="s">
        <v>240</v>
      </c>
      <c r="AE90" s="6" t="s">
        <v>299</v>
      </c>
      <c r="AF90" s="5" t="s">
        <v>248</v>
      </c>
      <c r="AG90" s="5" t="s">
        <v>249</v>
      </c>
      <c r="AW90" s="5" t="s">
        <v>251</v>
      </c>
      <c r="AX90" s="5" t="s">
        <v>240</v>
      </c>
      <c r="AY90" s="5" t="s">
        <v>253</v>
      </c>
      <c r="AZ90" s="5" t="s">
        <v>240</v>
      </c>
      <c r="BA90" s="5" t="s">
        <v>255</v>
      </c>
      <c r="BB90" s="5" t="s">
        <v>240</v>
      </c>
      <c r="BD90" s="5" t="s">
        <v>240</v>
      </c>
      <c r="BF90" s="5" t="s">
        <v>301</v>
      </c>
      <c r="BG90" s="6" t="s">
        <v>299</v>
      </c>
      <c r="BH90" s="5" t="s">
        <v>302</v>
      </c>
      <c r="BI90" s="5" t="s">
        <v>303</v>
      </c>
      <c r="BJ90" s="5" t="s">
        <v>240</v>
      </c>
      <c r="BK90" s="8">
        <f>0</f>
        <v>0</v>
      </c>
      <c r="BL90" s="7">
        <f>0</f>
        <v>0</v>
      </c>
      <c r="BM90" s="5" t="s">
        <v>258</v>
      </c>
      <c r="BN90" s="5" t="s">
        <v>259</v>
      </c>
      <c r="CB90" s="5" t="s">
        <v>240</v>
      </c>
      <c r="CC90" s="5" t="s">
        <v>240</v>
      </c>
      <c r="CG90" s="5" t="s">
        <v>304</v>
      </c>
      <c r="CH90" s="5" t="s">
        <v>305</v>
      </c>
      <c r="CI90" s="5" t="s">
        <v>240</v>
      </c>
      <c r="CL90" s="6" t="s">
        <v>261</v>
      </c>
      <c r="CM90" s="5" t="s">
        <v>240</v>
      </c>
      <c r="CN90" s="5" t="s">
        <v>263</v>
      </c>
      <c r="CO90" s="5" t="s">
        <v>240</v>
      </c>
      <c r="CP90" s="5" t="s">
        <v>240</v>
      </c>
      <c r="CQ90" s="5">
        <v>0</v>
      </c>
      <c r="CR90" s="5" t="s">
        <v>306</v>
      </c>
      <c r="CS90" s="5" t="s">
        <v>307</v>
      </c>
      <c r="CT90" s="5" t="s">
        <v>307</v>
      </c>
      <c r="CU90" s="5" t="s">
        <v>260</v>
      </c>
      <c r="CX90" s="7">
        <f>1</f>
        <v>1</v>
      </c>
      <c r="CY90" s="7">
        <f>0</f>
        <v>0</v>
      </c>
      <c r="DA90" s="7">
        <f>0</f>
        <v>0</v>
      </c>
      <c r="DC90" s="5" t="s">
        <v>309</v>
      </c>
      <c r="DD90" s="5" t="s">
        <v>240</v>
      </c>
      <c r="DF90" s="5" t="s">
        <v>309</v>
      </c>
      <c r="DG90" s="7">
        <f>5282</f>
        <v>5282</v>
      </c>
      <c r="DI90" s="5" t="s">
        <v>240</v>
      </c>
      <c r="DJ90" s="5" t="s">
        <v>240</v>
      </c>
      <c r="DK90" s="5" t="s">
        <v>240</v>
      </c>
      <c r="DL90" s="5" t="s">
        <v>240</v>
      </c>
      <c r="DP90" s="5" t="s">
        <v>240</v>
      </c>
      <c r="DQ90" s="5" t="s">
        <v>240</v>
      </c>
      <c r="DR90" s="5" t="s">
        <v>240</v>
      </c>
      <c r="DS90" s="5" t="s">
        <v>240</v>
      </c>
      <c r="DV90" s="5" t="s">
        <v>310</v>
      </c>
      <c r="DW90" s="5" t="s">
        <v>479</v>
      </c>
      <c r="HO90" s="5" t="s">
        <v>312</v>
      </c>
    </row>
    <row r="91" spans="1:223" x14ac:dyDescent="0.4">
      <c r="A91" s="5">
        <v>802</v>
      </c>
      <c r="B91" s="5">
        <v>1</v>
      </c>
      <c r="C91" s="5">
        <v>1</v>
      </c>
      <c r="D91" s="5" t="s">
        <v>1815</v>
      </c>
      <c r="E91" s="5" t="s">
        <v>418</v>
      </c>
      <c r="F91" s="5" t="s">
        <v>254</v>
      </c>
      <c r="G91" s="5" t="s">
        <v>240</v>
      </c>
      <c r="H91" s="6" t="s">
        <v>1816</v>
      </c>
      <c r="I91" s="5" t="s">
        <v>1814</v>
      </c>
      <c r="J91" s="8">
        <f>757</f>
        <v>757</v>
      </c>
      <c r="K91" s="5" t="s">
        <v>308</v>
      </c>
      <c r="L91" s="7">
        <f>1676755</f>
        <v>1676755</v>
      </c>
      <c r="M91" s="7">
        <f>1676755</f>
        <v>1676755</v>
      </c>
      <c r="N91" s="5" t="s">
        <v>242</v>
      </c>
      <c r="O91" s="5">
        <v>1</v>
      </c>
      <c r="P91" s="5" t="s">
        <v>294</v>
      </c>
      <c r="Q91" s="5" t="s">
        <v>266</v>
      </c>
      <c r="R91" s="5" t="s">
        <v>240</v>
      </c>
      <c r="S91" s="5" t="s">
        <v>240</v>
      </c>
      <c r="T91" s="5" t="s">
        <v>296</v>
      </c>
      <c r="U91" s="5" t="s">
        <v>244</v>
      </c>
      <c r="V91" s="5" t="s">
        <v>240</v>
      </c>
      <c r="Y91" s="5" t="s">
        <v>240</v>
      </c>
      <c r="Z91" s="6" t="s">
        <v>298</v>
      </c>
      <c r="AB91" s="6" t="s">
        <v>240</v>
      </c>
      <c r="AE91" s="6" t="s">
        <v>299</v>
      </c>
      <c r="AF91" s="5" t="s">
        <v>248</v>
      </c>
      <c r="AG91" s="5" t="s">
        <v>249</v>
      </c>
      <c r="AW91" s="5" t="s">
        <v>251</v>
      </c>
      <c r="AX91" s="5" t="s">
        <v>240</v>
      </c>
      <c r="AY91" s="5" t="s">
        <v>253</v>
      </c>
      <c r="AZ91" s="5" t="s">
        <v>240</v>
      </c>
      <c r="BA91" s="5" t="s">
        <v>255</v>
      </c>
      <c r="BB91" s="5" t="s">
        <v>240</v>
      </c>
      <c r="BD91" s="5" t="s">
        <v>240</v>
      </c>
      <c r="BF91" s="5" t="s">
        <v>301</v>
      </c>
      <c r="BG91" s="6" t="s">
        <v>299</v>
      </c>
      <c r="BH91" s="5" t="s">
        <v>302</v>
      </c>
      <c r="BI91" s="5" t="s">
        <v>303</v>
      </c>
      <c r="BJ91" s="5" t="s">
        <v>240</v>
      </c>
      <c r="BK91" s="8">
        <f>0</f>
        <v>0</v>
      </c>
      <c r="BL91" s="7">
        <f>0</f>
        <v>0</v>
      </c>
      <c r="BM91" s="5" t="s">
        <v>258</v>
      </c>
      <c r="BN91" s="5" t="s">
        <v>259</v>
      </c>
      <c r="CB91" s="5" t="s">
        <v>240</v>
      </c>
      <c r="CC91" s="5" t="s">
        <v>240</v>
      </c>
      <c r="CG91" s="5" t="s">
        <v>304</v>
      </c>
      <c r="CH91" s="5" t="s">
        <v>305</v>
      </c>
      <c r="CI91" s="5" t="s">
        <v>240</v>
      </c>
      <c r="CL91" s="6" t="s">
        <v>261</v>
      </c>
      <c r="CM91" s="5" t="s">
        <v>240</v>
      </c>
      <c r="CN91" s="5" t="s">
        <v>263</v>
      </c>
      <c r="CO91" s="5" t="s">
        <v>240</v>
      </c>
      <c r="CP91" s="5" t="s">
        <v>240</v>
      </c>
      <c r="CQ91" s="5">
        <v>0</v>
      </c>
      <c r="CR91" s="5" t="s">
        <v>306</v>
      </c>
      <c r="CS91" s="5" t="s">
        <v>307</v>
      </c>
      <c r="CT91" s="5" t="s">
        <v>307</v>
      </c>
      <c r="CU91" s="5" t="s">
        <v>260</v>
      </c>
      <c r="CX91" s="7">
        <f>1</f>
        <v>1</v>
      </c>
      <c r="CY91" s="7">
        <f>0</f>
        <v>0</v>
      </c>
      <c r="DA91" s="7">
        <f>0</f>
        <v>0</v>
      </c>
      <c r="DC91" s="5" t="s">
        <v>309</v>
      </c>
      <c r="DD91" s="5" t="s">
        <v>240</v>
      </c>
      <c r="DF91" s="5" t="s">
        <v>309</v>
      </c>
      <c r="DG91" s="7">
        <f>2188</f>
        <v>2188</v>
      </c>
      <c r="DI91" s="5" t="s">
        <v>240</v>
      </c>
      <c r="DJ91" s="5" t="s">
        <v>240</v>
      </c>
      <c r="DK91" s="5" t="s">
        <v>240</v>
      </c>
      <c r="DL91" s="5" t="s">
        <v>240</v>
      </c>
      <c r="DP91" s="5" t="s">
        <v>240</v>
      </c>
      <c r="DQ91" s="5" t="s">
        <v>240</v>
      </c>
      <c r="DR91" s="5" t="s">
        <v>240</v>
      </c>
      <c r="DS91" s="5" t="s">
        <v>240</v>
      </c>
      <c r="DV91" s="5" t="s">
        <v>310</v>
      </c>
      <c r="DW91" s="5" t="s">
        <v>481</v>
      </c>
      <c r="HO91" s="5" t="s">
        <v>312</v>
      </c>
    </row>
    <row r="92" spans="1:223" x14ac:dyDescent="0.4">
      <c r="A92" s="5">
        <v>803</v>
      </c>
      <c r="B92" s="5">
        <v>1</v>
      </c>
      <c r="C92" s="5">
        <v>1</v>
      </c>
      <c r="D92" s="5" t="s">
        <v>1810</v>
      </c>
      <c r="E92" s="5" t="s">
        <v>418</v>
      </c>
      <c r="F92" s="5" t="s">
        <v>254</v>
      </c>
      <c r="G92" s="5" t="s">
        <v>240</v>
      </c>
      <c r="H92" s="6" t="s">
        <v>1813</v>
      </c>
      <c r="I92" s="5" t="s">
        <v>1809</v>
      </c>
      <c r="J92" s="8">
        <f>389</f>
        <v>389</v>
      </c>
      <c r="K92" s="5" t="s">
        <v>308</v>
      </c>
      <c r="L92" s="7">
        <f>861635</f>
        <v>861635</v>
      </c>
      <c r="M92" s="7">
        <f>861635</f>
        <v>861635</v>
      </c>
      <c r="N92" s="5" t="s">
        <v>242</v>
      </c>
      <c r="O92" s="5">
        <v>1</v>
      </c>
      <c r="P92" s="5" t="s">
        <v>294</v>
      </c>
      <c r="Q92" s="5" t="s">
        <v>266</v>
      </c>
      <c r="R92" s="5" t="s">
        <v>240</v>
      </c>
      <c r="S92" s="5" t="s">
        <v>240</v>
      </c>
      <c r="T92" s="5" t="s">
        <v>243</v>
      </c>
      <c r="U92" s="5" t="s">
        <v>240</v>
      </c>
      <c r="V92" s="5" t="s">
        <v>240</v>
      </c>
      <c r="Y92" s="5" t="s">
        <v>240</v>
      </c>
      <c r="Z92" s="6" t="s">
        <v>483</v>
      </c>
      <c r="AB92" s="6" t="s">
        <v>240</v>
      </c>
      <c r="AE92" s="6" t="s">
        <v>484</v>
      </c>
      <c r="AF92" s="5" t="s">
        <v>248</v>
      </c>
      <c r="AG92" s="5" t="s">
        <v>260</v>
      </c>
      <c r="AW92" s="5" t="s">
        <v>251</v>
      </c>
      <c r="AX92" s="5" t="s">
        <v>240</v>
      </c>
      <c r="AY92" s="5" t="s">
        <v>253</v>
      </c>
      <c r="AZ92" s="5" t="s">
        <v>240</v>
      </c>
      <c r="BA92" s="5" t="s">
        <v>255</v>
      </c>
      <c r="BB92" s="5" t="s">
        <v>240</v>
      </c>
      <c r="BD92" s="5" t="s">
        <v>240</v>
      </c>
      <c r="BF92" s="5" t="s">
        <v>447</v>
      </c>
      <c r="BG92" s="6" t="s">
        <v>483</v>
      </c>
      <c r="BH92" s="5" t="s">
        <v>302</v>
      </c>
      <c r="BI92" s="5" t="s">
        <v>448</v>
      </c>
      <c r="BJ92" s="5" t="s">
        <v>240</v>
      </c>
      <c r="BK92" s="8">
        <f>0</f>
        <v>0</v>
      </c>
      <c r="BL92" s="7">
        <f>0</f>
        <v>0</v>
      </c>
      <c r="BM92" s="5" t="s">
        <v>258</v>
      </c>
      <c r="BN92" s="5" t="s">
        <v>259</v>
      </c>
      <c r="CB92" s="5" t="s">
        <v>240</v>
      </c>
      <c r="CC92" s="5" t="s">
        <v>240</v>
      </c>
      <c r="CG92" s="5" t="s">
        <v>449</v>
      </c>
      <c r="CH92" s="5" t="s">
        <v>305</v>
      </c>
      <c r="CI92" s="5" t="s">
        <v>240</v>
      </c>
      <c r="CL92" s="6" t="s">
        <v>261</v>
      </c>
      <c r="CM92" s="5" t="s">
        <v>240</v>
      </c>
      <c r="CN92" s="5" t="s">
        <v>263</v>
      </c>
      <c r="CO92" s="5" t="s">
        <v>240</v>
      </c>
      <c r="CP92" s="5" t="s">
        <v>240</v>
      </c>
      <c r="CQ92" s="5">
        <v>0</v>
      </c>
      <c r="CR92" s="5" t="s">
        <v>306</v>
      </c>
      <c r="CS92" s="5" t="s">
        <v>307</v>
      </c>
      <c r="CT92" s="5" t="s">
        <v>307</v>
      </c>
      <c r="CU92" s="5" t="s">
        <v>260</v>
      </c>
      <c r="CX92" s="7">
        <f>511731</f>
        <v>511731</v>
      </c>
      <c r="CY92" s="7">
        <f>0</f>
        <v>0</v>
      </c>
      <c r="DA92" s="7">
        <f>0</f>
        <v>0</v>
      </c>
      <c r="DC92" s="5" t="s">
        <v>450</v>
      </c>
      <c r="DD92" s="5" t="s">
        <v>240</v>
      </c>
      <c r="DF92" s="5" t="s">
        <v>450</v>
      </c>
      <c r="DG92" s="7">
        <f>0</f>
        <v>0</v>
      </c>
      <c r="DI92" s="5" t="s">
        <v>240</v>
      </c>
      <c r="DJ92" s="5" t="s">
        <v>240</v>
      </c>
      <c r="DK92" s="5" t="s">
        <v>240</v>
      </c>
      <c r="DL92" s="5" t="s">
        <v>240</v>
      </c>
      <c r="DP92" s="5" t="s">
        <v>240</v>
      </c>
      <c r="DQ92" s="5" t="s">
        <v>240</v>
      </c>
      <c r="DR92" s="5" t="s">
        <v>240</v>
      </c>
      <c r="DS92" s="5" t="s">
        <v>240</v>
      </c>
      <c r="DV92" s="5" t="s">
        <v>310</v>
      </c>
      <c r="DW92" s="5" t="s">
        <v>486</v>
      </c>
      <c r="HO92" s="5" t="s">
        <v>312</v>
      </c>
    </row>
    <row r="93" spans="1:223" x14ac:dyDescent="0.4">
      <c r="A93" s="5">
        <v>804</v>
      </c>
      <c r="B93" s="5">
        <v>1</v>
      </c>
      <c r="C93" s="5">
        <v>1</v>
      </c>
      <c r="D93" s="5" t="s">
        <v>1810</v>
      </c>
      <c r="E93" s="5" t="s">
        <v>418</v>
      </c>
      <c r="F93" s="5" t="s">
        <v>254</v>
      </c>
      <c r="G93" s="5" t="s">
        <v>240</v>
      </c>
      <c r="H93" s="6" t="s">
        <v>1811</v>
      </c>
      <c r="I93" s="5" t="s">
        <v>1809</v>
      </c>
      <c r="J93" s="8">
        <f>125</f>
        <v>125</v>
      </c>
      <c r="K93" s="5" t="s">
        <v>308</v>
      </c>
      <c r="L93" s="7">
        <f>276875</f>
        <v>276875</v>
      </c>
      <c r="M93" s="7">
        <f>276875</f>
        <v>276875</v>
      </c>
      <c r="N93" s="5" t="s">
        <v>242</v>
      </c>
      <c r="O93" s="5">
        <v>1</v>
      </c>
      <c r="P93" s="5" t="s">
        <v>294</v>
      </c>
      <c r="Q93" s="5" t="s">
        <v>266</v>
      </c>
      <c r="R93" s="5" t="s">
        <v>240</v>
      </c>
      <c r="S93" s="5" t="s">
        <v>240</v>
      </c>
      <c r="T93" s="5" t="s">
        <v>296</v>
      </c>
      <c r="U93" s="5" t="s">
        <v>244</v>
      </c>
      <c r="V93" s="5" t="s">
        <v>240</v>
      </c>
      <c r="Y93" s="5" t="s">
        <v>240</v>
      </c>
      <c r="Z93" s="6" t="s">
        <v>298</v>
      </c>
      <c r="AB93" s="6" t="s">
        <v>240</v>
      </c>
      <c r="AE93" s="6" t="s">
        <v>299</v>
      </c>
      <c r="AF93" s="5" t="s">
        <v>248</v>
      </c>
      <c r="AG93" s="5" t="s">
        <v>249</v>
      </c>
      <c r="AW93" s="5" t="s">
        <v>251</v>
      </c>
      <c r="AX93" s="5" t="s">
        <v>240</v>
      </c>
      <c r="AY93" s="5" t="s">
        <v>253</v>
      </c>
      <c r="AZ93" s="5" t="s">
        <v>240</v>
      </c>
      <c r="BA93" s="5" t="s">
        <v>255</v>
      </c>
      <c r="BB93" s="5" t="s">
        <v>240</v>
      </c>
      <c r="BD93" s="5" t="s">
        <v>240</v>
      </c>
      <c r="BF93" s="5" t="s">
        <v>301</v>
      </c>
      <c r="BG93" s="6" t="s">
        <v>299</v>
      </c>
      <c r="BH93" s="5" t="s">
        <v>302</v>
      </c>
      <c r="BI93" s="5" t="s">
        <v>303</v>
      </c>
      <c r="BJ93" s="5" t="s">
        <v>240</v>
      </c>
      <c r="BK93" s="8">
        <f>0</f>
        <v>0</v>
      </c>
      <c r="BL93" s="7">
        <f>0</f>
        <v>0</v>
      </c>
      <c r="BM93" s="5" t="s">
        <v>258</v>
      </c>
      <c r="BN93" s="5" t="s">
        <v>259</v>
      </c>
      <c r="CB93" s="5" t="s">
        <v>240</v>
      </c>
      <c r="CC93" s="5" t="s">
        <v>240</v>
      </c>
      <c r="CG93" s="5" t="s">
        <v>304</v>
      </c>
      <c r="CH93" s="5" t="s">
        <v>305</v>
      </c>
      <c r="CI93" s="5" t="s">
        <v>240</v>
      </c>
      <c r="CL93" s="6" t="s">
        <v>261</v>
      </c>
      <c r="CM93" s="5" t="s">
        <v>240</v>
      </c>
      <c r="CN93" s="5" t="s">
        <v>263</v>
      </c>
      <c r="CO93" s="5" t="s">
        <v>240</v>
      </c>
      <c r="CP93" s="5" t="s">
        <v>240</v>
      </c>
      <c r="CQ93" s="5">
        <v>0</v>
      </c>
      <c r="CR93" s="5" t="s">
        <v>306</v>
      </c>
      <c r="CS93" s="5" t="s">
        <v>307</v>
      </c>
      <c r="CT93" s="5" t="s">
        <v>307</v>
      </c>
      <c r="CU93" s="5" t="s">
        <v>260</v>
      </c>
      <c r="CX93" s="7">
        <f>1</f>
        <v>1</v>
      </c>
      <c r="CY93" s="7">
        <f>0</f>
        <v>0</v>
      </c>
      <c r="DA93" s="7">
        <f>0</f>
        <v>0</v>
      </c>
      <c r="DC93" s="5" t="s">
        <v>309</v>
      </c>
      <c r="DD93" s="5" t="s">
        <v>240</v>
      </c>
      <c r="DF93" s="5" t="s">
        <v>309</v>
      </c>
      <c r="DG93" s="7">
        <f>21</f>
        <v>21</v>
      </c>
      <c r="DI93" s="5" t="s">
        <v>240</v>
      </c>
      <c r="DJ93" s="5" t="s">
        <v>240</v>
      </c>
      <c r="DK93" s="5" t="s">
        <v>240</v>
      </c>
      <c r="DL93" s="5" t="s">
        <v>240</v>
      </c>
      <c r="DP93" s="5" t="s">
        <v>240</v>
      </c>
      <c r="DQ93" s="5" t="s">
        <v>240</v>
      </c>
      <c r="DR93" s="5" t="s">
        <v>240</v>
      </c>
      <c r="DS93" s="5" t="s">
        <v>240</v>
      </c>
      <c r="DV93" s="5" t="s">
        <v>310</v>
      </c>
      <c r="DW93" s="5" t="s">
        <v>488</v>
      </c>
      <c r="HO93" s="5" t="s">
        <v>312</v>
      </c>
    </row>
    <row r="94" spans="1:223" x14ac:dyDescent="0.4">
      <c r="A94" s="5">
        <v>805</v>
      </c>
      <c r="B94" s="5">
        <v>1</v>
      </c>
      <c r="C94" s="5">
        <v>1</v>
      </c>
      <c r="D94" s="5" t="s">
        <v>1806</v>
      </c>
      <c r="E94" s="5" t="s">
        <v>418</v>
      </c>
      <c r="F94" s="5" t="s">
        <v>254</v>
      </c>
      <c r="G94" s="5" t="s">
        <v>240</v>
      </c>
      <c r="H94" s="6" t="s">
        <v>1807</v>
      </c>
      <c r="I94" s="5" t="s">
        <v>1805</v>
      </c>
      <c r="J94" s="8">
        <f>3374</f>
        <v>3374</v>
      </c>
      <c r="K94" s="5" t="s">
        <v>308</v>
      </c>
      <c r="L94" s="7">
        <f>7473410</f>
        <v>7473410</v>
      </c>
      <c r="M94" s="7">
        <f>7473410</f>
        <v>7473410</v>
      </c>
      <c r="N94" s="5" t="s">
        <v>242</v>
      </c>
      <c r="O94" s="5">
        <v>1</v>
      </c>
      <c r="P94" s="5" t="s">
        <v>294</v>
      </c>
      <c r="Q94" s="5" t="s">
        <v>266</v>
      </c>
      <c r="R94" s="5" t="s">
        <v>240</v>
      </c>
      <c r="S94" s="5" t="s">
        <v>240</v>
      </c>
      <c r="T94" s="5" t="s">
        <v>296</v>
      </c>
      <c r="U94" s="5" t="s">
        <v>244</v>
      </c>
      <c r="V94" s="5" t="s">
        <v>240</v>
      </c>
      <c r="Y94" s="5" t="s">
        <v>240</v>
      </c>
      <c r="Z94" s="6" t="s">
        <v>298</v>
      </c>
      <c r="AB94" s="6" t="s">
        <v>240</v>
      </c>
      <c r="AE94" s="6" t="s">
        <v>299</v>
      </c>
      <c r="AF94" s="5" t="s">
        <v>248</v>
      </c>
      <c r="AG94" s="5" t="s">
        <v>249</v>
      </c>
      <c r="AW94" s="5" t="s">
        <v>251</v>
      </c>
      <c r="AX94" s="5" t="s">
        <v>240</v>
      </c>
      <c r="AY94" s="5" t="s">
        <v>253</v>
      </c>
      <c r="AZ94" s="5" t="s">
        <v>240</v>
      </c>
      <c r="BA94" s="5" t="s">
        <v>255</v>
      </c>
      <c r="BB94" s="5" t="s">
        <v>240</v>
      </c>
      <c r="BD94" s="5" t="s">
        <v>240</v>
      </c>
      <c r="BF94" s="5" t="s">
        <v>301</v>
      </c>
      <c r="BG94" s="6" t="s">
        <v>299</v>
      </c>
      <c r="BH94" s="5" t="s">
        <v>302</v>
      </c>
      <c r="BI94" s="5" t="s">
        <v>303</v>
      </c>
      <c r="BJ94" s="5" t="s">
        <v>240</v>
      </c>
      <c r="BK94" s="8">
        <f>0</f>
        <v>0</v>
      </c>
      <c r="BL94" s="7">
        <f>0</f>
        <v>0</v>
      </c>
      <c r="BM94" s="5" t="s">
        <v>258</v>
      </c>
      <c r="BN94" s="5" t="s">
        <v>259</v>
      </c>
      <c r="CB94" s="5" t="s">
        <v>240</v>
      </c>
      <c r="CC94" s="5" t="s">
        <v>240</v>
      </c>
      <c r="CG94" s="5" t="s">
        <v>304</v>
      </c>
      <c r="CH94" s="5" t="s">
        <v>305</v>
      </c>
      <c r="CI94" s="5" t="s">
        <v>240</v>
      </c>
      <c r="CL94" s="6" t="s">
        <v>261</v>
      </c>
      <c r="CM94" s="5" t="s">
        <v>240</v>
      </c>
      <c r="CN94" s="5" t="s">
        <v>263</v>
      </c>
      <c r="CO94" s="5" t="s">
        <v>240</v>
      </c>
      <c r="CP94" s="5" t="s">
        <v>240</v>
      </c>
      <c r="CQ94" s="5">
        <v>0</v>
      </c>
      <c r="CR94" s="5" t="s">
        <v>306</v>
      </c>
      <c r="CS94" s="5" t="s">
        <v>307</v>
      </c>
      <c r="CT94" s="5" t="s">
        <v>307</v>
      </c>
      <c r="CU94" s="5" t="s">
        <v>260</v>
      </c>
      <c r="CX94" s="7">
        <f>1</f>
        <v>1</v>
      </c>
      <c r="CY94" s="7">
        <f>0</f>
        <v>0</v>
      </c>
      <c r="DA94" s="7">
        <f>0</f>
        <v>0</v>
      </c>
      <c r="DC94" s="5" t="s">
        <v>309</v>
      </c>
      <c r="DD94" s="5" t="s">
        <v>240</v>
      </c>
      <c r="DF94" s="5" t="s">
        <v>309</v>
      </c>
      <c r="DG94" s="7">
        <f>85</f>
        <v>85</v>
      </c>
      <c r="DI94" s="5" t="s">
        <v>240</v>
      </c>
      <c r="DJ94" s="5" t="s">
        <v>240</v>
      </c>
      <c r="DK94" s="5" t="s">
        <v>240</v>
      </c>
      <c r="DL94" s="5" t="s">
        <v>240</v>
      </c>
      <c r="DP94" s="5" t="s">
        <v>240</v>
      </c>
      <c r="DQ94" s="5" t="s">
        <v>240</v>
      </c>
      <c r="DR94" s="5" t="s">
        <v>240</v>
      </c>
      <c r="DS94" s="5" t="s">
        <v>240</v>
      </c>
      <c r="DV94" s="5" t="s">
        <v>310</v>
      </c>
      <c r="DW94" s="5" t="s">
        <v>490</v>
      </c>
      <c r="HO94" s="5" t="s">
        <v>312</v>
      </c>
    </row>
    <row r="95" spans="1:223" x14ac:dyDescent="0.4">
      <c r="A95" s="5">
        <v>806</v>
      </c>
      <c r="B95" s="5">
        <v>1</v>
      </c>
      <c r="C95" s="5">
        <v>1</v>
      </c>
      <c r="D95" s="5" t="s">
        <v>1798</v>
      </c>
      <c r="E95" s="5" t="s">
        <v>418</v>
      </c>
      <c r="F95" s="5" t="s">
        <v>254</v>
      </c>
      <c r="G95" s="5" t="s">
        <v>240</v>
      </c>
      <c r="H95" s="6" t="s">
        <v>4505</v>
      </c>
      <c r="I95" s="5" t="s">
        <v>1797</v>
      </c>
      <c r="J95" s="8">
        <f>178</f>
        <v>178</v>
      </c>
      <c r="K95" s="5" t="s">
        <v>308</v>
      </c>
      <c r="L95" s="7">
        <f>394270</f>
        <v>394270</v>
      </c>
      <c r="M95" s="7">
        <f>394270</f>
        <v>394270</v>
      </c>
      <c r="N95" s="5" t="s">
        <v>242</v>
      </c>
      <c r="O95" s="5">
        <v>1</v>
      </c>
      <c r="P95" s="5" t="s">
        <v>294</v>
      </c>
      <c r="Q95" s="5" t="s">
        <v>266</v>
      </c>
      <c r="R95" s="5" t="s">
        <v>240</v>
      </c>
      <c r="S95" s="5" t="s">
        <v>240</v>
      </c>
      <c r="T95" s="5" t="s">
        <v>296</v>
      </c>
      <c r="U95" s="5" t="s">
        <v>244</v>
      </c>
      <c r="V95" s="5" t="s">
        <v>240</v>
      </c>
      <c r="Y95" s="5" t="s">
        <v>240</v>
      </c>
      <c r="Z95" s="6" t="s">
        <v>298</v>
      </c>
      <c r="AB95" s="6" t="s">
        <v>240</v>
      </c>
      <c r="AE95" s="6" t="s">
        <v>299</v>
      </c>
      <c r="AF95" s="5" t="s">
        <v>248</v>
      </c>
      <c r="AG95" s="5" t="s">
        <v>249</v>
      </c>
      <c r="AW95" s="5" t="s">
        <v>251</v>
      </c>
      <c r="AX95" s="5" t="s">
        <v>240</v>
      </c>
      <c r="AY95" s="5" t="s">
        <v>253</v>
      </c>
      <c r="AZ95" s="5" t="s">
        <v>240</v>
      </c>
      <c r="BA95" s="5" t="s">
        <v>255</v>
      </c>
      <c r="BB95" s="5" t="s">
        <v>240</v>
      </c>
      <c r="BD95" s="5" t="s">
        <v>240</v>
      </c>
      <c r="BF95" s="5" t="s">
        <v>301</v>
      </c>
      <c r="BG95" s="6" t="s">
        <v>299</v>
      </c>
      <c r="BH95" s="5" t="s">
        <v>302</v>
      </c>
      <c r="BI95" s="5" t="s">
        <v>303</v>
      </c>
      <c r="BJ95" s="5" t="s">
        <v>240</v>
      </c>
      <c r="BK95" s="8">
        <f>0</f>
        <v>0</v>
      </c>
      <c r="BL95" s="7">
        <f>0</f>
        <v>0</v>
      </c>
      <c r="BM95" s="5" t="s">
        <v>258</v>
      </c>
      <c r="BN95" s="5" t="s">
        <v>259</v>
      </c>
      <c r="CB95" s="5" t="s">
        <v>240</v>
      </c>
      <c r="CC95" s="5" t="s">
        <v>240</v>
      </c>
      <c r="CG95" s="5" t="s">
        <v>304</v>
      </c>
      <c r="CH95" s="5" t="s">
        <v>305</v>
      </c>
      <c r="CI95" s="5" t="s">
        <v>240</v>
      </c>
      <c r="CL95" s="6" t="s">
        <v>261</v>
      </c>
      <c r="CM95" s="5" t="s">
        <v>240</v>
      </c>
      <c r="CN95" s="5" t="s">
        <v>263</v>
      </c>
      <c r="CO95" s="5" t="s">
        <v>240</v>
      </c>
      <c r="CP95" s="5" t="s">
        <v>240</v>
      </c>
      <c r="CQ95" s="5">
        <v>0</v>
      </c>
      <c r="CR95" s="5" t="s">
        <v>306</v>
      </c>
      <c r="CS95" s="5" t="s">
        <v>307</v>
      </c>
      <c r="CT95" s="5" t="s">
        <v>307</v>
      </c>
      <c r="CU95" s="5" t="s">
        <v>260</v>
      </c>
      <c r="CX95" s="7">
        <f>1</f>
        <v>1</v>
      </c>
      <c r="CY95" s="7">
        <f>0</f>
        <v>0</v>
      </c>
      <c r="DA95" s="7">
        <f>0</f>
        <v>0</v>
      </c>
      <c r="DC95" s="5" t="s">
        <v>309</v>
      </c>
      <c r="DD95" s="5" t="s">
        <v>240</v>
      </c>
      <c r="DF95" s="5" t="s">
        <v>309</v>
      </c>
      <c r="DG95" s="7">
        <f>97</f>
        <v>97</v>
      </c>
      <c r="DI95" s="5" t="s">
        <v>240</v>
      </c>
      <c r="DJ95" s="5" t="s">
        <v>240</v>
      </c>
      <c r="DK95" s="5" t="s">
        <v>240</v>
      </c>
      <c r="DL95" s="5" t="s">
        <v>240</v>
      </c>
      <c r="DP95" s="5" t="s">
        <v>240</v>
      </c>
      <c r="DQ95" s="5" t="s">
        <v>240</v>
      </c>
      <c r="DR95" s="5" t="s">
        <v>240</v>
      </c>
      <c r="DS95" s="5" t="s">
        <v>240</v>
      </c>
      <c r="DV95" s="5" t="s">
        <v>310</v>
      </c>
      <c r="DW95" s="5" t="s">
        <v>492</v>
      </c>
      <c r="HO95" s="5" t="s">
        <v>312</v>
      </c>
    </row>
    <row r="96" spans="1:223" x14ac:dyDescent="0.4">
      <c r="A96" s="5">
        <v>807</v>
      </c>
      <c r="B96" s="5">
        <v>1</v>
      </c>
      <c r="C96" s="5">
        <v>1</v>
      </c>
      <c r="D96" s="5" t="s">
        <v>1798</v>
      </c>
      <c r="E96" s="5" t="s">
        <v>418</v>
      </c>
      <c r="F96" s="5" t="s">
        <v>254</v>
      </c>
      <c r="G96" s="5" t="s">
        <v>240</v>
      </c>
      <c r="H96" s="6" t="s">
        <v>1803</v>
      </c>
      <c r="I96" s="5" t="s">
        <v>1797</v>
      </c>
      <c r="J96" s="8">
        <f>468</f>
        <v>468</v>
      </c>
      <c r="K96" s="5" t="s">
        <v>308</v>
      </c>
      <c r="L96" s="7">
        <f>1036620</f>
        <v>1036620</v>
      </c>
      <c r="M96" s="7">
        <f>1036620</f>
        <v>1036620</v>
      </c>
      <c r="N96" s="5" t="s">
        <v>242</v>
      </c>
      <c r="O96" s="5">
        <v>1</v>
      </c>
      <c r="P96" s="5" t="s">
        <v>294</v>
      </c>
      <c r="Q96" s="5" t="s">
        <v>266</v>
      </c>
      <c r="R96" s="5" t="s">
        <v>240</v>
      </c>
      <c r="S96" s="5" t="s">
        <v>240</v>
      </c>
      <c r="T96" s="5" t="s">
        <v>296</v>
      </c>
      <c r="U96" s="5" t="s">
        <v>244</v>
      </c>
      <c r="V96" s="5" t="s">
        <v>240</v>
      </c>
      <c r="Y96" s="5" t="s">
        <v>240</v>
      </c>
      <c r="Z96" s="6" t="s">
        <v>298</v>
      </c>
      <c r="AB96" s="6" t="s">
        <v>240</v>
      </c>
      <c r="AE96" s="6" t="s">
        <v>299</v>
      </c>
      <c r="AF96" s="5" t="s">
        <v>248</v>
      </c>
      <c r="AG96" s="5" t="s">
        <v>249</v>
      </c>
      <c r="AW96" s="5" t="s">
        <v>251</v>
      </c>
      <c r="AX96" s="5" t="s">
        <v>240</v>
      </c>
      <c r="AY96" s="5" t="s">
        <v>253</v>
      </c>
      <c r="AZ96" s="5" t="s">
        <v>240</v>
      </c>
      <c r="BA96" s="5" t="s">
        <v>255</v>
      </c>
      <c r="BB96" s="5" t="s">
        <v>240</v>
      </c>
      <c r="BD96" s="5" t="s">
        <v>240</v>
      </c>
      <c r="BF96" s="5" t="s">
        <v>301</v>
      </c>
      <c r="BG96" s="6" t="s">
        <v>299</v>
      </c>
      <c r="BH96" s="5" t="s">
        <v>302</v>
      </c>
      <c r="BI96" s="5" t="s">
        <v>303</v>
      </c>
      <c r="BJ96" s="5" t="s">
        <v>240</v>
      </c>
      <c r="BK96" s="8">
        <f>0</f>
        <v>0</v>
      </c>
      <c r="BL96" s="7">
        <f>0</f>
        <v>0</v>
      </c>
      <c r="BM96" s="5" t="s">
        <v>258</v>
      </c>
      <c r="BN96" s="5" t="s">
        <v>259</v>
      </c>
      <c r="CB96" s="5" t="s">
        <v>240</v>
      </c>
      <c r="CC96" s="5" t="s">
        <v>240</v>
      </c>
      <c r="CG96" s="5" t="s">
        <v>304</v>
      </c>
      <c r="CH96" s="5" t="s">
        <v>305</v>
      </c>
      <c r="CI96" s="5" t="s">
        <v>240</v>
      </c>
      <c r="CL96" s="6" t="s">
        <v>261</v>
      </c>
      <c r="CM96" s="5" t="s">
        <v>240</v>
      </c>
      <c r="CN96" s="5" t="s">
        <v>263</v>
      </c>
      <c r="CO96" s="5" t="s">
        <v>240</v>
      </c>
      <c r="CP96" s="5" t="s">
        <v>240</v>
      </c>
      <c r="CQ96" s="5">
        <v>0</v>
      </c>
      <c r="CR96" s="5" t="s">
        <v>306</v>
      </c>
      <c r="CS96" s="5" t="s">
        <v>307</v>
      </c>
      <c r="CT96" s="5" t="s">
        <v>307</v>
      </c>
      <c r="CU96" s="5" t="s">
        <v>260</v>
      </c>
      <c r="CX96" s="7">
        <f>1</f>
        <v>1</v>
      </c>
      <c r="CY96" s="7">
        <f>0</f>
        <v>0</v>
      </c>
      <c r="DA96" s="7">
        <f>0</f>
        <v>0</v>
      </c>
      <c r="DC96" s="5" t="s">
        <v>309</v>
      </c>
      <c r="DD96" s="5" t="s">
        <v>240</v>
      </c>
      <c r="DF96" s="5" t="s">
        <v>309</v>
      </c>
      <c r="DG96" s="7">
        <f>7.11</f>
        <v>7.11</v>
      </c>
      <c r="DI96" s="5" t="s">
        <v>240</v>
      </c>
      <c r="DJ96" s="5" t="s">
        <v>240</v>
      </c>
      <c r="DK96" s="5" t="s">
        <v>240</v>
      </c>
      <c r="DL96" s="5" t="s">
        <v>240</v>
      </c>
      <c r="DP96" s="5" t="s">
        <v>240</v>
      </c>
      <c r="DQ96" s="5" t="s">
        <v>240</v>
      </c>
      <c r="DR96" s="5" t="s">
        <v>240</v>
      </c>
      <c r="DS96" s="5" t="s">
        <v>240</v>
      </c>
      <c r="DV96" s="5" t="s">
        <v>310</v>
      </c>
      <c r="DW96" s="5" t="s">
        <v>494</v>
      </c>
      <c r="HO96" s="5" t="s">
        <v>312</v>
      </c>
    </row>
    <row r="97" spans="1:223" x14ac:dyDescent="0.4">
      <c r="A97" s="5">
        <v>808</v>
      </c>
      <c r="B97" s="5">
        <v>1</v>
      </c>
      <c r="C97" s="5">
        <v>1</v>
      </c>
      <c r="D97" s="5" t="s">
        <v>1798</v>
      </c>
      <c r="E97" s="5" t="s">
        <v>418</v>
      </c>
      <c r="F97" s="5" t="s">
        <v>254</v>
      </c>
      <c r="G97" s="5" t="s">
        <v>240</v>
      </c>
      <c r="H97" s="6" t="s">
        <v>1802</v>
      </c>
      <c r="I97" s="5" t="s">
        <v>1797</v>
      </c>
      <c r="J97" s="8">
        <f>512</f>
        <v>512</v>
      </c>
      <c r="K97" s="5" t="s">
        <v>308</v>
      </c>
      <c r="L97" s="7">
        <f>1134080</f>
        <v>1134080</v>
      </c>
      <c r="M97" s="7">
        <f>1134080</f>
        <v>1134080</v>
      </c>
      <c r="N97" s="5" t="s">
        <v>242</v>
      </c>
      <c r="O97" s="5">
        <v>1</v>
      </c>
      <c r="P97" s="5" t="s">
        <v>294</v>
      </c>
      <c r="Q97" s="5" t="s">
        <v>266</v>
      </c>
      <c r="R97" s="5" t="s">
        <v>240</v>
      </c>
      <c r="S97" s="5" t="s">
        <v>240</v>
      </c>
      <c r="T97" s="5" t="s">
        <v>296</v>
      </c>
      <c r="U97" s="5" t="s">
        <v>244</v>
      </c>
      <c r="V97" s="5" t="s">
        <v>240</v>
      </c>
      <c r="Y97" s="5" t="s">
        <v>240</v>
      </c>
      <c r="Z97" s="6" t="s">
        <v>298</v>
      </c>
      <c r="AB97" s="6" t="s">
        <v>240</v>
      </c>
      <c r="AE97" s="6" t="s">
        <v>299</v>
      </c>
      <c r="AF97" s="5" t="s">
        <v>248</v>
      </c>
      <c r="AG97" s="5" t="s">
        <v>249</v>
      </c>
      <c r="AW97" s="5" t="s">
        <v>251</v>
      </c>
      <c r="AX97" s="5" t="s">
        <v>240</v>
      </c>
      <c r="AY97" s="5" t="s">
        <v>253</v>
      </c>
      <c r="AZ97" s="5" t="s">
        <v>240</v>
      </c>
      <c r="BA97" s="5" t="s">
        <v>255</v>
      </c>
      <c r="BB97" s="5" t="s">
        <v>240</v>
      </c>
      <c r="BD97" s="5" t="s">
        <v>240</v>
      </c>
      <c r="BF97" s="5" t="s">
        <v>301</v>
      </c>
      <c r="BG97" s="6" t="s">
        <v>299</v>
      </c>
      <c r="BH97" s="5" t="s">
        <v>302</v>
      </c>
      <c r="BI97" s="5" t="s">
        <v>303</v>
      </c>
      <c r="BJ97" s="5" t="s">
        <v>240</v>
      </c>
      <c r="BK97" s="8">
        <f>0</f>
        <v>0</v>
      </c>
      <c r="BL97" s="7">
        <f>0</f>
        <v>0</v>
      </c>
      <c r="BM97" s="5" t="s">
        <v>258</v>
      </c>
      <c r="BN97" s="5" t="s">
        <v>259</v>
      </c>
      <c r="CB97" s="5" t="s">
        <v>240</v>
      </c>
      <c r="CC97" s="5" t="s">
        <v>240</v>
      </c>
      <c r="CG97" s="5" t="s">
        <v>304</v>
      </c>
      <c r="CH97" s="5" t="s">
        <v>305</v>
      </c>
      <c r="CI97" s="5" t="s">
        <v>240</v>
      </c>
      <c r="CL97" s="6" t="s">
        <v>261</v>
      </c>
      <c r="CM97" s="5" t="s">
        <v>240</v>
      </c>
      <c r="CN97" s="5" t="s">
        <v>263</v>
      </c>
      <c r="CO97" s="5" t="s">
        <v>240</v>
      </c>
      <c r="CP97" s="5" t="s">
        <v>240</v>
      </c>
      <c r="CQ97" s="5">
        <v>0</v>
      </c>
      <c r="CR97" s="5" t="s">
        <v>306</v>
      </c>
      <c r="CS97" s="5" t="s">
        <v>307</v>
      </c>
      <c r="CT97" s="5" t="s">
        <v>307</v>
      </c>
      <c r="CU97" s="5" t="s">
        <v>260</v>
      </c>
      <c r="CX97" s="7">
        <f>1</f>
        <v>1</v>
      </c>
      <c r="CY97" s="7">
        <f>0</f>
        <v>0</v>
      </c>
      <c r="DA97" s="7">
        <f>0</f>
        <v>0</v>
      </c>
      <c r="DC97" s="5" t="s">
        <v>309</v>
      </c>
      <c r="DD97" s="5" t="s">
        <v>240</v>
      </c>
      <c r="DF97" s="5" t="s">
        <v>309</v>
      </c>
      <c r="DG97" s="7">
        <f>80</f>
        <v>80</v>
      </c>
      <c r="DI97" s="5" t="s">
        <v>240</v>
      </c>
      <c r="DJ97" s="5" t="s">
        <v>240</v>
      </c>
      <c r="DK97" s="5" t="s">
        <v>240</v>
      </c>
      <c r="DL97" s="5" t="s">
        <v>240</v>
      </c>
      <c r="DP97" s="5" t="s">
        <v>240</v>
      </c>
      <c r="DQ97" s="5" t="s">
        <v>240</v>
      </c>
      <c r="DR97" s="5" t="s">
        <v>240</v>
      </c>
      <c r="DS97" s="5" t="s">
        <v>240</v>
      </c>
      <c r="DV97" s="5" t="s">
        <v>310</v>
      </c>
      <c r="DW97" s="5" t="s">
        <v>496</v>
      </c>
      <c r="HO97" s="5" t="s">
        <v>312</v>
      </c>
    </row>
    <row r="98" spans="1:223" x14ac:dyDescent="0.4">
      <c r="A98" s="5">
        <v>809</v>
      </c>
      <c r="B98" s="5">
        <v>1</v>
      </c>
      <c r="C98" s="5">
        <v>1</v>
      </c>
      <c r="D98" s="5" t="s">
        <v>1798</v>
      </c>
      <c r="E98" s="5" t="s">
        <v>418</v>
      </c>
      <c r="F98" s="5" t="s">
        <v>254</v>
      </c>
      <c r="G98" s="5" t="s">
        <v>240</v>
      </c>
      <c r="H98" s="6" t="s">
        <v>1801</v>
      </c>
      <c r="I98" s="5" t="s">
        <v>1797</v>
      </c>
      <c r="J98" s="8">
        <f>23</f>
        <v>23</v>
      </c>
      <c r="K98" s="5" t="s">
        <v>308</v>
      </c>
      <c r="L98" s="7">
        <f>50945</f>
        <v>50945</v>
      </c>
      <c r="M98" s="7">
        <f>50945</f>
        <v>50945</v>
      </c>
      <c r="N98" s="5" t="s">
        <v>242</v>
      </c>
      <c r="O98" s="5">
        <v>1</v>
      </c>
      <c r="P98" s="5" t="s">
        <v>294</v>
      </c>
      <c r="Q98" s="5" t="s">
        <v>266</v>
      </c>
      <c r="R98" s="5" t="s">
        <v>240</v>
      </c>
      <c r="S98" s="5" t="s">
        <v>240</v>
      </c>
      <c r="T98" s="5" t="s">
        <v>296</v>
      </c>
      <c r="U98" s="5" t="s">
        <v>244</v>
      </c>
      <c r="V98" s="5" t="s">
        <v>240</v>
      </c>
      <c r="Y98" s="5" t="s">
        <v>240</v>
      </c>
      <c r="Z98" s="6" t="s">
        <v>298</v>
      </c>
      <c r="AB98" s="6" t="s">
        <v>240</v>
      </c>
      <c r="AE98" s="6" t="s">
        <v>299</v>
      </c>
      <c r="AF98" s="5" t="s">
        <v>248</v>
      </c>
      <c r="AG98" s="5" t="s">
        <v>249</v>
      </c>
      <c r="AW98" s="5" t="s">
        <v>251</v>
      </c>
      <c r="AX98" s="5" t="s">
        <v>240</v>
      </c>
      <c r="AY98" s="5" t="s">
        <v>253</v>
      </c>
      <c r="AZ98" s="5" t="s">
        <v>240</v>
      </c>
      <c r="BA98" s="5" t="s">
        <v>255</v>
      </c>
      <c r="BB98" s="5" t="s">
        <v>240</v>
      </c>
      <c r="BD98" s="5" t="s">
        <v>240</v>
      </c>
      <c r="BF98" s="5" t="s">
        <v>301</v>
      </c>
      <c r="BG98" s="6" t="s">
        <v>299</v>
      </c>
      <c r="BH98" s="5" t="s">
        <v>302</v>
      </c>
      <c r="BI98" s="5" t="s">
        <v>303</v>
      </c>
      <c r="BJ98" s="5" t="s">
        <v>240</v>
      </c>
      <c r="BK98" s="8">
        <f>0</f>
        <v>0</v>
      </c>
      <c r="BL98" s="7">
        <f>0</f>
        <v>0</v>
      </c>
      <c r="BM98" s="5" t="s">
        <v>258</v>
      </c>
      <c r="BN98" s="5" t="s">
        <v>259</v>
      </c>
      <c r="CB98" s="5" t="s">
        <v>240</v>
      </c>
      <c r="CC98" s="5" t="s">
        <v>240</v>
      </c>
      <c r="CG98" s="5" t="s">
        <v>304</v>
      </c>
      <c r="CH98" s="5" t="s">
        <v>305</v>
      </c>
      <c r="CI98" s="5" t="s">
        <v>240</v>
      </c>
      <c r="CL98" s="6" t="s">
        <v>261</v>
      </c>
      <c r="CM98" s="5" t="s">
        <v>240</v>
      </c>
      <c r="CN98" s="5" t="s">
        <v>263</v>
      </c>
      <c r="CO98" s="5" t="s">
        <v>240</v>
      </c>
      <c r="CP98" s="5" t="s">
        <v>240</v>
      </c>
      <c r="CQ98" s="5">
        <v>0</v>
      </c>
      <c r="CR98" s="5" t="s">
        <v>306</v>
      </c>
      <c r="CS98" s="5" t="s">
        <v>307</v>
      </c>
      <c r="CT98" s="5" t="s">
        <v>307</v>
      </c>
      <c r="CU98" s="5" t="s">
        <v>260</v>
      </c>
      <c r="CX98" s="7">
        <f>1</f>
        <v>1</v>
      </c>
      <c r="CY98" s="7">
        <f>0</f>
        <v>0</v>
      </c>
      <c r="DA98" s="7">
        <f>0</f>
        <v>0</v>
      </c>
      <c r="DC98" s="5" t="s">
        <v>309</v>
      </c>
      <c r="DD98" s="5" t="s">
        <v>240</v>
      </c>
      <c r="DF98" s="5" t="s">
        <v>309</v>
      </c>
      <c r="DG98" s="7">
        <f>485</f>
        <v>485</v>
      </c>
      <c r="DI98" s="5" t="s">
        <v>240</v>
      </c>
      <c r="DJ98" s="5" t="s">
        <v>240</v>
      </c>
      <c r="DK98" s="5" t="s">
        <v>240</v>
      </c>
      <c r="DL98" s="5" t="s">
        <v>240</v>
      </c>
      <c r="DP98" s="5" t="s">
        <v>240</v>
      </c>
      <c r="DQ98" s="5" t="s">
        <v>240</v>
      </c>
      <c r="DR98" s="5" t="s">
        <v>240</v>
      </c>
      <c r="DS98" s="5" t="s">
        <v>240</v>
      </c>
      <c r="DV98" s="5" t="s">
        <v>310</v>
      </c>
      <c r="DW98" s="5" t="s">
        <v>498</v>
      </c>
      <c r="HO98" s="5" t="s">
        <v>312</v>
      </c>
    </row>
    <row r="99" spans="1:223" x14ac:dyDescent="0.4">
      <c r="A99" s="5">
        <v>810</v>
      </c>
      <c r="B99" s="5">
        <v>1</v>
      </c>
      <c r="C99" s="5">
        <v>1</v>
      </c>
      <c r="D99" s="5" t="s">
        <v>1798</v>
      </c>
      <c r="E99" s="5" t="s">
        <v>418</v>
      </c>
      <c r="F99" s="5" t="s">
        <v>254</v>
      </c>
      <c r="G99" s="5" t="s">
        <v>240</v>
      </c>
      <c r="H99" s="6" t="s">
        <v>1799</v>
      </c>
      <c r="I99" s="5" t="s">
        <v>1797</v>
      </c>
      <c r="J99" s="8">
        <f>306</f>
        <v>306</v>
      </c>
      <c r="K99" s="5" t="s">
        <v>308</v>
      </c>
      <c r="L99" s="7">
        <f>677790</f>
        <v>677790</v>
      </c>
      <c r="M99" s="7">
        <f>677790</f>
        <v>677790</v>
      </c>
      <c r="N99" s="5" t="s">
        <v>242</v>
      </c>
      <c r="O99" s="5">
        <v>1</v>
      </c>
      <c r="P99" s="5" t="s">
        <v>294</v>
      </c>
      <c r="Q99" s="5" t="s">
        <v>266</v>
      </c>
      <c r="R99" s="5" t="s">
        <v>240</v>
      </c>
      <c r="S99" s="5" t="s">
        <v>240</v>
      </c>
      <c r="T99" s="5" t="s">
        <v>296</v>
      </c>
      <c r="U99" s="5" t="s">
        <v>244</v>
      </c>
      <c r="V99" s="5" t="s">
        <v>240</v>
      </c>
      <c r="Y99" s="5" t="s">
        <v>240</v>
      </c>
      <c r="Z99" s="6" t="s">
        <v>298</v>
      </c>
      <c r="AB99" s="6" t="s">
        <v>240</v>
      </c>
      <c r="AE99" s="6" t="s">
        <v>299</v>
      </c>
      <c r="AF99" s="5" t="s">
        <v>248</v>
      </c>
      <c r="AG99" s="5" t="s">
        <v>249</v>
      </c>
      <c r="AW99" s="5" t="s">
        <v>251</v>
      </c>
      <c r="AX99" s="5" t="s">
        <v>240</v>
      </c>
      <c r="AY99" s="5" t="s">
        <v>253</v>
      </c>
      <c r="AZ99" s="5" t="s">
        <v>240</v>
      </c>
      <c r="BA99" s="5" t="s">
        <v>255</v>
      </c>
      <c r="BB99" s="5" t="s">
        <v>240</v>
      </c>
      <c r="BD99" s="5" t="s">
        <v>240</v>
      </c>
      <c r="BF99" s="5" t="s">
        <v>301</v>
      </c>
      <c r="BG99" s="6" t="s">
        <v>299</v>
      </c>
      <c r="BH99" s="5" t="s">
        <v>302</v>
      </c>
      <c r="BI99" s="5" t="s">
        <v>303</v>
      </c>
      <c r="BJ99" s="5" t="s">
        <v>240</v>
      </c>
      <c r="BK99" s="8">
        <f>0</f>
        <v>0</v>
      </c>
      <c r="BL99" s="7">
        <f>0</f>
        <v>0</v>
      </c>
      <c r="BM99" s="5" t="s">
        <v>258</v>
      </c>
      <c r="BN99" s="5" t="s">
        <v>259</v>
      </c>
      <c r="CB99" s="5" t="s">
        <v>240</v>
      </c>
      <c r="CC99" s="5" t="s">
        <v>240</v>
      </c>
      <c r="CG99" s="5" t="s">
        <v>304</v>
      </c>
      <c r="CH99" s="5" t="s">
        <v>305</v>
      </c>
      <c r="CI99" s="5" t="s">
        <v>240</v>
      </c>
      <c r="CL99" s="6" t="s">
        <v>261</v>
      </c>
      <c r="CM99" s="5" t="s">
        <v>240</v>
      </c>
      <c r="CN99" s="5" t="s">
        <v>263</v>
      </c>
      <c r="CO99" s="5" t="s">
        <v>240</v>
      </c>
      <c r="CP99" s="5" t="s">
        <v>240</v>
      </c>
      <c r="CQ99" s="5">
        <v>0</v>
      </c>
      <c r="CR99" s="5" t="s">
        <v>306</v>
      </c>
      <c r="CS99" s="5" t="s">
        <v>307</v>
      </c>
      <c r="CT99" s="5" t="s">
        <v>307</v>
      </c>
      <c r="CU99" s="5" t="s">
        <v>260</v>
      </c>
      <c r="CX99" s="7">
        <f>1</f>
        <v>1</v>
      </c>
      <c r="CY99" s="7">
        <f>0</f>
        <v>0</v>
      </c>
      <c r="DA99" s="7">
        <f>0</f>
        <v>0</v>
      </c>
      <c r="DC99" s="5" t="s">
        <v>309</v>
      </c>
      <c r="DD99" s="5" t="s">
        <v>240</v>
      </c>
      <c r="DF99" s="5" t="s">
        <v>309</v>
      </c>
      <c r="DG99" s="7">
        <f>1221</f>
        <v>1221</v>
      </c>
      <c r="DI99" s="5" t="s">
        <v>240</v>
      </c>
      <c r="DJ99" s="5" t="s">
        <v>240</v>
      </c>
      <c r="DK99" s="5" t="s">
        <v>240</v>
      </c>
      <c r="DL99" s="5" t="s">
        <v>240</v>
      </c>
      <c r="DP99" s="5" t="s">
        <v>240</v>
      </c>
      <c r="DQ99" s="5" t="s">
        <v>240</v>
      </c>
      <c r="DR99" s="5" t="s">
        <v>240</v>
      </c>
      <c r="DS99" s="5" t="s">
        <v>240</v>
      </c>
      <c r="DV99" s="5" t="s">
        <v>310</v>
      </c>
      <c r="DW99" s="5" t="s">
        <v>500</v>
      </c>
      <c r="HO99" s="5" t="s">
        <v>312</v>
      </c>
    </row>
    <row r="100" spans="1:223" x14ac:dyDescent="0.4">
      <c r="A100" s="5">
        <v>811</v>
      </c>
      <c r="B100" s="5">
        <v>1</v>
      </c>
      <c r="C100" s="5">
        <v>1</v>
      </c>
      <c r="D100" s="5" t="s">
        <v>1783</v>
      </c>
      <c r="E100" s="5" t="s">
        <v>418</v>
      </c>
      <c r="F100" s="5" t="s">
        <v>254</v>
      </c>
      <c r="G100" s="5" t="s">
        <v>240</v>
      </c>
      <c r="H100" s="6" t="s">
        <v>1796</v>
      </c>
      <c r="I100" s="5" t="s">
        <v>1782</v>
      </c>
      <c r="J100" s="8">
        <f>972</f>
        <v>972</v>
      </c>
      <c r="K100" s="5" t="s">
        <v>308</v>
      </c>
      <c r="L100" s="7">
        <f>2152980</f>
        <v>2152980</v>
      </c>
      <c r="M100" s="7">
        <f>2152980</f>
        <v>2152980</v>
      </c>
      <c r="N100" s="5" t="s">
        <v>242</v>
      </c>
      <c r="O100" s="5">
        <v>1</v>
      </c>
      <c r="P100" s="5" t="s">
        <v>294</v>
      </c>
      <c r="Q100" s="5" t="s">
        <v>266</v>
      </c>
      <c r="R100" s="5" t="s">
        <v>240</v>
      </c>
      <c r="S100" s="5" t="s">
        <v>240</v>
      </c>
      <c r="T100" s="5" t="s">
        <v>296</v>
      </c>
      <c r="U100" s="5" t="s">
        <v>244</v>
      </c>
      <c r="V100" s="5" t="s">
        <v>240</v>
      </c>
      <c r="Y100" s="5" t="s">
        <v>240</v>
      </c>
      <c r="Z100" s="6" t="s">
        <v>298</v>
      </c>
      <c r="AB100" s="6" t="s">
        <v>240</v>
      </c>
      <c r="AE100" s="6" t="s">
        <v>299</v>
      </c>
      <c r="AF100" s="5" t="s">
        <v>248</v>
      </c>
      <c r="AG100" s="5" t="s">
        <v>249</v>
      </c>
      <c r="AW100" s="5" t="s">
        <v>251</v>
      </c>
      <c r="AX100" s="5" t="s">
        <v>240</v>
      </c>
      <c r="AY100" s="5" t="s">
        <v>253</v>
      </c>
      <c r="AZ100" s="5" t="s">
        <v>240</v>
      </c>
      <c r="BA100" s="5" t="s">
        <v>255</v>
      </c>
      <c r="BB100" s="5" t="s">
        <v>240</v>
      </c>
      <c r="BD100" s="5" t="s">
        <v>240</v>
      </c>
      <c r="BF100" s="5" t="s">
        <v>301</v>
      </c>
      <c r="BG100" s="6" t="s">
        <v>299</v>
      </c>
      <c r="BH100" s="5" t="s">
        <v>302</v>
      </c>
      <c r="BI100" s="5" t="s">
        <v>303</v>
      </c>
      <c r="BJ100" s="5" t="s">
        <v>240</v>
      </c>
      <c r="BK100" s="8">
        <f>0</f>
        <v>0</v>
      </c>
      <c r="BL100" s="7">
        <f>0</f>
        <v>0</v>
      </c>
      <c r="BM100" s="5" t="s">
        <v>258</v>
      </c>
      <c r="BN100" s="5" t="s">
        <v>259</v>
      </c>
      <c r="CB100" s="5" t="s">
        <v>240</v>
      </c>
      <c r="CC100" s="5" t="s">
        <v>240</v>
      </c>
      <c r="CG100" s="5" t="s">
        <v>304</v>
      </c>
      <c r="CH100" s="5" t="s">
        <v>305</v>
      </c>
      <c r="CI100" s="5" t="s">
        <v>240</v>
      </c>
      <c r="CL100" s="6" t="s">
        <v>261</v>
      </c>
      <c r="CM100" s="5" t="s">
        <v>240</v>
      </c>
      <c r="CN100" s="5" t="s">
        <v>263</v>
      </c>
      <c r="CO100" s="5" t="s">
        <v>240</v>
      </c>
      <c r="CP100" s="5" t="s">
        <v>240</v>
      </c>
      <c r="CQ100" s="5">
        <v>0</v>
      </c>
      <c r="CR100" s="5" t="s">
        <v>306</v>
      </c>
      <c r="CS100" s="5" t="s">
        <v>307</v>
      </c>
      <c r="CT100" s="5" t="s">
        <v>307</v>
      </c>
      <c r="CU100" s="5" t="s">
        <v>260</v>
      </c>
      <c r="CX100" s="7">
        <f>1</f>
        <v>1</v>
      </c>
      <c r="CY100" s="7">
        <f>0</f>
        <v>0</v>
      </c>
      <c r="DA100" s="7">
        <f>0</f>
        <v>0</v>
      </c>
      <c r="DC100" s="5" t="s">
        <v>309</v>
      </c>
      <c r="DD100" s="5" t="s">
        <v>240</v>
      </c>
      <c r="DF100" s="5" t="s">
        <v>309</v>
      </c>
      <c r="DG100" s="7">
        <f>57</f>
        <v>57</v>
      </c>
      <c r="DI100" s="5" t="s">
        <v>240</v>
      </c>
      <c r="DJ100" s="5" t="s">
        <v>240</v>
      </c>
      <c r="DK100" s="5" t="s">
        <v>240</v>
      </c>
      <c r="DL100" s="5" t="s">
        <v>240</v>
      </c>
      <c r="DP100" s="5" t="s">
        <v>240</v>
      </c>
      <c r="DQ100" s="5" t="s">
        <v>240</v>
      </c>
      <c r="DR100" s="5" t="s">
        <v>240</v>
      </c>
      <c r="DS100" s="5" t="s">
        <v>240</v>
      </c>
      <c r="DV100" s="5" t="s">
        <v>310</v>
      </c>
      <c r="DW100" s="5" t="s">
        <v>502</v>
      </c>
      <c r="HO100" s="5" t="s">
        <v>312</v>
      </c>
    </row>
    <row r="101" spans="1:223" x14ac:dyDescent="0.4">
      <c r="A101" s="5">
        <v>812</v>
      </c>
      <c r="B101" s="5">
        <v>1</v>
      </c>
      <c r="C101" s="5">
        <v>1</v>
      </c>
      <c r="D101" s="5" t="s">
        <v>1783</v>
      </c>
      <c r="E101" s="5" t="s">
        <v>418</v>
      </c>
      <c r="F101" s="5" t="s">
        <v>254</v>
      </c>
      <c r="G101" s="5" t="s">
        <v>240</v>
      </c>
      <c r="H101" s="6" t="s">
        <v>1795</v>
      </c>
      <c r="I101" s="5" t="s">
        <v>1782</v>
      </c>
      <c r="J101" s="8">
        <f>3996</f>
        <v>3996</v>
      </c>
      <c r="K101" s="5" t="s">
        <v>308</v>
      </c>
      <c r="L101" s="7">
        <f>171828</f>
        <v>171828</v>
      </c>
      <c r="M101" s="7">
        <f>171828</f>
        <v>171828</v>
      </c>
      <c r="N101" s="5" t="s">
        <v>242</v>
      </c>
      <c r="O101" s="5">
        <v>1</v>
      </c>
      <c r="P101" s="5" t="s">
        <v>294</v>
      </c>
      <c r="Q101" s="5" t="s">
        <v>266</v>
      </c>
      <c r="R101" s="5" t="s">
        <v>240</v>
      </c>
      <c r="S101" s="5" t="s">
        <v>240</v>
      </c>
      <c r="T101" s="5" t="s">
        <v>296</v>
      </c>
      <c r="U101" s="5" t="s">
        <v>244</v>
      </c>
      <c r="V101" s="5" t="s">
        <v>240</v>
      </c>
      <c r="Y101" s="5" t="s">
        <v>240</v>
      </c>
      <c r="Z101" s="6" t="s">
        <v>298</v>
      </c>
      <c r="AB101" s="6" t="s">
        <v>240</v>
      </c>
      <c r="AE101" s="6" t="s">
        <v>299</v>
      </c>
      <c r="AF101" s="5" t="s">
        <v>248</v>
      </c>
      <c r="AG101" s="5" t="s">
        <v>249</v>
      </c>
      <c r="AW101" s="5" t="s">
        <v>251</v>
      </c>
      <c r="AX101" s="5" t="s">
        <v>240</v>
      </c>
      <c r="AY101" s="5" t="s">
        <v>253</v>
      </c>
      <c r="AZ101" s="5" t="s">
        <v>240</v>
      </c>
      <c r="BA101" s="5" t="s">
        <v>255</v>
      </c>
      <c r="BB101" s="5" t="s">
        <v>240</v>
      </c>
      <c r="BD101" s="5" t="s">
        <v>240</v>
      </c>
      <c r="BF101" s="5" t="s">
        <v>301</v>
      </c>
      <c r="BG101" s="6" t="s">
        <v>299</v>
      </c>
      <c r="BH101" s="5" t="s">
        <v>302</v>
      </c>
      <c r="BI101" s="5" t="s">
        <v>303</v>
      </c>
      <c r="BJ101" s="5" t="s">
        <v>240</v>
      </c>
      <c r="BK101" s="8">
        <f>0</f>
        <v>0</v>
      </c>
      <c r="BL101" s="7">
        <f>0</f>
        <v>0</v>
      </c>
      <c r="BM101" s="5" t="s">
        <v>258</v>
      </c>
      <c r="BN101" s="5" t="s">
        <v>259</v>
      </c>
      <c r="CB101" s="5" t="s">
        <v>240</v>
      </c>
      <c r="CC101" s="5" t="s">
        <v>240</v>
      </c>
      <c r="CG101" s="5" t="s">
        <v>304</v>
      </c>
      <c r="CH101" s="5" t="s">
        <v>305</v>
      </c>
      <c r="CI101" s="5" t="s">
        <v>240</v>
      </c>
      <c r="CL101" s="6" t="s">
        <v>261</v>
      </c>
      <c r="CM101" s="5" t="s">
        <v>240</v>
      </c>
      <c r="CN101" s="5" t="s">
        <v>263</v>
      </c>
      <c r="CO101" s="5" t="s">
        <v>240</v>
      </c>
      <c r="CP101" s="5" t="s">
        <v>240</v>
      </c>
      <c r="CQ101" s="5">
        <v>0</v>
      </c>
      <c r="CR101" s="5" t="s">
        <v>306</v>
      </c>
      <c r="CS101" s="5" t="s">
        <v>307</v>
      </c>
      <c r="CT101" s="5" t="s">
        <v>307</v>
      </c>
      <c r="CU101" s="5" t="s">
        <v>260</v>
      </c>
      <c r="CX101" s="7">
        <f>1</f>
        <v>1</v>
      </c>
      <c r="CY101" s="7">
        <f>0</f>
        <v>0</v>
      </c>
      <c r="DA101" s="7">
        <f>0</f>
        <v>0</v>
      </c>
      <c r="DC101" s="5" t="s">
        <v>309</v>
      </c>
      <c r="DD101" s="5" t="s">
        <v>240</v>
      </c>
      <c r="DF101" s="5" t="s">
        <v>309</v>
      </c>
      <c r="DG101" s="7">
        <f>0.83</f>
        <v>0.83</v>
      </c>
      <c r="DI101" s="5" t="s">
        <v>240</v>
      </c>
      <c r="DJ101" s="5" t="s">
        <v>240</v>
      </c>
      <c r="DK101" s="5" t="s">
        <v>240</v>
      </c>
      <c r="DL101" s="5" t="s">
        <v>240</v>
      </c>
      <c r="DP101" s="5" t="s">
        <v>240</v>
      </c>
      <c r="DQ101" s="5" t="s">
        <v>240</v>
      </c>
      <c r="DR101" s="5" t="s">
        <v>240</v>
      </c>
      <c r="DS101" s="5" t="s">
        <v>240</v>
      </c>
      <c r="DV101" s="5" t="s">
        <v>310</v>
      </c>
      <c r="DW101" s="5" t="s">
        <v>504</v>
      </c>
      <c r="HO101" s="5" t="s">
        <v>312</v>
      </c>
    </row>
    <row r="102" spans="1:223" x14ac:dyDescent="0.4">
      <c r="A102" s="5">
        <v>813</v>
      </c>
      <c r="B102" s="5">
        <v>1</v>
      </c>
      <c r="C102" s="5">
        <v>1</v>
      </c>
      <c r="D102" s="5" t="s">
        <v>1783</v>
      </c>
      <c r="E102" s="5" t="s">
        <v>418</v>
      </c>
      <c r="F102" s="5" t="s">
        <v>254</v>
      </c>
      <c r="G102" s="5" t="s">
        <v>240</v>
      </c>
      <c r="H102" s="6" t="s">
        <v>1794</v>
      </c>
      <c r="I102" s="5" t="s">
        <v>1782</v>
      </c>
      <c r="J102" s="8">
        <f>298</f>
        <v>298</v>
      </c>
      <c r="K102" s="5" t="s">
        <v>308</v>
      </c>
      <c r="L102" s="7">
        <f>660070</f>
        <v>660070</v>
      </c>
      <c r="M102" s="7">
        <f>660070</f>
        <v>660070</v>
      </c>
      <c r="N102" s="5" t="s">
        <v>242</v>
      </c>
      <c r="O102" s="5">
        <v>1</v>
      </c>
      <c r="P102" s="5" t="s">
        <v>294</v>
      </c>
      <c r="Q102" s="5" t="s">
        <v>266</v>
      </c>
      <c r="R102" s="5" t="s">
        <v>240</v>
      </c>
      <c r="S102" s="5" t="s">
        <v>240</v>
      </c>
      <c r="T102" s="5" t="s">
        <v>296</v>
      </c>
      <c r="U102" s="5" t="s">
        <v>244</v>
      </c>
      <c r="V102" s="5" t="s">
        <v>240</v>
      </c>
      <c r="Y102" s="5" t="s">
        <v>240</v>
      </c>
      <c r="Z102" s="6" t="s">
        <v>298</v>
      </c>
      <c r="AB102" s="6" t="s">
        <v>240</v>
      </c>
      <c r="AE102" s="6" t="s">
        <v>299</v>
      </c>
      <c r="AF102" s="5" t="s">
        <v>248</v>
      </c>
      <c r="AG102" s="5" t="s">
        <v>249</v>
      </c>
      <c r="AW102" s="5" t="s">
        <v>251</v>
      </c>
      <c r="AX102" s="5" t="s">
        <v>240</v>
      </c>
      <c r="AY102" s="5" t="s">
        <v>253</v>
      </c>
      <c r="AZ102" s="5" t="s">
        <v>240</v>
      </c>
      <c r="BA102" s="5" t="s">
        <v>255</v>
      </c>
      <c r="BB102" s="5" t="s">
        <v>240</v>
      </c>
      <c r="BD102" s="5" t="s">
        <v>240</v>
      </c>
      <c r="BF102" s="5" t="s">
        <v>301</v>
      </c>
      <c r="BG102" s="6" t="s">
        <v>299</v>
      </c>
      <c r="BH102" s="5" t="s">
        <v>302</v>
      </c>
      <c r="BI102" s="5" t="s">
        <v>303</v>
      </c>
      <c r="BJ102" s="5" t="s">
        <v>240</v>
      </c>
      <c r="BK102" s="8">
        <f>0</f>
        <v>0</v>
      </c>
      <c r="BL102" s="7">
        <f>0</f>
        <v>0</v>
      </c>
      <c r="BM102" s="5" t="s">
        <v>258</v>
      </c>
      <c r="BN102" s="5" t="s">
        <v>259</v>
      </c>
      <c r="CB102" s="5" t="s">
        <v>240</v>
      </c>
      <c r="CC102" s="5" t="s">
        <v>240</v>
      </c>
      <c r="CG102" s="5" t="s">
        <v>304</v>
      </c>
      <c r="CH102" s="5" t="s">
        <v>305</v>
      </c>
      <c r="CI102" s="5" t="s">
        <v>240</v>
      </c>
      <c r="CL102" s="6" t="s">
        <v>261</v>
      </c>
      <c r="CM102" s="5" t="s">
        <v>240</v>
      </c>
      <c r="CN102" s="5" t="s">
        <v>263</v>
      </c>
      <c r="CO102" s="5" t="s">
        <v>240</v>
      </c>
      <c r="CP102" s="5" t="s">
        <v>240</v>
      </c>
      <c r="CQ102" s="5">
        <v>0</v>
      </c>
      <c r="CR102" s="5" t="s">
        <v>306</v>
      </c>
      <c r="CS102" s="5" t="s">
        <v>307</v>
      </c>
      <c r="CT102" s="5" t="s">
        <v>307</v>
      </c>
      <c r="CU102" s="5" t="s">
        <v>260</v>
      </c>
      <c r="CX102" s="7">
        <f>1</f>
        <v>1</v>
      </c>
      <c r="CY102" s="7">
        <f>0</f>
        <v>0</v>
      </c>
      <c r="DA102" s="7">
        <f>0</f>
        <v>0</v>
      </c>
      <c r="DC102" s="5" t="s">
        <v>309</v>
      </c>
      <c r="DD102" s="5" t="s">
        <v>240</v>
      </c>
      <c r="DF102" s="5" t="s">
        <v>309</v>
      </c>
      <c r="DG102" s="7">
        <f>98</f>
        <v>98</v>
      </c>
      <c r="DI102" s="5" t="s">
        <v>240</v>
      </c>
      <c r="DJ102" s="5" t="s">
        <v>240</v>
      </c>
      <c r="DK102" s="5" t="s">
        <v>240</v>
      </c>
      <c r="DL102" s="5" t="s">
        <v>240</v>
      </c>
      <c r="DP102" s="5" t="s">
        <v>240</v>
      </c>
      <c r="DQ102" s="5" t="s">
        <v>240</v>
      </c>
      <c r="DR102" s="5" t="s">
        <v>240</v>
      </c>
      <c r="DS102" s="5" t="s">
        <v>240</v>
      </c>
      <c r="DV102" s="5" t="s">
        <v>310</v>
      </c>
      <c r="DW102" s="5" t="s">
        <v>506</v>
      </c>
      <c r="HO102" s="5" t="s">
        <v>312</v>
      </c>
    </row>
    <row r="103" spans="1:223" x14ac:dyDescent="0.4">
      <c r="A103" s="5">
        <v>814</v>
      </c>
      <c r="B103" s="5">
        <v>1</v>
      </c>
      <c r="C103" s="5">
        <v>1</v>
      </c>
      <c r="D103" s="5" t="s">
        <v>1783</v>
      </c>
      <c r="E103" s="5" t="s">
        <v>418</v>
      </c>
      <c r="F103" s="5" t="s">
        <v>254</v>
      </c>
      <c r="G103" s="5" t="s">
        <v>240</v>
      </c>
      <c r="H103" s="6" t="s">
        <v>1793</v>
      </c>
      <c r="I103" s="5" t="s">
        <v>1782</v>
      </c>
      <c r="J103" s="8">
        <f>521</f>
        <v>521</v>
      </c>
      <c r="K103" s="5" t="s">
        <v>308</v>
      </c>
      <c r="L103" s="7">
        <f>22403</f>
        <v>22403</v>
      </c>
      <c r="M103" s="7">
        <f>22403</f>
        <v>22403</v>
      </c>
      <c r="N103" s="5" t="s">
        <v>242</v>
      </c>
      <c r="O103" s="5">
        <v>1</v>
      </c>
      <c r="P103" s="5" t="s">
        <v>294</v>
      </c>
      <c r="Q103" s="5" t="s">
        <v>266</v>
      </c>
      <c r="R103" s="5" t="s">
        <v>240</v>
      </c>
      <c r="S103" s="5" t="s">
        <v>240</v>
      </c>
      <c r="T103" s="5" t="s">
        <v>296</v>
      </c>
      <c r="U103" s="5" t="s">
        <v>244</v>
      </c>
      <c r="V103" s="5" t="s">
        <v>240</v>
      </c>
      <c r="Y103" s="5" t="s">
        <v>240</v>
      </c>
      <c r="Z103" s="6" t="s">
        <v>298</v>
      </c>
      <c r="AB103" s="6" t="s">
        <v>240</v>
      </c>
      <c r="AE103" s="6" t="s">
        <v>299</v>
      </c>
      <c r="AF103" s="5" t="s">
        <v>248</v>
      </c>
      <c r="AG103" s="5" t="s">
        <v>249</v>
      </c>
      <c r="AW103" s="5" t="s">
        <v>251</v>
      </c>
      <c r="AX103" s="5" t="s">
        <v>240</v>
      </c>
      <c r="AY103" s="5" t="s">
        <v>253</v>
      </c>
      <c r="AZ103" s="5" t="s">
        <v>240</v>
      </c>
      <c r="BA103" s="5" t="s">
        <v>255</v>
      </c>
      <c r="BB103" s="5" t="s">
        <v>240</v>
      </c>
      <c r="BD103" s="5" t="s">
        <v>240</v>
      </c>
      <c r="BF103" s="5" t="s">
        <v>301</v>
      </c>
      <c r="BG103" s="6" t="s">
        <v>299</v>
      </c>
      <c r="BH103" s="5" t="s">
        <v>302</v>
      </c>
      <c r="BI103" s="5" t="s">
        <v>303</v>
      </c>
      <c r="BJ103" s="5" t="s">
        <v>240</v>
      </c>
      <c r="BK103" s="8">
        <f>0</f>
        <v>0</v>
      </c>
      <c r="BL103" s="7">
        <f>0</f>
        <v>0</v>
      </c>
      <c r="BM103" s="5" t="s">
        <v>258</v>
      </c>
      <c r="BN103" s="5" t="s">
        <v>259</v>
      </c>
      <c r="CB103" s="5" t="s">
        <v>240</v>
      </c>
      <c r="CC103" s="5" t="s">
        <v>240</v>
      </c>
      <c r="CG103" s="5" t="s">
        <v>304</v>
      </c>
      <c r="CH103" s="5" t="s">
        <v>305</v>
      </c>
      <c r="CI103" s="5" t="s">
        <v>240</v>
      </c>
      <c r="CL103" s="6" t="s">
        <v>261</v>
      </c>
      <c r="CM103" s="5" t="s">
        <v>240</v>
      </c>
      <c r="CN103" s="5" t="s">
        <v>263</v>
      </c>
      <c r="CO103" s="5" t="s">
        <v>240</v>
      </c>
      <c r="CP103" s="5" t="s">
        <v>240</v>
      </c>
      <c r="CQ103" s="5">
        <v>0</v>
      </c>
      <c r="CR103" s="5" t="s">
        <v>306</v>
      </c>
      <c r="CS103" s="5" t="s">
        <v>307</v>
      </c>
      <c r="CT103" s="5" t="s">
        <v>307</v>
      </c>
      <c r="CU103" s="5" t="s">
        <v>260</v>
      </c>
      <c r="CX103" s="7">
        <f>1</f>
        <v>1</v>
      </c>
      <c r="CY103" s="7">
        <f>0</f>
        <v>0</v>
      </c>
      <c r="DA103" s="7">
        <f>0</f>
        <v>0</v>
      </c>
      <c r="DC103" s="5" t="s">
        <v>309</v>
      </c>
      <c r="DD103" s="5" t="s">
        <v>240</v>
      </c>
      <c r="DF103" s="5" t="s">
        <v>309</v>
      </c>
      <c r="DG103" s="7">
        <f>169</f>
        <v>169</v>
      </c>
      <c r="DI103" s="5" t="s">
        <v>240</v>
      </c>
      <c r="DJ103" s="5" t="s">
        <v>240</v>
      </c>
      <c r="DK103" s="5" t="s">
        <v>240</v>
      </c>
      <c r="DL103" s="5" t="s">
        <v>240</v>
      </c>
      <c r="DP103" s="5" t="s">
        <v>240</v>
      </c>
      <c r="DQ103" s="5" t="s">
        <v>240</v>
      </c>
      <c r="DR103" s="5" t="s">
        <v>240</v>
      </c>
      <c r="DS103" s="5" t="s">
        <v>240</v>
      </c>
      <c r="DV103" s="5" t="s">
        <v>310</v>
      </c>
      <c r="DW103" s="5" t="s">
        <v>508</v>
      </c>
      <c r="HO103" s="5" t="s">
        <v>312</v>
      </c>
    </row>
    <row r="104" spans="1:223" x14ac:dyDescent="0.4">
      <c r="A104" s="5">
        <v>815</v>
      </c>
      <c r="B104" s="5">
        <v>1</v>
      </c>
      <c r="C104" s="5">
        <v>1</v>
      </c>
      <c r="D104" s="5" t="s">
        <v>1783</v>
      </c>
      <c r="E104" s="5" t="s">
        <v>418</v>
      </c>
      <c r="F104" s="5" t="s">
        <v>254</v>
      </c>
      <c r="G104" s="5" t="s">
        <v>240</v>
      </c>
      <c r="H104" s="6" t="s">
        <v>1792</v>
      </c>
      <c r="I104" s="5" t="s">
        <v>1782</v>
      </c>
      <c r="J104" s="8">
        <f>325</f>
        <v>325</v>
      </c>
      <c r="K104" s="5" t="s">
        <v>308</v>
      </c>
      <c r="L104" s="7">
        <f>13975</f>
        <v>13975</v>
      </c>
      <c r="M104" s="7">
        <f>13975</f>
        <v>13975</v>
      </c>
      <c r="N104" s="5" t="s">
        <v>242</v>
      </c>
      <c r="O104" s="5">
        <v>1</v>
      </c>
      <c r="P104" s="5" t="s">
        <v>294</v>
      </c>
      <c r="Q104" s="5" t="s">
        <v>266</v>
      </c>
      <c r="R104" s="5" t="s">
        <v>240</v>
      </c>
      <c r="S104" s="5" t="s">
        <v>240</v>
      </c>
      <c r="T104" s="5" t="s">
        <v>296</v>
      </c>
      <c r="U104" s="5" t="s">
        <v>244</v>
      </c>
      <c r="V104" s="5" t="s">
        <v>240</v>
      </c>
      <c r="Y104" s="5" t="s">
        <v>240</v>
      </c>
      <c r="Z104" s="6" t="s">
        <v>298</v>
      </c>
      <c r="AB104" s="6" t="s">
        <v>240</v>
      </c>
      <c r="AE104" s="6" t="s">
        <v>299</v>
      </c>
      <c r="AF104" s="5" t="s">
        <v>248</v>
      </c>
      <c r="AG104" s="5" t="s">
        <v>249</v>
      </c>
      <c r="AW104" s="5" t="s">
        <v>251</v>
      </c>
      <c r="AX104" s="5" t="s">
        <v>240</v>
      </c>
      <c r="AY104" s="5" t="s">
        <v>253</v>
      </c>
      <c r="AZ104" s="5" t="s">
        <v>240</v>
      </c>
      <c r="BA104" s="5" t="s">
        <v>255</v>
      </c>
      <c r="BB104" s="5" t="s">
        <v>240</v>
      </c>
      <c r="BD104" s="5" t="s">
        <v>240</v>
      </c>
      <c r="BF104" s="5" t="s">
        <v>301</v>
      </c>
      <c r="BG104" s="6" t="s">
        <v>299</v>
      </c>
      <c r="BH104" s="5" t="s">
        <v>302</v>
      </c>
      <c r="BI104" s="5" t="s">
        <v>303</v>
      </c>
      <c r="BJ104" s="5" t="s">
        <v>240</v>
      </c>
      <c r="BK104" s="8">
        <f>0</f>
        <v>0</v>
      </c>
      <c r="BL104" s="7">
        <f>0</f>
        <v>0</v>
      </c>
      <c r="BM104" s="5" t="s">
        <v>258</v>
      </c>
      <c r="BN104" s="5" t="s">
        <v>259</v>
      </c>
      <c r="CB104" s="5" t="s">
        <v>240</v>
      </c>
      <c r="CC104" s="5" t="s">
        <v>240</v>
      </c>
      <c r="CG104" s="5" t="s">
        <v>304</v>
      </c>
      <c r="CH104" s="5" t="s">
        <v>305</v>
      </c>
      <c r="CI104" s="5" t="s">
        <v>240</v>
      </c>
      <c r="CL104" s="6" t="s">
        <v>261</v>
      </c>
      <c r="CM104" s="5" t="s">
        <v>240</v>
      </c>
      <c r="CN104" s="5" t="s">
        <v>263</v>
      </c>
      <c r="CO104" s="5" t="s">
        <v>240</v>
      </c>
      <c r="CP104" s="5" t="s">
        <v>240</v>
      </c>
      <c r="CQ104" s="5">
        <v>0</v>
      </c>
      <c r="CR104" s="5" t="s">
        <v>306</v>
      </c>
      <c r="CS104" s="5" t="s">
        <v>307</v>
      </c>
      <c r="CT104" s="5" t="s">
        <v>307</v>
      </c>
      <c r="CU104" s="5" t="s">
        <v>260</v>
      </c>
      <c r="CX104" s="7">
        <f>1</f>
        <v>1</v>
      </c>
      <c r="CY104" s="7">
        <f>0</f>
        <v>0</v>
      </c>
      <c r="DA104" s="7">
        <f>0</f>
        <v>0</v>
      </c>
      <c r="DC104" s="5" t="s">
        <v>309</v>
      </c>
      <c r="DD104" s="5" t="s">
        <v>240</v>
      </c>
      <c r="DF104" s="5" t="s">
        <v>309</v>
      </c>
      <c r="DG104" s="7">
        <f>368</f>
        <v>368</v>
      </c>
      <c r="DI104" s="5" t="s">
        <v>240</v>
      </c>
      <c r="DJ104" s="5" t="s">
        <v>240</v>
      </c>
      <c r="DK104" s="5" t="s">
        <v>240</v>
      </c>
      <c r="DL104" s="5" t="s">
        <v>240</v>
      </c>
      <c r="DP104" s="5" t="s">
        <v>240</v>
      </c>
      <c r="DQ104" s="5" t="s">
        <v>240</v>
      </c>
      <c r="DR104" s="5" t="s">
        <v>240</v>
      </c>
      <c r="DS104" s="5" t="s">
        <v>240</v>
      </c>
      <c r="DV104" s="5" t="s">
        <v>310</v>
      </c>
      <c r="DW104" s="5" t="s">
        <v>510</v>
      </c>
      <c r="HO104" s="5" t="s">
        <v>312</v>
      </c>
    </row>
    <row r="105" spans="1:223" x14ac:dyDescent="0.4">
      <c r="A105" s="5">
        <v>816</v>
      </c>
      <c r="B105" s="5">
        <v>1</v>
      </c>
      <c r="C105" s="5">
        <v>1</v>
      </c>
      <c r="D105" s="5" t="s">
        <v>1783</v>
      </c>
      <c r="E105" s="5" t="s">
        <v>418</v>
      </c>
      <c r="F105" s="5" t="s">
        <v>254</v>
      </c>
      <c r="G105" s="5" t="s">
        <v>240</v>
      </c>
      <c r="H105" s="6" t="s">
        <v>1791</v>
      </c>
      <c r="I105" s="5" t="s">
        <v>1782</v>
      </c>
      <c r="J105" s="8">
        <f>719</f>
        <v>719</v>
      </c>
      <c r="K105" s="5" t="s">
        <v>308</v>
      </c>
      <c r="L105" s="7">
        <f>76933</f>
        <v>76933</v>
      </c>
      <c r="M105" s="7">
        <f>76933</f>
        <v>76933</v>
      </c>
      <c r="N105" s="5" t="s">
        <v>242</v>
      </c>
      <c r="O105" s="5">
        <v>1</v>
      </c>
      <c r="P105" s="5" t="s">
        <v>294</v>
      </c>
      <c r="Q105" s="5" t="s">
        <v>266</v>
      </c>
      <c r="R105" s="5" t="s">
        <v>240</v>
      </c>
      <c r="S105" s="5" t="s">
        <v>240</v>
      </c>
      <c r="T105" s="5" t="s">
        <v>296</v>
      </c>
      <c r="U105" s="5" t="s">
        <v>244</v>
      </c>
      <c r="V105" s="5" t="s">
        <v>240</v>
      </c>
      <c r="Y105" s="5" t="s">
        <v>240</v>
      </c>
      <c r="Z105" s="6" t="s">
        <v>298</v>
      </c>
      <c r="AB105" s="6" t="s">
        <v>240</v>
      </c>
      <c r="AE105" s="6" t="s">
        <v>299</v>
      </c>
      <c r="AF105" s="5" t="s">
        <v>248</v>
      </c>
      <c r="AG105" s="5" t="s">
        <v>249</v>
      </c>
      <c r="AW105" s="5" t="s">
        <v>251</v>
      </c>
      <c r="AX105" s="5" t="s">
        <v>240</v>
      </c>
      <c r="AY105" s="5" t="s">
        <v>253</v>
      </c>
      <c r="AZ105" s="5" t="s">
        <v>240</v>
      </c>
      <c r="BA105" s="5" t="s">
        <v>255</v>
      </c>
      <c r="BB105" s="5" t="s">
        <v>240</v>
      </c>
      <c r="BD105" s="5" t="s">
        <v>240</v>
      </c>
      <c r="BF105" s="5" t="s">
        <v>301</v>
      </c>
      <c r="BG105" s="6" t="s">
        <v>299</v>
      </c>
      <c r="BH105" s="5" t="s">
        <v>302</v>
      </c>
      <c r="BI105" s="5" t="s">
        <v>303</v>
      </c>
      <c r="BJ105" s="5" t="s">
        <v>240</v>
      </c>
      <c r="BK105" s="8">
        <f>0</f>
        <v>0</v>
      </c>
      <c r="BL105" s="7">
        <f>0</f>
        <v>0</v>
      </c>
      <c r="BM105" s="5" t="s">
        <v>258</v>
      </c>
      <c r="BN105" s="5" t="s">
        <v>259</v>
      </c>
      <c r="CB105" s="5" t="s">
        <v>240</v>
      </c>
      <c r="CC105" s="5" t="s">
        <v>240</v>
      </c>
      <c r="CG105" s="5" t="s">
        <v>304</v>
      </c>
      <c r="CH105" s="5" t="s">
        <v>305</v>
      </c>
      <c r="CI105" s="5" t="s">
        <v>240</v>
      </c>
      <c r="CL105" s="6" t="s">
        <v>261</v>
      </c>
      <c r="CM105" s="5" t="s">
        <v>240</v>
      </c>
      <c r="CN105" s="5" t="s">
        <v>263</v>
      </c>
      <c r="CO105" s="5" t="s">
        <v>240</v>
      </c>
      <c r="CP105" s="5" t="s">
        <v>240</v>
      </c>
      <c r="CQ105" s="5">
        <v>0</v>
      </c>
      <c r="CR105" s="5" t="s">
        <v>306</v>
      </c>
      <c r="CS105" s="5" t="s">
        <v>307</v>
      </c>
      <c r="CT105" s="5" t="s">
        <v>307</v>
      </c>
      <c r="CU105" s="5" t="s">
        <v>260</v>
      </c>
      <c r="CX105" s="7">
        <f>1</f>
        <v>1</v>
      </c>
      <c r="CY105" s="7">
        <f>0</f>
        <v>0</v>
      </c>
      <c r="DA105" s="7">
        <f>0</f>
        <v>0</v>
      </c>
      <c r="DC105" s="5" t="s">
        <v>309</v>
      </c>
      <c r="DD105" s="5" t="s">
        <v>240</v>
      </c>
      <c r="DF105" s="5" t="s">
        <v>309</v>
      </c>
      <c r="DG105" s="7">
        <f>798</f>
        <v>798</v>
      </c>
      <c r="DI105" s="5" t="s">
        <v>240</v>
      </c>
      <c r="DJ105" s="5" t="s">
        <v>240</v>
      </c>
      <c r="DK105" s="5" t="s">
        <v>240</v>
      </c>
      <c r="DL105" s="5" t="s">
        <v>240</v>
      </c>
      <c r="DP105" s="5" t="s">
        <v>240</v>
      </c>
      <c r="DQ105" s="5" t="s">
        <v>240</v>
      </c>
      <c r="DR105" s="5" t="s">
        <v>240</v>
      </c>
      <c r="DS105" s="5" t="s">
        <v>240</v>
      </c>
      <c r="DV105" s="5" t="s">
        <v>310</v>
      </c>
      <c r="DW105" s="5" t="s">
        <v>512</v>
      </c>
      <c r="HO105" s="5" t="s">
        <v>312</v>
      </c>
    </row>
    <row r="106" spans="1:223" x14ac:dyDescent="0.4">
      <c r="A106" s="5">
        <v>817</v>
      </c>
      <c r="B106" s="5">
        <v>1</v>
      </c>
      <c r="C106" s="5">
        <v>1</v>
      </c>
      <c r="D106" s="5" t="s">
        <v>1783</v>
      </c>
      <c r="E106" s="5" t="s">
        <v>418</v>
      </c>
      <c r="F106" s="5" t="s">
        <v>254</v>
      </c>
      <c r="G106" s="5" t="s">
        <v>240</v>
      </c>
      <c r="H106" s="6" t="s">
        <v>1789</v>
      </c>
      <c r="I106" s="5" t="s">
        <v>1782</v>
      </c>
      <c r="J106" s="8">
        <f>296</f>
        <v>296</v>
      </c>
      <c r="K106" s="5" t="s">
        <v>308</v>
      </c>
      <c r="L106" s="7">
        <f>5624</f>
        <v>5624</v>
      </c>
      <c r="M106" s="7">
        <f>5624</f>
        <v>5624</v>
      </c>
      <c r="N106" s="5" t="s">
        <v>242</v>
      </c>
      <c r="O106" s="5">
        <v>1</v>
      </c>
      <c r="P106" s="5" t="s">
        <v>294</v>
      </c>
      <c r="Q106" s="5" t="s">
        <v>266</v>
      </c>
      <c r="R106" s="5" t="s">
        <v>240</v>
      </c>
      <c r="S106" s="5" t="s">
        <v>240</v>
      </c>
      <c r="T106" s="5" t="s">
        <v>296</v>
      </c>
      <c r="U106" s="5" t="s">
        <v>244</v>
      </c>
      <c r="V106" s="5" t="s">
        <v>240</v>
      </c>
      <c r="Y106" s="5" t="s">
        <v>240</v>
      </c>
      <c r="Z106" s="6" t="s">
        <v>298</v>
      </c>
      <c r="AB106" s="6" t="s">
        <v>240</v>
      </c>
      <c r="AE106" s="6" t="s">
        <v>299</v>
      </c>
      <c r="AF106" s="5" t="s">
        <v>248</v>
      </c>
      <c r="AG106" s="5" t="s">
        <v>249</v>
      </c>
      <c r="AW106" s="5" t="s">
        <v>251</v>
      </c>
      <c r="AX106" s="5" t="s">
        <v>240</v>
      </c>
      <c r="AY106" s="5" t="s">
        <v>253</v>
      </c>
      <c r="AZ106" s="5" t="s">
        <v>240</v>
      </c>
      <c r="BA106" s="5" t="s">
        <v>255</v>
      </c>
      <c r="BB106" s="5" t="s">
        <v>240</v>
      </c>
      <c r="BD106" s="5" t="s">
        <v>240</v>
      </c>
      <c r="BF106" s="5" t="s">
        <v>301</v>
      </c>
      <c r="BG106" s="6" t="s">
        <v>299</v>
      </c>
      <c r="BH106" s="5" t="s">
        <v>302</v>
      </c>
      <c r="BI106" s="5" t="s">
        <v>303</v>
      </c>
      <c r="BJ106" s="5" t="s">
        <v>240</v>
      </c>
      <c r="BK106" s="8">
        <f>0</f>
        <v>0</v>
      </c>
      <c r="BL106" s="7">
        <f>0</f>
        <v>0</v>
      </c>
      <c r="BM106" s="5" t="s">
        <v>258</v>
      </c>
      <c r="BN106" s="5" t="s">
        <v>259</v>
      </c>
      <c r="CB106" s="5" t="s">
        <v>240</v>
      </c>
      <c r="CC106" s="5" t="s">
        <v>240</v>
      </c>
      <c r="CG106" s="5" t="s">
        <v>304</v>
      </c>
      <c r="CH106" s="5" t="s">
        <v>305</v>
      </c>
      <c r="CI106" s="5" t="s">
        <v>240</v>
      </c>
      <c r="CL106" s="6" t="s">
        <v>261</v>
      </c>
      <c r="CM106" s="5" t="s">
        <v>240</v>
      </c>
      <c r="CN106" s="5" t="s">
        <v>263</v>
      </c>
      <c r="CO106" s="5" t="s">
        <v>240</v>
      </c>
      <c r="CP106" s="5" t="s">
        <v>240</v>
      </c>
      <c r="CQ106" s="5">
        <v>0</v>
      </c>
      <c r="CR106" s="5" t="s">
        <v>306</v>
      </c>
      <c r="CS106" s="5" t="s">
        <v>307</v>
      </c>
      <c r="CT106" s="5" t="s">
        <v>307</v>
      </c>
      <c r="CU106" s="5" t="s">
        <v>260</v>
      </c>
      <c r="CX106" s="7">
        <f>1</f>
        <v>1</v>
      </c>
      <c r="CY106" s="7">
        <f>0</f>
        <v>0</v>
      </c>
      <c r="DA106" s="7">
        <f>0</f>
        <v>0</v>
      </c>
      <c r="DC106" s="5" t="s">
        <v>309</v>
      </c>
      <c r="DD106" s="5" t="s">
        <v>240</v>
      </c>
      <c r="DF106" s="5" t="s">
        <v>309</v>
      </c>
      <c r="DG106" s="7">
        <f>3458</f>
        <v>3458</v>
      </c>
      <c r="DI106" s="5" t="s">
        <v>240</v>
      </c>
      <c r="DJ106" s="5" t="s">
        <v>240</v>
      </c>
      <c r="DK106" s="5" t="s">
        <v>240</v>
      </c>
      <c r="DL106" s="5" t="s">
        <v>240</v>
      </c>
      <c r="DP106" s="5" t="s">
        <v>240</v>
      </c>
      <c r="DQ106" s="5" t="s">
        <v>240</v>
      </c>
      <c r="DR106" s="5" t="s">
        <v>240</v>
      </c>
      <c r="DS106" s="5" t="s">
        <v>240</v>
      </c>
      <c r="DV106" s="5" t="s">
        <v>310</v>
      </c>
      <c r="DW106" s="5" t="s">
        <v>514</v>
      </c>
      <c r="HO106" s="5" t="s">
        <v>312</v>
      </c>
    </row>
    <row r="107" spans="1:223" x14ac:dyDescent="0.4">
      <c r="A107" s="5">
        <v>818</v>
      </c>
      <c r="B107" s="5">
        <v>1</v>
      </c>
      <c r="C107" s="5">
        <v>1</v>
      </c>
      <c r="D107" s="5" t="s">
        <v>1783</v>
      </c>
      <c r="E107" s="5" t="s">
        <v>418</v>
      </c>
      <c r="F107" s="5" t="s">
        <v>254</v>
      </c>
      <c r="G107" s="5" t="s">
        <v>240</v>
      </c>
      <c r="H107" s="6" t="s">
        <v>1788</v>
      </c>
      <c r="I107" s="5" t="s">
        <v>1782</v>
      </c>
      <c r="J107" s="8">
        <f>2879</f>
        <v>2879</v>
      </c>
      <c r="K107" s="5" t="s">
        <v>308</v>
      </c>
      <c r="L107" s="7">
        <f>9500700</f>
        <v>9500700</v>
      </c>
      <c r="M107" s="7">
        <f>9500700</f>
        <v>9500700</v>
      </c>
      <c r="N107" s="5" t="s">
        <v>242</v>
      </c>
      <c r="O107" s="5">
        <v>1</v>
      </c>
      <c r="P107" s="5" t="s">
        <v>294</v>
      </c>
      <c r="Q107" s="5" t="s">
        <v>266</v>
      </c>
      <c r="R107" s="5" t="s">
        <v>240</v>
      </c>
      <c r="S107" s="5" t="s">
        <v>240</v>
      </c>
      <c r="T107" s="5" t="s">
        <v>296</v>
      </c>
      <c r="U107" s="5" t="s">
        <v>244</v>
      </c>
      <c r="V107" s="5" t="s">
        <v>240</v>
      </c>
      <c r="Y107" s="5" t="s">
        <v>240</v>
      </c>
      <c r="Z107" s="6" t="s">
        <v>298</v>
      </c>
      <c r="AB107" s="6" t="s">
        <v>240</v>
      </c>
      <c r="AE107" s="6" t="s">
        <v>299</v>
      </c>
      <c r="AF107" s="5" t="s">
        <v>248</v>
      </c>
      <c r="AG107" s="5" t="s">
        <v>249</v>
      </c>
      <c r="AW107" s="5" t="s">
        <v>251</v>
      </c>
      <c r="AX107" s="5" t="s">
        <v>240</v>
      </c>
      <c r="AY107" s="5" t="s">
        <v>253</v>
      </c>
      <c r="AZ107" s="5" t="s">
        <v>240</v>
      </c>
      <c r="BA107" s="5" t="s">
        <v>255</v>
      </c>
      <c r="BB107" s="5" t="s">
        <v>240</v>
      </c>
      <c r="BD107" s="5" t="s">
        <v>240</v>
      </c>
      <c r="BF107" s="5" t="s">
        <v>301</v>
      </c>
      <c r="BG107" s="6" t="s">
        <v>299</v>
      </c>
      <c r="BH107" s="5" t="s">
        <v>302</v>
      </c>
      <c r="BI107" s="5" t="s">
        <v>303</v>
      </c>
      <c r="BJ107" s="5" t="s">
        <v>240</v>
      </c>
      <c r="BK107" s="8">
        <f>0</f>
        <v>0</v>
      </c>
      <c r="BL107" s="7">
        <f>0</f>
        <v>0</v>
      </c>
      <c r="BM107" s="5" t="s">
        <v>258</v>
      </c>
      <c r="BN107" s="5" t="s">
        <v>259</v>
      </c>
      <c r="CB107" s="5" t="s">
        <v>240</v>
      </c>
      <c r="CC107" s="5" t="s">
        <v>240</v>
      </c>
      <c r="CG107" s="5" t="s">
        <v>304</v>
      </c>
      <c r="CH107" s="5" t="s">
        <v>305</v>
      </c>
      <c r="CI107" s="5" t="s">
        <v>240</v>
      </c>
      <c r="CL107" s="6" t="s">
        <v>261</v>
      </c>
      <c r="CM107" s="5" t="s">
        <v>240</v>
      </c>
      <c r="CN107" s="5" t="s">
        <v>263</v>
      </c>
      <c r="CO107" s="5" t="s">
        <v>240</v>
      </c>
      <c r="CP107" s="5" t="s">
        <v>240</v>
      </c>
      <c r="CQ107" s="5">
        <v>0</v>
      </c>
      <c r="CR107" s="5" t="s">
        <v>306</v>
      </c>
      <c r="CS107" s="5" t="s">
        <v>307</v>
      </c>
      <c r="CT107" s="5" t="s">
        <v>307</v>
      </c>
      <c r="CU107" s="5" t="s">
        <v>260</v>
      </c>
      <c r="CX107" s="7">
        <f>1</f>
        <v>1</v>
      </c>
      <c r="CY107" s="7">
        <f>0</f>
        <v>0</v>
      </c>
      <c r="DA107" s="7">
        <f>0</f>
        <v>0</v>
      </c>
      <c r="DC107" s="5" t="s">
        <v>309</v>
      </c>
      <c r="DD107" s="5" t="s">
        <v>240</v>
      </c>
      <c r="DF107" s="5" t="s">
        <v>309</v>
      </c>
      <c r="DG107" s="7">
        <f>658</f>
        <v>658</v>
      </c>
      <c r="DI107" s="5" t="s">
        <v>240</v>
      </c>
      <c r="DJ107" s="5" t="s">
        <v>240</v>
      </c>
      <c r="DK107" s="5" t="s">
        <v>240</v>
      </c>
      <c r="DL107" s="5" t="s">
        <v>240</v>
      </c>
      <c r="DP107" s="5" t="s">
        <v>240</v>
      </c>
      <c r="DQ107" s="5" t="s">
        <v>240</v>
      </c>
      <c r="DR107" s="5" t="s">
        <v>240</v>
      </c>
      <c r="DS107" s="5" t="s">
        <v>240</v>
      </c>
      <c r="DV107" s="5" t="s">
        <v>310</v>
      </c>
      <c r="DW107" s="5" t="s">
        <v>516</v>
      </c>
      <c r="HO107" s="5" t="s">
        <v>312</v>
      </c>
    </row>
    <row r="108" spans="1:223" x14ac:dyDescent="0.4">
      <c r="A108" s="5">
        <v>819</v>
      </c>
      <c r="B108" s="5">
        <v>1</v>
      </c>
      <c r="C108" s="5">
        <v>1</v>
      </c>
      <c r="D108" s="5" t="s">
        <v>1783</v>
      </c>
      <c r="E108" s="5" t="s">
        <v>418</v>
      </c>
      <c r="F108" s="5" t="s">
        <v>254</v>
      </c>
      <c r="G108" s="5" t="s">
        <v>240</v>
      </c>
      <c r="H108" s="6" t="s">
        <v>1787</v>
      </c>
      <c r="I108" s="5" t="s">
        <v>1782</v>
      </c>
      <c r="J108" s="8">
        <f>854</f>
        <v>854</v>
      </c>
      <c r="K108" s="5" t="s">
        <v>308</v>
      </c>
      <c r="L108" s="7">
        <f>36722</f>
        <v>36722</v>
      </c>
      <c r="M108" s="7">
        <f>36722</f>
        <v>36722</v>
      </c>
      <c r="N108" s="5" t="s">
        <v>242</v>
      </c>
      <c r="O108" s="5">
        <v>1</v>
      </c>
      <c r="P108" s="5" t="s">
        <v>294</v>
      </c>
      <c r="Q108" s="5" t="s">
        <v>266</v>
      </c>
      <c r="R108" s="5" t="s">
        <v>240</v>
      </c>
      <c r="S108" s="5" t="s">
        <v>240</v>
      </c>
      <c r="T108" s="5" t="s">
        <v>296</v>
      </c>
      <c r="U108" s="5" t="s">
        <v>244</v>
      </c>
      <c r="V108" s="5" t="s">
        <v>240</v>
      </c>
      <c r="Y108" s="5" t="s">
        <v>240</v>
      </c>
      <c r="Z108" s="6" t="s">
        <v>298</v>
      </c>
      <c r="AB108" s="6" t="s">
        <v>240</v>
      </c>
      <c r="AE108" s="6" t="s">
        <v>299</v>
      </c>
      <c r="AF108" s="5" t="s">
        <v>248</v>
      </c>
      <c r="AG108" s="5" t="s">
        <v>249</v>
      </c>
      <c r="AW108" s="5" t="s">
        <v>251</v>
      </c>
      <c r="AX108" s="5" t="s">
        <v>240</v>
      </c>
      <c r="AY108" s="5" t="s">
        <v>253</v>
      </c>
      <c r="AZ108" s="5" t="s">
        <v>240</v>
      </c>
      <c r="BA108" s="5" t="s">
        <v>255</v>
      </c>
      <c r="BB108" s="5" t="s">
        <v>240</v>
      </c>
      <c r="BD108" s="5" t="s">
        <v>240</v>
      </c>
      <c r="BF108" s="5" t="s">
        <v>301</v>
      </c>
      <c r="BG108" s="6" t="s">
        <v>299</v>
      </c>
      <c r="BH108" s="5" t="s">
        <v>302</v>
      </c>
      <c r="BI108" s="5" t="s">
        <v>303</v>
      </c>
      <c r="BJ108" s="5" t="s">
        <v>240</v>
      </c>
      <c r="BK108" s="8">
        <f>0</f>
        <v>0</v>
      </c>
      <c r="BL108" s="7">
        <f>0</f>
        <v>0</v>
      </c>
      <c r="BM108" s="5" t="s">
        <v>258</v>
      </c>
      <c r="BN108" s="5" t="s">
        <v>259</v>
      </c>
      <c r="CB108" s="5" t="s">
        <v>240</v>
      </c>
      <c r="CC108" s="5" t="s">
        <v>240</v>
      </c>
      <c r="CG108" s="5" t="s">
        <v>304</v>
      </c>
      <c r="CH108" s="5" t="s">
        <v>305</v>
      </c>
      <c r="CI108" s="5" t="s">
        <v>240</v>
      </c>
      <c r="CL108" s="6" t="s">
        <v>261</v>
      </c>
      <c r="CM108" s="5" t="s">
        <v>240</v>
      </c>
      <c r="CN108" s="5" t="s">
        <v>263</v>
      </c>
      <c r="CO108" s="5" t="s">
        <v>240</v>
      </c>
      <c r="CP108" s="5" t="s">
        <v>240</v>
      </c>
      <c r="CQ108" s="5">
        <v>0</v>
      </c>
      <c r="CR108" s="5" t="s">
        <v>306</v>
      </c>
      <c r="CS108" s="5" t="s">
        <v>307</v>
      </c>
      <c r="CT108" s="5" t="s">
        <v>307</v>
      </c>
      <c r="CU108" s="5" t="s">
        <v>260</v>
      </c>
      <c r="CX108" s="7">
        <f>1</f>
        <v>1</v>
      </c>
      <c r="CY108" s="7">
        <f>0</f>
        <v>0</v>
      </c>
      <c r="DA108" s="7">
        <f>0</f>
        <v>0</v>
      </c>
      <c r="DC108" s="5" t="s">
        <v>309</v>
      </c>
      <c r="DD108" s="5" t="s">
        <v>240</v>
      </c>
      <c r="DF108" s="5" t="s">
        <v>309</v>
      </c>
      <c r="DG108" s="7">
        <f>1453</f>
        <v>1453</v>
      </c>
      <c r="DI108" s="5" t="s">
        <v>240</v>
      </c>
      <c r="DJ108" s="5" t="s">
        <v>240</v>
      </c>
      <c r="DK108" s="5" t="s">
        <v>240</v>
      </c>
      <c r="DL108" s="5" t="s">
        <v>240</v>
      </c>
      <c r="DP108" s="5" t="s">
        <v>240</v>
      </c>
      <c r="DQ108" s="5" t="s">
        <v>240</v>
      </c>
      <c r="DR108" s="5" t="s">
        <v>240</v>
      </c>
      <c r="DS108" s="5" t="s">
        <v>240</v>
      </c>
      <c r="DV108" s="5" t="s">
        <v>310</v>
      </c>
      <c r="DW108" s="5" t="s">
        <v>518</v>
      </c>
      <c r="HO108" s="5" t="s">
        <v>312</v>
      </c>
    </row>
    <row r="109" spans="1:223" x14ac:dyDescent="0.4">
      <c r="A109" s="5">
        <v>820</v>
      </c>
      <c r="B109" s="5">
        <v>1</v>
      </c>
      <c r="C109" s="5">
        <v>1</v>
      </c>
      <c r="D109" s="5" t="s">
        <v>1783</v>
      </c>
      <c r="E109" s="5" t="s">
        <v>418</v>
      </c>
      <c r="F109" s="5" t="s">
        <v>254</v>
      </c>
      <c r="G109" s="5" t="s">
        <v>240</v>
      </c>
      <c r="H109" s="6" t="s">
        <v>1786</v>
      </c>
      <c r="I109" s="5" t="s">
        <v>1782</v>
      </c>
      <c r="J109" s="8">
        <f>225</f>
        <v>225</v>
      </c>
      <c r="K109" s="5" t="s">
        <v>308</v>
      </c>
      <c r="L109" s="7">
        <f>6300</f>
        <v>6300</v>
      </c>
      <c r="M109" s="7">
        <f>6300</f>
        <v>6300</v>
      </c>
      <c r="N109" s="5" t="s">
        <v>242</v>
      </c>
      <c r="O109" s="5">
        <v>1</v>
      </c>
      <c r="P109" s="5" t="s">
        <v>294</v>
      </c>
      <c r="Q109" s="5" t="s">
        <v>266</v>
      </c>
      <c r="R109" s="5" t="s">
        <v>240</v>
      </c>
      <c r="S109" s="5" t="s">
        <v>240</v>
      </c>
      <c r="T109" s="5" t="s">
        <v>296</v>
      </c>
      <c r="U109" s="5" t="s">
        <v>244</v>
      </c>
      <c r="V109" s="5" t="s">
        <v>240</v>
      </c>
      <c r="Y109" s="5" t="s">
        <v>240</v>
      </c>
      <c r="Z109" s="6" t="s">
        <v>298</v>
      </c>
      <c r="AB109" s="6" t="s">
        <v>240</v>
      </c>
      <c r="AE109" s="6" t="s">
        <v>299</v>
      </c>
      <c r="AF109" s="5" t="s">
        <v>248</v>
      </c>
      <c r="AG109" s="5" t="s">
        <v>249</v>
      </c>
      <c r="AW109" s="5" t="s">
        <v>251</v>
      </c>
      <c r="AX109" s="5" t="s">
        <v>240</v>
      </c>
      <c r="AY109" s="5" t="s">
        <v>253</v>
      </c>
      <c r="AZ109" s="5" t="s">
        <v>240</v>
      </c>
      <c r="BA109" s="5" t="s">
        <v>255</v>
      </c>
      <c r="BB109" s="5" t="s">
        <v>240</v>
      </c>
      <c r="BD109" s="5" t="s">
        <v>240</v>
      </c>
      <c r="BF109" s="5" t="s">
        <v>301</v>
      </c>
      <c r="BG109" s="6" t="s">
        <v>299</v>
      </c>
      <c r="BH109" s="5" t="s">
        <v>302</v>
      </c>
      <c r="BI109" s="5" t="s">
        <v>303</v>
      </c>
      <c r="BJ109" s="5" t="s">
        <v>240</v>
      </c>
      <c r="BK109" s="8">
        <f>0</f>
        <v>0</v>
      </c>
      <c r="BL109" s="7">
        <f>0</f>
        <v>0</v>
      </c>
      <c r="BM109" s="5" t="s">
        <v>258</v>
      </c>
      <c r="BN109" s="5" t="s">
        <v>259</v>
      </c>
      <c r="CB109" s="5" t="s">
        <v>240</v>
      </c>
      <c r="CC109" s="5" t="s">
        <v>240</v>
      </c>
      <c r="CG109" s="5" t="s">
        <v>304</v>
      </c>
      <c r="CH109" s="5" t="s">
        <v>305</v>
      </c>
      <c r="CI109" s="5" t="s">
        <v>240</v>
      </c>
      <c r="CL109" s="6" t="s">
        <v>261</v>
      </c>
      <c r="CM109" s="5" t="s">
        <v>240</v>
      </c>
      <c r="CN109" s="5" t="s">
        <v>263</v>
      </c>
      <c r="CO109" s="5" t="s">
        <v>240</v>
      </c>
      <c r="CP109" s="5" t="s">
        <v>240</v>
      </c>
      <c r="CQ109" s="5">
        <v>0</v>
      </c>
      <c r="CR109" s="5" t="s">
        <v>306</v>
      </c>
      <c r="CS109" s="5" t="s">
        <v>307</v>
      </c>
      <c r="CT109" s="5" t="s">
        <v>307</v>
      </c>
      <c r="CU109" s="5" t="s">
        <v>260</v>
      </c>
      <c r="CX109" s="7">
        <f>1</f>
        <v>1</v>
      </c>
      <c r="CY109" s="7">
        <f>0</f>
        <v>0</v>
      </c>
      <c r="DA109" s="7">
        <f>0</f>
        <v>0</v>
      </c>
      <c r="DC109" s="5" t="s">
        <v>309</v>
      </c>
      <c r="DD109" s="5" t="s">
        <v>240</v>
      </c>
      <c r="DF109" s="5" t="s">
        <v>309</v>
      </c>
      <c r="DG109" s="7">
        <f>745</f>
        <v>745</v>
      </c>
      <c r="DI109" s="5" t="s">
        <v>240</v>
      </c>
      <c r="DJ109" s="5" t="s">
        <v>240</v>
      </c>
      <c r="DK109" s="5" t="s">
        <v>240</v>
      </c>
      <c r="DL109" s="5" t="s">
        <v>240</v>
      </c>
      <c r="DP109" s="5" t="s">
        <v>240</v>
      </c>
      <c r="DQ109" s="5" t="s">
        <v>240</v>
      </c>
      <c r="DR109" s="5" t="s">
        <v>240</v>
      </c>
      <c r="DS109" s="5" t="s">
        <v>240</v>
      </c>
      <c r="DV109" s="5" t="s">
        <v>310</v>
      </c>
      <c r="DW109" s="5" t="s">
        <v>520</v>
      </c>
      <c r="HO109" s="5" t="s">
        <v>312</v>
      </c>
    </row>
    <row r="110" spans="1:223" x14ac:dyDescent="0.4">
      <c r="A110" s="5">
        <v>821</v>
      </c>
      <c r="B110" s="5">
        <v>1</v>
      </c>
      <c r="C110" s="5">
        <v>1</v>
      </c>
      <c r="D110" s="5" t="s">
        <v>1783</v>
      </c>
      <c r="E110" s="5" t="s">
        <v>418</v>
      </c>
      <c r="F110" s="5" t="s">
        <v>254</v>
      </c>
      <c r="G110" s="5" t="s">
        <v>240</v>
      </c>
      <c r="H110" s="6" t="s">
        <v>1784</v>
      </c>
      <c r="I110" s="5" t="s">
        <v>1782</v>
      </c>
      <c r="J110" s="8">
        <f>251</f>
        <v>251</v>
      </c>
      <c r="K110" s="5" t="s">
        <v>308</v>
      </c>
      <c r="L110" s="7">
        <f>555965</f>
        <v>555965</v>
      </c>
      <c r="M110" s="7">
        <f>555965</f>
        <v>555965</v>
      </c>
      <c r="N110" s="5" t="s">
        <v>242</v>
      </c>
      <c r="O110" s="5">
        <v>1</v>
      </c>
      <c r="P110" s="5" t="s">
        <v>294</v>
      </c>
      <c r="Q110" s="5" t="s">
        <v>266</v>
      </c>
      <c r="R110" s="5" t="s">
        <v>240</v>
      </c>
      <c r="S110" s="5" t="s">
        <v>240</v>
      </c>
      <c r="T110" s="5" t="s">
        <v>296</v>
      </c>
      <c r="U110" s="5" t="s">
        <v>244</v>
      </c>
      <c r="V110" s="5" t="s">
        <v>240</v>
      </c>
      <c r="Y110" s="5" t="s">
        <v>240</v>
      </c>
      <c r="Z110" s="6" t="s">
        <v>298</v>
      </c>
      <c r="AB110" s="6" t="s">
        <v>240</v>
      </c>
      <c r="AE110" s="6" t="s">
        <v>299</v>
      </c>
      <c r="AF110" s="5" t="s">
        <v>248</v>
      </c>
      <c r="AG110" s="5" t="s">
        <v>249</v>
      </c>
      <c r="AW110" s="5" t="s">
        <v>251</v>
      </c>
      <c r="AX110" s="5" t="s">
        <v>240</v>
      </c>
      <c r="AY110" s="5" t="s">
        <v>253</v>
      </c>
      <c r="AZ110" s="5" t="s">
        <v>240</v>
      </c>
      <c r="BA110" s="5" t="s">
        <v>255</v>
      </c>
      <c r="BB110" s="5" t="s">
        <v>240</v>
      </c>
      <c r="BD110" s="5" t="s">
        <v>240</v>
      </c>
      <c r="BF110" s="5" t="s">
        <v>301</v>
      </c>
      <c r="BG110" s="6" t="s">
        <v>299</v>
      </c>
      <c r="BH110" s="5" t="s">
        <v>302</v>
      </c>
      <c r="BI110" s="5" t="s">
        <v>303</v>
      </c>
      <c r="BJ110" s="5" t="s">
        <v>240</v>
      </c>
      <c r="BK110" s="8">
        <f>0</f>
        <v>0</v>
      </c>
      <c r="BL110" s="7">
        <f>0</f>
        <v>0</v>
      </c>
      <c r="BM110" s="5" t="s">
        <v>258</v>
      </c>
      <c r="BN110" s="5" t="s">
        <v>259</v>
      </c>
      <c r="CB110" s="5" t="s">
        <v>240</v>
      </c>
      <c r="CC110" s="5" t="s">
        <v>240</v>
      </c>
      <c r="CG110" s="5" t="s">
        <v>304</v>
      </c>
      <c r="CH110" s="5" t="s">
        <v>305</v>
      </c>
      <c r="CI110" s="5" t="s">
        <v>240</v>
      </c>
      <c r="CL110" s="6" t="s">
        <v>261</v>
      </c>
      <c r="CM110" s="5" t="s">
        <v>240</v>
      </c>
      <c r="CN110" s="5" t="s">
        <v>263</v>
      </c>
      <c r="CO110" s="5" t="s">
        <v>240</v>
      </c>
      <c r="CP110" s="5" t="s">
        <v>240</v>
      </c>
      <c r="CQ110" s="5">
        <v>0</v>
      </c>
      <c r="CR110" s="5" t="s">
        <v>306</v>
      </c>
      <c r="CS110" s="5" t="s">
        <v>307</v>
      </c>
      <c r="CT110" s="5" t="s">
        <v>307</v>
      </c>
      <c r="CU110" s="5" t="s">
        <v>260</v>
      </c>
      <c r="CX110" s="7">
        <f>1</f>
        <v>1</v>
      </c>
      <c r="CY110" s="7">
        <f>0</f>
        <v>0</v>
      </c>
      <c r="DA110" s="7">
        <f>0</f>
        <v>0</v>
      </c>
      <c r="DC110" s="5" t="s">
        <v>309</v>
      </c>
      <c r="DD110" s="5" t="s">
        <v>240</v>
      </c>
      <c r="DF110" s="5" t="s">
        <v>309</v>
      </c>
      <c r="DG110" s="7">
        <f>421</f>
        <v>421</v>
      </c>
      <c r="DI110" s="5" t="s">
        <v>240</v>
      </c>
      <c r="DJ110" s="5" t="s">
        <v>240</v>
      </c>
      <c r="DK110" s="5" t="s">
        <v>240</v>
      </c>
      <c r="DL110" s="5" t="s">
        <v>240</v>
      </c>
      <c r="DP110" s="5" t="s">
        <v>240</v>
      </c>
      <c r="DQ110" s="5" t="s">
        <v>240</v>
      </c>
      <c r="DR110" s="5" t="s">
        <v>240</v>
      </c>
      <c r="DS110" s="5" t="s">
        <v>240</v>
      </c>
      <c r="DV110" s="5" t="s">
        <v>310</v>
      </c>
      <c r="DW110" s="5" t="s">
        <v>522</v>
      </c>
      <c r="HO110" s="5" t="s">
        <v>312</v>
      </c>
    </row>
    <row r="111" spans="1:223" x14ac:dyDescent="0.4">
      <c r="A111" s="5">
        <v>822</v>
      </c>
      <c r="B111" s="5">
        <v>1</v>
      </c>
      <c r="C111" s="5">
        <v>1</v>
      </c>
      <c r="D111" s="5" t="s">
        <v>2133</v>
      </c>
      <c r="E111" s="5" t="s">
        <v>418</v>
      </c>
      <c r="F111" s="5" t="s">
        <v>254</v>
      </c>
      <c r="G111" s="5" t="s">
        <v>240</v>
      </c>
      <c r="H111" s="6" t="s">
        <v>2134</v>
      </c>
      <c r="I111" s="5" t="s">
        <v>2132</v>
      </c>
      <c r="J111" s="8">
        <f>690</f>
        <v>690</v>
      </c>
      <c r="K111" s="5" t="s">
        <v>308</v>
      </c>
      <c r="L111" s="7">
        <f>1528350</f>
        <v>1528350</v>
      </c>
      <c r="M111" s="7">
        <f>1528350</f>
        <v>1528350</v>
      </c>
      <c r="N111" s="5" t="s">
        <v>242</v>
      </c>
      <c r="O111" s="5">
        <v>1</v>
      </c>
      <c r="P111" s="5" t="s">
        <v>294</v>
      </c>
      <c r="Q111" s="5" t="s">
        <v>266</v>
      </c>
      <c r="R111" s="5" t="s">
        <v>240</v>
      </c>
      <c r="S111" s="5" t="s">
        <v>240</v>
      </c>
      <c r="T111" s="5" t="s">
        <v>296</v>
      </c>
      <c r="U111" s="5" t="s">
        <v>244</v>
      </c>
      <c r="V111" s="5" t="s">
        <v>240</v>
      </c>
      <c r="Y111" s="5" t="s">
        <v>240</v>
      </c>
      <c r="Z111" s="6" t="s">
        <v>298</v>
      </c>
      <c r="AB111" s="6" t="s">
        <v>240</v>
      </c>
      <c r="AE111" s="6" t="s">
        <v>299</v>
      </c>
      <c r="AF111" s="5" t="s">
        <v>248</v>
      </c>
      <c r="AG111" s="5" t="s">
        <v>249</v>
      </c>
      <c r="AW111" s="5" t="s">
        <v>251</v>
      </c>
      <c r="AX111" s="5" t="s">
        <v>240</v>
      </c>
      <c r="AY111" s="5" t="s">
        <v>253</v>
      </c>
      <c r="AZ111" s="5" t="s">
        <v>240</v>
      </c>
      <c r="BA111" s="5" t="s">
        <v>255</v>
      </c>
      <c r="BB111" s="5" t="s">
        <v>240</v>
      </c>
      <c r="BD111" s="5" t="s">
        <v>240</v>
      </c>
      <c r="BF111" s="5" t="s">
        <v>301</v>
      </c>
      <c r="BG111" s="6" t="s">
        <v>299</v>
      </c>
      <c r="BH111" s="5" t="s">
        <v>302</v>
      </c>
      <c r="BI111" s="5" t="s">
        <v>303</v>
      </c>
      <c r="BJ111" s="5" t="s">
        <v>240</v>
      </c>
      <c r="BK111" s="8">
        <f>0</f>
        <v>0</v>
      </c>
      <c r="BL111" s="7">
        <f>0</f>
        <v>0</v>
      </c>
      <c r="BM111" s="5" t="s">
        <v>258</v>
      </c>
      <c r="BN111" s="5" t="s">
        <v>259</v>
      </c>
      <c r="CB111" s="5" t="s">
        <v>240</v>
      </c>
      <c r="CC111" s="5" t="s">
        <v>240</v>
      </c>
      <c r="CG111" s="5" t="s">
        <v>304</v>
      </c>
      <c r="CH111" s="5" t="s">
        <v>305</v>
      </c>
      <c r="CI111" s="5" t="s">
        <v>240</v>
      </c>
      <c r="CL111" s="6" t="s">
        <v>261</v>
      </c>
      <c r="CM111" s="5" t="s">
        <v>240</v>
      </c>
      <c r="CN111" s="5" t="s">
        <v>263</v>
      </c>
      <c r="CO111" s="5" t="s">
        <v>240</v>
      </c>
      <c r="CP111" s="5" t="s">
        <v>240</v>
      </c>
      <c r="CQ111" s="5">
        <v>0</v>
      </c>
      <c r="CR111" s="5" t="s">
        <v>306</v>
      </c>
      <c r="CS111" s="5" t="s">
        <v>307</v>
      </c>
      <c r="CT111" s="5" t="s">
        <v>307</v>
      </c>
      <c r="CU111" s="5" t="s">
        <v>260</v>
      </c>
      <c r="CX111" s="7">
        <f>1</f>
        <v>1</v>
      </c>
      <c r="CY111" s="7">
        <f>0</f>
        <v>0</v>
      </c>
      <c r="DA111" s="7">
        <f>0</f>
        <v>0</v>
      </c>
      <c r="DC111" s="5" t="s">
        <v>309</v>
      </c>
      <c r="DD111" s="5" t="s">
        <v>240</v>
      </c>
      <c r="DF111" s="5" t="s">
        <v>309</v>
      </c>
      <c r="DG111" s="7">
        <f>215</f>
        <v>215</v>
      </c>
      <c r="DI111" s="5" t="s">
        <v>240</v>
      </c>
      <c r="DJ111" s="5" t="s">
        <v>240</v>
      </c>
      <c r="DK111" s="5" t="s">
        <v>240</v>
      </c>
      <c r="DL111" s="5" t="s">
        <v>240</v>
      </c>
      <c r="DP111" s="5" t="s">
        <v>240</v>
      </c>
      <c r="DQ111" s="5" t="s">
        <v>240</v>
      </c>
      <c r="DR111" s="5" t="s">
        <v>240</v>
      </c>
      <c r="DS111" s="5" t="s">
        <v>240</v>
      </c>
      <c r="DV111" s="5" t="s">
        <v>310</v>
      </c>
      <c r="DW111" s="5" t="s">
        <v>524</v>
      </c>
      <c r="HO111" s="5" t="s">
        <v>312</v>
      </c>
    </row>
    <row r="112" spans="1:223" x14ac:dyDescent="0.4">
      <c r="A112" s="5">
        <v>823</v>
      </c>
      <c r="B112" s="5">
        <v>1</v>
      </c>
      <c r="C112" s="5">
        <v>1</v>
      </c>
      <c r="D112" s="5" t="s">
        <v>2133</v>
      </c>
      <c r="E112" s="5" t="s">
        <v>418</v>
      </c>
      <c r="F112" s="5" t="s">
        <v>254</v>
      </c>
      <c r="G112" s="5" t="s">
        <v>240</v>
      </c>
      <c r="H112" s="6" t="s">
        <v>4496</v>
      </c>
      <c r="I112" s="5" t="s">
        <v>2132</v>
      </c>
      <c r="J112" s="8">
        <f>2997</f>
        <v>2997</v>
      </c>
      <c r="K112" s="5" t="s">
        <v>308</v>
      </c>
      <c r="L112" s="7">
        <f>6638355</f>
        <v>6638355</v>
      </c>
      <c r="M112" s="7">
        <f>6638355</f>
        <v>6638355</v>
      </c>
      <c r="N112" s="5" t="s">
        <v>242</v>
      </c>
      <c r="O112" s="5">
        <v>1</v>
      </c>
      <c r="P112" s="5" t="s">
        <v>294</v>
      </c>
      <c r="Q112" s="5" t="s">
        <v>266</v>
      </c>
      <c r="R112" s="5" t="s">
        <v>240</v>
      </c>
      <c r="S112" s="5" t="s">
        <v>240</v>
      </c>
      <c r="T112" s="5" t="s">
        <v>296</v>
      </c>
      <c r="U112" s="5" t="s">
        <v>244</v>
      </c>
      <c r="V112" s="5" t="s">
        <v>240</v>
      </c>
      <c r="Y112" s="5" t="s">
        <v>240</v>
      </c>
      <c r="Z112" s="6" t="s">
        <v>298</v>
      </c>
      <c r="AB112" s="6" t="s">
        <v>240</v>
      </c>
      <c r="AE112" s="6" t="s">
        <v>299</v>
      </c>
      <c r="AF112" s="5" t="s">
        <v>248</v>
      </c>
      <c r="AG112" s="5" t="s">
        <v>249</v>
      </c>
      <c r="AW112" s="5" t="s">
        <v>251</v>
      </c>
      <c r="AX112" s="5" t="s">
        <v>240</v>
      </c>
      <c r="AY112" s="5" t="s">
        <v>253</v>
      </c>
      <c r="AZ112" s="5" t="s">
        <v>240</v>
      </c>
      <c r="BA112" s="5" t="s">
        <v>255</v>
      </c>
      <c r="BB112" s="5" t="s">
        <v>240</v>
      </c>
      <c r="BD112" s="5" t="s">
        <v>240</v>
      </c>
      <c r="BF112" s="5" t="s">
        <v>301</v>
      </c>
      <c r="BG112" s="6" t="s">
        <v>299</v>
      </c>
      <c r="BH112" s="5" t="s">
        <v>302</v>
      </c>
      <c r="BI112" s="5" t="s">
        <v>303</v>
      </c>
      <c r="BJ112" s="5" t="s">
        <v>240</v>
      </c>
      <c r="BK112" s="8">
        <f>0</f>
        <v>0</v>
      </c>
      <c r="BL112" s="7">
        <f>0</f>
        <v>0</v>
      </c>
      <c r="BM112" s="5" t="s">
        <v>258</v>
      </c>
      <c r="BN112" s="5" t="s">
        <v>259</v>
      </c>
      <c r="CB112" s="5" t="s">
        <v>240</v>
      </c>
      <c r="CC112" s="5" t="s">
        <v>240</v>
      </c>
      <c r="CG112" s="5" t="s">
        <v>304</v>
      </c>
      <c r="CH112" s="5" t="s">
        <v>305</v>
      </c>
      <c r="CI112" s="5" t="s">
        <v>240</v>
      </c>
      <c r="CL112" s="6" t="s">
        <v>261</v>
      </c>
      <c r="CM112" s="5" t="s">
        <v>240</v>
      </c>
      <c r="CN112" s="5" t="s">
        <v>263</v>
      </c>
      <c r="CO112" s="5" t="s">
        <v>240</v>
      </c>
      <c r="CP112" s="5" t="s">
        <v>240</v>
      </c>
      <c r="CQ112" s="5">
        <v>0</v>
      </c>
      <c r="CR112" s="5" t="s">
        <v>306</v>
      </c>
      <c r="CS112" s="5" t="s">
        <v>307</v>
      </c>
      <c r="CT112" s="5" t="s">
        <v>307</v>
      </c>
      <c r="CU112" s="5" t="s">
        <v>260</v>
      </c>
      <c r="CX112" s="7">
        <f>1</f>
        <v>1</v>
      </c>
      <c r="CY112" s="7">
        <f>0</f>
        <v>0</v>
      </c>
      <c r="DA112" s="7">
        <f>0</f>
        <v>0</v>
      </c>
      <c r="DC112" s="5" t="s">
        <v>309</v>
      </c>
      <c r="DD112" s="5" t="s">
        <v>240</v>
      </c>
      <c r="DF112" s="5" t="s">
        <v>309</v>
      </c>
      <c r="DG112" s="7">
        <f>1686</f>
        <v>1686</v>
      </c>
      <c r="DI112" s="5" t="s">
        <v>240</v>
      </c>
      <c r="DJ112" s="5" t="s">
        <v>240</v>
      </c>
      <c r="DK112" s="5" t="s">
        <v>240</v>
      </c>
      <c r="DL112" s="5" t="s">
        <v>240</v>
      </c>
      <c r="DP112" s="5" t="s">
        <v>240</v>
      </c>
      <c r="DQ112" s="5" t="s">
        <v>240</v>
      </c>
      <c r="DR112" s="5" t="s">
        <v>240</v>
      </c>
      <c r="DS112" s="5" t="s">
        <v>240</v>
      </c>
      <c r="DV112" s="5" t="s">
        <v>310</v>
      </c>
      <c r="DW112" s="5" t="s">
        <v>526</v>
      </c>
      <c r="HO112" s="5" t="s">
        <v>312</v>
      </c>
    </row>
    <row r="113" spans="1:223" x14ac:dyDescent="0.4">
      <c r="A113" s="5">
        <v>824</v>
      </c>
      <c r="B113" s="5">
        <v>1</v>
      </c>
      <c r="C113" s="5">
        <v>1</v>
      </c>
      <c r="D113" s="5" t="s">
        <v>1776</v>
      </c>
      <c r="E113" s="5" t="s">
        <v>418</v>
      </c>
      <c r="F113" s="5" t="s">
        <v>254</v>
      </c>
      <c r="G113" s="5" t="s">
        <v>240</v>
      </c>
      <c r="H113" s="6" t="s">
        <v>2130</v>
      </c>
      <c r="I113" s="5" t="s">
        <v>1775</v>
      </c>
      <c r="J113" s="8">
        <f>80</f>
        <v>80</v>
      </c>
      <c r="K113" s="5" t="s">
        <v>308</v>
      </c>
      <c r="L113" s="7">
        <f>177200</f>
        <v>177200</v>
      </c>
      <c r="M113" s="7">
        <f>177200</f>
        <v>177200</v>
      </c>
      <c r="N113" s="5" t="s">
        <v>242</v>
      </c>
      <c r="O113" s="5">
        <v>1</v>
      </c>
      <c r="P113" s="5" t="s">
        <v>294</v>
      </c>
      <c r="Q113" s="5" t="s">
        <v>266</v>
      </c>
      <c r="R113" s="5" t="s">
        <v>240</v>
      </c>
      <c r="S113" s="5" t="s">
        <v>240</v>
      </c>
      <c r="T113" s="5" t="s">
        <v>296</v>
      </c>
      <c r="U113" s="5" t="s">
        <v>244</v>
      </c>
      <c r="V113" s="5" t="s">
        <v>240</v>
      </c>
      <c r="Y113" s="5" t="s">
        <v>240</v>
      </c>
      <c r="Z113" s="6" t="s">
        <v>298</v>
      </c>
      <c r="AB113" s="6" t="s">
        <v>240</v>
      </c>
      <c r="AE113" s="6" t="s">
        <v>299</v>
      </c>
      <c r="AF113" s="5" t="s">
        <v>248</v>
      </c>
      <c r="AG113" s="5" t="s">
        <v>249</v>
      </c>
      <c r="AW113" s="5" t="s">
        <v>251</v>
      </c>
      <c r="AX113" s="5" t="s">
        <v>240</v>
      </c>
      <c r="AY113" s="5" t="s">
        <v>253</v>
      </c>
      <c r="AZ113" s="5" t="s">
        <v>240</v>
      </c>
      <c r="BA113" s="5" t="s">
        <v>255</v>
      </c>
      <c r="BB113" s="5" t="s">
        <v>240</v>
      </c>
      <c r="BD113" s="5" t="s">
        <v>240</v>
      </c>
      <c r="BF113" s="5" t="s">
        <v>301</v>
      </c>
      <c r="BG113" s="6" t="s">
        <v>299</v>
      </c>
      <c r="BH113" s="5" t="s">
        <v>302</v>
      </c>
      <c r="BI113" s="5" t="s">
        <v>303</v>
      </c>
      <c r="BJ113" s="5" t="s">
        <v>240</v>
      </c>
      <c r="BK113" s="8">
        <f>0</f>
        <v>0</v>
      </c>
      <c r="BL113" s="7">
        <f>0</f>
        <v>0</v>
      </c>
      <c r="BM113" s="5" t="s">
        <v>258</v>
      </c>
      <c r="BN113" s="5" t="s">
        <v>259</v>
      </c>
      <c r="CB113" s="5" t="s">
        <v>240</v>
      </c>
      <c r="CC113" s="5" t="s">
        <v>240</v>
      </c>
      <c r="CG113" s="5" t="s">
        <v>304</v>
      </c>
      <c r="CH113" s="5" t="s">
        <v>305</v>
      </c>
      <c r="CI113" s="5" t="s">
        <v>240</v>
      </c>
      <c r="CL113" s="6" t="s">
        <v>261</v>
      </c>
      <c r="CM113" s="5" t="s">
        <v>240</v>
      </c>
      <c r="CN113" s="5" t="s">
        <v>263</v>
      </c>
      <c r="CO113" s="5" t="s">
        <v>240</v>
      </c>
      <c r="CP113" s="5" t="s">
        <v>240</v>
      </c>
      <c r="CQ113" s="5">
        <v>0</v>
      </c>
      <c r="CR113" s="5" t="s">
        <v>306</v>
      </c>
      <c r="CS113" s="5" t="s">
        <v>307</v>
      </c>
      <c r="CT113" s="5" t="s">
        <v>307</v>
      </c>
      <c r="CU113" s="5" t="s">
        <v>260</v>
      </c>
      <c r="CX113" s="7">
        <f>1</f>
        <v>1</v>
      </c>
      <c r="CY113" s="7">
        <f>0</f>
        <v>0</v>
      </c>
      <c r="DA113" s="7">
        <f>0</f>
        <v>0</v>
      </c>
      <c r="DC113" s="5" t="s">
        <v>309</v>
      </c>
      <c r="DD113" s="5" t="s">
        <v>240</v>
      </c>
      <c r="DF113" s="5" t="s">
        <v>309</v>
      </c>
      <c r="DG113" s="7">
        <f>638</f>
        <v>638</v>
      </c>
      <c r="DI113" s="5" t="s">
        <v>240</v>
      </c>
      <c r="DJ113" s="5" t="s">
        <v>240</v>
      </c>
      <c r="DK113" s="5" t="s">
        <v>240</v>
      </c>
      <c r="DL113" s="5" t="s">
        <v>240</v>
      </c>
      <c r="DP113" s="5" t="s">
        <v>240</v>
      </c>
      <c r="DQ113" s="5" t="s">
        <v>240</v>
      </c>
      <c r="DR113" s="5" t="s">
        <v>240</v>
      </c>
      <c r="DS113" s="5" t="s">
        <v>240</v>
      </c>
      <c r="DV113" s="5" t="s">
        <v>310</v>
      </c>
      <c r="DW113" s="5" t="s">
        <v>528</v>
      </c>
      <c r="HO113" s="5" t="s">
        <v>312</v>
      </c>
    </row>
    <row r="114" spans="1:223" x14ac:dyDescent="0.4">
      <c r="A114" s="5">
        <v>825</v>
      </c>
      <c r="B114" s="5">
        <v>1</v>
      </c>
      <c r="C114" s="5">
        <v>1</v>
      </c>
      <c r="D114" s="5" t="s">
        <v>1776</v>
      </c>
      <c r="E114" s="5" t="s">
        <v>418</v>
      </c>
      <c r="F114" s="5" t="s">
        <v>254</v>
      </c>
      <c r="G114" s="5" t="s">
        <v>240</v>
      </c>
      <c r="H114" s="6" t="s">
        <v>1777</v>
      </c>
      <c r="I114" s="5" t="s">
        <v>1775</v>
      </c>
      <c r="J114" s="8">
        <f>762</f>
        <v>762</v>
      </c>
      <c r="K114" s="5" t="s">
        <v>308</v>
      </c>
      <c r="L114" s="7">
        <f>1687830</f>
        <v>1687830</v>
      </c>
      <c r="M114" s="7">
        <f>1687830</f>
        <v>1687830</v>
      </c>
      <c r="N114" s="5" t="s">
        <v>242</v>
      </c>
      <c r="O114" s="5">
        <v>1</v>
      </c>
      <c r="P114" s="5" t="s">
        <v>294</v>
      </c>
      <c r="Q114" s="5" t="s">
        <v>266</v>
      </c>
      <c r="R114" s="5" t="s">
        <v>240</v>
      </c>
      <c r="S114" s="5" t="s">
        <v>240</v>
      </c>
      <c r="T114" s="5" t="s">
        <v>296</v>
      </c>
      <c r="U114" s="5" t="s">
        <v>244</v>
      </c>
      <c r="V114" s="5" t="s">
        <v>240</v>
      </c>
      <c r="Y114" s="5" t="s">
        <v>240</v>
      </c>
      <c r="Z114" s="6" t="s">
        <v>298</v>
      </c>
      <c r="AB114" s="6" t="s">
        <v>240</v>
      </c>
      <c r="AE114" s="6" t="s">
        <v>299</v>
      </c>
      <c r="AF114" s="5" t="s">
        <v>248</v>
      </c>
      <c r="AG114" s="5" t="s">
        <v>249</v>
      </c>
      <c r="AW114" s="5" t="s">
        <v>251</v>
      </c>
      <c r="AX114" s="5" t="s">
        <v>240</v>
      </c>
      <c r="AY114" s="5" t="s">
        <v>253</v>
      </c>
      <c r="AZ114" s="5" t="s">
        <v>240</v>
      </c>
      <c r="BA114" s="5" t="s">
        <v>255</v>
      </c>
      <c r="BB114" s="5" t="s">
        <v>240</v>
      </c>
      <c r="BD114" s="5" t="s">
        <v>240</v>
      </c>
      <c r="BF114" s="5" t="s">
        <v>301</v>
      </c>
      <c r="BG114" s="6" t="s">
        <v>299</v>
      </c>
      <c r="BH114" s="5" t="s">
        <v>302</v>
      </c>
      <c r="BI114" s="5" t="s">
        <v>303</v>
      </c>
      <c r="BJ114" s="5" t="s">
        <v>240</v>
      </c>
      <c r="BK114" s="8">
        <f>0</f>
        <v>0</v>
      </c>
      <c r="BL114" s="7">
        <f>0</f>
        <v>0</v>
      </c>
      <c r="BM114" s="5" t="s">
        <v>258</v>
      </c>
      <c r="BN114" s="5" t="s">
        <v>259</v>
      </c>
      <c r="CB114" s="5" t="s">
        <v>240</v>
      </c>
      <c r="CC114" s="5" t="s">
        <v>240</v>
      </c>
      <c r="CG114" s="5" t="s">
        <v>304</v>
      </c>
      <c r="CH114" s="5" t="s">
        <v>305</v>
      </c>
      <c r="CI114" s="5" t="s">
        <v>240</v>
      </c>
      <c r="CL114" s="6" t="s">
        <v>261</v>
      </c>
      <c r="CM114" s="5" t="s">
        <v>240</v>
      </c>
      <c r="CN114" s="5" t="s">
        <v>263</v>
      </c>
      <c r="CO114" s="5" t="s">
        <v>240</v>
      </c>
      <c r="CP114" s="5" t="s">
        <v>240</v>
      </c>
      <c r="CQ114" s="5">
        <v>0</v>
      </c>
      <c r="CR114" s="5" t="s">
        <v>306</v>
      </c>
      <c r="CS114" s="5" t="s">
        <v>307</v>
      </c>
      <c r="CT114" s="5" t="s">
        <v>307</v>
      </c>
      <c r="CU114" s="5" t="s">
        <v>260</v>
      </c>
      <c r="CX114" s="7">
        <f>1</f>
        <v>1</v>
      </c>
      <c r="CY114" s="7">
        <f>0</f>
        <v>0</v>
      </c>
      <c r="DA114" s="7">
        <f>0</f>
        <v>0</v>
      </c>
      <c r="DC114" s="5" t="s">
        <v>309</v>
      </c>
      <c r="DD114" s="5" t="s">
        <v>240</v>
      </c>
      <c r="DF114" s="5" t="s">
        <v>309</v>
      </c>
      <c r="DG114" s="7">
        <f>339</f>
        <v>339</v>
      </c>
      <c r="DI114" s="5" t="s">
        <v>240</v>
      </c>
      <c r="DJ114" s="5" t="s">
        <v>240</v>
      </c>
      <c r="DK114" s="5" t="s">
        <v>240</v>
      </c>
      <c r="DL114" s="5" t="s">
        <v>240</v>
      </c>
      <c r="DP114" s="5" t="s">
        <v>240</v>
      </c>
      <c r="DQ114" s="5" t="s">
        <v>240</v>
      </c>
      <c r="DR114" s="5" t="s">
        <v>240</v>
      </c>
      <c r="DS114" s="5" t="s">
        <v>240</v>
      </c>
      <c r="DV114" s="5" t="s">
        <v>310</v>
      </c>
      <c r="DW114" s="5" t="s">
        <v>530</v>
      </c>
      <c r="HO114" s="5" t="s">
        <v>312</v>
      </c>
    </row>
    <row r="115" spans="1:223" x14ac:dyDescent="0.4">
      <c r="A115" s="5">
        <v>826</v>
      </c>
      <c r="B115" s="5">
        <v>1</v>
      </c>
      <c r="C115" s="5">
        <v>1</v>
      </c>
      <c r="D115" s="5" t="s">
        <v>1771</v>
      </c>
      <c r="E115" s="5" t="s">
        <v>418</v>
      </c>
      <c r="F115" s="5" t="s">
        <v>254</v>
      </c>
      <c r="G115" s="5" t="s">
        <v>240</v>
      </c>
      <c r="H115" s="6" t="s">
        <v>2033</v>
      </c>
      <c r="I115" s="5" t="s">
        <v>1770</v>
      </c>
      <c r="J115" s="8">
        <f>1847</f>
        <v>1847</v>
      </c>
      <c r="K115" s="5" t="s">
        <v>308</v>
      </c>
      <c r="L115" s="7">
        <f>4091105</f>
        <v>4091105</v>
      </c>
      <c r="M115" s="7">
        <f>4091105</f>
        <v>4091105</v>
      </c>
      <c r="N115" s="5" t="s">
        <v>242</v>
      </c>
      <c r="O115" s="5">
        <v>1</v>
      </c>
      <c r="P115" s="5" t="s">
        <v>294</v>
      </c>
      <c r="Q115" s="5" t="s">
        <v>266</v>
      </c>
      <c r="R115" s="5" t="s">
        <v>240</v>
      </c>
      <c r="S115" s="5" t="s">
        <v>240</v>
      </c>
      <c r="T115" s="5" t="s">
        <v>296</v>
      </c>
      <c r="U115" s="5" t="s">
        <v>244</v>
      </c>
      <c r="V115" s="5" t="s">
        <v>240</v>
      </c>
      <c r="Y115" s="5" t="s">
        <v>240</v>
      </c>
      <c r="Z115" s="6" t="s">
        <v>298</v>
      </c>
      <c r="AB115" s="6" t="s">
        <v>240</v>
      </c>
      <c r="AE115" s="6" t="s">
        <v>299</v>
      </c>
      <c r="AF115" s="5" t="s">
        <v>248</v>
      </c>
      <c r="AG115" s="5" t="s">
        <v>249</v>
      </c>
      <c r="AW115" s="5" t="s">
        <v>251</v>
      </c>
      <c r="AX115" s="5" t="s">
        <v>240</v>
      </c>
      <c r="AY115" s="5" t="s">
        <v>253</v>
      </c>
      <c r="AZ115" s="5" t="s">
        <v>240</v>
      </c>
      <c r="BA115" s="5" t="s">
        <v>255</v>
      </c>
      <c r="BB115" s="5" t="s">
        <v>240</v>
      </c>
      <c r="BD115" s="5" t="s">
        <v>240</v>
      </c>
      <c r="BF115" s="5" t="s">
        <v>301</v>
      </c>
      <c r="BG115" s="6" t="s">
        <v>299</v>
      </c>
      <c r="BH115" s="5" t="s">
        <v>302</v>
      </c>
      <c r="BI115" s="5" t="s">
        <v>303</v>
      </c>
      <c r="BJ115" s="5" t="s">
        <v>240</v>
      </c>
      <c r="BK115" s="8">
        <f>0</f>
        <v>0</v>
      </c>
      <c r="BL115" s="7">
        <f>0</f>
        <v>0</v>
      </c>
      <c r="BM115" s="5" t="s">
        <v>258</v>
      </c>
      <c r="BN115" s="5" t="s">
        <v>259</v>
      </c>
      <c r="CB115" s="5" t="s">
        <v>240</v>
      </c>
      <c r="CC115" s="5" t="s">
        <v>240</v>
      </c>
      <c r="CG115" s="5" t="s">
        <v>304</v>
      </c>
      <c r="CH115" s="5" t="s">
        <v>305</v>
      </c>
      <c r="CI115" s="5" t="s">
        <v>240</v>
      </c>
      <c r="CL115" s="6" t="s">
        <v>261</v>
      </c>
      <c r="CM115" s="5" t="s">
        <v>240</v>
      </c>
      <c r="CN115" s="5" t="s">
        <v>263</v>
      </c>
      <c r="CO115" s="5" t="s">
        <v>240</v>
      </c>
      <c r="CP115" s="5" t="s">
        <v>240</v>
      </c>
      <c r="CQ115" s="5">
        <v>0</v>
      </c>
      <c r="CR115" s="5" t="s">
        <v>306</v>
      </c>
      <c r="CS115" s="5" t="s">
        <v>307</v>
      </c>
      <c r="CT115" s="5" t="s">
        <v>307</v>
      </c>
      <c r="CU115" s="5" t="s">
        <v>260</v>
      </c>
      <c r="CX115" s="7">
        <f>1</f>
        <v>1</v>
      </c>
      <c r="CY115" s="7">
        <f>0</f>
        <v>0</v>
      </c>
      <c r="DA115" s="7">
        <f>0</f>
        <v>0</v>
      </c>
      <c r="DC115" s="5" t="s">
        <v>309</v>
      </c>
      <c r="DD115" s="5" t="s">
        <v>240</v>
      </c>
      <c r="DF115" s="5" t="s">
        <v>309</v>
      </c>
      <c r="DG115" s="7">
        <f>128</f>
        <v>128</v>
      </c>
      <c r="DI115" s="5" t="s">
        <v>240</v>
      </c>
      <c r="DJ115" s="5" t="s">
        <v>240</v>
      </c>
      <c r="DK115" s="5" t="s">
        <v>240</v>
      </c>
      <c r="DL115" s="5" t="s">
        <v>240</v>
      </c>
      <c r="DP115" s="5" t="s">
        <v>240</v>
      </c>
      <c r="DQ115" s="5" t="s">
        <v>240</v>
      </c>
      <c r="DR115" s="5" t="s">
        <v>240</v>
      </c>
      <c r="DS115" s="5" t="s">
        <v>240</v>
      </c>
      <c r="DV115" s="5" t="s">
        <v>310</v>
      </c>
      <c r="DW115" s="5" t="s">
        <v>532</v>
      </c>
      <c r="HO115" s="5" t="s">
        <v>312</v>
      </c>
    </row>
    <row r="116" spans="1:223" x14ac:dyDescent="0.4">
      <c r="A116" s="5">
        <v>827</v>
      </c>
      <c r="B116" s="5">
        <v>1</v>
      </c>
      <c r="C116" s="5">
        <v>1</v>
      </c>
      <c r="D116" s="5" t="s">
        <v>1771</v>
      </c>
      <c r="E116" s="5" t="s">
        <v>418</v>
      </c>
      <c r="F116" s="5" t="s">
        <v>254</v>
      </c>
      <c r="G116" s="5" t="s">
        <v>240</v>
      </c>
      <c r="H116" s="6" t="s">
        <v>1772</v>
      </c>
      <c r="I116" s="5" t="s">
        <v>1770</v>
      </c>
      <c r="J116" s="8">
        <f>599</f>
        <v>599</v>
      </c>
      <c r="K116" s="5" t="s">
        <v>308</v>
      </c>
      <c r="L116" s="7">
        <f>1326785</f>
        <v>1326785</v>
      </c>
      <c r="M116" s="7">
        <f>1326785</f>
        <v>1326785</v>
      </c>
      <c r="N116" s="5" t="s">
        <v>242</v>
      </c>
      <c r="O116" s="5">
        <v>1</v>
      </c>
      <c r="P116" s="5" t="s">
        <v>294</v>
      </c>
      <c r="Q116" s="5" t="s">
        <v>266</v>
      </c>
      <c r="R116" s="5" t="s">
        <v>240</v>
      </c>
      <c r="S116" s="5" t="s">
        <v>240</v>
      </c>
      <c r="T116" s="5" t="s">
        <v>296</v>
      </c>
      <c r="U116" s="5" t="s">
        <v>244</v>
      </c>
      <c r="V116" s="5" t="s">
        <v>240</v>
      </c>
      <c r="Y116" s="5" t="s">
        <v>240</v>
      </c>
      <c r="Z116" s="6" t="s">
        <v>298</v>
      </c>
      <c r="AB116" s="6" t="s">
        <v>240</v>
      </c>
      <c r="AE116" s="6" t="s">
        <v>299</v>
      </c>
      <c r="AF116" s="5" t="s">
        <v>248</v>
      </c>
      <c r="AG116" s="5" t="s">
        <v>249</v>
      </c>
      <c r="AW116" s="5" t="s">
        <v>251</v>
      </c>
      <c r="AX116" s="5" t="s">
        <v>240</v>
      </c>
      <c r="AY116" s="5" t="s">
        <v>253</v>
      </c>
      <c r="AZ116" s="5" t="s">
        <v>240</v>
      </c>
      <c r="BA116" s="5" t="s">
        <v>255</v>
      </c>
      <c r="BB116" s="5" t="s">
        <v>240</v>
      </c>
      <c r="BD116" s="5" t="s">
        <v>240</v>
      </c>
      <c r="BF116" s="5" t="s">
        <v>301</v>
      </c>
      <c r="BG116" s="6" t="s">
        <v>299</v>
      </c>
      <c r="BH116" s="5" t="s">
        <v>302</v>
      </c>
      <c r="BI116" s="5" t="s">
        <v>303</v>
      </c>
      <c r="BJ116" s="5" t="s">
        <v>240</v>
      </c>
      <c r="BK116" s="8">
        <f>0</f>
        <v>0</v>
      </c>
      <c r="BL116" s="7">
        <f>0</f>
        <v>0</v>
      </c>
      <c r="BM116" s="5" t="s">
        <v>258</v>
      </c>
      <c r="BN116" s="5" t="s">
        <v>259</v>
      </c>
      <c r="CB116" s="5" t="s">
        <v>240</v>
      </c>
      <c r="CC116" s="5" t="s">
        <v>240</v>
      </c>
      <c r="CG116" s="5" t="s">
        <v>304</v>
      </c>
      <c r="CH116" s="5" t="s">
        <v>305</v>
      </c>
      <c r="CI116" s="5" t="s">
        <v>240</v>
      </c>
      <c r="CL116" s="6" t="s">
        <v>261</v>
      </c>
      <c r="CM116" s="5" t="s">
        <v>240</v>
      </c>
      <c r="CN116" s="5" t="s">
        <v>263</v>
      </c>
      <c r="CO116" s="5" t="s">
        <v>240</v>
      </c>
      <c r="CP116" s="5" t="s">
        <v>240</v>
      </c>
      <c r="CQ116" s="5">
        <v>0</v>
      </c>
      <c r="CR116" s="5" t="s">
        <v>306</v>
      </c>
      <c r="CS116" s="5" t="s">
        <v>307</v>
      </c>
      <c r="CT116" s="5" t="s">
        <v>307</v>
      </c>
      <c r="CU116" s="5" t="s">
        <v>260</v>
      </c>
      <c r="CX116" s="7">
        <f>1</f>
        <v>1</v>
      </c>
      <c r="CY116" s="7">
        <f>0</f>
        <v>0</v>
      </c>
      <c r="DA116" s="7">
        <f>0</f>
        <v>0</v>
      </c>
      <c r="DC116" s="5" t="s">
        <v>309</v>
      </c>
      <c r="DD116" s="5" t="s">
        <v>240</v>
      </c>
      <c r="DF116" s="5" t="s">
        <v>309</v>
      </c>
      <c r="DG116" s="7">
        <f>10</f>
        <v>10</v>
      </c>
      <c r="DI116" s="5" t="s">
        <v>240</v>
      </c>
      <c r="DJ116" s="5" t="s">
        <v>240</v>
      </c>
      <c r="DK116" s="5" t="s">
        <v>240</v>
      </c>
      <c r="DL116" s="5" t="s">
        <v>240</v>
      </c>
      <c r="DP116" s="5" t="s">
        <v>240</v>
      </c>
      <c r="DQ116" s="5" t="s">
        <v>240</v>
      </c>
      <c r="DR116" s="5" t="s">
        <v>240</v>
      </c>
      <c r="DS116" s="5" t="s">
        <v>240</v>
      </c>
      <c r="DV116" s="5" t="s">
        <v>310</v>
      </c>
      <c r="DW116" s="5" t="s">
        <v>534</v>
      </c>
      <c r="HO116" s="5" t="s">
        <v>312</v>
      </c>
    </row>
    <row r="117" spans="1:223" x14ac:dyDescent="0.4">
      <c r="A117" s="5">
        <v>828</v>
      </c>
      <c r="B117" s="5">
        <v>1</v>
      </c>
      <c r="C117" s="5">
        <v>1</v>
      </c>
      <c r="D117" s="5" t="s">
        <v>2029</v>
      </c>
      <c r="E117" s="5" t="s">
        <v>418</v>
      </c>
      <c r="F117" s="5" t="s">
        <v>254</v>
      </c>
      <c r="G117" s="5" t="s">
        <v>240</v>
      </c>
      <c r="H117" s="6" t="s">
        <v>2030</v>
      </c>
      <c r="I117" s="5" t="s">
        <v>2028</v>
      </c>
      <c r="J117" s="8">
        <f>2283</f>
        <v>2283</v>
      </c>
      <c r="K117" s="5" t="s">
        <v>308</v>
      </c>
      <c r="L117" s="7">
        <f>5056845</f>
        <v>5056845</v>
      </c>
      <c r="M117" s="7">
        <f>5056845</f>
        <v>5056845</v>
      </c>
      <c r="N117" s="5" t="s">
        <v>242</v>
      </c>
      <c r="O117" s="5">
        <v>1</v>
      </c>
      <c r="P117" s="5" t="s">
        <v>294</v>
      </c>
      <c r="Q117" s="5" t="s">
        <v>266</v>
      </c>
      <c r="R117" s="5" t="s">
        <v>240</v>
      </c>
      <c r="S117" s="5" t="s">
        <v>240</v>
      </c>
      <c r="T117" s="5" t="s">
        <v>296</v>
      </c>
      <c r="U117" s="5" t="s">
        <v>244</v>
      </c>
      <c r="V117" s="5" t="s">
        <v>240</v>
      </c>
      <c r="Y117" s="5" t="s">
        <v>240</v>
      </c>
      <c r="Z117" s="6" t="s">
        <v>298</v>
      </c>
      <c r="AB117" s="6" t="s">
        <v>240</v>
      </c>
      <c r="AE117" s="6" t="s">
        <v>299</v>
      </c>
      <c r="AF117" s="5" t="s">
        <v>248</v>
      </c>
      <c r="AG117" s="5" t="s">
        <v>249</v>
      </c>
      <c r="AW117" s="5" t="s">
        <v>251</v>
      </c>
      <c r="AX117" s="5" t="s">
        <v>240</v>
      </c>
      <c r="AY117" s="5" t="s">
        <v>253</v>
      </c>
      <c r="AZ117" s="5" t="s">
        <v>240</v>
      </c>
      <c r="BA117" s="5" t="s">
        <v>255</v>
      </c>
      <c r="BB117" s="5" t="s">
        <v>240</v>
      </c>
      <c r="BD117" s="5" t="s">
        <v>240</v>
      </c>
      <c r="BF117" s="5" t="s">
        <v>301</v>
      </c>
      <c r="BG117" s="6" t="s">
        <v>299</v>
      </c>
      <c r="BH117" s="5" t="s">
        <v>302</v>
      </c>
      <c r="BI117" s="5" t="s">
        <v>303</v>
      </c>
      <c r="BJ117" s="5" t="s">
        <v>240</v>
      </c>
      <c r="BK117" s="8">
        <f>0</f>
        <v>0</v>
      </c>
      <c r="BL117" s="7">
        <f>0</f>
        <v>0</v>
      </c>
      <c r="BM117" s="5" t="s">
        <v>258</v>
      </c>
      <c r="BN117" s="5" t="s">
        <v>259</v>
      </c>
      <c r="CB117" s="5" t="s">
        <v>240</v>
      </c>
      <c r="CC117" s="5" t="s">
        <v>240</v>
      </c>
      <c r="CG117" s="5" t="s">
        <v>304</v>
      </c>
      <c r="CH117" s="5" t="s">
        <v>305</v>
      </c>
      <c r="CI117" s="5" t="s">
        <v>240</v>
      </c>
      <c r="CL117" s="6" t="s">
        <v>261</v>
      </c>
      <c r="CM117" s="5" t="s">
        <v>240</v>
      </c>
      <c r="CN117" s="5" t="s">
        <v>263</v>
      </c>
      <c r="CO117" s="5" t="s">
        <v>240</v>
      </c>
      <c r="CP117" s="5" t="s">
        <v>240</v>
      </c>
      <c r="CQ117" s="5">
        <v>0</v>
      </c>
      <c r="CR117" s="5" t="s">
        <v>306</v>
      </c>
      <c r="CS117" s="5" t="s">
        <v>307</v>
      </c>
      <c r="CT117" s="5" t="s">
        <v>307</v>
      </c>
      <c r="CU117" s="5" t="s">
        <v>260</v>
      </c>
      <c r="CX117" s="7">
        <f>1</f>
        <v>1</v>
      </c>
      <c r="CY117" s="7">
        <f>0</f>
        <v>0</v>
      </c>
      <c r="DA117" s="7">
        <f>0</f>
        <v>0</v>
      </c>
      <c r="DC117" s="5" t="s">
        <v>309</v>
      </c>
      <c r="DD117" s="5" t="s">
        <v>240</v>
      </c>
      <c r="DF117" s="5" t="s">
        <v>309</v>
      </c>
      <c r="DG117" s="7">
        <f>203</f>
        <v>203</v>
      </c>
      <c r="DI117" s="5" t="s">
        <v>240</v>
      </c>
      <c r="DJ117" s="5" t="s">
        <v>240</v>
      </c>
      <c r="DK117" s="5" t="s">
        <v>240</v>
      </c>
      <c r="DL117" s="5" t="s">
        <v>240</v>
      </c>
      <c r="DP117" s="5" t="s">
        <v>240</v>
      </c>
      <c r="DQ117" s="5" t="s">
        <v>240</v>
      </c>
      <c r="DR117" s="5" t="s">
        <v>240</v>
      </c>
      <c r="DS117" s="5" t="s">
        <v>240</v>
      </c>
      <c r="DV117" s="5" t="s">
        <v>310</v>
      </c>
      <c r="DW117" s="5" t="s">
        <v>536</v>
      </c>
      <c r="HO117" s="5" t="s">
        <v>312</v>
      </c>
    </row>
    <row r="118" spans="1:223" x14ac:dyDescent="0.4">
      <c r="A118" s="5">
        <v>829</v>
      </c>
      <c r="B118" s="5">
        <v>1</v>
      </c>
      <c r="C118" s="5">
        <v>1</v>
      </c>
      <c r="D118" s="5" t="s">
        <v>2025</v>
      </c>
      <c r="E118" s="5" t="s">
        <v>418</v>
      </c>
      <c r="F118" s="5" t="s">
        <v>254</v>
      </c>
      <c r="G118" s="5" t="s">
        <v>240</v>
      </c>
      <c r="H118" s="6" t="s">
        <v>2026</v>
      </c>
      <c r="I118" s="5" t="s">
        <v>2024</v>
      </c>
      <c r="J118" s="8">
        <f>6540</f>
        <v>6540</v>
      </c>
      <c r="K118" s="5" t="s">
        <v>308</v>
      </c>
      <c r="L118" s="7">
        <f>14486100</f>
        <v>14486100</v>
      </c>
      <c r="M118" s="7">
        <f>14486100</f>
        <v>14486100</v>
      </c>
      <c r="N118" s="5" t="s">
        <v>242</v>
      </c>
      <c r="O118" s="5">
        <v>1</v>
      </c>
      <c r="P118" s="5" t="s">
        <v>294</v>
      </c>
      <c r="Q118" s="5" t="s">
        <v>266</v>
      </c>
      <c r="R118" s="5" t="s">
        <v>240</v>
      </c>
      <c r="S118" s="5" t="s">
        <v>240</v>
      </c>
      <c r="T118" s="5" t="s">
        <v>296</v>
      </c>
      <c r="U118" s="5" t="s">
        <v>244</v>
      </c>
      <c r="V118" s="5" t="s">
        <v>240</v>
      </c>
      <c r="Y118" s="5" t="s">
        <v>240</v>
      </c>
      <c r="Z118" s="6" t="s">
        <v>298</v>
      </c>
      <c r="AB118" s="6" t="s">
        <v>240</v>
      </c>
      <c r="AE118" s="6" t="s">
        <v>299</v>
      </c>
      <c r="AF118" s="5" t="s">
        <v>248</v>
      </c>
      <c r="AG118" s="5" t="s">
        <v>249</v>
      </c>
      <c r="AW118" s="5" t="s">
        <v>251</v>
      </c>
      <c r="AX118" s="5" t="s">
        <v>240</v>
      </c>
      <c r="AY118" s="5" t="s">
        <v>253</v>
      </c>
      <c r="AZ118" s="5" t="s">
        <v>240</v>
      </c>
      <c r="BA118" s="5" t="s">
        <v>255</v>
      </c>
      <c r="BB118" s="5" t="s">
        <v>240</v>
      </c>
      <c r="BD118" s="5" t="s">
        <v>240</v>
      </c>
      <c r="BF118" s="5" t="s">
        <v>301</v>
      </c>
      <c r="BG118" s="6" t="s">
        <v>299</v>
      </c>
      <c r="BH118" s="5" t="s">
        <v>302</v>
      </c>
      <c r="BI118" s="5" t="s">
        <v>303</v>
      </c>
      <c r="BJ118" s="5" t="s">
        <v>240</v>
      </c>
      <c r="BK118" s="8">
        <f>0</f>
        <v>0</v>
      </c>
      <c r="BL118" s="7">
        <f>0</f>
        <v>0</v>
      </c>
      <c r="BM118" s="5" t="s">
        <v>258</v>
      </c>
      <c r="BN118" s="5" t="s">
        <v>259</v>
      </c>
      <c r="CB118" s="5" t="s">
        <v>240</v>
      </c>
      <c r="CC118" s="5" t="s">
        <v>240</v>
      </c>
      <c r="CG118" s="5" t="s">
        <v>304</v>
      </c>
      <c r="CH118" s="5" t="s">
        <v>305</v>
      </c>
      <c r="CI118" s="5" t="s">
        <v>240</v>
      </c>
      <c r="CL118" s="6" t="s">
        <v>261</v>
      </c>
      <c r="CM118" s="5" t="s">
        <v>240</v>
      </c>
      <c r="CN118" s="5" t="s">
        <v>263</v>
      </c>
      <c r="CO118" s="5" t="s">
        <v>240</v>
      </c>
      <c r="CP118" s="5" t="s">
        <v>240</v>
      </c>
      <c r="CQ118" s="5">
        <v>0</v>
      </c>
      <c r="CR118" s="5" t="s">
        <v>306</v>
      </c>
      <c r="CS118" s="5" t="s">
        <v>307</v>
      </c>
      <c r="CT118" s="5" t="s">
        <v>307</v>
      </c>
      <c r="CU118" s="5" t="s">
        <v>260</v>
      </c>
      <c r="CX118" s="7">
        <f>1</f>
        <v>1</v>
      </c>
      <c r="CY118" s="7">
        <f>0</f>
        <v>0</v>
      </c>
      <c r="DA118" s="7">
        <f>0</f>
        <v>0</v>
      </c>
      <c r="DC118" s="5" t="s">
        <v>309</v>
      </c>
      <c r="DD118" s="5" t="s">
        <v>240</v>
      </c>
      <c r="DF118" s="5" t="s">
        <v>309</v>
      </c>
      <c r="DG118" s="7">
        <f>68</f>
        <v>68</v>
      </c>
      <c r="DI118" s="5" t="s">
        <v>240</v>
      </c>
      <c r="DJ118" s="5" t="s">
        <v>240</v>
      </c>
      <c r="DK118" s="5" t="s">
        <v>240</v>
      </c>
      <c r="DL118" s="5" t="s">
        <v>240</v>
      </c>
      <c r="DP118" s="5" t="s">
        <v>240</v>
      </c>
      <c r="DQ118" s="5" t="s">
        <v>240</v>
      </c>
      <c r="DR118" s="5" t="s">
        <v>240</v>
      </c>
      <c r="DS118" s="5" t="s">
        <v>240</v>
      </c>
      <c r="DV118" s="5" t="s">
        <v>310</v>
      </c>
      <c r="DW118" s="5" t="s">
        <v>538</v>
      </c>
      <c r="HO118" s="5" t="s">
        <v>312</v>
      </c>
    </row>
    <row r="119" spans="1:223" x14ac:dyDescent="0.4">
      <c r="A119" s="5">
        <v>830</v>
      </c>
      <c r="B119" s="5">
        <v>1</v>
      </c>
      <c r="C119" s="5">
        <v>1</v>
      </c>
      <c r="D119" s="5" t="s">
        <v>1764</v>
      </c>
      <c r="E119" s="5" t="s">
        <v>418</v>
      </c>
      <c r="F119" s="5" t="s">
        <v>254</v>
      </c>
      <c r="G119" s="5" t="s">
        <v>240</v>
      </c>
      <c r="H119" s="6" t="s">
        <v>1769</v>
      </c>
      <c r="I119" s="5" t="s">
        <v>1763</v>
      </c>
      <c r="J119" s="8">
        <f>74</f>
        <v>74</v>
      </c>
      <c r="K119" s="5" t="s">
        <v>308</v>
      </c>
      <c r="L119" s="7">
        <f>163910</f>
        <v>163910</v>
      </c>
      <c r="M119" s="7">
        <f>163910</f>
        <v>163910</v>
      </c>
      <c r="N119" s="5" t="s">
        <v>242</v>
      </c>
      <c r="O119" s="5">
        <v>1</v>
      </c>
      <c r="P119" s="5" t="s">
        <v>294</v>
      </c>
      <c r="Q119" s="5" t="s">
        <v>266</v>
      </c>
      <c r="R119" s="5" t="s">
        <v>240</v>
      </c>
      <c r="S119" s="5" t="s">
        <v>240</v>
      </c>
      <c r="T119" s="5" t="s">
        <v>296</v>
      </c>
      <c r="U119" s="5" t="s">
        <v>244</v>
      </c>
      <c r="V119" s="5" t="s">
        <v>240</v>
      </c>
      <c r="Y119" s="5" t="s">
        <v>240</v>
      </c>
      <c r="Z119" s="6" t="s">
        <v>298</v>
      </c>
      <c r="AB119" s="6" t="s">
        <v>240</v>
      </c>
      <c r="AE119" s="6" t="s">
        <v>299</v>
      </c>
      <c r="AF119" s="5" t="s">
        <v>248</v>
      </c>
      <c r="AG119" s="5" t="s">
        <v>249</v>
      </c>
      <c r="AW119" s="5" t="s">
        <v>251</v>
      </c>
      <c r="AX119" s="5" t="s">
        <v>240</v>
      </c>
      <c r="AY119" s="5" t="s">
        <v>253</v>
      </c>
      <c r="AZ119" s="5" t="s">
        <v>240</v>
      </c>
      <c r="BA119" s="5" t="s">
        <v>255</v>
      </c>
      <c r="BB119" s="5" t="s">
        <v>240</v>
      </c>
      <c r="BD119" s="5" t="s">
        <v>240</v>
      </c>
      <c r="BF119" s="5" t="s">
        <v>301</v>
      </c>
      <c r="BG119" s="6" t="s">
        <v>299</v>
      </c>
      <c r="BH119" s="5" t="s">
        <v>302</v>
      </c>
      <c r="BI119" s="5" t="s">
        <v>303</v>
      </c>
      <c r="BJ119" s="5" t="s">
        <v>240</v>
      </c>
      <c r="BK119" s="8">
        <f>0</f>
        <v>0</v>
      </c>
      <c r="BL119" s="7">
        <f>0</f>
        <v>0</v>
      </c>
      <c r="BM119" s="5" t="s">
        <v>258</v>
      </c>
      <c r="BN119" s="5" t="s">
        <v>259</v>
      </c>
      <c r="CB119" s="5" t="s">
        <v>240</v>
      </c>
      <c r="CC119" s="5" t="s">
        <v>240</v>
      </c>
      <c r="CG119" s="5" t="s">
        <v>304</v>
      </c>
      <c r="CH119" s="5" t="s">
        <v>305</v>
      </c>
      <c r="CI119" s="5" t="s">
        <v>240</v>
      </c>
      <c r="CL119" s="6" t="s">
        <v>261</v>
      </c>
      <c r="CM119" s="5" t="s">
        <v>240</v>
      </c>
      <c r="CN119" s="5" t="s">
        <v>263</v>
      </c>
      <c r="CO119" s="5" t="s">
        <v>240</v>
      </c>
      <c r="CP119" s="5" t="s">
        <v>240</v>
      </c>
      <c r="CQ119" s="5">
        <v>0</v>
      </c>
      <c r="CR119" s="5" t="s">
        <v>306</v>
      </c>
      <c r="CS119" s="5" t="s">
        <v>307</v>
      </c>
      <c r="CT119" s="5" t="s">
        <v>307</v>
      </c>
      <c r="CU119" s="5" t="s">
        <v>260</v>
      </c>
      <c r="CX119" s="7">
        <f>1</f>
        <v>1</v>
      </c>
      <c r="CY119" s="7">
        <f>0</f>
        <v>0</v>
      </c>
      <c r="DA119" s="7">
        <f>0</f>
        <v>0</v>
      </c>
      <c r="DC119" s="5" t="s">
        <v>309</v>
      </c>
      <c r="DD119" s="5" t="s">
        <v>240</v>
      </c>
      <c r="DF119" s="5" t="s">
        <v>309</v>
      </c>
      <c r="DG119" s="7">
        <f>1116</f>
        <v>1116</v>
      </c>
      <c r="DI119" s="5" t="s">
        <v>240</v>
      </c>
      <c r="DJ119" s="5" t="s">
        <v>240</v>
      </c>
      <c r="DK119" s="5" t="s">
        <v>240</v>
      </c>
      <c r="DL119" s="5" t="s">
        <v>240</v>
      </c>
      <c r="DP119" s="5" t="s">
        <v>240</v>
      </c>
      <c r="DQ119" s="5" t="s">
        <v>240</v>
      </c>
      <c r="DR119" s="5" t="s">
        <v>240</v>
      </c>
      <c r="DS119" s="5" t="s">
        <v>240</v>
      </c>
      <c r="DV119" s="5" t="s">
        <v>310</v>
      </c>
      <c r="DW119" s="5" t="s">
        <v>540</v>
      </c>
      <c r="HO119" s="5" t="s">
        <v>312</v>
      </c>
    </row>
    <row r="120" spans="1:223" x14ac:dyDescent="0.4">
      <c r="A120" s="5">
        <v>831</v>
      </c>
      <c r="B120" s="5">
        <v>1</v>
      </c>
      <c r="C120" s="5">
        <v>1</v>
      </c>
      <c r="D120" s="5" t="s">
        <v>1764</v>
      </c>
      <c r="E120" s="5" t="s">
        <v>418</v>
      </c>
      <c r="F120" s="5" t="s">
        <v>254</v>
      </c>
      <c r="G120" s="5" t="s">
        <v>240</v>
      </c>
      <c r="H120" s="6" t="s">
        <v>1767</v>
      </c>
      <c r="I120" s="5" t="s">
        <v>1763</v>
      </c>
      <c r="J120" s="8">
        <f>7354</f>
        <v>7354</v>
      </c>
      <c r="K120" s="5" t="s">
        <v>308</v>
      </c>
      <c r="L120" s="7">
        <f>16289110</f>
        <v>16289110</v>
      </c>
      <c r="M120" s="7">
        <f>16289110</f>
        <v>16289110</v>
      </c>
      <c r="N120" s="5" t="s">
        <v>242</v>
      </c>
      <c r="O120" s="5">
        <v>1</v>
      </c>
      <c r="P120" s="5" t="s">
        <v>294</v>
      </c>
      <c r="Q120" s="5" t="s">
        <v>266</v>
      </c>
      <c r="R120" s="5" t="s">
        <v>240</v>
      </c>
      <c r="S120" s="5" t="s">
        <v>240</v>
      </c>
      <c r="T120" s="5" t="s">
        <v>296</v>
      </c>
      <c r="U120" s="5" t="s">
        <v>244</v>
      </c>
      <c r="V120" s="5" t="s">
        <v>240</v>
      </c>
      <c r="Y120" s="5" t="s">
        <v>240</v>
      </c>
      <c r="Z120" s="6" t="s">
        <v>298</v>
      </c>
      <c r="AB120" s="6" t="s">
        <v>240</v>
      </c>
      <c r="AE120" s="6" t="s">
        <v>299</v>
      </c>
      <c r="AF120" s="5" t="s">
        <v>248</v>
      </c>
      <c r="AG120" s="5" t="s">
        <v>249</v>
      </c>
      <c r="AW120" s="5" t="s">
        <v>251</v>
      </c>
      <c r="AX120" s="5" t="s">
        <v>240</v>
      </c>
      <c r="AY120" s="5" t="s">
        <v>253</v>
      </c>
      <c r="AZ120" s="5" t="s">
        <v>240</v>
      </c>
      <c r="BA120" s="5" t="s">
        <v>255</v>
      </c>
      <c r="BB120" s="5" t="s">
        <v>240</v>
      </c>
      <c r="BD120" s="5" t="s">
        <v>240</v>
      </c>
      <c r="BF120" s="5" t="s">
        <v>301</v>
      </c>
      <c r="BG120" s="6" t="s">
        <v>299</v>
      </c>
      <c r="BH120" s="5" t="s">
        <v>302</v>
      </c>
      <c r="BI120" s="5" t="s">
        <v>303</v>
      </c>
      <c r="BJ120" s="5" t="s">
        <v>240</v>
      </c>
      <c r="BK120" s="8">
        <f>0</f>
        <v>0</v>
      </c>
      <c r="BL120" s="7">
        <f>0</f>
        <v>0</v>
      </c>
      <c r="BM120" s="5" t="s">
        <v>258</v>
      </c>
      <c r="BN120" s="5" t="s">
        <v>259</v>
      </c>
      <c r="CB120" s="5" t="s">
        <v>240</v>
      </c>
      <c r="CC120" s="5" t="s">
        <v>240</v>
      </c>
      <c r="CG120" s="5" t="s">
        <v>304</v>
      </c>
      <c r="CH120" s="5" t="s">
        <v>305</v>
      </c>
      <c r="CI120" s="5" t="s">
        <v>240</v>
      </c>
      <c r="CL120" s="6" t="s">
        <v>261</v>
      </c>
      <c r="CM120" s="5" t="s">
        <v>240</v>
      </c>
      <c r="CN120" s="5" t="s">
        <v>263</v>
      </c>
      <c r="CO120" s="5" t="s">
        <v>240</v>
      </c>
      <c r="CP120" s="5" t="s">
        <v>240</v>
      </c>
      <c r="CQ120" s="5">
        <v>0</v>
      </c>
      <c r="CR120" s="5" t="s">
        <v>306</v>
      </c>
      <c r="CS120" s="5" t="s">
        <v>307</v>
      </c>
      <c r="CT120" s="5" t="s">
        <v>307</v>
      </c>
      <c r="CU120" s="5" t="s">
        <v>260</v>
      </c>
      <c r="CX120" s="7">
        <f>1</f>
        <v>1</v>
      </c>
      <c r="CY120" s="7">
        <f>0</f>
        <v>0</v>
      </c>
      <c r="DA120" s="7">
        <f>0</f>
        <v>0</v>
      </c>
      <c r="DC120" s="5" t="s">
        <v>309</v>
      </c>
      <c r="DD120" s="5" t="s">
        <v>240</v>
      </c>
      <c r="DF120" s="5" t="s">
        <v>309</v>
      </c>
      <c r="DG120" s="7">
        <f>149</f>
        <v>149</v>
      </c>
      <c r="DI120" s="5" t="s">
        <v>240</v>
      </c>
      <c r="DJ120" s="5" t="s">
        <v>240</v>
      </c>
      <c r="DK120" s="5" t="s">
        <v>240</v>
      </c>
      <c r="DL120" s="5" t="s">
        <v>240</v>
      </c>
      <c r="DP120" s="5" t="s">
        <v>240</v>
      </c>
      <c r="DQ120" s="5" t="s">
        <v>240</v>
      </c>
      <c r="DR120" s="5" t="s">
        <v>240</v>
      </c>
      <c r="DS120" s="5" t="s">
        <v>240</v>
      </c>
      <c r="DV120" s="5" t="s">
        <v>310</v>
      </c>
      <c r="DW120" s="5" t="s">
        <v>542</v>
      </c>
      <c r="HO120" s="5" t="s">
        <v>312</v>
      </c>
    </row>
    <row r="121" spans="1:223" x14ac:dyDescent="0.4">
      <c r="A121" s="5">
        <v>832</v>
      </c>
      <c r="B121" s="5">
        <v>1</v>
      </c>
      <c r="C121" s="5">
        <v>1</v>
      </c>
      <c r="D121" s="5" t="s">
        <v>1764</v>
      </c>
      <c r="E121" s="5" t="s">
        <v>418</v>
      </c>
      <c r="F121" s="5" t="s">
        <v>254</v>
      </c>
      <c r="G121" s="5" t="s">
        <v>240</v>
      </c>
      <c r="H121" s="6" t="s">
        <v>1765</v>
      </c>
      <c r="I121" s="5" t="s">
        <v>1763</v>
      </c>
      <c r="J121" s="8">
        <f>372</f>
        <v>372</v>
      </c>
      <c r="K121" s="5" t="s">
        <v>308</v>
      </c>
      <c r="L121" s="7">
        <f>823980</f>
        <v>823980</v>
      </c>
      <c r="M121" s="7">
        <f>823980</f>
        <v>823980</v>
      </c>
      <c r="N121" s="5" t="s">
        <v>242</v>
      </c>
      <c r="O121" s="5">
        <v>1</v>
      </c>
      <c r="P121" s="5" t="s">
        <v>294</v>
      </c>
      <c r="Q121" s="5" t="s">
        <v>266</v>
      </c>
      <c r="R121" s="5" t="s">
        <v>240</v>
      </c>
      <c r="S121" s="5" t="s">
        <v>240</v>
      </c>
      <c r="T121" s="5" t="s">
        <v>296</v>
      </c>
      <c r="U121" s="5" t="s">
        <v>244</v>
      </c>
      <c r="V121" s="5" t="s">
        <v>240</v>
      </c>
      <c r="Y121" s="5" t="s">
        <v>240</v>
      </c>
      <c r="Z121" s="6" t="s">
        <v>298</v>
      </c>
      <c r="AB121" s="6" t="s">
        <v>240</v>
      </c>
      <c r="AE121" s="6" t="s">
        <v>299</v>
      </c>
      <c r="AF121" s="5" t="s">
        <v>248</v>
      </c>
      <c r="AG121" s="5" t="s">
        <v>249</v>
      </c>
      <c r="AW121" s="5" t="s">
        <v>251</v>
      </c>
      <c r="AX121" s="5" t="s">
        <v>240</v>
      </c>
      <c r="AY121" s="5" t="s">
        <v>253</v>
      </c>
      <c r="AZ121" s="5" t="s">
        <v>240</v>
      </c>
      <c r="BA121" s="5" t="s">
        <v>255</v>
      </c>
      <c r="BB121" s="5" t="s">
        <v>240</v>
      </c>
      <c r="BD121" s="5" t="s">
        <v>240</v>
      </c>
      <c r="BF121" s="5" t="s">
        <v>301</v>
      </c>
      <c r="BG121" s="6" t="s">
        <v>299</v>
      </c>
      <c r="BH121" s="5" t="s">
        <v>302</v>
      </c>
      <c r="BI121" s="5" t="s">
        <v>303</v>
      </c>
      <c r="BJ121" s="5" t="s">
        <v>240</v>
      </c>
      <c r="BK121" s="8">
        <f>0</f>
        <v>0</v>
      </c>
      <c r="BL121" s="7">
        <f>0</f>
        <v>0</v>
      </c>
      <c r="BM121" s="5" t="s">
        <v>258</v>
      </c>
      <c r="BN121" s="5" t="s">
        <v>259</v>
      </c>
      <c r="CB121" s="5" t="s">
        <v>240</v>
      </c>
      <c r="CC121" s="5" t="s">
        <v>240</v>
      </c>
      <c r="CG121" s="5" t="s">
        <v>304</v>
      </c>
      <c r="CH121" s="5" t="s">
        <v>305</v>
      </c>
      <c r="CI121" s="5" t="s">
        <v>240</v>
      </c>
      <c r="CL121" s="6" t="s">
        <v>261</v>
      </c>
      <c r="CM121" s="5" t="s">
        <v>240</v>
      </c>
      <c r="CN121" s="5" t="s">
        <v>263</v>
      </c>
      <c r="CO121" s="5" t="s">
        <v>240</v>
      </c>
      <c r="CP121" s="5" t="s">
        <v>240</v>
      </c>
      <c r="CQ121" s="5">
        <v>0</v>
      </c>
      <c r="CR121" s="5" t="s">
        <v>306</v>
      </c>
      <c r="CS121" s="5" t="s">
        <v>307</v>
      </c>
      <c r="CT121" s="5" t="s">
        <v>307</v>
      </c>
      <c r="CU121" s="5" t="s">
        <v>260</v>
      </c>
      <c r="CX121" s="7">
        <f>1</f>
        <v>1</v>
      </c>
      <c r="CY121" s="7">
        <f>0</f>
        <v>0</v>
      </c>
      <c r="DA121" s="7">
        <f>0</f>
        <v>0</v>
      </c>
      <c r="DC121" s="5" t="s">
        <v>309</v>
      </c>
      <c r="DD121" s="5" t="s">
        <v>240</v>
      </c>
      <c r="DF121" s="5" t="s">
        <v>309</v>
      </c>
      <c r="DG121" s="7">
        <f>2190</f>
        <v>2190</v>
      </c>
      <c r="DI121" s="5" t="s">
        <v>240</v>
      </c>
      <c r="DJ121" s="5" t="s">
        <v>240</v>
      </c>
      <c r="DK121" s="5" t="s">
        <v>240</v>
      </c>
      <c r="DL121" s="5" t="s">
        <v>240</v>
      </c>
      <c r="DP121" s="5" t="s">
        <v>240</v>
      </c>
      <c r="DQ121" s="5" t="s">
        <v>240</v>
      </c>
      <c r="DR121" s="5" t="s">
        <v>240</v>
      </c>
      <c r="DS121" s="5" t="s">
        <v>240</v>
      </c>
      <c r="DV121" s="5" t="s">
        <v>310</v>
      </c>
      <c r="DW121" s="5" t="s">
        <v>544</v>
      </c>
      <c r="HO121" s="5" t="s">
        <v>312</v>
      </c>
    </row>
    <row r="122" spans="1:223" x14ac:dyDescent="0.4">
      <c r="A122" s="5">
        <v>833</v>
      </c>
      <c r="B122" s="5">
        <v>1</v>
      </c>
      <c r="C122" s="5">
        <v>1</v>
      </c>
      <c r="D122" s="5" t="s">
        <v>1758</v>
      </c>
      <c r="E122" s="5" t="s">
        <v>418</v>
      </c>
      <c r="F122" s="5" t="s">
        <v>254</v>
      </c>
      <c r="G122" s="5" t="s">
        <v>1759</v>
      </c>
      <c r="H122" s="6" t="s">
        <v>1760</v>
      </c>
      <c r="I122" s="5" t="s">
        <v>1757</v>
      </c>
      <c r="J122" s="8">
        <f>324</f>
        <v>324</v>
      </c>
      <c r="K122" s="5" t="s">
        <v>308</v>
      </c>
      <c r="L122" s="7">
        <f>717660</f>
        <v>717660</v>
      </c>
      <c r="M122" s="7">
        <f>717660</f>
        <v>717660</v>
      </c>
      <c r="N122" s="5" t="s">
        <v>242</v>
      </c>
      <c r="O122" s="5">
        <v>1</v>
      </c>
      <c r="P122" s="5" t="s">
        <v>294</v>
      </c>
      <c r="Q122" s="5" t="s">
        <v>266</v>
      </c>
      <c r="R122" s="5" t="s">
        <v>240</v>
      </c>
      <c r="S122" s="5" t="s">
        <v>240</v>
      </c>
      <c r="T122" s="5" t="s">
        <v>296</v>
      </c>
      <c r="U122" s="5" t="s">
        <v>244</v>
      </c>
      <c r="V122" s="5" t="s">
        <v>240</v>
      </c>
      <c r="Y122" s="5" t="s">
        <v>240</v>
      </c>
      <c r="Z122" s="6" t="s">
        <v>298</v>
      </c>
      <c r="AB122" s="6" t="s">
        <v>240</v>
      </c>
      <c r="AE122" s="6" t="s">
        <v>299</v>
      </c>
      <c r="AF122" s="5" t="s">
        <v>248</v>
      </c>
      <c r="AG122" s="5" t="s">
        <v>249</v>
      </c>
      <c r="AW122" s="5" t="s">
        <v>251</v>
      </c>
      <c r="AX122" s="5" t="s">
        <v>240</v>
      </c>
      <c r="AY122" s="5" t="s">
        <v>253</v>
      </c>
      <c r="AZ122" s="5" t="s">
        <v>240</v>
      </c>
      <c r="BA122" s="5" t="s">
        <v>255</v>
      </c>
      <c r="BB122" s="5" t="s">
        <v>240</v>
      </c>
      <c r="BD122" s="5" t="s">
        <v>240</v>
      </c>
      <c r="BF122" s="5" t="s">
        <v>301</v>
      </c>
      <c r="BG122" s="6" t="s">
        <v>299</v>
      </c>
      <c r="BH122" s="5" t="s">
        <v>302</v>
      </c>
      <c r="BI122" s="5" t="s">
        <v>303</v>
      </c>
      <c r="BJ122" s="5" t="s">
        <v>240</v>
      </c>
      <c r="BK122" s="8">
        <f>0</f>
        <v>0</v>
      </c>
      <c r="BL122" s="7">
        <f>0</f>
        <v>0</v>
      </c>
      <c r="BM122" s="5" t="s">
        <v>258</v>
      </c>
      <c r="BN122" s="5" t="s">
        <v>259</v>
      </c>
      <c r="CB122" s="5" t="s">
        <v>240</v>
      </c>
      <c r="CC122" s="5" t="s">
        <v>240</v>
      </c>
      <c r="CG122" s="5" t="s">
        <v>304</v>
      </c>
      <c r="CH122" s="5" t="s">
        <v>305</v>
      </c>
      <c r="CI122" s="5" t="s">
        <v>240</v>
      </c>
      <c r="CL122" s="6" t="s">
        <v>261</v>
      </c>
      <c r="CM122" s="5" t="s">
        <v>240</v>
      </c>
      <c r="CN122" s="5" t="s">
        <v>263</v>
      </c>
      <c r="CO122" s="5" t="s">
        <v>240</v>
      </c>
      <c r="CP122" s="5" t="s">
        <v>240</v>
      </c>
      <c r="CQ122" s="5">
        <v>0</v>
      </c>
      <c r="CR122" s="5" t="s">
        <v>306</v>
      </c>
      <c r="CS122" s="5" t="s">
        <v>307</v>
      </c>
      <c r="CT122" s="5" t="s">
        <v>307</v>
      </c>
      <c r="CU122" s="5" t="s">
        <v>260</v>
      </c>
      <c r="CX122" s="7">
        <f>1</f>
        <v>1</v>
      </c>
      <c r="CY122" s="7">
        <f>0</f>
        <v>0</v>
      </c>
      <c r="DA122" s="7">
        <f>0</f>
        <v>0</v>
      </c>
      <c r="DC122" s="5" t="s">
        <v>309</v>
      </c>
      <c r="DD122" s="5" t="s">
        <v>240</v>
      </c>
      <c r="DF122" s="5" t="s">
        <v>309</v>
      </c>
      <c r="DG122" s="7">
        <f>174</f>
        <v>174</v>
      </c>
      <c r="DI122" s="5" t="s">
        <v>240</v>
      </c>
      <c r="DJ122" s="5" t="s">
        <v>240</v>
      </c>
      <c r="DK122" s="5" t="s">
        <v>240</v>
      </c>
      <c r="DL122" s="5" t="s">
        <v>240</v>
      </c>
      <c r="DP122" s="5" t="s">
        <v>240</v>
      </c>
      <c r="DQ122" s="5" t="s">
        <v>240</v>
      </c>
      <c r="DR122" s="5" t="s">
        <v>240</v>
      </c>
      <c r="DS122" s="5" t="s">
        <v>240</v>
      </c>
      <c r="DV122" s="5" t="s">
        <v>310</v>
      </c>
      <c r="DW122" s="5" t="s">
        <v>546</v>
      </c>
      <c r="HO122" s="5" t="s">
        <v>312</v>
      </c>
    </row>
    <row r="123" spans="1:223" x14ac:dyDescent="0.4">
      <c r="A123" s="5">
        <v>834</v>
      </c>
      <c r="B123" s="5">
        <v>1</v>
      </c>
      <c r="C123" s="5">
        <v>1</v>
      </c>
      <c r="D123" s="5" t="s">
        <v>1754</v>
      </c>
      <c r="E123" s="5" t="s">
        <v>418</v>
      </c>
      <c r="F123" s="5" t="s">
        <v>254</v>
      </c>
      <c r="G123" s="5" t="s">
        <v>240</v>
      </c>
      <c r="H123" s="6" t="s">
        <v>1755</v>
      </c>
      <c r="I123" s="5" t="s">
        <v>1753</v>
      </c>
      <c r="J123" s="8">
        <f>2482</f>
        <v>2482</v>
      </c>
      <c r="K123" s="5" t="s">
        <v>308</v>
      </c>
      <c r="L123" s="7">
        <f>5497630</f>
        <v>5497630</v>
      </c>
      <c r="M123" s="7">
        <f>5497630</f>
        <v>5497630</v>
      </c>
      <c r="N123" s="5" t="s">
        <v>242</v>
      </c>
      <c r="O123" s="5">
        <v>1</v>
      </c>
      <c r="P123" s="5" t="s">
        <v>294</v>
      </c>
      <c r="Q123" s="5" t="s">
        <v>266</v>
      </c>
      <c r="R123" s="5" t="s">
        <v>240</v>
      </c>
      <c r="S123" s="5" t="s">
        <v>240</v>
      </c>
      <c r="T123" s="5" t="s">
        <v>296</v>
      </c>
      <c r="U123" s="5" t="s">
        <v>244</v>
      </c>
      <c r="V123" s="5" t="s">
        <v>240</v>
      </c>
      <c r="Y123" s="5" t="s">
        <v>240</v>
      </c>
      <c r="Z123" s="6" t="s">
        <v>298</v>
      </c>
      <c r="AB123" s="6" t="s">
        <v>240</v>
      </c>
      <c r="AE123" s="6" t="s">
        <v>299</v>
      </c>
      <c r="AF123" s="5" t="s">
        <v>248</v>
      </c>
      <c r="AG123" s="5" t="s">
        <v>249</v>
      </c>
      <c r="AW123" s="5" t="s">
        <v>251</v>
      </c>
      <c r="AX123" s="5" t="s">
        <v>240</v>
      </c>
      <c r="AY123" s="5" t="s">
        <v>253</v>
      </c>
      <c r="AZ123" s="5" t="s">
        <v>240</v>
      </c>
      <c r="BA123" s="5" t="s">
        <v>255</v>
      </c>
      <c r="BB123" s="5" t="s">
        <v>240</v>
      </c>
      <c r="BD123" s="5" t="s">
        <v>240</v>
      </c>
      <c r="BF123" s="5" t="s">
        <v>301</v>
      </c>
      <c r="BG123" s="6" t="s">
        <v>299</v>
      </c>
      <c r="BH123" s="5" t="s">
        <v>302</v>
      </c>
      <c r="BI123" s="5" t="s">
        <v>303</v>
      </c>
      <c r="BJ123" s="5" t="s">
        <v>240</v>
      </c>
      <c r="BK123" s="8">
        <f>0</f>
        <v>0</v>
      </c>
      <c r="BL123" s="7">
        <f>0</f>
        <v>0</v>
      </c>
      <c r="BM123" s="5" t="s">
        <v>258</v>
      </c>
      <c r="BN123" s="5" t="s">
        <v>259</v>
      </c>
      <c r="CB123" s="5" t="s">
        <v>240</v>
      </c>
      <c r="CC123" s="5" t="s">
        <v>240</v>
      </c>
      <c r="CG123" s="5" t="s">
        <v>304</v>
      </c>
      <c r="CH123" s="5" t="s">
        <v>305</v>
      </c>
      <c r="CI123" s="5" t="s">
        <v>240</v>
      </c>
      <c r="CL123" s="6" t="s">
        <v>261</v>
      </c>
      <c r="CM123" s="5" t="s">
        <v>240</v>
      </c>
      <c r="CN123" s="5" t="s">
        <v>263</v>
      </c>
      <c r="CO123" s="5" t="s">
        <v>240</v>
      </c>
      <c r="CP123" s="5" t="s">
        <v>240</v>
      </c>
      <c r="CQ123" s="5">
        <v>0</v>
      </c>
      <c r="CR123" s="5" t="s">
        <v>306</v>
      </c>
      <c r="CS123" s="5" t="s">
        <v>307</v>
      </c>
      <c r="CT123" s="5" t="s">
        <v>307</v>
      </c>
      <c r="CU123" s="5" t="s">
        <v>260</v>
      </c>
      <c r="CX123" s="7">
        <f>1</f>
        <v>1</v>
      </c>
      <c r="CY123" s="7">
        <f>0</f>
        <v>0</v>
      </c>
      <c r="DA123" s="7">
        <f>0</f>
        <v>0</v>
      </c>
      <c r="DC123" s="5" t="s">
        <v>309</v>
      </c>
      <c r="DD123" s="5" t="s">
        <v>240</v>
      </c>
      <c r="DF123" s="5" t="s">
        <v>309</v>
      </c>
      <c r="DG123" s="7">
        <f>2847</f>
        <v>2847</v>
      </c>
      <c r="DI123" s="5" t="s">
        <v>240</v>
      </c>
      <c r="DJ123" s="5" t="s">
        <v>240</v>
      </c>
      <c r="DK123" s="5" t="s">
        <v>240</v>
      </c>
      <c r="DL123" s="5" t="s">
        <v>240</v>
      </c>
      <c r="DP123" s="5" t="s">
        <v>240</v>
      </c>
      <c r="DQ123" s="5" t="s">
        <v>240</v>
      </c>
      <c r="DR123" s="5" t="s">
        <v>240</v>
      </c>
      <c r="DS123" s="5" t="s">
        <v>240</v>
      </c>
      <c r="DV123" s="5" t="s">
        <v>310</v>
      </c>
      <c r="DW123" s="5" t="s">
        <v>548</v>
      </c>
      <c r="HO123" s="5" t="s">
        <v>312</v>
      </c>
    </row>
    <row r="124" spans="1:223" x14ac:dyDescent="0.4">
      <c r="A124" s="5">
        <v>835</v>
      </c>
      <c r="B124" s="5">
        <v>1</v>
      </c>
      <c r="C124" s="5">
        <v>1</v>
      </c>
      <c r="D124" s="5" t="s">
        <v>1747</v>
      </c>
      <c r="E124" s="5" t="s">
        <v>418</v>
      </c>
      <c r="F124" s="5" t="s">
        <v>254</v>
      </c>
      <c r="G124" s="5" t="s">
        <v>240</v>
      </c>
      <c r="H124" s="6" t="s">
        <v>1752</v>
      </c>
      <c r="I124" s="5" t="s">
        <v>1746</v>
      </c>
      <c r="J124" s="8">
        <f>1174</f>
        <v>1174</v>
      </c>
      <c r="K124" s="5" t="s">
        <v>308</v>
      </c>
      <c r="L124" s="7">
        <f>2600410</f>
        <v>2600410</v>
      </c>
      <c r="M124" s="7">
        <f>2600410</f>
        <v>2600410</v>
      </c>
      <c r="N124" s="5" t="s">
        <v>242</v>
      </c>
      <c r="O124" s="5">
        <v>1</v>
      </c>
      <c r="P124" s="5" t="s">
        <v>294</v>
      </c>
      <c r="Q124" s="5" t="s">
        <v>266</v>
      </c>
      <c r="R124" s="5" t="s">
        <v>240</v>
      </c>
      <c r="S124" s="5" t="s">
        <v>240</v>
      </c>
      <c r="T124" s="5" t="s">
        <v>296</v>
      </c>
      <c r="U124" s="5" t="s">
        <v>244</v>
      </c>
      <c r="V124" s="5" t="s">
        <v>240</v>
      </c>
      <c r="Y124" s="5" t="s">
        <v>240</v>
      </c>
      <c r="Z124" s="6" t="s">
        <v>298</v>
      </c>
      <c r="AB124" s="6" t="s">
        <v>240</v>
      </c>
      <c r="AE124" s="6" t="s">
        <v>299</v>
      </c>
      <c r="AF124" s="5" t="s">
        <v>248</v>
      </c>
      <c r="AG124" s="5" t="s">
        <v>249</v>
      </c>
      <c r="AW124" s="5" t="s">
        <v>251</v>
      </c>
      <c r="AX124" s="5" t="s">
        <v>240</v>
      </c>
      <c r="AY124" s="5" t="s">
        <v>253</v>
      </c>
      <c r="AZ124" s="5" t="s">
        <v>240</v>
      </c>
      <c r="BA124" s="5" t="s">
        <v>255</v>
      </c>
      <c r="BB124" s="5" t="s">
        <v>240</v>
      </c>
      <c r="BD124" s="5" t="s">
        <v>240</v>
      </c>
      <c r="BF124" s="5" t="s">
        <v>301</v>
      </c>
      <c r="BG124" s="6" t="s">
        <v>299</v>
      </c>
      <c r="BH124" s="5" t="s">
        <v>302</v>
      </c>
      <c r="BI124" s="5" t="s">
        <v>303</v>
      </c>
      <c r="BJ124" s="5" t="s">
        <v>240</v>
      </c>
      <c r="BK124" s="8">
        <f>0</f>
        <v>0</v>
      </c>
      <c r="BL124" s="7">
        <f>0</f>
        <v>0</v>
      </c>
      <c r="BM124" s="5" t="s">
        <v>258</v>
      </c>
      <c r="BN124" s="5" t="s">
        <v>259</v>
      </c>
      <c r="CB124" s="5" t="s">
        <v>240</v>
      </c>
      <c r="CC124" s="5" t="s">
        <v>240</v>
      </c>
      <c r="CG124" s="5" t="s">
        <v>304</v>
      </c>
      <c r="CH124" s="5" t="s">
        <v>305</v>
      </c>
      <c r="CI124" s="5" t="s">
        <v>240</v>
      </c>
      <c r="CL124" s="6" t="s">
        <v>261</v>
      </c>
      <c r="CM124" s="5" t="s">
        <v>240</v>
      </c>
      <c r="CN124" s="5" t="s">
        <v>263</v>
      </c>
      <c r="CO124" s="5" t="s">
        <v>240</v>
      </c>
      <c r="CP124" s="5" t="s">
        <v>240</v>
      </c>
      <c r="CQ124" s="5">
        <v>0</v>
      </c>
      <c r="CR124" s="5" t="s">
        <v>306</v>
      </c>
      <c r="CS124" s="5" t="s">
        <v>307</v>
      </c>
      <c r="CT124" s="5" t="s">
        <v>307</v>
      </c>
      <c r="CU124" s="5" t="s">
        <v>260</v>
      </c>
      <c r="CX124" s="7">
        <f>1</f>
        <v>1</v>
      </c>
      <c r="CY124" s="7">
        <f>0</f>
        <v>0</v>
      </c>
      <c r="DA124" s="7">
        <f>0</f>
        <v>0</v>
      </c>
      <c r="DC124" s="5" t="s">
        <v>309</v>
      </c>
      <c r="DD124" s="5" t="s">
        <v>240</v>
      </c>
      <c r="DF124" s="5" t="s">
        <v>309</v>
      </c>
      <c r="DG124" s="7">
        <f>735</f>
        <v>735</v>
      </c>
      <c r="DI124" s="5" t="s">
        <v>240</v>
      </c>
      <c r="DJ124" s="5" t="s">
        <v>240</v>
      </c>
      <c r="DK124" s="5" t="s">
        <v>240</v>
      </c>
      <c r="DL124" s="5" t="s">
        <v>240</v>
      </c>
      <c r="DP124" s="5" t="s">
        <v>240</v>
      </c>
      <c r="DQ124" s="5" t="s">
        <v>240</v>
      </c>
      <c r="DR124" s="5" t="s">
        <v>240</v>
      </c>
      <c r="DS124" s="5" t="s">
        <v>240</v>
      </c>
      <c r="DV124" s="5" t="s">
        <v>310</v>
      </c>
      <c r="DW124" s="5" t="s">
        <v>550</v>
      </c>
      <c r="HO124" s="5" t="s">
        <v>312</v>
      </c>
    </row>
    <row r="125" spans="1:223" x14ac:dyDescent="0.4">
      <c r="A125" s="5">
        <v>836</v>
      </c>
      <c r="B125" s="5">
        <v>1</v>
      </c>
      <c r="C125" s="5">
        <v>1</v>
      </c>
      <c r="D125" s="5" t="s">
        <v>1747</v>
      </c>
      <c r="E125" s="5" t="s">
        <v>418</v>
      </c>
      <c r="F125" s="5" t="s">
        <v>254</v>
      </c>
      <c r="G125" s="5" t="s">
        <v>240</v>
      </c>
      <c r="H125" s="6" t="s">
        <v>1750</v>
      </c>
      <c r="I125" s="5" t="s">
        <v>1746</v>
      </c>
      <c r="J125" s="8">
        <f>633</f>
        <v>633</v>
      </c>
      <c r="K125" s="5" t="s">
        <v>308</v>
      </c>
      <c r="L125" s="7">
        <f>1402095</f>
        <v>1402095</v>
      </c>
      <c r="M125" s="7">
        <f>1402095</f>
        <v>1402095</v>
      </c>
      <c r="N125" s="5" t="s">
        <v>242</v>
      </c>
      <c r="O125" s="5">
        <v>1</v>
      </c>
      <c r="P125" s="5" t="s">
        <v>294</v>
      </c>
      <c r="Q125" s="5" t="s">
        <v>266</v>
      </c>
      <c r="R125" s="5" t="s">
        <v>240</v>
      </c>
      <c r="S125" s="5" t="s">
        <v>240</v>
      </c>
      <c r="T125" s="5" t="s">
        <v>296</v>
      </c>
      <c r="U125" s="5" t="s">
        <v>244</v>
      </c>
      <c r="V125" s="5" t="s">
        <v>240</v>
      </c>
      <c r="Y125" s="5" t="s">
        <v>240</v>
      </c>
      <c r="Z125" s="6" t="s">
        <v>298</v>
      </c>
      <c r="AB125" s="6" t="s">
        <v>240</v>
      </c>
      <c r="AE125" s="6" t="s">
        <v>299</v>
      </c>
      <c r="AF125" s="5" t="s">
        <v>248</v>
      </c>
      <c r="AG125" s="5" t="s">
        <v>249</v>
      </c>
      <c r="AW125" s="5" t="s">
        <v>251</v>
      </c>
      <c r="AX125" s="5" t="s">
        <v>240</v>
      </c>
      <c r="AY125" s="5" t="s">
        <v>253</v>
      </c>
      <c r="AZ125" s="5" t="s">
        <v>240</v>
      </c>
      <c r="BA125" s="5" t="s">
        <v>255</v>
      </c>
      <c r="BB125" s="5" t="s">
        <v>240</v>
      </c>
      <c r="BD125" s="5" t="s">
        <v>240</v>
      </c>
      <c r="BF125" s="5" t="s">
        <v>301</v>
      </c>
      <c r="BG125" s="6" t="s">
        <v>299</v>
      </c>
      <c r="BH125" s="5" t="s">
        <v>302</v>
      </c>
      <c r="BI125" s="5" t="s">
        <v>303</v>
      </c>
      <c r="BJ125" s="5" t="s">
        <v>240</v>
      </c>
      <c r="BK125" s="8">
        <f>0</f>
        <v>0</v>
      </c>
      <c r="BL125" s="7">
        <f>0</f>
        <v>0</v>
      </c>
      <c r="BM125" s="5" t="s">
        <v>258</v>
      </c>
      <c r="BN125" s="5" t="s">
        <v>259</v>
      </c>
      <c r="CB125" s="5" t="s">
        <v>240</v>
      </c>
      <c r="CC125" s="5" t="s">
        <v>240</v>
      </c>
      <c r="CG125" s="5" t="s">
        <v>304</v>
      </c>
      <c r="CH125" s="5" t="s">
        <v>305</v>
      </c>
      <c r="CI125" s="5" t="s">
        <v>240</v>
      </c>
      <c r="CL125" s="6" t="s">
        <v>261</v>
      </c>
      <c r="CM125" s="5" t="s">
        <v>240</v>
      </c>
      <c r="CN125" s="5" t="s">
        <v>263</v>
      </c>
      <c r="CO125" s="5" t="s">
        <v>240</v>
      </c>
      <c r="CP125" s="5" t="s">
        <v>240</v>
      </c>
      <c r="CQ125" s="5">
        <v>0</v>
      </c>
      <c r="CR125" s="5" t="s">
        <v>306</v>
      </c>
      <c r="CS125" s="5" t="s">
        <v>307</v>
      </c>
      <c r="CT125" s="5" t="s">
        <v>307</v>
      </c>
      <c r="CU125" s="5" t="s">
        <v>260</v>
      </c>
      <c r="CX125" s="7">
        <f>1</f>
        <v>1</v>
      </c>
      <c r="CY125" s="7">
        <f>0</f>
        <v>0</v>
      </c>
      <c r="DA125" s="7">
        <f>0</f>
        <v>0</v>
      </c>
      <c r="DC125" s="5" t="s">
        <v>309</v>
      </c>
      <c r="DD125" s="5" t="s">
        <v>240</v>
      </c>
      <c r="DF125" s="5" t="s">
        <v>309</v>
      </c>
      <c r="DG125" s="7">
        <f>1597</f>
        <v>1597</v>
      </c>
      <c r="DI125" s="5" t="s">
        <v>240</v>
      </c>
      <c r="DJ125" s="5" t="s">
        <v>240</v>
      </c>
      <c r="DK125" s="5" t="s">
        <v>240</v>
      </c>
      <c r="DL125" s="5" t="s">
        <v>240</v>
      </c>
      <c r="DP125" s="5" t="s">
        <v>240</v>
      </c>
      <c r="DQ125" s="5" t="s">
        <v>240</v>
      </c>
      <c r="DR125" s="5" t="s">
        <v>240</v>
      </c>
      <c r="DS125" s="5" t="s">
        <v>240</v>
      </c>
      <c r="DV125" s="5" t="s">
        <v>310</v>
      </c>
      <c r="DW125" s="5" t="s">
        <v>552</v>
      </c>
      <c r="HO125" s="5" t="s">
        <v>312</v>
      </c>
    </row>
    <row r="126" spans="1:223" x14ac:dyDescent="0.4">
      <c r="A126" s="5">
        <v>837</v>
      </c>
      <c r="B126" s="5">
        <v>1</v>
      </c>
      <c r="C126" s="5">
        <v>1</v>
      </c>
      <c r="D126" s="5" t="s">
        <v>1747</v>
      </c>
      <c r="E126" s="5" t="s">
        <v>418</v>
      </c>
      <c r="F126" s="5" t="s">
        <v>254</v>
      </c>
      <c r="G126" s="5" t="s">
        <v>240</v>
      </c>
      <c r="H126" s="6" t="s">
        <v>1748</v>
      </c>
      <c r="I126" s="5" t="s">
        <v>1746</v>
      </c>
      <c r="J126" s="8">
        <f>1085</f>
        <v>1085</v>
      </c>
      <c r="K126" s="5" t="s">
        <v>308</v>
      </c>
      <c r="L126" s="7">
        <f>2403275</f>
        <v>2403275</v>
      </c>
      <c r="M126" s="7">
        <f>2403275</f>
        <v>2403275</v>
      </c>
      <c r="N126" s="5" t="s">
        <v>242</v>
      </c>
      <c r="O126" s="5">
        <v>1</v>
      </c>
      <c r="P126" s="5" t="s">
        <v>294</v>
      </c>
      <c r="Q126" s="5" t="s">
        <v>266</v>
      </c>
      <c r="R126" s="5" t="s">
        <v>240</v>
      </c>
      <c r="S126" s="5" t="s">
        <v>240</v>
      </c>
      <c r="T126" s="5" t="s">
        <v>296</v>
      </c>
      <c r="U126" s="5" t="s">
        <v>244</v>
      </c>
      <c r="V126" s="5" t="s">
        <v>240</v>
      </c>
      <c r="Y126" s="5" t="s">
        <v>240</v>
      </c>
      <c r="Z126" s="6" t="s">
        <v>298</v>
      </c>
      <c r="AB126" s="6" t="s">
        <v>240</v>
      </c>
      <c r="AE126" s="6" t="s">
        <v>299</v>
      </c>
      <c r="AF126" s="5" t="s">
        <v>248</v>
      </c>
      <c r="AG126" s="5" t="s">
        <v>249</v>
      </c>
      <c r="AW126" s="5" t="s">
        <v>251</v>
      </c>
      <c r="AX126" s="5" t="s">
        <v>240</v>
      </c>
      <c r="AY126" s="5" t="s">
        <v>253</v>
      </c>
      <c r="AZ126" s="5" t="s">
        <v>240</v>
      </c>
      <c r="BA126" s="5" t="s">
        <v>255</v>
      </c>
      <c r="BB126" s="5" t="s">
        <v>240</v>
      </c>
      <c r="BD126" s="5" t="s">
        <v>240</v>
      </c>
      <c r="BF126" s="5" t="s">
        <v>301</v>
      </c>
      <c r="BG126" s="6" t="s">
        <v>299</v>
      </c>
      <c r="BH126" s="5" t="s">
        <v>302</v>
      </c>
      <c r="BI126" s="5" t="s">
        <v>303</v>
      </c>
      <c r="BJ126" s="5" t="s">
        <v>240</v>
      </c>
      <c r="BK126" s="8">
        <f>0</f>
        <v>0</v>
      </c>
      <c r="BL126" s="7">
        <f>0</f>
        <v>0</v>
      </c>
      <c r="BM126" s="5" t="s">
        <v>258</v>
      </c>
      <c r="BN126" s="5" t="s">
        <v>259</v>
      </c>
      <c r="CB126" s="5" t="s">
        <v>240</v>
      </c>
      <c r="CC126" s="5" t="s">
        <v>240</v>
      </c>
      <c r="CG126" s="5" t="s">
        <v>304</v>
      </c>
      <c r="CH126" s="5" t="s">
        <v>305</v>
      </c>
      <c r="CI126" s="5" t="s">
        <v>240</v>
      </c>
      <c r="CL126" s="6" t="s">
        <v>261</v>
      </c>
      <c r="CM126" s="5" t="s">
        <v>240</v>
      </c>
      <c r="CN126" s="5" t="s">
        <v>263</v>
      </c>
      <c r="CO126" s="5" t="s">
        <v>240</v>
      </c>
      <c r="CP126" s="5" t="s">
        <v>240</v>
      </c>
      <c r="CQ126" s="5">
        <v>0</v>
      </c>
      <c r="CR126" s="5" t="s">
        <v>306</v>
      </c>
      <c r="CS126" s="5" t="s">
        <v>307</v>
      </c>
      <c r="CT126" s="5" t="s">
        <v>307</v>
      </c>
      <c r="CU126" s="5" t="s">
        <v>260</v>
      </c>
      <c r="CX126" s="7">
        <f>1</f>
        <v>1</v>
      </c>
      <c r="CY126" s="7">
        <f>0</f>
        <v>0</v>
      </c>
      <c r="DA126" s="7">
        <f>0</f>
        <v>0</v>
      </c>
      <c r="DC126" s="5" t="s">
        <v>309</v>
      </c>
      <c r="DD126" s="5" t="s">
        <v>240</v>
      </c>
      <c r="DF126" s="5" t="s">
        <v>309</v>
      </c>
      <c r="DG126" s="7">
        <f>5353</f>
        <v>5353</v>
      </c>
      <c r="DI126" s="5" t="s">
        <v>240</v>
      </c>
      <c r="DJ126" s="5" t="s">
        <v>240</v>
      </c>
      <c r="DK126" s="5" t="s">
        <v>240</v>
      </c>
      <c r="DL126" s="5" t="s">
        <v>240</v>
      </c>
      <c r="DP126" s="5" t="s">
        <v>240</v>
      </c>
      <c r="DQ126" s="5" t="s">
        <v>240</v>
      </c>
      <c r="DR126" s="5" t="s">
        <v>240</v>
      </c>
      <c r="DS126" s="5" t="s">
        <v>240</v>
      </c>
      <c r="DV126" s="5" t="s">
        <v>310</v>
      </c>
      <c r="DW126" s="5" t="s">
        <v>554</v>
      </c>
      <c r="HO126" s="5" t="s">
        <v>312</v>
      </c>
    </row>
    <row r="127" spans="1:223" x14ac:dyDescent="0.4">
      <c r="A127" s="5">
        <v>838</v>
      </c>
      <c r="B127" s="5">
        <v>1</v>
      </c>
      <c r="C127" s="5">
        <v>1</v>
      </c>
      <c r="D127" s="5" t="s">
        <v>1741</v>
      </c>
      <c r="E127" s="5" t="s">
        <v>418</v>
      </c>
      <c r="F127" s="5" t="s">
        <v>254</v>
      </c>
      <c r="G127" s="5" t="s">
        <v>240</v>
      </c>
      <c r="H127" s="6" t="s">
        <v>1745</v>
      </c>
      <c r="I127" s="5" t="s">
        <v>1740</v>
      </c>
      <c r="J127" s="8">
        <f>1836</f>
        <v>1836</v>
      </c>
      <c r="K127" s="5" t="s">
        <v>308</v>
      </c>
      <c r="L127" s="7">
        <f>1966356</f>
        <v>1966356</v>
      </c>
      <c r="M127" s="7">
        <f>1966356</f>
        <v>1966356</v>
      </c>
      <c r="N127" s="5" t="s">
        <v>242</v>
      </c>
      <c r="O127" s="5">
        <v>1</v>
      </c>
      <c r="P127" s="5" t="s">
        <v>294</v>
      </c>
      <c r="Q127" s="5" t="s">
        <v>266</v>
      </c>
      <c r="R127" s="5" t="s">
        <v>240</v>
      </c>
      <c r="S127" s="5" t="s">
        <v>240</v>
      </c>
      <c r="T127" s="5" t="s">
        <v>296</v>
      </c>
      <c r="U127" s="5" t="s">
        <v>244</v>
      </c>
      <c r="V127" s="5" t="s">
        <v>240</v>
      </c>
      <c r="Y127" s="5" t="s">
        <v>240</v>
      </c>
      <c r="Z127" s="6" t="s">
        <v>298</v>
      </c>
      <c r="AB127" s="6" t="s">
        <v>240</v>
      </c>
      <c r="AE127" s="6" t="s">
        <v>299</v>
      </c>
      <c r="AF127" s="5" t="s">
        <v>248</v>
      </c>
      <c r="AG127" s="5" t="s">
        <v>249</v>
      </c>
      <c r="AW127" s="5" t="s">
        <v>251</v>
      </c>
      <c r="AX127" s="5" t="s">
        <v>240</v>
      </c>
      <c r="AY127" s="5" t="s">
        <v>253</v>
      </c>
      <c r="AZ127" s="5" t="s">
        <v>240</v>
      </c>
      <c r="BA127" s="5" t="s">
        <v>255</v>
      </c>
      <c r="BB127" s="5" t="s">
        <v>240</v>
      </c>
      <c r="BD127" s="5" t="s">
        <v>240</v>
      </c>
      <c r="BF127" s="5" t="s">
        <v>301</v>
      </c>
      <c r="BG127" s="6" t="s">
        <v>299</v>
      </c>
      <c r="BH127" s="5" t="s">
        <v>302</v>
      </c>
      <c r="BI127" s="5" t="s">
        <v>303</v>
      </c>
      <c r="BJ127" s="5" t="s">
        <v>240</v>
      </c>
      <c r="BK127" s="8">
        <f>0</f>
        <v>0</v>
      </c>
      <c r="BL127" s="7">
        <f>0</f>
        <v>0</v>
      </c>
      <c r="BM127" s="5" t="s">
        <v>258</v>
      </c>
      <c r="BN127" s="5" t="s">
        <v>259</v>
      </c>
      <c r="CB127" s="5" t="s">
        <v>240</v>
      </c>
      <c r="CC127" s="5" t="s">
        <v>240</v>
      </c>
      <c r="CG127" s="5" t="s">
        <v>304</v>
      </c>
      <c r="CH127" s="5" t="s">
        <v>305</v>
      </c>
      <c r="CI127" s="5" t="s">
        <v>240</v>
      </c>
      <c r="CL127" s="6" t="s">
        <v>261</v>
      </c>
      <c r="CM127" s="5" t="s">
        <v>240</v>
      </c>
      <c r="CN127" s="5" t="s">
        <v>263</v>
      </c>
      <c r="CO127" s="5" t="s">
        <v>240</v>
      </c>
      <c r="CP127" s="5" t="s">
        <v>240</v>
      </c>
      <c r="CQ127" s="5">
        <v>0</v>
      </c>
      <c r="CR127" s="5" t="s">
        <v>306</v>
      </c>
      <c r="CS127" s="5" t="s">
        <v>307</v>
      </c>
      <c r="CT127" s="5" t="s">
        <v>307</v>
      </c>
      <c r="CU127" s="5" t="s">
        <v>260</v>
      </c>
      <c r="CX127" s="7">
        <f>1</f>
        <v>1</v>
      </c>
      <c r="CY127" s="7">
        <f>0</f>
        <v>0</v>
      </c>
      <c r="DA127" s="7">
        <f>0</f>
        <v>0</v>
      </c>
      <c r="DC127" s="5" t="s">
        <v>309</v>
      </c>
      <c r="DD127" s="5" t="s">
        <v>240</v>
      </c>
      <c r="DF127" s="5" t="s">
        <v>309</v>
      </c>
      <c r="DG127" s="7">
        <f>5674</f>
        <v>5674</v>
      </c>
      <c r="DI127" s="5" t="s">
        <v>240</v>
      </c>
      <c r="DJ127" s="5" t="s">
        <v>240</v>
      </c>
      <c r="DK127" s="5" t="s">
        <v>240</v>
      </c>
      <c r="DL127" s="5" t="s">
        <v>240</v>
      </c>
      <c r="DP127" s="5" t="s">
        <v>240</v>
      </c>
      <c r="DQ127" s="5" t="s">
        <v>240</v>
      </c>
      <c r="DR127" s="5" t="s">
        <v>240</v>
      </c>
      <c r="DS127" s="5" t="s">
        <v>240</v>
      </c>
      <c r="DV127" s="5" t="s">
        <v>310</v>
      </c>
      <c r="DW127" s="5" t="s">
        <v>556</v>
      </c>
      <c r="HO127" s="5" t="s">
        <v>312</v>
      </c>
    </row>
    <row r="128" spans="1:223" x14ac:dyDescent="0.4">
      <c r="A128" s="5">
        <v>839</v>
      </c>
      <c r="B128" s="5">
        <v>1</v>
      </c>
      <c r="C128" s="5">
        <v>1</v>
      </c>
      <c r="D128" s="5" t="s">
        <v>1741</v>
      </c>
      <c r="E128" s="5" t="s">
        <v>418</v>
      </c>
      <c r="F128" s="5" t="s">
        <v>254</v>
      </c>
      <c r="G128" s="5" t="s">
        <v>240</v>
      </c>
      <c r="H128" s="6" t="s">
        <v>1743</v>
      </c>
      <c r="I128" s="5" t="s">
        <v>1740</v>
      </c>
      <c r="J128" s="8">
        <f>568</f>
        <v>568</v>
      </c>
      <c r="K128" s="5" t="s">
        <v>308</v>
      </c>
      <c r="L128" s="7">
        <f>608328</f>
        <v>608328</v>
      </c>
      <c r="M128" s="7">
        <f>608328</f>
        <v>608328</v>
      </c>
      <c r="N128" s="5" t="s">
        <v>242</v>
      </c>
      <c r="O128" s="5">
        <v>1</v>
      </c>
      <c r="P128" s="5" t="s">
        <v>294</v>
      </c>
      <c r="Q128" s="5" t="s">
        <v>266</v>
      </c>
      <c r="R128" s="5" t="s">
        <v>240</v>
      </c>
      <c r="S128" s="5" t="s">
        <v>240</v>
      </c>
      <c r="T128" s="5" t="s">
        <v>296</v>
      </c>
      <c r="U128" s="5" t="s">
        <v>244</v>
      </c>
      <c r="V128" s="5" t="s">
        <v>240</v>
      </c>
      <c r="Y128" s="5" t="s">
        <v>240</v>
      </c>
      <c r="Z128" s="6" t="s">
        <v>298</v>
      </c>
      <c r="AB128" s="6" t="s">
        <v>240</v>
      </c>
      <c r="AE128" s="6" t="s">
        <v>299</v>
      </c>
      <c r="AF128" s="5" t="s">
        <v>248</v>
      </c>
      <c r="AG128" s="5" t="s">
        <v>249</v>
      </c>
      <c r="AW128" s="5" t="s">
        <v>251</v>
      </c>
      <c r="AX128" s="5" t="s">
        <v>240</v>
      </c>
      <c r="AY128" s="5" t="s">
        <v>253</v>
      </c>
      <c r="AZ128" s="5" t="s">
        <v>240</v>
      </c>
      <c r="BA128" s="5" t="s">
        <v>255</v>
      </c>
      <c r="BB128" s="5" t="s">
        <v>240</v>
      </c>
      <c r="BD128" s="5" t="s">
        <v>240</v>
      </c>
      <c r="BF128" s="5" t="s">
        <v>301</v>
      </c>
      <c r="BG128" s="6" t="s">
        <v>299</v>
      </c>
      <c r="BH128" s="5" t="s">
        <v>302</v>
      </c>
      <c r="BI128" s="5" t="s">
        <v>303</v>
      </c>
      <c r="BJ128" s="5" t="s">
        <v>240</v>
      </c>
      <c r="BK128" s="8">
        <f>0</f>
        <v>0</v>
      </c>
      <c r="BL128" s="7">
        <f>0</f>
        <v>0</v>
      </c>
      <c r="BM128" s="5" t="s">
        <v>258</v>
      </c>
      <c r="BN128" s="5" t="s">
        <v>259</v>
      </c>
      <c r="CB128" s="5" t="s">
        <v>240</v>
      </c>
      <c r="CC128" s="5" t="s">
        <v>240</v>
      </c>
      <c r="CG128" s="5" t="s">
        <v>304</v>
      </c>
      <c r="CH128" s="5" t="s">
        <v>305</v>
      </c>
      <c r="CI128" s="5" t="s">
        <v>240</v>
      </c>
      <c r="CL128" s="6" t="s">
        <v>261</v>
      </c>
      <c r="CM128" s="5" t="s">
        <v>240</v>
      </c>
      <c r="CN128" s="5" t="s">
        <v>263</v>
      </c>
      <c r="CO128" s="5" t="s">
        <v>240</v>
      </c>
      <c r="CP128" s="5" t="s">
        <v>240</v>
      </c>
      <c r="CQ128" s="5">
        <v>0</v>
      </c>
      <c r="CR128" s="5" t="s">
        <v>306</v>
      </c>
      <c r="CS128" s="5" t="s">
        <v>307</v>
      </c>
      <c r="CT128" s="5" t="s">
        <v>307</v>
      </c>
      <c r="CU128" s="5" t="s">
        <v>260</v>
      </c>
      <c r="CX128" s="7">
        <f>1</f>
        <v>1</v>
      </c>
      <c r="CY128" s="7">
        <f>0</f>
        <v>0</v>
      </c>
      <c r="DA128" s="7">
        <f>0</f>
        <v>0</v>
      </c>
      <c r="DC128" s="5" t="s">
        <v>309</v>
      </c>
      <c r="DD128" s="5" t="s">
        <v>240</v>
      </c>
      <c r="DF128" s="5" t="s">
        <v>309</v>
      </c>
      <c r="DG128" s="7">
        <f>179</f>
        <v>179</v>
      </c>
      <c r="DI128" s="5" t="s">
        <v>240</v>
      </c>
      <c r="DJ128" s="5" t="s">
        <v>240</v>
      </c>
      <c r="DK128" s="5" t="s">
        <v>240</v>
      </c>
      <c r="DL128" s="5" t="s">
        <v>240</v>
      </c>
      <c r="DP128" s="5" t="s">
        <v>240</v>
      </c>
      <c r="DQ128" s="5" t="s">
        <v>240</v>
      </c>
      <c r="DR128" s="5" t="s">
        <v>240</v>
      </c>
      <c r="DS128" s="5" t="s">
        <v>240</v>
      </c>
      <c r="DV128" s="5" t="s">
        <v>310</v>
      </c>
      <c r="DW128" s="5" t="s">
        <v>558</v>
      </c>
      <c r="HO128" s="5" t="s">
        <v>312</v>
      </c>
    </row>
    <row r="129" spans="1:223" x14ac:dyDescent="0.4">
      <c r="A129" s="5">
        <v>840</v>
      </c>
      <c r="B129" s="5">
        <v>1</v>
      </c>
      <c r="C129" s="5">
        <v>1</v>
      </c>
      <c r="D129" s="5" t="s">
        <v>1737</v>
      </c>
      <c r="E129" s="5" t="s">
        <v>418</v>
      </c>
      <c r="F129" s="5" t="s">
        <v>254</v>
      </c>
      <c r="G129" s="5" t="s">
        <v>240</v>
      </c>
      <c r="H129" s="6" t="s">
        <v>1738</v>
      </c>
      <c r="I129" s="5" t="s">
        <v>1736</v>
      </c>
      <c r="J129" s="8">
        <f>924</f>
        <v>924</v>
      </c>
      <c r="K129" s="5" t="s">
        <v>308</v>
      </c>
      <c r="L129" s="7">
        <f>2046660</f>
        <v>2046660</v>
      </c>
      <c r="M129" s="7">
        <f>2046660</f>
        <v>2046660</v>
      </c>
      <c r="N129" s="5" t="s">
        <v>242</v>
      </c>
      <c r="O129" s="5">
        <v>1</v>
      </c>
      <c r="P129" s="5" t="s">
        <v>294</v>
      </c>
      <c r="Q129" s="5" t="s">
        <v>266</v>
      </c>
      <c r="R129" s="5" t="s">
        <v>240</v>
      </c>
      <c r="S129" s="5" t="s">
        <v>240</v>
      </c>
      <c r="T129" s="5" t="s">
        <v>296</v>
      </c>
      <c r="U129" s="5" t="s">
        <v>244</v>
      </c>
      <c r="V129" s="5" t="s">
        <v>240</v>
      </c>
      <c r="Y129" s="5" t="s">
        <v>240</v>
      </c>
      <c r="Z129" s="6" t="s">
        <v>298</v>
      </c>
      <c r="AB129" s="6" t="s">
        <v>240</v>
      </c>
      <c r="AE129" s="6" t="s">
        <v>299</v>
      </c>
      <c r="AF129" s="5" t="s">
        <v>248</v>
      </c>
      <c r="AG129" s="5" t="s">
        <v>249</v>
      </c>
      <c r="AW129" s="5" t="s">
        <v>251</v>
      </c>
      <c r="AX129" s="5" t="s">
        <v>240</v>
      </c>
      <c r="AY129" s="5" t="s">
        <v>253</v>
      </c>
      <c r="AZ129" s="5" t="s">
        <v>240</v>
      </c>
      <c r="BA129" s="5" t="s">
        <v>255</v>
      </c>
      <c r="BB129" s="5" t="s">
        <v>240</v>
      </c>
      <c r="BD129" s="5" t="s">
        <v>240</v>
      </c>
      <c r="BF129" s="5" t="s">
        <v>301</v>
      </c>
      <c r="BG129" s="6" t="s">
        <v>299</v>
      </c>
      <c r="BH129" s="5" t="s">
        <v>302</v>
      </c>
      <c r="BI129" s="5" t="s">
        <v>303</v>
      </c>
      <c r="BJ129" s="5" t="s">
        <v>240</v>
      </c>
      <c r="BK129" s="8">
        <f>0</f>
        <v>0</v>
      </c>
      <c r="BL129" s="7">
        <f>0</f>
        <v>0</v>
      </c>
      <c r="BM129" s="5" t="s">
        <v>258</v>
      </c>
      <c r="BN129" s="5" t="s">
        <v>259</v>
      </c>
      <c r="CB129" s="5" t="s">
        <v>240</v>
      </c>
      <c r="CC129" s="5" t="s">
        <v>240</v>
      </c>
      <c r="CG129" s="5" t="s">
        <v>304</v>
      </c>
      <c r="CH129" s="5" t="s">
        <v>305</v>
      </c>
      <c r="CI129" s="5" t="s">
        <v>240</v>
      </c>
      <c r="CL129" s="6" t="s">
        <v>261</v>
      </c>
      <c r="CM129" s="5" t="s">
        <v>240</v>
      </c>
      <c r="CN129" s="5" t="s">
        <v>263</v>
      </c>
      <c r="CO129" s="5" t="s">
        <v>240</v>
      </c>
      <c r="CP129" s="5" t="s">
        <v>240</v>
      </c>
      <c r="CQ129" s="5">
        <v>0</v>
      </c>
      <c r="CR129" s="5" t="s">
        <v>306</v>
      </c>
      <c r="CS129" s="5" t="s">
        <v>307</v>
      </c>
      <c r="CT129" s="5" t="s">
        <v>307</v>
      </c>
      <c r="CU129" s="5" t="s">
        <v>260</v>
      </c>
      <c r="CX129" s="7">
        <f>1</f>
        <v>1</v>
      </c>
      <c r="CY129" s="7">
        <f>0</f>
        <v>0</v>
      </c>
      <c r="DA129" s="7">
        <f>0</f>
        <v>0</v>
      </c>
      <c r="DC129" s="5" t="s">
        <v>309</v>
      </c>
      <c r="DD129" s="5" t="s">
        <v>240</v>
      </c>
      <c r="DF129" s="5" t="s">
        <v>309</v>
      </c>
      <c r="DG129" s="7">
        <f>895</f>
        <v>895</v>
      </c>
      <c r="DI129" s="5" t="s">
        <v>240</v>
      </c>
      <c r="DJ129" s="5" t="s">
        <v>240</v>
      </c>
      <c r="DK129" s="5" t="s">
        <v>240</v>
      </c>
      <c r="DL129" s="5" t="s">
        <v>240</v>
      </c>
      <c r="DP129" s="5" t="s">
        <v>240</v>
      </c>
      <c r="DQ129" s="5" t="s">
        <v>240</v>
      </c>
      <c r="DR129" s="5" t="s">
        <v>240</v>
      </c>
      <c r="DS129" s="5" t="s">
        <v>240</v>
      </c>
      <c r="DV129" s="5" t="s">
        <v>310</v>
      </c>
      <c r="DW129" s="5" t="s">
        <v>560</v>
      </c>
      <c r="HO129" s="5" t="s">
        <v>312</v>
      </c>
    </row>
    <row r="130" spans="1:223" x14ac:dyDescent="0.4">
      <c r="A130" s="5">
        <v>841</v>
      </c>
      <c r="B130" s="5">
        <v>1</v>
      </c>
      <c r="C130" s="5">
        <v>1</v>
      </c>
      <c r="D130" s="5" t="s">
        <v>1733</v>
      </c>
      <c r="E130" s="5" t="s">
        <v>418</v>
      </c>
      <c r="F130" s="5" t="s">
        <v>254</v>
      </c>
      <c r="G130" s="5" t="s">
        <v>240</v>
      </c>
      <c r="H130" s="6" t="s">
        <v>1734</v>
      </c>
      <c r="I130" s="5" t="s">
        <v>1732</v>
      </c>
      <c r="J130" s="8">
        <f>1000</f>
        <v>1000</v>
      </c>
      <c r="K130" s="5" t="s">
        <v>308</v>
      </c>
      <c r="L130" s="7">
        <f>2400000</f>
        <v>2400000</v>
      </c>
      <c r="M130" s="7">
        <f>2400000</f>
        <v>2400000</v>
      </c>
      <c r="N130" s="5" t="s">
        <v>242</v>
      </c>
      <c r="O130" s="5">
        <v>1</v>
      </c>
      <c r="P130" s="5" t="s">
        <v>294</v>
      </c>
      <c r="Q130" s="5" t="s">
        <v>266</v>
      </c>
      <c r="R130" s="5" t="s">
        <v>240</v>
      </c>
      <c r="S130" s="5" t="s">
        <v>240</v>
      </c>
      <c r="T130" s="5" t="s">
        <v>296</v>
      </c>
      <c r="U130" s="5" t="s">
        <v>244</v>
      </c>
      <c r="V130" s="5" t="s">
        <v>240</v>
      </c>
      <c r="Y130" s="5" t="s">
        <v>240</v>
      </c>
      <c r="Z130" s="6" t="s">
        <v>298</v>
      </c>
      <c r="AB130" s="6" t="s">
        <v>240</v>
      </c>
      <c r="AE130" s="6" t="s">
        <v>299</v>
      </c>
      <c r="AF130" s="5" t="s">
        <v>248</v>
      </c>
      <c r="AG130" s="5" t="s">
        <v>249</v>
      </c>
      <c r="AW130" s="5" t="s">
        <v>251</v>
      </c>
      <c r="AX130" s="5" t="s">
        <v>240</v>
      </c>
      <c r="AY130" s="5" t="s">
        <v>253</v>
      </c>
      <c r="AZ130" s="5" t="s">
        <v>240</v>
      </c>
      <c r="BA130" s="5" t="s">
        <v>255</v>
      </c>
      <c r="BB130" s="5" t="s">
        <v>240</v>
      </c>
      <c r="BD130" s="5" t="s">
        <v>240</v>
      </c>
      <c r="BF130" s="5" t="s">
        <v>301</v>
      </c>
      <c r="BG130" s="6" t="s">
        <v>299</v>
      </c>
      <c r="BH130" s="5" t="s">
        <v>302</v>
      </c>
      <c r="BI130" s="5" t="s">
        <v>303</v>
      </c>
      <c r="BJ130" s="5" t="s">
        <v>240</v>
      </c>
      <c r="BK130" s="8">
        <f>0</f>
        <v>0</v>
      </c>
      <c r="BL130" s="7">
        <f>0</f>
        <v>0</v>
      </c>
      <c r="BM130" s="5" t="s">
        <v>258</v>
      </c>
      <c r="BN130" s="5" t="s">
        <v>259</v>
      </c>
      <c r="CB130" s="5" t="s">
        <v>240</v>
      </c>
      <c r="CC130" s="5" t="s">
        <v>240</v>
      </c>
      <c r="CG130" s="5" t="s">
        <v>304</v>
      </c>
      <c r="CH130" s="5" t="s">
        <v>305</v>
      </c>
      <c r="CI130" s="5" t="s">
        <v>240</v>
      </c>
      <c r="CL130" s="6" t="s">
        <v>261</v>
      </c>
      <c r="CM130" s="5" t="s">
        <v>240</v>
      </c>
      <c r="CN130" s="5" t="s">
        <v>263</v>
      </c>
      <c r="CO130" s="5" t="s">
        <v>240</v>
      </c>
      <c r="CP130" s="5" t="s">
        <v>240</v>
      </c>
      <c r="CQ130" s="5">
        <v>0</v>
      </c>
      <c r="CR130" s="5" t="s">
        <v>306</v>
      </c>
      <c r="CS130" s="5" t="s">
        <v>307</v>
      </c>
      <c r="CT130" s="5" t="s">
        <v>307</v>
      </c>
      <c r="CU130" s="5" t="s">
        <v>260</v>
      </c>
      <c r="CX130" s="7">
        <f>1</f>
        <v>1</v>
      </c>
      <c r="CY130" s="7">
        <f>0</f>
        <v>0</v>
      </c>
      <c r="DA130" s="7">
        <f>0</f>
        <v>0</v>
      </c>
      <c r="DC130" s="5" t="s">
        <v>309</v>
      </c>
      <c r="DD130" s="5" t="s">
        <v>240</v>
      </c>
      <c r="DF130" s="5" t="s">
        <v>309</v>
      </c>
      <c r="DG130" s="7">
        <f>1145</f>
        <v>1145</v>
      </c>
      <c r="DI130" s="5" t="s">
        <v>240</v>
      </c>
      <c r="DJ130" s="5" t="s">
        <v>240</v>
      </c>
      <c r="DK130" s="5" t="s">
        <v>240</v>
      </c>
      <c r="DL130" s="5" t="s">
        <v>240</v>
      </c>
      <c r="DP130" s="5" t="s">
        <v>240</v>
      </c>
      <c r="DQ130" s="5" t="s">
        <v>240</v>
      </c>
      <c r="DR130" s="5" t="s">
        <v>240</v>
      </c>
      <c r="DS130" s="5" t="s">
        <v>240</v>
      </c>
      <c r="DV130" s="5" t="s">
        <v>310</v>
      </c>
      <c r="DW130" s="5" t="s">
        <v>562</v>
      </c>
      <c r="HO130" s="5" t="s">
        <v>312</v>
      </c>
    </row>
    <row r="131" spans="1:223" x14ac:dyDescent="0.4">
      <c r="A131" s="5">
        <v>842</v>
      </c>
      <c r="B131" s="5">
        <v>1</v>
      </c>
      <c r="C131" s="5">
        <v>3</v>
      </c>
      <c r="D131" s="5" t="s">
        <v>7013</v>
      </c>
      <c r="E131" s="5" t="s">
        <v>418</v>
      </c>
      <c r="F131" s="5" t="s">
        <v>254</v>
      </c>
      <c r="G131" s="5" t="s">
        <v>7014</v>
      </c>
      <c r="H131" s="6" t="s">
        <v>7015</v>
      </c>
      <c r="I131" s="5" t="s">
        <v>7012</v>
      </c>
      <c r="J131" s="8">
        <f>18.49</f>
        <v>18.489999999999998</v>
      </c>
      <c r="K131" s="5" t="s">
        <v>308</v>
      </c>
      <c r="L131" s="7">
        <f>2847958</f>
        <v>2847958</v>
      </c>
      <c r="M131" s="7">
        <f>2847958</f>
        <v>2847958</v>
      </c>
      <c r="N131" s="5" t="s">
        <v>242</v>
      </c>
      <c r="O131" s="5">
        <v>1</v>
      </c>
      <c r="P131" s="5" t="s">
        <v>294</v>
      </c>
      <c r="Q131" s="5" t="s">
        <v>266</v>
      </c>
      <c r="R131" s="5" t="s">
        <v>240</v>
      </c>
      <c r="S131" s="5" t="s">
        <v>240</v>
      </c>
      <c r="T131" s="5" t="s">
        <v>296</v>
      </c>
      <c r="U131" s="5" t="s">
        <v>244</v>
      </c>
      <c r="V131" s="5" t="s">
        <v>240</v>
      </c>
      <c r="Y131" s="5" t="s">
        <v>240</v>
      </c>
      <c r="Z131" s="6" t="s">
        <v>298</v>
      </c>
      <c r="AB131" s="6" t="s">
        <v>240</v>
      </c>
      <c r="AE131" s="6" t="s">
        <v>299</v>
      </c>
      <c r="AF131" s="5" t="s">
        <v>248</v>
      </c>
      <c r="AG131" s="5" t="s">
        <v>249</v>
      </c>
      <c r="AW131" s="5" t="s">
        <v>251</v>
      </c>
      <c r="AX131" s="5" t="s">
        <v>240</v>
      </c>
      <c r="AY131" s="5" t="s">
        <v>253</v>
      </c>
      <c r="AZ131" s="5" t="s">
        <v>240</v>
      </c>
      <c r="BA131" s="5" t="s">
        <v>255</v>
      </c>
      <c r="BB131" s="5" t="s">
        <v>240</v>
      </c>
      <c r="BD131" s="5" t="s">
        <v>240</v>
      </c>
      <c r="BF131" s="5" t="s">
        <v>301</v>
      </c>
      <c r="BG131" s="6" t="s">
        <v>299</v>
      </c>
      <c r="BH131" s="5" t="s">
        <v>302</v>
      </c>
      <c r="BI131" s="5" t="s">
        <v>303</v>
      </c>
      <c r="BJ131" s="5" t="s">
        <v>240</v>
      </c>
      <c r="BK131" s="8">
        <f>0</f>
        <v>0</v>
      </c>
      <c r="BL131" s="7">
        <f>0</f>
        <v>0</v>
      </c>
      <c r="BM131" s="5" t="s">
        <v>258</v>
      </c>
      <c r="BN131" s="5" t="s">
        <v>259</v>
      </c>
      <c r="CB131" s="5" t="s">
        <v>240</v>
      </c>
      <c r="CC131" s="5" t="s">
        <v>240</v>
      </c>
      <c r="CG131" s="5" t="s">
        <v>304</v>
      </c>
      <c r="CH131" s="5" t="s">
        <v>305</v>
      </c>
      <c r="CI131" s="5" t="s">
        <v>240</v>
      </c>
      <c r="CL131" s="6" t="s">
        <v>261</v>
      </c>
      <c r="CM131" s="5" t="s">
        <v>240</v>
      </c>
      <c r="CN131" s="5" t="s">
        <v>263</v>
      </c>
      <c r="CO131" s="5" t="s">
        <v>240</v>
      </c>
      <c r="CP131" s="5" t="s">
        <v>240</v>
      </c>
      <c r="CQ131" s="5">
        <v>0</v>
      </c>
      <c r="CR131" s="5" t="s">
        <v>306</v>
      </c>
      <c r="CS131" s="5" t="s">
        <v>307</v>
      </c>
      <c r="CT131" s="5" t="s">
        <v>307</v>
      </c>
      <c r="CU131" s="5" t="s">
        <v>260</v>
      </c>
      <c r="CX131" s="7">
        <f>1</f>
        <v>1</v>
      </c>
      <c r="CY131" s="7">
        <f>0</f>
        <v>0</v>
      </c>
      <c r="DA131" s="7">
        <f>0</f>
        <v>0</v>
      </c>
      <c r="DC131" s="5" t="s">
        <v>309</v>
      </c>
      <c r="DD131" s="5" t="s">
        <v>240</v>
      </c>
      <c r="DF131" s="5" t="s">
        <v>309</v>
      </c>
      <c r="DG131" s="7">
        <f>1690</f>
        <v>1690</v>
      </c>
      <c r="DI131" s="5" t="s">
        <v>240</v>
      </c>
      <c r="DJ131" s="5" t="s">
        <v>240</v>
      </c>
      <c r="DK131" s="5" t="s">
        <v>240</v>
      </c>
      <c r="DL131" s="5" t="s">
        <v>240</v>
      </c>
      <c r="DP131" s="5" t="s">
        <v>240</v>
      </c>
      <c r="DQ131" s="5" t="s">
        <v>240</v>
      </c>
      <c r="DR131" s="5" t="s">
        <v>240</v>
      </c>
      <c r="DS131" s="5" t="s">
        <v>240</v>
      </c>
      <c r="DV131" s="5" t="s">
        <v>310</v>
      </c>
      <c r="DW131" s="5" t="s">
        <v>564</v>
      </c>
      <c r="HO131" s="5" t="s">
        <v>312</v>
      </c>
    </row>
    <row r="132" spans="1:223" x14ac:dyDescent="0.4">
      <c r="A132" s="5">
        <v>843</v>
      </c>
      <c r="B132" s="5">
        <v>1</v>
      </c>
      <c r="C132" s="5">
        <v>1</v>
      </c>
      <c r="D132" s="5" t="s">
        <v>3211</v>
      </c>
      <c r="E132" s="5" t="s">
        <v>418</v>
      </c>
      <c r="F132" s="5" t="s">
        <v>254</v>
      </c>
      <c r="G132" s="5" t="s">
        <v>3212</v>
      </c>
      <c r="H132" s="6" t="s">
        <v>3213</v>
      </c>
      <c r="I132" s="5" t="s">
        <v>3210</v>
      </c>
      <c r="J132" s="8">
        <f>1223</f>
        <v>1223</v>
      </c>
      <c r="K132" s="5" t="s">
        <v>308</v>
      </c>
      <c r="L132" s="7">
        <f>2708945</f>
        <v>2708945</v>
      </c>
      <c r="M132" s="7">
        <f>2708945</f>
        <v>2708945</v>
      </c>
      <c r="N132" s="5" t="s">
        <v>242</v>
      </c>
      <c r="O132" s="5">
        <v>1</v>
      </c>
      <c r="P132" s="5" t="s">
        <v>294</v>
      </c>
      <c r="Q132" s="5" t="s">
        <v>266</v>
      </c>
      <c r="R132" s="5" t="s">
        <v>240</v>
      </c>
      <c r="S132" s="5" t="s">
        <v>240</v>
      </c>
      <c r="T132" s="5" t="s">
        <v>296</v>
      </c>
      <c r="U132" s="5" t="s">
        <v>244</v>
      </c>
      <c r="V132" s="5" t="s">
        <v>240</v>
      </c>
      <c r="Y132" s="5" t="s">
        <v>240</v>
      </c>
      <c r="Z132" s="6" t="s">
        <v>298</v>
      </c>
      <c r="AB132" s="6" t="s">
        <v>240</v>
      </c>
      <c r="AE132" s="6" t="s">
        <v>299</v>
      </c>
      <c r="AF132" s="5" t="s">
        <v>248</v>
      </c>
      <c r="AG132" s="5" t="s">
        <v>249</v>
      </c>
      <c r="AW132" s="5" t="s">
        <v>251</v>
      </c>
      <c r="AX132" s="5" t="s">
        <v>240</v>
      </c>
      <c r="AY132" s="5" t="s">
        <v>253</v>
      </c>
      <c r="AZ132" s="5" t="s">
        <v>240</v>
      </c>
      <c r="BA132" s="5" t="s">
        <v>255</v>
      </c>
      <c r="BB132" s="5" t="s">
        <v>240</v>
      </c>
      <c r="BD132" s="5" t="s">
        <v>240</v>
      </c>
      <c r="BF132" s="5" t="s">
        <v>301</v>
      </c>
      <c r="BG132" s="6" t="s">
        <v>299</v>
      </c>
      <c r="BH132" s="5" t="s">
        <v>302</v>
      </c>
      <c r="BI132" s="5" t="s">
        <v>303</v>
      </c>
      <c r="BJ132" s="5" t="s">
        <v>240</v>
      </c>
      <c r="BK132" s="8">
        <f>0</f>
        <v>0</v>
      </c>
      <c r="BL132" s="7">
        <f>0</f>
        <v>0</v>
      </c>
      <c r="BM132" s="5" t="s">
        <v>258</v>
      </c>
      <c r="BN132" s="5" t="s">
        <v>259</v>
      </c>
      <c r="CB132" s="5" t="s">
        <v>240</v>
      </c>
      <c r="CC132" s="5" t="s">
        <v>240</v>
      </c>
      <c r="CG132" s="5" t="s">
        <v>304</v>
      </c>
      <c r="CH132" s="5" t="s">
        <v>305</v>
      </c>
      <c r="CI132" s="5" t="s">
        <v>240</v>
      </c>
      <c r="CL132" s="6" t="s">
        <v>261</v>
      </c>
      <c r="CM132" s="5" t="s">
        <v>240</v>
      </c>
      <c r="CN132" s="5" t="s">
        <v>263</v>
      </c>
      <c r="CO132" s="5" t="s">
        <v>240</v>
      </c>
      <c r="CP132" s="5" t="s">
        <v>240</v>
      </c>
      <c r="CQ132" s="5">
        <v>0</v>
      </c>
      <c r="CR132" s="5" t="s">
        <v>306</v>
      </c>
      <c r="CS132" s="5" t="s">
        <v>307</v>
      </c>
      <c r="CT132" s="5" t="s">
        <v>307</v>
      </c>
      <c r="CU132" s="5" t="s">
        <v>260</v>
      </c>
      <c r="CX132" s="7">
        <f>1</f>
        <v>1</v>
      </c>
      <c r="CY132" s="7">
        <f>0</f>
        <v>0</v>
      </c>
      <c r="DA132" s="7">
        <f>0</f>
        <v>0</v>
      </c>
      <c r="DC132" s="5" t="s">
        <v>309</v>
      </c>
      <c r="DD132" s="5" t="s">
        <v>240</v>
      </c>
      <c r="DF132" s="5" t="s">
        <v>309</v>
      </c>
      <c r="DG132" s="7">
        <f>158</f>
        <v>158</v>
      </c>
      <c r="DI132" s="5" t="s">
        <v>240</v>
      </c>
      <c r="DJ132" s="5" t="s">
        <v>240</v>
      </c>
      <c r="DK132" s="5" t="s">
        <v>240</v>
      </c>
      <c r="DL132" s="5" t="s">
        <v>240</v>
      </c>
      <c r="DP132" s="5" t="s">
        <v>240</v>
      </c>
      <c r="DQ132" s="5" t="s">
        <v>240</v>
      </c>
      <c r="DR132" s="5" t="s">
        <v>240</v>
      </c>
      <c r="DS132" s="5" t="s">
        <v>240</v>
      </c>
      <c r="DV132" s="5" t="s">
        <v>310</v>
      </c>
      <c r="DW132" s="5" t="s">
        <v>566</v>
      </c>
      <c r="HO132" s="5" t="s">
        <v>312</v>
      </c>
    </row>
    <row r="133" spans="1:223" x14ac:dyDescent="0.4">
      <c r="A133" s="5">
        <v>844</v>
      </c>
      <c r="B133" s="5">
        <v>1</v>
      </c>
      <c r="C133" s="5">
        <v>1</v>
      </c>
      <c r="D133" s="5" t="s">
        <v>684</v>
      </c>
      <c r="E133" s="5" t="s">
        <v>418</v>
      </c>
      <c r="F133" s="5" t="s">
        <v>254</v>
      </c>
      <c r="G133" s="5" t="s">
        <v>240</v>
      </c>
      <c r="H133" s="6" t="s">
        <v>685</v>
      </c>
      <c r="I133" s="5" t="s">
        <v>683</v>
      </c>
      <c r="J133" s="8">
        <f>1781</f>
        <v>1781</v>
      </c>
      <c r="K133" s="5" t="s">
        <v>308</v>
      </c>
      <c r="L133" s="7">
        <f>3944915</f>
        <v>3944915</v>
      </c>
      <c r="M133" s="7">
        <f>3944915</f>
        <v>3944915</v>
      </c>
      <c r="N133" s="5" t="s">
        <v>242</v>
      </c>
      <c r="O133" s="5">
        <v>1</v>
      </c>
      <c r="P133" s="5" t="s">
        <v>294</v>
      </c>
      <c r="Q133" s="5" t="s">
        <v>266</v>
      </c>
      <c r="R133" s="5" t="s">
        <v>240</v>
      </c>
      <c r="S133" s="5" t="s">
        <v>240</v>
      </c>
      <c r="T133" s="5" t="s">
        <v>296</v>
      </c>
      <c r="U133" s="5" t="s">
        <v>244</v>
      </c>
      <c r="V133" s="5" t="s">
        <v>240</v>
      </c>
      <c r="Y133" s="5" t="s">
        <v>240</v>
      </c>
      <c r="Z133" s="6" t="s">
        <v>298</v>
      </c>
      <c r="AB133" s="6" t="s">
        <v>240</v>
      </c>
      <c r="AE133" s="6" t="s">
        <v>299</v>
      </c>
      <c r="AF133" s="5" t="s">
        <v>248</v>
      </c>
      <c r="AG133" s="5" t="s">
        <v>249</v>
      </c>
      <c r="AW133" s="5" t="s">
        <v>251</v>
      </c>
      <c r="AX133" s="5" t="s">
        <v>240</v>
      </c>
      <c r="AY133" s="5" t="s">
        <v>253</v>
      </c>
      <c r="AZ133" s="5" t="s">
        <v>240</v>
      </c>
      <c r="BA133" s="5" t="s">
        <v>255</v>
      </c>
      <c r="BB133" s="5" t="s">
        <v>240</v>
      </c>
      <c r="BD133" s="5" t="s">
        <v>240</v>
      </c>
      <c r="BF133" s="5" t="s">
        <v>301</v>
      </c>
      <c r="BG133" s="6" t="s">
        <v>299</v>
      </c>
      <c r="BH133" s="5" t="s">
        <v>302</v>
      </c>
      <c r="BI133" s="5" t="s">
        <v>303</v>
      </c>
      <c r="BJ133" s="5" t="s">
        <v>240</v>
      </c>
      <c r="BK133" s="8">
        <f>0</f>
        <v>0</v>
      </c>
      <c r="BL133" s="7">
        <f>0</f>
        <v>0</v>
      </c>
      <c r="BM133" s="5" t="s">
        <v>258</v>
      </c>
      <c r="BN133" s="5" t="s">
        <v>259</v>
      </c>
      <c r="CB133" s="5" t="s">
        <v>240</v>
      </c>
      <c r="CC133" s="5" t="s">
        <v>240</v>
      </c>
      <c r="CG133" s="5" t="s">
        <v>304</v>
      </c>
      <c r="CH133" s="5" t="s">
        <v>305</v>
      </c>
      <c r="CI133" s="5" t="s">
        <v>240</v>
      </c>
      <c r="CL133" s="6" t="s">
        <v>261</v>
      </c>
      <c r="CM133" s="5" t="s">
        <v>240</v>
      </c>
      <c r="CN133" s="5" t="s">
        <v>263</v>
      </c>
      <c r="CO133" s="5" t="s">
        <v>240</v>
      </c>
      <c r="CP133" s="5" t="s">
        <v>240</v>
      </c>
      <c r="CQ133" s="5">
        <v>0</v>
      </c>
      <c r="CR133" s="5" t="s">
        <v>306</v>
      </c>
      <c r="CS133" s="5" t="s">
        <v>307</v>
      </c>
      <c r="CT133" s="5" t="s">
        <v>307</v>
      </c>
      <c r="CU133" s="5" t="s">
        <v>260</v>
      </c>
      <c r="CX133" s="7">
        <f>1</f>
        <v>1</v>
      </c>
      <c r="CY133" s="7">
        <f>0</f>
        <v>0</v>
      </c>
      <c r="DA133" s="7">
        <f>0</f>
        <v>0</v>
      </c>
      <c r="DC133" s="5" t="s">
        <v>309</v>
      </c>
      <c r="DD133" s="5" t="s">
        <v>240</v>
      </c>
      <c r="DF133" s="5" t="s">
        <v>309</v>
      </c>
      <c r="DG133" s="7">
        <f>2354</f>
        <v>2354</v>
      </c>
      <c r="DI133" s="5" t="s">
        <v>240</v>
      </c>
      <c r="DJ133" s="5" t="s">
        <v>240</v>
      </c>
      <c r="DK133" s="5" t="s">
        <v>240</v>
      </c>
      <c r="DL133" s="5" t="s">
        <v>240</v>
      </c>
      <c r="DP133" s="5" t="s">
        <v>240</v>
      </c>
      <c r="DQ133" s="5" t="s">
        <v>240</v>
      </c>
      <c r="DR133" s="5" t="s">
        <v>240</v>
      </c>
      <c r="DS133" s="5" t="s">
        <v>240</v>
      </c>
      <c r="DV133" s="5" t="s">
        <v>310</v>
      </c>
      <c r="DW133" s="5" t="s">
        <v>568</v>
      </c>
      <c r="HO133" s="5" t="s">
        <v>312</v>
      </c>
    </row>
    <row r="134" spans="1:223" x14ac:dyDescent="0.4">
      <c r="A134" s="5">
        <v>845</v>
      </c>
      <c r="B134" s="5">
        <v>1</v>
      </c>
      <c r="C134" s="5">
        <v>1</v>
      </c>
      <c r="D134" s="5" t="s">
        <v>1925</v>
      </c>
      <c r="E134" s="5" t="s">
        <v>418</v>
      </c>
      <c r="F134" s="5" t="s">
        <v>254</v>
      </c>
      <c r="G134" s="5" t="s">
        <v>240</v>
      </c>
      <c r="H134" s="6" t="s">
        <v>1926</v>
      </c>
      <c r="I134" s="5" t="s">
        <v>1924</v>
      </c>
      <c r="J134" s="8">
        <f>1330</f>
        <v>1330</v>
      </c>
      <c r="K134" s="5" t="s">
        <v>308</v>
      </c>
      <c r="L134" s="7">
        <f>2945950</f>
        <v>2945950</v>
      </c>
      <c r="M134" s="7">
        <f>2945950</f>
        <v>2945950</v>
      </c>
      <c r="N134" s="5" t="s">
        <v>242</v>
      </c>
      <c r="O134" s="5">
        <v>1</v>
      </c>
      <c r="P134" s="5" t="s">
        <v>294</v>
      </c>
      <c r="Q134" s="5" t="s">
        <v>266</v>
      </c>
      <c r="R134" s="5" t="s">
        <v>240</v>
      </c>
      <c r="S134" s="5" t="s">
        <v>240</v>
      </c>
      <c r="T134" s="5" t="s">
        <v>296</v>
      </c>
      <c r="U134" s="5" t="s">
        <v>244</v>
      </c>
      <c r="V134" s="5" t="s">
        <v>240</v>
      </c>
      <c r="Y134" s="5" t="s">
        <v>240</v>
      </c>
      <c r="Z134" s="6" t="s">
        <v>298</v>
      </c>
      <c r="AB134" s="6" t="s">
        <v>240</v>
      </c>
      <c r="AE134" s="6" t="s">
        <v>299</v>
      </c>
      <c r="AF134" s="5" t="s">
        <v>248</v>
      </c>
      <c r="AG134" s="5" t="s">
        <v>249</v>
      </c>
      <c r="AW134" s="5" t="s">
        <v>251</v>
      </c>
      <c r="AX134" s="5" t="s">
        <v>240</v>
      </c>
      <c r="AY134" s="5" t="s">
        <v>253</v>
      </c>
      <c r="AZ134" s="5" t="s">
        <v>240</v>
      </c>
      <c r="BA134" s="5" t="s">
        <v>255</v>
      </c>
      <c r="BB134" s="5" t="s">
        <v>240</v>
      </c>
      <c r="BD134" s="5" t="s">
        <v>240</v>
      </c>
      <c r="BF134" s="5" t="s">
        <v>301</v>
      </c>
      <c r="BG134" s="6" t="s">
        <v>299</v>
      </c>
      <c r="BH134" s="5" t="s">
        <v>302</v>
      </c>
      <c r="BI134" s="5" t="s">
        <v>303</v>
      </c>
      <c r="BJ134" s="5" t="s">
        <v>240</v>
      </c>
      <c r="BK134" s="8">
        <f>0</f>
        <v>0</v>
      </c>
      <c r="BL134" s="7">
        <f>0</f>
        <v>0</v>
      </c>
      <c r="BM134" s="5" t="s">
        <v>258</v>
      </c>
      <c r="BN134" s="5" t="s">
        <v>259</v>
      </c>
      <c r="CB134" s="5" t="s">
        <v>240</v>
      </c>
      <c r="CC134" s="5" t="s">
        <v>240</v>
      </c>
      <c r="CG134" s="5" t="s">
        <v>304</v>
      </c>
      <c r="CH134" s="5" t="s">
        <v>305</v>
      </c>
      <c r="CI134" s="5" t="s">
        <v>240</v>
      </c>
      <c r="CL134" s="6" t="s">
        <v>261</v>
      </c>
      <c r="CM134" s="5" t="s">
        <v>240</v>
      </c>
      <c r="CN134" s="5" t="s">
        <v>263</v>
      </c>
      <c r="CO134" s="5" t="s">
        <v>240</v>
      </c>
      <c r="CP134" s="5" t="s">
        <v>240</v>
      </c>
      <c r="CQ134" s="5">
        <v>0</v>
      </c>
      <c r="CR134" s="5" t="s">
        <v>306</v>
      </c>
      <c r="CS134" s="5" t="s">
        <v>307</v>
      </c>
      <c r="CT134" s="5" t="s">
        <v>307</v>
      </c>
      <c r="CU134" s="5" t="s">
        <v>260</v>
      </c>
      <c r="CX134" s="7">
        <f>1</f>
        <v>1</v>
      </c>
      <c r="CY134" s="7">
        <f>0</f>
        <v>0</v>
      </c>
      <c r="DA134" s="7">
        <f>0</f>
        <v>0</v>
      </c>
      <c r="DC134" s="5" t="s">
        <v>309</v>
      </c>
      <c r="DD134" s="5" t="s">
        <v>240</v>
      </c>
      <c r="DF134" s="5" t="s">
        <v>309</v>
      </c>
      <c r="DG134" s="7">
        <f>2935</f>
        <v>2935</v>
      </c>
      <c r="DI134" s="5" t="s">
        <v>240</v>
      </c>
      <c r="DJ134" s="5" t="s">
        <v>240</v>
      </c>
      <c r="DK134" s="5" t="s">
        <v>240</v>
      </c>
      <c r="DL134" s="5" t="s">
        <v>240</v>
      </c>
      <c r="DP134" s="5" t="s">
        <v>240</v>
      </c>
      <c r="DQ134" s="5" t="s">
        <v>240</v>
      </c>
      <c r="DR134" s="5" t="s">
        <v>240</v>
      </c>
      <c r="DS134" s="5" t="s">
        <v>240</v>
      </c>
      <c r="DV134" s="5" t="s">
        <v>310</v>
      </c>
      <c r="DW134" s="5" t="s">
        <v>570</v>
      </c>
      <c r="HO134" s="5" t="s">
        <v>312</v>
      </c>
    </row>
    <row r="135" spans="1:223" x14ac:dyDescent="0.4">
      <c r="A135" s="5">
        <v>846</v>
      </c>
      <c r="B135" s="5">
        <v>1</v>
      </c>
      <c r="C135" s="5">
        <v>1</v>
      </c>
      <c r="D135" s="5" t="s">
        <v>1729</v>
      </c>
      <c r="E135" s="5" t="s">
        <v>418</v>
      </c>
      <c r="F135" s="5" t="s">
        <v>254</v>
      </c>
      <c r="G135" s="5" t="s">
        <v>240</v>
      </c>
      <c r="H135" s="6" t="s">
        <v>1730</v>
      </c>
      <c r="I135" s="5" t="s">
        <v>1728</v>
      </c>
      <c r="J135" s="8">
        <f>1210</f>
        <v>1210</v>
      </c>
      <c r="K135" s="5" t="s">
        <v>308</v>
      </c>
      <c r="L135" s="7">
        <f>2680150</f>
        <v>2680150</v>
      </c>
      <c r="M135" s="7">
        <f>2680150</f>
        <v>2680150</v>
      </c>
      <c r="N135" s="5" t="s">
        <v>242</v>
      </c>
      <c r="O135" s="5">
        <v>1</v>
      </c>
      <c r="P135" s="5" t="s">
        <v>294</v>
      </c>
      <c r="Q135" s="5" t="s">
        <v>266</v>
      </c>
      <c r="R135" s="5" t="s">
        <v>240</v>
      </c>
      <c r="S135" s="5" t="s">
        <v>240</v>
      </c>
      <c r="T135" s="5" t="s">
        <v>296</v>
      </c>
      <c r="U135" s="5" t="s">
        <v>244</v>
      </c>
      <c r="V135" s="5" t="s">
        <v>240</v>
      </c>
      <c r="Y135" s="5" t="s">
        <v>240</v>
      </c>
      <c r="Z135" s="6" t="s">
        <v>298</v>
      </c>
      <c r="AB135" s="6" t="s">
        <v>240</v>
      </c>
      <c r="AE135" s="6" t="s">
        <v>299</v>
      </c>
      <c r="AF135" s="5" t="s">
        <v>248</v>
      </c>
      <c r="AG135" s="5" t="s">
        <v>249</v>
      </c>
      <c r="AW135" s="5" t="s">
        <v>251</v>
      </c>
      <c r="AX135" s="5" t="s">
        <v>240</v>
      </c>
      <c r="AY135" s="5" t="s">
        <v>253</v>
      </c>
      <c r="AZ135" s="5" t="s">
        <v>240</v>
      </c>
      <c r="BA135" s="5" t="s">
        <v>255</v>
      </c>
      <c r="BB135" s="5" t="s">
        <v>240</v>
      </c>
      <c r="BD135" s="5" t="s">
        <v>240</v>
      </c>
      <c r="BF135" s="5" t="s">
        <v>301</v>
      </c>
      <c r="BG135" s="6" t="s">
        <v>299</v>
      </c>
      <c r="BH135" s="5" t="s">
        <v>302</v>
      </c>
      <c r="BI135" s="5" t="s">
        <v>303</v>
      </c>
      <c r="BJ135" s="5" t="s">
        <v>240</v>
      </c>
      <c r="BK135" s="8">
        <f>0</f>
        <v>0</v>
      </c>
      <c r="BL135" s="7">
        <f>0</f>
        <v>0</v>
      </c>
      <c r="BM135" s="5" t="s">
        <v>258</v>
      </c>
      <c r="BN135" s="5" t="s">
        <v>259</v>
      </c>
      <c r="CB135" s="5" t="s">
        <v>240</v>
      </c>
      <c r="CC135" s="5" t="s">
        <v>240</v>
      </c>
      <c r="CG135" s="5" t="s">
        <v>304</v>
      </c>
      <c r="CH135" s="5" t="s">
        <v>305</v>
      </c>
      <c r="CI135" s="5" t="s">
        <v>240</v>
      </c>
      <c r="CL135" s="6" t="s">
        <v>261</v>
      </c>
      <c r="CM135" s="5" t="s">
        <v>240</v>
      </c>
      <c r="CN135" s="5" t="s">
        <v>263</v>
      </c>
      <c r="CO135" s="5" t="s">
        <v>240</v>
      </c>
      <c r="CP135" s="5" t="s">
        <v>240</v>
      </c>
      <c r="CQ135" s="5">
        <v>0</v>
      </c>
      <c r="CR135" s="5" t="s">
        <v>306</v>
      </c>
      <c r="CS135" s="5" t="s">
        <v>307</v>
      </c>
      <c r="CT135" s="5" t="s">
        <v>307</v>
      </c>
      <c r="CU135" s="5" t="s">
        <v>260</v>
      </c>
      <c r="CX135" s="7">
        <f>1</f>
        <v>1</v>
      </c>
      <c r="CY135" s="7">
        <f>0</f>
        <v>0</v>
      </c>
      <c r="DA135" s="7">
        <f>0</f>
        <v>0</v>
      </c>
      <c r="DC135" s="5" t="s">
        <v>309</v>
      </c>
      <c r="DD135" s="5" t="s">
        <v>240</v>
      </c>
      <c r="DF135" s="5" t="s">
        <v>309</v>
      </c>
      <c r="DG135" s="7">
        <f>2322</f>
        <v>2322</v>
      </c>
      <c r="DI135" s="5" t="s">
        <v>240</v>
      </c>
      <c r="DJ135" s="5" t="s">
        <v>240</v>
      </c>
      <c r="DK135" s="5" t="s">
        <v>240</v>
      </c>
      <c r="DL135" s="5" t="s">
        <v>240</v>
      </c>
      <c r="DP135" s="5" t="s">
        <v>240</v>
      </c>
      <c r="DQ135" s="5" t="s">
        <v>240</v>
      </c>
      <c r="DR135" s="5" t="s">
        <v>240</v>
      </c>
      <c r="DS135" s="5" t="s">
        <v>240</v>
      </c>
      <c r="DV135" s="5" t="s">
        <v>310</v>
      </c>
      <c r="DW135" s="5" t="s">
        <v>572</v>
      </c>
      <c r="HO135" s="5" t="s">
        <v>312</v>
      </c>
    </row>
    <row r="136" spans="1:223" x14ac:dyDescent="0.4">
      <c r="A136" s="5">
        <v>847</v>
      </c>
      <c r="B136" s="5">
        <v>1</v>
      </c>
      <c r="C136" s="5">
        <v>1</v>
      </c>
      <c r="D136" s="5" t="s">
        <v>4486</v>
      </c>
      <c r="E136" s="5" t="s">
        <v>418</v>
      </c>
      <c r="F136" s="5" t="s">
        <v>254</v>
      </c>
      <c r="G136" s="5" t="s">
        <v>240</v>
      </c>
      <c r="H136" s="6" t="s">
        <v>4487</v>
      </c>
      <c r="I136" s="5" t="s">
        <v>4485</v>
      </c>
      <c r="J136" s="8">
        <f>2228</f>
        <v>2228</v>
      </c>
      <c r="K136" s="5" t="s">
        <v>308</v>
      </c>
      <c r="L136" s="7">
        <f>4935020</f>
        <v>4935020</v>
      </c>
      <c r="M136" s="7">
        <f>4935020</f>
        <v>4935020</v>
      </c>
      <c r="N136" s="5" t="s">
        <v>242</v>
      </c>
      <c r="O136" s="5">
        <v>1</v>
      </c>
      <c r="P136" s="5" t="s">
        <v>294</v>
      </c>
      <c r="Q136" s="5" t="s">
        <v>266</v>
      </c>
      <c r="R136" s="5" t="s">
        <v>240</v>
      </c>
      <c r="S136" s="5" t="s">
        <v>240</v>
      </c>
      <c r="T136" s="5" t="s">
        <v>296</v>
      </c>
      <c r="U136" s="5" t="s">
        <v>244</v>
      </c>
      <c r="V136" s="5" t="s">
        <v>240</v>
      </c>
      <c r="Y136" s="5" t="s">
        <v>240</v>
      </c>
      <c r="Z136" s="6" t="s">
        <v>298</v>
      </c>
      <c r="AB136" s="6" t="s">
        <v>240</v>
      </c>
      <c r="AE136" s="6" t="s">
        <v>299</v>
      </c>
      <c r="AF136" s="5" t="s">
        <v>248</v>
      </c>
      <c r="AG136" s="5" t="s">
        <v>249</v>
      </c>
      <c r="AW136" s="5" t="s">
        <v>251</v>
      </c>
      <c r="AX136" s="5" t="s">
        <v>240</v>
      </c>
      <c r="AY136" s="5" t="s">
        <v>253</v>
      </c>
      <c r="AZ136" s="5" t="s">
        <v>240</v>
      </c>
      <c r="BA136" s="5" t="s">
        <v>255</v>
      </c>
      <c r="BB136" s="5" t="s">
        <v>240</v>
      </c>
      <c r="BD136" s="5" t="s">
        <v>240</v>
      </c>
      <c r="BF136" s="5" t="s">
        <v>301</v>
      </c>
      <c r="BG136" s="6" t="s">
        <v>299</v>
      </c>
      <c r="BH136" s="5" t="s">
        <v>302</v>
      </c>
      <c r="BI136" s="5" t="s">
        <v>303</v>
      </c>
      <c r="BJ136" s="5" t="s">
        <v>240</v>
      </c>
      <c r="BK136" s="8">
        <f>0</f>
        <v>0</v>
      </c>
      <c r="BL136" s="7">
        <f>0</f>
        <v>0</v>
      </c>
      <c r="BM136" s="5" t="s">
        <v>258</v>
      </c>
      <c r="BN136" s="5" t="s">
        <v>259</v>
      </c>
      <c r="CB136" s="5" t="s">
        <v>240</v>
      </c>
      <c r="CC136" s="5" t="s">
        <v>240</v>
      </c>
      <c r="CG136" s="5" t="s">
        <v>304</v>
      </c>
      <c r="CH136" s="5" t="s">
        <v>305</v>
      </c>
      <c r="CI136" s="5" t="s">
        <v>240</v>
      </c>
      <c r="CL136" s="6" t="s">
        <v>261</v>
      </c>
      <c r="CM136" s="5" t="s">
        <v>240</v>
      </c>
      <c r="CN136" s="5" t="s">
        <v>263</v>
      </c>
      <c r="CO136" s="5" t="s">
        <v>240</v>
      </c>
      <c r="CP136" s="5" t="s">
        <v>240</v>
      </c>
      <c r="CQ136" s="5">
        <v>0</v>
      </c>
      <c r="CR136" s="5" t="s">
        <v>306</v>
      </c>
      <c r="CS136" s="5" t="s">
        <v>307</v>
      </c>
      <c r="CT136" s="5" t="s">
        <v>307</v>
      </c>
      <c r="CU136" s="5" t="s">
        <v>260</v>
      </c>
      <c r="CX136" s="7">
        <f>1</f>
        <v>1</v>
      </c>
      <c r="CY136" s="7">
        <f>0</f>
        <v>0</v>
      </c>
      <c r="DA136" s="7">
        <f>0</f>
        <v>0</v>
      </c>
      <c r="DC136" s="5" t="s">
        <v>309</v>
      </c>
      <c r="DD136" s="5" t="s">
        <v>240</v>
      </c>
      <c r="DF136" s="5" t="s">
        <v>309</v>
      </c>
      <c r="DG136" s="7">
        <f>3431</f>
        <v>3431</v>
      </c>
      <c r="DI136" s="5" t="s">
        <v>240</v>
      </c>
      <c r="DJ136" s="5" t="s">
        <v>240</v>
      </c>
      <c r="DK136" s="5" t="s">
        <v>240</v>
      </c>
      <c r="DL136" s="5" t="s">
        <v>240</v>
      </c>
      <c r="DP136" s="5" t="s">
        <v>240</v>
      </c>
      <c r="DQ136" s="5" t="s">
        <v>240</v>
      </c>
      <c r="DR136" s="5" t="s">
        <v>240</v>
      </c>
      <c r="DS136" s="5" t="s">
        <v>240</v>
      </c>
      <c r="DV136" s="5" t="s">
        <v>310</v>
      </c>
      <c r="DW136" s="5" t="s">
        <v>574</v>
      </c>
      <c r="HO136" s="5" t="s">
        <v>312</v>
      </c>
    </row>
    <row r="137" spans="1:223" x14ac:dyDescent="0.4">
      <c r="A137" s="5">
        <v>848</v>
      </c>
      <c r="B137" s="5">
        <v>1</v>
      </c>
      <c r="C137" s="5">
        <v>1</v>
      </c>
      <c r="D137" s="5" t="s">
        <v>1724</v>
      </c>
      <c r="E137" s="5" t="s">
        <v>418</v>
      </c>
      <c r="F137" s="5" t="s">
        <v>254</v>
      </c>
      <c r="G137" s="5" t="s">
        <v>240</v>
      </c>
      <c r="H137" s="6" t="s">
        <v>1725</v>
      </c>
      <c r="I137" s="5" t="s">
        <v>1723</v>
      </c>
      <c r="J137" s="8">
        <f>730</f>
        <v>730</v>
      </c>
      <c r="K137" s="5" t="s">
        <v>308</v>
      </c>
      <c r="L137" s="7">
        <f>1616950</f>
        <v>1616950</v>
      </c>
      <c r="M137" s="7">
        <f>1616950</f>
        <v>1616950</v>
      </c>
      <c r="N137" s="5" t="s">
        <v>242</v>
      </c>
      <c r="O137" s="5">
        <v>1</v>
      </c>
      <c r="P137" s="5" t="s">
        <v>294</v>
      </c>
      <c r="Q137" s="5" t="s">
        <v>266</v>
      </c>
      <c r="R137" s="5" t="s">
        <v>240</v>
      </c>
      <c r="S137" s="5" t="s">
        <v>240</v>
      </c>
      <c r="T137" s="5" t="s">
        <v>296</v>
      </c>
      <c r="U137" s="5" t="s">
        <v>244</v>
      </c>
      <c r="V137" s="5" t="s">
        <v>240</v>
      </c>
      <c r="Y137" s="5" t="s">
        <v>240</v>
      </c>
      <c r="Z137" s="6" t="s">
        <v>298</v>
      </c>
      <c r="AB137" s="6" t="s">
        <v>240</v>
      </c>
      <c r="AE137" s="6" t="s">
        <v>299</v>
      </c>
      <c r="AF137" s="5" t="s">
        <v>248</v>
      </c>
      <c r="AG137" s="5" t="s">
        <v>249</v>
      </c>
      <c r="AW137" s="5" t="s">
        <v>251</v>
      </c>
      <c r="AX137" s="5" t="s">
        <v>240</v>
      </c>
      <c r="AY137" s="5" t="s">
        <v>253</v>
      </c>
      <c r="AZ137" s="5" t="s">
        <v>240</v>
      </c>
      <c r="BA137" s="5" t="s">
        <v>255</v>
      </c>
      <c r="BB137" s="5" t="s">
        <v>240</v>
      </c>
      <c r="BD137" s="5" t="s">
        <v>240</v>
      </c>
      <c r="BF137" s="5" t="s">
        <v>301</v>
      </c>
      <c r="BG137" s="6" t="s">
        <v>299</v>
      </c>
      <c r="BH137" s="5" t="s">
        <v>302</v>
      </c>
      <c r="BI137" s="5" t="s">
        <v>303</v>
      </c>
      <c r="BJ137" s="5" t="s">
        <v>240</v>
      </c>
      <c r="BK137" s="8">
        <f>0</f>
        <v>0</v>
      </c>
      <c r="BL137" s="7">
        <f>0</f>
        <v>0</v>
      </c>
      <c r="BM137" s="5" t="s">
        <v>258</v>
      </c>
      <c r="BN137" s="5" t="s">
        <v>259</v>
      </c>
      <c r="CB137" s="5" t="s">
        <v>240</v>
      </c>
      <c r="CC137" s="5" t="s">
        <v>240</v>
      </c>
      <c r="CG137" s="5" t="s">
        <v>304</v>
      </c>
      <c r="CH137" s="5" t="s">
        <v>305</v>
      </c>
      <c r="CI137" s="5" t="s">
        <v>240</v>
      </c>
      <c r="CL137" s="6" t="s">
        <v>261</v>
      </c>
      <c r="CM137" s="5" t="s">
        <v>240</v>
      </c>
      <c r="CN137" s="5" t="s">
        <v>263</v>
      </c>
      <c r="CO137" s="5" t="s">
        <v>240</v>
      </c>
      <c r="CP137" s="5" t="s">
        <v>240</v>
      </c>
      <c r="CQ137" s="5">
        <v>0</v>
      </c>
      <c r="CR137" s="5" t="s">
        <v>306</v>
      </c>
      <c r="CS137" s="5" t="s">
        <v>307</v>
      </c>
      <c r="CT137" s="5" t="s">
        <v>307</v>
      </c>
      <c r="CU137" s="5" t="s">
        <v>260</v>
      </c>
      <c r="CX137" s="7">
        <f>1</f>
        <v>1</v>
      </c>
      <c r="CY137" s="7">
        <f>0</f>
        <v>0</v>
      </c>
      <c r="DA137" s="7">
        <f>0</f>
        <v>0</v>
      </c>
      <c r="DC137" s="5" t="s">
        <v>309</v>
      </c>
      <c r="DD137" s="5" t="s">
        <v>240</v>
      </c>
      <c r="DF137" s="5" t="s">
        <v>309</v>
      </c>
      <c r="DG137" s="7">
        <f>236</f>
        <v>236</v>
      </c>
      <c r="DI137" s="5" t="s">
        <v>240</v>
      </c>
      <c r="DJ137" s="5" t="s">
        <v>240</v>
      </c>
      <c r="DK137" s="5" t="s">
        <v>240</v>
      </c>
      <c r="DL137" s="5" t="s">
        <v>240</v>
      </c>
      <c r="DP137" s="5" t="s">
        <v>240</v>
      </c>
      <c r="DQ137" s="5" t="s">
        <v>240</v>
      </c>
      <c r="DR137" s="5" t="s">
        <v>240</v>
      </c>
      <c r="DS137" s="5" t="s">
        <v>240</v>
      </c>
      <c r="DV137" s="5" t="s">
        <v>310</v>
      </c>
      <c r="DW137" s="5" t="s">
        <v>576</v>
      </c>
      <c r="HO137" s="5" t="s">
        <v>312</v>
      </c>
    </row>
    <row r="138" spans="1:223" x14ac:dyDescent="0.4">
      <c r="A138" s="5">
        <v>849</v>
      </c>
      <c r="B138" s="5">
        <v>1</v>
      </c>
      <c r="C138" s="5">
        <v>1</v>
      </c>
      <c r="D138" s="5" t="s">
        <v>1720</v>
      </c>
      <c r="E138" s="5" t="s">
        <v>418</v>
      </c>
      <c r="F138" s="5" t="s">
        <v>254</v>
      </c>
      <c r="G138" s="5" t="s">
        <v>240</v>
      </c>
      <c r="H138" s="6" t="s">
        <v>1721</v>
      </c>
      <c r="I138" s="5" t="s">
        <v>1719</v>
      </c>
      <c r="J138" s="8">
        <f>2578</f>
        <v>2578</v>
      </c>
      <c r="K138" s="5" t="s">
        <v>308</v>
      </c>
      <c r="L138" s="7">
        <f>5710270</f>
        <v>5710270</v>
      </c>
      <c r="M138" s="7">
        <f>5710270</f>
        <v>5710270</v>
      </c>
      <c r="N138" s="5" t="s">
        <v>242</v>
      </c>
      <c r="O138" s="5">
        <v>1</v>
      </c>
      <c r="P138" s="5" t="s">
        <v>294</v>
      </c>
      <c r="Q138" s="5" t="s">
        <v>266</v>
      </c>
      <c r="R138" s="5" t="s">
        <v>240</v>
      </c>
      <c r="S138" s="5" t="s">
        <v>240</v>
      </c>
      <c r="T138" s="5" t="s">
        <v>296</v>
      </c>
      <c r="U138" s="5" t="s">
        <v>244</v>
      </c>
      <c r="V138" s="5" t="s">
        <v>240</v>
      </c>
      <c r="Y138" s="5" t="s">
        <v>240</v>
      </c>
      <c r="Z138" s="6" t="s">
        <v>298</v>
      </c>
      <c r="AB138" s="6" t="s">
        <v>240</v>
      </c>
      <c r="AE138" s="6" t="s">
        <v>299</v>
      </c>
      <c r="AF138" s="5" t="s">
        <v>248</v>
      </c>
      <c r="AG138" s="5" t="s">
        <v>249</v>
      </c>
      <c r="AW138" s="5" t="s">
        <v>251</v>
      </c>
      <c r="AX138" s="5" t="s">
        <v>240</v>
      </c>
      <c r="AY138" s="5" t="s">
        <v>253</v>
      </c>
      <c r="AZ138" s="5" t="s">
        <v>240</v>
      </c>
      <c r="BA138" s="5" t="s">
        <v>255</v>
      </c>
      <c r="BB138" s="5" t="s">
        <v>240</v>
      </c>
      <c r="BD138" s="5" t="s">
        <v>240</v>
      </c>
      <c r="BF138" s="5" t="s">
        <v>301</v>
      </c>
      <c r="BG138" s="6" t="s">
        <v>299</v>
      </c>
      <c r="BH138" s="5" t="s">
        <v>302</v>
      </c>
      <c r="BI138" s="5" t="s">
        <v>303</v>
      </c>
      <c r="BJ138" s="5" t="s">
        <v>240</v>
      </c>
      <c r="BK138" s="8">
        <f>0</f>
        <v>0</v>
      </c>
      <c r="BL138" s="7">
        <f>0</f>
        <v>0</v>
      </c>
      <c r="BM138" s="5" t="s">
        <v>258</v>
      </c>
      <c r="BN138" s="5" t="s">
        <v>259</v>
      </c>
      <c r="CB138" s="5" t="s">
        <v>240</v>
      </c>
      <c r="CC138" s="5" t="s">
        <v>240</v>
      </c>
      <c r="CG138" s="5" t="s">
        <v>304</v>
      </c>
      <c r="CH138" s="5" t="s">
        <v>305</v>
      </c>
      <c r="CI138" s="5" t="s">
        <v>240</v>
      </c>
      <c r="CL138" s="6" t="s">
        <v>261</v>
      </c>
      <c r="CM138" s="5" t="s">
        <v>240</v>
      </c>
      <c r="CN138" s="5" t="s">
        <v>263</v>
      </c>
      <c r="CO138" s="5" t="s">
        <v>240</v>
      </c>
      <c r="CP138" s="5" t="s">
        <v>240</v>
      </c>
      <c r="CQ138" s="5">
        <v>0</v>
      </c>
      <c r="CR138" s="5" t="s">
        <v>306</v>
      </c>
      <c r="CS138" s="5" t="s">
        <v>307</v>
      </c>
      <c r="CT138" s="5" t="s">
        <v>307</v>
      </c>
      <c r="CU138" s="5" t="s">
        <v>260</v>
      </c>
      <c r="CX138" s="7">
        <f>1</f>
        <v>1</v>
      </c>
      <c r="CY138" s="7">
        <f>0</f>
        <v>0</v>
      </c>
      <c r="DA138" s="7">
        <f>0</f>
        <v>0</v>
      </c>
      <c r="DC138" s="5" t="s">
        <v>309</v>
      </c>
      <c r="DD138" s="5" t="s">
        <v>240</v>
      </c>
      <c r="DF138" s="5" t="s">
        <v>309</v>
      </c>
      <c r="DG138" s="7">
        <f>5536</f>
        <v>5536</v>
      </c>
      <c r="DI138" s="5" t="s">
        <v>240</v>
      </c>
      <c r="DJ138" s="5" t="s">
        <v>240</v>
      </c>
      <c r="DK138" s="5" t="s">
        <v>240</v>
      </c>
      <c r="DL138" s="5" t="s">
        <v>240</v>
      </c>
      <c r="DP138" s="5" t="s">
        <v>240</v>
      </c>
      <c r="DQ138" s="5" t="s">
        <v>240</v>
      </c>
      <c r="DR138" s="5" t="s">
        <v>240</v>
      </c>
      <c r="DS138" s="5" t="s">
        <v>240</v>
      </c>
      <c r="DV138" s="5" t="s">
        <v>310</v>
      </c>
      <c r="DW138" s="5" t="s">
        <v>578</v>
      </c>
      <c r="HO138" s="5" t="s">
        <v>312</v>
      </c>
    </row>
    <row r="139" spans="1:223" x14ac:dyDescent="0.4">
      <c r="A139" s="5">
        <v>850</v>
      </c>
      <c r="B139" s="5">
        <v>1</v>
      </c>
      <c r="C139" s="5">
        <v>1</v>
      </c>
      <c r="D139" s="5" t="s">
        <v>1710</v>
      </c>
      <c r="E139" s="5" t="s">
        <v>418</v>
      </c>
      <c r="F139" s="5" t="s">
        <v>254</v>
      </c>
      <c r="G139" s="5" t="s">
        <v>240</v>
      </c>
      <c r="H139" s="6" t="s">
        <v>1717</v>
      </c>
      <c r="I139" s="5" t="s">
        <v>1709</v>
      </c>
      <c r="J139" s="8">
        <f>365</f>
        <v>365</v>
      </c>
      <c r="K139" s="5" t="s">
        <v>308</v>
      </c>
      <c r="L139" s="7">
        <f>2372500</f>
        <v>2372500</v>
      </c>
      <c r="M139" s="7">
        <f>2372500</f>
        <v>2372500</v>
      </c>
      <c r="N139" s="5" t="s">
        <v>242</v>
      </c>
      <c r="O139" s="5">
        <v>1</v>
      </c>
      <c r="P139" s="5" t="s">
        <v>294</v>
      </c>
      <c r="Q139" s="5" t="s">
        <v>266</v>
      </c>
      <c r="R139" s="5" t="s">
        <v>240</v>
      </c>
      <c r="S139" s="5" t="s">
        <v>240</v>
      </c>
      <c r="T139" s="5" t="s">
        <v>296</v>
      </c>
      <c r="U139" s="5" t="s">
        <v>244</v>
      </c>
      <c r="V139" s="5" t="s">
        <v>240</v>
      </c>
      <c r="Y139" s="5" t="s">
        <v>240</v>
      </c>
      <c r="Z139" s="6" t="s">
        <v>298</v>
      </c>
      <c r="AB139" s="6" t="s">
        <v>240</v>
      </c>
      <c r="AE139" s="6" t="s">
        <v>299</v>
      </c>
      <c r="AF139" s="5" t="s">
        <v>248</v>
      </c>
      <c r="AG139" s="5" t="s">
        <v>249</v>
      </c>
      <c r="AW139" s="5" t="s">
        <v>251</v>
      </c>
      <c r="AX139" s="5" t="s">
        <v>240</v>
      </c>
      <c r="AY139" s="5" t="s">
        <v>253</v>
      </c>
      <c r="AZ139" s="5" t="s">
        <v>240</v>
      </c>
      <c r="BA139" s="5" t="s">
        <v>255</v>
      </c>
      <c r="BB139" s="5" t="s">
        <v>240</v>
      </c>
      <c r="BD139" s="5" t="s">
        <v>240</v>
      </c>
      <c r="BF139" s="5" t="s">
        <v>301</v>
      </c>
      <c r="BG139" s="6" t="s">
        <v>299</v>
      </c>
      <c r="BH139" s="5" t="s">
        <v>302</v>
      </c>
      <c r="BI139" s="5" t="s">
        <v>303</v>
      </c>
      <c r="BJ139" s="5" t="s">
        <v>240</v>
      </c>
      <c r="BK139" s="8">
        <f>0</f>
        <v>0</v>
      </c>
      <c r="BL139" s="7">
        <f>0</f>
        <v>0</v>
      </c>
      <c r="BM139" s="5" t="s">
        <v>258</v>
      </c>
      <c r="BN139" s="5" t="s">
        <v>259</v>
      </c>
      <c r="CB139" s="5" t="s">
        <v>240</v>
      </c>
      <c r="CC139" s="5" t="s">
        <v>240</v>
      </c>
      <c r="CG139" s="5" t="s">
        <v>304</v>
      </c>
      <c r="CH139" s="5" t="s">
        <v>305</v>
      </c>
      <c r="CI139" s="5" t="s">
        <v>240</v>
      </c>
      <c r="CL139" s="6" t="s">
        <v>261</v>
      </c>
      <c r="CM139" s="5" t="s">
        <v>240</v>
      </c>
      <c r="CN139" s="5" t="s">
        <v>263</v>
      </c>
      <c r="CO139" s="5" t="s">
        <v>240</v>
      </c>
      <c r="CP139" s="5" t="s">
        <v>240</v>
      </c>
      <c r="CQ139" s="5">
        <v>0</v>
      </c>
      <c r="CR139" s="5" t="s">
        <v>306</v>
      </c>
      <c r="CS139" s="5" t="s">
        <v>307</v>
      </c>
      <c r="CT139" s="5" t="s">
        <v>307</v>
      </c>
      <c r="CU139" s="5" t="s">
        <v>260</v>
      </c>
      <c r="CX139" s="7">
        <f>1</f>
        <v>1</v>
      </c>
      <c r="CY139" s="7">
        <f>0</f>
        <v>0</v>
      </c>
      <c r="DA139" s="7">
        <f>0</f>
        <v>0</v>
      </c>
      <c r="DC139" s="5" t="s">
        <v>309</v>
      </c>
      <c r="DD139" s="5" t="s">
        <v>240</v>
      </c>
      <c r="DF139" s="5" t="s">
        <v>309</v>
      </c>
      <c r="DG139" s="7">
        <f>2428</f>
        <v>2428</v>
      </c>
      <c r="DI139" s="5" t="s">
        <v>240</v>
      </c>
      <c r="DJ139" s="5" t="s">
        <v>240</v>
      </c>
      <c r="DK139" s="5" t="s">
        <v>240</v>
      </c>
      <c r="DL139" s="5" t="s">
        <v>240</v>
      </c>
      <c r="DP139" s="5" t="s">
        <v>240</v>
      </c>
      <c r="DQ139" s="5" t="s">
        <v>240</v>
      </c>
      <c r="DR139" s="5" t="s">
        <v>240</v>
      </c>
      <c r="DS139" s="5" t="s">
        <v>240</v>
      </c>
      <c r="DV139" s="5" t="s">
        <v>310</v>
      </c>
      <c r="DW139" s="5" t="s">
        <v>580</v>
      </c>
      <c r="HO139" s="5" t="s">
        <v>312</v>
      </c>
    </row>
    <row r="140" spans="1:223" x14ac:dyDescent="0.4">
      <c r="A140" s="5">
        <v>851</v>
      </c>
      <c r="B140" s="5">
        <v>1</v>
      </c>
      <c r="C140" s="5">
        <v>1</v>
      </c>
      <c r="D140" s="5" t="s">
        <v>1710</v>
      </c>
      <c r="E140" s="5" t="s">
        <v>418</v>
      </c>
      <c r="F140" s="5" t="s">
        <v>254</v>
      </c>
      <c r="G140" s="5" t="s">
        <v>240</v>
      </c>
      <c r="H140" s="6" t="s">
        <v>1716</v>
      </c>
      <c r="I140" s="5" t="s">
        <v>1709</v>
      </c>
      <c r="J140" s="8">
        <f>268</f>
        <v>268</v>
      </c>
      <c r="K140" s="5" t="s">
        <v>308</v>
      </c>
      <c r="L140" s="7">
        <f>593620</f>
        <v>593620</v>
      </c>
      <c r="M140" s="7">
        <f>593620</f>
        <v>593620</v>
      </c>
      <c r="N140" s="5" t="s">
        <v>242</v>
      </c>
      <c r="O140" s="5">
        <v>1</v>
      </c>
      <c r="P140" s="5" t="s">
        <v>294</v>
      </c>
      <c r="Q140" s="5" t="s">
        <v>266</v>
      </c>
      <c r="R140" s="5" t="s">
        <v>240</v>
      </c>
      <c r="S140" s="5" t="s">
        <v>240</v>
      </c>
      <c r="T140" s="5" t="s">
        <v>296</v>
      </c>
      <c r="U140" s="5" t="s">
        <v>244</v>
      </c>
      <c r="V140" s="5" t="s">
        <v>240</v>
      </c>
      <c r="Y140" s="5" t="s">
        <v>240</v>
      </c>
      <c r="Z140" s="6" t="s">
        <v>298</v>
      </c>
      <c r="AB140" s="6" t="s">
        <v>240</v>
      </c>
      <c r="AE140" s="6" t="s">
        <v>299</v>
      </c>
      <c r="AF140" s="5" t="s">
        <v>248</v>
      </c>
      <c r="AG140" s="5" t="s">
        <v>249</v>
      </c>
      <c r="AW140" s="5" t="s">
        <v>251</v>
      </c>
      <c r="AX140" s="5" t="s">
        <v>240</v>
      </c>
      <c r="AY140" s="5" t="s">
        <v>253</v>
      </c>
      <c r="AZ140" s="5" t="s">
        <v>240</v>
      </c>
      <c r="BA140" s="5" t="s">
        <v>255</v>
      </c>
      <c r="BB140" s="5" t="s">
        <v>240</v>
      </c>
      <c r="BD140" s="5" t="s">
        <v>240</v>
      </c>
      <c r="BF140" s="5" t="s">
        <v>301</v>
      </c>
      <c r="BG140" s="6" t="s">
        <v>299</v>
      </c>
      <c r="BH140" s="5" t="s">
        <v>302</v>
      </c>
      <c r="BI140" s="5" t="s">
        <v>303</v>
      </c>
      <c r="BJ140" s="5" t="s">
        <v>240</v>
      </c>
      <c r="BK140" s="8">
        <f>0</f>
        <v>0</v>
      </c>
      <c r="BL140" s="7">
        <f>0</f>
        <v>0</v>
      </c>
      <c r="BM140" s="5" t="s">
        <v>258</v>
      </c>
      <c r="BN140" s="5" t="s">
        <v>259</v>
      </c>
      <c r="CB140" s="5" t="s">
        <v>240</v>
      </c>
      <c r="CC140" s="5" t="s">
        <v>240</v>
      </c>
      <c r="CG140" s="5" t="s">
        <v>304</v>
      </c>
      <c r="CH140" s="5" t="s">
        <v>305</v>
      </c>
      <c r="CI140" s="5" t="s">
        <v>240</v>
      </c>
      <c r="CL140" s="6" t="s">
        <v>261</v>
      </c>
      <c r="CM140" s="5" t="s">
        <v>240</v>
      </c>
      <c r="CN140" s="5" t="s">
        <v>263</v>
      </c>
      <c r="CO140" s="5" t="s">
        <v>240</v>
      </c>
      <c r="CP140" s="5" t="s">
        <v>240</v>
      </c>
      <c r="CQ140" s="5">
        <v>0</v>
      </c>
      <c r="CR140" s="5" t="s">
        <v>306</v>
      </c>
      <c r="CS140" s="5" t="s">
        <v>307</v>
      </c>
      <c r="CT140" s="5" t="s">
        <v>307</v>
      </c>
      <c r="CU140" s="5" t="s">
        <v>260</v>
      </c>
      <c r="CX140" s="7">
        <f>1</f>
        <v>1</v>
      </c>
      <c r="CY140" s="7">
        <f>0</f>
        <v>0</v>
      </c>
      <c r="DA140" s="7">
        <f>0</f>
        <v>0</v>
      </c>
      <c r="DC140" s="5" t="s">
        <v>309</v>
      </c>
      <c r="DD140" s="5" t="s">
        <v>240</v>
      </c>
      <c r="DF140" s="5" t="s">
        <v>309</v>
      </c>
      <c r="DG140" s="7">
        <f>3926</f>
        <v>3926</v>
      </c>
      <c r="DI140" s="5" t="s">
        <v>240</v>
      </c>
      <c r="DJ140" s="5" t="s">
        <v>240</v>
      </c>
      <c r="DK140" s="5" t="s">
        <v>240</v>
      </c>
      <c r="DL140" s="5" t="s">
        <v>240</v>
      </c>
      <c r="DP140" s="5" t="s">
        <v>240</v>
      </c>
      <c r="DQ140" s="5" t="s">
        <v>240</v>
      </c>
      <c r="DR140" s="5" t="s">
        <v>240</v>
      </c>
      <c r="DS140" s="5" t="s">
        <v>240</v>
      </c>
      <c r="DV140" s="5" t="s">
        <v>310</v>
      </c>
      <c r="DW140" s="5" t="s">
        <v>582</v>
      </c>
      <c r="HO140" s="5" t="s">
        <v>312</v>
      </c>
    </row>
    <row r="141" spans="1:223" x14ac:dyDescent="0.4">
      <c r="A141" s="5">
        <v>852</v>
      </c>
      <c r="B141" s="5">
        <v>1</v>
      </c>
      <c r="C141" s="5">
        <v>1</v>
      </c>
      <c r="D141" s="5" t="s">
        <v>1710</v>
      </c>
      <c r="E141" s="5" t="s">
        <v>418</v>
      </c>
      <c r="F141" s="5" t="s">
        <v>254</v>
      </c>
      <c r="G141" s="5" t="s">
        <v>240</v>
      </c>
      <c r="H141" s="6" t="s">
        <v>1715</v>
      </c>
      <c r="I141" s="5" t="s">
        <v>1709</v>
      </c>
      <c r="J141" s="8">
        <f>701</f>
        <v>701</v>
      </c>
      <c r="K141" s="5" t="s">
        <v>308</v>
      </c>
      <c r="L141" s="7">
        <f>1552715</f>
        <v>1552715</v>
      </c>
      <c r="M141" s="7">
        <f>1552715</f>
        <v>1552715</v>
      </c>
      <c r="N141" s="5" t="s">
        <v>242</v>
      </c>
      <c r="O141" s="5">
        <v>1</v>
      </c>
      <c r="P141" s="5" t="s">
        <v>294</v>
      </c>
      <c r="Q141" s="5" t="s">
        <v>266</v>
      </c>
      <c r="R141" s="5" t="s">
        <v>240</v>
      </c>
      <c r="S141" s="5" t="s">
        <v>240</v>
      </c>
      <c r="T141" s="5" t="s">
        <v>296</v>
      </c>
      <c r="U141" s="5" t="s">
        <v>244</v>
      </c>
      <c r="V141" s="5" t="s">
        <v>240</v>
      </c>
      <c r="Y141" s="5" t="s">
        <v>240</v>
      </c>
      <c r="Z141" s="6" t="s">
        <v>298</v>
      </c>
      <c r="AB141" s="6" t="s">
        <v>240</v>
      </c>
      <c r="AE141" s="6" t="s">
        <v>299</v>
      </c>
      <c r="AF141" s="5" t="s">
        <v>248</v>
      </c>
      <c r="AG141" s="5" t="s">
        <v>249</v>
      </c>
      <c r="AW141" s="5" t="s">
        <v>251</v>
      </c>
      <c r="AX141" s="5" t="s">
        <v>240</v>
      </c>
      <c r="AY141" s="5" t="s">
        <v>253</v>
      </c>
      <c r="AZ141" s="5" t="s">
        <v>240</v>
      </c>
      <c r="BA141" s="5" t="s">
        <v>255</v>
      </c>
      <c r="BB141" s="5" t="s">
        <v>240</v>
      </c>
      <c r="BD141" s="5" t="s">
        <v>240</v>
      </c>
      <c r="BF141" s="5" t="s">
        <v>301</v>
      </c>
      <c r="BG141" s="6" t="s">
        <v>299</v>
      </c>
      <c r="BH141" s="5" t="s">
        <v>302</v>
      </c>
      <c r="BI141" s="5" t="s">
        <v>303</v>
      </c>
      <c r="BJ141" s="5" t="s">
        <v>240</v>
      </c>
      <c r="BK141" s="8">
        <f>0</f>
        <v>0</v>
      </c>
      <c r="BL141" s="7">
        <f>0</f>
        <v>0</v>
      </c>
      <c r="BM141" s="5" t="s">
        <v>258</v>
      </c>
      <c r="BN141" s="5" t="s">
        <v>259</v>
      </c>
      <c r="CB141" s="5" t="s">
        <v>240</v>
      </c>
      <c r="CC141" s="5" t="s">
        <v>240</v>
      </c>
      <c r="CG141" s="5" t="s">
        <v>304</v>
      </c>
      <c r="CH141" s="5" t="s">
        <v>305</v>
      </c>
      <c r="CI141" s="5" t="s">
        <v>240</v>
      </c>
      <c r="CL141" s="6" t="s">
        <v>261</v>
      </c>
      <c r="CM141" s="5" t="s">
        <v>240</v>
      </c>
      <c r="CN141" s="5" t="s">
        <v>263</v>
      </c>
      <c r="CO141" s="5" t="s">
        <v>240</v>
      </c>
      <c r="CP141" s="5" t="s">
        <v>240</v>
      </c>
      <c r="CQ141" s="5">
        <v>0</v>
      </c>
      <c r="CR141" s="5" t="s">
        <v>306</v>
      </c>
      <c r="CS141" s="5" t="s">
        <v>307</v>
      </c>
      <c r="CT141" s="5" t="s">
        <v>307</v>
      </c>
      <c r="CU141" s="5" t="s">
        <v>260</v>
      </c>
      <c r="CX141" s="7">
        <f>1</f>
        <v>1</v>
      </c>
      <c r="CY141" s="7">
        <f>0</f>
        <v>0</v>
      </c>
      <c r="DA141" s="7">
        <f>0</f>
        <v>0</v>
      </c>
      <c r="DC141" s="5" t="s">
        <v>309</v>
      </c>
      <c r="DD141" s="5" t="s">
        <v>240</v>
      </c>
      <c r="DF141" s="5" t="s">
        <v>309</v>
      </c>
      <c r="DG141" s="7">
        <f>5164</f>
        <v>5164</v>
      </c>
      <c r="DI141" s="5" t="s">
        <v>240</v>
      </c>
      <c r="DJ141" s="5" t="s">
        <v>240</v>
      </c>
      <c r="DK141" s="5" t="s">
        <v>240</v>
      </c>
      <c r="DL141" s="5" t="s">
        <v>240</v>
      </c>
      <c r="DP141" s="5" t="s">
        <v>240</v>
      </c>
      <c r="DQ141" s="5" t="s">
        <v>240</v>
      </c>
      <c r="DR141" s="5" t="s">
        <v>240</v>
      </c>
      <c r="DS141" s="5" t="s">
        <v>240</v>
      </c>
      <c r="DV141" s="5" t="s">
        <v>310</v>
      </c>
      <c r="DW141" s="5" t="s">
        <v>584</v>
      </c>
      <c r="HO141" s="5" t="s">
        <v>312</v>
      </c>
    </row>
    <row r="142" spans="1:223" x14ac:dyDescent="0.4">
      <c r="A142" s="5">
        <v>853</v>
      </c>
      <c r="B142" s="5">
        <v>1</v>
      </c>
      <c r="C142" s="5">
        <v>1</v>
      </c>
      <c r="D142" s="5" t="s">
        <v>1710</v>
      </c>
      <c r="E142" s="5" t="s">
        <v>418</v>
      </c>
      <c r="F142" s="5" t="s">
        <v>254</v>
      </c>
      <c r="G142" s="5" t="s">
        <v>240</v>
      </c>
      <c r="H142" s="6" t="s">
        <v>1714</v>
      </c>
      <c r="I142" s="5" t="s">
        <v>1709</v>
      </c>
      <c r="J142" s="8">
        <f>1365</f>
        <v>1365</v>
      </c>
      <c r="K142" s="5" t="s">
        <v>308</v>
      </c>
      <c r="L142" s="7">
        <f>3023475</f>
        <v>3023475</v>
      </c>
      <c r="M142" s="7">
        <f>3023475</f>
        <v>3023475</v>
      </c>
      <c r="N142" s="5" t="s">
        <v>242</v>
      </c>
      <c r="O142" s="5">
        <v>1</v>
      </c>
      <c r="P142" s="5" t="s">
        <v>294</v>
      </c>
      <c r="Q142" s="5" t="s">
        <v>266</v>
      </c>
      <c r="R142" s="5" t="s">
        <v>240</v>
      </c>
      <c r="S142" s="5" t="s">
        <v>240</v>
      </c>
      <c r="T142" s="5" t="s">
        <v>296</v>
      </c>
      <c r="U142" s="5" t="s">
        <v>244</v>
      </c>
      <c r="V142" s="5" t="s">
        <v>240</v>
      </c>
      <c r="Y142" s="5" t="s">
        <v>240</v>
      </c>
      <c r="Z142" s="6" t="s">
        <v>298</v>
      </c>
      <c r="AB142" s="6" t="s">
        <v>240</v>
      </c>
      <c r="AE142" s="6" t="s">
        <v>299</v>
      </c>
      <c r="AF142" s="5" t="s">
        <v>248</v>
      </c>
      <c r="AG142" s="5" t="s">
        <v>249</v>
      </c>
      <c r="AW142" s="5" t="s">
        <v>251</v>
      </c>
      <c r="AX142" s="5" t="s">
        <v>240</v>
      </c>
      <c r="AY142" s="5" t="s">
        <v>253</v>
      </c>
      <c r="AZ142" s="5" t="s">
        <v>240</v>
      </c>
      <c r="BA142" s="5" t="s">
        <v>255</v>
      </c>
      <c r="BB142" s="5" t="s">
        <v>240</v>
      </c>
      <c r="BD142" s="5" t="s">
        <v>240</v>
      </c>
      <c r="BF142" s="5" t="s">
        <v>301</v>
      </c>
      <c r="BG142" s="6" t="s">
        <v>299</v>
      </c>
      <c r="BH142" s="5" t="s">
        <v>302</v>
      </c>
      <c r="BI142" s="5" t="s">
        <v>303</v>
      </c>
      <c r="BJ142" s="5" t="s">
        <v>240</v>
      </c>
      <c r="BK142" s="8">
        <f>0</f>
        <v>0</v>
      </c>
      <c r="BL142" s="7">
        <f>0</f>
        <v>0</v>
      </c>
      <c r="BM142" s="5" t="s">
        <v>258</v>
      </c>
      <c r="BN142" s="5" t="s">
        <v>259</v>
      </c>
      <c r="CB142" s="5" t="s">
        <v>240</v>
      </c>
      <c r="CC142" s="5" t="s">
        <v>240</v>
      </c>
      <c r="CG142" s="5" t="s">
        <v>304</v>
      </c>
      <c r="CH142" s="5" t="s">
        <v>305</v>
      </c>
      <c r="CI142" s="5" t="s">
        <v>240</v>
      </c>
      <c r="CL142" s="6" t="s">
        <v>261</v>
      </c>
      <c r="CM142" s="5" t="s">
        <v>240</v>
      </c>
      <c r="CN142" s="5" t="s">
        <v>263</v>
      </c>
      <c r="CO142" s="5" t="s">
        <v>240</v>
      </c>
      <c r="CP142" s="5" t="s">
        <v>240</v>
      </c>
      <c r="CQ142" s="5">
        <v>0</v>
      </c>
      <c r="CR142" s="5" t="s">
        <v>306</v>
      </c>
      <c r="CS142" s="5" t="s">
        <v>307</v>
      </c>
      <c r="CT142" s="5" t="s">
        <v>307</v>
      </c>
      <c r="CU142" s="5" t="s">
        <v>260</v>
      </c>
      <c r="CX142" s="7">
        <f>1</f>
        <v>1</v>
      </c>
      <c r="CY142" s="7">
        <f>0</f>
        <v>0</v>
      </c>
      <c r="DA142" s="7">
        <f>0</f>
        <v>0</v>
      </c>
      <c r="DC142" s="5" t="s">
        <v>309</v>
      </c>
      <c r="DD142" s="5" t="s">
        <v>240</v>
      </c>
      <c r="DF142" s="5" t="s">
        <v>309</v>
      </c>
      <c r="DG142" s="7">
        <f>467</f>
        <v>467</v>
      </c>
      <c r="DI142" s="5" t="s">
        <v>240</v>
      </c>
      <c r="DJ142" s="5" t="s">
        <v>240</v>
      </c>
      <c r="DK142" s="5" t="s">
        <v>240</v>
      </c>
      <c r="DL142" s="5" t="s">
        <v>240</v>
      </c>
      <c r="DP142" s="5" t="s">
        <v>240</v>
      </c>
      <c r="DQ142" s="5" t="s">
        <v>240</v>
      </c>
      <c r="DR142" s="5" t="s">
        <v>240</v>
      </c>
      <c r="DS142" s="5" t="s">
        <v>240</v>
      </c>
      <c r="DV142" s="5" t="s">
        <v>310</v>
      </c>
      <c r="DW142" s="5" t="s">
        <v>586</v>
      </c>
      <c r="HO142" s="5" t="s">
        <v>312</v>
      </c>
    </row>
    <row r="143" spans="1:223" x14ac:dyDescent="0.4">
      <c r="A143" s="5">
        <v>854</v>
      </c>
      <c r="B143" s="5">
        <v>1</v>
      </c>
      <c r="C143" s="5">
        <v>1</v>
      </c>
      <c r="D143" s="5" t="s">
        <v>1710</v>
      </c>
      <c r="E143" s="5" t="s">
        <v>418</v>
      </c>
      <c r="F143" s="5" t="s">
        <v>254</v>
      </c>
      <c r="G143" s="5" t="s">
        <v>240</v>
      </c>
      <c r="H143" s="6" t="s">
        <v>1713</v>
      </c>
      <c r="I143" s="5" t="s">
        <v>1709</v>
      </c>
      <c r="J143" s="8">
        <f>542</f>
        <v>542</v>
      </c>
      <c r="K143" s="5" t="s">
        <v>308</v>
      </c>
      <c r="L143" s="7">
        <f>1200530</f>
        <v>1200530</v>
      </c>
      <c r="M143" s="7">
        <f>1200530</f>
        <v>1200530</v>
      </c>
      <c r="N143" s="5" t="s">
        <v>242</v>
      </c>
      <c r="O143" s="5">
        <v>1</v>
      </c>
      <c r="P143" s="5" t="s">
        <v>294</v>
      </c>
      <c r="Q143" s="5" t="s">
        <v>266</v>
      </c>
      <c r="R143" s="5" t="s">
        <v>240</v>
      </c>
      <c r="S143" s="5" t="s">
        <v>240</v>
      </c>
      <c r="T143" s="5" t="s">
        <v>296</v>
      </c>
      <c r="U143" s="5" t="s">
        <v>244</v>
      </c>
      <c r="V143" s="5" t="s">
        <v>240</v>
      </c>
      <c r="Y143" s="5" t="s">
        <v>240</v>
      </c>
      <c r="Z143" s="6" t="s">
        <v>298</v>
      </c>
      <c r="AB143" s="6" t="s">
        <v>240</v>
      </c>
      <c r="AE143" s="6" t="s">
        <v>299</v>
      </c>
      <c r="AF143" s="5" t="s">
        <v>248</v>
      </c>
      <c r="AG143" s="5" t="s">
        <v>249</v>
      </c>
      <c r="AW143" s="5" t="s">
        <v>251</v>
      </c>
      <c r="AX143" s="5" t="s">
        <v>240</v>
      </c>
      <c r="AY143" s="5" t="s">
        <v>253</v>
      </c>
      <c r="AZ143" s="5" t="s">
        <v>240</v>
      </c>
      <c r="BA143" s="5" t="s">
        <v>255</v>
      </c>
      <c r="BB143" s="5" t="s">
        <v>240</v>
      </c>
      <c r="BD143" s="5" t="s">
        <v>240</v>
      </c>
      <c r="BF143" s="5" t="s">
        <v>301</v>
      </c>
      <c r="BG143" s="6" t="s">
        <v>299</v>
      </c>
      <c r="BH143" s="5" t="s">
        <v>302</v>
      </c>
      <c r="BI143" s="5" t="s">
        <v>303</v>
      </c>
      <c r="BJ143" s="5" t="s">
        <v>240</v>
      </c>
      <c r="BK143" s="8">
        <f>0</f>
        <v>0</v>
      </c>
      <c r="BL143" s="7">
        <f>0</f>
        <v>0</v>
      </c>
      <c r="BM143" s="5" t="s">
        <v>258</v>
      </c>
      <c r="BN143" s="5" t="s">
        <v>259</v>
      </c>
      <c r="CB143" s="5" t="s">
        <v>240</v>
      </c>
      <c r="CC143" s="5" t="s">
        <v>240</v>
      </c>
      <c r="CG143" s="5" t="s">
        <v>304</v>
      </c>
      <c r="CH143" s="5" t="s">
        <v>305</v>
      </c>
      <c r="CI143" s="5" t="s">
        <v>240</v>
      </c>
      <c r="CL143" s="6" t="s">
        <v>261</v>
      </c>
      <c r="CM143" s="5" t="s">
        <v>240</v>
      </c>
      <c r="CN143" s="5" t="s">
        <v>263</v>
      </c>
      <c r="CO143" s="5" t="s">
        <v>240</v>
      </c>
      <c r="CP143" s="5" t="s">
        <v>240</v>
      </c>
      <c r="CQ143" s="5">
        <v>0</v>
      </c>
      <c r="CR143" s="5" t="s">
        <v>306</v>
      </c>
      <c r="CS143" s="5" t="s">
        <v>307</v>
      </c>
      <c r="CT143" s="5" t="s">
        <v>307</v>
      </c>
      <c r="CU143" s="5" t="s">
        <v>260</v>
      </c>
      <c r="CX143" s="7">
        <f>1</f>
        <v>1</v>
      </c>
      <c r="CY143" s="7">
        <f>0</f>
        <v>0</v>
      </c>
      <c r="DA143" s="7">
        <f>0</f>
        <v>0</v>
      </c>
      <c r="DC143" s="5" t="s">
        <v>309</v>
      </c>
      <c r="DD143" s="5" t="s">
        <v>240</v>
      </c>
      <c r="DF143" s="5" t="s">
        <v>309</v>
      </c>
      <c r="DG143" s="7">
        <f>633</f>
        <v>633</v>
      </c>
      <c r="DI143" s="5" t="s">
        <v>240</v>
      </c>
      <c r="DJ143" s="5" t="s">
        <v>240</v>
      </c>
      <c r="DK143" s="5" t="s">
        <v>240</v>
      </c>
      <c r="DL143" s="5" t="s">
        <v>240</v>
      </c>
      <c r="DP143" s="5" t="s">
        <v>240</v>
      </c>
      <c r="DQ143" s="5" t="s">
        <v>240</v>
      </c>
      <c r="DR143" s="5" t="s">
        <v>240</v>
      </c>
      <c r="DS143" s="5" t="s">
        <v>240</v>
      </c>
      <c r="DV143" s="5" t="s">
        <v>310</v>
      </c>
      <c r="DW143" s="5" t="s">
        <v>588</v>
      </c>
      <c r="HO143" s="5" t="s">
        <v>312</v>
      </c>
    </row>
    <row r="144" spans="1:223" x14ac:dyDescent="0.4">
      <c r="A144" s="5">
        <v>855</v>
      </c>
      <c r="B144" s="5">
        <v>1</v>
      </c>
      <c r="C144" s="5">
        <v>1</v>
      </c>
      <c r="D144" s="5" t="s">
        <v>1710</v>
      </c>
      <c r="E144" s="5" t="s">
        <v>418</v>
      </c>
      <c r="F144" s="5" t="s">
        <v>254</v>
      </c>
      <c r="G144" s="5" t="s">
        <v>240</v>
      </c>
      <c r="H144" s="6" t="s">
        <v>1711</v>
      </c>
      <c r="I144" s="5" t="s">
        <v>1709</v>
      </c>
      <c r="J144" s="8">
        <f>344</f>
        <v>344</v>
      </c>
      <c r="K144" s="5" t="s">
        <v>308</v>
      </c>
      <c r="L144" s="7">
        <f>2236000</f>
        <v>2236000</v>
      </c>
      <c r="M144" s="7">
        <f>2236000</f>
        <v>2236000</v>
      </c>
      <c r="N144" s="5" t="s">
        <v>242</v>
      </c>
      <c r="O144" s="5">
        <v>1</v>
      </c>
      <c r="P144" s="5" t="s">
        <v>294</v>
      </c>
      <c r="Q144" s="5" t="s">
        <v>266</v>
      </c>
      <c r="R144" s="5" t="s">
        <v>240</v>
      </c>
      <c r="S144" s="5" t="s">
        <v>240</v>
      </c>
      <c r="T144" s="5" t="s">
        <v>296</v>
      </c>
      <c r="U144" s="5" t="s">
        <v>244</v>
      </c>
      <c r="V144" s="5" t="s">
        <v>240</v>
      </c>
      <c r="Y144" s="5" t="s">
        <v>240</v>
      </c>
      <c r="Z144" s="6" t="s">
        <v>298</v>
      </c>
      <c r="AB144" s="6" t="s">
        <v>240</v>
      </c>
      <c r="AE144" s="6" t="s">
        <v>299</v>
      </c>
      <c r="AF144" s="5" t="s">
        <v>248</v>
      </c>
      <c r="AG144" s="5" t="s">
        <v>249</v>
      </c>
      <c r="AW144" s="5" t="s">
        <v>251</v>
      </c>
      <c r="AX144" s="5" t="s">
        <v>240</v>
      </c>
      <c r="AY144" s="5" t="s">
        <v>253</v>
      </c>
      <c r="AZ144" s="5" t="s">
        <v>240</v>
      </c>
      <c r="BA144" s="5" t="s">
        <v>255</v>
      </c>
      <c r="BB144" s="5" t="s">
        <v>240</v>
      </c>
      <c r="BD144" s="5" t="s">
        <v>240</v>
      </c>
      <c r="BF144" s="5" t="s">
        <v>301</v>
      </c>
      <c r="BG144" s="6" t="s">
        <v>299</v>
      </c>
      <c r="BH144" s="5" t="s">
        <v>302</v>
      </c>
      <c r="BI144" s="5" t="s">
        <v>303</v>
      </c>
      <c r="BJ144" s="5" t="s">
        <v>240</v>
      </c>
      <c r="BK144" s="8">
        <f>0</f>
        <v>0</v>
      </c>
      <c r="BL144" s="7">
        <f>0</f>
        <v>0</v>
      </c>
      <c r="BM144" s="5" t="s">
        <v>258</v>
      </c>
      <c r="BN144" s="5" t="s">
        <v>259</v>
      </c>
      <c r="CB144" s="5" t="s">
        <v>240</v>
      </c>
      <c r="CC144" s="5" t="s">
        <v>240</v>
      </c>
      <c r="CG144" s="5" t="s">
        <v>304</v>
      </c>
      <c r="CH144" s="5" t="s">
        <v>305</v>
      </c>
      <c r="CI144" s="5" t="s">
        <v>240</v>
      </c>
      <c r="CL144" s="6" t="s">
        <v>261</v>
      </c>
      <c r="CM144" s="5" t="s">
        <v>240</v>
      </c>
      <c r="CN144" s="5" t="s">
        <v>263</v>
      </c>
      <c r="CO144" s="5" t="s">
        <v>240</v>
      </c>
      <c r="CP144" s="5" t="s">
        <v>240</v>
      </c>
      <c r="CQ144" s="5">
        <v>0</v>
      </c>
      <c r="CR144" s="5" t="s">
        <v>306</v>
      </c>
      <c r="CS144" s="5" t="s">
        <v>307</v>
      </c>
      <c r="CT144" s="5" t="s">
        <v>307</v>
      </c>
      <c r="CU144" s="5" t="s">
        <v>260</v>
      </c>
      <c r="CX144" s="7">
        <f>1</f>
        <v>1</v>
      </c>
      <c r="CY144" s="7">
        <f>0</f>
        <v>0</v>
      </c>
      <c r="DA144" s="7">
        <f>0</f>
        <v>0</v>
      </c>
      <c r="DC144" s="5" t="s">
        <v>309</v>
      </c>
      <c r="DD144" s="5" t="s">
        <v>240</v>
      </c>
      <c r="DF144" s="5" t="s">
        <v>309</v>
      </c>
      <c r="DG144" s="7">
        <f>2923</f>
        <v>2923</v>
      </c>
      <c r="DI144" s="5" t="s">
        <v>240</v>
      </c>
      <c r="DJ144" s="5" t="s">
        <v>240</v>
      </c>
      <c r="DK144" s="5" t="s">
        <v>240</v>
      </c>
      <c r="DL144" s="5" t="s">
        <v>240</v>
      </c>
      <c r="DP144" s="5" t="s">
        <v>240</v>
      </c>
      <c r="DQ144" s="5" t="s">
        <v>240</v>
      </c>
      <c r="DR144" s="5" t="s">
        <v>240</v>
      </c>
      <c r="DS144" s="5" t="s">
        <v>240</v>
      </c>
      <c r="DV144" s="5" t="s">
        <v>310</v>
      </c>
      <c r="DW144" s="5" t="s">
        <v>590</v>
      </c>
      <c r="HO144" s="5" t="s">
        <v>312</v>
      </c>
    </row>
    <row r="145" spans="1:223" x14ac:dyDescent="0.4">
      <c r="A145" s="5">
        <v>856</v>
      </c>
      <c r="B145" s="5">
        <v>1</v>
      </c>
      <c r="C145" s="5">
        <v>1</v>
      </c>
      <c r="D145" s="5" t="s">
        <v>1705</v>
      </c>
      <c r="E145" s="5" t="s">
        <v>418</v>
      </c>
      <c r="F145" s="5" t="s">
        <v>254</v>
      </c>
      <c r="G145" s="5" t="s">
        <v>240</v>
      </c>
      <c r="H145" s="6" t="s">
        <v>1707</v>
      </c>
      <c r="I145" s="5" t="s">
        <v>1704</v>
      </c>
      <c r="J145" s="8">
        <f>689</f>
        <v>689</v>
      </c>
      <c r="K145" s="5" t="s">
        <v>308</v>
      </c>
      <c r="L145" s="7">
        <f>1526135</f>
        <v>1526135</v>
      </c>
      <c r="M145" s="7">
        <f>1526135</f>
        <v>1526135</v>
      </c>
      <c r="N145" s="5" t="s">
        <v>242</v>
      </c>
      <c r="O145" s="5">
        <v>1</v>
      </c>
      <c r="P145" s="5" t="s">
        <v>294</v>
      </c>
      <c r="Q145" s="5" t="s">
        <v>266</v>
      </c>
      <c r="R145" s="5" t="s">
        <v>240</v>
      </c>
      <c r="S145" s="5" t="s">
        <v>240</v>
      </c>
      <c r="T145" s="5" t="s">
        <v>296</v>
      </c>
      <c r="U145" s="5" t="s">
        <v>244</v>
      </c>
      <c r="V145" s="5" t="s">
        <v>240</v>
      </c>
      <c r="Y145" s="5" t="s">
        <v>240</v>
      </c>
      <c r="Z145" s="6" t="s">
        <v>298</v>
      </c>
      <c r="AB145" s="6" t="s">
        <v>240</v>
      </c>
      <c r="AE145" s="6" t="s">
        <v>299</v>
      </c>
      <c r="AF145" s="5" t="s">
        <v>248</v>
      </c>
      <c r="AG145" s="5" t="s">
        <v>249</v>
      </c>
      <c r="AW145" s="5" t="s">
        <v>251</v>
      </c>
      <c r="AX145" s="5" t="s">
        <v>240</v>
      </c>
      <c r="AY145" s="5" t="s">
        <v>253</v>
      </c>
      <c r="AZ145" s="5" t="s">
        <v>240</v>
      </c>
      <c r="BA145" s="5" t="s">
        <v>255</v>
      </c>
      <c r="BB145" s="5" t="s">
        <v>240</v>
      </c>
      <c r="BD145" s="5" t="s">
        <v>240</v>
      </c>
      <c r="BF145" s="5" t="s">
        <v>301</v>
      </c>
      <c r="BG145" s="6" t="s">
        <v>299</v>
      </c>
      <c r="BH145" s="5" t="s">
        <v>302</v>
      </c>
      <c r="BI145" s="5" t="s">
        <v>303</v>
      </c>
      <c r="BJ145" s="5" t="s">
        <v>240</v>
      </c>
      <c r="BK145" s="8">
        <f>0</f>
        <v>0</v>
      </c>
      <c r="BL145" s="7">
        <f>0</f>
        <v>0</v>
      </c>
      <c r="BM145" s="5" t="s">
        <v>258</v>
      </c>
      <c r="BN145" s="5" t="s">
        <v>259</v>
      </c>
      <c r="CB145" s="5" t="s">
        <v>240</v>
      </c>
      <c r="CC145" s="5" t="s">
        <v>240</v>
      </c>
      <c r="CG145" s="5" t="s">
        <v>304</v>
      </c>
      <c r="CH145" s="5" t="s">
        <v>305</v>
      </c>
      <c r="CI145" s="5" t="s">
        <v>240</v>
      </c>
      <c r="CL145" s="6" t="s">
        <v>261</v>
      </c>
      <c r="CM145" s="5" t="s">
        <v>240</v>
      </c>
      <c r="CN145" s="5" t="s">
        <v>263</v>
      </c>
      <c r="CO145" s="5" t="s">
        <v>240</v>
      </c>
      <c r="CP145" s="5" t="s">
        <v>240</v>
      </c>
      <c r="CQ145" s="5">
        <v>0</v>
      </c>
      <c r="CR145" s="5" t="s">
        <v>306</v>
      </c>
      <c r="CS145" s="5" t="s">
        <v>307</v>
      </c>
      <c r="CT145" s="5" t="s">
        <v>307</v>
      </c>
      <c r="CU145" s="5" t="s">
        <v>260</v>
      </c>
      <c r="CX145" s="7">
        <f>1</f>
        <v>1</v>
      </c>
      <c r="CY145" s="7">
        <f>0</f>
        <v>0</v>
      </c>
      <c r="DA145" s="7">
        <f>0</f>
        <v>0</v>
      </c>
      <c r="DC145" s="5" t="s">
        <v>309</v>
      </c>
      <c r="DD145" s="5" t="s">
        <v>240</v>
      </c>
      <c r="DF145" s="5" t="s">
        <v>309</v>
      </c>
      <c r="DG145" s="7">
        <f>740</f>
        <v>740</v>
      </c>
      <c r="DI145" s="5" t="s">
        <v>240</v>
      </c>
      <c r="DJ145" s="5" t="s">
        <v>240</v>
      </c>
      <c r="DK145" s="5" t="s">
        <v>240</v>
      </c>
      <c r="DL145" s="5" t="s">
        <v>240</v>
      </c>
      <c r="DP145" s="5" t="s">
        <v>240</v>
      </c>
      <c r="DQ145" s="5" t="s">
        <v>240</v>
      </c>
      <c r="DR145" s="5" t="s">
        <v>240</v>
      </c>
      <c r="DS145" s="5" t="s">
        <v>240</v>
      </c>
      <c r="DV145" s="5" t="s">
        <v>310</v>
      </c>
      <c r="DW145" s="5" t="s">
        <v>592</v>
      </c>
      <c r="HO145" s="5" t="s">
        <v>312</v>
      </c>
    </row>
    <row r="146" spans="1:223" x14ac:dyDescent="0.4">
      <c r="A146" s="5">
        <v>857</v>
      </c>
      <c r="B146" s="5">
        <v>1</v>
      </c>
      <c r="C146" s="5">
        <v>1</v>
      </c>
      <c r="D146" s="5" t="s">
        <v>1700</v>
      </c>
      <c r="E146" s="5" t="s">
        <v>418</v>
      </c>
      <c r="F146" s="5" t="s">
        <v>254</v>
      </c>
      <c r="G146" s="5" t="s">
        <v>240</v>
      </c>
      <c r="H146" s="6" t="s">
        <v>1703</v>
      </c>
      <c r="I146" s="5" t="s">
        <v>1699</v>
      </c>
      <c r="J146" s="8">
        <f>80</f>
        <v>80</v>
      </c>
      <c r="K146" s="5" t="s">
        <v>308</v>
      </c>
      <c r="L146" s="7">
        <f>177200</f>
        <v>177200</v>
      </c>
      <c r="M146" s="7">
        <f>177200</f>
        <v>177200</v>
      </c>
      <c r="N146" s="5" t="s">
        <v>242</v>
      </c>
      <c r="O146" s="5">
        <v>1</v>
      </c>
      <c r="P146" s="5" t="s">
        <v>294</v>
      </c>
      <c r="Q146" s="5" t="s">
        <v>266</v>
      </c>
      <c r="R146" s="5" t="s">
        <v>240</v>
      </c>
      <c r="S146" s="5" t="s">
        <v>240</v>
      </c>
      <c r="T146" s="5" t="s">
        <v>296</v>
      </c>
      <c r="U146" s="5" t="s">
        <v>244</v>
      </c>
      <c r="V146" s="5" t="s">
        <v>240</v>
      </c>
      <c r="Y146" s="5" t="s">
        <v>240</v>
      </c>
      <c r="Z146" s="6" t="s">
        <v>298</v>
      </c>
      <c r="AB146" s="6" t="s">
        <v>240</v>
      </c>
      <c r="AE146" s="6" t="s">
        <v>299</v>
      </c>
      <c r="AF146" s="5" t="s">
        <v>248</v>
      </c>
      <c r="AG146" s="5" t="s">
        <v>249</v>
      </c>
      <c r="AW146" s="5" t="s">
        <v>251</v>
      </c>
      <c r="AX146" s="5" t="s">
        <v>240</v>
      </c>
      <c r="AY146" s="5" t="s">
        <v>253</v>
      </c>
      <c r="AZ146" s="5" t="s">
        <v>240</v>
      </c>
      <c r="BA146" s="5" t="s">
        <v>255</v>
      </c>
      <c r="BB146" s="5" t="s">
        <v>240</v>
      </c>
      <c r="BD146" s="5" t="s">
        <v>240</v>
      </c>
      <c r="BF146" s="5" t="s">
        <v>301</v>
      </c>
      <c r="BG146" s="6" t="s">
        <v>299</v>
      </c>
      <c r="BH146" s="5" t="s">
        <v>302</v>
      </c>
      <c r="BI146" s="5" t="s">
        <v>303</v>
      </c>
      <c r="BJ146" s="5" t="s">
        <v>240</v>
      </c>
      <c r="BK146" s="8">
        <f>0</f>
        <v>0</v>
      </c>
      <c r="BL146" s="7">
        <f>0</f>
        <v>0</v>
      </c>
      <c r="BM146" s="5" t="s">
        <v>258</v>
      </c>
      <c r="BN146" s="5" t="s">
        <v>259</v>
      </c>
      <c r="CB146" s="5" t="s">
        <v>240</v>
      </c>
      <c r="CC146" s="5" t="s">
        <v>240</v>
      </c>
      <c r="CG146" s="5" t="s">
        <v>304</v>
      </c>
      <c r="CH146" s="5" t="s">
        <v>305</v>
      </c>
      <c r="CI146" s="5" t="s">
        <v>240</v>
      </c>
      <c r="CL146" s="6" t="s">
        <v>261</v>
      </c>
      <c r="CM146" s="5" t="s">
        <v>240</v>
      </c>
      <c r="CN146" s="5" t="s">
        <v>263</v>
      </c>
      <c r="CO146" s="5" t="s">
        <v>240</v>
      </c>
      <c r="CP146" s="5" t="s">
        <v>240</v>
      </c>
      <c r="CQ146" s="5">
        <v>0</v>
      </c>
      <c r="CR146" s="5" t="s">
        <v>306</v>
      </c>
      <c r="CS146" s="5" t="s">
        <v>307</v>
      </c>
      <c r="CT146" s="5" t="s">
        <v>307</v>
      </c>
      <c r="CU146" s="5" t="s">
        <v>260</v>
      </c>
      <c r="CX146" s="7">
        <f>1</f>
        <v>1</v>
      </c>
      <c r="CY146" s="7">
        <f>0</f>
        <v>0</v>
      </c>
      <c r="DA146" s="7">
        <f>0</f>
        <v>0</v>
      </c>
      <c r="DC146" s="5" t="s">
        <v>309</v>
      </c>
      <c r="DD146" s="5" t="s">
        <v>240</v>
      </c>
      <c r="DF146" s="5" t="s">
        <v>309</v>
      </c>
      <c r="DG146" s="7">
        <f>1714</f>
        <v>1714</v>
      </c>
      <c r="DI146" s="5" t="s">
        <v>240</v>
      </c>
      <c r="DJ146" s="5" t="s">
        <v>240</v>
      </c>
      <c r="DK146" s="5" t="s">
        <v>240</v>
      </c>
      <c r="DL146" s="5" t="s">
        <v>240</v>
      </c>
      <c r="DP146" s="5" t="s">
        <v>240</v>
      </c>
      <c r="DQ146" s="5" t="s">
        <v>240</v>
      </c>
      <c r="DR146" s="5" t="s">
        <v>240</v>
      </c>
      <c r="DS146" s="5" t="s">
        <v>240</v>
      </c>
      <c r="DV146" s="5" t="s">
        <v>310</v>
      </c>
      <c r="DW146" s="5" t="s">
        <v>594</v>
      </c>
      <c r="HO146" s="5" t="s">
        <v>312</v>
      </c>
    </row>
    <row r="147" spans="1:223" x14ac:dyDescent="0.4">
      <c r="A147" s="5">
        <v>858</v>
      </c>
      <c r="B147" s="5">
        <v>1</v>
      </c>
      <c r="C147" s="5">
        <v>1</v>
      </c>
      <c r="D147" s="5" t="s">
        <v>1700</v>
      </c>
      <c r="E147" s="5" t="s">
        <v>418</v>
      </c>
      <c r="F147" s="5" t="s">
        <v>254</v>
      </c>
      <c r="G147" s="5" t="s">
        <v>240</v>
      </c>
      <c r="H147" s="6" t="s">
        <v>1701</v>
      </c>
      <c r="I147" s="5" t="s">
        <v>1699</v>
      </c>
      <c r="J147" s="8">
        <f>1673</f>
        <v>1673</v>
      </c>
      <c r="K147" s="5" t="s">
        <v>308</v>
      </c>
      <c r="L147" s="7">
        <f>3705695</f>
        <v>3705695</v>
      </c>
      <c r="M147" s="7">
        <f>3705695</f>
        <v>3705695</v>
      </c>
      <c r="N147" s="5" t="s">
        <v>242</v>
      </c>
      <c r="O147" s="5">
        <v>1</v>
      </c>
      <c r="P147" s="5" t="s">
        <v>294</v>
      </c>
      <c r="Q147" s="5" t="s">
        <v>266</v>
      </c>
      <c r="R147" s="5" t="s">
        <v>240</v>
      </c>
      <c r="S147" s="5" t="s">
        <v>240</v>
      </c>
      <c r="T147" s="5" t="s">
        <v>296</v>
      </c>
      <c r="U147" s="5" t="s">
        <v>244</v>
      </c>
      <c r="V147" s="5" t="s">
        <v>240</v>
      </c>
      <c r="Y147" s="5" t="s">
        <v>240</v>
      </c>
      <c r="Z147" s="6" t="s">
        <v>298</v>
      </c>
      <c r="AB147" s="6" t="s">
        <v>240</v>
      </c>
      <c r="AE147" s="6" t="s">
        <v>299</v>
      </c>
      <c r="AF147" s="5" t="s">
        <v>248</v>
      </c>
      <c r="AG147" s="5" t="s">
        <v>249</v>
      </c>
      <c r="AW147" s="5" t="s">
        <v>251</v>
      </c>
      <c r="AX147" s="5" t="s">
        <v>240</v>
      </c>
      <c r="AY147" s="5" t="s">
        <v>253</v>
      </c>
      <c r="AZ147" s="5" t="s">
        <v>240</v>
      </c>
      <c r="BA147" s="5" t="s">
        <v>255</v>
      </c>
      <c r="BB147" s="5" t="s">
        <v>240</v>
      </c>
      <c r="BD147" s="5" t="s">
        <v>240</v>
      </c>
      <c r="BF147" s="5" t="s">
        <v>301</v>
      </c>
      <c r="BG147" s="6" t="s">
        <v>299</v>
      </c>
      <c r="BH147" s="5" t="s">
        <v>302</v>
      </c>
      <c r="BI147" s="5" t="s">
        <v>303</v>
      </c>
      <c r="BJ147" s="5" t="s">
        <v>240</v>
      </c>
      <c r="BK147" s="8">
        <f>0</f>
        <v>0</v>
      </c>
      <c r="BL147" s="7">
        <f>0</f>
        <v>0</v>
      </c>
      <c r="BM147" s="5" t="s">
        <v>258</v>
      </c>
      <c r="BN147" s="5" t="s">
        <v>259</v>
      </c>
      <c r="CB147" s="5" t="s">
        <v>240</v>
      </c>
      <c r="CC147" s="5" t="s">
        <v>240</v>
      </c>
      <c r="CG147" s="5" t="s">
        <v>304</v>
      </c>
      <c r="CH147" s="5" t="s">
        <v>305</v>
      </c>
      <c r="CI147" s="5" t="s">
        <v>240</v>
      </c>
      <c r="CL147" s="6" t="s">
        <v>261</v>
      </c>
      <c r="CM147" s="5" t="s">
        <v>240</v>
      </c>
      <c r="CN147" s="5" t="s">
        <v>263</v>
      </c>
      <c r="CO147" s="5" t="s">
        <v>240</v>
      </c>
      <c r="CP147" s="5" t="s">
        <v>240</v>
      </c>
      <c r="CQ147" s="5">
        <v>0</v>
      </c>
      <c r="CR147" s="5" t="s">
        <v>306</v>
      </c>
      <c r="CS147" s="5" t="s">
        <v>307</v>
      </c>
      <c r="CT147" s="5" t="s">
        <v>307</v>
      </c>
      <c r="CU147" s="5" t="s">
        <v>260</v>
      </c>
      <c r="CX147" s="7">
        <f>1</f>
        <v>1</v>
      </c>
      <c r="CY147" s="7">
        <f>0</f>
        <v>0</v>
      </c>
      <c r="DA147" s="7">
        <f>0</f>
        <v>0</v>
      </c>
      <c r="DC147" s="5" t="s">
        <v>309</v>
      </c>
      <c r="DD147" s="5" t="s">
        <v>240</v>
      </c>
      <c r="DF147" s="5" t="s">
        <v>309</v>
      </c>
      <c r="DG147" s="7">
        <f>793</f>
        <v>793</v>
      </c>
      <c r="DI147" s="5" t="s">
        <v>240</v>
      </c>
      <c r="DJ147" s="5" t="s">
        <v>240</v>
      </c>
      <c r="DK147" s="5" t="s">
        <v>240</v>
      </c>
      <c r="DL147" s="5" t="s">
        <v>240</v>
      </c>
      <c r="DP147" s="5" t="s">
        <v>240</v>
      </c>
      <c r="DQ147" s="5" t="s">
        <v>240</v>
      </c>
      <c r="DR147" s="5" t="s">
        <v>240</v>
      </c>
      <c r="DS147" s="5" t="s">
        <v>240</v>
      </c>
      <c r="DV147" s="5" t="s">
        <v>310</v>
      </c>
      <c r="DW147" s="5" t="s">
        <v>596</v>
      </c>
      <c r="HO147" s="5" t="s">
        <v>312</v>
      </c>
    </row>
    <row r="148" spans="1:223" x14ac:dyDescent="0.4">
      <c r="A148" s="5">
        <v>859</v>
      </c>
      <c r="B148" s="5">
        <v>1</v>
      </c>
      <c r="C148" s="5">
        <v>1</v>
      </c>
      <c r="D148" s="5" t="s">
        <v>2020</v>
      </c>
      <c r="E148" s="5" t="s">
        <v>418</v>
      </c>
      <c r="F148" s="5" t="s">
        <v>254</v>
      </c>
      <c r="G148" s="5" t="s">
        <v>240</v>
      </c>
      <c r="H148" s="6" t="s">
        <v>2021</v>
      </c>
      <c r="I148" s="5" t="s">
        <v>2019</v>
      </c>
      <c r="J148" s="8">
        <f>1884</f>
        <v>1884</v>
      </c>
      <c r="K148" s="5" t="s">
        <v>308</v>
      </c>
      <c r="L148" s="7">
        <f>4173060</f>
        <v>4173060</v>
      </c>
      <c r="M148" s="7">
        <f>4173060</f>
        <v>4173060</v>
      </c>
      <c r="N148" s="5" t="s">
        <v>242</v>
      </c>
      <c r="O148" s="5">
        <v>1</v>
      </c>
      <c r="P148" s="5" t="s">
        <v>294</v>
      </c>
      <c r="Q148" s="5" t="s">
        <v>266</v>
      </c>
      <c r="R148" s="5" t="s">
        <v>240</v>
      </c>
      <c r="S148" s="5" t="s">
        <v>240</v>
      </c>
      <c r="T148" s="5" t="s">
        <v>296</v>
      </c>
      <c r="U148" s="5" t="s">
        <v>244</v>
      </c>
      <c r="V148" s="5" t="s">
        <v>240</v>
      </c>
      <c r="Y148" s="5" t="s">
        <v>240</v>
      </c>
      <c r="Z148" s="6" t="s">
        <v>298</v>
      </c>
      <c r="AB148" s="6" t="s">
        <v>240</v>
      </c>
      <c r="AE148" s="6" t="s">
        <v>299</v>
      </c>
      <c r="AF148" s="5" t="s">
        <v>248</v>
      </c>
      <c r="AG148" s="5" t="s">
        <v>249</v>
      </c>
      <c r="AW148" s="5" t="s">
        <v>251</v>
      </c>
      <c r="AX148" s="5" t="s">
        <v>240</v>
      </c>
      <c r="AY148" s="5" t="s">
        <v>253</v>
      </c>
      <c r="AZ148" s="5" t="s">
        <v>240</v>
      </c>
      <c r="BA148" s="5" t="s">
        <v>255</v>
      </c>
      <c r="BB148" s="5" t="s">
        <v>240</v>
      </c>
      <c r="BD148" s="5" t="s">
        <v>240</v>
      </c>
      <c r="BF148" s="5" t="s">
        <v>301</v>
      </c>
      <c r="BG148" s="6" t="s">
        <v>299</v>
      </c>
      <c r="BH148" s="5" t="s">
        <v>302</v>
      </c>
      <c r="BI148" s="5" t="s">
        <v>303</v>
      </c>
      <c r="BJ148" s="5" t="s">
        <v>240</v>
      </c>
      <c r="BK148" s="8">
        <f>0</f>
        <v>0</v>
      </c>
      <c r="BL148" s="7">
        <f>0</f>
        <v>0</v>
      </c>
      <c r="BM148" s="5" t="s">
        <v>258</v>
      </c>
      <c r="BN148" s="5" t="s">
        <v>259</v>
      </c>
      <c r="CB148" s="5" t="s">
        <v>240</v>
      </c>
      <c r="CC148" s="5" t="s">
        <v>240</v>
      </c>
      <c r="CG148" s="5" t="s">
        <v>304</v>
      </c>
      <c r="CH148" s="5" t="s">
        <v>305</v>
      </c>
      <c r="CI148" s="5" t="s">
        <v>240</v>
      </c>
      <c r="CL148" s="6" t="s">
        <v>261</v>
      </c>
      <c r="CM148" s="5" t="s">
        <v>240</v>
      </c>
      <c r="CN148" s="5" t="s">
        <v>263</v>
      </c>
      <c r="CO148" s="5" t="s">
        <v>240</v>
      </c>
      <c r="CP148" s="5" t="s">
        <v>240</v>
      </c>
      <c r="CQ148" s="5">
        <v>0</v>
      </c>
      <c r="CR148" s="5" t="s">
        <v>306</v>
      </c>
      <c r="CS148" s="5" t="s">
        <v>307</v>
      </c>
      <c r="CT148" s="5" t="s">
        <v>307</v>
      </c>
      <c r="CU148" s="5" t="s">
        <v>260</v>
      </c>
      <c r="CX148" s="7">
        <f>1</f>
        <v>1</v>
      </c>
      <c r="CY148" s="7">
        <f>0</f>
        <v>0</v>
      </c>
      <c r="DA148" s="7">
        <f>0</f>
        <v>0</v>
      </c>
      <c r="DC148" s="5" t="s">
        <v>309</v>
      </c>
      <c r="DD148" s="5" t="s">
        <v>240</v>
      </c>
      <c r="DF148" s="5" t="s">
        <v>309</v>
      </c>
      <c r="DG148" s="7">
        <f>3493</f>
        <v>3493</v>
      </c>
      <c r="DI148" s="5" t="s">
        <v>240</v>
      </c>
      <c r="DJ148" s="5" t="s">
        <v>240</v>
      </c>
      <c r="DK148" s="5" t="s">
        <v>240</v>
      </c>
      <c r="DL148" s="5" t="s">
        <v>240</v>
      </c>
      <c r="DP148" s="5" t="s">
        <v>240</v>
      </c>
      <c r="DQ148" s="5" t="s">
        <v>240</v>
      </c>
      <c r="DR148" s="5" t="s">
        <v>240</v>
      </c>
      <c r="DS148" s="5" t="s">
        <v>240</v>
      </c>
      <c r="DV148" s="5" t="s">
        <v>310</v>
      </c>
      <c r="DW148" s="5" t="s">
        <v>598</v>
      </c>
      <c r="HO148" s="5" t="s">
        <v>312</v>
      </c>
    </row>
    <row r="149" spans="1:223" x14ac:dyDescent="0.4">
      <c r="A149" s="5">
        <v>860</v>
      </c>
      <c r="B149" s="5">
        <v>1</v>
      </c>
      <c r="C149" s="5">
        <v>1</v>
      </c>
      <c r="D149" s="5" t="s">
        <v>2016</v>
      </c>
      <c r="E149" s="5" t="s">
        <v>418</v>
      </c>
      <c r="F149" s="5" t="s">
        <v>254</v>
      </c>
      <c r="G149" s="5" t="s">
        <v>240</v>
      </c>
      <c r="H149" s="6" t="s">
        <v>2017</v>
      </c>
      <c r="I149" s="5" t="s">
        <v>2015</v>
      </c>
      <c r="J149" s="8">
        <f>1626</f>
        <v>1626</v>
      </c>
      <c r="K149" s="5" t="s">
        <v>308</v>
      </c>
      <c r="L149" s="7">
        <f>3601590</f>
        <v>3601590</v>
      </c>
      <c r="M149" s="7">
        <f>3601590</f>
        <v>3601590</v>
      </c>
      <c r="N149" s="5" t="s">
        <v>242</v>
      </c>
      <c r="O149" s="5">
        <v>1</v>
      </c>
      <c r="P149" s="5" t="s">
        <v>294</v>
      </c>
      <c r="Q149" s="5" t="s">
        <v>266</v>
      </c>
      <c r="R149" s="5" t="s">
        <v>240</v>
      </c>
      <c r="S149" s="5" t="s">
        <v>240</v>
      </c>
      <c r="T149" s="5" t="s">
        <v>296</v>
      </c>
      <c r="U149" s="5" t="s">
        <v>244</v>
      </c>
      <c r="V149" s="5" t="s">
        <v>240</v>
      </c>
      <c r="Y149" s="5" t="s">
        <v>240</v>
      </c>
      <c r="Z149" s="6" t="s">
        <v>298</v>
      </c>
      <c r="AB149" s="6" t="s">
        <v>240</v>
      </c>
      <c r="AE149" s="6" t="s">
        <v>299</v>
      </c>
      <c r="AF149" s="5" t="s">
        <v>248</v>
      </c>
      <c r="AG149" s="5" t="s">
        <v>249</v>
      </c>
      <c r="AW149" s="5" t="s">
        <v>251</v>
      </c>
      <c r="AX149" s="5" t="s">
        <v>240</v>
      </c>
      <c r="AY149" s="5" t="s">
        <v>253</v>
      </c>
      <c r="AZ149" s="5" t="s">
        <v>240</v>
      </c>
      <c r="BA149" s="5" t="s">
        <v>255</v>
      </c>
      <c r="BB149" s="5" t="s">
        <v>240</v>
      </c>
      <c r="BD149" s="5" t="s">
        <v>240</v>
      </c>
      <c r="BF149" s="5" t="s">
        <v>301</v>
      </c>
      <c r="BG149" s="6" t="s">
        <v>299</v>
      </c>
      <c r="BH149" s="5" t="s">
        <v>302</v>
      </c>
      <c r="BI149" s="5" t="s">
        <v>303</v>
      </c>
      <c r="BJ149" s="5" t="s">
        <v>240</v>
      </c>
      <c r="BK149" s="8">
        <f>0</f>
        <v>0</v>
      </c>
      <c r="BL149" s="7">
        <f>0</f>
        <v>0</v>
      </c>
      <c r="BM149" s="5" t="s">
        <v>258</v>
      </c>
      <c r="BN149" s="5" t="s">
        <v>259</v>
      </c>
      <c r="CB149" s="5" t="s">
        <v>240</v>
      </c>
      <c r="CC149" s="5" t="s">
        <v>240</v>
      </c>
      <c r="CG149" s="5" t="s">
        <v>304</v>
      </c>
      <c r="CH149" s="5" t="s">
        <v>305</v>
      </c>
      <c r="CI149" s="5" t="s">
        <v>240</v>
      </c>
      <c r="CL149" s="6" t="s">
        <v>261</v>
      </c>
      <c r="CM149" s="5" t="s">
        <v>240</v>
      </c>
      <c r="CN149" s="5" t="s">
        <v>263</v>
      </c>
      <c r="CO149" s="5" t="s">
        <v>240</v>
      </c>
      <c r="CP149" s="5" t="s">
        <v>240</v>
      </c>
      <c r="CQ149" s="5">
        <v>0</v>
      </c>
      <c r="CR149" s="5" t="s">
        <v>306</v>
      </c>
      <c r="CS149" s="5" t="s">
        <v>307</v>
      </c>
      <c r="CT149" s="5" t="s">
        <v>307</v>
      </c>
      <c r="CU149" s="5" t="s">
        <v>260</v>
      </c>
      <c r="CX149" s="7">
        <f>1</f>
        <v>1</v>
      </c>
      <c r="CY149" s="7">
        <f>0</f>
        <v>0</v>
      </c>
      <c r="DA149" s="7">
        <f>0</f>
        <v>0</v>
      </c>
      <c r="DC149" s="5" t="s">
        <v>309</v>
      </c>
      <c r="DD149" s="5" t="s">
        <v>240</v>
      </c>
      <c r="DF149" s="5" t="s">
        <v>309</v>
      </c>
      <c r="DG149" s="7">
        <f>161</f>
        <v>161</v>
      </c>
      <c r="DI149" s="5" t="s">
        <v>240</v>
      </c>
      <c r="DJ149" s="5" t="s">
        <v>240</v>
      </c>
      <c r="DK149" s="5" t="s">
        <v>240</v>
      </c>
      <c r="DL149" s="5" t="s">
        <v>240</v>
      </c>
      <c r="DP149" s="5" t="s">
        <v>240</v>
      </c>
      <c r="DQ149" s="5" t="s">
        <v>240</v>
      </c>
      <c r="DR149" s="5" t="s">
        <v>240</v>
      </c>
      <c r="DS149" s="5" t="s">
        <v>240</v>
      </c>
      <c r="DV149" s="5" t="s">
        <v>310</v>
      </c>
      <c r="DW149" s="5" t="s">
        <v>600</v>
      </c>
      <c r="HO149" s="5" t="s">
        <v>312</v>
      </c>
    </row>
    <row r="150" spans="1:223" x14ac:dyDescent="0.4">
      <c r="A150" s="5">
        <v>861</v>
      </c>
      <c r="B150" s="5">
        <v>1</v>
      </c>
      <c r="C150" s="5">
        <v>1</v>
      </c>
      <c r="D150" s="5" t="s">
        <v>1694</v>
      </c>
      <c r="E150" s="5" t="s">
        <v>418</v>
      </c>
      <c r="F150" s="5" t="s">
        <v>254</v>
      </c>
      <c r="G150" s="5" t="s">
        <v>240</v>
      </c>
      <c r="H150" s="6" t="s">
        <v>2014</v>
      </c>
      <c r="I150" s="5" t="s">
        <v>1693</v>
      </c>
      <c r="J150" s="8">
        <f>305</f>
        <v>305</v>
      </c>
      <c r="K150" s="5" t="s">
        <v>308</v>
      </c>
      <c r="L150" s="7">
        <f>675575</f>
        <v>675575</v>
      </c>
      <c r="M150" s="7">
        <f>675575</f>
        <v>675575</v>
      </c>
      <c r="N150" s="5" t="s">
        <v>242</v>
      </c>
      <c r="O150" s="5">
        <v>1</v>
      </c>
      <c r="P150" s="5" t="s">
        <v>294</v>
      </c>
      <c r="Q150" s="5" t="s">
        <v>266</v>
      </c>
      <c r="R150" s="5" t="s">
        <v>240</v>
      </c>
      <c r="S150" s="5" t="s">
        <v>240</v>
      </c>
      <c r="T150" s="5" t="s">
        <v>296</v>
      </c>
      <c r="U150" s="5" t="s">
        <v>244</v>
      </c>
      <c r="V150" s="5" t="s">
        <v>240</v>
      </c>
      <c r="Y150" s="5" t="s">
        <v>240</v>
      </c>
      <c r="Z150" s="6" t="s">
        <v>298</v>
      </c>
      <c r="AB150" s="6" t="s">
        <v>240</v>
      </c>
      <c r="AE150" s="6" t="s">
        <v>299</v>
      </c>
      <c r="AF150" s="5" t="s">
        <v>248</v>
      </c>
      <c r="AG150" s="5" t="s">
        <v>249</v>
      </c>
      <c r="AW150" s="5" t="s">
        <v>251</v>
      </c>
      <c r="AX150" s="5" t="s">
        <v>240</v>
      </c>
      <c r="AY150" s="5" t="s">
        <v>253</v>
      </c>
      <c r="AZ150" s="5" t="s">
        <v>240</v>
      </c>
      <c r="BA150" s="5" t="s">
        <v>255</v>
      </c>
      <c r="BB150" s="5" t="s">
        <v>240</v>
      </c>
      <c r="BD150" s="5" t="s">
        <v>240</v>
      </c>
      <c r="BF150" s="5" t="s">
        <v>301</v>
      </c>
      <c r="BG150" s="6" t="s">
        <v>299</v>
      </c>
      <c r="BH150" s="5" t="s">
        <v>302</v>
      </c>
      <c r="BI150" s="5" t="s">
        <v>303</v>
      </c>
      <c r="BJ150" s="5" t="s">
        <v>240</v>
      </c>
      <c r="BK150" s="8">
        <f>0</f>
        <v>0</v>
      </c>
      <c r="BL150" s="7">
        <f>0</f>
        <v>0</v>
      </c>
      <c r="BM150" s="5" t="s">
        <v>258</v>
      </c>
      <c r="BN150" s="5" t="s">
        <v>259</v>
      </c>
      <c r="CB150" s="5" t="s">
        <v>240</v>
      </c>
      <c r="CC150" s="5" t="s">
        <v>240</v>
      </c>
      <c r="CG150" s="5" t="s">
        <v>304</v>
      </c>
      <c r="CH150" s="5" t="s">
        <v>305</v>
      </c>
      <c r="CI150" s="5" t="s">
        <v>240</v>
      </c>
      <c r="CL150" s="6" t="s">
        <v>261</v>
      </c>
      <c r="CM150" s="5" t="s">
        <v>240</v>
      </c>
      <c r="CN150" s="5" t="s">
        <v>263</v>
      </c>
      <c r="CO150" s="5" t="s">
        <v>240</v>
      </c>
      <c r="CP150" s="5" t="s">
        <v>240</v>
      </c>
      <c r="CQ150" s="5">
        <v>0</v>
      </c>
      <c r="CR150" s="5" t="s">
        <v>306</v>
      </c>
      <c r="CS150" s="5" t="s">
        <v>307</v>
      </c>
      <c r="CT150" s="5" t="s">
        <v>307</v>
      </c>
      <c r="CU150" s="5" t="s">
        <v>260</v>
      </c>
      <c r="CX150" s="7">
        <f>1</f>
        <v>1</v>
      </c>
      <c r="CY150" s="7">
        <f>0</f>
        <v>0</v>
      </c>
      <c r="DA150" s="7">
        <f>0</f>
        <v>0</v>
      </c>
      <c r="DC150" s="5" t="s">
        <v>309</v>
      </c>
      <c r="DD150" s="5" t="s">
        <v>240</v>
      </c>
      <c r="DF150" s="5" t="s">
        <v>309</v>
      </c>
      <c r="DG150" s="7">
        <f>1760</f>
        <v>1760</v>
      </c>
      <c r="DI150" s="5" t="s">
        <v>240</v>
      </c>
      <c r="DJ150" s="5" t="s">
        <v>240</v>
      </c>
      <c r="DK150" s="5" t="s">
        <v>240</v>
      </c>
      <c r="DL150" s="5" t="s">
        <v>240</v>
      </c>
      <c r="DP150" s="5" t="s">
        <v>240</v>
      </c>
      <c r="DQ150" s="5" t="s">
        <v>240</v>
      </c>
      <c r="DR150" s="5" t="s">
        <v>240</v>
      </c>
      <c r="DS150" s="5" t="s">
        <v>240</v>
      </c>
      <c r="DV150" s="5" t="s">
        <v>310</v>
      </c>
      <c r="DW150" s="5" t="s">
        <v>602</v>
      </c>
      <c r="HO150" s="5" t="s">
        <v>312</v>
      </c>
    </row>
    <row r="151" spans="1:223" x14ac:dyDescent="0.4">
      <c r="A151" s="5">
        <v>862</v>
      </c>
      <c r="B151" s="5">
        <v>1</v>
      </c>
      <c r="C151" s="5">
        <v>1</v>
      </c>
      <c r="D151" s="5" t="s">
        <v>1694</v>
      </c>
      <c r="E151" s="5" t="s">
        <v>418</v>
      </c>
      <c r="F151" s="5" t="s">
        <v>254</v>
      </c>
      <c r="G151" s="5" t="s">
        <v>240</v>
      </c>
      <c r="H151" s="6" t="s">
        <v>1698</v>
      </c>
      <c r="I151" s="5" t="s">
        <v>1693</v>
      </c>
      <c r="J151" s="8">
        <f>440</f>
        <v>440</v>
      </c>
      <c r="K151" s="5" t="s">
        <v>308</v>
      </c>
      <c r="L151" s="7">
        <f>974600</f>
        <v>974600</v>
      </c>
      <c r="M151" s="7">
        <f>974600</f>
        <v>974600</v>
      </c>
      <c r="N151" s="5" t="s">
        <v>242</v>
      </c>
      <c r="O151" s="5">
        <v>1</v>
      </c>
      <c r="P151" s="5" t="s">
        <v>294</v>
      </c>
      <c r="Q151" s="5" t="s">
        <v>266</v>
      </c>
      <c r="R151" s="5" t="s">
        <v>240</v>
      </c>
      <c r="S151" s="5" t="s">
        <v>240</v>
      </c>
      <c r="T151" s="5" t="s">
        <v>296</v>
      </c>
      <c r="U151" s="5" t="s">
        <v>244</v>
      </c>
      <c r="V151" s="5" t="s">
        <v>240</v>
      </c>
      <c r="Y151" s="5" t="s">
        <v>240</v>
      </c>
      <c r="Z151" s="6" t="s">
        <v>298</v>
      </c>
      <c r="AB151" s="6" t="s">
        <v>240</v>
      </c>
      <c r="AE151" s="6" t="s">
        <v>299</v>
      </c>
      <c r="AF151" s="5" t="s">
        <v>248</v>
      </c>
      <c r="AG151" s="5" t="s">
        <v>249</v>
      </c>
      <c r="AW151" s="5" t="s">
        <v>251</v>
      </c>
      <c r="AX151" s="5" t="s">
        <v>240</v>
      </c>
      <c r="AY151" s="5" t="s">
        <v>253</v>
      </c>
      <c r="AZ151" s="5" t="s">
        <v>240</v>
      </c>
      <c r="BA151" s="5" t="s">
        <v>255</v>
      </c>
      <c r="BB151" s="5" t="s">
        <v>240</v>
      </c>
      <c r="BD151" s="5" t="s">
        <v>240</v>
      </c>
      <c r="BF151" s="5" t="s">
        <v>301</v>
      </c>
      <c r="BG151" s="6" t="s">
        <v>299</v>
      </c>
      <c r="BH151" s="5" t="s">
        <v>302</v>
      </c>
      <c r="BI151" s="5" t="s">
        <v>303</v>
      </c>
      <c r="BJ151" s="5" t="s">
        <v>240</v>
      </c>
      <c r="BK151" s="8">
        <f>0</f>
        <v>0</v>
      </c>
      <c r="BL151" s="7">
        <f>0</f>
        <v>0</v>
      </c>
      <c r="BM151" s="5" t="s">
        <v>258</v>
      </c>
      <c r="BN151" s="5" t="s">
        <v>259</v>
      </c>
      <c r="CB151" s="5" t="s">
        <v>240</v>
      </c>
      <c r="CC151" s="5" t="s">
        <v>240</v>
      </c>
      <c r="CG151" s="5" t="s">
        <v>304</v>
      </c>
      <c r="CH151" s="5" t="s">
        <v>305</v>
      </c>
      <c r="CI151" s="5" t="s">
        <v>240</v>
      </c>
      <c r="CL151" s="6" t="s">
        <v>261</v>
      </c>
      <c r="CM151" s="5" t="s">
        <v>240</v>
      </c>
      <c r="CN151" s="5" t="s">
        <v>263</v>
      </c>
      <c r="CO151" s="5" t="s">
        <v>240</v>
      </c>
      <c r="CP151" s="5" t="s">
        <v>240</v>
      </c>
      <c r="CQ151" s="5">
        <v>0</v>
      </c>
      <c r="CR151" s="5" t="s">
        <v>306</v>
      </c>
      <c r="CS151" s="5" t="s">
        <v>307</v>
      </c>
      <c r="CT151" s="5" t="s">
        <v>307</v>
      </c>
      <c r="CU151" s="5" t="s">
        <v>260</v>
      </c>
      <c r="CX151" s="7">
        <f>1</f>
        <v>1</v>
      </c>
      <c r="CY151" s="7">
        <f>0</f>
        <v>0</v>
      </c>
      <c r="DA151" s="7">
        <f>0</f>
        <v>0</v>
      </c>
      <c r="DC151" s="5" t="s">
        <v>309</v>
      </c>
      <c r="DD151" s="5" t="s">
        <v>240</v>
      </c>
      <c r="DF151" s="5" t="s">
        <v>309</v>
      </c>
      <c r="DG151" s="7">
        <f>913</f>
        <v>913</v>
      </c>
      <c r="DI151" s="5" t="s">
        <v>240</v>
      </c>
      <c r="DJ151" s="5" t="s">
        <v>240</v>
      </c>
      <c r="DK151" s="5" t="s">
        <v>240</v>
      </c>
      <c r="DL151" s="5" t="s">
        <v>240</v>
      </c>
      <c r="DP151" s="5" t="s">
        <v>240</v>
      </c>
      <c r="DQ151" s="5" t="s">
        <v>240</v>
      </c>
      <c r="DR151" s="5" t="s">
        <v>240</v>
      </c>
      <c r="DS151" s="5" t="s">
        <v>240</v>
      </c>
      <c r="DV151" s="5" t="s">
        <v>310</v>
      </c>
      <c r="DW151" s="5" t="s">
        <v>604</v>
      </c>
      <c r="HO151" s="5" t="s">
        <v>312</v>
      </c>
    </row>
    <row r="152" spans="1:223" x14ac:dyDescent="0.4">
      <c r="A152" s="5">
        <v>863</v>
      </c>
      <c r="B152" s="5">
        <v>1</v>
      </c>
      <c r="C152" s="5">
        <v>1</v>
      </c>
      <c r="D152" s="5" t="s">
        <v>1694</v>
      </c>
      <c r="E152" s="5" t="s">
        <v>418</v>
      </c>
      <c r="F152" s="5" t="s">
        <v>254</v>
      </c>
      <c r="G152" s="5" t="s">
        <v>240</v>
      </c>
      <c r="H152" s="6" t="s">
        <v>1697</v>
      </c>
      <c r="I152" s="5" t="s">
        <v>1693</v>
      </c>
      <c r="J152" s="8">
        <f>288</f>
        <v>288</v>
      </c>
      <c r="K152" s="5" t="s">
        <v>308</v>
      </c>
      <c r="L152" s="7">
        <f>637920</f>
        <v>637920</v>
      </c>
      <c r="M152" s="7">
        <f>637920</f>
        <v>637920</v>
      </c>
      <c r="N152" s="5" t="s">
        <v>242</v>
      </c>
      <c r="O152" s="5">
        <v>1</v>
      </c>
      <c r="P152" s="5" t="s">
        <v>294</v>
      </c>
      <c r="Q152" s="5" t="s">
        <v>266</v>
      </c>
      <c r="R152" s="5" t="s">
        <v>240</v>
      </c>
      <c r="S152" s="5" t="s">
        <v>240</v>
      </c>
      <c r="T152" s="5" t="s">
        <v>296</v>
      </c>
      <c r="U152" s="5" t="s">
        <v>244</v>
      </c>
      <c r="V152" s="5" t="s">
        <v>240</v>
      </c>
      <c r="Y152" s="5" t="s">
        <v>240</v>
      </c>
      <c r="Z152" s="6" t="s">
        <v>298</v>
      </c>
      <c r="AB152" s="6" t="s">
        <v>240</v>
      </c>
      <c r="AE152" s="6" t="s">
        <v>299</v>
      </c>
      <c r="AF152" s="5" t="s">
        <v>248</v>
      </c>
      <c r="AG152" s="5" t="s">
        <v>249</v>
      </c>
      <c r="AW152" s="5" t="s">
        <v>251</v>
      </c>
      <c r="AX152" s="5" t="s">
        <v>240</v>
      </c>
      <c r="AY152" s="5" t="s">
        <v>253</v>
      </c>
      <c r="AZ152" s="5" t="s">
        <v>240</v>
      </c>
      <c r="BA152" s="5" t="s">
        <v>255</v>
      </c>
      <c r="BB152" s="5" t="s">
        <v>240</v>
      </c>
      <c r="BD152" s="5" t="s">
        <v>240</v>
      </c>
      <c r="BF152" s="5" t="s">
        <v>301</v>
      </c>
      <c r="BG152" s="6" t="s">
        <v>299</v>
      </c>
      <c r="BH152" s="5" t="s">
        <v>302</v>
      </c>
      <c r="BI152" s="5" t="s">
        <v>303</v>
      </c>
      <c r="BJ152" s="5" t="s">
        <v>240</v>
      </c>
      <c r="BK152" s="8">
        <f>0</f>
        <v>0</v>
      </c>
      <c r="BL152" s="7">
        <f>0</f>
        <v>0</v>
      </c>
      <c r="BM152" s="5" t="s">
        <v>258</v>
      </c>
      <c r="BN152" s="5" t="s">
        <v>259</v>
      </c>
      <c r="CB152" s="5" t="s">
        <v>240</v>
      </c>
      <c r="CC152" s="5" t="s">
        <v>240</v>
      </c>
      <c r="CG152" s="5" t="s">
        <v>304</v>
      </c>
      <c r="CH152" s="5" t="s">
        <v>305</v>
      </c>
      <c r="CI152" s="5" t="s">
        <v>240</v>
      </c>
      <c r="CL152" s="6" t="s">
        <v>261</v>
      </c>
      <c r="CM152" s="5" t="s">
        <v>240</v>
      </c>
      <c r="CN152" s="5" t="s">
        <v>263</v>
      </c>
      <c r="CO152" s="5" t="s">
        <v>240</v>
      </c>
      <c r="CP152" s="5" t="s">
        <v>240</v>
      </c>
      <c r="CQ152" s="5">
        <v>0</v>
      </c>
      <c r="CR152" s="5" t="s">
        <v>306</v>
      </c>
      <c r="CS152" s="5" t="s">
        <v>307</v>
      </c>
      <c r="CT152" s="5" t="s">
        <v>307</v>
      </c>
      <c r="CU152" s="5" t="s">
        <v>260</v>
      </c>
      <c r="CX152" s="7">
        <f>1</f>
        <v>1</v>
      </c>
      <c r="CY152" s="7">
        <f>0</f>
        <v>0</v>
      </c>
      <c r="DA152" s="7">
        <f>0</f>
        <v>0</v>
      </c>
      <c r="DC152" s="5" t="s">
        <v>309</v>
      </c>
      <c r="DD152" s="5" t="s">
        <v>240</v>
      </c>
      <c r="DF152" s="5" t="s">
        <v>309</v>
      </c>
      <c r="DG152" s="7">
        <f>4460</f>
        <v>4460</v>
      </c>
      <c r="DI152" s="5" t="s">
        <v>240</v>
      </c>
      <c r="DJ152" s="5" t="s">
        <v>240</v>
      </c>
      <c r="DK152" s="5" t="s">
        <v>240</v>
      </c>
      <c r="DL152" s="5" t="s">
        <v>240</v>
      </c>
      <c r="DP152" s="5" t="s">
        <v>240</v>
      </c>
      <c r="DQ152" s="5" t="s">
        <v>240</v>
      </c>
      <c r="DR152" s="5" t="s">
        <v>240</v>
      </c>
      <c r="DS152" s="5" t="s">
        <v>240</v>
      </c>
      <c r="DV152" s="5" t="s">
        <v>310</v>
      </c>
      <c r="DW152" s="5" t="s">
        <v>606</v>
      </c>
      <c r="HO152" s="5" t="s">
        <v>312</v>
      </c>
    </row>
    <row r="153" spans="1:223" x14ac:dyDescent="0.4">
      <c r="A153" s="5">
        <v>864</v>
      </c>
      <c r="B153" s="5">
        <v>1</v>
      </c>
      <c r="C153" s="5">
        <v>1</v>
      </c>
      <c r="D153" s="5" t="s">
        <v>1694</v>
      </c>
      <c r="E153" s="5" t="s">
        <v>418</v>
      </c>
      <c r="F153" s="5" t="s">
        <v>254</v>
      </c>
      <c r="G153" s="5" t="s">
        <v>240</v>
      </c>
      <c r="H153" s="6" t="s">
        <v>1695</v>
      </c>
      <c r="I153" s="5" t="s">
        <v>1693</v>
      </c>
      <c r="J153" s="8">
        <f>501</f>
        <v>501</v>
      </c>
      <c r="K153" s="5" t="s">
        <v>308</v>
      </c>
      <c r="L153" s="7">
        <f>1109715</f>
        <v>1109715</v>
      </c>
      <c r="M153" s="7">
        <f>1109715</f>
        <v>1109715</v>
      </c>
      <c r="N153" s="5" t="s">
        <v>242</v>
      </c>
      <c r="O153" s="5">
        <v>1</v>
      </c>
      <c r="P153" s="5" t="s">
        <v>294</v>
      </c>
      <c r="Q153" s="5" t="s">
        <v>266</v>
      </c>
      <c r="R153" s="5" t="s">
        <v>240</v>
      </c>
      <c r="S153" s="5" t="s">
        <v>240</v>
      </c>
      <c r="T153" s="5" t="s">
        <v>296</v>
      </c>
      <c r="U153" s="5" t="s">
        <v>244</v>
      </c>
      <c r="V153" s="5" t="s">
        <v>240</v>
      </c>
      <c r="Y153" s="5" t="s">
        <v>240</v>
      </c>
      <c r="Z153" s="6" t="s">
        <v>298</v>
      </c>
      <c r="AB153" s="6" t="s">
        <v>240</v>
      </c>
      <c r="AE153" s="6" t="s">
        <v>299</v>
      </c>
      <c r="AF153" s="5" t="s">
        <v>248</v>
      </c>
      <c r="AG153" s="5" t="s">
        <v>249</v>
      </c>
      <c r="AW153" s="5" t="s">
        <v>251</v>
      </c>
      <c r="AX153" s="5" t="s">
        <v>240</v>
      </c>
      <c r="AY153" s="5" t="s">
        <v>253</v>
      </c>
      <c r="AZ153" s="5" t="s">
        <v>240</v>
      </c>
      <c r="BA153" s="5" t="s">
        <v>255</v>
      </c>
      <c r="BB153" s="5" t="s">
        <v>240</v>
      </c>
      <c r="BD153" s="5" t="s">
        <v>240</v>
      </c>
      <c r="BF153" s="5" t="s">
        <v>301</v>
      </c>
      <c r="BG153" s="6" t="s">
        <v>299</v>
      </c>
      <c r="BH153" s="5" t="s">
        <v>302</v>
      </c>
      <c r="BI153" s="5" t="s">
        <v>303</v>
      </c>
      <c r="BJ153" s="5" t="s">
        <v>240</v>
      </c>
      <c r="BK153" s="8">
        <f>0</f>
        <v>0</v>
      </c>
      <c r="BL153" s="7">
        <f>0</f>
        <v>0</v>
      </c>
      <c r="BM153" s="5" t="s">
        <v>258</v>
      </c>
      <c r="BN153" s="5" t="s">
        <v>259</v>
      </c>
      <c r="CB153" s="5" t="s">
        <v>240</v>
      </c>
      <c r="CC153" s="5" t="s">
        <v>240</v>
      </c>
      <c r="CG153" s="5" t="s">
        <v>304</v>
      </c>
      <c r="CH153" s="5" t="s">
        <v>305</v>
      </c>
      <c r="CI153" s="5" t="s">
        <v>240</v>
      </c>
      <c r="CL153" s="6" t="s">
        <v>261</v>
      </c>
      <c r="CM153" s="5" t="s">
        <v>240</v>
      </c>
      <c r="CN153" s="5" t="s">
        <v>263</v>
      </c>
      <c r="CO153" s="5" t="s">
        <v>240</v>
      </c>
      <c r="CP153" s="5" t="s">
        <v>240</v>
      </c>
      <c r="CQ153" s="5">
        <v>0</v>
      </c>
      <c r="CR153" s="5" t="s">
        <v>306</v>
      </c>
      <c r="CS153" s="5" t="s">
        <v>307</v>
      </c>
      <c r="CT153" s="5" t="s">
        <v>307</v>
      </c>
      <c r="CU153" s="5" t="s">
        <v>260</v>
      </c>
      <c r="CX153" s="7">
        <f>1</f>
        <v>1</v>
      </c>
      <c r="CY153" s="7">
        <f>0</f>
        <v>0</v>
      </c>
      <c r="DA153" s="7">
        <f>0</f>
        <v>0</v>
      </c>
      <c r="DC153" s="5" t="s">
        <v>309</v>
      </c>
      <c r="DD153" s="5" t="s">
        <v>240</v>
      </c>
      <c r="DF153" s="5" t="s">
        <v>309</v>
      </c>
      <c r="DG153" s="7">
        <f>1191</f>
        <v>1191</v>
      </c>
      <c r="DI153" s="5" t="s">
        <v>240</v>
      </c>
      <c r="DJ153" s="5" t="s">
        <v>240</v>
      </c>
      <c r="DK153" s="5" t="s">
        <v>240</v>
      </c>
      <c r="DL153" s="5" t="s">
        <v>240</v>
      </c>
      <c r="DP153" s="5" t="s">
        <v>240</v>
      </c>
      <c r="DQ153" s="5" t="s">
        <v>240</v>
      </c>
      <c r="DR153" s="5" t="s">
        <v>240</v>
      </c>
      <c r="DS153" s="5" t="s">
        <v>240</v>
      </c>
      <c r="DV153" s="5" t="s">
        <v>310</v>
      </c>
      <c r="DW153" s="5" t="s">
        <v>608</v>
      </c>
      <c r="HO153" s="5" t="s">
        <v>312</v>
      </c>
    </row>
    <row r="154" spans="1:223" x14ac:dyDescent="0.4">
      <c r="A154" s="5">
        <v>865</v>
      </c>
      <c r="B154" s="5">
        <v>1</v>
      </c>
      <c r="C154" s="5">
        <v>1</v>
      </c>
      <c r="D154" s="5" t="s">
        <v>4561</v>
      </c>
      <c r="E154" s="5" t="s">
        <v>418</v>
      </c>
      <c r="F154" s="5" t="s">
        <v>254</v>
      </c>
      <c r="G154" s="5" t="s">
        <v>240</v>
      </c>
      <c r="H154" s="6" t="s">
        <v>4562</v>
      </c>
      <c r="I154" s="5" t="s">
        <v>4560</v>
      </c>
      <c r="J154" s="8">
        <f>1632</f>
        <v>1632</v>
      </c>
      <c r="K154" s="5" t="s">
        <v>308</v>
      </c>
      <c r="L154" s="7">
        <f>3614880</f>
        <v>3614880</v>
      </c>
      <c r="M154" s="7">
        <f>3614880</f>
        <v>3614880</v>
      </c>
      <c r="N154" s="5" t="s">
        <v>242</v>
      </c>
      <c r="O154" s="5">
        <v>1</v>
      </c>
      <c r="P154" s="5" t="s">
        <v>294</v>
      </c>
      <c r="Q154" s="5" t="s">
        <v>266</v>
      </c>
      <c r="R154" s="5" t="s">
        <v>240</v>
      </c>
      <c r="S154" s="5" t="s">
        <v>240</v>
      </c>
      <c r="T154" s="5" t="s">
        <v>296</v>
      </c>
      <c r="U154" s="5" t="s">
        <v>244</v>
      </c>
      <c r="V154" s="5" t="s">
        <v>240</v>
      </c>
      <c r="Y154" s="5" t="s">
        <v>240</v>
      </c>
      <c r="Z154" s="6" t="s">
        <v>298</v>
      </c>
      <c r="AB154" s="6" t="s">
        <v>240</v>
      </c>
      <c r="AE154" s="6" t="s">
        <v>299</v>
      </c>
      <c r="AF154" s="5" t="s">
        <v>248</v>
      </c>
      <c r="AG154" s="5" t="s">
        <v>249</v>
      </c>
      <c r="AW154" s="5" t="s">
        <v>251</v>
      </c>
      <c r="AX154" s="5" t="s">
        <v>240</v>
      </c>
      <c r="AY154" s="5" t="s">
        <v>253</v>
      </c>
      <c r="AZ154" s="5" t="s">
        <v>240</v>
      </c>
      <c r="BA154" s="5" t="s">
        <v>255</v>
      </c>
      <c r="BB154" s="5" t="s">
        <v>240</v>
      </c>
      <c r="BD154" s="5" t="s">
        <v>240</v>
      </c>
      <c r="BF154" s="5" t="s">
        <v>301</v>
      </c>
      <c r="BG154" s="6" t="s">
        <v>299</v>
      </c>
      <c r="BH154" s="5" t="s">
        <v>302</v>
      </c>
      <c r="BI154" s="5" t="s">
        <v>303</v>
      </c>
      <c r="BJ154" s="5" t="s">
        <v>240</v>
      </c>
      <c r="BK154" s="8">
        <f>0</f>
        <v>0</v>
      </c>
      <c r="BL154" s="7">
        <f>0</f>
        <v>0</v>
      </c>
      <c r="BM154" s="5" t="s">
        <v>258</v>
      </c>
      <c r="BN154" s="5" t="s">
        <v>259</v>
      </c>
      <c r="CB154" s="5" t="s">
        <v>240</v>
      </c>
      <c r="CC154" s="5" t="s">
        <v>240</v>
      </c>
      <c r="CG154" s="5" t="s">
        <v>304</v>
      </c>
      <c r="CH154" s="5" t="s">
        <v>305</v>
      </c>
      <c r="CI154" s="5" t="s">
        <v>240</v>
      </c>
      <c r="CL154" s="6" t="s">
        <v>261</v>
      </c>
      <c r="CM154" s="5" t="s">
        <v>240</v>
      </c>
      <c r="CN154" s="5" t="s">
        <v>263</v>
      </c>
      <c r="CO154" s="5" t="s">
        <v>240</v>
      </c>
      <c r="CP154" s="5" t="s">
        <v>240</v>
      </c>
      <c r="CQ154" s="5">
        <v>0</v>
      </c>
      <c r="CR154" s="5" t="s">
        <v>306</v>
      </c>
      <c r="CS154" s="5" t="s">
        <v>307</v>
      </c>
      <c r="CT154" s="5" t="s">
        <v>307</v>
      </c>
      <c r="CU154" s="5" t="s">
        <v>260</v>
      </c>
      <c r="CX154" s="7">
        <f>1</f>
        <v>1</v>
      </c>
      <c r="CY154" s="7">
        <f>0</f>
        <v>0</v>
      </c>
      <c r="DA154" s="7">
        <f>0</f>
        <v>0</v>
      </c>
      <c r="DC154" s="5" t="s">
        <v>309</v>
      </c>
      <c r="DD154" s="5" t="s">
        <v>240</v>
      </c>
      <c r="DF154" s="5" t="s">
        <v>309</v>
      </c>
      <c r="DG154" s="7">
        <f>69</f>
        <v>69</v>
      </c>
      <c r="DI154" s="5" t="s">
        <v>240</v>
      </c>
      <c r="DJ154" s="5" t="s">
        <v>240</v>
      </c>
      <c r="DK154" s="5" t="s">
        <v>240</v>
      </c>
      <c r="DL154" s="5" t="s">
        <v>240</v>
      </c>
      <c r="DP154" s="5" t="s">
        <v>240</v>
      </c>
      <c r="DQ154" s="5" t="s">
        <v>240</v>
      </c>
      <c r="DR154" s="5" t="s">
        <v>240</v>
      </c>
      <c r="DS154" s="5" t="s">
        <v>240</v>
      </c>
      <c r="DV154" s="5" t="s">
        <v>310</v>
      </c>
      <c r="DW154" s="5" t="s">
        <v>610</v>
      </c>
      <c r="HO154" s="5" t="s">
        <v>312</v>
      </c>
    </row>
    <row r="155" spans="1:223" x14ac:dyDescent="0.4">
      <c r="A155" s="5">
        <v>866</v>
      </c>
      <c r="B155" s="5">
        <v>1</v>
      </c>
      <c r="C155" s="5">
        <v>1</v>
      </c>
      <c r="D155" s="5" t="s">
        <v>2009</v>
      </c>
      <c r="E155" s="5" t="s">
        <v>418</v>
      </c>
      <c r="F155" s="5" t="s">
        <v>254</v>
      </c>
      <c r="G155" s="5" t="s">
        <v>240</v>
      </c>
      <c r="H155" s="6" t="s">
        <v>2010</v>
      </c>
      <c r="I155" s="5" t="s">
        <v>2008</v>
      </c>
      <c r="J155" s="8">
        <f>520</f>
        <v>520</v>
      </c>
      <c r="K155" s="5" t="s">
        <v>308</v>
      </c>
      <c r="L155" s="7">
        <f>1151800</f>
        <v>1151800</v>
      </c>
      <c r="M155" s="7">
        <f>1151800</f>
        <v>1151800</v>
      </c>
      <c r="N155" s="5" t="s">
        <v>242</v>
      </c>
      <c r="O155" s="5">
        <v>1</v>
      </c>
      <c r="P155" s="5" t="s">
        <v>294</v>
      </c>
      <c r="Q155" s="5" t="s">
        <v>266</v>
      </c>
      <c r="R155" s="5" t="s">
        <v>240</v>
      </c>
      <c r="S155" s="5" t="s">
        <v>240</v>
      </c>
      <c r="T155" s="5" t="s">
        <v>296</v>
      </c>
      <c r="U155" s="5" t="s">
        <v>244</v>
      </c>
      <c r="V155" s="5" t="s">
        <v>240</v>
      </c>
      <c r="Y155" s="5" t="s">
        <v>240</v>
      </c>
      <c r="Z155" s="6" t="s">
        <v>298</v>
      </c>
      <c r="AB155" s="6" t="s">
        <v>240</v>
      </c>
      <c r="AE155" s="6" t="s">
        <v>299</v>
      </c>
      <c r="AF155" s="5" t="s">
        <v>248</v>
      </c>
      <c r="AG155" s="5" t="s">
        <v>249</v>
      </c>
      <c r="AW155" s="5" t="s">
        <v>251</v>
      </c>
      <c r="AX155" s="5" t="s">
        <v>240</v>
      </c>
      <c r="AY155" s="5" t="s">
        <v>253</v>
      </c>
      <c r="AZ155" s="5" t="s">
        <v>240</v>
      </c>
      <c r="BA155" s="5" t="s">
        <v>255</v>
      </c>
      <c r="BB155" s="5" t="s">
        <v>240</v>
      </c>
      <c r="BD155" s="5" t="s">
        <v>240</v>
      </c>
      <c r="BF155" s="5" t="s">
        <v>301</v>
      </c>
      <c r="BG155" s="6" t="s">
        <v>299</v>
      </c>
      <c r="BH155" s="5" t="s">
        <v>302</v>
      </c>
      <c r="BI155" s="5" t="s">
        <v>303</v>
      </c>
      <c r="BJ155" s="5" t="s">
        <v>240</v>
      </c>
      <c r="BK155" s="8">
        <f>0</f>
        <v>0</v>
      </c>
      <c r="BL155" s="7">
        <f>0</f>
        <v>0</v>
      </c>
      <c r="BM155" s="5" t="s">
        <v>258</v>
      </c>
      <c r="BN155" s="5" t="s">
        <v>259</v>
      </c>
      <c r="CB155" s="5" t="s">
        <v>240</v>
      </c>
      <c r="CC155" s="5" t="s">
        <v>240</v>
      </c>
      <c r="CG155" s="5" t="s">
        <v>304</v>
      </c>
      <c r="CH155" s="5" t="s">
        <v>305</v>
      </c>
      <c r="CI155" s="5" t="s">
        <v>240</v>
      </c>
      <c r="CL155" s="6" t="s">
        <v>261</v>
      </c>
      <c r="CM155" s="5" t="s">
        <v>240</v>
      </c>
      <c r="CN155" s="5" t="s">
        <v>263</v>
      </c>
      <c r="CO155" s="5" t="s">
        <v>240</v>
      </c>
      <c r="CP155" s="5" t="s">
        <v>240</v>
      </c>
      <c r="CQ155" s="5">
        <v>0</v>
      </c>
      <c r="CR155" s="5" t="s">
        <v>306</v>
      </c>
      <c r="CS155" s="5" t="s">
        <v>307</v>
      </c>
      <c r="CT155" s="5" t="s">
        <v>307</v>
      </c>
      <c r="CU155" s="5" t="s">
        <v>260</v>
      </c>
      <c r="CX155" s="7">
        <f>1</f>
        <v>1</v>
      </c>
      <c r="CY155" s="7">
        <f>0</f>
        <v>0</v>
      </c>
      <c r="DA155" s="7">
        <f>0</f>
        <v>0</v>
      </c>
      <c r="DC155" s="5" t="s">
        <v>309</v>
      </c>
      <c r="DD155" s="5" t="s">
        <v>240</v>
      </c>
      <c r="DF155" s="5" t="s">
        <v>309</v>
      </c>
      <c r="DG155" s="7">
        <f>1750</f>
        <v>1750</v>
      </c>
      <c r="DI155" s="5" t="s">
        <v>240</v>
      </c>
      <c r="DJ155" s="5" t="s">
        <v>240</v>
      </c>
      <c r="DK155" s="5" t="s">
        <v>240</v>
      </c>
      <c r="DL155" s="5" t="s">
        <v>240</v>
      </c>
      <c r="DP155" s="5" t="s">
        <v>240</v>
      </c>
      <c r="DQ155" s="5" t="s">
        <v>240</v>
      </c>
      <c r="DR155" s="5" t="s">
        <v>240</v>
      </c>
      <c r="DS155" s="5" t="s">
        <v>240</v>
      </c>
      <c r="DV155" s="5" t="s">
        <v>310</v>
      </c>
      <c r="DW155" s="5" t="s">
        <v>612</v>
      </c>
      <c r="HO155" s="5" t="s">
        <v>312</v>
      </c>
    </row>
    <row r="156" spans="1:223" x14ac:dyDescent="0.4">
      <c r="A156" s="5">
        <v>867</v>
      </c>
      <c r="B156" s="5">
        <v>1</v>
      </c>
      <c r="C156" s="5">
        <v>1</v>
      </c>
      <c r="D156" s="5" t="s">
        <v>2009</v>
      </c>
      <c r="E156" s="5" t="s">
        <v>418</v>
      </c>
      <c r="F156" s="5" t="s">
        <v>254</v>
      </c>
      <c r="G156" s="5" t="s">
        <v>240</v>
      </c>
      <c r="H156" s="6" t="s">
        <v>4477</v>
      </c>
      <c r="I156" s="5" t="s">
        <v>2008</v>
      </c>
      <c r="J156" s="8">
        <f>412</f>
        <v>412</v>
      </c>
      <c r="K156" s="5" t="s">
        <v>308</v>
      </c>
      <c r="L156" s="7">
        <f>912580</f>
        <v>912580</v>
      </c>
      <c r="M156" s="7">
        <f>912580</f>
        <v>912580</v>
      </c>
      <c r="N156" s="5" t="s">
        <v>242</v>
      </c>
      <c r="O156" s="5">
        <v>1</v>
      </c>
      <c r="P156" s="5" t="s">
        <v>294</v>
      </c>
      <c r="Q156" s="5" t="s">
        <v>613</v>
      </c>
      <c r="R156" s="5" t="s">
        <v>240</v>
      </c>
      <c r="S156" s="5" t="s">
        <v>240</v>
      </c>
      <c r="T156" s="5" t="s">
        <v>243</v>
      </c>
      <c r="U156" s="5" t="s">
        <v>244</v>
      </c>
      <c r="V156" s="5" t="s">
        <v>240</v>
      </c>
      <c r="Y156" s="5" t="s">
        <v>240</v>
      </c>
      <c r="Z156" s="6" t="s">
        <v>298</v>
      </c>
      <c r="AB156" s="6" t="s">
        <v>240</v>
      </c>
      <c r="AE156" s="6" t="s">
        <v>299</v>
      </c>
      <c r="AF156" s="5" t="s">
        <v>248</v>
      </c>
      <c r="AG156" s="5" t="s">
        <v>249</v>
      </c>
      <c r="AW156" s="5" t="s">
        <v>251</v>
      </c>
      <c r="AX156" s="5" t="s">
        <v>240</v>
      </c>
      <c r="AY156" s="5" t="s">
        <v>253</v>
      </c>
      <c r="AZ156" s="5" t="s">
        <v>240</v>
      </c>
      <c r="BA156" s="5" t="s">
        <v>255</v>
      </c>
      <c r="BB156" s="5" t="s">
        <v>240</v>
      </c>
      <c r="BD156" s="5" t="s">
        <v>240</v>
      </c>
      <c r="BF156" s="5" t="s">
        <v>301</v>
      </c>
      <c r="BG156" s="6" t="s">
        <v>299</v>
      </c>
      <c r="BH156" s="5" t="s">
        <v>302</v>
      </c>
      <c r="BI156" s="5" t="s">
        <v>302</v>
      </c>
      <c r="BJ156" s="5" t="s">
        <v>240</v>
      </c>
      <c r="BK156" s="8">
        <f>0</f>
        <v>0</v>
      </c>
      <c r="BL156" s="7">
        <f>0</f>
        <v>0</v>
      </c>
      <c r="BM156" s="5" t="s">
        <v>258</v>
      </c>
      <c r="BN156" s="5" t="s">
        <v>259</v>
      </c>
      <c r="CB156" s="5" t="s">
        <v>240</v>
      </c>
      <c r="CC156" s="5" t="s">
        <v>240</v>
      </c>
      <c r="CG156" s="5" t="s">
        <v>617</v>
      </c>
      <c r="CH156" s="5" t="s">
        <v>305</v>
      </c>
      <c r="CI156" s="5" t="s">
        <v>240</v>
      </c>
      <c r="CL156" s="6" t="s">
        <v>261</v>
      </c>
      <c r="CM156" s="5" t="s">
        <v>240</v>
      </c>
      <c r="CN156" s="5" t="s">
        <v>263</v>
      </c>
      <c r="CO156" s="5" t="s">
        <v>240</v>
      </c>
      <c r="CP156" s="5" t="s">
        <v>240</v>
      </c>
      <c r="CQ156" s="5">
        <v>0</v>
      </c>
      <c r="CR156" s="5" t="s">
        <v>306</v>
      </c>
      <c r="CS156" s="5" t="s">
        <v>307</v>
      </c>
      <c r="CT156" s="5" t="s">
        <v>307</v>
      </c>
      <c r="CU156" s="5" t="s">
        <v>260</v>
      </c>
      <c r="CX156" s="7">
        <f>51049127</f>
        <v>51049127</v>
      </c>
      <c r="CY156" s="7">
        <f>0</f>
        <v>0</v>
      </c>
      <c r="DA156" s="7">
        <f>0</f>
        <v>0</v>
      </c>
      <c r="DC156" s="5" t="s">
        <v>618</v>
      </c>
      <c r="DD156" s="5" t="s">
        <v>240</v>
      </c>
      <c r="DF156" s="5" t="s">
        <v>618</v>
      </c>
      <c r="DG156" s="7">
        <f>23047.01</f>
        <v>23047.01</v>
      </c>
      <c r="DI156" s="5" t="s">
        <v>618</v>
      </c>
      <c r="DJ156" s="5" t="s">
        <v>240</v>
      </c>
      <c r="DK156" s="5" t="s">
        <v>240</v>
      </c>
      <c r="DL156" s="5" t="s">
        <v>240</v>
      </c>
      <c r="DP156" s="5" t="s">
        <v>240</v>
      </c>
      <c r="DQ156" s="5" t="s">
        <v>240</v>
      </c>
      <c r="DR156" s="5" t="s">
        <v>240</v>
      </c>
      <c r="DS156" s="5" t="s">
        <v>240</v>
      </c>
      <c r="DV156" s="5" t="s">
        <v>619</v>
      </c>
      <c r="DW156" s="5" t="s">
        <v>620</v>
      </c>
      <c r="HO156" s="5" t="s">
        <v>621</v>
      </c>
    </row>
    <row r="157" spans="1:223" x14ac:dyDescent="0.4">
      <c r="A157" s="5">
        <v>868</v>
      </c>
      <c r="B157" s="5">
        <v>1</v>
      </c>
      <c r="C157" s="5">
        <v>1</v>
      </c>
      <c r="D157" s="5" t="s">
        <v>2126</v>
      </c>
      <c r="E157" s="5" t="s">
        <v>418</v>
      </c>
      <c r="F157" s="5" t="s">
        <v>254</v>
      </c>
      <c r="G157" s="5" t="s">
        <v>240</v>
      </c>
      <c r="H157" s="6" t="s">
        <v>2127</v>
      </c>
      <c r="I157" s="5" t="s">
        <v>2125</v>
      </c>
      <c r="J157" s="8">
        <f>284</f>
        <v>284</v>
      </c>
      <c r="K157" s="5" t="s">
        <v>308</v>
      </c>
      <c r="L157" s="7">
        <f>139160</f>
        <v>139160</v>
      </c>
      <c r="M157" s="7">
        <f>139160</f>
        <v>139160</v>
      </c>
      <c r="N157" s="5" t="s">
        <v>242</v>
      </c>
      <c r="O157" s="5">
        <v>1</v>
      </c>
      <c r="P157" s="5" t="s">
        <v>294</v>
      </c>
      <c r="Q157" s="5" t="s">
        <v>266</v>
      </c>
      <c r="R157" s="5" t="s">
        <v>240</v>
      </c>
      <c r="S157" s="5" t="s">
        <v>240</v>
      </c>
      <c r="T157" s="5" t="s">
        <v>296</v>
      </c>
      <c r="U157" s="5" t="s">
        <v>244</v>
      </c>
      <c r="V157" s="5" t="s">
        <v>240</v>
      </c>
      <c r="Y157" s="5" t="s">
        <v>240</v>
      </c>
      <c r="Z157" s="6" t="s">
        <v>298</v>
      </c>
      <c r="AB157" s="6" t="s">
        <v>240</v>
      </c>
      <c r="AE157" s="6" t="s">
        <v>299</v>
      </c>
      <c r="AF157" s="5" t="s">
        <v>248</v>
      </c>
      <c r="AG157" s="5" t="s">
        <v>249</v>
      </c>
      <c r="AW157" s="5" t="s">
        <v>251</v>
      </c>
      <c r="AX157" s="5" t="s">
        <v>240</v>
      </c>
      <c r="AY157" s="5" t="s">
        <v>253</v>
      </c>
      <c r="AZ157" s="5" t="s">
        <v>240</v>
      </c>
      <c r="BA157" s="5" t="s">
        <v>255</v>
      </c>
      <c r="BB157" s="5" t="s">
        <v>240</v>
      </c>
      <c r="BD157" s="5" t="s">
        <v>240</v>
      </c>
      <c r="BF157" s="5" t="s">
        <v>301</v>
      </c>
      <c r="BG157" s="6" t="s">
        <v>299</v>
      </c>
      <c r="BH157" s="5" t="s">
        <v>302</v>
      </c>
      <c r="BI157" s="5" t="s">
        <v>303</v>
      </c>
      <c r="BJ157" s="5" t="s">
        <v>240</v>
      </c>
      <c r="BK157" s="8">
        <f>0</f>
        <v>0</v>
      </c>
      <c r="BL157" s="7">
        <f>0</f>
        <v>0</v>
      </c>
      <c r="BM157" s="5" t="s">
        <v>258</v>
      </c>
      <c r="BN157" s="5" t="s">
        <v>259</v>
      </c>
      <c r="CB157" s="5" t="s">
        <v>240</v>
      </c>
      <c r="CC157" s="5" t="s">
        <v>240</v>
      </c>
      <c r="CG157" s="5" t="s">
        <v>304</v>
      </c>
      <c r="CH157" s="5" t="s">
        <v>305</v>
      </c>
      <c r="CI157" s="5" t="s">
        <v>240</v>
      </c>
      <c r="CL157" s="6" t="s">
        <v>261</v>
      </c>
      <c r="CM157" s="5" t="s">
        <v>240</v>
      </c>
      <c r="CN157" s="5" t="s">
        <v>263</v>
      </c>
      <c r="CO157" s="5" t="s">
        <v>240</v>
      </c>
      <c r="CP157" s="5" t="s">
        <v>240</v>
      </c>
      <c r="CQ157" s="5">
        <v>0</v>
      </c>
      <c r="CR157" s="5" t="s">
        <v>306</v>
      </c>
      <c r="CS157" s="5" t="s">
        <v>307</v>
      </c>
      <c r="CT157" s="5" t="s">
        <v>307</v>
      </c>
      <c r="CU157" s="5" t="s">
        <v>260</v>
      </c>
      <c r="CX157" s="7">
        <f>1</f>
        <v>1</v>
      </c>
      <c r="CY157" s="7">
        <f>0</f>
        <v>0</v>
      </c>
      <c r="DA157" s="7">
        <f>0</f>
        <v>0</v>
      </c>
      <c r="DC157" s="5" t="s">
        <v>309</v>
      </c>
      <c r="DD157" s="5" t="s">
        <v>240</v>
      </c>
      <c r="DF157" s="5" t="s">
        <v>309</v>
      </c>
      <c r="DG157" s="7">
        <f>1698</f>
        <v>1698</v>
      </c>
      <c r="DI157" s="5" t="s">
        <v>240</v>
      </c>
      <c r="DJ157" s="5" t="s">
        <v>240</v>
      </c>
      <c r="DK157" s="5" t="s">
        <v>240</v>
      </c>
      <c r="DL157" s="5" t="s">
        <v>240</v>
      </c>
      <c r="DP157" s="5" t="s">
        <v>240</v>
      </c>
      <c r="DQ157" s="5" t="s">
        <v>240</v>
      </c>
      <c r="DR157" s="5" t="s">
        <v>240</v>
      </c>
      <c r="DS157" s="5" t="s">
        <v>240</v>
      </c>
      <c r="DV157" s="5" t="s">
        <v>310</v>
      </c>
      <c r="DW157" s="5" t="s">
        <v>623</v>
      </c>
      <c r="HO157" s="5" t="s">
        <v>312</v>
      </c>
    </row>
    <row r="158" spans="1:223" x14ac:dyDescent="0.4">
      <c r="A158" s="5">
        <v>869</v>
      </c>
      <c r="B158" s="5">
        <v>1</v>
      </c>
      <c r="C158" s="5">
        <v>1</v>
      </c>
      <c r="D158" s="5" t="s">
        <v>1688</v>
      </c>
      <c r="E158" s="5" t="s">
        <v>418</v>
      </c>
      <c r="F158" s="5" t="s">
        <v>254</v>
      </c>
      <c r="G158" s="5" t="s">
        <v>1689</v>
      </c>
      <c r="H158" s="6" t="s">
        <v>1690</v>
      </c>
      <c r="I158" s="5" t="s">
        <v>1687</v>
      </c>
      <c r="J158" s="8">
        <f>1700</f>
        <v>1700</v>
      </c>
      <c r="K158" s="5" t="s">
        <v>308</v>
      </c>
      <c r="L158" s="7">
        <f>4590000</f>
        <v>4590000</v>
      </c>
      <c r="M158" s="7">
        <f>4590000</f>
        <v>4590000</v>
      </c>
      <c r="N158" s="5" t="s">
        <v>242</v>
      </c>
      <c r="O158" s="5">
        <v>1</v>
      </c>
      <c r="P158" s="5" t="s">
        <v>294</v>
      </c>
      <c r="Q158" s="5" t="s">
        <v>266</v>
      </c>
      <c r="R158" s="5" t="s">
        <v>240</v>
      </c>
      <c r="S158" s="5" t="s">
        <v>240</v>
      </c>
      <c r="T158" s="5" t="s">
        <v>296</v>
      </c>
      <c r="U158" s="5" t="s">
        <v>244</v>
      </c>
      <c r="V158" s="5" t="s">
        <v>240</v>
      </c>
      <c r="Y158" s="5" t="s">
        <v>240</v>
      </c>
      <c r="Z158" s="6" t="s">
        <v>298</v>
      </c>
      <c r="AB158" s="6" t="s">
        <v>240</v>
      </c>
      <c r="AE158" s="6" t="s">
        <v>299</v>
      </c>
      <c r="AF158" s="5" t="s">
        <v>248</v>
      </c>
      <c r="AG158" s="5" t="s">
        <v>249</v>
      </c>
      <c r="AW158" s="5" t="s">
        <v>251</v>
      </c>
      <c r="AX158" s="5" t="s">
        <v>240</v>
      </c>
      <c r="AY158" s="5" t="s">
        <v>253</v>
      </c>
      <c r="AZ158" s="5" t="s">
        <v>240</v>
      </c>
      <c r="BA158" s="5" t="s">
        <v>255</v>
      </c>
      <c r="BB158" s="5" t="s">
        <v>240</v>
      </c>
      <c r="BD158" s="5" t="s">
        <v>240</v>
      </c>
      <c r="BF158" s="5" t="s">
        <v>301</v>
      </c>
      <c r="BG158" s="6" t="s">
        <v>299</v>
      </c>
      <c r="BH158" s="5" t="s">
        <v>302</v>
      </c>
      <c r="BI158" s="5" t="s">
        <v>303</v>
      </c>
      <c r="BJ158" s="5" t="s">
        <v>240</v>
      </c>
      <c r="BK158" s="8">
        <f>0</f>
        <v>0</v>
      </c>
      <c r="BL158" s="7">
        <f>0</f>
        <v>0</v>
      </c>
      <c r="BM158" s="5" t="s">
        <v>258</v>
      </c>
      <c r="BN158" s="5" t="s">
        <v>259</v>
      </c>
      <c r="CB158" s="5" t="s">
        <v>240</v>
      </c>
      <c r="CC158" s="5" t="s">
        <v>240</v>
      </c>
      <c r="CG158" s="5" t="s">
        <v>304</v>
      </c>
      <c r="CH158" s="5" t="s">
        <v>305</v>
      </c>
      <c r="CI158" s="5" t="s">
        <v>240</v>
      </c>
      <c r="CL158" s="6" t="s">
        <v>261</v>
      </c>
      <c r="CM158" s="5" t="s">
        <v>240</v>
      </c>
      <c r="CN158" s="5" t="s">
        <v>263</v>
      </c>
      <c r="CO158" s="5" t="s">
        <v>240</v>
      </c>
      <c r="CP158" s="5" t="s">
        <v>240</v>
      </c>
      <c r="CQ158" s="5">
        <v>0</v>
      </c>
      <c r="CR158" s="5" t="s">
        <v>306</v>
      </c>
      <c r="CS158" s="5" t="s">
        <v>307</v>
      </c>
      <c r="CT158" s="5" t="s">
        <v>307</v>
      </c>
      <c r="CU158" s="5" t="s">
        <v>260</v>
      </c>
      <c r="CX158" s="7">
        <f>1</f>
        <v>1</v>
      </c>
      <c r="CY158" s="7">
        <f>0</f>
        <v>0</v>
      </c>
      <c r="DA158" s="7">
        <f>0</f>
        <v>0</v>
      </c>
      <c r="DC158" s="5" t="s">
        <v>309</v>
      </c>
      <c r="DD158" s="5" t="s">
        <v>240</v>
      </c>
      <c r="DF158" s="5" t="s">
        <v>309</v>
      </c>
      <c r="DG158" s="7">
        <f>2680</f>
        <v>2680</v>
      </c>
      <c r="DI158" s="5" t="s">
        <v>240</v>
      </c>
      <c r="DJ158" s="5" t="s">
        <v>240</v>
      </c>
      <c r="DK158" s="5" t="s">
        <v>240</v>
      </c>
      <c r="DL158" s="5" t="s">
        <v>240</v>
      </c>
      <c r="DP158" s="5" t="s">
        <v>240</v>
      </c>
      <c r="DQ158" s="5" t="s">
        <v>240</v>
      </c>
      <c r="DR158" s="5" t="s">
        <v>240</v>
      </c>
      <c r="DS158" s="5" t="s">
        <v>240</v>
      </c>
      <c r="DV158" s="5" t="s">
        <v>310</v>
      </c>
      <c r="DW158" s="5" t="s">
        <v>625</v>
      </c>
      <c r="HO158" s="5" t="s">
        <v>312</v>
      </c>
    </row>
    <row r="159" spans="1:223" x14ac:dyDescent="0.4">
      <c r="A159" s="5">
        <v>870</v>
      </c>
      <c r="B159" s="5">
        <v>1</v>
      </c>
      <c r="C159" s="5">
        <v>1</v>
      </c>
      <c r="D159" s="5" t="s">
        <v>1684</v>
      </c>
      <c r="E159" s="5" t="s">
        <v>418</v>
      </c>
      <c r="F159" s="5" t="s">
        <v>254</v>
      </c>
      <c r="G159" s="5" t="s">
        <v>240</v>
      </c>
      <c r="H159" s="6" t="s">
        <v>1685</v>
      </c>
      <c r="I159" s="5" t="s">
        <v>1683</v>
      </c>
      <c r="J159" s="8">
        <f>575</f>
        <v>575</v>
      </c>
      <c r="K159" s="5" t="s">
        <v>308</v>
      </c>
      <c r="L159" s="7">
        <f>1273625</f>
        <v>1273625</v>
      </c>
      <c r="M159" s="7">
        <f>1273625</f>
        <v>1273625</v>
      </c>
      <c r="N159" s="5" t="s">
        <v>242</v>
      </c>
      <c r="O159" s="5">
        <v>1</v>
      </c>
      <c r="P159" s="5" t="s">
        <v>294</v>
      </c>
      <c r="Q159" s="5" t="s">
        <v>266</v>
      </c>
      <c r="R159" s="5" t="s">
        <v>240</v>
      </c>
      <c r="S159" s="5" t="s">
        <v>240</v>
      </c>
      <c r="T159" s="5" t="s">
        <v>296</v>
      </c>
      <c r="U159" s="5" t="s">
        <v>244</v>
      </c>
      <c r="V159" s="5" t="s">
        <v>240</v>
      </c>
      <c r="Y159" s="5" t="s">
        <v>240</v>
      </c>
      <c r="Z159" s="6" t="s">
        <v>298</v>
      </c>
      <c r="AB159" s="6" t="s">
        <v>240</v>
      </c>
      <c r="AE159" s="6" t="s">
        <v>299</v>
      </c>
      <c r="AF159" s="5" t="s">
        <v>248</v>
      </c>
      <c r="AG159" s="5" t="s">
        <v>249</v>
      </c>
      <c r="AW159" s="5" t="s">
        <v>251</v>
      </c>
      <c r="AX159" s="5" t="s">
        <v>240</v>
      </c>
      <c r="AY159" s="5" t="s">
        <v>253</v>
      </c>
      <c r="AZ159" s="5" t="s">
        <v>240</v>
      </c>
      <c r="BA159" s="5" t="s">
        <v>255</v>
      </c>
      <c r="BB159" s="5" t="s">
        <v>240</v>
      </c>
      <c r="BD159" s="5" t="s">
        <v>240</v>
      </c>
      <c r="BF159" s="5" t="s">
        <v>301</v>
      </c>
      <c r="BG159" s="6" t="s">
        <v>299</v>
      </c>
      <c r="BH159" s="5" t="s">
        <v>302</v>
      </c>
      <c r="BI159" s="5" t="s">
        <v>303</v>
      </c>
      <c r="BJ159" s="5" t="s">
        <v>240</v>
      </c>
      <c r="BK159" s="8">
        <f>0</f>
        <v>0</v>
      </c>
      <c r="BL159" s="7">
        <f>0</f>
        <v>0</v>
      </c>
      <c r="BM159" s="5" t="s">
        <v>258</v>
      </c>
      <c r="BN159" s="5" t="s">
        <v>259</v>
      </c>
      <c r="CB159" s="5" t="s">
        <v>240</v>
      </c>
      <c r="CC159" s="5" t="s">
        <v>240</v>
      </c>
      <c r="CG159" s="5" t="s">
        <v>304</v>
      </c>
      <c r="CH159" s="5" t="s">
        <v>305</v>
      </c>
      <c r="CI159" s="5" t="s">
        <v>240</v>
      </c>
      <c r="CL159" s="6" t="s">
        <v>261</v>
      </c>
      <c r="CM159" s="5" t="s">
        <v>240</v>
      </c>
      <c r="CN159" s="5" t="s">
        <v>263</v>
      </c>
      <c r="CO159" s="5" t="s">
        <v>240</v>
      </c>
      <c r="CP159" s="5" t="s">
        <v>240</v>
      </c>
      <c r="CQ159" s="5">
        <v>0</v>
      </c>
      <c r="CR159" s="5" t="s">
        <v>306</v>
      </c>
      <c r="CS159" s="5" t="s">
        <v>307</v>
      </c>
      <c r="CT159" s="5" t="s">
        <v>307</v>
      </c>
      <c r="CU159" s="5" t="s">
        <v>260</v>
      </c>
      <c r="CX159" s="7">
        <f>1</f>
        <v>1</v>
      </c>
      <c r="CY159" s="7">
        <f>0</f>
        <v>0</v>
      </c>
      <c r="DA159" s="7">
        <f>0</f>
        <v>0</v>
      </c>
      <c r="DC159" s="5" t="s">
        <v>309</v>
      </c>
      <c r="DD159" s="5" t="s">
        <v>240</v>
      </c>
      <c r="DF159" s="5" t="s">
        <v>309</v>
      </c>
      <c r="DG159" s="7">
        <f>3652</f>
        <v>3652</v>
      </c>
      <c r="DI159" s="5" t="s">
        <v>240</v>
      </c>
      <c r="DJ159" s="5" t="s">
        <v>240</v>
      </c>
      <c r="DK159" s="5" t="s">
        <v>240</v>
      </c>
      <c r="DL159" s="5" t="s">
        <v>240</v>
      </c>
      <c r="DP159" s="5" t="s">
        <v>240</v>
      </c>
      <c r="DQ159" s="5" t="s">
        <v>240</v>
      </c>
      <c r="DR159" s="5" t="s">
        <v>240</v>
      </c>
      <c r="DS159" s="5" t="s">
        <v>240</v>
      </c>
      <c r="DV159" s="5" t="s">
        <v>310</v>
      </c>
      <c r="DW159" s="5" t="s">
        <v>627</v>
      </c>
      <c r="HO159" s="5" t="s">
        <v>312</v>
      </c>
    </row>
    <row r="160" spans="1:223" x14ac:dyDescent="0.4">
      <c r="A160" s="5">
        <v>871</v>
      </c>
      <c r="B160" s="5">
        <v>1</v>
      </c>
      <c r="C160" s="5">
        <v>1</v>
      </c>
      <c r="D160" s="5" t="s">
        <v>1669</v>
      </c>
      <c r="E160" s="5" t="s">
        <v>418</v>
      </c>
      <c r="F160" s="5" t="s">
        <v>254</v>
      </c>
      <c r="G160" s="5" t="s">
        <v>240</v>
      </c>
      <c r="H160" s="6" t="s">
        <v>1682</v>
      </c>
      <c r="I160" s="5" t="s">
        <v>1668</v>
      </c>
      <c r="J160" s="8">
        <f>379</f>
        <v>379</v>
      </c>
      <c r="K160" s="5" t="s">
        <v>308</v>
      </c>
      <c r="L160" s="7">
        <f>985400</f>
        <v>985400</v>
      </c>
      <c r="M160" s="7">
        <f>985400</f>
        <v>985400</v>
      </c>
      <c r="N160" s="5" t="s">
        <v>242</v>
      </c>
      <c r="O160" s="5">
        <v>1</v>
      </c>
      <c r="P160" s="5" t="s">
        <v>294</v>
      </c>
      <c r="Q160" s="5" t="s">
        <v>266</v>
      </c>
      <c r="R160" s="5" t="s">
        <v>240</v>
      </c>
      <c r="S160" s="5" t="s">
        <v>240</v>
      </c>
      <c r="T160" s="5" t="s">
        <v>296</v>
      </c>
      <c r="U160" s="5" t="s">
        <v>244</v>
      </c>
      <c r="V160" s="5" t="s">
        <v>240</v>
      </c>
      <c r="Y160" s="5" t="s">
        <v>240</v>
      </c>
      <c r="Z160" s="6" t="s">
        <v>298</v>
      </c>
      <c r="AB160" s="6" t="s">
        <v>240</v>
      </c>
      <c r="AE160" s="6" t="s">
        <v>299</v>
      </c>
      <c r="AF160" s="5" t="s">
        <v>248</v>
      </c>
      <c r="AG160" s="5" t="s">
        <v>249</v>
      </c>
      <c r="AW160" s="5" t="s">
        <v>251</v>
      </c>
      <c r="AX160" s="5" t="s">
        <v>240</v>
      </c>
      <c r="AY160" s="5" t="s">
        <v>253</v>
      </c>
      <c r="AZ160" s="5" t="s">
        <v>240</v>
      </c>
      <c r="BA160" s="5" t="s">
        <v>255</v>
      </c>
      <c r="BB160" s="5" t="s">
        <v>240</v>
      </c>
      <c r="BD160" s="5" t="s">
        <v>240</v>
      </c>
      <c r="BF160" s="5" t="s">
        <v>301</v>
      </c>
      <c r="BG160" s="6" t="s">
        <v>299</v>
      </c>
      <c r="BH160" s="5" t="s">
        <v>302</v>
      </c>
      <c r="BI160" s="5" t="s">
        <v>303</v>
      </c>
      <c r="BJ160" s="5" t="s">
        <v>240</v>
      </c>
      <c r="BK160" s="8">
        <f>0</f>
        <v>0</v>
      </c>
      <c r="BL160" s="7">
        <f>0</f>
        <v>0</v>
      </c>
      <c r="BM160" s="5" t="s">
        <v>258</v>
      </c>
      <c r="BN160" s="5" t="s">
        <v>259</v>
      </c>
      <c r="CB160" s="5" t="s">
        <v>240</v>
      </c>
      <c r="CC160" s="5" t="s">
        <v>240</v>
      </c>
      <c r="CG160" s="5" t="s">
        <v>304</v>
      </c>
      <c r="CH160" s="5" t="s">
        <v>305</v>
      </c>
      <c r="CI160" s="5" t="s">
        <v>240</v>
      </c>
      <c r="CL160" s="6" t="s">
        <v>261</v>
      </c>
      <c r="CM160" s="5" t="s">
        <v>240</v>
      </c>
      <c r="CN160" s="5" t="s">
        <v>263</v>
      </c>
      <c r="CO160" s="5" t="s">
        <v>240</v>
      </c>
      <c r="CP160" s="5" t="s">
        <v>240</v>
      </c>
      <c r="CQ160" s="5">
        <v>0</v>
      </c>
      <c r="CR160" s="5" t="s">
        <v>306</v>
      </c>
      <c r="CS160" s="5" t="s">
        <v>307</v>
      </c>
      <c r="CT160" s="5" t="s">
        <v>307</v>
      </c>
      <c r="CU160" s="5" t="s">
        <v>260</v>
      </c>
      <c r="CX160" s="7">
        <f>1</f>
        <v>1</v>
      </c>
      <c r="CY160" s="7">
        <f>0</f>
        <v>0</v>
      </c>
      <c r="DA160" s="7">
        <f>0</f>
        <v>0</v>
      </c>
      <c r="DC160" s="5" t="s">
        <v>309</v>
      </c>
      <c r="DD160" s="5" t="s">
        <v>240</v>
      </c>
      <c r="DF160" s="5" t="s">
        <v>309</v>
      </c>
      <c r="DG160" s="7">
        <f>3474</f>
        <v>3474</v>
      </c>
      <c r="DI160" s="5" t="s">
        <v>240</v>
      </c>
      <c r="DJ160" s="5" t="s">
        <v>240</v>
      </c>
      <c r="DK160" s="5" t="s">
        <v>240</v>
      </c>
      <c r="DL160" s="5" t="s">
        <v>240</v>
      </c>
      <c r="DP160" s="5" t="s">
        <v>240</v>
      </c>
      <c r="DQ160" s="5" t="s">
        <v>240</v>
      </c>
      <c r="DR160" s="5" t="s">
        <v>240</v>
      </c>
      <c r="DS160" s="5" t="s">
        <v>240</v>
      </c>
      <c r="DV160" s="5" t="s">
        <v>310</v>
      </c>
      <c r="DW160" s="5" t="s">
        <v>629</v>
      </c>
      <c r="HO160" s="5" t="s">
        <v>312</v>
      </c>
    </row>
    <row r="161" spans="1:223" x14ac:dyDescent="0.4">
      <c r="A161" s="5">
        <v>872</v>
      </c>
      <c r="B161" s="5">
        <v>1</v>
      </c>
      <c r="C161" s="5">
        <v>1</v>
      </c>
      <c r="D161" s="5" t="s">
        <v>1669</v>
      </c>
      <c r="E161" s="5" t="s">
        <v>418</v>
      </c>
      <c r="F161" s="5" t="s">
        <v>254</v>
      </c>
      <c r="G161" s="5" t="s">
        <v>240</v>
      </c>
      <c r="H161" s="6" t="s">
        <v>1681</v>
      </c>
      <c r="I161" s="5" t="s">
        <v>1668</v>
      </c>
      <c r="J161" s="8">
        <f>44</f>
        <v>44</v>
      </c>
      <c r="K161" s="5" t="s">
        <v>308</v>
      </c>
      <c r="L161" s="7">
        <f>114400</f>
        <v>114400</v>
      </c>
      <c r="M161" s="7">
        <f>114400</f>
        <v>114400</v>
      </c>
      <c r="N161" s="5" t="s">
        <v>242</v>
      </c>
      <c r="O161" s="5">
        <v>1</v>
      </c>
      <c r="P161" s="5" t="s">
        <v>294</v>
      </c>
      <c r="Q161" s="5" t="s">
        <v>266</v>
      </c>
      <c r="R161" s="5" t="s">
        <v>240</v>
      </c>
      <c r="S161" s="5" t="s">
        <v>240</v>
      </c>
      <c r="T161" s="5" t="s">
        <v>296</v>
      </c>
      <c r="U161" s="5" t="s">
        <v>244</v>
      </c>
      <c r="V161" s="5" t="s">
        <v>240</v>
      </c>
      <c r="Y161" s="5" t="s">
        <v>240</v>
      </c>
      <c r="Z161" s="6" t="s">
        <v>298</v>
      </c>
      <c r="AB161" s="6" t="s">
        <v>240</v>
      </c>
      <c r="AE161" s="6" t="s">
        <v>299</v>
      </c>
      <c r="AF161" s="5" t="s">
        <v>248</v>
      </c>
      <c r="AG161" s="5" t="s">
        <v>249</v>
      </c>
      <c r="AW161" s="5" t="s">
        <v>251</v>
      </c>
      <c r="AX161" s="5" t="s">
        <v>240</v>
      </c>
      <c r="AY161" s="5" t="s">
        <v>253</v>
      </c>
      <c r="AZ161" s="5" t="s">
        <v>240</v>
      </c>
      <c r="BA161" s="5" t="s">
        <v>255</v>
      </c>
      <c r="BB161" s="5" t="s">
        <v>240</v>
      </c>
      <c r="BD161" s="5" t="s">
        <v>240</v>
      </c>
      <c r="BF161" s="5" t="s">
        <v>301</v>
      </c>
      <c r="BG161" s="6" t="s">
        <v>299</v>
      </c>
      <c r="BH161" s="5" t="s">
        <v>302</v>
      </c>
      <c r="BI161" s="5" t="s">
        <v>303</v>
      </c>
      <c r="BJ161" s="5" t="s">
        <v>240</v>
      </c>
      <c r="BK161" s="8">
        <f>0</f>
        <v>0</v>
      </c>
      <c r="BL161" s="7">
        <f>0</f>
        <v>0</v>
      </c>
      <c r="BM161" s="5" t="s">
        <v>258</v>
      </c>
      <c r="BN161" s="5" t="s">
        <v>259</v>
      </c>
      <c r="CB161" s="5" t="s">
        <v>240</v>
      </c>
      <c r="CC161" s="5" t="s">
        <v>240</v>
      </c>
      <c r="CG161" s="5" t="s">
        <v>304</v>
      </c>
      <c r="CH161" s="5" t="s">
        <v>305</v>
      </c>
      <c r="CI161" s="5" t="s">
        <v>240</v>
      </c>
      <c r="CL161" s="6" t="s">
        <v>261</v>
      </c>
      <c r="CM161" s="5" t="s">
        <v>240</v>
      </c>
      <c r="CN161" s="5" t="s">
        <v>263</v>
      </c>
      <c r="CO161" s="5" t="s">
        <v>240</v>
      </c>
      <c r="CP161" s="5" t="s">
        <v>240</v>
      </c>
      <c r="CQ161" s="5">
        <v>0</v>
      </c>
      <c r="CR161" s="5" t="s">
        <v>306</v>
      </c>
      <c r="CS161" s="5" t="s">
        <v>307</v>
      </c>
      <c r="CT161" s="5" t="s">
        <v>307</v>
      </c>
      <c r="CU161" s="5" t="s">
        <v>260</v>
      </c>
      <c r="CX161" s="7">
        <f>1</f>
        <v>1</v>
      </c>
      <c r="CY161" s="7">
        <f>0</f>
        <v>0</v>
      </c>
      <c r="DA161" s="7">
        <f>0</f>
        <v>0</v>
      </c>
      <c r="DC161" s="5" t="s">
        <v>309</v>
      </c>
      <c r="DD161" s="5" t="s">
        <v>240</v>
      </c>
      <c r="DF161" s="5" t="s">
        <v>309</v>
      </c>
      <c r="DG161" s="7">
        <f>2033</f>
        <v>2033</v>
      </c>
      <c r="DI161" s="5" t="s">
        <v>240</v>
      </c>
      <c r="DJ161" s="5" t="s">
        <v>240</v>
      </c>
      <c r="DK161" s="5" t="s">
        <v>240</v>
      </c>
      <c r="DL161" s="5" t="s">
        <v>240</v>
      </c>
      <c r="DP161" s="5" t="s">
        <v>240</v>
      </c>
      <c r="DQ161" s="5" t="s">
        <v>240</v>
      </c>
      <c r="DR161" s="5" t="s">
        <v>240</v>
      </c>
      <c r="DS161" s="5" t="s">
        <v>240</v>
      </c>
      <c r="DV161" s="5" t="s">
        <v>310</v>
      </c>
      <c r="DW161" s="5" t="s">
        <v>631</v>
      </c>
      <c r="HO161" s="5" t="s">
        <v>312</v>
      </c>
    </row>
    <row r="162" spans="1:223" x14ac:dyDescent="0.4">
      <c r="A162" s="5">
        <v>873</v>
      </c>
      <c r="B162" s="5">
        <v>1</v>
      </c>
      <c r="C162" s="5">
        <v>1</v>
      </c>
      <c r="D162" s="5" t="s">
        <v>1669</v>
      </c>
      <c r="E162" s="5" t="s">
        <v>418</v>
      </c>
      <c r="F162" s="5" t="s">
        <v>254</v>
      </c>
      <c r="G162" s="5" t="s">
        <v>240</v>
      </c>
      <c r="H162" s="6" t="s">
        <v>1680</v>
      </c>
      <c r="I162" s="5" t="s">
        <v>1668</v>
      </c>
      <c r="J162" s="8">
        <f>83</f>
        <v>83</v>
      </c>
      <c r="K162" s="5" t="s">
        <v>308</v>
      </c>
      <c r="L162" s="7">
        <f>3569</f>
        <v>3569</v>
      </c>
      <c r="M162" s="7">
        <f>3569</f>
        <v>3569</v>
      </c>
      <c r="N162" s="5" t="s">
        <v>242</v>
      </c>
      <c r="O162" s="5">
        <v>1</v>
      </c>
      <c r="P162" s="5" t="s">
        <v>294</v>
      </c>
      <c r="Q162" s="5" t="s">
        <v>266</v>
      </c>
      <c r="R162" s="5" t="s">
        <v>240</v>
      </c>
      <c r="S162" s="5" t="s">
        <v>240</v>
      </c>
      <c r="T162" s="5" t="s">
        <v>296</v>
      </c>
      <c r="U162" s="5" t="s">
        <v>244</v>
      </c>
      <c r="V162" s="5" t="s">
        <v>240</v>
      </c>
      <c r="Y162" s="5" t="s">
        <v>240</v>
      </c>
      <c r="Z162" s="6" t="s">
        <v>298</v>
      </c>
      <c r="AB162" s="6" t="s">
        <v>240</v>
      </c>
      <c r="AE162" s="6" t="s">
        <v>299</v>
      </c>
      <c r="AF162" s="5" t="s">
        <v>248</v>
      </c>
      <c r="AG162" s="5" t="s">
        <v>249</v>
      </c>
      <c r="AW162" s="5" t="s">
        <v>251</v>
      </c>
      <c r="AX162" s="5" t="s">
        <v>240</v>
      </c>
      <c r="AY162" s="5" t="s">
        <v>253</v>
      </c>
      <c r="AZ162" s="5" t="s">
        <v>240</v>
      </c>
      <c r="BA162" s="5" t="s">
        <v>255</v>
      </c>
      <c r="BB162" s="5" t="s">
        <v>240</v>
      </c>
      <c r="BD162" s="5" t="s">
        <v>240</v>
      </c>
      <c r="BF162" s="5" t="s">
        <v>301</v>
      </c>
      <c r="BG162" s="6" t="s">
        <v>299</v>
      </c>
      <c r="BH162" s="5" t="s">
        <v>302</v>
      </c>
      <c r="BI162" s="5" t="s">
        <v>303</v>
      </c>
      <c r="BJ162" s="5" t="s">
        <v>240</v>
      </c>
      <c r="BK162" s="8">
        <f>0</f>
        <v>0</v>
      </c>
      <c r="BL162" s="7">
        <f>0</f>
        <v>0</v>
      </c>
      <c r="BM162" s="5" t="s">
        <v>258</v>
      </c>
      <c r="BN162" s="5" t="s">
        <v>259</v>
      </c>
      <c r="CB162" s="5" t="s">
        <v>240</v>
      </c>
      <c r="CC162" s="5" t="s">
        <v>240</v>
      </c>
      <c r="CG162" s="5" t="s">
        <v>304</v>
      </c>
      <c r="CH162" s="5" t="s">
        <v>305</v>
      </c>
      <c r="CI162" s="5" t="s">
        <v>240</v>
      </c>
      <c r="CL162" s="6" t="s">
        <v>261</v>
      </c>
      <c r="CM162" s="5" t="s">
        <v>240</v>
      </c>
      <c r="CN162" s="5" t="s">
        <v>263</v>
      </c>
      <c r="CO162" s="5" t="s">
        <v>240</v>
      </c>
      <c r="CP162" s="5" t="s">
        <v>240</v>
      </c>
      <c r="CQ162" s="5">
        <v>0</v>
      </c>
      <c r="CR162" s="5" t="s">
        <v>306</v>
      </c>
      <c r="CS162" s="5" t="s">
        <v>307</v>
      </c>
      <c r="CT162" s="5" t="s">
        <v>307</v>
      </c>
      <c r="CU162" s="5" t="s">
        <v>260</v>
      </c>
      <c r="CX162" s="7">
        <f>1</f>
        <v>1</v>
      </c>
      <c r="CY162" s="7">
        <f>0</f>
        <v>0</v>
      </c>
      <c r="DA162" s="7">
        <f>0</f>
        <v>0</v>
      </c>
      <c r="DC162" s="5" t="s">
        <v>309</v>
      </c>
      <c r="DD162" s="5" t="s">
        <v>240</v>
      </c>
      <c r="DF162" s="5" t="s">
        <v>309</v>
      </c>
      <c r="DG162" s="7">
        <f>120</f>
        <v>120</v>
      </c>
      <c r="DI162" s="5" t="s">
        <v>240</v>
      </c>
      <c r="DJ162" s="5" t="s">
        <v>240</v>
      </c>
      <c r="DK162" s="5" t="s">
        <v>240</v>
      </c>
      <c r="DL162" s="5" t="s">
        <v>240</v>
      </c>
      <c r="DP162" s="5" t="s">
        <v>240</v>
      </c>
      <c r="DQ162" s="5" t="s">
        <v>240</v>
      </c>
      <c r="DR162" s="5" t="s">
        <v>240</v>
      </c>
      <c r="DS162" s="5" t="s">
        <v>240</v>
      </c>
      <c r="DV162" s="5" t="s">
        <v>310</v>
      </c>
      <c r="DW162" s="5" t="s">
        <v>633</v>
      </c>
      <c r="HO162" s="5" t="s">
        <v>312</v>
      </c>
    </row>
    <row r="163" spans="1:223" x14ac:dyDescent="0.4">
      <c r="A163" s="5">
        <v>874</v>
      </c>
      <c r="B163" s="5">
        <v>1</v>
      </c>
      <c r="C163" s="5">
        <v>1</v>
      </c>
      <c r="D163" s="5" t="s">
        <v>1669</v>
      </c>
      <c r="E163" s="5" t="s">
        <v>418</v>
      </c>
      <c r="F163" s="5" t="s">
        <v>254</v>
      </c>
      <c r="G163" s="5" t="s">
        <v>240</v>
      </c>
      <c r="H163" s="6" t="s">
        <v>1679</v>
      </c>
      <c r="I163" s="5" t="s">
        <v>1668</v>
      </c>
      <c r="J163" s="8">
        <f>127</f>
        <v>127</v>
      </c>
      <c r="K163" s="5" t="s">
        <v>308</v>
      </c>
      <c r="L163" s="7">
        <f>5461</f>
        <v>5461</v>
      </c>
      <c r="M163" s="7">
        <f>5461</f>
        <v>5461</v>
      </c>
      <c r="N163" s="5" t="s">
        <v>242</v>
      </c>
      <c r="O163" s="5">
        <v>1</v>
      </c>
      <c r="P163" s="5" t="s">
        <v>294</v>
      </c>
      <c r="Q163" s="5" t="s">
        <v>266</v>
      </c>
      <c r="R163" s="5" t="s">
        <v>240</v>
      </c>
      <c r="S163" s="5" t="s">
        <v>240</v>
      </c>
      <c r="T163" s="5" t="s">
        <v>296</v>
      </c>
      <c r="U163" s="5" t="s">
        <v>244</v>
      </c>
      <c r="V163" s="5" t="s">
        <v>240</v>
      </c>
      <c r="Y163" s="5" t="s">
        <v>240</v>
      </c>
      <c r="Z163" s="6" t="s">
        <v>298</v>
      </c>
      <c r="AB163" s="6" t="s">
        <v>240</v>
      </c>
      <c r="AE163" s="6" t="s">
        <v>299</v>
      </c>
      <c r="AF163" s="5" t="s">
        <v>248</v>
      </c>
      <c r="AG163" s="5" t="s">
        <v>249</v>
      </c>
      <c r="AW163" s="5" t="s">
        <v>251</v>
      </c>
      <c r="AX163" s="5" t="s">
        <v>240</v>
      </c>
      <c r="AY163" s="5" t="s">
        <v>253</v>
      </c>
      <c r="AZ163" s="5" t="s">
        <v>240</v>
      </c>
      <c r="BA163" s="5" t="s">
        <v>255</v>
      </c>
      <c r="BB163" s="5" t="s">
        <v>240</v>
      </c>
      <c r="BD163" s="5" t="s">
        <v>240</v>
      </c>
      <c r="BF163" s="5" t="s">
        <v>301</v>
      </c>
      <c r="BG163" s="6" t="s">
        <v>299</v>
      </c>
      <c r="BH163" s="5" t="s">
        <v>302</v>
      </c>
      <c r="BI163" s="5" t="s">
        <v>303</v>
      </c>
      <c r="BJ163" s="5" t="s">
        <v>240</v>
      </c>
      <c r="BK163" s="8">
        <f>0</f>
        <v>0</v>
      </c>
      <c r="BL163" s="7">
        <f>0</f>
        <v>0</v>
      </c>
      <c r="BM163" s="5" t="s">
        <v>258</v>
      </c>
      <c r="BN163" s="5" t="s">
        <v>259</v>
      </c>
      <c r="CB163" s="5" t="s">
        <v>240</v>
      </c>
      <c r="CC163" s="5" t="s">
        <v>240</v>
      </c>
      <c r="CG163" s="5" t="s">
        <v>304</v>
      </c>
      <c r="CH163" s="5" t="s">
        <v>305</v>
      </c>
      <c r="CI163" s="5" t="s">
        <v>240</v>
      </c>
      <c r="CL163" s="6" t="s">
        <v>261</v>
      </c>
      <c r="CM163" s="5" t="s">
        <v>240</v>
      </c>
      <c r="CN163" s="5" t="s">
        <v>263</v>
      </c>
      <c r="CO163" s="5" t="s">
        <v>240</v>
      </c>
      <c r="CP163" s="5" t="s">
        <v>240</v>
      </c>
      <c r="CQ163" s="5">
        <v>0</v>
      </c>
      <c r="CR163" s="5" t="s">
        <v>306</v>
      </c>
      <c r="CS163" s="5" t="s">
        <v>307</v>
      </c>
      <c r="CT163" s="5" t="s">
        <v>307</v>
      </c>
      <c r="CU163" s="5" t="s">
        <v>260</v>
      </c>
      <c r="CX163" s="7">
        <f>1</f>
        <v>1</v>
      </c>
      <c r="CY163" s="7">
        <f>0</f>
        <v>0</v>
      </c>
      <c r="DA163" s="7">
        <f>0</f>
        <v>0</v>
      </c>
      <c r="DC163" s="5" t="s">
        <v>309</v>
      </c>
      <c r="DD163" s="5" t="s">
        <v>240</v>
      </c>
      <c r="DF163" s="5" t="s">
        <v>309</v>
      </c>
      <c r="DG163" s="7">
        <f>1208</f>
        <v>1208</v>
      </c>
      <c r="DI163" s="5" t="s">
        <v>240</v>
      </c>
      <c r="DJ163" s="5" t="s">
        <v>240</v>
      </c>
      <c r="DK163" s="5" t="s">
        <v>240</v>
      </c>
      <c r="DL163" s="5" t="s">
        <v>240</v>
      </c>
      <c r="DP163" s="5" t="s">
        <v>240</v>
      </c>
      <c r="DQ163" s="5" t="s">
        <v>240</v>
      </c>
      <c r="DR163" s="5" t="s">
        <v>240</v>
      </c>
      <c r="DS163" s="5" t="s">
        <v>240</v>
      </c>
      <c r="DV163" s="5" t="s">
        <v>310</v>
      </c>
      <c r="DW163" s="5" t="s">
        <v>635</v>
      </c>
      <c r="HO163" s="5" t="s">
        <v>312</v>
      </c>
    </row>
    <row r="164" spans="1:223" x14ac:dyDescent="0.4">
      <c r="A164" s="5">
        <v>875</v>
      </c>
      <c r="B164" s="5">
        <v>1</v>
      </c>
      <c r="C164" s="5">
        <v>1</v>
      </c>
      <c r="D164" s="5" t="s">
        <v>1669</v>
      </c>
      <c r="E164" s="5" t="s">
        <v>418</v>
      </c>
      <c r="F164" s="5" t="s">
        <v>254</v>
      </c>
      <c r="G164" s="5" t="s">
        <v>240</v>
      </c>
      <c r="H164" s="6" t="s">
        <v>1678</v>
      </c>
      <c r="I164" s="5" t="s">
        <v>1668</v>
      </c>
      <c r="J164" s="8">
        <f>113</f>
        <v>113</v>
      </c>
      <c r="K164" s="5" t="s">
        <v>308</v>
      </c>
      <c r="L164" s="7">
        <f>4859</f>
        <v>4859</v>
      </c>
      <c r="M164" s="7">
        <f>4859</f>
        <v>4859</v>
      </c>
      <c r="N164" s="5" t="s">
        <v>242</v>
      </c>
      <c r="O164" s="5">
        <v>1</v>
      </c>
      <c r="P164" s="5" t="s">
        <v>294</v>
      </c>
      <c r="Q164" s="5" t="s">
        <v>266</v>
      </c>
      <c r="R164" s="5" t="s">
        <v>240</v>
      </c>
      <c r="S164" s="5" t="s">
        <v>240</v>
      </c>
      <c r="T164" s="5" t="s">
        <v>296</v>
      </c>
      <c r="U164" s="5" t="s">
        <v>244</v>
      </c>
      <c r="V164" s="5" t="s">
        <v>240</v>
      </c>
      <c r="Y164" s="5" t="s">
        <v>240</v>
      </c>
      <c r="Z164" s="6" t="s">
        <v>298</v>
      </c>
      <c r="AB164" s="6" t="s">
        <v>240</v>
      </c>
      <c r="AE164" s="6" t="s">
        <v>299</v>
      </c>
      <c r="AF164" s="5" t="s">
        <v>248</v>
      </c>
      <c r="AG164" s="5" t="s">
        <v>249</v>
      </c>
      <c r="AW164" s="5" t="s">
        <v>251</v>
      </c>
      <c r="AX164" s="5" t="s">
        <v>240</v>
      </c>
      <c r="AY164" s="5" t="s">
        <v>253</v>
      </c>
      <c r="AZ164" s="5" t="s">
        <v>240</v>
      </c>
      <c r="BA164" s="5" t="s">
        <v>255</v>
      </c>
      <c r="BB164" s="5" t="s">
        <v>240</v>
      </c>
      <c r="BD164" s="5" t="s">
        <v>240</v>
      </c>
      <c r="BF164" s="5" t="s">
        <v>301</v>
      </c>
      <c r="BG164" s="6" t="s">
        <v>299</v>
      </c>
      <c r="BH164" s="5" t="s">
        <v>302</v>
      </c>
      <c r="BI164" s="5" t="s">
        <v>303</v>
      </c>
      <c r="BJ164" s="5" t="s">
        <v>240</v>
      </c>
      <c r="BK164" s="8">
        <f>0</f>
        <v>0</v>
      </c>
      <c r="BL164" s="7">
        <f>0</f>
        <v>0</v>
      </c>
      <c r="BM164" s="5" t="s">
        <v>258</v>
      </c>
      <c r="BN164" s="5" t="s">
        <v>259</v>
      </c>
      <c r="CB164" s="5" t="s">
        <v>240</v>
      </c>
      <c r="CC164" s="5" t="s">
        <v>240</v>
      </c>
      <c r="CG164" s="5" t="s">
        <v>304</v>
      </c>
      <c r="CH164" s="5" t="s">
        <v>305</v>
      </c>
      <c r="CI164" s="5" t="s">
        <v>240</v>
      </c>
      <c r="CL164" s="6" t="s">
        <v>261</v>
      </c>
      <c r="CM164" s="5" t="s">
        <v>240</v>
      </c>
      <c r="CN164" s="5" t="s">
        <v>263</v>
      </c>
      <c r="CO164" s="5" t="s">
        <v>240</v>
      </c>
      <c r="CP164" s="5" t="s">
        <v>240</v>
      </c>
      <c r="CQ164" s="5">
        <v>0</v>
      </c>
      <c r="CR164" s="5" t="s">
        <v>306</v>
      </c>
      <c r="CS164" s="5" t="s">
        <v>307</v>
      </c>
      <c r="CT164" s="5" t="s">
        <v>307</v>
      </c>
      <c r="CU164" s="5" t="s">
        <v>260</v>
      </c>
      <c r="CX164" s="7">
        <f>1</f>
        <v>1</v>
      </c>
      <c r="CY164" s="7">
        <f>0</f>
        <v>0</v>
      </c>
      <c r="DA164" s="7">
        <f>0</f>
        <v>0</v>
      </c>
      <c r="DC164" s="5" t="s">
        <v>309</v>
      </c>
      <c r="DD164" s="5" t="s">
        <v>240</v>
      </c>
      <c r="DF164" s="5" t="s">
        <v>309</v>
      </c>
      <c r="DG164" s="7">
        <f>1012</f>
        <v>1012</v>
      </c>
      <c r="DI164" s="5" t="s">
        <v>240</v>
      </c>
      <c r="DJ164" s="5" t="s">
        <v>240</v>
      </c>
      <c r="DK164" s="5" t="s">
        <v>240</v>
      </c>
      <c r="DL164" s="5" t="s">
        <v>240</v>
      </c>
      <c r="DP164" s="5" t="s">
        <v>240</v>
      </c>
      <c r="DQ164" s="5" t="s">
        <v>240</v>
      </c>
      <c r="DR164" s="5" t="s">
        <v>240</v>
      </c>
      <c r="DS164" s="5" t="s">
        <v>240</v>
      </c>
      <c r="DV164" s="5" t="s">
        <v>310</v>
      </c>
      <c r="DW164" s="5" t="s">
        <v>637</v>
      </c>
      <c r="HO164" s="5" t="s">
        <v>312</v>
      </c>
    </row>
    <row r="165" spans="1:223" x14ac:dyDescent="0.4">
      <c r="A165" s="5">
        <v>876</v>
      </c>
      <c r="B165" s="5">
        <v>1</v>
      </c>
      <c r="C165" s="5">
        <v>1</v>
      </c>
      <c r="D165" s="5" t="s">
        <v>1669</v>
      </c>
      <c r="E165" s="5" t="s">
        <v>418</v>
      </c>
      <c r="F165" s="5" t="s">
        <v>254</v>
      </c>
      <c r="G165" s="5" t="s">
        <v>240</v>
      </c>
      <c r="H165" s="6" t="s">
        <v>4473</v>
      </c>
      <c r="I165" s="5" t="s">
        <v>1668</v>
      </c>
      <c r="J165" s="8">
        <f>63</f>
        <v>63</v>
      </c>
      <c r="K165" s="5" t="s">
        <v>308</v>
      </c>
      <c r="L165" s="7">
        <f>163800</f>
        <v>163800</v>
      </c>
      <c r="M165" s="7">
        <f>163800</f>
        <v>163800</v>
      </c>
      <c r="N165" s="5" t="s">
        <v>242</v>
      </c>
      <c r="O165" s="5">
        <v>1</v>
      </c>
      <c r="P165" s="5" t="s">
        <v>294</v>
      </c>
      <c r="Q165" s="5" t="s">
        <v>266</v>
      </c>
      <c r="R165" s="5" t="s">
        <v>240</v>
      </c>
      <c r="S165" s="5" t="s">
        <v>240</v>
      </c>
      <c r="T165" s="5" t="s">
        <v>296</v>
      </c>
      <c r="U165" s="5" t="s">
        <v>244</v>
      </c>
      <c r="V165" s="5" t="s">
        <v>240</v>
      </c>
      <c r="Y165" s="5" t="s">
        <v>240</v>
      </c>
      <c r="Z165" s="6" t="s">
        <v>298</v>
      </c>
      <c r="AB165" s="6" t="s">
        <v>240</v>
      </c>
      <c r="AE165" s="6" t="s">
        <v>299</v>
      </c>
      <c r="AF165" s="5" t="s">
        <v>248</v>
      </c>
      <c r="AG165" s="5" t="s">
        <v>249</v>
      </c>
      <c r="AW165" s="5" t="s">
        <v>251</v>
      </c>
      <c r="AX165" s="5" t="s">
        <v>240</v>
      </c>
      <c r="AY165" s="5" t="s">
        <v>253</v>
      </c>
      <c r="AZ165" s="5" t="s">
        <v>240</v>
      </c>
      <c r="BA165" s="5" t="s">
        <v>255</v>
      </c>
      <c r="BB165" s="5" t="s">
        <v>240</v>
      </c>
      <c r="BD165" s="5" t="s">
        <v>240</v>
      </c>
      <c r="BF165" s="5" t="s">
        <v>301</v>
      </c>
      <c r="BG165" s="6" t="s">
        <v>299</v>
      </c>
      <c r="BH165" s="5" t="s">
        <v>302</v>
      </c>
      <c r="BI165" s="5" t="s">
        <v>303</v>
      </c>
      <c r="BJ165" s="5" t="s">
        <v>240</v>
      </c>
      <c r="BK165" s="8">
        <f>0</f>
        <v>0</v>
      </c>
      <c r="BL165" s="7">
        <f>0</f>
        <v>0</v>
      </c>
      <c r="BM165" s="5" t="s">
        <v>258</v>
      </c>
      <c r="BN165" s="5" t="s">
        <v>259</v>
      </c>
      <c r="CB165" s="5" t="s">
        <v>240</v>
      </c>
      <c r="CC165" s="5" t="s">
        <v>240</v>
      </c>
      <c r="CG165" s="5" t="s">
        <v>304</v>
      </c>
      <c r="CH165" s="5" t="s">
        <v>305</v>
      </c>
      <c r="CI165" s="5" t="s">
        <v>240</v>
      </c>
      <c r="CL165" s="6" t="s">
        <v>261</v>
      </c>
      <c r="CM165" s="5" t="s">
        <v>240</v>
      </c>
      <c r="CN165" s="5" t="s">
        <v>263</v>
      </c>
      <c r="CO165" s="5" t="s">
        <v>240</v>
      </c>
      <c r="CP165" s="5" t="s">
        <v>240</v>
      </c>
      <c r="CQ165" s="5">
        <v>0</v>
      </c>
      <c r="CR165" s="5" t="s">
        <v>306</v>
      </c>
      <c r="CS165" s="5" t="s">
        <v>307</v>
      </c>
      <c r="CT165" s="5" t="s">
        <v>307</v>
      </c>
      <c r="CU165" s="5" t="s">
        <v>260</v>
      </c>
      <c r="CX165" s="7">
        <f>1</f>
        <v>1</v>
      </c>
      <c r="CY165" s="7">
        <f>0</f>
        <v>0</v>
      </c>
      <c r="DA165" s="7">
        <f>0</f>
        <v>0</v>
      </c>
      <c r="DC165" s="5" t="s">
        <v>309</v>
      </c>
      <c r="DD165" s="5" t="s">
        <v>240</v>
      </c>
      <c r="DF165" s="5" t="s">
        <v>309</v>
      </c>
      <c r="DG165" s="7">
        <f>5033</f>
        <v>5033</v>
      </c>
      <c r="DI165" s="5" t="s">
        <v>240</v>
      </c>
      <c r="DJ165" s="5" t="s">
        <v>240</v>
      </c>
      <c r="DK165" s="5" t="s">
        <v>240</v>
      </c>
      <c r="DL165" s="5" t="s">
        <v>240</v>
      </c>
      <c r="DP165" s="5" t="s">
        <v>240</v>
      </c>
      <c r="DQ165" s="5" t="s">
        <v>240</v>
      </c>
      <c r="DR165" s="5" t="s">
        <v>240</v>
      </c>
      <c r="DS165" s="5" t="s">
        <v>240</v>
      </c>
      <c r="DV165" s="5" t="s">
        <v>310</v>
      </c>
      <c r="DW165" s="5" t="s">
        <v>639</v>
      </c>
      <c r="HO165" s="5" t="s">
        <v>312</v>
      </c>
    </row>
    <row r="166" spans="1:223" x14ac:dyDescent="0.4">
      <c r="A166" s="5">
        <v>877</v>
      </c>
      <c r="B166" s="5">
        <v>1</v>
      </c>
      <c r="C166" s="5">
        <v>1</v>
      </c>
      <c r="D166" s="5" t="s">
        <v>1669</v>
      </c>
      <c r="E166" s="5" t="s">
        <v>418</v>
      </c>
      <c r="F166" s="5" t="s">
        <v>254</v>
      </c>
      <c r="G166" s="5" t="s">
        <v>240</v>
      </c>
      <c r="H166" s="6" t="s">
        <v>1676</v>
      </c>
      <c r="I166" s="5" t="s">
        <v>1668</v>
      </c>
      <c r="J166" s="8">
        <f>553</f>
        <v>553</v>
      </c>
      <c r="K166" s="5" t="s">
        <v>308</v>
      </c>
      <c r="L166" s="7">
        <f>1437800</f>
        <v>1437800</v>
      </c>
      <c r="M166" s="7">
        <f>1437800</f>
        <v>1437800</v>
      </c>
      <c r="N166" s="5" t="s">
        <v>242</v>
      </c>
      <c r="O166" s="5">
        <v>1</v>
      </c>
      <c r="P166" s="5" t="s">
        <v>294</v>
      </c>
      <c r="Q166" s="5" t="s">
        <v>266</v>
      </c>
      <c r="R166" s="5" t="s">
        <v>240</v>
      </c>
      <c r="S166" s="5" t="s">
        <v>240</v>
      </c>
      <c r="T166" s="5" t="s">
        <v>296</v>
      </c>
      <c r="U166" s="5" t="s">
        <v>244</v>
      </c>
      <c r="V166" s="5" t="s">
        <v>240</v>
      </c>
      <c r="Y166" s="5" t="s">
        <v>240</v>
      </c>
      <c r="Z166" s="6" t="s">
        <v>298</v>
      </c>
      <c r="AB166" s="6" t="s">
        <v>240</v>
      </c>
      <c r="AE166" s="6" t="s">
        <v>299</v>
      </c>
      <c r="AF166" s="5" t="s">
        <v>248</v>
      </c>
      <c r="AG166" s="5" t="s">
        <v>249</v>
      </c>
      <c r="AW166" s="5" t="s">
        <v>251</v>
      </c>
      <c r="AX166" s="5" t="s">
        <v>240</v>
      </c>
      <c r="AY166" s="5" t="s">
        <v>253</v>
      </c>
      <c r="AZ166" s="5" t="s">
        <v>240</v>
      </c>
      <c r="BA166" s="5" t="s">
        <v>255</v>
      </c>
      <c r="BB166" s="5" t="s">
        <v>240</v>
      </c>
      <c r="BD166" s="5" t="s">
        <v>240</v>
      </c>
      <c r="BF166" s="5" t="s">
        <v>301</v>
      </c>
      <c r="BG166" s="6" t="s">
        <v>299</v>
      </c>
      <c r="BH166" s="5" t="s">
        <v>302</v>
      </c>
      <c r="BI166" s="5" t="s">
        <v>303</v>
      </c>
      <c r="BJ166" s="5" t="s">
        <v>240</v>
      </c>
      <c r="BK166" s="8">
        <f>0</f>
        <v>0</v>
      </c>
      <c r="BL166" s="7">
        <f>0</f>
        <v>0</v>
      </c>
      <c r="BM166" s="5" t="s">
        <v>258</v>
      </c>
      <c r="BN166" s="5" t="s">
        <v>259</v>
      </c>
      <c r="CB166" s="5" t="s">
        <v>240</v>
      </c>
      <c r="CC166" s="5" t="s">
        <v>240</v>
      </c>
      <c r="CG166" s="5" t="s">
        <v>304</v>
      </c>
      <c r="CH166" s="5" t="s">
        <v>305</v>
      </c>
      <c r="CI166" s="5" t="s">
        <v>240</v>
      </c>
      <c r="CL166" s="6" t="s">
        <v>261</v>
      </c>
      <c r="CM166" s="5" t="s">
        <v>240</v>
      </c>
      <c r="CN166" s="5" t="s">
        <v>263</v>
      </c>
      <c r="CO166" s="5" t="s">
        <v>240</v>
      </c>
      <c r="CP166" s="5" t="s">
        <v>240</v>
      </c>
      <c r="CQ166" s="5">
        <v>0</v>
      </c>
      <c r="CR166" s="5" t="s">
        <v>306</v>
      </c>
      <c r="CS166" s="5" t="s">
        <v>307</v>
      </c>
      <c r="CT166" s="5" t="s">
        <v>307</v>
      </c>
      <c r="CU166" s="5" t="s">
        <v>260</v>
      </c>
      <c r="CX166" s="7">
        <f>1</f>
        <v>1</v>
      </c>
      <c r="CY166" s="7">
        <f>0</f>
        <v>0</v>
      </c>
      <c r="DA166" s="7">
        <f>0</f>
        <v>0</v>
      </c>
      <c r="DC166" s="5" t="s">
        <v>309</v>
      </c>
      <c r="DD166" s="5" t="s">
        <v>240</v>
      </c>
      <c r="DF166" s="5" t="s">
        <v>309</v>
      </c>
      <c r="DG166" s="7">
        <f>4068</f>
        <v>4068</v>
      </c>
      <c r="DI166" s="5" t="s">
        <v>240</v>
      </c>
      <c r="DJ166" s="5" t="s">
        <v>240</v>
      </c>
      <c r="DK166" s="5" t="s">
        <v>240</v>
      </c>
      <c r="DL166" s="5" t="s">
        <v>240</v>
      </c>
      <c r="DP166" s="5" t="s">
        <v>240</v>
      </c>
      <c r="DQ166" s="5" t="s">
        <v>240</v>
      </c>
      <c r="DR166" s="5" t="s">
        <v>240</v>
      </c>
      <c r="DS166" s="5" t="s">
        <v>240</v>
      </c>
      <c r="DV166" s="5" t="s">
        <v>310</v>
      </c>
      <c r="DW166" s="5" t="s">
        <v>641</v>
      </c>
      <c r="HO166" s="5" t="s">
        <v>312</v>
      </c>
    </row>
    <row r="167" spans="1:223" x14ac:dyDescent="0.4">
      <c r="A167" s="5">
        <v>878</v>
      </c>
      <c r="B167" s="5">
        <v>1</v>
      </c>
      <c r="C167" s="5">
        <v>1</v>
      </c>
      <c r="D167" s="5" t="s">
        <v>1669</v>
      </c>
      <c r="E167" s="5" t="s">
        <v>418</v>
      </c>
      <c r="F167" s="5" t="s">
        <v>254</v>
      </c>
      <c r="G167" s="5" t="s">
        <v>240</v>
      </c>
      <c r="H167" s="6" t="s">
        <v>1673</v>
      </c>
      <c r="I167" s="5" t="s">
        <v>1668</v>
      </c>
      <c r="J167" s="8">
        <f>27</f>
        <v>27</v>
      </c>
      <c r="K167" s="5" t="s">
        <v>308</v>
      </c>
      <c r="L167" s="7">
        <f>70200</f>
        <v>70200</v>
      </c>
      <c r="M167" s="7">
        <f>70200</f>
        <v>70200</v>
      </c>
      <c r="N167" s="5" t="s">
        <v>242</v>
      </c>
      <c r="O167" s="5">
        <v>1</v>
      </c>
      <c r="P167" s="5" t="s">
        <v>294</v>
      </c>
      <c r="Q167" s="5" t="s">
        <v>266</v>
      </c>
      <c r="R167" s="5" t="s">
        <v>240</v>
      </c>
      <c r="S167" s="5" t="s">
        <v>240</v>
      </c>
      <c r="T167" s="5" t="s">
        <v>296</v>
      </c>
      <c r="U167" s="5" t="s">
        <v>244</v>
      </c>
      <c r="V167" s="5" t="s">
        <v>240</v>
      </c>
      <c r="Y167" s="5" t="s">
        <v>240</v>
      </c>
      <c r="Z167" s="6" t="s">
        <v>298</v>
      </c>
      <c r="AB167" s="6" t="s">
        <v>240</v>
      </c>
      <c r="AE167" s="6" t="s">
        <v>299</v>
      </c>
      <c r="AF167" s="5" t="s">
        <v>248</v>
      </c>
      <c r="AG167" s="5" t="s">
        <v>249</v>
      </c>
      <c r="AW167" s="5" t="s">
        <v>251</v>
      </c>
      <c r="AX167" s="5" t="s">
        <v>240</v>
      </c>
      <c r="AY167" s="5" t="s">
        <v>253</v>
      </c>
      <c r="AZ167" s="5" t="s">
        <v>240</v>
      </c>
      <c r="BA167" s="5" t="s">
        <v>255</v>
      </c>
      <c r="BB167" s="5" t="s">
        <v>240</v>
      </c>
      <c r="BD167" s="5" t="s">
        <v>240</v>
      </c>
      <c r="BF167" s="5" t="s">
        <v>301</v>
      </c>
      <c r="BG167" s="6" t="s">
        <v>299</v>
      </c>
      <c r="BH167" s="5" t="s">
        <v>302</v>
      </c>
      <c r="BI167" s="5" t="s">
        <v>303</v>
      </c>
      <c r="BJ167" s="5" t="s">
        <v>240</v>
      </c>
      <c r="BK167" s="8">
        <f>0</f>
        <v>0</v>
      </c>
      <c r="BL167" s="7">
        <f>0</f>
        <v>0</v>
      </c>
      <c r="BM167" s="5" t="s">
        <v>258</v>
      </c>
      <c r="BN167" s="5" t="s">
        <v>259</v>
      </c>
      <c r="CB167" s="5" t="s">
        <v>240</v>
      </c>
      <c r="CC167" s="5" t="s">
        <v>240</v>
      </c>
      <c r="CG167" s="5" t="s">
        <v>304</v>
      </c>
      <c r="CH167" s="5" t="s">
        <v>305</v>
      </c>
      <c r="CI167" s="5" t="s">
        <v>240</v>
      </c>
      <c r="CL167" s="6" t="s">
        <v>261</v>
      </c>
      <c r="CM167" s="5" t="s">
        <v>240</v>
      </c>
      <c r="CN167" s="5" t="s">
        <v>263</v>
      </c>
      <c r="CO167" s="5" t="s">
        <v>240</v>
      </c>
      <c r="CP167" s="5" t="s">
        <v>240</v>
      </c>
      <c r="CQ167" s="5">
        <v>0</v>
      </c>
      <c r="CR167" s="5" t="s">
        <v>306</v>
      </c>
      <c r="CS167" s="5" t="s">
        <v>307</v>
      </c>
      <c r="CT167" s="5" t="s">
        <v>307</v>
      </c>
      <c r="CU167" s="5" t="s">
        <v>260</v>
      </c>
      <c r="CX167" s="7">
        <f>1</f>
        <v>1</v>
      </c>
      <c r="CY167" s="7">
        <f>0</f>
        <v>0</v>
      </c>
      <c r="DA167" s="7">
        <f>0</f>
        <v>0</v>
      </c>
      <c r="DC167" s="5" t="s">
        <v>309</v>
      </c>
      <c r="DD167" s="5" t="s">
        <v>240</v>
      </c>
      <c r="DF167" s="5" t="s">
        <v>309</v>
      </c>
      <c r="DG167" s="7">
        <f>1578</f>
        <v>1578</v>
      </c>
      <c r="DI167" s="5" t="s">
        <v>240</v>
      </c>
      <c r="DJ167" s="5" t="s">
        <v>240</v>
      </c>
      <c r="DK167" s="5" t="s">
        <v>240</v>
      </c>
      <c r="DL167" s="5" t="s">
        <v>240</v>
      </c>
      <c r="DP167" s="5" t="s">
        <v>240</v>
      </c>
      <c r="DQ167" s="5" t="s">
        <v>240</v>
      </c>
      <c r="DR167" s="5" t="s">
        <v>240</v>
      </c>
      <c r="DS167" s="5" t="s">
        <v>240</v>
      </c>
      <c r="DV167" s="5" t="s">
        <v>310</v>
      </c>
      <c r="DW167" s="5" t="s">
        <v>643</v>
      </c>
      <c r="HO167" s="5" t="s">
        <v>312</v>
      </c>
    </row>
    <row r="168" spans="1:223" x14ac:dyDescent="0.4">
      <c r="A168" s="5">
        <v>879</v>
      </c>
      <c r="B168" s="5">
        <v>1</v>
      </c>
      <c r="C168" s="5">
        <v>1</v>
      </c>
      <c r="D168" s="5" t="s">
        <v>1669</v>
      </c>
      <c r="E168" s="5" t="s">
        <v>418</v>
      </c>
      <c r="F168" s="5" t="s">
        <v>254</v>
      </c>
      <c r="G168" s="5" t="s">
        <v>240</v>
      </c>
      <c r="H168" s="6" t="s">
        <v>1672</v>
      </c>
      <c r="I168" s="5" t="s">
        <v>1668</v>
      </c>
      <c r="J168" s="8">
        <f>218.79</f>
        <v>218.79</v>
      </c>
      <c r="K168" s="5" t="s">
        <v>308</v>
      </c>
      <c r="L168" s="7">
        <f>568854</f>
        <v>568854</v>
      </c>
      <c r="M168" s="7">
        <f>568854</f>
        <v>568854</v>
      </c>
      <c r="N168" s="5" t="s">
        <v>242</v>
      </c>
      <c r="O168" s="5">
        <v>1</v>
      </c>
      <c r="P168" s="5" t="s">
        <v>294</v>
      </c>
      <c r="Q168" s="5" t="s">
        <v>266</v>
      </c>
      <c r="R168" s="5" t="s">
        <v>240</v>
      </c>
      <c r="S168" s="5" t="s">
        <v>240</v>
      </c>
      <c r="T168" s="5" t="s">
        <v>296</v>
      </c>
      <c r="U168" s="5" t="s">
        <v>244</v>
      </c>
      <c r="V168" s="5" t="s">
        <v>240</v>
      </c>
      <c r="Y168" s="5" t="s">
        <v>240</v>
      </c>
      <c r="Z168" s="6" t="s">
        <v>298</v>
      </c>
      <c r="AB168" s="6" t="s">
        <v>240</v>
      </c>
      <c r="AE168" s="6" t="s">
        <v>299</v>
      </c>
      <c r="AF168" s="5" t="s">
        <v>248</v>
      </c>
      <c r="AG168" s="5" t="s">
        <v>249</v>
      </c>
      <c r="AW168" s="5" t="s">
        <v>251</v>
      </c>
      <c r="AX168" s="5" t="s">
        <v>240</v>
      </c>
      <c r="AY168" s="5" t="s">
        <v>253</v>
      </c>
      <c r="AZ168" s="5" t="s">
        <v>240</v>
      </c>
      <c r="BA168" s="5" t="s">
        <v>255</v>
      </c>
      <c r="BB168" s="5" t="s">
        <v>240</v>
      </c>
      <c r="BD168" s="5" t="s">
        <v>240</v>
      </c>
      <c r="BF168" s="5" t="s">
        <v>301</v>
      </c>
      <c r="BG168" s="6" t="s">
        <v>299</v>
      </c>
      <c r="BH168" s="5" t="s">
        <v>302</v>
      </c>
      <c r="BI168" s="5" t="s">
        <v>303</v>
      </c>
      <c r="BJ168" s="5" t="s">
        <v>240</v>
      </c>
      <c r="BK168" s="8">
        <f>0</f>
        <v>0</v>
      </c>
      <c r="BL168" s="7">
        <f>0</f>
        <v>0</v>
      </c>
      <c r="BM168" s="5" t="s">
        <v>258</v>
      </c>
      <c r="BN168" s="5" t="s">
        <v>259</v>
      </c>
      <c r="CB168" s="5" t="s">
        <v>240</v>
      </c>
      <c r="CC168" s="5" t="s">
        <v>240</v>
      </c>
      <c r="CG168" s="5" t="s">
        <v>304</v>
      </c>
      <c r="CH168" s="5" t="s">
        <v>305</v>
      </c>
      <c r="CI168" s="5" t="s">
        <v>240</v>
      </c>
      <c r="CL168" s="6" t="s">
        <v>261</v>
      </c>
      <c r="CM168" s="5" t="s">
        <v>240</v>
      </c>
      <c r="CN168" s="5" t="s">
        <v>263</v>
      </c>
      <c r="CO168" s="5" t="s">
        <v>240</v>
      </c>
      <c r="CP168" s="5" t="s">
        <v>240</v>
      </c>
      <c r="CQ168" s="5">
        <v>0</v>
      </c>
      <c r="CR168" s="5" t="s">
        <v>306</v>
      </c>
      <c r="CS168" s="5" t="s">
        <v>307</v>
      </c>
      <c r="CT168" s="5" t="s">
        <v>307</v>
      </c>
      <c r="CU168" s="5" t="s">
        <v>260</v>
      </c>
      <c r="CX168" s="7">
        <f>1</f>
        <v>1</v>
      </c>
      <c r="CY168" s="7">
        <f>0</f>
        <v>0</v>
      </c>
      <c r="DA168" s="7">
        <f>0</f>
        <v>0</v>
      </c>
      <c r="DC168" s="5" t="s">
        <v>309</v>
      </c>
      <c r="DD168" s="5" t="s">
        <v>240</v>
      </c>
      <c r="DF168" s="5" t="s">
        <v>309</v>
      </c>
      <c r="DG168" s="7">
        <f>4832</f>
        <v>4832</v>
      </c>
      <c r="DI168" s="5" t="s">
        <v>240</v>
      </c>
      <c r="DJ168" s="5" t="s">
        <v>240</v>
      </c>
      <c r="DK168" s="5" t="s">
        <v>240</v>
      </c>
      <c r="DL168" s="5" t="s">
        <v>240</v>
      </c>
      <c r="DP168" s="5" t="s">
        <v>240</v>
      </c>
      <c r="DQ168" s="5" t="s">
        <v>240</v>
      </c>
      <c r="DR168" s="5" t="s">
        <v>240</v>
      </c>
      <c r="DS168" s="5" t="s">
        <v>240</v>
      </c>
      <c r="DV168" s="5" t="s">
        <v>310</v>
      </c>
      <c r="DW168" s="5" t="s">
        <v>645</v>
      </c>
      <c r="HO168" s="5" t="s">
        <v>312</v>
      </c>
    </row>
    <row r="169" spans="1:223" x14ac:dyDescent="0.4">
      <c r="A169" s="5">
        <v>880</v>
      </c>
      <c r="B169" s="5">
        <v>1</v>
      </c>
      <c r="C169" s="5">
        <v>1</v>
      </c>
      <c r="D169" s="5" t="s">
        <v>1669</v>
      </c>
      <c r="E169" s="5" t="s">
        <v>418</v>
      </c>
      <c r="F169" s="5" t="s">
        <v>254</v>
      </c>
      <c r="G169" s="5" t="s">
        <v>240</v>
      </c>
      <c r="H169" s="6" t="s">
        <v>1670</v>
      </c>
      <c r="I169" s="5" t="s">
        <v>1668</v>
      </c>
      <c r="J169" s="8">
        <f>217</f>
        <v>217</v>
      </c>
      <c r="K169" s="5" t="s">
        <v>308</v>
      </c>
      <c r="L169" s="7">
        <f>480655</f>
        <v>480655</v>
      </c>
      <c r="M169" s="7">
        <f>480655</f>
        <v>480655</v>
      </c>
      <c r="N169" s="5" t="s">
        <v>242</v>
      </c>
      <c r="O169" s="5">
        <v>1</v>
      </c>
      <c r="P169" s="5" t="s">
        <v>294</v>
      </c>
      <c r="Q169" s="5" t="s">
        <v>266</v>
      </c>
      <c r="R169" s="5" t="s">
        <v>240</v>
      </c>
      <c r="S169" s="5" t="s">
        <v>240</v>
      </c>
      <c r="T169" s="5" t="s">
        <v>296</v>
      </c>
      <c r="U169" s="5" t="s">
        <v>244</v>
      </c>
      <c r="V169" s="5" t="s">
        <v>240</v>
      </c>
      <c r="Y169" s="5" t="s">
        <v>240</v>
      </c>
      <c r="Z169" s="6" t="s">
        <v>298</v>
      </c>
      <c r="AB169" s="6" t="s">
        <v>240</v>
      </c>
      <c r="AE169" s="6" t="s">
        <v>299</v>
      </c>
      <c r="AF169" s="5" t="s">
        <v>248</v>
      </c>
      <c r="AG169" s="5" t="s">
        <v>249</v>
      </c>
      <c r="AW169" s="5" t="s">
        <v>251</v>
      </c>
      <c r="AX169" s="5" t="s">
        <v>240</v>
      </c>
      <c r="AY169" s="5" t="s">
        <v>253</v>
      </c>
      <c r="AZ169" s="5" t="s">
        <v>240</v>
      </c>
      <c r="BA169" s="5" t="s">
        <v>255</v>
      </c>
      <c r="BB169" s="5" t="s">
        <v>240</v>
      </c>
      <c r="BD169" s="5" t="s">
        <v>240</v>
      </c>
      <c r="BF169" s="5" t="s">
        <v>301</v>
      </c>
      <c r="BG169" s="6" t="s">
        <v>299</v>
      </c>
      <c r="BH169" s="5" t="s">
        <v>302</v>
      </c>
      <c r="BI169" s="5" t="s">
        <v>303</v>
      </c>
      <c r="BJ169" s="5" t="s">
        <v>240</v>
      </c>
      <c r="BK169" s="8">
        <f>0</f>
        <v>0</v>
      </c>
      <c r="BL169" s="7">
        <f>0</f>
        <v>0</v>
      </c>
      <c r="BM169" s="5" t="s">
        <v>258</v>
      </c>
      <c r="BN169" s="5" t="s">
        <v>259</v>
      </c>
      <c r="CB169" s="5" t="s">
        <v>240</v>
      </c>
      <c r="CC169" s="5" t="s">
        <v>240</v>
      </c>
      <c r="CG169" s="5" t="s">
        <v>304</v>
      </c>
      <c r="CH169" s="5" t="s">
        <v>305</v>
      </c>
      <c r="CI169" s="5" t="s">
        <v>240</v>
      </c>
      <c r="CL169" s="6" t="s">
        <v>261</v>
      </c>
      <c r="CM169" s="5" t="s">
        <v>240</v>
      </c>
      <c r="CN169" s="5" t="s">
        <v>263</v>
      </c>
      <c r="CO169" s="5" t="s">
        <v>240</v>
      </c>
      <c r="CP169" s="5" t="s">
        <v>240</v>
      </c>
      <c r="CQ169" s="5">
        <v>0</v>
      </c>
      <c r="CR169" s="5" t="s">
        <v>306</v>
      </c>
      <c r="CS169" s="5" t="s">
        <v>307</v>
      </c>
      <c r="CT169" s="5" t="s">
        <v>307</v>
      </c>
      <c r="CU169" s="5" t="s">
        <v>260</v>
      </c>
      <c r="CX169" s="7">
        <f>1</f>
        <v>1</v>
      </c>
      <c r="CY169" s="7">
        <f>0</f>
        <v>0</v>
      </c>
      <c r="DA169" s="7">
        <f>0</f>
        <v>0</v>
      </c>
      <c r="DC169" s="5" t="s">
        <v>309</v>
      </c>
      <c r="DD169" s="5" t="s">
        <v>240</v>
      </c>
      <c r="DF169" s="5" t="s">
        <v>309</v>
      </c>
      <c r="DG169" s="7">
        <f>3117</f>
        <v>3117</v>
      </c>
      <c r="DI169" s="5" t="s">
        <v>240</v>
      </c>
      <c r="DJ169" s="5" t="s">
        <v>240</v>
      </c>
      <c r="DK169" s="5" t="s">
        <v>240</v>
      </c>
      <c r="DL169" s="5" t="s">
        <v>240</v>
      </c>
      <c r="DP169" s="5" t="s">
        <v>240</v>
      </c>
      <c r="DQ169" s="5" t="s">
        <v>240</v>
      </c>
      <c r="DR169" s="5" t="s">
        <v>240</v>
      </c>
      <c r="DS169" s="5" t="s">
        <v>240</v>
      </c>
      <c r="DV169" s="5" t="s">
        <v>310</v>
      </c>
      <c r="DW169" s="5" t="s">
        <v>647</v>
      </c>
      <c r="HO169" s="5" t="s">
        <v>312</v>
      </c>
    </row>
    <row r="170" spans="1:223" x14ac:dyDescent="0.4">
      <c r="A170" s="5">
        <v>881</v>
      </c>
      <c r="B170" s="5">
        <v>1</v>
      </c>
      <c r="C170" s="5">
        <v>1</v>
      </c>
      <c r="D170" s="5" t="s">
        <v>1665</v>
      </c>
      <c r="E170" s="5" t="s">
        <v>418</v>
      </c>
      <c r="F170" s="5" t="s">
        <v>254</v>
      </c>
      <c r="G170" s="5" t="s">
        <v>240</v>
      </c>
      <c r="H170" s="6" t="s">
        <v>1666</v>
      </c>
      <c r="I170" s="5" t="s">
        <v>1664</v>
      </c>
      <c r="J170" s="8">
        <f>2934</f>
        <v>2934</v>
      </c>
      <c r="K170" s="5" t="s">
        <v>308</v>
      </c>
      <c r="L170" s="7">
        <f>6498810</f>
        <v>6498810</v>
      </c>
      <c r="M170" s="7">
        <f>6498810</f>
        <v>6498810</v>
      </c>
      <c r="N170" s="5" t="s">
        <v>242</v>
      </c>
      <c r="O170" s="5">
        <v>1</v>
      </c>
      <c r="P170" s="5" t="s">
        <v>294</v>
      </c>
      <c r="Q170" s="5" t="s">
        <v>266</v>
      </c>
      <c r="R170" s="5" t="s">
        <v>240</v>
      </c>
      <c r="S170" s="5" t="s">
        <v>240</v>
      </c>
      <c r="T170" s="5" t="s">
        <v>296</v>
      </c>
      <c r="U170" s="5" t="s">
        <v>244</v>
      </c>
      <c r="V170" s="5" t="s">
        <v>240</v>
      </c>
      <c r="Y170" s="5" t="s">
        <v>240</v>
      </c>
      <c r="Z170" s="6" t="s">
        <v>298</v>
      </c>
      <c r="AB170" s="6" t="s">
        <v>240</v>
      </c>
      <c r="AE170" s="6" t="s">
        <v>299</v>
      </c>
      <c r="AF170" s="5" t="s">
        <v>248</v>
      </c>
      <c r="AG170" s="5" t="s">
        <v>249</v>
      </c>
      <c r="AW170" s="5" t="s">
        <v>251</v>
      </c>
      <c r="AX170" s="5" t="s">
        <v>240</v>
      </c>
      <c r="AY170" s="5" t="s">
        <v>253</v>
      </c>
      <c r="AZ170" s="5" t="s">
        <v>240</v>
      </c>
      <c r="BA170" s="5" t="s">
        <v>255</v>
      </c>
      <c r="BB170" s="5" t="s">
        <v>240</v>
      </c>
      <c r="BD170" s="5" t="s">
        <v>240</v>
      </c>
      <c r="BF170" s="5" t="s">
        <v>301</v>
      </c>
      <c r="BG170" s="6" t="s">
        <v>299</v>
      </c>
      <c r="BH170" s="5" t="s">
        <v>302</v>
      </c>
      <c r="BI170" s="5" t="s">
        <v>303</v>
      </c>
      <c r="BJ170" s="5" t="s">
        <v>240</v>
      </c>
      <c r="BK170" s="8">
        <f>0</f>
        <v>0</v>
      </c>
      <c r="BL170" s="7">
        <f>0</f>
        <v>0</v>
      </c>
      <c r="BM170" s="5" t="s">
        <v>258</v>
      </c>
      <c r="BN170" s="5" t="s">
        <v>259</v>
      </c>
      <c r="CB170" s="5" t="s">
        <v>240</v>
      </c>
      <c r="CC170" s="5" t="s">
        <v>240</v>
      </c>
      <c r="CG170" s="5" t="s">
        <v>304</v>
      </c>
      <c r="CH170" s="5" t="s">
        <v>305</v>
      </c>
      <c r="CI170" s="5" t="s">
        <v>240</v>
      </c>
      <c r="CL170" s="6" t="s">
        <v>261</v>
      </c>
      <c r="CM170" s="5" t="s">
        <v>240</v>
      </c>
      <c r="CN170" s="5" t="s">
        <v>263</v>
      </c>
      <c r="CO170" s="5" t="s">
        <v>240</v>
      </c>
      <c r="CP170" s="5" t="s">
        <v>240</v>
      </c>
      <c r="CQ170" s="5">
        <v>0</v>
      </c>
      <c r="CR170" s="5" t="s">
        <v>306</v>
      </c>
      <c r="CS170" s="5" t="s">
        <v>307</v>
      </c>
      <c r="CT170" s="5" t="s">
        <v>307</v>
      </c>
      <c r="CU170" s="5" t="s">
        <v>260</v>
      </c>
      <c r="CX170" s="7">
        <f>1</f>
        <v>1</v>
      </c>
      <c r="CY170" s="7">
        <f>0</f>
        <v>0</v>
      </c>
      <c r="DA170" s="7">
        <f>0</f>
        <v>0</v>
      </c>
      <c r="DC170" s="5" t="s">
        <v>309</v>
      </c>
      <c r="DD170" s="5" t="s">
        <v>240</v>
      </c>
      <c r="DF170" s="5" t="s">
        <v>309</v>
      </c>
      <c r="DG170" s="7">
        <f>2026</f>
        <v>2026</v>
      </c>
      <c r="DI170" s="5" t="s">
        <v>240</v>
      </c>
      <c r="DJ170" s="5" t="s">
        <v>240</v>
      </c>
      <c r="DK170" s="5" t="s">
        <v>240</v>
      </c>
      <c r="DL170" s="5" t="s">
        <v>240</v>
      </c>
      <c r="DP170" s="5" t="s">
        <v>240</v>
      </c>
      <c r="DQ170" s="5" t="s">
        <v>240</v>
      </c>
      <c r="DR170" s="5" t="s">
        <v>240</v>
      </c>
      <c r="DS170" s="5" t="s">
        <v>240</v>
      </c>
      <c r="DV170" s="5" t="s">
        <v>310</v>
      </c>
      <c r="DW170" s="5" t="s">
        <v>649</v>
      </c>
      <c r="HO170" s="5" t="s">
        <v>312</v>
      </c>
    </row>
    <row r="171" spans="1:223" x14ac:dyDescent="0.4">
      <c r="A171" s="5">
        <v>882</v>
      </c>
      <c r="B171" s="5">
        <v>1</v>
      </c>
      <c r="C171" s="5">
        <v>1</v>
      </c>
      <c r="D171" s="5" t="s">
        <v>1661</v>
      </c>
      <c r="E171" s="5" t="s">
        <v>418</v>
      </c>
      <c r="F171" s="5" t="s">
        <v>254</v>
      </c>
      <c r="G171" s="5" t="s">
        <v>240</v>
      </c>
      <c r="H171" s="6" t="s">
        <v>1662</v>
      </c>
      <c r="I171" s="5" t="s">
        <v>1660</v>
      </c>
      <c r="J171" s="8">
        <f>781.11</f>
        <v>781.11</v>
      </c>
      <c r="K171" s="5" t="s">
        <v>308</v>
      </c>
      <c r="L171" s="7">
        <f>4920993</f>
        <v>4920993</v>
      </c>
      <c r="M171" s="7">
        <f>4920993</f>
        <v>4920993</v>
      </c>
      <c r="N171" s="5" t="s">
        <v>242</v>
      </c>
      <c r="O171" s="5">
        <v>1</v>
      </c>
      <c r="P171" s="5" t="s">
        <v>294</v>
      </c>
      <c r="Q171" s="5" t="s">
        <v>266</v>
      </c>
      <c r="R171" s="5" t="s">
        <v>240</v>
      </c>
      <c r="S171" s="5" t="s">
        <v>240</v>
      </c>
      <c r="T171" s="5" t="s">
        <v>296</v>
      </c>
      <c r="U171" s="5" t="s">
        <v>244</v>
      </c>
      <c r="V171" s="5" t="s">
        <v>240</v>
      </c>
      <c r="Y171" s="5" t="s">
        <v>240</v>
      </c>
      <c r="Z171" s="6" t="s">
        <v>298</v>
      </c>
      <c r="AB171" s="6" t="s">
        <v>240</v>
      </c>
      <c r="AE171" s="6" t="s">
        <v>299</v>
      </c>
      <c r="AF171" s="5" t="s">
        <v>248</v>
      </c>
      <c r="AG171" s="5" t="s">
        <v>249</v>
      </c>
      <c r="AW171" s="5" t="s">
        <v>251</v>
      </c>
      <c r="AX171" s="5" t="s">
        <v>240</v>
      </c>
      <c r="AY171" s="5" t="s">
        <v>253</v>
      </c>
      <c r="AZ171" s="5" t="s">
        <v>240</v>
      </c>
      <c r="BA171" s="5" t="s">
        <v>255</v>
      </c>
      <c r="BB171" s="5" t="s">
        <v>240</v>
      </c>
      <c r="BD171" s="5" t="s">
        <v>240</v>
      </c>
      <c r="BF171" s="5" t="s">
        <v>301</v>
      </c>
      <c r="BG171" s="6" t="s">
        <v>299</v>
      </c>
      <c r="BH171" s="5" t="s">
        <v>302</v>
      </c>
      <c r="BI171" s="5" t="s">
        <v>303</v>
      </c>
      <c r="BJ171" s="5" t="s">
        <v>240</v>
      </c>
      <c r="BK171" s="8">
        <f>0</f>
        <v>0</v>
      </c>
      <c r="BL171" s="7">
        <f>0</f>
        <v>0</v>
      </c>
      <c r="BM171" s="5" t="s">
        <v>258</v>
      </c>
      <c r="BN171" s="5" t="s">
        <v>259</v>
      </c>
      <c r="CB171" s="5" t="s">
        <v>240</v>
      </c>
      <c r="CC171" s="5" t="s">
        <v>240</v>
      </c>
      <c r="CG171" s="5" t="s">
        <v>304</v>
      </c>
      <c r="CH171" s="5" t="s">
        <v>305</v>
      </c>
      <c r="CI171" s="5" t="s">
        <v>240</v>
      </c>
      <c r="CL171" s="6" t="s">
        <v>261</v>
      </c>
      <c r="CM171" s="5" t="s">
        <v>240</v>
      </c>
      <c r="CN171" s="5" t="s">
        <v>263</v>
      </c>
      <c r="CO171" s="5" t="s">
        <v>240</v>
      </c>
      <c r="CP171" s="5" t="s">
        <v>240</v>
      </c>
      <c r="CQ171" s="5">
        <v>0</v>
      </c>
      <c r="CR171" s="5" t="s">
        <v>306</v>
      </c>
      <c r="CS171" s="5" t="s">
        <v>307</v>
      </c>
      <c r="CT171" s="5" t="s">
        <v>307</v>
      </c>
      <c r="CU171" s="5" t="s">
        <v>260</v>
      </c>
      <c r="CX171" s="7">
        <f>1</f>
        <v>1</v>
      </c>
      <c r="CY171" s="7">
        <f>0</f>
        <v>0</v>
      </c>
      <c r="DA171" s="7">
        <f>0</f>
        <v>0</v>
      </c>
      <c r="DC171" s="5" t="s">
        <v>309</v>
      </c>
      <c r="DD171" s="5" t="s">
        <v>240</v>
      </c>
      <c r="DF171" s="5" t="s">
        <v>309</v>
      </c>
      <c r="DG171" s="7">
        <f>1644</f>
        <v>1644</v>
      </c>
      <c r="DI171" s="5" t="s">
        <v>240</v>
      </c>
      <c r="DJ171" s="5" t="s">
        <v>240</v>
      </c>
      <c r="DK171" s="5" t="s">
        <v>240</v>
      </c>
      <c r="DL171" s="5" t="s">
        <v>240</v>
      </c>
      <c r="DP171" s="5" t="s">
        <v>240</v>
      </c>
      <c r="DQ171" s="5" t="s">
        <v>240</v>
      </c>
      <c r="DR171" s="5" t="s">
        <v>240</v>
      </c>
      <c r="DS171" s="5" t="s">
        <v>240</v>
      </c>
      <c r="DV171" s="5" t="s">
        <v>310</v>
      </c>
      <c r="DW171" s="5" t="s">
        <v>249</v>
      </c>
      <c r="HO171" s="5" t="s">
        <v>312</v>
      </c>
    </row>
    <row r="172" spans="1:223" x14ac:dyDescent="0.4">
      <c r="A172" s="5">
        <v>883</v>
      </c>
      <c r="B172" s="5">
        <v>1</v>
      </c>
      <c r="C172" s="5">
        <v>1</v>
      </c>
      <c r="D172" s="5" t="s">
        <v>1653</v>
      </c>
      <c r="E172" s="5" t="s">
        <v>1308</v>
      </c>
      <c r="F172" s="5" t="s">
        <v>254</v>
      </c>
      <c r="G172" s="5" t="s">
        <v>240</v>
      </c>
      <c r="H172" s="6" t="s">
        <v>4469</v>
      </c>
      <c r="I172" s="5" t="s">
        <v>1652</v>
      </c>
      <c r="J172" s="8">
        <f>3007</f>
        <v>3007</v>
      </c>
      <c r="K172" s="5" t="s">
        <v>308</v>
      </c>
      <c r="L172" s="7">
        <f>24356700</f>
        <v>24356700</v>
      </c>
      <c r="M172" s="7">
        <f>24356700</f>
        <v>24356700</v>
      </c>
      <c r="N172" s="5" t="s">
        <v>242</v>
      </c>
      <c r="O172" s="5">
        <v>1</v>
      </c>
      <c r="P172" s="5" t="s">
        <v>294</v>
      </c>
      <c r="Q172" s="5" t="s">
        <v>266</v>
      </c>
      <c r="R172" s="5" t="s">
        <v>240</v>
      </c>
      <c r="S172" s="5" t="s">
        <v>240</v>
      </c>
      <c r="T172" s="5" t="s">
        <v>296</v>
      </c>
      <c r="U172" s="5" t="s">
        <v>244</v>
      </c>
      <c r="V172" s="5" t="s">
        <v>240</v>
      </c>
      <c r="Y172" s="5" t="s">
        <v>240</v>
      </c>
      <c r="Z172" s="6" t="s">
        <v>298</v>
      </c>
      <c r="AB172" s="6" t="s">
        <v>240</v>
      </c>
      <c r="AE172" s="6" t="s">
        <v>299</v>
      </c>
      <c r="AF172" s="5" t="s">
        <v>248</v>
      </c>
      <c r="AG172" s="5" t="s">
        <v>249</v>
      </c>
      <c r="AW172" s="5" t="s">
        <v>251</v>
      </c>
      <c r="AX172" s="5" t="s">
        <v>240</v>
      </c>
      <c r="AY172" s="5" t="s">
        <v>253</v>
      </c>
      <c r="AZ172" s="5" t="s">
        <v>240</v>
      </c>
      <c r="BA172" s="5" t="s">
        <v>255</v>
      </c>
      <c r="BB172" s="5" t="s">
        <v>240</v>
      </c>
      <c r="BD172" s="5" t="s">
        <v>240</v>
      </c>
      <c r="BF172" s="5" t="s">
        <v>301</v>
      </c>
      <c r="BG172" s="6" t="s">
        <v>299</v>
      </c>
      <c r="BH172" s="5" t="s">
        <v>302</v>
      </c>
      <c r="BI172" s="5" t="s">
        <v>303</v>
      </c>
      <c r="BJ172" s="5" t="s">
        <v>240</v>
      </c>
      <c r="BK172" s="8">
        <f>0</f>
        <v>0</v>
      </c>
      <c r="BL172" s="7">
        <f>0</f>
        <v>0</v>
      </c>
      <c r="BM172" s="5" t="s">
        <v>258</v>
      </c>
      <c r="BN172" s="5" t="s">
        <v>259</v>
      </c>
      <c r="CB172" s="5" t="s">
        <v>240</v>
      </c>
      <c r="CC172" s="5" t="s">
        <v>240</v>
      </c>
      <c r="CG172" s="5" t="s">
        <v>304</v>
      </c>
      <c r="CH172" s="5" t="s">
        <v>305</v>
      </c>
      <c r="CI172" s="5" t="s">
        <v>240</v>
      </c>
      <c r="CL172" s="6" t="s">
        <v>261</v>
      </c>
      <c r="CM172" s="5" t="s">
        <v>240</v>
      </c>
      <c r="CN172" s="5" t="s">
        <v>263</v>
      </c>
      <c r="CO172" s="5" t="s">
        <v>240</v>
      </c>
      <c r="CP172" s="5" t="s">
        <v>240</v>
      </c>
      <c r="CQ172" s="5">
        <v>0</v>
      </c>
      <c r="CR172" s="5" t="s">
        <v>306</v>
      </c>
      <c r="CS172" s="5" t="s">
        <v>307</v>
      </c>
      <c r="CT172" s="5" t="s">
        <v>307</v>
      </c>
      <c r="CU172" s="5" t="s">
        <v>260</v>
      </c>
      <c r="CX172" s="7">
        <f>1</f>
        <v>1</v>
      </c>
      <c r="CY172" s="7">
        <f>0</f>
        <v>0</v>
      </c>
      <c r="DA172" s="7">
        <f>0</f>
        <v>0</v>
      </c>
      <c r="DC172" s="5" t="s">
        <v>309</v>
      </c>
      <c r="DD172" s="5" t="s">
        <v>240</v>
      </c>
      <c r="DF172" s="5" t="s">
        <v>309</v>
      </c>
      <c r="DG172" s="7">
        <f>2646</f>
        <v>2646</v>
      </c>
      <c r="DI172" s="5" t="s">
        <v>240</v>
      </c>
      <c r="DJ172" s="5" t="s">
        <v>240</v>
      </c>
      <c r="DK172" s="5" t="s">
        <v>240</v>
      </c>
      <c r="DL172" s="5" t="s">
        <v>240</v>
      </c>
      <c r="DP172" s="5" t="s">
        <v>240</v>
      </c>
      <c r="DQ172" s="5" t="s">
        <v>240</v>
      </c>
      <c r="DR172" s="5" t="s">
        <v>240</v>
      </c>
      <c r="DS172" s="5" t="s">
        <v>240</v>
      </c>
      <c r="DV172" s="5" t="s">
        <v>310</v>
      </c>
      <c r="DW172" s="5" t="s">
        <v>652</v>
      </c>
      <c r="HO172" s="5" t="s">
        <v>312</v>
      </c>
    </row>
    <row r="173" spans="1:223" x14ac:dyDescent="0.4">
      <c r="A173" s="5">
        <v>884</v>
      </c>
      <c r="B173" s="5">
        <v>1</v>
      </c>
      <c r="C173" s="5">
        <v>1</v>
      </c>
      <c r="D173" s="5" t="s">
        <v>1653</v>
      </c>
      <c r="E173" s="5" t="s">
        <v>1308</v>
      </c>
      <c r="F173" s="5" t="s">
        <v>254</v>
      </c>
      <c r="G173" s="5" t="s">
        <v>240</v>
      </c>
      <c r="H173" s="6" t="s">
        <v>1657</v>
      </c>
      <c r="I173" s="5" t="s">
        <v>1652</v>
      </c>
      <c r="J173" s="8">
        <f>2656</f>
        <v>2656</v>
      </c>
      <c r="K173" s="5" t="s">
        <v>308</v>
      </c>
      <c r="L173" s="7">
        <f>21513600</f>
        <v>21513600</v>
      </c>
      <c r="M173" s="7">
        <f>21513600</f>
        <v>21513600</v>
      </c>
      <c r="N173" s="5" t="s">
        <v>242</v>
      </c>
      <c r="O173" s="5">
        <v>1</v>
      </c>
      <c r="P173" s="5" t="s">
        <v>294</v>
      </c>
      <c r="Q173" s="5" t="s">
        <v>266</v>
      </c>
      <c r="R173" s="5" t="s">
        <v>240</v>
      </c>
      <c r="S173" s="5" t="s">
        <v>240</v>
      </c>
      <c r="T173" s="5" t="s">
        <v>296</v>
      </c>
      <c r="U173" s="5" t="s">
        <v>244</v>
      </c>
      <c r="V173" s="5" t="s">
        <v>240</v>
      </c>
      <c r="Y173" s="5" t="s">
        <v>240</v>
      </c>
      <c r="Z173" s="6" t="s">
        <v>298</v>
      </c>
      <c r="AB173" s="6" t="s">
        <v>240</v>
      </c>
      <c r="AE173" s="6" t="s">
        <v>299</v>
      </c>
      <c r="AF173" s="5" t="s">
        <v>248</v>
      </c>
      <c r="AG173" s="5" t="s">
        <v>249</v>
      </c>
      <c r="AW173" s="5" t="s">
        <v>251</v>
      </c>
      <c r="AX173" s="5" t="s">
        <v>240</v>
      </c>
      <c r="AY173" s="5" t="s">
        <v>253</v>
      </c>
      <c r="AZ173" s="5" t="s">
        <v>240</v>
      </c>
      <c r="BA173" s="5" t="s">
        <v>255</v>
      </c>
      <c r="BB173" s="5" t="s">
        <v>240</v>
      </c>
      <c r="BD173" s="5" t="s">
        <v>240</v>
      </c>
      <c r="BF173" s="5" t="s">
        <v>301</v>
      </c>
      <c r="BG173" s="6" t="s">
        <v>299</v>
      </c>
      <c r="BH173" s="5" t="s">
        <v>302</v>
      </c>
      <c r="BI173" s="5" t="s">
        <v>303</v>
      </c>
      <c r="BJ173" s="5" t="s">
        <v>240</v>
      </c>
      <c r="BK173" s="8">
        <f>0</f>
        <v>0</v>
      </c>
      <c r="BL173" s="7">
        <f>0</f>
        <v>0</v>
      </c>
      <c r="BM173" s="5" t="s">
        <v>258</v>
      </c>
      <c r="BN173" s="5" t="s">
        <v>259</v>
      </c>
      <c r="CB173" s="5" t="s">
        <v>240</v>
      </c>
      <c r="CC173" s="5" t="s">
        <v>240</v>
      </c>
      <c r="CG173" s="5" t="s">
        <v>304</v>
      </c>
      <c r="CH173" s="5" t="s">
        <v>305</v>
      </c>
      <c r="CI173" s="5" t="s">
        <v>240</v>
      </c>
      <c r="CL173" s="6" t="s">
        <v>261</v>
      </c>
      <c r="CM173" s="5" t="s">
        <v>240</v>
      </c>
      <c r="CN173" s="5" t="s">
        <v>263</v>
      </c>
      <c r="CO173" s="5" t="s">
        <v>240</v>
      </c>
      <c r="CP173" s="5" t="s">
        <v>240</v>
      </c>
      <c r="CQ173" s="5">
        <v>0</v>
      </c>
      <c r="CR173" s="5" t="s">
        <v>306</v>
      </c>
      <c r="CS173" s="5" t="s">
        <v>307</v>
      </c>
      <c r="CT173" s="5" t="s">
        <v>307</v>
      </c>
      <c r="CU173" s="5" t="s">
        <v>260</v>
      </c>
      <c r="CX173" s="7">
        <f>1</f>
        <v>1</v>
      </c>
      <c r="CY173" s="7">
        <f>0</f>
        <v>0</v>
      </c>
      <c r="DA173" s="7">
        <f>0</f>
        <v>0</v>
      </c>
      <c r="DC173" s="5" t="s">
        <v>309</v>
      </c>
      <c r="DD173" s="5" t="s">
        <v>240</v>
      </c>
      <c r="DF173" s="5" t="s">
        <v>309</v>
      </c>
      <c r="DG173" s="7">
        <f>2169</f>
        <v>2169</v>
      </c>
      <c r="DI173" s="5" t="s">
        <v>240</v>
      </c>
      <c r="DJ173" s="5" t="s">
        <v>240</v>
      </c>
      <c r="DK173" s="5" t="s">
        <v>240</v>
      </c>
      <c r="DL173" s="5" t="s">
        <v>240</v>
      </c>
      <c r="DP173" s="5" t="s">
        <v>240</v>
      </c>
      <c r="DQ173" s="5" t="s">
        <v>240</v>
      </c>
      <c r="DR173" s="5" t="s">
        <v>240</v>
      </c>
      <c r="DS173" s="5" t="s">
        <v>240</v>
      </c>
      <c r="DV173" s="5" t="s">
        <v>310</v>
      </c>
      <c r="DW173" s="5" t="s">
        <v>654</v>
      </c>
      <c r="HO173" s="5" t="s">
        <v>312</v>
      </c>
    </row>
    <row r="174" spans="1:223" x14ac:dyDescent="0.4">
      <c r="A174" s="5">
        <v>885</v>
      </c>
      <c r="B174" s="5">
        <v>1</v>
      </c>
      <c r="C174" s="5">
        <v>1</v>
      </c>
      <c r="D174" s="5" t="s">
        <v>1653</v>
      </c>
      <c r="E174" s="5" t="s">
        <v>1308</v>
      </c>
      <c r="F174" s="5" t="s">
        <v>254</v>
      </c>
      <c r="G174" s="5" t="s">
        <v>240</v>
      </c>
      <c r="H174" s="6" t="s">
        <v>1654</v>
      </c>
      <c r="I174" s="5" t="s">
        <v>1652</v>
      </c>
      <c r="J174" s="8">
        <f>1155</f>
        <v>1155</v>
      </c>
      <c r="K174" s="5" t="s">
        <v>308</v>
      </c>
      <c r="L174" s="7">
        <f>9355500</f>
        <v>9355500</v>
      </c>
      <c r="M174" s="7">
        <f>9355500</f>
        <v>9355500</v>
      </c>
      <c r="N174" s="5" t="s">
        <v>242</v>
      </c>
      <c r="O174" s="5">
        <v>1</v>
      </c>
      <c r="P174" s="5" t="s">
        <v>294</v>
      </c>
      <c r="Q174" s="5" t="s">
        <v>266</v>
      </c>
      <c r="R174" s="5" t="s">
        <v>240</v>
      </c>
      <c r="S174" s="5" t="s">
        <v>240</v>
      </c>
      <c r="T174" s="5" t="s">
        <v>296</v>
      </c>
      <c r="U174" s="5" t="s">
        <v>244</v>
      </c>
      <c r="V174" s="5" t="s">
        <v>240</v>
      </c>
      <c r="Y174" s="5" t="s">
        <v>240</v>
      </c>
      <c r="Z174" s="6" t="s">
        <v>298</v>
      </c>
      <c r="AB174" s="6" t="s">
        <v>240</v>
      </c>
      <c r="AE174" s="6" t="s">
        <v>299</v>
      </c>
      <c r="AF174" s="5" t="s">
        <v>248</v>
      </c>
      <c r="AG174" s="5" t="s">
        <v>249</v>
      </c>
      <c r="AW174" s="5" t="s">
        <v>251</v>
      </c>
      <c r="AX174" s="5" t="s">
        <v>240</v>
      </c>
      <c r="AY174" s="5" t="s">
        <v>253</v>
      </c>
      <c r="AZ174" s="5" t="s">
        <v>240</v>
      </c>
      <c r="BA174" s="5" t="s">
        <v>255</v>
      </c>
      <c r="BB174" s="5" t="s">
        <v>240</v>
      </c>
      <c r="BD174" s="5" t="s">
        <v>240</v>
      </c>
      <c r="BF174" s="5" t="s">
        <v>301</v>
      </c>
      <c r="BG174" s="6" t="s">
        <v>299</v>
      </c>
      <c r="BH174" s="5" t="s">
        <v>302</v>
      </c>
      <c r="BI174" s="5" t="s">
        <v>303</v>
      </c>
      <c r="BJ174" s="5" t="s">
        <v>240</v>
      </c>
      <c r="BK174" s="8">
        <f>0</f>
        <v>0</v>
      </c>
      <c r="BL174" s="7">
        <f>0</f>
        <v>0</v>
      </c>
      <c r="BM174" s="5" t="s">
        <v>258</v>
      </c>
      <c r="BN174" s="5" t="s">
        <v>259</v>
      </c>
      <c r="CB174" s="5" t="s">
        <v>240</v>
      </c>
      <c r="CC174" s="5" t="s">
        <v>240</v>
      </c>
      <c r="CG174" s="5" t="s">
        <v>304</v>
      </c>
      <c r="CH174" s="5" t="s">
        <v>305</v>
      </c>
      <c r="CI174" s="5" t="s">
        <v>240</v>
      </c>
      <c r="CL174" s="6" t="s">
        <v>261</v>
      </c>
      <c r="CM174" s="5" t="s">
        <v>240</v>
      </c>
      <c r="CN174" s="5" t="s">
        <v>263</v>
      </c>
      <c r="CO174" s="5" t="s">
        <v>240</v>
      </c>
      <c r="CP174" s="5" t="s">
        <v>240</v>
      </c>
      <c r="CQ174" s="5">
        <v>0</v>
      </c>
      <c r="CR174" s="5" t="s">
        <v>306</v>
      </c>
      <c r="CS174" s="5" t="s">
        <v>307</v>
      </c>
      <c r="CT174" s="5" t="s">
        <v>307</v>
      </c>
      <c r="CU174" s="5" t="s">
        <v>260</v>
      </c>
      <c r="CX174" s="7">
        <f>1</f>
        <v>1</v>
      </c>
      <c r="CY174" s="7">
        <f>0</f>
        <v>0</v>
      </c>
      <c r="DA174" s="7">
        <f>0</f>
        <v>0</v>
      </c>
      <c r="DC174" s="5" t="s">
        <v>309</v>
      </c>
      <c r="DD174" s="5" t="s">
        <v>240</v>
      </c>
      <c r="DF174" s="5" t="s">
        <v>309</v>
      </c>
      <c r="DG174" s="7">
        <f>6431</f>
        <v>6431</v>
      </c>
      <c r="DI174" s="5" t="s">
        <v>240</v>
      </c>
      <c r="DJ174" s="5" t="s">
        <v>240</v>
      </c>
      <c r="DK174" s="5" t="s">
        <v>240</v>
      </c>
      <c r="DL174" s="5" t="s">
        <v>240</v>
      </c>
      <c r="DP174" s="5" t="s">
        <v>240</v>
      </c>
      <c r="DQ174" s="5" t="s">
        <v>240</v>
      </c>
      <c r="DR174" s="5" t="s">
        <v>240</v>
      </c>
      <c r="DS174" s="5" t="s">
        <v>240</v>
      </c>
      <c r="DV174" s="5" t="s">
        <v>310</v>
      </c>
      <c r="DW174" s="5" t="s">
        <v>656</v>
      </c>
      <c r="HO174" s="5" t="s">
        <v>312</v>
      </c>
    </row>
    <row r="175" spans="1:223" x14ac:dyDescent="0.4">
      <c r="A175" s="5">
        <v>886</v>
      </c>
      <c r="B175" s="5">
        <v>1</v>
      </c>
      <c r="C175" s="5">
        <v>1</v>
      </c>
      <c r="D175" s="5" t="s">
        <v>1649</v>
      </c>
      <c r="E175" s="5" t="s">
        <v>725</v>
      </c>
      <c r="F175" s="5" t="s">
        <v>254</v>
      </c>
      <c r="G175" s="5" t="s">
        <v>240</v>
      </c>
      <c r="H175" s="6" t="s">
        <v>1650</v>
      </c>
      <c r="I175" s="5" t="s">
        <v>1648</v>
      </c>
      <c r="J175" s="8">
        <f>36685.75</f>
        <v>36685.75</v>
      </c>
      <c r="K175" s="5" t="s">
        <v>308</v>
      </c>
      <c r="L175" s="7">
        <f>1027201</f>
        <v>1027201</v>
      </c>
      <c r="M175" s="7">
        <f>1027201</f>
        <v>1027201</v>
      </c>
      <c r="N175" s="5" t="s">
        <v>242</v>
      </c>
      <c r="O175" s="5">
        <v>1</v>
      </c>
      <c r="P175" s="5" t="s">
        <v>294</v>
      </c>
      <c r="Q175" s="5" t="s">
        <v>266</v>
      </c>
      <c r="R175" s="5" t="s">
        <v>240</v>
      </c>
      <c r="S175" s="5" t="s">
        <v>240</v>
      </c>
      <c r="T175" s="5" t="s">
        <v>296</v>
      </c>
      <c r="U175" s="5" t="s">
        <v>244</v>
      </c>
      <c r="V175" s="5" t="s">
        <v>240</v>
      </c>
      <c r="Y175" s="5" t="s">
        <v>240</v>
      </c>
      <c r="Z175" s="6" t="s">
        <v>298</v>
      </c>
      <c r="AB175" s="6" t="s">
        <v>240</v>
      </c>
      <c r="AE175" s="6" t="s">
        <v>299</v>
      </c>
      <c r="AF175" s="5" t="s">
        <v>248</v>
      </c>
      <c r="AG175" s="5" t="s">
        <v>249</v>
      </c>
      <c r="AW175" s="5" t="s">
        <v>251</v>
      </c>
      <c r="AX175" s="5" t="s">
        <v>240</v>
      </c>
      <c r="AY175" s="5" t="s">
        <v>253</v>
      </c>
      <c r="AZ175" s="5" t="s">
        <v>240</v>
      </c>
      <c r="BA175" s="5" t="s">
        <v>255</v>
      </c>
      <c r="BB175" s="5" t="s">
        <v>240</v>
      </c>
      <c r="BD175" s="5" t="s">
        <v>240</v>
      </c>
      <c r="BF175" s="5" t="s">
        <v>301</v>
      </c>
      <c r="BG175" s="6" t="s">
        <v>299</v>
      </c>
      <c r="BH175" s="5" t="s">
        <v>302</v>
      </c>
      <c r="BI175" s="5" t="s">
        <v>303</v>
      </c>
      <c r="BJ175" s="5" t="s">
        <v>240</v>
      </c>
      <c r="BK175" s="8">
        <f>0</f>
        <v>0</v>
      </c>
      <c r="BL175" s="7">
        <f>0</f>
        <v>0</v>
      </c>
      <c r="BM175" s="5" t="s">
        <v>258</v>
      </c>
      <c r="BN175" s="5" t="s">
        <v>259</v>
      </c>
      <c r="CB175" s="5" t="s">
        <v>240</v>
      </c>
      <c r="CC175" s="5" t="s">
        <v>240</v>
      </c>
      <c r="CG175" s="5" t="s">
        <v>304</v>
      </c>
      <c r="CH175" s="5" t="s">
        <v>305</v>
      </c>
      <c r="CI175" s="5" t="s">
        <v>240</v>
      </c>
      <c r="CL175" s="6" t="s">
        <v>261</v>
      </c>
      <c r="CM175" s="5" t="s">
        <v>240</v>
      </c>
      <c r="CN175" s="5" t="s">
        <v>263</v>
      </c>
      <c r="CO175" s="5" t="s">
        <v>240</v>
      </c>
      <c r="CP175" s="5" t="s">
        <v>240</v>
      </c>
      <c r="CQ175" s="5">
        <v>0</v>
      </c>
      <c r="CR175" s="5" t="s">
        <v>306</v>
      </c>
      <c r="CS175" s="5" t="s">
        <v>307</v>
      </c>
      <c r="CT175" s="5" t="s">
        <v>307</v>
      </c>
      <c r="CU175" s="5" t="s">
        <v>260</v>
      </c>
      <c r="CX175" s="7">
        <f>1</f>
        <v>1</v>
      </c>
      <c r="CY175" s="7">
        <f>0</f>
        <v>0</v>
      </c>
      <c r="DA175" s="7">
        <f>0</f>
        <v>0</v>
      </c>
      <c r="DC175" s="5" t="s">
        <v>309</v>
      </c>
      <c r="DD175" s="5" t="s">
        <v>240</v>
      </c>
      <c r="DF175" s="5" t="s">
        <v>309</v>
      </c>
      <c r="DG175" s="7">
        <f>1622</f>
        <v>1622</v>
      </c>
      <c r="DI175" s="5" t="s">
        <v>240</v>
      </c>
      <c r="DJ175" s="5" t="s">
        <v>240</v>
      </c>
      <c r="DK175" s="5" t="s">
        <v>240</v>
      </c>
      <c r="DL175" s="5" t="s">
        <v>240</v>
      </c>
      <c r="DP175" s="5" t="s">
        <v>240</v>
      </c>
      <c r="DQ175" s="5" t="s">
        <v>240</v>
      </c>
      <c r="DR175" s="5" t="s">
        <v>240</v>
      </c>
      <c r="DS175" s="5" t="s">
        <v>240</v>
      </c>
      <c r="DV175" s="5" t="s">
        <v>310</v>
      </c>
      <c r="DW175" s="5" t="s">
        <v>658</v>
      </c>
      <c r="HO175" s="5" t="s">
        <v>312</v>
      </c>
    </row>
    <row r="176" spans="1:223" x14ac:dyDescent="0.4">
      <c r="A176" s="5">
        <v>887</v>
      </c>
      <c r="B176" s="5">
        <v>1</v>
      </c>
      <c r="C176" s="5">
        <v>1</v>
      </c>
      <c r="D176" s="5" t="s">
        <v>1643</v>
      </c>
      <c r="E176" s="5" t="s">
        <v>725</v>
      </c>
      <c r="F176" s="5" t="s">
        <v>254</v>
      </c>
      <c r="G176" s="5" t="s">
        <v>240</v>
      </c>
      <c r="H176" s="6" t="s">
        <v>1647</v>
      </c>
      <c r="I176" s="5" t="s">
        <v>1642</v>
      </c>
      <c r="J176" s="8">
        <f>29773</f>
        <v>29773</v>
      </c>
      <c r="K176" s="5" t="s">
        <v>308</v>
      </c>
      <c r="L176" s="7">
        <f>65947195</f>
        <v>65947195</v>
      </c>
      <c r="M176" s="7">
        <f>65947195</f>
        <v>65947195</v>
      </c>
      <c r="N176" s="5" t="s">
        <v>242</v>
      </c>
      <c r="O176" s="5">
        <v>1</v>
      </c>
      <c r="P176" s="5" t="s">
        <v>294</v>
      </c>
      <c r="Q176" s="5" t="s">
        <v>266</v>
      </c>
      <c r="R176" s="5" t="s">
        <v>240</v>
      </c>
      <c r="S176" s="5" t="s">
        <v>240</v>
      </c>
      <c r="T176" s="5" t="s">
        <v>296</v>
      </c>
      <c r="U176" s="5" t="s">
        <v>244</v>
      </c>
      <c r="V176" s="5" t="s">
        <v>240</v>
      </c>
      <c r="Y176" s="5" t="s">
        <v>240</v>
      </c>
      <c r="Z176" s="6" t="s">
        <v>298</v>
      </c>
      <c r="AB176" s="6" t="s">
        <v>240</v>
      </c>
      <c r="AE176" s="6" t="s">
        <v>299</v>
      </c>
      <c r="AF176" s="5" t="s">
        <v>248</v>
      </c>
      <c r="AG176" s="5" t="s">
        <v>249</v>
      </c>
      <c r="AW176" s="5" t="s">
        <v>251</v>
      </c>
      <c r="AX176" s="5" t="s">
        <v>240</v>
      </c>
      <c r="AY176" s="5" t="s">
        <v>253</v>
      </c>
      <c r="AZ176" s="5" t="s">
        <v>240</v>
      </c>
      <c r="BA176" s="5" t="s">
        <v>255</v>
      </c>
      <c r="BB176" s="5" t="s">
        <v>240</v>
      </c>
      <c r="BD176" s="5" t="s">
        <v>240</v>
      </c>
      <c r="BF176" s="5" t="s">
        <v>301</v>
      </c>
      <c r="BG176" s="6" t="s">
        <v>299</v>
      </c>
      <c r="BH176" s="5" t="s">
        <v>302</v>
      </c>
      <c r="BI176" s="5" t="s">
        <v>303</v>
      </c>
      <c r="BJ176" s="5" t="s">
        <v>240</v>
      </c>
      <c r="BK176" s="8">
        <f>0</f>
        <v>0</v>
      </c>
      <c r="BL176" s="7">
        <f>0</f>
        <v>0</v>
      </c>
      <c r="BM176" s="5" t="s">
        <v>258</v>
      </c>
      <c r="BN176" s="5" t="s">
        <v>259</v>
      </c>
      <c r="CB176" s="5" t="s">
        <v>240</v>
      </c>
      <c r="CC176" s="5" t="s">
        <v>240</v>
      </c>
      <c r="CG176" s="5" t="s">
        <v>304</v>
      </c>
      <c r="CH176" s="5" t="s">
        <v>305</v>
      </c>
      <c r="CI176" s="5" t="s">
        <v>240</v>
      </c>
      <c r="CL176" s="6" t="s">
        <v>261</v>
      </c>
      <c r="CM176" s="5" t="s">
        <v>240</v>
      </c>
      <c r="CN176" s="5" t="s">
        <v>263</v>
      </c>
      <c r="CO176" s="5" t="s">
        <v>240</v>
      </c>
      <c r="CP176" s="5" t="s">
        <v>240</v>
      </c>
      <c r="CQ176" s="5">
        <v>0</v>
      </c>
      <c r="CR176" s="5" t="s">
        <v>306</v>
      </c>
      <c r="CS176" s="5" t="s">
        <v>307</v>
      </c>
      <c r="CT176" s="5" t="s">
        <v>307</v>
      </c>
      <c r="CU176" s="5" t="s">
        <v>260</v>
      </c>
      <c r="CX176" s="7">
        <f>1</f>
        <v>1</v>
      </c>
      <c r="CY176" s="7">
        <f>0</f>
        <v>0</v>
      </c>
      <c r="DA176" s="7">
        <f>0</f>
        <v>0</v>
      </c>
      <c r="DC176" s="5" t="s">
        <v>309</v>
      </c>
      <c r="DD176" s="5" t="s">
        <v>240</v>
      </c>
      <c r="DF176" s="5" t="s">
        <v>309</v>
      </c>
      <c r="DG176" s="7">
        <f>825</f>
        <v>825</v>
      </c>
      <c r="DI176" s="5" t="s">
        <v>240</v>
      </c>
      <c r="DJ176" s="5" t="s">
        <v>240</v>
      </c>
      <c r="DK176" s="5" t="s">
        <v>240</v>
      </c>
      <c r="DL176" s="5" t="s">
        <v>240</v>
      </c>
      <c r="DP176" s="5" t="s">
        <v>240</v>
      </c>
      <c r="DQ176" s="5" t="s">
        <v>240</v>
      </c>
      <c r="DR176" s="5" t="s">
        <v>240</v>
      </c>
      <c r="DS176" s="5" t="s">
        <v>240</v>
      </c>
      <c r="DV176" s="5" t="s">
        <v>310</v>
      </c>
      <c r="DW176" s="5" t="s">
        <v>660</v>
      </c>
      <c r="HO176" s="5" t="s">
        <v>312</v>
      </c>
    </row>
    <row r="177" spans="1:223" x14ac:dyDescent="0.4">
      <c r="A177" s="5">
        <v>888</v>
      </c>
      <c r="B177" s="5">
        <v>1</v>
      </c>
      <c r="C177" s="5">
        <v>1</v>
      </c>
      <c r="D177" s="5" t="s">
        <v>1643</v>
      </c>
      <c r="E177" s="5" t="s">
        <v>725</v>
      </c>
      <c r="F177" s="5" t="s">
        <v>254</v>
      </c>
      <c r="G177" s="5" t="s">
        <v>240</v>
      </c>
      <c r="H177" s="6" t="s">
        <v>1646</v>
      </c>
      <c r="I177" s="5" t="s">
        <v>1642</v>
      </c>
      <c r="J177" s="8">
        <f>23436</f>
        <v>23436</v>
      </c>
      <c r="K177" s="5" t="s">
        <v>308</v>
      </c>
      <c r="L177" s="7">
        <f>51910740</f>
        <v>51910740</v>
      </c>
      <c r="M177" s="7">
        <f>51910740</f>
        <v>51910740</v>
      </c>
      <c r="N177" s="5" t="s">
        <v>242</v>
      </c>
      <c r="O177" s="5">
        <v>1</v>
      </c>
      <c r="P177" s="5" t="s">
        <v>294</v>
      </c>
      <c r="Q177" s="5" t="s">
        <v>266</v>
      </c>
      <c r="R177" s="5" t="s">
        <v>240</v>
      </c>
      <c r="S177" s="5" t="s">
        <v>240</v>
      </c>
      <c r="T177" s="5" t="s">
        <v>296</v>
      </c>
      <c r="U177" s="5" t="s">
        <v>244</v>
      </c>
      <c r="V177" s="5" t="s">
        <v>240</v>
      </c>
      <c r="Y177" s="5" t="s">
        <v>240</v>
      </c>
      <c r="Z177" s="6" t="s">
        <v>298</v>
      </c>
      <c r="AB177" s="6" t="s">
        <v>240</v>
      </c>
      <c r="AE177" s="6" t="s">
        <v>299</v>
      </c>
      <c r="AF177" s="5" t="s">
        <v>248</v>
      </c>
      <c r="AG177" s="5" t="s">
        <v>249</v>
      </c>
      <c r="AW177" s="5" t="s">
        <v>251</v>
      </c>
      <c r="AX177" s="5" t="s">
        <v>240</v>
      </c>
      <c r="AY177" s="5" t="s">
        <v>253</v>
      </c>
      <c r="AZ177" s="5" t="s">
        <v>240</v>
      </c>
      <c r="BA177" s="5" t="s">
        <v>255</v>
      </c>
      <c r="BB177" s="5" t="s">
        <v>240</v>
      </c>
      <c r="BD177" s="5" t="s">
        <v>240</v>
      </c>
      <c r="BF177" s="5" t="s">
        <v>301</v>
      </c>
      <c r="BG177" s="6" t="s">
        <v>299</v>
      </c>
      <c r="BH177" s="5" t="s">
        <v>302</v>
      </c>
      <c r="BI177" s="5" t="s">
        <v>303</v>
      </c>
      <c r="BJ177" s="5" t="s">
        <v>240</v>
      </c>
      <c r="BK177" s="8">
        <f>0</f>
        <v>0</v>
      </c>
      <c r="BL177" s="7">
        <f>0</f>
        <v>0</v>
      </c>
      <c r="BM177" s="5" t="s">
        <v>258</v>
      </c>
      <c r="BN177" s="5" t="s">
        <v>259</v>
      </c>
      <c r="CB177" s="5" t="s">
        <v>240</v>
      </c>
      <c r="CC177" s="5" t="s">
        <v>240</v>
      </c>
      <c r="CG177" s="5" t="s">
        <v>304</v>
      </c>
      <c r="CH177" s="5" t="s">
        <v>305</v>
      </c>
      <c r="CI177" s="5" t="s">
        <v>240</v>
      </c>
      <c r="CL177" s="6" t="s">
        <v>261</v>
      </c>
      <c r="CM177" s="5" t="s">
        <v>240</v>
      </c>
      <c r="CN177" s="5" t="s">
        <v>263</v>
      </c>
      <c r="CO177" s="5" t="s">
        <v>240</v>
      </c>
      <c r="CP177" s="5" t="s">
        <v>240</v>
      </c>
      <c r="CQ177" s="5">
        <v>0</v>
      </c>
      <c r="CR177" s="5" t="s">
        <v>306</v>
      </c>
      <c r="CS177" s="5" t="s">
        <v>307</v>
      </c>
      <c r="CT177" s="5" t="s">
        <v>307</v>
      </c>
      <c r="CU177" s="5" t="s">
        <v>260</v>
      </c>
      <c r="CX177" s="7">
        <f>1</f>
        <v>1</v>
      </c>
      <c r="CY177" s="7">
        <f>0</f>
        <v>0</v>
      </c>
      <c r="DA177" s="7">
        <f>0</f>
        <v>0</v>
      </c>
      <c r="DC177" s="5" t="s">
        <v>309</v>
      </c>
      <c r="DD177" s="5" t="s">
        <v>240</v>
      </c>
      <c r="DF177" s="5" t="s">
        <v>309</v>
      </c>
      <c r="DG177" s="7">
        <f>1842</f>
        <v>1842</v>
      </c>
      <c r="DI177" s="5" t="s">
        <v>240</v>
      </c>
      <c r="DJ177" s="5" t="s">
        <v>240</v>
      </c>
      <c r="DK177" s="5" t="s">
        <v>240</v>
      </c>
      <c r="DL177" s="5" t="s">
        <v>240</v>
      </c>
      <c r="DP177" s="5" t="s">
        <v>240</v>
      </c>
      <c r="DQ177" s="5" t="s">
        <v>240</v>
      </c>
      <c r="DR177" s="5" t="s">
        <v>240</v>
      </c>
      <c r="DS177" s="5" t="s">
        <v>240</v>
      </c>
      <c r="DV177" s="5" t="s">
        <v>310</v>
      </c>
      <c r="DW177" s="5" t="s">
        <v>662</v>
      </c>
      <c r="HO177" s="5" t="s">
        <v>312</v>
      </c>
    </row>
    <row r="178" spans="1:223" x14ac:dyDescent="0.4">
      <c r="A178" s="5">
        <v>889</v>
      </c>
      <c r="B178" s="5">
        <v>1</v>
      </c>
      <c r="C178" s="5">
        <v>1</v>
      </c>
      <c r="D178" s="5" t="s">
        <v>1643</v>
      </c>
      <c r="E178" s="5" t="s">
        <v>725</v>
      </c>
      <c r="F178" s="5" t="s">
        <v>254</v>
      </c>
      <c r="G178" s="5" t="s">
        <v>240</v>
      </c>
      <c r="H178" s="6" t="s">
        <v>2109</v>
      </c>
      <c r="I178" s="5" t="s">
        <v>1642</v>
      </c>
      <c r="J178" s="8">
        <f>82822</f>
        <v>82822</v>
      </c>
      <c r="K178" s="5" t="s">
        <v>308</v>
      </c>
      <c r="L178" s="7">
        <f>183450730</f>
        <v>183450730</v>
      </c>
      <c r="M178" s="7">
        <f>183450730</f>
        <v>183450730</v>
      </c>
      <c r="N178" s="5" t="s">
        <v>242</v>
      </c>
      <c r="O178" s="5">
        <v>1</v>
      </c>
      <c r="P178" s="5" t="s">
        <v>294</v>
      </c>
      <c r="Q178" s="5" t="s">
        <v>266</v>
      </c>
      <c r="R178" s="5" t="s">
        <v>240</v>
      </c>
      <c r="S178" s="5" t="s">
        <v>240</v>
      </c>
      <c r="T178" s="5" t="s">
        <v>296</v>
      </c>
      <c r="U178" s="5" t="s">
        <v>244</v>
      </c>
      <c r="V178" s="5" t="s">
        <v>240</v>
      </c>
      <c r="Y178" s="5" t="s">
        <v>240</v>
      </c>
      <c r="Z178" s="6" t="s">
        <v>298</v>
      </c>
      <c r="AB178" s="6" t="s">
        <v>240</v>
      </c>
      <c r="AE178" s="6" t="s">
        <v>299</v>
      </c>
      <c r="AF178" s="5" t="s">
        <v>248</v>
      </c>
      <c r="AG178" s="5" t="s">
        <v>249</v>
      </c>
      <c r="AW178" s="5" t="s">
        <v>251</v>
      </c>
      <c r="AX178" s="5" t="s">
        <v>240</v>
      </c>
      <c r="AY178" s="5" t="s">
        <v>253</v>
      </c>
      <c r="AZ178" s="5" t="s">
        <v>240</v>
      </c>
      <c r="BA178" s="5" t="s">
        <v>255</v>
      </c>
      <c r="BB178" s="5" t="s">
        <v>240</v>
      </c>
      <c r="BD178" s="5" t="s">
        <v>240</v>
      </c>
      <c r="BF178" s="5" t="s">
        <v>301</v>
      </c>
      <c r="BG178" s="6" t="s">
        <v>299</v>
      </c>
      <c r="BH178" s="5" t="s">
        <v>302</v>
      </c>
      <c r="BI178" s="5" t="s">
        <v>303</v>
      </c>
      <c r="BJ178" s="5" t="s">
        <v>240</v>
      </c>
      <c r="BK178" s="8">
        <f>0</f>
        <v>0</v>
      </c>
      <c r="BL178" s="7">
        <f>0</f>
        <v>0</v>
      </c>
      <c r="BM178" s="5" t="s">
        <v>258</v>
      </c>
      <c r="BN178" s="5" t="s">
        <v>259</v>
      </c>
      <c r="CB178" s="5" t="s">
        <v>240</v>
      </c>
      <c r="CC178" s="5" t="s">
        <v>240</v>
      </c>
      <c r="CG178" s="5" t="s">
        <v>304</v>
      </c>
      <c r="CH178" s="5" t="s">
        <v>305</v>
      </c>
      <c r="CI178" s="5" t="s">
        <v>240</v>
      </c>
      <c r="CL178" s="6" t="s">
        <v>261</v>
      </c>
      <c r="CM178" s="5" t="s">
        <v>240</v>
      </c>
      <c r="CN178" s="5" t="s">
        <v>263</v>
      </c>
      <c r="CO178" s="5" t="s">
        <v>240</v>
      </c>
      <c r="CP178" s="5" t="s">
        <v>240</v>
      </c>
      <c r="CQ178" s="5">
        <v>0</v>
      </c>
      <c r="CR178" s="5" t="s">
        <v>306</v>
      </c>
      <c r="CS178" s="5" t="s">
        <v>307</v>
      </c>
      <c r="CT178" s="5" t="s">
        <v>307</v>
      </c>
      <c r="CU178" s="5" t="s">
        <v>260</v>
      </c>
      <c r="CX178" s="7">
        <f>1</f>
        <v>1</v>
      </c>
      <c r="CY178" s="7">
        <f>0</f>
        <v>0</v>
      </c>
      <c r="DA178" s="7">
        <f>0</f>
        <v>0</v>
      </c>
      <c r="DC178" s="5" t="s">
        <v>309</v>
      </c>
      <c r="DD178" s="5" t="s">
        <v>240</v>
      </c>
      <c r="DF178" s="5" t="s">
        <v>309</v>
      </c>
      <c r="DG178" s="7">
        <f>168</f>
        <v>168</v>
      </c>
      <c r="DI178" s="5" t="s">
        <v>240</v>
      </c>
      <c r="DJ178" s="5" t="s">
        <v>240</v>
      </c>
      <c r="DK178" s="5" t="s">
        <v>240</v>
      </c>
      <c r="DL178" s="5" t="s">
        <v>240</v>
      </c>
      <c r="DP178" s="5" t="s">
        <v>240</v>
      </c>
      <c r="DQ178" s="5" t="s">
        <v>240</v>
      </c>
      <c r="DR178" s="5" t="s">
        <v>240</v>
      </c>
      <c r="DS178" s="5" t="s">
        <v>240</v>
      </c>
      <c r="DV178" s="5" t="s">
        <v>310</v>
      </c>
      <c r="DW178" s="5" t="s">
        <v>664</v>
      </c>
      <c r="HO178" s="5" t="s">
        <v>312</v>
      </c>
    </row>
    <row r="179" spans="1:223" x14ac:dyDescent="0.4">
      <c r="A179" s="5">
        <v>890</v>
      </c>
      <c r="B179" s="5">
        <v>1</v>
      </c>
      <c r="C179" s="5">
        <v>1</v>
      </c>
      <c r="D179" s="5" t="s">
        <v>1643</v>
      </c>
      <c r="E179" s="5" t="s">
        <v>725</v>
      </c>
      <c r="F179" s="5" t="s">
        <v>254</v>
      </c>
      <c r="G179" s="5" t="s">
        <v>240</v>
      </c>
      <c r="H179" s="6" t="s">
        <v>1644</v>
      </c>
      <c r="I179" s="5" t="s">
        <v>1642</v>
      </c>
      <c r="J179" s="8">
        <f>2643</f>
        <v>2643</v>
      </c>
      <c r="K179" s="5" t="s">
        <v>308</v>
      </c>
      <c r="L179" s="7">
        <f>5854245</f>
        <v>5854245</v>
      </c>
      <c r="M179" s="7">
        <f>5854245</f>
        <v>5854245</v>
      </c>
      <c r="N179" s="5" t="s">
        <v>242</v>
      </c>
      <c r="O179" s="5">
        <v>1</v>
      </c>
      <c r="P179" s="5" t="s">
        <v>294</v>
      </c>
      <c r="Q179" s="5" t="s">
        <v>266</v>
      </c>
      <c r="R179" s="5" t="s">
        <v>240</v>
      </c>
      <c r="S179" s="5" t="s">
        <v>240</v>
      </c>
      <c r="T179" s="5" t="s">
        <v>296</v>
      </c>
      <c r="U179" s="5" t="s">
        <v>244</v>
      </c>
      <c r="V179" s="5" t="s">
        <v>240</v>
      </c>
      <c r="Y179" s="5" t="s">
        <v>240</v>
      </c>
      <c r="Z179" s="6" t="s">
        <v>298</v>
      </c>
      <c r="AB179" s="6" t="s">
        <v>240</v>
      </c>
      <c r="AE179" s="6" t="s">
        <v>299</v>
      </c>
      <c r="AF179" s="5" t="s">
        <v>248</v>
      </c>
      <c r="AG179" s="5" t="s">
        <v>249</v>
      </c>
      <c r="AW179" s="5" t="s">
        <v>251</v>
      </c>
      <c r="AX179" s="5" t="s">
        <v>240</v>
      </c>
      <c r="AY179" s="5" t="s">
        <v>253</v>
      </c>
      <c r="AZ179" s="5" t="s">
        <v>240</v>
      </c>
      <c r="BA179" s="5" t="s">
        <v>255</v>
      </c>
      <c r="BB179" s="5" t="s">
        <v>240</v>
      </c>
      <c r="BD179" s="5" t="s">
        <v>240</v>
      </c>
      <c r="BF179" s="5" t="s">
        <v>301</v>
      </c>
      <c r="BG179" s="6" t="s">
        <v>299</v>
      </c>
      <c r="BH179" s="5" t="s">
        <v>302</v>
      </c>
      <c r="BI179" s="5" t="s">
        <v>303</v>
      </c>
      <c r="BJ179" s="5" t="s">
        <v>240</v>
      </c>
      <c r="BK179" s="8">
        <f>0</f>
        <v>0</v>
      </c>
      <c r="BL179" s="7">
        <f>0</f>
        <v>0</v>
      </c>
      <c r="BM179" s="5" t="s">
        <v>258</v>
      </c>
      <c r="BN179" s="5" t="s">
        <v>259</v>
      </c>
      <c r="CB179" s="5" t="s">
        <v>240</v>
      </c>
      <c r="CC179" s="5" t="s">
        <v>240</v>
      </c>
      <c r="CG179" s="5" t="s">
        <v>304</v>
      </c>
      <c r="CH179" s="5" t="s">
        <v>305</v>
      </c>
      <c r="CI179" s="5" t="s">
        <v>240</v>
      </c>
      <c r="CL179" s="6" t="s">
        <v>261</v>
      </c>
      <c r="CM179" s="5" t="s">
        <v>240</v>
      </c>
      <c r="CN179" s="5" t="s">
        <v>263</v>
      </c>
      <c r="CO179" s="5" t="s">
        <v>240</v>
      </c>
      <c r="CP179" s="5" t="s">
        <v>240</v>
      </c>
      <c r="CQ179" s="5">
        <v>0</v>
      </c>
      <c r="CR179" s="5" t="s">
        <v>306</v>
      </c>
      <c r="CS179" s="5" t="s">
        <v>307</v>
      </c>
      <c r="CT179" s="5" t="s">
        <v>307</v>
      </c>
      <c r="CU179" s="5" t="s">
        <v>260</v>
      </c>
      <c r="CX179" s="7">
        <f>1</f>
        <v>1</v>
      </c>
      <c r="CY179" s="7">
        <f>0</f>
        <v>0</v>
      </c>
      <c r="DA179" s="7">
        <f>0</f>
        <v>0</v>
      </c>
      <c r="DC179" s="5" t="s">
        <v>309</v>
      </c>
      <c r="DD179" s="5" t="s">
        <v>240</v>
      </c>
      <c r="DF179" s="5" t="s">
        <v>309</v>
      </c>
      <c r="DG179" s="7">
        <f>260</f>
        <v>260</v>
      </c>
      <c r="DI179" s="5" t="s">
        <v>240</v>
      </c>
      <c r="DJ179" s="5" t="s">
        <v>240</v>
      </c>
      <c r="DK179" s="5" t="s">
        <v>240</v>
      </c>
      <c r="DL179" s="5" t="s">
        <v>240</v>
      </c>
      <c r="DP179" s="5" t="s">
        <v>240</v>
      </c>
      <c r="DQ179" s="5" t="s">
        <v>240</v>
      </c>
      <c r="DR179" s="5" t="s">
        <v>240</v>
      </c>
      <c r="DS179" s="5" t="s">
        <v>240</v>
      </c>
      <c r="DV179" s="5" t="s">
        <v>310</v>
      </c>
      <c r="DW179" s="5" t="s">
        <v>666</v>
      </c>
      <c r="HO179" s="5" t="s">
        <v>312</v>
      </c>
    </row>
    <row r="180" spans="1:223" x14ac:dyDescent="0.4">
      <c r="A180" s="5">
        <v>891</v>
      </c>
      <c r="B180" s="5">
        <v>1</v>
      </c>
      <c r="C180" s="5">
        <v>1</v>
      </c>
      <c r="D180" s="5" t="s">
        <v>6959</v>
      </c>
      <c r="E180" s="5" t="s">
        <v>1325</v>
      </c>
      <c r="F180" s="5" t="s">
        <v>254</v>
      </c>
      <c r="G180" s="5" t="s">
        <v>240</v>
      </c>
      <c r="H180" s="6" t="s">
        <v>6960</v>
      </c>
      <c r="I180" s="5" t="s">
        <v>6958</v>
      </c>
      <c r="J180" s="8">
        <f>26203</f>
        <v>26203</v>
      </c>
      <c r="K180" s="5" t="s">
        <v>308</v>
      </c>
      <c r="L180" s="7">
        <f>58039645</f>
        <v>58039645</v>
      </c>
      <c r="M180" s="7">
        <f>58039645</f>
        <v>58039645</v>
      </c>
      <c r="N180" s="5" t="s">
        <v>242</v>
      </c>
      <c r="O180" s="5">
        <v>1</v>
      </c>
      <c r="P180" s="5" t="s">
        <v>294</v>
      </c>
      <c r="Q180" s="5" t="s">
        <v>266</v>
      </c>
      <c r="R180" s="5" t="s">
        <v>240</v>
      </c>
      <c r="S180" s="5" t="s">
        <v>240</v>
      </c>
      <c r="T180" s="5" t="s">
        <v>296</v>
      </c>
      <c r="U180" s="5" t="s">
        <v>244</v>
      </c>
      <c r="V180" s="5" t="s">
        <v>240</v>
      </c>
      <c r="Y180" s="5" t="s">
        <v>240</v>
      </c>
      <c r="Z180" s="6" t="s">
        <v>298</v>
      </c>
      <c r="AB180" s="6" t="s">
        <v>240</v>
      </c>
      <c r="AE180" s="6" t="s">
        <v>299</v>
      </c>
      <c r="AF180" s="5" t="s">
        <v>248</v>
      </c>
      <c r="AG180" s="5" t="s">
        <v>249</v>
      </c>
      <c r="AW180" s="5" t="s">
        <v>251</v>
      </c>
      <c r="AX180" s="5" t="s">
        <v>240</v>
      </c>
      <c r="AY180" s="5" t="s">
        <v>253</v>
      </c>
      <c r="AZ180" s="5" t="s">
        <v>240</v>
      </c>
      <c r="BA180" s="5" t="s">
        <v>255</v>
      </c>
      <c r="BB180" s="5" t="s">
        <v>240</v>
      </c>
      <c r="BD180" s="5" t="s">
        <v>240</v>
      </c>
      <c r="BF180" s="5" t="s">
        <v>301</v>
      </c>
      <c r="BG180" s="6" t="s">
        <v>299</v>
      </c>
      <c r="BH180" s="5" t="s">
        <v>302</v>
      </c>
      <c r="BI180" s="5" t="s">
        <v>303</v>
      </c>
      <c r="BJ180" s="5" t="s">
        <v>240</v>
      </c>
      <c r="BK180" s="8">
        <f>0</f>
        <v>0</v>
      </c>
      <c r="BL180" s="7">
        <f>0</f>
        <v>0</v>
      </c>
      <c r="BM180" s="5" t="s">
        <v>258</v>
      </c>
      <c r="BN180" s="5" t="s">
        <v>259</v>
      </c>
      <c r="CB180" s="5" t="s">
        <v>240</v>
      </c>
      <c r="CC180" s="5" t="s">
        <v>240</v>
      </c>
      <c r="CG180" s="5" t="s">
        <v>304</v>
      </c>
      <c r="CH180" s="5" t="s">
        <v>305</v>
      </c>
      <c r="CI180" s="5" t="s">
        <v>240</v>
      </c>
      <c r="CL180" s="6" t="s">
        <v>261</v>
      </c>
      <c r="CM180" s="5" t="s">
        <v>240</v>
      </c>
      <c r="CN180" s="5" t="s">
        <v>263</v>
      </c>
      <c r="CO180" s="5" t="s">
        <v>240</v>
      </c>
      <c r="CP180" s="5" t="s">
        <v>240</v>
      </c>
      <c r="CQ180" s="5">
        <v>0</v>
      </c>
      <c r="CR180" s="5" t="s">
        <v>306</v>
      </c>
      <c r="CS180" s="5" t="s">
        <v>307</v>
      </c>
      <c r="CT180" s="5" t="s">
        <v>307</v>
      </c>
      <c r="CU180" s="5" t="s">
        <v>260</v>
      </c>
      <c r="CX180" s="7">
        <f>1</f>
        <v>1</v>
      </c>
      <c r="CY180" s="7">
        <f>0</f>
        <v>0</v>
      </c>
      <c r="DA180" s="7">
        <f>0</f>
        <v>0</v>
      </c>
      <c r="DC180" s="5" t="s">
        <v>309</v>
      </c>
      <c r="DD180" s="5" t="s">
        <v>240</v>
      </c>
      <c r="DF180" s="5" t="s">
        <v>309</v>
      </c>
      <c r="DG180" s="7">
        <f>15526</f>
        <v>15526</v>
      </c>
      <c r="DI180" s="5" t="s">
        <v>240</v>
      </c>
      <c r="DJ180" s="5" t="s">
        <v>240</v>
      </c>
      <c r="DK180" s="5" t="s">
        <v>240</v>
      </c>
      <c r="DL180" s="5" t="s">
        <v>240</v>
      </c>
      <c r="DP180" s="5" t="s">
        <v>240</v>
      </c>
      <c r="DQ180" s="5" t="s">
        <v>240</v>
      </c>
      <c r="DR180" s="5" t="s">
        <v>240</v>
      </c>
      <c r="DS180" s="5" t="s">
        <v>240</v>
      </c>
      <c r="DV180" s="5" t="s">
        <v>310</v>
      </c>
      <c r="DW180" s="5" t="s">
        <v>668</v>
      </c>
      <c r="HO180" s="5" t="s">
        <v>312</v>
      </c>
    </row>
    <row r="181" spans="1:223" x14ac:dyDescent="0.4">
      <c r="A181" s="5">
        <v>892</v>
      </c>
      <c r="B181" s="5">
        <v>1</v>
      </c>
      <c r="C181" s="5">
        <v>1</v>
      </c>
      <c r="D181" s="5" t="s">
        <v>6836</v>
      </c>
      <c r="E181" s="5" t="s">
        <v>1325</v>
      </c>
      <c r="F181" s="5" t="s">
        <v>254</v>
      </c>
      <c r="G181" s="5" t="s">
        <v>240</v>
      </c>
      <c r="H181" s="6" t="s">
        <v>6837</v>
      </c>
      <c r="I181" s="5" t="s">
        <v>6835</v>
      </c>
      <c r="J181" s="8">
        <f>21155.1</f>
        <v>21155.1</v>
      </c>
      <c r="K181" s="5" t="s">
        <v>308</v>
      </c>
      <c r="L181" s="7">
        <f>46858545</f>
        <v>46858545</v>
      </c>
      <c r="M181" s="7">
        <f>46858545</f>
        <v>46858545</v>
      </c>
      <c r="N181" s="5" t="s">
        <v>242</v>
      </c>
      <c r="O181" s="5">
        <v>1</v>
      </c>
      <c r="P181" s="5" t="s">
        <v>294</v>
      </c>
      <c r="Q181" s="5" t="s">
        <v>266</v>
      </c>
      <c r="R181" s="5" t="s">
        <v>240</v>
      </c>
      <c r="S181" s="5" t="s">
        <v>240</v>
      </c>
      <c r="T181" s="5" t="s">
        <v>296</v>
      </c>
      <c r="U181" s="5" t="s">
        <v>244</v>
      </c>
      <c r="V181" s="5" t="s">
        <v>240</v>
      </c>
      <c r="Y181" s="5" t="s">
        <v>240</v>
      </c>
      <c r="Z181" s="6" t="s">
        <v>298</v>
      </c>
      <c r="AB181" s="6" t="s">
        <v>240</v>
      </c>
      <c r="AE181" s="6" t="s">
        <v>299</v>
      </c>
      <c r="AF181" s="5" t="s">
        <v>248</v>
      </c>
      <c r="AG181" s="5" t="s">
        <v>249</v>
      </c>
      <c r="AW181" s="5" t="s">
        <v>251</v>
      </c>
      <c r="AX181" s="5" t="s">
        <v>240</v>
      </c>
      <c r="AY181" s="5" t="s">
        <v>253</v>
      </c>
      <c r="AZ181" s="5" t="s">
        <v>240</v>
      </c>
      <c r="BA181" s="5" t="s">
        <v>255</v>
      </c>
      <c r="BB181" s="5" t="s">
        <v>240</v>
      </c>
      <c r="BD181" s="5" t="s">
        <v>240</v>
      </c>
      <c r="BF181" s="5" t="s">
        <v>301</v>
      </c>
      <c r="BG181" s="6" t="s">
        <v>299</v>
      </c>
      <c r="BH181" s="5" t="s">
        <v>302</v>
      </c>
      <c r="BI181" s="5" t="s">
        <v>303</v>
      </c>
      <c r="BJ181" s="5" t="s">
        <v>240</v>
      </c>
      <c r="BK181" s="8">
        <f>0</f>
        <v>0</v>
      </c>
      <c r="BL181" s="7">
        <f>0</f>
        <v>0</v>
      </c>
      <c r="BM181" s="5" t="s">
        <v>258</v>
      </c>
      <c r="BN181" s="5" t="s">
        <v>259</v>
      </c>
      <c r="CB181" s="5" t="s">
        <v>240</v>
      </c>
      <c r="CC181" s="5" t="s">
        <v>240</v>
      </c>
      <c r="CG181" s="5" t="s">
        <v>304</v>
      </c>
      <c r="CH181" s="5" t="s">
        <v>305</v>
      </c>
      <c r="CI181" s="5" t="s">
        <v>240</v>
      </c>
      <c r="CL181" s="6" t="s">
        <v>261</v>
      </c>
      <c r="CM181" s="5" t="s">
        <v>240</v>
      </c>
      <c r="CN181" s="5" t="s">
        <v>263</v>
      </c>
      <c r="CO181" s="5" t="s">
        <v>240</v>
      </c>
      <c r="CP181" s="5" t="s">
        <v>240</v>
      </c>
      <c r="CQ181" s="5">
        <v>0</v>
      </c>
      <c r="CR181" s="5" t="s">
        <v>306</v>
      </c>
      <c r="CS181" s="5" t="s">
        <v>307</v>
      </c>
      <c r="CT181" s="5" t="s">
        <v>307</v>
      </c>
      <c r="CU181" s="5" t="s">
        <v>260</v>
      </c>
      <c r="CX181" s="7">
        <f>1</f>
        <v>1</v>
      </c>
      <c r="CY181" s="7">
        <f>0</f>
        <v>0</v>
      </c>
      <c r="DA181" s="7">
        <f>0</f>
        <v>0</v>
      </c>
      <c r="DC181" s="5" t="s">
        <v>309</v>
      </c>
      <c r="DD181" s="5" t="s">
        <v>240</v>
      </c>
      <c r="DF181" s="5" t="s">
        <v>309</v>
      </c>
      <c r="DG181" s="7">
        <f>2812</f>
        <v>2812</v>
      </c>
      <c r="DI181" s="5" t="s">
        <v>240</v>
      </c>
      <c r="DJ181" s="5" t="s">
        <v>240</v>
      </c>
      <c r="DK181" s="5" t="s">
        <v>240</v>
      </c>
      <c r="DL181" s="5" t="s">
        <v>240</v>
      </c>
      <c r="DP181" s="5" t="s">
        <v>240</v>
      </c>
      <c r="DQ181" s="5" t="s">
        <v>240</v>
      </c>
      <c r="DR181" s="5" t="s">
        <v>240</v>
      </c>
      <c r="DS181" s="5" t="s">
        <v>240</v>
      </c>
      <c r="DV181" s="5" t="s">
        <v>310</v>
      </c>
      <c r="DW181" s="5" t="s">
        <v>670</v>
      </c>
      <c r="HO181" s="5" t="s">
        <v>312</v>
      </c>
    </row>
    <row r="182" spans="1:223" x14ac:dyDescent="0.4">
      <c r="A182" s="5">
        <v>893</v>
      </c>
      <c r="B182" s="5">
        <v>1</v>
      </c>
      <c r="C182" s="5">
        <v>1</v>
      </c>
      <c r="D182" s="5" t="s">
        <v>6836</v>
      </c>
      <c r="E182" s="5" t="s">
        <v>1325</v>
      </c>
      <c r="F182" s="5" t="s">
        <v>254</v>
      </c>
      <c r="G182" s="5" t="s">
        <v>240</v>
      </c>
      <c r="H182" s="6" t="s">
        <v>7004</v>
      </c>
      <c r="I182" s="5" t="s">
        <v>6835</v>
      </c>
      <c r="J182" s="8">
        <f>2495</f>
        <v>2495</v>
      </c>
      <c r="K182" s="5" t="s">
        <v>308</v>
      </c>
      <c r="L182" s="7">
        <f>5526425</f>
        <v>5526425</v>
      </c>
      <c r="M182" s="7">
        <f>5526425</f>
        <v>5526425</v>
      </c>
      <c r="N182" s="5" t="s">
        <v>242</v>
      </c>
      <c r="O182" s="5">
        <v>1</v>
      </c>
      <c r="P182" s="5" t="s">
        <v>294</v>
      </c>
      <c r="Q182" s="5" t="s">
        <v>266</v>
      </c>
      <c r="R182" s="5" t="s">
        <v>240</v>
      </c>
      <c r="S182" s="5" t="s">
        <v>240</v>
      </c>
      <c r="T182" s="5" t="s">
        <v>296</v>
      </c>
      <c r="U182" s="5" t="s">
        <v>244</v>
      </c>
      <c r="V182" s="5" t="s">
        <v>240</v>
      </c>
      <c r="Y182" s="5" t="s">
        <v>240</v>
      </c>
      <c r="Z182" s="6" t="s">
        <v>298</v>
      </c>
      <c r="AB182" s="6" t="s">
        <v>240</v>
      </c>
      <c r="AE182" s="6" t="s">
        <v>299</v>
      </c>
      <c r="AF182" s="5" t="s">
        <v>248</v>
      </c>
      <c r="AG182" s="5" t="s">
        <v>249</v>
      </c>
      <c r="AW182" s="5" t="s">
        <v>251</v>
      </c>
      <c r="AX182" s="5" t="s">
        <v>240</v>
      </c>
      <c r="AY182" s="5" t="s">
        <v>253</v>
      </c>
      <c r="AZ182" s="5" t="s">
        <v>240</v>
      </c>
      <c r="BA182" s="5" t="s">
        <v>255</v>
      </c>
      <c r="BB182" s="5" t="s">
        <v>240</v>
      </c>
      <c r="BD182" s="5" t="s">
        <v>240</v>
      </c>
      <c r="BF182" s="5" t="s">
        <v>301</v>
      </c>
      <c r="BG182" s="6" t="s">
        <v>299</v>
      </c>
      <c r="BH182" s="5" t="s">
        <v>302</v>
      </c>
      <c r="BI182" s="5" t="s">
        <v>303</v>
      </c>
      <c r="BJ182" s="5" t="s">
        <v>240</v>
      </c>
      <c r="BK182" s="8">
        <f>0</f>
        <v>0</v>
      </c>
      <c r="BL182" s="7">
        <f>0</f>
        <v>0</v>
      </c>
      <c r="BM182" s="5" t="s">
        <v>258</v>
      </c>
      <c r="BN182" s="5" t="s">
        <v>259</v>
      </c>
      <c r="CB182" s="5" t="s">
        <v>240</v>
      </c>
      <c r="CC182" s="5" t="s">
        <v>240</v>
      </c>
      <c r="CG182" s="5" t="s">
        <v>304</v>
      </c>
      <c r="CH182" s="5" t="s">
        <v>305</v>
      </c>
      <c r="CI182" s="5" t="s">
        <v>240</v>
      </c>
      <c r="CL182" s="6" t="s">
        <v>261</v>
      </c>
      <c r="CM182" s="5" t="s">
        <v>240</v>
      </c>
      <c r="CN182" s="5" t="s">
        <v>263</v>
      </c>
      <c r="CO182" s="5" t="s">
        <v>240</v>
      </c>
      <c r="CP182" s="5" t="s">
        <v>240</v>
      </c>
      <c r="CQ182" s="5">
        <v>0</v>
      </c>
      <c r="CR182" s="5" t="s">
        <v>306</v>
      </c>
      <c r="CS182" s="5" t="s">
        <v>307</v>
      </c>
      <c r="CT182" s="5" t="s">
        <v>307</v>
      </c>
      <c r="CU182" s="5" t="s">
        <v>260</v>
      </c>
      <c r="CX182" s="7">
        <f>1</f>
        <v>1</v>
      </c>
      <c r="CY182" s="7">
        <f>0</f>
        <v>0</v>
      </c>
      <c r="DA182" s="7">
        <f>0</f>
        <v>0</v>
      </c>
      <c r="DC182" s="5" t="s">
        <v>309</v>
      </c>
      <c r="DD182" s="5" t="s">
        <v>240</v>
      </c>
      <c r="DF182" s="5" t="s">
        <v>309</v>
      </c>
      <c r="DG182" s="7">
        <f>350</f>
        <v>350</v>
      </c>
      <c r="DI182" s="5" t="s">
        <v>240</v>
      </c>
      <c r="DJ182" s="5" t="s">
        <v>240</v>
      </c>
      <c r="DK182" s="5" t="s">
        <v>240</v>
      </c>
      <c r="DL182" s="5" t="s">
        <v>240</v>
      </c>
      <c r="DP182" s="5" t="s">
        <v>240</v>
      </c>
      <c r="DQ182" s="5" t="s">
        <v>240</v>
      </c>
      <c r="DR182" s="5" t="s">
        <v>240</v>
      </c>
      <c r="DS182" s="5" t="s">
        <v>240</v>
      </c>
      <c r="DV182" s="5" t="s">
        <v>310</v>
      </c>
      <c r="DW182" s="5" t="s">
        <v>672</v>
      </c>
      <c r="HO182" s="5" t="s">
        <v>312</v>
      </c>
    </row>
    <row r="183" spans="1:223" x14ac:dyDescent="0.4">
      <c r="A183" s="5">
        <v>894</v>
      </c>
      <c r="B183" s="5">
        <v>1</v>
      </c>
      <c r="C183" s="5">
        <v>1</v>
      </c>
      <c r="D183" s="5" t="s">
        <v>6836</v>
      </c>
      <c r="E183" s="5" t="s">
        <v>1325</v>
      </c>
      <c r="F183" s="5" t="s">
        <v>254</v>
      </c>
      <c r="G183" s="5" t="s">
        <v>240</v>
      </c>
      <c r="H183" s="6" t="s">
        <v>7222</v>
      </c>
      <c r="I183" s="5" t="s">
        <v>6835</v>
      </c>
      <c r="J183" s="8">
        <f>2957</f>
        <v>2957</v>
      </c>
      <c r="K183" s="5" t="s">
        <v>308</v>
      </c>
      <c r="L183" s="7">
        <f>6549755</f>
        <v>6549755</v>
      </c>
      <c r="M183" s="7">
        <f>6549755</f>
        <v>6549755</v>
      </c>
      <c r="N183" s="5" t="s">
        <v>242</v>
      </c>
      <c r="O183" s="5">
        <v>1</v>
      </c>
      <c r="P183" s="5" t="s">
        <v>294</v>
      </c>
      <c r="Q183" s="5" t="s">
        <v>266</v>
      </c>
      <c r="R183" s="5" t="s">
        <v>240</v>
      </c>
      <c r="S183" s="5" t="s">
        <v>240</v>
      </c>
      <c r="T183" s="5" t="s">
        <v>296</v>
      </c>
      <c r="U183" s="5" t="s">
        <v>244</v>
      </c>
      <c r="V183" s="5" t="s">
        <v>240</v>
      </c>
      <c r="Y183" s="5" t="s">
        <v>240</v>
      </c>
      <c r="Z183" s="6" t="s">
        <v>298</v>
      </c>
      <c r="AB183" s="6" t="s">
        <v>240</v>
      </c>
      <c r="AE183" s="6" t="s">
        <v>299</v>
      </c>
      <c r="AF183" s="5" t="s">
        <v>248</v>
      </c>
      <c r="AG183" s="5" t="s">
        <v>249</v>
      </c>
      <c r="AW183" s="5" t="s">
        <v>251</v>
      </c>
      <c r="AX183" s="5" t="s">
        <v>240</v>
      </c>
      <c r="AY183" s="5" t="s">
        <v>253</v>
      </c>
      <c r="AZ183" s="5" t="s">
        <v>240</v>
      </c>
      <c r="BA183" s="5" t="s">
        <v>255</v>
      </c>
      <c r="BB183" s="5" t="s">
        <v>240</v>
      </c>
      <c r="BD183" s="5" t="s">
        <v>240</v>
      </c>
      <c r="BF183" s="5" t="s">
        <v>301</v>
      </c>
      <c r="BG183" s="6" t="s">
        <v>299</v>
      </c>
      <c r="BH183" s="5" t="s">
        <v>302</v>
      </c>
      <c r="BI183" s="5" t="s">
        <v>303</v>
      </c>
      <c r="BJ183" s="5" t="s">
        <v>240</v>
      </c>
      <c r="BK183" s="8">
        <f>0</f>
        <v>0</v>
      </c>
      <c r="BL183" s="7">
        <f>0</f>
        <v>0</v>
      </c>
      <c r="BM183" s="5" t="s">
        <v>258</v>
      </c>
      <c r="BN183" s="5" t="s">
        <v>259</v>
      </c>
      <c r="CB183" s="5" t="s">
        <v>240</v>
      </c>
      <c r="CC183" s="5" t="s">
        <v>240</v>
      </c>
      <c r="CG183" s="5" t="s">
        <v>304</v>
      </c>
      <c r="CH183" s="5" t="s">
        <v>305</v>
      </c>
      <c r="CI183" s="5" t="s">
        <v>240</v>
      </c>
      <c r="CL183" s="6" t="s">
        <v>261</v>
      </c>
      <c r="CM183" s="5" t="s">
        <v>240</v>
      </c>
      <c r="CN183" s="5" t="s">
        <v>263</v>
      </c>
      <c r="CO183" s="5" t="s">
        <v>240</v>
      </c>
      <c r="CP183" s="5" t="s">
        <v>240</v>
      </c>
      <c r="CQ183" s="5">
        <v>0</v>
      </c>
      <c r="CR183" s="5" t="s">
        <v>306</v>
      </c>
      <c r="CS183" s="5" t="s">
        <v>307</v>
      </c>
      <c r="CT183" s="5" t="s">
        <v>307</v>
      </c>
      <c r="CU183" s="5" t="s">
        <v>260</v>
      </c>
      <c r="CX183" s="7">
        <f>1</f>
        <v>1</v>
      </c>
      <c r="CY183" s="7">
        <f>0</f>
        <v>0</v>
      </c>
      <c r="DA183" s="7">
        <f>0</f>
        <v>0</v>
      </c>
      <c r="DC183" s="5" t="s">
        <v>309</v>
      </c>
      <c r="DD183" s="5" t="s">
        <v>240</v>
      </c>
      <c r="DF183" s="5" t="s">
        <v>309</v>
      </c>
      <c r="DG183" s="7">
        <f>1640</f>
        <v>1640</v>
      </c>
      <c r="DI183" s="5" t="s">
        <v>240</v>
      </c>
      <c r="DJ183" s="5" t="s">
        <v>240</v>
      </c>
      <c r="DK183" s="5" t="s">
        <v>240</v>
      </c>
      <c r="DL183" s="5" t="s">
        <v>240</v>
      </c>
      <c r="DP183" s="5" t="s">
        <v>240</v>
      </c>
      <c r="DQ183" s="5" t="s">
        <v>240</v>
      </c>
      <c r="DR183" s="5" t="s">
        <v>240</v>
      </c>
      <c r="DS183" s="5" t="s">
        <v>240</v>
      </c>
      <c r="DV183" s="5" t="s">
        <v>310</v>
      </c>
      <c r="DW183" s="5" t="s">
        <v>674</v>
      </c>
      <c r="HO183" s="5" t="s">
        <v>312</v>
      </c>
    </row>
    <row r="184" spans="1:223" x14ac:dyDescent="0.4">
      <c r="A184" s="5">
        <v>895</v>
      </c>
      <c r="B184" s="5">
        <v>1</v>
      </c>
      <c r="C184" s="5">
        <v>1</v>
      </c>
      <c r="D184" s="5" t="s">
        <v>6836</v>
      </c>
      <c r="E184" s="5" t="s">
        <v>1325</v>
      </c>
      <c r="F184" s="5" t="s">
        <v>254</v>
      </c>
      <c r="G184" s="5" t="s">
        <v>240</v>
      </c>
      <c r="H184" s="6" t="s">
        <v>7053</v>
      </c>
      <c r="I184" s="5" t="s">
        <v>6835</v>
      </c>
      <c r="J184" s="8">
        <f>43871</f>
        <v>43871</v>
      </c>
      <c r="K184" s="5" t="s">
        <v>308</v>
      </c>
      <c r="L184" s="7">
        <f>97174265</f>
        <v>97174265</v>
      </c>
      <c r="M184" s="7">
        <f>97174265</f>
        <v>97174265</v>
      </c>
      <c r="N184" s="5" t="s">
        <v>242</v>
      </c>
      <c r="O184" s="5">
        <v>1</v>
      </c>
      <c r="P184" s="5" t="s">
        <v>294</v>
      </c>
      <c r="Q184" s="5" t="s">
        <v>266</v>
      </c>
      <c r="R184" s="5" t="s">
        <v>240</v>
      </c>
      <c r="S184" s="5" t="s">
        <v>240</v>
      </c>
      <c r="T184" s="5" t="s">
        <v>296</v>
      </c>
      <c r="U184" s="5" t="s">
        <v>244</v>
      </c>
      <c r="V184" s="5" t="s">
        <v>240</v>
      </c>
      <c r="Y184" s="5" t="s">
        <v>240</v>
      </c>
      <c r="Z184" s="6" t="s">
        <v>298</v>
      </c>
      <c r="AB184" s="6" t="s">
        <v>240</v>
      </c>
      <c r="AE184" s="6" t="s">
        <v>299</v>
      </c>
      <c r="AF184" s="5" t="s">
        <v>248</v>
      </c>
      <c r="AG184" s="5" t="s">
        <v>249</v>
      </c>
      <c r="AW184" s="5" t="s">
        <v>251</v>
      </c>
      <c r="AX184" s="5" t="s">
        <v>240</v>
      </c>
      <c r="AY184" s="5" t="s">
        <v>253</v>
      </c>
      <c r="AZ184" s="5" t="s">
        <v>240</v>
      </c>
      <c r="BA184" s="5" t="s">
        <v>255</v>
      </c>
      <c r="BB184" s="5" t="s">
        <v>240</v>
      </c>
      <c r="BD184" s="5" t="s">
        <v>240</v>
      </c>
      <c r="BF184" s="5" t="s">
        <v>301</v>
      </c>
      <c r="BG184" s="6" t="s">
        <v>299</v>
      </c>
      <c r="BH184" s="5" t="s">
        <v>302</v>
      </c>
      <c r="BI184" s="5" t="s">
        <v>303</v>
      </c>
      <c r="BJ184" s="5" t="s">
        <v>240</v>
      </c>
      <c r="BK184" s="8">
        <f>0</f>
        <v>0</v>
      </c>
      <c r="BL184" s="7">
        <f>0</f>
        <v>0</v>
      </c>
      <c r="BM184" s="5" t="s">
        <v>258</v>
      </c>
      <c r="BN184" s="5" t="s">
        <v>259</v>
      </c>
      <c r="CB184" s="5" t="s">
        <v>240</v>
      </c>
      <c r="CC184" s="5" t="s">
        <v>240</v>
      </c>
      <c r="CG184" s="5" t="s">
        <v>304</v>
      </c>
      <c r="CH184" s="5" t="s">
        <v>305</v>
      </c>
      <c r="CI184" s="5" t="s">
        <v>240</v>
      </c>
      <c r="CL184" s="6" t="s">
        <v>261</v>
      </c>
      <c r="CM184" s="5" t="s">
        <v>240</v>
      </c>
      <c r="CN184" s="5" t="s">
        <v>263</v>
      </c>
      <c r="CO184" s="5" t="s">
        <v>240</v>
      </c>
      <c r="CP184" s="5" t="s">
        <v>240</v>
      </c>
      <c r="CQ184" s="5">
        <v>0</v>
      </c>
      <c r="CR184" s="5" t="s">
        <v>306</v>
      </c>
      <c r="CS184" s="5" t="s">
        <v>307</v>
      </c>
      <c r="CT184" s="5" t="s">
        <v>307</v>
      </c>
      <c r="CU184" s="5" t="s">
        <v>260</v>
      </c>
      <c r="CX184" s="7">
        <f>1</f>
        <v>1</v>
      </c>
      <c r="CY184" s="7">
        <f>0</f>
        <v>0</v>
      </c>
      <c r="DA184" s="7">
        <f>0</f>
        <v>0</v>
      </c>
      <c r="DC184" s="5" t="s">
        <v>309</v>
      </c>
      <c r="DD184" s="5" t="s">
        <v>240</v>
      </c>
      <c r="DF184" s="5" t="s">
        <v>309</v>
      </c>
      <c r="DG184" s="7">
        <f>3272</f>
        <v>3272</v>
      </c>
      <c r="DI184" s="5" t="s">
        <v>240</v>
      </c>
      <c r="DJ184" s="5" t="s">
        <v>240</v>
      </c>
      <c r="DK184" s="5" t="s">
        <v>240</v>
      </c>
      <c r="DL184" s="5" t="s">
        <v>240</v>
      </c>
      <c r="DP184" s="5" t="s">
        <v>240</v>
      </c>
      <c r="DQ184" s="5" t="s">
        <v>240</v>
      </c>
      <c r="DR184" s="5" t="s">
        <v>240</v>
      </c>
      <c r="DS184" s="5" t="s">
        <v>240</v>
      </c>
      <c r="DV184" s="5" t="s">
        <v>310</v>
      </c>
      <c r="DW184" s="5" t="s">
        <v>676</v>
      </c>
      <c r="HO184" s="5" t="s">
        <v>312</v>
      </c>
    </row>
    <row r="185" spans="1:223" x14ac:dyDescent="0.4">
      <c r="A185" s="5">
        <v>896</v>
      </c>
      <c r="B185" s="5">
        <v>1</v>
      </c>
      <c r="C185" s="5">
        <v>2</v>
      </c>
      <c r="D185" s="5" t="s">
        <v>6836</v>
      </c>
      <c r="E185" s="5" t="s">
        <v>1325</v>
      </c>
      <c r="F185" s="5" t="s">
        <v>254</v>
      </c>
      <c r="G185" s="5" t="s">
        <v>726</v>
      </c>
      <c r="H185" s="6" t="s">
        <v>6972</v>
      </c>
      <c r="I185" s="5" t="s">
        <v>6835</v>
      </c>
      <c r="J185" s="8">
        <f>513.19</f>
        <v>513.19000000000005</v>
      </c>
      <c r="K185" s="5" t="s">
        <v>308</v>
      </c>
      <c r="L185" s="7">
        <f>1898803</f>
        <v>1898803</v>
      </c>
      <c r="M185" s="7">
        <f>1898803</f>
        <v>1898803</v>
      </c>
      <c r="N185" s="5" t="s">
        <v>242</v>
      </c>
      <c r="O185" s="5">
        <v>1</v>
      </c>
      <c r="P185" s="5" t="s">
        <v>294</v>
      </c>
      <c r="Q185" s="5" t="s">
        <v>266</v>
      </c>
      <c r="R185" s="5" t="s">
        <v>240</v>
      </c>
      <c r="S185" s="5" t="s">
        <v>240</v>
      </c>
      <c r="T185" s="5" t="s">
        <v>296</v>
      </c>
      <c r="U185" s="5" t="s">
        <v>244</v>
      </c>
      <c r="V185" s="5" t="s">
        <v>240</v>
      </c>
      <c r="Y185" s="5" t="s">
        <v>240</v>
      </c>
      <c r="Z185" s="6" t="s">
        <v>298</v>
      </c>
      <c r="AB185" s="6" t="s">
        <v>240</v>
      </c>
      <c r="AE185" s="6" t="s">
        <v>299</v>
      </c>
      <c r="AF185" s="5" t="s">
        <v>248</v>
      </c>
      <c r="AG185" s="5" t="s">
        <v>249</v>
      </c>
      <c r="AW185" s="5" t="s">
        <v>251</v>
      </c>
      <c r="AX185" s="5" t="s">
        <v>240</v>
      </c>
      <c r="AY185" s="5" t="s">
        <v>253</v>
      </c>
      <c r="AZ185" s="5" t="s">
        <v>240</v>
      </c>
      <c r="BA185" s="5" t="s">
        <v>255</v>
      </c>
      <c r="BB185" s="5" t="s">
        <v>240</v>
      </c>
      <c r="BD185" s="5" t="s">
        <v>240</v>
      </c>
      <c r="BF185" s="5" t="s">
        <v>301</v>
      </c>
      <c r="BG185" s="6" t="s">
        <v>299</v>
      </c>
      <c r="BH185" s="5" t="s">
        <v>302</v>
      </c>
      <c r="BI185" s="5" t="s">
        <v>303</v>
      </c>
      <c r="BJ185" s="5" t="s">
        <v>240</v>
      </c>
      <c r="BK185" s="8">
        <f>0</f>
        <v>0</v>
      </c>
      <c r="BL185" s="7">
        <f>0</f>
        <v>0</v>
      </c>
      <c r="BM185" s="5" t="s">
        <v>258</v>
      </c>
      <c r="BN185" s="5" t="s">
        <v>259</v>
      </c>
      <c r="CB185" s="5" t="s">
        <v>240</v>
      </c>
      <c r="CC185" s="5" t="s">
        <v>240</v>
      </c>
      <c r="CG185" s="5" t="s">
        <v>304</v>
      </c>
      <c r="CH185" s="5" t="s">
        <v>305</v>
      </c>
      <c r="CI185" s="5" t="s">
        <v>240</v>
      </c>
      <c r="CL185" s="6" t="s">
        <v>261</v>
      </c>
      <c r="CM185" s="5" t="s">
        <v>240</v>
      </c>
      <c r="CN185" s="5" t="s">
        <v>263</v>
      </c>
      <c r="CO185" s="5" t="s">
        <v>240</v>
      </c>
      <c r="CP185" s="5" t="s">
        <v>240</v>
      </c>
      <c r="CQ185" s="5">
        <v>0</v>
      </c>
      <c r="CR185" s="5" t="s">
        <v>306</v>
      </c>
      <c r="CS185" s="5" t="s">
        <v>307</v>
      </c>
      <c r="CT185" s="5" t="s">
        <v>307</v>
      </c>
      <c r="CU185" s="5" t="s">
        <v>260</v>
      </c>
      <c r="CX185" s="7">
        <f>1</f>
        <v>1</v>
      </c>
      <c r="CY185" s="7">
        <f>0</f>
        <v>0</v>
      </c>
      <c r="DA185" s="7">
        <f>0</f>
        <v>0</v>
      </c>
      <c r="DC185" s="5" t="s">
        <v>309</v>
      </c>
      <c r="DD185" s="5" t="s">
        <v>240</v>
      </c>
      <c r="DF185" s="5" t="s">
        <v>309</v>
      </c>
      <c r="DG185" s="7">
        <f>135</f>
        <v>135</v>
      </c>
      <c r="DI185" s="5" t="s">
        <v>240</v>
      </c>
      <c r="DJ185" s="5" t="s">
        <v>240</v>
      </c>
      <c r="DK185" s="5" t="s">
        <v>240</v>
      </c>
      <c r="DL185" s="5" t="s">
        <v>240</v>
      </c>
      <c r="DP185" s="5" t="s">
        <v>240</v>
      </c>
      <c r="DQ185" s="5" t="s">
        <v>240</v>
      </c>
      <c r="DR185" s="5" t="s">
        <v>240</v>
      </c>
      <c r="DS185" s="5" t="s">
        <v>240</v>
      </c>
      <c r="DV185" s="5" t="s">
        <v>310</v>
      </c>
      <c r="DW185" s="5" t="s">
        <v>678</v>
      </c>
      <c r="HO185" s="5" t="s">
        <v>312</v>
      </c>
    </row>
    <row r="186" spans="1:223" x14ac:dyDescent="0.4">
      <c r="A186" s="5">
        <v>897</v>
      </c>
      <c r="B186" s="5">
        <v>1</v>
      </c>
      <c r="C186" s="5">
        <v>1</v>
      </c>
      <c r="D186" s="5" t="s">
        <v>6836</v>
      </c>
      <c r="E186" s="5" t="s">
        <v>1325</v>
      </c>
      <c r="F186" s="5" t="s">
        <v>254</v>
      </c>
      <c r="G186" s="5" t="s">
        <v>240</v>
      </c>
      <c r="H186" s="6" t="s">
        <v>6860</v>
      </c>
      <c r="I186" s="5" t="s">
        <v>6835</v>
      </c>
      <c r="J186" s="8">
        <f>490.16</f>
        <v>490.16</v>
      </c>
      <c r="K186" s="5" t="s">
        <v>308</v>
      </c>
      <c r="L186" s="7">
        <f>1813592</f>
        <v>1813592</v>
      </c>
      <c r="M186" s="7">
        <f>1813592</f>
        <v>1813592</v>
      </c>
      <c r="N186" s="5" t="s">
        <v>242</v>
      </c>
      <c r="O186" s="5">
        <v>1</v>
      </c>
      <c r="P186" s="5" t="s">
        <v>294</v>
      </c>
      <c r="Q186" s="5" t="s">
        <v>266</v>
      </c>
      <c r="R186" s="5" t="s">
        <v>240</v>
      </c>
      <c r="S186" s="5" t="s">
        <v>240</v>
      </c>
      <c r="T186" s="5" t="s">
        <v>296</v>
      </c>
      <c r="U186" s="5" t="s">
        <v>244</v>
      </c>
      <c r="V186" s="5" t="s">
        <v>240</v>
      </c>
      <c r="Y186" s="5" t="s">
        <v>240</v>
      </c>
      <c r="Z186" s="6" t="s">
        <v>298</v>
      </c>
      <c r="AB186" s="6" t="s">
        <v>240</v>
      </c>
      <c r="AE186" s="6" t="s">
        <v>299</v>
      </c>
      <c r="AF186" s="5" t="s">
        <v>248</v>
      </c>
      <c r="AG186" s="5" t="s">
        <v>249</v>
      </c>
      <c r="AW186" s="5" t="s">
        <v>251</v>
      </c>
      <c r="AX186" s="5" t="s">
        <v>240</v>
      </c>
      <c r="AY186" s="5" t="s">
        <v>253</v>
      </c>
      <c r="AZ186" s="5" t="s">
        <v>240</v>
      </c>
      <c r="BA186" s="5" t="s">
        <v>255</v>
      </c>
      <c r="BB186" s="5" t="s">
        <v>240</v>
      </c>
      <c r="BD186" s="5" t="s">
        <v>240</v>
      </c>
      <c r="BF186" s="5" t="s">
        <v>301</v>
      </c>
      <c r="BG186" s="6" t="s">
        <v>299</v>
      </c>
      <c r="BH186" s="5" t="s">
        <v>302</v>
      </c>
      <c r="BI186" s="5" t="s">
        <v>303</v>
      </c>
      <c r="BJ186" s="5" t="s">
        <v>240</v>
      </c>
      <c r="BK186" s="8">
        <f>0</f>
        <v>0</v>
      </c>
      <c r="BL186" s="7">
        <f>0</f>
        <v>0</v>
      </c>
      <c r="BM186" s="5" t="s">
        <v>258</v>
      </c>
      <c r="BN186" s="5" t="s">
        <v>259</v>
      </c>
      <c r="CB186" s="5" t="s">
        <v>240</v>
      </c>
      <c r="CC186" s="5" t="s">
        <v>240</v>
      </c>
      <c r="CG186" s="5" t="s">
        <v>304</v>
      </c>
      <c r="CH186" s="5" t="s">
        <v>305</v>
      </c>
      <c r="CI186" s="5" t="s">
        <v>240</v>
      </c>
      <c r="CL186" s="6" t="s">
        <v>261</v>
      </c>
      <c r="CM186" s="5" t="s">
        <v>240</v>
      </c>
      <c r="CN186" s="5" t="s">
        <v>263</v>
      </c>
      <c r="CO186" s="5" t="s">
        <v>240</v>
      </c>
      <c r="CP186" s="5" t="s">
        <v>240</v>
      </c>
      <c r="CQ186" s="5">
        <v>0</v>
      </c>
      <c r="CR186" s="5" t="s">
        <v>306</v>
      </c>
      <c r="CS186" s="5" t="s">
        <v>307</v>
      </c>
      <c r="CT186" s="5" t="s">
        <v>307</v>
      </c>
      <c r="CU186" s="5" t="s">
        <v>260</v>
      </c>
      <c r="CX186" s="7">
        <f>1</f>
        <v>1</v>
      </c>
      <c r="CY186" s="7">
        <f>0</f>
        <v>0</v>
      </c>
      <c r="DA186" s="7">
        <f>0</f>
        <v>0</v>
      </c>
      <c r="DC186" s="5" t="s">
        <v>309</v>
      </c>
      <c r="DD186" s="5" t="s">
        <v>240</v>
      </c>
      <c r="DF186" s="5" t="s">
        <v>309</v>
      </c>
      <c r="DG186" s="7">
        <f>1242</f>
        <v>1242</v>
      </c>
      <c r="DI186" s="5" t="s">
        <v>240</v>
      </c>
      <c r="DJ186" s="5" t="s">
        <v>240</v>
      </c>
      <c r="DK186" s="5" t="s">
        <v>240</v>
      </c>
      <c r="DL186" s="5" t="s">
        <v>240</v>
      </c>
      <c r="DP186" s="5" t="s">
        <v>240</v>
      </c>
      <c r="DQ186" s="5" t="s">
        <v>240</v>
      </c>
      <c r="DR186" s="5" t="s">
        <v>240</v>
      </c>
      <c r="DS186" s="5" t="s">
        <v>240</v>
      </c>
      <c r="DV186" s="5" t="s">
        <v>310</v>
      </c>
      <c r="DW186" s="5" t="s">
        <v>680</v>
      </c>
      <c r="HO186" s="5" t="s">
        <v>312</v>
      </c>
    </row>
    <row r="187" spans="1:223" x14ac:dyDescent="0.4">
      <c r="A187" s="5">
        <v>898</v>
      </c>
      <c r="B187" s="5">
        <v>1</v>
      </c>
      <c r="C187" s="5">
        <v>1</v>
      </c>
      <c r="D187" s="5" t="s">
        <v>6836</v>
      </c>
      <c r="E187" s="5" t="s">
        <v>1325</v>
      </c>
      <c r="F187" s="5" t="s">
        <v>254</v>
      </c>
      <c r="G187" s="5" t="s">
        <v>240</v>
      </c>
      <c r="H187" s="6" t="s">
        <v>6859</v>
      </c>
      <c r="I187" s="5" t="s">
        <v>6835</v>
      </c>
      <c r="J187" s="8">
        <f>419</f>
        <v>419</v>
      </c>
      <c r="K187" s="5" t="s">
        <v>308</v>
      </c>
      <c r="L187" s="7">
        <f>928085</f>
        <v>928085</v>
      </c>
      <c r="M187" s="7">
        <f>928085</f>
        <v>928085</v>
      </c>
      <c r="N187" s="5" t="s">
        <v>242</v>
      </c>
      <c r="O187" s="5">
        <v>1</v>
      </c>
      <c r="P187" s="5" t="s">
        <v>294</v>
      </c>
      <c r="Q187" s="5" t="s">
        <v>266</v>
      </c>
      <c r="R187" s="5" t="s">
        <v>240</v>
      </c>
      <c r="S187" s="5" t="s">
        <v>240</v>
      </c>
      <c r="T187" s="5" t="s">
        <v>296</v>
      </c>
      <c r="U187" s="5" t="s">
        <v>244</v>
      </c>
      <c r="V187" s="5" t="s">
        <v>240</v>
      </c>
      <c r="Y187" s="5" t="s">
        <v>240</v>
      </c>
      <c r="Z187" s="6" t="s">
        <v>298</v>
      </c>
      <c r="AB187" s="6" t="s">
        <v>240</v>
      </c>
      <c r="AE187" s="6" t="s">
        <v>299</v>
      </c>
      <c r="AF187" s="5" t="s">
        <v>248</v>
      </c>
      <c r="AG187" s="5" t="s">
        <v>249</v>
      </c>
      <c r="AW187" s="5" t="s">
        <v>251</v>
      </c>
      <c r="AX187" s="5" t="s">
        <v>240</v>
      </c>
      <c r="AY187" s="5" t="s">
        <v>253</v>
      </c>
      <c r="AZ187" s="5" t="s">
        <v>240</v>
      </c>
      <c r="BA187" s="5" t="s">
        <v>255</v>
      </c>
      <c r="BB187" s="5" t="s">
        <v>240</v>
      </c>
      <c r="BD187" s="5" t="s">
        <v>240</v>
      </c>
      <c r="BF187" s="5" t="s">
        <v>301</v>
      </c>
      <c r="BG187" s="6" t="s">
        <v>299</v>
      </c>
      <c r="BH187" s="5" t="s">
        <v>302</v>
      </c>
      <c r="BI187" s="5" t="s">
        <v>303</v>
      </c>
      <c r="BJ187" s="5" t="s">
        <v>240</v>
      </c>
      <c r="BK187" s="8">
        <f>0</f>
        <v>0</v>
      </c>
      <c r="BL187" s="7">
        <f>0</f>
        <v>0</v>
      </c>
      <c r="BM187" s="5" t="s">
        <v>258</v>
      </c>
      <c r="BN187" s="5" t="s">
        <v>259</v>
      </c>
      <c r="CB187" s="5" t="s">
        <v>240</v>
      </c>
      <c r="CC187" s="5" t="s">
        <v>240</v>
      </c>
      <c r="CG187" s="5" t="s">
        <v>304</v>
      </c>
      <c r="CH187" s="5" t="s">
        <v>305</v>
      </c>
      <c r="CI187" s="5" t="s">
        <v>240</v>
      </c>
      <c r="CL187" s="6" t="s">
        <v>261</v>
      </c>
      <c r="CM187" s="5" t="s">
        <v>240</v>
      </c>
      <c r="CN187" s="5" t="s">
        <v>263</v>
      </c>
      <c r="CO187" s="5" t="s">
        <v>240</v>
      </c>
      <c r="CP187" s="5" t="s">
        <v>240</v>
      </c>
      <c r="CQ187" s="5">
        <v>0</v>
      </c>
      <c r="CR187" s="5" t="s">
        <v>306</v>
      </c>
      <c r="CS187" s="5" t="s">
        <v>307</v>
      </c>
      <c r="CT187" s="5" t="s">
        <v>307</v>
      </c>
      <c r="CU187" s="5" t="s">
        <v>260</v>
      </c>
      <c r="CX187" s="7">
        <f>1</f>
        <v>1</v>
      </c>
      <c r="CY187" s="7">
        <f>0</f>
        <v>0</v>
      </c>
      <c r="DA187" s="7">
        <f>0</f>
        <v>0</v>
      </c>
      <c r="DC187" s="5" t="s">
        <v>309</v>
      </c>
      <c r="DD187" s="5" t="s">
        <v>240</v>
      </c>
      <c r="DF187" s="5" t="s">
        <v>309</v>
      </c>
      <c r="DG187" s="7">
        <f>412</f>
        <v>412</v>
      </c>
      <c r="DI187" s="5" t="s">
        <v>240</v>
      </c>
      <c r="DJ187" s="5" t="s">
        <v>240</v>
      </c>
      <c r="DK187" s="5" t="s">
        <v>240</v>
      </c>
      <c r="DL187" s="5" t="s">
        <v>240</v>
      </c>
      <c r="DP187" s="5" t="s">
        <v>240</v>
      </c>
      <c r="DQ187" s="5" t="s">
        <v>240</v>
      </c>
      <c r="DR187" s="5" t="s">
        <v>240</v>
      </c>
      <c r="DS187" s="5" t="s">
        <v>240</v>
      </c>
      <c r="DV187" s="5" t="s">
        <v>310</v>
      </c>
      <c r="DW187" s="5" t="s">
        <v>682</v>
      </c>
      <c r="HO187" s="5" t="s">
        <v>312</v>
      </c>
    </row>
    <row r="188" spans="1:223" x14ac:dyDescent="0.4">
      <c r="A188" s="5">
        <v>899</v>
      </c>
      <c r="B188" s="5">
        <v>1</v>
      </c>
      <c r="C188" s="5">
        <v>1</v>
      </c>
      <c r="D188" s="5" t="s">
        <v>6836</v>
      </c>
      <c r="E188" s="5" t="s">
        <v>1325</v>
      </c>
      <c r="F188" s="5" t="s">
        <v>254</v>
      </c>
      <c r="G188" s="5" t="s">
        <v>240</v>
      </c>
      <c r="H188" s="6" t="s">
        <v>6955</v>
      </c>
      <c r="I188" s="5" t="s">
        <v>6835</v>
      </c>
      <c r="J188" s="8">
        <f>140</f>
        <v>140</v>
      </c>
      <c r="K188" s="5" t="s">
        <v>308</v>
      </c>
      <c r="L188" s="7">
        <f>310100</f>
        <v>310100</v>
      </c>
      <c r="M188" s="7">
        <f>310100</f>
        <v>310100</v>
      </c>
      <c r="N188" s="5" t="s">
        <v>242</v>
      </c>
      <c r="O188" s="5">
        <v>1</v>
      </c>
      <c r="P188" s="5" t="s">
        <v>294</v>
      </c>
      <c r="Q188" s="5" t="s">
        <v>613</v>
      </c>
      <c r="R188" s="5" t="s">
        <v>240</v>
      </c>
      <c r="S188" s="5" t="s">
        <v>240</v>
      </c>
      <c r="T188" s="5" t="s">
        <v>243</v>
      </c>
      <c r="U188" s="5" t="s">
        <v>244</v>
      </c>
      <c r="V188" s="5" t="s">
        <v>240</v>
      </c>
      <c r="Y188" s="5" t="s">
        <v>240</v>
      </c>
      <c r="Z188" s="6" t="s">
        <v>298</v>
      </c>
      <c r="AB188" s="6" t="s">
        <v>240</v>
      </c>
      <c r="AE188" s="6" t="s">
        <v>299</v>
      </c>
      <c r="AF188" s="5" t="s">
        <v>248</v>
      </c>
      <c r="AG188" s="5" t="s">
        <v>249</v>
      </c>
      <c r="AW188" s="5" t="s">
        <v>251</v>
      </c>
      <c r="AX188" s="5" t="s">
        <v>240</v>
      </c>
      <c r="AY188" s="5" t="s">
        <v>253</v>
      </c>
      <c r="AZ188" s="5" t="s">
        <v>240</v>
      </c>
      <c r="BA188" s="5" t="s">
        <v>255</v>
      </c>
      <c r="BB188" s="5" t="s">
        <v>240</v>
      </c>
      <c r="BD188" s="5" t="s">
        <v>686</v>
      </c>
      <c r="BF188" s="5" t="s">
        <v>687</v>
      </c>
      <c r="BG188" s="6" t="s">
        <v>688</v>
      </c>
      <c r="BH188" s="5" t="s">
        <v>302</v>
      </c>
      <c r="BI188" s="5" t="s">
        <v>302</v>
      </c>
      <c r="BJ188" s="5" t="s">
        <v>240</v>
      </c>
      <c r="BK188" s="8">
        <f>0</f>
        <v>0</v>
      </c>
      <c r="BL188" s="7">
        <f>0</f>
        <v>0</v>
      </c>
      <c r="BM188" s="5" t="s">
        <v>258</v>
      </c>
      <c r="BN188" s="5" t="s">
        <v>259</v>
      </c>
      <c r="CB188" s="5" t="s">
        <v>240</v>
      </c>
      <c r="CC188" s="5" t="s">
        <v>240</v>
      </c>
      <c r="CG188" s="5" t="s">
        <v>617</v>
      </c>
      <c r="CH188" s="5" t="s">
        <v>305</v>
      </c>
      <c r="CI188" s="5" t="s">
        <v>240</v>
      </c>
      <c r="CL188" s="6" t="s">
        <v>261</v>
      </c>
      <c r="CM188" s="5" t="s">
        <v>240</v>
      </c>
      <c r="CN188" s="5" t="s">
        <v>263</v>
      </c>
      <c r="CO188" s="5" t="s">
        <v>240</v>
      </c>
      <c r="CP188" s="5" t="s">
        <v>240</v>
      </c>
      <c r="CQ188" s="5">
        <v>0</v>
      </c>
      <c r="CR188" s="5" t="s">
        <v>306</v>
      </c>
      <c r="CS188" s="5" t="s">
        <v>307</v>
      </c>
      <c r="CT188" s="5" t="s">
        <v>307</v>
      </c>
      <c r="CU188" s="5" t="s">
        <v>260</v>
      </c>
      <c r="CX188" s="7">
        <f>3944915</f>
        <v>3944915</v>
      </c>
      <c r="CY188" s="7">
        <f>0</f>
        <v>0</v>
      </c>
      <c r="DA188" s="7">
        <f>0</f>
        <v>0</v>
      </c>
      <c r="DC188" s="5" t="s">
        <v>689</v>
      </c>
      <c r="DD188" s="5" t="s">
        <v>240</v>
      </c>
      <c r="DF188" s="5" t="s">
        <v>450</v>
      </c>
      <c r="DG188" s="7">
        <f>0</f>
        <v>0</v>
      </c>
      <c r="DI188" s="5" t="s">
        <v>618</v>
      </c>
      <c r="DJ188" s="5" t="s">
        <v>240</v>
      </c>
      <c r="DK188" s="5" t="s">
        <v>240</v>
      </c>
      <c r="DL188" s="5" t="s">
        <v>240</v>
      </c>
      <c r="DP188" s="5" t="s">
        <v>240</v>
      </c>
      <c r="DQ188" s="5" t="s">
        <v>240</v>
      </c>
      <c r="DR188" s="5" t="s">
        <v>240</v>
      </c>
      <c r="DS188" s="5" t="s">
        <v>240</v>
      </c>
      <c r="DV188" s="5" t="s">
        <v>690</v>
      </c>
      <c r="DW188" s="5" t="s">
        <v>312</v>
      </c>
      <c r="HO188" s="5" t="s">
        <v>691</v>
      </c>
    </row>
    <row r="189" spans="1:223" x14ac:dyDescent="0.4">
      <c r="A189" s="5">
        <v>900</v>
      </c>
      <c r="B189" s="5">
        <v>1</v>
      </c>
      <c r="C189" s="5">
        <v>1</v>
      </c>
      <c r="D189" s="5" t="s">
        <v>6836</v>
      </c>
      <c r="E189" s="5" t="s">
        <v>1325</v>
      </c>
      <c r="F189" s="5" t="s">
        <v>254</v>
      </c>
      <c r="G189" s="5" t="s">
        <v>240</v>
      </c>
      <c r="H189" s="6" t="s">
        <v>7021</v>
      </c>
      <c r="I189" s="5" t="s">
        <v>6835</v>
      </c>
      <c r="J189" s="8">
        <f>610</f>
        <v>610</v>
      </c>
      <c r="K189" s="5" t="s">
        <v>308</v>
      </c>
      <c r="L189" s="7">
        <f>1351150</f>
        <v>1351150</v>
      </c>
      <c r="M189" s="7">
        <f>1351150</f>
        <v>1351150</v>
      </c>
      <c r="N189" s="5" t="s">
        <v>242</v>
      </c>
      <c r="O189" s="5">
        <v>1</v>
      </c>
      <c r="P189" s="5" t="s">
        <v>294</v>
      </c>
      <c r="Q189" s="5" t="s">
        <v>266</v>
      </c>
      <c r="R189" s="5" t="s">
        <v>240</v>
      </c>
      <c r="S189" s="5" t="s">
        <v>240</v>
      </c>
      <c r="T189" s="5" t="s">
        <v>296</v>
      </c>
      <c r="U189" s="5" t="s">
        <v>244</v>
      </c>
      <c r="V189" s="5" t="s">
        <v>240</v>
      </c>
      <c r="Y189" s="5" t="s">
        <v>240</v>
      </c>
      <c r="Z189" s="6" t="s">
        <v>298</v>
      </c>
      <c r="AB189" s="6" t="s">
        <v>240</v>
      </c>
      <c r="AE189" s="6" t="s">
        <v>299</v>
      </c>
      <c r="AF189" s="5" t="s">
        <v>248</v>
      </c>
      <c r="AG189" s="5" t="s">
        <v>249</v>
      </c>
      <c r="AW189" s="5" t="s">
        <v>251</v>
      </c>
      <c r="AX189" s="5" t="s">
        <v>240</v>
      </c>
      <c r="AY189" s="5" t="s">
        <v>253</v>
      </c>
      <c r="AZ189" s="5" t="s">
        <v>240</v>
      </c>
      <c r="BA189" s="5" t="s">
        <v>255</v>
      </c>
      <c r="BB189" s="5" t="s">
        <v>240</v>
      </c>
      <c r="BD189" s="5" t="s">
        <v>240</v>
      </c>
      <c r="BF189" s="5" t="s">
        <v>301</v>
      </c>
      <c r="BG189" s="6" t="s">
        <v>299</v>
      </c>
      <c r="BH189" s="5" t="s">
        <v>302</v>
      </c>
      <c r="BI189" s="5" t="s">
        <v>303</v>
      </c>
      <c r="BJ189" s="5" t="s">
        <v>240</v>
      </c>
      <c r="BK189" s="8">
        <f>0</f>
        <v>0</v>
      </c>
      <c r="BL189" s="7">
        <f>0</f>
        <v>0</v>
      </c>
      <c r="BM189" s="5" t="s">
        <v>258</v>
      </c>
      <c r="BN189" s="5" t="s">
        <v>259</v>
      </c>
      <c r="CB189" s="5" t="s">
        <v>240</v>
      </c>
      <c r="CC189" s="5" t="s">
        <v>240</v>
      </c>
      <c r="CG189" s="5" t="s">
        <v>304</v>
      </c>
      <c r="CH189" s="5" t="s">
        <v>305</v>
      </c>
      <c r="CI189" s="5" t="s">
        <v>240</v>
      </c>
      <c r="CL189" s="6" t="s">
        <v>261</v>
      </c>
      <c r="CM189" s="5" t="s">
        <v>240</v>
      </c>
      <c r="CN189" s="5" t="s">
        <v>263</v>
      </c>
      <c r="CO189" s="5" t="s">
        <v>240</v>
      </c>
      <c r="CP189" s="5" t="s">
        <v>240</v>
      </c>
      <c r="CQ189" s="5">
        <v>0</v>
      </c>
      <c r="CR189" s="5" t="s">
        <v>306</v>
      </c>
      <c r="CS189" s="5" t="s">
        <v>307</v>
      </c>
      <c r="CT189" s="5" t="s">
        <v>307</v>
      </c>
      <c r="CU189" s="5" t="s">
        <v>260</v>
      </c>
      <c r="CX189" s="7">
        <f>1</f>
        <v>1</v>
      </c>
      <c r="CY189" s="7">
        <f>0</f>
        <v>0</v>
      </c>
      <c r="DA189" s="7">
        <f>0</f>
        <v>0</v>
      </c>
      <c r="DC189" s="5" t="s">
        <v>309</v>
      </c>
      <c r="DD189" s="5" t="s">
        <v>240</v>
      </c>
      <c r="DF189" s="5" t="s">
        <v>309</v>
      </c>
      <c r="DG189" s="7">
        <f>2497</f>
        <v>2497</v>
      </c>
      <c r="DI189" s="5" t="s">
        <v>240</v>
      </c>
      <c r="DJ189" s="5" t="s">
        <v>240</v>
      </c>
      <c r="DK189" s="5" t="s">
        <v>240</v>
      </c>
      <c r="DL189" s="5" t="s">
        <v>240</v>
      </c>
      <c r="DP189" s="5" t="s">
        <v>240</v>
      </c>
      <c r="DQ189" s="5" t="s">
        <v>240</v>
      </c>
      <c r="DR189" s="5" t="s">
        <v>240</v>
      </c>
      <c r="DS189" s="5" t="s">
        <v>240</v>
      </c>
      <c r="DV189" s="5" t="s">
        <v>310</v>
      </c>
      <c r="DW189" s="5" t="s">
        <v>693</v>
      </c>
      <c r="HO189" s="5" t="s">
        <v>312</v>
      </c>
    </row>
    <row r="190" spans="1:223" x14ac:dyDescent="0.4">
      <c r="A190" s="5">
        <v>901</v>
      </c>
      <c r="B190" s="5">
        <v>1</v>
      </c>
      <c r="C190" s="5">
        <v>1</v>
      </c>
      <c r="D190" s="5" t="s">
        <v>6836</v>
      </c>
      <c r="E190" s="5" t="s">
        <v>1325</v>
      </c>
      <c r="F190" s="5" t="s">
        <v>254</v>
      </c>
      <c r="G190" s="5" t="s">
        <v>240</v>
      </c>
      <c r="H190" s="6" t="s">
        <v>7147</v>
      </c>
      <c r="I190" s="5" t="s">
        <v>6835</v>
      </c>
      <c r="J190" s="8">
        <f>15018</f>
        <v>15018</v>
      </c>
      <c r="K190" s="5" t="s">
        <v>308</v>
      </c>
      <c r="L190" s="7">
        <f>33264870</f>
        <v>33264870</v>
      </c>
      <c r="M190" s="7">
        <f>33264870</f>
        <v>33264870</v>
      </c>
      <c r="N190" s="5" t="s">
        <v>242</v>
      </c>
      <c r="O190" s="5">
        <v>1</v>
      </c>
      <c r="P190" s="5" t="s">
        <v>294</v>
      </c>
      <c r="Q190" s="5" t="s">
        <v>266</v>
      </c>
      <c r="R190" s="5" t="s">
        <v>240</v>
      </c>
      <c r="S190" s="5" t="s">
        <v>240</v>
      </c>
      <c r="T190" s="5" t="s">
        <v>296</v>
      </c>
      <c r="U190" s="5" t="s">
        <v>244</v>
      </c>
      <c r="V190" s="5" t="s">
        <v>240</v>
      </c>
      <c r="Y190" s="5" t="s">
        <v>240</v>
      </c>
      <c r="Z190" s="6" t="s">
        <v>298</v>
      </c>
      <c r="AB190" s="6" t="s">
        <v>240</v>
      </c>
      <c r="AE190" s="6" t="s">
        <v>299</v>
      </c>
      <c r="AF190" s="5" t="s">
        <v>248</v>
      </c>
      <c r="AG190" s="5" t="s">
        <v>249</v>
      </c>
      <c r="AW190" s="5" t="s">
        <v>251</v>
      </c>
      <c r="AX190" s="5" t="s">
        <v>240</v>
      </c>
      <c r="AY190" s="5" t="s">
        <v>253</v>
      </c>
      <c r="AZ190" s="5" t="s">
        <v>240</v>
      </c>
      <c r="BA190" s="5" t="s">
        <v>255</v>
      </c>
      <c r="BB190" s="5" t="s">
        <v>240</v>
      </c>
      <c r="BD190" s="5" t="s">
        <v>240</v>
      </c>
      <c r="BF190" s="5" t="s">
        <v>301</v>
      </c>
      <c r="BG190" s="6" t="s">
        <v>299</v>
      </c>
      <c r="BH190" s="5" t="s">
        <v>302</v>
      </c>
      <c r="BI190" s="5" t="s">
        <v>303</v>
      </c>
      <c r="BJ190" s="5" t="s">
        <v>240</v>
      </c>
      <c r="BK190" s="8">
        <f>0</f>
        <v>0</v>
      </c>
      <c r="BL190" s="7">
        <f>0</f>
        <v>0</v>
      </c>
      <c r="BM190" s="5" t="s">
        <v>258</v>
      </c>
      <c r="BN190" s="5" t="s">
        <v>259</v>
      </c>
      <c r="CB190" s="5" t="s">
        <v>240</v>
      </c>
      <c r="CC190" s="5" t="s">
        <v>240</v>
      </c>
      <c r="CG190" s="5" t="s">
        <v>304</v>
      </c>
      <c r="CH190" s="5" t="s">
        <v>305</v>
      </c>
      <c r="CI190" s="5" t="s">
        <v>240</v>
      </c>
      <c r="CL190" s="6" t="s">
        <v>261</v>
      </c>
      <c r="CM190" s="5" t="s">
        <v>240</v>
      </c>
      <c r="CN190" s="5" t="s">
        <v>263</v>
      </c>
      <c r="CO190" s="5" t="s">
        <v>240</v>
      </c>
      <c r="CP190" s="5" t="s">
        <v>240</v>
      </c>
      <c r="CQ190" s="5">
        <v>0</v>
      </c>
      <c r="CR190" s="5" t="s">
        <v>306</v>
      </c>
      <c r="CS190" s="5" t="s">
        <v>307</v>
      </c>
      <c r="CT190" s="5" t="s">
        <v>307</v>
      </c>
      <c r="CU190" s="5" t="s">
        <v>260</v>
      </c>
      <c r="CX190" s="7">
        <f>1</f>
        <v>1</v>
      </c>
      <c r="CY190" s="7">
        <f>0</f>
        <v>0</v>
      </c>
      <c r="DA190" s="7">
        <f>0</f>
        <v>0</v>
      </c>
      <c r="DC190" s="5" t="s">
        <v>309</v>
      </c>
      <c r="DD190" s="5" t="s">
        <v>240</v>
      </c>
      <c r="DF190" s="5" t="s">
        <v>309</v>
      </c>
      <c r="DG190" s="7">
        <f>967</f>
        <v>967</v>
      </c>
      <c r="DI190" s="5" t="s">
        <v>240</v>
      </c>
      <c r="DJ190" s="5" t="s">
        <v>240</v>
      </c>
      <c r="DK190" s="5" t="s">
        <v>240</v>
      </c>
      <c r="DL190" s="5" t="s">
        <v>240</v>
      </c>
      <c r="DP190" s="5" t="s">
        <v>240</v>
      </c>
      <c r="DQ190" s="5" t="s">
        <v>240</v>
      </c>
      <c r="DR190" s="5" t="s">
        <v>240</v>
      </c>
      <c r="DS190" s="5" t="s">
        <v>240</v>
      </c>
      <c r="DV190" s="5" t="s">
        <v>310</v>
      </c>
      <c r="DW190" s="5" t="s">
        <v>695</v>
      </c>
      <c r="HO190" s="5" t="s">
        <v>312</v>
      </c>
    </row>
    <row r="191" spans="1:223" x14ac:dyDescent="0.4">
      <c r="A191" s="5">
        <v>902</v>
      </c>
      <c r="B191" s="5">
        <v>1</v>
      </c>
      <c r="C191" s="5">
        <v>1</v>
      </c>
      <c r="D191" s="5" t="s">
        <v>6836</v>
      </c>
      <c r="E191" s="5" t="s">
        <v>1325</v>
      </c>
      <c r="F191" s="5" t="s">
        <v>254</v>
      </c>
      <c r="G191" s="5" t="s">
        <v>240</v>
      </c>
      <c r="H191" s="6" t="s">
        <v>7052</v>
      </c>
      <c r="I191" s="5" t="s">
        <v>6835</v>
      </c>
      <c r="J191" s="8">
        <f>21066.66</f>
        <v>21066.66</v>
      </c>
      <c r="K191" s="5" t="s">
        <v>308</v>
      </c>
      <c r="L191" s="7">
        <f>46662652</f>
        <v>46662652</v>
      </c>
      <c r="M191" s="7">
        <f>46662652</f>
        <v>46662652</v>
      </c>
      <c r="N191" s="5" t="s">
        <v>242</v>
      </c>
      <c r="O191" s="5">
        <v>1</v>
      </c>
      <c r="P191" s="5" t="s">
        <v>294</v>
      </c>
      <c r="Q191" s="5" t="s">
        <v>266</v>
      </c>
      <c r="R191" s="5" t="s">
        <v>240</v>
      </c>
      <c r="S191" s="5" t="s">
        <v>240</v>
      </c>
      <c r="T191" s="5" t="s">
        <v>296</v>
      </c>
      <c r="U191" s="5" t="s">
        <v>244</v>
      </c>
      <c r="V191" s="5" t="s">
        <v>240</v>
      </c>
      <c r="Y191" s="5" t="s">
        <v>240</v>
      </c>
      <c r="Z191" s="6" t="s">
        <v>298</v>
      </c>
      <c r="AB191" s="6" t="s">
        <v>240</v>
      </c>
      <c r="AE191" s="6" t="s">
        <v>299</v>
      </c>
      <c r="AF191" s="5" t="s">
        <v>248</v>
      </c>
      <c r="AG191" s="5" t="s">
        <v>249</v>
      </c>
      <c r="AW191" s="5" t="s">
        <v>251</v>
      </c>
      <c r="AX191" s="5" t="s">
        <v>240</v>
      </c>
      <c r="AY191" s="5" t="s">
        <v>253</v>
      </c>
      <c r="AZ191" s="5" t="s">
        <v>240</v>
      </c>
      <c r="BA191" s="5" t="s">
        <v>255</v>
      </c>
      <c r="BB191" s="5" t="s">
        <v>240</v>
      </c>
      <c r="BD191" s="5" t="s">
        <v>240</v>
      </c>
      <c r="BF191" s="5" t="s">
        <v>301</v>
      </c>
      <c r="BG191" s="6" t="s">
        <v>299</v>
      </c>
      <c r="BH191" s="5" t="s">
        <v>302</v>
      </c>
      <c r="BI191" s="5" t="s">
        <v>303</v>
      </c>
      <c r="BJ191" s="5" t="s">
        <v>240</v>
      </c>
      <c r="BK191" s="8">
        <f>0</f>
        <v>0</v>
      </c>
      <c r="BL191" s="7">
        <f>0</f>
        <v>0</v>
      </c>
      <c r="BM191" s="5" t="s">
        <v>258</v>
      </c>
      <c r="BN191" s="5" t="s">
        <v>259</v>
      </c>
      <c r="CB191" s="5" t="s">
        <v>240</v>
      </c>
      <c r="CC191" s="5" t="s">
        <v>240</v>
      </c>
      <c r="CG191" s="5" t="s">
        <v>304</v>
      </c>
      <c r="CH191" s="5" t="s">
        <v>305</v>
      </c>
      <c r="CI191" s="5" t="s">
        <v>240</v>
      </c>
      <c r="CL191" s="6" t="s">
        <v>261</v>
      </c>
      <c r="CM191" s="5" t="s">
        <v>240</v>
      </c>
      <c r="CN191" s="5" t="s">
        <v>263</v>
      </c>
      <c r="CO191" s="5" t="s">
        <v>240</v>
      </c>
      <c r="CP191" s="5" t="s">
        <v>240</v>
      </c>
      <c r="CQ191" s="5">
        <v>0</v>
      </c>
      <c r="CR191" s="5" t="s">
        <v>306</v>
      </c>
      <c r="CS191" s="5" t="s">
        <v>307</v>
      </c>
      <c r="CT191" s="5" t="s">
        <v>307</v>
      </c>
      <c r="CU191" s="5" t="s">
        <v>260</v>
      </c>
      <c r="CX191" s="7">
        <f>1</f>
        <v>1</v>
      </c>
      <c r="CY191" s="7">
        <f>0</f>
        <v>0</v>
      </c>
      <c r="DA191" s="7">
        <f>0</f>
        <v>0</v>
      </c>
      <c r="DC191" s="5" t="s">
        <v>309</v>
      </c>
      <c r="DD191" s="5" t="s">
        <v>240</v>
      </c>
      <c r="DF191" s="5" t="s">
        <v>309</v>
      </c>
      <c r="DG191" s="7">
        <f>592</f>
        <v>592</v>
      </c>
      <c r="DI191" s="5" t="s">
        <v>240</v>
      </c>
      <c r="DJ191" s="5" t="s">
        <v>240</v>
      </c>
      <c r="DK191" s="5" t="s">
        <v>240</v>
      </c>
      <c r="DL191" s="5" t="s">
        <v>240</v>
      </c>
      <c r="DP191" s="5" t="s">
        <v>240</v>
      </c>
      <c r="DQ191" s="5" t="s">
        <v>240</v>
      </c>
      <c r="DR191" s="5" t="s">
        <v>240</v>
      </c>
      <c r="DS191" s="5" t="s">
        <v>240</v>
      </c>
      <c r="DV191" s="5" t="s">
        <v>310</v>
      </c>
      <c r="DW191" s="5" t="s">
        <v>697</v>
      </c>
      <c r="HO191" s="5" t="s">
        <v>312</v>
      </c>
    </row>
    <row r="192" spans="1:223" x14ac:dyDescent="0.4">
      <c r="A192" s="5">
        <v>903</v>
      </c>
      <c r="B192" s="5">
        <v>1</v>
      </c>
      <c r="C192" s="5">
        <v>1</v>
      </c>
      <c r="D192" s="5" t="s">
        <v>6836</v>
      </c>
      <c r="E192" s="5" t="s">
        <v>1325</v>
      </c>
      <c r="F192" s="5" t="s">
        <v>254</v>
      </c>
      <c r="G192" s="5" t="s">
        <v>240</v>
      </c>
      <c r="H192" s="6" t="s">
        <v>6980</v>
      </c>
      <c r="I192" s="5" t="s">
        <v>6835</v>
      </c>
      <c r="J192" s="8">
        <f>1232.13</f>
        <v>1232.1300000000001</v>
      </c>
      <c r="K192" s="5" t="s">
        <v>308</v>
      </c>
      <c r="L192" s="7">
        <f>4558881</f>
        <v>4558881</v>
      </c>
      <c r="M192" s="7">
        <f>4558881</f>
        <v>4558881</v>
      </c>
      <c r="N192" s="5" t="s">
        <v>242</v>
      </c>
      <c r="O192" s="5">
        <v>1</v>
      </c>
      <c r="P192" s="5" t="s">
        <v>294</v>
      </c>
      <c r="Q192" s="5" t="s">
        <v>266</v>
      </c>
      <c r="R192" s="5" t="s">
        <v>240</v>
      </c>
      <c r="S192" s="5" t="s">
        <v>240</v>
      </c>
      <c r="T192" s="5" t="s">
        <v>296</v>
      </c>
      <c r="U192" s="5" t="s">
        <v>244</v>
      </c>
      <c r="V192" s="5" t="s">
        <v>240</v>
      </c>
      <c r="Y192" s="5" t="s">
        <v>240</v>
      </c>
      <c r="Z192" s="6" t="s">
        <v>298</v>
      </c>
      <c r="AB192" s="6" t="s">
        <v>240</v>
      </c>
      <c r="AE192" s="6" t="s">
        <v>299</v>
      </c>
      <c r="AF192" s="5" t="s">
        <v>248</v>
      </c>
      <c r="AG192" s="5" t="s">
        <v>249</v>
      </c>
      <c r="AW192" s="5" t="s">
        <v>251</v>
      </c>
      <c r="AX192" s="5" t="s">
        <v>240</v>
      </c>
      <c r="AY192" s="5" t="s">
        <v>253</v>
      </c>
      <c r="AZ192" s="5" t="s">
        <v>240</v>
      </c>
      <c r="BA192" s="5" t="s">
        <v>255</v>
      </c>
      <c r="BB192" s="5" t="s">
        <v>240</v>
      </c>
      <c r="BD192" s="5" t="s">
        <v>240</v>
      </c>
      <c r="BF192" s="5" t="s">
        <v>301</v>
      </c>
      <c r="BG192" s="6" t="s">
        <v>299</v>
      </c>
      <c r="BH192" s="5" t="s">
        <v>302</v>
      </c>
      <c r="BI192" s="5" t="s">
        <v>303</v>
      </c>
      <c r="BJ192" s="5" t="s">
        <v>240</v>
      </c>
      <c r="BK192" s="8">
        <f>0</f>
        <v>0</v>
      </c>
      <c r="BL192" s="7">
        <f>0</f>
        <v>0</v>
      </c>
      <c r="BM192" s="5" t="s">
        <v>258</v>
      </c>
      <c r="BN192" s="5" t="s">
        <v>259</v>
      </c>
      <c r="CB192" s="5" t="s">
        <v>240</v>
      </c>
      <c r="CC192" s="5" t="s">
        <v>240</v>
      </c>
      <c r="CG192" s="5" t="s">
        <v>304</v>
      </c>
      <c r="CH192" s="5" t="s">
        <v>305</v>
      </c>
      <c r="CI192" s="5" t="s">
        <v>240</v>
      </c>
      <c r="CL192" s="6" t="s">
        <v>261</v>
      </c>
      <c r="CM192" s="5" t="s">
        <v>240</v>
      </c>
      <c r="CN192" s="5" t="s">
        <v>263</v>
      </c>
      <c r="CO192" s="5" t="s">
        <v>240</v>
      </c>
      <c r="CP192" s="5" t="s">
        <v>240</v>
      </c>
      <c r="CQ192" s="5">
        <v>0</v>
      </c>
      <c r="CR192" s="5" t="s">
        <v>306</v>
      </c>
      <c r="CS192" s="5" t="s">
        <v>307</v>
      </c>
      <c r="CT192" s="5" t="s">
        <v>307</v>
      </c>
      <c r="CU192" s="5" t="s">
        <v>260</v>
      </c>
      <c r="CX192" s="7">
        <f>1</f>
        <v>1</v>
      </c>
      <c r="CY192" s="7">
        <f>0</f>
        <v>0</v>
      </c>
      <c r="DA192" s="7">
        <f>0</f>
        <v>0</v>
      </c>
      <c r="DC192" s="5" t="s">
        <v>309</v>
      </c>
      <c r="DD192" s="5" t="s">
        <v>240</v>
      </c>
      <c r="DF192" s="5" t="s">
        <v>309</v>
      </c>
      <c r="DG192" s="7">
        <f>6054</f>
        <v>6054</v>
      </c>
      <c r="DI192" s="5" t="s">
        <v>240</v>
      </c>
      <c r="DJ192" s="5" t="s">
        <v>240</v>
      </c>
      <c r="DK192" s="5" t="s">
        <v>240</v>
      </c>
      <c r="DL192" s="5" t="s">
        <v>240</v>
      </c>
      <c r="DP192" s="5" t="s">
        <v>240</v>
      </c>
      <c r="DQ192" s="5" t="s">
        <v>240</v>
      </c>
      <c r="DR192" s="5" t="s">
        <v>240</v>
      </c>
      <c r="DS192" s="5" t="s">
        <v>240</v>
      </c>
      <c r="DV192" s="5" t="s">
        <v>310</v>
      </c>
      <c r="DW192" s="5" t="s">
        <v>699</v>
      </c>
      <c r="HO192" s="5" t="s">
        <v>312</v>
      </c>
    </row>
    <row r="193" spans="1:240" x14ac:dyDescent="0.4">
      <c r="A193" s="5">
        <v>904</v>
      </c>
      <c r="B193" s="5">
        <v>1</v>
      </c>
      <c r="C193" s="5">
        <v>1</v>
      </c>
      <c r="D193" s="5" t="s">
        <v>6836</v>
      </c>
      <c r="E193" s="5" t="s">
        <v>1325</v>
      </c>
      <c r="F193" s="5" t="s">
        <v>254</v>
      </c>
      <c r="G193" s="5" t="s">
        <v>240</v>
      </c>
      <c r="H193" s="6" t="s">
        <v>7230</v>
      </c>
      <c r="I193" s="5" t="s">
        <v>6835</v>
      </c>
      <c r="J193" s="8">
        <f>226.31</f>
        <v>226.31</v>
      </c>
      <c r="K193" s="5" t="s">
        <v>308</v>
      </c>
      <c r="L193" s="7">
        <f>837347</f>
        <v>837347</v>
      </c>
      <c r="M193" s="7">
        <f>837347</f>
        <v>837347</v>
      </c>
      <c r="N193" s="5" t="s">
        <v>242</v>
      </c>
      <c r="O193" s="5">
        <v>1</v>
      </c>
      <c r="P193" s="5" t="s">
        <v>294</v>
      </c>
      <c r="Q193" s="5" t="s">
        <v>266</v>
      </c>
      <c r="R193" s="5" t="s">
        <v>240</v>
      </c>
      <c r="S193" s="5" t="s">
        <v>240</v>
      </c>
      <c r="T193" s="5" t="s">
        <v>296</v>
      </c>
      <c r="U193" s="5" t="s">
        <v>244</v>
      </c>
      <c r="V193" s="5" t="s">
        <v>240</v>
      </c>
      <c r="Y193" s="5" t="s">
        <v>240</v>
      </c>
      <c r="Z193" s="6" t="s">
        <v>298</v>
      </c>
      <c r="AB193" s="6" t="s">
        <v>240</v>
      </c>
      <c r="AE193" s="6" t="s">
        <v>299</v>
      </c>
      <c r="AF193" s="5" t="s">
        <v>248</v>
      </c>
      <c r="AG193" s="5" t="s">
        <v>249</v>
      </c>
      <c r="AW193" s="5" t="s">
        <v>251</v>
      </c>
      <c r="AX193" s="5" t="s">
        <v>240</v>
      </c>
      <c r="AY193" s="5" t="s">
        <v>253</v>
      </c>
      <c r="AZ193" s="5" t="s">
        <v>240</v>
      </c>
      <c r="BA193" s="5" t="s">
        <v>255</v>
      </c>
      <c r="BB193" s="5" t="s">
        <v>240</v>
      </c>
      <c r="BD193" s="5" t="s">
        <v>240</v>
      </c>
      <c r="BF193" s="5" t="s">
        <v>301</v>
      </c>
      <c r="BG193" s="6" t="s">
        <v>299</v>
      </c>
      <c r="BH193" s="5" t="s">
        <v>302</v>
      </c>
      <c r="BI193" s="5" t="s">
        <v>303</v>
      </c>
      <c r="BJ193" s="5" t="s">
        <v>240</v>
      </c>
      <c r="BK193" s="8">
        <f>0</f>
        <v>0</v>
      </c>
      <c r="BL193" s="7">
        <f>0</f>
        <v>0</v>
      </c>
      <c r="BM193" s="5" t="s">
        <v>258</v>
      </c>
      <c r="BN193" s="5" t="s">
        <v>259</v>
      </c>
      <c r="CB193" s="5" t="s">
        <v>240</v>
      </c>
      <c r="CC193" s="5" t="s">
        <v>240</v>
      </c>
      <c r="CG193" s="5" t="s">
        <v>304</v>
      </c>
      <c r="CH193" s="5" t="s">
        <v>305</v>
      </c>
      <c r="CI193" s="5" t="s">
        <v>240</v>
      </c>
      <c r="CL193" s="6" t="s">
        <v>261</v>
      </c>
      <c r="CM193" s="5" t="s">
        <v>240</v>
      </c>
      <c r="CN193" s="5" t="s">
        <v>263</v>
      </c>
      <c r="CO193" s="5" t="s">
        <v>240</v>
      </c>
      <c r="CP193" s="5" t="s">
        <v>240</v>
      </c>
      <c r="CQ193" s="5">
        <v>0</v>
      </c>
      <c r="CR193" s="5" t="s">
        <v>306</v>
      </c>
      <c r="CS193" s="5" t="s">
        <v>307</v>
      </c>
      <c r="CT193" s="5" t="s">
        <v>307</v>
      </c>
      <c r="CU193" s="5" t="s">
        <v>260</v>
      </c>
      <c r="CX193" s="7">
        <f>1</f>
        <v>1</v>
      </c>
      <c r="CY193" s="7">
        <f>0</f>
        <v>0</v>
      </c>
      <c r="DA193" s="7">
        <f>0</f>
        <v>0</v>
      </c>
      <c r="DC193" s="5" t="s">
        <v>309</v>
      </c>
      <c r="DD193" s="5" t="s">
        <v>240</v>
      </c>
      <c r="DF193" s="5" t="s">
        <v>309</v>
      </c>
      <c r="DG193" s="7">
        <f>1225</f>
        <v>1225</v>
      </c>
      <c r="DI193" s="5" t="s">
        <v>240</v>
      </c>
      <c r="DJ193" s="5" t="s">
        <v>240</v>
      </c>
      <c r="DK193" s="5" t="s">
        <v>240</v>
      </c>
      <c r="DL193" s="5" t="s">
        <v>240</v>
      </c>
      <c r="DP193" s="5" t="s">
        <v>240</v>
      </c>
      <c r="DQ193" s="5" t="s">
        <v>240</v>
      </c>
      <c r="DR193" s="5" t="s">
        <v>240</v>
      </c>
      <c r="DS193" s="5" t="s">
        <v>240</v>
      </c>
      <c r="DV193" s="5" t="s">
        <v>310</v>
      </c>
      <c r="DW193" s="5" t="s">
        <v>701</v>
      </c>
      <c r="HO193" s="5" t="s">
        <v>312</v>
      </c>
    </row>
    <row r="194" spans="1:240" x14ac:dyDescent="0.4">
      <c r="A194" s="5">
        <v>905</v>
      </c>
      <c r="B194" s="5">
        <v>1</v>
      </c>
      <c r="C194" s="5">
        <v>1</v>
      </c>
      <c r="D194" s="5" t="s">
        <v>6836</v>
      </c>
      <c r="E194" s="5" t="s">
        <v>1325</v>
      </c>
      <c r="F194" s="5" t="s">
        <v>254</v>
      </c>
      <c r="G194" s="5" t="s">
        <v>240</v>
      </c>
      <c r="H194" s="6" t="s">
        <v>6944</v>
      </c>
      <c r="I194" s="5" t="s">
        <v>6835</v>
      </c>
      <c r="J194" s="8">
        <f>2954</f>
        <v>2954</v>
      </c>
      <c r="K194" s="5" t="s">
        <v>308</v>
      </c>
      <c r="L194" s="7">
        <f>6543110</f>
        <v>6543110</v>
      </c>
      <c r="M194" s="7">
        <f>6543110</f>
        <v>6543110</v>
      </c>
      <c r="N194" s="5" t="s">
        <v>242</v>
      </c>
      <c r="O194" s="5">
        <v>1</v>
      </c>
      <c r="P194" s="5" t="s">
        <v>294</v>
      </c>
      <c r="Q194" s="5" t="s">
        <v>266</v>
      </c>
      <c r="R194" s="5" t="s">
        <v>240</v>
      </c>
      <c r="S194" s="5" t="s">
        <v>240</v>
      </c>
      <c r="T194" s="5" t="s">
        <v>296</v>
      </c>
      <c r="U194" s="5" t="s">
        <v>244</v>
      </c>
      <c r="V194" s="5" t="s">
        <v>240</v>
      </c>
      <c r="Y194" s="5" t="s">
        <v>240</v>
      </c>
      <c r="Z194" s="6" t="s">
        <v>298</v>
      </c>
      <c r="AB194" s="6" t="s">
        <v>240</v>
      </c>
      <c r="AE194" s="6" t="s">
        <v>299</v>
      </c>
      <c r="AF194" s="5" t="s">
        <v>248</v>
      </c>
      <c r="AG194" s="5" t="s">
        <v>249</v>
      </c>
      <c r="AW194" s="5" t="s">
        <v>251</v>
      </c>
      <c r="AX194" s="5" t="s">
        <v>240</v>
      </c>
      <c r="AY194" s="5" t="s">
        <v>253</v>
      </c>
      <c r="AZ194" s="5" t="s">
        <v>240</v>
      </c>
      <c r="BA194" s="5" t="s">
        <v>255</v>
      </c>
      <c r="BB194" s="5" t="s">
        <v>240</v>
      </c>
      <c r="BD194" s="5" t="s">
        <v>240</v>
      </c>
      <c r="BF194" s="5" t="s">
        <v>301</v>
      </c>
      <c r="BG194" s="6" t="s">
        <v>299</v>
      </c>
      <c r="BH194" s="5" t="s">
        <v>302</v>
      </c>
      <c r="BI194" s="5" t="s">
        <v>303</v>
      </c>
      <c r="BJ194" s="5" t="s">
        <v>240</v>
      </c>
      <c r="BK194" s="8">
        <f>0</f>
        <v>0</v>
      </c>
      <c r="BL194" s="7">
        <f>0</f>
        <v>0</v>
      </c>
      <c r="BM194" s="5" t="s">
        <v>258</v>
      </c>
      <c r="BN194" s="5" t="s">
        <v>259</v>
      </c>
      <c r="CB194" s="5" t="s">
        <v>240</v>
      </c>
      <c r="CC194" s="5" t="s">
        <v>240</v>
      </c>
      <c r="CG194" s="5" t="s">
        <v>304</v>
      </c>
      <c r="CH194" s="5" t="s">
        <v>305</v>
      </c>
      <c r="CI194" s="5" t="s">
        <v>240</v>
      </c>
      <c r="CL194" s="6" t="s">
        <v>261</v>
      </c>
      <c r="CM194" s="5" t="s">
        <v>240</v>
      </c>
      <c r="CN194" s="5" t="s">
        <v>263</v>
      </c>
      <c r="CO194" s="5" t="s">
        <v>240</v>
      </c>
      <c r="CP194" s="5" t="s">
        <v>240</v>
      </c>
      <c r="CQ194" s="5">
        <v>0</v>
      </c>
      <c r="CR194" s="5" t="s">
        <v>306</v>
      </c>
      <c r="CS194" s="5" t="s">
        <v>307</v>
      </c>
      <c r="CT194" s="5" t="s">
        <v>307</v>
      </c>
      <c r="CU194" s="5" t="s">
        <v>260</v>
      </c>
      <c r="CX194" s="7">
        <f>1</f>
        <v>1</v>
      </c>
      <c r="CY194" s="7">
        <f>0</f>
        <v>0</v>
      </c>
      <c r="DA194" s="7">
        <f>0</f>
        <v>0</v>
      </c>
      <c r="DC194" s="5" t="s">
        <v>309</v>
      </c>
      <c r="DD194" s="5" t="s">
        <v>240</v>
      </c>
      <c r="DF194" s="5" t="s">
        <v>309</v>
      </c>
      <c r="DG194" s="7">
        <f>16929</f>
        <v>16929</v>
      </c>
      <c r="DI194" s="5" t="s">
        <v>240</v>
      </c>
      <c r="DJ194" s="5" t="s">
        <v>240</v>
      </c>
      <c r="DK194" s="5" t="s">
        <v>240</v>
      </c>
      <c r="DL194" s="5" t="s">
        <v>240</v>
      </c>
      <c r="DP194" s="5" t="s">
        <v>240</v>
      </c>
      <c r="DQ194" s="5" t="s">
        <v>240</v>
      </c>
      <c r="DR194" s="5" t="s">
        <v>240</v>
      </c>
      <c r="DS194" s="5" t="s">
        <v>240</v>
      </c>
      <c r="DV194" s="5" t="s">
        <v>310</v>
      </c>
      <c r="DW194" s="5" t="s">
        <v>703</v>
      </c>
      <c r="HO194" s="5" t="s">
        <v>312</v>
      </c>
    </row>
    <row r="195" spans="1:240" x14ac:dyDescent="0.4">
      <c r="A195" s="5">
        <v>906</v>
      </c>
      <c r="B195" s="5">
        <v>1</v>
      </c>
      <c r="C195" s="5">
        <v>1</v>
      </c>
      <c r="D195" s="5" t="s">
        <v>6836</v>
      </c>
      <c r="E195" s="5" t="s">
        <v>1325</v>
      </c>
      <c r="F195" s="5" t="s">
        <v>254</v>
      </c>
      <c r="G195" s="5" t="s">
        <v>240</v>
      </c>
      <c r="H195" s="6" t="s">
        <v>6954</v>
      </c>
      <c r="I195" s="5" t="s">
        <v>6835</v>
      </c>
      <c r="J195" s="8">
        <f>383</f>
        <v>383</v>
      </c>
      <c r="K195" s="5" t="s">
        <v>308</v>
      </c>
      <c r="L195" s="7">
        <f>848345</f>
        <v>848345</v>
      </c>
      <c r="M195" s="7">
        <f>848345</f>
        <v>848345</v>
      </c>
      <c r="N195" s="5" t="s">
        <v>242</v>
      </c>
      <c r="O195" s="5">
        <v>1</v>
      </c>
      <c r="P195" s="5" t="s">
        <v>294</v>
      </c>
      <c r="Q195" s="5" t="s">
        <v>266</v>
      </c>
      <c r="R195" s="5" t="s">
        <v>240</v>
      </c>
      <c r="S195" s="5" t="s">
        <v>240</v>
      </c>
      <c r="T195" s="5" t="s">
        <v>296</v>
      </c>
      <c r="U195" s="5" t="s">
        <v>244</v>
      </c>
      <c r="V195" s="5" t="s">
        <v>240</v>
      </c>
      <c r="Y195" s="5" t="s">
        <v>240</v>
      </c>
      <c r="Z195" s="6" t="s">
        <v>298</v>
      </c>
      <c r="AB195" s="6" t="s">
        <v>240</v>
      </c>
      <c r="AE195" s="6" t="s">
        <v>299</v>
      </c>
      <c r="AF195" s="5" t="s">
        <v>248</v>
      </c>
      <c r="AG195" s="5" t="s">
        <v>249</v>
      </c>
      <c r="AW195" s="5" t="s">
        <v>251</v>
      </c>
      <c r="AX195" s="5" t="s">
        <v>240</v>
      </c>
      <c r="AY195" s="5" t="s">
        <v>253</v>
      </c>
      <c r="AZ195" s="5" t="s">
        <v>240</v>
      </c>
      <c r="BA195" s="5" t="s">
        <v>255</v>
      </c>
      <c r="BB195" s="5" t="s">
        <v>240</v>
      </c>
      <c r="BD195" s="5" t="s">
        <v>240</v>
      </c>
      <c r="BF195" s="5" t="s">
        <v>301</v>
      </c>
      <c r="BG195" s="6" t="s">
        <v>299</v>
      </c>
      <c r="BH195" s="5" t="s">
        <v>302</v>
      </c>
      <c r="BI195" s="5" t="s">
        <v>303</v>
      </c>
      <c r="BJ195" s="5" t="s">
        <v>240</v>
      </c>
      <c r="BK195" s="8">
        <f>0</f>
        <v>0</v>
      </c>
      <c r="BL195" s="7">
        <f>0</f>
        <v>0</v>
      </c>
      <c r="BM195" s="5" t="s">
        <v>258</v>
      </c>
      <c r="BN195" s="5" t="s">
        <v>259</v>
      </c>
      <c r="CB195" s="5" t="s">
        <v>240</v>
      </c>
      <c r="CC195" s="5" t="s">
        <v>240</v>
      </c>
      <c r="CG195" s="5" t="s">
        <v>304</v>
      </c>
      <c r="CH195" s="5" t="s">
        <v>305</v>
      </c>
      <c r="CI195" s="5" t="s">
        <v>240</v>
      </c>
      <c r="CL195" s="6" t="s">
        <v>261</v>
      </c>
      <c r="CM195" s="5" t="s">
        <v>240</v>
      </c>
      <c r="CN195" s="5" t="s">
        <v>263</v>
      </c>
      <c r="CO195" s="5" t="s">
        <v>240</v>
      </c>
      <c r="CP195" s="5" t="s">
        <v>240</v>
      </c>
      <c r="CQ195" s="5">
        <v>0</v>
      </c>
      <c r="CR195" s="5" t="s">
        <v>306</v>
      </c>
      <c r="CS195" s="5" t="s">
        <v>307</v>
      </c>
      <c r="CT195" s="5" t="s">
        <v>307</v>
      </c>
      <c r="CU195" s="5" t="s">
        <v>260</v>
      </c>
      <c r="CX195" s="7">
        <f>1</f>
        <v>1</v>
      </c>
      <c r="CY195" s="7">
        <f>0</f>
        <v>0</v>
      </c>
      <c r="DA195" s="7">
        <f>0</f>
        <v>0</v>
      </c>
      <c r="DC195" s="5" t="s">
        <v>309</v>
      </c>
      <c r="DD195" s="5" t="s">
        <v>240</v>
      </c>
      <c r="DF195" s="5" t="s">
        <v>309</v>
      </c>
      <c r="DG195" s="7">
        <f>2693</f>
        <v>2693</v>
      </c>
      <c r="DI195" s="5" t="s">
        <v>240</v>
      </c>
      <c r="DJ195" s="5" t="s">
        <v>240</v>
      </c>
      <c r="DK195" s="5" t="s">
        <v>240</v>
      </c>
      <c r="DL195" s="5" t="s">
        <v>240</v>
      </c>
      <c r="DP195" s="5" t="s">
        <v>240</v>
      </c>
      <c r="DQ195" s="5" t="s">
        <v>240</v>
      </c>
      <c r="DR195" s="5" t="s">
        <v>240</v>
      </c>
      <c r="DS195" s="5" t="s">
        <v>240</v>
      </c>
      <c r="DV195" s="5" t="s">
        <v>310</v>
      </c>
      <c r="DW195" s="5" t="s">
        <v>705</v>
      </c>
      <c r="HO195" s="5" t="s">
        <v>312</v>
      </c>
    </row>
    <row r="196" spans="1:240" x14ac:dyDescent="0.4">
      <c r="A196" s="5">
        <v>907</v>
      </c>
      <c r="B196" s="5">
        <v>1</v>
      </c>
      <c r="C196" s="5">
        <v>1</v>
      </c>
      <c r="D196" s="5" t="s">
        <v>6836</v>
      </c>
      <c r="E196" s="5" t="s">
        <v>1325</v>
      </c>
      <c r="F196" s="5" t="s">
        <v>254</v>
      </c>
      <c r="G196" s="5" t="s">
        <v>240</v>
      </c>
      <c r="H196" s="6" t="s">
        <v>7153</v>
      </c>
      <c r="I196" s="5" t="s">
        <v>6835</v>
      </c>
      <c r="J196" s="8">
        <f>1505</f>
        <v>1505</v>
      </c>
      <c r="K196" s="5" t="s">
        <v>308</v>
      </c>
      <c r="L196" s="7">
        <f>3333575</f>
        <v>3333575</v>
      </c>
      <c r="M196" s="7">
        <f>3333575</f>
        <v>3333575</v>
      </c>
      <c r="N196" s="5" t="s">
        <v>242</v>
      </c>
      <c r="O196" s="5">
        <v>1</v>
      </c>
      <c r="P196" s="5" t="s">
        <v>294</v>
      </c>
      <c r="Q196" s="5" t="s">
        <v>266</v>
      </c>
      <c r="R196" s="5" t="s">
        <v>240</v>
      </c>
      <c r="S196" s="5" t="s">
        <v>240</v>
      </c>
      <c r="T196" s="5" t="s">
        <v>296</v>
      </c>
      <c r="U196" s="5" t="s">
        <v>244</v>
      </c>
      <c r="V196" s="5" t="s">
        <v>240</v>
      </c>
      <c r="Y196" s="5" t="s">
        <v>240</v>
      </c>
      <c r="Z196" s="6" t="s">
        <v>298</v>
      </c>
      <c r="AB196" s="6" t="s">
        <v>240</v>
      </c>
      <c r="AE196" s="6" t="s">
        <v>299</v>
      </c>
      <c r="AF196" s="5" t="s">
        <v>248</v>
      </c>
      <c r="AG196" s="5" t="s">
        <v>249</v>
      </c>
      <c r="AW196" s="5" t="s">
        <v>251</v>
      </c>
      <c r="AX196" s="5" t="s">
        <v>240</v>
      </c>
      <c r="AY196" s="5" t="s">
        <v>253</v>
      </c>
      <c r="AZ196" s="5" t="s">
        <v>240</v>
      </c>
      <c r="BA196" s="5" t="s">
        <v>255</v>
      </c>
      <c r="BB196" s="5" t="s">
        <v>240</v>
      </c>
      <c r="BD196" s="5" t="s">
        <v>240</v>
      </c>
      <c r="BF196" s="5" t="s">
        <v>301</v>
      </c>
      <c r="BG196" s="6" t="s">
        <v>299</v>
      </c>
      <c r="BH196" s="5" t="s">
        <v>302</v>
      </c>
      <c r="BI196" s="5" t="s">
        <v>303</v>
      </c>
      <c r="BJ196" s="5" t="s">
        <v>240</v>
      </c>
      <c r="BK196" s="8">
        <f>0</f>
        <v>0</v>
      </c>
      <c r="BL196" s="7">
        <f>0</f>
        <v>0</v>
      </c>
      <c r="BM196" s="5" t="s">
        <v>258</v>
      </c>
      <c r="BN196" s="5" t="s">
        <v>259</v>
      </c>
      <c r="CB196" s="5" t="s">
        <v>240</v>
      </c>
      <c r="CC196" s="5" t="s">
        <v>240</v>
      </c>
      <c r="CG196" s="5" t="s">
        <v>304</v>
      </c>
      <c r="CH196" s="5" t="s">
        <v>305</v>
      </c>
      <c r="CI196" s="5" t="s">
        <v>240</v>
      </c>
      <c r="CL196" s="6" t="s">
        <v>261</v>
      </c>
      <c r="CM196" s="5" t="s">
        <v>240</v>
      </c>
      <c r="CN196" s="5" t="s">
        <v>263</v>
      </c>
      <c r="CO196" s="5" t="s">
        <v>240</v>
      </c>
      <c r="CP196" s="5" t="s">
        <v>240</v>
      </c>
      <c r="CQ196" s="5">
        <v>0</v>
      </c>
      <c r="CR196" s="5" t="s">
        <v>306</v>
      </c>
      <c r="CS196" s="5" t="s">
        <v>307</v>
      </c>
      <c r="CT196" s="5" t="s">
        <v>307</v>
      </c>
      <c r="CU196" s="5" t="s">
        <v>260</v>
      </c>
      <c r="CX196" s="7">
        <f>1</f>
        <v>1</v>
      </c>
      <c r="CY196" s="7">
        <f>0</f>
        <v>0</v>
      </c>
      <c r="DA196" s="7">
        <f>0</f>
        <v>0</v>
      </c>
      <c r="DC196" s="5" t="s">
        <v>309</v>
      </c>
      <c r="DD196" s="5" t="s">
        <v>240</v>
      </c>
      <c r="DF196" s="5" t="s">
        <v>309</v>
      </c>
      <c r="DG196" s="7">
        <f>2400</f>
        <v>2400</v>
      </c>
      <c r="DI196" s="5" t="s">
        <v>240</v>
      </c>
      <c r="DJ196" s="5" t="s">
        <v>240</v>
      </c>
      <c r="DK196" s="5" t="s">
        <v>240</v>
      </c>
      <c r="DL196" s="5" t="s">
        <v>240</v>
      </c>
      <c r="DP196" s="5" t="s">
        <v>240</v>
      </c>
      <c r="DQ196" s="5" t="s">
        <v>240</v>
      </c>
      <c r="DR196" s="5" t="s">
        <v>240</v>
      </c>
      <c r="DS196" s="5" t="s">
        <v>240</v>
      </c>
      <c r="DV196" s="5" t="s">
        <v>310</v>
      </c>
      <c r="DW196" s="5" t="s">
        <v>707</v>
      </c>
      <c r="HO196" s="5" t="s">
        <v>312</v>
      </c>
    </row>
    <row r="197" spans="1:240" x14ac:dyDescent="0.4">
      <c r="A197" s="5">
        <v>908</v>
      </c>
      <c r="B197" s="5">
        <v>1</v>
      </c>
      <c r="C197" s="5">
        <v>1</v>
      </c>
      <c r="D197" s="5" t="s">
        <v>6836</v>
      </c>
      <c r="E197" s="5" t="s">
        <v>1325</v>
      </c>
      <c r="F197" s="5" t="s">
        <v>254</v>
      </c>
      <c r="G197" s="5" t="s">
        <v>240</v>
      </c>
      <c r="H197" s="6" t="s">
        <v>6840</v>
      </c>
      <c r="I197" s="5" t="s">
        <v>6835</v>
      </c>
      <c r="J197" s="8">
        <f>14</f>
        <v>14</v>
      </c>
      <c r="K197" s="5" t="s">
        <v>308</v>
      </c>
      <c r="L197" s="7">
        <f>31010</f>
        <v>31010</v>
      </c>
      <c r="M197" s="7">
        <f>31010</f>
        <v>31010</v>
      </c>
      <c r="N197" s="5" t="s">
        <v>242</v>
      </c>
      <c r="O197" s="5">
        <v>1</v>
      </c>
      <c r="P197" s="5" t="s">
        <v>294</v>
      </c>
      <c r="Q197" s="5" t="s">
        <v>266</v>
      </c>
      <c r="R197" s="5" t="s">
        <v>240</v>
      </c>
      <c r="S197" s="5" t="s">
        <v>240</v>
      </c>
      <c r="T197" s="5" t="s">
        <v>296</v>
      </c>
      <c r="U197" s="5" t="s">
        <v>244</v>
      </c>
      <c r="V197" s="5" t="s">
        <v>240</v>
      </c>
      <c r="Y197" s="5" t="s">
        <v>240</v>
      </c>
      <c r="Z197" s="6" t="s">
        <v>298</v>
      </c>
      <c r="AB197" s="6" t="s">
        <v>240</v>
      </c>
      <c r="AE197" s="6" t="s">
        <v>299</v>
      </c>
      <c r="AF197" s="5" t="s">
        <v>248</v>
      </c>
      <c r="AG197" s="5" t="s">
        <v>249</v>
      </c>
      <c r="AW197" s="5" t="s">
        <v>251</v>
      </c>
      <c r="AX197" s="5" t="s">
        <v>240</v>
      </c>
      <c r="AY197" s="5" t="s">
        <v>253</v>
      </c>
      <c r="AZ197" s="5" t="s">
        <v>240</v>
      </c>
      <c r="BA197" s="5" t="s">
        <v>255</v>
      </c>
      <c r="BB197" s="5" t="s">
        <v>240</v>
      </c>
      <c r="BD197" s="5" t="s">
        <v>240</v>
      </c>
      <c r="BF197" s="5" t="s">
        <v>301</v>
      </c>
      <c r="BG197" s="6" t="s">
        <v>299</v>
      </c>
      <c r="BH197" s="5" t="s">
        <v>302</v>
      </c>
      <c r="BI197" s="5" t="s">
        <v>303</v>
      </c>
      <c r="BJ197" s="5" t="s">
        <v>240</v>
      </c>
      <c r="BK197" s="8">
        <f>0</f>
        <v>0</v>
      </c>
      <c r="BL197" s="7">
        <f>0</f>
        <v>0</v>
      </c>
      <c r="BM197" s="5" t="s">
        <v>258</v>
      </c>
      <c r="BN197" s="5" t="s">
        <v>259</v>
      </c>
      <c r="CB197" s="5" t="s">
        <v>240</v>
      </c>
      <c r="CC197" s="5" t="s">
        <v>240</v>
      </c>
      <c r="CG197" s="5" t="s">
        <v>304</v>
      </c>
      <c r="CH197" s="5" t="s">
        <v>305</v>
      </c>
      <c r="CI197" s="5" t="s">
        <v>240</v>
      </c>
      <c r="CL197" s="6" t="s">
        <v>261</v>
      </c>
      <c r="CM197" s="5" t="s">
        <v>240</v>
      </c>
      <c r="CN197" s="5" t="s">
        <v>263</v>
      </c>
      <c r="CO197" s="5" t="s">
        <v>240</v>
      </c>
      <c r="CP197" s="5" t="s">
        <v>240</v>
      </c>
      <c r="CQ197" s="5">
        <v>0</v>
      </c>
      <c r="CR197" s="5" t="s">
        <v>306</v>
      </c>
      <c r="CS197" s="5" t="s">
        <v>307</v>
      </c>
      <c r="CT197" s="5" t="s">
        <v>307</v>
      </c>
      <c r="CU197" s="5" t="s">
        <v>260</v>
      </c>
      <c r="CX197" s="7">
        <f>1</f>
        <v>1</v>
      </c>
      <c r="CY197" s="7">
        <f>0</f>
        <v>0</v>
      </c>
      <c r="DA197" s="7">
        <f>0</f>
        <v>0</v>
      </c>
      <c r="DC197" s="5" t="s">
        <v>309</v>
      </c>
      <c r="DD197" s="5" t="s">
        <v>240</v>
      </c>
      <c r="DF197" s="5" t="s">
        <v>309</v>
      </c>
      <c r="DG197" s="7">
        <f>1188</f>
        <v>1188</v>
      </c>
      <c r="DI197" s="5" t="s">
        <v>240</v>
      </c>
      <c r="DJ197" s="5" t="s">
        <v>240</v>
      </c>
      <c r="DK197" s="5" t="s">
        <v>240</v>
      </c>
      <c r="DL197" s="5" t="s">
        <v>240</v>
      </c>
      <c r="DP197" s="5" t="s">
        <v>240</v>
      </c>
      <c r="DQ197" s="5" t="s">
        <v>240</v>
      </c>
      <c r="DR197" s="5" t="s">
        <v>240</v>
      </c>
      <c r="DS197" s="5" t="s">
        <v>240</v>
      </c>
      <c r="DV197" s="5" t="s">
        <v>310</v>
      </c>
      <c r="DW197" s="5" t="s">
        <v>709</v>
      </c>
      <c r="HO197" s="5" t="s">
        <v>312</v>
      </c>
    </row>
    <row r="198" spans="1:240" x14ac:dyDescent="0.4">
      <c r="A198" s="5">
        <v>909</v>
      </c>
      <c r="B198" s="5">
        <v>1</v>
      </c>
      <c r="C198" s="5">
        <v>1</v>
      </c>
      <c r="D198" s="5" t="s">
        <v>6836</v>
      </c>
      <c r="E198" s="5" t="s">
        <v>1325</v>
      </c>
      <c r="F198" s="5" t="s">
        <v>254</v>
      </c>
      <c r="G198" s="5" t="s">
        <v>240</v>
      </c>
      <c r="H198" s="6" t="s">
        <v>7051</v>
      </c>
      <c r="I198" s="5" t="s">
        <v>6835</v>
      </c>
      <c r="J198" s="8">
        <f>419</f>
        <v>419</v>
      </c>
      <c r="K198" s="5" t="s">
        <v>308</v>
      </c>
      <c r="L198" s="7">
        <f>1975166</f>
        <v>1975166</v>
      </c>
      <c r="M198" s="7">
        <f>1975166</f>
        <v>1975166</v>
      </c>
      <c r="N198" s="5" t="s">
        <v>242</v>
      </c>
      <c r="O198" s="5">
        <v>1</v>
      </c>
      <c r="P198" s="5" t="s">
        <v>294</v>
      </c>
      <c r="Q198" s="5" t="s">
        <v>266</v>
      </c>
      <c r="R198" s="5" t="s">
        <v>240</v>
      </c>
      <c r="S198" s="5" t="s">
        <v>240</v>
      </c>
      <c r="T198" s="5" t="s">
        <v>296</v>
      </c>
      <c r="U198" s="5" t="s">
        <v>244</v>
      </c>
      <c r="V198" s="5" t="s">
        <v>240</v>
      </c>
      <c r="Y198" s="5" t="s">
        <v>240</v>
      </c>
      <c r="Z198" s="6" t="s">
        <v>298</v>
      </c>
      <c r="AB198" s="6" t="s">
        <v>240</v>
      </c>
      <c r="AE198" s="6" t="s">
        <v>299</v>
      </c>
      <c r="AF198" s="5" t="s">
        <v>248</v>
      </c>
      <c r="AG198" s="5" t="s">
        <v>249</v>
      </c>
      <c r="AW198" s="5" t="s">
        <v>251</v>
      </c>
      <c r="AX198" s="5" t="s">
        <v>240</v>
      </c>
      <c r="AY198" s="5" t="s">
        <v>253</v>
      </c>
      <c r="AZ198" s="5" t="s">
        <v>240</v>
      </c>
      <c r="BA198" s="5" t="s">
        <v>255</v>
      </c>
      <c r="BB198" s="5" t="s">
        <v>240</v>
      </c>
      <c r="BD198" s="5" t="s">
        <v>240</v>
      </c>
      <c r="BF198" s="5" t="s">
        <v>301</v>
      </c>
      <c r="BG198" s="6" t="s">
        <v>299</v>
      </c>
      <c r="BH198" s="5" t="s">
        <v>302</v>
      </c>
      <c r="BI198" s="5" t="s">
        <v>303</v>
      </c>
      <c r="BJ198" s="5" t="s">
        <v>240</v>
      </c>
      <c r="BK198" s="8">
        <f>0</f>
        <v>0</v>
      </c>
      <c r="BL198" s="7">
        <f>0</f>
        <v>0</v>
      </c>
      <c r="BM198" s="5" t="s">
        <v>258</v>
      </c>
      <c r="BN198" s="5" t="s">
        <v>259</v>
      </c>
      <c r="CB198" s="5" t="s">
        <v>240</v>
      </c>
      <c r="CC198" s="5" t="s">
        <v>240</v>
      </c>
      <c r="CG198" s="5" t="s">
        <v>304</v>
      </c>
      <c r="CH198" s="5" t="s">
        <v>305</v>
      </c>
      <c r="CI198" s="5" t="s">
        <v>240</v>
      </c>
      <c r="CL198" s="6" t="s">
        <v>261</v>
      </c>
      <c r="CM198" s="5" t="s">
        <v>240</v>
      </c>
      <c r="CN198" s="5" t="s">
        <v>263</v>
      </c>
      <c r="CO198" s="5" t="s">
        <v>240</v>
      </c>
      <c r="CP198" s="5" t="s">
        <v>240</v>
      </c>
      <c r="CQ198" s="5">
        <v>0</v>
      </c>
      <c r="CR198" s="5" t="s">
        <v>306</v>
      </c>
      <c r="CS198" s="5" t="s">
        <v>307</v>
      </c>
      <c r="CT198" s="5" t="s">
        <v>307</v>
      </c>
      <c r="CU198" s="5" t="s">
        <v>260</v>
      </c>
      <c r="CX198" s="7">
        <f>1</f>
        <v>1</v>
      </c>
      <c r="CY198" s="7">
        <f>0</f>
        <v>0</v>
      </c>
      <c r="DA198" s="7">
        <f>0</f>
        <v>0</v>
      </c>
      <c r="DC198" s="5" t="s">
        <v>309</v>
      </c>
      <c r="DD198" s="5" t="s">
        <v>240</v>
      </c>
      <c r="DF198" s="5" t="s">
        <v>309</v>
      </c>
      <c r="DG198" s="7">
        <f>2398</f>
        <v>2398</v>
      </c>
      <c r="DI198" s="5" t="s">
        <v>240</v>
      </c>
      <c r="DJ198" s="5" t="s">
        <v>240</v>
      </c>
      <c r="DK198" s="5" t="s">
        <v>240</v>
      </c>
      <c r="DL198" s="5" t="s">
        <v>240</v>
      </c>
      <c r="DP198" s="5" t="s">
        <v>240</v>
      </c>
      <c r="DQ198" s="5" t="s">
        <v>240</v>
      </c>
      <c r="DR198" s="5" t="s">
        <v>240</v>
      </c>
      <c r="DS198" s="5" t="s">
        <v>240</v>
      </c>
      <c r="DV198" s="5" t="s">
        <v>310</v>
      </c>
      <c r="DW198" s="5" t="s">
        <v>711</v>
      </c>
      <c r="HO198" s="5" t="s">
        <v>312</v>
      </c>
    </row>
    <row r="199" spans="1:240" x14ac:dyDescent="0.4">
      <c r="A199" s="5">
        <v>910</v>
      </c>
      <c r="B199" s="5">
        <v>1</v>
      </c>
      <c r="C199" s="5">
        <v>1</v>
      </c>
      <c r="D199" s="5" t="s">
        <v>7138</v>
      </c>
      <c r="E199" s="5" t="s">
        <v>1325</v>
      </c>
      <c r="F199" s="5" t="s">
        <v>254</v>
      </c>
      <c r="G199" s="5" t="s">
        <v>240</v>
      </c>
      <c r="H199" s="6" t="s">
        <v>7211</v>
      </c>
      <c r="I199" s="5" t="s">
        <v>7137</v>
      </c>
      <c r="J199" s="8">
        <f>18083</f>
        <v>18083</v>
      </c>
      <c r="K199" s="5" t="s">
        <v>308</v>
      </c>
      <c r="L199" s="7">
        <f>343577</f>
        <v>343577</v>
      </c>
      <c r="M199" s="7">
        <f>343577</f>
        <v>343577</v>
      </c>
      <c r="N199" s="5" t="s">
        <v>242</v>
      </c>
      <c r="O199" s="5">
        <v>1</v>
      </c>
      <c r="P199" s="5" t="s">
        <v>294</v>
      </c>
      <c r="Q199" s="5" t="s">
        <v>266</v>
      </c>
      <c r="R199" s="5" t="s">
        <v>240</v>
      </c>
      <c r="S199" s="5" t="s">
        <v>240</v>
      </c>
      <c r="T199" s="5" t="s">
        <v>296</v>
      </c>
      <c r="U199" s="5" t="s">
        <v>244</v>
      </c>
      <c r="V199" s="5" t="s">
        <v>240</v>
      </c>
      <c r="Y199" s="5" t="s">
        <v>240</v>
      </c>
      <c r="Z199" s="6" t="s">
        <v>298</v>
      </c>
      <c r="AB199" s="6" t="s">
        <v>240</v>
      </c>
      <c r="AE199" s="6" t="s">
        <v>299</v>
      </c>
      <c r="AF199" s="5" t="s">
        <v>248</v>
      </c>
      <c r="AG199" s="5" t="s">
        <v>249</v>
      </c>
      <c r="AW199" s="5" t="s">
        <v>251</v>
      </c>
      <c r="AX199" s="5" t="s">
        <v>240</v>
      </c>
      <c r="AY199" s="5" t="s">
        <v>253</v>
      </c>
      <c r="AZ199" s="5" t="s">
        <v>240</v>
      </c>
      <c r="BA199" s="5" t="s">
        <v>255</v>
      </c>
      <c r="BB199" s="5" t="s">
        <v>240</v>
      </c>
      <c r="BD199" s="5" t="s">
        <v>240</v>
      </c>
      <c r="BF199" s="5" t="s">
        <v>301</v>
      </c>
      <c r="BG199" s="6" t="s">
        <v>299</v>
      </c>
      <c r="BH199" s="5" t="s">
        <v>302</v>
      </c>
      <c r="BI199" s="5" t="s">
        <v>303</v>
      </c>
      <c r="BJ199" s="5" t="s">
        <v>240</v>
      </c>
      <c r="BK199" s="8">
        <f>0</f>
        <v>0</v>
      </c>
      <c r="BL199" s="7">
        <f>0</f>
        <v>0</v>
      </c>
      <c r="BM199" s="5" t="s">
        <v>258</v>
      </c>
      <c r="BN199" s="5" t="s">
        <v>259</v>
      </c>
      <c r="CB199" s="5" t="s">
        <v>240</v>
      </c>
      <c r="CC199" s="5" t="s">
        <v>240</v>
      </c>
      <c r="CG199" s="5" t="s">
        <v>304</v>
      </c>
      <c r="CH199" s="5" t="s">
        <v>305</v>
      </c>
      <c r="CI199" s="5" t="s">
        <v>240</v>
      </c>
      <c r="CL199" s="6" t="s">
        <v>261</v>
      </c>
      <c r="CM199" s="5" t="s">
        <v>240</v>
      </c>
      <c r="CN199" s="5" t="s">
        <v>263</v>
      </c>
      <c r="CO199" s="5" t="s">
        <v>240</v>
      </c>
      <c r="CP199" s="5" t="s">
        <v>240</v>
      </c>
      <c r="CQ199" s="5">
        <v>0</v>
      </c>
      <c r="CR199" s="5" t="s">
        <v>306</v>
      </c>
      <c r="CS199" s="5" t="s">
        <v>307</v>
      </c>
      <c r="CT199" s="5" t="s">
        <v>307</v>
      </c>
      <c r="CU199" s="5" t="s">
        <v>260</v>
      </c>
      <c r="CX199" s="7">
        <f>1</f>
        <v>1</v>
      </c>
      <c r="CY199" s="7">
        <f>0</f>
        <v>0</v>
      </c>
      <c r="DA199" s="7">
        <f>0</f>
        <v>0</v>
      </c>
      <c r="DC199" s="5" t="s">
        <v>309</v>
      </c>
      <c r="DD199" s="5" t="s">
        <v>240</v>
      </c>
      <c r="DF199" s="5" t="s">
        <v>309</v>
      </c>
      <c r="DG199" s="7">
        <f>657</f>
        <v>657</v>
      </c>
      <c r="DI199" s="5" t="s">
        <v>240</v>
      </c>
      <c r="DJ199" s="5" t="s">
        <v>240</v>
      </c>
      <c r="DK199" s="5" t="s">
        <v>240</v>
      </c>
      <c r="DL199" s="5" t="s">
        <v>240</v>
      </c>
      <c r="DP199" s="5" t="s">
        <v>240</v>
      </c>
      <c r="DQ199" s="5" t="s">
        <v>240</v>
      </c>
      <c r="DR199" s="5" t="s">
        <v>240</v>
      </c>
      <c r="DS199" s="5" t="s">
        <v>240</v>
      </c>
      <c r="DV199" s="5" t="s">
        <v>310</v>
      </c>
      <c r="DW199" s="5" t="s">
        <v>713</v>
      </c>
      <c r="HO199" s="5" t="s">
        <v>312</v>
      </c>
    </row>
    <row r="200" spans="1:240" x14ac:dyDescent="0.4">
      <c r="A200" s="5">
        <v>911</v>
      </c>
      <c r="B200" s="5">
        <v>1</v>
      </c>
      <c r="C200" s="5">
        <v>1</v>
      </c>
      <c r="D200" s="5" t="s">
        <v>7138</v>
      </c>
      <c r="E200" s="5" t="s">
        <v>1325</v>
      </c>
      <c r="F200" s="5" t="s">
        <v>254</v>
      </c>
      <c r="G200" s="5" t="s">
        <v>240</v>
      </c>
      <c r="H200" s="6" t="s">
        <v>7139</v>
      </c>
      <c r="I200" s="5" t="s">
        <v>7137</v>
      </c>
      <c r="J200" s="8">
        <f>13</f>
        <v>13</v>
      </c>
      <c r="K200" s="5" t="s">
        <v>308</v>
      </c>
      <c r="L200" s="7">
        <f>364</f>
        <v>364</v>
      </c>
      <c r="M200" s="7">
        <f>364</f>
        <v>364</v>
      </c>
      <c r="N200" s="5" t="s">
        <v>242</v>
      </c>
      <c r="O200" s="5">
        <v>1</v>
      </c>
      <c r="P200" s="5" t="s">
        <v>294</v>
      </c>
      <c r="Q200" s="5" t="s">
        <v>266</v>
      </c>
      <c r="R200" s="5" t="s">
        <v>240</v>
      </c>
      <c r="S200" s="5" t="s">
        <v>240</v>
      </c>
      <c r="T200" s="5" t="s">
        <v>296</v>
      </c>
      <c r="U200" s="5" t="s">
        <v>244</v>
      </c>
      <c r="V200" s="5" t="s">
        <v>240</v>
      </c>
      <c r="Y200" s="5" t="s">
        <v>240</v>
      </c>
      <c r="Z200" s="6" t="s">
        <v>298</v>
      </c>
      <c r="AB200" s="6" t="s">
        <v>240</v>
      </c>
      <c r="AE200" s="6" t="s">
        <v>299</v>
      </c>
      <c r="AF200" s="5" t="s">
        <v>248</v>
      </c>
      <c r="AG200" s="5" t="s">
        <v>249</v>
      </c>
      <c r="AW200" s="5" t="s">
        <v>251</v>
      </c>
      <c r="AX200" s="5" t="s">
        <v>240</v>
      </c>
      <c r="AY200" s="5" t="s">
        <v>253</v>
      </c>
      <c r="AZ200" s="5" t="s">
        <v>240</v>
      </c>
      <c r="BA200" s="5" t="s">
        <v>255</v>
      </c>
      <c r="BB200" s="5" t="s">
        <v>240</v>
      </c>
      <c r="BD200" s="5" t="s">
        <v>240</v>
      </c>
      <c r="BF200" s="5" t="s">
        <v>301</v>
      </c>
      <c r="BG200" s="6" t="s">
        <v>299</v>
      </c>
      <c r="BH200" s="5" t="s">
        <v>302</v>
      </c>
      <c r="BI200" s="5" t="s">
        <v>303</v>
      </c>
      <c r="BJ200" s="5" t="s">
        <v>240</v>
      </c>
      <c r="BK200" s="8">
        <f>0</f>
        <v>0</v>
      </c>
      <c r="BL200" s="7">
        <f>0</f>
        <v>0</v>
      </c>
      <c r="BM200" s="5" t="s">
        <v>258</v>
      </c>
      <c r="BN200" s="5" t="s">
        <v>259</v>
      </c>
      <c r="CB200" s="5" t="s">
        <v>240</v>
      </c>
      <c r="CC200" s="5" t="s">
        <v>240</v>
      </c>
      <c r="CG200" s="5" t="s">
        <v>304</v>
      </c>
      <c r="CH200" s="5" t="s">
        <v>305</v>
      </c>
      <c r="CI200" s="5" t="s">
        <v>240</v>
      </c>
      <c r="CL200" s="6" t="s">
        <v>261</v>
      </c>
      <c r="CM200" s="5" t="s">
        <v>240</v>
      </c>
      <c r="CN200" s="5" t="s">
        <v>263</v>
      </c>
      <c r="CO200" s="5" t="s">
        <v>240</v>
      </c>
      <c r="CP200" s="5" t="s">
        <v>240</v>
      </c>
      <c r="CQ200" s="5">
        <v>0</v>
      </c>
      <c r="CR200" s="5" t="s">
        <v>306</v>
      </c>
      <c r="CS200" s="5" t="s">
        <v>307</v>
      </c>
      <c r="CT200" s="5" t="s">
        <v>307</v>
      </c>
      <c r="CU200" s="5" t="s">
        <v>260</v>
      </c>
      <c r="CX200" s="7">
        <f>1</f>
        <v>1</v>
      </c>
      <c r="CY200" s="7">
        <f>0</f>
        <v>0</v>
      </c>
      <c r="DA200" s="7">
        <f>0</f>
        <v>0</v>
      </c>
      <c r="DC200" s="5" t="s">
        <v>309</v>
      </c>
      <c r="DD200" s="5" t="s">
        <v>240</v>
      </c>
      <c r="DF200" s="5" t="s">
        <v>309</v>
      </c>
      <c r="DG200" s="7">
        <f>2138</f>
        <v>2138</v>
      </c>
      <c r="DI200" s="5" t="s">
        <v>240</v>
      </c>
      <c r="DJ200" s="5" t="s">
        <v>240</v>
      </c>
      <c r="DK200" s="5" t="s">
        <v>240</v>
      </c>
      <c r="DL200" s="5" t="s">
        <v>240</v>
      </c>
      <c r="DP200" s="5" t="s">
        <v>240</v>
      </c>
      <c r="DQ200" s="5" t="s">
        <v>240</v>
      </c>
      <c r="DR200" s="5" t="s">
        <v>240</v>
      </c>
      <c r="DS200" s="5" t="s">
        <v>240</v>
      </c>
      <c r="DV200" s="5" t="s">
        <v>310</v>
      </c>
      <c r="DW200" s="5" t="s">
        <v>715</v>
      </c>
      <c r="HO200" s="5" t="s">
        <v>312</v>
      </c>
    </row>
    <row r="201" spans="1:240" x14ac:dyDescent="0.4">
      <c r="A201" s="5">
        <v>912</v>
      </c>
      <c r="B201" s="5">
        <v>1</v>
      </c>
      <c r="C201" s="5">
        <v>1</v>
      </c>
      <c r="D201" s="5" t="s">
        <v>1631</v>
      </c>
      <c r="E201" s="5" t="s">
        <v>1308</v>
      </c>
      <c r="F201" s="5" t="s">
        <v>254</v>
      </c>
      <c r="G201" s="5" t="s">
        <v>240</v>
      </c>
      <c r="H201" s="6" t="s">
        <v>1637</v>
      </c>
      <c r="I201" s="5" t="s">
        <v>1630</v>
      </c>
      <c r="J201" s="8">
        <f>2441.32</f>
        <v>2441.3200000000002</v>
      </c>
      <c r="K201" s="5" t="s">
        <v>308</v>
      </c>
      <c r="L201" s="7">
        <f>22216012</f>
        <v>22216012</v>
      </c>
      <c r="M201" s="7">
        <f>22216012</f>
        <v>22216012</v>
      </c>
      <c r="N201" s="5" t="s">
        <v>242</v>
      </c>
      <c r="O201" s="5">
        <v>1</v>
      </c>
      <c r="P201" s="5" t="s">
        <v>294</v>
      </c>
      <c r="Q201" s="5" t="s">
        <v>266</v>
      </c>
      <c r="R201" s="5" t="s">
        <v>240</v>
      </c>
      <c r="S201" s="5" t="s">
        <v>240</v>
      </c>
      <c r="T201" s="5" t="s">
        <v>296</v>
      </c>
      <c r="U201" s="5" t="s">
        <v>244</v>
      </c>
      <c r="V201" s="5" t="s">
        <v>240</v>
      </c>
      <c r="Y201" s="5" t="s">
        <v>240</v>
      </c>
      <c r="Z201" s="6" t="s">
        <v>298</v>
      </c>
      <c r="AB201" s="6" t="s">
        <v>240</v>
      </c>
      <c r="AE201" s="6" t="s">
        <v>299</v>
      </c>
      <c r="AF201" s="5" t="s">
        <v>248</v>
      </c>
      <c r="AG201" s="5" t="s">
        <v>249</v>
      </c>
      <c r="AW201" s="5" t="s">
        <v>251</v>
      </c>
      <c r="AX201" s="5" t="s">
        <v>240</v>
      </c>
      <c r="AY201" s="5" t="s">
        <v>253</v>
      </c>
      <c r="AZ201" s="5" t="s">
        <v>240</v>
      </c>
      <c r="BA201" s="5" t="s">
        <v>255</v>
      </c>
      <c r="BB201" s="5" t="s">
        <v>240</v>
      </c>
      <c r="BD201" s="5" t="s">
        <v>240</v>
      </c>
      <c r="BF201" s="5" t="s">
        <v>301</v>
      </c>
      <c r="BG201" s="6" t="s">
        <v>299</v>
      </c>
      <c r="BH201" s="5" t="s">
        <v>302</v>
      </c>
      <c r="BI201" s="5" t="s">
        <v>303</v>
      </c>
      <c r="BJ201" s="5" t="s">
        <v>240</v>
      </c>
      <c r="BK201" s="8">
        <f>0</f>
        <v>0</v>
      </c>
      <c r="BL201" s="7">
        <f>0</f>
        <v>0</v>
      </c>
      <c r="BM201" s="5" t="s">
        <v>258</v>
      </c>
      <c r="BN201" s="5" t="s">
        <v>259</v>
      </c>
      <c r="CB201" s="5" t="s">
        <v>240</v>
      </c>
      <c r="CC201" s="5" t="s">
        <v>240</v>
      </c>
      <c r="CG201" s="5" t="s">
        <v>304</v>
      </c>
      <c r="CH201" s="5" t="s">
        <v>305</v>
      </c>
      <c r="CI201" s="5" t="s">
        <v>240</v>
      </c>
      <c r="CL201" s="6" t="s">
        <v>261</v>
      </c>
      <c r="CM201" s="5" t="s">
        <v>240</v>
      </c>
      <c r="CN201" s="5" t="s">
        <v>263</v>
      </c>
      <c r="CO201" s="5" t="s">
        <v>240</v>
      </c>
      <c r="CP201" s="5" t="s">
        <v>240</v>
      </c>
      <c r="CQ201" s="5">
        <v>0</v>
      </c>
      <c r="CR201" s="5" t="s">
        <v>306</v>
      </c>
      <c r="CS201" s="5" t="s">
        <v>307</v>
      </c>
      <c r="CT201" s="5" t="s">
        <v>307</v>
      </c>
      <c r="CU201" s="5" t="s">
        <v>260</v>
      </c>
      <c r="CX201" s="7">
        <f>1</f>
        <v>1</v>
      </c>
      <c r="CY201" s="7">
        <f>0</f>
        <v>0</v>
      </c>
      <c r="DA201" s="7">
        <f>0</f>
        <v>0</v>
      </c>
      <c r="DC201" s="5" t="s">
        <v>309</v>
      </c>
      <c r="DD201" s="5" t="s">
        <v>240</v>
      </c>
      <c r="DF201" s="5" t="s">
        <v>309</v>
      </c>
      <c r="DG201" s="7">
        <f>487</f>
        <v>487</v>
      </c>
      <c r="DI201" s="5" t="s">
        <v>240</v>
      </c>
      <c r="DJ201" s="5" t="s">
        <v>240</v>
      </c>
      <c r="DK201" s="5" t="s">
        <v>240</v>
      </c>
      <c r="DL201" s="5" t="s">
        <v>240</v>
      </c>
      <c r="DP201" s="5" t="s">
        <v>240</v>
      </c>
      <c r="DQ201" s="5" t="s">
        <v>240</v>
      </c>
      <c r="DR201" s="5" t="s">
        <v>240</v>
      </c>
      <c r="DS201" s="5" t="s">
        <v>240</v>
      </c>
      <c r="DV201" s="5" t="s">
        <v>310</v>
      </c>
      <c r="DW201" s="5" t="s">
        <v>717</v>
      </c>
      <c r="HO201" s="5" t="s">
        <v>312</v>
      </c>
    </row>
    <row r="202" spans="1:240" x14ac:dyDescent="0.4">
      <c r="A202" s="5">
        <v>913</v>
      </c>
      <c r="B202" s="5">
        <v>1</v>
      </c>
      <c r="C202" s="5">
        <v>1</v>
      </c>
      <c r="D202" s="5" t="s">
        <v>1631</v>
      </c>
      <c r="E202" s="5" t="s">
        <v>1308</v>
      </c>
      <c r="F202" s="5" t="s">
        <v>254</v>
      </c>
      <c r="G202" s="5" t="s">
        <v>240</v>
      </c>
      <c r="H202" s="6" t="s">
        <v>1635</v>
      </c>
      <c r="I202" s="5" t="s">
        <v>1630</v>
      </c>
      <c r="J202" s="8">
        <f>1181.34</f>
        <v>1181.3399999999999</v>
      </c>
      <c r="K202" s="5" t="s">
        <v>308</v>
      </c>
      <c r="L202" s="7">
        <f>10750194</f>
        <v>10750194</v>
      </c>
      <c r="M202" s="7">
        <f>10750194</f>
        <v>10750194</v>
      </c>
      <c r="N202" s="5" t="s">
        <v>242</v>
      </c>
      <c r="O202" s="5">
        <v>1</v>
      </c>
      <c r="P202" s="5" t="s">
        <v>294</v>
      </c>
      <c r="Q202" s="5" t="s">
        <v>266</v>
      </c>
      <c r="R202" s="5" t="s">
        <v>240</v>
      </c>
      <c r="S202" s="5" t="s">
        <v>240</v>
      </c>
      <c r="T202" s="5" t="s">
        <v>296</v>
      </c>
      <c r="U202" s="5" t="s">
        <v>244</v>
      </c>
      <c r="V202" s="5" t="s">
        <v>240</v>
      </c>
      <c r="Y202" s="5" t="s">
        <v>240</v>
      </c>
      <c r="Z202" s="6" t="s">
        <v>298</v>
      </c>
      <c r="AB202" s="6" t="s">
        <v>240</v>
      </c>
      <c r="AE202" s="6" t="s">
        <v>299</v>
      </c>
      <c r="AF202" s="5" t="s">
        <v>248</v>
      </c>
      <c r="AG202" s="5" t="s">
        <v>249</v>
      </c>
      <c r="AW202" s="5" t="s">
        <v>251</v>
      </c>
      <c r="AX202" s="5" t="s">
        <v>240</v>
      </c>
      <c r="AY202" s="5" t="s">
        <v>253</v>
      </c>
      <c r="AZ202" s="5" t="s">
        <v>240</v>
      </c>
      <c r="BA202" s="5" t="s">
        <v>255</v>
      </c>
      <c r="BB202" s="5" t="s">
        <v>240</v>
      </c>
      <c r="BD202" s="5" t="s">
        <v>240</v>
      </c>
      <c r="BF202" s="5" t="s">
        <v>301</v>
      </c>
      <c r="BG202" s="6" t="s">
        <v>299</v>
      </c>
      <c r="BH202" s="5" t="s">
        <v>302</v>
      </c>
      <c r="BI202" s="5" t="s">
        <v>303</v>
      </c>
      <c r="BJ202" s="5" t="s">
        <v>240</v>
      </c>
      <c r="BK202" s="8">
        <f>0</f>
        <v>0</v>
      </c>
      <c r="BL202" s="7">
        <f>0</f>
        <v>0</v>
      </c>
      <c r="BM202" s="5" t="s">
        <v>258</v>
      </c>
      <c r="BN202" s="5" t="s">
        <v>259</v>
      </c>
      <c r="CB202" s="5" t="s">
        <v>240</v>
      </c>
      <c r="CC202" s="5" t="s">
        <v>240</v>
      </c>
      <c r="CG202" s="5" t="s">
        <v>304</v>
      </c>
      <c r="CH202" s="5" t="s">
        <v>305</v>
      </c>
      <c r="CI202" s="5" t="s">
        <v>240</v>
      </c>
      <c r="CL202" s="6" t="s">
        <v>261</v>
      </c>
      <c r="CM202" s="5" t="s">
        <v>240</v>
      </c>
      <c r="CN202" s="5" t="s">
        <v>263</v>
      </c>
      <c r="CO202" s="5" t="s">
        <v>240</v>
      </c>
      <c r="CP202" s="5" t="s">
        <v>240</v>
      </c>
      <c r="CQ202" s="5">
        <v>0</v>
      </c>
      <c r="CR202" s="5" t="s">
        <v>306</v>
      </c>
      <c r="CS202" s="5" t="s">
        <v>307</v>
      </c>
      <c r="CT202" s="5" t="s">
        <v>307</v>
      </c>
      <c r="CU202" s="5" t="s">
        <v>260</v>
      </c>
      <c r="CX202" s="7">
        <f>1</f>
        <v>1</v>
      </c>
      <c r="CY202" s="7">
        <f>0</f>
        <v>0</v>
      </c>
      <c r="DA202" s="7">
        <f>0</f>
        <v>0</v>
      </c>
      <c r="DC202" s="5" t="s">
        <v>309</v>
      </c>
      <c r="DD202" s="5" t="s">
        <v>240</v>
      </c>
      <c r="DF202" s="5" t="s">
        <v>309</v>
      </c>
      <c r="DG202" s="7">
        <f>2925</f>
        <v>2925</v>
      </c>
      <c r="DI202" s="5" t="s">
        <v>240</v>
      </c>
      <c r="DJ202" s="5" t="s">
        <v>240</v>
      </c>
      <c r="DK202" s="5" t="s">
        <v>240</v>
      </c>
      <c r="DL202" s="5" t="s">
        <v>240</v>
      </c>
      <c r="DP202" s="5" t="s">
        <v>240</v>
      </c>
      <c r="DQ202" s="5" t="s">
        <v>240</v>
      </c>
      <c r="DR202" s="5" t="s">
        <v>240</v>
      </c>
      <c r="DS202" s="5" t="s">
        <v>240</v>
      </c>
      <c r="DV202" s="5" t="s">
        <v>310</v>
      </c>
      <c r="DW202" s="5" t="s">
        <v>719</v>
      </c>
      <c r="HO202" s="5" t="s">
        <v>312</v>
      </c>
    </row>
    <row r="203" spans="1:240" x14ac:dyDescent="0.4">
      <c r="A203" s="5">
        <v>914</v>
      </c>
      <c r="B203" s="5">
        <v>1</v>
      </c>
      <c r="C203" s="5">
        <v>1</v>
      </c>
      <c r="D203" s="5" t="s">
        <v>1631</v>
      </c>
      <c r="E203" s="5" t="s">
        <v>1308</v>
      </c>
      <c r="F203" s="5" t="s">
        <v>254</v>
      </c>
      <c r="G203" s="5" t="s">
        <v>240</v>
      </c>
      <c r="H203" s="6" t="s">
        <v>1634</v>
      </c>
      <c r="I203" s="5" t="s">
        <v>1630</v>
      </c>
      <c r="J203" s="8">
        <f>702.13</f>
        <v>702.13</v>
      </c>
      <c r="K203" s="5" t="s">
        <v>308</v>
      </c>
      <c r="L203" s="7">
        <f>6389383</f>
        <v>6389383</v>
      </c>
      <c r="M203" s="7">
        <f>6389383</f>
        <v>6389383</v>
      </c>
      <c r="N203" s="5" t="s">
        <v>242</v>
      </c>
      <c r="O203" s="5">
        <v>1</v>
      </c>
      <c r="P203" s="5" t="s">
        <v>294</v>
      </c>
      <c r="Q203" s="5" t="s">
        <v>266</v>
      </c>
      <c r="R203" s="5" t="s">
        <v>240</v>
      </c>
      <c r="S203" s="5" t="s">
        <v>240</v>
      </c>
      <c r="T203" s="5" t="s">
        <v>296</v>
      </c>
      <c r="U203" s="5" t="s">
        <v>244</v>
      </c>
      <c r="V203" s="5" t="s">
        <v>240</v>
      </c>
      <c r="Y203" s="5" t="s">
        <v>240</v>
      </c>
      <c r="Z203" s="6" t="s">
        <v>298</v>
      </c>
      <c r="AB203" s="6" t="s">
        <v>240</v>
      </c>
      <c r="AE203" s="6" t="s">
        <v>299</v>
      </c>
      <c r="AF203" s="5" t="s">
        <v>248</v>
      </c>
      <c r="AG203" s="5" t="s">
        <v>249</v>
      </c>
      <c r="AW203" s="5" t="s">
        <v>251</v>
      </c>
      <c r="AX203" s="5" t="s">
        <v>240</v>
      </c>
      <c r="AY203" s="5" t="s">
        <v>253</v>
      </c>
      <c r="AZ203" s="5" t="s">
        <v>240</v>
      </c>
      <c r="BA203" s="5" t="s">
        <v>255</v>
      </c>
      <c r="BB203" s="5" t="s">
        <v>240</v>
      </c>
      <c r="BD203" s="5" t="s">
        <v>240</v>
      </c>
      <c r="BF203" s="5" t="s">
        <v>301</v>
      </c>
      <c r="BG203" s="6" t="s">
        <v>299</v>
      </c>
      <c r="BH203" s="5" t="s">
        <v>302</v>
      </c>
      <c r="BI203" s="5" t="s">
        <v>303</v>
      </c>
      <c r="BJ203" s="5" t="s">
        <v>240</v>
      </c>
      <c r="BK203" s="8">
        <f>0</f>
        <v>0</v>
      </c>
      <c r="BL203" s="7">
        <f>0</f>
        <v>0</v>
      </c>
      <c r="BM203" s="5" t="s">
        <v>258</v>
      </c>
      <c r="BN203" s="5" t="s">
        <v>259</v>
      </c>
      <c r="CB203" s="5" t="s">
        <v>240</v>
      </c>
      <c r="CC203" s="5" t="s">
        <v>240</v>
      </c>
      <c r="CG203" s="5" t="s">
        <v>304</v>
      </c>
      <c r="CH203" s="5" t="s">
        <v>305</v>
      </c>
      <c r="CI203" s="5" t="s">
        <v>240</v>
      </c>
      <c r="CL203" s="6" t="s">
        <v>261</v>
      </c>
      <c r="CM203" s="5" t="s">
        <v>240</v>
      </c>
      <c r="CN203" s="5" t="s">
        <v>263</v>
      </c>
      <c r="CO203" s="5" t="s">
        <v>240</v>
      </c>
      <c r="CP203" s="5" t="s">
        <v>240</v>
      </c>
      <c r="CQ203" s="5">
        <v>0</v>
      </c>
      <c r="CR203" s="5" t="s">
        <v>306</v>
      </c>
      <c r="CS203" s="5" t="s">
        <v>307</v>
      </c>
      <c r="CT203" s="5" t="s">
        <v>307</v>
      </c>
      <c r="CU203" s="5" t="s">
        <v>260</v>
      </c>
      <c r="CX203" s="7">
        <f>1</f>
        <v>1</v>
      </c>
      <c r="CY203" s="7">
        <f>0</f>
        <v>0</v>
      </c>
      <c r="DA203" s="7">
        <f>0</f>
        <v>0</v>
      </c>
      <c r="DC203" s="5" t="s">
        <v>309</v>
      </c>
      <c r="DD203" s="5" t="s">
        <v>240</v>
      </c>
      <c r="DF203" s="5" t="s">
        <v>309</v>
      </c>
      <c r="DG203" s="7">
        <f>870</f>
        <v>870</v>
      </c>
      <c r="DI203" s="5" t="s">
        <v>240</v>
      </c>
      <c r="DJ203" s="5" t="s">
        <v>240</v>
      </c>
      <c r="DK203" s="5" t="s">
        <v>240</v>
      </c>
      <c r="DL203" s="5" t="s">
        <v>240</v>
      </c>
      <c r="DP203" s="5" t="s">
        <v>240</v>
      </c>
      <c r="DQ203" s="5" t="s">
        <v>240</v>
      </c>
      <c r="DR203" s="5" t="s">
        <v>240</v>
      </c>
      <c r="DS203" s="5" t="s">
        <v>240</v>
      </c>
      <c r="DV203" s="5" t="s">
        <v>310</v>
      </c>
      <c r="DW203" s="5" t="s">
        <v>721</v>
      </c>
      <c r="HO203" s="5" t="s">
        <v>312</v>
      </c>
    </row>
    <row r="204" spans="1:240" x14ac:dyDescent="0.4">
      <c r="A204" s="5">
        <v>915</v>
      </c>
      <c r="B204" s="5">
        <v>1</v>
      </c>
      <c r="C204" s="5">
        <v>1</v>
      </c>
      <c r="D204" s="5" t="s">
        <v>1631</v>
      </c>
      <c r="E204" s="5" t="s">
        <v>1308</v>
      </c>
      <c r="F204" s="5" t="s">
        <v>254</v>
      </c>
      <c r="G204" s="5" t="s">
        <v>240</v>
      </c>
      <c r="H204" s="6" t="s">
        <v>1632</v>
      </c>
      <c r="I204" s="5" t="s">
        <v>1630</v>
      </c>
      <c r="J204" s="8">
        <f>427.47</f>
        <v>427.47</v>
      </c>
      <c r="K204" s="5" t="s">
        <v>308</v>
      </c>
      <c r="L204" s="7">
        <f>3889977</f>
        <v>3889977</v>
      </c>
      <c r="M204" s="7">
        <f>3889977</f>
        <v>3889977</v>
      </c>
      <c r="N204" s="5" t="s">
        <v>242</v>
      </c>
      <c r="O204" s="5">
        <v>1</v>
      </c>
      <c r="P204" s="5" t="s">
        <v>294</v>
      </c>
      <c r="Q204" s="5" t="s">
        <v>613</v>
      </c>
      <c r="R204" s="5" t="s">
        <v>240</v>
      </c>
      <c r="S204" s="5" t="s">
        <v>240</v>
      </c>
      <c r="T204" s="5" t="s">
        <v>243</v>
      </c>
      <c r="U204" s="5" t="s">
        <v>724</v>
      </c>
      <c r="V204" s="5" t="s">
        <v>240</v>
      </c>
      <c r="W204" s="5" t="s">
        <v>240</v>
      </c>
      <c r="X204" s="5" t="s">
        <v>240</v>
      </c>
      <c r="Y204" s="5" t="s">
        <v>240</v>
      </c>
      <c r="Z204" s="6" t="s">
        <v>298</v>
      </c>
      <c r="AA204" s="6" t="s">
        <v>240</v>
      </c>
      <c r="AB204" s="6" t="s">
        <v>240</v>
      </c>
      <c r="AC204" s="5" t="s">
        <v>240</v>
      </c>
      <c r="AD204" s="6" t="s">
        <v>240</v>
      </c>
      <c r="AE204" s="6" t="s">
        <v>299</v>
      </c>
      <c r="AF204" s="5" t="s">
        <v>727</v>
      </c>
      <c r="AG204" s="5" t="s">
        <v>260</v>
      </c>
      <c r="AH204" s="5" t="s">
        <v>240</v>
      </c>
      <c r="AI204" s="5" t="s">
        <v>240</v>
      </c>
      <c r="AJ204" s="5" t="s">
        <v>240</v>
      </c>
      <c r="AK204" s="5" t="s">
        <v>240</v>
      </c>
      <c r="AL204" s="5" t="s">
        <v>240</v>
      </c>
      <c r="AM204" s="5" t="s">
        <v>240</v>
      </c>
      <c r="AN204" s="5" t="s">
        <v>240</v>
      </c>
      <c r="AO204" s="5" t="s">
        <v>240</v>
      </c>
      <c r="AP204" s="6" t="s">
        <v>240</v>
      </c>
      <c r="AQ204" s="6" t="s">
        <v>240</v>
      </c>
      <c r="AR204" s="6" t="s">
        <v>240</v>
      </c>
      <c r="AS204" s="6" t="s">
        <v>240</v>
      </c>
      <c r="AT204" s="5" t="s">
        <v>240</v>
      </c>
      <c r="AU204" s="5" t="s">
        <v>729</v>
      </c>
      <c r="AV204" s="5" t="s">
        <v>729</v>
      </c>
      <c r="AW204" s="5" t="s">
        <v>251</v>
      </c>
      <c r="AX204" s="5" t="s">
        <v>252</v>
      </c>
      <c r="AY204" s="5" t="s">
        <v>253</v>
      </c>
      <c r="AZ204" s="5" t="s">
        <v>240</v>
      </c>
      <c r="BA204" s="5" t="s">
        <v>255</v>
      </c>
      <c r="BB204" s="5" t="s">
        <v>731</v>
      </c>
      <c r="BD204" s="5" t="s">
        <v>240</v>
      </c>
      <c r="BF204" s="5" t="s">
        <v>732</v>
      </c>
      <c r="BG204" s="6" t="s">
        <v>733</v>
      </c>
      <c r="BH204" s="5" t="s">
        <v>734</v>
      </c>
      <c r="BI204" s="5" t="s">
        <v>734</v>
      </c>
      <c r="BJ204" s="5" t="s">
        <v>240</v>
      </c>
      <c r="BK204" s="8">
        <f>319</f>
        <v>319</v>
      </c>
      <c r="BL204" s="7">
        <f>0</f>
        <v>0</v>
      </c>
      <c r="BM204" s="5" t="s">
        <v>258</v>
      </c>
      <c r="BN204" s="5" t="s">
        <v>259</v>
      </c>
      <c r="BO204" s="5" t="s">
        <v>240</v>
      </c>
      <c r="BP204" s="5" t="s">
        <v>240</v>
      </c>
      <c r="BQ204" s="5" t="s">
        <v>240</v>
      </c>
      <c r="BR204" s="5" t="s">
        <v>240</v>
      </c>
      <c r="BS204" s="5" t="s">
        <v>240</v>
      </c>
      <c r="BT204" s="5" t="s">
        <v>240</v>
      </c>
      <c r="BU204" s="5" t="s">
        <v>240</v>
      </c>
      <c r="BV204" s="5" t="s">
        <v>240</v>
      </c>
      <c r="BW204" s="6" t="s">
        <v>240</v>
      </c>
      <c r="BX204" s="5" t="s">
        <v>240</v>
      </c>
      <c r="BY204" s="5" t="s">
        <v>240</v>
      </c>
      <c r="BZ204" s="5" t="s">
        <v>240</v>
      </c>
      <c r="CA204" s="5" t="s">
        <v>259</v>
      </c>
      <c r="CB204" s="5" t="s">
        <v>240</v>
      </c>
      <c r="CC204" s="5" t="s">
        <v>240</v>
      </c>
      <c r="CD204" s="5" t="s">
        <v>240</v>
      </c>
      <c r="CE204" s="5" t="s">
        <v>240</v>
      </c>
      <c r="CF204" s="5" t="s">
        <v>240</v>
      </c>
      <c r="CG204" s="5" t="s">
        <v>617</v>
      </c>
      <c r="CH204" s="5" t="s">
        <v>305</v>
      </c>
      <c r="CI204" s="5" t="s">
        <v>240</v>
      </c>
      <c r="CL204" s="6" t="s">
        <v>261</v>
      </c>
      <c r="CM204" s="5" t="s">
        <v>262</v>
      </c>
      <c r="CN204" s="5" t="s">
        <v>263</v>
      </c>
      <c r="CO204" s="5" t="s">
        <v>264</v>
      </c>
      <c r="CP204" s="5" t="s">
        <v>240</v>
      </c>
      <c r="CQ204" s="5">
        <v>0</v>
      </c>
      <c r="CR204" s="5" t="s">
        <v>735</v>
      </c>
      <c r="CS204" s="5" t="s">
        <v>307</v>
      </c>
      <c r="CT204" s="5" t="s">
        <v>307</v>
      </c>
      <c r="CU204" s="5" t="s">
        <v>260</v>
      </c>
      <c r="CV204" s="5" t="s">
        <v>240</v>
      </c>
      <c r="CW204" s="8">
        <f>0</f>
        <v>0</v>
      </c>
      <c r="CX204" s="7">
        <f>0</f>
        <v>0</v>
      </c>
      <c r="CY204" s="7">
        <f>0</f>
        <v>0</v>
      </c>
      <c r="DA204" s="7">
        <f>3509</f>
        <v>3509</v>
      </c>
      <c r="DB204" s="7" t="s">
        <v>240</v>
      </c>
      <c r="DC204" s="5" t="s">
        <v>240</v>
      </c>
      <c r="DD204" s="5" t="s">
        <v>240</v>
      </c>
      <c r="DE204" s="5" t="s">
        <v>240</v>
      </c>
      <c r="DF204" s="5" t="s">
        <v>450</v>
      </c>
      <c r="DG204" s="7">
        <f>0</f>
        <v>0</v>
      </c>
      <c r="DH204" s="6" t="s">
        <v>736</v>
      </c>
      <c r="DI204" s="5" t="s">
        <v>737</v>
      </c>
      <c r="DJ204" s="5" t="s">
        <v>240</v>
      </c>
      <c r="DK204" s="5" t="s">
        <v>240</v>
      </c>
      <c r="DL204" s="5" t="s">
        <v>240</v>
      </c>
      <c r="DM204" s="5" t="s">
        <v>240</v>
      </c>
      <c r="DN204" s="5" t="s">
        <v>240</v>
      </c>
      <c r="DO204" s="7" t="s">
        <v>240</v>
      </c>
      <c r="DP204" s="5" t="s">
        <v>240</v>
      </c>
      <c r="DQ204" s="5" t="s">
        <v>240</v>
      </c>
      <c r="DR204" s="5" t="s">
        <v>731</v>
      </c>
      <c r="DS204" s="5" t="s">
        <v>731</v>
      </c>
      <c r="DT204" s="5" t="s">
        <v>240</v>
      </c>
      <c r="DU204" s="5" t="s">
        <v>240</v>
      </c>
      <c r="DV204" s="5" t="s">
        <v>738</v>
      </c>
      <c r="DW204" s="5" t="s">
        <v>312</v>
      </c>
      <c r="DX204" s="5" t="s">
        <v>240</v>
      </c>
      <c r="DY204" s="5" t="s">
        <v>240</v>
      </c>
      <c r="DZ204" s="5" t="s">
        <v>240</v>
      </c>
      <c r="EA204" s="5" t="s">
        <v>240</v>
      </c>
      <c r="EB204" s="5" t="s">
        <v>240</v>
      </c>
      <c r="EC204" s="5" t="s">
        <v>240</v>
      </c>
      <c r="ED204" s="5" t="s">
        <v>240</v>
      </c>
      <c r="EE204" s="5" t="s">
        <v>240</v>
      </c>
      <c r="EF204" s="5" t="s">
        <v>240</v>
      </c>
      <c r="EG204" s="5" t="s">
        <v>240</v>
      </c>
      <c r="EH204" s="5" t="s">
        <v>240</v>
      </c>
      <c r="EI204" s="5" t="s">
        <v>240</v>
      </c>
      <c r="EJ204" s="5" t="s">
        <v>240</v>
      </c>
      <c r="EK204" s="5" t="s">
        <v>240</v>
      </c>
      <c r="EL204" s="5" t="s">
        <v>240</v>
      </c>
      <c r="EM204" s="5" t="s">
        <v>240</v>
      </c>
      <c r="EN204" s="5" t="s">
        <v>240</v>
      </c>
      <c r="EO204" s="5" t="s">
        <v>240</v>
      </c>
      <c r="EP204" s="5" t="s">
        <v>240</v>
      </c>
      <c r="EQ204" s="5" t="s">
        <v>240</v>
      </c>
      <c r="ER204" s="5" t="s">
        <v>240</v>
      </c>
      <c r="ES204" s="5" t="s">
        <v>240</v>
      </c>
      <c r="ET204" s="5" t="s">
        <v>240</v>
      </c>
      <c r="EU204" s="5" t="s">
        <v>240</v>
      </c>
      <c r="EV204" s="5" t="s">
        <v>240</v>
      </c>
      <c r="EW204" s="5" t="s">
        <v>240</v>
      </c>
      <c r="EX204" s="5" t="s">
        <v>240</v>
      </c>
      <c r="EY204" s="5" t="s">
        <v>240</v>
      </c>
      <c r="EZ204" s="5" t="s">
        <v>240</v>
      </c>
      <c r="FA204" s="5" t="s">
        <v>240</v>
      </c>
      <c r="FB204" s="5" t="s">
        <v>240</v>
      </c>
      <c r="FC204" s="5" t="s">
        <v>240</v>
      </c>
      <c r="FD204" s="5" t="s">
        <v>240</v>
      </c>
      <c r="FE204" s="5" t="s">
        <v>240</v>
      </c>
      <c r="FF204" s="5" t="s">
        <v>240</v>
      </c>
      <c r="FG204" s="5" t="s">
        <v>240</v>
      </c>
      <c r="FH204" s="5" t="s">
        <v>240</v>
      </c>
      <c r="FI204" s="5" t="s">
        <v>240</v>
      </c>
      <c r="FJ204" s="5" t="s">
        <v>240</v>
      </c>
      <c r="FK204" s="5" t="s">
        <v>240</v>
      </c>
      <c r="FL204" s="5" t="s">
        <v>240</v>
      </c>
      <c r="FM204" s="5" t="s">
        <v>240</v>
      </c>
      <c r="FN204" s="5" t="s">
        <v>240</v>
      </c>
      <c r="FO204" s="5" t="s">
        <v>240</v>
      </c>
      <c r="FP204" s="5" t="s">
        <v>240</v>
      </c>
      <c r="FQ204" s="5" t="s">
        <v>240</v>
      </c>
      <c r="FR204" s="5" t="s">
        <v>240</v>
      </c>
      <c r="FS204" s="5" t="s">
        <v>240</v>
      </c>
      <c r="FT204" s="5" t="s">
        <v>240</v>
      </c>
      <c r="FU204" s="5" t="s">
        <v>240</v>
      </c>
      <c r="FV204" s="5" t="s">
        <v>240</v>
      </c>
      <c r="FW204" s="5" t="s">
        <v>240</v>
      </c>
      <c r="FX204" s="5" t="s">
        <v>240</v>
      </c>
      <c r="FY204" s="5" t="s">
        <v>240</v>
      </c>
      <c r="FZ204" s="5" t="s">
        <v>240</v>
      </c>
      <c r="GA204" s="5" t="s">
        <v>240</v>
      </c>
      <c r="GB204" s="5" t="s">
        <v>240</v>
      </c>
      <c r="GC204" s="5" t="s">
        <v>240</v>
      </c>
      <c r="GD204" s="5" t="s">
        <v>240</v>
      </c>
      <c r="GE204" s="5" t="s">
        <v>240</v>
      </c>
      <c r="GF204" s="5" t="s">
        <v>240</v>
      </c>
      <c r="GG204" s="5" t="s">
        <v>240</v>
      </c>
      <c r="GH204" s="5" t="s">
        <v>240</v>
      </c>
      <c r="GI204" s="5" t="s">
        <v>240</v>
      </c>
      <c r="GJ204" s="5" t="s">
        <v>240</v>
      </c>
      <c r="GK204" s="5" t="s">
        <v>240</v>
      </c>
      <c r="GL204" s="5" t="s">
        <v>240</v>
      </c>
      <c r="GM204" s="5" t="s">
        <v>240</v>
      </c>
      <c r="GN204" s="5" t="s">
        <v>240</v>
      </c>
      <c r="GO204" s="5" t="s">
        <v>240</v>
      </c>
      <c r="GP204" s="5" t="s">
        <v>240</v>
      </c>
      <c r="GQ204" s="5" t="s">
        <v>240</v>
      </c>
      <c r="GR204" s="5" t="s">
        <v>240</v>
      </c>
      <c r="GS204" s="5" t="s">
        <v>240</v>
      </c>
      <c r="GT204" s="5" t="s">
        <v>240</v>
      </c>
      <c r="GU204" s="5" t="s">
        <v>240</v>
      </c>
      <c r="GV204" s="5" t="s">
        <v>240</v>
      </c>
      <c r="GW204" s="5" t="s">
        <v>240</v>
      </c>
      <c r="GX204" s="5" t="s">
        <v>240</v>
      </c>
      <c r="GY204" s="5" t="s">
        <v>240</v>
      </c>
      <c r="GZ204" s="5" t="s">
        <v>240</v>
      </c>
      <c r="HA204" s="5" t="s">
        <v>240</v>
      </c>
      <c r="HB204" s="5" t="s">
        <v>240</v>
      </c>
      <c r="HC204" s="5" t="s">
        <v>240</v>
      </c>
      <c r="HD204" s="5" t="s">
        <v>240</v>
      </c>
      <c r="HE204" s="5" t="s">
        <v>240</v>
      </c>
      <c r="HF204" s="5" t="s">
        <v>240</v>
      </c>
      <c r="HG204" s="5" t="s">
        <v>240</v>
      </c>
      <c r="HH204" s="5" t="s">
        <v>240</v>
      </c>
      <c r="HI204" s="5" t="s">
        <v>240</v>
      </c>
      <c r="HJ204" s="5" t="s">
        <v>240</v>
      </c>
      <c r="HK204" s="5" t="s">
        <v>240</v>
      </c>
      <c r="HL204" s="5" t="s">
        <v>240</v>
      </c>
      <c r="HM204" s="5" t="s">
        <v>240</v>
      </c>
      <c r="HN204" s="5" t="s">
        <v>240</v>
      </c>
      <c r="HO204" s="5" t="s">
        <v>312</v>
      </c>
      <c r="HP204" s="5" t="s">
        <v>240</v>
      </c>
      <c r="HQ204" s="5" t="s">
        <v>240</v>
      </c>
      <c r="HR204" s="5" t="s">
        <v>240</v>
      </c>
      <c r="HS204" s="5" t="s">
        <v>240</v>
      </c>
      <c r="HT204" s="5" t="s">
        <v>240</v>
      </c>
      <c r="HU204" s="5" t="s">
        <v>240</v>
      </c>
      <c r="HV204" s="5" t="s">
        <v>240</v>
      </c>
      <c r="HW204" s="5" t="s">
        <v>240</v>
      </c>
      <c r="HX204" s="5" t="s">
        <v>240</v>
      </c>
      <c r="HY204" s="5" t="s">
        <v>240</v>
      </c>
      <c r="HZ204" s="5" t="s">
        <v>240</v>
      </c>
      <c r="IA204" s="5" t="s">
        <v>240</v>
      </c>
      <c r="IB204" s="5" t="s">
        <v>240</v>
      </c>
      <c r="IC204" s="5" t="s">
        <v>240</v>
      </c>
      <c r="ID204" s="5" t="s">
        <v>240</v>
      </c>
      <c r="IE204" s="5" t="s">
        <v>240</v>
      </c>
      <c r="IF204" s="5" t="s">
        <v>240</v>
      </c>
    </row>
    <row r="205" spans="1:240" x14ac:dyDescent="0.4">
      <c r="A205" s="5">
        <v>916</v>
      </c>
      <c r="B205" s="5">
        <v>1</v>
      </c>
      <c r="C205" s="5">
        <v>1</v>
      </c>
      <c r="D205" s="5" t="s">
        <v>1626</v>
      </c>
      <c r="E205" s="5" t="s">
        <v>1308</v>
      </c>
      <c r="F205" s="5" t="s">
        <v>254</v>
      </c>
      <c r="G205" s="5" t="s">
        <v>240</v>
      </c>
      <c r="H205" s="6" t="s">
        <v>1629</v>
      </c>
      <c r="I205" s="5" t="s">
        <v>1625</v>
      </c>
      <c r="J205" s="8">
        <f>279.29</f>
        <v>279.29000000000002</v>
      </c>
      <c r="K205" s="5" t="s">
        <v>308</v>
      </c>
      <c r="L205" s="7">
        <f>3379409</f>
        <v>3379409</v>
      </c>
      <c r="M205" s="7">
        <f>3379409</f>
        <v>3379409</v>
      </c>
      <c r="N205" s="5" t="s">
        <v>242</v>
      </c>
      <c r="O205" s="5">
        <v>1</v>
      </c>
      <c r="P205" s="5" t="s">
        <v>294</v>
      </c>
      <c r="Q205" s="5" t="s">
        <v>266</v>
      </c>
      <c r="R205" s="5" t="s">
        <v>240</v>
      </c>
      <c r="S205" s="5" t="s">
        <v>240</v>
      </c>
      <c r="T205" s="5" t="s">
        <v>296</v>
      </c>
      <c r="U205" s="5" t="s">
        <v>244</v>
      </c>
      <c r="V205" s="5" t="s">
        <v>240</v>
      </c>
      <c r="Y205" s="5" t="s">
        <v>240</v>
      </c>
      <c r="Z205" s="6" t="s">
        <v>298</v>
      </c>
      <c r="AB205" s="6" t="s">
        <v>240</v>
      </c>
      <c r="AE205" s="6" t="s">
        <v>299</v>
      </c>
      <c r="AF205" s="5" t="s">
        <v>248</v>
      </c>
      <c r="AG205" s="5" t="s">
        <v>249</v>
      </c>
      <c r="AW205" s="5" t="s">
        <v>251</v>
      </c>
      <c r="AX205" s="5" t="s">
        <v>240</v>
      </c>
      <c r="AY205" s="5" t="s">
        <v>253</v>
      </c>
      <c r="AZ205" s="5" t="s">
        <v>240</v>
      </c>
      <c r="BA205" s="5" t="s">
        <v>255</v>
      </c>
      <c r="BB205" s="5" t="s">
        <v>240</v>
      </c>
      <c r="BD205" s="5" t="s">
        <v>240</v>
      </c>
      <c r="BF205" s="5" t="s">
        <v>301</v>
      </c>
      <c r="BG205" s="6" t="s">
        <v>299</v>
      </c>
      <c r="BH205" s="5" t="s">
        <v>302</v>
      </c>
      <c r="BI205" s="5" t="s">
        <v>303</v>
      </c>
      <c r="BJ205" s="5" t="s">
        <v>240</v>
      </c>
      <c r="BK205" s="8">
        <f>0</f>
        <v>0</v>
      </c>
      <c r="BL205" s="7">
        <f>0</f>
        <v>0</v>
      </c>
      <c r="BM205" s="5" t="s">
        <v>258</v>
      </c>
      <c r="BN205" s="5" t="s">
        <v>259</v>
      </c>
      <c r="CB205" s="5" t="s">
        <v>240</v>
      </c>
      <c r="CC205" s="5" t="s">
        <v>240</v>
      </c>
      <c r="CG205" s="5" t="s">
        <v>304</v>
      </c>
      <c r="CH205" s="5" t="s">
        <v>305</v>
      </c>
      <c r="CI205" s="5" t="s">
        <v>240</v>
      </c>
      <c r="CL205" s="6" t="s">
        <v>261</v>
      </c>
      <c r="CM205" s="5" t="s">
        <v>240</v>
      </c>
      <c r="CN205" s="5" t="s">
        <v>263</v>
      </c>
      <c r="CO205" s="5" t="s">
        <v>240</v>
      </c>
      <c r="CP205" s="5" t="s">
        <v>240</v>
      </c>
      <c r="CQ205" s="5">
        <v>0</v>
      </c>
      <c r="CR205" s="5" t="s">
        <v>306</v>
      </c>
      <c r="CS205" s="5" t="s">
        <v>307</v>
      </c>
      <c r="CT205" s="5" t="s">
        <v>307</v>
      </c>
      <c r="CU205" s="5" t="s">
        <v>260</v>
      </c>
      <c r="CX205" s="7">
        <f>1</f>
        <v>1</v>
      </c>
      <c r="CY205" s="7">
        <f>0</f>
        <v>0</v>
      </c>
      <c r="DA205" s="7">
        <f>0</f>
        <v>0</v>
      </c>
      <c r="DC205" s="5" t="s">
        <v>309</v>
      </c>
      <c r="DD205" s="5" t="s">
        <v>240</v>
      </c>
      <c r="DF205" s="5" t="s">
        <v>309</v>
      </c>
      <c r="DG205" s="7">
        <f>5354</f>
        <v>5354</v>
      </c>
      <c r="DI205" s="5" t="s">
        <v>240</v>
      </c>
      <c r="DJ205" s="5" t="s">
        <v>240</v>
      </c>
      <c r="DK205" s="5" t="s">
        <v>240</v>
      </c>
      <c r="DL205" s="5" t="s">
        <v>240</v>
      </c>
      <c r="DP205" s="5" t="s">
        <v>240</v>
      </c>
      <c r="DQ205" s="5" t="s">
        <v>240</v>
      </c>
      <c r="DR205" s="5" t="s">
        <v>240</v>
      </c>
      <c r="DS205" s="5" t="s">
        <v>240</v>
      </c>
      <c r="DV205" s="5" t="s">
        <v>310</v>
      </c>
      <c r="DW205" s="5" t="s">
        <v>740</v>
      </c>
      <c r="HO205" s="5" t="s">
        <v>312</v>
      </c>
    </row>
    <row r="206" spans="1:240" x14ac:dyDescent="0.4">
      <c r="A206" s="5">
        <v>917</v>
      </c>
      <c r="B206" s="5">
        <v>1</v>
      </c>
      <c r="C206" s="5">
        <v>1</v>
      </c>
      <c r="D206" s="5" t="s">
        <v>1626</v>
      </c>
      <c r="E206" s="5" t="s">
        <v>1308</v>
      </c>
      <c r="F206" s="5" t="s">
        <v>254</v>
      </c>
      <c r="G206" s="5" t="s">
        <v>240</v>
      </c>
      <c r="H206" s="6" t="s">
        <v>1627</v>
      </c>
      <c r="I206" s="5" t="s">
        <v>1625</v>
      </c>
      <c r="J206" s="8">
        <f>93.21</f>
        <v>93.21</v>
      </c>
      <c r="K206" s="5" t="s">
        <v>308</v>
      </c>
      <c r="L206" s="7">
        <f>1127841</f>
        <v>1127841</v>
      </c>
      <c r="M206" s="7">
        <f>1127841</f>
        <v>1127841</v>
      </c>
      <c r="N206" s="5" t="s">
        <v>242</v>
      </c>
      <c r="O206" s="5">
        <v>1</v>
      </c>
      <c r="P206" s="5" t="s">
        <v>294</v>
      </c>
      <c r="Q206" s="5" t="s">
        <v>266</v>
      </c>
      <c r="R206" s="5" t="s">
        <v>240</v>
      </c>
      <c r="S206" s="5" t="s">
        <v>240</v>
      </c>
      <c r="T206" s="5" t="s">
        <v>296</v>
      </c>
      <c r="U206" s="5" t="s">
        <v>244</v>
      </c>
      <c r="V206" s="5" t="s">
        <v>240</v>
      </c>
      <c r="Y206" s="5" t="s">
        <v>240</v>
      </c>
      <c r="Z206" s="6" t="s">
        <v>298</v>
      </c>
      <c r="AB206" s="6" t="s">
        <v>240</v>
      </c>
      <c r="AE206" s="6" t="s">
        <v>299</v>
      </c>
      <c r="AF206" s="5" t="s">
        <v>248</v>
      </c>
      <c r="AG206" s="5" t="s">
        <v>249</v>
      </c>
      <c r="AW206" s="5" t="s">
        <v>251</v>
      </c>
      <c r="AX206" s="5" t="s">
        <v>240</v>
      </c>
      <c r="AY206" s="5" t="s">
        <v>253</v>
      </c>
      <c r="AZ206" s="5" t="s">
        <v>240</v>
      </c>
      <c r="BA206" s="5" t="s">
        <v>255</v>
      </c>
      <c r="BB206" s="5" t="s">
        <v>240</v>
      </c>
      <c r="BD206" s="5" t="s">
        <v>240</v>
      </c>
      <c r="BF206" s="5" t="s">
        <v>301</v>
      </c>
      <c r="BG206" s="6" t="s">
        <v>299</v>
      </c>
      <c r="BH206" s="5" t="s">
        <v>302</v>
      </c>
      <c r="BI206" s="5" t="s">
        <v>303</v>
      </c>
      <c r="BJ206" s="5" t="s">
        <v>240</v>
      </c>
      <c r="BK206" s="8">
        <f>0</f>
        <v>0</v>
      </c>
      <c r="BL206" s="7">
        <f>0</f>
        <v>0</v>
      </c>
      <c r="BM206" s="5" t="s">
        <v>258</v>
      </c>
      <c r="BN206" s="5" t="s">
        <v>259</v>
      </c>
      <c r="CB206" s="5" t="s">
        <v>240</v>
      </c>
      <c r="CC206" s="5" t="s">
        <v>240</v>
      </c>
      <c r="CG206" s="5" t="s">
        <v>304</v>
      </c>
      <c r="CH206" s="5" t="s">
        <v>305</v>
      </c>
      <c r="CI206" s="5" t="s">
        <v>240</v>
      </c>
      <c r="CL206" s="6" t="s">
        <v>261</v>
      </c>
      <c r="CM206" s="5" t="s">
        <v>240</v>
      </c>
      <c r="CN206" s="5" t="s">
        <v>263</v>
      </c>
      <c r="CO206" s="5" t="s">
        <v>240</v>
      </c>
      <c r="CP206" s="5" t="s">
        <v>240</v>
      </c>
      <c r="CQ206" s="5">
        <v>0</v>
      </c>
      <c r="CR206" s="5" t="s">
        <v>306</v>
      </c>
      <c r="CS206" s="5" t="s">
        <v>307</v>
      </c>
      <c r="CT206" s="5" t="s">
        <v>307</v>
      </c>
      <c r="CU206" s="5" t="s">
        <v>260</v>
      </c>
      <c r="CX206" s="7">
        <f>1</f>
        <v>1</v>
      </c>
      <c r="CY206" s="7">
        <f>0</f>
        <v>0</v>
      </c>
      <c r="DA206" s="7">
        <f>0</f>
        <v>0</v>
      </c>
      <c r="DC206" s="5" t="s">
        <v>309</v>
      </c>
      <c r="DD206" s="5" t="s">
        <v>240</v>
      </c>
      <c r="DF206" s="5" t="s">
        <v>309</v>
      </c>
      <c r="DG206" s="7">
        <f>180</f>
        <v>180</v>
      </c>
      <c r="DI206" s="5" t="s">
        <v>240</v>
      </c>
      <c r="DJ206" s="5" t="s">
        <v>240</v>
      </c>
      <c r="DK206" s="5" t="s">
        <v>240</v>
      </c>
      <c r="DL206" s="5" t="s">
        <v>240</v>
      </c>
      <c r="DP206" s="5" t="s">
        <v>240</v>
      </c>
      <c r="DQ206" s="5" t="s">
        <v>240</v>
      </c>
      <c r="DR206" s="5" t="s">
        <v>240</v>
      </c>
      <c r="DS206" s="5" t="s">
        <v>240</v>
      </c>
      <c r="DV206" s="5" t="s">
        <v>310</v>
      </c>
      <c r="DW206" s="5" t="s">
        <v>742</v>
      </c>
      <c r="HO206" s="5" t="s">
        <v>312</v>
      </c>
    </row>
    <row r="207" spans="1:240" x14ac:dyDescent="0.4">
      <c r="A207" s="5">
        <v>918</v>
      </c>
      <c r="B207" s="5">
        <v>1</v>
      </c>
      <c r="C207" s="5">
        <v>1</v>
      </c>
      <c r="D207" s="5" t="s">
        <v>7216</v>
      </c>
      <c r="E207" s="5" t="s">
        <v>1325</v>
      </c>
      <c r="F207" s="5" t="s">
        <v>254</v>
      </c>
      <c r="G207" s="5" t="s">
        <v>7217</v>
      </c>
      <c r="H207" s="6" t="s">
        <v>7218</v>
      </c>
      <c r="I207" s="5" t="s">
        <v>7215</v>
      </c>
      <c r="J207" s="8">
        <f>1721</f>
        <v>1721</v>
      </c>
      <c r="K207" s="5" t="s">
        <v>308</v>
      </c>
      <c r="L207" s="7">
        <f>3812015</f>
        <v>3812015</v>
      </c>
      <c r="M207" s="7">
        <f>3812015</f>
        <v>3812015</v>
      </c>
      <c r="N207" s="5" t="s">
        <v>242</v>
      </c>
      <c r="O207" s="5">
        <v>1</v>
      </c>
      <c r="P207" s="5" t="s">
        <v>294</v>
      </c>
      <c r="Q207" s="5" t="s">
        <v>266</v>
      </c>
      <c r="R207" s="5" t="s">
        <v>240</v>
      </c>
      <c r="S207" s="5" t="s">
        <v>240</v>
      </c>
      <c r="T207" s="5" t="s">
        <v>296</v>
      </c>
      <c r="U207" s="5" t="s">
        <v>244</v>
      </c>
      <c r="V207" s="5" t="s">
        <v>240</v>
      </c>
      <c r="Y207" s="5" t="s">
        <v>240</v>
      </c>
      <c r="Z207" s="6" t="s">
        <v>298</v>
      </c>
      <c r="AB207" s="6" t="s">
        <v>240</v>
      </c>
      <c r="AE207" s="6" t="s">
        <v>299</v>
      </c>
      <c r="AF207" s="5" t="s">
        <v>248</v>
      </c>
      <c r="AG207" s="5" t="s">
        <v>249</v>
      </c>
      <c r="AW207" s="5" t="s">
        <v>251</v>
      </c>
      <c r="AX207" s="5" t="s">
        <v>240</v>
      </c>
      <c r="AY207" s="5" t="s">
        <v>253</v>
      </c>
      <c r="AZ207" s="5" t="s">
        <v>240</v>
      </c>
      <c r="BA207" s="5" t="s">
        <v>255</v>
      </c>
      <c r="BB207" s="5" t="s">
        <v>240</v>
      </c>
      <c r="BD207" s="5" t="s">
        <v>240</v>
      </c>
      <c r="BF207" s="5" t="s">
        <v>301</v>
      </c>
      <c r="BG207" s="6" t="s">
        <v>299</v>
      </c>
      <c r="BH207" s="5" t="s">
        <v>302</v>
      </c>
      <c r="BI207" s="5" t="s">
        <v>303</v>
      </c>
      <c r="BJ207" s="5" t="s">
        <v>240</v>
      </c>
      <c r="BK207" s="8">
        <f>0</f>
        <v>0</v>
      </c>
      <c r="BL207" s="7">
        <f>0</f>
        <v>0</v>
      </c>
      <c r="BM207" s="5" t="s">
        <v>258</v>
      </c>
      <c r="BN207" s="5" t="s">
        <v>259</v>
      </c>
      <c r="CB207" s="5" t="s">
        <v>240</v>
      </c>
      <c r="CC207" s="5" t="s">
        <v>240</v>
      </c>
      <c r="CG207" s="5" t="s">
        <v>304</v>
      </c>
      <c r="CH207" s="5" t="s">
        <v>305</v>
      </c>
      <c r="CI207" s="5" t="s">
        <v>240</v>
      </c>
      <c r="CL207" s="6" t="s">
        <v>261</v>
      </c>
      <c r="CM207" s="5" t="s">
        <v>240</v>
      </c>
      <c r="CN207" s="5" t="s">
        <v>263</v>
      </c>
      <c r="CO207" s="5" t="s">
        <v>240</v>
      </c>
      <c r="CP207" s="5" t="s">
        <v>240</v>
      </c>
      <c r="CQ207" s="5">
        <v>0</v>
      </c>
      <c r="CR207" s="5" t="s">
        <v>306</v>
      </c>
      <c r="CS207" s="5" t="s">
        <v>307</v>
      </c>
      <c r="CT207" s="5" t="s">
        <v>307</v>
      </c>
      <c r="CU207" s="5" t="s">
        <v>260</v>
      </c>
      <c r="CX207" s="7">
        <f>1</f>
        <v>1</v>
      </c>
      <c r="CY207" s="7">
        <f>0</f>
        <v>0</v>
      </c>
      <c r="DA207" s="7">
        <f>0</f>
        <v>0</v>
      </c>
      <c r="DC207" s="5" t="s">
        <v>309</v>
      </c>
      <c r="DD207" s="5" t="s">
        <v>240</v>
      </c>
      <c r="DF207" s="5" t="s">
        <v>309</v>
      </c>
      <c r="DG207" s="7">
        <f>1833</f>
        <v>1833</v>
      </c>
      <c r="DI207" s="5" t="s">
        <v>240</v>
      </c>
      <c r="DJ207" s="5" t="s">
        <v>240</v>
      </c>
      <c r="DK207" s="5" t="s">
        <v>240</v>
      </c>
      <c r="DL207" s="5" t="s">
        <v>240</v>
      </c>
      <c r="DP207" s="5" t="s">
        <v>240</v>
      </c>
      <c r="DQ207" s="5" t="s">
        <v>240</v>
      </c>
      <c r="DR207" s="5" t="s">
        <v>240</v>
      </c>
      <c r="DS207" s="5" t="s">
        <v>240</v>
      </c>
      <c r="DV207" s="5" t="s">
        <v>310</v>
      </c>
      <c r="DW207" s="5" t="s">
        <v>744</v>
      </c>
      <c r="HO207" s="5" t="s">
        <v>312</v>
      </c>
    </row>
    <row r="208" spans="1:240" x14ac:dyDescent="0.4">
      <c r="A208" s="5">
        <v>919</v>
      </c>
      <c r="B208" s="5">
        <v>1</v>
      </c>
      <c r="C208" s="5">
        <v>1</v>
      </c>
      <c r="D208" s="5" t="s">
        <v>6877</v>
      </c>
      <c r="E208" s="5" t="s">
        <v>1325</v>
      </c>
      <c r="F208" s="5" t="s">
        <v>254</v>
      </c>
      <c r="G208" s="5" t="s">
        <v>240</v>
      </c>
      <c r="H208" s="6" t="s">
        <v>7156</v>
      </c>
      <c r="I208" s="5" t="s">
        <v>6876</v>
      </c>
      <c r="J208" s="8">
        <f>963</f>
        <v>963</v>
      </c>
      <c r="K208" s="5" t="s">
        <v>308</v>
      </c>
      <c r="L208" s="7">
        <f>2133045</f>
        <v>2133045</v>
      </c>
      <c r="M208" s="7">
        <f>2133045</f>
        <v>2133045</v>
      </c>
      <c r="N208" s="5" t="s">
        <v>242</v>
      </c>
      <c r="O208" s="5">
        <v>1</v>
      </c>
      <c r="P208" s="5" t="s">
        <v>294</v>
      </c>
      <c r="Q208" s="5" t="s">
        <v>266</v>
      </c>
      <c r="R208" s="5" t="s">
        <v>240</v>
      </c>
      <c r="S208" s="5" t="s">
        <v>240</v>
      </c>
      <c r="T208" s="5" t="s">
        <v>296</v>
      </c>
      <c r="U208" s="5" t="s">
        <v>244</v>
      </c>
      <c r="V208" s="5" t="s">
        <v>240</v>
      </c>
      <c r="Y208" s="5" t="s">
        <v>240</v>
      </c>
      <c r="Z208" s="6" t="s">
        <v>298</v>
      </c>
      <c r="AB208" s="6" t="s">
        <v>240</v>
      </c>
      <c r="AE208" s="6" t="s">
        <v>745</v>
      </c>
      <c r="AF208" s="5" t="s">
        <v>248</v>
      </c>
      <c r="AG208" s="5" t="s">
        <v>249</v>
      </c>
      <c r="AW208" s="5" t="s">
        <v>251</v>
      </c>
      <c r="AX208" s="5" t="s">
        <v>240</v>
      </c>
      <c r="AY208" s="5" t="s">
        <v>253</v>
      </c>
      <c r="AZ208" s="5" t="s">
        <v>240</v>
      </c>
      <c r="BA208" s="5" t="s">
        <v>255</v>
      </c>
      <c r="BB208" s="5" t="s">
        <v>240</v>
      </c>
      <c r="BD208" s="5" t="s">
        <v>240</v>
      </c>
      <c r="BF208" s="5" t="s">
        <v>687</v>
      </c>
      <c r="BG208" s="6" t="s">
        <v>747</v>
      </c>
      <c r="BH208" s="5" t="s">
        <v>302</v>
      </c>
      <c r="BI208" s="5" t="s">
        <v>303</v>
      </c>
      <c r="BJ208" s="5" t="s">
        <v>240</v>
      </c>
      <c r="BK208" s="8">
        <f>0</f>
        <v>0</v>
      </c>
      <c r="BL208" s="7">
        <f>0</f>
        <v>0</v>
      </c>
      <c r="BM208" s="5" t="s">
        <v>258</v>
      </c>
      <c r="BN208" s="5" t="s">
        <v>259</v>
      </c>
      <c r="CB208" s="5" t="s">
        <v>240</v>
      </c>
      <c r="CC208" s="5" t="s">
        <v>240</v>
      </c>
      <c r="CG208" s="5" t="s">
        <v>304</v>
      </c>
      <c r="CH208" s="5" t="s">
        <v>305</v>
      </c>
      <c r="CI208" s="5" t="s">
        <v>240</v>
      </c>
      <c r="CL208" s="6" t="s">
        <v>261</v>
      </c>
      <c r="CM208" s="5" t="s">
        <v>240</v>
      </c>
      <c r="CN208" s="5" t="s">
        <v>263</v>
      </c>
      <c r="CO208" s="5" t="s">
        <v>240</v>
      </c>
      <c r="CP208" s="5" t="s">
        <v>240</v>
      </c>
      <c r="CQ208" s="5">
        <v>0</v>
      </c>
      <c r="CR208" s="5" t="s">
        <v>306</v>
      </c>
      <c r="CS208" s="5" t="s">
        <v>307</v>
      </c>
      <c r="CT208" s="5" t="s">
        <v>307</v>
      </c>
      <c r="CU208" s="5" t="s">
        <v>260</v>
      </c>
      <c r="CX208" s="7">
        <f>1</f>
        <v>1</v>
      </c>
      <c r="CY208" s="7">
        <f>0</f>
        <v>0</v>
      </c>
      <c r="DA208" s="7">
        <f>0</f>
        <v>0</v>
      </c>
      <c r="DC208" s="5" t="s">
        <v>309</v>
      </c>
      <c r="DD208" s="5" t="s">
        <v>240</v>
      </c>
      <c r="DF208" s="5" t="s">
        <v>309</v>
      </c>
      <c r="DG208" s="7">
        <f>769</f>
        <v>769</v>
      </c>
      <c r="DI208" s="5" t="s">
        <v>240</v>
      </c>
      <c r="DJ208" s="5" t="s">
        <v>240</v>
      </c>
      <c r="DK208" s="5" t="s">
        <v>240</v>
      </c>
      <c r="DL208" s="5" t="s">
        <v>240</v>
      </c>
      <c r="DP208" s="5" t="s">
        <v>240</v>
      </c>
      <c r="DQ208" s="5" t="s">
        <v>240</v>
      </c>
      <c r="DR208" s="5" t="s">
        <v>240</v>
      </c>
      <c r="DS208" s="5" t="s">
        <v>240</v>
      </c>
      <c r="DV208" s="5" t="s">
        <v>310</v>
      </c>
      <c r="DW208" s="5" t="s">
        <v>748</v>
      </c>
      <c r="HO208" s="5" t="s">
        <v>312</v>
      </c>
    </row>
    <row r="209" spans="1:223" x14ac:dyDescent="0.4">
      <c r="A209" s="5">
        <v>920</v>
      </c>
      <c r="B209" s="5">
        <v>1</v>
      </c>
      <c r="C209" s="5">
        <v>1</v>
      </c>
      <c r="D209" s="5" t="s">
        <v>6877</v>
      </c>
      <c r="E209" s="5" t="s">
        <v>1325</v>
      </c>
      <c r="F209" s="5" t="s">
        <v>254</v>
      </c>
      <c r="G209" s="5" t="s">
        <v>240</v>
      </c>
      <c r="H209" s="6" t="s">
        <v>7022</v>
      </c>
      <c r="I209" s="5" t="s">
        <v>6876</v>
      </c>
      <c r="J209" s="8">
        <f>13285</f>
        <v>13285</v>
      </c>
      <c r="K209" s="5" t="s">
        <v>308</v>
      </c>
      <c r="L209" s="7">
        <f>29426275</f>
        <v>29426275</v>
      </c>
      <c r="M209" s="7">
        <f>29426275</f>
        <v>29426275</v>
      </c>
      <c r="N209" s="5" t="s">
        <v>242</v>
      </c>
      <c r="O209" s="5">
        <v>1</v>
      </c>
      <c r="P209" s="5" t="s">
        <v>294</v>
      </c>
      <c r="Q209" s="5" t="s">
        <v>266</v>
      </c>
      <c r="R209" s="5" t="s">
        <v>240</v>
      </c>
      <c r="S209" s="5" t="s">
        <v>240</v>
      </c>
      <c r="T209" s="5" t="s">
        <v>296</v>
      </c>
      <c r="U209" s="5" t="s">
        <v>244</v>
      </c>
      <c r="V209" s="5" t="s">
        <v>240</v>
      </c>
      <c r="Y209" s="5" t="s">
        <v>240</v>
      </c>
      <c r="Z209" s="6" t="s">
        <v>298</v>
      </c>
      <c r="AB209" s="6" t="s">
        <v>240</v>
      </c>
      <c r="AE209" s="6" t="s">
        <v>745</v>
      </c>
      <c r="AF209" s="5" t="s">
        <v>248</v>
      </c>
      <c r="AG209" s="5" t="s">
        <v>249</v>
      </c>
      <c r="AW209" s="5" t="s">
        <v>251</v>
      </c>
      <c r="AX209" s="5" t="s">
        <v>240</v>
      </c>
      <c r="AY209" s="5" t="s">
        <v>253</v>
      </c>
      <c r="AZ209" s="5" t="s">
        <v>240</v>
      </c>
      <c r="BA209" s="5" t="s">
        <v>255</v>
      </c>
      <c r="BB209" s="5" t="s">
        <v>240</v>
      </c>
      <c r="BD209" s="5" t="s">
        <v>240</v>
      </c>
      <c r="BF209" s="5" t="s">
        <v>447</v>
      </c>
      <c r="BG209" s="6" t="s">
        <v>745</v>
      </c>
      <c r="BH209" s="5" t="s">
        <v>302</v>
      </c>
      <c r="BI209" s="5" t="s">
        <v>303</v>
      </c>
      <c r="BJ209" s="5" t="s">
        <v>240</v>
      </c>
      <c r="BK209" s="8">
        <f>0</f>
        <v>0</v>
      </c>
      <c r="BL209" s="7">
        <f>0</f>
        <v>0</v>
      </c>
      <c r="BM209" s="5" t="s">
        <v>258</v>
      </c>
      <c r="BN209" s="5" t="s">
        <v>259</v>
      </c>
      <c r="CB209" s="5" t="s">
        <v>240</v>
      </c>
      <c r="CC209" s="5" t="s">
        <v>240</v>
      </c>
      <c r="CG209" s="5" t="s">
        <v>304</v>
      </c>
      <c r="CH209" s="5" t="s">
        <v>305</v>
      </c>
      <c r="CI209" s="5" t="s">
        <v>240</v>
      </c>
      <c r="CL209" s="6" t="s">
        <v>261</v>
      </c>
      <c r="CM209" s="5" t="s">
        <v>240</v>
      </c>
      <c r="CN209" s="5" t="s">
        <v>263</v>
      </c>
      <c r="CO209" s="5" t="s">
        <v>240</v>
      </c>
      <c r="CP209" s="5" t="s">
        <v>240</v>
      </c>
      <c r="CQ209" s="5">
        <v>0</v>
      </c>
      <c r="CR209" s="5" t="s">
        <v>306</v>
      </c>
      <c r="CS209" s="5" t="s">
        <v>307</v>
      </c>
      <c r="CT209" s="5" t="s">
        <v>307</v>
      </c>
      <c r="CU209" s="5" t="s">
        <v>260</v>
      </c>
      <c r="CX209" s="7">
        <f>1</f>
        <v>1</v>
      </c>
      <c r="CY209" s="7">
        <f>0</f>
        <v>0</v>
      </c>
      <c r="DA209" s="7">
        <f>0</f>
        <v>0</v>
      </c>
      <c r="DC209" s="5" t="s">
        <v>309</v>
      </c>
      <c r="DD209" s="5" t="s">
        <v>240</v>
      </c>
      <c r="DF209" s="5" t="s">
        <v>309</v>
      </c>
      <c r="DG209" s="7">
        <f>322</f>
        <v>322</v>
      </c>
      <c r="DI209" s="5" t="s">
        <v>240</v>
      </c>
      <c r="DJ209" s="5" t="s">
        <v>240</v>
      </c>
      <c r="DK209" s="5" t="s">
        <v>240</v>
      </c>
      <c r="DL209" s="5" t="s">
        <v>240</v>
      </c>
      <c r="DP209" s="5" t="s">
        <v>240</v>
      </c>
      <c r="DQ209" s="5" t="s">
        <v>240</v>
      </c>
      <c r="DR209" s="5" t="s">
        <v>240</v>
      </c>
      <c r="DS209" s="5" t="s">
        <v>240</v>
      </c>
      <c r="DV209" s="5" t="s">
        <v>310</v>
      </c>
      <c r="DW209" s="5" t="s">
        <v>750</v>
      </c>
      <c r="HO209" s="5" t="s">
        <v>312</v>
      </c>
    </row>
    <row r="210" spans="1:223" x14ac:dyDescent="0.4">
      <c r="A210" s="5">
        <v>921</v>
      </c>
      <c r="B210" s="5">
        <v>1</v>
      </c>
      <c r="C210" s="5">
        <v>1</v>
      </c>
      <c r="D210" s="5" t="s">
        <v>6877</v>
      </c>
      <c r="E210" s="5" t="s">
        <v>1325</v>
      </c>
      <c r="F210" s="5" t="s">
        <v>254</v>
      </c>
      <c r="G210" s="5" t="s">
        <v>240</v>
      </c>
      <c r="H210" s="6" t="s">
        <v>7070</v>
      </c>
      <c r="I210" s="5" t="s">
        <v>6876</v>
      </c>
      <c r="J210" s="8">
        <f>5446</f>
        <v>5446</v>
      </c>
      <c r="K210" s="5" t="s">
        <v>308</v>
      </c>
      <c r="L210" s="7">
        <f>12062890</f>
        <v>12062890</v>
      </c>
      <c r="M210" s="7">
        <f>12062890</f>
        <v>12062890</v>
      </c>
      <c r="N210" s="5" t="s">
        <v>242</v>
      </c>
      <c r="O210" s="5">
        <v>1</v>
      </c>
      <c r="P210" s="5" t="s">
        <v>294</v>
      </c>
      <c r="Q210" s="5" t="s">
        <v>266</v>
      </c>
      <c r="R210" s="5" t="s">
        <v>240</v>
      </c>
      <c r="S210" s="5" t="s">
        <v>240</v>
      </c>
      <c r="T210" s="5" t="s">
        <v>296</v>
      </c>
      <c r="U210" s="5" t="s">
        <v>244</v>
      </c>
      <c r="V210" s="5" t="s">
        <v>240</v>
      </c>
      <c r="Y210" s="5" t="s">
        <v>240</v>
      </c>
      <c r="Z210" s="6" t="s">
        <v>298</v>
      </c>
      <c r="AB210" s="6" t="s">
        <v>240</v>
      </c>
      <c r="AE210" s="6" t="s">
        <v>745</v>
      </c>
      <c r="AF210" s="5" t="s">
        <v>248</v>
      </c>
      <c r="AG210" s="5" t="s">
        <v>249</v>
      </c>
      <c r="AW210" s="5" t="s">
        <v>251</v>
      </c>
      <c r="AX210" s="5" t="s">
        <v>240</v>
      </c>
      <c r="AY210" s="5" t="s">
        <v>253</v>
      </c>
      <c r="AZ210" s="5" t="s">
        <v>240</v>
      </c>
      <c r="BA210" s="5" t="s">
        <v>255</v>
      </c>
      <c r="BB210" s="5" t="s">
        <v>240</v>
      </c>
      <c r="BD210" s="5" t="s">
        <v>240</v>
      </c>
      <c r="BF210" s="5" t="s">
        <v>687</v>
      </c>
      <c r="BG210" s="6" t="s">
        <v>747</v>
      </c>
      <c r="BH210" s="5" t="s">
        <v>302</v>
      </c>
      <c r="BI210" s="5" t="s">
        <v>303</v>
      </c>
      <c r="BJ210" s="5" t="s">
        <v>240</v>
      </c>
      <c r="BK210" s="8">
        <f>0</f>
        <v>0</v>
      </c>
      <c r="BL210" s="7">
        <f>0</f>
        <v>0</v>
      </c>
      <c r="BM210" s="5" t="s">
        <v>258</v>
      </c>
      <c r="BN210" s="5" t="s">
        <v>259</v>
      </c>
      <c r="CB210" s="5" t="s">
        <v>240</v>
      </c>
      <c r="CC210" s="5" t="s">
        <v>240</v>
      </c>
      <c r="CG210" s="5" t="s">
        <v>304</v>
      </c>
      <c r="CH210" s="5" t="s">
        <v>305</v>
      </c>
      <c r="CI210" s="5" t="s">
        <v>240</v>
      </c>
      <c r="CL210" s="6" t="s">
        <v>261</v>
      </c>
      <c r="CM210" s="5" t="s">
        <v>240</v>
      </c>
      <c r="CN210" s="5" t="s">
        <v>263</v>
      </c>
      <c r="CO210" s="5" t="s">
        <v>240</v>
      </c>
      <c r="CP210" s="5" t="s">
        <v>240</v>
      </c>
      <c r="CQ210" s="5">
        <v>0</v>
      </c>
      <c r="CR210" s="5" t="s">
        <v>306</v>
      </c>
      <c r="CS210" s="5" t="s">
        <v>307</v>
      </c>
      <c r="CT210" s="5" t="s">
        <v>307</v>
      </c>
      <c r="CU210" s="5" t="s">
        <v>260</v>
      </c>
      <c r="CX210" s="7">
        <f>1</f>
        <v>1</v>
      </c>
      <c r="CY210" s="7">
        <f>0</f>
        <v>0</v>
      </c>
      <c r="DA210" s="7">
        <f>0</f>
        <v>0</v>
      </c>
      <c r="DC210" s="5" t="s">
        <v>309</v>
      </c>
      <c r="DD210" s="5" t="s">
        <v>240</v>
      </c>
      <c r="DF210" s="5" t="s">
        <v>309</v>
      </c>
      <c r="DG210" s="7">
        <f>11184</f>
        <v>11184</v>
      </c>
      <c r="DI210" s="5" t="s">
        <v>240</v>
      </c>
      <c r="DJ210" s="5" t="s">
        <v>240</v>
      </c>
      <c r="DK210" s="5" t="s">
        <v>240</v>
      </c>
      <c r="DL210" s="5" t="s">
        <v>240</v>
      </c>
      <c r="DP210" s="5" t="s">
        <v>240</v>
      </c>
      <c r="DQ210" s="5" t="s">
        <v>240</v>
      </c>
      <c r="DR210" s="5" t="s">
        <v>240</v>
      </c>
      <c r="DS210" s="5" t="s">
        <v>240</v>
      </c>
      <c r="DV210" s="5" t="s">
        <v>310</v>
      </c>
      <c r="DW210" s="5" t="s">
        <v>752</v>
      </c>
      <c r="HO210" s="5" t="s">
        <v>312</v>
      </c>
    </row>
    <row r="211" spans="1:223" x14ac:dyDescent="0.4">
      <c r="A211" s="5">
        <v>922</v>
      </c>
      <c r="B211" s="5">
        <v>1</v>
      </c>
      <c r="C211" s="5">
        <v>1</v>
      </c>
      <c r="D211" s="5" t="s">
        <v>6877</v>
      </c>
      <c r="E211" s="5" t="s">
        <v>1325</v>
      </c>
      <c r="F211" s="5" t="s">
        <v>254</v>
      </c>
      <c r="G211" s="5" t="s">
        <v>240</v>
      </c>
      <c r="H211" s="6" t="s">
        <v>7124</v>
      </c>
      <c r="I211" s="5" t="s">
        <v>6876</v>
      </c>
      <c r="J211" s="8">
        <f>1562</f>
        <v>1562</v>
      </c>
      <c r="K211" s="5" t="s">
        <v>308</v>
      </c>
      <c r="L211" s="7">
        <f>3459830</f>
        <v>3459830</v>
      </c>
      <c r="M211" s="7">
        <f>3459830</f>
        <v>3459830</v>
      </c>
      <c r="N211" s="5" t="s">
        <v>242</v>
      </c>
      <c r="O211" s="5">
        <v>1</v>
      </c>
      <c r="P211" s="5" t="s">
        <v>294</v>
      </c>
      <c r="Q211" s="5" t="s">
        <v>266</v>
      </c>
      <c r="R211" s="5" t="s">
        <v>240</v>
      </c>
      <c r="S211" s="5" t="s">
        <v>240</v>
      </c>
      <c r="T211" s="5" t="s">
        <v>296</v>
      </c>
      <c r="U211" s="5" t="s">
        <v>244</v>
      </c>
      <c r="V211" s="5" t="s">
        <v>240</v>
      </c>
      <c r="Y211" s="5" t="s">
        <v>240</v>
      </c>
      <c r="Z211" s="6" t="s">
        <v>298</v>
      </c>
      <c r="AB211" s="6" t="s">
        <v>240</v>
      </c>
      <c r="AE211" s="6" t="s">
        <v>745</v>
      </c>
      <c r="AF211" s="5" t="s">
        <v>248</v>
      </c>
      <c r="AG211" s="5" t="s">
        <v>249</v>
      </c>
      <c r="AW211" s="5" t="s">
        <v>251</v>
      </c>
      <c r="AX211" s="5" t="s">
        <v>240</v>
      </c>
      <c r="AY211" s="5" t="s">
        <v>253</v>
      </c>
      <c r="AZ211" s="5" t="s">
        <v>240</v>
      </c>
      <c r="BA211" s="5" t="s">
        <v>255</v>
      </c>
      <c r="BB211" s="5" t="s">
        <v>240</v>
      </c>
      <c r="BD211" s="5" t="s">
        <v>240</v>
      </c>
      <c r="BF211" s="5" t="s">
        <v>447</v>
      </c>
      <c r="BG211" s="6" t="s">
        <v>745</v>
      </c>
      <c r="BH211" s="5" t="s">
        <v>302</v>
      </c>
      <c r="BI211" s="5" t="s">
        <v>303</v>
      </c>
      <c r="BJ211" s="5" t="s">
        <v>240</v>
      </c>
      <c r="BK211" s="8">
        <f>0</f>
        <v>0</v>
      </c>
      <c r="BL211" s="7">
        <f>0</f>
        <v>0</v>
      </c>
      <c r="BM211" s="5" t="s">
        <v>258</v>
      </c>
      <c r="BN211" s="5" t="s">
        <v>259</v>
      </c>
      <c r="CB211" s="5" t="s">
        <v>240</v>
      </c>
      <c r="CC211" s="5" t="s">
        <v>240</v>
      </c>
      <c r="CG211" s="5" t="s">
        <v>304</v>
      </c>
      <c r="CH211" s="5" t="s">
        <v>305</v>
      </c>
      <c r="CI211" s="5" t="s">
        <v>240</v>
      </c>
      <c r="CL211" s="6" t="s">
        <v>261</v>
      </c>
      <c r="CM211" s="5" t="s">
        <v>240</v>
      </c>
      <c r="CN211" s="5" t="s">
        <v>263</v>
      </c>
      <c r="CO211" s="5" t="s">
        <v>240</v>
      </c>
      <c r="CP211" s="5" t="s">
        <v>240</v>
      </c>
      <c r="CQ211" s="5">
        <v>0</v>
      </c>
      <c r="CR211" s="5" t="s">
        <v>306</v>
      </c>
      <c r="CS211" s="5" t="s">
        <v>307</v>
      </c>
      <c r="CT211" s="5" t="s">
        <v>307</v>
      </c>
      <c r="CU211" s="5" t="s">
        <v>260</v>
      </c>
      <c r="CX211" s="7">
        <f>1</f>
        <v>1</v>
      </c>
      <c r="CY211" s="7">
        <f>0</f>
        <v>0</v>
      </c>
      <c r="DA211" s="7">
        <f>0</f>
        <v>0</v>
      </c>
      <c r="DC211" s="5" t="s">
        <v>309</v>
      </c>
      <c r="DD211" s="5" t="s">
        <v>240</v>
      </c>
      <c r="DF211" s="5" t="s">
        <v>309</v>
      </c>
      <c r="DG211" s="7">
        <f>13129</f>
        <v>13129</v>
      </c>
      <c r="DI211" s="5" t="s">
        <v>240</v>
      </c>
      <c r="DJ211" s="5" t="s">
        <v>240</v>
      </c>
      <c r="DK211" s="5" t="s">
        <v>240</v>
      </c>
      <c r="DL211" s="5" t="s">
        <v>240</v>
      </c>
      <c r="DP211" s="5" t="s">
        <v>240</v>
      </c>
      <c r="DQ211" s="5" t="s">
        <v>240</v>
      </c>
      <c r="DR211" s="5" t="s">
        <v>240</v>
      </c>
      <c r="DS211" s="5" t="s">
        <v>240</v>
      </c>
      <c r="DV211" s="5" t="s">
        <v>310</v>
      </c>
      <c r="DW211" s="5" t="s">
        <v>754</v>
      </c>
      <c r="HO211" s="5" t="s">
        <v>312</v>
      </c>
    </row>
    <row r="212" spans="1:223" x14ac:dyDescent="0.4">
      <c r="A212" s="5">
        <v>923</v>
      </c>
      <c r="B212" s="5">
        <v>1</v>
      </c>
      <c r="C212" s="5">
        <v>1</v>
      </c>
      <c r="D212" s="5" t="s">
        <v>6877</v>
      </c>
      <c r="E212" s="5" t="s">
        <v>1325</v>
      </c>
      <c r="F212" s="5" t="s">
        <v>254</v>
      </c>
      <c r="G212" s="5" t="s">
        <v>240</v>
      </c>
      <c r="H212" s="6" t="s">
        <v>6878</v>
      </c>
      <c r="I212" s="5" t="s">
        <v>6876</v>
      </c>
      <c r="J212" s="8">
        <f>6888</f>
        <v>6888</v>
      </c>
      <c r="K212" s="5" t="s">
        <v>308</v>
      </c>
      <c r="L212" s="7">
        <f>15256920</f>
        <v>15256920</v>
      </c>
      <c r="M212" s="7">
        <f>15256920</f>
        <v>15256920</v>
      </c>
      <c r="N212" s="5" t="s">
        <v>242</v>
      </c>
      <c r="O212" s="5">
        <v>1</v>
      </c>
      <c r="P212" s="5" t="s">
        <v>294</v>
      </c>
      <c r="Q212" s="5" t="s">
        <v>266</v>
      </c>
      <c r="R212" s="5" t="s">
        <v>240</v>
      </c>
      <c r="S212" s="5" t="s">
        <v>240</v>
      </c>
      <c r="T212" s="5" t="s">
        <v>296</v>
      </c>
      <c r="U212" s="5" t="s">
        <v>244</v>
      </c>
      <c r="V212" s="5" t="s">
        <v>240</v>
      </c>
      <c r="Y212" s="5" t="s">
        <v>240</v>
      </c>
      <c r="Z212" s="6" t="s">
        <v>298</v>
      </c>
      <c r="AB212" s="6" t="s">
        <v>240</v>
      </c>
      <c r="AE212" s="6" t="s">
        <v>745</v>
      </c>
      <c r="AF212" s="5" t="s">
        <v>248</v>
      </c>
      <c r="AG212" s="5" t="s">
        <v>249</v>
      </c>
      <c r="AW212" s="5" t="s">
        <v>251</v>
      </c>
      <c r="AX212" s="5" t="s">
        <v>240</v>
      </c>
      <c r="AY212" s="5" t="s">
        <v>253</v>
      </c>
      <c r="AZ212" s="5" t="s">
        <v>240</v>
      </c>
      <c r="BA212" s="5" t="s">
        <v>255</v>
      </c>
      <c r="BB212" s="5" t="s">
        <v>240</v>
      </c>
      <c r="BD212" s="5" t="s">
        <v>240</v>
      </c>
      <c r="BF212" s="5" t="s">
        <v>687</v>
      </c>
      <c r="BG212" s="6" t="s">
        <v>747</v>
      </c>
      <c r="BH212" s="5" t="s">
        <v>302</v>
      </c>
      <c r="BI212" s="5" t="s">
        <v>303</v>
      </c>
      <c r="BJ212" s="5" t="s">
        <v>240</v>
      </c>
      <c r="BK212" s="8">
        <f>0</f>
        <v>0</v>
      </c>
      <c r="BL212" s="7">
        <f>0</f>
        <v>0</v>
      </c>
      <c r="BM212" s="5" t="s">
        <v>258</v>
      </c>
      <c r="BN212" s="5" t="s">
        <v>259</v>
      </c>
      <c r="CB212" s="5" t="s">
        <v>240</v>
      </c>
      <c r="CC212" s="5" t="s">
        <v>240</v>
      </c>
      <c r="CG212" s="5" t="s">
        <v>304</v>
      </c>
      <c r="CH212" s="5" t="s">
        <v>305</v>
      </c>
      <c r="CI212" s="5" t="s">
        <v>240</v>
      </c>
      <c r="CL212" s="6" t="s">
        <v>261</v>
      </c>
      <c r="CM212" s="5" t="s">
        <v>240</v>
      </c>
      <c r="CN212" s="5" t="s">
        <v>263</v>
      </c>
      <c r="CO212" s="5" t="s">
        <v>240</v>
      </c>
      <c r="CP212" s="5" t="s">
        <v>240</v>
      </c>
      <c r="CQ212" s="5">
        <v>0</v>
      </c>
      <c r="CR212" s="5" t="s">
        <v>306</v>
      </c>
      <c r="CS212" s="5" t="s">
        <v>307</v>
      </c>
      <c r="CT212" s="5" t="s">
        <v>307</v>
      </c>
      <c r="CU212" s="5" t="s">
        <v>260</v>
      </c>
      <c r="CX212" s="7">
        <f>1</f>
        <v>1</v>
      </c>
      <c r="CY212" s="7">
        <f>0</f>
        <v>0</v>
      </c>
      <c r="DA212" s="7">
        <f>0</f>
        <v>0</v>
      </c>
      <c r="DC212" s="5" t="s">
        <v>309</v>
      </c>
      <c r="DD212" s="5" t="s">
        <v>240</v>
      </c>
      <c r="DF212" s="5" t="s">
        <v>309</v>
      </c>
      <c r="DG212" s="7">
        <f>20265</f>
        <v>20265</v>
      </c>
      <c r="DI212" s="5" t="s">
        <v>240</v>
      </c>
      <c r="DJ212" s="5" t="s">
        <v>240</v>
      </c>
      <c r="DK212" s="5" t="s">
        <v>240</v>
      </c>
      <c r="DL212" s="5" t="s">
        <v>240</v>
      </c>
      <c r="DP212" s="5" t="s">
        <v>240</v>
      </c>
      <c r="DQ212" s="5" t="s">
        <v>240</v>
      </c>
      <c r="DR212" s="5" t="s">
        <v>240</v>
      </c>
      <c r="DS212" s="5" t="s">
        <v>240</v>
      </c>
      <c r="DV212" s="5" t="s">
        <v>310</v>
      </c>
      <c r="DW212" s="5" t="s">
        <v>756</v>
      </c>
      <c r="HO212" s="5" t="s">
        <v>312</v>
      </c>
    </row>
    <row r="213" spans="1:223" x14ac:dyDescent="0.4">
      <c r="A213" s="5">
        <v>924</v>
      </c>
      <c r="B213" s="5">
        <v>1</v>
      </c>
      <c r="C213" s="5">
        <v>1</v>
      </c>
      <c r="D213" s="5" t="s">
        <v>6877</v>
      </c>
      <c r="E213" s="5" t="s">
        <v>1325</v>
      </c>
      <c r="F213" s="5" t="s">
        <v>254</v>
      </c>
      <c r="G213" s="5" t="s">
        <v>240</v>
      </c>
      <c r="H213" s="6" t="s">
        <v>7130</v>
      </c>
      <c r="I213" s="5" t="s">
        <v>6876</v>
      </c>
      <c r="J213" s="8">
        <f>13367</f>
        <v>13367</v>
      </c>
      <c r="K213" s="5" t="s">
        <v>308</v>
      </c>
      <c r="L213" s="7">
        <f>29607905</f>
        <v>29607905</v>
      </c>
      <c r="M213" s="7">
        <f>29607905</f>
        <v>29607905</v>
      </c>
      <c r="N213" s="5" t="s">
        <v>242</v>
      </c>
      <c r="O213" s="5">
        <v>1</v>
      </c>
      <c r="P213" s="5" t="s">
        <v>294</v>
      </c>
      <c r="Q213" s="5" t="s">
        <v>266</v>
      </c>
      <c r="R213" s="5" t="s">
        <v>240</v>
      </c>
      <c r="S213" s="5" t="s">
        <v>240</v>
      </c>
      <c r="T213" s="5" t="s">
        <v>296</v>
      </c>
      <c r="U213" s="5" t="s">
        <v>244</v>
      </c>
      <c r="V213" s="5" t="s">
        <v>240</v>
      </c>
      <c r="Y213" s="5" t="s">
        <v>240</v>
      </c>
      <c r="Z213" s="6" t="s">
        <v>298</v>
      </c>
      <c r="AB213" s="6" t="s">
        <v>240</v>
      </c>
      <c r="AE213" s="6" t="s">
        <v>745</v>
      </c>
      <c r="AF213" s="5" t="s">
        <v>248</v>
      </c>
      <c r="AG213" s="5" t="s">
        <v>249</v>
      </c>
      <c r="AW213" s="5" t="s">
        <v>251</v>
      </c>
      <c r="AX213" s="5" t="s">
        <v>240</v>
      </c>
      <c r="AY213" s="5" t="s">
        <v>253</v>
      </c>
      <c r="AZ213" s="5" t="s">
        <v>240</v>
      </c>
      <c r="BA213" s="5" t="s">
        <v>255</v>
      </c>
      <c r="BB213" s="5" t="s">
        <v>240</v>
      </c>
      <c r="BD213" s="5" t="s">
        <v>240</v>
      </c>
      <c r="BF213" s="5" t="s">
        <v>447</v>
      </c>
      <c r="BG213" s="6" t="s">
        <v>745</v>
      </c>
      <c r="BH213" s="5" t="s">
        <v>302</v>
      </c>
      <c r="BI213" s="5" t="s">
        <v>303</v>
      </c>
      <c r="BJ213" s="5" t="s">
        <v>240</v>
      </c>
      <c r="BK213" s="8">
        <f>0</f>
        <v>0</v>
      </c>
      <c r="BL213" s="7">
        <f>0</f>
        <v>0</v>
      </c>
      <c r="BM213" s="5" t="s">
        <v>258</v>
      </c>
      <c r="BN213" s="5" t="s">
        <v>259</v>
      </c>
      <c r="CB213" s="5" t="s">
        <v>240</v>
      </c>
      <c r="CC213" s="5" t="s">
        <v>240</v>
      </c>
      <c r="CG213" s="5" t="s">
        <v>304</v>
      </c>
      <c r="CH213" s="5" t="s">
        <v>305</v>
      </c>
      <c r="CI213" s="5" t="s">
        <v>240</v>
      </c>
      <c r="CL213" s="6" t="s">
        <v>261</v>
      </c>
      <c r="CM213" s="5" t="s">
        <v>240</v>
      </c>
      <c r="CN213" s="5" t="s">
        <v>263</v>
      </c>
      <c r="CO213" s="5" t="s">
        <v>240</v>
      </c>
      <c r="CP213" s="5" t="s">
        <v>240</v>
      </c>
      <c r="CQ213" s="5">
        <v>0</v>
      </c>
      <c r="CR213" s="5" t="s">
        <v>306</v>
      </c>
      <c r="CS213" s="5" t="s">
        <v>307</v>
      </c>
      <c r="CT213" s="5" t="s">
        <v>307</v>
      </c>
      <c r="CU213" s="5" t="s">
        <v>260</v>
      </c>
      <c r="CX213" s="7">
        <f>1</f>
        <v>1</v>
      </c>
      <c r="CY213" s="7">
        <f>0</f>
        <v>0</v>
      </c>
      <c r="DA213" s="7">
        <f>0</f>
        <v>0</v>
      </c>
      <c r="DC213" s="5" t="s">
        <v>309</v>
      </c>
      <c r="DD213" s="5" t="s">
        <v>240</v>
      </c>
      <c r="DF213" s="5" t="s">
        <v>309</v>
      </c>
      <c r="DG213" s="7">
        <f>6.6</f>
        <v>6.6</v>
      </c>
      <c r="DI213" s="5" t="s">
        <v>240</v>
      </c>
      <c r="DJ213" s="5" t="s">
        <v>240</v>
      </c>
      <c r="DK213" s="5" t="s">
        <v>240</v>
      </c>
      <c r="DL213" s="5" t="s">
        <v>240</v>
      </c>
      <c r="DP213" s="5" t="s">
        <v>240</v>
      </c>
      <c r="DQ213" s="5" t="s">
        <v>240</v>
      </c>
      <c r="DR213" s="5" t="s">
        <v>240</v>
      </c>
      <c r="DS213" s="5" t="s">
        <v>240</v>
      </c>
      <c r="DV213" s="5" t="s">
        <v>310</v>
      </c>
      <c r="DW213" s="5" t="s">
        <v>758</v>
      </c>
      <c r="HO213" s="5" t="s">
        <v>312</v>
      </c>
    </row>
    <row r="214" spans="1:223" x14ac:dyDescent="0.4">
      <c r="A214" s="5">
        <v>925</v>
      </c>
      <c r="B214" s="5">
        <v>1</v>
      </c>
      <c r="C214" s="5">
        <v>1</v>
      </c>
      <c r="D214" s="5" t="s">
        <v>6877</v>
      </c>
      <c r="E214" s="5" t="s">
        <v>1325</v>
      </c>
      <c r="F214" s="5" t="s">
        <v>254</v>
      </c>
      <c r="G214" s="5" t="s">
        <v>240</v>
      </c>
      <c r="H214" s="6" t="s">
        <v>7169</v>
      </c>
      <c r="I214" s="5" t="s">
        <v>6876</v>
      </c>
      <c r="J214" s="8">
        <f>2358</f>
        <v>2358</v>
      </c>
      <c r="K214" s="5" t="s">
        <v>308</v>
      </c>
      <c r="L214" s="7">
        <f>5222970</f>
        <v>5222970</v>
      </c>
      <c r="M214" s="7">
        <f>5222970</f>
        <v>5222970</v>
      </c>
      <c r="N214" s="5" t="s">
        <v>242</v>
      </c>
      <c r="O214" s="5">
        <v>1</v>
      </c>
      <c r="P214" s="5" t="s">
        <v>294</v>
      </c>
      <c r="Q214" s="5" t="s">
        <v>266</v>
      </c>
      <c r="R214" s="5" t="s">
        <v>240</v>
      </c>
      <c r="S214" s="5" t="s">
        <v>240</v>
      </c>
      <c r="T214" s="5" t="s">
        <v>296</v>
      </c>
      <c r="U214" s="5" t="s">
        <v>244</v>
      </c>
      <c r="V214" s="5" t="s">
        <v>240</v>
      </c>
      <c r="Y214" s="5" t="s">
        <v>240</v>
      </c>
      <c r="Z214" s="6" t="s">
        <v>298</v>
      </c>
      <c r="AB214" s="6" t="s">
        <v>240</v>
      </c>
      <c r="AE214" s="6" t="s">
        <v>747</v>
      </c>
      <c r="AF214" s="5" t="s">
        <v>248</v>
      </c>
      <c r="AG214" s="5" t="s">
        <v>249</v>
      </c>
      <c r="AW214" s="5" t="s">
        <v>251</v>
      </c>
      <c r="AX214" s="5" t="s">
        <v>240</v>
      </c>
      <c r="AY214" s="5" t="s">
        <v>253</v>
      </c>
      <c r="AZ214" s="5" t="s">
        <v>240</v>
      </c>
      <c r="BA214" s="5" t="s">
        <v>255</v>
      </c>
      <c r="BB214" s="5" t="s">
        <v>240</v>
      </c>
      <c r="BD214" s="5" t="s">
        <v>240</v>
      </c>
      <c r="BF214" s="5" t="s">
        <v>687</v>
      </c>
      <c r="BG214" s="6" t="s">
        <v>747</v>
      </c>
      <c r="BH214" s="5" t="s">
        <v>302</v>
      </c>
      <c r="BI214" s="5" t="s">
        <v>303</v>
      </c>
      <c r="BJ214" s="5" t="s">
        <v>240</v>
      </c>
      <c r="BK214" s="8">
        <f>0</f>
        <v>0</v>
      </c>
      <c r="BL214" s="7">
        <f>0</f>
        <v>0</v>
      </c>
      <c r="BM214" s="5" t="s">
        <v>258</v>
      </c>
      <c r="BN214" s="5" t="s">
        <v>259</v>
      </c>
      <c r="CB214" s="5" t="s">
        <v>240</v>
      </c>
      <c r="CC214" s="5" t="s">
        <v>240</v>
      </c>
      <c r="CG214" s="5" t="s">
        <v>304</v>
      </c>
      <c r="CH214" s="5" t="s">
        <v>305</v>
      </c>
      <c r="CI214" s="5" t="s">
        <v>240</v>
      </c>
      <c r="CL214" s="6" t="s">
        <v>261</v>
      </c>
      <c r="CM214" s="5" t="s">
        <v>240</v>
      </c>
      <c r="CN214" s="5" t="s">
        <v>263</v>
      </c>
      <c r="CO214" s="5" t="s">
        <v>240</v>
      </c>
      <c r="CP214" s="5" t="s">
        <v>240</v>
      </c>
      <c r="CQ214" s="5">
        <v>0</v>
      </c>
      <c r="CR214" s="5" t="s">
        <v>306</v>
      </c>
      <c r="CS214" s="5" t="s">
        <v>307</v>
      </c>
      <c r="CT214" s="5" t="s">
        <v>307</v>
      </c>
      <c r="CU214" s="5" t="s">
        <v>260</v>
      </c>
      <c r="CX214" s="7">
        <f>1</f>
        <v>1</v>
      </c>
      <c r="CY214" s="7">
        <f>0</f>
        <v>0</v>
      </c>
      <c r="DA214" s="7">
        <f>0</f>
        <v>0</v>
      </c>
      <c r="DC214" s="5" t="s">
        <v>309</v>
      </c>
      <c r="DD214" s="5" t="s">
        <v>240</v>
      </c>
      <c r="DF214" s="5" t="s">
        <v>309</v>
      </c>
      <c r="DG214" s="7">
        <f>4.55</f>
        <v>4.55</v>
      </c>
      <c r="DI214" s="5" t="s">
        <v>240</v>
      </c>
      <c r="DJ214" s="5" t="s">
        <v>240</v>
      </c>
      <c r="DK214" s="5" t="s">
        <v>240</v>
      </c>
      <c r="DL214" s="5" t="s">
        <v>240</v>
      </c>
      <c r="DP214" s="5" t="s">
        <v>240</v>
      </c>
      <c r="DQ214" s="5" t="s">
        <v>240</v>
      </c>
      <c r="DR214" s="5" t="s">
        <v>240</v>
      </c>
      <c r="DS214" s="5" t="s">
        <v>240</v>
      </c>
      <c r="DV214" s="5" t="s">
        <v>310</v>
      </c>
      <c r="DW214" s="5" t="s">
        <v>760</v>
      </c>
      <c r="HO214" s="5" t="s">
        <v>312</v>
      </c>
    </row>
    <row r="215" spans="1:223" x14ac:dyDescent="0.4">
      <c r="A215" s="5">
        <v>926</v>
      </c>
      <c r="B215" s="5">
        <v>1</v>
      </c>
      <c r="C215" s="5">
        <v>1</v>
      </c>
      <c r="D215" s="5" t="s">
        <v>6779</v>
      </c>
      <c r="E215" s="5" t="s">
        <v>1325</v>
      </c>
      <c r="F215" s="5" t="s">
        <v>254</v>
      </c>
      <c r="G215" s="5" t="s">
        <v>240</v>
      </c>
      <c r="H215" s="6" t="s">
        <v>6780</v>
      </c>
      <c r="I215" s="5" t="s">
        <v>6778</v>
      </c>
      <c r="J215" s="8">
        <f>3239</f>
        <v>3239</v>
      </c>
      <c r="K215" s="5" t="s">
        <v>308</v>
      </c>
      <c r="L215" s="7">
        <f>7174385</f>
        <v>7174385</v>
      </c>
      <c r="M215" s="7">
        <f>7174385</f>
        <v>7174385</v>
      </c>
      <c r="N215" s="5" t="s">
        <v>242</v>
      </c>
      <c r="O215" s="5">
        <v>1</v>
      </c>
      <c r="P215" s="5" t="s">
        <v>294</v>
      </c>
      <c r="Q215" s="5" t="s">
        <v>266</v>
      </c>
      <c r="R215" s="5" t="s">
        <v>240</v>
      </c>
      <c r="S215" s="5" t="s">
        <v>240</v>
      </c>
      <c r="T215" s="5" t="s">
        <v>296</v>
      </c>
      <c r="U215" s="5" t="s">
        <v>244</v>
      </c>
      <c r="V215" s="5" t="s">
        <v>240</v>
      </c>
      <c r="Y215" s="5" t="s">
        <v>240</v>
      </c>
      <c r="Z215" s="6" t="s">
        <v>298</v>
      </c>
      <c r="AB215" s="6" t="s">
        <v>240</v>
      </c>
      <c r="AE215" s="6" t="s">
        <v>745</v>
      </c>
      <c r="AF215" s="5" t="s">
        <v>248</v>
      </c>
      <c r="AG215" s="5" t="s">
        <v>249</v>
      </c>
      <c r="AW215" s="5" t="s">
        <v>251</v>
      </c>
      <c r="AX215" s="5" t="s">
        <v>240</v>
      </c>
      <c r="AY215" s="5" t="s">
        <v>253</v>
      </c>
      <c r="AZ215" s="5" t="s">
        <v>240</v>
      </c>
      <c r="BA215" s="5" t="s">
        <v>255</v>
      </c>
      <c r="BB215" s="5" t="s">
        <v>240</v>
      </c>
      <c r="BD215" s="5" t="s">
        <v>240</v>
      </c>
      <c r="BF215" s="5" t="s">
        <v>687</v>
      </c>
      <c r="BG215" s="6" t="s">
        <v>762</v>
      </c>
      <c r="BH215" s="5" t="s">
        <v>302</v>
      </c>
      <c r="BI215" s="5" t="s">
        <v>303</v>
      </c>
      <c r="BJ215" s="5" t="s">
        <v>240</v>
      </c>
      <c r="BK215" s="8">
        <f>0</f>
        <v>0</v>
      </c>
      <c r="BL215" s="7">
        <f>0</f>
        <v>0</v>
      </c>
      <c r="BM215" s="5" t="s">
        <v>258</v>
      </c>
      <c r="BN215" s="5" t="s">
        <v>259</v>
      </c>
      <c r="CB215" s="5" t="s">
        <v>240</v>
      </c>
      <c r="CC215" s="5" t="s">
        <v>240</v>
      </c>
      <c r="CG215" s="5" t="s">
        <v>304</v>
      </c>
      <c r="CH215" s="5" t="s">
        <v>305</v>
      </c>
      <c r="CI215" s="5" t="s">
        <v>240</v>
      </c>
      <c r="CL215" s="6" t="s">
        <v>261</v>
      </c>
      <c r="CM215" s="5" t="s">
        <v>240</v>
      </c>
      <c r="CN215" s="5" t="s">
        <v>263</v>
      </c>
      <c r="CO215" s="5" t="s">
        <v>240</v>
      </c>
      <c r="CP215" s="5" t="s">
        <v>240</v>
      </c>
      <c r="CQ215" s="5">
        <v>0</v>
      </c>
      <c r="CR215" s="5" t="s">
        <v>306</v>
      </c>
      <c r="CS215" s="5" t="s">
        <v>307</v>
      </c>
      <c r="CT215" s="5" t="s">
        <v>307</v>
      </c>
      <c r="CU215" s="5" t="s">
        <v>260</v>
      </c>
      <c r="CX215" s="7">
        <f>1</f>
        <v>1</v>
      </c>
      <c r="CY215" s="7">
        <f>0</f>
        <v>0</v>
      </c>
      <c r="DA215" s="7">
        <f>0</f>
        <v>0</v>
      </c>
      <c r="DC215" s="5" t="s">
        <v>309</v>
      </c>
      <c r="DD215" s="5" t="s">
        <v>240</v>
      </c>
      <c r="DF215" s="5" t="s">
        <v>309</v>
      </c>
      <c r="DG215" s="7">
        <f>1.68</f>
        <v>1.68</v>
      </c>
      <c r="DI215" s="5" t="s">
        <v>240</v>
      </c>
      <c r="DJ215" s="5" t="s">
        <v>240</v>
      </c>
      <c r="DK215" s="5" t="s">
        <v>240</v>
      </c>
      <c r="DL215" s="5" t="s">
        <v>240</v>
      </c>
      <c r="DP215" s="5" t="s">
        <v>240</v>
      </c>
      <c r="DQ215" s="5" t="s">
        <v>240</v>
      </c>
      <c r="DR215" s="5" t="s">
        <v>240</v>
      </c>
      <c r="DS215" s="5" t="s">
        <v>240</v>
      </c>
      <c r="DV215" s="5" t="s">
        <v>310</v>
      </c>
      <c r="DW215" s="5" t="s">
        <v>763</v>
      </c>
      <c r="HO215" s="5" t="s">
        <v>312</v>
      </c>
    </row>
    <row r="216" spans="1:223" x14ac:dyDescent="0.4">
      <c r="A216" s="5">
        <v>927</v>
      </c>
      <c r="B216" s="5">
        <v>1</v>
      </c>
      <c r="C216" s="5">
        <v>1</v>
      </c>
      <c r="D216" s="5" t="s">
        <v>6735</v>
      </c>
      <c r="E216" s="5" t="s">
        <v>1325</v>
      </c>
      <c r="F216" s="5" t="s">
        <v>254</v>
      </c>
      <c r="G216" s="5" t="s">
        <v>240</v>
      </c>
      <c r="H216" s="6" t="s">
        <v>6736</v>
      </c>
      <c r="I216" s="5" t="s">
        <v>6734</v>
      </c>
      <c r="J216" s="8">
        <f>5903</f>
        <v>5903</v>
      </c>
      <c r="K216" s="5" t="s">
        <v>308</v>
      </c>
      <c r="L216" s="7">
        <f>13075145</f>
        <v>13075145</v>
      </c>
      <c r="M216" s="7">
        <f>13075145</f>
        <v>13075145</v>
      </c>
      <c r="N216" s="5" t="s">
        <v>242</v>
      </c>
      <c r="O216" s="5">
        <v>1</v>
      </c>
      <c r="P216" s="5" t="s">
        <v>294</v>
      </c>
      <c r="Q216" s="5" t="s">
        <v>266</v>
      </c>
      <c r="R216" s="5" t="s">
        <v>240</v>
      </c>
      <c r="S216" s="5" t="s">
        <v>240</v>
      </c>
      <c r="T216" s="5" t="s">
        <v>296</v>
      </c>
      <c r="U216" s="5" t="s">
        <v>244</v>
      </c>
      <c r="V216" s="5" t="s">
        <v>240</v>
      </c>
      <c r="Y216" s="5" t="s">
        <v>240</v>
      </c>
      <c r="Z216" s="6" t="s">
        <v>298</v>
      </c>
      <c r="AB216" s="6" t="s">
        <v>240</v>
      </c>
      <c r="AE216" s="6" t="s">
        <v>745</v>
      </c>
      <c r="AF216" s="5" t="s">
        <v>248</v>
      </c>
      <c r="AG216" s="5" t="s">
        <v>249</v>
      </c>
      <c r="AW216" s="5" t="s">
        <v>251</v>
      </c>
      <c r="AX216" s="5" t="s">
        <v>240</v>
      </c>
      <c r="AY216" s="5" t="s">
        <v>253</v>
      </c>
      <c r="AZ216" s="5" t="s">
        <v>240</v>
      </c>
      <c r="BA216" s="5" t="s">
        <v>255</v>
      </c>
      <c r="BB216" s="5" t="s">
        <v>240</v>
      </c>
      <c r="BD216" s="5" t="s">
        <v>240</v>
      </c>
      <c r="BF216" s="5" t="s">
        <v>447</v>
      </c>
      <c r="BG216" s="6" t="s">
        <v>745</v>
      </c>
      <c r="BH216" s="5" t="s">
        <v>302</v>
      </c>
      <c r="BI216" s="5" t="s">
        <v>303</v>
      </c>
      <c r="BJ216" s="5" t="s">
        <v>240</v>
      </c>
      <c r="BK216" s="8">
        <f>0</f>
        <v>0</v>
      </c>
      <c r="BL216" s="7">
        <f>0</f>
        <v>0</v>
      </c>
      <c r="BM216" s="5" t="s">
        <v>258</v>
      </c>
      <c r="BN216" s="5" t="s">
        <v>259</v>
      </c>
      <c r="CB216" s="5" t="s">
        <v>240</v>
      </c>
      <c r="CC216" s="5" t="s">
        <v>240</v>
      </c>
      <c r="CG216" s="5" t="s">
        <v>304</v>
      </c>
      <c r="CH216" s="5" t="s">
        <v>305</v>
      </c>
      <c r="CI216" s="5" t="s">
        <v>240</v>
      </c>
      <c r="CL216" s="6" t="s">
        <v>261</v>
      </c>
      <c r="CM216" s="5" t="s">
        <v>240</v>
      </c>
      <c r="CN216" s="5" t="s">
        <v>263</v>
      </c>
      <c r="CO216" s="5" t="s">
        <v>240</v>
      </c>
      <c r="CP216" s="5" t="s">
        <v>240</v>
      </c>
      <c r="CQ216" s="5">
        <v>0</v>
      </c>
      <c r="CR216" s="5" t="s">
        <v>306</v>
      </c>
      <c r="CS216" s="5" t="s">
        <v>307</v>
      </c>
      <c r="CT216" s="5" t="s">
        <v>307</v>
      </c>
      <c r="CU216" s="5" t="s">
        <v>260</v>
      </c>
      <c r="CX216" s="7">
        <f>1</f>
        <v>1</v>
      </c>
      <c r="CY216" s="7">
        <f>0</f>
        <v>0</v>
      </c>
      <c r="DA216" s="7">
        <f>0</f>
        <v>0</v>
      </c>
      <c r="DC216" s="5" t="s">
        <v>309</v>
      </c>
      <c r="DD216" s="5" t="s">
        <v>240</v>
      </c>
      <c r="DF216" s="5" t="s">
        <v>309</v>
      </c>
      <c r="DG216" s="7">
        <f>639</f>
        <v>639</v>
      </c>
      <c r="DI216" s="5" t="s">
        <v>240</v>
      </c>
      <c r="DJ216" s="5" t="s">
        <v>240</v>
      </c>
      <c r="DK216" s="5" t="s">
        <v>240</v>
      </c>
      <c r="DL216" s="5" t="s">
        <v>240</v>
      </c>
      <c r="DP216" s="5" t="s">
        <v>240</v>
      </c>
      <c r="DQ216" s="5" t="s">
        <v>240</v>
      </c>
      <c r="DR216" s="5" t="s">
        <v>240</v>
      </c>
      <c r="DS216" s="5" t="s">
        <v>240</v>
      </c>
      <c r="DV216" s="5" t="s">
        <v>310</v>
      </c>
      <c r="DW216" s="5" t="s">
        <v>765</v>
      </c>
      <c r="HO216" s="5" t="s">
        <v>312</v>
      </c>
    </row>
    <row r="217" spans="1:223" x14ac:dyDescent="0.4">
      <c r="A217" s="5">
        <v>928</v>
      </c>
      <c r="B217" s="5">
        <v>1</v>
      </c>
      <c r="C217" s="5">
        <v>1</v>
      </c>
      <c r="D217" s="5" t="s">
        <v>6826</v>
      </c>
      <c r="E217" s="5" t="s">
        <v>1325</v>
      </c>
      <c r="F217" s="5" t="s">
        <v>254</v>
      </c>
      <c r="G217" s="5" t="s">
        <v>240</v>
      </c>
      <c r="H217" s="6" t="s">
        <v>6913</v>
      </c>
      <c r="I217" s="5" t="s">
        <v>6825</v>
      </c>
      <c r="J217" s="8">
        <f>6360</f>
        <v>6360</v>
      </c>
      <c r="K217" s="5" t="s">
        <v>308</v>
      </c>
      <c r="L217" s="7">
        <f>14087400</f>
        <v>14087400</v>
      </c>
      <c r="M217" s="7">
        <f>14087400</f>
        <v>14087400</v>
      </c>
      <c r="N217" s="5" t="s">
        <v>242</v>
      </c>
      <c r="O217" s="5">
        <v>1</v>
      </c>
      <c r="P217" s="5" t="s">
        <v>294</v>
      </c>
      <c r="Q217" s="5" t="s">
        <v>266</v>
      </c>
      <c r="R217" s="5" t="s">
        <v>240</v>
      </c>
      <c r="S217" s="5" t="s">
        <v>240</v>
      </c>
      <c r="T217" s="5" t="s">
        <v>296</v>
      </c>
      <c r="U217" s="5" t="s">
        <v>244</v>
      </c>
      <c r="V217" s="5" t="s">
        <v>240</v>
      </c>
      <c r="Y217" s="5" t="s">
        <v>240</v>
      </c>
      <c r="Z217" s="6" t="s">
        <v>298</v>
      </c>
      <c r="AB217" s="6" t="s">
        <v>240</v>
      </c>
      <c r="AE217" s="6" t="s">
        <v>766</v>
      </c>
      <c r="AF217" s="5" t="s">
        <v>248</v>
      </c>
      <c r="AG217" s="5" t="s">
        <v>249</v>
      </c>
      <c r="AW217" s="5" t="s">
        <v>251</v>
      </c>
      <c r="AX217" s="5" t="s">
        <v>240</v>
      </c>
      <c r="AY217" s="5" t="s">
        <v>253</v>
      </c>
      <c r="AZ217" s="5" t="s">
        <v>240</v>
      </c>
      <c r="BA217" s="5" t="s">
        <v>255</v>
      </c>
      <c r="BB217" s="5" t="s">
        <v>240</v>
      </c>
      <c r="BD217" s="5" t="s">
        <v>240</v>
      </c>
      <c r="BF217" s="5" t="s">
        <v>768</v>
      </c>
      <c r="BG217" s="6" t="s">
        <v>766</v>
      </c>
      <c r="BH217" s="5" t="s">
        <v>302</v>
      </c>
      <c r="BI217" s="5" t="s">
        <v>303</v>
      </c>
      <c r="BJ217" s="5" t="s">
        <v>240</v>
      </c>
      <c r="BK217" s="8">
        <f>0</f>
        <v>0</v>
      </c>
      <c r="BL217" s="7">
        <f>0</f>
        <v>0</v>
      </c>
      <c r="BM217" s="5" t="s">
        <v>258</v>
      </c>
      <c r="BN217" s="5" t="s">
        <v>259</v>
      </c>
      <c r="CB217" s="5" t="s">
        <v>240</v>
      </c>
      <c r="CC217" s="5" t="s">
        <v>240</v>
      </c>
      <c r="CG217" s="5" t="s">
        <v>304</v>
      </c>
      <c r="CH217" s="5" t="s">
        <v>305</v>
      </c>
      <c r="CI217" s="5" t="s">
        <v>240</v>
      </c>
      <c r="CL217" s="6" t="s">
        <v>261</v>
      </c>
      <c r="CM217" s="5" t="s">
        <v>240</v>
      </c>
      <c r="CN217" s="5" t="s">
        <v>263</v>
      </c>
      <c r="CO217" s="5" t="s">
        <v>240</v>
      </c>
      <c r="CP217" s="5" t="s">
        <v>240</v>
      </c>
      <c r="CQ217" s="5">
        <v>0</v>
      </c>
      <c r="CR217" s="5" t="s">
        <v>306</v>
      </c>
      <c r="CS217" s="5" t="s">
        <v>307</v>
      </c>
      <c r="CT217" s="5" t="s">
        <v>307</v>
      </c>
      <c r="CU217" s="5" t="s">
        <v>260</v>
      </c>
      <c r="CX217" s="7">
        <f>1</f>
        <v>1</v>
      </c>
      <c r="CY217" s="7">
        <f>0</f>
        <v>0</v>
      </c>
      <c r="DA217" s="7">
        <f>0</f>
        <v>0</v>
      </c>
      <c r="DC217" s="5" t="s">
        <v>309</v>
      </c>
      <c r="DD217" s="5" t="s">
        <v>240</v>
      </c>
      <c r="DF217" s="5" t="s">
        <v>309</v>
      </c>
      <c r="DG217" s="7">
        <f>43</f>
        <v>43</v>
      </c>
      <c r="DH217" s="6" t="s">
        <v>298</v>
      </c>
      <c r="DI217" s="5" t="s">
        <v>240</v>
      </c>
      <c r="DJ217" s="5" t="s">
        <v>240</v>
      </c>
      <c r="DK217" s="5" t="s">
        <v>240</v>
      </c>
      <c r="DL217" s="5" t="s">
        <v>240</v>
      </c>
      <c r="DP217" s="5" t="s">
        <v>240</v>
      </c>
      <c r="DQ217" s="5" t="s">
        <v>240</v>
      </c>
      <c r="DR217" s="5" t="s">
        <v>240</v>
      </c>
      <c r="DS217" s="5" t="s">
        <v>240</v>
      </c>
      <c r="DV217" s="5" t="s">
        <v>310</v>
      </c>
      <c r="DW217" s="5" t="s">
        <v>769</v>
      </c>
      <c r="HO217" s="5" t="s">
        <v>312</v>
      </c>
    </row>
    <row r="218" spans="1:223" x14ac:dyDescent="0.4">
      <c r="A218" s="5">
        <v>929</v>
      </c>
      <c r="B218" s="5">
        <v>1</v>
      </c>
      <c r="C218" s="5">
        <v>1</v>
      </c>
      <c r="D218" s="5" t="s">
        <v>6826</v>
      </c>
      <c r="E218" s="5" t="s">
        <v>1325</v>
      </c>
      <c r="F218" s="5" t="s">
        <v>254</v>
      </c>
      <c r="G218" s="5" t="s">
        <v>240</v>
      </c>
      <c r="H218" s="6" t="s">
        <v>6827</v>
      </c>
      <c r="I218" s="5" t="s">
        <v>6825</v>
      </c>
      <c r="J218" s="8">
        <f>888</f>
        <v>888</v>
      </c>
      <c r="K218" s="5" t="s">
        <v>308</v>
      </c>
      <c r="L218" s="7">
        <f>1966920</f>
        <v>1966920</v>
      </c>
      <c r="M218" s="7">
        <f>1966920</f>
        <v>1966920</v>
      </c>
      <c r="N218" s="5" t="s">
        <v>242</v>
      </c>
      <c r="O218" s="5">
        <v>1</v>
      </c>
      <c r="P218" s="5" t="s">
        <v>294</v>
      </c>
      <c r="Q218" s="5" t="s">
        <v>266</v>
      </c>
      <c r="R218" s="5" t="s">
        <v>240</v>
      </c>
      <c r="S218" s="5" t="s">
        <v>240</v>
      </c>
      <c r="T218" s="5" t="s">
        <v>296</v>
      </c>
      <c r="U218" s="5" t="s">
        <v>244</v>
      </c>
      <c r="V218" s="5" t="s">
        <v>240</v>
      </c>
      <c r="Y218" s="5" t="s">
        <v>240</v>
      </c>
      <c r="Z218" s="6" t="s">
        <v>298</v>
      </c>
      <c r="AB218" s="6" t="s">
        <v>240</v>
      </c>
      <c r="AE218" s="6" t="s">
        <v>299</v>
      </c>
      <c r="AF218" s="5" t="s">
        <v>248</v>
      </c>
      <c r="AG218" s="5" t="s">
        <v>249</v>
      </c>
      <c r="AW218" s="5" t="s">
        <v>251</v>
      </c>
      <c r="AX218" s="5" t="s">
        <v>240</v>
      </c>
      <c r="AY218" s="5" t="s">
        <v>253</v>
      </c>
      <c r="AZ218" s="5" t="s">
        <v>240</v>
      </c>
      <c r="BA218" s="5" t="s">
        <v>255</v>
      </c>
      <c r="BB218" s="5" t="s">
        <v>240</v>
      </c>
      <c r="BD218" s="5" t="s">
        <v>240</v>
      </c>
      <c r="BF218" s="5" t="s">
        <v>301</v>
      </c>
      <c r="BG218" s="6" t="s">
        <v>299</v>
      </c>
      <c r="BH218" s="5" t="s">
        <v>302</v>
      </c>
      <c r="BI218" s="5" t="s">
        <v>303</v>
      </c>
      <c r="BJ218" s="5" t="s">
        <v>240</v>
      </c>
      <c r="BK218" s="8">
        <f>0</f>
        <v>0</v>
      </c>
      <c r="BL218" s="7">
        <f>0</f>
        <v>0</v>
      </c>
      <c r="BM218" s="5" t="s">
        <v>258</v>
      </c>
      <c r="BN218" s="5" t="s">
        <v>259</v>
      </c>
      <c r="CB218" s="5" t="s">
        <v>240</v>
      </c>
      <c r="CC218" s="5" t="s">
        <v>240</v>
      </c>
      <c r="CG218" s="5" t="s">
        <v>304</v>
      </c>
      <c r="CH218" s="5" t="s">
        <v>305</v>
      </c>
      <c r="CI218" s="5" t="s">
        <v>240</v>
      </c>
      <c r="CL218" s="6" t="s">
        <v>261</v>
      </c>
      <c r="CM218" s="5" t="s">
        <v>240</v>
      </c>
      <c r="CN218" s="5" t="s">
        <v>263</v>
      </c>
      <c r="CO218" s="5" t="s">
        <v>240</v>
      </c>
      <c r="CP218" s="5" t="s">
        <v>240</v>
      </c>
      <c r="CQ218" s="5">
        <v>0</v>
      </c>
      <c r="CR218" s="5" t="s">
        <v>306</v>
      </c>
      <c r="CS218" s="5" t="s">
        <v>307</v>
      </c>
      <c r="CT218" s="5" t="s">
        <v>307</v>
      </c>
      <c r="CU218" s="5" t="s">
        <v>260</v>
      </c>
      <c r="CX218" s="7">
        <f>1</f>
        <v>1</v>
      </c>
      <c r="CY218" s="7">
        <f>0</f>
        <v>0</v>
      </c>
      <c r="DA218" s="7">
        <f>0</f>
        <v>0</v>
      </c>
      <c r="DC218" s="5" t="s">
        <v>309</v>
      </c>
      <c r="DD218" s="5" t="s">
        <v>240</v>
      </c>
      <c r="DF218" s="5" t="s">
        <v>309</v>
      </c>
      <c r="DG218" s="7">
        <f>172</f>
        <v>172</v>
      </c>
      <c r="DH218" s="6" t="s">
        <v>771</v>
      </c>
      <c r="DI218" s="5" t="s">
        <v>240</v>
      </c>
      <c r="DJ218" s="5" t="s">
        <v>240</v>
      </c>
      <c r="DK218" s="5" t="s">
        <v>240</v>
      </c>
      <c r="DL218" s="5" t="s">
        <v>240</v>
      </c>
      <c r="DP218" s="5" t="s">
        <v>240</v>
      </c>
      <c r="DQ218" s="5" t="s">
        <v>240</v>
      </c>
      <c r="DR218" s="5" t="s">
        <v>240</v>
      </c>
      <c r="DS218" s="5" t="s">
        <v>240</v>
      </c>
      <c r="DV218" s="5" t="s">
        <v>310</v>
      </c>
      <c r="DW218" s="5" t="s">
        <v>772</v>
      </c>
      <c r="HO218" s="5" t="s">
        <v>312</v>
      </c>
    </row>
    <row r="219" spans="1:223" x14ac:dyDescent="0.4">
      <c r="A219" s="5">
        <v>930</v>
      </c>
      <c r="B219" s="5">
        <v>1</v>
      </c>
      <c r="C219" s="5">
        <v>1</v>
      </c>
      <c r="D219" s="5" t="s">
        <v>6826</v>
      </c>
      <c r="E219" s="5" t="s">
        <v>1325</v>
      </c>
      <c r="F219" s="5" t="s">
        <v>254</v>
      </c>
      <c r="G219" s="5" t="s">
        <v>240</v>
      </c>
      <c r="H219" s="6" t="s">
        <v>7195</v>
      </c>
      <c r="I219" s="5" t="s">
        <v>6825</v>
      </c>
      <c r="J219" s="8">
        <f>4532</f>
        <v>4532</v>
      </c>
      <c r="K219" s="5" t="s">
        <v>308</v>
      </c>
      <c r="L219" s="7">
        <f>10038380</f>
        <v>10038380</v>
      </c>
      <c r="M219" s="7">
        <f>10038380</f>
        <v>10038380</v>
      </c>
      <c r="N219" s="5" t="s">
        <v>242</v>
      </c>
      <c r="O219" s="5">
        <v>1</v>
      </c>
      <c r="P219" s="5" t="s">
        <v>294</v>
      </c>
      <c r="Q219" s="5" t="s">
        <v>266</v>
      </c>
      <c r="R219" s="5" t="s">
        <v>240</v>
      </c>
      <c r="S219" s="5" t="s">
        <v>240</v>
      </c>
      <c r="T219" s="5" t="s">
        <v>296</v>
      </c>
      <c r="U219" s="5" t="s">
        <v>244</v>
      </c>
      <c r="V219" s="5" t="s">
        <v>240</v>
      </c>
      <c r="Y219" s="5" t="s">
        <v>240</v>
      </c>
      <c r="Z219" s="6" t="s">
        <v>298</v>
      </c>
      <c r="AB219" s="6" t="s">
        <v>240</v>
      </c>
      <c r="AE219" s="6" t="s">
        <v>299</v>
      </c>
      <c r="AF219" s="5" t="s">
        <v>248</v>
      </c>
      <c r="AG219" s="5" t="s">
        <v>249</v>
      </c>
      <c r="AW219" s="5" t="s">
        <v>251</v>
      </c>
      <c r="AX219" s="5" t="s">
        <v>240</v>
      </c>
      <c r="AY219" s="5" t="s">
        <v>253</v>
      </c>
      <c r="AZ219" s="5" t="s">
        <v>240</v>
      </c>
      <c r="BA219" s="5" t="s">
        <v>255</v>
      </c>
      <c r="BB219" s="5" t="s">
        <v>240</v>
      </c>
      <c r="BD219" s="5" t="s">
        <v>240</v>
      </c>
      <c r="BF219" s="5" t="s">
        <v>301</v>
      </c>
      <c r="BG219" s="6" t="s">
        <v>299</v>
      </c>
      <c r="BH219" s="5" t="s">
        <v>302</v>
      </c>
      <c r="BI219" s="5" t="s">
        <v>303</v>
      </c>
      <c r="BJ219" s="5" t="s">
        <v>240</v>
      </c>
      <c r="BK219" s="8">
        <f>0</f>
        <v>0</v>
      </c>
      <c r="BL219" s="7">
        <f>0</f>
        <v>0</v>
      </c>
      <c r="BM219" s="5" t="s">
        <v>258</v>
      </c>
      <c r="BN219" s="5" t="s">
        <v>259</v>
      </c>
      <c r="CB219" s="5" t="s">
        <v>240</v>
      </c>
      <c r="CC219" s="5" t="s">
        <v>240</v>
      </c>
      <c r="CG219" s="5" t="s">
        <v>304</v>
      </c>
      <c r="CH219" s="5" t="s">
        <v>305</v>
      </c>
      <c r="CI219" s="5" t="s">
        <v>240</v>
      </c>
      <c r="CL219" s="6" t="s">
        <v>261</v>
      </c>
      <c r="CM219" s="5" t="s">
        <v>240</v>
      </c>
      <c r="CN219" s="5" t="s">
        <v>263</v>
      </c>
      <c r="CO219" s="5" t="s">
        <v>240</v>
      </c>
      <c r="CP219" s="5" t="s">
        <v>240</v>
      </c>
      <c r="CQ219" s="5">
        <v>0</v>
      </c>
      <c r="CR219" s="5" t="s">
        <v>306</v>
      </c>
      <c r="CS219" s="5" t="s">
        <v>307</v>
      </c>
      <c r="CT219" s="5" t="s">
        <v>307</v>
      </c>
      <c r="CU219" s="5" t="s">
        <v>260</v>
      </c>
      <c r="CX219" s="7">
        <f>1</f>
        <v>1</v>
      </c>
      <c r="CY219" s="7">
        <f>0</f>
        <v>0</v>
      </c>
      <c r="DA219" s="7">
        <f>0</f>
        <v>0</v>
      </c>
      <c r="DC219" s="5" t="s">
        <v>309</v>
      </c>
      <c r="DD219" s="5" t="s">
        <v>240</v>
      </c>
      <c r="DF219" s="5" t="s">
        <v>309</v>
      </c>
      <c r="DG219" s="7">
        <f>298</f>
        <v>298</v>
      </c>
      <c r="DH219" s="6" t="s">
        <v>774</v>
      </c>
      <c r="DI219" s="5" t="s">
        <v>240</v>
      </c>
      <c r="DJ219" s="5" t="s">
        <v>240</v>
      </c>
      <c r="DK219" s="5" t="s">
        <v>240</v>
      </c>
      <c r="DL219" s="5" t="s">
        <v>240</v>
      </c>
      <c r="DP219" s="5" t="s">
        <v>240</v>
      </c>
      <c r="DQ219" s="5" t="s">
        <v>240</v>
      </c>
      <c r="DR219" s="5" t="s">
        <v>240</v>
      </c>
      <c r="DS219" s="5" t="s">
        <v>240</v>
      </c>
      <c r="DV219" s="5" t="s">
        <v>310</v>
      </c>
      <c r="DW219" s="5" t="s">
        <v>775</v>
      </c>
      <c r="HO219" s="5" t="s">
        <v>312</v>
      </c>
    </row>
    <row r="220" spans="1:223" x14ac:dyDescent="0.4">
      <c r="A220" s="5">
        <v>931</v>
      </c>
      <c r="B220" s="5">
        <v>1</v>
      </c>
      <c r="C220" s="5">
        <v>1</v>
      </c>
      <c r="D220" s="5" t="s">
        <v>1605</v>
      </c>
      <c r="E220" s="5" t="s">
        <v>851</v>
      </c>
      <c r="F220" s="5" t="s">
        <v>254</v>
      </c>
      <c r="G220" s="5" t="s">
        <v>240</v>
      </c>
      <c r="H220" s="6" t="s">
        <v>1606</v>
      </c>
      <c r="I220" s="5" t="s">
        <v>1604</v>
      </c>
      <c r="J220" s="8">
        <f>5188</f>
        <v>5188</v>
      </c>
      <c r="K220" s="5" t="s">
        <v>308</v>
      </c>
      <c r="L220" s="7">
        <f>40985200</f>
        <v>40985200</v>
      </c>
      <c r="M220" s="7">
        <f>40985200</f>
        <v>40985200</v>
      </c>
      <c r="N220" s="5" t="s">
        <v>242</v>
      </c>
      <c r="O220" s="5">
        <v>1</v>
      </c>
      <c r="P220" s="5" t="s">
        <v>294</v>
      </c>
      <c r="Q220" s="5" t="s">
        <v>266</v>
      </c>
      <c r="R220" s="5" t="s">
        <v>240</v>
      </c>
      <c r="S220" s="5" t="s">
        <v>240</v>
      </c>
      <c r="T220" s="5" t="s">
        <v>296</v>
      </c>
      <c r="U220" s="5" t="s">
        <v>244</v>
      </c>
      <c r="V220" s="5" t="s">
        <v>240</v>
      </c>
      <c r="Y220" s="5" t="s">
        <v>240</v>
      </c>
      <c r="Z220" s="6" t="s">
        <v>298</v>
      </c>
      <c r="AB220" s="6" t="s">
        <v>240</v>
      </c>
      <c r="AE220" s="6" t="s">
        <v>299</v>
      </c>
      <c r="AF220" s="5" t="s">
        <v>248</v>
      </c>
      <c r="AG220" s="5" t="s">
        <v>249</v>
      </c>
      <c r="AW220" s="5" t="s">
        <v>251</v>
      </c>
      <c r="AX220" s="5" t="s">
        <v>240</v>
      </c>
      <c r="AY220" s="5" t="s">
        <v>253</v>
      </c>
      <c r="AZ220" s="5" t="s">
        <v>240</v>
      </c>
      <c r="BA220" s="5" t="s">
        <v>255</v>
      </c>
      <c r="BB220" s="5" t="s">
        <v>240</v>
      </c>
      <c r="BD220" s="5" t="s">
        <v>240</v>
      </c>
      <c r="BF220" s="5" t="s">
        <v>301</v>
      </c>
      <c r="BG220" s="6" t="s">
        <v>299</v>
      </c>
      <c r="BH220" s="5" t="s">
        <v>302</v>
      </c>
      <c r="BI220" s="5" t="s">
        <v>303</v>
      </c>
      <c r="BJ220" s="5" t="s">
        <v>240</v>
      </c>
      <c r="BK220" s="8">
        <f>0</f>
        <v>0</v>
      </c>
      <c r="BL220" s="7">
        <f>0</f>
        <v>0</v>
      </c>
      <c r="BM220" s="5" t="s">
        <v>258</v>
      </c>
      <c r="BN220" s="5" t="s">
        <v>259</v>
      </c>
      <c r="CB220" s="5" t="s">
        <v>240</v>
      </c>
      <c r="CC220" s="5" t="s">
        <v>240</v>
      </c>
      <c r="CG220" s="5" t="s">
        <v>304</v>
      </c>
      <c r="CH220" s="5" t="s">
        <v>305</v>
      </c>
      <c r="CI220" s="5" t="s">
        <v>240</v>
      </c>
      <c r="CL220" s="6" t="s">
        <v>261</v>
      </c>
      <c r="CM220" s="5" t="s">
        <v>240</v>
      </c>
      <c r="CN220" s="5" t="s">
        <v>263</v>
      </c>
      <c r="CO220" s="5" t="s">
        <v>240</v>
      </c>
      <c r="CP220" s="5" t="s">
        <v>240</v>
      </c>
      <c r="CQ220" s="5">
        <v>0</v>
      </c>
      <c r="CR220" s="5" t="s">
        <v>306</v>
      </c>
      <c r="CS220" s="5" t="s">
        <v>307</v>
      </c>
      <c r="CT220" s="5" t="s">
        <v>307</v>
      </c>
      <c r="CU220" s="5" t="s">
        <v>260</v>
      </c>
      <c r="CX220" s="7">
        <f>1</f>
        <v>1</v>
      </c>
      <c r="CY220" s="7">
        <f>0</f>
        <v>0</v>
      </c>
      <c r="DA220" s="7">
        <f>0</f>
        <v>0</v>
      </c>
      <c r="DC220" s="5" t="s">
        <v>309</v>
      </c>
      <c r="DD220" s="5" t="s">
        <v>240</v>
      </c>
      <c r="DF220" s="5" t="s">
        <v>309</v>
      </c>
      <c r="DG220" s="7">
        <f>1915</f>
        <v>1915</v>
      </c>
      <c r="DI220" s="5" t="s">
        <v>240</v>
      </c>
      <c r="DJ220" s="5" t="s">
        <v>240</v>
      </c>
      <c r="DK220" s="5" t="s">
        <v>240</v>
      </c>
      <c r="DL220" s="5" t="s">
        <v>240</v>
      </c>
      <c r="DP220" s="5" t="s">
        <v>240</v>
      </c>
      <c r="DQ220" s="5" t="s">
        <v>240</v>
      </c>
      <c r="DR220" s="5" t="s">
        <v>240</v>
      </c>
      <c r="DS220" s="5" t="s">
        <v>240</v>
      </c>
      <c r="DV220" s="5" t="s">
        <v>310</v>
      </c>
      <c r="DW220" s="5" t="s">
        <v>777</v>
      </c>
      <c r="HO220" s="5" t="s">
        <v>312</v>
      </c>
    </row>
    <row r="221" spans="1:223" x14ac:dyDescent="0.4">
      <c r="A221" s="5">
        <v>932</v>
      </c>
      <c r="B221" s="5">
        <v>1</v>
      </c>
      <c r="C221" s="5">
        <v>1</v>
      </c>
      <c r="D221" s="5" t="s">
        <v>6793</v>
      </c>
      <c r="E221" s="5" t="s">
        <v>1325</v>
      </c>
      <c r="F221" s="5" t="s">
        <v>254</v>
      </c>
      <c r="G221" s="5" t="s">
        <v>240</v>
      </c>
      <c r="H221" s="6" t="s">
        <v>6794</v>
      </c>
      <c r="I221" s="5" t="s">
        <v>6792</v>
      </c>
      <c r="J221" s="8">
        <f>1100</f>
        <v>1100</v>
      </c>
      <c r="K221" s="5" t="s">
        <v>308</v>
      </c>
      <c r="L221" s="7">
        <f>2436500</f>
        <v>2436500</v>
      </c>
      <c r="M221" s="7">
        <f>2436500</f>
        <v>2436500</v>
      </c>
      <c r="N221" s="5" t="s">
        <v>242</v>
      </c>
      <c r="O221" s="5">
        <v>1</v>
      </c>
      <c r="P221" s="5" t="s">
        <v>294</v>
      </c>
      <c r="Q221" s="5" t="s">
        <v>266</v>
      </c>
      <c r="R221" s="5" t="s">
        <v>240</v>
      </c>
      <c r="S221" s="5" t="s">
        <v>240</v>
      </c>
      <c r="T221" s="5" t="s">
        <v>296</v>
      </c>
      <c r="U221" s="5" t="s">
        <v>244</v>
      </c>
      <c r="V221" s="5" t="s">
        <v>240</v>
      </c>
      <c r="Y221" s="5" t="s">
        <v>240</v>
      </c>
      <c r="Z221" s="6" t="s">
        <v>298</v>
      </c>
      <c r="AB221" s="6" t="s">
        <v>240</v>
      </c>
      <c r="AE221" s="6" t="s">
        <v>299</v>
      </c>
      <c r="AF221" s="5" t="s">
        <v>248</v>
      </c>
      <c r="AG221" s="5" t="s">
        <v>249</v>
      </c>
      <c r="AW221" s="5" t="s">
        <v>251</v>
      </c>
      <c r="AX221" s="5" t="s">
        <v>240</v>
      </c>
      <c r="AY221" s="5" t="s">
        <v>253</v>
      </c>
      <c r="AZ221" s="5" t="s">
        <v>240</v>
      </c>
      <c r="BA221" s="5" t="s">
        <v>255</v>
      </c>
      <c r="BB221" s="5" t="s">
        <v>240</v>
      </c>
      <c r="BD221" s="5" t="s">
        <v>240</v>
      </c>
      <c r="BF221" s="5" t="s">
        <v>301</v>
      </c>
      <c r="BG221" s="6" t="s">
        <v>299</v>
      </c>
      <c r="BH221" s="5" t="s">
        <v>302</v>
      </c>
      <c r="BI221" s="5" t="s">
        <v>303</v>
      </c>
      <c r="BJ221" s="5" t="s">
        <v>240</v>
      </c>
      <c r="BK221" s="8">
        <f>0</f>
        <v>0</v>
      </c>
      <c r="BL221" s="7">
        <f>0</f>
        <v>0</v>
      </c>
      <c r="BM221" s="5" t="s">
        <v>258</v>
      </c>
      <c r="BN221" s="5" t="s">
        <v>259</v>
      </c>
      <c r="CB221" s="5" t="s">
        <v>240</v>
      </c>
      <c r="CC221" s="5" t="s">
        <v>240</v>
      </c>
      <c r="CG221" s="5" t="s">
        <v>304</v>
      </c>
      <c r="CH221" s="5" t="s">
        <v>305</v>
      </c>
      <c r="CI221" s="5" t="s">
        <v>240</v>
      </c>
      <c r="CL221" s="6" t="s">
        <v>261</v>
      </c>
      <c r="CM221" s="5" t="s">
        <v>240</v>
      </c>
      <c r="CN221" s="5" t="s">
        <v>263</v>
      </c>
      <c r="CO221" s="5" t="s">
        <v>240</v>
      </c>
      <c r="CP221" s="5" t="s">
        <v>240</v>
      </c>
      <c r="CQ221" s="5">
        <v>0</v>
      </c>
      <c r="CR221" s="5" t="s">
        <v>306</v>
      </c>
      <c r="CS221" s="5" t="s">
        <v>307</v>
      </c>
      <c r="CT221" s="5" t="s">
        <v>307</v>
      </c>
      <c r="CU221" s="5" t="s">
        <v>260</v>
      </c>
      <c r="CX221" s="7">
        <f>1</f>
        <v>1</v>
      </c>
      <c r="CY221" s="7">
        <f>0</f>
        <v>0</v>
      </c>
      <c r="DA221" s="7">
        <f>0</f>
        <v>0</v>
      </c>
      <c r="DC221" s="5" t="s">
        <v>309</v>
      </c>
      <c r="DD221" s="5" t="s">
        <v>240</v>
      </c>
      <c r="DF221" s="5" t="s">
        <v>309</v>
      </c>
      <c r="DG221" s="7">
        <f>217</f>
        <v>217</v>
      </c>
      <c r="DH221" s="6" t="s">
        <v>771</v>
      </c>
      <c r="DI221" s="5" t="s">
        <v>240</v>
      </c>
      <c r="DJ221" s="5" t="s">
        <v>240</v>
      </c>
      <c r="DK221" s="5" t="s">
        <v>240</v>
      </c>
      <c r="DL221" s="5" t="s">
        <v>240</v>
      </c>
      <c r="DP221" s="5" t="s">
        <v>240</v>
      </c>
      <c r="DQ221" s="5" t="s">
        <v>240</v>
      </c>
      <c r="DR221" s="5" t="s">
        <v>240</v>
      </c>
      <c r="DS221" s="5" t="s">
        <v>240</v>
      </c>
      <c r="DV221" s="5" t="s">
        <v>310</v>
      </c>
      <c r="DW221" s="5" t="s">
        <v>779</v>
      </c>
      <c r="HO221" s="5" t="s">
        <v>312</v>
      </c>
    </row>
    <row r="222" spans="1:223" x14ac:dyDescent="0.4">
      <c r="A222" s="5">
        <v>933</v>
      </c>
      <c r="B222" s="5">
        <v>1</v>
      </c>
      <c r="C222" s="5">
        <v>1</v>
      </c>
      <c r="D222" s="5" t="s">
        <v>6793</v>
      </c>
      <c r="E222" s="5" t="s">
        <v>1325</v>
      </c>
      <c r="F222" s="5" t="s">
        <v>254</v>
      </c>
      <c r="G222" s="5" t="s">
        <v>240</v>
      </c>
      <c r="H222" s="6" t="s">
        <v>6924</v>
      </c>
      <c r="I222" s="5" t="s">
        <v>6792</v>
      </c>
      <c r="J222" s="8">
        <f>3221</f>
        <v>3221</v>
      </c>
      <c r="K222" s="5" t="s">
        <v>308</v>
      </c>
      <c r="L222" s="7">
        <f>7134515</f>
        <v>7134515</v>
      </c>
      <c r="M222" s="7">
        <f>7134515</f>
        <v>7134515</v>
      </c>
      <c r="N222" s="5" t="s">
        <v>242</v>
      </c>
      <c r="O222" s="5">
        <v>1</v>
      </c>
      <c r="P222" s="5" t="s">
        <v>294</v>
      </c>
      <c r="Q222" s="5" t="s">
        <v>266</v>
      </c>
      <c r="R222" s="5" t="s">
        <v>240</v>
      </c>
      <c r="S222" s="5" t="s">
        <v>240</v>
      </c>
      <c r="T222" s="5" t="s">
        <v>296</v>
      </c>
      <c r="U222" s="5" t="s">
        <v>244</v>
      </c>
      <c r="V222" s="5" t="s">
        <v>240</v>
      </c>
      <c r="Y222" s="5" t="s">
        <v>240</v>
      </c>
      <c r="Z222" s="6" t="s">
        <v>298</v>
      </c>
      <c r="AB222" s="6" t="s">
        <v>240</v>
      </c>
      <c r="AE222" s="6" t="s">
        <v>299</v>
      </c>
      <c r="AF222" s="5" t="s">
        <v>248</v>
      </c>
      <c r="AG222" s="5" t="s">
        <v>249</v>
      </c>
      <c r="AW222" s="5" t="s">
        <v>251</v>
      </c>
      <c r="AX222" s="5" t="s">
        <v>240</v>
      </c>
      <c r="AY222" s="5" t="s">
        <v>253</v>
      </c>
      <c r="AZ222" s="5" t="s">
        <v>240</v>
      </c>
      <c r="BA222" s="5" t="s">
        <v>255</v>
      </c>
      <c r="BB222" s="5" t="s">
        <v>240</v>
      </c>
      <c r="BD222" s="5" t="s">
        <v>240</v>
      </c>
      <c r="BF222" s="5" t="s">
        <v>301</v>
      </c>
      <c r="BG222" s="6" t="s">
        <v>299</v>
      </c>
      <c r="BH222" s="5" t="s">
        <v>302</v>
      </c>
      <c r="BI222" s="5" t="s">
        <v>303</v>
      </c>
      <c r="BJ222" s="5" t="s">
        <v>240</v>
      </c>
      <c r="BK222" s="8">
        <f>0</f>
        <v>0</v>
      </c>
      <c r="BL222" s="7">
        <f>0</f>
        <v>0</v>
      </c>
      <c r="BM222" s="5" t="s">
        <v>258</v>
      </c>
      <c r="BN222" s="5" t="s">
        <v>259</v>
      </c>
      <c r="CB222" s="5" t="s">
        <v>240</v>
      </c>
      <c r="CC222" s="5" t="s">
        <v>240</v>
      </c>
      <c r="CG222" s="5" t="s">
        <v>304</v>
      </c>
      <c r="CH222" s="5" t="s">
        <v>305</v>
      </c>
      <c r="CI222" s="5" t="s">
        <v>240</v>
      </c>
      <c r="CL222" s="6" t="s">
        <v>261</v>
      </c>
      <c r="CM222" s="5" t="s">
        <v>240</v>
      </c>
      <c r="CN222" s="5" t="s">
        <v>263</v>
      </c>
      <c r="CO222" s="5" t="s">
        <v>240</v>
      </c>
      <c r="CP222" s="5" t="s">
        <v>240</v>
      </c>
      <c r="CQ222" s="5">
        <v>0</v>
      </c>
      <c r="CR222" s="5" t="s">
        <v>306</v>
      </c>
      <c r="CS222" s="5" t="s">
        <v>307</v>
      </c>
      <c r="CT222" s="5" t="s">
        <v>307</v>
      </c>
      <c r="CU222" s="5" t="s">
        <v>260</v>
      </c>
      <c r="CX222" s="7">
        <f>1</f>
        <v>1</v>
      </c>
      <c r="CY222" s="7">
        <f>0</f>
        <v>0</v>
      </c>
      <c r="DA222" s="7">
        <f>0</f>
        <v>0</v>
      </c>
      <c r="DC222" s="5" t="s">
        <v>309</v>
      </c>
      <c r="DD222" s="5" t="s">
        <v>240</v>
      </c>
      <c r="DF222" s="5" t="s">
        <v>309</v>
      </c>
      <c r="DG222" s="7">
        <f>176</f>
        <v>176</v>
      </c>
      <c r="DH222" s="6" t="s">
        <v>771</v>
      </c>
      <c r="DI222" s="5" t="s">
        <v>240</v>
      </c>
      <c r="DJ222" s="5" t="s">
        <v>240</v>
      </c>
      <c r="DK222" s="5" t="s">
        <v>240</v>
      </c>
      <c r="DL222" s="5" t="s">
        <v>240</v>
      </c>
      <c r="DP222" s="5" t="s">
        <v>240</v>
      </c>
      <c r="DQ222" s="5" t="s">
        <v>240</v>
      </c>
      <c r="DR222" s="5" t="s">
        <v>240</v>
      </c>
      <c r="DS222" s="5" t="s">
        <v>240</v>
      </c>
      <c r="DV222" s="5" t="s">
        <v>310</v>
      </c>
      <c r="DW222" s="5" t="s">
        <v>781</v>
      </c>
      <c r="HO222" s="5" t="s">
        <v>312</v>
      </c>
    </row>
    <row r="223" spans="1:223" x14ac:dyDescent="0.4">
      <c r="A223" s="5">
        <v>934</v>
      </c>
      <c r="B223" s="5">
        <v>1</v>
      </c>
      <c r="C223" s="5">
        <v>1</v>
      </c>
      <c r="D223" s="5" t="s">
        <v>6793</v>
      </c>
      <c r="E223" s="5" t="s">
        <v>1325</v>
      </c>
      <c r="F223" s="5" t="s">
        <v>254</v>
      </c>
      <c r="G223" s="5" t="s">
        <v>240</v>
      </c>
      <c r="H223" s="6" t="s">
        <v>7150</v>
      </c>
      <c r="I223" s="5" t="s">
        <v>6792</v>
      </c>
      <c r="J223" s="8">
        <f>234</f>
        <v>234</v>
      </c>
      <c r="K223" s="5" t="s">
        <v>308</v>
      </c>
      <c r="L223" s="7">
        <f>518310</f>
        <v>518310</v>
      </c>
      <c r="M223" s="7">
        <f>518310</f>
        <v>518310</v>
      </c>
      <c r="N223" s="5" t="s">
        <v>242</v>
      </c>
      <c r="O223" s="5">
        <v>1</v>
      </c>
      <c r="P223" s="5" t="s">
        <v>294</v>
      </c>
      <c r="Q223" s="5" t="s">
        <v>266</v>
      </c>
      <c r="R223" s="5" t="s">
        <v>240</v>
      </c>
      <c r="S223" s="5" t="s">
        <v>240</v>
      </c>
      <c r="T223" s="5" t="s">
        <v>296</v>
      </c>
      <c r="U223" s="5" t="s">
        <v>244</v>
      </c>
      <c r="V223" s="5" t="s">
        <v>240</v>
      </c>
      <c r="Y223" s="5" t="s">
        <v>240</v>
      </c>
      <c r="Z223" s="6" t="s">
        <v>298</v>
      </c>
      <c r="AB223" s="6" t="s">
        <v>240</v>
      </c>
      <c r="AE223" s="6" t="s">
        <v>299</v>
      </c>
      <c r="AF223" s="5" t="s">
        <v>248</v>
      </c>
      <c r="AG223" s="5" t="s">
        <v>249</v>
      </c>
      <c r="AW223" s="5" t="s">
        <v>251</v>
      </c>
      <c r="AX223" s="5" t="s">
        <v>240</v>
      </c>
      <c r="AY223" s="5" t="s">
        <v>253</v>
      </c>
      <c r="AZ223" s="5" t="s">
        <v>240</v>
      </c>
      <c r="BA223" s="5" t="s">
        <v>255</v>
      </c>
      <c r="BB223" s="5" t="s">
        <v>240</v>
      </c>
      <c r="BD223" s="5" t="s">
        <v>240</v>
      </c>
      <c r="BF223" s="5" t="s">
        <v>301</v>
      </c>
      <c r="BG223" s="6" t="s">
        <v>299</v>
      </c>
      <c r="BH223" s="5" t="s">
        <v>302</v>
      </c>
      <c r="BI223" s="5" t="s">
        <v>303</v>
      </c>
      <c r="BJ223" s="5" t="s">
        <v>240</v>
      </c>
      <c r="BK223" s="8">
        <f>0</f>
        <v>0</v>
      </c>
      <c r="BL223" s="7">
        <f>0</f>
        <v>0</v>
      </c>
      <c r="BM223" s="5" t="s">
        <v>258</v>
      </c>
      <c r="BN223" s="5" t="s">
        <v>259</v>
      </c>
      <c r="CB223" s="5" t="s">
        <v>240</v>
      </c>
      <c r="CC223" s="5" t="s">
        <v>240</v>
      </c>
      <c r="CG223" s="5" t="s">
        <v>304</v>
      </c>
      <c r="CH223" s="5" t="s">
        <v>305</v>
      </c>
      <c r="CI223" s="5" t="s">
        <v>240</v>
      </c>
      <c r="CL223" s="6" t="s">
        <v>261</v>
      </c>
      <c r="CM223" s="5" t="s">
        <v>240</v>
      </c>
      <c r="CN223" s="5" t="s">
        <v>263</v>
      </c>
      <c r="CO223" s="5" t="s">
        <v>240</v>
      </c>
      <c r="CP223" s="5" t="s">
        <v>240</v>
      </c>
      <c r="CQ223" s="5">
        <v>0</v>
      </c>
      <c r="CR223" s="5" t="s">
        <v>306</v>
      </c>
      <c r="CS223" s="5" t="s">
        <v>307</v>
      </c>
      <c r="CT223" s="5" t="s">
        <v>307</v>
      </c>
      <c r="CU223" s="5" t="s">
        <v>260</v>
      </c>
      <c r="CX223" s="7">
        <f>1</f>
        <v>1</v>
      </c>
      <c r="CY223" s="7">
        <f>0</f>
        <v>0</v>
      </c>
      <c r="DA223" s="7">
        <f>0</f>
        <v>0</v>
      </c>
      <c r="DC223" s="5" t="s">
        <v>309</v>
      </c>
      <c r="DD223" s="5" t="s">
        <v>240</v>
      </c>
      <c r="DF223" s="5" t="s">
        <v>309</v>
      </c>
      <c r="DG223" s="7">
        <f>185</f>
        <v>185</v>
      </c>
      <c r="DH223" s="6" t="s">
        <v>771</v>
      </c>
      <c r="DI223" s="5" t="s">
        <v>240</v>
      </c>
      <c r="DJ223" s="5" t="s">
        <v>240</v>
      </c>
      <c r="DK223" s="5" t="s">
        <v>240</v>
      </c>
      <c r="DL223" s="5" t="s">
        <v>240</v>
      </c>
      <c r="DP223" s="5" t="s">
        <v>240</v>
      </c>
      <c r="DQ223" s="5" t="s">
        <v>240</v>
      </c>
      <c r="DR223" s="5" t="s">
        <v>240</v>
      </c>
      <c r="DS223" s="5" t="s">
        <v>240</v>
      </c>
      <c r="DV223" s="5" t="s">
        <v>310</v>
      </c>
      <c r="DW223" s="5" t="s">
        <v>783</v>
      </c>
      <c r="HO223" s="5" t="s">
        <v>312</v>
      </c>
    </row>
    <row r="224" spans="1:223" x14ac:dyDescent="0.4">
      <c r="A224" s="5">
        <v>935</v>
      </c>
      <c r="B224" s="5">
        <v>1</v>
      </c>
      <c r="C224" s="5">
        <v>1</v>
      </c>
      <c r="D224" s="5" t="s">
        <v>6793</v>
      </c>
      <c r="E224" s="5" t="s">
        <v>1325</v>
      </c>
      <c r="F224" s="5" t="s">
        <v>254</v>
      </c>
      <c r="G224" s="5" t="s">
        <v>240</v>
      </c>
      <c r="H224" s="6" t="s">
        <v>7154</v>
      </c>
      <c r="I224" s="5" t="s">
        <v>6792</v>
      </c>
      <c r="J224" s="8">
        <f>196</f>
        <v>196</v>
      </c>
      <c r="K224" s="5" t="s">
        <v>308</v>
      </c>
      <c r="L224" s="7">
        <f>434140</f>
        <v>434140</v>
      </c>
      <c r="M224" s="7">
        <f>434140</f>
        <v>434140</v>
      </c>
      <c r="N224" s="5" t="s">
        <v>242</v>
      </c>
      <c r="O224" s="5">
        <v>1</v>
      </c>
      <c r="P224" s="5" t="s">
        <v>294</v>
      </c>
      <c r="Q224" s="5" t="s">
        <v>266</v>
      </c>
      <c r="R224" s="5" t="s">
        <v>240</v>
      </c>
      <c r="S224" s="5" t="s">
        <v>240</v>
      </c>
      <c r="T224" s="5" t="s">
        <v>296</v>
      </c>
      <c r="U224" s="5" t="s">
        <v>244</v>
      </c>
      <c r="V224" s="5" t="s">
        <v>240</v>
      </c>
      <c r="Y224" s="5" t="s">
        <v>240</v>
      </c>
      <c r="Z224" s="6" t="s">
        <v>298</v>
      </c>
      <c r="AB224" s="6" t="s">
        <v>240</v>
      </c>
      <c r="AE224" s="6" t="s">
        <v>299</v>
      </c>
      <c r="AF224" s="5" t="s">
        <v>248</v>
      </c>
      <c r="AG224" s="5" t="s">
        <v>249</v>
      </c>
      <c r="AW224" s="5" t="s">
        <v>251</v>
      </c>
      <c r="AX224" s="5" t="s">
        <v>240</v>
      </c>
      <c r="AY224" s="5" t="s">
        <v>253</v>
      </c>
      <c r="AZ224" s="5" t="s">
        <v>240</v>
      </c>
      <c r="BA224" s="5" t="s">
        <v>255</v>
      </c>
      <c r="BB224" s="5" t="s">
        <v>240</v>
      </c>
      <c r="BD224" s="5" t="s">
        <v>240</v>
      </c>
      <c r="BF224" s="5" t="s">
        <v>301</v>
      </c>
      <c r="BG224" s="6" t="s">
        <v>299</v>
      </c>
      <c r="BH224" s="5" t="s">
        <v>302</v>
      </c>
      <c r="BI224" s="5" t="s">
        <v>303</v>
      </c>
      <c r="BJ224" s="5" t="s">
        <v>240</v>
      </c>
      <c r="BK224" s="8">
        <f>0</f>
        <v>0</v>
      </c>
      <c r="BL224" s="7">
        <f>0</f>
        <v>0</v>
      </c>
      <c r="BM224" s="5" t="s">
        <v>258</v>
      </c>
      <c r="BN224" s="5" t="s">
        <v>259</v>
      </c>
      <c r="CB224" s="5" t="s">
        <v>240</v>
      </c>
      <c r="CC224" s="5" t="s">
        <v>240</v>
      </c>
      <c r="CG224" s="5" t="s">
        <v>304</v>
      </c>
      <c r="CH224" s="5" t="s">
        <v>305</v>
      </c>
      <c r="CI224" s="5" t="s">
        <v>240</v>
      </c>
      <c r="CL224" s="6" t="s">
        <v>261</v>
      </c>
      <c r="CM224" s="5" t="s">
        <v>240</v>
      </c>
      <c r="CN224" s="5" t="s">
        <v>263</v>
      </c>
      <c r="CO224" s="5" t="s">
        <v>240</v>
      </c>
      <c r="CP224" s="5" t="s">
        <v>240</v>
      </c>
      <c r="CQ224" s="5">
        <v>0</v>
      </c>
      <c r="CR224" s="5" t="s">
        <v>306</v>
      </c>
      <c r="CS224" s="5" t="s">
        <v>307</v>
      </c>
      <c r="CT224" s="5" t="s">
        <v>307</v>
      </c>
      <c r="CU224" s="5" t="s">
        <v>260</v>
      </c>
      <c r="CX224" s="7">
        <f>1</f>
        <v>1</v>
      </c>
      <c r="CY224" s="7">
        <f>0</f>
        <v>0</v>
      </c>
      <c r="DA224" s="7">
        <f>0</f>
        <v>0</v>
      </c>
      <c r="DC224" s="5" t="s">
        <v>309</v>
      </c>
      <c r="DD224" s="5" t="s">
        <v>240</v>
      </c>
      <c r="DF224" s="5" t="s">
        <v>309</v>
      </c>
      <c r="DG224" s="7">
        <f>4305</f>
        <v>4305</v>
      </c>
      <c r="DH224" s="6" t="s">
        <v>771</v>
      </c>
      <c r="DI224" s="5" t="s">
        <v>240</v>
      </c>
      <c r="DJ224" s="5" t="s">
        <v>240</v>
      </c>
      <c r="DK224" s="5" t="s">
        <v>240</v>
      </c>
      <c r="DL224" s="5" t="s">
        <v>240</v>
      </c>
      <c r="DP224" s="5" t="s">
        <v>240</v>
      </c>
      <c r="DQ224" s="5" t="s">
        <v>240</v>
      </c>
      <c r="DR224" s="5" t="s">
        <v>240</v>
      </c>
      <c r="DS224" s="5" t="s">
        <v>240</v>
      </c>
      <c r="DV224" s="5" t="s">
        <v>310</v>
      </c>
      <c r="DW224" s="5" t="s">
        <v>785</v>
      </c>
      <c r="HO224" s="5" t="s">
        <v>312</v>
      </c>
    </row>
    <row r="225" spans="1:223" x14ac:dyDescent="0.4">
      <c r="A225" s="5">
        <v>936</v>
      </c>
      <c r="B225" s="5">
        <v>1</v>
      </c>
      <c r="C225" s="5">
        <v>1</v>
      </c>
      <c r="D225" s="5" t="s">
        <v>1568</v>
      </c>
      <c r="E225" s="5" t="s">
        <v>1325</v>
      </c>
      <c r="F225" s="5" t="s">
        <v>254</v>
      </c>
      <c r="G225" s="5" t="s">
        <v>240</v>
      </c>
      <c r="H225" s="6" t="s">
        <v>6904</v>
      </c>
      <c r="I225" s="5" t="s">
        <v>1567</v>
      </c>
      <c r="J225" s="8">
        <f>306</f>
        <v>306</v>
      </c>
      <c r="K225" s="5" t="s">
        <v>308</v>
      </c>
      <c r="L225" s="7">
        <f>677790</f>
        <v>677790</v>
      </c>
      <c r="M225" s="7">
        <f>677790</f>
        <v>677790</v>
      </c>
      <c r="N225" s="5" t="s">
        <v>242</v>
      </c>
      <c r="O225" s="5">
        <v>1</v>
      </c>
      <c r="P225" s="5" t="s">
        <v>294</v>
      </c>
      <c r="Q225" s="5" t="s">
        <v>266</v>
      </c>
      <c r="R225" s="5" t="s">
        <v>240</v>
      </c>
      <c r="S225" s="5" t="s">
        <v>240</v>
      </c>
      <c r="T225" s="5" t="s">
        <v>296</v>
      </c>
      <c r="U225" s="5" t="s">
        <v>244</v>
      </c>
      <c r="V225" s="5" t="s">
        <v>240</v>
      </c>
      <c r="Y225" s="5" t="s">
        <v>240</v>
      </c>
      <c r="Z225" s="6" t="s">
        <v>298</v>
      </c>
      <c r="AB225" s="6" t="s">
        <v>240</v>
      </c>
      <c r="AE225" s="6" t="s">
        <v>299</v>
      </c>
      <c r="AF225" s="5" t="s">
        <v>248</v>
      </c>
      <c r="AG225" s="5" t="s">
        <v>249</v>
      </c>
      <c r="AW225" s="5" t="s">
        <v>251</v>
      </c>
      <c r="AX225" s="5" t="s">
        <v>240</v>
      </c>
      <c r="AY225" s="5" t="s">
        <v>253</v>
      </c>
      <c r="AZ225" s="5" t="s">
        <v>240</v>
      </c>
      <c r="BA225" s="5" t="s">
        <v>255</v>
      </c>
      <c r="BB225" s="5" t="s">
        <v>240</v>
      </c>
      <c r="BD225" s="5" t="s">
        <v>240</v>
      </c>
      <c r="BF225" s="5" t="s">
        <v>301</v>
      </c>
      <c r="BG225" s="6" t="s">
        <v>299</v>
      </c>
      <c r="BH225" s="5" t="s">
        <v>302</v>
      </c>
      <c r="BI225" s="5" t="s">
        <v>303</v>
      </c>
      <c r="BJ225" s="5" t="s">
        <v>240</v>
      </c>
      <c r="BK225" s="8">
        <f>0</f>
        <v>0</v>
      </c>
      <c r="BL225" s="7">
        <f>0</f>
        <v>0</v>
      </c>
      <c r="BM225" s="5" t="s">
        <v>258</v>
      </c>
      <c r="BN225" s="5" t="s">
        <v>259</v>
      </c>
      <c r="CB225" s="5" t="s">
        <v>240</v>
      </c>
      <c r="CC225" s="5" t="s">
        <v>240</v>
      </c>
      <c r="CG225" s="5" t="s">
        <v>304</v>
      </c>
      <c r="CH225" s="5" t="s">
        <v>305</v>
      </c>
      <c r="CI225" s="5" t="s">
        <v>240</v>
      </c>
      <c r="CL225" s="6" t="s">
        <v>261</v>
      </c>
      <c r="CM225" s="5" t="s">
        <v>240</v>
      </c>
      <c r="CN225" s="5" t="s">
        <v>263</v>
      </c>
      <c r="CO225" s="5" t="s">
        <v>240</v>
      </c>
      <c r="CP225" s="5" t="s">
        <v>240</v>
      </c>
      <c r="CQ225" s="5">
        <v>0</v>
      </c>
      <c r="CR225" s="5" t="s">
        <v>306</v>
      </c>
      <c r="CS225" s="5" t="s">
        <v>307</v>
      </c>
      <c r="CT225" s="5" t="s">
        <v>307</v>
      </c>
      <c r="CU225" s="5" t="s">
        <v>260</v>
      </c>
      <c r="CX225" s="7">
        <f>1</f>
        <v>1</v>
      </c>
      <c r="CY225" s="7">
        <f>0</f>
        <v>0</v>
      </c>
      <c r="DA225" s="7">
        <f>0</f>
        <v>0</v>
      </c>
      <c r="DC225" s="5" t="s">
        <v>309</v>
      </c>
      <c r="DD225" s="5" t="s">
        <v>240</v>
      </c>
      <c r="DF225" s="5" t="s">
        <v>309</v>
      </c>
      <c r="DG225" s="7">
        <f>5549</f>
        <v>5549</v>
      </c>
      <c r="DI225" s="5" t="s">
        <v>240</v>
      </c>
      <c r="DJ225" s="5" t="s">
        <v>240</v>
      </c>
      <c r="DK225" s="5" t="s">
        <v>240</v>
      </c>
      <c r="DL225" s="5" t="s">
        <v>240</v>
      </c>
      <c r="DP225" s="5" t="s">
        <v>240</v>
      </c>
      <c r="DQ225" s="5" t="s">
        <v>240</v>
      </c>
      <c r="DR225" s="5" t="s">
        <v>240</v>
      </c>
      <c r="DS225" s="5" t="s">
        <v>240</v>
      </c>
      <c r="DV225" s="5" t="s">
        <v>310</v>
      </c>
      <c r="DW225" s="5" t="s">
        <v>787</v>
      </c>
      <c r="HO225" s="5" t="s">
        <v>312</v>
      </c>
    </row>
    <row r="226" spans="1:223" x14ac:dyDescent="0.4">
      <c r="A226" s="5">
        <v>937</v>
      </c>
      <c r="B226" s="5">
        <v>1</v>
      </c>
      <c r="C226" s="5">
        <v>1</v>
      </c>
      <c r="D226" s="5" t="s">
        <v>1568</v>
      </c>
      <c r="E226" s="5" t="s">
        <v>1325</v>
      </c>
      <c r="F226" s="5" t="s">
        <v>254</v>
      </c>
      <c r="G226" s="5" t="s">
        <v>240</v>
      </c>
      <c r="H226" s="6" t="s">
        <v>6969</v>
      </c>
      <c r="I226" s="5" t="s">
        <v>1567</v>
      </c>
      <c r="J226" s="8">
        <f>343</f>
        <v>343</v>
      </c>
      <c r="K226" s="5" t="s">
        <v>308</v>
      </c>
      <c r="L226" s="7">
        <f>759745</f>
        <v>759745</v>
      </c>
      <c r="M226" s="7">
        <f>759745</f>
        <v>759745</v>
      </c>
      <c r="N226" s="5" t="s">
        <v>242</v>
      </c>
      <c r="O226" s="5">
        <v>1</v>
      </c>
      <c r="P226" s="5" t="s">
        <v>294</v>
      </c>
      <c r="Q226" s="5" t="s">
        <v>266</v>
      </c>
      <c r="R226" s="5" t="s">
        <v>240</v>
      </c>
      <c r="S226" s="5" t="s">
        <v>240</v>
      </c>
      <c r="T226" s="5" t="s">
        <v>296</v>
      </c>
      <c r="U226" s="5" t="s">
        <v>244</v>
      </c>
      <c r="V226" s="5" t="s">
        <v>240</v>
      </c>
      <c r="Y226" s="5" t="s">
        <v>240</v>
      </c>
      <c r="Z226" s="6" t="s">
        <v>298</v>
      </c>
      <c r="AB226" s="6" t="s">
        <v>240</v>
      </c>
      <c r="AE226" s="6" t="s">
        <v>299</v>
      </c>
      <c r="AF226" s="5" t="s">
        <v>248</v>
      </c>
      <c r="AG226" s="5" t="s">
        <v>249</v>
      </c>
      <c r="AW226" s="5" t="s">
        <v>251</v>
      </c>
      <c r="AX226" s="5" t="s">
        <v>240</v>
      </c>
      <c r="AY226" s="5" t="s">
        <v>253</v>
      </c>
      <c r="AZ226" s="5" t="s">
        <v>240</v>
      </c>
      <c r="BA226" s="5" t="s">
        <v>255</v>
      </c>
      <c r="BB226" s="5" t="s">
        <v>240</v>
      </c>
      <c r="BD226" s="5" t="s">
        <v>240</v>
      </c>
      <c r="BF226" s="5" t="s">
        <v>301</v>
      </c>
      <c r="BG226" s="6" t="s">
        <v>299</v>
      </c>
      <c r="BH226" s="5" t="s">
        <v>302</v>
      </c>
      <c r="BI226" s="5" t="s">
        <v>303</v>
      </c>
      <c r="BJ226" s="5" t="s">
        <v>240</v>
      </c>
      <c r="BK226" s="8">
        <f>0</f>
        <v>0</v>
      </c>
      <c r="BL226" s="7">
        <f>0</f>
        <v>0</v>
      </c>
      <c r="BM226" s="5" t="s">
        <v>258</v>
      </c>
      <c r="BN226" s="5" t="s">
        <v>259</v>
      </c>
      <c r="CB226" s="5" t="s">
        <v>240</v>
      </c>
      <c r="CC226" s="5" t="s">
        <v>240</v>
      </c>
      <c r="CG226" s="5" t="s">
        <v>304</v>
      </c>
      <c r="CH226" s="5" t="s">
        <v>305</v>
      </c>
      <c r="CI226" s="5" t="s">
        <v>240</v>
      </c>
      <c r="CL226" s="6" t="s">
        <v>261</v>
      </c>
      <c r="CM226" s="5" t="s">
        <v>240</v>
      </c>
      <c r="CN226" s="5" t="s">
        <v>263</v>
      </c>
      <c r="CO226" s="5" t="s">
        <v>240</v>
      </c>
      <c r="CP226" s="5" t="s">
        <v>240</v>
      </c>
      <c r="CQ226" s="5">
        <v>0</v>
      </c>
      <c r="CR226" s="5" t="s">
        <v>306</v>
      </c>
      <c r="CS226" s="5" t="s">
        <v>307</v>
      </c>
      <c r="CT226" s="5" t="s">
        <v>307</v>
      </c>
      <c r="CU226" s="5" t="s">
        <v>260</v>
      </c>
      <c r="CX226" s="7">
        <f>1</f>
        <v>1</v>
      </c>
      <c r="CY226" s="7">
        <f>0</f>
        <v>0</v>
      </c>
      <c r="DA226" s="7">
        <f>0</f>
        <v>0</v>
      </c>
      <c r="DC226" s="5" t="s">
        <v>309</v>
      </c>
      <c r="DD226" s="5" t="s">
        <v>240</v>
      </c>
      <c r="DF226" s="5" t="s">
        <v>309</v>
      </c>
      <c r="DG226" s="7">
        <f>4077</f>
        <v>4077</v>
      </c>
      <c r="DI226" s="5" t="s">
        <v>240</v>
      </c>
      <c r="DJ226" s="5" t="s">
        <v>240</v>
      </c>
      <c r="DK226" s="5" t="s">
        <v>240</v>
      </c>
      <c r="DL226" s="5" t="s">
        <v>240</v>
      </c>
      <c r="DP226" s="5" t="s">
        <v>240</v>
      </c>
      <c r="DQ226" s="5" t="s">
        <v>240</v>
      </c>
      <c r="DR226" s="5" t="s">
        <v>240</v>
      </c>
      <c r="DS226" s="5" t="s">
        <v>240</v>
      </c>
      <c r="DV226" s="5" t="s">
        <v>310</v>
      </c>
      <c r="DW226" s="5" t="s">
        <v>789</v>
      </c>
      <c r="HO226" s="5" t="s">
        <v>312</v>
      </c>
    </row>
    <row r="227" spans="1:223" x14ac:dyDescent="0.4">
      <c r="A227" s="5">
        <v>938</v>
      </c>
      <c r="B227" s="5">
        <v>1</v>
      </c>
      <c r="C227" s="5">
        <v>1</v>
      </c>
      <c r="D227" s="5" t="s">
        <v>1568</v>
      </c>
      <c r="E227" s="5" t="s">
        <v>1325</v>
      </c>
      <c r="F227" s="5" t="s">
        <v>254</v>
      </c>
      <c r="G227" s="5" t="s">
        <v>240</v>
      </c>
      <c r="H227" s="6" t="s">
        <v>7039</v>
      </c>
      <c r="I227" s="5" t="s">
        <v>1567</v>
      </c>
      <c r="J227" s="8">
        <f>496</f>
        <v>496</v>
      </c>
      <c r="K227" s="5" t="s">
        <v>308</v>
      </c>
      <c r="L227" s="7">
        <f>1098640</f>
        <v>1098640</v>
      </c>
      <c r="M227" s="7">
        <f>1098640</f>
        <v>1098640</v>
      </c>
      <c r="N227" s="5" t="s">
        <v>242</v>
      </c>
      <c r="O227" s="5">
        <v>1</v>
      </c>
      <c r="P227" s="5" t="s">
        <v>294</v>
      </c>
      <c r="Q227" s="5" t="s">
        <v>266</v>
      </c>
      <c r="R227" s="5" t="s">
        <v>240</v>
      </c>
      <c r="S227" s="5" t="s">
        <v>240</v>
      </c>
      <c r="T227" s="5" t="s">
        <v>296</v>
      </c>
      <c r="U227" s="5" t="s">
        <v>244</v>
      </c>
      <c r="V227" s="5" t="s">
        <v>240</v>
      </c>
      <c r="Y227" s="5" t="s">
        <v>240</v>
      </c>
      <c r="Z227" s="6" t="s">
        <v>298</v>
      </c>
      <c r="AB227" s="6" t="s">
        <v>240</v>
      </c>
      <c r="AE227" s="6" t="s">
        <v>299</v>
      </c>
      <c r="AF227" s="5" t="s">
        <v>248</v>
      </c>
      <c r="AG227" s="5" t="s">
        <v>249</v>
      </c>
      <c r="AW227" s="5" t="s">
        <v>251</v>
      </c>
      <c r="AX227" s="5" t="s">
        <v>240</v>
      </c>
      <c r="AY227" s="5" t="s">
        <v>253</v>
      </c>
      <c r="AZ227" s="5" t="s">
        <v>240</v>
      </c>
      <c r="BA227" s="5" t="s">
        <v>255</v>
      </c>
      <c r="BB227" s="5" t="s">
        <v>240</v>
      </c>
      <c r="BD227" s="5" t="s">
        <v>240</v>
      </c>
      <c r="BF227" s="5" t="s">
        <v>301</v>
      </c>
      <c r="BG227" s="6" t="s">
        <v>299</v>
      </c>
      <c r="BH227" s="5" t="s">
        <v>302</v>
      </c>
      <c r="BI227" s="5" t="s">
        <v>303</v>
      </c>
      <c r="BJ227" s="5" t="s">
        <v>240</v>
      </c>
      <c r="BK227" s="8">
        <f>0</f>
        <v>0</v>
      </c>
      <c r="BL227" s="7">
        <f>0</f>
        <v>0</v>
      </c>
      <c r="BM227" s="5" t="s">
        <v>258</v>
      </c>
      <c r="BN227" s="5" t="s">
        <v>259</v>
      </c>
      <c r="CB227" s="5" t="s">
        <v>240</v>
      </c>
      <c r="CC227" s="5" t="s">
        <v>240</v>
      </c>
      <c r="CG227" s="5" t="s">
        <v>304</v>
      </c>
      <c r="CH227" s="5" t="s">
        <v>305</v>
      </c>
      <c r="CI227" s="5" t="s">
        <v>240</v>
      </c>
      <c r="CL227" s="6" t="s">
        <v>261</v>
      </c>
      <c r="CM227" s="5" t="s">
        <v>240</v>
      </c>
      <c r="CN227" s="5" t="s">
        <v>263</v>
      </c>
      <c r="CO227" s="5" t="s">
        <v>240</v>
      </c>
      <c r="CP227" s="5" t="s">
        <v>240</v>
      </c>
      <c r="CQ227" s="5">
        <v>0</v>
      </c>
      <c r="CR227" s="5" t="s">
        <v>306</v>
      </c>
      <c r="CS227" s="5" t="s">
        <v>307</v>
      </c>
      <c r="CT227" s="5" t="s">
        <v>307</v>
      </c>
      <c r="CU227" s="5" t="s">
        <v>260</v>
      </c>
      <c r="CX227" s="7">
        <f>1</f>
        <v>1</v>
      </c>
      <c r="CY227" s="7">
        <f>0</f>
        <v>0</v>
      </c>
      <c r="DA227" s="7">
        <f>0</f>
        <v>0</v>
      </c>
      <c r="DC227" s="5" t="s">
        <v>309</v>
      </c>
      <c r="DD227" s="5" t="s">
        <v>240</v>
      </c>
      <c r="DF227" s="5" t="s">
        <v>309</v>
      </c>
      <c r="DG227" s="7">
        <f>1979</f>
        <v>1979</v>
      </c>
      <c r="DI227" s="5" t="s">
        <v>240</v>
      </c>
      <c r="DJ227" s="5" t="s">
        <v>240</v>
      </c>
      <c r="DK227" s="5" t="s">
        <v>240</v>
      </c>
      <c r="DL227" s="5" t="s">
        <v>240</v>
      </c>
      <c r="DP227" s="5" t="s">
        <v>240</v>
      </c>
      <c r="DQ227" s="5" t="s">
        <v>240</v>
      </c>
      <c r="DR227" s="5" t="s">
        <v>240</v>
      </c>
      <c r="DS227" s="5" t="s">
        <v>240</v>
      </c>
      <c r="DV227" s="5" t="s">
        <v>310</v>
      </c>
      <c r="DW227" s="5" t="s">
        <v>791</v>
      </c>
      <c r="HO227" s="5" t="s">
        <v>312</v>
      </c>
    </row>
    <row r="228" spans="1:223" x14ac:dyDescent="0.4">
      <c r="A228" s="5">
        <v>939</v>
      </c>
      <c r="B228" s="5">
        <v>1</v>
      </c>
      <c r="C228" s="5">
        <v>1</v>
      </c>
      <c r="D228" s="5" t="s">
        <v>1568</v>
      </c>
      <c r="E228" s="5" t="s">
        <v>1325</v>
      </c>
      <c r="F228" s="5" t="s">
        <v>254</v>
      </c>
      <c r="G228" s="5" t="s">
        <v>240</v>
      </c>
      <c r="H228" s="6" t="s">
        <v>7119</v>
      </c>
      <c r="I228" s="5" t="s">
        <v>1567</v>
      </c>
      <c r="J228" s="8">
        <f>96</f>
        <v>96</v>
      </c>
      <c r="K228" s="5" t="s">
        <v>308</v>
      </c>
      <c r="L228" s="7">
        <f>212640</f>
        <v>212640</v>
      </c>
      <c r="M228" s="7">
        <f>212640</f>
        <v>212640</v>
      </c>
      <c r="N228" s="5" t="s">
        <v>242</v>
      </c>
      <c r="O228" s="5">
        <v>1</v>
      </c>
      <c r="P228" s="5" t="s">
        <v>294</v>
      </c>
      <c r="Q228" s="5" t="s">
        <v>266</v>
      </c>
      <c r="R228" s="5" t="s">
        <v>240</v>
      </c>
      <c r="S228" s="5" t="s">
        <v>240</v>
      </c>
      <c r="T228" s="5" t="s">
        <v>296</v>
      </c>
      <c r="U228" s="5" t="s">
        <v>244</v>
      </c>
      <c r="V228" s="5" t="s">
        <v>240</v>
      </c>
      <c r="Y228" s="5" t="s">
        <v>240</v>
      </c>
      <c r="Z228" s="6" t="s">
        <v>298</v>
      </c>
      <c r="AB228" s="6" t="s">
        <v>240</v>
      </c>
      <c r="AE228" s="6" t="s">
        <v>299</v>
      </c>
      <c r="AF228" s="5" t="s">
        <v>248</v>
      </c>
      <c r="AG228" s="5" t="s">
        <v>249</v>
      </c>
      <c r="AW228" s="5" t="s">
        <v>251</v>
      </c>
      <c r="AX228" s="5" t="s">
        <v>240</v>
      </c>
      <c r="AY228" s="5" t="s">
        <v>253</v>
      </c>
      <c r="AZ228" s="5" t="s">
        <v>240</v>
      </c>
      <c r="BA228" s="5" t="s">
        <v>255</v>
      </c>
      <c r="BB228" s="5" t="s">
        <v>240</v>
      </c>
      <c r="BD228" s="5" t="s">
        <v>240</v>
      </c>
      <c r="BF228" s="5" t="s">
        <v>301</v>
      </c>
      <c r="BG228" s="6" t="s">
        <v>299</v>
      </c>
      <c r="BH228" s="5" t="s">
        <v>302</v>
      </c>
      <c r="BI228" s="5" t="s">
        <v>303</v>
      </c>
      <c r="BJ228" s="5" t="s">
        <v>240</v>
      </c>
      <c r="BK228" s="8">
        <f>0</f>
        <v>0</v>
      </c>
      <c r="BL228" s="7">
        <f>0</f>
        <v>0</v>
      </c>
      <c r="BM228" s="5" t="s">
        <v>258</v>
      </c>
      <c r="BN228" s="5" t="s">
        <v>259</v>
      </c>
      <c r="CB228" s="5" t="s">
        <v>240</v>
      </c>
      <c r="CC228" s="5" t="s">
        <v>240</v>
      </c>
      <c r="CG228" s="5" t="s">
        <v>304</v>
      </c>
      <c r="CH228" s="5" t="s">
        <v>305</v>
      </c>
      <c r="CI228" s="5" t="s">
        <v>240</v>
      </c>
      <c r="CL228" s="6" t="s">
        <v>261</v>
      </c>
      <c r="CM228" s="5" t="s">
        <v>240</v>
      </c>
      <c r="CN228" s="5" t="s">
        <v>263</v>
      </c>
      <c r="CO228" s="5" t="s">
        <v>240</v>
      </c>
      <c r="CP228" s="5" t="s">
        <v>240</v>
      </c>
      <c r="CQ228" s="5">
        <v>0</v>
      </c>
      <c r="CR228" s="5" t="s">
        <v>306</v>
      </c>
      <c r="CS228" s="5" t="s">
        <v>307</v>
      </c>
      <c r="CT228" s="5" t="s">
        <v>307</v>
      </c>
      <c r="CU228" s="5" t="s">
        <v>260</v>
      </c>
      <c r="CX228" s="7">
        <f>1</f>
        <v>1</v>
      </c>
      <c r="CY228" s="7">
        <f>0</f>
        <v>0</v>
      </c>
      <c r="DA228" s="7">
        <f>0</f>
        <v>0</v>
      </c>
      <c r="DC228" s="5" t="s">
        <v>309</v>
      </c>
      <c r="DD228" s="5" t="s">
        <v>240</v>
      </c>
      <c r="DF228" s="5" t="s">
        <v>309</v>
      </c>
      <c r="DG228" s="7">
        <f>4.17</f>
        <v>4.17</v>
      </c>
      <c r="DI228" s="5" t="s">
        <v>240</v>
      </c>
      <c r="DJ228" s="5" t="s">
        <v>240</v>
      </c>
      <c r="DK228" s="5" t="s">
        <v>240</v>
      </c>
      <c r="DL228" s="5" t="s">
        <v>240</v>
      </c>
      <c r="DP228" s="5" t="s">
        <v>240</v>
      </c>
      <c r="DQ228" s="5" t="s">
        <v>240</v>
      </c>
      <c r="DR228" s="5" t="s">
        <v>240</v>
      </c>
      <c r="DS228" s="5" t="s">
        <v>240</v>
      </c>
      <c r="DV228" s="5" t="s">
        <v>310</v>
      </c>
      <c r="DW228" s="5" t="s">
        <v>793</v>
      </c>
      <c r="HO228" s="5" t="s">
        <v>312</v>
      </c>
    </row>
    <row r="229" spans="1:223" x14ac:dyDescent="0.4">
      <c r="A229" s="5">
        <v>940</v>
      </c>
      <c r="B229" s="5">
        <v>1</v>
      </c>
      <c r="C229" s="5">
        <v>1</v>
      </c>
      <c r="D229" s="5" t="s">
        <v>1568</v>
      </c>
      <c r="E229" s="5" t="s">
        <v>1325</v>
      </c>
      <c r="F229" s="5" t="s">
        <v>254</v>
      </c>
      <c r="G229" s="5" t="s">
        <v>240</v>
      </c>
      <c r="H229" s="6" t="s">
        <v>1603</v>
      </c>
      <c r="I229" s="5" t="s">
        <v>1567</v>
      </c>
      <c r="J229" s="8">
        <f>317</f>
        <v>317</v>
      </c>
      <c r="K229" s="5" t="s">
        <v>308</v>
      </c>
      <c r="L229" s="7">
        <f>702155</f>
        <v>702155</v>
      </c>
      <c r="M229" s="7">
        <f>702155</f>
        <v>702155</v>
      </c>
      <c r="N229" s="5" t="s">
        <v>242</v>
      </c>
      <c r="O229" s="5">
        <v>1</v>
      </c>
      <c r="P229" s="5" t="s">
        <v>294</v>
      </c>
      <c r="Q229" s="5" t="s">
        <v>266</v>
      </c>
      <c r="R229" s="5" t="s">
        <v>240</v>
      </c>
      <c r="S229" s="5" t="s">
        <v>240</v>
      </c>
      <c r="T229" s="5" t="s">
        <v>296</v>
      </c>
      <c r="U229" s="5" t="s">
        <v>244</v>
      </c>
      <c r="V229" s="5" t="s">
        <v>240</v>
      </c>
      <c r="Y229" s="5" t="s">
        <v>240</v>
      </c>
      <c r="Z229" s="6" t="s">
        <v>298</v>
      </c>
      <c r="AB229" s="6" t="s">
        <v>240</v>
      </c>
      <c r="AE229" s="6" t="s">
        <v>299</v>
      </c>
      <c r="AF229" s="5" t="s">
        <v>248</v>
      </c>
      <c r="AG229" s="5" t="s">
        <v>249</v>
      </c>
      <c r="AW229" s="5" t="s">
        <v>251</v>
      </c>
      <c r="AX229" s="5" t="s">
        <v>240</v>
      </c>
      <c r="AY229" s="5" t="s">
        <v>253</v>
      </c>
      <c r="AZ229" s="5" t="s">
        <v>240</v>
      </c>
      <c r="BA229" s="5" t="s">
        <v>255</v>
      </c>
      <c r="BB229" s="5" t="s">
        <v>240</v>
      </c>
      <c r="BD229" s="5" t="s">
        <v>240</v>
      </c>
      <c r="BF229" s="5" t="s">
        <v>301</v>
      </c>
      <c r="BG229" s="6" t="s">
        <v>299</v>
      </c>
      <c r="BH229" s="5" t="s">
        <v>302</v>
      </c>
      <c r="BI229" s="5" t="s">
        <v>303</v>
      </c>
      <c r="BJ229" s="5" t="s">
        <v>240</v>
      </c>
      <c r="BK229" s="8">
        <f>0</f>
        <v>0</v>
      </c>
      <c r="BL229" s="7">
        <f>0</f>
        <v>0</v>
      </c>
      <c r="BM229" s="5" t="s">
        <v>258</v>
      </c>
      <c r="BN229" s="5" t="s">
        <v>259</v>
      </c>
      <c r="CB229" s="5" t="s">
        <v>240</v>
      </c>
      <c r="CC229" s="5" t="s">
        <v>240</v>
      </c>
      <c r="CG229" s="5" t="s">
        <v>304</v>
      </c>
      <c r="CH229" s="5" t="s">
        <v>305</v>
      </c>
      <c r="CI229" s="5" t="s">
        <v>240</v>
      </c>
      <c r="CL229" s="6" t="s">
        <v>261</v>
      </c>
      <c r="CM229" s="5" t="s">
        <v>240</v>
      </c>
      <c r="CN229" s="5" t="s">
        <v>263</v>
      </c>
      <c r="CO229" s="5" t="s">
        <v>240</v>
      </c>
      <c r="CP229" s="5" t="s">
        <v>240</v>
      </c>
      <c r="CQ229" s="5">
        <v>0</v>
      </c>
      <c r="CR229" s="5" t="s">
        <v>306</v>
      </c>
      <c r="CS229" s="5" t="s">
        <v>307</v>
      </c>
      <c r="CT229" s="5" t="s">
        <v>307</v>
      </c>
      <c r="CU229" s="5" t="s">
        <v>260</v>
      </c>
      <c r="CX229" s="7">
        <f>1</f>
        <v>1</v>
      </c>
      <c r="CY229" s="7">
        <f>0</f>
        <v>0</v>
      </c>
      <c r="DA229" s="7">
        <f>0</f>
        <v>0</v>
      </c>
      <c r="DC229" s="5" t="s">
        <v>309</v>
      </c>
      <c r="DD229" s="5" t="s">
        <v>240</v>
      </c>
      <c r="DF229" s="5" t="s">
        <v>309</v>
      </c>
      <c r="DG229" s="7">
        <f>206</f>
        <v>206</v>
      </c>
      <c r="DI229" s="5" t="s">
        <v>240</v>
      </c>
      <c r="DJ229" s="5" t="s">
        <v>240</v>
      </c>
      <c r="DK229" s="5" t="s">
        <v>240</v>
      </c>
      <c r="DL229" s="5" t="s">
        <v>240</v>
      </c>
      <c r="DP229" s="5" t="s">
        <v>240</v>
      </c>
      <c r="DQ229" s="5" t="s">
        <v>240</v>
      </c>
      <c r="DR229" s="5" t="s">
        <v>240</v>
      </c>
      <c r="DS229" s="5" t="s">
        <v>240</v>
      </c>
      <c r="DV229" s="5" t="s">
        <v>310</v>
      </c>
      <c r="DW229" s="5" t="s">
        <v>795</v>
      </c>
      <c r="HO229" s="5" t="s">
        <v>312</v>
      </c>
    </row>
    <row r="230" spans="1:223" x14ac:dyDescent="0.4">
      <c r="A230" s="5">
        <v>941</v>
      </c>
      <c r="B230" s="5">
        <v>1</v>
      </c>
      <c r="C230" s="5">
        <v>1</v>
      </c>
      <c r="D230" s="5" t="s">
        <v>1568</v>
      </c>
      <c r="E230" s="5" t="s">
        <v>1325</v>
      </c>
      <c r="F230" s="5" t="s">
        <v>254</v>
      </c>
      <c r="G230" s="5" t="s">
        <v>240</v>
      </c>
      <c r="H230" s="6" t="s">
        <v>1602</v>
      </c>
      <c r="I230" s="5" t="s">
        <v>1567</v>
      </c>
      <c r="J230" s="8">
        <f>143</f>
        <v>143</v>
      </c>
      <c r="K230" s="5" t="s">
        <v>308</v>
      </c>
      <c r="L230" s="7">
        <f>316745</f>
        <v>316745</v>
      </c>
      <c r="M230" s="7">
        <f>316745</f>
        <v>316745</v>
      </c>
      <c r="N230" s="5" t="s">
        <v>242</v>
      </c>
      <c r="O230" s="5">
        <v>1</v>
      </c>
      <c r="P230" s="5" t="s">
        <v>294</v>
      </c>
      <c r="Q230" s="5" t="s">
        <v>266</v>
      </c>
      <c r="R230" s="5" t="s">
        <v>240</v>
      </c>
      <c r="S230" s="5" t="s">
        <v>240</v>
      </c>
      <c r="T230" s="5" t="s">
        <v>296</v>
      </c>
      <c r="U230" s="5" t="s">
        <v>244</v>
      </c>
      <c r="V230" s="5" t="s">
        <v>240</v>
      </c>
      <c r="Y230" s="5" t="s">
        <v>240</v>
      </c>
      <c r="Z230" s="6" t="s">
        <v>298</v>
      </c>
      <c r="AB230" s="6" t="s">
        <v>240</v>
      </c>
      <c r="AE230" s="6" t="s">
        <v>299</v>
      </c>
      <c r="AF230" s="5" t="s">
        <v>248</v>
      </c>
      <c r="AG230" s="5" t="s">
        <v>249</v>
      </c>
      <c r="AW230" s="5" t="s">
        <v>251</v>
      </c>
      <c r="AX230" s="5" t="s">
        <v>240</v>
      </c>
      <c r="AY230" s="5" t="s">
        <v>253</v>
      </c>
      <c r="AZ230" s="5" t="s">
        <v>240</v>
      </c>
      <c r="BA230" s="5" t="s">
        <v>255</v>
      </c>
      <c r="BB230" s="5" t="s">
        <v>240</v>
      </c>
      <c r="BD230" s="5" t="s">
        <v>240</v>
      </c>
      <c r="BF230" s="5" t="s">
        <v>301</v>
      </c>
      <c r="BG230" s="6" t="s">
        <v>299</v>
      </c>
      <c r="BH230" s="5" t="s">
        <v>302</v>
      </c>
      <c r="BI230" s="5" t="s">
        <v>303</v>
      </c>
      <c r="BJ230" s="5" t="s">
        <v>240</v>
      </c>
      <c r="BK230" s="8">
        <f>0</f>
        <v>0</v>
      </c>
      <c r="BL230" s="7">
        <f>0</f>
        <v>0</v>
      </c>
      <c r="BM230" s="5" t="s">
        <v>258</v>
      </c>
      <c r="BN230" s="5" t="s">
        <v>259</v>
      </c>
      <c r="CB230" s="5" t="s">
        <v>240</v>
      </c>
      <c r="CC230" s="5" t="s">
        <v>240</v>
      </c>
      <c r="CG230" s="5" t="s">
        <v>304</v>
      </c>
      <c r="CH230" s="5" t="s">
        <v>305</v>
      </c>
      <c r="CI230" s="5" t="s">
        <v>240</v>
      </c>
      <c r="CL230" s="6" t="s">
        <v>261</v>
      </c>
      <c r="CM230" s="5" t="s">
        <v>240</v>
      </c>
      <c r="CN230" s="5" t="s">
        <v>263</v>
      </c>
      <c r="CO230" s="5" t="s">
        <v>240</v>
      </c>
      <c r="CP230" s="5" t="s">
        <v>240</v>
      </c>
      <c r="CQ230" s="5">
        <v>0</v>
      </c>
      <c r="CR230" s="5" t="s">
        <v>306</v>
      </c>
      <c r="CS230" s="5" t="s">
        <v>307</v>
      </c>
      <c r="CT230" s="5" t="s">
        <v>307</v>
      </c>
      <c r="CU230" s="5" t="s">
        <v>260</v>
      </c>
      <c r="CX230" s="7">
        <f>1</f>
        <v>1</v>
      </c>
      <c r="CY230" s="7">
        <f>0</f>
        <v>0</v>
      </c>
      <c r="DA230" s="7">
        <f>0</f>
        <v>0</v>
      </c>
      <c r="DC230" s="5" t="s">
        <v>309</v>
      </c>
      <c r="DD230" s="5" t="s">
        <v>240</v>
      </c>
      <c r="DF230" s="5" t="s">
        <v>309</v>
      </c>
      <c r="DG230" s="7">
        <f>1067</f>
        <v>1067</v>
      </c>
      <c r="DI230" s="5" t="s">
        <v>240</v>
      </c>
      <c r="DJ230" s="5" t="s">
        <v>240</v>
      </c>
      <c r="DK230" s="5" t="s">
        <v>240</v>
      </c>
      <c r="DL230" s="5" t="s">
        <v>240</v>
      </c>
      <c r="DP230" s="5" t="s">
        <v>240</v>
      </c>
      <c r="DQ230" s="5" t="s">
        <v>240</v>
      </c>
      <c r="DR230" s="5" t="s">
        <v>240</v>
      </c>
      <c r="DS230" s="5" t="s">
        <v>240</v>
      </c>
      <c r="DV230" s="5" t="s">
        <v>310</v>
      </c>
      <c r="DW230" s="5" t="s">
        <v>797</v>
      </c>
      <c r="HO230" s="5" t="s">
        <v>312</v>
      </c>
    </row>
    <row r="231" spans="1:223" x14ac:dyDescent="0.4">
      <c r="A231" s="5">
        <v>942</v>
      </c>
      <c r="B231" s="5">
        <v>1</v>
      </c>
      <c r="C231" s="5">
        <v>1</v>
      </c>
      <c r="D231" s="5" t="s">
        <v>1568</v>
      </c>
      <c r="E231" s="5" t="s">
        <v>1325</v>
      </c>
      <c r="F231" s="5" t="s">
        <v>254</v>
      </c>
      <c r="G231" s="5" t="s">
        <v>240</v>
      </c>
      <c r="H231" s="6" t="s">
        <v>4453</v>
      </c>
      <c r="I231" s="5" t="s">
        <v>1567</v>
      </c>
      <c r="J231" s="8">
        <f>198</f>
        <v>198</v>
      </c>
      <c r="K231" s="5" t="s">
        <v>308</v>
      </c>
      <c r="L231" s="7">
        <f>438570</f>
        <v>438570</v>
      </c>
      <c r="M231" s="7">
        <f>438570</f>
        <v>438570</v>
      </c>
      <c r="N231" s="5" t="s">
        <v>242</v>
      </c>
      <c r="O231" s="5">
        <v>1</v>
      </c>
      <c r="P231" s="5" t="s">
        <v>294</v>
      </c>
      <c r="Q231" s="5" t="s">
        <v>266</v>
      </c>
      <c r="R231" s="5" t="s">
        <v>240</v>
      </c>
      <c r="S231" s="5" t="s">
        <v>240</v>
      </c>
      <c r="T231" s="5" t="s">
        <v>296</v>
      </c>
      <c r="U231" s="5" t="s">
        <v>244</v>
      </c>
      <c r="V231" s="5" t="s">
        <v>240</v>
      </c>
      <c r="Y231" s="5" t="s">
        <v>240</v>
      </c>
      <c r="Z231" s="6" t="s">
        <v>298</v>
      </c>
      <c r="AB231" s="6" t="s">
        <v>240</v>
      </c>
      <c r="AE231" s="6" t="s">
        <v>299</v>
      </c>
      <c r="AF231" s="5" t="s">
        <v>248</v>
      </c>
      <c r="AG231" s="5" t="s">
        <v>249</v>
      </c>
      <c r="AW231" s="5" t="s">
        <v>251</v>
      </c>
      <c r="AX231" s="5" t="s">
        <v>240</v>
      </c>
      <c r="AY231" s="5" t="s">
        <v>253</v>
      </c>
      <c r="AZ231" s="5" t="s">
        <v>240</v>
      </c>
      <c r="BA231" s="5" t="s">
        <v>255</v>
      </c>
      <c r="BB231" s="5" t="s">
        <v>240</v>
      </c>
      <c r="BD231" s="5" t="s">
        <v>240</v>
      </c>
      <c r="BF231" s="5" t="s">
        <v>301</v>
      </c>
      <c r="BG231" s="6" t="s">
        <v>299</v>
      </c>
      <c r="BH231" s="5" t="s">
        <v>302</v>
      </c>
      <c r="BI231" s="5" t="s">
        <v>303</v>
      </c>
      <c r="BJ231" s="5" t="s">
        <v>240</v>
      </c>
      <c r="BK231" s="8">
        <f>0</f>
        <v>0</v>
      </c>
      <c r="BL231" s="7">
        <f>0</f>
        <v>0</v>
      </c>
      <c r="BM231" s="5" t="s">
        <v>258</v>
      </c>
      <c r="BN231" s="5" t="s">
        <v>259</v>
      </c>
      <c r="CB231" s="5" t="s">
        <v>240</v>
      </c>
      <c r="CC231" s="5" t="s">
        <v>240</v>
      </c>
      <c r="CG231" s="5" t="s">
        <v>304</v>
      </c>
      <c r="CH231" s="5" t="s">
        <v>305</v>
      </c>
      <c r="CI231" s="5" t="s">
        <v>240</v>
      </c>
      <c r="CL231" s="6" t="s">
        <v>261</v>
      </c>
      <c r="CM231" s="5" t="s">
        <v>240</v>
      </c>
      <c r="CN231" s="5" t="s">
        <v>263</v>
      </c>
      <c r="CO231" s="5" t="s">
        <v>240</v>
      </c>
      <c r="CP231" s="5" t="s">
        <v>240</v>
      </c>
      <c r="CQ231" s="5">
        <v>0</v>
      </c>
      <c r="CR231" s="5" t="s">
        <v>306</v>
      </c>
      <c r="CS231" s="5" t="s">
        <v>307</v>
      </c>
      <c r="CT231" s="5" t="s">
        <v>307</v>
      </c>
      <c r="CU231" s="5" t="s">
        <v>260</v>
      </c>
      <c r="CX231" s="7">
        <f>1</f>
        <v>1</v>
      </c>
      <c r="CY231" s="7">
        <f>0</f>
        <v>0</v>
      </c>
      <c r="DA231" s="7">
        <f>0</f>
        <v>0</v>
      </c>
      <c r="DC231" s="5" t="s">
        <v>309</v>
      </c>
      <c r="DD231" s="5" t="s">
        <v>240</v>
      </c>
      <c r="DF231" s="5" t="s">
        <v>309</v>
      </c>
      <c r="DG231" s="7">
        <f>4734</f>
        <v>4734</v>
      </c>
      <c r="DI231" s="5" t="s">
        <v>240</v>
      </c>
      <c r="DJ231" s="5" t="s">
        <v>240</v>
      </c>
      <c r="DK231" s="5" t="s">
        <v>240</v>
      </c>
      <c r="DL231" s="5" t="s">
        <v>240</v>
      </c>
      <c r="DP231" s="5" t="s">
        <v>240</v>
      </c>
      <c r="DQ231" s="5" t="s">
        <v>240</v>
      </c>
      <c r="DR231" s="5" t="s">
        <v>240</v>
      </c>
      <c r="DS231" s="5" t="s">
        <v>240</v>
      </c>
      <c r="DV231" s="5" t="s">
        <v>310</v>
      </c>
      <c r="DW231" s="5" t="s">
        <v>799</v>
      </c>
      <c r="HO231" s="5" t="s">
        <v>312</v>
      </c>
    </row>
    <row r="232" spans="1:223" x14ac:dyDescent="0.4">
      <c r="A232" s="5">
        <v>943</v>
      </c>
      <c r="B232" s="5">
        <v>1</v>
      </c>
      <c r="C232" s="5">
        <v>1</v>
      </c>
      <c r="D232" s="5" t="s">
        <v>1568</v>
      </c>
      <c r="E232" s="5" t="s">
        <v>1325</v>
      </c>
      <c r="F232" s="5" t="s">
        <v>254</v>
      </c>
      <c r="G232" s="5" t="s">
        <v>240</v>
      </c>
      <c r="H232" s="6" t="s">
        <v>1599</v>
      </c>
      <c r="I232" s="5" t="s">
        <v>1567</v>
      </c>
      <c r="J232" s="8">
        <f>705</f>
        <v>705</v>
      </c>
      <c r="K232" s="5" t="s">
        <v>308</v>
      </c>
      <c r="L232" s="7">
        <f>1561575</f>
        <v>1561575</v>
      </c>
      <c r="M232" s="7">
        <f>1561575</f>
        <v>1561575</v>
      </c>
      <c r="N232" s="5" t="s">
        <v>242</v>
      </c>
      <c r="O232" s="5">
        <v>1</v>
      </c>
      <c r="P232" s="5" t="s">
        <v>294</v>
      </c>
      <c r="Q232" s="5" t="s">
        <v>266</v>
      </c>
      <c r="R232" s="5" t="s">
        <v>240</v>
      </c>
      <c r="S232" s="5" t="s">
        <v>240</v>
      </c>
      <c r="T232" s="5" t="s">
        <v>296</v>
      </c>
      <c r="U232" s="5" t="s">
        <v>244</v>
      </c>
      <c r="V232" s="5" t="s">
        <v>240</v>
      </c>
      <c r="Y232" s="5" t="s">
        <v>240</v>
      </c>
      <c r="Z232" s="6" t="s">
        <v>298</v>
      </c>
      <c r="AB232" s="6" t="s">
        <v>240</v>
      </c>
      <c r="AE232" s="6" t="s">
        <v>299</v>
      </c>
      <c r="AF232" s="5" t="s">
        <v>248</v>
      </c>
      <c r="AG232" s="5" t="s">
        <v>249</v>
      </c>
      <c r="AW232" s="5" t="s">
        <v>251</v>
      </c>
      <c r="AX232" s="5" t="s">
        <v>240</v>
      </c>
      <c r="AY232" s="5" t="s">
        <v>253</v>
      </c>
      <c r="AZ232" s="5" t="s">
        <v>240</v>
      </c>
      <c r="BA232" s="5" t="s">
        <v>255</v>
      </c>
      <c r="BB232" s="5" t="s">
        <v>240</v>
      </c>
      <c r="BD232" s="5" t="s">
        <v>240</v>
      </c>
      <c r="BF232" s="5" t="s">
        <v>301</v>
      </c>
      <c r="BG232" s="6" t="s">
        <v>299</v>
      </c>
      <c r="BH232" s="5" t="s">
        <v>302</v>
      </c>
      <c r="BI232" s="5" t="s">
        <v>303</v>
      </c>
      <c r="BJ232" s="5" t="s">
        <v>240</v>
      </c>
      <c r="BK232" s="8">
        <f>0</f>
        <v>0</v>
      </c>
      <c r="BL232" s="7">
        <f>0</f>
        <v>0</v>
      </c>
      <c r="BM232" s="5" t="s">
        <v>258</v>
      </c>
      <c r="BN232" s="5" t="s">
        <v>259</v>
      </c>
      <c r="CB232" s="5" t="s">
        <v>240</v>
      </c>
      <c r="CC232" s="5" t="s">
        <v>240</v>
      </c>
      <c r="CG232" s="5" t="s">
        <v>304</v>
      </c>
      <c r="CH232" s="5" t="s">
        <v>305</v>
      </c>
      <c r="CI232" s="5" t="s">
        <v>240</v>
      </c>
      <c r="CL232" s="6" t="s">
        <v>261</v>
      </c>
      <c r="CM232" s="5" t="s">
        <v>240</v>
      </c>
      <c r="CN232" s="5" t="s">
        <v>263</v>
      </c>
      <c r="CO232" s="5" t="s">
        <v>240</v>
      </c>
      <c r="CP232" s="5" t="s">
        <v>240</v>
      </c>
      <c r="CQ232" s="5">
        <v>0</v>
      </c>
      <c r="CR232" s="5" t="s">
        <v>306</v>
      </c>
      <c r="CS232" s="5" t="s">
        <v>307</v>
      </c>
      <c r="CT232" s="5" t="s">
        <v>307</v>
      </c>
      <c r="CU232" s="5" t="s">
        <v>260</v>
      </c>
      <c r="CX232" s="7">
        <f>1</f>
        <v>1</v>
      </c>
      <c r="CY232" s="7">
        <f>0</f>
        <v>0</v>
      </c>
      <c r="DA232" s="7">
        <f>0</f>
        <v>0</v>
      </c>
      <c r="DC232" s="5" t="s">
        <v>309</v>
      </c>
      <c r="DD232" s="5" t="s">
        <v>240</v>
      </c>
      <c r="DF232" s="5" t="s">
        <v>309</v>
      </c>
      <c r="DG232" s="7">
        <f>10107</f>
        <v>10107</v>
      </c>
      <c r="DI232" s="5" t="s">
        <v>240</v>
      </c>
      <c r="DJ232" s="5" t="s">
        <v>240</v>
      </c>
      <c r="DK232" s="5" t="s">
        <v>240</v>
      </c>
      <c r="DL232" s="5" t="s">
        <v>240</v>
      </c>
      <c r="DP232" s="5" t="s">
        <v>240</v>
      </c>
      <c r="DQ232" s="5" t="s">
        <v>240</v>
      </c>
      <c r="DR232" s="5" t="s">
        <v>240</v>
      </c>
      <c r="DS232" s="5" t="s">
        <v>240</v>
      </c>
      <c r="DV232" s="5" t="s">
        <v>310</v>
      </c>
      <c r="DW232" s="5" t="s">
        <v>801</v>
      </c>
      <c r="HO232" s="5" t="s">
        <v>312</v>
      </c>
    </row>
    <row r="233" spans="1:223" x14ac:dyDescent="0.4">
      <c r="A233" s="5">
        <v>944</v>
      </c>
      <c r="B233" s="5">
        <v>1</v>
      </c>
      <c r="C233" s="5">
        <v>1</v>
      </c>
      <c r="D233" s="5" t="s">
        <v>1568</v>
      </c>
      <c r="E233" s="5" t="s">
        <v>1325</v>
      </c>
      <c r="F233" s="5" t="s">
        <v>254</v>
      </c>
      <c r="G233" s="5" t="s">
        <v>240</v>
      </c>
      <c r="H233" s="6" t="s">
        <v>1598</v>
      </c>
      <c r="I233" s="5" t="s">
        <v>1567</v>
      </c>
      <c r="J233" s="8">
        <f>55</f>
        <v>55</v>
      </c>
      <c r="K233" s="5" t="s">
        <v>308</v>
      </c>
      <c r="L233" s="7">
        <f>121825</f>
        <v>121825</v>
      </c>
      <c r="M233" s="7">
        <f>121825</f>
        <v>121825</v>
      </c>
      <c r="N233" s="5" t="s">
        <v>242</v>
      </c>
      <c r="O233" s="5">
        <v>1</v>
      </c>
      <c r="P233" s="5" t="s">
        <v>294</v>
      </c>
      <c r="Q233" s="5" t="s">
        <v>266</v>
      </c>
      <c r="R233" s="5" t="s">
        <v>240</v>
      </c>
      <c r="S233" s="5" t="s">
        <v>240</v>
      </c>
      <c r="T233" s="5" t="s">
        <v>296</v>
      </c>
      <c r="U233" s="5" t="s">
        <v>244</v>
      </c>
      <c r="V233" s="5" t="s">
        <v>240</v>
      </c>
      <c r="Y233" s="5" t="s">
        <v>240</v>
      </c>
      <c r="Z233" s="6" t="s">
        <v>298</v>
      </c>
      <c r="AB233" s="6" t="s">
        <v>240</v>
      </c>
      <c r="AE233" s="6" t="s">
        <v>299</v>
      </c>
      <c r="AF233" s="5" t="s">
        <v>248</v>
      </c>
      <c r="AG233" s="5" t="s">
        <v>249</v>
      </c>
      <c r="AW233" s="5" t="s">
        <v>251</v>
      </c>
      <c r="AX233" s="5" t="s">
        <v>240</v>
      </c>
      <c r="AY233" s="5" t="s">
        <v>253</v>
      </c>
      <c r="AZ233" s="5" t="s">
        <v>240</v>
      </c>
      <c r="BA233" s="5" t="s">
        <v>255</v>
      </c>
      <c r="BB233" s="5" t="s">
        <v>240</v>
      </c>
      <c r="BD233" s="5" t="s">
        <v>240</v>
      </c>
      <c r="BF233" s="5" t="s">
        <v>301</v>
      </c>
      <c r="BG233" s="6" t="s">
        <v>299</v>
      </c>
      <c r="BH233" s="5" t="s">
        <v>302</v>
      </c>
      <c r="BI233" s="5" t="s">
        <v>303</v>
      </c>
      <c r="BJ233" s="5" t="s">
        <v>240</v>
      </c>
      <c r="BK233" s="8">
        <f>0</f>
        <v>0</v>
      </c>
      <c r="BL233" s="7">
        <f>0</f>
        <v>0</v>
      </c>
      <c r="BM233" s="5" t="s">
        <v>258</v>
      </c>
      <c r="BN233" s="5" t="s">
        <v>259</v>
      </c>
      <c r="CB233" s="5" t="s">
        <v>240</v>
      </c>
      <c r="CC233" s="5" t="s">
        <v>240</v>
      </c>
      <c r="CG233" s="5" t="s">
        <v>304</v>
      </c>
      <c r="CH233" s="5" t="s">
        <v>305</v>
      </c>
      <c r="CI233" s="5" t="s">
        <v>240</v>
      </c>
      <c r="CL233" s="6" t="s">
        <v>261</v>
      </c>
      <c r="CM233" s="5" t="s">
        <v>240</v>
      </c>
      <c r="CN233" s="5" t="s">
        <v>263</v>
      </c>
      <c r="CO233" s="5" t="s">
        <v>240</v>
      </c>
      <c r="CP233" s="5" t="s">
        <v>240</v>
      </c>
      <c r="CQ233" s="5">
        <v>0</v>
      </c>
      <c r="CR233" s="5" t="s">
        <v>306</v>
      </c>
      <c r="CS233" s="5" t="s">
        <v>307</v>
      </c>
      <c r="CT233" s="5" t="s">
        <v>307</v>
      </c>
      <c r="CU233" s="5" t="s">
        <v>260</v>
      </c>
      <c r="CX233" s="7">
        <f>1</f>
        <v>1</v>
      </c>
      <c r="CY233" s="7">
        <f>0</f>
        <v>0</v>
      </c>
      <c r="DA233" s="7">
        <f>0</f>
        <v>0</v>
      </c>
      <c r="DC233" s="5" t="s">
        <v>309</v>
      </c>
      <c r="DD233" s="5" t="s">
        <v>240</v>
      </c>
      <c r="DF233" s="5" t="s">
        <v>309</v>
      </c>
      <c r="DG233" s="7">
        <f>1183</f>
        <v>1183</v>
      </c>
      <c r="DH233" s="6" t="s">
        <v>803</v>
      </c>
      <c r="DI233" s="5" t="s">
        <v>240</v>
      </c>
      <c r="DJ233" s="5" t="s">
        <v>240</v>
      </c>
      <c r="DK233" s="5" t="s">
        <v>240</v>
      </c>
      <c r="DL233" s="5" t="s">
        <v>240</v>
      </c>
      <c r="DP233" s="5" t="s">
        <v>240</v>
      </c>
      <c r="DQ233" s="5" t="s">
        <v>240</v>
      </c>
      <c r="DR233" s="5" t="s">
        <v>240</v>
      </c>
      <c r="DS233" s="5" t="s">
        <v>240</v>
      </c>
      <c r="DV233" s="5" t="s">
        <v>310</v>
      </c>
      <c r="DW233" s="5" t="s">
        <v>804</v>
      </c>
      <c r="HO233" s="5" t="s">
        <v>312</v>
      </c>
    </row>
    <row r="234" spans="1:223" x14ac:dyDescent="0.4">
      <c r="A234" s="5">
        <v>945</v>
      </c>
      <c r="B234" s="5">
        <v>1</v>
      </c>
      <c r="C234" s="5">
        <v>1</v>
      </c>
      <c r="D234" s="5" t="s">
        <v>1568</v>
      </c>
      <c r="E234" s="5" t="s">
        <v>1325</v>
      </c>
      <c r="F234" s="5" t="s">
        <v>254</v>
      </c>
      <c r="G234" s="5" t="s">
        <v>240</v>
      </c>
      <c r="H234" s="6" t="s">
        <v>1575</v>
      </c>
      <c r="I234" s="5" t="s">
        <v>1567</v>
      </c>
      <c r="J234" s="8">
        <f>129</f>
        <v>129</v>
      </c>
      <c r="K234" s="5" t="s">
        <v>308</v>
      </c>
      <c r="L234" s="7">
        <f>285735</f>
        <v>285735</v>
      </c>
      <c r="M234" s="7">
        <f>285735</f>
        <v>285735</v>
      </c>
      <c r="N234" s="5" t="s">
        <v>242</v>
      </c>
      <c r="O234" s="5">
        <v>1</v>
      </c>
      <c r="P234" s="5" t="s">
        <v>294</v>
      </c>
      <c r="Q234" s="5" t="s">
        <v>266</v>
      </c>
      <c r="R234" s="5" t="s">
        <v>240</v>
      </c>
      <c r="S234" s="5" t="s">
        <v>240</v>
      </c>
      <c r="T234" s="5" t="s">
        <v>296</v>
      </c>
      <c r="U234" s="5" t="s">
        <v>244</v>
      </c>
      <c r="V234" s="5" t="s">
        <v>240</v>
      </c>
      <c r="Y234" s="5" t="s">
        <v>240</v>
      </c>
      <c r="Z234" s="6" t="s">
        <v>298</v>
      </c>
      <c r="AB234" s="6" t="s">
        <v>240</v>
      </c>
      <c r="AE234" s="6" t="s">
        <v>299</v>
      </c>
      <c r="AF234" s="5" t="s">
        <v>248</v>
      </c>
      <c r="AG234" s="5" t="s">
        <v>249</v>
      </c>
      <c r="AW234" s="5" t="s">
        <v>251</v>
      </c>
      <c r="AX234" s="5" t="s">
        <v>240</v>
      </c>
      <c r="AY234" s="5" t="s">
        <v>253</v>
      </c>
      <c r="AZ234" s="5" t="s">
        <v>240</v>
      </c>
      <c r="BA234" s="5" t="s">
        <v>255</v>
      </c>
      <c r="BB234" s="5" t="s">
        <v>240</v>
      </c>
      <c r="BD234" s="5" t="s">
        <v>240</v>
      </c>
      <c r="BF234" s="5" t="s">
        <v>301</v>
      </c>
      <c r="BG234" s="6" t="s">
        <v>299</v>
      </c>
      <c r="BH234" s="5" t="s">
        <v>302</v>
      </c>
      <c r="BI234" s="5" t="s">
        <v>303</v>
      </c>
      <c r="BJ234" s="5" t="s">
        <v>240</v>
      </c>
      <c r="BK234" s="8">
        <f>0</f>
        <v>0</v>
      </c>
      <c r="BL234" s="7">
        <f>0</f>
        <v>0</v>
      </c>
      <c r="BM234" s="5" t="s">
        <v>258</v>
      </c>
      <c r="BN234" s="5" t="s">
        <v>259</v>
      </c>
      <c r="CB234" s="5" t="s">
        <v>240</v>
      </c>
      <c r="CC234" s="5" t="s">
        <v>240</v>
      </c>
      <c r="CG234" s="5" t="s">
        <v>304</v>
      </c>
      <c r="CH234" s="5" t="s">
        <v>305</v>
      </c>
      <c r="CI234" s="5" t="s">
        <v>240</v>
      </c>
      <c r="CL234" s="6" t="s">
        <v>261</v>
      </c>
      <c r="CM234" s="5" t="s">
        <v>240</v>
      </c>
      <c r="CN234" s="5" t="s">
        <v>263</v>
      </c>
      <c r="CO234" s="5" t="s">
        <v>240</v>
      </c>
      <c r="CP234" s="5" t="s">
        <v>240</v>
      </c>
      <c r="CQ234" s="5">
        <v>0</v>
      </c>
      <c r="CR234" s="5" t="s">
        <v>306</v>
      </c>
      <c r="CS234" s="5" t="s">
        <v>307</v>
      </c>
      <c r="CT234" s="5" t="s">
        <v>307</v>
      </c>
      <c r="CU234" s="5" t="s">
        <v>260</v>
      </c>
      <c r="CX234" s="7">
        <f>1</f>
        <v>1</v>
      </c>
      <c r="CY234" s="7">
        <f>0</f>
        <v>0</v>
      </c>
      <c r="DA234" s="7">
        <f>0</f>
        <v>0</v>
      </c>
      <c r="DC234" s="5" t="s">
        <v>309</v>
      </c>
      <c r="DD234" s="5" t="s">
        <v>240</v>
      </c>
      <c r="DF234" s="5" t="s">
        <v>309</v>
      </c>
      <c r="DG234" s="7">
        <f>1389</f>
        <v>1389</v>
      </c>
      <c r="DI234" s="5" t="s">
        <v>240</v>
      </c>
      <c r="DJ234" s="5" t="s">
        <v>240</v>
      </c>
      <c r="DK234" s="5" t="s">
        <v>240</v>
      </c>
      <c r="DL234" s="5" t="s">
        <v>240</v>
      </c>
      <c r="DP234" s="5" t="s">
        <v>240</v>
      </c>
      <c r="DQ234" s="5" t="s">
        <v>240</v>
      </c>
      <c r="DR234" s="5" t="s">
        <v>240</v>
      </c>
      <c r="DS234" s="5" t="s">
        <v>240</v>
      </c>
      <c r="DV234" s="5" t="s">
        <v>310</v>
      </c>
      <c r="DW234" s="5" t="s">
        <v>806</v>
      </c>
      <c r="HO234" s="5" t="s">
        <v>312</v>
      </c>
    </row>
    <row r="235" spans="1:223" x14ac:dyDescent="0.4">
      <c r="A235" s="5">
        <v>946</v>
      </c>
      <c r="B235" s="5">
        <v>1</v>
      </c>
      <c r="C235" s="5">
        <v>1</v>
      </c>
      <c r="D235" s="5" t="s">
        <v>1568</v>
      </c>
      <c r="E235" s="5" t="s">
        <v>1325</v>
      </c>
      <c r="F235" s="5" t="s">
        <v>254</v>
      </c>
      <c r="G235" s="5" t="s">
        <v>240</v>
      </c>
      <c r="H235" s="6" t="s">
        <v>4445</v>
      </c>
      <c r="I235" s="5" t="s">
        <v>1567</v>
      </c>
      <c r="J235" s="8">
        <f>381</f>
        <v>381</v>
      </c>
      <c r="K235" s="5" t="s">
        <v>308</v>
      </c>
      <c r="L235" s="7">
        <f>843915</f>
        <v>843915</v>
      </c>
      <c r="M235" s="7">
        <f>843915</f>
        <v>843915</v>
      </c>
      <c r="N235" s="5" t="s">
        <v>242</v>
      </c>
      <c r="O235" s="5">
        <v>1</v>
      </c>
      <c r="P235" s="5" t="s">
        <v>294</v>
      </c>
      <c r="Q235" s="5" t="s">
        <v>266</v>
      </c>
      <c r="R235" s="5" t="s">
        <v>240</v>
      </c>
      <c r="S235" s="5" t="s">
        <v>240</v>
      </c>
      <c r="T235" s="5" t="s">
        <v>296</v>
      </c>
      <c r="U235" s="5" t="s">
        <v>244</v>
      </c>
      <c r="V235" s="5" t="s">
        <v>240</v>
      </c>
      <c r="Y235" s="5" t="s">
        <v>240</v>
      </c>
      <c r="Z235" s="6" t="s">
        <v>298</v>
      </c>
      <c r="AB235" s="6" t="s">
        <v>240</v>
      </c>
      <c r="AE235" s="6" t="s">
        <v>299</v>
      </c>
      <c r="AF235" s="5" t="s">
        <v>248</v>
      </c>
      <c r="AG235" s="5" t="s">
        <v>249</v>
      </c>
      <c r="AW235" s="5" t="s">
        <v>251</v>
      </c>
      <c r="AX235" s="5" t="s">
        <v>240</v>
      </c>
      <c r="AY235" s="5" t="s">
        <v>253</v>
      </c>
      <c r="AZ235" s="5" t="s">
        <v>240</v>
      </c>
      <c r="BA235" s="5" t="s">
        <v>255</v>
      </c>
      <c r="BB235" s="5" t="s">
        <v>240</v>
      </c>
      <c r="BD235" s="5" t="s">
        <v>240</v>
      </c>
      <c r="BF235" s="5" t="s">
        <v>301</v>
      </c>
      <c r="BG235" s="6" t="s">
        <v>299</v>
      </c>
      <c r="BH235" s="5" t="s">
        <v>302</v>
      </c>
      <c r="BI235" s="5" t="s">
        <v>303</v>
      </c>
      <c r="BJ235" s="5" t="s">
        <v>240</v>
      </c>
      <c r="BK235" s="8">
        <f>0</f>
        <v>0</v>
      </c>
      <c r="BL235" s="7">
        <f>0</f>
        <v>0</v>
      </c>
      <c r="BM235" s="5" t="s">
        <v>258</v>
      </c>
      <c r="BN235" s="5" t="s">
        <v>259</v>
      </c>
      <c r="CB235" s="5" t="s">
        <v>240</v>
      </c>
      <c r="CC235" s="5" t="s">
        <v>240</v>
      </c>
      <c r="CG235" s="5" t="s">
        <v>304</v>
      </c>
      <c r="CH235" s="5" t="s">
        <v>305</v>
      </c>
      <c r="CI235" s="5" t="s">
        <v>240</v>
      </c>
      <c r="CL235" s="6" t="s">
        <v>261</v>
      </c>
      <c r="CM235" s="5" t="s">
        <v>240</v>
      </c>
      <c r="CN235" s="5" t="s">
        <v>263</v>
      </c>
      <c r="CO235" s="5" t="s">
        <v>240</v>
      </c>
      <c r="CP235" s="5" t="s">
        <v>240</v>
      </c>
      <c r="CQ235" s="5">
        <v>0</v>
      </c>
      <c r="CR235" s="5" t="s">
        <v>306</v>
      </c>
      <c r="CS235" s="5" t="s">
        <v>307</v>
      </c>
      <c r="CT235" s="5" t="s">
        <v>307</v>
      </c>
      <c r="CU235" s="5" t="s">
        <v>260</v>
      </c>
      <c r="CX235" s="7">
        <f>1</f>
        <v>1</v>
      </c>
      <c r="CY235" s="7">
        <f>0</f>
        <v>0</v>
      </c>
      <c r="DA235" s="7">
        <f>0</f>
        <v>0</v>
      </c>
      <c r="DC235" s="5" t="s">
        <v>309</v>
      </c>
      <c r="DD235" s="5" t="s">
        <v>240</v>
      </c>
      <c r="DF235" s="5" t="s">
        <v>309</v>
      </c>
      <c r="DG235" s="7">
        <f>735</f>
        <v>735</v>
      </c>
      <c r="DI235" s="5" t="s">
        <v>240</v>
      </c>
      <c r="DJ235" s="5" t="s">
        <v>240</v>
      </c>
      <c r="DK235" s="5" t="s">
        <v>240</v>
      </c>
      <c r="DL235" s="5" t="s">
        <v>240</v>
      </c>
      <c r="DP235" s="5" t="s">
        <v>240</v>
      </c>
      <c r="DQ235" s="5" t="s">
        <v>240</v>
      </c>
      <c r="DR235" s="5" t="s">
        <v>240</v>
      </c>
      <c r="DS235" s="5" t="s">
        <v>240</v>
      </c>
      <c r="DV235" s="5" t="s">
        <v>310</v>
      </c>
      <c r="DW235" s="5" t="s">
        <v>808</v>
      </c>
      <c r="HO235" s="5" t="s">
        <v>312</v>
      </c>
    </row>
    <row r="236" spans="1:223" x14ac:dyDescent="0.4">
      <c r="A236" s="5">
        <v>947</v>
      </c>
      <c r="B236" s="5">
        <v>1</v>
      </c>
      <c r="C236" s="5">
        <v>1</v>
      </c>
      <c r="D236" s="5" t="s">
        <v>1568</v>
      </c>
      <c r="E236" s="5" t="s">
        <v>1325</v>
      </c>
      <c r="F236" s="5" t="s">
        <v>254</v>
      </c>
      <c r="G236" s="5" t="s">
        <v>240</v>
      </c>
      <c r="H236" s="6" t="s">
        <v>1572</v>
      </c>
      <c r="I236" s="5" t="s">
        <v>1567</v>
      </c>
      <c r="J236" s="8">
        <f>443</f>
        <v>443</v>
      </c>
      <c r="K236" s="5" t="s">
        <v>308</v>
      </c>
      <c r="L236" s="7">
        <f>981245</f>
        <v>981245</v>
      </c>
      <c r="M236" s="7">
        <f>981245</f>
        <v>981245</v>
      </c>
      <c r="N236" s="5" t="s">
        <v>242</v>
      </c>
      <c r="O236" s="5">
        <v>1</v>
      </c>
      <c r="P236" s="5" t="s">
        <v>294</v>
      </c>
      <c r="Q236" s="5" t="s">
        <v>266</v>
      </c>
      <c r="R236" s="5" t="s">
        <v>240</v>
      </c>
      <c r="S236" s="5" t="s">
        <v>240</v>
      </c>
      <c r="T236" s="5" t="s">
        <v>296</v>
      </c>
      <c r="U236" s="5" t="s">
        <v>244</v>
      </c>
      <c r="V236" s="5" t="s">
        <v>240</v>
      </c>
      <c r="Y236" s="5" t="s">
        <v>240</v>
      </c>
      <c r="Z236" s="6" t="s">
        <v>298</v>
      </c>
      <c r="AB236" s="6" t="s">
        <v>240</v>
      </c>
      <c r="AE236" s="6" t="s">
        <v>299</v>
      </c>
      <c r="AF236" s="5" t="s">
        <v>248</v>
      </c>
      <c r="AG236" s="5" t="s">
        <v>249</v>
      </c>
      <c r="AW236" s="5" t="s">
        <v>251</v>
      </c>
      <c r="AX236" s="5" t="s">
        <v>240</v>
      </c>
      <c r="AY236" s="5" t="s">
        <v>253</v>
      </c>
      <c r="AZ236" s="5" t="s">
        <v>240</v>
      </c>
      <c r="BA236" s="5" t="s">
        <v>255</v>
      </c>
      <c r="BB236" s="5" t="s">
        <v>240</v>
      </c>
      <c r="BD236" s="5" t="s">
        <v>240</v>
      </c>
      <c r="BF236" s="5" t="s">
        <v>301</v>
      </c>
      <c r="BG236" s="6" t="s">
        <v>299</v>
      </c>
      <c r="BH236" s="5" t="s">
        <v>302</v>
      </c>
      <c r="BI236" s="5" t="s">
        <v>303</v>
      </c>
      <c r="BJ236" s="5" t="s">
        <v>240</v>
      </c>
      <c r="BK236" s="8">
        <f>0</f>
        <v>0</v>
      </c>
      <c r="BL236" s="7">
        <f>0</f>
        <v>0</v>
      </c>
      <c r="BM236" s="5" t="s">
        <v>258</v>
      </c>
      <c r="BN236" s="5" t="s">
        <v>259</v>
      </c>
      <c r="CB236" s="5" t="s">
        <v>240</v>
      </c>
      <c r="CC236" s="5" t="s">
        <v>240</v>
      </c>
      <c r="CG236" s="5" t="s">
        <v>304</v>
      </c>
      <c r="CH236" s="5" t="s">
        <v>305</v>
      </c>
      <c r="CI236" s="5" t="s">
        <v>240</v>
      </c>
      <c r="CL236" s="6" t="s">
        <v>261</v>
      </c>
      <c r="CM236" s="5" t="s">
        <v>240</v>
      </c>
      <c r="CN236" s="5" t="s">
        <v>263</v>
      </c>
      <c r="CO236" s="5" t="s">
        <v>240</v>
      </c>
      <c r="CP236" s="5" t="s">
        <v>240</v>
      </c>
      <c r="CQ236" s="5">
        <v>0</v>
      </c>
      <c r="CR236" s="5" t="s">
        <v>306</v>
      </c>
      <c r="CS236" s="5" t="s">
        <v>307</v>
      </c>
      <c r="CT236" s="5" t="s">
        <v>307</v>
      </c>
      <c r="CU236" s="5" t="s">
        <v>260</v>
      </c>
      <c r="CX236" s="7">
        <f>1</f>
        <v>1</v>
      </c>
      <c r="CY236" s="7">
        <f>0</f>
        <v>0</v>
      </c>
      <c r="DA236" s="7">
        <f>0</f>
        <v>0</v>
      </c>
      <c r="DC236" s="5" t="s">
        <v>812</v>
      </c>
      <c r="DD236" s="5" t="s">
        <v>240</v>
      </c>
      <c r="DF236" s="5" t="s">
        <v>812</v>
      </c>
      <c r="DG236" s="7">
        <f>702</f>
        <v>702</v>
      </c>
      <c r="DI236" s="5" t="s">
        <v>240</v>
      </c>
      <c r="DJ236" s="5" t="s">
        <v>240</v>
      </c>
      <c r="DK236" s="5" t="s">
        <v>240</v>
      </c>
      <c r="DL236" s="5" t="s">
        <v>240</v>
      </c>
      <c r="DP236" s="5" t="s">
        <v>240</v>
      </c>
      <c r="DQ236" s="5" t="s">
        <v>240</v>
      </c>
      <c r="DR236" s="5" t="s">
        <v>240</v>
      </c>
      <c r="DS236" s="5" t="s">
        <v>240</v>
      </c>
      <c r="DV236" s="5" t="s">
        <v>813</v>
      </c>
      <c r="DW236" s="5" t="s">
        <v>814</v>
      </c>
      <c r="HO236" s="5" t="s">
        <v>312</v>
      </c>
    </row>
    <row r="237" spans="1:223" x14ac:dyDescent="0.4">
      <c r="A237" s="5">
        <v>948</v>
      </c>
      <c r="B237" s="5">
        <v>1</v>
      </c>
      <c r="C237" s="5">
        <v>1</v>
      </c>
      <c r="D237" s="5" t="s">
        <v>1568</v>
      </c>
      <c r="E237" s="5" t="s">
        <v>1325</v>
      </c>
      <c r="F237" s="5" t="s">
        <v>254</v>
      </c>
      <c r="G237" s="5" t="s">
        <v>240</v>
      </c>
      <c r="H237" s="6" t="s">
        <v>1571</v>
      </c>
      <c r="I237" s="5" t="s">
        <v>1567</v>
      </c>
      <c r="J237" s="8">
        <f>642</f>
        <v>642</v>
      </c>
      <c r="K237" s="5" t="s">
        <v>308</v>
      </c>
      <c r="L237" s="7">
        <f>1422030</f>
        <v>1422030</v>
      </c>
      <c r="M237" s="7">
        <f>1422030</f>
        <v>1422030</v>
      </c>
      <c r="N237" s="5" t="s">
        <v>242</v>
      </c>
      <c r="O237" s="5">
        <v>1</v>
      </c>
      <c r="P237" s="5" t="s">
        <v>294</v>
      </c>
      <c r="Q237" s="5" t="s">
        <v>266</v>
      </c>
      <c r="R237" s="5" t="s">
        <v>240</v>
      </c>
      <c r="S237" s="5" t="s">
        <v>240</v>
      </c>
      <c r="T237" s="5" t="s">
        <v>296</v>
      </c>
      <c r="U237" s="5" t="s">
        <v>244</v>
      </c>
      <c r="V237" s="5" t="s">
        <v>240</v>
      </c>
      <c r="Y237" s="5" t="s">
        <v>240</v>
      </c>
      <c r="Z237" s="6" t="s">
        <v>298</v>
      </c>
      <c r="AB237" s="6" t="s">
        <v>240</v>
      </c>
      <c r="AE237" s="6" t="s">
        <v>299</v>
      </c>
      <c r="AF237" s="5" t="s">
        <v>248</v>
      </c>
      <c r="AG237" s="5" t="s">
        <v>249</v>
      </c>
      <c r="AW237" s="5" t="s">
        <v>251</v>
      </c>
      <c r="AX237" s="5" t="s">
        <v>240</v>
      </c>
      <c r="AY237" s="5" t="s">
        <v>253</v>
      </c>
      <c r="AZ237" s="5" t="s">
        <v>240</v>
      </c>
      <c r="BA237" s="5" t="s">
        <v>255</v>
      </c>
      <c r="BB237" s="5" t="s">
        <v>240</v>
      </c>
      <c r="BD237" s="5" t="s">
        <v>240</v>
      </c>
      <c r="BF237" s="5" t="s">
        <v>301</v>
      </c>
      <c r="BG237" s="6" t="s">
        <v>299</v>
      </c>
      <c r="BH237" s="5" t="s">
        <v>302</v>
      </c>
      <c r="BI237" s="5" t="s">
        <v>303</v>
      </c>
      <c r="BJ237" s="5" t="s">
        <v>240</v>
      </c>
      <c r="BK237" s="8">
        <f>0</f>
        <v>0</v>
      </c>
      <c r="BL237" s="7">
        <f>0</f>
        <v>0</v>
      </c>
      <c r="BM237" s="5" t="s">
        <v>258</v>
      </c>
      <c r="BN237" s="5" t="s">
        <v>259</v>
      </c>
      <c r="CB237" s="5" t="s">
        <v>240</v>
      </c>
      <c r="CC237" s="5" t="s">
        <v>240</v>
      </c>
      <c r="CG237" s="5" t="s">
        <v>304</v>
      </c>
      <c r="CH237" s="5" t="s">
        <v>305</v>
      </c>
      <c r="CI237" s="5" t="s">
        <v>240</v>
      </c>
      <c r="CL237" s="6" t="s">
        <v>261</v>
      </c>
      <c r="CM237" s="5" t="s">
        <v>240</v>
      </c>
      <c r="CN237" s="5" t="s">
        <v>263</v>
      </c>
      <c r="CO237" s="5" t="s">
        <v>240</v>
      </c>
      <c r="CP237" s="5" t="s">
        <v>240</v>
      </c>
      <c r="CQ237" s="5">
        <v>0</v>
      </c>
      <c r="CR237" s="5" t="s">
        <v>306</v>
      </c>
      <c r="CS237" s="5" t="s">
        <v>307</v>
      </c>
      <c r="CT237" s="5" t="s">
        <v>307</v>
      </c>
      <c r="CU237" s="5" t="s">
        <v>260</v>
      </c>
      <c r="CX237" s="7">
        <f>1</f>
        <v>1</v>
      </c>
      <c r="CY237" s="7">
        <f>0</f>
        <v>0</v>
      </c>
      <c r="DA237" s="7">
        <f>0</f>
        <v>0</v>
      </c>
      <c r="DC237" s="5" t="s">
        <v>309</v>
      </c>
      <c r="DD237" s="5" t="s">
        <v>240</v>
      </c>
      <c r="DF237" s="5" t="s">
        <v>309</v>
      </c>
      <c r="DG237" s="7">
        <f>6453</f>
        <v>6453</v>
      </c>
      <c r="DI237" s="5" t="s">
        <v>240</v>
      </c>
      <c r="DJ237" s="5" t="s">
        <v>240</v>
      </c>
      <c r="DK237" s="5" t="s">
        <v>240</v>
      </c>
      <c r="DL237" s="5" t="s">
        <v>240</v>
      </c>
      <c r="DP237" s="5" t="s">
        <v>240</v>
      </c>
      <c r="DQ237" s="5" t="s">
        <v>240</v>
      </c>
      <c r="DR237" s="5" t="s">
        <v>240</v>
      </c>
      <c r="DS237" s="5" t="s">
        <v>240</v>
      </c>
      <c r="DV237" s="5" t="s">
        <v>310</v>
      </c>
      <c r="DW237" s="5" t="s">
        <v>816</v>
      </c>
      <c r="HO237" s="5" t="s">
        <v>312</v>
      </c>
    </row>
    <row r="238" spans="1:223" x14ac:dyDescent="0.4">
      <c r="A238" s="5">
        <v>949</v>
      </c>
      <c r="B238" s="5">
        <v>1</v>
      </c>
      <c r="C238" s="5">
        <v>1</v>
      </c>
      <c r="D238" s="5" t="s">
        <v>1568</v>
      </c>
      <c r="E238" s="5" t="s">
        <v>1325</v>
      </c>
      <c r="F238" s="5" t="s">
        <v>254</v>
      </c>
      <c r="G238" s="5" t="s">
        <v>240</v>
      </c>
      <c r="H238" s="6" t="s">
        <v>1569</v>
      </c>
      <c r="I238" s="5" t="s">
        <v>1567</v>
      </c>
      <c r="J238" s="8">
        <f>305</f>
        <v>305</v>
      </c>
      <c r="K238" s="5" t="s">
        <v>308</v>
      </c>
      <c r="L238" s="7">
        <f>675575</f>
        <v>675575</v>
      </c>
      <c r="M238" s="7">
        <f>675575</f>
        <v>675575</v>
      </c>
      <c r="N238" s="5" t="s">
        <v>242</v>
      </c>
      <c r="O238" s="5">
        <v>1</v>
      </c>
      <c r="P238" s="5" t="s">
        <v>294</v>
      </c>
      <c r="Q238" s="5" t="s">
        <v>266</v>
      </c>
      <c r="R238" s="5" t="s">
        <v>240</v>
      </c>
      <c r="S238" s="5" t="s">
        <v>240</v>
      </c>
      <c r="T238" s="5" t="s">
        <v>296</v>
      </c>
      <c r="U238" s="5" t="s">
        <v>244</v>
      </c>
      <c r="V238" s="5" t="s">
        <v>240</v>
      </c>
      <c r="Y238" s="5" t="s">
        <v>240</v>
      </c>
      <c r="Z238" s="6" t="s">
        <v>298</v>
      </c>
      <c r="AB238" s="6" t="s">
        <v>240</v>
      </c>
      <c r="AE238" s="6" t="s">
        <v>299</v>
      </c>
      <c r="AF238" s="5" t="s">
        <v>248</v>
      </c>
      <c r="AG238" s="5" t="s">
        <v>249</v>
      </c>
      <c r="AW238" s="5" t="s">
        <v>251</v>
      </c>
      <c r="AX238" s="5" t="s">
        <v>240</v>
      </c>
      <c r="AY238" s="5" t="s">
        <v>253</v>
      </c>
      <c r="AZ238" s="5" t="s">
        <v>240</v>
      </c>
      <c r="BA238" s="5" t="s">
        <v>255</v>
      </c>
      <c r="BB238" s="5" t="s">
        <v>240</v>
      </c>
      <c r="BD238" s="5" t="s">
        <v>240</v>
      </c>
      <c r="BF238" s="5" t="s">
        <v>301</v>
      </c>
      <c r="BG238" s="6" t="s">
        <v>299</v>
      </c>
      <c r="BH238" s="5" t="s">
        <v>302</v>
      </c>
      <c r="BI238" s="5" t="s">
        <v>303</v>
      </c>
      <c r="BJ238" s="5" t="s">
        <v>240</v>
      </c>
      <c r="BK238" s="8">
        <f>0</f>
        <v>0</v>
      </c>
      <c r="BL238" s="7">
        <f>0</f>
        <v>0</v>
      </c>
      <c r="BM238" s="5" t="s">
        <v>258</v>
      </c>
      <c r="BN238" s="5" t="s">
        <v>259</v>
      </c>
      <c r="CB238" s="5" t="s">
        <v>240</v>
      </c>
      <c r="CC238" s="5" t="s">
        <v>240</v>
      </c>
      <c r="CG238" s="5" t="s">
        <v>304</v>
      </c>
      <c r="CH238" s="5" t="s">
        <v>305</v>
      </c>
      <c r="CI238" s="5" t="s">
        <v>240</v>
      </c>
      <c r="CL238" s="6" t="s">
        <v>261</v>
      </c>
      <c r="CM238" s="5" t="s">
        <v>240</v>
      </c>
      <c r="CN238" s="5" t="s">
        <v>263</v>
      </c>
      <c r="CO238" s="5" t="s">
        <v>240</v>
      </c>
      <c r="CP238" s="5" t="s">
        <v>240</v>
      </c>
      <c r="CQ238" s="5">
        <v>0</v>
      </c>
      <c r="CR238" s="5" t="s">
        <v>306</v>
      </c>
      <c r="CS238" s="5" t="s">
        <v>307</v>
      </c>
      <c r="CT238" s="5" t="s">
        <v>307</v>
      </c>
      <c r="CU238" s="5" t="s">
        <v>260</v>
      </c>
      <c r="CX238" s="7">
        <f>1</f>
        <v>1</v>
      </c>
      <c r="CY238" s="7">
        <f>0</f>
        <v>0</v>
      </c>
      <c r="DA238" s="7">
        <f>0</f>
        <v>0</v>
      </c>
      <c r="DC238" s="5" t="s">
        <v>309</v>
      </c>
      <c r="DD238" s="5" t="s">
        <v>240</v>
      </c>
      <c r="DF238" s="5" t="s">
        <v>309</v>
      </c>
      <c r="DG238" s="7">
        <f>184</f>
        <v>184</v>
      </c>
      <c r="DI238" s="5" t="s">
        <v>240</v>
      </c>
      <c r="DJ238" s="5" t="s">
        <v>240</v>
      </c>
      <c r="DK238" s="5" t="s">
        <v>240</v>
      </c>
      <c r="DL238" s="5" t="s">
        <v>240</v>
      </c>
      <c r="DP238" s="5" t="s">
        <v>240</v>
      </c>
      <c r="DQ238" s="5" t="s">
        <v>240</v>
      </c>
      <c r="DR238" s="5" t="s">
        <v>240</v>
      </c>
      <c r="DS238" s="5" t="s">
        <v>240</v>
      </c>
      <c r="DV238" s="5" t="s">
        <v>310</v>
      </c>
      <c r="DW238" s="5" t="s">
        <v>818</v>
      </c>
      <c r="HO238" s="5" t="s">
        <v>312</v>
      </c>
    </row>
    <row r="239" spans="1:223" x14ac:dyDescent="0.4">
      <c r="A239" s="5">
        <v>950</v>
      </c>
      <c r="B239" s="5">
        <v>1</v>
      </c>
      <c r="C239" s="5">
        <v>1</v>
      </c>
      <c r="D239" s="5" t="s">
        <v>1564</v>
      </c>
      <c r="E239" s="5" t="s">
        <v>1325</v>
      </c>
      <c r="F239" s="5" t="s">
        <v>254</v>
      </c>
      <c r="G239" s="5" t="s">
        <v>240</v>
      </c>
      <c r="H239" s="6" t="s">
        <v>1565</v>
      </c>
      <c r="I239" s="5" t="s">
        <v>1563</v>
      </c>
      <c r="J239" s="8">
        <f>13808</f>
        <v>13808</v>
      </c>
      <c r="K239" s="5" t="s">
        <v>308</v>
      </c>
      <c r="L239" s="7">
        <f>30584720</f>
        <v>30584720</v>
      </c>
      <c r="M239" s="7">
        <f>30584720</f>
        <v>30584720</v>
      </c>
      <c r="N239" s="5" t="s">
        <v>242</v>
      </c>
      <c r="O239" s="5">
        <v>1</v>
      </c>
      <c r="P239" s="5" t="s">
        <v>294</v>
      </c>
      <c r="Q239" s="5" t="s">
        <v>266</v>
      </c>
      <c r="R239" s="5" t="s">
        <v>240</v>
      </c>
      <c r="S239" s="5" t="s">
        <v>240</v>
      </c>
      <c r="T239" s="5" t="s">
        <v>296</v>
      </c>
      <c r="U239" s="5" t="s">
        <v>244</v>
      </c>
      <c r="V239" s="5" t="s">
        <v>240</v>
      </c>
      <c r="Y239" s="5" t="s">
        <v>240</v>
      </c>
      <c r="Z239" s="6" t="s">
        <v>298</v>
      </c>
      <c r="AB239" s="6" t="s">
        <v>240</v>
      </c>
      <c r="AE239" s="6" t="s">
        <v>299</v>
      </c>
      <c r="AF239" s="5" t="s">
        <v>248</v>
      </c>
      <c r="AG239" s="5" t="s">
        <v>249</v>
      </c>
      <c r="AW239" s="5" t="s">
        <v>251</v>
      </c>
      <c r="AX239" s="5" t="s">
        <v>240</v>
      </c>
      <c r="AY239" s="5" t="s">
        <v>253</v>
      </c>
      <c r="AZ239" s="5" t="s">
        <v>240</v>
      </c>
      <c r="BA239" s="5" t="s">
        <v>255</v>
      </c>
      <c r="BB239" s="5" t="s">
        <v>240</v>
      </c>
      <c r="BD239" s="5" t="s">
        <v>240</v>
      </c>
      <c r="BF239" s="5" t="s">
        <v>301</v>
      </c>
      <c r="BG239" s="6" t="s">
        <v>299</v>
      </c>
      <c r="BH239" s="5" t="s">
        <v>302</v>
      </c>
      <c r="BI239" s="5" t="s">
        <v>303</v>
      </c>
      <c r="BJ239" s="5" t="s">
        <v>240</v>
      </c>
      <c r="BK239" s="8">
        <f>0</f>
        <v>0</v>
      </c>
      <c r="BL239" s="7">
        <f>0</f>
        <v>0</v>
      </c>
      <c r="BM239" s="5" t="s">
        <v>258</v>
      </c>
      <c r="BN239" s="5" t="s">
        <v>259</v>
      </c>
      <c r="CB239" s="5" t="s">
        <v>240</v>
      </c>
      <c r="CC239" s="5" t="s">
        <v>240</v>
      </c>
      <c r="CG239" s="5" t="s">
        <v>304</v>
      </c>
      <c r="CH239" s="5" t="s">
        <v>305</v>
      </c>
      <c r="CI239" s="5" t="s">
        <v>240</v>
      </c>
      <c r="CL239" s="6" t="s">
        <v>261</v>
      </c>
      <c r="CM239" s="5" t="s">
        <v>240</v>
      </c>
      <c r="CN239" s="5" t="s">
        <v>263</v>
      </c>
      <c r="CO239" s="5" t="s">
        <v>240</v>
      </c>
      <c r="CP239" s="5" t="s">
        <v>240</v>
      </c>
      <c r="CQ239" s="5">
        <v>0</v>
      </c>
      <c r="CR239" s="5" t="s">
        <v>306</v>
      </c>
      <c r="CS239" s="5" t="s">
        <v>307</v>
      </c>
      <c r="CT239" s="5" t="s">
        <v>307</v>
      </c>
      <c r="CU239" s="5" t="s">
        <v>260</v>
      </c>
      <c r="CX239" s="7">
        <f>1</f>
        <v>1</v>
      </c>
      <c r="CY239" s="7">
        <f>0</f>
        <v>0</v>
      </c>
      <c r="DA239" s="7">
        <f>0</f>
        <v>0</v>
      </c>
      <c r="DC239" s="5" t="s">
        <v>309</v>
      </c>
      <c r="DD239" s="5" t="s">
        <v>240</v>
      </c>
      <c r="DF239" s="5" t="s">
        <v>309</v>
      </c>
      <c r="DG239" s="7">
        <f>1409</f>
        <v>1409</v>
      </c>
      <c r="DI239" s="5" t="s">
        <v>240</v>
      </c>
      <c r="DJ239" s="5" t="s">
        <v>240</v>
      </c>
      <c r="DK239" s="5" t="s">
        <v>240</v>
      </c>
      <c r="DL239" s="5" t="s">
        <v>240</v>
      </c>
      <c r="DP239" s="5" t="s">
        <v>240</v>
      </c>
      <c r="DQ239" s="5" t="s">
        <v>240</v>
      </c>
      <c r="DR239" s="5" t="s">
        <v>240</v>
      </c>
      <c r="DS239" s="5" t="s">
        <v>240</v>
      </c>
      <c r="DV239" s="5" t="s">
        <v>310</v>
      </c>
      <c r="DW239" s="5" t="s">
        <v>820</v>
      </c>
      <c r="HO239" s="5" t="s">
        <v>312</v>
      </c>
    </row>
    <row r="240" spans="1:223" x14ac:dyDescent="0.4">
      <c r="A240" s="5">
        <v>951</v>
      </c>
      <c r="B240" s="5">
        <v>1</v>
      </c>
      <c r="C240" s="5">
        <v>1</v>
      </c>
      <c r="D240" s="5" t="s">
        <v>1558</v>
      </c>
      <c r="E240" s="5" t="s">
        <v>1325</v>
      </c>
      <c r="F240" s="5" t="s">
        <v>254</v>
      </c>
      <c r="G240" s="5" t="s">
        <v>240</v>
      </c>
      <c r="H240" s="6" t="s">
        <v>1562</v>
      </c>
      <c r="I240" s="5" t="s">
        <v>1561</v>
      </c>
      <c r="J240" s="8">
        <f>20402</f>
        <v>20402</v>
      </c>
      <c r="K240" s="5" t="s">
        <v>308</v>
      </c>
      <c r="L240" s="7">
        <f>571256</f>
        <v>571256</v>
      </c>
      <c r="M240" s="7">
        <f>571256</f>
        <v>571256</v>
      </c>
      <c r="N240" s="5" t="s">
        <v>242</v>
      </c>
      <c r="O240" s="5">
        <v>1</v>
      </c>
      <c r="P240" s="5" t="s">
        <v>294</v>
      </c>
      <c r="Q240" s="5" t="s">
        <v>266</v>
      </c>
      <c r="R240" s="5" t="s">
        <v>240</v>
      </c>
      <c r="S240" s="5" t="s">
        <v>240</v>
      </c>
      <c r="T240" s="5" t="s">
        <v>296</v>
      </c>
      <c r="U240" s="5" t="s">
        <v>244</v>
      </c>
      <c r="V240" s="5" t="s">
        <v>240</v>
      </c>
      <c r="Y240" s="5" t="s">
        <v>240</v>
      </c>
      <c r="Z240" s="6" t="s">
        <v>298</v>
      </c>
      <c r="AB240" s="6" t="s">
        <v>240</v>
      </c>
      <c r="AE240" s="6" t="s">
        <v>299</v>
      </c>
      <c r="AF240" s="5" t="s">
        <v>248</v>
      </c>
      <c r="AG240" s="5" t="s">
        <v>249</v>
      </c>
      <c r="AW240" s="5" t="s">
        <v>251</v>
      </c>
      <c r="AX240" s="5" t="s">
        <v>240</v>
      </c>
      <c r="AY240" s="5" t="s">
        <v>253</v>
      </c>
      <c r="AZ240" s="5" t="s">
        <v>240</v>
      </c>
      <c r="BA240" s="5" t="s">
        <v>255</v>
      </c>
      <c r="BB240" s="5" t="s">
        <v>240</v>
      </c>
      <c r="BD240" s="5" t="s">
        <v>240</v>
      </c>
      <c r="BF240" s="5" t="s">
        <v>301</v>
      </c>
      <c r="BG240" s="6" t="s">
        <v>299</v>
      </c>
      <c r="BH240" s="5" t="s">
        <v>302</v>
      </c>
      <c r="BI240" s="5" t="s">
        <v>303</v>
      </c>
      <c r="BJ240" s="5" t="s">
        <v>240</v>
      </c>
      <c r="BK240" s="8">
        <f>0</f>
        <v>0</v>
      </c>
      <c r="BL240" s="7">
        <f>0</f>
        <v>0</v>
      </c>
      <c r="BM240" s="5" t="s">
        <v>258</v>
      </c>
      <c r="BN240" s="5" t="s">
        <v>259</v>
      </c>
      <c r="CB240" s="5" t="s">
        <v>240</v>
      </c>
      <c r="CC240" s="5" t="s">
        <v>240</v>
      </c>
      <c r="CG240" s="5" t="s">
        <v>304</v>
      </c>
      <c r="CH240" s="5" t="s">
        <v>305</v>
      </c>
      <c r="CI240" s="5" t="s">
        <v>240</v>
      </c>
      <c r="CL240" s="6" t="s">
        <v>261</v>
      </c>
      <c r="CM240" s="5" t="s">
        <v>240</v>
      </c>
      <c r="CN240" s="5" t="s">
        <v>263</v>
      </c>
      <c r="CO240" s="5" t="s">
        <v>240</v>
      </c>
      <c r="CP240" s="5" t="s">
        <v>240</v>
      </c>
      <c r="CQ240" s="5">
        <v>0</v>
      </c>
      <c r="CR240" s="5" t="s">
        <v>306</v>
      </c>
      <c r="CS240" s="5" t="s">
        <v>307</v>
      </c>
      <c r="CT240" s="5" t="s">
        <v>307</v>
      </c>
      <c r="CU240" s="5" t="s">
        <v>260</v>
      </c>
      <c r="CX240" s="7">
        <f>1</f>
        <v>1</v>
      </c>
      <c r="CY240" s="7">
        <f>0</f>
        <v>0</v>
      </c>
      <c r="DA240" s="7">
        <f>0</f>
        <v>0</v>
      </c>
      <c r="DC240" s="5" t="s">
        <v>309</v>
      </c>
      <c r="DD240" s="5" t="s">
        <v>240</v>
      </c>
      <c r="DF240" s="5" t="s">
        <v>309</v>
      </c>
      <c r="DG240" s="7">
        <f>984</f>
        <v>984</v>
      </c>
      <c r="DI240" s="5" t="s">
        <v>240</v>
      </c>
      <c r="DJ240" s="5" t="s">
        <v>240</v>
      </c>
      <c r="DK240" s="5" t="s">
        <v>240</v>
      </c>
      <c r="DL240" s="5" t="s">
        <v>240</v>
      </c>
      <c r="DP240" s="5" t="s">
        <v>240</v>
      </c>
      <c r="DQ240" s="5" t="s">
        <v>240</v>
      </c>
      <c r="DR240" s="5" t="s">
        <v>240</v>
      </c>
      <c r="DS240" s="5" t="s">
        <v>240</v>
      </c>
      <c r="DV240" s="5" t="s">
        <v>310</v>
      </c>
      <c r="DW240" s="5" t="s">
        <v>691</v>
      </c>
      <c r="HO240" s="5" t="s">
        <v>312</v>
      </c>
    </row>
    <row r="241" spans="1:223" x14ac:dyDescent="0.4">
      <c r="A241" s="5">
        <v>952</v>
      </c>
      <c r="B241" s="5">
        <v>1</v>
      </c>
      <c r="C241" s="5">
        <v>1</v>
      </c>
      <c r="D241" s="5" t="s">
        <v>1558</v>
      </c>
      <c r="E241" s="5" t="s">
        <v>1325</v>
      </c>
      <c r="F241" s="5" t="s">
        <v>254</v>
      </c>
      <c r="G241" s="5" t="s">
        <v>240</v>
      </c>
      <c r="H241" s="6" t="s">
        <v>1559</v>
      </c>
      <c r="I241" s="5" t="s">
        <v>1557</v>
      </c>
      <c r="J241" s="8">
        <f>14519</f>
        <v>14519</v>
      </c>
      <c r="K241" s="5" t="s">
        <v>308</v>
      </c>
      <c r="L241" s="7">
        <f>406532</f>
        <v>406532</v>
      </c>
      <c r="M241" s="7">
        <f>406532</f>
        <v>406532</v>
      </c>
      <c r="N241" s="5" t="s">
        <v>242</v>
      </c>
      <c r="O241" s="5">
        <v>1</v>
      </c>
      <c r="P241" s="5" t="s">
        <v>294</v>
      </c>
      <c r="Q241" s="5" t="s">
        <v>266</v>
      </c>
      <c r="R241" s="5" t="s">
        <v>240</v>
      </c>
      <c r="S241" s="5" t="s">
        <v>240</v>
      </c>
      <c r="T241" s="5" t="s">
        <v>296</v>
      </c>
      <c r="U241" s="5" t="s">
        <v>244</v>
      </c>
      <c r="V241" s="5" t="s">
        <v>240</v>
      </c>
      <c r="Y241" s="5" t="s">
        <v>240</v>
      </c>
      <c r="Z241" s="6" t="s">
        <v>298</v>
      </c>
      <c r="AB241" s="6" t="s">
        <v>240</v>
      </c>
      <c r="AE241" s="6" t="s">
        <v>299</v>
      </c>
      <c r="AF241" s="5" t="s">
        <v>248</v>
      </c>
      <c r="AG241" s="5" t="s">
        <v>249</v>
      </c>
      <c r="AW241" s="5" t="s">
        <v>251</v>
      </c>
      <c r="AX241" s="5" t="s">
        <v>240</v>
      </c>
      <c r="AY241" s="5" t="s">
        <v>253</v>
      </c>
      <c r="AZ241" s="5" t="s">
        <v>240</v>
      </c>
      <c r="BA241" s="5" t="s">
        <v>255</v>
      </c>
      <c r="BB241" s="5" t="s">
        <v>240</v>
      </c>
      <c r="BD241" s="5" t="s">
        <v>240</v>
      </c>
      <c r="BF241" s="5" t="s">
        <v>301</v>
      </c>
      <c r="BG241" s="6" t="s">
        <v>299</v>
      </c>
      <c r="BH241" s="5" t="s">
        <v>302</v>
      </c>
      <c r="BI241" s="5" t="s">
        <v>303</v>
      </c>
      <c r="BJ241" s="5" t="s">
        <v>240</v>
      </c>
      <c r="BK241" s="8">
        <f>0</f>
        <v>0</v>
      </c>
      <c r="BL241" s="7">
        <f>0</f>
        <v>0</v>
      </c>
      <c r="BM241" s="5" t="s">
        <v>258</v>
      </c>
      <c r="BN241" s="5" t="s">
        <v>259</v>
      </c>
      <c r="CB241" s="5" t="s">
        <v>240</v>
      </c>
      <c r="CC241" s="5" t="s">
        <v>240</v>
      </c>
      <c r="CG241" s="5" t="s">
        <v>304</v>
      </c>
      <c r="CH241" s="5" t="s">
        <v>305</v>
      </c>
      <c r="CI241" s="5" t="s">
        <v>240</v>
      </c>
      <c r="CL241" s="6" t="s">
        <v>261</v>
      </c>
      <c r="CM241" s="5" t="s">
        <v>240</v>
      </c>
      <c r="CN241" s="5" t="s">
        <v>263</v>
      </c>
      <c r="CO241" s="5" t="s">
        <v>240</v>
      </c>
      <c r="CP241" s="5" t="s">
        <v>240</v>
      </c>
      <c r="CQ241" s="5">
        <v>0</v>
      </c>
      <c r="CR241" s="5" t="s">
        <v>306</v>
      </c>
      <c r="CS241" s="5" t="s">
        <v>307</v>
      </c>
      <c r="CT241" s="5" t="s">
        <v>307</v>
      </c>
      <c r="CU241" s="5" t="s">
        <v>260</v>
      </c>
      <c r="CX241" s="7">
        <f>1</f>
        <v>1</v>
      </c>
      <c r="CY241" s="7">
        <f>0</f>
        <v>0</v>
      </c>
      <c r="DA241" s="7">
        <f>0</f>
        <v>0</v>
      </c>
      <c r="DC241" s="5" t="s">
        <v>309</v>
      </c>
      <c r="DD241" s="5" t="s">
        <v>240</v>
      </c>
      <c r="DF241" s="5" t="s">
        <v>309</v>
      </c>
      <c r="DG241" s="7">
        <f>5223</f>
        <v>5223</v>
      </c>
      <c r="DI241" s="5" t="s">
        <v>240</v>
      </c>
      <c r="DJ241" s="5" t="s">
        <v>240</v>
      </c>
      <c r="DK241" s="5" t="s">
        <v>240</v>
      </c>
      <c r="DL241" s="5" t="s">
        <v>240</v>
      </c>
      <c r="DP241" s="5" t="s">
        <v>240</v>
      </c>
      <c r="DQ241" s="5" t="s">
        <v>240</v>
      </c>
      <c r="DR241" s="5" t="s">
        <v>240</v>
      </c>
      <c r="DS241" s="5" t="s">
        <v>240</v>
      </c>
      <c r="DV241" s="5" t="s">
        <v>310</v>
      </c>
      <c r="DW241" s="5" t="s">
        <v>620</v>
      </c>
      <c r="HO241" s="5" t="s">
        <v>312</v>
      </c>
    </row>
    <row r="242" spans="1:223" x14ac:dyDescent="0.4">
      <c r="A242" s="5">
        <v>953</v>
      </c>
      <c r="B242" s="5">
        <v>1</v>
      </c>
      <c r="C242" s="5">
        <v>1</v>
      </c>
      <c r="D242" s="5" t="s">
        <v>1535</v>
      </c>
      <c r="E242" s="5" t="s">
        <v>1325</v>
      </c>
      <c r="F242" s="5" t="s">
        <v>254</v>
      </c>
      <c r="G242" s="5" t="s">
        <v>1550</v>
      </c>
      <c r="H242" s="6" t="s">
        <v>1555</v>
      </c>
      <c r="I242" s="5" t="s">
        <v>1534</v>
      </c>
      <c r="J242" s="8">
        <f>289445</f>
        <v>289445</v>
      </c>
      <c r="K242" s="5" t="s">
        <v>308</v>
      </c>
      <c r="L242" s="7">
        <f>3183895</f>
        <v>3183895</v>
      </c>
      <c r="M242" s="7">
        <f>3183895</f>
        <v>3183895</v>
      </c>
      <c r="N242" s="5" t="s">
        <v>242</v>
      </c>
      <c r="O242" s="5">
        <v>1</v>
      </c>
      <c r="P242" s="5" t="s">
        <v>294</v>
      </c>
      <c r="Q242" s="5" t="s">
        <v>266</v>
      </c>
      <c r="R242" s="5" t="s">
        <v>240</v>
      </c>
      <c r="S242" s="5" t="s">
        <v>240</v>
      </c>
      <c r="T242" s="5" t="s">
        <v>296</v>
      </c>
      <c r="U242" s="5" t="s">
        <v>244</v>
      </c>
      <c r="V242" s="5" t="s">
        <v>240</v>
      </c>
      <c r="Y242" s="5" t="s">
        <v>240</v>
      </c>
      <c r="Z242" s="6" t="s">
        <v>298</v>
      </c>
      <c r="AB242" s="6" t="s">
        <v>240</v>
      </c>
      <c r="AE242" s="6" t="s">
        <v>299</v>
      </c>
      <c r="AF242" s="5" t="s">
        <v>248</v>
      </c>
      <c r="AG242" s="5" t="s">
        <v>249</v>
      </c>
      <c r="AW242" s="5" t="s">
        <v>251</v>
      </c>
      <c r="AX242" s="5" t="s">
        <v>240</v>
      </c>
      <c r="AY242" s="5" t="s">
        <v>253</v>
      </c>
      <c r="AZ242" s="5" t="s">
        <v>240</v>
      </c>
      <c r="BA242" s="5" t="s">
        <v>255</v>
      </c>
      <c r="BB242" s="5" t="s">
        <v>240</v>
      </c>
      <c r="BD242" s="5" t="s">
        <v>240</v>
      </c>
      <c r="BF242" s="5" t="s">
        <v>301</v>
      </c>
      <c r="BG242" s="6" t="s">
        <v>299</v>
      </c>
      <c r="BH242" s="5" t="s">
        <v>302</v>
      </c>
      <c r="BI242" s="5" t="s">
        <v>303</v>
      </c>
      <c r="BJ242" s="5" t="s">
        <v>240</v>
      </c>
      <c r="BK242" s="8">
        <f>0</f>
        <v>0</v>
      </c>
      <c r="BL242" s="7">
        <f>0</f>
        <v>0</v>
      </c>
      <c r="BM242" s="5" t="s">
        <v>258</v>
      </c>
      <c r="BN242" s="5" t="s">
        <v>259</v>
      </c>
      <c r="CB242" s="5" t="s">
        <v>240</v>
      </c>
      <c r="CC242" s="5" t="s">
        <v>240</v>
      </c>
      <c r="CG242" s="5" t="s">
        <v>304</v>
      </c>
      <c r="CH242" s="5" t="s">
        <v>305</v>
      </c>
      <c r="CI242" s="5" t="s">
        <v>240</v>
      </c>
      <c r="CL242" s="6" t="s">
        <v>261</v>
      </c>
      <c r="CM242" s="5" t="s">
        <v>240</v>
      </c>
      <c r="CN242" s="5" t="s">
        <v>263</v>
      </c>
      <c r="CO242" s="5" t="s">
        <v>240</v>
      </c>
      <c r="CP242" s="5" t="s">
        <v>240</v>
      </c>
      <c r="CQ242" s="5">
        <v>0</v>
      </c>
      <c r="CR242" s="5" t="s">
        <v>306</v>
      </c>
      <c r="CS242" s="5" t="s">
        <v>307</v>
      </c>
      <c r="CT242" s="5" t="s">
        <v>307</v>
      </c>
      <c r="CU242" s="5" t="s">
        <v>260</v>
      </c>
      <c r="CX242" s="7">
        <f>1</f>
        <v>1</v>
      </c>
      <c r="CY242" s="7">
        <f>0</f>
        <v>0</v>
      </c>
      <c r="DA242" s="7">
        <f>0</f>
        <v>0</v>
      </c>
      <c r="DC242" s="5" t="s">
        <v>309</v>
      </c>
      <c r="DD242" s="5" t="s">
        <v>240</v>
      </c>
      <c r="DF242" s="5" t="s">
        <v>309</v>
      </c>
      <c r="DG242" s="7">
        <f>70</f>
        <v>70</v>
      </c>
      <c r="DI242" s="5" t="s">
        <v>240</v>
      </c>
      <c r="DJ242" s="5" t="s">
        <v>240</v>
      </c>
      <c r="DK242" s="5" t="s">
        <v>240</v>
      </c>
      <c r="DL242" s="5" t="s">
        <v>240</v>
      </c>
      <c r="DP242" s="5" t="s">
        <v>240</v>
      </c>
      <c r="DQ242" s="5" t="s">
        <v>240</v>
      </c>
      <c r="DR242" s="5" t="s">
        <v>240</v>
      </c>
      <c r="DS242" s="5" t="s">
        <v>240</v>
      </c>
      <c r="DV242" s="5" t="s">
        <v>310</v>
      </c>
      <c r="DW242" s="5" t="s">
        <v>621</v>
      </c>
      <c r="HO242" s="5" t="s">
        <v>312</v>
      </c>
    </row>
    <row r="243" spans="1:223" x14ac:dyDescent="0.4">
      <c r="A243" s="5">
        <v>954</v>
      </c>
      <c r="B243" s="5">
        <v>1</v>
      </c>
      <c r="C243" s="5">
        <v>1</v>
      </c>
      <c r="D243" s="5" t="s">
        <v>1535</v>
      </c>
      <c r="E243" s="5" t="s">
        <v>1325</v>
      </c>
      <c r="F243" s="5" t="s">
        <v>254</v>
      </c>
      <c r="G243" s="5" t="s">
        <v>1552</v>
      </c>
      <c r="H243" s="6" t="s">
        <v>1553</v>
      </c>
      <c r="I243" s="5" t="s">
        <v>1534</v>
      </c>
      <c r="J243" s="8">
        <f>118</f>
        <v>118</v>
      </c>
      <c r="K243" s="5" t="s">
        <v>308</v>
      </c>
      <c r="L243" s="7">
        <f>1298</f>
        <v>1298</v>
      </c>
      <c r="M243" s="7">
        <f>1298</f>
        <v>1298</v>
      </c>
      <c r="N243" s="5" t="s">
        <v>242</v>
      </c>
      <c r="O243" s="5">
        <v>1</v>
      </c>
      <c r="P243" s="5" t="s">
        <v>294</v>
      </c>
      <c r="Q243" s="5" t="s">
        <v>266</v>
      </c>
      <c r="R243" s="5" t="s">
        <v>240</v>
      </c>
      <c r="S243" s="5" t="s">
        <v>240</v>
      </c>
      <c r="T243" s="5" t="s">
        <v>296</v>
      </c>
      <c r="U243" s="5" t="s">
        <v>244</v>
      </c>
      <c r="V243" s="5" t="s">
        <v>240</v>
      </c>
      <c r="Y243" s="5" t="s">
        <v>240</v>
      </c>
      <c r="Z243" s="6" t="s">
        <v>298</v>
      </c>
      <c r="AB243" s="6" t="s">
        <v>240</v>
      </c>
      <c r="AE243" s="6" t="s">
        <v>299</v>
      </c>
      <c r="AF243" s="5" t="s">
        <v>248</v>
      </c>
      <c r="AG243" s="5" t="s">
        <v>249</v>
      </c>
      <c r="AW243" s="5" t="s">
        <v>251</v>
      </c>
      <c r="AX243" s="5" t="s">
        <v>240</v>
      </c>
      <c r="AY243" s="5" t="s">
        <v>253</v>
      </c>
      <c r="AZ243" s="5" t="s">
        <v>240</v>
      </c>
      <c r="BA243" s="5" t="s">
        <v>255</v>
      </c>
      <c r="BB243" s="5" t="s">
        <v>240</v>
      </c>
      <c r="BD243" s="5" t="s">
        <v>240</v>
      </c>
      <c r="BF243" s="5" t="s">
        <v>301</v>
      </c>
      <c r="BG243" s="6" t="s">
        <v>299</v>
      </c>
      <c r="BH243" s="5" t="s">
        <v>302</v>
      </c>
      <c r="BI243" s="5" t="s">
        <v>303</v>
      </c>
      <c r="BJ243" s="5" t="s">
        <v>240</v>
      </c>
      <c r="BK243" s="8">
        <f>0</f>
        <v>0</v>
      </c>
      <c r="BL243" s="7">
        <f>0</f>
        <v>0</v>
      </c>
      <c r="BM243" s="5" t="s">
        <v>258</v>
      </c>
      <c r="BN243" s="5" t="s">
        <v>259</v>
      </c>
      <c r="CB243" s="5" t="s">
        <v>240</v>
      </c>
      <c r="CC243" s="5" t="s">
        <v>240</v>
      </c>
      <c r="CG243" s="5" t="s">
        <v>304</v>
      </c>
      <c r="CH243" s="5" t="s">
        <v>305</v>
      </c>
      <c r="CI243" s="5" t="s">
        <v>240</v>
      </c>
      <c r="CL243" s="6" t="s">
        <v>261</v>
      </c>
      <c r="CM243" s="5" t="s">
        <v>240</v>
      </c>
      <c r="CN243" s="5" t="s">
        <v>263</v>
      </c>
      <c r="CO243" s="5" t="s">
        <v>240</v>
      </c>
      <c r="CP243" s="5" t="s">
        <v>240</v>
      </c>
      <c r="CQ243" s="5">
        <v>0</v>
      </c>
      <c r="CR243" s="5" t="s">
        <v>306</v>
      </c>
      <c r="CS243" s="5" t="s">
        <v>307</v>
      </c>
      <c r="CT243" s="5" t="s">
        <v>307</v>
      </c>
      <c r="CU243" s="5" t="s">
        <v>260</v>
      </c>
      <c r="CX243" s="7">
        <f>1</f>
        <v>1</v>
      </c>
      <c r="CY243" s="7">
        <f>0</f>
        <v>0</v>
      </c>
      <c r="DA243" s="7">
        <f>0</f>
        <v>0</v>
      </c>
      <c r="DC243" s="5" t="s">
        <v>309</v>
      </c>
      <c r="DD243" s="5" t="s">
        <v>240</v>
      </c>
      <c r="DF243" s="5" t="s">
        <v>309</v>
      </c>
      <c r="DG243" s="7">
        <f>566</f>
        <v>566</v>
      </c>
      <c r="DI243" s="5" t="s">
        <v>240</v>
      </c>
      <c r="DJ243" s="5" t="s">
        <v>240</v>
      </c>
      <c r="DK243" s="5" t="s">
        <v>240</v>
      </c>
      <c r="DL243" s="5" t="s">
        <v>240</v>
      </c>
      <c r="DP243" s="5" t="s">
        <v>240</v>
      </c>
      <c r="DQ243" s="5" t="s">
        <v>240</v>
      </c>
      <c r="DR243" s="5" t="s">
        <v>240</v>
      </c>
      <c r="DS243" s="5" t="s">
        <v>240</v>
      </c>
      <c r="DV243" s="5" t="s">
        <v>310</v>
      </c>
      <c r="DW243" s="5" t="s">
        <v>825</v>
      </c>
      <c r="HO243" s="5" t="s">
        <v>312</v>
      </c>
    </row>
    <row r="244" spans="1:223" x14ac:dyDescent="0.4">
      <c r="A244" s="5">
        <v>955</v>
      </c>
      <c r="B244" s="5">
        <v>1</v>
      </c>
      <c r="C244" s="5">
        <v>1</v>
      </c>
      <c r="D244" s="5" t="s">
        <v>1535</v>
      </c>
      <c r="E244" s="5" t="s">
        <v>1325</v>
      </c>
      <c r="F244" s="5" t="s">
        <v>254</v>
      </c>
      <c r="G244" s="5" t="s">
        <v>1550</v>
      </c>
      <c r="H244" s="6" t="s">
        <v>1551</v>
      </c>
      <c r="I244" s="5" t="s">
        <v>1534</v>
      </c>
      <c r="J244" s="8">
        <f>1089</f>
        <v>1089</v>
      </c>
      <c r="K244" s="5" t="s">
        <v>308</v>
      </c>
      <c r="L244" s="7">
        <f>11979</f>
        <v>11979</v>
      </c>
      <c r="M244" s="7">
        <f>11979</f>
        <v>11979</v>
      </c>
      <c r="N244" s="5" t="s">
        <v>242</v>
      </c>
      <c r="O244" s="5">
        <v>1</v>
      </c>
      <c r="P244" s="5" t="s">
        <v>294</v>
      </c>
      <c r="Q244" s="5" t="s">
        <v>266</v>
      </c>
      <c r="R244" s="5" t="s">
        <v>240</v>
      </c>
      <c r="S244" s="5" t="s">
        <v>240</v>
      </c>
      <c r="T244" s="5" t="s">
        <v>296</v>
      </c>
      <c r="U244" s="5" t="s">
        <v>244</v>
      </c>
      <c r="V244" s="5" t="s">
        <v>240</v>
      </c>
      <c r="Y244" s="5" t="s">
        <v>240</v>
      </c>
      <c r="Z244" s="6" t="s">
        <v>298</v>
      </c>
      <c r="AB244" s="6" t="s">
        <v>240</v>
      </c>
      <c r="AE244" s="6" t="s">
        <v>299</v>
      </c>
      <c r="AF244" s="5" t="s">
        <v>248</v>
      </c>
      <c r="AG244" s="5" t="s">
        <v>249</v>
      </c>
      <c r="AW244" s="5" t="s">
        <v>251</v>
      </c>
      <c r="AX244" s="5" t="s">
        <v>240</v>
      </c>
      <c r="AY244" s="5" t="s">
        <v>253</v>
      </c>
      <c r="AZ244" s="5" t="s">
        <v>240</v>
      </c>
      <c r="BA244" s="5" t="s">
        <v>255</v>
      </c>
      <c r="BB244" s="5" t="s">
        <v>240</v>
      </c>
      <c r="BD244" s="5" t="s">
        <v>240</v>
      </c>
      <c r="BF244" s="5" t="s">
        <v>301</v>
      </c>
      <c r="BG244" s="6" t="s">
        <v>299</v>
      </c>
      <c r="BH244" s="5" t="s">
        <v>302</v>
      </c>
      <c r="BI244" s="5" t="s">
        <v>303</v>
      </c>
      <c r="BJ244" s="5" t="s">
        <v>240</v>
      </c>
      <c r="BK244" s="8">
        <f>0</f>
        <v>0</v>
      </c>
      <c r="BL244" s="7">
        <f>0</f>
        <v>0</v>
      </c>
      <c r="BM244" s="5" t="s">
        <v>258</v>
      </c>
      <c r="BN244" s="5" t="s">
        <v>259</v>
      </c>
      <c r="CB244" s="5" t="s">
        <v>240</v>
      </c>
      <c r="CC244" s="5" t="s">
        <v>240</v>
      </c>
      <c r="CG244" s="5" t="s">
        <v>304</v>
      </c>
      <c r="CH244" s="5" t="s">
        <v>305</v>
      </c>
      <c r="CI244" s="5" t="s">
        <v>240</v>
      </c>
      <c r="CL244" s="6" t="s">
        <v>261</v>
      </c>
      <c r="CM244" s="5" t="s">
        <v>240</v>
      </c>
      <c r="CN244" s="5" t="s">
        <v>263</v>
      </c>
      <c r="CO244" s="5" t="s">
        <v>240</v>
      </c>
      <c r="CP244" s="5" t="s">
        <v>240</v>
      </c>
      <c r="CQ244" s="5">
        <v>0</v>
      </c>
      <c r="CR244" s="5" t="s">
        <v>306</v>
      </c>
      <c r="CS244" s="5" t="s">
        <v>307</v>
      </c>
      <c r="CT244" s="5" t="s">
        <v>307</v>
      </c>
      <c r="CU244" s="5" t="s">
        <v>260</v>
      </c>
      <c r="CX244" s="7">
        <f>1</f>
        <v>1</v>
      </c>
      <c r="CY244" s="7">
        <f>0</f>
        <v>0</v>
      </c>
      <c r="DA244" s="7">
        <f>0</f>
        <v>0</v>
      </c>
      <c r="DC244" s="5" t="s">
        <v>309</v>
      </c>
      <c r="DD244" s="5" t="s">
        <v>240</v>
      </c>
      <c r="DF244" s="5" t="s">
        <v>309</v>
      </c>
      <c r="DG244" s="7">
        <f>1645</f>
        <v>1645</v>
      </c>
      <c r="DI244" s="5" t="s">
        <v>240</v>
      </c>
      <c r="DJ244" s="5" t="s">
        <v>240</v>
      </c>
      <c r="DK244" s="5" t="s">
        <v>240</v>
      </c>
      <c r="DL244" s="5" t="s">
        <v>240</v>
      </c>
      <c r="DP244" s="5" t="s">
        <v>240</v>
      </c>
      <c r="DQ244" s="5" t="s">
        <v>240</v>
      </c>
      <c r="DR244" s="5" t="s">
        <v>240</v>
      </c>
      <c r="DS244" s="5" t="s">
        <v>240</v>
      </c>
      <c r="DV244" s="5" t="s">
        <v>310</v>
      </c>
      <c r="DW244" s="5" t="s">
        <v>827</v>
      </c>
      <c r="HO244" s="5" t="s">
        <v>312</v>
      </c>
    </row>
    <row r="245" spans="1:223" x14ac:dyDescent="0.4">
      <c r="A245" s="5">
        <v>956</v>
      </c>
      <c r="B245" s="5">
        <v>1</v>
      </c>
      <c r="C245" s="5">
        <v>1</v>
      </c>
      <c r="D245" s="5" t="s">
        <v>1535</v>
      </c>
      <c r="E245" s="5" t="s">
        <v>1325</v>
      </c>
      <c r="F245" s="5" t="s">
        <v>254</v>
      </c>
      <c r="G245" s="5" t="s">
        <v>1547</v>
      </c>
      <c r="H245" s="6" t="s">
        <v>1549</v>
      </c>
      <c r="I245" s="5" t="s">
        <v>1534</v>
      </c>
      <c r="J245" s="8">
        <f>171</f>
        <v>171</v>
      </c>
      <c r="K245" s="5" t="s">
        <v>308</v>
      </c>
      <c r="L245" s="7">
        <f>378765</f>
        <v>378765</v>
      </c>
      <c r="M245" s="7">
        <f>378765</f>
        <v>378765</v>
      </c>
      <c r="N245" s="5" t="s">
        <v>242</v>
      </c>
      <c r="O245" s="5">
        <v>1</v>
      </c>
      <c r="P245" s="5" t="s">
        <v>294</v>
      </c>
      <c r="Q245" s="5" t="s">
        <v>613</v>
      </c>
      <c r="R245" s="5" t="s">
        <v>240</v>
      </c>
      <c r="S245" s="5" t="s">
        <v>240</v>
      </c>
      <c r="T245" s="5" t="s">
        <v>243</v>
      </c>
      <c r="U245" s="5" t="s">
        <v>244</v>
      </c>
      <c r="V245" s="5" t="s">
        <v>240</v>
      </c>
      <c r="Y245" s="5" t="s">
        <v>240</v>
      </c>
      <c r="Z245" s="6" t="s">
        <v>830</v>
      </c>
      <c r="AB245" s="6" t="s">
        <v>240</v>
      </c>
      <c r="AE245" s="6" t="s">
        <v>299</v>
      </c>
      <c r="AF245" s="5" t="s">
        <v>248</v>
      </c>
      <c r="AG245" s="5" t="s">
        <v>249</v>
      </c>
      <c r="AW245" s="5" t="s">
        <v>251</v>
      </c>
      <c r="AX245" s="5" t="s">
        <v>240</v>
      </c>
      <c r="AY245" s="5" t="s">
        <v>253</v>
      </c>
      <c r="AZ245" s="5" t="s">
        <v>240</v>
      </c>
      <c r="BA245" s="5" t="s">
        <v>255</v>
      </c>
      <c r="BB245" s="5" t="s">
        <v>240</v>
      </c>
      <c r="BD245" s="5" t="s">
        <v>240</v>
      </c>
      <c r="BF245" s="5" t="s">
        <v>301</v>
      </c>
      <c r="BG245" s="6" t="s">
        <v>299</v>
      </c>
      <c r="BH245" s="5" t="s">
        <v>302</v>
      </c>
      <c r="BI245" s="5" t="s">
        <v>303</v>
      </c>
      <c r="BJ245" s="5" t="s">
        <v>240</v>
      </c>
      <c r="BK245" s="8">
        <f>0</f>
        <v>0</v>
      </c>
      <c r="BL245" s="7">
        <f>0</f>
        <v>0</v>
      </c>
      <c r="BM245" s="5" t="s">
        <v>258</v>
      </c>
      <c r="BN245" s="5" t="s">
        <v>259</v>
      </c>
      <c r="CB245" s="5" t="s">
        <v>240</v>
      </c>
      <c r="CC245" s="5" t="s">
        <v>240</v>
      </c>
      <c r="CG245" s="5" t="s">
        <v>617</v>
      </c>
      <c r="CH245" s="5" t="s">
        <v>305</v>
      </c>
      <c r="CI245" s="5" t="s">
        <v>240</v>
      </c>
      <c r="CL245" s="6" t="s">
        <v>261</v>
      </c>
      <c r="CM245" s="5" t="s">
        <v>240</v>
      </c>
      <c r="CN245" s="5" t="s">
        <v>263</v>
      </c>
      <c r="CO245" s="5" t="s">
        <v>240</v>
      </c>
      <c r="CP245" s="5" t="s">
        <v>240</v>
      </c>
      <c r="CQ245" s="5">
        <v>0</v>
      </c>
      <c r="CR245" s="5" t="s">
        <v>306</v>
      </c>
      <c r="CS245" s="5" t="s">
        <v>307</v>
      </c>
      <c r="CT245" s="5" t="s">
        <v>307</v>
      </c>
      <c r="CU245" s="5" t="s">
        <v>260</v>
      </c>
      <c r="CX245" s="7">
        <f>831976</f>
        <v>831976</v>
      </c>
      <c r="CY245" s="7">
        <f>0</f>
        <v>0</v>
      </c>
      <c r="DA245" s="7">
        <f>0</f>
        <v>0</v>
      </c>
      <c r="DC245" s="5" t="s">
        <v>618</v>
      </c>
      <c r="DD245" s="5" t="s">
        <v>240</v>
      </c>
      <c r="DF245" s="5" t="s">
        <v>618</v>
      </c>
      <c r="DG245" s="7">
        <f>772</f>
        <v>772</v>
      </c>
      <c r="DH245" s="6" t="s">
        <v>832</v>
      </c>
      <c r="DI245" s="5" t="s">
        <v>618</v>
      </c>
      <c r="DJ245" s="5" t="s">
        <v>240</v>
      </c>
      <c r="DK245" s="5" t="s">
        <v>240</v>
      </c>
      <c r="DL245" s="5" t="s">
        <v>240</v>
      </c>
      <c r="DP245" s="5" t="s">
        <v>240</v>
      </c>
      <c r="DQ245" s="5" t="s">
        <v>240</v>
      </c>
      <c r="DR245" s="5" t="s">
        <v>240</v>
      </c>
      <c r="DS245" s="5" t="s">
        <v>240</v>
      </c>
      <c r="DV245" s="5" t="s">
        <v>833</v>
      </c>
      <c r="DW245" s="5" t="s">
        <v>691</v>
      </c>
      <c r="HO245" s="5" t="s">
        <v>312</v>
      </c>
    </row>
    <row r="246" spans="1:223" x14ac:dyDescent="0.4">
      <c r="A246" s="5">
        <v>957</v>
      </c>
      <c r="B246" s="5">
        <v>1</v>
      </c>
      <c r="C246" s="5">
        <v>1</v>
      </c>
      <c r="D246" s="5" t="s">
        <v>1535</v>
      </c>
      <c r="E246" s="5" t="s">
        <v>1325</v>
      </c>
      <c r="F246" s="5" t="s">
        <v>254</v>
      </c>
      <c r="G246" s="5" t="s">
        <v>1547</v>
      </c>
      <c r="H246" s="6" t="s">
        <v>1548</v>
      </c>
      <c r="I246" s="5" t="s">
        <v>1534</v>
      </c>
      <c r="J246" s="8">
        <f>5716</f>
        <v>5716</v>
      </c>
      <c r="K246" s="5" t="s">
        <v>308</v>
      </c>
      <c r="L246" s="7">
        <f>12660940</f>
        <v>12660940</v>
      </c>
      <c r="M246" s="7">
        <f>12660940</f>
        <v>12660940</v>
      </c>
      <c r="N246" s="5" t="s">
        <v>242</v>
      </c>
      <c r="O246" s="5">
        <v>1</v>
      </c>
      <c r="P246" s="5" t="s">
        <v>294</v>
      </c>
      <c r="Q246" s="5" t="s">
        <v>613</v>
      </c>
      <c r="R246" s="5" t="s">
        <v>240</v>
      </c>
      <c r="S246" s="5" t="s">
        <v>240</v>
      </c>
      <c r="T246" s="5" t="s">
        <v>296</v>
      </c>
      <c r="U246" s="5" t="s">
        <v>244</v>
      </c>
      <c r="V246" s="5" t="s">
        <v>240</v>
      </c>
      <c r="Y246" s="5" t="s">
        <v>240</v>
      </c>
      <c r="Z246" s="6" t="s">
        <v>834</v>
      </c>
      <c r="AB246" s="6" t="s">
        <v>240</v>
      </c>
      <c r="AE246" s="6" t="s">
        <v>299</v>
      </c>
      <c r="AF246" s="5" t="s">
        <v>248</v>
      </c>
      <c r="AG246" s="5" t="s">
        <v>249</v>
      </c>
      <c r="AW246" s="5" t="s">
        <v>251</v>
      </c>
      <c r="AX246" s="5" t="s">
        <v>240</v>
      </c>
      <c r="AY246" s="5" t="s">
        <v>253</v>
      </c>
      <c r="AZ246" s="5" t="s">
        <v>240</v>
      </c>
      <c r="BA246" s="5" t="s">
        <v>255</v>
      </c>
      <c r="BB246" s="5" t="s">
        <v>240</v>
      </c>
      <c r="BD246" s="5" t="s">
        <v>240</v>
      </c>
      <c r="BF246" s="5" t="s">
        <v>301</v>
      </c>
      <c r="BG246" s="6" t="s">
        <v>299</v>
      </c>
      <c r="BH246" s="5" t="s">
        <v>302</v>
      </c>
      <c r="BI246" s="5" t="s">
        <v>303</v>
      </c>
      <c r="BJ246" s="5" t="s">
        <v>240</v>
      </c>
      <c r="BK246" s="8">
        <f>0</f>
        <v>0</v>
      </c>
      <c r="BL246" s="7">
        <f>0</f>
        <v>0</v>
      </c>
      <c r="BM246" s="5" t="s">
        <v>258</v>
      </c>
      <c r="BN246" s="5" t="s">
        <v>259</v>
      </c>
      <c r="CB246" s="5" t="s">
        <v>240</v>
      </c>
      <c r="CC246" s="5" t="s">
        <v>240</v>
      </c>
      <c r="CG246" s="5" t="s">
        <v>617</v>
      </c>
      <c r="CH246" s="5" t="s">
        <v>305</v>
      </c>
      <c r="CI246" s="5" t="s">
        <v>240</v>
      </c>
      <c r="CL246" s="6" t="s">
        <v>261</v>
      </c>
      <c r="CM246" s="5" t="s">
        <v>240</v>
      </c>
      <c r="CN246" s="5" t="s">
        <v>263</v>
      </c>
      <c r="CO246" s="5" t="s">
        <v>240</v>
      </c>
      <c r="CP246" s="5" t="s">
        <v>240</v>
      </c>
      <c r="CQ246" s="5">
        <v>0</v>
      </c>
      <c r="CR246" s="5" t="s">
        <v>306</v>
      </c>
      <c r="CS246" s="5" t="s">
        <v>307</v>
      </c>
      <c r="CT246" s="5" t="s">
        <v>307</v>
      </c>
      <c r="CU246" s="5" t="s">
        <v>260</v>
      </c>
      <c r="CX246" s="7">
        <f>10290</f>
        <v>10290</v>
      </c>
      <c r="CY246" s="7">
        <f>0</f>
        <v>0</v>
      </c>
      <c r="DA246" s="7">
        <f>0</f>
        <v>0</v>
      </c>
      <c r="DC246" s="5" t="s">
        <v>812</v>
      </c>
      <c r="DD246" s="5" t="s">
        <v>240</v>
      </c>
      <c r="DF246" s="5" t="s">
        <v>812</v>
      </c>
      <c r="DG246" s="7">
        <f>21</f>
        <v>21</v>
      </c>
      <c r="DH246" s="6" t="s">
        <v>836</v>
      </c>
      <c r="DI246" s="5" t="s">
        <v>450</v>
      </c>
      <c r="DJ246" s="5" t="s">
        <v>240</v>
      </c>
      <c r="DK246" s="5" t="s">
        <v>240</v>
      </c>
      <c r="DL246" s="5" t="s">
        <v>240</v>
      </c>
      <c r="DP246" s="5" t="s">
        <v>240</v>
      </c>
      <c r="DQ246" s="5" t="s">
        <v>240</v>
      </c>
      <c r="DR246" s="5" t="s">
        <v>240</v>
      </c>
      <c r="DS246" s="5" t="s">
        <v>240</v>
      </c>
      <c r="DV246" s="5" t="s">
        <v>833</v>
      </c>
      <c r="DW246" s="5" t="s">
        <v>620</v>
      </c>
      <c r="HO246" s="5" t="s">
        <v>312</v>
      </c>
    </row>
    <row r="247" spans="1:223" x14ac:dyDescent="0.4">
      <c r="A247" s="5">
        <v>958</v>
      </c>
      <c r="B247" s="5">
        <v>1</v>
      </c>
      <c r="C247" s="5">
        <v>1</v>
      </c>
      <c r="D247" s="5" t="s">
        <v>1535</v>
      </c>
      <c r="E247" s="5" t="s">
        <v>1325</v>
      </c>
      <c r="F247" s="5" t="s">
        <v>254</v>
      </c>
      <c r="G247" s="5" t="s">
        <v>1543</v>
      </c>
      <c r="H247" s="6" t="s">
        <v>1546</v>
      </c>
      <c r="I247" s="5" t="s">
        <v>1534</v>
      </c>
      <c r="J247" s="8">
        <f>27015</f>
        <v>27015</v>
      </c>
      <c r="K247" s="5" t="s">
        <v>308</v>
      </c>
      <c r="L247" s="7">
        <f>59838225</f>
        <v>59838225</v>
      </c>
      <c r="M247" s="7">
        <f>59838225</f>
        <v>59838225</v>
      </c>
      <c r="N247" s="5" t="s">
        <v>242</v>
      </c>
      <c r="O247" s="5">
        <v>1</v>
      </c>
      <c r="P247" s="5" t="s">
        <v>294</v>
      </c>
      <c r="Q247" s="5" t="s">
        <v>613</v>
      </c>
      <c r="R247" s="5" t="s">
        <v>240</v>
      </c>
      <c r="S247" s="5" t="s">
        <v>240</v>
      </c>
      <c r="T247" s="5" t="s">
        <v>243</v>
      </c>
      <c r="U247" s="5" t="s">
        <v>244</v>
      </c>
      <c r="V247" s="5" t="s">
        <v>240</v>
      </c>
      <c r="Y247" s="5" t="s">
        <v>240</v>
      </c>
      <c r="Z247" s="6" t="s">
        <v>837</v>
      </c>
      <c r="AB247" s="6" t="s">
        <v>240</v>
      </c>
      <c r="AE247" s="6" t="s">
        <v>299</v>
      </c>
      <c r="AF247" s="5" t="s">
        <v>248</v>
      </c>
      <c r="AG247" s="5" t="s">
        <v>249</v>
      </c>
      <c r="AW247" s="5" t="s">
        <v>251</v>
      </c>
      <c r="AX247" s="5" t="s">
        <v>240</v>
      </c>
      <c r="AY247" s="5" t="s">
        <v>253</v>
      </c>
      <c r="AZ247" s="5" t="s">
        <v>240</v>
      </c>
      <c r="BA247" s="5" t="s">
        <v>255</v>
      </c>
      <c r="BB247" s="5" t="s">
        <v>240</v>
      </c>
      <c r="BD247" s="5" t="s">
        <v>240</v>
      </c>
      <c r="BF247" s="5" t="s">
        <v>301</v>
      </c>
      <c r="BG247" s="6" t="s">
        <v>299</v>
      </c>
      <c r="BH247" s="5" t="s">
        <v>302</v>
      </c>
      <c r="BI247" s="5" t="s">
        <v>303</v>
      </c>
      <c r="BJ247" s="5" t="s">
        <v>240</v>
      </c>
      <c r="BK247" s="8">
        <f>0</f>
        <v>0</v>
      </c>
      <c r="BL247" s="7">
        <f>0</f>
        <v>0</v>
      </c>
      <c r="BM247" s="5" t="s">
        <v>258</v>
      </c>
      <c r="BN247" s="5" t="s">
        <v>259</v>
      </c>
      <c r="CB247" s="5" t="s">
        <v>240</v>
      </c>
      <c r="CC247" s="5" t="s">
        <v>240</v>
      </c>
      <c r="CG247" s="5" t="s">
        <v>617</v>
      </c>
      <c r="CH247" s="5" t="s">
        <v>305</v>
      </c>
      <c r="CI247" s="5" t="s">
        <v>240</v>
      </c>
      <c r="CL247" s="6" t="s">
        <v>261</v>
      </c>
      <c r="CM247" s="5" t="s">
        <v>240</v>
      </c>
      <c r="CN247" s="5" t="s">
        <v>263</v>
      </c>
      <c r="CO247" s="5" t="s">
        <v>240</v>
      </c>
      <c r="CP247" s="5" t="s">
        <v>240</v>
      </c>
      <c r="CQ247" s="5">
        <v>0</v>
      </c>
      <c r="CR247" s="5" t="s">
        <v>306</v>
      </c>
      <c r="CS247" s="5" t="s">
        <v>307</v>
      </c>
      <c r="CT247" s="5" t="s">
        <v>307</v>
      </c>
      <c r="CU247" s="5" t="s">
        <v>260</v>
      </c>
      <c r="CX247" s="7">
        <f>79740</f>
        <v>79740</v>
      </c>
      <c r="CY247" s="7">
        <f>0</f>
        <v>0</v>
      </c>
      <c r="DA247" s="7">
        <f>0</f>
        <v>0</v>
      </c>
      <c r="DC247" s="5" t="s">
        <v>618</v>
      </c>
      <c r="DD247" s="5" t="s">
        <v>240</v>
      </c>
      <c r="DF247" s="5" t="s">
        <v>618</v>
      </c>
      <c r="DG247" s="7">
        <f>36</f>
        <v>36</v>
      </c>
      <c r="DH247" s="6" t="s">
        <v>774</v>
      </c>
      <c r="DI247" s="5" t="s">
        <v>618</v>
      </c>
      <c r="DJ247" s="5" t="s">
        <v>240</v>
      </c>
      <c r="DK247" s="5" t="s">
        <v>240</v>
      </c>
      <c r="DL247" s="5" t="s">
        <v>240</v>
      </c>
      <c r="DP247" s="5" t="s">
        <v>240</v>
      </c>
      <c r="DQ247" s="5" t="s">
        <v>240</v>
      </c>
      <c r="DR247" s="5" t="s">
        <v>240</v>
      </c>
      <c r="DS247" s="5" t="s">
        <v>240</v>
      </c>
      <c r="DV247" s="5" t="s">
        <v>833</v>
      </c>
      <c r="DW247" s="5" t="s">
        <v>621</v>
      </c>
      <c r="HO247" s="5" t="s">
        <v>312</v>
      </c>
    </row>
    <row r="248" spans="1:223" x14ac:dyDescent="0.4">
      <c r="A248" s="5">
        <v>959</v>
      </c>
      <c r="B248" s="5">
        <v>1</v>
      </c>
      <c r="C248" s="5">
        <v>1</v>
      </c>
      <c r="D248" s="5" t="s">
        <v>1535</v>
      </c>
      <c r="E248" s="5" t="s">
        <v>1325</v>
      </c>
      <c r="F248" s="5" t="s">
        <v>254</v>
      </c>
      <c r="G248" s="5" t="s">
        <v>1543</v>
      </c>
      <c r="H248" s="6" t="s">
        <v>1545</v>
      </c>
      <c r="I248" s="5" t="s">
        <v>1534</v>
      </c>
      <c r="J248" s="8">
        <f>3378.36</f>
        <v>3378.36</v>
      </c>
      <c r="K248" s="5" t="s">
        <v>308</v>
      </c>
      <c r="L248" s="7">
        <f>8783736</f>
        <v>8783736</v>
      </c>
      <c r="M248" s="7">
        <f>8783736</f>
        <v>8783736</v>
      </c>
      <c r="N248" s="5" t="s">
        <v>242</v>
      </c>
      <c r="O248" s="5">
        <v>1</v>
      </c>
      <c r="P248" s="5" t="s">
        <v>294</v>
      </c>
      <c r="Q248" s="5" t="s">
        <v>613</v>
      </c>
      <c r="R248" s="5" t="s">
        <v>240</v>
      </c>
      <c r="S248" s="5" t="s">
        <v>240</v>
      </c>
      <c r="T248" s="5" t="s">
        <v>243</v>
      </c>
      <c r="U248" s="5" t="s">
        <v>244</v>
      </c>
      <c r="V248" s="5" t="s">
        <v>240</v>
      </c>
      <c r="Y248" s="5" t="s">
        <v>240</v>
      </c>
      <c r="Z248" s="6" t="s">
        <v>832</v>
      </c>
      <c r="AB248" s="6" t="s">
        <v>240</v>
      </c>
      <c r="AE248" s="6" t="s">
        <v>299</v>
      </c>
      <c r="AF248" s="5" t="s">
        <v>248</v>
      </c>
      <c r="AG248" s="5" t="s">
        <v>249</v>
      </c>
      <c r="AW248" s="5" t="s">
        <v>251</v>
      </c>
      <c r="AX248" s="5" t="s">
        <v>240</v>
      </c>
      <c r="AY248" s="5" t="s">
        <v>253</v>
      </c>
      <c r="AZ248" s="5" t="s">
        <v>240</v>
      </c>
      <c r="BA248" s="5" t="s">
        <v>255</v>
      </c>
      <c r="BB248" s="5" t="s">
        <v>240</v>
      </c>
      <c r="BD248" s="5" t="s">
        <v>842</v>
      </c>
      <c r="BF248" s="5" t="s">
        <v>301</v>
      </c>
      <c r="BG248" s="6" t="s">
        <v>299</v>
      </c>
      <c r="BH248" s="5" t="s">
        <v>302</v>
      </c>
      <c r="BI248" s="5" t="s">
        <v>303</v>
      </c>
      <c r="BJ248" s="5" t="s">
        <v>240</v>
      </c>
      <c r="BK248" s="8">
        <f>0</f>
        <v>0</v>
      </c>
      <c r="BL248" s="7">
        <f>0</f>
        <v>0</v>
      </c>
      <c r="BM248" s="5" t="s">
        <v>258</v>
      </c>
      <c r="BN248" s="5" t="s">
        <v>259</v>
      </c>
      <c r="CB248" s="5" t="s">
        <v>240</v>
      </c>
      <c r="CC248" s="5" t="s">
        <v>240</v>
      </c>
      <c r="CG248" s="5" t="s">
        <v>449</v>
      </c>
      <c r="CH248" s="5" t="s">
        <v>305</v>
      </c>
      <c r="CI248" s="5" t="s">
        <v>240</v>
      </c>
      <c r="CL248" s="6" t="s">
        <v>261</v>
      </c>
      <c r="CM248" s="5" t="s">
        <v>240</v>
      </c>
      <c r="CN248" s="5" t="s">
        <v>263</v>
      </c>
      <c r="CO248" s="5" t="s">
        <v>240</v>
      </c>
      <c r="CP248" s="5" t="s">
        <v>240</v>
      </c>
      <c r="CQ248" s="5">
        <v>0</v>
      </c>
      <c r="CR248" s="5" t="s">
        <v>306</v>
      </c>
      <c r="CS248" s="5" t="s">
        <v>307</v>
      </c>
      <c r="CT248" s="5" t="s">
        <v>307</v>
      </c>
      <c r="CU248" s="5" t="s">
        <v>260</v>
      </c>
      <c r="CX248" s="7">
        <f>7974342</f>
        <v>7974342</v>
      </c>
      <c r="CY248" s="7">
        <f>0</f>
        <v>0</v>
      </c>
      <c r="DA248" s="7">
        <f>0</f>
        <v>0</v>
      </c>
      <c r="DC248" s="5" t="s">
        <v>843</v>
      </c>
      <c r="DD248" s="5" t="s">
        <v>240</v>
      </c>
      <c r="DF248" s="5" t="s">
        <v>843</v>
      </c>
      <c r="DG248" s="7">
        <f>1298.33</f>
        <v>1298.33</v>
      </c>
      <c r="DH248" s="6" t="s">
        <v>774</v>
      </c>
      <c r="DI248" s="5" t="s">
        <v>843</v>
      </c>
      <c r="DJ248" s="5" t="s">
        <v>240</v>
      </c>
      <c r="DK248" s="5" t="s">
        <v>240</v>
      </c>
      <c r="DL248" s="5" t="s">
        <v>240</v>
      </c>
      <c r="DP248" s="5" t="s">
        <v>240</v>
      </c>
      <c r="DQ248" s="5" t="s">
        <v>240</v>
      </c>
      <c r="DR248" s="5" t="s">
        <v>240</v>
      </c>
      <c r="DS248" s="5" t="s">
        <v>240</v>
      </c>
      <c r="DV248" s="5" t="s">
        <v>844</v>
      </c>
      <c r="DW248" s="5" t="s">
        <v>312</v>
      </c>
      <c r="HO248" s="5" t="s">
        <v>312</v>
      </c>
    </row>
    <row r="249" spans="1:223" x14ac:dyDescent="0.4">
      <c r="A249" s="5">
        <v>960</v>
      </c>
      <c r="B249" s="5">
        <v>1</v>
      </c>
      <c r="C249" s="5">
        <v>1</v>
      </c>
      <c r="D249" s="5" t="s">
        <v>1535</v>
      </c>
      <c r="E249" s="5" t="s">
        <v>1325</v>
      </c>
      <c r="F249" s="5" t="s">
        <v>254</v>
      </c>
      <c r="G249" s="5" t="s">
        <v>1543</v>
      </c>
      <c r="H249" s="6" t="s">
        <v>1544</v>
      </c>
      <c r="I249" s="5" t="s">
        <v>1534</v>
      </c>
      <c r="J249" s="8">
        <f>3165</f>
        <v>3165</v>
      </c>
      <c r="K249" s="5" t="s">
        <v>308</v>
      </c>
      <c r="L249" s="7">
        <f>7010475</f>
        <v>7010475</v>
      </c>
      <c r="M249" s="7">
        <f>7010475</f>
        <v>7010475</v>
      </c>
      <c r="N249" s="5" t="s">
        <v>242</v>
      </c>
      <c r="O249" s="5">
        <v>1</v>
      </c>
      <c r="P249" s="5" t="s">
        <v>294</v>
      </c>
      <c r="Q249" s="5" t="s">
        <v>613</v>
      </c>
      <c r="R249" s="5" t="s">
        <v>240</v>
      </c>
      <c r="S249" s="5" t="s">
        <v>240</v>
      </c>
      <c r="T249" s="5" t="s">
        <v>243</v>
      </c>
      <c r="U249" s="5" t="s">
        <v>724</v>
      </c>
      <c r="V249" s="5" t="s">
        <v>240</v>
      </c>
      <c r="Y249" s="5" t="s">
        <v>240</v>
      </c>
      <c r="Z249" s="6" t="s">
        <v>836</v>
      </c>
      <c r="AB249" s="6" t="s">
        <v>240</v>
      </c>
      <c r="AE249" s="6" t="s">
        <v>299</v>
      </c>
      <c r="AF249" s="5" t="s">
        <v>248</v>
      </c>
      <c r="AG249" s="5" t="s">
        <v>249</v>
      </c>
      <c r="AW249" s="5" t="s">
        <v>251</v>
      </c>
      <c r="AX249" s="5" t="s">
        <v>240</v>
      </c>
      <c r="AY249" s="5" t="s">
        <v>253</v>
      </c>
      <c r="AZ249" s="5" t="s">
        <v>240</v>
      </c>
      <c r="BA249" s="5" t="s">
        <v>255</v>
      </c>
      <c r="BB249" s="5" t="s">
        <v>240</v>
      </c>
      <c r="BD249" s="5" t="s">
        <v>842</v>
      </c>
      <c r="BF249" s="5" t="s">
        <v>301</v>
      </c>
      <c r="BG249" s="6" t="s">
        <v>299</v>
      </c>
      <c r="BH249" s="5" t="s">
        <v>302</v>
      </c>
      <c r="BI249" s="5" t="s">
        <v>303</v>
      </c>
      <c r="BJ249" s="5" t="s">
        <v>240</v>
      </c>
      <c r="BK249" s="8">
        <f>0</f>
        <v>0</v>
      </c>
      <c r="BL249" s="7">
        <f>0</f>
        <v>0</v>
      </c>
      <c r="BM249" s="5" t="s">
        <v>258</v>
      </c>
      <c r="BN249" s="5" t="s">
        <v>259</v>
      </c>
      <c r="CB249" s="5" t="s">
        <v>240</v>
      </c>
      <c r="CC249" s="5" t="s">
        <v>240</v>
      </c>
      <c r="CG249" s="5" t="s">
        <v>449</v>
      </c>
      <c r="CH249" s="5" t="s">
        <v>305</v>
      </c>
      <c r="CI249" s="5" t="s">
        <v>240</v>
      </c>
      <c r="CL249" s="6" t="s">
        <v>261</v>
      </c>
      <c r="CM249" s="5" t="s">
        <v>240</v>
      </c>
      <c r="CN249" s="5" t="s">
        <v>263</v>
      </c>
      <c r="CO249" s="5" t="s">
        <v>240</v>
      </c>
      <c r="CP249" s="5" t="s">
        <v>240</v>
      </c>
      <c r="CQ249" s="5">
        <v>0</v>
      </c>
      <c r="CR249" s="5" t="s">
        <v>306</v>
      </c>
      <c r="CS249" s="5" t="s">
        <v>307</v>
      </c>
      <c r="CT249" s="5" t="s">
        <v>307</v>
      </c>
      <c r="CU249" s="5" t="s">
        <v>260</v>
      </c>
      <c r="CX249" s="7">
        <f>15445324</f>
        <v>15445324</v>
      </c>
      <c r="CY249" s="7">
        <f>0</f>
        <v>0</v>
      </c>
      <c r="DA249" s="7">
        <f>0</f>
        <v>0</v>
      </c>
      <c r="DC249" s="5" t="s">
        <v>618</v>
      </c>
      <c r="DD249" s="5" t="s">
        <v>240</v>
      </c>
      <c r="DF249" s="5" t="s">
        <v>618</v>
      </c>
      <c r="DG249" s="7">
        <f>5396</f>
        <v>5396</v>
      </c>
      <c r="DH249" s="6" t="s">
        <v>774</v>
      </c>
      <c r="DI249" s="5" t="s">
        <v>618</v>
      </c>
      <c r="DJ249" s="5" t="s">
        <v>240</v>
      </c>
      <c r="DK249" s="5" t="s">
        <v>240</v>
      </c>
      <c r="DL249" s="5" t="s">
        <v>240</v>
      </c>
      <c r="DP249" s="5" t="s">
        <v>240</v>
      </c>
      <c r="DQ249" s="5" t="s">
        <v>240</v>
      </c>
      <c r="DR249" s="5" t="s">
        <v>240</v>
      </c>
      <c r="DS249" s="5" t="s">
        <v>240</v>
      </c>
      <c r="DV249" s="5" t="s">
        <v>848</v>
      </c>
      <c r="DW249" s="5" t="s">
        <v>312</v>
      </c>
      <c r="HO249" s="5" t="s">
        <v>312</v>
      </c>
    </row>
    <row r="250" spans="1:223" x14ac:dyDescent="0.4">
      <c r="A250" s="5">
        <v>961</v>
      </c>
      <c r="B250" s="5">
        <v>1</v>
      </c>
      <c r="C250" s="5">
        <v>1</v>
      </c>
      <c r="D250" s="5" t="s">
        <v>1535</v>
      </c>
      <c r="E250" s="5" t="s">
        <v>1325</v>
      </c>
      <c r="F250" s="5" t="s">
        <v>254</v>
      </c>
      <c r="G250" s="5" t="s">
        <v>1539</v>
      </c>
      <c r="H250" s="6" t="s">
        <v>1542</v>
      </c>
      <c r="I250" s="5" t="s">
        <v>1534</v>
      </c>
      <c r="J250" s="8">
        <f>329373</f>
        <v>329373</v>
      </c>
      <c r="K250" s="5" t="s">
        <v>308</v>
      </c>
      <c r="L250" s="7">
        <f>9222444</f>
        <v>9222444</v>
      </c>
      <c r="M250" s="7">
        <f>9222444</f>
        <v>9222444</v>
      </c>
      <c r="N250" s="5" t="s">
        <v>242</v>
      </c>
      <c r="O250" s="5">
        <v>1</v>
      </c>
      <c r="P250" s="5" t="s">
        <v>294</v>
      </c>
      <c r="Q250" s="5" t="s">
        <v>613</v>
      </c>
      <c r="R250" s="5" t="s">
        <v>240</v>
      </c>
      <c r="S250" s="5" t="s">
        <v>240</v>
      </c>
      <c r="T250" s="5" t="s">
        <v>243</v>
      </c>
      <c r="U250" s="5" t="s">
        <v>724</v>
      </c>
      <c r="V250" s="5" t="s">
        <v>240</v>
      </c>
      <c r="Y250" s="5" t="s">
        <v>240</v>
      </c>
      <c r="Z250" s="6" t="s">
        <v>298</v>
      </c>
      <c r="AB250" s="6" t="s">
        <v>240</v>
      </c>
      <c r="AE250" s="6" t="s">
        <v>299</v>
      </c>
      <c r="AF250" s="5" t="s">
        <v>248</v>
      </c>
      <c r="AG250" s="5" t="s">
        <v>249</v>
      </c>
      <c r="AW250" s="5" t="s">
        <v>251</v>
      </c>
      <c r="AX250" s="5" t="s">
        <v>240</v>
      </c>
      <c r="AY250" s="5" t="s">
        <v>253</v>
      </c>
      <c r="AZ250" s="5" t="s">
        <v>240</v>
      </c>
      <c r="BA250" s="5" t="s">
        <v>255</v>
      </c>
      <c r="BB250" s="5" t="s">
        <v>240</v>
      </c>
      <c r="BD250" s="5" t="s">
        <v>240</v>
      </c>
      <c r="BF250" s="5" t="s">
        <v>301</v>
      </c>
      <c r="BG250" s="6" t="s">
        <v>299</v>
      </c>
      <c r="BH250" s="5" t="s">
        <v>302</v>
      </c>
      <c r="BI250" s="5" t="s">
        <v>303</v>
      </c>
      <c r="BJ250" s="5" t="s">
        <v>240</v>
      </c>
      <c r="BK250" s="8">
        <f>0</f>
        <v>0</v>
      </c>
      <c r="BL250" s="7">
        <f>0</f>
        <v>0</v>
      </c>
      <c r="BM250" s="5" t="s">
        <v>258</v>
      </c>
      <c r="BN250" s="5" t="s">
        <v>259</v>
      </c>
      <c r="CB250" s="5" t="s">
        <v>240</v>
      </c>
      <c r="CC250" s="5" t="s">
        <v>240</v>
      </c>
      <c r="CG250" s="5" t="s">
        <v>617</v>
      </c>
      <c r="CH250" s="5" t="s">
        <v>305</v>
      </c>
      <c r="CI250" s="5" t="s">
        <v>240</v>
      </c>
      <c r="CL250" s="6" t="s">
        <v>261</v>
      </c>
      <c r="CM250" s="5" t="s">
        <v>240</v>
      </c>
      <c r="CN250" s="5" t="s">
        <v>263</v>
      </c>
      <c r="CO250" s="5" t="s">
        <v>240</v>
      </c>
      <c r="CP250" s="5" t="s">
        <v>240</v>
      </c>
      <c r="CQ250" s="5">
        <v>0</v>
      </c>
      <c r="CR250" s="5" t="s">
        <v>306</v>
      </c>
      <c r="CS250" s="5" t="s">
        <v>307</v>
      </c>
      <c r="CT250" s="5" t="s">
        <v>307</v>
      </c>
      <c r="CU250" s="5" t="s">
        <v>260</v>
      </c>
      <c r="CX250" s="7">
        <f>17449770</f>
        <v>17449770</v>
      </c>
      <c r="CY250" s="7">
        <f>0</f>
        <v>0</v>
      </c>
      <c r="DA250" s="7">
        <f>0</f>
        <v>0</v>
      </c>
      <c r="DC250" s="5" t="s">
        <v>618</v>
      </c>
      <c r="DD250" s="5" t="s">
        <v>240</v>
      </c>
      <c r="DF250" s="5" t="s">
        <v>854</v>
      </c>
      <c r="DG250" s="7">
        <f>7878</f>
        <v>7878</v>
      </c>
      <c r="DI250" s="5" t="s">
        <v>618</v>
      </c>
      <c r="DJ250" s="5" t="s">
        <v>240</v>
      </c>
      <c r="DK250" s="5" t="s">
        <v>240</v>
      </c>
      <c r="DL250" s="5" t="s">
        <v>240</v>
      </c>
      <c r="DP250" s="5" t="s">
        <v>240</v>
      </c>
      <c r="DQ250" s="5" t="s">
        <v>240</v>
      </c>
      <c r="DR250" s="5" t="s">
        <v>240</v>
      </c>
      <c r="DS250" s="5" t="s">
        <v>240</v>
      </c>
      <c r="DV250" s="5" t="s">
        <v>855</v>
      </c>
      <c r="DW250" s="5" t="s">
        <v>312</v>
      </c>
      <c r="HO250" s="5" t="s">
        <v>312</v>
      </c>
    </row>
    <row r="251" spans="1:223" x14ac:dyDescent="0.4">
      <c r="A251" s="5">
        <v>962</v>
      </c>
      <c r="B251" s="5">
        <v>1</v>
      </c>
      <c r="C251" s="5">
        <v>1</v>
      </c>
      <c r="D251" s="5" t="s">
        <v>1535</v>
      </c>
      <c r="E251" s="5" t="s">
        <v>1325</v>
      </c>
      <c r="F251" s="5" t="s">
        <v>254</v>
      </c>
      <c r="G251" s="5" t="s">
        <v>1539</v>
      </c>
      <c r="H251" s="6" t="s">
        <v>1540</v>
      </c>
      <c r="I251" s="5" t="s">
        <v>1534</v>
      </c>
      <c r="J251" s="8">
        <f>6809</f>
        <v>6809</v>
      </c>
      <c r="K251" s="5" t="s">
        <v>308</v>
      </c>
      <c r="L251" s="7">
        <f>190652</f>
        <v>190652</v>
      </c>
      <c r="M251" s="7">
        <f>190652</f>
        <v>190652</v>
      </c>
      <c r="N251" s="5" t="s">
        <v>242</v>
      </c>
      <c r="O251" s="5">
        <v>1</v>
      </c>
      <c r="P251" s="5" t="s">
        <v>294</v>
      </c>
      <c r="Q251" s="5" t="s">
        <v>613</v>
      </c>
      <c r="R251" s="5" t="s">
        <v>240</v>
      </c>
      <c r="S251" s="5" t="s">
        <v>240</v>
      </c>
      <c r="T251" s="5" t="s">
        <v>243</v>
      </c>
      <c r="U251" s="5" t="s">
        <v>724</v>
      </c>
      <c r="V251" s="5" t="s">
        <v>240</v>
      </c>
      <c r="Y251" s="5" t="s">
        <v>240</v>
      </c>
      <c r="Z251" s="6" t="s">
        <v>298</v>
      </c>
      <c r="AB251" s="6" t="s">
        <v>240</v>
      </c>
      <c r="AE251" s="6" t="s">
        <v>299</v>
      </c>
      <c r="AF251" s="5" t="s">
        <v>248</v>
      </c>
      <c r="AG251" s="5" t="s">
        <v>249</v>
      </c>
      <c r="AW251" s="5" t="s">
        <v>251</v>
      </c>
      <c r="AX251" s="5" t="s">
        <v>240</v>
      </c>
      <c r="AY251" s="5" t="s">
        <v>253</v>
      </c>
      <c r="AZ251" s="5" t="s">
        <v>240</v>
      </c>
      <c r="BA251" s="5" t="s">
        <v>255</v>
      </c>
      <c r="BB251" s="5" t="s">
        <v>240</v>
      </c>
      <c r="BD251" s="5" t="s">
        <v>240</v>
      </c>
      <c r="BF251" s="5" t="s">
        <v>301</v>
      </c>
      <c r="BG251" s="6" t="s">
        <v>299</v>
      </c>
      <c r="BH251" s="5" t="s">
        <v>302</v>
      </c>
      <c r="BI251" s="5" t="s">
        <v>303</v>
      </c>
      <c r="BJ251" s="5" t="s">
        <v>240</v>
      </c>
      <c r="BK251" s="8">
        <f>0</f>
        <v>0</v>
      </c>
      <c r="BL251" s="7">
        <f>0</f>
        <v>0</v>
      </c>
      <c r="BM251" s="5" t="s">
        <v>258</v>
      </c>
      <c r="BN251" s="5" t="s">
        <v>259</v>
      </c>
      <c r="CB251" s="5" t="s">
        <v>240</v>
      </c>
      <c r="CC251" s="5" t="s">
        <v>240</v>
      </c>
      <c r="CG251" s="5" t="s">
        <v>617</v>
      </c>
      <c r="CH251" s="5" t="s">
        <v>305</v>
      </c>
      <c r="CI251" s="5" t="s">
        <v>240</v>
      </c>
      <c r="CL251" s="6" t="s">
        <v>261</v>
      </c>
      <c r="CM251" s="5" t="s">
        <v>240</v>
      </c>
      <c r="CN251" s="5" t="s">
        <v>263</v>
      </c>
      <c r="CO251" s="5" t="s">
        <v>240</v>
      </c>
      <c r="CP251" s="5" t="s">
        <v>240</v>
      </c>
      <c r="CQ251" s="5">
        <v>0</v>
      </c>
      <c r="CR251" s="5" t="s">
        <v>306</v>
      </c>
      <c r="CS251" s="5" t="s">
        <v>307</v>
      </c>
      <c r="CT251" s="5" t="s">
        <v>307</v>
      </c>
      <c r="CU251" s="5" t="s">
        <v>260</v>
      </c>
      <c r="CX251" s="7">
        <f>19811</f>
        <v>19811</v>
      </c>
      <c r="CY251" s="7">
        <f>0</f>
        <v>0</v>
      </c>
      <c r="DA251" s="7">
        <f>0</f>
        <v>0</v>
      </c>
      <c r="DC251" s="5" t="s">
        <v>854</v>
      </c>
      <c r="DD251" s="5" t="s">
        <v>240</v>
      </c>
      <c r="DF251" s="5" t="s">
        <v>854</v>
      </c>
      <c r="DG251" s="7">
        <f>1801</f>
        <v>1801</v>
      </c>
      <c r="DH251" s="6" t="s">
        <v>858</v>
      </c>
      <c r="DI251" s="5" t="s">
        <v>737</v>
      </c>
      <c r="DJ251" s="5" t="s">
        <v>240</v>
      </c>
      <c r="DK251" s="5" t="s">
        <v>240</v>
      </c>
      <c r="DL251" s="5" t="s">
        <v>240</v>
      </c>
      <c r="DP251" s="5" t="s">
        <v>240</v>
      </c>
      <c r="DQ251" s="5" t="s">
        <v>240</v>
      </c>
      <c r="DR251" s="5" t="s">
        <v>240</v>
      </c>
      <c r="DS251" s="5" t="s">
        <v>240</v>
      </c>
      <c r="DV251" s="5" t="s">
        <v>859</v>
      </c>
      <c r="DW251" s="5" t="s">
        <v>691</v>
      </c>
      <c r="HO251" s="5" t="s">
        <v>312</v>
      </c>
    </row>
    <row r="252" spans="1:223" x14ac:dyDescent="0.4">
      <c r="A252" s="5">
        <v>963</v>
      </c>
      <c r="B252" s="5">
        <v>1</v>
      </c>
      <c r="C252" s="5">
        <v>1</v>
      </c>
      <c r="D252" s="5" t="s">
        <v>1535</v>
      </c>
      <c r="E252" s="5" t="s">
        <v>1325</v>
      </c>
      <c r="F252" s="5" t="s">
        <v>254</v>
      </c>
      <c r="G252" s="5" t="s">
        <v>1536</v>
      </c>
      <c r="H252" s="6" t="s">
        <v>1537</v>
      </c>
      <c r="I252" s="5" t="s">
        <v>1534</v>
      </c>
      <c r="J252" s="8">
        <f>1250</f>
        <v>1250</v>
      </c>
      <c r="K252" s="5" t="s">
        <v>308</v>
      </c>
      <c r="L252" s="7">
        <f>2768750</f>
        <v>2768750</v>
      </c>
      <c r="M252" s="7">
        <f>2768750</f>
        <v>2768750</v>
      </c>
      <c r="N252" s="5" t="s">
        <v>242</v>
      </c>
      <c r="O252" s="5">
        <v>1</v>
      </c>
      <c r="P252" s="5" t="s">
        <v>294</v>
      </c>
      <c r="Q252" s="5" t="s">
        <v>266</v>
      </c>
      <c r="R252" s="5" t="s">
        <v>240</v>
      </c>
      <c r="S252" s="5" t="s">
        <v>240</v>
      </c>
      <c r="T252" s="5" t="s">
        <v>296</v>
      </c>
      <c r="U252" s="5" t="s">
        <v>244</v>
      </c>
      <c r="V252" s="5" t="s">
        <v>240</v>
      </c>
      <c r="Y252" s="5" t="s">
        <v>240</v>
      </c>
      <c r="Z252" s="6" t="s">
        <v>298</v>
      </c>
      <c r="AB252" s="6" t="s">
        <v>240</v>
      </c>
      <c r="AE252" s="6" t="s">
        <v>299</v>
      </c>
      <c r="AF252" s="5" t="s">
        <v>248</v>
      </c>
      <c r="AG252" s="5" t="s">
        <v>249</v>
      </c>
      <c r="AW252" s="5" t="s">
        <v>251</v>
      </c>
      <c r="AX252" s="5" t="s">
        <v>240</v>
      </c>
      <c r="AY252" s="5" t="s">
        <v>253</v>
      </c>
      <c r="AZ252" s="5" t="s">
        <v>240</v>
      </c>
      <c r="BA252" s="5" t="s">
        <v>255</v>
      </c>
      <c r="BB252" s="5" t="s">
        <v>240</v>
      </c>
      <c r="BD252" s="5" t="s">
        <v>240</v>
      </c>
      <c r="BF252" s="5" t="s">
        <v>301</v>
      </c>
      <c r="BG252" s="6" t="s">
        <v>299</v>
      </c>
      <c r="BH252" s="5" t="s">
        <v>302</v>
      </c>
      <c r="BI252" s="5" t="s">
        <v>303</v>
      </c>
      <c r="BJ252" s="5" t="s">
        <v>240</v>
      </c>
      <c r="BK252" s="8">
        <f>0</f>
        <v>0</v>
      </c>
      <c r="BL252" s="7">
        <f>0</f>
        <v>0</v>
      </c>
      <c r="BM252" s="5" t="s">
        <v>258</v>
      </c>
      <c r="BN252" s="5" t="s">
        <v>259</v>
      </c>
      <c r="CB252" s="5" t="s">
        <v>240</v>
      </c>
      <c r="CC252" s="5" t="s">
        <v>240</v>
      </c>
      <c r="CG252" s="5" t="s">
        <v>304</v>
      </c>
      <c r="CH252" s="5" t="s">
        <v>305</v>
      </c>
      <c r="CI252" s="5" t="s">
        <v>240</v>
      </c>
      <c r="CL252" s="6" t="s">
        <v>261</v>
      </c>
      <c r="CM252" s="5" t="s">
        <v>240</v>
      </c>
      <c r="CN252" s="5" t="s">
        <v>263</v>
      </c>
      <c r="CO252" s="5" t="s">
        <v>240</v>
      </c>
      <c r="CP252" s="5" t="s">
        <v>240</v>
      </c>
      <c r="CQ252" s="5">
        <v>0</v>
      </c>
      <c r="CR252" s="5" t="s">
        <v>306</v>
      </c>
      <c r="CS252" s="5" t="s">
        <v>307</v>
      </c>
      <c r="CT252" s="5" t="s">
        <v>307</v>
      </c>
      <c r="CU252" s="5" t="s">
        <v>260</v>
      </c>
      <c r="CX252" s="7">
        <f>1</f>
        <v>1</v>
      </c>
      <c r="CY252" s="7">
        <f>0</f>
        <v>0</v>
      </c>
      <c r="DA252" s="7">
        <f>0</f>
        <v>0</v>
      </c>
      <c r="DC252" s="5" t="s">
        <v>812</v>
      </c>
      <c r="DD252" s="5" t="s">
        <v>240</v>
      </c>
      <c r="DF252" s="5" t="s">
        <v>812</v>
      </c>
      <c r="DG252" s="7">
        <f>879</f>
        <v>879</v>
      </c>
      <c r="DI252" s="5" t="s">
        <v>240</v>
      </c>
      <c r="DJ252" s="5" t="s">
        <v>240</v>
      </c>
      <c r="DK252" s="5" t="s">
        <v>240</v>
      </c>
      <c r="DL252" s="5" t="s">
        <v>240</v>
      </c>
      <c r="DP252" s="5" t="s">
        <v>240</v>
      </c>
      <c r="DQ252" s="5" t="s">
        <v>240</v>
      </c>
      <c r="DR252" s="5" t="s">
        <v>240</v>
      </c>
      <c r="DS252" s="5" t="s">
        <v>240</v>
      </c>
      <c r="DV252" s="5" t="s">
        <v>813</v>
      </c>
      <c r="DW252" s="5" t="s">
        <v>861</v>
      </c>
      <c r="HO252" s="5" t="s">
        <v>312</v>
      </c>
    </row>
    <row r="253" spans="1:223" x14ac:dyDescent="0.4">
      <c r="A253" s="5">
        <v>964</v>
      </c>
      <c r="B253" s="5">
        <v>1</v>
      </c>
      <c r="C253" s="5">
        <v>1</v>
      </c>
      <c r="D253" s="5" t="s">
        <v>1531</v>
      </c>
      <c r="E253" s="5" t="s">
        <v>1325</v>
      </c>
      <c r="F253" s="5" t="s">
        <v>254</v>
      </c>
      <c r="G253" s="5" t="s">
        <v>240</v>
      </c>
      <c r="H253" s="6" t="s">
        <v>1532</v>
      </c>
      <c r="I253" s="5" t="s">
        <v>1530</v>
      </c>
      <c r="J253" s="8">
        <f>1328.97</f>
        <v>1328.97</v>
      </c>
      <c r="K253" s="5" t="s">
        <v>308</v>
      </c>
      <c r="L253" s="7">
        <f>2943668</f>
        <v>2943668</v>
      </c>
      <c r="M253" s="7">
        <f>2943668</f>
        <v>2943668</v>
      </c>
      <c r="N253" s="5" t="s">
        <v>242</v>
      </c>
      <c r="O253" s="5">
        <v>1</v>
      </c>
      <c r="P253" s="5" t="s">
        <v>294</v>
      </c>
      <c r="Q253" s="5" t="s">
        <v>613</v>
      </c>
      <c r="R253" s="5" t="s">
        <v>240</v>
      </c>
      <c r="S253" s="5" t="s">
        <v>240</v>
      </c>
      <c r="T253" s="5" t="s">
        <v>243</v>
      </c>
      <c r="U253" s="5" t="s">
        <v>724</v>
      </c>
      <c r="V253" s="5" t="s">
        <v>240</v>
      </c>
      <c r="Y253" s="5" t="s">
        <v>240</v>
      </c>
      <c r="Z253" s="6" t="s">
        <v>298</v>
      </c>
      <c r="AB253" s="6" t="s">
        <v>240</v>
      </c>
      <c r="AE253" s="6" t="s">
        <v>299</v>
      </c>
      <c r="AF253" s="5" t="s">
        <v>248</v>
      </c>
      <c r="AG253" s="5" t="s">
        <v>249</v>
      </c>
      <c r="AW253" s="5" t="s">
        <v>251</v>
      </c>
      <c r="AX253" s="5" t="s">
        <v>240</v>
      </c>
      <c r="AY253" s="5" t="s">
        <v>253</v>
      </c>
      <c r="AZ253" s="5" t="s">
        <v>240</v>
      </c>
      <c r="BA253" s="5" t="s">
        <v>255</v>
      </c>
      <c r="BB253" s="5" t="s">
        <v>240</v>
      </c>
      <c r="BD253" s="5" t="s">
        <v>240</v>
      </c>
      <c r="BF253" s="5" t="s">
        <v>301</v>
      </c>
      <c r="BG253" s="6" t="s">
        <v>299</v>
      </c>
      <c r="BH253" s="5" t="s">
        <v>302</v>
      </c>
      <c r="BI253" s="5" t="s">
        <v>303</v>
      </c>
      <c r="BJ253" s="5" t="s">
        <v>240</v>
      </c>
      <c r="BK253" s="8">
        <f>0</f>
        <v>0</v>
      </c>
      <c r="BL253" s="7">
        <f>0</f>
        <v>0</v>
      </c>
      <c r="BM253" s="5" t="s">
        <v>258</v>
      </c>
      <c r="BN253" s="5" t="s">
        <v>259</v>
      </c>
      <c r="CB253" s="5" t="s">
        <v>240</v>
      </c>
      <c r="CC253" s="5" t="s">
        <v>240</v>
      </c>
      <c r="CG253" s="5" t="s">
        <v>617</v>
      </c>
      <c r="CH253" s="5" t="s">
        <v>305</v>
      </c>
      <c r="CI253" s="5" t="s">
        <v>240</v>
      </c>
      <c r="CL253" s="6" t="s">
        <v>261</v>
      </c>
      <c r="CM253" s="5" t="s">
        <v>240</v>
      </c>
      <c r="CN253" s="5" t="s">
        <v>263</v>
      </c>
      <c r="CO253" s="5" t="s">
        <v>240</v>
      </c>
      <c r="CP253" s="5" t="s">
        <v>240</v>
      </c>
      <c r="CQ253" s="5">
        <v>0</v>
      </c>
      <c r="CR253" s="5" t="s">
        <v>306</v>
      </c>
      <c r="CS253" s="5" t="s">
        <v>307</v>
      </c>
      <c r="CT253" s="5" t="s">
        <v>307</v>
      </c>
      <c r="CU253" s="5" t="s">
        <v>260</v>
      </c>
      <c r="CX253" s="7">
        <f>188089</f>
        <v>188089</v>
      </c>
      <c r="CY253" s="7">
        <f>0</f>
        <v>0</v>
      </c>
      <c r="DA253" s="7">
        <f>0</f>
        <v>0</v>
      </c>
      <c r="DC253" s="5" t="s">
        <v>854</v>
      </c>
      <c r="DD253" s="5" t="s">
        <v>240</v>
      </c>
      <c r="DF253" s="5" t="s">
        <v>854</v>
      </c>
      <c r="DG253" s="7">
        <f>17099</f>
        <v>17099</v>
      </c>
      <c r="DH253" s="6" t="s">
        <v>774</v>
      </c>
      <c r="DI253" s="5" t="s">
        <v>737</v>
      </c>
      <c r="DJ253" s="5" t="s">
        <v>240</v>
      </c>
      <c r="DK253" s="5" t="s">
        <v>240</v>
      </c>
      <c r="DL253" s="5" t="s">
        <v>240</v>
      </c>
      <c r="DP253" s="5" t="s">
        <v>240</v>
      </c>
      <c r="DQ253" s="5" t="s">
        <v>240</v>
      </c>
      <c r="DR253" s="5" t="s">
        <v>240</v>
      </c>
      <c r="DS253" s="5" t="s">
        <v>240</v>
      </c>
      <c r="DV253" s="5" t="s">
        <v>859</v>
      </c>
      <c r="DW253" s="5" t="s">
        <v>621</v>
      </c>
      <c r="HO253" s="5" t="s">
        <v>312</v>
      </c>
    </row>
    <row r="254" spans="1:223" x14ac:dyDescent="0.4">
      <c r="A254" s="5">
        <v>988</v>
      </c>
      <c r="B254" s="5">
        <v>1</v>
      </c>
      <c r="C254" s="5">
        <v>1</v>
      </c>
      <c r="D254" s="5" t="s">
        <v>1500</v>
      </c>
      <c r="E254" s="5" t="s">
        <v>1325</v>
      </c>
      <c r="F254" s="5" t="s">
        <v>254</v>
      </c>
      <c r="G254" s="5" t="s">
        <v>240</v>
      </c>
      <c r="H254" s="6" t="s">
        <v>1529</v>
      </c>
      <c r="I254" s="5" t="s">
        <v>1499</v>
      </c>
      <c r="J254" s="8">
        <f>47</f>
        <v>47</v>
      </c>
      <c r="K254" s="5" t="s">
        <v>308</v>
      </c>
      <c r="L254" s="7">
        <f>23030</f>
        <v>23030</v>
      </c>
      <c r="M254" s="7">
        <f>23030</f>
        <v>23030</v>
      </c>
      <c r="N254" s="5" t="s">
        <v>242</v>
      </c>
      <c r="O254" s="5">
        <v>1</v>
      </c>
      <c r="P254" s="5" t="s">
        <v>294</v>
      </c>
      <c r="Q254" s="5" t="s">
        <v>613</v>
      </c>
      <c r="R254" s="5" t="s">
        <v>240</v>
      </c>
      <c r="S254" s="5" t="s">
        <v>240</v>
      </c>
      <c r="T254" s="5" t="s">
        <v>243</v>
      </c>
      <c r="U254" s="5" t="s">
        <v>724</v>
      </c>
      <c r="V254" s="5" t="s">
        <v>240</v>
      </c>
      <c r="Y254" s="5" t="s">
        <v>240</v>
      </c>
      <c r="Z254" s="6" t="s">
        <v>298</v>
      </c>
      <c r="AB254" s="6" t="s">
        <v>240</v>
      </c>
      <c r="AE254" s="6" t="s">
        <v>299</v>
      </c>
      <c r="AF254" s="5" t="s">
        <v>248</v>
      </c>
      <c r="AG254" s="5" t="s">
        <v>249</v>
      </c>
      <c r="AW254" s="5" t="s">
        <v>251</v>
      </c>
      <c r="AX254" s="5" t="s">
        <v>240</v>
      </c>
      <c r="AY254" s="5" t="s">
        <v>253</v>
      </c>
      <c r="AZ254" s="5" t="s">
        <v>240</v>
      </c>
      <c r="BA254" s="5" t="s">
        <v>255</v>
      </c>
      <c r="BB254" s="5" t="s">
        <v>240</v>
      </c>
      <c r="BD254" s="5" t="s">
        <v>842</v>
      </c>
      <c r="BF254" s="5" t="s">
        <v>301</v>
      </c>
      <c r="BG254" s="6" t="s">
        <v>299</v>
      </c>
      <c r="BH254" s="5" t="s">
        <v>302</v>
      </c>
      <c r="BI254" s="5" t="s">
        <v>303</v>
      </c>
      <c r="BJ254" s="5" t="s">
        <v>240</v>
      </c>
      <c r="BK254" s="8">
        <f>0</f>
        <v>0</v>
      </c>
      <c r="BL254" s="7">
        <f>0</f>
        <v>0</v>
      </c>
      <c r="BM254" s="5" t="s">
        <v>258</v>
      </c>
      <c r="BN254" s="5" t="s">
        <v>259</v>
      </c>
      <c r="CB254" s="5" t="s">
        <v>240</v>
      </c>
      <c r="CC254" s="5" t="s">
        <v>240</v>
      </c>
      <c r="CG254" s="5" t="s">
        <v>617</v>
      </c>
      <c r="CH254" s="5" t="s">
        <v>305</v>
      </c>
      <c r="CI254" s="5" t="s">
        <v>240</v>
      </c>
      <c r="CL254" s="6" t="s">
        <v>261</v>
      </c>
      <c r="CM254" s="5" t="s">
        <v>240</v>
      </c>
      <c r="CN254" s="5" t="s">
        <v>263</v>
      </c>
      <c r="CO254" s="5" t="s">
        <v>240</v>
      </c>
      <c r="CP254" s="5" t="s">
        <v>240</v>
      </c>
      <c r="CQ254" s="5">
        <v>0</v>
      </c>
      <c r="CR254" s="5" t="s">
        <v>306</v>
      </c>
      <c r="CS254" s="5" t="s">
        <v>307</v>
      </c>
      <c r="CT254" s="5" t="s">
        <v>307</v>
      </c>
      <c r="CU254" s="5" t="s">
        <v>260</v>
      </c>
      <c r="CX254" s="7">
        <f>278322</f>
        <v>278322</v>
      </c>
      <c r="CY254" s="7">
        <f>0</f>
        <v>0</v>
      </c>
      <c r="DA254" s="7">
        <f>0</f>
        <v>0</v>
      </c>
      <c r="DC254" s="5" t="s">
        <v>854</v>
      </c>
      <c r="DD254" s="5" t="s">
        <v>240</v>
      </c>
      <c r="DF254" s="5" t="s">
        <v>854</v>
      </c>
      <c r="DG254" s="7">
        <f>25302</f>
        <v>25302</v>
      </c>
      <c r="DH254" s="6" t="s">
        <v>774</v>
      </c>
      <c r="DI254" s="5" t="s">
        <v>737</v>
      </c>
      <c r="DJ254" s="5" t="s">
        <v>240</v>
      </c>
      <c r="DK254" s="5" t="s">
        <v>240</v>
      </c>
      <c r="DL254" s="5" t="s">
        <v>240</v>
      </c>
      <c r="DP254" s="5" t="s">
        <v>240</v>
      </c>
      <c r="DQ254" s="5" t="s">
        <v>240</v>
      </c>
      <c r="DR254" s="5" t="s">
        <v>240</v>
      </c>
      <c r="DS254" s="5" t="s">
        <v>240</v>
      </c>
      <c r="DV254" s="5" t="s">
        <v>859</v>
      </c>
      <c r="DW254" s="5" t="s">
        <v>312</v>
      </c>
      <c r="HO254" s="5" t="s">
        <v>312</v>
      </c>
    </row>
    <row r="255" spans="1:223" x14ac:dyDescent="0.4">
      <c r="A255" s="5">
        <v>989</v>
      </c>
      <c r="B255" s="5">
        <v>1</v>
      </c>
      <c r="C255" s="5">
        <v>1</v>
      </c>
      <c r="D255" s="5" t="s">
        <v>1500</v>
      </c>
      <c r="E255" s="5" t="s">
        <v>1325</v>
      </c>
      <c r="F255" s="5" t="s">
        <v>254</v>
      </c>
      <c r="G255" s="5" t="s">
        <v>240</v>
      </c>
      <c r="H255" s="6" t="s">
        <v>1528</v>
      </c>
      <c r="I255" s="5" t="s">
        <v>1499</v>
      </c>
      <c r="J255" s="8">
        <f>226</f>
        <v>226</v>
      </c>
      <c r="K255" s="5" t="s">
        <v>308</v>
      </c>
      <c r="L255" s="7">
        <f>110740</f>
        <v>110740</v>
      </c>
      <c r="M255" s="7">
        <f>110740</f>
        <v>110740</v>
      </c>
      <c r="N255" s="5" t="s">
        <v>242</v>
      </c>
      <c r="O255" s="5">
        <v>1</v>
      </c>
      <c r="P255" s="5" t="s">
        <v>294</v>
      </c>
      <c r="Q255" s="5" t="s">
        <v>613</v>
      </c>
      <c r="R255" s="5" t="s">
        <v>240</v>
      </c>
      <c r="S255" s="5" t="s">
        <v>240</v>
      </c>
      <c r="T255" s="5" t="s">
        <v>243</v>
      </c>
      <c r="U255" s="5" t="s">
        <v>724</v>
      </c>
      <c r="V255" s="5" t="s">
        <v>240</v>
      </c>
      <c r="Y255" s="5" t="s">
        <v>240</v>
      </c>
      <c r="Z255" s="6" t="s">
        <v>298</v>
      </c>
      <c r="AB255" s="6" t="s">
        <v>240</v>
      </c>
      <c r="AE255" s="6" t="s">
        <v>299</v>
      </c>
      <c r="AF255" s="5" t="s">
        <v>248</v>
      </c>
      <c r="AG255" s="5" t="s">
        <v>249</v>
      </c>
      <c r="AW255" s="5" t="s">
        <v>251</v>
      </c>
      <c r="AX255" s="5" t="s">
        <v>240</v>
      </c>
      <c r="AY255" s="5" t="s">
        <v>253</v>
      </c>
      <c r="AZ255" s="5" t="s">
        <v>240</v>
      </c>
      <c r="BA255" s="5" t="s">
        <v>255</v>
      </c>
      <c r="BB255" s="5" t="s">
        <v>240</v>
      </c>
      <c r="BD255" s="5" t="s">
        <v>240</v>
      </c>
      <c r="BF255" s="5" t="s">
        <v>301</v>
      </c>
      <c r="BG255" s="6" t="s">
        <v>299</v>
      </c>
      <c r="BH255" s="5" t="s">
        <v>302</v>
      </c>
      <c r="BI255" s="5" t="s">
        <v>303</v>
      </c>
      <c r="BJ255" s="5" t="s">
        <v>240</v>
      </c>
      <c r="BK255" s="8">
        <f>0</f>
        <v>0</v>
      </c>
      <c r="BL255" s="7">
        <f>0</f>
        <v>0</v>
      </c>
      <c r="BM255" s="5" t="s">
        <v>258</v>
      </c>
      <c r="BN255" s="5" t="s">
        <v>259</v>
      </c>
      <c r="CB255" s="5" t="s">
        <v>240</v>
      </c>
      <c r="CC255" s="5" t="s">
        <v>240</v>
      </c>
      <c r="CG255" s="5" t="s">
        <v>617</v>
      </c>
      <c r="CH255" s="5" t="s">
        <v>305</v>
      </c>
      <c r="CI255" s="5" t="s">
        <v>240</v>
      </c>
      <c r="CL255" s="6" t="s">
        <v>261</v>
      </c>
      <c r="CM255" s="5" t="s">
        <v>240</v>
      </c>
      <c r="CN255" s="5" t="s">
        <v>263</v>
      </c>
      <c r="CO255" s="5" t="s">
        <v>240</v>
      </c>
      <c r="CP255" s="5" t="s">
        <v>240</v>
      </c>
      <c r="CQ255" s="5">
        <v>0</v>
      </c>
      <c r="CR255" s="5" t="s">
        <v>306</v>
      </c>
      <c r="CS255" s="5" t="s">
        <v>307</v>
      </c>
      <c r="CT255" s="5" t="s">
        <v>307</v>
      </c>
      <c r="CU255" s="5" t="s">
        <v>260</v>
      </c>
      <c r="CX255" s="7">
        <f>12760</f>
        <v>12760</v>
      </c>
      <c r="CY255" s="7">
        <f>0</f>
        <v>0</v>
      </c>
      <c r="DA255" s="7">
        <f>0</f>
        <v>0</v>
      </c>
      <c r="DC255" s="5" t="s">
        <v>737</v>
      </c>
      <c r="DD255" s="5" t="s">
        <v>240</v>
      </c>
      <c r="DF255" s="5" t="s">
        <v>737</v>
      </c>
      <c r="DG255" s="7">
        <f>0</f>
        <v>0</v>
      </c>
      <c r="DI255" s="5" t="s">
        <v>737</v>
      </c>
      <c r="DJ255" s="5" t="s">
        <v>240</v>
      </c>
      <c r="DK255" s="5" t="s">
        <v>240</v>
      </c>
      <c r="DL255" s="5" t="s">
        <v>240</v>
      </c>
      <c r="DP255" s="5" t="s">
        <v>240</v>
      </c>
      <c r="DQ255" s="5" t="s">
        <v>240</v>
      </c>
      <c r="DR255" s="5" t="s">
        <v>240</v>
      </c>
      <c r="DS255" s="5" t="s">
        <v>240</v>
      </c>
      <c r="DV255" s="5" t="s">
        <v>867</v>
      </c>
      <c r="DW255" s="5" t="s">
        <v>312</v>
      </c>
      <c r="HO255" s="5" t="s">
        <v>312</v>
      </c>
    </row>
    <row r="256" spans="1:223" x14ac:dyDescent="0.4">
      <c r="A256" s="5">
        <v>990</v>
      </c>
      <c r="B256" s="5">
        <v>1</v>
      </c>
      <c r="C256" s="5">
        <v>1</v>
      </c>
      <c r="D256" s="5" t="s">
        <v>1500</v>
      </c>
      <c r="E256" s="5" t="s">
        <v>1325</v>
      </c>
      <c r="F256" s="5" t="s">
        <v>254</v>
      </c>
      <c r="G256" s="5" t="s">
        <v>240</v>
      </c>
      <c r="H256" s="6" t="s">
        <v>1527</v>
      </c>
      <c r="I256" s="5" t="s">
        <v>1499</v>
      </c>
      <c r="J256" s="8">
        <f>107</f>
        <v>107</v>
      </c>
      <c r="K256" s="5" t="s">
        <v>308</v>
      </c>
      <c r="L256" s="7">
        <f>52430</f>
        <v>52430</v>
      </c>
      <c r="M256" s="7">
        <f>52430</f>
        <v>52430</v>
      </c>
      <c r="N256" s="5" t="s">
        <v>242</v>
      </c>
      <c r="O256" s="5">
        <v>1</v>
      </c>
      <c r="P256" s="5" t="s">
        <v>294</v>
      </c>
      <c r="Q256" s="5" t="s">
        <v>613</v>
      </c>
      <c r="R256" s="5" t="s">
        <v>240</v>
      </c>
      <c r="S256" s="5" t="s">
        <v>240</v>
      </c>
      <c r="T256" s="5" t="s">
        <v>243</v>
      </c>
      <c r="U256" s="5" t="s">
        <v>724</v>
      </c>
      <c r="V256" s="5" t="s">
        <v>240</v>
      </c>
      <c r="Y256" s="5" t="s">
        <v>240</v>
      </c>
      <c r="Z256" s="6" t="s">
        <v>298</v>
      </c>
      <c r="AB256" s="6" t="s">
        <v>240</v>
      </c>
      <c r="AE256" s="6" t="s">
        <v>299</v>
      </c>
      <c r="AF256" s="5" t="s">
        <v>248</v>
      </c>
      <c r="AG256" s="5" t="s">
        <v>249</v>
      </c>
      <c r="AW256" s="5" t="s">
        <v>251</v>
      </c>
      <c r="AX256" s="5" t="s">
        <v>240</v>
      </c>
      <c r="AY256" s="5" t="s">
        <v>253</v>
      </c>
      <c r="AZ256" s="5" t="s">
        <v>240</v>
      </c>
      <c r="BA256" s="5" t="s">
        <v>255</v>
      </c>
      <c r="BB256" s="5" t="s">
        <v>240</v>
      </c>
      <c r="BD256" s="5" t="s">
        <v>240</v>
      </c>
      <c r="BF256" s="5" t="s">
        <v>301</v>
      </c>
      <c r="BG256" s="6" t="s">
        <v>299</v>
      </c>
      <c r="BH256" s="5" t="s">
        <v>302</v>
      </c>
      <c r="BI256" s="5" t="s">
        <v>303</v>
      </c>
      <c r="BJ256" s="5" t="s">
        <v>240</v>
      </c>
      <c r="BK256" s="8">
        <f>0</f>
        <v>0</v>
      </c>
      <c r="BL256" s="7">
        <f>0</f>
        <v>0</v>
      </c>
      <c r="BM256" s="5" t="s">
        <v>258</v>
      </c>
      <c r="BN256" s="5" t="s">
        <v>259</v>
      </c>
      <c r="CB256" s="5" t="s">
        <v>240</v>
      </c>
      <c r="CC256" s="5" t="s">
        <v>240</v>
      </c>
      <c r="CG256" s="5" t="s">
        <v>617</v>
      </c>
      <c r="CH256" s="5" t="s">
        <v>305</v>
      </c>
      <c r="CI256" s="5" t="s">
        <v>240</v>
      </c>
      <c r="CL256" s="6" t="s">
        <v>261</v>
      </c>
      <c r="CM256" s="5" t="s">
        <v>240</v>
      </c>
      <c r="CN256" s="5" t="s">
        <v>263</v>
      </c>
      <c r="CO256" s="5" t="s">
        <v>240</v>
      </c>
      <c r="CP256" s="5" t="s">
        <v>240</v>
      </c>
      <c r="CQ256" s="5">
        <v>0</v>
      </c>
      <c r="CR256" s="5" t="s">
        <v>306</v>
      </c>
      <c r="CS256" s="5" t="s">
        <v>307</v>
      </c>
      <c r="CT256" s="5" t="s">
        <v>307</v>
      </c>
      <c r="CU256" s="5" t="s">
        <v>260</v>
      </c>
      <c r="CX256" s="7">
        <f>90233</f>
        <v>90233</v>
      </c>
      <c r="CY256" s="7">
        <f>0</f>
        <v>0</v>
      </c>
      <c r="DA256" s="7">
        <f>0</f>
        <v>0</v>
      </c>
      <c r="DC256" s="5" t="s">
        <v>450</v>
      </c>
      <c r="DD256" s="5" t="s">
        <v>240</v>
      </c>
      <c r="DF256" s="5" t="s">
        <v>854</v>
      </c>
      <c r="DG256" s="7">
        <f>8203</f>
        <v>8203</v>
      </c>
      <c r="DI256" s="5" t="s">
        <v>737</v>
      </c>
      <c r="DJ256" s="5" t="s">
        <v>240</v>
      </c>
      <c r="DK256" s="5" t="s">
        <v>240</v>
      </c>
      <c r="DL256" s="5" t="s">
        <v>240</v>
      </c>
      <c r="DP256" s="5" t="s">
        <v>240</v>
      </c>
      <c r="DQ256" s="5" t="s">
        <v>240</v>
      </c>
      <c r="DR256" s="5" t="s">
        <v>240</v>
      </c>
      <c r="DS256" s="5" t="s">
        <v>240</v>
      </c>
      <c r="DV256" s="5" t="s">
        <v>870</v>
      </c>
      <c r="DW256" s="5" t="s">
        <v>620</v>
      </c>
      <c r="HO256" s="5" t="s">
        <v>312</v>
      </c>
    </row>
    <row r="257" spans="1:223" x14ac:dyDescent="0.4">
      <c r="A257" s="5">
        <v>991</v>
      </c>
      <c r="B257" s="5">
        <v>1</v>
      </c>
      <c r="C257" s="5">
        <v>1</v>
      </c>
      <c r="D257" s="5" t="s">
        <v>1500</v>
      </c>
      <c r="E257" s="5" t="s">
        <v>1325</v>
      </c>
      <c r="F257" s="5" t="s">
        <v>254</v>
      </c>
      <c r="G257" s="5" t="s">
        <v>240</v>
      </c>
      <c r="H257" s="6" t="s">
        <v>1525</v>
      </c>
      <c r="I257" s="5" t="s">
        <v>1499</v>
      </c>
      <c r="J257" s="8">
        <f>9.23</f>
        <v>9.23</v>
      </c>
      <c r="K257" s="5" t="s">
        <v>308</v>
      </c>
      <c r="L257" s="7">
        <f>396</f>
        <v>396</v>
      </c>
      <c r="M257" s="7">
        <f>396</f>
        <v>396</v>
      </c>
      <c r="N257" s="5" t="s">
        <v>242</v>
      </c>
      <c r="O257" s="5">
        <v>1</v>
      </c>
      <c r="P257" s="5" t="s">
        <v>294</v>
      </c>
      <c r="Q257" s="5" t="s">
        <v>613</v>
      </c>
      <c r="R257" s="5" t="s">
        <v>240</v>
      </c>
      <c r="S257" s="5" t="s">
        <v>240</v>
      </c>
      <c r="T257" s="5" t="s">
        <v>243</v>
      </c>
      <c r="U257" s="5" t="s">
        <v>724</v>
      </c>
      <c r="V257" s="5" t="s">
        <v>240</v>
      </c>
      <c r="Y257" s="5" t="s">
        <v>240</v>
      </c>
      <c r="Z257" s="6" t="s">
        <v>298</v>
      </c>
      <c r="AB257" s="6" t="s">
        <v>240</v>
      </c>
      <c r="AE257" s="6" t="s">
        <v>299</v>
      </c>
      <c r="AF257" s="5" t="s">
        <v>248</v>
      </c>
      <c r="AG257" s="5" t="s">
        <v>249</v>
      </c>
      <c r="AW257" s="5" t="s">
        <v>251</v>
      </c>
      <c r="AX257" s="5" t="s">
        <v>240</v>
      </c>
      <c r="AY257" s="5" t="s">
        <v>253</v>
      </c>
      <c r="AZ257" s="5" t="s">
        <v>240</v>
      </c>
      <c r="BA257" s="5" t="s">
        <v>255</v>
      </c>
      <c r="BB257" s="5" t="s">
        <v>240</v>
      </c>
      <c r="BD257" s="5" t="s">
        <v>240</v>
      </c>
      <c r="BF257" s="5" t="s">
        <v>301</v>
      </c>
      <c r="BG257" s="6" t="s">
        <v>299</v>
      </c>
      <c r="BH257" s="5" t="s">
        <v>302</v>
      </c>
      <c r="BI257" s="5" t="s">
        <v>303</v>
      </c>
      <c r="BJ257" s="5" t="s">
        <v>240</v>
      </c>
      <c r="BK257" s="8">
        <f>0</f>
        <v>0</v>
      </c>
      <c r="BL257" s="7">
        <f>0</f>
        <v>0</v>
      </c>
      <c r="BM257" s="5" t="s">
        <v>258</v>
      </c>
      <c r="BN257" s="5" t="s">
        <v>259</v>
      </c>
      <c r="CB257" s="5" t="s">
        <v>240</v>
      </c>
      <c r="CC257" s="5" t="s">
        <v>240</v>
      </c>
      <c r="CG257" s="5" t="s">
        <v>617</v>
      </c>
      <c r="CH257" s="5" t="s">
        <v>305</v>
      </c>
      <c r="CI257" s="5" t="s">
        <v>240</v>
      </c>
      <c r="CL257" s="6" t="s">
        <v>261</v>
      </c>
      <c r="CM257" s="5" t="s">
        <v>240</v>
      </c>
      <c r="CN257" s="5" t="s">
        <v>263</v>
      </c>
      <c r="CO257" s="5" t="s">
        <v>240</v>
      </c>
      <c r="CP257" s="5" t="s">
        <v>240</v>
      </c>
      <c r="CQ257" s="5">
        <v>0</v>
      </c>
      <c r="CR257" s="5" t="s">
        <v>306</v>
      </c>
      <c r="CS257" s="5" t="s">
        <v>307</v>
      </c>
      <c r="CT257" s="5" t="s">
        <v>307</v>
      </c>
      <c r="CU257" s="5" t="s">
        <v>260</v>
      </c>
      <c r="CX257" s="7">
        <f>114587</f>
        <v>114587</v>
      </c>
      <c r="CY257" s="7">
        <f>0</f>
        <v>0</v>
      </c>
      <c r="DA257" s="7">
        <f>0</f>
        <v>0</v>
      </c>
      <c r="DC257" s="5" t="s">
        <v>450</v>
      </c>
      <c r="DD257" s="5" t="s">
        <v>240</v>
      </c>
      <c r="DF257" s="5" t="s">
        <v>854</v>
      </c>
      <c r="DG257" s="7">
        <f>10417</f>
        <v>10417</v>
      </c>
      <c r="DI257" s="5" t="s">
        <v>737</v>
      </c>
      <c r="DJ257" s="5" t="s">
        <v>240</v>
      </c>
      <c r="DK257" s="5" t="s">
        <v>240</v>
      </c>
      <c r="DL257" s="5" t="s">
        <v>240</v>
      </c>
      <c r="DP257" s="5" t="s">
        <v>240</v>
      </c>
      <c r="DQ257" s="5" t="s">
        <v>240</v>
      </c>
      <c r="DR257" s="5" t="s">
        <v>240</v>
      </c>
      <c r="DS257" s="5" t="s">
        <v>240</v>
      </c>
      <c r="DV257" s="5" t="s">
        <v>870</v>
      </c>
      <c r="DW257" s="5" t="s">
        <v>621</v>
      </c>
      <c r="HO257" s="5" t="s">
        <v>312</v>
      </c>
    </row>
    <row r="258" spans="1:223" x14ac:dyDescent="0.4">
      <c r="A258" s="5">
        <v>992</v>
      </c>
      <c r="B258" s="5">
        <v>1</v>
      </c>
      <c r="C258" s="5">
        <v>1</v>
      </c>
      <c r="D258" s="5" t="s">
        <v>1500</v>
      </c>
      <c r="E258" s="5" t="s">
        <v>1325</v>
      </c>
      <c r="F258" s="5" t="s">
        <v>254</v>
      </c>
      <c r="G258" s="5" t="s">
        <v>240</v>
      </c>
      <c r="H258" s="6" t="s">
        <v>1524</v>
      </c>
      <c r="I258" s="5" t="s">
        <v>1499</v>
      </c>
      <c r="J258" s="8">
        <f>17</f>
        <v>17</v>
      </c>
      <c r="K258" s="5" t="s">
        <v>308</v>
      </c>
      <c r="L258" s="7">
        <f>8330</f>
        <v>8330</v>
      </c>
      <c r="M258" s="7">
        <f>8330</f>
        <v>8330</v>
      </c>
      <c r="N258" s="5" t="s">
        <v>242</v>
      </c>
      <c r="O258" s="5">
        <v>1</v>
      </c>
      <c r="P258" s="5" t="s">
        <v>294</v>
      </c>
      <c r="Q258" s="5" t="s">
        <v>613</v>
      </c>
      <c r="R258" s="5" t="s">
        <v>240</v>
      </c>
      <c r="S258" s="5" t="s">
        <v>240</v>
      </c>
      <c r="T258" s="5" t="s">
        <v>243</v>
      </c>
      <c r="U258" s="5" t="s">
        <v>724</v>
      </c>
      <c r="V258" s="5" t="s">
        <v>240</v>
      </c>
      <c r="Y258" s="5" t="s">
        <v>240</v>
      </c>
      <c r="Z258" s="6" t="s">
        <v>298</v>
      </c>
      <c r="AB258" s="6" t="s">
        <v>240</v>
      </c>
      <c r="AE258" s="6" t="s">
        <v>299</v>
      </c>
      <c r="AF258" s="5" t="s">
        <v>248</v>
      </c>
      <c r="AG258" s="5" t="s">
        <v>249</v>
      </c>
      <c r="AW258" s="5" t="s">
        <v>251</v>
      </c>
      <c r="AX258" s="5" t="s">
        <v>240</v>
      </c>
      <c r="AY258" s="5" t="s">
        <v>253</v>
      </c>
      <c r="AZ258" s="5" t="s">
        <v>240</v>
      </c>
      <c r="BA258" s="5" t="s">
        <v>255</v>
      </c>
      <c r="BB258" s="5" t="s">
        <v>240</v>
      </c>
      <c r="BD258" s="5" t="s">
        <v>842</v>
      </c>
      <c r="BF258" s="5" t="s">
        <v>301</v>
      </c>
      <c r="BG258" s="6" t="s">
        <v>299</v>
      </c>
      <c r="BH258" s="5" t="s">
        <v>302</v>
      </c>
      <c r="BI258" s="5" t="s">
        <v>303</v>
      </c>
      <c r="BJ258" s="5" t="s">
        <v>240</v>
      </c>
      <c r="BK258" s="8">
        <f>0</f>
        <v>0</v>
      </c>
      <c r="BL258" s="7">
        <f>0</f>
        <v>0</v>
      </c>
      <c r="BM258" s="5" t="s">
        <v>258</v>
      </c>
      <c r="BN258" s="5" t="s">
        <v>259</v>
      </c>
      <c r="CB258" s="5" t="s">
        <v>240</v>
      </c>
      <c r="CC258" s="5" t="s">
        <v>240</v>
      </c>
      <c r="CG258" s="5" t="s">
        <v>617</v>
      </c>
      <c r="CH258" s="5" t="s">
        <v>305</v>
      </c>
      <c r="CI258" s="5" t="s">
        <v>240</v>
      </c>
      <c r="CL258" s="6" t="s">
        <v>261</v>
      </c>
      <c r="CM258" s="5" t="s">
        <v>240</v>
      </c>
      <c r="CN258" s="5" t="s">
        <v>263</v>
      </c>
      <c r="CO258" s="5" t="s">
        <v>240</v>
      </c>
      <c r="CP258" s="5" t="s">
        <v>240</v>
      </c>
      <c r="CQ258" s="5">
        <v>0</v>
      </c>
      <c r="CR258" s="5" t="s">
        <v>306</v>
      </c>
      <c r="CS258" s="5" t="s">
        <v>307</v>
      </c>
      <c r="CT258" s="5" t="s">
        <v>307</v>
      </c>
      <c r="CU258" s="5" t="s">
        <v>260</v>
      </c>
      <c r="CX258" s="7">
        <f>146421</f>
        <v>146421</v>
      </c>
      <c r="CY258" s="7">
        <f>0</f>
        <v>0</v>
      </c>
      <c r="DA258" s="7">
        <f>0</f>
        <v>0</v>
      </c>
      <c r="DC258" s="5" t="s">
        <v>450</v>
      </c>
      <c r="DD258" s="5" t="s">
        <v>240</v>
      </c>
      <c r="DF258" s="5" t="s">
        <v>854</v>
      </c>
      <c r="DG258" s="7">
        <f>13311</f>
        <v>13311</v>
      </c>
      <c r="DI258" s="5" t="s">
        <v>737</v>
      </c>
      <c r="DJ258" s="5" t="s">
        <v>240</v>
      </c>
      <c r="DK258" s="5" t="s">
        <v>240</v>
      </c>
      <c r="DL258" s="5" t="s">
        <v>240</v>
      </c>
      <c r="DP258" s="5" t="s">
        <v>240</v>
      </c>
      <c r="DQ258" s="5" t="s">
        <v>240</v>
      </c>
      <c r="DR258" s="5" t="s">
        <v>240</v>
      </c>
      <c r="DS258" s="5" t="s">
        <v>240</v>
      </c>
      <c r="DV258" s="5" t="s">
        <v>870</v>
      </c>
      <c r="DW258" s="5" t="s">
        <v>312</v>
      </c>
      <c r="HO258" s="5" t="s">
        <v>312</v>
      </c>
    </row>
    <row r="259" spans="1:223" x14ac:dyDescent="0.4">
      <c r="A259" s="5">
        <v>993</v>
      </c>
      <c r="B259" s="5">
        <v>1</v>
      </c>
      <c r="C259" s="5">
        <v>1</v>
      </c>
      <c r="D259" s="5" t="s">
        <v>1500</v>
      </c>
      <c r="E259" s="5" t="s">
        <v>1325</v>
      </c>
      <c r="F259" s="5" t="s">
        <v>254</v>
      </c>
      <c r="G259" s="5" t="s">
        <v>240</v>
      </c>
      <c r="H259" s="6" t="s">
        <v>1523</v>
      </c>
      <c r="I259" s="5" t="s">
        <v>1499</v>
      </c>
      <c r="J259" s="8">
        <f>11</f>
        <v>11</v>
      </c>
      <c r="K259" s="5" t="s">
        <v>308</v>
      </c>
      <c r="L259" s="7">
        <f>5390</f>
        <v>5390</v>
      </c>
      <c r="M259" s="7">
        <f>5390</f>
        <v>5390</v>
      </c>
      <c r="N259" s="5" t="s">
        <v>242</v>
      </c>
      <c r="O259" s="5">
        <v>1</v>
      </c>
      <c r="P259" s="5" t="s">
        <v>294</v>
      </c>
      <c r="Q259" s="5" t="s">
        <v>613</v>
      </c>
      <c r="R259" s="5" t="s">
        <v>240</v>
      </c>
      <c r="S259" s="5" t="s">
        <v>240</v>
      </c>
      <c r="T259" s="5" t="s">
        <v>243</v>
      </c>
      <c r="U259" s="5" t="s">
        <v>724</v>
      </c>
      <c r="V259" s="5" t="s">
        <v>240</v>
      </c>
      <c r="Y259" s="5" t="s">
        <v>240</v>
      </c>
      <c r="Z259" s="6" t="s">
        <v>298</v>
      </c>
      <c r="AB259" s="6" t="s">
        <v>240</v>
      </c>
      <c r="AE259" s="6" t="s">
        <v>299</v>
      </c>
      <c r="AF259" s="5" t="s">
        <v>248</v>
      </c>
      <c r="AG259" s="5" t="s">
        <v>249</v>
      </c>
      <c r="AW259" s="5" t="s">
        <v>251</v>
      </c>
      <c r="AX259" s="5" t="s">
        <v>240</v>
      </c>
      <c r="AY259" s="5" t="s">
        <v>253</v>
      </c>
      <c r="AZ259" s="5" t="s">
        <v>240</v>
      </c>
      <c r="BA259" s="5" t="s">
        <v>255</v>
      </c>
      <c r="BB259" s="5" t="s">
        <v>240</v>
      </c>
      <c r="BD259" s="5" t="s">
        <v>842</v>
      </c>
      <c r="BF259" s="5" t="s">
        <v>301</v>
      </c>
      <c r="BG259" s="6" t="s">
        <v>299</v>
      </c>
      <c r="BH259" s="5" t="s">
        <v>302</v>
      </c>
      <c r="BI259" s="5" t="s">
        <v>303</v>
      </c>
      <c r="BJ259" s="5" t="s">
        <v>240</v>
      </c>
      <c r="BK259" s="8">
        <f>0</f>
        <v>0</v>
      </c>
      <c r="BL259" s="7">
        <f>0</f>
        <v>0</v>
      </c>
      <c r="BM259" s="5" t="s">
        <v>258</v>
      </c>
      <c r="BN259" s="5" t="s">
        <v>259</v>
      </c>
      <c r="CB259" s="5" t="s">
        <v>240</v>
      </c>
      <c r="CC259" s="5" t="s">
        <v>240</v>
      </c>
      <c r="CG259" s="5" t="s">
        <v>617</v>
      </c>
      <c r="CH259" s="5" t="s">
        <v>305</v>
      </c>
      <c r="CI259" s="5" t="s">
        <v>240</v>
      </c>
      <c r="CL259" s="6" t="s">
        <v>261</v>
      </c>
      <c r="CM259" s="5" t="s">
        <v>240</v>
      </c>
      <c r="CN259" s="5" t="s">
        <v>263</v>
      </c>
      <c r="CO259" s="5" t="s">
        <v>240</v>
      </c>
      <c r="CP259" s="5" t="s">
        <v>240</v>
      </c>
      <c r="CQ259" s="5">
        <v>0</v>
      </c>
      <c r="CR259" s="5" t="s">
        <v>306</v>
      </c>
      <c r="CS259" s="5" t="s">
        <v>307</v>
      </c>
      <c r="CT259" s="5" t="s">
        <v>307</v>
      </c>
      <c r="CU259" s="5" t="s">
        <v>260</v>
      </c>
      <c r="CX259" s="7">
        <f>56452</f>
        <v>56452</v>
      </c>
      <c r="CY259" s="7">
        <f>0</f>
        <v>0</v>
      </c>
      <c r="DA259" s="7">
        <f>0</f>
        <v>0</v>
      </c>
      <c r="DC259" s="5" t="s">
        <v>450</v>
      </c>
      <c r="DD259" s="5" t="s">
        <v>240</v>
      </c>
      <c r="DF259" s="5" t="s">
        <v>854</v>
      </c>
      <c r="DG259" s="7">
        <f>5132</f>
        <v>5132</v>
      </c>
      <c r="DI259" s="5" t="s">
        <v>737</v>
      </c>
      <c r="DJ259" s="5" t="s">
        <v>240</v>
      </c>
      <c r="DK259" s="5" t="s">
        <v>240</v>
      </c>
      <c r="DL259" s="5" t="s">
        <v>240</v>
      </c>
      <c r="DP259" s="5" t="s">
        <v>240</v>
      </c>
      <c r="DQ259" s="5" t="s">
        <v>240</v>
      </c>
      <c r="DR259" s="5" t="s">
        <v>240</v>
      </c>
      <c r="DS259" s="5" t="s">
        <v>240</v>
      </c>
      <c r="DV259" s="5" t="s">
        <v>876</v>
      </c>
      <c r="DW259" s="5" t="s">
        <v>312</v>
      </c>
      <c r="HO259" s="5" t="s">
        <v>312</v>
      </c>
    </row>
    <row r="260" spans="1:223" x14ac:dyDescent="0.4">
      <c r="A260" s="5">
        <v>994</v>
      </c>
      <c r="B260" s="5">
        <v>1</v>
      </c>
      <c r="C260" s="5">
        <v>1</v>
      </c>
      <c r="D260" s="5" t="s">
        <v>1500</v>
      </c>
      <c r="E260" s="5" t="s">
        <v>1325</v>
      </c>
      <c r="F260" s="5" t="s">
        <v>254</v>
      </c>
      <c r="G260" s="5" t="s">
        <v>240</v>
      </c>
      <c r="H260" s="6" t="s">
        <v>1522</v>
      </c>
      <c r="I260" s="5" t="s">
        <v>1499</v>
      </c>
      <c r="J260" s="8">
        <f>223</f>
        <v>223</v>
      </c>
      <c r="K260" s="5" t="s">
        <v>308</v>
      </c>
      <c r="L260" s="7">
        <f>109270</f>
        <v>109270</v>
      </c>
      <c r="M260" s="7">
        <f>109270</f>
        <v>109270</v>
      </c>
      <c r="N260" s="5" t="s">
        <v>242</v>
      </c>
      <c r="O260" s="5">
        <v>1</v>
      </c>
      <c r="P260" s="5" t="s">
        <v>294</v>
      </c>
      <c r="Q260" s="5" t="s">
        <v>613</v>
      </c>
      <c r="R260" s="5" t="s">
        <v>240</v>
      </c>
      <c r="S260" s="5" t="s">
        <v>240</v>
      </c>
      <c r="T260" s="5" t="s">
        <v>243</v>
      </c>
      <c r="U260" s="5" t="s">
        <v>724</v>
      </c>
      <c r="V260" s="5" t="s">
        <v>240</v>
      </c>
      <c r="Y260" s="5" t="s">
        <v>240</v>
      </c>
      <c r="Z260" s="6" t="s">
        <v>298</v>
      </c>
      <c r="AB260" s="6" t="s">
        <v>240</v>
      </c>
      <c r="AE260" s="6" t="s">
        <v>299</v>
      </c>
      <c r="AF260" s="5" t="s">
        <v>248</v>
      </c>
      <c r="AG260" s="5" t="s">
        <v>249</v>
      </c>
      <c r="AW260" s="5" t="s">
        <v>251</v>
      </c>
      <c r="AX260" s="5" t="s">
        <v>240</v>
      </c>
      <c r="AY260" s="5" t="s">
        <v>253</v>
      </c>
      <c r="AZ260" s="5" t="s">
        <v>240</v>
      </c>
      <c r="BA260" s="5" t="s">
        <v>255</v>
      </c>
      <c r="BB260" s="5" t="s">
        <v>240</v>
      </c>
      <c r="BD260" s="5" t="s">
        <v>842</v>
      </c>
      <c r="BF260" s="5" t="s">
        <v>301</v>
      </c>
      <c r="BG260" s="6" t="s">
        <v>299</v>
      </c>
      <c r="BH260" s="5" t="s">
        <v>302</v>
      </c>
      <c r="BI260" s="5" t="s">
        <v>303</v>
      </c>
      <c r="BJ260" s="5" t="s">
        <v>240</v>
      </c>
      <c r="BK260" s="8">
        <f>0</f>
        <v>0</v>
      </c>
      <c r="BL260" s="7">
        <f>0</f>
        <v>0</v>
      </c>
      <c r="BM260" s="5" t="s">
        <v>258</v>
      </c>
      <c r="BN260" s="5" t="s">
        <v>259</v>
      </c>
      <c r="CB260" s="5" t="s">
        <v>240</v>
      </c>
      <c r="CC260" s="5" t="s">
        <v>240</v>
      </c>
      <c r="CG260" s="5" t="s">
        <v>617</v>
      </c>
      <c r="CH260" s="5" t="s">
        <v>305</v>
      </c>
      <c r="CI260" s="5" t="s">
        <v>240</v>
      </c>
      <c r="CL260" s="6" t="s">
        <v>261</v>
      </c>
      <c r="CM260" s="5" t="s">
        <v>240</v>
      </c>
      <c r="CN260" s="5" t="s">
        <v>263</v>
      </c>
      <c r="CO260" s="5" t="s">
        <v>240</v>
      </c>
      <c r="CP260" s="5" t="s">
        <v>240</v>
      </c>
      <c r="CQ260" s="5">
        <v>0</v>
      </c>
      <c r="CR260" s="5" t="s">
        <v>306</v>
      </c>
      <c r="CS260" s="5" t="s">
        <v>307</v>
      </c>
      <c r="CT260" s="5" t="s">
        <v>307</v>
      </c>
      <c r="CU260" s="5" t="s">
        <v>260</v>
      </c>
      <c r="CX260" s="7">
        <f>10791</f>
        <v>10791</v>
      </c>
      <c r="CY260" s="7">
        <f>0</f>
        <v>0</v>
      </c>
      <c r="DA260" s="7">
        <f>0</f>
        <v>0</v>
      </c>
      <c r="DC260" s="5" t="s">
        <v>450</v>
      </c>
      <c r="DD260" s="5" t="s">
        <v>240</v>
      </c>
      <c r="DF260" s="5" t="s">
        <v>450</v>
      </c>
      <c r="DG260" s="7">
        <f>0</f>
        <v>0</v>
      </c>
      <c r="DI260" s="5" t="s">
        <v>737</v>
      </c>
      <c r="DJ260" s="5" t="s">
        <v>240</v>
      </c>
      <c r="DK260" s="5" t="s">
        <v>240</v>
      </c>
      <c r="DL260" s="5" t="s">
        <v>240</v>
      </c>
      <c r="DP260" s="5" t="s">
        <v>240</v>
      </c>
      <c r="DQ260" s="5" t="s">
        <v>240</v>
      </c>
      <c r="DR260" s="5" t="s">
        <v>240</v>
      </c>
      <c r="DS260" s="5" t="s">
        <v>240</v>
      </c>
      <c r="DV260" s="5" t="s">
        <v>879</v>
      </c>
      <c r="DW260" s="5" t="s">
        <v>312</v>
      </c>
      <c r="HO260" s="5" t="s">
        <v>312</v>
      </c>
    </row>
    <row r="261" spans="1:223" x14ac:dyDescent="0.4">
      <c r="A261" s="5">
        <v>995</v>
      </c>
      <c r="B261" s="5">
        <v>1</v>
      </c>
      <c r="C261" s="5">
        <v>1</v>
      </c>
      <c r="D261" s="5" t="s">
        <v>1500</v>
      </c>
      <c r="E261" s="5" t="s">
        <v>1325</v>
      </c>
      <c r="F261" s="5" t="s">
        <v>254</v>
      </c>
      <c r="G261" s="5" t="s">
        <v>240</v>
      </c>
      <c r="H261" s="6" t="s">
        <v>1521</v>
      </c>
      <c r="I261" s="5" t="s">
        <v>1499</v>
      </c>
      <c r="J261" s="8">
        <f>13</f>
        <v>13</v>
      </c>
      <c r="K261" s="5" t="s">
        <v>308</v>
      </c>
      <c r="L261" s="7">
        <f>6370</f>
        <v>6370</v>
      </c>
      <c r="M261" s="7">
        <f>6370</f>
        <v>6370</v>
      </c>
      <c r="N261" s="5" t="s">
        <v>242</v>
      </c>
      <c r="O261" s="5">
        <v>1</v>
      </c>
      <c r="P261" s="5" t="s">
        <v>294</v>
      </c>
      <c r="Q261" s="5" t="s">
        <v>613</v>
      </c>
      <c r="R261" s="5" t="s">
        <v>240</v>
      </c>
      <c r="S261" s="5" t="s">
        <v>240</v>
      </c>
      <c r="T261" s="5" t="s">
        <v>243</v>
      </c>
      <c r="U261" s="5" t="s">
        <v>724</v>
      </c>
      <c r="V261" s="5" t="s">
        <v>240</v>
      </c>
      <c r="Y261" s="5" t="s">
        <v>240</v>
      </c>
      <c r="Z261" s="6" t="s">
        <v>298</v>
      </c>
      <c r="AB261" s="6" t="s">
        <v>240</v>
      </c>
      <c r="AE261" s="6" t="s">
        <v>299</v>
      </c>
      <c r="AF261" s="5" t="s">
        <v>248</v>
      </c>
      <c r="AG261" s="5" t="s">
        <v>249</v>
      </c>
      <c r="AW261" s="5" t="s">
        <v>251</v>
      </c>
      <c r="AX261" s="5" t="s">
        <v>240</v>
      </c>
      <c r="AY261" s="5" t="s">
        <v>253</v>
      </c>
      <c r="AZ261" s="5" t="s">
        <v>240</v>
      </c>
      <c r="BA261" s="5" t="s">
        <v>255</v>
      </c>
      <c r="BB261" s="5" t="s">
        <v>240</v>
      </c>
      <c r="BD261" s="5" t="s">
        <v>842</v>
      </c>
      <c r="BF261" s="5" t="s">
        <v>301</v>
      </c>
      <c r="BG261" s="6" t="s">
        <v>299</v>
      </c>
      <c r="BH261" s="5" t="s">
        <v>302</v>
      </c>
      <c r="BI261" s="5" t="s">
        <v>303</v>
      </c>
      <c r="BJ261" s="5" t="s">
        <v>240</v>
      </c>
      <c r="BK261" s="8">
        <f>0</f>
        <v>0</v>
      </c>
      <c r="BL261" s="7">
        <f>0</f>
        <v>0</v>
      </c>
      <c r="BM261" s="5" t="s">
        <v>258</v>
      </c>
      <c r="BN261" s="5" t="s">
        <v>259</v>
      </c>
      <c r="CB261" s="5" t="s">
        <v>240</v>
      </c>
      <c r="CC261" s="5" t="s">
        <v>240</v>
      </c>
      <c r="CG261" s="5" t="s">
        <v>617</v>
      </c>
      <c r="CH261" s="5" t="s">
        <v>305</v>
      </c>
      <c r="CI261" s="5" t="s">
        <v>240</v>
      </c>
      <c r="CL261" s="6" t="s">
        <v>261</v>
      </c>
      <c r="CM261" s="5" t="s">
        <v>240</v>
      </c>
      <c r="CN261" s="5" t="s">
        <v>263</v>
      </c>
      <c r="CO261" s="5" t="s">
        <v>240</v>
      </c>
      <c r="CP261" s="5" t="s">
        <v>240</v>
      </c>
      <c r="CQ261" s="5">
        <v>0</v>
      </c>
      <c r="CR261" s="5" t="s">
        <v>306</v>
      </c>
      <c r="CS261" s="5" t="s">
        <v>307</v>
      </c>
      <c r="CT261" s="5" t="s">
        <v>307</v>
      </c>
      <c r="CU261" s="5" t="s">
        <v>260</v>
      </c>
      <c r="CX261" s="7">
        <f>1860068</f>
        <v>1860068</v>
      </c>
      <c r="CY261" s="7">
        <f>0</f>
        <v>0</v>
      </c>
      <c r="DA261" s="7">
        <f>0</f>
        <v>0</v>
      </c>
      <c r="DC261" s="5" t="s">
        <v>450</v>
      </c>
      <c r="DD261" s="5" t="s">
        <v>240</v>
      </c>
      <c r="DF261" s="5" t="s">
        <v>450</v>
      </c>
      <c r="DG261" s="7">
        <f>0</f>
        <v>0</v>
      </c>
      <c r="DI261" s="5" t="s">
        <v>618</v>
      </c>
      <c r="DJ261" s="5" t="s">
        <v>240</v>
      </c>
      <c r="DK261" s="5" t="s">
        <v>240</v>
      </c>
      <c r="DL261" s="5" t="s">
        <v>240</v>
      </c>
      <c r="DP261" s="5" t="s">
        <v>240</v>
      </c>
      <c r="DQ261" s="5" t="s">
        <v>240</v>
      </c>
      <c r="DR261" s="5" t="s">
        <v>240</v>
      </c>
      <c r="DS261" s="5" t="s">
        <v>240</v>
      </c>
      <c r="DV261" s="5" t="s">
        <v>882</v>
      </c>
      <c r="DW261" s="5" t="s">
        <v>312</v>
      </c>
      <c r="HO261" s="5" t="s">
        <v>312</v>
      </c>
    </row>
    <row r="262" spans="1:223" x14ac:dyDescent="0.4">
      <c r="A262" s="5">
        <v>996</v>
      </c>
      <c r="B262" s="5">
        <v>1</v>
      </c>
      <c r="C262" s="5">
        <v>1</v>
      </c>
      <c r="D262" s="5" t="s">
        <v>1500</v>
      </c>
      <c r="E262" s="5" t="s">
        <v>1325</v>
      </c>
      <c r="F262" s="5" t="s">
        <v>254</v>
      </c>
      <c r="G262" s="5" t="s">
        <v>240</v>
      </c>
      <c r="H262" s="6" t="s">
        <v>1520</v>
      </c>
      <c r="I262" s="5" t="s">
        <v>1499</v>
      </c>
      <c r="J262" s="8">
        <f>181</f>
        <v>181</v>
      </c>
      <c r="K262" s="5" t="s">
        <v>308</v>
      </c>
      <c r="L262" s="7">
        <f>88690</f>
        <v>88690</v>
      </c>
      <c r="M262" s="7">
        <f>88690</f>
        <v>88690</v>
      </c>
      <c r="N262" s="5" t="s">
        <v>242</v>
      </c>
      <c r="O262" s="5">
        <v>1</v>
      </c>
      <c r="P262" s="5" t="s">
        <v>294</v>
      </c>
      <c r="Q262" s="5" t="s">
        <v>613</v>
      </c>
      <c r="R262" s="5" t="s">
        <v>240</v>
      </c>
      <c r="S262" s="5" t="s">
        <v>240</v>
      </c>
      <c r="T262" s="5" t="s">
        <v>243</v>
      </c>
      <c r="U262" s="5" t="s">
        <v>724</v>
      </c>
      <c r="V262" s="5" t="s">
        <v>240</v>
      </c>
      <c r="Y262" s="5" t="s">
        <v>240</v>
      </c>
      <c r="Z262" s="6" t="s">
        <v>298</v>
      </c>
      <c r="AB262" s="6" t="s">
        <v>240</v>
      </c>
      <c r="AE262" s="6" t="s">
        <v>299</v>
      </c>
      <c r="AF262" s="5" t="s">
        <v>248</v>
      </c>
      <c r="AG262" s="5" t="s">
        <v>249</v>
      </c>
      <c r="AW262" s="5" t="s">
        <v>251</v>
      </c>
      <c r="AX262" s="5" t="s">
        <v>240</v>
      </c>
      <c r="AY262" s="5" t="s">
        <v>253</v>
      </c>
      <c r="AZ262" s="5" t="s">
        <v>240</v>
      </c>
      <c r="BA262" s="5" t="s">
        <v>255</v>
      </c>
      <c r="BB262" s="5" t="s">
        <v>240</v>
      </c>
      <c r="BD262" s="5" t="s">
        <v>842</v>
      </c>
      <c r="BF262" s="5" t="s">
        <v>301</v>
      </c>
      <c r="BG262" s="6" t="s">
        <v>299</v>
      </c>
      <c r="BH262" s="5" t="s">
        <v>302</v>
      </c>
      <c r="BI262" s="5" t="s">
        <v>303</v>
      </c>
      <c r="BJ262" s="5" t="s">
        <v>240</v>
      </c>
      <c r="BK262" s="8">
        <f>0</f>
        <v>0</v>
      </c>
      <c r="BL262" s="7">
        <f>0</f>
        <v>0</v>
      </c>
      <c r="BM262" s="5" t="s">
        <v>258</v>
      </c>
      <c r="BN262" s="5" t="s">
        <v>259</v>
      </c>
      <c r="CB262" s="5" t="s">
        <v>240</v>
      </c>
      <c r="CC262" s="5" t="s">
        <v>240</v>
      </c>
      <c r="CG262" s="5" t="s">
        <v>617</v>
      </c>
      <c r="CH262" s="5" t="s">
        <v>305</v>
      </c>
      <c r="CI262" s="5" t="s">
        <v>240</v>
      </c>
      <c r="CL262" s="6" t="s">
        <v>261</v>
      </c>
      <c r="CM262" s="5" t="s">
        <v>240</v>
      </c>
      <c r="CN262" s="5" t="s">
        <v>263</v>
      </c>
      <c r="CO262" s="5" t="s">
        <v>240</v>
      </c>
      <c r="CP262" s="5" t="s">
        <v>240</v>
      </c>
      <c r="CQ262" s="5">
        <v>0</v>
      </c>
      <c r="CR262" s="5" t="s">
        <v>306</v>
      </c>
      <c r="CS262" s="5" t="s">
        <v>307</v>
      </c>
      <c r="CT262" s="5" t="s">
        <v>307</v>
      </c>
      <c r="CU262" s="5" t="s">
        <v>260</v>
      </c>
      <c r="CX262" s="7">
        <f>11825</f>
        <v>11825</v>
      </c>
      <c r="CY262" s="7">
        <f>0</f>
        <v>0</v>
      </c>
      <c r="DA262" s="7">
        <f>0</f>
        <v>0</v>
      </c>
      <c r="DC262" s="5" t="s">
        <v>450</v>
      </c>
      <c r="DD262" s="5" t="s">
        <v>240</v>
      </c>
      <c r="DF262" s="5" t="s">
        <v>450</v>
      </c>
      <c r="DG262" s="7">
        <f>0</f>
        <v>0</v>
      </c>
      <c r="DI262" s="5" t="s">
        <v>737</v>
      </c>
      <c r="DJ262" s="5" t="s">
        <v>240</v>
      </c>
      <c r="DK262" s="5" t="s">
        <v>240</v>
      </c>
      <c r="DL262" s="5" t="s">
        <v>240</v>
      </c>
      <c r="DP262" s="5" t="s">
        <v>240</v>
      </c>
      <c r="DQ262" s="5" t="s">
        <v>240</v>
      </c>
      <c r="DR262" s="5" t="s">
        <v>240</v>
      </c>
      <c r="DS262" s="5" t="s">
        <v>240</v>
      </c>
      <c r="DV262" s="5" t="s">
        <v>885</v>
      </c>
      <c r="DW262" s="5" t="s">
        <v>312</v>
      </c>
      <c r="HO262" s="5" t="s">
        <v>312</v>
      </c>
    </row>
    <row r="263" spans="1:223" x14ac:dyDescent="0.4">
      <c r="A263" s="5">
        <v>997</v>
      </c>
      <c r="B263" s="5">
        <v>1</v>
      </c>
      <c r="C263" s="5">
        <v>1</v>
      </c>
      <c r="D263" s="5" t="s">
        <v>1500</v>
      </c>
      <c r="E263" s="5" t="s">
        <v>1325</v>
      </c>
      <c r="F263" s="5" t="s">
        <v>254</v>
      </c>
      <c r="G263" s="5" t="s">
        <v>240</v>
      </c>
      <c r="H263" s="6" t="s">
        <v>1519</v>
      </c>
      <c r="I263" s="5" t="s">
        <v>1499</v>
      </c>
      <c r="J263" s="8">
        <f>610</f>
        <v>610</v>
      </c>
      <c r="K263" s="5" t="s">
        <v>308</v>
      </c>
      <c r="L263" s="7">
        <f>298900</f>
        <v>298900</v>
      </c>
      <c r="M263" s="7">
        <f>298900</f>
        <v>298900</v>
      </c>
      <c r="N263" s="5" t="s">
        <v>242</v>
      </c>
      <c r="O263" s="5">
        <v>1</v>
      </c>
      <c r="P263" s="5" t="s">
        <v>294</v>
      </c>
      <c r="Q263" s="5" t="s">
        <v>613</v>
      </c>
      <c r="R263" s="5" t="s">
        <v>240</v>
      </c>
      <c r="S263" s="5" t="s">
        <v>240</v>
      </c>
      <c r="T263" s="5" t="s">
        <v>243</v>
      </c>
      <c r="U263" s="5" t="s">
        <v>724</v>
      </c>
      <c r="V263" s="5" t="s">
        <v>240</v>
      </c>
      <c r="Y263" s="5" t="s">
        <v>240</v>
      </c>
      <c r="Z263" s="6" t="s">
        <v>298</v>
      </c>
      <c r="AB263" s="6" t="s">
        <v>240</v>
      </c>
      <c r="AE263" s="6" t="s">
        <v>299</v>
      </c>
      <c r="AF263" s="5" t="s">
        <v>248</v>
      </c>
      <c r="AG263" s="5" t="s">
        <v>249</v>
      </c>
      <c r="AW263" s="5" t="s">
        <v>251</v>
      </c>
      <c r="AX263" s="5" t="s">
        <v>240</v>
      </c>
      <c r="AY263" s="5" t="s">
        <v>253</v>
      </c>
      <c r="AZ263" s="5" t="s">
        <v>240</v>
      </c>
      <c r="BA263" s="5" t="s">
        <v>255</v>
      </c>
      <c r="BB263" s="5" t="s">
        <v>240</v>
      </c>
      <c r="BD263" s="5" t="s">
        <v>842</v>
      </c>
      <c r="BF263" s="5" t="s">
        <v>301</v>
      </c>
      <c r="BG263" s="6" t="s">
        <v>299</v>
      </c>
      <c r="BH263" s="5" t="s">
        <v>302</v>
      </c>
      <c r="BI263" s="5" t="s">
        <v>303</v>
      </c>
      <c r="BJ263" s="5" t="s">
        <v>240</v>
      </c>
      <c r="BK263" s="8">
        <f>0</f>
        <v>0</v>
      </c>
      <c r="BL263" s="7">
        <f>0</f>
        <v>0</v>
      </c>
      <c r="BM263" s="5" t="s">
        <v>258</v>
      </c>
      <c r="BN263" s="5" t="s">
        <v>259</v>
      </c>
      <c r="CB263" s="5" t="s">
        <v>240</v>
      </c>
      <c r="CC263" s="5" t="s">
        <v>240</v>
      </c>
      <c r="CG263" s="5" t="s">
        <v>617</v>
      </c>
      <c r="CH263" s="5" t="s">
        <v>305</v>
      </c>
      <c r="CI263" s="5" t="s">
        <v>240</v>
      </c>
      <c r="CL263" s="6" t="s">
        <v>261</v>
      </c>
      <c r="CM263" s="5" t="s">
        <v>240</v>
      </c>
      <c r="CN263" s="5" t="s">
        <v>263</v>
      </c>
      <c r="CO263" s="5" t="s">
        <v>240</v>
      </c>
      <c r="CP263" s="5" t="s">
        <v>240</v>
      </c>
      <c r="CQ263" s="5">
        <v>0</v>
      </c>
      <c r="CR263" s="5" t="s">
        <v>306</v>
      </c>
      <c r="CS263" s="5" t="s">
        <v>307</v>
      </c>
      <c r="CT263" s="5" t="s">
        <v>307</v>
      </c>
      <c r="CU263" s="5" t="s">
        <v>260</v>
      </c>
      <c r="CX263" s="7">
        <f>5632</f>
        <v>5632</v>
      </c>
      <c r="CY263" s="7">
        <f>0</f>
        <v>0</v>
      </c>
      <c r="DA263" s="7">
        <f>0</f>
        <v>0</v>
      </c>
      <c r="DC263" s="5" t="s">
        <v>450</v>
      </c>
      <c r="DD263" s="5" t="s">
        <v>240</v>
      </c>
      <c r="DF263" s="5" t="s">
        <v>450</v>
      </c>
      <c r="DG263" s="7">
        <f>0</f>
        <v>0</v>
      </c>
      <c r="DI263" s="5" t="s">
        <v>737</v>
      </c>
      <c r="DJ263" s="5" t="s">
        <v>240</v>
      </c>
      <c r="DK263" s="5" t="s">
        <v>240</v>
      </c>
      <c r="DL263" s="5" t="s">
        <v>240</v>
      </c>
      <c r="DP263" s="5" t="s">
        <v>240</v>
      </c>
      <c r="DQ263" s="5" t="s">
        <v>240</v>
      </c>
      <c r="DR263" s="5" t="s">
        <v>240</v>
      </c>
      <c r="DS263" s="5" t="s">
        <v>240</v>
      </c>
      <c r="DV263" s="5" t="s">
        <v>888</v>
      </c>
      <c r="DW263" s="5" t="s">
        <v>312</v>
      </c>
      <c r="HO263" s="5" t="s">
        <v>312</v>
      </c>
    </row>
    <row r="264" spans="1:223" x14ac:dyDescent="0.4">
      <c r="A264" s="5">
        <v>998</v>
      </c>
      <c r="B264" s="5">
        <v>1</v>
      </c>
      <c r="C264" s="5">
        <v>1</v>
      </c>
      <c r="D264" s="5" t="s">
        <v>1500</v>
      </c>
      <c r="E264" s="5" t="s">
        <v>1325</v>
      </c>
      <c r="F264" s="5" t="s">
        <v>254</v>
      </c>
      <c r="G264" s="5" t="s">
        <v>240</v>
      </c>
      <c r="H264" s="6" t="s">
        <v>1518</v>
      </c>
      <c r="I264" s="5" t="s">
        <v>1499</v>
      </c>
      <c r="J264" s="8">
        <f>149</f>
        <v>149</v>
      </c>
      <c r="K264" s="5" t="s">
        <v>308</v>
      </c>
      <c r="L264" s="7">
        <f>73010</f>
        <v>73010</v>
      </c>
      <c r="M264" s="7">
        <f>73010</f>
        <v>73010</v>
      </c>
      <c r="N264" s="5" t="s">
        <v>242</v>
      </c>
      <c r="O264" s="5">
        <v>1</v>
      </c>
      <c r="P264" s="5" t="s">
        <v>294</v>
      </c>
      <c r="Q264" s="5" t="s">
        <v>613</v>
      </c>
      <c r="R264" s="5" t="s">
        <v>240</v>
      </c>
      <c r="S264" s="5" t="s">
        <v>240</v>
      </c>
      <c r="T264" s="5" t="s">
        <v>243</v>
      </c>
      <c r="U264" s="5" t="s">
        <v>724</v>
      </c>
      <c r="V264" s="5" t="s">
        <v>240</v>
      </c>
      <c r="Y264" s="5" t="s">
        <v>240</v>
      </c>
      <c r="Z264" s="6" t="s">
        <v>298</v>
      </c>
      <c r="AB264" s="6" t="s">
        <v>240</v>
      </c>
      <c r="AE264" s="6" t="s">
        <v>299</v>
      </c>
      <c r="AF264" s="5" t="s">
        <v>248</v>
      </c>
      <c r="AG264" s="5" t="s">
        <v>249</v>
      </c>
      <c r="AW264" s="5" t="s">
        <v>251</v>
      </c>
      <c r="AX264" s="5" t="s">
        <v>240</v>
      </c>
      <c r="AY264" s="5" t="s">
        <v>253</v>
      </c>
      <c r="AZ264" s="5" t="s">
        <v>240</v>
      </c>
      <c r="BA264" s="5" t="s">
        <v>255</v>
      </c>
      <c r="BB264" s="5" t="s">
        <v>240</v>
      </c>
      <c r="BD264" s="5" t="s">
        <v>842</v>
      </c>
      <c r="BF264" s="5" t="s">
        <v>301</v>
      </c>
      <c r="BG264" s="6" t="s">
        <v>299</v>
      </c>
      <c r="BH264" s="5" t="s">
        <v>302</v>
      </c>
      <c r="BI264" s="5" t="s">
        <v>303</v>
      </c>
      <c r="BJ264" s="5" t="s">
        <v>240</v>
      </c>
      <c r="BK264" s="8">
        <f>0</f>
        <v>0</v>
      </c>
      <c r="BL264" s="7">
        <f>0</f>
        <v>0</v>
      </c>
      <c r="BM264" s="5" t="s">
        <v>258</v>
      </c>
      <c r="BN264" s="5" t="s">
        <v>259</v>
      </c>
      <c r="CB264" s="5" t="s">
        <v>240</v>
      </c>
      <c r="CC264" s="5" t="s">
        <v>240</v>
      </c>
      <c r="CG264" s="5" t="s">
        <v>617</v>
      </c>
      <c r="CH264" s="5" t="s">
        <v>305</v>
      </c>
      <c r="CI264" s="5" t="s">
        <v>240</v>
      </c>
      <c r="CL264" s="6" t="s">
        <v>261</v>
      </c>
      <c r="CM264" s="5" t="s">
        <v>240</v>
      </c>
      <c r="CN264" s="5" t="s">
        <v>263</v>
      </c>
      <c r="CO264" s="5" t="s">
        <v>240</v>
      </c>
      <c r="CP264" s="5" t="s">
        <v>240</v>
      </c>
      <c r="CQ264" s="5">
        <v>0</v>
      </c>
      <c r="CR264" s="5" t="s">
        <v>306</v>
      </c>
      <c r="CS264" s="5" t="s">
        <v>307</v>
      </c>
      <c r="CT264" s="5" t="s">
        <v>307</v>
      </c>
      <c r="CU264" s="5" t="s">
        <v>260</v>
      </c>
      <c r="CX264" s="7">
        <f>15961</f>
        <v>15961</v>
      </c>
      <c r="CY264" s="7">
        <f>0</f>
        <v>0</v>
      </c>
      <c r="DA264" s="7">
        <f>0</f>
        <v>0</v>
      </c>
      <c r="DC264" s="5" t="s">
        <v>450</v>
      </c>
      <c r="DD264" s="5" t="s">
        <v>240</v>
      </c>
      <c r="DF264" s="5" t="s">
        <v>450</v>
      </c>
      <c r="DG264" s="7">
        <f>0</f>
        <v>0</v>
      </c>
      <c r="DI264" s="5" t="s">
        <v>737</v>
      </c>
      <c r="DJ264" s="5" t="s">
        <v>240</v>
      </c>
      <c r="DK264" s="5" t="s">
        <v>240</v>
      </c>
      <c r="DL264" s="5" t="s">
        <v>240</v>
      </c>
      <c r="DP264" s="5" t="s">
        <v>240</v>
      </c>
      <c r="DQ264" s="5" t="s">
        <v>240</v>
      </c>
      <c r="DR264" s="5" t="s">
        <v>240</v>
      </c>
      <c r="DS264" s="5" t="s">
        <v>240</v>
      </c>
      <c r="DV264" s="5" t="s">
        <v>891</v>
      </c>
      <c r="DW264" s="5" t="s">
        <v>312</v>
      </c>
      <c r="HO264" s="5" t="s">
        <v>312</v>
      </c>
    </row>
    <row r="265" spans="1:223" x14ac:dyDescent="0.4">
      <c r="A265" s="5">
        <v>999</v>
      </c>
      <c r="B265" s="5">
        <v>1</v>
      </c>
      <c r="C265" s="5">
        <v>1</v>
      </c>
      <c r="D265" s="5" t="s">
        <v>1500</v>
      </c>
      <c r="E265" s="5" t="s">
        <v>1325</v>
      </c>
      <c r="F265" s="5" t="s">
        <v>254</v>
      </c>
      <c r="G265" s="5" t="s">
        <v>240</v>
      </c>
      <c r="H265" s="6" t="s">
        <v>1517</v>
      </c>
      <c r="I265" s="5" t="s">
        <v>1499</v>
      </c>
      <c r="J265" s="8">
        <f>215</f>
        <v>215</v>
      </c>
      <c r="K265" s="5" t="s">
        <v>308</v>
      </c>
      <c r="L265" s="7">
        <f>105350</f>
        <v>105350</v>
      </c>
      <c r="M265" s="7">
        <f>105350</f>
        <v>105350</v>
      </c>
      <c r="N265" s="5" t="s">
        <v>242</v>
      </c>
      <c r="O265" s="5">
        <v>1</v>
      </c>
      <c r="P265" s="5" t="s">
        <v>294</v>
      </c>
      <c r="Q265" s="5" t="s">
        <v>613</v>
      </c>
      <c r="R265" s="5" t="s">
        <v>240</v>
      </c>
      <c r="S265" s="5" t="s">
        <v>240</v>
      </c>
      <c r="T265" s="5" t="s">
        <v>243</v>
      </c>
      <c r="U265" s="5" t="s">
        <v>724</v>
      </c>
      <c r="V265" s="5" t="s">
        <v>240</v>
      </c>
      <c r="Y265" s="5" t="s">
        <v>240</v>
      </c>
      <c r="Z265" s="6" t="s">
        <v>298</v>
      </c>
      <c r="AB265" s="6" t="s">
        <v>240</v>
      </c>
      <c r="AE265" s="6" t="s">
        <v>299</v>
      </c>
      <c r="AF265" s="5" t="s">
        <v>248</v>
      </c>
      <c r="AG265" s="5" t="s">
        <v>249</v>
      </c>
      <c r="AW265" s="5" t="s">
        <v>251</v>
      </c>
      <c r="AX265" s="5" t="s">
        <v>240</v>
      </c>
      <c r="AY265" s="5" t="s">
        <v>253</v>
      </c>
      <c r="AZ265" s="5" t="s">
        <v>240</v>
      </c>
      <c r="BA265" s="5" t="s">
        <v>255</v>
      </c>
      <c r="BB265" s="5" t="s">
        <v>240</v>
      </c>
      <c r="BD265" s="5" t="s">
        <v>842</v>
      </c>
      <c r="BF265" s="5" t="s">
        <v>301</v>
      </c>
      <c r="BG265" s="6" t="s">
        <v>299</v>
      </c>
      <c r="BH265" s="5" t="s">
        <v>302</v>
      </c>
      <c r="BI265" s="5" t="s">
        <v>303</v>
      </c>
      <c r="BJ265" s="5" t="s">
        <v>240</v>
      </c>
      <c r="BK265" s="8">
        <f>0</f>
        <v>0</v>
      </c>
      <c r="BL265" s="7">
        <f>0</f>
        <v>0</v>
      </c>
      <c r="BM265" s="5" t="s">
        <v>258</v>
      </c>
      <c r="BN265" s="5" t="s">
        <v>259</v>
      </c>
      <c r="CB265" s="5" t="s">
        <v>240</v>
      </c>
      <c r="CC265" s="5" t="s">
        <v>240</v>
      </c>
      <c r="CG265" s="5" t="s">
        <v>617</v>
      </c>
      <c r="CH265" s="5" t="s">
        <v>305</v>
      </c>
      <c r="CI265" s="5" t="s">
        <v>240</v>
      </c>
      <c r="CL265" s="6" t="s">
        <v>261</v>
      </c>
      <c r="CM265" s="5" t="s">
        <v>240</v>
      </c>
      <c r="CN265" s="5" t="s">
        <v>263</v>
      </c>
      <c r="CO265" s="5" t="s">
        <v>240</v>
      </c>
      <c r="CP265" s="5" t="s">
        <v>240</v>
      </c>
      <c r="CQ265" s="5">
        <v>0</v>
      </c>
      <c r="CR265" s="5" t="s">
        <v>306</v>
      </c>
      <c r="CS265" s="5" t="s">
        <v>307</v>
      </c>
      <c r="CT265" s="5" t="s">
        <v>307</v>
      </c>
      <c r="CU265" s="5" t="s">
        <v>260</v>
      </c>
      <c r="CX265" s="7">
        <f>11715</f>
        <v>11715</v>
      </c>
      <c r="CY265" s="7">
        <f>0</f>
        <v>0</v>
      </c>
      <c r="DA265" s="7">
        <f>0</f>
        <v>0</v>
      </c>
      <c r="DC265" s="5" t="s">
        <v>450</v>
      </c>
      <c r="DD265" s="5" t="s">
        <v>240</v>
      </c>
      <c r="DF265" s="5" t="s">
        <v>450</v>
      </c>
      <c r="DG265" s="7">
        <f>0</f>
        <v>0</v>
      </c>
      <c r="DI265" s="5" t="s">
        <v>737</v>
      </c>
      <c r="DJ265" s="5" t="s">
        <v>240</v>
      </c>
      <c r="DK265" s="5" t="s">
        <v>240</v>
      </c>
      <c r="DL265" s="5" t="s">
        <v>240</v>
      </c>
      <c r="DP265" s="5" t="s">
        <v>240</v>
      </c>
      <c r="DQ265" s="5" t="s">
        <v>240</v>
      </c>
      <c r="DR265" s="5" t="s">
        <v>240</v>
      </c>
      <c r="DS265" s="5" t="s">
        <v>240</v>
      </c>
      <c r="DV265" s="5" t="s">
        <v>894</v>
      </c>
      <c r="DW265" s="5" t="s">
        <v>312</v>
      </c>
      <c r="HO265" s="5" t="s">
        <v>312</v>
      </c>
    </row>
    <row r="266" spans="1:223" x14ac:dyDescent="0.4">
      <c r="A266" s="5">
        <v>1000</v>
      </c>
      <c r="B266" s="5">
        <v>1</v>
      </c>
      <c r="C266" s="5">
        <v>1</v>
      </c>
      <c r="D266" s="5" t="s">
        <v>1500</v>
      </c>
      <c r="E266" s="5" t="s">
        <v>1325</v>
      </c>
      <c r="F266" s="5" t="s">
        <v>254</v>
      </c>
      <c r="G266" s="5" t="s">
        <v>240</v>
      </c>
      <c r="H266" s="6" t="s">
        <v>1516</v>
      </c>
      <c r="I266" s="5" t="s">
        <v>1499</v>
      </c>
      <c r="J266" s="8">
        <f>148</f>
        <v>148</v>
      </c>
      <c r="K266" s="5" t="s">
        <v>308</v>
      </c>
      <c r="L266" s="7">
        <f>72520</f>
        <v>72520</v>
      </c>
      <c r="M266" s="7">
        <f>72520</f>
        <v>72520</v>
      </c>
      <c r="N266" s="5" t="s">
        <v>242</v>
      </c>
      <c r="O266" s="5">
        <v>1</v>
      </c>
      <c r="P266" s="5" t="s">
        <v>294</v>
      </c>
      <c r="Q266" s="5" t="s">
        <v>613</v>
      </c>
      <c r="R266" s="5" t="s">
        <v>240</v>
      </c>
      <c r="S266" s="5" t="s">
        <v>240</v>
      </c>
      <c r="T266" s="5" t="s">
        <v>243</v>
      </c>
      <c r="U266" s="5" t="s">
        <v>724</v>
      </c>
      <c r="V266" s="5" t="s">
        <v>240</v>
      </c>
      <c r="Y266" s="5" t="s">
        <v>240</v>
      </c>
      <c r="Z266" s="6" t="s">
        <v>298</v>
      </c>
      <c r="AB266" s="6" t="s">
        <v>240</v>
      </c>
      <c r="AE266" s="6" t="s">
        <v>299</v>
      </c>
      <c r="AF266" s="5" t="s">
        <v>248</v>
      </c>
      <c r="AG266" s="5" t="s">
        <v>249</v>
      </c>
      <c r="AW266" s="5" t="s">
        <v>251</v>
      </c>
      <c r="AX266" s="5" t="s">
        <v>240</v>
      </c>
      <c r="AY266" s="5" t="s">
        <v>253</v>
      </c>
      <c r="AZ266" s="5" t="s">
        <v>240</v>
      </c>
      <c r="BA266" s="5" t="s">
        <v>255</v>
      </c>
      <c r="BB266" s="5" t="s">
        <v>240</v>
      </c>
      <c r="BD266" s="5" t="s">
        <v>842</v>
      </c>
      <c r="BF266" s="5" t="s">
        <v>301</v>
      </c>
      <c r="BG266" s="6" t="s">
        <v>299</v>
      </c>
      <c r="BH266" s="5" t="s">
        <v>302</v>
      </c>
      <c r="BI266" s="5" t="s">
        <v>303</v>
      </c>
      <c r="BJ266" s="5" t="s">
        <v>240</v>
      </c>
      <c r="BK266" s="8">
        <f>0</f>
        <v>0</v>
      </c>
      <c r="BL266" s="7">
        <f>0</f>
        <v>0</v>
      </c>
      <c r="BM266" s="5" t="s">
        <v>258</v>
      </c>
      <c r="BN266" s="5" t="s">
        <v>259</v>
      </c>
      <c r="CB266" s="5" t="s">
        <v>240</v>
      </c>
      <c r="CC266" s="5" t="s">
        <v>240</v>
      </c>
      <c r="CG266" s="5" t="s">
        <v>617</v>
      </c>
      <c r="CH266" s="5" t="s">
        <v>305</v>
      </c>
      <c r="CI266" s="5" t="s">
        <v>240</v>
      </c>
      <c r="CL266" s="6" t="s">
        <v>261</v>
      </c>
      <c r="CM266" s="5" t="s">
        <v>240</v>
      </c>
      <c r="CN266" s="5" t="s">
        <v>263</v>
      </c>
      <c r="CO266" s="5" t="s">
        <v>240</v>
      </c>
      <c r="CP266" s="5" t="s">
        <v>240</v>
      </c>
      <c r="CQ266" s="5">
        <v>0</v>
      </c>
      <c r="CR266" s="5" t="s">
        <v>306</v>
      </c>
      <c r="CS266" s="5" t="s">
        <v>307</v>
      </c>
      <c r="CT266" s="5" t="s">
        <v>307</v>
      </c>
      <c r="CU266" s="5" t="s">
        <v>260</v>
      </c>
      <c r="CX266" s="7">
        <f>24233</f>
        <v>24233</v>
      </c>
      <c r="CY266" s="7">
        <f>0</f>
        <v>0</v>
      </c>
      <c r="DA266" s="7">
        <f>0</f>
        <v>0</v>
      </c>
      <c r="DC266" s="5" t="s">
        <v>450</v>
      </c>
      <c r="DD266" s="5" t="s">
        <v>240</v>
      </c>
      <c r="DF266" s="5" t="s">
        <v>450</v>
      </c>
      <c r="DG266" s="7">
        <f>0</f>
        <v>0</v>
      </c>
      <c r="DI266" s="5" t="s">
        <v>737</v>
      </c>
      <c r="DJ266" s="5" t="s">
        <v>240</v>
      </c>
      <c r="DK266" s="5" t="s">
        <v>240</v>
      </c>
      <c r="DL266" s="5" t="s">
        <v>240</v>
      </c>
      <c r="DP266" s="5" t="s">
        <v>240</v>
      </c>
      <c r="DQ266" s="5" t="s">
        <v>240</v>
      </c>
      <c r="DR266" s="5" t="s">
        <v>240</v>
      </c>
      <c r="DS266" s="5" t="s">
        <v>240</v>
      </c>
      <c r="DV266" s="5" t="s">
        <v>897</v>
      </c>
      <c r="DW266" s="5" t="s">
        <v>312</v>
      </c>
      <c r="HO266" s="5" t="s">
        <v>312</v>
      </c>
    </row>
    <row r="267" spans="1:223" x14ac:dyDescent="0.4">
      <c r="A267" s="5">
        <v>1001</v>
      </c>
      <c r="B267" s="5">
        <v>1</v>
      </c>
      <c r="C267" s="5">
        <v>1</v>
      </c>
      <c r="D267" s="5" t="s">
        <v>1500</v>
      </c>
      <c r="E267" s="5" t="s">
        <v>1325</v>
      </c>
      <c r="F267" s="5" t="s">
        <v>254</v>
      </c>
      <c r="G267" s="5" t="s">
        <v>240</v>
      </c>
      <c r="H267" s="6" t="s">
        <v>1515</v>
      </c>
      <c r="I267" s="5" t="s">
        <v>1499</v>
      </c>
      <c r="J267" s="8">
        <f>991</f>
        <v>991</v>
      </c>
      <c r="K267" s="5" t="s">
        <v>308</v>
      </c>
      <c r="L267" s="7">
        <f>485590</f>
        <v>485590</v>
      </c>
      <c r="M267" s="7">
        <f>485590</f>
        <v>485590</v>
      </c>
      <c r="N267" s="5" t="s">
        <v>242</v>
      </c>
      <c r="O267" s="5">
        <v>1</v>
      </c>
      <c r="P267" s="5" t="s">
        <v>294</v>
      </c>
      <c r="Q267" s="5" t="s">
        <v>613</v>
      </c>
      <c r="R267" s="5" t="s">
        <v>240</v>
      </c>
      <c r="S267" s="5" t="s">
        <v>240</v>
      </c>
      <c r="T267" s="5" t="s">
        <v>243</v>
      </c>
      <c r="U267" s="5" t="s">
        <v>724</v>
      </c>
      <c r="V267" s="5" t="s">
        <v>240</v>
      </c>
      <c r="Y267" s="5" t="s">
        <v>240</v>
      </c>
      <c r="Z267" s="6" t="s">
        <v>298</v>
      </c>
      <c r="AB267" s="6" t="s">
        <v>240</v>
      </c>
      <c r="AE267" s="6" t="s">
        <v>299</v>
      </c>
      <c r="AF267" s="5" t="s">
        <v>248</v>
      </c>
      <c r="AG267" s="5" t="s">
        <v>249</v>
      </c>
      <c r="AW267" s="5" t="s">
        <v>251</v>
      </c>
      <c r="AX267" s="5" t="s">
        <v>240</v>
      </c>
      <c r="AY267" s="5" t="s">
        <v>253</v>
      </c>
      <c r="AZ267" s="5" t="s">
        <v>240</v>
      </c>
      <c r="BA267" s="5" t="s">
        <v>255</v>
      </c>
      <c r="BB267" s="5" t="s">
        <v>240</v>
      </c>
      <c r="BD267" s="5" t="s">
        <v>842</v>
      </c>
      <c r="BF267" s="5" t="s">
        <v>301</v>
      </c>
      <c r="BG267" s="6" t="s">
        <v>299</v>
      </c>
      <c r="BH267" s="5" t="s">
        <v>302</v>
      </c>
      <c r="BI267" s="5" t="s">
        <v>303</v>
      </c>
      <c r="BJ267" s="5" t="s">
        <v>240</v>
      </c>
      <c r="BK267" s="8">
        <f>0</f>
        <v>0</v>
      </c>
      <c r="BL267" s="7">
        <f>0</f>
        <v>0</v>
      </c>
      <c r="BM267" s="5" t="s">
        <v>258</v>
      </c>
      <c r="BN267" s="5" t="s">
        <v>259</v>
      </c>
      <c r="CB267" s="5" t="s">
        <v>240</v>
      </c>
      <c r="CC267" s="5" t="s">
        <v>240</v>
      </c>
      <c r="CG267" s="5" t="s">
        <v>617</v>
      </c>
      <c r="CH267" s="5" t="s">
        <v>305</v>
      </c>
      <c r="CI267" s="5" t="s">
        <v>240</v>
      </c>
      <c r="CL267" s="6" t="s">
        <v>261</v>
      </c>
      <c r="CM267" s="5" t="s">
        <v>240</v>
      </c>
      <c r="CN267" s="5" t="s">
        <v>263</v>
      </c>
      <c r="CO267" s="5" t="s">
        <v>240</v>
      </c>
      <c r="CP267" s="5" t="s">
        <v>240</v>
      </c>
      <c r="CQ267" s="5">
        <v>0</v>
      </c>
      <c r="CR267" s="5" t="s">
        <v>306</v>
      </c>
      <c r="CS267" s="5" t="s">
        <v>307</v>
      </c>
      <c r="CT267" s="5" t="s">
        <v>307</v>
      </c>
      <c r="CU267" s="5" t="s">
        <v>260</v>
      </c>
      <c r="CX267" s="7">
        <f>12683</f>
        <v>12683</v>
      </c>
      <c r="CY267" s="7">
        <f>0</f>
        <v>0</v>
      </c>
      <c r="DA267" s="7">
        <f>0</f>
        <v>0</v>
      </c>
      <c r="DC267" s="5" t="s">
        <v>450</v>
      </c>
      <c r="DD267" s="5" t="s">
        <v>240</v>
      </c>
      <c r="DF267" s="5" t="s">
        <v>450</v>
      </c>
      <c r="DG267" s="7">
        <f>0</f>
        <v>0</v>
      </c>
      <c r="DI267" s="5" t="s">
        <v>737</v>
      </c>
      <c r="DJ267" s="5" t="s">
        <v>240</v>
      </c>
      <c r="DK267" s="5" t="s">
        <v>240</v>
      </c>
      <c r="DL267" s="5" t="s">
        <v>240</v>
      </c>
      <c r="DP267" s="5" t="s">
        <v>240</v>
      </c>
      <c r="DQ267" s="5" t="s">
        <v>240</v>
      </c>
      <c r="DR267" s="5" t="s">
        <v>240</v>
      </c>
      <c r="DS267" s="5" t="s">
        <v>240</v>
      </c>
      <c r="DV267" s="5" t="s">
        <v>900</v>
      </c>
      <c r="DW267" s="5" t="s">
        <v>312</v>
      </c>
      <c r="HO267" s="5" t="s">
        <v>312</v>
      </c>
    </row>
    <row r="268" spans="1:223" x14ac:dyDescent="0.4">
      <c r="A268" s="5">
        <v>1002</v>
      </c>
      <c r="B268" s="5">
        <v>1</v>
      </c>
      <c r="C268" s="5">
        <v>1</v>
      </c>
      <c r="D268" s="5" t="s">
        <v>1500</v>
      </c>
      <c r="E268" s="5" t="s">
        <v>1325</v>
      </c>
      <c r="F268" s="5" t="s">
        <v>254</v>
      </c>
      <c r="G268" s="5" t="s">
        <v>240</v>
      </c>
      <c r="H268" s="6" t="s">
        <v>1514</v>
      </c>
      <c r="I268" s="5" t="s">
        <v>1499</v>
      </c>
      <c r="J268" s="8">
        <f>65</f>
        <v>65</v>
      </c>
      <c r="K268" s="5" t="s">
        <v>308</v>
      </c>
      <c r="L268" s="7">
        <f>31850</f>
        <v>31850</v>
      </c>
      <c r="M268" s="7">
        <f>31850</f>
        <v>31850</v>
      </c>
      <c r="N268" s="5" t="s">
        <v>242</v>
      </c>
      <c r="O268" s="5">
        <v>1</v>
      </c>
      <c r="P268" s="5" t="s">
        <v>294</v>
      </c>
      <c r="Q268" s="5" t="s">
        <v>266</v>
      </c>
      <c r="R268" s="5" t="s">
        <v>240</v>
      </c>
      <c r="S268" s="5" t="s">
        <v>240</v>
      </c>
      <c r="T268" s="5" t="s">
        <v>296</v>
      </c>
      <c r="U268" s="5" t="s">
        <v>244</v>
      </c>
      <c r="V268" s="5" t="s">
        <v>240</v>
      </c>
      <c r="Y268" s="5" t="s">
        <v>240</v>
      </c>
      <c r="Z268" s="6" t="s">
        <v>298</v>
      </c>
      <c r="AB268" s="6" t="s">
        <v>240</v>
      </c>
      <c r="AE268" s="6" t="s">
        <v>299</v>
      </c>
      <c r="AF268" s="5" t="s">
        <v>248</v>
      </c>
      <c r="AG268" s="5" t="s">
        <v>249</v>
      </c>
      <c r="AW268" s="5" t="s">
        <v>251</v>
      </c>
      <c r="AX268" s="5" t="s">
        <v>240</v>
      </c>
      <c r="AY268" s="5" t="s">
        <v>253</v>
      </c>
      <c r="AZ268" s="5" t="s">
        <v>240</v>
      </c>
      <c r="BA268" s="5" t="s">
        <v>255</v>
      </c>
      <c r="BB268" s="5" t="s">
        <v>240</v>
      </c>
      <c r="BD268" s="5" t="s">
        <v>240</v>
      </c>
      <c r="BF268" s="5" t="s">
        <v>301</v>
      </c>
      <c r="BG268" s="6" t="s">
        <v>299</v>
      </c>
      <c r="BH268" s="5" t="s">
        <v>302</v>
      </c>
      <c r="BI268" s="5" t="s">
        <v>303</v>
      </c>
      <c r="BJ268" s="5" t="s">
        <v>240</v>
      </c>
      <c r="BK268" s="8">
        <f>0</f>
        <v>0</v>
      </c>
      <c r="BL268" s="7">
        <f>0</f>
        <v>0</v>
      </c>
      <c r="BM268" s="5" t="s">
        <v>258</v>
      </c>
      <c r="BN268" s="5" t="s">
        <v>259</v>
      </c>
      <c r="CB268" s="5" t="s">
        <v>240</v>
      </c>
      <c r="CC268" s="5" t="s">
        <v>240</v>
      </c>
      <c r="CG268" s="5" t="s">
        <v>304</v>
      </c>
      <c r="CH268" s="5" t="s">
        <v>305</v>
      </c>
      <c r="CI268" s="5" t="s">
        <v>240</v>
      </c>
      <c r="CL268" s="6" t="s">
        <v>261</v>
      </c>
      <c r="CM268" s="5" t="s">
        <v>240</v>
      </c>
      <c r="CN268" s="5" t="s">
        <v>263</v>
      </c>
      <c r="CO268" s="5" t="s">
        <v>240</v>
      </c>
      <c r="CP268" s="5" t="s">
        <v>240</v>
      </c>
      <c r="CQ268" s="5">
        <v>0</v>
      </c>
      <c r="CR268" s="5" t="s">
        <v>306</v>
      </c>
      <c r="CS268" s="5" t="s">
        <v>307</v>
      </c>
      <c r="CT268" s="5" t="s">
        <v>307</v>
      </c>
      <c r="CU268" s="5" t="s">
        <v>260</v>
      </c>
      <c r="CX268" s="7">
        <f>1</f>
        <v>1</v>
      </c>
      <c r="CY268" s="7">
        <f>0</f>
        <v>0</v>
      </c>
      <c r="DA268" s="7">
        <f>0</f>
        <v>0</v>
      </c>
      <c r="DC268" s="5" t="s">
        <v>309</v>
      </c>
      <c r="DD268" s="5" t="s">
        <v>240</v>
      </c>
      <c r="DF268" s="5" t="s">
        <v>309</v>
      </c>
      <c r="DG268" s="7">
        <f>8092</f>
        <v>8092</v>
      </c>
      <c r="DI268" s="5" t="s">
        <v>240</v>
      </c>
      <c r="DJ268" s="5" t="s">
        <v>240</v>
      </c>
      <c r="DK268" s="5" t="s">
        <v>240</v>
      </c>
      <c r="DL268" s="5" t="s">
        <v>240</v>
      </c>
      <c r="DP268" s="5" t="s">
        <v>240</v>
      </c>
      <c r="DQ268" s="5" t="s">
        <v>240</v>
      </c>
      <c r="DR268" s="5" t="s">
        <v>240</v>
      </c>
      <c r="DS268" s="5" t="s">
        <v>240</v>
      </c>
      <c r="DV268" s="5" t="s">
        <v>310</v>
      </c>
      <c r="DW268" s="5" t="s">
        <v>902</v>
      </c>
      <c r="HO268" s="5" t="s">
        <v>312</v>
      </c>
    </row>
    <row r="269" spans="1:223" x14ac:dyDescent="0.4">
      <c r="A269" s="5">
        <v>1003</v>
      </c>
      <c r="B269" s="5">
        <v>1</v>
      </c>
      <c r="C269" s="5">
        <v>1</v>
      </c>
      <c r="D269" s="5" t="s">
        <v>1500</v>
      </c>
      <c r="E269" s="5" t="s">
        <v>1325</v>
      </c>
      <c r="F269" s="5" t="s">
        <v>254</v>
      </c>
      <c r="G269" s="5" t="s">
        <v>240</v>
      </c>
      <c r="H269" s="6" t="s">
        <v>1513</v>
      </c>
      <c r="I269" s="5" t="s">
        <v>1499</v>
      </c>
      <c r="J269" s="8">
        <f>76</f>
        <v>76</v>
      </c>
      <c r="K269" s="5" t="s">
        <v>308</v>
      </c>
      <c r="L269" s="7">
        <f>37240</f>
        <v>37240</v>
      </c>
      <c r="M269" s="7">
        <f>37240</f>
        <v>37240</v>
      </c>
      <c r="N269" s="5" t="s">
        <v>242</v>
      </c>
      <c r="O269" s="5">
        <v>1</v>
      </c>
      <c r="P269" s="5" t="s">
        <v>294</v>
      </c>
      <c r="Q269" s="5" t="s">
        <v>613</v>
      </c>
      <c r="R269" s="5" t="s">
        <v>240</v>
      </c>
      <c r="S269" s="5" t="s">
        <v>240</v>
      </c>
      <c r="T269" s="5" t="s">
        <v>243</v>
      </c>
      <c r="U269" s="5" t="s">
        <v>724</v>
      </c>
      <c r="V269" s="5" t="s">
        <v>240</v>
      </c>
      <c r="Y269" s="5" t="s">
        <v>240</v>
      </c>
      <c r="Z269" s="6" t="s">
        <v>298</v>
      </c>
      <c r="AB269" s="6" t="s">
        <v>240</v>
      </c>
      <c r="AE269" s="6" t="s">
        <v>299</v>
      </c>
      <c r="AF269" s="5" t="s">
        <v>248</v>
      </c>
      <c r="AG269" s="5" t="s">
        <v>249</v>
      </c>
      <c r="AW269" s="5" t="s">
        <v>251</v>
      </c>
      <c r="AX269" s="5" t="s">
        <v>240</v>
      </c>
      <c r="AY269" s="5" t="s">
        <v>253</v>
      </c>
      <c r="AZ269" s="5" t="s">
        <v>240</v>
      </c>
      <c r="BA269" s="5" t="s">
        <v>255</v>
      </c>
      <c r="BB269" s="5" t="s">
        <v>240</v>
      </c>
      <c r="BD269" s="5" t="s">
        <v>842</v>
      </c>
      <c r="BF269" s="5" t="s">
        <v>301</v>
      </c>
      <c r="BG269" s="6" t="s">
        <v>299</v>
      </c>
      <c r="BH269" s="5" t="s">
        <v>302</v>
      </c>
      <c r="BI269" s="5" t="s">
        <v>303</v>
      </c>
      <c r="BJ269" s="5" t="s">
        <v>240</v>
      </c>
      <c r="BK269" s="8">
        <f>0</f>
        <v>0</v>
      </c>
      <c r="BL269" s="7">
        <f>0</f>
        <v>0</v>
      </c>
      <c r="BM269" s="5" t="s">
        <v>258</v>
      </c>
      <c r="BN269" s="5" t="s">
        <v>259</v>
      </c>
      <c r="CB269" s="5" t="s">
        <v>240</v>
      </c>
      <c r="CC269" s="5" t="s">
        <v>240</v>
      </c>
      <c r="CG269" s="5" t="s">
        <v>617</v>
      </c>
      <c r="CH269" s="5" t="s">
        <v>305</v>
      </c>
      <c r="CI269" s="5" t="s">
        <v>240</v>
      </c>
      <c r="CL269" s="6" t="s">
        <v>261</v>
      </c>
      <c r="CM269" s="5" t="s">
        <v>240</v>
      </c>
      <c r="CN269" s="5" t="s">
        <v>263</v>
      </c>
      <c r="CO269" s="5" t="s">
        <v>240</v>
      </c>
      <c r="CP269" s="5" t="s">
        <v>240</v>
      </c>
      <c r="CQ269" s="5">
        <v>0</v>
      </c>
      <c r="CR269" s="5" t="s">
        <v>306</v>
      </c>
      <c r="CS269" s="5" t="s">
        <v>307</v>
      </c>
      <c r="CT269" s="5" t="s">
        <v>307</v>
      </c>
      <c r="CU269" s="5" t="s">
        <v>260</v>
      </c>
      <c r="CX269" s="7">
        <f>7315</f>
        <v>7315</v>
      </c>
      <c r="CY269" s="7">
        <f>0</f>
        <v>0</v>
      </c>
      <c r="DA269" s="7">
        <f>0</f>
        <v>0</v>
      </c>
      <c r="DC269" s="5" t="s">
        <v>450</v>
      </c>
      <c r="DD269" s="5" t="s">
        <v>240</v>
      </c>
      <c r="DF269" s="5" t="s">
        <v>450</v>
      </c>
      <c r="DG269" s="7">
        <f>0</f>
        <v>0</v>
      </c>
      <c r="DI269" s="5" t="s">
        <v>737</v>
      </c>
      <c r="DJ269" s="5" t="s">
        <v>240</v>
      </c>
      <c r="DK269" s="5" t="s">
        <v>240</v>
      </c>
      <c r="DL269" s="5" t="s">
        <v>240</v>
      </c>
      <c r="DP269" s="5" t="s">
        <v>240</v>
      </c>
      <c r="DQ269" s="5" t="s">
        <v>240</v>
      </c>
      <c r="DR269" s="5" t="s">
        <v>240</v>
      </c>
      <c r="DS269" s="5" t="s">
        <v>240</v>
      </c>
      <c r="DV269" s="5" t="s">
        <v>905</v>
      </c>
      <c r="DW269" s="5" t="s">
        <v>312</v>
      </c>
      <c r="HO269" s="5" t="s">
        <v>312</v>
      </c>
    </row>
    <row r="270" spans="1:223" x14ac:dyDescent="0.4">
      <c r="A270" s="5">
        <v>1004</v>
      </c>
      <c r="B270" s="5">
        <v>1</v>
      </c>
      <c r="C270" s="5">
        <v>1</v>
      </c>
      <c r="D270" s="5" t="s">
        <v>1500</v>
      </c>
      <c r="E270" s="5" t="s">
        <v>1325</v>
      </c>
      <c r="F270" s="5" t="s">
        <v>254</v>
      </c>
      <c r="G270" s="5" t="s">
        <v>240</v>
      </c>
      <c r="H270" s="6" t="s">
        <v>1512</v>
      </c>
      <c r="I270" s="5" t="s">
        <v>1499</v>
      </c>
      <c r="J270" s="8">
        <f>204</f>
        <v>204</v>
      </c>
      <c r="K270" s="5" t="s">
        <v>308</v>
      </c>
      <c r="L270" s="7">
        <f>99960</f>
        <v>99960</v>
      </c>
      <c r="M270" s="7">
        <f>99960</f>
        <v>99960</v>
      </c>
      <c r="N270" s="5" t="s">
        <v>242</v>
      </c>
      <c r="O270" s="5">
        <v>1</v>
      </c>
      <c r="P270" s="5" t="s">
        <v>294</v>
      </c>
      <c r="Q270" s="5" t="s">
        <v>613</v>
      </c>
      <c r="R270" s="5" t="s">
        <v>240</v>
      </c>
      <c r="S270" s="5" t="s">
        <v>240</v>
      </c>
      <c r="T270" s="5" t="s">
        <v>243</v>
      </c>
      <c r="U270" s="5" t="s">
        <v>724</v>
      </c>
      <c r="V270" s="5" t="s">
        <v>240</v>
      </c>
      <c r="Y270" s="5" t="s">
        <v>240</v>
      </c>
      <c r="Z270" s="6" t="s">
        <v>298</v>
      </c>
      <c r="AB270" s="6" t="s">
        <v>240</v>
      </c>
      <c r="AE270" s="6" t="s">
        <v>299</v>
      </c>
      <c r="AF270" s="5" t="s">
        <v>248</v>
      </c>
      <c r="AG270" s="5" t="s">
        <v>249</v>
      </c>
      <c r="AW270" s="5" t="s">
        <v>251</v>
      </c>
      <c r="AX270" s="5" t="s">
        <v>240</v>
      </c>
      <c r="AY270" s="5" t="s">
        <v>253</v>
      </c>
      <c r="AZ270" s="5" t="s">
        <v>240</v>
      </c>
      <c r="BA270" s="5" t="s">
        <v>255</v>
      </c>
      <c r="BB270" s="5" t="s">
        <v>240</v>
      </c>
      <c r="BD270" s="5" t="s">
        <v>842</v>
      </c>
      <c r="BF270" s="5" t="s">
        <v>301</v>
      </c>
      <c r="BG270" s="6" t="s">
        <v>299</v>
      </c>
      <c r="BH270" s="5" t="s">
        <v>302</v>
      </c>
      <c r="BI270" s="5" t="s">
        <v>303</v>
      </c>
      <c r="BJ270" s="5" t="s">
        <v>240</v>
      </c>
      <c r="BK270" s="8">
        <f>0</f>
        <v>0</v>
      </c>
      <c r="BL270" s="7">
        <f>0</f>
        <v>0</v>
      </c>
      <c r="BM270" s="5" t="s">
        <v>258</v>
      </c>
      <c r="BN270" s="5" t="s">
        <v>259</v>
      </c>
      <c r="CB270" s="5" t="s">
        <v>240</v>
      </c>
      <c r="CC270" s="5" t="s">
        <v>240</v>
      </c>
      <c r="CG270" s="5" t="s">
        <v>617</v>
      </c>
      <c r="CH270" s="5" t="s">
        <v>305</v>
      </c>
      <c r="CI270" s="5" t="s">
        <v>240</v>
      </c>
      <c r="CL270" s="6" t="s">
        <v>261</v>
      </c>
      <c r="CM270" s="5" t="s">
        <v>240</v>
      </c>
      <c r="CN270" s="5" t="s">
        <v>263</v>
      </c>
      <c r="CO270" s="5" t="s">
        <v>240</v>
      </c>
      <c r="CP270" s="5" t="s">
        <v>240</v>
      </c>
      <c r="CQ270" s="5">
        <v>0</v>
      </c>
      <c r="CR270" s="5" t="s">
        <v>306</v>
      </c>
      <c r="CS270" s="5" t="s">
        <v>307</v>
      </c>
      <c r="CT270" s="5" t="s">
        <v>307</v>
      </c>
      <c r="CU270" s="5" t="s">
        <v>260</v>
      </c>
      <c r="CX270" s="7">
        <f>17644</f>
        <v>17644</v>
      </c>
      <c r="CY270" s="7">
        <f>0</f>
        <v>0</v>
      </c>
      <c r="DA270" s="7">
        <f>0</f>
        <v>0</v>
      </c>
      <c r="DC270" s="5" t="s">
        <v>450</v>
      </c>
      <c r="DD270" s="5" t="s">
        <v>240</v>
      </c>
      <c r="DF270" s="5" t="s">
        <v>450</v>
      </c>
      <c r="DG270" s="7">
        <f>0</f>
        <v>0</v>
      </c>
      <c r="DI270" s="5" t="s">
        <v>737</v>
      </c>
      <c r="DJ270" s="5" t="s">
        <v>240</v>
      </c>
      <c r="DK270" s="5" t="s">
        <v>240</v>
      </c>
      <c r="DL270" s="5" t="s">
        <v>240</v>
      </c>
      <c r="DP270" s="5" t="s">
        <v>240</v>
      </c>
      <c r="DQ270" s="5" t="s">
        <v>240</v>
      </c>
      <c r="DR270" s="5" t="s">
        <v>240</v>
      </c>
      <c r="DS270" s="5" t="s">
        <v>240</v>
      </c>
      <c r="DV270" s="5" t="s">
        <v>908</v>
      </c>
      <c r="DW270" s="5" t="s">
        <v>312</v>
      </c>
      <c r="HO270" s="5" t="s">
        <v>312</v>
      </c>
    </row>
    <row r="271" spans="1:223" x14ac:dyDescent="0.4">
      <c r="A271" s="5">
        <v>1005</v>
      </c>
      <c r="B271" s="5">
        <v>1</v>
      </c>
      <c r="C271" s="5">
        <v>1</v>
      </c>
      <c r="D271" s="5" t="s">
        <v>1500</v>
      </c>
      <c r="E271" s="5" t="s">
        <v>1325</v>
      </c>
      <c r="F271" s="5" t="s">
        <v>254</v>
      </c>
      <c r="G271" s="5" t="s">
        <v>240</v>
      </c>
      <c r="H271" s="6" t="s">
        <v>1511</v>
      </c>
      <c r="I271" s="5" t="s">
        <v>1499</v>
      </c>
      <c r="J271" s="8">
        <f>576</f>
        <v>576</v>
      </c>
      <c r="K271" s="5" t="s">
        <v>308</v>
      </c>
      <c r="L271" s="7">
        <f>282240</f>
        <v>282240</v>
      </c>
      <c r="M271" s="7">
        <f>282240</f>
        <v>282240</v>
      </c>
      <c r="N271" s="5" t="s">
        <v>242</v>
      </c>
      <c r="O271" s="5">
        <v>1</v>
      </c>
      <c r="P271" s="5" t="s">
        <v>294</v>
      </c>
      <c r="Q271" s="5" t="s">
        <v>613</v>
      </c>
      <c r="R271" s="5" t="s">
        <v>240</v>
      </c>
      <c r="S271" s="5" t="s">
        <v>240</v>
      </c>
      <c r="T271" s="5" t="s">
        <v>243</v>
      </c>
      <c r="U271" s="5" t="s">
        <v>724</v>
      </c>
      <c r="V271" s="5" t="s">
        <v>240</v>
      </c>
      <c r="Y271" s="5" t="s">
        <v>240</v>
      </c>
      <c r="Z271" s="6" t="s">
        <v>298</v>
      </c>
      <c r="AB271" s="6" t="s">
        <v>240</v>
      </c>
      <c r="AE271" s="6" t="s">
        <v>299</v>
      </c>
      <c r="AF271" s="5" t="s">
        <v>248</v>
      </c>
      <c r="AG271" s="5" t="s">
        <v>249</v>
      </c>
      <c r="AW271" s="5" t="s">
        <v>251</v>
      </c>
      <c r="AX271" s="5" t="s">
        <v>240</v>
      </c>
      <c r="AY271" s="5" t="s">
        <v>253</v>
      </c>
      <c r="AZ271" s="5" t="s">
        <v>240</v>
      </c>
      <c r="BA271" s="5" t="s">
        <v>255</v>
      </c>
      <c r="BB271" s="5" t="s">
        <v>240</v>
      </c>
      <c r="BD271" s="5" t="s">
        <v>842</v>
      </c>
      <c r="BF271" s="5" t="s">
        <v>301</v>
      </c>
      <c r="BG271" s="6" t="s">
        <v>299</v>
      </c>
      <c r="BH271" s="5" t="s">
        <v>302</v>
      </c>
      <c r="BI271" s="5" t="s">
        <v>303</v>
      </c>
      <c r="BJ271" s="5" t="s">
        <v>240</v>
      </c>
      <c r="BK271" s="8">
        <f>0</f>
        <v>0</v>
      </c>
      <c r="BL271" s="7">
        <f>0</f>
        <v>0</v>
      </c>
      <c r="BM271" s="5" t="s">
        <v>258</v>
      </c>
      <c r="BN271" s="5" t="s">
        <v>259</v>
      </c>
      <c r="CB271" s="5" t="s">
        <v>240</v>
      </c>
      <c r="CC271" s="5" t="s">
        <v>240</v>
      </c>
      <c r="CG271" s="5" t="s">
        <v>617</v>
      </c>
      <c r="CH271" s="5" t="s">
        <v>305</v>
      </c>
      <c r="CI271" s="5" t="s">
        <v>240</v>
      </c>
      <c r="CL271" s="6" t="s">
        <v>261</v>
      </c>
      <c r="CM271" s="5" t="s">
        <v>240</v>
      </c>
      <c r="CN271" s="5" t="s">
        <v>263</v>
      </c>
      <c r="CO271" s="5" t="s">
        <v>240</v>
      </c>
      <c r="CP271" s="5" t="s">
        <v>240</v>
      </c>
      <c r="CQ271" s="5">
        <v>0</v>
      </c>
      <c r="CR271" s="5" t="s">
        <v>306</v>
      </c>
      <c r="CS271" s="5" t="s">
        <v>307</v>
      </c>
      <c r="CT271" s="5" t="s">
        <v>307</v>
      </c>
      <c r="CU271" s="5" t="s">
        <v>260</v>
      </c>
      <c r="CX271" s="7">
        <f>17831</f>
        <v>17831</v>
      </c>
      <c r="CY271" s="7">
        <f>0</f>
        <v>0</v>
      </c>
      <c r="DA271" s="7">
        <f>0</f>
        <v>0</v>
      </c>
      <c r="DC271" s="5" t="s">
        <v>450</v>
      </c>
      <c r="DD271" s="5" t="s">
        <v>240</v>
      </c>
      <c r="DF271" s="5" t="s">
        <v>450</v>
      </c>
      <c r="DG271" s="7">
        <f>0</f>
        <v>0</v>
      </c>
      <c r="DI271" s="5" t="s">
        <v>737</v>
      </c>
      <c r="DJ271" s="5" t="s">
        <v>240</v>
      </c>
      <c r="DK271" s="5" t="s">
        <v>240</v>
      </c>
      <c r="DL271" s="5" t="s">
        <v>240</v>
      </c>
      <c r="DP271" s="5" t="s">
        <v>240</v>
      </c>
      <c r="DQ271" s="5" t="s">
        <v>240</v>
      </c>
      <c r="DR271" s="5" t="s">
        <v>240</v>
      </c>
      <c r="DS271" s="5" t="s">
        <v>240</v>
      </c>
      <c r="DV271" s="5" t="s">
        <v>911</v>
      </c>
      <c r="DW271" s="5" t="s">
        <v>312</v>
      </c>
      <c r="HO271" s="5" t="s">
        <v>312</v>
      </c>
    </row>
    <row r="272" spans="1:223" x14ac:dyDescent="0.4">
      <c r="A272" s="5">
        <v>1006</v>
      </c>
      <c r="B272" s="5">
        <v>1</v>
      </c>
      <c r="C272" s="5">
        <v>1</v>
      </c>
      <c r="D272" s="5" t="s">
        <v>1500</v>
      </c>
      <c r="E272" s="5" t="s">
        <v>1325</v>
      </c>
      <c r="F272" s="5" t="s">
        <v>254</v>
      </c>
      <c r="G272" s="5" t="s">
        <v>240</v>
      </c>
      <c r="H272" s="6" t="s">
        <v>1510</v>
      </c>
      <c r="I272" s="5" t="s">
        <v>1499</v>
      </c>
      <c r="J272" s="8">
        <f>52</f>
        <v>52</v>
      </c>
      <c r="K272" s="5" t="s">
        <v>308</v>
      </c>
      <c r="L272" s="7">
        <f>25480</f>
        <v>25480</v>
      </c>
      <c r="M272" s="7">
        <f>25480</f>
        <v>25480</v>
      </c>
      <c r="N272" s="5" t="s">
        <v>242</v>
      </c>
      <c r="O272" s="5">
        <v>1</v>
      </c>
      <c r="P272" s="5" t="s">
        <v>294</v>
      </c>
      <c r="Q272" s="5" t="s">
        <v>613</v>
      </c>
      <c r="R272" s="5" t="s">
        <v>240</v>
      </c>
      <c r="S272" s="5" t="s">
        <v>240</v>
      </c>
      <c r="T272" s="5" t="s">
        <v>243</v>
      </c>
      <c r="U272" s="5" t="s">
        <v>724</v>
      </c>
      <c r="V272" s="5" t="s">
        <v>240</v>
      </c>
      <c r="Y272" s="5" t="s">
        <v>240</v>
      </c>
      <c r="Z272" s="6" t="s">
        <v>298</v>
      </c>
      <c r="AB272" s="6" t="s">
        <v>240</v>
      </c>
      <c r="AE272" s="6" t="s">
        <v>299</v>
      </c>
      <c r="AF272" s="5" t="s">
        <v>248</v>
      </c>
      <c r="AG272" s="5" t="s">
        <v>249</v>
      </c>
      <c r="AW272" s="5" t="s">
        <v>251</v>
      </c>
      <c r="AX272" s="5" t="s">
        <v>240</v>
      </c>
      <c r="AY272" s="5" t="s">
        <v>253</v>
      </c>
      <c r="AZ272" s="5" t="s">
        <v>240</v>
      </c>
      <c r="BA272" s="5" t="s">
        <v>255</v>
      </c>
      <c r="BB272" s="5" t="s">
        <v>240</v>
      </c>
      <c r="BD272" s="5" t="s">
        <v>842</v>
      </c>
      <c r="BF272" s="5" t="s">
        <v>301</v>
      </c>
      <c r="BG272" s="6" t="s">
        <v>299</v>
      </c>
      <c r="BH272" s="5" t="s">
        <v>302</v>
      </c>
      <c r="BI272" s="5" t="s">
        <v>303</v>
      </c>
      <c r="BJ272" s="5" t="s">
        <v>240</v>
      </c>
      <c r="BK272" s="8">
        <f>0</f>
        <v>0</v>
      </c>
      <c r="BL272" s="7">
        <f>0</f>
        <v>0</v>
      </c>
      <c r="BM272" s="5" t="s">
        <v>258</v>
      </c>
      <c r="BN272" s="5" t="s">
        <v>259</v>
      </c>
      <c r="CB272" s="5" t="s">
        <v>240</v>
      </c>
      <c r="CC272" s="5" t="s">
        <v>240</v>
      </c>
      <c r="CG272" s="5" t="s">
        <v>617</v>
      </c>
      <c r="CH272" s="5" t="s">
        <v>305</v>
      </c>
      <c r="CI272" s="5" t="s">
        <v>240</v>
      </c>
      <c r="CL272" s="6" t="s">
        <v>261</v>
      </c>
      <c r="CM272" s="5" t="s">
        <v>240</v>
      </c>
      <c r="CN272" s="5" t="s">
        <v>263</v>
      </c>
      <c r="CO272" s="5" t="s">
        <v>240</v>
      </c>
      <c r="CP272" s="5" t="s">
        <v>240</v>
      </c>
      <c r="CQ272" s="5">
        <v>0</v>
      </c>
      <c r="CR272" s="5" t="s">
        <v>306</v>
      </c>
      <c r="CS272" s="5" t="s">
        <v>307</v>
      </c>
      <c r="CT272" s="5" t="s">
        <v>307</v>
      </c>
      <c r="CU272" s="5" t="s">
        <v>260</v>
      </c>
      <c r="CX272" s="7">
        <f>22331</f>
        <v>22331</v>
      </c>
      <c r="CY272" s="7">
        <f>0</f>
        <v>0</v>
      </c>
      <c r="DA272" s="7">
        <f>0</f>
        <v>0</v>
      </c>
      <c r="DC272" s="5" t="s">
        <v>450</v>
      </c>
      <c r="DD272" s="5" t="s">
        <v>240</v>
      </c>
      <c r="DF272" s="5" t="s">
        <v>450</v>
      </c>
      <c r="DG272" s="7">
        <f>0</f>
        <v>0</v>
      </c>
      <c r="DI272" s="5" t="s">
        <v>737</v>
      </c>
      <c r="DJ272" s="5" t="s">
        <v>240</v>
      </c>
      <c r="DK272" s="5" t="s">
        <v>240</v>
      </c>
      <c r="DL272" s="5" t="s">
        <v>240</v>
      </c>
      <c r="DP272" s="5" t="s">
        <v>240</v>
      </c>
      <c r="DQ272" s="5" t="s">
        <v>240</v>
      </c>
      <c r="DR272" s="5" t="s">
        <v>240</v>
      </c>
      <c r="DS272" s="5" t="s">
        <v>240</v>
      </c>
      <c r="DV272" s="5" t="s">
        <v>914</v>
      </c>
      <c r="DW272" s="5" t="s">
        <v>312</v>
      </c>
      <c r="HO272" s="5" t="s">
        <v>312</v>
      </c>
    </row>
    <row r="273" spans="1:223" x14ac:dyDescent="0.4">
      <c r="A273" s="5">
        <v>1007</v>
      </c>
      <c r="B273" s="5">
        <v>1</v>
      </c>
      <c r="C273" s="5">
        <v>1</v>
      </c>
      <c r="D273" s="5" t="s">
        <v>1500</v>
      </c>
      <c r="E273" s="5" t="s">
        <v>1325</v>
      </c>
      <c r="F273" s="5" t="s">
        <v>254</v>
      </c>
      <c r="G273" s="5" t="s">
        <v>240</v>
      </c>
      <c r="H273" s="6" t="s">
        <v>1509</v>
      </c>
      <c r="I273" s="5" t="s">
        <v>1499</v>
      </c>
      <c r="J273" s="8">
        <f>235</f>
        <v>235</v>
      </c>
      <c r="K273" s="5" t="s">
        <v>308</v>
      </c>
      <c r="L273" s="7">
        <f>115150</f>
        <v>115150</v>
      </c>
      <c r="M273" s="7">
        <f>115150</f>
        <v>115150</v>
      </c>
      <c r="N273" s="5" t="s">
        <v>242</v>
      </c>
      <c r="O273" s="5">
        <v>1</v>
      </c>
      <c r="P273" s="5" t="s">
        <v>294</v>
      </c>
      <c r="Q273" s="5" t="s">
        <v>613</v>
      </c>
      <c r="R273" s="5" t="s">
        <v>240</v>
      </c>
      <c r="S273" s="5" t="s">
        <v>240</v>
      </c>
      <c r="T273" s="5" t="s">
        <v>243</v>
      </c>
      <c r="U273" s="5" t="s">
        <v>724</v>
      </c>
      <c r="V273" s="5" t="s">
        <v>240</v>
      </c>
      <c r="Y273" s="5" t="s">
        <v>240</v>
      </c>
      <c r="Z273" s="6" t="s">
        <v>298</v>
      </c>
      <c r="AB273" s="6" t="s">
        <v>240</v>
      </c>
      <c r="AE273" s="6" t="s">
        <v>299</v>
      </c>
      <c r="AF273" s="5" t="s">
        <v>248</v>
      </c>
      <c r="AG273" s="5" t="s">
        <v>249</v>
      </c>
      <c r="AW273" s="5" t="s">
        <v>251</v>
      </c>
      <c r="AX273" s="5" t="s">
        <v>240</v>
      </c>
      <c r="AY273" s="5" t="s">
        <v>253</v>
      </c>
      <c r="AZ273" s="5" t="s">
        <v>240</v>
      </c>
      <c r="BA273" s="5" t="s">
        <v>255</v>
      </c>
      <c r="BB273" s="5" t="s">
        <v>240</v>
      </c>
      <c r="BD273" s="5" t="s">
        <v>842</v>
      </c>
      <c r="BF273" s="5" t="s">
        <v>301</v>
      </c>
      <c r="BG273" s="6" t="s">
        <v>299</v>
      </c>
      <c r="BH273" s="5" t="s">
        <v>302</v>
      </c>
      <c r="BI273" s="5" t="s">
        <v>303</v>
      </c>
      <c r="BJ273" s="5" t="s">
        <v>240</v>
      </c>
      <c r="BK273" s="8">
        <f>0</f>
        <v>0</v>
      </c>
      <c r="BL273" s="7">
        <f>0</f>
        <v>0</v>
      </c>
      <c r="BM273" s="5" t="s">
        <v>258</v>
      </c>
      <c r="BN273" s="5" t="s">
        <v>259</v>
      </c>
      <c r="CB273" s="5" t="s">
        <v>240</v>
      </c>
      <c r="CC273" s="5" t="s">
        <v>240</v>
      </c>
      <c r="CG273" s="5" t="s">
        <v>617</v>
      </c>
      <c r="CH273" s="5" t="s">
        <v>305</v>
      </c>
      <c r="CI273" s="5" t="s">
        <v>240</v>
      </c>
      <c r="CL273" s="6" t="s">
        <v>261</v>
      </c>
      <c r="CM273" s="5" t="s">
        <v>240</v>
      </c>
      <c r="CN273" s="5" t="s">
        <v>263</v>
      </c>
      <c r="CO273" s="5" t="s">
        <v>240</v>
      </c>
      <c r="CP273" s="5" t="s">
        <v>240</v>
      </c>
      <c r="CQ273" s="5">
        <v>0</v>
      </c>
      <c r="CR273" s="5" t="s">
        <v>306</v>
      </c>
      <c r="CS273" s="5" t="s">
        <v>307</v>
      </c>
      <c r="CT273" s="5" t="s">
        <v>307</v>
      </c>
      <c r="CU273" s="5" t="s">
        <v>260</v>
      </c>
      <c r="CX273" s="7">
        <f>7480</f>
        <v>7480</v>
      </c>
      <c r="CY273" s="7">
        <f>0</f>
        <v>0</v>
      </c>
      <c r="DA273" s="7">
        <f>0</f>
        <v>0</v>
      </c>
      <c r="DC273" s="5" t="s">
        <v>450</v>
      </c>
      <c r="DD273" s="5" t="s">
        <v>240</v>
      </c>
      <c r="DF273" s="5" t="s">
        <v>450</v>
      </c>
      <c r="DG273" s="7">
        <f>0</f>
        <v>0</v>
      </c>
      <c r="DI273" s="5" t="s">
        <v>737</v>
      </c>
      <c r="DJ273" s="5" t="s">
        <v>240</v>
      </c>
      <c r="DK273" s="5" t="s">
        <v>240</v>
      </c>
      <c r="DL273" s="5" t="s">
        <v>240</v>
      </c>
      <c r="DP273" s="5" t="s">
        <v>240</v>
      </c>
      <c r="DQ273" s="5" t="s">
        <v>240</v>
      </c>
      <c r="DR273" s="5" t="s">
        <v>240</v>
      </c>
      <c r="DS273" s="5" t="s">
        <v>240</v>
      </c>
      <c r="DV273" s="5" t="s">
        <v>917</v>
      </c>
      <c r="DW273" s="5" t="s">
        <v>312</v>
      </c>
      <c r="HO273" s="5" t="s">
        <v>312</v>
      </c>
    </row>
    <row r="274" spans="1:223" x14ac:dyDescent="0.4">
      <c r="A274" s="5">
        <v>1008</v>
      </c>
      <c r="B274" s="5">
        <v>1</v>
      </c>
      <c r="C274" s="5">
        <v>1</v>
      </c>
      <c r="D274" s="5" t="s">
        <v>1500</v>
      </c>
      <c r="E274" s="5" t="s">
        <v>1325</v>
      </c>
      <c r="F274" s="5" t="s">
        <v>254</v>
      </c>
      <c r="G274" s="5" t="s">
        <v>240</v>
      </c>
      <c r="H274" s="6" t="s">
        <v>1508</v>
      </c>
      <c r="I274" s="5" t="s">
        <v>1499</v>
      </c>
      <c r="J274" s="8">
        <f>450</f>
        <v>450</v>
      </c>
      <c r="K274" s="5" t="s">
        <v>308</v>
      </c>
      <c r="L274" s="7">
        <f>220500</f>
        <v>220500</v>
      </c>
      <c r="M274" s="7">
        <f>220500</f>
        <v>220500</v>
      </c>
      <c r="N274" s="5" t="s">
        <v>242</v>
      </c>
      <c r="O274" s="5">
        <v>1</v>
      </c>
      <c r="P274" s="5" t="s">
        <v>294</v>
      </c>
      <c r="Q274" s="5" t="s">
        <v>613</v>
      </c>
      <c r="R274" s="5" t="s">
        <v>240</v>
      </c>
      <c r="S274" s="5" t="s">
        <v>240</v>
      </c>
      <c r="T274" s="5" t="s">
        <v>243</v>
      </c>
      <c r="U274" s="5" t="s">
        <v>724</v>
      </c>
      <c r="V274" s="5" t="s">
        <v>240</v>
      </c>
      <c r="Y274" s="5" t="s">
        <v>240</v>
      </c>
      <c r="Z274" s="6" t="s">
        <v>298</v>
      </c>
      <c r="AB274" s="6" t="s">
        <v>240</v>
      </c>
      <c r="AE274" s="6" t="s">
        <v>299</v>
      </c>
      <c r="AF274" s="5" t="s">
        <v>248</v>
      </c>
      <c r="AG274" s="5" t="s">
        <v>249</v>
      </c>
      <c r="AW274" s="5" t="s">
        <v>251</v>
      </c>
      <c r="AX274" s="5" t="s">
        <v>240</v>
      </c>
      <c r="AY274" s="5" t="s">
        <v>253</v>
      </c>
      <c r="AZ274" s="5" t="s">
        <v>240</v>
      </c>
      <c r="BA274" s="5" t="s">
        <v>255</v>
      </c>
      <c r="BB274" s="5" t="s">
        <v>240</v>
      </c>
      <c r="BD274" s="5" t="s">
        <v>842</v>
      </c>
      <c r="BF274" s="5" t="s">
        <v>301</v>
      </c>
      <c r="BG274" s="6" t="s">
        <v>299</v>
      </c>
      <c r="BH274" s="5" t="s">
        <v>302</v>
      </c>
      <c r="BI274" s="5" t="s">
        <v>303</v>
      </c>
      <c r="BJ274" s="5" t="s">
        <v>240</v>
      </c>
      <c r="BK274" s="8">
        <f>0</f>
        <v>0</v>
      </c>
      <c r="BL274" s="7">
        <f>0</f>
        <v>0</v>
      </c>
      <c r="BM274" s="5" t="s">
        <v>258</v>
      </c>
      <c r="BN274" s="5" t="s">
        <v>259</v>
      </c>
      <c r="CB274" s="5" t="s">
        <v>240</v>
      </c>
      <c r="CC274" s="5" t="s">
        <v>240</v>
      </c>
      <c r="CG274" s="5" t="s">
        <v>617</v>
      </c>
      <c r="CH274" s="5" t="s">
        <v>305</v>
      </c>
      <c r="CI274" s="5" t="s">
        <v>240</v>
      </c>
      <c r="CL274" s="6" t="s">
        <v>261</v>
      </c>
      <c r="CM274" s="5" t="s">
        <v>240</v>
      </c>
      <c r="CN274" s="5" t="s">
        <v>263</v>
      </c>
      <c r="CO274" s="5" t="s">
        <v>240</v>
      </c>
      <c r="CP274" s="5" t="s">
        <v>240</v>
      </c>
      <c r="CQ274" s="5">
        <v>0</v>
      </c>
      <c r="CR274" s="5" t="s">
        <v>306</v>
      </c>
      <c r="CS274" s="5" t="s">
        <v>307</v>
      </c>
      <c r="CT274" s="5" t="s">
        <v>307</v>
      </c>
      <c r="CU274" s="5" t="s">
        <v>260</v>
      </c>
      <c r="CX274" s="7">
        <f>28006</f>
        <v>28006</v>
      </c>
      <c r="CY274" s="7">
        <f>0</f>
        <v>0</v>
      </c>
      <c r="DA274" s="7">
        <f>0</f>
        <v>0</v>
      </c>
      <c r="DC274" s="5" t="s">
        <v>450</v>
      </c>
      <c r="DD274" s="5" t="s">
        <v>240</v>
      </c>
      <c r="DF274" s="5" t="s">
        <v>450</v>
      </c>
      <c r="DG274" s="7">
        <f>0</f>
        <v>0</v>
      </c>
      <c r="DI274" s="5" t="s">
        <v>737</v>
      </c>
      <c r="DJ274" s="5" t="s">
        <v>240</v>
      </c>
      <c r="DK274" s="5" t="s">
        <v>240</v>
      </c>
      <c r="DL274" s="5" t="s">
        <v>240</v>
      </c>
      <c r="DP274" s="5" t="s">
        <v>240</v>
      </c>
      <c r="DQ274" s="5" t="s">
        <v>240</v>
      </c>
      <c r="DR274" s="5" t="s">
        <v>240</v>
      </c>
      <c r="DS274" s="5" t="s">
        <v>240</v>
      </c>
      <c r="DV274" s="5" t="s">
        <v>920</v>
      </c>
      <c r="DW274" s="5" t="s">
        <v>312</v>
      </c>
      <c r="HO274" s="5" t="s">
        <v>312</v>
      </c>
    </row>
    <row r="275" spans="1:223" x14ac:dyDescent="0.4">
      <c r="A275" s="5">
        <v>1009</v>
      </c>
      <c r="B275" s="5">
        <v>1</v>
      </c>
      <c r="C275" s="5">
        <v>1</v>
      </c>
      <c r="D275" s="5" t="s">
        <v>1500</v>
      </c>
      <c r="E275" s="5" t="s">
        <v>1325</v>
      </c>
      <c r="F275" s="5" t="s">
        <v>254</v>
      </c>
      <c r="G275" s="5" t="s">
        <v>240</v>
      </c>
      <c r="H275" s="6" t="s">
        <v>1507</v>
      </c>
      <c r="I275" s="5" t="s">
        <v>1499</v>
      </c>
      <c r="J275" s="8">
        <f>11</f>
        <v>11</v>
      </c>
      <c r="K275" s="5" t="s">
        <v>308</v>
      </c>
      <c r="L275" s="7">
        <f>5390</f>
        <v>5390</v>
      </c>
      <c r="M275" s="7">
        <f>5390</f>
        <v>5390</v>
      </c>
      <c r="N275" s="5" t="s">
        <v>242</v>
      </c>
      <c r="O275" s="5">
        <v>1</v>
      </c>
      <c r="P275" s="5" t="s">
        <v>294</v>
      </c>
      <c r="Q275" s="5" t="s">
        <v>613</v>
      </c>
      <c r="R275" s="5" t="s">
        <v>240</v>
      </c>
      <c r="S275" s="5" t="s">
        <v>240</v>
      </c>
      <c r="T275" s="5" t="s">
        <v>243</v>
      </c>
      <c r="U275" s="5" t="s">
        <v>724</v>
      </c>
      <c r="V275" s="5" t="s">
        <v>240</v>
      </c>
      <c r="Y275" s="5" t="s">
        <v>240</v>
      </c>
      <c r="Z275" s="6" t="s">
        <v>298</v>
      </c>
      <c r="AB275" s="6" t="s">
        <v>240</v>
      </c>
      <c r="AE275" s="6" t="s">
        <v>299</v>
      </c>
      <c r="AF275" s="5" t="s">
        <v>248</v>
      </c>
      <c r="AG275" s="5" t="s">
        <v>249</v>
      </c>
      <c r="AW275" s="5" t="s">
        <v>251</v>
      </c>
      <c r="AX275" s="5" t="s">
        <v>240</v>
      </c>
      <c r="AY275" s="5" t="s">
        <v>253</v>
      </c>
      <c r="AZ275" s="5" t="s">
        <v>240</v>
      </c>
      <c r="BA275" s="5" t="s">
        <v>255</v>
      </c>
      <c r="BB275" s="5" t="s">
        <v>240</v>
      </c>
      <c r="BD275" s="5" t="s">
        <v>842</v>
      </c>
      <c r="BF275" s="5" t="s">
        <v>301</v>
      </c>
      <c r="BG275" s="6" t="s">
        <v>299</v>
      </c>
      <c r="BH275" s="5" t="s">
        <v>302</v>
      </c>
      <c r="BI275" s="5" t="s">
        <v>303</v>
      </c>
      <c r="BJ275" s="5" t="s">
        <v>240</v>
      </c>
      <c r="BK275" s="8">
        <f>0</f>
        <v>0</v>
      </c>
      <c r="BL275" s="7">
        <f>0</f>
        <v>0</v>
      </c>
      <c r="BM275" s="5" t="s">
        <v>258</v>
      </c>
      <c r="BN275" s="5" t="s">
        <v>259</v>
      </c>
      <c r="CB275" s="5" t="s">
        <v>240</v>
      </c>
      <c r="CC275" s="5" t="s">
        <v>240</v>
      </c>
      <c r="CG275" s="5" t="s">
        <v>617</v>
      </c>
      <c r="CH275" s="5" t="s">
        <v>305</v>
      </c>
      <c r="CI275" s="5" t="s">
        <v>240</v>
      </c>
      <c r="CL275" s="6" t="s">
        <v>261</v>
      </c>
      <c r="CM275" s="5" t="s">
        <v>240</v>
      </c>
      <c r="CN275" s="5" t="s">
        <v>263</v>
      </c>
      <c r="CO275" s="5" t="s">
        <v>240</v>
      </c>
      <c r="CP275" s="5" t="s">
        <v>240</v>
      </c>
      <c r="CQ275" s="5">
        <v>0</v>
      </c>
      <c r="CR275" s="5" t="s">
        <v>306</v>
      </c>
      <c r="CS275" s="5" t="s">
        <v>307</v>
      </c>
      <c r="CT275" s="5" t="s">
        <v>307</v>
      </c>
      <c r="CU275" s="5" t="s">
        <v>260</v>
      </c>
      <c r="CX275" s="7">
        <f>5599</f>
        <v>5599</v>
      </c>
      <c r="CY275" s="7">
        <f>0</f>
        <v>0</v>
      </c>
      <c r="DA275" s="7">
        <f>0</f>
        <v>0</v>
      </c>
      <c r="DC275" s="5" t="s">
        <v>450</v>
      </c>
      <c r="DD275" s="5" t="s">
        <v>240</v>
      </c>
      <c r="DF275" s="5" t="s">
        <v>450</v>
      </c>
      <c r="DG275" s="7">
        <f>0</f>
        <v>0</v>
      </c>
      <c r="DI275" s="5" t="s">
        <v>737</v>
      </c>
      <c r="DJ275" s="5" t="s">
        <v>240</v>
      </c>
      <c r="DK275" s="5" t="s">
        <v>240</v>
      </c>
      <c r="DL275" s="5" t="s">
        <v>240</v>
      </c>
      <c r="DP275" s="5" t="s">
        <v>240</v>
      </c>
      <c r="DQ275" s="5" t="s">
        <v>240</v>
      </c>
      <c r="DR275" s="5" t="s">
        <v>240</v>
      </c>
      <c r="DS275" s="5" t="s">
        <v>240</v>
      </c>
      <c r="DV275" s="5" t="s">
        <v>923</v>
      </c>
      <c r="DW275" s="5" t="s">
        <v>312</v>
      </c>
      <c r="HO275" s="5" t="s">
        <v>312</v>
      </c>
    </row>
    <row r="276" spans="1:223" x14ac:dyDescent="0.4">
      <c r="A276" s="5">
        <v>1010</v>
      </c>
      <c r="B276" s="5">
        <v>1</v>
      </c>
      <c r="C276" s="5">
        <v>1</v>
      </c>
      <c r="D276" s="5" t="s">
        <v>1500</v>
      </c>
      <c r="E276" s="5" t="s">
        <v>1325</v>
      </c>
      <c r="F276" s="5" t="s">
        <v>254</v>
      </c>
      <c r="G276" s="5" t="s">
        <v>240</v>
      </c>
      <c r="H276" s="6" t="s">
        <v>1506</v>
      </c>
      <c r="I276" s="5" t="s">
        <v>1499</v>
      </c>
      <c r="J276" s="8">
        <f>362</f>
        <v>362</v>
      </c>
      <c r="K276" s="5" t="s">
        <v>308</v>
      </c>
      <c r="L276" s="7">
        <f>177380</f>
        <v>177380</v>
      </c>
      <c r="M276" s="7">
        <f>177380</f>
        <v>177380</v>
      </c>
      <c r="N276" s="5" t="s">
        <v>242</v>
      </c>
      <c r="O276" s="5">
        <v>1</v>
      </c>
      <c r="P276" s="5" t="s">
        <v>294</v>
      </c>
      <c r="Q276" s="5" t="s">
        <v>266</v>
      </c>
      <c r="R276" s="5" t="s">
        <v>240</v>
      </c>
      <c r="S276" s="5" t="s">
        <v>240</v>
      </c>
      <c r="T276" s="5" t="s">
        <v>296</v>
      </c>
      <c r="U276" s="5" t="s">
        <v>244</v>
      </c>
      <c r="V276" s="5" t="s">
        <v>240</v>
      </c>
      <c r="Y276" s="5" t="s">
        <v>240</v>
      </c>
      <c r="Z276" s="6" t="s">
        <v>298</v>
      </c>
      <c r="AB276" s="6" t="s">
        <v>240</v>
      </c>
      <c r="AE276" s="6" t="s">
        <v>299</v>
      </c>
      <c r="AF276" s="5" t="s">
        <v>248</v>
      </c>
      <c r="AG276" s="5" t="s">
        <v>249</v>
      </c>
      <c r="AW276" s="5" t="s">
        <v>251</v>
      </c>
      <c r="AX276" s="5" t="s">
        <v>240</v>
      </c>
      <c r="AY276" s="5" t="s">
        <v>253</v>
      </c>
      <c r="AZ276" s="5" t="s">
        <v>240</v>
      </c>
      <c r="BA276" s="5" t="s">
        <v>255</v>
      </c>
      <c r="BB276" s="5" t="s">
        <v>240</v>
      </c>
      <c r="BD276" s="5" t="s">
        <v>240</v>
      </c>
      <c r="BF276" s="5" t="s">
        <v>301</v>
      </c>
      <c r="BG276" s="6" t="s">
        <v>299</v>
      </c>
      <c r="BH276" s="5" t="s">
        <v>302</v>
      </c>
      <c r="BI276" s="5" t="s">
        <v>303</v>
      </c>
      <c r="BJ276" s="5" t="s">
        <v>240</v>
      </c>
      <c r="BK276" s="8">
        <f>0</f>
        <v>0</v>
      </c>
      <c r="BL276" s="7">
        <f>0</f>
        <v>0</v>
      </c>
      <c r="BM276" s="5" t="s">
        <v>258</v>
      </c>
      <c r="BN276" s="5" t="s">
        <v>259</v>
      </c>
      <c r="CB276" s="5" t="s">
        <v>240</v>
      </c>
      <c r="CC276" s="5" t="s">
        <v>240</v>
      </c>
      <c r="CG276" s="5" t="s">
        <v>304</v>
      </c>
      <c r="CH276" s="5" t="s">
        <v>305</v>
      </c>
      <c r="CI276" s="5" t="s">
        <v>240</v>
      </c>
      <c r="CL276" s="6" t="s">
        <v>261</v>
      </c>
      <c r="CM276" s="5" t="s">
        <v>240</v>
      </c>
      <c r="CN276" s="5" t="s">
        <v>263</v>
      </c>
      <c r="CO276" s="5" t="s">
        <v>240</v>
      </c>
      <c r="CP276" s="5" t="s">
        <v>240</v>
      </c>
      <c r="CQ276" s="5">
        <v>0</v>
      </c>
      <c r="CR276" s="5" t="s">
        <v>306</v>
      </c>
      <c r="CS276" s="5" t="s">
        <v>307</v>
      </c>
      <c r="CT276" s="5" t="s">
        <v>307</v>
      </c>
      <c r="CU276" s="5" t="s">
        <v>260</v>
      </c>
      <c r="CX276" s="7">
        <f>1</f>
        <v>1</v>
      </c>
      <c r="CY276" s="7">
        <f>0</f>
        <v>0</v>
      </c>
      <c r="DA276" s="7">
        <f>0</f>
        <v>0</v>
      </c>
      <c r="DC276" s="5" t="s">
        <v>812</v>
      </c>
      <c r="DD276" s="5" t="s">
        <v>240</v>
      </c>
      <c r="DF276" s="5" t="s">
        <v>812</v>
      </c>
      <c r="DG276" s="7">
        <f>934</f>
        <v>934</v>
      </c>
      <c r="DI276" s="5" t="s">
        <v>240</v>
      </c>
      <c r="DJ276" s="5" t="s">
        <v>240</v>
      </c>
      <c r="DK276" s="5" t="s">
        <v>240</v>
      </c>
      <c r="DL276" s="5" t="s">
        <v>240</v>
      </c>
      <c r="DP276" s="5" t="s">
        <v>240</v>
      </c>
      <c r="DQ276" s="5" t="s">
        <v>240</v>
      </c>
      <c r="DR276" s="5" t="s">
        <v>240</v>
      </c>
      <c r="DS276" s="5" t="s">
        <v>240</v>
      </c>
      <c r="DV276" s="5" t="s">
        <v>813</v>
      </c>
      <c r="DW276" s="5" t="s">
        <v>925</v>
      </c>
      <c r="HO276" s="5" t="s">
        <v>312</v>
      </c>
    </row>
    <row r="277" spans="1:223" x14ac:dyDescent="0.4">
      <c r="A277" s="5">
        <v>1011</v>
      </c>
      <c r="B277" s="5">
        <v>1</v>
      </c>
      <c r="C277" s="5">
        <v>1</v>
      </c>
      <c r="D277" s="5" t="s">
        <v>1500</v>
      </c>
      <c r="E277" s="5" t="s">
        <v>1325</v>
      </c>
      <c r="F277" s="5" t="s">
        <v>254</v>
      </c>
      <c r="G277" s="5" t="s">
        <v>240</v>
      </c>
      <c r="H277" s="6" t="s">
        <v>1505</v>
      </c>
      <c r="I277" s="5" t="s">
        <v>1499</v>
      </c>
      <c r="J277" s="8">
        <f>75</f>
        <v>75</v>
      </c>
      <c r="K277" s="5" t="s">
        <v>308</v>
      </c>
      <c r="L277" s="7">
        <f>36750</f>
        <v>36750</v>
      </c>
      <c r="M277" s="7">
        <f>36750</f>
        <v>36750</v>
      </c>
      <c r="N277" s="5" t="s">
        <v>242</v>
      </c>
      <c r="O277" s="5">
        <v>1</v>
      </c>
      <c r="P277" s="5" t="s">
        <v>294</v>
      </c>
      <c r="Q277" s="5" t="s">
        <v>613</v>
      </c>
      <c r="R277" s="5" t="s">
        <v>240</v>
      </c>
      <c r="S277" s="5" t="s">
        <v>240</v>
      </c>
      <c r="T277" s="5" t="s">
        <v>243</v>
      </c>
      <c r="U277" s="5" t="s">
        <v>724</v>
      </c>
      <c r="V277" s="5" t="s">
        <v>240</v>
      </c>
      <c r="Y277" s="5" t="s">
        <v>240</v>
      </c>
      <c r="Z277" s="6" t="s">
        <v>298</v>
      </c>
      <c r="AB277" s="6" t="s">
        <v>240</v>
      </c>
      <c r="AE277" s="6" t="s">
        <v>299</v>
      </c>
      <c r="AF277" s="5" t="s">
        <v>248</v>
      </c>
      <c r="AG277" s="5" t="s">
        <v>249</v>
      </c>
      <c r="AW277" s="5" t="s">
        <v>251</v>
      </c>
      <c r="AX277" s="5" t="s">
        <v>240</v>
      </c>
      <c r="AY277" s="5" t="s">
        <v>253</v>
      </c>
      <c r="AZ277" s="5" t="s">
        <v>240</v>
      </c>
      <c r="BA277" s="5" t="s">
        <v>255</v>
      </c>
      <c r="BB277" s="5" t="s">
        <v>240</v>
      </c>
      <c r="BD277" s="5" t="s">
        <v>842</v>
      </c>
      <c r="BF277" s="5" t="s">
        <v>301</v>
      </c>
      <c r="BG277" s="6" t="s">
        <v>299</v>
      </c>
      <c r="BH277" s="5" t="s">
        <v>302</v>
      </c>
      <c r="BI277" s="5" t="s">
        <v>303</v>
      </c>
      <c r="BJ277" s="5" t="s">
        <v>240</v>
      </c>
      <c r="BK277" s="8">
        <f>0</f>
        <v>0</v>
      </c>
      <c r="BL277" s="7">
        <f>0</f>
        <v>0</v>
      </c>
      <c r="BM277" s="5" t="s">
        <v>258</v>
      </c>
      <c r="BN277" s="5" t="s">
        <v>259</v>
      </c>
      <c r="CB277" s="5" t="s">
        <v>240</v>
      </c>
      <c r="CC277" s="5" t="s">
        <v>240</v>
      </c>
      <c r="CG277" s="5" t="s">
        <v>617</v>
      </c>
      <c r="CH277" s="5" t="s">
        <v>305</v>
      </c>
      <c r="CI277" s="5" t="s">
        <v>240</v>
      </c>
      <c r="CL277" s="6" t="s">
        <v>261</v>
      </c>
      <c r="CM277" s="5" t="s">
        <v>240</v>
      </c>
      <c r="CN277" s="5" t="s">
        <v>263</v>
      </c>
      <c r="CO277" s="5" t="s">
        <v>240</v>
      </c>
      <c r="CP277" s="5" t="s">
        <v>240</v>
      </c>
      <c r="CQ277" s="5">
        <v>0</v>
      </c>
      <c r="CR277" s="5" t="s">
        <v>306</v>
      </c>
      <c r="CS277" s="5" t="s">
        <v>307</v>
      </c>
      <c r="CT277" s="5" t="s">
        <v>307</v>
      </c>
      <c r="CU277" s="5" t="s">
        <v>260</v>
      </c>
      <c r="CX277" s="7">
        <f>3256</f>
        <v>3256</v>
      </c>
      <c r="CY277" s="7">
        <f>0</f>
        <v>0</v>
      </c>
      <c r="DA277" s="7">
        <f>0</f>
        <v>0</v>
      </c>
      <c r="DC277" s="5" t="s">
        <v>450</v>
      </c>
      <c r="DD277" s="5" t="s">
        <v>240</v>
      </c>
      <c r="DF277" s="5" t="s">
        <v>450</v>
      </c>
      <c r="DG277" s="7">
        <f>0</f>
        <v>0</v>
      </c>
      <c r="DI277" s="5" t="s">
        <v>737</v>
      </c>
      <c r="DJ277" s="5" t="s">
        <v>240</v>
      </c>
      <c r="DK277" s="5" t="s">
        <v>240</v>
      </c>
      <c r="DL277" s="5" t="s">
        <v>240</v>
      </c>
      <c r="DP277" s="5" t="s">
        <v>240</v>
      </c>
      <c r="DQ277" s="5" t="s">
        <v>240</v>
      </c>
      <c r="DR277" s="5" t="s">
        <v>240</v>
      </c>
      <c r="DS277" s="5" t="s">
        <v>240</v>
      </c>
      <c r="DV277" s="5" t="s">
        <v>928</v>
      </c>
      <c r="DW277" s="5" t="s">
        <v>312</v>
      </c>
      <c r="HO277" s="5" t="s">
        <v>312</v>
      </c>
    </row>
    <row r="278" spans="1:223" x14ac:dyDescent="0.4">
      <c r="A278" s="5">
        <v>1012</v>
      </c>
      <c r="B278" s="5">
        <v>1</v>
      </c>
      <c r="C278" s="5">
        <v>1</v>
      </c>
      <c r="D278" s="5" t="s">
        <v>1500</v>
      </c>
      <c r="E278" s="5" t="s">
        <v>1325</v>
      </c>
      <c r="F278" s="5" t="s">
        <v>254</v>
      </c>
      <c r="G278" s="5" t="s">
        <v>240</v>
      </c>
      <c r="H278" s="6" t="s">
        <v>1504</v>
      </c>
      <c r="I278" s="5" t="s">
        <v>1499</v>
      </c>
      <c r="J278" s="8">
        <f>500</f>
        <v>500</v>
      </c>
      <c r="K278" s="5" t="s">
        <v>308</v>
      </c>
      <c r="L278" s="7">
        <f>245000</f>
        <v>245000</v>
      </c>
      <c r="M278" s="7">
        <f>245000</f>
        <v>245000</v>
      </c>
      <c r="N278" s="5" t="s">
        <v>242</v>
      </c>
      <c r="O278" s="5">
        <v>1</v>
      </c>
      <c r="P278" s="5" t="s">
        <v>294</v>
      </c>
      <c r="Q278" s="5" t="s">
        <v>613</v>
      </c>
      <c r="R278" s="5" t="s">
        <v>240</v>
      </c>
      <c r="S278" s="5" t="s">
        <v>240</v>
      </c>
      <c r="T278" s="5" t="s">
        <v>243</v>
      </c>
      <c r="U278" s="5" t="s">
        <v>724</v>
      </c>
      <c r="V278" s="5" t="s">
        <v>240</v>
      </c>
      <c r="Y278" s="5" t="s">
        <v>240</v>
      </c>
      <c r="Z278" s="6" t="s">
        <v>298</v>
      </c>
      <c r="AB278" s="6" t="s">
        <v>240</v>
      </c>
      <c r="AE278" s="6" t="s">
        <v>299</v>
      </c>
      <c r="AF278" s="5" t="s">
        <v>248</v>
      </c>
      <c r="AG278" s="5" t="s">
        <v>249</v>
      </c>
      <c r="AW278" s="5" t="s">
        <v>251</v>
      </c>
      <c r="AX278" s="5" t="s">
        <v>240</v>
      </c>
      <c r="AY278" s="5" t="s">
        <v>253</v>
      </c>
      <c r="AZ278" s="5" t="s">
        <v>240</v>
      </c>
      <c r="BA278" s="5" t="s">
        <v>255</v>
      </c>
      <c r="BB278" s="5" t="s">
        <v>240</v>
      </c>
      <c r="BD278" s="5" t="s">
        <v>842</v>
      </c>
      <c r="BF278" s="5" t="s">
        <v>301</v>
      </c>
      <c r="BG278" s="6" t="s">
        <v>299</v>
      </c>
      <c r="BH278" s="5" t="s">
        <v>302</v>
      </c>
      <c r="BI278" s="5" t="s">
        <v>303</v>
      </c>
      <c r="BJ278" s="5" t="s">
        <v>240</v>
      </c>
      <c r="BK278" s="8">
        <f>0</f>
        <v>0</v>
      </c>
      <c r="BL278" s="7">
        <f>0</f>
        <v>0</v>
      </c>
      <c r="BM278" s="5" t="s">
        <v>258</v>
      </c>
      <c r="BN278" s="5" t="s">
        <v>259</v>
      </c>
      <c r="CB278" s="5" t="s">
        <v>240</v>
      </c>
      <c r="CC278" s="5" t="s">
        <v>240</v>
      </c>
      <c r="CG278" s="5" t="s">
        <v>617</v>
      </c>
      <c r="CH278" s="5" t="s">
        <v>305</v>
      </c>
      <c r="CI278" s="5" t="s">
        <v>240</v>
      </c>
      <c r="CL278" s="6" t="s">
        <v>261</v>
      </c>
      <c r="CM278" s="5" t="s">
        <v>240</v>
      </c>
      <c r="CN278" s="5" t="s">
        <v>263</v>
      </c>
      <c r="CO278" s="5" t="s">
        <v>240</v>
      </c>
      <c r="CP278" s="5" t="s">
        <v>240</v>
      </c>
      <c r="CQ278" s="5">
        <v>0</v>
      </c>
      <c r="CR278" s="5" t="s">
        <v>306</v>
      </c>
      <c r="CS278" s="5" t="s">
        <v>307</v>
      </c>
      <c r="CT278" s="5" t="s">
        <v>307</v>
      </c>
      <c r="CU278" s="5" t="s">
        <v>260</v>
      </c>
      <c r="CX278" s="7">
        <f>119218</f>
        <v>119218</v>
      </c>
      <c r="CY278" s="7">
        <f>0</f>
        <v>0</v>
      </c>
      <c r="DA278" s="7">
        <f>0</f>
        <v>0</v>
      </c>
      <c r="DC278" s="5" t="s">
        <v>450</v>
      </c>
      <c r="DD278" s="5" t="s">
        <v>240</v>
      </c>
      <c r="DF278" s="5" t="s">
        <v>450</v>
      </c>
      <c r="DG278" s="7">
        <f>0</f>
        <v>0</v>
      </c>
      <c r="DI278" s="5" t="s">
        <v>737</v>
      </c>
      <c r="DJ278" s="5" t="s">
        <v>240</v>
      </c>
      <c r="DK278" s="5" t="s">
        <v>240</v>
      </c>
      <c r="DL278" s="5" t="s">
        <v>240</v>
      </c>
      <c r="DP278" s="5" t="s">
        <v>240</v>
      </c>
      <c r="DQ278" s="5" t="s">
        <v>240</v>
      </c>
      <c r="DR278" s="5" t="s">
        <v>240</v>
      </c>
      <c r="DS278" s="5" t="s">
        <v>240</v>
      </c>
      <c r="DV278" s="5" t="s">
        <v>931</v>
      </c>
      <c r="DW278" s="5" t="s">
        <v>312</v>
      </c>
      <c r="HO278" s="5" t="s">
        <v>312</v>
      </c>
    </row>
    <row r="279" spans="1:223" x14ac:dyDescent="0.4">
      <c r="A279" s="5">
        <v>1013</v>
      </c>
      <c r="B279" s="5">
        <v>1</v>
      </c>
      <c r="C279" s="5">
        <v>1</v>
      </c>
      <c r="D279" s="5" t="s">
        <v>1500</v>
      </c>
      <c r="E279" s="5" t="s">
        <v>1325</v>
      </c>
      <c r="F279" s="5" t="s">
        <v>254</v>
      </c>
      <c r="G279" s="5" t="s">
        <v>240</v>
      </c>
      <c r="H279" s="6" t="s">
        <v>1503</v>
      </c>
      <c r="I279" s="5" t="s">
        <v>1499</v>
      </c>
      <c r="J279" s="8">
        <f>266</f>
        <v>266</v>
      </c>
      <c r="K279" s="5" t="s">
        <v>308</v>
      </c>
      <c r="L279" s="7">
        <f>130340</f>
        <v>130340</v>
      </c>
      <c r="M279" s="7">
        <f>130340</f>
        <v>130340</v>
      </c>
      <c r="N279" s="5" t="s">
        <v>242</v>
      </c>
      <c r="O279" s="5">
        <v>1</v>
      </c>
      <c r="P279" s="5" t="s">
        <v>294</v>
      </c>
      <c r="Q279" s="5" t="s">
        <v>613</v>
      </c>
      <c r="R279" s="5" t="s">
        <v>240</v>
      </c>
      <c r="S279" s="5" t="s">
        <v>240</v>
      </c>
      <c r="T279" s="5" t="s">
        <v>243</v>
      </c>
      <c r="U279" s="5" t="s">
        <v>724</v>
      </c>
      <c r="V279" s="5" t="s">
        <v>240</v>
      </c>
      <c r="Y279" s="5" t="s">
        <v>240</v>
      </c>
      <c r="Z279" s="6" t="s">
        <v>298</v>
      </c>
      <c r="AB279" s="6" t="s">
        <v>240</v>
      </c>
      <c r="AE279" s="6" t="s">
        <v>299</v>
      </c>
      <c r="AF279" s="5" t="s">
        <v>248</v>
      </c>
      <c r="AG279" s="5" t="s">
        <v>249</v>
      </c>
      <c r="AW279" s="5" t="s">
        <v>251</v>
      </c>
      <c r="AX279" s="5" t="s">
        <v>240</v>
      </c>
      <c r="AY279" s="5" t="s">
        <v>253</v>
      </c>
      <c r="AZ279" s="5" t="s">
        <v>240</v>
      </c>
      <c r="BA279" s="5" t="s">
        <v>255</v>
      </c>
      <c r="BB279" s="5" t="s">
        <v>240</v>
      </c>
      <c r="BD279" s="5" t="s">
        <v>842</v>
      </c>
      <c r="BF279" s="5" t="s">
        <v>301</v>
      </c>
      <c r="BG279" s="6" t="s">
        <v>299</v>
      </c>
      <c r="BH279" s="5" t="s">
        <v>302</v>
      </c>
      <c r="BI279" s="5" t="s">
        <v>303</v>
      </c>
      <c r="BJ279" s="5" t="s">
        <v>240</v>
      </c>
      <c r="BK279" s="8">
        <f>0</f>
        <v>0</v>
      </c>
      <c r="BL279" s="7">
        <f>0</f>
        <v>0</v>
      </c>
      <c r="BM279" s="5" t="s">
        <v>258</v>
      </c>
      <c r="BN279" s="5" t="s">
        <v>259</v>
      </c>
      <c r="CB279" s="5" t="s">
        <v>240</v>
      </c>
      <c r="CC279" s="5" t="s">
        <v>240</v>
      </c>
      <c r="CG279" s="5" t="s">
        <v>617</v>
      </c>
      <c r="CH279" s="5" t="s">
        <v>305</v>
      </c>
      <c r="CI279" s="5" t="s">
        <v>240</v>
      </c>
      <c r="CL279" s="6" t="s">
        <v>261</v>
      </c>
      <c r="CM279" s="5" t="s">
        <v>240</v>
      </c>
      <c r="CN279" s="5" t="s">
        <v>263</v>
      </c>
      <c r="CO279" s="5" t="s">
        <v>240</v>
      </c>
      <c r="CP279" s="5" t="s">
        <v>240</v>
      </c>
      <c r="CQ279" s="5">
        <v>0</v>
      </c>
      <c r="CR279" s="5" t="s">
        <v>306</v>
      </c>
      <c r="CS279" s="5" t="s">
        <v>307</v>
      </c>
      <c r="CT279" s="5" t="s">
        <v>307</v>
      </c>
      <c r="CU279" s="5" t="s">
        <v>260</v>
      </c>
      <c r="CX279" s="7">
        <f>12122</f>
        <v>12122</v>
      </c>
      <c r="CY279" s="7">
        <f>0</f>
        <v>0</v>
      </c>
      <c r="DA279" s="7">
        <f>0</f>
        <v>0</v>
      </c>
      <c r="DC279" s="5" t="s">
        <v>450</v>
      </c>
      <c r="DD279" s="5" t="s">
        <v>240</v>
      </c>
      <c r="DF279" s="5" t="s">
        <v>450</v>
      </c>
      <c r="DG279" s="7">
        <f>0</f>
        <v>0</v>
      </c>
      <c r="DI279" s="5" t="s">
        <v>737</v>
      </c>
      <c r="DJ279" s="5" t="s">
        <v>240</v>
      </c>
      <c r="DK279" s="5" t="s">
        <v>240</v>
      </c>
      <c r="DL279" s="5" t="s">
        <v>240</v>
      </c>
      <c r="DP279" s="5" t="s">
        <v>240</v>
      </c>
      <c r="DQ279" s="5" t="s">
        <v>240</v>
      </c>
      <c r="DR279" s="5" t="s">
        <v>240</v>
      </c>
      <c r="DS279" s="5" t="s">
        <v>240</v>
      </c>
      <c r="DV279" s="5" t="s">
        <v>934</v>
      </c>
      <c r="DW279" s="5" t="s">
        <v>312</v>
      </c>
      <c r="HO279" s="5" t="s">
        <v>312</v>
      </c>
    </row>
    <row r="280" spans="1:223" x14ac:dyDescent="0.4">
      <c r="A280" s="5">
        <v>1014</v>
      </c>
      <c r="B280" s="5">
        <v>1</v>
      </c>
      <c r="C280" s="5">
        <v>1</v>
      </c>
      <c r="D280" s="5" t="s">
        <v>1500</v>
      </c>
      <c r="E280" s="5" t="s">
        <v>1325</v>
      </c>
      <c r="F280" s="5" t="s">
        <v>254</v>
      </c>
      <c r="G280" s="5" t="s">
        <v>240</v>
      </c>
      <c r="H280" s="6" t="s">
        <v>1501</v>
      </c>
      <c r="I280" s="5" t="s">
        <v>1499</v>
      </c>
      <c r="J280" s="8">
        <f>1896</f>
        <v>1896</v>
      </c>
      <c r="K280" s="5" t="s">
        <v>308</v>
      </c>
      <c r="L280" s="7">
        <f>4199640</f>
        <v>4199640</v>
      </c>
      <c r="M280" s="7">
        <f>4199640</f>
        <v>4199640</v>
      </c>
      <c r="N280" s="5" t="s">
        <v>242</v>
      </c>
      <c r="O280" s="5">
        <v>1</v>
      </c>
      <c r="P280" s="5" t="s">
        <v>294</v>
      </c>
      <c r="Q280" s="5" t="s">
        <v>613</v>
      </c>
      <c r="R280" s="5" t="s">
        <v>240</v>
      </c>
      <c r="S280" s="5" t="s">
        <v>240</v>
      </c>
      <c r="T280" s="5" t="s">
        <v>243</v>
      </c>
      <c r="U280" s="5" t="s">
        <v>724</v>
      </c>
      <c r="V280" s="5" t="s">
        <v>240</v>
      </c>
      <c r="Y280" s="5" t="s">
        <v>240</v>
      </c>
      <c r="Z280" s="6" t="s">
        <v>298</v>
      </c>
      <c r="AB280" s="6" t="s">
        <v>240</v>
      </c>
      <c r="AE280" s="6" t="s">
        <v>299</v>
      </c>
      <c r="AF280" s="5" t="s">
        <v>248</v>
      </c>
      <c r="AG280" s="5" t="s">
        <v>249</v>
      </c>
      <c r="AW280" s="5" t="s">
        <v>251</v>
      </c>
      <c r="AX280" s="5" t="s">
        <v>240</v>
      </c>
      <c r="AY280" s="5" t="s">
        <v>253</v>
      </c>
      <c r="AZ280" s="5" t="s">
        <v>240</v>
      </c>
      <c r="BA280" s="5" t="s">
        <v>255</v>
      </c>
      <c r="BB280" s="5" t="s">
        <v>240</v>
      </c>
      <c r="BD280" s="5" t="s">
        <v>842</v>
      </c>
      <c r="BF280" s="5" t="s">
        <v>301</v>
      </c>
      <c r="BG280" s="6" t="s">
        <v>299</v>
      </c>
      <c r="BH280" s="5" t="s">
        <v>302</v>
      </c>
      <c r="BI280" s="5" t="s">
        <v>303</v>
      </c>
      <c r="BJ280" s="5" t="s">
        <v>240</v>
      </c>
      <c r="BK280" s="8">
        <f>0</f>
        <v>0</v>
      </c>
      <c r="BL280" s="7">
        <f>0</f>
        <v>0</v>
      </c>
      <c r="BM280" s="5" t="s">
        <v>258</v>
      </c>
      <c r="BN280" s="5" t="s">
        <v>259</v>
      </c>
      <c r="CB280" s="5" t="s">
        <v>240</v>
      </c>
      <c r="CC280" s="5" t="s">
        <v>240</v>
      </c>
      <c r="CG280" s="5" t="s">
        <v>617</v>
      </c>
      <c r="CH280" s="5" t="s">
        <v>305</v>
      </c>
      <c r="CI280" s="5" t="s">
        <v>240</v>
      </c>
      <c r="CL280" s="6" t="s">
        <v>261</v>
      </c>
      <c r="CM280" s="5" t="s">
        <v>240</v>
      </c>
      <c r="CN280" s="5" t="s">
        <v>263</v>
      </c>
      <c r="CO280" s="5" t="s">
        <v>240</v>
      </c>
      <c r="CP280" s="5" t="s">
        <v>240</v>
      </c>
      <c r="CQ280" s="5">
        <v>0</v>
      </c>
      <c r="CR280" s="5" t="s">
        <v>306</v>
      </c>
      <c r="CS280" s="5" t="s">
        <v>307</v>
      </c>
      <c r="CT280" s="5" t="s">
        <v>307</v>
      </c>
      <c r="CU280" s="5" t="s">
        <v>260</v>
      </c>
      <c r="CX280" s="7">
        <f>9174</f>
        <v>9174</v>
      </c>
      <c r="CY280" s="7">
        <f>0</f>
        <v>0</v>
      </c>
      <c r="DA280" s="7">
        <f>0</f>
        <v>0</v>
      </c>
      <c r="DC280" s="5" t="s">
        <v>450</v>
      </c>
      <c r="DD280" s="5" t="s">
        <v>240</v>
      </c>
      <c r="DF280" s="5" t="s">
        <v>450</v>
      </c>
      <c r="DG280" s="7">
        <f>0</f>
        <v>0</v>
      </c>
      <c r="DI280" s="5" t="s">
        <v>737</v>
      </c>
      <c r="DJ280" s="5" t="s">
        <v>240</v>
      </c>
      <c r="DK280" s="5" t="s">
        <v>240</v>
      </c>
      <c r="DL280" s="5" t="s">
        <v>240</v>
      </c>
      <c r="DP280" s="5" t="s">
        <v>240</v>
      </c>
      <c r="DQ280" s="5" t="s">
        <v>240</v>
      </c>
      <c r="DR280" s="5" t="s">
        <v>240</v>
      </c>
      <c r="DS280" s="5" t="s">
        <v>240</v>
      </c>
      <c r="DV280" s="5" t="s">
        <v>937</v>
      </c>
      <c r="DW280" s="5" t="s">
        <v>312</v>
      </c>
      <c r="HO280" s="5" t="s">
        <v>312</v>
      </c>
    </row>
    <row r="281" spans="1:223" x14ac:dyDescent="0.4">
      <c r="A281" s="5">
        <v>1015</v>
      </c>
      <c r="B281" s="5">
        <v>1</v>
      </c>
      <c r="C281" s="5">
        <v>1</v>
      </c>
      <c r="D281" s="5" t="s">
        <v>1494</v>
      </c>
      <c r="E281" s="5" t="s">
        <v>1325</v>
      </c>
      <c r="F281" s="5" t="s">
        <v>254</v>
      </c>
      <c r="G281" s="5" t="s">
        <v>240</v>
      </c>
      <c r="H281" s="6" t="s">
        <v>1498</v>
      </c>
      <c r="I281" s="5" t="s">
        <v>1493</v>
      </c>
      <c r="J281" s="8">
        <f>8935</f>
        <v>8935</v>
      </c>
      <c r="K281" s="5" t="s">
        <v>308</v>
      </c>
      <c r="L281" s="7">
        <f>19791025</f>
        <v>19791025</v>
      </c>
      <c r="M281" s="7">
        <f>19791025</f>
        <v>19791025</v>
      </c>
      <c r="N281" s="5" t="s">
        <v>242</v>
      </c>
      <c r="O281" s="5">
        <v>1</v>
      </c>
      <c r="P281" s="5" t="s">
        <v>294</v>
      </c>
      <c r="Q281" s="5" t="s">
        <v>613</v>
      </c>
      <c r="R281" s="5" t="s">
        <v>240</v>
      </c>
      <c r="S281" s="5" t="s">
        <v>240</v>
      </c>
      <c r="T281" s="5" t="s">
        <v>243</v>
      </c>
      <c r="U281" s="5" t="s">
        <v>724</v>
      </c>
      <c r="V281" s="5" t="s">
        <v>240</v>
      </c>
      <c r="Y281" s="5" t="s">
        <v>240</v>
      </c>
      <c r="Z281" s="6" t="s">
        <v>298</v>
      </c>
      <c r="AB281" s="6" t="s">
        <v>240</v>
      </c>
      <c r="AE281" s="6" t="s">
        <v>299</v>
      </c>
      <c r="AF281" s="5" t="s">
        <v>248</v>
      </c>
      <c r="AG281" s="5" t="s">
        <v>249</v>
      </c>
      <c r="AW281" s="5" t="s">
        <v>251</v>
      </c>
      <c r="AX281" s="5" t="s">
        <v>240</v>
      </c>
      <c r="AY281" s="5" t="s">
        <v>253</v>
      </c>
      <c r="AZ281" s="5" t="s">
        <v>240</v>
      </c>
      <c r="BA281" s="5" t="s">
        <v>255</v>
      </c>
      <c r="BB281" s="5" t="s">
        <v>240</v>
      </c>
      <c r="BD281" s="5" t="s">
        <v>842</v>
      </c>
      <c r="BF281" s="5" t="s">
        <v>301</v>
      </c>
      <c r="BG281" s="6" t="s">
        <v>299</v>
      </c>
      <c r="BH281" s="5" t="s">
        <v>302</v>
      </c>
      <c r="BI281" s="5" t="s">
        <v>303</v>
      </c>
      <c r="BJ281" s="5" t="s">
        <v>240</v>
      </c>
      <c r="BK281" s="8">
        <f>0</f>
        <v>0</v>
      </c>
      <c r="BL281" s="7">
        <f>0</f>
        <v>0</v>
      </c>
      <c r="BM281" s="5" t="s">
        <v>258</v>
      </c>
      <c r="BN281" s="5" t="s">
        <v>259</v>
      </c>
      <c r="CB281" s="5" t="s">
        <v>240</v>
      </c>
      <c r="CC281" s="5" t="s">
        <v>240</v>
      </c>
      <c r="CG281" s="5" t="s">
        <v>617</v>
      </c>
      <c r="CH281" s="5" t="s">
        <v>305</v>
      </c>
      <c r="CI281" s="5" t="s">
        <v>240</v>
      </c>
      <c r="CL281" s="6" t="s">
        <v>261</v>
      </c>
      <c r="CM281" s="5" t="s">
        <v>240</v>
      </c>
      <c r="CN281" s="5" t="s">
        <v>263</v>
      </c>
      <c r="CO281" s="5" t="s">
        <v>240</v>
      </c>
      <c r="CP281" s="5" t="s">
        <v>240</v>
      </c>
      <c r="CQ281" s="5">
        <v>0</v>
      </c>
      <c r="CR281" s="5" t="s">
        <v>306</v>
      </c>
      <c r="CS281" s="5" t="s">
        <v>307</v>
      </c>
      <c r="CT281" s="5" t="s">
        <v>307</v>
      </c>
      <c r="CU281" s="5" t="s">
        <v>260</v>
      </c>
      <c r="CX281" s="7">
        <f>2794</f>
        <v>2794</v>
      </c>
      <c r="CY281" s="7">
        <f>0</f>
        <v>0</v>
      </c>
      <c r="DA281" s="7">
        <f>0</f>
        <v>0</v>
      </c>
      <c r="DC281" s="5" t="s">
        <v>450</v>
      </c>
      <c r="DD281" s="5" t="s">
        <v>240</v>
      </c>
      <c r="DF281" s="5" t="s">
        <v>450</v>
      </c>
      <c r="DG281" s="7">
        <f>0</f>
        <v>0</v>
      </c>
      <c r="DH281" s="6" t="s">
        <v>940</v>
      </c>
      <c r="DI281" s="5" t="s">
        <v>737</v>
      </c>
      <c r="DJ281" s="5" t="s">
        <v>240</v>
      </c>
      <c r="DK281" s="5" t="s">
        <v>240</v>
      </c>
      <c r="DL281" s="5" t="s">
        <v>240</v>
      </c>
      <c r="DP281" s="5" t="s">
        <v>240</v>
      </c>
      <c r="DQ281" s="5" t="s">
        <v>240</v>
      </c>
      <c r="DR281" s="5" t="s">
        <v>240</v>
      </c>
      <c r="DS281" s="5" t="s">
        <v>240</v>
      </c>
      <c r="DV281" s="5" t="s">
        <v>941</v>
      </c>
      <c r="DW281" s="5" t="s">
        <v>312</v>
      </c>
      <c r="HO281" s="5" t="s">
        <v>312</v>
      </c>
    </row>
    <row r="282" spans="1:223" x14ac:dyDescent="0.4">
      <c r="A282" s="5">
        <v>1016</v>
      </c>
      <c r="B282" s="5">
        <v>1</v>
      </c>
      <c r="C282" s="5">
        <v>1</v>
      </c>
      <c r="D282" s="5" t="s">
        <v>1494</v>
      </c>
      <c r="E282" s="5" t="s">
        <v>1325</v>
      </c>
      <c r="F282" s="5" t="s">
        <v>254</v>
      </c>
      <c r="G282" s="5" t="s">
        <v>240</v>
      </c>
      <c r="H282" s="6" t="s">
        <v>1497</v>
      </c>
      <c r="I282" s="5" t="s">
        <v>1493</v>
      </c>
      <c r="J282" s="8">
        <f>25</f>
        <v>25</v>
      </c>
      <c r="K282" s="5" t="s">
        <v>308</v>
      </c>
      <c r="L282" s="7">
        <f>55375</f>
        <v>55375</v>
      </c>
      <c r="M282" s="7">
        <f>55375</f>
        <v>55375</v>
      </c>
      <c r="N282" s="5" t="s">
        <v>242</v>
      </c>
      <c r="O282" s="5">
        <v>1</v>
      </c>
      <c r="P282" s="5" t="s">
        <v>294</v>
      </c>
      <c r="Q282" s="5" t="s">
        <v>613</v>
      </c>
      <c r="R282" s="5" t="s">
        <v>240</v>
      </c>
      <c r="S282" s="5" t="s">
        <v>240</v>
      </c>
      <c r="T282" s="5" t="s">
        <v>243</v>
      </c>
      <c r="U282" s="5" t="s">
        <v>724</v>
      </c>
      <c r="V282" s="5" t="s">
        <v>240</v>
      </c>
      <c r="Y282" s="5" t="s">
        <v>240</v>
      </c>
      <c r="Z282" s="6" t="s">
        <v>298</v>
      </c>
      <c r="AB282" s="6" t="s">
        <v>240</v>
      </c>
      <c r="AE282" s="6" t="s">
        <v>299</v>
      </c>
      <c r="AF282" s="5" t="s">
        <v>248</v>
      </c>
      <c r="AG282" s="5" t="s">
        <v>249</v>
      </c>
      <c r="AW282" s="5" t="s">
        <v>251</v>
      </c>
      <c r="AX282" s="5" t="s">
        <v>240</v>
      </c>
      <c r="AY282" s="5" t="s">
        <v>253</v>
      </c>
      <c r="AZ282" s="5" t="s">
        <v>240</v>
      </c>
      <c r="BA282" s="5" t="s">
        <v>255</v>
      </c>
      <c r="BB282" s="5" t="s">
        <v>240</v>
      </c>
      <c r="BD282" s="5" t="s">
        <v>842</v>
      </c>
      <c r="BF282" s="5" t="s">
        <v>301</v>
      </c>
      <c r="BG282" s="6" t="s">
        <v>299</v>
      </c>
      <c r="BH282" s="5" t="s">
        <v>302</v>
      </c>
      <c r="BI282" s="5" t="s">
        <v>303</v>
      </c>
      <c r="BJ282" s="5" t="s">
        <v>240</v>
      </c>
      <c r="BK282" s="8">
        <f>0</f>
        <v>0</v>
      </c>
      <c r="BL282" s="7">
        <f>0</f>
        <v>0</v>
      </c>
      <c r="BM282" s="5" t="s">
        <v>258</v>
      </c>
      <c r="BN282" s="5" t="s">
        <v>259</v>
      </c>
      <c r="CB282" s="5" t="s">
        <v>240</v>
      </c>
      <c r="CC282" s="5" t="s">
        <v>240</v>
      </c>
      <c r="CG282" s="5" t="s">
        <v>617</v>
      </c>
      <c r="CH282" s="5" t="s">
        <v>305</v>
      </c>
      <c r="CI282" s="5" t="s">
        <v>240</v>
      </c>
      <c r="CL282" s="6" t="s">
        <v>261</v>
      </c>
      <c r="CM282" s="5" t="s">
        <v>240</v>
      </c>
      <c r="CN282" s="5" t="s">
        <v>263</v>
      </c>
      <c r="CO282" s="5" t="s">
        <v>240</v>
      </c>
      <c r="CP282" s="5" t="s">
        <v>240</v>
      </c>
      <c r="CQ282" s="5">
        <v>0</v>
      </c>
      <c r="CR282" s="5" t="s">
        <v>306</v>
      </c>
      <c r="CS282" s="5" t="s">
        <v>307</v>
      </c>
      <c r="CT282" s="5" t="s">
        <v>307</v>
      </c>
      <c r="CU282" s="5" t="s">
        <v>260</v>
      </c>
      <c r="CX282" s="7">
        <f>10967</f>
        <v>10967</v>
      </c>
      <c r="CY282" s="7">
        <f>0</f>
        <v>0</v>
      </c>
      <c r="DA282" s="7">
        <f>0</f>
        <v>0</v>
      </c>
      <c r="DC282" s="5" t="s">
        <v>450</v>
      </c>
      <c r="DD282" s="5" t="s">
        <v>240</v>
      </c>
      <c r="DF282" s="5" t="s">
        <v>450</v>
      </c>
      <c r="DG282" s="7">
        <f>0</f>
        <v>0</v>
      </c>
      <c r="DI282" s="5" t="s">
        <v>737</v>
      </c>
      <c r="DJ282" s="5" t="s">
        <v>240</v>
      </c>
      <c r="DK282" s="5" t="s">
        <v>240</v>
      </c>
      <c r="DL282" s="5" t="s">
        <v>240</v>
      </c>
      <c r="DP282" s="5" t="s">
        <v>240</v>
      </c>
      <c r="DQ282" s="5" t="s">
        <v>240</v>
      </c>
      <c r="DR282" s="5" t="s">
        <v>240</v>
      </c>
      <c r="DS282" s="5" t="s">
        <v>240</v>
      </c>
      <c r="DV282" s="5" t="s">
        <v>944</v>
      </c>
      <c r="DW282" s="5" t="s">
        <v>312</v>
      </c>
      <c r="HO282" s="5" t="s">
        <v>312</v>
      </c>
    </row>
    <row r="283" spans="1:223" x14ac:dyDescent="0.4">
      <c r="A283" s="5">
        <v>1017</v>
      </c>
      <c r="B283" s="5">
        <v>1</v>
      </c>
      <c r="C283" s="5">
        <v>1</v>
      </c>
      <c r="D283" s="5" t="s">
        <v>1494</v>
      </c>
      <c r="E283" s="5" t="s">
        <v>1325</v>
      </c>
      <c r="F283" s="5" t="s">
        <v>254</v>
      </c>
      <c r="G283" s="5" t="s">
        <v>240</v>
      </c>
      <c r="H283" s="6" t="s">
        <v>1495</v>
      </c>
      <c r="I283" s="5" t="s">
        <v>1493</v>
      </c>
      <c r="J283" s="8">
        <f>3875</f>
        <v>3875</v>
      </c>
      <c r="K283" s="5" t="s">
        <v>308</v>
      </c>
      <c r="L283" s="7">
        <f>8583125</f>
        <v>8583125</v>
      </c>
      <c r="M283" s="7">
        <f>8583125</f>
        <v>8583125</v>
      </c>
      <c r="N283" s="5" t="s">
        <v>242</v>
      </c>
      <c r="O283" s="5">
        <v>1</v>
      </c>
      <c r="P283" s="5" t="s">
        <v>294</v>
      </c>
      <c r="Q283" s="5" t="s">
        <v>613</v>
      </c>
      <c r="R283" s="5" t="s">
        <v>240</v>
      </c>
      <c r="S283" s="5" t="s">
        <v>240</v>
      </c>
      <c r="T283" s="5" t="s">
        <v>243</v>
      </c>
      <c r="U283" s="5" t="s">
        <v>724</v>
      </c>
      <c r="V283" s="5" t="s">
        <v>240</v>
      </c>
      <c r="Y283" s="5" t="s">
        <v>240</v>
      </c>
      <c r="Z283" s="6" t="s">
        <v>298</v>
      </c>
      <c r="AB283" s="6" t="s">
        <v>240</v>
      </c>
      <c r="AE283" s="6" t="s">
        <v>299</v>
      </c>
      <c r="AF283" s="5" t="s">
        <v>248</v>
      </c>
      <c r="AG283" s="5" t="s">
        <v>249</v>
      </c>
      <c r="AW283" s="5" t="s">
        <v>251</v>
      </c>
      <c r="AX283" s="5" t="s">
        <v>240</v>
      </c>
      <c r="AY283" s="5" t="s">
        <v>253</v>
      </c>
      <c r="AZ283" s="5" t="s">
        <v>240</v>
      </c>
      <c r="BA283" s="5" t="s">
        <v>255</v>
      </c>
      <c r="BB283" s="5" t="s">
        <v>240</v>
      </c>
      <c r="BD283" s="5" t="s">
        <v>842</v>
      </c>
      <c r="BF283" s="5" t="s">
        <v>301</v>
      </c>
      <c r="BG283" s="6" t="s">
        <v>299</v>
      </c>
      <c r="BH283" s="5" t="s">
        <v>302</v>
      </c>
      <c r="BI283" s="5" t="s">
        <v>303</v>
      </c>
      <c r="BJ283" s="5" t="s">
        <v>240</v>
      </c>
      <c r="BK283" s="8">
        <f>0</f>
        <v>0</v>
      </c>
      <c r="BL283" s="7">
        <f>0</f>
        <v>0</v>
      </c>
      <c r="BM283" s="5" t="s">
        <v>258</v>
      </c>
      <c r="BN283" s="5" t="s">
        <v>259</v>
      </c>
      <c r="CB283" s="5" t="s">
        <v>240</v>
      </c>
      <c r="CC283" s="5" t="s">
        <v>240</v>
      </c>
      <c r="CG283" s="5" t="s">
        <v>617</v>
      </c>
      <c r="CH283" s="5" t="s">
        <v>305</v>
      </c>
      <c r="CI283" s="5" t="s">
        <v>240</v>
      </c>
      <c r="CL283" s="6" t="s">
        <v>261</v>
      </c>
      <c r="CM283" s="5" t="s">
        <v>240</v>
      </c>
      <c r="CN283" s="5" t="s">
        <v>263</v>
      </c>
      <c r="CO283" s="5" t="s">
        <v>240</v>
      </c>
      <c r="CP283" s="5" t="s">
        <v>240</v>
      </c>
      <c r="CQ283" s="5">
        <v>0</v>
      </c>
      <c r="CR283" s="5" t="s">
        <v>306</v>
      </c>
      <c r="CS283" s="5" t="s">
        <v>307</v>
      </c>
      <c r="CT283" s="5" t="s">
        <v>307</v>
      </c>
      <c r="CU283" s="5" t="s">
        <v>260</v>
      </c>
      <c r="CX283" s="7">
        <f>10131</f>
        <v>10131</v>
      </c>
      <c r="CY283" s="7">
        <f>0</f>
        <v>0</v>
      </c>
      <c r="DA283" s="7">
        <f>0</f>
        <v>0</v>
      </c>
      <c r="DC283" s="5" t="s">
        <v>450</v>
      </c>
      <c r="DD283" s="5" t="s">
        <v>240</v>
      </c>
      <c r="DF283" s="5" t="s">
        <v>450</v>
      </c>
      <c r="DG283" s="7">
        <f>0</f>
        <v>0</v>
      </c>
      <c r="DI283" s="5" t="s">
        <v>737</v>
      </c>
      <c r="DJ283" s="5" t="s">
        <v>240</v>
      </c>
      <c r="DK283" s="5" t="s">
        <v>240</v>
      </c>
      <c r="DL283" s="5" t="s">
        <v>240</v>
      </c>
      <c r="DP283" s="5" t="s">
        <v>240</v>
      </c>
      <c r="DQ283" s="5" t="s">
        <v>240</v>
      </c>
      <c r="DR283" s="5" t="s">
        <v>240</v>
      </c>
      <c r="DS283" s="5" t="s">
        <v>240</v>
      </c>
      <c r="DV283" s="5" t="s">
        <v>947</v>
      </c>
      <c r="DW283" s="5" t="s">
        <v>312</v>
      </c>
      <c r="HO283" s="5" t="s">
        <v>312</v>
      </c>
    </row>
    <row r="284" spans="1:223" x14ac:dyDescent="0.4">
      <c r="A284" s="5">
        <v>1018</v>
      </c>
      <c r="B284" s="5">
        <v>1</v>
      </c>
      <c r="C284" s="5">
        <v>1</v>
      </c>
      <c r="D284" s="5" t="s">
        <v>1464</v>
      </c>
      <c r="E284" s="5" t="s">
        <v>1325</v>
      </c>
      <c r="F284" s="5" t="s">
        <v>254</v>
      </c>
      <c r="G284" s="5" t="s">
        <v>240</v>
      </c>
      <c r="H284" s="6" t="s">
        <v>1492</v>
      </c>
      <c r="I284" s="5" t="s">
        <v>1463</v>
      </c>
      <c r="J284" s="8">
        <f>856</f>
        <v>856</v>
      </c>
      <c r="K284" s="5" t="s">
        <v>308</v>
      </c>
      <c r="L284" s="7">
        <f>1896040</f>
        <v>1896040</v>
      </c>
      <c r="M284" s="7">
        <f>1896040</f>
        <v>1896040</v>
      </c>
      <c r="N284" s="5" t="s">
        <v>242</v>
      </c>
      <c r="O284" s="5">
        <v>1</v>
      </c>
      <c r="P284" s="5" t="s">
        <v>294</v>
      </c>
      <c r="Q284" s="5" t="s">
        <v>266</v>
      </c>
      <c r="R284" s="5" t="s">
        <v>240</v>
      </c>
      <c r="S284" s="5" t="s">
        <v>240</v>
      </c>
      <c r="T284" s="5" t="s">
        <v>296</v>
      </c>
      <c r="U284" s="5" t="s">
        <v>244</v>
      </c>
      <c r="V284" s="5" t="s">
        <v>240</v>
      </c>
      <c r="Y284" s="5" t="s">
        <v>240</v>
      </c>
      <c r="Z284" s="6" t="s">
        <v>298</v>
      </c>
      <c r="AB284" s="6" t="s">
        <v>240</v>
      </c>
      <c r="AE284" s="6" t="s">
        <v>299</v>
      </c>
      <c r="AF284" s="5" t="s">
        <v>248</v>
      </c>
      <c r="AG284" s="5" t="s">
        <v>249</v>
      </c>
      <c r="AW284" s="5" t="s">
        <v>251</v>
      </c>
      <c r="AX284" s="5" t="s">
        <v>240</v>
      </c>
      <c r="AY284" s="5" t="s">
        <v>253</v>
      </c>
      <c r="AZ284" s="5" t="s">
        <v>240</v>
      </c>
      <c r="BA284" s="5" t="s">
        <v>255</v>
      </c>
      <c r="BB284" s="5" t="s">
        <v>240</v>
      </c>
      <c r="BD284" s="5" t="s">
        <v>240</v>
      </c>
      <c r="BF284" s="5" t="s">
        <v>301</v>
      </c>
      <c r="BG284" s="6" t="s">
        <v>299</v>
      </c>
      <c r="BH284" s="5" t="s">
        <v>302</v>
      </c>
      <c r="BI284" s="5" t="s">
        <v>303</v>
      </c>
      <c r="BJ284" s="5" t="s">
        <v>240</v>
      </c>
      <c r="BK284" s="8">
        <f>0</f>
        <v>0</v>
      </c>
      <c r="BL284" s="7">
        <f>0</f>
        <v>0</v>
      </c>
      <c r="BM284" s="5" t="s">
        <v>258</v>
      </c>
      <c r="BN284" s="5" t="s">
        <v>259</v>
      </c>
      <c r="CB284" s="5" t="s">
        <v>240</v>
      </c>
      <c r="CC284" s="5" t="s">
        <v>240</v>
      </c>
      <c r="CG284" s="5" t="s">
        <v>304</v>
      </c>
      <c r="CH284" s="5" t="s">
        <v>305</v>
      </c>
      <c r="CI284" s="5" t="s">
        <v>240</v>
      </c>
      <c r="CL284" s="6" t="s">
        <v>261</v>
      </c>
      <c r="CM284" s="5" t="s">
        <v>240</v>
      </c>
      <c r="CN284" s="5" t="s">
        <v>263</v>
      </c>
      <c r="CO284" s="5" t="s">
        <v>240</v>
      </c>
      <c r="CP284" s="5" t="s">
        <v>240</v>
      </c>
      <c r="CQ284" s="5">
        <v>0</v>
      </c>
      <c r="CR284" s="5" t="s">
        <v>306</v>
      </c>
      <c r="CS284" s="5" t="s">
        <v>307</v>
      </c>
      <c r="CT284" s="5" t="s">
        <v>307</v>
      </c>
      <c r="CU284" s="5" t="s">
        <v>260</v>
      </c>
      <c r="CX284" s="7">
        <f>1</f>
        <v>1</v>
      </c>
      <c r="CY284" s="7">
        <f>0</f>
        <v>0</v>
      </c>
      <c r="DA284" s="7">
        <f>0</f>
        <v>0</v>
      </c>
      <c r="DC284" s="5" t="s">
        <v>812</v>
      </c>
      <c r="DD284" s="5" t="s">
        <v>240</v>
      </c>
      <c r="DF284" s="5" t="s">
        <v>812</v>
      </c>
      <c r="DG284" s="7">
        <f>2319</f>
        <v>2319</v>
      </c>
      <c r="DI284" s="5" t="s">
        <v>240</v>
      </c>
      <c r="DJ284" s="5" t="s">
        <v>240</v>
      </c>
      <c r="DK284" s="5" t="s">
        <v>240</v>
      </c>
      <c r="DL284" s="5" t="s">
        <v>240</v>
      </c>
      <c r="DP284" s="5" t="s">
        <v>240</v>
      </c>
      <c r="DQ284" s="5" t="s">
        <v>240</v>
      </c>
      <c r="DR284" s="5" t="s">
        <v>240</v>
      </c>
      <c r="DS284" s="5" t="s">
        <v>240</v>
      </c>
      <c r="DV284" s="5" t="s">
        <v>813</v>
      </c>
      <c r="DW284" s="5" t="s">
        <v>949</v>
      </c>
      <c r="HO284" s="5" t="s">
        <v>312</v>
      </c>
    </row>
    <row r="285" spans="1:223" x14ac:dyDescent="0.4">
      <c r="A285" s="5">
        <v>1019</v>
      </c>
      <c r="B285" s="5">
        <v>1</v>
      </c>
      <c r="C285" s="5">
        <v>1</v>
      </c>
      <c r="D285" s="5" t="s">
        <v>1464</v>
      </c>
      <c r="E285" s="5" t="s">
        <v>1325</v>
      </c>
      <c r="F285" s="5" t="s">
        <v>254</v>
      </c>
      <c r="G285" s="5" t="s">
        <v>240</v>
      </c>
      <c r="H285" s="6" t="s">
        <v>1491</v>
      </c>
      <c r="I285" s="5" t="s">
        <v>1463</v>
      </c>
      <c r="J285" s="8">
        <f>556</f>
        <v>556</v>
      </c>
      <c r="K285" s="5" t="s">
        <v>308</v>
      </c>
      <c r="L285" s="7">
        <f>1231540</f>
        <v>1231540</v>
      </c>
      <c r="M285" s="7">
        <f>1231540</f>
        <v>1231540</v>
      </c>
      <c r="N285" s="5" t="s">
        <v>242</v>
      </c>
      <c r="O285" s="5">
        <v>1</v>
      </c>
      <c r="P285" s="5" t="s">
        <v>294</v>
      </c>
      <c r="Q285" s="5" t="s">
        <v>613</v>
      </c>
      <c r="R285" s="5" t="s">
        <v>240</v>
      </c>
      <c r="S285" s="5" t="s">
        <v>240</v>
      </c>
      <c r="T285" s="5" t="s">
        <v>243</v>
      </c>
      <c r="U285" s="5" t="s">
        <v>724</v>
      </c>
      <c r="V285" s="5" t="s">
        <v>240</v>
      </c>
      <c r="Y285" s="5" t="s">
        <v>240</v>
      </c>
      <c r="Z285" s="6" t="s">
        <v>298</v>
      </c>
      <c r="AB285" s="6" t="s">
        <v>240</v>
      </c>
      <c r="AE285" s="6" t="s">
        <v>299</v>
      </c>
      <c r="AF285" s="5" t="s">
        <v>248</v>
      </c>
      <c r="AG285" s="5" t="s">
        <v>249</v>
      </c>
      <c r="AW285" s="5" t="s">
        <v>251</v>
      </c>
      <c r="AX285" s="5" t="s">
        <v>240</v>
      </c>
      <c r="AY285" s="5" t="s">
        <v>253</v>
      </c>
      <c r="AZ285" s="5" t="s">
        <v>240</v>
      </c>
      <c r="BA285" s="5" t="s">
        <v>255</v>
      </c>
      <c r="BB285" s="5" t="s">
        <v>240</v>
      </c>
      <c r="BD285" s="5" t="s">
        <v>842</v>
      </c>
      <c r="BF285" s="5" t="s">
        <v>301</v>
      </c>
      <c r="BG285" s="6" t="s">
        <v>299</v>
      </c>
      <c r="BH285" s="5" t="s">
        <v>302</v>
      </c>
      <c r="BI285" s="5" t="s">
        <v>303</v>
      </c>
      <c r="BJ285" s="5" t="s">
        <v>240</v>
      </c>
      <c r="BK285" s="8">
        <f>0</f>
        <v>0</v>
      </c>
      <c r="BL285" s="7">
        <f>0</f>
        <v>0</v>
      </c>
      <c r="BM285" s="5" t="s">
        <v>258</v>
      </c>
      <c r="BN285" s="5" t="s">
        <v>259</v>
      </c>
      <c r="CB285" s="5" t="s">
        <v>240</v>
      </c>
      <c r="CC285" s="5" t="s">
        <v>240</v>
      </c>
      <c r="CG285" s="5" t="s">
        <v>617</v>
      </c>
      <c r="CH285" s="5" t="s">
        <v>305</v>
      </c>
      <c r="CI285" s="5" t="s">
        <v>240</v>
      </c>
      <c r="CL285" s="6" t="s">
        <v>261</v>
      </c>
      <c r="CM285" s="5" t="s">
        <v>240</v>
      </c>
      <c r="CN285" s="5" t="s">
        <v>263</v>
      </c>
      <c r="CO285" s="5" t="s">
        <v>240</v>
      </c>
      <c r="CP285" s="5" t="s">
        <v>240</v>
      </c>
      <c r="CQ285" s="5">
        <v>0</v>
      </c>
      <c r="CR285" s="5" t="s">
        <v>306</v>
      </c>
      <c r="CS285" s="5" t="s">
        <v>307</v>
      </c>
      <c r="CT285" s="5" t="s">
        <v>307</v>
      </c>
      <c r="CU285" s="5" t="s">
        <v>260</v>
      </c>
      <c r="CX285" s="7">
        <f>98846</f>
        <v>98846</v>
      </c>
      <c r="CY285" s="7">
        <f>0</f>
        <v>0</v>
      </c>
      <c r="DA285" s="7">
        <f>0</f>
        <v>0</v>
      </c>
      <c r="DC285" s="5" t="s">
        <v>450</v>
      </c>
      <c r="DD285" s="5" t="s">
        <v>240</v>
      </c>
      <c r="DF285" s="5" t="s">
        <v>450</v>
      </c>
      <c r="DG285" s="7">
        <f>0</f>
        <v>0</v>
      </c>
      <c r="DI285" s="5" t="s">
        <v>737</v>
      </c>
      <c r="DJ285" s="5" t="s">
        <v>240</v>
      </c>
      <c r="DK285" s="5" t="s">
        <v>240</v>
      </c>
      <c r="DL285" s="5" t="s">
        <v>240</v>
      </c>
      <c r="DP285" s="5" t="s">
        <v>240</v>
      </c>
      <c r="DQ285" s="5" t="s">
        <v>240</v>
      </c>
      <c r="DR285" s="5" t="s">
        <v>240</v>
      </c>
      <c r="DS285" s="5" t="s">
        <v>240</v>
      </c>
      <c r="DV285" s="5" t="s">
        <v>952</v>
      </c>
      <c r="DW285" s="5" t="s">
        <v>312</v>
      </c>
      <c r="HO285" s="5" t="s">
        <v>312</v>
      </c>
    </row>
    <row r="286" spans="1:223" x14ac:dyDescent="0.4">
      <c r="A286" s="5">
        <v>1020</v>
      </c>
      <c r="B286" s="5">
        <v>1</v>
      </c>
      <c r="C286" s="5">
        <v>1</v>
      </c>
      <c r="D286" s="5" t="s">
        <v>1464</v>
      </c>
      <c r="E286" s="5" t="s">
        <v>1325</v>
      </c>
      <c r="F286" s="5" t="s">
        <v>254</v>
      </c>
      <c r="G286" s="5" t="s">
        <v>240</v>
      </c>
      <c r="H286" s="6" t="s">
        <v>1490</v>
      </c>
      <c r="I286" s="5" t="s">
        <v>1463</v>
      </c>
      <c r="J286" s="8">
        <f>2442</f>
        <v>2442</v>
      </c>
      <c r="K286" s="5" t="s">
        <v>308</v>
      </c>
      <c r="L286" s="7">
        <f>5409030</f>
        <v>5409030</v>
      </c>
      <c r="M286" s="7">
        <f>5409030</f>
        <v>5409030</v>
      </c>
      <c r="N286" s="5" t="s">
        <v>242</v>
      </c>
      <c r="O286" s="5">
        <v>1</v>
      </c>
      <c r="P286" s="5" t="s">
        <v>294</v>
      </c>
      <c r="Q286" s="5" t="s">
        <v>613</v>
      </c>
      <c r="R286" s="5" t="s">
        <v>240</v>
      </c>
      <c r="S286" s="5" t="s">
        <v>240</v>
      </c>
      <c r="T286" s="5" t="s">
        <v>243</v>
      </c>
      <c r="U286" s="5" t="s">
        <v>724</v>
      </c>
      <c r="V286" s="5" t="s">
        <v>240</v>
      </c>
      <c r="Y286" s="5" t="s">
        <v>240</v>
      </c>
      <c r="Z286" s="6" t="s">
        <v>940</v>
      </c>
      <c r="AB286" s="6" t="s">
        <v>240</v>
      </c>
      <c r="AE286" s="6" t="s">
        <v>299</v>
      </c>
      <c r="AF286" s="5" t="s">
        <v>248</v>
      </c>
      <c r="AG286" s="5" t="s">
        <v>249</v>
      </c>
      <c r="AW286" s="5" t="s">
        <v>251</v>
      </c>
      <c r="AX286" s="5" t="s">
        <v>240</v>
      </c>
      <c r="AY286" s="5" t="s">
        <v>253</v>
      </c>
      <c r="AZ286" s="5" t="s">
        <v>240</v>
      </c>
      <c r="BA286" s="5" t="s">
        <v>255</v>
      </c>
      <c r="BB286" s="5" t="s">
        <v>240</v>
      </c>
      <c r="BD286" s="5" t="s">
        <v>842</v>
      </c>
      <c r="BF286" s="5" t="s">
        <v>301</v>
      </c>
      <c r="BG286" s="6" t="s">
        <v>299</v>
      </c>
      <c r="BH286" s="5" t="s">
        <v>302</v>
      </c>
      <c r="BI286" s="5" t="s">
        <v>303</v>
      </c>
      <c r="BJ286" s="5" t="s">
        <v>240</v>
      </c>
      <c r="BK286" s="8">
        <f>0</f>
        <v>0</v>
      </c>
      <c r="BL286" s="7">
        <f>0</f>
        <v>0</v>
      </c>
      <c r="BM286" s="5" t="s">
        <v>258</v>
      </c>
      <c r="BN286" s="5" t="s">
        <v>259</v>
      </c>
      <c r="CB286" s="5" t="s">
        <v>240</v>
      </c>
      <c r="CC286" s="5" t="s">
        <v>240</v>
      </c>
      <c r="CG286" s="5" t="s">
        <v>617</v>
      </c>
      <c r="CH286" s="5" t="s">
        <v>305</v>
      </c>
      <c r="CI286" s="5" t="s">
        <v>240</v>
      </c>
      <c r="CL286" s="6" t="s">
        <v>261</v>
      </c>
      <c r="CM286" s="5" t="s">
        <v>240</v>
      </c>
      <c r="CN286" s="5" t="s">
        <v>263</v>
      </c>
      <c r="CO286" s="5" t="s">
        <v>240</v>
      </c>
      <c r="CP286" s="5" t="s">
        <v>240</v>
      </c>
      <c r="CQ286" s="5">
        <v>0</v>
      </c>
      <c r="CR286" s="5" t="s">
        <v>306</v>
      </c>
      <c r="CS286" s="5" t="s">
        <v>307</v>
      </c>
      <c r="CT286" s="5" t="s">
        <v>307</v>
      </c>
      <c r="CU286" s="5" t="s">
        <v>260</v>
      </c>
      <c r="CX286" s="7">
        <f>728316</f>
        <v>728316</v>
      </c>
      <c r="CY286" s="7">
        <f>0</f>
        <v>0</v>
      </c>
      <c r="DA286" s="7">
        <f>0</f>
        <v>0</v>
      </c>
      <c r="DC286" s="5" t="s">
        <v>854</v>
      </c>
      <c r="DD286" s="5" t="s">
        <v>240</v>
      </c>
      <c r="DF286" s="5" t="s">
        <v>854</v>
      </c>
      <c r="DG286" s="7">
        <f>66646</f>
        <v>66646</v>
      </c>
      <c r="DI286" s="5" t="s">
        <v>737</v>
      </c>
      <c r="DJ286" s="5" t="s">
        <v>240</v>
      </c>
      <c r="DK286" s="5" t="s">
        <v>240</v>
      </c>
      <c r="DL286" s="5" t="s">
        <v>240</v>
      </c>
      <c r="DP286" s="5" t="s">
        <v>240</v>
      </c>
      <c r="DQ286" s="5" t="s">
        <v>240</v>
      </c>
      <c r="DR286" s="5" t="s">
        <v>240</v>
      </c>
      <c r="DS286" s="5" t="s">
        <v>240</v>
      </c>
      <c r="DV286" s="5" t="s">
        <v>955</v>
      </c>
      <c r="DW286" s="5" t="s">
        <v>312</v>
      </c>
      <c r="HO286" s="5" t="s">
        <v>312</v>
      </c>
    </row>
    <row r="287" spans="1:223" x14ac:dyDescent="0.4">
      <c r="A287" s="5">
        <v>1021</v>
      </c>
      <c r="B287" s="5">
        <v>1</v>
      </c>
      <c r="C287" s="5">
        <v>1</v>
      </c>
      <c r="D287" s="5" t="s">
        <v>1464</v>
      </c>
      <c r="E287" s="5" t="s">
        <v>1325</v>
      </c>
      <c r="F287" s="5" t="s">
        <v>254</v>
      </c>
      <c r="G287" s="5" t="s">
        <v>240</v>
      </c>
      <c r="H287" s="6" t="s">
        <v>1489</v>
      </c>
      <c r="I287" s="5" t="s">
        <v>1463</v>
      </c>
      <c r="J287" s="8">
        <f>673</f>
        <v>673</v>
      </c>
      <c r="K287" s="5" t="s">
        <v>308</v>
      </c>
      <c r="L287" s="7">
        <f>1490695</f>
        <v>1490695</v>
      </c>
      <c r="M287" s="7">
        <f>1490695</f>
        <v>1490695</v>
      </c>
      <c r="N287" s="5" t="s">
        <v>242</v>
      </c>
      <c r="O287" s="5">
        <v>1</v>
      </c>
      <c r="P287" s="5" t="s">
        <v>294</v>
      </c>
      <c r="Q287" s="5" t="s">
        <v>613</v>
      </c>
      <c r="R287" s="5" t="s">
        <v>240</v>
      </c>
      <c r="S287" s="5" t="s">
        <v>240</v>
      </c>
      <c r="T287" s="5" t="s">
        <v>243</v>
      </c>
      <c r="U287" s="5" t="s">
        <v>724</v>
      </c>
      <c r="V287" s="5" t="s">
        <v>240</v>
      </c>
      <c r="Y287" s="5" t="s">
        <v>240</v>
      </c>
      <c r="Z287" s="6" t="s">
        <v>298</v>
      </c>
      <c r="AB287" s="6" t="s">
        <v>240</v>
      </c>
      <c r="AE287" s="6" t="s">
        <v>299</v>
      </c>
      <c r="AF287" s="5" t="s">
        <v>248</v>
      </c>
      <c r="AG287" s="5" t="s">
        <v>249</v>
      </c>
      <c r="AW287" s="5" t="s">
        <v>251</v>
      </c>
      <c r="AX287" s="5" t="s">
        <v>240</v>
      </c>
      <c r="AY287" s="5" t="s">
        <v>253</v>
      </c>
      <c r="AZ287" s="5" t="s">
        <v>240</v>
      </c>
      <c r="BA287" s="5" t="s">
        <v>255</v>
      </c>
      <c r="BB287" s="5" t="s">
        <v>240</v>
      </c>
      <c r="BD287" s="5" t="s">
        <v>240</v>
      </c>
      <c r="BF287" s="5" t="s">
        <v>301</v>
      </c>
      <c r="BG287" s="6" t="s">
        <v>299</v>
      </c>
      <c r="BH287" s="5" t="s">
        <v>302</v>
      </c>
      <c r="BI287" s="5" t="s">
        <v>303</v>
      </c>
      <c r="BJ287" s="5" t="s">
        <v>240</v>
      </c>
      <c r="BK287" s="8">
        <f>0</f>
        <v>0</v>
      </c>
      <c r="BL287" s="7">
        <f>0</f>
        <v>0</v>
      </c>
      <c r="BM287" s="5" t="s">
        <v>258</v>
      </c>
      <c r="BN287" s="5" t="s">
        <v>259</v>
      </c>
      <c r="CB287" s="5" t="s">
        <v>240</v>
      </c>
      <c r="CC287" s="5" t="s">
        <v>240</v>
      </c>
      <c r="CG287" s="5" t="s">
        <v>617</v>
      </c>
      <c r="CH287" s="5" t="s">
        <v>305</v>
      </c>
      <c r="CI287" s="5" t="s">
        <v>240</v>
      </c>
      <c r="CL287" s="6" t="s">
        <v>261</v>
      </c>
      <c r="CM287" s="5" t="s">
        <v>240</v>
      </c>
      <c r="CN287" s="5" t="s">
        <v>263</v>
      </c>
      <c r="CO287" s="5" t="s">
        <v>240</v>
      </c>
      <c r="CP287" s="5" t="s">
        <v>240</v>
      </c>
      <c r="CQ287" s="5">
        <v>0</v>
      </c>
      <c r="CR287" s="5" t="s">
        <v>306</v>
      </c>
      <c r="CS287" s="5" t="s">
        <v>307</v>
      </c>
      <c r="CT287" s="5" t="s">
        <v>307</v>
      </c>
      <c r="CU287" s="5" t="s">
        <v>260</v>
      </c>
      <c r="CX287" s="7">
        <f>10054</f>
        <v>10054</v>
      </c>
      <c r="CY287" s="7">
        <f>0</f>
        <v>0</v>
      </c>
      <c r="DA287" s="7">
        <f>0</f>
        <v>0</v>
      </c>
      <c r="DC287" s="5" t="s">
        <v>854</v>
      </c>
      <c r="DD287" s="5" t="s">
        <v>240</v>
      </c>
      <c r="DF287" s="5" t="s">
        <v>450</v>
      </c>
      <c r="DG287" s="7">
        <f>0</f>
        <v>0</v>
      </c>
      <c r="DI287" s="5" t="s">
        <v>737</v>
      </c>
      <c r="DJ287" s="5" t="s">
        <v>240</v>
      </c>
      <c r="DK287" s="5" t="s">
        <v>240</v>
      </c>
      <c r="DL287" s="5" t="s">
        <v>240</v>
      </c>
      <c r="DP287" s="5" t="s">
        <v>240</v>
      </c>
      <c r="DQ287" s="5" t="s">
        <v>240</v>
      </c>
      <c r="DR287" s="5" t="s">
        <v>240</v>
      </c>
      <c r="DS287" s="5" t="s">
        <v>240</v>
      </c>
      <c r="DV287" s="5" t="s">
        <v>957</v>
      </c>
      <c r="DW287" s="5" t="s">
        <v>958</v>
      </c>
      <c r="HO287" s="5" t="s">
        <v>312</v>
      </c>
    </row>
    <row r="288" spans="1:223" x14ac:dyDescent="0.4">
      <c r="A288" s="5">
        <v>1022</v>
      </c>
      <c r="B288" s="5">
        <v>1</v>
      </c>
      <c r="C288" s="5">
        <v>1</v>
      </c>
      <c r="D288" s="5" t="s">
        <v>1464</v>
      </c>
      <c r="E288" s="5" t="s">
        <v>1325</v>
      </c>
      <c r="F288" s="5" t="s">
        <v>254</v>
      </c>
      <c r="G288" s="5" t="s">
        <v>240</v>
      </c>
      <c r="H288" s="6" t="s">
        <v>1488</v>
      </c>
      <c r="I288" s="5" t="s">
        <v>1463</v>
      </c>
      <c r="J288" s="8">
        <f>961</f>
        <v>961</v>
      </c>
      <c r="K288" s="5" t="s">
        <v>308</v>
      </c>
      <c r="L288" s="7">
        <f>2128615</f>
        <v>2128615</v>
      </c>
      <c r="M288" s="7">
        <f>2128615</f>
        <v>2128615</v>
      </c>
      <c r="N288" s="5" t="s">
        <v>242</v>
      </c>
      <c r="O288" s="5">
        <v>1</v>
      </c>
      <c r="P288" s="5" t="s">
        <v>294</v>
      </c>
      <c r="Q288" s="5" t="s">
        <v>613</v>
      </c>
      <c r="R288" s="5" t="s">
        <v>240</v>
      </c>
      <c r="S288" s="5" t="s">
        <v>240</v>
      </c>
      <c r="T288" s="5" t="s">
        <v>243</v>
      </c>
      <c r="U288" s="5" t="s">
        <v>724</v>
      </c>
      <c r="V288" s="5" t="s">
        <v>240</v>
      </c>
      <c r="Y288" s="5" t="s">
        <v>240</v>
      </c>
      <c r="Z288" s="6" t="s">
        <v>298</v>
      </c>
      <c r="AB288" s="6" t="s">
        <v>240</v>
      </c>
      <c r="AE288" s="6" t="s">
        <v>299</v>
      </c>
      <c r="AF288" s="5" t="s">
        <v>248</v>
      </c>
      <c r="AG288" s="5" t="s">
        <v>249</v>
      </c>
      <c r="AW288" s="5" t="s">
        <v>251</v>
      </c>
      <c r="AX288" s="5" t="s">
        <v>240</v>
      </c>
      <c r="AY288" s="5" t="s">
        <v>253</v>
      </c>
      <c r="AZ288" s="5" t="s">
        <v>240</v>
      </c>
      <c r="BA288" s="5" t="s">
        <v>255</v>
      </c>
      <c r="BB288" s="5" t="s">
        <v>240</v>
      </c>
      <c r="BD288" s="5" t="s">
        <v>240</v>
      </c>
      <c r="BF288" s="5" t="s">
        <v>301</v>
      </c>
      <c r="BG288" s="6" t="s">
        <v>299</v>
      </c>
      <c r="BH288" s="5" t="s">
        <v>302</v>
      </c>
      <c r="BI288" s="5" t="s">
        <v>303</v>
      </c>
      <c r="BJ288" s="5" t="s">
        <v>240</v>
      </c>
      <c r="BK288" s="8">
        <f>0</f>
        <v>0</v>
      </c>
      <c r="BL288" s="7">
        <f>0</f>
        <v>0</v>
      </c>
      <c r="BM288" s="5" t="s">
        <v>258</v>
      </c>
      <c r="BN288" s="5" t="s">
        <v>259</v>
      </c>
      <c r="CB288" s="5" t="s">
        <v>240</v>
      </c>
      <c r="CC288" s="5" t="s">
        <v>240</v>
      </c>
      <c r="CG288" s="5" t="s">
        <v>617</v>
      </c>
      <c r="CH288" s="5" t="s">
        <v>305</v>
      </c>
      <c r="CI288" s="5" t="s">
        <v>240</v>
      </c>
      <c r="CL288" s="6" t="s">
        <v>261</v>
      </c>
      <c r="CM288" s="5" t="s">
        <v>240</v>
      </c>
      <c r="CN288" s="5" t="s">
        <v>263</v>
      </c>
      <c r="CO288" s="5" t="s">
        <v>240</v>
      </c>
      <c r="CP288" s="5" t="s">
        <v>240</v>
      </c>
      <c r="CQ288" s="5">
        <v>0</v>
      </c>
      <c r="CR288" s="5" t="s">
        <v>306</v>
      </c>
      <c r="CS288" s="5" t="s">
        <v>307</v>
      </c>
      <c r="CT288" s="5" t="s">
        <v>307</v>
      </c>
      <c r="CU288" s="5" t="s">
        <v>260</v>
      </c>
      <c r="CX288" s="7">
        <f>30063</f>
        <v>30063</v>
      </c>
      <c r="CY288" s="7">
        <f>0</f>
        <v>0</v>
      </c>
      <c r="DA288" s="7">
        <f>0</f>
        <v>0</v>
      </c>
      <c r="DC288" s="5" t="s">
        <v>854</v>
      </c>
      <c r="DD288" s="5" t="s">
        <v>240</v>
      </c>
      <c r="DF288" s="5" t="s">
        <v>450</v>
      </c>
      <c r="DG288" s="7">
        <f>0</f>
        <v>0</v>
      </c>
      <c r="DI288" s="5" t="s">
        <v>737</v>
      </c>
      <c r="DJ288" s="5" t="s">
        <v>240</v>
      </c>
      <c r="DK288" s="5" t="s">
        <v>240</v>
      </c>
      <c r="DL288" s="5" t="s">
        <v>240</v>
      </c>
      <c r="DP288" s="5" t="s">
        <v>240</v>
      </c>
      <c r="DQ288" s="5" t="s">
        <v>240</v>
      </c>
      <c r="DR288" s="5" t="s">
        <v>240</v>
      </c>
      <c r="DS288" s="5" t="s">
        <v>240</v>
      </c>
      <c r="DV288" s="5" t="s">
        <v>957</v>
      </c>
      <c r="DW288" s="5" t="s">
        <v>779</v>
      </c>
      <c r="HO288" s="5" t="s">
        <v>312</v>
      </c>
    </row>
    <row r="289" spans="1:223" x14ac:dyDescent="0.4">
      <c r="A289" s="5">
        <v>1023</v>
      </c>
      <c r="B289" s="5">
        <v>1</v>
      </c>
      <c r="C289" s="5">
        <v>1</v>
      </c>
      <c r="D289" s="5" t="s">
        <v>1464</v>
      </c>
      <c r="E289" s="5" t="s">
        <v>1325</v>
      </c>
      <c r="F289" s="5" t="s">
        <v>254</v>
      </c>
      <c r="G289" s="5" t="s">
        <v>240</v>
      </c>
      <c r="H289" s="6" t="s">
        <v>1487</v>
      </c>
      <c r="I289" s="5" t="s">
        <v>1463</v>
      </c>
      <c r="J289" s="8">
        <f>2249</f>
        <v>2249</v>
      </c>
      <c r="K289" s="5" t="s">
        <v>308</v>
      </c>
      <c r="L289" s="7">
        <f>4981535</f>
        <v>4981535</v>
      </c>
      <c r="M289" s="7">
        <f>4981535</f>
        <v>4981535</v>
      </c>
      <c r="N289" s="5" t="s">
        <v>242</v>
      </c>
      <c r="O289" s="5">
        <v>1</v>
      </c>
      <c r="P289" s="5" t="s">
        <v>294</v>
      </c>
      <c r="Q289" s="5" t="s">
        <v>613</v>
      </c>
      <c r="R289" s="5" t="s">
        <v>240</v>
      </c>
      <c r="S289" s="5" t="s">
        <v>240</v>
      </c>
      <c r="T289" s="5" t="s">
        <v>243</v>
      </c>
      <c r="U289" s="5" t="s">
        <v>724</v>
      </c>
      <c r="V289" s="5" t="s">
        <v>240</v>
      </c>
      <c r="Y289" s="5" t="s">
        <v>240</v>
      </c>
      <c r="Z289" s="6" t="s">
        <v>298</v>
      </c>
      <c r="AB289" s="6" t="s">
        <v>240</v>
      </c>
      <c r="AE289" s="6" t="s">
        <v>299</v>
      </c>
      <c r="AF289" s="5" t="s">
        <v>248</v>
      </c>
      <c r="AG289" s="5" t="s">
        <v>249</v>
      </c>
      <c r="AW289" s="5" t="s">
        <v>251</v>
      </c>
      <c r="AX289" s="5" t="s">
        <v>240</v>
      </c>
      <c r="AY289" s="5" t="s">
        <v>253</v>
      </c>
      <c r="AZ289" s="5" t="s">
        <v>240</v>
      </c>
      <c r="BA289" s="5" t="s">
        <v>255</v>
      </c>
      <c r="BB289" s="5" t="s">
        <v>240</v>
      </c>
      <c r="BD289" s="5" t="s">
        <v>240</v>
      </c>
      <c r="BF289" s="5" t="s">
        <v>301</v>
      </c>
      <c r="BG289" s="6" t="s">
        <v>299</v>
      </c>
      <c r="BH289" s="5" t="s">
        <v>302</v>
      </c>
      <c r="BI289" s="5" t="s">
        <v>303</v>
      </c>
      <c r="BJ289" s="5" t="s">
        <v>240</v>
      </c>
      <c r="BK289" s="8">
        <f>0</f>
        <v>0</v>
      </c>
      <c r="BL289" s="7">
        <f>0</f>
        <v>0</v>
      </c>
      <c r="BM289" s="5" t="s">
        <v>258</v>
      </c>
      <c r="BN289" s="5" t="s">
        <v>259</v>
      </c>
      <c r="CB289" s="5" t="s">
        <v>240</v>
      </c>
      <c r="CC289" s="5" t="s">
        <v>240</v>
      </c>
      <c r="CG289" s="5" t="s">
        <v>617</v>
      </c>
      <c r="CH289" s="5" t="s">
        <v>305</v>
      </c>
      <c r="CI289" s="5" t="s">
        <v>240</v>
      </c>
      <c r="CL289" s="6" t="s">
        <v>261</v>
      </c>
      <c r="CM289" s="5" t="s">
        <v>240</v>
      </c>
      <c r="CN289" s="5" t="s">
        <v>263</v>
      </c>
      <c r="CO289" s="5" t="s">
        <v>240</v>
      </c>
      <c r="CP289" s="5" t="s">
        <v>240</v>
      </c>
      <c r="CQ289" s="5">
        <v>0</v>
      </c>
      <c r="CR289" s="5" t="s">
        <v>306</v>
      </c>
      <c r="CS289" s="5" t="s">
        <v>307</v>
      </c>
      <c r="CT289" s="5" t="s">
        <v>307</v>
      </c>
      <c r="CU289" s="5" t="s">
        <v>260</v>
      </c>
      <c r="CX289" s="7">
        <f>100450</f>
        <v>100450</v>
      </c>
      <c r="CY289" s="7">
        <f>0</f>
        <v>0</v>
      </c>
      <c r="DA289" s="7">
        <f>0</f>
        <v>0</v>
      </c>
      <c r="DC289" s="5" t="s">
        <v>961</v>
      </c>
      <c r="DD289" s="5" t="s">
        <v>240</v>
      </c>
      <c r="DF289" s="5" t="s">
        <v>961</v>
      </c>
      <c r="DG289" s="7">
        <f>205</f>
        <v>205</v>
      </c>
      <c r="DI289" s="5" t="s">
        <v>450</v>
      </c>
      <c r="DJ289" s="5" t="s">
        <v>240</v>
      </c>
      <c r="DK289" s="5" t="s">
        <v>240</v>
      </c>
      <c r="DL289" s="5" t="s">
        <v>240</v>
      </c>
      <c r="DP289" s="5" t="s">
        <v>240</v>
      </c>
      <c r="DQ289" s="5" t="s">
        <v>240</v>
      </c>
      <c r="DR289" s="5" t="s">
        <v>240</v>
      </c>
      <c r="DS289" s="5" t="s">
        <v>240</v>
      </c>
      <c r="DV289" s="5" t="s">
        <v>957</v>
      </c>
      <c r="DW289" s="5" t="s">
        <v>390</v>
      </c>
      <c r="HO289" s="5" t="s">
        <v>312</v>
      </c>
    </row>
    <row r="290" spans="1:223" x14ac:dyDescent="0.4">
      <c r="A290" s="5">
        <v>1024</v>
      </c>
      <c r="B290" s="5">
        <v>1</v>
      </c>
      <c r="C290" s="5">
        <v>1</v>
      </c>
      <c r="D290" s="5" t="s">
        <v>1464</v>
      </c>
      <c r="E290" s="5" t="s">
        <v>1325</v>
      </c>
      <c r="F290" s="5" t="s">
        <v>254</v>
      </c>
      <c r="G290" s="5" t="s">
        <v>240</v>
      </c>
      <c r="H290" s="6" t="s">
        <v>1486</v>
      </c>
      <c r="I290" s="5" t="s">
        <v>1463</v>
      </c>
      <c r="J290" s="8">
        <f>99</f>
        <v>99</v>
      </c>
      <c r="K290" s="5" t="s">
        <v>308</v>
      </c>
      <c r="L290" s="7">
        <f>219285</f>
        <v>219285</v>
      </c>
      <c r="M290" s="7">
        <f>219285</f>
        <v>219285</v>
      </c>
      <c r="N290" s="5" t="s">
        <v>242</v>
      </c>
      <c r="O290" s="5">
        <v>1</v>
      </c>
      <c r="P290" s="5" t="s">
        <v>294</v>
      </c>
      <c r="Q290" s="5" t="s">
        <v>613</v>
      </c>
      <c r="R290" s="5" t="s">
        <v>240</v>
      </c>
      <c r="S290" s="5" t="s">
        <v>240</v>
      </c>
      <c r="T290" s="5" t="s">
        <v>243</v>
      </c>
      <c r="U290" s="5" t="s">
        <v>724</v>
      </c>
      <c r="V290" s="5" t="s">
        <v>240</v>
      </c>
      <c r="Y290" s="5" t="s">
        <v>240</v>
      </c>
      <c r="Z290" s="6" t="s">
        <v>298</v>
      </c>
      <c r="AB290" s="6" t="s">
        <v>240</v>
      </c>
      <c r="AE290" s="6" t="s">
        <v>299</v>
      </c>
      <c r="AF290" s="5" t="s">
        <v>248</v>
      </c>
      <c r="AG290" s="5" t="s">
        <v>249</v>
      </c>
      <c r="AW290" s="5" t="s">
        <v>251</v>
      </c>
      <c r="AX290" s="5" t="s">
        <v>240</v>
      </c>
      <c r="AY290" s="5" t="s">
        <v>253</v>
      </c>
      <c r="AZ290" s="5" t="s">
        <v>240</v>
      </c>
      <c r="BA290" s="5" t="s">
        <v>255</v>
      </c>
      <c r="BB290" s="5" t="s">
        <v>240</v>
      </c>
      <c r="BD290" s="5" t="s">
        <v>240</v>
      </c>
      <c r="BF290" s="5" t="s">
        <v>301</v>
      </c>
      <c r="BG290" s="6" t="s">
        <v>299</v>
      </c>
      <c r="BH290" s="5" t="s">
        <v>302</v>
      </c>
      <c r="BI290" s="5" t="s">
        <v>303</v>
      </c>
      <c r="BJ290" s="5" t="s">
        <v>240</v>
      </c>
      <c r="BK290" s="8">
        <f>0</f>
        <v>0</v>
      </c>
      <c r="BL290" s="7">
        <f>0</f>
        <v>0</v>
      </c>
      <c r="BM290" s="5" t="s">
        <v>258</v>
      </c>
      <c r="BN290" s="5" t="s">
        <v>259</v>
      </c>
      <c r="CB290" s="5" t="s">
        <v>240</v>
      </c>
      <c r="CC290" s="5" t="s">
        <v>240</v>
      </c>
      <c r="CG290" s="5" t="s">
        <v>617</v>
      </c>
      <c r="CH290" s="5" t="s">
        <v>305</v>
      </c>
      <c r="CI290" s="5" t="s">
        <v>240</v>
      </c>
      <c r="CL290" s="6" t="s">
        <v>261</v>
      </c>
      <c r="CM290" s="5" t="s">
        <v>240</v>
      </c>
      <c r="CN290" s="5" t="s">
        <v>263</v>
      </c>
      <c r="CO290" s="5" t="s">
        <v>240</v>
      </c>
      <c r="CP290" s="5" t="s">
        <v>240</v>
      </c>
      <c r="CQ290" s="5">
        <v>0</v>
      </c>
      <c r="CR290" s="5" t="s">
        <v>306</v>
      </c>
      <c r="CS290" s="5" t="s">
        <v>307</v>
      </c>
      <c r="CT290" s="5" t="s">
        <v>307</v>
      </c>
      <c r="CU290" s="5" t="s">
        <v>260</v>
      </c>
      <c r="CX290" s="7">
        <f>2750</f>
        <v>2750</v>
      </c>
      <c r="CY290" s="7">
        <f>0</f>
        <v>0</v>
      </c>
      <c r="DA290" s="7">
        <f>0</f>
        <v>0</v>
      </c>
      <c r="DC290" s="5" t="s">
        <v>854</v>
      </c>
      <c r="DD290" s="5" t="s">
        <v>240</v>
      </c>
      <c r="DF290" s="5" t="s">
        <v>854</v>
      </c>
      <c r="DG290" s="7">
        <f>250</f>
        <v>250</v>
      </c>
      <c r="DI290" s="5" t="s">
        <v>737</v>
      </c>
      <c r="DJ290" s="5" t="s">
        <v>240</v>
      </c>
      <c r="DK290" s="5" t="s">
        <v>240</v>
      </c>
      <c r="DL290" s="5" t="s">
        <v>240</v>
      </c>
      <c r="DP290" s="5" t="s">
        <v>240</v>
      </c>
      <c r="DQ290" s="5" t="s">
        <v>240</v>
      </c>
      <c r="DR290" s="5" t="s">
        <v>240</v>
      </c>
      <c r="DS290" s="5" t="s">
        <v>240</v>
      </c>
      <c r="DV290" s="5" t="s">
        <v>957</v>
      </c>
      <c r="DW290" s="5" t="s">
        <v>392</v>
      </c>
      <c r="HO290" s="5" t="s">
        <v>312</v>
      </c>
    </row>
    <row r="291" spans="1:223" x14ac:dyDescent="0.4">
      <c r="A291" s="5">
        <v>1025</v>
      </c>
      <c r="B291" s="5">
        <v>1</v>
      </c>
      <c r="C291" s="5">
        <v>1</v>
      </c>
      <c r="D291" s="5" t="s">
        <v>1464</v>
      </c>
      <c r="E291" s="5" t="s">
        <v>1325</v>
      </c>
      <c r="F291" s="5" t="s">
        <v>254</v>
      </c>
      <c r="G291" s="5" t="s">
        <v>240</v>
      </c>
      <c r="H291" s="6" t="s">
        <v>1485</v>
      </c>
      <c r="I291" s="5" t="s">
        <v>1463</v>
      </c>
      <c r="J291" s="8">
        <f>5430</f>
        <v>5430</v>
      </c>
      <c r="K291" s="5" t="s">
        <v>308</v>
      </c>
      <c r="L291" s="7">
        <f>12027450</f>
        <v>12027450</v>
      </c>
      <c r="M291" s="7">
        <f>12027450</f>
        <v>12027450</v>
      </c>
      <c r="N291" s="5" t="s">
        <v>242</v>
      </c>
      <c r="O291" s="5">
        <v>1</v>
      </c>
      <c r="P291" s="5" t="s">
        <v>294</v>
      </c>
      <c r="Q291" s="5" t="s">
        <v>613</v>
      </c>
      <c r="R291" s="5" t="s">
        <v>240</v>
      </c>
      <c r="S291" s="5" t="s">
        <v>240</v>
      </c>
      <c r="T291" s="5" t="s">
        <v>243</v>
      </c>
      <c r="U291" s="5" t="s">
        <v>724</v>
      </c>
      <c r="V291" s="5" t="s">
        <v>240</v>
      </c>
      <c r="Y291" s="5" t="s">
        <v>240</v>
      </c>
      <c r="Z291" s="6" t="s">
        <v>298</v>
      </c>
      <c r="AB291" s="6" t="s">
        <v>240</v>
      </c>
      <c r="AE291" s="6" t="s">
        <v>299</v>
      </c>
      <c r="AF291" s="5" t="s">
        <v>248</v>
      </c>
      <c r="AG291" s="5" t="s">
        <v>249</v>
      </c>
      <c r="AW291" s="5" t="s">
        <v>251</v>
      </c>
      <c r="AX291" s="5" t="s">
        <v>240</v>
      </c>
      <c r="AY291" s="5" t="s">
        <v>253</v>
      </c>
      <c r="AZ291" s="5" t="s">
        <v>240</v>
      </c>
      <c r="BA291" s="5" t="s">
        <v>255</v>
      </c>
      <c r="BB291" s="5" t="s">
        <v>240</v>
      </c>
      <c r="BD291" s="5" t="s">
        <v>240</v>
      </c>
      <c r="BF291" s="5" t="s">
        <v>301</v>
      </c>
      <c r="BG291" s="6" t="s">
        <v>299</v>
      </c>
      <c r="BH291" s="5" t="s">
        <v>302</v>
      </c>
      <c r="BI291" s="5" t="s">
        <v>303</v>
      </c>
      <c r="BJ291" s="5" t="s">
        <v>240</v>
      </c>
      <c r="BK291" s="8">
        <f>0</f>
        <v>0</v>
      </c>
      <c r="BL291" s="7">
        <f>0</f>
        <v>0</v>
      </c>
      <c r="BM291" s="5" t="s">
        <v>258</v>
      </c>
      <c r="BN291" s="5" t="s">
        <v>259</v>
      </c>
      <c r="CB291" s="5" t="s">
        <v>240</v>
      </c>
      <c r="CC291" s="5" t="s">
        <v>240</v>
      </c>
      <c r="CG291" s="5" t="s">
        <v>617</v>
      </c>
      <c r="CH291" s="5" t="s">
        <v>305</v>
      </c>
      <c r="CI291" s="5" t="s">
        <v>240</v>
      </c>
      <c r="CL291" s="6" t="s">
        <v>261</v>
      </c>
      <c r="CM291" s="5" t="s">
        <v>240</v>
      </c>
      <c r="CN291" s="5" t="s">
        <v>263</v>
      </c>
      <c r="CO291" s="5" t="s">
        <v>240</v>
      </c>
      <c r="CP291" s="5" t="s">
        <v>240</v>
      </c>
      <c r="CQ291" s="5">
        <v>0</v>
      </c>
      <c r="CR291" s="5" t="s">
        <v>306</v>
      </c>
      <c r="CS291" s="5" t="s">
        <v>307</v>
      </c>
      <c r="CT291" s="5" t="s">
        <v>307</v>
      </c>
      <c r="CU291" s="5" t="s">
        <v>260</v>
      </c>
      <c r="CX291" s="7">
        <f>759</f>
        <v>759</v>
      </c>
      <c r="CY291" s="7">
        <f>0</f>
        <v>0</v>
      </c>
      <c r="DA291" s="7">
        <f>0</f>
        <v>0</v>
      </c>
      <c r="DC291" s="5" t="s">
        <v>854</v>
      </c>
      <c r="DD291" s="5" t="s">
        <v>240</v>
      </c>
      <c r="DF291" s="5" t="s">
        <v>854</v>
      </c>
      <c r="DG291" s="7">
        <f>69</f>
        <v>69</v>
      </c>
      <c r="DI291" s="5" t="s">
        <v>737</v>
      </c>
      <c r="DJ291" s="5" t="s">
        <v>240</v>
      </c>
      <c r="DK291" s="5" t="s">
        <v>240</v>
      </c>
      <c r="DL291" s="5" t="s">
        <v>240</v>
      </c>
      <c r="DP291" s="5" t="s">
        <v>240</v>
      </c>
      <c r="DQ291" s="5" t="s">
        <v>240</v>
      </c>
      <c r="DR291" s="5" t="s">
        <v>240</v>
      </c>
      <c r="DS291" s="5" t="s">
        <v>240</v>
      </c>
      <c r="DV291" s="5" t="s">
        <v>957</v>
      </c>
      <c r="DW291" s="5" t="s">
        <v>394</v>
      </c>
      <c r="HO291" s="5" t="s">
        <v>312</v>
      </c>
    </row>
    <row r="292" spans="1:223" x14ac:dyDescent="0.4">
      <c r="A292" s="5">
        <v>1026</v>
      </c>
      <c r="B292" s="5">
        <v>1</v>
      </c>
      <c r="C292" s="5">
        <v>1</v>
      </c>
      <c r="D292" s="5" t="s">
        <v>1464</v>
      </c>
      <c r="E292" s="5" t="s">
        <v>1325</v>
      </c>
      <c r="F292" s="5" t="s">
        <v>254</v>
      </c>
      <c r="G292" s="5" t="s">
        <v>240</v>
      </c>
      <c r="H292" s="6" t="s">
        <v>1484</v>
      </c>
      <c r="I292" s="5" t="s">
        <v>1463</v>
      </c>
      <c r="J292" s="8">
        <f>2931</f>
        <v>2931</v>
      </c>
      <c r="K292" s="5" t="s">
        <v>308</v>
      </c>
      <c r="L292" s="7">
        <f>6492165</f>
        <v>6492165</v>
      </c>
      <c r="M292" s="7">
        <f>6492165</f>
        <v>6492165</v>
      </c>
      <c r="N292" s="5" t="s">
        <v>242</v>
      </c>
      <c r="O292" s="5">
        <v>1</v>
      </c>
      <c r="P292" s="5" t="s">
        <v>294</v>
      </c>
      <c r="Q292" s="5" t="s">
        <v>613</v>
      </c>
      <c r="R292" s="5" t="s">
        <v>240</v>
      </c>
      <c r="S292" s="5" t="s">
        <v>240</v>
      </c>
      <c r="T292" s="5" t="s">
        <v>243</v>
      </c>
      <c r="U292" s="5" t="s">
        <v>724</v>
      </c>
      <c r="V292" s="5" t="s">
        <v>240</v>
      </c>
      <c r="Y292" s="5" t="s">
        <v>240</v>
      </c>
      <c r="Z292" s="6" t="s">
        <v>298</v>
      </c>
      <c r="AB292" s="6" t="s">
        <v>240</v>
      </c>
      <c r="AE292" s="6" t="s">
        <v>299</v>
      </c>
      <c r="AF292" s="5" t="s">
        <v>248</v>
      </c>
      <c r="AG292" s="5" t="s">
        <v>249</v>
      </c>
      <c r="AW292" s="5" t="s">
        <v>251</v>
      </c>
      <c r="AX292" s="5" t="s">
        <v>240</v>
      </c>
      <c r="AY292" s="5" t="s">
        <v>253</v>
      </c>
      <c r="AZ292" s="5" t="s">
        <v>240</v>
      </c>
      <c r="BA292" s="5" t="s">
        <v>255</v>
      </c>
      <c r="BB292" s="5" t="s">
        <v>240</v>
      </c>
      <c r="BD292" s="5" t="s">
        <v>240</v>
      </c>
      <c r="BF292" s="5" t="s">
        <v>301</v>
      </c>
      <c r="BG292" s="6" t="s">
        <v>299</v>
      </c>
      <c r="BH292" s="5" t="s">
        <v>302</v>
      </c>
      <c r="BI292" s="5" t="s">
        <v>303</v>
      </c>
      <c r="BJ292" s="5" t="s">
        <v>240</v>
      </c>
      <c r="BK292" s="8">
        <f>0</f>
        <v>0</v>
      </c>
      <c r="BL292" s="7">
        <f>0</f>
        <v>0</v>
      </c>
      <c r="BM292" s="5" t="s">
        <v>258</v>
      </c>
      <c r="BN292" s="5" t="s">
        <v>259</v>
      </c>
      <c r="CB292" s="5" t="s">
        <v>240</v>
      </c>
      <c r="CC292" s="5" t="s">
        <v>240</v>
      </c>
      <c r="CG292" s="5" t="s">
        <v>617</v>
      </c>
      <c r="CH292" s="5" t="s">
        <v>305</v>
      </c>
      <c r="CI292" s="5" t="s">
        <v>240</v>
      </c>
      <c r="CL292" s="6" t="s">
        <v>261</v>
      </c>
      <c r="CM292" s="5" t="s">
        <v>240</v>
      </c>
      <c r="CN292" s="5" t="s">
        <v>263</v>
      </c>
      <c r="CO292" s="5" t="s">
        <v>240</v>
      </c>
      <c r="CP292" s="5" t="s">
        <v>240</v>
      </c>
      <c r="CQ292" s="5">
        <v>0</v>
      </c>
      <c r="CR292" s="5" t="s">
        <v>306</v>
      </c>
      <c r="CS292" s="5" t="s">
        <v>307</v>
      </c>
      <c r="CT292" s="5" t="s">
        <v>307</v>
      </c>
      <c r="CU292" s="5" t="s">
        <v>260</v>
      </c>
      <c r="CX292" s="7">
        <f>264</f>
        <v>264</v>
      </c>
      <c r="CY292" s="7">
        <f>0</f>
        <v>0</v>
      </c>
      <c r="DA292" s="7">
        <f>0</f>
        <v>0</v>
      </c>
      <c r="DC292" s="5" t="s">
        <v>854</v>
      </c>
      <c r="DD292" s="5" t="s">
        <v>240</v>
      </c>
      <c r="DF292" s="5" t="s">
        <v>854</v>
      </c>
      <c r="DG292" s="7">
        <f>24</f>
        <v>24</v>
      </c>
      <c r="DI292" s="5" t="s">
        <v>737</v>
      </c>
      <c r="DJ292" s="5" t="s">
        <v>240</v>
      </c>
      <c r="DK292" s="5" t="s">
        <v>240</v>
      </c>
      <c r="DL292" s="5" t="s">
        <v>240</v>
      </c>
      <c r="DP292" s="5" t="s">
        <v>240</v>
      </c>
      <c r="DQ292" s="5" t="s">
        <v>240</v>
      </c>
      <c r="DR292" s="5" t="s">
        <v>240</v>
      </c>
      <c r="DS292" s="5" t="s">
        <v>240</v>
      </c>
      <c r="DV292" s="5" t="s">
        <v>957</v>
      </c>
      <c r="DW292" s="5" t="s">
        <v>396</v>
      </c>
      <c r="HO292" s="5" t="s">
        <v>312</v>
      </c>
    </row>
    <row r="293" spans="1:223" x14ac:dyDescent="0.4">
      <c r="A293" s="5">
        <v>1027</v>
      </c>
      <c r="B293" s="5">
        <v>1</v>
      </c>
      <c r="C293" s="5">
        <v>1</v>
      </c>
      <c r="D293" s="5" t="s">
        <v>1464</v>
      </c>
      <c r="E293" s="5" t="s">
        <v>1325</v>
      </c>
      <c r="F293" s="5" t="s">
        <v>254</v>
      </c>
      <c r="G293" s="5" t="s">
        <v>240</v>
      </c>
      <c r="H293" s="6" t="s">
        <v>1483</v>
      </c>
      <c r="I293" s="5" t="s">
        <v>1463</v>
      </c>
      <c r="J293" s="8">
        <f>124</f>
        <v>124</v>
      </c>
      <c r="K293" s="5" t="s">
        <v>308</v>
      </c>
      <c r="L293" s="7">
        <f>274660</f>
        <v>274660</v>
      </c>
      <c r="M293" s="7">
        <f>274660</f>
        <v>274660</v>
      </c>
      <c r="N293" s="5" t="s">
        <v>242</v>
      </c>
      <c r="O293" s="5">
        <v>1</v>
      </c>
      <c r="P293" s="5" t="s">
        <v>294</v>
      </c>
      <c r="Q293" s="5" t="s">
        <v>613</v>
      </c>
      <c r="R293" s="5" t="s">
        <v>240</v>
      </c>
      <c r="S293" s="5" t="s">
        <v>240</v>
      </c>
      <c r="T293" s="5" t="s">
        <v>243</v>
      </c>
      <c r="U293" s="5" t="s">
        <v>724</v>
      </c>
      <c r="V293" s="5" t="s">
        <v>240</v>
      </c>
      <c r="Y293" s="5" t="s">
        <v>240</v>
      </c>
      <c r="Z293" s="6" t="s">
        <v>298</v>
      </c>
      <c r="AB293" s="6" t="s">
        <v>240</v>
      </c>
      <c r="AE293" s="6" t="s">
        <v>299</v>
      </c>
      <c r="AF293" s="5" t="s">
        <v>248</v>
      </c>
      <c r="AG293" s="5" t="s">
        <v>249</v>
      </c>
      <c r="AW293" s="5" t="s">
        <v>251</v>
      </c>
      <c r="AX293" s="5" t="s">
        <v>240</v>
      </c>
      <c r="AY293" s="5" t="s">
        <v>253</v>
      </c>
      <c r="AZ293" s="5" t="s">
        <v>240</v>
      </c>
      <c r="BA293" s="5" t="s">
        <v>255</v>
      </c>
      <c r="BB293" s="5" t="s">
        <v>240</v>
      </c>
      <c r="BD293" s="5" t="s">
        <v>240</v>
      </c>
      <c r="BF293" s="5" t="s">
        <v>301</v>
      </c>
      <c r="BG293" s="6" t="s">
        <v>299</v>
      </c>
      <c r="BH293" s="5" t="s">
        <v>302</v>
      </c>
      <c r="BI293" s="5" t="s">
        <v>303</v>
      </c>
      <c r="BJ293" s="5" t="s">
        <v>240</v>
      </c>
      <c r="BK293" s="8">
        <f>0</f>
        <v>0</v>
      </c>
      <c r="BL293" s="7">
        <f>0</f>
        <v>0</v>
      </c>
      <c r="BM293" s="5" t="s">
        <v>258</v>
      </c>
      <c r="BN293" s="5" t="s">
        <v>259</v>
      </c>
      <c r="CB293" s="5" t="s">
        <v>240</v>
      </c>
      <c r="CC293" s="5" t="s">
        <v>240</v>
      </c>
      <c r="CG293" s="5" t="s">
        <v>617</v>
      </c>
      <c r="CH293" s="5" t="s">
        <v>305</v>
      </c>
      <c r="CI293" s="5" t="s">
        <v>240</v>
      </c>
      <c r="CL293" s="6" t="s">
        <v>261</v>
      </c>
      <c r="CM293" s="5" t="s">
        <v>240</v>
      </c>
      <c r="CN293" s="5" t="s">
        <v>263</v>
      </c>
      <c r="CO293" s="5" t="s">
        <v>240</v>
      </c>
      <c r="CP293" s="5" t="s">
        <v>240</v>
      </c>
      <c r="CQ293" s="5">
        <v>0</v>
      </c>
      <c r="CR293" s="5" t="s">
        <v>306</v>
      </c>
      <c r="CS293" s="5" t="s">
        <v>307</v>
      </c>
      <c r="CT293" s="5" t="s">
        <v>307</v>
      </c>
      <c r="CU293" s="5" t="s">
        <v>260</v>
      </c>
      <c r="CX293" s="7">
        <f>869</f>
        <v>869</v>
      </c>
      <c r="CY293" s="7">
        <f>0</f>
        <v>0</v>
      </c>
      <c r="DA293" s="7">
        <f>0</f>
        <v>0</v>
      </c>
      <c r="DC293" s="5" t="s">
        <v>854</v>
      </c>
      <c r="DD293" s="5" t="s">
        <v>240</v>
      </c>
      <c r="DF293" s="5" t="s">
        <v>854</v>
      </c>
      <c r="DG293" s="7">
        <f>79</f>
        <v>79</v>
      </c>
      <c r="DI293" s="5" t="s">
        <v>737</v>
      </c>
      <c r="DJ293" s="5" t="s">
        <v>240</v>
      </c>
      <c r="DK293" s="5" t="s">
        <v>240</v>
      </c>
      <c r="DL293" s="5" t="s">
        <v>240</v>
      </c>
      <c r="DP293" s="5" t="s">
        <v>240</v>
      </c>
      <c r="DQ293" s="5" t="s">
        <v>240</v>
      </c>
      <c r="DR293" s="5" t="s">
        <v>240</v>
      </c>
      <c r="DS293" s="5" t="s">
        <v>240</v>
      </c>
      <c r="DV293" s="5" t="s">
        <v>957</v>
      </c>
      <c r="DW293" s="5" t="s">
        <v>398</v>
      </c>
      <c r="HO293" s="5" t="s">
        <v>312</v>
      </c>
    </row>
    <row r="294" spans="1:223" x14ac:dyDescent="0.4">
      <c r="A294" s="5">
        <v>1028</v>
      </c>
      <c r="B294" s="5">
        <v>1</v>
      </c>
      <c r="C294" s="5">
        <v>1</v>
      </c>
      <c r="D294" s="5" t="s">
        <v>1464</v>
      </c>
      <c r="E294" s="5" t="s">
        <v>1325</v>
      </c>
      <c r="F294" s="5" t="s">
        <v>254</v>
      </c>
      <c r="G294" s="5" t="s">
        <v>240</v>
      </c>
      <c r="H294" s="6" t="s">
        <v>1482</v>
      </c>
      <c r="I294" s="5" t="s">
        <v>1463</v>
      </c>
      <c r="J294" s="8">
        <f>1916</f>
        <v>1916</v>
      </c>
      <c r="K294" s="5" t="s">
        <v>308</v>
      </c>
      <c r="L294" s="7">
        <f>4243940</f>
        <v>4243940</v>
      </c>
      <c r="M294" s="7">
        <f>4243940</f>
        <v>4243940</v>
      </c>
      <c r="N294" s="5" t="s">
        <v>242</v>
      </c>
      <c r="O294" s="5">
        <v>1</v>
      </c>
      <c r="P294" s="5" t="s">
        <v>294</v>
      </c>
      <c r="Q294" s="5" t="s">
        <v>613</v>
      </c>
      <c r="R294" s="5" t="s">
        <v>240</v>
      </c>
      <c r="S294" s="5" t="s">
        <v>240</v>
      </c>
      <c r="T294" s="5" t="s">
        <v>243</v>
      </c>
      <c r="U294" s="5" t="s">
        <v>724</v>
      </c>
      <c r="V294" s="5" t="s">
        <v>240</v>
      </c>
      <c r="Y294" s="5" t="s">
        <v>240</v>
      </c>
      <c r="Z294" s="6" t="s">
        <v>298</v>
      </c>
      <c r="AB294" s="6" t="s">
        <v>240</v>
      </c>
      <c r="AE294" s="6" t="s">
        <v>299</v>
      </c>
      <c r="AF294" s="5" t="s">
        <v>248</v>
      </c>
      <c r="AG294" s="5" t="s">
        <v>249</v>
      </c>
      <c r="AW294" s="5" t="s">
        <v>251</v>
      </c>
      <c r="AX294" s="5" t="s">
        <v>240</v>
      </c>
      <c r="AY294" s="5" t="s">
        <v>253</v>
      </c>
      <c r="AZ294" s="5" t="s">
        <v>240</v>
      </c>
      <c r="BA294" s="5" t="s">
        <v>255</v>
      </c>
      <c r="BB294" s="5" t="s">
        <v>240</v>
      </c>
      <c r="BD294" s="5" t="s">
        <v>240</v>
      </c>
      <c r="BF294" s="5" t="s">
        <v>301</v>
      </c>
      <c r="BG294" s="6" t="s">
        <v>299</v>
      </c>
      <c r="BH294" s="5" t="s">
        <v>302</v>
      </c>
      <c r="BI294" s="5" t="s">
        <v>303</v>
      </c>
      <c r="BJ294" s="5" t="s">
        <v>240</v>
      </c>
      <c r="BK294" s="8">
        <f>0</f>
        <v>0</v>
      </c>
      <c r="BL294" s="7">
        <f>0</f>
        <v>0</v>
      </c>
      <c r="BM294" s="5" t="s">
        <v>258</v>
      </c>
      <c r="BN294" s="5" t="s">
        <v>259</v>
      </c>
      <c r="CB294" s="5" t="s">
        <v>240</v>
      </c>
      <c r="CC294" s="5" t="s">
        <v>240</v>
      </c>
      <c r="CG294" s="5" t="s">
        <v>617</v>
      </c>
      <c r="CH294" s="5" t="s">
        <v>305</v>
      </c>
      <c r="CI294" s="5" t="s">
        <v>240</v>
      </c>
      <c r="CL294" s="6" t="s">
        <v>261</v>
      </c>
      <c r="CM294" s="5" t="s">
        <v>240</v>
      </c>
      <c r="CN294" s="5" t="s">
        <v>263</v>
      </c>
      <c r="CO294" s="5" t="s">
        <v>240</v>
      </c>
      <c r="CP294" s="5" t="s">
        <v>240</v>
      </c>
      <c r="CQ294" s="5">
        <v>0</v>
      </c>
      <c r="CR294" s="5" t="s">
        <v>306</v>
      </c>
      <c r="CS294" s="5" t="s">
        <v>307</v>
      </c>
      <c r="CT294" s="5" t="s">
        <v>307</v>
      </c>
      <c r="CU294" s="5" t="s">
        <v>260</v>
      </c>
      <c r="CX294" s="7">
        <f>220</f>
        <v>220</v>
      </c>
      <c r="CY294" s="7">
        <f>0</f>
        <v>0</v>
      </c>
      <c r="DA294" s="7">
        <f>0</f>
        <v>0</v>
      </c>
      <c r="DC294" s="5" t="s">
        <v>854</v>
      </c>
      <c r="DD294" s="5" t="s">
        <v>240</v>
      </c>
      <c r="DF294" s="5" t="s">
        <v>854</v>
      </c>
      <c r="DG294" s="7">
        <f>20</f>
        <v>20</v>
      </c>
      <c r="DI294" s="5" t="s">
        <v>737</v>
      </c>
      <c r="DJ294" s="5" t="s">
        <v>240</v>
      </c>
      <c r="DK294" s="5" t="s">
        <v>240</v>
      </c>
      <c r="DL294" s="5" t="s">
        <v>240</v>
      </c>
      <c r="DP294" s="5" t="s">
        <v>240</v>
      </c>
      <c r="DQ294" s="5" t="s">
        <v>240</v>
      </c>
      <c r="DR294" s="5" t="s">
        <v>240</v>
      </c>
      <c r="DS294" s="5" t="s">
        <v>240</v>
      </c>
      <c r="DV294" s="5" t="s">
        <v>957</v>
      </c>
      <c r="DW294" s="5" t="s">
        <v>400</v>
      </c>
      <c r="HO294" s="5" t="s">
        <v>312</v>
      </c>
    </row>
    <row r="295" spans="1:223" x14ac:dyDescent="0.4">
      <c r="A295" s="5">
        <v>1029</v>
      </c>
      <c r="B295" s="5">
        <v>1</v>
      </c>
      <c r="C295" s="5">
        <v>1</v>
      </c>
      <c r="D295" s="5" t="s">
        <v>1464</v>
      </c>
      <c r="E295" s="5" t="s">
        <v>1325</v>
      </c>
      <c r="F295" s="5" t="s">
        <v>254</v>
      </c>
      <c r="G295" s="5" t="s">
        <v>240</v>
      </c>
      <c r="H295" s="6" t="s">
        <v>1481</v>
      </c>
      <c r="I295" s="5" t="s">
        <v>1463</v>
      </c>
      <c r="J295" s="8">
        <f>1913</f>
        <v>1913</v>
      </c>
      <c r="K295" s="5" t="s">
        <v>308</v>
      </c>
      <c r="L295" s="7">
        <f>4237295</f>
        <v>4237295</v>
      </c>
      <c r="M295" s="7">
        <f>4237295</f>
        <v>4237295</v>
      </c>
      <c r="N295" s="5" t="s">
        <v>242</v>
      </c>
      <c r="O295" s="5">
        <v>1</v>
      </c>
      <c r="P295" s="5" t="s">
        <v>294</v>
      </c>
      <c r="Q295" s="5" t="s">
        <v>613</v>
      </c>
      <c r="R295" s="5" t="s">
        <v>240</v>
      </c>
      <c r="S295" s="5" t="s">
        <v>240</v>
      </c>
      <c r="T295" s="5" t="s">
        <v>243</v>
      </c>
      <c r="U295" s="5" t="s">
        <v>724</v>
      </c>
      <c r="V295" s="5" t="s">
        <v>240</v>
      </c>
      <c r="Y295" s="5" t="s">
        <v>240</v>
      </c>
      <c r="Z295" s="6" t="s">
        <v>298</v>
      </c>
      <c r="AB295" s="6" t="s">
        <v>240</v>
      </c>
      <c r="AE295" s="6" t="s">
        <v>299</v>
      </c>
      <c r="AF295" s="5" t="s">
        <v>248</v>
      </c>
      <c r="AG295" s="5" t="s">
        <v>249</v>
      </c>
      <c r="AW295" s="5" t="s">
        <v>251</v>
      </c>
      <c r="AX295" s="5" t="s">
        <v>240</v>
      </c>
      <c r="AY295" s="5" t="s">
        <v>253</v>
      </c>
      <c r="AZ295" s="5" t="s">
        <v>240</v>
      </c>
      <c r="BA295" s="5" t="s">
        <v>255</v>
      </c>
      <c r="BB295" s="5" t="s">
        <v>240</v>
      </c>
      <c r="BD295" s="5" t="s">
        <v>240</v>
      </c>
      <c r="BF295" s="5" t="s">
        <v>301</v>
      </c>
      <c r="BG295" s="6" t="s">
        <v>299</v>
      </c>
      <c r="BH295" s="5" t="s">
        <v>302</v>
      </c>
      <c r="BI295" s="5" t="s">
        <v>303</v>
      </c>
      <c r="BJ295" s="5" t="s">
        <v>240</v>
      </c>
      <c r="BK295" s="8">
        <f>0</f>
        <v>0</v>
      </c>
      <c r="BL295" s="7">
        <f>0</f>
        <v>0</v>
      </c>
      <c r="BM295" s="5" t="s">
        <v>258</v>
      </c>
      <c r="BN295" s="5" t="s">
        <v>259</v>
      </c>
      <c r="CB295" s="5" t="s">
        <v>240</v>
      </c>
      <c r="CC295" s="5" t="s">
        <v>240</v>
      </c>
      <c r="CG295" s="5" t="s">
        <v>617</v>
      </c>
      <c r="CH295" s="5" t="s">
        <v>305</v>
      </c>
      <c r="CI295" s="5" t="s">
        <v>240</v>
      </c>
      <c r="CL295" s="6" t="s">
        <v>261</v>
      </c>
      <c r="CM295" s="5" t="s">
        <v>240</v>
      </c>
      <c r="CN295" s="5" t="s">
        <v>263</v>
      </c>
      <c r="CO295" s="5" t="s">
        <v>240</v>
      </c>
      <c r="CP295" s="5" t="s">
        <v>240</v>
      </c>
      <c r="CQ295" s="5">
        <v>0</v>
      </c>
      <c r="CR295" s="5" t="s">
        <v>306</v>
      </c>
      <c r="CS295" s="5" t="s">
        <v>307</v>
      </c>
      <c r="CT295" s="5" t="s">
        <v>307</v>
      </c>
      <c r="CU295" s="5" t="s">
        <v>260</v>
      </c>
      <c r="CX295" s="7">
        <f>675917</f>
        <v>675917</v>
      </c>
      <c r="CY295" s="7">
        <f>0</f>
        <v>0</v>
      </c>
      <c r="DA295" s="7">
        <f>0</f>
        <v>0</v>
      </c>
      <c r="DC295" s="5" t="s">
        <v>854</v>
      </c>
      <c r="DD295" s="5" t="s">
        <v>240</v>
      </c>
      <c r="DF295" s="5" t="s">
        <v>854</v>
      </c>
      <c r="DG295" s="7">
        <f>61447</f>
        <v>61447</v>
      </c>
      <c r="DI295" s="5" t="s">
        <v>737</v>
      </c>
      <c r="DJ295" s="5" t="s">
        <v>240</v>
      </c>
      <c r="DK295" s="5" t="s">
        <v>240</v>
      </c>
      <c r="DL295" s="5" t="s">
        <v>240</v>
      </c>
      <c r="DP295" s="5" t="s">
        <v>240</v>
      </c>
      <c r="DQ295" s="5" t="s">
        <v>240</v>
      </c>
      <c r="DR295" s="5" t="s">
        <v>240</v>
      </c>
      <c r="DS295" s="5" t="s">
        <v>240</v>
      </c>
      <c r="DV295" s="5" t="s">
        <v>957</v>
      </c>
      <c r="DW295" s="5" t="s">
        <v>402</v>
      </c>
      <c r="HO295" s="5" t="s">
        <v>312</v>
      </c>
    </row>
    <row r="296" spans="1:223" x14ac:dyDescent="0.4">
      <c r="A296" s="5">
        <v>1030</v>
      </c>
      <c r="B296" s="5">
        <v>1</v>
      </c>
      <c r="C296" s="5">
        <v>1</v>
      </c>
      <c r="D296" s="5" t="s">
        <v>1464</v>
      </c>
      <c r="E296" s="5" t="s">
        <v>1325</v>
      </c>
      <c r="F296" s="5" t="s">
        <v>254</v>
      </c>
      <c r="G296" s="5" t="s">
        <v>240</v>
      </c>
      <c r="H296" s="6" t="s">
        <v>1480</v>
      </c>
      <c r="I296" s="5" t="s">
        <v>1463</v>
      </c>
      <c r="J296" s="8">
        <f>982</f>
        <v>982</v>
      </c>
      <c r="K296" s="5" t="s">
        <v>308</v>
      </c>
      <c r="L296" s="7">
        <f>2175130</f>
        <v>2175130</v>
      </c>
      <c r="M296" s="7">
        <f>2175130</f>
        <v>2175130</v>
      </c>
      <c r="N296" s="5" t="s">
        <v>242</v>
      </c>
      <c r="O296" s="5">
        <v>1</v>
      </c>
      <c r="P296" s="5" t="s">
        <v>294</v>
      </c>
      <c r="Q296" s="5" t="s">
        <v>613</v>
      </c>
      <c r="R296" s="5" t="s">
        <v>240</v>
      </c>
      <c r="S296" s="5" t="s">
        <v>240</v>
      </c>
      <c r="T296" s="5" t="s">
        <v>243</v>
      </c>
      <c r="U296" s="5" t="s">
        <v>724</v>
      </c>
      <c r="V296" s="5" t="s">
        <v>240</v>
      </c>
      <c r="Y296" s="5" t="s">
        <v>240</v>
      </c>
      <c r="Z296" s="6" t="s">
        <v>298</v>
      </c>
      <c r="AB296" s="6" t="s">
        <v>240</v>
      </c>
      <c r="AE296" s="6" t="s">
        <v>299</v>
      </c>
      <c r="AF296" s="5" t="s">
        <v>248</v>
      </c>
      <c r="AG296" s="5" t="s">
        <v>249</v>
      </c>
      <c r="AW296" s="5" t="s">
        <v>251</v>
      </c>
      <c r="AX296" s="5" t="s">
        <v>240</v>
      </c>
      <c r="AY296" s="5" t="s">
        <v>253</v>
      </c>
      <c r="AZ296" s="5" t="s">
        <v>240</v>
      </c>
      <c r="BA296" s="5" t="s">
        <v>255</v>
      </c>
      <c r="BB296" s="5" t="s">
        <v>240</v>
      </c>
      <c r="BD296" s="5" t="s">
        <v>240</v>
      </c>
      <c r="BF296" s="5" t="s">
        <v>301</v>
      </c>
      <c r="BG296" s="6" t="s">
        <v>299</v>
      </c>
      <c r="BH296" s="5" t="s">
        <v>302</v>
      </c>
      <c r="BI296" s="5" t="s">
        <v>303</v>
      </c>
      <c r="BJ296" s="5" t="s">
        <v>240</v>
      </c>
      <c r="BK296" s="8">
        <f>0</f>
        <v>0</v>
      </c>
      <c r="BL296" s="7">
        <f>0</f>
        <v>0</v>
      </c>
      <c r="BM296" s="5" t="s">
        <v>258</v>
      </c>
      <c r="BN296" s="5" t="s">
        <v>259</v>
      </c>
      <c r="CB296" s="5" t="s">
        <v>240</v>
      </c>
      <c r="CC296" s="5" t="s">
        <v>240</v>
      </c>
      <c r="CG296" s="5" t="s">
        <v>617</v>
      </c>
      <c r="CH296" s="5" t="s">
        <v>305</v>
      </c>
      <c r="CI296" s="5" t="s">
        <v>240</v>
      </c>
      <c r="CL296" s="6" t="s">
        <v>261</v>
      </c>
      <c r="CM296" s="5" t="s">
        <v>240</v>
      </c>
      <c r="CN296" s="5" t="s">
        <v>263</v>
      </c>
      <c r="CO296" s="5" t="s">
        <v>240</v>
      </c>
      <c r="CP296" s="5" t="s">
        <v>240</v>
      </c>
      <c r="CQ296" s="5">
        <v>0</v>
      </c>
      <c r="CR296" s="5" t="s">
        <v>306</v>
      </c>
      <c r="CS296" s="5" t="s">
        <v>307</v>
      </c>
      <c r="CT296" s="5" t="s">
        <v>307</v>
      </c>
      <c r="CU296" s="5" t="s">
        <v>260</v>
      </c>
      <c r="CX296" s="7">
        <f>68068</f>
        <v>68068</v>
      </c>
      <c r="CY296" s="7">
        <f>0</f>
        <v>0</v>
      </c>
      <c r="DA296" s="7">
        <f>0</f>
        <v>0</v>
      </c>
      <c r="DC296" s="5" t="s">
        <v>854</v>
      </c>
      <c r="DD296" s="5" t="s">
        <v>240</v>
      </c>
      <c r="DF296" s="5" t="s">
        <v>854</v>
      </c>
      <c r="DG296" s="7">
        <f>6188</f>
        <v>6188</v>
      </c>
      <c r="DI296" s="5" t="s">
        <v>737</v>
      </c>
      <c r="DJ296" s="5" t="s">
        <v>240</v>
      </c>
      <c r="DK296" s="5" t="s">
        <v>240</v>
      </c>
      <c r="DL296" s="5" t="s">
        <v>240</v>
      </c>
      <c r="DP296" s="5" t="s">
        <v>240</v>
      </c>
      <c r="DQ296" s="5" t="s">
        <v>240</v>
      </c>
      <c r="DR296" s="5" t="s">
        <v>240</v>
      </c>
      <c r="DS296" s="5" t="s">
        <v>240</v>
      </c>
      <c r="DV296" s="5" t="s">
        <v>957</v>
      </c>
      <c r="DW296" s="5" t="s">
        <v>404</v>
      </c>
      <c r="HO296" s="5" t="s">
        <v>312</v>
      </c>
    </row>
    <row r="297" spans="1:223" x14ac:dyDescent="0.4">
      <c r="A297" s="5">
        <v>1031</v>
      </c>
      <c r="B297" s="5">
        <v>1</v>
      </c>
      <c r="C297" s="5">
        <v>1</v>
      </c>
      <c r="D297" s="5" t="s">
        <v>1464</v>
      </c>
      <c r="E297" s="5" t="s">
        <v>1325</v>
      </c>
      <c r="F297" s="5" t="s">
        <v>254</v>
      </c>
      <c r="G297" s="5" t="s">
        <v>240</v>
      </c>
      <c r="H297" s="6" t="s">
        <v>1479</v>
      </c>
      <c r="I297" s="5" t="s">
        <v>1463</v>
      </c>
      <c r="J297" s="8">
        <f>1433</f>
        <v>1433</v>
      </c>
      <c r="K297" s="5" t="s">
        <v>308</v>
      </c>
      <c r="L297" s="7">
        <f>3174095</f>
        <v>3174095</v>
      </c>
      <c r="M297" s="7">
        <f>3174095</f>
        <v>3174095</v>
      </c>
      <c r="N297" s="5" t="s">
        <v>242</v>
      </c>
      <c r="O297" s="5">
        <v>1</v>
      </c>
      <c r="P297" s="5" t="s">
        <v>294</v>
      </c>
      <c r="Q297" s="5" t="s">
        <v>613</v>
      </c>
      <c r="R297" s="5" t="s">
        <v>240</v>
      </c>
      <c r="S297" s="5" t="s">
        <v>240</v>
      </c>
      <c r="T297" s="5" t="s">
        <v>243</v>
      </c>
      <c r="U297" s="5" t="s">
        <v>724</v>
      </c>
      <c r="V297" s="5" t="s">
        <v>240</v>
      </c>
      <c r="Y297" s="5" t="s">
        <v>240</v>
      </c>
      <c r="Z297" s="6" t="s">
        <v>298</v>
      </c>
      <c r="AB297" s="6" t="s">
        <v>240</v>
      </c>
      <c r="AE297" s="6" t="s">
        <v>299</v>
      </c>
      <c r="AF297" s="5" t="s">
        <v>248</v>
      </c>
      <c r="AG297" s="5" t="s">
        <v>249</v>
      </c>
      <c r="AW297" s="5" t="s">
        <v>251</v>
      </c>
      <c r="AX297" s="5" t="s">
        <v>240</v>
      </c>
      <c r="AY297" s="5" t="s">
        <v>253</v>
      </c>
      <c r="AZ297" s="5" t="s">
        <v>240</v>
      </c>
      <c r="BA297" s="5" t="s">
        <v>255</v>
      </c>
      <c r="BB297" s="5" t="s">
        <v>240</v>
      </c>
      <c r="BD297" s="5" t="s">
        <v>240</v>
      </c>
      <c r="BF297" s="5" t="s">
        <v>301</v>
      </c>
      <c r="BG297" s="6" t="s">
        <v>299</v>
      </c>
      <c r="BH297" s="5" t="s">
        <v>302</v>
      </c>
      <c r="BI297" s="5" t="s">
        <v>303</v>
      </c>
      <c r="BJ297" s="5" t="s">
        <v>240</v>
      </c>
      <c r="BK297" s="8">
        <f>0</f>
        <v>0</v>
      </c>
      <c r="BL297" s="7">
        <f>0</f>
        <v>0</v>
      </c>
      <c r="BM297" s="5" t="s">
        <v>258</v>
      </c>
      <c r="BN297" s="5" t="s">
        <v>259</v>
      </c>
      <c r="CB297" s="5" t="s">
        <v>240</v>
      </c>
      <c r="CC297" s="5" t="s">
        <v>240</v>
      </c>
      <c r="CG297" s="5" t="s">
        <v>617</v>
      </c>
      <c r="CH297" s="5" t="s">
        <v>305</v>
      </c>
      <c r="CI297" s="5" t="s">
        <v>240</v>
      </c>
      <c r="CL297" s="6" t="s">
        <v>261</v>
      </c>
      <c r="CM297" s="5" t="s">
        <v>240</v>
      </c>
      <c r="CN297" s="5" t="s">
        <v>263</v>
      </c>
      <c r="CO297" s="5" t="s">
        <v>240</v>
      </c>
      <c r="CP297" s="5" t="s">
        <v>240</v>
      </c>
      <c r="CQ297" s="5">
        <v>0</v>
      </c>
      <c r="CR297" s="5" t="s">
        <v>306</v>
      </c>
      <c r="CS297" s="5" t="s">
        <v>307</v>
      </c>
      <c r="CT297" s="5" t="s">
        <v>307</v>
      </c>
      <c r="CU297" s="5" t="s">
        <v>260</v>
      </c>
      <c r="CX297" s="7">
        <f>2167</f>
        <v>2167</v>
      </c>
      <c r="CY297" s="7">
        <f>0</f>
        <v>0</v>
      </c>
      <c r="DA297" s="7">
        <f>0</f>
        <v>0</v>
      </c>
      <c r="DC297" s="5" t="s">
        <v>854</v>
      </c>
      <c r="DD297" s="5" t="s">
        <v>240</v>
      </c>
      <c r="DF297" s="5" t="s">
        <v>854</v>
      </c>
      <c r="DG297" s="7">
        <f>197</f>
        <v>197</v>
      </c>
      <c r="DI297" s="5" t="s">
        <v>737</v>
      </c>
      <c r="DJ297" s="5" t="s">
        <v>240</v>
      </c>
      <c r="DK297" s="5" t="s">
        <v>240</v>
      </c>
      <c r="DL297" s="5" t="s">
        <v>240</v>
      </c>
      <c r="DP297" s="5" t="s">
        <v>240</v>
      </c>
      <c r="DQ297" s="5" t="s">
        <v>240</v>
      </c>
      <c r="DR297" s="5" t="s">
        <v>240</v>
      </c>
      <c r="DS297" s="5" t="s">
        <v>240</v>
      </c>
      <c r="DV297" s="5" t="s">
        <v>957</v>
      </c>
      <c r="DW297" s="5" t="s">
        <v>406</v>
      </c>
      <c r="HO297" s="5" t="s">
        <v>312</v>
      </c>
    </row>
    <row r="298" spans="1:223" x14ac:dyDescent="0.4">
      <c r="A298" s="5">
        <v>1032</v>
      </c>
      <c r="B298" s="5">
        <v>1</v>
      </c>
      <c r="C298" s="5">
        <v>1</v>
      </c>
      <c r="D298" s="5" t="s">
        <v>1464</v>
      </c>
      <c r="E298" s="5" t="s">
        <v>1325</v>
      </c>
      <c r="F298" s="5" t="s">
        <v>254</v>
      </c>
      <c r="G298" s="5" t="s">
        <v>240</v>
      </c>
      <c r="H298" s="6" t="s">
        <v>1478</v>
      </c>
      <c r="I298" s="5" t="s">
        <v>1463</v>
      </c>
      <c r="J298" s="8">
        <f>3523</f>
        <v>3523</v>
      </c>
      <c r="K298" s="5" t="s">
        <v>308</v>
      </c>
      <c r="L298" s="7">
        <f>7803445</f>
        <v>7803445</v>
      </c>
      <c r="M298" s="7">
        <f>7803445</f>
        <v>7803445</v>
      </c>
      <c r="N298" s="5" t="s">
        <v>242</v>
      </c>
      <c r="O298" s="5">
        <v>1</v>
      </c>
      <c r="P298" s="5" t="s">
        <v>294</v>
      </c>
      <c r="Q298" s="5" t="s">
        <v>613</v>
      </c>
      <c r="R298" s="5" t="s">
        <v>240</v>
      </c>
      <c r="S298" s="5" t="s">
        <v>240</v>
      </c>
      <c r="T298" s="5" t="s">
        <v>243</v>
      </c>
      <c r="U298" s="5" t="s">
        <v>724</v>
      </c>
      <c r="V298" s="5" t="s">
        <v>240</v>
      </c>
      <c r="Y298" s="5" t="s">
        <v>240</v>
      </c>
      <c r="Z298" s="6" t="s">
        <v>298</v>
      </c>
      <c r="AB298" s="6" t="s">
        <v>240</v>
      </c>
      <c r="AE298" s="6" t="s">
        <v>299</v>
      </c>
      <c r="AF298" s="5" t="s">
        <v>248</v>
      </c>
      <c r="AG298" s="5" t="s">
        <v>249</v>
      </c>
      <c r="AW298" s="5" t="s">
        <v>251</v>
      </c>
      <c r="AX298" s="5" t="s">
        <v>240</v>
      </c>
      <c r="AY298" s="5" t="s">
        <v>253</v>
      </c>
      <c r="AZ298" s="5" t="s">
        <v>240</v>
      </c>
      <c r="BA298" s="5" t="s">
        <v>255</v>
      </c>
      <c r="BB298" s="5" t="s">
        <v>240</v>
      </c>
      <c r="BD298" s="5" t="s">
        <v>240</v>
      </c>
      <c r="BF298" s="5" t="s">
        <v>301</v>
      </c>
      <c r="BG298" s="6" t="s">
        <v>299</v>
      </c>
      <c r="BH298" s="5" t="s">
        <v>302</v>
      </c>
      <c r="BI298" s="5" t="s">
        <v>303</v>
      </c>
      <c r="BJ298" s="5" t="s">
        <v>240</v>
      </c>
      <c r="BK298" s="8">
        <f>0</f>
        <v>0</v>
      </c>
      <c r="BL298" s="7">
        <f>0</f>
        <v>0</v>
      </c>
      <c r="BM298" s="5" t="s">
        <v>258</v>
      </c>
      <c r="BN298" s="5" t="s">
        <v>259</v>
      </c>
      <c r="CB298" s="5" t="s">
        <v>240</v>
      </c>
      <c r="CC298" s="5" t="s">
        <v>240</v>
      </c>
      <c r="CG298" s="5" t="s">
        <v>617</v>
      </c>
      <c r="CH298" s="5" t="s">
        <v>305</v>
      </c>
      <c r="CI298" s="5" t="s">
        <v>240</v>
      </c>
      <c r="CL298" s="6" t="s">
        <v>261</v>
      </c>
      <c r="CM298" s="5" t="s">
        <v>240</v>
      </c>
      <c r="CN298" s="5" t="s">
        <v>263</v>
      </c>
      <c r="CO298" s="5" t="s">
        <v>240</v>
      </c>
      <c r="CP298" s="5" t="s">
        <v>240</v>
      </c>
      <c r="CQ298" s="5">
        <v>0</v>
      </c>
      <c r="CR298" s="5" t="s">
        <v>306</v>
      </c>
      <c r="CS298" s="5" t="s">
        <v>307</v>
      </c>
      <c r="CT298" s="5" t="s">
        <v>307</v>
      </c>
      <c r="CU298" s="5" t="s">
        <v>260</v>
      </c>
      <c r="CX298" s="7">
        <f>22693</f>
        <v>22693</v>
      </c>
      <c r="CY298" s="7">
        <f>0</f>
        <v>0</v>
      </c>
      <c r="DA298" s="7">
        <f>0</f>
        <v>0</v>
      </c>
      <c r="DC298" s="5" t="s">
        <v>854</v>
      </c>
      <c r="DD298" s="5" t="s">
        <v>240</v>
      </c>
      <c r="DF298" s="5" t="s">
        <v>450</v>
      </c>
      <c r="DG298" s="7">
        <f>0</f>
        <v>0</v>
      </c>
      <c r="DI298" s="5" t="s">
        <v>737</v>
      </c>
      <c r="DJ298" s="5" t="s">
        <v>240</v>
      </c>
      <c r="DK298" s="5" t="s">
        <v>240</v>
      </c>
      <c r="DL298" s="5" t="s">
        <v>240</v>
      </c>
      <c r="DP298" s="5" t="s">
        <v>240</v>
      </c>
      <c r="DQ298" s="5" t="s">
        <v>240</v>
      </c>
      <c r="DR298" s="5" t="s">
        <v>240</v>
      </c>
      <c r="DS298" s="5" t="s">
        <v>240</v>
      </c>
      <c r="DV298" s="5" t="s">
        <v>957</v>
      </c>
      <c r="DW298" s="5" t="s">
        <v>408</v>
      </c>
      <c r="HO298" s="5" t="s">
        <v>312</v>
      </c>
    </row>
    <row r="299" spans="1:223" x14ac:dyDescent="0.4">
      <c r="A299" s="5">
        <v>1033</v>
      </c>
      <c r="B299" s="5">
        <v>1</v>
      </c>
      <c r="C299" s="5">
        <v>1</v>
      </c>
      <c r="D299" s="5" t="s">
        <v>1464</v>
      </c>
      <c r="E299" s="5" t="s">
        <v>1325</v>
      </c>
      <c r="F299" s="5" t="s">
        <v>254</v>
      </c>
      <c r="G299" s="5" t="s">
        <v>240</v>
      </c>
      <c r="H299" s="6" t="s">
        <v>4412</v>
      </c>
      <c r="I299" s="5" t="s">
        <v>1463</v>
      </c>
      <c r="J299" s="8">
        <f>11350</f>
        <v>11350</v>
      </c>
      <c r="K299" s="5" t="s">
        <v>308</v>
      </c>
      <c r="L299" s="7">
        <f>25140250</f>
        <v>25140250</v>
      </c>
      <c r="M299" s="7">
        <f>25140250</f>
        <v>25140250</v>
      </c>
      <c r="N299" s="5" t="s">
        <v>242</v>
      </c>
      <c r="O299" s="5">
        <v>1</v>
      </c>
      <c r="P299" s="5" t="s">
        <v>294</v>
      </c>
      <c r="Q299" s="5" t="s">
        <v>613</v>
      </c>
      <c r="R299" s="5" t="s">
        <v>240</v>
      </c>
      <c r="S299" s="5" t="s">
        <v>240</v>
      </c>
      <c r="T299" s="5" t="s">
        <v>243</v>
      </c>
      <c r="U299" s="5" t="s">
        <v>724</v>
      </c>
      <c r="V299" s="5" t="s">
        <v>240</v>
      </c>
      <c r="Y299" s="5" t="s">
        <v>240</v>
      </c>
      <c r="Z299" s="6" t="s">
        <v>298</v>
      </c>
      <c r="AB299" s="6" t="s">
        <v>240</v>
      </c>
      <c r="AE299" s="6" t="s">
        <v>299</v>
      </c>
      <c r="AF299" s="5" t="s">
        <v>248</v>
      </c>
      <c r="AG299" s="5" t="s">
        <v>249</v>
      </c>
      <c r="AW299" s="5" t="s">
        <v>251</v>
      </c>
      <c r="AX299" s="5" t="s">
        <v>240</v>
      </c>
      <c r="AY299" s="5" t="s">
        <v>253</v>
      </c>
      <c r="AZ299" s="5" t="s">
        <v>240</v>
      </c>
      <c r="BA299" s="5" t="s">
        <v>255</v>
      </c>
      <c r="BB299" s="5" t="s">
        <v>240</v>
      </c>
      <c r="BD299" s="5" t="s">
        <v>240</v>
      </c>
      <c r="BF299" s="5" t="s">
        <v>301</v>
      </c>
      <c r="BG299" s="6" t="s">
        <v>299</v>
      </c>
      <c r="BH299" s="5" t="s">
        <v>302</v>
      </c>
      <c r="BI299" s="5" t="s">
        <v>303</v>
      </c>
      <c r="BJ299" s="5" t="s">
        <v>240</v>
      </c>
      <c r="BK299" s="8">
        <f>0</f>
        <v>0</v>
      </c>
      <c r="BL299" s="7">
        <f>0</f>
        <v>0</v>
      </c>
      <c r="BM299" s="5" t="s">
        <v>258</v>
      </c>
      <c r="BN299" s="5" t="s">
        <v>259</v>
      </c>
      <c r="CB299" s="5" t="s">
        <v>240</v>
      </c>
      <c r="CC299" s="5" t="s">
        <v>240</v>
      </c>
      <c r="CG299" s="5" t="s">
        <v>617</v>
      </c>
      <c r="CH299" s="5" t="s">
        <v>305</v>
      </c>
      <c r="CI299" s="5" t="s">
        <v>240</v>
      </c>
      <c r="CL299" s="6" t="s">
        <v>261</v>
      </c>
      <c r="CM299" s="5" t="s">
        <v>240</v>
      </c>
      <c r="CN299" s="5" t="s">
        <v>263</v>
      </c>
      <c r="CO299" s="5" t="s">
        <v>240</v>
      </c>
      <c r="CP299" s="5" t="s">
        <v>240</v>
      </c>
      <c r="CQ299" s="5">
        <v>0</v>
      </c>
      <c r="CR299" s="5" t="s">
        <v>306</v>
      </c>
      <c r="CS299" s="5" t="s">
        <v>307</v>
      </c>
      <c r="CT299" s="5" t="s">
        <v>307</v>
      </c>
      <c r="CU299" s="5" t="s">
        <v>260</v>
      </c>
      <c r="CX299" s="7">
        <f>3377</f>
        <v>3377</v>
      </c>
      <c r="CY299" s="7">
        <f>0</f>
        <v>0</v>
      </c>
      <c r="DA299" s="7">
        <f>0</f>
        <v>0</v>
      </c>
      <c r="DC299" s="5" t="s">
        <v>854</v>
      </c>
      <c r="DD299" s="5" t="s">
        <v>240</v>
      </c>
      <c r="DF299" s="5" t="s">
        <v>450</v>
      </c>
      <c r="DG299" s="7">
        <f>0</f>
        <v>0</v>
      </c>
      <c r="DI299" s="5" t="s">
        <v>737</v>
      </c>
      <c r="DJ299" s="5" t="s">
        <v>240</v>
      </c>
      <c r="DK299" s="5" t="s">
        <v>240</v>
      </c>
      <c r="DL299" s="5" t="s">
        <v>240</v>
      </c>
      <c r="DP299" s="5" t="s">
        <v>240</v>
      </c>
      <c r="DQ299" s="5" t="s">
        <v>240</v>
      </c>
      <c r="DR299" s="5" t="s">
        <v>240</v>
      </c>
      <c r="DS299" s="5" t="s">
        <v>240</v>
      </c>
      <c r="DV299" s="5" t="s">
        <v>957</v>
      </c>
      <c r="DW299" s="5" t="s">
        <v>972</v>
      </c>
      <c r="HO299" s="5" t="s">
        <v>312</v>
      </c>
    </row>
    <row r="300" spans="1:223" x14ac:dyDescent="0.4">
      <c r="A300" s="5">
        <v>1034</v>
      </c>
      <c r="B300" s="5">
        <v>1</v>
      </c>
      <c r="C300" s="5">
        <v>1</v>
      </c>
      <c r="D300" s="5" t="s">
        <v>1464</v>
      </c>
      <c r="E300" s="5" t="s">
        <v>1325</v>
      </c>
      <c r="F300" s="5" t="s">
        <v>254</v>
      </c>
      <c r="G300" s="5" t="s">
        <v>240</v>
      </c>
      <c r="H300" s="6" t="s">
        <v>1475</v>
      </c>
      <c r="I300" s="5" t="s">
        <v>1463</v>
      </c>
      <c r="J300" s="8">
        <f>192</f>
        <v>192</v>
      </c>
      <c r="K300" s="5" t="s">
        <v>308</v>
      </c>
      <c r="L300" s="7">
        <f>425280</f>
        <v>425280</v>
      </c>
      <c r="M300" s="7">
        <f>425280</f>
        <v>425280</v>
      </c>
      <c r="N300" s="5" t="s">
        <v>242</v>
      </c>
      <c r="O300" s="5">
        <v>1</v>
      </c>
      <c r="P300" s="5" t="s">
        <v>294</v>
      </c>
      <c r="Q300" s="5" t="s">
        <v>613</v>
      </c>
      <c r="R300" s="5" t="s">
        <v>240</v>
      </c>
      <c r="S300" s="5" t="s">
        <v>240</v>
      </c>
      <c r="T300" s="5" t="s">
        <v>243</v>
      </c>
      <c r="U300" s="5" t="s">
        <v>724</v>
      </c>
      <c r="V300" s="5" t="s">
        <v>240</v>
      </c>
      <c r="Y300" s="5" t="s">
        <v>240</v>
      </c>
      <c r="Z300" s="6" t="s">
        <v>298</v>
      </c>
      <c r="AB300" s="6" t="s">
        <v>240</v>
      </c>
      <c r="AE300" s="6" t="s">
        <v>299</v>
      </c>
      <c r="AF300" s="5" t="s">
        <v>248</v>
      </c>
      <c r="AG300" s="5" t="s">
        <v>249</v>
      </c>
      <c r="AW300" s="5" t="s">
        <v>251</v>
      </c>
      <c r="AX300" s="5" t="s">
        <v>240</v>
      </c>
      <c r="AY300" s="5" t="s">
        <v>253</v>
      </c>
      <c r="AZ300" s="5" t="s">
        <v>240</v>
      </c>
      <c r="BA300" s="5" t="s">
        <v>255</v>
      </c>
      <c r="BB300" s="5" t="s">
        <v>240</v>
      </c>
      <c r="BD300" s="5" t="s">
        <v>240</v>
      </c>
      <c r="BF300" s="5" t="s">
        <v>301</v>
      </c>
      <c r="BG300" s="6" t="s">
        <v>299</v>
      </c>
      <c r="BH300" s="5" t="s">
        <v>302</v>
      </c>
      <c r="BI300" s="5" t="s">
        <v>303</v>
      </c>
      <c r="BJ300" s="5" t="s">
        <v>240</v>
      </c>
      <c r="BK300" s="8">
        <f>0</f>
        <v>0</v>
      </c>
      <c r="BL300" s="7">
        <f>0</f>
        <v>0</v>
      </c>
      <c r="BM300" s="5" t="s">
        <v>258</v>
      </c>
      <c r="BN300" s="5" t="s">
        <v>259</v>
      </c>
      <c r="CB300" s="5" t="s">
        <v>240</v>
      </c>
      <c r="CC300" s="5" t="s">
        <v>240</v>
      </c>
      <c r="CG300" s="5" t="s">
        <v>617</v>
      </c>
      <c r="CH300" s="5" t="s">
        <v>305</v>
      </c>
      <c r="CI300" s="5" t="s">
        <v>240</v>
      </c>
      <c r="CL300" s="6" t="s">
        <v>261</v>
      </c>
      <c r="CM300" s="5" t="s">
        <v>240</v>
      </c>
      <c r="CN300" s="5" t="s">
        <v>263</v>
      </c>
      <c r="CO300" s="5" t="s">
        <v>240</v>
      </c>
      <c r="CP300" s="5" t="s">
        <v>240</v>
      </c>
      <c r="CQ300" s="5">
        <v>0</v>
      </c>
      <c r="CR300" s="5" t="s">
        <v>306</v>
      </c>
      <c r="CS300" s="5" t="s">
        <v>307</v>
      </c>
      <c r="CT300" s="5" t="s">
        <v>307</v>
      </c>
      <c r="CU300" s="5" t="s">
        <v>260</v>
      </c>
      <c r="CX300" s="7">
        <f>7898</f>
        <v>7898</v>
      </c>
      <c r="CY300" s="7">
        <f>0</f>
        <v>0</v>
      </c>
      <c r="DA300" s="7">
        <f>0</f>
        <v>0</v>
      </c>
      <c r="DC300" s="5" t="s">
        <v>854</v>
      </c>
      <c r="DD300" s="5" t="s">
        <v>240</v>
      </c>
      <c r="DF300" s="5" t="s">
        <v>450</v>
      </c>
      <c r="DG300" s="7">
        <f>0</f>
        <v>0</v>
      </c>
      <c r="DI300" s="5" t="s">
        <v>737</v>
      </c>
      <c r="DJ300" s="5" t="s">
        <v>240</v>
      </c>
      <c r="DK300" s="5" t="s">
        <v>240</v>
      </c>
      <c r="DL300" s="5" t="s">
        <v>240</v>
      </c>
      <c r="DP300" s="5" t="s">
        <v>240</v>
      </c>
      <c r="DQ300" s="5" t="s">
        <v>240</v>
      </c>
      <c r="DR300" s="5" t="s">
        <v>240</v>
      </c>
      <c r="DS300" s="5" t="s">
        <v>240</v>
      </c>
      <c r="DV300" s="5" t="s">
        <v>957</v>
      </c>
      <c r="DW300" s="5" t="s">
        <v>412</v>
      </c>
      <c r="HO300" s="5" t="s">
        <v>312</v>
      </c>
    </row>
    <row r="301" spans="1:223" x14ac:dyDescent="0.4">
      <c r="A301" s="5">
        <v>1035</v>
      </c>
      <c r="B301" s="5">
        <v>1</v>
      </c>
      <c r="C301" s="5">
        <v>1</v>
      </c>
      <c r="D301" s="5" t="s">
        <v>1464</v>
      </c>
      <c r="E301" s="5" t="s">
        <v>1325</v>
      </c>
      <c r="F301" s="5" t="s">
        <v>254</v>
      </c>
      <c r="G301" s="5" t="s">
        <v>240</v>
      </c>
      <c r="H301" s="6" t="s">
        <v>1474</v>
      </c>
      <c r="I301" s="5" t="s">
        <v>1463</v>
      </c>
      <c r="J301" s="8">
        <f>668</f>
        <v>668</v>
      </c>
      <c r="K301" s="5" t="s">
        <v>308</v>
      </c>
      <c r="L301" s="7">
        <f>1479620</f>
        <v>1479620</v>
      </c>
      <c r="M301" s="7">
        <f>1479620</f>
        <v>1479620</v>
      </c>
      <c r="N301" s="5" t="s">
        <v>242</v>
      </c>
      <c r="O301" s="5">
        <v>1</v>
      </c>
      <c r="P301" s="5" t="s">
        <v>294</v>
      </c>
      <c r="Q301" s="5" t="s">
        <v>613</v>
      </c>
      <c r="R301" s="5" t="s">
        <v>240</v>
      </c>
      <c r="S301" s="5" t="s">
        <v>240</v>
      </c>
      <c r="T301" s="5" t="s">
        <v>243</v>
      </c>
      <c r="U301" s="5" t="s">
        <v>724</v>
      </c>
      <c r="V301" s="5" t="s">
        <v>240</v>
      </c>
      <c r="Y301" s="5" t="s">
        <v>240</v>
      </c>
      <c r="Z301" s="6" t="s">
        <v>298</v>
      </c>
      <c r="AB301" s="6" t="s">
        <v>240</v>
      </c>
      <c r="AE301" s="6" t="s">
        <v>299</v>
      </c>
      <c r="AF301" s="5" t="s">
        <v>248</v>
      </c>
      <c r="AG301" s="5" t="s">
        <v>249</v>
      </c>
      <c r="AW301" s="5" t="s">
        <v>251</v>
      </c>
      <c r="AX301" s="5" t="s">
        <v>240</v>
      </c>
      <c r="AY301" s="5" t="s">
        <v>253</v>
      </c>
      <c r="AZ301" s="5" t="s">
        <v>240</v>
      </c>
      <c r="BA301" s="5" t="s">
        <v>255</v>
      </c>
      <c r="BB301" s="5" t="s">
        <v>240</v>
      </c>
      <c r="BD301" s="5" t="s">
        <v>240</v>
      </c>
      <c r="BF301" s="5" t="s">
        <v>301</v>
      </c>
      <c r="BG301" s="6" t="s">
        <v>299</v>
      </c>
      <c r="BH301" s="5" t="s">
        <v>302</v>
      </c>
      <c r="BI301" s="5" t="s">
        <v>303</v>
      </c>
      <c r="BJ301" s="5" t="s">
        <v>240</v>
      </c>
      <c r="BK301" s="8">
        <f>0</f>
        <v>0</v>
      </c>
      <c r="BL301" s="7">
        <f>0</f>
        <v>0</v>
      </c>
      <c r="BM301" s="5" t="s">
        <v>258</v>
      </c>
      <c r="BN301" s="5" t="s">
        <v>259</v>
      </c>
      <c r="CB301" s="5" t="s">
        <v>240</v>
      </c>
      <c r="CC301" s="5" t="s">
        <v>240</v>
      </c>
      <c r="CG301" s="5" t="s">
        <v>617</v>
      </c>
      <c r="CH301" s="5" t="s">
        <v>305</v>
      </c>
      <c r="CI301" s="5" t="s">
        <v>240</v>
      </c>
      <c r="CL301" s="6" t="s">
        <v>261</v>
      </c>
      <c r="CM301" s="5" t="s">
        <v>240</v>
      </c>
      <c r="CN301" s="5" t="s">
        <v>263</v>
      </c>
      <c r="CO301" s="5" t="s">
        <v>240</v>
      </c>
      <c r="CP301" s="5" t="s">
        <v>240</v>
      </c>
      <c r="CQ301" s="5">
        <v>0</v>
      </c>
      <c r="CR301" s="5" t="s">
        <v>306</v>
      </c>
      <c r="CS301" s="5" t="s">
        <v>307</v>
      </c>
      <c r="CT301" s="5" t="s">
        <v>307</v>
      </c>
      <c r="CU301" s="5" t="s">
        <v>260</v>
      </c>
      <c r="CX301" s="7">
        <f>5423</f>
        <v>5423</v>
      </c>
      <c r="CY301" s="7">
        <f>0</f>
        <v>0</v>
      </c>
      <c r="DA301" s="7">
        <f>0</f>
        <v>0</v>
      </c>
      <c r="DC301" s="5" t="s">
        <v>854</v>
      </c>
      <c r="DD301" s="5" t="s">
        <v>240</v>
      </c>
      <c r="DF301" s="5" t="s">
        <v>450</v>
      </c>
      <c r="DG301" s="7">
        <f>0</f>
        <v>0</v>
      </c>
      <c r="DI301" s="5" t="s">
        <v>737</v>
      </c>
      <c r="DJ301" s="5" t="s">
        <v>240</v>
      </c>
      <c r="DK301" s="5" t="s">
        <v>240</v>
      </c>
      <c r="DL301" s="5" t="s">
        <v>240</v>
      </c>
      <c r="DP301" s="5" t="s">
        <v>240</v>
      </c>
      <c r="DQ301" s="5" t="s">
        <v>240</v>
      </c>
      <c r="DR301" s="5" t="s">
        <v>240</v>
      </c>
      <c r="DS301" s="5" t="s">
        <v>240</v>
      </c>
      <c r="DV301" s="5" t="s">
        <v>957</v>
      </c>
      <c r="DW301" s="5" t="s">
        <v>414</v>
      </c>
      <c r="HO301" s="5" t="s">
        <v>312</v>
      </c>
    </row>
    <row r="302" spans="1:223" x14ac:dyDescent="0.4">
      <c r="A302" s="5">
        <v>1036</v>
      </c>
      <c r="B302" s="5">
        <v>1</v>
      </c>
      <c r="C302" s="5">
        <v>1</v>
      </c>
      <c r="D302" s="5" t="s">
        <v>1464</v>
      </c>
      <c r="E302" s="5" t="s">
        <v>1325</v>
      </c>
      <c r="F302" s="5" t="s">
        <v>254</v>
      </c>
      <c r="G302" s="5" t="s">
        <v>240</v>
      </c>
      <c r="H302" s="6" t="s">
        <v>1473</v>
      </c>
      <c r="I302" s="5" t="s">
        <v>1463</v>
      </c>
      <c r="J302" s="8">
        <f>1146</f>
        <v>1146</v>
      </c>
      <c r="K302" s="5" t="s">
        <v>308</v>
      </c>
      <c r="L302" s="7">
        <f>2538390</f>
        <v>2538390</v>
      </c>
      <c r="M302" s="7">
        <f>2538390</f>
        <v>2538390</v>
      </c>
      <c r="N302" s="5" t="s">
        <v>242</v>
      </c>
      <c r="O302" s="5">
        <v>1</v>
      </c>
      <c r="P302" s="5" t="s">
        <v>294</v>
      </c>
      <c r="Q302" s="5" t="s">
        <v>613</v>
      </c>
      <c r="R302" s="5" t="s">
        <v>240</v>
      </c>
      <c r="S302" s="5" t="s">
        <v>240</v>
      </c>
      <c r="T302" s="5" t="s">
        <v>243</v>
      </c>
      <c r="U302" s="5" t="s">
        <v>724</v>
      </c>
      <c r="V302" s="5" t="s">
        <v>240</v>
      </c>
      <c r="Y302" s="5" t="s">
        <v>240</v>
      </c>
      <c r="Z302" s="6" t="s">
        <v>298</v>
      </c>
      <c r="AB302" s="6" t="s">
        <v>240</v>
      </c>
      <c r="AE302" s="6" t="s">
        <v>299</v>
      </c>
      <c r="AF302" s="5" t="s">
        <v>248</v>
      </c>
      <c r="AG302" s="5" t="s">
        <v>249</v>
      </c>
      <c r="AW302" s="5" t="s">
        <v>251</v>
      </c>
      <c r="AX302" s="5" t="s">
        <v>240</v>
      </c>
      <c r="AY302" s="5" t="s">
        <v>253</v>
      </c>
      <c r="AZ302" s="5" t="s">
        <v>240</v>
      </c>
      <c r="BA302" s="5" t="s">
        <v>255</v>
      </c>
      <c r="BB302" s="5" t="s">
        <v>240</v>
      </c>
      <c r="BD302" s="5" t="s">
        <v>240</v>
      </c>
      <c r="BF302" s="5" t="s">
        <v>301</v>
      </c>
      <c r="BG302" s="6" t="s">
        <v>299</v>
      </c>
      <c r="BH302" s="5" t="s">
        <v>302</v>
      </c>
      <c r="BI302" s="5" t="s">
        <v>303</v>
      </c>
      <c r="BJ302" s="5" t="s">
        <v>240</v>
      </c>
      <c r="BK302" s="8">
        <f>0</f>
        <v>0</v>
      </c>
      <c r="BL302" s="7">
        <f>0</f>
        <v>0</v>
      </c>
      <c r="BM302" s="5" t="s">
        <v>258</v>
      </c>
      <c r="BN302" s="5" t="s">
        <v>259</v>
      </c>
      <c r="CB302" s="5" t="s">
        <v>240</v>
      </c>
      <c r="CC302" s="5" t="s">
        <v>240</v>
      </c>
      <c r="CG302" s="5" t="s">
        <v>617</v>
      </c>
      <c r="CH302" s="5" t="s">
        <v>305</v>
      </c>
      <c r="CI302" s="5" t="s">
        <v>240</v>
      </c>
      <c r="CL302" s="6" t="s">
        <v>261</v>
      </c>
      <c r="CM302" s="5" t="s">
        <v>240</v>
      </c>
      <c r="CN302" s="5" t="s">
        <v>263</v>
      </c>
      <c r="CO302" s="5" t="s">
        <v>240</v>
      </c>
      <c r="CP302" s="5" t="s">
        <v>240</v>
      </c>
      <c r="CQ302" s="5">
        <v>0</v>
      </c>
      <c r="CR302" s="5" t="s">
        <v>306</v>
      </c>
      <c r="CS302" s="5" t="s">
        <v>307</v>
      </c>
      <c r="CT302" s="5" t="s">
        <v>307</v>
      </c>
      <c r="CU302" s="5" t="s">
        <v>260</v>
      </c>
      <c r="CX302" s="7">
        <f>6556</f>
        <v>6556</v>
      </c>
      <c r="CY302" s="7">
        <f>0</f>
        <v>0</v>
      </c>
      <c r="DA302" s="7">
        <f>0</f>
        <v>0</v>
      </c>
      <c r="DC302" s="5" t="s">
        <v>854</v>
      </c>
      <c r="DD302" s="5" t="s">
        <v>240</v>
      </c>
      <c r="DF302" s="5" t="s">
        <v>450</v>
      </c>
      <c r="DG302" s="7">
        <f>0</f>
        <v>0</v>
      </c>
      <c r="DI302" s="5" t="s">
        <v>737</v>
      </c>
      <c r="DJ302" s="5" t="s">
        <v>240</v>
      </c>
      <c r="DK302" s="5" t="s">
        <v>240</v>
      </c>
      <c r="DL302" s="5" t="s">
        <v>240</v>
      </c>
      <c r="DP302" s="5" t="s">
        <v>240</v>
      </c>
      <c r="DQ302" s="5" t="s">
        <v>240</v>
      </c>
      <c r="DR302" s="5" t="s">
        <v>240</v>
      </c>
      <c r="DS302" s="5" t="s">
        <v>240</v>
      </c>
      <c r="DV302" s="5" t="s">
        <v>957</v>
      </c>
      <c r="DW302" s="5" t="s">
        <v>416</v>
      </c>
      <c r="HO302" s="5" t="s">
        <v>312</v>
      </c>
    </row>
    <row r="303" spans="1:223" x14ac:dyDescent="0.4">
      <c r="A303" s="5">
        <v>1037</v>
      </c>
      <c r="B303" s="5">
        <v>1</v>
      </c>
      <c r="C303" s="5">
        <v>1</v>
      </c>
      <c r="D303" s="5" t="s">
        <v>1464</v>
      </c>
      <c r="E303" s="5" t="s">
        <v>1325</v>
      </c>
      <c r="F303" s="5" t="s">
        <v>254</v>
      </c>
      <c r="G303" s="5" t="s">
        <v>240</v>
      </c>
      <c r="H303" s="6" t="s">
        <v>1472</v>
      </c>
      <c r="I303" s="5" t="s">
        <v>1463</v>
      </c>
      <c r="J303" s="8">
        <f>1798</f>
        <v>1798</v>
      </c>
      <c r="K303" s="5" t="s">
        <v>308</v>
      </c>
      <c r="L303" s="7">
        <f>3982570</f>
        <v>3982570</v>
      </c>
      <c r="M303" s="7">
        <f>3982570</f>
        <v>3982570</v>
      </c>
      <c r="N303" s="5" t="s">
        <v>242</v>
      </c>
      <c r="O303" s="5">
        <v>1</v>
      </c>
      <c r="P303" s="5" t="s">
        <v>294</v>
      </c>
      <c r="Q303" s="5" t="s">
        <v>613</v>
      </c>
      <c r="R303" s="5" t="s">
        <v>240</v>
      </c>
      <c r="S303" s="5" t="s">
        <v>240</v>
      </c>
      <c r="T303" s="5" t="s">
        <v>243</v>
      </c>
      <c r="U303" s="5" t="s">
        <v>724</v>
      </c>
      <c r="V303" s="5" t="s">
        <v>240</v>
      </c>
      <c r="Y303" s="5" t="s">
        <v>240</v>
      </c>
      <c r="Z303" s="6" t="s">
        <v>298</v>
      </c>
      <c r="AB303" s="6" t="s">
        <v>240</v>
      </c>
      <c r="AE303" s="6" t="s">
        <v>299</v>
      </c>
      <c r="AF303" s="5" t="s">
        <v>248</v>
      </c>
      <c r="AG303" s="5" t="s">
        <v>249</v>
      </c>
      <c r="AW303" s="5" t="s">
        <v>251</v>
      </c>
      <c r="AX303" s="5" t="s">
        <v>240</v>
      </c>
      <c r="AY303" s="5" t="s">
        <v>253</v>
      </c>
      <c r="AZ303" s="5" t="s">
        <v>240</v>
      </c>
      <c r="BA303" s="5" t="s">
        <v>255</v>
      </c>
      <c r="BB303" s="5" t="s">
        <v>240</v>
      </c>
      <c r="BD303" s="5" t="s">
        <v>240</v>
      </c>
      <c r="BF303" s="5" t="s">
        <v>301</v>
      </c>
      <c r="BG303" s="6" t="s">
        <v>299</v>
      </c>
      <c r="BH303" s="5" t="s">
        <v>302</v>
      </c>
      <c r="BI303" s="5" t="s">
        <v>303</v>
      </c>
      <c r="BJ303" s="5" t="s">
        <v>240</v>
      </c>
      <c r="BK303" s="8">
        <f>0</f>
        <v>0</v>
      </c>
      <c r="BL303" s="7">
        <f>0</f>
        <v>0</v>
      </c>
      <c r="BM303" s="5" t="s">
        <v>258</v>
      </c>
      <c r="BN303" s="5" t="s">
        <v>259</v>
      </c>
      <c r="CB303" s="5" t="s">
        <v>240</v>
      </c>
      <c r="CC303" s="5" t="s">
        <v>240</v>
      </c>
      <c r="CG303" s="5" t="s">
        <v>617</v>
      </c>
      <c r="CH303" s="5" t="s">
        <v>305</v>
      </c>
      <c r="CI303" s="5" t="s">
        <v>240</v>
      </c>
      <c r="CL303" s="6" t="s">
        <v>261</v>
      </c>
      <c r="CM303" s="5" t="s">
        <v>240</v>
      </c>
      <c r="CN303" s="5" t="s">
        <v>263</v>
      </c>
      <c r="CO303" s="5" t="s">
        <v>240</v>
      </c>
      <c r="CP303" s="5" t="s">
        <v>240</v>
      </c>
      <c r="CQ303" s="5">
        <v>0</v>
      </c>
      <c r="CR303" s="5" t="s">
        <v>306</v>
      </c>
      <c r="CS303" s="5" t="s">
        <v>307</v>
      </c>
      <c r="CT303" s="5" t="s">
        <v>307</v>
      </c>
      <c r="CU303" s="5" t="s">
        <v>260</v>
      </c>
      <c r="CX303" s="7">
        <f>32736</f>
        <v>32736</v>
      </c>
      <c r="CY303" s="7">
        <f>0</f>
        <v>0</v>
      </c>
      <c r="DA303" s="7">
        <f>0</f>
        <v>0</v>
      </c>
      <c r="DC303" s="5" t="s">
        <v>854</v>
      </c>
      <c r="DD303" s="5" t="s">
        <v>240</v>
      </c>
      <c r="DF303" s="5" t="s">
        <v>450</v>
      </c>
      <c r="DG303" s="7">
        <f>0</f>
        <v>0</v>
      </c>
      <c r="DI303" s="5" t="s">
        <v>737</v>
      </c>
      <c r="DJ303" s="5" t="s">
        <v>240</v>
      </c>
      <c r="DK303" s="5" t="s">
        <v>240</v>
      </c>
      <c r="DL303" s="5" t="s">
        <v>240</v>
      </c>
      <c r="DP303" s="5" t="s">
        <v>240</v>
      </c>
      <c r="DQ303" s="5" t="s">
        <v>240</v>
      </c>
      <c r="DR303" s="5" t="s">
        <v>240</v>
      </c>
      <c r="DS303" s="5" t="s">
        <v>240</v>
      </c>
      <c r="DV303" s="5" t="s">
        <v>957</v>
      </c>
      <c r="DW303" s="5" t="s">
        <v>977</v>
      </c>
      <c r="HO303" s="5" t="s">
        <v>312</v>
      </c>
    </row>
    <row r="304" spans="1:223" x14ac:dyDescent="0.4">
      <c r="A304" s="5">
        <v>1038</v>
      </c>
      <c r="B304" s="5">
        <v>1</v>
      </c>
      <c r="C304" s="5">
        <v>1</v>
      </c>
      <c r="D304" s="5" t="s">
        <v>1464</v>
      </c>
      <c r="E304" s="5" t="s">
        <v>1325</v>
      </c>
      <c r="F304" s="5" t="s">
        <v>254</v>
      </c>
      <c r="G304" s="5" t="s">
        <v>240</v>
      </c>
      <c r="H304" s="6" t="s">
        <v>1471</v>
      </c>
      <c r="I304" s="5" t="s">
        <v>1463</v>
      </c>
      <c r="J304" s="8">
        <f>4938</f>
        <v>4938</v>
      </c>
      <c r="K304" s="5" t="s">
        <v>308</v>
      </c>
      <c r="L304" s="7">
        <f>10937670</f>
        <v>10937670</v>
      </c>
      <c r="M304" s="7">
        <f>10937670</f>
        <v>10937670</v>
      </c>
      <c r="N304" s="5" t="s">
        <v>242</v>
      </c>
      <c r="O304" s="5">
        <v>1</v>
      </c>
      <c r="P304" s="5" t="s">
        <v>294</v>
      </c>
      <c r="Q304" s="5" t="s">
        <v>613</v>
      </c>
      <c r="R304" s="5" t="s">
        <v>240</v>
      </c>
      <c r="S304" s="5" t="s">
        <v>240</v>
      </c>
      <c r="T304" s="5" t="s">
        <v>243</v>
      </c>
      <c r="U304" s="5" t="s">
        <v>724</v>
      </c>
      <c r="V304" s="5" t="s">
        <v>240</v>
      </c>
      <c r="Y304" s="5" t="s">
        <v>240</v>
      </c>
      <c r="Z304" s="6" t="s">
        <v>298</v>
      </c>
      <c r="AB304" s="6" t="s">
        <v>240</v>
      </c>
      <c r="AE304" s="6" t="s">
        <v>299</v>
      </c>
      <c r="AF304" s="5" t="s">
        <v>248</v>
      </c>
      <c r="AG304" s="5" t="s">
        <v>249</v>
      </c>
      <c r="AW304" s="5" t="s">
        <v>251</v>
      </c>
      <c r="AX304" s="5" t="s">
        <v>240</v>
      </c>
      <c r="AY304" s="5" t="s">
        <v>253</v>
      </c>
      <c r="AZ304" s="5" t="s">
        <v>240</v>
      </c>
      <c r="BA304" s="5" t="s">
        <v>255</v>
      </c>
      <c r="BB304" s="5" t="s">
        <v>240</v>
      </c>
      <c r="BD304" s="5" t="s">
        <v>240</v>
      </c>
      <c r="BF304" s="5" t="s">
        <v>301</v>
      </c>
      <c r="BG304" s="6" t="s">
        <v>299</v>
      </c>
      <c r="BH304" s="5" t="s">
        <v>302</v>
      </c>
      <c r="BI304" s="5" t="s">
        <v>303</v>
      </c>
      <c r="BJ304" s="5" t="s">
        <v>240</v>
      </c>
      <c r="BK304" s="8">
        <f>0</f>
        <v>0</v>
      </c>
      <c r="BL304" s="7">
        <f>0</f>
        <v>0</v>
      </c>
      <c r="BM304" s="5" t="s">
        <v>258</v>
      </c>
      <c r="BN304" s="5" t="s">
        <v>259</v>
      </c>
      <c r="CB304" s="5" t="s">
        <v>240</v>
      </c>
      <c r="CC304" s="5" t="s">
        <v>240</v>
      </c>
      <c r="CG304" s="5" t="s">
        <v>617</v>
      </c>
      <c r="CH304" s="5" t="s">
        <v>305</v>
      </c>
      <c r="CI304" s="5" t="s">
        <v>240</v>
      </c>
      <c r="CL304" s="6" t="s">
        <v>261</v>
      </c>
      <c r="CM304" s="5" t="s">
        <v>240</v>
      </c>
      <c r="CN304" s="5" t="s">
        <v>263</v>
      </c>
      <c r="CO304" s="5" t="s">
        <v>240</v>
      </c>
      <c r="CP304" s="5" t="s">
        <v>240</v>
      </c>
      <c r="CQ304" s="5">
        <v>0</v>
      </c>
      <c r="CR304" s="5" t="s">
        <v>306</v>
      </c>
      <c r="CS304" s="5" t="s">
        <v>307</v>
      </c>
      <c r="CT304" s="5" t="s">
        <v>307</v>
      </c>
      <c r="CU304" s="5" t="s">
        <v>260</v>
      </c>
      <c r="CX304" s="7">
        <f>10868</f>
        <v>10868</v>
      </c>
      <c r="CY304" s="7">
        <f>0</f>
        <v>0</v>
      </c>
      <c r="DA304" s="7">
        <f>0</f>
        <v>0</v>
      </c>
      <c r="DC304" s="5" t="s">
        <v>854</v>
      </c>
      <c r="DD304" s="5" t="s">
        <v>240</v>
      </c>
      <c r="DF304" s="5" t="s">
        <v>450</v>
      </c>
      <c r="DG304" s="7">
        <f>0</f>
        <v>0</v>
      </c>
      <c r="DI304" s="5" t="s">
        <v>737</v>
      </c>
      <c r="DJ304" s="5" t="s">
        <v>240</v>
      </c>
      <c r="DK304" s="5" t="s">
        <v>240</v>
      </c>
      <c r="DL304" s="5" t="s">
        <v>240</v>
      </c>
      <c r="DP304" s="5" t="s">
        <v>240</v>
      </c>
      <c r="DQ304" s="5" t="s">
        <v>240</v>
      </c>
      <c r="DR304" s="5" t="s">
        <v>240</v>
      </c>
      <c r="DS304" s="5" t="s">
        <v>240</v>
      </c>
      <c r="DV304" s="5" t="s">
        <v>957</v>
      </c>
      <c r="DW304" s="5" t="s">
        <v>422</v>
      </c>
      <c r="HO304" s="5" t="s">
        <v>312</v>
      </c>
    </row>
    <row r="305" spans="1:240" x14ac:dyDescent="0.4">
      <c r="A305" s="5">
        <v>1039</v>
      </c>
      <c r="B305" s="5">
        <v>1</v>
      </c>
      <c r="C305" s="5">
        <v>1</v>
      </c>
      <c r="D305" s="5" t="s">
        <v>1464</v>
      </c>
      <c r="E305" s="5" t="s">
        <v>1325</v>
      </c>
      <c r="F305" s="5" t="s">
        <v>254</v>
      </c>
      <c r="G305" s="5" t="s">
        <v>240</v>
      </c>
      <c r="H305" s="6" t="s">
        <v>1470</v>
      </c>
      <c r="I305" s="5" t="s">
        <v>1463</v>
      </c>
      <c r="J305" s="8">
        <f>5015</f>
        <v>5015</v>
      </c>
      <c r="K305" s="5" t="s">
        <v>308</v>
      </c>
      <c r="L305" s="7">
        <f>11108225</f>
        <v>11108225</v>
      </c>
      <c r="M305" s="7">
        <f>11108225</f>
        <v>11108225</v>
      </c>
      <c r="N305" s="5" t="s">
        <v>242</v>
      </c>
      <c r="O305" s="5">
        <v>1</v>
      </c>
      <c r="P305" s="5" t="s">
        <v>294</v>
      </c>
      <c r="Q305" s="5" t="s">
        <v>613</v>
      </c>
      <c r="R305" s="5" t="s">
        <v>240</v>
      </c>
      <c r="S305" s="5" t="s">
        <v>240</v>
      </c>
      <c r="T305" s="5" t="s">
        <v>243</v>
      </c>
      <c r="U305" s="5" t="s">
        <v>724</v>
      </c>
      <c r="V305" s="5" t="s">
        <v>240</v>
      </c>
      <c r="Y305" s="5" t="s">
        <v>240</v>
      </c>
      <c r="Z305" s="6" t="s">
        <v>298</v>
      </c>
      <c r="AB305" s="6" t="s">
        <v>240</v>
      </c>
      <c r="AE305" s="6" t="s">
        <v>299</v>
      </c>
      <c r="AF305" s="5" t="s">
        <v>248</v>
      </c>
      <c r="AG305" s="5" t="s">
        <v>249</v>
      </c>
      <c r="AW305" s="5" t="s">
        <v>251</v>
      </c>
      <c r="AX305" s="5" t="s">
        <v>240</v>
      </c>
      <c r="AY305" s="5" t="s">
        <v>253</v>
      </c>
      <c r="AZ305" s="5" t="s">
        <v>240</v>
      </c>
      <c r="BA305" s="5" t="s">
        <v>255</v>
      </c>
      <c r="BB305" s="5" t="s">
        <v>240</v>
      </c>
      <c r="BD305" s="5" t="s">
        <v>240</v>
      </c>
      <c r="BF305" s="5" t="s">
        <v>301</v>
      </c>
      <c r="BG305" s="6" t="s">
        <v>299</v>
      </c>
      <c r="BH305" s="5" t="s">
        <v>302</v>
      </c>
      <c r="BI305" s="5" t="s">
        <v>303</v>
      </c>
      <c r="BJ305" s="5" t="s">
        <v>240</v>
      </c>
      <c r="BK305" s="8">
        <f>0</f>
        <v>0</v>
      </c>
      <c r="BL305" s="7">
        <f>0</f>
        <v>0</v>
      </c>
      <c r="BM305" s="5" t="s">
        <v>258</v>
      </c>
      <c r="BN305" s="5" t="s">
        <v>259</v>
      </c>
      <c r="CB305" s="5" t="s">
        <v>240</v>
      </c>
      <c r="CC305" s="5" t="s">
        <v>240</v>
      </c>
      <c r="CG305" s="5" t="s">
        <v>617</v>
      </c>
      <c r="CH305" s="5" t="s">
        <v>305</v>
      </c>
      <c r="CI305" s="5" t="s">
        <v>240</v>
      </c>
      <c r="CL305" s="6" t="s">
        <v>261</v>
      </c>
      <c r="CM305" s="5" t="s">
        <v>240</v>
      </c>
      <c r="CN305" s="5" t="s">
        <v>263</v>
      </c>
      <c r="CO305" s="5" t="s">
        <v>240</v>
      </c>
      <c r="CP305" s="5" t="s">
        <v>240</v>
      </c>
      <c r="CQ305" s="5">
        <v>0</v>
      </c>
      <c r="CR305" s="5" t="s">
        <v>306</v>
      </c>
      <c r="CS305" s="5" t="s">
        <v>307</v>
      </c>
      <c r="CT305" s="5" t="s">
        <v>307</v>
      </c>
      <c r="CU305" s="5" t="s">
        <v>260</v>
      </c>
      <c r="CX305" s="7">
        <f>22924</f>
        <v>22924</v>
      </c>
      <c r="CY305" s="7">
        <f>0</f>
        <v>0</v>
      </c>
      <c r="DA305" s="7">
        <f>0</f>
        <v>0</v>
      </c>
      <c r="DC305" s="5" t="s">
        <v>854</v>
      </c>
      <c r="DD305" s="5" t="s">
        <v>240</v>
      </c>
      <c r="DF305" s="5" t="s">
        <v>450</v>
      </c>
      <c r="DG305" s="7">
        <f>0</f>
        <v>0</v>
      </c>
      <c r="DI305" s="5" t="s">
        <v>737</v>
      </c>
      <c r="DJ305" s="5" t="s">
        <v>240</v>
      </c>
      <c r="DK305" s="5" t="s">
        <v>240</v>
      </c>
      <c r="DL305" s="5" t="s">
        <v>240</v>
      </c>
      <c r="DP305" s="5" t="s">
        <v>240</v>
      </c>
      <c r="DQ305" s="5" t="s">
        <v>240</v>
      </c>
      <c r="DR305" s="5" t="s">
        <v>240</v>
      </c>
      <c r="DS305" s="5" t="s">
        <v>240</v>
      </c>
      <c r="DV305" s="5" t="s">
        <v>957</v>
      </c>
      <c r="DW305" s="5" t="s">
        <v>492</v>
      </c>
      <c r="HO305" s="5" t="s">
        <v>312</v>
      </c>
    </row>
    <row r="306" spans="1:240" x14ac:dyDescent="0.4">
      <c r="A306" s="5">
        <v>1040</v>
      </c>
      <c r="B306" s="5">
        <v>1</v>
      </c>
      <c r="C306" s="5">
        <v>1</v>
      </c>
      <c r="D306" s="5" t="s">
        <v>1464</v>
      </c>
      <c r="E306" s="5" t="s">
        <v>1325</v>
      </c>
      <c r="F306" s="5" t="s">
        <v>254</v>
      </c>
      <c r="G306" s="5" t="s">
        <v>240</v>
      </c>
      <c r="H306" s="6" t="s">
        <v>1469</v>
      </c>
      <c r="I306" s="5" t="s">
        <v>1463</v>
      </c>
      <c r="J306" s="8">
        <f>642</f>
        <v>642</v>
      </c>
      <c r="K306" s="5" t="s">
        <v>308</v>
      </c>
      <c r="L306" s="7">
        <f>1422030</f>
        <v>1422030</v>
      </c>
      <c r="M306" s="7">
        <f>1422030</f>
        <v>1422030</v>
      </c>
      <c r="N306" s="5" t="s">
        <v>242</v>
      </c>
      <c r="O306" s="5">
        <v>1</v>
      </c>
      <c r="P306" s="5" t="s">
        <v>294</v>
      </c>
      <c r="Q306" s="5" t="s">
        <v>613</v>
      </c>
      <c r="R306" s="5" t="s">
        <v>240</v>
      </c>
      <c r="S306" s="5" t="s">
        <v>240</v>
      </c>
      <c r="T306" s="5" t="s">
        <v>243</v>
      </c>
      <c r="U306" s="5" t="s">
        <v>724</v>
      </c>
      <c r="V306" s="5" t="s">
        <v>240</v>
      </c>
      <c r="Y306" s="5" t="s">
        <v>240</v>
      </c>
      <c r="Z306" s="6" t="s">
        <v>298</v>
      </c>
      <c r="AB306" s="6" t="s">
        <v>240</v>
      </c>
      <c r="AE306" s="6" t="s">
        <v>299</v>
      </c>
      <c r="AF306" s="5" t="s">
        <v>248</v>
      </c>
      <c r="AG306" s="5" t="s">
        <v>249</v>
      </c>
      <c r="AW306" s="5" t="s">
        <v>251</v>
      </c>
      <c r="AX306" s="5" t="s">
        <v>240</v>
      </c>
      <c r="AY306" s="5" t="s">
        <v>253</v>
      </c>
      <c r="AZ306" s="5" t="s">
        <v>240</v>
      </c>
      <c r="BA306" s="5" t="s">
        <v>255</v>
      </c>
      <c r="BB306" s="5" t="s">
        <v>240</v>
      </c>
      <c r="BD306" s="5" t="s">
        <v>240</v>
      </c>
      <c r="BF306" s="5" t="s">
        <v>301</v>
      </c>
      <c r="BG306" s="6" t="s">
        <v>299</v>
      </c>
      <c r="BH306" s="5" t="s">
        <v>302</v>
      </c>
      <c r="BI306" s="5" t="s">
        <v>303</v>
      </c>
      <c r="BJ306" s="5" t="s">
        <v>240</v>
      </c>
      <c r="BK306" s="8">
        <f>0</f>
        <v>0</v>
      </c>
      <c r="BL306" s="7">
        <f>0</f>
        <v>0</v>
      </c>
      <c r="BM306" s="5" t="s">
        <v>258</v>
      </c>
      <c r="BN306" s="5" t="s">
        <v>259</v>
      </c>
      <c r="CB306" s="5" t="s">
        <v>240</v>
      </c>
      <c r="CC306" s="5" t="s">
        <v>240</v>
      </c>
      <c r="CG306" s="5" t="s">
        <v>617</v>
      </c>
      <c r="CH306" s="5" t="s">
        <v>305</v>
      </c>
      <c r="CI306" s="5" t="s">
        <v>240</v>
      </c>
      <c r="CL306" s="6" t="s">
        <v>261</v>
      </c>
      <c r="CM306" s="5" t="s">
        <v>240</v>
      </c>
      <c r="CN306" s="5" t="s">
        <v>263</v>
      </c>
      <c r="CO306" s="5" t="s">
        <v>240</v>
      </c>
      <c r="CP306" s="5" t="s">
        <v>240</v>
      </c>
      <c r="CQ306" s="5">
        <v>0</v>
      </c>
      <c r="CR306" s="5" t="s">
        <v>306</v>
      </c>
      <c r="CS306" s="5" t="s">
        <v>307</v>
      </c>
      <c r="CT306" s="5" t="s">
        <v>307</v>
      </c>
      <c r="CU306" s="5" t="s">
        <v>260</v>
      </c>
      <c r="CX306" s="7">
        <f>99121</f>
        <v>99121</v>
      </c>
      <c r="CY306" s="7">
        <f>0</f>
        <v>0</v>
      </c>
      <c r="DA306" s="7">
        <f>0</f>
        <v>0</v>
      </c>
      <c r="DC306" s="5" t="s">
        <v>854</v>
      </c>
      <c r="DD306" s="5" t="s">
        <v>240</v>
      </c>
      <c r="DF306" s="5" t="s">
        <v>450</v>
      </c>
      <c r="DG306" s="7">
        <f>0</f>
        <v>0</v>
      </c>
      <c r="DI306" s="5" t="s">
        <v>737</v>
      </c>
      <c r="DJ306" s="5" t="s">
        <v>240</v>
      </c>
      <c r="DK306" s="5" t="s">
        <v>240</v>
      </c>
      <c r="DL306" s="5" t="s">
        <v>240</v>
      </c>
      <c r="DP306" s="5" t="s">
        <v>240</v>
      </c>
      <c r="DQ306" s="5" t="s">
        <v>240</v>
      </c>
      <c r="DR306" s="5" t="s">
        <v>240</v>
      </c>
      <c r="DS306" s="5" t="s">
        <v>240</v>
      </c>
      <c r="DV306" s="5" t="s">
        <v>957</v>
      </c>
      <c r="DW306" s="5" t="s">
        <v>494</v>
      </c>
      <c r="HO306" s="5" t="s">
        <v>312</v>
      </c>
    </row>
    <row r="307" spans="1:240" x14ac:dyDescent="0.4">
      <c r="A307" s="5">
        <v>1041</v>
      </c>
      <c r="B307" s="5">
        <v>1</v>
      </c>
      <c r="C307" s="5">
        <v>1</v>
      </c>
      <c r="D307" s="5" t="s">
        <v>1464</v>
      </c>
      <c r="E307" s="5" t="s">
        <v>1325</v>
      </c>
      <c r="F307" s="5" t="s">
        <v>254</v>
      </c>
      <c r="G307" s="5" t="s">
        <v>240</v>
      </c>
      <c r="H307" s="6" t="s">
        <v>4408</v>
      </c>
      <c r="I307" s="5" t="s">
        <v>1463</v>
      </c>
      <c r="J307" s="8">
        <f>7.69</f>
        <v>7.69</v>
      </c>
      <c r="K307" s="5" t="s">
        <v>308</v>
      </c>
      <c r="L307" s="7">
        <f>17033</f>
        <v>17033</v>
      </c>
      <c r="M307" s="7">
        <f>17033</f>
        <v>17033</v>
      </c>
      <c r="N307" s="5" t="s">
        <v>242</v>
      </c>
      <c r="O307" s="5">
        <v>1</v>
      </c>
      <c r="P307" s="5" t="s">
        <v>294</v>
      </c>
      <c r="Q307" s="5" t="s">
        <v>613</v>
      </c>
      <c r="R307" s="5" t="s">
        <v>240</v>
      </c>
      <c r="S307" s="5" t="s">
        <v>240</v>
      </c>
      <c r="T307" s="5" t="s">
        <v>243</v>
      </c>
      <c r="U307" s="5" t="s">
        <v>724</v>
      </c>
      <c r="V307" s="5" t="s">
        <v>240</v>
      </c>
      <c r="Y307" s="5" t="s">
        <v>240</v>
      </c>
      <c r="Z307" s="6" t="s">
        <v>298</v>
      </c>
      <c r="AB307" s="6" t="s">
        <v>240</v>
      </c>
      <c r="AE307" s="6" t="s">
        <v>299</v>
      </c>
      <c r="AF307" s="5" t="s">
        <v>248</v>
      </c>
      <c r="AG307" s="5" t="s">
        <v>249</v>
      </c>
      <c r="AW307" s="5" t="s">
        <v>251</v>
      </c>
      <c r="AX307" s="5" t="s">
        <v>240</v>
      </c>
      <c r="AY307" s="5" t="s">
        <v>253</v>
      </c>
      <c r="AZ307" s="5" t="s">
        <v>240</v>
      </c>
      <c r="BA307" s="5" t="s">
        <v>255</v>
      </c>
      <c r="BB307" s="5" t="s">
        <v>240</v>
      </c>
      <c r="BD307" s="5" t="s">
        <v>240</v>
      </c>
      <c r="BF307" s="5" t="s">
        <v>301</v>
      </c>
      <c r="BG307" s="6" t="s">
        <v>299</v>
      </c>
      <c r="BH307" s="5" t="s">
        <v>302</v>
      </c>
      <c r="BI307" s="5" t="s">
        <v>303</v>
      </c>
      <c r="BJ307" s="5" t="s">
        <v>240</v>
      </c>
      <c r="BK307" s="8">
        <f>0</f>
        <v>0</v>
      </c>
      <c r="BL307" s="7">
        <f>0</f>
        <v>0</v>
      </c>
      <c r="BM307" s="5" t="s">
        <v>258</v>
      </c>
      <c r="BN307" s="5" t="s">
        <v>259</v>
      </c>
      <c r="CB307" s="5" t="s">
        <v>240</v>
      </c>
      <c r="CC307" s="5" t="s">
        <v>240</v>
      </c>
      <c r="CG307" s="5" t="s">
        <v>617</v>
      </c>
      <c r="CH307" s="5" t="s">
        <v>305</v>
      </c>
      <c r="CI307" s="5" t="s">
        <v>240</v>
      </c>
      <c r="CL307" s="6" t="s">
        <v>261</v>
      </c>
      <c r="CM307" s="5" t="s">
        <v>240</v>
      </c>
      <c r="CN307" s="5" t="s">
        <v>263</v>
      </c>
      <c r="CO307" s="5" t="s">
        <v>240</v>
      </c>
      <c r="CP307" s="5" t="s">
        <v>240</v>
      </c>
      <c r="CQ307" s="5">
        <v>0</v>
      </c>
      <c r="CR307" s="5" t="s">
        <v>306</v>
      </c>
      <c r="CS307" s="5" t="s">
        <v>307</v>
      </c>
      <c r="CT307" s="5" t="s">
        <v>307</v>
      </c>
      <c r="CU307" s="5" t="s">
        <v>260</v>
      </c>
      <c r="CX307" s="7">
        <f>21659</f>
        <v>21659</v>
      </c>
      <c r="CY307" s="7">
        <f>0</f>
        <v>0</v>
      </c>
      <c r="DA307" s="7">
        <f>0</f>
        <v>0</v>
      </c>
      <c r="DC307" s="5" t="s">
        <v>854</v>
      </c>
      <c r="DD307" s="5" t="s">
        <v>240</v>
      </c>
      <c r="DF307" s="5" t="s">
        <v>450</v>
      </c>
      <c r="DG307" s="7">
        <f>0</f>
        <v>0</v>
      </c>
      <c r="DI307" s="5" t="s">
        <v>737</v>
      </c>
      <c r="DJ307" s="5" t="s">
        <v>240</v>
      </c>
      <c r="DK307" s="5" t="s">
        <v>240</v>
      </c>
      <c r="DL307" s="5" t="s">
        <v>240</v>
      </c>
      <c r="DP307" s="5" t="s">
        <v>240</v>
      </c>
      <c r="DQ307" s="5" t="s">
        <v>240</v>
      </c>
      <c r="DR307" s="5" t="s">
        <v>240</v>
      </c>
      <c r="DS307" s="5" t="s">
        <v>240</v>
      </c>
      <c r="DV307" s="5" t="s">
        <v>957</v>
      </c>
      <c r="DW307" s="5" t="s">
        <v>496</v>
      </c>
      <c r="HO307" s="5" t="s">
        <v>312</v>
      </c>
    </row>
    <row r="308" spans="1:240" x14ac:dyDescent="0.4">
      <c r="A308" s="5">
        <v>1042</v>
      </c>
      <c r="B308" s="5">
        <v>1</v>
      </c>
      <c r="C308" s="5">
        <v>1</v>
      </c>
      <c r="D308" s="5" t="s">
        <v>1464</v>
      </c>
      <c r="E308" s="5" t="s">
        <v>1325</v>
      </c>
      <c r="F308" s="5" t="s">
        <v>254</v>
      </c>
      <c r="G308" s="5" t="s">
        <v>240</v>
      </c>
      <c r="H308" s="6" t="s">
        <v>1465</v>
      </c>
      <c r="I308" s="5" t="s">
        <v>1463</v>
      </c>
      <c r="J308" s="8">
        <f>47</f>
        <v>47</v>
      </c>
      <c r="K308" s="5" t="s">
        <v>308</v>
      </c>
      <c r="L308" s="7">
        <f>104105</f>
        <v>104105</v>
      </c>
      <c r="M308" s="7">
        <f>104105</f>
        <v>104105</v>
      </c>
      <c r="N308" s="5" t="s">
        <v>242</v>
      </c>
      <c r="O308" s="5">
        <v>1</v>
      </c>
      <c r="P308" s="5" t="s">
        <v>294</v>
      </c>
      <c r="Q308" s="5" t="s">
        <v>613</v>
      </c>
      <c r="R308" s="5" t="s">
        <v>240</v>
      </c>
      <c r="S308" s="5" t="s">
        <v>240</v>
      </c>
      <c r="T308" s="5" t="s">
        <v>243</v>
      </c>
      <c r="U308" s="5" t="s">
        <v>724</v>
      </c>
      <c r="V308" s="5" t="s">
        <v>240</v>
      </c>
      <c r="Y308" s="5" t="s">
        <v>240</v>
      </c>
      <c r="Z308" s="6" t="s">
        <v>298</v>
      </c>
      <c r="AB308" s="6" t="s">
        <v>240</v>
      </c>
      <c r="AE308" s="6" t="s">
        <v>299</v>
      </c>
      <c r="AF308" s="5" t="s">
        <v>248</v>
      </c>
      <c r="AG308" s="5" t="s">
        <v>249</v>
      </c>
      <c r="AW308" s="5" t="s">
        <v>251</v>
      </c>
      <c r="AX308" s="5" t="s">
        <v>240</v>
      </c>
      <c r="AY308" s="5" t="s">
        <v>253</v>
      </c>
      <c r="AZ308" s="5" t="s">
        <v>240</v>
      </c>
      <c r="BA308" s="5" t="s">
        <v>255</v>
      </c>
      <c r="BB308" s="5" t="s">
        <v>240</v>
      </c>
      <c r="BD308" s="5" t="s">
        <v>240</v>
      </c>
      <c r="BF308" s="5" t="s">
        <v>301</v>
      </c>
      <c r="BG308" s="6" t="s">
        <v>299</v>
      </c>
      <c r="BH308" s="5" t="s">
        <v>302</v>
      </c>
      <c r="BI308" s="5" t="s">
        <v>303</v>
      </c>
      <c r="BJ308" s="5" t="s">
        <v>240</v>
      </c>
      <c r="BK308" s="8">
        <f>0</f>
        <v>0</v>
      </c>
      <c r="BL308" s="7">
        <f>0</f>
        <v>0</v>
      </c>
      <c r="BM308" s="5" t="s">
        <v>258</v>
      </c>
      <c r="BN308" s="5" t="s">
        <v>259</v>
      </c>
      <c r="CB308" s="5" t="s">
        <v>240</v>
      </c>
      <c r="CC308" s="5" t="s">
        <v>240</v>
      </c>
      <c r="CG308" s="5" t="s">
        <v>617</v>
      </c>
      <c r="CH308" s="5" t="s">
        <v>305</v>
      </c>
      <c r="CI308" s="5" t="s">
        <v>240</v>
      </c>
      <c r="CL308" s="6" t="s">
        <v>261</v>
      </c>
      <c r="CM308" s="5" t="s">
        <v>240</v>
      </c>
      <c r="CN308" s="5" t="s">
        <v>263</v>
      </c>
      <c r="CO308" s="5" t="s">
        <v>240</v>
      </c>
      <c r="CP308" s="5" t="s">
        <v>240</v>
      </c>
      <c r="CQ308" s="5">
        <v>0</v>
      </c>
      <c r="CR308" s="5" t="s">
        <v>306</v>
      </c>
      <c r="CS308" s="5" t="s">
        <v>307</v>
      </c>
      <c r="CT308" s="5" t="s">
        <v>307</v>
      </c>
      <c r="CU308" s="5" t="s">
        <v>260</v>
      </c>
      <c r="CX308" s="7">
        <f>12034</f>
        <v>12034</v>
      </c>
      <c r="CY308" s="7">
        <f>0</f>
        <v>0</v>
      </c>
      <c r="DA308" s="7">
        <f>0</f>
        <v>0</v>
      </c>
      <c r="DC308" s="5" t="s">
        <v>854</v>
      </c>
      <c r="DD308" s="5" t="s">
        <v>240</v>
      </c>
      <c r="DF308" s="5" t="s">
        <v>450</v>
      </c>
      <c r="DG308" s="7">
        <f>0</f>
        <v>0</v>
      </c>
      <c r="DI308" s="5" t="s">
        <v>737</v>
      </c>
      <c r="DJ308" s="5" t="s">
        <v>240</v>
      </c>
      <c r="DK308" s="5" t="s">
        <v>240</v>
      </c>
      <c r="DL308" s="5" t="s">
        <v>240</v>
      </c>
      <c r="DP308" s="5" t="s">
        <v>240</v>
      </c>
      <c r="DQ308" s="5" t="s">
        <v>240</v>
      </c>
      <c r="DR308" s="5" t="s">
        <v>240</v>
      </c>
      <c r="DS308" s="5" t="s">
        <v>240</v>
      </c>
      <c r="DV308" s="5" t="s">
        <v>957</v>
      </c>
      <c r="DW308" s="5" t="s">
        <v>498</v>
      </c>
      <c r="HO308" s="5" t="s">
        <v>312</v>
      </c>
    </row>
    <row r="309" spans="1:240" x14ac:dyDescent="0.4">
      <c r="A309" s="5">
        <v>1043</v>
      </c>
      <c r="B309" s="5">
        <v>1</v>
      </c>
      <c r="C309" s="5">
        <v>1</v>
      </c>
      <c r="D309" s="5" t="s">
        <v>1455</v>
      </c>
      <c r="E309" s="5" t="s">
        <v>1325</v>
      </c>
      <c r="F309" s="5" t="s">
        <v>254</v>
      </c>
      <c r="G309" s="5" t="s">
        <v>240</v>
      </c>
      <c r="H309" s="6" t="s">
        <v>1462</v>
      </c>
      <c r="I309" s="5" t="s">
        <v>1454</v>
      </c>
      <c r="J309" s="8">
        <f>592</f>
        <v>592</v>
      </c>
      <c r="K309" s="5" t="s">
        <v>308</v>
      </c>
      <c r="L309" s="7">
        <f>1311280</f>
        <v>1311280</v>
      </c>
      <c r="M309" s="7">
        <f>1311280</f>
        <v>1311280</v>
      </c>
      <c r="N309" s="5" t="s">
        <v>242</v>
      </c>
      <c r="O309" s="5">
        <v>1</v>
      </c>
      <c r="P309" s="5" t="s">
        <v>294</v>
      </c>
      <c r="Q309" s="5" t="s">
        <v>613</v>
      </c>
      <c r="R309" s="5" t="s">
        <v>240</v>
      </c>
      <c r="S309" s="5" t="s">
        <v>240</v>
      </c>
      <c r="T309" s="5" t="s">
        <v>243</v>
      </c>
      <c r="U309" s="5" t="s">
        <v>724</v>
      </c>
      <c r="V309" s="5" t="s">
        <v>240</v>
      </c>
      <c r="Y309" s="5" t="s">
        <v>240</v>
      </c>
      <c r="Z309" s="6" t="s">
        <v>298</v>
      </c>
      <c r="AB309" s="6" t="s">
        <v>240</v>
      </c>
      <c r="AE309" s="6" t="s">
        <v>299</v>
      </c>
      <c r="AF309" s="5" t="s">
        <v>248</v>
      </c>
      <c r="AG309" s="5" t="s">
        <v>249</v>
      </c>
      <c r="AW309" s="5" t="s">
        <v>251</v>
      </c>
      <c r="AX309" s="5" t="s">
        <v>240</v>
      </c>
      <c r="AY309" s="5" t="s">
        <v>253</v>
      </c>
      <c r="AZ309" s="5" t="s">
        <v>240</v>
      </c>
      <c r="BA309" s="5" t="s">
        <v>255</v>
      </c>
      <c r="BB309" s="5" t="s">
        <v>240</v>
      </c>
      <c r="BD309" s="5" t="s">
        <v>240</v>
      </c>
      <c r="BF309" s="5" t="s">
        <v>301</v>
      </c>
      <c r="BG309" s="6" t="s">
        <v>299</v>
      </c>
      <c r="BH309" s="5" t="s">
        <v>302</v>
      </c>
      <c r="BI309" s="5" t="s">
        <v>303</v>
      </c>
      <c r="BJ309" s="5" t="s">
        <v>240</v>
      </c>
      <c r="BK309" s="8">
        <f>0</f>
        <v>0</v>
      </c>
      <c r="BL309" s="7">
        <f>0</f>
        <v>0</v>
      </c>
      <c r="BM309" s="5" t="s">
        <v>258</v>
      </c>
      <c r="BN309" s="5" t="s">
        <v>259</v>
      </c>
      <c r="CB309" s="5" t="s">
        <v>240</v>
      </c>
      <c r="CC309" s="5" t="s">
        <v>240</v>
      </c>
      <c r="CG309" s="5" t="s">
        <v>617</v>
      </c>
      <c r="CH309" s="5" t="s">
        <v>305</v>
      </c>
      <c r="CI309" s="5" t="s">
        <v>240</v>
      </c>
      <c r="CL309" s="6" t="s">
        <v>261</v>
      </c>
      <c r="CM309" s="5" t="s">
        <v>240</v>
      </c>
      <c r="CN309" s="5" t="s">
        <v>263</v>
      </c>
      <c r="CO309" s="5" t="s">
        <v>240</v>
      </c>
      <c r="CP309" s="5" t="s">
        <v>240</v>
      </c>
      <c r="CQ309" s="5">
        <v>0</v>
      </c>
      <c r="CR309" s="5" t="s">
        <v>306</v>
      </c>
      <c r="CS309" s="5" t="s">
        <v>307</v>
      </c>
      <c r="CT309" s="5" t="s">
        <v>307</v>
      </c>
      <c r="CU309" s="5" t="s">
        <v>260</v>
      </c>
      <c r="CX309" s="7">
        <f>18854</f>
        <v>18854</v>
      </c>
      <c r="CY309" s="7">
        <f>0</f>
        <v>0</v>
      </c>
      <c r="DA309" s="7">
        <f>0</f>
        <v>0</v>
      </c>
      <c r="DC309" s="5" t="s">
        <v>854</v>
      </c>
      <c r="DD309" s="5" t="s">
        <v>240</v>
      </c>
      <c r="DF309" s="5" t="s">
        <v>450</v>
      </c>
      <c r="DG309" s="7">
        <f>0</f>
        <v>0</v>
      </c>
      <c r="DI309" s="5" t="s">
        <v>737</v>
      </c>
      <c r="DJ309" s="5" t="s">
        <v>240</v>
      </c>
      <c r="DK309" s="5" t="s">
        <v>240</v>
      </c>
      <c r="DL309" s="5" t="s">
        <v>240</v>
      </c>
      <c r="DP309" s="5" t="s">
        <v>240</v>
      </c>
      <c r="DQ309" s="5" t="s">
        <v>240</v>
      </c>
      <c r="DR309" s="5" t="s">
        <v>240</v>
      </c>
      <c r="DS309" s="5" t="s">
        <v>240</v>
      </c>
      <c r="DV309" s="5" t="s">
        <v>957</v>
      </c>
      <c r="DW309" s="5" t="s">
        <v>500</v>
      </c>
      <c r="HO309" s="5" t="s">
        <v>312</v>
      </c>
    </row>
    <row r="310" spans="1:240" x14ac:dyDescent="0.4">
      <c r="A310" s="5">
        <v>1044</v>
      </c>
      <c r="B310" s="5">
        <v>1</v>
      </c>
      <c r="C310" s="5">
        <v>1</v>
      </c>
      <c r="D310" s="5" t="s">
        <v>1455</v>
      </c>
      <c r="E310" s="5" t="s">
        <v>1325</v>
      </c>
      <c r="F310" s="5" t="s">
        <v>254</v>
      </c>
      <c r="G310" s="5" t="s">
        <v>240</v>
      </c>
      <c r="H310" s="6" t="s">
        <v>1461</v>
      </c>
      <c r="I310" s="5" t="s">
        <v>1454</v>
      </c>
      <c r="J310" s="8">
        <f>424</f>
        <v>424</v>
      </c>
      <c r="K310" s="5" t="s">
        <v>308</v>
      </c>
      <c r="L310" s="7">
        <f>939160</f>
        <v>939160</v>
      </c>
      <c r="M310" s="7">
        <f>939160</f>
        <v>939160</v>
      </c>
      <c r="N310" s="5" t="s">
        <v>242</v>
      </c>
      <c r="O310" s="5">
        <v>1</v>
      </c>
      <c r="P310" s="5" t="s">
        <v>294</v>
      </c>
      <c r="Q310" s="5" t="s">
        <v>613</v>
      </c>
      <c r="R310" s="5" t="s">
        <v>240</v>
      </c>
      <c r="S310" s="5" t="s">
        <v>240</v>
      </c>
      <c r="T310" s="5" t="s">
        <v>243</v>
      </c>
      <c r="U310" s="5" t="s">
        <v>724</v>
      </c>
      <c r="V310" s="5" t="s">
        <v>240</v>
      </c>
      <c r="Y310" s="5" t="s">
        <v>240</v>
      </c>
      <c r="Z310" s="6" t="s">
        <v>298</v>
      </c>
      <c r="AB310" s="6" t="s">
        <v>240</v>
      </c>
      <c r="AE310" s="6" t="s">
        <v>299</v>
      </c>
      <c r="AF310" s="5" t="s">
        <v>248</v>
      </c>
      <c r="AG310" s="5" t="s">
        <v>249</v>
      </c>
      <c r="AW310" s="5" t="s">
        <v>251</v>
      </c>
      <c r="AX310" s="5" t="s">
        <v>240</v>
      </c>
      <c r="AY310" s="5" t="s">
        <v>253</v>
      </c>
      <c r="AZ310" s="5" t="s">
        <v>240</v>
      </c>
      <c r="BA310" s="5" t="s">
        <v>255</v>
      </c>
      <c r="BB310" s="5" t="s">
        <v>240</v>
      </c>
      <c r="BD310" s="5" t="s">
        <v>240</v>
      </c>
      <c r="BF310" s="5" t="s">
        <v>301</v>
      </c>
      <c r="BG310" s="6" t="s">
        <v>299</v>
      </c>
      <c r="BH310" s="5" t="s">
        <v>302</v>
      </c>
      <c r="BI310" s="5" t="s">
        <v>303</v>
      </c>
      <c r="BJ310" s="5" t="s">
        <v>240</v>
      </c>
      <c r="BK310" s="8">
        <f>0</f>
        <v>0</v>
      </c>
      <c r="BL310" s="7">
        <f>0</f>
        <v>0</v>
      </c>
      <c r="BM310" s="5" t="s">
        <v>258</v>
      </c>
      <c r="BN310" s="5" t="s">
        <v>259</v>
      </c>
      <c r="CB310" s="5" t="s">
        <v>240</v>
      </c>
      <c r="CC310" s="5" t="s">
        <v>240</v>
      </c>
      <c r="CG310" s="5" t="s">
        <v>617</v>
      </c>
      <c r="CH310" s="5" t="s">
        <v>305</v>
      </c>
      <c r="CI310" s="5" t="s">
        <v>240</v>
      </c>
      <c r="CL310" s="6" t="s">
        <v>261</v>
      </c>
      <c r="CM310" s="5" t="s">
        <v>240</v>
      </c>
      <c r="CN310" s="5" t="s">
        <v>263</v>
      </c>
      <c r="CO310" s="5" t="s">
        <v>240</v>
      </c>
      <c r="CP310" s="5" t="s">
        <v>240</v>
      </c>
      <c r="CQ310" s="5">
        <v>0</v>
      </c>
      <c r="CR310" s="5" t="s">
        <v>306</v>
      </c>
      <c r="CS310" s="5" t="s">
        <v>307</v>
      </c>
      <c r="CT310" s="5" t="s">
        <v>307</v>
      </c>
      <c r="CU310" s="5" t="s">
        <v>260</v>
      </c>
      <c r="CX310" s="7">
        <f>6292</f>
        <v>6292</v>
      </c>
      <c r="CY310" s="7">
        <f>0</f>
        <v>0</v>
      </c>
      <c r="DA310" s="7">
        <f>0</f>
        <v>0</v>
      </c>
      <c r="DC310" s="5" t="s">
        <v>854</v>
      </c>
      <c r="DD310" s="5" t="s">
        <v>240</v>
      </c>
      <c r="DF310" s="5" t="s">
        <v>450</v>
      </c>
      <c r="DG310" s="7">
        <f>0</f>
        <v>0</v>
      </c>
      <c r="DI310" s="5" t="s">
        <v>737</v>
      </c>
      <c r="DJ310" s="5" t="s">
        <v>240</v>
      </c>
      <c r="DK310" s="5" t="s">
        <v>240</v>
      </c>
      <c r="DL310" s="5" t="s">
        <v>240</v>
      </c>
      <c r="DP310" s="5" t="s">
        <v>240</v>
      </c>
      <c r="DQ310" s="5" t="s">
        <v>240</v>
      </c>
      <c r="DR310" s="5" t="s">
        <v>240</v>
      </c>
      <c r="DS310" s="5" t="s">
        <v>240</v>
      </c>
      <c r="DV310" s="5" t="s">
        <v>957</v>
      </c>
      <c r="DW310" s="5" t="s">
        <v>502</v>
      </c>
      <c r="HO310" s="5" t="s">
        <v>312</v>
      </c>
    </row>
    <row r="311" spans="1:240" x14ac:dyDescent="0.4">
      <c r="A311" s="5">
        <v>1045</v>
      </c>
      <c r="B311" s="5">
        <v>1</v>
      </c>
      <c r="C311" s="5">
        <v>1</v>
      </c>
      <c r="D311" s="5" t="s">
        <v>1455</v>
      </c>
      <c r="E311" s="5" t="s">
        <v>1325</v>
      </c>
      <c r="F311" s="5" t="s">
        <v>254</v>
      </c>
      <c r="G311" s="5" t="s">
        <v>240</v>
      </c>
      <c r="H311" s="6" t="s">
        <v>1460</v>
      </c>
      <c r="I311" s="5" t="s">
        <v>1454</v>
      </c>
      <c r="J311" s="8">
        <f>982</f>
        <v>982</v>
      </c>
      <c r="K311" s="5" t="s">
        <v>308</v>
      </c>
      <c r="L311" s="7">
        <f>2175130</f>
        <v>2175130</v>
      </c>
      <c r="M311" s="7">
        <f>2175130</f>
        <v>2175130</v>
      </c>
      <c r="N311" s="5" t="s">
        <v>242</v>
      </c>
      <c r="O311" s="5">
        <v>1</v>
      </c>
      <c r="P311" s="5" t="s">
        <v>294</v>
      </c>
      <c r="Q311" s="5" t="s">
        <v>613</v>
      </c>
      <c r="R311" s="5" t="s">
        <v>240</v>
      </c>
      <c r="S311" s="5" t="s">
        <v>240</v>
      </c>
      <c r="T311" s="5" t="s">
        <v>243</v>
      </c>
      <c r="U311" s="5" t="s">
        <v>724</v>
      </c>
      <c r="V311" s="5" t="s">
        <v>240</v>
      </c>
      <c r="Y311" s="5" t="s">
        <v>240</v>
      </c>
      <c r="Z311" s="6" t="s">
        <v>298</v>
      </c>
      <c r="AB311" s="6" t="s">
        <v>240</v>
      </c>
      <c r="AE311" s="6" t="s">
        <v>299</v>
      </c>
      <c r="AF311" s="5" t="s">
        <v>248</v>
      </c>
      <c r="AG311" s="5" t="s">
        <v>249</v>
      </c>
      <c r="AW311" s="5" t="s">
        <v>251</v>
      </c>
      <c r="AX311" s="5" t="s">
        <v>240</v>
      </c>
      <c r="AY311" s="5" t="s">
        <v>253</v>
      </c>
      <c r="AZ311" s="5" t="s">
        <v>240</v>
      </c>
      <c r="BA311" s="5" t="s">
        <v>255</v>
      </c>
      <c r="BB311" s="5" t="s">
        <v>240</v>
      </c>
      <c r="BD311" s="5" t="s">
        <v>240</v>
      </c>
      <c r="BF311" s="5" t="s">
        <v>301</v>
      </c>
      <c r="BG311" s="6" t="s">
        <v>299</v>
      </c>
      <c r="BH311" s="5" t="s">
        <v>302</v>
      </c>
      <c r="BI311" s="5" t="s">
        <v>303</v>
      </c>
      <c r="BJ311" s="5" t="s">
        <v>240</v>
      </c>
      <c r="BK311" s="8">
        <f>0</f>
        <v>0</v>
      </c>
      <c r="BL311" s="7">
        <f>0</f>
        <v>0</v>
      </c>
      <c r="BM311" s="5" t="s">
        <v>258</v>
      </c>
      <c r="BN311" s="5" t="s">
        <v>259</v>
      </c>
      <c r="CB311" s="5" t="s">
        <v>240</v>
      </c>
      <c r="CC311" s="5" t="s">
        <v>240</v>
      </c>
      <c r="CG311" s="5" t="s">
        <v>617</v>
      </c>
      <c r="CH311" s="5" t="s">
        <v>305</v>
      </c>
      <c r="CI311" s="5" t="s">
        <v>240</v>
      </c>
      <c r="CL311" s="6" t="s">
        <v>261</v>
      </c>
      <c r="CM311" s="5" t="s">
        <v>240</v>
      </c>
      <c r="CN311" s="5" t="s">
        <v>263</v>
      </c>
      <c r="CO311" s="5" t="s">
        <v>240</v>
      </c>
      <c r="CP311" s="5" t="s">
        <v>240</v>
      </c>
      <c r="CQ311" s="5">
        <v>0</v>
      </c>
      <c r="CR311" s="5" t="s">
        <v>306</v>
      </c>
      <c r="CS311" s="5" t="s">
        <v>307</v>
      </c>
      <c r="CT311" s="5" t="s">
        <v>307</v>
      </c>
      <c r="CU311" s="5" t="s">
        <v>260</v>
      </c>
      <c r="CX311" s="7">
        <f>96866</f>
        <v>96866</v>
      </c>
      <c r="CY311" s="7">
        <f>0</f>
        <v>0</v>
      </c>
      <c r="DA311" s="7">
        <f>0</f>
        <v>0</v>
      </c>
      <c r="DC311" s="5" t="s">
        <v>854</v>
      </c>
      <c r="DD311" s="5" t="s">
        <v>240</v>
      </c>
      <c r="DF311" s="5" t="s">
        <v>450</v>
      </c>
      <c r="DG311" s="7">
        <f>0</f>
        <v>0</v>
      </c>
      <c r="DI311" s="5" t="s">
        <v>737</v>
      </c>
      <c r="DJ311" s="5" t="s">
        <v>240</v>
      </c>
      <c r="DK311" s="5" t="s">
        <v>240</v>
      </c>
      <c r="DL311" s="5" t="s">
        <v>240</v>
      </c>
      <c r="DP311" s="5" t="s">
        <v>240</v>
      </c>
      <c r="DQ311" s="5" t="s">
        <v>240</v>
      </c>
      <c r="DR311" s="5" t="s">
        <v>240</v>
      </c>
      <c r="DS311" s="5" t="s">
        <v>240</v>
      </c>
      <c r="DV311" s="5" t="s">
        <v>957</v>
      </c>
      <c r="DW311" s="5" t="s">
        <v>504</v>
      </c>
      <c r="HO311" s="5" t="s">
        <v>312</v>
      </c>
    </row>
    <row r="312" spans="1:240" x14ac:dyDescent="0.4">
      <c r="A312" s="5">
        <v>1046</v>
      </c>
      <c r="B312" s="5">
        <v>1</v>
      </c>
      <c r="C312" s="5">
        <v>1</v>
      </c>
      <c r="D312" s="5" t="s">
        <v>1455</v>
      </c>
      <c r="E312" s="5" t="s">
        <v>1325</v>
      </c>
      <c r="F312" s="5" t="s">
        <v>254</v>
      </c>
      <c r="G312" s="5" t="s">
        <v>240</v>
      </c>
      <c r="H312" s="6" t="s">
        <v>1459</v>
      </c>
      <c r="I312" s="5" t="s">
        <v>1454</v>
      </c>
      <c r="J312" s="8">
        <f>700</f>
        <v>700</v>
      </c>
      <c r="K312" s="5" t="s">
        <v>308</v>
      </c>
      <c r="L312" s="7">
        <f>1550500</f>
        <v>1550500</v>
      </c>
      <c r="M312" s="7">
        <f>1550500</f>
        <v>1550500</v>
      </c>
      <c r="N312" s="5" t="s">
        <v>242</v>
      </c>
      <c r="O312" s="5">
        <v>1</v>
      </c>
      <c r="P312" s="5" t="s">
        <v>294</v>
      </c>
      <c r="Q312" s="5" t="s">
        <v>613</v>
      </c>
      <c r="R312" s="5" t="s">
        <v>240</v>
      </c>
      <c r="S312" s="5" t="s">
        <v>240</v>
      </c>
      <c r="T312" s="5" t="s">
        <v>243</v>
      </c>
      <c r="U312" s="5" t="s">
        <v>724</v>
      </c>
      <c r="V312" s="5" t="s">
        <v>240</v>
      </c>
      <c r="Y312" s="5" t="s">
        <v>240</v>
      </c>
      <c r="Z312" s="6" t="s">
        <v>298</v>
      </c>
      <c r="AB312" s="6" t="s">
        <v>240</v>
      </c>
      <c r="AE312" s="6" t="s">
        <v>299</v>
      </c>
      <c r="AF312" s="5" t="s">
        <v>248</v>
      </c>
      <c r="AG312" s="5" t="s">
        <v>249</v>
      </c>
      <c r="AW312" s="5" t="s">
        <v>251</v>
      </c>
      <c r="AX312" s="5" t="s">
        <v>240</v>
      </c>
      <c r="AY312" s="5" t="s">
        <v>253</v>
      </c>
      <c r="AZ312" s="5" t="s">
        <v>240</v>
      </c>
      <c r="BA312" s="5" t="s">
        <v>255</v>
      </c>
      <c r="BB312" s="5" t="s">
        <v>240</v>
      </c>
      <c r="BD312" s="5" t="s">
        <v>240</v>
      </c>
      <c r="BF312" s="5" t="s">
        <v>301</v>
      </c>
      <c r="BG312" s="6" t="s">
        <v>299</v>
      </c>
      <c r="BH312" s="5" t="s">
        <v>302</v>
      </c>
      <c r="BI312" s="5" t="s">
        <v>303</v>
      </c>
      <c r="BJ312" s="5" t="s">
        <v>240</v>
      </c>
      <c r="BK312" s="8">
        <f>0</f>
        <v>0</v>
      </c>
      <c r="BL312" s="7">
        <f>0</f>
        <v>0</v>
      </c>
      <c r="BM312" s="5" t="s">
        <v>258</v>
      </c>
      <c r="BN312" s="5" t="s">
        <v>259</v>
      </c>
      <c r="CB312" s="5" t="s">
        <v>240</v>
      </c>
      <c r="CC312" s="5" t="s">
        <v>240</v>
      </c>
      <c r="CG312" s="5" t="s">
        <v>617</v>
      </c>
      <c r="CH312" s="5" t="s">
        <v>305</v>
      </c>
      <c r="CI312" s="5" t="s">
        <v>240</v>
      </c>
      <c r="CL312" s="6" t="s">
        <v>261</v>
      </c>
      <c r="CM312" s="5" t="s">
        <v>240</v>
      </c>
      <c r="CN312" s="5" t="s">
        <v>263</v>
      </c>
      <c r="CO312" s="5" t="s">
        <v>240</v>
      </c>
      <c r="CP312" s="5" t="s">
        <v>240</v>
      </c>
      <c r="CQ312" s="5">
        <v>0</v>
      </c>
      <c r="CR312" s="5" t="s">
        <v>306</v>
      </c>
      <c r="CS312" s="5" t="s">
        <v>307</v>
      </c>
      <c r="CT312" s="5" t="s">
        <v>307</v>
      </c>
      <c r="CU312" s="5" t="s">
        <v>260</v>
      </c>
      <c r="CX312" s="7">
        <f>92543</f>
        <v>92543</v>
      </c>
      <c r="CY312" s="7">
        <f>0</f>
        <v>0</v>
      </c>
      <c r="DA312" s="7">
        <f>0</f>
        <v>0</v>
      </c>
      <c r="DC312" s="5" t="s">
        <v>854</v>
      </c>
      <c r="DD312" s="5" t="s">
        <v>240</v>
      </c>
      <c r="DF312" s="5" t="s">
        <v>450</v>
      </c>
      <c r="DG312" s="7">
        <f>0</f>
        <v>0</v>
      </c>
      <c r="DI312" s="5" t="s">
        <v>737</v>
      </c>
      <c r="DJ312" s="5" t="s">
        <v>240</v>
      </c>
      <c r="DK312" s="5" t="s">
        <v>240</v>
      </c>
      <c r="DL312" s="5" t="s">
        <v>240</v>
      </c>
      <c r="DP312" s="5" t="s">
        <v>240</v>
      </c>
      <c r="DQ312" s="5" t="s">
        <v>240</v>
      </c>
      <c r="DR312" s="5" t="s">
        <v>240</v>
      </c>
      <c r="DS312" s="5" t="s">
        <v>240</v>
      </c>
      <c r="DV312" s="5" t="s">
        <v>957</v>
      </c>
      <c r="DW312" s="5" t="s">
        <v>506</v>
      </c>
      <c r="HO312" s="5" t="s">
        <v>312</v>
      </c>
    </row>
    <row r="313" spans="1:240" x14ac:dyDescent="0.4">
      <c r="A313" s="5">
        <v>1047</v>
      </c>
      <c r="B313" s="5">
        <v>1</v>
      </c>
      <c r="C313" s="5">
        <v>1</v>
      </c>
      <c r="D313" s="5" t="s">
        <v>1455</v>
      </c>
      <c r="E313" s="5" t="s">
        <v>1325</v>
      </c>
      <c r="F313" s="5" t="s">
        <v>254</v>
      </c>
      <c r="G313" s="5" t="s">
        <v>240</v>
      </c>
      <c r="H313" s="6" t="s">
        <v>1458</v>
      </c>
      <c r="I313" s="5" t="s">
        <v>1454</v>
      </c>
      <c r="J313" s="8">
        <f>104</f>
        <v>104</v>
      </c>
      <c r="K313" s="5" t="s">
        <v>308</v>
      </c>
      <c r="L313" s="7">
        <f>230360</f>
        <v>230360</v>
      </c>
      <c r="M313" s="7">
        <f>230360</f>
        <v>230360</v>
      </c>
      <c r="N313" s="5" t="s">
        <v>242</v>
      </c>
      <c r="O313" s="5">
        <v>1</v>
      </c>
      <c r="P313" s="5" t="s">
        <v>294</v>
      </c>
      <c r="Q313" s="5" t="s">
        <v>613</v>
      </c>
      <c r="R313" s="5" t="s">
        <v>240</v>
      </c>
      <c r="S313" s="5" t="s">
        <v>240</v>
      </c>
      <c r="T313" s="5" t="s">
        <v>243</v>
      </c>
      <c r="U313" s="5" t="s">
        <v>724</v>
      </c>
      <c r="V313" s="5" t="s">
        <v>240</v>
      </c>
      <c r="Y313" s="5" t="s">
        <v>240</v>
      </c>
      <c r="Z313" s="6" t="s">
        <v>298</v>
      </c>
      <c r="AB313" s="6" t="s">
        <v>240</v>
      </c>
      <c r="AE313" s="6" t="s">
        <v>299</v>
      </c>
      <c r="AF313" s="5" t="s">
        <v>248</v>
      </c>
      <c r="AG313" s="5" t="s">
        <v>249</v>
      </c>
      <c r="AW313" s="5" t="s">
        <v>251</v>
      </c>
      <c r="AX313" s="5" t="s">
        <v>240</v>
      </c>
      <c r="AY313" s="5" t="s">
        <v>253</v>
      </c>
      <c r="AZ313" s="5" t="s">
        <v>240</v>
      </c>
      <c r="BA313" s="5" t="s">
        <v>255</v>
      </c>
      <c r="BB313" s="5" t="s">
        <v>240</v>
      </c>
      <c r="BD313" s="5" t="s">
        <v>240</v>
      </c>
      <c r="BF313" s="5" t="s">
        <v>301</v>
      </c>
      <c r="BG313" s="6" t="s">
        <v>299</v>
      </c>
      <c r="BH313" s="5" t="s">
        <v>302</v>
      </c>
      <c r="BI313" s="5" t="s">
        <v>303</v>
      </c>
      <c r="BJ313" s="5" t="s">
        <v>240</v>
      </c>
      <c r="BK313" s="8">
        <f>0</f>
        <v>0</v>
      </c>
      <c r="BL313" s="7">
        <f>0</f>
        <v>0</v>
      </c>
      <c r="BM313" s="5" t="s">
        <v>258</v>
      </c>
      <c r="BN313" s="5" t="s">
        <v>259</v>
      </c>
      <c r="CB313" s="5" t="s">
        <v>240</v>
      </c>
      <c r="CC313" s="5" t="s">
        <v>240</v>
      </c>
      <c r="CG313" s="5" t="s">
        <v>617</v>
      </c>
      <c r="CH313" s="5" t="s">
        <v>305</v>
      </c>
      <c r="CI313" s="5" t="s">
        <v>240</v>
      </c>
      <c r="CL313" s="6" t="s">
        <v>261</v>
      </c>
      <c r="CM313" s="5" t="s">
        <v>240</v>
      </c>
      <c r="CN313" s="5" t="s">
        <v>263</v>
      </c>
      <c r="CO313" s="5" t="s">
        <v>240</v>
      </c>
      <c r="CP313" s="5" t="s">
        <v>240</v>
      </c>
      <c r="CQ313" s="5">
        <v>0</v>
      </c>
      <c r="CR313" s="5" t="s">
        <v>306</v>
      </c>
      <c r="CS313" s="5" t="s">
        <v>307</v>
      </c>
      <c r="CT313" s="5" t="s">
        <v>307</v>
      </c>
      <c r="CU313" s="5" t="s">
        <v>260</v>
      </c>
      <c r="CX313" s="7">
        <f>13178</f>
        <v>13178</v>
      </c>
      <c r="CY313" s="7">
        <f>0</f>
        <v>0</v>
      </c>
      <c r="DA313" s="7">
        <f>0</f>
        <v>0</v>
      </c>
      <c r="DC313" s="5" t="s">
        <v>854</v>
      </c>
      <c r="DD313" s="5" t="s">
        <v>240</v>
      </c>
      <c r="DF313" s="5" t="s">
        <v>450</v>
      </c>
      <c r="DG313" s="7">
        <f>0</f>
        <v>0</v>
      </c>
      <c r="DI313" s="5" t="s">
        <v>737</v>
      </c>
      <c r="DJ313" s="5" t="s">
        <v>240</v>
      </c>
      <c r="DK313" s="5" t="s">
        <v>240</v>
      </c>
      <c r="DL313" s="5" t="s">
        <v>240</v>
      </c>
      <c r="DP313" s="5" t="s">
        <v>240</v>
      </c>
      <c r="DQ313" s="5" t="s">
        <v>240</v>
      </c>
      <c r="DR313" s="5" t="s">
        <v>240</v>
      </c>
      <c r="DS313" s="5" t="s">
        <v>240</v>
      </c>
      <c r="DV313" s="5" t="s">
        <v>957</v>
      </c>
      <c r="DW313" s="5" t="s">
        <v>508</v>
      </c>
      <c r="HO313" s="5" t="s">
        <v>312</v>
      </c>
    </row>
    <row r="314" spans="1:240" x14ac:dyDescent="0.4">
      <c r="A314" s="5">
        <v>1048</v>
      </c>
      <c r="B314" s="5">
        <v>1</v>
      </c>
      <c r="C314" s="5">
        <v>1</v>
      </c>
      <c r="D314" s="5" t="s">
        <v>1455</v>
      </c>
      <c r="E314" s="5" t="s">
        <v>1325</v>
      </c>
      <c r="F314" s="5" t="s">
        <v>254</v>
      </c>
      <c r="G314" s="5" t="s">
        <v>240</v>
      </c>
      <c r="H314" s="6" t="s">
        <v>1456</v>
      </c>
      <c r="I314" s="5" t="s">
        <v>1454</v>
      </c>
      <c r="J314" s="8">
        <f>566</f>
        <v>566</v>
      </c>
      <c r="K314" s="5" t="s">
        <v>308</v>
      </c>
      <c r="L314" s="7">
        <f>1253690</f>
        <v>1253690</v>
      </c>
      <c r="M314" s="7">
        <f>1253690</f>
        <v>1253690</v>
      </c>
      <c r="N314" s="5" t="s">
        <v>242</v>
      </c>
      <c r="O314" s="5">
        <v>1</v>
      </c>
      <c r="P314" s="5" t="s">
        <v>294</v>
      </c>
      <c r="Q314" s="5" t="s">
        <v>613</v>
      </c>
      <c r="R314" s="5" t="s">
        <v>240</v>
      </c>
      <c r="S314" s="5" t="s">
        <v>240</v>
      </c>
      <c r="T314" s="5" t="s">
        <v>243</v>
      </c>
      <c r="U314" s="5" t="s">
        <v>724</v>
      </c>
      <c r="V314" s="5" t="s">
        <v>240</v>
      </c>
      <c r="Y314" s="5" t="s">
        <v>240</v>
      </c>
      <c r="Z314" s="6" t="s">
        <v>298</v>
      </c>
      <c r="AB314" s="6" t="s">
        <v>240</v>
      </c>
      <c r="AE314" s="6" t="s">
        <v>299</v>
      </c>
      <c r="AF314" s="5" t="s">
        <v>248</v>
      </c>
      <c r="AG314" s="5" t="s">
        <v>249</v>
      </c>
      <c r="AW314" s="5" t="s">
        <v>251</v>
      </c>
      <c r="AX314" s="5" t="s">
        <v>240</v>
      </c>
      <c r="AY314" s="5" t="s">
        <v>253</v>
      </c>
      <c r="AZ314" s="5" t="s">
        <v>240</v>
      </c>
      <c r="BA314" s="5" t="s">
        <v>255</v>
      </c>
      <c r="BB314" s="5" t="s">
        <v>240</v>
      </c>
      <c r="BD314" s="5" t="s">
        <v>240</v>
      </c>
      <c r="BF314" s="5" t="s">
        <v>301</v>
      </c>
      <c r="BG314" s="6" t="s">
        <v>299</v>
      </c>
      <c r="BH314" s="5" t="s">
        <v>302</v>
      </c>
      <c r="BI314" s="5" t="s">
        <v>303</v>
      </c>
      <c r="BJ314" s="5" t="s">
        <v>240</v>
      </c>
      <c r="BK314" s="8">
        <f>0</f>
        <v>0</v>
      </c>
      <c r="BL314" s="7">
        <f>0</f>
        <v>0</v>
      </c>
      <c r="BM314" s="5" t="s">
        <v>258</v>
      </c>
      <c r="BN314" s="5" t="s">
        <v>259</v>
      </c>
      <c r="CB314" s="5" t="s">
        <v>240</v>
      </c>
      <c r="CC314" s="5" t="s">
        <v>240</v>
      </c>
      <c r="CG314" s="5" t="s">
        <v>617</v>
      </c>
      <c r="CH314" s="5" t="s">
        <v>305</v>
      </c>
      <c r="CI314" s="5" t="s">
        <v>240</v>
      </c>
      <c r="CL314" s="6" t="s">
        <v>261</v>
      </c>
      <c r="CM314" s="5" t="s">
        <v>240</v>
      </c>
      <c r="CN314" s="5" t="s">
        <v>263</v>
      </c>
      <c r="CO314" s="5" t="s">
        <v>240</v>
      </c>
      <c r="CP314" s="5" t="s">
        <v>240</v>
      </c>
      <c r="CQ314" s="5">
        <v>0</v>
      </c>
      <c r="CR314" s="5" t="s">
        <v>306</v>
      </c>
      <c r="CS314" s="5" t="s">
        <v>307</v>
      </c>
      <c r="CT314" s="5" t="s">
        <v>307</v>
      </c>
      <c r="CU314" s="5" t="s">
        <v>260</v>
      </c>
      <c r="CX314" s="7">
        <f>6138</f>
        <v>6138</v>
      </c>
      <c r="CY314" s="7">
        <f>0</f>
        <v>0</v>
      </c>
      <c r="DA314" s="7">
        <f>0</f>
        <v>0</v>
      </c>
      <c r="DC314" s="5" t="s">
        <v>854</v>
      </c>
      <c r="DD314" s="5" t="s">
        <v>240</v>
      </c>
      <c r="DF314" s="5" t="s">
        <v>854</v>
      </c>
      <c r="DG314" s="7">
        <f>828</f>
        <v>828</v>
      </c>
      <c r="DI314" s="5" t="s">
        <v>737</v>
      </c>
      <c r="DJ314" s="5" t="s">
        <v>240</v>
      </c>
      <c r="DK314" s="5" t="s">
        <v>240</v>
      </c>
      <c r="DL314" s="5" t="s">
        <v>240</v>
      </c>
      <c r="DP314" s="5" t="s">
        <v>240</v>
      </c>
      <c r="DQ314" s="5" t="s">
        <v>240</v>
      </c>
      <c r="DR314" s="5" t="s">
        <v>240</v>
      </c>
      <c r="DS314" s="5" t="s">
        <v>240</v>
      </c>
      <c r="DV314" s="5" t="s">
        <v>957</v>
      </c>
      <c r="DW314" s="5" t="s">
        <v>510</v>
      </c>
      <c r="HO314" s="5" t="s">
        <v>312</v>
      </c>
    </row>
    <row r="315" spans="1:240" x14ac:dyDescent="0.4">
      <c r="A315" s="5">
        <v>1049</v>
      </c>
      <c r="B315" s="5">
        <v>1</v>
      </c>
      <c r="C315" s="5">
        <v>1</v>
      </c>
      <c r="D315" s="5" t="s">
        <v>1451</v>
      </c>
      <c r="E315" s="5" t="s">
        <v>1325</v>
      </c>
      <c r="F315" s="5" t="s">
        <v>254</v>
      </c>
      <c r="G315" s="5" t="s">
        <v>240</v>
      </c>
      <c r="H315" s="6" t="s">
        <v>1452</v>
      </c>
      <c r="I315" s="5" t="s">
        <v>1450</v>
      </c>
      <c r="J315" s="8">
        <f>401.5</f>
        <v>401.5</v>
      </c>
      <c r="K315" s="5" t="s">
        <v>308</v>
      </c>
      <c r="L315" s="7">
        <f>889322</f>
        <v>889322</v>
      </c>
      <c r="M315" s="7">
        <f>889322</f>
        <v>889322</v>
      </c>
      <c r="N315" s="5" t="s">
        <v>242</v>
      </c>
      <c r="O315" s="5">
        <v>1</v>
      </c>
      <c r="P315" s="5" t="s">
        <v>294</v>
      </c>
      <c r="Q315" s="5" t="s">
        <v>613</v>
      </c>
      <c r="R315" s="5" t="s">
        <v>240</v>
      </c>
      <c r="S315" s="5" t="s">
        <v>240</v>
      </c>
      <c r="T315" s="5" t="s">
        <v>243</v>
      </c>
      <c r="U315" s="5" t="s">
        <v>724</v>
      </c>
      <c r="V315" s="5" t="s">
        <v>240</v>
      </c>
      <c r="Y315" s="5" t="s">
        <v>240</v>
      </c>
      <c r="Z315" s="6" t="s">
        <v>298</v>
      </c>
      <c r="AB315" s="6" t="s">
        <v>240</v>
      </c>
      <c r="AE315" s="6" t="s">
        <v>299</v>
      </c>
      <c r="AF315" s="5" t="s">
        <v>248</v>
      </c>
      <c r="AG315" s="5" t="s">
        <v>249</v>
      </c>
      <c r="AW315" s="5" t="s">
        <v>251</v>
      </c>
      <c r="AX315" s="5" t="s">
        <v>240</v>
      </c>
      <c r="AY315" s="5" t="s">
        <v>253</v>
      </c>
      <c r="AZ315" s="5" t="s">
        <v>240</v>
      </c>
      <c r="BA315" s="5" t="s">
        <v>255</v>
      </c>
      <c r="BB315" s="5" t="s">
        <v>240</v>
      </c>
      <c r="BD315" s="5" t="s">
        <v>240</v>
      </c>
      <c r="BF315" s="5" t="s">
        <v>301</v>
      </c>
      <c r="BG315" s="6" t="s">
        <v>299</v>
      </c>
      <c r="BH315" s="5" t="s">
        <v>302</v>
      </c>
      <c r="BI315" s="5" t="s">
        <v>303</v>
      </c>
      <c r="BJ315" s="5" t="s">
        <v>240</v>
      </c>
      <c r="BK315" s="8">
        <f>0</f>
        <v>0</v>
      </c>
      <c r="BL315" s="7">
        <f>0</f>
        <v>0</v>
      </c>
      <c r="BM315" s="5" t="s">
        <v>258</v>
      </c>
      <c r="BN315" s="5" t="s">
        <v>259</v>
      </c>
      <c r="CB315" s="5" t="s">
        <v>240</v>
      </c>
      <c r="CC315" s="5" t="s">
        <v>240</v>
      </c>
      <c r="CG315" s="5" t="s">
        <v>617</v>
      </c>
      <c r="CH315" s="5" t="s">
        <v>305</v>
      </c>
      <c r="CI315" s="5" t="s">
        <v>240</v>
      </c>
      <c r="CL315" s="6" t="s">
        <v>261</v>
      </c>
      <c r="CM315" s="5" t="s">
        <v>240</v>
      </c>
      <c r="CN315" s="5" t="s">
        <v>263</v>
      </c>
      <c r="CO315" s="5" t="s">
        <v>240</v>
      </c>
      <c r="CP315" s="5" t="s">
        <v>240</v>
      </c>
      <c r="CQ315" s="5">
        <v>0</v>
      </c>
      <c r="CR315" s="5" t="s">
        <v>306</v>
      </c>
      <c r="CS315" s="5" t="s">
        <v>307</v>
      </c>
      <c r="CT315" s="5" t="s">
        <v>307</v>
      </c>
      <c r="CU315" s="5" t="s">
        <v>260</v>
      </c>
      <c r="CX315" s="7">
        <f>68068</f>
        <v>68068</v>
      </c>
      <c r="CY315" s="7">
        <f>0</f>
        <v>0</v>
      </c>
      <c r="DA315" s="7">
        <f>0</f>
        <v>0</v>
      </c>
      <c r="DC315" s="5" t="s">
        <v>450</v>
      </c>
      <c r="DD315" s="5" t="s">
        <v>240</v>
      </c>
      <c r="DF315" s="5" t="s">
        <v>450</v>
      </c>
      <c r="DG315" s="7">
        <f>0</f>
        <v>0</v>
      </c>
      <c r="DI315" s="5" t="s">
        <v>737</v>
      </c>
      <c r="DJ315" s="5" t="s">
        <v>240</v>
      </c>
      <c r="DK315" s="5" t="s">
        <v>240</v>
      </c>
      <c r="DL315" s="5" t="s">
        <v>240</v>
      </c>
      <c r="DP315" s="5" t="s">
        <v>240</v>
      </c>
      <c r="DQ315" s="5" t="s">
        <v>240</v>
      </c>
      <c r="DR315" s="5" t="s">
        <v>240</v>
      </c>
      <c r="DS315" s="5" t="s">
        <v>240</v>
      </c>
      <c r="DV315" s="5" t="s">
        <v>957</v>
      </c>
      <c r="DW315" s="5" t="s">
        <v>512</v>
      </c>
      <c r="HO315" s="5" t="s">
        <v>312</v>
      </c>
    </row>
    <row r="316" spans="1:240" x14ac:dyDescent="0.4">
      <c r="A316" s="5">
        <v>1050</v>
      </c>
      <c r="B316" s="5">
        <v>1</v>
      </c>
      <c r="C316" s="5">
        <v>1</v>
      </c>
      <c r="D316" s="5" t="s">
        <v>829</v>
      </c>
      <c r="E316" s="5" t="s">
        <v>1325</v>
      </c>
      <c r="F316" s="5" t="s">
        <v>254</v>
      </c>
      <c r="G316" s="5" t="s">
        <v>240</v>
      </c>
      <c r="H316" s="6" t="s">
        <v>6601</v>
      </c>
      <c r="I316" s="5" t="s">
        <v>6584</v>
      </c>
      <c r="J316" s="8">
        <f>11453</f>
        <v>11453</v>
      </c>
      <c r="K316" s="5" t="s">
        <v>308</v>
      </c>
      <c r="L316" s="7">
        <f>25368395</f>
        <v>25368395</v>
      </c>
      <c r="M316" s="7">
        <f>25368395</f>
        <v>25368395</v>
      </c>
      <c r="N316" s="5" t="s">
        <v>242</v>
      </c>
      <c r="O316" s="5">
        <v>1</v>
      </c>
      <c r="P316" s="5" t="s">
        <v>294</v>
      </c>
      <c r="Q316" s="5" t="s">
        <v>613</v>
      </c>
      <c r="R316" s="5" t="s">
        <v>240</v>
      </c>
      <c r="S316" s="5" t="s">
        <v>240</v>
      </c>
      <c r="T316" s="5" t="s">
        <v>243</v>
      </c>
      <c r="U316" s="5" t="s">
        <v>724</v>
      </c>
      <c r="V316" s="5" t="s">
        <v>240</v>
      </c>
      <c r="W316" s="5" t="s">
        <v>240</v>
      </c>
      <c r="X316" s="5" t="s">
        <v>240</v>
      </c>
      <c r="Y316" s="5" t="s">
        <v>240</v>
      </c>
      <c r="Z316" s="6" t="s">
        <v>298</v>
      </c>
      <c r="AA316" s="6" t="s">
        <v>240</v>
      </c>
      <c r="AB316" s="6" t="s">
        <v>240</v>
      </c>
      <c r="AC316" s="5" t="s">
        <v>240</v>
      </c>
      <c r="AD316" s="6" t="s">
        <v>240</v>
      </c>
      <c r="AE316" s="6" t="s">
        <v>299</v>
      </c>
      <c r="AF316" s="5" t="s">
        <v>727</v>
      </c>
      <c r="AG316" s="5" t="s">
        <v>260</v>
      </c>
      <c r="AH316" s="5" t="s">
        <v>240</v>
      </c>
      <c r="AI316" s="5" t="s">
        <v>240</v>
      </c>
      <c r="AJ316" s="5" t="s">
        <v>240</v>
      </c>
      <c r="AK316" s="5" t="s">
        <v>240</v>
      </c>
      <c r="AL316" s="5" t="s">
        <v>240</v>
      </c>
      <c r="AM316" s="5" t="s">
        <v>240</v>
      </c>
      <c r="AN316" s="5" t="s">
        <v>240</v>
      </c>
      <c r="AO316" s="5" t="s">
        <v>240</v>
      </c>
      <c r="AP316" s="6" t="s">
        <v>240</v>
      </c>
      <c r="AQ316" s="6" t="s">
        <v>240</v>
      </c>
      <c r="AR316" s="6" t="s">
        <v>240</v>
      </c>
      <c r="AS316" s="6" t="s">
        <v>240</v>
      </c>
      <c r="AT316" s="5" t="s">
        <v>240</v>
      </c>
      <c r="AU316" s="5" t="s">
        <v>729</v>
      </c>
      <c r="AV316" s="5" t="s">
        <v>729</v>
      </c>
      <c r="AW316" s="5" t="s">
        <v>251</v>
      </c>
      <c r="AX316" s="5" t="s">
        <v>252</v>
      </c>
      <c r="AY316" s="5" t="s">
        <v>253</v>
      </c>
      <c r="AZ316" s="5" t="s">
        <v>240</v>
      </c>
      <c r="BA316" s="5" t="s">
        <v>255</v>
      </c>
      <c r="BB316" s="5" t="s">
        <v>731</v>
      </c>
      <c r="BD316" s="5" t="s">
        <v>240</v>
      </c>
      <c r="BF316" s="5" t="s">
        <v>732</v>
      </c>
      <c r="BG316" s="6" t="s">
        <v>733</v>
      </c>
      <c r="BH316" s="5" t="s">
        <v>734</v>
      </c>
      <c r="BI316" s="5" t="s">
        <v>734</v>
      </c>
      <c r="BJ316" s="5" t="s">
        <v>240</v>
      </c>
      <c r="BK316" s="8">
        <f>4794.2</f>
        <v>4794.2</v>
      </c>
      <c r="BL316" s="7">
        <f>0</f>
        <v>0</v>
      </c>
      <c r="BM316" s="5" t="s">
        <v>258</v>
      </c>
      <c r="BN316" s="5" t="s">
        <v>259</v>
      </c>
      <c r="BO316" s="5" t="s">
        <v>240</v>
      </c>
      <c r="BP316" s="5" t="s">
        <v>240</v>
      </c>
      <c r="BQ316" s="5" t="s">
        <v>240</v>
      </c>
      <c r="BR316" s="5" t="s">
        <v>240</v>
      </c>
      <c r="BS316" s="5" t="s">
        <v>240</v>
      </c>
      <c r="BT316" s="5" t="s">
        <v>240</v>
      </c>
      <c r="BU316" s="5" t="s">
        <v>240</v>
      </c>
      <c r="BV316" s="5" t="s">
        <v>240</v>
      </c>
      <c r="BW316" s="6" t="s">
        <v>240</v>
      </c>
      <c r="BX316" s="5" t="s">
        <v>240</v>
      </c>
      <c r="BY316" s="5" t="s">
        <v>240</v>
      </c>
      <c r="BZ316" s="5" t="s">
        <v>240</v>
      </c>
      <c r="CA316" s="5" t="s">
        <v>259</v>
      </c>
      <c r="CB316" s="5" t="s">
        <v>240</v>
      </c>
      <c r="CC316" s="5" t="s">
        <v>240</v>
      </c>
      <c r="CD316" s="5" t="s">
        <v>240</v>
      </c>
      <c r="CE316" s="5" t="s">
        <v>240</v>
      </c>
      <c r="CF316" s="5" t="s">
        <v>240</v>
      </c>
      <c r="CG316" s="5" t="s">
        <v>617</v>
      </c>
      <c r="CH316" s="5" t="s">
        <v>305</v>
      </c>
      <c r="CI316" s="5" t="s">
        <v>240</v>
      </c>
      <c r="CL316" s="6" t="s">
        <v>261</v>
      </c>
      <c r="CM316" s="5" t="s">
        <v>262</v>
      </c>
      <c r="CN316" s="5" t="s">
        <v>263</v>
      </c>
      <c r="CO316" s="5" t="s">
        <v>264</v>
      </c>
      <c r="CP316" s="5" t="s">
        <v>240</v>
      </c>
      <c r="CQ316" s="5">
        <v>0</v>
      </c>
      <c r="CR316" s="5" t="s">
        <v>735</v>
      </c>
      <c r="CS316" s="5" t="s">
        <v>307</v>
      </c>
      <c r="CT316" s="5" t="s">
        <v>307</v>
      </c>
      <c r="CU316" s="5" t="s">
        <v>260</v>
      </c>
      <c r="CV316" s="5" t="s">
        <v>240</v>
      </c>
      <c r="CW316" s="8">
        <f>0</f>
        <v>0</v>
      </c>
      <c r="CX316" s="7">
        <f>0</f>
        <v>0</v>
      </c>
      <c r="CY316" s="7">
        <f>0</f>
        <v>0</v>
      </c>
      <c r="DA316" s="7">
        <f>52736</f>
        <v>52736</v>
      </c>
      <c r="DB316" s="7" t="s">
        <v>240</v>
      </c>
      <c r="DC316" s="5" t="s">
        <v>240</v>
      </c>
      <c r="DD316" s="5" t="s">
        <v>240</v>
      </c>
      <c r="DE316" s="5" t="s">
        <v>240</v>
      </c>
      <c r="DF316" s="5" t="s">
        <v>450</v>
      </c>
      <c r="DG316" s="7">
        <f>0</f>
        <v>0</v>
      </c>
      <c r="DI316" s="5" t="s">
        <v>737</v>
      </c>
      <c r="DJ316" s="5" t="s">
        <v>240</v>
      </c>
      <c r="DK316" s="5" t="s">
        <v>240</v>
      </c>
      <c r="DL316" s="5" t="s">
        <v>240</v>
      </c>
      <c r="DM316" s="5" t="s">
        <v>240</v>
      </c>
      <c r="DN316" s="5" t="s">
        <v>240</v>
      </c>
      <c r="DO316" s="7" t="s">
        <v>240</v>
      </c>
      <c r="DP316" s="5" t="s">
        <v>240</v>
      </c>
      <c r="DQ316" s="5" t="s">
        <v>240</v>
      </c>
      <c r="DR316" s="5" t="s">
        <v>731</v>
      </c>
      <c r="DS316" s="5" t="s">
        <v>731</v>
      </c>
      <c r="DT316" s="5" t="s">
        <v>240</v>
      </c>
      <c r="DU316" s="5" t="s">
        <v>240</v>
      </c>
      <c r="DV316" s="5" t="s">
        <v>738</v>
      </c>
      <c r="DW316" s="5" t="s">
        <v>600</v>
      </c>
      <c r="DX316" s="5" t="s">
        <v>240</v>
      </c>
      <c r="DY316" s="5" t="s">
        <v>240</v>
      </c>
      <c r="DZ316" s="5" t="s">
        <v>240</v>
      </c>
      <c r="EA316" s="5" t="s">
        <v>240</v>
      </c>
      <c r="EB316" s="5" t="s">
        <v>240</v>
      </c>
      <c r="EC316" s="5" t="s">
        <v>240</v>
      </c>
      <c r="ED316" s="5" t="s">
        <v>240</v>
      </c>
      <c r="EE316" s="5" t="s">
        <v>240</v>
      </c>
      <c r="EF316" s="5" t="s">
        <v>240</v>
      </c>
      <c r="EG316" s="5" t="s">
        <v>240</v>
      </c>
      <c r="EH316" s="5" t="s">
        <v>240</v>
      </c>
      <c r="EI316" s="5" t="s">
        <v>240</v>
      </c>
      <c r="EJ316" s="5" t="s">
        <v>240</v>
      </c>
      <c r="EK316" s="5" t="s">
        <v>240</v>
      </c>
      <c r="EL316" s="5" t="s">
        <v>240</v>
      </c>
      <c r="EM316" s="5" t="s">
        <v>240</v>
      </c>
      <c r="EN316" s="5" t="s">
        <v>240</v>
      </c>
      <c r="EO316" s="5" t="s">
        <v>240</v>
      </c>
      <c r="EP316" s="5" t="s">
        <v>240</v>
      </c>
      <c r="EQ316" s="5" t="s">
        <v>240</v>
      </c>
      <c r="ER316" s="5" t="s">
        <v>240</v>
      </c>
      <c r="ES316" s="5" t="s">
        <v>240</v>
      </c>
      <c r="ET316" s="5" t="s">
        <v>240</v>
      </c>
      <c r="EU316" s="5" t="s">
        <v>240</v>
      </c>
      <c r="EV316" s="5" t="s">
        <v>240</v>
      </c>
      <c r="EW316" s="5" t="s">
        <v>240</v>
      </c>
      <c r="EX316" s="5" t="s">
        <v>240</v>
      </c>
      <c r="EY316" s="5" t="s">
        <v>240</v>
      </c>
      <c r="EZ316" s="5" t="s">
        <v>240</v>
      </c>
      <c r="FA316" s="5" t="s">
        <v>240</v>
      </c>
      <c r="FB316" s="5" t="s">
        <v>240</v>
      </c>
      <c r="FC316" s="5" t="s">
        <v>240</v>
      </c>
      <c r="FD316" s="5" t="s">
        <v>240</v>
      </c>
      <c r="FE316" s="5" t="s">
        <v>240</v>
      </c>
      <c r="FF316" s="5" t="s">
        <v>240</v>
      </c>
      <c r="FG316" s="5" t="s">
        <v>240</v>
      </c>
      <c r="FH316" s="5" t="s">
        <v>240</v>
      </c>
      <c r="FI316" s="5" t="s">
        <v>240</v>
      </c>
      <c r="FJ316" s="5" t="s">
        <v>240</v>
      </c>
      <c r="FK316" s="5" t="s">
        <v>240</v>
      </c>
      <c r="FL316" s="5" t="s">
        <v>240</v>
      </c>
      <c r="FM316" s="5" t="s">
        <v>240</v>
      </c>
      <c r="FN316" s="5" t="s">
        <v>240</v>
      </c>
      <c r="FO316" s="5" t="s">
        <v>240</v>
      </c>
      <c r="FP316" s="5" t="s">
        <v>240</v>
      </c>
      <c r="FQ316" s="5" t="s">
        <v>240</v>
      </c>
      <c r="FR316" s="5" t="s">
        <v>240</v>
      </c>
      <c r="FS316" s="5" t="s">
        <v>240</v>
      </c>
      <c r="FT316" s="5" t="s">
        <v>240</v>
      </c>
      <c r="FU316" s="5" t="s">
        <v>240</v>
      </c>
      <c r="FV316" s="5" t="s">
        <v>240</v>
      </c>
      <c r="FW316" s="5" t="s">
        <v>240</v>
      </c>
      <c r="FX316" s="5" t="s">
        <v>240</v>
      </c>
      <c r="FY316" s="5" t="s">
        <v>240</v>
      </c>
      <c r="FZ316" s="5" t="s">
        <v>240</v>
      </c>
      <c r="GA316" s="5" t="s">
        <v>240</v>
      </c>
      <c r="GB316" s="5" t="s">
        <v>240</v>
      </c>
      <c r="GC316" s="5" t="s">
        <v>240</v>
      </c>
      <c r="GD316" s="5" t="s">
        <v>240</v>
      </c>
      <c r="GE316" s="5" t="s">
        <v>240</v>
      </c>
      <c r="GF316" s="5" t="s">
        <v>240</v>
      </c>
      <c r="GG316" s="5" t="s">
        <v>240</v>
      </c>
      <c r="GH316" s="5" t="s">
        <v>240</v>
      </c>
      <c r="GI316" s="5" t="s">
        <v>240</v>
      </c>
      <c r="GJ316" s="5" t="s">
        <v>240</v>
      </c>
      <c r="GK316" s="5" t="s">
        <v>240</v>
      </c>
      <c r="GL316" s="5" t="s">
        <v>240</v>
      </c>
      <c r="GM316" s="5" t="s">
        <v>240</v>
      </c>
      <c r="GN316" s="5" t="s">
        <v>240</v>
      </c>
      <c r="GO316" s="5" t="s">
        <v>240</v>
      </c>
      <c r="GP316" s="5" t="s">
        <v>240</v>
      </c>
      <c r="GQ316" s="5" t="s">
        <v>240</v>
      </c>
      <c r="GR316" s="5" t="s">
        <v>240</v>
      </c>
      <c r="GS316" s="5" t="s">
        <v>240</v>
      </c>
      <c r="GT316" s="5" t="s">
        <v>240</v>
      </c>
      <c r="GU316" s="5" t="s">
        <v>240</v>
      </c>
      <c r="GV316" s="5" t="s">
        <v>240</v>
      </c>
      <c r="GW316" s="5" t="s">
        <v>240</v>
      </c>
      <c r="GX316" s="5" t="s">
        <v>240</v>
      </c>
      <c r="GY316" s="5" t="s">
        <v>240</v>
      </c>
      <c r="GZ316" s="5" t="s">
        <v>240</v>
      </c>
      <c r="HA316" s="5" t="s">
        <v>240</v>
      </c>
      <c r="HB316" s="5" t="s">
        <v>240</v>
      </c>
      <c r="HC316" s="5" t="s">
        <v>240</v>
      </c>
      <c r="HD316" s="5" t="s">
        <v>240</v>
      </c>
      <c r="HE316" s="5" t="s">
        <v>240</v>
      </c>
      <c r="HF316" s="5" t="s">
        <v>240</v>
      </c>
      <c r="HG316" s="5" t="s">
        <v>240</v>
      </c>
      <c r="HH316" s="5" t="s">
        <v>240</v>
      </c>
      <c r="HI316" s="5" t="s">
        <v>240</v>
      </c>
      <c r="HJ316" s="5" t="s">
        <v>240</v>
      </c>
      <c r="HK316" s="5" t="s">
        <v>240</v>
      </c>
      <c r="HL316" s="5" t="s">
        <v>240</v>
      </c>
      <c r="HM316" s="5" t="s">
        <v>240</v>
      </c>
      <c r="HN316" s="5" t="s">
        <v>240</v>
      </c>
      <c r="HO316" s="5" t="s">
        <v>620</v>
      </c>
      <c r="HP316" s="5" t="s">
        <v>240</v>
      </c>
      <c r="HQ316" s="5" t="s">
        <v>240</v>
      </c>
      <c r="HR316" s="5" t="s">
        <v>240</v>
      </c>
      <c r="HS316" s="5" t="s">
        <v>240</v>
      </c>
      <c r="HT316" s="5" t="s">
        <v>240</v>
      </c>
      <c r="HU316" s="5" t="s">
        <v>240</v>
      </c>
      <c r="HV316" s="5" t="s">
        <v>240</v>
      </c>
      <c r="HW316" s="5" t="s">
        <v>240</v>
      </c>
      <c r="HX316" s="5" t="s">
        <v>240</v>
      </c>
      <c r="HY316" s="5" t="s">
        <v>240</v>
      </c>
      <c r="HZ316" s="5" t="s">
        <v>240</v>
      </c>
      <c r="IA316" s="5" t="s">
        <v>240</v>
      </c>
      <c r="IB316" s="5" t="s">
        <v>240</v>
      </c>
      <c r="IC316" s="5" t="s">
        <v>240</v>
      </c>
      <c r="ID316" s="5" t="s">
        <v>240</v>
      </c>
      <c r="IE316" s="5" t="s">
        <v>240</v>
      </c>
      <c r="IF316" s="5" t="s">
        <v>240</v>
      </c>
    </row>
    <row r="317" spans="1:240" x14ac:dyDescent="0.4">
      <c r="A317" s="5">
        <v>1051</v>
      </c>
      <c r="B317" s="5">
        <v>1</v>
      </c>
      <c r="C317" s="5">
        <v>1</v>
      </c>
      <c r="D317" s="5" t="s">
        <v>829</v>
      </c>
      <c r="E317" s="5" t="s">
        <v>1325</v>
      </c>
      <c r="F317" s="5" t="s">
        <v>254</v>
      </c>
      <c r="G317" s="5" t="s">
        <v>240</v>
      </c>
      <c r="H317" s="6" t="s">
        <v>6594</v>
      </c>
      <c r="I317" s="5" t="s">
        <v>6584</v>
      </c>
      <c r="J317" s="8">
        <f>108</f>
        <v>108</v>
      </c>
      <c r="K317" s="5" t="s">
        <v>308</v>
      </c>
      <c r="L317" s="7">
        <f>52920</f>
        <v>52920</v>
      </c>
      <c r="M317" s="7">
        <f>52920</f>
        <v>52920</v>
      </c>
      <c r="N317" s="5" t="s">
        <v>242</v>
      </c>
      <c r="O317" s="5">
        <v>1</v>
      </c>
      <c r="P317" s="5" t="s">
        <v>294</v>
      </c>
      <c r="Q317" s="5" t="s">
        <v>613</v>
      </c>
      <c r="R317" s="5" t="s">
        <v>240</v>
      </c>
      <c r="S317" s="5" t="s">
        <v>240</v>
      </c>
      <c r="T317" s="5" t="s">
        <v>243</v>
      </c>
      <c r="U317" s="5" t="s">
        <v>724</v>
      </c>
      <c r="V317" s="5" t="s">
        <v>240</v>
      </c>
      <c r="Y317" s="5" t="s">
        <v>240</v>
      </c>
      <c r="Z317" s="6" t="s">
        <v>298</v>
      </c>
      <c r="AB317" s="6" t="s">
        <v>240</v>
      </c>
      <c r="AE317" s="6" t="s">
        <v>299</v>
      </c>
      <c r="AF317" s="5" t="s">
        <v>248</v>
      </c>
      <c r="AG317" s="5" t="s">
        <v>249</v>
      </c>
      <c r="AW317" s="5" t="s">
        <v>251</v>
      </c>
      <c r="AX317" s="5" t="s">
        <v>240</v>
      </c>
      <c r="AY317" s="5" t="s">
        <v>253</v>
      </c>
      <c r="AZ317" s="5" t="s">
        <v>240</v>
      </c>
      <c r="BA317" s="5" t="s">
        <v>255</v>
      </c>
      <c r="BB317" s="5" t="s">
        <v>240</v>
      </c>
      <c r="BD317" s="5" t="s">
        <v>240</v>
      </c>
      <c r="BF317" s="5" t="s">
        <v>301</v>
      </c>
      <c r="BG317" s="6" t="s">
        <v>299</v>
      </c>
      <c r="BH317" s="5" t="s">
        <v>302</v>
      </c>
      <c r="BI317" s="5" t="s">
        <v>303</v>
      </c>
      <c r="BJ317" s="5" t="s">
        <v>240</v>
      </c>
      <c r="BK317" s="8">
        <f>0</f>
        <v>0</v>
      </c>
      <c r="BL317" s="7">
        <f>0</f>
        <v>0</v>
      </c>
      <c r="BM317" s="5" t="s">
        <v>258</v>
      </c>
      <c r="BN317" s="5" t="s">
        <v>259</v>
      </c>
      <c r="CB317" s="5" t="s">
        <v>240</v>
      </c>
      <c r="CC317" s="5" t="s">
        <v>240</v>
      </c>
      <c r="CG317" s="5" t="s">
        <v>617</v>
      </c>
      <c r="CH317" s="5" t="s">
        <v>305</v>
      </c>
      <c r="CI317" s="5" t="s">
        <v>240</v>
      </c>
      <c r="CL317" s="6" t="s">
        <v>261</v>
      </c>
      <c r="CM317" s="5" t="s">
        <v>240</v>
      </c>
      <c r="CN317" s="5" t="s">
        <v>263</v>
      </c>
      <c r="CO317" s="5" t="s">
        <v>240</v>
      </c>
      <c r="CP317" s="5" t="s">
        <v>240</v>
      </c>
      <c r="CQ317" s="5">
        <v>0</v>
      </c>
      <c r="CR317" s="5" t="s">
        <v>306</v>
      </c>
      <c r="CS317" s="5" t="s">
        <v>307</v>
      </c>
      <c r="CT317" s="5" t="s">
        <v>307</v>
      </c>
      <c r="CU317" s="5" t="s">
        <v>260</v>
      </c>
      <c r="CX317" s="7">
        <f>3080</f>
        <v>3080</v>
      </c>
      <c r="CY317" s="7">
        <f>0</f>
        <v>0</v>
      </c>
      <c r="DA317" s="7">
        <f>0</f>
        <v>0</v>
      </c>
      <c r="DC317" s="5" t="s">
        <v>854</v>
      </c>
      <c r="DD317" s="5" t="s">
        <v>240</v>
      </c>
      <c r="DF317" s="5" t="s">
        <v>450</v>
      </c>
      <c r="DG317" s="7">
        <f>0</f>
        <v>0</v>
      </c>
      <c r="DI317" s="5" t="s">
        <v>737</v>
      </c>
      <c r="DJ317" s="5" t="s">
        <v>240</v>
      </c>
      <c r="DK317" s="5" t="s">
        <v>240</v>
      </c>
      <c r="DL317" s="5" t="s">
        <v>240</v>
      </c>
      <c r="DP317" s="5" t="s">
        <v>240</v>
      </c>
      <c r="DQ317" s="5" t="s">
        <v>240</v>
      </c>
      <c r="DR317" s="5" t="s">
        <v>240</v>
      </c>
      <c r="DS317" s="5" t="s">
        <v>240</v>
      </c>
      <c r="DV317" s="5" t="s">
        <v>957</v>
      </c>
      <c r="DW317" s="5" t="s">
        <v>516</v>
      </c>
      <c r="HO317" s="5" t="s">
        <v>312</v>
      </c>
    </row>
    <row r="318" spans="1:240" x14ac:dyDescent="0.4">
      <c r="A318" s="5">
        <v>1052</v>
      </c>
      <c r="B318" s="5">
        <v>1</v>
      </c>
      <c r="C318" s="5">
        <v>1</v>
      </c>
      <c r="D318" s="5" t="s">
        <v>829</v>
      </c>
      <c r="E318" s="5" t="s">
        <v>1325</v>
      </c>
      <c r="F318" s="5" t="s">
        <v>254</v>
      </c>
      <c r="G318" s="5" t="s">
        <v>240</v>
      </c>
      <c r="H318" s="6" t="s">
        <v>6590</v>
      </c>
      <c r="I318" s="5" t="s">
        <v>6584</v>
      </c>
      <c r="J318" s="8">
        <f>115</f>
        <v>115</v>
      </c>
      <c r="K318" s="5" t="s">
        <v>308</v>
      </c>
      <c r="L318" s="7">
        <f>56350</f>
        <v>56350</v>
      </c>
      <c r="M318" s="7">
        <f>56350</f>
        <v>56350</v>
      </c>
      <c r="N318" s="5" t="s">
        <v>242</v>
      </c>
      <c r="O318" s="5">
        <v>1</v>
      </c>
      <c r="P318" s="5" t="s">
        <v>294</v>
      </c>
      <c r="Q318" s="5" t="s">
        <v>613</v>
      </c>
      <c r="R318" s="5" t="s">
        <v>240</v>
      </c>
      <c r="S318" s="5" t="s">
        <v>240</v>
      </c>
      <c r="T318" s="5" t="s">
        <v>243</v>
      </c>
      <c r="U318" s="5" t="s">
        <v>724</v>
      </c>
      <c r="V318" s="5" t="s">
        <v>240</v>
      </c>
      <c r="Y318" s="5" t="s">
        <v>240</v>
      </c>
      <c r="Z318" s="6" t="s">
        <v>298</v>
      </c>
      <c r="AB318" s="6" t="s">
        <v>240</v>
      </c>
      <c r="AE318" s="6" t="s">
        <v>299</v>
      </c>
      <c r="AF318" s="5" t="s">
        <v>248</v>
      </c>
      <c r="AG318" s="5" t="s">
        <v>249</v>
      </c>
      <c r="AW318" s="5" t="s">
        <v>251</v>
      </c>
      <c r="AX318" s="5" t="s">
        <v>240</v>
      </c>
      <c r="AY318" s="5" t="s">
        <v>253</v>
      </c>
      <c r="AZ318" s="5" t="s">
        <v>240</v>
      </c>
      <c r="BA318" s="5" t="s">
        <v>255</v>
      </c>
      <c r="BB318" s="5" t="s">
        <v>240</v>
      </c>
      <c r="BD318" s="5" t="s">
        <v>240</v>
      </c>
      <c r="BF318" s="5" t="s">
        <v>301</v>
      </c>
      <c r="BG318" s="6" t="s">
        <v>299</v>
      </c>
      <c r="BH318" s="5" t="s">
        <v>302</v>
      </c>
      <c r="BI318" s="5" t="s">
        <v>303</v>
      </c>
      <c r="BJ318" s="5" t="s">
        <v>240</v>
      </c>
      <c r="BK318" s="8">
        <f>0</f>
        <v>0</v>
      </c>
      <c r="BL318" s="7">
        <f>0</f>
        <v>0</v>
      </c>
      <c r="BM318" s="5" t="s">
        <v>258</v>
      </c>
      <c r="BN318" s="5" t="s">
        <v>259</v>
      </c>
      <c r="CB318" s="5" t="s">
        <v>240</v>
      </c>
      <c r="CC318" s="5" t="s">
        <v>240</v>
      </c>
      <c r="CG318" s="5" t="s">
        <v>617</v>
      </c>
      <c r="CH318" s="5" t="s">
        <v>305</v>
      </c>
      <c r="CI318" s="5" t="s">
        <v>240</v>
      </c>
      <c r="CL318" s="6" t="s">
        <v>261</v>
      </c>
      <c r="CM318" s="5" t="s">
        <v>240</v>
      </c>
      <c r="CN318" s="5" t="s">
        <v>263</v>
      </c>
      <c r="CO318" s="5" t="s">
        <v>240</v>
      </c>
      <c r="CP318" s="5" t="s">
        <v>240</v>
      </c>
      <c r="CQ318" s="5">
        <v>0</v>
      </c>
      <c r="CR318" s="5" t="s">
        <v>306</v>
      </c>
      <c r="CS318" s="5" t="s">
        <v>307</v>
      </c>
      <c r="CT318" s="5" t="s">
        <v>307</v>
      </c>
      <c r="CU318" s="5" t="s">
        <v>260</v>
      </c>
      <c r="CX318" s="7">
        <f>65175</f>
        <v>65175</v>
      </c>
      <c r="CY318" s="7">
        <f>0</f>
        <v>0</v>
      </c>
      <c r="DA318" s="7">
        <f>0</f>
        <v>0</v>
      </c>
      <c r="DC318" s="5" t="s">
        <v>854</v>
      </c>
      <c r="DD318" s="5" t="s">
        <v>240</v>
      </c>
      <c r="DF318" s="5" t="s">
        <v>450</v>
      </c>
      <c r="DG318" s="7">
        <f>0</f>
        <v>0</v>
      </c>
      <c r="DI318" s="5" t="s">
        <v>737</v>
      </c>
      <c r="DJ318" s="5" t="s">
        <v>240</v>
      </c>
      <c r="DK318" s="5" t="s">
        <v>240</v>
      </c>
      <c r="DL318" s="5" t="s">
        <v>240</v>
      </c>
      <c r="DP318" s="5" t="s">
        <v>240</v>
      </c>
      <c r="DQ318" s="5" t="s">
        <v>240</v>
      </c>
      <c r="DR318" s="5" t="s">
        <v>240</v>
      </c>
      <c r="DS318" s="5" t="s">
        <v>240</v>
      </c>
      <c r="DV318" s="5" t="s">
        <v>957</v>
      </c>
      <c r="DW318" s="5" t="s">
        <v>518</v>
      </c>
      <c r="HO318" s="5" t="s">
        <v>312</v>
      </c>
    </row>
    <row r="319" spans="1:240" x14ac:dyDescent="0.4">
      <c r="A319" s="5">
        <v>1053</v>
      </c>
      <c r="B319" s="5">
        <v>1</v>
      </c>
      <c r="C319" s="5">
        <v>1</v>
      </c>
      <c r="D319" s="5" t="s">
        <v>829</v>
      </c>
      <c r="E319" s="5" t="s">
        <v>1325</v>
      </c>
      <c r="F319" s="5" t="s">
        <v>254</v>
      </c>
      <c r="G319" s="5" t="s">
        <v>240</v>
      </c>
      <c r="H319" s="6" t="s">
        <v>6660</v>
      </c>
      <c r="I319" s="5" t="s">
        <v>6584</v>
      </c>
      <c r="J319" s="8">
        <f>275</f>
        <v>275</v>
      </c>
      <c r="K319" s="5" t="s">
        <v>308</v>
      </c>
      <c r="L319" s="7">
        <f>134750</f>
        <v>134750</v>
      </c>
      <c r="M319" s="7">
        <f>134750</f>
        <v>134750</v>
      </c>
      <c r="N319" s="5" t="s">
        <v>242</v>
      </c>
      <c r="O319" s="5">
        <v>1</v>
      </c>
      <c r="P319" s="5" t="s">
        <v>294</v>
      </c>
      <c r="Q319" s="5" t="s">
        <v>613</v>
      </c>
      <c r="R319" s="5" t="s">
        <v>240</v>
      </c>
      <c r="S319" s="5" t="s">
        <v>240</v>
      </c>
      <c r="T319" s="5" t="s">
        <v>243</v>
      </c>
      <c r="U319" s="5" t="s">
        <v>724</v>
      </c>
      <c r="V319" s="5" t="s">
        <v>240</v>
      </c>
      <c r="Y319" s="5" t="s">
        <v>240</v>
      </c>
      <c r="Z319" s="6" t="s">
        <v>298</v>
      </c>
      <c r="AB319" s="6" t="s">
        <v>240</v>
      </c>
      <c r="AE319" s="6" t="s">
        <v>299</v>
      </c>
      <c r="AF319" s="5" t="s">
        <v>248</v>
      </c>
      <c r="AG319" s="5" t="s">
        <v>249</v>
      </c>
      <c r="AW319" s="5" t="s">
        <v>251</v>
      </c>
      <c r="AX319" s="5" t="s">
        <v>240</v>
      </c>
      <c r="AY319" s="5" t="s">
        <v>253</v>
      </c>
      <c r="AZ319" s="5" t="s">
        <v>240</v>
      </c>
      <c r="BA319" s="5" t="s">
        <v>255</v>
      </c>
      <c r="BB319" s="5" t="s">
        <v>240</v>
      </c>
      <c r="BD319" s="5" t="s">
        <v>240</v>
      </c>
      <c r="BF319" s="5" t="s">
        <v>301</v>
      </c>
      <c r="BG319" s="6" t="s">
        <v>299</v>
      </c>
      <c r="BH319" s="5" t="s">
        <v>302</v>
      </c>
      <c r="BI319" s="5" t="s">
        <v>303</v>
      </c>
      <c r="BJ319" s="5" t="s">
        <v>240</v>
      </c>
      <c r="BK319" s="8">
        <f>0</f>
        <v>0</v>
      </c>
      <c r="BL319" s="7">
        <f>0</f>
        <v>0</v>
      </c>
      <c r="BM319" s="5" t="s">
        <v>258</v>
      </c>
      <c r="BN319" s="5" t="s">
        <v>259</v>
      </c>
      <c r="CB319" s="5" t="s">
        <v>240</v>
      </c>
      <c r="CC319" s="5" t="s">
        <v>240</v>
      </c>
      <c r="CG319" s="5" t="s">
        <v>617</v>
      </c>
      <c r="CH319" s="5" t="s">
        <v>305</v>
      </c>
      <c r="CI319" s="5" t="s">
        <v>240</v>
      </c>
      <c r="CL319" s="6" t="s">
        <v>261</v>
      </c>
      <c r="CM319" s="5" t="s">
        <v>240</v>
      </c>
      <c r="CN319" s="5" t="s">
        <v>263</v>
      </c>
      <c r="CO319" s="5" t="s">
        <v>240</v>
      </c>
      <c r="CP319" s="5" t="s">
        <v>240</v>
      </c>
      <c r="CQ319" s="5">
        <v>0</v>
      </c>
      <c r="CR319" s="5" t="s">
        <v>306</v>
      </c>
      <c r="CS319" s="5" t="s">
        <v>307</v>
      </c>
      <c r="CT319" s="5" t="s">
        <v>307</v>
      </c>
      <c r="CU319" s="5" t="s">
        <v>260</v>
      </c>
      <c r="CX319" s="7">
        <f>36718</f>
        <v>36718</v>
      </c>
      <c r="CY319" s="7">
        <f>0</f>
        <v>0</v>
      </c>
      <c r="DA319" s="7">
        <f>0</f>
        <v>0</v>
      </c>
      <c r="DC319" s="5" t="s">
        <v>854</v>
      </c>
      <c r="DD319" s="5" t="s">
        <v>240</v>
      </c>
      <c r="DF319" s="5" t="s">
        <v>450</v>
      </c>
      <c r="DG319" s="7">
        <f>0</f>
        <v>0</v>
      </c>
      <c r="DI319" s="5" t="s">
        <v>737</v>
      </c>
      <c r="DJ319" s="5" t="s">
        <v>240</v>
      </c>
      <c r="DK319" s="5" t="s">
        <v>240</v>
      </c>
      <c r="DL319" s="5" t="s">
        <v>240</v>
      </c>
      <c r="DP319" s="5" t="s">
        <v>240</v>
      </c>
      <c r="DQ319" s="5" t="s">
        <v>240</v>
      </c>
      <c r="DR319" s="5" t="s">
        <v>240</v>
      </c>
      <c r="DS319" s="5" t="s">
        <v>240</v>
      </c>
      <c r="DV319" s="5" t="s">
        <v>957</v>
      </c>
      <c r="DW319" s="5" t="s">
        <v>520</v>
      </c>
      <c r="HO319" s="5" t="s">
        <v>312</v>
      </c>
    </row>
    <row r="320" spans="1:240" x14ac:dyDescent="0.4">
      <c r="A320" s="5">
        <v>1054</v>
      </c>
      <c r="B320" s="5">
        <v>1</v>
      </c>
      <c r="C320" s="5">
        <v>1</v>
      </c>
      <c r="D320" s="5" t="s">
        <v>829</v>
      </c>
      <c r="E320" s="5" t="s">
        <v>1325</v>
      </c>
      <c r="F320" s="5" t="s">
        <v>254</v>
      </c>
      <c r="G320" s="5" t="s">
        <v>240</v>
      </c>
      <c r="H320" s="6" t="s">
        <v>6666</v>
      </c>
      <c r="I320" s="5" t="s">
        <v>6584</v>
      </c>
      <c r="J320" s="8">
        <f>5531</f>
        <v>5531</v>
      </c>
      <c r="K320" s="5" t="s">
        <v>308</v>
      </c>
      <c r="L320" s="7">
        <f>12251165</f>
        <v>12251165</v>
      </c>
      <c r="M320" s="7">
        <f>12251165</f>
        <v>12251165</v>
      </c>
      <c r="N320" s="5" t="s">
        <v>242</v>
      </c>
      <c r="O320" s="5">
        <v>1</v>
      </c>
      <c r="P320" s="5" t="s">
        <v>294</v>
      </c>
      <c r="Q320" s="5" t="s">
        <v>613</v>
      </c>
      <c r="R320" s="5" t="s">
        <v>240</v>
      </c>
      <c r="S320" s="5" t="s">
        <v>240</v>
      </c>
      <c r="T320" s="5" t="s">
        <v>243</v>
      </c>
      <c r="U320" s="5" t="s">
        <v>724</v>
      </c>
      <c r="V320" s="5" t="s">
        <v>240</v>
      </c>
      <c r="Y320" s="5" t="s">
        <v>240</v>
      </c>
      <c r="Z320" s="6" t="s">
        <v>298</v>
      </c>
      <c r="AB320" s="6" t="s">
        <v>240</v>
      </c>
      <c r="AE320" s="6" t="s">
        <v>299</v>
      </c>
      <c r="AF320" s="5" t="s">
        <v>248</v>
      </c>
      <c r="AG320" s="5" t="s">
        <v>249</v>
      </c>
      <c r="AW320" s="5" t="s">
        <v>251</v>
      </c>
      <c r="AX320" s="5" t="s">
        <v>240</v>
      </c>
      <c r="AY320" s="5" t="s">
        <v>253</v>
      </c>
      <c r="AZ320" s="5" t="s">
        <v>240</v>
      </c>
      <c r="BA320" s="5" t="s">
        <v>255</v>
      </c>
      <c r="BB320" s="5" t="s">
        <v>240</v>
      </c>
      <c r="BD320" s="5" t="s">
        <v>240</v>
      </c>
      <c r="BF320" s="5" t="s">
        <v>301</v>
      </c>
      <c r="BG320" s="6" t="s">
        <v>299</v>
      </c>
      <c r="BH320" s="5" t="s">
        <v>302</v>
      </c>
      <c r="BI320" s="5" t="s">
        <v>303</v>
      </c>
      <c r="BJ320" s="5" t="s">
        <v>240</v>
      </c>
      <c r="BK320" s="8">
        <f>0</f>
        <v>0</v>
      </c>
      <c r="BL320" s="7">
        <f>0</f>
        <v>0</v>
      </c>
      <c r="BM320" s="5" t="s">
        <v>258</v>
      </c>
      <c r="BN320" s="5" t="s">
        <v>259</v>
      </c>
      <c r="CB320" s="5" t="s">
        <v>240</v>
      </c>
      <c r="CC320" s="5" t="s">
        <v>240</v>
      </c>
      <c r="CG320" s="5" t="s">
        <v>617</v>
      </c>
      <c r="CH320" s="5" t="s">
        <v>305</v>
      </c>
      <c r="CI320" s="5" t="s">
        <v>240</v>
      </c>
      <c r="CL320" s="6" t="s">
        <v>261</v>
      </c>
      <c r="CM320" s="5" t="s">
        <v>240</v>
      </c>
      <c r="CN320" s="5" t="s">
        <v>263</v>
      </c>
      <c r="CO320" s="5" t="s">
        <v>240</v>
      </c>
      <c r="CP320" s="5" t="s">
        <v>240</v>
      </c>
      <c r="CQ320" s="5">
        <v>0</v>
      </c>
      <c r="CR320" s="5" t="s">
        <v>306</v>
      </c>
      <c r="CS320" s="5" t="s">
        <v>307</v>
      </c>
      <c r="CT320" s="5" t="s">
        <v>307</v>
      </c>
      <c r="CU320" s="5" t="s">
        <v>260</v>
      </c>
      <c r="CX320" s="7">
        <f>16071</f>
        <v>16071</v>
      </c>
      <c r="CY320" s="7">
        <f>0</f>
        <v>0</v>
      </c>
      <c r="DA320" s="7">
        <f>0</f>
        <v>0</v>
      </c>
      <c r="DC320" s="5" t="s">
        <v>854</v>
      </c>
      <c r="DD320" s="5" t="s">
        <v>240</v>
      </c>
      <c r="DF320" s="5" t="s">
        <v>450</v>
      </c>
      <c r="DG320" s="7">
        <f>0</f>
        <v>0</v>
      </c>
      <c r="DI320" s="5" t="s">
        <v>737</v>
      </c>
      <c r="DJ320" s="5" t="s">
        <v>240</v>
      </c>
      <c r="DK320" s="5" t="s">
        <v>240</v>
      </c>
      <c r="DL320" s="5" t="s">
        <v>240</v>
      </c>
      <c r="DP320" s="5" t="s">
        <v>240</v>
      </c>
      <c r="DQ320" s="5" t="s">
        <v>240</v>
      </c>
      <c r="DR320" s="5" t="s">
        <v>240</v>
      </c>
      <c r="DS320" s="5" t="s">
        <v>240</v>
      </c>
      <c r="DV320" s="5" t="s">
        <v>957</v>
      </c>
      <c r="DW320" s="5" t="s">
        <v>522</v>
      </c>
      <c r="HO320" s="5" t="s">
        <v>312</v>
      </c>
    </row>
    <row r="321" spans="1:223" x14ac:dyDescent="0.4">
      <c r="A321" s="5">
        <v>1055</v>
      </c>
      <c r="B321" s="5">
        <v>1</v>
      </c>
      <c r="C321" s="5">
        <v>1</v>
      </c>
      <c r="D321" s="5" t="s">
        <v>829</v>
      </c>
      <c r="E321" s="5" t="s">
        <v>1325</v>
      </c>
      <c r="F321" s="5" t="s">
        <v>254</v>
      </c>
      <c r="G321" s="5" t="s">
        <v>240</v>
      </c>
      <c r="H321" s="6" t="s">
        <v>6665</v>
      </c>
      <c r="I321" s="5" t="s">
        <v>6584</v>
      </c>
      <c r="J321" s="8">
        <f>115</f>
        <v>115</v>
      </c>
      <c r="K321" s="5" t="s">
        <v>308</v>
      </c>
      <c r="L321" s="7">
        <f>56350</f>
        <v>56350</v>
      </c>
      <c r="M321" s="7">
        <f>56350</f>
        <v>56350</v>
      </c>
      <c r="N321" s="5" t="s">
        <v>242</v>
      </c>
      <c r="O321" s="5">
        <v>1</v>
      </c>
      <c r="P321" s="5" t="s">
        <v>294</v>
      </c>
      <c r="Q321" s="5" t="s">
        <v>613</v>
      </c>
      <c r="R321" s="5" t="s">
        <v>240</v>
      </c>
      <c r="S321" s="5" t="s">
        <v>240</v>
      </c>
      <c r="T321" s="5" t="s">
        <v>243</v>
      </c>
      <c r="U321" s="5" t="s">
        <v>724</v>
      </c>
      <c r="V321" s="5" t="s">
        <v>240</v>
      </c>
      <c r="Y321" s="5" t="s">
        <v>240</v>
      </c>
      <c r="Z321" s="6" t="s">
        <v>298</v>
      </c>
      <c r="AB321" s="6" t="s">
        <v>240</v>
      </c>
      <c r="AE321" s="6" t="s">
        <v>299</v>
      </c>
      <c r="AF321" s="5" t="s">
        <v>248</v>
      </c>
      <c r="AG321" s="5" t="s">
        <v>249</v>
      </c>
      <c r="AW321" s="5" t="s">
        <v>251</v>
      </c>
      <c r="AX321" s="5" t="s">
        <v>240</v>
      </c>
      <c r="AY321" s="5" t="s">
        <v>253</v>
      </c>
      <c r="AZ321" s="5" t="s">
        <v>240</v>
      </c>
      <c r="BA321" s="5" t="s">
        <v>255</v>
      </c>
      <c r="BB321" s="5" t="s">
        <v>240</v>
      </c>
      <c r="BD321" s="5" t="s">
        <v>240</v>
      </c>
      <c r="BF321" s="5" t="s">
        <v>301</v>
      </c>
      <c r="BG321" s="6" t="s">
        <v>299</v>
      </c>
      <c r="BH321" s="5" t="s">
        <v>302</v>
      </c>
      <c r="BI321" s="5" t="s">
        <v>303</v>
      </c>
      <c r="BJ321" s="5" t="s">
        <v>240</v>
      </c>
      <c r="BK321" s="8">
        <f>0</f>
        <v>0</v>
      </c>
      <c r="BL321" s="7">
        <f>0</f>
        <v>0</v>
      </c>
      <c r="BM321" s="5" t="s">
        <v>258</v>
      </c>
      <c r="BN321" s="5" t="s">
        <v>259</v>
      </c>
      <c r="CB321" s="5" t="s">
        <v>240</v>
      </c>
      <c r="CC321" s="5" t="s">
        <v>240</v>
      </c>
      <c r="CG321" s="5" t="s">
        <v>617</v>
      </c>
      <c r="CH321" s="5" t="s">
        <v>305</v>
      </c>
      <c r="CI321" s="5" t="s">
        <v>240</v>
      </c>
      <c r="CL321" s="6" t="s">
        <v>261</v>
      </c>
      <c r="CM321" s="5" t="s">
        <v>240</v>
      </c>
      <c r="CN321" s="5" t="s">
        <v>263</v>
      </c>
      <c r="CO321" s="5" t="s">
        <v>240</v>
      </c>
      <c r="CP321" s="5" t="s">
        <v>240</v>
      </c>
      <c r="CQ321" s="5">
        <v>0</v>
      </c>
      <c r="CR321" s="5" t="s">
        <v>306</v>
      </c>
      <c r="CS321" s="5" t="s">
        <v>307</v>
      </c>
      <c r="CT321" s="5" t="s">
        <v>307</v>
      </c>
      <c r="CU321" s="5" t="s">
        <v>260</v>
      </c>
      <c r="CX321" s="7">
        <f>4279</f>
        <v>4279</v>
      </c>
      <c r="CY321" s="7">
        <f>0</f>
        <v>0</v>
      </c>
      <c r="DA321" s="7">
        <f>0</f>
        <v>0</v>
      </c>
      <c r="DC321" s="5" t="s">
        <v>854</v>
      </c>
      <c r="DD321" s="5" t="s">
        <v>240</v>
      </c>
      <c r="DF321" s="5" t="s">
        <v>450</v>
      </c>
      <c r="DG321" s="7">
        <f>0</f>
        <v>0</v>
      </c>
      <c r="DI321" s="5" t="s">
        <v>737</v>
      </c>
      <c r="DJ321" s="5" t="s">
        <v>240</v>
      </c>
      <c r="DK321" s="5" t="s">
        <v>240</v>
      </c>
      <c r="DL321" s="5" t="s">
        <v>240</v>
      </c>
      <c r="DP321" s="5" t="s">
        <v>240</v>
      </c>
      <c r="DQ321" s="5" t="s">
        <v>240</v>
      </c>
      <c r="DR321" s="5" t="s">
        <v>240</v>
      </c>
      <c r="DS321" s="5" t="s">
        <v>240</v>
      </c>
      <c r="DV321" s="5" t="s">
        <v>957</v>
      </c>
      <c r="DW321" s="5" t="s">
        <v>524</v>
      </c>
      <c r="HO321" s="5" t="s">
        <v>312</v>
      </c>
    </row>
    <row r="322" spans="1:223" x14ac:dyDescent="0.4">
      <c r="A322" s="5">
        <v>1056</v>
      </c>
      <c r="B322" s="5">
        <v>1</v>
      </c>
      <c r="C322" s="5">
        <v>1</v>
      </c>
      <c r="D322" s="5" t="s">
        <v>829</v>
      </c>
      <c r="E322" s="5" t="s">
        <v>1325</v>
      </c>
      <c r="F322" s="5" t="s">
        <v>254</v>
      </c>
      <c r="G322" s="5" t="s">
        <v>240</v>
      </c>
      <c r="H322" s="6" t="s">
        <v>6664</v>
      </c>
      <c r="I322" s="5" t="s">
        <v>6584</v>
      </c>
      <c r="J322" s="8">
        <f>23</f>
        <v>23</v>
      </c>
      <c r="K322" s="5" t="s">
        <v>308</v>
      </c>
      <c r="L322" s="7">
        <f>50945</f>
        <v>50945</v>
      </c>
      <c r="M322" s="7">
        <f>50945</f>
        <v>50945</v>
      </c>
      <c r="N322" s="5" t="s">
        <v>242</v>
      </c>
      <c r="O322" s="5">
        <v>1</v>
      </c>
      <c r="P322" s="5" t="s">
        <v>294</v>
      </c>
      <c r="Q322" s="5" t="s">
        <v>613</v>
      </c>
      <c r="R322" s="5" t="s">
        <v>240</v>
      </c>
      <c r="S322" s="5" t="s">
        <v>240</v>
      </c>
      <c r="T322" s="5" t="s">
        <v>243</v>
      </c>
      <c r="U322" s="5" t="s">
        <v>724</v>
      </c>
      <c r="V322" s="5" t="s">
        <v>240</v>
      </c>
      <c r="Y322" s="5" t="s">
        <v>240</v>
      </c>
      <c r="Z322" s="6" t="s">
        <v>298</v>
      </c>
      <c r="AB322" s="6" t="s">
        <v>240</v>
      </c>
      <c r="AE322" s="6" t="s">
        <v>299</v>
      </c>
      <c r="AF322" s="5" t="s">
        <v>248</v>
      </c>
      <c r="AG322" s="5" t="s">
        <v>249</v>
      </c>
      <c r="AW322" s="5" t="s">
        <v>251</v>
      </c>
      <c r="AX322" s="5" t="s">
        <v>240</v>
      </c>
      <c r="AY322" s="5" t="s">
        <v>253</v>
      </c>
      <c r="AZ322" s="5" t="s">
        <v>240</v>
      </c>
      <c r="BA322" s="5" t="s">
        <v>255</v>
      </c>
      <c r="BB322" s="5" t="s">
        <v>240</v>
      </c>
      <c r="BD322" s="5" t="s">
        <v>240</v>
      </c>
      <c r="BF322" s="5" t="s">
        <v>301</v>
      </c>
      <c r="BG322" s="6" t="s">
        <v>299</v>
      </c>
      <c r="BH322" s="5" t="s">
        <v>302</v>
      </c>
      <c r="BI322" s="5" t="s">
        <v>303</v>
      </c>
      <c r="BJ322" s="5" t="s">
        <v>240</v>
      </c>
      <c r="BK322" s="8">
        <f>0</f>
        <v>0</v>
      </c>
      <c r="BL322" s="7">
        <f>0</f>
        <v>0</v>
      </c>
      <c r="BM322" s="5" t="s">
        <v>258</v>
      </c>
      <c r="BN322" s="5" t="s">
        <v>259</v>
      </c>
      <c r="CB322" s="5" t="s">
        <v>240</v>
      </c>
      <c r="CC322" s="5" t="s">
        <v>240</v>
      </c>
      <c r="CG322" s="5" t="s">
        <v>617</v>
      </c>
      <c r="CH322" s="5" t="s">
        <v>305</v>
      </c>
      <c r="CI322" s="5" t="s">
        <v>240</v>
      </c>
      <c r="CL322" s="6" t="s">
        <v>261</v>
      </c>
      <c r="CM322" s="5" t="s">
        <v>240</v>
      </c>
      <c r="CN322" s="5" t="s">
        <v>263</v>
      </c>
      <c r="CO322" s="5" t="s">
        <v>240</v>
      </c>
      <c r="CP322" s="5" t="s">
        <v>240</v>
      </c>
      <c r="CQ322" s="5">
        <v>0</v>
      </c>
      <c r="CR322" s="5" t="s">
        <v>306</v>
      </c>
      <c r="CS322" s="5" t="s">
        <v>307</v>
      </c>
      <c r="CT322" s="5" t="s">
        <v>307</v>
      </c>
      <c r="CU322" s="5" t="s">
        <v>260</v>
      </c>
      <c r="CX322" s="7">
        <f>3707</f>
        <v>3707</v>
      </c>
      <c r="CY322" s="7">
        <f>0</f>
        <v>0</v>
      </c>
      <c r="DA322" s="7">
        <f>0</f>
        <v>0</v>
      </c>
      <c r="DC322" s="5" t="s">
        <v>854</v>
      </c>
      <c r="DD322" s="5" t="s">
        <v>240</v>
      </c>
      <c r="DF322" s="5" t="s">
        <v>450</v>
      </c>
      <c r="DG322" s="7">
        <f>0</f>
        <v>0</v>
      </c>
      <c r="DI322" s="5" t="s">
        <v>737</v>
      </c>
      <c r="DJ322" s="5" t="s">
        <v>240</v>
      </c>
      <c r="DK322" s="5" t="s">
        <v>240</v>
      </c>
      <c r="DL322" s="5" t="s">
        <v>240</v>
      </c>
      <c r="DP322" s="5" t="s">
        <v>240</v>
      </c>
      <c r="DQ322" s="5" t="s">
        <v>240</v>
      </c>
      <c r="DR322" s="5" t="s">
        <v>240</v>
      </c>
      <c r="DS322" s="5" t="s">
        <v>240</v>
      </c>
      <c r="DV322" s="5" t="s">
        <v>957</v>
      </c>
      <c r="DW322" s="5" t="s">
        <v>526</v>
      </c>
      <c r="HO322" s="5" t="s">
        <v>312</v>
      </c>
    </row>
    <row r="323" spans="1:223" x14ac:dyDescent="0.4">
      <c r="A323" s="5">
        <v>1057</v>
      </c>
      <c r="B323" s="5">
        <v>1</v>
      </c>
      <c r="C323" s="5">
        <v>1</v>
      </c>
      <c r="D323" s="5" t="s">
        <v>829</v>
      </c>
      <c r="E323" s="5" t="s">
        <v>1325</v>
      </c>
      <c r="F323" s="5" t="s">
        <v>254</v>
      </c>
      <c r="G323" s="5" t="s">
        <v>240</v>
      </c>
      <c r="H323" s="6" t="s">
        <v>6678</v>
      </c>
      <c r="I323" s="5" t="s">
        <v>6584</v>
      </c>
      <c r="J323" s="8">
        <f>3785</f>
        <v>3785</v>
      </c>
      <c r="K323" s="5" t="s">
        <v>308</v>
      </c>
      <c r="L323" s="7">
        <f>8383775</f>
        <v>8383775</v>
      </c>
      <c r="M323" s="7">
        <f>8383775</f>
        <v>8383775</v>
      </c>
      <c r="N323" s="5" t="s">
        <v>242</v>
      </c>
      <c r="O323" s="5">
        <v>1</v>
      </c>
      <c r="P323" s="5" t="s">
        <v>294</v>
      </c>
      <c r="Q323" s="5" t="s">
        <v>613</v>
      </c>
      <c r="R323" s="5" t="s">
        <v>240</v>
      </c>
      <c r="S323" s="5" t="s">
        <v>240</v>
      </c>
      <c r="T323" s="5" t="s">
        <v>243</v>
      </c>
      <c r="U323" s="5" t="s">
        <v>724</v>
      </c>
      <c r="V323" s="5" t="s">
        <v>240</v>
      </c>
      <c r="Y323" s="5" t="s">
        <v>240</v>
      </c>
      <c r="Z323" s="6" t="s">
        <v>298</v>
      </c>
      <c r="AB323" s="6" t="s">
        <v>240</v>
      </c>
      <c r="AE323" s="6" t="s">
        <v>299</v>
      </c>
      <c r="AF323" s="5" t="s">
        <v>248</v>
      </c>
      <c r="AG323" s="5" t="s">
        <v>249</v>
      </c>
      <c r="AW323" s="5" t="s">
        <v>251</v>
      </c>
      <c r="AX323" s="5" t="s">
        <v>240</v>
      </c>
      <c r="AY323" s="5" t="s">
        <v>253</v>
      </c>
      <c r="AZ323" s="5" t="s">
        <v>240</v>
      </c>
      <c r="BA323" s="5" t="s">
        <v>255</v>
      </c>
      <c r="BB323" s="5" t="s">
        <v>240</v>
      </c>
      <c r="BD323" s="5" t="s">
        <v>240</v>
      </c>
      <c r="BF323" s="5" t="s">
        <v>301</v>
      </c>
      <c r="BG323" s="6" t="s">
        <v>299</v>
      </c>
      <c r="BH323" s="5" t="s">
        <v>302</v>
      </c>
      <c r="BI323" s="5" t="s">
        <v>303</v>
      </c>
      <c r="BJ323" s="5" t="s">
        <v>240</v>
      </c>
      <c r="BK323" s="8">
        <f>0</f>
        <v>0</v>
      </c>
      <c r="BL323" s="7">
        <f>0</f>
        <v>0</v>
      </c>
      <c r="BM323" s="5" t="s">
        <v>258</v>
      </c>
      <c r="BN323" s="5" t="s">
        <v>259</v>
      </c>
      <c r="CB323" s="5" t="s">
        <v>240</v>
      </c>
      <c r="CC323" s="5" t="s">
        <v>240</v>
      </c>
      <c r="CG323" s="5" t="s">
        <v>617</v>
      </c>
      <c r="CH323" s="5" t="s">
        <v>305</v>
      </c>
      <c r="CI323" s="5" t="s">
        <v>240</v>
      </c>
      <c r="CL323" s="6" t="s">
        <v>261</v>
      </c>
      <c r="CM323" s="5" t="s">
        <v>240</v>
      </c>
      <c r="CN323" s="5" t="s">
        <v>263</v>
      </c>
      <c r="CO323" s="5" t="s">
        <v>240</v>
      </c>
      <c r="CP323" s="5" t="s">
        <v>240</v>
      </c>
      <c r="CQ323" s="5">
        <v>0</v>
      </c>
      <c r="CR323" s="5" t="s">
        <v>306</v>
      </c>
      <c r="CS323" s="5" t="s">
        <v>307</v>
      </c>
      <c r="CT323" s="5" t="s">
        <v>307</v>
      </c>
      <c r="CU323" s="5" t="s">
        <v>260</v>
      </c>
      <c r="CX323" s="7">
        <f>5544</f>
        <v>5544</v>
      </c>
      <c r="CY323" s="7">
        <f>0</f>
        <v>0</v>
      </c>
      <c r="DA323" s="7">
        <f>0</f>
        <v>0</v>
      </c>
      <c r="DC323" s="5" t="s">
        <v>854</v>
      </c>
      <c r="DD323" s="5" t="s">
        <v>240</v>
      </c>
      <c r="DF323" s="5" t="s">
        <v>450</v>
      </c>
      <c r="DG323" s="7">
        <f>0</f>
        <v>0</v>
      </c>
      <c r="DI323" s="5" t="s">
        <v>737</v>
      </c>
      <c r="DJ323" s="5" t="s">
        <v>240</v>
      </c>
      <c r="DK323" s="5" t="s">
        <v>240</v>
      </c>
      <c r="DL323" s="5" t="s">
        <v>240</v>
      </c>
      <c r="DP323" s="5" t="s">
        <v>240</v>
      </c>
      <c r="DQ323" s="5" t="s">
        <v>240</v>
      </c>
      <c r="DR323" s="5" t="s">
        <v>240</v>
      </c>
      <c r="DS323" s="5" t="s">
        <v>240</v>
      </c>
      <c r="DV323" s="5" t="s">
        <v>957</v>
      </c>
      <c r="DW323" s="5" t="s">
        <v>528</v>
      </c>
      <c r="HO323" s="5" t="s">
        <v>312</v>
      </c>
    </row>
    <row r="324" spans="1:223" x14ac:dyDescent="0.4">
      <c r="A324" s="5">
        <v>1058</v>
      </c>
      <c r="B324" s="5">
        <v>1</v>
      </c>
      <c r="C324" s="5">
        <v>1</v>
      </c>
      <c r="D324" s="5" t="s">
        <v>829</v>
      </c>
      <c r="E324" s="5" t="s">
        <v>1325</v>
      </c>
      <c r="F324" s="5" t="s">
        <v>254</v>
      </c>
      <c r="G324" s="5" t="s">
        <v>240</v>
      </c>
      <c r="H324" s="6" t="s">
        <v>6682</v>
      </c>
      <c r="I324" s="5" t="s">
        <v>6584</v>
      </c>
      <c r="J324" s="8">
        <f>14</f>
        <v>14</v>
      </c>
      <c r="K324" s="5" t="s">
        <v>308</v>
      </c>
      <c r="L324" s="7">
        <f>6860</f>
        <v>6860</v>
      </c>
      <c r="M324" s="7">
        <f>6860</f>
        <v>6860</v>
      </c>
      <c r="N324" s="5" t="s">
        <v>242</v>
      </c>
      <c r="O324" s="5">
        <v>1</v>
      </c>
      <c r="P324" s="5" t="s">
        <v>294</v>
      </c>
      <c r="Q324" s="5" t="s">
        <v>613</v>
      </c>
      <c r="R324" s="5" t="s">
        <v>240</v>
      </c>
      <c r="S324" s="5" t="s">
        <v>240</v>
      </c>
      <c r="T324" s="5" t="s">
        <v>243</v>
      </c>
      <c r="U324" s="5" t="s">
        <v>724</v>
      </c>
      <c r="V324" s="5" t="s">
        <v>240</v>
      </c>
      <c r="Y324" s="5" t="s">
        <v>240</v>
      </c>
      <c r="Z324" s="6" t="s">
        <v>298</v>
      </c>
      <c r="AB324" s="6" t="s">
        <v>240</v>
      </c>
      <c r="AE324" s="6" t="s">
        <v>299</v>
      </c>
      <c r="AF324" s="5" t="s">
        <v>248</v>
      </c>
      <c r="AG324" s="5" t="s">
        <v>249</v>
      </c>
      <c r="AW324" s="5" t="s">
        <v>251</v>
      </c>
      <c r="AX324" s="5" t="s">
        <v>240</v>
      </c>
      <c r="AY324" s="5" t="s">
        <v>253</v>
      </c>
      <c r="AZ324" s="5" t="s">
        <v>240</v>
      </c>
      <c r="BA324" s="5" t="s">
        <v>255</v>
      </c>
      <c r="BB324" s="5" t="s">
        <v>240</v>
      </c>
      <c r="BD324" s="5" t="s">
        <v>240</v>
      </c>
      <c r="BF324" s="5" t="s">
        <v>301</v>
      </c>
      <c r="BG324" s="6" t="s">
        <v>299</v>
      </c>
      <c r="BH324" s="5" t="s">
        <v>302</v>
      </c>
      <c r="BI324" s="5" t="s">
        <v>303</v>
      </c>
      <c r="BJ324" s="5" t="s">
        <v>240</v>
      </c>
      <c r="BK324" s="8">
        <f>0</f>
        <v>0</v>
      </c>
      <c r="BL324" s="7">
        <f>0</f>
        <v>0</v>
      </c>
      <c r="BM324" s="5" t="s">
        <v>258</v>
      </c>
      <c r="BN324" s="5" t="s">
        <v>259</v>
      </c>
      <c r="CB324" s="5" t="s">
        <v>240</v>
      </c>
      <c r="CC324" s="5" t="s">
        <v>240</v>
      </c>
      <c r="CG324" s="5" t="s">
        <v>617</v>
      </c>
      <c r="CH324" s="5" t="s">
        <v>305</v>
      </c>
      <c r="CI324" s="5" t="s">
        <v>240</v>
      </c>
      <c r="CL324" s="6" t="s">
        <v>261</v>
      </c>
      <c r="CM324" s="5" t="s">
        <v>240</v>
      </c>
      <c r="CN324" s="5" t="s">
        <v>263</v>
      </c>
      <c r="CO324" s="5" t="s">
        <v>240</v>
      </c>
      <c r="CP324" s="5" t="s">
        <v>240</v>
      </c>
      <c r="CQ324" s="5">
        <v>0</v>
      </c>
      <c r="CR324" s="5" t="s">
        <v>306</v>
      </c>
      <c r="CS324" s="5" t="s">
        <v>307</v>
      </c>
      <c r="CT324" s="5" t="s">
        <v>307</v>
      </c>
      <c r="CU324" s="5" t="s">
        <v>260</v>
      </c>
      <c r="CX324" s="7">
        <f>30624</f>
        <v>30624</v>
      </c>
      <c r="CY324" s="7">
        <f>0</f>
        <v>0</v>
      </c>
      <c r="DA324" s="7">
        <f>0</f>
        <v>0</v>
      </c>
      <c r="DC324" s="5" t="s">
        <v>854</v>
      </c>
      <c r="DD324" s="5" t="s">
        <v>240</v>
      </c>
      <c r="DF324" s="5" t="s">
        <v>450</v>
      </c>
      <c r="DG324" s="7">
        <f>0</f>
        <v>0</v>
      </c>
      <c r="DI324" s="5" t="s">
        <v>737</v>
      </c>
      <c r="DJ324" s="5" t="s">
        <v>240</v>
      </c>
      <c r="DK324" s="5" t="s">
        <v>240</v>
      </c>
      <c r="DL324" s="5" t="s">
        <v>240</v>
      </c>
      <c r="DP324" s="5" t="s">
        <v>240</v>
      </c>
      <c r="DQ324" s="5" t="s">
        <v>240</v>
      </c>
      <c r="DR324" s="5" t="s">
        <v>240</v>
      </c>
      <c r="DS324" s="5" t="s">
        <v>240</v>
      </c>
      <c r="DV324" s="5" t="s">
        <v>957</v>
      </c>
      <c r="DW324" s="5" t="s">
        <v>530</v>
      </c>
      <c r="HO324" s="5" t="s">
        <v>312</v>
      </c>
    </row>
    <row r="325" spans="1:223" x14ac:dyDescent="0.4">
      <c r="A325" s="5">
        <v>1059</v>
      </c>
      <c r="B325" s="5">
        <v>1</v>
      </c>
      <c r="C325" s="5">
        <v>1</v>
      </c>
      <c r="D325" s="5" t="s">
        <v>829</v>
      </c>
      <c r="E325" s="5" t="s">
        <v>1325</v>
      </c>
      <c r="F325" s="5" t="s">
        <v>254</v>
      </c>
      <c r="G325" s="5" t="s">
        <v>240</v>
      </c>
      <c r="H325" s="6" t="s">
        <v>6671</v>
      </c>
      <c r="I325" s="5" t="s">
        <v>6584</v>
      </c>
      <c r="J325" s="8">
        <f>15</f>
        <v>15</v>
      </c>
      <c r="K325" s="5" t="s">
        <v>308</v>
      </c>
      <c r="L325" s="7">
        <f>7350</f>
        <v>7350</v>
      </c>
      <c r="M325" s="7">
        <f>7350</f>
        <v>7350</v>
      </c>
      <c r="N325" s="5" t="s">
        <v>242</v>
      </c>
      <c r="O325" s="5">
        <v>1</v>
      </c>
      <c r="P325" s="5" t="s">
        <v>294</v>
      </c>
      <c r="Q325" s="5" t="s">
        <v>613</v>
      </c>
      <c r="R325" s="5" t="s">
        <v>240</v>
      </c>
      <c r="S325" s="5" t="s">
        <v>240</v>
      </c>
      <c r="T325" s="5" t="s">
        <v>243</v>
      </c>
      <c r="U325" s="5" t="s">
        <v>724</v>
      </c>
      <c r="V325" s="5" t="s">
        <v>240</v>
      </c>
      <c r="Y325" s="5" t="s">
        <v>240</v>
      </c>
      <c r="Z325" s="6" t="s">
        <v>298</v>
      </c>
      <c r="AB325" s="6" t="s">
        <v>240</v>
      </c>
      <c r="AE325" s="6" t="s">
        <v>299</v>
      </c>
      <c r="AF325" s="5" t="s">
        <v>248</v>
      </c>
      <c r="AG325" s="5" t="s">
        <v>249</v>
      </c>
      <c r="AW325" s="5" t="s">
        <v>251</v>
      </c>
      <c r="AX325" s="5" t="s">
        <v>240</v>
      </c>
      <c r="AY325" s="5" t="s">
        <v>253</v>
      </c>
      <c r="AZ325" s="5" t="s">
        <v>240</v>
      </c>
      <c r="BA325" s="5" t="s">
        <v>255</v>
      </c>
      <c r="BB325" s="5" t="s">
        <v>240</v>
      </c>
      <c r="BD325" s="5" t="s">
        <v>240</v>
      </c>
      <c r="BF325" s="5" t="s">
        <v>301</v>
      </c>
      <c r="BG325" s="6" t="s">
        <v>299</v>
      </c>
      <c r="BH325" s="5" t="s">
        <v>302</v>
      </c>
      <c r="BI325" s="5" t="s">
        <v>303</v>
      </c>
      <c r="BJ325" s="5" t="s">
        <v>240</v>
      </c>
      <c r="BK325" s="8">
        <f>0</f>
        <v>0</v>
      </c>
      <c r="BL325" s="7">
        <f>0</f>
        <v>0</v>
      </c>
      <c r="BM325" s="5" t="s">
        <v>258</v>
      </c>
      <c r="BN325" s="5" t="s">
        <v>259</v>
      </c>
      <c r="CB325" s="5" t="s">
        <v>240</v>
      </c>
      <c r="CC325" s="5" t="s">
        <v>240</v>
      </c>
      <c r="CG325" s="5" t="s">
        <v>617</v>
      </c>
      <c r="CH325" s="5" t="s">
        <v>305</v>
      </c>
      <c r="CI325" s="5" t="s">
        <v>240</v>
      </c>
      <c r="CL325" s="6" t="s">
        <v>261</v>
      </c>
      <c r="CM325" s="5" t="s">
        <v>240</v>
      </c>
      <c r="CN325" s="5" t="s">
        <v>263</v>
      </c>
      <c r="CO325" s="5" t="s">
        <v>240</v>
      </c>
      <c r="CP325" s="5" t="s">
        <v>240</v>
      </c>
      <c r="CQ325" s="5">
        <v>0</v>
      </c>
      <c r="CR325" s="5" t="s">
        <v>306</v>
      </c>
      <c r="CS325" s="5" t="s">
        <v>307</v>
      </c>
      <c r="CT325" s="5" t="s">
        <v>307</v>
      </c>
      <c r="CU325" s="5" t="s">
        <v>260</v>
      </c>
      <c r="CX325" s="7">
        <f>7821</f>
        <v>7821</v>
      </c>
      <c r="CY325" s="7">
        <f>0</f>
        <v>0</v>
      </c>
      <c r="DA325" s="7">
        <f>0</f>
        <v>0</v>
      </c>
      <c r="DC325" s="5" t="s">
        <v>854</v>
      </c>
      <c r="DD325" s="5" t="s">
        <v>240</v>
      </c>
      <c r="DF325" s="5" t="s">
        <v>450</v>
      </c>
      <c r="DG325" s="7">
        <f>0</f>
        <v>0</v>
      </c>
      <c r="DI325" s="5" t="s">
        <v>737</v>
      </c>
      <c r="DJ325" s="5" t="s">
        <v>240</v>
      </c>
      <c r="DK325" s="5" t="s">
        <v>240</v>
      </c>
      <c r="DL325" s="5" t="s">
        <v>240</v>
      </c>
      <c r="DP325" s="5" t="s">
        <v>240</v>
      </c>
      <c r="DQ325" s="5" t="s">
        <v>240</v>
      </c>
      <c r="DR325" s="5" t="s">
        <v>240</v>
      </c>
      <c r="DS325" s="5" t="s">
        <v>240</v>
      </c>
      <c r="DV325" s="5" t="s">
        <v>957</v>
      </c>
      <c r="DW325" s="5" t="s">
        <v>532</v>
      </c>
      <c r="HO325" s="5" t="s">
        <v>312</v>
      </c>
    </row>
    <row r="326" spans="1:223" x14ac:dyDescent="0.4">
      <c r="A326" s="5">
        <v>1060</v>
      </c>
      <c r="B326" s="5">
        <v>1</v>
      </c>
      <c r="C326" s="5">
        <v>1</v>
      </c>
      <c r="D326" s="5" t="s">
        <v>829</v>
      </c>
      <c r="E326" s="5" t="s">
        <v>1325</v>
      </c>
      <c r="F326" s="5" t="s">
        <v>254</v>
      </c>
      <c r="G326" s="5" t="s">
        <v>240</v>
      </c>
      <c r="H326" s="6" t="s">
        <v>6669</v>
      </c>
      <c r="I326" s="5" t="s">
        <v>6584</v>
      </c>
      <c r="J326" s="8">
        <f>136</f>
        <v>136</v>
      </c>
      <c r="K326" s="5" t="s">
        <v>308</v>
      </c>
      <c r="L326" s="7">
        <f>301240</f>
        <v>301240</v>
      </c>
      <c r="M326" s="7">
        <f>301240</f>
        <v>301240</v>
      </c>
      <c r="N326" s="5" t="s">
        <v>242</v>
      </c>
      <c r="O326" s="5">
        <v>1</v>
      </c>
      <c r="P326" s="5" t="s">
        <v>294</v>
      </c>
      <c r="Q326" s="5" t="s">
        <v>613</v>
      </c>
      <c r="R326" s="5" t="s">
        <v>240</v>
      </c>
      <c r="S326" s="5" t="s">
        <v>240</v>
      </c>
      <c r="T326" s="5" t="s">
        <v>243</v>
      </c>
      <c r="U326" s="5" t="s">
        <v>724</v>
      </c>
      <c r="V326" s="5" t="s">
        <v>240</v>
      </c>
      <c r="Y326" s="5" t="s">
        <v>240</v>
      </c>
      <c r="Z326" s="6" t="s">
        <v>298</v>
      </c>
      <c r="AB326" s="6" t="s">
        <v>240</v>
      </c>
      <c r="AE326" s="6" t="s">
        <v>299</v>
      </c>
      <c r="AF326" s="5" t="s">
        <v>248</v>
      </c>
      <c r="AG326" s="5" t="s">
        <v>249</v>
      </c>
      <c r="AW326" s="5" t="s">
        <v>251</v>
      </c>
      <c r="AX326" s="5" t="s">
        <v>240</v>
      </c>
      <c r="AY326" s="5" t="s">
        <v>253</v>
      </c>
      <c r="AZ326" s="5" t="s">
        <v>240</v>
      </c>
      <c r="BA326" s="5" t="s">
        <v>255</v>
      </c>
      <c r="BB326" s="5" t="s">
        <v>240</v>
      </c>
      <c r="BD326" s="5" t="s">
        <v>240</v>
      </c>
      <c r="BF326" s="5" t="s">
        <v>301</v>
      </c>
      <c r="BG326" s="6" t="s">
        <v>299</v>
      </c>
      <c r="BH326" s="5" t="s">
        <v>302</v>
      </c>
      <c r="BI326" s="5" t="s">
        <v>303</v>
      </c>
      <c r="BJ326" s="5" t="s">
        <v>240</v>
      </c>
      <c r="BK326" s="8">
        <f>0</f>
        <v>0</v>
      </c>
      <c r="BL326" s="7">
        <f>0</f>
        <v>0</v>
      </c>
      <c r="BM326" s="5" t="s">
        <v>258</v>
      </c>
      <c r="BN326" s="5" t="s">
        <v>259</v>
      </c>
      <c r="CB326" s="5" t="s">
        <v>240</v>
      </c>
      <c r="CC326" s="5" t="s">
        <v>240</v>
      </c>
      <c r="CG326" s="5" t="s">
        <v>617</v>
      </c>
      <c r="CH326" s="5" t="s">
        <v>305</v>
      </c>
      <c r="CI326" s="5" t="s">
        <v>240</v>
      </c>
      <c r="CL326" s="6" t="s">
        <v>261</v>
      </c>
      <c r="CM326" s="5" t="s">
        <v>240</v>
      </c>
      <c r="CN326" s="5" t="s">
        <v>263</v>
      </c>
      <c r="CO326" s="5" t="s">
        <v>240</v>
      </c>
      <c r="CP326" s="5" t="s">
        <v>240</v>
      </c>
      <c r="CQ326" s="5">
        <v>0</v>
      </c>
      <c r="CR326" s="5" t="s">
        <v>306</v>
      </c>
      <c r="CS326" s="5" t="s">
        <v>307</v>
      </c>
      <c r="CT326" s="5" t="s">
        <v>307</v>
      </c>
      <c r="CU326" s="5" t="s">
        <v>260</v>
      </c>
      <c r="CX326" s="7">
        <f>91861</f>
        <v>91861</v>
      </c>
      <c r="CY326" s="7">
        <f>0</f>
        <v>0</v>
      </c>
      <c r="DA326" s="7">
        <f>0</f>
        <v>0</v>
      </c>
      <c r="DC326" s="5" t="s">
        <v>854</v>
      </c>
      <c r="DD326" s="5" t="s">
        <v>240</v>
      </c>
      <c r="DF326" s="5" t="s">
        <v>450</v>
      </c>
      <c r="DG326" s="7">
        <f>0</f>
        <v>0</v>
      </c>
      <c r="DI326" s="5" t="s">
        <v>737</v>
      </c>
      <c r="DJ326" s="5" t="s">
        <v>240</v>
      </c>
      <c r="DK326" s="5" t="s">
        <v>240</v>
      </c>
      <c r="DL326" s="5" t="s">
        <v>240</v>
      </c>
      <c r="DP326" s="5" t="s">
        <v>240</v>
      </c>
      <c r="DQ326" s="5" t="s">
        <v>240</v>
      </c>
      <c r="DR326" s="5" t="s">
        <v>240</v>
      </c>
      <c r="DS326" s="5" t="s">
        <v>240</v>
      </c>
      <c r="DV326" s="5" t="s">
        <v>957</v>
      </c>
      <c r="DW326" s="5" t="s">
        <v>534</v>
      </c>
      <c r="HO326" s="5" t="s">
        <v>312</v>
      </c>
    </row>
    <row r="327" spans="1:223" x14ac:dyDescent="0.4">
      <c r="A327" s="5">
        <v>1061</v>
      </c>
      <c r="B327" s="5">
        <v>1</v>
      </c>
      <c r="C327" s="5">
        <v>1</v>
      </c>
      <c r="D327" s="5" t="s">
        <v>829</v>
      </c>
      <c r="E327" s="5" t="s">
        <v>1325</v>
      </c>
      <c r="F327" s="5" t="s">
        <v>254</v>
      </c>
      <c r="G327" s="5" t="s">
        <v>240</v>
      </c>
      <c r="H327" s="6" t="s">
        <v>6658</v>
      </c>
      <c r="I327" s="5" t="s">
        <v>6584</v>
      </c>
      <c r="J327" s="8">
        <f>108</f>
        <v>108</v>
      </c>
      <c r="K327" s="5" t="s">
        <v>308</v>
      </c>
      <c r="L327" s="7">
        <f>239220</f>
        <v>239220</v>
      </c>
      <c r="M327" s="7">
        <f>239220</f>
        <v>239220</v>
      </c>
      <c r="N327" s="5" t="s">
        <v>242</v>
      </c>
      <c r="O327" s="5">
        <v>1</v>
      </c>
      <c r="P327" s="5" t="s">
        <v>294</v>
      </c>
      <c r="Q327" s="5" t="s">
        <v>613</v>
      </c>
      <c r="R327" s="5" t="s">
        <v>240</v>
      </c>
      <c r="S327" s="5" t="s">
        <v>240</v>
      </c>
      <c r="T327" s="5" t="s">
        <v>243</v>
      </c>
      <c r="U327" s="5" t="s">
        <v>724</v>
      </c>
      <c r="V327" s="5" t="s">
        <v>240</v>
      </c>
      <c r="Y327" s="5" t="s">
        <v>240</v>
      </c>
      <c r="Z327" s="6" t="s">
        <v>298</v>
      </c>
      <c r="AB327" s="6" t="s">
        <v>240</v>
      </c>
      <c r="AE327" s="6" t="s">
        <v>299</v>
      </c>
      <c r="AF327" s="5" t="s">
        <v>248</v>
      </c>
      <c r="AG327" s="5" t="s">
        <v>249</v>
      </c>
      <c r="AW327" s="5" t="s">
        <v>251</v>
      </c>
      <c r="AX327" s="5" t="s">
        <v>240</v>
      </c>
      <c r="AY327" s="5" t="s">
        <v>253</v>
      </c>
      <c r="AZ327" s="5" t="s">
        <v>240</v>
      </c>
      <c r="BA327" s="5" t="s">
        <v>255</v>
      </c>
      <c r="BB327" s="5" t="s">
        <v>240</v>
      </c>
      <c r="BD327" s="5" t="s">
        <v>240</v>
      </c>
      <c r="BF327" s="5" t="s">
        <v>301</v>
      </c>
      <c r="BG327" s="6" t="s">
        <v>299</v>
      </c>
      <c r="BH327" s="5" t="s">
        <v>302</v>
      </c>
      <c r="BI327" s="5" t="s">
        <v>303</v>
      </c>
      <c r="BJ327" s="5" t="s">
        <v>240</v>
      </c>
      <c r="BK327" s="8">
        <f>0</f>
        <v>0</v>
      </c>
      <c r="BL327" s="7">
        <f>0</f>
        <v>0</v>
      </c>
      <c r="BM327" s="5" t="s">
        <v>258</v>
      </c>
      <c r="BN327" s="5" t="s">
        <v>259</v>
      </c>
      <c r="CB327" s="5" t="s">
        <v>240</v>
      </c>
      <c r="CC327" s="5" t="s">
        <v>240</v>
      </c>
      <c r="CG327" s="5" t="s">
        <v>617</v>
      </c>
      <c r="CH327" s="5" t="s">
        <v>305</v>
      </c>
      <c r="CI327" s="5" t="s">
        <v>240</v>
      </c>
      <c r="CL327" s="6" t="s">
        <v>261</v>
      </c>
      <c r="CM327" s="5" t="s">
        <v>240</v>
      </c>
      <c r="CN327" s="5" t="s">
        <v>263</v>
      </c>
      <c r="CO327" s="5" t="s">
        <v>240</v>
      </c>
      <c r="CP327" s="5" t="s">
        <v>240</v>
      </c>
      <c r="CQ327" s="5">
        <v>0</v>
      </c>
      <c r="CR327" s="5" t="s">
        <v>306</v>
      </c>
      <c r="CS327" s="5" t="s">
        <v>307</v>
      </c>
      <c r="CT327" s="5" t="s">
        <v>307</v>
      </c>
      <c r="CU327" s="5" t="s">
        <v>260</v>
      </c>
      <c r="CX327" s="7">
        <f>17028</f>
        <v>17028</v>
      </c>
      <c r="CY327" s="7">
        <f>0</f>
        <v>0</v>
      </c>
      <c r="DA327" s="7">
        <f>0</f>
        <v>0</v>
      </c>
      <c r="DC327" s="5" t="s">
        <v>854</v>
      </c>
      <c r="DD327" s="5" t="s">
        <v>240</v>
      </c>
      <c r="DF327" s="5" t="s">
        <v>450</v>
      </c>
      <c r="DG327" s="7">
        <f>0</f>
        <v>0</v>
      </c>
      <c r="DI327" s="5" t="s">
        <v>737</v>
      </c>
      <c r="DJ327" s="5" t="s">
        <v>240</v>
      </c>
      <c r="DK327" s="5" t="s">
        <v>240</v>
      </c>
      <c r="DL327" s="5" t="s">
        <v>240</v>
      </c>
      <c r="DP327" s="5" t="s">
        <v>240</v>
      </c>
      <c r="DQ327" s="5" t="s">
        <v>240</v>
      </c>
      <c r="DR327" s="5" t="s">
        <v>240</v>
      </c>
      <c r="DS327" s="5" t="s">
        <v>240</v>
      </c>
      <c r="DV327" s="5" t="s">
        <v>957</v>
      </c>
      <c r="DW327" s="5" t="s">
        <v>536</v>
      </c>
      <c r="HO327" s="5" t="s">
        <v>312</v>
      </c>
    </row>
    <row r="328" spans="1:223" x14ac:dyDescent="0.4">
      <c r="A328" s="5">
        <v>1062</v>
      </c>
      <c r="B328" s="5">
        <v>1</v>
      </c>
      <c r="C328" s="5">
        <v>1</v>
      </c>
      <c r="D328" s="5" t="s">
        <v>829</v>
      </c>
      <c r="E328" s="5" t="s">
        <v>1325</v>
      </c>
      <c r="F328" s="5" t="s">
        <v>254</v>
      </c>
      <c r="G328" s="5" t="s">
        <v>240</v>
      </c>
      <c r="H328" s="6" t="s">
        <v>6651</v>
      </c>
      <c r="I328" s="5" t="s">
        <v>6584</v>
      </c>
      <c r="J328" s="8">
        <f>3185</f>
        <v>3185</v>
      </c>
      <c r="K328" s="5" t="s">
        <v>308</v>
      </c>
      <c r="L328" s="7">
        <f>7054774</f>
        <v>7054774</v>
      </c>
      <c r="M328" s="7">
        <f>7054774</f>
        <v>7054774</v>
      </c>
      <c r="N328" s="5" t="s">
        <v>242</v>
      </c>
      <c r="O328" s="5">
        <v>1</v>
      </c>
      <c r="P328" s="5" t="s">
        <v>294</v>
      </c>
      <c r="Q328" s="5" t="s">
        <v>613</v>
      </c>
      <c r="R328" s="5" t="s">
        <v>240</v>
      </c>
      <c r="S328" s="5" t="s">
        <v>240</v>
      </c>
      <c r="T328" s="5" t="s">
        <v>243</v>
      </c>
      <c r="U328" s="5" t="s">
        <v>724</v>
      </c>
      <c r="V328" s="5" t="s">
        <v>240</v>
      </c>
      <c r="Y328" s="5" t="s">
        <v>240</v>
      </c>
      <c r="Z328" s="6" t="s">
        <v>298</v>
      </c>
      <c r="AB328" s="6" t="s">
        <v>240</v>
      </c>
      <c r="AE328" s="6" t="s">
        <v>299</v>
      </c>
      <c r="AF328" s="5" t="s">
        <v>248</v>
      </c>
      <c r="AG328" s="5" t="s">
        <v>249</v>
      </c>
      <c r="AW328" s="5" t="s">
        <v>251</v>
      </c>
      <c r="AX328" s="5" t="s">
        <v>240</v>
      </c>
      <c r="AY328" s="5" t="s">
        <v>253</v>
      </c>
      <c r="AZ328" s="5" t="s">
        <v>240</v>
      </c>
      <c r="BA328" s="5" t="s">
        <v>255</v>
      </c>
      <c r="BB328" s="5" t="s">
        <v>240</v>
      </c>
      <c r="BD328" s="5" t="s">
        <v>240</v>
      </c>
      <c r="BF328" s="5" t="s">
        <v>301</v>
      </c>
      <c r="BG328" s="6" t="s">
        <v>299</v>
      </c>
      <c r="BH328" s="5" t="s">
        <v>302</v>
      </c>
      <c r="BI328" s="5" t="s">
        <v>303</v>
      </c>
      <c r="BJ328" s="5" t="s">
        <v>240</v>
      </c>
      <c r="BK328" s="8">
        <f>0</f>
        <v>0</v>
      </c>
      <c r="BL328" s="7">
        <f>0</f>
        <v>0</v>
      </c>
      <c r="BM328" s="5" t="s">
        <v>258</v>
      </c>
      <c r="BN328" s="5" t="s">
        <v>259</v>
      </c>
      <c r="CB328" s="5" t="s">
        <v>240</v>
      </c>
      <c r="CC328" s="5" t="s">
        <v>240</v>
      </c>
      <c r="CG328" s="5" t="s">
        <v>617</v>
      </c>
      <c r="CH328" s="5" t="s">
        <v>305</v>
      </c>
      <c r="CI328" s="5" t="s">
        <v>240</v>
      </c>
      <c r="CL328" s="6" t="s">
        <v>261</v>
      </c>
      <c r="CM328" s="5" t="s">
        <v>240</v>
      </c>
      <c r="CN328" s="5" t="s">
        <v>263</v>
      </c>
      <c r="CO328" s="5" t="s">
        <v>240</v>
      </c>
      <c r="CP328" s="5" t="s">
        <v>240</v>
      </c>
      <c r="CQ328" s="5">
        <v>0</v>
      </c>
      <c r="CR328" s="5" t="s">
        <v>306</v>
      </c>
      <c r="CS328" s="5" t="s">
        <v>307</v>
      </c>
      <c r="CT328" s="5" t="s">
        <v>307</v>
      </c>
      <c r="CU328" s="5" t="s">
        <v>260</v>
      </c>
      <c r="CX328" s="7">
        <f>54626</f>
        <v>54626</v>
      </c>
      <c r="CY328" s="7">
        <f>0</f>
        <v>0</v>
      </c>
      <c r="DA328" s="7">
        <f>0</f>
        <v>0</v>
      </c>
      <c r="DC328" s="5" t="s">
        <v>854</v>
      </c>
      <c r="DD328" s="5" t="s">
        <v>240</v>
      </c>
      <c r="DF328" s="5" t="s">
        <v>450</v>
      </c>
      <c r="DG328" s="7">
        <f>0</f>
        <v>0</v>
      </c>
      <c r="DI328" s="5" t="s">
        <v>737</v>
      </c>
      <c r="DJ328" s="5" t="s">
        <v>240</v>
      </c>
      <c r="DK328" s="5" t="s">
        <v>240</v>
      </c>
      <c r="DL328" s="5" t="s">
        <v>240</v>
      </c>
      <c r="DP328" s="5" t="s">
        <v>240</v>
      </c>
      <c r="DQ328" s="5" t="s">
        <v>240</v>
      </c>
      <c r="DR328" s="5" t="s">
        <v>240</v>
      </c>
      <c r="DS328" s="5" t="s">
        <v>240</v>
      </c>
      <c r="DV328" s="5" t="s">
        <v>957</v>
      </c>
      <c r="DW328" s="5" t="s">
        <v>538</v>
      </c>
      <c r="HO328" s="5" t="s">
        <v>312</v>
      </c>
    </row>
    <row r="329" spans="1:223" x14ac:dyDescent="0.4">
      <c r="A329" s="5">
        <v>1063</v>
      </c>
      <c r="B329" s="5">
        <v>1</v>
      </c>
      <c r="C329" s="5">
        <v>1</v>
      </c>
      <c r="D329" s="5" t="s">
        <v>829</v>
      </c>
      <c r="E329" s="5" t="s">
        <v>1325</v>
      </c>
      <c r="F329" s="5" t="s">
        <v>254</v>
      </c>
      <c r="G329" s="5" t="s">
        <v>240</v>
      </c>
      <c r="H329" s="6" t="s">
        <v>6688</v>
      </c>
      <c r="I329" s="5" t="s">
        <v>6584</v>
      </c>
      <c r="J329" s="8">
        <f>70603</f>
        <v>70603</v>
      </c>
      <c r="K329" s="5" t="s">
        <v>308</v>
      </c>
      <c r="L329" s="7">
        <f>156385645</f>
        <v>156385645</v>
      </c>
      <c r="M329" s="7">
        <f>156385645</f>
        <v>156385645</v>
      </c>
      <c r="N329" s="5" t="s">
        <v>242</v>
      </c>
      <c r="O329" s="5">
        <v>1</v>
      </c>
      <c r="P329" s="5" t="s">
        <v>294</v>
      </c>
      <c r="Q329" s="5" t="s">
        <v>613</v>
      </c>
      <c r="R329" s="5" t="s">
        <v>240</v>
      </c>
      <c r="S329" s="5" t="s">
        <v>240</v>
      </c>
      <c r="T329" s="5" t="s">
        <v>243</v>
      </c>
      <c r="U329" s="5" t="s">
        <v>724</v>
      </c>
      <c r="V329" s="5" t="s">
        <v>240</v>
      </c>
      <c r="Y329" s="5" t="s">
        <v>240</v>
      </c>
      <c r="Z329" s="6" t="s">
        <v>298</v>
      </c>
      <c r="AB329" s="6" t="s">
        <v>240</v>
      </c>
      <c r="AE329" s="6" t="s">
        <v>299</v>
      </c>
      <c r="AF329" s="5" t="s">
        <v>248</v>
      </c>
      <c r="AG329" s="5" t="s">
        <v>249</v>
      </c>
      <c r="AW329" s="5" t="s">
        <v>251</v>
      </c>
      <c r="AX329" s="5" t="s">
        <v>240</v>
      </c>
      <c r="AY329" s="5" t="s">
        <v>253</v>
      </c>
      <c r="AZ329" s="5" t="s">
        <v>240</v>
      </c>
      <c r="BA329" s="5" t="s">
        <v>255</v>
      </c>
      <c r="BB329" s="5" t="s">
        <v>240</v>
      </c>
      <c r="BD329" s="5" t="s">
        <v>240</v>
      </c>
      <c r="BF329" s="5" t="s">
        <v>301</v>
      </c>
      <c r="BG329" s="6" t="s">
        <v>299</v>
      </c>
      <c r="BH329" s="5" t="s">
        <v>302</v>
      </c>
      <c r="BI329" s="5" t="s">
        <v>303</v>
      </c>
      <c r="BJ329" s="5" t="s">
        <v>240</v>
      </c>
      <c r="BK329" s="8">
        <f>0</f>
        <v>0</v>
      </c>
      <c r="BL329" s="7">
        <f>0</f>
        <v>0</v>
      </c>
      <c r="BM329" s="5" t="s">
        <v>258</v>
      </c>
      <c r="BN329" s="5" t="s">
        <v>259</v>
      </c>
      <c r="CB329" s="5" t="s">
        <v>240</v>
      </c>
      <c r="CC329" s="5" t="s">
        <v>240</v>
      </c>
      <c r="CG329" s="5" t="s">
        <v>617</v>
      </c>
      <c r="CH329" s="5" t="s">
        <v>305</v>
      </c>
      <c r="CI329" s="5" t="s">
        <v>240</v>
      </c>
      <c r="CL329" s="6" t="s">
        <v>261</v>
      </c>
      <c r="CM329" s="5" t="s">
        <v>240</v>
      </c>
      <c r="CN329" s="5" t="s">
        <v>263</v>
      </c>
      <c r="CO329" s="5" t="s">
        <v>240</v>
      </c>
      <c r="CP329" s="5" t="s">
        <v>240</v>
      </c>
      <c r="CQ329" s="5">
        <v>0</v>
      </c>
      <c r="CR329" s="5" t="s">
        <v>306</v>
      </c>
      <c r="CS329" s="5" t="s">
        <v>307</v>
      </c>
      <c r="CT329" s="5" t="s">
        <v>307</v>
      </c>
      <c r="CU329" s="5" t="s">
        <v>260</v>
      </c>
      <c r="CX329" s="7">
        <f>6853</f>
        <v>6853</v>
      </c>
      <c r="CY329" s="7">
        <f>0</f>
        <v>0</v>
      </c>
      <c r="DA329" s="7">
        <f>0</f>
        <v>0</v>
      </c>
      <c r="DC329" s="5" t="s">
        <v>854</v>
      </c>
      <c r="DD329" s="5" t="s">
        <v>240</v>
      </c>
      <c r="DF329" s="5" t="s">
        <v>450</v>
      </c>
      <c r="DG329" s="7">
        <f>0</f>
        <v>0</v>
      </c>
      <c r="DI329" s="5" t="s">
        <v>737</v>
      </c>
      <c r="DJ329" s="5" t="s">
        <v>240</v>
      </c>
      <c r="DK329" s="5" t="s">
        <v>240</v>
      </c>
      <c r="DL329" s="5" t="s">
        <v>240</v>
      </c>
      <c r="DP329" s="5" t="s">
        <v>240</v>
      </c>
      <c r="DQ329" s="5" t="s">
        <v>240</v>
      </c>
      <c r="DR329" s="5" t="s">
        <v>240</v>
      </c>
      <c r="DS329" s="5" t="s">
        <v>240</v>
      </c>
      <c r="DV329" s="5" t="s">
        <v>957</v>
      </c>
      <c r="DW329" s="5" t="s">
        <v>540</v>
      </c>
      <c r="HO329" s="5" t="s">
        <v>312</v>
      </c>
    </row>
    <row r="330" spans="1:223" x14ac:dyDescent="0.4">
      <c r="A330" s="5">
        <v>1064</v>
      </c>
      <c r="B330" s="5">
        <v>1</v>
      </c>
      <c r="C330" s="5">
        <v>3</v>
      </c>
      <c r="D330" s="5" t="s">
        <v>829</v>
      </c>
      <c r="E330" s="5" t="s">
        <v>1325</v>
      </c>
      <c r="F330" s="5" t="s">
        <v>254</v>
      </c>
      <c r="G330" s="5" t="s">
        <v>726</v>
      </c>
      <c r="H330" s="6" t="s">
        <v>6970</v>
      </c>
      <c r="I330" s="5" t="s">
        <v>6584</v>
      </c>
      <c r="J330" s="8">
        <f>15466</f>
        <v>15466</v>
      </c>
      <c r="K330" s="5" t="s">
        <v>308</v>
      </c>
      <c r="L330" s="7">
        <f>34200880</f>
        <v>34200880</v>
      </c>
      <c r="M330" s="7">
        <f>34200880</f>
        <v>34200880</v>
      </c>
      <c r="N330" s="5" t="s">
        <v>242</v>
      </c>
      <c r="O330" s="5">
        <v>1</v>
      </c>
      <c r="P330" s="5" t="s">
        <v>294</v>
      </c>
      <c r="Q330" s="5" t="s">
        <v>613</v>
      </c>
      <c r="R330" s="5" t="s">
        <v>240</v>
      </c>
      <c r="S330" s="5" t="s">
        <v>240</v>
      </c>
      <c r="T330" s="5" t="s">
        <v>243</v>
      </c>
      <c r="U330" s="5" t="s">
        <v>724</v>
      </c>
      <c r="V330" s="5" t="s">
        <v>240</v>
      </c>
      <c r="Y330" s="5" t="s">
        <v>240</v>
      </c>
      <c r="Z330" s="6" t="s">
        <v>298</v>
      </c>
      <c r="AB330" s="6" t="s">
        <v>240</v>
      </c>
      <c r="AE330" s="6" t="s">
        <v>299</v>
      </c>
      <c r="AF330" s="5" t="s">
        <v>248</v>
      </c>
      <c r="AG330" s="5" t="s">
        <v>249</v>
      </c>
      <c r="AW330" s="5" t="s">
        <v>251</v>
      </c>
      <c r="AX330" s="5" t="s">
        <v>240</v>
      </c>
      <c r="AY330" s="5" t="s">
        <v>253</v>
      </c>
      <c r="AZ330" s="5" t="s">
        <v>240</v>
      </c>
      <c r="BA330" s="5" t="s">
        <v>255</v>
      </c>
      <c r="BB330" s="5" t="s">
        <v>240</v>
      </c>
      <c r="BD330" s="5" t="s">
        <v>240</v>
      </c>
      <c r="BF330" s="5" t="s">
        <v>301</v>
      </c>
      <c r="BG330" s="6" t="s">
        <v>299</v>
      </c>
      <c r="BH330" s="5" t="s">
        <v>302</v>
      </c>
      <c r="BI330" s="5" t="s">
        <v>303</v>
      </c>
      <c r="BJ330" s="5" t="s">
        <v>240</v>
      </c>
      <c r="BK330" s="8">
        <f>0</f>
        <v>0</v>
      </c>
      <c r="BL330" s="7">
        <f>0</f>
        <v>0</v>
      </c>
      <c r="BM330" s="5" t="s">
        <v>258</v>
      </c>
      <c r="BN330" s="5" t="s">
        <v>259</v>
      </c>
      <c r="CB330" s="5" t="s">
        <v>240</v>
      </c>
      <c r="CC330" s="5" t="s">
        <v>240</v>
      </c>
      <c r="CG330" s="5" t="s">
        <v>617</v>
      </c>
      <c r="CH330" s="5" t="s">
        <v>305</v>
      </c>
      <c r="CI330" s="5" t="s">
        <v>240</v>
      </c>
      <c r="CL330" s="6" t="s">
        <v>261</v>
      </c>
      <c r="CM330" s="5" t="s">
        <v>240</v>
      </c>
      <c r="CN330" s="5" t="s">
        <v>263</v>
      </c>
      <c r="CO330" s="5" t="s">
        <v>240</v>
      </c>
      <c r="CP330" s="5" t="s">
        <v>240</v>
      </c>
      <c r="CQ330" s="5">
        <v>0</v>
      </c>
      <c r="CR330" s="5" t="s">
        <v>306</v>
      </c>
      <c r="CS330" s="5" t="s">
        <v>307</v>
      </c>
      <c r="CT330" s="5" t="s">
        <v>307</v>
      </c>
      <c r="CU330" s="5" t="s">
        <v>260</v>
      </c>
      <c r="CX330" s="7">
        <f>5918</f>
        <v>5918</v>
      </c>
      <c r="CY330" s="7">
        <f>0</f>
        <v>0</v>
      </c>
      <c r="DA330" s="7">
        <f>0</f>
        <v>0</v>
      </c>
      <c r="DC330" s="5" t="s">
        <v>854</v>
      </c>
      <c r="DD330" s="5" t="s">
        <v>240</v>
      </c>
      <c r="DF330" s="5" t="s">
        <v>450</v>
      </c>
      <c r="DG330" s="7">
        <f>0</f>
        <v>0</v>
      </c>
      <c r="DI330" s="5" t="s">
        <v>737</v>
      </c>
      <c r="DJ330" s="5" t="s">
        <v>240</v>
      </c>
      <c r="DK330" s="5" t="s">
        <v>240</v>
      </c>
      <c r="DL330" s="5" t="s">
        <v>240</v>
      </c>
      <c r="DP330" s="5" t="s">
        <v>240</v>
      </c>
      <c r="DQ330" s="5" t="s">
        <v>240</v>
      </c>
      <c r="DR330" s="5" t="s">
        <v>240</v>
      </c>
      <c r="DS330" s="5" t="s">
        <v>240</v>
      </c>
      <c r="DV330" s="5" t="s">
        <v>957</v>
      </c>
      <c r="DW330" s="5" t="s">
        <v>542</v>
      </c>
      <c r="HO330" s="5" t="s">
        <v>312</v>
      </c>
    </row>
    <row r="331" spans="1:223" x14ac:dyDescent="0.4">
      <c r="A331" s="5">
        <v>1065</v>
      </c>
      <c r="B331" s="5">
        <v>1</v>
      </c>
      <c r="C331" s="5">
        <v>1</v>
      </c>
      <c r="D331" s="5" t="s">
        <v>1433</v>
      </c>
      <c r="E331" s="5" t="s">
        <v>1131</v>
      </c>
      <c r="F331" s="5" t="s">
        <v>254</v>
      </c>
      <c r="G331" s="5" t="s">
        <v>240</v>
      </c>
      <c r="H331" s="6" t="s">
        <v>1449</v>
      </c>
      <c r="I331" s="5" t="s">
        <v>1432</v>
      </c>
      <c r="J331" s="8">
        <f>6930</f>
        <v>6930</v>
      </c>
      <c r="K331" s="5" t="s">
        <v>308</v>
      </c>
      <c r="L331" s="7">
        <f>15349950</f>
        <v>15349950</v>
      </c>
      <c r="M331" s="7">
        <f>15349950</f>
        <v>15349950</v>
      </c>
      <c r="N331" s="5" t="s">
        <v>242</v>
      </c>
      <c r="O331" s="5">
        <v>1</v>
      </c>
      <c r="P331" s="5" t="s">
        <v>294</v>
      </c>
      <c r="Q331" s="5" t="s">
        <v>613</v>
      </c>
      <c r="R331" s="5" t="s">
        <v>240</v>
      </c>
      <c r="S331" s="5" t="s">
        <v>240</v>
      </c>
      <c r="T331" s="5" t="s">
        <v>243</v>
      </c>
      <c r="U331" s="5" t="s">
        <v>724</v>
      </c>
      <c r="V331" s="5" t="s">
        <v>240</v>
      </c>
      <c r="Y331" s="5" t="s">
        <v>240</v>
      </c>
      <c r="Z331" s="6" t="s">
        <v>298</v>
      </c>
      <c r="AB331" s="6" t="s">
        <v>240</v>
      </c>
      <c r="AE331" s="6" t="s">
        <v>299</v>
      </c>
      <c r="AF331" s="5" t="s">
        <v>248</v>
      </c>
      <c r="AG331" s="5" t="s">
        <v>249</v>
      </c>
      <c r="AW331" s="5" t="s">
        <v>251</v>
      </c>
      <c r="AX331" s="5" t="s">
        <v>240</v>
      </c>
      <c r="AY331" s="5" t="s">
        <v>253</v>
      </c>
      <c r="AZ331" s="5" t="s">
        <v>240</v>
      </c>
      <c r="BA331" s="5" t="s">
        <v>255</v>
      </c>
      <c r="BB331" s="5" t="s">
        <v>240</v>
      </c>
      <c r="BD331" s="5" t="s">
        <v>240</v>
      </c>
      <c r="BF331" s="5" t="s">
        <v>301</v>
      </c>
      <c r="BG331" s="6" t="s">
        <v>299</v>
      </c>
      <c r="BH331" s="5" t="s">
        <v>302</v>
      </c>
      <c r="BI331" s="5" t="s">
        <v>303</v>
      </c>
      <c r="BJ331" s="5" t="s">
        <v>240</v>
      </c>
      <c r="BK331" s="8">
        <f>0</f>
        <v>0</v>
      </c>
      <c r="BL331" s="7">
        <f>0</f>
        <v>0</v>
      </c>
      <c r="BM331" s="5" t="s">
        <v>258</v>
      </c>
      <c r="BN331" s="5" t="s">
        <v>259</v>
      </c>
      <c r="CB331" s="5" t="s">
        <v>240</v>
      </c>
      <c r="CC331" s="5" t="s">
        <v>240</v>
      </c>
      <c r="CG331" s="5" t="s">
        <v>617</v>
      </c>
      <c r="CH331" s="5" t="s">
        <v>305</v>
      </c>
      <c r="CI331" s="5" t="s">
        <v>240</v>
      </c>
      <c r="CL331" s="6" t="s">
        <v>261</v>
      </c>
      <c r="CM331" s="5" t="s">
        <v>240</v>
      </c>
      <c r="CN331" s="5" t="s">
        <v>263</v>
      </c>
      <c r="CO331" s="5" t="s">
        <v>240</v>
      </c>
      <c r="CP331" s="5" t="s">
        <v>240</v>
      </c>
      <c r="CQ331" s="5">
        <v>0</v>
      </c>
      <c r="CR331" s="5" t="s">
        <v>306</v>
      </c>
      <c r="CS331" s="5" t="s">
        <v>307</v>
      </c>
      <c r="CT331" s="5" t="s">
        <v>307</v>
      </c>
      <c r="CU331" s="5" t="s">
        <v>260</v>
      </c>
      <c r="CX331" s="7">
        <f>14135</f>
        <v>14135</v>
      </c>
      <c r="CY331" s="7">
        <f>0</f>
        <v>0</v>
      </c>
      <c r="DA331" s="7">
        <f>0</f>
        <v>0</v>
      </c>
      <c r="DC331" s="5" t="s">
        <v>854</v>
      </c>
      <c r="DD331" s="5" t="s">
        <v>240</v>
      </c>
      <c r="DF331" s="5" t="s">
        <v>450</v>
      </c>
      <c r="DG331" s="7">
        <f>0</f>
        <v>0</v>
      </c>
      <c r="DI331" s="5" t="s">
        <v>737</v>
      </c>
      <c r="DJ331" s="5" t="s">
        <v>240</v>
      </c>
      <c r="DK331" s="5" t="s">
        <v>240</v>
      </c>
      <c r="DL331" s="5" t="s">
        <v>240</v>
      </c>
      <c r="DP331" s="5" t="s">
        <v>240</v>
      </c>
      <c r="DQ331" s="5" t="s">
        <v>240</v>
      </c>
      <c r="DR331" s="5" t="s">
        <v>240</v>
      </c>
      <c r="DS331" s="5" t="s">
        <v>240</v>
      </c>
      <c r="DV331" s="5" t="s">
        <v>957</v>
      </c>
      <c r="DW331" s="5" t="s">
        <v>544</v>
      </c>
      <c r="HO331" s="5" t="s">
        <v>312</v>
      </c>
    </row>
    <row r="332" spans="1:223" x14ac:dyDescent="0.4">
      <c r="A332" s="5">
        <v>1066</v>
      </c>
      <c r="B332" s="5">
        <v>1</v>
      </c>
      <c r="C332" s="5">
        <v>1</v>
      </c>
      <c r="D332" s="5" t="s">
        <v>1433</v>
      </c>
      <c r="E332" s="5" t="s">
        <v>1131</v>
      </c>
      <c r="F332" s="5" t="s">
        <v>254</v>
      </c>
      <c r="G332" s="5" t="s">
        <v>240</v>
      </c>
      <c r="H332" s="6" t="s">
        <v>1448</v>
      </c>
      <c r="I332" s="5" t="s">
        <v>1432</v>
      </c>
      <c r="J332" s="8">
        <f>3974</f>
        <v>3974</v>
      </c>
      <c r="K332" s="5" t="s">
        <v>308</v>
      </c>
      <c r="L332" s="7">
        <f>8802410</f>
        <v>8802410</v>
      </c>
      <c r="M332" s="7">
        <f>8802410</f>
        <v>8802410</v>
      </c>
      <c r="N332" s="5" t="s">
        <v>242</v>
      </c>
      <c r="O332" s="5">
        <v>1</v>
      </c>
      <c r="P332" s="5" t="s">
        <v>294</v>
      </c>
      <c r="Q332" s="5" t="s">
        <v>266</v>
      </c>
      <c r="R332" s="5" t="s">
        <v>240</v>
      </c>
      <c r="S332" s="5" t="s">
        <v>240</v>
      </c>
      <c r="T332" s="5" t="s">
        <v>296</v>
      </c>
      <c r="U332" s="5" t="s">
        <v>244</v>
      </c>
      <c r="V332" s="5" t="s">
        <v>240</v>
      </c>
      <c r="Y332" s="5" t="s">
        <v>240</v>
      </c>
      <c r="Z332" s="6" t="s">
        <v>298</v>
      </c>
      <c r="AB332" s="6" t="s">
        <v>240</v>
      </c>
      <c r="AE332" s="6" t="s">
        <v>299</v>
      </c>
      <c r="AF332" s="5" t="s">
        <v>248</v>
      </c>
      <c r="AG332" s="5" t="s">
        <v>249</v>
      </c>
      <c r="AW332" s="5" t="s">
        <v>251</v>
      </c>
      <c r="AX332" s="5" t="s">
        <v>240</v>
      </c>
      <c r="AY332" s="5" t="s">
        <v>253</v>
      </c>
      <c r="AZ332" s="5" t="s">
        <v>240</v>
      </c>
      <c r="BA332" s="5" t="s">
        <v>255</v>
      </c>
      <c r="BB332" s="5" t="s">
        <v>240</v>
      </c>
      <c r="BD332" s="5" t="s">
        <v>240</v>
      </c>
      <c r="BF332" s="5" t="s">
        <v>301</v>
      </c>
      <c r="BG332" s="6" t="s">
        <v>299</v>
      </c>
      <c r="BH332" s="5" t="s">
        <v>302</v>
      </c>
      <c r="BI332" s="5" t="s">
        <v>303</v>
      </c>
      <c r="BJ332" s="5" t="s">
        <v>240</v>
      </c>
      <c r="BK332" s="8">
        <f>0</f>
        <v>0</v>
      </c>
      <c r="BL332" s="7">
        <f>0</f>
        <v>0</v>
      </c>
      <c r="BM332" s="5" t="s">
        <v>258</v>
      </c>
      <c r="BN332" s="5" t="s">
        <v>259</v>
      </c>
      <c r="CB332" s="5" t="s">
        <v>240</v>
      </c>
      <c r="CC332" s="5" t="s">
        <v>240</v>
      </c>
      <c r="CG332" s="5" t="s">
        <v>304</v>
      </c>
      <c r="CH332" s="5" t="s">
        <v>305</v>
      </c>
      <c r="CI332" s="5" t="s">
        <v>240</v>
      </c>
      <c r="CL332" s="6" t="s">
        <v>261</v>
      </c>
      <c r="CM332" s="5" t="s">
        <v>240</v>
      </c>
      <c r="CN332" s="5" t="s">
        <v>263</v>
      </c>
      <c r="CO332" s="5" t="s">
        <v>240</v>
      </c>
      <c r="CP332" s="5" t="s">
        <v>240</v>
      </c>
      <c r="CQ332" s="5">
        <v>0</v>
      </c>
      <c r="CR332" s="5" t="s">
        <v>306</v>
      </c>
      <c r="CS332" s="5" t="s">
        <v>307</v>
      </c>
      <c r="CT332" s="5" t="s">
        <v>307</v>
      </c>
      <c r="CU332" s="5" t="s">
        <v>260</v>
      </c>
      <c r="CX332" s="7">
        <f>1</f>
        <v>1</v>
      </c>
      <c r="CY332" s="7">
        <f>0</f>
        <v>0</v>
      </c>
      <c r="DA332" s="7">
        <f>0</f>
        <v>0</v>
      </c>
      <c r="DC332" s="5" t="s">
        <v>309</v>
      </c>
      <c r="DD332" s="5" t="s">
        <v>240</v>
      </c>
      <c r="DF332" s="5" t="s">
        <v>309</v>
      </c>
      <c r="DG332" s="7">
        <f>3579</f>
        <v>3579</v>
      </c>
      <c r="DI332" s="5" t="s">
        <v>240</v>
      </c>
      <c r="DJ332" s="5" t="s">
        <v>240</v>
      </c>
      <c r="DK332" s="5" t="s">
        <v>240</v>
      </c>
      <c r="DL332" s="5" t="s">
        <v>240</v>
      </c>
      <c r="DP332" s="5" t="s">
        <v>240</v>
      </c>
      <c r="DQ332" s="5" t="s">
        <v>240</v>
      </c>
      <c r="DR332" s="5" t="s">
        <v>240</v>
      </c>
      <c r="DS332" s="5" t="s">
        <v>240</v>
      </c>
      <c r="DV332" s="5" t="s">
        <v>310</v>
      </c>
      <c r="DW332" s="5" t="s">
        <v>1008</v>
      </c>
      <c r="HO332" s="5" t="s">
        <v>312</v>
      </c>
    </row>
    <row r="333" spans="1:223" x14ac:dyDescent="0.4">
      <c r="A333" s="5">
        <v>1067</v>
      </c>
      <c r="B333" s="5">
        <v>1</v>
      </c>
      <c r="C333" s="5">
        <v>1</v>
      </c>
      <c r="D333" s="5" t="s">
        <v>1433</v>
      </c>
      <c r="E333" s="5" t="s">
        <v>1131</v>
      </c>
      <c r="F333" s="5" t="s">
        <v>254</v>
      </c>
      <c r="G333" s="5" t="s">
        <v>240</v>
      </c>
      <c r="H333" s="6" t="s">
        <v>1447</v>
      </c>
      <c r="I333" s="5" t="s">
        <v>1432</v>
      </c>
      <c r="J333" s="8">
        <f>161</f>
        <v>161</v>
      </c>
      <c r="K333" s="5" t="s">
        <v>308</v>
      </c>
      <c r="L333" s="7">
        <f>356615</f>
        <v>356615</v>
      </c>
      <c r="M333" s="7">
        <f>356615</f>
        <v>356615</v>
      </c>
      <c r="N333" s="5" t="s">
        <v>242</v>
      </c>
      <c r="O333" s="5">
        <v>1</v>
      </c>
      <c r="P333" s="5" t="s">
        <v>294</v>
      </c>
      <c r="Q333" s="5" t="s">
        <v>613</v>
      </c>
      <c r="R333" s="5" t="s">
        <v>240</v>
      </c>
      <c r="S333" s="5" t="s">
        <v>240</v>
      </c>
      <c r="T333" s="5" t="s">
        <v>243</v>
      </c>
      <c r="U333" s="5" t="s">
        <v>724</v>
      </c>
      <c r="V333" s="5" t="s">
        <v>240</v>
      </c>
      <c r="Y333" s="5" t="s">
        <v>240</v>
      </c>
      <c r="Z333" s="6" t="s">
        <v>298</v>
      </c>
      <c r="AB333" s="6" t="s">
        <v>240</v>
      </c>
      <c r="AE333" s="6" t="s">
        <v>299</v>
      </c>
      <c r="AF333" s="5" t="s">
        <v>248</v>
      </c>
      <c r="AG333" s="5" t="s">
        <v>249</v>
      </c>
      <c r="AW333" s="5" t="s">
        <v>251</v>
      </c>
      <c r="AX333" s="5" t="s">
        <v>240</v>
      </c>
      <c r="AY333" s="5" t="s">
        <v>253</v>
      </c>
      <c r="AZ333" s="5" t="s">
        <v>240</v>
      </c>
      <c r="BA333" s="5" t="s">
        <v>255</v>
      </c>
      <c r="BB333" s="5" t="s">
        <v>240</v>
      </c>
      <c r="BD333" s="5" t="s">
        <v>240</v>
      </c>
      <c r="BF333" s="5" t="s">
        <v>301</v>
      </c>
      <c r="BG333" s="6" t="s">
        <v>299</v>
      </c>
      <c r="BH333" s="5" t="s">
        <v>302</v>
      </c>
      <c r="BI333" s="5" t="s">
        <v>303</v>
      </c>
      <c r="BJ333" s="5" t="s">
        <v>240</v>
      </c>
      <c r="BK333" s="8">
        <f>0</f>
        <v>0</v>
      </c>
      <c r="BL333" s="7">
        <f>0</f>
        <v>0</v>
      </c>
      <c r="BM333" s="5" t="s">
        <v>258</v>
      </c>
      <c r="BN333" s="5" t="s">
        <v>259</v>
      </c>
      <c r="CB333" s="5" t="s">
        <v>240</v>
      </c>
      <c r="CC333" s="5" t="s">
        <v>240</v>
      </c>
      <c r="CG333" s="5" t="s">
        <v>617</v>
      </c>
      <c r="CH333" s="5" t="s">
        <v>305</v>
      </c>
      <c r="CI333" s="5" t="s">
        <v>240</v>
      </c>
      <c r="CL333" s="6" t="s">
        <v>261</v>
      </c>
      <c r="CM333" s="5" t="s">
        <v>240</v>
      </c>
      <c r="CN333" s="5" t="s">
        <v>263</v>
      </c>
      <c r="CO333" s="5" t="s">
        <v>240</v>
      </c>
      <c r="CP333" s="5" t="s">
        <v>240</v>
      </c>
      <c r="CQ333" s="5">
        <v>0</v>
      </c>
      <c r="CR333" s="5" t="s">
        <v>306</v>
      </c>
      <c r="CS333" s="5" t="s">
        <v>307</v>
      </c>
      <c r="CT333" s="5" t="s">
        <v>307</v>
      </c>
      <c r="CU333" s="5" t="s">
        <v>260</v>
      </c>
      <c r="CX333" s="7">
        <f>4367</f>
        <v>4367</v>
      </c>
      <c r="CY333" s="7">
        <f>0</f>
        <v>0</v>
      </c>
      <c r="DA333" s="7">
        <f>0</f>
        <v>0</v>
      </c>
      <c r="DC333" s="5" t="s">
        <v>854</v>
      </c>
      <c r="DD333" s="5" t="s">
        <v>240</v>
      </c>
      <c r="DF333" s="5" t="s">
        <v>450</v>
      </c>
      <c r="DG333" s="7">
        <f>0</f>
        <v>0</v>
      </c>
      <c r="DI333" s="5" t="s">
        <v>737</v>
      </c>
      <c r="DJ333" s="5" t="s">
        <v>240</v>
      </c>
      <c r="DK333" s="5" t="s">
        <v>240</v>
      </c>
      <c r="DL333" s="5" t="s">
        <v>240</v>
      </c>
      <c r="DP333" s="5" t="s">
        <v>240</v>
      </c>
      <c r="DQ333" s="5" t="s">
        <v>240</v>
      </c>
      <c r="DR333" s="5" t="s">
        <v>240</v>
      </c>
      <c r="DS333" s="5" t="s">
        <v>240</v>
      </c>
      <c r="DV333" s="5" t="s">
        <v>957</v>
      </c>
      <c r="DW333" s="5" t="s">
        <v>548</v>
      </c>
      <c r="HO333" s="5" t="s">
        <v>312</v>
      </c>
    </row>
    <row r="334" spans="1:223" x14ac:dyDescent="0.4">
      <c r="A334" s="5">
        <v>1068</v>
      </c>
      <c r="B334" s="5">
        <v>1</v>
      </c>
      <c r="C334" s="5">
        <v>1</v>
      </c>
      <c r="D334" s="5" t="s">
        <v>1433</v>
      </c>
      <c r="E334" s="5" t="s">
        <v>1131</v>
      </c>
      <c r="F334" s="5" t="s">
        <v>254</v>
      </c>
      <c r="G334" s="5" t="s">
        <v>240</v>
      </c>
      <c r="H334" s="6" t="s">
        <v>1446</v>
      </c>
      <c r="I334" s="5" t="s">
        <v>1432</v>
      </c>
      <c r="J334" s="8">
        <f>6511</f>
        <v>6511</v>
      </c>
      <c r="K334" s="5" t="s">
        <v>308</v>
      </c>
      <c r="L334" s="7">
        <f>14421865</f>
        <v>14421865</v>
      </c>
      <c r="M334" s="7">
        <f>14421865</f>
        <v>14421865</v>
      </c>
      <c r="N334" s="5" t="s">
        <v>242</v>
      </c>
      <c r="O334" s="5">
        <v>1</v>
      </c>
      <c r="P334" s="5" t="s">
        <v>294</v>
      </c>
      <c r="Q334" s="5" t="s">
        <v>613</v>
      </c>
      <c r="R334" s="5" t="s">
        <v>240</v>
      </c>
      <c r="S334" s="5" t="s">
        <v>240</v>
      </c>
      <c r="T334" s="5" t="s">
        <v>243</v>
      </c>
      <c r="U334" s="5" t="s">
        <v>724</v>
      </c>
      <c r="V334" s="5" t="s">
        <v>240</v>
      </c>
      <c r="Y334" s="5" t="s">
        <v>240</v>
      </c>
      <c r="Z334" s="6" t="s">
        <v>298</v>
      </c>
      <c r="AB334" s="6" t="s">
        <v>240</v>
      </c>
      <c r="AE334" s="6" t="s">
        <v>299</v>
      </c>
      <c r="AF334" s="5" t="s">
        <v>248</v>
      </c>
      <c r="AG334" s="5" t="s">
        <v>249</v>
      </c>
      <c r="AW334" s="5" t="s">
        <v>251</v>
      </c>
      <c r="AX334" s="5" t="s">
        <v>240</v>
      </c>
      <c r="AY334" s="5" t="s">
        <v>253</v>
      </c>
      <c r="AZ334" s="5" t="s">
        <v>240</v>
      </c>
      <c r="BA334" s="5" t="s">
        <v>255</v>
      </c>
      <c r="BB334" s="5" t="s">
        <v>240</v>
      </c>
      <c r="BD334" s="5" t="s">
        <v>240</v>
      </c>
      <c r="BF334" s="5" t="s">
        <v>301</v>
      </c>
      <c r="BG334" s="6" t="s">
        <v>299</v>
      </c>
      <c r="BH334" s="5" t="s">
        <v>302</v>
      </c>
      <c r="BI334" s="5" t="s">
        <v>303</v>
      </c>
      <c r="BJ334" s="5" t="s">
        <v>240</v>
      </c>
      <c r="BK334" s="8">
        <f>0</f>
        <v>0</v>
      </c>
      <c r="BL334" s="7">
        <f>0</f>
        <v>0</v>
      </c>
      <c r="BM334" s="5" t="s">
        <v>258</v>
      </c>
      <c r="BN334" s="5" t="s">
        <v>259</v>
      </c>
      <c r="CB334" s="5" t="s">
        <v>240</v>
      </c>
      <c r="CC334" s="5" t="s">
        <v>240</v>
      </c>
      <c r="CG334" s="5" t="s">
        <v>617</v>
      </c>
      <c r="CH334" s="5" t="s">
        <v>305</v>
      </c>
      <c r="CI334" s="5" t="s">
        <v>240</v>
      </c>
      <c r="CL334" s="6" t="s">
        <v>261</v>
      </c>
      <c r="CM334" s="5" t="s">
        <v>240</v>
      </c>
      <c r="CN334" s="5" t="s">
        <v>263</v>
      </c>
      <c r="CO334" s="5" t="s">
        <v>240</v>
      </c>
      <c r="CP334" s="5" t="s">
        <v>240</v>
      </c>
      <c r="CQ334" s="5">
        <v>0</v>
      </c>
      <c r="CR334" s="5" t="s">
        <v>306</v>
      </c>
      <c r="CS334" s="5" t="s">
        <v>307</v>
      </c>
      <c r="CT334" s="5" t="s">
        <v>307</v>
      </c>
      <c r="CU334" s="5" t="s">
        <v>260</v>
      </c>
      <c r="CX334" s="7">
        <f>46772</f>
        <v>46772</v>
      </c>
      <c r="CY334" s="7">
        <f>0</f>
        <v>0</v>
      </c>
      <c r="DA334" s="7">
        <f>0</f>
        <v>0</v>
      </c>
      <c r="DC334" s="5" t="s">
        <v>854</v>
      </c>
      <c r="DD334" s="5" t="s">
        <v>240</v>
      </c>
      <c r="DF334" s="5" t="s">
        <v>450</v>
      </c>
      <c r="DG334" s="7">
        <f>0</f>
        <v>0</v>
      </c>
      <c r="DI334" s="5" t="s">
        <v>737</v>
      </c>
      <c r="DJ334" s="5" t="s">
        <v>240</v>
      </c>
      <c r="DK334" s="5" t="s">
        <v>240</v>
      </c>
      <c r="DL334" s="5" t="s">
        <v>240</v>
      </c>
      <c r="DP334" s="5" t="s">
        <v>240</v>
      </c>
      <c r="DQ334" s="5" t="s">
        <v>240</v>
      </c>
      <c r="DR334" s="5" t="s">
        <v>240</v>
      </c>
      <c r="DS334" s="5" t="s">
        <v>240</v>
      </c>
      <c r="DV334" s="5" t="s">
        <v>957</v>
      </c>
      <c r="DW334" s="5" t="s">
        <v>550</v>
      </c>
      <c r="HO334" s="5" t="s">
        <v>312</v>
      </c>
    </row>
    <row r="335" spans="1:223" x14ac:dyDescent="0.4">
      <c r="A335" s="5">
        <v>1069</v>
      </c>
      <c r="B335" s="5">
        <v>1</v>
      </c>
      <c r="C335" s="5">
        <v>1</v>
      </c>
      <c r="D335" s="5" t="s">
        <v>1433</v>
      </c>
      <c r="E335" s="5" t="s">
        <v>1131</v>
      </c>
      <c r="F335" s="5" t="s">
        <v>254</v>
      </c>
      <c r="G335" s="5" t="s">
        <v>240</v>
      </c>
      <c r="H335" s="6" t="s">
        <v>1445</v>
      </c>
      <c r="I335" s="5" t="s">
        <v>1432</v>
      </c>
      <c r="J335" s="8">
        <f>1024</f>
        <v>1024</v>
      </c>
      <c r="K335" s="5" t="s">
        <v>308</v>
      </c>
      <c r="L335" s="7">
        <f>2268160</f>
        <v>2268160</v>
      </c>
      <c r="M335" s="7">
        <f>2268160</f>
        <v>2268160</v>
      </c>
      <c r="N335" s="5" t="s">
        <v>242</v>
      </c>
      <c r="O335" s="5">
        <v>1</v>
      </c>
      <c r="P335" s="5" t="s">
        <v>294</v>
      </c>
      <c r="Q335" s="5" t="s">
        <v>613</v>
      </c>
      <c r="R335" s="5" t="s">
        <v>240</v>
      </c>
      <c r="S335" s="5" t="s">
        <v>240</v>
      </c>
      <c r="T335" s="5" t="s">
        <v>243</v>
      </c>
      <c r="U335" s="5" t="s">
        <v>724</v>
      </c>
      <c r="V335" s="5" t="s">
        <v>240</v>
      </c>
      <c r="Y335" s="5" t="s">
        <v>240</v>
      </c>
      <c r="Z335" s="6" t="s">
        <v>298</v>
      </c>
      <c r="AB335" s="6" t="s">
        <v>240</v>
      </c>
      <c r="AE335" s="6" t="s">
        <v>299</v>
      </c>
      <c r="AF335" s="5" t="s">
        <v>248</v>
      </c>
      <c r="AG335" s="5" t="s">
        <v>249</v>
      </c>
      <c r="AW335" s="5" t="s">
        <v>251</v>
      </c>
      <c r="AX335" s="5" t="s">
        <v>240</v>
      </c>
      <c r="AY335" s="5" t="s">
        <v>253</v>
      </c>
      <c r="AZ335" s="5" t="s">
        <v>240</v>
      </c>
      <c r="BA335" s="5" t="s">
        <v>255</v>
      </c>
      <c r="BB335" s="5" t="s">
        <v>240</v>
      </c>
      <c r="BD335" s="5" t="s">
        <v>240</v>
      </c>
      <c r="BF335" s="5" t="s">
        <v>301</v>
      </c>
      <c r="BG335" s="6" t="s">
        <v>299</v>
      </c>
      <c r="BH335" s="5" t="s">
        <v>302</v>
      </c>
      <c r="BI335" s="5" t="s">
        <v>303</v>
      </c>
      <c r="BJ335" s="5" t="s">
        <v>240</v>
      </c>
      <c r="BK335" s="8">
        <f>0</f>
        <v>0</v>
      </c>
      <c r="BL335" s="7">
        <f>0</f>
        <v>0</v>
      </c>
      <c r="BM335" s="5" t="s">
        <v>258</v>
      </c>
      <c r="BN335" s="5" t="s">
        <v>259</v>
      </c>
      <c r="CB335" s="5" t="s">
        <v>240</v>
      </c>
      <c r="CC335" s="5" t="s">
        <v>240</v>
      </c>
      <c r="CG335" s="5" t="s">
        <v>617</v>
      </c>
      <c r="CH335" s="5" t="s">
        <v>305</v>
      </c>
      <c r="CI335" s="5" t="s">
        <v>240</v>
      </c>
      <c r="CL335" s="6" t="s">
        <v>261</v>
      </c>
      <c r="CM335" s="5" t="s">
        <v>240</v>
      </c>
      <c r="CN335" s="5" t="s">
        <v>263</v>
      </c>
      <c r="CO335" s="5" t="s">
        <v>240</v>
      </c>
      <c r="CP335" s="5" t="s">
        <v>240</v>
      </c>
      <c r="CQ335" s="5">
        <v>0</v>
      </c>
      <c r="CR335" s="5" t="s">
        <v>306</v>
      </c>
      <c r="CS335" s="5" t="s">
        <v>307</v>
      </c>
      <c r="CT335" s="5" t="s">
        <v>307</v>
      </c>
      <c r="CU335" s="5" t="s">
        <v>260</v>
      </c>
      <c r="CX335" s="7">
        <f>22033</f>
        <v>22033</v>
      </c>
      <c r="CY335" s="7">
        <f>0</f>
        <v>0</v>
      </c>
      <c r="DA335" s="7">
        <f>0</f>
        <v>0</v>
      </c>
      <c r="DC335" s="5" t="s">
        <v>854</v>
      </c>
      <c r="DD335" s="5" t="s">
        <v>240</v>
      </c>
      <c r="DF335" s="5" t="s">
        <v>450</v>
      </c>
      <c r="DG335" s="7">
        <f>0</f>
        <v>0</v>
      </c>
      <c r="DI335" s="5" t="s">
        <v>737</v>
      </c>
      <c r="DJ335" s="5" t="s">
        <v>240</v>
      </c>
      <c r="DK335" s="5" t="s">
        <v>240</v>
      </c>
      <c r="DL335" s="5" t="s">
        <v>240</v>
      </c>
      <c r="DP335" s="5" t="s">
        <v>240</v>
      </c>
      <c r="DQ335" s="5" t="s">
        <v>240</v>
      </c>
      <c r="DR335" s="5" t="s">
        <v>240</v>
      </c>
      <c r="DS335" s="5" t="s">
        <v>240</v>
      </c>
      <c r="DV335" s="5" t="s">
        <v>957</v>
      </c>
      <c r="DW335" s="5" t="s">
        <v>552</v>
      </c>
      <c r="HO335" s="5" t="s">
        <v>312</v>
      </c>
    </row>
    <row r="336" spans="1:223" x14ac:dyDescent="0.4">
      <c r="A336" s="5">
        <v>1070</v>
      </c>
      <c r="B336" s="5">
        <v>1</v>
      </c>
      <c r="C336" s="5">
        <v>1</v>
      </c>
      <c r="D336" s="5" t="s">
        <v>1433</v>
      </c>
      <c r="E336" s="5" t="s">
        <v>1131</v>
      </c>
      <c r="F336" s="5" t="s">
        <v>254</v>
      </c>
      <c r="G336" s="5" t="s">
        <v>240</v>
      </c>
      <c r="H336" s="6" t="s">
        <v>1443</v>
      </c>
      <c r="I336" s="5" t="s">
        <v>1432</v>
      </c>
      <c r="J336" s="8">
        <f>6603</f>
        <v>6603</v>
      </c>
      <c r="K336" s="5" t="s">
        <v>308</v>
      </c>
      <c r="L336" s="7">
        <f>14625645</f>
        <v>14625645</v>
      </c>
      <c r="M336" s="7">
        <f>14625645</f>
        <v>14625645</v>
      </c>
      <c r="N336" s="5" t="s">
        <v>242</v>
      </c>
      <c r="O336" s="5">
        <v>1</v>
      </c>
      <c r="P336" s="5" t="s">
        <v>294</v>
      </c>
      <c r="Q336" s="5" t="s">
        <v>613</v>
      </c>
      <c r="R336" s="5" t="s">
        <v>240</v>
      </c>
      <c r="S336" s="5" t="s">
        <v>240</v>
      </c>
      <c r="T336" s="5" t="s">
        <v>243</v>
      </c>
      <c r="U336" s="5" t="s">
        <v>724</v>
      </c>
      <c r="V336" s="5" t="s">
        <v>240</v>
      </c>
      <c r="Y336" s="5" t="s">
        <v>240</v>
      </c>
      <c r="Z336" s="6" t="s">
        <v>298</v>
      </c>
      <c r="AB336" s="6" t="s">
        <v>240</v>
      </c>
      <c r="AE336" s="6" t="s">
        <v>299</v>
      </c>
      <c r="AF336" s="5" t="s">
        <v>248</v>
      </c>
      <c r="AG336" s="5" t="s">
        <v>249</v>
      </c>
      <c r="AW336" s="5" t="s">
        <v>251</v>
      </c>
      <c r="AX336" s="5" t="s">
        <v>240</v>
      </c>
      <c r="AY336" s="5" t="s">
        <v>253</v>
      </c>
      <c r="AZ336" s="5" t="s">
        <v>240</v>
      </c>
      <c r="BA336" s="5" t="s">
        <v>255</v>
      </c>
      <c r="BB336" s="5" t="s">
        <v>240</v>
      </c>
      <c r="BD336" s="5" t="s">
        <v>240</v>
      </c>
      <c r="BF336" s="5" t="s">
        <v>301</v>
      </c>
      <c r="BG336" s="6" t="s">
        <v>299</v>
      </c>
      <c r="BH336" s="5" t="s">
        <v>302</v>
      </c>
      <c r="BI336" s="5" t="s">
        <v>303</v>
      </c>
      <c r="BJ336" s="5" t="s">
        <v>240</v>
      </c>
      <c r="BK336" s="8">
        <f>0</f>
        <v>0</v>
      </c>
      <c r="BL336" s="7">
        <f>0</f>
        <v>0</v>
      </c>
      <c r="BM336" s="5" t="s">
        <v>258</v>
      </c>
      <c r="BN336" s="5" t="s">
        <v>259</v>
      </c>
      <c r="CB336" s="5" t="s">
        <v>240</v>
      </c>
      <c r="CC336" s="5" t="s">
        <v>240</v>
      </c>
      <c r="CG336" s="5" t="s">
        <v>617</v>
      </c>
      <c r="CH336" s="5" t="s">
        <v>305</v>
      </c>
      <c r="CI336" s="5" t="s">
        <v>240</v>
      </c>
      <c r="CL336" s="6" t="s">
        <v>261</v>
      </c>
      <c r="CM336" s="5" t="s">
        <v>240</v>
      </c>
      <c r="CN336" s="5" t="s">
        <v>263</v>
      </c>
      <c r="CO336" s="5" t="s">
        <v>240</v>
      </c>
      <c r="CP336" s="5" t="s">
        <v>240</v>
      </c>
      <c r="CQ336" s="5">
        <v>0</v>
      </c>
      <c r="CR336" s="5" t="s">
        <v>306</v>
      </c>
      <c r="CS336" s="5" t="s">
        <v>307</v>
      </c>
      <c r="CT336" s="5" t="s">
        <v>307</v>
      </c>
      <c r="CU336" s="5" t="s">
        <v>260</v>
      </c>
      <c r="CX336" s="7">
        <f>5632</f>
        <v>5632</v>
      </c>
      <c r="CY336" s="7">
        <f>0</f>
        <v>0</v>
      </c>
      <c r="DA336" s="7">
        <f>0</f>
        <v>0</v>
      </c>
      <c r="DC336" s="5" t="s">
        <v>854</v>
      </c>
      <c r="DD336" s="5" t="s">
        <v>240</v>
      </c>
      <c r="DF336" s="5" t="s">
        <v>450</v>
      </c>
      <c r="DG336" s="7">
        <f>0</f>
        <v>0</v>
      </c>
      <c r="DI336" s="5" t="s">
        <v>737</v>
      </c>
      <c r="DJ336" s="5" t="s">
        <v>240</v>
      </c>
      <c r="DK336" s="5" t="s">
        <v>240</v>
      </c>
      <c r="DL336" s="5" t="s">
        <v>240</v>
      </c>
      <c r="DP336" s="5" t="s">
        <v>240</v>
      </c>
      <c r="DQ336" s="5" t="s">
        <v>240</v>
      </c>
      <c r="DR336" s="5" t="s">
        <v>240</v>
      </c>
      <c r="DS336" s="5" t="s">
        <v>240</v>
      </c>
      <c r="DV336" s="5" t="s">
        <v>957</v>
      </c>
      <c r="DW336" s="5" t="s">
        <v>554</v>
      </c>
      <c r="HO336" s="5" t="s">
        <v>312</v>
      </c>
    </row>
    <row r="337" spans="1:223" x14ac:dyDescent="0.4">
      <c r="A337" s="5">
        <v>1071</v>
      </c>
      <c r="B337" s="5">
        <v>1</v>
      </c>
      <c r="C337" s="5">
        <v>1</v>
      </c>
      <c r="D337" s="5" t="s">
        <v>1433</v>
      </c>
      <c r="E337" s="5" t="s">
        <v>1131</v>
      </c>
      <c r="F337" s="5" t="s">
        <v>254</v>
      </c>
      <c r="G337" s="5" t="s">
        <v>240</v>
      </c>
      <c r="H337" s="6" t="s">
        <v>1442</v>
      </c>
      <c r="I337" s="5" t="s">
        <v>1432</v>
      </c>
      <c r="J337" s="8">
        <f>962</f>
        <v>962</v>
      </c>
      <c r="K337" s="5" t="s">
        <v>308</v>
      </c>
      <c r="L337" s="7">
        <f>2130830</f>
        <v>2130830</v>
      </c>
      <c r="M337" s="7">
        <f>2130830</f>
        <v>2130830</v>
      </c>
      <c r="N337" s="5" t="s">
        <v>242</v>
      </c>
      <c r="O337" s="5">
        <v>1</v>
      </c>
      <c r="P337" s="5" t="s">
        <v>294</v>
      </c>
      <c r="Q337" s="5" t="s">
        <v>613</v>
      </c>
      <c r="R337" s="5" t="s">
        <v>240</v>
      </c>
      <c r="S337" s="5" t="s">
        <v>240</v>
      </c>
      <c r="T337" s="5" t="s">
        <v>243</v>
      </c>
      <c r="U337" s="5" t="s">
        <v>724</v>
      </c>
      <c r="V337" s="5" t="s">
        <v>240</v>
      </c>
      <c r="Y337" s="5" t="s">
        <v>240</v>
      </c>
      <c r="Z337" s="6" t="s">
        <v>298</v>
      </c>
      <c r="AB337" s="6" t="s">
        <v>240</v>
      </c>
      <c r="AE337" s="6" t="s">
        <v>299</v>
      </c>
      <c r="AF337" s="5" t="s">
        <v>248</v>
      </c>
      <c r="AG337" s="5" t="s">
        <v>249</v>
      </c>
      <c r="AW337" s="5" t="s">
        <v>251</v>
      </c>
      <c r="AX337" s="5" t="s">
        <v>240</v>
      </c>
      <c r="AY337" s="5" t="s">
        <v>253</v>
      </c>
      <c r="AZ337" s="5" t="s">
        <v>240</v>
      </c>
      <c r="BA337" s="5" t="s">
        <v>255</v>
      </c>
      <c r="BB337" s="5" t="s">
        <v>240</v>
      </c>
      <c r="BD337" s="5" t="s">
        <v>240</v>
      </c>
      <c r="BF337" s="5" t="s">
        <v>301</v>
      </c>
      <c r="BG337" s="6" t="s">
        <v>299</v>
      </c>
      <c r="BH337" s="5" t="s">
        <v>302</v>
      </c>
      <c r="BI337" s="5" t="s">
        <v>303</v>
      </c>
      <c r="BJ337" s="5" t="s">
        <v>240</v>
      </c>
      <c r="BK337" s="8">
        <f>0</f>
        <v>0</v>
      </c>
      <c r="BL337" s="7">
        <f>0</f>
        <v>0</v>
      </c>
      <c r="BM337" s="5" t="s">
        <v>258</v>
      </c>
      <c r="BN337" s="5" t="s">
        <v>259</v>
      </c>
      <c r="CB337" s="5" t="s">
        <v>240</v>
      </c>
      <c r="CC337" s="5" t="s">
        <v>240</v>
      </c>
      <c r="CG337" s="5" t="s">
        <v>617</v>
      </c>
      <c r="CH337" s="5" t="s">
        <v>305</v>
      </c>
      <c r="CI337" s="5" t="s">
        <v>240</v>
      </c>
      <c r="CL337" s="6" t="s">
        <v>261</v>
      </c>
      <c r="CM337" s="5" t="s">
        <v>240</v>
      </c>
      <c r="CN337" s="5" t="s">
        <v>263</v>
      </c>
      <c r="CO337" s="5" t="s">
        <v>240</v>
      </c>
      <c r="CP337" s="5" t="s">
        <v>240</v>
      </c>
      <c r="CQ337" s="5">
        <v>0</v>
      </c>
      <c r="CR337" s="5" t="s">
        <v>306</v>
      </c>
      <c r="CS337" s="5" t="s">
        <v>307</v>
      </c>
      <c r="CT337" s="5" t="s">
        <v>307</v>
      </c>
      <c r="CU337" s="5" t="s">
        <v>260</v>
      </c>
      <c r="CX337" s="7">
        <f>10758</f>
        <v>10758</v>
      </c>
      <c r="CY337" s="7">
        <f>0</f>
        <v>0</v>
      </c>
      <c r="DA337" s="7">
        <f>0</f>
        <v>0</v>
      </c>
      <c r="DC337" s="5" t="s">
        <v>854</v>
      </c>
      <c r="DD337" s="5" t="s">
        <v>240</v>
      </c>
      <c r="DF337" s="5" t="s">
        <v>450</v>
      </c>
      <c r="DG337" s="7">
        <f>0</f>
        <v>0</v>
      </c>
      <c r="DI337" s="5" t="s">
        <v>737</v>
      </c>
      <c r="DJ337" s="5" t="s">
        <v>240</v>
      </c>
      <c r="DK337" s="5" t="s">
        <v>240</v>
      </c>
      <c r="DL337" s="5" t="s">
        <v>240</v>
      </c>
      <c r="DP337" s="5" t="s">
        <v>240</v>
      </c>
      <c r="DQ337" s="5" t="s">
        <v>240</v>
      </c>
      <c r="DR337" s="5" t="s">
        <v>240</v>
      </c>
      <c r="DS337" s="5" t="s">
        <v>240</v>
      </c>
      <c r="DV337" s="5" t="s">
        <v>957</v>
      </c>
      <c r="DW337" s="5" t="s">
        <v>556</v>
      </c>
      <c r="HO337" s="5" t="s">
        <v>312</v>
      </c>
    </row>
    <row r="338" spans="1:223" x14ac:dyDescent="0.4">
      <c r="A338" s="5">
        <v>1072</v>
      </c>
      <c r="B338" s="5">
        <v>1</v>
      </c>
      <c r="C338" s="5">
        <v>1</v>
      </c>
      <c r="D338" s="5" t="s">
        <v>1433</v>
      </c>
      <c r="E338" s="5" t="s">
        <v>1131</v>
      </c>
      <c r="F338" s="5" t="s">
        <v>254</v>
      </c>
      <c r="G338" s="5" t="s">
        <v>240</v>
      </c>
      <c r="H338" s="6" t="s">
        <v>1441</v>
      </c>
      <c r="I338" s="5" t="s">
        <v>1432</v>
      </c>
      <c r="J338" s="8">
        <f>1452</f>
        <v>1452</v>
      </c>
      <c r="K338" s="5" t="s">
        <v>308</v>
      </c>
      <c r="L338" s="7">
        <f>3216180</f>
        <v>3216180</v>
      </c>
      <c r="M338" s="7">
        <f>3216180</f>
        <v>3216180</v>
      </c>
      <c r="N338" s="5" t="s">
        <v>242</v>
      </c>
      <c r="O338" s="5">
        <v>1</v>
      </c>
      <c r="P338" s="5" t="s">
        <v>294</v>
      </c>
      <c r="Q338" s="5" t="s">
        <v>613</v>
      </c>
      <c r="R338" s="5" t="s">
        <v>240</v>
      </c>
      <c r="S338" s="5" t="s">
        <v>240</v>
      </c>
      <c r="T338" s="5" t="s">
        <v>243</v>
      </c>
      <c r="U338" s="5" t="s">
        <v>724</v>
      </c>
      <c r="V338" s="5" t="s">
        <v>240</v>
      </c>
      <c r="Y338" s="5" t="s">
        <v>240</v>
      </c>
      <c r="Z338" s="6" t="s">
        <v>298</v>
      </c>
      <c r="AB338" s="6" t="s">
        <v>240</v>
      </c>
      <c r="AE338" s="6" t="s">
        <v>299</v>
      </c>
      <c r="AF338" s="5" t="s">
        <v>248</v>
      </c>
      <c r="AG338" s="5" t="s">
        <v>249</v>
      </c>
      <c r="AW338" s="5" t="s">
        <v>251</v>
      </c>
      <c r="AX338" s="5" t="s">
        <v>240</v>
      </c>
      <c r="AY338" s="5" t="s">
        <v>253</v>
      </c>
      <c r="AZ338" s="5" t="s">
        <v>240</v>
      </c>
      <c r="BA338" s="5" t="s">
        <v>255</v>
      </c>
      <c r="BB338" s="5" t="s">
        <v>240</v>
      </c>
      <c r="BD338" s="5" t="s">
        <v>240</v>
      </c>
      <c r="BF338" s="5" t="s">
        <v>301</v>
      </c>
      <c r="BG338" s="6" t="s">
        <v>299</v>
      </c>
      <c r="BH338" s="5" t="s">
        <v>302</v>
      </c>
      <c r="BI338" s="5" t="s">
        <v>303</v>
      </c>
      <c r="BJ338" s="5" t="s">
        <v>240</v>
      </c>
      <c r="BK338" s="8">
        <f>0</f>
        <v>0</v>
      </c>
      <c r="BL338" s="7">
        <f>0</f>
        <v>0</v>
      </c>
      <c r="BM338" s="5" t="s">
        <v>258</v>
      </c>
      <c r="BN338" s="5" t="s">
        <v>259</v>
      </c>
      <c r="CB338" s="5" t="s">
        <v>240</v>
      </c>
      <c r="CC338" s="5" t="s">
        <v>240</v>
      </c>
      <c r="CG338" s="5" t="s">
        <v>617</v>
      </c>
      <c r="CH338" s="5" t="s">
        <v>305</v>
      </c>
      <c r="CI338" s="5" t="s">
        <v>240</v>
      </c>
      <c r="CL338" s="6" t="s">
        <v>261</v>
      </c>
      <c r="CM338" s="5" t="s">
        <v>240</v>
      </c>
      <c r="CN338" s="5" t="s">
        <v>263</v>
      </c>
      <c r="CO338" s="5" t="s">
        <v>240</v>
      </c>
      <c r="CP338" s="5" t="s">
        <v>240</v>
      </c>
      <c r="CQ338" s="5">
        <v>0</v>
      </c>
      <c r="CR338" s="5" t="s">
        <v>306</v>
      </c>
      <c r="CS338" s="5" t="s">
        <v>307</v>
      </c>
      <c r="CT338" s="5" t="s">
        <v>307</v>
      </c>
      <c r="CU338" s="5" t="s">
        <v>260</v>
      </c>
      <c r="CX338" s="7">
        <f>1518</f>
        <v>1518</v>
      </c>
      <c r="CY338" s="7">
        <f>0</f>
        <v>0</v>
      </c>
      <c r="DA338" s="7">
        <f>0</f>
        <v>0</v>
      </c>
      <c r="DC338" s="5" t="s">
        <v>854</v>
      </c>
      <c r="DD338" s="5" t="s">
        <v>240</v>
      </c>
      <c r="DF338" s="5" t="s">
        <v>450</v>
      </c>
      <c r="DG338" s="7">
        <f>0</f>
        <v>0</v>
      </c>
      <c r="DI338" s="5" t="s">
        <v>737</v>
      </c>
      <c r="DJ338" s="5" t="s">
        <v>240</v>
      </c>
      <c r="DK338" s="5" t="s">
        <v>240</v>
      </c>
      <c r="DL338" s="5" t="s">
        <v>240</v>
      </c>
      <c r="DP338" s="5" t="s">
        <v>240</v>
      </c>
      <c r="DQ338" s="5" t="s">
        <v>240</v>
      </c>
      <c r="DR338" s="5" t="s">
        <v>240</v>
      </c>
      <c r="DS338" s="5" t="s">
        <v>240</v>
      </c>
      <c r="DV338" s="5" t="s">
        <v>957</v>
      </c>
      <c r="DW338" s="5" t="s">
        <v>558</v>
      </c>
      <c r="HO338" s="5" t="s">
        <v>312</v>
      </c>
    </row>
    <row r="339" spans="1:223" x14ac:dyDescent="0.4">
      <c r="A339" s="5">
        <v>1073</v>
      </c>
      <c r="B339" s="5">
        <v>1</v>
      </c>
      <c r="C339" s="5">
        <v>1</v>
      </c>
      <c r="D339" s="5" t="s">
        <v>1433</v>
      </c>
      <c r="E339" s="5" t="s">
        <v>1131</v>
      </c>
      <c r="F339" s="5" t="s">
        <v>254</v>
      </c>
      <c r="G339" s="5" t="s">
        <v>240</v>
      </c>
      <c r="H339" s="6" t="s">
        <v>1440</v>
      </c>
      <c r="I339" s="5" t="s">
        <v>1432</v>
      </c>
      <c r="J339" s="8">
        <f>6947</f>
        <v>6947</v>
      </c>
      <c r="K339" s="5" t="s">
        <v>308</v>
      </c>
      <c r="L339" s="7">
        <f>15387605</f>
        <v>15387605</v>
      </c>
      <c r="M339" s="7">
        <f>15387605</f>
        <v>15387605</v>
      </c>
      <c r="N339" s="5" t="s">
        <v>242</v>
      </c>
      <c r="O339" s="5">
        <v>1</v>
      </c>
      <c r="P339" s="5" t="s">
        <v>294</v>
      </c>
      <c r="Q339" s="5" t="s">
        <v>613</v>
      </c>
      <c r="R339" s="5" t="s">
        <v>240</v>
      </c>
      <c r="S339" s="5" t="s">
        <v>240</v>
      </c>
      <c r="T339" s="5" t="s">
        <v>243</v>
      </c>
      <c r="U339" s="5" t="s">
        <v>724</v>
      </c>
      <c r="V339" s="5" t="s">
        <v>240</v>
      </c>
      <c r="Y339" s="5" t="s">
        <v>240</v>
      </c>
      <c r="Z339" s="6" t="s">
        <v>298</v>
      </c>
      <c r="AB339" s="6" t="s">
        <v>240</v>
      </c>
      <c r="AE339" s="6" t="s">
        <v>299</v>
      </c>
      <c r="AF339" s="5" t="s">
        <v>248</v>
      </c>
      <c r="AG339" s="5" t="s">
        <v>249</v>
      </c>
      <c r="AW339" s="5" t="s">
        <v>251</v>
      </c>
      <c r="AX339" s="5" t="s">
        <v>240</v>
      </c>
      <c r="AY339" s="5" t="s">
        <v>253</v>
      </c>
      <c r="AZ339" s="5" t="s">
        <v>240</v>
      </c>
      <c r="BA339" s="5" t="s">
        <v>255</v>
      </c>
      <c r="BB339" s="5" t="s">
        <v>240</v>
      </c>
      <c r="BD339" s="5" t="s">
        <v>240</v>
      </c>
      <c r="BF339" s="5" t="s">
        <v>301</v>
      </c>
      <c r="BG339" s="6" t="s">
        <v>299</v>
      </c>
      <c r="BH339" s="5" t="s">
        <v>302</v>
      </c>
      <c r="BI339" s="5" t="s">
        <v>303</v>
      </c>
      <c r="BJ339" s="5" t="s">
        <v>240</v>
      </c>
      <c r="BK339" s="8">
        <f>0</f>
        <v>0</v>
      </c>
      <c r="BL339" s="7">
        <f>0</f>
        <v>0</v>
      </c>
      <c r="BM339" s="5" t="s">
        <v>258</v>
      </c>
      <c r="BN339" s="5" t="s">
        <v>259</v>
      </c>
      <c r="CB339" s="5" t="s">
        <v>240</v>
      </c>
      <c r="CC339" s="5" t="s">
        <v>240</v>
      </c>
      <c r="CG339" s="5" t="s">
        <v>617</v>
      </c>
      <c r="CH339" s="5" t="s">
        <v>305</v>
      </c>
      <c r="CI339" s="5" t="s">
        <v>240</v>
      </c>
      <c r="CL339" s="6" t="s">
        <v>261</v>
      </c>
      <c r="CM339" s="5" t="s">
        <v>240</v>
      </c>
      <c r="CN339" s="5" t="s">
        <v>263</v>
      </c>
      <c r="CO339" s="5" t="s">
        <v>240</v>
      </c>
      <c r="CP339" s="5" t="s">
        <v>240</v>
      </c>
      <c r="CQ339" s="5">
        <v>0</v>
      </c>
      <c r="CR339" s="5" t="s">
        <v>306</v>
      </c>
      <c r="CS339" s="5" t="s">
        <v>307</v>
      </c>
      <c r="CT339" s="5" t="s">
        <v>307</v>
      </c>
      <c r="CU339" s="5" t="s">
        <v>260</v>
      </c>
      <c r="CX339" s="7">
        <f>44528</f>
        <v>44528</v>
      </c>
      <c r="CY339" s="7">
        <f>0</f>
        <v>0</v>
      </c>
      <c r="DA339" s="7">
        <f>0</f>
        <v>0</v>
      </c>
      <c r="DC339" s="5" t="s">
        <v>450</v>
      </c>
      <c r="DD339" s="5" t="s">
        <v>240</v>
      </c>
      <c r="DF339" s="5" t="s">
        <v>450</v>
      </c>
      <c r="DG339" s="7">
        <f>0</f>
        <v>0</v>
      </c>
      <c r="DI339" s="5" t="s">
        <v>737</v>
      </c>
      <c r="DJ339" s="5" t="s">
        <v>240</v>
      </c>
      <c r="DK339" s="5" t="s">
        <v>240</v>
      </c>
      <c r="DL339" s="5" t="s">
        <v>240</v>
      </c>
      <c r="DP339" s="5" t="s">
        <v>240</v>
      </c>
      <c r="DQ339" s="5" t="s">
        <v>240</v>
      </c>
      <c r="DR339" s="5" t="s">
        <v>240</v>
      </c>
      <c r="DS339" s="5" t="s">
        <v>240</v>
      </c>
      <c r="DV339" s="5" t="s">
        <v>957</v>
      </c>
      <c r="DW339" s="5" t="s">
        <v>560</v>
      </c>
      <c r="HO339" s="5" t="s">
        <v>312</v>
      </c>
    </row>
    <row r="340" spans="1:223" x14ac:dyDescent="0.4">
      <c r="A340" s="5">
        <v>1074</v>
      </c>
      <c r="B340" s="5">
        <v>1</v>
      </c>
      <c r="C340" s="5">
        <v>1</v>
      </c>
      <c r="D340" s="5" t="s">
        <v>1433</v>
      </c>
      <c r="E340" s="5" t="s">
        <v>1131</v>
      </c>
      <c r="F340" s="5" t="s">
        <v>254</v>
      </c>
      <c r="G340" s="5" t="s">
        <v>240</v>
      </c>
      <c r="H340" s="6" t="s">
        <v>1439</v>
      </c>
      <c r="I340" s="5" t="s">
        <v>1432</v>
      </c>
      <c r="J340" s="8">
        <f>527</f>
        <v>527</v>
      </c>
      <c r="K340" s="5" t="s">
        <v>308</v>
      </c>
      <c r="L340" s="7">
        <f>1167305</f>
        <v>1167305</v>
      </c>
      <c r="M340" s="7">
        <f>1167305</f>
        <v>1167305</v>
      </c>
      <c r="N340" s="5" t="s">
        <v>242</v>
      </c>
      <c r="O340" s="5">
        <v>1</v>
      </c>
      <c r="P340" s="5" t="s">
        <v>294</v>
      </c>
      <c r="Q340" s="5" t="s">
        <v>613</v>
      </c>
      <c r="R340" s="5" t="s">
        <v>240</v>
      </c>
      <c r="S340" s="5" t="s">
        <v>240</v>
      </c>
      <c r="T340" s="5" t="s">
        <v>243</v>
      </c>
      <c r="U340" s="5" t="s">
        <v>724</v>
      </c>
      <c r="V340" s="5" t="s">
        <v>240</v>
      </c>
      <c r="Y340" s="5" t="s">
        <v>240</v>
      </c>
      <c r="Z340" s="6" t="s">
        <v>298</v>
      </c>
      <c r="AB340" s="6" t="s">
        <v>240</v>
      </c>
      <c r="AE340" s="6" t="s">
        <v>299</v>
      </c>
      <c r="AF340" s="5" t="s">
        <v>248</v>
      </c>
      <c r="AG340" s="5" t="s">
        <v>249</v>
      </c>
      <c r="AW340" s="5" t="s">
        <v>251</v>
      </c>
      <c r="AX340" s="5" t="s">
        <v>240</v>
      </c>
      <c r="AY340" s="5" t="s">
        <v>253</v>
      </c>
      <c r="AZ340" s="5" t="s">
        <v>240</v>
      </c>
      <c r="BA340" s="5" t="s">
        <v>255</v>
      </c>
      <c r="BB340" s="5" t="s">
        <v>240</v>
      </c>
      <c r="BD340" s="5" t="s">
        <v>240</v>
      </c>
      <c r="BF340" s="5" t="s">
        <v>301</v>
      </c>
      <c r="BG340" s="6" t="s">
        <v>299</v>
      </c>
      <c r="BH340" s="5" t="s">
        <v>302</v>
      </c>
      <c r="BI340" s="5" t="s">
        <v>303</v>
      </c>
      <c r="BJ340" s="5" t="s">
        <v>240</v>
      </c>
      <c r="BK340" s="8">
        <f>0</f>
        <v>0</v>
      </c>
      <c r="BL340" s="7">
        <f>0</f>
        <v>0</v>
      </c>
      <c r="BM340" s="5" t="s">
        <v>258</v>
      </c>
      <c r="BN340" s="5" t="s">
        <v>259</v>
      </c>
      <c r="CB340" s="5" t="s">
        <v>240</v>
      </c>
      <c r="CC340" s="5" t="s">
        <v>240</v>
      </c>
      <c r="CG340" s="5" t="s">
        <v>617</v>
      </c>
      <c r="CH340" s="5" t="s">
        <v>305</v>
      </c>
      <c r="CI340" s="5" t="s">
        <v>240</v>
      </c>
      <c r="CL340" s="6" t="s">
        <v>261</v>
      </c>
      <c r="CM340" s="5" t="s">
        <v>240</v>
      </c>
      <c r="CN340" s="5" t="s">
        <v>263</v>
      </c>
      <c r="CO340" s="5" t="s">
        <v>240</v>
      </c>
      <c r="CP340" s="5" t="s">
        <v>240</v>
      </c>
      <c r="CQ340" s="5">
        <v>0</v>
      </c>
      <c r="CR340" s="5" t="s">
        <v>306</v>
      </c>
      <c r="CS340" s="5" t="s">
        <v>307</v>
      </c>
      <c r="CT340" s="5" t="s">
        <v>307</v>
      </c>
      <c r="CU340" s="5" t="s">
        <v>260</v>
      </c>
      <c r="CX340" s="7">
        <f>10439</f>
        <v>10439</v>
      </c>
      <c r="CY340" s="7">
        <f>0</f>
        <v>0</v>
      </c>
      <c r="DA340" s="7">
        <f>0</f>
        <v>0</v>
      </c>
      <c r="DC340" s="5" t="s">
        <v>854</v>
      </c>
      <c r="DD340" s="5" t="s">
        <v>240</v>
      </c>
      <c r="DF340" s="5" t="s">
        <v>450</v>
      </c>
      <c r="DG340" s="7">
        <f>0</f>
        <v>0</v>
      </c>
      <c r="DI340" s="5" t="s">
        <v>737</v>
      </c>
      <c r="DJ340" s="5" t="s">
        <v>240</v>
      </c>
      <c r="DK340" s="5" t="s">
        <v>240</v>
      </c>
      <c r="DL340" s="5" t="s">
        <v>240</v>
      </c>
      <c r="DP340" s="5" t="s">
        <v>240</v>
      </c>
      <c r="DQ340" s="5" t="s">
        <v>240</v>
      </c>
      <c r="DR340" s="5" t="s">
        <v>240</v>
      </c>
      <c r="DS340" s="5" t="s">
        <v>240</v>
      </c>
      <c r="DV340" s="5" t="s">
        <v>957</v>
      </c>
      <c r="DW340" s="5" t="s">
        <v>562</v>
      </c>
      <c r="HO340" s="5" t="s">
        <v>312</v>
      </c>
    </row>
    <row r="341" spans="1:223" x14ac:dyDescent="0.4">
      <c r="A341" s="5">
        <v>1075</v>
      </c>
      <c r="B341" s="5">
        <v>1</v>
      </c>
      <c r="C341" s="5">
        <v>1</v>
      </c>
      <c r="D341" s="5" t="s">
        <v>1433</v>
      </c>
      <c r="E341" s="5" t="s">
        <v>1131</v>
      </c>
      <c r="F341" s="5" t="s">
        <v>254</v>
      </c>
      <c r="G341" s="5" t="s">
        <v>240</v>
      </c>
      <c r="H341" s="6" t="s">
        <v>1438</v>
      </c>
      <c r="I341" s="5" t="s">
        <v>1432</v>
      </c>
      <c r="J341" s="8">
        <f>7577</f>
        <v>7577</v>
      </c>
      <c r="K341" s="5" t="s">
        <v>308</v>
      </c>
      <c r="L341" s="7">
        <f>16783055</f>
        <v>16783055</v>
      </c>
      <c r="M341" s="7">
        <f>16783055</f>
        <v>16783055</v>
      </c>
      <c r="N341" s="5" t="s">
        <v>242</v>
      </c>
      <c r="O341" s="5">
        <v>1</v>
      </c>
      <c r="P341" s="5" t="s">
        <v>294</v>
      </c>
      <c r="Q341" s="5" t="s">
        <v>613</v>
      </c>
      <c r="R341" s="5" t="s">
        <v>240</v>
      </c>
      <c r="S341" s="5" t="s">
        <v>240</v>
      </c>
      <c r="T341" s="5" t="s">
        <v>243</v>
      </c>
      <c r="U341" s="5" t="s">
        <v>724</v>
      </c>
      <c r="V341" s="5" t="s">
        <v>240</v>
      </c>
      <c r="Y341" s="5" t="s">
        <v>240</v>
      </c>
      <c r="Z341" s="6" t="s">
        <v>298</v>
      </c>
      <c r="AB341" s="6" t="s">
        <v>240</v>
      </c>
      <c r="AE341" s="6" t="s">
        <v>299</v>
      </c>
      <c r="AF341" s="5" t="s">
        <v>248</v>
      </c>
      <c r="AG341" s="5" t="s">
        <v>249</v>
      </c>
      <c r="AW341" s="5" t="s">
        <v>251</v>
      </c>
      <c r="AX341" s="5" t="s">
        <v>240</v>
      </c>
      <c r="AY341" s="5" t="s">
        <v>253</v>
      </c>
      <c r="AZ341" s="5" t="s">
        <v>240</v>
      </c>
      <c r="BA341" s="5" t="s">
        <v>255</v>
      </c>
      <c r="BB341" s="5" t="s">
        <v>240</v>
      </c>
      <c r="BD341" s="5" t="s">
        <v>240</v>
      </c>
      <c r="BF341" s="5" t="s">
        <v>301</v>
      </c>
      <c r="BG341" s="6" t="s">
        <v>299</v>
      </c>
      <c r="BH341" s="5" t="s">
        <v>302</v>
      </c>
      <c r="BI341" s="5" t="s">
        <v>303</v>
      </c>
      <c r="BJ341" s="5" t="s">
        <v>240</v>
      </c>
      <c r="BK341" s="8">
        <f>0</f>
        <v>0</v>
      </c>
      <c r="BL341" s="7">
        <f>0</f>
        <v>0</v>
      </c>
      <c r="BM341" s="5" t="s">
        <v>258</v>
      </c>
      <c r="BN341" s="5" t="s">
        <v>259</v>
      </c>
      <c r="CB341" s="5" t="s">
        <v>240</v>
      </c>
      <c r="CC341" s="5" t="s">
        <v>240</v>
      </c>
      <c r="CG341" s="5" t="s">
        <v>617</v>
      </c>
      <c r="CH341" s="5" t="s">
        <v>305</v>
      </c>
      <c r="CI341" s="5" t="s">
        <v>240</v>
      </c>
      <c r="CL341" s="6" t="s">
        <v>261</v>
      </c>
      <c r="CM341" s="5" t="s">
        <v>240</v>
      </c>
      <c r="CN341" s="5" t="s">
        <v>263</v>
      </c>
      <c r="CO341" s="5" t="s">
        <v>240</v>
      </c>
      <c r="CP341" s="5" t="s">
        <v>240</v>
      </c>
      <c r="CQ341" s="5">
        <v>0</v>
      </c>
      <c r="CR341" s="5" t="s">
        <v>306</v>
      </c>
      <c r="CS341" s="5" t="s">
        <v>307</v>
      </c>
      <c r="CT341" s="5" t="s">
        <v>307</v>
      </c>
      <c r="CU341" s="5" t="s">
        <v>260</v>
      </c>
      <c r="CX341" s="7">
        <f>30833</f>
        <v>30833</v>
      </c>
      <c r="CY341" s="7">
        <f>0</f>
        <v>0</v>
      </c>
      <c r="DA341" s="7">
        <f>0</f>
        <v>0</v>
      </c>
      <c r="DC341" s="5" t="s">
        <v>450</v>
      </c>
      <c r="DD341" s="5" t="s">
        <v>240</v>
      </c>
      <c r="DF341" s="5" t="s">
        <v>450</v>
      </c>
      <c r="DG341" s="7">
        <f>0</f>
        <v>0</v>
      </c>
      <c r="DI341" s="5" t="s">
        <v>737</v>
      </c>
      <c r="DJ341" s="5" t="s">
        <v>240</v>
      </c>
      <c r="DK341" s="5" t="s">
        <v>240</v>
      </c>
      <c r="DL341" s="5" t="s">
        <v>240</v>
      </c>
      <c r="DP341" s="5" t="s">
        <v>240</v>
      </c>
      <c r="DQ341" s="5" t="s">
        <v>240</v>
      </c>
      <c r="DR341" s="5" t="s">
        <v>240</v>
      </c>
      <c r="DS341" s="5" t="s">
        <v>240</v>
      </c>
      <c r="DV341" s="5" t="s">
        <v>957</v>
      </c>
      <c r="DW341" s="5" t="s">
        <v>564</v>
      </c>
      <c r="HO341" s="5" t="s">
        <v>312</v>
      </c>
    </row>
    <row r="342" spans="1:223" x14ac:dyDescent="0.4">
      <c r="A342" s="5">
        <v>1076</v>
      </c>
      <c r="B342" s="5">
        <v>1</v>
      </c>
      <c r="C342" s="5">
        <v>1</v>
      </c>
      <c r="D342" s="5" t="s">
        <v>1433</v>
      </c>
      <c r="E342" s="5" t="s">
        <v>1131</v>
      </c>
      <c r="F342" s="5" t="s">
        <v>254</v>
      </c>
      <c r="G342" s="5" t="s">
        <v>240</v>
      </c>
      <c r="H342" s="6" t="s">
        <v>1437</v>
      </c>
      <c r="I342" s="5" t="s">
        <v>1432</v>
      </c>
      <c r="J342" s="8">
        <f>2274</f>
        <v>2274</v>
      </c>
      <c r="K342" s="5" t="s">
        <v>308</v>
      </c>
      <c r="L342" s="7">
        <f>5036910</f>
        <v>5036910</v>
      </c>
      <c r="M342" s="7">
        <f>5036910</f>
        <v>5036910</v>
      </c>
      <c r="N342" s="5" t="s">
        <v>242</v>
      </c>
      <c r="O342" s="5">
        <v>1</v>
      </c>
      <c r="P342" s="5" t="s">
        <v>294</v>
      </c>
      <c r="Q342" s="5" t="s">
        <v>613</v>
      </c>
      <c r="R342" s="5" t="s">
        <v>240</v>
      </c>
      <c r="S342" s="5" t="s">
        <v>240</v>
      </c>
      <c r="T342" s="5" t="s">
        <v>243</v>
      </c>
      <c r="U342" s="5" t="s">
        <v>724</v>
      </c>
      <c r="V342" s="5" t="s">
        <v>240</v>
      </c>
      <c r="Y342" s="5" t="s">
        <v>240</v>
      </c>
      <c r="Z342" s="6" t="s">
        <v>298</v>
      </c>
      <c r="AB342" s="6" t="s">
        <v>240</v>
      </c>
      <c r="AE342" s="6" t="s">
        <v>299</v>
      </c>
      <c r="AF342" s="5" t="s">
        <v>248</v>
      </c>
      <c r="AG342" s="5" t="s">
        <v>249</v>
      </c>
      <c r="AW342" s="5" t="s">
        <v>251</v>
      </c>
      <c r="AX342" s="5" t="s">
        <v>240</v>
      </c>
      <c r="AY342" s="5" t="s">
        <v>253</v>
      </c>
      <c r="AZ342" s="5" t="s">
        <v>240</v>
      </c>
      <c r="BA342" s="5" t="s">
        <v>255</v>
      </c>
      <c r="BB342" s="5" t="s">
        <v>240</v>
      </c>
      <c r="BD342" s="5" t="s">
        <v>240</v>
      </c>
      <c r="BF342" s="5" t="s">
        <v>301</v>
      </c>
      <c r="BG342" s="6" t="s">
        <v>299</v>
      </c>
      <c r="BH342" s="5" t="s">
        <v>302</v>
      </c>
      <c r="BI342" s="5" t="s">
        <v>303</v>
      </c>
      <c r="BJ342" s="5" t="s">
        <v>240</v>
      </c>
      <c r="BK342" s="8">
        <f>0</f>
        <v>0</v>
      </c>
      <c r="BL342" s="7">
        <f>0</f>
        <v>0</v>
      </c>
      <c r="BM342" s="5" t="s">
        <v>258</v>
      </c>
      <c r="BN342" s="5" t="s">
        <v>259</v>
      </c>
      <c r="CB342" s="5" t="s">
        <v>240</v>
      </c>
      <c r="CC342" s="5" t="s">
        <v>240</v>
      </c>
      <c r="CG342" s="5" t="s">
        <v>617</v>
      </c>
      <c r="CH342" s="5" t="s">
        <v>305</v>
      </c>
      <c r="CI342" s="5" t="s">
        <v>240</v>
      </c>
      <c r="CL342" s="6" t="s">
        <v>261</v>
      </c>
      <c r="CM342" s="5" t="s">
        <v>240</v>
      </c>
      <c r="CN342" s="5" t="s">
        <v>263</v>
      </c>
      <c r="CO342" s="5" t="s">
        <v>240</v>
      </c>
      <c r="CP342" s="5" t="s">
        <v>240</v>
      </c>
      <c r="CQ342" s="5">
        <v>0</v>
      </c>
      <c r="CR342" s="5" t="s">
        <v>306</v>
      </c>
      <c r="CS342" s="5" t="s">
        <v>307</v>
      </c>
      <c r="CT342" s="5" t="s">
        <v>307</v>
      </c>
      <c r="CU342" s="5" t="s">
        <v>260</v>
      </c>
      <c r="CX342" s="7">
        <f>72908</f>
        <v>72908</v>
      </c>
      <c r="CY342" s="7">
        <f>0</f>
        <v>0</v>
      </c>
      <c r="DA342" s="7">
        <f>0</f>
        <v>0</v>
      </c>
      <c r="DC342" s="5" t="s">
        <v>854</v>
      </c>
      <c r="DD342" s="5" t="s">
        <v>240</v>
      </c>
      <c r="DF342" s="5" t="s">
        <v>450</v>
      </c>
      <c r="DG342" s="7">
        <f>0</f>
        <v>0</v>
      </c>
      <c r="DI342" s="5" t="s">
        <v>737</v>
      </c>
      <c r="DJ342" s="5" t="s">
        <v>240</v>
      </c>
      <c r="DK342" s="5" t="s">
        <v>240</v>
      </c>
      <c r="DL342" s="5" t="s">
        <v>240</v>
      </c>
      <c r="DP342" s="5" t="s">
        <v>240</v>
      </c>
      <c r="DQ342" s="5" t="s">
        <v>240</v>
      </c>
      <c r="DR342" s="5" t="s">
        <v>240</v>
      </c>
      <c r="DS342" s="5" t="s">
        <v>240</v>
      </c>
      <c r="DV342" s="5" t="s">
        <v>957</v>
      </c>
      <c r="DW342" s="5" t="s">
        <v>566</v>
      </c>
      <c r="HO342" s="5" t="s">
        <v>312</v>
      </c>
    </row>
    <row r="343" spans="1:223" x14ac:dyDescent="0.4">
      <c r="A343" s="5">
        <v>1077</v>
      </c>
      <c r="B343" s="5">
        <v>1</v>
      </c>
      <c r="C343" s="5">
        <v>1</v>
      </c>
      <c r="D343" s="5" t="s">
        <v>1433</v>
      </c>
      <c r="E343" s="5" t="s">
        <v>1131</v>
      </c>
      <c r="F343" s="5" t="s">
        <v>254</v>
      </c>
      <c r="G343" s="5" t="s">
        <v>240</v>
      </c>
      <c r="H343" s="6" t="s">
        <v>1436</v>
      </c>
      <c r="I343" s="5" t="s">
        <v>1432</v>
      </c>
      <c r="J343" s="8">
        <f>406</f>
        <v>406</v>
      </c>
      <c r="K343" s="5" t="s">
        <v>308</v>
      </c>
      <c r="L343" s="7">
        <f>899290</f>
        <v>899290</v>
      </c>
      <c r="M343" s="7">
        <f>899290</f>
        <v>899290</v>
      </c>
      <c r="N343" s="5" t="s">
        <v>242</v>
      </c>
      <c r="O343" s="5">
        <v>1</v>
      </c>
      <c r="P343" s="5" t="s">
        <v>294</v>
      </c>
      <c r="Q343" s="5" t="s">
        <v>613</v>
      </c>
      <c r="R343" s="5" t="s">
        <v>240</v>
      </c>
      <c r="S343" s="5" t="s">
        <v>240</v>
      </c>
      <c r="T343" s="5" t="s">
        <v>243</v>
      </c>
      <c r="U343" s="5" t="s">
        <v>724</v>
      </c>
      <c r="V343" s="5" t="s">
        <v>240</v>
      </c>
      <c r="Y343" s="5" t="s">
        <v>240</v>
      </c>
      <c r="Z343" s="6" t="s">
        <v>298</v>
      </c>
      <c r="AB343" s="6" t="s">
        <v>240</v>
      </c>
      <c r="AE343" s="6" t="s">
        <v>299</v>
      </c>
      <c r="AF343" s="5" t="s">
        <v>248</v>
      </c>
      <c r="AG343" s="5" t="s">
        <v>249</v>
      </c>
      <c r="AW343" s="5" t="s">
        <v>251</v>
      </c>
      <c r="AX343" s="5" t="s">
        <v>240</v>
      </c>
      <c r="AY343" s="5" t="s">
        <v>253</v>
      </c>
      <c r="AZ343" s="5" t="s">
        <v>240</v>
      </c>
      <c r="BA343" s="5" t="s">
        <v>255</v>
      </c>
      <c r="BB343" s="5" t="s">
        <v>240</v>
      </c>
      <c r="BD343" s="5" t="s">
        <v>240</v>
      </c>
      <c r="BF343" s="5" t="s">
        <v>301</v>
      </c>
      <c r="BG343" s="6" t="s">
        <v>299</v>
      </c>
      <c r="BH343" s="5" t="s">
        <v>302</v>
      </c>
      <c r="BI343" s="5" t="s">
        <v>303</v>
      </c>
      <c r="BJ343" s="5" t="s">
        <v>240</v>
      </c>
      <c r="BK343" s="8">
        <f>0</f>
        <v>0</v>
      </c>
      <c r="BL343" s="7">
        <f>0</f>
        <v>0</v>
      </c>
      <c r="BM343" s="5" t="s">
        <v>258</v>
      </c>
      <c r="BN343" s="5" t="s">
        <v>259</v>
      </c>
      <c r="CB343" s="5" t="s">
        <v>240</v>
      </c>
      <c r="CC343" s="5" t="s">
        <v>240</v>
      </c>
      <c r="CG343" s="5" t="s">
        <v>617</v>
      </c>
      <c r="CH343" s="5" t="s">
        <v>305</v>
      </c>
      <c r="CI343" s="5" t="s">
        <v>240</v>
      </c>
      <c r="CL343" s="6" t="s">
        <v>261</v>
      </c>
      <c r="CM343" s="5" t="s">
        <v>240</v>
      </c>
      <c r="CN343" s="5" t="s">
        <v>263</v>
      </c>
      <c r="CO343" s="5" t="s">
        <v>240</v>
      </c>
      <c r="CP343" s="5" t="s">
        <v>240</v>
      </c>
      <c r="CQ343" s="5">
        <v>0</v>
      </c>
      <c r="CR343" s="5" t="s">
        <v>306</v>
      </c>
      <c r="CS343" s="5" t="s">
        <v>307</v>
      </c>
      <c r="CT343" s="5" t="s">
        <v>307</v>
      </c>
      <c r="CU343" s="5" t="s">
        <v>260</v>
      </c>
      <c r="CX343" s="7">
        <f>13860</f>
        <v>13860</v>
      </c>
      <c r="CY343" s="7">
        <f>0</f>
        <v>0</v>
      </c>
      <c r="DA343" s="7">
        <f>0</f>
        <v>0</v>
      </c>
      <c r="DC343" s="5" t="s">
        <v>854</v>
      </c>
      <c r="DD343" s="5" t="s">
        <v>240</v>
      </c>
      <c r="DF343" s="5" t="s">
        <v>450</v>
      </c>
      <c r="DG343" s="7">
        <f>0</f>
        <v>0</v>
      </c>
      <c r="DI343" s="5" t="s">
        <v>737</v>
      </c>
      <c r="DJ343" s="5" t="s">
        <v>240</v>
      </c>
      <c r="DK343" s="5" t="s">
        <v>240</v>
      </c>
      <c r="DL343" s="5" t="s">
        <v>240</v>
      </c>
      <c r="DP343" s="5" t="s">
        <v>240</v>
      </c>
      <c r="DQ343" s="5" t="s">
        <v>240</v>
      </c>
      <c r="DR343" s="5" t="s">
        <v>240</v>
      </c>
      <c r="DS343" s="5" t="s">
        <v>240</v>
      </c>
      <c r="DV343" s="5" t="s">
        <v>957</v>
      </c>
      <c r="DW343" s="5" t="s">
        <v>568</v>
      </c>
      <c r="HO343" s="5" t="s">
        <v>312</v>
      </c>
    </row>
    <row r="344" spans="1:223" x14ac:dyDescent="0.4">
      <c r="A344" s="5">
        <v>1078</v>
      </c>
      <c r="B344" s="5">
        <v>1</v>
      </c>
      <c r="C344" s="5">
        <v>1</v>
      </c>
      <c r="D344" s="5" t="s">
        <v>1433</v>
      </c>
      <c r="E344" s="5" t="s">
        <v>1131</v>
      </c>
      <c r="F344" s="5" t="s">
        <v>254</v>
      </c>
      <c r="G344" s="5" t="s">
        <v>240</v>
      </c>
      <c r="H344" s="6" t="s">
        <v>1434</v>
      </c>
      <c r="I344" s="5" t="s">
        <v>1432</v>
      </c>
      <c r="J344" s="8">
        <f>673</f>
        <v>673</v>
      </c>
      <c r="K344" s="5" t="s">
        <v>308</v>
      </c>
      <c r="L344" s="7">
        <f>1490695</f>
        <v>1490695</v>
      </c>
      <c r="M344" s="7">
        <f>1490695</f>
        <v>1490695</v>
      </c>
      <c r="N344" s="5" t="s">
        <v>242</v>
      </c>
      <c r="O344" s="5">
        <v>1</v>
      </c>
      <c r="P344" s="5" t="s">
        <v>294</v>
      </c>
      <c r="Q344" s="5" t="s">
        <v>613</v>
      </c>
      <c r="R344" s="5" t="s">
        <v>240</v>
      </c>
      <c r="S344" s="5" t="s">
        <v>240</v>
      </c>
      <c r="T344" s="5" t="s">
        <v>243</v>
      </c>
      <c r="U344" s="5" t="s">
        <v>724</v>
      </c>
      <c r="V344" s="5" t="s">
        <v>240</v>
      </c>
      <c r="Y344" s="5" t="s">
        <v>240</v>
      </c>
      <c r="Z344" s="6" t="s">
        <v>298</v>
      </c>
      <c r="AB344" s="6" t="s">
        <v>240</v>
      </c>
      <c r="AE344" s="6" t="s">
        <v>299</v>
      </c>
      <c r="AF344" s="5" t="s">
        <v>248</v>
      </c>
      <c r="AG344" s="5" t="s">
        <v>249</v>
      </c>
      <c r="AW344" s="5" t="s">
        <v>251</v>
      </c>
      <c r="AX344" s="5" t="s">
        <v>240</v>
      </c>
      <c r="AY344" s="5" t="s">
        <v>253</v>
      </c>
      <c r="AZ344" s="5" t="s">
        <v>240</v>
      </c>
      <c r="BA344" s="5" t="s">
        <v>255</v>
      </c>
      <c r="BB344" s="5" t="s">
        <v>240</v>
      </c>
      <c r="BD344" s="5" t="s">
        <v>240</v>
      </c>
      <c r="BF344" s="5" t="s">
        <v>301</v>
      </c>
      <c r="BG344" s="6" t="s">
        <v>299</v>
      </c>
      <c r="BH344" s="5" t="s">
        <v>302</v>
      </c>
      <c r="BI344" s="5" t="s">
        <v>303</v>
      </c>
      <c r="BJ344" s="5" t="s">
        <v>240</v>
      </c>
      <c r="BK344" s="8">
        <f>0</f>
        <v>0</v>
      </c>
      <c r="BL344" s="7">
        <f>0</f>
        <v>0</v>
      </c>
      <c r="BM344" s="5" t="s">
        <v>258</v>
      </c>
      <c r="BN344" s="5" t="s">
        <v>259</v>
      </c>
      <c r="CB344" s="5" t="s">
        <v>240</v>
      </c>
      <c r="CC344" s="5" t="s">
        <v>240</v>
      </c>
      <c r="CG344" s="5" t="s">
        <v>617</v>
      </c>
      <c r="CH344" s="5" t="s">
        <v>305</v>
      </c>
      <c r="CI344" s="5" t="s">
        <v>240</v>
      </c>
      <c r="CL344" s="6" t="s">
        <v>261</v>
      </c>
      <c r="CM344" s="5" t="s">
        <v>240</v>
      </c>
      <c r="CN344" s="5" t="s">
        <v>263</v>
      </c>
      <c r="CO344" s="5" t="s">
        <v>240</v>
      </c>
      <c r="CP344" s="5" t="s">
        <v>240</v>
      </c>
      <c r="CQ344" s="5">
        <v>0</v>
      </c>
      <c r="CR344" s="5" t="s">
        <v>306</v>
      </c>
      <c r="CS344" s="5" t="s">
        <v>307</v>
      </c>
      <c r="CT344" s="5" t="s">
        <v>307</v>
      </c>
      <c r="CU344" s="5" t="s">
        <v>260</v>
      </c>
      <c r="CX344" s="7">
        <f>11748</f>
        <v>11748</v>
      </c>
      <c r="CY344" s="7">
        <f>0</f>
        <v>0</v>
      </c>
      <c r="DA344" s="7">
        <f>0</f>
        <v>0</v>
      </c>
      <c r="DC344" s="5" t="s">
        <v>854</v>
      </c>
      <c r="DD344" s="5" t="s">
        <v>240</v>
      </c>
      <c r="DF344" s="5" t="s">
        <v>450</v>
      </c>
      <c r="DG344" s="7">
        <f>0</f>
        <v>0</v>
      </c>
      <c r="DI344" s="5" t="s">
        <v>737</v>
      </c>
      <c r="DJ344" s="5" t="s">
        <v>240</v>
      </c>
      <c r="DK344" s="5" t="s">
        <v>240</v>
      </c>
      <c r="DL344" s="5" t="s">
        <v>240</v>
      </c>
      <c r="DP344" s="5" t="s">
        <v>240</v>
      </c>
      <c r="DQ344" s="5" t="s">
        <v>240</v>
      </c>
      <c r="DR344" s="5" t="s">
        <v>240</v>
      </c>
      <c r="DS344" s="5" t="s">
        <v>240</v>
      </c>
      <c r="DV344" s="5" t="s">
        <v>957</v>
      </c>
      <c r="DW344" s="5" t="s">
        <v>570</v>
      </c>
      <c r="HO344" s="5" t="s">
        <v>312</v>
      </c>
    </row>
    <row r="345" spans="1:223" x14ac:dyDescent="0.4">
      <c r="A345" s="5">
        <v>1080</v>
      </c>
      <c r="B345" s="5">
        <v>1</v>
      </c>
      <c r="C345" s="5">
        <v>1</v>
      </c>
      <c r="D345" s="5" t="s">
        <v>1413</v>
      </c>
      <c r="E345" s="5" t="s">
        <v>1131</v>
      </c>
      <c r="F345" s="5" t="s">
        <v>254</v>
      </c>
      <c r="G345" s="5" t="s">
        <v>240</v>
      </c>
      <c r="H345" s="6" t="s">
        <v>2124</v>
      </c>
      <c r="I345" s="5" t="s">
        <v>1412</v>
      </c>
      <c r="J345" s="8">
        <f>3597</f>
        <v>3597</v>
      </c>
      <c r="K345" s="5" t="s">
        <v>308</v>
      </c>
      <c r="L345" s="7">
        <f>7967355</f>
        <v>7967355</v>
      </c>
      <c r="M345" s="7">
        <f>7967355</f>
        <v>7967355</v>
      </c>
      <c r="N345" s="5" t="s">
        <v>242</v>
      </c>
      <c r="O345" s="5">
        <v>1</v>
      </c>
      <c r="P345" s="5" t="s">
        <v>294</v>
      </c>
      <c r="Q345" s="5" t="s">
        <v>613</v>
      </c>
      <c r="R345" s="5" t="s">
        <v>240</v>
      </c>
      <c r="S345" s="5" t="s">
        <v>240</v>
      </c>
      <c r="T345" s="5" t="s">
        <v>243</v>
      </c>
      <c r="U345" s="5" t="s">
        <v>724</v>
      </c>
      <c r="V345" s="5" t="s">
        <v>240</v>
      </c>
      <c r="Y345" s="5" t="s">
        <v>240</v>
      </c>
      <c r="Z345" s="6" t="s">
        <v>298</v>
      </c>
      <c r="AB345" s="6" t="s">
        <v>240</v>
      </c>
      <c r="AE345" s="6" t="s">
        <v>299</v>
      </c>
      <c r="AF345" s="5" t="s">
        <v>248</v>
      </c>
      <c r="AG345" s="5" t="s">
        <v>249</v>
      </c>
      <c r="AW345" s="5" t="s">
        <v>251</v>
      </c>
      <c r="AX345" s="5" t="s">
        <v>240</v>
      </c>
      <c r="AY345" s="5" t="s">
        <v>253</v>
      </c>
      <c r="AZ345" s="5" t="s">
        <v>240</v>
      </c>
      <c r="BA345" s="5" t="s">
        <v>255</v>
      </c>
      <c r="BB345" s="5" t="s">
        <v>240</v>
      </c>
      <c r="BD345" s="5" t="s">
        <v>240</v>
      </c>
      <c r="BF345" s="5" t="s">
        <v>301</v>
      </c>
      <c r="BG345" s="6" t="s">
        <v>299</v>
      </c>
      <c r="BH345" s="5" t="s">
        <v>302</v>
      </c>
      <c r="BI345" s="5" t="s">
        <v>303</v>
      </c>
      <c r="BJ345" s="5" t="s">
        <v>240</v>
      </c>
      <c r="BK345" s="8">
        <f>0</f>
        <v>0</v>
      </c>
      <c r="BL345" s="7">
        <f>0</f>
        <v>0</v>
      </c>
      <c r="BM345" s="5" t="s">
        <v>258</v>
      </c>
      <c r="BN345" s="5" t="s">
        <v>259</v>
      </c>
      <c r="CB345" s="5" t="s">
        <v>240</v>
      </c>
      <c r="CC345" s="5" t="s">
        <v>240</v>
      </c>
      <c r="CG345" s="5" t="s">
        <v>617</v>
      </c>
      <c r="CH345" s="5" t="s">
        <v>305</v>
      </c>
      <c r="CI345" s="5" t="s">
        <v>240</v>
      </c>
      <c r="CL345" s="6" t="s">
        <v>261</v>
      </c>
      <c r="CM345" s="5" t="s">
        <v>240</v>
      </c>
      <c r="CN345" s="5" t="s">
        <v>263</v>
      </c>
      <c r="CO345" s="5" t="s">
        <v>240</v>
      </c>
      <c r="CP345" s="5" t="s">
        <v>240</v>
      </c>
      <c r="CQ345" s="5">
        <v>0</v>
      </c>
      <c r="CR345" s="5" t="s">
        <v>306</v>
      </c>
      <c r="CS345" s="5" t="s">
        <v>307</v>
      </c>
      <c r="CT345" s="5" t="s">
        <v>307</v>
      </c>
      <c r="CU345" s="5" t="s">
        <v>260</v>
      </c>
      <c r="CX345" s="7">
        <f>13145</f>
        <v>13145</v>
      </c>
      <c r="CY345" s="7">
        <f>0</f>
        <v>0</v>
      </c>
      <c r="DA345" s="7">
        <f>0</f>
        <v>0</v>
      </c>
      <c r="DC345" s="5" t="s">
        <v>854</v>
      </c>
      <c r="DD345" s="5" t="s">
        <v>240</v>
      </c>
      <c r="DF345" s="5" t="s">
        <v>450</v>
      </c>
      <c r="DG345" s="7">
        <f>0</f>
        <v>0</v>
      </c>
      <c r="DI345" s="5" t="s">
        <v>737</v>
      </c>
      <c r="DJ345" s="5" t="s">
        <v>240</v>
      </c>
      <c r="DK345" s="5" t="s">
        <v>240</v>
      </c>
      <c r="DL345" s="5" t="s">
        <v>240</v>
      </c>
      <c r="DP345" s="5" t="s">
        <v>240</v>
      </c>
      <c r="DQ345" s="5" t="s">
        <v>240</v>
      </c>
      <c r="DR345" s="5" t="s">
        <v>240</v>
      </c>
      <c r="DS345" s="5" t="s">
        <v>240</v>
      </c>
      <c r="DV345" s="5" t="s">
        <v>957</v>
      </c>
      <c r="DW345" s="5" t="s">
        <v>572</v>
      </c>
      <c r="HO345" s="5" t="s">
        <v>312</v>
      </c>
    </row>
    <row r="346" spans="1:223" x14ac:dyDescent="0.4">
      <c r="A346" s="5">
        <v>1081</v>
      </c>
      <c r="B346" s="5">
        <v>1</v>
      </c>
      <c r="C346" s="5">
        <v>1</v>
      </c>
      <c r="D346" s="5" t="s">
        <v>1413</v>
      </c>
      <c r="E346" s="5" t="s">
        <v>1131</v>
      </c>
      <c r="F346" s="5" t="s">
        <v>254</v>
      </c>
      <c r="G346" s="5" t="s">
        <v>240</v>
      </c>
      <c r="H346" s="6" t="s">
        <v>4396</v>
      </c>
      <c r="I346" s="5" t="s">
        <v>1412</v>
      </c>
      <c r="J346" s="8">
        <f>880</f>
        <v>880</v>
      </c>
      <c r="K346" s="5" t="s">
        <v>308</v>
      </c>
      <c r="L346" s="7">
        <f>1949200</f>
        <v>1949200</v>
      </c>
      <c r="M346" s="7">
        <f>1949200</f>
        <v>1949200</v>
      </c>
      <c r="N346" s="5" t="s">
        <v>242</v>
      </c>
      <c r="O346" s="5">
        <v>1</v>
      </c>
      <c r="P346" s="5" t="s">
        <v>294</v>
      </c>
      <c r="Q346" s="5" t="s">
        <v>613</v>
      </c>
      <c r="R346" s="5" t="s">
        <v>240</v>
      </c>
      <c r="S346" s="5" t="s">
        <v>240</v>
      </c>
      <c r="T346" s="5" t="s">
        <v>243</v>
      </c>
      <c r="U346" s="5" t="s">
        <v>724</v>
      </c>
      <c r="V346" s="5" t="s">
        <v>240</v>
      </c>
      <c r="Y346" s="5" t="s">
        <v>240</v>
      </c>
      <c r="Z346" s="6" t="s">
        <v>298</v>
      </c>
      <c r="AB346" s="6" t="s">
        <v>240</v>
      </c>
      <c r="AE346" s="6" t="s">
        <v>299</v>
      </c>
      <c r="AF346" s="5" t="s">
        <v>248</v>
      </c>
      <c r="AG346" s="5" t="s">
        <v>249</v>
      </c>
      <c r="AW346" s="5" t="s">
        <v>251</v>
      </c>
      <c r="AX346" s="5" t="s">
        <v>240</v>
      </c>
      <c r="AY346" s="5" t="s">
        <v>253</v>
      </c>
      <c r="AZ346" s="5" t="s">
        <v>240</v>
      </c>
      <c r="BA346" s="5" t="s">
        <v>255</v>
      </c>
      <c r="BB346" s="5" t="s">
        <v>240</v>
      </c>
      <c r="BD346" s="5" t="s">
        <v>240</v>
      </c>
      <c r="BF346" s="5" t="s">
        <v>301</v>
      </c>
      <c r="BG346" s="6" t="s">
        <v>299</v>
      </c>
      <c r="BH346" s="5" t="s">
        <v>302</v>
      </c>
      <c r="BI346" s="5" t="s">
        <v>303</v>
      </c>
      <c r="BJ346" s="5" t="s">
        <v>240</v>
      </c>
      <c r="BK346" s="8">
        <f>0</f>
        <v>0</v>
      </c>
      <c r="BL346" s="7">
        <f>0</f>
        <v>0</v>
      </c>
      <c r="BM346" s="5" t="s">
        <v>258</v>
      </c>
      <c r="BN346" s="5" t="s">
        <v>259</v>
      </c>
      <c r="CB346" s="5" t="s">
        <v>240</v>
      </c>
      <c r="CC346" s="5" t="s">
        <v>240</v>
      </c>
      <c r="CG346" s="5" t="s">
        <v>617</v>
      </c>
      <c r="CH346" s="5" t="s">
        <v>305</v>
      </c>
      <c r="CI346" s="5" t="s">
        <v>240</v>
      </c>
      <c r="CL346" s="6" t="s">
        <v>261</v>
      </c>
      <c r="CM346" s="5" t="s">
        <v>240</v>
      </c>
      <c r="CN346" s="5" t="s">
        <v>263</v>
      </c>
      <c r="CO346" s="5" t="s">
        <v>240</v>
      </c>
      <c r="CP346" s="5" t="s">
        <v>240</v>
      </c>
      <c r="CQ346" s="5">
        <v>0</v>
      </c>
      <c r="CR346" s="5" t="s">
        <v>306</v>
      </c>
      <c r="CS346" s="5" t="s">
        <v>307</v>
      </c>
      <c r="CT346" s="5" t="s">
        <v>307</v>
      </c>
      <c r="CU346" s="5" t="s">
        <v>260</v>
      </c>
      <c r="CX346" s="7">
        <f>11066</f>
        <v>11066</v>
      </c>
      <c r="CY346" s="7">
        <f>0</f>
        <v>0</v>
      </c>
      <c r="DA346" s="7">
        <f>0</f>
        <v>0</v>
      </c>
      <c r="DC346" s="5" t="s">
        <v>854</v>
      </c>
      <c r="DD346" s="5" t="s">
        <v>240</v>
      </c>
      <c r="DF346" s="5" t="s">
        <v>450</v>
      </c>
      <c r="DG346" s="7">
        <f>0</f>
        <v>0</v>
      </c>
      <c r="DI346" s="5" t="s">
        <v>737</v>
      </c>
      <c r="DJ346" s="5" t="s">
        <v>240</v>
      </c>
      <c r="DK346" s="5" t="s">
        <v>240</v>
      </c>
      <c r="DL346" s="5" t="s">
        <v>240</v>
      </c>
      <c r="DP346" s="5" t="s">
        <v>240</v>
      </c>
      <c r="DQ346" s="5" t="s">
        <v>240</v>
      </c>
      <c r="DR346" s="5" t="s">
        <v>240</v>
      </c>
      <c r="DS346" s="5" t="s">
        <v>240</v>
      </c>
      <c r="DV346" s="5" t="s">
        <v>957</v>
      </c>
      <c r="DW346" s="5" t="s">
        <v>574</v>
      </c>
      <c r="HO346" s="5" t="s">
        <v>312</v>
      </c>
    </row>
    <row r="347" spans="1:223" x14ac:dyDescent="0.4">
      <c r="A347" s="5">
        <v>1082</v>
      </c>
      <c r="B347" s="5">
        <v>1</v>
      </c>
      <c r="C347" s="5">
        <v>1</v>
      </c>
      <c r="D347" s="5" t="s">
        <v>1413</v>
      </c>
      <c r="E347" s="5" t="s">
        <v>1131</v>
      </c>
      <c r="F347" s="5" t="s">
        <v>254</v>
      </c>
      <c r="G347" s="5" t="s">
        <v>240</v>
      </c>
      <c r="H347" s="6" t="s">
        <v>1430</v>
      </c>
      <c r="I347" s="5" t="s">
        <v>1412</v>
      </c>
      <c r="J347" s="8">
        <f>1174</f>
        <v>1174</v>
      </c>
      <c r="K347" s="5" t="s">
        <v>308</v>
      </c>
      <c r="L347" s="7">
        <f>2600410</f>
        <v>2600410</v>
      </c>
      <c r="M347" s="7">
        <f>2600410</f>
        <v>2600410</v>
      </c>
      <c r="N347" s="5" t="s">
        <v>242</v>
      </c>
      <c r="O347" s="5">
        <v>1</v>
      </c>
      <c r="P347" s="5" t="s">
        <v>294</v>
      </c>
      <c r="Q347" s="5" t="s">
        <v>613</v>
      </c>
      <c r="R347" s="5" t="s">
        <v>240</v>
      </c>
      <c r="S347" s="5" t="s">
        <v>240</v>
      </c>
      <c r="T347" s="5" t="s">
        <v>243</v>
      </c>
      <c r="U347" s="5" t="s">
        <v>724</v>
      </c>
      <c r="V347" s="5" t="s">
        <v>240</v>
      </c>
      <c r="Y347" s="5" t="s">
        <v>240</v>
      </c>
      <c r="Z347" s="6" t="s">
        <v>298</v>
      </c>
      <c r="AB347" s="6" t="s">
        <v>240</v>
      </c>
      <c r="AE347" s="6" t="s">
        <v>299</v>
      </c>
      <c r="AF347" s="5" t="s">
        <v>248</v>
      </c>
      <c r="AG347" s="5" t="s">
        <v>249</v>
      </c>
      <c r="AW347" s="5" t="s">
        <v>251</v>
      </c>
      <c r="AX347" s="5" t="s">
        <v>240</v>
      </c>
      <c r="AY347" s="5" t="s">
        <v>253</v>
      </c>
      <c r="AZ347" s="5" t="s">
        <v>240</v>
      </c>
      <c r="BA347" s="5" t="s">
        <v>255</v>
      </c>
      <c r="BB347" s="5" t="s">
        <v>240</v>
      </c>
      <c r="BD347" s="5" t="s">
        <v>240</v>
      </c>
      <c r="BF347" s="5" t="s">
        <v>301</v>
      </c>
      <c r="BG347" s="6" t="s">
        <v>299</v>
      </c>
      <c r="BH347" s="5" t="s">
        <v>302</v>
      </c>
      <c r="BI347" s="5" t="s">
        <v>303</v>
      </c>
      <c r="BJ347" s="5" t="s">
        <v>240</v>
      </c>
      <c r="BK347" s="8">
        <f>0</f>
        <v>0</v>
      </c>
      <c r="BL347" s="7">
        <f>0</f>
        <v>0</v>
      </c>
      <c r="BM347" s="5" t="s">
        <v>258</v>
      </c>
      <c r="BN347" s="5" t="s">
        <v>259</v>
      </c>
      <c r="CB347" s="5" t="s">
        <v>240</v>
      </c>
      <c r="CC347" s="5" t="s">
        <v>240</v>
      </c>
      <c r="CG347" s="5" t="s">
        <v>617</v>
      </c>
      <c r="CH347" s="5" t="s">
        <v>305</v>
      </c>
      <c r="CI347" s="5" t="s">
        <v>240</v>
      </c>
      <c r="CL347" s="6" t="s">
        <v>261</v>
      </c>
      <c r="CM347" s="5" t="s">
        <v>240</v>
      </c>
      <c r="CN347" s="5" t="s">
        <v>263</v>
      </c>
      <c r="CO347" s="5" t="s">
        <v>240</v>
      </c>
      <c r="CP347" s="5" t="s">
        <v>240</v>
      </c>
      <c r="CQ347" s="5">
        <v>0</v>
      </c>
      <c r="CR347" s="5" t="s">
        <v>306</v>
      </c>
      <c r="CS347" s="5" t="s">
        <v>307</v>
      </c>
      <c r="CT347" s="5" t="s">
        <v>307</v>
      </c>
      <c r="CU347" s="5" t="s">
        <v>260</v>
      </c>
      <c r="CX347" s="7">
        <f>60995</f>
        <v>60995</v>
      </c>
      <c r="CY347" s="7">
        <f>0</f>
        <v>0</v>
      </c>
      <c r="DA347" s="7">
        <f>0</f>
        <v>0</v>
      </c>
      <c r="DC347" s="5" t="s">
        <v>854</v>
      </c>
      <c r="DD347" s="5" t="s">
        <v>240</v>
      </c>
      <c r="DF347" s="5" t="s">
        <v>450</v>
      </c>
      <c r="DG347" s="7">
        <f>0</f>
        <v>0</v>
      </c>
      <c r="DI347" s="5" t="s">
        <v>737</v>
      </c>
      <c r="DJ347" s="5" t="s">
        <v>240</v>
      </c>
      <c r="DK347" s="5" t="s">
        <v>240</v>
      </c>
      <c r="DL347" s="5" t="s">
        <v>240</v>
      </c>
      <c r="DP347" s="5" t="s">
        <v>240</v>
      </c>
      <c r="DQ347" s="5" t="s">
        <v>240</v>
      </c>
      <c r="DR347" s="5" t="s">
        <v>240</v>
      </c>
      <c r="DS347" s="5" t="s">
        <v>240</v>
      </c>
      <c r="DV347" s="5" t="s">
        <v>957</v>
      </c>
      <c r="DW347" s="5" t="s">
        <v>576</v>
      </c>
      <c r="HO347" s="5" t="s">
        <v>312</v>
      </c>
    </row>
    <row r="348" spans="1:223" x14ac:dyDescent="0.4">
      <c r="A348" s="5">
        <v>1083</v>
      </c>
      <c r="B348" s="5">
        <v>1</v>
      </c>
      <c r="C348" s="5">
        <v>1</v>
      </c>
      <c r="D348" s="5" t="s">
        <v>1413</v>
      </c>
      <c r="E348" s="5" t="s">
        <v>1131</v>
      </c>
      <c r="F348" s="5" t="s">
        <v>254</v>
      </c>
      <c r="G348" s="5" t="s">
        <v>240</v>
      </c>
      <c r="H348" s="6" t="s">
        <v>1429</v>
      </c>
      <c r="I348" s="5" t="s">
        <v>1412</v>
      </c>
      <c r="J348" s="8">
        <f>1428</f>
        <v>1428</v>
      </c>
      <c r="K348" s="5" t="s">
        <v>308</v>
      </c>
      <c r="L348" s="7">
        <f>3163020</f>
        <v>3163020</v>
      </c>
      <c r="M348" s="7">
        <f>3163020</f>
        <v>3163020</v>
      </c>
      <c r="N348" s="5" t="s">
        <v>242</v>
      </c>
      <c r="O348" s="5">
        <v>1</v>
      </c>
      <c r="P348" s="5" t="s">
        <v>294</v>
      </c>
      <c r="Q348" s="5" t="s">
        <v>266</v>
      </c>
      <c r="R348" s="5" t="s">
        <v>240</v>
      </c>
      <c r="S348" s="5" t="s">
        <v>240</v>
      </c>
      <c r="T348" s="5" t="s">
        <v>296</v>
      </c>
      <c r="U348" s="5" t="s">
        <v>244</v>
      </c>
      <c r="V348" s="5" t="s">
        <v>240</v>
      </c>
      <c r="Y348" s="5" t="s">
        <v>240</v>
      </c>
      <c r="Z348" s="6" t="s">
        <v>298</v>
      </c>
      <c r="AB348" s="6" t="s">
        <v>240</v>
      </c>
      <c r="AE348" s="6" t="s">
        <v>299</v>
      </c>
      <c r="AF348" s="5" t="s">
        <v>248</v>
      </c>
      <c r="AG348" s="5" t="s">
        <v>249</v>
      </c>
      <c r="AW348" s="5" t="s">
        <v>251</v>
      </c>
      <c r="AX348" s="5" t="s">
        <v>240</v>
      </c>
      <c r="AY348" s="5" t="s">
        <v>253</v>
      </c>
      <c r="AZ348" s="5" t="s">
        <v>240</v>
      </c>
      <c r="BA348" s="5" t="s">
        <v>255</v>
      </c>
      <c r="BB348" s="5" t="s">
        <v>240</v>
      </c>
      <c r="BD348" s="5" t="s">
        <v>240</v>
      </c>
      <c r="BF348" s="5" t="s">
        <v>301</v>
      </c>
      <c r="BG348" s="6" t="s">
        <v>299</v>
      </c>
      <c r="BH348" s="5" t="s">
        <v>302</v>
      </c>
      <c r="BI348" s="5" t="s">
        <v>303</v>
      </c>
      <c r="BJ348" s="5" t="s">
        <v>240</v>
      </c>
      <c r="BK348" s="8">
        <f>0</f>
        <v>0</v>
      </c>
      <c r="BL348" s="7">
        <f>0</f>
        <v>0</v>
      </c>
      <c r="BM348" s="5" t="s">
        <v>258</v>
      </c>
      <c r="BN348" s="5" t="s">
        <v>259</v>
      </c>
      <c r="CB348" s="5" t="s">
        <v>240</v>
      </c>
      <c r="CC348" s="5" t="s">
        <v>240</v>
      </c>
      <c r="CG348" s="5" t="s">
        <v>304</v>
      </c>
      <c r="CH348" s="5" t="s">
        <v>305</v>
      </c>
      <c r="CI348" s="5" t="s">
        <v>240</v>
      </c>
      <c r="CL348" s="6" t="s">
        <v>261</v>
      </c>
      <c r="CM348" s="5" t="s">
        <v>240</v>
      </c>
      <c r="CN348" s="5" t="s">
        <v>263</v>
      </c>
      <c r="CO348" s="5" t="s">
        <v>240</v>
      </c>
      <c r="CP348" s="5" t="s">
        <v>240</v>
      </c>
      <c r="CQ348" s="5">
        <v>0</v>
      </c>
      <c r="CR348" s="5" t="s">
        <v>306</v>
      </c>
      <c r="CS348" s="5" t="s">
        <v>307</v>
      </c>
      <c r="CT348" s="5" t="s">
        <v>307</v>
      </c>
      <c r="CU348" s="5" t="s">
        <v>260</v>
      </c>
      <c r="CX348" s="7">
        <f>1</f>
        <v>1</v>
      </c>
      <c r="CY348" s="7">
        <f>0</f>
        <v>0</v>
      </c>
      <c r="DA348" s="7">
        <f>0</f>
        <v>0</v>
      </c>
      <c r="DC348" s="5" t="s">
        <v>812</v>
      </c>
      <c r="DD348" s="5" t="s">
        <v>240</v>
      </c>
      <c r="DF348" s="5" t="s">
        <v>812</v>
      </c>
      <c r="DG348" s="7">
        <f>240</f>
        <v>240</v>
      </c>
      <c r="DI348" s="5" t="s">
        <v>240</v>
      </c>
      <c r="DJ348" s="5" t="s">
        <v>240</v>
      </c>
      <c r="DK348" s="5" t="s">
        <v>240</v>
      </c>
      <c r="DL348" s="5" t="s">
        <v>240</v>
      </c>
      <c r="DP348" s="5" t="s">
        <v>240</v>
      </c>
      <c r="DQ348" s="5" t="s">
        <v>240</v>
      </c>
      <c r="DR348" s="5" t="s">
        <v>240</v>
      </c>
      <c r="DS348" s="5" t="s">
        <v>240</v>
      </c>
      <c r="DV348" s="5" t="s">
        <v>813</v>
      </c>
      <c r="DW348" s="5" t="s">
        <v>1025</v>
      </c>
      <c r="HO348" s="5" t="s">
        <v>312</v>
      </c>
    </row>
    <row r="349" spans="1:223" x14ac:dyDescent="0.4">
      <c r="A349" s="5">
        <v>1084</v>
      </c>
      <c r="B349" s="5">
        <v>1</v>
      </c>
      <c r="C349" s="5">
        <v>1</v>
      </c>
      <c r="D349" s="5" t="s">
        <v>1413</v>
      </c>
      <c r="E349" s="5" t="s">
        <v>1131</v>
      </c>
      <c r="F349" s="5" t="s">
        <v>254</v>
      </c>
      <c r="G349" s="5" t="s">
        <v>240</v>
      </c>
      <c r="H349" s="6" t="s">
        <v>1428</v>
      </c>
      <c r="I349" s="5" t="s">
        <v>1412</v>
      </c>
      <c r="J349" s="8">
        <f>1631</f>
        <v>1631</v>
      </c>
      <c r="K349" s="5" t="s">
        <v>308</v>
      </c>
      <c r="L349" s="7">
        <f>3612665</f>
        <v>3612665</v>
      </c>
      <c r="M349" s="7">
        <f>3612665</f>
        <v>3612665</v>
      </c>
      <c r="N349" s="5" t="s">
        <v>242</v>
      </c>
      <c r="O349" s="5">
        <v>1</v>
      </c>
      <c r="P349" s="5" t="s">
        <v>294</v>
      </c>
      <c r="Q349" s="5" t="s">
        <v>613</v>
      </c>
      <c r="R349" s="5" t="s">
        <v>240</v>
      </c>
      <c r="S349" s="5" t="s">
        <v>240</v>
      </c>
      <c r="T349" s="5" t="s">
        <v>243</v>
      </c>
      <c r="U349" s="5" t="s">
        <v>724</v>
      </c>
      <c r="V349" s="5" t="s">
        <v>240</v>
      </c>
      <c r="Y349" s="5" t="s">
        <v>240</v>
      </c>
      <c r="Z349" s="6" t="s">
        <v>298</v>
      </c>
      <c r="AB349" s="6" t="s">
        <v>240</v>
      </c>
      <c r="AE349" s="6" t="s">
        <v>299</v>
      </c>
      <c r="AF349" s="5" t="s">
        <v>248</v>
      </c>
      <c r="AG349" s="5" t="s">
        <v>249</v>
      </c>
      <c r="AW349" s="5" t="s">
        <v>251</v>
      </c>
      <c r="AX349" s="5" t="s">
        <v>240</v>
      </c>
      <c r="AY349" s="5" t="s">
        <v>253</v>
      </c>
      <c r="AZ349" s="5" t="s">
        <v>240</v>
      </c>
      <c r="BA349" s="5" t="s">
        <v>255</v>
      </c>
      <c r="BB349" s="5" t="s">
        <v>240</v>
      </c>
      <c r="BD349" s="5" t="s">
        <v>240</v>
      </c>
      <c r="BF349" s="5" t="s">
        <v>301</v>
      </c>
      <c r="BG349" s="6" t="s">
        <v>299</v>
      </c>
      <c r="BH349" s="5" t="s">
        <v>302</v>
      </c>
      <c r="BI349" s="5" t="s">
        <v>303</v>
      </c>
      <c r="BJ349" s="5" t="s">
        <v>240</v>
      </c>
      <c r="BK349" s="8">
        <f>0</f>
        <v>0</v>
      </c>
      <c r="BL349" s="7">
        <f>0</f>
        <v>0</v>
      </c>
      <c r="BM349" s="5" t="s">
        <v>258</v>
      </c>
      <c r="BN349" s="5" t="s">
        <v>259</v>
      </c>
      <c r="CB349" s="5" t="s">
        <v>240</v>
      </c>
      <c r="CC349" s="5" t="s">
        <v>240</v>
      </c>
      <c r="CG349" s="5" t="s">
        <v>617</v>
      </c>
      <c r="CH349" s="5" t="s">
        <v>305</v>
      </c>
      <c r="CI349" s="5" t="s">
        <v>240</v>
      </c>
      <c r="CL349" s="6" t="s">
        <v>261</v>
      </c>
      <c r="CM349" s="5" t="s">
        <v>240</v>
      </c>
      <c r="CN349" s="5" t="s">
        <v>263</v>
      </c>
      <c r="CO349" s="5" t="s">
        <v>240</v>
      </c>
      <c r="CP349" s="5" t="s">
        <v>240</v>
      </c>
      <c r="CQ349" s="5">
        <v>0</v>
      </c>
      <c r="CR349" s="5" t="s">
        <v>306</v>
      </c>
      <c r="CS349" s="5" t="s">
        <v>307</v>
      </c>
      <c r="CT349" s="5" t="s">
        <v>307</v>
      </c>
      <c r="CU349" s="5" t="s">
        <v>260</v>
      </c>
      <c r="CX349" s="7">
        <f>9185</f>
        <v>9185</v>
      </c>
      <c r="CY349" s="7">
        <f>0</f>
        <v>0</v>
      </c>
      <c r="DA349" s="7">
        <f>0</f>
        <v>0</v>
      </c>
      <c r="DC349" s="5" t="s">
        <v>854</v>
      </c>
      <c r="DD349" s="5" t="s">
        <v>240</v>
      </c>
      <c r="DF349" s="5" t="s">
        <v>450</v>
      </c>
      <c r="DG349" s="7">
        <f>0</f>
        <v>0</v>
      </c>
      <c r="DI349" s="5" t="s">
        <v>737</v>
      </c>
      <c r="DJ349" s="5" t="s">
        <v>240</v>
      </c>
      <c r="DK349" s="5" t="s">
        <v>240</v>
      </c>
      <c r="DL349" s="5" t="s">
        <v>240</v>
      </c>
      <c r="DP349" s="5" t="s">
        <v>240</v>
      </c>
      <c r="DQ349" s="5" t="s">
        <v>240</v>
      </c>
      <c r="DR349" s="5" t="s">
        <v>240</v>
      </c>
      <c r="DS349" s="5" t="s">
        <v>240</v>
      </c>
      <c r="DV349" s="5" t="s">
        <v>957</v>
      </c>
      <c r="DW349" s="5" t="s">
        <v>580</v>
      </c>
      <c r="HO349" s="5" t="s">
        <v>312</v>
      </c>
    </row>
    <row r="350" spans="1:223" x14ac:dyDescent="0.4">
      <c r="A350" s="5">
        <v>1085</v>
      </c>
      <c r="B350" s="5">
        <v>1</v>
      </c>
      <c r="C350" s="5">
        <v>1</v>
      </c>
      <c r="D350" s="5" t="s">
        <v>1413</v>
      </c>
      <c r="E350" s="5" t="s">
        <v>1131</v>
      </c>
      <c r="F350" s="5" t="s">
        <v>254</v>
      </c>
      <c r="G350" s="5" t="s">
        <v>240</v>
      </c>
      <c r="H350" s="6" t="s">
        <v>1427</v>
      </c>
      <c r="I350" s="5" t="s">
        <v>1412</v>
      </c>
      <c r="J350" s="8">
        <f>1749</f>
        <v>1749</v>
      </c>
      <c r="K350" s="5" t="s">
        <v>308</v>
      </c>
      <c r="L350" s="7">
        <f>3874035</f>
        <v>3874035</v>
      </c>
      <c r="M350" s="7">
        <f>3874035</f>
        <v>3874035</v>
      </c>
      <c r="N350" s="5" t="s">
        <v>242</v>
      </c>
      <c r="O350" s="5">
        <v>1</v>
      </c>
      <c r="P350" s="5" t="s">
        <v>294</v>
      </c>
      <c r="Q350" s="5" t="s">
        <v>613</v>
      </c>
      <c r="R350" s="5" t="s">
        <v>240</v>
      </c>
      <c r="S350" s="5" t="s">
        <v>240</v>
      </c>
      <c r="T350" s="5" t="s">
        <v>243</v>
      </c>
      <c r="U350" s="5" t="s">
        <v>724</v>
      </c>
      <c r="V350" s="5" t="s">
        <v>240</v>
      </c>
      <c r="Y350" s="5" t="s">
        <v>240</v>
      </c>
      <c r="Z350" s="6" t="s">
        <v>298</v>
      </c>
      <c r="AB350" s="6" t="s">
        <v>240</v>
      </c>
      <c r="AE350" s="6" t="s">
        <v>299</v>
      </c>
      <c r="AF350" s="5" t="s">
        <v>248</v>
      </c>
      <c r="AG350" s="5" t="s">
        <v>249</v>
      </c>
      <c r="AW350" s="5" t="s">
        <v>251</v>
      </c>
      <c r="AX350" s="5" t="s">
        <v>240</v>
      </c>
      <c r="AY350" s="5" t="s">
        <v>253</v>
      </c>
      <c r="AZ350" s="5" t="s">
        <v>240</v>
      </c>
      <c r="BA350" s="5" t="s">
        <v>255</v>
      </c>
      <c r="BB350" s="5" t="s">
        <v>240</v>
      </c>
      <c r="BD350" s="5" t="s">
        <v>240</v>
      </c>
      <c r="BF350" s="5" t="s">
        <v>301</v>
      </c>
      <c r="BG350" s="6" t="s">
        <v>299</v>
      </c>
      <c r="BH350" s="5" t="s">
        <v>302</v>
      </c>
      <c r="BI350" s="5" t="s">
        <v>303</v>
      </c>
      <c r="BJ350" s="5" t="s">
        <v>240</v>
      </c>
      <c r="BK350" s="8">
        <f>0</f>
        <v>0</v>
      </c>
      <c r="BL350" s="7">
        <f>0</f>
        <v>0</v>
      </c>
      <c r="BM350" s="5" t="s">
        <v>258</v>
      </c>
      <c r="BN350" s="5" t="s">
        <v>259</v>
      </c>
      <c r="CB350" s="5" t="s">
        <v>240</v>
      </c>
      <c r="CC350" s="5" t="s">
        <v>240</v>
      </c>
      <c r="CG350" s="5" t="s">
        <v>617</v>
      </c>
      <c r="CH350" s="5" t="s">
        <v>305</v>
      </c>
      <c r="CI350" s="5" t="s">
        <v>240</v>
      </c>
      <c r="CL350" s="6" t="s">
        <v>261</v>
      </c>
      <c r="CM350" s="5" t="s">
        <v>240</v>
      </c>
      <c r="CN350" s="5" t="s">
        <v>263</v>
      </c>
      <c r="CO350" s="5" t="s">
        <v>240</v>
      </c>
      <c r="CP350" s="5" t="s">
        <v>240</v>
      </c>
      <c r="CQ350" s="5">
        <v>0</v>
      </c>
      <c r="CR350" s="5" t="s">
        <v>306</v>
      </c>
      <c r="CS350" s="5" t="s">
        <v>307</v>
      </c>
      <c r="CT350" s="5" t="s">
        <v>307</v>
      </c>
      <c r="CU350" s="5" t="s">
        <v>260</v>
      </c>
      <c r="CX350" s="7">
        <f>25586</f>
        <v>25586</v>
      </c>
      <c r="CY350" s="7">
        <f>0</f>
        <v>0</v>
      </c>
      <c r="DA350" s="7">
        <f>0</f>
        <v>0</v>
      </c>
      <c r="DC350" s="5" t="s">
        <v>854</v>
      </c>
      <c r="DD350" s="5" t="s">
        <v>240</v>
      </c>
      <c r="DF350" s="5" t="s">
        <v>450</v>
      </c>
      <c r="DG350" s="7">
        <f>0</f>
        <v>0</v>
      </c>
      <c r="DI350" s="5" t="s">
        <v>737</v>
      </c>
      <c r="DJ350" s="5" t="s">
        <v>240</v>
      </c>
      <c r="DK350" s="5" t="s">
        <v>240</v>
      </c>
      <c r="DL350" s="5" t="s">
        <v>240</v>
      </c>
      <c r="DP350" s="5" t="s">
        <v>240</v>
      </c>
      <c r="DQ350" s="5" t="s">
        <v>240</v>
      </c>
      <c r="DR350" s="5" t="s">
        <v>240</v>
      </c>
      <c r="DS350" s="5" t="s">
        <v>240</v>
      </c>
      <c r="DV350" s="5" t="s">
        <v>957</v>
      </c>
      <c r="DW350" s="5" t="s">
        <v>582</v>
      </c>
      <c r="HO350" s="5" t="s">
        <v>312</v>
      </c>
    </row>
    <row r="351" spans="1:223" x14ac:dyDescent="0.4">
      <c r="A351" s="5">
        <v>1086</v>
      </c>
      <c r="B351" s="5">
        <v>1</v>
      </c>
      <c r="C351" s="5">
        <v>1</v>
      </c>
      <c r="D351" s="5" t="s">
        <v>1413</v>
      </c>
      <c r="E351" s="5" t="s">
        <v>1131</v>
      </c>
      <c r="F351" s="5" t="s">
        <v>254</v>
      </c>
      <c r="G351" s="5" t="s">
        <v>240</v>
      </c>
      <c r="H351" s="6" t="s">
        <v>1426</v>
      </c>
      <c r="I351" s="5" t="s">
        <v>1412</v>
      </c>
      <c r="J351" s="8">
        <f>1790</f>
        <v>1790</v>
      </c>
      <c r="K351" s="5" t="s">
        <v>308</v>
      </c>
      <c r="L351" s="7">
        <f>3964850</f>
        <v>3964850</v>
      </c>
      <c r="M351" s="7">
        <f>3964850</f>
        <v>3964850</v>
      </c>
      <c r="N351" s="5" t="s">
        <v>242</v>
      </c>
      <c r="O351" s="5">
        <v>1</v>
      </c>
      <c r="P351" s="5" t="s">
        <v>294</v>
      </c>
      <c r="Q351" s="5" t="s">
        <v>613</v>
      </c>
      <c r="R351" s="5" t="s">
        <v>240</v>
      </c>
      <c r="S351" s="5" t="s">
        <v>240</v>
      </c>
      <c r="T351" s="5" t="s">
        <v>243</v>
      </c>
      <c r="U351" s="5" t="s">
        <v>724</v>
      </c>
      <c r="V351" s="5" t="s">
        <v>240</v>
      </c>
      <c r="Y351" s="5" t="s">
        <v>240</v>
      </c>
      <c r="Z351" s="6" t="s">
        <v>298</v>
      </c>
      <c r="AB351" s="6" t="s">
        <v>240</v>
      </c>
      <c r="AE351" s="6" t="s">
        <v>299</v>
      </c>
      <c r="AF351" s="5" t="s">
        <v>248</v>
      </c>
      <c r="AG351" s="5" t="s">
        <v>249</v>
      </c>
      <c r="AW351" s="5" t="s">
        <v>251</v>
      </c>
      <c r="AX351" s="5" t="s">
        <v>240</v>
      </c>
      <c r="AY351" s="5" t="s">
        <v>253</v>
      </c>
      <c r="AZ351" s="5" t="s">
        <v>240</v>
      </c>
      <c r="BA351" s="5" t="s">
        <v>255</v>
      </c>
      <c r="BB351" s="5" t="s">
        <v>240</v>
      </c>
      <c r="BD351" s="5" t="s">
        <v>240</v>
      </c>
      <c r="BF351" s="5" t="s">
        <v>301</v>
      </c>
      <c r="BG351" s="6" t="s">
        <v>299</v>
      </c>
      <c r="BH351" s="5" t="s">
        <v>302</v>
      </c>
      <c r="BI351" s="5" t="s">
        <v>303</v>
      </c>
      <c r="BJ351" s="5" t="s">
        <v>240</v>
      </c>
      <c r="BK351" s="8">
        <f>0</f>
        <v>0</v>
      </c>
      <c r="BL351" s="7">
        <f>0</f>
        <v>0</v>
      </c>
      <c r="BM351" s="5" t="s">
        <v>258</v>
      </c>
      <c r="BN351" s="5" t="s">
        <v>259</v>
      </c>
      <c r="CB351" s="5" t="s">
        <v>240</v>
      </c>
      <c r="CC351" s="5" t="s">
        <v>240</v>
      </c>
      <c r="CG351" s="5" t="s">
        <v>617</v>
      </c>
      <c r="CH351" s="5" t="s">
        <v>305</v>
      </c>
      <c r="CI351" s="5" t="s">
        <v>240</v>
      </c>
      <c r="CL351" s="6" t="s">
        <v>261</v>
      </c>
      <c r="CM351" s="5" t="s">
        <v>240</v>
      </c>
      <c r="CN351" s="5" t="s">
        <v>263</v>
      </c>
      <c r="CO351" s="5" t="s">
        <v>240</v>
      </c>
      <c r="CP351" s="5" t="s">
        <v>240</v>
      </c>
      <c r="CQ351" s="5">
        <v>0</v>
      </c>
      <c r="CR351" s="5" t="s">
        <v>306</v>
      </c>
      <c r="CS351" s="5" t="s">
        <v>307</v>
      </c>
      <c r="CT351" s="5" t="s">
        <v>307</v>
      </c>
      <c r="CU351" s="5" t="s">
        <v>260</v>
      </c>
      <c r="CX351" s="7">
        <f>26290</f>
        <v>26290</v>
      </c>
      <c r="CY351" s="7">
        <f>0</f>
        <v>0</v>
      </c>
      <c r="DA351" s="7">
        <f>0</f>
        <v>0</v>
      </c>
      <c r="DC351" s="5" t="s">
        <v>854</v>
      </c>
      <c r="DD351" s="5" t="s">
        <v>240</v>
      </c>
      <c r="DF351" s="5" t="s">
        <v>450</v>
      </c>
      <c r="DG351" s="7">
        <f>0</f>
        <v>0</v>
      </c>
      <c r="DI351" s="5" t="s">
        <v>737</v>
      </c>
      <c r="DJ351" s="5" t="s">
        <v>240</v>
      </c>
      <c r="DK351" s="5" t="s">
        <v>240</v>
      </c>
      <c r="DL351" s="5" t="s">
        <v>240</v>
      </c>
      <c r="DP351" s="5" t="s">
        <v>240</v>
      </c>
      <c r="DQ351" s="5" t="s">
        <v>240</v>
      </c>
      <c r="DR351" s="5" t="s">
        <v>240</v>
      </c>
      <c r="DS351" s="5" t="s">
        <v>240</v>
      </c>
      <c r="DV351" s="5" t="s">
        <v>957</v>
      </c>
      <c r="DW351" s="5" t="s">
        <v>584</v>
      </c>
      <c r="HO351" s="5" t="s">
        <v>312</v>
      </c>
    </row>
    <row r="352" spans="1:223" x14ac:dyDescent="0.4">
      <c r="A352" s="5">
        <v>1087</v>
      </c>
      <c r="B352" s="5">
        <v>1</v>
      </c>
      <c r="C352" s="5">
        <v>1</v>
      </c>
      <c r="D352" s="5" t="s">
        <v>1413</v>
      </c>
      <c r="E352" s="5" t="s">
        <v>1131</v>
      </c>
      <c r="F352" s="5" t="s">
        <v>254</v>
      </c>
      <c r="G352" s="5" t="s">
        <v>240</v>
      </c>
      <c r="H352" s="6" t="s">
        <v>1425</v>
      </c>
      <c r="I352" s="5" t="s">
        <v>1412</v>
      </c>
      <c r="J352" s="8">
        <f>506</f>
        <v>506</v>
      </c>
      <c r="K352" s="5" t="s">
        <v>308</v>
      </c>
      <c r="L352" s="7">
        <f>1120790</f>
        <v>1120790</v>
      </c>
      <c r="M352" s="7">
        <f>1120790</f>
        <v>1120790</v>
      </c>
      <c r="N352" s="5" t="s">
        <v>242</v>
      </c>
      <c r="O352" s="5">
        <v>1</v>
      </c>
      <c r="P352" s="5" t="s">
        <v>294</v>
      </c>
      <c r="Q352" s="5" t="s">
        <v>266</v>
      </c>
      <c r="R352" s="5" t="s">
        <v>240</v>
      </c>
      <c r="S352" s="5" t="s">
        <v>240</v>
      </c>
      <c r="T352" s="5" t="s">
        <v>296</v>
      </c>
      <c r="U352" s="5" t="s">
        <v>244</v>
      </c>
      <c r="V352" s="5" t="s">
        <v>240</v>
      </c>
      <c r="Y352" s="5" t="s">
        <v>240</v>
      </c>
      <c r="Z352" s="6" t="s">
        <v>298</v>
      </c>
      <c r="AB352" s="6" t="s">
        <v>240</v>
      </c>
      <c r="AE352" s="6" t="s">
        <v>299</v>
      </c>
      <c r="AF352" s="5" t="s">
        <v>248</v>
      </c>
      <c r="AG352" s="5" t="s">
        <v>249</v>
      </c>
      <c r="AW352" s="5" t="s">
        <v>251</v>
      </c>
      <c r="AX352" s="5" t="s">
        <v>240</v>
      </c>
      <c r="AY352" s="5" t="s">
        <v>253</v>
      </c>
      <c r="AZ352" s="5" t="s">
        <v>240</v>
      </c>
      <c r="BA352" s="5" t="s">
        <v>255</v>
      </c>
      <c r="BB352" s="5" t="s">
        <v>240</v>
      </c>
      <c r="BD352" s="5" t="s">
        <v>240</v>
      </c>
      <c r="BF352" s="5" t="s">
        <v>301</v>
      </c>
      <c r="BG352" s="6" t="s">
        <v>299</v>
      </c>
      <c r="BH352" s="5" t="s">
        <v>302</v>
      </c>
      <c r="BI352" s="5" t="s">
        <v>303</v>
      </c>
      <c r="BJ352" s="5" t="s">
        <v>240</v>
      </c>
      <c r="BK352" s="8">
        <f>0</f>
        <v>0</v>
      </c>
      <c r="BL352" s="7">
        <f>0</f>
        <v>0</v>
      </c>
      <c r="BM352" s="5" t="s">
        <v>258</v>
      </c>
      <c r="BN352" s="5" t="s">
        <v>259</v>
      </c>
      <c r="CB352" s="5" t="s">
        <v>240</v>
      </c>
      <c r="CC352" s="5" t="s">
        <v>240</v>
      </c>
      <c r="CG352" s="5" t="s">
        <v>304</v>
      </c>
      <c r="CH352" s="5" t="s">
        <v>305</v>
      </c>
      <c r="CI352" s="5" t="s">
        <v>240</v>
      </c>
      <c r="CL352" s="6" t="s">
        <v>261</v>
      </c>
      <c r="CM352" s="5" t="s">
        <v>240</v>
      </c>
      <c r="CN352" s="5" t="s">
        <v>263</v>
      </c>
      <c r="CO352" s="5" t="s">
        <v>240</v>
      </c>
      <c r="CP352" s="5" t="s">
        <v>240</v>
      </c>
      <c r="CQ352" s="5">
        <v>0</v>
      </c>
      <c r="CR352" s="5" t="s">
        <v>306</v>
      </c>
      <c r="CS352" s="5" t="s">
        <v>307</v>
      </c>
      <c r="CT352" s="5" t="s">
        <v>307</v>
      </c>
      <c r="CU352" s="5" t="s">
        <v>260</v>
      </c>
      <c r="CX352" s="7">
        <f>1</f>
        <v>1</v>
      </c>
      <c r="CY352" s="7">
        <f>0</f>
        <v>0</v>
      </c>
      <c r="DA352" s="7">
        <f>0</f>
        <v>0</v>
      </c>
      <c r="DC352" s="5" t="s">
        <v>309</v>
      </c>
      <c r="DD352" s="5" t="s">
        <v>240</v>
      </c>
      <c r="DF352" s="5" t="s">
        <v>309</v>
      </c>
      <c r="DG352" s="7">
        <f>3590</f>
        <v>3590</v>
      </c>
      <c r="DI352" s="5" t="s">
        <v>240</v>
      </c>
      <c r="DJ352" s="5" t="s">
        <v>240</v>
      </c>
      <c r="DK352" s="5" t="s">
        <v>240</v>
      </c>
      <c r="DL352" s="5" t="s">
        <v>240</v>
      </c>
      <c r="DP352" s="5" t="s">
        <v>240</v>
      </c>
      <c r="DQ352" s="5" t="s">
        <v>240</v>
      </c>
      <c r="DR352" s="5" t="s">
        <v>240</v>
      </c>
      <c r="DS352" s="5" t="s">
        <v>240</v>
      </c>
      <c r="DV352" s="5" t="s">
        <v>310</v>
      </c>
      <c r="DW352" s="5" t="s">
        <v>1030</v>
      </c>
      <c r="HO352" s="5" t="s">
        <v>312</v>
      </c>
    </row>
    <row r="353" spans="1:223" x14ac:dyDescent="0.4">
      <c r="A353" s="5">
        <v>1088</v>
      </c>
      <c r="B353" s="5">
        <v>1</v>
      </c>
      <c r="C353" s="5">
        <v>1</v>
      </c>
      <c r="D353" s="5" t="s">
        <v>1413</v>
      </c>
      <c r="E353" s="5" t="s">
        <v>1131</v>
      </c>
      <c r="F353" s="5" t="s">
        <v>254</v>
      </c>
      <c r="G353" s="5" t="s">
        <v>240</v>
      </c>
      <c r="H353" s="6" t="s">
        <v>1424</v>
      </c>
      <c r="I353" s="5" t="s">
        <v>1412</v>
      </c>
      <c r="J353" s="8">
        <f>1253</f>
        <v>1253</v>
      </c>
      <c r="K353" s="5" t="s">
        <v>308</v>
      </c>
      <c r="L353" s="7">
        <f>2775395</f>
        <v>2775395</v>
      </c>
      <c r="M353" s="7">
        <f>2775395</f>
        <v>2775395</v>
      </c>
      <c r="N353" s="5" t="s">
        <v>242</v>
      </c>
      <c r="O353" s="5">
        <v>1</v>
      </c>
      <c r="P353" s="5" t="s">
        <v>294</v>
      </c>
      <c r="Q353" s="5" t="s">
        <v>266</v>
      </c>
      <c r="R353" s="5" t="s">
        <v>240</v>
      </c>
      <c r="S353" s="5" t="s">
        <v>240</v>
      </c>
      <c r="T353" s="5" t="s">
        <v>296</v>
      </c>
      <c r="U353" s="5" t="s">
        <v>244</v>
      </c>
      <c r="V353" s="5" t="s">
        <v>240</v>
      </c>
      <c r="Y353" s="5" t="s">
        <v>240</v>
      </c>
      <c r="Z353" s="6" t="s">
        <v>298</v>
      </c>
      <c r="AB353" s="6" t="s">
        <v>240</v>
      </c>
      <c r="AE353" s="6" t="s">
        <v>299</v>
      </c>
      <c r="AF353" s="5" t="s">
        <v>248</v>
      </c>
      <c r="AG353" s="5" t="s">
        <v>249</v>
      </c>
      <c r="AW353" s="5" t="s">
        <v>251</v>
      </c>
      <c r="AX353" s="5" t="s">
        <v>240</v>
      </c>
      <c r="AY353" s="5" t="s">
        <v>253</v>
      </c>
      <c r="AZ353" s="5" t="s">
        <v>240</v>
      </c>
      <c r="BA353" s="5" t="s">
        <v>255</v>
      </c>
      <c r="BB353" s="5" t="s">
        <v>240</v>
      </c>
      <c r="BD353" s="5" t="s">
        <v>240</v>
      </c>
      <c r="BF353" s="5" t="s">
        <v>301</v>
      </c>
      <c r="BG353" s="6" t="s">
        <v>299</v>
      </c>
      <c r="BH353" s="5" t="s">
        <v>302</v>
      </c>
      <c r="BI353" s="5" t="s">
        <v>303</v>
      </c>
      <c r="BJ353" s="5" t="s">
        <v>240</v>
      </c>
      <c r="BK353" s="8">
        <f>0</f>
        <v>0</v>
      </c>
      <c r="BL353" s="7">
        <f>0</f>
        <v>0</v>
      </c>
      <c r="BM353" s="5" t="s">
        <v>258</v>
      </c>
      <c r="BN353" s="5" t="s">
        <v>259</v>
      </c>
      <c r="CB353" s="5" t="s">
        <v>240</v>
      </c>
      <c r="CC353" s="5" t="s">
        <v>240</v>
      </c>
      <c r="CG353" s="5" t="s">
        <v>304</v>
      </c>
      <c r="CH353" s="5" t="s">
        <v>305</v>
      </c>
      <c r="CI353" s="5" t="s">
        <v>240</v>
      </c>
      <c r="CL353" s="6" t="s">
        <v>261</v>
      </c>
      <c r="CM353" s="5" t="s">
        <v>240</v>
      </c>
      <c r="CN353" s="5" t="s">
        <v>263</v>
      </c>
      <c r="CO353" s="5" t="s">
        <v>240</v>
      </c>
      <c r="CP353" s="5" t="s">
        <v>240</v>
      </c>
      <c r="CQ353" s="5">
        <v>0</v>
      </c>
      <c r="CR353" s="5" t="s">
        <v>306</v>
      </c>
      <c r="CS353" s="5" t="s">
        <v>307</v>
      </c>
      <c r="CT353" s="5" t="s">
        <v>307</v>
      </c>
      <c r="CU353" s="5" t="s">
        <v>260</v>
      </c>
      <c r="CX353" s="7">
        <f>1</f>
        <v>1</v>
      </c>
      <c r="CY353" s="7">
        <f>0</f>
        <v>0</v>
      </c>
      <c r="DA353" s="7">
        <f>0</f>
        <v>0</v>
      </c>
      <c r="DC353" s="5" t="s">
        <v>309</v>
      </c>
      <c r="DD353" s="5" t="s">
        <v>240</v>
      </c>
      <c r="DF353" s="5" t="s">
        <v>309</v>
      </c>
      <c r="DG353" s="7">
        <f>173</f>
        <v>173</v>
      </c>
      <c r="DI353" s="5" t="s">
        <v>240</v>
      </c>
      <c r="DJ353" s="5" t="s">
        <v>240</v>
      </c>
      <c r="DK353" s="5" t="s">
        <v>240</v>
      </c>
      <c r="DL353" s="5" t="s">
        <v>240</v>
      </c>
      <c r="DP353" s="5" t="s">
        <v>240</v>
      </c>
      <c r="DQ353" s="5" t="s">
        <v>240</v>
      </c>
      <c r="DR353" s="5" t="s">
        <v>240</v>
      </c>
      <c r="DS353" s="5" t="s">
        <v>240</v>
      </c>
      <c r="DV353" s="5" t="s">
        <v>310</v>
      </c>
      <c r="DW353" s="5" t="s">
        <v>1032</v>
      </c>
      <c r="HO353" s="5" t="s">
        <v>312</v>
      </c>
    </row>
    <row r="354" spans="1:223" x14ac:dyDescent="0.4">
      <c r="A354" s="5">
        <v>1089</v>
      </c>
      <c r="B354" s="5">
        <v>1</v>
      </c>
      <c r="C354" s="5">
        <v>1</v>
      </c>
      <c r="D354" s="5" t="s">
        <v>1413</v>
      </c>
      <c r="E354" s="5" t="s">
        <v>1131</v>
      </c>
      <c r="F354" s="5" t="s">
        <v>254</v>
      </c>
      <c r="G354" s="5" t="s">
        <v>240</v>
      </c>
      <c r="H354" s="6" t="s">
        <v>1423</v>
      </c>
      <c r="I354" s="5" t="s">
        <v>1412</v>
      </c>
      <c r="J354" s="8">
        <f>2376</f>
        <v>2376</v>
      </c>
      <c r="K354" s="5" t="s">
        <v>308</v>
      </c>
      <c r="L354" s="7">
        <f>1164240</f>
        <v>1164240</v>
      </c>
      <c r="M354" s="7">
        <f>1164240</f>
        <v>1164240</v>
      </c>
      <c r="N354" s="5" t="s">
        <v>242</v>
      </c>
      <c r="O354" s="5">
        <v>1</v>
      </c>
      <c r="P354" s="5" t="s">
        <v>294</v>
      </c>
      <c r="Q354" s="5" t="s">
        <v>266</v>
      </c>
      <c r="R354" s="5" t="s">
        <v>240</v>
      </c>
      <c r="S354" s="5" t="s">
        <v>240</v>
      </c>
      <c r="T354" s="5" t="s">
        <v>296</v>
      </c>
      <c r="U354" s="5" t="s">
        <v>244</v>
      </c>
      <c r="V354" s="5" t="s">
        <v>240</v>
      </c>
      <c r="Y354" s="5" t="s">
        <v>240</v>
      </c>
      <c r="Z354" s="6" t="s">
        <v>298</v>
      </c>
      <c r="AB354" s="6" t="s">
        <v>240</v>
      </c>
      <c r="AE354" s="6" t="s">
        <v>299</v>
      </c>
      <c r="AF354" s="5" t="s">
        <v>248</v>
      </c>
      <c r="AG354" s="5" t="s">
        <v>249</v>
      </c>
      <c r="AW354" s="5" t="s">
        <v>251</v>
      </c>
      <c r="AX354" s="5" t="s">
        <v>240</v>
      </c>
      <c r="AY354" s="5" t="s">
        <v>253</v>
      </c>
      <c r="AZ354" s="5" t="s">
        <v>240</v>
      </c>
      <c r="BA354" s="5" t="s">
        <v>255</v>
      </c>
      <c r="BB354" s="5" t="s">
        <v>240</v>
      </c>
      <c r="BD354" s="5" t="s">
        <v>240</v>
      </c>
      <c r="BF354" s="5" t="s">
        <v>301</v>
      </c>
      <c r="BG354" s="6" t="s">
        <v>299</v>
      </c>
      <c r="BH354" s="5" t="s">
        <v>302</v>
      </c>
      <c r="BI354" s="5" t="s">
        <v>303</v>
      </c>
      <c r="BJ354" s="5" t="s">
        <v>240</v>
      </c>
      <c r="BK354" s="8">
        <f>0</f>
        <v>0</v>
      </c>
      <c r="BL354" s="7">
        <f>0</f>
        <v>0</v>
      </c>
      <c r="BM354" s="5" t="s">
        <v>258</v>
      </c>
      <c r="BN354" s="5" t="s">
        <v>259</v>
      </c>
      <c r="CB354" s="5" t="s">
        <v>240</v>
      </c>
      <c r="CC354" s="5" t="s">
        <v>240</v>
      </c>
      <c r="CG354" s="5" t="s">
        <v>304</v>
      </c>
      <c r="CH354" s="5" t="s">
        <v>305</v>
      </c>
      <c r="CI354" s="5" t="s">
        <v>240</v>
      </c>
      <c r="CL354" s="6" t="s">
        <v>261</v>
      </c>
      <c r="CM354" s="5" t="s">
        <v>240</v>
      </c>
      <c r="CN354" s="5" t="s">
        <v>263</v>
      </c>
      <c r="CO354" s="5" t="s">
        <v>240</v>
      </c>
      <c r="CP354" s="5" t="s">
        <v>240</v>
      </c>
      <c r="CQ354" s="5">
        <v>0</v>
      </c>
      <c r="CR354" s="5" t="s">
        <v>306</v>
      </c>
      <c r="CS354" s="5" t="s">
        <v>307</v>
      </c>
      <c r="CT354" s="5" t="s">
        <v>307</v>
      </c>
      <c r="CU354" s="5" t="s">
        <v>260</v>
      </c>
      <c r="CX354" s="7">
        <f>1</f>
        <v>1</v>
      </c>
      <c r="CY354" s="7">
        <f>0</f>
        <v>0</v>
      </c>
      <c r="DA354" s="7">
        <f>0</f>
        <v>0</v>
      </c>
      <c r="DC354" s="5" t="s">
        <v>309</v>
      </c>
      <c r="DD354" s="5" t="s">
        <v>240</v>
      </c>
      <c r="DF354" s="5" t="s">
        <v>309</v>
      </c>
      <c r="DG354" s="7">
        <f>4.82</f>
        <v>4.82</v>
      </c>
      <c r="DI354" s="5" t="s">
        <v>240</v>
      </c>
      <c r="DJ354" s="5" t="s">
        <v>240</v>
      </c>
      <c r="DK354" s="5" t="s">
        <v>240</v>
      </c>
      <c r="DL354" s="5" t="s">
        <v>240</v>
      </c>
      <c r="DP354" s="5" t="s">
        <v>240</v>
      </c>
      <c r="DQ354" s="5" t="s">
        <v>240</v>
      </c>
      <c r="DR354" s="5" t="s">
        <v>240</v>
      </c>
      <c r="DS354" s="5" t="s">
        <v>240</v>
      </c>
      <c r="DV354" s="5" t="s">
        <v>310</v>
      </c>
      <c r="DW354" s="5" t="s">
        <v>1034</v>
      </c>
      <c r="HO354" s="5" t="s">
        <v>312</v>
      </c>
    </row>
    <row r="355" spans="1:223" x14ac:dyDescent="0.4">
      <c r="A355" s="5">
        <v>1090</v>
      </c>
      <c r="B355" s="5">
        <v>1</v>
      </c>
      <c r="C355" s="5">
        <v>1</v>
      </c>
      <c r="D355" s="5" t="s">
        <v>1413</v>
      </c>
      <c r="E355" s="5" t="s">
        <v>1131</v>
      </c>
      <c r="F355" s="5" t="s">
        <v>254</v>
      </c>
      <c r="G355" s="5" t="s">
        <v>240</v>
      </c>
      <c r="H355" s="6" t="s">
        <v>1422</v>
      </c>
      <c r="I355" s="5" t="s">
        <v>1412</v>
      </c>
      <c r="J355" s="8">
        <f>1276</f>
        <v>1276</v>
      </c>
      <c r="K355" s="5" t="s">
        <v>308</v>
      </c>
      <c r="L355" s="7">
        <f>2826340</f>
        <v>2826340</v>
      </c>
      <c r="M355" s="7">
        <f>2826340</f>
        <v>2826340</v>
      </c>
      <c r="N355" s="5" t="s">
        <v>242</v>
      </c>
      <c r="O355" s="5">
        <v>1</v>
      </c>
      <c r="P355" s="5" t="s">
        <v>294</v>
      </c>
      <c r="Q355" s="5" t="s">
        <v>266</v>
      </c>
      <c r="R355" s="5" t="s">
        <v>240</v>
      </c>
      <c r="S355" s="5" t="s">
        <v>240</v>
      </c>
      <c r="T355" s="5" t="s">
        <v>296</v>
      </c>
      <c r="U355" s="5" t="s">
        <v>244</v>
      </c>
      <c r="V355" s="5" t="s">
        <v>240</v>
      </c>
      <c r="Y355" s="5" t="s">
        <v>240</v>
      </c>
      <c r="Z355" s="6" t="s">
        <v>298</v>
      </c>
      <c r="AB355" s="6" t="s">
        <v>240</v>
      </c>
      <c r="AE355" s="6" t="s">
        <v>299</v>
      </c>
      <c r="AF355" s="5" t="s">
        <v>248</v>
      </c>
      <c r="AG355" s="5" t="s">
        <v>249</v>
      </c>
      <c r="AW355" s="5" t="s">
        <v>251</v>
      </c>
      <c r="AX355" s="5" t="s">
        <v>240</v>
      </c>
      <c r="AY355" s="5" t="s">
        <v>253</v>
      </c>
      <c r="AZ355" s="5" t="s">
        <v>240</v>
      </c>
      <c r="BA355" s="5" t="s">
        <v>255</v>
      </c>
      <c r="BB355" s="5" t="s">
        <v>240</v>
      </c>
      <c r="BD355" s="5" t="s">
        <v>240</v>
      </c>
      <c r="BF355" s="5" t="s">
        <v>301</v>
      </c>
      <c r="BG355" s="6" t="s">
        <v>299</v>
      </c>
      <c r="BH355" s="5" t="s">
        <v>302</v>
      </c>
      <c r="BI355" s="5" t="s">
        <v>303</v>
      </c>
      <c r="BJ355" s="5" t="s">
        <v>240</v>
      </c>
      <c r="BK355" s="8">
        <f>0</f>
        <v>0</v>
      </c>
      <c r="BL355" s="7">
        <f>0</f>
        <v>0</v>
      </c>
      <c r="BM355" s="5" t="s">
        <v>258</v>
      </c>
      <c r="BN355" s="5" t="s">
        <v>259</v>
      </c>
      <c r="CB355" s="5" t="s">
        <v>240</v>
      </c>
      <c r="CC355" s="5" t="s">
        <v>240</v>
      </c>
      <c r="CG355" s="5" t="s">
        <v>304</v>
      </c>
      <c r="CH355" s="5" t="s">
        <v>305</v>
      </c>
      <c r="CI355" s="5" t="s">
        <v>240</v>
      </c>
      <c r="CL355" s="6" t="s">
        <v>261</v>
      </c>
      <c r="CM355" s="5" t="s">
        <v>240</v>
      </c>
      <c r="CN355" s="5" t="s">
        <v>263</v>
      </c>
      <c r="CO355" s="5" t="s">
        <v>240</v>
      </c>
      <c r="CP355" s="5" t="s">
        <v>240</v>
      </c>
      <c r="CQ355" s="5">
        <v>0</v>
      </c>
      <c r="CR355" s="5" t="s">
        <v>306</v>
      </c>
      <c r="CS355" s="5" t="s">
        <v>307</v>
      </c>
      <c r="CT355" s="5" t="s">
        <v>307</v>
      </c>
      <c r="CU355" s="5" t="s">
        <v>260</v>
      </c>
      <c r="CX355" s="7">
        <f>1</f>
        <v>1</v>
      </c>
      <c r="CY355" s="7">
        <f>0</f>
        <v>0</v>
      </c>
      <c r="DA355" s="7">
        <f>0</f>
        <v>0</v>
      </c>
      <c r="DC355" s="5" t="s">
        <v>309</v>
      </c>
      <c r="DD355" s="5" t="s">
        <v>240</v>
      </c>
      <c r="DF355" s="5" t="s">
        <v>309</v>
      </c>
      <c r="DG355" s="7">
        <f>7472</f>
        <v>7472</v>
      </c>
      <c r="DI355" s="5" t="s">
        <v>240</v>
      </c>
      <c r="DJ355" s="5" t="s">
        <v>240</v>
      </c>
      <c r="DK355" s="5" t="s">
        <v>240</v>
      </c>
      <c r="DL355" s="5" t="s">
        <v>240</v>
      </c>
      <c r="DP355" s="5" t="s">
        <v>240</v>
      </c>
      <c r="DQ355" s="5" t="s">
        <v>240</v>
      </c>
      <c r="DR355" s="5" t="s">
        <v>240</v>
      </c>
      <c r="DS355" s="5" t="s">
        <v>240</v>
      </c>
      <c r="DV355" s="5" t="s">
        <v>310</v>
      </c>
      <c r="DW355" s="5" t="s">
        <v>1036</v>
      </c>
      <c r="HO355" s="5" t="s">
        <v>312</v>
      </c>
    </row>
    <row r="356" spans="1:223" x14ac:dyDescent="0.4">
      <c r="A356" s="5">
        <v>1091</v>
      </c>
      <c r="B356" s="5">
        <v>1</v>
      </c>
      <c r="C356" s="5">
        <v>1</v>
      </c>
      <c r="D356" s="5" t="s">
        <v>1413</v>
      </c>
      <c r="E356" s="5" t="s">
        <v>1131</v>
      </c>
      <c r="F356" s="5" t="s">
        <v>254</v>
      </c>
      <c r="G356" s="5" t="s">
        <v>240</v>
      </c>
      <c r="H356" s="6" t="s">
        <v>1421</v>
      </c>
      <c r="I356" s="5" t="s">
        <v>1412</v>
      </c>
      <c r="J356" s="8">
        <f>177</f>
        <v>177</v>
      </c>
      <c r="K356" s="5" t="s">
        <v>308</v>
      </c>
      <c r="L356" s="7">
        <f>392055</f>
        <v>392055</v>
      </c>
      <c r="M356" s="7">
        <f>392055</f>
        <v>392055</v>
      </c>
      <c r="N356" s="5" t="s">
        <v>242</v>
      </c>
      <c r="O356" s="5">
        <v>1</v>
      </c>
      <c r="P356" s="5" t="s">
        <v>294</v>
      </c>
      <c r="Q356" s="5" t="s">
        <v>266</v>
      </c>
      <c r="R356" s="5" t="s">
        <v>240</v>
      </c>
      <c r="S356" s="5" t="s">
        <v>240</v>
      </c>
      <c r="T356" s="5" t="s">
        <v>296</v>
      </c>
      <c r="U356" s="5" t="s">
        <v>244</v>
      </c>
      <c r="V356" s="5" t="s">
        <v>240</v>
      </c>
      <c r="Y356" s="5" t="s">
        <v>240</v>
      </c>
      <c r="Z356" s="6" t="s">
        <v>298</v>
      </c>
      <c r="AB356" s="6" t="s">
        <v>240</v>
      </c>
      <c r="AE356" s="6" t="s">
        <v>299</v>
      </c>
      <c r="AF356" s="5" t="s">
        <v>248</v>
      </c>
      <c r="AG356" s="5" t="s">
        <v>249</v>
      </c>
      <c r="AW356" s="5" t="s">
        <v>251</v>
      </c>
      <c r="AX356" s="5" t="s">
        <v>240</v>
      </c>
      <c r="AY356" s="5" t="s">
        <v>253</v>
      </c>
      <c r="AZ356" s="5" t="s">
        <v>240</v>
      </c>
      <c r="BA356" s="5" t="s">
        <v>255</v>
      </c>
      <c r="BB356" s="5" t="s">
        <v>240</v>
      </c>
      <c r="BD356" s="5" t="s">
        <v>240</v>
      </c>
      <c r="BF356" s="5" t="s">
        <v>301</v>
      </c>
      <c r="BG356" s="6" t="s">
        <v>299</v>
      </c>
      <c r="BH356" s="5" t="s">
        <v>302</v>
      </c>
      <c r="BI356" s="5" t="s">
        <v>303</v>
      </c>
      <c r="BJ356" s="5" t="s">
        <v>240</v>
      </c>
      <c r="BK356" s="8">
        <f>0</f>
        <v>0</v>
      </c>
      <c r="BL356" s="7">
        <f>0</f>
        <v>0</v>
      </c>
      <c r="BM356" s="5" t="s">
        <v>258</v>
      </c>
      <c r="BN356" s="5" t="s">
        <v>259</v>
      </c>
      <c r="CB356" s="5" t="s">
        <v>240</v>
      </c>
      <c r="CC356" s="5" t="s">
        <v>240</v>
      </c>
      <c r="CG356" s="5" t="s">
        <v>304</v>
      </c>
      <c r="CH356" s="5" t="s">
        <v>305</v>
      </c>
      <c r="CI356" s="5" t="s">
        <v>240</v>
      </c>
      <c r="CL356" s="6" t="s">
        <v>261</v>
      </c>
      <c r="CM356" s="5" t="s">
        <v>240</v>
      </c>
      <c r="CN356" s="5" t="s">
        <v>263</v>
      </c>
      <c r="CO356" s="5" t="s">
        <v>240</v>
      </c>
      <c r="CP356" s="5" t="s">
        <v>240</v>
      </c>
      <c r="CQ356" s="5">
        <v>0</v>
      </c>
      <c r="CR356" s="5" t="s">
        <v>306</v>
      </c>
      <c r="CS356" s="5" t="s">
        <v>307</v>
      </c>
      <c r="CT356" s="5" t="s">
        <v>307</v>
      </c>
      <c r="CU356" s="5" t="s">
        <v>260</v>
      </c>
      <c r="CX356" s="7">
        <f>1</f>
        <v>1</v>
      </c>
      <c r="CY356" s="7">
        <f>0</f>
        <v>0</v>
      </c>
      <c r="DA356" s="7">
        <f>0</f>
        <v>0</v>
      </c>
      <c r="DC356" s="5" t="s">
        <v>309</v>
      </c>
      <c r="DD356" s="5" t="s">
        <v>240</v>
      </c>
      <c r="DF356" s="5" t="s">
        <v>309</v>
      </c>
      <c r="DG356" s="7">
        <f>2079</f>
        <v>2079</v>
      </c>
      <c r="DI356" s="5" t="s">
        <v>240</v>
      </c>
      <c r="DJ356" s="5" t="s">
        <v>240</v>
      </c>
      <c r="DK356" s="5" t="s">
        <v>240</v>
      </c>
      <c r="DL356" s="5" t="s">
        <v>240</v>
      </c>
      <c r="DP356" s="5" t="s">
        <v>240</v>
      </c>
      <c r="DQ356" s="5" t="s">
        <v>240</v>
      </c>
      <c r="DR356" s="5" t="s">
        <v>240</v>
      </c>
      <c r="DS356" s="5" t="s">
        <v>240</v>
      </c>
      <c r="DV356" s="5" t="s">
        <v>310</v>
      </c>
      <c r="DW356" s="5" t="s">
        <v>1038</v>
      </c>
      <c r="HO356" s="5" t="s">
        <v>312</v>
      </c>
    </row>
    <row r="357" spans="1:223" x14ac:dyDescent="0.4">
      <c r="A357" s="5">
        <v>1092</v>
      </c>
      <c r="B357" s="5">
        <v>1</v>
      </c>
      <c r="C357" s="5">
        <v>1</v>
      </c>
      <c r="D357" s="5" t="s">
        <v>1413</v>
      </c>
      <c r="E357" s="5" t="s">
        <v>1131</v>
      </c>
      <c r="F357" s="5" t="s">
        <v>254</v>
      </c>
      <c r="G357" s="5" t="s">
        <v>240</v>
      </c>
      <c r="H357" s="6" t="s">
        <v>1420</v>
      </c>
      <c r="I357" s="5" t="s">
        <v>1412</v>
      </c>
      <c r="J357" s="8">
        <f>1326</f>
        <v>1326</v>
      </c>
      <c r="K357" s="5" t="s">
        <v>308</v>
      </c>
      <c r="L357" s="7">
        <f>2937090</f>
        <v>2937090</v>
      </c>
      <c r="M357" s="7">
        <f>2937090</f>
        <v>2937090</v>
      </c>
      <c r="N357" s="5" t="s">
        <v>242</v>
      </c>
      <c r="O357" s="5">
        <v>1</v>
      </c>
      <c r="P357" s="5" t="s">
        <v>294</v>
      </c>
      <c r="Q357" s="5" t="s">
        <v>266</v>
      </c>
      <c r="R357" s="5" t="s">
        <v>240</v>
      </c>
      <c r="S357" s="5" t="s">
        <v>240</v>
      </c>
      <c r="T357" s="5" t="s">
        <v>296</v>
      </c>
      <c r="U357" s="5" t="s">
        <v>244</v>
      </c>
      <c r="V357" s="5" t="s">
        <v>240</v>
      </c>
      <c r="Y357" s="5" t="s">
        <v>240</v>
      </c>
      <c r="Z357" s="6" t="s">
        <v>298</v>
      </c>
      <c r="AB357" s="6" t="s">
        <v>240</v>
      </c>
      <c r="AE357" s="6" t="s">
        <v>299</v>
      </c>
      <c r="AF357" s="5" t="s">
        <v>248</v>
      </c>
      <c r="AG357" s="5" t="s">
        <v>249</v>
      </c>
      <c r="AW357" s="5" t="s">
        <v>251</v>
      </c>
      <c r="AX357" s="5" t="s">
        <v>240</v>
      </c>
      <c r="AY357" s="5" t="s">
        <v>253</v>
      </c>
      <c r="AZ357" s="5" t="s">
        <v>240</v>
      </c>
      <c r="BA357" s="5" t="s">
        <v>255</v>
      </c>
      <c r="BB357" s="5" t="s">
        <v>240</v>
      </c>
      <c r="BD357" s="5" t="s">
        <v>240</v>
      </c>
      <c r="BF357" s="5" t="s">
        <v>301</v>
      </c>
      <c r="BG357" s="6" t="s">
        <v>299</v>
      </c>
      <c r="BH357" s="5" t="s">
        <v>302</v>
      </c>
      <c r="BI357" s="5" t="s">
        <v>303</v>
      </c>
      <c r="BJ357" s="5" t="s">
        <v>240</v>
      </c>
      <c r="BK357" s="8">
        <f>0</f>
        <v>0</v>
      </c>
      <c r="BL357" s="7">
        <f>0</f>
        <v>0</v>
      </c>
      <c r="BM357" s="5" t="s">
        <v>258</v>
      </c>
      <c r="BN357" s="5" t="s">
        <v>259</v>
      </c>
      <c r="CB357" s="5" t="s">
        <v>240</v>
      </c>
      <c r="CC357" s="5" t="s">
        <v>240</v>
      </c>
      <c r="CG357" s="5" t="s">
        <v>304</v>
      </c>
      <c r="CH357" s="5" t="s">
        <v>305</v>
      </c>
      <c r="CI357" s="5" t="s">
        <v>240</v>
      </c>
      <c r="CL357" s="6" t="s">
        <v>261</v>
      </c>
      <c r="CM357" s="5" t="s">
        <v>240</v>
      </c>
      <c r="CN357" s="5" t="s">
        <v>263</v>
      </c>
      <c r="CO357" s="5" t="s">
        <v>240</v>
      </c>
      <c r="CP357" s="5" t="s">
        <v>240</v>
      </c>
      <c r="CQ357" s="5">
        <v>0</v>
      </c>
      <c r="CR357" s="5" t="s">
        <v>306</v>
      </c>
      <c r="CS357" s="5" t="s">
        <v>307</v>
      </c>
      <c r="CT357" s="5" t="s">
        <v>307</v>
      </c>
      <c r="CU357" s="5" t="s">
        <v>260</v>
      </c>
      <c r="CX357" s="7">
        <f>1</f>
        <v>1</v>
      </c>
      <c r="CY357" s="7">
        <f>0</f>
        <v>0</v>
      </c>
      <c r="DA357" s="7">
        <f>0</f>
        <v>0</v>
      </c>
      <c r="DC357" s="5" t="s">
        <v>309</v>
      </c>
      <c r="DD357" s="5" t="s">
        <v>240</v>
      </c>
      <c r="DF357" s="5" t="s">
        <v>309</v>
      </c>
      <c r="DG357" s="7">
        <f>671</f>
        <v>671</v>
      </c>
      <c r="DI357" s="5" t="s">
        <v>240</v>
      </c>
      <c r="DJ357" s="5" t="s">
        <v>240</v>
      </c>
      <c r="DK357" s="5" t="s">
        <v>240</v>
      </c>
      <c r="DL357" s="5" t="s">
        <v>240</v>
      </c>
      <c r="DP357" s="5" t="s">
        <v>240</v>
      </c>
      <c r="DQ357" s="5" t="s">
        <v>240</v>
      </c>
      <c r="DR357" s="5" t="s">
        <v>240</v>
      </c>
      <c r="DS357" s="5" t="s">
        <v>240</v>
      </c>
      <c r="DV357" s="5" t="s">
        <v>310</v>
      </c>
      <c r="DW357" s="5" t="s">
        <v>1040</v>
      </c>
      <c r="HO357" s="5" t="s">
        <v>312</v>
      </c>
    </row>
    <row r="358" spans="1:223" x14ac:dyDescent="0.4">
      <c r="A358" s="5">
        <v>1093</v>
      </c>
      <c r="B358" s="5">
        <v>1</v>
      </c>
      <c r="C358" s="5">
        <v>1</v>
      </c>
      <c r="D358" s="5" t="s">
        <v>1413</v>
      </c>
      <c r="E358" s="5" t="s">
        <v>1131</v>
      </c>
      <c r="F358" s="5" t="s">
        <v>254</v>
      </c>
      <c r="G358" s="5" t="s">
        <v>240</v>
      </c>
      <c r="H358" s="6" t="s">
        <v>1419</v>
      </c>
      <c r="I358" s="5" t="s">
        <v>1412</v>
      </c>
      <c r="J358" s="8">
        <f>1035</f>
        <v>1035</v>
      </c>
      <c r="K358" s="5" t="s">
        <v>308</v>
      </c>
      <c r="L358" s="7">
        <f>2292525</f>
        <v>2292525</v>
      </c>
      <c r="M358" s="7">
        <f>2292525</f>
        <v>2292525</v>
      </c>
      <c r="N358" s="5" t="s">
        <v>242</v>
      </c>
      <c r="O358" s="5">
        <v>1</v>
      </c>
      <c r="P358" s="5" t="s">
        <v>294</v>
      </c>
      <c r="Q358" s="5" t="s">
        <v>266</v>
      </c>
      <c r="R358" s="5" t="s">
        <v>240</v>
      </c>
      <c r="S358" s="5" t="s">
        <v>240</v>
      </c>
      <c r="T358" s="5" t="s">
        <v>296</v>
      </c>
      <c r="U358" s="5" t="s">
        <v>244</v>
      </c>
      <c r="V358" s="5" t="s">
        <v>240</v>
      </c>
      <c r="Y358" s="5" t="s">
        <v>240</v>
      </c>
      <c r="Z358" s="6" t="s">
        <v>298</v>
      </c>
      <c r="AB358" s="6" t="s">
        <v>240</v>
      </c>
      <c r="AE358" s="6" t="s">
        <v>299</v>
      </c>
      <c r="AF358" s="5" t="s">
        <v>248</v>
      </c>
      <c r="AG358" s="5" t="s">
        <v>249</v>
      </c>
      <c r="AW358" s="5" t="s">
        <v>251</v>
      </c>
      <c r="AX358" s="5" t="s">
        <v>240</v>
      </c>
      <c r="AY358" s="5" t="s">
        <v>253</v>
      </c>
      <c r="AZ358" s="5" t="s">
        <v>240</v>
      </c>
      <c r="BA358" s="5" t="s">
        <v>255</v>
      </c>
      <c r="BB358" s="5" t="s">
        <v>240</v>
      </c>
      <c r="BD358" s="5" t="s">
        <v>240</v>
      </c>
      <c r="BF358" s="5" t="s">
        <v>301</v>
      </c>
      <c r="BG358" s="6" t="s">
        <v>299</v>
      </c>
      <c r="BH358" s="5" t="s">
        <v>302</v>
      </c>
      <c r="BI358" s="5" t="s">
        <v>303</v>
      </c>
      <c r="BJ358" s="5" t="s">
        <v>240</v>
      </c>
      <c r="BK358" s="8">
        <f>0</f>
        <v>0</v>
      </c>
      <c r="BL358" s="7">
        <f>0</f>
        <v>0</v>
      </c>
      <c r="BM358" s="5" t="s">
        <v>258</v>
      </c>
      <c r="BN358" s="5" t="s">
        <v>259</v>
      </c>
      <c r="CB358" s="5" t="s">
        <v>240</v>
      </c>
      <c r="CC358" s="5" t="s">
        <v>240</v>
      </c>
      <c r="CG358" s="5" t="s">
        <v>304</v>
      </c>
      <c r="CH358" s="5" t="s">
        <v>305</v>
      </c>
      <c r="CI358" s="5" t="s">
        <v>240</v>
      </c>
      <c r="CL358" s="6" t="s">
        <v>261</v>
      </c>
      <c r="CM358" s="5" t="s">
        <v>240</v>
      </c>
      <c r="CN358" s="5" t="s">
        <v>263</v>
      </c>
      <c r="CO358" s="5" t="s">
        <v>240</v>
      </c>
      <c r="CP358" s="5" t="s">
        <v>240</v>
      </c>
      <c r="CQ358" s="5">
        <v>0</v>
      </c>
      <c r="CR358" s="5" t="s">
        <v>306</v>
      </c>
      <c r="CS358" s="5" t="s">
        <v>307</v>
      </c>
      <c r="CT358" s="5" t="s">
        <v>307</v>
      </c>
      <c r="CU358" s="5" t="s">
        <v>260</v>
      </c>
      <c r="CX358" s="7">
        <f>1</f>
        <v>1</v>
      </c>
      <c r="CY358" s="7">
        <f>0</f>
        <v>0</v>
      </c>
      <c r="DA358" s="7">
        <f>0</f>
        <v>0</v>
      </c>
      <c r="DC358" s="5" t="s">
        <v>309</v>
      </c>
      <c r="DD358" s="5" t="s">
        <v>240</v>
      </c>
      <c r="DF358" s="5" t="s">
        <v>309</v>
      </c>
      <c r="DG358" s="7">
        <f>1796</f>
        <v>1796</v>
      </c>
      <c r="DI358" s="5" t="s">
        <v>240</v>
      </c>
      <c r="DJ358" s="5" t="s">
        <v>240</v>
      </c>
      <c r="DK358" s="5" t="s">
        <v>240</v>
      </c>
      <c r="DL358" s="5" t="s">
        <v>240</v>
      </c>
      <c r="DP358" s="5" t="s">
        <v>240</v>
      </c>
      <c r="DQ358" s="5" t="s">
        <v>240</v>
      </c>
      <c r="DR358" s="5" t="s">
        <v>240</v>
      </c>
      <c r="DS358" s="5" t="s">
        <v>240</v>
      </c>
      <c r="DV358" s="5" t="s">
        <v>310</v>
      </c>
      <c r="DW358" s="5" t="s">
        <v>1042</v>
      </c>
      <c r="HO358" s="5" t="s">
        <v>312</v>
      </c>
    </row>
    <row r="359" spans="1:223" x14ac:dyDescent="0.4">
      <c r="A359" s="5">
        <v>1094</v>
      </c>
      <c r="B359" s="5">
        <v>1</v>
      </c>
      <c r="C359" s="5">
        <v>1</v>
      </c>
      <c r="D359" s="5" t="s">
        <v>1413</v>
      </c>
      <c r="E359" s="5" t="s">
        <v>1131</v>
      </c>
      <c r="F359" s="5" t="s">
        <v>254</v>
      </c>
      <c r="G359" s="5" t="s">
        <v>240</v>
      </c>
      <c r="H359" s="6" t="s">
        <v>1418</v>
      </c>
      <c r="I359" s="5" t="s">
        <v>1412</v>
      </c>
      <c r="J359" s="8">
        <f>636</f>
        <v>636</v>
      </c>
      <c r="K359" s="5" t="s">
        <v>308</v>
      </c>
      <c r="L359" s="7">
        <f>1408740</f>
        <v>1408740</v>
      </c>
      <c r="M359" s="7">
        <f>1408740</f>
        <v>1408740</v>
      </c>
      <c r="N359" s="5" t="s">
        <v>242</v>
      </c>
      <c r="O359" s="5">
        <v>1</v>
      </c>
      <c r="P359" s="5" t="s">
        <v>294</v>
      </c>
      <c r="Q359" s="5" t="s">
        <v>266</v>
      </c>
      <c r="R359" s="5" t="s">
        <v>240</v>
      </c>
      <c r="S359" s="5" t="s">
        <v>240</v>
      </c>
      <c r="T359" s="5" t="s">
        <v>296</v>
      </c>
      <c r="U359" s="5" t="s">
        <v>244</v>
      </c>
      <c r="V359" s="5" t="s">
        <v>240</v>
      </c>
      <c r="Y359" s="5" t="s">
        <v>240</v>
      </c>
      <c r="Z359" s="6" t="s">
        <v>298</v>
      </c>
      <c r="AB359" s="6" t="s">
        <v>240</v>
      </c>
      <c r="AE359" s="6" t="s">
        <v>299</v>
      </c>
      <c r="AF359" s="5" t="s">
        <v>248</v>
      </c>
      <c r="AG359" s="5" t="s">
        <v>249</v>
      </c>
      <c r="AW359" s="5" t="s">
        <v>251</v>
      </c>
      <c r="AX359" s="5" t="s">
        <v>240</v>
      </c>
      <c r="AY359" s="5" t="s">
        <v>253</v>
      </c>
      <c r="AZ359" s="5" t="s">
        <v>240</v>
      </c>
      <c r="BA359" s="5" t="s">
        <v>255</v>
      </c>
      <c r="BB359" s="5" t="s">
        <v>240</v>
      </c>
      <c r="BD359" s="5" t="s">
        <v>240</v>
      </c>
      <c r="BF359" s="5" t="s">
        <v>301</v>
      </c>
      <c r="BG359" s="6" t="s">
        <v>299</v>
      </c>
      <c r="BH359" s="5" t="s">
        <v>302</v>
      </c>
      <c r="BI359" s="5" t="s">
        <v>303</v>
      </c>
      <c r="BJ359" s="5" t="s">
        <v>240</v>
      </c>
      <c r="BK359" s="8">
        <f>0</f>
        <v>0</v>
      </c>
      <c r="BL359" s="7">
        <f>0</f>
        <v>0</v>
      </c>
      <c r="BM359" s="5" t="s">
        <v>258</v>
      </c>
      <c r="BN359" s="5" t="s">
        <v>259</v>
      </c>
      <c r="CB359" s="5" t="s">
        <v>240</v>
      </c>
      <c r="CC359" s="5" t="s">
        <v>240</v>
      </c>
      <c r="CG359" s="5" t="s">
        <v>304</v>
      </c>
      <c r="CH359" s="5" t="s">
        <v>305</v>
      </c>
      <c r="CI359" s="5" t="s">
        <v>240</v>
      </c>
      <c r="CL359" s="6" t="s">
        <v>261</v>
      </c>
      <c r="CM359" s="5" t="s">
        <v>240</v>
      </c>
      <c r="CN359" s="5" t="s">
        <v>263</v>
      </c>
      <c r="CO359" s="5" t="s">
        <v>240</v>
      </c>
      <c r="CP359" s="5" t="s">
        <v>240</v>
      </c>
      <c r="CQ359" s="5">
        <v>0</v>
      </c>
      <c r="CR359" s="5" t="s">
        <v>306</v>
      </c>
      <c r="CS359" s="5" t="s">
        <v>307</v>
      </c>
      <c r="CT359" s="5" t="s">
        <v>307</v>
      </c>
      <c r="CU359" s="5" t="s">
        <v>260</v>
      </c>
      <c r="CX359" s="7">
        <f>1</f>
        <v>1</v>
      </c>
      <c r="CY359" s="7">
        <f>0</f>
        <v>0</v>
      </c>
      <c r="DA359" s="7">
        <f>0</f>
        <v>0</v>
      </c>
      <c r="DC359" s="5" t="s">
        <v>309</v>
      </c>
      <c r="DD359" s="5" t="s">
        <v>240</v>
      </c>
      <c r="DF359" s="5" t="s">
        <v>309</v>
      </c>
      <c r="DG359" s="7">
        <f>1808</f>
        <v>1808</v>
      </c>
      <c r="DI359" s="5" t="s">
        <v>240</v>
      </c>
      <c r="DJ359" s="5" t="s">
        <v>240</v>
      </c>
      <c r="DK359" s="5" t="s">
        <v>240</v>
      </c>
      <c r="DL359" s="5" t="s">
        <v>240</v>
      </c>
      <c r="DP359" s="5" t="s">
        <v>240</v>
      </c>
      <c r="DQ359" s="5" t="s">
        <v>240</v>
      </c>
      <c r="DR359" s="5" t="s">
        <v>240</v>
      </c>
      <c r="DS359" s="5" t="s">
        <v>240</v>
      </c>
      <c r="DV359" s="5" t="s">
        <v>310</v>
      </c>
      <c r="DW359" s="5" t="s">
        <v>1044</v>
      </c>
      <c r="HO359" s="5" t="s">
        <v>312</v>
      </c>
    </row>
    <row r="360" spans="1:223" x14ac:dyDescent="0.4">
      <c r="A360" s="5">
        <v>1095</v>
      </c>
      <c r="B360" s="5">
        <v>1</v>
      </c>
      <c r="C360" s="5">
        <v>1</v>
      </c>
      <c r="D360" s="5" t="s">
        <v>1413</v>
      </c>
      <c r="E360" s="5" t="s">
        <v>1131</v>
      </c>
      <c r="F360" s="5" t="s">
        <v>254</v>
      </c>
      <c r="G360" s="5" t="s">
        <v>240</v>
      </c>
      <c r="H360" s="6" t="s">
        <v>1417</v>
      </c>
      <c r="I360" s="5" t="s">
        <v>1412</v>
      </c>
      <c r="J360" s="8">
        <f>2081</f>
        <v>2081</v>
      </c>
      <c r="K360" s="5" t="s">
        <v>308</v>
      </c>
      <c r="L360" s="7">
        <f>4609415</f>
        <v>4609415</v>
      </c>
      <c r="M360" s="7">
        <f>4609415</f>
        <v>4609415</v>
      </c>
      <c r="N360" s="5" t="s">
        <v>242</v>
      </c>
      <c r="O360" s="5">
        <v>1</v>
      </c>
      <c r="P360" s="5" t="s">
        <v>294</v>
      </c>
      <c r="Q360" s="5" t="s">
        <v>266</v>
      </c>
      <c r="R360" s="5" t="s">
        <v>240</v>
      </c>
      <c r="S360" s="5" t="s">
        <v>240</v>
      </c>
      <c r="T360" s="5" t="s">
        <v>296</v>
      </c>
      <c r="U360" s="5" t="s">
        <v>244</v>
      </c>
      <c r="V360" s="5" t="s">
        <v>240</v>
      </c>
      <c r="Y360" s="5" t="s">
        <v>240</v>
      </c>
      <c r="Z360" s="6" t="s">
        <v>298</v>
      </c>
      <c r="AB360" s="6" t="s">
        <v>240</v>
      </c>
      <c r="AE360" s="6" t="s">
        <v>299</v>
      </c>
      <c r="AF360" s="5" t="s">
        <v>248</v>
      </c>
      <c r="AG360" s="5" t="s">
        <v>249</v>
      </c>
      <c r="AW360" s="5" t="s">
        <v>251</v>
      </c>
      <c r="AX360" s="5" t="s">
        <v>240</v>
      </c>
      <c r="AY360" s="5" t="s">
        <v>253</v>
      </c>
      <c r="AZ360" s="5" t="s">
        <v>240</v>
      </c>
      <c r="BA360" s="5" t="s">
        <v>255</v>
      </c>
      <c r="BB360" s="5" t="s">
        <v>240</v>
      </c>
      <c r="BD360" s="5" t="s">
        <v>240</v>
      </c>
      <c r="BF360" s="5" t="s">
        <v>301</v>
      </c>
      <c r="BG360" s="6" t="s">
        <v>299</v>
      </c>
      <c r="BH360" s="5" t="s">
        <v>302</v>
      </c>
      <c r="BI360" s="5" t="s">
        <v>303</v>
      </c>
      <c r="BJ360" s="5" t="s">
        <v>240</v>
      </c>
      <c r="BK360" s="8">
        <f>0</f>
        <v>0</v>
      </c>
      <c r="BL360" s="7">
        <f>0</f>
        <v>0</v>
      </c>
      <c r="BM360" s="5" t="s">
        <v>258</v>
      </c>
      <c r="BN360" s="5" t="s">
        <v>259</v>
      </c>
      <c r="CB360" s="5" t="s">
        <v>240</v>
      </c>
      <c r="CC360" s="5" t="s">
        <v>240</v>
      </c>
      <c r="CG360" s="5" t="s">
        <v>304</v>
      </c>
      <c r="CH360" s="5" t="s">
        <v>305</v>
      </c>
      <c r="CI360" s="5" t="s">
        <v>240</v>
      </c>
      <c r="CL360" s="6" t="s">
        <v>261</v>
      </c>
      <c r="CM360" s="5" t="s">
        <v>240</v>
      </c>
      <c r="CN360" s="5" t="s">
        <v>263</v>
      </c>
      <c r="CO360" s="5" t="s">
        <v>240</v>
      </c>
      <c r="CP360" s="5" t="s">
        <v>240</v>
      </c>
      <c r="CQ360" s="5">
        <v>0</v>
      </c>
      <c r="CR360" s="5" t="s">
        <v>306</v>
      </c>
      <c r="CS360" s="5" t="s">
        <v>307</v>
      </c>
      <c r="CT360" s="5" t="s">
        <v>307</v>
      </c>
      <c r="CU360" s="5" t="s">
        <v>260</v>
      </c>
      <c r="CX360" s="7">
        <f>1</f>
        <v>1</v>
      </c>
      <c r="CY360" s="7">
        <f>0</f>
        <v>0</v>
      </c>
      <c r="DA360" s="7">
        <f>0</f>
        <v>0</v>
      </c>
      <c r="DC360" s="5" t="s">
        <v>309</v>
      </c>
      <c r="DD360" s="5" t="s">
        <v>240</v>
      </c>
      <c r="DF360" s="5" t="s">
        <v>309</v>
      </c>
      <c r="DG360" s="7">
        <f>2433</f>
        <v>2433</v>
      </c>
      <c r="DI360" s="5" t="s">
        <v>240</v>
      </c>
      <c r="DJ360" s="5" t="s">
        <v>240</v>
      </c>
      <c r="DK360" s="5" t="s">
        <v>240</v>
      </c>
      <c r="DL360" s="5" t="s">
        <v>240</v>
      </c>
      <c r="DP360" s="5" t="s">
        <v>240</v>
      </c>
      <c r="DQ360" s="5" t="s">
        <v>240</v>
      </c>
      <c r="DR360" s="5" t="s">
        <v>240</v>
      </c>
      <c r="DS360" s="5" t="s">
        <v>240</v>
      </c>
      <c r="DV360" s="5" t="s">
        <v>310</v>
      </c>
      <c r="DW360" s="5" t="s">
        <v>1046</v>
      </c>
      <c r="HO360" s="5" t="s">
        <v>312</v>
      </c>
    </row>
    <row r="361" spans="1:223" x14ac:dyDescent="0.4">
      <c r="A361" s="5">
        <v>1096</v>
      </c>
      <c r="B361" s="5">
        <v>1</v>
      </c>
      <c r="C361" s="5">
        <v>1</v>
      </c>
      <c r="D361" s="5" t="s">
        <v>1413</v>
      </c>
      <c r="E361" s="5" t="s">
        <v>1131</v>
      </c>
      <c r="F361" s="5" t="s">
        <v>254</v>
      </c>
      <c r="G361" s="5" t="s">
        <v>240</v>
      </c>
      <c r="H361" s="6" t="s">
        <v>1416</v>
      </c>
      <c r="I361" s="5" t="s">
        <v>1412</v>
      </c>
      <c r="J361" s="8">
        <f>20.78</f>
        <v>20.78</v>
      </c>
      <c r="K361" s="5" t="s">
        <v>308</v>
      </c>
      <c r="L361" s="7">
        <f>46027</f>
        <v>46027</v>
      </c>
      <c r="M361" s="7">
        <f>46027</f>
        <v>46027</v>
      </c>
      <c r="N361" s="5" t="s">
        <v>242</v>
      </c>
      <c r="O361" s="5">
        <v>1</v>
      </c>
      <c r="P361" s="5" t="s">
        <v>294</v>
      </c>
      <c r="Q361" s="5" t="s">
        <v>266</v>
      </c>
      <c r="R361" s="5" t="s">
        <v>240</v>
      </c>
      <c r="S361" s="5" t="s">
        <v>240</v>
      </c>
      <c r="T361" s="5" t="s">
        <v>296</v>
      </c>
      <c r="U361" s="5" t="s">
        <v>244</v>
      </c>
      <c r="V361" s="5" t="s">
        <v>240</v>
      </c>
      <c r="Y361" s="5" t="s">
        <v>240</v>
      </c>
      <c r="Z361" s="6" t="s">
        <v>298</v>
      </c>
      <c r="AB361" s="6" t="s">
        <v>240</v>
      </c>
      <c r="AE361" s="6" t="s">
        <v>299</v>
      </c>
      <c r="AF361" s="5" t="s">
        <v>248</v>
      </c>
      <c r="AG361" s="5" t="s">
        <v>249</v>
      </c>
      <c r="AW361" s="5" t="s">
        <v>251</v>
      </c>
      <c r="AX361" s="5" t="s">
        <v>240</v>
      </c>
      <c r="AY361" s="5" t="s">
        <v>253</v>
      </c>
      <c r="AZ361" s="5" t="s">
        <v>240</v>
      </c>
      <c r="BA361" s="5" t="s">
        <v>255</v>
      </c>
      <c r="BB361" s="5" t="s">
        <v>240</v>
      </c>
      <c r="BD361" s="5" t="s">
        <v>240</v>
      </c>
      <c r="BF361" s="5" t="s">
        <v>301</v>
      </c>
      <c r="BG361" s="6" t="s">
        <v>299</v>
      </c>
      <c r="BH361" s="5" t="s">
        <v>302</v>
      </c>
      <c r="BI361" s="5" t="s">
        <v>303</v>
      </c>
      <c r="BJ361" s="5" t="s">
        <v>240</v>
      </c>
      <c r="BK361" s="8">
        <f>0</f>
        <v>0</v>
      </c>
      <c r="BL361" s="7">
        <f>0</f>
        <v>0</v>
      </c>
      <c r="BM361" s="5" t="s">
        <v>258</v>
      </c>
      <c r="BN361" s="5" t="s">
        <v>259</v>
      </c>
      <c r="CB361" s="5" t="s">
        <v>240</v>
      </c>
      <c r="CC361" s="5" t="s">
        <v>240</v>
      </c>
      <c r="CG361" s="5" t="s">
        <v>304</v>
      </c>
      <c r="CH361" s="5" t="s">
        <v>305</v>
      </c>
      <c r="CI361" s="5" t="s">
        <v>240</v>
      </c>
      <c r="CL361" s="6" t="s">
        <v>261</v>
      </c>
      <c r="CM361" s="5" t="s">
        <v>240</v>
      </c>
      <c r="CN361" s="5" t="s">
        <v>263</v>
      </c>
      <c r="CO361" s="5" t="s">
        <v>240</v>
      </c>
      <c r="CP361" s="5" t="s">
        <v>240</v>
      </c>
      <c r="CQ361" s="5">
        <v>0</v>
      </c>
      <c r="CR361" s="5" t="s">
        <v>306</v>
      </c>
      <c r="CS361" s="5" t="s">
        <v>307</v>
      </c>
      <c r="CT361" s="5" t="s">
        <v>307</v>
      </c>
      <c r="CU361" s="5" t="s">
        <v>260</v>
      </c>
      <c r="CX361" s="7">
        <f>1</f>
        <v>1</v>
      </c>
      <c r="CY361" s="7">
        <f>0</f>
        <v>0</v>
      </c>
      <c r="DA361" s="7">
        <f>0</f>
        <v>0</v>
      </c>
      <c r="DC361" s="5" t="s">
        <v>309</v>
      </c>
      <c r="DD361" s="5" t="s">
        <v>240</v>
      </c>
      <c r="DF361" s="5" t="s">
        <v>309</v>
      </c>
      <c r="DG361" s="7">
        <f>1451</f>
        <v>1451</v>
      </c>
      <c r="DI361" s="5" t="s">
        <v>240</v>
      </c>
      <c r="DJ361" s="5" t="s">
        <v>240</v>
      </c>
      <c r="DK361" s="5" t="s">
        <v>240</v>
      </c>
      <c r="DL361" s="5" t="s">
        <v>240</v>
      </c>
      <c r="DP361" s="5" t="s">
        <v>240</v>
      </c>
      <c r="DQ361" s="5" t="s">
        <v>240</v>
      </c>
      <c r="DR361" s="5" t="s">
        <v>240</v>
      </c>
      <c r="DS361" s="5" t="s">
        <v>240</v>
      </c>
      <c r="DV361" s="5" t="s">
        <v>310</v>
      </c>
      <c r="DW361" s="5" t="s">
        <v>1048</v>
      </c>
      <c r="HO361" s="5" t="s">
        <v>312</v>
      </c>
    </row>
    <row r="362" spans="1:223" x14ac:dyDescent="0.4">
      <c r="A362" s="5">
        <v>1097</v>
      </c>
      <c r="B362" s="5">
        <v>1</v>
      </c>
      <c r="C362" s="5">
        <v>1</v>
      </c>
      <c r="D362" s="5" t="s">
        <v>1413</v>
      </c>
      <c r="E362" s="5" t="s">
        <v>1131</v>
      </c>
      <c r="F362" s="5" t="s">
        <v>254</v>
      </c>
      <c r="G362" s="5" t="s">
        <v>240</v>
      </c>
      <c r="H362" s="6" t="s">
        <v>1414</v>
      </c>
      <c r="I362" s="5" t="s">
        <v>1412</v>
      </c>
      <c r="J362" s="8">
        <f>3102.71</f>
        <v>3102.71</v>
      </c>
      <c r="K362" s="5" t="s">
        <v>308</v>
      </c>
      <c r="L362" s="7">
        <f>6872502</f>
        <v>6872502</v>
      </c>
      <c r="M362" s="7">
        <f>6872502</f>
        <v>6872502</v>
      </c>
      <c r="N362" s="5" t="s">
        <v>242</v>
      </c>
      <c r="O362" s="5">
        <v>1</v>
      </c>
      <c r="P362" s="5" t="s">
        <v>294</v>
      </c>
      <c r="Q362" s="5" t="s">
        <v>266</v>
      </c>
      <c r="R362" s="5" t="s">
        <v>240</v>
      </c>
      <c r="S362" s="5" t="s">
        <v>240</v>
      </c>
      <c r="T362" s="5" t="s">
        <v>296</v>
      </c>
      <c r="U362" s="5" t="s">
        <v>244</v>
      </c>
      <c r="V362" s="5" t="s">
        <v>240</v>
      </c>
      <c r="Y362" s="5" t="s">
        <v>240</v>
      </c>
      <c r="Z362" s="6" t="s">
        <v>298</v>
      </c>
      <c r="AB362" s="6" t="s">
        <v>240</v>
      </c>
      <c r="AE362" s="6" t="s">
        <v>299</v>
      </c>
      <c r="AF362" s="5" t="s">
        <v>248</v>
      </c>
      <c r="AG362" s="5" t="s">
        <v>249</v>
      </c>
      <c r="AW362" s="5" t="s">
        <v>251</v>
      </c>
      <c r="AX362" s="5" t="s">
        <v>240</v>
      </c>
      <c r="AY362" s="5" t="s">
        <v>253</v>
      </c>
      <c r="AZ362" s="5" t="s">
        <v>240</v>
      </c>
      <c r="BA362" s="5" t="s">
        <v>255</v>
      </c>
      <c r="BB362" s="5" t="s">
        <v>240</v>
      </c>
      <c r="BD362" s="5" t="s">
        <v>240</v>
      </c>
      <c r="BF362" s="5" t="s">
        <v>301</v>
      </c>
      <c r="BG362" s="6" t="s">
        <v>299</v>
      </c>
      <c r="BH362" s="5" t="s">
        <v>302</v>
      </c>
      <c r="BI362" s="5" t="s">
        <v>303</v>
      </c>
      <c r="BJ362" s="5" t="s">
        <v>240</v>
      </c>
      <c r="BK362" s="8">
        <f>0</f>
        <v>0</v>
      </c>
      <c r="BL362" s="7">
        <f>0</f>
        <v>0</v>
      </c>
      <c r="BM362" s="5" t="s">
        <v>258</v>
      </c>
      <c r="BN362" s="5" t="s">
        <v>259</v>
      </c>
      <c r="CB362" s="5" t="s">
        <v>240</v>
      </c>
      <c r="CC362" s="5" t="s">
        <v>240</v>
      </c>
      <c r="CG362" s="5" t="s">
        <v>304</v>
      </c>
      <c r="CH362" s="5" t="s">
        <v>305</v>
      </c>
      <c r="CI362" s="5" t="s">
        <v>240</v>
      </c>
      <c r="CL362" s="6" t="s">
        <v>261</v>
      </c>
      <c r="CM362" s="5" t="s">
        <v>240</v>
      </c>
      <c r="CN362" s="5" t="s">
        <v>263</v>
      </c>
      <c r="CO362" s="5" t="s">
        <v>240</v>
      </c>
      <c r="CP362" s="5" t="s">
        <v>240</v>
      </c>
      <c r="CQ362" s="5">
        <v>0</v>
      </c>
      <c r="CR362" s="5" t="s">
        <v>306</v>
      </c>
      <c r="CS362" s="5" t="s">
        <v>307</v>
      </c>
      <c r="CT362" s="5" t="s">
        <v>307</v>
      </c>
      <c r="CU362" s="5" t="s">
        <v>260</v>
      </c>
      <c r="CX362" s="7">
        <f>1</f>
        <v>1</v>
      </c>
      <c r="CY362" s="7">
        <f>0</f>
        <v>0</v>
      </c>
      <c r="DA362" s="7">
        <f>0</f>
        <v>0</v>
      </c>
      <c r="DC362" s="5" t="s">
        <v>309</v>
      </c>
      <c r="DD362" s="5" t="s">
        <v>240</v>
      </c>
      <c r="DF362" s="5" t="s">
        <v>309</v>
      </c>
      <c r="DG362" s="7">
        <f>198</f>
        <v>198</v>
      </c>
      <c r="DI362" s="5" t="s">
        <v>240</v>
      </c>
      <c r="DJ362" s="5" t="s">
        <v>240</v>
      </c>
      <c r="DK362" s="5" t="s">
        <v>240</v>
      </c>
      <c r="DL362" s="5" t="s">
        <v>240</v>
      </c>
      <c r="DP362" s="5" t="s">
        <v>240</v>
      </c>
      <c r="DQ362" s="5" t="s">
        <v>240</v>
      </c>
      <c r="DR362" s="5" t="s">
        <v>240</v>
      </c>
      <c r="DS362" s="5" t="s">
        <v>240</v>
      </c>
      <c r="DV362" s="5" t="s">
        <v>310</v>
      </c>
      <c r="DW362" s="5" t="s">
        <v>1050</v>
      </c>
      <c r="HO362" s="5" t="s">
        <v>312</v>
      </c>
    </row>
    <row r="363" spans="1:223" x14ac:dyDescent="0.4">
      <c r="A363" s="5">
        <v>1098</v>
      </c>
      <c r="B363" s="5">
        <v>1</v>
      </c>
      <c r="C363" s="5">
        <v>1</v>
      </c>
      <c r="D363" s="5" t="s">
        <v>1404</v>
      </c>
      <c r="E363" s="5" t="s">
        <v>1131</v>
      </c>
      <c r="F363" s="5" t="s">
        <v>254</v>
      </c>
      <c r="G363" s="5" t="s">
        <v>240</v>
      </c>
      <c r="H363" s="6" t="s">
        <v>2007</v>
      </c>
      <c r="I363" s="5" t="s">
        <v>1403</v>
      </c>
      <c r="J363" s="8">
        <f>1418.89</f>
        <v>1418.89</v>
      </c>
      <c r="K363" s="5" t="s">
        <v>308</v>
      </c>
      <c r="L363" s="7">
        <f>3142841</f>
        <v>3142841</v>
      </c>
      <c r="M363" s="7">
        <f>3142841</f>
        <v>3142841</v>
      </c>
      <c r="N363" s="5" t="s">
        <v>242</v>
      </c>
      <c r="O363" s="5">
        <v>1</v>
      </c>
      <c r="P363" s="5" t="s">
        <v>294</v>
      </c>
      <c r="Q363" s="5" t="s">
        <v>266</v>
      </c>
      <c r="R363" s="5" t="s">
        <v>240</v>
      </c>
      <c r="S363" s="5" t="s">
        <v>240</v>
      </c>
      <c r="T363" s="5" t="s">
        <v>296</v>
      </c>
      <c r="U363" s="5" t="s">
        <v>244</v>
      </c>
      <c r="V363" s="5" t="s">
        <v>240</v>
      </c>
      <c r="Y363" s="5" t="s">
        <v>240</v>
      </c>
      <c r="Z363" s="6" t="s">
        <v>298</v>
      </c>
      <c r="AB363" s="6" t="s">
        <v>240</v>
      </c>
      <c r="AE363" s="6" t="s">
        <v>299</v>
      </c>
      <c r="AF363" s="5" t="s">
        <v>248</v>
      </c>
      <c r="AG363" s="5" t="s">
        <v>249</v>
      </c>
      <c r="AW363" s="5" t="s">
        <v>251</v>
      </c>
      <c r="AX363" s="5" t="s">
        <v>240</v>
      </c>
      <c r="AY363" s="5" t="s">
        <v>253</v>
      </c>
      <c r="AZ363" s="5" t="s">
        <v>240</v>
      </c>
      <c r="BA363" s="5" t="s">
        <v>255</v>
      </c>
      <c r="BB363" s="5" t="s">
        <v>240</v>
      </c>
      <c r="BD363" s="5" t="s">
        <v>240</v>
      </c>
      <c r="BF363" s="5" t="s">
        <v>301</v>
      </c>
      <c r="BG363" s="6" t="s">
        <v>299</v>
      </c>
      <c r="BH363" s="5" t="s">
        <v>302</v>
      </c>
      <c r="BI363" s="5" t="s">
        <v>303</v>
      </c>
      <c r="BJ363" s="5" t="s">
        <v>240</v>
      </c>
      <c r="BK363" s="8">
        <f>0</f>
        <v>0</v>
      </c>
      <c r="BL363" s="7">
        <f>0</f>
        <v>0</v>
      </c>
      <c r="BM363" s="5" t="s">
        <v>258</v>
      </c>
      <c r="BN363" s="5" t="s">
        <v>259</v>
      </c>
      <c r="CB363" s="5" t="s">
        <v>240</v>
      </c>
      <c r="CC363" s="5" t="s">
        <v>240</v>
      </c>
      <c r="CG363" s="5" t="s">
        <v>304</v>
      </c>
      <c r="CH363" s="5" t="s">
        <v>305</v>
      </c>
      <c r="CI363" s="5" t="s">
        <v>240</v>
      </c>
      <c r="CL363" s="6" t="s">
        <v>261</v>
      </c>
      <c r="CM363" s="5" t="s">
        <v>240</v>
      </c>
      <c r="CN363" s="5" t="s">
        <v>263</v>
      </c>
      <c r="CO363" s="5" t="s">
        <v>240</v>
      </c>
      <c r="CP363" s="5" t="s">
        <v>240</v>
      </c>
      <c r="CQ363" s="5">
        <v>0</v>
      </c>
      <c r="CR363" s="5" t="s">
        <v>306</v>
      </c>
      <c r="CS363" s="5" t="s">
        <v>307</v>
      </c>
      <c r="CT363" s="5" t="s">
        <v>307</v>
      </c>
      <c r="CU363" s="5" t="s">
        <v>260</v>
      </c>
      <c r="CX363" s="7">
        <f>1</f>
        <v>1</v>
      </c>
      <c r="CY363" s="7">
        <f>0</f>
        <v>0</v>
      </c>
      <c r="DA363" s="7">
        <f>0</f>
        <v>0</v>
      </c>
      <c r="DC363" s="5" t="s">
        <v>309</v>
      </c>
      <c r="DD363" s="5" t="s">
        <v>240</v>
      </c>
      <c r="DF363" s="5" t="s">
        <v>309</v>
      </c>
      <c r="DG363" s="7">
        <f>5.63</f>
        <v>5.63</v>
      </c>
      <c r="DI363" s="5" t="s">
        <v>240</v>
      </c>
      <c r="DJ363" s="5" t="s">
        <v>240</v>
      </c>
      <c r="DK363" s="5" t="s">
        <v>240</v>
      </c>
      <c r="DL363" s="5" t="s">
        <v>240</v>
      </c>
      <c r="DP363" s="5" t="s">
        <v>240</v>
      </c>
      <c r="DQ363" s="5" t="s">
        <v>240</v>
      </c>
      <c r="DR363" s="5" t="s">
        <v>240</v>
      </c>
      <c r="DS363" s="5" t="s">
        <v>240</v>
      </c>
      <c r="DV363" s="5" t="s">
        <v>310</v>
      </c>
      <c r="DW363" s="5" t="s">
        <v>1052</v>
      </c>
      <c r="HO363" s="5" t="s">
        <v>312</v>
      </c>
    </row>
    <row r="364" spans="1:223" x14ac:dyDescent="0.4">
      <c r="A364" s="5">
        <v>1099</v>
      </c>
      <c r="B364" s="5">
        <v>1</v>
      </c>
      <c r="C364" s="5">
        <v>1</v>
      </c>
      <c r="D364" s="5" t="s">
        <v>1404</v>
      </c>
      <c r="E364" s="5" t="s">
        <v>1131</v>
      </c>
      <c r="F364" s="5" t="s">
        <v>254</v>
      </c>
      <c r="G364" s="5" t="s">
        <v>240</v>
      </c>
      <c r="H364" s="6" t="s">
        <v>1411</v>
      </c>
      <c r="I364" s="5" t="s">
        <v>1403</v>
      </c>
      <c r="J364" s="8">
        <f>61565</f>
        <v>61565</v>
      </c>
      <c r="K364" s="5" t="s">
        <v>308</v>
      </c>
      <c r="L364" s="7">
        <f>136366475</f>
        <v>136366475</v>
      </c>
      <c r="M364" s="7">
        <f>136366475</f>
        <v>136366475</v>
      </c>
      <c r="N364" s="5" t="s">
        <v>242</v>
      </c>
      <c r="O364" s="5">
        <v>1</v>
      </c>
      <c r="P364" s="5" t="s">
        <v>294</v>
      </c>
      <c r="Q364" s="5" t="s">
        <v>266</v>
      </c>
      <c r="R364" s="5" t="s">
        <v>240</v>
      </c>
      <c r="S364" s="5" t="s">
        <v>240</v>
      </c>
      <c r="T364" s="5" t="s">
        <v>296</v>
      </c>
      <c r="U364" s="5" t="s">
        <v>244</v>
      </c>
      <c r="V364" s="5" t="s">
        <v>240</v>
      </c>
      <c r="Y364" s="5" t="s">
        <v>240</v>
      </c>
      <c r="Z364" s="6" t="s">
        <v>298</v>
      </c>
      <c r="AB364" s="6" t="s">
        <v>240</v>
      </c>
      <c r="AE364" s="6" t="s">
        <v>299</v>
      </c>
      <c r="AF364" s="5" t="s">
        <v>248</v>
      </c>
      <c r="AG364" s="5" t="s">
        <v>249</v>
      </c>
      <c r="AW364" s="5" t="s">
        <v>251</v>
      </c>
      <c r="AX364" s="5" t="s">
        <v>240</v>
      </c>
      <c r="AY364" s="5" t="s">
        <v>253</v>
      </c>
      <c r="AZ364" s="5" t="s">
        <v>240</v>
      </c>
      <c r="BA364" s="5" t="s">
        <v>255</v>
      </c>
      <c r="BB364" s="5" t="s">
        <v>240</v>
      </c>
      <c r="BD364" s="5" t="s">
        <v>240</v>
      </c>
      <c r="BF364" s="5" t="s">
        <v>301</v>
      </c>
      <c r="BG364" s="6" t="s">
        <v>299</v>
      </c>
      <c r="BH364" s="5" t="s">
        <v>302</v>
      </c>
      <c r="BI364" s="5" t="s">
        <v>303</v>
      </c>
      <c r="BJ364" s="5" t="s">
        <v>240</v>
      </c>
      <c r="BK364" s="8">
        <f>0</f>
        <v>0</v>
      </c>
      <c r="BL364" s="7">
        <f>0</f>
        <v>0</v>
      </c>
      <c r="BM364" s="5" t="s">
        <v>258</v>
      </c>
      <c r="BN364" s="5" t="s">
        <v>259</v>
      </c>
      <c r="CB364" s="5" t="s">
        <v>240</v>
      </c>
      <c r="CC364" s="5" t="s">
        <v>240</v>
      </c>
      <c r="CG364" s="5" t="s">
        <v>304</v>
      </c>
      <c r="CH364" s="5" t="s">
        <v>305</v>
      </c>
      <c r="CI364" s="5" t="s">
        <v>240</v>
      </c>
      <c r="CL364" s="6" t="s">
        <v>261</v>
      </c>
      <c r="CM364" s="5" t="s">
        <v>240</v>
      </c>
      <c r="CN364" s="5" t="s">
        <v>263</v>
      </c>
      <c r="CO364" s="5" t="s">
        <v>240</v>
      </c>
      <c r="CP364" s="5" t="s">
        <v>240</v>
      </c>
      <c r="CQ364" s="5">
        <v>0</v>
      </c>
      <c r="CR364" s="5" t="s">
        <v>306</v>
      </c>
      <c r="CS364" s="5" t="s">
        <v>307</v>
      </c>
      <c r="CT364" s="5" t="s">
        <v>307</v>
      </c>
      <c r="CU364" s="5" t="s">
        <v>260</v>
      </c>
      <c r="CX364" s="7">
        <f>1</f>
        <v>1</v>
      </c>
      <c r="CY364" s="7">
        <f>0</f>
        <v>0</v>
      </c>
      <c r="DA364" s="7">
        <f>0</f>
        <v>0</v>
      </c>
      <c r="DC364" s="5" t="s">
        <v>309</v>
      </c>
      <c r="DD364" s="5" t="s">
        <v>240</v>
      </c>
      <c r="DF364" s="5" t="s">
        <v>309</v>
      </c>
      <c r="DG364" s="7">
        <f>7.12</f>
        <v>7.12</v>
      </c>
      <c r="DI364" s="5" t="s">
        <v>240</v>
      </c>
      <c r="DJ364" s="5" t="s">
        <v>240</v>
      </c>
      <c r="DK364" s="5" t="s">
        <v>240</v>
      </c>
      <c r="DL364" s="5" t="s">
        <v>240</v>
      </c>
      <c r="DP364" s="5" t="s">
        <v>240</v>
      </c>
      <c r="DQ364" s="5" t="s">
        <v>240</v>
      </c>
      <c r="DR364" s="5" t="s">
        <v>240</v>
      </c>
      <c r="DS364" s="5" t="s">
        <v>240</v>
      </c>
      <c r="DV364" s="5" t="s">
        <v>310</v>
      </c>
      <c r="DW364" s="5" t="s">
        <v>1054</v>
      </c>
      <c r="HO364" s="5" t="s">
        <v>312</v>
      </c>
    </row>
    <row r="365" spans="1:223" x14ac:dyDescent="0.4">
      <c r="A365" s="5">
        <v>1100</v>
      </c>
      <c r="B365" s="5">
        <v>1</v>
      </c>
      <c r="C365" s="5">
        <v>1</v>
      </c>
      <c r="D365" s="5" t="s">
        <v>1404</v>
      </c>
      <c r="E365" s="5" t="s">
        <v>1131</v>
      </c>
      <c r="F365" s="5" t="s">
        <v>254</v>
      </c>
      <c r="G365" s="5" t="s">
        <v>240</v>
      </c>
      <c r="H365" s="6" t="s">
        <v>1410</v>
      </c>
      <c r="I365" s="5" t="s">
        <v>1403</v>
      </c>
      <c r="J365" s="8">
        <f>2254</f>
        <v>2254</v>
      </c>
      <c r="K365" s="5" t="s">
        <v>308</v>
      </c>
      <c r="L365" s="7">
        <f>4992610</f>
        <v>4992610</v>
      </c>
      <c r="M365" s="7">
        <f>4992610</f>
        <v>4992610</v>
      </c>
      <c r="N365" s="5" t="s">
        <v>242</v>
      </c>
      <c r="O365" s="5">
        <v>1</v>
      </c>
      <c r="P365" s="5" t="s">
        <v>294</v>
      </c>
      <c r="Q365" s="5" t="s">
        <v>266</v>
      </c>
      <c r="R365" s="5" t="s">
        <v>240</v>
      </c>
      <c r="S365" s="5" t="s">
        <v>240</v>
      </c>
      <c r="T365" s="5" t="s">
        <v>296</v>
      </c>
      <c r="U365" s="5" t="s">
        <v>244</v>
      </c>
      <c r="V365" s="5" t="s">
        <v>240</v>
      </c>
      <c r="Y365" s="5" t="s">
        <v>240</v>
      </c>
      <c r="Z365" s="6" t="s">
        <v>298</v>
      </c>
      <c r="AB365" s="6" t="s">
        <v>240</v>
      </c>
      <c r="AE365" s="6" t="s">
        <v>299</v>
      </c>
      <c r="AF365" s="5" t="s">
        <v>248</v>
      </c>
      <c r="AG365" s="5" t="s">
        <v>249</v>
      </c>
      <c r="AW365" s="5" t="s">
        <v>251</v>
      </c>
      <c r="AX365" s="5" t="s">
        <v>240</v>
      </c>
      <c r="AY365" s="5" t="s">
        <v>253</v>
      </c>
      <c r="AZ365" s="5" t="s">
        <v>240</v>
      </c>
      <c r="BA365" s="5" t="s">
        <v>255</v>
      </c>
      <c r="BB365" s="5" t="s">
        <v>240</v>
      </c>
      <c r="BD365" s="5" t="s">
        <v>240</v>
      </c>
      <c r="BF365" s="5" t="s">
        <v>301</v>
      </c>
      <c r="BG365" s="6" t="s">
        <v>299</v>
      </c>
      <c r="BH365" s="5" t="s">
        <v>302</v>
      </c>
      <c r="BI365" s="5" t="s">
        <v>303</v>
      </c>
      <c r="BJ365" s="5" t="s">
        <v>240</v>
      </c>
      <c r="BK365" s="8">
        <f>0</f>
        <v>0</v>
      </c>
      <c r="BL365" s="7">
        <f>0</f>
        <v>0</v>
      </c>
      <c r="BM365" s="5" t="s">
        <v>258</v>
      </c>
      <c r="BN365" s="5" t="s">
        <v>259</v>
      </c>
      <c r="CB365" s="5" t="s">
        <v>240</v>
      </c>
      <c r="CC365" s="5" t="s">
        <v>240</v>
      </c>
      <c r="CG365" s="5" t="s">
        <v>304</v>
      </c>
      <c r="CH365" s="5" t="s">
        <v>305</v>
      </c>
      <c r="CI365" s="5" t="s">
        <v>240</v>
      </c>
      <c r="CL365" s="6" t="s">
        <v>261</v>
      </c>
      <c r="CM365" s="5" t="s">
        <v>240</v>
      </c>
      <c r="CN365" s="5" t="s">
        <v>263</v>
      </c>
      <c r="CO365" s="5" t="s">
        <v>240</v>
      </c>
      <c r="CP365" s="5" t="s">
        <v>240</v>
      </c>
      <c r="CQ365" s="5">
        <v>0</v>
      </c>
      <c r="CR365" s="5" t="s">
        <v>306</v>
      </c>
      <c r="CS365" s="5" t="s">
        <v>307</v>
      </c>
      <c r="CT365" s="5" t="s">
        <v>307</v>
      </c>
      <c r="CU365" s="5" t="s">
        <v>260</v>
      </c>
      <c r="CX365" s="7">
        <f>1</f>
        <v>1</v>
      </c>
      <c r="CY365" s="7">
        <f>0</f>
        <v>0</v>
      </c>
      <c r="DA365" s="7">
        <f>0</f>
        <v>0</v>
      </c>
      <c r="DC365" s="5" t="s">
        <v>309</v>
      </c>
      <c r="DD365" s="5" t="s">
        <v>240</v>
      </c>
      <c r="DF365" s="5" t="s">
        <v>309</v>
      </c>
      <c r="DG365" s="7">
        <f>3.76</f>
        <v>3.76</v>
      </c>
      <c r="DI365" s="5" t="s">
        <v>240</v>
      </c>
      <c r="DJ365" s="5" t="s">
        <v>240</v>
      </c>
      <c r="DK365" s="5" t="s">
        <v>240</v>
      </c>
      <c r="DL365" s="5" t="s">
        <v>240</v>
      </c>
      <c r="DP365" s="5" t="s">
        <v>240</v>
      </c>
      <c r="DQ365" s="5" t="s">
        <v>240</v>
      </c>
      <c r="DR365" s="5" t="s">
        <v>240</v>
      </c>
      <c r="DS365" s="5" t="s">
        <v>240</v>
      </c>
      <c r="DV365" s="5" t="s">
        <v>310</v>
      </c>
      <c r="DW365" s="5" t="s">
        <v>1056</v>
      </c>
      <c r="HO365" s="5" t="s">
        <v>312</v>
      </c>
    </row>
    <row r="366" spans="1:223" x14ac:dyDescent="0.4">
      <c r="A366" s="5">
        <v>1101</v>
      </c>
      <c r="B366" s="5">
        <v>1</v>
      </c>
      <c r="C366" s="5">
        <v>1</v>
      </c>
      <c r="D366" s="5" t="s">
        <v>1404</v>
      </c>
      <c r="E366" s="5" t="s">
        <v>1131</v>
      </c>
      <c r="F366" s="5" t="s">
        <v>254</v>
      </c>
      <c r="G366" s="5" t="s">
        <v>240</v>
      </c>
      <c r="H366" s="6" t="s">
        <v>1409</v>
      </c>
      <c r="I366" s="5" t="s">
        <v>1403</v>
      </c>
      <c r="J366" s="8">
        <f>201</f>
        <v>201</v>
      </c>
      <c r="K366" s="5" t="s">
        <v>308</v>
      </c>
      <c r="L366" s="7">
        <f>445215</f>
        <v>445215</v>
      </c>
      <c r="M366" s="7">
        <f>445215</f>
        <v>445215</v>
      </c>
      <c r="N366" s="5" t="s">
        <v>242</v>
      </c>
      <c r="O366" s="5">
        <v>1</v>
      </c>
      <c r="P366" s="5" t="s">
        <v>294</v>
      </c>
      <c r="Q366" s="5" t="s">
        <v>266</v>
      </c>
      <c r="R366" s="5" t="s">
        <v>240</v>
      </c>
      <c r="S366" s="5" t="s">
        <v>240</v>
      </c>
      <c r="T366" s="5" t="s">
        <v>296</v>
      </c>
      <c r="U366" s="5" t="s">
        <v>244</v>
      </c>
      <c r="V366" s="5" t="s">
        <v>240</v>
      </c>
      <c r="Y366" s="5" t="s">
        <v>240</v>
      </c>
      <c r="Z366" s="6" t="s">
        <v>298</v>
      </c>
      <c r="AB366" s="6" t="s">
        <v>240</v>
      </c>
      <c r="AE366" s="6" t="s">
        <v>299</v>
      </c>
      <c r="AF366" s="5" t="s">
        <v>248</v>
      </c>
      <c r="AG366" s="5" t="s">
        <v>249</v>
      </c>
      <c r="AW366" s="5" t="s">
        <v>251</v>
      </c>
      <c r="AX366" s="5" t="s">
        <v>240</v>
      </c>
      <c r="AY366" s="5" t="s">
        <v>253</v>
      </c>
      <c r="AZ366" s="5" t="s">
        <v>240</v>
      </c>
      <c r="BA366" s="5" t="s">
        <v>255</v>
      </c>
      <c r="BB366" s="5" t="s">
        <v>240</v>
      </c>
      <c r="BD366" s="5" t="s">
        <v>240</v>
      </c>
      <c r="BF366" s="5" t="s">
        <v>301</v>
      </c>
      <c r="BG366" s="6" t="s">
        <v>299</v>
      </c>
      <c r="BH366" s="5" t="s">
        <v>302</v>
      </c>
      <c r="BI366" s="5" t="s">
        <v>303</v>
      </c>
      <c r="BJ366" s="5" t="s">
        <v>240</v>
      </c>
      <c r="BK366" s="8">
        <f>0</f>
        <v>0</v>
      </c>
      <c r="BL366" s="7">
        <f>0</f>
        <v>0</v>
      </c>
      <c r="BM366" s="5" t="s">
        <v>258</v>
      </c>
      <c r="BN366" s="5" t="s">
        <v>259</v>
      </c>
      <c r="CB366" s="5" t="s">
        <v>240</v>
      </c>
      <c r="CC366" s="5" t="s">
        <v>240</v>
      </c>
      <c r="CG366" s="5" t="s">
        <v>304</v>
      </c>
      <c r="CH366" s="5" t="s">
        <v>305</v>
      </c>
      <c r="CI366" s="5" t="s">
        <v>240</v>
      </c>
      <c r="CL366" s="6" t="s">
        <v>261</v>
      </c>
      <c r="CM366" s="5" t="s">
        <v>240</v>
      </c>
      <c r="CN366" s="5" t="s">
        <v>263</v>
      </c>
      <c r="CO366" s="5" t="s">
        <v>240</v>
      </c>
      <c r="CP366" s="5" t="s">
        <v>240</v>
      </c>
      <c r="CQ366" s="5">
        <v>0</v>
      </c>
      <c r="CR366" s="5" t="s">
        <v>306</v>
      </c>
      <c r="CS366" s="5" t="s">
        <v>307</v>
      </c>
      <c r="CT366" s="5" t="s">
        <v>307</v>
      </c>
      <c r="CU366" s="5" t="s">
        <v>260</v>
      </c>
      <c r="CX366" s="7">
        <f>1</f>
        <v>1</v>
      </c>
      <c r="CY366" s="7">
        <f>0</f>
        <v>0</v>
      </c>
      <c r="DA366" s="7">
        <f>0</f>
        <v>0</v>
      </c>
      <c r="DC366" s="5" t="s">
        <v>309</v>
      </c>
      <c r="DD366" s="5" t="s">
        <v>240</v>
      </c>
      <c r="DF366" s="5" t="s">
        <v>309</v>
      </c>
      <c r="DG366" s="7">
        <f>1879</f>
        <v>1879</v>
      </c>
      <c r="DI366" s="5" t="s">
        <v>240</v>
      </c>
      <c r="DJ366" s="5" t="s">
        <v>240</v>
      </c>
      <c r="DK366" s="5" t="s">
        <v>240</v>
      </c>
      <c r="DL366" s="5" t="s">
        <v>240</v>
      </c>
      <c r="DP366" s="5" t="s">
        <v>240</v>
      </c>
      <c r="DQ366" s="5" t="s">
        <v>240</v>
      </c>
      <c r="DR366" s="5" t="s">
        <v>240</v>
      </c>
      <c r="DS366" s="5" t="s">
        <v>240</v>
      </c>
      <c r="DV366" s="5" t="s">
        <v>310</v>
      </c>
      <c r="DW366" s="5" t="s">
        <v>1058</v>
      </c>
      <c r="HO366" s="5" t="s">
        <v>312</v>
      </c>
    </row>
    <row r="367" spans="1:223" x14ac:dyDescent="0.4">
      <c r="A367" s="5">
        <v>1102</v>
      </c>
      <c r="B367" s="5">
        <v>1</v>
      </c>
      <c r="C367" s="5">
        <v>1</v>
      </c>
      <c r="D367" s="5" t="s">
        <v>1404</v>
      </c>
      <c r="E367" s="5" t="s">
        <v>1131</v>
      </c>
      <c r="F367" s="5" t="s">
        <v>254</v>
      </c>
      <c r="G367" s="5" t="s">
        <v>240</v>
      </c>
      <c r="H367" s="6" t="s">
        <v>1408</v>
      </c>
      <c r="I367" s="5" t="s">
        <v>1403</v>
      </c>
      <c r="J367" s="8">
        <f>24</f>
        <v>24</v>
      </c>
      <c r="K367" s="5" t="s">
        <v>308</v>
      </c>
      <c r="L367" s="7">
        <f>53160</f>
        <v>53160</v>
      </c>
      <c r="M367" s="7">
        <f>53160</f>
        <v>53160</v>
      </c>
      <c r="N367" s="5" t="s">
        <v>242</v>
      </c>
      <c r="O367" s="5">
        <v>1</v>
      </c>
      <c r="P367" s="5" t="s">
        <v>294</v>
      </c>
      <c r="Q367" s="5" t="s">
        <v>266</v>
      </c>
      <c r="R367" s="5" t="s">
        <v>240</v>
      </c>
      <c r="S367" s="5" t="s">
        <v>240</v>
      </c>
      <c r="T367" s="5" t="s">
        <v>296</v>
      </c>
      <c r="U367" s="5" t="s">
        <v>244</v>
      </c>
      <c r="V367" s="5" t="s">
        <v>240</v>
      </c>
      <c r="Y367" s="5" t="s">
        <v>240</v>
      </c>
      <c r="Z367" s="6" t="s">
        <v>298</v>
      </c>
      <c r="AB367" s="6" t="s">
        <v>240</v>
      </c>
      <c r="AE367" s="6" t="s">
        <v>299</v>
      </c>
      <c r="AF367" s="5" t="s">
        <v>248</v>
      </c>
      <c r="AG367" s="5" t="s">
        <v>249</v>
      </c>
      <c r="AW367" s="5" t="s">
        <v>251</v>
      </c>
      <c r="AX367" s="5" t="s">
        <v>240</v>
      </c>
      <c r="AY367" s="5" t="s">
        <v>253</v>
      </c>
      <c r="AZ367" s="5" t="s">
        <v>240</v>
      </c>
      <c r="BA367" s="5" t="s">
        <v>255</v>
      </c>
      <c r="BB367" s="5" t="s">
        <v>240</v>
      </c>
      <c r="BD367" s="5" t="s">
        <v>240</v>
      </c>
      <c r="BF367" s="5" t="s">
        <v>301</v>
      </c>
      <c r="BG367" s="6" t="s">
        <v>299</v>
      </c>
      <c r="BH367" s="5" t="s">
        <v>302</v>
      </c>
      <c r="BI367" s="5" t="s">
        <v>303</v>
      </c>
      <c r="BJ367" s="5" t="s">
        <v>240</v>
      </c>
      <c r="BK367" s="8">
        <f>0</f>
        <v>0</v>
      </c>
      <c r="BL367" s="7">
        <f>0</f>
        <v>0</v>
      </c>
      <c r="BM367" s="5" t="s">
        <v>258</v>
      </c>
      <c r="BN367" s="5" t="s">
        <v>259</v>
      </c>
      <c r="CB367" s="5" t="s">
        <v>240</v>
      </c>
      <c r="CC367" s="5" t="s">
        <v>240</v>
      </c>
      <c r="CG367" s="5" t="s">
        <v>304</v>
      </c>
      <c r="CH367" s="5" t="s">
        <v>305</v>
      </c>
      <c r="CI367" s="5" t="s">
        <v>240</v>
      </c>
      <c r="CL367" s="6" t="s">
        <v>261</v>
      </c>
      <c r="CM367" s="5" t="s">
        <v>240</v>
      </c>
      <c r="CN367" s="5" t="s">
        <v>263</v>
      </c>
      <c r="CO367" s="5" t="s">
        <v>240</v>
      </c>
      <c r="CP367" s="5" t="s">
        <v>240</v>
      </c>
      <c r="CQ367" s="5">
        <v>0</v>
      </c>
      <c r="CR367" s="5" t="s">
        <v>306</v>
      </c>
      <c r="CS367" s="5" t="s">
        <v>307</v>
      </c>
      <c r="CT367" s="5" t="s">
        <v>307</v>
      </c>
      <c r="CU367" s="5" t="s">
        <v>260</v>
      </c>
      <c r="CX367" s="7">
        <f>1</f>
        <v>1</v>
      </c>
      <c r="CY367" s="7">
        <f>0</f>
        <v>0</v>
      </c>
      <c r="DA367" s="7">
        <f>0</f>
        <v>0</v>
      </c>
      <c r="DC367" s="5" t="s">
        <v>309</v>
      </c>
      <c r="DD367" s="5" t="s">
        <v>240</v>
      </c>
      <c r="DF367" s="5" t="s">
        <v>309</v>
      </c>
      <c r="DG367" s="7">
        <f>1227</f>
        <v>1227</v>
      </c>
      <c r="DI367" s="5" t="s">
        <v>240</v>
      </c>
      <c r="DJ367" s="5" t="s">
        <v>240</v>
      </c>
      <c r="DK367" s="5" t="s">
        <v>240</v>
      </c>
      <c r="DL367" s="5" t="s">
        <v>240</v>
      </c>
      <c r="DP367" s="5" t="s">
        <v>240</v>
      </c>
      <c r="DQ367" s="5" t="s">
        <v>240</v>
      </c>
      <c r="DR367" s="5" t="s">
        <v>240</v>
      </c>
      <c r="DS367" s="5" t="s">
        <v>240</v>
      </c>
      <c r="DV367" s="5" t="s">
        <v>310</v>
      </c>
      <c r="DW367" s="5" t="s">
        <v>1060</v>
      </c>
      <c r="HO367" s="5" t="s">
        <v>312</v>
      </c>
    </row>
    <row r="368" spans="1:223" x14ac:dyDescent="0.4">
      <c r="A368" s="5">
        <v>1103</v>
      </c>
      <c r="B368" s="5">
        <v>1</v>
      </c>
      <c r="C368" s="5">
        <v>1</v>
      </c>
      <c r="D368" s="5" t="s">
        <v>1404</v>
      </c>
      <c r="E368" s="5" t="s">
        <v>1131</v>
      </c>
      <c r="F368" s="5" t="s">
        <v>254</v>
      </c>
      <c r="G368" s="5" t="s">
        <v>240</v>
      </c>
      <c r="H368" s="6" t="s">
        <v>1407</v>
      </c>
      <c r="I368" s="5" t="s">
        <v>1403</v>
      </c>
      <c r="J368" s="8">
        <f>112</f>
        <v>112</v>
      </c>
      <c r="K368" s="5" t="s">
        <v>308</v>
      </c>
      <c r="L368" s="7">
        <f>248080</f>
        <v>248080</v>
      </c>
      <c r="M368" s="7">
        <f>248080</f>
        <v>248080</v>
      </c>
      <c r="N368" s="5" t="s">
        <v>242</v>
      </c>
      <c r="O368" s="5">
        <v>1</v>
      </c>
      <c r="P368" s="5" t="s">
        <v>294</v>
      </c>
      <c r="Q368" s="5" t="s">
        <v>266</v>
      </c>
      <c r="R368" s="5" t="s">
        <v>240</v>
      </c>
      <c r="S368" s="5" t="s">
        <v>240</v>
      </c>
      <c r="T368" s="5" t="s">
        <v>296</v>
      </c>
      <c r="U368" s="5" t="s">
        <v>244</v>
      </c>
      <c r="V368" s="5" t="s">
        <v>240</v>
      </c>
      <c r="Y368" s="5" t="s">
        <v>240</v>
      </c>
      <c r="Z368" s="6" t="s">
        <v>298</v>
      </c>
      <c r="AB368" s="6" t="s">
        <v>240</v>
      </c>
      <c r="AE368" s="6" t="s">
        <v>299</v>
      </c>
      <c r="AF368" s="5" t="s">
        <v>248</v>
      </c>
      <c r="AG368" s="5" t="s">
        <v>249</v>
      </c>
      <c r="AW368" s="5" t="s">
        <v>251</v>
      </c>
      <c r="AX368" s="5" t="s">
        <v>240</v>
      </c>
      <c r="AY368" s="5" t="s">
        <v>253</v>
      </c>
      <c r="AZ368" s="5" t="s">
        <v>240</v>
      </c>
      <c r="BA368" s="5" t="s">
        <v>255</v>
      </c>
      <c r="BB368" s="5" t="s">
        <v>240</v>
      </c>
      <c r="BD368" s="5" t="s">
        <v>240</v>
      </c>
      <c r="BF368" s="5" t="s">
        <v>301</v>
      </c>
      <c r="BG368" s="6" t="s">
        <v>299</v>
      </c>
      <c r="BH368" s="5" t="s">
        <v>302</v>
      </c>
      <c r="BI368" s="5" t="s">
        <v>303</v>
      </c>
      <c r="BJ368" s="5" t="s">
        <v>240</v>
      </c>
      <c r="BK368" s="8">
        <f>0</f>
        <v>0</v>
      </c>
      <c r="BL368" s="7">
        <f>0</f>
        <v>0</v>
      </c>
      <c r="BM368" s="5" t="s">
        <v>258</v>
      </c>
      <c r="BN368" s="5" t="s">
        <v>259</v>
      </c>
      <c r="CB368" s="5" t="s">
        <v>240</v>
      </c>
      <c r="CC368" s="5" t="s">
        <v>240</v>
      </c>
      <c r="CG368" s="5" t="s">
        <v>304</v>
      </c>
      <c r="CH368" s="5" t="s">
        <v>305</v>
      </c>
      <c r="CI368" s="5" t="s">
        <v>240</v>
      </c>
      <c r="CL368" s="6" t="s">
        <v>261</v>
      </c>
      <c r="CM368" s="5" t="s">
        <v>240</v>
      </c>
      <c r="CN368" s="5" t="s">
        <v>263</v>
      </c>
      <c r="CO368" s="5" t="s">
        <v>240</v>
      </c>
      <c r="CP368" s="5" t="s">
        <v>240</v>
      </c>
      <c r="CQ368" s="5">
        <v>0</v>
      </c>
      <c r="CR368" s="5" t="s">
        <v>306</v>
      </c>
      <c r="CS368" s="5" t="s">
        <v>307</v>
      </c>
      <c r="CT368" s="5" t="s">
        <v>307</v>
      </c>
      <c r="CU368" s="5" t="s">
        <v>260</v>
      </c>
      <c r="CX368" s="7">
        <f>1</f>
        <v>1</v>
      </c>
      <c r="CY368" s="7">
        <f>0</f>
        <v>0</v>
      </c>
      <c r="DA368" s="7">
        <f>0</f>
        <v>0</v>
      </c>
      <c r="DC368" s="5" t="s">
        <v>309</v>
      </c>
      <c r="DD368" s="5" t="s">
        <v>240</v>
      </c>
      <c r="DF368" s="5" t="s">
        <v>309</v>
      </c>
      <c r="DG368" s="7">
        <f>165</f>
        <v>165</v>
      </c>
      <c r="DI368" s="5" t="s">
        <v>240</v>
      </c>
      <c r="DJ368" s="5" t="s">
        <v>240</v>
      </c>
      <c r="DK368" s="5" t="s">
        <v>240</v>
      </c>
      <c r="DL368" s="5" t="s">
        <v>240</v>
      </c>
      <c r="DP368" s="5" t="s">
        <v>240</v>
      </c>
      <c r="DQ368" s="5" t="s">
        <v>240</v>
      </c>
      <c r="DR368" s="5" t="s">
        <v>240</v>
      </c>
      <c r="DS368" s="5" t="s">
        <v>240</v>
      </c>
      <c r="DV368" s="5" t="s">
        <v>310</v>
      </c>
      <c r="DW368" s="5" t="s">
        <v>1062</v>
      </c>
      <c r="HO368" s="5" t="s">
        <v>312</v>
      </c>
    </row>
    <row r="369" spans="1:223" x14ac:dyDescent="0.4">
      <c r="A369" s="5">
        <v>1104</v>
      </c>
      <c r="B369" s="5">
        <v>1</v>
      </c>
      <c r="C369" s="5">
        <v>1</v>
      </c>
      <c r="D369" s="5" t="s">
        <v>1404</v>
      </c>
      <c r="E369" s="5" t="s">
        <v>1131</v>
      </c>
      <c r="F369" s="5" t="s">
        <v>254</v>
      </c>
      <c r="G369" s="5" t="s">
        <v>240</v>
      </c>
      <c r="H369" s="6" t="s">
        <v>1405</v>
      </c>
      <c r="I369" s="5" t="s">
        <v>1403</v>
      </c>
      <c r="J369" s="8">
        <f>206</f>
        <v>206</v>
      </c>
      <c r="K369" s="5" t="s">
        <v>308</v>
      </c>
      <c r="L369" s="7">
        <f>456290</f>
        <v>456290</v>
      </c>
      <c r="M369" s="7">
        <f>456290</f>
        <v>456290</v>
      </c>
      <c r="N369" s="5" t="s">
        <v>242</v>
      </c>
      <c r="O369" s="5">
        <v>1</v>
      </c>
      <c r="P369" s="5" t="s">
        <v>294</v>
      </c>
      <c r="Q369" s="5" t="s">
        <v>266</v>
      </c>
      <c r="R369" s="5" t="s">
        <v>240</v>
      </c>
      <c r="S369" s="5" t="s">
        <v>240</v>
      </c>
      <c r="T369" s="5" t="s">
        <v>296</v>
      </c>
      <c r="U369" s="5" t="s">
        <v>244</v>
      </c>
      <c r="V369" s="5" t="s">
        <v>240</v>
      </c>
      <c r="Y369" s="5" t="s">
        <v>240</v>
      </c>
      <c r="Z369" s="6" t="s">
        <v>298</v>
      </c>
      <c r="AB369" s="6" t="s">
        <v>240</v>
      </c>
      <c r="AE369" s="6" t="s">
        <v>299</v>
      </c>
      <c r="AF369" s="5" t="s">
        <v>248</v>
      </c>
      <c r="AG369" s="5" t="s">
        <v>249</v>
      </c>
      <c r="AW369" s="5" t="s">
        <v>251</v>
      </c>
      <c r="AX369" s="5" t="s">
        <v>240</v>
      </c>
      <c r="AY369" s="5" t="s">
        <v>253</v>
      </c>
      <c r="AZ369" s="5" t="s">
        <v>240</v>
      </c>
      <c r="BA369" s="5" t="s">
        <v>255</v>
      </c>
      <c r="BB369" s="5" t="s">
        <v>240</v>
      </c>
      <c r="BD369" s="5" t="s">
        <v>240</v>
      </c>
      <c r="BF369" s="5" t="s">
        <v>301</v>
      </c>
      <c r="BG369" s="6" t="s">
        <v>299</v>
      </c>
      <c r="BH369" s="5" t="s">
        <v>302</v>
      </c>
      <c r="BI369" s="5" t="s">
        <v>303</v>
      </c>
      <c r="BJ369" s="5" t="s">
        <v>240</v>
      </c>
      <c r="BK369" s="8">
        <f>0</f>
        <v>0</v>
      </c>
      <c r="BL369" s="7">
        <f>0</f>
        <v>0</v>
      </c>
      <c r="BM369" s="5" t="s">
        <v>258</v>
      </c>
      <c r="BN369" s="5" t="s">
        <v>259</v>
      </c>
      <c r="CB369" s="5" t="s">
        <v>240</v>
      </c>
      <c r="CC369" s="5" t="s">
        <v>240</v>
      </c>
      <c r="CG369" s="5" t="s">
        <v>304</v>
      </c>
      <c r="CH369" s="5" t="s">
        <v>305</v>
      </c>
      <c r="CI369" s="5" t="s">
        <v>240</v>
      </c>
      <c r="CL369" s="6" t="s">
        <v>261</v>
      </c>
      <c r="CM369" s="5" t="s">
        <v>240</v>
      </c>
      <c r="CN369" s="5" t="s">
        <v>263</v>
      </c>
      <c r="CO369" s="5" t="s">
        <v>240</v>
      </c>
      <c r="CP369" s="5" t="s">
        <v>240</v>
      </c>
      <c r="CQ369" s="5">
        <v>0</v>
      </c>
      <c r="CR369" s="5" t="s">
        <v>306</v>
      </c>
      <c r="CS369" s="5" t="s">
        <v>307</v>
      </c>
      <c r="CT369" s="5" t="s">
        <v>307</v>
      </c>
      <c r="CU369" s="5" t="s">
        <v>260</v>
      </c>
      <c r="CX369" s="7">
        <f>1</f>
        <v>1</v>
      </c>
      <c r="CY369" s="7">
        <f>0</f>
        <v>0</v>
      </c>
      <c r="DA369" s="7">
        <f>0</f>
        <v>0</v>
      </c>
      <c r="DC369" s="5" t="s">
        <v>309</v>
      </c>
      <c r="DD369" s="5" t="s">
        <v>240</v>
      </c>
      <c r="DF369" s="5" t="s">
        <v>309</v>
      </c>
      <c r="DG369" s="7">
        <f>31</f>
        <v>31</v>
      </c>
      <c r="DI369" s="5" t="s">
        <v>240</v>
      </c>
      <c r="DJ369" s="5" t="s">
        <v>240</v>
      </c>
      <c r="DK369" s="5" t="s">
        <v>240</v>
      </c>
      <c r="DL369" s="5" t="s">
        <v>240</v>
      </c>
      <c r="DP369" s="5" t="s">
        <v>240</v>
      </c>
      <c r="DQ369" s="5" t="s">
        <v>240</v>
      </c>
      <c r="DR369" s="5" t="s">
        <v>240</v>
      </c>
      <c r="DS369" s="5" t="s">
        <v>240</v>
      </c>
      <c r="DV369" s="5" t="s">
        <v>310</v>
      </c>
      <c r="DW369" s="5" t="s">
        <v>1064</v>
      </c>
      <c r="HO369" s="5" t="s">
        <v>312</v>
      </c>
    </row>
    <row r="370" spans="1:223" x14ac:dyDescent="0.4">
      <c r="A370" s="5">
        <v>1105</v>
      </c>
      <c r="B370" s="5">
        <v>1</v>
      </c>
      <c r="C370" s="5">
        <v>1</v>
      </c>
      <c r="D370" s="5" t="s">
        <v>1332</v>
      </c>
      <c r="E370" s="5" t="s">
        <v>1131</v>
      </c>
      <c r="F370" s="5" t="s">
        <v>254</v>
      </c>
      <c r="G370" s="5" t="s">
        <v>240</v>
      </c>
      <c r="H370" s="6" t="s">
        <v>2006</v>
      </c>
      <c r="I370" s="5" t="s">
        <v>1331</v>
      </c>
      <c r="J370" s="8">
        <f>44</f>
        <v>44</v>
      </c>
      <c r="K370" s="5" t="s">
        <v>308</v>
      </c>
      <c r="L370" s="7">
        <f>97460</f>
        <v>97460</v>
      </c>
      <c r="M370" s="7">
        <f>97460</f>
        <v>97460</v>
      </c>
      <c r="N370" s="5" t="s">
        <v>242</v>
      </c>
      <c r="O370" s="5">
        <v>1</v>
      </c>
      <c r="P370" s="5" t="s">
        <v>294</v>
      </c>
      <c r="Q370" s="5" t="s">
        <v>266</v>
      </c>
      <c r="R370" s="5" t="s">
        <v>240</v>
      </c>
      <c r="S370" s="5" t="s">
        <v>240</v>
      </c>
      <c r="T370" s="5" t="s">
        <v>296</v>
      </c>
      <c r="U370" s="5" t="s">
        <v>244</v>
      </c>
      <c r="V370" s="5" t="s">
        <v>240</v>
      </c>
      <c r="Y370" s="5" t="s">
        <v>240</v>
      </c>
      <c r="Z370" s="6" t="s">
        <v>298</v>
      </c>
      <c r="AB370" s="6" t="s">
        <v>240</v>
      </c>
      <c r="AE370" s="6" t="s">
        <v>299</v>
      </c>
      <c r="AF370" s="5" t="s">
        <v>248</v>
      </c>
      <c r="AG370" s="5" t="s">
        <v>249</v>
      </c>
      <c r="AW370" s="5" t="s">
        <v>251</v>
      </c>
      <c r="AX370" s="5" t="s">
        <v>240</v>
      </c>
      <c r="AY370" s="5" t="s">
        <v>253</v>
      </c>
      <c r="AZ370" s="5" t="s">
        <v>240</v>
      </c>
      <c r="BA370" s="5" t="s">
        <v>255</v>
      </c>
      <c r="BB370" s="5" t="s">
        <v>240</v>
      </c>
      <c r="BD370" s="5" t="s">
        <v>240</v>
      </c>
      <c r="BF370" s="5" t="s">
        <v>301</v>
      </c>
      <c r="BG370" s="6" t="s">
        <v>299</v>
      </c>
      <c r="BH370" s="5" t="s">
        <v>302</v>
      </c>
      <c r="BI370" s="5" t="s">
        <v>303</v>
      </c>
      <c r="BJ370" s="5" t="s">
        <v>240</v>
      </c>
      <c r="BK370" s="8">
        <f>0</f>
        <v>0</v>
      </c>
      <c r="BL370" s="7">
        <f>0</f>
        <v>0</v>
      </c>
      <c r="BM370" s="5" t="s">
        <v>258</v>
      </c>
      <c r="BN370" s="5" t="s">
        <v>259</v>
      </c>
      <c r="CB370" s="5" t="s">
        <v>240</v>
      </c>
      <c r="CC370" s="5" t="s">
        <v>240</v>
      </c>
      <c r="CG370" s="5" t="s">
        <v>304</v>
      </c>
      <c r="CH370" s="5" t="s">
        <v>305</v>
      </c>
      <c r="CI370" s="5" t="s">
        <v>240</v>
      </c>
      <c r="CL370" s="6" t="s">
        <v>261</v>
      </c>
      <c r="CM370" s="5" t="s">
        <v>240</v>
      </c>
      <c r="CN370" s="5" t="s">
        <v>263</v>
      </c>
      <c r="CO370" s="5" t="s">
        <v>240</v>
      </c>
      <c r="CP370" s="5" t="s">
        <v>240</v>
      </c>
      <c r="CQ370" s="5">
        <v>0</v>
      </c>
      <c r="CR370" s="5" t="s">
        <v>306</v>
      </c>
      <c r="CS370" s="5" t="s">
        <v>307</v>
      </c>
      <c r="CT370" s="5" t="s">
        <v>307</v>
      </c>
      <c r="CU370" s="5" t="s">
        <v>260</v>
      </c>
      <c r="CX370" s="7">
        <f>1</f>
        <v>1</v>
      </c>
      <c r="CY370" s="7">
        <f>0</f>
        <v>0</v>
      </c>
      <c r="DA370" s="7">
        <f>0</f>
        <v>0</v>
      </c>
      <c r="DC370" s="5" t="s">
        <v>309</v>
      </c>
      <c r="DD370" s="5" t="s">
        <v>240</v>
      </c>
      <c r="DF370" s="5" t="s">
        <v>309</v>
      </c>
      <c r="DG370" s="7">
        <f>673</f>
        <v>673</v>
      </c>
      <c r="DI370" s="5" t="s">
        <v>240</v>
      </c>
      <c r="DJ370" s="5" t="s">
        <v>240</v>
      </c>
      <c r="DK370" s="5" t="s">
        <v>240</v>
      </c>
      <c r="DL370" s="5" t="s">
        <v>240</v>
      </c>
      <c r="DP370" s="5" t="s">
        <v>240</v>
      </c>
      <c r="DQ370" s="5" t="s">
        <v>240</v>
      </c>
      <c r="DR370" s="5" t="s">
        <v>240</v>
      </c>
      <c r="DS370" s="5" t="s">
        <v>240</v>
      </c>
      <c r="DV370" s="5" t="s">
        <v>310</v>
      </c>
      <c r="DW370" s="5" t="s">
        <v>1066</v>
      </c>
      <c r="HO370" s="5" t="s">
        <v>312</v>
      </c>
    </row>
    <row r="371" spans="1:223" x14ac:dyDescent="0.4">
      <c r="A371" s="5">
        <v>1106</v>
      </c>
      <c r="B371" s="5">
        <v>1</v>
      </c>
      <c r="C371" s="5">
        <v>1</v>
      </c>
      <c r="D371" s="5" t="s">
        <v>1332</v>
      </c>
      <c r="E371" s="5" t="s">
        <v>1131</v>
      </c>
      <c r="F371" s="5" t="s">
        <v>254</v>
      </c>
      <c r="G371" s="5" t="s">
        <v>240</v>
      </c>
      <c r="H371" s="6" t="s">
        <v>1402</v>
      </c>
      <c r="I371" s="5" t="s">
        <v>1331</v>
      </c>
      <c r="J371" s="8">
        <f>887</f>
        <v>887</v>
      </c>
      <c r="K371" s="5" t="s">
        <v>308</v>
      </c>
      <c r="L371" s="7">
        <f>1964705</f>
        <v>1964705</v>
      </c>
      <c r="M371" s="7">
        <f>1964705</f>
        <v>1964705</v>
      </c>
      <c r="N371" s="5" t="s">
        <v>242</v>
      </c>
      <c r="O371" s="5">
        <v>1</v>
      </c>
      <c r="P371" s="5" t="s">
        <v>294</v>
      </c>
      <c r="Q371" s="5" t="s">
        <v>266</v>
      </c>
      <c r="R371" s="5" t="s">
        <v>240</v>
      </c>
      <c r="S371" s="5" t="s">
        <v>240</v>
      </c>
      <c r="T371" s="5" t="s">
        <v>296</v>
      </c>
      <c r="U371" s="5" t="s">
        <v>244</v>
      </c>
      <c r="V371" s="5" t="s">
        <v>240</v>
      </c>
      <c r="Y371" s="5" t="s">
        <v>240</v>
      </c>
      <c r="Z371" s="6" t="s">
        <v>298</v>
      </c>
      <c r="AB371" s="6" t="s">
        <v>240</v>
      </c>
      <c r="AE371" s="6" t="s">
        <v>299</v>
      </c>
      <c r="AF371" s="5" t="s">
        <v>248</v>
      </c>
      <c r="AG371" s="5" t="s">
        <v>249</v>
      </c>
      <c r="AW371" s="5" t="s">
        <v>251</v>
      </c>
      <c r="AX371" s="5" t="s">
        <v>240</v>
      </c>
      <c r="AY371" s="5" t="s">
        <v>253</v>
      </c>
      <c r="AZ371" s="5" t="s">
        <v>240</v>
      </c>
      <c r="BA371" s="5" t="s">
        <v>255</v>
      </c>
      <c r="BB371" s="5" t="s">
        <v>240</v>
      </c>
      <c r="BD371" s="5" t="s">
        <v>240</v>
      </c>
      <c r="BF371" s="5" t="s">
        <v>301</v>
      </c>
      <c r="BG371" s="6" t="s">
        <v>299</v>
      </c>
      <c r="BH371" s="5" t="s">
        <v>302</v>
      </c>
      <c r="BI371" s="5" t="s">
        <v>303</v>
      </c>
      <c r="BJ371" s="5" t="s">
        <v>240</v>
      </c>
      <c r="BK371" s="8">
        <f>0</f>
        <v>0</v>
      </c>
      <c r="BL371" s="7">
        <f>0</f>
        <v>0</v>
      </c>
      <c r="BM371" s="5" t="s">
        <v>258</v>
      </c>
      <c r="BN371" s="5" t="s">
        <v>259</v>
      </c>
      <c r="CB371" s="5" t="s">
        <v>240</v>
      </c>
      <c r="CC371" s="5" t="s">
        <v>240</v>
      </c>
      <c r="CG371" s="5" t="s">
        <v>304</v>
      </c>
      <c r="CH371" s="5" t="s">
        <v>305</v>
      </c>
      <c r="CI371" s="5" t="s">
        <v>240</v>
      </c>
      <c r="CL371" s="6" t="s">
        <v>261</v>
      </c>
      <c r="CM371" s="5" t="s">
        <v>240</v>
      </c>
      <c r="CN371" s="5" t="s">
        <v>263</v>
      </c>
      <c r="CO371" s="5" t="s">
        <v>240</v>
      </c>
      <c r="CP371" s="5" t="s">
        <v>240</v>
      </c>
      <c r="CQ371" s="5">
        <v>0</v>
      </c>
      <c r="CR371" s="5" t="s">
        <v>306</v>
      </c>
      <c r="CS371" s="5" t="s">
        <v>307</v>
      </c>
      <c r="CT371" s="5" t="s">
        <v>307</v>
      </c>
      <c r="CU371" s="5" t="s">
        <v>260</v>
      </c>
      <c r="CX371" s="7">
        <f>1</f>
        <v>1</v>
      </c>
      <c r="CY371" s="7">
        <f>0</f>
        <v>0</v>
      </c>
      <c r="DA371" s="7">
        <f>0</f>
        <v>0</v>
      </c>
      <c r="DC371" s="5" t="s">
        <v>309</v>
      </c>
      <c r="DD371" s="5" t="s">
        <v>240</v>
      </c>
      <c r="DF371" s="5" t="s">
        <v>309</v>
      </c>
      <c r="DG371" s="7">
        <f>841</f>
        <v>841</v>
      </c>
      <c r="DI371" s="5" t="s">
        <v>240</v>
      </c>
      <c r="DJ371" s="5" t="s">
        <v>240</v>
      </c>
      <c r="DK371" s="5" t="s">
        <v>240</v>
      </c>
      <c r="DL371" s="5" t="s">
        <v>240</v>
      </c>
      <c r="DP371" s="5" t="s">
        <v>240</v>
      </c>
      <c r="DQ371" s="5" t="s">
        <v>240</v>
      </c>
      <c r="DR371" s="5" t="s">
        <v>240</v>
      </c>
      <c r="DS371" s="5" t="s">
        <v>240</v>
      </c>
      <c r="DV371" s="5" t="s">
        <v>310</v>
      </c>
      <c r="DW371" s="5" t="s">
        <v>1068</v>
      </c>
      <c r="HO371" s="5" t="s">
        <v>312</v>
      </c>
    </row>
    <row r="372" spans="1:223" x14ac:dyDescent="0.4">
      <c r="A372" s="5">
        <v>1107</v>
      </c>
      <c r="B372" s="5">
        <v>1</v>
      </c>
      <c r="C372" s="5">
        <v>1</v>
      </c>
      <c r="D372" s="5" t="s">
        <v>1332</v>
      </c>
      <c r="E372" s="5" t="s">
        <v>1131</v>
      </c>
      <c r="F372" s="5" t="s">
        <v>254</v>
      </c>
      <c r="G372" s="5" t="s">
        <v>240</v>
      </c>
      <c r="H372" s="6" t="s">
        <v>1401</v>
      </c>
      <c r="I372" s="5" t="s">
        <v>1331</v>
      </c>
      <c r="J372" s="8">
        <f>933</f>
        <v>933</v>
      </c>
      <c r="K372" s="5" t="s">
        <v>308</v>
      </c>
      <c r="L372" s="7">
        <f>2066595</f>
        <v>2066595</v>
      </c>
      <c r="M372" s="7">
        <f>2066595</f>
        <v>2066595</v>
      </c>
      <c r="N372" s="5" t="s">
        <v>242</v>
      </c>
      <c r="O372" s="5">
        <v>1</v>
      </c>
      <c r="P372" s="5" t="s">
        <v>294</v>
      </c>
      <c r="Q372" s="5" t="s">
        <v>266</v>
      </c>
      <c r="R372" s="5" t="s">
        <v>240</v>
      </c>
      <c r="S372" s="5" t="s">
        <v>240</v>
      </c>
      <c r="T372" s="5" t="s">
        <v>296</v>
      </c>
      <c r="U372" s="5" t="s">
        <v>244</v>
      </c>
      <c r="V372" s="5" t="s">
        <v>240</v>
      </c>
      <c r="Y372" s="5" t="s">
        <v>240</v>
      </c>
      <c r="Z372" s="6" t="s">
        <v>298</v>
      </c>
      <c r="AB372" s="6" t="s">
        <v>240</v>
      </c>
      <c r="AE372" s="6" t="s">
        <v>299</v>
      </c>
      <c r="AF372" s="5" t="s">
        <v>248</v>
      </c>
      <c r="AG372" s="5" t="s">
        <v>249</v>
      </c>
      <c r="AW372" s="5" t="s">
        <v>251</v>
      </c>
      <c r="AX372" s="5" t="s">
        <v>240</v>
      </c>
      <c r="AY372" s="5" t="s">
        <v>253</v>
      </c>
      <c r="AZ372" s="5" t="s">
        <v>240</v>
      </c>
      <c r="BA372" s="5" t="s">
        <v>255</v>
      </c>
      <c r="BB372" s="5" t="s">
        <v>240</v>
      </c>
      <c r="BD372" s="5" t="s">
        <v>240</v>
      </c>
      <c r="BF372" s="5" t="s">
        <v>301</v>
      </c>
      <c r="BG372" s="6" t="s">
        <v>299</v>
      </c>
      <c r="BH372" s="5" t="s">
        <v>302</v>
      </c>
      <c r="BI372" s="5" t="s">
        <v>303</v>
      </c>
      <c r="BJ372" s="5" t="s">
        <v>240</v>
      </c>
      <c r="BK372" s="8">
        <f>0</f>
        <v>0</v>
      </c>
      <c r="BL372" s="7">
        <f>0</f>
        <v>0</v>
      </c>
      <c r="BM372" s="5" t="s">
        <v>258</v>
      </c>
      <c r="BN372" s="5" t="s">
        <v>259</v>
      </c>
      <c r="CB372" s="5" t="s">
        <v>240</v>
      </c>
      <c r="CC372" s="5" t="s">
        <v>240</v>
      </c>
      <c r="CG372" s="5" t="s">
        <v>304</v>
      </c>
      <c r="CH372" s="5" t="s">
        <v>305</v>
      </c>
      <c r="CI372" s="5" t="s">
        <v>240</v>
      </c>
      <c r="CL372" s="6" t="s">
        <v>261</v>
      </c>
      <c r="CM372" s="5" t="s">
        <v>240</v>
      </c>
      <c r="CN372" s="5" t="s">
        <v>263</v>
      </c>
      <c r="CO372" s="5" t="s">
        <v>240</v>
      </c>
      <c r="CP372" s="5" t="s">
        <v>240</v>
      </c>
      <c r="CQ372" s="5">
        <v>0</v>
      </c>
      <c r="CR372" s="5" t="s">
        <v>306</v>
      </c>
      <c r="CS372" s="5" t="s">
        <v>307</v>
      </c>
      <c r="CT372" s="5" t="s">
        <v>307</v>
      </c>
      <c r="CU372" s="5" t="s">
        <v>260</v>
      </c>
      <c r="CX372" s="7">
        <f>1</f>
        <v>1</v>
      </c>
      <c r="CY372" s="7">
        <f>0</f>
        <v>0</v>
      </c>
      <c r="DA372" s="7">
        <f>0</f>
        <v>0</v>
      </c>
      <c r="DC372" s="5" t="s">
        <v>309</v>
      </c>
      <c r="DD372" s="5" t="s">
        <v>240</v>
      </c>
      <c r="DF372" s="5" t="s">
        <v>309</v>
      </c>
      <c r="DG372" s="7">
        <f>793</f>
        <v>793</v>
      </c>
      <c r="DI372" s="5" t="s">
        <v>240</v>
      </c>
      <c r="DJ372" s="5" t="s">
        <v>240</v>
      </c>
      <c r="DK372" s="5" t="s">
        <v>240</v>
      </c>
      <c r="DL372" s="5" t="s">
        <v>240</v>
      </c>
      <c r="DP372" s="5" t="s">
        <v>240</v>
      </c>
      <c r="DQ372" s="5" t="s">
        <v>240</v>
      </c>
      <c r="DR372" s="5" t="s">
        <v>240</v>
      </c>
      <c r="DS372" s="5" t="s">
        <v>240</v>
      </c>
      <c r="DV372" s="5" t="s">
        <v>310</v>
      </c>
      <c r="DW372" s="5" t="s">
        <v>1070</v>
      </c>
      <c r="HO372" s="5" t="s">
        <v>312</v>
      </c>
    </row>
    <row r="373" spans="1:223" x14ac:dyDescent="0.4">
      <c r="A373" s="5">
        <v>1108</v>
      </c>
      <c r="B373" s="5">
        <v>1</v>
      </c>
      <c r="C373" s="5">
        <v>1</v>
      </c>
      <c r="D373" s="5" t="s">
        <v>1332</v>
      </c>
      <c r="E373" s="5" t="s">
        <v>1131</v>
      </c>
      <c r="F373" s="5" t="s">
        <v>254</v>
      </c>
      <c r="G373" s="5" t="s">
        <v>240</v>
      </c>
      <c r="H373" s="6" t="s">
        <v>1400</v>
      </c>
      <c r="I373" s="5" t="s">
        <v>1331</v>
      </c>
      <c r="J373" s="8">
        <f>211</f>
        <v>211</v>
      </c>
      <c r="K373" s="5" t="s">
        <v>308</v>
      </c>
      <c r="L373" s="7">
        <f>467365</f>
        <v>467365</v>
      </c>
      <c r="M373" s="7">
        <f>467365</f>
        <v>467365</v>
      </c>
      <c r="N373" s="5" t="s">
        <v>242</v>
      </c>
      <c r="O373" s="5">
        <v>1</v>
      </c>
      <c r="P373" s="5" t="s">
        <v>294</v>
      </c>
      <c r="Q373" s="5" t="s">
        <v>266</v>
      </c>
      <c r="R373" s="5" t="s">
        <v>240</v>
      </c>
      <c r="S373" s="5" t="s">
        <v>240</v>
      </c>
      <c r="T373" s="5" t="s">
        <v>296</v>
      </c>
      <c r="U373" s="5" t="s">
        <v>244</v>
      </c>
      <c r="V373" s="5" t="s">
        <v>240</v>
      </c>
      <c r="Y373" s="5" t="s">
        <v>240</v>
      </c>
      <c r="Z373" s="6" t="s">
        <v>298</v>
      </c>
      <c r="AB373" s="6" t="s">
        <v>240</v>
      </c>
      <c r="AE373" s="6" t="s">
        <v>299</v>
      </c>
      <c r="AF373" s="5" t="s">
        <v>248</v>
      </c>
      <c r="AG373" s="5" t="s">
        <v>249</v>
      </c>
      <c r="AW373" s="5" t="s">
        <v>251</v>
      </c>
      <c r="AX373" s="5" t="s">
        <v>240</v>
      </c>
      <c r="AY373" s="5" t="s">
        <v>253</v>
      </c>
      <c r="AZ373" s="5" t="s">
        <v>240</v>
      </c>
      <c r="BA373" s="5" t="s">
        <v>255</v>
      </c>
      <c r="BB373" s="5" t="s">
        <v>240</v>
      </c>
      <c r="BD373" s="5" t="s">
        <v>240</v>
      </c>
      <c r="BF373" s="5" t="s">
        <v>301</v>
      </c>
      <c r="BG373" s="6" t="s">
        <v>299</v>
      </c>
      <c r="BH373" s="5" t="s">
        <v>302</v>
      </c>
      <c r="BI373" s="5" t="s">
        <v>303</v>
      </c>
      <c r="BJ373" s="5" t="s">
        <v>240</v>
      </c>
      <c r="BK373" s="8">
        <f>0</f>
        <v>0</v>
      </c>
      <c r="BL373" s="7">
        <f>0</f>
        <v>0</v>
      </c>
      <c r="BM373" s="5" t="s">
        <v>258</v>
      </c>
      <c r="BN373" s="5" t="s">
        <v>259</v>
      </c>
      <c r="CB373" s="5" t="s">
        <v>240</v>
      </c>
      <c r="CC373" s="5" t="s">
        <v>240</v>
      </c>
      <c r="CG373" s="5" t="s">
        <v>304</v>
      </c>
      <c r="CH373" s="5" t="s">
        <v>305</v>
      </c>
      <c r="CI373" s="5" t="s">
        <v>240</v>
      </c>
      <c r="CL373" s="6" t="s">
        <v>261</v>
      </c>
      <c r="CM373" s="5" t="s">
        <v>240</v>
      </c>
      <c r="CN373" s="5" t="s">
        <v>263</v>
      </c>
      <c r="CO373" s="5" t="s">
        <v>240</v>
      </c>
      <c r="CP373" s="5" t="s">
        <v>240</v>
      </c>
      <c r="CQ373" s="5">
        <v>0</v>
      </c>
      <c r="CR373" s="5" t="s">
        <v>306</v>
      </c>
      <c r="CS373" s="5" t="s">
        <v>307</v>
      </c>
      <c r="CT373" s="5" t="s">
        <v>307</v>
      </c>
      <c r="CU373" s="5" t="s">
        <v>260</v>
      </c>
      <c r="CX373" s="7">
        <f>1</f>
        <v>1</v>
      </c>
      <c r="CY373" s="7">
        <f>0</f>
        <v>0</v>
      </c>
      <c r="DA373" s="7">
        <f>0</f>
        <v>0</v>
      </c>
      <c r="DC373" s="5" t="s">
        <v>309</v>
      </c>
      <c r="DD373" s="5" t="s">
        <v>240</v>
      </c>
      <c r="DF373" s="5" t="s">
        <v>309</v>
      </c>
      <c r="DG373" s="7">
        <f>2460</f>
        <v>2460</v>
      </c>
      <c r="DI373" s="5" t="s">
        <v>240</v>
      </c>
      <c r="DJ373" s="5" t="s">
        <v>240</v>
      </c>
      <c r="DK373" s="5" t="s">
        <v>240</v>
      </c>
      <c r="DL373" s="5" t="s">
        <v>240</v>
      </c>
      <c r="DP373" s="5" t="s">
        <v>240</v>
      </c>
      <c r="DQ373" s="5" t="s">
        <v>240</v>
      </c>
      <c r="DR373" s="5" t="s">
        <v>240</v>
      </c>
      <c r="DS373" s="5" t="s">
        <v>240</v>
      </c>
      <c r="DV373" s="5" t="s">
        <v>310</v>
      </c>
      <c r="DW373" s="5" t="s">
        <v>1072</v>
      </c>
      <c r="HO373" s="5" t="s">
        <v>312</v>
      </c>
    </row>
    <row r="374" spans="1:223" x14ac:dyDescent="0.4">
      <c r="A374" s="5">
        <v>1109</v>
      </c>
      <c r="B374" s="5">
        <v>1</v>
      </c>
      <c r="C374" s="5">
        <v>1</v>
      </c>
      <c r="D374" s="5" t="s">
        <v>1332</v>
      </c>
      <c r="E374" s="5" t="s">
        <v>1131</v>
      </c>
      <c r="F374" s="5" t="s">
        <v>254</v>
      </c>
      <c r="G374" s="5" t="s">
        <v>240</v>
      </c>
      <c r="H374" s="6" t="s">
        <v>1399</v>
      </c>
      <c r="I374" s="5" t="s">
        <v>1331</v>
      </c>
      <c r="J374" s="8">
        <f>353</f>
        <v>353</v>
      </c>
      <c r="K374" s="5" t="s">
        <v>308</v>
      </c>
      <c r="L374" s="7">
        <f>781895</f>
        <v>781895</v>
      </c>
      <c r="M374" s="7">
        <f>781895</f>
        <v>781895</v>
      </c>
      <c r="N374" s="5" t="s">
        <v>242</v>
      </c>
      <c r="O374" s="5">
        <v>1</v>
      </c>
      <c r="P374" s="5" t="s">
        <v>294</v>
      </c>
      <c r="Q374" s="5" t="s">
        <v>266</v>
      </c>
      <c r="R374" s="5" t="s">
        <v>240</v>
      </c>
      <c r="S374" s="5" t="s">
        <v>240</v>
      </c>
      <c r="T374" s="5" t="s">
        <v>296</v>
      </c>
      <c r="U374" s="5" t="s">
        <v>244</v>
      </c>
      <c r="V374" s="5" t="s">
        <v>240</v>
      </c>
      <c r="Y374" s="5" t="s">
        <v>240</v>
      </c>
      <c r="Z374" s="6" t="s">
        <v>298</v>
      </c>
      <c r="AB374" s="6" t="s">
        <v>240</v>
      </c>
      <c r="AE374" s="6" t="s">
        <v>299</v>
      </c>
      <c r="AF374" s="5" t="s">
        <v>248</v>
      </c>
      <c r="AG374" s="5" t="s">
        <v>249</v>
      </c>
      <c r="AW374" s="5" t="s">
        <v>251</v>
      </c>
      <c r="AX374" s="5" t="s">
        <v>240</v>
      </c>
      <c r="AY374" s="5" t="s">
        <v>253</v>
      </c>
      <c r="AZ374" s="5" t="s">
        <v>240</v>
      </c>
      <c r="BA374" s="5" t="s">
        <v>255</v>
      </c>
      <c r="BB374" s="5" t="s">
        <v>240</v>
      </c>
      <c r="BD374" s="5" t="s">
        <v>240</v>
      </c>
      <c r="BF374" s="5" t="s">
        <v>301</v>
      </c>
      <c r="BG374" s="6" t="s">
        <v>299</v>
      </c>
      <c r="BH374" s="5" t="s">
        <v>302</v>
      </c>
      <c r="BI374" s="5" t="s">
        <v>303</v>
      </c>
      <c r="BJ374" s="5" t="s">
        <v>240</v>
      </c>
      <c r="BK374" s="8">
        <f>0</f>
        <v>0</v>
      </c>
      <c r="BL374" s="7">
        <f>0</f>
        <v>0</v>
      </c>
      <c r="BM374" s="5" t="s">
        <v>258</v>
      </c>
      <c r="BN374" s="5" t="s">
        <v>259</v>
      </c>
      <c r="CB374" s="5" t="s">
        <v>240</v>
      </c>
      <c r="CC374" s="5" t="s">
        <v>240</v>
      </c>
      <c r="CG374" s="5" t="s">
        <v>304</v>
      </c>
      <c r="CH374" s="5" t="s">
        <v>305</v>
      </c>
      <c r="CI374" s="5" t="s">
        <v>240</v>
      </c>
      <c r="CL374" s="6" t="s">
        <v>261</v>
      </c>
      <c r="CM374" s="5" t="s">
        <v>240</v>
      </c>
      <c r="CN374" s="5" t="s">
        <v>263</v>
      </c>
      <c r="CO374" s="5" t="s">
        <v>240</v>
      </c>
      <c r="CP374" s="5" t="s">
        <v>240</v>
      </c>
      <c r="CQ374" s="5">
        <v>0</v>
      </c>
      <c r="CR374" s="5" t="s">
        <v>306</v>
      </c>
      <c r="CS374" s="5" t="s">
        <v>307</v>
      </c>
      <c r="CT374" s="5" t="s">
        <v>307</v>
      </c>
      <c r="CU374" s="5" t="s">
        <v>260</v>
      </c>
      <c r="CX374" s="7">
        <f>1</f>
        <v>1</v>
      </c>
      <c r="CY374" s="7">
        <f>0</f>
        <v>0</v>
      </c>
      <c r="DA374" s="7">
        <f>0</f>
        <v>0</v>
      </c>
      <c r="DC374" s="5" t="s">
        <v>309</v>
      </c>
      <c r="DD374" s="5" t="s">
        <v>240</v>
      </c>
      <c r="DF374" s="5" t="s">
        <v>309</v>
      </c>
      <c r="DG374" s="7">
        <f>3251</f>
        <v>3251</v>
      </c>
      <c r="DI374" s="5" t="s">
        <v>240</v>
      </c>
      <c r="DJ374" s="5" t="s">
        <v>240</v>
      </c>
      <c r="DK374" s="5" t="s">
        <v>240</v>
      </c>
      <c r="DL374" s="5" t="s">
        <v>240</v>
      </c>
      <c r="DP374" s="5" t="s">
        <v>240</v>
      </c>
      <c r="DQ374" s="5" t="s">
        <v>240</v>
      </c>
      <c r="DR374" s="5" t="s">
        <v>240</v>
      </c>
      <c r="DS374" s="5" t="s">
        <v>240</v>
      </c>
      <c r="DV374" s="5" t="s">
        <v>310</v>
      </c>
      <c r="DW374" s="5" t="s">
        <v>1074</v>
      </c>
      <c r="HO374" s="5" t="s">
        <v>312</v>
      </c>
    </row>
    <row r="375" spans="1:223" x14ac:dyDescent="0.4">
      <c r="A375" s="5">
        <v>1110</v>
      </c>
      <c r="B375" s="5">
        <v>1</v>
      </c>
      <c r="C375" s="5">
        <v>1</v>
      </c>
      <c r="D375" s="5" t="s">
        <v>1332</v>
      </c>
      <c r="E375" s="5" t="s">
        <v>1131</v>
      </c>
      <c r="F375" s="5" t="s">
        <v>254</v>
      </c>
      <c r="G375" s="5" t="s">
        <v>240</v>
      </c>
      <c r="H375" s="6" t="s">
        <v>1398</v>
      </c>
      <c r="I375" s="5" t="s">
        <v>1331</v>
      </c>
      <c r="J375" s="8">
        <f>347</f>
        <v>347</v>
      </c>
      <c r="K375" s="5" t="s">
        <v>308</v>
      </c>
      <c r="L375" s="7">
        <f>768605</f>
        <v>768605</v>
      </c>
      <c r="M375" s="7">
        <f>768605</f>
        <v>768605</v>
      </c>
      <c r="N375" s="5" t="s">
        <v>242</v>
      </c>
      <c r="O375" s="5">
        <v>1</v>
      </c>
      <c r="P375" s="5" t="s">
        <v>294</v>
      </c>
      <c r="Q375" s="5" t="s">
        <v>266</v>
      </c>
      <c r="R375" s="5" t="s">
        <v>240</v>
      </c>
      <c r="S375" s="5" t="s">
        <v>240</v>
      </c>
      <c r="T375" s="5" t="s">
        <v>296</v>
      </c>
      <c r="U375" s="5" t="s">
        <v>244</v>
      </c>
      <c r="V375" s="5" t="s">
        <v>240</v>
      </c>
      <c r="Y375" s="5" t="s">
        <v>240</v>
      </c>
      <c r="Z375" s="6" t="s">
        <v>298</v>
      </c>
      <c r="AB375" s="6" t="s">
        <v>240</v>
      </c>
      <c r="AE375" s="6" t="s">
        <v>299</v>
      </c>
      <c r="AF375" s="5" t="s">
        <v>248</v>
      </c>
      <c r="AG375" s="5" t="s">
        <v>249</v>
      </c>
      <c r="AW375" s="5" t="s">
        <v>251</v>
      </c>
      <c r="AX375" s="5" t="s">
        <v>240</v>
      </c>
      <c r="AY375" s="5" t="s">
        <v>253</v>
      </c>
      <c r="AZ375" s="5" t="s">
        <v>240</v>
      </c>
      <c r="BA375" s="5" t="s">
        <v>255</v>
      </c>
      <c r="BB375" s="5" t="s">
        <v>240</v>
      </c>
      <c r="BD375" s="5" t="s">
        <v>240</v>
      </c>
      <c r="BF375" s="5" t="s">
        <v>301</v>
      </c>
      <c r="BG375" s="6" t="s">
        <v>299</v>
      </c>
      <c r="BH375" s="5" t="s">
        <v>302</v>
      </c>
      <c r="BI375" s="5" t="s">
        <v>303</v>
      </c>
      <c r="BJ375" s="5" t="s">
        <v>240</v>
      </c>
      <c r="BK375" s="8">
        <f>0</f>
        <v>0</v>
      </c>
      <c r="BL375" s="7">
        <f>0</f>
        <v>0</v>
      </c>
      <c r="BM375" s="5" t="s">
        <v>258</v>
      </c>
      <c r="BN375" s="5" t="s">
        <v>259</v>
      </c>
      <c r="CB375" s="5" t="s">
        <v>240</v>
      </c>
      <c r="CC375" s="5" t="s">
        <v>240</v>
      </c>
      <c r="CG375" s="5" t="s">
        <v>304</v>
      </c>
      <c r="CH375" s="5" t="s">
        <v>305</v>
      </c>
      <c r="CI375" s="5" t="s">
        <v>240</v>
      </c>
      <c r="CL375" s="6" t="s">
        <v>261</v>
      </c>
      <c r="CM375" s="5" t="s">
        <v>240</v>
      </c>
      <c r="CN375" s="5" t="s">
        <v>263</v>
      </c>
      <c r="CO375" s="5" t="s">
        <v>240</v>
      </c>
      <c r="CP375" s="5" t="s">
        <v>240</v>
      </c>
      <c r="CQ375" s="5">
        <v>0</v>
      </c>
      <c r="CR375" s="5" t="s">
        <v>306</v>
      </c>
      <c r="CS375" s="5" t="s">
        <v>307</v>
      </c>
      <c r="CT375" s="5" t="s">
        <v>307</v>
      </c>
      <c r="CU375" s="5" t="s">
        <v>260</v>
      </c>
      <c r="CX375" s="7">
        <f>1</f>
        <v>1</v>
      </c>
      <c r="CY375" s="7">
        <f>0</f>
        <v>0</v>
      </c>
      <c r="DA375" s="7">
        <f>0</f>
        <v>0</v>
      </c>
      <c r="DC375" s="5" t="s">
        <v>309</v>
      </c>
      <c r="DD375" s="5" t="s">
        <v>240</v>
      </c>
      <c r="DF375" s="5" t="s">
        <v>309</v>
      </c>
      <c r="DG375" s="7">
        <f>1034</f>
        <v>1034</v>
      </c>
      <c r="DI375" s="5" t="s">
        <v>240</v>
      </c>
      <c r="DJ375" s="5" t="s">
        <v>240</v>
      </c>
      <c r="DK375" s="5" t="s">
        <v>240</v>
      </c>
      <c r="DL375" s="5" t="s">
        <v>240</v>
      </c>
      <c r="DP375" s="5" t="s">
        <v>240</v>
      </c>
      <c r="DQ375" s="5" t="s">
        <v>240</v>
      </c>
      <c r="DR375" s="5" t="s">
        <v>240</v>
      </c>
      <c r="DS375" s="5" t="s">
        <v>240</v>
      </c>
      <c r="DV375" s="5" t="s">
        <v>310</v>
      </c>
      <c r="DW375" s="5" t="s">
        <v>1076</v>
      </c>
      <c r="HO375" s="5" t="s">
        <v>312</v>
      </c>
    </row>
    <row r="376" spans="1:223" x14ac:dyDescent="0.4">
      <c r="A376" s="5">
        <v>1111</v>
      </c>
      <c r="B376" s="5">
        <v>1</v>
      </c>
      <c r="C376" s="5">
        <v>1</v>
      </c>
      <c r="D376" s="5" t="s">
        <v>1332</v>
      </c>
      <c r="E376" s="5" t="s">
        <v>1131</v>
      </c>
      <c r="F376" s="5" t="s">
        <v>254</v>
      </c>
      <c r="G376" s="5" t="s">
        <v>240</v>
      </c>
      <c r="H376" s="6" t="s">
        <v>1397</v>
      </c>
      <c r="I376" s="5" t="s">
        <v>1331</v>
      </c>
      <c r="J376" s="8">
        <f>505</f>
        <v>505</v>
      </c>
      <c r="K376" s="5" t="s">
        <v>308</v>
      </c>
      <c r="L376" s="7">
        <f>1118575</f>
        <v>1118575</v>
      </c>
      <c r="M376" s="7">
        <f>1118575</f>
        <v>1118575</v>
      </c>
      <c r="N376" s="5" t="s">
        <v>242</v>
      </c>
      <c r="O376" s="5">
        <v>1</v>
      </c>
      <c r="P376" s="5" t="s">
        <v>294</v>
      </c>
      <c r="Q376" s="5" t="s">
        <v>266</v>
      </c>
      <c r="R376" s="5" t="s">
        <v>240</v>
      </c>
      <c r="S376" s="5" t="s">
        <v>240</v>
      </c>
      <c r="T376" s="5" t="s">
        <v>296</v>
      </c>
      <c r="U376" s="5" t="s">
        <v>244</v>
      </c>
      <c r="V376" s="5" t="s">
        <v>240</v>
      </c>
      <c r="Y376" s="5" t="s">
        <v>240</v>
      </c>
      <c r="Z376" s="6" t="s">
        <v>298</v>
      </c>
      <c r="AB376" s="6" t="s">
        <v>240</v>
      </c>
      <c r="AE376" s="6" t="s">
        <v>299</v>
      </c>
      <c r="AF376" s="5" t="s">
        <v>248</v>
      </c>
      <c r="AG376" s="5" t="s">
        <v>249</v>
      </c>
      <c r="AW376" s="5" t="s">
        <v>251</v>
      </c>
      <c r="AX376" s="5" t="s">
        <v>240</v>
      </c>
      <c r="AY376" s="5" t="s">
        <v>253</v>
      </c>
      <c r="AZ376" s="5" t="s">
        <v>240</v>
      </c>
      <c r="BA376" s="5" t="s">
        <v>255</v>
      </c>
      <c r="BB376" s="5" t="s">
        <v>240</v>
      </c>
      <c r="BD376" s="5" t="s">
        <v>240</v>
      </c>
      <c r="BF376" s="5" t="s">
        <v>301</v>
      </c>
      <c r="BG376" s="6" t="s">
        <v>299</v>
      </c>
      <c r="BH376" s="5" t="s">
        <v>302</v>
      </c>
      <c r="BI376" s="5" t="s">
        <v>303</v>
      </c>
      <c r="BJ376" s="5" t="s">
        <v>240</v>
      </c>
      <c r="BK376" s="8">
        <f>0</f>
        <v>0</v>
      </c>
      <c r="BL376" s="7">
        <f>0</f>
        <v>0</v>
      </c>
      <c r="BM376" s="5" t="s">
        <v>258</v>
      </c>
      <c r="BN376" s="5" t="s">
        <v>259</v>
      </c>
      <c r="CB376" s="5" t="s">
        <v>240</v>
      </c>
      <c r="CC376" s="5" t="s">
        <v>240</v>
      </c>
      <c r="CG376" s="5" t="s">
        <v>304</v>
      </c>
      <c r="CH376" s="5" t="s">
        <v>305</v>
      </c>
      <c r="CI376" s="5" t="s">
        <v>240</v>
      </c>
      <c r="CL376" s="6" t="s">
        <v>261</v>
      </c>
      <c r="CM376" s="5" t="s">
        <v>240</v>
      </c>
      <c r="CN376" s="5" t="s">
        <v>263</v>
      </c>
      <c r="CO376" s="5" t="s">
        <v>240</v>
      </c>
      <c r="CP376" s="5" t="s">
        <v>240</v>
      </c>
      <c r="CQ376" s="5">
        <v>0</v>
      </c>
      <c r="CR376" s="5" t="s">
        <v>306</v>
      </c>
      <c r="CS376" s="5" t="s">
        <v>307</v>
      </c>
      <c r="CT376" s="5" t="s">
        <v>307</v>
      </c>
      <c r="CU376" s="5" t="s">
        <v>260</v>
      </c>
      <c r="CX376" s="7">
        <f>1</f>
        <v>1</v>
      </c>
      <c r="CY376" s="7">
        <f>0</f>
        <v>0</v>
      </c>
      <c r="DA376" s="7">
        <f>0</f>
        <v>0</v>
      </c>
      <c r="DC376" s="5" t="s">
        <v>309</v>
      </c>
      <c r="DD376" s="5" t="s">
        <v>240</v>
      </c>
      <c r="DF376" s="5" t="s">
        <v>309</v>
      </c>
      <c r="DG376" s="7">
        <f>476</f>
        <v>476</v>
      </c>
      <c r="DI376" s="5" t="s">
        <v>240</v>
      </c>
      <c r="DJ376" s="5" t="s">
        <v>240</v>
      </c>
      <c r="DK376" s="5" t="s">
        <v>240</v>
      </c>
      <c r="DL376" s="5" t="s">
        <v>240</v>
      </c>
      <c r="DP376" s="5" t="s">
        <v>240</v>
      </c>
      <c r="DQ376" s="5" t="s">
        <v>240</v>
      </c>
      <c r="DR376" s="5" t="s">
        <v>240</v>
      </c>
      <c r="DS376" s="5" t="s">
        <v>240</v>
      </c>
      <c r="DV376" s="5" t="s">
        <v>310</v>
      </c>
      <c r="DW376" s="5" t="s">
        <v>1078</v>
      </c>
      <c r="HO376" s="5" t="s">
        <v>312</v>
      </c>
    </row>
    <row r="377" spans="1:223" x14ac:dyDescent="0.4">
      <c r="A377" s="5">
        <v>1112</v>
      </c>
      <c r="B377" s="5">
        <v>1</v>
      </c>
      <c r="C377" s="5">
        <v>1</v>
      </c>
      <c r="D377" s="5" t="s">
        <v>1332</v>
      </c>
      <c r="E377" s="5" t="s">
        <v>1131</v>
      </c>
      <c r="F377" s="5" t="s">
        <v>254</v>
      </c>
      <c r="G377" s="5" t="s">
        <v>240</v>
      </c>
      <c r="H377" s="6" t="s">
        <v>1396</v>
      </c>
      <c r="I377" s="5" t="s">
        <v>1331</v>
      </c>
      <c r="J377" s="8">
        <f>889</f>
        <v>889</v>
      </c>
      <c r="K377" s="5" t="s">
        <v>308</v>
      </c>
      <c r="L377" s="7">
        <f>1969135</f>
        <v>1969135</v>
      </c>
      <c r="M377" s="7">
        <f>1969135</f>
        <v>1969135</v>
      </c>
      <c r="N377" s="5" t="s">
        <v>242</v>
      </c>
      <c r="O377" s="5">
        <v>1</v>
      </c>
      <c r="P377" s="5" t="s">
        <v>294</v>
      </c>
      <c r="Q377" s="5" t="s">
        <v>266</v>
      </c>
      <c r="R377" s="5" t="s">
        <v>240</v>
      </c>
      <c r="S377" s="5" t="s">
        <v>240</v>
      </c>
      <c r="T377" s="5" t="s">
        <v>296</v>
      </c>
      <c r="U377" s="5" t="s">
        <v>244</v>
      </c>
      <c r="V377" s="5" t="s">
        <v>240</v>
      </c>
      <c r="Y377" s="5" t="s">
        <v>240</v>
      </c>
      <c r="Z377" s="6" t="s">
        <v>298</v>
      </c>
      <c r="AB377" s="6" t="s">
        <v>240</v>
      </c>
      <c r="AE377" s="6" t="s">
        <v>299</v>
      </c>
      <c r="AF377" s="5" t="s">
        <v>248</v>
      </c>
      <c r="AG377" s="5" t="s">
        <v>249</v>
      </c>
      <c r="AW377" s="5" t="s">
        <v>251</v>
      </c>
      <c r="AX377" s="5" t="s">
        <v>240</v>
      </c>
      <c r="AY377" s="5" t="s">
        <v>253</v>
      </c>
      <c r="AZ377" s="5" t="s">
        <v>240</v>
      </c>
      <c r="BA377" s="5" t="s">
        <v>255</v>
      </c>
      <c r="BB377" s="5" t="s">
        <v>240</v>
      </c>
      <c r="BD377" s="5" t="s">
        <v>240</v>
      </c>
      <c r="BF377" s="5" t="s">
        <v>301</v>
      </c>
      <c r="BG377" s="6" t="s">
        <v>299</v>
      </c>
      <c r="BH377" s="5" t="s">
        <v>302</v>
      </c>
      <c r="BI377" s="5" t="s">
        <v>303</v>
      </c>
      <c r="BJ377" s="5" t="s">
        <v>240</v>
      </c>
      <c r="BK377" s="8">
        <f>0</f>
        <v>0</v>
      </c>
      <c r="BL377" s="7">
        <f>0</f>
        <v>0</v>
      </c>
      <c r="BM377" s="5" t="s">
        <v>258</v>
      </c>
      <c r="BN377" s="5" t="s">
        <v>259</v>
      </c>
      <c r="CB377" s="5" t="s">
        <v>240</v>
      </c>
      <c r="CC377" s="5" t="s">
        <v>240</v>
      </c>
      <c r="CG377" s="5" t="s">
        <v>304</v>
      </c>
      <c r="CH377" s="5" t="s">
        <v>305</v>
      </c>
      <c r="CI377" s="5" t="s">
        <v>240</v>
      </c>
      <c r="CL377" s="6" t="s">
        <v>261</v>
      </c>
      <c r="CM377" s="5" t="s">
        <v>240</v>
      </c>
      <c r="CN377" s="5" t="s">
        <v>263</v>
      </c>
      <c r="CO377" s="5" t="s">
        <v>240</v>
      </c>
      <c r="CP377" s="5" t="s">
        <v>240</v>
      </c>
      <c r="CQ377" s="5">
        <v>0</v>
      </c>
      <c r="CR377" s="5" t="s">
        <v>306</v>
      </c>
      <c r="CS377" s="5" t="s">
        <v>307</v>
      </c>
      <c r="CT377" s="5" t="s">
        <v>307</v>
      </c>
      <c r="CU377" s="5" t="s">
        <v>260</v>
      </c>
      <c r="CX377" s="7">
        <f>1</f>
        <v>1</v>
      </c>
      <c r="CY377" s="7">
        <f>0</f>
        <v>0</v>
      </c>
      <c r="DA377" s="7">
        <f>0</f>
        <v>0</v>
      </c>
      <c r="DC377" s="5" t="s">
        <v>309</v>
      </c>
      <c r="DD377" s="5" t="s">
        <v>240</v>
      </c>
      <c r="DF377" s="5" t="s">
        <v>309</v>
      </c>
      <c r="DG377" s="7">
        <f>244</f>
        <v>244</v>
      </c>
      <c r="DI377" s="5" t="s">
        <v>240</v>
      </c>
      <c r="DJ377" s="5" t="s">
        <v>240</v>
      </c>
      <c r="DK377" s="5" t="s">
        <v>240</v>
      </c>
      <c r="DL377" s="5" t="s">
        <v>240</v>
      </c>
      <c r="DP377" s="5" t="s">
        <v>240</v>
      </c>
      <c r="DQ377" s="5" t="s">
        <v>240</v>
      </c>
      <c r="DR377" s="5" t="s">
        <v>240</v>
      </c>
      <c r="DS377" s="5" t="s">
        <v>240</v>
      </c>
      <c r="DV377" s="5" t="s">
        <v>310</v>
      </c>
      <c r="DW377" s="5" t="s">
        <v>1080</v>
      </c>
      <c r="HO377" s="5" t="s">
        <v>312</v>
      </c>
    </row>
    <row r="378" spans="1:223" x14ac:dyDescent="0.4">
      <c r="A378" s="5">
        <v>1113</v>
      </c>
      <c r="B378" s="5">
        <v>1</v>
      </c>
      <c r="C378" s="5">
        <v>1</v>
      </c>
      <c r="D378" s="5" t="s">
        <v>1332</v>
      </c>
      <c r="E378" s="5" t="s">
        <v>1131</v>
      </c>
      <c r="F378" s="5" t="s">
        <v>254</v>
      </c>
      <c r="G378" s="5" t="s">
        <v>240</v>
      </c>
      <c r="H378" s="6" t="s">
        <v>1395</v>
      </c>
      <c r="I378" s="5" t="s">
        <v>1331</v>
      </c>
      <c r="J378" s="8">
        <f>469</f>
        <v>469</v>
      </c>
      <c r="K378" s="5" t="s">
        <v>308</v>
      </c>
      <c r="L378" s="7">
        <f>1038835</f>
        <v>1038835</v>
      </c>
      <c r="M378" s="7">
        <f>1038835</f>
        <v>1038835</v>
      </c>
      <c r="N378" s="5" t="s">
        <v>242</v>
      </c>
      <c r="O378" s="5">
        <v>1</v>
      </c>
      <c r="P378" s="5" t="s">
        <v>294</v>
      </c>
      <c r="Q378" s="5" t="s">
        <v>266</v>
      </c>
      <c r="R378" s="5" t="s">
        <v>240</v>
      </c>
      <c r="S378" s="5" t="s">
        <v>240</v>
      </c>
      <c r="T378" s="5" t="s">
        <v>296</v>
      </c>
      <c r="U378" s="5" t="s">
        <v>244</v>
      </c>
      <c r="V378" s="5" t="s">
        <v>240</v>
      </c>
      <c r="Y378" s="5" t="s">
        <v>240</v>
      </c>
      <c r="Z378" s="6" t="s">
        <v>298</v>
      </c>
      <c r="AB378" s="6" t="s">
        <v>240</v>
      </c>
      <c r="AE378" s="6" t="s">
        <v>299</v>
      </c>
      <c r="AF378" s="5" t="s">
        <v>248</v>
      </c>
      <c r="AG378" s="5" t="s">
        <v>249</v>
      </c>
      <c r="AW378" s="5" t="s">
        <v>251</v>
      </c>
      <c r="AX378" s="5" t="s">
        <v>240</v>
      </c>
      <c r="AY378" s="5" t="s">
        <v>253</v>
      </c>
      <c r="AZ378" s="5" t="s">
        <v>240</v>
      </c>
      <c r="BA378" s="5" t="s">
        <v>255</v>
      </c>
      <c r="BB378" s="5" t="s">
        <v>240</v>
      </c>
      <c r="BD378" s="5" t="s">
        <v>240</v>
      </c>
      <c r="BF378" s="5" t="s">
        <v>301</v>
      </c>
      <c r="BG378" s="6" t="s">
        <v>299</v>
      </c>
      <c r="BH378" s="5" t="s">
        <v>302</v>
      </c>
      <c r="BI378" s="5" t="s">
        <v>303</v>
      </c>
      <c r="BJ378" s="5" t="s">
        <v>240</v>
      </c>
      <c r="BK378" s="8">
        <f>0</f>
        <v>0</v>
      </c>
      <c r="BL378" s="7">
        <f>0</f>
        <v>0</v>
      </c>
      <c r="BM378" s="5" t="s">
        <v>258</v>
      </c>
      <c r="BN378" s="5" t="s">
        <v>259</v>
      </c>
      <c r="CB378" s="5" t="s">
        <v>240</v>
      </c>
      <c r="CC378" s="5" t="s">
        <v>240</v>
      </c>
      <c r="CG378" s="5" t="s">
        <v>304</v>
      </c>
      <c r="CH378" s="5" t="s">
        <v>305</v>
      </c>
      <c r="CI378" s="5" t="s">
        <v>240</v>
      </c>
      <c r="CL378" s="6" t="s">
        <v>261</v>
      </c>
      <c r="CM378" s="5" t="s">
        <v>240</v>
      </c>
      <c r="CN378" s="5" t="s">
        <v>263</v>
      </c>
      <c r="CO378" s="5" t="s">
        <v>240</v>
      </c>
      <c r="CP378" s="5" t="s">
        <v>240</v>
      </c>
      <c r="CQ378" s="5">
        <v>0</v>
      </c>
      <c r="CR378" s="5" t="s">
        <v>306</v>
      </c>
      <c r="CS378" s="5" t="s">
        <v>307</v>
      </c>
      <c r="CT378" s="5" t="s">
        <v>307</v>
      </c>
      <c r="CU378" s="5" t="s">
        <v>260</v>
      </c>
      <c r="CX378" s="7">
        <f>1</f>
        <v>1</v>
      </c>
      <c r="CY378" s="7">
        <f>0</f>
        <v>0</v>
      </c>
      <c r="DA378" s="7">
        <f>0</f>
        <v>0</v>
      </c>
      <c r="DC378" s="5" t="s">
        <v>309</v>
      </c>
      <c r="DD378" s="5" t="s">
        <v>240</v>
      </c>
      <c r="DF378" s="5" t="s">
        <v>309</v>
      </c>
      <c r="DG378" s="7">
        <f>19</f>
        <v>19</v>
      </c>
      <c r="DI378" s="5" t="s">
        <v>240</v>
      </c>
      <c r="DJ378" s="5" t="s">
        <v>240</v>
      </c>
      <c r="DK378" s="5" t="s">
        <v>240</v>
      </c>
      <c r="DL378" s="5" t="s">
        <v>240</v>
      </c>
      <c r="DP378" s="5" t="s">
        <v>240</v>
      </c>
      <c r="DQ378" s="5" t="s">
        <v>240</v>
      </c>
      <c r="DR378" s="5" t="s">
        <v>240</v>
      </c>
      <c r="DS378" s="5" t="s">
        <v>240</v>
      </c>
      <c r="DV378" s="5" t="s">
        <v>310</v>
      </c>
      <c r="DW378" s="5" t="s">
        <v>1082</v>
      </c>
      <c r="HO378" s="5" t="s">
        <v>312</v>
      </c>
    </row>
    <row r="379" spans="1:223" x14ac:dyDescent="0.4">
      <c r="A379" s="5">
        <v>1114</v>
      </c>
      <c r="B379" s="5">
        <v>1</v>
      </c>
      <c r="C379" s="5">
        <v>1</v>
      </c>
      <c r="D379" s="5" t="s">
        <v>1332</v>
      </c>
      <c r="E379" s="5" t="s">
        <v>1131</v>
      </c>
      <c r="F379" s="5" t="s">
        <v>254</v>
      </c>
      <c r="G379" s="5" t="s">
        <v>240</v>
      </c>
      <c r="H379" s="6" t="s">
        <v>1394</v>
      </c>
      <c r="I379" s="5" t="s">
        <v>1331</v>
      </c>
      <c r="J379" s="8">
        <f>963</f>
        <v>963</v>
      </c>
      <c r="K379" s="5" t="s">
        <v>308</v>
      </c>
      <c r="L379" s="7">
        <f>2133045</f>
        <v>2133045</v>
      </c>
      <c r="M379" s="7">
        <f>2133045</f>
        <v>2133045</v>
      </c>
      <c r="N379" s="5" t="s">
        <v>242</v>
      </c>
      <c r="O379" s="5">
        <v>1</v>
      </c>
      <c r="P379" s="5" t="s">
        <v>294</v>
      </c>
      <c r="Q379" s="5" t="s">
        <v>266</v>
      </c>
      <c r="R379" s="5" t="s">
        <v>240</v>
      </c>
      <c r="S379" s="5" t="s">
        <v>240</v>
      </c>
      <c r="T379" s="5" t="s">
        <v>296</v>
      </c>
      <c r="U379" s="5" t="s">
        <v>244</v>
      </c>
      <c r="V379" s="5" t="s">
        <v>240</v>
      </c>
      <c r="Y379" s="5" t="s">
        <v>240</v>
      </c>
      <c r="Z379" s="6" t="s">
        <v>298</v>
      </c>
      <c r="AB379" s="6" t="s">
        <v>240</v>
      </c>
      <c r="AE379" s="6" t="s">
        <v>299</v>
      </c>
      <c r="AF379" s="5" t="s">
        <v>248</v>
      </c>
      <c r="AG379" s="5" t="s">
        <v>249</v>
      </c>
      <c r="AW379" s="5" t="s">
        <v>251</v>
      </c>
      <c r="AX379" s="5" t="s">
        <v>240</v>
      </c>
      <c r="AY379" s="5" t="s">
        <v>253</v>
      </c>
      <c r="AZ379" s="5" t="s">
        <v>240</v>
      </c>
      <c r="BA379" s="5" t="s">
        <v>255</v>
      </c>
      <c r="BB379" s="5" t="s">
        <v>240</v>
      </c>
      <c r="BD379" s="5" t="s">
        <v>240</v>
      </c>
      <c r="BF379" s="5" t="s">
        <v>301</v>
      </c>
      <c r="BG379" s="6" t="s">
        <v>299</v>
      </c>
      <c r="BH379" s="5" t="s">
        <v>302</v>
      </c>
      <c r="BI379" s="5" t="s">
        <v>303</v>
      </c>
      <c r="BJ379" s="5" t="s">
        <v>240</v>
      </c>
      <c r="BK379" s="8">
        <f>0</f>
        <v>0</v>
      </c>
      <c r="BL379" s="7">
        <f>0</f>
        <v>0</v>
      </c>
      <c r="BM379" s="5" t="s">
        <v>258</v>
      </c>
      <c r="BN379" s="5" t="s">
        <v>259</v>
      </c>
      <c r="CB379" s="5" t="s">
        <v>240</v>
      </c>
      <c r="CC379" s="5" t="s">
        <v>240</v>
      </c>
      <c r="CG379" s="5" t="s">
        <v>304</v>
      </c>
      <c r="CH379" s="5" t="s">
        <v>305</v>
      </c>
      <c r="CI379" s="5" t="s">
        <v>240</v>
      </c>
      <c r="CL379" s="6" t="s">
        <v>261</v>
      </c>
      <c r="CM379" s="5" t="s">
        <v>240</v>
      </c>
      <c r="CN379" s="5" t="s">
        <v>263</v>
      </c>
      <c r="CO379" s="5" t="s">
        <v>240</v>
      </c>
      <c r="CP379" s="5" t="s">
        <v>240</v>
      </c>
      <c r="CQ379" s="5">
        <v>0</v>
      </c>
      <c r="CR379" s="5" t="s">
        <v>306</v>
      </c>
      <c r="CS379" s="5" t="s">
        <v>307</v>
      </c>
      <c r="CT379" s="5" t="s">
        <v>307</v>
      </c>
      <c r="CU379" s="5" t="s">
        <v>260</v>
      </c>
      <c r="CX379" s="7">
        <f>1</f>
        <v>1</v>
      </c>
      <c r="CY379" s="7">
        <f>0</f>
        <v>0</v>
      </c>
      <c r="DA379" s="7">
        <f>0</f>
        <v>0</v>
      </c>
      <c r="DC379" s="5" t="s">
        <v>309</v>
      </c>
      <c r="DD379" s="5" t="s">
        <v>240</v>
      </c>
      <c r="DF379" s="5" t="s">
        <v>309</v>
      </c>
      <c r="DG379" s="7">
        <f>708</f>
        <v>708</v>
      </c>
      <c r="DI379" s="5" t="s">
        <v>240</v>
      </c>
      <c r="DJ379" s="5" t="s">
        <v>240</v>
      </c>
      <c r="DK379" s="5" t="s">
        <v>240</v>
      </c>
      <c r="DL379" s="5" t="s">
        <v>240</v>
      </c>
      <c r="DP379" s="5" t="s">
        <v>240</v>
      </c>
      <c r="DQ379" s="5" t="s">
        <v>240</v>
      </c>
      <c r="DR379" s="5" t="s">
        <v>240</v>
      </c>
      <c r="DS379" s="5" t="s">
        <v>240</v>
      </c>
      <c r="DV379" s="5" t="s">
        <v>310</v>
      </c>
      <c r="DW379" s="5" t="s">
        <v>1084</v>
      </c>
      <c r="HO379" s="5" t="s">
        <v>312</v>
      </c>
    </row>
    <row r="380" spans="1:223" x14ac:dyDescent="0.4">
      <c r="A380" s="5">
        <v>1115</v>
      </c>
      <c r="B380" s="5">
        <v>1</v>
      </c>
      <c r="C380" s="5">
        <v>1</v>
      </c>
      <c r="D380" s="5" t="s">
        <v>1332</v>
      </c>
      <c r="E380" s="5" t="s">
        <v>1131</v>
      </c>
      <c r="F380" s="5" t="s">
        <v>254</v>
      </c>
      <c r="G380" s="5" t="s">
        <v>240</v>
      </c>
      <c r="H380" s="6" t="s">
        <v>4379</v>
      </c>
      <c r="I380" s="5" t="s">
        <v>1331</v>
      </c>
      <c r="J380" s="8">
        <f>933</f>
        <v>933</v>
      </c>
      <c r="K380" s="5" t="s">
        <v>308</v>
      </c>
      <c r="L380" s="7">
        <f>2066595</f>
        <v>2066595</v>
      </c>
      <c r="M380" s="7">
        <f>2066595</f>
        <v>2066595</v>
      </c>
      <c r="N380" s="5" t="s">
        <v>242</v>
      </c>
      <c r="O380" s="5">
        <v>1</v>
      </c>
      <c r="P380" s="5" t="s">
        <v>294</v>
      </c>
      <c r="Q380" s="5" t="s">
        <v>266</v>
      </c>
      <c r="R380" s="5" t="s">
        <v>240</v>
      </c>
      <c r="S380" s="5" t="s">
        <v>240</v>
      </c>
      <c r="T380" s="5" t="s">
        <v>296</v>
      </c>
      <c r="U380" s="5" t="s">
        <v>244</v>
      </c>
      <c r="V380" s="5" t="s">
        <v>240</v>
      </c>
      <c r="Y380" s="5" t="s">
        <v>240</v>
      </c>
      <c r="Z380" s="6" t="s">
        <v>298</v>
      </c>
      <c r="AB380" s="6" t="s">
        <v>240</v>
      </c>
      <c r="AE380" s="6" t="s">
        <v>299</v>
      </c>
      <c r="AF380" s="5" t="s">
        <v>248</v>
      </c>
      <c r="AG380" s="5" t="s">
        <v>249</v>
      </c>
      <c r="AW380" s="5" t="s">
        <v>251</v>
      </c>
      <c r="AX380" s="5" t="s">
        <v>240</v>
      </c>
      <c r="AY380" s="5" t="s">
        <v>253</v>
      </c>
      <c r="AZ380" s="5" t="s">
        <v>240</v>
      </c>
      <c r="BA380" s="5" t="s">
        <v>255</v>
      </c>
      <c r="BB380" s="5" t="s">
        <v>240</v>
      </c>
      <c r="BD380" s="5" t="s">
        <v>240</v>
      </c>
      <c r="BF380" s="5" t="s">
        <v>301</v>
      </c>
      <c r="BG380" s="6" t="s">
        <v>299</v>
      </c>
      <c r="BH380" s="5" t="s">
        <v>302</v>
      </c>
      <c r="BI380" s="5" t="s">
        <v>303</v>
      </c>
      <c r="BJ380" s="5" t="s">
        <v>240</v>
      </c>
      <c r="BK380" s="8">
        <f>0</f>
        <v>0</v>
      </c>
      <c r="BL380" s="7">
        <f>0</f>
        <v>0</v>
      </c>
      <c r="BM380" s="5" t="s">
        <v>258</v>
      </c>
      <c r="BN380" s="5" t="s">
        <v>259</v>
      </c>
      <c r="CB380" s="5" t="s">
        <v>240</v>
      </c>
      <c r="CC380" s="5" t="s">
        <v>240</v>
      </c>
      <c r="CG380" s="5" t="s">
        <v>304</v>
      </c>
      <c r="CH380" s="5" t="s">
        <v>305</v>
      </c>
      <c r="CI380" s="5" t="s">
        <v>240</v>
      </c>
      <c r="CL380" s="6" t="s">
        <v>261</v>
      </c>
      <c r="CM380" s="5" t="s">
        <v>240</v>
      </c>
      <c r="CN380" s="5" t="s">
        <v>263</v>
      </c>
      <c r="CO380" s="5" t="s">
        <v>240</v>
      </c>
      <c r="CP380" s="5" t="s">
        <v>240</v>
      </c>
      <c r="CQ380" s="5">
        <v>0</v>
      </c>
      <c r="CR380" s="5" t="s">
        <v>306</v>
      </c>
      <c r="CS380" s="5" t="s">
        <v>307</v>
      </c>
      <c r="CT380" s="5" t="s">
        <v>307</v>
      </c>
      <c r="CU380" s="5" t="s">
        <v>260</v>
      </c>
      <c r="CX380" s="7">
        <f>1</f>
        <v>1</v>
      </c>
      <c r="CY380" s="7">
        <f>0</f>
        <v>0</v>
      </c>
      <c r="DA380" s="7">
        <f>0</f>
        <v>0</v>
      </c>
      <c r="DC380" s="5" t="s">
        <v>309</v>
      </c>
      <c r="DD380" s="5" t="s">
        <v>240</v>
      </c>
      <c r="DF380" s="5" t="s">
        <v>309</v>
      </c>
      <c r="DG380" s="7">
        <f>103</f>
        <v>103</v>
      </c>
      <c r="DI380" s="5" t="s">
        <v>240</v>
      </c>
      <c r="DJ380" s="5" t="s">
        <v>240</v>
      </c>
      <c r="DK380" s="5" t="s">
        <v>240</v>
      </c>
      <c r="DL380" s="5" t="s">
        <v>240</v>
      </c>
      <c r="DP380" s="5" t="s">
        <v>240</v>
      </c>
      <c r="DQ380" s="5" t="s">
        <v>240</v>
      </c>
      <c r="DR380" s="5" t="s">
        <v>240</v>
      </c>
      <c r="DS380" s="5" t="s">
        <v>240</v>
      </c>
      <c r="DV380" s="5" t="s">
        <v>310</v>
      </c>
      <c r="DW380" s="5" t="s">
        <v>1086</v>
      </c>
      <c r="HO380" s="5" t="s">
        <v>312</v>
      </c>
    </row>
    <row r="381" spans="1:223" x14ac:dyDescent="0.4">
      <c r="A381" s="5">
        <v>1116</v>
      </c>
      <c r="B381" s="5">
        <v>1</v>
      </c>
      <c r="C381" s="5">
        <v>1</v>
      </c>
      <c r="D381" s="5" t="s">
        <v>1332</v>
      </c>
      <c r="E381" s="5" t="s">
        <v>1131</v>
      </c>
      <c r="F381" s="5" t="s">
        <v>254</v>
      </c>
      <c r="G381" s="5" t="s">
        <v>240</v>
      </c>
      <c r="H381" s="6" t="s">
        <v>1391</v>
      </c>
      <c r="I381" s="5" t="s">
        <v>1331</v>
      </c>
      <c r="J381" s="8">
        <f>906</f>
        <v>906</v>
      </c>
      <c r="K381" s="5" t="s">
        <v>308</v>
      </c>
      <c r="L381" s="7">
        <f>2006790</f>
        <v>2006790</v>
      </c>
      <c r="M381" s="7">
        <f>2006790</f>
        <v>2006790</v>
      </c>
      <c r="N381" s="5" t="s">
        <v>242</v>
      </c>
      <c r="O381" s="5">
        <v>1</v>
      </c>
      <c r="P381" s="5" t="s">
        <v>294</v>
      </c>
      <c r="Q381" s="5" t="s">
        <v>266</v>
      </c>
      <c r="R381" s="5" t="s">
        <v>240</v>
      </c>
      <c r="S381" s="5" t="s">
        <v>240</v>
      </c>
      <c r="T381" s="5" t="s">
        <v>296</v>
      </c>
      <c r="U381" s="5" t="s">
        <v>244</v>
      </c>
      <c r="V381" s="5" t="s">
        <v>240</v>
      </c>
      <c r="Y381" s="5" t="s">
        <v>240</v>
      </c>
      <c r="Z381" s="6" t="s">
        <v>298</v>
      </c>
      <c r="AB381" s="6" t="s">
        <v>240</v>
      </c>
      <c r="AE381" s="6" t="s">
        <v>299</v>
      </c>
      <c r="AF381" s="5" t="s">
        <v>248</v>
      </c>
      <c r="AG381" s="5" t="s">
        <v>249</v>
      </c>
      <c r="AW381" s="5" t="s">
        <v>251</v>
      </c>
      <c r="AX381" s="5" t="s">
        <v>240</v>
      </c>
      <c r="AY381" s="5" t="s">
        <v>253</v>
      </c>
      <c r="AZ381" s="5" t="s">
        <v>240</v>
      </c>
      <c r="BA381" s="5" t="s">
        <v>255</v>
      </c>
      <c r="BB381" s="5" t="s">
        <v>240</v>
      </c>
      <c r="BD381" s="5" t="s">
        <v>240</v>
      </c>
      <c r="BF381" s="5" t="s">
        <v>301</v>
      </c>
      <c r="BG381" s="6" t="s">
        <v>299</v>
      </c>
      <c r="BH381" s="5" t="s">
        <v>302</v>
      </c>
      <c r="BI381" s="5" t="s">
        <v>303</v>
      </c>
      <c r="BJ381" s="5" t="s">
        <v>240</v>
      </c>
      <c r="BK381" s="8">
        <f>0</f>
        <v>0</v>
      </c>
      <c r="BL381" s="7">
        <f>0</f>
        <v>0</v>
      </c>
      <c r="BM381" s="5" t="s">
        <v>258</v>
      </c>
      <c r="BN381" s="5" t="s">
        <v>259</v>
      </c>
      <c r="CB381" s="5" t="s">
        <v>240</v>
      </c>
      <c r="CC381" s="5" t="s">
        <v>240</v>
      </c>
      <c r="CG381" s="5" t="s">
        <v>304</v>
      </c>
      <c r="CH381" s="5" t="s">
        <v>305</v>
      </c>
      <c r="CI381" s="5" t="s">
        <v>240</v>
      </c>
      <c r="CL381" s="6" t="s">
        <v>261</v>
      </c>
      <c r="CM381" s="5" t="s">
        <v>240</v>
      </c>
      <c r="CN381" s="5" t="s">
        <v>263</v>
      </c>
      <c r="CO381" s="5" t="s">
        <v>240</v>
      </c>
      <c r="CP381" s="5" t="s">
        <v>240</v>
      </c>
      <c r="CQ381" s="5">
        <v>0</v>
      </c>
      <c r="CR381" s="5" t="s">
        <v>306</v>
      </c>
      <c r="CS381" s="5" t="s">
        <v>307</v>
      </c>
      <c r="CT381" s="5" t="s">
        <v>307</v>
      </c>
      <c r="CU381" s="5" t="s">
        <v>260</v>
      </c>
      <c r="CX381" s="7">
        <f>1</f>
        <v>1</v>
      </c>
      <c r="CY381" s="7">
        <f>0</f>
        <v>0</v>
      </c>
      <c r="DA381" s="7">
        <f>0</f>
        <v>0</v>
      </c>
      <c r="DC381" s="5" t="s">
        <v>309</v>
      </c>
      <c r="DD381" s="5" t="s">
        <v>240</v>
      </c>
      <c r="DF381" s="5" t="s">
        <v>309</v>
      </c>
      <c r="DG381" s="7">
        <f>680</f>
        <v>680</v>
      </c>
      <c r="DI381" s="5" t="s">
        <v>240</v>
      </c>
      <c r="DJ381" s="5" t="s">
        <v>240</v>
      </c>
      <c r="DK381" s="5" t="s">
        <v>240</v>
      </c>
      <c r="DL381" s="5" t="s">
        <v>240</v>
      </c>
      <c r="DP381" s="5" t="s">
        <v>240</v>
      </c>
      <c r="DQ381" s="5" t="s">
        <v>240</v>
      </c>
      <c r="DR381" s="5" t="s">
        <v>240</v>
      </c>
      <c r="DS381" s="5" t="s">
        <v>240</v>
      </c>
      <c r="DV381" s="5" t="s">
        <v>310</v>
      </c>
      <c r="DW381" s="5" t="s">
        <v>1088</v>
      </c>
      <c r="HO381" s="5" t="s">
        <v>312</v>
      </c>
    </row>
    <row r="382" spans="1:223" x14ac:dyDescent="0.4">
      <c r="A382" s="5">
        <v>1117</v>
      </c>
      <c r="B382" s="5">
        <v>1</v>
      </c>
      <c r="C382" s="5">
        <v>1</v>
      </c>
      <c r="D382" s="5" t="s">
        <v>1332</v>
      </c>
      <c r="E382" s="5" t="s">
        <v>1131</v>
      </c>
      <c r="F382" s="5" t="s">
        <v>254</v>
      </c>
      <c r="G382" s="5" t="s">
        <v>240</v>
      </c>
      <c r="H382" s="6" t="s">
        <v>1390</v>
      </c>
      <c r="I382" s="5" t="s">
        <v>1331</v>
      </c>
      <c r="J382" s="8">
        <f>208</f>
        <v>208</v>
      </c>
      <c r="K382" s="5" t="s">
        <v>308</v>
      </c>
      <c r="L382" s="7">
        <f>460720</f>
        <v>460720</v>
      </c>
      <c r="M382" s="7">
        <f>460720</f>
        <v>460720</v>
      </c>
      <c r="N382" s="5" t="s">
        <v>242</v>
      </c>
      <c r="O382" s="5">
        <v>1</v>
      </c>
      <c r="P382" s="5" t="s">
        <v>294</v>
      </c>
      <c r="Q382" s="5" t="s">
        <v>266</v>
      </c>
      <c r="R382" s="5" t="s">
        <v>240</v>
      </c>
      <c r="S382" s="5" t="s">
        <v>240</v>
      </c>
      <c r="T382" s="5" t="s">
        <v>296</v>
      </c>
      <c r="U382" s="5" t="s">
        <v>244</v>
      </c>
      <c r="V382" s="5" t="s">
        <v>240</v>
      </c>
      <c r="Y382" s="5" t="s">
        <v>240</v>
      </c>
      <c r="Z382" s="6" t="s">
        <v>298</v>
      </c>
      <c r="AB382" s="6" t="s">
        <v>240</v>
      </c>
      <c r="AE382" s="6" t="s">
        <v>299</v>
      </c>
      <c r="AF382" s="5" t="s">
        <v>248</v>
      </c>
      <c r="AG382" s="5" t="s">
        <v>249</v>
      </c>
      <c r="AW382" s="5" t="s">
        <v>251</v>
      </c>
      <c r="AX382" s="5" t="s">
        <v>240</v>
      </c>
      <c r="AY382" s="5" t="s">
        <v>253</v>
      </c>
      <c r="AZ382" s="5" t="s">
        <v>240</v>
      </c>
      <c r="BA382" s="5" t="s">
        <v>255</v>
      </c>
      <c r="BB382" s="5" t="s">
        <v>240</v>
      </c>
      <c r="BD382" s="5" t="s">
        <v>240</v>
      </c>
      <c r="BF382" s="5" t="s">
        <v>301</v>
      </c>
      <c r="BG382" s="6" t="s">
        <v>299</v>
      </c>
      <c r="BH382" s="5" t="s">
        <v>302</v>
      </c>
      <c r="BI382" s="5" t="s">
        <v>303</v>
      </c>
      <c r="BJ382" s="5" t="s">
        <v>240</v>
      </c>
      <c r="BK382" s="8">
        <f>0</f>
        <v>0</v>
      </c>
      <c r="BL382" s="7">
        <f>0</f>
        <v>0</v>
      </c>
      <c r="BM382" s="5" t="s">
        <v>258</v>
      </c>
      <c r="BN382" s="5" t="s">
        <v>259</v>
      </c>
      <c r="CB382" s="5" t="s">
        <v>240</v>
      </c>
      <c r="CC382" s="5" t="s">
        <v>240</v>
      </c>
      <c r="CG382" s="5" t="s">
        <v>304</v>
      </c>
      <c r="CH382" s="5" t="s">
        <v>305</v>
      </c>
      <c r="CI382" s="5" t="s">
        <v>240</v>
      </c>
      <c r="CL382" s="6" t="s">
        <v>261</v>
      </c>
      <c r="CM382" s="5" t="s">
        <v>240</v>
      </c>
      <c r="CN382" s="5" t="s">
        <v>263</v>
      </c>
      <c r="CO382" s="5" t="s">
        <v>240</v>
      </c>
      <c r="CP382" s="5" t="s">
        <v>240</v>
      </c>
      <c r="CQ382" s="5">
        <v>0</v>
      </c>
      <c r="CR382" s="5" t="s">
        <v>306</v>
      </c>
      <c r="CS382" s="5" t="s">
        <v>307</v>
      </c>
      <c r="CT382" s="5" t="s">
        <v>307</v>
      </c>
      <c r="CU382" s="5" t="s">
        <v>260</v>
      </c>
      <c r="CX382" s="7">
        <f>1</f>
        <v>1</v>
      </c>
      <c r="CY382" s="7">
        <f>0</f>
        <v>0</v>
      </c>
      <c r="DA382" s="7">
        <f>0</f>
        <v>0</v>
      </c>
      <c r="DC382" s="5" t="s">
        <v>309</v>
      </c>
      <c r="DD382" s="5" t="s">
        <v>240</v>
      </c>
      <c r="DF382" s="5" t="s">
        <v>309</v>
      </c>
      <c r="DG382" s="7">
        <f>465</f>
        <v>465</v>
      </c>
      <c r="DI382" s="5" t="s">
        <v>240</v>
      </c>
      <c r="DJ382" s="5" t="s">
        <v>240</v>
      </c>
      <c r="DK382" s="5" t="s">
        <v>240</v>
      </c>
      <c r="DL382" s="5" t="s">
        <v>240</v>
      </c>
      <c r="DP382" s="5" t="s">
        <v>240</v>
      </c>
      <c r="DQ382" s="5" t="s">
        <v>240</v>
      </c>
      <c r="DR382" s="5" t="s">
        <v>240</v>
      </c>
      <c r="DS382" s="5" t="s">
        <v>240</v>
      </c>
      <c r="DV382" s="5" t="s">
        <v>310</v>
      </c>
      <c r="DW382" s="5" t="s">
        <v>1090</v>
      </c>
      <c r="HO382" s="5" t="s">
        <v>312</v>
      </c>
    </row>
    <row r="383" spans="1:223" x14ac:dyDescent="0.4">
      <c r="A383" s="5">
        <v>1118</v>
      </c>
      <c r="B383" s="5">
        <v>1</v>
      </c>
      <c r="C383" s="5">
        <v>1</v>
      </c>
      <c r="D383" s="5" t="s">
        <v>1332</v>
      </c>
      <c r="E383" s="5" t="s">
        <v>1131</v>
      </c>
      <c r="F383" s="5" t="s">
        <v>254</v>
      </c>
      <c r="G383" s="5" t="s">
        <v>240</v>
      </c>
      <c r="H383" s="6" t="s">
        <v>1389</v>
      </c>
      <c r="I383" s="5" t="s">
        <v>1331</v>
      </c>
      <c r="J383" s="8">
        <f>749</f>
        <v>749</v>
      </c>
      <c r="K383" s="5" t="s">
        <v>308</v>
      </c>
      <c r="L383" s="7">
        <f>1659035</f>
        <v>1659035</v>
      </c>
      <c r="M383" s="7">
        <f>1659035</f>
        <v>1659035</v>
      </c>
      <c r="N383" s="5" t="s">
        <v>242</v>
      </c>
      <c r="O383" s="5">
        <v>1</v>
      </c>
      <c r="P383" s="5" t="s">
        <v>294</v>
      </c>
      <c r="Q383" s="5" t="s">
        <v>266</v>
      </c>
      <c r="R383" s="5" t="s">
        <v>240</v>
      </c>
      <c r="S383" s="5" t="s">
        <v>240</v>
      </c>
      <c r="T383" s="5" t="s">
        <v>296</v>
      </c>
      <c r="U383" s="5" t="s">
        <v>244</v>
      </c>
      <c r="V383" s="5" t="s">
        <v>240</v>
      </c>
      <c r="Y383" s="5" t="s">
        <v>240</v>
      </c>
      <c r="Z383" s="6" t="s">
        <v>298</v>
      </c>
      <c r="AB383" s="6" t="s">
        <v>240</v>
      </c>
      <c r="AE383" s="6" t="s">
        <v>299</v>
      </c>
      <c r="AF383" s="5" t="s">
        <v>248</v>
      </c>
      <c r="AG383" s="5" t="s">
        <v>249</v>
      </c>
      <c r="AW383" s="5" t="s">
        <v>251</v>
      </c>
      <c r="AX383" s="5" t="s">
        <v>240</v>
      </c>
      <c r="AY383" s="5" t="s">
        <v>253</v>
      </c>
      <c r="AZ383" s="5" t="s">
        <v>240</v>
      </c>
      <c r="BA383" s="5" t="s">
        <v>255</v>
      </c>
      <c r="BB383" s="5" t="s">
        <v>240</v>
      </c>
      <c r="BD383" s="5" t="s">
        <v>240</v>
      </c>
      <c r="BF383" s="5" t="s">
        <v>301</v>
      </c>
      <c r="BG383" s="6" t="s">
        <v>299</v>
      </c>
      <c r="BH383" s="5" t="s">
        <v>302</v>
      </c>
      <c r="BI383" s="5" t="s">
        <v>303</v>
      </c>
      <c r="BJ383" s="5" t="s">
        <v>240</v>
      </c>
      <c r="BK383" s="8">
        <f>0</f>
        <v>0</v>
      </c>
      <c r="BL383" s="7">
        <f>0</f>
        <v>0</v>
      </c>
      <c r="BM383" s="5" t="s">
        <v>258</v>
      </c>
      <c r="BN383" s="5" t="s">
        <v>259</v>
      </c>
      <c r="CB383" s="5" t="s">
        <v>240</v>
      </c>
      <c r="CC383" s="5" t="s">
        <v>240</v>
      </c>
      <c r="CG383" s="5" t="s">
        <v>304</v>
      </c>
      <c r="CH383" s="5" t="s">
        <v>305</v>
      </c>
      <c r="CI383" s="5" t="s">
        <v>240</v>
      </c>
      <c r="CL383" s="6" t="s">
        <v>261</v>
      </c>
      <c r="CM383" s="5" t="s">
        <v>240</v>
      </c>
      <c r="CN383" s="5" t="s">
        <v>263</v>
      </c>
      <c r="CO383" s="5" t="s">
        <v>240</v>
      </c>
      <c r="CP383" s="5" t="s">
        <v>240</v>
      </c>
      <c r="CQ383" s="5">
        <v>0</v>
      </c>
      <c r="CR383" s="5" t="s">
        <v>306</v>
      </c>
      <c r="CS383" s="5" t="s">
        <v>307</v>
      </c>
      <c r="CT383" s="5" t="s">
        <v>307</v>
      </c>
      <c r="CU383" s="5" t="s">
        <v>260</v>
      </c>
      <c r="CX383" s="7">
        <f>1</f>
        <v>1</v>
      </c>
      <c r="CY383" s="7">
        <f>0</f>
        <v>0</v>
      </c>
      <c r="DA383" s="7">
        <f>0</f>
        <v>0</v>
      </c>
      <c r="DC383" s="5" t="s">
        <v>309</v>
      </c>
      <c r="DD383" s="5" t="s">
        <v>240</v>
      </c>
      <c r="DF383" s="5" t="s">
        <v>309</v>
      </c>
      <c r="DG383" s="7">
        <f>783</f>
        <v>783</v>
      </c>
      <c r="DI383" s="5" t="s">
        <v>240</v>
      </c>
      <c r="DJ383" s="5" t="s">
        <v>240</v>
      </c>
      <c r="DK383" s="5" t="s">
        <v>240</v>
      </c>
      <c r="DL383" s="5" t="s">
        <v>240</v>
      </c>
      <c r="DP383" s="5" t="s">
        <v>240</v>
      </c>
      <c r="DQ383" s="5" t="s">
        <v>240</v>
      </c>
      <c r="DR383" s="5" t="s">
        <v>240</v>
      </c>
      <c r="DS383" s="5" t="s">
        <v>240</v>
      </c>
      <c r="DV383" s="5" t="s">
        <v>310</v>
      </c>
      <c r="DW383" s="5" t="s">
        <v>1092</v>
      </c>
      <c r="HO383" s="5" t="s">
        <v>312</v>
      </c>
    </row>
    <row r="384" spans="1:223" x14ac:dyDescent="0.4">
      <c r="A384" s="5">
        <v>1119</v>
      </c>
      <c r="B384" s="5">
        <v>1</v>
      </c>
      <c r="C384" s="5">
        <v>1</v>
      </c>
      <c r="D384" s="5" t="s">
        <v>1332</v>
      </c>
      <c r="E384" s="5" t="s">
        <v>1131</v>
      </c>
      <c r="F384" s="5" t="s">
        <v>254</v>
      </c>
      <c r="G384" s="5" t="s">
        <v>240</v>
      </c>
      <c r="H384" s="6" t="s">
        <v>1388</v>
      </c>
      <c r="I384" s="5" t="s">
        <v>1331</v>
      </c>
      <c r="J384" s="8">
        <f>758</f>
        <v>758</v>
      </c>
      <c r="K384" s="5" t="s">
        <v>308</v>
      </c>
      <c r="L384" s="7">
        <f>1678970</f>
        <v>1678970</v>
      </c>
      <c r="M384" s="7">
        <f>1678970</f>
        <v>1678970</v>
      </c>
      <c r="N384" s="5" t="s">
        <v>242</v>
      </c>
      <c r="O384" s="5">
        <v>1</v>
      </c>
      <c r="P384" s="5" t="s">
        <v>294</v>
      </c>
      <c r="Q384" s="5" t="s">
        <v>266</v>
      </c>
      <c r="R384" s="5" t="s">
        <v>240</v>
      </c>
      <c r="S384" s="5" t="s">
        <v>240</v>
      </c>
      <c r="T384" s="5" t="s">
        <v>296</v>
      </c>
      <c r="U384" s="5" t="s">
        <v>244</v>
      </c>
      <c r="V384" s="5" t="s">
        <v>240</v>
      </c>
      <c r="Y384" s="5" t="s">
        <v>240</v>
      </c>
      <c r="Z384" s="6" t="s">
        <v>298</v>
      </c>
      <c r="AB384" s="6" t="s">
        <v>240</v>
      </c>
      <c r="AE384" s="6" t="s">
        <v>299</v>
      </c>
      <c r="AF384" s="5" t="s">
        <v>248</v>
      </c>
      <c r="AG384" s="5" t="s">
        <v>249</v>
      </c>
      <c r="AW384" s="5" t="s">
        <v>251</v>
      </c>
      <c r="AX384" s="5" t="s">
        <v>240</v>
      </c>
      <c r="AY384" s="5" t="s">
        <v>253</v>
      </c>
      <c r="AZ384" s="5" t="s">
        <v>240</v>
      </c>
      <c r="BA384" s="5" t="s">
        <v>255</v>
      </c>
      <c r="BB384" s="5" t="s">
        <v>240</v>
      </c>
      <c r="BD384" s="5" t="s">
        <v>240</v>
      </c>
      <c r="BF384" s="5" t="s">
        <v>301</v>
      </c>
      <c r="BG384" s="6" t="s">
        <v>299</v>
      </c>
      <c r="BH384" s="5" t="s">
        <v>302</v>
      </c>
      <c r="BI384" s="5" t="s">
        <v>303</v>
      </c>
      <c r="BJ384" s="5" t="s">
        <v>240</v>
      </c>
      <c r="BK384" s="8">
        <f>0</f>
        <v>0</v>
      </c>
      <c r="BL384" s="7">
        <f>0</f>
        <v>0</v>
      </c>
      <c r="BM384" s="5" t="s">
        <v>258</v>
      </c>
      <c r="BN384" s="5" t="s">
        <v>259</v>
      </c>
      <c r="CB384" s="5" t="s">
        <v>240</v>
      </c>
      <c r="CC384" s="5" t="s">
        <v>240</v>
      </c>
      <c r="CG384" s="5" t="s">
        <v>304</v>
      </c>
      <c r="CH384" s="5" t="s">
        <v>305</v>
      </c>
      <c r="CI384" s="5" t="s">
        <v>240</v>
      </c>
      <c r="CL384" s="6" t="s">
        <v>261</v>
      </c>
      <c r="CM384" s="5" t="s">
        <v>240</v>
      </c>
      <c r="CN384" s="5" t="s">
        <v>263</v>
      </c>
      <c r="CO384" s="5" t="s">
        <v>240</v>
      </c>
      <c r="CP384" s="5" t="s">
        <v>240</v>
      </c>
      <c r="CQ384" s="5">
        <v>0</v>
      </c>
      <c r="CR384" s="5" t="s">
        <v>306</v>
      </c>
      <c r="CS384" s="5" t="s">
        <v>307</v>
      </c>
      <c r="CT384" s="5" t="s">
        <v>307</v>
      </c>
      <c r="CU384" s="5" t="s">
        <v>260</v>
      </c>
      <c r="CX384" s="7">
        <f>1</f>
        <v>1</v>
      </c>
      <c r="CY384" s="7">
        <f>0</f>
        <v>0</v>
      </c>
      <c r="DA384" s="7">
        <f>0</f>
        <v>0</v>
      </c>
      <c r="DC384" s="5" t="s">
        <v>309</v>
      </c>
      <c r="DD384" s="5" t="s">
        <v>240</v>
      </c>
      <c r="DF384" s="5" t="s">
        <v>309</v>
      </c>
      <c r="DG384" s="7">
        <f>217</f>
        <v>217</v>
      </c>
      <c r="DI384" s="5" t="s">
        <v>240</v>
      </c>
      <c r="DJ384" s="5" t="s">
        <v>240</v>
      </c>
      <c r="DK384" s="5" t="s">
        <v>240</v>
      </c>
      <c r="DL384" s="5" t="s">
        <v>240</v>
      </c>
      <c r="DP384" s="5" t="s">
        <v>240</v>
      </c>
      <c r="DQ384" s="5" t="s">
        <v>240</v>
      </c>
      <c r="DR384" s="5" t="s">
        <v>240</v>
      </c>
      <c r="DS384" s="5" t="s">
        <v>240</v>
      </c>
      <c r="DV384" s="5" t="s">
        <v>310</v>
      </c>
      <c r="DW384" s="5" t="s">
        <v>1094</v>
      </c>
      <c r="HO384" s="5" t="s">
        <v>312</v>
      </c>
    </row>
    <row r="385" spans="1:223" x14ac:dyDescent="0.4">
      <c r="A385" s="5">
        <v>1120</v>
      </c>
      <c r="B385" s="5">
        <v>1</v>
      </c>
      <c r="C385" s="5">
        <v>1</v>
      </c>
      <c r="D385" s="5" t="s">
        <v>1332</v>
      </c>
      <c r="E385" s="5" t="s">
        <v>1131</v>
      </c>
      <c r="F385" s="5" t="s">
        <v>254</v>
      </c>
      <c r="G385" s="5" t="s">
        <v>240</v>
      </c>
      <c r="H385" s="6" t="s">
        <v>1387</v>
      </c>
      <c r="I385" s="5" t="s">
        <v>1331</v>
      </c>
      <c r="J385" s="8">
        <f>211</f>
        <v>211</v>
      </c>
      <c r="K385" s="5" t="s">
        <v>308</v>
      </c>
      <c r="L385" s="7">
        <f>467365</f>
        <v>467365</v>
      </c>
      <c r="M385" s="7">
        <f>467365</f>
        <v>467365</v>
      </c>
      <c r="N385" s="5" t="s">
        <v>242</v>
      </c>
      <c r="O385" s="5">
        <v>1</v>
      </c>
      <c r="P385" s="5" t="s">
        <v>294</v>
      </c>
      <c r="Q385" s="5" t="s">
        <v>266</v>
      </c>
      <c r="R385" s="5" t="s">
        <v>240</v>
      </c>
      <c r="S385" s="5" t="s">
        <v>240</v>
      </c>
      <c r="T385" s="5" t="s">
        <v>296</v>
      </c>
      <c r="U385" s="5" t="s">
        <v>244</v>
      </c>
      <c r="V385" s="5" t="s">
        <v>240</v>
      </c>
      <c r="Y385" s="5" t="s">
        <v>240</v>
      </c>
      <c r="Z385" s="6" t="s">
        <v>298</v>
      </c>
      <c r="AB385" s="6" t="s">
        <v>240</v>
      </c>
      <c r="AE385" s="6" t="s">
        <v>299</v>
      </c>
      <c r="AF385" s="5" t="s">
        <v>248</v>
      </c>
      <c r="AG385" s="5" t="s">
        <v>249</v>
      </c>
      <c r="AW385" s="5" t="s">
        <v>251</v>
      </c>
      <c r="AX385" s="5" t="s">
        <v>240</v>
      </c>
      <c r="AY385" s="5" t="s">
        <v>253</v>
      </c>
      <c r="AZ385" s="5" t="s">
        <v>240</v>
      </c>
      <c r="BA385" s="5" t="s">
        <v>255</v>
      </c>
      <c r="BB385" s="5" t="s">
        <v>240</v>
      </c>
      <c r="BD385" s="5" t="s">
        <v>240</v>
      </c>
      <c r="BF385" s="5" t="s">
        <v>301</v>
      </c>
      <c r="BG385" s="6" t="s">
        <v>299</v>
      </c>
      <c r="BH385" s="5" t="s">
        <v>302</v>
      </c>
      <c r="BI385" s="5" t="s">
        <v>303</v>
      </c>
      <c r="BJ385" s="5" t="s">
        <v>240</v>
      </c>
      <c r="BK385" s="8">
        <f>0</f>
        <v>0</v>
      </c>
      <c r="BL385" s="7">
        <f>0</f>
        <v>0</v>
      </c>
      <c r="BM385" s="5" t="s">
        <v>258</v>
      </c>
      <c r="BN385" s="5" t="s">
        <v>259</v>
      </c>
      <c r="CB385" s="5" t="s">
        <v>240</v>
      </c>
      <c r="CC385" s="5" t="s">
        <v>240</v>
      </c>
      <c r="CG385" s="5" t="s">
        <v>304</v>
      </c>
      <c r="CH385" s="5" t="s">
        <v>305</v>
      </c>
      <c r="CI385" s="5" t="s">
        <v>240</v>
      </c>
      <c r="CL385" s="6" t="s">
        <v>261</v>
      </c>
      <c r="CM385" s="5" t="s">
        <v>240</v>
      </c>
      <c r="CN385" s="5" t="s">
        <v>263</v>
      </c>
      <c r="CO385" s="5" t="s">
        <v>240</v>
      </c>
      <c r="CP385" s="5" t="s">
        <v>240</v>
      </c>
      <c r="CQ385" s="5">
        <v>0</v>
      </c>
      <c r="CR385" s="5" t="s">
        <v>306</v>
      </c>
      <c r="CS385" s="5" t="s">
        <v>307</v>
      </c>
      <c r="CT385" s="5" t="s">
        <v>307</v>
      </c>
      <c r="CU385" s="5" t="s">
        <v>260</v>
      </c>
      <c r="CX385" s="7">
        <f>1</f>
        <v>1</v>
      </c>
      <c r="CY385" s="7">
        <f>0</f>
        <v>0</v>
      </c>
      <c r="DA385" s="7">
        <f>0</f>
        <v>0</v>
      </c>
      <c r="DC385" s="5" t="s">
        <v>309</v>
      </c>
      <c r="DD385" s="5" t="s">
        <v>240</v>
      </c>
      <c r="DF385" s="5" t="s">
        <v>309</v>
      </c>
      <c r="DG385" s="7">
        <f>111</f>
        <v>111</v>
      </c>
      <c r="DI385" s="5" t="s">
        <v>240</v>
      </c>
      <c r="DJ385" s="5" t="s">
        <v>240</v>
      </c>
      <c r="DK385" s="5" t="s">
        <v>240</v>
      </c>
      <c r="DL385" s="5" t="s">
        <v>240</v>
      </c>
      <c r="DP385" s="5" t="s">
        <v>240</v>
      </c>
      <c r="DQ385" s="5" t="s">
        <v>240</v>
      </c>
      <c r="DR385" s="5" t="s">
        <v>240</v>
      </c>
      <c r="DS385" s="5" t="s">
        <v>240</v>
      </c>
      <c r="DV385" s="5" t="s">
        <v>310</v>
      </c>
      <c r="DW385" s="5" t="s">
        <v>1096</v>
      </c>
      <c r="HO385" s="5" t="s">
        <v>312</v>
      </c>
    </row>
    <row r="386" spans="1:223" x14ac:dyDescent="0.4">
      <c r="A386" s="5">
        <v>1121</v>
      </c>
      <c r="B386" s="5">
        <v>1</v>
      </c>
      <c r="C386" s="5">
        <v>1</v>
      </c>
      <c r="D386" s="5" t="s">
        <v>1332</v>
      </c>
      <c r="E386" s="5" t="s">
        <v>1131</v>
      </c>
      <c r="F386" s="5" t="s">
        <v>254</v>
      </c>
      <c r="G386" s="5" t="s">
        <v>240</v>
      </c>
      <c r="H386" s="6" t="s">
        <v>1386</v>
      </c>
      <c r="I386" s="5" t="s">
        <v>1331</v>
      </c>
      <c r="J386" s="8">
        <f>436</f>
        <v>436</v>
      </c>
      <c r="K386" s="5" t="s">
        <v>308</v>
      </c>
      <c r="L386" s="7">
        <f>965740</f>
        <v>965740</v>
      </c>
      <c r="M386" s="7">
        <f>965740</f>
        <v>965740</v>
      </c>
      <c r="N386" s="5" t="s">
        <v>242</v>
      </c>
      <c r="O386" s="5">
        <v>1</v>
      </c>
      <c r="P386" s="5" t="s">
        <v>294</v>
      </c>
      <c r="Q386" s="5" t="s">
        <v>266</v>
      </c>
      <c r="R386" s="5" t="s">
        <v>240</v>
      </c>
      <c r="S386" s="5" t="s">
        <v>240</v>
      </c>
      <c r="T386" s="5" t="s">
        <v>296</v>
      </c>
      <c r="U386" s="5" t="s">
        <v>244</v>
      </c>
      <c r="V386" s="5" t="s">
        <v>240</v>
      </c>
      <c r="Y386" s="5" t="s">
        <v>240</v>
      </c>
      <c r="Z386" s="6" t="s">
        <v>298</v>
      </c>
      <c r="AB386" s="6" t="s">
        <v>240</v>
      </c>
      <c r="AE386" s="6" t="s">
        <v>299</v>
      </c>
      <c r="AF386" s="5" t="s">
        <v>248</v>
      </c>
      <c r="AG386" s="5" t="s">
        <v>249</v>
      </c>
      <c r="AW386" s="5" t="s">
        <v>251</v>
      </c>
      <c r="AX386" s="5" t="s">
        <v>240</v>
      </c>
      <c r="AY386" s="5" t="s">
        <v>253</v>
      </c>
      <c r="AZ386" s="5" t="s">
        <v>240</v>
      </c>
      <c r="BA386" s="5" t="s">
        <v>255</v>
      </c>
      <c r="BB386" s="5" t="s">
        <v>240</v>
      </c>
      <c r="BD386" s="5" t="s">
        <v>240</v>
      </c>
      <c r="BF386" s="5" t="s">
        <v>301</v>
      </c>
      <c r="BG386" s="6" t="s">
        <v>299</v>
      </c>
      <c r="BH386" s="5" t="s">
        <v>302</v>
      </c>
      <c r="BI386" s="5" t="s">
        <v>303</v>
      </c>
      <c r="BJ386" s="5" t="s">
        <v>240</v>
      </c>
      <c r="BK386" s="8">
        <f>0</f>
        <v>0</v>
      </c>
      <c r="BL386" s="7">
        <f>0</f>
        <v>0</v>
      </c>
      <c r="BM386" s="5" t="s">
        <v>258</v>
      </c>
      <c r="BN386" s="5" t="s">
        <v>259</v>
      </c>
      <c r="CB386" s="5" t="s">
        <v>240</v>
      </c>
      <c r="CC386" s="5" t="s">
        <v>240</v>
      </c>
      <c r="CG386" s="5" t="s">
        <v>304</v>
      </c>
      <c r="CH386" s="5" t="s">
        <v>305</v>
      </c>
      <c r="CI386" s="5" t="s">
        <v>240</v>
      </c>
      <c r="CL386" s="6" t="s">
        <v>261</v>
      </c>
      <c r="CM386" s="5" t="s">
        <v>240</v>
      </c>
      <c r="CN386" s="5" t="s">
        <v>263</v>
      </c>
      <c r="CO386" s="5" t="s">
        <v>240</v>
      </c>
      <c r="CP386" s="5" t="s">
        <v>240</v>
      </c>
      <c r="CQ386" s="5">
        <v>0</v>
      </c>
      <c r="CR386" s="5" t="s">
        <v>306</v>
      </c>
      <c r="CS386" s="5" t="s">
        <v>307</v>
      </c>
      <c r="CT386" s="5" t="s">
        <v>307</v>
      </c>
      <c r="CU386" s="5" t="s">
        <v>260</v>
      </c>
      <c r="CX386" s="7">
        <f>1</f>
        <v>1</v>
      </c>
      <c r="CY386" s="7">
        <f>0</f>
        <v>0</v>
      </c>
      <c r="DA386" s="7">
        <f>0</f>
        <v>0</v>
      </c>
      <c r="DC386" s="5" t="s">
        <v>309</v>
      </c>
      <c r="DD386" s="5" t="s">
        <v>240</v>
      </c>
      <c r="DF386" s="5" t="s">
        <v>309</v>
      </c>
      <c r="DG386" s="7">
        <f>128</f>
        <v>128</v>
      </c>
      <c r="DI386" s="5" t="s">
        <v>240</v>
      </c>
      <c r="DJ386" s="5" t="s">
        <v>240</v>
      </c>
      <c r="DK386" s="5" t="s">
        <v>240</v>
      </c>
      <c r="DL386" s="5" t="s">
        <v>240</v>
      </c>
      <c r="DP386" s="5" t="s">
        <v>240</v>
      </c>
      <c r="DQ386" s="5" t="s">
        <v>240</v>
      </c>
      <c r="DR386" s="5" t="s">
        <v>240</v>
      </c>
      <c r="DS386" s="5" t="s">
        <v>240</v>
      </c>
      <c r="DV386" s="5" t="s">
        <v>310</v>
      </c>
      <c r="DW386" s="5" t="s">
        <v>1098</v>
      </c>
      <c r="HO386" s="5" t="s">
        <v>312</v>
      </c>
    </row>
    <row r="387" spans="1:223" x14ac:dyDescent="0.4">
      <c r="A387" s="5">
        <v>1122</v>
      </c>
      <c r="B387" s="5">
        <v>1</v>
      </c>
      <c r="C387" s="5">
        <v>1</v>
      </c>
      <c r="D387" s="5" t="s">
        <v>1332</v>
      </c>
      <c r="E387" s="5" t="s">
        <v>1131</v>
      </c>
      <c r="F387" s="5" t="s">
        <v>254</v>
      </c>
      <c r="G387" s="5" t="s">
        <v>240</v>
      </c>
      <c r="H387" s="6" t="s">
        <v>1385</v>
      </c>
      <c r="I387" s="5" t="s">
        <v>1331</v>
      </c>
      <c r="J387" s="8">
        <f>1001</f>
        <v>1001</v>
      </c>
      <c r="K387" s="5" t="s">
        <v>308</v>
      </c>
      <c r="L387" s="7">
        <f>2217215</f>
        <v>2217215</v>
      </c>
      <c r="M387" s="7">
        <f>2217215</f>
        <v>2217215</v>
      </c>
      <c r="N387" s="5" t="s">
        <v>242</v>
      </c>
      <c r="O387" s="5">
        <v>1</v>
      </c>
      <c r="P387" s="5" t="s">
        <v>294</v>
      </c>
      <c r="Q387" s="5" t="s">
        <v>266</v>
      </c>
      <c r="R387" s="5" t="s">
        <v>240</v>
      </c>
      <c r="S387" s="5" t="s">
        <v>240</v>
      </c>
      <c r="T387" s="5" t="s">
        <v>296</v>
      </c>
      <c r="U387" s="5" t="s">
        <v>244</v>
      </c>
      <c r="V387" s="5" t="s">
        <v>240</v>
      </c>
      <c r="Y387" s="5" t="s">
        <v>240</v>
      </c>
      <c r="Z387" s="6" t="s">
        <v>298</v>
      </c>
      <c r="AB387" s="6" t="s">
        <v>240</v>
      </c>
      <c r="AE387" s="6" t="s">
        <v>299</v>
      </c>
      <c r="AF387" s="5" t="s">
        <v>248</v>
      </c>
      <c r="AG387" s="5" t="s">
        <v>249</v>
      </c>
      <c r="AW387" s="5" t="s">
        <v>251</v>
      </c>
      <c r="AX387" s="5" t="s">
        <v>240</v>
      </c>
      <c r="AY387" s="5" t="s">
        <v>253</v>
      </c>
      <c r="AZ387" s="5" t="s">
        <v>240</v>
      </c>
      <c r="BA387" s="5" t="s">
        <v>255</v>
      </c>
      <c r="BB387" s="5" t="s">
        <v>240</v>
      </c>
      <c r="BD387" s="5" t="s">
        <v>240</v>
      </c>
      <c r="BF387" s="5" t="s">
        <v>301</v>
      </c>
      <c r="BG387" s="6" t="s">
        <v>299</v>
      </c>
      <c r="BH387" s="5" t="s">
        <v>302</v>
      </c>
      <c r="BI387" s="5" t="s">
        <v>303</v>
      </c>
      <c r="BJ387" s="5" t="s">
        <v>240</v>
      </c>
      <c r="BK387" s="8">
        <f>0</f>
        <v>0</v>
      </c>
      <c r="BL387" s="7">
        <f>0</f>
        <v>0</v>
      </c>
      <c r="BM387" s="5" t="s">
        <v>258</v>
      </c>
      <c r="BN387" s="5" t="s">
        <v>259</v>
      </c>
      <c r="CB387" s="5" t="s">
        <v>240</v>
      </c>
      <c r="CC387" s="5" t="s">
        <v>240</v>
      </c>
      <c r="CG387" s="5" t="s">
        <v>304</v>
      </c>
      <c r="CH387" s="5" t="s">
        <v>305</v>
      </c>
      <c r="CI387" s="5" t="s">
        <v>240</v>
      </c>
      <c r="CL387" s="6" t="s">
        <v>261</v>
      </c>
      <c r="CM387" s="5" t="s">
        <v>240</v>
      </c>
      <c r="CN387" s="5" t="s">
        <v>263</v>
      </c>
      <c r="CO387" s="5" t="s">
        <v>240</v>
      </c>
      <c r="CP387" s="5" t="s">
        <v>240</v>
      </c>
      <c r="CQ387" s="5">
        <v>0</v>
      </c>
      <c r="CR387" s="5" t="s">
        <v>306</v>
      </c>
      <c r="CS387" s="5" t="s">
        <v>307</v>
      </c>
      <c r="CT387" s="5" t="s">
        <v>307</v>
      </c>
      <c r="CU387" s="5" t="s">
        <v>260</v>
      </c>
      <c r="CX387" s="7">
        <f>1</f>
        <v>1</v>
      </c>
      <c r="CY387" s="7">
        <f>0</f>
        <v>0</v>
      </c>
      <c r="DA387" s="7">
        <f>0</f>
        <v>0</v>
      </c>
      <c r="DC387" s="5" t="s">
        <v>309</v>
      </c>
      <c r="DD387" s="5" t="s">
        <v>240</v>
      </c>
      <c r="DF387" s="5" t="s">
        <v>309</v>
      </c>
      <c r="DG387" s="7">
        <f>34</f>
        <v>34</v>
      </c>
      <c r="DI387" s="5" t="s">
        <v>240</v>
      </c>
      <c r="DJ387" s="5" t="s">
        <v>240</v>
      </c>
      <c r="DK387" s="5" t="s">
        <v>240</v>
      </c>
      <c r="DL387" s="5" t="s">
        <v>240</v>
      </c>
      <c r="DP387" s="5" t="s">
        <v>240</v>
      </c>
      <c r="DQ387" s="5" t="s">
        <v>240</v>
      </c>
      <c r="DR387" s="5" t="s">
        <v>240</v>
      </c>
      <c r="DS387" s="5" t="s">
        <v>240</v>
      </c>
      <c r="DV387" s="5" t="s">
        <v>310</v>
      </c>
      <c r="DW387" s="5" t="s">
        <v>1100</v>
      </c>
      <c r="HO387" s="5" t="s">
        <v>312</v>
      </c>
    </row>
    <row r="388" spans="1:223" x14ac:dyDescent="0.4">
      <c r="A388" s="5">
        <v>1123</v>
      </c>
      <c r="B388" s="5">
        <v>1</v>
      </c>
      <c r="C388" s="5">
        <v>1</v>
      </c>
      <c r="D388" s="5" t="s">
        <v>1332</v>
      </c>
      <c r="E388" s="5" t="s">
        <v>1131</v>
      </c>
      <c r="F388" s="5" t="s">
        <v>254</v>
      </c>
      <c r="G388" s="5" t="s">
        <v>240</v>
      </c>
      <c r="H388" s="6" t="s">
        <v>1384</v>
      </c>
      <c r="I388" s="5" t="s">
        <v>1331</v>
      </c>
      <c r="J388" s="8">
        <f>406</f>
        <v>406</v>
      </c>
      <c r="K388" s="5" t="s">
        <v>308</v>
      </c>
      <c r="L388" s="7">
        <f>899290</f>
        <v>899290</v>
      </c>
      <c r="M388" s="7">
        <f>899290</f>
        <v>899290</v>
      </c>
      <c r="N388" s="5" t="s">
        <v>242</v>
      </c>
      <c r="O388" s="5">
        <v>1</v>
      </c>
      <c r="P388" s="5" t="s">
        <v>294</v>
      </c>
      <c r="Q388" s="5" t="s">
        <v>266</v>
      </c>
      <c r="R388" s="5" t="s">
        <v>240</v>
      </c>
      <c r="S388" s="5" t="s">
        <v>240</v>
      </c>
      <c r="T388" s="5" t="s">
        <v>296</v>
      </c>
      <c r="U388" s="5" t="s">
        <v>244</v>
      </c>
      <c r="V388" s="5" t="s">
        <v>240</v>
      </c>
      <c r="Y388" s="5" t="s">
        <v>240</v>
      </c>
      <c r="Z388" s="6" t="s">
        <v>298</v>
      </c>
      <c r="AB388" s="6" t="s">
        <v>240</v>
      </c>
      <c r="AE388" s="6" t="s">
        <v>299</v>
      </c>
      <c r="AF388" s="5" t="s">
        <v>248</v>
      </c>
      <c r="AG388" s="5" t="s">
        <v>249</v>
      </c>
      <c r="AW388" s="5" t="s">
        <v>251</v>
      </c>
      <c r="AX388" s="5" t="s">
        <v>240</v>
      </c>
      <c r="AY388" s="5" t="s">
        <v>253</v>
      </c>
      <c r="AZ388" s="5" t="s">
        <v>240</v>
      </c>
      <c r="BA388" s="5" t="s">
        <v>255</v>
      </c>
      <c r="BB388" s="5" t="s">
        <v>240</v>
      </c>
      <c r="BD388" s="5" t="s">
        <v>240</v>
      </c>
      <c r="BF388" s="5" t="s">
        <v>301</v>
      </c>
      <c r="BG388" s="6" t="s">
        <v>299</v>
      </c>
      <c r="BH388" s="5" t="s">
        <v>302</v>
      </c>
      <c r="BI388" s="5" t="s">
        <v>303</v>
      </c>
      <c r="BJ388" s="5" t="s">
        <v>240</v>
      </c>
      <c r="BK388" s="8">
        <f>0</f>
        <v>0</v>
      </c>
      <c r="BL388" s="7">
        <f>0</f>
        <v>0</v>
      </c>
      <c r="BM388" s="5" t="s">
        <v>258</v>
      </c>
      <c r="BN388" s="5" t="s">
        <v>259</v>
      </c>
      <c r="CB388" s="5" t="s">
        <v>240</v>
      </c>
      <c r="CC388" s="5" t="s">
        <v>240</v>
      </c>
      <c r="CG388" s="5" t="s">
        <v>304</v>
      </c>
      <c r="CH388" s="5" t="s">
        <v>305</v>
      </c>
      <c r="CI388" s="5" t="s">
        <v>240</v>
      </c>
      <c r="CL388" s="6" t="s">
        <v>261</v>
      </c>
      <c r="CM388" s="5" t="s">
        <v>240</v>
      </c>
      <c r="CN388" s="5" t="s">
        <v>263</v>
      </c>
      <c r="CO388" s="5" t="s">
        <v>240</v>
      </c>
      <c r="CP388" s="5" t="s">
        <v>240</v>
      </c>
      <c r="CQ388" s="5">
        <v>0</v>
      </c>
      <c r="CR388" s="5" t="s">
        <v>306</v>
      </c>
      <c r="CS388" s="5" t="s">
        <v>307</v>
      </c>
      <c r="CT388" s="5" t="s">
        <v>307</v>
      </c>
      <c r="CU388" s="5" t="s">
        <v>260</v>
      </c>
      <c r="CX388" s="7">
        <f>1</f>
        <v>1</v>
      </c>
      <c r="CY388" s="7">
        <f>0</f>
        <v>0</v>
      </c>
      <c r="DA388" s="7">
        <f>0</f>
        <v>0</v>
      </c>
      <c r="DC388" s="5" t="s">
        <v>309</v>
      </c>
      <c r="DD388" s="5" t="s">
        <v>240</v>
      </c>
      <c r="DF388" s="5" t="s">
        <v>309</v>
      </c>
      <c r="DG388" s="7">
        <f>328</f>
        <v>328</v>
      </c>
      <c r="DI388" s="5" t="s">
        <v>240</v>
      </c>
      <c r="DJ388" s="5" t="s">
        <v>240</v>
      </c>
      <c r="DK388" s="5" t="s">
        <v>240</v>
      </c>
      <c r="DL388" s="5" t="s">
        <v>240</v>
      </c>
      <c r="DP388" s="5" t="s">
        <v>240</v>
      </c>
      <c r="DQ388" s="5" t="s">
        <v>240</v>
      </c>
      <c r="DR388" s="5" t="s">
        <v>240</v>
      </c>
      <c r="DS388" s="5" t="s">
        <v>240</v>
      </c>
      <c r="DV388" s="5" t="s">
        <v>310</v>
      </c>
      <c r="DW388" s="5" t="s">
        <v>1102</v>
      </c>
      <c r="HO388" s="5" t="s">
        <v>312</v>
      </c>
    </row>
    <row r="389" spans="1:223" x14ac:dyDescent="0.4">
      <c r="A389" s="5">
        <v>1124</v>
      </c>
      <c r="B389" s="5">
        <v>1</v>
      </c>
      <c r="C389" s="5">
        <v>1</v>
      </c>
      <c r="D389" s="5" t="s">
        <v>1332</v>
      </c>
      <c r="E389" s="5" t="s">
        <v>1131</v>
      </c>
      <c r="F389" s="5" t="s">
        <v>254</v>
      </c>
      <c r="G389" s="5" t="s">
        <v>240</v>
      </c>
      <c r="H389" s="6" t="s">
        <v>1444</v>
      </c>
      <c r="I389" s="5" t="s">
        <v>1331</v>
      </c>
      <c r="J389" s="8">
        <f>611</f>
        <v>611</v>
      </c>
      <c r="K389" s="5" t="s">
        <v>308</v>
      </c>
      <c r="L389" s="7">
        <f>1353365</f>
        <v>1353365</v>
      </c>
      <c r="M389" s="7">
        <f>1353365</f>
        <v>1353365</v>
      </c>
      <c r="N389" s="5" t="s">
        <v>242</v>
      </c>
      <c r="O389" s="5">
        <v>1</v>
      </c>
      <c r="P389" s="5" t="s">
        <v>294</v>
      </c>
      <c r="Q389" s="5" t="s">
        <v>266</v>
      </c>
      <c r="R389" s="5" t="s">
        <v>240</v>
      </c>
      <c r="S389" s="5" t="s">
        <v>240</v>
      </c>
      <c r="T389" s="5" t="s">
        <v>296</v>
      </c>
      <c r="U389" s="5" t="s">
        <v>244</v>
      </c>
      <c r="V389" s="5" t="s">
        <v>240</v>
      </c>
      <c r="Y389" s="5" t="s">
        <v>240</v>
      </c>
      <c r="Z389" s="6" t="s">
        <v>298</v>
      </c>
      <c r="AB389" s="6" t="s">
        <v>240</v>
      </c>
      <c r="AE389" s="6" t="s">
        <v>299</v>
      </c>
      <c r="AF389" s="5" t="s">
        <v>248</v>
      </c>
      <c r="AG389" s="5" t="s">
        <v>249</v>
      </c>
      <c r="AW389" s="5" t="s">
        <v>251</v>
      </c>
      <c r="AX389" s="5" t="s">
        <v>240</v>
      </c>
      <c r="AY389" s="5" t="s">
        <v>253</v>
      </c>
      <c r="AZ389" s="5" t="s">
        <v>240</v>
      </c>
      <c r="BA389" s="5" t="s">
        <v>255</v>
      </c>
      <c r="BB389" s="5" t="s">
        <v>240</v>
      </c>
      <c r="BD389" s="5" t="s">
        <v>240</v>
      </c>
      <c r="BF389" s="5" t="s">
        <v>301</v>
      </c>
      <c r="BG389" s="6" t="s">
        <v>299</v>
      </c>
      <c r="BH389" s="5" t="s">
        <v>302</v>
      </c>
      <c r="BI389" s="5" t="s">
        <v>303</v>
      </c>
      <c r="BJ389" s="5" t="s">
        <v>240</v>
      </c>
      <c r="BK389" s="8">
        <f>0</f>
        <v>0</v>
      </c>
      <c r="BL389" s="7">
        <f>0</f>
        <v>0</v>
      </c>
      <c r="BM389" s="5" t="s">
        <v>258</v>
      </c>
      <c r="BN389" s="5" t="s">
        <v>259</v>
      </c>
      <c r="CB389" s="5" t="s">
        <v>240</v>
      </c>
      <c r="CC389" s="5" t="s">
        <v>240</v>
      </c>
      <c r="CG389" s="5" t="s">
        <v>304</v>
      </c>
      <c r="CH389" s="5" t="s">
        <v>305</v>
      </c>
      <c r="CI389" s="5" t="s">
        <v>240</v>
      </c>
      <c r="CL389" s="6" t="s">
        <v>261</v>
      </c>
      <c r="CM389" s="5" t="s">
        <v>240</v>
      </c>
      <c r="CN389" s="5" t="s">
        <v>263</v>
      </c>
      <c r="CO389" s="5" t="s">
        <v>240</v>
      </c>
      <c r="CP389" s="5" t="s">
        <v>240</v>
      </c>
      <c r="CQ389" s="5">
        <v>0</v>
      </c>
      <c r="CR389" s="5" t="s">
        <v>306</v>
      </c>
      <c r="CS389" s="5" t="s">
        <v>307</v>
      </c>
      <c r="CT389" s="5" t="s">
        <v>307</v>
      </c>
      <c r="CU389" s="5" t="s">
        <v>260</v>
      </c>
      <c r="CX389" s="7">
        <f>1</f>
        <v>1</v>
      </c>
      <c r="CY389" s="7">
        <f>0</f>
        <v>0</v>
      </c>
      <c r="DA389" s="7">
        <f>0</f>
        <v>0</v>
      </c>
      <c r="DC389" s="5" t="s">
        <v>309</v>
      </c>
      <c r="DD389" s="5" t="s">
        <v>240</v>
      </c>
      <c r="DF389" s="5" t="s">
        <v>309</v>
      </c>
      <c r="DG389" s="7">
        <f>99</f>
        <v>99</v>
      </c>
      <c r="DI389" s="5" t="s">
        <v>240</v>
      </c>
      <c r="DJ389" s="5" t="s">
        <v>240</v>
      </c>
      <c r="DK389" s="5" t="s">
        <v>240</v>
      </c>
      <c r="DL389" s="5" t="s">
        <v>240</v>
      </c>
      <c r="DP389" s="5" t="s">
        <v>240</v>
      </c>
      <c r="DQ389" s="5" t="s">
        <v>240</v>
      </c>
      <c r="DR389" s="5" t="s">
        <v>240</v>
      </c>
      <c r="DS389" s="5" t="s">
        <v>240</v>
      </c>
      <c r="DV389" s="5" t="s">
        <v>310</v>
      </c>
      <c r="DW389" s="5" t="s">
        <v>1104</v>
      </c>
      <c r="HO389" s="5" t="s">
        <v>312</v>
      </c>
    </row>
    <row r="390" spans="1:223" x14ac:dyDescent="0.4">
      <c r="A390" s="5">
        <v>1125</v>
      </c>
      <c r="B390" s="5">
        <v>1</v>
      </c>
      <c r="C390" s="5">
        <v>1</v>
      </c>
      <c r="D390" s="5" t="s">
        <v>1332</v>
      </c>
      <c r="E390" s="5" t="s">
        <v>1131</v>
      </c>
      <c r="F390" s="5" t="s">
        <v>254</v>
      </c>
      <c r="G390" s="5" t="s">
        <v>240</v>
      </c>
      <c r="H390" s="6" t="s">
        <v>1383</v>
      </c>
      <c r="I390" s="5" t="s">
        <v>1331</v>
      </c>
      <c r="J390" s="8">
        <f>1004</f>
        <v>1004</v>
      </c>
      <c r="K390" s="5" t="s">
        <v>308</v>
      </c>
      <c r="L390" s="7">
        <f>2223860</f>
        <v>2223860</v>
      </c>
      <c r="M390" s="7">
        <f>2223860</f>
        <v>2223860</v>
      </c>
      <c r="N390" s="5" t="s">
        <v>242</v>
      </c>
      <c r="O390" s="5">
        <v>1</v>
      </c>
      <c r="P390" s="5" t="s">
        <v>294</v>
      </c>
      <c r="Q390" s="5" t="s">
        <v>266</v>
      </c>
      <c r="R390" s="5" t="s">
        <v>240</v>
      </c>
      <c r="S390" s="5" t="s">
        <v>240</v>
      </c>
      <c r="T390" s="5" t="s">
        <v>296</v>
      </c>
      <c r="U390" s="5" t="s">
        <v>244</v>
      </c>
      <c r="V390" s="5" t="s">
        <v>240</v>
      </c>
      <c r="Y390" s="5" t="s">
        <v>240</v>
      </c>
      <c r="Z390" s="6" t="s">
        <v>298</v>
      </c>
      <c r="AB390" s="6" t="s">
        <v>240</v>
      </c>
      <c r="AE390" s="6" t="s">
        <v>299</v>
      </c>
      <c r="AF390" s="5" t="s">
        <v>248</v>
      </c>
      <c r="AG390" s="5" t="s">
        <v>249</v>
      </c>
      <c r="AW390" s="5" t="s">
        <v>251</v>
      </c>
      <c r="AX390" s="5" t="s">
        <v>240</v>
      </c>
      <c r="AY390" s="5" t="s">
        <v>253</v>
      </c>
      <c r="AZ390" s="5" t="s">
        <v>240</v>
      </c>
      <c r="BA390" s="5" t="s">
        <v>255</v>
      </c>
      <c r="BB390" s="5" t="s">
        <v>240</v>
      </c>
      <c r="BD390" s="5" t="s">
        <v>240</v>
      </c>
      <c r="BF390" s="5" t="s">
        <v>301</v>
      </c>
      <c r="BG390" s="6" t="s">
        <v>299</v>
      </c>
      <c r="BH390" s="5" t="s">
        <v>302</v>
      </c>
      <c r="BI390" s="5" t="s">
        <v>303</v>
      </c>
      <c r="BJ390" s="5" t="s">
        <v>240</v>
      </c>
      <c r="BK390" s="8">
        <f>0</f>
        <v>0</v>
      </c>
      <c r="BL390" s="7">
        <f>0</f>
        <v>0</v>
      </c>
      <c r="BM390" s="5" t="s">
        <v>258</v>
      </c>
      <c r="BN390" s="5" t="s">
        <v>259</v>
      </c>
      <c r="CB390" s="5" t="s">
        <v>240</v>
      </c>
      <c r="CC390" s="5" t="s">
        <v>240</v>
      </c>
      <c r="CG390" s="5" t="s">
        <v>304</v>
      </c>
      <c r="CH390" s="5" t="s">
        <v>305</v>
      </c>
      <c r="CI390" s="5" t="s">
        <v>240</v>
      </c>
      <c r="CL390" s="6" t="s">
        <v>261</v>
      </c>
      <c r="CM390" s="5" t="s">
        <v>240</v>
      </c>
      <c r="CN390" s="5" t="s">
        <v>263</v>
      </c>
      <c r="CO390" s="5" t="s">
        <v>240</v>
      </c>
      <c r="CP390" s="5" t="s">
        <v>240</v>
      </c>
      <c r="CQ390" s="5">
        <v>0</v>
      </c>
      <c r="CR390" s="5" t="s">
        <v>306</v>
      </c>
      <c r="CS390" s="5" t="s">
        <v>307</v>
      </c>
      <c r="CT390" s="5" t="s">
        <v>307</v>
      </c>
      <c r="CU390" s="5" t="s">
        <v>260</v>
      </c>
      <c r="CX390" s="7">
        <f>1</f>
        <v>1</v>
      </c>
      <c r="CY390" s="7">
        <f>0</f>
        <v>0</v>
      </c>
      <c r="DA390" s="7">
        <f>0</f>
        <v>0</v>
      </c>
      <c r="DC390" s="5" t="s">
        <v>309</v>
      </c>
      <c r="DD390" s="5" t="s">
        <v>240</v>
      </c>
      <c r="DF390" s="5" t="s">
        <v>309</v>
      </c>
      <c r="DG390" s="7">
        <f>847</f>
        <v>847</v>
      </c>
      <c r="DI390" s="5" t="s">
        <v>240</v>
      </c>
      <c r="DJ390" s="5" t="s">
        <v>240</v>
      </c>
      <c r="DK390" s="5" t="s">
        <v>240</v>
      </c>
      <c r="DL390" s="5" t="s">
        <v>240</v>
      </c>
      <c r="DP390" s="5" t="s">
        <v>240</v>
      </c>
      <c r="DQ390" s="5" t="s">
        <v>240</v>
      </c>
      <c r="DR390" s="5" t="s">
        <v>240</v>
      </c>
      <c r="DS390" s="5" t="s">
        <v>240</v>
      </c>
      <c r="DV390" s="5" t="s">
        <v>310</v>
      </c>
      <c r="DW390" s="5" t="s">
        <v>1106</v>
      </c>
      <c r="HO390" s="5" t="s">
        <v>312</v>
      </c>
    </row>
    <row r="391" spans="1:223" x14ac:dyDescent="0.4">
      <c r="A391" s="5">
        <v>1126</v>
      </c>
      <c r="B391" s="5">
        <v>1</v>
      </c>
      <c r="C391" s="5">
        <v>1</v>
      </c>
      <c r="D391" s="5" t="s">
        <v>1332</v>
      </c>
      <c r="E391" s="5" t="s">
        <v>1131</v>
      </c>
      <c r="F391" s="5" t="s">
        <v>254</v>
      </c>
      <c r="G391" s="5" t="s">
        <v>240</v>
      </c>
      <c r="H391" s="6" t="s">
        <v>1382</v>
      </c>
      <c r="I391" s="5" t="s">
        <v>1331</v>
      </c>
      <c r="J391" s="8">
        <f>1021</f>
        <v>1021</v>
      </c>
      <c r="K391" s="5" t="s">
        <v>308</v>
      </c>
      <c r="L391" s="7">
        <f t="shared" ref="L391:M394" si="0">2261515</f>
        <v>2261515</v>
      </c>
      <c r="M391" s="7">
        <f t="shared" si="0"/>
        <v>2261515</v>
      </c>
      <c r="N391" s="5" t="s">
        <v>242</v>
      </c>
      <c r="O391" s="5">
        <v>1</v>
      </c>
      <c r="P391" s="5" t="s">
        <v>294</v>
      </c>
      <c r="Q391" s="5" t="s">
        <v>266</v>
      </c>
      <c r="R391" s="5" t="s">
        <v>240</v>
      </c>
      <c r="S391" s="5" t="s">
        <v>240</v>
      </c>
      <c r="T391" s="5" t="s">
        <v>296</v>
      </c>
      <c r="U391" s="5" t="s">
        <v>244</v>
      </c>
      <c r="V391" s="5" t="s">
        <v>240</v>
      </c>
      <c r="Y391" s="5" t="s">
        <v>240</v>
      </c>
      <c r="Z391" s="6" t="s">
        <v>298</v>
      </c>
      <c r="AB391" s="6" t="s">
        <v>240</v>
      </c>
      <c r="AE391" s="6" t="s">
        <v>299</v>
      </c>
      <c r="AF391" s="5" t="s">
        <v>248</v>
      </c>
      <c r="AG391" s="5" t="s">
        <v>249</v>
      </c>
      <c r="AW391" s="5" t="s">
        <v>251</v>
      </c>
      <c r="AX391" s="5" t="s">
        <v>240</v>
      </c>
      <c r="AY391" s="5" t="s">
        <v>253</v>
      </c>
      <c r="AZ391" s="5" t="s">
        <v>240</v>
      </c>
      <c r="BA391" s="5" t="s">
        <v>255</v>
      </c>
      <c r="BB391" s="5" t="s">
        <v>240</v>
      </c>
      <c r="BD391" s="5" t="s">
        <v>240</v>
      </c>
      <c r="BF391" s="5" t="s">
        <v>301</v>
      </c>
      <c r="BG391" s="6" t="s">
        <v>299</v>
      </c>
      <c r="BH391" s="5" t="s">
        <v>302</v>
      </c>
      <c r="BI391" s="5" t="s">
        <v>303</v>
      </c>
      <c r="BJ391" s="5" t="s">
        <v>240</v>
      </c>
      <c r="BK391" s="8">
        <f>0</f>
        <v>0</v>
      </c>
      <c r="BL391" s="7">
        <f>0</f>
        <v>0</v>
      </c>
      <c r="BM391" s="5" t="s">
        <v>258</v>
      </c>
      <c r="BN391" s="5" t="s">
        <v>259</v>
      </c>
      <c r="CB391" s="5" t="s">
        <v>240</v>
      </c>
      <c r="CC391" s="5" t="s">
        <v>240</v>
      </c>
      <c r="CG391" s="5" t="s">
        <v>304</v>
      </c>
      <c r="CH391" s="5" t="s">
        <v>305</v>
      </c>
      <c r="CI391" s="5" t="s">
        <v>240</v>
      </c>
      <c r="CL391" s="6" t="s">
        <v>261</v>
      </c>
      <c r="CM391" s="5" t="s">
        <v>240</v>
      </c>
      <c r="CN391" s="5" t="s">
        <v>263</v>
      </c>
      <c r="CO391" s="5" t="s">
        <v>240</v>
      </c>
      <c r="CP391" s="5" t="s">
        <v>240</v>
      </c>
      <c r="CQ391" s="5">
        <v>0</v>
      </c>
      <c r="CR391" s="5" t="s">
        <v>306</v>
      </c>
      <c r="CS391" s="5" t="s">
        <v>307</v>
      </c>
      <c r="CT391" s="5" t="s">
        <v>307</v>
      </c>
      <c r="CU391" s="5" t="s">
        <v>260</v>
      </c>
      <c r="CX391" s="7">
        <f>1</f>
        <v>1</v>
      </c>
      <c r="CY391" s="7">
        <f>0</f>
        <v>0</v>
      </c>
      <c r="DA391" s="7">
        <f>0</f>
        <v>0</v>
      </c>
      <c r="DC391" s="5" t="s">
        <v>309</v>
      </c>
      <c r="DD391" s="5" t="s">
        <v>240</v>
      </c>
      <c r="DF391" s="5" t="s">
        <v>309</v>
      </c>
      <c r="DG391" s="7">
        <f>1032</f>
        <v>1032</v>
      </c>
      <c r="DI391" s="5" t="s">
        <v>240</v>
      </c>
      <c r="DJ391" s="5" t="s">
        <v>240</v>
      </c>
      <c r="DK391" s="5" t="s">
        <v>240</v>
      </c>
      <c r="DL391" s="5" t="s">
        <v>240</v>
      </c>
      <c r="DP391" s="5" t="s">
        <v>240</v>
      </c>
      <c r="DQ391" s="5" t="s">
        <v>240</v>
      </c>
      <c r="DR391" s="5" t="s">
        <v>240</v>
      </c>
      <c r="DS391" s="5" t="s">
        <v>240</v>
      </c>
      <c r="DV391" s="5" t="s">
        <v>310</v>
      </c>
      <c r="DW391" s="5" t="s">
        <v>1108</v>
      </c>
      <c r="HO391" s="5" t="s">
        <v>312</v>
      </c>
    </row>
    <row r="392" spans="1:223" x14ac:dyDescent="0.4">
      <c r="A392" s="5">
        <v>1127</v>
      </c>
      <c r="B392" s="5">
        <v>1</v>
      </c>
      <c r="C392" s="5">
        <v>1</v>
      </c>
      <c r="D392" s="5" t="s">
        <v>1332</v>
      </c>
      <c r="E392" s="5" t="s">
        <v>1131</v>
      </c>
      <c r="F392" s="5" t="s">
        <v>254</v>
      </c>
      <c r="G392" s="5" t="s">
        <v>240</v>
      </c>
      <c r="H392" s="6" t="s">
        <v>1381</v>
      </c>
      <c r="I392" s="5" t="s">
        <v>1331</v>
      </c>
      <c r="J392" s="8">
        <f>1021</f>
        <v>1021</v>
      </c>
      <c r="K392" s="5" t="s">
        <v>308</v>
      </c>
      <c r="L392" s="7">
        <f t="shared" si="0"/>
        <v>2261515</v>
      </c>
      <c r="M392" s="7">
        <f t="shared" si="0"/>
        <v>2261515</v>
      </c>
      <c r="N392" s="5" t="s">
        <v>242</v>
      </c>
      <c r="O392" s="5">
        <v>1</v>
      </c>
      <c r="P392" s="5" t="s">
        <v>294</v>
      </c>
      <c r="Q392" s="5" t="s">
        <v>613</v>
      </c>
      <c r="R392" s="5" t="s">
        <v>240</v>
      </c>
      <c r="S392" s="5" t="s">
        <v>240</v>
      </c>
      <c r="T392" s="5" t="s">
        <v>243</v>
      </c>
      <c r="U392" s="5" t="s">
        <v>724</v>
      </c>
      <c r="V392" s="5" t="s">
        <v>240</v>
      </c>
      <c r="Y392" s="5" t="s">
        <v>240</v>
      </c>
      <c r="Z392" s="6" t="s">
        <v>298</v>
      </c>
      <c r="AB392" s="6" t="s">
        <v>240</v>
      </c>
      <c r="AE392" s="6" t="s">
        <v>299</v>
      </c>
      <c r="AF392" s="5" t="s">
        <v>248</v>
      </c>
      <c r="AG392" s="5" t="s">
        <v>249</v>
      </c>
      <c r="AW392" s="5" t="s">
        <v>251</v>
      </c>
      <c r="AX392" s="5" t="s">
        <v>240</v>
      </c>
      <c r="AY392" s="5" t="s">
        <v>253</v>
      </c>
      <c r="AZ392" s="5" t="s">
        <v>240</v>
      </c>
      <c r="BA392" s="5" t="s">
        <v>255</v>
      </c>
      <c r="BB392" s="5" t="s">
        <v>240</v>
      </c>
      <c r="BD392" s="5" t="s">
        <v>240</v>
      </c>
      <c r="BF392" s="5" t="s">
        <v>301</v>
      </c>
      <c r="BG392" s="6" t="s">
        <v>299</v>
      </c>
      <c r="BH392" s="5" t="s">
        <v>302</v>
      </c>
      <c r="BI392" s="5" t="s">
        <v>303</v>
      </c>
      <c r="BJ392" s="5" t="s">
        <v>240</v>
      </c>
      <c r="BK392" s="8">
        <f>0</f>
        <v>0</v>
      </c>
      <c r="BL392" s="7">
        <f>0</f>
        <v>0</v>
      </c>
      <c r="BM392" s="5" t="s">
        <v>258</v>
      </c>
      <c r="BN392" s="5" t="s">
        <v>259</v>
      </c>
      <c r="CB392" s="5" t="s">
        <v>240</v>
      </c>
      <c r="CC392" s="5" t="s">
        <v>240</v>
      </c>
      <c r="CG392" s="5" t="s">
        <v>617</v>
      </c>
      <c r="CH392" s="5" t="s">
        <v>305</v>
      </c>
      <c r="CI392" s="5" t="s">
        <v>240</v>
      </c>
      <c r="CL392" s="6" t="s">
        <v>261</v>
      </c>
      <c r="CM392" s="5" t="s">
        <v>240</v>
      </c>
      <c r="CN392" s="5" t="s">
        <v>263</v>
      </c>
      <c r="CO392" s="5" t="s">
        <v>240</v>
      </c>
      <c r="CP392" s="5" t="s">
        <v>240</v>
      </c>
      <c r="CQ392" s="5">
        <v>0</v>
      </c>
      <c r="CR392" s="5" t="s">
        <v>306</v>
      </c>
      <c r="CS392" s="5" t="s">
        <v>307</v>
      </c>
      <c r="CT392" s="5" t="s">
        <v>307</v>
      </c>
      <c r="CU392" s="5" t="s">
        <v>260</v>
      </c>
      <c r="CX392" s="7">
        <f>75460</f>
        <v>75460</v>
      </c>
      <c r="CY392" s="7">
        <f>0</f>
        <v>0</v>
      </c>
      <c r="DA392" s="7">
        <f>0</f>
        <v>0</v>
      </c>
      <c r="DC392" s="5" t="s">
        <v>854</v>
      </c>
      <c r="DD392" s="5" t="s">
        <v>240</v>
      </c>
      <c r="DF392" s="5" t="s">
        <v>450</v>
      </c>
      <c r="DG392" s="7">
        <f>0</f>
        <v>0</v>
      </c>
      <c r="DI392" s="5" t="s">
        <v>737</v>
      </c>
      <c r="DJ392" s="5" t="s">
        <v>240</v>
      </c>
      <c r="DK392" s="5" t="s">
        <v>240</v>
      </c>
      <c r="DL392" s="5" t="s">
        <v>240</v>
      </c>
      <c r="DP392" s="5" t="s">
        <v>240</v>
      </c>
      <c r="DQ392" s="5" t="s">
        <v>240</v>
      </c>
      <c r="DR392" s="5" t="s">
        <v>240</v>
      </c>
      <c r="DS392" s="5" t="s">
        <v>240</v>
      </c>
      <c r="DV392" s="5" t="s">
        <v>957</v>
      </c>
      <c r="DW392" s="5" t="s">
        <v>455</v>
      </c>
      <c r="HO392" s="5" t="s">
        <v>312</v>
      </c>
    </row>
    <row r="393" spans="1:223" x14ac:dyDescent="0.4">
      <c r="A393" s="5">
        <v>1128</v>
      </c>
      <c r="B393" s="5">
        <v>1</v>
      </c>
      <c r="C393" s="5">
        <v>1</v>
      </c>
      <c r="D393" s="5" t="s">
        <v>1332</v>
      </c>
      <c r="E393" s="5" t="s">
        <v>1131</v>
      </c>
      <c r="F393" s="5" t="s">
        <v>254</v>
      </c>
      <c r="G393" s="5" t="s">
        <v>240</v>
      </c>
      <c r="H393" s="6" t="s">
        <v>1380</v>
      </c>
      <c r="I393" s="5" t="s">
        <v>1331</v>
      </c>
      <c r="J393" s="8">
        <f>1021</f>
        <v>1021</v>
      </c>
      <c r="K393" s="5" t="s">
        <v>308</v>
      </c>
      <c r="L393" s="7">
        <f t="shared" si="0"/>
        <v>2261515</v>
      </c>
      <c r="M393" s="7">
        <f t="shared" si="0"/>
        <v>2261515</v>
      </c>
      <c r="N393" s="5" t="s">
        <v>242</v>
      </c>
      <c r="O393" s="5">
        <v>1</v>
      </c>
      <c r="P393" s="5" t="s">
        <v>294</v>
      </c>
      <c r="Q393" s="5" t="s">
        <v>613</v>
      </c>
      <c r="R393" s="5" t="s">
        <v>240</v>
      </c>
      <c r="S393" s="5" t="s">
        <v>240</v>
      </c>
      <c r="T393" s="5" t="s">
        <v>243</v>
      </c>
      <c r="U393" s="5" t="s">
        <v>724</v>
      </c>
      <c r="V393" s="5" t="s">
        <v>240</v>
      </c>
      <c r="Y393" s="5" t="s">
        <v>240</v>
      </c>
      <c r="Z393" s="6" t="s">
        <v>298</v>
      </c>
      <c r="AB393" s="6" t="s">
        <v>240</v>
      </c>
      <c r="AE393" s="6" t="s">
        <v>299</v>
      </c>
      <c r="AF393" s="5" t="s">
        <v>248</v>
      </c>
      <c r="AG393" s="5" t="s">
        <v>249</v>
      </c>
      <c r="AW393" s="5" t="s">
        <v>251</v>
      </c>
      <c r="AX393" s="5" t="s">
        <v>240</v>
      </c>
      <c r="AY393" s="5" t="s">
        <v>253</v>
      </c>
      <c r="AZ393" s="5" t="s">
        <v>240</v>
      </c>
      <c r="BA393" s="5" t="s">
        <v>255</v>
      </c>
      <c r="BB393" s="5" t="s">
        <v>240</v>
      </c>
      <c r="BD393" s="5" t="s">
        <v>240</v>
      </c>
      <c r="BF393" s="5" t="s">
        <v>301</v>
      </c>
      <c r="BG393" s="6" t="s">
        <v>299</v>
      </c>
      <c r="BH393" s="5" t="s">
        <v>302</v>
      </c>
      <c r="BI393" s="5" t="s">
        <v>303</v>
      </c>
      <c r="BJ393" s="5" t="s">
        <v>240</v>
      </c>
      <c r="BK393" s="8">
        <f>0</f>
        <v>0</v>
      </c>
      <c r="BL393" s="7">
        <f>0</f>
        <v>0</v>
      </c>
      <c r="BM393" s="5" t="s">
        <v>258</v>
      </c>
      <c r="BN393" s="5" t="s">
        <v>259</v>
      </c>
      <c r="CB393" s="5" t="s">
        <v>240</v>
      </c>
      <c r="CC393" s="5" t="s">
        <v>240</v>
      </c>
      <c r="CG393" s="5" t="s">
        <v>617</v>
      </c>
      <c r="CH393" s="5" t="s">
        <v>305</v>
      </c>
      <c r="CI393" s="5" t="s">
        <v>240</v>
      </c>
      <c r="CL393" s="6" t="s">
        <v>261</v>
      </c>
      <c r="CM393" s="5" t="s">
        <v>240</v>
      </c>
      <c r="CN393" s="5" t="s">
        <v>263</v>
      </c>
      <c r="CO393" s="5" t="s">
        <v>240</v>
      </c>
      <c r="CP393" s="5" t="s">
        <v>240</v>
      </c>
      <c r="CQ393" s="5">
        <v>0</v>
      </c>
      <c r="CR393" s="5" t="s">
        <v>306</v>
      </c>
      <c r="CS393" s="5" t="s">
        <v>307</v>
      </c>
      <c r="CT393" s="5" t="s">
        <v>307</v>
      </c>
      <c r="CU393" s="5" t="s">
        <v>260</v>
      </c>
      <c r="CX393" s="7">
        <f>3080</f>
        <v>3080</v>
      </c>
      <c r="CY393" s="7">
        <f>0</f>
        <v>0</v>
      </c>
      <c r="DA393" s="7">
        <f>0</f>
        <v>0</v>
      </c>
      <c r="DC393" s="5" t="s">
        <v>854</v>
      </c>
      <c r="DD393" s="5" t="s">
        <v>240</v>
      </c>
      <c r="DF393" s="5" t="s">
        <v>450</v>
      </c>
      <c r="DG393" s="7">
        <f>0</f>
        <v>0</v>
      </c>
      <c r="DI393" s="5" t="s">
        <v>737</v>
      </c>
      <c r="DJ393" s="5" t="s">
        <v>240</v>
      </c>
      <c r="DK393" s="5" t="s">
        <v>240</v>
      </c>
      <c r="DL393" s="5" t="s">
        <v>240</v>
      </c>
      <c r="DP393" s="5" t="s">
        <v>240</v>
      </c>
      <c r="DQ393" s="5" t="s">
        <v>240</v>
      </c>
      <c r="DR393" s="5" t="s">
        <v>240</v>
      </c>
      <c r="DS393" s="5" t="s">
        <v>240</v>
      </c>
      <c r="DV393" s="5" t="s">
        <v>957</v>
      </c>
      <c r="DW393" s="5" t="s">
        <v>781</v>
      </c>
      <c r="HO393" s="5" t="s">
        <v>312</v>
      </c>
    </row>
    <row r="394" spans="1:223" x14ac:dyDescent="0.4">
      <c r="A394" s="5">
        <v>1129</v>
      </c>
      <c r="B394" s="5">
        <v>1</v>
      </c>
      <c r="C394" s="5">
        <v>1</v>
      </c>
      <c r="D394" s="5" t="s">
        <v>1332</v>
      </c>
      <c r="E394" s="5" t="s">
        <v>1131</v>
      </c>
      <c r="F394" s="5" t="s">
        <v>254</v>
      </c>
      <c r="G394" s="5" t="s">
        <v>240</v>
      </c>
      <c r="H394" s="6" t="s">
        <v>1379</v>
      </c>
      <c r="I394" s="5" t="s">
        <v>1331</v>
      </c>
      <c r="J394" s="8">
        <f>1021</f>
        <v>1021</v>
      </c>
      <c r="K394" s="5" t="s">
        <v>308</v>
      </c>
      <c r="L394" s="7">
        <f t="shared" si="0"/>
        <v>2261515</v>
      </c>
      <c r="M394" s="7">
        <f t="shared" si="0"/>
        <v>2261515</v>
      </c>
      <c r="N394" s="5" t="s">
        <v>242</v>
      </c>
      <c r="O394" s="5">
        <v>1</v>
      </c>
      <c r="P394" s="5" t="s">
        <v>294</v>
      </c>
      <c r="Q394" s="5" t="s">
        <v>613</v>
      </c>
      <c r="R394" s="5" t="s">
        <v>240</v>
      </c>
      <c r="S394" s="5" t="s">
        <v>240</v>
      </c>
      <c r="T394" s="5" t="s">
        <v>243</v>
      </c>
      <c r="U394" s="5" t="s">
        <v>724</v>
      </c>
      <c r="V394" s="5" t="s">
        <v>240</v>
      </c>
      <c r="Y394" s="5" t="s">
        <v>240</v>
      </c>
      <c r="Z394" s="6" t="s">
        <v>298</v>
      </c>
      <c r="AB394" s="6" t="s">
        <v>240</v>
      </c>
      <c r="AE394" s="6" t="s">
        <v>299</v>
      </c>
      <c r="AF394" s="5" t="s">
        <v>248</v>
      </c>
      <c r="AG394" s="5" t="s">
        <v>249</v>
      </c>
      <c r="AW394" s="5" t="s">
        <v>251</v>
      </c>
      <c r="AX394" s="5" t="s">
        <v>240</v>
      </c>
      <c r="AY394" s="5" t="s">
        <v>253</v>
      </c>
      <c r="AZ394" s="5" t="s">
        <v>240</v>
      </c>
      <c r="BA394" s="5" t="s">
        <v>255</v>
      </c>
      <c r="BB394" s="5" t="s">
        <v>240</v>
      </c>
      <c r="BD394" s="5" t="s">
        <v>240</v>
      </c>
      <c r="BF394" s="5" t="s">
        <v>301</v>
      </c>
      <c r="BG394" s="6" t="s">
        <v>299</v>
      </c>
      <c r="BH394" s="5" t="s">
        <v>302</v>
      </c>
      <c r="BI394" s="5" t="s">
        <v>303</v>
      </c>
      <c r="BJ394" s="5" t="s">
        <v>240</v>
      </c>
      <c r="BK394" s="8">
        <f>0</f>
        <v>0</v>
      </c>
      <c r="BL394" s="7">
        <f>0</f>
        <v>0</v>
      </c>
      <c r="BM394" s="5" t="s">
        <v>258</v>
      </c>
      <c r="BN394" s="5" t="s">
        <v>259</v>
      </c>
      <c r="CB394" s="5" t="s">
        <v>240</v>
      </c>
      <c r="CC394" s="5" t="s">
        <v>240</v>
      </c>
      <c r="CG394" s="5" t="s">
        <v>617</v>
      </c>
      <c r="CH394" s="5" t="s">
        <v>305</v>
      </c>
      <c r="CI394" s="5" t="s">
        <v>240</v>
      </c>
      <c r="CL394" s="6" t="s">
        <v>261</v>
      </c>
      <c r="CM394" s="5" t="s">
        <v>240</v>
      </c>
      <c r="CN394" s="5" t="s">
        <v>263</v>
      </c>
      <c r="CO394" s="5" t="s">
        <v>240</v>
      </c>
      <c r="CP394" s="5" t="s">
        <v>240</v>
      </c>
      <c r="CQ394" s="5">
        <v>0</v>
      </c>
      <c r="CR394" s="5" t="s">
        <v>306</v>
      </c>
      <c r="CS394" s="5" t="s">
        <v>307</v>
      </c>
      <c r="CT394" s="5" t="s">
        <v>307</v>
      </c>
      <c r="CU394" s="5" t="s">
        <v>260</v>
      </c>
      <c r="CX394" s="7">
        <f>15367</f>
        <v>15367</v>
      </c>
      <c r="CY394" s="7">
        <f>0</f>
        <v>0</v>
      </c>
      <c r="DA394" s="7">
        <f>0</f>
        <v>0</v>
      </c>
      <c r="DC394" s="5" t="s">
        <v>854</v>
      </c>
      <c r="DD394" s="5" t="s">
        <v>240</v>
      </c>
      <c r="DF394" s="5" t="s">
        <v>450</v>
      </c>
      <c r="DG394" s="7">
        <f>0</f>
        <v>0</v>
      </c>
      <c r="DI394" s="5" t="s">
        <v>737</v>
      </c>
      <c r="DJ394" s="5" t="s">
        <v>240</v>
      </c>
      <c r="DK394" s="5" t="s">
        <v>240</v>
      </c>
      <c r="DL394" s="5" t="s">
        <v>240</v>
      </c>
      <c r="DP394" s="5" t="s">
        <v>240</v>
      </c>
      <c r="DQ394" s="5" t="s">
        <v>240</v>
      </c>
      <c r="DR394" s="5" t="s">
        <v>240</v>
      </c>
      <c r="DS394" s="5" t="s">
        <v>240</v>
      </c>
      <c r="DV394" s="5" t="s">
        <v>957</v>
      </c>
      <c r="DW394" s="5" t="s">
        <v>775</v>
      </c>
      <c r="HO394" s="5" t="s">
        <v>312</v>
      </c>
    </row>
    <row r="395" spans="1:223" x14ac:dyDescent="0.4">
      <c r="A395" s="5">
        <v>1130</v>
      </c>
      <c r="B395" s="5">
        <v>1</v>
      </c>
      <c r="C395" s="5">
        <v>1</v>
      </c>
      <c r="D395" s="5" t="s">
        <v>1332</v>
      </c>
      <c r="E395" s="5" t="s">
        <v>1131</v>
      </c>
      <c r="F395" s="5" t="s">
        <v>254</v>
      </c>
      <c r="G395" s="5" t="s">
        <v>240</v>
      </c>
      <c r="H395" s="6" t="s">
        <v>1378</v>
      </c>
      <c r="I395" s="5" t="s">
        <v>1331</v>
      </c>
      <c r="J395" s="8">
        <f>307</f>
        <v>307</v>
      </c>
      <c r="K395" s="5" t="s">
        <v>308</v>
      </c>
      <c r="L395" s="7">
        <f>680005</f>
        <v>680005</v>
      </c>
      <c r="M395" s="7">
        <f>680005</f>
        <v>680005</v>
      </c>
      <c r="N395" s="5" t="s">
        <v>242</v>
      </c>
      <c r="O395" s="5">
        <v>1</v>
      </c>
      <c r="P395" s="5" t="s">
        <v>294</v>
      </c>
      <c r="Q395" s="5" t="s">
        <v>613</v>
      </c>
      <c r="R395" s="5" t="s">
        <v>240</v>
      </c>
      <c r="S395" s="5" t="s">
        <v>240</v>
      </c>
      <c r="T395" s="5" t="s">
        <v>243</v>
      </c>
      <c r="U395" s="5" t="s">
        <v>724</v>
      </c>
      <c r="V395" s="5" t="s">
        <v>240</v>
      </c>
      <c r="Y395" s="5" t="s">
        <v>240</v>
      </c>
      <c r="Z395" s="6" t="s">
        <v>298</v>
      </c>
      <c r="AB395" s="6" t="s">
        <v>240</v>
      </c>
      <c r="AE395" s="6" t="s">
        <v>299</v>
      </c>
      <c r="AF395" s="5" t="s">
        <v>248</v>
      </c>
      <c r="AG395" s="5" t="s">
        <v>249</v>
      </c>
      <c r="AW395" s="5" t="s">
        <v>251</v>
      </c>
      <c r="AX395" s="5" t="s">
        <v>240</v>
      </c>
      <c r="AY395" s="5" t="s">
        <v>253</v>
      </c>
      <c r="AZ395" s="5" t="s">
        <v>240</v>
      </c>
      <c r="BA395" s="5" t="s">
        <v>255</v>
      </c>
      <c r="BB395" s="5" t="s">
        <v>240</v>
      </c>
      <c r="BD395" s="5" t="s">
        <v>240</v>
      </c>
      <c r="BF395" s="5" t="s">
        <v>301</v>
      </c>
      <c r="BG395" s="6" t="s">
        <v>299</v>
      </c>
      <c r="BH395" s="5" t="s">
        <v>302</v>
      </c>
      <c r="BI395" s="5" t="s">
        <v>303</v>
      </c>
      <c r="BJ395" s="5" t="s">
        <v>240</v>
      </c>
      <c r="BK395" s="8">
        <f>0</f>
        <v>0</v>
      </c>
      <c r="BL395" s="7">
        <f>0</f>
        <v>0</v>
      </c>
      <c r="BM395" s="5" t="s">
        <v>258</v>
      </c>
      <c r="BN395" s="5" t="s">
        <v>259</v>
      </c>
      <c r="CB395" s="5" t="s">
        <v>240</v>
      </c>
      <c r="CC395" s="5" t="s">
        <v>240</v>
      </c>
      <c r="CG395" s="5" t="s">
        <v>617</v>
      </c>
      <c r="CH395" s="5" t="s">
        <v>305</v>
      </c>
      <c r="CI395" s="5" t="s">
        <v>240</v>
      </c>
      <c r="CL395" s="6" t="s">
        <v>261</v>
      </c>
      <c r="CM395" s="5" t="s">
        <v>240</v>
      </c>
      <c r="CN395" s="5" t="s">
        <v>263</v>
      </c>
      <c r="CO395" s="5" t="s">
        <v>240</v>
      </c>
      <c r="CP395" s="5" t="s">
        <v>240</v>
      </c>
      <c r="CQ395" s="5">
        <v>0</v>
      </c>
      <c r="CR395" s="5" t="s">
        <v>306</v>
      </c>
      <c r="CS395" s="5" t="s">
        <v>307</v>
      </c>
      <c r="CT395" s="5" t="s">
        <v>307</v>
      </c>
      <c r="CU395" s="5" t="s">
        <v>260</v>
      </c>
      <c r="CX395" s="7">
        <f>8019</f>
        <v>8019</v>
      </c>
      <c r="CY395" s="7">
        <f>0</f>
        <v>0</v>
      </c>
      <c r="DA395" s="7">
        <f>0</f>
        <v>0</v>
      </c>
      <c r="DC395" s="5" t="s">
        <v>854</v>
      </c>
      <c r="DD395" s="5" t="s">
        <v>240</v>
      </c>
      <c r="DF395" s="5" t="s">
        <v>450</v>
      </c>
      <c r="DG395" s="7">
        <f>0</f>
        <v>0</v>
      </c>
      <c r="DI395" s="5" t="s">
        <v>737</v>
      </c>
      <c r="DJ395" s="5" t="s">
        <v>240</v>
      </c>
      <c r="DK395" s="5" t="s">
        <v>240</v>
      </c>
      <c r="DL395" s="5" t="s">
        <v>240</v>
      </c>
      <c r="DP395" s="5" t="s">
        <v>240</v>
      </c>
      <c r="DQ395" s="5" t="s">
        <v>240</v>
      </c>
      <c r="DR395" s="5" t="s">
        <v>240</v>
      </c>
      <c r="DS395" s="5" t="s">
        <v>240</v>
      </c>
      <c r="DV395" s="5" t="s">
        <v>957</v>
      </c>
      <c r="DW395" s="5" t="s">
        <v>772</v>
      </c>
      <c r="HO395" s="5" t="s">
        <v>312</v>
      </c>
    </row>
    <row r="396" spans="1:223" x14ac:dyDescent="0.4">
      <c r="A396" s="5">
        <v>1131</v>
      </c>
      <c r="B396" s="5">
        <v>1</v>
      </c>
      <c r="C396" s="5">
        <v>1</v>
      </c>
      <c r="D396" s="5" t="s">
        <v>1332</v>
      </c>
      <c r="E396" s="5" t="s">
        <v>1131</v>
      </c>
      <c r="F396" s="5" t="s">
        <v>254</v>
      </c>
      <c r="G396" s="5" t="s">
        <v>240</v>
      </c>
      <c r="H396" s="6" t="s">
        <v>1377</v>
      </c>
      <c r="I396" s="5" t="s">
        <v>1331</v>
      </c>
      <c r="J396" s="8">
        <f>707</f>
        <v>707</v>
      </c>
      <c r="K396" s="5" t="s">
        <v>308</v>
      </c>
      <c r="L396" s="7">
        <f>1566005</f>
        <v>1566005</v>
      </c>
      <c r="M396" s="7">
        <f>1566005</f>
        <v>1566005</v>
      </c>
      <c r="N396" s="5" t="s">
        <v>242</v>
      </c>
      <c r="O396" s="5">
        <v>1</v>
      </c>
      <c r="P396" s="5" t="s">
        <v>294</v>
      </c>
      <c r="Q396" s="5" t="s">
        <v>613</v>
      </c>
      <c r="R396" s="5" t="s">
        <v>240</v>
      </c>
      <c r="S396" s="5" t="s">
        <v>240</v>
      </c>
      <c r="T396" s="5" t="s">
        <v>243</v>
      </c>
      <c r="U396" s="5" t="s">
        <v>724</v>
      </c>
      <c r="V396" s="5" t="s">
        <v>240</v>
      </c>
      <c r="Y396" s="5" t="s">
        <v>240</v>
      </c>
      <c r="Z396" s="6" t="s">
        <v>298</v>
      </c>
      <c r="AB396" s="6" t="s">
        <v>240</v>
      </c>
      <c r="AE396" s="6" t="s">
        <v>299</v>
      </c>
      <c r="AF396" s="5" t="s">
        <v>248</v>
      </c>
      <c r="AG396" s="5" t="s">
        <v>249</v>
      </c>
      <c r="AW396" s="5" t="s">
        <v>251</v>
      </c>
      <c r="AX396" s="5" t="s">
        <v>240</v>
      </c>
      <c r="AY396" s="5" t="s">
        <v>253</v>
      </c>
      <c r="AZ396" s="5" t="s">
        <v>240</v>
      </c>
      <c r="BA396" s="5" t="s">
        <v>255</v>
      </c>
      <c r="BB396" s="5" t="s">
        <v>240</v>
      </c>
      <c r="BD396" s="5" t="s">
        <v>240</v>
      </c>
      <c r="BF396" s="5" t="s">
        <v>301</v>
      </c>
      <c r="BG396" s="6" t="s">
        <v>299</v>
      </c>
      <c r="BH396" s="5" t="s">
        <v>302</v>
      </c>
      <c r="BI396" s="5" t="s">
        <v>303</v>
      </c>
      <c r="BJ396" s="5" t="s">
        <v>240</v>
      </c>
      <c r="BK396" s="8">
        <f>0</f>
        <v>0</v>
      </c>
      <c r="BL396" s="7">
        <f>0</f>
        <v>0</v>
      </c>
      <c r="BM396" s="5" t="s">
        <v>258</v>
      </c>
      <c r="BN396" s="5" t="s">
        <v>259</v>
      </c>
      <c r="CB396" s="5" t="s">
        <v>240</v>
      </c>
      <c r="CC396" s="5" t="s">
        <v>240</v>
      </c>
      <c r="CG396" s="5" t="s">
        <v>617</v>
      </c>
      <c r="CH396" s="5" t="s">
        <v>305</v>
      </c>
      <c r="CI396" s="5" t="s">
        <v>240</v>
      </c>
      <c r="CL396" s="6" t="s">
        <v>261</v>
      </c>
      <c r="CM396" s="5" t="s">
        <v>240</v>
      </c>
      <c r="CN396" s="5" t="s">
        <v>263</v>
      </c>
      <c r="CO396" s="5" t="s">
        <v>240</v>
      </c>
      <c r="CP396" s="5" t="s">
        <v>240</v>
      </c>
      <c r="CQ396" s="5">
        <v>0</v>
      </c>
      <c r="CR396" s="5" t="s">
        <v>306</v>
      </c>
      <c r="CS396" s="5" t="s">
        <v>307</v>
      </c>
      <c r="CT396" s="5" t="s">
        <v>307</v>
      </c>
      <c r="CU396" s="5" t="s">
        <v>260</v>
      </c>
      <c r="CX396" s="7">
        <f>72325</f>
        <v>72325</v>
      </c>
      <c r="CY396" s="7">
        <f>0</f>
        <v>0</v>
      </c>
      <c r="DA396" s="7">
        <f>0</f>
        <v>0</v>
      </c>
      <c r="DC396" s="5" t="s">
        <v>854</v>
      </c>
      <c r="DD396" s="5" t="s">
        <v>240</v>
      </c>
      <c r="DF396" s="5" t="s">
        <v>450</v>
      </c>
      <c r="DG396" s="7">
        <f>0</f>
        <v>0</v>
      </c>
      <c r="DI396" s="5" t="s">
        <v>737</v>
      </c>
      <c r="DJ396" s="5" t="s">
        <v>240</v>
      </c>
      <c r="DK396" s="5" t="s">
        <v>240</v>
      </c>
      <c r="DL396" s="5" t="s">
        <v>240</v>
      </c>
      <c r="DP396" s="5" t="s">
        <v>240</v>
      </c>
      <c r="DQ396" s="5" t="s">
        <v>240</v>
      </c>
      <c r="DR396" s="5" t="s">
        <v>240</v>
      </c>
      <c r="DS396" s="5" t="s">
        <v>240</v>
      </c>
      <c r="DV396" s="5" t="s">
        <v>957</v>
      </c>
      <c r="DW396" s="5" t="s">
        <v>769</v>
      </c>
      <c r="HO396" s="5" t="s">
        <v>312</v>
      </c>
    </row>
    <row r="397" spans="1:223" x14ac:dyDescent="0.4">
      <c r="A397" s="5">
        <v>1132</v>
      </c>
      <c r="B397" s="5">
        <v>1</v>
      </c>
      <c r="C397" s="5">
        <v>1</v>
      </c>
      <c r="D397" s="5" t="s">
        <v>1332</v>
      </c>
      <c r="E397" s="5" t="s">
        <v>1131</v>
      </c>
      <c r="F397" s="5" t="s">
        <v>254</v>
      </c>
      <c r="G397" s="5" t="s">
        <v>240</v>
      </c>
      <c r="H397" s="6" t="s">
        <v>1376</v>
      </c>
      <c r="I397" s="5" t="s">
        <v>1331</v>
      </c>
      <c r="J397" s="8">
        <f>201</f>
        <v>201</v>
      </c>
      <c r="K397" s="5" t="s">
        <v>308</v>
      </c>
      <c r="L397" s="7">
        <f>445215</f>
        <v>445215</v>
      </c>
      <c r="M397" s="7">
        <f>445215</f>
        <v>445215</v>
      </c>
      <c r="N397" s="5" t="s">
        <v>242</v>
      </c>
      <c r="O397" s="5">
        <v>1</v>
      </c>
      <c r="P397" s="5" t="s">
        <v>294</v>
      </c>
      <c r="Q397" s="5" t="s">
        <v>613</v>
      </c>
      <c r="R397" s="5" t="s">
        <v>240</v>
      </c>
      <c r="S397" s="5" t="s">
        <v>240</v>
      </c>
      <c r="T397" s="5" t="s">
        <v>243</v>
      </c>
      <c r="U397" s="5" t="s">
        <v>724</v>
      </c>
      <c r="V397" s="5" t="s">
        <v>240</v>
      </c>
      <c r="Y397" s="5" t="s">
        <v>240</v>
      </c>
      <c r="Z397" s="6" t="s">
        <v>298</v>
      </c>
      <c r="AB397" s="6" t="s">
        <v>240</v>
      </c>
      <c r="AE397" s="6" t="s">
        <v>299</v>
      </c>
      <c r="AF397" s="5" t="s">
        <v>248</v>
      </c>
      <c r="AG397" s="5" t="s">
        <v>249</v>
      </c>
      <c r="AW397" s="5" t="s">
        <v>251</v>
      </c>
      <c r="AX397" s="5" t="s">
        <v>240</v>
      </c>
      <c r="AY397" s="5" t="s">
        <v>253</v>
      </c>
      <c r="AZ397" s="5" t="s">
        <v>240</v>
      </c>
      <c r="BA397" s="5" t="s">
        <v>255</v>
      </c>
      <c r="BB397" s="5" t="s">
        <v>240</v>
      </c>
      <c r="BD397" s="5" t="s">
        <v>240</v>
      </c>
      <c r="BF397" s="5" t="s">
        <v>301</v>
      </c>
      <c r="BG397" s="6" t="s">
        <v>299</v>
      </c>
      <c r="BH397" s="5" t="s">
        <v>302</v>
      </c>
      <c r="BI397" s="5" t="s">
        <v>303</v>
      </c>
      <c r="BJ397" s="5" t="s">
        <v>240</v>
      </c>
      <c r="BK397" s="8">
        <f>0</f>
        <v>0</v>
      </c>
      <c r="BL397" s="7">
        <f>0</f>
        <v>0</v>
      </c>
      <c r="BM397" s="5" t="s">
        <v>258</v>
      </c>
      <c r="BN397" s="5" t="s">
        <v>259</v>
      </c>
      <c r="CB397" s="5" t="s">
        <v>240</v>
      </c>
      <c r="CC397" s="5" t="s">
        <v>240</v>
      </c>
      <c r="CG397" s="5" t="s">
        <v>617</v>
      </c>
      <c r="CH397" s="5" t="s">
        <v>305</v>
      </c>
      <c r="CI397" s="5" t="s">
        <v>240</v>
      </c>
      <c r="CL397" s="6" t="s">
        <v>261</v>
      </c>
      <c r="CM397" s="5" t="s">
        <v>240</v>
      </c>
      <c r="CN397" s="5" t="s">
        <v>263</v>
      </c>
      <c r="CO397" s="5" t="s">
        <v>240</v>
      </c>
      <c r="CP397" s="5" t="s">
        <v>240</v>
      </c>
      <c r="CQ397" s="5">
        <v>0</v>
      </c>
      <c r="CR397" s="5" t="s">
        <v>306</v>
      </c>
      <c r="CS397" s="5" t="s">
        <v>307</v>
      </c>
      <c r="CT397" s="5" t="s">
        <v>307</v>
      </c>
      <c r="CU397" s="5" t="s">
        <v>260</v>
      </c>
      <c r="CX397" s="7">
        <f>3993</f>
        <v>3993</v>
      </c>
      <c r="CY397" s="7">
        <f>0</f>
        <v>0</v>
      </c>
      <c r="DA397" s="7">
        <f>0</f>
        <v>0</v>
      </c>
      <c r="DC397" s="5" t="s">
        <v>854</v>
      </c>
      <c r="DD397" s="5" t="s">
        <v>240</v>
      </c>
      <c r="DF397" s="5" t="s">
        <v>450</v>
      </c>
      <c r="DG397" s="7">
        <f>0</f>
        <v>0</v>
      </c>
      <c r="DI397" s="5" t="s">
        <v>737</v>
      </c>
      <c r="DJ397" s="5" t="s">
        <v>240</v>
      </c>
      <c r="DK397" s="5" t="s">
        <v>240</v>
      </c>
      <c r="DL397" s="5" t="s">
        <v>240</v>
      </c>
      <c r="DP397" s="5" t="s">
        <v>240</v>
      </c>
      <c r="DQ397" s="5" t="s">
        <v>240</v>
      </c>
      <c r="DR397" s="5" t="s">
        <v>240</v>
      </c>
      <c r="DS397" s="5" t="s">
        <v>240</v>
      </c>
      <c r="DV397" s="5" t="s">
        <v>957</v>
      </c>
      <c r="DW397" s="5" t="s">
        <v>765</v>
      </c>
      <c r="HO397" s="5" t="s">
        <v>312</v>
      </c>
    </row>
    <row r="398" spans="1:223" x14ac:dyDescent="0.4">
      <c r="A398" s="5">
        <v>1133</v>
      </c>
      <c r="B398" s="5">
        <v>1</v>
      </c>
      <c r="C398" s="5">
        <v>1</v>
      </c>
      <c r="D398" s="5" t="s">
        <v>1332</v>
      </c>
      <c r="E398" s="5" t="s">
        <v>1131</v>
      </c>
      <c r="F398" s="5" t="s">
        <v>254</v>
      </c>
      <c r="G398" s="5" t="s">
        <v>240</v>
      </c>
      <c r="H398" s="6" t="s">
        <v>1375</v>
      </c>
      <c r="I398" s="5" t="s">
        <v>1331</v>
      </c>
      <c r="J398" s="8">
        <f>499</f>
        <v>499</v>
      </c>
      <c r="K398" s="5" t="s">
        <v>308</v>
      </c>
      <c r="L398" s="7">
        <f>1105285</f>
        <v>1105285</v>
      </c>
      <c r="M398" s="7">
        <f>1105285</f>
        <v>1105285</v>
      </c>
      <c r="N398" s="5" t="s">
        <v>242</v>
      </c>
      <c r="O398" s="5">
        <v>1</v>
      </c>
      <c r="P398" s="5" t="s">
        <v>294</v>
      </c>
      <c r="Q398" s="5" t="s">
        <v>613</v>
      </c>
      <c r="R398" s="5" t="s">
        <v>240</v>
      </c>
      <c r="S398" s="5" t="s">
        <v>240</v>
      </c>
      <c r="T398" s="5" t="s">
        <v>243</v>
      </c>
      <c r="U398" s="5" t="s">
        <v>724</v>
      </c>
      <c r="V398" s="5" t="s">
        <v>240</v>
      </c>
      <c r="Y398" s="5" t="s">
        <v>240</v>
      </c>
      <c r="Z398" s="6" t="s">
        <v>298</v>
      </c>
      <c r="AB398" s="6" t="s">
        <v>240</v>
      </c>
      <c r="AE398" s="6" t="s">
        <v>299</v>
      </c>
      <c r="AF398" s="5" t="s">
        <v>248</v>
      </c>
      <c r="AG398" s="5" t="s">
        <v>249</v>
      </c>
      <c r="AW398" s="5" t="s">
        <v>251</v>
      </c>
      <c r="AX398" s="5" t="s">
        <v>240</v>
      </c>
      <c r="AY398" s="5" t="s">
        <v>253</v>
      </c>
      <c r="AZ398" s="5" t="s">
        <v>240</v>
      </c>
      <c r="BA398" s="5" t="s">
        <v>255</v>
      </c>
      <c r="BB398" s="5" t="s">
        <v>240</v>
      </c>
      <c r="BD398" s="5" t="s">
        <v>240</v>
      </c>
      <c r="BF398" s="5" t="s">
        <v>301</v>
      </c>
      <c r="BG398" s="6" t="s">
        <v>299</v>
      </c>
      <c r="BH398" s="5" t="s">
        <v>302</v>
      </c>
      <c r="BI398" s="5" t="s">
        <v>303</v>
      </c>
      <c r="BJ398" s="5" t="s">
        <v>240</v>
      </c>
      <c r="BK398" s="8">
        <f>0</f>
        <v>0</v>
      </c>
      <c r="BL398" s="7">
        <f>0</f>
        <v>0</v>
      </c>
      <c r="BM398" s="5" t="s">
        <v>258</v>
      </c>
      <c r="BN398" s="5" t="s">
        <v>259</v>
      </c>
      <c r="CB398" s="5" t="s">
        <v>240</v>
      </c>
      <c r="CC398" s="5" t="s">
        <v>240</v>
      </c>
      <c r="CG398" s="5" t="s">
        <v>617</v>
      </c>
      <c r="CH398" s="5" t="s">
        <v>305</v>
      </c>
      <c r="CI398" s="5" t="s">
        <v>240</v>
      </c>
      <c r="CL398" s="6" t="s">
        <v>261</v>
      </c>
      <c r="CM398" s="5" t="s">
        <v>240</v>
      </c>
      <c r="CN398" s="5" t="s">
        <v>263</v>
      </c>
      <c r="CO398" s="5" t="s">
        <v>240</v>
      </c>
      <c r="CP398" s="5" t="s">
        <v>240</v>
      </c>
      <c r="CQ398" s="5">
        <v>0</v>
      </c>
      <c r="CR398" s="5" t="s">
        <v>306</v>
      </c>
      <c r="CS398" s="5" t="s">
        <v>307</v>
      </c>
      <c r="CT398" s="5" t="s">
        <v>307</v>
      </c>
      <c r="CU398" s="5" t="s">
        <v>260</v>
      </c>
      <c r="CX398" s="7">
        <f>7293</f>
        <v>7293</v>
      </c>
      <c r="CY398" s="7">
        <f>0</f>
        <v>0</v>
      </c>
      <c r="DA398" s="7">
        <f>0</f>
        <v>0</v>
      </c>
      <c r="DC398" s="5" t="s">
        <v>854</v>
      </c>
      <c r="DD398" s="5" t="s">
        <v>240</v>
      </c>
      <c r="DF398" s="5" t="s">
        <v>450</v>
      </c>
      <c r="DG398" s="7">
        <f>0</f>
        <v>0</v>
      </c>
      <c r="DI398" s="5" t="s">
        <v>737</v>
      </c>
      <c r="DJ398" s="5" t="s">
        <v>240</v>
      </c>
      <c r="DK398" s="5" t="s">
        <v>240</v>
      </c>
      <c r="DL398" s="5" t="s">
        <v>240</v>
      </c>
      <c r="DP398" s="5" t="s">
        <v>240</v>
      </c>
      <c r="DQ398" s="5" t="s">
        <v>240</v>
      </c>
      <c r="DR398" s="5" t="s">
        <v>240</v>
      </c>
      <c r="DS398" s="5" t="s">
        <v>240</v>
      </c>
      <c r="DV398" s="5" t="s">
        <v>957</v>
      </c>
      <c r="DW398" s="5" t="s">
        <v>763</v>
      </c>
      <c r="HO398" s="5" t="s">
        <v>312</v>
      </c>
    </row>
    <row r="399" spans="1:223" x14ac:dyDescent="0.4">
      <c r="A399" s="5">
        <v>1134</v>
      </c>
      <c r="B399" s="5">
        <v>1</v>
      </c>
      <c r="C399" s="5">
        <v>1</v>
      </c>
      <c r="D399" s="5" t="s">
        <v>1332</v>
      </c>
      <c r="E399" s="5" t="s">
        <v>1131</v>
      </c>
      <c r="F399" s="5" t="s">
        <v>254</v>
      </c>
      <c r="G399" s="5" t="s">
        <v>240</v>
      </c>
      <c r="H399" s="6" t="s">
        <v>1374</v>
      </c>
      <c r="I399" s="5" t="s">
        <v>1331</v>
      </c>
      <c r="J399" s="8">
        <f>310</f>
        <v>310</v>
      </c>
      <c r="K399" s="5" t="s">
        <v>308</v>
      </c>
      <c r="L399" s="7">
        <f>686650</f>
        <v>686650</v>
      </c>
      <c r="M399" s="7">
        <f>686650</f>
        <v>686650</v>
      </c>
      <c r="N399" s="5" t="s">
        <v>242</v>
      </c>
      <c r="O399" s="5">
        <v>1</v>
      </c>
      <c r="P399" s="5" t="s">
        <v>294</v>
      </c>
      <c r="Q399" s="5" t="s">
        <v>613</v>
      </c>
      <c r="R399" s="5" t="s">
        <v>240</v>
      </c>
      <c r="S399" s="5" t="s">
        <v>240</v>
      </c>
      <c r="T399" s="5" t="s">
        <v>243</v>
      </c>
      <c r="U399" s="5" t="s">
        <v>724</v>
      </c>
      <c r="V399" s="5" t="s">
        <v>240</v>
      </c>
      <c r="Y399" s="5" t="s">
        <v>240</v>
      </c>
      <c r="Z399" s="6" t="s">
        <v>298</v>
      </c>
      <c r="AB399" s="6" t="s">
        <v>240</v>
      </c>
      <c r="AE399" s="6" t="s">
        <v>299</v>
      </c>
      <c r="AF399" s="5" t="s">
        <v>248</v>
      </c>
      <c r="AG399" s="5" t="s">
        <v>249</v>
      </c>
      <c r="AW399" s="5" t="s">
        <v>251</v>
      </c>
      <c r="AX399" s="5" t="s">
        <v>240</v>
      </c>
      <c r="AY399" s="5" t="s">
        <v>253</v>
      </c>
      <c r="AZ399" s="5" t="s">
        <v>240</v>
      </c>
      <c r="BA399" s="5" t="s">
        <v>255</v>
      </c>
      <c r="BB399" s="5" t="s">
        <v>240</v>
      </c>
      <c r="BD399" s="5" t="s">
        <v>240</v>
      </c>
      <c r="BF399" s="5" t="s">
        <v>301</v>
      </c>
      <c r="BG399" s="6" t="s">
        <v>299</v>
      </c>
      <c r="BH399" s="5" t="s">
        <v>302</v>
      </c>
      <c r="BI399" s="5" t="s">
        <v>303</v>
      </c>
      <c r="BJ399" s="5" t="s">
        <v>240</v>
      </c>
      <c r="BK399" s="8">
        <f>0</f>
        <v>0</v>
      </c>
      <c r="BL399" s="7">
        <f>0</f>
        <v>0</v>
      </c>
      <c r="BM399" s="5" t="s">
        <v>258</v>
      </c>
      <c r="BN399" s="5" t="s">
        <v>259</v>
      </c>
      <c r="CB399" s="5" t="s">
        <v>240</v>
      </c>
      <c r="CC399" s="5" t="s">
        <v>240</v>
      </c>
      <c r="CG399" s="5" t="s">
        <v>617</v>
      </c>
      <c r="CH399" s="5" t="s">
        <v>305</v>
      </c>
      <c r="CI399" s="5" t="s">
        <v>240</v>
      </c>
      <c r="CL399" s="6" t="s">
        <v>261</v>
      </c>
      <c r="CM399" s="5" t="s">
        <v>240</v>
      </c>
      <c r="CN399" s="5" t="s">
        <v>263</v>
      </c>
      <c r="CO399" s="5" t="s">
        <v>240</v>
      </c>
      <c r="CP399" s="5" t="s">
        <v>240</v>
      </c>
      <c r="CQ399" s="5">
        <v>0</v>
      </c>
      <c r="CR399" s="5" t="s">
        <v>306</v>
      </c>
      <c r="CS399" s="5" t="s">
        <v>307</v>
      </c>
      <c r="CT399" s="5" t="s">
        <v>307</v>
      </c>
      <c r="CU399" s="5" t="s">
        <v>260</v>
      </c>
      <c r="CX399" s="7">
        <f>23617</f>
        <v>23617</v>
      </c>
      <c r="CY399" s="7">
        <f>0</f>
        <v>0</v>
      </c>
      <c r="DA399" s="7">
        <f>0</f>
        <v>0</v>
      </c>
      <c r="DC399" s="5" t="s">
        <v>854</v>
      </c>
      <c r="DD399" s="5" t="s">
        <v>240</v>
      </c>
      <c r="DF399" s="5" t="s">
        <v>450</v>
      </c>
      <c r="DG399" s="7">
        <f>0</f>
        <v>0</v>
      </c>
      <c r="DI399" s="5" t="s">
        <v>737</v>
      </c>
      <c r="DJ399" s="5" t="s">
        <v>240</v>
      </c>
      <c r="DK399" s="5" t="s">
        <v>240</v>
      </c>
      <c r="DL399" s="5" t="s">
        <v>240</v>
      </c>
      <c r="DP399" s="5" t="s">
        <v>240</v>
      </c>
      <c r="DQ399" s="5" t="s">
        <v>240</v>
      </c>
      <c r="DR399" s="5" t="s">
        <v>240</v>
      </c>
      <c r="DS399" s="5" t="s">
        <v>240</v>
      </c>
      <c r="DV399" s="5" t="s">
        <v>957</v>
      </c>
      <c r="DW399" s="5" t="s">
        <v>760</v>
      </c>
      <c r="HO399" s="5" t="s">
        <v>312</v>
      </c>
    </row>
    <row r="400" spans="1:223" x14ac:dyDescent="0.4">
      <c r="A400" s="5">
        <v>1135</v>
      </c>
      <c r="B400" s="5">
        <v>1</v>
      </c>
      <c r="C400" s="5">
        <v>1</v>
      </c>
      <c r="D400" s="5" t="s">
        <v>1332</v>
      </c>
      <c r="E400" s="5" t="s">
        <v>1131</v>
      </c>
      <c r="F400" s="5" t="s">
        <v>254</v>
      </c>
      <c r="G400" s="5" t="s">
        <v>240</v>
      </c>
      <c r="H400" s="6" t="s">
        <v>1373</v>
      </c>
      <c r="I400" s="5" t="s">
        <v>1331</v>
      </c>
      <c r="J400" s="8">
        <f>70</f>
        <v>70</v>
      </c>
      <c r="K400" s="5" t="s">
        <v>308</v>
      </c>
      <c r="L400" s="7">
        <f>155050</f>
        <v>155050</v>
      </c>
      <c r="M400" s="7">
        <f>155050</f>
        <v>155050</v>
      </c>
      <c r="N400" s="5" t="s">
        <v>242</v>
      </c>
      <c r="O400" s="5">
        <v>1</v>
      </c>
      <c r="P400" s="5" t="s">
        <v>294</v>
      </c>
      <c r="Q400" s="5" t="s">
        <v>613</v>
      </c>
      <c r="R400" s="5" t="s">
        <v>240</v>
      </c>
      <c r="S400" s="5" t="s">
        <v>240</v>
      </c>
      <c r="T400" s="5" t="s">
        <v>243</v>
      </c>
      <c r="U400" s="5" t="s">
        <v>724</v>
      </c>
      <c r="V400" s="5" t="s">
        <v>240</v>
      </c>
      <c r="Y400" s="5" t="s">
        <v>240</v>
      </c>
      <c r="Z400" s="6" t="s">
        <v>298</v>
      </c>
      <c r="AB400" s="6" t="s">
        <v>240</v>
      </c>
      <c r="AE400" s="6" t="s">
        <v>299</v>
      </c>
      <c r="AF400" s="5" t="s">
        <v>248</v>
      </c>
      <c r="AG400" s="5" t="s">
        <v>249</v>
      </c>
      <c r="AW400" s="5" t="s">
        <v>251</v>
      </c>
      <c r="AX400" s="5" t="s">
        <v>240</v>
      </c>
      <c r="AY400" s="5" t="s">
        <v>253</v>
      </c>
      <c r="AZ400" s="5" t="s">
        <v>240</v>
      </c>
      <c r="BA400" s="5" t="s">
        <v>255</v>
      </c>
      <c r="BB400" s="5" t="s">
        <v>240</v>
      </c>
      <c r="BD400" s="5" t="s">
        <v>240</v>
      </c>
      <c r="BF400" s="5" t="s">
        <v>301</v>
      </c>
      <c r="BG400" s="6" t="s">
        <v>299</v>
      </c>
      <c r="BH400" s="5" t="s">
        <v>302</v>
      </c>
      <c r="BI400" s="5" t="s">
        <v>303</v>
      </c>
      <c r="BJ400" s="5" t="s">
        <v>240</v>
      </c>
      <c r="BK400" s="8">
        <f>0</f>
        <v>0</v>
      </c>
      <c r="BL400" s="7">
        <f>0</f>
        <v>0</v>
      </c>
      <c r="BM400" s="5" t="s">
        <v>258</v>
      </c>
      <c r="BN400" s="5" t="s">
        <v>259</v>
      </c>
      <c r="CB400" s="5" t="s">
        <v>240</v>
      </c>
      <c r="CC400" s="5" t="s">
        <v>240</v>
      </c>
      <c r="CG400" s="5" t="s">
        <v>617</v>
      </c>
      <c r="CH400" s="5" t="s">
        <v>305</v>
      </c>
      <c r="CI400" s="5" t="s">
        <v>240</v>
      </c>
      <c r="CL400" s="6" t="s">
        <v>261</v>
      </c>
      <c r="CM400" s="5" t="s">
        <v>240</v>
      </c>
      <c r="CN400" s="5" t="s">
        <v>263</v>
      </c>
      <c r="CO400" s="5" t="s">
        <v>240</v>
      </c>
      <c r="CP400" s="5" t="s">
        <v>240</v>
      </c>
      <c r="CQ400" s="5">
        <v>0</v>
      </c>
      <c r="CR400" s="5" t="s">
        <v>306</v>
      </c>
      <c r="CS400" s="5" t="s">
        <v>307</v>
      </c>
      <c r="CT400" s="5" t="s">
        <v>307</v>
      </c>
      <c r="CU400" s="5" t="s">
        <v>260</v>
      </c>
      <c r="CX400" s="7">
        <f>9020</f>
        <v>9020</v>
      </c>
      <c r="CY400" s="7">
        <f>0</f>
        <v>0</v>
      </c>
      <c r="DA400" s="7">
        <f>0</f>
        <v>0</v>
      </c>
      <c r="DC400" s="5" t="s">
        <v>854</v>
      </c>
      <c r="DD400" s="5" t="s">
        <v>240</v>
      </c>
      <c r="DF400" s="5" t="s">
        <v>450</v>
      </c>
      <c r="DG400" s="7">
        <f>0</f>
        <v>0</v>
      </c>
      <c r="DI400" s="5" t="s">
        <v>737</v>
      </c>
      <c r="DJ400" s="5" t="s">
        <v>240</v>
      </c>
      <c r="DK400" s="5" t="s">
        <v>240</v>
      </c>
      <c r="DL400" s="5" t="s">
        <v>240</v>
      </c>
      <c r="DP400" s="5" t="s">
        <v>240</v>
      </c>
      <c r="DQ400" s="5" t="s">
        <v>240</v>
      </c>
      <c r="DR400" s="5" t="s">
        <v>240</v>
      </c>
      <c r="DS400" s="5" t="s">
        <v>240</v>
      </c>
      <c r="DV400" s="5" t="s">
        <v>957</v>
      </c>
      <c r="DW400" s="5" t="s">
        <v>758</v>
      </c>
      <c r="HO400" s="5" t="s">
        <v>312</v>
      </c>
    </row>
    <row r="401" spans="1:223" x14ac:dyDescent="0.4">
      <c r="A401" s="5">
        <v>1136</v>
      </c>
      <c r="B401" s="5">
        <v>1</v>
      </c>
      <c r="C401" s="5">
        <v>1</v>
      </c>
      <c r="D401" s="5" t="s">
        <v>1332</v>
      </c>
      <c r="E401" s="5" t="s">
        <v>1131</v>
      </c>
      <c r="F401" s="5" t="s">
        <v>254</v>
      </c>
      <c r="G401" s="5" t="s">
        <v>240</v>
      </c>
      <c r="H401" s="6" t="s">
        <v>1372</v>
      </c>
      <c r="I401" s="5" t="s">
        <v>1331</v>
      </c>
      <c r="J401" s="8">
        <f>89</f>
        <v>89</v>
      </c>
      <c r="K401" s="5" t="s">
        <v>308</v>
      </c>
      <c r="L401" s="7">
        <f>197135</f>
        <v>197135</v>
      </c>
      <c r="M401" s="7">
        <f>197135</f>
        <v>197135</v>
      </c>
      <c r="N401" s="5" t="s">
        <v>242</v>
      </c>
      <c r="O401" s="5">
        <v>1</v>
      </c>
      <c r="P401" s="5" t="s">
        <v>294</v>
      </c>
      <c r="Q401" s="5" t="s">
        <v>613</v>
      </c>
      <c r="R401" s="5" t="s">
        <v>240</v>
      </c>
      <c r="S401" s="5" t="s">
        <v>240</v>
      </c>
      <c r="T401" s="5" t="s">
        <v>243</v>
      </c>
      <c r="U401" s="5" t="s">
        <v>724</v>
      </c>
      <c r="V401" s="5" t="s">
        <v>240</v>
      </c>
      <c r="Y401" s="5" t="s">
        <v>240</v>
      </c>
      <c r="Z401" s="6" t="s">
        <v>298</v>
      </c>
      <c r="AB401" s="6" t="s">
        <v>240</v>
      </c>
      <c r="AE401" s="6" t="s">
        <v>299</v>
      </c>
      <c r="AF401" s="5" t="s">
        <v>248</v>
      </c>
      <c r="AG401" s="5" t="s">
        <v>249</v>
      </c>
      <c r="AW401" s="5" t="s">
        <v>251</v>
      </c>
      <c r="AX401" s="5" t="s">
        <v>240</v>
      </c>
      <c r="AY401" s="5" t="s">
        <v>253</v>
      </c>
      <c r="AZ401" s="5" t="s">
        <v>240</v>
      </c>
      <c r="BA401" s="5" t="s">
        <v>255</v>
      </c>
      <c r="BB401" s="5" t="s">
        <v>240</v>
      </c>
      <c r="BD401" s="5" t="s">
        <v>240</v>
      </c>
      <c r="BF401" s="5" t="s">
        <v>301</v>
      </c>
      <c r="BG401" s="6" t="s">
        <v>299</v>
      </c>
      <c r="BH401" s="5" t="s">
        <v>302</v>
      </c>
      <c r="BI401" s="5" t="s">
        <v>303</v>
      </c>
      <c r="BJ401" s="5" t="s">
        <v>240</v>
      </c>
      <c r="BK401" s="8">
        <f>0</f>
        <v>0</v>
      </c>
      <c r="BL401" s="7">
        <f>0</f>
        <v>0</v>
      </c>
      <c r="BM401" s="5" t="s">
        <v>258</v>
      </c>
      <c r="BN401" s="5" t="s">
        <v>259</v>
      </c>
      <c r="CB401" s="5" t="s">
        <v>240</v>
      </c>
      <c r="CC401" s="5" t="s">
        <v>240</v>
      </c>
      <c r="CG401" s="5" t="s">
        <v>617</v>
      </c>
      <c r="CH401" s="5" t="s">
        <v>305</v>
      </c>
      <c r="CI401" s="5" t="s">
        <v>240</v>
      </c>
      <c r="CL401" s="6" t="s">
        <v>261</v>
      </c>
      <c r="CM401" s="5" t="s">
        <v>240</v>
      </c>
      <c r="CN401" s="5" t="s">
        <v>263</v>
      </c>
      <c r="CO401" s="5" t="s">
        <v>240</v>
      </c>
      <c r="CP401" s="5" t="s">
        <v>240</v>
      </c>
      <c r="CQ401" s="5">
        <v>0</v>
      </c>
      <c r="CR401" s="5" t="s">
        <v>306</v>
      </c>
      <c r="CS401" s="5" t="s">
        <v>307</v>
      </c>
      <c r="CT401" s="5" t="s">
        <v>307</v>
      </c>
      <c r="CU401" s="5" t="s">
        <v>260</v>
      </c>
      <c r="CX401" s="7">
        <f>9493</f>
        <v>9493</v>
      </c>
      <c r="CY401" s="7">
        <f>0</f>
        <v>0</v>
      </c>
      <c r="DA401" s="7">
        <f>0</f>
        <v>0</v>
      </c>
      <c r="DC401" s="5" t="s">
        <v>854</v>
      </c>
      <c r="DD401" s="5" t="s">
        <v>240</v>
      </c>
      <c r="DF401" s="5" t="s">
        <v>450</v>
      </c>
      <c r="DG401" s="7">
        <f>0</f>
        <v>0</v>
      </c>
      <c r="DI401" s="5" t="s">
        <v>737</v>
      </c>
      <c r="DJ401" s="5" t="s">
        <v>240</v>
      </c>
      <c r="DK401" s="5" t="s">
        <v>240</v>
      </c>
      <c r="DL401" s="5" t="s">
        <v>240</v>
      </c>
      <c r="DP401" s="5" t="s">
        <v>240</v>
      </c>
      <c r="DQ401" s="5" t="s">
        <v>240</v>
      </c>
      <c r="DR401" s="5" t="s">
        <v>240</v>
      </c>
      <c r="DS401" s="5" t="s">
        <v>240</v>
      </c>
      <c r="DV401" s="5" t="s">
        <v>957</v>
      </c>
      <c r="DW401" s="5" t="s">
        <v>756</v>
      </c>
      <c r="HO401" s="5" t="s">
        <v>312</v>
      </c>
    </row>
    <row r="402" spans="1:223" x14ac:dyDescent="0.4">
      <c r="A402" s="5">
        <v>1137</v>
      </c>
      <c r="B402" s="5">
        <v>1</v>
      </c>
      <c r="C402" s="5">
        <v>1</v>
      </c>
      <c r="D402" s="5" t="s">
        <v>1332</v>
      </c>
      <c r="E402" s="5" t="s">
        <v>1131</v>
      </c>
      <c r="F402" s="5" t="s">
        <v>254</v>
      </c>
      <c r="G402" s="5" t="s">
        <v>240</v>
      </c>
      <c r="H402" s="6" t="s">
        <v>1371</v>
      </c>
      <c r="I402" s="5" t="s">
        <v>1331</v>
      </c>
      <c r="J402" s="8">
        <f>91</f>
        <v>91</v>
      </c>
      <c r="K402" s="5" t="s">
        <v>308</v>
      </c>
      <c r="L402" s="7">
        <f>201565</f>
        <v>201565</v>
      </c>
      <c r="M402" s="7">
        <f>201565</f>
        <v>201565</v>
      </c>
      <c r="N402" s="5" t="s">
        <v>242</v>
      </c>
      <c r="O402" s="5">
        <v>1</v>
      </c>
      <c r="P402" s="5" t="s">
        <v>294</v>
      </c>
      <c r="Q402" s="5" t="s">
        <v>613</v>
      </c>
      <c r="R402" s="5" t="s">
        <v>240</v>
      </c>
      <c r="S402" s="5" t="s">
        <v>240</v>
      </c>
      <c r="T402" s="5" t="s">
        <v>243</v>
      </c>
      <c r="U402" s="5" t="s">
        <v>724</v>
      </c>
      <c r="V402" s="5" t="s">
        <v>240</v>
      </c>
      <c r="Y402" s="5" t="s">
        <v>240</v>
      </c>
      <c r="Z402" s="6" t="s">
        <v>298</v>
      </c>
      <c r="AB402" s="6" t="s">
        <v>240</v>
      </c>
      <c r="AE402" s="6" t="s">
        <v>299</v>
      </c>
      <c r="AF402" s="5" t="s">
        <v>248</v>
      </c>
      <c r="AG402" s="5" t="s">
        <v>249</v>
      </c>
      <c r="AW402" s="5" t="s">
        <v>251</v>
      </c>
      <c r="AX402" s="5" t="s">
        <v>240</v>
      </c>
      <c r="AY402" s="5" t="s">
        <v>253</v>
      </c>
      <c r="AZ402" s="5" t="s">
        <v>240</v>
      </c>
      <c r="BA402" s="5" t="s">
        <v>255</v>
      </c>
      <c r="BB402" s="5" t="s">
        <v>240</v>
      </c>
      <c r="BD402" s="5" t="s">
        <v>240</v>
      </c>
      <c r="BF402" s="5" t="s">
        <v>301</v>
      </c>
      <c r="BG402" s="6" t="s">
        <v>299</v>
      </c>
      <c r="BH402" s="5" t="s">
        <v>302</v>
      </c>
      <c r="BI402" s="5" t="s">
        <v>303</v>
      </c>
      <c r="BJ402" s="5" t="s">
        <v>240</v>
      </c>
      <c r="BK402" s="8">
        <f>0</f>
        <v>0</v>
      </c>
      <c r="BL402" s="7">
        <f>0</f>
        <v>0</v>
      </c>
      <c r="BM402" s="5" t="s">
        <v>258</v>
      </c>
      <c r="BN402" s="5" t="s">
        <v>259</v>
      </c>
      <c r="CB402" s="5" t="s">
        <v>240</v>
      </c>
      <c r="CC402" s="5" t="s">
        <v>240</v>
      </c>
      <c r="CG402" s="5" t="s">
        <v>617</v>
      </c>
      <c r="CH402" s="5" t="s">
        <v>305</v>
      </c>
      <c r="CI402" s="5" t="s">
        <v>240</v>
      </c>
      <c r="CL402" s="6" t="s">
        <v>261</v>
      </c>
      <c r="CM402" s="5" t="s">
        <v>240</v>
      </c>
      <c r="CN402" s="5" t="s">
        <v>263</v>
      </c>
      <c r="CO402" s="5" t="s">
        <v>240</v>
      </c>
      <c r="CP402" s="5" t="s">
        <v>240</v>
      </c>
      <c r="CQ402" s="5">
        <v>0</v>
      </c>
      <c r="CR402" s="5" t="s">
        <v>306</v>
      </c>
      <c r="CS402" s="5" t="s">
        <v>307</v>
      </c>
      <c r="CT402" s="5" t="s">
        <v>307</v>
      </c>
      <c r="CU402" s="5" t="s">
        <v>260</v>
      </c>
      <c r="CX402" s="7">
        <f>8162</f>
        <v>8162</v>
      </c>
      <c r="CY402" s="7">
        <f>0</f>
        <v>0</v>
      </c>
      <c r="DA402" s="7">
        <f>0</f>
        <v>0</v>
      </c>
      <c r="DC402" s="5" t="s">
        <v>854</v>
      </c>
      <c r="DD402" s="5" t="s">
        <v>240</v>
      </c>
      <c r="DF402" s="5" t="s">
        <v>450</v>
      </c>
      <c r="DG402" s="7">
        <f>0</f>
        <v>0</v>
      </c>
      <c r="DI402" s="5" t="s">
        <v>737</v>
      </c>
      <c r="DJ402" s="5" t="s">
        <v>240</v>
      </c>
      <c r="DK402" s="5" t="s">
        <v>240</v>
      </c>
      <c r="DL402" s="5" t="s">
        <v>240</v>
      </c>
      <c r="DP402" s="5" t="s">
        <v>240</v>
      </c>
      <c r="DQ402" s="5" t="s">
        <v>240</v>
      </c>
      <c r="DR402" s="5" t="s">
        <v>240</v>
      </c>
      <c r="DS402" s="5" t="s">
        <v>240</v>
      </c>
      <c r="DV402" s="5" t="s">
        <v>957</v>
      </c>
      <c r="DW402" s="5" t="s">
        <v>754</v>
      </c>
      <c r="HO402" s="5" t="s">
        <v>312</v>
      </c>
    </row>
    <row r="403" spans="1:223" x14ac:dyDescent="0.4">
      <c r="A403" s="5">
        <v>1138</v>
      </c>
      <c r="B403" s="5">
        <v>1</v>
      </c>
      <c r="C403" s="5">
        <v>1</v>
      </c>
      <c r="D403" s="5" t="s">
        <v>1332</v>
      </c>
      <c r="E403" s="5" t="s">
        <v>1131</v>
      </c>
      <c r="F403" s="5" t="s">
        <v>254</v>
      </c>
      <c r="G403" s="5" t="s">
        <v>240</v>
      </c>
      <c r="H403" s="6" t="s">
        <v>1370</v>
      </c>
      <c r="I403" s="5" t="s">
        <v>1331</v>
      </c>
      <c r="J403" s="8">
        <f>207</f>
        <v>207</v>
      </c>
      <c r="K403" s="5" t="s">
        <v>308</v>
      </c>
      <c r="L403" s="7">
        <f>458505</f>
        <v>458505</v>
      </c>
      <c r="M403" s="7">
        <f>458505</f>
        <v>458505</v>
      </c>
      <c r="N403" s="5" t="s">
        <v>242</v>
      </c>
      <c r="O403" s="5">
        <v>1</v>
      </c>
      <c r="P403" s="5" t="s">
        <v>294</v>
      </c>
      <c r="Q403" s="5" t="s">
        <v>613</v>
      </c>
      <c r="R403" s="5" t="s">
        <v>240</v>
      </c>
      <c r="S403" s="5" t="s">
        <v>240</v>
      </c>
      <c r="T403" s="5" t="s">
        <v>243</v>
      </c>
      <c r="U403" s="5" t="s">
        <v>724</v>
      </c>
      <c r="V403" s="5" t="s">
        <v>240</v>
      </c>
      <c r="Y403" s="5" t="s">
        <v>240</v>
      </c>
      <c r="Z403" s="6" t="s">
        <v>298</v>
      </c>
      <c r="AB403" s="6" t="s">
        <v>240</v>
      </c>
      <c r="AE403" s="6" t="s">
        <v>299</v>
      </c>
      <c r="AF403" s="5" t="s">
        <v>248</v>
      </c>
      <c r="AG403" s="5" t="s">
        <v>249</v>
      </c>
      <c r="AW403" s="5" t="s">
        <v>251</v>
      </c>
      <c r="AX403" s="5" t="s">
        <v>240</v>
      </c>
      <c r="AY403" s="5" t="s">
        <v>253</v>
      </c>
      <c r="AZ403" s="5" t="s">
        <v>240</v>
      </c>
      <c r="BA403" s="5" t="s">
        <v>255</v>
      </c>
      <c r="BB403" s="5" t="s">
        <v>240</v>
      </c>
      <c r="BD403" s="5" t="s">
        <v>240</v>
      </c>
      <c r="BF403" s="5" t="s">
        <v>301</v>
      </c>
      <c r="BG403" s="6" t="s">
        <v>299</v>
      </c>
      <c r="BH403" s="5" t="s">
        <v>302</v>
      </c>
      <c r="BI403" s="5" t="s">
        <v>303</v>
      </c>
      <c r="BJ403" s="5" t="s">
        <v>240</v>
      </c>
      <c r="BK403" s="8">
        <f>0</f>
        <v>0</v>
      </c>
      <c r="BL403" s="7">
        <f>0</f>
        <v>0</v>
      </c>
      <c r="BM403" s="5" t="s">
        <v>258</v>
      </c>
      <c r="BN403" s="5" t="s">
        <v>259</v>
      </c>
      <c r="CB403" s="5" t="s">
        <v>240</v>
      </c>
      <c r="CC403" s="5" t="s">
        <v>240</v>
      </c>
      <c r="CG403" s="5" t="s">
        <v>617</v>
      </c>
      <c r="CH403" s="5" t="s">
        <v>305</v>
      </c>
      <c r="CI403" s="5" t="s">
        <v>240</v>
      </c>
      <c r="CL403" s="6" t="s">
        <v>261</v>
      </c>
      <c r="CM403" s="5" t="s">
        <v>240</v>
      </c>
      <c r="CN403" s="5" t="s">
        <v>263</v>
      </c>
      <c r="CO403" s="5" t="s">
        <v>240</v>
      </c>
      <c r="CP403" s="5" t="s">
        <v>240</v>
      </c>
      <c r="CQ403" s="5">
        <v>0</v>
      </c>
      <c r="CR403" s="5" t="s">
        <v>306</v>
      </c>
      <c r="CS403" s="5" t="s">
        <v>307</v>
      </c>
      <c r="CT403" s="5" t="s">
        <v>307</v>
      </c>
      <c r="CU403" s="5" t="s">
        <v>260</v>
      </c>
      <c r="CX403" s="7">
        <f>7942</f>
        <v>7942</v>
      </c>
      <c r="CY403" s="7">
        <f>0</f>
        <v>0</v>
      </c>
      <c r="DA403" s="7">
        <f>0</f>
        <v>0</v>
      </c>
      <c r="DC403" s="5" t="s">
        <v>854</v>
      </c>
      <c r="DD403" s="5" t="s">
        <v>240</v>
      </c>
      <c r="DF403" s="5" t="s">
        <v>450</v>
      </c>
      <c r="DG403" s="7">
        <f>0</f>
        <v>0</v>
      </c>
      <c r="DI403" s="5" t="s">
        <v>737</v>
      </c>
      <c r="DJ403" s="5" t="s">
        <v>240</v>
      </c>
      <c r="DK403" s="5" t="s">
        <v>240</v>
      </c>
      <c r="DL403" s="5" t="s">
        <v>240</v>
      </c>
      <c r="DP403" s="5" t="s">
        <v>240</v>
      </c>
      <c r="DQ403" s="5" t="s">
        <v>240</v>
      </c>
      <c r="DR403" s="5" t="s">
        <v>240</v>
      </c>
      <c r="DS403" s="5" t="s">
        <v>240</v>
      </c>
      <c r="DV403" s="5" t="s">
        <v>957</v>
      </c>
      <c r="DW403" s="5" t="s">
        <v>752</v>
      </c>
      <c r="HO403" s="5" t="s">
        <v>312</v>
      </c>
    </row>
    <row r="404" spans="1:223" x14ac:dyDescent="0.4">
      <c r="A404" s="5">
        <v>1139</v>
      </c>
      <c r="B404" s="5">
        <v>1</v>
      </c>
      <c r="C404" s="5">
        <v>1</v>
      </c>
      <c r="D404" s="5" t="s">
        <v>1332</v>
      </c>
      <c r="E404" s="5" t="s">
        <v>1131</v>
      </c>
      <c r="F404" s="5" t="s">
        <v>254</v>
      </c>
      <c r="G404" s="5" t="s">
        <v>240</v>
      </c>
      <c r="H404" s="6" t="s">
        <v>1369</v>
      </c>
      <c r="I404" s="5" t="s">
        <v>1331</v>
      </c>
      <c r="J404" s="8">
        <f>167</f>
        <v>167</v>
      </c>
      <c r="K404" s="5" t="s">
        <v>308</v>
      </c>
      <c r="L404" s="7">
        <f>369905</f>
        <v>369905</v>
      </c>
      <c r="M404" s="7">
        <f>369905</f>
        <v>369905</v>
      </c>
      <c r="N404" s="5" t="s">
        <v>242</v>
      </c>
      <c r="O404" s="5">
        <v>1</v>
      </c>
      <c r="P404" s="5" t="s">
        <v>294</v>
      </c>
      <c r="Q404" s="5" t="s">
        <v>613</v>
      </c>
      <c r="R404" s="5" t="s">
        <v>240</v>
      </c>
      <c r="S404" s="5" t="s">
        <v>240</v>
      </c>
      <c r="T404" s="5" t="s">
        <v>243</v>
      </c>
      <c r="U404" s="5" t="s">
        <v>724</v>
      </c>
      <c r="V404" s="5" t="s">
        <v>240</v>
      </c>
      <c r="Y404" s="5" t="s">
        <v>240</v>
      </c>
      <c r="Z404" s="6" t="s">
        <v>298</v>
      </c>
      <c r="AB404" s="6" t="s">
        <v>240</v>
      </c>
      <c r="AE404" s="6" t="s">
        <v>299</v>
      </c>
      <c r="AF404" s="5" t="s">
        <v>248</v>
      </c>
      <c r="AG404" s="5" t="s">
        <v>249</v>
      </c>
      <c r="AW404" s="5" t="s">
        <v>251</v>
      </c>
      <c r="AX404" s="5" t="s">
        <v>240</v>
      </c>
      <c r="AY404" s="5" t="s">
        <v>253</v>
      </c>
      <c r="AZ404" s="5" t="s">
        <v>240</v>
      </c>
      <c r="BA404" s="5" t="s">
        <v>255</v>
      </c>
      <c r="BB404" s="5" t="s">
        <v>240</v>
      </c>
      <c r="BD404" s="5" t="s">
        <v>240</v>
      </c>
      <c r="BF404" s="5" t="s">
        <v>301</v>
      </c>
      <c r="BG404" s="6" t="s">
        <v>299</v>
      </c>
      <c r="BH404" s="5" t="s">
        <v>302</v>
      </c>
      <c r="BI404" s="5" t="s">
        <v>303</v>
      </c>
      <c r="BJ404" s="5" t="s">
        <v>240</v>
      </c>
      <c r="BK404" s="8">
        <f>0</f>
        <v>0</v>
      </c>
      <c r="BL404" s="7">
        <f>0</f>
        <v>0</v>
      </c>
      <c r="BM404" s="5" t="s">
        <v>258</v>
      </c>
      <c r="BN404" s="5" t="s">
        <v>259</v>
      </c>
      <c r="CB404" s="5" t="s">
        <v>240</v>
      </c>
      <c r="CC404" s="5" t="s">
        <v>240</v>
      </c>
      <c r="CG404" s="5" t="s">
        <v>617</v>
      </c>
      <c r="CH404" s="5" t="s">
        <v>305</v>
      </c>
      <c r="CI404" s="5" t="s">
        <v>240</v>
      </c>
      <c r="CL404" s="6" t="s">
        <v>261</v>
      </c>
      <c r="CM404" s="5" t="s">
        <v>240</v>
      </c>
      <c r="CN404" s="5" t="s">
        <v>263</v>
      </c>
      <c r="CO404" s="5" t="s">
        <v>240</v>
      </c>
      <c r="CP404" s="5" t="s">
        <v>240</v>
      </c>
      <c r="CQ404" s="5">
        <v>0</v>
      </c>
      <c r="CR404" s="5" t="s">
        <v>306</v>
      </c>
      <c r="CS404" s="5" t="s">
        <v>307</v>
      </c>
      <c r="CT404" s="5" t="s">
        <v>307</v>
      </c>
      <c r="CU404" s="5" t="s">
        <v>260</v>
      </c>
      <c r="CX404" s="7">
        <f>19393</f>
        <v>19393</v>
      </c>
      <c r="CY404" s="7">
        <f>0</f>
        <v>0</v>
      </c>
      <c r="DA404" s="7">
        <f>0</f>
        <v>0</v>
      </c>
      <c r="DC404" s="5" t="s">
        <v>854</v>
      </c>
      <c r="DD404" s="5" t="s">
        <v>240</v>
      </c>
      <c r="DF404" s="5" t="s">
        <v>450</v>
      </c>
      <c r="DG404" s="7">
        <f>0</f>
        <v>0</v>
      </c>
      <c r="DI404" s="5" t="s">
        <v>737</v>
      </c>
      <c r="DJ404" s="5" t="s">
        <v>240</v>
      </c>
      <c r="DK404" s="5" t="s">
        <v>240</v>
      </c>
      <c r="DL404" s="5" t="s">
        <v>240</v>
      </c>
      <c r="DP404" s="5" t="s">
        <v>240</v>
      </c>
      <c r="DQ404" s="5" t="s">
        <v>240</v>
      </c>
      <c r="DR404" s="5" t="s">
        <v>240</v>
      </c>
      <c r="DS404" s="5" t="s">
        <v>240</v>
      </c>
      <c r="DV404" s="5" t="s">
        <v>957</v>
      </c>
      <c r="DW404" s="5" t="s">
        <v>1122</v>
      </c>
      <c r="HO404" s="5" t="s">
        <v>312</v>
      </c>
    </row>
    <row r="405" spans="1:223" x14ac:dyDescent="0.4">
      <c r="A405" s="5">
        <v>1140</v>
      </c>
      <c r="B405" s="5">
        <v>1</v>
      </c>
      <c r="C405" s="5">
        <v>1</v>
      </c>
      <c r="D405" s="5" t="s">
        <v>1332</v>
      </c>
      <c r="E405" s="5" t="s">
        <v>1131</v>
      </c>
      <c r="F405" s="5" t="s">
        <v>254</v>
      </c>
      <c r="G405" s="5" t="s">
        <v>240</v>
      </c>
      <c r="H405" s="6" t="s">
        <v>1368</v>
      </c>
      <c r="I405" s="5" t="s">
        <v>1331</v>
      </c>
      <c r="J405" s="8">
        <f>671</f>
        <v>671</v>
      </c>
      <c r="K405" s="5" t="s">
        <v>308</v>
      </c>
      <c r="L405" s="7">
        <f>1486265</f>
        <v>1486265</v>
      </c>
      <c r="M405" s="7">
        <f>1486265</f>
        <v>1486265</v>
      </c>
      <c r="N405" s="5" t="s">
        <v>242</v>
      </c>
      <c r="O405" s="5">
        <v>1</v>
      </c>
      <c r="P405" s="5" t="s">
        <v>294</v>
      </c>
      <c r="Q405" s="5" t="s">
        <v>613</v>
      </c>
      <c r="R405" s="5" t="s">
        <v>240</v>
      </c>
      <c r="S405" s="5" t="s">
        <v>240</v>
      </c>
      <c r="T405" s="5" t="s">
        <v>243</v>
      </c>
      <c r="U405" s="5" t="s">
        <v>724</v>
      </c>
      <c r="V405" s="5" t="s">
        <v>240</v>
      </c>
      <c r="Y405" s="5" t="s">
        <v>240</v>
      </c>
      <c r="Z405" s="6" t="s">
        <v>298</v>
      </c>
      <c r="AB405" s="6" t="s">
        <v>240</v>
      </c>
      <c r="AE405" s="6" t="s">
        <v>299</v>
      </c>
      <c r="AF405" s="5" t="s">
        <v>248</v>
      </c>
      <c r="AG405" s="5" t="s">
        <v>249</v>
      </c>
      <c r="AW405" s="5" t="s">
        <v>251</v>
      </c>
      <c r="AX405" s="5" t="s">
        <v>240</v>
      </c>
      <c r="AY405" s="5" t="s">
        <v>253</v>
      </c>
      <c r="AZ405" s="5" t="s">
        <v>240</v>
      </c>
      <c r="BA405" s="5" t="s">
        <v>255</v>
      </c>
      <c r="BB405" s="5" t="s">
        <v>240</v>
      </c>
      <c r="BD405" s="5" t="s">
        <v>240</v>
      </c>
      <c r="BF405" s="5" t="s">
        <v>301</v>
      </c>
      <c r="BG405" s="6" t="s">
        <v>299</v>
      </c>
      <c r="BH405" s="5" t="s">
        <v>302</v>
      </c>
      <c r="BI405" s="5" t="s">
        <v>303</v>
      </c>
      <c r="BJ405" s="5" t="s">
        <v>240</v>
      </c>
      <c r="BK405" s="8">
        <f>0</f>
        <v>0</v>
      </c>
      <c r="BL405" s="7">
        <f>0</f>
        <v>0</v>
      </c>
      <c r="BM405" s="5" t="s">
        <v>258</v>
      </c>
      <c r="BN405" s="5" t="s">
        <v>259</v>
      </c>
      <c r="CB405" s="5" t="s">
        <v>240</v>
      </c>
      <c r="CC405" s="5" t="s">
        <v>240</v>
      </c>
      <c r="CG405" s="5" t="s">
        <v>617</v>
      </c>
      <c r="CH405" s="5" t="s">
        <v>305</v>
      </c>
      <c r="CI405" s="5" t="s">
        <v>240</v>
      </c>
      <c r="CL405" s="6" t="s">
        <v>261</v>
      </c>
      <c r="CM405" s="5" t="s">
        <v>240</v>
      </c>
      <c r="CN405" s="5" t="s">
        <v>263</v>
      </c>
      <c r="CO405" s="5" t="s">
        <v>240</v>
      </c>
      <c r="CP405" s="5" t="s">
        <v>240</v>
      </c>
      <c r="CQ405" s="5">
        <v>0</v>
      </c>
      <c r="CR405" s="5" t="s">
        <v>306</v>
      </c>
      <c r="CS405" s="5" t="s">
        <v>307</v>
      </c>
      <c r="CT405" s="5" t="s">
        <v>307</v>
      </c>
      <c r="CU405" s="5" t="s">
        <v>260</v>
      </c>
      <c r="CX405" s="7">
        <f>35068</f>
        <v>35068</v>
      </c>
      <c r="CY405" s="7">
        <f>0</f>
        <v>0</v>
      </c>
      <c r="DA405" s="7">
        <f>0</f>
        <v>0</v>
      </c>
      <c r="DC405" s="5" t="s">
        <v>854</v>
      </c>
      <c r="DD405" s="5" t="s">
        <v>240</v>
      </c>
      <c r="DF405" s="5" t="s">
        <v>450</v>
      </c>
      <c r="DG405" s="7">
        <f>0</f>
        <v>0</v>
      </c>
      <c r="DI405" s="5" t="s">
        <v>737</v>
      </c>
      <c r="DJ405" s="5" t="s">
        <v>240</v>
      </c>
      <c r="DK405" s="5" t="s">
        <v>240</v>
      </c>
      <c r="DL405" s="5" t="s">
        <v>240</v>
      </c>
      <c r="DP405" s="5" t="s">
        <v>240</v>
      </c>
      <c r="DQ405" s="5" t="s">
        <v>240</v>
      </c>
      <c r="DR405" s="5" t="s">
        <v>240</v>
      </c>
      <c r="DS405" s="5" t="s">
        <v>240</v>
      </c>
      <c r="DV405" s="5" t="s">
        <v>957</v>
      </c>
      <c r="DW405" s="5" t="s">
        <v>1124</v>
      </c>
      <c r="HO405" s="5" t="s">
        <v>312</v>
      </c>
    </row>
    <row r="406" spans="1:223" x14ac:dyDescent="0.4">
      <c r="A406" s="5">
        <v>1141</v>
      </c>
      <c r="B406" s="5">
        <v>1</v>
      </c>
      <c r="C406" s="5">
        <v>1</v>
      </c>
      <c r="D406" s="5" t="s">
        <v>1332</v>
      </c>
      <c r="E406" s="5" t="s">
        <v>1131</v>
      </c>
      <c r="F406" s="5" t="s">
        <v>254</v>
      </c>
      <c r="G406" s="5" t="s">
        <v>240</v>
      </c>
      <c r="H406" s="6" t="s">
        <v>1367</v>
      </c>
      <c r="I406" s="5" t="s">
        <v>1331</v>
      </c>
      <c r="J406" s="8">
        <f>370</f>
        <v>370</v>
      </c>
      <c r="K406" s="5" t="s">
        <v>308</v>
      </c>
      <c r="L406" s="7">
        <f>819550</f>
        <v>819550</v>
      </c>
      <c r="M406" s="7">
        <f>819550</f>
        <v>819550</v>
      </c>
      <c r="N406" s="5" t="s">
        <v>242</v>
      </c>
      <c r="O406" s="5">
        <v>1</v>
      </c>
      <c r="P406" s="5" t="s">
        <v>294</v>
      </c>
      <c r="Q406" s="5" t="s">
        <v>613</v>
      </c>
      <c r="R406" s="5" t="s">
        <v>240</v>
      </c>
      <c r="S406" s="5" t="s">
        <v>240</v>
      </c>
      <c r="T406" s="5" t="s">
        <v>243</v>
      </c>
      <c r="U406" s="5" t="s">
        <v>724</v>
      </c>
      <c r="V406" s="5" t="s">
        <v>240</v>
      </c>
      <c r="Y406" s="5" t="s">
        <v>240</v>
      </c>
      <c r="Z406" s="6" t="s">
        <v>298</v>
      </c>
      <c r="AB406" s="6" t="s">
        <v>240</v>
      </c>
      <c r="AE406" s="6" t="s">
        <v>299</v>
      </c>
      <c r="AF406" s="5" t="s">
        <v>248</v>
      </c>
      <c r="AG406" s="5" t="s">
        <v>249</v>
      </c>
      <c r="AW406" s="5" t="s">
        <v>251</v>
      </c>
      <c r="AX406" s="5" t="s">
        <v>240</v>
      </c>
      <c r="AY406" s="5" t="s">
        <v>253</v>
      </c>
      <c r="AZ406" s="5" t="s">
        <v>240</v>
      </c>
      <c r="BA406" s="5" t="s">
        <v>255</v>
      </c>
      <c r="BB406" s="5" t="s">
        <v>240</v>
      </c>
      <c r="BD406" s="5" t="s">
        <v>240</v>
      </c>
      <c r="BF406" s="5" t="s">
        <v>301</v>
      </c>
      <c r="BG406" s="6" t="s">
        <v>299</v>
      </c>
      <c r="BH406" s="5" t="s">
        <v>302</v>
      </c>
      <c r="BI406" s="5" t="s">
        <v>303</v>
      </c>
      <c r="BJ406" s="5" t="s">
        <v>240</v>
      </c>
      <c r="BK406" s="8">
        <f>0</f>
        <v>0</v>
      </c>
      <c r="BL406" s="7">
        <f>0</f>
        <v>0</v>
      </c>
      <c r="BM406" s="5" t="s">
        <v>258</v>
      </c>
      <c r="BN406" s="5" t="s">
        <v>259</v>
      </c>
      <c r="CB406" s="5" t="s">
        <v>240</v>
      </c>
      <c r="CC406" s="5" t="s">
        <v>240</v>
      </c>
      <c r="CG406" s="5" t="s">
        <v>617</v>
      </c>
      <c r="CH406" s="5" t="s">
        <v>305</v>
      </c>
      <c r="CI406" s="5" t="s">
        <v>240</v>
      </c>
      <c r="CL406" s="6" t="s">
        <v>261</v>
      </c>
      <c r="CM406" s="5" t="s">
        <v>240</v>
      </c>
      <c r="CN406" s="5" t="s">
        <v>263</v>
      </c>
      <c r="CO406" s="5" t="s">
        <v>240</v>
      </c>
      <c r="CP406" s="5" t="s">
        <v>240</v>
      </c>
      <c r="CQ406" s="5">
        <v>0</v>
      </c>
      <c r="CR406" s="5" t="s">
        <v>306</v>
      </c>
      <c r="CS406" s="5" t="s">
        <v>307</v>
      </c>
      <c r="CT406" s="5" t="s">
        <v>307</v>
      </c>
      <c r="CU406" s="5" t="s">
        <v>260</v>
      </c>
      <c r="CX406" s="7">
        <f>14432</f>
        <v>14432</v>
      </c>
      <c r="CY406" s="7">
        <f>0</f>
        <v>0</v>
      </c>
      <c r="DA406" s="7">
        <f>0</f>
        <v>0</v>
      </c>
      <c r="DC406" s="5" t="s">
        <v>854</v>
      </c>
      <c r="DD406" s="5" t="s">
        <v>240</v>
      </c>
      <c r="DF406" s="5" t="s">
        <v>450</v>
      </c>
      <c r="DG406" s="7">
        <f>0</f>
        <v>0</v>
      </c>
      <c r="DI406" s="5" t="s">
        <v>737</v>
      </c>
      <c r="DJ406" s="5" t="s">
        <v>240</v>
      </c>
      <c r="DK406" s="5" t="s">
        <v>240</v>
      </c>
      <c r="DL406" s="5" t="s">
        <v>240</v>
      </c>
      <c r="DP406" s="5" t="s">
        <v>240</v>
      </c>
      <c r="DQ406" s="5" t="s">
        <v>240</v>
      </c>
      <c r="DR406" s="5" t="s">
        <v>240</v>
      </c>
      <c r="DS406" s="5" t="s">
        <v>240</v>
      </c>
      <c r="DV406" s="5" t="s">
        <v>957</v>
      </c>
      <c r="DW406" s="5" t="s">
        <v>1126</v>
      </c>
      <c r="HO406" s="5" t="s">
        <v>312</v>
      </c>
    </row>
    <row r="407" spans="1:223" x14ac:dyDescent="0.4">
      <c r="A407" s="5">
        <v>1142</v>
      </c>
      <c r="B407" s="5">
        <v>1</v>
      </c>
      <c r="C407" s="5">
        <v>1</v>
      </c>
      <c r="D407" s="5" t="s">
        <v>1332</v>
      </c>
      <c r="E407" s="5" t="s">
        <v>1131</v>
      </c>
      <c r="F407" s="5" t="s">
        <v>254</v>
      </c>
      <c r="G407" s="5" t="s">
        <v>240</v>
      </c>
      <c r="H407" s="6" t="s">
        <v>1366</v>
      </c>
      <c r="I407" s="5" t="s">
        <v>1331</v>
      </c>
      <c r="J407" s="8">
        <f>102</f>
        <v>102</v>
      </c>
      <c r="K407" s="5" t="s">
        <v>308</v>
      </c>
      <c r="L407" s="7">
        <f>225930</f>
        <v>225930</v>
      </c>
      <c r="M407" s="7">
        <f>225930</f>
        <v>225930</v>
      </c>
      <c r="N407" s="5" t="s">
        <v>242</v>
      </c>
      <c r="O407" s="5">
        <v>1</v>
      </c>
      <c r="P407" s="5" t="s">
        <v>294</v>
      </c>
      <c r="Q407" s="5" t="s">
        <v>613</v>
      </c>
      <c r="R407" s="5" t="s">
        <v>240</v>
      </c>
      <c r="S407" s="5" t="s">
        <v>240</v>
      </c>
      <c r="T407" s="5" t="s">
        <v>243</v>
      </c>
      <c r="U407" s="5" t="s">
        <v>724</v>
      </c>
      <c r="V407" s="5" t="s">
        <v>240</v>
      </c>
      <c r="Y407" s="5" t="s">
        <v>240</v>
      </c>
      <c r="Z407" s="6" t="s">
        <v>298</v>
      </c>
      <c r="AB407" s="6" t="s">
        <v>240</v>
      </c>
      <c r="AE407" s="6" t="s">
        <v>299</v>
      </c>
      <c r="AF407" s="5" t="s">
        <v>248</v>
      </c>
      <c r="AG407" s="5" t="s">
        <v>249</v>
      </c>
      <c r="AW407" s="5" t="s">
        <v>251</v>
      </c>
      <c r="AX407" s="5" t="s">
        <v>240</v>
      </c>
      <c r="AY407" s="5" t="s">
        <v>253</v>
      </c>
      <c r="AZ407" s="5" t="s">
        <v>240</v>
      </c>
      <c r="BA407" s="5" t="s">
        <v>255</v>
      </c>
      <c r="BB407" s="5" t="s">
        <v>240</v>
      </c>
      <c r="BD407" s="5" t="s">
        <v>240</v>
      </c>
      <c r="BF407" s="5" t="s">
        <v>301</v>
      </c>
      <c r="BG407" s="6" t="s">
        <v>299</v>
      </c>
      <c r="BH407" s="5" t="s">
        <v>302</v>
      </c>
      <c r="BI407" s="5" t="s">
        <v>303</v>
      </c>
      <c r="BJ407" s="5" t="s">
        <v>240</v>
      </c>
      <c r="BK407" s="8">
        <f>0</f>
        <v>0</v>
      </c>
      <c r="BL407" s="7">
        <f>0</f>
        <v>0</v>
      </c>
      <c r="BM407" s="5" t="s">
        <v>258</v>
      </c>
      <c r="BN407" s="5" t="s">
        <v>259</v>
      </c>
      <c r="CB407" s="5" t="s">
        <v>240</v>
      </c>
      <c r="CC407" s="5" t="s">
        <v>240</v>
      </c>
      <c r="CG407" s="5" t="s">
        <v>617</v>
      </c>
      <c r="CH407" s="5" t="s">
        <v>305</v>
      </c>
      <c r="CI407" s="5" t="s">
        <v>240</v>
      </c>
      <c r="CL407" s="6" t="s">
        <v>261</v>
      </c>
      <c r="CM407" s="5" t="s">
        <v>240</v>
      </c>
      <c r="CN407" s="5" t="s">
        <v>263</v>
      </c>
      <c r="CO407" s="5" t="s">
        <v>240</v>
      </c>
      <c r="CP407" s="5" t="s">
        <v>240</v>
      </c>
      <c r="CQ407" s="5">
        <v>0</v>
      </c>
      <c r="CR407" s="5" t="s">
        <v>306</v>
      </c>
      <c r="CS407" s="5" t="s">
        <v>307</v>
      </c>
      <c r="CT407" s="5" t="s">
        <v>307</v>
      </c>
      <c r="CU407" s="5" t="s">
        <v>260</v>
      </c>
      <c r="CX407" s="7">
        <f>6270</f>
        <v>6270</v>
      </c>
      <c r="CY407" s="7">
        <f>0</f>
        <v>0</v>
      </c>
      <c r="DA407" s="7">
        <f>0</f>
        <v>0</v>
      </c>
      <c r="DC407" s="5" t="s">
        <v>854</v>
      </c>
      <c r="DD407" s="5" t="s">
        <v>240</v>
      </c>
      <c r="DF407" s="5" t="s">
        <v>450</v>
      </c>
      <c r="DG407" s="7">
        <f>0</f>
        <v>0</v>
      </c>
      <c r="DI407" s="5" t="s">
        <v>737</v>
      </c>
      <c r="DJ407" s="5" t="s">
        <v>240</v>
      </c>
      <c r="DK407" s="5" t="s">
        <v>240</v>
      </c>
      <c r="DL407" s="5" t="s">
        <v>240</v>
      </c>
      <c r="DP407" s="5" t="s">
        <v>240</v>
      </c>
      <c r="DQ407" s="5" t="s">
        <v>240</v>
      </c>
      <c r="DR407" s="5" t="s">
        <v>240</v>
      </c>
      <c r="DS407" s="5" t="s">
        <v>240</v>
      </c>
      <c r="DV407" s="5" t="s">
        <v>957</v>
      </c>
      <c r="DW407" s="5" t="s">
        <v>461</v>
      </c>
      <c r="HO407" s="5" t="s">
        <v>312</v>
      </c>
    </row>
    <row r="408" spans="1:223" x14ac:dyDescent="0.4">
      <c r="A408" s="5">
        <v>1143</v>
      </c>
      <c r="B408" s="5">
        <v>1</v>
      </c>
      <c r="C408" s="5">
        <v>1</v>
      </c>
      <c r="D408" s="5" t="s">
        <v>1332</v>
      </c>
      <c r="E408" s="5" t="s">
        <v>1131</v>
      </c>
      <c r="F408" s="5" t="s">
        <v>254</v>
      </c>
      <c r="G408" s="5" t="s">
        <v>240</v>
      </c>
      <c r="H408" s="6" t="s">
        <v>1365</v>
      </c>
      <c r="I408" s="5" t="s">
        <v>1331</v>
      </c>
      <c r="J408" s="8">
        <f>1540</f>
        <v>1540</v>
      </c>
      <c r="K408" s="5" t="s">
        <v>308</v>
      </c>
      <c r="L408" s="7">
        <f>3411100</f>
        <v>3411100</v>
      </c>
      <c r="M408" s="7">
        <f>3411100</f>
        <v>3411100</v>
      </c>
      <c r="N408" s="5" t="s">
        <v>242</v>
      </c>
      <c r="O408" s="5">
        <v>1</v>
      </c>
      <c r="P408" s="5" t="s">
        <v>294</v>
      </c>
      <c r="Q408" s="5" t="s">
        <v>613</v>
      </c>
      <c r="R408" s="5" t="s">
        <v>240</v>
      </c>
      <c r="S408" s="5" t="s">
        <v>240</v>
      </c>
      <c r="T408" s="5" t="s">
        <v>243</v>
      </c>
      <c r="U408" s="5" t="s">
        <v>724</v>
      </c>
      <c r="V408" s="5" t="s">
        <v>240</v>
      </c>
      <c r="Y408" s="5" t="s">
        <v>240</v>
      </c>
      <c r="Z408" s="6" t="s">
        <v>298</v>
      </c>
      <c r="AB408" s="6" t="s">
        <v>240</v>
      </c>
      <c r="AE408" s="6" t="s">
        <v>299</v>
      </c>
      <c r="AF408" s="5" t="s">
        <v>248</v>
      </c>
      <c r="AG408" s="5" t="s">
        <v>249</v>
      </c>
      <c r="AW408" s="5" t="s">
        <v>251</v>
      </c>
      <c r="AX408" s="5" t="s">
        <v>240</v>
      </c>
      <c r="AY408" s="5" t="s">
        <v>253</v>
      </c>
      <c r="AZ408" s="5" t="s">
        <v>240</v>
      </c>
      <c r="BA408" s="5" t="s">
        <v>255</v>
      </c>
      <c r="BB408" s="5" t="s">
        <v>240</v>
      </c>
      <c r="BD408" s="5" t="s">
        <v>240</v>
      </c>
      <c r="BF408" s="5" t="s">
        <v>301</v>
      </c>
      <c r="BG408" s="6" t="s">
        <v>299</v>
      </c>
      <c r="BH408" s="5" t="s">
        <v>302</v>
      </c>
      <c r="BI408" s="5" t="s">
        <v>303</v>
      </c>
      <c r="BJ408" s="5" t="s">
        <v>240</v>
      </c>
      <c r="BK408" s="8">
        <f>0</f>
        <v>0</v>
      </c>
      <c r="BL408" s="7">
        <f>0</f>
        <v>0</v>
      </c>
      <c r="BM408" s="5" t="s">
        <v>258</v>
      </c>
      <c r="BN408" s="5" t="s">
        <v>259</v>
      </c>
      <c r="CB408" s="5" t="s">
        <v>240</v>
      </c>
      <c r="CC408" s="5" t="s">
        <v>240</v>
      </c>
      <c r="CG408" s="5" t="s">
        <v>617</v>
      </c>
      <c r="CH408" s="5" t="s">
        <v>305</v>
      </c>
      <c r="CI408" s="5" t="s">
        <v>240</v>
      </c>
      <c r="CL408" s="6" t="s">
        <v>261</v>
      </c>
      <c r="CM408" s="5" t="s">
        <v>240</v>
      </c>
      <c r="CN408" s="5" t="s">
        <v>263</v>
      </c>
      <c r="CO408" s="5" t="s">
        <v>240</v>
      </c>
      <c r="CP408" s="5" t="s">
        <v>240</v>
      </c>
      <c r="CQ408" s="5">
        <v>0</v>
      </c>
      <c r="CR408" s="5" t="s">
        <v>306</v>
      </c>
      <c r="CS408" s="5" t="s">
        <v>307</v>
      </c>
      <c r="CT408" s="5" t="s">
        <v>307</v>
      </c>
      <c r="CU408" s="5" t="s">
        <v>260</v>
      </c>
      <c r="CX408" s="7">
        <f>6270</f>
        <v>6270</v>
      </c>
      <c r="CY408" s="7">
        <f>0</f>
        <v>0</v>
      </c>
      <c r="DA408" s="7">
        <f>0</f>
        <v>0</v>
      </c>
      <c r="DC408" s="5" t="s">
        <v>854</v>
      </c>
      <c r="DD408" s="5" t="s">
        <v>240</v>
      </c>
      <c r="DF408" s="5" t="s">
        <v>450</v>
      </c>
      <c r="DG408" s="7">
        <f>0</f>
        <v>0</v>
      </c>
      <c r="DI408" s="5" t="s">
        <v>737</v>
      </c>
      <c r="DJ408" s="5" t="s">
        <v>240</v>
      </c>
      <c r="DK408" s="5" t="s">
        <v>240</v>
      </c>
      <c r="DL408" s="5" t="s">
        <v>240</v>
      </c>
      <c r="DP408" s="5" t="s">
        <v>240</v>
      </c>
      <c r="DQ408" s="5" t="s">
        <v>240</v>
      </c>
      <c r="DR408" s="5" t="s">
        <v>240</v>
      </c>
      <c r="DS408" s="5" t="s">
        <v>240</v>
      </c>
      <c r="DV408" s="5" t="s">
        <v>957</v>
      </c>
      <c r="DW408" s="5" t="s">
        <v>459</v>
      </c>
      <c r="HO408" s="5" t="s">
        <v>312</v>
      </c>
    </row>
    <row r="409" spans="1:223" x14ac:dyDescent="0.4">
      <c r="A409" s="5">
        <v>1144</v>
      </c>
      <c r="B409" s="5">
        <v>1</v>
      </c>
      <c r="C409" s="5">
        <v>1</v>
      </c>
      <c r="D409" s="5" t="s">
        <v>1332</v>
      </c>
      <c r="E409" s="5" t="s">
        <v>1131</v>
      </c>
      <c r="F409" s="5" t="s">
        <v>254</v>
      </c>
      <c r="G409" s="5" t="s">
        <v>240</v>
      </c>
      <c r="H409" s="6" t="s">
        <v>1363</v>
      </c>
      <c r="I409" s="5" t="s">
        <v>1331</v>
      </c>
      <c r="J409" s="8">
        <f>1041</f>
        <v>1041</v>
      </c>
      <c r="K409" s="5" t="s">
        <v>308</v>
      </c>
      <c r="L409" s="7">
        <f>2305815</f>
        <v>2305815</v>
      </c>
      <c r="M409" s="7">
        <f>2305815</f>
        <v>2305815</v>
      </c>
      <c r="N409" s="5" t="s">
        <v>242</v>
      </c>
      <c r="O409" s="5">
        <v>1</v>
      </c>
      <c r="P409" s="5" t="s">
        <v>294</v>
      </c>
      <c r="Q409" s="5" t="s">
        <v>266</v>
      </c>
      <c r="R409" s="5" t="s">
        <v>240</v>
      </c>
      <c r="S409" s="5" t="s">
        <v>240</v>
      </c>
      <c r="T409" s="5" t="s">
        <v>243</v>
      </c>
      <c r="U409" s="5" t="s">
        <v>240</v>
      </c>
      <c r="V409" s="5" t="s">
        <v>240</v>
      </c>
      <c r="Y409" s="5" t="s">
        <v>240</v>
      </c>
      <c r="Z409" s="6" t="s">
        <v>1132</v>
      </c>
      <c r="AB409" s="6" t="s">
        <v>240</v>
      </c>
      <c r="AE409" s="6" t="s">
        <v>299</v>
      </c>
      <c r="AF409" s="5" t="s">
        <v>248</v>
      </c>
      <c r="AG409" s="5" t="s">
        <v>249</v>
      </c>
      <c r="AW409" s="5" t="s">
        <v>251</v>
      </c>
      <c r="AX409" s="5" t="s">
        <v>240</v>
      </c>
      <c r="AY409" s="5" t="s">
        <v>253</v>
      </c>
      <c r="AZ409" s="5" t="s">
        <v>240</v>
      </c>
      <c r="BA409" s="5" t="s">
        <v>255</v>
      </c>
      <c r="BB409" s="5" t="s">
        <v>240</v>
      </c>
      <c r="BD409" s="5" t="s">
        <v>240</v>
      </c>
      <c r="BF409" s="5" t="s">
        <v>301</v>
      </c>
      <c r="BG409" s="6" t="s">
        <v>1132</v>
      </c>
      <c r="BH409" s="5" t="s">
        <v>302</v>
      </c>
      <c r="BI409" s="5" t="s">
        <v>1134</v>
      </c>
      <c r="BJ409" s="5" t="s">
        <v>240</v>
      </c>
      <c r="BK409" s="8">
        <f>0</f>
        <v>0</v>
      </c>
      <c r="BL409" s="7">
        <f>0</f>
        <v>0</v>
      </c>
      <c r="BM409" s="5" t="s">
        <v>258</v>
      </c>
      <c r="BN409" s="5" t="s">
        <v>259</v>
      </c>
      <c r="CB409" s="5" t="s">
        <v>240</v>
      </c>
      <c r="CC409" s="5" t="s">
        <v>240</v>
      </c>
      <c r="CG409" s="5" t="s">
        <v>617</v>
      </c>
      <c r="CH409" s="5" t="s">
        <v>305</v>
      </c>
      <c r="CI409" s="5" t="s">
        <v>240</v>
      </c>
      <c r="CL409" s="6" t="s">
        <v>261</v>
      </c>
      <c r="CM409" s="5" t="s">
        <v>240</v>
      </c>
      <c r="CN409" s="5" t="s">
        <v>263</v>
      </c>
      <c r="CO409" s="5" t="s">
        <v>240</v>
      </c>
      <c r="CP409" s="5" t="s">
        <v>240</v>
      </c>
      <c r="CQ409" s="5">
        <v>0</v>
      </c>
      <c r="CR409" s="5" t="s">
        <v>306</v>
      </c>
      <c r="CS409" s="5" t="s">
        <v>307</v>
      </c>
      <c r="CT409" s="5" t="s">
        <v>307</v>
      </c>
      <c r="CU409" s="5" t="s">
        <v>260</v>
      </c>
      <c r="CX409" s="7">
        <f>7956750</f>
        <v>7956750</v>
      </c>
      <c r="CY409" s="7">
        <f>0</f>
        <v>0</v>
      </c>
      <c r="DA409" s="7">
        <f>0</f>
        <v>0</v>
      </c>
      <c r="DC409" s="5" t="s">
        <v>450</v>
      </c>
      <c r="DD409" s="5" t="s">
        <v>240</v>
      </c>
      <c r="DF409" s="5" t="s">
        <v>450</v>
      </c>
      <c r="DG409" s="7">
        <f>318.27</f>
        <v>318.27</v>
      </c>
      <c r="DI409" s="5" t="s">
        <v>240</v>
      </c>
      <c r="DJ409" s="5" t="s">
        <v>240</v>
      </c>
      <c r="DK409" s="5" t="s">
        <v>240</v>
      </c>
      <c r="DL409" s="5" t="s">
        <v>240</v>
      </c>
      <c r="DP409" s="5" t="s">
        <v>240</v>
      </c>
      <c r="DQ409" s="5" t="s">
        <v>240</v>
      </c>
      <c r="DR409" s="5" t="s">
        <v>240</v>
      </c>
      <c r="DS409" s="5" t="s">
        <v>240</v>
      </c>
      <c r="DV409" s="5" t="s">
        <v>1135</v>
      </c>
      <c r="DW409" s="5" t="s">
        <v>691</v>
      </c>
      <c r="HO409" s="5" t="s">
        <v>312</v>
      </c>
    </row>
    <row r="410" spans="1:223" x14ac:dyDescent="0.4">
      <c r="A410" s="5">
        <v>1145</v>
      </c>
      <c r="B410" s="5">
        <v>1</v>
      </c>
      <c r="C410" s="5">
        <v>1</v>
      </c>
      <c r="D410" s="5" t="s">
        <v>1332</v>
      </c>
      <c r="E410" s="5" t="s">
        <v>1131</v>
      </c>
      <c r="F410" s="5" t="s">
        <v>254</v>
      </c>
      <c r="G410" s="5" t="s">
        <v>240</v>
      </c>
      <c r="H410" s="6" t="s">
        <v>1362</v>
      </c>
      <c r="I410" s="5" t="s">
        <v>1331</v>
      </c>
      <c r="J410" s="8">
        <f>238</f>
        <v>238</v>
      </c>
      <c r="K410" s="5" t="s">
        <v>308</v>
      </c>
      <c r="L410" s="7">
        <f>527170</f>
        <v>527170</v>
      </c>
      <c r="M410" s="7">
        <f>527170</f>
        <v>527170</v>
      </c>
      <c r="N410" s="5" t="s">
        <v>242</v>
      </c>
      <c r="O410" s="5">
        <v>1</v>
      </c>
      <c r="P410" s="5" t="s">
        <v>294</v>
      </c>
      <c r="Q410" s="5" t="s">
        <v>613</v>
      </c>
      <c r="R410" s="5" t="s">
        <v>240</v>
      </c>
      <c r="S410" s="5" t="s">
        <v>240</v>
      </c>
      <c r="T410" s="5" t="s">
        <v>243</v>
      </c>
      <c r="U410" s="5" t="s">
        <v>724</v>
      </c>
      <c r="V410" s="5" t="s">
        <v>240</v>
      </c>
      <c r="Y410" s="5" t="s">
        <v>240</v>
      </c>
      <c r="Z410" s="6" t="s">
        <v>298</v>
      </c>
      <c r="AB410" s="6" t="s">
        <v>240</v>
      </c>
      <c r="AE410" s="6" t="s">
        <v>299</v>
      </c>
      <c r="AF410" s="5" t="s">
        <v>248</v>
      </c>
      <c r="AG410" s="5" t="s">
        <v>249</v>
      </c>
      <c r="AW410" s="5" t="s">
        <v>251</v>
      </c>
      <c r="AX410" s="5" t="s">
        <v>240</v>
      </c>
      <c r="AY410" s="5" t="s">
        <v>253</v>
      </c>
      <c r="AZ410" s="5" t="s">
        <v>240</v>
      </c>
      <c r="BA410" s="5" t="s">
        <v>255</v>
      </c>
      <c r="BB410" s="5" t="s">
        <v>240</v>
      </c>
      <c r="BD410" s="5" t="s">
        <v>240</v>
      </c>
      <c r="BF410" s="5" t="s">
        <v>301</v>
      </c>
      <c r="BG410" s="6" t="s">
        <v>299</v>
      </c>
      <c r="BH410" s="5" t="s">
        <v>302</v>
      </c>
      <c r="BI410" s="5" t="s">
        <v>303</v>
      </c>
      <c r="BJ410" s="5" t="s">
        <v>240</v>
      </c>
      <c r="BK410" s="8">
        <f>0</f>
        <v>0</v>
      </c>
      <c r="BL410" s="7">
        <f>0</f>
        <v>0</v>
      </c>
      <c r="BM410" s="5" t="s">
        <v>258</v>
      </c>
      <c r="BN410" s="5" t="s">
        <v>259</v>
      </c>
      <c r="CB410" s="5" t="s">
        <v>240</v>
      </c>
      <c r="CC410" s="5" t="s">
        <v>240</v>
      </c>
      <c r="CG410" s="5" t="s">
        <v>617</v>
      </c>
      <c r="CH410" s="5" t="s">
        <v>305</v>
      </c>
      <c r="CI410" s="5" t="s">
        <v>240</v>
      </c>
      <c r="CL410" s="6" t="s">
        <v>261</v>
      </c>
      <c r="CM410" s="5" t="s">
        <v>240</v>
      </c>
      <c r="CN410" s="5" t="s">
        <v>263</v>
      </c>
      <c r="CO410" s="5" t="s">
        <v>240</v>
      </c>
      <c r="CP410" s="5" t="s">
        <v>240</v>
      </c>
      <c r="CQ410" s="5">
        <v>0</v>
      </c>
      <c r="CR410" s="5" t="s">
        <v>306</v>
      </c>
      <c r="CS410" s="5" t="s">
        <v>307</v>
      </c>
      <c r="CT410" s="5" t="s">
        <v>307</v>
      </c>
      <c r="CU410" s="5" t="s">
        <v>260</v>
      </c>
      <c r="CX410" s="7">
        <f>31493</f>
        <v>31493</v>
      </c>
      <c r="CY410" s="7">
        <f>0</f>
        <v>0</v>
      </c>
      <c r="DA410" s="7">
        <f>0</f>
        <v>0</v>
      </c>
      <c r="DC410" s="5" t="s">
        <v>854</v>
      </c>
      <c r="DD410" s="5" t="s">
        <v>240</v>
      </c>
      <c r="DF410" s="5" t="s">
        <v>450</v>
      </c>
      <c r="DG410" s="7">
        <f>0</f>
        <v>0</v>
      </c>
      <c r="DI410" s="5" t="s">
        <v>737</v>
      </c>
      <c r="DJ410" s="5" t="s">
        <v>240</v>
      </c>
      <c r="DK410" s="5" t="s">
        <v>240</v>
      </c>
      <c r="DL410" s="5" t="s">
        <v>240</v>
      </c>
      <c r="DP410" s="5" t="s">
        <v>240</v>
      </c>
      <c r="DQ410" s="5" t="s">
        <v>240</v>
      </c>
      <c r="DR410" s="5" t="s">
        <v>240</v>
      </c>
      <c r="DS410" s="5" t="s">
        <v>240</v>
      </c>
      <c r="DV410" s="5" t="s">
        <v>957</v>
      </c>
      <c r="DW410" s="5" t="s">
        <v>586</v>
      </c>
      <c r="HO410" s="5" t="s">
        <v>312</v>
      </c>
    </row>
    <row r="411" spans="1:223" x14ac:dyDescent="0.4">
      <c r="A411" s="5">
        <v>1146</v>
      </c>
      <c r="B411" s="5">
        <v>1</v>
      </c>
      <c r="C411" s="5">
        <v>1</v>
      </c>
      <c r="D411" s="5" t="s">
        <v>1332</v>
      </c>
      <c r="E411" s="5" t="s">
        <v>1131</v>
      </c>
      <c r="F411" s="5" t="s">
        <v>254</v>
      </c>
      <c r="G411" s="5" t="s">
        <v>240</v>
      </c>
      <c r="H411" s="6" t="s">
        <v>1361</v>
      </c>
      <c r="I411" s="5" t="s">
        <v>1331</v>
      </c>
      <c r="J411" s="8">
        <f>780</f>
        <v>780</v>
      </c>
      <c r="K411" s="5" t="s">
        <v>308</v>
      </c>
      <c r="L411" s="7">
        <f>1727700</f>
        <v>1727700</v>
      </c>
      <c r="M411" s="7">
        <f>1727700</f>
        <v>1727700</v>
      </c>
      <c r="N411" s="5" t="s">
        <v>242</v>
      </c>
      <c r="O411" s="5">
        <v>1</v>
      </c>
      <c r="P411" s="5" t="s">
        <v>294</v>
      </c>
      <c r="Q411" s="5" t="s">
        <v>613</v>
      </c>
      <c r="R411" s="5" t="s">
        <v>240</v>
      </c>
      <c r="S411" s="5" t="s">
        <v>240</v>
      </c>
      <c r="T411" s="5" t="s">
        <v>243</v>
      </c>
      <c r="U411" s="5" t="s">
        <v>724</v>
      </c>
      <c r="V411" s="5" t="s">
        <v>240</v>
      </c>
      <c r="Y411" s="5" t="s">
        <v>240</v>
      </c>
      <c r="Z411" s="6" t="s">
        <v>298</v>
      </c>
      <c r="AB411" s="6" t="s">
        <v>240</v>
      </c>
      <c r="AE411" s="6" t="s">
        <v>299</v>
      </c>
      <c r="AF411" s="5" t="s">
        <v>248</v>
      </c>
      <c r="AG411" s="5" t="s">
        <v>249</v>
      </c>
      <c r="AW411" s="5" t="s">
        <v>251</v>
      </c>
      <c r="AX411" s="5" t="s">
        <v>240</v>
      </c>
      <c r="AY411" s="5" t="s">
        <v>253</v>
      </c>
      <c r="AZ411" s="5" t="s">
        <v>240</v>
      </c>
      <c r="BA411" s="5" t="s">
        <v>255</v>
      </c>
      <c r="BB411" s="5" t="s">
        <v>240</v>
      </c>
      <c r="BD411" s="5" t="s">
        <v>240</v>
      </c>
      <c r="BF411" s="5" t="s">
        <v>301</v>
      </c>
      <c r="BG411" s="6" t="s">
        <v>299</v>
      </c>
      <c r="BH411" s="5" t="s">
        <v>302</v>
      </c>
      <c r="BI411" s="5" t="s">
        <v>303</v>
      </c>
      <c r="BJ411" s="5" t="s">
        <v>240</v>
      </c>
      <c r="BK411" s="8">
        <f>0</f>
        <v>0</v>
      </c>
      <c r="BL411" s="7">
        <f>0</f>
        <v>0</v>
      </c>
      <c r="BM411" s="5" t="s">
        <v>258</v>
      </c>
      <c r="BN411" s="5" t="s">
        <v>259</v>
      </c>
      <c r="CB411" s="5" t="s">
        <v>240</v>
      </c>
      <c r="CC411" s="5" t="s">
        <v>240</v>
      </c>
      <c r="CG411" s="5" t="s">
        <v>617</v>
      </c>
      <c r="CH411" s="5" t="s">
        <v>305</v>
      </c>
      <c r="CI411" s="5" t="s">
        <v>240</v>
      </c>
      <c r="CL411" s="6" t="s">
        <v>261</v>
      </c>
      <c r="CM411" s="5" t="s">
        <v>240</v>
      </c>
      <c r="CN411" s="5" t="s">
        <v>263</v>
      </c>
      <c r="CO411" s="5" t="s">
        <v>240</v>
      </c>
      <c r="CP411" s="5" t="s">
        <v>240</v>
      </c>
      <c r="CQ411" s="5">
        <v>0</v>
      </c>
      <c r="CR411" s="5" t="s">
        <v>306</v>
      </c>
      <c r="CS411" s="5" t="s">
        <v>307</v>
      </c>
      <c r="CT411" s="5" t="s">
        <v>307</v>
      </c>
      <c r="CU411" s="5" t="s">
        <v>260</v>
      </c>
      <c r="CX411" s="7">
        <f>9405</f>
        <v>9405</v>
      </c>
      <c r="CY411" s="7">
        <f>0</f>
        <v>0</v>
      </c>
      <c r="DA411" s="7">
        <f>0</f>
        <v>0</v>
      </c>
      <c r="DC411" s="5" t="s">
        <v>854</v>
      </c>
      <c r="DD411" s="5" t="s">
        <v>240</v>
      </c>
      <c r="DF411" s="5" t="s">
        <v>450</v>
      </c>
      <c r="DG411" s="7">
        <f>0</f>
        <v>0</v>
      </c>
      <c r="DI411" s="5" t="s">
        <v>737</v>
      </c>
      <c r="DJ411" s="5" t="s">
        <v>240</v>
      </c>
      <c r="DK411" s="5" t="s">
        <v>240</v>
      </c>
      <c r="DL411" s="5" t="s">
        <v>240</v>
      </c>
      <c r="DP411" s="5" t="s">
        <v>240</v>
      </c>
      <c r="DQ411" s="5" t="s">
        <v>240</v>
      </c>
      <c r="DR411" s="5" t="s">
        <v>240</v>
      </c>
      <c r="DS411" s="5" t="s">
        <v>240</v>
      </c>
      <c r="DV411" s="5" t="s">
        <v>957</v>
      </c>
      <c r="DW411" s="5" t="s">
        <v>588</v>
      </c>
      <c r="HO411" s="5" t="s">
        <v>312</v>
      </c>
    </row>
    <row r="412" spans="1:223" x14ac:dyDescent="0.4">
      <c r="A412" s="5">
        <v>1147</v>
      </c>
      <c r="B412" s="5">
        <v>1</v>
      </c>
      <c r="C412" s="5">
        <v>1</v>
      </c>
      <c r="D412" s="5" t="s">
        <v>1332</v>
      </c>
      <c r="E412" s="5" t="s">
        <v>1131</v>
      </c>
      <c r="F412" s="5" t="s">
        <v>254</v>
      </c>
      <c r="G412" s="5" t="s">
        <v>240</v>
      </c>
      <c r="H412" s="6" t="s">
        <v>1360</v>
      </c>
      <c r="I412" s="5" t="s">
        <v>1331</v>
      </c>
      <c r="J412" s="8">
        <f>476</f>
        <v>476</v>
      </c>
      <c r="K412" s="5" t="s">
        <v>308</v>
      </c>
      <c r="L412" s="7">
        <f>1054340</f>
        <v>1054340</v>
      </c>
      <c r="M412" s="7">
        <f>1054340</f>
        <v>1054340</v>
      </c>
      <c r="N412" s="5" t="s">
        <v>242</v>
      </c>
      <c r="O412" s="5">
        <v>1</v>
      </c>
      <c r="P412" s="5" t="s">
        <v>294</v>
      </c>
      <c r="Q412" s="5" t="s">
        <v>613</v>
      </c>
      <c r="R412" s="5" t="s">
        <v>240</v>
      </c>
      <c r="S412" s="5" t="s">
        <v>240</v>
      </c>
      <c r="T412" s="5" t="s">
        <v>243</v>
      </c>
      <c r="U412" s="5" t="s">
        <v>724</v>
      </c>
      <c r="V412" s="5" t="s">
        <v>240</v>
      </c>
      <c r="Y412" s="5" t="s">
        <v>240</v>
      </c>
      <c r="Z412" s="6" t="s">
        <v>298</v>
      </c>
      <c r="AB412" s="6" t="s">
        <v>240</v>
      </c>
      <c r="AE412" s="6" t="s">
        <v>299</v>
      </c>
      <c r="AF412" s="5" t="s">
        <v>248</v>
      </c>
      <c r="AG412" s="5" t="s">
        <v>249</v>
      </c>
      <c r="AW412" s="5" t="s">
        <v>251</v>
      </c>
      <c r="AX412" s="5" t="s">
        <v>240</v>
      </c>
      <c r="AY412" s="5" t="s">
        <v>253</v>
      </c>
      <c r="AZ412" s="5" t="s">
        <v>240</v>
      </c>
      <c r="BA412" s="5" t="s">
        <v>255</v>
      </c>
      <c r="BB412" s="5" t="s">
        <v>240</v>
      </c>
      <c r="BD412" s="5" t="s">
        <v>240</v>
      </c>
      <c r="BF412" s="5" t="s">
        <v>301</v>
      </c>
      <c r="BG412" s="6" t="s">
        <v>299</v>
      </c>
      <c r="BH412" s="5" t="s">
        <v>302</v>
      </c>
      <c r="BI412" s="5" t="s">
        <v>303</v>
      </c>
      <c r="BJ412" s="5" t="s">
        <v>240</v>
      </c>
      <c r="BK412" s="8">
        <f>0</f>
        <v>0</v>
      </c>
      <c r="BL412" s="7">
        <f>0</f>
        <v>0</v>
      </c>
      <c r="BM412" s="5" t="s">
        <v>258</v>
      </c>
      <c r="BN412" s="5" t="s">
        <v>259</v>
      </c>
      <c r="CB412" s="5" t="s">
        <v>240</v>
      </c>
      <c r="CC412" s="5" t="s">
        <v>240</v>
      </c>
      <c r="CG412" s="5" t="s">
        <v>617</v>
      </c>
      <c r="CH412" s="5" t="s">
        <v>305</v>
      </c>
      <c r="CI412" s="5" t="s">
        <v>240</v>
      </c>
      <c r="CL412" s="6" t="s">
        <v>261</v>
      </c>
      <c r="CM412" s="5" t="s">
        <v>240</v>
      </c>
      <c r="CN412" s="5" t="s">
        <v>263</v>
      </c>
      <c r="CO412" s="5" t="s">
        <v>240</v>
      </c>
      <c r="CP412" s="5" t="s">
        <v>240</v>
      </c>
      <c r="CQ412" s="5">
        <v>0</v>
      </c>
      <c r="CR412" s="5" t="s">
        <v>306</v>
      </c>
      <c r="CS412" s="5" t="s">
        <v>307</v>
      </c>
      <c r="CT412" s="5" t="s">
        <v>307</v>
      </c>
      <c r="CU412" s="5" t="s">
        <v>260</v>
      </c>
      <c r="CX412" s="7">
        <f>5918</f>
        <v>5918</v>
      </c>
      <c r="CY412" s="7">
        <f>0</f>
        <v>0</v>
      </c>
      <c r="DA412" s="7">
        <f>0</f>
        <v>0</v>
      </c>
      <c r="DC412" s="5" t="s">
        <v>854</v>
      </c>
      <c r="DD412" s="5" t="s">
        <v>240</v>
      </c>
      <c r="DF412" s="5" t="s">
        <v>450</v>
      </c>
      <c r="DG412" s="7">
        <f>538</f>
        <v>538</v>
      </c>
      <c r="DI412" s="5" t="s">
        <v>737</v>
      </c>
      <c r="DJ412" s="5" t="s">
        <v>240</v>
      </c>
      <c r="DK412" s="5" t="s">
        <v>240</v>
      </c>
      <c r="DL412" s="5" t="s">
        <v>240</v>
      </c>
      <c r="DP412" s="5" t="s">
        <v>240</v>
      </c>
      <c r="DQ412" s="5" t="s">
        <v>240</v>
      </c>
      <c r="DR412" s="5" t="s">
        <v>240</v>
      </c>
      <c r="DS412" s="5" t="s">
        <v>240</v>
      </c>
      <c r="DV412" s="5" t="s">
        <v>957</v>
      </c>
      <c r="DW412" s="5" t="s">
        <v>590</v>
      </c>
      <c r="HO412" s="5" t="s">
        <v>312</v>
      </c>
    </row>
    <row r="413" spans="1:223" x14ac:dyDescent="0.4">
      <c r="A413" s="5">
        <v>1148</v>
      </c>
      <c r="B413" s="5">
        <v>1</v>
      </c>
      <c r="C413" s="5">
        <v>1</v>
      </c>
      <c r="D413" s="5" t="s">
        <v>1332</v>
      </c>
      <c r="E413" s="5" t="s">
        <v>1131</v>
      </c>
      <c r="F413" s="5" t="s">
        <v>254</v>
      </c>
      <c r="G413" s="5" t="s">
        <v>240</v>
      </c>
      <c r="H413" s="6" t="s">
        <v>1359</v>
      </c>
      <c r="I413" s="5" t="s">
        <v>1331</v>
      </c>
      <c r="J413" s="8">
        <f>238</f>
        <v>238</v>
      </c>
      <c r="K413" s="5" t="s">
        <v>308</v>
      </c>
      <c r="L413" s="7">
        <f>527170</f>
        <v>527170</v>
      </c>
      <c r="M413" s="7">
        <f>527170</f>
        <v>527170</v>
      </c>
      <c r="N413" s="5" t="s">
        <v>242</v>
      </c>
      <c r="O413" s="5">
        <v>1</v>
      </c>
      <c r="P413" s="5" t="s">
        <v>294</v>
      </c>
      <c r="Q413" s="5" t="s">
        <v>613</v>
      </c>
      <c r="R413" s="5" t="s">
        <v>240</v>
      </c>
      <c r="S413" s="5" t="s">
        <v>240</v>
      </c>
      <c r="T413" s="5" t="s">
        <v>243</v>
      </c>
      <c r="U413" s="5" t="s">
        <v>724</v>
      </c>
      <c r="V413" s="5" t="s">
        <v>240</v>
      </c>
      <c r="Y413" s="5" t="s">
        <v>240</v>
      </c>
      <c r="Z413" s="6" t="s">
        <v>298</v>
      </c>
      <c r="AB413" s="6" t="s">
        <v>240</v>
      </c>
      <c r="AE413" s="6" t="s">
        <v>299</v>
      </c>
      <c r="AF413" s="5" t="s">
        <v>248</v>
      </c>
      <c r="AG413" s="5" t="s">
        <v>249</v>
      </c>
      <c r="AW413" s="5" t="s">
        <v>251</v>
      </c>
      <c r="AX413" s="5" t="s">
        <v>240</v>
      </c>
      <c r="AY413" s="5" t="s">
        <v>253</v>
      </c>
      <c r="AZ413" s="5" t="s">
        <v>240</v>
      </c>
      <c r="BA413" s="5" t="s">
        <v>255</v>
      </c>
      <c r="BB413" s="5" t="s">
        <v>240</v>
      </c>
      <c r="BD413" s="5" t="s">
        <v>240</v>
      </c>
      <c r="BF413" s="5" t="s">
        <v>301</v>
      </c>
      <c r="BG413" s="6" t="s">
        <v>299</v>
      </c>
      <c r="BH413" s="5" t="s">
        <v>302</v>
      </c>
      <c r="BI413" s="5" t="s">
        <v>303</v>
      </c>
      <c r="BJ413" s="5" t="s">
        <v>240</v>
      </c>
      <c r="BK413" s="8">
        <f>0</f>
        <v>0</v>
      </c>
      <c r="BL413" s="7">
        <f>0</f>
        <v>0</v>
      </c>
      <c r="BM413" s="5" t="s">
        <v>258</v>
      </c>
      <c r="BN413" s="5" t="s">
        <v>259</v>
      </c>
      <c r="CB413" s="5" t="s">
        <v>240</v>
      </c>
      <c r="CC413" s="5" t="s">
        <v>240</v>
      </c>
      <c r="CG413" s="5" t="s">
        <v>617</v>
      </c>
      <c r="CH413" s="5" t="s">
        <v>305</v>
      </c>
      <c r="CI413" s="5" t="s">
        <v>240</v>
      </c>
      <c r="CL413" s="6" t="s">
        <v>261</v>
      </c>
      <c r="CM413" s="5" t="s">
        <v>240</v>
      </c>
      <c r="CN413" s="5" t="s">
        <v>263</v>
      </c>
      <c r="CO413" s="5" t="s">
        <v>240</v>
      </c>
      <c r="CP413" s="5" t="s">
        <v>240</v>
      </c>
      <c r="CQ413" s="5">
        <v>0</v>
      </c>
      <c r="CR413" s="5" t="s">
        <v>306</v>
      </c>
      <c r="CS413" s="5" t="s">
        <v>307</v>
      </c>
      <c r="CT413" s="5" t="s">
        <v>307</v>
      </c>
      <c r="CU413" s="5" t="s">
        <v>260</v>
      </c>
      <c r="CX413" s="7">
        <f>72655</f>
        <v>72655</v>
      </c>
      <c r="CY413" s="7">
        <f>0</f>
        <v>0</v>
      </c>
      <c r="DA413" s="7">
        <f>0</f>
        <v>0</v>
      </c>
      <c r="DC413" s="5" t="s">
        <v>854</v>
      </c>
      <c r="DD413" s="5" t="s">
        <v>240</v>
      </c>
      <c r="DF413" s="5" t="s">
        <v>450</v>
      </c>
      <c r="DG413" s="7">
        <f>0</f>
        <v>0</v>
      </c>
      <c r="DI413" s="5" t="s">
        <v>737</v>
      </c>
      <c r="DJ413" s="5" t="s">
        <v>240</v>
      </c>
      <c r="DK413" s="5" t="s">
        <v>240</v>
      </c>
      <c r="DL413" s="5" t="s">
        <v>240</v>
      </c>
      <c r="DP413" s="5" t="s">
        <v>240</v>
      </c>
      <c r="DQ413" s="5" t="s">
        <v>240</v>
      </c>
      <c r="DR413" s="5" t="s">
        <v>240</v>
      </c>
      <c r="DS413" s="5" t="s">
        <v>240</v>
      </c>
      <c r="DV413" s="5" t="s">
        <v>957</v>
      </c>
      <c r="DW413" s="5" t="s">
        <v>592</v>
      </c>
      <c r="HO413" s="5" t="s">
        <v>312</v>
      </c>
    </row>
    <row r="414" spans="1:223" x14ac:dyDescent="0.4">
      <c r="A414" s="5">
        <v>1149</v>
      </c>
      <c r="B414" s="5">
        <v>1</v>
      </c>
      <c r="C414" s="5">
        <v>1</v>
      </c>
      <c r="D414" s="5" t="s">
        <v>1332</v>
      </c>
      <c r="E414" s="5" t="s">
        <v>1131</v>
      </c>
      <c r="F414" s="5" t="s">
        <v>254</v>
      </c>
      <c r="G414" s="5" t="s">
        <v>240</v>
      </c>
      <c r="H414" s="6" t="s">
        <v>1358</v>
      </c>
      <c r="I414" s="5" t="s">
        <v>1331</v>
      </c>
      <c r="J414" s="8">
        <f>780</f>
        <v>780</v>
      </c>
      <c r="K414" s="5" t="s">
        <v>308</v>
      </c>
      <c r="L414" s="7">
        <f t="shared" ref="L414:M416" si="1">1727700</f>
        <v>1727700</v>
      </c>
      <c r="M414" s="7">
        <f t="shared" si="1"/>
        <v>1727700</v>
      </c>
      <c r="N414" s="5" t="s">
        <v>242</v>
      </c>
      <c r="O414" s="5">
        <v>1</v>
      </c>
      <c r="P414" s="5" t="s">
        <v>294</v>
      </c>
      <c r="Q414" s="5" t="s">
        <v>613</v>
      </c>
      <c r="R414" s="5" t="s">
        <v>240</v>
      </c>
      <c r="S414" s="5" t="s">
        <v>240</v>
      </c>
      <c r="T414" s="5" t="s">
        <v>243</v>
      </c>
      <c r="U414" s="5" t="s">
        <v>724</v>
      </c>
      <c r="V414" s="5" t="s">
        <v>240</v>
      </c>
      <c r="Y414" s="5" t="s">
        <v>240</v>
      </c>
      <c r="Z414" s="6" t="s">
        <v>298</v>
      </c>
      <c r="AB414" s="6" t="s">
        <v>240</v>
      </c>
      <c r="AE414" s="6" t="s">
        <v>299</v>
      </c>
      <c r="AF414" s="5" t="s">
        <v>248</v>
      </c>
      <c r="AG414" s="5" t="s">
        <v>249</v>
      </c>
      <c r="AW414" s="5" t="s">
        <v>251</v>
      </c>
      <c r="AX414" s="5" t="s">
        <v>240</v>
      </c>
      <c r="AY414" s="5" t="s">
        <v>253</v>
      </c>
      <c r="AZ414" s="5" t="s">
        <v>240</v>
      </c>
      <c r="BA414" s="5" t="s">
        <v>255</v>
      </c>
      <c r="BB414" s="5" t="s">
        <v>240</v>
      </c>
      <c r="BD414" s="5" t="s">
        <v>240</v>
      </c>
      <c r="BF414" s="5" t="s">
        <v>301</v>
      </c>
      <c r="BG414" s="6" t="s">
        <v>299</v>
      </c>
      <c r="BH414" s="5" t="s">
        <v>302</v>
      </c>
      <c r="BI414" s="5" t="s">
        <v>303</v>
      </c>
      <c r="BJ414" s="5" t="s">
        <v>240</v>
      </c>
      <c r="BK414" s="8">
        <f>0</f>
        <v>0</v>
      </c>
      <c r="BL414" s="7">
        <f>0</f>
        <v>0</v>
      </c>
      <c r="BM414" s="5" t="s">
        <v>258</v>
      </c>
      <c r="BN414" s="5" t="s">
        <v>259</v>
      </c>
      <c r="CB414" s="5" t="s">
        <v>240</v>
      </c>
      <c r="CC414" s="5" t="s">
        <v>240</v>
      </c>
      <c r="CG414" s="5" t="s">
        <v>617</v>
      </c>
      <c r="CH414" s="5" t="s">
        <v>305</v>
      </c>
      <c r="CI414" s="5" t="s">
        <v>240</v>
      </c>
      <c r="CL414" s="6" t="s">
        <v>261</v>
      </c>
      <c r="CM414" s="5" t="s">
        <v>240</v>
      </c>
      <c r="CN414" s="5" t="s">
        <v>263</v>
      </c>
      <c r="CO414" s="5" t="s">
        <v>240</v>
      </c>
      <c r="CP414" s="5" t="s">
        <v>240</v>
      </c>
      <c r="CQ414" s="5">
        <v>0</v>
      </c>
      <c r="CR414" s="5" t="s">
        <v>306</v>
      </c>
      <c r="CS414" s="5" t="s">
        <v>307</v>
      </c>
      <c r="CT414" s="5" t="s">
        <v>307</v>
      </c>
      <c r="CU414" s="5" t="s">
        <v>260</v>
      </c>
      <c r="CX414" s="7">
        <f>748</f>
        <v>748</v>
      </c>
      <c r="CY414" s="7">
        <f>0</f>
        <v>0</v>
      </c>
      <c r="DA414" s="7">
        <f>0</f>
        <v>0</v>
      </c>
      <c r="DC414" s="5" t="s">
        <v>854</v>
      </c>
      <c r="DD414" s="5" t="s">
        <v>240</v>
      </c>
      <c r="DF414" s="5" t="s">
        <v>854</v>
      </c>
      <c r="DG414" s="7">
        <f>68</f>
        <v>68</v>
      </c>
      <c r="DI414" s="5" t="s">
        <v>737</v>
      </c>
      <c r="DJ414" s="5" t="s">
        <v>240</v>
      </c>
      <c r="DK414" s="5" t="s">
        <v>240</v>
      </c>
      <c r="DL414" s="5" t="s">
        <v>240</v>
      </c>
      <c r="DP414" s="5" t="s">
        <v>240</v>
      </c>
      <c r="DQ414" s="5" t="s">
        <v>240</v>
      </c>
      <c r="DR414" s="5" t="s">
        <v>240</v>
      </c>
      <c r="DS414" s="5" t="s">
        <v>240</v>
      </c>
      <c r="DV414" s="5" t="s">
        <v>957</v>
      </c>
      <c r="DW414" s="5" t="s">
        <v>594</v>
      </c>
      <c r="HO414" s="5" t="s">
        <v>312</v>
      </c>
    </row>
    <row r="415" spans="1:223" x14ac:dyDescent="0.4">
      <c r="A415" s="5">
        <v>1150</v>
      </c>
      <c r="B415" s="5">
        <v>1</v>
      </c>
      <c r="C415" s="5">
        <v>1</v>
      </c>
      <c r="D415" s="5" t="s">
        <v>1332</v>
      </c>
      <c r="E415" s="5" t="s">
        <v>1131</v>
      </c>
      <c r="F415" s="5" t="s">
        <v>254</v>
      </c>
      <c r="G415" s="5" t="s">
        <v>240</v>
      </c>
      <c r="H415" s="6" t="s">
        <v>1357</v>
      </c>
      <c r="I415" s="5" t="s">
        <v>1331</v>
      </c>
      <c r="J415" s="8">
        <f>780</f>
        <v>780</v>
      </c>
      <c r="K415" s="5" t="s">
        <v>308</v>
      </c>
      <c r="L415" s="7">
        <f t="shared" si="1"/>
        <v>1727700</v>
      </c>
      <c r="M415" s="7">
        <f t="shared" si="1"/>
        <v>1727700</v>
      </c>
      <c r="N415" s="5" t="s">
        <v>242</v>
      </c>
      <c r="O415" s="5">
        <v>1</v>
      </c>
      <c r="P415" s="5" t="s">
        <v>294</v>
      </c>
      <c r="Q415" s="5" t="s">
        <v>613</v>
      </c>
      <c r="R415" s="5" t="s">
        <v>240</v>
      </c>
      <c r="S415" s="5" t="s">
        <v>240</v>
      </c>
      <c r="T415" s="5" t="s">
        <v>243</v>
      </c>
      <c r="U415" s="5" t="s">
        <v>724</v>
      </c>
      <c r="V415" s="5" t="s">
        <v>240</v>
      </c>
      <c r="Y415" s="5" t="s">
        <v>240</v>
      </c>
      <c r="Z415" s="6" t="s">
        <v>298</v>
      </c>
      <c r="AB415" s="6" t="s">
        <v>240</v>
      </c>
      <c r="AE415" s="6" t="s">
        <v>299</v>
      </c>
      <c r="AF415" s="5" t="s">
        <v>248</v>
      </c>
      <c r="AG415" s="5" t="s">
        <v>249</v>
      </c>
      <c r="AW415" s="5" t="s">
        <v>251</v>
      </c>
      <c r="AX415" s="5" t="s">
        <v>240</v>
      </c>
      <c r="AY415" s="5" t="s">
        <v>253</v>
      </c>
      <c r="AZ415" s="5" t="s">
        <v>240</v>
      </c>
      <c r="BA415" s="5" t="s">
        <v>255</v>
      </c>
      <c r="BB415" s="5" t="s">
        <v>240</v>
      </c>
      <c r="BD415" s="5" t="s">
        <v>240</v>
      </c>
      <c r="BF415" s="5" t="s">
        <v>301</v>
      </c>
      <c r="BG415" s="6" t="s">
        <v>299</v>
      </c>
      <c r="BH415" s="5" t="s">
        <v>302</v>
      </c>
      <c r="BI415" s="5" t="s">
        <v>303</v>
      </c>
      <c r="BJ415" s="5" t="s">
        <v>240</v>
      </c>
      <c r="BK415" s="8">
        <f>0</f>
        <v>0</v>
      </c>
      <c r="BL415" s="7">
        <f>0</f>
        <v>0</v>
      </c>
      <c r="BM415" s="5" t="s">
        <v>258</v>
      </c>
      <c r="BN415" s="5" t="s">
        <v>259</v>
      </c>
      <c r="CB415" s="5" t="s">
        <v>240</v>
      </c>
      <c r="CC415" s="5" t="s">
        <v>240</v>
      </c>
      <c r="CG415" s="5" t="s">
        <v>617</v>
      </c>
      <c r="CH415" s="5" t="s">
        <v>305</v>
      </c>
      <c r="CI415" s="5" t="s">
        <v>240</v>
      </c>
      <c r="CL415" s="6" t="s">
        <v>261</v>
      </c>
      <c r="CM415" s="5" t="s">
        <v>240</v>
      </c>
      <c r="CN415" s="5" t="s">
        <v>263</v>
      </c>
      <c r="CO415" s="5" t="s">
        <v>240</v>
      </c>
      <c r="CP415" s="5" t="s">
        <v>240</v>
      </c>
      <c r="CQ415" s="5">
        <v>0</v>
      </c>
      <c r="CR415" s="5" t="s">
        <v>306</v>
      </c>
      <c r="CS415" s="5" t="s">
        <v>307</v>
      </c>
      <c r="CT415" s="5" t="s">
        <v>307</v>
      </c>
      <c r="CU415" s="5" t="s">
        <v>260</v>
      </c>
      <c r="CX415" s="7">
        <f>5676</f>
        <v>5676</v>
      </c>
      <c r="CY415" s="7">
        <f>0</f>
        <v>0</v>
      </c>
      <c r="DA415" s="7">
        <f>0</f>
        <v>0</v>
      </c>
      <c r="DC415" s="5" t="s">
        <v>854</v>
      </c>
      <c r="DD415" s="5" t="s">
        <v>240</v>
      </c>
      <c r="DF415" s="5" t="s">
        <v>450</v>
      </c>
      <c r="DG415" s="7">
        <f>0</f>
        <v>0</v>
      </c>
      <c r="DI415" s="5" t="s">
        <v>737</v>
      </c>
      <c r="DJ415" s="5" t="s">
        <v>240</v>
      </c>
      <c r="DK415" s="5" t="s">
        <v>240</v>
      </c>
      <c r="DL415" s="5" t="s">
        <v>240</v>
      </c>
      <c r="DP415" s="5" t="s">
        <v>240</v>
      </c>
      <c r="DQ415" s="5" t="s">
        <v>240</v>
      </c>
      <c r="DR415" s="5" t="s">
        <v>240</v>
      </c>
      <c r="DS415" s="5" t="s">
        <v>240</v>
      </c>
      <c r="DV415" s="5" t="s">
        <v>957</v>
      </c>
      <c r="DW415" s="5" t="s">
        <v>596</v>
      </c>
      <c r="HO415" s="5" t="s">
        <v>312</v>
      </c>
    </row>
    <row r="416" spans="1:223" x14ac:dyDescent="0.4">
      <c r="A416" s="5">
        <v>1151</v>
      </c>
      <c r="B416" s="5">
        <v>1</v>
      </c>
      <c r="C416" s="5">
        <v>1</v>
      </c>
      <c r="D416" s="5" t="s">
        <v>1332</v>
      </c>
      <c r="E416" s="5" t="s">
        <v>1131</v>
      </c>
      <c r="F416" s="5" t="s">
        <v>254</v>
      </c>
      <c r="G416" s="5" t="s">
        <v>240</v>
      </c>
      <c r="H416" s="6" t="s">
        <v>1356</v>
      </c>
      <c r="I416" s="5" t="s">
        <v>1331</v>
      </c>
      <c r="J416" s="8">
        <f>780</f>
        <v>780</v>
      </c>
      <c r="K416" s="5" t="s">
        <v>308</v>
      </c>
      <c r="L416" s="7">
        <f t="shared" si="1"/>
        <v>1727700</v>
      </c>
      <c r="M416" s="7">
        <f t="shared" si="1"/>
        <v>1727700</v>
      </c>
      <c r="N416" s="5" t="s">
        <v>242</v>
      </c>
      <c r="O416" s="5">
        <v>1</v>
      </c>
      <c r="P416" s="5" t="s">
        <v>294</v>
      </c>
      <c r="Q416" s="5" t="s">
        <v>613</v>
      </c>
      <c r="R416" s="5" t="s">
        <v>240</v>
      </c>
      <c r="S416" s="5" t="s">
        <v>240</v>
      </c>
      <c r="T416" s="5" t="s">
        <v>243</v>
      </c>
      <c r="U416" s="5" t="s">
        <v>724</v>
      </c>
      <c r="V416" s="5" t="s">
        <v>240</v>
      </c>
      <c r="Y416" s="5" t="s">
        <v>240</v>
      </c>
      <c r="Z416" s="6" t="s">
        <v>298</v>
      </c>
      <c r="AB416" s="6" t="s">
        <v>240</v>
      </c>
      <c r="AE416" s="6" t="s">
        <v>299</v>
      </c>
      <c r="AF416" s="5" t="s">
        <v>248</v>
      </c>
      <c r="AG416" s="5" t="s">
        <v>249</v>
      </c>
      <c r="AW416" s="5" t="s">
        <v>251</v>
      </c>
      <c r="AX416" s="5" t="s">
        <v>240</v>
      </c>
      <c r="AY416" s="5" t="s">
        <v>253</v>
      </c>
      <c r="AZ416" s="5" t="s">
        <v>240</v>
      </c>
      <c r="BA416" s="5" t="s">
        <v>255</v>
      </c>
      <c r="BB416" s="5" t="s">
        <v>240</v>
      </c>
      <c r="BD416" s="5" t="s">
        <v>240</v>
      </c>
      <c r="BF416" s="5" t="s">
        <v>301</v>
      </c>
      <c r="BG416" s="6" t="s">
        <v>299</v>
      </c>
      <c r="BH416" s="5" t="s">
        <v>302</v>
      </c>
      <c r="BI416" s="5" t="s">
        <v>303</v>
      </c>
      <c r="BJ416" s="5" t="s">
        <v>240</v>
      </c>
      <c r="BK416" s="8">
        <f>0</f>
        <v>0</v>
      </c>
      <c r="BL416" s="7">
        <f>0</f>
        <v>0</v>
      </c>
      <c r="BM416" s="5" t="s">
        <v>258</v>
      </c>
      <c r="BN416" s="5" t="s">
        <v>259</v>
      </c>
      <c r="CB416" s="5" t="s">
        <v>240</v>
      </c>
      <c r="CC416" s="5" t="s">
        <v>240</v>
      </c>
      <c r="CG416" s="5" t="s">
        <v>617</v>
      </c>
      <c r="CH416" s="5" t="s">
        <v>305</v>
      </c>
      <c r="CI416" s="5" t="s">
        <v>240</v>
      </c>
      <c r="CL416" s="6" t="s">
        <v>261</v>
      </c>
      <c r="CM416" s="5" t="s">
        <v>240</v>
      </c>
      <c r="CN416" s="5" t="s">
        <v>263</v>
      </c>
      <c r="CO416" s="5" t="s">
        <v>240</v>
      </c>
      <c r="CP416" s="5" t="s">
        <v>240</v>
      </c>
      <c r="CQ416" s="5">
        <v>0</v>
      </c>
      <c r="CR416" s="5" t="s">
        <v>306</v>
      </c>
      <c r="CS416" s="5" t="s">
        <v>307</v>
      </c>
      <c r="CT416" s="5" t="s">
        <v>307</v>
      </c>
      <c r="CU416" s="5" t="s">
        <v>260</v>
      </c>
      <c r="CX416" s="7">
        <f>43461</f>
        <v>43461</v>
      </c>
      <c r="CY416" s="7">
        <f>0</f>
        <v>0</v>
      </c>
      <c r="DA416" s="7">
        <f>0</f>
        <v>0</v>
      </c>
      <c r="DC416" s="5" t="s">
        <v>854</v>
      </c>
      <c r="DD416" s="5" t="s">
        <v>240</v>
      </c>
      <c r="DF416" s="5" t="s">
        <v>450</v>
      </c>
      <c r="DG416" s="7">
        <f>0</f>
        <v>0</v>
      </c>
      <c r="DI416" s="5" t="s">
        <v>737</v>
      </c>
      <c r="DJ416" s="5" t="s">
        <v>240</v>
      </c>
      <c r="DK416" s="5" t="s">
        <v>240</v>
      </c>
      <c r="DL416" s="5" t="s">
        <v>240</v>
      </c>
      <c r="DP416" s="5" t="s">
        <v>240</v>
      </c>
      <c r="DQ416" s="5" t="s">
        <v>240</v>
      </c>
      <c r="DR416" s="5" t="s">
        <v>240</v>
      </c>
      <c r="DS416" s="5" t="s">
        <v>240</v>
      </c>
      <c r="DV416" s="5" t="s">
        <v>957</v>
      </c>
      <c r="DW416" s="5" t="s">
        <v>598</v>
      </c>
      <c r="HO416" s="5" t="s">
        <v>312</v>
      </c>
    </row>
    <row r="417" spans="1:223" x14ac:dyDescent="0.4">
      <c r="A417" s="5">
        <v>1152</v>
      </c>
      <c r="B417" s="5">
        <v>1</v>
      </c>
      <c r="C417" s="5">
        <v>1</v>
      </c>
      <c r="D417" s="5" t="s">
        <v>1332</v>
      </c>
      <c r="E417" s="5" t="s">
        <v>1131</v>
      </c>
      <c r="F417" s="5" t="s">
        <v>254</v>
      </c>
      <c r="G417" s="5" t="s">
        <v>240</v>
      </c>
      <c r="H417" s="6" t="s">
        <v>1355</v>
      </c>
      <c r="I417" s="5" t="s">
        <v>1331</v>
      </c>
      <c r="J417" s="8">
        <f>663</f>
        <v>663</v>
      </c>
      <c r="K417" s="5" t="s">
        <v>308</v>
      </c>
      <c r="L417" s="7">
        <f>1468545</f>
        <v>1468545</v>
      </c>
      <c r="M417" s="7">
        <f>1468545</f>
        <v>1468545</v>
      </c>
      <c r="N417" s="5" t="s">
        <v>242</v>
      </c>
      <c r="O417" s="5">
        <v>1</v>
      </c>
      <c r="P417" s="5" t="s">
        <v>294</v>
      </c>
      <c r="Q417" s="5" t="s">
        <v>613</v>
      </c>
      <c r="R417" s="5" t="s">
        <v>240</v>
      </c>
      <c r="S417" s="5" t="s">
        <v>240</v>
      </c>
      <c r="T417" s="5" t="s">
        <v>243</v>
      </c>
      <c r="U417" s="5" t="s">
        <v>724</v>
      </c>
      <c r="V417" s="5" t="s">
        <v>240</v>
      </c>
      <c r="Y417" s="5" t="s">
        <v>240</v>
      </c>
      <c r="Z417" s="6" t="s">
        <v>298</v>
      </c>
      <c r="AB417" s="6" t="s">
        <v>240</v>
      </c>
      <c r="AE417" s="6" t="s">
        <v>299</v>
      </c>
      <c r="AF417" s="5" t="s">
        <v>248</v>
      </c>
      <c r="AG417" s="5" t="s">
        <v>249</v>
      </c>
      <c r="AW417" s="5" t="s">
        <v>251</v>
      </c>
      <c r="AX417" s="5" t="s">
        <v>240</v>
      </c>
      <c r="AY417" s="5" t="s">
        <v>253</v>
      </c>
      <c r="AZ417" s="5" t="s">
        <v>240</v>
      </c>
      <c r="BA417" s="5" t="s">
        <v>255</v>
      </c>
      <c r="BB417" s="5" t="s">
        <v>240</v>
      </c>
      <c r="BD417" s="5" t="s">
        <v>240</v>
      </c>
      <c r="BF417" s="5" t="s">
        <v>301</v>
      </c>
      <c r="BG417" s="6" t="s">
        <v>299</v>
      </c>
      <c r="BH417" s="5" t="s">
        <v>302</v>
      </c>
      <c r="BI417" s="5" t="s">
        <v>303</v>
      </c>
      <c r="BJ417" s="5" t="s">
        <v>240</v>
      </c>
      <c r="BK417" s="8">
        <f>0</f>
        <v>0</v>
      </c>
      <c r="BL417" s="7">
        <f>0</f>
        <v>0</v>
      </c>
      <c r="BM417" s="5" t="s">
        <v>258</v>
      </c>
      <c r="BN417" s="5" t="s">
        <v>259</v>
      </c>
      <c r="CB417" s="5" t="s">
        <v>240</v>
      </c>
      <c r="CC417" s="5" t="s">
        <v>240</v>
      </c>
      <c r="CG417" s="5" t="s">
        <v>617</v>
      </c>
      <c r="CH417" s="5" t="s">
        <v>305</v>
      </c>
      <c r="CI417" s="5" t="s">
        <v>240</v>
      </c>
      <c r="CL417" s="6" t="s">
        <v>261</v>
      </c>
      <c r="CM417" s="5" t="s">
        <v>240</v>
      </c>
      <c r="CN417" s="5" t="s">
        <v>263</v>
      </c>
      <c r="CO417" s="5" t="s">
        <v>240</v>
      </c>
      <c r="CP417" s="5" t="s">
        <v>240</v>
      </c>
      <c r="CQ417" s="5">
        <v>0</v>
      </c>
      <c r="CR417" s="5" t="s">
        <v>306</v>
      </c>
      <c r="CS417" s="5" t="s">
        <v>307</v>
      </c>
      <c r="CT417" s="5" t="s">
        <v>307</v>
      </c>
      <c r="CU417" s="5" t="s">
        <v>260</v>
      </c>
      <c r="CX417" s="7">
        <f>24211</f>
        <v>24211</v>
      </c>
      <c r="CY417" s="7">
        <f>0</f>
        <v>0</v>
      </c>
      <c r="DA417" s="7">
        <f>0</f>
        <v>0</v>
      </c>
      <c r="DC417" s="5" t="s">
        <v>854</v>
      </c>
      <c r="DD417" s="5" t="s">
        <v>240</v>
      </c>
      <c r="DF417" s="5" t="s">
        <v>450</v>
      </c>
      <c r="DG417" s="7">
        <f>0</f>
        <v>0</v>
      </c>
      <c r="DI417" s="5" t="s">
        <v>737</v>
      </c>
      <c r="DJ417" s="5" t="s">
        <v>240</v>
      </c>
      <c r="DK417" s="5" t="s">
        <v>240</v>
      </c>
      <c r="DL417" s="5" t="s">
        <v>240</v>
      </c>
      <c r="DP417" s="5" t="s">
        <v>240</v>
      </c>
      <c r="DQ417" s="5" t="s">
        <v>240</v>
      </c>
      <c r="DR417" s="5" t="s">
        <v>240</v>
      </c>
      <c r="DS417" s="5" t="s">
        <v>240</v>
      </c>
      <c r="DV417" s="5" t="s">
        <v>957</v>
      </c>
      <c r="DW417" s="5" t="s">
        <v>600</v>
      </c>
      <c r="HO417" s="5" t="s">
        <v>312</v>
      </c>
    </row>
    <row r="418" spans="1:223" x14ac:dyDescent="0.4">
      <c r="A418" s="5">
        <v>1153</v>
      </c>
      <c r="B418" s="5">
        <v>1</v>
      </c>
      <c r="C418" s="5">
        <v>1</v>
      </c>
      <c r="D418" s="5" t="s">
        <v>1332</v>
      </c>
      <c r="E418" s="5" t="s">
        <v>1131</v>
      </c>
      <c r="F418" s="5" t="s">
        <v>254</v>
      </c>
      <c r="G418" s="5" t="s">
        <v>240</v>
      </c>
      <c r="H418" s="6" t="s">
        <v>1354</v>
      </c>
      <c r="I418" s="5" t="s">
        <v>1331</v>
      </c>
      <c r="J418" s="8">
        <f>780</f>
        <v>780</v>
      </c>
      <c r="K418" s="5" t="s">
        <v>308</v>
      </c>
      <c r="L418" s="7">
        <f>1727700</f>
        <v>1727700</v>
      </c>
      <c r="M418" s="7">
        <f>1727700</f>
        <v>1727700</v>
      </c>
      <c r="N418" s="5" t="s">
        <v>242</v>
      </c>
      <c r="O418" s="5">
        <v>1</v>
      </c>
      <c r="P418" s="5" t="s">
        <v>294</v>
      </c>
      <c r="Q418" s="5" t="s">
        <v>613</v>
      </c>
      <c r="R418" s="5" t="s">
        <v>240</v>
      </c>
      <c r="S418" s="5" t="s">
        <v>240</v>
      </c>
      <c r="T418" s="5" t="s">
        <v>243</v>
      </c>
      <c r="U418" s="5" t="s">
        <v>724</v>
      </c>
      <c r="V418" s="5" t="s">
        <v>240</v>
      </c>
      <c r="Y418" s="5" t="s">
        <v>240</v>
      </c>
      <c r="Z418" s="6" t="s">
        <v>298</v>
      </c>
      <c r="AB418" s="6" t="s">
        <v>240</v>
      </c>
      <c r="AE418" s="6" t="s">
        <v>299</v>
      </c>
      <c r="AF418" s="5" t="s">
        <v>248</v>
      </c>
      <c r="AG418" s="5" t="s">
        <v>249</v>
      </c>
      <c r="AW418" s="5" t="s">
        <v>251</v>
      </c>
      <c r="AX418" s="5" t="s">
        <v>240</v>
      </c>
      <c r="AY418" s="5" t="s">
        <v>253</v>
      </c>
      <c r="AZ418" s="5" t="s">
        <v>240</v>
      </c>
      <c r="BA418" s="5" t="s">
        <v>255</v>
      </c>
      <c r="BB418" s="5" t="s">
        <v>240</v>
      </c>
      <c r="BD418" s="5" t="s">
        <v>240</v>
      </c>
      <c r="BF418" s="5" t="s">
        <v>301</v>
      </c>
      <c r="BG418" s="6" t="s">
        <v>299</v>
      </c>
      <c r="BH418" s="5" t="s">
        <v>302</v>
      </c>
      <c r="BI418" s="5" t="s">
        <v>303</v>
      </c>
      <c r="BJ418" s="5" t="s">
        <v>240</v>
      </c>
      <c r="BK418" s="8">
        <f>0</f>
        <v>0</v>
      </c>
      <c r="BL418" s="7">
        <f>0</f>
        <v>0</v>
      </c>
      <c r="BM418" s="5" t="s">
        <v>258</v>
      </c>
      <c r="BN418" s="5" t="s">
        <v>259</v>
      </c>
      <c r="CB418" s="5" t="s">
        <v>240</v>
      </c>
      <c r="CC418" s="5" t="s">
        <v>240</v>
      </c>
      <c r="CG418" s="5" t="s">
        <v>617</v>
      </c>
      <c r="CH418" s="5" t="s">
        <v>305</v>
      </c>
      <c r="CI418" s="5" t="s">
        <v>240</v>
      </c>
      <c r="CL418" s="6" t="s">
        <v>261</v>
      </c>
      <c r="CM418" s="5" t="s">
        <v>240</v>
      </c>
      <c r="CN418" s="5" t="s">
        <v>263</v>
      </c>
      <c r="CO418" s="5" t="s">
        <v>240</v>
      </c>
      <c r="CP418" s="5" t="s">
        <v>240</v>
      </c>
      <c r="CQ418" s="5">
        <v>0</v>
      </c>
      <c r="CR418" s="5" t="s">
        <v>306</v>
      </c>
      <c r="CS418" s="5" t="s">
        <v>307</v>
      </c>
      <c r="CT418" s="5" t="s">
        <v>307</v>
      </c>
      <c r="CU418" s="5" t="s">
        <v>260</v>
      </c>
      <c r="CX418" s="7">
        <f>13277</f>
        <v>13277</v>
      </c>
      <c r="CY418" s="7">
        <f>0</f>
        <v>0</v>
      </c>
      <c r="DA418" s="7">
        <f>0</f>
        <v>0</v>
      </c>
      <c r="DC418" s="5" t="s">
        <v>854</v>
      </c>
      <c r="DD418" s="5" t="s">
        <v>240</v>
      </c>
      <c r="DF418" s="5" t="s">
        <v>450</v>
      </c>
      <c r="DG418" s="7">
        <f>0</f>
        <v>0</v>
      </c>
      <c r="DI418" s="5" t="s">
        <v>737</v>
      </c>
      <c r="DJ418" s="5" t="s">
        <v>240</v>
      </c>
      <c r="DK418" s="5" t="s">
        <v>240</v>
      </c>
      <c r="DL418" s="5" t="s">
        <v>240</v>
      </c>
      <c r="DP418" s="5" t="s">
        <v>240</v>
      </c>
      <c r="DQ418" s="5" t="s">
        <v>240</v>
      </c>
      <c r="DR418" s="5" t="s">
        <v>240</v>
      </c>
      <c r="DS418" s="5" t="s">
        <v>240</v>
      </c>
      <c r="DV418" s="5" t="s">
        <v>957</v>
      </c>
      <c r="DW418" s="5" t="s">
        <v>602</v>
      </c>
      <c r="HO418" s="5" t="s">
        <v>312</v>
      </c>
    </row>
    <row r="419" spans="1:223" x14ac:dyDescent="0.4">
      <c r="A419" s="5">
        <v>1154</v>
      </c>
      <c r="B419" s="5">
        <v>1</v>
      </c>
      <c r="C419" s="5">
        <v>1</v>
      </c>
      <c r="D419" s="5" t="s">
        <v>1332</v>
      </c>
      <c r="E419" s="5" t="s">
        <v>1131</v>
      </c>
      <c r="F419" s="5" t="s">
        <v>254</v>
      </c>
      <c r="G419" s="5" t="s">
        <v>240</v>
      </c>
      <c r="H419" s="6" t="s">
        <v>1353</v>
      </c>
      <c r="I419" s="5" t="s">
        <v>1331</v>
      </c>
      <c r="J419" s="8">
        <f>780</f>
        <v>780</v>
      </c>
      <c r="K419" s="5" t="s">
        <v>308</v>
      </c>
      <c r="L419" s="7">
        <f>1727700</f>
        <v>1727700</v>
      </c>
      <c r="M419" s="7">
        <f>1727700</f>
        <v>1727700</v>
      </c>
      <c r="N419" s="5" t="s">
        <v>242</v>
      </c>
      <c r="O419" s="5">
        <v>1</v>
      </c>
      <c r="P419" s="5" t="s">
        <v>294</v>
      </c>
      <c r="Q419" s="5" t="s">
        <v>613</v>
      </c>
      <c r="R419" s="5" t="s">
        <v>240</v>
      </c>
      <c r="S419" s="5" t="s">
        <v>240</v>
      </c>
      <c r="T419" s="5" t="s">
        <v>243</v>
      </c>
      <c r="U419" s="5" t="s">
        <v>724</v>
      </c>
      <c r="V419" s="5" t="s">
        <v>240</v>
      </c>
      <c r="Y419" s="5" t="s">
        <v>240</v>
      </c>
      <c r="Z419" s="6" t="s">
        <v>298</v>
      </c>
      <c r="AB419" s="6" t="s">
        <v>240</v>
      </c>
      <c r="AE419" s="6" t="s">
        <v>299</v>
      </c>
      <c r="AF419" s="5" t="s">
        <v>248</v>
      </c>
      <c r="AG419" s="5" t="s">
        <v>249</v>
      </c>
      <c r="AW419" s="5" t="s">
        <v>251</v>
      </c>
      <c r="AX419" s="5" t="s">
        <v>240</v>
      </c>
      <c r="AY419" s="5" t="s">
        <v>253</v>
      </c>
      <c r="AZ419" s="5" t="s">
        <v>240</v>
      </c>
      <c r="BA419" s="5" t="s">
        <v>255</v>
      </c>
      <c r="BB419" s="5" t="s">
        <v>240</v>
      </c>
      <c r="BD419" s="5" t="s">
        <v>240</v>
      </c>
      <c r="BF419" s="5" t="s">
        <v>301</v>
      </c>
      <c r="BG419" s="6" t="s">
        <v>299</v>
      </c>
      <c r="BH419" s="5" t="s">
        <v>302</v>
      </c>
      <c r="BI419" s="5" t="s">
        <v>303</v>
      </c>
      <c r="BJ419" s="5" t="s">
        <v>240</v>
      </c>
      <c r="BK419" s="8">
        <f>0</f>
        <v>0</v>
      </c>
      <c r="BL419" s="7">
        <f>0</f>
        <v>0</v>
      </c>
      <c r="BM419" s="5" t="s">
        <v>258</v>
      </c>
      <c r="BN419" s="5" t="s">
        <v>259</v>
      </c>
      <c r="CB419" s="5" t="s">
        <v>240</v>
      </c>
      <c r="CC419" s="5" t="s">
        <v>240</v>
      </c>
      <c r="CG419" s="5" t="s">
        <v>617</v>
      </c>
      <c r="CH419" s="5" t="s">
        <v>305</v>
      </c>
      <c r="CI419" s="5" t="s">
        <v>240</v>
      </c>
      <c r="CL419" s="6" t="s">
        <v>261</v>
      </c>
      <c r="CM419" s="5" t="s">
        <v>240</v>
      </c>
      <c r="CN419" s="5" t="s">
        <v>263</v>
      </c>
      <c r="CO419" s="5" t="s">
        <v>240</v>
      </c>
      <c r="CP419" s="5" t="s">
        <v>240</v>
      </c>
      <c r="CQ419" s="5">
        <v>0</v>
      </c>
      <c r="CR419" s="5" t="s">
        <v>306</v>
      </c>
      <c r="CS419" s="5" t="s">
        <v>307</v>
      </c>
      <c r="CT419" s="5" t="s">
        <v>307</v>
      </c>
      <c r="CU419" s="5" t="s">
        <v>260</v>
      </c>
      <c r="CX419" s="7">
        <f>1419</f>
        <v>1419</v>
      </c>
      <c r="CY419" s="7">
        <f>0</f>
        <v>0</v>
      </c>
      <c r="DA419" s="7">
        <f>0</f>
        <v>0</v>
      </c>
      <c r="DC419" s="5" t="s">
        <v>854</v>
      </c>
      <c r="DD419" s="5" t="s">
        <v>240</v>
      </c>
      <c r="DF419" s="5" t="s">
        <v>450</v>
      </c>
      <c r="DG419" s="7">
        <f>0</f>
        <v>0</v>
      </c>
      <c r="DI419" s="5" t="s">
        <v>737</v>
      </c>
      <c r="DJ419" s="5" t="s">
        <v>240</v>
      </c>
      <c r="DK419" s="5" t="s">
        <v>240</v>
      </c>
      <c r="DL419" s="5" t="s">
        <v>240</v>
      </c>
      <c r="DP419" s="5" t="s">
        <v>240</v>
      </c>
      <c r="DQ419" s="5" t="s">
        <v>240</v>
      </c>
      <c r="DR419" s="5" t="s">
        <v>240</v>
      </c>
      <c r="DS419" s="5" t="s">
        <v>240</v>
      </c>
      <c r="DV419" s="5" t="s">
        <v>957</v>
      </c>
      <c r="DW419" s="5" t="s">
        <v>604</v>
      </c>
      <c r="HO419" s="5" t="s">
        <v>312</v>
      </c>
    </row>
    <row r="420" spans="1:223" x14ac:dyDescent="0.4">
      <c r="A420" s="5">
        <v>1155</v>
      </c>
      <c r="B420" s="5">
        <v>1</v>
      </c>
      <c r="C420" s="5">
        <v>1</v>
      </c>
      <c r="D420" s="5" t="s">
        <v>1332</v>
      </c>
      <c r="E420" s="5" t="s">
        <v>1131</v>
      </c>
      <c r="F420" s="5" t="s">
        <v>254</v>
      </c>
      <c r="G420" s="5" t="s">
        <v>240</v>
      </c>
      <c r="H420" s="6" t="s">
        <v>1352</v>
      </c>
      <c r="I420" s="5" t="s">
        <v>1331</v>
      </c>
      <c r="J420" s="8">
        <f>614</f>
        <v>614</v>
      </c>
      <c r="K420" s="5" t="s">
        <v>308</v>
      </c>
      <c r="L420" s="7">
        <f>1360010</f>
        <v>1360010</v>
      </c>
      <c r="M420" s="7">
        <f>1360010</f>
        <v>1360010</v>
      </c>
      <c r="N420" s="5" t="s">
        <v>242</v>
      </c>
      <c r="O420" s="5">
        <v>1</v>
      </c>
      <c r="P420" s="5" t="s">
        <v>294</v>
      </c>
      <c r="Q420" s="5" t="s">
        <v>613</v>
      </c>
      <c r="R420" s="5" t="s">
        <v>240</v>
      </c>
      <c r="S420" s="5" t="s">
        <v>240</v>
      </c>
      <c r="T420" s="5" t="s">
        <v>243</v>
      </c>
      <c r="U420" s="5" t="s">
        <v>724</v>
      </c>
      <c r="V420" s="5" t="s">
        <v>240</v>
      </c>
      <c r="Y420" s="5" t="s">
        <v>240</v>
      </c>
      <c r="Z420" s="6" t="s">
        <v>298</v>
      </c>
      <c r="AB420" s="6" t="s">
        <v>240</v>
      </c>
      <c r="AE420" s="6" t="s">
        <v>299</v>
      </c>
      <c r="AF420" s="5" t="s">
        <v>248</v>
      </c>
      <c r="AG420" s="5" t="s">
        <v>249</v>
      </c>
      <c r="AW420" s="5" t="s">
        <v>251</v>
      </c>
      <c r="AX420" s="5" t="s">
        <v>240</v>
      </c>
      <c r="AY420" s="5" t="s">
        <v>253</v>
      </c>
      <c r="AZ420" s="5" t="s">
        <v>240</v>
      </c>
      <c r="BA420" s="5" t="s">
        <v>255</v>
      </c>
      <c r="BB420" s="5" t="s">
        <v>240</v>
      </c>
      <c r="BD420" s="5" t="s">
        <v>240</v>
      </c>
      <c r="BF420" s="5" t="s">
        <v>301</v>
      </c>
      <c r="BG420" s="6" t="s">
        <v>299</v>
      </c>
      <c r="BH420" s="5" t="s">
        <v>302</v>
      </c>
      <c r="BI420" s="5" t="s">
        <v>303</v>
      </c>
      <c r="BJ420" s="5" t="s">
        <v>240</v>
      </c>
      <c r="BK420" s="8">
        <f>0</f>
        <v>0</v>
      </c>
      <c r="BL420" s="7">
        <f>0</f>
        <v>0</v>
      </c>
      <c r="BM420" s="5" t="s">
        <v>258</v>
      </c>
      <c r="BN420" s="5" t="s">
        <v>259</v>
      </c>
      <c r="CB420" s="5" t="s">
        <v>240</v>
      </c>
      <c r="CC420" s="5" t="s">
        <v>240</v>
      </c>
      <c r="CG420" s="5" t="s">
        <v>617</v>
      </c>
      <c r="CH420" s="5" t="s">
        <v>305</v>
      </c>
      <c r="CI420" s="5" t="s">
        <v>240</v>
      </c>
      <c r="CL420" s="6" t="s">
        <v>261</v>
      </c>
      <c r="CM420" s="5" t="s">
        <v>240</v>
      </c>
      <c r="CN420" s="5" t="s">
        <v>263</v>
      </c>
      <c r="CO420" s="5" t="s">
        <v>240</v>
      </c>
      <c r="CP420" s="5" t="s">
        <v>240</v>
      </c>
      <c r="CQ420" s="5">
        <v>0</v>
      </c>
      <c r="CR420" s="5" t="s">
        <v>306</v>
      </c>
      <c r="CS420" s="5" t="s">
        <v>307</v>
      </c>
      <c r="CT420" s="5" t="s">
        <v>307</v>
      </c>
      <c r="CU420" s="5" t="s">
        <v>260</v>
      </c>
      <c r="CX420" s="7">
        <f>2442</f>
        <v>2442</v>
      </c>
      <c r="CY420" s="7">
        <f>0</f>
        <v>0</v>
      </c>
      <c r="DA420" s="7">
        <f>0</f>
        <v>0</v>
      </c>
      <c r="DC420" s="5" t="s">
        <v>854</v>
      </c>
      <c r="DD420" s="5" t="s">
        <v>240</v>
      </c>
      <c r="DF420" s="5" t="s">
        <v>450</v>
      </c>
      <c r="DG420" s="7">
        <f>0</f>
        <v>0</v>
      </c>
      <c r="DI420" s="5" t="s">
        <v>737</v>
      </c>
      <c r="DJ420" s="5" t="s">
        <v>240</v>
      </c>
      <c r="DK420" s="5" t="s">
        <v>240</v>
      </c>
      <c r="DL420" s="5" t="s">
        <v>240</v>
      </c>
      <c r="DP420" s="5" t="s">
        <v>240</v>
      </c>
      <c r="DQ420" s="5" t="s">
        <v>240</v>
      </c>
      <c r="DR420" s="5" t="s">
        <v>240</v>
      </c>
      <c r="DS420" s="5" t="s">
        <v>240</v>
      </c>
      <c r="DV420" s="5" t="s">
        <v>957</v>
      </c>
      <c r="DW420" s="5" t="s">
        <v>606</v>
      </c>
      <c r="HO420" s="5" t="s">
        <v>312</v>
      </c>
    </row>
    <row r="421" spans="1:223" x14ac:dyDescent="0.4">
      <c r="A421" s="5">
        <v>1156</v>
      </c>
      <c r="B421" s="5">
        <v>1</v>
      </c>
      <c r="C421" s="5">
        <v>1</v>
      </c>
      <c r="D421" s="5" t="s">
        <v>1332</v>
      </c>
      <c r="E421" s="5" t="s">
        <v>1131</v>
      </c>
      <c r="F421" s="5" t="s">
        <v>254</v>
      </c>
      <c r="G421" s="5" t="s">
        <v>240</v>
      </c>
      <c r="H421" s="6" t="s">
        <v>1351</v>
      </c>
      <c r="I421" s="5" t="s">
        <v>1331</v>
      </c>
      <c r="J421" s="8">
        <f>758</f>
        <v>758</v>
      </c>
      <c r="K421" s="5" t="s">
        <v>308</v>
      </c>
      <c r="L421" s="7">
        <f>1678970</f>
        <v>1678970</v>
      </c>
      <c r="M421" s="7">
        <f>1678970</f>
        <v>1678970</v>
      </c>
      <c r="N421" s="5" t="s">
        <v>242</v>
      </c>
      <c r="O421" s="5">
        <v>1</v>
      </c>
      <c r="P421" s="5" t="s">
        <v>294</v>
      </c>
      <c r="Q421" s="5" t="s">
        <v>613</v>
      </c>
      <c r="R421" s="5" t="s">
        <v>240</v>
      </c>
      <c r="S421" s="5" t="s">
        <v>240</v>
      </c>
      <c r="T421" s="5" t="s">
        <v>243</v>
      </c>
      <c r="U421" s="5" t="s">
        <v>724</v>
      </c>
      <c r="V421" s="5" t="s">
        <v>240</v>
      </c>
      <c r="Y421" s="5" t="s">
        <v>240</v>
      </c>
      <c r="Z421" s="6" t="s">
        <v>298</v>
      </c>
      <c r="AB421" s="6" t="s">
        <v>240</v>
      </c>
      <c r="AE421" s="6" t="s">
        <v>299</v>
      </c>
      <c r="AF421" s="5" t="s">
        <v>248</v>
      </c>
      <c r="AG421" s="5" t="s">
        <v>249</v>
      </c>
      <c r="AW421" s="5" t="s">
        <v>251</v>
      </c>
      <c r="AX421" s="5" t="s">
        <v>240</v>
      </c>
      <c r="AY421" s="5" t="s">
        <v>253</v>
      </c>
      <c r="AZ421" s="5" t="s">
        <v>240</v>
      </c>
      <c r="BA421" s="5" t="s">
        <v>255</v>
      </c>
      <c r="BB421" s="5" t="s">
        <v>240</v>
      </c>
      <c r="BD421" s="5" t="s">
        <v>240</v>
      </c>
      <c r="BF421" s="5" t="s">
        <v>301</v>
      </c>
      <c r="BG421" s="6" t="s">
        <v>299</v>
      </c>
      <c r="BH421" s="5" t="s">
        <v>302</v>
      </c>
      <c r="BI421" s="5" t="s">
        <v>303</v>
      </c>
      <c r="BJ421" s="5" t="s">
        <v>240</v>
      </c>
      <c r="BK421" s="8">
        <f>0</f>
        <v>0</v>
      </c>
      <c r="BL421" s="7">
        <f>0</f>
        <v>0</v>
      </c>
      <c r="BM421" s="5" t="s">
        <v>258</v>
      </c>
      <c r="BN421" s="5" t="s">
        <v>259</v>
      </c>
      <c r="CB421" s="5" t="s">
        <v>240</v>
      </c>
      <c r="CC421" s="5" t="s">
        <v>240</v>
      </c>
      <c r="CG421" s="5" t="s">
        <v>617</v>
      </c>
      <c r="CH421" s="5" t="s">
        <v>305</v>
      </c>
      <c r="CI421" s="5" t="s">
        <v>240</v>
      </c>
      <c r="CL421" s="6" t="s">
        <v>261</v>
      </c>
      <c r="CM421" s="5" t="s">
        <v>240</v>
      </c>
      <c r="CN421" s="5" t="s">
        <v>263</v>
      </c>
      <c r="CO421" s="5" t="s">
        <v>240</v>
      </c>
      <c r="CP421" s="5" t="s">
        <v>240</v>
      </c>
      <c r="CQ421" s="5">
        <v>0</v>
      </c>
      <c r="CR421" s="5" t="s">
        <v>306</v>
      </c>
      <c r="CS421" s="5" t="s">
        <v>307</v>
      </c>
      <c r="CT421" s="5" t="s">
        <v>307</v>
      </c>
      <c r="CU421" s="5" t="s">
        <v>260</v>
      </c>
      <c r="CX421" s="7">
        <f>7095</f>
        <v>7095</v>
      </c>
      <c r="CY421" s="7">
        <f>0</f>
        <v>0</v>
      </c>
      <c r="DA421" s="7">
        <f>0</f>
        <v>0</v>
      </c>
      <c r="DC421" s="5" t="s">
        <v>854</v>
      </c>
      <c r="DD421" s="5" t="s">
        <v>240</v>
      </c>
      <c r="DF421" s="5" t="s">
        <v>450</v>
      </c>
      <c r="DG421" s="7">
        <f>0</f>
        <v>0</v>
      </c>
      <c r="DI421" s="5" t="s">
        <v>737</v>
      </c>
      <c r="DJ421" s="5" t="s">
        <v>240</v>
      </c>
      <c r="DK421" s="5" t="s">
        <v>240</v>
      </c>
      <c r="DL421" s="5" t="s">
        <v>240</v>
      </c>
      <c r="DP421" s="5" t="s">
        <v>240</v>
      </c>
      <c r="DQ421" s="5" t="s">
        <v>240</v>
      </c>
      <c r="DR421" s="5" t="s">
        <v>240</v>
      </c>
      <c r="DS421" s="5" t="s">
        <v>240</v>
      </c>
      <c r="DV421" s="5" t="s">
        <v>957</v>
      </c>
      <c r="DW421" s="5" t="s">
        <v>608</v>
      </c>
      <c r="HO421" s="5" t="s">
        <v>312</v>
      </c>
    </row>
    <row r="422" spans="1:223" x14ac:dyDescent="0.4">
      <c r="A422" s="5">
        <v>1157</v>
      </c>
      <c r="B422" s="5">
        <v>1</v>
      </c>
      <c r="C422" s="5">
        <v>1</v>
      </c>
      <c r="D422" s="5" t="s">
        <v>1332</v>
      </c>
      <c r="E422" s="5" t="s">
        <v>1131</v>
      </c>
      <c r="F422" s="5" t="s">
        <v>254</v>
      </c>
      <c r="G422" s="5" t="s">
        <v>240</v>
      </c>
      <c r="H422" s="6" t="s">
        <v>1350</v>
      </c>
      <c r="I422" s="5" t="s">
        <v>1331</v>
      </c>
      <c r="J422" s="8">
        <f>939</f>
        <v>939</v>
      </c>
      <c r="K422" s="5" t="s">
        <v>308</v>
      </c>
      <c r="L422" s="7">
        <f t="shared" ref="L422:M425" si="2">2079885</f>
        <v>2079885</v>
      </c>
      <c r="M422" s="7">
        <f t="shared" si="2"/>
        <v>2079885</v>
      </c>
      <c r="N422" s="5" t="s">
        <v>242</v>
      </c>
      <c r="O422" s="5">
        <v>1</v>
      </c>
      <c r="P422" s="5" t="s">
        <v>294</v>
      </c>
      <c r="Q422" s="5" t="s">
        <v>613</v>
      </c>
      <c r="R422" s="5" t="s">
        <v>240</v>
      </c>
      <c r="S422" s="5" t="s">
        <v>240</v>
      </c>
      <c r="T422" s="5" t="s">
        <v>243</v>
      </c>
      <c r="U422" s="5" t="s">
        <v>724</v>
      </c>
      <c r="V422" s="5" t="s">
        <v>240</v>
      </c>
      <c r="Y422" s="5" t="s">
        <v>240</v>
      </c>
      <c r="Z422" s="6" t="s">
        <v>298</v>
      </c>
      <c r="AB422" s="6" t="s">
        <v>240</v>
      </c>
      <c r="AE422" s="6" t="s">
        <v>299</v>
      </c>
      <c r="AF422" s="5" t="s">
        <v>248</v>
      </c>
      <c r="AG422" s="5" t="s">
        <v>249</v>
      </c>
      <c r="AW422" s="5" t="s">
        <v>251</v>
      </c>
      <c r="AX422" s="5" t="s">
        <v>240</v>
      </c>
      <c r="AY422" s="5" t="s">
        <v>253</v>
      </c>
      <c r="AZ422" s="5" t="s">
        <v>240</v>
      </c>
      <c r="BA422" s="5" t="s">
        <v>255</v>
      </c>
      <c r="BB422" s="5" t="s">
        <v>240</v>
      </c>
      <c r="BD422" s="5" t="s">
        <v>240</v>
      </c>
      <c r="BF422" s="5" t="s">
        <v>301</v>
      </c>
      <c r="BG422" s="6" t="s">
        <v>299</v>
      </c>
      <c r="BH422" s="5" t="s">
        <v>302</v>
      </c>
      <c r="BI422" s="5" t="s">
        <v>303</v>
      </c>
      <c r="BJ422" s="5" t="s">
        <v>240</v>
      </c>
      <c r="BK422" s="8">
        <f>0</f>
        <v>0</v>
      </c>
      <c r="BL422" s="7">
        <f>0</f>
        <v>0</v>
      </c>
      <c r="BM422" s="5" t="s">
        <v>258</v>
      </c>
      <c r="BN422" s="5" t="s">
        <v>259</v>
      </c>
      <c r="CB422" s="5" t="s">
        <v>240</v>
      </c>
      <c r="CC422" s="5" t="s">
        <v>240</v>
      </c>
      <c r="CG422" s="5" t="s">
        <v>617</v>
      </c>
      <c r="CH422" s="5" t="s">
        <v>305</v>
      </c>
      <c r="CI422" s="5" t="s">
        <v>240</v>
      </c>
      <c r="CL422" s="6" t="s">
        <v>261</v>
      </c>
      <c r="CM422" s="5" t="s">
        <v>240</v>
      </c>
      <c r="CN422" s="5" t="s">
        <v>263</v>
      </c>
      <c r="CO422" s="5" t="s">
        <v>240</v>
      </c>
      <c r="CP422" s="5" t="s">
        <v>240</v>
      </c>
      <c r="CQ422" s="5">
        <v>0</v>
      </c>
      <c r="CR422" s="5" t="s">
        <v>306</v>
      </c>
      <c r="CS422" s="5" t="s">
        <v>307</v>
      </c>
      <c r="CT422" s="5" t="s">
        <v>307</v>
      </c>
      <c r="CU422" s="5" t="s">
        <v>260</v>
      </c>
      <c r="CX422" s="7">
        <f>6182</f>
        <v>6182</v>
      </c>
      <c r="CY422" s="7">
        <f>0</f>
        <v>0</v>
      </c>
      <c r="DA422" s="7">
        <f>0</f>
        <v>0</v>
      </c>
      <c r="DC422" s="5" t="s">
        <v>854</v>
      </c>
      <c r="DD422" s="5" t="s">
        <v>240</v>
      </c>
      <c r="DF422" s="5" t="s">
        <v>450</v>
      </c>
      <c r="DG422" s="7">
        <f>0</f>
        <v>0</v>
      </c>
      <c r="DI422" s="5" t="s">
        <v>737</v>
      </c>
      <c r="DJ422" s="5" t="s">
        <v>240</v>
      </c>
      <c r="DK422" s="5" t="s">
        <v>240</v>
      </c>
      <c r="DL422" s="5" t="s">
        <v>240</v>
      </c>
      <c r="DP422" s="5" t="s">
        <v>240</v>
      </c>
      <c r="DQ422" s="5" t="s">
        <v>240</v>
      </c>
      <c r="DR422" s="5" t="s">
        <v>240</v>
      </c>
      <c r="DS422" s="5" t="s">
        <v>240</v>
      </c>
      <c r="DV422" s="5" t="s">
        <v>957</v>
      </c>
      <c r="DW422" s="5" t="s">
        <v>610</v>
      </c>
      <c r="HO422" s="5" t="s">
        <v>312</v>
      </c>
    </row>
    <row r="423" spans="1:223" x14ac:dyDescent="0.4">
      <c r="A423" s="5">
        <v>1158</v>
      </c>
      <c r="B423" s="5">
        <v>1</v>
      </c>
      <c r="C423" s="5">
        <v>1</v>
      </c>
      <c r="D423" s="5" t="s">
        <v>1332</v>
      </c>
      <c r="E423" s="5" t="s">
        <v>1131</v>
      </c>
      <c r="F423" s="5" t="s">
        <v>254</v>
      </c>
      <c r="G423" s="5" t="s">
        <v>240</v>
      </c>
      <c r="H423" s="6" t="s">
        <v>1349</v>
      </c>
      <c r="I423" s="5" t="s">
        <v>1331</v>
      </c>
      <c r="J423" s="8">
        <f>939</f>
        <v>939</v>
      </c>
      <c r="K423" s="5" t="s">
        <v>308</v>
      </c>
      <c r="L423" s="7">
        <f t="shared" si="2"/>
        <v>2079885</v>
      </c>
      <c r="M423" s="7">
        <f t="shared" si="2"/>
        <v>2079885</v>
      </c>
      <c r="N423" s="5" t="s">
        <v>242</v>
      </c>
      <c r="O423" s="5">
        <v>1</v>
      </c>
      <c r="P423" s="5" t="s">
        <v>294</v>
      </c>
      <c r="Q423" s="5" t="s">
        <v>613</v>
      </c>
      <c r="R423" s="5" t="s">
        <v>240</v>
      </c>
      <c r="S423" s="5" t="s">
        <v>240</v>
      </c>
      <c r="T423" s="5" t="s">
        <v>243</v>
      </c>
      <c r="U423" s="5" t="s">
        <v>724</v>
      </c>
      <c r="V423" s="5" t="s">
        <v>240</v>
      </c>
      <c r="Y423" s="5" t="s">
        <v>240</v>
      </c>
      <c r="Z423" s="6" t="s">
        <v>298</v>
      </c>
      <c r="AB423" s="6" t="s">
        <v>240</v>
      </c>
      <c r="AE423" s="6" t="s">
        <v>299</v>
      </c>
      <c r="AF423" s="5" t="s">
        <v>248</v>
      </c>
      <c r="AG423" s="5" t="s">
        <v>249</v>
      </c>
      <c r="AW423" s="5" t="s">
        <v>251</v>
      </c>
      <c r="AX423" s="5" t="s">
        <v>240</v>
      </c>
      <c r="AY423" s="5" t="s">
        <v>253</v>
      </c>
      <c r="AZ423" s="5" t="s">
        <v>240</v>
      </c>
      <c r="BA423" s="5" t="s">
        <v>255</v>
      </c>
      <c r="BB423" s="5" t="s">
        <v>240</v>
      </c>
      <c r="BD423" s="5" t="s">
        <v>240</v>
      </c>
      <c r="BF423" s="5" t="s">
        <v>301</v>
      </c>
      <c r="BG423" s="6" t="s">
        <v>299</v>
      </c>
      <c r="BH423" s="5" t="s">
        <v>302</v>
      </c>
      <c r="BI423" s="5" t="s">
        <v>303</v>
      </c>
      <c r="BJ423" s="5" t="s">
        <v>240</v>
      </c>
      <c r="BK423" s="8">
        <f>0</f>
        <v>0</v>
      </c>
      <c r="BL423" s="7">
        <f>0</f>
        <v>0</v>
      </c>
      <c r="BM423" s="5" t="s">
        <v>258</v>
      </c>
      <c r="BN423" s="5" t="s">
        <v>259</v>
      </c>
      <c r="CB423" s="5" t="s">
        <v>240</v>
      </c>
      <c r="CC423" s="5" t="s">
        <v>240</v>
      </c>
      <c r="CG423" s="5" t="s">
        <v>617</v>
      </c>
      <c r="CH423" s="5" t="s">
        <v>305</v>
      </c>
      <c r="CI423" s="5" t="s">
        <v>240</v>
      </c>
      <c r="CL423" s="6" t="s">
        <v>261</v>
      </c>
      <c r="CM423" s="5" t="s">
        <v>240</v>
      </c>
      <c r="CN423" s="5" t="s">
        <v>263</v>
      </c>
      <c r="CO423" s="5" t="s">
        <v>240</v>
      </c>
      <c r="CP423" s="5" t="s">
        <v>240</v>
      </c>
      <c r="CQ423" s="5">
        <v>0</v>
      </c>
      <c r="CR423" s="5" t="s">
        <v>306</v>
      </c>
      <c r="CS423" s="5" t="s">
        <v>307</v>
      </c>
      <c r="CT423" s="5" t="s">
        <v>307</v>
      </c>
      <c r="CU423" s="5" t="s">
        <v>260</v>
      </c>
      <c r="CX423" s="7">
        <f>8008</f>
        <v>8008</v>
      </c>
      <c r="CY423" s="7">
        <f>0</f>
        <v>0</v>
      </c>
      <c r="DA423" s="7">
        <f>0</f>
        <v>0</v>
      </c>
      <c r="DC423" s="5" t="s">
        <v>450</v>
      </c>
      <c r="DD423" s="5" t="s">
        <v>240</v>
      </c>
      <c r="DF423" s="5" t="s">
        <v>450</v>
      </c>
      <c r="DG423" s="7">
        <f>0</f>
        <v>0</v>
      </c>
      <c r="DI423" s="5" t="s">
        <v>737</v>
      </c>
      <c r="DJ423" s="5" t="s">
        <v>240</v>
      </c>
      <c r="DK423" s="5" t="s">
        <v>240</v>
      </c>
      <c r="DL423" s="5" t="s">
        <v>240</v>
      </c>
      <c r="DP423" s="5" t="s">
        <v>240</v>
      </c>
      <c r="DQ423" s="5" t="s">
        <v>240</v>
      </c>
      <c r="DR423" s="5" t="s">
        <v>240</v>
      </c>
      <c r="DS423" s="5" t="s">
        <v>240</v>
      </c>
      <c r="DV423" s="5" t="s">
        <v>957</v>
      </c>
      <c r="DW423" s="5" t="s">
        <v>612</v>
      </c>
      <c r="HO423" s="5" t="s">
        <v>312</v>
      </c>
    </row>
    <row r="424" spans="1:223" x14ac:dyDescent="0.4">
      <c r="A424" s="5">
        <v>1159</v>
      </c>
      <c r="B424" s="5">
        <v>1</v>
      </c>
      <c r="C424" s="5">
        <v>1</v>
      </c>
      <c r="D424" s="5" t="s">
        <v>1332</v>
      </c>
      <c r="E424" s="5" t="s">
        <v>1131</v>
      </c>
      <c r="F424" s="5" t="s">
        <v>254</v>
      </c>
      <c r="G424" s="5" t="s">
        <v>240</v>
      </c>
      <c r="H424" s="6" t="s">
        <v>1348</v>
      </c>
      <c r="I424" s="5" t="s">
        <v>1331</v>
      </c>
      <c r="J424" s="8">
        <f>939</f>
        <v>939</v>
      </c>
      <c r="K424" s="5" t="s">
        <v>308</v>
      </c>
      <c r="L424" s="7">
        <f t="shared" si="2"/>
        <v>2079885</v>
      </c>
      <c r="M424" s="7">
        <f t="shared" si="2"/>
        <v>2079885</v>
      </c>
      <c r="N424" s="5" t="s">
        <v>242</v>
      </c>
      <c r="O424" s="5">
        <v>1</v>
      </c>
      <c r="P424" s="5" t="s">
        <v>294</v>
      </c>
      <c r="Q424" s="5" t="s">
        <v>613</v>
      </c>
      <c r="R424" s="5" t="s">
        <v>240</v>
      </c>
      <c r="S424" s="5" t="s">
        <v>240</v>
      </c>
      <c r="T424" s="5" t="s">
        <v>243</v>
      </c>
      <c r="U424" s="5" t="s">
        <v>724</v>
      </c>
      <c r="V424" s="5" t="s">
        <v>240</v>
      </c>
      <c r="Y424" s="5" t="s">
        <v>240</v>
      </c>
      <c r="Z424" s="6" t="s">
        <v>298</v>
      </c>
      <c r="AB424" s="6" t="s">
        <v>240</v>
      </c>
      <c r="AE424" s="6" t="s">
        <v>299</v>
      </c>
      <c r="AF424" s="5" t="s">
        <v>248</v>
      </c>
      <c r="AG424" s="5" t="s">
        <v>249</v>
      </c>
      <c r="AW424" s="5" t="s">
        <v>251</v>
      </c>
      <c r="AX424" s="5" t="s">
        <v>240</v>
      </c>
      <c r="AY424" s="5" t="s">
        <v>253</v>
      </c>
      <c r="AZ424" s="5" t="s">
        <v>240</v>
      </c>
      <c r="BA424" s="5" t="s">
        <v>255</v>
      </c>
      <c r="BB424" s="5" t="s">
        <v>240</v>
      </c>
      <c r="BD424" s="5" t="s">
        <v>240</v>
      </c>
      <c r="BF424" s="5" t="s">
        <v>301</v>
      </c>
      <c r="BG424" s="6" t="s">
        <v>299</v>
      </c>
      <c r="BH424" s="5" t="s">
        <v>302</v>
      </c>
      <c r="BI424" s="5" t="s">
        <v>303</v>
      </c>
      <c r="BJ424" s="5" t="s">
        <v>240</v>
      </c>
      <c r="BK424" s="8">
        <f>0</f>
        <v>0</v>
      </c>
      <c r="BL424" s="7">
        <f>0</f>
        <v>0</v>
      </c>
      <c r="BM424" s="5" t="s">
        <v>258</v>
      </c>
      <c r="BN424" s="5" t="s">
        <v>259</v>
      </c>
      <c r="CB424" s="5" t="s">
        <v>240</v>
      </c>
      <c r="CC424" s="5" t="s">
        <v>240</v>
      </c>
      <c r="CG424" s="5" t="s">
        <v>617</v>
      </c>
      <c r="CH424" s="5" t="s">
        <v>305</v>
      </c>
      <c r="CI424" s="5" t="s">
        <v>240</v>
      </c>
      <c r="CL424" s="6" t="s">
        <v>261</v>
      </c>
      <c r="CM424" s="5" t="s">
        <v>240</v>
      </c>
      <c r="CN424" s="5" t="s">
        <v>263</v>
      </c>
      <c r="CO424" s="5" t="s">
        <v>240</v>
      </c>
      <c r="CP424" s="5" t="s">
        <v>240</v>
      </c>
      <c r="CQ424" s="5">
        <v>0</v>
      </c>
      <c r="CR424" s="5" t="s">
        <v>306</v>
      </c>
      <c r="CS424" s="5" t="s">
        <v>307</v>
      </c>
      <c r="CT424" s="5" t="s">
        <v>307</v>
      </c>
      <c r="CU424" s="5" t="s">
        <v>260</v>
      </c>
      <c r="CX424" s="7">
        <f>6028</f>
        <v>6028</v>
      </c>
      <c r="CY424" s="7">
        <f>0</f>
        <v>0</v>
      </c>
      <c r="DA424" s="7">
        <f>0</f>
        <v>0</v>
      </c>
      <c r="DC424" s="5" t="s">
        <v>854</v>
      </c>
      <c r="DD424" s="5" t="s">
        <v>240</v>
      </c>
      <c r="DF424" s="5" t="s">
        <v>450</v>
      </c>
      <c r="DG424" s="7">
        <f>0</f>
        <v>0</v>
      </c>
      <c r="DI424" s="5" t="s">
        <v>737</v>
      </c>
      <c r="DJ424" s="5" t="s">
        <v>240</v>
      </c>
      <c r="DK424" s="5" t="s">
        <v>240</v>
      </c>
      <c r="DL424" s="5" t="s">
        <v>240</v>
      </c>
      <c r="DP424" s="5" t="s">
        <v>240</v>
      </c>
      <c r="DQ424" s="5" t="s">
        <v>240</v>
      </c>
      <c r="DR424" s="5" t="s">
        <v>240</v>
      </c>
      <c r="DS424" s="5" t="s">
        <v>240</v>
      </c>
      <c r="DV424" s="5" t="s">
        <v>957</v>
      </c>
      <c r="DW424" s="5" t="s">
        <v>1151</v>
      </c>
      <c r="HO424" s="5" t="s">
        <v>312</v>
      </c>
    </row>
    <row r="425" spans="1:223" x14ac:dyDescent="0.4">
      <c r="A425" s="5">
        <v>1160</v>
      </c>
      <c r="B425" s="5">
        <v>1</v>
      </c>
      <c r="C425" s="5">
        <v>1</v>
      </c>
      <c r="D425" s="5" t="s">
        <v>1332</v>
      </c>
      <c r="E425" s="5" t="s">
        <v>1131</v>
      </c>
      <c r="F425" s="5" t="s">
        <v>254</v>
      </c>
      <c r="G425" s="5" t="s">
        <v>240</v>
      </c>
      <c r="H425" s="6" t="s">
        <v>1347</v>
      </c>
      <c r="I425" s="5" t="s">
        <v>1331</v>
      </c>
      <c r="J425" s="8">
        <f>939</f>
        <v>939</v>
      </c>
      <c r="K425" s="5" t="s">
        <v>308</v>
      </c>
      <c r="L425" s="7">
        <f t="shared" si="2"/>
        <v>2079885</v>
      </c>
      <c r="M425" s="7">
        <f t="shared" si="2"/>
        <v>2079885</v>
      </c>
      <c r="N425" s="5" t="s">
        <v>242</v>
      </c>
      <c r="O425" s="5">
        <v>1</v>
      </c>
      <c r="P425" s="5" t="s">
        <v>294</v>
      </c>
      <c r="Q425" s="5" t="s">
        <v>613</v>
      </c>
      <c r="R425" s="5" t="s">
        <v>240</v>
      </c>
      <c r="S425" s="5" t="s">
        <v>240</v>
      </c>
      <c r="T425" s="5" t="s">
        <v>243</v>
      </c>
      <c r="U425" s="5" t="s">
        <v>724</v>
      </c>
      <c r="V425" s="5" t="s">
        <v>240</v>
      </c>
      <c r="Y425" s="5" t="s">
        <v>240</v>
      </c>
      <c r="Z425" s="6" t="s">
        <v>298</v>
      </c>
      <c r="AB425" s="6" t="s">
        <v>240</v>
      </c>
      <c r="AE425" s="6" t="s">
        <v>299</v>
      </c>
      <c r="AF425" s="5" t="s">
        <v>248</v>
      </c>
      <c r="AG425" s="5" t="s">
        <v>249</v>
      </c>
      <c r="AW425" s="5" t="s">
        <v>251</v>
      </c>
      <c r="AX425" s="5" t="s">
        <v>240</v>
      </c>
      <c r="AY425" s="5" t="s">
        <v>253</v>
      </c>
      <c r="AZ425" s="5" t="s">
        <v>240</v>
      </c>
      <c r="BA425" s="5" t="s">
        <v>255</v>
      </c>
      <c r="BB425" s="5" t="s">
        <v>240</v>
      </c>
      <c r="BD425" s="5" t="s">
        <v>240</v>
      </c>
      <c r="BF425" s="5" t="s">
        <v>301</v>
      </c>
      <c r="BG425" s="6" t="s">
        <v>299</v>
      </c>
      <c r="BH425" s="5" t="s">
        <v>302</v>
      </c>
      <c r="BI425" s="5" t="s">
        <v>303</v>
      </c>
      <c r="BJ425" s="5" t="s">
        <v>240</v>
      </c>
      <c r="BK425" s="8">
        <f>0</f>
        <v>0</v>
      </c>
      <c r="BL425" s="7">
        <f>0</f>
        <v>0</v>
      </c>
      <c r="BM425" s="5" t="s">
        <v>258</v>
      </c>
      <c r="BN425" s="5" t="s">
        <v>259</v>
      </c>
      <c r="CB425" s="5" t="s">
        <v>240</v>
      </c>
      <c r="CC425" s="5" t="s">
        <v>240</v>
      </c>
      <c r="CG425" s="5" t="s">
        <v>617</v>
      </c>
      <c r="CH425" s="5" t="s">
        <v>305</v>
      </c>
      <c r="CI425" s="5" t="s">
        <v>240</v>
      </c>
      <c r="CL425" s="6" t="s">
        <v>261</v>
      </c>
      <c r="CM425" s="5" t="s">
        <v>240</v>
      </c>
      <c r="CN425" s="5" t="s">
        <v>263</v>
      </c>
      <c r="CO425" s="5" t="s">
        <v>240</v>
      </c>
      <c r="CP425" s="5" t="s">
        <v>240</v>
      </c>
      <c r="CQ425" s="5">
        <v>0</v>
      </c>
      <c r="CR425" s="5" t="s">
        <v>306</v>
      </c>
      <c r="CS425" s="5" t="s">
        <v>307</v>
      </c>
      <c r="CT425" s="5" t="s">
        <v>307</v>
      </c>
      <c r="CU425" s="5" t="s">
        <v>260</v>
      </c>
      <c r="CX425" s="7">
        <f>42757</f>
        <v>42757</v>
      </c>
      <c r="CY425" s="7">
        <f>0</f>
        <v>0</v>
      </c>
      <c r="DA425" s="7">
        <f>0</f>
        <v>0</v>
      </c>
      <c r="DC425" s="5" t="s">
        <v>854</v>
      </c>
      <c r="DD425" s="5" t="s">
        <v>240</v>
      </c>
      <c r="DF425" s="5" t="s">
        <v>450</v>
      </c>
      <c r="DG425" s="7">
        <f>0</f>
        <v>0</v>
      </c>
      <c r="DI425" s="5" t="s">
        <v>737</v>
      </c>
      <c r="DJ425" s="5" t="s">
        <v>240</v>
      </c>
      <c r="DK425" s="5" t="s">
        <v>240</v>
      </c>
      <c r="DL425" s="5" t="s">
        <v>240</v>
      </c>
      <c r="DP425" s="5" t="s">
        <v>240</v>
      </c>
      <c r="DQ425" s="5" t="s">
        <v>240</v>
      </c>
      <c r="DR425" s="5" t="s">
        <v>240</v>
      </c>
      <c r="DS425" s="5" t="s">
        <v>240</v>
      </c>
      <c r="DV425" s="5" t="s">
        <v>957</v>
      </c>
      <c r="DW425" s="5" t="s">
        <v>623</v>
      </c>
      <c r="HO425" s="5" t="s">
        <v>312</v>
      </c>
    </row>
    <row r="426" spans="1:223" x14ac:dyDescent="0.4">
      <c r="A426" s="5">
        <v>1161</v>
      </c>
      <c r="B426" s="5">
        <v>1</v>
      </c>
      <c r="C426" s="5">
        <v>1</v>
      </c>
      <c r="D426" s="5" t="s">
        <v>1332</v>
      </c>
      <c r="E426" s="5" t="s">
        <v>1131</v>
      </c>
      <c r="F426" s="5" t="s">
        <v>254</v>
      </c>
      <c r="G426" s="5" t="s">
        <v>240</v>
      </c>
      <c r="H426" s="6" t="s">
        <v>1346</v>
      </c>
      <c r="I426" s="5" t="s">
        <v>1331</v>
      </c>
      <c r="J426" s="8">
        <f>509</f>
        <v>509</v>
      </c>
      <c r="K426" s="5" t="s">
        <v>308</v>
      </c>
      <c r="L426" s="7">
        <f>1127435</f>
        <v>1127435</v>
      </c>
      <c r="M426" s="7">
        <f>1127435</f>
        <v>1127435</v>
      </c>
      <c r="N426" s="5" t="s">
        <v>242</v>
      </c>
      <c r="O426" s="5">
        <v>1</v>
      </c>
      <c r="P426" s="5" t="s">
        <v>294</v>
      </c>
      <c r="Q426" s="5" t="s">
        <v>613</v>
      </c>
      <c r="R426" s="5" t="s">
        <v>240</v>
      </c>
      <c r="S426" s="5" t="s">
        <v>240</v>
      </c>
      <c r="T426" s="5" t="s">
        <v>243</v>
      </c>
      <c r="U426" s="5" t="s">
        <v>724</v>
      </c>
      <c r="V426" s="5" t="s">
        <v>240</v>
      </c>
      <c r="Y426" s="5" t="s">
        <v>240</v>
      </c>
      <c r="Z426" s="6" t="s">
        <v>298</v>
      </c>
      <c r="AB426" s="6" t="s">
        <v>240</v>
      </c>
      <c r="AE426" s="6" t="s">
        <v>299</v>
      </c>
      <c r="AF426" s="5" t="s">
        <v>248</v>
      </c>
      <c r="AG426" s="5" t="s">
        <v>249</v>
      </c>
      <c r="AW426" s="5" t="s">
        <v>251</v>
      </c>
      <c r="AX426" s="5" t="s">
        <v>240</v>
      </c>
      <c r="AY426" s="5" t="s">
        <v>253</v>
      </c>
      <c r="AZ426" s="5" t="s">
        <v>240</v>
      </c>
      <c r="BA426" s="5" t="s">
        <v>255</v>
      </c>
      <c r="BB426" s="5" t="s">
        <v>240</v>
      </c>
      <c r="BD426" s="5" t="s">
        <v>240</v>
      </c>
      <c r="BF426" s="5" t="s">
        <v>301</v>
      </c>
      <c r="BG426" s="6" t="s">
        <v>299</v>
      </c>
      <c r="BH426" s="5" t="s">
        <v>302</v>
      </c>
      <c r="BI426" s="5" t="s">
        <v>303</v>
      </c>
      <c r="BJ426" s="5" t="s">
        <v>240</v>
      </c>
      <c r="BK426" s="8">
        <f>0</f>
        <v>0</v>
      </c>
      <c r="BL426" s="7">
        <f>0</f>
        <v>0</v>
      </c>
      <c r="BM426" s="5" t="s">
        <v>258</v>
      </c>
      <c r="BN426" s="5" t="s">
        <v>259</v>
      </c>
      <c r="CB426" s="5" t="s">
        <v>240</v>
      </c>
      <c r="CC426" s="5" t="s">
        <v>240</v>
      </c>
      <c r="CG426" s="5" t="s">
        <v>617</v>
      </c>
      <c r="CH426" s="5" t="s">
        <v>305</v>
      </c>
      <c r="CI426" s="5" t="s">
        <v>240</v>
      </c>
      <c r="CL426" s="6" t="s">
        <v>261</v>
      </c>
      <c r="CM426" s="5" t="s">
        <v>240</v>
      </c>
      <c r="CN426" s="5" t="s">
        <v>263</v>
      </c>
      <c r="CO426" s="5" t="s">
        <v>240</v>
      </c>
      <c r="CP426" s="5" t="s">
        <v>240</v>
      </c>
      <c r="CQ426" s="5">
        <v>0</v>
      </c>
      <c r="CR426" s="5" t="s">
        <v>306</v>
      </c>
      <c r="CS426" s="5" t="s">
        <v>307</v>
      </c>
      <c r="CT426" s="5" t="s">
        <v>307</v>
      </c>
      <c r="CU426" s="5" t="s">
        <v>260</v>
      </c>
      <c r="CX426" s="7">
        <f>32252</f>
        <v>32252</v>
      </c>
      <c r="CY426" s="7">
        <f>0</f>
        <v>0</v>
      </c>
      <c r="DA426" s="7">
        <f>0</f>
        <v>0</v>
      </c>
      <c r="DC426" s="5" t="s">
        <v>854</v>
      </c>
      <c r="DD426" s="5" t="s">
        <v>240</v>
      </c>
      <c r="DF426" s="5" t="s">
        <v>450</v>
      </c>
      <c r="DG426" s="7">
        <f>0</f>
        <v>0</v>
      </c>
      <c r="DI426" s="5" t="s">
        <v>737</v>
      </c>
      <c r="DJ426" s="5" t="s">
        <v>240</v>
      </c>
      <c r="DK426" s="5" t="s">
        <v>240</v>
      </c>
      <c r="DL426" s="5" t="s">
        <v>240</v>
      </c>
      <c r="DP426" s="5" t="s">
        <v>240</v>
      </c>
      <c r="DQ426" s="5" t="s">
        <v>240</v>
      </c>
      <c r="DR426" s="5" t="s">
        <v>240</v>
      </c>
      <c r="DS426" s="5" t="s">
        <v>240</v>
      </c>
      <c r="DV426" s="5" t="s">
        <v>957</v>
      </c>
      <c r="DW426" s="5" t="s">
        <v>625</v>
      </c>
      <c r="HO426" s="5" t="s">
        <v>312</v>
      </c>
    </row>
    <row r="427" spans="1:223" x14ac:dyDescent="0.4">
      <c r="A427" s="5">
        <v>1162</v>
      </c>
      <c r="B427" s="5">
        <v>1</v>
      </c>
      <c r="C427" s="5">
        <v>1</v>
      </c>
      <c r="D427" s="5" t="s">
        <v>1332</v>
      </c>
      <c r="E427" s="5" t="s">
        <v>1131</v>
      </c>
      <c r="F427" s="5" t="s">
        <v>254</v>
      </c>
      <c r="G427" s="5" t="s">
        <v>240</v>
      </c>
      <c r="H427" s="6" t="s">
        <v>1345</v>
      </c>
      <c r="I427" s="5" t="s">
        <v>1331</v>
      </c>
      <c r="J427" s="8">
        <f>442</f>
        <v>442</v>
      </c>
      <c r="K427" s="5" t="s">
        <v>308</v>
      </c>
      <c r="L427" s="7">
        <f>979030</f>
        <v>979030</v>
      </c>
      <c r="M427" s="7">
        <f>979030</f>
        <v>979030</v>
      </c>
      <c r="N427" s="5" t="s">
        <v>242</v>
      </c>
      <c r="O427" s="5">
        <v>1</v>
      </c>
      <c r="P427" s="5" t="s">
        <v>294</v>
      </c>
      <c r="Q427" s="5" t="s">
        <v>613</v>
      </c>
      <c r="R427" s="5" t="s">
        <v>240</v>
      </c>
      <c r="S427" s="5" t="s">
        <v>240</v>
      </c>
      <c r="T427" s="5" t="s">
        <v>243</v>
      </c>
      <c r="U427" s="5" t="s">
        <v>724</v>
      </c>
      <c r="V427" s="5" t="s">
        <v>240</v>
      </c>
      <c r="Y427" s="5" t="s">
        <v>240</v>
      </c>
      <c r="Z427" s="6" t="s">
        <v>298</v>
      </c>
      <c r="AB427" s="6" t="s">
        <v>240</v>
      </c>
      <c r="AE427" s="6" t="s">
        <v>299</v>
      </c>
      <c r="AF427" s="5" t="s">
        <v>248</v>
      </c>
      <c r="AG427" s="5" t="s">
        <v>249</v>
      </c>
      <c r="AW427" s="5" t="s">
        <v>251</v>
      </c>
      <c r="AX427" s="5" t="s">
        <v>240</v>
      </c>
      <c r="AY427" s="5" t="s">
        <v>253</v>
      </c>
      <c r="AZ427" s="5" t="s">
        <v>240</v>
      </c>
      <c r="BA427" s="5" t="s">
        <v>255</v>
      </c>
      <c r="BB427" s="5" t="s">
        <v>240</v>
      </c>
      <c r="BD427" s="5" t="s">
        <v>240</v>
      </c>
      <c r="BF427" s="5" t="s">
        <v>301</v>
      </c>
      <c r="BG427" s="6" t="s">
        <v>299</v>
      </c>
      <c r="BH427" s="5" t="s">
        <v>302</v>
      </c>
      <c r="BI427" s="5" t="s">
        <v>303</v>
      </c>
      <c r="BJ427" s="5" t="s">
        <v>240</v>
      </c>
      <c r="BK427" s="8">
        <f>0</f>
        <v>0</v>
      </c>
      <c r="BL427" s="7">
        <f>0</f>
        <v>0</v>
      </c>
      <c r="BM427" s="5" t="s">
        <v>258</v>
      </c>
      <c r="BN427" s="5" t="s">
        <v>259</v>
      </c>
      <c r="CB427" s="5" t="s">
        <v>240</v>
      </c>
      <c r="CC427" s="5" t="s">
        <v>240</v>
      </c>
      <c r="CG427" s="5" t="s">
        <v>617</v>
      </c>
      <c r="CH427" s="5" t="s">
        <v>305</v>
      </c>
      <c r="CI427" s="5" t="s">
        <v>240</v>
      </c>
      <c r="CL427" s="6" t="s">
        <v>261</v>
      </c>
      <c r="CM427" s="5" t="s">
        <v>240</v>
      </c>
      <c r="CN427" s="5" t="s">
        <v>263</v>
      </c>
      <c r="CO427" s="5" t="s">
        <v>240</v>
      </c>
      <c r="CP427" s="5" t="s">
        <v>240</v>
      </c>
      <c r="CQ427" s="5">
        <v>0</v>
      </c>
      <c r="CR427" s="5" t="s">
        <v>306</v>
      </c>
      <c r="CS427" s="5" t="s">
        <v>307</v>
      </c>
      <c r="CT427" s="5" t="s">
        <v>307</v>
      </c>
      <c r="CU427" s="5" t="s">
        <v>260</v>
      </c>
      <c r="CX427" s="7">
        <f>36025</f>
        <v>36025</v>
      </c>
      <c r="CY427" s="7">
        <f>0</f>
        <v>0</v>
      </c>
      <c r="DA427" s="7">
        <f>0</f>
        <v>0</v>
      </c>
      <c r="DC427" s="5" t="s">
        <v>854</v>
      </c>
      <c r="DD427" s="5" t="s">
        <v>240</v>
      </c>
      <c r="DF427" s="5" t="s">
        <v>450</v>
      </c>
      <c r="DG427" s="7">
        <f>0</f>
        <v>0</v>
      </c>
      <c r="DI427" s="5" t="s">
        <v>737</v>
      </c>
      <c r="DJ427" s="5" t="s">
        <v>240</v>
      </c>
      <c r="DK427" s="5" t="s">
        <v>240</v>
      </c>
      <c r="DL427" s="5" t="s">
        <v>240</v>
      </c>
      <c r="DP427" s="5" t="s">
        <v>240</v>
      </c>
      <c r="DQ427" s="5" t="s">
        <v>240</v>
      </c>
      <c r="DR427" s="5" t="s">
        <v>240</v>
      </c>
      <c r="DS427" s="5" t="s">
        <v>240</v>
      </c>
      <c r="DV427" s="5" t="s">
        <v>957</v>
      </c>
      <c r="DW427" s="5" t="s">
        <v>627</v>
      </c>
      <c r="HO427" s="5" t="s">
        <v>312</v>
      </c>
    </row>
    <row r="428" spans="1:223" x14ac:dyDescent="0.4">
      <c r="A428" s="5">
        <v>1163</v>
      </c>
      <c r="B428" s="5">
        <v>1</v>
      </c>
      <c r="C428" s="5">
        <v>1</v>
      </c>
      <c r="D428" s="5" t="s">
        <v>1332</v>
      </c>
      <c r="E428" s="5" t="s">
        <v>1131</v>
      </c>
      <c r="F428" s="5" t="s">
        <v>254</v>
      </c>
      <c r="G428" s="5" t="s">
        <v>240</v>
      </c>
      <c r="H428" s="6" t="s">
        <v>1343</v>
      </c>
      <c r="I428" s="5" t="s">
        <v>1331</v>
      </c>
      <c r="J428" s="8">
        <f>923</f>
        <v>923</v>
      </c>
      <c r="K428" s="5" t="s">
        <v>308</v>
      </c>
      <c r="L428" s="7">
        <f>2044445</f>
        <v>2044445</v>
      </c>
      <c r="M428" s="7">
        <f>2044445</f>
        <v>2044445</v>
      </c>
      <c r="N428" s="5" t="s">
        <v>242</v>
      </c>
      <c r="O428" s="5">
        <v>1</v>
      </c>
      <c r="P428" s="5" t="s">
        <v>294</v>
      </c>
      <c r="Q428" s="5" t="s">
        <v>613</v>
      </c>
      <c r="R428" s="5" t="s">
        <v>240</v>
      </c>
      <c r="S428" s="5" t="s">
        <v>240</v>
      </c>
      <c r="T428" s="5" t="s">
        <v>243</v>
      </c>
      <c r="U428" s="5" t="s">
        <v>724</v>
      </c>
      <c r="V428" s="5" t="s">
        <v>240</v>
      </c>
      <c r="Y428" s="5" t="s">
        <v>240</v>
      </c>
      <c r="Z428" s="6" t="s">
        <v>298</v>
      </c>
      <c r="AB428" s="6" t="s">
        <v>240</v>
      </c>
      <c r="AE428" s="6" t="s">
        <v>299</v>
      </c>
      <c r="AF428" s="5" t="s">
        <v>248</v>
      </c>
      <c r="AG428" s="5" t="s">
        <v>249</v>
      </c>
      <c r="AW428" s="5" t="s">
        <v>251</v>
      </c>
      <c r="AX428" s="5" t="s">
        <v>240</v>
      </c>
      <c r="AY428" s="5" t="s">
        <v>253</v>
      </c>
      <c r="AZ428" s="5" t="s">
        <v>240</v>
      </c>
      <c r="BA428" s="5" t="s">
        <v>255</v>
      </c>
      <c r="BB428" s="5" t="s">
        <v>240</v>
      </c>
      <c r="BD428" s="5" t="s">
        <v>240</v>
      </c>
      <c r="BF428" s="5" t="s">
        <v>301</v>
      </c>
      <c r="BG428" s="6" t="s">
        <v>299</v>
      </c>
      <c r="BH428" s="5" t="s">
        <v>302</v>
      </c>
      <c r="BI428" s="5" t="s">
        <v>303</v>
      </c>
      <c r="BJ428" s="5" t="s">
        <v>240</v>
      </c>
      <c r="BK428" s="8">
        <f>0</f>
        <v>0</v>
      </c>
      <c r="BL428" s="7">
        <f>0</f>
        <v>0</v>
      </c>
      <c r="BM428" s="5" t="s">
        <v>258</v>
      </c>
      <c r="BN428" s="5" t="s">
        <v>259</v>
      </c>
      <c r="CB428" s="5" t="s">
        <v>240</v>
      </c>
      <c r="CC428" s="5" t="s">
        <v>240</v>
      </c>
      <c r="CG428" s="5" t="s">
        <v>617</v>
      </c>
      <c r="CH428" s="5" t="s">
        <v>305</v>
      </c>
      <c r="CI428" s="5" t="s">
        <v>240</v>
      </c>
      <c r="CL428" s="6" t="s">
        <v>261</v>
      </c>
      <c r="CM428" s="5" t="s">
        <v>240</v>
      </c>
      <c r="CN428" s="5" t="s">
        <v>263</v>
      </c>
      <c r="CO428" s="5" t="s">
        <v>240</v>
      </c>
      <c r="CP428" s="5" t="s">
        <v>240</v>
      </c>
      <c r="CQ428" s="5">
        <v>0</v>
      </c>
      <c r="CR428" s="5" t="s">
        <v>306</v>
      </c>
      <c r="CS428" s="5" t="s">
        <v>307</v>
      </c>
      <c r="CT428" s="5" t="s">
        <v>307</v>
      </c>
      <c r="CU428" s="5" t="s">
        <v>260</v>
      </c>
      <c r="CX428" s="7">
        <f>20481</f>
        <v>20481</v>
      </c>
      <c r="CY428" s="7">
        <f>0</f>
        <v>0</v>
      </c>
      <c r="DA428" s="7">
        <f>0</f>
        <v>0</v>
      </c>
      <c r="DC428" s="5" t="s">
        <v>854</v>
      </c>
      <c r="DD428" s="5" t="s">
        <v>240</v>
      </c>
      <c r="DF428" s="5" t="s">
        <v>854</v>
      </c>
      <c r="DG428" s="7">
        <f>1861.98</f>
        <v>1861.98</v>
      </c>
      <c r="DI428" s="5" t="s">
        <v>737</v>
      </c>
      <c r="DJ428" s="5" t="s">
        <v>240</v>
      </c>
      <c r="DK428" s="5" t="s">
        <v>240</v>
      </c>
      <c r="DL428" s="5" t="s">
        <v>240</v>
      </c>
      <c r="DP428" s="5" t="s">
        <v>240</v>
      </c>
      <c r="DQ428" s="5" t="s">
        <v>240</v>
      </c>
      <c r="DR428" s="5" t="s">
        <v>240</v>
      </c>
      <c r="DS428" s="5" t="s">
        <v>240</v>
      </c>
      <c r="DV428" s="5" t="s">
        <v>957</v>
      </c>
      <c r="DW428" s="5" t="s">
        <v>629</v>
      </c>
      <c r="HO428" s="5" t="s">
        <v>312</v>
      </c>
    </row>
    <row r="429" spans="1:223" x14ac:dyDescent="0.4">
      <c r="A429" s="5">
        <v>1164</v>
      </c>
      <c r="B429" s="5">
        <v>1</v>
      </c>
      <c r="C429" s="5">
        <v>1</v>
      </c>
      <c r="D429" s="5" t="s">
        <v>1332</v>
      </c>
      <c r="E429" s="5" t="s">
        <v>1131</v>
      </c>
      <c r="F429" s="5" t="s">
        <v>254</v>
      </c>
      <c r="G429" s="5" t="s">
        <v>240</v>
      </c>
      <c r="H429" s="6" t="s">
        <v>1342</v>
      </c>
      <c r="I429" s="5" t="s">
        <v>1331</v>
      </c>
      <c r="J429" s="8">
        <f>939</f>
        <v>939</v>
      </c>
      <c r="K429" s="5" t="s">
        <v>308</v>
      </c>
      <c r="L429" s="7">
        <f>2079885</f>
        <v>2079885</v>
      </c>
      <c r="M429" s="7">
        <f>2079885</f>
        <v>2079885</v>
      </c>
      <c r="N429" s="5" t="s">
        <v>242</v>
      </c>
      <c r="O429" s="5">
        <v>1</v>
      </c>
      <c r="P429" s="5" t="s">
        <v>294</v>
      </c>
      <c r="Q429" s="5" t="s">
        <v>613</v>
      </c>
      <c r="R429" s="5" t="s">
        <v>240</v>
      </c>
      <c r="S429" s="5" t="s">
        <v>240</v>
      </c>
      <c r="T429" s="5" t="s">
        <v>243</v>
      </c>
      <c r="U429" s="5" t="s">
        <v>724</v>
      </c>
      <c r="V429" s="5" t="s">
        <v>240</v>
      </c>
      <c r="Y429" s="5" t="s">
        <v>240</v>
      </c>
      <c r="Z429" s="6" t="s">
        <v>298</v>
      </c>
      <c r="AB429" s="6" t="s">
        <v>240</v>
      </c>
      <c r="AE429" s="6" t="s">
        <v>299</v>
      </c>
      <c r="AF429" s="5" t="s">
        <v>248</v>
      </c>
      <c r="AG429" s="5" t="s">
        <v>249</v>
      </c>
      <c r="AW429" s="5" t="s">
        <v>251</v>
      </c>
      <c r="AX429" s="5" t="s">
        <v>240</v>
      </c>
      <c r="AY429" s="5" t="s">
        <v>253</v>
      </c>
      <c r="AZ429" s="5" t="s">
        <v>240</v>
      </c>
      <c r="BA429" s="5" t="s">
        <v>255</v>
      </c>
      <c r="BB429" s="5" t="s">
        <v>240</v>
      </c>
      <c r="BD429" s="5" t="s">
        <v>240</v>
      </c>
      <c r="BF429" s="5" t="s">
        <v>301</v>
      </c>
      <c r="BG429" s="6" t="s">
        <v>299</v>
      </c>
      <c r="BH429" s="5" t="s">
        <v>302</v>
      </c>
      <c r="BI429" s="5" t="s">
        <v>303</v>
      </c>
      <c r="BJ429" s="5" t="s">
        <v>240</v>
      </c>
      <c r="BK429" s="8">
        <f>0</f>
        <v>0</v>
      </c>
      <c r="BL429" s="7">
        <f>0</f>
        <v>0</v>
      </c>
      <c r="BM429" s="5" t="s">
        <v>258</v>
      </c>
      <c r="BN429" s="5" t="s">
        <v>259</v>
      </c>
      <c r="CB429" s="5" t="s">
        <v>240</v>
      </c>
      <c r="CC429" s="5" t="s">
        <v>240</v>
      </c>
      <c r="CG429" s="5" t="s">
        <v>617</v>
      </c>
      <c r="CH429" s="5" t="s">
        <v>305</v>
      </c>
      <c r="CI429" s="5" t="s">
        <v>240</v>
      </c>
      <c r="CL429" s="6" t="s">
        <v>261</v>
      </c>
      <c r="CM429" s="5" t="s">
        <v>240</v>
      </c>
      <c r="CN429" s="5" t="s">
        <v>263</v>
      </c>
      <c r="CO429" s="5" t="s">
        <v>240</v>
      </c>
      <c r="CP429" s="5" t="s">
        <v>240</v>
      </c>
      <c r="CQ429" s="5">
        <v>0</v>
      </c>
      <c r="CR429" s="5" t="s">
        <v>306</v>
      </c>
      <c r="CS429" s="5" t="s">
        <v>307</v>
      </c>
      <c r="CT429" s="5" t="s">
        <v>307</v>
      </c>
      <c r="CU429" s="5" t="s">
        <v>260</v>
      </c>
      <c r="CX429" s="7">
        <f>6215</f>
        <v>6215</v>
      </c>
      <c r="CY429" s="7">
        <f>0</f>
        <v>0</v>
      </c>
      <c r="DA429" s="7">
        <f>0</f>
        <v>0</v>
      </c>
      <c r="DC429" s="5" t="s">
        <v>854</v>
      </c>
      <c r="DD429" s="5" t="s">
        <v>240</v>
      </c>
      <c r="DF429" s="5" t="s">
        <v>450</v>
      </c>
      <c r="DG429" s="7">
        <f>0</f>
        <v>0</v>
      </c>
      <c r="DI429" s="5" t="s">
        <v>737</v>
      </c>
      <c r="DJ429" s="5" t="s">
        <v>240</v>
      </c>
      <c r="DK429" s="5" t="s">
        <v>240</v>
      </c>
      <c r="DL429" s="5" t="s">
        <v>240</v>
      </c>
      <c r="DP429" s="5" t="s">
        <v>240</v>
      </c>
      <c r="DQ429" s="5" t="s">
        <v>240</v>
      </c>
      <c r="DR429" s="5" t="s">
        <v>240</v>
      </c>
      <c r="DS429" s="5" t="s">
        <v>240</v>
      </c>
      <c r="DV429" s="5" t="s">
        <v>957</v>
      </c>
      <c r="DW429" s="5" t="s">
        <v>631</v>
      </c>
      <c r="HO429" s="5" t="s">
        <v>312</v>
      </c>
    </row>
    <row r="430" spans="1:223" x14ac:dyDescent="0.4">
      <c r="A430" s="5">
        <v>1165</v>
      </c>
      <c r="B430" s="5">
        <v>1</v>
      </c>
      <c r="C430" s="5">
        <v>1</v>
      </c>
      <c r="D430" s="5" t="s">
        <v>1332</v>
      </c>
      <c r="E430" s="5" t="s">
        <v>1131</v>
      </c>
      <c r="F430" s="5" t="s">
        <v>254</v>
      </c>
      <c r="G430" s="5" t="s">
        <v>240</v>
      </c>
      <c r="H430" s="6" t="s">
        <v>1341</v>
      </c>
      <c r="I430" s="5" t="s">
        <v>1331</v>
      </c>
      <c r="J430" s="8">
        <f>483</f>
        <v>483</v>
      </c>
      <c r="K430" s="5" t="s">
        <v>308</v>
      </c>
      <c r="L430" s="7">
        <f>1069845</f>
        <v>1069845</v>
      </c>
      <c r="M430" s="7">
        <f>1069845</f>
        <v>1069845</v>
      </c>
      <c r="N430" s="5" t="s">
        <v>242</v>
      </c>
      <c r="O430" s="5">
        <v>1</v>
      </c>
      <c r="P430" s="5" t="s">
        <v>294</v>
      </c>
      <c r="Q430" s="5" t="s">
        <v>613</v>
      </c>
      <c r="R430" s="5" t="s">
        <v>240</v>
      </c>
      <c r="S430" s="5" t="s">
        <v>240</v>
      </c>
      <c r="T430" s="5" t="s">
        <v>243</v>
      </c>
      <c r="U430" s="5" t="s">
        <v>724</v>
      </c>
      <c r="V430" s="5" t="s">
        <v>240</v>
      </c>
      <c r="Y430" s="5" t="s">
        <v>240</v>
      </c>
      <c r="Z430" s="6" t="s">
        <v>298</v>
      </c>
      <c r="AB430" s="6" t="s">
        <v>240</v>
      </c>
      <c r="AE430" s="6" t="s">
        <v>299</v>
      </c>
      <c r="AF430" s="5" t="s">
        <v>248</v>
      </c>
      <c r="AG430" s="5" t="s">
        <v>249</v>
      </c>
      <c r="AW430" s="5" t="s">
        <v>251</v>
      </c>
      <c r="AX430" s="5" t="s">
        <v>240</v>
      </c>
      <c r="AY430" s="5" t="s">
        <v>253</v>
      </c>
      <c r="AZ430" s="5" t="s">
        <v>240</v>
      </c>
      <c r="BA430" s="5" t="s">
        <v>255</v>
      </c>
      <c r="BB430" s="5" t="s">
        <v>240</v>
      </c>
      <c r="BD430" s="5" t="s">
        <v>240</v>
      </c>
      <c r="BF430" s="5" t="s">
        <v>301</v>
      </c>
      <c r="BG430" s="6" t="s">
        <v>299</v>
      </c>
      <c r="BH430" s="5" t="s">
        <v>302</v>
      </c>
      <c r="BI430" s="5" t="s">
        <v>303</v>
      </c>
      <c r="BJ430" s="5" t="s">
        <v>240</v>
      </c>
      <c r="BK430" s="8">
        <f>0</f>
        <v>0</v>
      </c>
      <c r="BL430" s="7">
        <f>0</f>
        <v>0</v>
      </c>
      <c r="BM430" s="5" t="s">
        <v>258</v>
      </c>
      <c r="BN430" s="5" t="s">
        <v>259</v>
      </c>
      <c r="CB430" s="5" t="s">
        <v>240</v>
      </c>
      <c r="CC430" s="5" t="s">
        <v>240</v>
      </c>
      <c r="CG430" s="5" t="s">
        <v>617</v>
      </c>
      <c r="CH430" s="5" t="s">
        <v>305</v>
      </c>
      <c r="CI430" s="5" t="s">
        <v>240</v>
      </c>
      <c r="CL430" s="6" t="s">
        <v>261</v>
      </c>
      <c r="CM430" s="5" t="s">
        <v>240</v>
      </c>
      <c r="CN430" s="5" t="s">
        <v>263</v>
      </c>
      <c r="CO430" s="5" t="s">
        <v>240</v>
      </c>
      <c r="CP430" s="5" t="s">
        <v>240</v>
      </c>
      <c r="CQ430" s="5">
        <v>0</v>
      </c>
      <c r="CR430" s="5" t="s">
        <v>306</v>
      </c>
      <c r="CS430" s="5" t="s">
        <v>307</v>
      </c>
      <c r="CT430" s="5" t="s">
        <v>307</v>
      </c>
      <c r="CU430" s="5" t="s">
        <v>260</v>
      </c>
      <c r="CX430" s="7">
        <f>20196</f>
        <v>20196</v>
      </c>
      <c r="CY430" s="7">
        <f>0</f>
        <v>0</v>
      </c>
      <c r="DA430" s="7">
        <f>0</f>
        <v>0</v>
      </c>
      <c r="DC430" s="5" t="s">
        <v>854</v>
      </c>
      <c r="DD430" s="5" t="s">
        <v>240</v>
      </c>
      <c r="DF430" s="5" t="s">
        <v>450</v>
      </c>
      <c r="DG430" s="7">
        <f>0</f>
        <v>0</v>
      </c>
      <c r="DI430" s="5" t="s">
        <v>737</v>
      </c>
      <c r="DJ430" s="5" t="s">
        <v>240</v>
      </c>
      <c r="DK430" s="5" t="s">
        <v>240</v>
      </c>
      <c r="DL430" s="5" t="s">
        <v>240</v>
      </c>
      <c r="DP430" s="5" t="s">
        <v>240</v>
      </c>
      <c r="DQ430" s="5" t="s">
        <v>240</v>
      </c>
      <c r="DR430" s="5" t="s">
        <v>240</v>
      </c>
      <c r="DS430" s="5" t="s">
        <v>240</v>
      </c>
      <c r="DV430" s="5" t="s">
        <v>957</v>
      </c>
      <c r="DW430" s="5" t="s">
        <v>633</v>
      </c>
      <c r="HO430" s="5" t="s">
        <v>312</v>
      </c>
    </row>
    <row r="431" spans="1:223" x14ac:dyDescent="0.4">
      <c r="A431" s="5">
        <v>1166</v>
      </c>
      <c r="B431" s="5">
        <v>1</v>
      </c>
      <c r="C431" s="5">
        <v>1</v>
      </c>
      <c r="D431" s="5" t="s">
        <v>1332</v>
      </c>
      <c r="E431" s="5" t="s">
        <v>1131</v>
      </c>
      <c r="F431" s="5" t="s">
        <v>254</v>
      </c>
      <c r="G431" s="5" t="s">
        <v>240</v>
      </c>
      <c r="H431" s="6" t="s">
        <v>1340</v>
      </c>
      <c r="I431" s="5" t="s">
        <v>1331</v>
      </c>
      <c r="J431" s="8">
        <f>468</f>
        <v>468</v>
      </c>
      <c r="K431" s="5" t="s">
        <v>308</v>
      </c>
      <c r="L431" s="7">
        <f t="shared" ref="L431:M434" si="3">1036620</f>
        <v>1036620</v>
      </c>
      <c r="M431" s="7">
        <f t="shared" si="3"/>
        <v>1036620</v>
      </c>
      <c r="N431" s="5" t="s">
        <v>242</v>
      </c>
      <c r="O431" s="5">
        <v>1</v>
      </c>
      <c r="P431" s="5" t="s">
        <v>294</v>
      </c>
      <c r="Q431" s="5" t="s">
        <v>613</v>
      </c>
      <c r="R431" s="5" t="s">
        <v>240</v>
      </c>
      <c r="S431" s="5" t="s">
        <v>240</v>
      </c>
      <c r="T431" s="5" t="s">
        <v>243</v>
      </c>
      <c r="U431" s="5" t="s">
        <v>724</v>
      </c>
      <c r="V431" s="5" t="s">
        <v>240</v>
      </c>
      <c r="Y431" s="5" t="s">
        <v>240</v>
      </c>
      <c r="Z431" s="6" t="s">
        <v>298</v>
      </c>
      <c r="AB431" s="6" t="s">
        <v>240</v>
      </c>
      <c r="AE431" s="6" t="s">
        <v>299</v>
      </c>
      <c r="AF431" s="5" t="s">
        <v>248</v>
      </c>
      <c r="AG431" s="5" t="s">
        <v>249</v>
      </c>
      <c r="AW431" s="5" t="s">
        <v>251</v>
      </c>
      <c r="AX431" s="5" t="s">
        <v>240</v>
      </c>
      <c r="AY431" s="5" t="s">
        <v>253</v>
      </c>
      <c r="AZ431" s="5" t="s">
        <v>240</v>
      </c>
      <c r="BA431" s="5" t="s">
        <v>255</v>
      </c>
      <c r="BB431" s="5" t="s">
        <v>240</v>
      </c>
      <c r="BD431" s="5" t="s">
        <v>240</v>
      </c>
      <c r="BF431" s="5" t="s">
        <v>301</v>
      </c>
      <c r="BG431" s="6" t="s">
        <v>299</v>
      </c>
      <c r="BH431" s="5" t="s">
        <v>302</v>
      </c>
      <c r="BI431" s="5" t="s">
        <v>303</v>
      </c>
      <c r="BJ431" s="5" t="s">
        <v>240</v>
      </c>
      <c r="BK431" s="8">
        <f>0</f>
        <v>0</v>
      </c>
      <c r="BL431" s="7">
        <f>0</f>
        <v>0</v>
      </c>
      <c r="BM431" s="5" t="s">
        <v>258</v>
      </c>
      <c r="BN431" s="5" t="s">
        <v>259</v>
      </c>
      <c r="CB431" s="5" t="s">
        <v>240</v>
      </c>
      <c r="CC431" s="5" t="s">
        <v>240</v>
      </c>
      <c r="CG431" s="5" t="s">
        <v>617</v>
      </c>
      <c r="CH431" s="5" t="s">
        <v>305</v>
      </c>
      <c r="CI431" s="5" t="s">
        <v>240</v>
      </c>
      <c r="CL431" s="6" t="s">
        <v>261</v>
      </c>
      <c r="CM431" s="5" t="s">
        <v>240</v>
      </c>
      <c r="CN431" s="5" t="s">
        <v>263</v>
      </c>
      <c r="CO431" s="5" t="s">
        <v>240</v>
      </c>
      <c r="CP431" s="5" t="s">
        <v>240</v>
      </c>
      <c r="CQ431" s="5">
        <v>0</v>
      </c>
      <c r="CR431" s="5" t="s">
        <v>306</v>
      </c>
      <c r="CS431" s="5" t="s">
        <v>307</v>
      </c>
      <c r="CT431" s="5" t="s">
        <v>307</v>
      </c>
      <c r="CU431" s="5" t="s">
        <v>260</v>
      </c>
      <c r="CX431" s="7">
        <f>21747</f>
        <v>21747</v>
      </c>
      <c r="CY431" s="7">
        <f>0</f>
        <v>0</v>
      </c>
      <c r="DA431" s="7">
        <f>0</f>
        <v>0</v>
      </c>
      <c r="DC431" s="5" t="s">
        <v>854</v>
      </c>
      <c r="DD431" s="5" t="s">
        <v>240</v>
      </c>
      <c r="DF431" s="5" t="s">
        <v>450</v>
      </c>
      <c r="DG431" s="7">
        <f>0</f>
        <v>0</v>
      </c>
      <c r="DI431" s="5" t="s">
        <v>737</v>
      </c>
      <c r="DJ431" s="5" t="s">
        <v>240</v>
      </c>
      <c r="DK431" s="5" t="s">
        <v>240</v>
      </c>
      <c r="DL431" s="5" t="s">
        <v>240</v>
      </c>
      <c r="DP431" s="5" t="s">
        <v>240</v>
      </c>
      <c r="DQ431" s="5" t="s">
        <v>240</v>
      </c>
      <c r="DR431" s="5" t="s">
        <v>240</v>
      </c>
      <c r="DS431" s="5" t="s">
        <v>240</v>
      </c>
      <c r="DV431" s="5" t="s">
        <v>957</v>
      </c>
      <c r="DW431" s="5" t="s">
        <v>635</v>
      </c>
      <c r="HO431" s="5" t="s">
        <v>312</v>
      </c>
    </row>
    <row r="432" spans="1:223" x14ac:dyDescent="0.4">
      <c r="A432" s="5">
        <v>1167</v>
      </c>
      <c r="B432" s="5">
        <v>1</v>
      </c>
      <c r="C432" s="5">
        <v>1</v>
      </c>
      <c r="D432" s="5" t="s">
        <v>1332</v>
      </c>
      <c r="E432" s="5" t="s">
        <v>1131</v>
      </c>
      <c r="F432" s="5" t="s">
        <v>254</v>
      </c>
      <c r="G432" s="5" t="s">
        <v>240</v>
      </c>
      <c r="H432" s="6" t="s">
        <v>1339</v>
      </c>
      <c r="I432" s="5" t="s">
        <v>1331</v>
      </c>
      <c r="J432" s="8">
        <f>468</f>
        <v>468</v>
      </c>
      <c r="K432" s="5" t="s">
        <v>308</v>
      </c>
      <c r="L432" s="7">
        <f t="shared" si="3"/>
        <v>1036620</v>
      </c>
      <c r="M432" s="7">
        <f t="shared" si="3"/>
        <v>1036620</v>
      </c>
      <c r="N432" s="5" t="s">
        <v>242</v>
      </c>
      <c r="O432" s="5">
        <v>1</v>
      </c>
      <c r="P432" s="5" t="s">
        <v>294</v>
      </c>
      <c r="Q432" s="5" t="s">
        <v>613</v>
      </c>
      <c r="R432" s="5" t="s">
        <v>240</v>
      </c>
      <c r="S432" s="5" t="s">
        <v>240</v>
      </c>
      <c r="T432" s="5" t="s">
        <v>243</v>
      </c>
      <c r="U432" s="5" t="s">
        <v>724</v>
      </c>
      <c r="V432" s="5" t="s">
        <v>240</v>
      </c>
      <c r="Y432" s="5" t="s">
        <v>240</v>
      </c>
      <c r="Z432" s="6" t="s">
        <v>298</v>
      </c>
      <c r="AB432" s="6" t="s">
        <v>240</v>
      </c>
      <c r="AE432" s="6" t="s">
        <v>299</v>
      </c>
      <c r="AF432" s="5" t="s">
        <v>248</v>
      </c>
      <c r="AG432" s="5" t="s">
        <v>249</v>
      </c>
      <c r="AW432" s="5" t="s">
        <v>251</v>
      </c>
      <c r="AX432" s="5" t="s">
        <v>240</v>
      </c>
      <c r="AY432" s="5" t="s">
        <v>253</v>
      </c>
      <c r="AZ432" s="5" t="s">
        <v>240</v>
      </c>
      <c r="BA432" s="5" t="s">
        <v>255</v>
      </c>
      <c r="BB432" s="5" t="s">
        <v>240</v>
      </c>
      <c r="BD432" s="5" t="s">
        <v>240</v>
      </c>
      <c r="BF432" s="5" t="s">
        <v>301</v>
      </c>
      <c r="BG432" s="6" t="s">
        <v>299</v>
      </c>
      <c r="BH432" s="5" t="s">
        <v>302</v>
      </c>
      <c r="BI432" s="5" t="s">
        <v>303</v>
      </c>
      <c r="BJ432" s="5" t="s">
        <v>240</v>
      </c>
      <c r="BK432" s="8">
        <f>0</f>
        <v>0</v>
      </c>
      <c r="BL432" s="7">
        <f>0</f>
        <v>0</v>
      </c>
      <c r="BM432" s="5" t="s">
        <v>258</v>
      </c>
      <c r="BN432" s="5" t="s">
        <v>259</v>
      </c>
      <c r="CB432" s="5" t="s">
        <v>240</v>
      </c>
      <c r="CC432" s="5" t="s">
        <v>240</v>
      </c>
      <c r="CG432" s="5" t="s">
        <v>617</v>
      </c>
      <c r="CH432" s="5" t="s">
        <v>305</v>
      </c>
      <c r="CI432" s="5" t="s">
        <v>240</v>
      </c>
      <c r="CL432" s="6" t="s">
        <v>261</v>
      </c>
      <c r="CM432" s="5" t="s">
        <v>240</v>
      </c>
      <c r="CN432" s="5" t="s">
        <v>263</v>
      </c>
      <c r="CO432" s="5" t="s">
        <v>240</v>
      </c>
      <c r="CP432" s="5" t="s">
        <v>240</v>
      </c>
      <c r="CQ432" s="5">
        <v>0</v>
      </c>
      <c r="CR432" s="5" t="s">
        <v>306</v>
      </c>
      <c r="CS432" s="5" t="s">
        <v>307</v>
      </c>
      <c r="CT432" s="5" t="s">
        <v>307</v>
      </c>
      <c r="CU432" s="5" t="s">
        <v>260</v>
      </c>
      <c r="CX432" s="7">
        <f>18843</f>
        <v>18843</v>
      </c>
      <c r="CY432" s="7">
        <f>0</f>
        <v>0</v>
      </c>
      <c r="DA432" s="7">
        <f>0</f>
        <v>0</v>
      </c>
      <c r="DC432" s="5" t="s">
        <v>854</v>
      </c>
      <c r="DD432" s="5" t="s">
        <v>240</v>
      </c>
      <c r="DF432" s="5" t="s">
        <v>450</v>
      </c>
      <c r="DG432" s="7">
        <f>0</f>
        <v>0</v>
      </c>
      <c r="DI432" s="5" t="s">
        <v>737</v>
      </c>
      <c r="DJ432" s="5" t="s">
        <v>240</v>
      </c>
      <c r="DK432" s="5" t="s">
        <v>240</v>
      </c>
      <c r="DL432" s="5" t="s">
        <v>240</v>
      </c>
      <c r="DP432" s="5" t="s">
        <v>240</v>
      </c>
      <c r="DQ432" s="5" t="s">
        <v>240</v>
      </c>
      <c r="DR432" s="5" t="s">
        <v>240</v>
      </c>
      <c r="DS432" s="5" t="s">
        <v>240</v>
      </c>
      <c r="DV432" s="5" t="s">
        <v>957</v>
      </c>
      <c r="DW432" s="5" t="s">
        <v>637</v>
      </c>
      <c r="HO432" s="5" t="s">
        <v>312</v>
      </c>
    </row>
    <row r="433" spans="1:223" x14ac:dyDescent="0.4">
      <c r="A433" s="5">
        <v>1168</v>
      </c>
      <c r="B433" s="5">
        <v>1</v>
      </c>
      <c r="C433" s="5">
        <v>1</v>
      </c>
      <c r="D433" s="5" t="s">
        <v>1332</v>
      </c>
      <c r="E433" s="5" t="s">
        <v>1131</v>
      </c>
      <c r="F433" s="5" t="s">
        <v>254</v>
      </c>
      <c r="G433" s="5" t="s">
        <v>240</v>
      </c>
      <c r="H433" s="6" t="s">
        <v>1337</v>
      </c>
      <c r="I433" s="5" t="s">
        <v>1331</v>
      </c>
      <c r="J433" s="8">
        <f>468</f>
        <v>468</v>
      </c>
      <c r="K433" s="5" t="s">
        <v>308</v>
      </c>
      <c r="L433" s="7">
        <f t="shared" si="3"/>
        <v>1036620</v>
      </c>
      <c r="M433" s="7">
        <f t="shared" si="3"/>
        <v>1036620</v>
      </c>
      <c r="N433" s="5" t="s">
        <v>242</v>
      </c>
      <c r="O433" s="5">
        <v>1</v>
      </c>
      <c r="P433" s="5" t="s">
        <v>294</v>
      </c>
      <c r="Q433" s="5" t="s">
        <v>613</v>
      </c>
      <c r="R433" s="5" t="s">
        <v>240</v>
      </c>
      <c r="S433" s="5" t="s">
        <v>240</v>
      </c>
      <c r="T433" s="5" t="s">
        <v>243</v>
      </c>
      <c r="U433" s="5" t="s">
        <v>724</v>
      </c>
      <c r="V433" s="5" t="s">
        <v>240</v>
      </c>
      <c r="Y433" s="5" t="s">
        <v>240</v>
      </c>
      <c r="Z433" s="6" t="s">
        <v>298</v>
      </c>
      <c r="AB433" s="6" t="s">
        <v>240</v>
      </c>
      <c r="AE433" s="6" t="s">
        <v>299</v>
      </c>
      <c r="AF433" s="5" t="s">
        <v>248</v>
      </c>
      <c r="AG433" s="5" t="s">
        <v>249</v>
      </c>
      <c r="AW433" s="5" t="s">
        <v>251</v>
      </c>
      <c r="AX433" s="5" t="s">
        <v>240</v>
      </c>
      <c r="AY433" s="5" t="s">
        <v>253</v>
      </c>
      <c r="AZ433" s="5" t="s">
        <v>240</v>
      </c>
      <c r="BA433" s="5" t="s">
        <v>255</v>
      </c>
      <c r="BB433" s="5" t="s">
        <v>240</v>
      </c>
      <c r="BD433" s="5" t="s">
        <v>240</v>
      </c>
      <c r="BF433" s="5" t="s">
        <v>301</v>
      </c>
      <c r="BG433" s="6" t="s">
        <v>299</v>
      </c>
      <c r="BH433" s="5" t="s">
        <v>302</v>
      </c>
      <c r="BI433" s="5" t="s">
        <v>303</v>
      </c>
      <c r="BJ433" s="5" t="s">
        <v>240</v>
      </c>
      <c r="BK433" s="8">
        <f>0</f>
        <v>0</v>
      </c>
      <c r="BL433" s="7">
        <f>0</f>
        <v>0</v>
      </c>
      <c r="BM433" s="5" t="s">
        <v>258</v>
      </c>
      <c r="BN433" s="5" t="s">
        <v>259</v>
      </c>
      <c r="CB433" s="5" t="s">
        <v>240</v>
      </c>
      <c r="CC433" s="5" t="s">
        <v>240</v>
      </c>
      <c r="CG433" s="5" t="s">
        <v>617</v>
      </c>
      <c r="CH433" s="5" t="s">
        <v>305</v>
      </c>
      <c r="CI433" s="5" t="s">
        <v>240</v>
      </c>
      <c r="CL433" s="6" t="s">
        <v>261</v>
      </c>
      <c r="CM433" s="5" t="s">
        <v>240</v>
      </c>
      <c r="CN433" s="5" t="s">
        <v>263</v>
      </c>
      <c r="CO433" s="5" t="s">
        <v>240</v>
      </c>
      <c r="CP433" s="5" t="s">
        <v>240</v>
      </c>
      <c r="CQ433" s="5">
        <v>0</v>
      </c>
      <c r="CR433" s="5" t="s">
        <v>306</v>
      </c>
      <c r="CS433" s="5" t="s">
        <v>307</v>
      </c>
      <c r="CT433" s="5" t="s">
        <v>307</v>
      </c>
      <c r="CU433" s="5" t="s">
        <v>260</v>
      </c>
      <c r="CX433" s="7">
        <f>10846</f>
        <v>10846</v>
      </c>
      <c r="CY433" s="7">
        <f>0</f>
        <v>0</v>
      </c>
      <c r="DA433" s="7">
        <f>0</f>
        <v>0</v>
      </c>
      <c r="DC433" s="5" t="s">
        <v>854</v>
      </c>
      <c r="DD433" s="5" t="s">
        <v>240</v>
      </c>
      <c r="DF433" s="5" t="s">
        <v>450</v>
      </c>
      <c r="DG433" s="7">
        <f>0</f>
        <v>0</v>
      </c>
      <c r="DI433" s="5" t="s">
        <v>737</v>
      </c>
      <c r="DJ433" s="5" t="s">
        <v>240</v>
      </c>
      <c r="DK433" s="5" t="s">
        <v>240</v>
      </c>
      <c r="DL433" s="5" t="s">
        <v>240</v>
      </c>
      <c r="DP433" s="5" t="s">
        <v>240</v>
      </c>
      <c r="DQ433" s="5" t="s">
        <v>240</v>
      </c>
      <c r="DR433" s="5" t="s">
        <v>240</v>
      </c>
      <c r="DS433" s="5" t="s">
        <v>240</v>
      </c>
      <c r="DV433" s="5" t="s">
        <v>957</v>
      </c>
      <c r="DW433" s="5" t="s">
        <v>639</v>
      </c>
      <c r="HO433" s="5" t="s">
        <v>312</v>
      </c>
    </row>
    <row r="434" spans="1:223" x14ac:dyDescent="0.4">
      <c r="A434" s="5">
        <v>1169</v>
      </c>
      <c r="B434" s="5">
        <v>1</v>
      </c>
      <c r="C434" s="5">
        <v>1</v>
      </c>
      <c r="D434" s="5" t="s">
        <v>1332</v>
      </c>
      <c r="E434" s="5" t="s">
        <v>1131</v>
      </c>
      <c r="F434" s="5" t="s">
        <v>254</v>
      </c>
      <c r="G434" s="5" t="s">
        <v>240</v>
      </c>
      <c r="H434" s="6" t="s">
        <v>1336</v>
      </c>
      <c r="I434" s="5" t="s">
        <v>1331</v>
      </c>
      <c r="J434" s="8">
        <f>468</f>
        <v>468</v>
      </c>
      <c r="K434" s="5" t="s">
        <v>308</v>
      </c>
      <c r="L434" s="7">
        <f t="shared" si="3"/>
        <v>1036620</v>
      </c>
      <c r="M434" s="7">
        <f t="shared" si="3"/>
        <v>1036620</v>
      </c>
      <c r="N434" s="5" t="s">
        <v>242</v>
      </c>
      <c r="O434" s="5">
        <v>1</v>
      </c>
      <c r="P434" s="5" t="s">
        <v>294</v>
      </c>
      <c r="Q434" s="5" t="s">
        <v>613</v>
      </c>
      <c r="R434" s="5" t="s">
        <v>240</v>
      </c>
      <c r="S434" s="5" t="s">
        <v>240</v>
      </c>
      <c r="T434" s="5" t="s">
        <v>243</v>
      </c>
      <c r="U434" s="5" t="s">
        <v>724</v>
      </c>
      <c r="V434" s="5" t="s">
        <v>240</v>
      </c>
      <c r="Y434" s="5" t="s">
        <v>240</v>
      </c>
      <c r="Z434" s="6" t="s">
        <v>298</v>
      </c>
      <c r="AB434" s="6" t="s">
        <v>240</v>
      </c>
      <c r="AE434" s="6" t="s">
        <v>299</v>
      </c>
      <c r="AF434" s="5" t="s">
        <v>248</v>
      </c>
      <c r="AG434" s="5" t="s">
        <v>249</v>
      </c>
      <c r="AW434" s="5" t="s">
        <v>251</v>
      </c>
      <c r="AX434" s="5" t="s">
        <v>240</v>
      </c>
      <c r="AY434" s="5" t="s">
        <v>253</v>
      </c>
      <c r="AZ434" s="5" t="s">
        <v>240</v>
      </c>
      <c r="BA434" s="5" t="s">
        <v>255</v>
      </c>
      <c r="BB434" s="5" t="s">
        <v>240</v>
      </c>
      <c r="BD434" s="5" t="s">
        <v>240</v>
      </c>
      <c r="BF434" s="5" t="s">
        <v>301</v>
      </c>
      <c r="BG434" s="6" t="s">
        <v>299</v>
      </c>
      <c r="BH434" s="5" t="s">
        <v>302</v>
      </c>
      <c r="BI434" s="5" t="s">
        <v>303</v>
      </c>
      <c r="BJ434" s="5" t="s">
        <v>240</v>
      </c>
      <c r="BK434" s="8">
        <f>0</f>
        <v>0</v>
      </c>
      <c r="BL434" s="7">
        <f>0</f>
        <v>0</v>
      </c>
      <c r="BM434" s="5" t="s">
        <v>258</v>
      </c>
      <c r="BN434" s="5" t="s">
        <v>259</v>
      </c>
      <c r="CB434" s="5" t="s">
        <v>240</v>
      </c>
      <c r="CC434" s="5" t="s">
        <v>240</v>
      </c>
      <c r="CG434" s="5" t="s">
        <v>617</v>
      </c>
      <c r="CH434" s="5" t="s">
        <v>305</v>
      </c>
      <c r="CI434" s="5" t="s">
        <v>240</v>
      </c>
      <c r="CL434" s="6" t="s">
        <v>261</v>
      </c>
      <c r="CM434" s="5" t="s">
        <v>240</v>
      </c>
      <c r="CN434" s="5" t="s">
        <v>263</v>
      </c>
      <c r="CO434" s="5" t="s">
        <v>240</v>
      </c>
      <c r="CP434" s="5" t="s">
        <v>240</v>
      </c>
      <c r="CQ434" s="5">
        <v>0</v>
      </c>
      <c r="CR434" s="5" t="s">
        <v>306</v>
      </c>
      <c r="CS434" s="5" t="s">
        <v>307</v>
      </c>
      <c r="CT434" s="5" t="s">
        <v>307</v>
      </c>
      <c r="CU434" s="5" t="s">
        <v>260</v>
      </c>
      <c r="CX434" s="7">
        <f>4389</f>
        <v>4389</v>
      </c>
      <c r="CY434" s="7">
        <f>0</f>
        <v>0</v>
      </c>
      <c r="DA434" s="7">
        <f>0</f>
        <v>0</v>
      </c>
      <c r="DC434" s="5" t="s">
        <v>854</v>
      </c>
      <c r="DD434" s="5" t="s">
        <v>240</v>
      </c>
      <c r="DF434" s="5" t="s">
        <v>450</v>
      </c>
      <c r="DG434" s="7">
        <f>0</f>
        <v>0</v>
      </c>
      <c r="DI434" s="5" t="s">
        <v>737</v>
      </c>
      <c r="DJ434" s="5" t="s">
        <v>240</v>
      </c>
      <c r="DK434" s="5" t="s">
        <v>240</v>
      </c>
      <c r="DL434" s="5" t="s">
        <v>240</v>
      </c>
      <c r="DP434" s="5" t="s">
        <v>240</v>
      </c>
      <c r="DQ434" s="5" t="s">
        <v>240</v>
      </c>
      <c r="DR434" s="5" t="s">
        <v>240</v>
      </c>
      <c r="DS434" s="5" t="s">
        <v>240</v>
      </c>
      <c r="DV434" s="5" t="s">
        <v>957</v>
      </c>
      <c r="DW434" s="5" t="s">
        <v>641</v>
      </c>
      <c r="HO434" s="5" t="s">
        <v>312</v>
      </c>
    </row>
    <row r="435" spans="1:223" x14ac:dyDescent="0.4">
      <c r="A435" s="5">
        <v>1170</v>
      </c>
      <c r="B435" s="5">
        <v>1</v>
      </c>
      <c r="C435" s="5">
        <v>1</v>
      </c>
      <c r="D435" s="5" t="s">
        <v>1332</v>
      </c>
      <c r="E435" s="5" t="s">
        <v>1131</v>
      </c>
      <c r="F435" s="5" t="s">
        <v>254</v>
      </c>
      <c r="G435" s="5" t="s">
        <v>240</v>
      </c>
      <c r="H435" s="6" t="s">
        <v>1335</v>
      </c>
      <c r="I435" s="5" t="s">
        <v>1331</v>
      </c>
      <c r="J435" s="8">
        <f>455</f>
        <v>455</v>
      </c>
      <c r="K435" s="5" t="s">
        <v>308</v>
      </c>
      <c r="L435" s="7">
        <f>1007825</f>
        <v>1007825</v>
      </c>
      <c r="M435" s="7">
        <f>1007825</f>
        <v>1007825</v>
      </c>
      <c r="N435" s="5" t="s">
        <v>242</v>
      </c>
      <c r="O435" s="5">
        <v>1</v>
      </c>
      <c r="P435" s="5" t="s">
        <v>294</v>
      </c>
      <c r="Q435" s="5" t="s">
        <v>613</v>
      </c>
      <c r="R435" s="5" t="s">
        <v>240</v>
      </c>
      <c r="S435" s="5" t="s">
        <v>240</v>
      </c>
      <c r="T435" s="5" t="s">
        <v>243</v>
      </c>
      <c r="U435" s="5" t="s">
        <v>724</v>
      </c>
      <c r="V435" s="5" t="s">
        <v>240</v>
      </c>
      <c r="Y435" s="5" t="s">
        <v>240</v>
      </c>
      <c r="Z435" s="6" t="s">
        <v>298</v>
      </c>
      <c r="AB435" s="6" t="s">
        <v>240</v>
      </c>
      <c r="AE435" s="6" t="s">
        <v>299</v>
      </c>
      <c r="AF435" s="5" t="s">
        <v>248</v>
      </c>
      <c r="AG435" s="5" t="s">
        <v>249</v>
      </c>
      <c r="AW435" s="5" t="s">
        <v>251</v>
      </c>
      <c r="AX435" s="5" t="s">
        <v>240</v>
      </c>
      <c r="AY435" s="5" t="s">
        <v>253</v>
      </c>
      <c r="AZ435" s="5" t="s">
        <v>240</v>
      </c>
      <c r="BA435" s="5" t="s">
        <v>255</v>
      </c>
      <c r="BB435" s="5" t="s">
        <v>240</v>
      </c>
      <c r="BD435" s="5" t="s">
        <v>240</v>
      </c>
      <c r="BF435" s="5" t="s">
        <v>301</v>
      </c>
      <c r="BG435" s="6" t="s">
        <v>299</v>
      </c>
      <c r="BH435" s="5" t="s">
        <v>302</v>
      </c>
      <c r="BI435" s="5" t="s">
        <v>303</v>
      </c>
      <c r="BJ435" s="5" t="s">
        <v>240</v>
      </c>
      <c r="BK435" s="8">
        <f>0</f>
        <v>0</v>
      </c>
      <c r="BL435" s="7">
        <f>0</f>
        <v>0</v>
      </c>
      <c r="BM435" s="5" t="s">
        <v>258</v>
      </c>
      <c r="BN435" s="5" t="s">
        <v>259</v>
      </c>
      <c r="CB435" s="5" t="s">
        <v>240</v>
      </c>
      <c r="CC435" s="5" t="s">
        <v>240</v>
      </c>
      <c r="CG435" s="5" t="s">
        <v>617</v>
      </c>
      <c r="CH435" s="5" t="s">
        <v>305</v>
      </c>
      <c r="CI435" s="5" t="s">
        <v>240</v>
      </c>
      <c r="CL435" s="6" t="s">
        <v>261</v>
      </c>
      <c r="CM435" s="5" t="s">
        <v>240</v>
      </c>
      <c r="CN435" s="5" t="s">
        <v>263</v>
      </c>
      <c r="CO435" s="5" t="s">
        <v>240</v>
      </c>
      <c r="CP435" s="5" t="s">
        <v>240</v>
      </c>
      <c r="CQ435" s="5">
        <v>0</v>
      </c>
      <c r="CR435" s="5" t="s">
        <v>306</v>
      </c>
      <c r="CS435" s="5" t="s">
        <v>307</v>
      </c>
      <c r="CT435" s="5" t="s">
        <v>307</v>
      </c>
      <c r="CU435" s="5" t="s">
        <v>260</v>
      </c>
      <c r="CX435" s="7">
        <f>14124</f>
        <v>14124</v>
      </c>
      <c r="CY435" s="7">
        <f>0</f>
        <v>0</v>
      </c>
      <c r="DA435" s="7">
        <f>0</f>
        <v>0</v>
      </c>
      <c r="DC435" s="5" t="s">
        <v>854</v>
      </c>
      <c r="DD435" s="5" t="s">
        <v>240</v>
      </c>
      <c r="DF435" s="5" t="s">
        <v>450</v>
      </c>
      <c r="DG435" s="7">
        <f>0</f>
        <v>0</v>
      </c>
      <c r="DI435" s="5" t="s">
        <v>737</v>
      </c>
      <c r="DJ435" s="5" t="s">
        <v>240</v>
      </c>
      <c r="DK435" s="5" t="s">
        <v>240</v>
      </c>
      <c r="DL435" s="5" t="s">
        <v>240</v>
      </c>
      <c r="DP435" s="5" t="s">
        <v>240</v>
      </c>
      <c r="DQ435" s="5" t="s">
        <v>240</v>
      </c>
      <c r="DR435" s="5" t="s">
        <v>240</v>
      </c>
      <c r="DS435" s="5" t="s">
        <v>240</v>
      </c>
      <c r="DV435" s="5" t="s">
        <v>957</v>
      </c>
      <c r="DW435" s="5" t="s">
        <v>643</v>
      </c>
      <c r="HO435" s="5" t="s">
        <v>312</v>
      </c>
    </row>
    <row r="436" spans="1:223" x14ac:dyDescent="0.4">
      <c r="A436" s="5">
        <v>1171</v>
      </c>
      <c r="B436" s="5">
        <v>1</v>
      </c>
      <c r="C436" s="5">
        <v>1</v>
      </c>
      <c r="D436" s="5" t="s">
        <v>1332</v>
      </c>
      <c r="E436" s="5" t="s">
        <v>1131</v>
      </c>
      <c r="F436" s="5" t="s">
        <v>254</v>
      </c>
      <c r="G436" s="5" t="s">
        <v>240</v>
      </c>
      <c r="H436" s="6" t="s">
        <v>1333</v>
      </c>
      <c r="I436" s="5" t="s">
        <v>1331</v>
      </c>
      <c r="J436" s="8">
        <f>242</f>
        <v>242</v>
      </c>
      <c r="K436" s="5" t="s">
        <v>308</v>
      </c>
      <c r="L436" s="7">
        <f>536030</f>
        <v>536030</v>
      </c>
      <c r="M436" s="7">
        <f>536030</f>
        <v>536030</v>
      </c>
      <c r="N436" s="5" t="s">
        <v>242</v>
      </c>
      <c r="O436" s="5">
        <v>1</v>
      </c>
      <c r="P436" s="5" t="s">
        <v>294</v>
      </c>
      <c r="Q436" s="5" t="s">
        <v>613</v>
      </c>
      <c r="R436" s="5" t="s">
        <v>240</v>
      </c>
      <c r="S436" s="5" t="s">
        <v>240</v>
      </c>
      <c r="T436" s="5" t="s">
        <v>243</v>
      </c>
      <c r="U436" s="5" t="s">
        <v>724</v>
      </c>
      <c r="V436" s="5" t="s">
        <v>240</v>
      </c>
      <c r="Y436" s="5" t="s">
        <v>240</v>
      </c>
      <c r="Z436" s="6" t="s">
        <v>298</v>
      </c>
      <c r="AB436" s="6" t="s">
        <v>240</v>
      </c>
      <c r="AE436" s="6" t="s">
        <v>299</v>
      </c>
      <c r="AF436" s="5" t="s">
        <v>248</v>
      </c>
      <c r="AG436" s="5" t="s">
        <v>249</v>
      </c>
      <c r="AW436" s="5" t="s">
        <v>251</v>
      </c>
      <c r="AX436" s="5" t="s">
        <v>240</v>
      </c>
      <c r="AY436" s="5" t="s">
        <v>253</v>
      </c>
      <c r="AZ436" s="5" t="s">
        <v>240</v>
      </c>
      <c r="BA436" s="5" t="s">
        <v>255</v>
      </c>
      <c r="BB436" s="5" t="s">
        <v>240</v>
      </c>
      <c r="BD436" s="5" t="s">
        <v>240</v>
      </c>
      <c r="BF436" s="5" t="s">
        <v>301</v>
      </c>
      <c r="BG436" s="6" t="s">
        <v>299</v>
      </c>
      <c r="BH436" s="5" t="s">
        <v>302</v>
      </c>
      <c r="BI436" s="5" t="s">
        <v>303</v>
      </c>
      <c r="BJ436" s="5" t="s">
        <v>240</v>
      </c>
      <c r="BK436" s="8">
        <f>0</f>
        <v>0</v>
      </c>
      <c r="BL436" s="7">
        <f>0</f>
        <v>0</v>
      </c>
      <c r="BM436" s="5" t="s">
        <v>258</v>
      </c>
      <c r="BN436" s="5" t="s">
        <v>259</v>
      </c>
      <c r="CB436" s="5" t="s">
        <v>240</v>
      </c>
      <c r="CC436" s="5" t="s">
        <v>240</v>
      </c>
      <c r="CG436" s="5" t="s">
        <v>617</v>
      </c>
      <c r="CH436" s="5" t="s">
        <v>305</v>
      </c>
      <c r="CI436" s="5" t="s">
        <v>240</v>
      </c>
      <c r="CL436" s="6" t="s">
        <v>261</v>
      </c>
      <c r="CM436" s="5" t="s">
        <v>240</v>
      </c>
      <c r="CN436" s="5" t="s">
        <v>263</v>
      </c>
      <c r="CO436" s="5" t="s">
        <v>240</v>
      </c>
      <c r="CP436" s="5" t="s">
        <v>240</v>
      </c>
      <c r="CQ436" s="5">
        <v>0</v>
      </c>
      <c r="CR436" s="5" t="s">
        <v>306</v>
      </c>
      <c r="CS436" s="5" t="s">
        <v>307</v>
      </c>
      <c r="CT436" s="5" t="s">
        <v>307</v>
      </c>
      <c r="CU436" s="5" t="s">
        <v>260</v>
      </c>
      <c r="CX436" s="7">
        <f>21593</f>
        <v>21593</v>
      </c>
      <c r="CY436" s="7">
        <f>0</f>
        <v>0</v>
      </c>
      <c r="DA436" s="7">
        <f>0</f>
        <v>0</v>
      </c>
      <c r="DC436" s="5" t="s">
        <v>854</v>
      </c>
      <c r="DD436" s="5" t="s">
        <v>240</v>
      </c>
      <c r="DF436" s="5" t="s">
        <v>450</v>
      </c>
      <c r="DG436" s="7">
        <f>0</f>
        <v>0</v>
      </c>
      <c r="DI436" s="5" t="s">
        <v>737</v>
      </c>
      <c r="DJ436" s="5" t="s">
        <v>240</v>
      </c>
      <c r="DK436" s="5" t="s">
        <v>240</v>
      </c>
      <c r="DL436" s="5" t="s">
        <v>240</v>
      </c>
      <c r="DP436" s="5" t="s">
        <v>240</v>
      </c>
      <c r="DQ436" s="5" t="s">
        <v>240</v>
      </c>
      <c r="DR436" s="5" t="s">
        <v>240</v>
      </c>
      <c r="DS436" s="5" t="s">
        <v>240</v>
      </c>
      <c r="DV436" s="5" t="s">
        <v>957</v>
      </c>
      <c r="DW436" s="5" t="s">
        <v>645</v>
      </c>
      <c r="HO436" s="5" t="s">
        <v>312</v>
      </c>
    </row>
    <row r="437" spans="1:223" x14ac:dyDescent="0.4">
      <c r="A437" s="5">
        <v>1172</v>
      </c>
      <c r="B437" s="5">
        <v>1</v>
      </c>
      <c r="C437" s="5">
        <v>1</v>
      </c>
      <c r="D437" s="5" t="s">
        <v>2003</v>
      </c>
      <c r="E437" s="5" t="s">
        <v>725</v>
      </c>
      <c r="F437" s="5" t="s">
        <v>254</v>
      </c>
      <c r="G437" s="5" t="s">
        <v>240</v>
      </c>
      <c r="H437" s="6" t="s">
        <v>2004</v>
      </c>
      <c r="I437" s="5" t="s">
        <v>2002</v>
      </c>
      <c r="J437" s="8">
        <f>1603</f>
        <v>1603</v>
      </c>
      <c r="K437" s="5" t="s">
        <v>308</v>
      </c>
      <c r="L437" s="7">
        <f>3550645</f>
        <v>3550645</v>
      </c>
      <c r="M437" s="7">
        <f>3550645</f>
        <v>3550645</v>
      </c>
      <c r="N437" s="5" t="s">
        <v>242</v>
      </c>
      <c r="O437" s="5">
        <v>1</v>
      </c>
      <c r="P437" s="5" t="s">
        <v>294</v>
      </c>
      <c r="Q437" s="5" t="s">
        <v>613</v>
      </c>
      <c r="R437" s="5" t="s">
        <v>240</v>
      </c>
      <c r="S437" s="5" t="s">
        <v>240</v>
      </c>
      <c r="T437" s="5" t="s">
        <v>243</v>
      </c>
      <c r="U437" s="5" t="s">
        <v>724</v>
      </c>
      <c r="V437" s="5" t="s">
        <v>240</v>
      </c>
      <c r="Y437" s="5" t="s">
        <v>240</v>
      </c>
      <c r="Z437" s="6" t="s">
        <v>298</v>
      </c>
      <c r="AB437" s="6" t="s">
        <v>240</v>
      </c>
      <c r="AE437" s="6" t="s">
        <v>299</v>
      </c>
      <c r="AF437" s="5" t="s">
        <v>248</v>
      </c>
      <c r="AG437" s="5" t="s">
        <v>249</v>
      </c>
      <c r="AW437" s="5" t="s">
        <v>251</v>
      </c>
      <c r="AX437" s="5" t="s">
        <v>240</v>
      </c>
      <c r="AY437" s="5" t="s">
        <v>253</v>
      </c>
      <c r="AZ437" s="5" t="s">
        <v>240</v>
      </c>
      <c r="BA437" s="5" t="s">
        <v>255</v>
      </c>
      <c r="BB437" s="5" t="s">
        <v>240</v>
      </c>
      <c r="BD437" s="5" t="s">
        <v>240</v>
      </c>
      <c r="BF437" s="5" t="s">
        <v>301</v>
      </c>
      <c r="BG437" s="6" t="s">
        <v>299</v>
      </c>
      <c r="BH437" s="5" t="s">
        <v>302</v>
      </c>
      <c r="BI437" s="5" t="s">
        <v>303</v>
      </c>
      <c r="BJ437" s="5" t="s">
        <v>240</v>
      </c>
      <c r="BK437" s="8">
        <f>0</f>
        <v>0</v>
      </c>
      <c r="BL437" s="7">
        <f>0</f>
        <v>0</v>
      </c>
      <c r="BM437" s="5" t="s">
        <v>258</v>
      </c>
      <c r="BN437" s="5" t="s">
        <v>259</v>
      </c>
      <c r="CB437" s="5" t="s">
        <v>240</v>
      </c>
      <c r="CC437" s="5" t="s">
        <v>240</v>
      </c>
      <c r="CG437" s="5" t="s">
        <v>617</v>
      </c>
      <c r="CH437" s="5" t="s">
        <v>305</v>
      </c>
      <c r="CI437" s="5" t="s">
        <v>240</v>
      </c>
      <c r="CL437" s="6" t="s">
        <v>261</v>
      </c>
      <c r="CM437" s="5" t="s">
        <v>240</v>
      </c>
      <c r="CN437" s="5" t="s">
        <v>263</v>
      </c>
      <c r="CO437" s="5" t="s">
        <v>240</v>
      </c>
      <c r="CP437" s="5" t="s">
        <v>240</v>
      </c>
      <c r="CQ437" s="5">
        <v>0</v>
      </c>
      <c r="CR437" s="5" t="s">
        <v>306</v>
      </c>
      <c r="CS437" s="5" t="s">
        <v>307</v>
      </c>
      <c r="CT437" s="5" t="s">
        <v>307</v>
      </c>
      <c r="CU437" s="5" t="s">
        <v>260</v>
      </c>
      <c r="CX437" s="7">
        <f>13805</f>
        <v>13805</v>
      </c>
      <c r="CY437" s="7">
        <f>0</f>
        <v>0</v>
      </c>
      <c r="DA437" s="7">
        <f>0</f>
        <v>0</v>
      </c>
      <c r="DC437" s="5" t="s">
        <v>854</v>
      </c>
      <c r="DD437" s="5" t="s">
        <v>240</v>
      </c>
      <c r="DF437" s="5" t="s">
        <v>450</v>
      </c>
      <c r="DG437" s="7">
        <f>0</f>
        <v>0</v>
      </c>
      <c r="DI437" s="5" t="s">
        <v>737</v>
      </c>
      <c r="DJ437" s="5" t="s">
        <v>240</v>
      </c>
      <c r="DK437" s="5" t="s">
        <v>240</v>
      </c>
      <c r="DL437" s="5" t="s">
        <v>240</v>
      </c>
      <c r="DP437" s="5" t="s">
        <v>240</v>
      </c>
      <c r="DQ437" s="5" t="s">
        <v>240</v>
      </c>
      <c r="DR437" s="5" t="s">
        <v>240</v>
      </c>
      <c r="DS437" s="5" t="s">
        <v>240</v>
      </c>
      <c r="DV437" s="5" t="s">
        <v>957</v>
      </c>
      <c r="DW437" s="5" t="s">
        <v>647</v>
      </c>
      <c r="HO437" s="5" t="s">
        <v>312</v>
      </c>
    </row>
    <row r="438" spans="1:223" x14ac:dyDescent="0.4">
      <c r="A438" s="5">
        <v>1173</v>
      </c>
      <c r="B438" s="5">
        <v>1</v>
      </c>
      <c r="C438" s="5">
        <v>1</v>
      </c>
      <c r="D438" s="5" t="s">
        <v>1324</v>
      </c>
      <c r="E438" s="5" t="s">
        <v>1325</v>
      </c>
      <c r="F438" s="5" t="s">
        <v>254</v>
      </c>
      <c r="G438" s="5" t="s">
        <v>240</v>
      </c>
      <c r="H438" s="6" t="s">
        <v>1330</v>
      </c>
      <c r="I438" s="5" t="s">
        <v>1323</v>
      </c>
      <c r="J438" s="8">
        <f>31952</f>
        <v>31952</v>
      </c>
      <c r="K438" s="5" t="s">
        <v>308</v>
      </c>
      <c r="L438" s="7">
        <f>70773680</f>
        <v>70773680</v>
      </c>
      <c r="M438" s="7">
        <f>70773680</f>
        <v>70773680</v>
      </c>
      <c r="N438" s="5" t="s">
        <v>242</v>
      </c>
      <c r="O438" s="5">
        <v>1</v>
      </c>
      <c r="P438" s="5" t="s">
        <v>294</v>
      </c>
      <c r="Q438" s="5" t="s">
        <v>613</v>
      </c>
      <c r="R438" s="5" t="s">
        <v>240</v>
      </c>
      <c r="S438" s="5" t="s">
        <v>240</v>
      </c>
      <c r="T438" s="5" t="s">
        <v>243</v>
      </c>
      <c r="U438" s="5" t="s">
        <v>724</v>
      </c>
      <c r="V438" s="5" t="s">
        <v>240</v>
      </c>
      <c r="Y438" s="5" t="s">
        <v>240</v>
      </c>
      <c r="Z438" s="6" t="s">
        <v>298</v>
      </c>
      <c r="AB438" s="6" t="s">
        <v>240</v>
      </c>
      <c r="AE438" s="6" t="s">
        <v>299</v>
      </c>
      <c r="AF438" s="5" t="s">
        <v>248</v>
      </c>
      <c r="AG438" s="5" t="s">
        <v>249</v>
      </c>
      <c r="AW438" s="5" t="s">
        <v>251</v>
      </c>
      <c r="AX438" s="5" t="s">
        <v>240</v>
      </c>
      <c r="AY438" s="5" t="s">
        <v>253</v>
      </c>
      <c r="AZ438" s="5" t="s">
        <v>240</v>
      </c>
      <c r="BA438" s="5" t="s">
        <v>255</v>
      </c>
      <c r="BB438" s="5" t="s">
        <v>240</v>
      </c>
      <c r="BD438" s="5" t="s">
        <v>240</v>
      </c>
      <c r="BF438" s="5" t="s">
        <v>301</v>
      </c>
      <c r="BG438" s="6" t="s">
        <v>299</v>
      </c>
      <c r="BH438" s="5" t="s">
        <v>302</v>
      </c>
      <c r="BI438" s="5" t="s">
        <v>303</v>
      </c>
      <c r="BJ438" s="5" t="s">
        <v>240</v>
      </c>
      <c r="BK438" s="8">
        <f>0</f>
        <v>0</v>
      </c>
      <c r="BL438" s="7">
        <f>0</f>
        <v>0</v>
      </c>
      <c r="BM438" s="5" t="s">
        <v>258</v>
      </c>
      <c r="BN438" s="5" t="s">
        <v>259</v>
      </c>
      <c r="CB438" s="5" t="s">
        <v>240</v>
      </c>
      <c r="CC438" s="5" t="s">
        <v>240</v>
      </c>
      <c r="CG438" s="5" t="s">
        <v>617</v>
      </c>
      <c r="CH438" s="5" t="s">
        <v>305</v>
      </c>
      <c r="CI438" s="5" t="s">
        <v>240</v>
      </c>
      <c r="CL438" s="6" t="s">
        <v>261</v>
      </c>
      <c r="CM438" s="5" t="s">
        <v>240</v>
      </c>
      <c r="CN438" s="5" t="s">
        <v>263</v>
      </c>
      <c r="CO438" s="5" t="s">
        <v>240</v>
      </c>
      <c r="CP438" s="5" t="s">
        <v>240</v>
      </c>
      <c r="CQ438" s="5">
        <v>0</v>
      </c>
      <c r="CR438" s="5" t="s">
        <v>306</v>
      </c>
      <c r="CS438" s="5" t="s">
        <v>307</v>
      </c>
      <c r="CT438" s="5" t="s">
        <v>307</v>
      </c>
      <c r="CU438" s="5" t="s">
        <v>260</v>
      </c>
      <c r="CX438" s="7">
        <f>79893</f>
        <v>79893</v>
      </c>
      <c r="CY438" s="7">
        <f>0</f>
        <v>0</v>
      </c>
      <c r="DA438" s="7">
        <f>0</f>
        <v>0</v>
      </c>
      <c r="DC438" s="5" t="s">
        <v>854</v>
      </c>
      <c r="DD438" s="5" t="s">
        <v>240</v>
      </c>
      <c r="DF438" s="5" t="s">
        <v>450</v>
      </c>
      <c r="DG438" s="7">
        <f>0</f>
        <v>0</v>
      </c>
      <c r="DI438" s="5" t="s">
        <v>737</v>
      </c>
      <c r="DJ438" s="5" t="s">
        <v>240</v>
      </c>
      <c r="DK438" s="5" t="s">
        <v>240</v>
      </c>
      <c r="DL438" s="5" t="s">
        <v>240</v>
      </c>
      <c r="DP438" s="5" t="s">
        <v>240</v>
      </c>
      <c r="DQ438" s="5" t="s">
        <v>240</v>
      </c>
      <c r="DR438" s="5" t="s">
        <v>240</v>
      </c>
      <c r="DS438" s="5" t="s">
        <v>240</v>
      </c>
      <c r="DV438" s="5" t="s">
        <v>957</v>
      </c>
      <c r="DW438" s="5" t="s">
        <v>649</v>
      </c>
      <c r="HO438" s="5" t="s">
        <v>312</v>
      </c>
    </row>
    <row r="439" spans="1:223" x14ac:dyDescent="0.4">
      <c r="A439" s="5">
        <v>1174</v>
      </c>
      <c r="B439" s="5">
        <v>1</v>
      </c>
      <c r="C439" s="5">
        <v>1</v>
      </c>
      <c r="D439" s="5" t="s">
        <v>1324</v>
      </c>
      <c r="E439" s="5" t="s">
        <v>1325</v>
      </c>
      <c r="F439" s="5" t="s">
        <v>254</v>
      </c>
      <c r="G439" s="5" t="s">
        <v>240</v>
      </c>
      <c r="H439" s="6" t="s">
        <v>1329</v>
      </c>
      <c r="I439" s="5" t="s">
        <v>1323</v>
      </c>
      <c r="J439" s="8">
        <f>3296</f>
        <v>3296</v>
      </c>
      <c r="K439" s="5" t="s">
        <v>308</v>
      </c>
      <c r="L439" s="7">
        <f>7300640</f>
        <v>7300640</v>
      </c>
      <c r="M439" s="7">
        <f>7300640</f>
        <v>7300640</v>
      </c>
      <c r="N439" s="5" t="s">
        <v>242</v>
      </c>
      <c r="O439" s="5">
        <v>1</v>
      </c>
      <c r="P439" s="5" t="s">
        <v>294</v>
      </c>
      <c r="Q439" s="5" t="s">
        <v>613</v>
      </c>
      <c r="R439" s="5" t="s">
        <v>240</v>
      </c>
      <c r="S439" s="5" t="s">
        <v>240</v>
      </c>
      <c r="T439" s="5" t="s">
        <v>243</v>
      </c>
      <c r="U439" s="5" t="s">
        <v>724</v>
      </c>
      <c r="V439" s="5" t="s">
        <v>240</v>
      </c>
      <c r="Y439" s="5" t="s">
        <v>240</v>
      </c>
      <c r="Z439" s="6" t="s">
        <v>298</v>
      </c>
      <c r="AB439" s="6" t="s">
        <v>240</v>
      </c>
      <c r="AE439" s="6" t="s">
        <v>299</v>
      </c>
      <c r="AF439" s="5" t="s">
        <v>248</v>
      </c>
      <c r="AG439" s="5" t="s">
        <v>249</v>
      </c>
      <c r="AW439" s="5" t="s">
        <v>251</v>
      </c>
      <c r="AX439" s="5" t="s">
        <v>240</v>
      </c>
      <c r="AY439" s="5" t="s">
        <v>253</v>
      </c>
      <c r="AZ439" s="5" t="s">
        <v>240</v>
      </c>
      <c r="BA439" s="5" t="s">
        <v>255</v>
      </c>
      <c r="BB439" s="5" t="s">
        <v>240</v>
      </c>
      <c r="BD439" s="5" t="s">
        <v>240</v>
      </c>
      <c r="BF439" s="5" t="s">
        <v>301</v>
      </c>
      <c r="BG439" s="6" t="s">
        <v>299</v>
      </c>
      <c r="BH439" s="5" t="s">
        <v>302</v>
      </c>
      <c r="BI439" s="5" t="s">
        <v>303</v>
      </c>
      <c r="BJ439" s="5" t="s">
        <v>240</v>
      </c>
      <c r="BK439" s="8">
        <f>0</f>
        <v>0</v>
      </c>
      <c r="BL439" s="7">
        <f>0</f>
        <v>0</v>
      </c>
      <c r="BM439" s="5" t="s">
        <v>258</v>
      </c>
      <c r="BN439" s="5" t="s">
        <v>259</v>
      </c>
      <c r="CB439" s="5" t="s">
        <v>240</v>
      </c>
      <c r="CC439" s="5" t="s">
        <v>240</v>
      </c>
      <c r="CG439" s="5" t="s">
        <v>617</v>
      </c>
      <c r="CH439" s="5" t="s">
        <v>305</v>
      </c>
      <c r="CI439" s="5" t="s">
        <v>240</v>
      </c>
      <c r="CL439" s="6" t="s">
        <v>261</v>
      </c>
      <c r="CM439" s="5" t="s">
        <v>240</v>
      </c>
      <c r="CN439" s="5" t="s">
        <v>263</v>
      </c>
      <c r="CO439" s="5" t="s">
        <v>240</v>
      </c>
      <c r="CP439" s="5" t="s">
        <v>240</v>
      </c>
      <c r="CQ439" s="5">
        <v>0</v>
      </c>
      <c r="CR439" s="5" t="s">
        <v>306</v>
      </c>
      <c r="CS439" s="5" t="s">
        <v>307</v>
      </c>
      <c r="CT439" s="5" t="s">
        <v>307</v>
      </c>
      <c r="CU439" s="5" t="s">
        <v>260</v>
      </c>
      <c r="CX439" s="7">
        <f>5896</f>
        <v>5896</v>
      </c>
      <c r="CY439" s="7">
        <f>0</f>
        <v>0</v>
      </c>
      <c r="DA439" s="7">
        <f>0</f>
        <v>0</v>
      </c>
      <c r="DC439" s="5" t="s">
        <v>854</v>
      </c>
      <c r="DD439" s="5" t="s">
        <v>240</v>
      </c>
      <c r="DF439" s="5" t="s">
        <v>450</v>
      </c>
      <c r="DG439" s="7">
        <f>0</f>
        <v>0</v>
      </c>
      <c r="DI439" s="5" t="s">
        <v>737</v>
      </c>
      <c r="DJ439" s="5" t="s">
        <v>240</v>
      </c>
      <c r="DK439" s="5" t="s">
        <v>240</v>
      </c>
      <c r="DL439" s="5" t="s">
        <v>240</v>
      </c>
      <c r="DP439" s="5" t="s">
        <v>240</v>
      </c>
      <c r="DQ439" s="5" t="s">
        <v>240</v>
      </c>
      <c r="DR439" s="5" t="s">
        <v>240</v>
      </c>
      <c r="DS439" s="5" t="s">
        <v>240</v>
      </c>
      <c r="DV439" s="5" t="s">
        <v>957</v>
      </c>
      <c r="DW439" s="5" t="s">
        <v>249</v>
      </c>
      <c r="HO439" s="5" t="s">
        <v>312</v>
      </c>
    </row>
    <row r="440" spans="1:223" x14ac:dyDescent="0.4">
      <c r="A440" s="5">
        <v>1175</v>
      </c>
      <c r="B440" s="5">
        <v>1</v>
      </c>
      <c r="C440" s="5">
        <v>1</v>
      </c>
      <c r="D440" s="5" t="s">
        <v>1324</v>
      </c>
      <c r="E440" s="5" t="s">
        <v>1325</v>
      </c>
      <c r="F440" s="5" t="s">
        <v>254</v>
      </c>
      <c r="G440" s="5" t="s">
        <v>240</v>
      </c>
      <c r="H440" s="6" t="s">
        <v>1328</v>
      </c>
      <c r="I440" s="5" t="s">
        <v>1323</v>
      </c>
      <c r="J440" s="8">
        <f>4916</f>
        <v>4916</v>
      </c>
      <c r="K440" s="5" t="s">
        <v>308</v>
      </c>
      <c r="L440" s="7">
        <f>10888940</f>
        <v>10888940</v>
      </c>
      <c r="M440" s="7">
        <f>10888940</f>
        <v>10888940</v>
      </c>
      <c r="N440" s="5" t="s">
        <v>242</v>
      </c>
      <c r="O440" s="5">
        <v>1</v>
      </c>
      <c r="P440" s="5" t="s">
        <v>294</v>
      </c>
      <c r="Q440" s="5" t="s">
        <v>613</v>
      </c>
      <c r="R440" s="5" t="s">
        <v>240</v>
      </c>
      <c r="S440" s="5" t="s">
        <v>240</v>
      </c>
      <c r="T440" s="5" t="s">
        <v>243</v>
      </c>
      <c r="U440" s="5" t="s">
        <v>724</v>
      </c>
      <c r="V440" s="5" t="s">
        <v>240</v>
      </c>
      <c r="Y440" s="5" t="s">
        <v>240</v>
      </c>
      <c r="Z440" s="6" t="s">
        <v>298</v>
      </c>
      <c r="AB440" s="6" t="s">
        <v>240</v>
      </c>
      <c r="AE440" s="6" t="s">
        <v>299</v>
      </c>
      <c r="AF440" s="5" t="s">
        <v>248</v>
      </c>
      <c r="AG440" s="5" t="s">
        <v>249</v>
      </c>
      <c r="AW440" s="5" t="s">
        <v>251</v>
      </c>
      <c r="AX440" s="5" t="s">
        <v>240</v>
      </c>
      <c r="AY440" s="5" t="s">
        <v>253</v>
      </c>
      <c r="AZ440" s="5" t="s">
        <v>240</v>
      </c>
      <c r="BA440" s="5" t="s">
        <v>255</v>
      </c>
      <c r="BB440" s="5" t="s">
        <v>240</v>
      </c>
      <c r="BD440" s="5" t="s">
        <v>240</v>
      </c>
      <c r="BF440" s="5" t="s">
        <v>301</v>
      </c>
      <c r="BG440" s="6" t="s">
        <v>299</v>
      </c>
      <c r="BH440" s="5" t="s">
        <v>302</v>
      </c>
      <c r="BI440" s="5" t="s">
        <v>303</v>
      </c>
      <c r="BJ440" s="5" t="s">
        <v>240</v>
      </c>
      <c r="BK440" s="8">
        <f>0</f>
        <v>0</v>
      </c>
      <c r="BL440" s="7">
        <f>0</f>
        <v>0</v>
      </c>
      <c r="BM440" s="5" t="s">
        <v>258</v>
      </c>
      <c r="BN440" s="5" t="s">
        <v>259</v>
      </c>
      <c r="CB440" s="5" t="s">
        <v>240</v>
      </c>
      <c r="CC440" s="5" t="s">
        <v>240</v>
      </c>
      <c r="CG440" s="5" t="s">
        <v>617</v>
      </c>
      <c r="CH440" s="5" t="s">
        <v>305</v>
      </c>
      <c r="CI440" s="5" t="s">
        <v>240</v>
      </c>
      <c r="CL440" s="6" t="s">
        <v>261</v>
      </c>
      <c r="CM440" s="5" t="s">
        <v>240</v>
      </c>
      <c r="CN440" s="5" t="s">
        <v>263</v>
      </c>
      <c r="CO440" s="5" t="s">
        <v>240</v>
      </c>
      <c r="CP440" s="5" t="s">
        <v>240</v>
      </c>
      <c r="CQ440" s="5">
        <v>0</v>
      </c>
      <c r="CR440" s="5" t="s">
        <v>306</v>
      </c>
      <c r="CS440" s="5" t="s">
        <v>307</v>
      </c>
      <c r="CT440" s="5" t="s">
        <v>307</v>
      </c>
      <c r="CU440" s="5" t="s">
        <v>260</v>
      </c>
      <c r="CX440" s="7">
        <f>5434</f>
        <v>5434</v>
      </c>
      <c r="CY440" s="7">
        <f>0</f>
        <v>0</v>
      </c>
      <c r="DA440" s="7">
        <f>0</f>
        <v>0</v>
      </c>
      <c r="DC440" s="5" t="s">
        <v>854</v>
      </c>
      <c r="DD440" s="5" t="s">
        <v>240</v>
      </c>
      <c r="DF440" s="5" t="s">
        <v>450</v>
      </c>
      <c r="DG440" s="7">
        <f>0</f>
        <v>0</v>
      </c>
      <c r="DI440" s="5" t="s">
        <v>737</v>
      </c>
      <c r="DJ440" s="5" t="s">
        <v>240</v>
      </c>
      <c r="DK440" s="5" t="s">
        <v>240</v>
      </c>
      <c r="DL440" s="5" t="s">
        <v>240</v>
      </c>
      <c r="DP440" s="5" t="s">
        <v>240</v>
      </c>
      <c r="DQ440" s="5" t="s">
        <v>240</v>
      </c>
      <c r="DR440" s="5" t="s">
        <v>240</v>
      </c>
      <c r="DS440" s="5" t="s">
        <v>240</v>
      </c>
      <c r="DV440" s="5" t="s">
        <v>957</v>
      </c>
      <c r="DW440" s="5" t="s">
        <v>652</v>
      </c>
      <c r="HO440" s="5" t="s">
        <v>312</v>
      </c>
    </row>
    <row r="441" spans="1:223" x14ac:dyDescent="0.4">
      <c r="A441" s="5">
        <v>1176</v>
      </c>
      <c r="B441" s="5">
        <v>1</v>
      </c>
      <c r="C441" s="5">
        <v>1</v>
      </c>
      <c r="D441" s="5" t="s">
        <v>1324</v>
      </c>
      <c r="E441" s="5" t="s">
        <v>1325</v>
      </c>
      <c r="F441" s="5" t="s">
        <v>254</v>
      </c>
      <c r="G441" s="5" t="s">
        <v>240</v>
      </c>
      <c r="H441" s="6" t="s">
        <v>1326</v>
      </c>
      <c r="I441" s="5" t="s">
        <v>1323</v>
      </c>
      <c r="J441" s="8">
        <f>6036</f>
        <v>6036</v>
      </c>
      <c r="K441" s="5" t="s">
        <v>308</v>
      </c>
      <c r="L441" s="7">
        <f>13369740</f>
        <v>13369740</v>
      </c>
      <c r="M441" s="7">
        <f>13369740</f>
        <v>13369740</v>
      </c>
      <c r="N441" s="5" t="s">
        <v>242</v>
      </c>
      <c r="O441" s="5">
        <v>1</v>
      </c>
      <c r="P441" s="5" t="s">
        <v>294</v>
      </c>
      <c r="Q441" s="5" t="s">
        <v>613</v>
      </c>
      <c r="R441" s="5" t="s">
        <v>240</v>
      </c>
      <c r="S441" s="5" t="s">
        <v>240</v>
      </c>
      <c r="T441" s="5" t="s">
        <v>243</v>
      </c>
      <c r="U441" s="5" t="s">
        <v>724</v>
      </c>
      <c r="V441" s="5" t="s">
        <v>240</v>
      </c>
      <c r="Y441" s="5" t="s">
        <v>240</v>
      </c>
      <c r="Z441" s="6" t="s">
        <v>298</v>
      </c>
      <c r="AB441" s="6" t="s">
        <v>240</v>
      </c>
      <c r="AE441" s="6" t="s">
        <v>299</v>
      </c>
      <c r="AF441" s="5" t="s">
        <v>248</v>
      </c>
      <c r="AG441" s="5" t="s">
        <v>249</v>
      </c>
      <c r="AW441" s="5" t="s">
        <v>251</v>
      </c>
      <c r="AX441" s="5" t="s">
        <v>240</v>
      </c>
      <c r="AY441" s="5" t="s">
        <v>253</v>
      </c>
      <c r="AZ441" s="5" t="s">
        <v>240</v>
      </c>
      <c r="BA441" s="5" t="s">
        <v>255</v>
      </c>
      <c r="BB441" s="5" t="s">
        <v>240</v>
      </c>
      <c r="BD441" s="5" t="s">
        <v>240</v>
      </c>
      <c r="BF441" s="5" t="s">
        <v>301</v>
      </c>
      <c r="BG441" s="6" t="s">
        <v>299</v>
      </c>
      <c r="BH441" s="5" t="s">
        <v>302</v>
      </c>
      <c r="BI441" s="5" t="s">
        <v>303</v>
      </c>
      <c r="BJ441" s="5" t="s">
        <v>240</v>
      </c>
      <c r="BK441" s="8">
        <f>0</f>
        <v>0</v>
      </c>
      <c r="BL441" s="7">
        <f>0</f>
        <v>0</v>
      </c>
      <c r="BM441" s="5" t="s">
        <v>258</v>
      </c>
      <c r="BN441" s="5" t="s">
        <v>259</v>
      </c>
      <c r="CB441" s="5" t="s">
        <v>240</v>
      </c>
      <c r="CC441" s="5" t="s">
        <v>240</v>
      </c>
      <c r="CG441" s="5" t="s">
        <v>617</v>
      </c>
      <c r="CH441" s="5" t="s">
        <v>305</v>
      </c>
      <c r="CI441" s="5" t="s">
        <v>240</v>
      </c>
      <c r="CL441" s="6" t="s">
        <v>261</v>
      </c>
      <c r="CM441" s="5" t="s">
        <v>240</v>
      </c>
      <c r="CN441" s="5" t="s">
        <v>263</v>
      </c>
      <c r="CO441" s="5" t="s">
        <v>240</v>
      </c>
      <c r="CP441" s="5" t="s">
        <v>240</v>
      </c>
      <c r="CQ441" s="5">
        <v>0</v>
      </c>
      <c r="CR441" s="5" t="s">
        <v>306</v>
      </c>
      <c r="CS441" s="5" t="s">
        <v>307</v>
      </c>
      <c r="CT441" s="5" t="s">
        <v>307</v>
      </c>
      <c r="CU441" s="5" t="s">
        <v>260</v>
      </c>
      <c r="CX441" s="7">
        <f>11836</f>
        <v>11836</v>
      </c>
      <c r="CY441" s="7">
        <f>0</f>
        <v>0</v>
      </c>
      <c r="DA441" s="7">
        <f>0</f>
        <v>0</v>
      </c>
      <c r="DC441" s="5" t="s">
        <v>854</v>
      </c>
      <c r="DD441" s="5" t="s">
        <v>240</v>
      </c>
      <c r="DF441" s="5" t="s">
        <v>450</v>
      </c>
      <c r="DG441" s="7">
        <f>0</f>
        <v>0</v>
      </c>
      <c r="DI441" s="5" t="s">
        <v>737</v>
      </c>
      <c r="DJ441" s="5" t="s">
        <v>240</v>
      </c>
      <c r="DK441" s="5" t="s">
        <v>240</v>
      </c>
      <c r="DL441" s="5" t="s">
        <v>240</v>
      </c>
      <c r="DP441" s="5" t="s">
        <v>240</v>
      </c>
      <c r="DQ441" s="5" t="s">
        <v>240</v>
      </c>
      <c r="DR441" s="5" t="s">
        <v>240</v>
      </c>
      <c r="DS441" s="5" t="s">
        <v>240</v>
      </c>
      <c r="DV441" s="5" t="s">
        <v>957</v>
      </c>
      <c r="DW441" s="5" t="s">
        <v>654</v>
      </c>
      <c r="HO441" s="5" t="s">
        <v>312</v>
      </c>
    </row>
    <row r="442" spans="1:223" x14ac:dyDescent="0.4">
      <c r="A442" s="5">
        <v>1177</v>
      </c>
      <c r="B442" s="5">
        <v>1</v>
      </c>
      <c r="C442" s="5">
        <v>1</v>
      </c>
      <c r="D442" s="5" t="s">
        <v>1307</v>
      </c>
      <c r="E442" s="5" t="s">
        <v>1308</v>
      </c>
      <c r="F442" s="5" t="s">
        <v>254</v>
      </c>
      <c r="G442" s="5" t="s">
        <v>240</v>
      </c>
      <c r="H442" s="6" t="s">
        <v>1322</v>
      </c>
      <c r="I442" s="5" t="s">
        <v>1306</v>
      </c>
      <c r="J442" s="8">
        <f>3297</f>
        <v>3297</v>
      </c>
      <c r="K442" s="5" t="s">
        <v>308</v>
      </c>
      <c r="L442" s="7">
        <f>15166200</f>
        <v>15166200</v>
      </c>
      <c r="M442" s="7">
        <f>15166200</f>
        <v>15166200</v>
      </c>
      <c r="N442" s="5" t="s">
        <v>242</v>
      </c>
      <c r="O442" s="5">
        <v>1</v>
      </c>
      <c r="P442" s="5" t="s">
        <v>294</v>
      </c>
      <c r="Q442" s="5" t="s">
        <v>613</v>
      </c>
      <c r="R442" s="5" t="s">
        <v>240</v>
      </c>
      <c r="S442" s="5" t="s">
        <v>240</v>
      </c>
      <c r="T442" s="5" t="s">
        <v>243</v>
      </c>
      <c r="U442" s="5" t="s">
        <v>724</v>
      </c>
      <c r="V442" s="5" t="s">
        <v>240</v>
      </c>
      <c r="Y442" s="5" t="s">
        <v>240</v>
      </c>
      <c r="Z442" s="6" t="s">
        <v>298</v>
      </c>
      <c r="AB442" s="6" t="s">
        <v>240</v>
      </c>
      <c r="AE442" s="6" t="s">
        <v>299</v>
      </c>
      <c r="AF442" s="5" t="s">
        <v>248</v>
      </c>
      <c r="AG442" s="5" t="s">
        <v>249</v>
      </c>
      <c r="AW442" s="5" t="s">
        <v>251</v>
      </c>
      <c r="AX442" s="5" t="s">
        <v>240</v>
      </c>
      <c r="AY442" s="5" t="s">
        <v>253</v>
      </c>
      <c r="AZ442" s="5" t="s">
        <v>240</v>
      </c>
      <c r="BA442" s="5" t="s">
        <v>255</v>
      </c>
      <c r="BB442" s="5" t="s">
        <v>240</v>
      </c>
      <c r="BD442" s="5" t="s">
        <v>240</v>
      </c>
      <c r="BF442" s="5" t="s">
        <v>301</v>
      </c>
      <c r="BG442" s="6" t="s">
        <v>299</v>
      </c>
      <c r="BH442" s="5" t="s">
        <v>302</v>
      </c>
      <c r="BI442" s="5" t="s">
        <v>303</v>
      </c>
      <c r="BJ442" s="5" t="s">
        <v>240</v>
      </c>
      <c r="BK442" s="8">
        <f>0</f>
        <v>0</v>
      </c>
      <c r="BL442" s="7">
        <f>0</f>
        <v>0</v>
      </c>
      <c r="BM442" s="5" t="s">
        <v>258</v>
      </c>
      <c r="BN442" s="5" t="s">
        <v>259</v>
      </c>
      <c r="CB442" s="5" t="s">
        <v>240</v>
      </c>
      <c r="CC442" s="5" t="s">
        <v>240</v>
      </c>
      <c r="CG442" s="5" t="s">
        <v>617</v>
      </c>
      <c r="CH442" s="5" t="s">
        <v>305</v>
      </c>
      <c r="CI442" s="5" t="s">
        <v>240</v>
      </c>
      <c r="CL442" s="6" t="s">
        <v>261</v>
      </c>
      <c r="CM442" s="5" t="s">
        <v>240</v>
      </c>
      <c r="CN442" s="5" t="s">
        <v>263</v>
      </c>
      <c r="CO442" s="5" t="s">
        <v>240</v>
      </c>
      <c r="CP442" s="5" t="s">
        <v>240</v>
      </c>
      <c r="CQ442" s="5">
        <v>0</v>
      </c>
      <c r="CR442" s="5" t="s">
        <v>306</v>
      </c>
      <c r="CS442" s="5" t="s">
        <v>307</v>
      </c>
      <c r="CT442" s="5" t="s">
        <v>307</v>
      </c>
      <c r="CU442" s="5" t="s">
        <v>260</v>
      </c>
      <c r="CX442" s="7">
        <f>9328</f>
        <v>9328</v>
      </c>
      <c r="CY442" s="7">
        <f>0</f>
        <v>0</v>
      </c>
      <c r="DA442" s="7">
        <f>0</f>
        <v>0</v>
      </c>
      <c r="DC442" s="5" t="s">
        <v>854</v>
      </c>
      <c r="DD442" s="5" t="s">
        <v>240</v>
      </c>
      <c r="DF442" s="5" t="s">
        <v>450</v>
      </c>
      <c r="DG442" s="7">
        <f>0</f>
        <v>0</v>
      </c>
      <c r="DI442" s="5" t="s">
        <v>737</v>
      </c>
      <c r="DJ442" s="5" t="s">
        <v>240</v>
      </c>
      <c r="DK442" s="5" t="s">
        <v>240</v>
      </c>
      <c r="DL442" s="5" t="s">
        <v>240</v>
      </c>
      <c r="DP442" s="5" t="s">
        <v>240</v>
      </c>
      <c r="DQ442" s="5" t="s">
        <v>240</v>
      </c>
      <c r="DR442" s="5" t="s">
        <v>240</v>
      </c>
      <c r="DS442" s="5" t="s">
        <v>240</v>
      </c>
      <c r="DV442" s="5" t="s">
        <v>957</v>
      </c>
      <c r="DW442" s="5" t="s">
        <v>656</v>
      </c>
      <c r="HO442" s="5" t="s">
        <v>312</v>
      </c>
    </row>
    <row r="443" spans="1:223" x14ac:dyDescent="0.4">
      <c r="A443" s="5">
        <v>1178</v>
      </c>
      <c r="B443" s="5">
        <v>1</v>
      </c>
      <c r="C443" s="5">
        <v>1</v>
      </c>
      <c r="D443" s="5" t="s">
        <v>1307</v>
      </c>
      <c r="E443" s="5" t="s">
        <v>1308</v>
      </c>
      <c r="F443" s="5" t="s">
        <v>254</v>
      </c>
      <c r="G443" s="5" t="s">
        <v>240</v>
      </c>
      <c r="H443" s="6" t="s">
        <v>1321</v>
      </c>
      <c r="I443" s="5" t="s">
        <v>1306</v>
      </c>
      <c r="J443" s="8">
        <f>1105.9</f>
        <v>1105.9000000000001</v>
      </c>
      <c r="K443" s="5" t="s">
        <v>308</v>
      </c>
      <c r="L443" s="7">
        <f>5087140</f>
        <v>5087140</v>
      </c>
      <c r="M443" s="7">
        <f>5087140</f>
        <v>5087140</v>
      </c>
      <c r="N443" s="5" t="s">
        <v>242</v>
      </c>
      <c r="O443" s="5">
        <v>1</v>
      </c>
      <c r="P443" s="5" t="s">
        <v>294</v>
      </c>
      <c r="Q443" s="5" t="s">
        <v>613</v>
      </c>
      <c r="R443" s="5" t="s">
        <v>240</v>
      </c>
      <c r="S443" s="5" t="s">
        <v>240</v>
      </c>
      <c r="T443" s="5" t="s">
        <v>243</v>
      </c>
      <c r="U443" s="5" t="s">
        <v>724</v>
      </c>
      <c r="V443" s="5" t="s">
        <v>240</v>
      </c>
      <c r="Y443" s="5" t="s">
        <v>240</v>
      </c>
      <c r="Z443" s="6" t="s">
        <v>298</v>
      </c>
      <c r="AB443" s="6" t="s">
        <v>240</v>
      </c>
      <c r="AE443" s="6" t="s">
        <v>299</v>
      </c>
      <c r="AF443" s="5" t="s">
        <v>248</v>
      </c>
      <c r="AG443" s="5" t="s">
        <v>249</v>
      </c>
      <c r="AW443" s="5" t="s">
        <v>251</v>
      </c>
      <c r="AX443" s="5" t="s">
        <v>240</v>
      </c>
      <c r="AY443" s="5" t="s">
        <v>253</v>
      </c>
      <c r="AZ443" s="5" t="s">
        <v>240</v>
      </c>
      <c r="BA443" s="5" t="s">
        <v>255</v>
      </c>
      <c r="BB443" s="5" t="s">
        <v>240</v>
      </c>
      <c r="BD443" s="5" t="s">
        <v>240</v>
      </c>
      <c r="BF443" s="5" t="s">
        <v>301</v>
      </c>
      <c r="BG443" s="6" t="s">
        <v>299</v>
      </c>
      <c r="BH443" s="5" t="s">
        <v>302</v>
      </c>
      <c r="BI443" s="5" t="s">
        <v>303</v>
      </c>
      <c r="BJ443" s="5" t="s">
        <v>240</v>
      </c>
      <c r="BK443" s="8">
        <f>0</f>
        <v>0</v>
      </c>
      <c r="BL443" s="7">
        <f>0</f>
        <v>0</v>
      </c>
      <c r="BM443" s="5" t="s">
        <v>258</v>
      </c>
      <c r="BN443" s="5" t="s">
        <v>259</v>
      </c>
      <c r="CB443" s="5" t="s">
        <v>240</v>
      </c>
      <c r="CC443" s="5" t="s">
        <v>240</v>
      </c>
      <c r="CG443" s="5" t="s">
        <v>617</v>
      </c>
      <c r="CH443" s="5" t="s">
        <v>305</v>
      </c>
      <c r="CI443" s="5" t="s">
        <v>240</v>
      </c>
      <c r="CL443" s="6" t="s">
        <v>261</v>
      </c>
      <c r="CM443" s="5" t="s">
        <v>240</v>
      </c>
      <c r="CN443" s="5" t="s">
        <v>263</v>
      </c>
      <c r="CO443" s="5" t="s">
        <v>240</v>
      </c>
      <c r="CP443" s="5" t="s">
        <v>240</v>
      </c>
      <c r="CQ443" s="5">
        <v>0</v>
      </c>
      <c r="CR443" s="5" t="s">
        <v>306</v>
      </c>
      <c r="CS443" s="5" t="s">
        <v>307</v>
      </c>
      <c r="CT443" s="5" t="s">
        <v>307</v>
      </c>
      <c r="CU443" s="5" t="s">
        <v>260</v>
      </c>
      <c r="CX443" s="7">
        <f>19118</f>
        <v>19118</v>
      </c>
      <c r="CY443" s="7">
        <f>0</f>
        <v>0</v>
      </c>
      <c r="DA443" s="7">
        <f>0</f>
        <v>0</v>
      </c>
      <c r="DC443" s="5" t="s">
        <v>854</v>
      </c>
      <c r="DD443" s="5" t="s">
        <v>240</v>
      </c>
      <c r="DF443" s="5" t="s">
        <v>450</v>
      </c>
      <c r="DG443" s="7">
        <f>0</f>
        <v>0</v>
      </c>
      <c r="DI443" s="5" t="s">
        <v>737</v>
      </c>
      <c r="DJ443" s="5" t="s">
        <v>240</v>
      </c>
      <c r="DK443" s="5" t="s">
        <v>240</v>
      </c>
      <c r="DL443" s="5" t="s">
        <v>240</v>
      </c>
      <c r="DP443" s="5" t="s">
        <v>240</v>
      </c>
      <c r="DQ443" s="5" t="s">
        <v>240</v>
      </c>
      <c r="DR443" s="5" t="s">
        <v>240</v>
      </c>
      <c r="DS443" s="5" t="s">
        <v>240</v>
      </c>
      <c r="DV443" s="5" t="s">
        <v>957</v>
      </c>
      <c r="DW443" s="5" t="s">
        <v>658</v>
      </c>
      <c r="HO443" s="5" t="s">
        <v>312</v>
      </c>
    </row>
    <row r="444" spans="1:223" x14ac:dyDescent="0.4">
      <c r="A444" s="5">
        <v>1179</v>
      </c>
      <c r="B444" s="5">
        <v>1</v>
      </c>
      <c r="C444" s="5">
        <v>1</v>
      </c>
      <c r="D444" s="5" t="s">
        <v>1307</v>
      </c>
      <c r="E444" s="5" t="s">
        <v>1308</v>
      </c>
      <c r="F444" s="5" t="s">
        <v>254</v>
      </c>
      <c r="G444" s="5" t="s">
        <v>240</v>
      </c>
      <c r="H444" s="6" t="s">
        <v>1319</v>
      </c>
      <c r="I444" s="5" t="s">
        <v>1306</v>
      </c>
      <c r="J444" s="8">
        <f>668</f>
        <v>668</v>
      </c>
      <c r="K444" s="5" t="s">
        <v>308</v>
      </c>
      <c r="L444" s="7">
        <f>18704</f>
        <v>18704</v>
      </c>
      <c r="M444" s="7">
        <f>18704</f>
        <v>18704</v>
      </c>
      <c r="N444" s="5" t="s">
        <v>242</v>
      </c>
      <c r="O444" s="5">
        <v>1</v>
      </c>
      <c r="P444" s="5" t="s">
        <v>294</v>
      </c>
      <c r="Q444" s="5" t="s">
        <v>613</v>
      </c>
      <c r="R444" s="5" t="s">
        <v>240</v>
      </c>
      <c r="S444" s="5" t="s">
        <v>240</v>
      </c>
      <c r="T444" s="5" t="s">
        <v>243</v>
      </c>
      <c r="U444" s="5" t="s">
        <v>724</v>
      </c>
      <c r="V444" s="5" t="s">
        <v>240</v>
      </c>
      <c r="Y444" s="5" t="s">
        <v>240</v>
      </c>
      <c r="Z444" s="6" t="s">
        <v>298</v>
      </c>
      <c r="AB444" s="6" t="s">
        <v>240</v>
      </c>
      <c r="AE444" s="6" t="s">
        <v>299</v>
      </c>
      <c r="AF444" s="5" t="s">
        <v>248</v>
      </c>
      <c r="AG444" s="5" t="s">
        <v>249</v>
      </c>
      <c r="AW444" s="5" t="s">
        <v>251</v>
      </c>
      <c r="AX444" s="5" t="s">
        <v>240</v>
      </c>
      <c r="AY444" s="5" t="s">
        <v>253</v>
      </c>
      <c r="AZ444" s="5" t="s">
        <v>240</v>
      </c>
      <c r="BA444" s="5" t="s">
        <v>255</v>
      </c>
      <c r="BB444" s="5" t="s">
        <v>240</v>
      </c>
      <c r="BD444" s="5" t="s">
        <v>240</v>
      </c>
      <c r="BF444" s="5" t="s">
        <v>301</v>
      </c>
      <c r="BG444" s="6" t="s">
        <v>299</v>
      </c>
      <c r="BH444" s="5" t="s">
        <v>302</v>
      </c>
      <c r="BI444" s="5" t="s">
        <v>303</v>
      </c>
      <c r="BJ444" s="5" t="s">
        <v>240</v>
      </c>
      <c r="BK444" s="8">
        <f>0</f>
        <v>0</v>
      </c>
      <c r="BL444" s="7">
        <f>0</f>
        <v>0</v>
      </c>
      <c r="BM444" s="5" t="s">
        <v>258</v>
      </c>
      <c r="BN444" s="5" t="s">
        <v>259</v>
      </c>
      <c r="CB444" s="5" t="s">
        <v>240</v>
      </c>
      <c r="CC444" s="5" t="s">
        <v>240</v>
      </c>
      <c r="CG444" s="5" t="s">
        <v>617</v>
      </c>
      <c r="CH444" s="5" t="s">
        <v>305</v>
      </c>
      <c r="CI444" s="5" t="s">
        <v>240</v>
      </c>
      <c r="CL444" s="6" t="s">
        <v>261</v>
      </c>
      <c r="CM444" s="5" t="s">
        <v>240</v>
      </c>
      <c r="CN444" s="5" t="s">
        <v>263</v>
      </c>
      <c r="CO444" s="5" t="s">
        <v>240</v>
      </c>
      <c r="CP444" s="5" t="s">
        <v>240</v>
      </c>
      <c r="CQ444" s="5">
        <v>0</v>
      </c>
      <c r="CR444" s="5" t="s">
        <v>306</v>
      </c>
      <c r="CS444" s="5" t="s">
        <v>307</v>
      </c>
      <c r="CT444" s="5" t="s">
        <v>307</v>
      </c>
      <c r="CU444" s="5" t="s">
        <v>260</v>
      </c>
      <c r="CX444" s="7">
        <f>6787</f>
        <v>6787</v>
      </c>
      <c r="CY444" s="7">
        <f>0</f>
        <v>0</v>
      </c>
      <c r="DA444" s="7">
        <f>0</f>
        <v>0</v>
      </c>
      <c r="DC444" s="5" t="s">
        <v>854</v>
      </c>
      <c r="DD444" s="5" t="s">
        <v>240</v>
      </c>
      <c r="DF444" s="5" t="s">
        <v>450</v>
      </c>
      <c r="DG444" s="7">
        <f>0</f>
        <v>0</v>
      </c>
      <c r="DI444" s="5" t="s">
        <v>737</v>
      </c>
      <c r="DJ444" s="5" t="s">
        <v>240</v>
      </c>
      <c r="DK444" s="5" t="s">
        <v>240</v>
      </c>
      <c r="DL444" s="5" t="s">
        <v>240</v>
      </c>
      <c r="DP444" s="5" t="s">
        <v>240</v>
      </c>
      <c r="DQ444" s="5" t="s">
        <v>240</v>
      </c>
      <c r="DR444" s="5" t="s">
        <v>240</v>
      </c>
      <c r="DS444" s="5" t="s">
        <v>240</v>
      </c>
      <c r="DV444" s="5" t="s">
        <v>957</v>
      </c>
      <c r="DW444" s="5" t="s">
        <v>660</v>
      </c>
      <c r="HO444" s="5" t="s">
        <v>312</v>
      </c>
    </row>
    <row r="445" spans="1:223" x14ac:dyDescent="0.4">
      <c r="A445" s="5">
        <v>1180</v>
      </c>
      <c r="B445" s="5">
        <v>1</v>
      </c>
      <c r="C445" s="5">
        <v>1</v>
      </c>
      <c r="D445" s="5" t="s">
        <v>1307</v>
      </c>
      <c r="E445" s="5" t="s">
        <v>1308</v>
      </c>
      <c r="F445" s="5" t="s">
        <v>254</v>
      </c>
      <c r="G445" s="5" t="s">
        <v>240</v>
      </c>
      <c r="H445" s="6" t="s">
        <v>4347</v>
      </c>
      <c r="I445" s="5" t="s">
        <v>1306</v>
      </c>
      <c r="J445" s="8">
        <f>1660</f>
        <v>1660</v>
      </c>
      <c r="K445" s="5" t="s">
        <v>308</v>
      </c>
      <c r="L445" s="7">
        <f>3676900</f>
        <v>3676900</v>
      </c>
      <c r="M445" s="7">
        <f>3676900</f>
        <v>3676900</v>
      </c>
      <c r="N445" s="5" t="s">
        <v>242</v>
      </c>
      <c r="O445" s="5">
        <v>1</v>
      </c>
      <c r="P445" s="5" t="s">
        <v>294</v>
      </c>
      <c r="Q445" s="5" t="s">
        <v>613</v>
      </c>
      <c r="R445" s="5" t="s">
        <v>240</v>
      </c>
      <c r="S445" s="5" t="s">
        <v>240</v>
      </c>
      <c r="T445" s="5" t="s">
        <v>243</v>
      </c>
      <c r="U445" s="5" t="s">
        <v>724</v>
      </c>
      <c r="V445" s="5" t="s">
        <v>240</v>
      </c>
      <c r="Y445" s="5" t="s">
        <v>240</v>
      </c>
      <c r="Z445" s="6" t="s">
        <v>298</v>
      </c>
      <c r="AB445" s="6" t="s">
        <v>240</v>
      </c>
      <c r="AE445" s="6" t="s">
        <v>299</v>
      </c>
      <c r="AF445" s="5" t="s">
        <v>248</v>
      </c>
      <c r="AG445" s="5" t="s">
        <v>249</v>
      </c>
      <c r="AW445" s="5" t="s">
        <v>251</v>
      </c>
      <c r="AX445" s="5" t="s">
        <v>240</v>
      </c>
      <c r="AY445" s="5" t="s">
        <v>253</v>
      </c>
      <c r="AZ445" s="5" t="s">
        <v>240</v>
      </c>
      <c r="BA445" s="5" t="s">
        <v>255</v>
      </c>
      <c r="BB445" s="5" t="s">
        <v>240</v>
      </c>
      <c r="BD445" s="5" t="s">
        <v>240</v>
      </c>
      <c r="BF445" s="5" t="s">
        <v>301</v>
      </c>
      <c r="BG445" s="6" t="s">
        <v>299</v>
      </c>
      <c r="BH445" s="5" t="s">
        <v>302</v>
      </c>
      <c r="BI445" s="5" t="s">
        <v>303</v>
      </c>
      <c r="BJ445" s="5" t="s">
        <v>240</v>
      </c>
      <c r="BK445" s="8">
        <f>0</f>
        <v>0</v>
      </c>
      <c r="BL445" s="7">
        <f>0</f>
        <v>0</v>
      </c>
      <c r="BM445" s="5" t="s">
        <v>258</v>
      </c>
      <c r="BN445" s="5" t="s">
        <v>259</v>
      </c>
      <c r="CB445" s="5" t="s">
        <v>240</v>
      </c>
      <c r="CC445" s="5" t="s">
        <v>240</v>
      </c>
      <c r="CG445" s="5" t="s">
        <v>617</v>
      </c>
      <c r="CH445" s="5" t="s">
        <v>305</v>
      </c>
      <c r="CI445" s="5" t="s">
        <v>240</v>
      </c>
      <c r="CL445" s="6" t="s">
        <v>261</v>
      </c>
      <c r="CM445" s="5" t="s">
        <v>240</v>
      </c>
      <c r="CN445" s="5" t="s">
        <v>263</v>
      </c>
      <c r="CO445" s="5" t="s">
        <v>240</v>
      </c>
      <c r="CP445" s="5" t="s">
        <v>240</v>
      </c>
      <c r="CQ445" s="5">
        <v>0</v>
      </c>
      <c r="CR445" s="5" t="s">
        <v>306</v>
      </c>
      <c r="CS445" s="5" t="s">
        <v>307</v>
      </c>
      <c r="CT445" s="5" t="s">
        <v>307</v>
      </c>
      <c r="CU445" s="5" t="s">
        <v>260</v>
      </c>
      <c r="CX445" s="7">
        <f>20735</f>
        <v>20735</v>
      </c>
      <c r="CY445" s="7">
        <f>0</f>
        <v>0</v>
      </c>
      <c r="DA445" s="7">
        <f>0</f>
        <v>0</v>
      </c>
      <c r="DC445" s="5" t="s">
        <v>854</v>
      </c>
      <c r="DD445" s="5" t="s">
        <v>240</v>
      </c>
      <c r="DF445" s="5" t="s">
        <v>450</v>
      </c>
      <c r="DG445" s="7">
        <f>0</f>
        <v>0</v>
      </c>
      <c r="DI445" s="5" t="s">
        <v>737</v>
      </c>
      <c r="DJ445" s="5" t="s">
        <v>240</v>
      </c>
      <c r="DK445" s="5" t="s">
        <v>240</v>
      </c>
      <c r="DL445" s="5" t="s">
        <v>240</v>
      </c>
      <c r="DP445" s="5" t="s">
        <v>240</v>
      </c>
      <c r="DQ445" s="5" t="s">
        <v>240</v>
      </c>
      <c r="DR445" s="5" t="s">
        <v>240</v>
      </c>
      <c r="DS445" s="5" t="s">
        <v>240</v>
      </c>
      <c r="DV445" s="5" t="s">
        <v>957</v>
      </c>
      <c r="DW445" s="5" t="s">
        <v>662</v>
      </c>
      <c r="HO445" s="5" t="s">
        <v>312</v>
      </c>
    </row>
    <row r="446" spans="1:223" x14ac:dyDescent="0.4">
      <c r="A446" s="5">
        <v>1181</v>
      </c>
      <c r="B446" s="5">
        <v>1</v>
      </c>
      <c r="C446" s="5">
        <v>1</v>
      </c>
      <c r="D446" s="5" t="s">
        <v>1307</v>
      </c>
      <c r="E446" s="5" t="s">
        <v>1308</v>
      </c>
      <c r="F446" s="5" t="s">
        <v>254</v>
      </c>
      <c r="G446" s="5" t="s">
        <v>240</v>
      </c>
      <c r="H446" s="6" t="s">
        <v>1316</v>
      </c>
      <c r="I446" s="5" t="s">
        <v>1306</v>
      </c>
      <c r="J446" s="8">
        <f>8132</f>
        <v>8132</v>
      </c>
      <c r="K446" s="5" t="s">
        <v>308</v>
      </c>
      <c r="L446" s="7">
        <f>18012380</f>
        <v>18012380</v>
      </c>
      <c r="M446" s="7">
        <f>18012380</f>
        <v>18012380</v>
      </c>
      <c r="N446" s="5" t="s">
        <v>242</v>
      </c>
      <c r="O446" s="5">
        <v>1</v>
      </c>
      <c r="P446" s="5" t="s">
        <v>294</v>
      </c>
      <c r="Q446" s="5" t="s">
        <v>613</v>
      </c>
      <c r="R446" s="5" t="s">
        <v>240</v>
      </c>
      <c r="S446" s="5" t="s">
        <v>240</v>
      </c>
      <c r="T446" s="5" t="s">
        <v>243</v>
      </c>
      <c r="U446" s="5" t="s">
        <v>724</v>
      </c>
      <c r="V446" s="5" t="s">
        <v>240</v>
      </c>
      <c r="Y446" s="5" t="s">
        <v>240</v>
      </c>
      <c r="Z446" s="6" t="s">
        <v>298</v>
      </c>
      <c r="AB446" s="6" t="s">
        <v>240</v>
      </c>
      <c r="AE446" s="6" t="s">
        <v>299</v>
      </c>
      <c r="AF446" s="5" t="s">
        <v>248</v>
      </c>
      <c r="AG446" s="5" t="s">
        <v>249</v>
      </c>
      <c r="AW446" s="5" t="s">
        <v>251</v>
      </c>
      <c r="AX446" s="5" t="s">
        <v>240</v>
      </c>
      <c r="AY446" s="5" t="s">
        <v>253</v>
      </c>
      <c r="AZ446" s="5" t="s">
        <v>240</v>
      </c>
      <c r="BA446" s="5" t="s">
        <v>255</v>
      </c>
      <c r="BB446" s="5" t="s">
        <v>240</v>
      </c>
      <c r="BD446" s="5" t="s">
        <v>240</v>
      </c>
      <c r="BF446" s="5" t="s">
        <v>301</v>
      </c>
      <c r="BG446" s="6" t="s">
        <v>299</v>
      </c>
      <c r="BH446" s="5" t="s">
        <v>302</v>
      </c>
      <c r="BI446" s="5" t="s">
        <v>303</v>
      </c>
      <c r="BJ446" s="5" t="s">
        <v>240</v>
      </c>
      <c r="BK446" s="8">
        <f>0</f>
        <v>0</v>
      </c>
      <c r="BL446" s="7">
        <f>0</f>
        <v>0</v>
      </c>
      <c r="BM446" s="5" t="s">
        <v>258</v>
      </c>
      <c r="BN446" s="5" t="s">
        <v>259</v>
      </c>
      <c r="CB446" s="5" t="s">
        <v>240</v>
      </c>
      <c r="CC446" s="5" t="s">
        <v>240</v>
      </c>
      <c r="CG446" s="5" t="s">
        <v>617</v>
      </c>
      <c r="CH446" s="5" t="s">
        <v>305</v>
      </c>
      <c r="CI446" s="5" t="s">
        <v>240</v>
      </c>
      <c r="CL446" s="6" t="s">
        <v>261</v>
      </c>
      <c r="CM446" s="5" t="s">
        <v>240</v>
      </c>
      <c r="CN446" s="5" t="s">
        <v>263</v>
      </c>
      <c r="CO446" s="5" t="s">
        <v>240</v>
      </c>
      <c r="CP446" s="5" t="s">
        <v>240</v>
      </c>
      <c r="CQ446" s="5">
        <v>0</v>
      </c>
      <c r="CR446" s="5" t="s">
        <v>306</v>
      </c>
      <c r="CS446" s="5" t="s">
        <v>307</v>
      </c>
      <c r="CT446" s="5" t="s">
        <v>307</v>
      </c>
      <c r="CU446" s="5" t="s">
        <v>260</v>
      </c>
      <c r="CX446" s="7">
        <f>40018</f>
        <v>40018</v>
      </c>
      <c r="CY446" s="7">
        <f>0</f>
        <v>0</v>
      </c>
      <c r="DA446" s="7">
        <f>0</f>
        <v>0</v>
      </c>
      <c r="DC446" s="5" t="s">
        <v>854</v>
      </c>
      <c r="DD446" s="5" t="s">
        <v>240</v>
      </c>
      <c r="DF446" s="5" t="s">
        <v>450</v>
      </c>
      <c r="DG446" s="7">
        <f>0</f>
        <v>0</v>
      </c>
      <c r="DI446" s="5" t="s">
        <v>737</v>
      </c>
      <c r="DJ446" s="5" t="s">
        <v>240</v>
      </c>
      <c r="DK446" s="5" t="s">
        <v>240</v>
      </c>
      <c r="DL446" s="5" t="s">
        <v>240</v>
      </c>
      <c r="DP446" s="5" t="s">
        <v>240</v>
      </c>
      <c r="DQ446" s="5" t="s">
        <v>240</v>
      </c>
      <c r="DR446" s="5" t="s">
        <v>240</v>
      </c>
      <c r="DS446" s="5" t="s">
        <v>240</v>
      </c>
      <c r="DV446" s="5" t="s">
        <v>957</v>
      </c>
      <c r="DW446" s="5" t="s">
        <v>664</v>
      </c>
      <c r="HO446" s="5" t="s">
        <v>312</v>
      </c>
    </row>
    <row r="447" spans="1:223" x14ac:dyDescent="0.4">
      <c r="A447" s="5">
        <v>1182</v>
      </c>
      <c r="B447" s="5">
        <v>1</v>
      </c>
      <c r="C447" s="5">
        <v>1</v>
      </c>
      <c r="D447" s="5" t="s">
        <v>1307</v>
      </c>
      <c r="E447" s="5" t="s">
        <v>1308</v>
      </c>
      <c r="F447" s="5" t="s">
        <v>254</v>
      </c>
      <c r="G447" s="5" t="s">
        <v>240</v>
      </c>
      <c r="H447" s="6" t="s">
        <v>1315</v>
      </c>
      <c r="I447" s="5" t="s">
        <v>1306</v>
      </c>
      <c r="J447" s="8">
        <f>3553</f>
        <v>3553</v>
      </c>
      <c r="K447" s="5" t="s">
        <v>308</v>
      </c>
      <c r="L447" s="7">
        <f>7869895</f>
        <v>7869895</v>
      </c>
      <c r="M447" s="7">
        <f>7869895</f>
        <v>7869895</v>
      </c>
      <c r="N447" s="5" t="s">
        <v>242</v>
      </c>
      <c r="O447" s="5">
        <v>1</v>
      </c>
      <c r="P447" s="5" t="s">
        <v>294</v>
      </c>
      <c r="Q447" s="5" t="s">
        <v>613</v>
      </c>
      <c r="R447" s="5" t="s">
        <v>240</v>
      </c>
      <c r="S447" s="5" t="s">
        <v>240</v>
      </c>
      <c r="T447" s="5" t="s">
        <v>243</v>
      </c>
      <c r="U447" s="5" t="s">
        <v>724</v>
      </c>
      <c r="V447" s="5" t="s">
        <v>240</v>
      </c>
      <c r="Y447" s="5" t="s">
        <v>240</v>
      </c>
      <c r="Z447" s="6" t="s">
        <v>298</v>
      </c>
      <c r="AB447" s="6" t="s">
        <v>240</v>
      </c>
      <c r="AE447" s="6" t="s">
        <v>299</v>
      </c>
      <c r="AF447" s="5" t="s">
        <v>248</v>
      </c>
      <c r="AG447" s="5" t="s">
        <v>249</v>
      </c>
      <c r="AW447" s="5" t="s">
        <v>251</v>
      </c>
      <c r="AX447" s="5" t="s">
        <v>240</v>
      </c>
      <c r="AY447" s="5" t="s">
        <v>253</v>
      </c>
      <c r="AZ447" s="5" t="s">
        <v>240</v>
      </c>
      <c r="BA447" s="5" t="s">
        <v>255</v>
      </c>
      <c r="BB447" s="5" t="s">
        <v>240</v>
      </c>
      <c r="BD447" s="5" t="s">
        <v>240</v>
      </c>
      <c r="BF447" s="5" t="s">
        <v>301</v>
      </c>
      <c r="BG447" s="6" t="s">
        <v>299</v>
      </c>
      <c r="BH447" s="5" t="s">
        <v>302</v>
      </c>
      <c r="BI447" s="5" t="s">
        <v>303</v>
      </c>
      <c r="BJ447" s="5" t="s">
        <v>240</v>
      </c>
      <c r="BK447" s="8">
        <f>0</f>
        <v>0</v>
      </c>
      <c r="BL447" s="7">
        <f>0</f>
        <v>0</v>
      </c>
      <c r="BM447" s="5" t="s">
        <v>258</v>
      </c>
      <c r="BN447" s="5" t="s">
        <v>259</v>
      </c>
      <c r="CB447" s="5" t="s">
        <v>240</v>
      </c>
      <c r="CC447" s="5" t="s">
        <v>240</v>
      </c>
      <c r="CG447" s="5" t="s">
        <v>617</v>
      </c>
      <c r="CH447" s="5" t="s">
        <v>305</v>
      </c>
      <c r="CI447" s="5" t="s">
        <v>240</v>
      </c>
      <c r="CL447" s="6" t="s">
        <v>261</v>
      </c>
      <c r="CM447" s="5" t="s">
        <v>240</v>
      </c>
      <c r="CN447" s="5" t="s">
        <v>263</v>
      </c>
      <c r="CO447" s="5" t="s">
        <v>240</v>
      </c>
      <c r="CP447" s="5" t="s">
        <v>240</v>
      </c>
      <c r="CQ447" s="5">
        <v>0</v>
      </c>
      <c r="CR447" s="5" t="s">
        <v>306</v>
      </c>
      <c r="CS447" s="5" t="s">
        <v>307</v>
      </c>
      <c r="CT447" s="5" t="s">
        <v>307</v>
      </c>
      <c r="CU447" s="5" t="s">
        <v>260</v>
      </c>
      <c r="CX447" s="7">
        <f>14531</f>
        <v>14531</v>
      </c>
      <c r="CY447" s="7">
        <f>0</f>
        <v>0</v>
      </c>
      <c r="DA447" s="7">
        <f>0</f>
        <v>0</v>
      </c>
      <c r="DC447" s="5" t="s">
        <v>854</v>
      </c>
      <c r="DD447" s="5" t="s">
        <v>240</v>
      </c>
      <c r="DF447" s="5" t="s">
        <v>450</v>
      </c>
      <c r="DG447" s="7">
        <f>0</f>
        <v>0</v>
      </c>
      <c r="DI447" s="5" t="s">
        <v>737</v>
      </c>
      <c r="DJ447" s="5" t="s">
        <v>240</v>
      </c>
      <c r="DK447" s="5" t="s">
        <v>240</v>
      </c>
      <c r="DL447" s="5" t="s">
        <v>240</v>
      </c>
      <c r="DP447" s="5" t="s">
        <v>240</v>
      </c>
      <c r="DQ447" s="5" t="s">
        <v>240</v>
      </c>
      <c r="DR447" s="5" t="s">
        <v>240</v>
      </c>
      <c r="DS447" s="5" t="s">
        <v>240</v>
      </c>
      <c r="DV447" s="5" t="s">
        <v>957</v>
      </c>
      <c r="DW447" s="5" t="s">
        <v>666</v>
      </c>
      <c r="HO447" s="5" t="s">
        <v>312</v>
      </c>
    </row>
    <row r="448" spans="1:223" x14ac:dyDescent="0.4">
      <c r="A448" s="5">
        <v>1183</v>
      </c>
      <c r="B448" s="5">
        <v>1</v>
      </c>
      <c r="C448" s="5">
        <v>1</v>
      </c>
      <c r="D448" s="5" t="s">
        <v>1307</v>
      </c>
      <c r="E448" s="5" t="s">
        <v>1308</v>
      </c>
      <c r="F448" s="5" t="s">
        <v>254</v>
      </c>
      <c r="G448" s="5" t="s">
        <v>240</v>
      </c>
      <c r="H448" s="6" t="s">
        <v>1314</v>
      </c>
      <c r="I448" s="5" t="s">
        <v>1306</v>
      </c>
      <c r="J448" s="8">
        <f>4505</f>
        <v>4505</v>
      </c>
      <c r="K448" s="5" t="s">
        <v>308</v>
      </c>
      <c r="L448" s="7">
        <f>9978575</f>
        <v>9978575</v>
      </c>
      <c r="M448" s="7">
        <f>9978575</f>
        <v>9978575</v>
      </c>
      <c r="N448" s="5" t="s">
        <v>242</v>
      </c>
      <c r="O448" s="5">
        <v>1</v>
      </c>
      <c r="P448" s="5" t="s">
        <v>294</v>
      </c>
      <c r="Q448" s="5" t="s">
        <v>613</v>
      </c>
      <c r="R448" s="5" t="s">
        <v>240</v>
      </c>
      <c r="S448" s="5" t="s">
        <v>240</v>
      </c>
      <c r="T448" s="5" t="s">
        <v>243</v>
      </c>
      <c r="U448" s="5" t="s">
        <v>724</v>
      </c>
      <c r="V448" s="5" t="s">
        <v>240</v>
      </c>
      <c r="Y448" s="5" t="s">
        <v>240</v>
      </c>
      <c r="Z448" s="6" t="s">
        <v>298</v>
      </c>
      <c r="AB448" s="6" t="s">
        <v>240</v>
      </c>
      <c r="AE448" s="6" t="s">
        <v>299</v>
      </c>
      <c r="AF448" s="5" t="s">
        <v>248</v>
      </c>
      <c r="AG448" s="5" t="s">
        <v>249</v>
      </c>
      <c r="AW448" s="5" t="s">
        <v>251</v>
      </c>
      <c r="AX448" s="5" t="s">
        <v>240</v>
      </c>
      <c r="AY448" s="5" t="s">
        <v>253</v>
      </c>
      <c r="AZ448" s="5" t="s">
        <v>240</v>
      </c>
      <c r="BA448" s="5" t="s">
        <v>255</v>
      </c>
      <c r="BB448" s="5" t="s">
        <v>240</v>
      </c>
      <c r="BD448" s="5" t="s">
        <v>240</v>
      </c>
      <c r="BF448" s="5" t="s">
        <v>301</v>
      </c>
      <c r="BG448" s="6" t="s">
        <v>299</v>
      </c>
      <c r="BH448" s="5" t="s">
        <v>302</v>
      </c>
      <c r="BI448" s="5" t="s">
        <v>303</v>
      </c>
      <c r="BJ448" s="5" t="s">
        <v>240</v>
      </c>
      <c r="BK448" s="8">
        <f>0</f>
        <v>0</v>
      </c>
      <c r="BL448" s="7">
        <f>0</f>
        <v>0</v>
      </c>
      <c r="BM448" s="5" t="s">
        <v>258</v>
      </c>
      <c r="BN448" s="5" t="s">
        <v>259</v>
      </c>
      <c r="CB448" s="5" t="s">
        <v>240</v>
      </c>
      <c r="CC448" s="5" t="s">
        <v>240</v>
      </c>
      <c r="CG448" s="5" t="s">
        <v>617</v>
      </c>
      <c r="CH448" s="5" t="s">
        <v>305</v>
      </c>
      <c r="CI448" s="5" t="s">
        <v>240</v>
      </c>
      <c r="CL448" s="6" t="s">
        <v>261</v>
      </c>
      <c r="CM448" s="5" t="s">
        <v>240</v>
      </c>
      <c r="CN448" s="5" t="s">
        <v>263</v>
      </c>
      <c r="CO448" s="5" t="s">
        <v>240</v>
      </c>
      <c r="CP448" s="5" t="s">
        <v>240</v>
      </c>
      <c r="CQ448" s="5">
        <v>0</v>
      </c>
      <c r="CR448" s="5" t="s">
        <v>306</v>
      </c>
      <c r="CS448" s="5" t="s">
        <v>307</v>
      </c>
      <c r="CT448" s="5" t="s">
        <v>307</v>
      </c>
      <c r="CU448" s="5" t="s">
        <v>260</v>
      </c>
      <c r="CX448" s="7">
        <f>23903</f>
        <v>23903</v>
      </c>
      <c r="CY448" s="7">
        <f>0</f>
        <v>0</v>
      </c>
      <c r="DA448" s="7">
        <f>0</f>
        <v>0</v>
      </c>
      <c r="DC448" s="5" t="s">
        <v>854</v>
      </c>
      <c r="DD448" s="5" t="s">
        <v>240</v>
      </c>
      <c r="DF448" s="5" t="s">
        <v>450</v>
      </c>
      <c r="DG448" s="7">
        <f>0</f>
        <v>0</v>
      </c>
      <c r="DI448" s="5" t="s">
        <v>737</v>
      </c>
      <c r="DJ448" s="5" t="s">
        <v>240</v>
      </c>
      <c r="DK448" s="5" t="s">
        <v>240</v>
      </c>
      <c r="DL448" s="5" t="s">
        <v>240</v>
      </c>
      <c r="DP448" s="5" t="s">
        <v>240</v>
      </c>
      <c r="DQ448" s="5" t="s">
        <v>240</v>
      </c>
      <c r="DR448" s="5" t="s">
        <v>240</v>
      </c>
      <c r="DS448" s="5" t="s">
        <v>240</v>
      </c>
      <c r="DV448" s="5" t="s">
        <v>957</v>
      </c>
      <c r="DW448" s="5" t="s">
        <v>668</v>
      </c>
      <c r="HO448" s="5" t="s">
        <v>312</v>
      </c>
    </row>
    <row r="449" spans="1:223" x14ac:dyDescent="0.4">
      <c r="A449" s="5">
        <v>1184</v>
      </c>
      <c r="B449" s="5">
        <v>1</v>
      </c>
      <c r="C449" s="5">
        <v>1</v>
      </c>
      <c r="D449" s="5" t="s">
        <v>1307</v>
      </c>
      <c r="E449" s="5" t="s">
        <v>1308</v>
      </c>
      <c r="F449" s="5" t="s">
        <v>254</v>
      </c>
      <c r="G449" s="5" t="s">
        <v>240</v>
      </c>
      <c r="H449" s="6" t="s">
        <v>1313</v>
      </c>
      <c r="I449" s="5" t="s">
        <v>1306</v>
      </c>
      <c r="J449" s="8">
        <f>977</f>
        <v>977</v>
      </c>
      <c r="K449" s="5" t="s">
        <v>308</v>
      </c>
      <c r="L449" s="7">
        <f>2164055</f>
        <v>2164055</v>
      </c>
      <c r="M449" s="7">
        <f>2164055</f>
        <v>2164055</v>
      </c>
      <c r="N449" s="5" t="s">
        <v>242</v>
      </c>
      <c r="O449" s="5">
        <v>1</v>
      </c>
      <c r="P449" s="5" t="s">
        <v>294</v>
      </c>
      <c r="Q449" s="5" t="s">
        <v>613</v>
      </c>
      <c r="R449" s="5" t="s">
        <v>240</v>
      </c>
      <c r="S449" s="5" t="s">
        <v>240</v>
      </c>
      <c r="T449" s="5" t="s">
        <v>243</v>
      </c>
      <c r="U449" s="5" t="s">
        <v>724</v>
      </c>
      <c r="V449" s="5" t="s">
        <v>240</v>
      </c>
      <c r="Y449" s="5" t="s">
        <v>240</v>
      </c>
      <c r="Z449" s="6" t="s">
        <v>298</v>
      </c>
      <c r="AB449" s="6" t="s">
        <v>240</v>
      </c>
      <c r="AE449" s="6" t="s">
        <v>299</v>
      </c>
      <c r="AF449" s="5" t="s">
        <v>248</v>
      </c>
      <c r="AG449" s="5" t="s">
        <v>249</v>
      </c>
      <c r="AW449" s="5" t="s">
        <v>251</v>
      </c>
      <c r="AX449" s="5" t="s">
        <v>240</v>
      </c>
      <c r="AY449" s="5" t="s">
        <v>253</v>
      </c>
      <c r="AZ449" s="5" t="s">
        <v>240</v>
      </c>
      <c r="BA449" s="5" t="s">
        <v>255</v>
      </c>
      <c r="BB449" s="5" t="s">
        <v>240</v>
      </c>
      <c r="BD449" s="5" t="s">
        <v>240</v>
      </c>
      <c r="BF449" s="5" t="s">
        <v>301</v>
      </c>
      <c r="BG449" s="6" t="s">
        <v>299</v>
      </c>
      <c r="BH449" s="5" t="s">
        <v>302</v>
      </c>
      <c r="BI449" s="5" t="s">
        <v>303</v>
      </c>
      <c r="BJ449" s="5" t="s">
        <v>240</v>
      </c>
      <c r="BK449" s="8">
        <f>0</f>
        <v>0</v>
      </c>
      <c r="BL449" s="7">
        <f>0</f>
        <v>0</v>
      </c>
      <c r="BM449" s="5" t="s">
        <v>258</v>
      </c>
      <c r="BN449" s="5" t="s">
        <v>259</v>
      </c>
      <c r="CB449" s="5" t="s">
        <v>240</v>
      </c>
      <c r="CC449" s="5" t="s">
        <v>240</v>
      </c>
      <c r="CG449" s="5" t="s">
        <v>617</v>
      </c>
      <c r="CH449" s="5" t="s">
        <v>305</v>
      </c>
      <c r="CI449" s="5" t="s">
        <v>240</v>
      </c>
      <c r="CL449" s="6" t="s">
        <v>261</v>
      </c>
      <c r="CM449" s="5" t="s">
        <v>240</v>
      </c>
      <c r="CN449" s="5" t="s">
        <v>263</v>
      </c>
      <c r="CO449" s="5" t="s">
        <v>240</v>
      </c>
      <c r="CP449" s="5" t="s">
        <v>240</v>
      </c>
      <c r="CQ449" s="5">
        <v>0</v>
      </c>
      <c r="CR449" s="5" t="s">
        <v>306</v>
      </c>
      <c r="CS449" s="5" t="s">
        <v>307</v>
      </c>
      <c r="CT449" s="5" t="s">
        <v>307</v>
      </c>
      <c r="CU449" s="5" t="s">
        <v>260</v>
      </c>
      <c r="CX449" s="7">
        <f>9867</f>
        <v>9867</v>
      </c>
      <c r="CY449" s="7">
        <f>0</f>
        <v>0</v>
      </c>
      <c r="DA449" s="7">
        <f>0</f>
        <v>0</v>
      </c>
      <c r="DC449" s="5" t="s">
        <v>854</v>
      </c>
      <c r="DD449" s="5" t="s">
        <v>240</v>
      </c>
      <c r="DF449" s="5" t="s">
        <v>450</v>
      </c>
      <c r="DG449" s="7">
        <f>0</f>
        <v>0</v>
      </c>
      <c r="DI449" s="5" t="s">
        <v>737</v>
      </c>
      <c r="DJ449" s="5" t="s">
        <v>240</v>
      </c>
      <c r="DK449" s="5" t="s">
        <v>240</v>
      </c>
      <c r="DL449" s="5" t="s">
        <v>240</v>
      </c>
      <c r="DP449" s="5" t="s">
        <v>240</v>
      </c>
      <c r="DQ449" s="5" t="s">
        <v>240</v>
      </c>
      <c r="DR449" s="5" t="s">
        <v>240</v>
      </c>
      <c r="DS449" s="5" t="s">
        <v>240</v>
      </c>
      <c r="DV449" s="5" t="s">
        <v>957</v>
      </c>
      <c r="DW449" s="5" t="s">
        <v>670</v>
      </c>
      <c r="HO449" s="5" t="s">
        <v>312</v>
      </c>
    </row>
    <row r="450" spans="1:223" x14ac:dyDescent="0.4">
      <c r="A450" s="5">
        <v>1185</v>
      </c>
      <c r="B450" s="5">
        <v>1</v>
      </c>
      <c r="C450" s="5">
        <v>1</v>
      </c>
      <c r="D450" s="5" t="s">
        <v>1307</v>
      </c>
      <c r="E450" s="5" t="s">
        <v>1308</v>
      </c>
      <c r="F450" s="5" t="s">
        <v>254</v>
      </c>
      <c r="G450" s="5" t="s">
        <v>240</v>
      </c>
      <c r="H450" s="6" t="s">
        <v>1312</v>
      </c>
      <c r="I450" s="5" t="s">
        <v>1306</v>
      </c>
      <c r="J450" s="8">
        <f>273</f>
        <v>273</v>
      </c>
      <c r="K450" s="5" t="s">
        <v>308</v>
      </c>
      <c r="L450" s="7">
        <f>604695</f>
        <v>604695</v>
      </c>
      <c r="M450" s="7">
        <f>604695</f>
        <v>604695</v>
      </c>
      <c r="N450" s="5" t="s">
        <v>242</v>
      </c>
      <c r="O450" s="5">
        <v>1</v>
      </c>
      <c r="P450" s="5" t="s">
        <v>294</v>
      </c>
      <c r="Q450" s="5" t="s">
        <v>613</v>
      </c>
      <c r="R450" s="5" t="s">
        <v>240</v>
      </c>
      <c r="S450" s="5" t="s">
        <v>240</v>
      </c>
      <c r="T450" s="5" t="s">
        <v>243</v>
      </c>
      <c r="U450" s="5" t="s">
        <v>724</v>
      </c>
      <c r="V450" s="5" t="s">
        <v>240</v>
      </c>
      <c r="Y450" s="5" t="s">
        <v>240</v>
      </c>
      <c r="Z450" s="6" t="s">
        <v>298</v>
      </c>
      <c r="AB450" s="6" t="s">
        <v>240</v>
      </c>
      <c r="AE450" s="6" t="s">
        <v>299</v>
      </c>
      <c r="AF450" s="5" t="s">
        <v>248</v>
      </c>
      <c r="AG450" s="5" t="s">
        <v>249</v>
      </c>
      <c r="AW450" s="5" t="s">
        <v>251</v>
      </c>
      <c r="AX450" s="5" t="s">
        <v>240</v>
      </c>
      <c r="AY450" s="5" t="s">
        <v>253</v>
      </c>
      <c r="AZ450" s="5" t="s">
        <v>240</v>
      </c>
      <c r="BA450" s="5" t="s">
        <v>255</v>
      </c>
      <c r="BB450" s="5" t="s">
        <v>240</v>
      </c>
      <c r="BD450" s="5" t="s">
        <v>240</v>
      </c>
      <c r="BF450" s="5" t="s">
        <v>301</v>
      </c>
      <c r="BG450" s="6" t="s">
        <v>299</v>
      </c>
      <c r="BH450" s="5" t="s">
        <v>302</v>
      </c>
      <c r="BI450" s="5" t="s">
        <v>303</v>
      </c>
      <c r="BJ450" s="5" t="s">
        <v>240</v>
      </c>
      <c r="BK450" s="8">
        <f>0</f>
        <v>0</v>
      </c>
      <c r="BL450" s="7">
        <f>0</f>
        <v>0</v>
      </c>
      <c r="BM450" s="5" t="s">
        <v>258</v>
      </c>
      <c r="BN450" s="5" t="s">
        <v>259</v>
      </c>
      <c r="CB450" s="5" t="s">
        <v>240</v>
      </c>
      <c r="CC450" s="5" t="s">
        <v>240</v>
      </c>
      <c r="CG450" s="5" t="s">
        <v>617</v>
      </c>
      <c r="CH450" s="5" t="s">
        <v>305</v>
      </c>
      <c r="CI450" s="5" t="s">
        <v>240</v>
      </c>
      <c r="CL450" s="6" t="s">
        <v>261</v>
      </c>
      <c r="CM450" s="5" t="s">
        <v>240</v>
      </c>
      <c r="CN450" s="5" t="s">
        <v>263</v>
      </c>
      <c r="CO450" s="5" t="s">
        <v>240</v>
      </c>
      <c r="CP450" s="5" t="s">
        <v>240</v>
      </c>
      <c r="CQ450" s="5">
        <v>0</v>
      </c>
      <c r="CR450" s="5" t="s">
        <v>306</v>
      </c>
      <c r="CS450" s="5" t="s">
        <v>307</v>
      </c>
      <c r="CT450" s="5" t="s">
        <v>307</v>
      </c>
      <c r="CU450" s="5" t="s">
        <v>260</v>
      </c>
      <c r="CX450" s="7">
        <f>61369</f>
        <v>61369</v>
      </c>
      <c r="CY450" s="7">
        <f>0</f>
        <v>0</v>
      </c>
      <c r="DA450" s="7">
        <f>0</f>
        <v>0</v>
      </c>
      <c r="DC450" s="5" t="s">
        <v>854</v>
      </c>
      <c r="DD450" s="5" t="s">
        <v>240</v>
      </c>
      <c r="DF450" s="5" t="s">
        <v>450</v>
      </c>
      <c r="DG450" s="7">
        <f>0</f>
        <v>0</v>
      </c>
      <c r="DI450" s="5" t="s">
        <v>737</v>
      </c>
      <c r="DJ450" s="5" t="s">
        <v>240</v>
      </c>
      <c r="DK450" s="5" t="s">
        <v>240</v>
      </c>
      <c r="DL450" s="5" t="s">
        <v>240</v>
      </c>
      <c r="DP450" s="5" t="s">
        <v>240</v>
      </c>
      <c r="DQ450" s="5" t="s">
        <v>240</v>
      </c>
      <c r="DR450" s="5" t="s">
        <v>240</v>
      </c>
      <c r="DS450" s="5" t="s">
        <v>240</v>
      </c>
      <c r="DV450" s="5" t="s">
        <v>957</v>
      </c>
      <c r="DW450" s="5" t="s">
        <v>672</v>
      </c>
      <c r="HO450" s="5" t="s">
        <v>312</v>
      </c>
    </row>
    <row r="451" spans="1:223" x14ac:dyDescent="0.4">
      <c r="A451" s="5">
        <v>1186</v>
      </c>
      <c r="B451" s="5">
        <v>1</v>
      </c>
      <c r="C451" s="5">
        <v>1</v>
      </c>
      <c r="D451" s="5" t="s">
        <v>1307</v>
      </c>
      <c r="E451" s="5" t="s">
        <v>1308</v>
      </c>
      <c r="F451" s="5" t="s">
        <v>254</v>
      </c>
      <c r="G451" s="5" t="s">
        <v>240</v>
      </c>
      <c r="H451" s="6" t="s">
        <v>1311</v>
      </c>
      <c r="I451" s="5" t="s">
        <v>1306</v>
      </c>
      <c r="J451" s="8">
        <f>0.85</f>
        <v>0.85</v>
      </c>
      <c r="K451" s="5" t="s">
        <v>308</v>
      </c>
      <c r="L451" s="7">
        <f>3910</f>
        <v>3910</v>
      </c>
      <c r="M451" s="7">
        <f>3910</f>
        <v>3910</v>
      </c>
      <c r="N451" s="5" t="s">
        <v>242</v>
      </c>
      <c r="O451" s="5">
        <v>1</v>
      </c>
      <c r="P451" s="5" t="s">
        <v>294</v>
      </c>
      <c r="Q451" s="5" t="s">
        <v>613</v>
      </c>
      <c r="R451" s="5" t="s">
        <v>240</v>
      </c>
      <c r="S451" s="5" t="s">
        <v>240</v>
      </c>
      <c r="T451" s="5" t="s">
        <v>243</v>
      </c>
      <c r="U451" s="5" t="s">
        <v>724</v>
      </c>
      <c r="V451" s="5" t="s">
        <v>240</v>
      </c>
      <c r="Y451" s="5" t="s">
        <v>240</v>
      </c>
      <c r="Z451" s="6" t="s">
        <v>298</v>
      </c>
      <c r="AB451" s="6" t="s">
        <v>240</v>
      </c>
      <c r="AE451" s="6" t="s">
        <v>299</v>
      </c>
      <c r="AF451" s="5" t="s">
        <v>248</v>
      </c>
      <c r="AG451" s="5" t="s">
        <v>249</v>
      </c>
      <c r="AW451" s="5" t="s">
        <v>251</v>
      </c>
      <c r="AX451" s="5" t="s">
        <v>240</v>
      </c>
      <c r="AY451" s="5" t="s">
        <v>253</v>
      </c>
      <c r="AZ451" s="5" t="s">
        <v>240</v>
      </c>
      <c r="BA451" s="5" t="s">
        <v>255</v>
      </c>
      <c r="BB451" s="5" t="s">
        <v>240</v>
      </c>
      <c r="BD451" s="5" t="s">
        <v>240</v>
      </c>
      <c r="BF451" s="5" t="s">
        <v>301</v>
      </c>
      <c r="BG451" s="6" t="s">
        <v>299</v>
      </c>
      <c r="BH451" s="5" t="s">
        <v>302</v>
      </c>
      <c r="BI451" s="5" t="s">
        <v>303</v>
      </c>
      <c r="BJ451" s="5" t="s">
        <v>240</v>
      </c>
      <c r="BK451" s="8">
        <f>0</f>
        <v>0</v>
      </c>
      <c r="BL451" s="7">
        <f>0</f>
        <v>0</v>
      </c>
      <c r="BM451" s="5" t="s">
        <v>258</v>
      </c>
      <c r="BN451" s="5" t="s">
        <v>259</v>
      </c>
      <c r="CB451" s="5" t="s">
        <v>240</v>
      </c>
      <c r="CC451" s="5" t="s">
        <v>240</v>
      </c>
      <c r="CG451" s="5" t="s">
        <v>617</v>
      </c>
      <c r="CH451" s="5" t="s">
        <v>305</v>
      </c>
      <c r="CI451" s="5" t="s">
        <v>240</v>
      </c>
      <c r="CL451" s="6" t="s">
        <v>261</v>
      </c>
      <c r="CM451" s="5" t="s">
        <v>240</v>
      </c>
      <c r="CN451" s="5" t="s">
        <v>263</v>
      </c>
      <c r="CO451" s="5" t="s">
        <v>240</v>
      </c>
      <c r="CP451" s="5" t="s">
        <v>240</v>
      </c>
      <c r="CQ451" s="5">
        <v>0</v>
      </c>
      <c r="CR451" s="5" t="s">
        <v>306</v>
      </c>
      <c r="CS451" s="5" t="s">
        <v>307</v>
      </c>
      <c r="CT451" s="5" t="s">
        <v>307</v>
      </c>
      <c r="CU451" s="5" t="s">
        <v>260</v>
      </c>
      <c r="CX451" s="7">
        <f>13167</f>
        <v>13167</v>
      </c>
      <c r="CY451" s="7">
        <f>0</f>
        <v>0</v>
      </c>
      <c r="DA451" s="7">
        <f>0</f>
        <v>0</v>
      </c>
      <c r="DC451" s="5" t="s">
        <v>854</v>
      </c>
      <c r="DD451" s="5" t="s">
        <v>240</v>
      </c>
      <c r="DF451" s="5" t="s">
        <v>450</v>
      </c>
      <c r="DG451" s="7">
        <f>0</f>
        <v>0</v>
      </c>
      <c r="DI451" s="5" t="s">
        <v>737</v>
      </c>
      <c r="DJ451" s="5" t="s">
        <v>240</v>
      </c>
      <c r="DK451" s="5" t="s">
        <v>240</v>
      </c>
      <c r="DL451" s="5" t="s">
        <v>240</v>
      </c>
      <c r="DP451" s="5" t="s">
        <v>240</v>
      </c>
      <c r="DQ451" s="5" t="s">
        <v>240</v>
      </c>
      <c r="DR451" s="5" t="s">
        <v>240</v>
      </c>
      <c r="DS451" s="5" t="s">
        <v>240</v>
      </c>
      <c r="DV451" s="5" t="s">
        <v>957</v>
      </c>
      <c r="DW451" s="5" t="s">
        <v>674</v>
      </c>
      <c r="HO451" s="5" t="s">
        <v>312</v>
      </c>
    </row>
    <row r="452" spans="1:223" x14ac:dyDescent="0.4">
      <c r="A452" s="5">
        <v>1187</v>
      </c>
      <c r="B452" s="5">
        <v>1</v>
      </c>
      <c r="C452" s="5">
        <v>1</v>
      </c>
      <c r="D452" s="5" t="s">
        <v>1307</v>
      </c>
      <c r="E452" s="5" t="s">
        <v>1308</v>
      </c>
      <c r="F452" s="5" t="s">
        <v>254</v>
      </c>
      <c r="G452" s="5" t="s">
        <v>240</v>
      </c>
      <c r="H452" s="6" t="s">
        <v>1309</v>
      </c>
      <c r="I452" s="5" t="s">
        <v>1306</v>
      </c>
      <c r="J452" s="8">
        <f>146.29</f>
        <v>146.29</v>
      </c>
      <c r="K452" s="5" t="s">
        <v>308</v>
      </c>
      <c r="L452" s="7">
        <f>672934</f>
        <v>672934</v>
      </c>
      <c r="M452" s="7">
        <f>672934</f>
        <v>672934</v>
      </c>
      <c r="N452" s="5" t="s">
        <v>242</v>
      </c>
      <c r="O452" s="5">
        <v>1</v>
      </c>
      <c r="P452" s="5" t="s">
        <v>294</v>
      </c>
      <c r="Q452" s="5" t="s">
        <v>613</v>
      </c>
      <c r="R452" s="5" t="s">
        <v>240</v>
      </c>
      <c r="S452" s="5" t="s">
        <v>240</v>
      </c>
      <c r="T452" s="5" t="s">
        <v>243</v>
      </c>
      <c r="U452" s="5" t="s">
        <v>724</v>
      </c>
      <c r="V452" s="5" t="s">
        <v>240</v>
      </c>
      <c r="Y452" s="5" t="s">
        <v>240</v>
      </c>
      <c r="Z452" s="6" t="s">
        <v>298</v>
      </c>
      <c r="AB452" s="6" t="s">
        <v>240</v>
      </c>
      <c r="AE452" s="6" t="s">
        <v>299</v>
      </c>
      <c r="AF452" s="5" t="s">
        <v>248</v>
      </c>
      <c r="AG452" s="5" t="s">
        <v>249</v>
      </c>
      <c r="AW452" s="5" t="s">
        <v>251</v>
      </c>
      <c r="AX452" s="5" t="s">
        <v>240</v>
      </c>
      <c r="AY452" s="5" t="s">
        <v>253</v>
      </c>
      <c r="AZ452" s="5" t="s">
        <v>240</v>
      </c>
      <c r="BA452" s="5" t="s">
        <v>255</v>
      </c>
      <c r="BB452" s="5" t="s">
        <v>240</v>
      </c>
      <c r="BD452" s="5" t="s">
        <v>240</v>
      </c>
      <c r="BF452" s="5" t="s">
        <v>301</v>
      </c>
      <c r="BG452" s="6" t="s">
        <v>299</v>
      </c>
      <c r="BH452" s="5" t="s">
        <v>302</v>
      </c>
      <c r="BI452" s="5" t="s">
        <v>303</v>
      </c>
      <c r="BJ452" s="5" t="s">
        <v>240</v>
      </c>
      <c r="BK452" s="8">
        <f>0</f>
        <v>0</v>
      </c>
      <c r="BL452" s="7">
        <f>0</f>
        <v>0</v>
      </c>
      <c r="BM452" s="5" t="s">
        <v>258</v>
      </c>
      <c r="BN452" s="5" t="s">
        <v>259</v>
      </c>
      <c r="CB452" s="5" t="s">
        <v>240</v>
      </c>
      <c r="CC452" s="5" t="s">
        <v>240</v>
      </c>
      <c r="CG452" s="5" t="s">
        <v>617</v>
      </c>
      <c r="CH452" s="5" t="s">
        <v>305</v>
      </c>
      <c r="CI452" s="5" t="s">
        <v>240</v>
      </c>
      <c r="CL452" s="6" t="s">
        <v>261</v>
      </c>
      <c r="CM452" s="5" t="s">
        <v>240</v>
      </c>
      <c r="CN452" s="5" t="s">
        <v>263</v>
      </c>
      <c r="CO452" s="5" t="s">
        <v>240</v>
      </c>
      <c r="CP452" s="5" t="s">
        <v>240</v>
      </c>
      <c r="CQ452" s="5">
        <v>0</v>
      </c>
      <c r="CR452" s="5" t="s">
        <v>306</v>
      </c>
      <c r="CS452" s="5" t="s">
        <v>307</v>
      </c>
      <c r="CT452" s="5" t="s">
        <v>307</v>
      </c>
      <c r="CU452" s="5" t="s">
        <v>260</v>
      </c>
      <c r="CX452" s="7">
        <f>17512</f>
        <v>17512</v>
      </c>
      <c r="CY452" s="7">
        <f>0</f>
        <v>0</v>
      </c>
      <c r="DA452" s="7">
        <f>0</f>
        <v>0</v>
      </c>
      <c r="DC452" s="5" t="s">
        <v>854</v>
      </c>
      <c r="DD452" s="5" t="s">
        <v>240</v>
      </c>
      <c r="DF452" s="5" t="s">
        <v>450</v>
      </c>
      <c r="DG452" s="7">
        <f>0</f>
        <v>0</v>
      </c>
      <c r="DI452" s="5" t="s">
        <v>737</v>
      </c>
      <c r="DJ452" s="5" t="s">
        <v>240</v>
      </c>
      <c r="DK452" s="5" t="s">
        <v>240</v>
      </c>
      <c r="DL452" s="5" t="s">
        <v>240</v>
      </c>
      <c r="DP452" s="5" t="s">
        <v>240</v>
      </c>
      <c r="DQ452" s="5" t="s">
        <v>240</v>
      </c>
      <c r="DR452" s="5" t="s">
        <v>240</v>
      </c>
      <c r="DS452" s="5" t="s">
        <v>240</v>
      </c>
      <c r="DV452" s="5" t="s">
        <v>957</v>
      </c>
      <c r="DW452" s="5" t="s">
        <v>676</v>
      </c>
      <c r="HO452" s="5" t="s">
        <v>312</v>
      </c>
    </row>
    <row r="453" spans="1:223" x14ac:dyDescent="0.4">
      <c r="A453" s="5">
        <v>1188</v>
      </c>
      <c r="B453" s="5">
        <v>1</v>
      </c>
      <c r="C453" s="5">
        <v>1</v>
      </c>
      <c r="D453" s="5" t="s">
        <v>1303</v>
      </c>
      <c r="E453" s="5" t="s">
        <v>418</v>
      </c>
      <c r="F453" s="5" t="s">
        <v>254</v>
      </c>
      <c r="G453" s="5" t="s">
        <v>240</v>
      </c>
      <c r="H453" s="6" t="s">
        <v>1304</v>
      </c>
      <c r="I453" s="5" t="s">
        <v>1302</v>
      </c>
      <c r="J453" s="8">
        <f>468.25</f>
        <v>468.25</v>
      </c>
      <c r="K453" s="5" t="s">
        <v>308</v>
      </c>
      <c r="L453" s="7">
        <f>1305766</f>
        <v>1305766</v>
      </c>
      <c r="M453" s="7">
        <f>1305766</f>
        <v>1305766</v>
      </c>
      <c r="N453" s="5" t="s">
        <v>242</v>
      </c>
      <c r="O453" s="5">
        <v>1</v>
      </c>
      <c r="P453" s="5" t="s">
        <v>294</v>
      </c>
      <c r="Q453" s="5" t="s">
        <v>613</v>
      </c>
      <c r="R453" s="5" t="s">
        <v>240</v>
      </c>
      <c r="S453" s="5" t="s">
        <v>240</v>
      </c>
      <c r="T453" s="5" t="s">
        <v>243</v>
      </c>
      <c r="U453" s="5" t="s">
        <v>724</v>
      </c>
      <c r="V453" s="5" t="s">
        <v>240</v>
      </c>
      <c r="Y453" s="5" t="s">
        <v>240</v>
      </c>
      <c r="Z453" s="6" t="s">
        <v>298</v>
      </c>
      <c r="AB453" s="6" t="s">
        <v>240</v>
      </c>
      <c r="AE453" s="6" t="s">
        <v>299</v>
      </c>
      <c r="AF453" s="5" t="s">
        <v>248</v>
      </c>
      <c r="AG453" s="5" t="s">
        <v>249</v>
      </c>
      <c r="AW453" s="5" t="s">
        <v>251</v>
      </c>
      <c r="AX453" s="5" t="s">
        <v>240</v>
      </c>
      <c r="AY453" s="5" t="s">
        <v>253</v>
      </c>
      <c r="AZ453" s="5" t="s">
        <v>240</v>
      </c>
      <c r="BA453" s="5" t="s">
        <v>255</v>
      </c>
      <c r="BB453" s="5" t="s">
        <v>240</v>
      </c>
      <c r="BD453" s="5" t="s">
        <v>240</v>
      </c>
      <c r="BF453" s="5" t="s">
        <v>301</v>
      </c>
      <c r="BG453" s="6" t="s">
        <v>299</v>
      </c>
      <c r="BH453" s="5" t="s">
        <v>302</v>
      </c>
      <c r="BI453" s="5" t="s">
        <v>303</v>
      </c>
      <c r="BJ453" s="5" t="s">
        <v>240</v>
      </c>
      <c r="BK453" s="8">
        <f>0</f>
        <v>0</v>
      </c>
      <c r="BL453" s="7">
        <f>0</f>
        <v>0</v>
      </c>
      <c r="BM453" s="5" t="s">
        <v>258</v>
      </c>
      <c r="BN453" s="5" t="s">
        <v>259</v>
      </c>
      <c r="CB453" s="5" t="s">
        <v>240</v>
      </c>
      <c r="CC453" s="5" t="s">
        <v>240</v>
      </c>
      <c r="CG453" s="5" t="s">
        <v>617</v>
      </c>
      <c r="CH453" s="5" t="s">
        <v>305</v>
      </c>
      <c r="CI453" s="5" t="s">
        <v>240</v>
      </c>
      <c r="CL453" s="6" t="s">
        <v>261</v>
      </c>
      <c r="CM453" s="5" t="s">
        <v>240</v>
      </c>
      <c r="CN453" s="5" t="s">
        <v>263</v>
      </c>
      <c r="CO453" s="5" t="s">
        <v>240</v>
      </c>
      <c r="CP453" s="5" t="s">
        <v>240</v>
      </c>
      <c r="CQ453" s="5">
        <v>0</v>
      </c>
      <c r="CR453" s="5" t="s">
        <v>306</v>
      </c>
      <c r="CS453" s="5" t="s">
        <v>307</v>
      </c>
      <c r="CT453" s="5" t="s">
        <v>307</v>
      </c>
      <c r="CU453" s="5" t="s">
        <v>260</v>
      </c>
      <c r="CX453" s="7">
        <f>5368</f>
        <v>5368</v>
      </c>
      <c r="CY453" s="7">
        <f>0</f>
        <v>0</v>
      </c>
      <c r="DA453" s="7">
        <f>0</f>
        <v>0</v>
      </c>
      <c r="DC453" s="5" t="s">
        <v>854</v>
      </c>
      <c r="DD453" s="5" t="s">
        <v>240</v>
      </c>
      <c r="DF453" s="5" t="s">
        <v>450</v>
      </c>
      <c r="DG453" s="7">
        <f>0</f>
        <v>0</v>
      </c>
      <c r="DI453" s="5" t="s">
        <v>737</v>
      </c>
      <c r="DJ453" s="5" t="s">
        <v>240</v>
      </c>
      <c r="DK453" s="5" t="s">
        <v>240</v>
      </c>
      <c r="DL453" s="5" t="s">
        <v>240</v>
      </c>
      <c r="DP453" s="5" t="s">
        <v>240</v>
      </c>
      <c r="DQ453" s="5" t="s">
        <v>240</v>
      </c>
      <c r="DR453" s="5" t="s">
        <v>240</v>
      </c>
      <c r="DS453" s="5" t="s">
        <v>240</v>
      </c>
      <c r="DV453" s="5" t="s">
        <v>957</v>
      </c>
      <c r="DW453" s="5" t="s">
        <v>678</v>
      </c>
      <c r="HO453" s="5" t="s">
        <v>312</v>
      </c>
    </row>
    <row r="454" spans="1:223" x14ac:dyDescent="0.4">
      <c r="A454" s="5">
        <v>1189</v>
      </c>
      <c r="B454" s="5">
        <v>1</v>
      </c>
      <c r="C454" s="5">
        <v>1</v>
      </c>
      <c r="D454" s="5" t="s">
        <v>1299</v>
      </c>
      <c r="E454" s="5" t="s">
        <v>418</v>
      </c>
      <c r="F454" s="5" t="s">
        <v>254</v>
      </c>
      <c r="G454" s="5" t="s">
        <v>240</v>
      </c>
      <c r="H454" s="6" t="s">
        <v>1300</v>
      </c>
      <c r="I454" s="5" t="s">
        <v>1298</v>
      </c>
      <c r="J454" s="8">
        <f>1215.13</f>
        <v>1215.1300000000001</v>
      </c>
      <c r="K454" s="5" t="s">
        <v>308</v>
      </c>
      <c r="L454" s="7">
        <f>3477774</f>
        <v>3477774</v>
      </c>
      <c r="M454" s="7">
        <f>3477774</f>
        <v>3477774</v>
      </c>
      <c r="N454" s="5" t="s">
        <v>242</v>
      </c>
      <c r="O454" s="5">
        <v>1</v>
      </c>
      <c r="P454" s="5" t="s">
        <v>294</v>
      </c>
      <c r="Q454" s="5" t="s">
        <v>613</v>
      </c>
      <c r="R454" s="5" t="s">
        <v>240</v>
      </c>
      <c r="S454" s="5" t="s">
        <v>240</v>
      </c>
      <c r="T454" s="5" t="s">
        <v>243</v>
      </c>
      <c r="U454" s="5" t="s">
        <v>724</v>
      </c>
      <c r="V454" s="5" t="s">
        <v>240</v>
      </c>
      <c r="Y454" s="5" t="s">
        <v>240</v>
      </c>
      <c r="Z454" s="6" t="s">
        <v>298</v>
      </c>
      <c r="AB454" s="6" t="s">
        <v>240</v>
      </c>
      <c r="AE454" s="6" t="s">
        <v>299</v>
      </c>
      <c r="AF454" s="5" t="s">
        <v>248</v>
      </c>
      <c r="AG454" s="5" t="s">
        <v>249</v>
      </c>
      <c r="AW454" s="5" t="s">
        <v>251</v>
      </c>
      <c r="AX454" s="5" t="s">
        <v>240</v>
      </c>
      <c r="AY454" s="5" t="s">
        <v>253</v>
      </c>
      <c r="AZ454" s="5" t="s">
        <v>240</v>
      </c>
      <c r="BA454" s="5" t="s">
        <v>255</v>
      </c>
      <c r="BB454" s="5" t="s">
        <v>240</v>
      </c>
      <c r="BD454" s="5" t="s">
        <v>240</v>
      </c>
      <c r="BF454" s="5" t="s">
        <v>301</v>
      </c>
      <c r="BG454" s="6" t="s">
        <v>299</v>
      </c>
      <c r="BH454" s="5" t="s">
        <v>302</v>
      </c>
      <c r="BI454" s="5" t="s">
        <v>303</v>
      </c>
      <c r="BJ454" s="5" t="s">
        <v>240</v>
      </c>
      <c r="BK454" s="8">
        <f>0</f>
        <v>0</v>
      </c>
      <c r="BL454" s="7">
        <f>0</f>
        <v>0</v>
      </c>
      <c r="BM454" s="5" t="s">
        <v>258</v>
      </c>
      <c r="BN454" s="5" t="s">
        <v>259</v>
      </c>
      <c r="CB454" s="5" t="s">
        <v>240</v>
      </c>
      <c r="CC454" s="5" t="s">
        <v>240</v>
      </c>
      <c r="CG454" s="5" t="s">
        <v>617</v>
      </c>
      <c r="CH454" s="5" t="s">
        <v>305</v>
      </c>
      <c r="CI454" s="5" t="s">
        <v>240</v>
      </c>
      <c r="CL454" s="6" t="s">
        <v>261</v>
      </c>
      <c r="CM454" s="5" t="s">
        <v>240</v>
      </c>
      <c r="CN454" s="5" t="s">
        <v>263</v>
      </c>
      <c r="CO454" s="5" t="s">
        <v>240</v>
      </c>
      <c r="CP454" s="5" t="s">
        <v>240</v>
      </c>
      <c r="CQ454" s="5">
        <v>0</v>
      </c>
      <c r="CR454" s="5" t="s">
        <v>306</v>
      </c>
      <c r="CS454" s="5" t="s">
        <v>307</v>
      </c>
      <c r="CT454" s="5" t="s">
        <v>307</v>
      </c>
      <c r="CU454" s="5" t="s">
        <v>260</v>
      </c>
      <c r="CX454" s="7">
        <f>3443</f>
        <v>3443</v>
      </c>
      <c r="CY454" s="7">
        <f>0</f>
        <v>0</v>
      </c>
      <c r="DA454" s="7">
        <f>0</f>
        <v>0</v>
      </c>
      <c r="DC454" s="5" t="s">
        <v>854</v>
      </c>
      <c r="DD454" s="5" t="s">
        <v>240</v>
      </c>
      <c r="DF454" s="5" t="s">
        <v>450</v>
      </c>
      <c r="DG454" s="7">
        <f>0</f>
        <v>0</v>
      </c>
      <c r="DI454" s="5" t="s">
        <v>737</v>
      </c>
      <c r="DJ454" s="5" t="s">
        <v>240</v>
      </c>
      <c r="DK454" s="5" t="s">
        <v>240</v>
      </c>
      <c r="DL454" s="5" t="s">
        <v>240</v>
      </c>
      <c r="DP454" s="5" t="s">
        <v>240</v>
      </c>
      <c r="DQ454" s="5" t="s">
        <v>240</v>
      </c>
      <c r="DR454" s="5" t="s">
        <v>240</v>
      </c>
      <c r="DS454" s="5" t="s">
        <v>240</v>
      </c>
      <c r="DV454" s="5" t="s">
        <v>957</v>
      </c>
      <c r="DW454" s="5" t="s">
        <v>680</v>
      </c>
      <c r="HO454" s="5" t="s">
        <v>312</v>
      </c>
    </row>
    <row r="455" spans="1:223" x14ac:dyDescent="0.4">
      <c r="A455" s="5">
        <v>1190</v>
      </c>
      <c r="B455" s="5">
        <v>1</v>
      </c>
      <c r="C455" s="5">
        <v>1</v>
      </c>
      <c r="D455" s="5" t="s">
        <v>1293</v>
      </c>
      <c r="E455" s="5" t="s">
        <v>418</v>
      </c>
      <c r="F455" s="5" t="s">
        <v>254</v>
      </c>
      <c r="G455" s="5" t="s">
        <v>1295</v>
      </c>
      <c r="H455" s="6" t="s">
        <v>1296</v>
      </c>
      <c r="I455" s="5" t="s">
        <v>1292</v>
      </c>
      <c r="J455" s="8">
        <f>375.76</f>
        <v>375.76</v>
      </c>
      <c r="K455" s="5" t="s">
        <v>308</v>
      </c>
      <c r="L455" s="7">
        <f>6538224</f>
        <v>6538224</v>
      </c>
      <c r="M455" s="7">
        <f>6538224</f>
        <v>6538224</v>
      </c>
      <c r="N455" s="5" t="s">
        <v>242</v>
      </c>
      <c r="O455" s="5">
        <v>1</v>
      </c>
      <c r="P455" s="5" t="s">
        <v>294</v>
      </c>
      <c r="Q455" s="5" t="s">
        <v>613</v>
      </c>
      <c r="R455" s="5" t="s">
        <v>240</v>
      </c>
      <c r="S455" s="5" t="s">
        <v>240</v>
      </c>
      <c r="T455" s="5" t="s">
        <v>243</v>
      </c>
      <c r="U455" s="5" t="s">
        <v>724</v>
      </c>
      <c r="V455" s="5" t="s">
        <v>240</v>
      </c>
      <c r="Y455" s="5" t="s">
        <v>240</v>
      </c>
      <c r="Z455" s="6" t="s">
        <v>298</v>
      </c>
      <c r="AB455" s="6" t="s">
        <v>240</v>
      </c>
      <c r="AE455" s="6" t="s">
        <v>299</v>
      </c>
      <c r="AF455" s="5" t="s">
        <v>248</v>
      </c>
      <c r="AG455" s="5" t="s">
        <v>249</v>
      </c>
      <c r="AW455" s="5" t="s">
        <v>251</v>
      </c>
      <c r="AX455" s="5" t="s">
        <v>240</v>
      </c>
      <c r="AY455" s="5" t="s">
        <v>253</v>
      </c>
      <c r="AZ455" s="5" t="s">
        <v>240</v>
      </c>
      <c r="BA455" s="5" t="s">
        <v>255</v>
      </c>
      <c r="BB455" s="5" t="s">
        <v>240</v>
      </c>
      <c r="BD455" s="5" t="s">
        <v>240</v>
      </c>
      <c r="BF455" s="5" t="s">
        <v>301</v>
      </c>
      <c r="BG455" s="6" t="s">
        <v>299</v>
      </c>
      <c r="BH455" s="5" t="s">
        <v>302</v>
      </c>
      <c r="BI455" s="5" t="s">
        <v>303</v>
      </c>
      <c r="BJ455" s="5" t="s">
        <v>240</v>
      </c>
      <c r="BK455" s="8">
        <f>0</f>
        <v>0</v>
      </c>
      <c r="BL455" s="7">
        <f>0</f>
        <v>0</v>
      </c>
      <c r="BM455" s="5" t="s">
        <v>258</v>
      </c>
      <c r="BN455" s="5" t="s">
        <v>259</v>
      </c>
      <c r="CB455" s="5" t="s">
        <v>240</v>
      </c>
      <c r="CC455" s="5" t="s">
        <v>240</v>
      </c>
      <c r="CG455" s="5" t="s">
        <v>617</v>
      </c>
      <c r="CH455" s="5" t="s">
        <v>305</v>
      </c>
      <c r="CI455" s="5" t="s">
        <v>240</v>
      </c>
      <c r="CL455" s="6" t="s">
        <v>261</v>
      </c>
      <c r="CM455" s="5" t="s">
        <v>240</v>
      </c>
      <c r="CN455" s="5" t="s">
        <v>263</v>
      </c>
      <c r="CO455" s="5" t="s">
        <v>240</v>
      </c>
      <c r="CP455" s="5" t="s">
        <v>240</v>
      </c>
      <c r="CQ455" s="5">
        <v>0</v>
      </c>
      <c r="CR455" s="5" t="s">
        <v>306</v>
      </c>
      <c r="CS455" s="5" t="s">
        <v>307</v>
      </c>
      <c r="CT455" s="5" t="s">
        <v>307</v>
      </c>
      <c r="CU455" s="5" t="s">
        <v>260</v>
      </c>
      <c r="CX455" s="7">
        <f>85085</f>
        <v>85085</v>
      </c>
      <c r="CY455" s="7">
        <f>0</f>
        <v>0</v>
      </c>
      <c r="DA455" s="7">
        <f>0</f>
        <v>0</v>
      </c>
      <c r="DC455" s="5" t="s">
        <v>854</v>
      </c>
      <c r="DD455" s="5" t="s">
        <v>240</v>
      </c>
      <c r="DF455" s="5" t="s">
        <v>450</v>
      </c>
      <c r="DG455" s="7">
        <f>0</f>
        <v>0</v>
      </c>
      <c r="DI455" s="5" t="s">
        <v>737</v>
      </c>
      <c r="DJ455" s="5" t="s">
        <v>240</v>
      </c>
      <c r="DK455" s="5" t="s">
        <v>240</v>
      </c>
      <c r="DL455" s="5" t="s">
        <v>240</v>
      </c>
      <c r="DP455" s="5" t="s">
        <v>240</v>
      </c>
      <c r="DQ455" s="5" t="s">
        <v>240</v>
      </c>
      <c r="DR455" s="5" t="s">
        <v>240</v>
      </c>
      <c r="DS455" s="5" t="s">
        <v>240</v>
      </c>
      <c r="DV455" s="5" t="s">
        <v>957</v>
      </c>
      <c r="DW455" s="5" t="s">
        <v>682</v>
      </c>
      <c r="HO455" s="5" t="s">
        <v>312</v>
      </c>
    </row>
    <row r="456" spans="1:223" x14ac:dyDescent="0.4">
      <c r="A456" s="5">
        <v>1191</v>
      </c>
      <c r="B456" s="5">
        <v>1</v>
      </c>
      <c r="C456" s="5">
        <v>1</v>
      </c>
      <c r="D456" s="5" t="s">
        <v>1288</v>
      </c>
      <c r="E456" s="5" t="s">
        <v>1270</v>
      </c>
      <c r="F456" s="5" t="s">
        <v>254</v>
      </c>
      <c r="G456" s="5" t="s">
        <v>240</v>
      </c>
      <c r="H456" s="6" t="s">
        <v>1289</v>
      </c>
      <c r="I456" s="5" t="s">
        <v>1287</v>
      </c>
      <c r="J456" s="8">
        <f>1114</f>
        <v>1114</v>
      </c>
      <c r="K456" s="5" t="s">
        <v>308</v>
      </c>
      <c r="L456" s="7">
        <f>2467510</f>
        <v>2467510</v>
      </c>
      <c r="M456" s="7">
        <f>2467510</f>
        <v>2467510</v>
      </c>
      <c r="N456" s="5" t="s">
        <v>242</v>
      </c>
      <c r="O456" s="5">
        <v>1</v>
      </c>
      <c r="P456" s="5" t="s">
        <v>294</v>
      </c>
      <c r="Q456" s="5" t="s">
        <v>613</v>
      </c>
      <c r="R456" s="5" t="s">
        <v>240</v>
      </c>
      <c r="S456" s="5" t="s">
        <v>240</v>
      </c>
      <c r="T456" s="5" t="s">
        <v>243</v>
      </c>
      <c r="U456" s="5" t="s">
        <v>724</v>
      </c>
      <c r="V456" s="5" t="s">
        <v>240</v>
      </c>
      <c r="Y456" s="5" t="s">
        <v>240</v>
      </c>
      <c r="Z456" s="6" t="s">
        <v>298</v>
      </c>
      <c r="AB456" s="6" t="s">
        <v>240</v>
      </c>
      <c r="AE456" s="6" t="s">
        <v>299</v>
      </c>
      <c r="AF456" s="5" t="s">
        <v>248</v>
      </c>
      <c r="AG456" s="5" t="s">
        <v>249</v>
      </c>
      <c r="AW456" s="5" t="s">
        <v>251</v>
      </c>
      <c r="AX456" s="5" t="s">
        <v>240</v>
      </c>
      <c r="AY456" s="5" t="s">
        <v>253</v>
      </c>
      <c r="AZ456" s="5" t="s">
        <v>240</v>
      </c>
      <c r="BA456" s="5" t="s">
        <v>255</v>
      </c>
      <c r="BB456" s="5" t="s">
        <v>240</v>
      </c>
      <c r="BD456" s="5" t="s">
        <v>240</v>
      </c>
      <c r="BF456" s="5" t="s">
        <v>301</v>
      </c>
      <c r="BG456" s="6" t="s">
        <v>299</v>
      </c>
      <c r="BH456" s="5" t="s">
        <v>302</v>
      </c>
      <c r="BI456" s="5" t="s">
        <v>303</v>
      </c>
      <c r="BJ456" s="5" t="s">
        <v>240</v>
      </c>
      <c r="BK456" s="8">
        <f>0</f>
        <v>0</v>
      </c>
      <c r="BL456" s="7">
        <f>0</f>
        <v>0</v>
      </c>
      <c r="BM456" s="5" t="s">
        <v>258</v>
      </c>
      <c r="BN456" s="5" t="s">
        <v>259</v>
      </c>
      <c r="CB456" s="5" t="s">
        <v>240</v>
      </c>
      <c r="CC456" s="5" t="s">
        <v>240</v>
      </c>
      <c r="CG456" s="5" t="s">
        <v>617</v>
      </c>
      <c r="CH456" s="5" t="s">
        <v>305</v>
      </c>
      <c r="CI456" s="5" t="s">
        <v>240</v>
      </c>
      <c r="CL456" s="6" t="s">
        <v>261</v>
      </c>
      <c r="CM456" s="5" t="s">
        <v>240</v>
      </c>
      <c r="CN456" s="5" t="s">
        <v>263</v>
      </c>
      <c r="CO456" s="5" t="s">
        <v>240</v>
      </c>
      <c r="CP456" s="5" t="s">
        <v>240</v>
      </c>
      <c r="CQ456" s="5">
        <v>0</v>
      </c>
      <c r="CR456" s="5" t="s">
        <v>306</v>
      </c>
      <c r="CS456" s="5" t="s">
        <v>307</v>
      </c>
      <c r="CT456" s="5" t="s">
        <v>307</v>
      </c>
      <c r="CU456" s="5" t="s">
        <v>260</v>
      </c>
      <c r="CX456" s="7">
        <f>7359</f>
        <v>7359</v>
      </c>
      <c r="CY456" s="7">
        <f>0</f>
        <v>0</v>
      </c>
      <c r="DA456" s="7">
        <f>0</f>
        <v>0</v>
      </c>
      <c r="DC456" s="5" t="s">
        <v>854</v>
      </c>
      <c r="DD456" s="5" t="s">
        <v>240</v>
      </c>
      <c r="DF456" s="5" t="s">
        <v>450</v>
      </c>
      <c r="DG456" s="7">
        <f>0</f>
        <v>0</v>
      </c>
      <c r="DI456" s="5" t="s">
        <v>737</v>
      </c>
      <c r="DJ456" s="5" t="s">
        <v>240</v>
      </c>
      <c r="DK456" s="5" t="s">
        <v>240</v>
      </c>
      <c r="DL456" s="5" t="s">
        <v>240</v>
      </c>
      <c r="DP456" s="5" t="s">
        <v>240</v>
      </c>
      <c r="DQ456" s="5" t="s">
        <v>240</v>
      </c>
      <c r="DR456" s="5" t="s">
        <v>240</v>
      </c>
      <c r="DS456" s="5" t="s">
        <v>240</v>
      </c>
      <c r="DV456" s="5" t="s">
        <v>957</v>
      </c>
      <c r="DW456" s="5" t="s">
        <v>1184</v>
      </c>
      <c r="HO456" s="5" t="s">
        <v>312</v>
      </c>
    </row>
    <row r="457" spans="1:223" x14ac:dyDescent="0.4">
      <c r="A457" s="5">
        <v>1192</v>
      </c>
      <c r="B457" s="5">
        <v>1</v>
      </c>
      <c r="C457" s="5">
        <v>1</v>
      </c>
      <c r="D457" s="5" t="s">
        <v>1280</v>
      </c>
      <c r="E457" s="5" t="s">
        <v>1270</v>
      </c>
      <c r="F457" s="5" t="s">
        <v>254</v>
      </c>
      <c r="G457" s="5" t="s">
        <v>240</v>
      </c>
      <c r="H457" s="6" t="s">
        <v>1285</v>
      </c>
      <c r="I457" s="5" t="s">
        <v>1279</v>
      </c>
      <c r="J457" s="8">
        <f>101.26</f>
        <v>101.26</v>
      </c>
      <c r="K457" s="5" t="s">
        <v>308</v>
      </c>
      <c r="L457" s="7">
        <f>668316</f>
        <v>668316</v>
      </c>
      <c r="M457" s="7">
        <f>668316</f>
        <v>668316</v>
      </c>
      <c r="N457" s="5" t="s">
        <v>242</v>
      </c>
      <c r="O457" s="5">
        <v>1</v>
      </c>
      <c r="P457" s="5" t="s">
        <v>294</v>
      </c>
      <c r="Q457" s="5" t="s">
        <v>613</v>
      </c>
      <c r="R457" s="5" t="s">
        <v>240</v>
      </c>
      <c r="S457" s="5" t="s">
        <v>240</v>
      </c>
      <c r="T457" s="5" t="s">
        <v>243</v>
      </c>
      <c r="U457" s="5" t="s">
        <v>724</v>
      </c>
      <c r="V457" s="5" t="s">
        <v>240</v>
      </c>
      <c r="Y457" s="5" t="s">
        <v>240</v>
      </c>
      <c r="Z457" s="6" t="s">
        <v>298</v>
      </c>
      <c r="AB457" s="6" t="s">
        <v>240</v>
      </c>
      <c r="AE457" s="6" t="s">
        <v>299</v>
      </c>
      <c r="AF457" s="5" t="s">
        <v>248</v>
      </c>
      <c r="AG457" s="5" t="s">
        <v>249</v>
      </c>
      <c r="AW457" s="5" t="s">
        <v>251</v>
      </c>
      <c r="AX457" s="5" t="s">
        <v>240</v>
      </c>
      <c r="AY457" s="5" t="s">
        <v>253</v>
      </c>
      <c r="AZ457" s="5" t="s">
        <v>240</v>
      </c>
      <c r="BA457" s="5" t="s">
        <v>255</v>
      </c>
      <c r="BB457" s="5" t="s">
        <v>240</v>
      </c>
      <c r="BD457" s="5" t="s">
        <v>240</v>
      </c>
      <c r="BF457" s="5" t="s">
        <v>301</v>
      </c>
      <c r="BG457" s="6" t="s">
        <v>299</v>
      </c>
      <c r="BH457" s="5" t="s">
        <v>302</v>
      </c>
      <c r="BI457" s="5" t="s">
        <v>303</v>
      </c>
      <c r="BJ457" s="5" t="s">
        <v>240</v>
      </c>
      <c r="BK457" s="8">
        <f>0</f>
        <v>0</v>
      </c>
      <c r="BL457" s="7">
        <f>0</f>
        <v>0</v>
      </c>
      <c r="BM457" s="5" t="s">
        <v>258</v>
      </c>
      <c r="BN457" s="5" t="s">
        <v>259</v>
      </c>
      <c r="CB457" s="5" t="s">
        <v>240</v>
      </c>
      <c r="CC457" s="5" t="s">
        <v>240</v>
      </c>
      <c r="CG457" s="5" t="s">
        <v>617</v>
      </c>
      <c r="CH457" s="5" t="s">
        <v>305</v>
      </c>
      <c r="CI457" s="5" t="s">
        <v>240</v>
      </c>
      <c r="CL457" s="6" t="s">
        <v>261</v>
      </c>
      <c r="CM457" s="5" t="s">
        <v>240</v>
      </c>
      <c r="CN457" s="5" t="s">
        <v>263</v>
      </c>
      <c r="CO457" s="5" t="s">
        <v>240</v>
      </c>
      <c r="CP457" s="5" t="s">
        <v>240</v>
      </c>
      <c r="CQ457" s="5">
        <v>0</v>
      </c>
      <c r="CR457" s="5" t="s">
        <v>306</v>
      </c>
      <c r="CS457" s="5" t="s">
        <v>307</v>
      </c>
      <c r="CT457" s="5" t="s">
        <v>307</v>
      </c>
      <c r="CU457" s="5" t="s">
        <v>260</v>
      </c>
      <c r="CX457" s="7">
        <f>19041</f>
        <v>19041</v>
      </c>
      <c r="CY457" s="7">
        <f>0</f>
        <v>0</v>
      </c>
      <c r="DA457" s="7">
        <f>0</f>
        <v>0</v>
      </c>
      <c r="DC457" s="5" t="s">
        <v>854</v>
      </c>
      <c r="DD457" s="5" t="s">
        <v>240</v>
      </c>
      <c r="DF457" s="5" t="s">
        <v>450</v>
      </c>
      <c r="DG457" s="7">
        <f>0</f>
        <v>0</v>
      </c>
      <c r="DI457" s="5" t="s">
        <v>737</v>
      </c>
      <c r="DJ457" s="5" t="s">
        <v>240</v>
      </c>
      <c r="DK457" s="5" t="s">
        <v>240</v>
      </c>
      <c r="DL457" s="5" t="s">
        <v>240</v>
      </c>
      <c r="DP457" s="5" t="s">
        <v>240</v>
      </c>
      <c r="DQ457" s="5" t="s">
        <v>240</v>
      </c>
      <c r="DR457" s="5" t="s">
        <v>240</v>
      </c>
      <c r="DS457" s="5" t="s">
        <v>240</v>
      </c>
      <c r="DV457" s="5" t="s">
        <v>957</v>
      </c>
      <c r="DW457" s="5" t="s">
        <v>693</v>
      </c>
      <c r="HO457" s="5" t="s">
        <v>312</v>
      </c>
    </row>
    <row r="458" spans="1:223" x14ac:dyDescent="0.4">
      <c r="A458" s="5">
        <v>1193</v>
      </c>
      <c r="B458" s="5">
        <v>1</v>
      </c>
      <c r="C458" s="5">
        <v>1</v>
      </c>
      <c r="D458" s="5" t="s">
        <v>1280</v>
      </c>
      <c r="E458" s="5" t="s">
        <v>1270</v>
      </c>
      <c r="F458" s="5" t="s">
        <v>254</v>
      </c>
      <c r="G458" s="5" t="s">
        <v>240</v>
      </c>
      <c r="H458" s="6" t="s">
        <v>1284</v>
      </c>
      <c r="I458" s="5" t="s">
        <v>1279</v>
      </c>
      <c r="J458" s="8">
        <f>86.25</f>
        <v>86.25</v>
      </c>
      <c r="K458" s="5" t="s">
        <v>308</v>
      </c>
      <c r="L458" s="7">
        <f>569250</f>
        <v>569250</v>
      </c>
      <c r="M458" s="7">
        <f>569250</f>
        <v>569250</v>
      </c>
      <c r="N458" s="5" t="s">
        <v>242</v>
      </c>
      <c r="O458" s="5">
        <v>1</v>
      </c>
      <c r="P458" s="5" t="s">
        <v>294</v>
      </c>
      <c r="Q458" s="5" t="s">
        <v>613</v>
      </c>
      <c r="R458" s="5" t="s">
        <v>240</v>
      </c>
      <c r="S458" s="5" t="s">
        <v>240</v>
      </c>
      <c r="T458" s="5" t="s">
        <v>243</v>
      </c>
      <c r="U458" s="5" t="s">
        <v>724</v>
      </c>
      <c r="V458" s="5" t="s">
        <v>240</v>
      </c>
      <c r="Y458" s="5" t="s">
        <v>240</v>
      </c>
      <c r="Z458" s="6" t="s">
        <v>298</v>
      </c>
      <c r="AB458" s="6" t="s">
        <v>240</v>
      </c>
      <c r="AE458" s="6" t="s">
        <v>299</v>
      </c>
      <c r="AF458" s="5" t="s">
        <v>248</v>
      </c>
      <c r="AG458" s="5" t="s">
        <v>249</v>
      </c>
      <c r="AW458" s="5" t="s">
        <v>251</v>
      </c>
      <c r="AX458" s="5" t="s">
        <v>240</v>
      </c>
      <c r="AY458" s="5" t="s">
        <v>253</v>
      </c>
      <c r="AZ458" s="5" t="s">
        <v>240</v>
      </c>
      <c r="BA458" s="5" t="s">
        <v>255</v>
      </c>
      <c r="BB458" s="5" t="s">
        <v>240</v>
      </c>
      <c r="BD458" s="5" t="s">
        <v>240</v>
      </c>
      <c r="BF458" s="5" t="s">
        <v>301</v>
      </c>
      <c r="BG458" s="6" t="s">
        <v>299</v>
      </c>
      <c r="BH458" s="5" t="s">
        <v>302</v>
      </c>
      <c r="BI458" s="5" t="s">
        <v>303</v>
      </c>
      <c r="BJ458" s="5" t="s">
        <v>240</v>
      </c>
      <c r="BK458" s="8">
        <f>0</f>
        <v>0</v>
      </c>
      <c r="BL458" s="7">
        <f>0</f>
        <v>0</v>
      </c>
      <c r="BM458" s="5" t="s">
        <v>258</v>
      </c>
      <c r="BN458" s="5" t="s">
        <v>259</v>
      </c>
      <c r="CB458" s="5" t="s">
        <v>240</v>
      </c>
      <c r="CC458" s="5" t="s">
        <v>240</v>
      </c>
      <c r="CG458" s="5" t="s">
        <v>617</v>
      </c>
      <c r="CH458" s="5" t="s">
        <v>305</v>
      </c>
      <c r="CI458" s="5" t="s">
        <v>240</v>
      </c>
      <c r="CL458" s="6" t="s">
        <v>261</v>
      </c>
      <c r="CM458" s="5" t="s">
        <v>240</v>
      </c>
      <c r="CN458" s="5" t="s">
        <v>263</v>
      </c>
      <c r="CO458" s="5" t="s">
        <v>240</v>
      </c>
      <c r="CP458" s="5" t="s">
        <v>240</v>
      </c>
      <c r="CQ458" s="5">
        <v>0</v>
      </c>
      <c r="CR458" s="5" t="s">
        <v>306</v>
      </c>
      <c r="CS458" s="5" t="s">
        <v>307</v>
      </c>
      <c r="CT458" s="5" t="s">
        <v>307</v>
      </c>
      <c r="CU458" s="5" t="s">
        <v>260</v>
      </c>
      <c r="CX458" s="7">
        <f>49016</f>
        <v>49016</v>
      </c>
      <c r="CY458" s="7">
        <f>0</f>
        <v>0</v>
      </c>
      <c r="DA458" s="7">
        <f>0</f>
        <v>0</v>
      </c>
      <c r="DC458" s="5" t="s">
        <v>854</v>
      </c>
      <c r="DD458" s="5" t="s">
        <v>240</v>
      </c>
      <c r="DF458" s="5" t="s">
        <v>450</v>
      </c>
      <c r="DG458" s="7">
        <f>0</f>
        <v>0</v>
      </c>
      <c r="DI458" s="5" t="s">
        <v>737</v>
      </c>
      <c r="DJ458" s="5" t="s">
        <v>240</v>
      </c>
      <c r="DK458" s="5" t="s">
        <v>240</v>
      </c>
      <c r="DL458" s="5" t="s">
        <v>240</v>
      </c>
      <c r="DP458" s="5" t="s">
        <v>240</v>
      </c>
      <c r="DQ458" s="5" t="s">
        <v>240</v>
      </c>
      <c r="DR458" s="5" t="s">
        <v>240</v>
      </c>
      <c r="DS458" s="5" t="s">
        <v>240</v>
      </c>
      <c r="DV458" s="5" t="s">
        <v>957</v>
      </c>
      <c r="DW458" s="5" t="s">
        <v>695</v>
      </c>
      <c r="HO458" s="5" t="s">
        <v>312</v>
      </c>
    </row>
    <row r="459" spans="1:223" x14ac:dyDescent="0.4">
      <c r="A459" s="5">
        <v>1194</v>
      </c>
      <c r="B459" s="5">
        <v>1</v>
      </c>
      <c r="C459" s="5">
        <v>1</v>
      </c>
      <c r="D459" s="5" t="s">
        <v>1280</v>
      </c>
      <c r="E459" s="5" t="s">
        <v>1270</v>
      </c>
      <c r="F459" s="5" t="s">
        <v>254</v>
      </c>
      <c r="G459" s="5" t="s">
        <v>240</v>
      </c>
      <c r="H459" s="6" t="s">
        <v>1283</v>
      </c>
      <c r="I459" s="5" t="s">
        <v>1279</v>
      </c>
      <c r="J459" s="8">
        <f>68.16</f>
        <v>68.16</v>
      </c>
      <c r="K459" s="5" t="s">
        <v>308</v>
      </c>
      <c r="L459" s="7">
        <f>449856</f>
        <v>449856</v>
      </c>
      <c r="M459" s="7">
        <f>449856</f>
        <v>449856</v>
      </c>
      <c r="N459" s="5" t="s">
        <v>242</v>
      </c>
      <c r="O459" s="5">
        <v>1</v>
      </c>
      <c r="P459" s="5" t="s">
        <v>294</v>
      </c>
      <c r="Q459" s="5" t="s">
        <v>613</v>
      </c>
      <c r="R459" s="5" t="s">
        <v>240</v>
      </c>
      <c r="S459" s="5" t="s">
        <v>240</v>
      </c>
      <c r="T459" s="5" t="s">
        <v>243</v>
      </c>
      <c r="U459" s="5" t="s">
        <v>724</v>
      </c>
      <c r="V459" s="5" t="s">
        <v>240</v>
      </c>
      <c r="Y459" s="5" t="s">
        <v>240</v>
      </c>
      <c r="Z459" s="6" t="s">
        <v>298</v>
      </c>
      <c r="AB459" s="6" t="s">
        <v>240</v>
      </c>
      <c r="AE459" s="6" t="s">
        <v>299</v>
      </c>
      <c r="AF459" s="5" t="s">
        <v>248</v>
      </c>
      <c r="AG459" s="5" t="s">
        <v>249</v>
      </c>
      <c r="AW459" s="5" t="s">
        <v>251</v>
      </c>
      <c r="AX459" s="5" t="s">
        <v>240</v>
      </c>
      <c r="AY459" s="5" t="s">
        <v>253</v>
      </c>
      <c r="AZ459" s="5" t="s">
        <v>240</v>
      </c>
      <c r="BA459" s="5" t="s">
        <v>255</v>
      </c>
      <c r="BB459" s="5" t="s">
        <v>240</v>
      </c>
      <c r="BD459" s="5" t="s">
        <v>240</v>
      </c>
      <c r="BF459" s="5" t="s">
        <v>301</v>
      </c>
      <c r="BG459" s="6" t="s">
        <v>299</v>
      </c>
      <c r="BH459" s="5" t="s">
        <v>302</v>
      </c>
      <c r="BI459" s="5" t="s">
        <v>303</v>
      </c>
      <c r="BJ459" s="5" t="s">
        <v>240</v>
      </c>
      <c r="BK459" s="8">
        <f>0</f>
        <v>0</v>
      </c>
      <c r="BL459" s="7">
        <f>0</f>
        <v>0</v>
      </c>
      <c r="BM459" s="5" t="s">
        <v>258</v>
      </c>
      <c r="BN459" s="5" t="s">
        <v>259</v>
      </c>
      <c r="CB459" s="5" t="s">
        <v>240</v>
      </c>
      <c r="CC459" s="5" t="s">
        <v>240</v>
      </c>
      <c r="CG459" s="5" t="s">
        <v>617</v>
      </c>
      <c r="CH459" s="5" t="s">
        <v>305</v>
      </c>
      <c r="CI459" s="5" t="s">
        <v>240</v>
      </c>
      <c r="CL459" s="6" t="s">
        <v>261</v>
      </c>
      <c r="CM459" s="5" t="s">
        <v>240</v>
      </c>
      <c r="CN459" s="5" t="s">
        <v>263</v>
      </c>
      <c r="CO459" s="5" t="s">
        <v>240</v>
      </c>
      <c r="CP459" s="5" t="s">
        <v>240</v>
      </c>
      <c r="CQ459" s="5">
        <v>0</v>
      </c>
      <c r="CR459" s="5" t="s">
        <v>306</v>
      </c>
      <c r="CS459" s="5" t="s">
        <v>307</v>
      </c>
      <c r="CT459" s="5" t="s">
        <v>307</v>
      </c>
      <c r="CU459" s="5" t="s">
        <v>260</v>
      </c>
      <c r="CX459" s="7">
        <f>5005</f>
        <v>5005</v>
      </c>
      <c r="CY459" s="7">
        <f>0</f>
        <v>0</v>
      </c>
      <c r="DA459" s="7">
        <f>0</f>
        <v>0</v>
      </c>
      <c r="DC459" s="5" t="s">
        <v>854</v>
      </c>
      <c r="DD459" s="5" t="s">
        <v>240</v>
      </c>
      <c r="DF459" s="5" t="s">
        <v>450</v>
      </c>
      <c r="DG459" s="7">
        <f>0</f>
        <v>0</v>
      </c>
      <c r="DI459" s="5" t="s">
        <v>737</v>
      </c>
      <c r="DJ459" s="5" t="s">
        <v>240</v>
      </c>
      <c r="DK459" s="5" t="s">
        <v>240</v>
      </c>
      <c r="DL459" s="5" t="s">
        <v>240</v>
      </c>
      <c r="DP459" s="5" t="s">
        <v>240</v>
      </c>
      <c r="DQ459" s="5" t="s">
        <v>240</v>
      </c>
      <c r="DR459" s="5" t="s">
        <v>240</v>
      </c>
      <c r="DS459" s="5" t="s">
        <v>240</v>
      </c>
      <c r="DV459" s="5" t="s">
        <v>957</v>
      </c>
      <c r="DW459" s="5" t="s">
        <v>806</v>
      </c>
      <c r="HO459" s="5" t="s">
        <v>312</v>
      </c>
    </row>
    <row r="460" spans="1:223" x14ac:dyDescent="0.4">
      <c r="A460" s="5">
        <v>1195</v>
      </c>
      <c r="B460" s="5">
        <v>1</v>
      </c>
      <c r="C460" s="5">
        <v>1</v>
      </c>
      <c r="D460" s="5" t="s">
        <v>1280</v>
      </c>
      <c r="E460" s="5" t="s">
        <v>1270</v>
      </c>
      <c r="F460" s="5" t="s">
        <v>254</v>
      </c>
      <c r="G460" s="5" t="s">
        <v>240</v>
      </c>
      <c r="H460" s="6" t="s">
        <v>1281</v>
      </c>
      <c r="I460" s="5" t="s">
        <v>1279</v>
      </c>
      <c r="J460" s="8">
        <f>88.07</f>
        <v>88.07</v>
      </c>
      <c r="K460" s="5" t="s">
        <v>308</v>
      </c>
      <c r="L460" s="7">
        <f>581262</f>
        <v>581262</v>
      </c>
      <c r="M460" s="7">
        <f>581262</f>
        <v>581262</v>
      </c>
      <c r="N460" s="5" t="s">
        <v>242</v>
      </c>
      <c r="O460" s="5">
        <v>1</v>
      </c>
      <c r="P460" s="5" t="s">
        <v>294</v>
      </c>
      <c r="Q460" s="5" t="s">
        <v>613</v>
      </c>
      <c r="R460" s="5" t="s">
        <v>240</v>
      </c>
      <c r="S460" s="5" t="s">
        <v>240</v>
      </c>
      <c r="T460" s="5" t="s">
        <v>243</v>
      </c>
      <c r="U460" s="5" t="s">
        <v>724</v>
      </c>
      <c r="V460" s="5" t="s">
        <v>240</v>
      </c>
      <c r="Y460" s="5" t="s">
        <v>240</v>
      </c>
      <c r="Z460" s="6" t="s">
        <v>298</v>
      </c>
      <c r="AB460" s="6" t="s">
        <v>240</v>
      </c>
      <c r="AE460" s="6" t="s">
        <v>299</v>
      </c>
      <c r="AF460" s="5" t="s">
        <v>248</v>
      </c>
      <c r="AG460" s="5" t="s">
        <v>249</v>
      </c>
      <c r="AW460" s="5" t="s">
        <v>251</v>
      </c>
      <c r="AX460" s="5" t="s">
        <v>240</v>
      </c>
      <c r="AY460" s="5" t="s">
        <v>253</v>
      </c>
      <c r="AZ460" s="5" t="s">
        <v>240</v>
      </c>
      <c r="BA460" s="5" t="s">
        <v>255</v>
      </c>
      <c r="BB460" s="5" t="s">
        <v>240</v>
      </c>
      <c r="BD460" s="5" t="s">
        <v>240</v>
      </c>
      <c r="BF460" s="5" t="s">
        <v>301</v>
      </c>
      <c r="BG460" s="6" t="s">
        <v>299</v>
      </c>
      <c r="BH460" s="5" t="s">
        <v>302</v>
      </c>
      <c r="BI460" s="5" t="s">
        <v>303</v>
      </c>
      <c r="BJ460" s="5" t="s">
        <v>240</v>
      </c>
      <c r="BK460" s="8">
        <f>0</f>
        <v>0</v>
      </c>
      <c r="BL460" s="7">
        <f>0</f>
        <v>0</v>
      </c>
      <c r="BM460" s="5" t="s">
        <v>258</v>
      </c>
      <c r="BN460" s="5" t="s">
        <v>259</v>
      </c>
      <c r="CB460" s="5" t="s">
        <v>240</v>
      </c>
      <c r="CC460" s="5" t="s">
        <v>240</v>
      </c>
      <c r="CG460" s="5" t="s">
        <v>617</v>
      </c>
      <c r="CH460" s="5" t="s">
        <v>305</v>
      </c>
      <c r="CI460" s="5" t="s">
        <v>240</v>
      </c>
      <c r="CL460" s="6" t="s">
        <v>261</v>
      </c>
      <c r="CM460" s="5" t="s">
        <v>240</v>
      </c>
      <c r="CN460" s="5" t="s">
        <v>263</v>
      </c>
      <c r="CO460" s="5" t="s">
        <v>240</v>
      </c>
      <c r="CP460" s="5" t="s">
        <v>240</v>
      </c>
      <c r="CQ460" s="5">
        <v>0</v>
      </c>
      <c r="CR460" s="5" t="s">
        <v>306</v>
      </c>
      <c r="CS460" s="5" t="s">
        <v>307</v>
      </c>
      <c r="CT460" s="5" t="s">
        <v>307</v>
      </c>
      <c r="CU460" s="5" t="s">
        <v>260</v>
      </c>
      <c r="CX460" s="7">
        <f>21098</f>
        <v>21098</v>
      </c>
      <c r="CY460" s="7">
        <f>0</f>
        <v>0</v>
      </c>
      <c r="DA460" s="7">
        <f>0</f>
        <v>0</v>
      </c>
      <c r="DC460" s="5" t="s">
        <v>854</v>
      </c>
      <c r="DD460" s="5" t="s">
        <v>240</v>
      </c>
      <c r="DF460" s="5" t="s">
        <v>450</v>
      </c>
      <c r="DG460" s="7">
        <f>0</f>
        <v>0</v>
      </c>
      <c r="DI460" s="5" t="s">
        <v>737</v>
      </c>
      <c r="DJ460" s="5" t="s">
        <v>240</v>
      </c>
      <c r="DK460" s="5" t="s">
        <v>240</v>
      </c>
      <c r="DL460" s="5" t="s">
        <v>240</v>
      </c>
      <c r="DP460" s="5" t="s">
        <v>240</v>
      </c>
      <c r="DQ460" s="5" t="s">
        <v>240</v>
      </c>
      <c r="DR460" s="5" t="s">
        <v>240</v>
      </c>
      <c r="DS460" s="5" t="s">
        <v>240</v>
      </c>
      <c r="DV460" s="5" t="s">
        <v>957</v>
      </c>
      <c r="DW460" s="5" t="s">
        <v>827</v>
      </c>
      <c r="HO460" s="5" t="s">
        <v>312</v>
      </c>
    </row>
    <row r="461" spans="1:223" x14ac:dyDescent="0.4">
      <c r="A461" s="5">
        <v>1196</v>
      </c>
      <c r="B461" s="5">
        <v>1</v>
      </c>
      <c r="C461" s="5">
        <v>1</v>
      </c>
      <c r="D461" s="5" t="s">
        <v>1275</v>
      </c>
      <c r="E461" s="5" t="s">
        <v>1270</v>
      </c>
      <c r="F461" s="5" t="s">
        <v>254</v>
      </c>
      <c r="G461" s="5" t="s">
        <v>240</v>
      </c>
      <c r="H461" s="6" t="s">
        <v>1276</v>
      </c>
      <c r="I461" s="5" t="s">
        <v>1274</v>
      </c>
      <c r="J461" s="8">
        <f>421.32</f>
        <v>421.32</v>
      </c>
      <c r="K461" s="5" t="s">
        <v>308</v>
      </c>
      <c r="L461" s="7">
        <f>4213200</f>
        <v>4213200</v>
      </c>
      <c r="M461" s="7">
        <f>4213200</f>
        <v>4213200</v>
      </c>
      <c r="N461" s="5" t="s">
        <v>242</v>
      </c>
      <c r="O461" s="5">
        <v>1</v>
      </c>
      <c r="P461" s="5" t="s">
        <v>294</v>
      </c>
      <c r="Q461" s="5" t="s">
        <v>613</v>
      </c>
      <c r="R461" s="5" t="s">
        <v>240</v>
      </c>
      <c r="S461" s="5" t="s">
        <v>240</v>
      </c>
      <c r="T461" s="5" t="s">
        <v>243</v>
      </c>
      <c r="U461" s="5" t="s">
        <v>724</v>
      </c>
      <c r="V461" s="5" t="s">
        <v>240</v>
      </c>
      <c r="Y461" s="5" t="s">
        <v>240</v>
      </c>
      <c r="Z461" s="6" t="s">
        <v>298</v>
      </c>
      <c r="AB461" s="6" t="s">
        <v>240</v>
      </c>
      <c r="AE461" s="6" t="s">
        <v>299</v>
      </c>
      <c r="AF461" s="5" t="s">
        <v>248</v>
      </c>
      <c r="AG461" s="5" t="s">
        <v>249</v>
      </c>
      <c r="AW461" s="5" t="s">
        <v>251</v>
      </c>
      <c r="AX461" s="5" t="s">
        <v>240</v>
      </c>
      <c r="AY461" s="5" t="s">
        <v>253</v>
      </c>
      <c r="AZ461" s="5" t="s">
        <v>240</v>
      </c>
      <c r="BA461" s="5" t="s">
        <v>255</v>
      </c>
      <c r="BB461" s="5" t="s">
        <v>240</v>
      </c>
      <c r="BD461" s="5" t="s">
        <v>240</v>
      </c>
      <c r="BF461" s="5" t="s">
        <v>301</v>
      </c>
      <c r="BG461" s="6" t="s">
        <v>299</v>
      </c>
      <c r="BH461" s="5" t="s">
        <v>302</v>
      </c>
      <c r="BI461" s="5" t="s">
        <v>303</v>
      </c>
      <c r="BJ461" s="5" t="s">
        <v>240</v>
      </c>
      <c r="BK461" s="8">
        <f>0</f>
        <v>0</v>
      </c>
      <c r="BL461" s="7">
        <f>0</f>
        <v>0</v>
      </c>
      <c r="BM461" s="5" t="s">
        <v>258</v>
      </c>
      <c r="BN461" s="5" t="s">
        <v>259</v>
      </c>
      <c r="CB461" s="5" t="s">
        <v>240</v>
      </c>
      <c r="CC461" s="5" t="s">
        <v>240</v>
      </c>
      <c r="CG461" s="5" t="s">
        <v>617</v>
      </c>
      <c r="CH461" s="5" t="s">
        <v>305</v>
      </c>
      <c r="CI461" s="5" t="s">
        <v>240</v>
      </c>
      <c r="CL461" s="6" t="s">
        <v>261</v>
      </c>
      <c r="CM461" s="5" t="s">
        <v>240</v>
      </c>
      <c r="CN461" s="5" t="s">
        <v>263</v>
      </c>
      <c r="CO461" s="5" t="s">
        <v>240</v>
      </c>
      <c r="CP461" s="5" t="s">
        <v>240</v>
      </c>
      <c r="CQ461" s="5">
        <v>0</v>
      </c>
      <c r="CR461" s="5" t="s">
        <v>306</v>
      </c>
      <c r="CS461" s="5" t="s">
        <v>307</v>
      </c>
      <c r="CT461" s="5" t="s">
        <v>307</v>
      </c>
      <c r="CU461" s="5" t="s">
        <v>260</v>
      </c>
      <c r="CX461" s="7">
        <f>12100</f>
        <v>12100</v>
      </c>
      <c r="CY461" s="7">
        <f>0</f>
        <v>0</v>
      </c>
      <c r="DA461" s="7">
        <f>0</f>
        <v>0</v>
      </c>
      <c r="DC461" s="5" t="s">
        <v>854</v>
      </c>
      <c r="DD461" s="5" t="s">
        <v>240</v>
      </c>
      <c r="DF461" s="5" t="s">
        <v>450</v>
      </c>
      <c r="DG461" s="7">
        <f>0</f>
        <v>0</v>
      </c>
      <c r="DI461" s="5" t="s">
        <v>737</v>
      </c>
      <c r="DJ461" s="5" t="s">
        <v>240</v>
      </c>
      <c r="DK461" s="5" t="s">
        <v>240</v>
      </c>
      <c r="DL461" s="5" t="s">
        <v>240</v>
      </c>
      <c r="DP461" s="5" t="s">
        <v>240</v>
      </c>
      <c r="DQ461" s="5" t="s">
        <v>240</v>
      </c>
      <c r="DR461" s="5" t="s">
        <v>240</v>
      </c>
      <c r="DS461" s="5" t="s">
        <v>240</v>
      </c>
      <c r="DV461" s="5" t="s">
        <v>957</v>
      </c>
      <c r="DW461" s="5" t="s">
        <v>1190</v>
      </c>
      <c r="HO461" s="5" t="s">
        <v>312</v>
      </c>
    </row>
    <row r="462" spans="1:223" x14ac:dyDescent="0.4">
      <c r="A462" s="5">
        <v>1197</v>
      </c>
      <c r="B462" s="5">
        <v>1</v>
      </c>
      <c r="C462" s="5">
        <v>1</v>
      </c>
      <c r="D462" s="5" t="s">
        <v>1269</v>
      </c>
      <c r="E462" s="5" t="s">
        <v>1270</v>
      </c>
      <c r="F462" s="5" t="s">
        <v>254</v>
      </c>
      <c r="G462" s="5" t="s">
        <v>240</v>
      </c>
      <c r="H462" s="6" t="s">
        <v>1271</v>
      </c>
      <c r="I462" s="5" t="s">
        <v>1268</v>
      </c>
      <c r="J462" s="8">
        <f>276</f>
        <v>276</v>
      </c>
      <c r="K462" s="5" t="s">
        <v>308</v>
      </c>
      <c r="L462" s="7">
        <f>611340</f>
        <v>611340</v>
      </c>
      <c r="M462" s="7">
        <f>611340</f>
        <v>611340</v>
      </c>
      <c r="N462" s="5" t="s">
        <v>242</v>
      </c>
      <c r="O462" s="5">
        <v>1</v>
      </c>
      <c r="P462" s="5" t="s">
        <v>294</v>
      </c>
      <c r="Q462" s="5" t="s">
        <v>613</v>
      </c>
      <c r="R462" s="5" t="s">
        <v>240</v>
      </c>
      <c r="S462" s="5" t="s">
        <v>240</v>
      </c>
      <c r="T462" s="5" t="s">
        <v>243</v>
      </c>
      <c r="U462" s="5" t="s">
        <v>724</v>
      </c>
      <c r="V462" s="5" t="s">
        <v>240</v>
      </c>
      <c r="Y462" s="5" t="s">
        <v>240</v>
      </c>
      <c r="Z462" s="6" t="s">
        <v>298</v>
      </c>
      <c r="AB462" s="6" t="s">
        <v>240</v>
      </c>
      <c r="AE462" s="6" t="s">
        <v>299</v>
      </c>
      <c r="AF462" s="5" t="s">
        <v>248</v>
      </c>
      <c r="AG462" s="5" t="s">
        <v>249</v>
      </c>
      <c r="AW462" s="5" t="s">
        <v>251</v>
      </c>
      <c r="AX462" s="5" t="s">
        <v>240</v>
      </c>
      <c r="AY462" s="5" t="s">
        <v>253</v>
      </c>
      <c r="AZ462" s="5" t="s">
        <v>240</v>
      </c>
      <c r="BA462" s="5" t="s">
        <v>255</v>
      </c>
      <c r="BB462" s="5" t="s">
        <v>240</v>
      </c>
      <c r="BD462" s="5" t="s">
        <v>240</v>
      </c>
      <c r="BF462" s="5" t="s">
        <v>301</v>
      </c>
      <c r="BG462" s="6" t="s">
        <v>299</v>
      </c>
      <c r="BH462" s="5" t="s">
        <v>302</v>
      </c>
      <c r="BI462" s="5" t="s">
        <v>303</v>
      </c>
      <c r="BJ462" s="5" t="s">
        <v>240</v>
      </c>
      <c r="BK462" s="8">
        <f>0</f>
        <v>0</v>
      </c>
      <c r="BL462" s="7">
        <f>0</f>
        <v>0</v>
      </c>
      <c r="BM462" s="5" t="s">
        <v>258</v>
      </c>
      <c r="BN462" s="5" t="s">
        <v>259</v>
      </c>
      <c r="CB462" s="5" t="s">
        <v>240</v>
      </c>
      <c r="CC462" s="5" t="s">
        <v>240</v>
      </c>
      <c r="CG462" s="5" t="s">
        <v>617</v>
      </c>
      <c r="CH462" s="5" t="s">
        <v>305</v>
      </c>
      <c r="CI462" s="5" t="s">
        <v>240</v>
      </c>
      <c r="CL462" s="6" t="s">
        <v>261</v>
      </c>
      <c r="CM462" s="5" t="s">
        <v>240</v>
      </c>
      <c r="CN462" s="5" t="s">
        <v>263</v>
      </c>
      <c r="CO462" s="5" t="s">
        <v>240</v>
      </c>
      <c r="CP462" s="5" t="s">
        <v>240</v>
      </c>
      <c r="CQ462" s="5">
        <v>0</v>
      </c>
      <c r="CR462" s="5" t="s">
        <v>306</v>
      </c>
      <c r="CS462" s="5" t="s">
        <v>307</v>
      </c>
      <c r="CT462" s="5" t="s">
        <v>307</v>
      </c>
      <c r="CU462" s="5" t="s">
        <v>260</v>
      </c>
      <c r="CX462" s="7">
        <f>23595</f>
        <v>23595</v>
      </c>
      <c r="CY462" s="7">
        <f>0</f>
        <v>0</v>
      </c>
      <c r="DA462" s="7">
        <f>0</f>
        <v>0</v>
      </c>
      <c r="DC462" s="5" t="s">
        <v>854</v>
      </c>
      <c r="DD462" s="5" t="s">
        <v>240</v>
      </c>
      <c r="DF462" s="5" t="s">
        <v>450</v>
      </c>
      <c r="DG462" s="7">
        <f>0</f>
        <v>0</v>
      </c>
      <c r="DI462" s="5" t="s">
        <v>737</v>
      </c>
      <c r="DJ462" s="5" t="s">
        <v>240</v>
      </c>
      <c r="DK462" s="5" t="s">
        <v>240</v>
      </c>
      <c r="DL462" s="5" t="s">
        <v>240</v>
      </c>
      <c r="DP462" s="5" t="s">
        <v>240</v>
      </c>
      <c r="DQ462" s="5" t="s">
        <v>240</v>
      </c>
      <c r="DR462" s="5" t="s">
        <v>240</v>
      </c>
      <c r="DS462" s="5" t="s">
        <v>240</v>
      </c>
      <c r="DV462" s="5" t="s">
        <v>957</v>
      </c>
      <c r="DW462" s="5" t="s">
        <v>1192</v>
      </c>
      <c r="HO462" s="5" t="s">
        <v>312</v>
      </c>
    </row>
    <row r="463" spans="1:223" x14ac:dyDescent="0.4">
      <c r="A463" s="5">
        <v>1198</v>
      </c>
      <c r="B463" s="5">
        <v>1</v>
      </c>
      <c r="C463" s="5">
        <v>1</v>
      </c>
      <c r="D463" s="5" t="s">
        <v>3470</v>
      </c>
      <c r="E463" s="5" t="s">
        <v>418</v>
      </c>
      <c r="F463" s="5" t="s">
        <v>254</v>
      </c>
      <c r="G463" s="5" t="s">
        <v>3471</v>
      </c>
      <c r="H463" s="6" t="s">
        <v>3472</v>
      </c>
      <c r="I463" s="5" t="s">
        <v>3469</v>
      </c>
      <c r="J463" s="8">
        <f>379</f>
        <v>379</v>
      </c>
      <c r="K463" s="5" t="s">
        <v>308</v>
      </c>
      <c r="L463" s="7">
        <f>162970</f>
        <v>162970</v>
      </c>
      <c r="M463" s="7">
        <f>162970</f>
        <v>162970</v>
      </c>
      <c r="N463" s="5" t="s">
        <v>242</v>
      </c>
      <c r="O463" s="5">
        <v>1</v>
      </c>
      <c r="P463" s="5" t="s">
        <v>294</v>
      </c>
      <c r="Q463" s="5" t="s">
        <v>613</v>
      </c>
      <c r="R463" s="5" t="s">
        <v>240</v>
      </c>
      <c r="S463" s="5" t="s">
        <v>240</v>
      </c>
      <c r="T463" s="5" t="s">
        <v>243</v>
      </c>
      <c r="U463" s="5" t="s">
        <v>724</v>
      </c>
      <c r="V463" s="5" t="s">
        <v>240</v>
      </c>
      <c r="Y463" s="5" t="s">
        <v>240</v>
      </c>
      <c r="Z463" s="6" t="s">
        <v>298</v>
      </c>
      <c r="AB463" s="6" t="s">
        <v>240</v>
      </c>
      <c r="AE463" s="6" t="s">
        <v>299</v>
      </c>
      <c r="AF463" s="5" t="s">
        <v>248</v>
      </c>
      <c r="AG463" s="5" t="s">
        <v>249</v>
      </c>
      <c r="AW463" s="5" t="s">
        <v>251</v>
      </c>
      <c r="AX463" s="5" t="s">
        <v>240</v>
      </c>
      <c r="AY463" s="5" t="s">
        <v>253</v>
      </c>
      <c r="AZ463" s="5" t="s">
        <v>240</v>
      </c>
      <c r="BA463" s="5" t="s">
        <v>255</v>
      </c>
      <c r="BB463" s="5" t="s">
        <v>240</v>
      </c>
      <c r="BD463" s="5" t="s">
        <v>240</v>
      </c>
      <c r="BF463" s="5" t="s">
        <v>301</v>
      </c>
      <c r="BG463" s="6" t="s">
        <v>299</v>
      </c>
      <c r="BH463" s="5" t="s">
        <v>302</v>
      </c>
      <c r="BI463" s="5" t="s">
        <v>303</v>
      </c>
      <c r="BJ463" s="5" t="s">
        <v>240</v>
      </c>
      <c r="BK463" s="8">
        <f>0</f>
        <v>0</v>
      </c>
      <c r="BL463" s="7">
        <f>0</f>
        <v>0</v>
      </c>
      <c r="BM463" s="5" t="s">
        <v>258</v>
      </c>
      <c r="BN463" s="5" t="s">
        <v>259</v>
      </c>
      <c r="CB463" s="5" t="s">
        <v>240</v>
      </c>
      <c r="CC463" s="5" t="s">
        <v>240</v>
      </c>
      <c r="CG463" s="5" t="s">
        <v>617</v>
      </c>
      <c r="CH463" s="5" t="s">
        <v>305</v>
      </c>
      <c r="CI463" s="5" t="s">
        <v>240</v>
      </c>
      <c r="CL463" s="6" t="s">
        <v>261</v>
      </c>
      <c r="CM463" s="5" t="s">
        <v>240</v>
      </c>
      <c r="CN463" s="5" t="s">
        <v>263</v>
      </c>
      <c r="CO463" s="5" t="s">
        <v>240</v>
      </c>
      <c r="CP463" s="5" t="s">
        <v>240</v>
      </c>
      <c r="CQ463" s="5">
        <v>0</v>
      </c>
      <c r="CR463" s="5" t="s">
        <v>306</v>
      </c>
      <c r="CS463" s="5" t="s">
        <v>307</v>
      </c>
      <c r="CT463" s="5" t="s">
        <v>307</v>
      </c>
      <c r="CU463" s="5" t="s">
        <v>260</v>
      </c>
      <c r="CX463" s="7">
        <f>16588</f>
        <v>16588</v>
      </c>
      <c r="CY463" s="7">
        <f>0</f>
        <v>0</v>
      </c>
      <c r="DA463" s="7">
        <f>0</f>
        <v>0</v>
      </c>
      <c r="DC463" s="5" t="s">
        <v>854</v>
      </c>
      <c r="DD463" s="5" t="s">
        <v>240</v>
      </c>
      <c r="DF463" s="5" t="s">
        <v>450</v>
      </c>
      <c r="DG463" s="7">
        <f>0</f>
        <v>0</v>
      </c>
      <c r="DI463" s="5" t="s">
        <v>737</v>
      </c>
      <c r="DJ463" s="5" t="s">
        <v>240</v>
      </c>
      <c r="DK463" s="5" t="s">
        <v>240</v>
      </c>
      <c r="DL463" s="5" t="s">
        <v>240</v>
      </c>
      <c r="DP463" s="5" t="s">
        <v>240</v>
      </c>
      <c r="DQ463" s="5" t="s">
        <v>240</v>
      </c>
      <c r="DR463" s="5" t="s">
        <v>240</v>
      </c>
      <c r="DS463" s="5" t="s">
        <v>240</v>
      </c>
      <c r="DV463" s="5" t="s">
        <v>957</v>
      </c>
      <c r="DW463" s="5" t="s">
        <v>1194</v>
      </c>
      <c r="HO463" s="5" t="s">
        <v>312</v>
      </c>
    </row>
    <row r="464" spans="1:223" x14ac:dyDescent="0.4">
      <c r="A464" s="5">
        <v>1326</v>
      </c>
      <c r="B464" s="5">
        <v>1</v>
      </c>
      <c r="C464" s="5">
        <v>1</v>
      </c>
      <c r="D464" s="5" t="s">
        <v>723</v>
      </c>
      <c r="E464" s="5" t="s">
        <v>725</v>
      </c>
      <c r="F464" s="5" t="s">
        <v>254</v>
      </c>
      <c r="G464" s="5" t="s">
        <v>240</v>
      </c>
      <c r="H464" s="6" t="s">
        <v>1267</v>
      </c>
      <c r="I464" s="5" t="s">
        <v>722</v>
      </c>
      <c r="J464" s="8">
        <f>312</f>
        <v>312</v>
      </c>
      <c r="K464" s="5" t="s">
        <v>308</v>
      </c>
      <c r="L464" s="7">
        <f>3432</f>
        <v>3432</v>
      </c>
      <c r="M464" s="7">
        <f>3432</f>
        <v>3432</v>
      </c>
      <c r="N464" s="5" t="s">
        <v>242</v>
      </c>
      <c r="O464" s="5">
        <v>1</v>
      </c>
      <c r="P464" s="5" t="s">
        <v>294</v>
      </c>
      <c r="Q464" s="5" t="s">
        <v>613</v>
      </c>
      <c r="R464" s="5" t="s">
        <v>240</v>
      </c>
      <c r="S464" s="5" t="s">
        <v>240</v>
      </c>
      <c r="T464" s="5" t="s">
        <v>243</v>
      </c>
      <c r="U464" s="5" t="s">
        <v>724</v>
      </c>
      <c r="V464" s="5" t="s">
        <v>240</v>
      </c>
      <c r="Y464" s="5" t="s">
        <v>240</v>
      </c>
      <c r="Z464" s="6" t="s">
        <v>298</v>
      </c>
      <c r="AB464" s="6" t="s">
        <v>240</v>
      </c>
      <c r="AE464" s="6" t="s">
        <v>299</v>
      </c>
      <c r="AF464" s="5" t="s">
        <v>248</v>
      </c>
      <c r="AG464" s="5" t="s">
        <v>249</v>
      </c>
      <c r="AW464" s="5" t="s">
        <v>251</v>
      </c>
      <c r="AX464" s="5" t="s">
        <v>240</v>
      </c>
      <c r="AY464" s="5" t="s">
        <v>253</v>
      </c>
      <c r="AZ464" s="5" t="s">
        <v>240</v>
      </c>
      <c r="BA464" s="5" t="s">
        <v>255</v>
      </c>
      <c r="BB464" s="5" t="s">
        <v>240</v>
      </c>
      <c r="BD464" s="5" t="s">
        <v>240</v>
      </c>
      <c r="BF464" s="5" t="s">
        <v>301</v>
      </c>
      <c r="BG464" s="6" t="s">
        <v>299</v>
      </c>
      <c r="BH464" s="5" t="s">
        <v>302</v>
      </c>
      <c r="BI464" s="5" t="s">
        <v>303</v>
      </c>
      <c r="BJ464" s="5" t="s">
        <v>240</v>
      </c>
      <c r="BK464" s="8">
        <f>0</f>
        <v>0</v>
      </c>
      <c r="BL464" s="7">
        <f>0</f>
        <v>0</v>
      </c>
      <c r="BM464" s="5" t="s">
        <v>258</v>
      </c>
      <c r="BN464" s="5" t="s">
        <v>259</v>
      </c>
      <c r="CB464" s="5" t="s">
        <v>240</v>
      </c>
      <c r="CC464" s="5" t="s">
        <v>240</v>
      </c>
      <c r="CG464" s="5" t="s">
        <v>617</v>
      </c>
      <c r="CH464" s="5" t="s">
        <v>305</v>
      </c>
      <c r="CI464" s="5" t="s">
        <v>240</v>
      </c>
      <c r="CL464" s="6" t="s">
        <v>261</v>
      </c>
      <c r="CM464" s="5" t="s">
        <v>240</v>
      </c>
      <c r="CN464" s="5" t="s">
        <v>263</v>
      </c>
      <c r="CO464" s="5" t="s">
        <v>240</v>
      </c>
      <c r="CP464" s="5" t="s">
        <v>240</v>
      </c>
      <c r="CQ464" s="5">
        <v>0</v>
      </c>
      <c r="CR464" s="5" t="s">
        <v>306</v>
      </c>
      <c r="CS464" s="5" t="s">
        <v>307</v>
      </c>
      <c r="CT464" s="5" t="s">
        <v>307</v>
      </c>
      <c r="CU464" s="5" t="s">
        <v>260</v>
      </c>
      <c r="CX464" s="7">
        <f>6644</f>
        <v>6644</v>
      </c>
      <c r="CY464" s="7">
        <f>0</f>
        <v>0</v>
      </c>
      <c r="DA464" s="7">
        <f>0</f>
        <v>0</v>
      </c>
      <c r="DC464" s="5" t="s">
        <v>854</v>
      </c>
      <c r="DD464" s="5" t="s">
        <v>240</v>
      </c>
      <c r="DF464" s="5" t="s">
        <v>450</v>
      </c>
      <c r="DG464" s="7">
        <f>0</f>
        <v>0</v>
      </c>
      <c r="DI464" s="5" t="s">
        <v>737</v>
      </c>
      <c r="DJ464" s="5" t="s">
        <v>240</v>
      </c>
      <c r="DK464" s="5" t="s">
        <v>240</v>
      </c>
      <c r="DL464" s="5" t="s">
        <v>240</v>
      </c>
      <c r="DP464" s="5" t="s">
        <v>240</v>
      </c>
      <c r="DQ464" s="5" t="s">
        <v>240</v>
      </c>
      <c r="DR464" s="5" t="s">
        <v>240</v>
      </c>
      <c r="DS464" s="5" t="s">
        <v>240</v>
      </c>
      <c r="DV464" s="5" t="s">
        <v>957</v>
      </c>
      <c r="DW464" s="5" t="s">
        <v>1196</v>
      </c>
      <c r="HO464" s="5" t="s">
        <v>312</v>
      </c>
    </row>
    <row r="465" spans="1:223" x14ac:dyDescent="0.4">
      <c r="A465" s="5">
        <v>1327</v>
      </c>
      <c r="B465" s="5">
        <v>1</v>
      </c>
      <c r="C465" s="5">
        <v>1</v>
      </c>
      <c r="D465" s="5" t="s">
        <v>723</v>
      </c>
      <c r="E465" s="5" t="s">
        <v>725</v>
      </c>
      <c r="F465" s="5" t="s">
        <v>254</v>
      </c>
      <c r="G465" s="5" t="s">
        <v>240</v>
      </c>
      <c r="H465" s="6" t="s">
        <v>1266</v>
      </c>
      <c r="I465" s="5" t="s">
        <v>722</v>
      </c>
      <c r="J465" s="8">
        <f>1769</f>
        <v>1769</v>
      </c>
      <c r="K465" s="5" t="s">
        <v>308</v>
      </c>
      <c r="L465" s="7">
        <f>19459</f>
        <v>19459</v>
      </c>
      <c r="M465" s="7">
        <f>19459</f>
        <v>19459</v>
      </c>
      <c r="N465" s="5" t="s">
        <v>242</v>
      </c>
      <c r="O465" s="5">
        <v>1</v>
      </c>
      <c r="P465" s="5" t="s">
        <v>294</v>
      </c>
      <c r="Q465" s="5" t="s">
        <v>613</v>
      </c>
      <c r="R465" s="5" t="s">
        <v>240</v>
      </c>
      <c r="S465" s="5" t="s">
        <v>240</v>
      </c>
      <c r="T465" s="5" t="s">
        <v>243</v>
      </c>
      <c r="U465" s="5" t="s">
        <v>724</v>
      </c>
      <c r="V465" s="5" t="s">
        <v>240</v>
      </c>
      <c r="Y465" s="5" t="s">
        <v>240</v>
      </c>
      <c r="Z465" s="6" t="s">
        <v>298</v>
      </c>
      <c r="AB465" s="6" t="s">
        <v>240</v>
      </c>
      <c r="AE465" s="6" t="s">
        <v>299</v>
      </c>
      <c r="AF465" s="5" t="s">
        <v>248</v>
      </c>
      <c r="AG465" s="5" t="s">
        <v>249</v>
      </c>
      <c r="AW465" s="5" t="s">
        <v>251</v>
      </c>
      <c r="AX465" s="5" t="s">
        <v>240</v>
      </c>
      <c r="AY465" s="5" t="s">
        <v>253</v>
      </c>
      <c r="AZ465" s="5" t="s">
        <v>240</v>
      </c>
      <c r="BA465" s="5" t="s">
        <v>255</v>
      </c>
      <c r="BB465" s="5" t="s">
        <v>240</v>
      </c>
      <c r="BD465" s="5" t="s">
        <v>240</v>
      </c>
      <c r="BF465" s="5" t="s">
        <v>301</v>
      </c>
      <c r="BG465" s="6" t="s">
        <v>299</v>
      </c>
      <c r="BH465" s="5" t="s">
        <v>302</v>
      </c>
      <c r="BI465" s="5" t="s">
        <v>303</v>
      </c>
      <c r="BJ465" s="5" t="s">
        <v>240</v>
      </c>
      <c r="BK465" s="8">
        <f>0</f>
        <v>0</v>
      </c>
      <c r="BL465" s="7">
        <f>0</f>
        <v>0</v>
      </c>
      <c r="BM465" s="5" t="s">
        <v>258</v>
      </c>
      <c r="BN465" s="5" t="s">
        <v>259</v>
      </c>
      <c r="CB465" s="5" t="s">
        <v>240</v>
      </c>
      <c r="CC465" s="5" t="s">
        <v>240</v>
      </c>
      <c r="CG465" s="5" t="s">
        <v>617</v>
      </c>
      <c r="CH465" s="5" t="s">
        <v>305</v>
      </c>
      <c r="CI465" s="5" t="s">
        <v>240</v>
      </c>
      <c r="CL465" s="6" t="s">
        <v>261</v>
      </c>
      <c r="CM465" s="5" t="s">
        <v>240</v>
      </c>
      <c r="CN465" s="5" t="s">
        <v>263</v>
      </c>
      <c r="CO465" s="5" t="s">
        <v>240</v>
      </c>
      <c r="CP465" s="5" t="s">
        <v>240</v>
      </c>
      <c r="CQ465" s="5">
        <v>0</v>
      </c>
      <c r="CR465" s="5" t="s">
        <v>306</v>
      </c>
      <c r="CS465" s="5" t="s">
        <v>307</v>
      </c>
      <c r="CT465" s="5" t="s">
        <v>307</v>
      </c>
      <c r="CU465" s="5" t="s">
        <v>260</v>
      </c>
      <c r="CX465" s="7">
        <f>27181</f>
        <v>27181</v>
      </c>
      <c r="CY465" s="7">
        <f>0</f>
        <v>0</v>
      </c>
      <c r="DA465" s="7">
        <f>0</f>
        <v>0</v>
      </c>
      <c r="DC465" s="5" t="s">
        <v>854</v>
      </c>
      <c r="DD465" s="5" t="s">
        <v>240</v>
      </c>
      <c r="DF465" s="5" t="s">
        <v>450</v>
      </c>
      <c r="DG465" s="7">
        <f>0</f>
        <v>0</v>
      </c>
      <c r="DI465" s="5" t="s">
        <v>737</v>
      </c>
      <c r="DJ465" s="5" t="s">
        <v>240</v>
      </c>
      <c r="DK465" s="5" t="s">
        <v>240</v>
      </c>
      <c r="DL465" s="5" t="s">
        <v>240</v>
      </c>
      <c r="DP465" s="5" t="s">
        <v>240</v>
      </c>
      <c r="DQ465" s="5" t="s">
        <v>240</v>
      </c>
      <c r="DR465" s="5" t="s">
        <v>240</v>
      </c>
      <c r="DS465" s="5" t="s">
        <v>240</v>
      </c>
      <c r="DV465" s="5" t="s">
        <v>957</v>
      </c>
      <c r="DW465" s="5" t="s">
        <v>1198</v>
      </c>
      <c r="HO465" s="5" t="s">
        <v>312</v>
      </c>
    </row>
    <row r="466" spans="1:223" x14ac:dyDescent="0.4">
      <c r="A466" s="5">
        <v>1328</v>
      </c>
      <c r="B466" s="5">
        <v>1</v>
      </c>
      <c r="C466" s="5">
        <v>1</v>
      </c>
      <c r="D466" s="5" t="s">
        <v>723</v>
      </c>
      <c r="E466" s="5" t="s">
        <v>725</v>
      </c>
      <c r="F466" s="5" t="s">
        <v>254</v>
      </c>
      <c r="G466" s="5" t="s">
        <v>240</v>
      </c>
      <c r="H466" s="6" t="s">
        <v>1265</v>
      </c>
      <c r="I466" s="5" t="s">
        <v>722</v>
      </c>
      <c r="J466" s="8">
        <f>1244</f>
        <v>1244</v>
      </c>
      <c r="K466" s="5" t="s">
        <v>308</v>
      </c>
      <c r="L466" s="7">
        <f>13684</f>
        <v>13684</v>
      </c>
      <c r="M466" s="7">
        <f>13684</f>
        <v>13684</v>
      </c>
      <c r="N466" s="5" t="s">
        <v>242</v>
      </c>
      <c r="O466" s="5">
        <v>1</v>
      </c>
      <c r="P466" s="5" t="s">
        <v>294</v>
      </c>
      <c r="Q466" s="5" t="s">
        <v>613</v>
      </c>
      <c r="R466" s="5" t="s">
        <v>240</v>
      </c>
      <c r="S466" s="5" t="s">
        <v>240</v>
      </c>
      <c r="T466" s="5" t="s">
        <v>243</v>
      </c>
      <c r="U466" s="5" t="s">
        <v>724</v>
      </c>
      <c r="V466" s="5" t="s">
        <v>240</v>
      </c>
      <c r="Y466" s="5" t="s">
        <v>240</v>
      </c>
      <c r="Z466" s="6" t="s">
        <v>298</v>
      </c>
      <c r="AB466" s="6" t="s">
        <v>240</v>
      </c>
      <c r="AE466" s="6" t="s">
        <v>299</v>
      </c>
      <c r="AF466" s="5" t="s">
        <v>248</v>
      </c>
      <c r="AG466" s="5" t="s">
        <v>249</v>
      </c>
      <c r="AW466" s="5" t="s">
        <v>251</v>
      </c>
      <c r="AX466" s="5" t="s">
        <v>240</v>
      </c>
      <c r="AY466" s="5" t="s">
        <v>253</v>
      </c>
      <c r="AZ466" s="5" t="s">
        <v>240</v>
      </c>
      <c r="BA466" s="5" t="s">
        <v>255</v>
      </c>
      <c r="BB466" s="5" t="s">
        <v>240</v>
      </c>
      <c r="BD466" s="5" t="s">
        <v>240</v>
      </c>
      <c r="BF466" s="5" t="s">
        <v>301</v>
      </c>
      <c r="BG466" s="6" t="s">
        <v>299</v>
      </c>
      <c r="BH466" s="5" t="s">
        <v>302</v>
      </c>
      <c r="BI466" s="5" t="s">
        <v>303</v>
      </c>
      <c r="BJ466" s="5" t="s">
        <v>240</v>
      </c>
      <c r="BK466" s="8">
        <f>0</f>
        <v>0</v>
      </c>
      <c r="BL466" s="7">
        <f>0</f>
        <v>0</v>
      </c>
      <c r="BM466" s="5" t="s">
        <v>258</v>
      </c>
      <c r="BN466" s="5" t="s">
        <v>259</v>
      </c>
      <c r="CB466" s="5" t="s">
        <v>240</v>
      </c>
      <c r="CC466" s="5" t="s">
        <v>240</v>
      </c>
      <c r="CG466" s="5" t="s">
        <v>617</v>
      </c>
      <c r="CH466" s="5" t="s">
        <v>305</v>
      </c>
      <c r="CI466" s="5" t="s">
        <v>240</v>
      </c>
      <c r="CL466" s="6" t="s">
        <v>261</v>
      </c>
      <c r="CM466" s="5" t="s">
        <v>240</v>
      </c>
      <c r="CN466" s="5" t="s">
        <v>263</v>
      </c>
      <c r="CO466" s="5" t="s">
        <v>240</v>
      </c>
      <c r="CP466" s="5" t="s">
        <v>240</v>
      </c>
      <c r="CQ466" s="5">
        <v>0</v>
      </c>
      <c r="CR466" s="5" t="s">
        <v>306</v>
      </c>
      <c r="CS466" s="5" t="s">
        <v>307</v>
      </c>
      <c r="CT466" s="5" t="s">
        <v>307</v>
      </c>
      <c r="CU466" s="5" t="s">
        <v>260</v>
      </c>
      <c r="CX466" s="7">
        <f>35475</f>
        <v>35475</v>
      </c>
      <c r="CY466" s="7">
        <f>0</f>
        <v>0</v>
      </c>
      <c r="DA466" s="7">
        <f>0</f>
        <v>0</v>
      </c>
      <c r="DC466" s="5" t="s">
        <v>854</v>
      </c>
      <c r="DD466" s="5" t="s">
        <v>240</v>
      </c>
      <c r="DF466" s="5" t="s">
        <v>450</v>
      </c>
      <c r="DG466" s="7">
        <f>0</f>
        <v>0</v>
      </c>
      <c r="DI466" s="5" t="s">
        <v>737</v>
      </c>
      <c r="DJ466" s="5" t="s">
        <v>240</v>
      </c>
      <c r="DK466" s="5" t="s">
        <v>240</v>
      </c>
      <c r="DL466" s="5" t="s">
        <v>240</v>
      </c>
      <c r="DP466" s="5" t="s">
        <v>240</v>
      </c>
      <c r="DQ466" s="5" t="s">
        <v>240</v>
      </c>
      <c r="DR466" s="5" t="s">
        <v>240</v>
      </c>
      <c r="DS466" s="5" t="s">
        <v>240</v>
      </c>
      <c r="DV466" s="5" t="s">
        <v>957</v>
      </c>
      <c r="DW466" s="5" t="s">
        <v>1200</v>
      </c>
      <c r="HO466" s="5" t="s">
        <v>312</v>
      </c>
    </row>
    <row r="467" spans="1:223" x14ac:dyDescent="0.4">
      <c r="A467" s="5">
        <v>1329</v>
      </c>
      <c r="B467" s="5">
        <v>1</v>
      </c>
      <c r="C467" s="5">
        <v>1</v>
      </c>
      <c r="D467" s="5" t="s">
        <v>723</v>
      </c>
      <c r="E467" s="5" t="s">
        <v>725</v>
      </c>
      <c r="F467" s="5" t="s">
        <v>254</v>
      </c>
      <c r="G467" s="5" t="s">
        <v>240</v>
      </c>
      <c r="H467" s="6" t="s">
        <v>1264</v>
      </c>
      <c r="I467" s="5" t="s">
        <v>722</v>
      </c>
      <c r="J467" s="8">
        <f>1359</f>
        <v>1359</v>
      </c>
      <c r="K467" s="5" t="s">
        <v>308</v>
      </c>
      <c r="L467" s="7">
        <f>14949</f>
        <v>14949</v>
      </c>
      <c r="M467" s="7">
        <f>14949</f>
        <v>14949</v>
      </c>
      <c r="N467" s="5" t="s">
        <v>242</v>
      </c>
      <c r="O467" s="5">
        <v>1</v>
      </c>
      <c r="P467" s="5" t="s">
        <v>294</v>
      </c>
      <c r="Q467" s="5" t="s">
        <v>613</v>
      </c>
      <c r="R467" s="5" t="s">
        <v>240</v>
      </c>
      <c r="S467" s="5" t="s">
        <v>240</v>
      </c>
      <c r="T467" s="5" t="s">
        <v>243</v>
      </c>
      <c r="U467" s="5" t="s">
        <v>724</v>
      </c>
      <c r="V467" s="5" t="s">
        <v>240</v>
      </c>
      <c r="Y467" s="5" t="s">
        <v>240</v>
      </c>
      <c r="Z467" s="6" t="s">
        <v>298</v>
      </c>
      <c r="AB467" s="6" t="s">
        <v>240</v>
      </c>
      <c r="AE467" s="6" t="s">
        <v>299</v>
      </c>
      <c r="AF467" s="5" t="s">
        <v>248</v>
      </c>
      <c r="AG467" s="5" t="s">
        <v>249</v>
      </c>
      <c r="AW467" s="5" t="s">
        <v>251</v>
      </c>
      <c r="AX467" s="5" t="s">
        <v>240</v>
      </c>
      <c r="AY467" s="5" t="s">
        <v>253</v>
      </c>
      <c r="AZ467" s="5" t="s">
        <v>240</v>
      </c>
      <c r="BA467" s="5" t="s">
        <v>255</v>
      </c>
      <c r="BB467" s="5" t="s">
        <v>240</v>
      </c>
      <c r="BD467" s="5" t="s">
        <v>240</v>
      </c>
      <c r="BF467" s="5" t="s">
        <v>301</v>
      </c>
      <c r="BG467" s="6" t="s">
        <v>299</v>
      </c>
      <c r="BH467" s="5" t="s">
        <v>302</v>
      </c>
      <c r="BI467" s="5" t="s">
        <v>303</v>
      </c>
      <c r="BJ467" s="5" t="s">
        <v>240</v>
      </c>
      <c r="BK467" s="8">
        <f>0</f>
        <v>0</v>
      </c>
      <c r="BL467" s="7">
        <f>0</f>
        <v>0</v>
      </c>
      <c r="BM467" s="5" t="s">
        <v>258</v>
      </c>
      <c r="BN467" s="5" t="s">
        <v>259</v>
      </c>
      <c r="CB467" s="5" t="s">
        <v>240</v>
      </c>
      <c r="CC467" s="5" t="s">
        <v>240</v>
      </c>
      <c r="CG467" s="5" t="s">
        <v>617</v>
      </c>
      <c r="CH467" s="5" t="s">
        <v>305</v>
      </c>
      <c r="CI467" s="5" t="s">
        <v>240</v>
      </c>
      <c r="CL467" s="6" t="s">
        <v>261</v>
      </c>
      <c r="CM467" s="5" t="s">
        <v>240</v>
      </c>
      <c r="CN467" s="5" t="s">
        <v>263</v>
      </c>
      <c r="CO467" s="5" t="s">
        <v>240</v>
      </c>
      <c r="CP467" s="5" t="s">
        <v>240</v>
      </c>
      <c r="CQ467" s="5">
        <v>0</v>
      </c>
      <c r="CR467" s="5" t="s">
        <v>306</v>
      </c>
      <c r="CS467" s="5" t="s">
        <v>307</v>
      </c>
      <c r="CT467" s="5" t="s">
        <v>307</v>
      </c>
      <c r="CU467" s="5" t="s">
        <v>260</v>
      </c>
      <c r="CX467" s="7">
        <f>3267</f>
        <v>3267</v>
      </c>
      <c r="CY467" s="7">
        <f>0</f>
        <v>0</v>
      </c>
      <c r="DA467" s="7">
        <f>0</f>
        <v>0</v>
      </c>
      <c r="DC467" s="5" t="s">
        <v>854</v>
      </c>
      <c r="DD467" s="5" t="s">
        <v>240</v>
      </c>
      <c r="DF467" s="5" t="s">
        <v>450</v>
      </c>
      <c r="DG467" s="7">
        <f>0</f>
        <v>0</v>
      </c>
      <c r="DI467" s="5" t="s">
        <v>737</v>
      </c>
      <c r="DJ467" s="5" t="s">
        <v>240</v>
      </c>
      <c r="DK467" s="5" t="s">
        <v>240</v>
      </c>
      <c r="DL467" s="5" t="s">
        <v>240</v>
      </c>
      <c r="DP467" s="5" t="s">
        <v>240</v>
      </c>
      <c r="DQ467" s="5" t="s">
        <v>240</v>
      </c>
      <c r="DR467" s="5" t="s">
        <v>240</v>
      </c>
      <c r="DS467" s="5" t="s">
        <v>240</v>
      </c>
      <c r="DV467" s="5" t="s">
        <v>957</v>
      </c>
      <c r="DW467" s="5" t="s">
        <v>1202</v>
      </c>
      <c r="HO467" s="5" t="s">
        <v>312</v>
      </c>
    </row>
    <row r="468" spans="1:223" x14ac:dyDescent="0.4">
      <c r="A468" s="5">
        <v>1330</v>
      </c>
      <c r="B468" s="5">
        <v>1</v>
      </c>
      <c r="C468" s="5">
        <v>1</v>
      </c>
      <c r="D468" s="5" t="s">
        <v>723</v>
      </c>
      <c r="E468" s="5" t="s">
        <v>725</v>
      </c>
      <c r="F468" s="5" t="s">
        <v>254</v>
      </c>
      <c r="G468" s="5" t="s">
        <v>240</v>
      </c>
      <c r="H468" s="6" t="s">
        <v>1263</v>
      </c>
      <c r="I468" s="5" t="s">
        <v>722</v>
      </c>
      <c r="J468" s="8">
        <f>1363</f>
        <v>1363</v>
      </c>
      <c r="K468" s="5" t="s">
        <v>308</v>
      </c>
      <c r="L468" s="7">
        <f>14993</f>
        <v>14993</v>
      </c>
      <c r="M468" s="7">
        <f>14993</f>
        <v>14993</v>
      </c>
      <c r="N468" s="5" t="s">
        <v>242</v>
      </c>
      <c r="O468" s="5">
        <v>1</v>
      </c>
      <c r="P468" s="5" t="s">
        <v>294</v>
      </c>
      <c r="Q468" s="5" t="s">
        <v>613</v>
      </c>
      <c r="R468" s="5" t="s">
        <v>240</v>
      </c>
      <c r="S468" s="5" t="s">
        <v>240</v>
      </c>
      <c r="T468" s="5" t="s">
        <v>243</v>
      </c>
      <c r="U468" s="5" t="s">
        <v>724</v>
      </c>
      <c r="V468" s="5" t="s">
        <v>240</v>
      </c>
      <c r="Y468" s="5" t="s">
        <v>240</v>
      </c>
      <c r="Z468" s="6" t="s">
        <v>298</v>
      </c>
      <c r="AB468" s="6" t="s">
        <v>240</v>
      </c>
      <c r="AE468" s="6" t="s">
        <v>299</v>
      </c>
      <c r="AF468" s="5" t="s">
        <v>248</v>
      </c>
      <c r="AG468" s="5" t="s">
        <v>249</v>
      </c>
      <c r="AW468" s="5" t="s">
        <v>251</v>
      </c>
      <c r="AX468" s="5" t="s">
        <v>240</v>
      </c>
      <c r="AY468" s="5" t="s">
        <v>253</v>
      </c>
      <c r="AZ468" s="5" t="s">
        <v>240</v>
      </c>
      <c r="BA468" s="5" t="s">
        <v>255</v>
      </c>
      <c r="BB468" s="5" t="s">
        <v>240</v>
      </c>
      <c r="BD468" s="5" t="s">
        <v>240</v>
      </c>
      <c r="BF468" s="5" t="s">
        <v>301</v>
      </c>
      <c r="BG468" s="6" t="s">
        <v>299</v>
      </c>
      <c r="BH468" s="5" t="s">
        <v>302</v>
      </c>
      <c r="BI468" s="5" t="s">
        <v>303</v>
      </c>
      <c r="BJ468" s="5" t="s">
        <v>240</v>
      </c>
      <c r="BK468" s="8">
        <f>0</f>
        <v>0</v>
      </c>
      <c r="BL468" s="7">
        <f>0</f>
        <v>0</v>
      </c>
      <c r="BM468" s="5" t="s">
        <v>258</v>
      </c>
      <c r="BN468" s="5" t="s">
        <v>259</v>
      </c>
      <c r="CB468" s="5" t="s">
        <v>240</v>
      </c>
      <c r="CC468" s="5" t="s">
        <v>240</v>
      </c>
      <c r="CG468" s="5" t="s">
        <v>617</v>
      </c>
      <c r="CH468" s="5" t="s">
        <v>305</v>
      </c>
      <c r="CI468" s="5" t="s">
        <v>240</v>
      </c>
      <c r="CL468" s="6" t="s">
        <v>261</v>
      </c>
      <c r="CM468" s="5" t="s">
        <v>240</v>
      </c>
      <c r="CN468" s="5" t="s">
        <v>263</v>
      </c>
      <c r="CO468" s="5" t="s">
        <v>240</v>
      </c>
      <c r="CP468" s="5" t="s">
        <v>240</v>
      </c>
      <c r="CQ468" s="5">
        <v>0</v>
      </c>
      <c r="CR468" s="5" t="s">
        <v>306</v>
      </c>
      <c r="CS468" s="5" t="s">
        <v>307</v>
      </c>
      <c r="CT468" s="5" t="s">
        <v>307</v>
      </c>
      <c r="CU468" s="5" t="s">
        <v>260</v>
      </c>
      <c r="CX468" s="7">
        <f>11319</f>
        <v>11319</v>
      </c>
      <c r="CY468" s="7">
        <f>0</f>
        <v>0</v>
      </c>
      <c r="DA468" s="7">
        <f>0</f>
        <v>0</v>
      </c>
      <c r="DC468" s="5" t="s">
        <v>854</v>
      </c>
      <c r="DD468" s="5" t="s">
        <v>240</v>
      </c>
      <c r="DF468" s="5" t="s">
        <v>450</v>
      </c>
      <c r="DG468" s="7">
        <f>0</f>
        <v>0</v>
      </c>
      <c r="DI468" s="5" t="s">
        <v>737</v>
      </c>
      <c r="DJ468" s="5" t="s">
        <v>240</v>
      </c>
      <c r="DK468" s="5" t="s">
        <v>240</v>
      </c>
      <c r="DL468" s="5" t="s">
        <v>240</v>
      </c>
      <c r="DP468" s="5" t="s">
        <v>240</v>
      </c>
      <c r="DQ468" s="5" t="s">
        <v>240</v>
      </c>
      <c r="DR468" s="5" t="s">
        <v>240</v>
      </c>
      <c r="DS468" s="5" t="s">
        <v>240</v>
      </c>
      <c r="DV468" s="5" t="s">
        <v>957</v>
      </c>
      <c r="DW468" s="5" t="s">
        <v>1204</v>
      </c>
      <c r="HO468" s="5" t="s">
        <v>312</v>
      </c>
    </row>
    <row r="469" spans="1:223" x14ac:dyDescent="0.4">
      <c r="A469" s="5">
        <v>1331</v>
      </c>
      <c r="B469" s="5">
        <v>1</v>
      </c>
      <c r="C469" s="5">
        <v>1</v>
      </c>
      <c r="D469" s="5" t="s">
        <v>723</v>
      </c>
      <c r="E469" s="5" t="s">
        <v>725</v>
      </c>
      <c r="F469" s="5" t="s">
        <v>254</v>
      </c>
      <c r="G469" s="5" t="s">
        <v>240</v>
      </c>
      <c r="H469" s="6" t="s">
        <v>1262</v>
      </c>
      <c r="I469" s="5" t="s">
        <v>722</v>
      </c>
      <c r="J469" s="8">
        <f>1295</f>
        <v>1295</v>
      </c>
      <c r="K469" s="5" t="s">
        <v>308</v>
      </c>
      <c r="L469" s="7">
        <f>14245</f>
        <v>14245</v>
      </c>
      <c r="M469" s="7">
        <f>14245</f>
        <v>14245</v>
      </c>
      <c r="N469" s="5" t="s">
        <v>242</v>
      </c>
      <c r="O469" s="5">
        <v>1</v>
      </c>
      <c r="P469" s="5" t="s">
        <v>294</v>
      </c>
      <c r="Q469" s="5" t="s">
        <v>613</v>
      </c>
      <c r="R469" s="5" t="s">
        <v>240</v>
      </c>
      <c r="S469" s="5" t="s">
        <v>240</v>
      </c>
      <c r="T469" s="5" t="s">
        <v>243</v>
      </c>
      <c r="U469" s="5" t="s">
        <v>724</v>
      </c>
      <c r="V469" s="5" t="s">
        <v>240</v>
      </c>
      <c r="Y469" s="5" t="s">
        <v>240</v>
      </c>
      <c r="Z469" s="6" t="s">
        <v>298</v>
      </c>
      <c r="AB469" s="6" t="s">
        <v>240</v>
      </c>
      <c r="AE469" s="6" t="s">
        <v>299</v>
      </c>
      <c r="AF469" s="5" t="s">
        <v>248</v>
      </c>
      <c r="AG469" s="5" t="s">
        <v>249</v>
      </c>
      <c r="AW469" s="5" t="s">
        <v>251</v>
      </c>
      <c r="AX469" s="5" t="s">
        <v>240</v>
      </c>
      <c r="AY469" s="5" t="s">
        <v>253</v>
      </c>
      <c r="AZ469" s="5" t="s">
        <v>240</v>
      </c>
      <c r="BA469" s="5" t="s">
        <v>255</v>
      </c>
      <c r="BB469" s="5" t="s">
        <v>240</v>
      </c>
      <c r="BD469" s="5" t="s">
        <v>240</v>
      </c>
      <c r="BF469" s="5" t="s">
        <v>301</v>
      </c>
      <c r="BG469" s="6" t="s">
        <v>299</v>
      </c>
      <c r="BH469" s="5" t="s">
        <v>302</v>
      </c>
      <c r="BI469" s="5" t="s">
        <v>303</v>
      </c>
      <c r="BJ469" s="5" t="s">
        <v>240</v>
      </c>
      <c r="BK469" s="8">
        <f>0</f>
        <v>0</v>
      </c>
      <c r="BL469" s="7">
        <f>0</f>
        <v>0</v>
      </c>
      <c r="BM469" s="5" t="s">
        <v>258</v>
      </c>
      <c r="BN469" s="5" t="s">
        <v>259</v>
      </c>
      <c r="CB469" s="5" t="s">
        <v>240</v>
      </c>
      <c r="CC469" s="5" t="s">
        <v>240</v>
      </c>
      <c r="CG469" s="5" t="s">
        <v>617</v>
      </c>
      <c r="CH469" s="5" t="s">
        <v>305</v>
      </c>
      <c r="CI469" s="5" t="s">
        <v>240</v>
      </c>
      <c r="CL469" s="6" t="s">
        <v>261</v>
      </c>
      <c r="CM469" s="5" t="s">
        <v>240</v>
      </c>
      <c r="CN469" s="5" t="s">
        <v>263</v>
      </c>
      <c r="CO469" s="5" t="s">
        <v>240</v>
      </c>
      <c r="CP469" s="5" t="s">
        <v>240</v>
      </c>
      <c r="CQ469" s="5">
        <v>0</v>
      </c>
      <c r="CR469" s="5" t="s">
        <v>306</v>
      </c>
      <c r="CS469" s="5" t="s">
        <v>307</v>
      </c>
      <c r="CT469" s="5" t="s">
        <v>307</v>
      </c>
      <c r="CU469" s="5" t="s">
        <v>260</v>
      </c>
      <c r="CX469" s="7">
        <f>11341</f>
        <v>11341</v>
      </c>
      <c r="CY469" s="7">
        <f>0</f>
        <v>0</v>
      </c>
      <c r="DA469" s="7">
        <f>0</f>
        <v>0</v>
      </c>
      <c r="DC469" s="5" t="s">
        <v>854</v>
      </c>
      <c r="DD469" s="5" t="s">
        <v>240</v>
      </c>
      <c r="DF469" s="5" t="s">
        <v>450</v>
      </c>
      <c r="DG469" s="7">
        <f>0</f>
        <v>0</v>
      </c>
      <c r="DI469" s="5" t="s">
        <v>737</v>
      </c>
      <c r="DJ469" s="5" t="s">
        <v>240</v>
      </c>
      <c r="DK469" s="5" t="s">
        <v>240</v>
      </c>
      <c r="DL469" s="5" t="s">
        <v>240</v>
      </c>
      <c r="DP469" s="5" t="s">
        <v>240</v>
      </c>
      <c r="DQ469" s="5" t="s">
        <v>240</v>
      </c>
      <c r="DR469" s="5" t="s">
        <v>240</v>
      </c>
      <c r="DS469" s="5" t="s">
        <v>240</v>
      </c>
      <c r="DV469" s="5" t="s">
        <v>957</v>
      </c>
      <c r="DW469" s="5" t="s">
        <v>1206</v>
      </c>
      <c r="HO469" s="5" t="s">
        <v>312</v>
      </c>
    </row>
    <row r="470" spans="1:223" x14ac:dyDescent="0.4">
      <c r="A470" s="5">
        <v>1332</v>
      </c>
      <c r="B470" s="5">
        <v>1</v>
      </c>
      <c r="C470" s="5">
        <v>1</v>
      </c>
      <c r="D470" s="5" t="s">
        <v>723</v>
      </c>
      <c r="E470" s="5" t="s">
        <v>725</v>
      </c>
      <c r="F470" s="5" t="s">
        <v>254</v>
      </c>
      <c r="G470" s="5" t="s">
        <v>240</v>
      </c>
      <c r="H470" s="6" t="s">
        <v>1261</v>
      </c>
      <c r="I470" s="5" t="s">
        <v>722</v>
      </c>
      <c r="J470" s="8">
        <f>1324</f>
        <v>1324</v>
      </c>
      <c r="K470" s="5" t="s">
        <v>308</v>
      </c>
      <c r="L470" s="7">
        <f>14564</f>
        <v>14564</v>
      </c>
      <c r="M470" s="7">
        <f>14564</f>
        <v>14564</v>
      </c>
      <c r="N470" s="5" t="s">
        <v>242</v>
      </c>
      <c r="O470" s="5">
        <v>1</v>
      </c>
      <c r="P470" s="5" t="s">
        <v>294</v>
      </c>
      <c r="Q470" s="5" t="s">
        <v>266</v>
      </c>
      <c r="R470" s="5" t="s">
        <v>240</v>
      </c>
      <c r="S470" s="5" t="s">
        <v>240</v>
      </c>
      <c r="T470" s="5" t="s">
        <v>296</v>
      </c>
      <c r="U470" s="5" t="s">
        <v>244</v>
      </c>
      <c r="V470" s="5" t="s">
        <v>240</v>
      </c>
      <c r="Y470" s="5" t="s">
        <v>240</v>
      </c>
      <c r="Z470" s="6" t="s">
        <v>298</v>
      </c>
      <c r="AB470" s="6" t="s">
        <v>240</v>
      </c>
      <c r="AE470" s="6" t="s">
        <v>299</v>
      </c>
      <c r="AF470" s="5" t="s">
        <v>248</v>
      </c>
      <c r="AG470" s="5" t="s">
        <v>249</v>
      </c>
      <c r="AW470" s="5" t="s">
        <v>251</v>
      </c>
      <c r="AX470" s="5" t="s">
        <v>240</v>
      </c>
      <c r="AY470" s="5" t="s">
        <v>253</v>
      </c>
      <c r="AZ470" s="5" t="s">
        <v>240</v>
      </c>
      <c r="BA470" s="5" t="s">
        <v>255</v>
      </c>
      <c r="BB470" s="5" t="s">
        <v>240</v>
      </c>
      <c r="BD470" s="5" t="s">
        <v>240</v>
      </c>
      <c r="BF470" s="5" t="s">
        <v>301</v>
      </c>
      <c r="BG470" s="6" t="s">
        <v>299</v>
      </c>
      <c r="BH470" s="5" t="s">
        <v>302</v>
      </c>
      <c r="BI470" s="5" t="s">
        <v>303</v>
      </c>
      <c r="BJ470" s="5" t="s">
        <v>240</v>
      </c>
      <c r="BK470" s="8">
        <f>0</f>
        <v>0</v>
      </c>
      <c r="BL470" s="7">
        <f>0</f>
        <v>0</v>
      </c>
      <c r="BM470" s="5" t="s">
        <v>258</v>
      </c>
      <c r="BN470" s="5" t="s">
        <v>259</v>
      </c>
      <c r="CB470" s="5" t="s">
        <v>240</v>
      </c>
      <c r="CC470" s="5" t="s">
        <v>240</v>
      </c>
      <c r="CG470" s="5" t="s">
        <v>304</v>
      </c>
      <c r="CH470" s="5" t="s">
        <v>305</v>
      </c>
      <c r="CI470" s="5" t="s">
        <v>240</v>
      </c>
      <c r="CL470" s="6" t="s">
        <v>261</v>
      </c>
      <c r="CM470" s="5" t="s">
        <v>240</v>
      </c>
      <c r="CN470" s="5" t="s">
        <v>263</v>
      </c>
      <c r="CO470" s="5" t="s">
        <v>240</v>
      </c>
      <c r="CP470" s="5" t="s">
        <v>240</v>
      </c>
      <c r="CQ470" s="5">
        <v>0</v>
      </c>
      <c r="CR470" s="5" t="s">
        <v>306</v>
      </c>
      <c r="CS470" s="5" t="s">
        <v>307</v>
      </c>
      <c r="CT470" s="5" t="s">
        <v>307</v>
      </c>
      <c r="CU470" s="5" t="s">
        <v>260</v>
      </c>
      <c r="CX470" s="7">
        <f>1</f>
        <v>1</v>
      </c>
      <c r="CY470" s="7">
        <f>0</f>
        <v>0</v>
      </c>
      <c r="DA470" s="7">
        <f>0</f>
        <v>0</v>
      </c>
      <c r="DC470" s="5" t="s">
        <v>812</v>
      </c>
      <c r="DD470" s="5" t="s">
        <v>240</v>
      </c>
      <c r="DF470" s="5" t="s">
        <v>812</v>
      </c>
      <c r="DG470" s="7">
        <f>2142</f>
        <v>2142</v>
      </c>
      <c r="DI470" s="5" t="s">
        <v>240</v>
      </c>
      <c r="DJ470" s="5" t="s">
        <v>240</v>
      </c>
      <c r="DK470" s="5" t="s">
        <v>240</v>
      </c>
      <c r="DL470" s="5" t="s">
        <v>240</v>
      </c>
      <c r="DP470" s="5" t="s">
        <v>240</v>
      </c>
      <c r="DQ470" s="5" t="s">
        <v>240</v>
      </c>
      <c r="DR470" s="5" t="s">
        <v>240</v>
      </c>
      <c r="DS470" s="5" t="s">
        <v>240</v>
      </c>
      <c r="DV470" s="5" t="s">
        <v>813</v>
      </c>
      <c r="DW470" s="5" t="s">
        <v>1208</v>
      </c>
      <c r="HO470" s="5" t="s">
        <v>312</v>
      </c>
    </row>
    <row r="471" spans="1:223" x14ac:dyDescent="0.4">
      <c r="A471" s="5">
        <v>1333</v>
      </c>
      <c r="B471" s="5">
        <v>1</v>
      </c>
      <c r="C471" s="5">
        <v>1</v>
      </c>
      <c r="D471" s="5" t="s">
        <v>723</v>
      </c>
      <c r="E471" s="5" t="s">
        <v>725</v>
      </c>
      <c r="F471" s="5" t="s">
        <v>254</v>
      </c>
      <c r="G471" s="5" t="s">
        <v>240</v>
      </c>
      <c r="H471" s="6" t="s">
        <v>1259</v>
      </c>
      <c r="I471" s="5" t="s">
        <v>722</v>
      </c>
      <c r="J471" s="8">
        <f>1151</f>
        <v>1151</v>
      </c>
      <c r="K471" s="5" t="s">
        <v>308</v>
      </c>
      <c r="L471" s="7">
        <f>12661</f>
        <v>12661</v>
      </c>
      <c r="M471" s="7">
        <f>12661</f>
        <v>12661</v>
      </c>
      <c r="N471" s="5" t="s">
        <v>242</v>
      </c>
      <c r="O471" s="5">
        <v>1</v>
      </c>
      <c r="P471" s="5" t="s">
        <v>294</v>
      </c>
      <c r="Q471" s="5" t="s">
        <v>613</v>
      </c>
      <c r="R471" s="5" t="s">
        <v>240</v>
      </c>
      <c r="S471" s="5" t="s">
        <v>240</v>
      </c>
      <c r="T471" s="5" t="s">
        <v>243</v>
      </c>
      <c r="U471" s="5" t="s">
        <v>724</v>
      </c>
      <c r="V471" s="5" t="s">
        <v>240</v>
      </c>
      <c r="Y471" s="5" t="s">
        <v>240</v>
      </c>
      <c r="Z471" s="6" t="s">
        <v>298</v>
      </c>
      <c r="AB471" s="6" t="s">
        <v>240</v>
      </c>
      <c r="AE471" s="6" t="s">
        <v>299</v>
      </c>
      <c r="AF471" s="5" t="s">
        <v>248</v>
      </c>
      <c r="AG471" s="5" t="s">
        <v>249</v>
      </c>
      <c r="AW471" s="5" t="s">
        <v>251</v>
      </c>
      <c r="AX471" s="5" t="s">
        <v>240</v>
      </c>
      <c r="AY471" s="5" t="s">
        <v>253</v>
      </c>
      <c r="AZ471" s="5" t="s">
        <v>240</v>
      </c>
      <c r="BA471" s="5" t="s">
        <v>255</v>
      </c>
      <c r="BB471" s="5" t="s">
        <v>240</v>
      </c>
      <c r="BD471" s="5" t="s">
        <v>240</v>
      </c>
      <c r="BF471" s="5" t="s">
        <v>301</v>
      </c>
      <c r="BG471" s="6" t="s">
        <v>299</v>
      </c>
      <c r="BH471" s="5" t="s">
        <v>302</v>
      </c>
      <c r="BI471" s="5" t="s">
        <v>303</v>
      </c>
      <c r="BJ471" s="5" t="s">
        <v>240</v>
      </c>
      <c r="BK471" s="8">
        <f>0</f>
        <v>0</v>
      </c>
      <c r="BL471" s="7">
        <f>0</f>
        <v>0</v>
      </c>
      <c r="BM471" s="5" t="s">
        <v>258</v>
      </c>
      <c r="BN471" s="5" t="s">
        <v>259</v>
      </c>
      <c r="CB471" s="5" t="s">
        <v>240</v>
      </c>
      <c r="CC471" s="5" t="s">
        <v>240</v>
      </c>
      <c r="CG471" s="5" t="s">
        <v>617</v>
      </c>
      <c r="CH471" s="5" t="s">
        <v>305</v>
      </c>
      <c r="CI471" s="5" t="s">
        <v>240</v>
      </c>
      <c r="CL471" s="6" t="s">
        <v>261</v>
      </c>
      <c r="CM471" s="5" t="s">
        <v>240</v>
      </c>
      <c r="CN471" s="5" t="s">
        <v>263</v>
      </c>
      <c r="CO471" s="5" t="s">
        <v>240</v>
      </c>
      <c r="CP471" s="5" t="s">
        <v>240</v>
      </c>
      <c r="CQ471" s="5">
        <v>0</v>
      </c>
      <c r="CR471" s="5" t="s">
        <v>306</v>
      </c>
      <c r="CS471" s="5" t="s">
        <v>307</v>
      </c>
      <c r="CT471" s="5" t="s">
        <v>307</v>
      </c>
      <c r="CU471" s="5" t="s">
        <v>260</v>
      </c>
      <c r="CX471" s="7">
        <f>14058</f>
        <v>14058</v>
      </c>
      <c r="CY471" s="7">
        <f>0</f>
        <v>0</v>
      </c>
      <c r="DA471" s="7">
        <f>0</f>
        <v>0</v>
      </c>
      <c r="DC471" s="5" t="s">
        <v>854</v>
      </c>
      <c r="DD471" s="5" t="s">
        <v>240</v>
      </c>
      <c r="DF471" s="5" t="s">
        <v>450</v>
      </c>
      <c r="DG471" s="7">
        <f>0</f>
        <v>0</v>
      </c>
      <c r="DI471" s="5" t="s">
        <v>737</v>
      </c>
      <c r="DJ471" s="5" t="s">
        <v>240</v>
      </c>
      <c r="DK471" s="5" t="s">
        <v>240</v>
      </c>
      <c r="DL471" s="5" t="s">
        <v>240</v>
      </c>
      <c r="DP471" s="5" t="s">
        <v>240</v>
      </c>
      <c r="DQ471" s="5" t="s">
        <v>240</v>
      </c>
      <c r="DR471" s="5" t="s">
        <v>240</v>
      </c>
      <c r="DS471" s="5" t="s">
        <v>240</v>
      </c>
      <c r="DV471" s="5" t="s">
        <v>957</v>
      </c>
      <c r="DW471" s="5" t="s">
        <v>1210</v>
      </c>
      <c r="HO471" s="5" t="s">
        <v>312</v>
      </c>
    </row>
    <row r="472" spans="1:223" x14ac:dyDescent="0.4">
      <c r="A472" s="5">
        <v>1334</v>
      </c>
      <c r="B472" s="5">
        <v>1</v>
      </c>
      <c r="C472" s="5">
        <v>1</v>
      </c>
      <c r="D472" s="5" t="s">
        <v>723</v>
      </c>
      <c r="E472" s="5" t="s">
        <v>725</v>
      </c>
      <c r="F472" s="5" t="s">
        <v>254</v>
      </c>
      <c r="G472" s="5" t="s">
        <v>240</v>
      </c>
      <c r="H472" s="6" t="s">
        <v>1258</v>
      </c>
      <c r="I472" s="5" t="s">
        <v>722</v>
      </c>
      <c r="J472" s="8">
        <f>216</f>
        <v>216</v>
      </c>
      <c r="K472" s="5" t="s">
        <v>308</v>
      </c>
      <c r="L472" s="7">
        <f>2376</f>
        <v>2376</v>
      </c>
      <c r="M472" s="7">
        <f>2376</f>
        <v>2376</v>
      </c>
      <c r="N472" s="5" t="s">
        <v>242</v>
      </c>
      <c r="O472" s="5">
        <v>1</v>
      </c>
      <c r="P472" s="5" t="s">
        <v>294</v>
      </c>
      <c r="Q472" s="5" t="s">
        <v>613</v>
      </c>
      <c r="R472" s="5" t="s">
        <v>240</v>
      </c>
      <c r="S472" s="5" t="s">
        <v>240</v>
      </c>
      <c r="T472" s="5" t="s">
        <v>243</v>
      </c>
      <c r="U472" s="5" t="s">
        <v>724</v>
      </c>
      <c r="V472" s="5" t="s">
        <v>240</v>
      </c>
      <c r="Y472" s="5" t="s">
        <v>240</v>
      </c>
      <c r="Z472" s="6" t="s">
        <v>298</v>
      </c>
      <c r="AB472" s="6" t="s">
        <v>240</v>
      </c>
      <c r="AE472" s="6" t="s">
        <v>299</v>
      </c>
      <c r="AF472" s="5" t="s">
        <v>248</v>
      </c>
      <c r="AG472" s="5" t="s">
        <v>249</v>
      </c>
      <c r="AW472" s="5" t="s">
        <v>251</v>
      </c>
      <c r="AX472" s="5" t="s">
        <v>240</v>
      </c>
      <c r="AY472" s="5" t="s">
        <v>253</v>
      </c>
      <c r="AZ472" s="5" t="s">
        <v>240</v>
      </c>
      <c r="BA472" s="5" t="s">
        <v>255</v>
      </c>
      <c r="BB472" s="5" t="s">
        <v>240</v>
      </c>
      <c r="BD472" s="5" t="s">
        <v>240</v>
      </c>
      <c r="BF472" s="5" t="s">
        <v>301</v>
      </c>
      <c r="BG472" s="6" t="s">
        <v>299</v>
      </c>
      <c r="BH472" s="5" t="s">
        <v>302</v>
      </c>
      <c r="BI472" s="5" t="s">
        <v>303</v>
      </c>
      <c r="BJ472" s="5" t="s">
        <v>240</v>
      </c>
      <c r="BK472" s="8">
        <f>0</f>
        <v>0</v>
      </c>
      <c r="BL472" s="7">
        <f>0</f>
        <v>0</v>
      </c>
      <c r="BM472" s="5" t="s">
        <v>258</v>
      </c>
      <c r="BN472" s="5" t="s">
        <v>259</v>
      </c>
      <c r="CB472" s="5" t="s">
        <v>240</v>
      </c>
      <c r="CC472" s="5" t="s">
        <v>240</v>
      </c>
      <c r="CG472" s="5" t="s">
        <v>617</v>
      </c>
      <c r="CH472" s="5" t="s">
        <v>305</v>
      </c>
      <c r="CI472" s="5" t="s">
        <v>240</v>
      </c>
      <c r="CL472" s="6" t="s">
        <v>261</v>
      </c>
      <c r="CM472" s="5" t="s">
        <v>240</v>
      </c>
      <c r="CN472" s="5" t="s">
        <v>263</v>
      </c>
      <c r="CO472" s="5" t="s">
        <v>240</v>
      </c>
      <c r="CP472" s="5" t="s">
        <v>240</v>
      </c>
      <c r="CQ472" s="5">
        <v>0</v>
      </c>
      <c r="CR472" s="5" t="s">
        <v>306</v>
      </c>
      <c r="CS472" s="5" t="s">
        <v>307</v>
      </c>
      <c r="CT472" s="5" t="s">
        <v>307</v>
      </c>
      <c r="CU472" s="5" t="s">
        <v>260</v>
      </c>
      <c r="CX472" s="7">
        <f>43934</f>
        <v>43934</v>
      </c>
      <c r="CY472" s="7">
        <f>0</f>
        <v>0</v>
      </c>
      <c r="DA472" s="7">
        <f>0</f>
        <v>0</v>
      </c>
      <c r="DC472" s="5" t="s">
        <v>854</v>
      </c>
      <c r="DD472" s="5" t="s">
        <v>240</v>
      </c>
      <c r="DF472" s="5" t="s">
        <v>450</v>
      </c>
      <c r="DG472" s="7">
        <f>0</f>
        <v>0</v>
      </c>
      <c r="DI472" s="5" t="s">
        <v>737</v>
      </c>
      <c r="DJ472" s="5" t="s">
        <v>240</v>
      </c>
      <c r="DK472" s="5" t="s">
        <v>240</v>
      </c>
      <c r="DL472" s="5" t="s">
        <v>240</v>
      </c>
      <c r="DP472" s="5" t="s">
        <v>240</v>
      </c>
      <c r="DQ472" s="5" t="s">
        <v>240</v>
      </c>
      <c r="DR472" s="5" t="s">
        <v>240</v>
      </c>
      <c r="DS472" s="5" t="s">
        <v>240</v>
      </c>
      <c r="DV472" s="5" t="s">
        <v>957</v>
      </c>
      <c r="DW472" s="5" t="s">
        <v>1212</v>
      </c>
      <c r="HO472" s="5" t="s">
        <v>312</v>
      </c>
    </row>
    <row r="473" spans="1:223" x14ac:dyDescent="0.4">
      <c r="A473" s="5">
        <v>1335</v>
      </c>
      <c r="B473" s="5">
        <v>1</v>
      </c>
      <c r="C473" s="5">
        <v>1</v>
      </c>
      <c r="D473" s="5" t="s">
        <v>723</v>
      </c>
      <c r="E473" s="5" t="s">
        <v>725</v>
      </c>
      <c r="F473" s="5" t="s">
        <v>254</v>
      </c>
      <c r="G473" s="5" t="s">
        <v>240</v>
      </c>
      <c r="H473" s="6" t="s">
        <v>1257</v>
      </c>
      <c r="I473" s="5" t="s">
        <v>722</v>
      </c>
      <c r="J473" s="8">
        <f>1594</f>
        <v>1594</v>
      </c>
      <c r="K473" s="5" t="s">
        <v>308</v>
      </c>
      <c r="L473" s="7">
        <f>17534</f>
        <v>17534</v>
      </c>
      <c r="M473" s="7">
        <f>17534</f>
        <v>17534</v>
      </c>
      <c r="N473" s="5" t="s">
        <v>242</v>
      </c>
      <c r="O473" s="5">
        <v>1</v>
      </c>
      <c r="P473" s="5" t="s">
        <v>294</v>
      </c>
      <c r="Q473" s="5" t="s">
        <v>613</v>
      </c>
      <c r="R473" s="5" t="s">
        <v>240</v>
      </c>
      <c r="S473" s="5" t="s">
        <v>240</v>
      </c>
      <c r="T473" s="5" t="s">
        <v>243</v>
      </c>
      <c r="U473" s="5" t="s">
        <v>724</v>
      </c>
      <c r="V473" s="5" t="s">
        <v>240</v>
      </c>
      <c r="Y473" s="5" t="s">
        <v>240</v>
      </c>
      <c r="Z473" s="6" t="s">
        <v>298</v>
      </c>
      <c r="AB473" s="6" t="s">
        <v>240</v>
      </c>
      <c r="AE473" s="6" t="s">
        <v>299</v>
      </c>
      <c r="AF473" s="5" t="s">
        <v>248</v>
      </c>
      <c r="AG473" s="5" t="s">
        <v>249</v>
      </c>
      <c r="AW473" s="5" t="s">
        <v>251</v>
      </c>
      <c r="AX473" s="5" t="s">
        <v>240</v>
      </c>
      <c r="AY473" s="5" t="s">
        <v>253</v>
      </c>
      <c r="AZ473" s="5" t="s">
        <v>240</v>
      </c>
      <c r="BA473" s="5" t="s">
        <v>255</v>
      </c>
      <c r="BB473" s="5" t="s">
        <v>240</v>
      </c>
      <c r="BD473" s="5" t="s">
        <v>240</v>
      </c>
      <c r="BF473" s="5" t="s">
        <v>301</v>
      </c>
      <c r="BG473" s="6" t="s">
        <v>299</v>
      </c>
      <c r="BH473" s="5" t="s">
        <v>302</v>
      </c>
      <c r="BI473" s="5" t="s">
        <v>303</v>
      </c>
      <c r="BJ473" s="5" t="s">
        <v>240</v>
      </c>
      <c r="BK473" s="8">
        <f>0</f>
        <v>0</v>
      </c>
      <c r="BL473" s="7">
        <f>0</f>
        <v>0</v>
      </c>
      <c r="BM473" s="5" t="s">
        <v>258</v>
      </c>
      <c r="BN473" s="5" t="s">
        <v>259</v>
      </c>
      <c r="CB473" s="5" t="s">
        <v>240</v>
      </c>
      <c r="CC473" s="5" t="s">
        <v>240</v>
      </c>
      <c r="CG473" s="5" t="s">
        <v>617</v>
      </c>
      <c r="CH473" s="5" t="s">
        <v>305</v>
      </c>
      <c r="CI473" s="5" t="s">
        <v>240</v>
      </c>
      <c r="CL473" s="6" t="s">
        <v>261</v>
      </c>
      <c r="CM473" s="5" t="s">
        <v>240</v>
      </c>
      <c r="CN473" s="5" t="s">
        <v>263</v>
      </c>
      <c r="CO473" s="5" t="s">
        <v>240</v>
      </c>
      <c r="CP473" s="5" t="s">
        <v>240</v>
      </c>
      <c r="CQ473" s="5">
        <v>0</v>
      </c>
      <c r="CR473" s="5" t="s">
        <v>306</v>
      </c>
      <c r="CS473" s="5" t="s">
        <v>307</v>
      </c>
      <c r="CT473" s="5" t="s">
        <v>307</v>
      </c>
      <c r="CU473" s="5" t="s">
        <v>260</v>
      </c>
      <c r="CX473" s="7">
        <f>47421</f>
        <v>47421</v>
      </c>
      <c r="CY473" s="7">
        <f>0</f>
        <v>0</v>
      </c>
      <c r="DA473" s="7">
        <f>0</f>
        <v>0</v>
      </c>
      <c r="DC473" s="5" t="s">
        <v>854</v>
      </c>
      <c r="DD473" s="5" t="s">
        <v>240</v>
      </c>
      <c r="DF473" s="5" t="s">
        <v>450</v>
      </c>
      <c r="DG473" s="7">
        <f>0</f>
        <v>0</v>
      </c>
      <c r="DI473" s="5" t="s">
        <v>737</v>
      </c>
      <c r="DJ473" s="5" t="s">
        <v>240</v>
      </c>
      <c r="DK473" s="5" t="s">
        <v>240</v>
      </c>
      <c r="DL473" s="5" t="s">
        <v>240</v>
      </c>
      <c r="DP473" s="5" t="s">
        <v>240</v>
      </c>
      <c r="DQ473" s="5" t="s">
        <v>240</v>
      </c>
      <c r="DR473" s="5" t="s">
        <v>240</v>
      </c>
      <c r="DS473" s="5" t="s">
        <v>240</v>
      </c>
      <c r="DV473" s="5" t="s">
        <v>957</v>
      </c>
      <c r="DW473" s="5" t="s">
        <v>1214</v>
      </c>
      <c r="HO473" s="5" t="s">
        <v>312</v>
      </c>
    </row>
    <row r="474" spans="1:223" x14ac:dyDescent="0.4">
      <c r="A474" s="5">
        <v>1336</v>
      </c>
      <c r="B474" s="5">
        <v>1</v>
      </c>
      <c r="C474" s="5">
        <v>1</v>
      </c>
      <c r="D474" s="5" t="s">
        <v>723</v>
      </c>
      <c r="E474" s="5" t="s">
        <v>725</v>
      </c>
      <c r="F474" s="5" t="s">
        <v>254</v>
      </c>
      <c r="G474" s="5" t="s">
        <v>240</v>
      </c>
      <c r="H474" s="6" t="s">
        <v>1256</v>
      </c>
      <c r="I474" s="5" t="s">
        <v>722</v>
      </c>
      <c r="J474" s="8">
        <f>97</f>
        <v>97</v>
      </c>
      <c r="K474" s="5" t="s">
        <v>308</v>
      </c>
      <c r="L474" s="7">
        <f>1067</f>
        <v>1067</v>
      </c>
      <c r="M474" s="7">
        <f>1067</f>
        <v>1067</v>
      </c>
      <c r="N474" s="5" t="s">
        <v>242</v>
      </c>
      <c r="O474" s="5">
        <v>1</v>
      </c>
      <c r="P474" s="5" t="s">
        <v>294</v>
      </c>
      <c r="Q474" s="5" t="s">
        <v>613</v>
      </c>
      <c r="R474" s="5" t="s">
        <v>240</v>
      </c>
      <c r="S474" s="5" t="s">
        <v>240</v>
      </c>
      <c r="T474" s="5" t="s">
        <v>243</v>
      </c>
      <c r="U474" s="5" t="s">
        <v>724</v>
      </c>
      <c r="V474" s="5" t="s">
        <v>240</v>
      </c>
      <c r="Y474" s="5" t="s">
        <v>240</v>
      </c>
      <c r="Z474" s="6" t="s">
        <v>298</v>
      </c>
      <c r="AB474" s="6" t="s">
        <v>240</v>
      </c>
      <c r="AE474" s="6" t="s">
        <v>299</v>
      </c>
      <c r="AF474" s="5" t="s">
        <v>248</v>
      </c>
      <c r="AG474" s="5" t="s">
        <v>249</v>
      </c>
      <c r="AW474" s="5" t="s">
        <v>251</v>
      </c>
      <c r="AX474" s="5" t="s">
        <v>240</v>
      </c>
      <c r="AY474" s="5" t="s">
        <v>253</v>
      </c>
      <c r="AZ474" s="5" t="s">
        <v>240</v>
      </c>
      <c r="BA474" s="5" t="s">
        <v>255</v>
      </c>
      <c r="BB474" s="5" t="s">
        <v>240</v>
      </c>
      <c r="BD474" s="5" t="s">
        <v>240</v>
      </c>
      <c r="BF474" s="5" t="s">
        <v>301</v>
      </c>
      <c r="BG474" s="6" t="s">
        <v>299</v>
      </c>
      <c r="BH474" s="5" t="s">
        <v>302</v>
      </c>
      <c r="BI474" s="5" t="s">
        <v>303</v>
      </c>
      <c r="BJ474" s="5" t="s">
        <v>240</v>
      </c>
      <c r="BK474" s="8">
        <f>0</f>
        <v>0</v>
      </c>
      <c r="BL474" s="7">
        <f>0</f>
        <v>0</v>
      </c>
      <c r="BM474" s="5" t="s">
        <v>258</v>
      </c>
      <c r="BN474" s="5" t="s">
        <v>259</v>
      </c>
      <c r="CB474" s="5" t="s">
        <v>240</v>
      </c>
      <c r="CC474" s="5" t="s">
        <v>240</v>
      </c>
      <c r="CG474" s="5" t="s">
        <v>617</v>
      </c>
      <c r="CH474" s="5" t="s">
        <v>305</v>
      </c>
      <c r="CI474" s="5" t="s">
        <v>240</v>
      </c>
      <c r="CL474" s="6" t="s">
        <v>261</v>
      </c>
      <c r="CM474" s="5" t="s">
        <v>240</v>
      </c>
      <c r="CN474" s="5" t="s">
        <v>263</v>
      </c>
      <c r="CO474" s="5" t="s">
        <v>240</v>
      </c>
      <c r="CP474" s="5" t="s">
        <v>240</v>
      </c>
      <c r="CQ474" s="5">
        <v>0</v>
      </c>
      <c r="CR474" s="5" t="s">
        <v>306</v>
      </c>
      <c r="CS474" s="5" t="s">
        <v>307</v>
      </c>
      <c r="CT474" s="5" t="s">
        <v>307</v>
      </c>
      <c r="CU474" s="5" t="s">
        <v>260</v>
      </c>
      <c r="CX474" s="7">
        <f>6754</f>
        <v>6754</v>
      </c>
      <c r="CY474" s="7">
        <f>0</f>
        <v>0</v>
      </c>
      <c r="DA474" s="7">
        <f>0</f>
        <v>0</v>
      </c>
      <c r="DC474" s="5" t="s">
        <v>854</v>
      </c>
      <c r="DD474" s="5" t="s">
        <v>240</v>
      </c>
      <c r="DF474" s="5" t="s">
        <v>450</v>
      </c>
      <c r="DG474" s="7">
        <f>0</f>
        <v>0</v>
      </c>
      <c r="DI474" s="5" t="s">
        <v>737</v>
      </c>
      <c r="DJ474" s="5" t="s">
        <v>240</v>
      </c>
      <c r="DK474" s="5" t="s">
        <v>240</v>
      </c>
      <c r="DL474" s="5" t="s">
        <v>240</v>
      </c>
      <c r="DP474" s="5" t="s">
        <v>240</v>
      </c>
      <c r="DQ474" s="5" t="s">
        <v>240</v>
      </c>
      <c r="DR474" s="5" t="s">
        <v>240</v>
      </c>
      <c r="DS474" s="5" t="s">
        <v>240</v>
      </c>
      <c r="DV474" s="5" t="s">
        <v>957</v>
      </c>
      <c r="DW474" s="5" t="s">
        <v>1216</v>
      </c>
      <c r="HO474" s="5" t="s">
        <v>312</v>
      </c>
    </row>
    <row r="475" spans="1:223" x14ac:dyDescent="0.4">
      <c r="A475" s="5">
        <v>1337</v>
      </c>
      <c r="B475" s="5">
        <v>1</v>
      </c>
      <c r="C475" s="5">
        <v>1</v>
      </c>
      <c r="D475" s="5" t="s">
        <v>723</v>
      </c>
      <c r="E475" s="5" t="s">
        <v>725</v>
      </c>
      <c r="F475" s="5" t="s">
        <v>254</v>
      </c>
      <c r="G475" s="5" t="s">
        <v>240</v>
      </c>
      <c r="H475" s="6" t="s">
        <v>1255</v>
      </c>
      <c r="I475" s="5" t="s">
        <v>722</v>
      </c>
      <c r="J475" s="8">
        <f>544</f>
        <v>544</v>
      </c>
      <c r="K475" s="5" t="s">
        <v>308</v>
      </c>
      <c r="L475" s="7">
        <f>5984</f>
        <v>5984</v>
      </c>
      <c r="M475" s="7">
        <f>5984</f>
        <v>5984</v>
      </c>
      <c r="N475" s="5" t="s">
        <v>242</v>
      </c>
      <c r="O475" s="5">
        <v>1</v>
      </c>
      <c r="P475" s="5" t="s">
        <v>294</v>
      </c>
      <c r="Q475" s="5" t="s">
        <v>613</v>
      </c>
      <c r="R475" s="5" t="s">
        <v>240</v>
      </c>
      <c r="S475" s="5" t="s">
        <v>240</v>
      </c>
      <c r="T475" s="5" t="s">
        <v>243</v>
      </c>
      <c r="U475" s="5" t="s">
        <v>724</v>
      </c>
      <c r="V475" s="5" t="s">
        <v>240</v>
      </c>
      <c r="Y475" s="5" t="s">
        <v>240</v>
      </c>
      <c r="Z475" s="6" t="s">
        <v>298</v>
      </c>
      <c r="AB475" s="6" t="s">
        <v>240</v>
      </c>
      <c r="AE475" s="6" t="s">
        <v>299</v>
      </c>
      <c r="AF475" s="5" t="s">
        <v>248</v>
      </c>
      <c r="AG475" s="5" t="s">
        <v>249</v>
      </c>
      <c r="AW475" s="5" t="s">
        <v>251</v>
      </c>
      <c r="AX475" s="5" t="s">
        <v>240</v>
      </c>
      <c r="AY475" s="5" t="s">
        <v>253</v>
      </c>
      <c r="AZ475" s="5" t="s">
        <v>240</v>
      </c>
      <c r="BA475" s="5" t="s">
        <v>255</v>
      </c>
      <c r="BB475" s="5" t="s">
        <v>240</v>
      </c>
      <c r="BD475" s="5" t="s">
        <v>240</v>
      </c>
      <c r="BF475" s="5" t="s">
        <v>301</v>
      </c>
      <c r="BG475" s="6" t="s">
        <v>299</v>
      </c>
      <c r="BH475" s="5" t="s">
        <v>302</v>
      </c>
      <c r="BI475" s="5" t="s">
        <v>303</v>
      </c>
      <c r="BJ475" s="5" t="s">
        <v>240</v>
      </c>
      <c r="BK475" s="8">
        <f>0</f>
        <v>0</v>
      </c>
      <c r="BL475" s="7">
        <f>0</f>
        <v>0</v>
      </c>
      <c r="BM475" s="5" t="s">
        <v>258</v>
      </c>
      <c r="BN475" s="5" t="s">
        <v>259</v>
      </c>
      <c r="CB475" s="5" t="s">
        <v>240</v>
      </c>
      <c r="CC475" s="5" t="s">
        <v>240</v>
      </c>
      <c r="CG475" s="5" t="s">
        <v>617</v>
      </c>
      <c r="CH475" s="5" t="s">
        <v>305</v>
      </c>
      <c r="CI475" s="5" t="s">
        <v>240</v>
      </c>
      <c r="CL475" s="6" t="s">
        <v>261</v>
      </c>
      <c r="CM475" s="5" t="s">
        <v>240</v>
      </c>
      <c r="CN475" s="5" t="s">
        <v>263</v>
      </c>
      <c r="CO475" s="5" t="s">
        <v>240</v>
      </c>
      <c r="CP475" s="5" t="s">
        <v>240</v>
      </c>
      <c r="CQ475" s="5">
        <v>0</v>
      </c>
      <c r="CR475" s="5" t="s">
        <v>306</v>
      </c>
      <c r="CS475" s="5" t="s">
        <v>307</v>
      </c>
      <c r="CT475" s="5" t="s">
        <v>307</v>
      </c>
      <c r="CU475" s="5" t="s">
        <v>260</v>
      </c>
      <c r="CX475" s="7">
        <f>6820</f>
        <v>6820</v>
      </c>
      <c r="CY475" s="7">
        <f>0</f>
        <v>0</v>
      </c>
      <c r="DA475" s="7">
        <f>0</f>
        <v>0</v>
      </c>
      <c r="DC475" s="5" t="s">
        <v>854</v>
      </c>
      <c r="DD475" s="5" t="s">
        <v>240</v>
      </c>
      <c r="DF475" s="5" t="s">
        <v>450</v>
      </c>
      <c r="DG475" s="7">
        <f>0</f>
        <v>0</v>
      </c>
      <c r="DI475" s="5" t="s">
        <v>737</v>
      </c>
      <c r="DJ475" s="5" t="s">
        <v>240</v>
      </c>
      <c r="DK475" s="5" t="s">
        <v>240</v>
      </c>
      <c r="DL475" s="5" t="s">
        <v>240</v>
      </c>
      <c r="DP475" s="5" t="s">
        <v>240</v>
      </c>
      <c r="DQ475" s="5" t="s">
        <v>240</v>
      </c>
      <c r="DR475" s="5" t="s">
        <v>240</v>
      </c>
      <c r="DS475" s="5" t="s">
        <v>240</v>
      </c>
      <c r="DV475" s="5" t="s">
        <v>957</v>
      </c>
      <c r="DW475" s="5" t="s">
        <v>265</v>
      </c>
      <c r="HO475" s="5" t="s">
        <v>312</v>
      </c>
    </row>
    <row r="476" spans="1:223" x14ac:dyDescent="0.4">
      <c r="A476" s="5">
        <v>1338</v>
      </c>
      <c r="B476" s="5">
        <v>1</v>
      </c>
      <c r="C476" s="5">
        <v>1</v>
      </c>
      <c r="D476" s="5" t="s">
        <v>723</v>
      </c>
      <c r="E476" s="5" t="s">
        <v>725</v>
      </c>
      <c r="F476" s="5" t="s">
        <v>254</v>
      </c>
      <c r="G476" s="5" t="s">
        <v>240</v>
      </c>
      <c r="H476" s="6" t="s">
        <v>1254</v>
      </c>
      <c r="I476" s="5" t="s">
        <v>722</v>
      </c>
      <c r="J476" s="8">
        <f>606</f>
        <v>606</v>
      </c>
      <c r="K476" s="5" t="s">
        <v>308</v>
      </c>
      <c r="L476" s="7">
        <f>6666</f>
        <v>6666</v>
      </c>
      <c r="M476" s="7">
        <f>6666</f>
        <v>6666</v>
      </c>
      <c r="N476" s="5" t="s">
        <v>242</v>
      </c>
      <c r="O476" s="5">
        <v>1</v>
      </c>
      <c r="P476" s="5" t="s">
        <v>294</v>
      </c>
      <c r="Q476" s="5" t="s">
        <v>613</v>
      </c>
      <c r="R476" s="5" t="s">
        <v>240</v>
      </c>
      <c r="S476" s="5" t="s">
        <v>240</v>
      </c>
      <c r="T476" s="5" t="s">
        <v>243</v>
      </c>
      <c r="U476" s="5" t="s">
        <v>724</v>
      </c>
      <c r="V476" s="5" t="s">
        <v>240</v>
      </c>
      <c r="Y476" s="5" t="s">
        <v>240</v>
      </c>
      <c r="Z476" s="6" t="s">
        <v>298</v>
      </c>
      <c r="AB476" s="6" t="s">
        <v>240</v>
      </c>
      <c r="AE476" s="6" t="s">
        <v>299</v>
      </c>
      <c r="AF476" s="5" t="s">
        <v>248</v>
      </c>
      <c r="AG476" s="5" t="s">
        <v>249</v>
      </c>
      <c r="AW476" s="5" t="s">
        <v>251</v>
      </c>
      <c r="AX476" s="5" t="s">
        <v>240</v>
      </c>
      <c r="AY476" s="5" t="s">
        <v>253</v>
      </c>
      <c r="AZ476" s="5" t="s">
        <v>240</v>
      </c>
      <c r="BA476" s="5" t="s">
        <v>255</v>
      </c>
      <c r="BB476" s="5" t="s">
        <v>240</v>
      </c>
      <c r="BD476" s="5" t="s">
        <v>240</v>
      </c>
      <c r="BF476" s="5" t="s">
        <v>301</v>
      </c>
      <c r="BG476" s="6" t="s">
        <v>299</v>
      </c>
      <c r="BH476" s="5" t="s">
        <v>302</v>
      </c>
      <c r="BI476" s="5" t="s">
        <v>303</v>
      </c>
      <c r="BJ476" s="5" t="s">
        <v>240</v>
      </c>
      <c r="BK476" s="8">
        <f>0</f>
        <v>0</v>
      </c>
      <c r="BL476" s="7">
        <f>0</f>
        <v>0</v>
      </c>
      <c r="BM476" s="5" t="s">
        <v>258</v>
      </c>
      <c r="BN476" s="5" t="s">
        <v>259</v>
      </c>
      <c r="CB476" s="5" t="s">
        <v>240</v>
      </c>
      <c r="CC476" s="5" t="s">
        <v>240</v>
      </c>
      <c r="CG476" s="5" t="s">
        <v>617</v>
      </c>
      <c r="CH476" s="5" t="s">
        <v>305</v>
      </c>
      <c r="CI476" s="5" t="s">
        <v>240</v>
      </c>
      <c r="CL476" s="6" t="s">
        <v>261</v>
      </c>
      <c r="CM476" s="5" t="s">
        <v>240</v>
      </c>
      <c r="CN476" s="5" t="s">
        <v>263</v>
      </c>
      <c r="CO476" s="5" t="s">
        <v>240</v>
      </c>
      <c r="CP476" s="5" t="s">
        <v>240</v>
      </c>
      <c r="CQ476" s="5">
        <v>0</v>
      </c>
      <c r="CR476" s="5" t="s">
        <v>306</v>
      </c>
      <c r="CS476" s="5" t="s">
        <v>307</v>
      </c>
      <c r="CT476" s="5" t="s">
        <v>307</v>
      </c>
      <c r="CU476" s="5" t="s">
        <v>260</v>
      </c>
      <c r="CX476" s="7">
        <f>7469</f>
        <v>7469</v>
      </c>
      <c r="CY476" s="7">
        <f>0</f>
        <v>0</v>
      </c>
      <c r="DA476" s="7">
        <f>0</f>
        <v>0</v>
      </c>
      <c r="DC476" s="5" t="s">
        <v>854</v>
      </c>
      <c r="DD476" s="5" t="s">
        <v>240</v>
      </c>
      <c r="DF476" s="5" t="s">
        <v>450</v>
      </c>
      <c r="DG476" s="7">
        <f>0</f>
        <v>0</v>
      </c>
      <c r="DI476" s="5" t="s">
        <v>737</v>
      </c>
      <c r="DJ476" s="5" t="s">
        <v>240</v>
      </c>
      <c r="DK476" s="5" t="s">
        <v>240</v>
      </c>
      <c r="DL476" s="5" t="s">
        <v>240</v>
      </c>
      <c r="DP476" s="5" t="s">
        <v>240</v>
      </c>
      <c r="DQ476" s="5" t="s">
        <v>240</v>
      </c>
      <c r="DR476" s="5" t="s">
        <v>240</v>
      </c>
      <c r="DS476" s="5" t="s">
        <v>240</v>
      </c>
      <c r="DV476" s="5" t="s">
        <v>957</v>
      </c>
      <c r="DW476" s="5" t="s">
        <v>1219</v>
      </c>
      <c r="HO476" s="5" t="s">
        <v>312</v>
      </c>
    </row>
    <row r="477" spans="1:223" x14ac:dyDescent="0.4">
      <c r="A477" s="5">
        <v>1339</v>
      </c>
      <c r="B477" s="5">
        <v>1</v>
      </c>
      <c r="C477" s="5">
        <v>1</v>
      </c>
      <c r="D477" s="5" t="s">
        <v>723</v>
      </c>
      <c r="E477" s="5" t="s">
        <v>725</v>
      </c>
      <c r="F477" s="5" t="s">
        <v>254</v>
      </c>
      <c r="G477" s="5" t="s">
        <v>240</v>
      </c>
      <c r="H477" s="6" t="s">
        <v>1253</v>
      </c>
      <c r="I477" s="5" t="s">
        <v>722</v>
      </c>
      <c r="J477" s="8">
        <f>5470</f>
        <v>5470</v>
      </c>
      <c r="K477" s="5" t="s">
        <v>308</v>
      </c>
      <c r="L477" s="7">
        <f>60170</f>
        <v>60170</v>
      </c>
      <c r="M477" s="7">
        <f>60170</f>
        <v>60170</v>
      </c>
      <c r="N477" s="5" t="s">
        <v>242</v>
      </c>
      <c r="O477" s="5">
        <v>1</v>
      </c>
      <c r="P477" s="5" t="s">
        <v>294</v>
      </c>
      <c r="Q477" s="5" t="s">
        <v>613</v>
      </c>
      <c r="R477" s="5" t="s">
        <v>240</v>
      </c>
      <c r="S477" s="5" t="s">
        <v>240</v>
      </c>
      <c r="T477" s="5" t="s">
        <v>243</v>
      </c>
      <c r="U477" s="5" t="s">
        <v>724</v>
      </c>
      <c r="V477" s="5" t="s">
        <v>240</v>
      </c>
      <c r="Y477" s="5" t="s">
        <v>240</v>
      </c>
      <c r="Z477" s="6" t="s">
        <v>298</v>
      </c>
      <c r="AB477" s="6" t="s">
        <v>240</v>
      </c>
      <c r="AE477" s="6" t="s">
        <v>299</v>
      </c>
      <c r="AF477" s="5" t="s">
        <v>248</v>
      </c>
      <c r="AG477" s="5" t="s">
        <v>249</v>
      </c>
      <c r="AW477" s="5" t="s">
        <v>251</v>
      </c>
      <c r="AX477" s="5" t="s">
        <v>240</v>
      </c>
      <c r="AY477" s="5" t="s">
        <v>253</v>
      </c>
      <c r="AZ477" s="5" t="s">
        <v>240</v>
      </c>
      <c r="BA477" s="5" t="s">
        <v>255</v>
      </c>
      <c r="BB477" s="5" t="s">
        <v>240</v>
      </c>
      <c r="BD477" s="5" t="s">
        <v>240</v>
      </c>
      <c r="BF477" s="5" t="s">
        <v>301</v>
      </c>
      <c r="BG477" s="6" t="s">
        <v>299</v>
      </c>
      <c r="BH477" s="5" t="s">
        <v>302</v>
      </c>
      <c r="BI477" s="5" t="s">
        <v>303</v>
      </c>
      <c r="BJ477" s="5" t="s">
        <v>240</v>
      </c>
      <c r="BK477" s="8">
        <f>0</f>
        <v>0</v>
      </c>
      <c r="BL477" s="7">
        <f>0</f>
        <v>0</v>
      </c>
      <c r="BM477" s="5" t="s">
        <v>258</v>
      </c>
      <c r="BN477" s="5" t="s">
        <v>259</v>
      </c>
      <c r="CB477" s="5" t="s">
        <v>240</v>
      </c>
      <c r="CC477" s="5" t="s">
        <v>240</v>
      </c>
      <c r="CG477" s="5" t="s">
        <v>617</v>
      </c>
      <c r="CH477" s="5" t="s">
        <v>305</v>
      </c>
      <c r="CI477" s="5" t="s">
        <v>240</v>
      </c>
      <c r="CL477" s="6" t="s">
        <v>261</v>
      </c>
      <c r="CM477" s="5" t="s">
        <v>240</v>
      </c>
      <c r="CN477" s="5" t="s">
        <v>263</v>
      </c>
      <c r="CO477" s="5" t="s">
        <v>240</v>
      </c>
      <c r="CP477" s="5" t="s">
        <v>240</v>
      </c>
      <c r="CQ477" s="5">
        <v>0</v>
      </c>
      <c r="CR477" s="5" t="s">
        <v>306</v>
      </c>
      <c r="CS477" s="5" t="s">
        <v>307</v>
      </c>
      <c r="CT477" s="5" t="s">
        <v>307</v>
      </c>
      <c r="CU477" s="5" t="s">
        <v>260</v>
      </c>
      <c r="CX477" s="7">
        <f>8987</f>
        <v>8987</v>
      </c>
      <c r="CY477" s="7">
        <f>0</f>
        <v>0</v>
      </c>
      <c r="DA477" s="7">
        <f>0</f>
        <v>0</v>
      </c>
      <c r="DC477" s="5" t="s">
        <v>854</v>
      </c>
      <c r="DD477" s="5" t="s">
        <v>240</v>
      </c>
      <c r="DF477" s="5" t="s">
        <v>450</v>
      </c>
      <c r="DG477" s="7">
        <f>0</f>
        <v>0</v>
      </c>
      <c r="DI477" s="5" t="s">
        <v>737</v>
      </c>
      <c r="DJ477" s="5" t="s">
        <v>240</v>
      </c>
      <c r="DK477" s="5" t="s">
        <v>240</v>
      </c>
      <c r="DL477" s="5" t="s">
        <v>240</v>
      </c>
      <c r="DP477" s="5" t="s">
        <v>240</v>
      </c>
      <c r="DQ477" s="5" t="s">
        <v>240</v>
      </c>
      <c r="DR477" s="5" t="s">
        <v>240</v>
      </c>
      <c r="DS477" s="5" t="s">
        <v>240</v>
      </c>
      <c r="DV477" s="5" t="s">
        <v>957</v>
      </c>
      <c r="DW477" s="5" t="s">
        <v>1221</v>
      </c>
      <c r="HO477" s="5" t="s">
        <v>312</v>
      </c>
    </row>
    <row r="478" spans="1:223" x14ac:dyDescent="0.4">
      <c r="A478" s="5">
        <v>1340</v>
      </c>
      <c r="B478" s="5">
        <v>1</v>
      </c>
      <c r="C478" s="5">
        <v>1</v>
      </c>
      <c r="D478" s="5" t="s">
        <v>723</v>
      </c>
      <c r="E478" s="5" t="s">
        <v>725</v>
      </c>
      <c r="F478" s="5" t="s">
        <v>254</v>
      </c>
      <c r="G478" s="5" t="s">
        <v>240</v>
      </c>
      <c r="H478" s="6" t="s">
        <v>4331</v>
      </c>
      <c r="I478" s="5" t="s">
        <v>722</v>
      </c>
      <c r="J478" s="8">
        <f>886</f>
        <v>886</v>
      </c>
      <c r="K478" s="5" t="s">
        <v>308</v>
      </c>
      <c r="L478" s="7">
        <f>9746</f>
        <v>9746</v>
      </c>
      <c r="M478" s="7">
        <f>9746</f>
        <v>9746</v>
      </c>
      <c r="N478" s="5" t="s">
        <v>242</v>
      </c>
      <c r="O478" s="5">
        <v>1</v>
      </c>
      <c r="P478" s="5" t="s">
        <v>294</v>
      </c>
      <c r="Q478" s="5" t="s">
        <v>613</v>
      </c>
      <c r="R478" s="5" t="s">
        <v>240</v>
      </c>
      <c r="S478" s="5" t="s">
        <v>240</v>
      </c>
      <c r="T478" s="5" t="s">
        <v>243</v>
      </c>
      <c r="U478" s="5" t="s">
        <v>724</v>
      </c>
      <c r="V478" s="5" t="s">
        <v>240</v>
      </c>
      <c r="Y478" s="5" t="s">
        <v>240</v>
      </c>
      <c r="Z478" s="6" t="s">
        <v>298</v>
      </c>
      <c r="AB478" s="6" t="s">
        <v>240</v>
      </c>
      <c r="AE478" s="6" t="s">
        <v>299</v>
      </c>
      <c r="AF478" s="5" t="s">
        <v>248</v>
      </c>
      <c r="AG478" s="5" t="s">
        <v>249</v>
      </c>
      <c r="AW478" s="5" t="s">
        <v>251</v>
      </c>
      <c r="AX478" s="5" t="s">
        <v>240</v>
      </c>
      <c r="AY478" s="5" t="s">
        <v>253</v>
      </c>
      <c r="AZ478" s="5" t="s">
        <v>240</v>
      </c>
      <c r="BA478" s="5" t="s">
        <v>255</v>
      </c>
      <c r="BB478" s="5" t="s">
        <v>240</v>
      </c>
      <c r="BD478" s="5" t="s">
        <v>240</v>
      </c>
      <c r="BF478" s="5" t="s">
        <v>301</v>
      </c>
      <c r="BG478" s="6" t="s">
        <v>299</v>
      </c>
      <c r="BH478" s="5" t="s">
        <v>302</v>
      </c>
      <c r="BI478" s="5" t="s">
        <v>303</v>
      </c>
      <c r="BJ478" s="5" t="s">
        <v>240</v>
      </c>
      <c r="BK478" s="8">
        <f>0</f>
        <v>0</v>
      </c>
      <c r="BL478" s="7">
        <f>0</f>
        <v>0</v>
      </c>
      <c r="BM478" s="5" t="s">
        <v>258</v>
      </c>
      <c r="BN478" s="5" t="s">
        <v>259</v>
      </c>
      <c r="CB478" s="5" t="s">
        <v>240</v>
      </c>
      <c r="CC478" s="5" t="s">
        <v>240</v>
      </c>
      <c r="CG478" s="5" t="s">
        <v>617</v>
      </c>
      <c r="CH478" s="5" t="s">
        <v>305</v>
      </c>
      <c r="CI478" s="5" t="s">
        <v>240</v>
      </c>
      <c r="CL478" s="6" t="s">
        <v>261</v>
      </c>
      <c r="CM478" s="5" t="s">
        <v>240</v>
      </c>
      <c r="CN478" s="5" t="s">
        <v>263</v>
      </c>
      <c r="CO478" s="5" t="s">
        <v>240</v>
      </c>
      <c r="CP478" s="5" t="s">
        <v>240</v>
      </c>
      <c r="CQ478" s="5">
        <v>0</v>
      </c>
      <c r="CR478" s="5" t="s">
        <v>306</v>
      </c>
      <c r="CS478" s="5" t="s">
        <v>307</v>
      </c>
      <c r="CT478" s="5" t="s">
        <v>307</v>
      </c>
      <c r="CU478" s="5" t="s">
        <v>260</v>
      </c>
      <c r="CX478" s="7">
        <f>68002</f>
        <v>68002</v>
      </c>
      <c r="CY478" s="7">
        <f>0</f>
        <v>0</v>
      </c>
      <c r="DA478" s="7">
        <f>0</f>
        <v>0</v>
      </c>
      <c r="DC478" s="5" t="s">
        <v>854</v>
      </c>
      <c r="DD478" s="5" t="s">
        <v>240</v>
      </c>
      <c r="DF478" s="5" t="s">
        <v>450</v>
      </c>
      <c r="DG478" s="7">
        <f>0</f>
        <v>0</v>
      </c>
      <c r="DI478" s="5" t="s">
        <v>737</v>
      </c>
      <c r="DJ478" s="5" t="s">
        <v>240</v>
      </c>
      <c r="DK478" s="5" t="s">
        <v>240</v>
      </c>
      <c r="DL478" s="5" t="s">
        <v>240</v>
      </c>
      <c r="DP478" s="5" t="s">
        <v>240</v>
      </c>
      <c r="DQ478" s="5" t="s">
        <v>240</v>
      </c>
      <c r="DR478" s="5" t="s">
        <v>240</v>
      </c>
      <c r="DS478" s="5" t="s">
        <v>240</v>
      </c>
      <c r="DV478" s="5" t="s">
        <v>957</v>
      </c>
      <c r="DW478" s="5" t="s">
        <v>1223</v>
      </c>
      <c r="HO478" s="5" t="s">
        <v>312</v>
      </c>
    </row>
    <row r="479" spans="1:223" x14ac:dyDescent="0.4">
      <c r="A479" s="5">
        <v>1341</v>
      </c>
      <c r="B479" s="5">
        <v>1</v>
      </c>
      <c r="C479" s="5">
        <v>1</v>
      </c>
      <c r="D479" s="5" t="s">
        <v>723</v>
      </c>
      <c r="E479" s="5" t="s">
        <v>725</v>
      </c>
      <c r="F479" s="5" t="s">
        <v>254</v>
      </c>
      <c r="G479" s="5" t="s">
        <v>240</v>
      </c>
      <c r="H479" s="6" t="s">
        <v>1250</v>
      </c>
      <c r="I479" s="5" t="s">
        <v>722</v>
      </c>
      <c r="J479" s="8">
        <f>383</f>
        <v>383</v>
      </c>
      <c r="K479" s="5" t="s">
        <v>308</v>
      </c>
      <c r="L479" s="7">
        <f>4213</f>
        <v>4213</v>
      </c>
      <c r="M479" s="7">
        <f>4213</f>
        <v>4213</v>
      </c>
      <c r="N479" s="5" t="s">
        <v>242</v>
      </c>
      <c r="O479" s="5">
        <v>1</v>
      </c>
      <c r="P479" s="5" t="s">
        <v>294</v>
      </c>
      <c r="Q479" s="5" t="s">
        <v>613</v>
      </c>
      <c r="R479" s="5" t="s">
        <v>240</v>
      </c>
      <c r="S479" s="5" t="s">
        <v>240</v>
      </c>
      <c r="T479" s="5" t="s">
        <v>243</v>
      </c>
      <c r="U479" s="5" t="s">
        <v>724</v>
      </c>
      <c r="V479" s="5" t="s">
        <v>240</v>
      </c>
      <c r="Y479" s="5" t="s">
        <v>240</v>
      </c>
      <c r="Z479" s="6" t="s">
        <v>298</v>
      </c>
      <c r="AB479" s="6" t="s">
        <v>240</v>
      </c>
      <c r="AE479" s="6" t="s">
        <v>299</v>
      </c>
      <c r="AF479" s="5" t="s">
        <v>248</v>
      </c>
      <c r="AG479" s="5" t="s">
        <v>249</v>
      </c>
      <c r="AW479" s="5" t="s">
        <v>251</v>
      </c>
      <c r="AX479" s="5" t="s">
        <v>240</v>
      </c>
      <c r="AY479" s="5" t="s">
        <v>253</v>
      </c>
      <c r="AZ479" s="5" t="s">
        <v>240</v>
      </c>
      <c r="BA479" s="5" t="s">
        <v>255</v>
      </c>
      <c r="BB479" s="5" t="s">
        <v>240</v>
      </c>
      <c r="BD479" s="5" t="s">
        <v>240</v>
      </c>
      <c r="BF479" s="5" t="s">
        <v>301</v>
      </c>
      <c r="BG479" s="6" t="s">
        <v>299</v>
      </c>
      <c r="BH479" s="5" t="s">
        <v>302</v>
      </c>
      <c r="BI479" s="5" t="s">
        <v>303</v>
      </c>
      <c r="BJ479" s="5" t="s">
        <v>240</v>
      </c>
      <c r="BK479" s="8">
        <f>0</f>
        <v>0</v>
      </c>
      <c r="BL479" s="7">
        <f>0</f>
        <v>0</v>
      </c>
      <c r="BM479" s="5" t="s">
        <v>258</v>
      </c>
      <c r="BN479" s="5" t="s">
        <v>259</v>
      </c>
      <c r="CB479" s="5" t="s">
        <v>240</v>
      </c>
      <c r="CC479" s="5" t="s">
        <v>240</v>
      </c>
      <c r="CG479" s="5" t="s">
        <v>617</v>
      </c>
      <c r="CH479" s="5" t="s">
        <v>305</v>
      </c>
      <c r="CI479" s="5" t="s">
        <v>240</v>
      </c>
      <c r="CL479" s="6" t="s">
        <v>261</v>
      </c>
      <c r="CM479" s="5" t="s">
        <v>240</v>
      </c>
      <c r="CN479" s="5" t="s">
        <v>263</v>
      </c>
      <c r="CO479" s="5" t="s">
        <v>240</v>
      </c>
      <c r="CP479" s="5" t="s">
        <v>240</v>
      </c>
      <c r="CQ479" s="5">
        <v>0</v>
      </c>
      <c r="CR479" s="5" t="s">
        <v>306</v>
      </c>
      <c r="CS479" s="5" t="s">
        <v>307</v>
      </c>
      <c r="CT479" s="5" t="s">
        <v>307</v>
      </c>
      <c r="CU479" s="5" t="s">
        <v>260</v>
      </c>
      <c r="CX479" s="7">
        <f>15565</f>
        <v>15565</v>
      </c>
      <c r="CY479" s="7">
        <f>0</f>
        <v>0</v>
      </c>
      <c r="DA479" s="7">
        <f>0</f>
        <v>0</v>
      </c>
      <c r="DC479" s="5" t="s">
        <v>854</v>
      </c>
      <c r="DD479" s="5" t="s">
        <v>240</v>
      </c>
      <c r="DF479" s="5" t="s">
        <v>450</v>
      </c>
      <c r="DG479" s="7">
        <f>0</f>
        <v>0</v>
      </c>
      <c r="DI479" s="5" t="s">
        <v>737</v>
      </c>
      <c r="DJ479" s="5" t="s">
        <v>240</v>
      </c>
      <c r="DK479" s="5" t="s">
        <v>240</v>
      </c>
      <c r="DL479" s="5" t="s">
        <v>240</v>
      </c>
      <c r="DP479" s="5" t="s">
        <v>240</v>
      </c>
      <c r="DQ479" s="5" t="s">
        <v>240</v>
      </c>
      <c r="DR479" s="5" t="s">
        <v>240</v>
      </c>
      <c r="DS479" s="5" t="s">
        <v>240</v>
      </c>
      <c r="DV479" s="5" t="s">
        <v>957</v>
      </c>
      <c r="DW479" s="5" t="s">
        <v>1225</v>
      </c>
      <c r="HO479" s="5" t="s">
        <v>312</v>
      </c>
    </row>
    <row r="480" spans="1:223" x14ac:dyDescent="0.4">
      <c r="A480" s="5">
        <v>1342</v>
      </c>
      <c r="B480" s="5">
        <v>1</v>
      </c>
      <c r="C480" s="5">
        <v>1</v>
      </c>
      <c r="D480" s="5" t="s">
        <v>723</v>
      </c>
      <c r="E480" s="5" t="s">
        <v>725</v>
      </c>
      <c r="F480" s="5" t="s">
        <v>254</v>
      </c>
      <c r="G480" s="5" t="s">
        <v>240</v>
      </c>
      <c r="H480" s="6" t="s">
        <v>1249</v>
      </c>
      <c r="I480" s="5" t="s">
        <v>722</v>
      </c>
      <c r="J480" s="8">
        <f>1231</f>
        <v>1231</v>
      </c>
      <c r="K480" s="5" t="s">
        <v>308</v>
      </c>
      <c r="L480" s="7">
        <f>13541</f>
        <v>13541</v>
      </c>
      <c r="M480" s="7">
        <f>13541</f>
        <v>13541</v>
      </c>
      <c r="N480" s="5" t="s">
        <v>242</v>
      </c>
      <c r="O480" s="5">
        <v>1</v>
      </c>
      <c r="P480" s="5" t="s">
        <v>294</v>
      </c>
      <c r="Q480" s="5" t="s">
        <v>613</v>
      </c>
      <c r="R480" s="5" t="s">
        <v>240</v>
      </c>
      <c r="S480" s="5" t="s">
        <v>240</v>
      </c>
      <c r="T480" s="5" t="s">
        <v>243</v>
      </c>
      <c r="U480" s="5" t="s">
        <v>724</v>
      </c>
      <c r="V480" s="5" t="s">
        <v>240</v>
      </c>
      <c r="Y480" s="5" t="s">
        <v>240</v>
      </c>
      <c r="Z480" s="6" t="s">
        <v>298</v>
      </c>
      <c r="AB480" s="6" t="s">
        <v>240</v>
      </c>
      <c r="AE480" s="6" t="s">
        <v>299</v>
      </c>
      <c r="AF480" s="5" t="s">
        <v>248</v>
      </c>
      <c r="AG480" s="5" t="s">
        <v>249</v>
      </c>
      <c r="AW480" s="5" t="s">
        <v>251</v>
      </c>
      <c r="AX480" s="5" t="s">
        <v>240</v>
      </c>
      <c r="AY480" s="5" t="s">
        <v>253</v>
      </c>
      <c r="AZ480" s="5" t="s">
        <v>240</v>
      </c>
      <c r="BA480" s="5" t="s">
        <v>255</v>
      </c>
      <c r="BB480" s="5" t="s">
        <v>240</v>
      </c>
      <c r="BD480" s="5" t="s">
        <v>240</v>
      </c>
      <c r="BF480" s="5" t="s">
        <v>301</v>
      </c>
      <c r="BG480" s="6" t="s">
        <v>299</v>
      </c>
      <c r="BH480" s="5" t="s">
        <v>302</v>
      </c>
      <c r="BI480" s="5" t="s">
        <v>303</v>
      </c>
      <c r="BJ480" s="5" t="s">
        <v>240</v>
      </c>
      <c r="BK480" s="8">
        <f>0</f>
        <v>0</v>
      </c>
      <c r="BL480" s="7">
        <f>0</f>
        <v>0</v>
      </c>
      <c r="BM480" s="5" t="s">
        <v>258</v>
      </c>
      <c r="BN480" s="5" t="s">
        <v>259</v>
      </c>
      <c r="CB480" s="5" t="s">
        <v>240</v>
      </c>
      <c r="CC480" s="5" t="s">
        <v>240</v>
      </c>
      <c r="CG480" s="5" t="s">
        <v>617</v>
      </c>
      <c r="CH480" s="5" t="s">
        <v>305</v>
      </c>
      <c r="CI480" s="5" t="s">
        <v>240</v>
      </c>
      <c r="CL480" s="6" t="s">
        <v>261</v>
      </c>
      <c r="CM480" s="5" t="s">
        <v>240</v>
      </c>
      <c r="CN480" s="5" t="s">
        <v>263</v>
      </c>
      <c r="CO480" s="5" t="s">
        <v>240</v>
      </c>
      <c r="CP480" s="5" t="s">
        <v>240</v>
      </c>
      <c r="CQ480" s="5">
        <v>0</v>
      </c>
      <c r="CR480" s="5" t="s">
        <v>306</v>
      </c>
      <c r="CS480" s="5" t="s">
        <v>307</v>
      </c>
      <c r="CT480" s="5" t="s">
        <v>307</v>
      </c>
      <c r="CU480" s="5" t="s">
        <v>260</v>
      </c>
      <c r="CX480" s="7">
        <f>11055</f>
        <v>11055</v>
      </c>
      <c r="CY480" s="7">
        <f>0</f>
        <v>0</v>
      </c>
      <c r="DA480" s="7">
        <f>0</f>
        <v>0</v>
      </c>
      <c r="DC480" s="5" t="s">
        <v>854</v>
      </c>
      <c r="DD480" s="5" t="s">
        <v>240</v>
      </c>
      <c r="DF480" s="5" t="s">
        <v>450</v>
      </c>
      <c r="DG480" s="7">
        <f>0</f>
        <v>0</v>
      </c>
      <c r="DI480" s="5" t="s">
        <v>737</v>
      </c>
      <c r="DJ480" s="5" t="s">
        <v>240</v>
      </c>
      <c r="DK480" s="5" t="s">
        <v>240</v>
      </c>
      <c r="DL480" s="5" t="s">
        <v>240</v>
      </c>
      <c r="DP480" s="5" t="s">
        <v>240</v>
      </c>
      <c r="DQ480" s="5" t="s">
        <v>240</v>
      </c>
      <c r="DR480" s="5" t="s">
        <v>240</v>
      </c>
      <c r="DS480" s="5" t="s">
        <v>240</v>
      </c>
      <c r="DV480" s="5" t="s">
        <v>957</v>
      </c>
      <c r="DW480" s="5" t="s">
        <v>1227</v>
      </c>
      <c r="HO480" s="5" t="s">
        <v>312</v>
      </c>
    </row>
    <row r="481" spans="1:223" x14ac:dyDescent="0.4">
      <c r="A481" s="5">
        <v>1343</v>
      </c>
      <c r="B481" s="5">
        <v>1</v>
      </c>
      <c r="C481" s="5">
        <v>1</v>
      </c>
      <c r="D481" s="5" t="s">
        <v>723</v>
      </c>
      <c r="E481" s="5" t="s">
        <v>725</v>
      </c>
      <c r="F481" s="5" t="s">
        <v>254</v>
      </c>
      <c r="G481" s="5" t="s">
        <v>240</v>
      </c>
      <c r="H481" s="6" t="s">
        <v>1248</v>
      </c>
      <c r="I481" s="5" t="s">
        <v>722</v>
      </c>
      <c r="J481" s="8">
        <f>1774</f>
        <v>1774</v>
      </c>
      <c r="K481" s="5" t="s">
        <v>308</v>
      </c>
      <c r="L481" s="7">
        <f>19514</f>
        <v>19514</v>
      </c>
      <c r="M481" s="7">
        <f>19514</f>
        <v>19514</v>
      </c>
      <c r="N481" s="5" t="s">
        <v>242</v>
      </c>
      <c r="O481" s="5">
        <v>1</v>
      </c>
      <c r="P481" s="5" t="s">
        <v>294</v>
      </c>
      <c r="Q481" s="5" t="s">
        <v>613</v>
      </c>
      <c r="R481" s="5" t="s">
        <v>240</v>
      </c>
      <c r="S481" s="5" t="s">
        <v>240</v>
      </c>
      <c r="T481" s="5" t="s">
        <v>243</v>
      </c>
      <c r="U481" s="5" t="s">
        <v>724</v>
      </c>
      <c r="V481" s="5" t="s">
        <v>240</v>
      </c>
      <c r="Y481" s="5" t="s">
        <v>240</v>
      </c>
      <c r="Z481" s="6" t="s">
        <v>298</v>
      </c>
      <c r="AB481" s="6" t="s">
        <v>240</v>
      </c>
      <c r="AE481" s="6" t="s">
        <v>299</v>
      </c>
      <c r="AF481" s="5" t="s">
        <v>248</v>
      </c>
      <c r="AG481" s="5" t="s">
        <v>249</v>
      </c>
      <c r="AW481" s="5" t="s">
        <v>251</v>
      </c>
      <c r="AX481" s="5" t="s">
        <v>240</v>
      </c>
      <c r="AY481" s="5" t="s">
        <v>253</v>
      </c>
      <c r="AZ481" s="5" t="s">
        <v>240</v>
      </c>
      <c r="BA481" s="5" t="s">
        <v>255</v>
      </c>
      <c r="BB481" s="5" t="s">
        <v>240</v>
      </c>
      <c r="BD481" s="5" t="s">
        <v>240</v>
      </c>
      <c r="BF481" s="5" t="s">
        <v>301</v>
      </c>
      <c r="BG481" s="6" t="s">
        <v>299</v>
      </c>
      <c r="BH481" s="5" t="s">
        <v>302</v>
      </c>
      <c r="BI481" s="5" t="s">
        <v>303</v>
      </c>
      <c r="BJ481" s="5" t="s">
        <v>240</v>
      </c>
      <c r="BK481" s="8">
        <f>0</f>
        <v>0</v>
      </c>
      <c r="BL481" s="7">
        <f>0</f>
        <v>0</v>
      </c>
      <c r="BM481" s="5" t="s">
        <v>258</v>
      </c>
      <c r="BN481" s="5" t="s">
        <v>259</v>
      </c>
      <c r="CB481" s="5" t="s">
        <v>240</v>
      </c>
      <c r="CC481" s="5" t="s">
        <v>240</v>
      </c>
      <c r="CG481" s="5" t="s">
        <v>617</v>
      </c>
      <c r="CH481" s="5" t="s">
        <v>305</v>
      </c>
      <c r="CI481" s="5" t="s">
        <v>240</v>
      </c>
      <c r="CL481" s="6" t="s">
        <v>261</v>
      </c>
      <c r="CM481" s="5" t="s">
        <v>240</v>
      </c>
      <c r="CN481" s="5" t="s">
        <v>263</v>
      </c>
      <c r="CO481" s="5" t="s">
        <v>240</v>
      </c>
      <c r="CP481" s="5" t="s">
        <v>240</v>
      </c>
      <c r="CQ481" s="5">
        <v>0</v>
      </c>
      <c r="CR481" s="5" t="s">
        <v>306</v>
      </c>
      <c r="CS481" s="5" t="s">
        <v>307</v>
      </c>
      <c r="CT481" s="5" t="s">
        <v>307</v>
      </c>
      <c r="CU481" s="5" t="s">
        <v>260</v>
      </c>
      <c r="CX481" s="7">
        <f>198693</f>
        <v>198693</v>
      </c>
      <c r="CY481" s="7">
        <f>0</f>
        <v>0</v>
      </c>
      <c r="DA481" s="7">
        <f>0</f>
        <v>0</v>
      </c>
      <c r="DC481" s="5" t="s">
        <v>854</v>
      </c>
      <c r="DD481" s="5" t="s">
        <v>240</v>
      </c>
      <c r="DF481" s="5" t="s">
        <v>450</v>
      </c>
      <c r="DG481" s="7">
        <f>0</f>
        <v>0</v>
      </c>
      <c r="DI481" s="5" t="s">
        <v>737</v>
      </c>
      <c r="DJ481" s="5" t="s">
        <v>240</v>
      </c>
      <c r="DK481" s="5" t="s">
        <v>240</v>
      </c>
      <c r="DL481" s="5" t="s">
        <v>240</v>
      </c>
      <c r="DP481" s="5" t="s">
        <v>240</v>
      </c>
      <c r="DQ481" s="5" t="s">
        <v>240</v>
      </c>
      <c r="DR481" s="5" t="s">
        <v>240</v>
      </c>
      <c r="DS481" s="5" t="s">
        <v>240</v>
      </c>
      <c r="DV481" s="5" t="s">
        <v>957</v>
      </c>
      <c r="DW481" s="5" t="s">
        <v>1229</v>
      </c>
      <c r="HO481" s="5" t="s">
        <v>312</v>
      </c>
    </row>
    <row r="482" spans="1:223" x14ac:dyDescent="0.4">
      <c r="A482" s="5">
        <v>1344</v>
      </c>
      <c r="B482" s="5">
        <v>1</v>
      </c>
      <c r="C482" s="5">
        <v>1</v>
      </c>
      <c r="D482" s="5" t="s">
        <v>723</v>
      </c>
      <c r="E482" s="5" t="s">
        <v>725</v>
      </c>
      <c r="F482" s="5" t="s">
        <v>254</v>
      </c>
      <c r="G482" s="5" t="s">
        <v>240</v>
      </c>
      <c r="H482" s="6" t="s">
        <v>1246</v>
      </c>
      <c r="I482" s="5" t="s">
        <v>722</v>
      </c>
      <c r="J482" s="8">
        <f>562</f>
        <v>562</v>
      </c>
      <c r="K482" s="5" t="s">
        <v>308</v>
      </c>
      <c r="L482" s="7">
        <f>60134</f>
        <v>60134</v>
      </c>
      <c r="M482" s="7">
        <f>60134</f>
        <v>60134</v>
      </c>
      <c r="N482" s="5" t="s">
        <v>242</v>
      </c>
      <c r="O482" s="5">
        <v>1</v>
      </c>
      <c r="P482" s="5" t="s">
        <v>294</v>
      </c>
      <c r="Q482" s="5" t="s">
        <v>613</v>
      </c>
      <c r="R482" s="5" t="s">
        <v>240</v>
      </c>
      <c r="S482" s="5" t="s">
        <v>240</v>
      </c>
      <c r="T482" s="5" t="s">
        <v>243</v>
      </c>
      <c r="U482" s="5" t="s">
        <v>724</v>
      </c>
      <c r="V482" s="5" t="s">
        <v>240</v>
      </c>
      <c r="Y482" s="5" t="s">
        <v>240</v>
      </c>
      <c r="Z482" s="6" t="s">
        <v>298</v>
      </c>
      <c r="AB482" s="6" t="s">
        <v>240</v>
      </c>
      <c r="AE482" s="6" t="s">
        <v>299</v>
      </c>
      <c r="AF482" s="5" t="s">
        <v>248</v>
      </c>
      <c r="AG482" s="5" t="s">
        <v>249</v>
      </c>
      <c r="AW482" s="5" t="s">
        <v>251</v>
      </c>
      <c r="AX482" s="5" t="s">
        <v>240</v>
      </c>
      <c r="AY482" s="5" t="s">
        <v>253</v>
      </c>
      <c r="AZ482" s="5" t="s">
        <v>240</v>
      </c>
      <c r="BA482" s="5" t="s">
        <v>255</v>
      </c>
      <c r="BB482" s="5" t="s">
        <v>240</v>
      </c>
      <c r="BD482" s="5" t="s">
        <v>240</v>
      </c>
      <c r="BF482" s="5" t="s">
        <v>301</v>
      </c>
      <c r="BG482" s="6" t="s">
        <v>299</v>
      </c>
      <c r="BH482" s="5" t="s">
        <v>302</v>
      </c>
      <c r="BI482" s="5" t="s">
        <v>303</v>
      </c>
      <c r="BJ482" s="5" t="s">
        <v>240</v>
      </c>
      <c r="BK482" s="8">
        <f>0</f>
        <v>0</v>
      </c>
      <c r="BL482" s="7">
        <f>0</f>
        <v>0</v>
      </c>
      <c r="BM482" s="5" t="s">
        <v>258</v>
      </c>
      <c r="BN482" s="5" t="s">
        <v>259</v>
      </c>
      <c r="CB482" s="5" t="s">
        <v>240</v>
      </c>
      <c r="CC482" s="5" t="s">
        <v>240</v>
      </c>
      <c r="CG482" s="5" t="s">
        <v>617</v>
      </c>
      <c r="CH482" s="5" t="s">
        <v>305</v>
      </c>
      <c r="CI482" s="5" t="s">
        <v>240</v>
      </c>
      <c r="CL482" s="6" t="s">
        <v>261</v>
      </c>
      <c r="CM482" s="5" t="s">
        <v>240</v>
      </c>
      <c r="CN482" s="5" t="s">
        <v>263</v>
      </c>
      <c r="CO482" s="5" t="s">
        <v>240</v>
      </c>
      <c r="CP482" s="5" t="s">
        <v>240</v>
      </c>
      <c r="CQ482" s="5">
        <v>0</v>
      </c>
      <c r="CR482" s="5" t="s">
        <v>306</v>
      </c>
      <c r="CS482" s="5" t="s">
        <v>307</v>
      </c>
      <c r="CT482" s="5" t="s">
        <v>307</v>
      </c>
      <c r="CU482" s="5" t="s">
        <v>260</v>
      </c>
      <c r="CX482" s="7">
        <f>4598</f>
        <v>4598</v>
      </c>
      <c r="CY482" s="7">
        <f>0</f>
        <v>0</v>
      </c>
      <c r="DA482" s="7">
        <f>0</f>
        <v>0</v>
      </c>
      <c r="DC482" s="5" t="s">
        <v>854</v>
      </c>
      <c r="DD482" s="5" t="s">
        <v>240</v>
      </c>
      <c r="DF482" s="5" t="s">
        <v>450</v>
      </c>
      <c r="DG482" s="7">
        <f>0</f>
        <v>0</v>
      </c>
      <c r="DI482" s="5" t="s">
        <v>737</v>
      </c>
      <c r="DJ482" s="5" t="s">
        <v>240</v>
      </c>
      <c r="DK482" s="5" t="s">
        <v>240</v>
      </c>
      <c r="DL482" s="5" t="s">
        <v>240</v>
      </c>
      <c r="DP482" s="5" t="s">
        <v>240</v>
      </c>
      <c r="DQ482" s="5" t="s">
        <v>240</v>
      </c>
      <c r="DR482" s="5" t="s">
        <v>240</v>
      </c>
      <c r="DS482" s="5" t="s">
        <v>240</v>
      </c>
      <c r="DV482" s="5" t="s">
        <v>957</v>
      </c>
      <c r="DW482" s="5" t="s">
        <v>697</v>
      </c>
      <c r="HO482" s="5" t="s">
        <v>312</v>
      </c>
    </row>
    <row r="483" spans="1:223" x14ac:dyDescent="0.4">
      <c r="A483" s="5">
        <v>1345</v>
      </c>
      <c r="B483" s="5">
        <v>1</v>
      </c>
      <c r="C483" s="5">
        <v>1</v>
      </c>
      <c r="D483" s="5" t="s">
        <v>723</v>
      </c>
      <c r="E483" s="5" t="s">
        <v>725</v>
      </c>
      <c r="F483" s="5" t="s">
        <v>254</v>
      </c>
      <c r="G483" s="5" t="s">
        <v>240</v>
      </c>
      <c r="H483" s="6" t="s">
        <v>1245</v>
      </c>
      <c r="I483" s="5" t="s">
        <v>722</v>
      </c>
      <c r="J483" s="8">
        <f>538</f>
        <v>538</v>
      </c>
      <c r="K483" s="5" t="s">
        <v>308</v>
      </c>
      <c r="L483" s="7">
        <f>5918</f>
        <v>5918</v>
      </c>
      <c r="M483" s="7">
        <f>5918</f>
        <v>5918</v>
      </c>
      <c r="N483" s="5" t="s">
        <v>242</v>
      </c>
      <c r="O483" s="5">
        <v>1</v>
      </c>
      <c r="P483" s="5" t="s">
        <v>294</v>
      </c>
      <c r="Q483" s="5" t="s">
        <v>613</v>
      </c>
      <c r="R483" s="5" t="s">
        <v>240</v>
      </c>
      <c r="S483" s="5" t="s">
        <v>240</v>
      </c>
      <c r="T483" s="5" t="s">
        <v>243</v>
      </c>
      <c r="U483" s="5" t="s">
        <v>724</v>
      </c>
      <c r="V483" s="5" t="s">
        <v>240</v>
      </c>
      <c r="Y483" s="5" t="s">
        <v>240</v>
      </c>
      <c r="Z483" s="6" t="s">
        <v>298</v>
      </c>
      <c r="AB483" s="6" t="s">
        <v>240</v>
      </c>
      <c r="AE483" s="6" t="s">
        <v>299</v>
      </c>
      <c r="AF483" s="5" t="s">
        <v>248</v>
      </c>
      <c r="AG483" s="5" t="s">
        <v>249</v>
      </c>
      <c r="AW483" s="5" t="s">
        <v>251</v>
      </c>
      <c r="AX483" s="5" t="s">
        <v>240</v>
      </c>
      <c r="AY483" s="5" t="s">
        <v>253</v>
      </c>
      <c r="AZ483" s="5" t="s">
        <v>240</v>
      </c>
      <c r="BA483" s="5" t="s">
        <v>255</v>
      </c>
      <c r="BB483" s="5" t="s">
        <v>240</v>
      </c>
      <c r="BD483" s="5" t="s">
        <v>240</v>
      </c>
      <c r="BF483" s="5" t="s">
        <v>301</v>
      </c>
      <c r="BG483" s="6" t="s">
        <v>299</v>
      </c>
      <c r="BH483" s="5" t="s">
        <v>302</v>
      </c>
      <c r="BI483" s="5" t="s">
        <v>303</v>
      </c>
      <c r="BJ483" s="5" t="s">
        <v>240</v>
      </c>
      <c r="BK483" s="8">
        <f>0</f>
        <v>0</v>
      </c>
      <c r="BL483" s="7">
        <f>0</f>
        <v>0</v>
      </c>
      <c r="BM483" s="5" t="s">
        <v>258</v>
      </c>
      <c r="BN483" s="5" t="s">
        <v>259</v>
      </c>
      <c r="CB483" s="5" t="s">
        <v>240</v>
      </c>
      <c r="CC483" s="5" t="s">
        <v>240</v>
      </c>
      <c r="CG483" s="5" t="s">
        <v>617</v>
      </c>
      <c r="CH483" s="5" t="s">
        <v>305</v>
      </c>
      <c r="CI483" s="5" t="s">
        <v>240</v>
      </c>
      <c r="CL483" s="6" t="s">
        <v>261</v>
      </c>
      <c r="CM483" s="5" t="s">
        <v>240</v>
      </c>
      <c r="CN483" s="5" t="s">
        <v>263</v>
      </c>
      <c r="CO483" s="5" t="s">
        <v>240</v>
      </c>
      <c r="CP483" s="5" t="s">
        <v>240</v>
      </c>
      <c r="CQ483" s="5">
        <v>0</v>
      </c>
      <c r="CR483" s="5" t="s">
        <v>306</v>
      </c>
      <c r="CS483" s="5" t="s">
        <v>307</v>
      </c>
      <c r="CT483" s="5" t="s">
        <v>307</v>
      </c>
      <c r="CU483" s="5" t="s">
        <v>260</v>
      </c>
      <c r="CX483" s="7">
        <f>4147</f>
        <v>4147</v>
      </c>
      <c r="CY483" s="7">
        <f>0</f>
        <v>0</v>
      </c>
      <c r="DA483" s="7">
        <f>0</f>
        <v>0</v>
      </c>
      <c r="DC483" s="5" t="s">
        <v>854</v>
      </c>
      <c r="DD483" s="5" t="s">
        <v>240</v>
      </c>
      <c r="DF483" s="5" t="s">
        <v>450</v>
      </c>
      <c r="DG483" s="7">
        <f>0</f>
        <v>0</v>
      </c>
      <c r="DI483" s="5" t="s">
        <v>737</v>
      </c>
      <c r="DJ483" s="5" t="s">
        <v>240</v>
      </c>
      <c r="DK483" s="5" t="s">
        <v>240</v>
      </c>
      <c r="DL483" s="5" t="s">
        <v>240</v>
      </c>
      <c r="DP483" s="5" t="s">
        <v>240</v>
      </c>
      <c r="DQ483" s="5" t="s">
        <v>240</v>
      </c>
      <c r="DR483" s="5" t="s">
        <v>240</v>
      </c>
      <c r="DS483" s="5" t="s">
        <v>240</v>
      </c>
      <c r="DV483" s="5" t="s">
        <v>957</v>
      </c>
      <c r="DW483" s="5" t="s">
        <v>699</v>
      </c>
      <c r="HO483" s="5" t="s">
        <v>312</v>
      </c>
    </row>
    <row r="484" spans="1:223" x14ac:dyDescent="0.4">
      <c r="A484" s="5">
        <v>1346</v>
      </c>
      <c r="B484" s="5">
        <v>1</v>
      </c>
      <c r="C484" s="5">
        <v>1</v>
      </c>
      <c r="D484" s="5" t="s">
        <v>723</v>
      </c>
      <c r="E484" s="5" t="s">
        <v>725</v>
      </c>
      <c r="F484" s="5" t="s">
        <v>254</v>
      </c>
      <c r="G484" s="5" t="s">
        <v>240</v>
      </c>
      <c r="H484" s="6" t="s">
        <v>2094</v>
      </c>
      <c r="I484" s="5" t="s">
        <v>722</v>
      </c>
      <c r="J484" s="8">
        <f>467</f>
        <v>467</v>
      </c>
      <c r="K484" s="5" t="s">
        <v>308</v>
      </c>
      <c r="L484" s="7">
        <f>5137</f>
        <v>5137</v>
      </c>
      <c r="M484" s="7">
        <f>5137</f>
        <v>5137</v>
      </c>
      <c r="N484" s="5" t="s">
        <v>242</v>
      </c>
      <c r="O484" s="5">
        <v>1</v>
      </c>
      <c r="P484" s="5" t="s">
        <v>294</v>
      </c>
      <c r="Q484" s="5" t="s">
        <v>613</v>
      </c>
      <c r="R484" s="5" t="s">
        <v>240</v>
      </c>
      <c r="S484" s="5" t="s">
        <v>240</v>
      </c>
      <c r="T484" s="5" t="s">
        <v>243</v>
      </c>
      <c r="U484" s="5" t="s">
        <v>724</v>
      </c>
      <c r="V484" s="5" t="s">
        <v>240</v>
      </c>
      <c r="Y484" s="5" t="s">
        <v>240</v>
      </c>
      <c r="Z484" s="6" t="s">
        <v>298</v>
      </c>
      <c r="AB484" s="6" t="s">
        <v>240</v>
      </c>
      <c r="AE484" s="6" t="s">
        <v>299</v>
      </c>
      <c r="AF484" s="5" t="s">
        <v>248</v>
      </c>
      <c r="AG484" s="5" t="s">
        <v>249</v>
      </c>
      <c r="AW484" s="5" t="s">
        <v>251</v>
      </c>
      <c r="AX484" s="5" t="s">
        <v>240</v>
      </c>
      <c r="AY484" s="5" t="s">
        <v>253</v>
      </c>
      <c r="AZ484" s="5" t="s">
        <v>240</v>
      </c>
      <c r="BA484" s="5" t="s">
        <v>255</v>
      </c>
      <c r="BB484" s="5" t="s">
        <v>240</v>
      </c>
      <c r="BD484" s="5" t="s">
        <v>240</v>
      </c>
      <c r="BF484" s="5" t="s">
        <v>301</v>
      </c>
      <c r="BG484" s="6" t="s">
        <v>299</v>
      </c>
      <c r="BH484" s="5" t="s">
        <v>302</v>
      </c>
      <c r="BI484" s="5" t="s">
        <v>303</v>
      </c>
      <c r="BJ484" s="5" t="s">
        <v>240</v>
      </c>
      <c r="BK484" s="8">
        <f>0</f>
        <v>0</v>
      </c>
      <c r="BL484" s="7">
        <f>0</f>
        <v>0</v>
      </c>
      <c r="BM484" s="5" t="s">
        <v>258</v>
      </c>
      <c r="BN484" s="5" t="s">
        <v>259</v>
      </c>
      <c r="CB484" s="5" t="s">
        <v>240</v>
      </c>
      <c r="CC484" s="5" t="s">
        <v>240</v>
      </c>
      <c r="CG484" s="5" t="s">
        <v>617</v>
      </c>
      <c r="CH484" s="5" t="s">
        <v>305</v>
      </c>
      <c r="CI484" s="5" t="s">
        <v>240</v>
      </c>
      <c r="CL484" s="6" t="s">
        <v>261</v>
      </c>
      <c r="CM484" s="5" t="s">
        <v>240</v>
      </c>
      <c r="CN484" s="5" t="s">
        <v>263</v>
      </c>
      <c r="CO484" s="5" t="s">
        <v>240</v>
      </c>
      <c r="CP484" s="5" t="s">
        <v>240</v>
      </c>
      <c r="CQ484" s="5">
        <v>0</v>
      </c>
      <c r="CR484" s="5" t="s">
        <v>306</v>
      </c>
      <c r="CS484" s="5" t="s">
        <v>307</v>
      </c>
      <c r="CT484" s="5" t="s">
        <v>307</v>
      </c>
      <c r="CU484" s="5" t="s">
        <v>260</v>
      </c>
      <c r="CX484" s="7">
        <f>16093</f>
        <v>16093</v>
      </c>
      <c r="CY484" s="7">
        <f>0</f>
        <v>0</v>
      </c>
      <c r="DA484" s="7">
        <f>0</f>
        <v>0</v>
      </c>
      <c r="DC484" s="5" t="s">
        <v>854</v>
      </c>
      <c r="DD484" s="5" t="s">
        <v>240</v>
      </c>
      <c r="DF484" s="5" t="s">
        <v>450</v>
      </c>
      <c r="DG484" s="7">
        <f>0</f>
        <v>0</v>
      </c>
      <c r="DI484" s="5" t="s">
        <v>737</v>
      </c>
      <c r="DJ484" s="5" t="s">
        <v>240</v>
      </c>
      <c r="DK484" s="5" t="s">
        <v>240</v>
      </c>
      <c r="DL484" s="5" t="s">
        <v>240</v>
      </c>
      <c r="DP484" s="5" t="s">
        <v>240</v>
      </c>
      <c r="DQ484" s="5" t="s">
        <v>240</v>
      </c>
      <c r="DR484" s="5" t="s">
        <v>240</v>
      </c>
      <c r="DS484" s="5" t="s">
        <v>240</v>
      </c>
      <c r="DV484" s="5" t="s">
        <v>957</v>
      </c>
      <c r="DW484" s="5" t="s">
        <v>701</v>
      </c>
      <c r="HO484" s="5" t="s">
        <v>312</v>
      </c>
    </row>
    <row r="485" spans="1:223" x14ac:dyDescent="0.4">
      <c r="A485" s="5">
        <v>1347</v>
      </c>
      <c r="B485" s="5">
        <v>1</v>
      </c>
      <c r="C485" s="5">
        <v>1</v>
      </c>
      <c r="D485" s="5" t="s">
        <v>723</v>
      </c>
      <c r="E485" s="5" t="s">
        <v>725</v>
      </c>
      <c r="F485" s="5" t="s">
        <v>254</v>
      </c>
      <c r="G485" s="5" t="s">
        <v>240</v>
      </c>
      <c r="H485" s="6" t="s">
        <v>1110</v>
      </c>
      <c r="I485" s="5" t="s">
        <v>722</v>
      </c>
      <c r="J485" s="8">
        <f>280</f>
        <v>280</v>
      </c>
      <c r="K485" s="5" t="s">
        <v>308</v>
      </c>
      <c r="L485" s="7">
        <f>3080</f>
        <v>3080</v>
      </c>
      <c r="M485" s="7">
        <f>3080</f>
        <v>3080</v>
      </c>
      <c r="N485" s="5" t="s">
        <v>242</v>
      </c>
      <c r="O485" s="5">
        <v>1</v>
      </c>
      <c r="P485" s="5" t="s">
        <v>294</v>
      </c>
      <c r="Q485" s="5" t="s">
        <v>613</v>
      </c>
      <c r="R485" s="5" t="s">
        <v>240</v>
      </c>
      <c r="S485" s="5" t="s">
        <v>240</v>
      </c>
      <c r="T485" s="5" t="s">
        <v>243</v>
      </c>
      <c r="U485" s="5" t="s">
        <v>724</v>
      </c>
      <c r="V485" s="5" t="s">
        <v>240</v>
      </c>
      <c r="Y485" s="5" t="s">
        <v>240</v>
      </c>
      <c r="Z485" s="6" t="s">
        <v>298</v>
      </c>
      <c r="AB485" s="6" t="s">
        <v>240</v>
      </c>
      <c r="AE485" s="6" t="s">
        <v>299</v>
      </c>
      <c r="AF485" s="5" t="s">
        <v>248</v>
      </c>
      <c r="AG485" s="5" t="s">
        <v>249</v>
      </c>
      <c r="AW485" s="5" t="s">
        <v>251</v>
      </c>
      <c r="AX485" s="5" t="s">
        <v>240</v>
      </c>
      <c r="AY485" s="5" t="s">
        <v>253</v>
      </c>
      <c r="AZ485" s="5" t="s">
        <v>240</v>
      </c>
      <c r="BA485" s="5" t="s">
        <v>255</v>
      </c>
      <c r="BB485" s="5" t="s">
        <v>240</v>
      </c>
      <c r="BD485" s="5" t="s">
        <v>240</v>
      </c>
      <c r="BF485" s="5" t="s">
        <v>301</v>
      </c>
      <c r="BG485" s="6" t="s">
        <v>299</v>
      </c>
      <c r="BH485" s="5" t="s">
        <v>302</v>
      </c>
      <c r="BI485" s="5" t="s">
        <v>303</v>
      </c>
      <c r="BJ485" s="5" t="s">
        <v>240</v>
      </c>
      <c r="BK485" s="8">
        <f>0</f>
        <v>0</v>
      </c>
      <c r="BL485" s="7">
        <f>0</f>
        <v>0</v>
      </c>
      <c r="BM485" s="5" t="s">
        <v>258</v>
      </c>
      <c r="BN485" s="5" t="s">
        <v>259</v>
      </c>
      <c r="CB485" s="5" t="s">
        <v>240</v>
      </c>
      <c r="CC485" s="5" t="s">
        <v>240</v>
      </c>
      <c r="CG485" s="5" t="s">
        <v>617</v>
      </c>
      <c r="CH485" s="5" t="s">
        <v>305</v>
      </c>
      <c r="CI485" s="5" t="s">
        <v>240</v>
      </c>
      <c r="CL485" s="6" t="s">
        <v>261</v>
      </c>
      <c r="CM485" s="5" t="s">
        <v>240</v>
      </c>
      <c r="CN485" s="5" t="s">
        <v>263</v>
      </c>
      <c r="CO485" s="5" t="s">
        <v>240</v>
      </c>
      <c r="CP485" s="5" t="s">
        <v>240</v>
      </c>
      <c r="CQ485" s="5">
        <v>0</v>
      </c>
      <c r="CR485" s="5" t="s">
        <v>306</v>
      </c>
      <c r="CS485" s="5" t="s">
        <v>307</v>
      </c>
      <c r="CT485" s="5" t="s">
        <v>307</v>
      </c>
      <c r="CU485" s="5" t="s">
        <v>260</v>
      </c>
      <c r="CX485" s="7">
        <f>9262</f>
        <v>9262</v>
      </c>
      <c r="CY485" s="7">
        <f>0</f>
        <v>0</v>
      </c>
      <c r="DA485" s="7">
        <f>0</f>
        <v>0</v>
      </c>
      <c r="DC485" s="5" t="s">
        <v>854</v>
      </c>
      <c r="DD485" s="5" t="s">
        <v>240</v>
      </c>
      <c r="DF485" s="5" t="s">
        <v>450</v>
      </c>
      <c r="DG485" s="7">
        <f>0</f>
        <v>0</v>
      </c>
      <c r="DI485" s="5" t="s">
        <v>737</v>
      </c>
      <c r="DJ485" s="5" t="s">
        <v>240</v>
      </c>
      <c r="DK485" s="5" t="s">
        <v>240</v>
      </c>
      <c r="DL485" s="5" t="s">
        <v>240</v>
      </c>
      <c r="DP485" s="5" t="s">
        <v>240</v>
      </c>
      <c r="DQ485" s="5" t="s">
        <v>240</v>
      </c>
      <c r="DR485" s="5" t="s">
        <v>240</v>
      </c>
      <c r="DS485" s="5" t="s">
        <v>240</v>
      </c>
      <c r="DV485" s="5" t="s">
        <v>957</v>
      </c>
      <c r="DW485" s="5" t="s">
        <v>703</v>
      </c>
      <c r="HO485" s="5" t="s">
        <v>312</v>
      </c>
    </row>
    <row r="486" spans="1:223" x14ac:dyDescent="0.4">
      <c r="A486" s="5">
        <v>1348</v>
      </c>
      <c r="B486" s="5">
        <v>1</v>
      </c>
      <c r="C486" s="5">
        <v>1</v>
      </c>
      <c r="D486" s="5" t="s">
        <v>723</v>
      </c>
      <c r="E486" s="5" t="s">
        <v>725</v>
      </c>
      <c r="F486" s="5" t="s">
        <v>254</v>
      </c>
      <c r="G486" s="5" t="s">
        <v>240</v>
      </c>
      <c r="H486" s="6" t="s">
        <v>959</v>
      </c>
      <c r="I486" s="5" t="s">
        <v>722</v>
      </c>
      <c r="J486" s="8">
        <f>2733</f>
        <v>2733</v>
      </c>
      <c r="K486" s="5" t="s">
        <v>308</v>
      </c>
      <c r="L486" s="7">
        <f>30063</f>
        <v>30063</v>
      </c>
      <c r="M486" s="7">
        <f>30063</f>
        <v>30063</v>
      </c>
      <c r="N486" s="5" t="s">
        <v>242</v>
      </c>
      <c r="O486" s="5">
        <v>1</v>
      </c>
      <c r="P486" s="5" t="s">
        <v>294</v>
      </c>
      <c r="Q486" s="5" t="s">
        <v>613</v>
      </c>
      <c r="R486" s="5" t="s">
        <v>240</v>
      </c>
      <c r="S486" s="5" t="s">
        <v>240</v>
      </c>
      <c r="T486" s="5" t="s">
        <v>243</v>
      </c>
      <c r="U486" s="5" t="s">
        <v>724</v>
      </c>
      <c r="V486" s="5" t="s">
        <v>240</v>
      </c>
      <c r="Y486" s="5" t="s">
        <v>240</v>
      </c>
      <c r="Z486" s="6" t="s">
        <v>298</v>
      </c>
      <c r="AB486" s="6" t="s">
        <v>240</v>
      </c>
      <c r="AE486" s="6" t="s">
        <v>299</v>
      </c>
      <c r="AF486" s="5" t="s">
        <v>248</v>
      </c>
      <c r="AG486" s="5" t="s">
        <v>249</v>
      </c>
      <c r="AW486" s="5" t="s">
        <v>251</v>
      </c>
      <c r="AX486" s="5" t="s">
        <v>240</v>
      </c>
      <c r="AY486" s="5" t="s">
        <v>253</v>
      </c>
      <c r="AZ486" s="5" t="s">
        <v>240</v>
      </c>
      <c r="BA486" s="5" t="s">
        <v>255</v>
      </c>
      <c r="BB486" s="5" t="s">
        <v>240</v>
      </c>
      <c r="BD486" s="5" t="s">
        <v>240</v>
      </c>
      <c r="BF486" s="5" t="s">
        <v>301</v>
      </c>
      <c r="BG486" s="6" t="s">
        <v>299</v>
      </c>
      <c r="BH486" s="5" t="s">
        <v>302</v>
      </c>
      <c r="BI486" s="5" t="s">
        <v>303</v>
      </c>
      <c r="BJ486" s="5" t="s">
        <v>240</v>
      </c>
      <c r="BK486" s="8">
        <f>0</f>
        <v>0</v>
      </c>
      <c r="BL486" s="7">
        <f>0</f>
        <v>0</v>
      </c>
      <c r="BM486" s="5" t="s">
        <v>258</v>
      </c>
      <c r="BN486" s="5" t="s">
        <v>259</v>
      </c>
      <c r="CB486" s="5" t="s">
        <v>240</v>
      </c>
      <c r="CC486" s="5" t="s">
        <v>240</v>
      </c>
      <c r="CG486" s="5" t="s">
        <v>617</v>
      </c>
      <c r="CH486" s="5" t="s">
        <v>305</v>
      </c>
      <c r="CI486" s="5" t="s">
        <v>240</v>
      </c>
      <c r="CL486" s="6" t="s">
        <v>261</v>
      </c>
      <c r="CM486" s="5" t="s">
        <v>240</v>
      </c>
      <c r="CN486" s="5" t="s">
        <v>263</v>
      </c>
      <c r="CO486" s="5" t="s">
        <v>240</v>
      </c>
      <c r="CP486" s="5" t="s">
        <v>240</v>
      </c>
      <c r="CQ486" s="5">
        <v>0</v>
      </c>
      <c r="CR486" s="5" t="s">
        <v>306</v>
      </c>
      <c r="CS486" s="5" t="s">
        <v>307</v>
      </c>
      <c r="CT486" s="5" t="s">
        <v>307</v>
      </c>
      <c r="CU486" s="5" t="s">
        <v>260</v>
      </c>
      <c r="CX486" s="7">
        <f>25828</f>
        <v>25828</v>
      </c>
      <c r="CY486" s="7">
        <f>0</f>
        <v>0</v>
      </c>
      <c r="DA486" s="7">
        <f>0</f>
        <v>0</v>
      </c>
      <c r="DC486" s="5" t="s">
        <v>854</v>
      </c>
      <c r="DD486" s="5" t="s">
        <v>240</v>
      </c>
      <c r="DF486" s="5" t="s">
        <v>450</v>
      </c>
      <c r="DG486" s="7">
        <f>0</f>
        <v>0</v>
      </c>
      <c r="DI486" s="5" t="s">
        <v>737</v>
      </c>
      <c r="DJ486" s="5" t="s">
        <v>240</v>
      </c>
      <c r="DK486" s="5" t="s">
        <v>240</v>
      </c>
      <c r="DL486" s="5" t="s">
        <v>240</v>
      </c>
      <c r="DP486" s="5" t="s">
        <v>240</v>
      </c>
      <c r="DQ486" s="5" t="s">
        <v>240</v>
      </c>
      <c r="DR486" s="5" t="s">
        <v>240</v>
      </c>
      <c r="DS486" s="5" t="s">
        <v>240</v>
      </c>
      <c r="DV486" s="5" t="s">
        <v>957</v>
      </c>
      <c r="DW486" s="5" t="s">
        <v>705</v>
      </c>
      <c r="HO486" s="5" t="s">
        <v>312</v>
      </c>
    </row>
    <row r="487" spans="1:223" x14ac:dyDescent="0.4">
      <c r="A487" s="5">
        <v>1349</v>
      </c>
      <c r="B487" s="5">
        <v>1</v>
      </c>
      <c r="C487" s="5">
        <v>1</v>
      </c>
      <c r="D487" s="5" t="s">
        <v>723</v>
      </c>
      <c r="E487" s="5" t="s">
        <v>725</v>
      </c>
      <c r="F487" s="5" t="s">
        <v>254</v>
      </c>
      <c r="G487" s="5" t="s">
        <v>240</v>
      </c>
      <c r="H487" s="6" t="s">
        <v>956</v>
      </c>
      <c r="I487" s="5" t="s">
        <v>722</v>
      </c>
      <c r="J487" s="8">
        <f>914</f>
        <v>914</v>
      </c>
      <c r="K487" s="5" t="s">
        <v>308</v>
      </c>
      <c r="L487" s="7">
        <f>10054</f>
        <v>10054</v>
      </c>
      <c r="M487" s="7">
        <f>10054</f>
        <v>10054</v>
      </c>
      <c r="N487" s="5" t="s">
        <v>242</v>
      </c>
      <c r="O487" s="5">
        <v>1</v>
      </c>
      <c r="P487" s="5" t="s">
        <v>294</v>
      </c>
      <c r="Q487" s="5" t="s">
        <v>613</v>
      </c>
      <c r="R487" s="5" t="s">
        <v>240</v>
      </c>
      <c r="S487" s="5" t="s">
        <v>240</v>
      </c>
      <c r="T487" s="5" t="s">
        <v>243</v>
      </c>
      <c r="U487" s="5" t="s">
        <v>724</v>
      </c>
      <c r="V487" s="5" t="s">
        <v>240</v>
      </c>
      <c r="Y487" s="5" t="s">
        <v>240</v>
      </c>
      <c r="Z487" s="6" t="s">
        <v>298</v>
      </c>
      <c r="AB487" s="6" t="s">
        <v>240</v>
      </c>
      <c r="AE487" s="6" t="s">
        <v>299</v>
      </c>
      <c r="AF487" s="5" t="s">
        <v>248</v>
      </c>
      <c r="AG487" s="5" t="s">
        <v>249</v>
      </c>
      <c r="AW487" s="5" t="s">
        <v>251</v>
      </c>
      <c r="AX487" s="5" t="s">
        <v>240</v>
      </c>
      <c r="AY487" s="5" t="s">
        <v>253</v>
      </c>
      <c r="AZ487" s="5" t="s">
        <v>240</v>
      </c>
      <c r="BA487" s="5" t="s">
        <v>255</v>
      </c>
      <c r="BB487" s="5" t="s">
        <v>240</v>
      </c>
      <c r="BD487" s="5" t="s">
        <v>240</v>
      </c>
      <c r="BF487" s="5" t="s">
        <v>301</v>
      </c>
      <c r="BG487" s="6" t="s">
        <v>299</v>
      </c>
      <c r="BH487" s="5" t="s">
        <v>302</v>
      </c>
      <c r="BI487" s="5" t="s">
        <v>303</v>
      </c>
      <c r="BJ487" s="5" t="s">
        <v>240</v>
      </c>
      <c r="BK487" s="8">
        <f>0</f>
        <v>0</v>
      </c>
      <c r="BL487" s="7">
        <f>0</f>
        <v>0</v>
      </c>
      <c r="BM487" s="5" t="s">
        <v>258</v>
      </c>
      <c r="BN487" s="5" t="s">
        <v>259</v>
      </c>
      <c r="CB487" s="5" t="s">
        <v>240</v>
      </c>
      <c r="CC487" s="5" t="s">
        <v>240</v>
      </c>
      <c r="CG487" s="5" t="s">
        <v>617</v>
      </c>
      <c r="CH487" s="5" t="s">
        <v>305</v>
      </c>
      <c r="CI487" s="5" t="s">
        <v>240</v>
      </c>
      <c r="CL487" s="6" t="s">
        <v>261</v>
      </c>
      <c r="CM487" s="5" t="s">
        <v>240</v>
      </c>
      <c r="CN487" s="5" t="s">
        <v>263</v>
      </c>
      <c r="CO487" s="5" t="s">
        <v>240</v>
      </c>
      <c r="CP487" s="5" t="s">
        <v>240</v>
      </c>
      <c r="CQ487" s="5">
        <v>0</v>
      </c>
      <c r="CR487" s="5" t="s">
        <v>306</v>
      </c>
      <c r="CS487" s="5" t="s">
        <v>307</v>
      </c>
      <c r="CT487" s="5" t="s">
        <v>307</v>
      </c>
      <c r="CU487" s="5" t="s">
        <v>260</v>
      </c>
      <c r="CX487" s="7">
        <f>120197</f>
        <v>120197</v>
      </c>
      <c r="CY487" s="7">
        <f>0</f>
        <v>0</v>
      </c>
      <c r="DA487" s="7">
        <f>0</f>
        <v>0</v>
      </c>
      <c r="DC487" s="5" t="s">
        <v>854</v>
      </c>
      <c r="DD487" s="5" t="s">
        <v>240</v>
      </c>
      <c r="DF487" s="5" t="s">
        <v>450</v>
      </c>
      <c r="DG487" s="7">
        <f>0</f>
        <v>0</v>
      </c>
      <c r="DI487" s="5" t="s">
        <v>737</v>
      </c>
      <c r="DJ487" s="5" t="s">
        <v>240</v>
      </c>
      <c r="DK487" s="5" t="s">
        <v>240</v>
      </c>
      <c r="DL487" s="5" t="s">
        <v>240</v>
      </c>
      <c r="DP487" s="5" t="s">
        <v>240</v>
      </c>
      <c r="DQ487" s="5" t="s">
        <v>240</v>
      </c>
      <c r="DR487" s="5" t="s">
        <v>240</v>
      </c>
      <c r="DS487" s="5" t="s">
        <v>240</v>
      </c>
      <c r="DV487" s="5" t="s">
        <v>957</v>
      </c>
      <c r="DW487" s="5" t="s">
        <v>707</v>
      </c>
      <c r="HO487" s="5" t="s">
        <v>312</v>
      </c>
    </row>
    <row r="488" spans="1:223" x14ac:dyDescent="0.4">
      <c r="A488" s="5">
        <v>1350</v>
      </c>
      <c r="B488" s="5">
        <v>1</v>
      </c>
      <c r="C488" s="5">
        <v>1</v>
      </c>
      <c r="D488" s="5" t="s">
        <v>723</v>
      </c>
      <c r="E488" s="5" t="s">
        <v>725</v>
      </c>
      <c r="F488" s="5" t="s">
        <v>254</v>
      </c>
      <c r="G488" s="5" t="s">
        <v>240</v>
      </c>
      <c r="H488" s="6" t="s">
        <v>1111</v>
      </c>
      <c r="I488" s="5" t="s">
        <v>722</v>
      </c>
      <c r="J488" s="8">
        <f>1397</f>
        <v>1397</v>
      </c>
      <c r="K488" s="5" t="s">
        <v>308</v>
      </c>
      <c r="L488" s="7">
        <f>15367</f>
        <v>15367</v>
      </c>
      <c r="M488" s="7">
        <f>15367</f>
        <v>15367</v>
      </c>
      <c r="N488" s="5" t="s">
        <v>242</v>
      </c>
      <c r="O488" s="5">
        <v>1</v>
      </c>
      <c r="P488" s="5" t="s">
        <v>294</v>
      </c>
      <c r="Q488" s="5" t="s">
        <v>613</v>
      </c>
      <c r="R488" s="5" t="s">
        <v>240</v>
      </c>
      <c r="S488" s="5" t="s">
        <v>240</v>
      </c>
      <c r="T488" s="5" t="s">
        <v>243</v>
      </c>
      <c r="U488" s="5" t="s">
        <v>724</v>
      </c>
      <c r="V488" s="5" t="s">
        <v>240</v>
      </c>
      <c r="Y488" s="5" t="s">
        <v>240</v>
      </c>
      <c r="Z488" s="6" t="s">
        <v>298</v>
      </c>
      <c r="AB488" s="6" t="s">
        <v>240</v>
      </c>
      <c r="AE488" s="6" t="s">
        <v>299</v>
      </c>
      <c r="AF488" s="5" t="s">
        <v>248</v>
      </c>
      <c r="AG488" s="5" t="s">
        <v>249</v>
      </c>
      <c r="AW488" s="5" t="s">
        <v>251</v>
      </c>
      <c r="AX488" s="5" t="s">
        <v>240</v>
      </c>
      <c r="AY488" s="5" t="s">
        <v>253</v>
      </c>
      <c r="AZ488" s="5" t="s">
        <v>240</v>
      </c>
      <c r="BA488" s="5" t="s">
        <v>255</v>
      </c>
      <c r="BB488" s="5" t="s">
        <v>240</v>
      </c>
      <c r="BD488" s="5" t="s">
        <v>240</v>
      </c>
      <c r="BF488" s="5" t="s">
        <v>301</v>
      </c>
      <c r="BG488" s="6" t="s">
        <v>299</v>
      </c>
      <c r="BH488" s="5" t="s">
        <v>302</v>
      </c>
      <c r="BI488" s="5" t="s">
        <v>303</v>
      </c>
      <c r="BJ488" s="5" t="s">
        <v>240</v>
      </c>
      <c r="BK488" s="8">
        <f>0</f>
        <v>0</v>
      </c>
      <c r="BL488" s="7">
        <f>0</f>
        <v>0</v>
      </c>
      <c r="BM488" s="5" t="s">
        <v>258</v>
      </c>
      <c r="BN488" s="5" t="s">
        <v>259</v>
      </c>
      <c r="CB488" s="5" t="s">
        <v>240</v>
      </c>
      <c r="CC488" s="5" t="s">
        <v>240</v>
      </c>
      <c r="CG488" s="5" t="s">
        <v>617</v>
      </c>
      <c r="CH488" s="5" t="s">
        <v>305</v>
      </c>
      <c r="CI488" s="5" t="s">
        <v>240</v>
      </c>
      <c r="CL488" s="6" t="s">
        <v>261</v>
      </c>
      <c r="CM488" s="5" t="s">
        <v>240</v>
      </c>
      <c r="CN488" s="5" t="s">
        <v>263</v>
      </c>
      <c r="CO488" s="5" t="s">
        <v>240</v>
      </c>
      <c r="CP488" s="5" t="s">
        <v>240</v>
      </c>
      <c r="CQ488" s="5">
        <v>0</v>
      </c>
      <c r="CR488" s="5" t="s">
        <v>306</v>
      </c>
      <c r="CS488" s="5" t="s">
        <v>307</v>
      </c>
      <c r="CT488" s="5" t="s">
        <v>307</v>
      </c>
      <c r="CU488" s="5" t="s">
        <v>260</v>
      </c>
      <c r="CX488" s="7">
        <f>29161</f>
        <v>29161</v>
      </c>
      <c r="CY488" s="7">
        <f>0</f>
        <v>0</v>
      </c>
      <c r="DA488" s="7">
        <f>0</f>
        <v>0</v>
      </c>
      <c r="DC488" s="5" t="s">
        <v>854</v>
      </c>
      <c r="DD488" s="5" t="s">
        <v>240</v>
      </c>
      <c r="DF488" s="5" t="s">
        <v>450</v>
      </c>
      <c r="DG488" s="7">
        <f>0</f>
        <v>0</v>
      </c>
      <c r="DI488" s="5" t="s">
        <v>737</v>
      </c>
      <c r="DJ488" s="5" t="s">
        <v>240</v>
      </c>
      <c r="DK488" s="5" t="s">
        <v>240</v>
      </c>
      <c r="DL488" s="5" t="s">
        <v>240</v>
      </c>
      <c r="DP488" s="5" t="s">
        <v>240</v>
      </c>
      <c r="DQ488" s="5" t="s">
        <v>240</v>
      </c>
      <c r="DR488" s="5" t="s">
        <v>240</v>
      </c>
      <c r="DS488" s="5" t="s">
        <v>240</v>
      </c>
      <c r="DV488" s="5" t="s">
        <v>957</v>
      </c>
      <c r="DW488" s="5" t="s">
        <v>709</v>
      </c>
      <c r="HO488" s="5" t="s">
        <v>312</v>
      </c>
    </row>
    <row r="489" spans="1:223" x14ac:dyDescent="0.4">
      <c r="A489" s="5">
        <v>1351</v>
      </c>
      <c r="B489" s="5">
        <v>1</v>
      </c>
      <c r="C489" s="5">
        <v>1</v>
      </c>
      <c r="D489" s="5" t="s">
        <v>723</v>
      </c>
      <c r="E489" s="5" t="s">
        <v>725</v>
      </c>
      <c r="F489" s="5" t="s">
        <v>254</v>
      </c>
      <c r="G489" s="5" t="s">
        <v>240</v>
      </c>
      <c r="H489" s="6" t="s">
        <v>1112</v>
      </c>
      <c r="I489" s="5" t="s">
        <v>722</v>
      </c>
      <c r="J489" s="8">
        <f>729</f>
        <v>729</v>
      </c>
      <c r="K489" s="5" t="s">
        <v>308</v>
      </c>
      <c r="L489" s="7">
        <f>8019</f>
        <v>8019</v>
      </c>
      <c r="M489" s="7">
        <f>8019</f>
        <v>8019</v>
      </c>
      <c r="N489" s="5" t="s">
        <v>242</v>
      </c>
      <c r="O489" s="5">
        <v>1</v>
      </c>
      <c r="P489" s="5" t="s">
        <v>294</v>
      </c>
      <c r="Q489" s="5" t="s">
        <v>613</v>
      </c>
      <c r="R489" s="5" t="s">
        <v>240</v>
      </c>
      <c r="S489" s="5" t="s">
        <v>240</v>
      </c>
      <c r="T489" s="5" t="s">
        <v>243</v>
      </c>
      <c r="U489" s="5" t="s">
        <v>724</v>
      </c>
      <c r="V489" s="5" t="s">
        <v>240</v>
      </c>
      <c r="Y489" s="5" t="s">
        <v>240</v>
      </c>
      <c r="Z489" s="6" t="s">
        <v>298</v>
      </c>
      <c r="AB489" s="6" t="s">
        <v>240</v>
      </c>
      <c r="AE489" s="6" t="s">
        <v>299</v>
      </c>
      <c r="AF489" s="5" t="s">
        <v>248</v>
      </c>
      <c r="AG489" s="5" t="s">
        <v>249</v>
      </c>
      <c r="AW489" s="5" t="s">
        <v>251</v>
      </c>
      <c r="AX489" s="5" t="s">
        <v>240</v>
      </c>
      <c r="AY489" s="5" t="s">
        <v>253</v>
      </c>
      <c r="AZ489" s="5" t="s">
        <v>240</v>
      </c>
      <c r="BA489" s="5" t="s">
        <v>255</v>
      </c>
      <c r="BB489" s="5" t="s">
        <v>240</v>
      </c>
      <c r="BD489" s="5" t="s">
        <v>240</v>
      </c>
      <c r="BF489" s="5" t="s">
        <v>301</v>
      </c>
      <c r="BG489" s="6" t="s">
        <v>299</v>
      </c>
      <c r="BH489" s="5" t="s">
        <v>302</v>
      </c>
      <c r="BI489" s="5" t="s">
        <v>303</v>
      </c>
      <c r="BJ489" s="5" t="s">
        <v>240</v>
      </c>
      <c r="BK489" s="8">
        <f>0</f>
        <v>0</v>
      </c>
      <c r="BL489" s="7">
        <f>0</f>
        <v>0</v>
      </c>
      <c r="BM489" s="5" t="s">
        <v>258</v>
      </c>
      <c r="BN489" s="5" t="s">
        <v>259</v>
      </c>
      <c r="CB489" s="5" t="s">
        <v>240</v>
      </c>
      <c r="CC489" s="5" t="s">
        <v>240</v>
      </c>
      <c r="CG489" s="5" t="s">
        <v>617</v>
      </c>
      <c r="CH489" s="5" t="s">
        <v>305</v>
      </c>
      <c r="CI489" s="5" t="s">
        <v>240</v>
      </c>
      <c r="CL489" s="6" t="s">
        <v>261</v>
      </c>
      <c r="CM489" s="5" t="s">
        <v>240</v>
      </c>
      <c r="CN489" s="5" t="s">
        <v>263</v>
      </c>
      <c r="CO489" s="5" t="s">
        <v>240</v>
      </c>
      <c r="CP489" s="5" t="s">
        <v>240</v>
      </c>
      <c r="CQ489" s="5">
        <v>0</v>
      </c>
      <c r="CR489" s="5" t="s">
        <v>306</v>
      </c>
      <c r="CS489" s="5" t="s">
        <v>307</v>
      </c>
      <c r="CT489" s="5" t="s">
        <v>307</v>
      </c>
      <c r="CU489" s="5" t="s">
        <v>260</v>
      </c>
      <c r="CX489" s="7">
        <f>6061</f>
        <v>6061</v>
      </c>
      <c r="CY489" s="7">
        <f>0</f>
        <v>0</v>
      </c>
      <c r="DA489" s="7">
        <f>0</f>
        <v>0</v>
      </c>
      <c r="DC489" s="5" t="s">
        <v>854</v>
      </c>
      <c r="DD489" s="5" t="s">
        <v>240</v>
      </c>
      <c r="DF489" s="5" t="s">
        <v>450</v>
      </c>
      <c r="DG489" s="7">
        <f>0</f>
        <v>0</v>
      </c>
      <c r="DI489" s="5" t="s">
        <v>737</v>
      </c>
      <c r="DJ489" s="5" t="s">
        <v>240</v>
      </c>
      <c r="DK489" s="5" t="s">
        <v>240</v>
      </c>
      <c r="DL489" s="5" t="s">
        <v>240</v>
      </c>
      <c r="DP489" s="5" t="s">
        <v>240</v>
      </c>
      <c r="DQ489" s="5" t="s">
        <v>240</v>
      </c>
      <c r="DR489" s="5" t="s">
        <v>240</v>
      </c>
      <c r="DS489" s="5" t="s">
        <v>240</v>
      </c>
      <c r="DV489" s="5" t="s">
        <v>957</v>
      </c>
      <c r="DW489" s="5" t="s">
        <v>711</v>
      </c>
      <c r="HO489" s="5" t="s">
        <v>312</v>
      </c>
    </row>
    <row r="490" spans="1:223" x14ac:dyDescent="0.4">
      <c r="A490" s="5">
        <v>1352</v>
      </c>
      <c r="B490" s="5">
        <v>1</v>
      </c>
      <c r="C490" s="5">
        <v>1</v>
      </c>
      <c r="D490" s="5" t="s">
        <v>723</v>
      </c>
      <c r="E490" s="5" t="s">
        <v>725</v>
      </c>
      <c r="F490" s="5" t="s">
        <v>254</v>
      </c>
      <c r="G490" s="5" t="s">
        <v>240</v>
      </c>
      <c r="H490" s="6" t="s">
        <v>1113</v>
      </c>
      <c r="I490" s="5" t="s">
        <v>722</v>
      </c>
      <c r="J490" s="8">
        <f>6575</f>
        <v>6575</v>
      </c>
      <c r="K490" s="5" t="s">
        <v>308</v>
      </c>
      <c r="L490" s="7">
        <f>72325</f>
        <v>72325</v>
      </c>
      <c r="M490" s="7">
        <f>72325</f>
        <v>72325</v>
      </c>
      <c r="N490" s="5" t="s">
        <v>242</v>
      </c>
      <c r="O490" s="5">
        <v>1</v>
      </c>
      <c r="P490" s="5" t="s">
        <v>294</v>
      </c>
      <c r="Q490" s="5" t="s">
        <v>613</v>
      </c>
      <c r="R490" s="5" t="s">
        <v>240</v>
      </c>
      <c r="S490" s="5" t="s">
        <v>240</v>
      </c>
      <c r="T490" s="5" t="s">
        <v>243</v>
      </c>
      <c r="U490" s="5" t="s">
        <v>724</v>
      </c>
      <c r="V490" s="5" t="s">
        <v>240</v>
      </c>
      <c r="Y490" s="5" t="s">
        <v>240</v>
      </c>
      <c r="Z490" s="6" t="s">
        <v>298</v>
      </c>
      <c r="AB490" s="6" t="s">
        <v>240</v>
      </c>
      <c r="AE490" s="6" t="s">
        <v>299</v>
      </c>
      <c r="AF490" s="5" t="s">
        <v>248</v>
      </c>
      <c r="AG490" s="5" t="s">
        <v>249</v>
      </c>
      <c r="AW490" s="5" t="s">
        <v>251</v>
      </c>
      <c r="AX490" s="5" t="s">
        <v>240</v>
      </c>
      <c r="AY490" s="5" t="s">
        <v>253</v>
      </c>
      <c r="AZ490" s="5" t="s">
        <v>240</v>
      </c>
      <c r="BA490" s="5" t="s">
        <v>255</v>
      </c>
      <c r="BB490" s="5" t="s">
        <v>240</v>
      </c>
      <c r="BD490" s="5" t="s">
        <v>240</v>
      </c>
      <c r="BF490" s="5" t="s">
        <v>301</v>
      </c>
      <c r="BG490" s="6" t="s">
        <v>299</v>
      </c>
      <c r="BH490" s="5" t="s">
        <v>302</v>
      </c>
      <c r="BI490" s="5" t="s">
        <v>303</v>
      </c>
      <c r="BJ490" s="5" t="s">
        <v>240</v>
      </c>
      <c r="BK490" s="8">
        <f>0</f>
        <v>0</v>
      </c>
      <c r="BL490" s="7">
        <f>0</f>
        <v>0</v>
      </c>
      <c r="BM490" s="5" t="s">
        <v>258</v>
      </c>
      <c r="BN490" s="5" t="s">
        <v>259</v>
      </c>
      <c r="CB490" s="5" t="s">
        <v>240</v>
      </c>
      <c r="CC490" s="5" t="s">
        <v>240</v>
      </c>
      <c r="CG490" s="5" t="s">
        <v>617</v>
      </c>
      <c r="CH490" s="5" t="s">
        <v>305</v>
      </c>
      <c r="CI490" s="5" t="s">
        <v>240</v>
      </c>
      <c r="CL490" s="6" t="s">
        <v>261</v>
      </c>
      <c r="CM490" s="5" t="s">
        <v>240</v>
      </c>
      <c r="CN490" s="5" t="s">
        <v>263</v>
      </c>
      <c r="CO490" s="5" t="s">
        <v>240</v>
      </c>
      <c r="CP490" s="5" t="s">
        <v>240</v>
      </c>
      <c r="CQ490" s="5">
        <v>0</v>
      </c>
      <c r="CR490" s="5" t="s">
        <v>306</v>
      </c>
      <c r="CS490" s="5" t="s">
        <v>307</v>
      </c>
      <c r="CT490" s="5" t="s">
        <v>307</v>
      </c>
      <c r="CU490" s="5" t="s">
        <v>260</v>
      </c>
      <c r="CX490" s="7">
        <f>6281</f>
        <v>6281</v>
      </c>
      <c r="CY490" s="7">
        <f>0</f>
        <v>0</v>
      </c>
      <c r="DA490" s="7">
        <f>0</f>
        <v>0</v>
      </c>
      <c r="DC490" s="5" t="s">
        <v>854</v>
      </c>
      <c r="DD490" s="5" t="s">
        <v>240</v>
      </c>
      <c r="DF490" s="5" t="s">
        <v>450</v>
      </c>
      <c r="DG490" s="7">
        <f>0</f>
        <v>0</v>
      </c>
      <c r="DI490" s="5" t="s">
        <v>737</v>
      </c>
      <c r="DJ490" s="5" t="s">
        <v>240</v>
      </c>
      <c r="DK490" s="5" t="s">
        <v>240</v>
      </c>
      <c r="DL490" s="5" t="s">
        <v>240</v>
      </c>
      <c r="DP490" s="5" t="s">
        <v>240</v>
      </c>
      <c r="DQ490" s="5" t="s">
        <v>240</v>
      </c>
      <c r="DR490" s="5" t="s">
        <v>240</v>
      </c>
      <c r="DS490" s="5" t="s">
        <v>240</v>
      </c>
      <c r="DV490" s="5" t="s">
        <v>957</v>
      </c>
      <c r="DW490" s="5" t="s">
        <v>713</v>
      </c>
      <c r="HO490" s="5" t="s">
        <v>312</v>
      </c>
    </row>
    <row r="491" spans="1:223" x14ac:dyDescent="0.4">
      <c r="A491" s="5">
        <v>1353</v>
      </c>
      <c r="B491" s="5">
        <v>1</v>
      </c>
      <c r="C491" s="5">
        <v>1</v>
      </c>
      <c r="D491" s="5" t="s">
        <v>723</v>
      </c>
      <c r="E491" s="5" t="s">
        <v>725</v>
      </c>
      <c r="F491" s="5" t="s">
        <v>254</v>
      </c>
      <c r="G491" s="5" t="s">
        <v>240</v>
      </c>
      <c r="H491" s="6" t="s">
        <v>1114</v>
      </c>
      <c r="I491" s="5" t="s">
        <v>722</v>
      </c>
      <c r="J491" s="8">
        <f>363</f>
        <v>363</v>
      </c>
      <c r="K491" s="5" t="s">
        <v>308</v>
      </c>
      <c r="L491" s="7">
        <f>3993</f>
        <v>3993</v>
      </c>
      <c r="M491" s="7">
        <f>3993</f>
        <v>3993</v>
      </c>
      <c r="N491" s="5" t="s">
        <v>242</v>
      </c>
      <c r="O491" s="5">
        <v>1</v>
      </c>
      <c r="P491" s="5" t="s">
        <v>294</v>
      </c>
      <c r="Q491" s="5" t="s">
        <v>613</v>
      </c>
      <c r="R491" s="5" t="s">
        <v>240</v>
      </c>
      <c r="S491" s="5" t="s">
        <v>240</v>
      </c>
      <c r="T491" s="5" t="s">
        <v>243</v>
      </c>
      <c r="U491" s="5" t="s">
        <v>724</v>
      </c>
      <c r="V491" s="5" t="s">
        <v>240</v>
      </c>
      <c r="Y491" s="5" t="s">
        <v>240</v>
      </c>
      <c r="Z491" s="6" t="s">
        <v>298</v>
      </c>
      <c r="AB491" s="6" t="s">
        <v>240</v>
      </c>
      <c r="AE491" s="6" t="s">
        <v>299</v>
      </c>
      <c r="AF491" s="5" t="s">
        <v>248</v>
      </c>
      <c r="AG491" s="5" t="s">
        <v>249</v>
      </c>
      <c r="AW491" s="5" t="s">
        <v>251</v>
      </c>
      <c r="AX491" s="5" t="s">
        <v>240</v>
      </c>
      <c r="AY491" s="5" t="s">
        <v>253</v>
      </c>
      <c r="AZ491" s="5" t="s">
        <v>240</v>
      </c>
      <c r="BA491" s="5" t="s">
        <v>255</v>
      </c>
      <c r="BB491" s="5" t="s">
        <v>240</v>
      </c>
      <c r="BD491" s="5" t="s">
        <v>240</v>
      </c>
      <c r="BF491" s="5" t="s">
        <v>301</v>
      </c>
      <c r="BG491" s="6" t="s">
        <v>299</v>
      </c>
      <c r="BH491" s="5" t="s">
        <v>302</v>
      </c>
      <c r="BI491" s="5" t="s">
        <v>303</v>
      </c>
      <c r="BJ491" s="5" t="s">
        <v>240</v>
      </c>
      <c r="BK491" s="8">
        <f>0</f>
        <v>0</v>
      </c>
      <c r="BL491" s="7">
        <f>0</f>
        <v>0</v>
      </c>
      <c r="BM491" s="5" t="s">
        <v>258</v>
      </c>
      <c r="BN491" s="5" t="s">
        <v>259</v>
      </c>
      <c r="CB491" s="5" t="s">
        <v>240</v>
      </c>
      <c r="CC491" s="5" t="s">
        <v>240</v>
      </c>
      <c r="CG491" s="5" t="s">
        <v>617</v>
      </c>
      <c r="CH491" s="5" t="s">
        <v>305</v>
      </c>
      <c r="CI491" s="5" t="s">
        <v>240</v>
      </c>
      <c r="CL491" s="6" t="s">
        <v>261</v>
      </c>
      <c r="CM491" s="5" t="s">
        <v>240</v>
      </c>
      <c r="CN491" s="5" t="s">
        <v>263</v>
      </c>
      <c r="CO491" s="5" t="s">
        <v>240</v>
      </c>
      <c r="CP491" s="5" t="s">
        <v>240</v>
      </c>
      <c r="CQ491" s="5">
        <v>0</v>
      </c>
      <c r="CR491" s="5" t="s">
        <v>306</v>
      </c>
      <c r="CS491" s="5" t="s">
        <v>307</v>
      </c>
      <c r="CT491" s="5" t="s">
        <v>307</v>
      </c>
      <c r="CU491" s="5" t="s">
        <v>260</v>
      </c>
      <c r="CX491" s="7">
        <f>8987</f>
        <v>8987</v>
      </c>
      <c r="CY491" s="7">
        <f>0</f>
        <v>0</v>
      </c>
      <c r="DA491" s="7">
        <f>0</f>
        <v>0</v>
      </c>
      <c r="DC491" s="5" t="s">
        <v>854</v>
      </c>
      <c r="DD491" s="5" t="s">
        <v>240</v>
      </c>
      <c r="DF491" s="5" t="s">
        <v>450</v>
      </c>
      <c r="DG491" s="7">
        <f>0</f>
        <v>0</v>
      </c>
      <c r="DI491" s="5" t="s">
        <v>737</v>
      </c>
      <c r="DJ491" s="5" t="s">
        <v>240</v>
      </c>
      <c r="DK491" s="5" t="s">
        <v>240</v>
      </c>
      <c r="DL491" s="5" t="s">
        <v>240</v>
      </c>
      <c r="DP491" s="5" t="s">
        <v>240</v>
      </c>
      <c r="DQ491" s="5" t="s">
        <v>240</v>
      </c>
      <c r="DR491" s="5" t="s">
        <v>240</v>
      </c>
      <c r="DS491" s="5" t="s">
        <v>240</v>
      </c>
      <c r="DV491" s="5" t="s">
        <v>957</v>
      </c>
      <c r="DW491" s="5" t="s">
        <v>715</v>
      </c>
      <c r="HO491" s="5" t="s">
        <v>312</v>
      </c>
    </row>
    <row r="492" spans="1:223" x14ac:dyDescent="0.4">
      <c r="A492" s="5">
        <v>1354</v>
      </c>
      <c r="B492" s="5">
        <v>1</v>
      </c>
      <c r="C492" s="5">
        <v>1</v>
      </c>
      <c r="D492" s="5" t="s">
        <v>723</v>
      </c>
      <c r="E492" s="5" t="s">
        <v>725</v>
      </c>
      <c r="F492" s="5" t="s">
        <v>254</v>
      </c>
      <c r="G492" s="5" t="s">
        <v>240</v>
      </c>
      <c r="H492" s="6" t="s">
        <v>1115</v>
      </c>
      <c r="I492" s="5" t="s">
        <v>722</v>
      </c>
      <c r="J492" s="8">
        <f>663</f>
        <v>663</v>
      </c>
      <c r="K492" s="5" t="s">
        <v>308</v>
      </c>
      <c r="L492" s="7">
        <f>7293</f>
        <v>7293</v>
      </c>
      <c r="M492" s="7">
        <f>7293</f>
        <v>7293</v>
      </c>
      <c r="N492" s="5" t="s">
        <v>242</v>
      </c>
      <c r="O492" s="5">
        <v>1</v>
      </c>
      <c r="P492" s="5" t="s">
        <v>294</v>
      </c>
      <c r="Q492" s="5" t="s">
        <v>613</v>
      </c>
      <c r="R492" s="5" t="s">
        <v>240</v>
      </c>
      <c r="S492" s="5" t="s">
        <v>240</v>
      </c>
      <c r="T492" s="5" t="s">
        <v>243</v>
      </c>
      <c r="U492" s="5" t="s">
        <v>724</v>
      </c>
      <c r="V492" s="5" t="s">
        <v>240</v>
      </c>
      <c r="Y492" s="5" t="s">
        <v>240</v>
      </c>
      <c r="Z492" s="6" t="s">
        <v>298</v>
      </c>
      <c r="AB492" s="6" t="s">
        <v>240</v>
      </c>
      <c r="AE492" s="6" t="s">
        <v>299</v>
      </c>
      <c r="AF492" s="5" t="s">
        <v>248</v>
      </c>
      <c r="AG492" s="5" t="s">
        <v>249</v>
      </c>
      <c r="AW492" s="5" t="s">
        <v>251</v>
      </c>
      <c r="AX492" s="5" t="s">
        <v>240</v>
      </c>
      <c r="AY492" s="5" t="s">
        <v>253</v>
      </c>
      <c r="AZ492" s="5" t="s">
        <v>240</v>
      </c>
      <c r="BA492" s="5" t="s">
        <v>255</v>
      </c>
      <c r="BB492" s="5" t="s">
        <v>240</v>
      </c>
      <c r="BD492" s="5" t="s">
        <v>240</v>
      </c>
      <c r="BF492" s="5" t="s">
        <v>301</v>
      </c>
      <c r="BG492" s="6" t="s">
        <v>299</v>
      </c>
      <c r="BH492" s="5" t="s">
        <v>302</v>
      </c>
      <c r="BI492" s="5" t="s">
        <v>303</v>
      </c>
      <c r="BJ492" s="5" t="s">
        <v>240</v>
      </c>
      <c r="BK492" s="8">
        <f>0</f>
        <v>0</v>
      </c>
      <c r="BL492" s="7">
        <f>0</f>
        <v>0</v>
      </c>
      <c r="BM492" s="5" t="s">
        <v>258</v>
      </c>
      <c r="BN492" s="5" t="s">
        <v>259</v>
      </c>
      <c r="CB492" s="5" t="s">
        <v>240</v>
      </c>
      <c r="CC492" s="5" t="s">
        <v>240</v>
      </c>
      <c r="CG492" s="5" t="s">
        <v>617</v>
      </c>
      <c r="CH492" s="5" t="s">
        <v>305</v>
      </c>
      <c r="CI492" s="5" t="s">
        <v>240</v>
      </c>
      <c r="CL492" s="6" t="s">
        <v>261</v>
      </c>
      <c r="CM492" s="5" t="s">
        <v>240</v>
      </c>
      <c r="CN492" s="5" t="s">
        <v>263</v>
      </c>
      <c r="CO492" s="5" t="s">
        <v>240</v>
      </c>
      <c r="CP492" s="5" t="s">
        <v>240</v>
      </c>
      <c r="CQ492" s="5">
        <v>0</v>
      </c>
      <c r="CR492" s="5" t="s">
        <v>306</v>
      </c>
      <c r="CS492" s="5" t="s">
        <v>307</v>
      </c>
      <c r="CT492" s="5" t="s">
        <v>307</v>
      </c>
      <c r="CU492" s="5" t="s">
        <v>260</v>
      </c>
      <c r="CX492" s="7">
        <f>16280</f>
        <v>16280</v>
      </c>
      <c r="CY492" s="7">
        <f>0</f>
        <v>0</v>
      </c>
      <c r="DA492" s="7">
        <f>0</f>
        <v>0</v>
      </c>
      <c r="DC492" s="5" t="s">
        <v>854</v>
      </c>
      <c r="DD492" s="5" t="s">
        <v>240</v>
      </c>
      <c r="DF492" s="5" t="s">
        <v>450</v>
      </c>
      <c r="DG492" s="7">
        <f>0</f>
        <v>0</v>
      </c>
      <c r="DI492" s="5" t="s">
        <v>737</v>
      </c>
      <c r="DJ492" s="5" t="s">
        <v>240</v>
      </c>
      <c r="DK492" s="5" t="s">
        <v>240</v>
      </c>
      <c r="DL492" s="5" t="s">
        <v>240</v>
      </c>
      <c r="DP492" s="5" t="s">
        <v>240</v>
      </c>
      <c r="DQ492" s="5" t="s">
        <v>240</v>
      </c>
      <c r="DR492" s="5" t="s">
        <v>240</v>
      </c>
      <c r="DS492" s="5" t="s">
        <v>240</v>
      </c>
      <c r="DV492" s="5" t="s">
        <v>957</v>
      </c>
      <c r="DW492" s="5" t="s">
        <v>717</v>
      </c>
      <c r="HO492" s="5" t="s">
        <v>312</v>
      </c>
    </row>
    <row r="493" spans="1:223" x14ac:dyDescent="0.4">
      <c r="A493" s="5">
        <v>1355</v>
      </c>
      <c r="B493" s="5">
        <v>1</v>
      </c>
      <c r="C493" s="5">
        <v>1</v>
      </c>
      <c r="D493" s="5" t="s">
        <v>723</v>
      </c>
      <c r="E493" s="5" t="s">
        <v>725</v>
      </c>
      <c r="F493" s="5" t="s">
        <v>254</v>
      </c>
      <c r="G493" s="5" t="s">
        <v>240</v>
      </c>
      <c r="H493" s="6" t="s">
        <v>1116</v>
      </c>
      <c r="I493" s="5" t="s">
        <v>722</v>
      </c>
      <c r="J493" s="8">
        <f>2147</f>
        <v>2147</v>
      </c>
      <c r="K493" s="5" t="s">
        <v>308</v>
      </c>
      <c r="L493" s="7">
        <f>23617</f>
        <v>23617</v>
      </c>
      <c r="M493" s="7">
        <f>23617</f>
        <v>23617</v>
      </c>
      <c r="N493" s="5" t="s">
        <v>242</v>
      </c>
      <c r="O493" s="5">
        <v>1</v>
      </c>
      <c r="P493" s="5" t="s">
        <v>294</v>
      </c>
      <c r="Q493" s="5" t="s">
        <v>613</v>
      </c>
      <c r="R493" s="5" t="s">
        <v>240</v>
      </c>
      <c r="S493" s="5" t="s">
        <v>240</v>
      </c>
      <c r="T493" s="5" t="s">
        <v>243</v>
      </c>
      <c r="U493" s="5" t="s">
        <v>724</v>
      </c>
      <c r="V493" s="5" t="s">
        <v>240</v>
      </c>
      <c r="Y493" s="5" t="s">
        <v>240</v>
      </c>
      <c r="Z493" s="6" t="s">
        <v>298</v>
      </c>
      <c r="AB493" s="6" t="s">
        <v>240</v>
      </c>
      <c r="AE493" s="6" t="s">
        <v>299</v>
      </c>
      <c r="AF493" s="5" t="s">
        <v>248</v>
      </c>
      <c r="AG493" s="5" t="s">
        <v>249</v>
      </c>
      <c r="AW493" s="5" t="s">
        <v>251</v>
      </c>
      <c r="AX493" s="5" t="s">
        <v>240</v>
      </c>
      <c r="AY493" s="5" t="s">
        <v>253</v>
      </c>
      <c r="AZ493" s="5" t="s">
        <v>240</v>
      </c>
      <c r="BA493" s="5" t="s">
        <v>255</v>
      </c>
      <c r="BB493" s="5" t="s">
        <v>240</v>
      </c>
      <c r="BD493" s="5" t="s">
        <v>240</v>
      </c>
      <c r="BF493" s="5" t="s">
        <v>301</v>
      </c>
      <c r="BG493" s="6" t="s">
        <v>299</v>
      </c>
      <c r="BH493" s="5" t="s">
        <v>302</v>
      </c>
      <c r="BI493" s="5" t="s">
        <v>303</v>
      </c>
      <c r="BJ493" s="5" t="s">
        <v>240</v>
      </c>
      <c r="BK493" s="8">
        <f>0</f>
        <v>0</v>
      </c>
      <c r="BL493" s="7">
        <f>0</f>
        <v>0</v>
      </c>
      <c r="BM493" s="5" t="s">
        <v>258</v>
      </c>
      <c r="BN493" s="5" t="s">
        <v>259</v>
      </c>
      <c r="CB493" s="5" t="s">
        <v>240</v>
      </c>
      <c r="CC493" s="5" t="s">
        <v>240</v>
      </c>
      <c r="CG493" s="5" t="s">
        <v>617</v>
      </c>
      <c r="CH493" s="5" t="s">
        <v>305</v>
      </c>
      <c r="CI493" s="5" t="s">
        <v>240</v>
      </c>
      <c r="CL493" s="6" t="s">
        <v>261</v>
      </c>
      <c r="CM493" s="5" t="s">
        <v>240</v>
      </c>
      <c r="CN493" s="5" t="s">
        <v>263</v>
      </c>
      <c r="CO493" s="5" t="s">
        <v>240</v>
      </c>
      <c r="CP493" s="5" t="s">
        <v>240</v>
      </c>
      <c r="CQ493" s="5">
        <v>0</v>
      </c>
      <c r="CR493" s="5" t="s">
        <v>306</v>
      </c>
      <c r="CS493" s="5" t="s">
        <v>307</v>
      </c>
      <c r="CT493" s="5" t="s">
        <v>307</v>
      </c>
      <c r="CU493" s="5" t="s">
        <v>260</v>
      </c>
      <c r="CX493" s="7">
        <f>3927</f>
        <v>3927</v>
      </c>
      <c r="CY493" s="7">
        <f>0</f>
        <v>0</v>
      </c>
      <c r="DA493" s="7">
        <f>0</f>
        <v>0</v>
      </c>
      <c r="DC493" s="5" t="s">
        <v>854</v>
      </c>
      <c r="DD493" s="5" t="s">
        <v>240</v>
      </c>
      <c r="DF493" s="5" t="s">
        <v>450</v>
      </c>
      <c r="DG493" s="7">
        <f>0</f>
        <v>0</v>
      </c>
      <c r="DI493" s="5" t="s">
        <v>737</v>
      </c>
      <c r="DJ493" s="5" t="s">
        <v>240</v>
      </c>
      <c r="DK493" s="5" t="s">
        <v>240</v>
      </c>
      <c r="DL493" s="5" t="s">
        <v>240</v>
      </c>
      <c r="DP493" s="5" t="s">
        <v>240</v>
      </c>
      <c r="DQ493" s="5" t="s">
        <v>240</v>
      </c>
      <c r="DR493" s="5" t="s">
        <v>240</v>
      </c>
      <c r="DS493" s="5" t="s">
        <v>240</v>
      </c>
      <c r="DV493" s="5" t="s">
        <v>957</v>
      </c>
      <c r="DW493" s="5" t="s">
        <v>719</v>
      </c>
      <c r="HO493" s="5" t="s">
        <v>312</v>
      </c>
    </row>
    <row r="494" spans="1:223" x14ac:dyDescent="0.4">
      <c r="A494" s="5">
        <v>1356</v>
      </c>
      <c r="B494" s="5">
        <v>1</v>
      </c>
      <c r="C494" s="5">
        <v>1</v>
      </c>
      <c r="D494" s="5" t="s">
        <v>723</v>
      </c>
      <c r="E494" s="5" t="s">
        <v>725</v>
      </c>
      <c r="F494" s="5" t="s">
        <v>254</v>
      </c>
      <c r="G494" s="5" t="s">
        <v>240</v>
      </c>
      <c r="H494" s="6" t="s">
        <v>1117</v>
      </c>
      <c r="I494" s="5" t="s">
        <v>722</v>
      </c>
      <c r="J494" s="8">
        <f>820</f>
        <v>820</v>
      </c>
      <c r="K494" s="5" t="s">
        <v>308</v>
      </c>
      <c r="L494" s="7">
        <f>9020</f>
        <v>9020</v>
      </c>
      <c r="M494" s="7">
        <f>9020</f>
        <v>9020</v>
      </c>
      <c r="N494" s="5" t="s">
        <v>242</v>
      </c>
      <c r="O494" s="5">
        <v>1</v>
      </c>
      <c r="P494" s="5" t="s">
        <v>294</v>
      </c>
      <c r="Q494" s="5" t="s">
        <v>613</v>
      </c>
      <c r="R494" s="5" t="s">
        <v>240</v>
      </c>
      <c r="S494" s="5" t="s">
        <v>240</v>
      </c>
      <c r="T494" s="5" t="s">
        <v>243</v>
      </c>
      <c r="U494" s="5" t="s">
        <v>724</v>
      </c>
      <c r="V494" s="5" t="s">
        <v>240</v>
      </c>
      <c r="Y494" s="5" t="s">
        <v>240</v>
      </c>
      <c r="Z494" s="6" t="s">
        <v>298</v>
      </c>
      <c r="AB494" s="6" t="s">
        <v>240</v>
      </c>
      <c r="AE494" s="6" t="s">
        <v>299</v>
      </c>
      <c r="AF494" s="5" t="s">
        <v>248</v>
      </c>
      <c r="AG494" s="5" t="s">
        <v>249</v>
      </c>
      <c r="AW494" s="5" t="s">
        <v>251</v>
      </c>
      <c r="AX494" s="5" t="s">
        <v>240</v>
      </c>
      <c r="AY494" s="5" t="s">
        <v>253</v>
      </c>
      <c r="AZ494" s="5" t="s">
        <v>240</v>
      </c>
      <c r="BA494" s="5" t="s">
        <v>255</v>
      </c>
      <c r="BB494" s="5" t="s">
        <v>240</v>
      </c>
      <c r="BD494" s="5" t="s">
        <v>240</v>
      </c>
      <c r="BF494" s="5" t="s">
        <v>301</v>
      </c>
      <c r="BG494" s="6" t="s">
        <v>299</v>
      </c>
      <c r="BH494" s="5" t="s">
        <v>302</v>
      </c>
      <c r="BI494" s="5" t="s">
        <v>303</v>
      </c>
      <c r="BJ494" s="5" t="s">
        <v>240</v>
      </c>
      <c r="BK494" s="8">
        <f>0</f>
        <v>0</v>
      </c>
      <c r="BL494" s="7">
        <f>0</f>
        <v>0</v>
      </c>
      <c r="BM494" s="5" t="s">
        <v>258</v>
      </c>
      <c r="BN494" s="5" t="s">
        <v>259</v>
      </c>
      <c r="CB494" s="5" t="s">
        <v>240</v>
      </c>
      <c r="CC494" s="5" t="s">
        <v>240</v>
      </c>
      <c r="CG494" s="5" t="s">
        <v>617</v>
      </c>
      <c r="CH494" s="5" t="s">
        <v>305</v>
      </c>
      <c r="CI494" s="5" t="s">
        <v>240</v>
      </c>
      <c r="CL494" s="6" t="s">
        <v>261</v>
      </c>
      <c r="CM494" s="5" t="s">
        <v>240</v>
      </c>
      <c r="CN494" s="5" t="s">
        <v>263</v>
      </c>
      <c r="CO494" s="5" t="s">
        <v>240</v>
      </c>
      <c r="CP494" s="5" t="s">
        <v>240</v>
      </c>
      <c r="CQ494" s="5">
        <v>0</v>
      </c>
      <c r="CR494" s="5" t="s">
        <v>306</v>
      </c>
      <c r="CS494" s="5" t="s">
        <v>307</v>
      </c>
      <c r="CT494" s="5" t="s">
        <v>307</v>
      </c>
      <c r="CU494" s="5" t="s">
        <v>260</v>
      </c>
      <c r="CX494" s="7">
        <f>30503</f>
        <v>30503</v>
      </c>
      <c r="CY494" s="7">
        <f>0</f>
        <v>0</v>
      </c>
      <c r="DA494" s="7">
        <f>0</f>
        <v>0</v>
      </c>
      <c r="DC494" s="5" t="s">
        <v>854</v>
      </c>
      <c r="DD494" s="5" t="s">
        <v>240</v>
      </c>
      <c r="DF494" s="5" t="s">
        <v>450</v>
      </c>
      <c r="DG494" s="7">
        <f>0</f>
        <v>0</v>
      </c>
      <c r="DI494" s="5" t="s">
        <v>737</v>
      </c>
      <c r="DJ494" s="5" t="s">
        <v>240</v>
      </c>
      <c r="DK494" s="5" t="s">
        <v>240</v>
      </c>
      <c r="DL494" s="5" t="s">
        <v>240</v>
      </c>
      <c r="DP494" s="5" t="s">
        <v>240</v>
      </c>
      <c r="DQ494" s="5" t="s">
        <v>240</v>
      </c>
      <c r="DR494" s="5" t="s">
        <v>240</v>
      </c>
      <c r="DS494" s="5" t="s">
        <v>240</v>
      </c>
      <c r="DV494" s="5" t="s">
        <v>957</v>
      </c>
      <c r="DW494" s="5" t="s">
        <v>744</v>
      </c>
      <c r="HO494" s="5" t="s">
        <v>312</v>
      </c>
    </row>
    <row r="495" spans="1:223" x14ac:dyDescent="0.4">
      <c r="A495" s="5">
        <v>1357</v>
      </c>
      <c r="B495" s="5">
        <v>1</v>
      </c>
      <c r="C495" s="5">
        <v>1</v>
      </c>
      <c r="D495" s="5" t="s">
        <v>723</v>
      </c>
      <c r="E495" s="5" t="s">
        <v>725</v>
      </c>
      <c r="F495" s="5" t="s">
        <v>254</v>
      </c>
      <c r="G495" s="5" t="s">
        <v>240</v>
      </c>
      <c r="H495" s="6" t="s">
        <v>1118</v>
      </c>
      <c r="I495" s="5" t="s">
        <v>722</v>
      </c>
      <c r="J495" s="8">
        <f>863</f>
        <v>863</v>
      </c>
      <c r="K495" s="5" t="s">
        <v>308</v>
      </c>
      <c r="L495" s="7">
        <f>9493</f>
        <v>9493</v>
      </c>
      <c r="M495" s="7">
        <f>9493</f>
        <v>9493</v>
      </c>
      <c r="N495" s="5" t="s">
        <v>242</v>
      </c>
      <c r="O495" s="5">
        <v>1</v>
      </c>
      <c r="P495" s="5" t="s">
        <v>294</v>
      </c>
      <c r="Q495" s="5" t="s">
        <v>613</v>
      </c>
      <c r="R495" s="5" t="s">
        <v>240</v>
      </c>
      <c r="S495" s="5" t="s">
        <v>240</v>
      </c>
      <c r="T495" s="5" t="s">
        <v>243</v>
      </c>
      <c r="U495" s="5" t="s">
        <v>724</v>
      </c>
      <c r="V495" s="5" t="s">
        <v>240</v>
      </c>
      <c r="Y495" s="5" t="s">
        <v>240</v>
      </c>
      <c r="Z495" s="6" t="s">
        <v>298</v>
      </c>
      <c r="AB495" s="6" t="s">
        <v>240</v>
      </c>
      <c r="AE495" s="6" t="s">
        <v>299</v>
      </c>
      <c r="AF495" s="5" t="s">
        <v>248</v>
      </c>
      <c r="AG495" s="5" t="s">
        <v>249</v>
      </c>
      <c r="AW495" s="5" t="s">
        <v>251</v>
      </c>
      <c r="AX495" s="5" t="s">
        <v>240</v>
      </c>
      <c r="AY495" s="5" t="s">
        <v>253</v>
      </c>
      <c r="AZ495" s="5" t="s">
        <v>240</v>
      </c>
      <c r="BA495" s="5" t="s">
        <v>255</v>
      </c>
      <c r="BB495" s="5" t="s">
        <v>240</v>
      </c>
      <c r="BD495" s="5" t="s">
        <v>240</v>
      </c>
      <c r="BF495" s="5" t="s">
        <v>301</v>
      </c>
      <c r="BG495" s="6" t="s">
        <v>299</v>
      </c>
      <c r="BH495" s="5" t="s">
        <v>302</v>
      </c>
      <c r="BI495" s="5" t="s">
        <v>303</v>
      </c>
      <c r="BJ495" s="5" t="s">
        <v>240</v>
      </c>
      <c r="BK495" s="8">
        <f>0</f>
        <v>0</v>
      </c>
      <c r="BL495" s="7">
        <f>0</f>
        <v>0</v>
      </c>
      <c r="BM495" s="5" t="s">
        <v>258</v>
      </c>
      <c r="BN495" s="5" t="s">
        <v>259</v>
      </c>
      <c r="CB495" s="5" t="s">
        <v>240</v>
      </c>
      <c r="CC495" s="5" t="s">
        <v>240</v>
      </c>
      <c r="CG495" s="5" t="s">
        <v>617</v>
      </c>
      <c r="CH495" s="5" t="s">
        <v>305</v>
      </c>
      <c r="CI495" s="5" t="s">
        <v>240</v>
      </c>
      <c r="CL495" s="6" t="s">
        <v>261</v>
      </c>
      <c r="CM495" s="5" t="s">
        <v>240</v>
      </c>
      <c r="CN495" s="5" t="s">
        <v>263</v>
      </c>
      <c r="CO495" s="5" t="s">
        <v>240</v>
      </c>
      <c r="CP495" s="5" t="s">
        <v>240</v>
      </c>
      <c r="CQ495" s="5">
        <v>0</v>
      </c>
      <c r="CR495" s="5" t="s">
        <v>306</v>
      </c>
      <c r="CS495" s="5" t="s">
        <v>307</v>
      </c>
      <c r="CT495" s="5" t="s">
        <v>307</v>
      </c>
      <c r="CU495" s="5" t="s">
        <v>260</v>
      </c>
      <c r="CX495" s="7">
        <f>9141</f>
        <v>9141</v>
      </c>
      <c r="CY495" s="7">
        <f>0</f>
        <v>0</v>
      </c>
      <c r="DA495" s="7">
        <f>0</f>
        <v>0</v>
      </c>
      <c r="DC495" s="5" t="s">
        <v>854</v>
      </c>
      <c r="DD495" s="5" t="s">
        <v>240</v>
      </c>
      <c r="DF495" s="5" t="s">
        <v>450</v>
      </c>
      <c r="DG495" s="7">
        <f>0</f>
        <v>0</v>
      </c>
      <c r="DI495" s="5" t="s">
        <v>737</v>
      </c>
      <c r="DJ495" s="5" t="s">
        <v>240</v>
      </c>
      <c r="DK495" s="5" t="s">
        <v>240</v>
      </c>
      <c r="DL495" s="5" t="s">
        <v>240</v>
      </c>
      <c r="DP495" s="5" t="s">
        <v>240</v>
      </c>
      <c r="DQ495" s="5" t="s">
        <v>240</v>
      </c>
      <c r="DR495" s="5" t="s">
        <v>240</v>
      </c>
      <c r="DS495" s="5" t="s">
        <v>240</v>
      </c>
      <c r="DV495" s="5" t="s">
        <v>957</v>
      </c>
      <c r="DW495" s="5" t="s">
        <v>748</v>
      </c>
      <c r="HO495" s="5" t="s">
        <v>312</v>
      </c>
    </row>
    <row r="496" spans="1:223" x14ac:dyDescent="0.4">
      <c r="A496" s="5">
        <v>1358</v>
      </c>
      <c r="B496" s="5">
        <v>1</v>
      </c>
      <c r="C496" s="5">
        <v>1</v>
      </c>
      <c r="D496" s="5" t="s">
        <v>723</v>
      </c>
      <c r="E496" s="5" t="s">
        <v>725</v>
      </c>
      <c r="F496" s="5" t="s">
        <v>254</v>
      </c>
      <c r="G496" s="5" t="s">
        <v>240</v>
      </c>
      <c r="H496" s="6" t="s">
        <v>1119</v>
      </c>
      <c r="I496" s="5" t="s">
        <v>722</v>
      </c>
      <c r="J496" s="8">
        <f>742</f>
        <v>742</v>
      </c>
      <c r="K496" s="5" t="s">
        <v>308</v>
      </c>
      <c r="L496" s="7">
        <f>8162</f>
        <v>8162</v>
      </c>
      <c r="M496" s="7">
        <f>8162</f>
        <v>8162</v>
      </c>
      <c r="N496" s="5" t="s">
        <v>242</v>
      </c>
      <c r="O496" s="5">
        <v>1</v>
      </c>
      <c r="P496" s="5" t="s">
        <v>294</v>
      </c>
      <c r="Q496" s="5" t="s">
        <v>613</v>
      </c>
      <c r="R496" s="5" t="s">
        <v>240</v>
      </c>
      <c r="S496" s="5" t="s">
        <v>240</v>
      </c>
      <c r="T496" s="5" t="s">
        <v>243</v>
      </c>
      <c r="U496" s="5" t="s">
        <v>724</v>
      </c>
      <c r="V496" s="5" t="s">
        <v>240</v>
      </c>
      <c r="Y496" s="5" t="s">
        <v>240</v>
      </c>
      <c r="Z496" s="6" t="s">
        <v>298</v>
      </c>
      <c r="AB496" s="6" t="s">
        <v>240</v>
      </c>
      <c r="AE496" s="6" t="s">
        <v>299</v>
      </c>
      <c r="AF496" s="5" t="s">
        <v>248</v>
      </c>
      <c r="AG496" s="5" t="s">
        <v>249</v>
      </c>
      <c r="AW496" s="5" t="s">
        <v>251</v>
      </c>
      <c r="AX496" s="5" t="s">
        <v>240</v>
      </c>
      <c r="AY496" s="5" t="s">
        <v>253</v>
      </c>
      <c r="AZ496" s="5" t="s">
        <v>240</v>
      </c>
      <c r="BA496" s="5" t="s">
        <v>255</v>
      </c>
      <c r="BB496" s="5" t="s">
        <v>240</v>
      </c>
      <c r="BD496" s="5" t="s">
        <v>240</v>
      </c>
      <c r="BF496" s="5" t="s">
        <v>301</v>
      </c>
      <c r="BG496" s="6" t="s">
        <v>299</v>
      </c>
      <c r="BH496" s="5" t="s">
        <v>302</v>
      </c>
      <c r="BI496" s="5" t="s">
        <v>303</v>
      </c>
      <c r="BJ496" s="5" t="s">
        <v>240</v>
      </c>
      <c r="BK496" s="8">
        <f>0</f>
        <v>0</v>
      </c>
      <c r="BL496" s="7">
        <f>0</f>
        <v>0</v>
      </c>
      <c r="BM496" s="5" t="s">
        <v>258</v>
      </c>
      <c r="BN496" s="5" t="s">
        <v>259</v>
      </c>
      <c r="CB496" s="5" t="s">
        <v>240</v>
      </c>
      <c r="CC496" s="5" t="s">
        <v>240</v>
      </c>
      <c r="CG496" s="5" t="s">
        <v>617</v>
      </c>
      <c r="CH496" s="5" t="s">
        <v>305</v>
      </c>
      <c r="CI496" s="5" t="s">
        <v>240</v>
      </c>
      <c r="CL496" s="6" t="s">
        <v>261</v>
      </c>
      <c r="CM496" s="5" t="s">
        <v>240</v>
      </c>
      <c r="CN496" s="5" t="s">
        <v>263</v>
      </c>
      <c r="CO496" s="5" t="s">
        <v>240</v>
      </c>
      <c r="CP496" s="5" t="s">
        <v>240</v>
      </c>
      <c r="CQ496" s="5">
        <v>0</v>
      </c>
      <c r="CR496" s="5" t="s">
        <v>306</v>
      </c>
      <c r="CS496" s="5" t="s">
        <v>307</v>
      </c>
      <c r="CT496" s="5" t="s">
        <v>307</v>
      </c>
      <c r="CU496" s="5" t="s">
        <v>260</v>
      </c>
      <c r="CX496" s="7">
        <f>18975</f>
        <v>18975</v>
      </c>
      <c r="CY496" s="7">
        <f>0</f>
        <v>0</v>
      </c>
      <c r="DA496" s="7">
        <f>0</f>
        <v>0</v>
      </c>
      <c r="DC496" s="5" t="s">
        <v>854</v>
      </c>
      <c r="DD496" s="5" t="s">
        <v>240</v>
      </c>
      <c r="DF496" s="5" t="s">
        <v>450</v>
      </c>
      <c r="DG496" s="7">
        <f>0</f>
        <v>0</v>
      </c>
      <c r="DI496" s="5" t="s">
        <v>737</v>
      </c>
      <c r="DJ496" s="5" t="s">
        <v>240</v>
      </c>
      <c r="DK496" s="5" t="s">
        <v>240</v>
      </c>
      <c r="DL496" s="5" t="s">
        <v>240</v>
      </c>
      <c r="DP496" s="5" t="s">
        <v>240</v>
      </c>
      <c r="DQ496" s="5" t="s">
        <v>240</v>
      </c>
      <c r="DR496" s="5" t="s">
        <v>240</v>
      </c>
      <c r="DS496" s="5" t="s">
        <v>240</v>
      </c>
      <c r="DV496" s="5" t="s">
        <v>957</v>
      </c>
      <c r="DW496" s="5" t="s">
        <v>750</v>
      </c>
      <c r="HO496" s="5" t="s">
        <v>312</v>
      </c>
    </row>
    <row r="497" spans="1:223" x14ac:dyDescent="0.4">
      <c r="A497" s="5">
        <v>1359</v>
      </c>
      <c r="B497" s="5">
        <v>1</v>
      </c>
      <c r="C497" s="5">
        <v>1</v>
      </c>
      <c r="D497" s="5" t="s">
        <v>723</v>
      </c>
      <c r="E497" s="5" t="s">
        <v>725</v>
      </c>
      <c r="F497" s="5" t="s">
        <v>254</v>
      </c>
      <c r="G497" s="5" t="s">
        <v>240</v>
      </c>
      <c r="H497" s="6" t="s">
        <v>1120</v>
      </c>
      <c r="I497" s="5" t="s">
        <v>722</v>
      </c>
      <c r="J497" s="8">
        <f>722</f>
        <v>722</v>
      </c>
      <c r="K497" s="5" t="s">
        <v>308</v>
      </c>
      <c r="L497" s="7">
        <f>7942</f>
        <v>7942</v>
      </c>
      <c r="M497" s="7">
        <f>7942</f>
        <v>7942</v>
      </c>
      <c r="N497" s="5" t="s">
        <v>242</v>
      </c>
      <c r="O497" s="5">
        <v>1</v>
      </c>
      <c r="P497" s="5" t="s">
        <v>294</v>
      </c>
      <c r="Q497" s="5" t="s">
        <v>613</v>
      </c>
      <c r="R497" s="5" t="s">
        <v>240</v>
      </c>
      <c r="S497" s="5" t="s">
        <v>240</v>
      </c>
      <c r="T497" s="5" t="s">
        <v>243</v>
      </c>
      <c r="U497" s="5" t="s">
        <v>724</v>
      </c>
      <c r="V497" s="5" t="s">
        <v>240</v>
      </c>
      <c r="Y497" s="5" t="s">
        <v>240</v>
      </c>
      <c r="Z497" s="6" t="s">
        <v>298</v>
      </c>
      <c r="AB497" s="6" t="s">
        <v>240</v>
      </c>
      <c r="AE497" s="6" t="s">
        <v>299</v>
      </c>
      <c r="AF497" s="5" t="s">
        <v>248</v>
      </c>
      <c r="AG497" s="5" t="s">
        <v>249</v>
      </c>
      <c r="AW497" s="5" t="s">
        <v>251</v>
      </c>
      <c r="AX497" s="5" t="s">
        <v>240</v>
      </c>
      <c r="AY497" s="5" t="s">
        <v>253</v>
      </c>
      <c r="AZ497" s="5" t="s">
        <v>240</v>
      </c>
      <c r="BA497" s="5" t="s">
        <v>255</v>
      </c>
      <c r="BB497" s="5" t="s">
        <v>240</v>
      </c>
      <c r="BD497" s="5" t="s">
        <v>240</v>
      </c>
      <c r="BF497" s="5" t="s">
        <v>301</v>
      </c>
      <c r="BG497" s="6" t="s">
        <v>299</v>
      </c>
      <c r="BH497" s="5" t="s">
        <v>302</v>
      </c>
      <c r="BI497" s="5" t="s">
        <v>303</v>
      </c>
      <c r="BJ497" s="5" t="s">
        <v>240</v>
      </c>
      <c r="BK497" s="8">
        <f>0</f>
        <v>0</v>
      </c>
      <c r="BL497" s="7">
        <f>0</f>
        <v>0</v>
      </c>
      <c r="BM497" s="5" t="s">
        <v>258</v>
      </c>
      <c r="BN497" s="5" t="s">
        <v>259</v>
      </c>
      <c r="CB497" s="5" t="s">
        <v>240</v>
      </c>
      <c r="CC497" s="5" t="s">
        <v>240</v>
      </c>
      <c r="CG497" s="5" t="s">
        <v>617</v>
      </c>
      <c r="CH497" s="5" t="s">
        <v>305</v>
      </c>
      <c r="CI497" s="5" t="s">
        <v>240</v>
      </c>
      <c r="CL497" s="6" t="s">
        <v>261</v>
      </c>
      <c r="CM497" s="5" t="s">
        <v>240</v>
      </c>
      <c r="CN497" s="5" t="s">
        <v>263</v>
      </c>
      <c r="CO497" s="5" t="s">
        <v>240</v>
      </c>
      <c r="CP497" s="5" t="s">
        <v>240</v>
      </c>
      <c r="CQ497" s="5">
        <v>0</v>
      </c>
      <c r="CR497" s="5" t="s">
        <v>306</v>
      </c>
      <c r="CS497" s="5" t="s">
        <v>307</v>
      </c>
      <c r="CT497" s="5" t="s">
        <v>307</v>
      </c>
      <c r="CU497" s="5" t="s">
        <v>260</v>
      </c>
      <c r="CX497" s="7">
        <f>5918</f>
        <v>5918</v>
      </c>
      <c r="CY497" s="7">
        <f>0</f>
        <v>0</v>
      </c>
      <c r="DA497" s="7">
        <f>0</f>
        <v>0</v>
      </c>
      <c r="DC497" s="5" t="s">
        <v>854</v>
      </c>
      <c r="DD497" s="5" t="s">
        <v>240</v>
      </c>
      <c r="DF497" s="5" t="s">
        <v>450</v>
      </c>
      <c r="DG497" s="7">
        <f>0</f>
        <v>0</v>
      </c>
      <c r="DI497" s="5" t="s">
        <v>737</v>
      </c>
      <c r="DJ497" s="5" t="s">
        <v>240</v>
      </c>
      <c r="DK497" s="5" t="s">
        <v>240</v>
      </c>
      <c r="DL497" s="5" t="s">
        <v>240</v>
      </c>
      <c r="DP497" s="5" t="s">
        <v>240</v>
      </c>
      <c r="DQ497" s="5" t="s">
        <v>240</v>
      </c>
      <c r="DR497" s="5" t="s">
        <v>240</v>
      </c>
      <c r="DS497" s="5" t="s">
        <v>240</v>
      </c>
      <c r="DV497" s="5" t="s">
        <v>957</v>
      </c>
      <c r="DW497" s="5" t="s">
        <v>785</v>
      </c>
      <c r="HO497" s="5" t="s">
        <v>312</v>
      </c>
    </row>
    <row r="498" spans="1:223" x14ac:dyDescent="0.4">
      <c r="A498" s="5">
        <v>1360</v>
      </c>
      <c r="B498" s="5">
        <v>1</v>
      </c>
      <c r="C498" s="5">
        <v>1</v>
      </c>
      <c r="D498" s="5" t="s">
        <v>723</v>
      </c>
      <c r="E498" s="5" t="s">
        <v>725</v>
      </c>
      <c r="F498" s="5" t="s">
        <v>254</v>
      </c>
      <c r="G498" s="5" t="s">
        <v>240</v>
      </c>
      <c r="H498" s="6" t="s">
        <v>1244</v>
      </c>
      <c r="I498" s="5" t="s">
        <v>722</v>
      </c>
      <c r="J498" s="8">
        <f>1725</f>
        <v>1725</v>
      </c>
      <c r="K498" s="5" t="s">
        <v>308</v>
      </c>
      <c r="L498" s="7">
        <f>18975</f>
        <v>18975</v>
      </c>
      <c r="M498" s="7">
        <f>18975</f>
        <v>18975</v>
      </c>
      <c r="N498" s="5" t="s">
        <v>242</v>
      </c>
      <c r="O498" s="5">
        <v>1</v>
      </c>
      <c r="P498" s="5" t="s">
        <v>294</v>
      </c>
      <c r="Q498" s="5" t="s">
        <v>613</v>
      </c>
      <c r="R498" s="5" t="s">
        <v>240</v>
      </c>
      <c r="S498" s="5" t="s">
        <v>240</v>
      </c>
      <c r="T498" s="5" t="s">
        <v>243</v>
      </c>
      <c r="U498" s="5" t="s">
        <v>724</v>
      </c>
      <c r="V498" s="5" t="s">
        <v>240</v>
      </c>
      <c r="Y498" s="5" t="s">
        <v>240</v>
      </c>
      <c r="Z498" s="6" t="s">
        <v>298</v>
      </c>
      <c r="AB498" s="6" t="s">
        <v>240</v>
      </c>
      <c r="AE498" s="6" t="s">
        <v>299</v>
      </c>
      <c r="AF498" s="5" t="s">
        <v>248</v>
      </c>
      <c r="AG498" s="5" t="s">
        <v>249</v>
      </c>
      <c r="AW498" s="5" t="s">
        <v>251</v>
      </c>
      <c r="AX498" s="5" t="s">
        <v>240</v>
      </c>
      <c r="AY498" s="5" t="s">
        <v>253</v>
      </c>
      <c r="AZ498" s="5" t="s">
        <v>240</v>
      </c>
      <c r="BA498" s="5" t="s">
        <v>255</v>
      </c>
      <c r="BB498" s="5" t="s">
        <v>240</v>
      </c>
      <c r="BD498" s="5" t="s">
        <v>240</v>
      </c>
      <c r="BF498" s="5" t="s">
        <v>301</v>
      </c>
      <c r="BG498" s="6" t="s">
        <v>299</v>
      </c>
      <c r="BH498" s="5" t="s">
        <v>302</v>
      </c>
      <c r="BI498" s="5" t="s">
        <v>303</v>
      </c>
      <c r="BJ498" s="5" t="s">
        <v>240</v>
      </c>
      <c r="BK498" s="8">
        <f>0</f>
        <v>0</v>
      </c>
      <c r="BL498" s="7">
        <f>0</f>
        <v>0</v>
      </c>
      <c r="BM498" s="5" t="s">
        <v>258</v>
      </c>
      <c r="BN498" s="5" t="s">
        <v>259</v>
      </c>
      <c r="CB498" s="5" t="s">
        <v>240</v>
      </c>
      <c r="CC498" s="5" t="s">
        <v>240</v>
      </c>
      <c r="CG498" s="5" t="s">
        <v>617</v>
      </c>
      <c r="CH498" s="5" t="s">
        <v>305</v>
      </c>
      <c r="CI498" s="5" t="s">
        <v>240</v>
      </c>
      <c r="CL498" s="6" t="s">
        <v>261</v>
      </c>
      <c r="CM498" s="5" t="s">
        <v>240</v>
      </c>
      <c r="CN498" s="5" t="s">
        <v>263</v>
      </c>
      <c r="CO498" s="5" t="s">
        <v>240</v>
      </c>
      <c r="CP498" s="5" t="s">
        <v>240</v>
      </c>
      <c r="CQ498" s="5">
        <v>0</v>
      </c>
      <c r="CR498" s="5" t="s">
        <v>306</v>
      </c>
      <c r="CS498" s="5" t="s">
        <v>307</v>
      </c>
      <c r="CT498" s="5" t="s">
        <v>307</v>
      </c>
      <c r="CU498" s="5" t="s">
        <v>260</v>
      </c>
      <c r="CX498" s="7">
        <f>60134</f>
        <v>60134</v>
      </c>
      <c r="CY498" s="7">
        <f>0</f>
        <v>0</v>
      </c>
      <c r="DA498" s="7">
        <f>0</f>
        <v>0</v>
      </c>
      <c r="DC498" s="5" t="s">
        <v>1247</v>
      </c>
      <c r="DD498" s="5" t="s">
        <v>240</v>
      </c>
      <c r="DF498" s="5" t="s">
        <v>450</v>
      </c>
      <c r="DG498" s="7">
        <f>0</f>
        <v>0</v>
      </c>
      <c r="DI498" s="5" t="s">
        <v>1247</v>
      </c>
      <c r="DJ498" s="5" t="s">
        <v>240</v>
      </c>
      <c r="DK498" s="5" t="s">
        <v>240</v>
      </c>
      <c r="DL498" s="5" t="s">
        <v>240</v>
      </c>
      <c r="DP498" s="5" t="s">
        <v>240</v>
      </c>
      <c r="DQ498" s="5" t="s">
        <v>240</v>
      </c>
      <c r="DR498" s="5" t="s">
        <v>240</v>
      </c>
      <c r="DS498" s="5" t="s">
        <v>240</v>
      </c>
      <c r="DV498" s="5" t="s">
        <v>957</v>
      </c>
      <c r="DW498" s="5" t="s">
        <v>787</v>
      </c>
      <c r="HO498" s="5" t="s">
        <v>312</v>
      </c>
    </row>
    <row r="499" spans="1:223" x14ac:dyDescent="0.4">
      <c r="A499" s="5">
        <v>1361</v>
      </c>
      <c r="B499" s="5">
        <v>1</v>
      </c>
      <c r="C499" s="5">
        <v>1</v>
      </c>
      <c r="D499" s="5" t="s">
        <v>723</v>
      </c>
      <c r="E499" s="5" t="s">
        <v>725</v>
      </c>
      <c r="F499" s="5" t="s">
        <v>254</v>
      </c>
      <c r="G499" s="5" t="s">
        <v>240</v>
      </c>
      <c r="H499" s="6" t="s">
        <v>1243</v>
      </c>
      <c r="I499" s="5" t="s">
        <v>722</v>
      </c>
      <c r="J499" s="8">
        <f>831</f>
        <v>831</v>
      </c>
      <c r="K499" s="5" t="s">
        <v>308</v>
      </c>
      <c r="L499" s="7">
        <f>9141</f>
        <v>9141</v>
      </c>
      <c r="M499" s="7">
        <f>9141</f>
        <v>9141</v>
      </c>
      <c r="N499" s="5" t="s">
        <v>242</v>
      </c>
      <c r="O499" s="5">
        <v>1</v>
      </c>
      <c r="P499" s="5" t="s">
        <v>294</v>
      </c>
      <c r="Q499" s="5" t="s">
        <v>613</v>
      </c>
      <c r="R499" s="5" t="s">
        <v>240</v>
      </c>
      <c r="S499" s="5" t="s">
        <v>240</v>
      </c>
      <c r="T499" s="5" t="s">
        <v>243</v>
      </c>
      <c r="U499" s="5" t="s">
        <v>724</v>
      </c>
      <c r="V499" s="5" t="s">
        <v>240</v>
      </c>
      <c r="Y499" s="5" t="s">
        <v>240</v>
      </c>
      <c r="Z499" s="6" t="s">
        <v>298</v>
      </c>
      <c r="AB499" s="6" t="s">
        <v>240</v>
      </c>
      <c r="AE499" s="6" t="s">
        <v>299</v>
      </c>
      <c r="AF499" s="5" t="s">
        <v>248</v>
      </c>
      <c r="AG499" s="5" t="s">
        <v>249</v>
      </c>
      <c r="AW499" s="5" t="s">
        <v>251</v>
      </c>
      <c r="AX499" s="5" t="s">
        <v>240</v>
      </c>
      <c r="AY499" s="5" t="s">
        <v>253</v>
      </c>
      <c r="AZ499" s="5" t="s">
        <v>240</v>
      </c>
      <c r="BA499" s="5" t="s">
        <v>255</v>
      </c>
      <c r="BB499" s="5" t="s">
        <v>240</v>
      </c>
      <c r="BD499" s="5" t="s">
        <v>240</v>
      </c>
      <c r="BF499" s="5" t="s">
        <v>301</v>
      </c>
      <c r="BG499" s="6" t="s">
        <v>299</v>
      </c>
      <c r="BH499" s="5" t="s">
        <v>302</v>
      </c>
      <c r="BI499" s="5" t="s">
        <v>303</v>
      </c>
      <c r="BJ499" s="5" t="s">
        <v>240</v>
      </c>
      <c r="BK499" s="8">
        <f>0</f>
        <v>0</v>
      </c>
      <c r="BL499" s="7">
        <f>0</f>
        <v>0</v>
      </c>
      <c r="BM499" s="5" t="s">
        <v>258</v>
      </c>
      <c r="BN499" s="5" t="s">
        <v>259</v>
      </c>
      <c r="CB499" s="5" t="s">
        <v>240</v>
      </c>
      <c r="CC499" s="5" t="s">
        <v>240</v>
      </c>
      <c r="CG499" s="5" t="s">
        <v>617</v>
      </c>
      <c r="CH499" s="5" t="s">
        <v>305</v>
      </c>
      <c r="CI499" s="5" t="s">
        <v>240</v>
      </c>
      <c r="CL499" s="6" t="s">
        <v>261</v>
      </c>
      <c r="CM499" s="5" t="s">
        <v>240</v>
      </c>
      <c r="CN499" s="5" t="s">
        <v>263</v>
      </c>
      <c r="CO499" s="5" t="s">
        <v>240</v>
      </c>
      <c r="CP499" s="5" t="s">
        <v>240</v>
      </c>
      <c r="CQ499" s="5">
        <v>0</v>
      </c>
      <c r="CR499" s="5" t="s">
        <v>306</v>
      </c>
      <c r="CS499" s="5" t="s">
        <v>307</v>
      </c>
      <c r="CT499" s="5" t="s">
        <v>307</v>
      </c>
      <c r="CU499" s="5" t="s">
        <v>260</v>
      </c>
      <c r="CX499" s="7">
        <f>19514</f>
        <v>19514</v>
      </c>
      <c r="CY499" s="7">
        <f>0</f>
        <v>0</v>
      </c>
      <c r="DA499" s="7">
        <f>0</f>
        <v>0</v>
      </c>
      <c r="DC499" s="5" t="s">
        <v>854</v>
      </c>
      <c r="DD499" s="5" t="s">
        <v>240</v>
      </c>
      <c r="DF499" s="5" t="s">
        <v>450</v>
      </c>
      <c r="DG499" s="7">
        <f>0</f>
        <v>0</v>
      </c>
      <c r="DI499" s="5" t="s">
        <v>737</v>
      </c>
      <c r="DJ499" s="5" t="s">
        <v>240</v>
      </c>
      <c r="DK499" s="5" t="s">
        <v>240</v>
      </c>
      <c r="DL499" s="5" t="s">
        <v>240</v>
      </c>
      <c r="DP499" s="5" t="s">
        <v>240</v>
      </c>
      <c r="DQ499" s="5" t="s">
        <v>240</v>
      </c>
      <c r="DR499" s="5" t="s">
        <v>240</v>
      </c>
      <c r="DS499" s="5" t="s">
        <v>240</v>
      </c>
      <c r="DV499" s="5" t="s">
        <v>957</v>
      </c>
      <c r="DW499" s="5" t="s">
        <v>789</v>
      </c>
      <c r="HO499" s="5" t="s">
        <v>312</v>
      </c>
    </row>
    <row r="500" spans="1:223" x14ac:dyDescent="0.4">
      <c r="A500" s="5">
        <v>1362</v>
      </c>
      <c r="B500" s="5">
        <v>1</v>
      </c>
      <c r="C500" s="5">
        <v>1</v>
      </c>
      <c r="D500" s="5" t="s">
        <v>723</v>
      </c>
      <c r="E500" s="5" t="s">
        <v>725</v>
      </c>
      <c r="F500" s="5" t="s">
        <v>254</v>
      </c>
      <c r="G500" s="5" t="s">
        <v>240</v>
      </c>
      <c r="H500" s="6" t="s">
        <v>1242</v>
      </c>
      <c r="I500" s="5" t="s">
        <v>722</v>
      </c>
      <c r="J500" s="8">
        <f>2773</f>
        <v>2773</v>
      </c>
      <c r="K500" s="5" t="s">
        <v>308</v>
      </c>
      <c r="L500" s="7">
        <f>30503</f>
        <v>30503</v>
      </c>
      <c r="M500" s="7">
        <f>30503</f>
        <v>30503</v>
      </c>
      <c r="N500" s="5" t="s">
        <v>242</v>
      </c>
      <c r="O500" s="5">
        <v>1</v>
      </c>
      <c r="P500" s="5" t="s">
        <v>294</v>
      </c>
      <c r="Q500" s="5" t="s">
        <v>613</v>
      </c>
      <c r="R500" s="5" t="s">
        <v>240</v>
      </c>
      <c r="S500" s="5" t="s">
        <v>240</v>
      </c>
      <c r="T500" s="5" t="s">
        <v>243</v>
      </c>
      <c r="U500" s="5" t="s">
        <v>724</v>
      </c>
      <c r="V500" s="5" t="s">
        <v>240</v>
      </c>
      <c r="Y500" s="5" t="s">
        <v>240</v>
      </c>
      <c r="Z500" s="6" t="s">
        <v>298</v>
      </c>
      <c r="AB500" s="6" t="s">
        <v>240</v>
      </c>
      <c r="AE500" s="6" t="s">
        <v>299</v>
      </c>
      <c r="AF500" s="5" t="s">
        <v>248</v>
      </c>
      <c r="AG500" s="5" t="s">
        <v>249</v>
      </c>
      <c r="AW500" s="5" t="s">
        <v>251</v>
      </c>
      <c r="AX500" s="5" t="s">
        <v>240</v>
      </c>
      <c r="AY500" s="5" t="s">
        <v>253</v>
      </c>
      <c r="AZ500" s="5" t="s">
        <v>240</v>
      </c>
      <c r="BA500" s="5" t="s">
        <v>255</v>
      </c>
      <c r="BB500" s="5" t="s">
        <v>240</v>
      </c>
      <c r="BD500" s="5" t="s">
        <v>240</v>
      </c>
      <c r="BF500" s="5" t="s">
        <v>301</v>
      </c>
      <c r="BG500" s="6" t="s">
        <v>299</v>
      </c>
      <c r="BH500" s="5" t="s">
        <v>302</v>
      </c>
      <c r="BI500" s="5" t="s">
        <v>303</v>
      </c>
      <c r="BJ500" s="5" t="s">
        <v>240</v>
      </c>
      <c r="BK500" s="8">
        <f>0</f>
        <v>0</v>
      </c>
      <c r="BL500" s="7">
        <f>0</f>
        <v>0</v>
      </c>
      <c r="BM500" s="5" t="s">
        <v>258</v>
      </c>
      <c r="BN500" s="5" t="s">
        <v>259</v>
      </c>
      <c r="CB500" s="5" t="s">
        <v>240</v>
      </c>
      <c r="CC500" s="5" t="s">
        <v>240</v>
      </c>
      <c r="CG500" s="5" t="s">
        <v>617</v>
      </c>
      <c r="CH500" s="5" t="s">
        <v>305</v>
      </c>
      <c r="CI500" s="5" t="s">
        <v>240</v>
      </c>
      <c r="CL500" s="6" t="s">
        <v>261</v>
      </c>
      <c r="CM500" s="5" t="s">
        <v>240</v>
      </c>
      <c r="CN500" s="5" t="s">
        <v>263</v>
      </c>
      <c r="CO500" s="5" t="s">
        <v>240</v>
      </c>
      <c r="CP500" s="5" t="s">
        <v>240</v>
      </c>
      <c r="CQ500" s="5">
        <v>0</v>
      </c>
      <c r="CR500" s="5" t="s">
        <v>306</v>
      </c>
      <c r="CS500" s="5" t="s">
        <v>307</v>
      </c>
      <c r="CT500" s="5" t="s">
        <v>307</v>
      </c>
      <c r="CU500" s="5" t="s">
        <v>260</v>
      </c>
      <c r="CX500" s="7">
        <f>13541</f>
        <v>13541</v>
      </c>
      <c r="CY500" s="7">
        <f>0</f>
        <v>0</v>
      </c>
      <c r="DA500" s="7">
        <f>0</f>
        <v>0</v>
      </c>
      <c r="DC500" s="5" t="s">
        <v>854</v>
      </c>
      <c r="DD500" s="5" t="s">
        <v>240</v>
      </c>
      <c r="DF500" s="5" t="s">
        <v>450</v>
      </c>
      <c r="DG500" s="7">
        <f>0</f>
        <v>0</v>
      </c>
      <c r="DI500" s="5" t="s">
        <v>737</v>
      </c>
      <c r="DJ500" s="5" t="s">
        <v>240</v>
      </c>
      <c r="DK500" s="5" t="s">
        <v>240</v>
      </c>
      <c r="DL500" s="5" t="s">
        <v>240</v>
      </c>
      <c r="DP500" s="5" t="s">
        <v>240</v>
      </c>
      <c r="DQ500" s="5" t="s">
        <v>240</v>
      </c>
      <c r="DR500" s="5" t="s">
        <v>240</v>
      </c>
      <c r="DS500" s="5" t="s">
        <v>240</v>
      </c>
      <c r="DV500" s="5" t="s">
        <v>957</v>
      </c>
      <c r="DW500" s="5" t="s">
        <v>825</v>
      </c>
      <c r="HO500" s="5" t="s">
        <v>312</v>
      </c>
    </row>
    <row r="501" spans="1:223" x14ac:dyDescent="0.4">
      <c r="A501" s="5">
        <v>1363</v>
      </c>
      <c r="B501" s="5">
        <v>1</v>
      </c>
      <c r="C501" s="5">
        <v>1</v>
      </c>
      <c r="D501" s="5" t="s">
        <v>723</v>
      </c>
      <c r="E501" s="5" t="s">
        <v>725</v>
      </c>
      <c r="F501" s="5" t="s">
        <v>254</v>
      </c>
      <c r="G501" s="5" t="s">
        <v>240</v>
      </c>
      <c r="H501" s="6" t="s">
        <v>1989</v>
      </c>
      <c r="I501" s="5" t="s">
        <v>722</v>
      </c>
      <c r="J501" s="8">
        <f>482</f>
        <v>482</v>
      </c>
      <c r="K501" s="5" t="s">
        <v>308</v>
      </c>
      <c r="L501" s="7">
        <f>5302</f>
        <v>5302</v>
      </c>
      <c r="M501" s="7">
        <f>5302</f>
        <v>5302</v>
      </c>
      <c r="N501" s="5" t="s">
        <v>242</v>
      </c>
      <c r="O501" s="5">
        <v>1</v>
      </c>
      <c r="P501" s="5" t="s">
        <v>294</v>
      </c>
      <c r="Q501" s="5" t="s">
        <v>613</v>
      </c>
      <c r="R501" s="5" t="s">
        <v>240</v>
      </c>
      <c r="S501" s="5" t="s">
        <v>240</v>
      </c>
      <c r="T501" s="5" t="s">
        <v>243</v>
      </c>
      <c r="U501" s="5" t="s">
        <v>724</v>
      </c>
      <c r="V501" s="5" t="s">
        <v>240</v>
      </c>
      <c r="Y501" s="5" t="s">
        <v>240</v>
      </c>
      <c r="Z501" s="6" t="s">
        <v>298</v>
      </c>
      <c r="AB501" s="6" t="s">
        <v>240</v>
      </c>
      <c r="AE501" s="6" t="s">
        <v>299</v>
      </c>
      <c r="AF501" s="5" t="s">
        <v>248</v>
      </c>
      <c r="AG501" s="5" t="s">
        <v>249</v>
      </c>
      <c r="AW501" s="5" t="s">
        <v>251</v>
      </c>
      <c r="AX501" s="5" t="s">
        <v>240</v>
      </c>
      <c r="AY501" s="5" t="s">
        <v>253</v>
      </c>
      <c r="AZ501" s="5" t="s">
        <v>240</v>
      </c>
      <c r="BA501" s="5" t="s">
        <v>255</v>
      </c>
      <c r="BB501" s="5" t="s">
        <v>240</v>
      </c>
      <c r="BD501" s="5" t="s">
        <v>240</v>
      </c>
      <c r="BF501" s="5" t="s">
        <v>301</v>
      </c>
      <c r="BG501" s="6" t="s">
        <v>299</v>
      </c>
      <c r="BH501" s="5" t="s">
        <v>302</v>
      </c>
      <c r="BI501" s="5" t="s">
        <v>303</v>
      </c>
      <c r="BJ501" s="5" t="s">
        <v>240</v>
      </c>
      <c r="BK501" s="8">
        <f>0</f>
        <v>0</v>
      </c>
      <c r="BL501" s="7">
        <f>0</f>
        <v>0</v>
      </c>
      <c r="BM501" s="5" t="s">
        <v>258</v>
      </c>
      <c r="BN501" s="5" t="s">
        <v>259</v>
      </c>
      <c r="CB501" s="5" t="s">
        <v>240</v>
      </c>
      <c r="CC501" s="5" t="s">
        <v>240</v>
      </c>
      <c r="CG501" s="5" t="s">
        <v>617</v>
      </c>
      <c r="CH501" s="5" t="s">
        <v>305</v>
      </c>
      <c r="CI501" s="5" t="s">
        <v>240</v>
      </c>
      <c r="CL501" s="6" t="s">
        <v>261</v>
      </c>
      <c r="CM501" s="5" t="s">
        <v>240</v>
      </c>
      <c r="CN501" s="5" t="s">
        <v>263</v>
      </c>
      <c r="CO501" s="5" t="s">
        <v>240</v>
      </c>
      <c r="CP501" s="5" t="s">
        <v>240</v>
      </c>
      <c r="CQ501" s="5">
        <v>0</v>
      </c>
      <c r="CR501" s="5" t="s">
        <v>306</v>
      </c>
      <c r="CS501" s="5" t="s">
        <v>307</v>
      </c>
      <c r="CT501" s="5" t="s">
        <v>307</v>
      </c>
      <c r="CU501" s="5" t="s">
        <v>260</v>
      </c>
      <c r="CX501" s="7">
        <f>4213</f>
        <v>4213</v>
      </c>
      <c r="CY501" s="7">
        <f>0</f>
        <v>0</v>
      </c>
      <c r="DA501" s="7">
        <f>0</f>
        <v>0</v>
      </c>
      <c r="DC501" s="5" t="s">
        <v>854</v>
      </c>
      <c r="DD501" s="5" t="s">
        <v>240</v>
      </c>
      <c r="DF501" s="5" t="s">
        <v>450</v>
      </c>
      <c r="DG501" s="7">
        <f>0</f>
        <v>0</v>
      </c>
      <c r="DI501" s="5" t="s">
        <v>737</v>
      </c>
      <c r="DJ501" s="5" t="s">
        <v>240</v>
      </c>
      <c r="DK501" s="5" t="s">
        <v>240</v>
      </c>
      <c r="DL501" s="5" t="s">
        <v>240</v>
      </c>
      <c r="DP501" s="5" t="s">
        <v>240</v>
      </c>
      <c r="DQ501" s="5" t="s">
        <v>240</v>
      </c>
      <c r="DR501" s="5" t="s">
        <v>240</v>
      </c>
      <c r="DS501" s="5" t="s">
        <v>240</v>
      </c>
      <c r="DV501" s="5" t="s">
        <v>957</v>
      </c>
      <c r="DW501" s="5" t="s">
        <v>791</v>
      </c>
      <c r="HO501" s="5" t="s">
        <v>312</v>
      </c>
    </row>
    <row r="502" spans="1:223" x14ac:dyDescent="0.4">
      <c r="A502" s="5">
        <v>1364</v>
      </c>
      <c r="B502" s="5">
        <v>1</v>
      </c>
      <c r="C502" s="5">
        <v>1</v>
      </c>
      <c r="D502" s="5" t="s">
        <v>723</v>
      </c>
      <c r="E502" s="5" t="s">
        <v>725</v>
      </c>
      <c r="F502" s="5" t="s">
        <v>254</v>
      </c>
      <c r="G502" s="5" t="s">
        <v>240</v>
      </c>
      <c r="H502" s="6" t="s">
        <v>1344</v>
      </c>
      <c r="I502" s="5" t="s">
        <v>722</v>
      </c>
      <c r="J502" s="8">
        <f>4397</f>
        <v>4397</v>
      </c>
      <c r="K502" s="5" t="s">
        <v>308</v>
      </c>
      <c r="L502" s="7">
        <f>48367</f>
        <v>48367</v>
      </c>
      <c r="M502" s="7">
        <f>48367</f>
        <v>48367</v>
      </c>
      <c r="N502" s="5" t="s">
        <v>242</v>
      </c>
      <c r="O502" s="5">
        <v>1</v>
      </c>
      <c r="P502" s="5" t="s">
        <v>294</v>
      </c>
      <c r="Q502" s="5" t="s">
        <v>266</v>
      </c>
      <c r="R502" s="5" t="s">
        <v>240</v>
      </c>
      <c r="S502" s="5" t="s">
        <v>240</v>
      </c>
      <c r="T502" s="5" t="s">
        <v>296</v>
      </c>
      <c r="U502" s="5" t="s">
        <v>244</v>
      </c>
      <c r="V502" s="5" t="s">
        <v>240</v>
      </c>
      <c r="Y502" s="5" t="s">
        <v>240</v>
      </c>
      <c r="Z502" s="6" t="s">
        <v>298</v>
      </c>
      <c r="AB502" s="6" t="s">
        <v>240</v>
      </c>
      <c r="AE502" s="6" t="s">
        <v>299</v>
      </c>
      <c r="AF502" s="5" t="s">
        <v>248</v>
      </c>
      <c r="AG502" s="5" t="s">
        <v>249</v>
      </c>
      <c r="AW502" s="5" t="s">
        <v>251</v>
      </c>
      <c r="AX502" s="5" t="s">
        <v>240</v>
      </c>
      <c r="AY502" s="5" t="s">
        <v>253</v>
      </c>
      <c r="AZ502" s="5" t="s">
        <v>240</v>
      </c>
      <c r="BA502" s="5" t="s">
        <v>255</v>
      </c>
      <c r="BB502" s="5" t="s">
        <v>240</v>
      </c>
      <c r="BD502" s="5" t="s">
        <v>240</v>
      </c>
      <c r="BF502" s="5" t="s">
        <v>301</v>
      </c>
      <c r="BG502" s="6" t="s">
        <v>299</v>
      </c>
      <c r="BH502" s="5" t="s">
        <v>302</v>
      </c>
      <c r="BI502" s="5" t="s">
        <v>303</v>
      </c>
      <c r="BJ502" s="5" t="s">
        <v>240</v>
      </c>
      <c r="BK502" s="8">
        <f>0</f>
        <v>0</v>
      </c>
      <c r="BL502" s="7">
        <f>0</f>
        <v>0</v>
      </c>
      <c r="BM502" s="5" t="s">
        <v>258</v>
      </c>
      <c r="BN502" s="5" t="s">
        <v>259</v>
      </c>
      <c r="CB502" s="5" t="s">
        <v>240</v>
      </c>
      <c r="CC502" s="5" t="s">
        <v>240</v>
      </c>
      <c r="CG502" s="5" t="s">
        <v>304</v>
      </c>
      <c r="CH502" s="5" t="s">
        <v>305</v>
      </c>
      <c r="CI502" s="5" t="s">
        <v>240</v>
      </c>
      <c r="CL502" s="6" t="s">
        <v>261</v>
      </c>
      <c r="CM502" s="5" t="s">
        <v>240</v>
      </c>
      <c r="CN502" s="5" t="s">
        <v>263</v>
      </c>
      <c r="CO502" s="5" t="s">
        <v>240</v>
      </c>
      <c r="CP502" s="5" t="s">
        <v>240</v>
      </c>
      <c r="CQ502" s="5">
        <v>0</v>
      </c>
      <c r="CR502" s="5" t="s">
        <v>306</v>
      </c>
      <c r="CS502" s="5" t="s">
        <v>307</v>
      </c>
      <c r="CT502" s="5" t="s">
        <v>307</v>
      </c>
      <c r="CU502" s="5" t="s">
        <v>260</v>
      </c>
      <c r="CX502" s="7">
        <f>1</f>
        <v>1</v>
      </c>
      <c r="CY502" s="7">
        <f>0</f>
        <v>0</v>
      </c>
      <c r="DA502" s="7">
        <f>0</f>
        <v>0</v>
      </c>
      <c r="DC502" s="5" t="s">
        <v>309</v>
      </c>
      <c r="DD502" s="5" t="s">
        <v>240</v>
      </c>
      <c r="DF502" s="5" t="s">
        <v>309</v>
      </c>
      <c r="DG502" s="7">
        <f>1717</f>
        <v>1717</v>
      </c>
      <c r="DI502" s="5" t="s">
        <v>240</v>
      </c>
      <c r="DJ502" s="5" t="s">
        <v>240</v>
      </c>
      <c r="DK502" s="5" t="s">
        <v>240</v>
      </c>
      <c r="DL502" s="5" t="s">
        <v>240</v>
      </c>
      <c r="DP502" s="5" t="s">
        <v>240</v>
      </c>
      <c r="DQ502" s="5" t="s">
        <v>240</v>
      </c>
      <c r="DR502" s="5" t="s">
        <v>240</v>
      </c>
      <c r="DS502" s="5" t="s">
        <v>240</v>
      </c>
      <c r="DV502" s="5" t="s">
        <v>310</v>
      </c>
      <c r="DW502" s="5" t="s">
        <v>1252</v>
      </c>
      <c r="HO502" s="5" t="s">
        <v>312</v>
      </c>
    </row>
    <row r="503" spans="1:223" x14ac:dyDescent="0.4">
      <c r="A503" s="5">
        <v>1365</v>
      </c>
      <c r="B503" s="5">
        <v>1</v>
      </c>
      <c r="C503" s="5">
        <v>1</v>
      </c>
      <c r="D503" s="5" t="s">
        <v>723</v>
      </c>
      <c r="E503" s="5" t="s">
        <v>725</v>
      </c>
      <c r="F503" s="5" t="s">
        <v>254</v>
      </c>
      <c r="G503" s="5" t="s">
        <v>240</v>
      </c>
      <c r="H503" s="6" t="s">
        <v>2059</v>
      </c>
      <c r="I503" s="5" t="s">
        <v>722</v>
      </c>
      <c r="J503" s="8">
        <f>889</f>
        <v>889</v>
      </c>
      <c r="K503" s="5" t="s">
        <v>308</v>
      </c>
      <c r="L503" s="7">
        <f>9779</f>
        <v>9779</v>
      </c>
      <c r="M503" s="7">
        <f>9779</f>
        <v>9779</v>
      </c>
      <c r="N503" s="5" t="s">
        <v>242</v>
      </c>
      <c r="O503" s="5">
        <v>1</v>
      </c>
      <c r="P503" s="5" t="s">
        <v>294</v>
      </c>
      <c r="Q503" s="5" t="s">
        <v>613</v>
      </c>
      <c r="R503" s="5" t="s">
        <v>240</v>
      </c>
      <c r="S503" s="5" t="s">
        <v>240</v>
      </c>
      <c r="T503" s="5" t="s">
        <v>243</v>
      </c>
      <c r="U503" s="5" t="s">
        <v>724</v>
      </c>
      <c r="V503" s="5" t="s">
        <v>240</v>
      </c>
      <c r="Y503" s="5" t="s">
        <v>240</v>
      </c>
      <c r="Z503" s="6" t="s">
        <v>298</v>
      </c>
      <c r="AB503" s="6" t="s">
        <v>240</v>
      </c>
      <c r="AE503" s="6" t="s">
        <v>299</v>
      </c>
      <c r="AF503" s="5" t="s">
        <v>248</v>
      </c>
      <c r="AG503" s="5" t="s">
        <v>249</v>
      </c>
      <c r="AW503" s="5" t="s">
        <v>251</v>
      </c>
      <c r="AX503" s="5" t="s">
        <v>240</v>
      </c>
      <c r="AY503" s="5" t="s">
        <v>253</v>
      </c>
      <c r="AZ503" s="5" t="s">
        <v>240</v>
      </c>
      <c r="BA503" s="5" t="s">
        <v>255</v>
      </c>
      <c r="BB503" s="5" t="s">
        <v>240</v>
      </c>
      <c r="BD503" s="5" t="s">
        <v>240</v>
      </c>
      <c r="BF503" s="5" t="s">
        <v>301</v>
      </c>
      <c r="BG503" s="6" t="s">
        <v>299</v>
      </c>
      <c r="BH503" s="5" t="s">
        <v>302</v>
      </c>
      <c r="BI503" s="5" t="s">
        <v>303</v>
      </c>
      <c r="BJ503" s="5" t="s">
        <v>240</v>
      </c>
      <c r="BK503" s="8">
        <f>0</f>
        <v>0</v>
      </c>
      <c r="BL503" s="7">
        <f>0</f>
        <v>0</v>
      </c>
      <c r="BM503" s="5" t="s">
        <v>258</v>
      </c>
      <c r="BN503" s="5" t="s">
        <v>259</v>
      </c>
      <c r="CB503" s="5" t="s">
        <v>240</v>
      </c>
      <c r="CC503" s="5" t="s">
        <v>240</v>
      </c>
      <c r="CG503" s="5" t="s">
        <v>617</v>
      </c>
      <c r="CH503" s="5" t="s">
        <v>305</v>
      </c>
      <c r="CI503" s="5" t="s">
        <v>240</v>
      </c>
      <c r="CL503" s="6" t="s">
        <v>261</v>
      </c>
      <c r="CM503" s="5" t="s">
        <v>240</v>
      </c>
      <c r="CN503" s="5" t="s">
        <v>263</v>
      </c>
      <c r="CO503" s="5" t="s">
        <v>240</v>
      </c>
      <c r="CP503" s="5" t="s">
        <v>240</v>
      </c>
      <c r="CQ503" s="5">
        <v>0</v>
      </c>
      <c r="CR503" s="5" t="s">
        <v>306</v>
      </c>
      <c r="CS503" s="5" t="s">
        <v>307</v>
      </c>
      <c r="CT503" s="5" t="s">
        <v>307</v>
      </c>
      <c r="CU503" s="5" t="s">
        <v>260</v>
      </c>
      <c r="CX503" s="7">
        <f>60170</f>
        <v>60170</v>
      </c>
      <c r="CY503" s="7">
        <f>0</f>
        <v>0</v>
      </c>
      <c r="DA503" s="7">
        <f>0</f>
        <v>0</v>
      </c>
      <c r="DC503" s="5" t="s">
        <v>854</v>
      </c>
      <c r="DD503" s="5" t="s">
        <v>240</v>
      </c>
      <c r="DF503" s="5" t="s">
        <v>450</v>
      </c>
      <c r="DG503" s="7">
        <f>0</f>
        <v>0</v>
      </c>
      <c r="DI503" s="5" t="s">
        <v>737</v>
      </c>
      <c r="DJ503" s="5" t="s">
        <v>240</v>
      </c>
      <c r="DK503" s="5" t="s">
        <v>240</v>
      </c>
      <c r="DL503" s="5" t="s">
        <v>240</v>
      </c>
      <c r="DP503" s="5" t="s">
        <v>240</v>
      </c>
      <c r="DQ503" s="5" t="s">
        <v>240</v>
      </c>
      <c r="DR503" s="5" t="s">
        <v>240</v>
      </c>
      <c r="DS503" s="5" t="s">
        <v>240</v>
      </c>
      <c r="DV503" s="5" t="s">
        <v>957</v>
      </c>
      <c r="DW503" s="5" t="s">
        <v>795</v>
      </c>
      <c r="HO503" s="5" t="s">
        <v>312</v>
      </c>
    </row>
    <row r="504" spans="1:223" x14ac:dyDescent="0.4">
      <c r="A504" s="5">
        <v>1366</v>
      </c>
      <c r="B504" s="5">
        <v>1</v>
      </c>
      <c r="C504" s="5">
        <v>1</v>
      </c>
      <c r="D504" s="5" t="s">
        <v>723</v>
      </c>
      <c r="E504" s="5" t="s">
        <v>725</v>
      </c>
      <c r="F504" s="5" t="s">
        <v>254</v>
      </c>
      <c r="G504" s="5" t="s">
        <v>240</v>
      </c>
      <c r="H504" s="6" t="s">
        <v>2058</v>
      </c>
      <c r="I504" s="5" t="s">
        <v>722</v>
      </c>
      <c r="J504" s="8">
        <f>1835</f>
        <v>1835</v>
      </c>
      <c r="K504" s="5" t="s">
        <v>308</v>
      </c>
      <c r="L504" s="7">
        <f>20185</f>
        <v>20185</v>
      </c>
      <c r="M504" s="7">
        <f>20185</f>
        <v>20185</v>
      </c>
      <c r="N504" s="5" t="s">
        <v>242</v>
      </c>
      <c r="O504" s="5">
        <v>1</v>
      </c>
      <c r="P504" s="5" t="s">
        <v>294</v>
      </c>
      <c r="Q504" s="5" t="s">
        <v>613</v>
      </c>
      <c r="R504" s="5" t="s">
        <v>240</v>
      </c>
      <c r="S504" s="5" t="s">
        <v>240</v>
      </c>
      <c r="T504" s="5" t="s">
        <v>243</v>
      </c>
      <c r="U504" s="5" t="s">
        <v>724</v>
      </c>
      <c r="V504" s="5" t="s">
        <v>240</v>
      </c>
      <c r="Y504" s="5" t="s">
        <v>240</v>
      </c>
      <c r="Z504" s="6" t="s">
        <v>298</v>
      </c>
      <c r="AB504" s="6" t="s">
        <v>240</v>
      </c>
      <c r="AE504" s="6" t="s">
        <v>299</v>
      </c>
      <c r="AF504" s="5" t="s">
        <v>248</v>
      </c>
      <c r="AG504" s="5" t="s">
        <v>249</v>
      </c>
      <c r="AW504" s="5" t="s">
        <v>251</v>
      </c>
      <c r="AX504" s="5" t="s">
        <v>240</v>
      </c>
      <c r="AY504" s="5" t="s">
        <v>253</v>
      </c>
      <c r="AZ504" s="5" t="s">
        <v>240</v>
      </c>
      <c r="BA504" s="5" t="s">
        <v>255</v>
      </c>
      <c r="BB504" s="5" t="s">
        <v>240</v>
      </c>
      <c r="BD504" s="5" t="s">
        <v>240</v>
      </c>
      <c r="BF504" s="5" t="s">
        <v>301</v>
      </c>
      <c r="BG504" s="6" t="s">
        <v>299</v>
      </c>
      <c r="BH504" s="5" t="s">
        <v>302</v>
      </c>
      <c r="BI504" s="5" t="s">
        <v>303</v>
      </c>
      <c r="BJ504" s="5" t="s">
        <v>240</v>
      </c>
      <c r="BK504" s="8">
        <f>0</f>
        <v>0</v>
      </c>
      <c r="BL504" s="7">
        <f>0</f>
        <v>0</v>
      </c>
      <c r="BM504" s="5" t="s">
        <v>258</v>
      </c>
      <c r="BN504" s="5" t="s">
        <v>259</v>
      </c>
      <c r="CB504" s="5" t="s">
        <v>240</v>
      </c>
      <c r="CC504" s="5" t="s">
        <v>240</v>
      </c>
      <c r="CG504" s="5" t="s">
        <v>617</v>
      </c>
      <c r="CH504" s="5" t="s">
        <v>305</v>
      </c>
      <c r="CI504" s="5" t="s">
        <v>240</v>
      </c>
      <c r="CL504" s="6" t="s">
        <v>261</v>
      </c>
      <c r="CM504" s="5" t="s">
        <v>240</v>
      </c>
      <c r="CN504" s="5" t="s">
        <v>263</v>
      </c>
      <c r="CO504" s="5" t="s">
        <v>240</v>
      </c>
      <c r="CP504" s="5" t="s">
        <v>240</v>
      </c>
      <c r="CQ504" s="5">
        <v>0</v>
      </c>
      <c r="CR504" s="5" t="s">
        <v>306</v>
      </c>
      <c r="CS504" s="5" t="s">
        <v>307</v>
      </c>
      <c r="CT504" s="5" t="s">
        <v>307</v>
      </c>
      <c r="CU504" s="5" t="s">
        <v>260</v>
      </c>
      <c r="CX504" s="7">
        <f>6666</f>
        <v>6666</v>
      </c>
      <c r="CY504" s="7">
        <f>0</f>
        <v>0</v>
      </c>
      <c r="DA504" s="7">
        <f>0</f>
        <v>0</v>
      </c>
      <c r="DC504" s="5" t="s">
        <v>450</v>
      </c>
      <c r="DD504" s="5" t="s">
        <v>240</v>
      </c>
      <c r="DF504" s="5" t="s">
        <v>450</v>
      </c>
      <c r="DG504" s="7">
        <f>0</f>
        <v>0</v>
      </c>
      <c r="DI504" s="5" t="s">
        <v>737</v>
      </c>
      <c r="DJ504" s="5" t="s">
        <v>240</v>
      </c>
      <c r="DK504" s="5" t="s">
        <v>240</v>
      </c>
      <c r="DL504" s="5" t="s">
        <v>240</v>
      </c>
      <c r="DP504" s="5" t="s">
        <v>240</v>
      </c>
      <c r="DQ504" s="5" t="s">
        <v>240</v>
      </c>
      <c r="DR504" s="5" t="s">
        <v>240</v>
      </c>
      <c r="DS504" s="5" t="s">
        <v>240</v>
      </c>
      <c r="DV504" s="5" t="s">
        <v>957</v>
      </c>
      <c r="DW504" s="5" t="s">
        <v>797</v>
      </c>
      <c r="HO504" s="5" t="s">
        <v>312</v>
      </c>
    </row>
    <row r="505" spans="1:223" x14ac:dyDescent="0.4">
      <c r="A505" s="5">
        <v>1367</v>
      </c>
      <c r="B505" s="5">
        <v>1</v>
      </c>
      <c r="C505" s="5">
        <v>1</v>
      </c>
      <c r="D505" s="5" t="s">
        <v>723</v>
      </c>
      <c r="E505" s="5" t="s">
        <v>725</v>
      </c>
      <c r="F505" s="5" t="s">
        <v>254</v>
      </c>
      <c r="G505" s="5" t="s">
        <v>240</v>
      </c>
      <c r="H505" s="6" t="s">
        <v>1241</v>
      </c>
      <c r="I505" s="5" t="s">
        <v>722</v>
      </c>
      <c r="J505" s="8">
        <f>357</f>
        <v>357</v>
      </c>
      <c r="K505" s="5" t="s">
        <v>308</v>
      </c>
      <c r="L505" s="7">
        <f>3927</f>
        <v>3927</v>
      </c>
      <c r="M505" s="7">
        <f>3927</f>
        <v>3927</v>
      </c>
      <c r="N505" s="5" t="s">
        <v>242</v>
      </c>
      <c r="O505" s="5">
        <v>1</v>
      </c>
      <c r="P505" s="5" t="s">
        <v>294</v>
      </c>
      <c r="Q505" s="5" t="s">
        <v>613</v>
      </c>
      <c r="R505" s="5" t="s">
        <v>240</v>
      </c>
      <c r="S505" s="5" t="s">
        <v>240</v>
      </c>
      <c r="T505" s="5" t="s">
        <v>243</v>
      </c>
      <c r="U505" s="5" t="s">
        <v>724</v>
      </c>
      <c r="V505" s="5" t="s">
        <v>240</v>
      </c>
      <c r="Y505" s="5" t="s">
        <v>240</v>
      </c>
      <c r="Z505" s="6" t="s">
        <v>298</v>
      </c>
      <c r="AB505" s="6" t="s">
        <v>240</v>
      </c>
      <c r="AE505" s="6" t="s">
        <v>299</v>
      </c>
      <c r="AF505" s="5" t="s">
        <v>248</v>
      </c>
      <c r="AG505" s="5" t="s">
        <v>249</v>
      </c>
      <c r="AW505" s="5" t="s">
        <v>251</v>
      </c>
      <c r="AX505" s="5" t="s">
        <v>240</v>
      </c>
      <c r="AY505" s="5" t="s">
        <v>253</v>
      </c>
      <c r="AZ505" s="5" t="s">
        <v>240</v>
      </c>
      <c r="BA505" s="5" t="s">
        <v>255</v>
      </c>
      <c r="BB505" s="5" t="s">
        <v>240</v>
      </c>
      <c r="BD505" s="5" t="s">
        <v>240</v>
      </c>
      <c r="BF505" s="5" t="s">
        <v>301</v>
      </c>
      <c r="BG505" s="6" t="s">
        <v>299</v>
      </c>
      <c r="BH505" s="5" t="s">
        <v>302</v>
      </c>
      <c r="BI505" s="5" t="s">
        <v>303</v>
      </c>
      <c r="BJ505" s="5" t="s">
        <v>240</v>
      </c>
      <c r="BK505" s="8">
        <f>0</f>
        <v>0</v>
      </c>
      <c r="BL505" s="7">
        <f>0</f>
        <v>0</v>
      </c>
      <c r="BM505" s="5" t="s">
        <v>258</v>
      </c>
      <c r="BN505" s="5" t="s">
        <v>259</v>
      </c>
      <c r="CB505" s="5" t="s">
        <v>240</v>
      </c>
      <c r="CC505" s="5" t="s">
        <v>240</v>
      </c>
      <c r="CG505" s="5" t="s">
        <v>617</v>
      </c>
      <c r="CH505" s="5" t="s">
        <v>305</v>
      </c>
      <c r="CI505" s="5" t="s">
        <v>240</v>
      </c>
      <c r="CL505" s="6" t="s">
        <v>261</v>
      </c>
      <c r="CM505" s="5" t="s">
        <v>240</v>
      </c>
      <c r="CN505" s="5" t="s">
        <v>263</v>
      </c>
      <c r="CO505" s="5" t="s">
        <v>240</v>
      </c>
      <c r="CP505" s="5" t="s">
        <v>240</v>
      </c>
      <c r="CQ505" s="5">
        <v>0</v>
      </c>
      <c r="CR505" s="5" t="s">
        <v>306</v>
      </c>
      <c r="CS505" s="5" t="s">
        <v>307</v>
      </c>
      <c r="CT505" s="5" t="s">
        <v>307</v>
      </c>
      <c r="CU505" s="5" t="s">
        <v>260</v>
      </c>
      <c r="CX505" s="7">
        <f>5984</f>
        <v>5984</v>
      </c>
      <c r="CY505" s="7">
        <f>0</f>
        <v>0</v>
      </c>
      <c r="DA505" s="7">
        <f>0</f>
        <v>0</v>
      </c>
      <c r="DC505" s="5" t="s">
        <v>854</v>
      </c>
      <c r="DD505" s="5" t="s">
        <v>240</v>
      </c>
      <c r="DF505" s="5" t="s">
        <v>450</v>
      </c>
      <c r="DG505" s="7">
        <f>0</f>
        <v>0</v>
      </c>
      <c r="DI505" s="5" t="s">
        <v>737</v>
      </c>
      <c r="DJ505" s="5" t="s">
        <v>240</v>
      </c>
      <c r="DK505" s="5" t="s">
        <v>240</v>
      </c>
      <c r="DL505" s="5" t="s">
        <v>240</v>
      </c>
      <c r="DP505" s="5" t="s">
        <v>240</v>
      </c>
      <c r="DQ505" s="5" t="s">
        <v>240</v>
      </c>
      <c r="DR505" s="5" t="s">
        <v>240</v>
      </c>
      <c r="DS505" s="5" t="s">
        <v>240</v>
      </c>
      <c r="DV505" s="5" t="s">
        <v>957</v>
      </c>
      <c r="DW505" s="5" t="s">
        <v>799</v>
      </c>
      <c r="HO505" s="5" t="s">
        <v>312</v>
      </c>
    </row>
    <row r="506" spans="1:223" x14ac:dyDescent="0.4">
      <c r="A506" s="5">
        <v>1368</v>
      </c>
      <c r="B506" s="5">
        <v>1</v>
      </c>
      <c r="C506" s="5">
        <v>1</v>
      </c>
      <c r="D506" s="5" t="s">
        <v>723</v>
      </c>
      <c r="E506" s="5" t="s">
        <v>725</v>
      </c>
      <c r="F506" s="5" t="s">
        <v>254</v>
      </c>
      <c r="G506" s="5" t="s">
        <v>240</v>
      </c>
      <c r="H506" s="6" t="s">
        <v>1240</v>
      </c>
      <c r="I506" s="5" t="s">
        <v>722</v>
      </c>
      <c r="J506" s="8">
        <f>1480</f>
        <v>1480</v>
      </c>
      <c r="K506" s="5" t="s">
        <v>308</v>
      </c>
      <c r="L506" s="7">
        <f>16280</f>
        <v>16280</v>
      </c>
      <c r="M506" s="7">
        <f>16280</f>
        <v>16280</v>
      </c>
      <c r="N506" s="5" t="s">
        <v>242</v>
      </c>
      <c r="O506" s="5">
        <v>1</v>
      </c>
      <c r="P506" s="5" t="s">
        <v>294</v>
      </c>
      <c r="Q506" s="5" t="s">
        <v>613</v>
      </c>
      <c r="R506" s="5" t="s">
        <v>240</v>
      </c>
      <c r="S506" s="5" t="s">
        <v>240</v>
      </c>
      <c r="T506" s="5" t="s">
        <v>243</v>
      </c>
      <c r="U506" s="5" t="s">
        <v>724</v>
      </c>
      <c r="V506" s="5" t="s">
        <v>240</v>
      </c>
      <c r="Y506" s="5" t="s">
        <v>240</v>
      </c>
      <c r="Z506" s="6" t="s">
        <v>298</v>
      </c>
      <c r="AB506" s="6" t="s">
        <v>240</v>
      </c>
      <c r="AE506" s="6" t="s">
        <v>299</v>
      </c>
      <c r="AF506" s="5" t="s">
        <v>248</v>
      </c>
      <c r="AG506" s="5" t="s">
        <v>249</v>
      </c>
      <c r="AW506" s="5" t="s">
        <v>251</v>
      </c>
      <c r="AX506" s="5" t="s">
        <v>240</v>
      </c>
      <c r="AY506" s="5" t="s">
        <v>253</v>
      </c>
      <c r="AZ506" s="5" t="s">
        <v>240</v>
      </c>
      <c r="BA506" s="5" t="s">
        <v>255</v>
      </c>
      <c r="BB506" s="5" t="s">
        <v>240</v>
      </c>
      <c r="BD506" s="5" t="s">
        <v>240</v>
      </c>
      <c r="BF506" s="5" t="s">
        <v>301</v>
      </c>
      <c r="BG506" s="6" t="s">
        <v>299</v>
      </c>
      <c r="BH506" s="5" t="s">
        <v>302</v>
      </c>
      <c r="BI506" s="5" t="s">
        <v>303</v>
      </c>
      <c r="BJ506" s="5" t="s">
        <v>240</v>
      </c>
      <c r="BK506" s="8">
        <f>0</f>
        <v>0</v>
      </c>
      <c r="BL506" s="7">
        <f>0</f>
        <v>0</v>
      </c>
      <c r="BM506" s="5" t="s">
        <v>258</v>
      </c>
      <c r="BN506" s="5" t="s">
        <v>259</v>
      </c>
      <c r="CB506" s="5" t="s">
        <v>240</v>
      </c>
      <c r="CC506" s="5" t="s">
        <v>240</v>
      </c>
      <c r="CG506" s="5" t="s">
        <v>617</v>
      </c>
      <c r="CH506" s="5" t="s">
        <v>305</v>
      </c>
      <c r="CI506" s="5" t="s">
        <v>240</v>
      </c>
      <c r="CL506" s="6" t="s">
        <v>261</v>
      </c>
      <c r="CM506" s="5" t="s">
        <v>240</v>
      </c>
      <c r="CN506" s="5" t="s">
        <v>263</v>
      </c>
      <c r="CO506" s="5" t="s">
        <v>240</v>
      </c>
      <c r="CP506" s="5" t="s">
        <v>240</v>
      </c>
      <c r="CQ506" s="5">
        <v>0</v>
      </c>
      <c r="CR506" s="5" t="s">
        <v>306</v>
      </c>
      <c r="CS506" s="5" t="s">
        <v>307</v>
      </c>
      <c r="CT506" s="5" t="s">
        <v>307</v>
      </c>
      <c r="CU506" s="5" t="s">
        <v>260</v>
      </c>
      <c r="CX506" s="7">
        <f>1067</f>
        <v>1067</v>
      </c>
      <c r="CY506" s="7">
        <f>0</f>
        <v>0</v>
      </c>
      <c r="DA506" s="7">
        <f>0</f>
        <v>0</v>
      </c>
      <c r="DC506" s="5" t="s">
        <v>854</v>
      </c>
      <c r="DD506" s="5" t="s">
        <v>240</v>
      </c>
      <c r="DF506" s="5" t="s">
        <v>450</v>
      </c>
      <c r="DG506" s="7">
        <f>0</f>
        <v>0</v>
      </c>
      <c r="DI506" s="5" t="s">
        <v>737</v>
      </c>
      <c r="DJ506" s="5" t="s">
        <v>240</v>
      </c>
      <c r="DK506" s="5" t="s">
        <v>240</v>
      </c>
      <c r="DL506" s="5" t="s">
        <v>240</v>
      </c>
      <c r="DP506" s="5" t="s">
        <v>240</v>
      </c>
      <c r="DQ506" s="5" t="s">
        <v>240</v>
      </c>
      <c r="DR506" s="5" t="s">
        <v>240</v>
      </c>
      <c r="DS506" s="5" t="s">
        <v>240</v>
      </c>
      <c r="DV506" s="5" t="s">
        <v>957</v>
      </c>
      <c r="DW506" s="5" t="s">
        <v>801</v>
      </c>
      <c r="HO506" s="5" t="s">
        <v>312</v>
      </c>
    </row>
    <row r="507" spans="1:223" x14ac:dyDescent="0.4">
      <c r="A507" s="5">
        <v>1369</v>
      </c>
      <c r="B507" s="5">
        <v>1</v>
      </c>
      <c r="C507" s="5">
        <v>1</v>
      </c>
      <c r="D507" s="5" t="s">
        <v>723</v>
      </c>
      <c r="E507" s="5" t="s">
        <v>725</v>
      </c>
      <c r="F507" s="5" t="s">
        <v>254</v>
      </c>
      <c r="G507" s="5" t="s">
        <v>240</v>
      </c>
      <c r="H507" s="6" t="s">
        <v>1239</v>
      </c>
      <c r="I507" s="5" t="s">
        <v>722</v>
      </c>
      <c r="J507" s="8">
        <f>817</f>
        <v>817</v>
      </c>
      <c r="K507" s="5" t="s">
        <v>308</v>
      </c>
      <c r="L507" s="7">
        <f>8987</f>
        <v>8987</v>
      </c>
      <c r="M507" s="7">
        <f>8987</f>
        <v>8987</v>
      </c>
      <c r="N507" s="5" t="s">
        <v>242</v>
      </c>
      <c r="O507" s="5">
        <v>1</v>
      </c>
      <c r="P507" s="5" t="s">
        <v>294</v>
      </c>
      <c r="Q507" s="5" t="s">
        <v>613</v>
      </c>
      <c r="R507" s="5" t="s">
        <v>240</v>
      </c>
      <c r="S507" s="5" t="s">
        <v>240</v>
      </c>
      <c r="T507" s="5" t="s">
        <v>243</v>
      </c>
      <c r="U507" s="5" t="s">
        <v>724</v>
      </c>
      <c r="V507" s="5" t="s">
        <v>240</v>
      </c>
      <c r="Y507" s="5" t="s">
        <v>240</v>
      </c>
      <c r="Z507" s="6" t="s">
        <v>298</v>
      </c>
      <c r="AB507" s="6" t="s">
        <v>240</v>
      </c>
      <c r="AE507" s="6" t="s">
        <v>299</v>
      </c>
      <c r="AF507" s="5" t="s">
        <v>248</v>
      </c>
      <c r="AG507" s="5" t="s">
        <v>249</v>
      </c>
      <c r="AW507" s="5" t="s">
        <v>251</v>
      </c>
      <c r="AX507" s="5" t="s">
        <v>240</v>
      </c>
      <c r="AY507" s="5" t="s">
        <v>253</v>
      </c>
      <c r="AZ507" s="5" t="s">
        <v>240</v>
      </c>
      <c r="BA507" s="5" t="s">
        <v>255</v>
      </c>
      <c r="BB507" s="5" t="s">
        <v>240</v>
      </c>
      <c r="BD507" s="5" t="s">
        <v>240</v>
      </c>
      <c r="BF507" s="5" t="s">
        <v>301</v>
      </c>
      <c r="BG507" s="6" t="s">
        <v>299</v>
      </c>
      <c r="BH507" s="5" t="s">
        <v>302</v>
      </c>
      <c r="BI507" s="5" t="s">
        <v>303</v>
      </c>
      <c r="BJ507" s="5" t="s">
        <v>240</v>
      </c>
      <c r="BK507" s="8">
        <f>0</f>
        <v>0</v>
      </c>
      <c r="BL507" s="7">
        <f>0</f>
        <v>0</v>
      </c>
      <c r="BM507" s="5" t="s">
        <v>258</v>
      </c>
      <c r="BN507" s="5" t="s">
        <v>259</v>
      </c>
      <c r="CB507" s="5" t="s">
        <v>240</v>
      </c>
      <c r="CC507" s="5" t="s">
        <v>240</v>
      </c>
      <c r="CG507" s="5" t="s">
        <v>617</v>
      </c>
      <c r="CH507" s="5" t="s">
        <v>305</v>
      </c>
      <c r="CI507" s="5" t="s">
        <v>240</v>
      </c>
      <c r="CL507" s="6" t="s">
        <v>261</v>
      </c>
      <c r="CM507" s="5" t="s">
        <v>240</v>
      </c>
      <c r="CN507" s="5" t="s">
        <v>263</v>
      </c>
      <c r="CO507" s="5" t="s">
        <v>240</v>
      </c>
      <c r="CP507" s="5" t="s">
        <v>240</v>
      </c>
      <c r="CQ507" s="5">
        <v>0</v>
      </c>
      <c r="CR507" s="5" t="s">
        <v>306</v>
      </c>
      <c r="CS507" s="5" t="s">
        <v>307</v>
      </c>
      <c r="CT507" s="5" t="s">
        <v>307</v>
      </c>
      <c r="CU507" s="5" t="s">
        <v>260</v>
      </c>
      <c r="CX507" s="7">
        <f>17534</f>
        <v>17534</v>
      </c>
      <c r="CY507" s="7">
        <f>0</f>
        <v>0</v>
      </c>
      <c r="DA507" s="7">
        <f>0</f>
        <v>0</v>
      </c>
      <c r="DC507" s="5" t="s">
        <v>854</v>
      </c>
      <c r="DD507" s="5" t="s">
        <v>240</v>
      </c>
      <c r="DF507" s="5" t="s">
        <v>450</v>
      </c>
      <c r="DG507" s="7">
        <f>0</f>
        <v>0</v>
      </c>
      <c r="DI507" s="5" t="s">
        <v>737</v>
      </c>
      <c r="DJ507" s="5" t="s">
        <v>240</v>
      </c>
      <c r="DK507" s="5" t="s">
        <v>240</v>
      </c>
      <c r="DL507" s="5" t="s">
        <v>240</v>
      </c>
      <c r="DP507" s="5" t="s">
        <v>240</v>
      </c>
      <c r="DQ507" s="5" t="s">
        <v>240</v>
      </c>
      <c r="DR507" s="5" t="s">
        <v>240</v>
      </c>
      <c r="DS507" s="5" t="s">
        <v>240</v>
      </c>
      <c r="DV507" s="5" t="s">
        <v>957</v>
      </c>
      <c r="DW507" s="5" t="s">
        <v>804</v>
      </c>
      <c r="HO507" s="5" t="s">
        <v>312</v>
      </c>
    </row>
    <row r="508" spans="1:223" x14ac:dyDescent="0.4">
      <c r="A508" s="5">
        <v>1370</v>
      </c>
      <c r="B508" s="5">
        <v>1</v>
      </c>
      <c r="C508" s="5">
        <v>1</v>
      </c>
      <c r="D508" s="5" t="s">
        <v>723</v>
      </c>
      <c r="E508" s="5" t="s">
        <v>725</v>
      </c>
      <c r="F508" s="5" t="s">
        <v>254</v>
      </c>
      <c r="G508" s="5" t="s">
        <v>240</v>
      </c>
      <c r="H508" s="6" t="s">
        <v>1238</v>
      </c>
      <c r="I508" s="5" t="s">
        <v>722</v>
      </c>
      <c r="J508" s="8">
        <f>571</f>
        <v>571</v>
      </c>
      <c r="K508" s="5" t="s">
        <v>308</v>
      </c>
      <c r="L508" s="7">
        <f>6281</f>
        <v>6281</v>
      </c>
      <c r="M508" s="7">
        <f>6281</f>
        <v>6281</v>
      </c>
      <c r="N508" s="5" t="s">
        <v>242</v>
      </c>
      <c r="O508" s="5">
        <v>1</v>
      </c>
      <c r="P508" s="5" t="s">
        <v>294</v>
      </c>
      <c r="Q508" s="5" t="s">
        <v>613</v>
      </c>
      <c r="R508" s="5" t="s">
        <v>240</v>
      </c>
      <c r="S508" s="5" t="s">
        <v>240</v>
      </c>
      <c r="T508" s="5" t="s">
        <v>243</v>
      </c>
      <c r="U508" s="5" t="s">
        <v>724</v>
      </c>
      <c r="V508" s="5" t="s">
        <v>240</v>
      </c>
      <c r="Y508" s="5" t="s">
        <v>240</v>
      </c>
      <c r="Z508" s="6" t="s">
        <v>298</v>
      </c>
      <c r="AB508" s="6" t="s">
        <v>240</v>
      </c>
      <c r="AE508" s="6" t="s">
        <v>299</v>
      </c>
      <c r="AF508" s="5" t="s">
        <v>248</v>
      </c>
      <c r="AG508" s="5" t="s">
        <v>249</v>
      </c>
      <c r="AW508" s="5" t="s">
        <v>251</v>
      </c>
      <c r="AX508" s="5" t="s">
        <v>240</v>
      </c>
      <c r="AY508" s="5" t="s">
        <v>253</v>
      </c>
      <c r="AZ508" s="5" t="s">
        <v>240</v>
      </c>
      <c r="BA508" s="5" t="s">
        <v>255</v>
      </c>
      <c r="BB508" s="5" t="s">
        <v>240</v>
      </c>
      <c r="BD508" s="5" t="s">
        <v>240</v>
      </c>
      <c r="BF508" s="5" t="s">
        <v>301</v>
      </c>
      <c r="BG508" s="6" t="s">
        <v>299</v>
      </c>
      <c r="BH508" s="5" t="s">
        <v>302</v>
      </c>
      <c r="BI508" s="5" t="s">
        <v>303</v>
      </c>
      <c r="BJ508" s="5" t="s">
        <v>240</v>
      </c>
      <c r="BK508" s="8">
        <f>0</f>
        <v>0</v>
      </c>
      <c r="BL508" s="7">
        <f>0</f>
        <v>0</v>
      </c>
      <c r="BM508" s="5" t="s">
        <v>258</v>
      </c>
      <c r="BN508" s="5" t="s">
        <v>259</v>
      </c>
      <c r="CB508" s="5" t="s">
        <v>240</v>
      </c>
      <c r="CC508" s="5" t="s">
        <v>240</v>
      </c>
      <c r="CG508" s="5" t="s">
        <v>617</v>
      </c>
      <c r="CH508" s="5" t="s">
        <v>305</v>
      </c>
      <c r="CI508" s="5" t="s">
        <v>240</v>
      </c>
      <c r="CL508" s="6" t="s">
        <v>261</v>
      </c>
      <c r="CM508" s="5" t="s">
        <v>240</v>
      </c>
      <c r="CN508" s="5" t="s">
        <v>263</v>
      </c>
      <c r="CO508" s="5" t="s">
        <v>240</v>
      </c>
      <c r="CP508" s="5" t="s">
        <v>240</v>
      </c>
      <c r="CQ508" s="5">
        <v>0</v>
      </c>
      <c r="CR508" s="5" t="s">
        <v>306</v>
      </c>
      <c r="CS508" s="5" t="s">
        <v>307</v>
      </c>
      <c r="CT508" s="5" t="s">
        <v>307</v>
      </c>
      <c r="CU508" s="5" t="s">
        <v>260</v>
      </c>
      <c r="CX508" s="7">
        <f>2376</f>
        <v>2376</v>
      </c>
      <c r="CY508" s="7">
        <f>0</f>
        <v>0</v>
      </c>
      <c r="DA508" s="7">
        <f>0</f>
        <v>0</v>
      </c>
      <c r="DC508" s="5" t="s">
        <v>854</v>
      </c>
      <c r="DD508" s="5" t="s">
        <v>240</v>
      </c>
      <c r="DF508" s="5" t="s">
        <v>450</v>
      </c>
      <c r="DG508" s="7">
        <f>0</f>
        <v>0</v>
      </c>
      <c r="DI508" s="5" t="s">
        <v>737</v>
      </c>
      <c r="DJ508" s="5" t="s">
        <v>240</v>
      </c>
      <c r="DK508" s="5" t="s">
        <v>240</v>
      </c>
      <c r="DL508" s="5" t="s">
        <v>240</v>
      </c>
      <c r="DP508" s="5" t="s">
        <v>240</v>
      </c>
      <c r="DQ508" s="5" t="s">
        <v>240</v>
      </c>
      <c r="DR508" s="5" t="s">
        <v>240</v>
      </c>
      <c r="DS508" s="5" t="s">
        <v>240</v>
      </c>
      <c r="DV508" s="5" t="s">
        <v>957</v>
      </c>
      <c r="DW508" s="5" t="s">
        <v>808</v>
      </c>
      <c r="HO508" s="5" t="s">
        <v>312</v>
      </c>
    </row>
    <row r="509" spans="1:223" x14ac:dyDescent="0.4">
      <c r="A509" s="5">
        <v>1371</v>
      </c>
      <c r="B509" s="5">
        <v>1</v>
      </c>
      <c r="C509" s="5">
        <v>1</v>
      </c>
      <c r="D509" s="5" t="s">
        <v>723</v>
      </c>
      <c r="E509" s="5" t="s">
        <v>725</v>
      </c>
      <c r="F509" s="5" t="s">
        <v>254</v>
      </c>
      <c r="G509" s="5" t="s">
        <v>240</v>
      </c>
      <c r="H509" s="6" t="s">
        <v>1237</v>
      </c>
      <c r="I509" s="5" t="s">
        <v>722</v>
      </c>
      <c r="J509" s="8">
        <f>551</f>
        <v>551</v>
      </c>
      <c r="K509" s="5" t="s">
        <v>308</v>
      </c>
      <c r="L509" s="7">
        <f>6061</f>
        <v>6061</v>
      </c>
      <c r="M509" s="7">
        <f>6061</f>
        <v>6061</v>
      </c>
      <c r="N509" s="5" t="s">
        <v>242</v>
      </c>
      <c r="O509" s="5">
        <v>1</v>
      </c>
      <c r="P509" s="5" t="s">
        <v>294</v>
      </c>
      <c r="Q509" s="5" t="s">
        <v>613</v>
      </c>
      <c r="R509" s="5" t="s">
        <v>240</v>
      </c>
      <c r="S509" s="5" t="s">
        <v>240</v>
      </c>
      <c r="T509" s="5" t="s">
        <v>243</v>
      </c>
      <c r="U509" s="5" t="s">
        <v>724</v>
      </c>
      <c r="V509" s="5" t="s">
        <v>240</v>
      </c>
      <c r="Y509" s="5" t="s">
        <v>240</v>
      </c>
      <c r="Z509" s="6" t="s">
        <v>298</v>
      </c>
      <c r="AB509" s="6" t="s">
        <v>240</v>
      </c>
      <c r="AE509" s="6" t="s">
        <v>299</v>
      </c>
      <c r="AF509" s="5" t="s">
        <v>248</v>
      </c>
      <c r="AG509" s="5" t="s">
        <v>249</v>
      </c>
      <c r="AW509" s="5" t="s">
        <v>251</v>
      </c>
      <c r="AX509" s="5" t="s">
        <v>240</v>
      </c>
      <c r="AY509" s="5" t="s">
        <v>253</v>
      </c>
      <c r="AZ509" s="5" t="s">
        <v>240</v>
      </c>
      <c r="BA509" s="5" t="s">
        <v>255</v>
      </c>
      <c r="BB509" s="5" t="s">
        <v>240</v>
      </c>
      <c r="BD509" s="5" t="s">
        <v>240</v>
      </c>
      <c r="BF509" s="5" t="s">
        <v>301</v>
      </c>
      <c r="BG509" s="6" t="s">
        <v>299</v>
      </c>
      <c r="BH509" s="5" t="s">
        <v>302</v>
      </c>
      <c r="BI509" s="5" t="s">
        <v>303</v>
      </c>
      <c r="BJ509" s="5" t="s">
        <v>240</v>
      </c>
      <c r="BK509" s="8">
        <f>0</f>
        <v>0</v>
      </c>
      <c r="BL509" s="7">
        <f>0</f>
        <v>0</v>
      </c>
      <c r="BM509" s="5" t="s">
        <v>258</v>
      </c>
      <c r="BN509" s="5" t="s">
        <v>259</v>
      </c>
      <c r="CB509" s="5" t="s">
        <v>240</v>
      </c>
      <c r="CC509" s="5" t="s">
        <v>240</v>
      </c>
      <c r="CG509" s="5" t="s">
        <v>617</v>
      </c>
      <c r="CH509" s="5" t="s">
        <v>305</v>
      </c>
      <c r="CI509" s="5" t="s">
        <v>240</v>
      </c>
      <c r="CL509" s="6" t="s">
        <v>261</v>
      </c>
      <c r="CM509" s="5" t="s">
        <v>240</v>
      </c>
      <c r="CN509" s="5" t="s">
        <v>263</v>
      </c>
      <c r="CO509" s="5" t="s">
        <v>240</v>
      </c>
      <c r="CP509" s="5" t="s">
        <v>240</v>
      </c>
      <c r="CQ509" s="5">
        <v>0</v>
      </c>
      <c r="CR509" s="5" t="s">
        <v>306</v>
      </c>
      <c r="CS509" s="5" t="s">
        <v>307</v>
      </c>
      <c r="CT509" s="5" t="s">
        <v>307</v>
      </c>
      <c r="CU509" s="5" t="s">
        <v>260</v>
      </c>
      <c r="CX509" s="7">
        <f>12661</f>
        <v>12661</v>
      </c>
      <c r="CY509" s="7">
        <f>0</f>
        <v>0</v>
      </c>
      <c r="DA509" s="7">
        <f>0</f>
        <v>0</v>
      </c>
      <c r="DC509" s="5" t="s">
        <v>854</v>
      </c>
      <c r="DD509" s="5" t="s">
        <v>240</v>
      </c>
      <c r="DF509" s="5" t="s">
        <v>450</v>
      </c>
      <c r="DG509" s="7">
        <f>0</f>
        <v>0</v>
      </c>
      <c r="DI509" s="5" t="s">
        <v>737</v>
      </c>
      <c r="DJ509" s="5" t="s">
        <v>240</v>
      </c>
      <c r="DK509" s="5" t="s">
        <v>240</v>
      </c>
      <c r="DL509" s="5" t="s">
        <v>240</v>
      </c>
      <c r="DP509" s="5" t="s">
        <v>240</v>
      </c>
      <c r="DQ509" s="5" t="s">
        <v>240</v>
      </c>
      <c r="DR509" s="5" t="s">
        <v>240</v>
      </c>
      <c r="DS509" s="5" t="s">
        <v>240</v>
      </c>
      <c r="DV509" s="5" t="s">
        <v>957</v>
      </c>
      <c r="DW509" s="5" t="s">
        <v>1260</v>
      </c>
      <c r="HO509" s="5" t="s">
        <v>312</v>
      </c>
    </row>
    <row r="510" spans="1:223" x14ac:dyDescent="0.4">
      <c r="A510" s="5">
        <v>1372</v>
      </c>
      <c r="B510" s="5">
        <v>1</v>
      </c>
      <c r="C510" s="5">
        <v>1</v>
      </c>
      <c r="D510" s="5" t="s">
        <v>723</v>
      </c>
      <c r="E510" s="5" t="s">
        <v>725</v>
      </c>
      <c r="F510" s="5" t="s">
        <v>254</v>
      </c>
      <c r="G510" s="5" t="s">
        <v>240</v>
      </c>
      <c r="H510" s="6" t="s">
        <v>1236</v>
      </c>
      <c r="I510" s="5" t="s">
        <v>722</v>
      </c>
      <c r="J510" s="8">
        <f>2651</f>
        <v>2651</v>
      </c>
      <c r="K510" s="5" t="s">
        <v>308</v>
      </c>
      <c r="L510" s="7">
        <f>29161</f>
        <v>29161</v>
      </c>
      <c r="M510" s="7">
        <f>29161</f>
        <v>29161</v>
      </c>
      <c r="N510" s="5" t="s">
        <v>242</v>
      </c>
      <c r="O510" s="5">
        <v>1</v>
      </c>
      <c r="P510" s="5" t="s">
        <v>294</v>
      </c>
      <c r="Q510" s="5" t="s">
        <v>613</v>
      </c>
      <c r="R510" s="5" t="s">
        <v>240</v>
      </c>
      <c r="S510" s="5" t="s">
        <v>240</v>
      </c>
      <c r="T510" s="5" t="s">
        <v>243</v>
      </c>
      <c r="U510" s="5" t="s">
        <v>724</v>
      </c>
      <c r="V510" s="5" t="s">
        <v>240</v>
      </c>
      <c r="Y510" s="5" t="s">
        <v>240</v>
      </c>
      <c r="Z510" s="6" t="s">
        <v>298</v>
      </c>
      <c r="AB510" s="6" t="s">
        <v>240</v>
      </c>
      <c r="AE510" s="6" t="s">
        <v>299</v>
      </c>
      <c r="AF510" s="5" t="s">
        <v>248</v>
      </c>
      <c r="AG510" s="5" t="s">
        <v>249</v>
      </c>
      <c r="AW510" s="5" t="s">
        <v>251</v>
      </c>
      <c r="AX510" s="5" t="s">
        <v>240</v>
      </c>
      <c r="AY510" s="5" t="s">
        <v>253</v>
      </c>
      <c r="AZ510" s="5" t="s">
        <v>240</v>
      </c>
      <c r="BA510" s="5" t="s">
        <v>255</v>
      </c>
      <c r="BB510" s="5" t="s">
        <v>240</v>
      </c>
      <c r="BD510" s="5" t="s">
        <v>240</v>
      </c>
      <c r="BF510" s="5" t="s">
        <v>301</v>
      </c>
      <c r="BG510" s="6" t="s">
        <v>299</v>
      </c>
      <c r="BH510" s="5" t="s">
        <v>302</v>
      </c>
      <c r="BI510" s="5" t="s">
        <v>303</v>
      </c>
      <c r="BJ510" s="5" t="s">
        <v>240</v>
      </c>
      <c r="BK510" s="8">
        <f>0</f>
        <v>0</v>
      </c>
      <c r="BL510" s="7">
        <f>0</f>
        <v>0</v>
      </c>
      <c r="BM510" s="5" t="s">
        <v>258</v>
      </c>
      <c r="BN510" s="5" t="s">
        <v>259</v>
      </c>
      <c r="CB510" s="5" t="s">
        <v>240</v>
      </c>
      <c r="CC510" s="5" t="s">
        <v>240</v>
      </c>
      <c r="CG510" s="5" t="s">
        <v>617</v>
      </c>
      <c r="CH510" s="5" t="s">
        <v>305</v>
      </c>
      <c r="CI510" s="5" t="s">
        <v>240</v>
      </c>
      <c r="CL510" s="6" t="s">
        <v>261</v>
      </c>
      <c r="CM510" s="5" t="s">
        <v>240</v>
      </c>
      <c r="CN510" s="5" t="s">
        <v>263</v>
      </c>
      <c r="CO510" s="5" t="s">
        <v>240</v>
      </c>
      <c r="CP510" s="5" t="s">
        <v>240</v>
      </c>
      <c r="CQ510" s="5">
        <v>0</v>
      </c>
      <c r="CR510" s="5" t="s">
        <v>306</v>
      </c>
      <c r="CS510" s="5" t="s">
        <v>307</v>
      </c>
      <c r="CT510" s="5" t="s">
        <v>307</v>
      </c>
      <c r="CU510" s="5" t="s">
        <v>260</v>
      </c>
      <c r="CX510" s="7">
        <f>14564</f>
        <v>14564</v>
      </c>
      <c r="CY510" s="7">
        <f>0</f>
        <v>0</v>
      </c>
      <c r="DA510" s="7">
        <f>0</f>
        <v>0</v>
      </c>
      <c r="DC510" s="5" t="s">
        <v>854</v>
      </c>
      <c r="DD510" s="5" t="s">
        <v>240</v>
      </c>
      <c r="DF510" s="5" t="s">
        <v>450</v>
      </c>
      <c r="DG510" s="7">
        <f>0</f>
        <v>0</v>
      </c>
      <c r="DI510" s="5" t="s">
        <v>737</v>
      </c>
      <c r="DJ510" s="5" t="s">
        <v>240</v>
      </c>
      <c r="DK510" s="5" t="s">
        <v>240</v>
      </c>
      <c r="DL510" s="5" t="s">
        <v>240</v>
      </c>
      <c r="DP510" s="5" t="s">
        <v>240</v>
      </c>
      <c r="DQ510" s="5" t="s">
        <v>240</v>
      </c>
      <c r="DR510" s="5" t="s">
        <v>240</v>
      </c>
      <c r="DS510" s="5" t="s">
        <v>240</v>
      </c>
      <c r="DV510" s="5" t="s">
        <v>957</v>
      </c>
      <c r="DW510" s="5" t="s">
        <v>816</v>
      </c>
      <c r="HO510" s="5" t="s">
        <v>312</v>
      </c>
    </row>
    <row r="511" spans="1:223" x14ac:dyDescent="0.4">
      <c r="A511" s="5">
        <v>1373</v>
      </c>
      <c r="B511" s="5">
        <v>1</v>
      </c>
      <c r="C511" s="5">
        <v>1</v>
      </c>
      <c r="D511" s="5" t="s">
        <v>723</v>
      </c>
      <c r="E511" s="5" t="s">
        <v>725</v>
      </c>
      <c r="F511" s="5" t="s">
        <v>254</v>
      </c>
      <c r="G511" s="5" t="s">
        <v>240</v>
      </c>
      <c r="H511" s="6" t="s">
        <v>1235</v>
      </c>
      <c r="I511" s="5" t="s">
        <v>722</v>
      </c>
      <c r="J511" s="8">
        <f>10927</f>
        <v>10927</v>
      </c>
      <c r="K511" s="5" t="s">
        <v>308</v>
      </c>
      <c r="L511" s="7">
        <f>120197</f>
        <v>120197</v>
      </c>
      <c r="M511" s="7">
        <f>120197</f>
        <v>120197</v>
      </c>
      <c r="N511" s="5" t="s">
        <v>242</v>
      </c>
      <c r="O511" s="5">
        <v>1</v>
      </c>
      <c r="P511" s="5" t="s">
        <v>294</v>
      </c>
      <c r="Q511" s="5" t="s">
        <v>613</v>
      </c>
      <c r="R511" s="5" t="s">
        <v>240</v>
      </c>
      <c r="S511" s="5" t="s">
        <v>240</v>
      </c>
      <c r="T511" s="5" t="s">
        <v>243</v>
      </c>
      <c r="U511" s="5" t="s">
        <v>724</v>
      </c>
      <c r="V511" s="5" t="s">
        <v>240</v>
      </c>
      <c r="Y511" s="5" t="s">
        <v>240</v>
      </c>
      <c r="Z511" s="6" t="s">
        <v>298</v>
      </c>
      <c r="AB511" s="6" t="s">
        <v>240</v>
      </c>
      <c r="AE511" s="6" t="s">
        <v>299</v>
      </c>
      <c r="AF511" s="5" t="s">
        <v>248</v>
      </c>
      <c r="AG511" s="5" t="s">
        <v>249</v>
      </c>
      <c r="AW511" s="5" t="s">
        <v>251</v>
      </c>
      <c r="AX511" s="5" t="s">
        <v>240</v>
      </c>
      <c r="AY511" s="5" t="s">
        <v>253</v>
      </c>
      <c r="AZ511" s="5" t="s">
        <v>240</v>
      </c>
      <c r="BA511" s="5" t="s">
        <v>255</v>
      </c>
      <c r="BB511" s="5" t="s">
        <v>240</v>
      </c>
      <c r="BD511" s="5" t="s">
        <v>240</v>
      </c>
      <c r="BF511" s="5" t="s">
        <v>301</v>
      </c>
      <c r="BG511" s="6" t="s">
        <v>299</v>
      </c>
      <c r="BH511" s="5" t="s">
        <v>302</v>
      </c>
      <c r="BI511" s="5" t="s">
        <v>303</v>
      </c>
      <c r="BJ511" s="5" t="s">
        <v>240</v>
      </c>
      <c r="BK511" s="8">
        <f>0</f>
        <v>0</v>
      </c>
      <c r="BL511" s="7">
        <f>0</f>
        <v>0</v>
      </c>
      <c r="BM511" s="5" t="s">
        <v>258</v>
      </c>
      <c r="BN511" s="5" t="s">
        <v>259</v>
      </c>
      <c r="CB511" s="5" t="s">
        <v>240</v>
      </c>
      <c r="CC511" s="5" t="s">
        <v>240</v>
      </c>
      <c r="CG511" s="5" t="s">
        <v>617</v>
      </c>
      <c r="CH511" s="5" t="s">
        <v>305</v>
      </c>
      <c r="CI511" s="5" t="s">
        <v>240</v>
      </c>
      <c r="CL511" s="6" t="s">
        <v>261</v>
      </c>
      <c r="CM511" s="5" t="s">
        <v>240</v>
      </c>
      <c r="CN511" s="5" t="s">
        <v>263</v>
      </c>
      <c r="CO511" s="5" t="s">
        <v>240</v>
      </c>
      <c r="CP511" s="5" t="s">
        <v>240</v>
      </c>
      <c r="CQ511" s="5">
        <v>0</v>
      </c>
      <c r="CR511" s="5" t="s">
        <v>306</v>
      </c>
      <c r="CS511" s="5" t="s">
        <v>307</v>
      </c>
      <c r="CT511" s="5" t="s">
        <v>307</v>
      </c>
      <c r="CU511" s="5" t="s">
        <v>260</v>
      </c>
      <c r="CX511" s="7">
        <f>14245</f>
        <v>14245</v>
      </c>
      <c r="CY511" s="7">
        <f>0</f>
        <v>0</v>
      </c>
      <c r="DA511" s="7">
        <f>0</f>
        <v>0</v>
      </c>
      <c r="DC511" s="5" t="s">
        <v>854</v>
      </c>
      <c r="DD511" s="5" t="s">
        <v>240</v>
      </c>
      <c r="DF511" s="5" t="s">
        <v>450</v>
      </c>
      <c r="DG511" s="7">
        <f>0</f>
        <v>0</v>
      </c>
      <c r="DI511" s="5" t="s">
        <v>737</v>
      </c>
      <c r="DJ511" s="5" t="s">
        <v>240</v>
      </c>
      <c r="DK511" s="5" t="s">
        <v>240</v>
      </c>
      <c r="DL511" s="5" t="s">
        <v>240</v>
      </c>
      <c r="DP511" s="5" t="s">
        <v>240</v>
      </c>
      <c r="DQ511" s="5" t="s">
        <v>240</v>
      </c>
      <c r="DR511" s="5" t="s">
        <v>240</v>
      </c>
      <c r="DS511" s="5" t="s">
        <v>240</v>
      </c>
      <c r="DV511" s="5" t="s">
        <v>957</v>
      </c>
      <c r="DW511" s="5" t="s">
        <v>818</v>
      </c>
      <c r="HO511" s="5" t="s">
        <v>312</v>
      </c>
    </row>
    <row r="512" spans="1:223" x14ac:dyDescent="0.4">
      <c r="A512" s="5">
        <v>1374</v>
      </c>
      <c r="B512" s="5">
        <v>1</v>
      </c>
      <c r="C512" s="5">
        <v>1</v>
      </c>
      <c r="D512" s="5" t="s">
        <v>723</v>
      </c>
      <c r="E512" s="5" t="s">
        <v>725</v>
      </c>
      <c r="F512" s="5" t="s">
        <v>254</v>
      </c>
      <c r="G512" s="5" t="s">
        <v>240</v>
      </c>
      <c r="H512" s="6" t="s">
        <v>1234</v>
      </c>
      <c r="I512" s="5" t="s">
        <v>722</v>
      </c>
      <c r="J512" s="8">
        <f>2348</f>
        <v>2348</v>
      </c>
      <c r="K512" s="5" t="s">
        <v>308</v>
      </c>
      <c r="L512" s="7">
        <f>25828</f>
        <v>25828</v>
      </c>
      <c r="M512" s="7">
        <f>25828</f>
        <v>25828</v>
      </c>
      <c r="N512" s="5" t="s">
        <v>242</v>
      </c>
      <c r="O512" s="5">
        <v>1</v>
      </c>
      <c r="P512" s="5" t="s">
        <v>294</v>
      </c>
      <c r="Q512" s="5" t="s">
        <v>613</v>
      </c>
      <c r="R512" s="5" t="s">
        <v>240</v>
      </c>
      <c r="S512" s="5" t="s">
        <v>240</v>
      </c>
      <c r="T512" s="5" t="s">
        <v>243</v>
      </c>
      <c r="U512" s="5" t="s">
        <v>724</v>
      </c>
      <c r="V512" s="5" t="s">
        <v>240</v>
      </c>
      <c r="Y512" s="5" t="s">
        <v>240</v>
      </c>
      <c r="Z512" s="6" t="s">
        <v>298</v>
      </c>
      <c r="AB512" s="6" t="s">
        <v>240</v>
      </c>
      <c r="AE512" s="6" t="s">
        <v>299</v>
      </c>
      <c r="AF512" s="5" t="s">
        <v>248</v>
      </c>
      <c r="AG512" s="5" t="s">
        <v>249</v>
      </c>
      <c r="AW512" s="5" t="s">
        <v>251</v>
      </c>
      <c r="AX512" s="5" t="s">
        <v>240</v>
      </c>
      <c r="AY512" s="5" t="s">
        <v>253</v>
      </c>
      <c r="AZ512" s="5" t="s">
        <v>240</v>
      </c>
      <c r="BA512" s="5" t="s">
        <v>255</v>
      </c>
      <c r="BB512" s="5" t="s">
        <v>240</v>
      </c>
      <c r="BD512" s="5" t="s">
        <v>240</v>
      </c>
      <c r="BF512" s="5" t="s">
        <v>301</v>
      </c>
      <c r="BG512" s="6" t="s">
        <v>299</v>
      </c>
      <c r="BH512" s="5" t="s">
        <v>302</v>
      </c>
      <c r="BI512" s="5" t="s">
        <v>303</v>
      </c>
      <c r="BJ512" s="5" t="s">
        <v>240</v>
      </c>
      <c r="BK512" s="8">
        <f>0</f>
        <v>0</v>
      </c>
      <c r="BL512" s="7">
        <f>0</f>
        <v>0</v>
      </c>
      <c r="BM512" s="5" t="s">
        <v>258</v>
      </c>
      <c r="BN512" s="5" t="s">
        <v>259</v>
      </c>
      <c r="CB512" s="5" t="s">
        <v>240</v>
      </c>
      <c r="CC512" s="5" t="s">
        <v>240</v>
      </c>
      <c r="CG512" s="5" t="s">
        <v>617</v>
      </c>
      <c r="CH512" s="5" t="s">
        <v>305</v>
      </c>
      <c r="CI512" s="5" t="s">
        <v>240</v>
      </c>
      <c r="CL512" s="6" t="s">
        <v>261</v>
      </c>
      <c r="CM512" s="5" t="s">
        <v>240</v>
      </c>
      <c r="CN512" s="5" t="s">
        <v>263</v>
      </c>
      <c r="CO512" s="5" t="s">
        <v>240</v>
      </c>
      <c r="CP512" s="5" t="s">
        <v>240</v>
      </c>
      <c r="CQ512" s="5">
        <v>0</v>
      </c>
      <c r="CR512" s="5" t="s">
        <v>306</v>
      </c>
      <c r="CS512" s="5" t="s">
        <v>307</v>
      </c>
      <c r="CT512" s="5" t="s">
        <v>307</v>
      </c>
      <c r="CU512" s="5" t="s">
        <v>260</v>
      </c>
      <c r="CX512" s="7">
        <f>14993</f>
        <v>14993</v>
      </c>
      <c r="CY512" s="7">
        <f>0</f>
        <v>0</v>
      </c>
      <c r="DA512" s="7">
        <f>0</f>
        <v>0</v>
      </c>
      <c r="DC512" s="5" t="s">
        <v>854</v>
      </c>
      <c r="DD512" s="5" t="s">
        <v>240</v>
      </c>
      <c r="DF512" s="5" t="s">
        <v>450</v>
      </c>
      <c r="DG512" s="7">
        <f>1363</f>
        <v>1363</v>
      </c>
      <c r="DI512" s="5" t="s">
        <v>737</v>
      </c>
      <c r="DJ512" s="5" t="s">
        <v>240</v>
      </c>
      <c r="DK512" s="5" t="s">
        <v>240</v>
      </c>
      <c r="DL512" s="5" t="s">
        <v>240</v>
      </c>
      <c r="DP512" s="5" t="s">
        <v>240</v>
      </c>
      <c r="DQ512" s="5" t="s">
        <v>240</v>
      </c>
      <c r="DR512" s="5" t="s">
        <v>240</v>
      </c>
      <c r="DS512" s="5" t="s">
        <v>240</v>
      </c>
      <c r="DV512" s="5" t="s">
        <v>957</v>
      </c>
      <c r="DW512" s="5" t="s">
        <v>820</v>
      </c>
      <c r="HO512" s="5" t="s">
        <v>312</v>
      </c>
    </row>
    <row r="513" spans="1:223" x14ac:dyDescent="0.4">
      <c r="A513" s="5">
        <v>1375</v>
      </c>
      <c r="B513" s="5">
        <v>1</v>
      </c>
      <c r="C513" s="5">
        <v>1</v>
      </c>
      <c r="D513" s="5" t="s">
        <v>723</v>
      </c>
      <c r="E513" s="5" t="s">
        <v>725</v>
      </c>
      <c r="F513" s="5" t="s">
        <v>254</v>
      </c>
      <c r="G513" s="5" t="s">
        <v>240</v>
      </c>
      <c r="H513" s="6" t="s">
        <v>1233</v>
      </c>
      <c r="I513" s="5" t="s">
        <v>722</v>
      </c>
      <c r="J513" s="8">
        <f>842</f>
        <v>842</v>
      </c>
      <c r="K513" s="5" t="s">
        <v>308</v>
      </c>
      <c r="L513" s="7">
        <f>9262</f>
        <v>9262</v>
      </c>
      <c r="M513" s="7">
        <f>9262</f>
        <v>9262</v>
      </c>
      <c r="N513" s="5" t="s">
        <v>242</v>
      </c>
      <c r="O513" s="5">
        <v>1</v>
      </c>
      <c r="P513" s="5" t="s">
        <v>294</v>
      </c>
      <c r="Q513" s="5" t="s">
        <v>613</v>
      </c>
      <c r="R513" s="5" t="s">
        <v>240</v>
      </c>
      <c r="S513" s="5" t="s">
        <v>240</v>
      </c>
      <c r="T513" s="5" t="s">
        <v>243</v>
      </c>
      <c r="U513" s="5" t="s">
        <v>724</v>
      </c>
      <c r="V513" s="5" t="s">
        <v>240</v>
      </c>
      <c r="Y513" s="5" t="s">
        <v>240</v>
      </c>
      <c r="Z513" s="6" t="s">
        <v>298</v>
      </c>
      <c r="AB513" s="6" t="s">
        <v>240</v>
      </c>
      <c r="AE513" s="6" t="s">
        <v>299</v>
      </c>
      <c r="AF513" s="5" t="s">
        <v>248</v>
      </c>
      <c r="AG513" s="5" t="s">
        <v>249</v>
      </c>
      <c r="AW513" s="5" t="s">
        <v>251</v>
      </c>
      <c r="AX513" s="5" t="s">
        <v>240</v>
      </c>
      <c r="AY513" s="5" t="s">
        <v>253</v>
      </c>
      <c r="AZ513" s="5" t="s">
        <v>240</v>
      </c>
      <c r="BA513" s="5" t="s">
        <v>255</v>
      </c>
      <c r="BB513" s="5" t="s">
        <v>240</v>
      </c>
      <c r="BD513" s="5" t="s">
        <v>240</v>
      </c>
      <c r="BF513" s="5" t="s">
        <v>301</v>
      </c>
      <c r="BG513" s="6" t="s">
        <v>299</v>
      </c>
      <c r="BH513" s="5" t="s">
        <v>302</v>
      </c>
      <c r="BI513" s="5" t="s">
        <v>303</v>
      </c>
      <c r="BJ513" s="5" t="s">
        <v>240</v>
      </c>
      <c r="BK513" s="8">
        <f>0</f>
        <v>0</v>
      </c>
      <c r="BL513" s="7">
        <f>0</f>
        <v>0</v>
      </c>
      <c r="BM513" s="5" t="s">
        <v>258</v>
      </c>
      <c r="BN513" s="5" t="s">
        <v>259</v>
      </c>
      <c r="CB513" s="5" t="s">
        <v>240</v>
      </c>
      <c r="CC513" s="5" t="s">
        <v>240</v>
      </c>
      <c r="CG513" s="5" t="s">
        <v>617</v>
      </c>
      <c r="CH513" s="5" t="s">
        <v>305</v>
      </c>
      <c r="CI513" s="5" t="s">
        <v>240</v>
      </c>
      <c r="CL513" s="6" t="s">
        <v>261</v>
      </c>
      <c r="CM513" s="5" t="s">
        <v>240</v>
      </c>
      <c r="CN513" s="5" t="s">
        <v>263</v>
      </c>
      <c r="CO513" s="5" t="s">
        <v>240</v>
      </c>
      <c r="CP513" s="5" t="s">
        <v>240</v>
      </c>
      <c r="CQ513" s="5">
        <v>0</v>
      </c>
      <c r="CR513" s="5" t="s">
        <v>306</v>
      </c>
      <c r="CS513" s="5" t="s">
        <v>307</v>
      </c>
      <c r="CT513" s="5" t="s">
        <v>307</v>
      </c>
      <c r="CU513" s="5" t="s">
        <v>260</v>
      </c>
      <c r="CX513" s="7">
        <f>14949</f>
        <v>14949</v>
      </c>
      <c r="CY513" s="7">
        <f>0</f>
        <v>0</v>
      </c>
      <c r="DA513" s="7">
        <f>0</f>
        <v>0</v>
      </c>
      <c r="DC513" s="5" t="s">
        <v>854</v>
      </c>
      <c r="DD513" s="5" t="s">
        <v>240</v>
      </c>
      <c r="DF513" s="5" t="s">
        <v>450</v>
      </c>
      <c r="DG513" s="7">
        <f>1359</f>
        <v>1359</v>
      </c>
      <c r="DI513" s="5" t="s">
        <v>737</v>
      </c>
      <c r="DJ513" s="5" t="s">
        <v>240</v>
      </c>
      <c r="DK513" s="5" t="s">
        <v>240</v>
      </c>
      <c r="DL513" s="5" t="s">
        <v>240</v>
      </c>
      <c r="DP513" s="5" t="s">
        <v>240</v>
      </c>
      <c r="DQ513" s="5" t="s">
        <v>240</v>
      </c>
      <c r="DR513" s="5" t="s">
        <v>240</v>
      </c>
      <c r="DS513" s="5" t="s">
        <v>240</v>
      </c>
      <c r="DV513" s="5" t="s">
        <v>957</v>
      </c>
      <c r="DW513" s="5" t="s">
        <v>691</v>
      </c>
      <c r="HO513" s="5" t="s">
        <v>312</v>
      </c>
    </row>
    <row r="514" spans="1:223" x14ac:dyDescent="0.4">
      <c r="A514" s="5">
        <v>1376</v>
      </c>
      <c r="B514" s="5">
        <v>1</v>
      </c>
      <c r="C514" s="5">
        <v>1</v>
      </c>
      <c r="D514" s="5" t="s">
        <v>723</v>
      </c>
      <c r="E514" s="5" t="s">
        <v>725</v>
      </c>
      <c r="F514" s="5" t="s">
        <v>254</v>
      </c>
      <c r="G514" s="5" t="s">
        <v>240</v>
      </c>
      <c r="H514" s="6" t="s">
        <v>1232</v>
      </c>
      <c r="I514" s="5" t="s">
        <v>722</v>
      </c>
      <c r="J514" s="8">
        <f>1463</f>
        <v>1463</v>
      </c>
      <c r="K514" s="5" t="s">
        <v>308</v>
      </c>
      <c r="L514" s="7">
        <f>16093</f>
        <v>16093</v>
      </c>
      <c r="M514" s="7">
        <f>16093</f>
        <v>16093</v>
      </c>
      <c r="N514" s="5" t="s">
        <v>242</v>
      </c>
      <c r="O514" s="5">
        <v>1</v>
      </c>
      <c r="P514" s="5" t="s">
        <v>294</v>
      </c>
      <c r="Q514" s="5" t="s">
        <v>613</v>
      </c>
      <c r="R514" s="5" t="s">
        <v>240</v>
      </c>
      <c r="S514" s="5" t="s">
        <v>240</v>
      </c>
      <c r="T514" s="5" t="s">
        <v>243</v>
      </c>
      <c r="U514" s="5" t="s">
        <v>724</v>
      </c>
      <c r="V514" s="5" t="s">
        <v>240</v>
      </c>
      <c r="Y514" s="5" t="s">
        <v>240</v>
      </c>
      <c r="Z514" s="6" t="s">
        <v>298</v>
      </c>
      <c r="AB514" s="6" t="s">
        <v>240</v>
      </c>
      <c r="AE514" s="6" t="s">
        <v>299</v>
      </c>
      <c r="AF514" s="5" t="s">
        <v>248</v>
      </c>
      <c r="AG514" s="5" t="s">
        <v>249</v>
      </c>
      <c r="AW514" s="5" t="s">
        <v>251</v>
      </c>
      <c r="AX514" s="5" t="s">
        <v>240</v>
      </c>
      <c r="AY514" s="5" t="s">
        <v>253</v>
      </c>
      <c r="AZ514" s="5" t="s">
        <v>240</v>
      </c>
      <c r="BA514" s="5" t="s">
        <v>255</v>
      </c>
      <c r="BB514" s="5" t="s">
        <v>240</v>
      </c>
      <c r="BD514" s="5" t="s">
        <v>240</v>
      </c>
      <c r="BF514" s="5" t="s">
        <v>301</v>
      </c>
      <c r="BG514" s="6" t="s">
        <v>299</v>
      </c>
      <c r="BH514" s="5" t="s">
        <v>302</v>
      </c>
      <c r="BI514" s="5" t="s">
        <v>303</v>
      </c>
      <c r="BJ514" s="5" t="s">
        <v>240</v>
      </c>
      <c r="BK514" s="8">
        <f>0</f>
        <v>0</v>
      </c>
      <c r="BL514" s="7">
        <f>0</f>
        <v>0</v>
      </c>
      <c r="BM514" s="5" t="s">
        <v>258</v>
      </c>
      <c r="BN514" s="5" t="s">
        <v>259</v>
      </c>
      <c r="CB514" s="5" t="s">
        <v>240</v>
      </c>
      <c r="CC514" s="5" t="s">
        <v>240</v>
      </c>
      <c r="CG514" s="5" t="s">
        <v>617</v>
      </c>
      <c r="CH514" s="5" t="s">
        <v>305</v>
      </c>
      <c r="CI514" s="5" t="s">
        <v>240</v>
      </c>
      <c r="CL514" s="6" t="s">
        <v>261</v>
      </c>
      <c r="CM514" s="5" t="s">
        <v>240</v>
      </c>
      <c r="CN514" s="5" t="s">
        <v>263</v>
      </c>
      <c r="CO514" s="5" t="s">
        <v>240</v>
      </c>
      <c r="CP514" s="5" t="s">
        <v>240</v>
      </c>
      <c r="CQ514" s="5">
        <v>0</v>
      </c>
      <c r="CR514" s="5" t="s">
        <v>306</v>
      </c>
      <c r="CS514" s="5" t="s">
        <v>307</v>
      </c>
      <c r="CT514" s="5" t="s">
        <v>307</v>
      </c>
      <c r="CU514" s="5" t="s">
        <v>260</v>
      </c>
      <c r="CX514" s="7">
        <f>13684</f>
        <v>13684</v>
      </c>
      <c r="CY514" s="7">
        <f>0</f>
        <v>0</v>
      </c>
      <c r="DA514" s="7">
        <f>0</f>
        <v>0</v>
      </c>
      <c r="DC514" s="5" t="s">
        <v>854</v>
      </c>
      <c r="DD514" s="5" t="s">
        <v>240</v>
      </c>
      <c r="DF514" s="5" t="s">
        <v>450</v>
      </c>
      <c r="DG514" s="7">
        <f>0</f>
        <v>0</v>
      </c>
      <c r="DI514" s="5" t="s">
        <v>737</v>
      </c>
      <c r="DJ514" s="5" t="s">
        <v>240</v>
      </c>
      <c r="DK514" s="5" t="s">
        <v>240</v>
      </c>
      <c r="DL514" s="5" t="s">
        <v>240</v>
      </c>
      <c r="DP514" s="5" t="s">
        <v>240</v>
      </c>
      <c r="DQ514" s="5" t="s">
        <v>240</v>
      </c>
      <c r="DR514" s="5" t="s">
        <v>240</v>
      </c>
      <c r="DS514" s="5" t="s">
        <v>240</v>
      </c>
      <c r="DV514" s="5" t="s">
        <v>957</v>
      </c>
      <c r="DW514" s="5" t="s">
        <v>620</v>
      </c>
      <c r="HO514" s="5" t="s">
        <v>312</v>
      </c>
    </row>
    <row r="515" spans="1:223" x14ac:dyDescent="0.4">
      <c r="A515" s="5">
        <v>1377</v>
      </c>
      <c r="B515" s="5">
        <v>1</v>
      </c>
      <c r="C515" s="5">
        <v>1</v>
      </c>
      <c r="D515" s="5" t="s">
        <v>723</v>
      </c>
      <c r="E515" s="5" t="s">
        <v>725</v>
      </c>
      <c r="F515" s="5" t="s">
        <v>254</v>
      </c>
      <c r="G515" s="5" t="s">
        <v>240</v>
      </c>
      <c r="H515" s="6" t="s">
        <v>1231</v>
      </c>
      <c r="I515" s="5" t="s">
        <v>722</v>
      </c>
      <c r="J515" s="8">
        <f>377</f>
        <v>377</v>
      </c>
      <c r="K515" s="5" t="s">
        <v>308</v>
      </c>
      <c r="L515" s="7">
        <f>4147</f>
        <v>4147</v>
      </c>
      <c r="M515" s="7">
        <f>4147</f>
        <v>4147</v>
      </c>
      <c r="N515" s="5" t="s">
        <v>242</v>
      </c>
      <c r="O515" s="5">
        <v>1</v>
      </c>
      <c r="P515" s="5" t="s">
        <v>294</v>
      </c>
      <c r="Q515" s="5" t="s">
        <v>613</v>
      </c>
      <c r="R515" s="5" t="s">
        <v>240</v>
      </c>
      <c r="S515" s="5" t="s">
        <v>240</v>
      </c>
      <c r="T515" s="5" t="s">
        <v>243</v>
      </c>
      <c r="U515" s="5" t="s">
        <v>724</v>
      </c>
      <c r="V515" s="5" t="s">
        <v>240</v>
      </c>
      <c r="Y515" s="5" t="s">
        <v>240</v>
      </c>
      <c r="Z515" s="6" t="s">
        <v>298</v>
      </c>
      <c r="AB515" s="6" t="s">
        <v>240</v>
      </c>
      <c r="AE515" s="6" t="s">
        <v>299</v>
      </c>
      <c r="AF515" s="5" t="s">
        <v>248</v>
      </c>
      <c r="AG515" s="5" t="s">
        <v>249</v>
      </c>
      <c r="AW515" s="5" t="s">
        <v>251</v>
      </c>
      <c r="AX515" s="5" t="s">
        <v>240</v>
      </c>
      <c r="AY515" s="5" t="s">
        <v>253</v>
      </c>
      <c r="AZ515" s="5" t="s">
        <v>240</v>
      </c>
      <c r="BA515" s="5" t="s">
        <v>255</v>
      </c>
      <c r="BB515" s="5" t="s">
        <v>240</v>
      </c>
      <c r="BD515" s="5" t="s">
        <v>240</v>
      </c>
      <c r="BF515" s="5" t="s">
        <v>301</v>
      </c>
      <c r="BG515" s="6" t="s">
        <v>299</v>
      </c>
      <c r="BH515" s="5" t="s">
        <v>302</v>
      </c>
      <c r="BI515" s="5" t="s">
        <v>303</v>
      </c>
      <c r="BJ515" s="5" t="s">
        <v>240</v>
      </c>
      <c r="BK515" s="8">
        <f>0</f>
        <v>0</v>
      </c>
      <c r="BL515" s="7">
        <f>0</f>
        <v>0</v>
      </c>
      <c r="BM515" s="5" t="s">
        <v>258</v>
      </c>
      <c r="BN515" s="5" t="s">
        <v>259</v>
      </c>
      <c r="CB515" s="5" t="s">
        <v>240</v>
      </c>
      <c r="CC515" s="5" t="s">
        <v>240</v>
      </c>
      <c r="CG515" s="5" t="s">
        <v>617</v>
      </c>
      <c r="CH515" s="5" t="s">
        <v>305</v>
      </c>
      <c r="CI515" s="5" t="s">
        <v>240</v>
      </c>
      <c r="CL515" s="6" t="s">
        <v>261</v>
      </c>
      <c r="CM515" s="5" t="s">
        <v>240</v>
      </c>
      <c r="CN515" s="5" t="s">
        <v>263</v>
      </c>
      <c r="CO515" s="5" t="s">
        <v>240</v>
      </c>
      <c r="CP515" s="5" t="s">
        <v>240</v>
      </c>
      <c r="CQ515" s="5">
        <v>0</v>
      </c>
      <c r="CR515" s="5" t="s">
        <v>306</v>
      </c>
      <c r="CS515" s="5" t="s">
        <v>307</v>
      </c>
      <c r="CT515" s="5" t="s">
        <v>307</v>
      </c>
      <c r="CU515" s="5" t="s">
        <v>260</v>
      </c>
      <c r="CX515" s="7">
        <f>19459</f>
        <v>19459</v>
      </c>
      <c r="CY515" s="7">
        <f>0</f>
        <v>0</v>
      </c>
      <c r="DA515" s="7">
        <f>0</f>
        <v>0</v>
      </c>
      <c r="DC515" s="5" t="s">
        <v>854</v>
      </c>
      <c r="DD515" s="5" t="s">
        <v>240</v>
      </c>
      <c r="DF515" s="5" t="s">
        <v>450</v>
      </c>
      <c r="DG515" s="7">
        <f>0</f>
        <v>0</v>
      </c>
      <c r="DI515" s="5" t="s">
        <v>737</v>
      </c>
      <c r="DJ515" s="5" t="s">
        <v>240</v>
      </c>
      <c r="DK515" s="5" t="s">
        <v>240</v>
      </c>
      <c r="DL515" s="5" t="s">
        <v>240</v>
      </c>
      <c r="DP515" s="5" t="s">
        <v>240</v>
      </c>
      <c r="DQ515" s="5" t="s">
        <v>240</v>
      </c>
      <c r="DR515" s="5" t="s">
        <v>240</v>
      </c>
      <c r="DS515" s="5" t="s">
        <v>240</v>
      </c>
      <c r="DV515" s="5" t="s">
        <v>957</v>
      </c>
      <c r="DW515" s="5" t="s">
        <v>621</v>
      </c>
      <c r="HO515" s="5" t="s">
        <v>312</v>
      </c>
    </row>
    <row r="516" spans="1:223" x14ac:dyDescent="0.4">
      <c r="A516" s="5">
        <v>1378</v>
      </c>
      <c r="B516" s="5">
        <v>1</v>
      </c>
      <c r="C516" s="5">
        <v>1</v>
      </c>
      <c r="D516" s="5" t="s">
        <v>723</v>
      </c>
      <c r="E516" s="5" t="s">
        <v>725</v>
      </c>
      <c r="F516" s="5" t="s">
        <v>254</v>
      </c>
      <c r="G516" s="5" t="s">
        <v>240</v>
      </c>
      <c r="H516" s="6" t="s">
        <v>1230</v>
      </c>
      <c r="I516" s="5" t="s">
        <v>722</v>
      </c>
      <c r="J516" s="8">
        <f>418</f>
        <v>418</v>
      </c>
      <c r="K516" s="5" t="s">
        <v>308</v>
      </c>
      <c r="L516" s="7">
        <f>4598</f>
        <v>4598</v>
      </c>
      <c r="M516" s="7">
        <f>4598</f>
        <v>4598</v>
      </c>
      <c r="N516" s="5" t="s">
        <v>242</v>
      </c>
      <c r="O516" s="5">
        <v>1</v>
      </c>
      <c r="P516" s="5" t="s">
        <v>294</v>
      </c>
      <c r="Q516" s="5" t="s">
        <v>613</v>
      </c>
      <c r="R516" s="5" t="s">
        <v>240</v>
      </c>
      <c r="S516" s="5" t="s">
        <v>240</v>
      </c>
      <c r="T516" s="5" t="s">
        <v>243</v>
      </c>
      <c r="U516" s="5" t="s">
        <v>724</v>
      </c>
      <c r="V516" s="5" t="s">
        <v>240</v>
      </c>
      <c r="Y516" s="5" t="s">
        <v>240</v>
      </c>
      <c r="Z516" s="6" t="s">
        <v>298</v>
      </c>
      <c r="AB516" s="6" t="s">
        <v>240</v>
      </c>
      <c r="AE516" s="6" t="s">
        <v>299</v>
      </c>
      <c r="AF516" s="5" t="s">
        <v>248</v>
      </c>
      <c r="AG516" s="5" t="s">
        <v>249</v>
      </c>
      <c r="AW516" s="5" t="s">
        <v>251</v>
      </c>
      <c r="AX516" s="5" t="s">
        <v>240</v>
      </c>
      <c r="AY516" s="5" t="s">
        <v>253</v>
      </c>
      <c r="AZ516" s="5" t="s">
        <v>240</v>
      </c>
      <c r="BA516" s="5" t="s">
        <v>255</v>
      </c>
      <c r="BB516" s="5" t="s">
        <v>240</v>
      </c>
      <c r="BD516" s="5" t="s">
        <v>240</v>
      </c>
      <c r="BF516" s="5" t="s">
        <v>301</v>
      </c>
      <c r="BG516" s="6" t="s">
        <v>299</v>
      </c>
      <c r="BH516" s="5" t="s">
        <v>302</v>
      </c>
      <c r="BI516" s="5" t="s">
        <v>303</v>
      </c>
      <c r="BJ516" s="5" t="s">
        <v>240</v>
      </c>
      <c r="BK516" s="8">
        <f>0</f>
        <v>0</v>
      </c>
      <c r="BL516" s="7">
        <f>0</f>
        <v>0</v>
      </c>
      <c r="BM516" s="5" t="s">
        <v>258</v>
      </c>
      <c r="BN516" s="5" t="s">
        <v>259</v>
      </c>
      <c r="CB516" s="5" t="s">
        <v>240</v>
      </c>
      <c r="CC516" s="5" t="s">
        <v>240</v>
      </c>
      <c r="CG516" s="5" t="s">
        <v>617</v>
      </c>
      <c r="CH516" s="5" t="s">
        <v>305</v>
      </c>
      <c r="CI516" s="5" t="s">
        <v>240</v>
      </c>
      <c r="CL516" s="6" t="s">
        <v>261</v>
      </c>
      <c r="CM516" s="5" t="s">
        <v>240</v>
      </c>
      <c r="CN516" s="5" t="s">
        <v>263</v>
      </c>
      <c r="CO516" s="5" t="s">
        <v>240</v>
      </c>
      <c r="CP516" s="5" t="s">
        <v>240</v>
      </c>
      <c r="CQ516" s="5">
        <v>0</v>
      </c>
      <c r="CR516" s="5" t="s">
        <v>306</v>
      </c>
      <c r="CS516" s="5" t="s">
        <v>307</v>
      </c>
      <c r="CT516" s="5" t="s">
        <v>307</v>
      </c>
      <c r="CU516" s="5" t="s">
        <v>260</v>
      </c>
      <c r="CX516" s="7">
        <f>3432</f>
        <v>3432</v>
      </c>
      <c r="CY516" s="7">
        <f>0</f>
        <v>0</v>
      </c>
      <c r="DA516" s="7">
        <f>0</f>
        <v>0</v>
      </c>
      <c r="DC516" s="5" t="s">
        <v>854</v>
      </c>
      <c r="DD516" s="5" t="s">
        <v>240</v>
      </c>
      <c r="DF516" s="5" t="s">
        <v>450</v>
      </c>
      <c r="DG516" s="7">
        <f>0</f>
        <v>0</v>
      </c>
      <c r="DI516" s="5" t="s">
        <v>737</v>
      </c>
      <c r="DJ516" s="5" t="s">
        <v>240</v>
      </c>
      <c r="DK516" s="5" t="s">
        <v>240</v>
      </c>
      <c r="DL516" s="5" t="s">
        <v>240</v>
      </c>
      <c r="DP516" s="5" t="s">
        <v>240</v>
      </c>
      <c r="DQ516" s="5" t="s">
        <v>240</v>
      </c>
      <c r="DR516" s="5" t="s">
        <v>240</v>
      </c>
      <c r="DS516" s="5" t="s">
        <v>240</v>
      </c>
      <c r="DV516" s="5" t="s">
        <v>957</v>
      </c>
      <c r="DW516" s="5" t="s">
        <v>312</v>
      </c>
      <c r="HO516" s="5" t="s">
        <v>312</v>
      </c>
    </row>
    <row r="517" spans="1:223" x14ac:dyDescent="0.4">
      <c r="A517" s="5">
        <v>1379</v>
      </c>
      <c r="B517" s="5">
        <v>1</v>
      </c>
      <c r="C517" s="5">
        <v>1</v>
      </c>
      <c r="D517" s="5" t="s">
        <v>723</v>
      </c>
      <c r="E517" s="5" t="s">
        <v>725</v>
      </c>
      <c r="F517" s="5" t="s">
        <v>254</v>
      </c>
      <c r="G517" s="5" t="s">
        <v>240</v>
      </c>
      <c r="H517" s="6" t="s">
        <v>1228</v>
      </c>
      <c r="I517" s="5" t="s">
        <v>722</v>
      </c>
      <c r="J517" s="8">
        <f>18063</f>
        <v>18063</v>
      </c>
      <c r="K517" s="5" t="s">
        <v>308</v>
      </c>
      <c r="L517" s="7">
        <f>198693</f>
        <v>198693</v>
      </c>
      <c r="M517" s="7">
        <f>198693</f>
        <v>198693</v>
      </c>
      <c r="N517" s="5" t="s">
        <v>242</v>
      </c>
      <c r="O517" s="5">
        <v>1</v>
      </c>
      <c r="P517" s="5" t="s">
        <v>294</v>
      </c>
      <c r="Q517" s="5" t="s">
        <v>613</v>
      </c>
      <c r="R517" s="5" t="s">
        <v>240</v>
      </c>
      <c r="S517" s="5" t="s">
        <v>240</v>
      </c>
      <c r="T517" s="5" t="s">
        <v>243</v>
      </c>
      <c r="U517" s="5" t="s">
        <v>244</v>
      </c>
      <c r="V517" s="5" t="s">
        <v>240</v>
      </c>
      <c r="Y517" s="5" t="s">
        <v>240</v>
      </c>
      <c r="Z517" s="6" t="s">
        <v>298</v>
      </c>
      <c r="AB517" s="6" t="s">
        <v>240</v>
      </c>
      <c r="AE517" s="6" t="s">
        <v>299</v>
      </c>
      <c r="AF517" s="5" t="s">
        <v>248</v>
      </c>
      <c r="AG517" s="5" t="s">
        <v>249</v>
      </c>
      <c r="AW517" s="5" t="s">
        <v>251</v>
      </c>
      <c r="AX517" s="5" t="s">
        <v>240</v>
      </c>
      <c r="AY517" s="5" t="s">
        <v>253</v>
      </c>
      <c r="AZ517" s="5" t="s">
        <v>240</v>
      </c>
      <c r="BA517" s="5" t="s">
        <v>255</v>
      </c>
      <c r="BB517" s="5" t="s">
        <v>240</v>
      </c>
      <c r="BD517" s="5" t="s">
        <v>686</v>
      </c>
      <c r="BF517" s="5" t="s">
        <v>301</v>
      </c>
      <c r="BG517" s="6" t="s">
        <v>299</v>
      </c>
      <c r="BH517" s="5" t="s">
        <v>302</v>
      </c>
      <c r="BI517" s="5" t="s">
        <v>303</v>
      </c>
      <c r="BJ517" s="5" t="s">
        <v>240</v>
      </c>
      <c r="BK517" s="8">
        <f>0</f>
        <v>0</v>
      </c>
      <c r="BL517" s="7">
        <f>0</f>
        <v>0</v>
      </c>
      <c r="BM517" s="5" t="s">
        <v>258</v>
      </c>
      <c r="BN517" s="5" t="s">
        <v>259</v>
      </c>
      <c r="CB517" s="5" t="s">
        <v>240</v>
      </c>
      <c r="CC517" s="5" t="s">
        <v>240</v>
      </c>
      <c r="CG517" s="5" t="s">
        <v>617</v>
      </c>
      <c r="CH517" s="5" t="s">
        <v>305</v>
      </c>
      <c r="CI517" s="5" t="s">
        <v>240</v>
      </c>
      <c r="CL517" s="6" t="s">
        <v>261</v>
      </c>
      <c r="CM517" s="5" t="s">
        <v>240</v>
      </c>
      <c r="CN517" s="5" t="s">
        <v>263</v>
      </c>
      <c r="CO517" s="5" t="s">
        <v>240</v>
      </c>
      <c r="CP517" s="5" t="s">
        <v>240</v>
      </c>
      <c r="CQ517" s="5">
        <v>0</v>
      </c>
      <c r="CR517" s="5" t="s">
        <v>306</v>
      </c>
      <c r="CS517" s="5" t="s">
        <v>307</v>
      </c>
      <c r="CT517" s="5" t="s">
        <v>307</v>
      </c>
      <c r="CU517" s="5" t="s">
        <v>260</v>
      </c>
      <c r="CX517" s="7">
        <f>611340</f>
        <v>611340</v>
      </c>
      <c r="CY517" s="7">
        <f>0</f>
        <v>0</v>
      </c>
      <c r="DA517" s="7">
        <f>0</f>
        <v>0</v>
      </c>
      <c r="DC517" s="5" t="s">
        <v>689</v>
      </c>
      <c r="DD517" s="5" t="s">
        <v>240</v>
      </c>
      <c r="DF517" s="5" t="s">
        <v>689</v>
      </c>
      <c r="DG517" s="7">
        <f>0</f>
        <v>0</v>
      </c>
      <c r="DH517" s="6" t="s">
        <v>1272</v>
      </c>
      <c r="DI517" s="5" t="s">
        <v>618</v>
      </c>
      <c r="DJ517" s="5" t="s">
        <v>240</v>
      </c>
      <c r="DK517" s="5" t="s">
        <v>240</v>
      </c>
      <c r="DL517" s="5" t="s">
        <v>240</v>
      </c>
      <c r="DP517" s="5" t="s">
        <v>240</v>
      </c>
      <c r="DQ517" s="5" t="s">
        <v>240</v>
      </c>
      <c r="DR517" s="5" t="s">
        <v>240</v>
      </c>
      <c r="DS517" s="5" t="s">
        <v>240</v>
      </c>
      <c r="DV517" s="5" t="s">
        <v>1273</v>
      </c>
      <c r="DW517" s="5" t="s">
        <v>312</v>
      </c>
      <c r="HO517" s="5" t="s">
        <v>312</v>
      </c>
    </row>
    <row r="518" spans="1:223" x14ac:dyDescent="0.4">
      <c r="A518" s="5">
        <v>1380</v>
      </c>
      <c r="B518" s="5">
        <v>1</v>
      </c>
      <c r="C518" s="5">
        <v>1</v>
      </c>
      <c r="D518" s="5" t="s">
        <v>723</v>
      </c>
      <c r="E518" s="5" t="s">
        <v>725</v>
      </c>
      <c r="F518" s="5" t="s">
        <v>254</v>
      </c>
      <c r="G518" s="5" t="s">
        <v>240</v>
      </c>
      <c r="H518" s="6" t="s">
        <v>1226</v>
      </c>
      <c r="I518" s="5" t="s">
        <v>722</v>
      </c>
      <c r="J518" s="8">
        <f>1005</f>
        <v>1005</v>
      </c>
      <c r="K518" s="5" t="s">
        <v>308</v>
      </c>
      <c r="L518" s="7">
        <f>11055</f>
        <v>11055</v>
      </c>
      <c r="M518" s="7">
        <f>11055</f>
        <v>11055</v>
      </c>
      <c r="N518" s="5" t="s">
        <v>242</v>
      </c>
      <c r="O518" s="5">
        <v>1</v>
      </c>
      <c r="P518" s="5" t="s">
        <v>294</v>
      </c>
      <c r="Q518" s="5" t="s">
        <v>613</v>
      </c>
      <c r="R518" s="5" t="s">
        <v>240</v>
      </c>
      <c r="S518" s="5" t="s">
        <v>240</v>
      </c>
      <c r="T518" s="5" t="s">
        <v>243</v>
      </c>
      <c r="U518" s="5" t="s">
        <v>244</v>
      </c>
      <c r="V518" s="5" t="s">
        <v>240</v>
      </c>
      <c r="Y518" s="5" t="s">
        <v>240</v>
      </c>
      <c r="Z518" s="6" t="s">
        <v>298</v>
      </c>
      <c r="AB518" s="6" t="s">
        <v>240</v>
      </c>
      <c r="AE518" s="6" t="s">
        <v>299</v>
      </c>
      <c r="AF518" s="5" t="s">
        <v>248</v>
      </c>
      <c r="AG518" s="5" t="s">
        <v>249</v>
      </c>
      <c r="AW518" s="5" t="s">
        <v>251</v>
      </c>
      <c r="AX518" s="5" t="s">
        <v>240</v>
      </c>
      <c r="AY518" s="5" t="s">
        <v>253</v>
      </c>
      <c r="AZ518" s="5" t="s">
        <v>240</v>
      </c>
      <c r="BA518" s="5" t="s">
        <v>255</v>
      </c>
      <c r="BB518" s="5" t="s">
        <v>240</v>
      </c>
      <c r="BD518" s="5" t="s">
        <v>686</v>
      </c>
      <c r="BF518" s="5" t="s">
        <v>301</v>
      </c>
      <c r="BG518" s="6" t="s">
        <v>299</v>
      </c>
      <c r="BH518" s="5" t="s">
        <v>302</v>
      </c>
      <c r="BI518" s="5" t="s">
        <v>303</v>
      </c>
      <c r="BJ518" s="5" t="s">
        <v>240</v>
      </c>
      <c r="BK518" s="8">
        <f>0</f>
        <v>0</v>
      </c>
      <c r="BL518" s="7">
        <f>0</f>
        <v>0</v>
      </c>
      <c r="BM518" s="5" t="s">
        <v>258</v>
      </c>
      <c r="BN518" s="5" t="s">
        <v>259</v>
      </c>
      <c r="CB518" s="5" t="s">
        <v>240</v>
      </c>
      <c r="CC518" s="5" t="s">
        <v>240</v>
      </c>
      <c r="CG518" s="5" t="s">
        <v>617</v>
      </c>
      <c r="CH518" s="5" t="s">
        <v>305</v>
      </c>
      <c r="CI518" s="5" t="s">
        <v>240</v>
      </c>
      <c r="CL518" s="6" t="s">
        <v>261</v>
      </c>
      <c r="CM518" s="5" t="s">
        <v>240</v>
      </c>
      <c r="CN518" s="5" t="s">
        <v>263</v>
      </c>
      <c r="CO518" s="5" t="s">
        <v>240</v>
      </c>
      <c r="CP518" s="5" t="s">
        <v>240</v>
      </c>
      <c r="CQ518" s="5">
        <v>0</v>
      </c>
      <c r="CR518" s="5" t="s">
        <v>306</v>
      </c>
      <c r="CS518" s="5" t="s">
        <v>307</v>
      </c>
      <c r="CT518" s="5" t="s">
        <v>307</v>
      </c>
      <c r="CU518" s="5" t="s">
        <v>260</v>
      </c>
      <c r="CX518" s="7">
        <f>4213200</f>
        <v>4213200</v>
      </c>
      <c r="CY518" s="7">
        <f>0</f>
        <v>0</v>
      </c>
      <c r="DA518" s="7">
        <f>0</f>
        <v>0</v>
      </c>
      <c r="DC518" s="5" t="s">
        <v>843</v>
      </c>
      <c r="DD518" s="5" t="s">
        <v>240</v>
      </c>
      <c r="DF518" s="5" t="s">
        <v>843</v>
      </c>
      <c r="DG518" s="7">
        <f>0</f>
        <v>0</v>
      </c>
      <c r="DH518" s="6" t="s">
        <v>1277</v>
      </c>
      <c r="DI518" s="5" t="s">
        <v>843</v>
      </c>
      <c r="DJ518" s="5" t="s">
        <v>240</v>
      </c>
      <c r="DK518" s="5" t="s">
        <v>240</v>
      </c>
      <c r="DL518" s="5" t="s">
        <v>240</v>
      </c>
      <c r="DP518" s="5" t="s">
        <v>240</v>
      </c>
      <c r="DQ518" s="5" t="s">
        <v>240</v>
      </c>
      <c r="DR518" s="5" t="s">
        <v>240</v>
      </c>
      <c r="DS518" s="5" t="s">
        <v>240</v>
      </c>
      <c r="DV518" s="5" t="s">
        <v>1278</v>
      </c>
      <c r="DW518" s="5" t="s">
        <v>312</v>
      </c>
      <c r="HO518" s="5" t="s">
        <v>312</v>
      </c>
    </row>
    <row r="519" spans="1:223" x14ac:dyDescent="0.4">
      <c r="A519" s="5">
        <v>1381</v>
      </c>
      <c r="B519" s="5">
        <v>1</v>
      </c>
      <c r="C519" s="5">
        <v>1</v>
      </c>
      <c r="D519" s="5" t="s">
        <v>723</v>
      </c>
      <c r="E519" s="5" t="s">
        <v>725</v>
      </c>
      <c r="F519" s="5" t="s">
        <v>254</v>
      </c>
      <c r="G519" s="5" t="s">
        <v>240</v>
      </c>
      <c r="H519" s="6" t="s">
        <v>1224</v>
      </c>
      <c r="I519" s="5" t="s">
        <v>722</v>
      </c>
      <c r="J519" s="8">
        <f>1415</f>
        <v>1415</v>
      </c>
      <c r="K519" s="5" t="s">
        <v>308</v>
      </c>
      <c r="L519" s="7">
        <f>15565</f>
        <v>15565</v>
      </c>
      <c r="M519" s="7">
        <f>15565</f>
        <v>15565</v>
      </c>
      <c r="N519" s="5" t="s">
        <v>242</v>
      </c>
      <c r="O519" s="5">
        <v>1</v>
      </c>
      <c r="P519" s="5" t="s">
        <v>294</v>
      </c>
      <c r="Q519" s="5" t="s">
        <v>613</v>
      </c>
      <c r="R519" s="5" t="s">
        <v>240</v>
      </c>
      <c r="S519" s="5" t="s">
        <v>240</v>
      </c>
      <c r="T519" s="5" t="s">
        <v>243</v>
      </c>
      <c r="U519" s="5" t="s">
        <v>244</v>
      </c>
      <c r="V519" s="5" t="s">
        <v>240</v>
      </c>
      <c r="Y519" s="5" t="s">
        <v>240</v>
      </c>
      <c r="Z519" s="6" t="s">
        <v>298</v>
      </c>
      <c r="AB519" s="6" t="s">
        <v>240</v>
      </c>
      <c r="AE519" s="6" t="s">
        <v>299</v>
      </c>
      <c r="AF519" s="5" t="s">
        <v>248</v>
      </c>
      <c r="AG519" s="5" t="s">
        <v>249</v>
      </c>
      <c r="AW519" s="5" t="s">
        <v>251</v>
      </c>
      <c r="AX519" s="5" t="s">
        <v>240</v>
      </c>
      <c r="AY519" s="5" t="s">
        <v>253</v>
      </c>
      <c r="AZ519" s="5" t="s">
        <v>240</v>
      </c>
      <c r="BA519" s="5" t="s">
        <v>255</v>
      </c>
      <c r="BB519" s="5" t="s">
        <v>240</v>
      </c>
      <c r="BD519" s="5" t="s">
        <v>240</v>
      </c>
      <c r="BF519" s="5" t="s">
        <v>301</v>
      </c>
      <c r="BG519" s="6" t="s">
        <v>299</v>
      </c>
      <c r="BH519" s="5" t="s">
        <v>302</v>
      </c>
      <c r="BI519" s="5" t="s">
        <v>303</v>
      </c>
      <c r="BJ519" s="5" t="s">
        <v>240</v>
      </c>
      <c r="BK519" s="8">
        <f>0</f>
        <v>0</v>
      </c>
      <c r="BL519" s="7">
        <f>0</f>
        <v>0</v>
      </c>
      <c r="BM519" s="5" t="s">
        <v>258</v>
      </c>
      <c r="BN519" s="5" t="s">
        <v>259</v>
      </c>
      <c r="CB519" s="5" t="s">
        <v>240</v>
      </c>
      <c r="CC519" s="5" t="s">
        <v>240</v>
      </c>
      <c r="CG519" s="5" t="s">
        <v>617</v>
      </c>
      <c r="CH519" s="5" t="s">
        <v>305</v>
      </c>
      <c r="CI519" s="5" t="s">
        <v>240</v>
      </c>
      <c r="CL519" s="6" t="s">
        <v>261</v>
      </c>
      <c r="CM519" s="5" t="s">
        <v>240</v>
      </c>
      <c r="CN519" s="5" t="s">
        <v>263</v>
      </c>
      <c r="CO519" s="5" t="s">
        <v>240</v>
      </c>
      <c r="CP519" s="5" t="s">
        <v>240</v>
      </c>
      <c r="CQ519" s="5">
        <v>0</v>
      </c>
      <c r="CR519" s="5" t="s">
        <v>306</v>
      </c>
      <c r="CS519" s="5" t="s">
        <v>307</v>
      </c>
      <c r="CT519" s="5" t="s">
        <v>307</v>
      </c>
      <c r="CU519" s="5" t="s">
        <v>260</v>
      </c>
      <c r="CX519" s="7">
        <f>581262</f>
        <v>581262</v>
      </c>
      <c r="CY519" s="7">
        <f>0</f>
        <v>0</v>
      </c>
      <c r="DA519" s="7">
        <f>0</f>
        <v>0</v>
      </c>
      <c r="DC519" s="5" t="s">
        <v>843</v>
      </c>
      <c r="DD519" s="5" t="s">
        <v>240</v>
      </c>
      <c r="DF519" s="5" t="s">
        <v>843</v>
      </c>
      <c r="DG519" s="7">
        <f>0</f>
        <v>0</v>
      </c>
      <c r="DH519" s="6" t="s">
        <v>1277</v>
      </c>
      <c r="DI519" s="5" t="s">
        <v>843</v>
      </c>
      <c r="DJ519" s="5" t="s">
        <v>240</v>
      </c>
      <c r="DK519" s="5" t="s">
        <v>240</v>
      </c>
      <c r="DL519" s="5" t="s">
        <v>240</v>
      </c>
      <c r="DP519" s="5" t="s">
        <v>240</v>
      </c>
      <c r="DQ519" s="5" t="s">
        <v>240</v>
      </c>
      <c r="DR519" s="5" t="s">
        <v>240</v>
      </c>
      <c r="DS519" s="5" t="s">
        <v>240</v>
      </c>
      <c r="DV519" s="5" t="s">
        <v>1282</v>
      </c>
      <c r="DW519" s="5" t="s">
        <v>691</v>
      </c>
      <c r="HO519" s="5" t="s">
        <v>312</v>
      </c>
    </row>
    <row r="520" spans="1:223" x14ac:dyDescent="0.4">
      <c r="A520" s="5">
        <v>1382</v>
      </c>
      <c r="B520" s="5">
        <v>1</v>
      </c>
      <c r="C520" s="5">
        <v>1</v>
      </c>
      <c r="D520" s="5" t="s">
        <v>723</v>
      </c>
      <c r="E520" s="5" t="s">
        <v>725</v>
      </c>
      <c r="F520" s="5" t="s">
        <v>254</v>
      </c>
      <c r="G520" s="5" t="s">
        <v>240</v>
      </c>
      <c r="H520" s="6" t="s">
        <v>1222</v>
      </c>
      <c r="I520" s="5" t="s">
        <v>722</v>
      </c>
      <c r="J520" s="8">
        <f>6182</f>
        <v>6182</v>
      </c>
      <c r="K520" s="5" t="s">
        <v>308</v>
      </c>
      <c r="L520" s="7">
        <f>68002</f>
        <v>68002</v>
      </c>
      <c r="M520" s="7">
        <f>68002</f>
        <v>68002</v>
      </c>
      <c r="N520" s="5" t="s">
        <v>242</v>
      </c>
      <c r="O520" s="5">
        <v>1</v>
      </c>
      <c r="P520" s="5" t="s">
        <v>294</v>
      </c>
      <c r="Q520" s="5" t="s">
        <v>613</v>
      </c>
      <c r="R520" s="5" t="s">
        <v>240</v>
      </c>
      <c r="S520" s="5" t="s">
        <v>240</v>
      </c>
      <c r="T520" s="5" t="s">
        <v>243</v>
      </c>
      <c r="U520" s="5" t="s">
        <v>244</v>
      </c>
      <c r="V520" s="5" t="s">
        <v>240</v>
      </c>
      <c r="Y520" s="5" t="s">
        <v>240</v>
      </c>
      <c r="Z520" s="6" t="s">
        <v>298</v>
      </c>
      <c r="AB520" s="6" t="s">
        <v>240</v>
      </c>
      <c r="AE520" s="6" t="s">
        <v>299</v>
      </c>
      <c r="AF520" s="5" t="s">
        <v>248</v>
      </c>
      <c r="AG520" s="5" t="s">
        <v>249</v>
      </c>
      <c r="AW520" s="5" t="s">
        <v>251</v>
      </c>
      <c r="AX520" s="5" t="s">
        <v>240</v>
      </c>
      <c r="AY520" s="5" t="s">
        <v>253</v>
      </c>
      <c r="AZ520" s="5" t="s">
        <v>240</v>
      </c>
      <c r="BA520" s="5" t="s">
        <v>255</v>
      </c>
      <c r="BB520" s="5" t="s">
        <v>240</v>
      </c>
      <c r="BD520" s="5" t="s">
        <v>240</v>
      </c>
      <c r="BF520" s="5" t="s">
        <v>301</v>
      </c>
      <c r="BG520" s="6" t="s">
        <v>299</v>
      </c>
      <c r="BH520" s="5" t="s">
        <v>302</v>
      </c>
      <c r="BI520" s="5" t="s">
        <v>303</v>
      </c>
      <c r="BJ520" s="5" t="s">
        <v>240</v>
      </c>
      <c r="BK520" s="8">
        <f>0</f>
        <v>0</v>
      </c>
      <c r="BL520" s="7">
        <f>0</f>
        <v>0</v>
      </c>
      <c r="BM520" s="5" t="s">
        <v>258</v>
      </c>
      <c r="BN520" s="5" t="s">
        <v>259</v>
      </c>
      <c r="CB520" s="5" t="s">
        <v>240</v>
      </c>
      <c r="CC520" s="5" t="s">
        <v>240</v>
      </c>
      <c r="CG520" s="5" t="s">
        <v>617</v>
      </c>
      <c r="CH520" s="5" t="s">
        <v>305</v>
      </c>
      <c r="CI520" s="5" t="s">
        <v>240</v>
      </c>
      <c r="CL520" s="6" t="s">
        <v>261</v>
      </c>
      <c r="CM520" s="5" t="s">
        <v>240</v>
      </c>
      <c r="CN520" s="5" t="s">
        <v>263</v>
      </c>
      <c r="CO520" s="5" t="s">
        <v>240</v>
      </c>
      <c r="CP520" s="5" t="s">
        <v>240</v>
      </c>
      <c r="CQ520" s="5">
        <v>0</v>
      </c>
      <c r="CR520" s="5" t="s">
        <v>306</v>
      </c>
      <c r="CS520" s="5" t="s">
        <v>307</v>
      </c>
      <c r="CT520" s="5" t="s">
        <v>307</v>
      </c>
      <c r="CU520" s="5" t="s">
        <v>260</v>
      </c>
      <c r="CX520" s="7">
        <f>449856</f>
        <v>449856</v>
      </c>
      <c r="CY520" s="7">
        <f>0</f>
        <v>0</v>
      </c>
      <c r="DA520" s="7">
        <f>0</f>
        <v>0</v>
      </c>
      <c r="DC520" s="5" t="s">
        <v>843</v>
      </c>
      <c r="DD520" s="5" t="s">
        <v>240</v>
      </c>
      <c r="DF520" s="5" t="s">
        <v>843</v>
      </c>
      <c r="DG520" s="7">
        <f>0</f>
        <v>0</v>
      </c>
      <c r="DH520" s="6" t="s">
        <v>1277</v>
      </c>
      <c r="DI520" s="5" t="s">
        <v>843</v>
      </c>
      <c r="DJ520" s="5" t="s">
        <v>240</v>
      </c>
      <c r="DK520" s="5" t="s">
        <v>240</v>
      </c>
      <c r="DL520" s="5" t="s">
        <v>240</v>
      </c>
      <c r="DP520" s="5" t="s">
        <v>240</v>
      </c>
      <c r="DQ520" s="5" t="s">
        <v>240</v>
      </c>
      <c r="DR520" s="5" t="s">
        <v>240</v>
      </c>
      <c r="DS520" s="5" t="s">
        <v>240</v>
      </c>
      <c r="DV520" s="5" t="s">
        <v>1282</v>
      </c>
      <c r="DW520" s="5" t="s">
        <v>620</v>
      </c>
      <c r="HO520" s="5" t="s">
        <v>312</v>
      </c>
    </row>
    <row r="521" spans="1:223" x14ac:dyDescent="0.4">
      <c r="A521" s="5">
        <v>1383</v>
      </c>
      <c r="B521" s="5">
        <v>1</v>
      </c>
      <c r="C521" s="5">
        <v>1</v>
      </c>
      <c r="D521" s="5" t="s">
        <v>723</v>
      </c>
      <c r="E521" s="5" t="s">
        <v>725</v>
      </c>
      <c r="F521" s="5" t="s">
        <v>254</v>
      </c>
      <c r="G521" s="5" t="s">
        <v>240</v>
      </c>
      <c r="H521" s="6" t="s">
        <v>1220</v>
      </c>
      <c r="I521" s="5" t="s">
        <v>722</v>
      </c>
      <c r="J521" s="8">
        <f>817</f>
        <v>817</v>
      </c>
      <c r="K521" s="5" t="s">
        <v>308</v>
      </c>
      <c r="L521" s="7">
        <f>8987</f>
        <v>8987</v>
      </c>
      <c r="M521" s="7">
        <f>8987</f>
        <v>8987</v>
      </c>
      <c r="N521" s="5" t="s">
        <v>242</v>
      </c>
      <c r="O521" s="5">
        <v>1</v>
      </c>
      <c r="P521" s="5" t="s">
        <v>294</v>
      </c>
      <c r="Q521" s="5" t="s">
        <v>613</v>
      </c>
      <c r="R521" s="5" t="s">
        <v>240</v>
      </c>
      <c r="S521" s="5" t="s">
        <v>240</v>
      </c>
      <c r="T521" s="5" t="s">
        <v>243</v>
      </c>
      <c r="U521" s="5" t="s">
        <v>244</v>
      </c>
      <c r="V521" s="5" t="s">
        <v>240</v>
      </c>
      <c r="Y521" s="5" t="s">
        <v>240</v>
      </c>
      <c r="Z521" s="6" t="s">
        <v>298</v>
      </c>
      <c r="AB521" s="6" t="s">
        <v>240</v>
      </c>
      <c r="AE521" s="6" t="s">
        <v>299</v>
      </c>
      <c r="AF521" s="5" t="s">
        <v>248</v>
      </c>
      <c r="AG521" s="5" t="s">
        <v>249</v>
      </c>
      <c r="AW521" s="5" t="s">
        <v>251</v>
      </c>
      <c r="AX521" s="5" t="s">
        <v>240</v>
      </c>
      <c r="AY521" s="5" t="s">
        <v>253</v>
      </c>
      <c r="AZ521" s="5" t="s">
        <v>240</v>
      </c>
      <c r="BA521" s="5" t="s">
        <v>255</v>
      </c>
      <c r="BB521" s="5" t="s">
        <v>240</v>
      </c>
      <c r="BD521" s="5" t="s">
        <v>240</v>
      </c>
      <c r="BF521" s="5" t="s">
        <v>301</v>
      </c>
      <c r="BG521" s="6" t="s">
        <v>299</v>
      </c>
      <c r="BH521" s="5" t="s">
        <v>302</v>
      </c>
      <c r="BI521" s="5" t="s">
        <v>303</v>
      </c>
      <c r="BJ521" s="5" t="s">
        <v>240</v>
      </c>
      <c r="BK521" s="8">
        <f>0</f>
        <v>0</v>
      </c>
      <c r="BL521" s="7">
        <f>0</f>
        <v>0</v>
      </c>
      <c r="BM521" s="5" t="s">
        <v>258</v>
      </c>
      <c r="BN521" s="5" t="s">
        <v>259</v>
      </c>
      <c r="CB521" s="5" t="s">
        <v>240</v>
      </c>
      <c r="CC521" s="5" t="s">
        <v>240</v>
      </c>
      <c r="CG521" s="5" t="s">
        <v>617</v>
      </c>
      <c r="CH521" s="5" t="s">
        <v>305</v>
      </c>
      <c r="CI521" s="5" t="s">
        <v>240</v>
      </c>
      <c r="CL521" s="6" t="s">
        <v>261</v>
      </c>
      <c r="CM521" s="5" t="s">
        <v>240</v>
      </c>
      <c r="CN521" s="5" t="s">
        <v>263</v>
      </c>
      <c r="CO521" s="5" t="s">
        <v>240</v>
      </c>
      <c r="CP521" s="5" t="s">
        <v>240</v>
      </c>
      <c r="CQ521" s="5">
        <v>0</v>
      </c>
      <c r="CR521" s="5" t="s">
        <v>306</v>
      </c>
      <c r="CS521" s="5" t="s">
        <v>307</v>
      </c>
      <c r="CT521" s="5" t="s">
        <v>307</v>
      </c>
      <c r="CU521" s="5" t="s">
        <v>260</v>
      </c>
      <c r="CX521" s="7">
        <f>569250</f>
        <v>569250</v>
      </c>
      <c r="CY521" s="7">
        <f>0</f>
        <v>0</v>
      </c>
      <c r="DA521" s="7">
        <f>0</f>
        <v>0</v>
      </c>
      <c r="DC521" s="5" t="s">
        <v>843</v>
      </c>
      <c r="DD521" s="5" t="s">
        <v>240</v>
      </c>
      <c r="DF521" s="5" t="s">
        <v>843</v>
      </c>
      <c r="DG521" s="7">
        <f>0</f>
        <v>0</v>
      </c>
      <c r="DH521" s="6" t="s">
        <v>1277</v>
      </c>
      <c r="DI521" s="5" t="s">
        <v>843</v>
      </c>
      <c r="DJ521" s="5" t="s">
        <v>240</v>
      </c>
      <c r="DK521" s="5" t="s">
        <v>240</v>
      </c>
      <c r="DL521" s="5" t="s">
        <v>240</v>
      </c>
      <c r="DP521" s="5" t="s">
        <v>240</v>
      </c>
      <c r="DQ521" s="5" t="s">
        <v>240</v>
      </c>
      <c r="DR521" s="5" t="s">
        <v>240</v>
      </c>
      <c r="DS521" s="5" t="s">
        <v>240</v>
      </c>
      <c r="DV521" s="5" t="s">
        <v>1282</v>
      </c>
      <c r="DW521" s="5" t="s">
        <v>621</v>
      </c>
      <c r="HO521" s="5" t="s">
        <v>312</v>
      </c>
    </row>
    <row r="522" spans="1:223" x14ac:dyDescent="0.4">
      <c r="A522" s="5">
        <v>1384</v>
      </c>
      <c r="B522" s="5">
        <v>1</v>
      </c>
      <c r="C522" s="5">
        <v>1</v>
      </c>
      <c r="D522" s="5" t="s">
        <v>723</v>
      </c>
      <c r="E522" s="5" t="s">
        <v>725</v>
      </c>
      <c r="F522" s="5" t="s">
        <v>254</v>
      </c>
      <c r="G522" s="5" t="s">
        <v>240</v>
      </c>
      <c r="H522" s="6" t="s">
        <v>1218</v>
      </c>
      <c r="I522" s="5" t="s">
        <v>722</v>
      </c>
      <c r="J522" s="8">
        <f>679</f>
        <v>679</v>
      </c>
      <c r="K522" s="5" t="s">
        <v>308</v>
      </c>
      <c r="L522" s="7">
        <f>7469</f>
        <v>7469</v>
      </c>
      <c r="M522" s="7">
        <f>7469</f>
        <v>7469</v>
      </c>
      <c r="N522" s="5" t="s">
        <v>242</v>
      </c>
      <c r="O522" s="5">
        <v>1</v>
      </c>
      <c r="P522" s="5" t="s">
        <v>294</v>
      </c>
      <c r="Q522" s="5" t="s">
        <v>613</v>
      </c>
      <c r="R522" s="5" t="s">
        <v>240</v>
      </c>
      <c r="S522" s="5" t="s">
        <v>240</v>
      </c>
      <c r="T522" s="5" t="s">
        <v>243</v>
      </c>
      <c r="U522" s="5" t="s">
        <v>244</v>
      </c>
      <c r="V522" s="5" t="s">
        <v>240</v>
      </c>
      <c r="Y522" s="5" t="s">
        <v>240</v>
      </c>
      <c r="Z522" s="6" t="s">
        <v>298</v>
      </c>
      <c r="AB522" s="6" t="s">
        <v>240</v>
      </c>
      <c r="AE522" s="6" t="s">
        <v>299</v>
      </c>
      <c r="AF522" s="5" t="s">
        <v>248</v>
      </c>
      <c r="AG522" s="5" t="s">
        <v>249</v>
      </c>
      <c r="AW522" s="5" t="s">
        <v>251</v>
      </c>
      <c r="AX522" s="5" t="s">
        <v>240</v>
      </c>
      <c r="AY522" s="5" t="s">
        <v>253</v>
      </c>
      <c r="AZ522" s="5" t="s">
        <v>240</v>
      </c>
      <c r="BA522" s="5" t="s">
        <v>255</v>
      </c>
      <c r="BB522" s="5" t="s">
        <v>240</v>
      </c>
      <c r="BD522" s="5" t="s">
        <v>686</v>
      </c>
      <c r="BF522" s="5" t="s">
        <v>301</v>
      </c>
      <c r="BG522" s="6" t="s">
        <v>299</v>
      </c>
      <c r="BH522" s="5" t="s">
        <v>302</v>
      </c>
      <c r="BI522" s="5" t="s">
        <v>303</v>
      </c>
      <c r="BJ522" s="5" t="s">
        <v>240</v>
      </c>
      <c r="BK522" s="8">
        <f>0</f>
        <v>0</v>
      </c>
      <c r="BL522" s="7">
        <f>0</f>
        <v>0</v>
      </c>
      <c r="BM522" s="5" t="s">
        <v>258</v>
      </c>
      <c r="BN522" s="5" t="s">
        <v>259</v>
      </c>
      <c r="CB522" s="5" t="s">
        <v>240</v>
      </c>
      <c r="CC522" s="5" t="s">
        <v>240</v>
      </c>
      <c r="CG522" s="5" t="s">
        <v>617</v>
      </c>
      <c r="CH522" s="5" t="s">
        <v>305</v>
      </c>
      <c r="CI522" s="5" t="s">
        <v>240</v>
      </c>
      <c r="CL522" s="6" t="s">
        <v>261</v>
      </c>
      <c r="CM522" s="5" t="s">
        <v>240</v>
      </c>
      <c r="CN522" s="5" t="s">
        <v>263</v>
      </c>
      <c r="CO522" s="5" t="s">
        <v>240</v>
      </c>
      <c r="CP522" s="5" t="s">
        <v>240</v>
      </c>
      <c r="CQ522" s="5">
        <v>0</v>
      </c>
      <c r="CR522" s="5" t="s">
        <v>306</v>
      </c>
      <c r="CS522" s="5" t="s">
        <v>307</v>
      </c>
      <c r="CT522" s="5" t="s">
        <v>307</v>
      </c>
      <c r="CU522" s="5" t="s">
        <v>260</v>
      </c>
      <c r="CX522" s="7">
        <f>668316</f>
        <v>668316</v>
      </c>
      <c r="CY522" s="7">
        <f>0</f>
        <v>0</v>
      </c>
      <c r="DA522" s="7">
        <f>0</f>
        <v>0</v>
      </c>
      <c r="DC522" s="5" t="s">
        <v>843</v>
      </c>
      <c r="DD522" s="5" t="s">
        <v>240</v>
      </c>
      <c r="DF522" s="5" t="s">
        <v>843</v>
      </c>
      <c r="DG522" s="7">
        <f>0</f>
        <v>0</v>
      </c>
      <c r="DH522" s="6" t="s">
        <v>1286</v>
      </c>
      <c r="DI522" s="5" t="s">
        <v>843</v>
      </c>
      <c r="DJ522" s="5" t="s">
        <v>240</v>
      </c>
      <c r="DK522" s="5" t="s">
        <v>240</v>
      </c>
      <c r="DL522" s="5" t="s">
        <v>240</v>
      </c>
      <c r="DP522" s="5" t="s">
        <v>240</v>
      </c>
      <c r="DQ522" s="5" t="s">
        <v>240</v>
      </c>
      <c r="DR522" s="5" t="s">
        <v>240</v>
      </c>
      <c r="DS522" s="5" t="s">
        <v>240</v>
      </c>
      <c r="DV522" s="5" t="s">
        <v>1282</v>
      </c>
      <c r="DW522" s="5" t="s">
        <v>312</v>
      </c>
      <c r="HO522" s="5" t="s">
        <v>312</v>
      </c>
    </row>
    <row r="523" spans="1:223" x14ac:dyDescent="0.4">
      <c r="A523" s="5">
        <v>1385</v>
      </c>
      <c r="B523" s="5">
        <v>1</v>
      </c>
      <c r="C523" s="5">
        <v>1</v>
      </c>
      <c r="D523" s="5" t="s">
        <v>723</v>
      </c>
      <c r="E523" s="5" t="s">
        <v>725</v>
      </c>
      <c r="F523" s="5" t="s">
        <v>254</v>
      </c>
      <c r="G523" s="5" t="s">
        <v>240</v>
      </c>
      <c r="H523" s="6" t="s">
        <v>1217</v>
      </c>
      <c r="I523" s="5" t="s">
        <v>722</v>
      </c>
      <c r="J523" s="8">
        <f>620</f>
        <v>620</v>
      </c>
      <c r="K523" s="5" t="s">
        <v>308</v>
      </c>
      <c r="L523" s="7">
        <f>6820</f>
        <v>6820</v>
      </c>
      <c r="M523" s="7">
        <f>6820</f>
        <v>6820</v>
      </c>
      <c r="N523" s="5" t="s">
        <v>242</v>
      </c>
      <c r="O523" s="5">
        <v>1</v>
      </c>
      <c r="P523" s="5" t="s">
        <v>294</v>
      </c>
      <c r="Q523" s="5" t="s">
        <v>613</v>
      </c>
      <c r="R523" s="5" t="s">
        <v>240</v>
      </c>
      <c r="S523" s="5" t="s">
        <v>240</v>
      </c>
      <c r="T523" s="5" t="s">
        <v>243</v>
      </c>
      <c r="U523" s="5" t="s">
        <v>244</v>
      </c>
      <c r="V523" s="5" t="s">
        <v>240</v>
      </c>
      <c r="Y523" s="5" t="s">
        <v>240</v>
      </c>
      <c r="Z523" s="6" t="s">
        <v>298</v>
      </c>
      <c r="AB523" s="6" t="s">
        <v>240</v>
      </c>
      <c r="AE523" s="6" t="s">
        <v>299</v>
      </c>
      <c r="AF523" s="5" t="s">
        <v>248</v>
      </c>
      <c r="AG523" s="5" t="s">
        <v>249</v>
      </c>
      <c r="AW523" s="5" t="s">
        <v>251</v>
      </c>
      <c r="AX523" s="5" t="s">
        <v>240</v>
      </c>
      <c r="AY523" s="5" t="s">
        <v>253</v>
      </c>
      <c r="AZ523" s="5" t="s">
        <v>240</v>
      </c>
      <c r="BA523" s="5" t="s">
        <v>255</v>
      </c>
      <c r="BB523" s="5" t="s">
        <v>240</v>
      </c>
      <c r="BD523" s="5" t="s">
        <v>686</v>
      </c>
      <c r="BF523" s="5" t="s">
        <v>301</v>
      </c>
      <c r="BG523" s="6" t="s">
        <v>299</v>
      </c>
      <c r="BH523" s="5" t="s">
        <v>302</v>
      </c>
      <c r="BI523" s="5" t="s">
        <v>303</v>
      </c>
      <c r="BJ523" s="5" t="s">
        <v>240</v>
      </c>
      <c r="BK523" s="8">
        <f>0</f>
        <v>0</v>
      </c>
      <c r="BL523" s="7">
        <f>0</f>
        <v>0</v>
      </c>
      <c r="BM523" s="5" t="s">
        <v>258</v>
      </c>
      <c r="BN523" s="5" t="s">
        <v>259</v>
      </c>
      <c r="CB523" s="5" t="s">
        <v>240</v>
      </c>
      <c r="CC523" s="5" t="s">
        <v>240</v>
      </c>
      <c r="CG523" s="5" t="s">
        <v>617</v>
      </c>
      <c r="CH523" s="5" t="s">
        <v>305</v>
      </c>
      <c r="CI523" s="5" t="s">
        <v>240</v>
      </c>
      <c r="CL523" s="6" t="s">
        <v>261</v>
      </c>
      <c r="CM523" s="5" t="s">
        <v>240</v>
      </c>
      <c r="CN523" s="5" t="s">
        <v>263</v>
      </c>
      <c r="CO523" s="5" t="s">
        <v>240</v>
      </c>
      <c r="CP523" s="5" t="s">
        <v>240</v>
      </c>
      <c r="CQ523" s="5">
        <v>0</v>
      </c>
      <c r="CR523" s="5" t="s">
        <v>306</v>
      </c>
      <c r="CS523" s="5" t="s">
        <v>307</v>
      </c>
      <c r="CT523" s="5" t="s">
        <v>307</v>
      </c>
      <c r="CU523" s="5" t="s">
        <v>260</v>
      </c>
      <c r="CX523" s="7">
        <f>2467510</f>
        <v>2467510</v>
      </c>
      <c r="CY523" s="7">
        <f>0</f>
        <v>0</v>
      </c>
      <c r="DA523" s="7">
        <f>0</f>
        <v>0</v>
      </c>
      <c r="DC523" s="5" t="s">
        <v>689</v>
      </c>
      <c r="DD523" s="5" t="s">
        <v>240</v>
      </c>
      <c r="DF523" s="5" t="s">
        <v>689</v>
      </c>
      <c r="DG523" s="7">
        <f>0</f>
        <v>0</v>
      </c>
      <c r="DH523" s="6" t="s">
        <v>1290</v>
      </c>
      <c r="DI523" s="5" t="s">
        <v>618</v>
      </c>
      <c r="DJ523" s="5" t="s">
        <v>240</v>
      </c>
      <c r="DK523" s="5" t="s">
        <v>240</v>
      </c>
      <c r="DL523" s="5" t="s">
        <v>240</v>
      </c>
      <c r="DP523" s="5" t="s">
        <v>240</v>
      </c>
      <c r="DQ523" s="5" t="s">
        <v>240</v>
      </c>
      <c r="DR523" s="5" t="s">
        <v>240</v>
      </c>
      <c r="DS523" s="5" t="s">
        <v>240</v>
      </c>
      <c r="DV523" s="5" t="s">
        <v>1291</v>
      </c>
      <c r="DW523" s="5" t="s">
        <v>312</v>
      </c>
      <c r="HO523" s="5" t="s">
        <v>312</v>
      </c>
    </row>
    <row r="524" spans="1:223" x14ac:dyDescent="0.4">
      <c r="A524" s="5">
        <v>1386</v>
      </c>
      <c r="B524" s="5">
        <v>1</v>
      </c>
      <c r="C524" s="5">
        <v>1</v>
      </c>
      <c r="D524" s="5" t="s">
        <v>723</v>
      </c>
      <c r="E524" s="5" t="s">
        <v>725</v>
      </c>
      <c r="F524" s="5" t="s">
        <v>254</v>
      </c>
      <c r="G524" s="5" t="s">
        <v>240</v>
      </c>
      <c r="H524" s="6" t="s">
        <v>1215</v>
      </c>
      <c r="I524" s="5" t="s">
        <v>722</v>
      </c>
      <c r="J524" s="8">
        <f>614</f>
        <v>614</v>
      </c>
      <c r="K524" s="5" t="s">
        <v>308</v>
      </c>
      <c r="L524" s="7">
        <f>6754</f>
        <v>6754</v>
      </c>
      <c r="M524" s="7">
        <f>6754</f>
        <v>6754</v>
      </c>
      <c r="N524" s="5" t="s">
        <v>242</v>
      </c>
      <c r="O524" s="5">
        <v>1</v>
      </c>
      <c r="P524" s="5" t="s">
        <v>294</v>
      </c>
      <c r="Q524" s="5" t="s">
        <v>613</v>
      </c>
      <c r="R524" s="5" t="s">
        <v>240</v>
      </c>
      <c r="S524" s="5" t="s">
        <v>240</v>
      </c>
      <c r="T524" s="5" t="s">
        <v>243</v>
      </c>
      <c r="U524" s="5" t="s">
        <v>244</v>
      </c>
      <c r="V524" s="5" t="s">
        <v>240</v>
      </c>
      <c r="Y524" s="5" t="s">
        <v>240</v>
      </c>
      <c r="Z524" s="6" t="s">
        <v>1294</v>
      </c>
      <c r="AB524" s="6" t="s">
        <v>240</v>
      </c>
      <c r="AE524" s="6" t="s">
        <v>299</v>
      </c>
      <c r="AF524" s="5" t="s">
        <v>248</v>
      </c>
      <c r="AG524" s="5" t="s">
        <v>249</v>
      </c>
      <c r="AW524" s="5" t="s">
        <v>251</v>
      </c>
      <c r="AX524" s="5" t="s">
        <v>240</v>
      </c>
      <c r="AY524" s="5" t="s">
        <v>253</v>
      </c>
      <c r="AZ524" s="5" t="s">
        <v>240</v>
      </c>
      <c r="BA524" s="5" t="s">
        <v>255</v>
      </c>
      <c r="BB524" s="5" t="s">
        <v>240</v>
      </c>
      <c r="BD524" s="5" t="s">
        <v>686</v>
      </c>
      <c r="BF524" s="5" t="s">
        <v>301</v>
      </c>
      <c r="BG524" s="6" t="s">
        <v>299</v>
      </c>
      <c r="BH524" s="5" t="s">
        <v>302</v>
      </c>
      <c r="BI524" s="5" t="s">
        <v>303</v>
      </c>
      <c r="BJ524" s="5" t="s">
        <v>240</v>
      </c>
      <c r="BK524" s="8">
        <f>0</f>
        <v>0</v>
      </c>
      <c r="BL524" s="7">
        <f>0</f>
        <v>0</v>
      </c>
      <c r="BM524" s="5" t="s">
        <v>258</v>
      </c>
      <c r="BN524" s="5" t="s">
        <v>259</v>
      </c>
      <c r="CB524" s="5" t="s">
        <v>240</v>
      </c>
      <c r="CC524" s="5" t="s">
        <v>240</v>
      </c>
      <c r="CG524" s="5" t="s">
        <v>449</v>
      </c>
      <c r="CH524" s="5" t="s">
        <v>305</v>
      </c>
      <c r="CI524" s="5" t="s">
        <v>240</v>
      </c>
      <c r="CL524" s="6" t="s">
        <v>261</v>
      </c>
      <c r="CM524" s="5" t="s">
        <v>240</v>
      </c>
      <c r="CN524" s="5" t="s">
        <v>263</v>
      </c>
      <c r="CO524" s="5" t="s">
        <v>240</v>
      </c>
      <c r="CP524" s="5" t="s">
        <v>240</v>
      </c>
      <c r="CQ524" s="5">
        <v>0</v>
      </c>
      <c r="CR524" s="5" t="s">
        <v>306</v>
      </c>
      <c r="CS524" s="5" t="s">
        <v>307</v>
      </c>
      <c r="CT524" s="5" t="s">
        <v>307</v>
      </c>
      <c r="CU524" s="5" t="s">
        <v>260</v>
      </c>
      <c r="CX524" s="7">
        <f>6538224</f>
        <v>6538224</v>
      </c>
      <c r="CY524" s="7">
        <f>0</f>
        <v>0</v>
      </c>
      <c r="DA524" s="7">
        <f>0</f>
        <v>0</v>
      </c>
      <c r="DC524" s="5" t="s">
        <v>843</v>
      </c>
      <c r="DD524" s="5" t="s">
        <v>240</v>
      </c>
      <c r="DF524" s="5" t="s">
        <v>843</v>
      </c>
      <c r="DG524" s="7">
        <f>375.76</f>
        <v>375.76</v>
      </c>
      <c r="DH524" s="6" t="s">
        <v>836</v>
      </c>
      <c r="DI524" s="5" t="s">
        <v>843</v>
      </c>
      <c r="DJ524" s="5" t="s">
        <v>240</v>
      </c>
      <c r="DK524" s="5" t="s">
        <v>240</v>
      </c>
      <c r="DL524" s="5" t="s">
        <v>240</v>
      </c>
      <c r="DP524" s="5" t="s">
        <v>240</v>
      </c>
      <c r="DQ524" s="5" t="s">
        <v>240</v>
      </c>
      <c r="DR524" s="5" t="s">
        <v>240</v>
      </c>
      <c r="DS524" s="5" t="s">
        <v>240</v>
      </c>
      <c r="DV524" s="5" t="s">
        <v>1297</v>
      </c>
      <c r="DW524" s="5" t="s">
        <v>312</v>
      </c>
      <c r="HO524" s="5" t="s">
        <v>312</v>
      </c>
    </row>
    <row r="525" spans="1:223" x14ac:dyDescent="0.4">
      <c r="A525" s="5">
        <v>1387</v>
      </c>
      <c r="B525" s="5">
        <v>1</v>
      </c>
      <c r="C525" s="5">
        <v>1</v>
      </c>
      <c r="D525" s="5" t="s">
        <v>723</v>
      </c>
      <c r="E525" s="5" t="s">
        <v>725</v>
      </c>
      <c r="F525" s="5" t="s">
        <v>254</v>
      </c>
      <c r="G525" s="5" t="s">
        <v>240</v>
      </c>
      <c r="H525" s="6" t="s">
        <v>1213</v>
      </c>
      <c r="I525" s="5" t="s">
        <v>722</v>
      </c>
      <c r="J525" s="8">
        <f>4311</f>
        <v>4311</v>
      </c>
      <c r="K525" s="5" t="s">
        <v>308</v>
      </c>
      <c r="L525" s="7">
        <f>47421</f>
        <v>47421</v>
      </c>
      <c r="M525" s="7">
        <f>47421</f>
        <v>47421</v>
      </c>
      <c r="N525" s="5" t="s">
        <v>242</v>
      </c>
      <c r="O525" s="5">
        <v>1</v>
      </c>
      <c r="P525" s="5" t="s">
        <v>294</v>
      </c>
      <c r="Q525" s="5" t="s">
        <v>613</v>
      </c>
      <c r="R525" s="5" t="s">
        <v>240</v>
      </c>
      <c r="S525" s="5" t="s">
        <v>240</v>
      </c>
      <c r="T525" s="5" t="s">
        <v>243</v>
      </c>
      <c r="U525" s="5" t="s">
        <v>244</v>
      </c>
      <c r="V525" s="5" t="s">
        <v>240</v>
      </c>
      <c r="Y525" s="5" t="s">
        <v>240</v>
      </c>
      <c r="Z525" s="6" t="s">
        <v>836</v>
      </c>
      <c r="AB525" s="6" t="s">
        <v>240</v>
      </c>
      <c r="AE525" s="6" t="s">
        <v>299</v>
      </c>
      <c r="AF525" s="5" t="s">
        <v>248</v>
      </c>
      <c r="AG525" s="5" t="s">
        <v>249</v>
      </c>
      <c r="AW525" s="5" t="s">
        <v>251</v>
      </c>
      <c r="AX525" s="5" t="s">
        <v>240</v>
      </c>
      <c r="AY525" s="5" t="s">
        <v>253</v>
      </c>
      <c r="AZ525" s="5" t="s">
        <v>240</v>
      </c>
      <c r="BA525" s="5" t="s">
        <v>255</v>
      </c>
      <c r="BB525" s="5" t="s">
        <v>240</v>
      </c>
      <c r="BD525" s="5" t="s">
        <v>686</v>
      </c>
      <c r="BF525" s="5" t="s">
        <v>301</v>
      </c>
      <c r="BG525" s="6" t="s">
        <v>299</v>
      </c>
      <c r="BH525" s="5" t="s">
        <v>302</v>
      </c>
      <c r="BI525" s="5" t="s">
        <v>303</v>
      </c>
      <c r="BJ525" s="5" t="s">
        <v>240</v>
      </c>
      <c r="BK525" s="8">
        <f>0</f>
        <v>0</v>
      </c>
      <c r="BL525" s="7">
        <f>0</f>
        <v>0</v>
      </c>
      <c r="BM525" s="5" t="s">
        <v>258</v>
      </c>
      <c r="BN525" s="5" t="s">
        <v>259</v>
      </c>
      <c r="CB525" s="5" t="s">
        <v>240</v>
      </c>
      <c r="CC525" s="5" t="s">
        <v>240</v>
      </c>
      <c r="CG525" s="5" t="s">
        <v>449</v>
      </c>
      <c r="CH525" s="5" t="s">
        <v>305</v>
      </c>
      <c r="CI525" s="5" t="s">
        <v>240</v>
      </c>
      <c r="CL525" s="6" t="s">
        <v>261</v>
      </c>
      <c r="CM525" s="5" t="s">
        <v>240</v>
      </c>
      <c r="CN525" s="5" t="s">
        <v>263</v>
      </c>
      <c r="CO525" s="5" t="s">
        <v>240</v>
      </c>
      <c r="CP525" s="5" t="s">
        <v>240</v>
      </c>
      <c r="CQ525" s="5">
        <v>0</v>
      </c>
      <c r="CR525" s="5" t="s">
        <v>306</v>
      </c>
      <c r="CS525" s="5" t="s">
        <v>307</v>
      </c>
      <c r="CT525" s="5" t="s">
        <v>307</v>
      </c>
      <c r="CU525" s="5" t="s">
        <v>260</v>
      </c>
      <c r="CX525" s="7">
        <f>3477774</f>
        <v>3477774</v>
      </c>
      <c r="CY525" s="7">
        <f>0</f>
        <v>0</v>
      </c>
      <c r="DA525" s="7">
        <f>0</f>
        <v>0</v>
      </c>
      <c r="DC525" s="5" t="s">
        <v>689</v>
      </c>
      <c r="DD525" s="5" t="s">
        <v>240</v>
      </c>
      <c r="DF525" s="5" t="s">
        <v>689</v>
      </c>
      <c r="DG525" s="7">
        <f>1210.73</f>
        <v>1210.73</v>
      </c>
      <c r="DH525" s="6" t="s">
        <v>836</v>
      </c>
      <c r="DI525" s="5" t="s">
        <v>618</v>
      </c>
      <c r="DJ525" s="5" t="s">
        <v>240</v>
      </c>
      <c r="DK525" s="5" t="s">
        <v>240</v>
      </c>
      <c r="DL525" s="5" t="s">
        <v>240</v>
      </c>
      <c r="DP525" s="5" t="s">
        <v>240</v>
      </c>
      <c r="DQ525" s="5" t="s">
        <v>240</v>
      </c>
      <c r="DR525" s="5" t="s">
        <v>240</v>
      </c>
      <c r="DS525" s="5" t="s">
        <v>240</v>
      </c>
      <c r="DV525" s="5" t="s">
        <v>1301</v>
      </c>
      <c r="DW525" s="5" t="s">
        <v>312</v>
      </c>
      <c r="HO525" s="5" t="s">
        <v>312</v>
      </c>
    </row>
    <row r="526" spans="1:223" x14ac:dyDescent="0.4">
      <c r="A526" s="5">
        <v>1388</v>
      </c>
      <c r="B526" s="5">
        <v>1</v>
      </c>
      <c r="C526" s="5">
        <v>1</v>
      </c>
      <c r="D526" s="5" t="s">
        <v>723</v>
      </c>
      <c r="E526" s="5" t="s">
        <v>725</v>
      </c>
      <c r="F526" s="5" t="s">
        <v>254</v>
      </c>
      <c r="G526" s="5" t="s">
        <v>240</v>
      </c>
      <c r="H526" s="6" t="s">
        <v>1211</v>
      </c>
      <c r="I526" s="5" t="s">
        <v>722</v>
      </c>
      <c r="J526" s="8">
        <f>3994</f>
        <v>3994</v>
      </c>
      <c r="K526" s="5" t="s">
        <v>308</v>
      </c>
      <c r="L526" s="7">
        <f>43934</f>
        <v>43934</v>
      </c>
      <c r="M526" s="7">
        <f>43934</f>
        <v>43934</v>
      </c>
      <c r="N526" s="5" t="s">
        <v>242</v>
      </c>
      <c r="O526" s="5">
        <v>1</v>
      </c>
      <c r="P526" s="5" t="s">
        <v>294</v>
      </c>
      <c r="Q526" s="5" t="s">
        <v>613</v>
      </c>
      <c r="R526" s="5" t="s">
        <v>240</v>
      </c>
      <c r="S526" s="5" t="s">
        <v>240</v>
      </c>
      <c r="T526" s="5" t="s">
        <v>243</v>
      </c>
      <c r="U526" s="5" t="s">
        <v>244</v>
      </c>
      <c r="V526" s="5" t="s">
        <v>240</v>
      </c>
      <c r="Y526" s="5" t="s">
        <v>240</v>
      </c>
      <c r="Z526" s="6" t="s">
        <v>836</v>
      </c>
      <c r="AB526" s="6" t="s">
        <v>240</v>
      </c>
      <c r="AE526" s="6" t="s">
        <v>299</v>
      </c>
      <c r="AF526" s="5" t="s">
        <v>248</v>
      </c>
      <c r="AG526" s="5" t="s">
        <v>249</v>
      </c>
      <c r="AW526" s="5" t="s">
        <v>251</v>
      </c>
      <c r="AX526" s="5" t="s">
        <v>240</v>
      </c>
      <c r="AY526" s="5" t="s">
        <v>253</v>
      </c>
      <c r="AZ526" s="5" t="s">
        <v>240</v>
      </c>
      <c r="BA526" s="5" t="s">
        <v>255</v>
      </c>
      <c r="BB526" s="5" t="s">
        <v>240</v>
      </c>
      <c r="BD526" s="5" t="s">
        <v>686</v>
      </c>
      <c r="BF526" s="5" t="s">
        <v>301</v>
      </c>
      <c r="BG526" s="6" t="s">
        <v>299</v>
      </c>
      <c r="BH526" s="5" t="s">
        <v>302</v>
      </c>
      <c r="BI526" s="5" t="s">
        <v>303</v>
      </c>
      <c r="BJ526" s="5" t="s">
        <v>240</v>
      </c>
      <c r="BK526" s="8">
        <f>0</f>
        <v>0</v>
      </c>
      <c r="BL526" s="7">
        <f>0</f>
        <v>0</v>
      </c>
      <c r="BM526" s="5" t="s">
        <v>258</v>
      </c>
      <c r="BN526" s="5" t="s">
        <v>259</v>
      </c>
      <c r="CB526" s="5" t="s">
        <v>240</v>
      </c>
      <c r="CC526" s="5" t="s">
        <v>240</v>
      </c>
      <c r="CG526" s="5" t="s">
        <v>449</v>
      </c>
      <c r="CH526" s="5" t="s">
        <v>305</v>
      </c>
      <c r="CI526" s="5" t="s">
        <v>240</v>
      </c>
      <c r="CL526" s="6" t="s">
        <v>261</v>
      </c>
      <c r="CM526" s="5" t="s">
        <v>240</v>
      </c>
      <c r="CN526" s="5" t="s">
        <v>263</v>
      </c>
      <c r="CO526" s="5" t="s">
        <v>240</v>
      </c>
      <c r="CP526" s="5" t="s">
        <v>240</v>
      </c>
      <c r="CQ526" s="5">
        <v>0</v>
      </c>
      <c r="CR526" s="5" t="s">
        <v>306</v>
      </c>
      <c r="CS526" s="5" t="s">
        <v>307</v>
      </c>
      <c r="CT526" s="5" t="s">
        <v>307</v>
      </c>
      <c r="CU526" s="5" t="s">
        <v>260</v>
      </c>
      <c r="CX526" s="7">
        <f>1305766</f>
        <v>1305766</v>
      </c>
      <c r="CY526" s="7">
        <f>0</f>
        <v>0</v>
      </c>
      <c r="DA526" s="7">
        <f>0</f>
        <v>0</v>
      </c>
      <c r="DC526" s="5" t="s">
        <v>689</v>
      </c>
      <c r="DD526" s="5" t="s">
        <v>240</v>
      </c>
      <c r="DF526" s="5" t="s">
        <v>689</v>
      </c>
      <c r="DG526" s="7">
        <f>468</f>
        <v>468</v>
      </c>
      <c r="DI526" s="5" t="s">
        <v>618</v>
      </c>
      <c r="DJ526" s="5" t="s">
        <v>240</v>
      </c>
      <c r="DK526" s="5" t="s">
        <v>240</v>
      </c>
      <c r="DL526" s="5" t="s">
        <v>240</v>
      </c>
      <c r="DP526" s="5" t="s">
        <v>240</v>
      </c>
      <c r="DQ526" s="5" t="s">
        <v>240</v>
      </c>
      <c r="DR526" s="5" t="s">
        <v>240</v>
      </c>
      <c r="DS526" s="5" t="s">
        <v>240</v>
      </c>
      <c r="DV526" s="5" t="s">
        <v>1305</v>
      </c>
      <c r="DW526" s="5" t="s">
        <v>312</v>
      </c>
      <c r="HO526" s="5" t="s">
        <v>312</v>
      </c>
    </row>
    <row r="527" spans="1:223" x14ac:dyDescent="0.4">
      <c r="A527" s="5">
        <v>1389</v>
      </c>
      <c r="B527" s="5">
        <v>1</v>
      </c>
      <c r="C527" s="5">
        <v>1</v>
      </c>
      <c r="D527" s="5" t="s">
        <v>723</v>
      </c>
      <c r="E527" s="5" t="s">
        <v>725</v>
      </c>
      <c r="F527" s="5" t="s">
        <v>254</v>
      </c>
      <c r="G527" s="5" t="s">
        <v>240</v>
      </c>
      <c r="H527" s="6" t="s">
        <v>1209</v>
      </c>
      <c r="I527" s="5" t="s">
        <v>722</v>
      </c>
      <c r="J527" s="8">
        <f>1278</f>
        <v>1278</v>
      </c>
      <c r="K527" s="5" t="s">
        <v>308</v>
      </c>
      <c r="L527" s="7">
        <f>14058</f>
        <v>14058</v>
      </c>
      <c r="M527" s="7">
        <f>14058</f>
        <v>14058</v>
      </c>
      <c r="N527" s="5" t="s">
        <v>242</v>
      </c>
      <c r="O527" s="5">
        <v>1</v>
      </c>
      <c r="P527" s="5" t="s">
        <v>294</v>
      </c>
      <c r="Q527" s="5" t="s">
        <v>613</v>
      </c>
      <c r="R527" s="5" t="s">
        <v>240</v>
      </c>
      <c r="S527" s="5" t="s">
        <v>240</v>
      </c>
      <c r="T527" s="5" t="s">
        <v>243</v>
      </c>
      <c r="U527" s="5" t="s">
        <v>244</v>
      </c>
      <c r="V527" s="5" t="s">
        <v>240</v>
      </c>
      <c r="Y527" s="5" t="s">
        <v>240</v>
      </c>
      <c r="Z527" s="6" t="s">
        <v>298</v>
      </c>
      <c r="AB527" s="6" t="s">
        <v>240</v>
      </c>
      <c r="AE527" s="6" t="s">
        <v>299</v>
      </c>
      <c r="AF527" s="5" t="s">
        <v>248</v>
      </c>
      <c r="AG527" s="5" t="s">
        <v>249</v>
      </c>
      <c r="AW527" s="5" t="s">
        <v>251</v>
      </c>
      <c r="AX527" s="5" t="s">
        <v>240</v>
      </c>
      <c r="AY527" s="5" t="s">
        <v>253</v>
      </c>
      <c r="AZ527" s="5" t="s">
        <v>240</v>
      </c>
      <c r="BA527" s="5" t="s">
        <v>255</v>
      </c>
      <c r="BB527" s="5" t="s">
        <v>240</v>
      </c>
      <c r="BD527" s="5" t="s">
        <v>240</v>
      </c>
      <c r="BF527" s="5" t="s">
        <v>301</v>
      </c>
      <c r="BG527" s="6" t="s">
        <v>299</v>
      </c>
      <c r="BH527" s="5" t="s">
        <v>302</v>
      </c>
      <c r="BI527" s="5" t="s">
        <v>303</v>
      </c>
      <c r="BJ527" s="5" t="s">
        <v>240</v>
      </c>
      <c r="BK527" s="8">
        <f>0</f>
        <v>0</v>
      </c>
      <c r="BL527" s="7">
        <f>0</f>
        <v>0</v>
      </c>
      <c r="BM527" s="5" t="s">
        <v>258</v>
      </c>
      <c r="BN527" s="5" t="s">
        <v>259</v>
      </c>
      <c r="CB527" s="5" t="s">
        <v>240</v>
      </c>
      <c r="CC527" s="5" t="s">
        <v>240</v>
      </c>
      <c r="CG527" s="5" t="s">
        <v>617</v>
      </c>
      <c r="CH527" s="5" t="s">
        <v>305</v>
      </c>
      <c r="CI527" s="5" t="s">
        <v>240</v>
      </c>
      <c r="CL527" s="6" t="s">
        <v>261</v>
      </c>
      <c r="CM527" s="5" t="s">
        <v>240</v>
      </c>
      <c r="CN527" s="5" t="s">
        <v>263</v>
      </c>
      <c r="CO527" s="5" t="s">
        <v>240</v>
      </c>
      <c r="CP527" s="5" t="s">
        <v>240</v>
      </c>
      <c r="CQ527" s="5">
        <v>0</v>
      </c>
      <c r="CR527" s="5" t="s">
        <v>306</v>
      </c>
      <c r="CS527" s="5" t="s">
        <v>307</v>
      </c>
      <c r="CT527" s="5" t="s">
        <v>307</v>
      </c>
      <c r="CU527" s="5" t="s">
        <v>260</v>
      </c>
      <c r="CX527" s="7">
        <f>672934</f>
        <v>672934</v>
      </c>
      <c r="CY527" s="7">
        <f>0</f>
        <v>0</v>
      </c>
      <c r="DA527" s="7">
        <f>0</f>
        <v>0</v>
      </c>
      <c r="DC527" s="5" t="s">
        <v>843</v>
      </c>
      <c r="DD527" s="5" t="s">
        <v>240</v>
      </c>
      <c r="DF527" s="5" t="s">
        <v>450</v>
      </c>
      <c r="DG527" s="7">
        <f>0</f>
        <v>0</v>
      </c>
      <c r="DI527" s="5" t="s">
        <v>843</v>
      </c>
      <c r="DJ527" s="5" t="s">
        <v>240</v>
      </c>
      <c r="DK527" s="5" t="s">
        <v>240</v>
      </c>
      <c r="DL527" s="5" t="s">
        <v>240</v>
      </c>
      <c r="DP527" s="5" t="s">
        <v>240</v>
      </c>
      <c r="DQ527" s="5" t="s">
        <v>240</v>
      </c>
      <c r="DR527" s="5" t="s">
        <v>240</v>
      </c>
      <c r="DS527" s="5" t="s">
        <v>240</v>
      </c>
      <c r="DV527" s="5" t="s">
        <v>1310</v>
      </c>
      <c r="DW527" s="5" t="s">
        <v>801</v>
      </c>
      <c r="HO527" s="5" t="s">
        <v>312</v>
      </c>
    </row>
    <row r="528" spans="1:223" x14ac:dyDescent="0.4">
      <c r="A528" s="5">
        <v>1390</v>
      </c>
      <c r="B528" s="5">
        <v>1</v>
      </c>
      <c r="C528" s="5">
        <v>1</v>
      </c>
      <c r="D528" s="5" t="s">
        <v>723</v>
      </c>
      <c r="E528" s="5" t="s">
        <v>725</v>
      </c>
      <c r="F528" s="5" t="s">
        <v>254</v>
      </c>
      <c r="G528" s="5" t="s">
        <v>240</v>
      </c>
      <c r="H528" s="6" t="s">
        <v>1121</v>
      </c>
      <c r="I528" s="5" t="s">
        <v>722</v>
      </c>
      <c r="J528" s="8">
        <f>1763</f>
        <v>1763</v>
      </c>
      <c r="K528" s="5" t="s">
        <v>308</v>
      </c>
      <c r="L528" s="7">
        <f>19393</f>
        <v>19393</v>
      </c>
      <c r="M528" s="7">
        <f>19393</f>
        <v>19393</v>
      </c>
      <c r="N528" s="5" t="s">
        <v>242</v>
      </c>
      <c r="O528" s="5">
        <v>1</v>
      </c>
      <c r="P528" s="5" t="s">
        <v>294</v>
      </c>
      <c r="Q528" s="5" t="s">
        <v>613</v>
      </c>
      <c r="R528" s="5" t="s">
        <v>240</v>
      </c>
      <c r="S528" s="5" t="s">
        <v>240</v>
      </c>
      <c r="T528" s="5" t="s">
        <v>243</v>
      </c>
      <c r="U528" s="5" t="s">
        <v>244</v>
      </c>
      <c r="V528" s="5" t="s">
        <v>240</v>
      </c>
      <c r="Y528" s="5" t="s">
        <v>240</v>
      </c>
      <c r="Z528" s="6" t="s">
        <v>298</v>
      </c>
      <c r="AB528" s="6" t="s">
        <v>240</v>
      </c>
      <c r="AE528" s="6" t="s">
        <v>299</v>
      </c>
      <c r="AF528" s="5" t="s">
        <v>248</v>
      </c>
      <c r="AG528" s="5" t="s">
        <v>249</v>
      </c>
      <c r="AW528" s="5" t="s">
        <v>251</v>
      </c>
      <c r="AX528" s="5" t="s">
        <v>240</v>
      </c>
      <c r="AY528" s="5" t="s">
        <v>253</v>
      </c>
      <c r="AZ528" s="5" t="s">
        <v>240</v>
      </c>
      <c r="BA528" s="5" t="s">
        <v>255</v>
      </c>
      <c r="BB528" s="5" t="s">
        <v>240</v>
      </c>
      <c r="BD528" s="5" t="s">
        <v>240</v>
      </c>
      <c r="BF528" s="5" t="s">
        <v>301</v>
      </c>
      <c r="BG528" s="6" t="s">
        <v>299</v>
      </c>
      <c r="BH528" s="5" t="s">
        <v>302</v>
      </c>
      <c r="BI528" s="5" t="s">
        <v>303</v>
      </c>
      <c r="BJ528" s="5" t="s">
        <v>240</v>
      </c>
      <c r="BK528" s="8">
        <f>0</f>
        <v>0</v>
      </c>
      <c r="BL528" s="7">
        <f>0</f>
        <v>0</v>
      </c>
      <c r="BM528" s="5" t="s">
        <v>258</v>
      </c>
      <c r="BN528" s="5" t="s">
        <v>259</v>
      </c>
      <c r="CB528" s="5" t="s">
        <v>240</v>
      </c>
      <c r="CC528" s="5" t="s">
        <v>240</v>
      </c>
      <c r="CG528" s="5" t="s">
        <v>617</v>
      </c>
      <c r="CH528" s="5" t="s">
        <v>305</v>
      </c>
      <c r="CI528" s="5" t="s">
        <v>240</v>
      </c>
      <c r="CL528" s="6" t="s">
        <v>261</v>
      </c>
      <c r="CM528" s="5" t="s">
        <v>240</v>
      </c>
      <c r="CN528" s="5" t="s">
        <v>263</v>
      </c>
      <c r="CO528" s="5" t="s">
        <v>240</v>
      </c>
      <c r="CP528" s="5" t="s">
        <v>240</v>
      </c>
      <c r="CQ528" s="5">
        <v>0</v>
      </c>
      <c r="CR528" s="5" t="s">
        <v>306</v>
      </c>
      <c r="CS528" s="5" t="s">
        <v>307</v>
      </c>
      <c r="CT528" s="5" t="s">
        <v>307</v>
      </c>
      <c r="CU528" s="5" t="s">
        <v>260</v>
      </c>
      <c r="CX528" s="7">
        <f>3910</f>
        <v>3910</v>
      </c>
      <c r="CY528" s="7">
        <f>0</f>
        <v>0</v>
      </c>
      <c r="DA528" s="7">
        <f>0</f>
        <v>0</v>
      </c>
      <c r="DC528" s="5" t="s">
        <v>843</v>
      </c>
      <c r="DD528" s="5" t="s">
        <v>240</v>
      </c>
      <c r="DF528" s="5" t="s">
        <v>450</v>
      </c>
      <c r="DG528" s="7">
        <f>0</f>
        <v>0</v>
      </c>
      <c r="DI528" s="5" t="s">
        <v>843</v>
      </c>
      <c r="DJ528" s="5" t="s">
        <v>240</v>
      </c>
      <c r="DK528" s="5" t="s">
        <v>240</v>
      </c>
      <c r="DL528" s="5" t="s">
        <v>240</v>
      </c>
      <c r="DP528" s="5" t="s">
        <v>240</v>
      </c>
      <c r="DQ528" s="5" t="s">
        <v>240</v>
      </c>
      <c r="DR528" s="5" t="s">
        <v>240</v>
      </c>
      <c r="DS528" s="5" t="s">
        <v>240</v>
      </c>
      <c r="DV528" s="5" t="s">
        <v>1310</v>
      </c>
      <c r="DW528" s="5" t="s">
        <v>804</v>
      </c>
      <c r="HO528" s="5" t="s">
        <v>312</v>
      </c>
    </row>
    <row r="529" spans="1:223" x14ac:dyDescent="0.4">
      <c r="A529" s="5">
        <v>1391</v>
      </c>
      <c r="B529" s="5">
        <v>1</v>
      </c>
      <c r="C529" s="5">
        <v>1</v>
      </c>
      <c r="D529" s="5" t="s">
        <v>723</v>
      </c>
      <c r="E529" s="5" t="s">
        <v>725</v>
      </c>
      <c r="F529" s="5" t="s">
        <v>254</v>
      </c>
      <c r="G529" s="5" t="s">
        <v>240</v>
      </c>
      <c r="H529" s="6" t="s">
        <v>1123</v>
      </c>
      <c r="I529" s="5" t="s">
        <v>722</v>
      </c>
      <c r="J529" s="8">
        <f>3188</f>
        <v>3188</v>
      </c>
      <c r="K529" s="5" t="s">
        <v>308</v>
      </c>
      <c r="L529" s="7">
        <f>35068</f>
        <v>35068</v>
      </c>
      <c r="M529" s="7">
        <f>35068</f>
        <v>35068</v>
      </c>
      <c r="N529" s="5" t="s">
        <v>242</v>
      </c>
      <c r="O529" s="5">
        <v>1</v>
      </c>
      <c r="P529" s="5" t="s">
        <v>294</v>
      </c>
      <c r="Q529" s="5" t="s">
        <v>613</v>
      </c>
      <c r="R529" s="5" t="s">
        <v>240</v>
      </c>
      <c r="S529" s="5" t="s">
        <v>240</v>
      </c>
      <c r="T529" s="5" t="s">
        <v>243</v>
      </c>
      <c r="U529" s="5" t="s">
        <v>244</v>
      </c>
      <c r="V529" s="5" t="s">
        <v>240</v>
      </c>
      <c r="Y529" s="5" t="s">
        <v>240</v>
      </c>
      <c r="Z529" s="6" t="s">
        <v>298</v>
      </c>
      <c r="AB529" s="6" t="s">
        <v>240</v>
      </c>
      <c r="AE529" s="6" t="s">
        <v>299</v>
      </c>
      <c r="AF529" s="5" t="s">
        <v>248</v>
      </c>
      <c r="AG529" s="5" t="s">
        <v>249</v>
      </c>
      <c r="AW529" s="5" t="s">
        <v>251</v>
      </c>
      <c r="AX529" s="5" t="s">
        <v>240</v>
      </c>
      <c r="AY529" s="5" t="s">
        <v>253</v>
      </c>
      <c r="AZ529" s="5" t="s">
        <v>240</v>
      </c>
      <c r="BA529" s="5" t="s">
        <v>255</v>
      </c>
      <c r="BB529" s="5" t="s">
        <v>240</v>
      </c>
      <c r="BD529" s="5" t="s">
        <v>240</v>
      </c>
      <c r="BF529" s="5" t="s">
        <v>301</v>
      </c>
      <c r="BG529" s="6" t="s">
        <v>299</v>
      </c>
      <c r="BH529" s="5" t="s">
        <v>302</v>
      </c>
      <c r="BI529" s="5" t="s">
        <v>303</v>
      </c>
      <c r="BJ529" s="5" t="s">
        <v>240</v>
      </c>
      <c r="BK529" s="8">
        <f>0</f>
        <v>0</v>
      </c>
      <c r="BL529" s="7">
        <f>0</f>
        <v>0</v>
      </c>
      <c r="BM529" s="5" t="s">
        <v>258</v>
      </c>
      <c r="BN529" s="5" t="s">
        <v>259</v>
      </c>
      <c r="CB529" s="5" t="s">
        <v>240</v>
      </c>
      <c r="CC529" s="5" t="s">
        <v>240</v>
      </c>
      <c r="CG529" s="5" t="s">
        <v>617</v>
      </c>
      <c r="CH529" s="5" t="s">
        <v>305</v>
      </c>
      <c r="CI529" s="5" t="s">
        <v>240</v>
      </c>
      <c r="CL529" s="6" t="s">
        <v>261</v>
      </c>
      <c r="CM529" s="5" t="s">
        <v>240</v>
      </c>
      <c r="CN529" s="5" t="s">
        <v>263</v>
      </c>
      <c r="CO529" s="5" t="s">
        <v>240</v>
      </c>
      <c r="CP529" s="5" t="s">
        <v>240</v>
      </c>
      <c r="CQ529" s="5">
        <v>0</v>
      </c>
      <c r="CR529" s="5" t="s">
        <v>306</v>
      </c>
      <c r="CS529" s="5" t="s">
        <v>307</v>
      </c>
      <c r="CT529" s="5" t="s">
        <v>307</v>
      </c>
      <c r="CU529" s="5" t="s">
        <v>260</v>
      </c>
      <c r="CX529" s="7">
        <f>604695</f>
        <v>604695</v>
      </c>
      <c r="CY529" s="7">
        <f>0</f>
        <v>0</v>
      </c>
      <c r="DA529" s="7">
        <f>0</f>
        <v>0</v>
      </c>
      <c r="DC529" s="5" t="s">
        <v>618</v>
      </c>
      <c r="DD529" s="5" t="s">
        <v>240</v>
      </c>
      <c r="DF529" s="5" t="s">
        <v>450</v>
      </c>
      <c r="DG529" s="7">
        <f>0</f>
        <v>0</v>
      </c>
      <c r="DI529" s="5" t="s">
        <v>618</v>
      </c>
      <c r="DJ529" s="5" t="s">
        <v>240</v>
      </c>
      <c r="DK529" s="5" t="s">
        <v>240</v>
      </c>
      <c r="DL529" s="5" t="s">
        <v>240</v>
      </c>
      <c r="DP529" s="5" t="s">
        <v>240</v>
      </c>
      <c r="DQ529" s="5" t="s">
        <v>240</v>
      </c>
      <c r="DR529" s="5" t="s">
        <v>240</v>
      </c>
      <c r="DS529" s="5" t="s">
        <v>240</v>
      </c>
      <c r="DV529" s="5" t="s">
        <v>1310</v>
      </c>
      <c r="DW529" s="5" t="s">
        <v>808</v>
      </c>
      <c r="HO529" s="5" t="s">
        <v>312</v>
      </c>
    </row>
    <row r="530" spans="1:223" x14ac:dyDescent="0.4">
      <c r="A530" s="5">
        <v>1392</v>
      </c>
      <c r="B530" s="5">
        <v>1</v>
      </c>
      <c r="C530" s="5">
        <v>1</v>
      </c>
      <c r="D530" s="5" t="s">
        <v>723</v>
      </c>
      <c r="E530" s="5" t="s">
        <v>725</v>
      </c>
      <c r="F530" s="5" t="s">
        <v>254</v>
      </c>
      <c r="G530" s="5" t="s">
        <v>240</v>
      </c>
      <c r="H530" s="6" t="s">
        <v>1125</v>
      </c>
      <c r="I530" s="5" t="s">
        <v>722</v>
      </c>
      <c r="J530" s="8">
        <f>1312</f>
        <v>1312</v>
      </c>
      <c r="K530" s="5" t="s">
        <v>308</v>
      </c>
      <c r="L530" s="7">
        <f>14432</f>
        <v>14432</v>
      </c>
      <c r="M530" s="7">
        <f>14432</f>
        <v>14432</v>
      </c>
      <c r="N530" s="5" t="s">
        <v>242</v>
      </c>
      <c r="O530" s="5">
        <v>1</v>
      </c>
      <c r="P530" s="5" t="s">
        <v>294</v>
      </c>
      <c r="Q530" s="5" t="s">
        <v>613</v>
      </c>
      <c r="R530" s="5" t="s">
        <v>240</v>
      </c>
      <c r="S530" s="5" t="s">
        <v>240</v>
      </c>
      <c r="T530" s="5" t="s">
        <v>243</v>
      </c>
      <c r="U530" s="5" t="s">
        <v>244</v>
      </c>
      <c r="V530" s="5" t="s">
        <v>240</v>
      </c>
      <c r="Y530" s="5" t="s">
        <v>240</v>
      </c>
      <c r="Z530" s="6" t="s">
        <v>298</v>
      </c>
      <c r="AB530" s="6" t="s">
        <v>240</v>
      </c>
      <c r="AE530" s="6" t="s">
        <v>299</v>
      </c>
      <c r="AF530" s="5" t="s">
        <v>248</v>
      </c>
      <c r="AG530" s="5" t="s">
        <v>249</v>
      </c>
      <c r="AW530" s="5" t="s">
        <v>251</v>
      </c>
      <c r="AX530" s="5" t="s">
        <v>240</v>
      </c>
      <c r="AY530" s="5" t="s">
        <v>253</v>
      </c>
      <c r="AZ530" s="5" t="s">
        <v>240</v>
      </c>
      <c r="BA530" s="5" t="s">
        <v>255</v>
      </c>
      <c r="BB530" s="5" t="s">
        <v>240</v>
      </c>
      <c r="BD530" s="5" t="s">
        <v>240</v>
      </c>
      <c r="BF530" s="5" t="s">
        <v>301</v>
      </c>
      <c r="BG530" s="6" t="s">
        <v>299</v>
      </c>
      <c r="BH530" s="5" t="s">
        <v>302</v>
      </c>
      <c r="BI530" s="5" t="s">
        <v>303</v>
      </c>
      <c r="BJ530" s="5" t="s">
        <v>240</v>
      </c>
      <c r="BK530" s="8">
        <f>0</f>
        <v>0</v>
      </c>
      <c r="BL530" s="7">
        <f>0</f>
        <v>0</v>
      </c>
      <c r="BM530" s="5" t="s">
        <v>258</v>
      </c>
      <c r="BN530" s="5" t="s">
        <v>259</v>
      </c>
      <c r="CB530" s="5" t="s">
        <v>240</v>
      </c>
      <c r="CC530" s="5" t="s">
        <v>240</v>
      </c>
      <c r="CG530" s="5" t="s">
        <v>617</v>
      </c>
      <c r="CH530" s="5" t="s">
        <v>305</v>
      </c>
      <c r="CI530" s="5" t="s">
        <v>240</v>
      </c>
      <c r="CL530" s="6" t="s">
        <v>261</v>
      </c>
      <c r="CM530" s="5" t="s">
        <v>240</v>
      </c>
      <c r="CN530" s="5" t="s">
        <v>263</v>
      </c>
      <c r="CO530" s="5" t="s">
        <v>240</v>
      </c>
      <c r="CP530" s="5" t="s">
        <v>240</v>
      </c>
      <c r="CQ530" s="5">
        <v>0</v>
      </c>
      <c r="CR530" s="5" t="s">
        <v>306</v>
      </c>
      <c r="CS530" s="5" t="s">
        <v>307</v>
      </c>
      <c r="CT530" s="5" t="s">
        <v>307</v>
      </c>
      <c r="CU530" s="5" t="s">
        <v>260</v>
      </c>
      <c r="CX530" s="7">
        <f>2164055</f>
        <v>2164055</v>
      </c>
      <c r="CY530" s="7">
        <f>0</f>
        <v>0</v>
      </c>
      <c r="DA530" s="7">
        <f>0</f>
        <v>0</v>
      </c>
      <c r="DC530" s="5" t="s">
        <v>618</v>
      </c>
      <c r="DD530" s="5" t="s">
        <v>240</v>
      </c>
      <c r="DF530" s="5" t="s">
        <v>450</v>
      </c>
      <c r="DG530" s="7">
        <f>0</f>
        <v>0</v>
      </c>
      <c r="DI530" s="5" t="s">
        <v>618</v>
      </c>
      <c r="DJ530" s="5" t="s">
        <v>240</v>
      </c>
      <c r="DK530" s="5" t="s">
        <v>240</v>
      </c>
      <c r="DL530" s="5" t="s">
        <v>240</v>
      </c>
      <c r="DP530" s="5" t="s">
        <v>240</v>
      </c>
      <c r="DQ530" s="5" t="s">
        <v>240</v>
      </c>
      <c r="DR530" s="5" t="s">
        <v>240</v>
      </c>
      <c r="DS530" s="5" t="s">
        <v>240</v>
      </c>
      <c r="DV530" s="5" t="s">
        <v>1310</v>
      </c>
      <c r="DW530" s="5" t="s">
        <v>1260</v>
      </c>
      <c r="HO530" s="5" t="s">
        <v>312</v>
      </c>
    </row>
    <row r="531" spans="1:223" x14ac:dyDescent="0.4">
      <c r="A531" s="5">
        <v>1393</v>
      </c>
      <c r="B531" s="5">
        <v>1</v>
      </c>
      <c r="C531" s="5">
        <v>1</v>
      </c>
      <c r="D531" s="5" t="s">
        <v>723</v>
      </c>
      <c r="E531" s="5" t="s">
        <v>725</v>
      </c>
      <c r="F531" s="5" t="s">
        <v>254</v>
      </c>
      <c r="G531" s="5" t="s">
        <v>240</v>
      </c>
      <c r="H531" s="6" t="s">
        <v>2056</v>
      </c>
      <c r="I531" s="5" t="s">
        <v>722</v>
      </c>
      <c r="J531" s="8">
        <f>736</f>
        <v>736</v>
      </c>
      <c r="K531" s="5" t="s">
        <v>308</v>
      </c>
      <c r="L531" s="7">
        <f>8096</f>
        <v>8096</v>
      </c>
      <c r="M531" s="7">
        <f>8096</f>
        <v>8096</v>
      </c>
      <c r="N531" s="5" t="s">
        <v>242</v>
      </c>
      <c r="O531" s="5">
        <v>1</v>
      </c>
      <c r="P531" s="5" t="s">
        <v>294</v>
      </c>
      <c r="Q531" s="5" t="s">
        <v>613</v>
      </c>
      <c r="R531" s="5" t="s">
        <v>240</v>
      </c>
      <c r="S531" s="5" t="s">
        <v>240</v>
      </c>
      <c r="T531" s="5" t="s">
        <v>243</v>
      </c>
      <c r="U531" s="5" t="s">
        <v>244</v>
      </c>
      <c r="V531" s="5" t="s">
        <v>240</v>
      </c>
      <c r="Y531" s="5" t="s">
        <v>240</v>
      </c>
      <c r="Z531" s="6" t="s">
        <v>298</v>
      </c>
      <c r="AB531" s="6" t="s">
        <v>240</v>
      </c>
      <c r="AE531" s="6" t="s">
        <v>299</v>
      </c>
      <c r="AF531" s="5" t="s">
        <v>248</v>
      </c>
      <c r="AG531" s="5" t="s">
        <v>249</v>
      </c>
      <c r="AW531" s="5" t="s">
        <v>251</v>
      </c>
      <c r="AX531" s="5" t="s">
        <v>240</v>
      </c>
      <c r="AY531" s="5" t="s">
        <v>253</v>
      </c>
      <c r="AZ531" s="5" t="s">
        <v>240</v>
      </c>
      <c r="BA531" s="5" t="s">
        <v>255</v>
      </c>
      <c r="BB531" s="5" t="s">
        <v>240</v>
      </c>
      <c r="BD531" s="5" t="s">
        <v>240</v>
      </c>
      <c r="BF531" s="5" t="s">
        <v>301</v>
      </c>
      <c r="BG531" s="6" t="s">
        <v>299</v>
      </c>
      <c r="BH531" s="5" t="s">
        <v>302</v>
      </c>
      <c r="BI531" s="5" t="s">
        <v>303</v>
      </c>
      <c r="BJ531" s="5" t="s">
        <v>240</v>
      </c>
      <c r="BK531" s="8">
        <f>0</f>
        <v>0</v>
      </c>
      <c r="BL531" s="7">
        <f>0</f>
        <v>0</v>
      </c>
      <c r="BM531" s="5" t="s">
        <v>258</v>
      </c>
      <c r="BN531" s="5" t="s">
        <v>259</v>
      </c>
      <c r="CB531" s="5" t="s">
        <v>240</v>
      </c>
      <c r="CC531" s="5" t="s">
        <v>240</v>
      </c>
      <c r="CG531" s="5" t="s">
        <v>617</v>
      </c>
      <c r="CH531" s="5" t="s">
        <v>305</v>
      </c>
      <c r="CI531" s="5" t="s">
        <v>240</v>
      </c>
      <c r="CL531" s="6" t="s">
        <v>261</v>
      </c>
      <c r="CM531" s="5" t="s">
        <v>240</v>
      </c>
      <c r="CN531" s="5" t="s">
        <v>263</v>
      </c>
      <c r="CO531" s="5" t="s">
        <v>240</v>
      </c>
      <c r="CP531" s="5" t="s">
        <v>240</v>
      </c>
      <c r="CQ531" s="5">
        <v>0</v>
      </c>
      <c r="CR531" s="5" t="s">
        <v>306</v>
      </c>
      <c r="CS531" s="5" t="s">
        <v>307</v>
      </c>
      <c r="CT531" s="5" t="s">
        <v>307</v>
      </c>
      <c r="CU531" s="5" t="s">
        <v>260</v>
      </c>
      <c r="CX531" s="7">
        <f>9978575</f>
        <v>9978575</v>
      </c>
      <c r="CY531" s="7">
        <f>0</f>
        <v>0</v>
      </c>
      <c r="DA531" s="7">
        <f>0</f>
        <v>0</v>
      </c>
      <c r="DC531" s="5" t="s">
        <v>618</v>
      </c>
      <c r="DD531" s="5" t="s">
        <v>240</v>
      </c>
      <c r="DF531" s="5" t="s">
        <v>450</v>
      </c>
      <c r="DG531" s="7">
        <f>0</f>
        <v>0</v>
      </c>
      <c r="DI531" s="5" t="s">
        <v>618</v>
      </c>
      <c r="DJ531" s="5" t="s">
        <v>240</v>
      </c>
      <c r="DK531" s="5" t="s">
        <v>240</v>
      </c>
      <c r="DL531" s="5" t="s">
        <v>240</v>
      </c>
      <c r="DP531" s="5" t="s">
        <v>240</v>
      </c>
      <c r="DQ531" s="5" t="s">
        <v>240</v>
      </c>
      <c r="DR531" s="5" t="s">
        <v>240</v>
      </c>
      <c r="DS531" s="5" t="s">
        <v>240</v>
      </c>
      <c r="DV531" s="5" t="s">
        <v>1310</v>
      </c>
      <c r="DW531" s="5" t="s">
        <v>816</v>
      </c>
      <c r="HO531" s="5" t="s">
        <v>312</v>
      </c>
    </row>
    <row r="532" spans="1:223" x14ac:dyDescent="0.4">
      <c r="A532" s="5">
        <v>1394</v>
      </c>
      <c r="B532" s="5">
        <v>1</v>
      </c>
      <c r="C532" s="5">
        <v>1</v>
      </c>
      <c r="D532" s="5" t="s">
        <v>723</v>
      </c>
      <c r="E532" s="5" t="s">
        <v>725</v>
      </c>
      <c r="F532" s="5" t="s">
        <v>254</v>
      </c>
      <c r="G532" s="5" t="s">
        <v>240</v>
      </c>
      <c r="H532" s="6" t="s">
        <v>4315</v>
      </c>
      <c r="I532" s="5" t="s">
        <v>722</v>
      </c>
      <c r="J532" s="8">
        <f>1137</f>
        <v>1137</v>
      </c>
      <c r="K532" s="5" t="s">
        <v>308</v>
      </c>
      <c r="L532" s="7">
        <f>12507</f>
        <v>12507</v>
      </c>
      <c r="M532" s="7">
        <f>12507</f>
        <v>12507</v>
      </c>
      <c r="N532" s="5" t="s">
        <v>242</v>
      </c>
      <c r="O532" s="5">
        <v>1</v>
      </c>
      <c r="P532" s="5" t="s">
        <v>294</v>
      </c>
      <c r="Q532" s="5" t="s">
        <v>613</v>
      </c>
      <c r="R532" s="5" t="s">
        <v>240</v>
      </c>
      <c r="S532" s="5" t="s">
        <v>240</v>
      </c>
      <c r="T532" s="5" t="s">
        <v>243</v>
      </c>
      <c r="U532" s="5" t="s">
        <v>244</v>
      </c>
      <c r="V532" s="5" t="s">
        <v>240</v>
      </c>
      <c r="Y532" s="5" t="s">
        <v>240</v>
      </c>
      <c r="Z532" s="6" t="s">
        <v>298</v>
      </c>
      <c r="AB532" s="6" t="s">
        <v>240</v>
      </c>
      <c r="AE532" s="6" t="s">
        <v>299</v>
      </c>
      <c r="AF532" s="5" t="s">
        <v>248</v>
      </c>
      <c r="AG532" s="5" t="s">
        <v>249</v>
      </c>
      <c r="AW532" s="5" t="s">
        <v>251</v>
      </c>
      <c r="AX532" s="5" t="s">
        <v>240</v>
      </c>
      <c r="AY532" s="5" t="s">
        <v>253</v>
      </c>
      <c r="AZ532" s="5" t="s">
        <v>240</v>
      </c>
      <c r="BA532" s="5" t="s">
        <v>255</v>
      </c>
      <c r="BB532" s="5" t="s">
        <v>240</v>
      </c>
      <c r="BD532" s="5" t="s">
        <v>240</v>
      </c>
      <c r="BF532" s="5" t="s">
        <v>301</v>
      </c>
      <c r="BG532" s="6" t="s">
        <v>299</v>
      </c>
      <c r="BH532" s="5" t="s">
        <v>302</v>
      </c>
      <c r="BI532" s="5" t="s">
        <v>303</v>
      </c>
      <c r="BJ532" s="5" t="s">
        <v>240</v>
      </c>
      <c r="BK532" s="8">
        <f>0</f>
        <v>0</v>
      </c>
      <c r="BL532" s="7">
        <f>0</f>
        <v>0</v>
      </c>
      <c r="BM532" s="5" t="s">
        <v>258</v>
      </c>
      <c r="BN532" s="5" t="s">
        <v>259</v>
      </c>
      <c r="CB532" s="5" t="s">
        <v>240</v>
      </c>
      <c r="CC532" s="5" t="s">
        <v>240</v>
      </c>
      <c r="CG532" s="5" t="s">
        <v>617</v>
      </c>
      <c r="CH532" s="5" t="s">
        <v>305</v>
      </c>
      <c r="CI532" s="5" t="s">
        <v>240</v>
      </c>
      <c r="CL532" s="6" t="s">
        <v>261</v>
      </c>
      <c r="CM532" s="5" t="s">
        <v>240</v>
      </c>
      <c r="CN532" s="5" t="s">
        <v>263</v>
      </c>
      <c r="CO532" s="5" t="s">
        <v>240</v>
      </c>
      <c r="CP532" s="5" t="s">
        <v>240</v>
      </c>
      <c r="CQ532" s="5">
        <v>0</v>
      </c>
      <c r="CR532" s="5" t="s">
        <v>306</v>
      </c>
      <c r="CS532" s="5" t="s">
        <v>307</v>
      </c>
      <c r="CT532" s="5" t="s">
        <v>307</v>
      </c>
      <c r="CU532" s="5" t="s">
        <v>260</v>
      </c>
      <c r="CX532" s="7">
        <f>7869895</f>
        <v>7869895</v>
      </c>
      <c r="CY532" s="7">
        <f>0</f>
        <v>0</v>
      </c>
      <c r="DA532" s="7">
        <f>0</f>
        <v>0</v>
      </c>
      <c r="DC532" s="5" t="s">
        <v>618</v>
      </c>
      <c r="DD532" s="5" t="s">
        <v>240</v>
      </c>
      <c r="DF532" s="5" t="s">
        <v>450</v>
      </c>
      <c r="DG532" s="7">
        <f>0</f>
        <v>0</v>
      </c>
      <c r="DI532" s="5" t="s">
        <v>618</v>
      </c>
      <c r="DJ532" s="5" t="s">
        <v>240</v>
      </c>
      <c r="DK532" s="5" t="s">
        <v>240</v>
      </c>
      <c r="DL532" s="5" t="s">
        <v>240</v>
      </c>
      <c r="DP532" s="5" t="s">
        <v>240</v>
      </c>
      <c r="DQ532" s="5" t="s">
        <v>240</v>
      </c>
      <c r="DR532" s="5" t="s">
        <v>240</v>
      </c>
      <c r="DS532" s="5" t="s">
        <v>240</v>
      </c>
      <c r="DV532" s="5" t="s">
        <v>1310</v>
      </c>
      <c r="DW532" s="5" t="s">
        <v>818</v>
      </c>
      <c r="HO532" s="5" t="s">
        <v>312</v>
      </c>
    </row>
    <row r="533" spans="1:223" x14ac:dyDescent="0.4">
      <c r="A533" s="5">
        <v>1395</v>
      </c>
      <c r="B533" s="5">
        <v>1</v>
      </c>
      <c r="C533" s="5">
        <v>1</v>
      </c>
      <c r="D533" s="5" t="s">
        <v>723</v>
      </c>
      <c r="E533" s="5" t="s">
        <v>725</v>
      </c>
      <c r="F533" s="5" t="s">
        <v>254</v>
      </c>
      <c r="G533" s="5" t="s">
        <v>240</v>
      </c>
      <c r="H533" s="6" t="s">
        <v>1205</v>
      </c>
      <c r="I533" s="5" t="s">
        <v>722</v>
      </c>
      <c r="J533" s="8">
        <f>1031</f>
        <v>1031</v>
      </c>
      <c r="K533" s="5" t="s">
        <v>308</v>
      </c>
      <c r="L533" s="7">
        <f>11341</f>
        <v>11341</v>
      </c>
      <c r="M533" s="7">
        <f>11341</f>
        <v>11341</v>
      </c>
      <c r="N533" s="5" t="s">
        <v>242</v>
      </c>
      <c r="O533" s="5">
        <v>1</v>
      </c>
      <c r="P533" s="5" t="s">
        <v>294</v>
      </c>
      <c r="Q533" s="5" t="s">
        <v>613</v>
      </c>
      <c r="R533" s="5" t="s">
        <v>240</v>
      </c>
      <c r="S533" s="5" t="s">
        <v>240</v>
      </c>
      <c r="T533" s="5" t="s">
        <v>243</v>
      </c>
      <c r="U533" s="5" t="s">
        <v>244</v>
      </c>
      <c r="V533" s="5" t="s">
        <v>240</v>
      </c>
      <c r="Y533" s="5" t="s">
        <v>240</v>
      </c>
      <c r="Z533" s="6" t="s">
        <v>298</v>
      </c>
      <c r="AB533" s="6" t="s">
        <v>240</v>
      </c>
      <c r="AE533" s="6" t="s">
        <v>299</v>
      </c>
      <c r="AF533" s="5" t="s">
        <v>248</v>
      </c>
      <c r="AG533" s="5" t="s">
        <v>249</v>
      </c>
      <c r="AW533" s="5" t="s">
        <v>251</v>
      </c>
      <c r="AX533" s="5" t="s">
        <v>240</v>
      </c>
      <c r="AY533" s="5" t="s">
        <v>253</v>
      </c>
      <c r="AZ533" s="5" t="s">
        <v>240</v>
      </c>
      <c r="BA533" s="5" t="s">
        <v>255</v>
      </c>
      <c r="BB533" s="5" t="s">
        <v>240</v>
      </c>
      <c r="BD533" s="5" t="s">
        <v>240</v>
      </c>
      <c r="BF533" s="5" t="s">
        <v>301</v>
      </c>
      <c r="BG533" s="6" t="s">
        <v>299</v>
      </c>
      <c r="BH533" s="5" t="s">
        <v>302</v>
      </c>
      <c r="BI533" s="5" t="s">
        <v>303</v>
      </c>
      <c r="BJ533" s="5" t="s">
        <v>240</v>
      </c>
      <c r="BK533" s="8">
        <f>0</f>
        <v>0</v>
      </c>
      <c r="BL533" s="7">
        <f>0</f>
        <v>0</v>
      </c>
      <c r="BM533" s="5" t="s">
        <v>258</v>
      </c>
      <c r="BN533" s="5" t="s">
        <v>259</v>
      </c>
      <c r="CB533" s="5" t="s">
        <v>240</v>
      </c>
      <c r="CC533" s="5" t="s">
        <v>240</v>
      </c>
      <c r="CG533" s="5" t="s">
        <v>617</v>
      </c>
      <c r="CH533" s="5" t="s">
        <v>305</v>
      </c>
      <c r="CI533" s="5" t="s">
        <v>240</v>
      </c>
      <c r="CL533" s="6" t="s">
        <v>261</v>
      </c>
      <c r="CM533" s="5" t="s">
        <v>240</v>
      </c>
      <c r="CN533" s="5" t="s">
        <v>263</v>
      </c>
      <c r="CO533" s="5" t="s">
        <v>240</v>
      </c>
      <c r="CP533" s="5" t="s">
        <v>240</v>
      </c>
      <c r="CQ533" s="5">
        <v>0</v>
      </c>
      <c r="CR533" s="5" t="s">
        <v>306</v>
      </c>
      <c r="CS533" s="5" t="s">
        <v>307</v>
      </c>
      <c r="CT533" s="5" t="s">
        <v>307</v>
      </c>
      <c r="CU533" s="5" t="s">
        <v>260</v>
      </c>
      <c r="CX533" s="7">
        <f>18012380</f>
        <v>18012380</v>
      </c>
      <c r="CY533" s="7">
        <f>0</f>
        <v>0</v>
      </c>
      <c r="DA533" s="7">
        <f>0</f>
        <v>0</v>
      </c>
      <c r="DC533" s="5" t="s">
        <v>618</v>
      </c>
      <c r="DD533" s="5" t="s">
        <v>240</v>
      </c>
      <c r="DF533" s="5" t="s">
        <v>450</v>
      </c>
      <c r="DG533" s="7">
        <f>0</f>
        <v>0</v>
      </c>
      <c r="DI533" s="5" t="s">
        <v>618</v>
      </c>
      <c r="DJ533" s="5" t="s">
        <v>240</v>
      </c>
      <c r="DK533" s="5" t="s">
        <v>240</v>
      </c>
      <c r="DL533" s="5" t="s">
        <v>240</v>
      </c>
      <c r="DP533" s="5" t="s">
        <v>240</v>
      </c>
      <c r="DQ533" s="5" t="s">
        <v>240</v>
      </c>
      <c r="DR533" s="5" t="s">
        <v>240</v>
      </c>
      <c r="DS533" s="5" t="s">
        <v>240</v>
      </c>
      <c r="DV533" s="5" t="s">
        <v>1310</v>
      </c>
      <c r="DW533" s="5" t="s">
        <v>820</v>
      </c>
      <c r="HO533" s="5" t="s">
        <v>312</v>
      </c>
    </row>
    <row r="534" spans="1:223" x14ac:dyDescent="0.4">
      <c r="A534" s="5">
        <v>1396</v>
      </c>
      <c r="B534" s="5">
        <v>1</v>
      </c>
      <c r="C534" s="5">
        <v>1</v>
      </c>
      <c r="D534" s="5" t="s">
        <v>723</v>
      </c>
      <c r="E534" s="5" t="s">
        <v>725</v>
      </c>
      <c r="F534" s="5" t="s">
        <v>254</v>
      </c>
      <c r="G534" s="5" t="s">
        <v>240</v>
      </c>
      <c r="H534" s="6" t="s">
        <v>1203</v>
      </c>
      <c r="I534" s="5" t="s">
        <v>722</v>
      </c>
      <c r="J534" s="8">
        <f>1029</f>
        <v>1029</v>
      </c>
      <c r="K534" s="5" t="s">
        <v>308</v>
      </c>
      <c r="L534" s="7">
        <f>11319</f>
        <v>11319</v>
      </c>
      <c r="M534" s="7">
        <f>11319</f>
        <v>11319</v>
      </c>
      <c r="N534" s="5" t="s">
        <v>242</v>
      </c>
      <c r="O534" s="5">
        <v>1</v>
      </c>
      <c r="P534" s="5" t="s">
        <v>294</v>
      </c>
      <c r="Q534" s="5" t="s">
        <v>266</v>
      </c>
      <c r="R534" s="5" t="s">
        <v>240</v>
      </c>
      <c r="S534" s="5" t="s">
        <v>240</v>
      </c>
      <c r="T534" s="5" t="s">
        <v>296</v>
      </c>
      <c r="U534" s="5" t="s">
        <v>244</v>
      </c>
      <c r="V534" s="5" t="s">
        <v>240</v>
      </c>
      <c r="Y534" s="5" t="s">
        <v>240</v>
      </c>
      <c r="Z534" s="6" t="s">
        <v>298</v>
      </c>
      <c r="AB534" s="6" t="s">
        <v>240</v>
      </c>
      <c r="AE534" s="6" t="s">
        <v>299</v>
      </c>
      <c r="AF534" s="5" t="s">
        <v>248</v>
      </c>
      <c r="AG534" s="5" t="s">
        <v>249</v>
      </c>
      <c r="AW534" s="5" t="s">
        <v>251</v>
      </c>
      <c r="AX534" s="5" t="s">
        <v>240</v>
      </c>
      <c r="AY534" s="5" t="s">
        <v>253</v>
      </c>
      <c r="AZ534" s="5" t="s">
        <v>240</v>
      </c>
      <c r="BA534" s="5" t="s">
        <v>255</v>
      </c>
      <c r="BB534" s="5" t="s">
        <v>240</v>
      </c>
      <c r="BD534" s="5" t="s">
        <v>240</v>
      </c>
      <c r="BF534" s="5" t="s">
        <v>301</v>
      </c>
      <c r="BG534" s="6" t="s">
        <v>299</v>
      </c>
      <c r="BH534" s="5" t="s">
        <v>302</v>
      </c>
      <c r="BI534" s="5" t="s">
        <v>303</v>
      </c>
      <c r="BJ534" s="5" t="s">
        <v>240</v>
      </c>
      <c r="BK534" s="8">
        <f>0</f>
        <v>0</v>
      </c>
      <c r="BL534" s="7">
        <f>0</f>
        <v>0</v>
      </c>
      <c r="BM534" s="5" t="s">
        <v>258</v>
      </c>
      <c r="BN534" s="5" t="s">
        <v>259</v>
      </c>
      <c r="CB534" s="5" t="s">
        <v>240</v>
      </c>
      <c r="CC534" s="5" t="s">
        <v>240</v>
      </c>
      <c r="CG534" s="5" t="s">
        <v>304</v>
      </c>
      <c r="CH534" s="5" t="s">
        <v>305</v>
      </c>
      <c r="CI534" s="5" t="s">
        <v>240</v>
      </c>
      <c r="CL534" s="6" t="s">
        <v>261</v>
      </c>
      <c r="CM534" s="5" t="s">
        <v>240</v>
      </c>
      <c r="CN534" s="5" t="s">
        <v>263</v>
      </c>
      <c r="CO534" s="5" t="s">
        <v>240</v>
      </c>
      <c r="CP534" s="5" t="s">
        <v>240</v>
      </c>
      <c r="CQ534" s="5">
        <v>0</v>
      </c>
      <c r="CR534" s="5" t="s">
        <v>306</v>
      </c>
      <c r="CS534" s="5" t="s">
        <v>307</v>
      </c>
      <c r="CT534" s="5" t="s">
        <v>307</v>
      </c>
      <c r="CU534" s="5" t="s">
        <v>260</v>
      </c>
      <c r="CX534" s="7">
        <f>1</f>
        <v>1</v>
      </c>
      <c r="CY534" s="7">
        <f>0</f>
        <v>0</v>
      </c>
      <c r="DA534" s="7">
        <f>0</f>
        <v>0</v>
      </c>
      <c r="DC534" s="5" t="s">
        <v>812</v>
      </c>
      <c r="DD534" s="5" t="s">
        <v>240</v>
      </c>
      <c r="DF534" s="5" t="s">
        <v>812</v>
      </c>
      <c r="DG534" s="7">
        <f>905</f>
        <v>905</v>
      </c>
      <c r="DI534" s="5" t="s">
        <v>240</v>
      </c>
      <c r="DJ534" s="5" t="s">
        <v>240</v>
      </c>
      <c r="DK534" s="5" t="s">
        <v>240</v>
      </c>
      <c r="DL534" s="5" t="s">
        <v>240</v>
      </c>
      <c r="DP534" s="5" t="s">
        <v>240</v>
      </c>
      <c r="DQ534" s="5" t="s">
        <v>240</v>
      </c>
      <c r="DR534" s="5" t="s">
        <v>240</v>
      </c>
      <c r="DS534" s="5" t="s">
        <v>240</v>
      </c>
      <c r="DV534" s="5" t="s">
        <v>813</v>
      </c>
      <c r="DW534" s="5" t="s">
        <v>1318</v>
      </c>
      <c r="HO534" s="5" t="s">
        <v>312</v>
      </c>
    </row>
    <row r="535" spans="1:223" x14ac:dyDescent="0.4">
      <c r="A535" s="5">
        <v>1397</v>
      </c>
      <c r="B535" s="5">
        <v>1</v>
      </c>
      <c r="C535" s="5">
        <v>1</v>
      </c>
      <c r="D535" s="5" t="s">
        <v>723</v>
      </c>
      <c r="E535" s="5" t="s">
        <v>725</v>
      </c>
      <c r="F535" s="5" t="s">
        <v>254</v>
      </c>
      <c r="G535" s="5" t="s">
        <v>240</v>
      </c>
      <c r="H535" s="6" t="s">
        <v>1201</v>
      </c>
      <c r="I535" s="5" t="s">
        <v>722</v>
      </c>
      <c r="J535" s="8">
        <f>297</f>
        <v>297</v>
      </c>
      <c r="K535" s="5" t="s">
        <v>308</v>
      </c>
      <c r="L535" s="7">
        <f>3267</f>
        <v>3267</v>
      </c>
      <c r="M535" s="7">
        <f>3267</f>
        <v>3267</v>
      </c>
      <c r="N535" s="5" t="s">
        <v>242</v>
      </c>
      <c r="O535" s="5">
        <v>1</v>
      </c>
      <c r="P535" s="5" t="s">
        <v>294</v>
      </c>
      <c r="Q535" s="5" t="s">
        <v>613</v>
      </c>
      <c r="R535" s="5" t="s">
        <v>240</v>
      </c>
      <c r="S535" s="5" t="s">
        <v>240</v>
      </c>
      <c r="T535" s="5" t="s">
        <v>243</v>
      </c>
      <c r="U535" s="5" t="s">
        <v>244</v>
      </c>
      <c r="V535" s="5" t="s">
        <v>240</v>
      </c>
      <c r="Y535" s="5" t="s">
        <v>240</v>
      </c>
      <c r="Z535" s="6" t="s">
        <v>298</v>
      </c>
      <c r="AB535" s="6" t="s">
        <v>240</v>
      </c>
      <c r="AE535" s="6" t="s">
        <v>299</v>
      </c>
      <c r="AF535" s="5" t="s">
        <v>248</v>
      </c>
      <c r="AG535" s="5" t="s">
        <v>249</v>
      </c>
      <c r="AW535" s="5" t="s">
        <v>251</v>
      </c>
      <c r="AX535" s="5" t="s">
        <v>240</v>
      </c>
      <c r="AY535" s="5" t="s">
        <v>253</v>
      </c>
      <c r="AZ535" s="5" t="s">
        <v>240</v>
      </c>
      <c r="BA535" s="5" t="s">
        <v>255</v>
      </c>
      <c r="BB535" s="5" t="s">
        <v>240</v>
      </c>
      <c r="BD535" s="5" t="s">
        <v>240</v>
      </c>
      <c r="BF535" s="5" t="s">
        <v>301</v>
      </c>
      <c r="BG535" s="6" t="s">
        <v>299</v>
      </c>
      <c r="BH535" s="5" t="s">
        <v>302</v>
      </c>
      <c r="BI535" s="5" t="s">
        <v>303</v>
      </c>
      <c r="BJ535" s="5" t="s">
        <v>240</v>
      </c>
      <c r="BK535" s="8">
        <f>0</f>
        <v>0</v>
      </c>
      <c r="BL535" s="7">
        <f>0</f>
        <v>0</v>
      </c>
      <c r="BM535" s="5" t="s">
        <v>258</v>
      </c>
      <c r="BN535" s="5" t="s">
        <v>259</v>
      </c>
      <c r="CB535" s="5" t="s">
        <v>240</v>
      </c>
      <c r="CC535" s="5" t="s">
        <v>240</v>
      </c>
      <c r="CG535" s="5" t="s">
        <v>617</v>
      </c>
      <c r="CH535" s="5" t="s">
        <v>305</v>
      </c>
      <c r="CI535" s="5" t="s">
        <v>240</v>
      </c>
      <c r="CL535" s="6" t="s">
        <v>261</v>
      </c>
      <c r="CM535" s="5" t="s">
        <v>240</v>
      </c>
      <c r="CN535" s="5" t="s">
        <v>263</v>
      </c>
      <c r="CO535" s="5" t="s">
        <v>240</v>
      </c>
      <c r="CP535" s="5" t="s">
        <v>240</v>
      </c>
      <c r="CQ535" s="5">
        <v>0</v>
      </c>
      <c r="CR535" s="5" t="s">
        <v>306</v>
      </c>
      <c r="CS535" s="5" t="s">
        <v>307</v>
      </c>
      <c r="CT535" s="5" t="s">
        <v>307</v>
      </c>
      <c r="CU535" s="5" t="s">
        <v>260</v>
      </c>
      <c r="CX535" s="7">
        <f>18704</f>
        <v>18704</v>
      </c>
      <c r="CY535" s="7">
        <f>0</f>
        <v>0</v>
      </c>
      <c r="DA535" s="7">
        <f>0</f>
        <v>0</v>
      </c>
      <c r="DC535" s="5" t="s">
        <v>1320</v>
      </c>
      <c r="DD535" s="5" t="s">
        <v>240</v>
      </c>
      <c r="DF535" s="5" t="s">
        <v>450</v>
      </c>
      <c r="DG535" s="7">
        <f>0</f>
        <v>0</v>
      </c>
      <c r="DI535" s="5" t="s">
        <v>1320</v>
      </c>
      <c r="DJ535" s="5" t="s">
        <v>240</v>
      </c>
      <c r="DK535" s="5" t="s">
        <v>240</v>
      </c>
      <c r="DL535" s="5" t="s">
        <v>240</v>
      </c>
      <c r="DP535" s="5" t="s">
        <v>240</v>
      </c>
      <c r="DQ535" s="5" t="s">
        <v>240</v>
      </c>
      <c r="DR535" s="5" t="s">
        <v>240</v>
      </c>
      <c r="DS535" s="5" t="s">
        <v>240</v>
      </c>
      <c r="DV535" s="5" t="s">
        <v>1310</v>
      </c>
      <c r="DW535" s="5" t="s">
        <v>620</v>
      </c>
      <c r="HO535" s="5" t="s">
        <v>312</v>
      </c>
    </row>
    <row r="536" spans="1:223" x14ac:dyDescent="0.4">
      <c r="A536" s="5">
        <v>1398</v>
      </c>
      <c r="B536" s="5">
        <v>1</v>
      </c>
      <c r="C536" s="5">
        <v>1</v>
      </c>
      <c r="D536" s="5" t="s">
        <v>723</v>
      </c>
      <c r="E536" s="5" t="s">
        <v>725</v>
      </c>
      <c r="F536" s="5" t="s">
        <v>254</v>
      </c>
      <c r="G536" s="5" t="s">
        <v>240</v>
      </c>
      <c r="H536" s="6" t="s">
        <v>1199</v>
      </c>
      <c r="I536" s="5" t="s">
        <v>722</v>
      </c>
      <c r="J536" s="8">
        <f>3225</f>
        <v>3225</v>
      </c>
      <c r="K536" s="5" t="s">
        <v>308</v>
      </c>
      <c r="L536" s="7">
        <f>35475</f>
        <v>35475</v>
      </c>
      <c r="M536" s="7">
        <f>35475</f>
        <v>35475</v>
      </c>
      <c r="N536" s="5" t="s">
        <v>242</v>
      </c>
      <c r="O536" s="5">
        <v>1</v>
      </c>
      <c r="P536" s="5" t="s">
        <v>294</v>
      </c>
      <c r="Q536" s="5" t="s">
        <v>613</v>
      </c>
      <c r="R536" s="5" t="s">
        <v>240</v>
      </c>
      <c r="S536" s="5" t="s">
        <v>240</v>
      </c>
      <c r="T536" s="5" t="s">
        <v>243</v>
      </c>
      <c r="U536" s="5" t="s">
        <v>244</v>
      </c>
      <c r="V536" s="5" t="s">
        <v>240</v>
      </c>
      <c r="Y536" s="5" t="s">
        <v>240</v>
      </c>
      <c r="Z536" s="6" t="s">
        <v>298</v>
      </c>
      <c r="AB536" s="6" t="s">
        <v>240</v>
      </c>
      <c r="AE536" s="6" t="s">
        <v>299</v>
      </c>
      <c r="AF536" s="5" t="s">
        <v>248</v>
      </c>
      <c r="AG536" s="5" t="s">
        <v>249</v>
      </c>
      <c r="AW536" s="5" t="s">
        <v>251</v>
      </c>
      <c r="AX536" s="5" t="s">
        <v>240</v>
      </c>
      <c r="AY536" s="5" t="s">
        <v>253</v>
      </c>
      <c r="AZ536" s="5" t="s">
        <v>240</v>
      </c>
      <c r="BA536" s="5" t="s">
        <v>255</v>
      </c>
      <c r="BB536" s="5" t="s">
        <v>240</v>
      </c>
      <c r="BD536" s="5" t="s">
        <v>240</v>
      </c>
      <c r="BF536" s="5" t="s">
        <v>301</v>
      </c>
      <c r="BG536" s="6" t="s">
        <v>299</v>
      </c>
      <c r="BH536" s="5" t="s">
        <v>302</v>
      </c>
      <c r="BI536" s="5" t="s">
        <v>303</v>
      </c>
      <c r="BJ536" s="5" t="s">
        <v>240</v>
      </c>
      <c r="BK536" s="8">
        <f>0</f>
        <v>0</v>
      </c>
      <c r="BL536" s="7">
        <f>0</f>
        <v>0</v>
      </c>
      <c r="BM536" s="5" t="s">
        <v>258</v>
      </c>
      <c r="BN536" s="5" t="s">
        <v>259</v>
      </c>
      <c r="CB536" s="5" t="s">
        <v>240</v>
      </c>
      <c r="CC536" s="5" t="s">
        <v>240</v>
      </c>
      <c r="CG536" s="5" t="s">
        <v>617</v>
      </c>
      <c r="CH536" s="5" t="s">
        <v>305</v>
      </c>
      <c r="CI536" s="5" t="s">
        <v>240</v>
      </c>
      <c r="CL536" s="6" t="s">
        <v>261</v>
      </c>
      <c r="CM536" s="5" t="s">
        <v>240</v>
      </c>
      <c r="CN536" s="5" t="s">
        <v>263</v>
      </c>
      <c r="CO536" s="5" t="s">
        <v>240</v>
      </c>
      <c r="CP536" s="5" t="s">
        <v>240</v>
      </c>
      <c r="CQ536" s="5">
        <v>0</v>
      </c>
      <c r="CR536" s="5" t="s">
        <v>306</v>
      </c>
      <c r="CS536" s="5" t="s">
        <v>307</v>
      </c>
      <c r="CT536" s="5" t="s">
        <v>307</v>
      </c>
      <c r="CU536" s="5" t="s">
        <v>260</v>
      </c>
      <c r="CX536" s="7">
        <f>5087140</f>
        <v>5087140</v>
      </c>
      <c r="CY536" s="7">
        <f>0</f>
        <v>0</v>
      </c>
      <c r="DA536" s="7">
        <f>0</f>
        <v>0</v>
      </c>
      <c r="DC536" s="5" t="s">
        <v>843</v>
      </c>
      <c r="DD536" s="5" t="s">
        <v>240</v>
      </c>
      <c r="DF536" s="5" t="s">
        <v>450</v>
      </c>
      <c r="DG536" s="7">
        <f>0</f>
        <v>0</v>
      </c>
      <c r="DI536" s="5" t="s">
        <v>843</v>
      </c>
      <c r="DJ536" s="5" t="s">
        <v>240</v>
      </c>
      <c r="DK536" s="5" t="s">
        <v>240</v>
      </c>
      <c r="DL536" s="5" t="s">
        <v>240</v>
      </c>
      <c r="DP536" s="5" t="s">
        <v>240</v>
      </c>
      <c r="DQ536" s="5" t="s">
        <v>240</v>
      </c>
      <c r="DR536" s="5" t="s">
        <v>240</v>
      </c>
      <c r="DS536" s="5" t="s">
        <v>240</v>
      </c>
      <c r="DV536" s="5" t="s">
        <v>1310</v>
      </c>
      <c r="DW536" s="5" t="s">
        <v>621</v>
      </c>
      <c r="HO536" s="5" t="s">
        <v>312</v>
      </c>
    </row>
    <row r="537" spans="1:223" x14ac:dyDescent="0.4">
      <c r="A537" s="5">
        <v>1399</v>
      </c>
      <c r="B537" s="5">
        <v>1</v>
      </c>
      <c r="C537" s="5">
        <v>1</v>
      </c>
      <c r="D537" s="5" t="s">
        <v>723</v>
      </c>
      <c r="E537" s="5" t="s">
        <v>725</v>
      </c>
      <c r="F537" s="5" t="s">
        <v>254</v>
      </c>
      <c r="G537" s="5" t="s">
        <v>240</v>
      </c>
      <c r="H537" s="6" t="s">
        <v>1197</v>
      </c>
      <c r="I537" s="5" t="s">
        <v>722</v>
      </c>
      <c r="J537" s="8">
        <f>2471</f>
        <v>2471</v>
      </c>
      <c r="K537" s="5" t="s">
        <v>308</v>
      </c>
      <c r="L537" s="7">
        <f>27181</f>
        <v>27181</v>
      </c>
      <c r="M537" s="7">
        <f>27181</f>
        <v>27181</v>
      </c>
      <c r="N537" s="5" t="s">
        <v>242</v>
      </c>
      <c r="O537" s="5">
        <v>1</v>
      </c>
      <c r="P537" s="5" t="s">
        <v>294</v>
      </c>
      <c r="Q537" s="5" t="s">
        <v>613</v>
      </c>
      <c r="R537" s="5" t="s">
        <v>240</v>
      </c>
      <c r="S537" s="5" t="s">
        <v>240</v>
      </c>
      <c r="T537" s="5" t="s">
        <v>243</v>
      </c>
      <c r="U537" s="5" t="s">
        <v>244</v>
      </c>
      <c r="V537" s="5" t="s">
        <v>240</v>
      </c>
      <c r="Y537" s="5" t="s">
        <v>240</v>
      </c>
      <c r="Z537" s="6" t="s">
        <v>298</v>
      </c>
      <c r="AB537" s="6" t="s">
        <v>240</v>
      </c>
      <c r="AE537" s="6" t="s">
        <v>299</v>
      </c>
      <c r="AF537" s="5" t="s">
        <v>248</v>
      </c>
      <c r="AG537" s="5" t="s">
        <v>249</v>
      </c>
      <c r="AW537" s="5" t="s">
        <v>251</v>
      </c>
      <c r="AX537" s="5" t="s">
        <v>240</v>
      </c>
      <c r="AY537" s="5" t="s">
        <v>253</v>
      </c>
      <c r="AZ537" s="5" t="s">
        <v>240</v>
      </c>
      <c r="BA537" s="5" t="s">
        <v>255</v>
      </c>
      <c r="BB537" s="5" t="s">
        <v>240</v>
      </c>
      <c r="BD537" s="5" t="s">
        <v>686</v>
      </c>
      <c r="BF537" s="5" t="s">
        <v>301</v>
      </c>
      <c r="BG537" s="6" t="s">
        <v>299</v>
      </c>
      <c r="BH537" s="5" t="s">
        <v>302</v>
      </c>
      <c r="BI537" s="5" t="s">
        <v>303</v>
      </c>
      <c r="BJ537" s="5" t="s">
        <v>240</v>
      </c>
      <c r="BK537" s="8">
        <f>0</f>
        <v>0</v>
      </c>
      <c r="BL537" s="7">
        <f>0</f>
        <v>0</v>
      </c>
      <c r="BM537" s="5" t="s">
        <v>258</v>
      </c>
      <c r="BN537" s="5" t="s">
        <v>259</v>
      </c>
      <c r="CB537" s="5" t="s">
        <v>240</v>
      </c>
      <c r="CC537" s="5" t="s">
        <v>240</v>
      </c>
      <c r="CG537" s="5" t="s">
        <v>617</v>
      </c>
      <c r="CH537" s="5" t="s">
        <v>305</v>
      </c>
      <c r="CI537" s="5" t="s">
        <v>240</v>
      </c>
      <c r="CL537" s="6" t="s">
        <v>261</v>
      </c>
      <c r="CM537" s="5" t="s">
        <v>240</v>
      </c>
      <c r="CN537" s="5" t="s">
        <v>263</v>
      </c>
      <c r="CO537" s="5" t="s">
        <v>240</v>
      </c>
      <c r="CP537" s="5" t="s">
        <v>240</v>
      </c>
      <c r="CQ537" s="5">
        <v>0</v>
      </c>
      <c r="CR537" s="5" t="s">
        <v>306</v>
      </c>
      <c r="CS537" s="5" t="s">
        <v>307</v>
      </c>
      <c r="CT537" s="5" t="s">
        <v>307</v>
      </c>
      <c r="CU537" s="5" t="s">
        <v>260</v>
      </c>
      <c r="CX537" s="7">
        <f>15166200</f>
        <v>15166200</v>
      </c>
      <c r="CY537" s="7">
        <f>0</f>
        <v>0</v>
      </c>
      <c r="DA537" s="7">
        <f>0</f>
        <v>0</v>
      </c>
      <c r="DC537" s="5" t="s">
        <v>843</v>
      </c>
      <c r="DD537" s="5" t="s">
        <v>240</v>
      </c>
      <c r="DF537" s="5" t="s">
        <v>450</v>
      </c>
      <c r="DG537" s="7">
        <f>0</f>
        <v>0</v>
      </c>
      <c r="DI537" s="5" t="s">
        <v>843</v>
      </c>
      <c r="DJ537" s="5" t="s">
        <v>240</v>
      </c>
      <c r="DK537" s="5" t="s">
        <v>240</v>
      </c>
      <c r="DL537" s="5" t="s">
        <v>240</v>
      </c>
      <c r="DP537" s="5" t="s">
        <v>240</v>
      </c>
      <c r="DQ537" s="5" t="s">
        <v>240</v>
      </c>
      <c r="DR537" s="5" t="s">
        <v>240</v>
      </c>
      <c r="DS537" s="5" t="s">
        <v>240</v>
      </c>
      <c r="DV537" s="5" t="s">
        <v>1310</v>
      </c>
      <c r="DW537" s="5" t="s">
        <v>312</v>
      </c>
      <c r="HO537" s="5" t="s">
        <v>312</v>
      </c>
    </row>
    <row r="538" spans="1:223" x14ac:dyDescent="0.4">
      <c r="A538" s="5">
        <v>1400</v>
      </c>
      <c r="B538" s="5">
        <v>1</v>
      </c>
      <c r="C538" s="5">
        <v>1</v>
      </c>
      <c r="D538" s="5" t="s">
        <v>723</v>
      </c>
      <c r="E538" s="5" t="s">
        <v>725</v>
      </c>
      <c r="F538" s="5" t="s">
        <v>254</v>
      </c>
      <c r="G538" s="5" t="s">
        <v>240</v>
      </c>
      <c r="H538" s="6" t="s">
        <v>1195</v>
      </c>
      <c r="I538" s="5" t="s">
        <v>722</v>
      </c>
      <c r="J538" s="8">
        <f>604</f>
        <v>604</v>
      </c>
      <c r="K538" s="5" t="s">
        <v>308</v>
      </c>
      <c r="L538" s="7">
        <f>6644</f>
        <v>6644</v>
      </c>
      <c r="M538" s="7">
        <f>6644</f>
        <v>6644</v>
      </c>
      <c r="N538" s="5" t="s">
        <v>242</v>
      </c>
      <c r="O538" s="5">
        <v>1</v>
      </c>
      <c r="P538" s="5" t="s">
        <v>294</v>
      </c>
      <c r="Q538" s="5" t="s">
        <v>613</v>
      </c>
      <c r="R538" s="5" t="s">
        <v>240</v>
      </c>
      <c r="S538" s="5" t="s">
        <v>240</v>
      </c>
      <c r="T538" s="5" t="s">
        <v>243</v>
      </c>
      <c r="U538" s="5" t="s">
        <v>244</v>
      </c>
      <c r="V538" s="5" t="s">
        <v>240</v>
      </c>
      <c r="Y538" s="5" t="s">
        <v>240</v>
      </c>
      <c r="Z538" s="6" t="s">
        <v>298</v>
      </c>
      <c r="AB538" s="6" t="s">
        <v>240</v>
      </c>
      <c r="AE538" s="6" t="s">
        <v>299</v>
      </c>
      <c r="AF538" s="5" t="s">
        <v>248</v>
      </c>
      <c r="AG538" s="5" t="s">
        <v>249</v>
      </c>
      <c r="AW538" s="5" t="s">
        <v>251</v>
      </c>
      <c r="AX538" s="5" t="s">
        <v>240</v>
      </c>
      <c r="AY538" s="5" t="s">
        <v>253</v>
      </c>
      <c r="AZ538" s="5" t="s">
        <v>240</v>
      </c>
      <c r="BA538" s="5" t="s">
        <v>255</v>
      </c>
      <c r="BB538" s="5" t="s">
        <v>240</v>
      </c>
      <c r="BD538" s="5" t="s">
        <v>240</v>
      </c>
      <c r="BF538" s="5" t="s">
        <v>301</v>
      </c>
      <c r="BG538" s="6" t="s">
        <v>299</v>
      </c>
      <c r="BH538" s="5" t="s">
        <v>302</v>
      </c>
      <c r="BI538" s="5" t="s">
        <v>303</v>
      </c>
      <c r="BJ538" s="5" t="s">
        <v>240</v>
      </c>
      <c r="BK538" s="8">
        <f>0</f>
        <v>0</v>
      </c>
      <c r="BL538" s="7">
        <f>0</f>
        <v>0</v>
      </c>
      <c r="BM538" s="5" t="s">
        <v>258</v>
      </c>
      <c r="BN538" s="5" t="s">
        <v>259</v>
      </c>
      <c r="CB538" s="5" t="s">
        <v>240</v>
      </c>
      <c r="CC538" s="5" t="s">
        <v>240</v>
      </c>
      <c r="CG538" s="5" t="s">
        <v>617</v>
      </c>
      <c r="CH538" s="5" t="s">
        <v>305</v>
      </c>
      <c r="CI538" s="5" t="s">
        <v>240</v>
      </c>
      <c r="CL538" s="6" t="s">
        <v>261</v>
      </c>
      <c r="CM538" s="5" t="s">
        <v>240</v>
      </c>
      <c r="CN538" s="5" t="s">
        <v>263</v>
      </c>
      <c r="CO538" s="5" t="s">
        <v>240</v>
      </c>
      <c r="CP538" s="5" t="s">
        <v>240</v>
      </c>
      <c r="CQ538" s="5">
        <v>0</v>
      </c>
      <c r="CR538" s="5" t="s">
        <v>306</v>
      </c>
      <c r="CS538" s="5" t="s">
        <v>307</v>
      </c>
      <c r="CT538" s="5" t="s">
        <v>307</v>
      </c>
      <c r="CU538" s="5" t="s">
        <v>260</v>
      </c>
      <c r="CX538" s="7">
        <f>13369740</f>
        <v>13369740</v>
      </c>
      <c r="CY538" s="7">
        <f>0</f>
        <v>0</v>
      </c>
      <c r="DA538" s="7">
        <f>0</f>
        <v>0</v>
      </c>
      <c r="DC538" s="5" t="s">
        <v>689</v>
      </c>
      <c r="DD538" s="5" t="s">
        <v>240</v>
      </c>
      <c r="DF538" s="5" t="s">
        <v>450</v>
      </c>
      <c r="DG538" s="7">
        <f>0</f>
        <v>0</v>
      </c>
      <c r="DI538" s="5" t="s">
        <v>618</v>
      </c>
      <c r="DJ538" s="5" t="s">
        <v>240</v>
      </c>
      <c r="DK538" s="5" t="s">
        <v>240</v>
      </c>
      <c r="DL538" s="5" t="s">
        <v>240</v>
      </c>
      <c r="DP538" s="5" t="s">
        <v>240</v>
      </c>
      <c r="DQ538" s="5" t="s">
        <v>240</v>
      </c>
      <c r="DR538" s="5" t="s">
        <v>240</v>
      </c>
      <c r="DS538" s="5" t="s">
        <v>240</v>
      </c>
      <c r="DV538" s="5" t="s">
        <v>1327</v>
      </c>
      <c r="DW538" s="5" t="s">
        <v>691</v>
      </c>
      <c r="HO538" s="5" t="s">
        <v>312</v>
      </c>
    </row>
    <row r="539" spans="1:223" x14ac:dyDescent="0.4">
      <c r="A539" s="5">
        <v>1401</v>
      </c>
      <c r="B539" s="5">
        <v>1</v>
      </c>
      <c r="C539" s="5">
        <v>1</v>
      </c>
      <c r="D539" s="5" t="s">
        <v>723</v>
      </c>
      <c r="E539" s="5" t="s">
        <v>725</v>
      </c>
      <c r="F539" s="5" t="s">
        <v>254</v>
      </c>
      <c r="G539" s="5" t="s">
        <v>240</v>
      </c>
      <c r="H539" s="6" t="s">
        <v>1193</v>
      </c>
      <c r="I539" s="5" t="s">
        <v>722</v>
      </c>
      <c r="J539" s="8">
        <f>1508</f>
        <v>1508</v>
      </c>
      <c r="K539" s="5" t="s">
        <v>308</v>
      </c>
      <c r="L539" s="7">
        <f>16588</f>
        <v>16588</v>
      </c>
      <c r="M539" s="7">
        <f>16588</f>
        <v>16588</v>
      </c>
      <c r="N539" s="5" t="s">
        <v>242</v>
      </c>
      <c r="O539" s="5">
        <v>1</v>
      </c>
      <c r="P539" s="5" t="s">
        <v>294</v>
      </c>
      <c r="Q539" s="5" t="s">
        <v>613</v>
      </c>
      <c r="R539" s="5" t="s">
        <v>240</v>
      </c>
      <c r="S539" s="5" t="s">
        <v>240</v>
      </c>
      <c r="T539" s="5" t="s">
        <v>243</v>
      </c>
      <c r="U539" s="5" t="s">
        <v>244</v>
      </c>
      <c r="V539" s="5" t="s">
        <v>240</v>
      </c>
      <c r="Y539" s="5" t="s">
        <v>240</v>
      </c>
      <c r="Z539" s="6" t="s">
        <v>298</v>
      </c>
      <c r="AB539" s="6" t="s">
        <v>240</v>
      </c>
      <c r="AE539" s="6" t="s">
        <v>299</v>
      </c>
      <c r="AF539" s="5" t="s">
        <v>248</v>
      </c>
      <c r="AG539" s="5" t="s">
        <v>249</v>
      </c>
      <c r="AW539" s="5" t="s">
        <v>251</v>
      </c>
      <c r="AX539" s="5" t="s">
        <v>240</v>
      </c>
      <c r="AY539" s="5" t="s">
        <v>253</v>
      </c>
      <c r="AZ539" s="5" t="s">
        <v>240</v>
      </c>
      <c r="BA539" s="5" t="s">
        <v>255</v>
      </c>
      <c r="BB539" s="5" t="s">
        <v>240</v>
      </c>
      <c r="BD539" s="5" t="s">
        <v>240</v>
      </c>
      <c r="BF539" s="5" t="s">
        <v>301</v>
      </c>
      <c r="BG539" s="6" t="s">
        <v>299</v>
      </c>
      <c r="BH539" s="5" t="s">
        <v>302</v>
      </c>
      <c r="BI539" s="5" t="s">
        <v>303</v>
      </c>
      <c r="BJ539" s="5" t="s">
        <v>240</v>
      </c>
      <c r="BK539" s="8">
        <f>0</f>
        <v>0</v>
      </c>
      <c r="BL539" s="7">
        <f>0</f>
        <v>0</v>
      </c>
      <c r="BM539" s="5" t="s">
        <v>258</v>
      </c>
      <c r="BN539" s="5" t="s">
        <v>259</v>
      </c>
      <c r="CB539" s="5" t="s">
        <v>240</v>
      </c>
      <c r="CC539" s="5" t="s">
        <v>240</v>
      </c>
      <c r="CG539" s="5" t="s">
        <v>617</v>
      </c>
      <c r="CH539" s="5" t="s">
        <v>305</v>
      </c>
      <c r="CI539" s="5" t="s">
        <v>240</v>
      </c>
      <c r="CL539" s="6" t="s">
        <v>261</v>
      </c>
      <c r="CM539" s="5" t="s">
        <v>240</v>
      </c>
      <c r="CN539" s="5" t="s">
        <v>263</v>
      </c>
      <c r="CO539" s="5" t="s">
        <v>240</v>
      </c>
      <c r="CP539" s="5" t="s">
        <v>240</v>
      </c>
      <c r="CQ539" s="5">
        <v>0</v>
      </c>
      <c r="CR539" s="5" t="s">
        <v>306</v>
      </c>
      <c r="CS539" s="5" t="s">
        <v>307</v>
      </c>
      <c r="CT539" s="5" t="s">
        <v>307</v>
      </c>
      <c r="CU539" s="5" t="s">
        <v>260</v>
      </c>
      <c r="CX539" s="7">
        <f>10888940</f>
        <v>10888940</v>
      </c>
      <c r="CY539" s="7">
        <f>0</f>
        <v>0</v>
      </c>
      <c r="DA539" s="7">
        <f>0</f>
        <v>0</v>
      </c>
      <c r="DC539" s="5" t="s">
        <v>689</v>
      </c>
      <c r="DD539" s="5" t="s">
        <v>240</v>
      </c>
      <c r="DF539" s="5" t="s">
        <v>450</v>
      </c>
      <c r="DG539" s="7">
        <f>0</f>
        <v>0</v>
      </c>
      <c r="DI539" s="5" t="s">
        <v>618</v>
      </c>
      <c r="DJ539" s="5" t="s">
        <v>240</v>
      </c>
      <c r="DK539" s="5" t="s">
        <v>240</v>
      </c>
      <c r="DL539" s="5" t="s">
        <v>240</v>
      </c>
      <c r="DP539" s="5" t="s">
        <v>240</v>
      </c>
      <c r="DQ539" s="5" t="s">
        <v>240</v>
      </c>
      <c r="DR539" s="5" t="s">
        <v>240</v>
      </c>
      <c r="DS539" s="5" t="s">
        <v>240</v>
      </c>
      <c r="DV539" s="5" t="s">
        <v>1327</v>
      </c>
      <c r="DW539" s="5" t="s">
        <v>620</v>
      </c>
      <c r="HO539" s="5" t="s">
        <v>312</v>
      </c>
    </row>
    <row r="540" spans="1:223" x14ac:dyDescent="0.4">
      <c r="A540" s="5">
        <v>1402</v>
      </c>
      <c r="B540" s="5">
        <v>1</v>
      </c>
      <c r="C540" s="5">
        <v>1</v>
      </c>
      <c r="D540" s="5" t="s">
        <v>723</v>
      </c>
      <c r="E540" s="5" t="s">
        <v>725</v>
      </c>
      <c r="F540" s="5" t="s">
        <v>254</v>
      </c>
      <c r="G540" s="5" t="s">
        <v>240</v>
      </c>
      <c r="H540" s="6" t="s">
        <v>1191</v>
      </c>
      <c r="I540" s="5" t="s">
        <v>722</v>
      </c>
      <c r="J540" s="8">
        <f>2145</f>
        <v>2145</v>
      </c>
      <c r="K540" s="5" t="s">
        <v>308</v>
      </c>
      <c r="L540" s="7">
        <f>23595</f>
        <v>23595</v>
      </c>
      <c r="M540" s="7">
        <f>23595</f>
        <v>23595</v>
      </c>
      <c r="N540" s="5" t="s">
        <v>242</v>
      </c>
      <c r="O540" s="5">
        <v>1</v>
      </c>
      <c r="P540" s="5" t="s">
        <v>294</v>
      </c>
      <c r="Q540" s="5" t="s">
        <v>613</v>
      </c>
      <c r="R540" s="5" t="s">
        <v>240</v>
      </c>
      <c r="S540" s="5" t="s">
        <v>240</v>
      </c>
      <c r="T540" s="5" t="s">
        <v>243</v>
      </c>
      <c r="U540" s="5" t="s">
        <v>244</v>
      </c>
      <c r="V540" s="5" t="s">
        <v>240</v>
      </c>
      <c r="Y540" s="5" t="s">
        <v>240</v>
      </c>
      <c r="Z540" s="6" t="s">
        <v>298</v>
      </c>
      <c r="AB540" s="6" t="s">
        <v>240</v>
      </c>
      <c r="AE540" s="6" t="s">
        <v>299</v>
      </c>
      <c r="AF540" s="5" t="s">
        <v>248</v>
      </c>
      <c r="AG540" s="5" t="s">
        <v>249</v>
      </c>
      <c r="AW540" s="5" t="s">
        <v>251</v>
      </c>
      <c r="AX540" s="5" t="s">
        <v>240</v>
      </c>
      <c r="AY540" s="5" t="s">
        <v>253</v>
      </c>
      <c r="AZ540" s="5" t="s">
        <v>240</v>
      </c>
      <c r="BA540" s="5" t="s">
        <v>255</v>
      </c>
      <c r="BB540" s="5" t="s">
        <v>240</v>
      </c>
      <c r="BD540" s="5" t="s">
        <v>240</v>
      </c>
      <c r="BF540" s="5" t="s">
        <v>301</v>
      </c>
      <c r="BG540" s="6" t="s">
        <v>299</v>
      </c>
      <c r="BH540" s="5" t="s">
        <v>302</v>
      </c>
      <c r="BI540" s="5" t="s">
        <v>303</v>
      </c>
      <c r="BJ540" s="5" t="s">
        <v>240</v>
      </c>
      <c r="BK540" s="8">
        <f>0</f>
        <v>0</v>
      </c>
      <c r="BL540" s="7">
        <f>0</f>
        <v>0</v>
      </c>
      <c r="BM540" s="5" t="s">
        <v>258</v>
      </c>
      <c r="BN540" s="5" t="s">
        <v>259</v>
      </c>
      <c r="CB540" s="5" t="s">
        <v>240</v>
      </c>
      <c r="CC540" s="5" t="s">
        <v>240</v>
      </c>
      <c r="CG540" s="5" t="s">
        <v>617</v>
      </c>
      <c r="CH540" s="5" t="s">
        <v>305</v>
      </c>
      <c r="CI540" s="5" t="s">
        <v>240</v>
      </c>
      <c r="CL540" s="6" t="s">
        <v>261</v>
      </c>
      <c r="CM540" s="5" t="s">
        <v>240</v>
      </c>
      <c r="CN540" s="5" t="s">
        <v>263</v>
      </c>
      <c r="CO540" s="5" t="s">
        <v>240</v>
      </c>
      <c r="CP540" s="5" t="s">
        <v>240</v>
      </c>
      <c r="CQ540" s="5">
        <v>0</v>
      </c>
      <c r="CR540" s="5" t="s">
        <v>306</v>
      </c>
      <c r="CS540" s="5" t="s">
        <v>307</v>
      </c>
      <c r="CT540" s="5" t="s">
        <v>307</v>
      </c>
      <c r="CU540" s="5" t="s">
        <v>260</v>
      </c>
      <c r="CX540" s="7">
        <f>7300640</f>
        <v>7300640</v>
      </c>
      <c r="CY540" s="7">
        <f>0</f>
        <v>0</v>
      </c>
      <c r="DA540" s="7">
        <f>0</f>
        <v>0</v>
      </c>
      <c r="DC540" s="5" t="s">
        <v>689</v>
      </c>
      <c r="DD540" s="5" t="s">
        <v>240</v>
      </c>
      <c r="DF540" s="5" t="s">
        <v>450</v>
      </c>
      <c r="DG540" s="7">
        <f>0</f>
        <v>0</v>
      </c>
      <c r="DI540" s="5" t="s">
        <v>618</v>
      </c>
      <c r="DJ540" s="5" t="s">
        <v>240</v>
      </c>
      <c r="DK540" s="5" t="s">
        <v>240</v>
      </c>
      <c r="DL540" s="5" t="s">
        <v>240</v>
      </c>
      <c r="DP540" s="5" t="s">
        <v>240</v>
      </c>
      <c r="DQ540" s="5" t="s">
        <v>240</v>
      </c>
      <c r="DR540" s="5" t="s">
        <v>240</v>
      </c>
      <c r="DS540" s="5" t="s">
        <v>240</v>
      </c>
      <c r="DV540" s="5" t="s">
        <v>1327</v>
      </c>
      <c r="DW540" s="5" t="s">
        <v>621</v>
      </c>
      <c r="HO540" s="5" t="s">
        <v>312</v>
      </c>
    </row>
    <row r="541" spans="1:223" x14ac:dyDescent="0.4">
      <c r="A541" s="5">
        <v>1403</v>
      </c>
      <c r="B541" s="5">
        <v>1</v>
      </c>
      <c r="C541" s="5">
        <v>1</v>
      </c>
      <c r="D541" s="5" t="s">
        <v>723</v>
      </c>
      <c r="E541" s="5" t="s">
        <v>725</v>
      </c>
      <c r="F541" s="5" t="s">
        <v>254</v>
      </c>
      <c r="G541" s="5" t="s">
        <v>240</v>
      </c>
      <c r="H541" s="6" t="s">
        <v>1189</v>
      </c>
      <c r="I541" s="5" t="s">
        <v>722</v>
      </c>
      <c r="J541" s="8">
        <f>1100</f>
        <v>1100</v>
      </c>
      <c r="K541" s="5" t="s">
        <v>308</v>
      </c>
      <c r="L541" s="7">
        <f>12100</f>
        <v>12100</v>
      </c>
      <c r="M541" s="7">
        <f>12100</f>
        <v>12100</v>
      </c>
      <c r="N541" s="5" t="s">
        <v>242</v>
      </c>
      <c r="O541" s="5">
        <v>1</v>
      </c>
      <c r="P541" s="5" t="s">
        <v>294</v>
      </c>
      <c r="Q541" s="5" t="s">
        <v>613</v>
      </c>
      <c r="R541" s="5" t="s">
        <v>240</v>
      </c>
      <c r="S541" s="5" t="s">
        <v>240</v>
      </c>
      <c r="T541" s="5" t="s">
        <v>243</v>
      </c>
      <c r="U541" s="5" t="s">
        <v>244</v>
      </c>
      <c r="V541" s="5" t="s">
        <v>240</v>
      </c>
      <c r="Y541" s="5" t="s">
        <v>240</v>
      </c>
      <c r="Z541" s="6" t="s">
        <v>298</v>
      </c>
      <c r="AB541" s="6" t="s">
        <v>240</v>
      </c>
      <c r="AE541" s="6" t="s">
        <v>299</v>
      </c>
      <c r="AF541" s="5" t="s">
        <v>248</v>
      </c>
      <c r="AG541" s="5" t="s">
        <v>249</v>
      </c>
      <c r="AW541" s="5" t="s">
        <v>251</v>
      </c>
      <c r="AX541" s="5" t="s">
        <v>240</v>
      </c>
      <c r="AY541" s="5" t="s">
        <v>253</v>
      </c>
      <c r="AZ541" s="5" t="s">
        <v>240</v>
      </c>
      <c r="BA541" s="5" t="s">
        <v>255</v>
      </c>
      <c r="BB541" s="5" t="s">
        <v>240</v>
      </c>
      <c r="BD541" s="5" t="s">
        <v>686</v>
      </c>
      <c r="BF541" s="5" t="s">
        <v>301</v>
      </c>
      <c r="BG541" s="6" t="s">
        <v>299</v>
      </c>
      <c r="BH541" s="5" t="s">
        <v>302</v>
      </c>
      <c r="BI541" s="5" t="s">
        <v>303</v>
      </c>
      <c r="BJ541" s="5" t="s">
        <v>240</v>
      </c>
      <c r="BK541" s="8">
        <f>0</f>
        <v>0</v>
      </c>
      <c r="BL541" s="7">
        <f>0</f>
        <v>0</v>
      </c>
      <c r="BM541" s="5" t="s">
        <v>258</v>
      </c>
      <c r="BN541" s="5" t="s">
        <v>259</v>
      </c>
      <c r="CB541" s="5" t="s">
        <v>240</v>
      </c>
      <c r="CC541" s="5" t="s">
        <v>240</v>
      </c>
      <c r="CG541" s="5" t="s">
        <v>617</v>
      </c>
      <c r="CH541" s="5" t="s">
        <v>305</v>
      </c>
      <c r="CI541" s="5" t="s">
        <v>240</v>
      </c>
      <c r="CL541" s="6" t="s">
        <v>261</v>
      </c>
      <c r="CM541" s="5" t="s">
        <v>240</v>
      </c>
      <c r="CN541" s="5" t="s">
        <v>263</v>
      </c>
      <c r="CO541" s="5" t="s">
        <v>240</v>
      </c>
      <c r="CP541" s="5" t="s">
        <v>240</v>
      </c>
      <c r="CQ541" s="5">
        <v>0</v>
      </c>
      <c r="CR541" s="5" t="s">
        <v>306</v>
      </c>
      <c r="CS541" s="5" t="s">
        <v>307</v>
      </c>
      <c r="CT541" s="5" t="s">
        <v>307</v>
      </c>
      <c r="CU541" s="5" t="s">
        <v>260</v>
      </c>
      <c r="CX541" s="7">
        <f>70773680</f>
        <v>70773680</v>
      </c>
      <c r="CY541" s="7">
        <f>0</f>
        <v>0</v>
      </c>
      <c r="DA541" s="7">
        <f>0</f>
        <v>0</v>
      </c>
      <c r="DC541" s="5" t="s">
        <v>689</v>
      </c>
      <c r="DD541" s="5" t="s">
        <v>240</v>
      </c>
      <c r="DF541" s="5" t="s">
        <v>450</v>
      </c>
      <c r="DG541" s="7">
        <f>0</f>
        <v>0</v>
      </c>
      <c r="DI541" s="5" t="s">
        <v>618</v>
      </c>
      <c r="DJ541" s="5" t="s">
        <v>240</v>
      </c>
      <c r="DK541" s="5" t="s">
        <v>240</v>
      </c>
      <c r="DL541" s="5" t="s">
        <v>240</v>
      </c>
      <c r="DP541" s="5" t="s">
        <v>240</v>
      </c>
      <c r="DQ541" s="5" t="s">
        <v>240</v>
      </c>
      <c r="DR541" s="5" t="s">
        <v>240</v>
      </c>
      <c r="DS541" s="5" t="s">
        <v>240</v>
      </c>
      <c r="DV541" s="5" t="s">
        <v>1327</v>
      </c>
      <c r="DW541" s="5" t="s">
        <v>312</v>
      </c>
      <c r="HO541" s="5" t="s">
        <v>312</v>
      </c>
    </row>
    <row r="542" spans="1:223" x14ac:dyDescent="0.4">
      <c r="A542" s="5">
        <v>1404</v>
      </c>
      <c r="B542" s="5">
        <v>1</v>
      </c>
      <c r="C542" s="5">
        <v>1</v>
      </c>
      <c r="D542" s="5" t="s">
        <v>723</v>
      </c>
      <c r="E542" s="5" t="s">
        <v>725</v>
      </c>
      <c r="F542" s="5" t="s">
        <v>254</v>
      </c>
      <c r="G542" s="5" t="s">
        <v>240</v>
      </c>
      <c r="H542" s="6" t="s">
        <v>1188</v>
      </c>
      <c r="I542" s="5" t="s">
        <v>722</v>
      </c>
      <c r="J542" s="8">
        <f>1918</f>
        <v>1918</v>
      </c>
      <c r="K542" s="5" t="s">
        <v>308</v>
      </c>
      <c r="L542" s="7">
        <f>21098</f>
        <v>21098</v>
      </c>
      <c r="M542" s="7">
        <f>21098</f>
        <v>21098</v>
      </c>
      <c r="N542" s="5" t="s">
        <v>242</v>
      </c>
      <c r="O542" s="5">
        <v>1</v>
      </c>
      <c r="P542" s="5" t="s">
        <v>294</v>
      </c>
      <c r="Q542" s="5" t="s">
        <v>613</v>
      </c>
      <c r="R542" s="5" t="s">
        <v>240</v>
      </c>
      <c r="S542" s="5" t="s">
        <v>240</v>
      </c>
      <c r="T542" s="5" t="s">
        <v>243</v>
      </c>
      <c r="U542" s="5" t="s">
        <v>244</v>
      </c>
      <c r="V542" s="5" t="s">
        <v>240</v>
      </c>
      <c r="Y542" s="5" t="s">
        <v>240</v>
      </c>
      <c r="Z542" s="6" t="s">
        <v>298</v>
      </c>
      <c r="AB542" s="6" t="s">
        <v>240</v>
      </c>
      <c r="AE542" s="6" t="s">
        <v>299</v>
      </c>
      <c r="AF542" s="5" t="s">
        <v>248</v>
      </c>
      <c r="AG542" s="5" t="s">
        <v>249</v>
      </c>
      <c r="AW542" s="5" t="s">
        <v>251</v>
      </c>
      <c r="AX542" s="5" t="s">
        <v>240</v>
      </c>
      <c r="AY542" s="5" t="s">
        <v>253</v>
      </c>
      <c r="AZ542" s="5" t="s">
        <v>240</v>
      </c>
      <c r="BA542" s="5" t="s">
        <v>255</v>
      </c>
      <c r="BB542" s="5" t="s">
        <v>240</v>
      </c>
      <c r="BD542" s="5" t="s">
        <v>240</v>
      </c>
      <c r="BF542" s="5" t="s">
        <v>301</v>
      </c>
      <c r="BG542" s="6" t="s">
        <v>299</v>
      </c>
      <c r="BH542" s="5" t="s">
        <v>302</v>
      </c>
      <c r="BI542" s="5" t="s">
        <v>303</v>
      </c>
      <c r="BJ542" s="5" t="s">
        <v>240</v>
      </c>
      <c r="BK542" s="8">
        <f>0</f>
        <v>0</v>
      </c>
      <c r="BL542" s="7">
        <f>0</f>
        <v>0</v>
      </c>
      <c r="BM542" s="5" t="s">
        <v>258</v>
      </c>
      <c r="BN542" s="5" t="s">
        <v>259</v>
      </c>
      <c r="CB542" s="5" t="s">
        <v>240</v>
      </c>
      <c r="CC542" s="5" t="s">
        <v>240</v>
      </c>
      <c r="CG542" s="5" t="s">
        <v>617</v>
      </c>
      <c r="CH542" s="5" t="s">
        <v>305</v>
      </c>
      <c r="CI542" s="5" t="s">
        <v>240</v>
      </c>
      <c r="CL542" s="6" t="s">
        <v>261</v>
      </c>
      <c r="CM542" s="5" t="s">
        <v>240</v>
      </c>
      <c r="CN542" s="5" t="s">
        <v>263</v>
      </c>
      <c r="CO542" s="5" t="s">
        <v>240</v>
      </c>
      <c r="CP542" s="5" t="s">
        <v>240</v>
      </c>
      <c r="CQ542" s="5">
        <v>0</v>
      </c>
      <c r="CR542" s="5" t="s">
        <v>306</v>
      </c>
      <c r="CS542" s="5" t="s">
        <v>307</v>
      </c>
      <c r="CT542" s="5" t="s">
        <v>307</v>
      </c>
      <c r="CU542" s="5" t="s">
        <v>260</v>
      </c>
      <c r="CX542" s="7">
        <f>536030</f>
        <v>536030</v>
      </c>
      <c r="CY542" s="7">
        <f>0</f>
        <v>0</v>
      </c>
      <c r="DA542" s="7">
        <f>0</f>
        <v>0</v>
      </c>
      <c r="DC542" s="5" t="s">
        <v>689</v>
      </c>
      <c r="DD542" s="5" t="s">
        <v>240</v>
      </c>
      <c r="DF542" s="5" t="s">
        <v>854</v>
      </c>
      <c r="DG542" s="7">
        <f>242</f>
        <v>242</v>
      </c>
      <c r="DI542" s="5" t="s">
        <v>618</v>
      </c>
      <c r="DJ542" s="5" t="s">
        <v>240</v>
      </c>
      <c r="DK542" s="5" t="s">
        <v>240</v>
      </c>
      <c r="DL542" s="5" t="s">
        <v>240</v>
      </c>
      <c r="DP542" s="5" t="s">
        <v>240</v>
      </c>
      <c r="DQ542" s="5" t="s">
        <v>240</v>
      </c>
      <c r="DR542" s="5" t="s">
        <v>240</v>
      </c>
      <c r="DS542" s="5" t="s">
        <v>240</v>
      </c>
      <c r="DV542" s="5" t="s">
        <v>1334</v>
      </c>
      <c r="DW542" s="5" t="s">
        <v>1126</v>
      </c>
      <c r="HO542" s="5" t="s">
        <v>312</v>
      </c>
    </row>
    <row r="543" spans="1:223" x14ac:dyDescent="0.4">
      <c r="A543" s="5">
        <v>1405</v>
      </c>
      <c r="B543" s="5">
        <v>1</v>
      </c>
      <c r="C543" s="5">
        <v>1</v>
      </c>
      <c r="D543" s="5" t="s">
        <v>723</v>
      </c>
      <c r="E543" s="5" t="s">
        <v>725</v>
      </c>
      <c r="F543" s="5" t="s">
        <v>254</v>
      </c>
      <c r="G543" s="5" t="s">
        <v>240</v>
      </c>
      <c r="H543" s="6" t="s">
        <v>1187</v>
      </c>
      <c r="I543" s="5" t="s">
        <v>722</v>
      </c>
      <c r="J543" s="8">
        <f>455</f>
        <v>455</v>
      </c>
      <c r="K543" s="5" t="s">
        <v>308</v>
      </c>
      <c r="L543" s="7">
        <f>5005</f>
        <v>5005</v>
      </c>
      <c r="M543" s="7">
        <f>5005</f>
        <v>5005</v>
      </c>
      <c r="N543" s="5" t="s">
        <v>242</v>
      </c>
      <c r="O543" s="5">
        <v>1</v>
      </c>
      <c r="P543" s="5" t="s">
        <v>294</v>
      </c>
      <c r="Q543" s="5" t="s">
        <v>613</v>
      </c>
      <c r="R543" s="5" t="s">
        <v>240</v>
      </c>
      <c r="S543" s="5" t="s">
        <v>240</v>
      </c>
      <c r="T543" s="5" t="s">
        <v>243</v>
      </c>
      <c r="U543" s="5" t="s">
        <v>244</v>
      </c>
      <c r="V543" s="5" t="s">
        <v>240</v>
      </c>
      <c r="Y543" s="5" t="s">
        <v>240</v>
      </c>
      <c r="Z543" s="6" t="s">
        <v>298</v>
      </c>
      <c r="AB543" s="6" t="s">
        <v>240</v>
      </c>
      <c r="AE543" s="6" t="s">
        <v>299</v>
      </c>
      <c r="AF543" s="5" t="s">
        <v>248</v>
      </c>
      <c r="AG543" s="5" t="s">
        <v>249</v>
      </c>
      <c r="AW543" s="5" t="s">
        <v>251</v>
      </c>
      <c r="AX543" s="5" t="s">
        <v>240</v>
      </c>
      <c r="AY543" s="5" t="s">
        <v>253</v>
      </c>
      <c r="AZ543" s="5" t="s">
        <v>240</v>
      </c>
      <c r="BA543" s="5" t="s">
        <v>255</v>
      </c>
      <c r="BB543" s="5" t="s">
        <v>240</v>
      </c>
      <c r="BD543" s="5" t="s">
        <v>240</v>
      </c>
      <c r="BF543" s="5" t="s">
        <v>301</v>
      </c>
      <c r="BG543" s="6" t="s">
        <v>299</v>
      </c>
      <c r="BH543" s="5" t="s">
        <v>302</v>
      </c>
      <c r="BI543" s="5" t="s">
        <v>303</v>
      </c>
      <c r="BJ543" s="5" t="s">
        <v>240</v>
      </c>
      <c r="BK543" s="8">
        <f>0</f>
        <v>0</v>
      </c>
      <c r="BL543" s="7">
        <f>0</f>
        <v>0</v>
      </c>
      <c r="BM543" s="5" t="s">
        <v>258</v>
      </c>
      <c r="BN543" s="5" t="s">
        <v>259</v>
      </c>
      <c r="CB543" s="5" t="s">
        <v>240</v>
      </c>
      <c r="CC543" s="5" t="s">
        <v>240</v>
      </c>
      <c r="CG543" s="5" t="s">
        <v>617</v>
      </c>
      <c r="CH543" s="5" t="s">
        <v>305</v>
      </c>
      <c r="CI543" s="5" t="s">
        <v>240</v>
      </c>
      <c r="CL543" s="6" t="s">
        <v>261</v>
      </c>
      <c r="CM543" s="5" t="s">
        <v>240</v>
      </c>
      <c r="CN543" s="5" t="s">
        <v>263</v>
      </c>
      <c r="CO543" s="5" t="s">
        <v>240</v>
      </c>
      <c r="CP543" s="5" t="s">
        <v>240</v>
      </c>
      <c r="CQ543" s="5">
        <v>0</v>
      </c>
      <c r="CR543" s="5" t="s">
        <v>306</v>
      </c>
      <c r="CS543" s="5" t="s">
        <v>307</v>
      </c>
      <c r="CT543" s="5" t="s">
        <v>307</v>
      </c>
      <c r="CU543" s="5" t="s">
        <v>260</v>
      </c>
      <c r="CX543" s="7">
        <f>1007825</f>
        <v>1007825</v>
      </c>
      <c r="CY543" s="7">
        <f>0</f>
        <v>0</v>
      </c>
      <c r="DA543" s="7">
        <f>0</f>
        <v>0</v>
      </c>
      <c r="DC543" s="5" t="s">
        <v>689</v>
      </c>
      <c r="DD543" s="5" t="s">
        <v>240</v>
      </c>
      <c r="DF543" s="5" t="s">
        <v>1247</v>
      </c>
      <c r="DG543" s="7">
        <f>455</f>
        <v>455</v>
      </c>
      <c r="DI543" s="5" t="s">
        <v>618</v>
      </c>
      <c r="DJ543" s="5" t="s">
        <v>240</v>
      </c>
      <c r="DK543" s="5" t="s">
        <v>240</v>
      </c>
      <c r="DL543" s="5" t="s">
        <v>240</v>
      </c>
      <c r="DP543" s="5" t="s">
        <v>240</v>
      </c>
      <c r="DQ543" s="5" t="s">
        <v>240</v>
      </c>
      <c r="DR543" s="5" t="s">
        <v>240</v>
      </c>
      <c r="DS543" s="5" t="s">
        <v>240</v>
      </c>
      <c r="DV543" s="5" t="s">
        <v>1334</v>
      </c>
      <c r="DW543" s="5" t="s">
        <v>1124</v>
      </c>
      <c r="HO543" s="5" t="s">
        <v>312</v>
      </c>
    </row>
    <row r="544" spans="1:223" x14ac:dyDescent="0.4">
      <c r="A544" s="5">
        <v>1406</v>
      </c>
      <c r="B544" s="5">
        <v>1</v>
      </c>
      <c r="C544" s="5">
        <v>1</v>
      </c>
      <c r="D544" s="5" t="s">
        <v>723</v>
      </c>
      <c r="E544" s="5" t="s">
        <v>725</v>
      </c>
      <c r="F544" s="5" t="s">
        <v>254</v>
      </c>
      <c r="G544" s="5" t="s">
        <v>240</v>
      </c>
      <c r="H544" s="6" t="s">
        <v>1186</v>
      </c>
      <c r="I544" s="5" t="s">
        <v>722</v>
      </c>
      <c r="J544" s="8">
        <f>4456</f>
        <v>4456</v>
      </c>
      <c r="K544" s="5" t="s">
        <v>308</v>
      </c>
      <c r="L544" s="7">
        <f>49016</f>
        <v>49016</v>
      </c>
      <c r="M544" s="7">
        <f>49016</f>
        <v>49016</v>
      </c>
      <c r="N544" s="5" t="s">
        <v>242</v>
      </c>
      <c r="O544" s="5">
        <v>1</v>
      </c>
      <c r="P544" s="5" t="s">
        <v>294</v>
      </c>
      <c r="Q544" s="5" t="s">
        <v>613</v>
      </c>
      <c r="R544" s="5" t="s">
        <v>240</v>
      </c>
      <c r="S544" s="5" t="s">
        <v>240</v>
      </c>
      <c r="T544" s="5" t="s">
        <v>243</v>
      </c>
      <c r="U544" s="5" t="s">
        <v>244</v>
      </c>
      <c r="V544" s="5" t="s">
        <v>240</v>
      </c>
      <c r="Y544" s="5" t="s">
        <v>240</v>
      </c>
      <c r="Z544" s="6" t="s">
        <v>298</v>
      </c>
      <c r="AB544" s="6" t="s">
        <v>240</v>
      </c>
      <c r="AE544" s="6" t="s">
        <v>299</v>
      </c>
      <c r="AF544" s="5" t="s">
        <v>248</v>
      </c>
      <c r="AG544" s="5" t="s">
        <v>249</v>
      </c>
      <c r="AW544" s="5" t="s">
        <v>251</v>
      </c>
      <c r="AX544" s="5" t="s">
        <v>240</v>
      </c>
      <c r="AY544" s="5" t="s">
        <v>253</v>
      </c>
      <c r="AZ544" s="5" t="s">
        <v>240</v>
      </c>
      <c r="BA544" s="5" t="s">
        <v>255</v>
      </c>
      <c r="BB544" s="5" t="s">
        <v>240</v>
      </c>
      <c r="BD544" s="5" t="s">
        <v>240</v>
      </c>
      <c r="BF544" s="5" t="s">
        <v>301</v>
      </c>
      <c r="BG544" s="6" t="s">
        <v>299</v>
      </c>
      <c r="BH544" s="5" t="s">
        <v>302</v>
      </c>
      <c r="BI544" s="5" t="s">
        <v>303</v>
      </c>
      <c r="BJ544" s="5" t="s">
        <v>240</v>
      </c>
      <c r="BK544" s="8">
        <f>0</f>
        <v>0</v>
      </c>
      <c r="BL544" s="7">
        <f>0</f>
        <v>0</v>
      </c>
      <c r="BM544" s="5" t="s">
        <v>258</v>
      </c>
      <c r="BN544" s="5" t="s">
        <v>259</v>
      </c>
      <c r="CB544" s="5" t="s">
        <v>240</v>
      </c>
      <c r="CC544" s="5" t="s">
        <v>240</v>
      </c>
      <c r="CG544" s="5" t="s">
        <v>617</v>
      </c>
      <c r="CH544" s="5" t="s">
        <v>305</v>
      </c>
      <c r="CI544" s="5" t="s">
        <v>240</v>
      </c>
      <c r="CL544" s="6" t="s">
        <v>261</v>
      </c>
      <c r="CM544" s="5" t="s">
        <v>240</v>
      </c>
      <c r="CN544" s="5" t="s">
        <v>263</v>
      </c>
      <c r="CO544" s="5" t="s">
        <v>240</v>
      </c>
      <c r="CP544" s="5" t="s">
        <v>240</v>
      </c>
      <c r="CQ544" s="5">
        <v>0</v>
      </c>
      <c r="CR544" s="5" t="s">
        <v>306</v>
      </c>
      <c r="CS544" s="5" t="s">
        <v>307</v>
      </c>
      <c r="CT544" s="5" t="s">
        <v>307</v>
      </c>
      <c r="CU544" s="5" t="s">
        <v>260</v>
      </c>
      <c r="CX544" s="7">
        <f>1036620</f>
        <v>1036620</v>
      </c>
      <c r="CY544" s="7">
        <f>0</f>
        <v>0</v>
      </c>
      <c r="DA544" s="7">
        <f>0</f>
        <v>0</v>
      </c>
      <c r="DC544" s="5" t="s">
        <v>689</v>
      </c>
      <c r="DD544" s="5" t="s">
        <v>240</v>
      </c>
      <c r="DF544" s="5" t="s">
        <v>1247</v>
      </c>
      <c r="DG544" s="7">
        <f>468</f>
        <v>468</v>
      </c>
      <c r="DI544" s="5" t="s">
        <v>618</v>
      </c>
      <c r="DJ544" s="5" t="s">
        <v>240</v>
      </c>
      <c r="DK544" s="5" t="s">
        <v>240</v>
      </c>
      <c r="DL544" s="5" t="s">
        <v>240</v>
      </c>
      <c r="DP544" s="5" t="s">
        <v>240</v>
      </c>
      <c r="DQ544" s="5" t="s">
        <v>240</v>
      </c>
      <c r="DR544" s="5" t="s">
        <v>240</v>
      </c>
      <c r="DS544" s="5" t="s">
        <v>240</v>
      </c>
      <c r="DV544" s="5" t="s">
        <v>1334</v>
      </c>
      <c r="DW544" s="5" t="s">
        <v>1122</v>
      </c>
      <c r="HO544" s="5" t="s">
        <v>312</v>
      </c>
    </row>
    <row r="545" spans="1:223" x14ac:dyDescent="0.4">
      <c r="A545" s="5">
        <v>1407</v>
      </c>
      <c r="B545" s="5">
        <v>1</v>
      </c>
      <c r="C545" s="5">
        <v>1</v>
      </c>
      <c r="D545" s="5" t="s">
        <v>723</v>
      </c>
      <c r="E545" s="5" t="s">
        <v>725</v>
      </c>
      <c r="F545" s="5" t="s">
        <v>254</v>
      </c>
      <c r="G545" s="5" t="s">
        <v>240</v>
      </c>
      <c r="H545" s="6" t="s">
        <v>1185</v>
      </c>
      <c r="I545" s="5" t="s">
        <v>722</v>
      </c>
      <c r="J545" s="8">
        <f>1731</f>
        <v>1731</v>
      </c>
      <c r="K545" s="5" t="s">
        <v>308</v>
      </c>
      <c r="L545" s="7">
        <f>19041</f>
        <v>19041</v>
      </c>
      <c r="M545" s="7">
        <f>19041</f>
        <v>19041</v>
      </c>
      <c r="N545" s="5" t="s">
        <v>242</v>
      </c>
      <c r="O545" s="5">
        <v>1</v>
      </c>
      <c r="P545" s="5" t="s">
        <v>294</v>
      </c>
      <c r="Q545" s="5" t="s">
        <v>613</v>
      </c>
      <c r="R545" s="5" t="s">
        <v>240</v>
      </c>
      <c r="S545" s="5" t="s">
        <v>240</v>
      </c>
      <c r="T545" s="5" t="s">
        <v>243</v>
      </c>
      <c r="U545" s="5" t="s">
        <v>244</v>
      </c>
      <c r="V545" s="5" t="s">
        <v>240</v>
      </c>
      <c r="Y545" s="5" t="s">
        <v>240</v>
      </c>
      <c r="Z545" s="6" t="s">
        <v>298</v>
      </c>
      <c r="AB545" s="6" t="s">
        <v>240</v>
      </c>
      <c r="AE545" s="6" t="s">
        <v>299</v>
      </c>
      <c r="AF545" s="5" t="s">
        <v>248</v>
      </c>
      <c r="AG545" s="5" t="s">
        <v>249</v>
      </c>
      <c r="AW545" s="5" t="s">
        <v>251</v>
      </c>
      <c r="AX545" s="5" t="s">
        <v>240</v>
      </c>
      <c r="AY545" s="5" t="s">
        <v>253</v>
      </c>
      <c r="AZ545" s="5" t="s">
        <v>240</v>
      </c>
      <c r="BA545" s="5" t="s">
        <v>255</v>
      </c>
      <c r="BB545" s="5" t="s">
        <v>240</v>
      </c>
      <c r="BD545" s="5" t="s">
        <v>240</v>
      </c>
      <c r="BF545" s="5" t="s">
        <v>301</v>
      </c>
      <c r="BG545" s="6" t="s">
        <v>299</v>
      </c>
      <c r="BH545" s="5" t="s">
        <v>302</v>
      </c>
      <c r="BI545" s="5" t="s">
        <v>303</v>
      </c>
      <c r="BJ545" s="5" t="s">
        <v>240</v>
      </c>
      <c r="BK545" s="8">
        <f>0</f>
        <v>0</v>
      </c>
      <c r="BL545" s="7">
        <f>0</f>
        <v>0</v>
      </c>
      <c r="BM545" s="5" t="s">
        <v>258</v>
      </c>
      <c r="BN545" s="5" t="s">
        <v>259</v>
      </c>
      <c r="CB545" s="5" t="s">
        <v>240</v>
      </c>
      <c r="CC545" s="5" t="s">
        <v>240</v>
      </c>
      <c r="CG545" s="5" t="s">
        <v>617</v>
      </c>
      <c r="CH545" s="5" t="s">
        <v>305</v>
      </c>
      <c r="CI545" s="5" t="s">
        <v>240</v>
      </c>
      <c r="CL545" s="6" t="s">
        <v>261</v>
      </c>
      <c r="CM545" s="5" t="s">
        <v>240</v>
      </c>
      <c r="CN545" s="5" t="s">
        <v>263</v>
      </c>
      <c r="CO545" s="5" t="s">
        <v>240</v>
      </c>
      <c r="CP545" s="5" t="s">
        <v>240</v>
      </c>
      <c r="CQ545" s="5">
        <v>0</v>
      </c>
      <c r="CR545" s="5" t="s">
        <v>306</v>
      </c>
      <c r="CS545" s="5" t="s">
        <v>307</v>
      </c>
      <c r="CT545" s="5" t="s">
        <v>307</v>
      </c>
      <c r="CU545" s="5" t="s">
        <v>260</v>
      </c>
      <c r="CX545" s="7">
        <f>1036620</f>
        <v>1036620</v>
      </c>
      <c r="CY545" s="7">
        <f>0</f>
        <v>0</v>
      </c>
      <c r="DA545" s="7">
        <f>0</f>
        <v>0</v>
      </c>
      <c r="DC545" s="5" t="s">
        <v>689</v>
      </c>
      <c r="DD545" s="5" t="s">
        <v>240</v>
      </c>
      <c r="DF545" s="5" t="s">
        <v>1338</v>
      </c>
      <c r="DG545" s="7">
        <f>468</f>
        <v>468</v>
      </c>
      <c r="DI545" s="5" t="s">
        <v>618</v>
      </c>
      <c r="DJ545" s="5" t="s">
        <v>240</v>
      </c>
      <c r="DK545" s="5" t="s">
        <v>240</v>
      </c>
      <c r="DL545" s="5" t="s">
        <v>240</v>
      </c>
      <c r="DP545" s="5" t="s">
        <v>240</v>
      </c>
      <c r="DQ545" s="5" t="s">
        <v>240</v>
      </c>
      <c r="DR545" s="5" t="s">
        <v>240</v>
      </c>
      <c r="DS545" s="5" t="s">
        <v>240</v>
      </c>
      <c r="DV545" s="5" t="s">
        <v>1334</v>
      </c>
      <c r="DW545" s="5" t="s">
        <v>1210</v>
      </c>
      <c r="HO545" s="5" t="s">
        <v>312</v>
      </c>
    </row>
    <row r="546" spans="1:223" x14ac:dyDescent="0.4">
      <c r="A546" s="5">
        <v>1408</v>
      </c>
      <c r="B546" s="5">
        <v>1</v>
      </c>
      <c r="C546" s="5">
        <v>1</v>
      </c>
      <c r="D546" s="5" t="s">
        <v>723</v>
      </c>
      <c r="E546" s="5" t="s">
        <v>725</v>
      </c>
      <c r="F546" s="5" t="s">
        <v>254</v>
      </c>
      <c r="G546" s="5" t="s">
        <v>240</v>
      </c>
      <c r="H546" s="6" t="s">
        <v>1183</v>
      </c>
      <c r="I546" s="5" t="s">
        <v>722</v>
      </c>
      <c r="J546" s="8">
        <f>669</f>
        <v>669</v>
      </c>
      <c r="K546" s="5" t="s">
        <v>308</v>
      </c>
      <c r="L546" s="7">
        <f>7359</f>
        <v>7359</v>
      </c>
      <c r="M546" s="7">
        <f>7359</f>
        <v>7359</v>
      </c>
      <c r="N546" s="5" t="s">
        <v>242</v>
      </c>
      <c r="O546" s="5">
        <v>1</v>
      </c>
      <c r="P546" s="5" t="s">
        <v>294</v>
      </c>
      <c r="Q546" s="5" t="s">
        <v>613</v>
      </c>
      <c r="R546" s="5" t="s">
        <v>240</v>
      </c>
      <c r="S546" s="5" t="s">
        <v>240</v>
      </c>
      <c r="T546" s="5" t="s">
        <v>243</v>
      </c>
      <c r="U546" s="5" t="s">
        <v>244</v>
      </c>
      <c r="V546" s="5" t="s">
        <v>240</v>
      </c>
      <c r="Y546" s="5" t="s">
        <v>240</v>
      </c>
      <c r="Z546" s="6" t="s">
        <v>298</v>
      </c>
      <c r="AB546" s="6" t="s">
        <v>240</v>
      </c>
      <c r="AE546" s="6" t="s">
        <v>299</v>
      </c>
      <c r="AF546" s="5" t="s">
        <v>248</v>
      </c>
      <c r="AG546" s="5" t="s">
        <v>249</v>
      </c>
      <c r="AW546" s="5" t="s">
        <v>251</v>
      </c>
      <c r="AX546" s="5" t="s">
        <v>240</v>
      </c>
      <c r="AY546" s="5" t="s">
        <v>253</v>
      </c>
      <c r="AZ546" s="5" t="s">
        <v>240</v>
      </c>
      <c r="BA546" s="5" t="s">
        <v>255</v>
      </c>
      <c r="BB546" s="5" t="s">
        <v>240</v>
      </c>
      <c r="BD546" s="5" t="s">
        <v>240</v>
      </c>
      <c r="BF546" s="5" t="s">
        <v>301</v>
      </c>
      <c r="BG546" s="6" t="s">
        <v>299</v>
      </c>
      <c r="BH546" s="5" t="s">
        <v>302</v>
      </c>
      <c r="BI546" s="5" t="s">
        <v>303</v>
      </c>
      <c r="BJ546" s="5" t="s">
        <v>240</v>
      </c>
      <c r="BK546" s="8">
        <f>0</f>
        <v>0</v>
      </c>
      <c r="BL546" s="7">
        <f>0</f>
        <v>0</v>
      </c>
      <c r="BM546" s="5" t="s">
        <v>258</v>
      </c>
      <c r="BN546" s="5" t="s">
        <v>259</v>
      </c>
      <c r="CB546" s="5" t="s">
        <v>240</v>
      </c>
      <c r="CC546" s="5" t="s">
        <v>240</v>
      </c>
      <c r="CG546" s="5" t="s">
        <v>617</v>
      </c>
      <c r="CH546" s="5" t="s">
        <v>305</v>
      </c>
      <c r="CI546" s="5" t="s">
        <v>240</v>
      </c>
      <c r="CL546" s="6" t="s">
        <v>261</v>
      </c>
      <c r="CM546" s="5" t="s">
        <v>240</v>
      </c>
      <c r="CN546" s="5" t="s">
        <v>263</v>
      </c>
      <c r="CO546" s="5" t="s">
        <v>240</v>
      </c>
      <c r="CP546" s="5" t="s">
        <v>240</v>
      </c>
      <c r="CQ546" s="5">
        <v>0</v>
      </c>
      <c r="CR546" s="5" t="s">
        <v>306</v>
      </c>
      <c r="CS546" s="5" t="s">
        <v>307</v>
      </c>
      <c r="CT546" s="5" t="s">
        <v>307</v>
      </c>
      <c r="CU546" s="5" t="s">
        <v>260</v>
      </c>
      <c r="CX546" s="7">
        <f>1036620</f>
        <v>1036620</v>
      </c>
      <c r="CY546" s="7">
        <f>0</f>
        <v>0</v>
      </c>
      <c r="DA546" s="7">
        <f>0</f>
        <v>0</v>
      </c>
      <c r="DC546" s="5" t="s">
        <v>689</v>
      </c>
      <c r="DD546" s="5" t="s">
        <v>240</v>
      </c>
      <c r="DF546" s="5" t="s">
        <v>1338</v>
      </c>
      <c r="DG546" s="7">
        <f>468</f>
        <v>468</v>
      </c>
      <c r="DI546" s="5" t="s">
        <v>618</v>
      </c>
      <c r="DJ546" s="5" t="s">
        <v>240</v>
      </c>
      <c r="DK546" s="5" t="s">
        <v>240</v>
      </c>
      <c r="DL546" s="5" t="s">
        <v>240</v>
      </c>
      <c r="DP546" s="5" t="s">
        <v>240</v>
      </c>
      <c r="DQ546" s="5" t="s">
        <v>240</v>
      </c>
      <c r="DR546" s="5" t="s">
        <v>240</v>
      </c>
      <c r="DS546" s="5" t="s">
        <v>240</v>
      </c>
      <c r="DV546" s="5" t="s">
        <v>1334</v>
      </c>
      <c r="DW546" s="5" t="s">
        <v>1212</v>
      </c>
      <c r="HO546" s="5" t="s">
        <v>312</v>
      </c>
    </row>
    <row r="547" spans="1:223" x14ac:dyDescent="0.4">
      <c r="A547" s="5">
        <v>1409</v>
      </c>
      <c r="B547" s="5">
        <v>1</v>
      </c>
      <c r="C547" s="5">
        <v>1</v>
      </c>
      <c r="D547" s="5" t="s">
        <v>723</v>
      </c>
      <c r="E547" s="5" t="s">
        <v>725</v>
      </c>
      <c r="F547" s="5" t="s">
        <v>254</v>
      </c>
      <c r="G547" s="5" t="s">
        <v>240</v>
      </c>
      <c r="H547" s="6" t="s">
        <v>1182</v>
      </c>
      <c r="I547" s="5" t="s">
        <v>722</v>
      </c>
      <c r="J547" s="8">
        <f>7735</f>
        <v>7735</v>
      </c>
      <c r="K547" s="5" t="s">
        <v>308</v>
      </c>
      <c r="L547" s="7">
        <f>85085</f>
        <v>85085</v>
      </c>
      <c r="M547" s="7">
        <f>85085</f>
        <v>85085</v>
      </c>
      <c r="N547" s="5" t="s">
        <v>242</v>
      </c>
      <c r="O547" s="5">
        <v>1</v>
      </c>
      <c r="P547" s="5" t="s">
        <v>294</v>
      </c>
      <c r="Q547" s="5" t="s">
        <v>613</v>
      </c>
      <c r="R547" s="5" t="s">
        <v>240</v>
      </c>
      <c r="S547" s="5" t="s">
        <v>240</v>
      </c>
      <c r="T547" s="5" t="s">
        <v>243</v>
      </c>
      <c r="U547" s="5" t="s">
        <v>244</v>
      </c>
      <c r="V547" s="5" t="s">
        <v>240</v>
      </c>
      <c r="Y547" s="5" t="s">
        <v>240</v>
      </c>
      <c r="Z547" s="6" t="s">
        <v>298</v>
      </c>
      <c r="AB547" s="6" t="s">
        <v>240</v>
      </c>
      <c r="AE547" s="6" t="s">
        <v>299</v>
      </c>
      <c r="AF547" s="5" t="s">
        <v>248</v>
      </c>
      <c r="AG547" s="5" t="s">
        <v>249</v>
      </c>
      <c r="AW547" s="5" t="s">
        <v>251</v>
      </c>
      <c r="AX547" s="5" t="s">
        <v>240</v>
      </c>
      <c r="AY547" s="5" t="s">
        <v>253</v>
      </c>
      <c r="AZ547" s="5" t="s">
        <v>240</v>
      </c>
      <c r="BA547" s="5" t="s">
        <v>255</v>
      </c>
      <c r="BB547" s="5" t="s">
        <v>240</v>
      </c>
      <c r="BD547" s="5" t="s">
        <v>240</v>
      </c>
      <c r="BF547" s="5" t="s">
        <v>301</v>
      </c>
      <c r="BG547" s="6" t="s">
        <v>299</v>
      </c>
      <c r="BH547" s="5" t="s">
        <v>302</v>
      </c>
      <c r="BI547" s="5" t="s">
        <v>303</v>
      </c>
      <c r="BJ547" s="5" t="s">
        <v>240</v>
      </c>
      <c r="BK547" s="8">
        <f>0</f>
        <v>0</v>
      </c>
      <c r="BL547" s="7">
        <f>0</f>
        <v>0</v>
      </c>
      <c r="BM547" s="5" t="s">
        <v>258</v>
      </c>
      <c r="BN547" s="5" t="s">
        <v>259</v>
      </c>
      <c r="CB547" s="5" t="s">
        <v>240</v>
      </c>
      <c r="CC547" s="5" t="s">
        <v>240</v>
      </c>
      <c r="CG547" s="5" t="s">
        <v>617</v>
      </c>
      <c r="CH547" s="5" t="s">
        <v>305</v>
      </c>
      <c r="CI547" s="5" t="s">
        <v>240</v>
      </c>
      <c r="CL547" s="6" t="s">
        <v>261</v>
      </c>
      <c r="CM547" s="5" t="s">
        <v>240</v>
      </c>
      <c r="CN547" s="5" t="s">
        <v>263</v>
      </c>
      <c r="CO547" s="5" t="s">
        <v>240</v>
      </c>
      <c r="CP547" s="5" t="s">
        <v>240</v>
      </c>
      <c r="CQ547" s="5">
        <v>0</v>
      </c>
      <c r="CR547" s="5" t="s">
        <v>306</v>
      </c>
      <c r="CS547" s="5" t="s">
        <v>307</v>
      </c>
      <c r="CT547" s="5" t="s">
        <v>307</v>
      </c>
      <c r="CU547" s="5" t="s">
        <v>260</v>
      </c>
      <c r="CX547" s="7">
        <f>1036620</f>
        <v>1036620</v>
      </c>
      <c r="CY547" s="7">
        <f>0</f>
        <v>0</v>
      </c>
      <c r="DA547" s="7">
        <f>0</f>
        <v>0</v>
      </c>
      <c r="DC547" s="5" t="s">
        <v>689</v>
      </c>
      <c r="DD547" s="5" t="s">
        <v>240</v>
      </c>
      <c r="DF547" s="5" t="s">
        <v>1338</v>
      </c>
      <c r="DG547" s="7">
        <f>468</f>
        <v>468</v>
      </c>
      <c r="DI547" s="5" t="s">
        <v>618</v>
      </c>
      <c r="DJ547" s="5" t="s">
        <v>240</v>
      </c>
      <c r="DK547" s="5" t="s">
        <v>240</v>
      </c>
      <c r="DL547" s="5" t="s">
        <v>240</v>
      </c>
      <c r="DP547" s="5" t="s">
        <v>240</v>
      </c>
      <c r="DQ547" s="5" t="s">
        <v>240</v>
      </c>
      <c r="DR547" s="5" t="s">
        <v>240</v>
      </c>
      <c r="DS547" s="5" t="s">
        <v>240</v>
      </c>
      <c r="DV547" s="5" t="s">
        <v>1334</v>
      </c>
      <c r="DW547" s="5" t="s">
        <v>1214</v>
      </c>
      <c r="HO547" s="5" t="s">
        <v>312</v>
      </c>
    </row>
    <row r="548" spans="1:223" x14ac:dyDescent="0.4">
      <c r="A548" s="5">
        <v>1410</v>
      </c>
      <c r="B548" s="5">
        <v>1</v>
      </c>
      <c r="C548" s="5">
        <v>1</v>
      </c>
      <c r="D548" s="5" t="s">
        <v>723</v>
      </c>
      <c r="E548" s="5" t="s">
        <v>725</v>
      </c>
      <c r="F548" s="5" t="s">
        <v>254</v>
      </c>
      <c r="G548" s="5" t="s">
        <v>240</v>
      </c>
      <c r="H548" s="6" t="s">
        <v>1181</v>
      </c>
      <c r="I548" s="5" t="s">
        <v>722</v>
      </c>
      <c r="J548" s="8">
        <f>313</f>
        <v>313</v>
      </c>
      <c r="K548" s="5" t="s">
        <v>308</v>
      </c>
      <c r="L548" s="7">
        <f>3443</f>
        <v>3443</v>
      </c>
      <c r="M548" s="7">
        <f>3443</f>
        <v>3443</v>
      </c>
      <c r="N548" s="5" t="s">
        <v>242</v>
      </c>
      <c r="O548" s="5">
        <v>1</v>
      </c>
      <c r="P548" s="5" t="s">
        <v>294</v>
      </c>
      <c r="Q548" s="5" t="s">
        <v>613</v>
      </c>
      <c r="R548" s="5" t="s">
        <v>240</v>
      </c>
      <c r="S548" s="5" t="s">
        <v>240</v>
      </c>
      <c r="T548" s="5" t="s">
        <v>243</v>
      </c>
      <c r="U548" s="5" t="s">
        <v>244</v>
      </c>
      <c r="V548" s="5" t="s">
        <v>240</v>
      </c>
      <c r="Y548" s="5" t="s">
        <v>240</v>
      </c>
      <c r="Z548" s="6" t="s">
        <v>298</v>
      </c>
      <c r="AB548" s="6" t="s">
        <v>240</v>
      </c>
      <c r="AE548" s="6" t="s">
        <v>299</v>
      </c>
      <c r="AF548" s="5" t="s">
        <v>248</v>
      </c>
      <c r="AG548" s="5" t="s">
        <v>249</v>
      </c>
      <c r="AW548" s="5" t="s">
        <v>251</v>
      </c>
      <c r="AX548" s="5" t="s">
        <v>240</v>
      </c>
      <c r="AY548" s="5" t="s">
        <v>253</v>
      </c>
      <c r="AZ548" s="5" t="s">
        <v>240</v>
      </c>
      <c r="BA548" s="5" t="s">
        <v>255</v>
      </c>
      <c r="BB548" s="5" t="s">
        <v>240</v>
      </c>
      <c r="BD548" s="5" t="s">
        <v>240</v>
      </c>
      <c r="BF548" s="5" t="s">
        <v>301</v>
      </c>
      <c r="BG548" s="6" t="s">
        <v>299</v>
      </c>
      <c r="BH548" s="5" t="s">
        <v>302</v>
      </c>
      <c r="BI548" s="5" t="s">
        <v>303</v>
      </c>
      <c r="BJ548" s="5" t="s">
        <v>240</v>
      </c>
      <c r="BK548" s="8">
        <f>0</f>
        <v>0</v>
      </c>
      <c r="BL548" s="7">
        <f>0</f>
        <v>0</v>
      </c>
      <c r="BM548" s="5" t="s">
        <v>258</v>
      </c>
      <c r="BN548" s="5" t="s">
        <v>259</v>
      </c>
      <c r="CB548" s="5" t="s">
        <v>240</v>
      </c>
      <c r="CC548" s="5" t="s">
        <v>240</v>
      </c>
      <c r="CG548" s="5" t="s">
        <v>617</v>
      </c>
      <c r="CH548" s="5" t="s">
        <v>305</v>
      </c>
      <c r="CI548" s="5" t="s">
        <v>240</v>
      </c>
      <c r="CL548" s="6" t="s">
        <v>261</v>
      </c>
      <c r="CM548" s="5" t="s">
        <v>240</v>
      </c>
      <c r="CN548" s="5" t="s">
        <v>263</v>
      </c>
      <c r="CO548" s="5" t="s">
        <v>240</v>
      </c>
      <c r="CP548" s="5" t="s">
        <v>240</v>
      </c>
      <c r="CQ548" s="5">
        <v>0</v>
      </c>
      <c r="CR548" s="5" t="s">
        <v>306</v>
      </c>
      <c r="CS548" s="5" t="s">
        <v>307</v>
      </c>
      <c r="CT548" s="5" t="s">
        <v>307</v>
      </c>
      <c r="CU548" s="5" t="s">
        <v>260</v>
      </c>
      <c r="CX548" s="7">
        <f>1069845</f>
        <v>1069845</v>
      </c>
      <c r="CY548" s="7">
        <f>0</f>
        <v>0</v>
      </c>
      <c r="DA548" s="7">
        <f>0</f>
        <v>0</v>
      </c>
      <c r="DC548" s="5" t="s">
        <v>689</v>
      </c>
      <c r="DD548" s="5" t="s">
        <v>240</v>
      </c>
      <c r="DF548" s="5" t="s">
        <v>1338</v>
      </c>
      <c r="DG548" s="7">
        <f>483</f>
        <v>483</v>
      </c>
      <c r="DI548" s="5" t="s">
        <v>618</v>
      </c>
      <c r="DJ548" s="5" t="s">
        <v>240</v>
      </c>
      <c r="DK548" s="5" t="s">
        <v>240</v>
      </c>
      <c r="DL548" s="5" t="s">
        <v>240</v>
      </c>
      <c r="DP548" s="5" t="s">
        <v>240</v>
      </c>
      <c r="DQ548" s="5" t="s">
        <v>240</v>
      </c>
      <c r="DR548" s="5" t="s">
        <v>240</v>
      </c>
      <c r="DS548" s="5" t="s">
        <v>240</v>
      </c>
      <c r="DV548" s="5" t="s">
        <v>1334</v>
      </c>
      <c r="DW548" s="5" t="s">
        <v>1216</v>
      </c>
      <c r="HO548" s="5" t="s">
        <v>312</v>
      </c>
    </row>
    <row r="549" spans="1:223" x14ac:dyDescent="0.4">
      <c r="A549" s="5">
        <v>1411</v>
      </c>
      <c r="B549" s="5">
        <v>1</v>
      </c>
      <c r="C549" s="5">
        <v>1</v>
      </c>
      <c r="D549" s="5" t="s">
        <v>723</v>
      </c>
      <c r="E549" s="5" t="s">
        <v>725</v>
      </c>
      <c r="F549" s="5" t="s">
        <v>254</v>
      </c>
      <c r="G549" s="5" t="s">
        <v>240</v>
      </c>
      <c r="H549" s="6" t="s">
        <v>1180</v>
      </c>
      <c r="I549" s="5" t="s">
        <v>722</v>
      </c>
      <c r="J549" s="8">
        <f>488</f>
        <v>488</v>
      </c>
      <c r="K549" s="5" t="s">
        <v>308</v>
      </c>
      <c r="L549" s="7">
        <f>5368</f>
        <v>5368</v>
      </c>
      <c r="M549" s="7">
        <f>5368</f>
        <v>5368</v>
      </c>
      <c r="N549" s="5" t="s">
        <v>242</v>
      </c>
      <c r="O549" s="5">
        <v>1</v>
      </c>
      <c r="P549" s="5" t="s">
        <v>294</v>
      </c>
      <c r="Q549" s="5" t="s">
        <v>613</v>
      </c>
      <c r="R549" s="5" t="s">
        <v>240</v>
      </c>
      <c r="S549" s="5" t="s">
        <v>240</v>
      </c>
      <c r="T549" s="5" t="s">
        <v>243</v>
      </c>
      <c r="U549" s="5" t="s">
        <v>244</v>
      </c>
      <c r="V549" s="5" t="s">
        <v>240</v>
      </c>
      <c r="Y549" s="5" t="s">
        <v>240</v>
      </c>
      <c r="Z549" s="6" t="s">
        <v>298</v>
      </c>
      <c r="AB549" s="6" t="s">
        <v>240</v>
      </c>
      <c r="AE549" s="6" t="s">
        <v>299</v>
      </c>
      <c r="AF549" s="5" t="s">
        <v>248</v>
      </c>
      <c r="AG549" s="5" t="s">
        <v>249</v>
      </c>
      <c r="AW549" s="5" t="s">
        <v>251</v>
      </c>
      <c r="AX549" s="5" t="s">
        <v>240</v>
      </c>
      <c r="AY549" s="5" t="s">
        <v>253</v>
      </c>
      <c r="AZ549" s="5" t="s">
        <v>240</v>
      </c>
      <c r="BA549" s="5" t="s">
        <v>255</v>
      </c>
      <c r="BB549" s="5" t="s">
        <v>240</v>
      </c>
      <c r="BD549" s="5" t="s">
        <v>240</v>
      </c>
      <c r="BF549" s="5" t="s">
        <v>301</v>
      </c>
      <c r="BG549" s="6" t="s">
        <v>299</v>
      </c>
      <c r="BH549" s="5" t="s">
        <v>302</v>
      </c>
      <c r="BI549" s="5" t="s">
        <v>303</v>
      </c>
      <c r="BJ549" s="5" t="s">
        <v>240</v>
      </c>
      <c r="BK549" s="8">
        <f>0</f>
        <v>0</v>
      </c>
      <c r="BL549" s="7">
        <f>0</f>
        <v>0</v>
      </c>
      <c r="BM549" s="5" t="s">
        <v>258</v>
      </c>
      <c r="BN549" s="5" t="s">
        <v>259</v>
      </c>
      <c r="CB549" s="5" t="s">
        <v>240</v>
      </c>
      <c r="CC549" s="5" t="s">
        <v>240</v>
      </c>
      <c r="CG549" s="5" t="s">
        <v>617</v>
      </c>
      <c r="CH549" s="5" t="s">
        <v>305</v>
      </c>
      <c r="CI549" s="5" t="s">
        <v>240</v>
      </c>
      <c r="CL549" s="6" t="s">
        <v>261</v>
      </c>
      <c r="CM549" s="5" t="s">
        <v>240</v>
      </c>
      <c r="CN549" s="5" t="s">
        <v>263</v>
      </c>
      <c r="CO549" s="5" t="s">
        <v>240</v>
      </c>
      <c r="CP549" s="5" t="s">
        <v>240</v>
      </c>
      <c r="CQ549" s="5">
        <v>0</v>
      </c>
      <c r="CR549" s="5" t="s">
        <v>306</v>
      </c>
      <c r="CS549" s="5" t="s">
        <v>307</v>
      </c>
      <c r="CT549" s="5" t="s">
        <v>307</v>
      </c>
      <c r="CU549" s="5" t="s">
        <v>260</v>
      </c>
      <c r="CX549" s="7">
        <f>2079885</f>
        <v>2079885</v>
      </c>
      <c r="CY549" s="7">
        <f>0</f>
        <v>0</v>
      </c>
      <c r="DA549" s="7">
        <f>0</f>
        <v>0</v>
      </c>
      <c r="DC549" s="5" t="s">
        <v>689</v>
      </c>
      <c r="DD549" s="5" t="s">
        <v>240</v>
      </c>
      <c r="DF549" s="5" t="s">
        <v>1247</v>
      </c>
      <c r="DG549" s="7">
        <f>939</f>
        <v>939</v>
      </c>
      <c r="DI549" s="5" t="s">
        <v>618</v>
      </c>
      <c r="DJ549" s="5" t="s">
        <v>240</v>
      </c>
      <c r="DK549" s="5" t="s">
        <v>240</v>
      </c>
      <c r="DL549" s="5" t="s">
        <v>240</v>
      </c>
      <c r="DP549" s="5" t="s">
        <v>240</v>
      </c>
      <c r="DQ549" s="5" t="s">
        <v>240</v>
      </c>
      <c r="DR549" s="5" t="s">
        <v>240</v>
      </c>
      <c r="DS549" s="5" t="s">
        <v>240</v>
      </c>
      <c r="DV549" s="5" t="s">
        <v>1334</v>
      </c>
      <c r="DW549" s="5" t="s">
        <v>265</v>
      </c>
      <c r="HO549" s="5" t="s">
        <v>312</v>
      </c>
    </row>
    <row r="550" spans="1:223" x14ac:dyDescent="0.4">
      <c r="A550" s="5">
        <v>1412</v>
      </c>
      <c r="B550" s="5">
        <v>1</v>
      </c>
      <c r="C550" s="5">
        <v>1</v>
      </c>
      <c r="D550" s="5" t="s">
        <v>723</v>
      </c>
      <c r="E550" s="5" t="s">
        <v>725</v>
      </c>
      <c r="F550" s="5" t="s">
        <v>254</v>
      </c>
      <c r="G550" s="5" t="s">
        <v>240</v>
      </c>
      <c r="H550" s="6" t="s">
        <v>1179</v>
      </c>
      <c r="I550" s="5" t="s">
        <v>722</v>
      </c>
      <c r="J550" s="8">
        <f>1592</f>
        <v>1592</v>
      </c>
      <c r="K550" s="5" t="s">
        <v>308</v>
      </c>
      <c r="L550" s="7">
        <f>17512</f>
        <v>17512</v>
      </c>
      <c r="M550" s="7">
        <f>17512</f>
        <v>17512</v>
      </c>
      <c r="N550" s="5" t="s">
        <v>242</v>
      </c>
      <c r="O550" s="5">
        <v>1</v>
      </c>
      <c r="P550" s="5" t="s">
        <v>294</v>
      </c>
      <c r="Q550" s="5" t="s">
        <v>613</v>
      </c>
      <c r="R550" s="5" t="s">
        <v>240</v>
      </c>
      <c r="S550" s="5" t="s">
        <v>240</v>
      </c>
      <c r="T550" s="5" t="s">
        <v>243</v>
      </c>
      <c r="U550" s="5" t="s">
        <v>244</v>
      </c>
      <c r="V550" s="5" t="s">
        <v>240</v>
      </c>
      <c r="Y550" s="5" t="s">
        <v>240</v>
      </c>
      <c r="Z550" s="6" t="s">
        <v>298</v>
      </c>
      <c r="AB550" s="6" t="s">
        <v>240</v>
      </c>
      <c r="AE550" s="6" t="s">
        <v>299</v>
      </c>
      <c r="AF550" s="5" t="s">
        <v>248</v>
      </c>
      <c r="AG550" s="5" t="s">
        <v>249</v>
      </c>
      <c r="AW550" s="5" t="s">
        <v>251</v>
      </c>
      <c r="AX550" s="5" t="s">
        <v>240</v>
      </c>
      <c r="AY550" s="5" t="s">
        <v>253</v>
      </c>
      <c r="AZ550" s="5" t="s">
        <v>240</v>
      </c>
      <c r="BA550" s="5" t="s">
        <v>255</v>
      </c>
      <c r="BB550" s="5" t="s">
        <v>240</v>
      </c>
      <c r="BD550" s="5" t="s">
        <v>240</v>
      </c>
      <c r="BF550" s="5" t="s">
        <v>301</v>
      </c>
      <c r="BG550" s="6" t="s">
        <v>299</v>
      </c>
      <c r="BH550" s="5" t="s">
        <v>302</v>
      </c>
      <c r="BI550" s="5" t="s">
        <v>303</v>
      </c>
      <c r="BJ550" s="5" t="s">
        <v>240</v>
      </c>
      <c r="BK550" s="8">
        <f>0</f>
        <v>0</v>
      </c>
      <c r="BL550" s="7">
        <f>0</f>
        <v>0</v>
      </c>
      <c r="BM550" s="5" t="s">
        <v>258</v>
      </c>
      <c r="BN550" s="5" t="s">
        <v>259</v>
      </c>
      <c r="CB550" s="5" t="s">
        <v>240</v>
      </c>
      <c r="CC550" s="5" t="s">
        <v>240</v>
      </c>
      <c r="CG550" s="5" t="s">
        <v>617</v>
      </c>
      <c r="CH550" s="5" t="s">
        <v>305</v>
      </c>
      <c r="CI550" s="5" t="s">
        <v>240</v>
      </c>
      <c r="CL550" s="6" t="s">
        <v>261</v>
      </c>
      <c r="CM550" s="5" t="s">
        <v>240</v>
      </c>
      <c r="CN550" s="5" t="s">
        <v>263</v>
      </c>
      <c r="CO550" s="5" t="s">
        <v>240</v>
      </c>
      <c r="CP550" s="5" t="s">
        <v>240</v>
      </c>
      <c r="CQ550" s="5">
        <v>0</v>
      </c>
      <c r="CR550" s="5" t="s">
        <v>306</v>
      </c>
      <c r="CS550" s="5" t="s">
        <v>307</v>
      </c>
      <c r="CT550" s="5" t="s">
        <v>307</v>
      </c>
      <c r="CU550" s="5" t="s">
        <v>260</v>
      </c>
      <c r="CX550" s="7">
        <f>2044445</f>
        <v>2044445</v>
      </c>
      <c r="CY550" s="7">
        <f>0</f>
        <v>0</v>
      </c>
      <c r="DA550" s="7">
        <f>0</f>
        <v>0</v>
      </c>
      <c r="DC550" s="5" t="s">
        <v>689</v>
      </c>
      <c r="DD550" s="5" t="s">
        <v>240</v>
      </c>
      <c r="DF550" s="5" t="s">
        <v>1247</v>
      </c>
      <c r="DG550" s="7">
        <f>923</f>
        <v>923</v>
      </c>
      <c r="DI550" s="5" t="s">
        <v>618</v>
      </c>
      <c r="DJ550" s="5" t="s">
        <v>240</v>
      </c>
      <c r="DK550" s="5" t="s">
        <v>240</v>
      </c>
      <c r="DL550" s="5" t="s">
        <v>240</v>
      </c>
      <c r="DP550" s="5" t="s">
        <v>240</v>
      </c>
      <c r="DQ550" s="5" t="s">
        <v>240</v>
      </c>
      <c r="DR550" s="5" t="s">
        <v>240</v>
      </c>
      <c r="DS550" s="5" t="s">
        <v>240</v>
      </c>
      <c r="DV550" s="5" t="s">
        <v>1334</v>
      </c>
      <c r="DW550" s="5" t="s">
        <v>1219</v>
      </c>
      <c r="HO550" s="5" t="s">
        <v>312</v>
      </c>
    </row>
    <row r="551" spans="1:223" x14ac:dyDescent="0.4">
      <c r="A551" s="5">
        <v>1413</v>
      </c>
      <c r="B551" s="5">
        <v>1</v>
      </c>
      <c r="C551" s="5">
        <v>1</v>
      </c>
      <c r="D551" s="5" t="s">
        <v>723</v>
      </c>
      <c r="E551" s="5" t="s">
        <v>725</v>
      </c>
      <c r="F551" s="5" t="s">
        <v>254</v>
      </c>
      <c r="G551" s="5" t="s">
        <v>240</v>
      </c>
      <c r="H551" s="6" t="s">
        <v>1178</v>
      </c>
      <c r="I551" s="5" t="s">
        <v>722</v>
      </c>
      <c r="J551" s="8">
        <f>1197</f>
        <v>1197</v>
      </c>
      <c r="K551" s="5" t="s">
        <v>308</v>
      </c>
      <c r="L551" s="7">
        <f>13167</f>
        <v>13167</v>
      </c>
      <c r="M551" s="7">
        <f>13167</f>
        <v>13167</v>
      </c>
      <c r="N551" s="5" t="s">
        <v>242</v>
      </c>
      <c r="O551" s="5">
        <v>1</v>
      </c>
      <c r="P551" s="5" t="s">
        <v>294</v>
      </c>
      <c r="Q551" s="5" t="s">
        <v>613</v>
      </c>
      <c r="R551" s="5" t="s">
        <v>240</v>
      </c>
      <c r="S551" s="5" t="s">
        <v>240</v>
      </c>
      <c r="T551" s="5" t="s">
        <v>243</v>
      </c>
      <c r="U551" s="5" t="s">
        <v>724</v>
      </c>
      <c r="V551" s="5" t="s">
        <v>240</v>
      </c>
      <c r="Y551" s="5" t="s">
        <v>240</v>
      </c>
      <c r="Z551" s="6" t="s">
        <v>298</v>
      </c>
      <c r="AB551" s="6" t="s">
        <v>240</v>
      </c>
      <c r="AE551" s="6" t="s">
        <v>299</v>
      </c>
      <c r="AF551" s="5" t="s">
        <v>248</v>
      </c>
      <c r="AG551" s="5" t="s">
        <v>249</v>
      </c>
      <c r="AW551" s="5" t="s">
        <v>251</v>
      </c>
      <c r="AX551" s="5" t="s">
        <v>240</v>
      </c>
      <c r="AY551" s="5" t="s">
        <v>253</v>
      </c>
      <c r="AZ551" s="5" t="s">
        <v>240</v>
      </c>
      <c r="BA551" s="5" t="s">
        <v>255</v>
      </c>
      <c r="BB551" s="5" t="s">
        <v>240</v>
      </c>
      <c r="BD551" s="5" t="s">
        <v>240</v>
      </c>
      <c r="BF551" s="5" t="s">
        <v>301</v>
      </c>
      <c r="BG551" s="6" t="s">
        <v>299</v>
      </c>
      <c r="BH551" s="5" t="s">
        <v>302</v>
      </c>
      <c r="BI551" s="5" t="s">
        <v>303</v>
      </c>
      <c r="BJ551" s="5" t="s">
        <v>240</v>
      </c>
      <c r="BK551" s="8">
        <f>0</f>
        <v>0</v>
      </c>
      <c r="BL551" s="7">
        <f>0</f>
        <v>0</v>
      </c>
      <c r="BM551" s="5" t="s">
        <v>258</v>
      </c>
      <c r="BN551" s="5" t="s">
        <v>259</v>
      </c>
      <c r="CB551" s="5" t="s">
        <v>240</v>
      </c>
      <c r="CC551" s="5" t="s">
        <v>240</v>
      </c>
      <c r="CG551" s="5" t="s">
        <v>617</v>
      </c>
      <c r="CH551" s="5" t="s">
        <v>305</v>
      </c>
      <c r="CI551" s="5" t="s">
        <v>240</v>
      </c>
      <c r="CL551" s="6" t="s">
        <v>261</v>
      </c>
      <c r="CM551" s="5" t="s">
        <v>240</v>
      </c>
      <c r="CN551" s="5" t="s">
        <v>263</v>
      </c>
      <c r="CO551" s="5" t="s">
        <v>240</v>
      </c>
      <c r="CP551" s="5" t="s">
        <v>240</v>
      </c>
      <c r="CQ551" s="5">
        <v>0</v>
      </c>
      <c r="CR551" s="5" t="s">
        <v>306</v>
      </c>
      <c r="CS551" s="5" t="s">
        <v>307</v>
      </c>
      <c r="CT551" s="5" t="s">
        <v>307</v>
      </c>
      <c r="CU551" s="5" t="s">
        <v>260</v>
      </c>
      <c r="CX551" s="7">
        <f>48367</f>
        <v>48367</v>
      </c>
      <c r="CY551" s="7">
        <f>0</f>
        <v>0</v>
      </c>
      <c r="DA551" s="7">
        <f>0</f>
        <v>0</v>
      </c>
      <c r="DC551" s="5" t="s">
        <v>854</v>
      </c>
      <c r="DD551" s="5" t="s">
        <v>240</v>
      </c>
      <c r="DF551" s="5" t="s">
        <v>450</v>
      </c>
      <c r="DG551" s="7">
        <f>0</f>
        <v>0</v>
      </c>
      <c r="DI551" s="5" t="s">
        <v>737</v>
      </c>
      <c r="DJ551" s="5" t="s">
        <v>240</v>
      </c>
      <c r="DK551" s="5" t="s">
        <v>240</v>
      </c>
      <c r="DL551" s="5" t="s">
        <v>240</v>
      </c>
      <c r="DP551" s="5" t="s">
        <v>240</v>
      </c>
      <c r="DQ551" s="5" t="s">
        <v>240</v>
      </c>
      <c r="DR551" s="5" t="s">
        <v>240</v>
      </c>
      <c r="DS551" s="5" t="s">
        <v>240</v>
      </c>
      <c r="DV551" s="5" t="s">
        <v>957</v>
      </c>
      <c r="DW551" s="5" t="s">
        <v>740</v>
      </c>
      <c r="HO551" s="5" t="s">
        <v>312</v>
      </c>
    </row>
    <row r="552" spans="1:223" x14ac:dyDescent="0.4">
      <c r="A552" s="5">
        <v>1414</v>
      </c>
      <c r="B552" s="5">
        <v>1</v>
      </c>
      <c r="C552" s="5">
        <v>1</v>
      </c>
      <c r="D552" s="5" t="s">
        <v>723</v>
      </c>
      <c r="E552" s="5" t="s">
        <v>725</v>
      </c>
      <c r="F552" s="5" t="s">
        <v>254</v>
      </c>
      <c r="G552" s="5" t="s">
        <v>240</v>
      </c>
      <c r="H552" s="6" t="s">
        <v>1177</v>
      </c>
      <c r="I552" s="5" t="s">
        <v>722</v>
      </c>
      <c r="J552" s="8">
        <f>5579</f>
        <v>5579</v>
      </c>
      <c r="K552" s="5" t="s">
        <v>308</v>
      </c>
      <c r="L552" s="7">
        <f>61369</f>
        <v>61369</v>
      </c>
      <c r="M552" s="7">
        <f>61369</f>
        <v>61369</v>
      </c>
      <c r="N552" s="5" t="s">
        <v>242</v>
      </c>
      <c r="O552" s="5">
        <v>1</v>
      </c>
      <c r="P552" s="5" t="s">
        <v>294</v>
      </c>
      <c r="Q552" s="5" t="s">
        <v>613</v>
      </c>
      <c r="R552" s="5" t="s">
        <v>240</v>
      </c>
      <c r="S552" s="5" t="s">
        <v>240</v>
      </c>
      <c r="T552" s="5" t="s">
        <v>243</v>
      </c>
      <c r="U552" s="5" t="s">
        <v>244</v>
      </c>
      <c r="V552" s="5" t="s">
        <v>240</v>
      </c>
      <c r="Y552" s="5" t="s">
        <v>240</v>
      </c>
      <c r="Z552" s="6" t="s">
        <v>298</v>
      </c>
      <c r="AB552" s="6" t="s">
        <v>240</v>
      </c>
      <c r="AE552" s="6" t="s">
        <v>299</v>
      </c>
      <c r="AF552" s="5" t="s">
        <v>248</v>
      </c>
      <c r="AG552" s="5" t="s">
        <v>249</v>
      </c>
      <c r="AW552" s="5" t="s">
        <v>251</v>
      </c>
      <c r="AX552" s="5" t="s">
        <v>240</v>
      </c>
      <c r="AY552" s="5" t="s">
        <v>253</v>
      </c>
      <c r="AZ552" s="5" t="s">
        <v>240</v>
      </c>
      <c r="BA552" s="5" t="s">
        <v>255</v>
      </c>
      <c r="BB552" s="5" t="s">
        <v>240</v>
      </c>
      <c r="BD552" s="5" t="s">
        <v>240</v>
      </c>
      <c r="BF552" s="5" t="s">
        <v>301</v>
      </c>
      <c r="BG552" s="6" t="s">
        <v>299</v>
      </c>
      <c r="BH552" s="5" t="s">
        <v>302</v>
      </c>
      <c r="BI552" s="5" t="s">
        <v>303</v>
      </c>
      <c r="BJ552" s="5" t="s">
        <v>240</v>
      </c>
      <c r="BK552" s="8">
        <f>0</f>
        <v>0</v>
      </c>
      <c r="BL552" s="7">
        <f>0</f>
        <v>0</v>
      </c>
      <c r="BM552" s="5" t="s">
        <v>258</v>
      </c>
      <c r="BN552" s="5" t="s">
        <v>259</v>
      </c>
      <c r="CB552" s="5" t="s">
        <v>240</v>
      </c>
      <c r="CC552" s="5" t="s">
        <v>240</v>
      </c>
      <c r="CG552" s="5" t="s">
        <v>617</v>
      </c>
      <c r="CH552" s="5" t="s">
        <v>305</v>
      </c>
      <c r="CI552" s="5" t="s">
        <v>240</v>
      </c>
      <c r="CL552" s="6" t="s">
        <v>261</v>
      </c>
      <c r="CM552" s="5" t="s">
        <v>240</v>
      </c>
      <c r="CN552" s="5" t="s">
        <v>263</v>
      </c>
      <c r="CO552" s="5" t="s">
        <v>240</v>
      </c>
      <c r="CP552" s="5" t="s">
        <v>240</v>
      </c>
      <c r="CQ552" s="5">
        <v>0</v>
      </c>
      <c r="CR552" s="5" t="s">
        <v>306</v>
      </c>
      <c r="CS552" s="5" t="s">
        <v>307</v>
      </c>
      <c r="CT552" s="5" t="s">
        <v>307</v>
      </c>
      <c r="CU552" s="5" t="s">
        <v>260</v>
      </c>
      <c r="CX552" s="7">
        <f>979030</f>
        <v>979030</v>
      </c>
      <c r="CY552" s="7">
        <f>0</f>
        <v>0</v>
      </c>
      <c r="DA552" s="7">
        <f>0</f>
        <v>0</v>
      </c>
      <c r="DC552" s="5" t="s">
        <v>689</v>
      </c>
      <c r="DD552" s="5" t="s">
        <v>240</v>
      </c>
      <c r="DF552" s="5" t="s">
        <v>1247</v>
      </c>
      <c r="DG552" s="7">
        <f>442</f>
        <v>442</v>
      </c>
      <c r="DI552" s="5" t="s">
        <v>618</v>
      </c>
      <c r="DJ552" s="5" t="s">
        <v>240</v>
      </c>
      <c r="DK552" s="5" t="s">
        <v>240</v>
      </c>
      <c r="DL552" s="5" t="s">
        <v>240</v>
      </c>
      <c r="DP552" s="5" t="s">
        <v>240</v>
      </c>
      <c r="DQ552" s="5" t="s">
        <v>240</v>
      </c>
      <c r="DR552" s="5" t="s">
        <v>240</v>
      </c>
      <c r="DS552" s="5" t="s">
        <v>240</v>
      </c>
      <c r="DV552" s="5" t="s">
        <v>1334</v>
      </c>
      <c r="DW552" s="5" t="s">
        <v>1221</v>
      </c>
      <c r="HO552" s="5" t="s">
        <v>312</v>
      </c>
    </row>
    <row r="553" spans="1:223" x14ac:dyDescent="0.4">
      <c r="A553" s="5">
        <v>1415</v>
      </c>
      <c r="B553" s="5">
        <v>1</v>
      </c>
      <c r="C553" s="5">
        <v>1</v>
      </c>
      <c r="D553" s="5" t="s">
        <v>723</v>
      </c>
      <c r="E553" s="5" t="s">
        <v>725</v>
      </c>
      <c r="F553" s="5" t="s">
        <v>254</v>
      </c>
      <c r="G553" s="5" t="s">
        <v>240</v>
      </c>
      <c r="H553" s="6" t="s">
        <v>1176</v>
      </c>
      <c r="I553" s="5" t="s">
        <v>722</v>
      </c>
      <c r="J553" s="8">
        <f>897</f>
        <v>897</v>
      </c>
      <c r="K553" s="5" t="s">
        <v>308</v>
      </c>
      <c r="L553" s="7">
        <f>9867</f>
        <v>9867</v>
      </c>
      <c r="M553" s="7">
        <f>9867</f>
        <v>9867</v>
      </c>
      <c r="N553" s="5" t="s">
        <v>242</v>
      </c>
      <c r="O553" s="5">
        <v>1</v>
      </c>
      <c r="P553" s="5" t="s">
        <v>294</v>
      </c>
      <c r="Q553" s="5" t="s">
        <v>613</v>
      </c>
      <c r="R553" s="5" t="s">
        <v>240</v>
      </c>
      <c r="S553" s="5" t="s">
        <v>240</v>
      </c>
      <c r="T553" s="5" t="s">
        <v>243</v>
      </c>
      <c r="U553" s="5" t="s">
        <v>244</v>
      </c>
      <c r="V553" s="5" t="s">
        <v>240</v>
      </c>
      <c r="Y553" s="5" t="s">
        <v>240</v>
      </c>
      <c r="Z553" s="6" t="s">
        <v>298</v>
      </c>
      <c r="AB553" s="6" t="s">
        <v>240</v>
      </c>
      <c r="AE553" s="6" t="s">
        <v>299</v>
      </c>
      <c r="AF553" s="5" t="s">
        <v>248</v>
      </c>
      <c r="AG553" s="5" t="s">
        <v>249</v>
      </c>
      <c r="AW553" s="5" t="s">
        <v>251</v>
      </c>
      <c r="AX553" s="5" t="s">
        <v>240</v>
      </c>
      <c r="AY553" s="5" t="s">
        <v>253</v>
      </c>
      <c r="AZ553" s="5" t="s">
        <v>240</v>
      </c>
      <c r="BA553" s="5" t="s">
        <v>255</v>
      </c>
      <c r="BB553" s="5" t="s">
        <v>240</v>
      </c>
      <c r="BD553" s="5" t="s">
        <v>240</v>
      </c>
      <c r="BF553" s="5" t="s">
        <v>301</v>
      </c>
      <c r="BG553" s="6" t="s">
        <v>299</v>
      </c>
      <c r="BH553" s="5" t="s">
        <v>302</v>
      </c>
      <c r="BI553" s="5" t="s">
        <v>303</v>
      </c>
      <c r="BJ553" s="5" t="s">
        <v>240</v>
      </c>
      <c r="BK553" s="8">
        <f>0</f>
        <v>0</v>
      </c>
      <c r="BL553" s="7">
        <f>0</f>
        <v>0</v>
      </c>
      <c r="BM553" s="5" t="s">
        <v>258</v>
      </c>
      <c r="BN553" s="5" t="s">
        <v>259</v>
      </c>
      <c r="CB553" s="5" t="s">
        <v>240</v>
      </c>
      <c r="CC553" s="5" t="s">
        <v>240</v>
      </c>
      <c r="CG553" s="5" t="s">
        <v>617</v>
      </c>
      <c r="CH553" s="5" t="s">
        <v>305</v>
      </c>
      <c r="CI553" s="5" t="s">
        <v>240</v>
      </c>
      <c r="CL553" s="6" t="s">
        <v>261</v>
      </c>
      <c r="CM553" s="5" t="s">
        <v>240</v>
      </c>
      <c r="CN553" s="5" t="s">
        <v>263</v>
      </c>
      <c r="CO553" s="5" t="s">
        <v>240</v>
      </c>
      <c r="CP553" s="5" t="s">
        <v>240</v>
      </c>
      <c r="CQ553" s="5">
        <v>0</v>
      </c>
      <c r="CR553" s="5" t="s">
        <v>306</v>
      </c>
      <c r="CS553" s="5" t="s">
        <v>307</v>
      </c>
      <c r="CT553" s="5" t="s">
        <v>307</v>
      </c>
      <c r="CU553" s="5" t="s">
        <v>260</v>
      </c>
      <c r="CX553" s="7">
        <f>1127435</f>
        <v>1127435</v>
      </c>
      <c r="CY553" s="7">
        <f>0</f>
        <v>0</v>
      </c>
      <c r="DA553" s="7">
        <f>0</f>
        <v>0</v>
      </c>
      <c r="DC553" s="5" t="s">
        <v>689</v>
      </c>
      <c r="DD553" s="5" t="s">
        <v>240</v>
      </c>
      <c r="DF553" s="5" t="s">
        <v>1338</v>
      </c>
      <c r="DG553" s="7">
        <f>509</f>
        <v>509</v>
      </c>
      <c r="DI553" s="5" t="s">
        <v>618</v>
      </c>
      <c r="DJ553" s="5" t="s">
        <v>240</v>
      </c>
      <c r="DK553" s="5" t="s">
        <v>240</v>
      </c>
      <c r="DL553" s="5" t="s">
        <v>240</v>
      </c>
      <c r="DP553" s="5" t="s">
        <v>240</v>
      </c>
      <c r="DQ553" s="5" t="s">
        <v>240</v>
      </c>
      <c r="DR553" s="5" t="s">
        <v>240</v>
      </c>
      <c r="DS553" s="5" t="s">
        <v>240</v>
      </c>
      <c r="DV553" s="5" t="s">
        <v>1334</v>
      </c>
      <c r="DW553" s="5" t="s">
        <v>1223</v>
      </c>
      <c r="HO553" s="5" t="s">
        <v>312</v>
      </c>
    </row>
    <row r="554" spans="1:223" x14ac:dyDescent="0.4">
      <c r="A554" s="5">
        <v>1416</v>
      </c>
      <c r="B554" s="5">
        <v>1</v>
      </c>
      <c r="C554" s="5">
        <v>1</v>
      </c>
      <c r="D554" s="5" t="s">
        <v>723</v>
      </c>
      <c r="E554" s="5" t="s">
        <v>725</v>
      </c>
      <c r="F554" s="5" t="s">
        <v>254</v>
      </c>
      <c r="G554" s="5" t="s">
        <v>240</v>
      </c>
      <c r="H554" s="6" t="s">
        <v>1175</v>
      </c>
      <c r="I554" s="5" t="s">
        <v>722</v>
      </c>
      <c r="J554" s="8">
        <f>2173</f>
        <v>2173</v>
      </c>
      <c r="K554" s="5" t="s">
        <v>308</v>
      </c>
      <c r="L554" s="7">
        <f>23903</f>
        <v>23903</v>
      </c>
      <c r="M554" s="7">
        <f>23903</f>
        <v>23903</v>
      </c>
      <c r="N554" s="5" t="s">
        <v>242</v>
      </c>
      <c r="O554" s="5">
        <v>1</v>
      </c>
      <c r="P554" s="5" t="s">
        <v>294</v>
      </c>
      <c r="Q554" s="5" t="s">
        <v>613</v>
      </c>
      <c r="R554" s="5" t="s">
        <v>240</v>
      </c>
      <c r="S554" s="5" t="s">
        <v>240</v>
      </c>
      <c r="T554" s="5" t="s">
        <v>243</v>
      </c>
      <c r="U554" s="5" t="s">
        <v>244</v>
      </c>
      <c r="V554" s="5" t="s">
        <v>240</v>
      </c>
      <c r="Y554" s="5" t="s">
        <v>240</v>
      </c>
      <c r="Z554" s="6" t="s">
        <v>298</v>
      </c>
      <c r="AB554" s="6" t="s">
        <v>240</v>
      </c>
      <c r="AE554" s="6" t="s">
        <v>299</v>
      </c>
      <c r="AF554" s="5" t="s">
        <v>248</v>
      </c>
      <c r="AG554" s="5" t="s">
        <v>249</v>
      </c>
      <c r="AW554" s="5" t="s">
        <v>251</v>
      </c>
      <c r="AX554" s="5" t="s">
        <v>240</v>
      </c>
      <c r="AY554" s="5" t="s">
        <v>253</v>
      </c>
      <c r="AZ554" s="5" t="s">
        <v>240</v>
      </c>
      <c r="BA554" s="5" t="s">
        <v>255</v>
      </c>
      <c r="BB554" s="5" t="s">
        <v>240</v>
      </c>
      <c r="BD554" s="5" t="s">
        <v>240</v>
      </c>
      <c r="BF554" s="5" t="s">
        <v>301</v>
      </c>
      <c r="BG554" s="6" t="s">
        <v>299</v>
      </c>
      <c r="BH554" s="5" t="s">
        <v>302</v>
      </c>
      <c r="BI554" s="5" t="s">
        <v>303</v>
      </c>
      <c r="BJ554" s="5" t="s">
        <v>240</v>
      </c>
      <c r="BK554" s="8">
        <f>0</f>
        <v>0</v>
      </c>
      <c r="BL554" s="7">
        <f>0</f>
        <v>0</v>
      </c>
      <c r="BM554" s="5" t="s">
        <v>258</v>
      </c>
      <c r="BN554" s="5" t="s">
        <v>259</v>
      </c>
      <c r="CB554" s="5" t="s">
        <v>240</v>
      </c>
      <c r="CC554" s="5" t="s">
        <v>240</v>
      </c>
      <c r="CG554" s="5" t="s">
        <v>617</v>
      </c>
      <c r="CH554" s="5" t="s">
        <v>305</v>
      </c>
      <c r="CI554" s="5" t="s">
        <v>240</v>
      </c>
      <c r="CL554" s="6" t="s">
        <v>261</v>
      </c>
      <c r="CM554" s="5" t="s">
        <v>240</v>
      </c>
      <c r="CN554" s="5" t="s">
        <v>263</v>
      </c>
      <c r="CO554" s="5" t="s">
        <v>240</v>
      </c>
      <c r="CP554" s="5" t="s">
        <v>240</v>
      </c>
      <c r="CQ554" s="5">
        <v>0</v>
      </c>
      <c r="CR554" s="5" t="s">
        <v>306</v>
      </c>
      <c r="CS554" s="5" t="s">
        <v>307</v>
      </c>
      <c r="CT554" s="5" t="s">
        <v>307</v>
      </c>
      <c r="CU554" s="5" t="s">
        <v>260</v>
      </c>
      <c r="CX554" s="7">
        <f>2079885</f>
        <v>2079885</v>
      </c>
      <c r="CY554" s="7">
        <f>0</f>
        <v>0</v>
      </c>
      <c r="DA554" s="7">
        <f>0</f>
        <v>0</v>
      </c>
      <c r="DC554" s="5" t="s">
        <v>689</v>
      </c>
      <c r="DD554" s="5" t="s">
        <v>240</v>
      </c>
      <c r="DF554" s="5" t="s">
        <v>1247</v>
      </c>
      <c r="DG554" s="7">
        <f>939</f>
        <v>939</v>
      </c>
      <c r="DI554" s="5" t="s">
        <v>618</v>
      </c>
      <c r="DJ554" s="5" t="s">
        <v>240</v>
      </c>
      <c r="DK554" s="5" t="s">
        <v>240</v>
      </c>
      <c r="DL554" s="5" t="s">
        <v>240</v>
      </c>
      <c r="DP554" s="5" t="s">
        <v>240</v>
      </c>
      <c r="DQ554" s="5" t="s">
        <v>240</v>
      </c>
      <c r="DR554" s="5" t="s">
        <v>240</v>
      </c>
      <c r="DS554" s="5" t="s">
        <v>240</v>
      </c>
      <c r="DV554" s="5" t="s">
        <v>1334</v>
      </c>
      <c r="DW554" s="5" t="s">
        <v>1225</v>
      </c>
      <c r="HO554" s="5" t="s">
        <v>312</v>
      </c>
    </row>
    <row r="555" spans="1:223" x14ac:dyDescent="0.4">
      <c r="A555" s="5">
        <v>1417</v>
      </c>
      <c r="B555" s="5">
        <v>1</v>
      </c>
      <c r="C555" s="5">
        <v>1</v>
      </c>
      <c r="D555" s="5" t="s">
        <v>723</v>
      </c>
      <c r="E555" s="5" t="s">
        <v>725</v>
      </c>
      <c r="F555" s="5" t="s">
        <v>254</v>
      </c>
      <c r="G555" s="5" t="s">
        <v>240</v>
      </c>
      <c r="H555" s="6" t="s">
        <v>1174</v>
      </c>
      <c r="I555" s="5" t="s">
        <v>722</v>
      </c>
      <c r="J555" s="8">
        <f>1321</f>
        <v>1321</v>
      </c>
      <c r="K555" s="5" t="s">
        <v>308</v>
      </c>
      <c r="L555" s="7">
        <f>14531</f>
        <v>14531</v>
      </c>
      <c r="M555" s="7">
        <f>14531</f>
        <v>14531</v>
      </c>
      <c r="N555" s="5" t="s">
        <v>242</v>
      </c>
      <c r="O555" s="5">
        <v>1</v>
      </c>
      <c r="P555" s="5" t="s">
        <v>294</v>
      </c>
      <c r="Q555" s="5" t="s">
        <v>613</v>
      </c>
      <c r="R555" s="5" t="s">
        <v>240</v>
      </c>
      <c r="S555" s="5" t="s">
        <v>240</v>
      </c>
      <c r="T555" s="5" t="s">
        <v>243</v>
      </c>
      <c r="U555" s="5" t="s">
        <v>244</v>
      </c>
      <c r="V555" s="5" t="s">
        <v>240</v>
      </c>
      <c r="Y555" s="5" t="s">
        <v>240</v>
      </c>
      <c r="Z555" s="6" t="s">
        <v>298</v>
      </c>
      <c r="AB555" s="6" t="s">
        <v>240</v>
      </c>
      <c r="AE555" s="6" t="s">
        <v>299</v>
      </c>
      <c r="AF555" s="5" t="s">
        <v>248</v>
      </c>
      <c r="AG555" s="5" t="s">
        <v>249</v>
      </c>
      <c r="AW555" s="5" t="s">
        <v>251</v>
      </c>
      <c r="AX555" s="5" t="s">
        <v>240</v>
      </c>
      <c r="AY555" s="5" t="s">
        <v>253</v>
      </c>
      <c r="AZ555" s="5" t="s">
        <v>240</v>
      </c>
      <c r="BA555" s="5" t="s">
        <v>255</v>
      </c>
      <c r="BB555" s="5" t="s">
        <v>240</v>
      </c>
      <c r="BD555" s="5" t="s">
        <v>240</v>
      </c>
      <c r="BF555" s="5" t="s">
        <v>301</v>
      </c>
      <c r="BG555" s="6" t="s">
        <v>299</v>
      </c>
      <c r="BH555" s="5" t="s">
        <v>302</v>
      </c>
      <c r="BI555" s="5" t="s">
        <v>303</v>
      </c>
      <c r="BJ555" s="5" t="s">
        <v>240</v>
      </c>
      <c r="BK555" s="8">
        <f>0</f>
        <v>0</v>
      </c>
      <c r="BL555" s="7">
        <f>0</f>
        <v>0</v>
      </c>
      <c r="BM555" s="5" t="s">
        <v>258</v>
      </c>
      <c r="BN555" s="5" t="s">
        <v>259</v>
      </c>
      <c r="CB555" s="5" t="s">
        <v>240</v>
      </c>
      <c r="CC555" s="5" t="s">
        <v>240</v>
      </c>
      <c r="CG555" s="5" t="s">
        <v>617</v>
      </c>
      <c r="CH555" s="5" t="s">
        <v>305</v>
      </c>
      <c r="CI555" s="5" t="s">
        <v>240</v>
      </c>
      <c r="CL555" s="6" t="s">
        <v>261</v>
      </c>
      <c r="CM555" s="5" t="s">
        <v>240</v>
      </c>
      <c r="CN555" s="5" t="s">
        <v>263</v>
      </c>
      <c r="CO555" s="5" t="s">
        <v>240</v>
      </c>
      <c r="CP555" s="5" t="s">
        <v>240</v>
      </c>
      <c r="CQ555" s="5">
        <v>0</v>
      </c>
      <c r="CR555" s="5" t="s">
        <v>306</v>
      </c>
      <c r="CS555" s="5" t="s">
        <v>307</v>
      </c>
      <c r="CT555" s="5" t="s">
        <v>307</v>
      </c>
      <c r="CU555" s="5" t="s">
        <v>260</v>
      </c>
      <c r="CX555" s="7">
        <f>2079885</f>
        <v>2079885</v>
      </c>
      <c r="CY555" s="7">
        <f>0</f>
        <v>0</v>
      </c>
      <c r="DA555" s="7">
        <f>0</f>
        <v>0</v>
      </c>
      <c r="DC555" s="5" t="s">
        <v>689</v>
      </c>
      <c r="DD555" s="5" t="s">
        <v>240</v>
      </c>
      <c r="DF555" s="5" t="s">
        <v>1247</v>
      </c>
      <c r="DG555" s="7">
        <f>939</f>
        <v>939</v>
      </c>
      <c r="DI555" s="5" t="s">
        <v>618</v>
      </c>
      <c r="DJ555" s="5" t="s">
        <v>240</v>
      </c>
      <c r="DK555" s="5" t="s">
        <v>240</v>
      </c>
      <c r="DL555" s="5" t="s">
        <v>240</v>
      </c>
      <c r="DP555" s="5" t="s">
        <v>240</v>
      </c>
      <c r="DQ555" s="5" t="s">
        <v>240</v>
      </c>
      <c r="DR555" s="5" t="s">
        <v>240</v>
      </c>
      <c r="DS555" s="5" t="s">
        <v>240</v>
      </c>
      <c r="DV555" s="5" t="s">
        <v>1334</v>
      </c>
      <c r="DW555" s="5" t="s">
        <v>1227</v>
      </c>
      <c r="HO555" s="5" t="s">
        <v>312</v>
      </c>
    </row>
    <row r="556" spans="1:223" x14ac:dyDescent="0.4">
      <c r="A556" s="5">
        <v>1418</v>
      </c>
      <c r="B556" s="5">
        <v>1</v>
      </c>
      <c r="C556" s="5">
        <v>1</v>
      </c>
      <c r="D556" s="5" t="s">
        <v>723</v>
      </c>
      <c r="E556" s="5" t="s">
        <v>725</v>
      </c>
      <c r="F556" s="5" t="s">
        <v>254</v>
      </c>
      <c r="G556" s="5" t="s">
        <v>240</v>
      </c>
      <c r="H556" s="6" t="s">
        <v>1173</v>
      </c>
      <c r="I556" s="5" t="s">
        <v>722</v>
      </c>
      <c r="J556" s="8">
        <f>3638</f>
        <v>3638</v>
      </c>
      <c r="K556" s="5" t="s">
        <v>308</v>
      </c>
      <c r="L556" s="7">
        <f>40018</f>
        <v>40018</v>
      </c>
      <c r="M556" s="7">
        <f>40018</f>
        <v>40018</v>
      </c>
      <c r="N556" s="5" t="s">
        <v>242</v>
      </c>
      <c r="O556" s="5">
        <v>1</v>
      </c>
      <c r="P556" s="5" t="s">
        <v>294</v>
      </c>
      <c r="Q556" s="5" t="s">
        <v>613</v>
      </c>
      <c r="R556" s="5" t="s">
        <v>240</v>
      </c>
      <c r="S556" s="5" t="s">
        <v>240</v>
      </c>
      <c r="T556" s="5" t="s">
        <v>243</v>
      </c>
      <c r="U556" s="5" t="s">
        <v>244</v>
      </c>
      <c r="V556" s="5" t="s">
        <v>240</v>
      </c>
      <c r="Y556" s="5" t="s">
        <v>240</v>
      </c>
      <c r="Z556" s="6" t="s">
        <v>298</v>
      </c>
      <c r="AB556" s="6" t="s">
        <v>240</v>
      </c>
      <c r="AE556" s="6" t="s">
        <v>299</v>
      </c>
      <c r="AF556" s="5" t="s">
        <v>248</v>
      </c>
      <c r="AG556" s="5" t="s">
        <v>249</v>
      </c>
      <c r="AW556" s="5" t="s">
        <v>251</v>
      </c>
      <c r="AX556" s="5" t="s">
        <v>240</v>
      </c>
      <c r="AY556" s="5" t="s">
        <v>253</v>
      </c>
      <c r="AZ556" s="5" t="s">
        <v>240</v>
      </c>
      <c r="BA556" s="5" t="s">
        <v>255</v>
      </c>
      <c r="BB556" s="5" t="s">
        <v>240</v>
      </c>
      <c r="BD556" s="5" t="s">
        <v>240</v>
      </c>
      <c r="BF556" s="5" t="s">
        <v>301</v>
      </c>
      <c r="BG556" s="6" t="s">
        <v>299</v>
      </c>
      <c r="BH556" s="5" t="s">
        <v>302</v>
      </c>
      <c r="BI556" s="5" t="s">
        <v>303</v>
      </c>
      <c r="BJ556" s="5" t="s">
        <v>240</v>
      </c>
      <c r="BK556" s="8">
        <f>0</f>
        <v>0</v>
      </c>
      <c r="BL556" s="7">
        <f>0</f>
        <v>0</v>
      </c>
      <c r="BM556" s="5" t="s">
        <v>258</v>
      </c>
      <c r="BN556" s="5" t="s">
        <v>259</v>
      </c>
      <c r="CB556" s="5" t="s">
        <v>240</v>
      </c>
      <c r="CC556" s="5" t="s">
        <v>240</v>
      </c>
      <c r="CG556" s="5" t="s">
        <v>617</v>
      </c>
      <c r="CH556" s="5" t="s">
        <v>305</v>
      </c>
      <c r="CI556" s="5" t="s">
        <v>240</v>
      </c>
      <c r="CL556" s="6" t="s">
        <v>261</v>
      </c>
      <c r="CM556" s="5" t="s">
        <v>240</v>
      </c>
      <c r="CN556" s="5" t="s">
        <v>263</v>
      </c>
      <c r="CO556" s="5" t="s">
        <v>240</v>
      </c>
      <c r="CP556" s="5" t="s">
        <v>240</v>
      </c>
      <c r="CQ556" s="5">
        <v>0</v>
      </c>
      <c r="CR556" s="5" t="s">
        <v>306</v>
      </c>
      <c r="CS556" s="5" t="s">
        <v>307</v>
      </c>
      <c r="CT556" s="5" t="s">
        <v>307</v>
      </c>
      <c r="CU556" s="5" t="s">
        <v>260</v>
      </c>
      <c r="CX556" s="7">
        <f>2079885</f>
        <v>2079885</v>
      </c>
      <c r="CY556" s="7">
        <f>0</f>
        <v>0</v>
      </c>
      <c r="DA556" s="7">
        <f>0</f>
        <v>0</v>
      </c>
      <c r="DC556" s="5" t="s">
        <v>689</v>
      </c>
      <c r="DD556" s="5" t="s">
        <v>240</v>
      </c>
      <c r="DF556" s="5" t="s">
        <v>1247</v>
      </c>
      <c r="DG556" s="7">
        <f>939</f>
        <v>939</v>
      </c>
      <c r="DI556" s="5" t="s">
        <v>618</v>
      </c>
      <c r="DJ556" s="5" t="s">
        <v>240</v>
      </c>
      <c r="DK556" s="5" t="s">
        <v>240</v>
      </c>
      <c r="DL556" s="5" t="s">
        <v>240</v>
      </c>
      <c r="DP556" s="5" t="s">
        <v>240</v>
      </c>
      <c r="DQ556" s="5" t="s">
        <v>240</v>
      </c>
      <c r="DR556" s="5" t="s">
        <v>240</v>
      </c>
      <c r="DS556" s="5" t="s">
        <v>240</v>
      </c>
      <c r="DV556" s="5" t="s">
        <v>1334</v>
      </c>
      <c r="DW556" s="5" t="s">
        <v>1229</v>
      </c>
      <c r="HO556" s="5" t="s">
        <v>312</v>
      </c>
    </row>
    <row r="557" spans="1:223" x14ac:dyDescent="0.4">
      <c r="A557" s="5">
        <v>1419</v>
      </c>
      <c r="B557" s="5">
        <v>1</v>
      </c>
      <c r="C557" s="5">
        <v>1</v>
      </c>
      <c r="D557" s="5" t="s">
        <v>723</v>
      </c>
      <c r="E557" s="5" t="s">
        <v>725</v>
      </c>
      <c r="F557" s="5" t="s">
        <v>254</v>
      </c>
      <c r="G557" s="5" t="s">
        <v>240</v>
      </c>
      <c r="H557" s="6" t="s">
        <v>1172</v>
      </c>
      <c r="I557" s="5" t="s">
        <v>722</v>
      </c>
      <c r="J557" s="8">
        <f>1885</f>
        <v>1885</v>
      </c>
      <c r="K557" s="5" t="s">
        <v>308</v>
      </c>
      <c r="L557" s="7">
        <f>20735</f>
        <v>20735</v>
      </c>
      <c r="M557" s="7">
        <f>20735</f>
        <v>20735</v>
      </c>
      <c r="N557" s="5" t="s">
        <v>242</v>
      </c>
      <c r="O557" s="5">
        <v>1</v>
      </c>
      <c r="P557" s="5" t="s">
        <v>294</v>
      </c>
      <c r="Q557" s="5" t="s">
        <v>613</v>
      </c>
      <c r="R557" s="5" t="s">
        <v>240</v>
      </c>
      <c r="S557" s="5" t="s">
        <v>240</v>
      </c>
      <c r="T557" s="5" t="s">
        <v>243</v>
      </c>
      <c r="U557" s="5" t="s">
        <v>244</v>
      </c>
      <c r="V557" s="5" t="s">
        <v>240</v>
      </c>
      <c r="Y557" s="5" t="s">
        <v>240</v>
      </c>
      <c r="Z557" s="6" t="s">
        <v>298</v>
      </c>
      <c r="AB557" s="6" t="s">
        <v>240</v>
      </c>
      <c r="AE557" s="6" t="s">
        <v>299</v>
      </c>
      <c r="AF557" s="5" t="s">
        <v>248</v>
      </c>
      <c r="AG557" s="5" t="s">
        <v>249</v>
      </c>
      <c r="AW557" s="5" t="s">
        <v>251</v>
      </c>
      <c r="AX557" s="5" t="s">
        <v>240</v>
      </c>
      <c r="AY557" s="5" t="s">
        <v>253</v>
      </c>
      <c r="AZ557" s="5" t="s">
        <v>240</v>
      </c>
      <c r="BA557" s="5" t="s">
        <v>255</v>
      </c>
      <c r="BB557" s="5" t="s">
        <v>240</v>
      </c>
      <c r="BD557" s="5" t="s">
        <v>240</v>
      </c>
      <c r="BF557" s="5" t="s">
        <v>301</v>
      </c>
      <c r="BG557" s="6" t="s">
        <v>299</v>
      </c>
      <c r="BH557" s="5" t="s">
        <v>302</v>
      </c>
      <c r="BI557" s="5" t="s">
        <v>303</v>
      </c>
      <c r="BJ557" s="5" t="s">
        <v>240</v>
      </c>
      <c r="BK557" s="8">
        <f>0</f>
        <v>0</v>
      </c>
      <c r="BL557" s="7">
        <f>0</f>
        <v>0</v>
      </c>
      <c r="BM557" s="5" t="s">
        <v>258</v>
      </c>
      <c r="BN557" s="5" t="s">
        <v>259</v>
      </c>
      <c r="CB557" s="5" t="s">
        <v>240</v>
      </c>
      <c r="CC557" s="5" t="s">
        <v>240</v>
      </c>
      <c r="CG557" s="5" t="s">
        <v>617</v>
      </c>
      <c r="CH557" s="5" t="s">
        <v>305</v>
      </c>
      <c r="CI557" s="5" t="s">
        <v>240</v>
      </c>
      <c r="CL557" s="6" t="s">
        <v>261</v>
      </c>
      <c r="CM557" s="5" t="s">
        <v>240</v>
      </c>
      <c r="CN557" s="5" t="s">
        <v>263</v>
      </c>
      <c r="CO557" s="5" t="s">
        <v>240</v>
      </c>
      <c r="CP557" s="5" t="s">
        <v>240</v>
      </c>
      <c r="CQ557" s="5">
        <v>0</v>
      </c>
      <c r="CR557" s="5" t="s">
        <v>306</v>
      </c>
      <c r="CS557" s="5" t="s">
        <v>307</v>
      </c>
      <c r="CT557" s="5" t="s">
        <v>307</v>
      </c>
      <c r="CU557" s="5" t="s">
        <v>260</v>
      </c>
      <c r="CX557" s="7">
        <f>2079885</f>
        <v>2079885</v>
      </c>
      <c r="CY557" s="7">
        <f>0</f>
        <v>0</v>
      </c>
      <c r="DA557" s="7">
        <f>0</f>
        <v>0</v>
      </c>
      <c r="DC557" s="5" t="s">
        <v>689</v>
      </c>
      <c r="DD557" s="5" t="s">
        <v>240</v>
      </c>
      <c r="DF557" s="5" t="s">
        <v>1247</v>
      </c>
      <c r="DG557" s="7">
        <f>939</f>
        <v>939</v>
      </c>
      <c r="DI557" s="5" t="s">
        <v>618</v>
      </c>
      <c r="DJ557" s="5" t="s">
        <v>240</v>
      </c>
      <c r="DK557" s="5" t="s">
        <v>240</v>
      </c>
      <c r="DL557" s="5" t="s">
        <v>240</v>
      </c>
      <c r="DP557" s="5" t="s">
        <v>240</v>
      </c>
      <c r="DQ557" s="5" t="s">
        <v>240</v>
      </c>
      <c r="DR557" s="5" t="s">
        <v>240</v>
      </c>
      <c r="DS557" s="5" t="s">
        <v>240</v>
      </c>
      <c r="DV557" s="5" t="s">
        <v>1334</v>
      </c>
      <c r="DW557" s="5" t="s">
        <v>697</v>
      </c>
      <c r="HO557" s="5" t="s">
        <v>312</v>
      </c>
    </row>
    <row r="558" spans="1:223" x14ac:dyDescent="0.4">
      <c r="A558" s="5">
        <v>1420</v>
      </c>
      <c r="B558" s="5">
        <v>1</v>
      </c>
      <c r="C558" s="5">
        <v>1</v>
      </c>
      <c r="D558" s="5" t="s">
        <v>723</v>
      </c>
      <c r="E558" s="5" t="s">
        <v>725</v>
      </c>
      <c r="F558" s="5" t="s">
        <v>254</v>
      </c>
      <c r="G558" s="5" t="s">
        <v>240</v>
      </c>
      <c r="H558" s="6" t="s">
        <v>1171</v>
      </c>
      <c r="I558" s="5" t="s">
        <v>722</v>
      </c>
      <c r="J558" s="8">
        <f>617</f>
        <v>617</v>
      </c>
      <c r="K558" s="5" t="s">
        <v>308</v>
      </c>
      <c r="L558" s="7">
        <f>6787</f>
        <v>6787</v>
      </c>
      <c r="M558" s="7">
        <f>6787</f>
        <v>6787</v>
      </c>
      <c r="N558" s="5" t="s">
        <v>242</v>
      </c>
      <c r="O558" s="5">
        <v>1</v>
      </c>
      <c r="P558" s="5" t="s">
        <v>294</v>
      </c>
      <c r="Q558" s="5" t="s">
        <v>613</v>
      </c>
      <c r="R558" s="5" t="s">
        <v>240</v>
      </c>
      <c r="S558" s="5" t="s">
        <v>240</v>
      </c>
      <c r="T558" s="5" t="s">
        <v>243</v>
      </c>
      <c r="U558" s="5" t="s">
        <v>244</v>
      </c>
      <c r="V558" s="5" t="s">
        <v>240</v>
      </c>
      <c r="Y558" s="5" t="s">
        <v>240</v>
      </c>
      <c r="Z558" s="6" t="s">
        <v>298</v>
      </c>
      <c r="AB558" s="6" t="s">
        <v>240</v>
      </c>
      <c r="AE558" s="6" t="s">
        <v>299</v>
      </c>
      <c r="AF558" s="5" t="s">
        <v>248</v>
      </c>
      <c r="AG558" s="5" t="s">
        <v>249</v>
      </c>
      <c r="AW558" s="5" t="s">
        <v>251</v>
      </c>
      <c r="AX558" s="5" t="s">
        <v>240</v>
      </c>
      <c r="AY558" s="5" t="s">
        <v>253</v>
      </c>
      <c r="AZ558" s="5" t="s">
        <v>240</v>
      </c>
      <c r="BA558" s="5" t="s">
        <v>255</v>
      </c>
      <c r="BB558" s="5" t="s">
        <v>240</v>
      </c>
      <c r="BD558" s="5" t="s">
        <v>240</v>
      </c>
      <c r="BF558" s="5" t="s">
        <v>301</v>
      </c>
      <c r="BG558" s="6" t="s">
        <v>299</v>
      </c>
      <c r="BH558" s="5" t="s">
        <v>302</v>
      </c>
      <c r="BI558" s="5" t="s">
        <v>303</v>
      </c>
      <c r="BJ558" s="5" t="s">
        <v>240</v>
      </c>
      <c r="BK558" s="8">
        <f>0</f>
        <v>0</v>
      </c>
      <c r="BL558" s="7">
        <f>0</f>
        <v>0</v>
      </c>
      <c r="BM558" s="5" t="s">
        <v>258</v>
      </c>
      <c r="BN558" s="5" t="s">
        <v>259</v>
      </c>
      <c r="CB558" s="5" t="s">
        <v>240</v>
      </c>
      <c r="CC558" s="5" t="s">
        <v>240</v>
      </c>
      <c r="CG558" s="5" t="s">
        <v>617</v>
      </c>
      <c r="CH558" s="5" t="s">
        <v>305</v>
      </c>
      <c r="CI558" s="5" t="s">
        <v>240</v>
      </c>
      <c r="CL558" s="6" t="s">
        <v>261</v>
      </c>
      <c r="CM558" s="5" t="s">
        <v>240</v>
      </c>
      <c r="CN558" s="5" t="s">
        <v>263</v>
      </c>
      <c r="CO558" s="5" t="s">
        <v>240</v>
      </c>
      <c r="CP558" s="5" t="s">
        <v>240</v>
      </c>
      <c r="CQ558" s="5">
        <v>0</v>
      </c>
      <c r="CR558" s="5" t="s">
        <v>306</v>
      </c>
      <c r="CS558" s="5" t="s">
        <v>307</v>
      </c>
      <c r="CT558" s="5" t="s">
        <v>307</v>
      </c>
      <c r="CU558" s="5" t="s">
        <v>260</v>
      </c>
      <c r="CX558" s="7">
        <f>1678970</f>
        <v>1678970</v>
      </c>
      <c r="CY558" s="7">
        <f>0</f>
        <v>0</v>
      </c>
      <c r="DA558" s="7">
        <f>0</f>
        <v>0</v>
      </c>
      <c r="DC558" s="5" t="s">
        <v>689</v>
      </c>
      <c r="DD558" s="5" t="s">
        <v>240</v>
      </c>
      <c r="DF558" s="5" t="s">
        <v>1247</v>
      </c>
      <c r="DG558" s="7">
        <f>758</f>
        <v>758</v>
      </c>
      <c r="DI558" s="5" t="s">
        <v>618</v>
      </c>
      <c r="DJ558" s="5" t="s">
        <v>240</v>
      </c>
      <c r="DK558" s="5" t="s">
        <v>240</v>
      </c>
      <c r="DL558" s="5" t="s">
        <v>240</v>
      </c>
      <c r="DP558" s="5" t="s">
        <v>240</v>
      </c>
      <c r="DQ558" s="5" t="s">
        <v>240</v>
      </c>
      <c r="DR558" s="5" t="s">
        <v>240</v>
      </c>
      <c r="DS558" s="5" t="s">
        <v>240</v>
      </c>
      <c r="DV558" s="5" t="s">
        <v>1334</v>
      </c>
      <c r="DW558" s="5" t="s">
        <v>699</v>
      </c>
      <c r="HO558" s="5" t="s">
        <v>312</v>
      </c>
    </row>
    <row r="559" spans="1:223" x14ac:dyDescent="0.4">
      <c r="A559" s="5">
        <v>1421</v>
      </c>
      <c r="B559" s="5">
        <v>1</v>
      </c>
      <c r="C559" s="5">
        <v>1</v>
      </c>
      <c r="D559" s="5" t="s">
        <v>723</v>
      </c>
      <c r="E559" s="5" t="s">
        <v>725</v>
      </c>
      <c r="F559" s="5" t="s">
        <v>254</v>
      </c>
      <c r="G559" s="5" t="s">
        <v>240</v>
      </c>
      <c r="H559" s="6" t="s">
        <v>1170</v>
      </c>
      <c r="I559" s="5" t="s">
        <v>722</v>
      </c>
      <c r="J559" s="8">
        <f>1738</f>
        <v>1738</v>
      </c>
      <c r="K559" s="5" t="s">
        <v>308</v>
      </c>
      <c r="L559" s="7">
        <f>19118</f>
        <v>19118</v>
      </c>
      <c r="M559" s="7">
        <f>19118</f>
        <v>19118</v>
      </c>
      <c r="N559" s="5" t="s">
        <v>242</v>
      </c>
      <c r="O559" s="5">
        <v>1</v>
      </c>
      <c r="P559" s="5" t="s">
        <v>294</v>
      </c>
      <c r="Q559" s="5" t="s">
        <v>613</v>
      </c>
      <c r="R559" s="5" t="s">
        <v>240</v>
      </c>
      <c r="S559" s="5" t="s">
        <v>240</v>
      </c>
      <c r="T559" s="5" t="s">
        <v>243</v>
      </c>
      <c r="U559" s="5" t="s">
        <v>244</v>
      </c>
      <c r="V559" s="5" t="s">
        <v>240</v>
      </c>
      <c r="Y559" s="5" t="s">
        <v>240</v>
      </c>
      <c r="Z559" s="6" t="s">
        <v>298</v>
      </c>
      <c r="AB559" s="6" t="s">
        <v>240</v>
      </c>
      <c r="AE559" s="6" t="s">
        <v>299</v>
      </c>
      <c r="AF559" s="5" t="s">
        <v>248</v>
      </c>
      <c r="AG559" s="5" t="s">
        <v>249</v>
      </c>
      <c r="AW559" s="5" t="s">
        <v>251</v>
      </c>
      <c r="AX559" s="5" t="s">
        <v>240</v>
      </c>
      <c r="AY559" s="5" t="s">
        <v>253</v>
      </c>
      <c r="AZ559" s="5" t="s">
        <v>240</v>
      </c>
      <c r="BA559" s="5" t="s">
        <v>255</v>
      </c>
      <c r="BB559" s="5" t="s">
        <v>240</v>
      </c>
      <c r="BD559" s="5" t="s">
        <v>240</v>
      </c>
      <c r="BF559" s="5" t="s">
        <v>301</v>
      </c>
      <c r="BG559" s="6" t="s">
        <v>299</v>
      </c>
      <c r="BH559" s="5" t="s">
        <v>302</v>
      </c>
      <c r="BI559" s="5" t="s">
        <v>303</v>
      </c>
      <c r="BJ559" s="5" t="s">
        <v>240</v>
      </c>
      <c r="BK559" s="8">
        <f>0</f>
        <v>0</v>
      </c>
      <c r="BL559" s="7">
        <f>0</f>
        <v>0</v>
      </c>
      <c r="BM559" s="5" t="s">
        <v>258</v>
      </c>
      <c r="BN559" s="5" t="s">
        <v>259</v>
      </c>
      <c r="CB559" s="5" t="s">
        <v>240</v>
      </c>
      <c r="CC559" s="5" t="s">
        <v>240</v>
      </c>
      <c r="CG559" s="5" t="s">
        <v>617</v>
      </c>
      <c r="CH559" s="5" t="s">
        <v>305</v>
      </c>
      <c r="CI559" s="5" t="s">
        <v>240</v>
      </c>
      <c r="CL559" s="6" t="s">
        <v>261</v>
      </c>
      <c r="CM559" s="5" t="s">
        <v>240</v>
      </c>
      <c r="CN559" s="5" t="s">
        <v>263</v>
      </c>
      <c r="CO559" s="5" t="s">
        <v>240</v>
      </c>
      <c r="CP559" s="5" t="s">
        <v>240</v>
      </c>
      <c r="CQ559" s="5">
        <v>0</v>
      </c>
      <c r="CR559" s="5" t="s">
        <v>306</v>
      </c>
      <c r="CS559" s="5" t="s">
        <v>307</v>
      </c>
      <c r="CT559" s="5" t="s">
        <v>307</v>
      </c>
      <c r="CU559" s="5" t="s">
        <v>260</v>
      </c>
      <c r="CX559" s="7">
        <f>1360010</f>
        <v>1360010</v>
      </c>
      <c r="CY559" s="7">
        <f>0</f>
        <v>0</v>
      </c>
      <c r="DA559" s="7">
        <f>0</f>
        <v>0</v>
      </c>
      <c r="DC559" s="5" t="s">
        <v>689</v>
      </c>
      <c r="DD559" s="5" t="s">
        <v>240</v>
      </c>
      <c r="DF559" s="5" t="s">
        <v>1247</v>
      </c>
      <c r="DG559" s="7">
        <f>614</f>
        <v>614</v>
      </c>
      <c r="DI559" s="5" t="s">
        <v>618</v>
      </c>
      <c r="DJ559" s="5" t="s">
        <v>240</v>
      </c>
      <c r="DK559" s="5" t="s">
        <v>240</v>
      </c>
      <c r="DL559" s="5" t="s">
        <v>240</v>
      </c>
      <c r="DP559" s="5" t="s">
        <v>240</v>
      </c>
      <c r="DQ559" s="5" t="s">
        <v>240</v>
      </c>
      <c r="DR559" s="5" t="s">
        <v>240</v>
      </c>
      <c r="DS559" s="5" t="s">
        <v>240</v>
      </c>
      <c r="DV559" s="5" t="s">
        <v>1334</v>
      </c>
      <c r="DW559" s="5" t="s">
        <v>701</v>
      </c>
      <c r="HO559" s="5" t="s">
        <v>312</v>
      </c>
    </row>
    <row r="560" spans="1:223" x14ac:dyDescent="0.4">
      <c r="A560" s="5">
        <v>1422</v>
      </c>
      <c r="B560" s="5">
        <v>1</v>
      </c>
      <c r="C560" s="5">
        <v>1</v>
      </c>
      <c r="D560" s="5" t="s">
        <v>723</v>
      </c>
      <c r="E560" s="5" t="s">
        <v>725</v>
      </c>
      <c r="F560" s="5" t="s">
        <v>254</v>
      </c>
      <c r="G560" s="5" t="s">
        <v>240</v>
      </c>
      <c r="H560" s="6" t="s">
        <v>1169</v>
      </c>
      <c r="I560" s="5" t="s">
        <v>722</v>
      </c>
      <c r="J560" s="8">
        <f>848</f>
        <v>848</v>
      </c>
      <c r="K560" s="5" t="s">
        <v>308</v>
      </c>
      <c r="L560" s="7">
        <f>9328</f>
        <v>9328</v>
      </c>
      <c r="M560" s="7">
        <f>9328</f>
        <v>9328</v>
      </c>
      <c r="N560" s="5" t="s">
        <v>242</v>
      </c>
      <c r="O560" s="5">
        <v>1</v>
      </c>
      <c r="P560" s="5" t="s">
        <v>294</v>
      </c>
      <c r="Q560" s="5" t="s">
        <v>613</v>
      </c>
      <c r="R560" s="5" t="s">
        <v>240</v>
      </c>
      <c r="S560" s="5" t="s">
        <v>240</v>
      </c>
      <c r="T560" s="5" t="s">
        <v>243</v>
      </c>
      <c r="U560" s="5" t="s">
        <v>244</v>
      </c>
      <c r="V560" s="5" t="s">
        <v>240</v>
      </c>
      <c r="Y560" s="5" t="s">
        <v>240</v>
      </c>
      <c r="Z560" s="6" t="s">
        <v>298</v>
      </c>
      <c r="AB560" s="6" t="s">
        <v>240</v>
      </c>
      <c r="AE560" s="6" t="s">
        <v>299</v>
      </c>
      <c r="AF560" s="5" t="s">
        <v>248</v>
      </c>
      <c r="AG560" s="5" t="s">
        <v>249</v>
      </c>
      <c r="AW560" s="5" t="s">
        <v>251</v>
      </c>
      <c r="AX560" s="5" t="s">
        <v>240</v>
      </c>
      <c r="AY560" s="5" t="s">
        <v>253</v>
      </c>
      <c r="AZ560" s="5" t="s">
        <v>240</v>
      </c>
      <c r="BA560" s="5" t="s">
        <v>255</v>
      </c>
      <c r="BB560" s="5" t="s">
        <v>240</v>
      </c>
      <c r="BD560" s="5" t="s">
        <v>240</v>
      </c>
      <c r="BF560" s="5" t="s">
        <v>301</v>
      </c>
      <c r="BG560" s="6" t="s">
        <v>299</v>
      </c>
      <c r="BH560" s="5" t="s">
        <v>302</v>
      </c>
      <c r="BI560" s="5" t="s">
        <v>303</v>
      </c>
      <c r="BJ560" s="5" t="s">
        <v>240</v>
      </c>
      <c r="BK560" s="8">
        <f>0</f>
        <v>0</v>
      </c>
      <c r="BL560" s="7">
        <f>0</f>
        <v>0</v>
      </c>
      <c r="BM560" s="5" t="s">
        <v>258</v>
      </c>
      <c r="BN560" s="5" t="s">
        <v>259</v>
      </c>
      <c r="CB560" s="5" t="s">
        <v>240</v>
      </c>
      <c r="CC560" s="5" t="s">
        <v>240</v>
      </c>
      <c r="CG560" s="5" t="s">
        <v>617</v>
      </c>
      <c r="CH560" s="5" t="s">
        <v>305</v>
      </c>
      <c r="CI560" s="5" t="s">
        <v>240</v>
      </c>
      <c r="CL560" s="6" t="s">
        <v>261</v>
      </c>
      <c r="CM560" s="5" t="s">
        <v>240</v>
      </c>
      <c r="CN560" s="5" t="s">
        <v>263</v>
      </c>
      <c r="CO560" s="5" t="s">
        <v>240</v>
      </c>
      <c r="CP560" s="5" t="s">
        <v>240</v>
      </c>
      <c r="CQ560" s="5">
        <v>0</v>
      </c>
      <c r="CR560" s="5" t="s">
        <v>306</v>
      </c>
      <c r="CS560" s="5" t="s">
        <v>307</v>
      </c>
      <c r="CT560" s="5" t="s">
        <v>307</v>
      </c>
      <c r="CU560" s="5" t="s">
        <v>260</v>
      </c>
      <c r="CX560" s="7">
        <f>1727700</f>
        <v>1727700</v>
      </c>
      <c r="CY560" s="7">
        <f>0</f>
        <v>0</v>
      </c>
      <c r="DA560" s="7">
        <f>0</f>
        <v>0</v>
      </c>
      <c r="DC560" s="5" t="s">
        <v>689</v>
      </c>
      <c r="DD560" s="5" t="s">
        <v>240</v>
      </c>
      <c r="DF560" s="5" t="s">
        <v>1247</v>
      </c>
      <c r="DG560" s="7">
        <f>780</f>
        <v>780</v>
      </c>
      <c r="DI560" s="5" t="s">
        <v>618</v>
      </c>
      <c r="DJ560" s="5" t="s">
        <v>240</v>
      </c>
      <c r="DK560" s="5" t="s">
        <v>240</v>
      </c>
      <c r="DL560" s="5" t="s">
        <v>240</v>
      </c>
      <c r="DP560" s="5" t="s">
        <v>240</v>
      </c>
      <c r="DQ560" s="5" t="s">
        <v>240</v>
      </c>
      <c r="DR560" s="5" t="s">
        <v>240</v>
      </c>
      <c r="DS560" s="5" t="s">
        <v>240</v>
      </c>
      <c r="DV560" s="5" t="s">
        <v>1334</v>
      </c>
      <c r="DW560" s="5" t="s">
        <v>703</v>
      </c>
      <c r="HO560" s="5" t="s">
        <v>312</v>
      </c>
    </row>
    <row r="561" spans="1:223" x14ac:dyDescent="0.4">
      <c r="A561" s="5">
        <v>1423</v>
      </c>
      <c r="B561" s="5">
        <v>1</v>
      </c>
      <c r="C561" s="5">
        <v>1</v>
      </c>
      <c r="D561" s="5" t="s">
        <v>723</v>
      </c>
      <c r="E561" s="5" t="s">
        <v>725</v>
      </c>
      <c r="F561" s="5" t="s">
        <v>254</v>
      </c>
      <c r="G561" s="5" t="s">
        <v>240</v>
      </c>
      <c r="H561" s="6" t="s">
        <v>1168</v>
      </c>
      <c r="I561" s="5" t="s">
        <v>722</v>
      </c>
      <c r="J561" s="8">
        <f>1076</f>
        <v>1076</v>
      </c>
      <c r="K561" s="5" t="s">
        <v>308</v>
      </c>
      <c r="L561" s="7">
        <f>11836</f>
        <v>11836</v>
      </c>
      <c r="M561" s="7">
        <f>11836</f>
        <v>11836</v>
      </c>
      <c r="N561" s="5" t="s">
        <v>242</v>
      </c>
      <c r="O561" s="5">
        <v>1</v>
      </c>
      <c r="P561" s="5" t="s">
        <v>294</v>
      </c>
      <c r="Q561" s="5" t="s">
        <v>613</v>
      </c>
      <c r="R561" s="5" t="s">
        <v>240</v>
      </c>
      <c r="S561" s="5" t="s">
        <v>240</v>
      </c>
      <c r="T561" s="5" t="s">
        <v>243</v>
      </c>
      <c r="U561" s="5" t="s">
        <v>244</v>
      </c>
      <c r="V561" s="5" t="s">
        <v>240</v>
      </c>
      <c r="Y561" s="5" t="s">
        <v>240</v>
      </c>
      <c r="Z561" s="6" t="s">
        <v>298</v>
      </c>
      <c r="AB561" s="6" t="s">
        <v>240</v>
      </c>
      <c r="AE561" s="6" t="s">
        <v>299</v>
      </c>
      <c r="AF561" s="5" t="s">
        <v>248</v>
      </c>
      <c r="AG561" s="5" t="s">
        <v>249</v>
      </c>
      <c r="AW561" s="5" t="s">
        <v>251</v>
      </c>
      <c r="AX561" s="5" t="s">
        <v>240</v>
      </c>
      <c r="AY561" s="5" t="s">
        <v>253</v>
      </c>
      <c r="AZ561" s="5" t="s">
        <v>240</v>
      </c>
      <c r="BA561" s="5" t="s">
        <v>255</v>
      </c>
      <c r="BB561" s="5" t="s">
        <v>240</v>
      </c>
      <c r="BD561" s="5" t="s">
        <v>240</v>
      </c>
      <c r="BF561" s="5" t="s">
        <v>301</v>
      </c>
      <c r="BG561" s="6" t="s">
        <v>299</v>
      </c>
      <c r="BH561" s="5" t="s">
        <v>302</v>
      </c>
      <c r="BI561" s="5" t="s">
        <v>303</v>
      </c>
      <c r="BJ561" s="5" t="s">
        <v>240</v>
      </c>
      <c r="BK561" s="8">
        <f>0</f>
        <v>0</v>
      </c>
      <c r="BL561" s="7">
        <f>0</f>
        <v>0</v>
      </c>
      <c r="BM561" s="5" t="s">
        <v>258</v>
      </c>
      <c r="BN561" s="5" t="s">
        <v>259</v>
      </c>
      <c r="CB561" s="5" t="s">
        <v>240</v>
      </c>
      <c r="CC561" s="5" t="s">
        <v>240</v>
      </c>
      <c r="CG561" s="5" t="s">
        <v>617</v>
      </c>
      <c r="CH561" s="5" t="s">
        <v>305</v>
      </c>
      <c r="CI561" s="5" t="s">
        <v>240</v>
      </c>
      <c r="CL561" s="6" t="s">
        <v>261</v>
      </c>
      <c r="CM561" s="5" t="s">
        <v>240</v>
      </c>
      <c r="CN561" s="5" t="s">
        <v>263</v>
      </c>
      <c r="CO561" s="5" t="s">
        <v>240</v>
      </c>
      <c r="CP561" s="5" t="s">
        <v>240</v>
      </c>
      <c r="CQ561" s="5">
        <v>0</v>
      </c>
      <c r="CR561" s="5" t="s">
        <v>306</v>
      </c>
      <c r="CS561" s="5" t="s">
        <v>307</v>
      </c>
      <c r="CT561" s="5" t="s">
        <v>307</v>
      </c>
      <c r="CU561" s="5" t="s">
        <v>260</v>
      </c>
      <c r="CX561" s="7">
        <f>1727700</f>
        <v>1727700</v>
      </c>
      <c r="CY561" s="7">
        <f>0</f>
        <v>0</v>
      </c>
      <c r="DA561" s="7">
        <f>0</f>
        <v>0</v>
      </c>
      <c r="DC561" s="5" t="s">
        <v>689</v>
      </c>
      <c r="DD561" s="5" t="s">
        <v>240</v>
      </c>
      <c r="DF561" s="5" t="s">
        <v>1247</v>
      </c>
      <c r="DG561" s="7">
        <f>780</f>
        <v>780</v>
      </c>
      <c r="DI561" s="5" t="s">
        <v>618</v>
      </c>
      <c r="DJ561" s="5" t="s">
        <v>240</v>
      </c>
      <c r="DK561" s="5" t="s">
        <v>240</v>
      </c>
      <c r="DL561" s="5" t="s">
        <v>240</v>
      </c>
      <c r="DP561" s="5" t="s">
        <v>240</v>
      </c>
      <c r="DQ561" s="5" t="s">
        <v>240</v>
      </c>
      <c r="DR561" s="5" t="s">
        <v>240</v>
      </c>
      <c r="DS561" s="5" t="s">
        <v>240</v>
      </c>
      <c r="DV561" s="5" t="s">
        <v>1334</v>
      </c>
      <c r="DW561" s="5" t="s">
        <v>705</v>
      </c>
      <c r="HO561" s="5" t="s">
        <v>312</v>
      </c>
    </row>
    <row r="562" spans="1:223" x14ac:dyDescent="0.4">
      <c r="A562" s="5">
        <v>1424</v>
      </c>
      <c r="B562" s="5">
        <v>1</v>
      </c>
      <c r="C562" s="5">
        <v>1</v>
      </c>
      <c r="D562" s="5" t="s">
        <v>723</v>
      </c>
      <c r="E562" s="5" t="s">
        <v>725</v>
      </c>
      <c r="F562" s="5" t="s">
        <v>254</v>
      </c>
      <c r="G562" s="5" t="s">
        <v>240</v>
      </c>
      <c r="H562" s="6" t="s">
        <v>1167</v>
      </c>
      <c r="I562" s="5" t="s">
        <v>722</v>
      </c>
      <c r="J562" s="8">
        <f>494</f>
        <v>494</v>
      </c>
      <c r="K562" s="5" t="s">
        <v>308</v>
      </c>
      <c r="L562" s="7">
        <f>5434</f>
        <v>5434</v>
      </c>
      <c r="M562" s="7">
        <f>5434</f>
        <v>5434</v>
      </c>
      <c r="N562" s="5" t="s">
        <v>242</v>
      </c>
      <c r="O562" s="5">
        <v>1</v>
      </c>
      <c r="P562" s="5" t="s">
        <v>294</v>
      </c>
      <c r="Q562" s="5" t="s">
        <v>613</v>
      </c>
      <c r="R562" s="5" t="s">
        <v>240</v>
      </c>
      <c r="S562" s="5" t="s">
        <v>240</v>
      </c>
      <c r="T562" s="5" t="s">
        <v>243</v>
      </c>
      <c r="U562" s="5" t="s">
        <v>244</v>
      </c>
      <c r="V562" s="5" t="s">
        <v>240</v>
      </c>
      <c r="Y562" s="5" t="s">
        <v>240</v>
      </c>
      <c r="Z562" s="6" t="s">
        <v>298</v>
      </c>
      <c r="AB562" s="6" t="s">
        <v>240</v>
      </c>
      <c r="AE562" s="6" t="s">
        <v>299</v>
      </c>
      <c r="AF562" s="5" t="s">
        <v>248</v>
      </c>
      <c r="AG562" s="5" t="s">
        <v>249</v>
      </c>
      <c r="AW562" s="5" t="s">
        <v>251</v>
      </c>
      <c r="AX562" s="5" t="s">
        <v>240</v>
      </c>
      <c r="AY562" s="5" t="s">
        <v>253</v>
      </c>
      <c r="AZ562" s="5" t="s">
        <v>240</v>
      </c>
      <c r="BA562" s="5" t="s">
        <v>255</v>
      </c>
      <c r="BB562" s="5" t="s">
        <v>240</v>
      </c>
      <c r="BD562" s="5" t="s">
        <v>240</v>
      </c>
      <c r="BF562" s="5" t="s">
        <v>301</v>
      </c>
      <c r="BG562" s="6" t="s">
        <v>299</v>
      </c>
      <c r="BH562" s="5" t="s">
        <v>302</v>
      </c>
      <c r="BI562" s="5" t="s">
        <v>303</v>
      </c>
      <c r="BJ562" s="5" t="s">
        <v>240</v>
      </c>
      <c r="BK562" s="8">
        <f>0</f>
        <v>0</v>
      </c>
      <c r="BL562" s="7">
        <f>0</f>
        <v>0</v>
      </c>
      <c r="BM562" s="5" t="s">
        <v>258</v>
      </c>
      <c r="BN562" s="5" t="s">
        <v>259</v>
      </c>
      <c r="CB562" s="5" t="s">
        <v>240</v>
      </c>
      <c r="CC562" s="5" t="s">
        <v>240</v>
      </c>
      <c r="CG562" s="5" t="s">
        <v>617</v>
      </c>
      <c r="CH562" s="5" t="s">
        <v>305</v>
      </c>
      <c r="CI562" s="5" t="s">
        <v>240</v>
      </c>
      <c r="CL562" s="6" t="s">
        <v>261</v>
      </c>
      <c r="CM562" s="5" t="s">
        <v>240</v>
      </c>
      <c r="CN562" s="5" t="s">
        <v>263</v>
      </c>
      <c r="CO562" s="5" t="s">
        <v>240</v>
      </c>
      <c r="CP562" s="5" t="s">
        <v>240</v>
      </c>
      <c r="CQ562" s="5">
        <v>0</v>
      </c>
      <c r="CR562" s="5" t="s">
        <v>306</v>
      </c>
      <c r="CS562" s="5" t="s">
        <v>307</v>
      </c>
      <c r="CT562" s="5" t="s">
        <v>307</v>
      </c>
      <c r="CU562" s="5" t="s">
        <v>260</v>
      </c>
      <c r="CX562" s="7">
        <f>1468545</f>
        <v>1468545</v>
      </c>
      <c r="CY562" s="7">
        <f>0</f>
        <v>0</v>
      </c>
      <c r="DA562" s="7">
        <f>0</f>
        <v>0</v>
      </c>
      <c r="DC562" s="5" t="s">
        <v>689</v>
      </c>
      <c r="DD562" s="5" t="s">
        <v>240</v>
      </c>
      <c r="DF562" s="5" t="s">
        <v>1247</v>
      </c>
      <c r="DG562" s="7">
        <f>663</f>
        <v>663</v>
      </c>
      <c r="DI562" s="5" t="s">
        <v>618</v>
      </c>
      <c r="DJ562" s="5" t="s">
        <v>240</v>
      </c>
      <c r="DK562" s="5" t="s">
        <v>240</v>
      </c>
      <c r="DL562" s="5" t="s">
        <v>240</v>
      </c>
      <c r="DP562" s="5" t="s">
        <v>240</v>
      </c>
      <c r="DQ562" s="5" t="s">
        <v>240</v>
      </c>
      <c r="DR562" s="5" t="s">
        <v>240</v>
      </c>
      <c r="DS562" s="5" t="s">
        <v>240</v>
      </c>
      <c r="DV562" s="5" t="s">
        <v>1334</v>
      </c>
      <c r="DW562" s="5" t="s">
        <v>707</v>
      </c>
      <c r="HO562" s="5" t="s">
        <v>312</v>
      </c>
    </row>
    <row r="563" spans="1:223" x14ac:dyDescent="0.4">
      <c r="A563" s="5">
        <v>1425</v>
      </c>
      <c r="B563" s="5">
        <v>1</v>
      </c>
      <c r="C563" s="5">
        <v>1</v>
      </c>
      <c r="D563" s="5" t="s">
        <v>723</v>
      </c>
      <c r="E563" s="5" t="s">
        <v>725</v>
      </c>
      <c r="F563" s="5" t="s">
        <v>254</v>
      </c>
      <c r="G563" s="5" t="s">
        <v>240</v>
      </c>
      <c r="H563" s="6" t="s">
        <v>1166</v>
      </c>
      <c r="I563" s="5" t="s">
        <v>722</v>
      </c>
      <c r="J563" s="8">
        <f>536</f>
        <v>536</v>
      </c>
      <c r="K563" s="5" t="s">
        <v>308</v>
      </c>
      <c r="L563" s="7">
        <f>5896</f>
        <v>5896</v>
      </c>
      <c r="M563" s="7">
        <f>5896</f>
        <v>5896</v>
      </c>
      <c r="N563" s="5" t="s">
        <v>242</v>
      </c>
      <c r="O563" s="5">
        <v>1</v>
      </c>
      <c r="P563" s="5" t="s">
        <v>294</v>
      </c>
      <c r="Q563" s="5" t="s">
        <v>613</v>
      </c>
      <c r="R563" s="5" t="s">
        <v>240</v>
      </c>
      <c r="S563" s="5" t="s">
        <v>240</v>
      </c>
      <c r="T563" s="5" t="s">
        <v>243</v>
      </c>
      <c r="U563" s="5" t="s">
        <v>244</v>
      </c>
      <c r="V563" s="5" t="s">
        <v>240</v>
      </c>
      <c r="Y563" s="5" t="s">
        <v>240</v>
      </c>
      <c r="Z563" s="6" t="s">
        <v>298</v>
      </c>
      <c r="AB563" s="6" t="s">
        <v>240</v>
      </c>
      <c r="AE563" s="6" t="s">
        <v>299</v>
      </c>
      <c r="AF563" s="5" t="s">
        <v>248</v>
      </c>
      <c r="AG563" s="5" t="s">
        <v>249</v>
      </c>
      <c r="AW563" s="5" t="s">
        <v>251</v>
      </c>
      <c r="AX563" s="5" t="s">
        <v>240</v>
      </c>
      <c r="AY563" s="5" t="s">
        <v>253</v>
      </c>
      <c r="AZ563" s="5" t="s">
        <v>240</v>
      </c>
      <c r="BA563" s="5" t="s">
        <v>255</v>
      </c>
      <c r="BB563" s="5" t="s">
        <v>240</v>
      </c>
      <c r="BD563" s="5" t="s">
        <v>240</v>
      </c>
      <c r="BF563" s="5" t="s">
        <v>301</v>
      </c>
      <c r="BG563" s="6" t="s">
        <v>299</v>
      </c>
      <c r="BH563" s="5" t="s">
        <v>302</v>
      </c>
      <c r="BI563" s="5" t="s">
        <v>303</v>
      </c>
      <c r="BJ563" s="5" t="s">
        <v>240</v>
      </c>
      <c r="BK563" s="8">
        <f>0</f>
        <v>0</v>
      </c>
      <c r="BL563" s="7">
        <f>0</f>
        <v>0</v>
      </c>
      <c r="BM563" s="5" t="s">
        <v>258</v>
      </c>
      <c r="BN563" s="5" t="s">
        <v>259</v>
      </c>
      <c r="CB563" s="5" t="s">
        <v>240</v>
      </c>
      <c r="CC563" s="5" t="s">
        <v>240</v>
      </c>
      <c r="CG563" s="5" t="s">
        <v>617</v>
      </c>
      <c r="CH563" s="5" t="s">
        <v>305</v>
      </c>
      <c r="CI563" s="5" t="s">
        <v>240</v>
      </c>
      <c r="CL563" s="6" t="s">
        <v>261</v>
      </c>
      <c r="CM563" s="5" t="s">
        <v>240</v>
      </c>
      <c r="CN563" s="5" t="s">
        <v>263</v>
      </c>
      <c r="CO563" s="5" t="s">
        <v>240</v>
      </c>
      <c r="CP563" s="5" t="s">
        <v>240</v>
      </c>
      <c r="CQ563" s="5">
        <v>0</v>
      </c>
      <c r="CR563" s="5" t="s">
        <v>306</v>
      </c>
      <c r="CS563" s="5" t="s">
        <v>307</v>
      </c>
      <c r="CT563" s="5" t="s">
        <v>307</v>
      </c>
      <c r="CU563" s="5" t="s">
        <v>260</v>
      </c>
      <c r="CX563" s="7">
        <f>1727700</f>
        <v>1727700</v>
      </c>
      <c r="CY563" s="7">
        <f>0</f>
        <v>0</v>
      </c>
      <c r="DA563" s="7">
        <f>0</f>
        <v>0</v>
      </c>
      <c r="DC563" s="5" t="s">
        <v>689</v>
      </c>
      <c r="DD563" s="5" t="s">
        <v>240</v>
      </c>
      <c r="DF563" s="5" t="s">
        <v>1338</v>
      </c>
      <c r="DG563" s="7">
        <f>780</f>
        <v>780</v>
      </c>
      <c r="DI563" s="5" t="s">
        <v>618</v>
      </c>
      <c r="DJ563" s="5" t="s">
        <v>240</v>
      </c>
      <c r="DK563" s="5" t="s">
        <v>240</v>
      </c>
      <c r="DL563" s="5" t="s">
        <v>240</v>
      </c>
      <c r="DP563" s="5" t="s">
        <v>240</v>
      </c>
      <c r="DQ563" s="5" t="s">
        <v>240</v>
      </c>
      <c r="DR563" s="5" t="s">
        <v>240</v>
      </c>
      <c r="DS563" s="5" t="s">
        <v>240</v>
      </c>
      <c r="DV563" s="5" t="s">
        <v>1334</v>
      </c>
      <c r="DW563" s="5" t="s">
        <v>709</v>
      </c>
      <c r="HO563" s="5" t="s">
        <v>312</v>
      </c>
    </row>
    <row r="564" spans="1:223" x14ac:dyDescent="0.4">
      <c r="A564" s="5">
        <v>1426</v>
      </c>
      <c r="B564" s="5">
        <v>1</v>
      </c>
      <c r="C564" s="5">
        <v>1</v>
      </c>
      <c r="D564" s="5" t="s">
        <v>723</v>
      </c>
      <c r="E564" s="5" t="s">
        <v>725</v>
      </c>
      <c r="F564" s="5" t="s">
        <v>254</v>
      </c>
      <c r="G564" s="5" t="s">
        <v>240</v>
      </c>
      <c r="H564" s="6" t="s">
        <v>1165</v>
      </c>
      <c r="I564" s="5" t="s">
        <v>722</v>
      </c>
      <c r="J564" s="8">
        <f>7263</f>
        <v>7263</v>
      </c>
      <c r="K564" s="5" t="s">
        <v>308</v>
      </c>
      <c r="L564" s="7">
        <f>79893</f>
        <v>79893</v>
      </c>
      <c r="M564" s="7">
        <f>79893</f>
        <v>79893</v>
      </c>
      <c r="N564" s="5" t="s">
        <v>242</v>
      </c>
      <c r="O564" s="5">
        <v>1</v>
      </c>
      <c r="P564" s="5" t="s">
        <v>294</v>
      </c>
      <c r="Q564" s="5" t="s">
        <v>613</v>
      </c>
      <c r="R564" s="5" t="s">
        <v>240</v>
      </c>
      <c r="S564" s="5" t="s">
        <v>240</v>
      </c>
      <c r="T564" s="5" t="s">
        <v>243</v>
      </c>
      <c r="U564" s="5" t="s">
        <v>244</v>
      </c>
      <c r="V564" s="5" t="s">
        <v>240</v>
      </c>
      <c r="Y564" s="5" t="s">
        <v>240</v>
      </c>
      <c r="Z564" s="6" t="s">
        <v>298</v>
      </c>
      <c r="AB564" s="6" t="s">
        <v>240</v>
      </c>
      <c r="AE564" s="6" t="s">
        <v>299</v>
      </c>
      <c r="AF564" s="5" t="s">
        <v>248</v>
      </c>
      <c r="AG564" s="5" t="s">
        <v>249</v>
      </c>
      <c r="AW564" s="5" t="s">
        <v>251</v>
      </c>
      <c r="AX564" s="5" t="s">
        <v>240</v>
      </c>
      <c r="AY564" s="5" t="s">
        <v>253</v>
      </c>
      <c r="AZ564" s="5" t="s">
        <v>240</v>
      </c>
      <c r="BA564" s="5" t="s">
        <v>255</v>
      </c>
      <c r="BB564" s="5" t="s">
        <v>240</v>
      </c>
      <c r="BD564" s="5" t="s">
        <v>240</v>
      </c>
      <c r="BF564" s="5" t="s">
        <v>301</v>
      </c>
      <c r="BG564" s="6" t="s">
        <v>299</v>
      </c>
      <c r="BH564" s="5" t="s">
        <v>302</v>
      </c>
      <c r="BI564" s="5" t="s">
        <v>303</v>
      </c>
      <c r="BJ564" s="5" t="s">
        <v>240</v>
      </c>
      <c r="BK564" s="8">
        <f>0</f>
        <v>0</v>
      </c>
      <c r="BL564" s="7">
        <f>0</f>
        <v>0</v>
      </c>
      <c r="BM564" s="5" t="s">
        <v>258</v>
      </c>
      <c r="BN564" s="5" t="s">
        <v>259</v>
      </c>
      <c r="CB564" s="5" t="s">
        <v>240</v>
      </c>
      <c r="CC564" s="5" t="s">
        <v>240</v>
      </c>
      <c r="CG564" s="5" t="s">
        <v>617</v>
      </c>
      <c r="CH564" s="5" t="s">
        <v>305</v>
      </c>
      <c r="CI564" s="5" t="s">
        <v>240</v>
      </c>
      <c r="CL564" s="6" t="s">
        <v>261</v>
      </c>
      <c r="CM564" s="5" t="s">
        <v>240</v>
      </c>
      <c r="CN564" s="5" t="s">
        <v>263</v>
      </c>
      <c r="CO564" s="5" t="s">
        <v>240</v>
      </c>
      <c r="CP564" s="5" t="s">
        <v>240</v>
      </c>
      <c r="CQ564" s="5">
        <v>0</v>
      </c>
      <c r="CR564" s="5" t="s">
        <v>306</v>
      </c>
      <c r="CS564" s="5" t="s">
        <v>307</v>
      </c>
      <c r="CT564" s="5" t="s">
        <v>307</v>
      </c>
      <c r="CU564" s="5" t="s">
        <v>260</v>
      </c>
      <c r="CX564" s="7">
        <f>1727700</f>
        <v>1727700</v>
      </c>
      <c r="CY564" s="7">
        <f>0</f>
        <v>0</v>
      </c>
      <c r="DA564" s="7">
        <f>0</f>
        <v>0</v>
      </c>
      <c r="DC564" s="5" t="s">
        <v>689</v>
      </c>
      <c r="DD564" s="5" t="s">
        <v>240</v>
      </c>
      <c r="DF564" s="5" t="s">
        <v>1247</v>
      </c>
      <c r="DG564" s="7">
        <f>780</f>
        <v>780</v>
      </c>
      <c r="DI564" s="5" t="s">
        <v>618</v>
      </c>
      <c r="DJ564" s="5" t="s">
        <v>240</v>
      </c>
      <c r="DK564" s="5" t="s">
        <v>240</v>
      </c>
      <c r="DL564" s="5" t="s">
        <v>240</v>
      </c>
      <c r="DP564" s="5" t="s">
        <v>240</v>
      </c>
      <c r="DQ564" s="5" t="s">
        <v>240</v>
      </c>
      <c r="DR564" s="5" t="s">
        <v>240</v>
      </c>
      <c r="DS564" s="5" t="s">
        <v>240</v>
      </c>
      <c r="DV564" s="5" t="s">
        <v>1334</v>
      </c>
      <c r="DW564" s="5" t="s">
        <v>711</v>
      </c>
      <c r="HO564" s="5" t="s">
        <v>312</v>
      </c>
    </row>
    <row r="565" spans="1:223" x14ac:dyDescent="0.4">
      <c r="A565" s="5">
        <v>1427</v>
      </c>
      <c r="B565" s="5">
        <v>1</v>
      </c>
      <c r="C565" s="5">
        <v>1</v>
      </c>
      <c r="D565" s="5" t="s">
        <v>723</v>
      </c>
      <c r="E565" s="5" t="s">
        <v>725</v>
      </c>
      <c r="F565" s="5" t="s">
        <v>254</v>
      </c>
      <c r="G565" s="5" t="s">
        <v>240</v>
      </c>
      <c r="H565" s="6" t="s">
        <v>1164</v>
      </c>
      <c r="I565" s="5" t="s">
        <v>722</v>
      </c>
      <c r="J565" s="8">
        <f>1255</f>
        <v>1255</v>
      </c>
      <c r="K565" s="5" t="s">
        <v>308</v>
      </c>
      <c r="L565" s="7">
        <f>13805</f>
        <v>13805</v>
      </c>
      <c r="M565" s="7">
        <f>13805</f>
        <v>13805</v>
      </c>
      <c r="N565" s="5" t="s">
        <v>242</v>
      </c>
      <c r="O565" s="5">
        <v>1</v>
      </c>
      <c r="P565" s="5" t="s">
        <v>294</v>
      </c>
      <c r="Q565" s="5" t="s">
        <v>613</v>
      </c>
      <c r="R565" s="5" t="s">
        <v>240</v>
      </c>
      <c r="S565" s="5" t="s">
        <v>240</v>
      </c>
      <c r="T565" s="5" t="s">
        <v>243</v>
      </c>
      <c r="U565" s="5" t="s">
        <v>244</v>
      </c>
      <c r="V565" s="5" t="s">
        <v>240</v>
      </c>
      <c r="Y565" s="5" t="s">
        <v>240</v>
      </c>
      <c r="Z565" s="6" t="s">
        <v>298</v>
      </c>
      <c r="AB565" s="6" t="s">
        <v>240</v>
      </c>
      <c r="AE565" s="6" t="s">
        <v>299</v>
      </c>
      <c r="AF565" s="5" t="s">
        <v>248</v>
      </c>
      <c r="AG565" s="5" t="s">
        <v>249</v>
      </c>
      <c r="AW565" s="5" t="s">
        <v>251</v>
      </c>
      <c r="AX565" s="5" t="s">
        <v>240</v>
      </c>
      <c r="AY565" s="5" t="s">
        <v>253</v>
      </c>
      <c r="AZ565" s="5" t="s">
        <v>240</v>
      </c>
      <c r="BA565" s="5" t="s">
        <v>255</v>
      </c>
      <c r="BB565" s="5" t="s">
        <v>240</v>
      </c>
      <c r="BD565" s="5" t="s">
        <v>240</v>
      </c>
      <c r="BF565" s="5" t="s">
        <v>301</v>
      </c>
      <c r="BG565" s="6" t="s">
        <v>299</v>
      </c>
      <c r="BH565" s="5" t="s">
        <v>302</v>
      </c>
      <c r="BI565" s="5" t="s">
        <v>303</v>
      </c>
      <c r="BJ565" s="5" t="s">
        <v>240</v>
      </c>
      <c r="BK565" s="8">
        <f>0</f>
        <v>0</v>
      </c>
      <c r="BL565" s="7">
        <f>0</f>
        <v>0</v>
      </c>
      <c r="BM565" s="5" t="s">
        <v>258</v>
      </c>
      <c r="BN565" s="5" t="s">
        <v>259</v>
      </c>
      <c r="CB565" s="5" t="s">
        <v>240</v>
      </c>
      <c r="CC565" s="5" t="s">
        <v>240</v>
      </c>
      <c r="CG565" s="5" t="s">
        <v>617</v>
      </c>
      <c r="CH565" s="5" t="s">
        <v>305</v>
      </c>
      <c r="CI565" s="5" t="s">
        <v>240</v>
      </c>
      <c r="CL565" s="6" t="s">
        <v>261</v>
      </c>
      <c r="CM565" s="5" t="s">
        <v>240</v>
      </c>
      <c r="CN565" s="5" t="s">
        <v>263</v>
      </c>
      <c r="CO565" s="5" t="s">
        <v>240</v>
      </c>
      <c r="CP565" s="5" t="s">
        <v>240</v>
      </c>
      <c r="CQ565" s="5">
        <v>0</v>
      </c>
      <c r="CR565" s="5" t="s">
        <v>306</v>
      </c>
      <c r="CS565" s="5" t="s">
        <v>307</v>
      </c>
      <c r="CT565" s="5" t="s">
        <v>307</v>
      </c>
      <c r="CU565" s="5" t="s">
        <v>260</v>
      </c>
      <c r="CX565" s="7">
        <f>1727700</f>
        <v>1727700</v>
      </c>
      <c r="CY565" s="7">
        <f>0</f>
        <v>0</v>
      </c>
      <c r="DA565" s="7">
        <f>0</f>
        <v>0</v>
      </c>
      <c r="DC565" s="5" t="s">
        <v>689</v>
      </c>
      <c r="DD565" s="5" t="s">
        <v>240</v>
      </c>
      <c r="DF565" s="5" t="s">
        <v>1247</v>
      </c>
      <c r="DG565" s="7">
        <f>780</f>
        <v>780</v>
      </c>
      <c r="DI565" s="5" t="s">
        <v>618</v>
      </c>
      <c r="DJ565" s="5" t="s">
        <v>240</v>
      </c>
      <c r="DK565" s="5" t="s">
        <v>240</v>
      </c>
      <c r="DL565" s="5" t="s">
        <v>240</v>
      </c>
      <c r="DP565" s="5" t="s">
        <v>240</v>
      </c>
      <c r="DQ565" s="5" t="s">
        <v>240</v>
      </c>
      <c r="DR565" s="5" t="s">
        <v>240</v>
      </c>
      <c r="DS565" s="5" t="s">
        <v>240</v>
      </c>
      <c r="DV565" s="5" t="s">
        <v>1334</v>
      </c>
      <c r="DW565" s="5" t="s">
        <v>713</v>
      </c>
      <c r="HO565" s="5" t="s">
        <v>312</v>
      </c>
    </row>
    <row r="566" spans="1:223" x14ac:dyDescent="0.4">
      <c r="A566" s="5">
        <v>1428</v>
      </c>
      <c r="B566" s="5">
        <v>1</v>
      </c>
      <c r="C566" s="5">
        <v>1</v>
      </c>
      <c r="D566" s="5" t="s">
        <v>723</v>
      </c>
      <c r="E566" s="5" t="s">
        <v>725</v>
      </c>
      <c r="F566" s="5" t="s">
        <v>254</v>
      </c>
      <c r="G566" s="5" t="s">
        <v>240</v>
      </c>
      <c r="H566" s="6" t="s">
        <v>1163</v>
      </c>
      <c r="I566" s="5" t="s">
        <v>722</v>
      </c>
      <c r="J566" s="8">
        <f>1963</f>
        <v>1963</v>
      </c>
      <c r="K566" s="5" t="s">
        <v>308</v>
      </c>
      <c r="L566" s="7">
        <f>21593</f>
        <v>21593</v>
      </c>
      <c r="M566" s="7">
        <f>21593</f>
        <v>21593</v>
      </c>
      <c r="N566" s="5" t="s">
        <v>242</v>
      </c>
      <c r="O566" s="5">
        <v>1</v>
      </c>
      <c r="P566" s="5" t="s">
        <v>294</v>
      </c>
      <c r="Q566" s="5" t="s">
        <v>613</v>
      </c>
      <c r="R566" s="5" t="s">
        <v>240</v>
      </c>
      <c r="S566" s="5" t="s">
        <v>240</v>
      </c>
      <c r="T566" s="5" t="s">
        <v>243</v>
      </c>
      <c r="U566" s="5" t="s">
        <v>244</v>
      </c>
      <c r="V566" s="5" t="s">
        <v>240</v>
      </c>
      <c r="Y566" s="5" t="s">
        <v>240</v>
      </c>
      <c r="Z566" s="6" t="s">
        <v>298</v>
      </c>
      <c r="AB566" s="6" t="s">
        <v>240</v>
      </c>
      <c r="AE566" s="6" t="s">
        <v>299</v>
      </c>
      <c r="AF566" s="5" t="s">
        <v>248</v>
      </c>
      <c r="AG566" s="5" t="s">
        <v>249</v>
      </c>
      <c r="AW566" s="5" t="s">
        <v>251</v>
      </c>
      <c r="AX566" s="5" t="s">
        <v>240</v>
      </c>
      <c r="AY566" s="5" t="s">
        <v>253</v>
      </c>
      <c r="AZ566" s="5" t="s">
        <v>240</v>
      </c>
      <c r="BA566" s="5" t="s">
        <v>255</v>
      </c>
      <c r="BB566" s="5" t="s">
        <v>240</v>
      </c>
      <c r="BD566" s="5" t="s">
        <v>240</v>
      </c>
      <c r="BF566" s="5" t="s">
        <v>301</v>
      </c>
      <c r="BG566" s="6" t="s">
        <v>299</v>
      </c>
      <c r="BH566" s="5" t="s">
        <v>302</v>
      </c>
      <c r="BI566" s="5" t="s">
        <v>303</v>
      </c>
      <c r="BJ566" s="5" t="s">
        <v>240</v>
      </c>
      <c r="BK566" s="8">
        <f>0</f>
        <v>0</v>
      </c>
      <c r="BL566" s="7">
        <f>0</f>
        <v>0</v>
      </c>
      <c r="BM566" s="5" t="s">
        <v>258</v>
      </c>
      <c r="BN566" s="5" t="s">
        <v>259</v>
      </c>
      <c r="CB566" s="5" t="s">
        <v>240</v>
      </c>
      <c r="CC566" s="5" t="s">
        <v>240</v>
      </c>
      <c r="CG566" s="5" t="s">
        <v>617</v>
      </c>
      <c r="CH566" s="5" t="s">
        <v>305</v>
      </c>
      <c r="CI566" s="5" t="s">
        <v>240</v>
      </c>
      <c r="CL566" s="6" t="s">
        <v>261</v>
      </c>
      <c r="CM566" s="5" t="s">
        <v>240</v>
      </c>
      <c r="CN566" s="5" t="s">
        <v>263</v>
      </c>
      <c r="CO566" s="5" t="s">
        <v>240</v>
      </c>
      <c r="CP566" s="5" t="s">
        <v>240</v>
      </c>
      <c r="CQ566" s="5">
        <v>0</v>
      </c>
      <c r="CR566" s="5" t="s">
        <v>306</v>
      </c>
      <c r="CS566" s="5" t="s">
        <v>307</v>
      </c>
      <c r="CT566" s="5" t="s">
        <v>307</v>
      </c>
      <c r="CU566" s="5" t="s">
        <v>260</v>
      </c>
      <c r="CX566" s="7">
        <f>527170</f>
        <v>527170</v>
      </c>
      <c r="CY566" s="7">
        <f>0</f>
        <v>0</v>
      </c>
      <c r="DA566" s="7">
        <f>0</f>
        <v>0</v>
      </c>
      <c r="DC566" s="5" t="s">
        <v>689</v>
      </c>
      <c r="DD566" s="5" t="s">
        <v>240</v>
      </c>
      <c r="DF566" s="5" t="s">
        <v>1247</v>
      </c>
      <c r="DG566" s="7">
        <f>238</f>
        <v>238</v>
      </c>
      <c r="DI566" s="5" t="s">
        <v>618</v>
      </c>
      <c r="DJ566" s="5" t="s">
        <v>240</v>
      </c>
      <c r="DK566" s="5" t="s">
        <v>240</v>
      </c>
      <c r="DL566" s="5" t="s">
        <v>240</v>
      </c>
      <c r="DP566" s="5" t="s">
        <v>240</v>
      </c>
      <c r="DQ566" s="5" t="s">
        <v>240</v>
      </c>
      <c r="DR566" s="5" t="s">
        <v>240</v>
      </c>
      <c r="DS566" s="5" t="s">
        <v>240</v>
      </c>
      <c r="DV566" s="5" t="s">
        <v>1334</v>
      </c>
      <c r="DW566" s="5" t="s">
        <v>715</v>
      </c>
      <c r="HO566" s="5" t="s">
        <v>312</v>
      </c>
    </row>
    <row r="567" spans="1:223" x14ac:dyDescent="0.4">
      <c r="A567" s="5">
        <v>1429</v>
      </c>
      <c r="B567" s="5">
        <v>1</v>
      </c>
      <c r="C567" s="5">
        <v>1</v>
      </c>
      <c r="D567" s="5" t="s">
        <v>723</v>
      </c>
      <c r="E567" s="5" t="s">
        <v>725</v>
      </c>
      <c r="F567" s="5" t="s">
        <v>254</v>
      </c>
      <c r="G567" s="5" t="s">
        <v>240</v>
      </c>
      <c r="H567" s="6" t="s">
        <v>1162</v>
      </c>
      <c r="I567" s="5" t="s">
        <v>722</v>
      </c>
      <c r="J567" s="8">
        <f>1284</f>
        <v>1284</v>
      </c>
      <c r="K567" s="5" t="s">
        <v>308</v>
      </c>
      <c r="L567" s="7">
        <f>14124</f>
        <v>14124</v>
      </c>
      <c r="M567" s="7">
        <f>14124</f>
        <v>14124</v>
      </c>
      <c r="N567" s="5" t="s">
        <v>242</v>
      </c>
      <c r="O567" s="5">
        <v>1</v>
      </c>
      <c r="P567" s="5" t="s">
        <v>294</v>
      </c>
      <c r="Q567" s="5" t="s">
        <v>613</v>
      </c>
      <c r="R567" s="5" t="s">
        <v>240</v>
      </c>
      <c r="S567" s="5" t="s">
        <v>240</v>
      </c>
      <c r="T567" s="5" t="s">
        <v>243</v>
      </c>
      <c r="U567" s="5" t="s">
        <v>244</v>
      </c>
      <c r="V567" s="5" t="s">
        <v>240</v>
      </c>
      <c r="Y567" s="5" t="s">
        <v>240</v>
      </c>
      <c r="Z567" s="6" t="s">
        <v>298</v>
      </c>
      <c r="AB567" s="6" t="s">
        <v>240</v>
      </c>
      <c r="AE567" s="6" t="s">
        <v>299</v>
      </c>
      <c r="AF567" s="5" t="s">
        <v>248</v>
      </c>
      <c r="AG567" s="5" t="s">
        <v>249</v>
      </c>
      <c r="AW567" s="5" t="s">
        <v>251</v>
      </c>
      <c r="AX567" s="5" t="s">
        <v>240</v>
      </c>
      <c r="AY567" s="5" t="s">
        <v>253</v>
      </c>
      <c r="AZ567" s="5" t="s">
        <v>240</v>
      </c>
      <c r="BA567" s="5" t="s">
        <v>255</v>
      </c>
      <c r="BB567" s="5" t="s">
        <v>240</v>
      </c>
      <c r="BD567" s="5" t="s">
        <v>240</v>
      </c>
      <c r="BF567" s="5" t="s">
        <v>301</v>
      </c>
      <c r="BG567" s="6" t="s">
        <v>299</v>
      </c>
      <c r="BH567" s="5" t="s">
        <v>302</v>
      </c>
      <c r="BI567" s="5" t="s">
        <v>303</v>
      </c>
      <c r="BJ567" s="5" t="s">
        <v>240</v>
      </c>
      <c r="BK567" s="8">
        <f>0</f>
        <v>0</v>
      </c>
      <c r="BL567" s="7">
        <f>0</f>
        <v>0</v>
      </c>
      <c r="BM567" s="5" t="s">
        <v>258</v>
      </c>
      <c r="BN567" s="5" t="s">
        <v>259</v>
      </c>
      <c r="CB567" s="5" t="s">
        <v>240</v>
      </c>
      <c r="CC567" s="5" t="s">
        <v>240</v>
      </c>
      <c r="CG567" s="5" t="s">
        <v>617</v>
      </c>
      <c r="CH567" s="5" t="s">
        <v>305</v>
      </c>
      <c r="CI567" s="5" t="s">
        <v>240</v>
      </c>
      <c r="CL567" s="6" t="s">
        <v>261</v>
      </c>
      <c r="CM567" s="5" t="s">
        <v>240</v>
      </c>
      <c r="CN567" s="5" t="s">
        <v>263</v>
      </c>
      <c r="CO567" s="5" t="s">
        <v>240</v>
      </c>
      <c r="CP567" s="5" t="s">
        <v>240</v>
      </c>
      <c r="CQ567" s="5">
        <v>0</v>
      </c>
      <c r="CR567" s="5" t="s">
        <v>306</v>
      </c>
      <c r="CS567" s="5" t="s">
        <v>307</v>
      </c>
      <c r="CT567" s="5" t="s">
        <v>307</v>
      </c>
      <c r="CU567" s="5" t="s">
        <v>260</v>
      </c>
      <c r="CX567" s="7">
        <f>1054340</f>
        <v>1054340</v>
      </c>
      <c r="CY567" s="7">
        <f>0</f>
        <v>0</v>
      </c>
      <c r="DA567" s="7">
        <f>0</f>
        <v>0</v>
      </c>
      <c r="DC567" s="5" t="s">
        <v>689</v>
      </c>
      <c r="DD567" s="5" t="s">
        <v>240</v>
      </c>
      <c r="DF567" s="5" t="s">
        <v>1338</v>
      </c>
      <c r="DG567" s="7">
        <f>476</f>
        <v>476</v>
      </c>
      <c r="DI567" s="5" t="s">
        <v>618</v>
      </c>
      <c r="DJ567" s="5" t="s">
        <v>240</v>
      </c>
      <c r="DK567" s="5" t="s">
        <v>240</v>
      </c>
      <c r="DL567" s="5" t="s">
        <v>240</v>
      </c>
      <c r="DP567" s="5" t="s">
        <v>240</v>
      </c>
      <c r="DQ567" s="5" t="s">
        <v>240</v>
      </c>
      <c r="DR567" s="5" t="s">
        <v>240</v>
      </c>
      <c r="DS567" s="5" t="s">
        <v>240</v>
      </c>
      <c r="DV567" s="5" t="s">
        <v>1334</v>
      </c>
      <c r="DW567" s="5" t="s">
        <v>717</v>
      </c>
      <c r="HO567" s="5" t="s">
        <v>312</v>
      </c>
    </row>
    <row r="568" spans="1:223" x14ac:dyDescent="0.4">
      <c r="A568" s="5">
        <v>1430</v>
      </c>
      <c r="B568" s="5">
        <v>1</v>
      </c>
      <c r="C568" s="5">
        <v>1</v>
      </c>
      <c r="D568" s="5" t="s">
        <v>723</v>
      </c>
      <c r="E568" s="5" t="s">
        <v>725</v>
      </c>
      <c r="F568" s="5" t="s">
        <v>254</v>
      </c>
      <c r="G568" s="5" t="s">
        <v>240</v>
      </c>
      <c r="H568" s="6" t="s">
        <v>1161</v>
      </c>
      <c r="I568" s="5" t="s">
        <v>722</v>
      </c>
      <c r="J568" s="8">
        <f>399</f>
        <v>399</v>
      </c>
      <c r="K568" s="5" t="s">
        <v>308</v>
      </c>
      <c r="L568" s="7">
        <f>4389</f>
        <v>4389</v>
      </c>
      <c r="M568" s="7">
        <f>4389</f>
        <v>4389</v>
      </c>
      <c r="N568" s="5" t="s">
        <v>242</v>
      </c>
      <c r="O568" s="5">
        <v>1</v>
      </c>
      <c r="P568" s="5" t="s">
        <v>294</v>
      </c>
      <c r="Q568" s="5" t="s">
        <v>613</v>
      </c>
      <c r="R568" s="5" t="s">
        <v>240</v>
      </c>
      <c r="S568" s="5" t="s">
        <v>240</v>
      </c>
      <c r="T568" s="5" t="s">
        <v>243</v>
      </c>
      <c r="U568" s="5" t="s">
        <v>244</v>
      </c>
      <c r="V568" s="5" t="s">
        <v>240</v>
      </c>
      <c r="Y568" s="5" t="s">
        <v>240</v>
      </c>
      <c r="Z568" s="6" t="s">
        <v>298</v>
      </c>
      <c r="AB568" s="6" t="s">
        <v>240</v>
      </c>
      <c r="AE568" s="6" t="s">
        <v>299</v>
      </c>
      <c r="AF568" s="5" t="s">
        <v>248</v>
      </c>
      <c r="AG568" s="5" t="s">
        <v>249</v>
      </c>
      <c r="AW568" s="5" t="s">
        <v>251</v>
      </c>
      <c r="AX568" s="5" t="s">
        <v>240</v>
      </c>
      <c r="AY568" s="5" t="s">
        <v>253</v>
      </c>
      <c r="AZ568" s="5" t="s">
        <v>240</v>
      </c>
      <c r="BA568" s="5" t="s">
        <v>255</v>
      </c>
      <c r="BB568" s="5" t="s">
        <v>240</v>
      </c>
      <c r="BD568" s="5" t="s">
        <v>240</v>
      </c>
      <c r="BF568" s="5" t="s">
        <v>301</v>
      </c>
      <c r="BG568" s="6" t="s">
        <v>299</v>
      </c>
      <c r="BH568" s="5" t="s">
        <v>302</v>
      </c>
      <c r="BI568" s="5" t="s">
        <v>303</v>
      </c>
      <c r="BJ568" s="5" t="s">
        <v>240</v>
      </c>
      <c r="BK568" s="8">
        <f>0</f>
        <v>0</v>
      </c>
      <c r="BL568" s="7">
        <f>0</f>
        <v>0</v>
      </c>
      <c r="BM568" s="5" t="s">
        <v>258</v>
      </c>
      <c r="BN568" s="5" t="s">
        <v>259</v>
      </c>
      <c r="CB568" s="5" t="s">
        <v>240</v>
      </c>
      <c r="CC568" s="5" t="s">
        <v>240</v>
      </c>
      <c r="CG568" s="5" t="s">
        <v>617</v>
      </c>
      <c r="CH568" s="5" t="s">
        <v>305</v>
      </c>
      <c r="CI568" s="5" t="s">
        <v>240</v>
      </c>
      <c r="CL568" s="6" t="s">
        <v>261</v>
      </c>
      <c r="CM568" s="5" t="s">
        <v>240</v>
      </c>
      <c r="CN568" s="5" t="s">
        <v>263</v>
      </c>
      <c r="CO568" s="5" t="s">
        <v>240</v>
      </c>
      <c r="CP568" s="5" t="s">
        <v>240</v>
      </c>
      <c r="CQ568" s="5">
        <v>0</v>
      </c>
      <c r="CR568" s="5" t="s">
        <v>306</v>
      </c>
      <c r="CS568" s="5" t="s">
        <v>307</v>
      </c>
      <c r="CT568" s="5" t="s">
        <v>307</v>
      </c>
      <c r="CU568" s="5" t="s">
        <v>260</v>
      </c>
      <c r="CX568" s="7">
        <f>1727700</f>
        <v>1727700</v>
      </c>
      <c r="CY568" s="7">
        <f>0</f>
        <v>0</v>
      </c>
      <c r="DA568" s="7">
        <f>0</f>
        <v>0</v>
      </c>
      <c r="DC568" s="5" t="s">
        <v>689</v>
      </c>
      <c r="DD568" s="5" t="s">
        <v>240</v>
      </c>
      <c r="DF568" s="5" t="s">
        <v>1338</v>
      </c>
      <c r="DG568" s="7">
        <f>780</f>
        <v>780</v>
      </c>
      <c r="DI568" s="5" t="s">
        <v>618</v>
      </c>
      <c r="DJ568" s="5" t="s">
        <v>240</v>
      </c>
      <c r="DK568" s="5" t="s">
        <v>240</v>
      </c>
      <c r="DL568" s="5" t="s">
        <v>240</v>
      </c>
      <c r="DP568" s="5" t="s">
        <v>240</v>
      </c>
      <c r="DQ568" s="5" t="s">
        <v>240</v>
      </c>
      <c r="DR568" s="5" t="s">
        <v>240</v>
      </c>
      <c r="DS568" s="5" t="s">
        <v>240</v>
      </c>
      <c r="DV568" s="5" t="s">
        <v>1334</v>
      </c>
      <c r="DW568" s="5" t="s">
        <v>719</v>
      </c>
      <c r="HO568" s="5" t="s">
        <v>312</v>
      </c>
    </row>
    <row r="569" spans="1:223" x14ac:dyDescent="0.4">
      <c r="A569" s="5">
        <v>1431</v>
      </c>
      <c r="B569" s="5">
        <v>1</v>
      </c>
      <c r="C569" s="5">
        <v>1</v>
      </c>
      <c r="D569" s="5" t="s">
        <v>723</v>
      </c>
      <c r="E569" s="5" t="s">
        <v>725</v>
      </c>
      <c r="F569" s="5" t="s">
        <v>254</v>
      </c>
      <c r="G569" s="5" t="s">
        <v>240</v>
      </c>
      <c r="H569" s="6" t="s">
        <v>1160</v>
      </c>
      <c r="I569" s="5" t="s">
        <v>722</v>
      </c>
      <c r="J569" s="8">
        <f>986</f>
        <v>986</v>
      </c>
      <c r="K569" s="5" t="s">
        <v>308</v>
      </c>
      <c r="L569" s="7">
        <f>10846</f>
        <v>10846</v>
      </c>
      <c r="M569" s="7">
        <f>10846</f>
        <v>10846</v>
      </c>
      <c r="N569" s="5" t="s">
        <v>242</v>
      </c>
      <c r="O569" s="5">
        <v>1</v>
      </c>
      <c r="P569" s="5" t="s">
        <v>294</v>
      </c>
      <c r="Q569" s="5" t="s">
        <v>613</v>
      </c>
      <c r="R569" s="5" t="s">
        <v>240</v>
      </c>
      <c r="S569" s="5" t="s">
        <v>240</v>
      </c>
      <c r="T569" s="5" t="s">
        <v>243</v>
      </c>
      <c r="U569" s="5" t="s">
        <v>244</v>
      </c>
      <c r="V569" s="5" t="s">
        <v>240</v>
      </c>
      <c r="Y569" s="5" t="s">
        <v>240</v>
      </c>
      <c r="Z569" s="6" t="s">
        <v>298</v>
      </c>
      <c r="AB569" s="6" t="s">
        <v>240</v>
      </c>
      <c r="AE569" s="6" t="s">
        <v>299</v>
      </c>
      <c r="AF569" s="5" t="s">
        <v>248</v>
      </c>
      <c r="AG569" s="5" t="s">
        <v>249</v>
      </c>
      <c r="AW569" s="5" t="s">
        <v>251</v>
      </c>
      <c r="AX569" s="5" t="s">
        <v>240</v>
      </c>
      <c r="AY569" s="5" t="s">
        <v>253</v>
      </c>
      <c r="AZ569" s="5" t="s">
        <v>240</v>
      </c>
      <c r="BA569" s="5" t="s">
        <v>255</v>
      </c>
      <c r="BB569" s="5" t="s">
        <v>240</v>
      </c>
      <c r="BD569" s="5" t="s">
        <v>240</v>
      </c>
      <c r="BF569" s="5" t="s">
        <v>301</v>
      </c>
      <c r="BG569" s="6" t="s">
        <v>299</v>
      </c>
      <c r="BH569" s="5" t="s">
        <v>302</v>
      </c>
      <c r="BI569" s="5" t="s">
        <v>303</v>
      </c>
      <c r="BJ569" s="5" t="s">
        <v>240</v>
      </c>
      <c r="BK569" s="8">
        <f>0</f>
        <v>0</v>
      </c>
      <c r="BL569" s="7">
        <f>0</f>
        <v>0</v>
      </c>
      <c r="BM569" s="5" t="s">
        <v>258</v>
      </c>
      <c r="BN569" s="5" t="s">
        <v>259</v>
      </c>
      <c r="CB569" s="5" t="s">
        <v>240</v>
      </c>
      <c r="CC569" s="5" t="s">
        <v>240</v>
      </c>
      <c r="CG569" s="5" t="s">
        <v>617</v>
      </c>
      <c r="CH569" s="5" t="s">
        <v>305</v>
      </c>
      <c r="CI569" s="5" t="s">
        <v>240</v>
      </c>
      <c r="CL569" s="6" t="s">
        <v>261</v>
      </c>
      <c r="CM569" s="5" t="s">
        <v>240</v>
      </c>
      <c r="CN569" s="5" t="s">
        <v>263</v>
      </c>
      <c r="CO569" s="5" t="s">
        <v>240</v>
      </c>
      <c r="CP569" s="5" t="s">
        <v>240</v>
      </c>
      <c r="CQ569" s="5">
        <v>0</v>
      </c>
      <c r="CR569" s="5" t="s">
        <v>306</v>
      </c>
      <c r="CS569" s="5" t="s">
        <v>307</v>
      </c>
      <c r="CT569" s="5" t="s">
        <v>307</v>
      </c>
      <c r="CU569" s="5" t="s">
        <v>260</v>
      </c>
      <c r="CX569" s="7">
        <f>527170</f>
        <v>527170</v>
      </c>
      <c r="CY569" s="7">
        <f>0</f>
        <v>0</v>
      </c>
      <c r="DA569" s="7">
        <f>0</f>
        <v>0</v>
      </c>
      <c r="DC569" s="5" t="s">
        <v>689</v>
      </c>
      <c r="DD569" s="5" t="s">
        <v>240</v>
      </c>
      <c r="DF569" s="5" t="s">
        <v>1247</v>
      </c>
      <c r="DG569" s="7">
        <f>238</f>
        <v>238</v>
      </c>
      <c r="DI569" s="5" t="s">
        <v>618</v>
      </c>
      <c r="DJ569" s="5" t="s">
        <v>240</v>
      </c>
      <c r="DK569" s="5" t="s">
        <v>240</v>
      </c>
      <c r="DL569" s="5" t="s">
        <v>240</v>
      </c>
      <c r="DP569" s="5" t="s">
        <v>240</v>
      </c>
      <c r="DQ569" s="5" t="s">
        <v>240</v>
      </c>
      <c r="DR569" s="5" t="s">
        <v>240</v>
      </c>
      <c r="DS569" s="5" t="s">
        <v>240</v>
      </c>
      <c r="DV569" s="5" t="s">
        <v>1334</v>
      </c>
      <c r="DW569" s="5" t="s">
        <v>721</v>
      </c>
      <c r="HO569" s="5" t="s">
        <v>312</v>
      </c>
    </row>
    <row r="570" spans="1:223" x14ac:dyDescent="0.4">
      <c r="A570" s="5">
        <v>1432</v>
      </c>
      <c r="B570" s="5">
        <v>1</v>
      </c>
      <c r="C570" s="5">
        <v>1</v>
      </c>
      <c r="D570" s="5" t="s">
        <v>723</v>
      </c>
      <c r="E570" s="5" t="s">
        <v>725</v>
      </c>
      <c r="F570" s="5" t="s">
        <v>254</v>
      </c>
      <c r="G570" s="5" t="s">
        <v>240</v>
      </c>
      <c r="H570" s="6" t="s">
        <v>1159</v>
      </c>
      <c r="I570" s="5" t="s">
        <v>722</v>
      </c>
      <c r="J570" s="8">
        <f>1713</f>
        <v>1713</v>
      </c>
      <c r="K570" s="5" t="s">
        <v>308</v>
      </c>
      <c r="L570" s="7">
        <f>18843</f>
        <v>18843</v>
      </c>
      <c r="M570" s="7">
        <f>18843</f>
        <v>18843</v>
      </c>
      <c r="N570" s="5" t="s">
        <v>242</v>
      </c>
      <c r="O570" s="5">
        <v>1</v>
      </c>
      <c r="P570" s="5" t="s">
        <v>294</v>
      </c>
      <c r="Q570" s="5" t="s">
        <v>613</v>
      </c>
      <c r="R570" s="5" t="s">
        <v>240</v>
      </c>
      <c r="S570" s="5" t="s">
        <v>240</v>
      </c>
      <c r="T570" s="5" t="s">
        <v>243</v>
      </c>
      <c r="U570" s="5" t="s">
        <v>244</v>
      </c>
      <c r="V570" s="5" t="s">
        <v>240</v>
      </c>
      <c r="Y570" s="5" t="s">
        <v>240</v>
      </c>
      <c r="Z570" s="6" t="s">
        <v>298</v>
      </c>
      <c r="AB570" s="6" t="s">
        <v>240</v>
      </c>
      <c r="AE570" s="6" t="s">
        <v>299</v>
      </c>
      <c r="AF570" s="5" t="s">
        <v>248</v>
      </c>
      <c r="AG570" s="5" t="s">
        <v>249</v>
      </c>
      <c r="AW570" s="5" t="s">
        <v>251</v>
      </c>
      <c r="AX570" s="5" t="s">
        <v>240</v>
      </c>
      <c r="AY570" s="5" t="s">
        <v>253</v>
      </c>
      <c r="AZ570" s="5" t="s">
        <v>240</v>
      </c>
      <c r="BA570" s="5" t="s">
        <v>255</v>
      </c>
      <c r="BB570" s="5" t="s">
        <v>240</v>
      </c>
      <c r="BD570" s="5" t="s">
        <v>240</v>
      </c>
      <c r="BF570" s="5" t="s">
        <v>301</v>
      </c>
      <c r="BG570" s="6" t="s">
        <v>299</v>
      </c>
      <c r="BH570" s="5" t="s">
        <v>302</v>
      </c>
      <c r="BI570" s="5" t="s">
        <v>303</v>
      </c>
      <c r="BJ570" s="5" t="s">
        <v>240</v>
      </c>
      <c r="BK570" s="8">
        <f>0</f>
        <v>0</v>
      </c>
      <c r="BL570" s="7">
        <f>0</f>
        <v>0</v>
      </c>
      <c r="BM570" s="5" t="s">
        <v>258</v>
      </c>
      <c r="BN570" s="5" t="s">
        <v>259</v>
      </c>
      <c r="CB570" s="5" t="s">
        <v>240</v>
      </c>
      <c r="CC570" s="5" t="s">
        <v>240</v>
      </c>
      <c r="CG570" s="5" t="s">
        <v>617</v>
      </c>
      <c r="CH570" s="5" t="s">
        <v>305</v>
      </c>
      <c r="CI570" s="5" t="s">
        <v>240</v>
      </c>
      <c r="CL570" s="6" t="s">
        <v>261</v>
      </c>
      <c r="CM570" s="5" t="s">
        <v>240</v>
      </c>
      <c r="CN570" s="5" t="s">
        <v>263</v>
      </c>
      <c r="CO570" s="5" t="s">
        <v>240</v>
      </c>
      <c r="CP570" s="5" t="s">
        <v>240</v>
      </c>
      <c r="CQ570" s="5">
        <v>0</v>
      </c>
      <c r="CR570" s="5" t="s">
        <v>306</v>
      </c>
      <c r="CS570" s="5" t="s">
        <v>307</v>
      </c>
      <c r="CT570" s="5" t="s">
        <v>307</v>
      </c>
      <c r="CU570" s="5" t="s">
        <v>260</v>
      </c>
      <c r="CX570" s="7">
        <f>2305815</f>
        <v>2305815</v>
      </c>
      <c r="CY570" s="7">
        <f>0</f>
        <v>0</v>
      </c>
      <c r="DA570" s="7">
        <f>0</f>
        <v>0</v>
      </c>
      <c r="DC570" s="5" t="s">
        <v>689</v>
      </c>
      <c r="DD570" s="5" t="s">
        <v>240</v>
      </c>
      <c r="DF570" s="5" t="s">
        <v>1338</v>
      </c>
      <c r="DG570" s="7">
        <f>1041</f>
        <v>1041</v>
      </c>
      <c r="DI570" s="5" t="s">
        <v>618</v>
      </c>
      <c r="DJ570" s="5" t="s">
        <v>240</v>
      </c>
      <c r="DK570" s="5" t="s">
        <v>240</v>
      </c>
      <c r="DL570" s="5" t="s">
        <v>240</v>
      </c>
      <c r="DP570" s="5" t="s">
        <v>240</v>
      </c>
      <c r="DQ570" s="5" t="s">
        <v>240</v>
      </c>
      <c r="DR570" s="5" t="s">
        <v>240</v>
      </c>
      <c r="DS570" s="5" t="s">
        <v>240</v>
      </c>
      <c r="DV570" s="5" t="s">
        <v>1334</v>
      </c>
      <c r="DW570" s="5" t="s">
        <v>1364</v>
      </c>
      <c r="HO570" s="5" t="s">
        <v>312</v>
      </c>
    </row>
    <row r="571" spans="1:223" x14ac:dyDescent="0.4">
      <c r="A571" s="5">
        <v>1433</v>
      </c>
      <c r="B571" s="5">
        <v>1</v>
      </c>
      <c r="C571" s="5">
        <v>1</v>
      </c>
      <c r="D571" s="5" t="s">
        <v>723</v>
      </c>
      <c r="E571" s="5" t="s">
        <v>725</v>
      </c>
      <c r="F571" s="5" t="s">
        <v>254</v>
      </c>
      <c r="G571" s="5" t="s">
        <v>240</v>
      </c>
      <c r="H571" s="6" t="s">
        <v>1158</v>
      </c>
      <c r="I571" s="5" t="s">
        <v>722</v>
      </c>
      <c r="J571" s="8">
        <f>1977</f>
        <v>1977</v>
      </c>
      <c r="K571" s="5" t="s">
        <v>308</v>
      </c>
      <c r="L571" s="7">
        <f>21747</f>
        <v>21747</v>
      </c>
      <c r="M571" s="7">
        <f>21747</f>
        <v>21747</v>
      </c>
      <c r="N571" s="5" t="s">
        <v>242</v>
      </c>
      <c r="O571" s="5">
        <v>1</v>
      </c>
      <c r="P571" s="5" t="s">
        <v>294</v>
      </c>
      <c r="Q571" s="5" t="s">
        <v>613</v>
      </c>
      <c r="R571" s="5" t="s">
        <v>240</v>
      </c>
      <c r="S571" s="5" t="s">
        <v>240</v>
      </c>
      <c r="T571" s="5" t="s">
        <v>243</v>
      </c>
      <c r="U571" s="5" t="s">
        <v>244</v>
      </c>
      <c r="V571" s="5" t="s">
        <v>240</v>
      </c>
      <c r="Y571" s="5" t="s">
        <v>240</v>
      </c>
      <c r="Z571" s="6" t="s">
        <v>298</v>
      </c>
      <c r="AB571" s="6" t="s">
        <v>240</v>
      </c>
      <c r="AE571" s="6" t="s">
        <v>299</v>
      </c>
      <c r="AF571" s="5" t="s">
        <v>248</v>
      </c>
      <c r="AG571" s="5" t="s">
        <v>249</v>
      </c>
      <c r="AW571" s="5" t="s">
        <v>251</v>
      </c>
      <c r="AX571" s="5" t="s">
        <v>240</v>
      </c>
      <c r="AY571" s="5" t="s">
        <v>253</v>
      </c>
      <c r="AZ571" s="5" t="s">
        <v>240</v>
      </c>
      <c r="BA571" s="5" t="s">
        <v>255</v>
      </c>
      <c r="BB571" s="5" t="s">
        <v>240</v>
      </c>
      <c r="BD571" s="5" t="s">
        <v>240</v>
      </c>
      <c r="BF571" s="5" t="s">
        <v>301</v>
      </c>
      <c r="BG571" s="6" t="s">
        <v>299</v>
      </c>
      <c r="BH571" s="5" t="s">
        <v>302</v>
      </c>
      <c r="BI571" s="5" t="s">
        <v>303</v>
      </c>
      <c r="BJ571" s="5" t="s">
        <v>240</v>
      </c>
      <c r="BK571" s="8">
        <f>0</f>
        <v>0</v>
      </c>
      <c r="BL571" s="7">
        <f>0</f>
        <v>0</v>
      </c>
      <c r="BM571" s="5" t="s">
        <v>258</v>
      </c>
      <c r="BN571" s="5" t="s">
        <v>259</v>
      </c>
      <c r="CB571" s="5" t="s">
        <v>240</v>
      </c>
      <c r="CC571" s="5" t="s">
        <v>240</v>
      </c>
      <c r="CG571" s="5" t="s">
        <v>617</v>
      </c>
      <c r="CH571" s="5" t="s">
        <v>305</v>
      </c>
      <c r="CI571" s="5" t="s">
        <v>240</v>
      </c>
      <c r="CL571" s="6" t="s">
        <v>261</v>
      </c>
      <c r="CM571" s="5" t="s">
        <v>240</v>
      </c>
      <c r="CN571" s="5" t="s">
        <v>263</v>
      </c>
      <c r="CO571" s="5" t="s">
        <v>240</v>
      </c>
      <c r="CP571" s="5" t="s">
        <v>240</v>
      </c>
      <c r="CQ571" s="5">
        <v>0</v>
      </c>
      <c r="CR571" s="5" t="s">
        <v>306</v>
      </c>
      <c r="CS571" s="5" t="s">
        <v>307</v>
      </c>
      <c r="CT571" s="5" t="s">
        <v>307</v>
      </c>
      <c r="CU571" s="5" t="s">
        <v>260</v>
      </c>
      <c r="CX571" s="7">
        <f>3411100</f>
        <v>3411100</v>
      </c>
      <c r="CY571" s="7">
        <f>0</f>
        <v>0</v>
      </c>
      <c r="DA571" s="7">
        <f>0</f>
        <v>0</v>
      </c>
      <c r="DC571" s="5" t="s">
        <v>689</v>
      </c>
      <c r="DD571" s="5" t="s">
        <v>240</v>
      </c>
      <c r="DF571" s="5" t="s">
        <v>1338</v>
      </c>
      <c r="DG571" s="7">
        <f>1540</f>
        <v>1540</v>
      </c>
      <c r="DI571" s="5" t="s">
        <v>618</v>
      </c>
      <c r="DJ571" s="5" t="s">
        <v>240</v>
      </c>
      <c r="DK571" s="5" t="s">
        <v>240</v>
      </c>
      <c r="DL571" s="5" t="s">
        <v>240</v>
      </c>
      <c r="DP571" s="5" t="s">
        <v>240</v>
      </c>
      <c r="DQ571" s="5" t="s">
        <v>240</v>
      </c>
      <c r="DR571" s="5" t="s">
        <v>240</v>
      </c>
      <c r="DS571" s="5" t="s">
        <v>240</v>
      </c>
      <c r="DV571" s="5" t="s">
        <v>1334</v>
      </c>
      <c r="DW571" s="5" t="s">
        <v>740</v>
      </c>
      <c r="HO571" s="5" t="s">
        <v>312</v>
      </c>
    </row>
    <row r="572" spans="1:223" x14ac:dyDescent="0.4">
      <c r="A572" s="5">
        <v>1434</v>
      </c>
      <c r="B572" s="5">
        <v>1</v>
      </c>
      <c r="C572" s="5">
        <v>1</v>
      </c>
      <c r="D572" s="5" t="s">
        <v>723</v>
      </c>
      <c r="E572" s="5" t="s">
        <v>725</v>
      </c>
      <c r="F572" s="5" t="s">
        <v>254</v>
      </c>
      <c r="G572" s="5" t="s">
        <v>240</v>
      </c>
      <c r="H572" s="6" t="s">
        <v>1157</v>
      </c>
      <c r="I572" s="5" t="s">
        <v>722</v>
      </c>
      <c r="J572" s="8">
        <f>1836</f>
        <v>1836</v>
      </c>
      <c r="K572" s="5" t="s">
        <v>308</v>
      </c>
      <c r="L572" s="7">
        <f>20196</f>
        <v>20196</v>
      </c>
      <c r="M572" s="7">
        <f>20196</f>
        <v>20196</v>
      </c>
      <c r="N572" s="5" t="s">
        <v>242</v>
      </c>
      <c r="O572" s="5">
        <v>1</v>
      </c>
      <c r="P572" s="5" t="s">
        <v>294</v>
      </c>
      <c r="Q572" s="5" t="s">
        <v>613</v>
      </c>
      <c r="R572" s="5" t="s">
        <v>240</v>
      </c>
      <c r="S572" s="5" t="s">
        <v>240</v>
      </c>
      <c r="T572" s="5" t="s">
        <v>243</v>
      </c>
      <c r="U572" s="5" t="s">
        <v>244</v>
      </c>
      <c r="V572" s="5" t="s">
        <v>240</v>
      </c>
      <c r="Y572" s="5" t="s">
        <v>240</v>
      </c>
      <c r="Z572" s="6" t="s">
        <v>298</v>
      </c>
      <c r="AB572" s="6" t="s">
        <v>240</v>
      </c>
      <c r="AE572" s="6" t="s">
        <v>299</v>
      </c>
      <c r="AF572" s="5" t="s">
        <v>248</v>
      </c>
      <c r="AG572" s="5" t="s">
        <v>249</v>
      </c>
      <c r="AW572" s="5" t="s">
        <v>251</v>
      </c>
      <c r="AX572" s="5" t="s">
        <v>240</v>
      </c>
      <c r="AY572" s="5" t="s">
        <v>253</v>
      </c>
      <c r="AZ572" s="5" t="s">
        <v>240</v>
      </c>
      <c r="BA572" s="5" t="s">
        <v>255</v>
      </c>
      <c r="BB572" s="5" t="s">
        <v>240</v>
      </c>
      <c r="BD572" s="5" t="s">
        <v>240</v>
      </c>
      <c r="BF572" s="5" t="s">
        <v>301</v>
      </c>
      <c r="BG572" s="6" t="s">
        <v>299</v>
      </c>
      <c r="BH572" s="5" t="s">
        <v>302</v>
      </c>
      <c r="BI572" s="5" t="s">
        <v>303</v>
      </c>
      <c r="BJ572" s="5" t="s">
        <v>240</v>
      </c>
      <c r="BK572" s="8">
        <f>0</f>
        <v>0</v>
      </c>
      <c r="BL572" s="7">
        <f>0</f>
        <v>0</v>
      </c>
      <c r="BM572" s="5" t="s">
        <v>258</v>
      </c>
      <c r="BN572" s="5" t="s">
        <v>259</v>
      </c>
      <c r="CB572" s="5" t="s">
        <v>240</v>
      </c>
      <c r="CC572" s="5" t="s">
        <v>240</v>
      </c>
      <c r="CG572" s="5" t="s">
        <v>617</v>
      </c>
      <c r="CH572" s="5" t="s">
        <v>305</v>
      </c>
      <c r="CI572" s="5" t="s">
        <v>240</v>
      </c>
      <c r="CL572" s="6" t="s">
        <v>261</v>
      </c>
      <c r="CM572" s="5" t="s">
        <v>240</v>
      </c>
      <c r="CN572" s="5" t="s">
        <v>263</v>
      </c>
      <c r="CO572" s="5" t="s">
        <v>240</v>
      </c>
      <c r="CP572" s="5" t="s">
        <v>240</v>
      </c>
      <c r="CQ572" s="5">
        <v>0</v>
      </c>
      <c r="CR572" s="5" t="s">
        <v>306</v>
      </c>
      <c r="CS572" s="5" t="s">
        <v>307</v>
      </c>
      <c r="CT572" s="5" t="s">
        <v>307</v>
      </c>
      <c r="CU572" s="5" t="s">
        <v>260</v>
      </c>
      <c r="CX572" s="7">
        <f>225930</f>
        <v>225930</v>
      </c>
      <c r="CY572" s="7">
        <f>0</f>
        <v>0</v>
      </c>
      <c r="DA572" s="7">
        <f>0</f>
        <v>0</v>
      </c>
      <c r="DC572" s="5" t="s">
        <v>689</v>
      </c>
      <c r="DD572" s="5" t="s">
        <v>240</v>
      </c>
      <c r="DF572" s="5" t="s">
        <v>1247</v>
      </c>
      <c r="DG572" s="7">
        <f>102</f>
        <v>102</v>
      </c>
      <c r="DI572" s="5" t="s">
        <v>618</v>
      </c>
      <c r="DJ572" s="5" t="s">
        <v>240</v>
      </c>
      <c r="DK572" s="5" t="s">
        <v>240</v>
      </c>
      <c r="DL572" s="5" t="s">
        <v>240</v>
      </c>
      <c r="DP572" s="5" t="s">
        <v>240</v>
      </c>
      <c r="DQ572" s="5" t="s">
        <v>240</v>
      </c>
      <c r="DR572" s="5" t="s">
        <v>240</v>
      </c>
      <c r="DS572" s="5" t="s">
        <v>240</v>
      </c>
      <c r="DV572" s="5" t="s">
        <v>1334</v>
      </c>
      <c r="DW572" s="5" t="s">
        <v>742</v>
      </c>
      <c r="HO572" s="5" t="s">
        <v>312</v>
      </c>
    </row>
    <row r="573" spans="1:223" x14ac:dyDescent="0.4">
      <c r="A573" s="5">
        <v>1435</v>
      </c>
      <c r="B573" s="5">
        <v>1</v>
      </c>
      <c r="C573" s="5">
        <v>1</v>
      </c>
      <c r="D573" s="5" t="s">
        <v>723</v>
      </c>
      <c r="E573" s="5" t="s">
        <v>725</v>
      </c>
      <c r="F573" s="5" t="s">
        <v>254</v>
      </c>
      <c r="G573" s="5" t="s">
        <v>240</v>
      </c>
      <c r="H573" s="6" t="s">
        <v>1156</v>
      </c>
      <c r="I573" s="5" t="s">
        <v>722</v>
      </c>
      <c r="J573" s="8">
        <f>565</f>
        <v>565</v>
      </c>
      <c r="K573" s="5" t="s">
        <v>308</v>
      </c>
      <c r="L573" s="7">
        <f>6215</f>
        <v>6215</v>
      </c>
      <c r="M573" s="7">
        <f>6215</f>
        <v>6215</v>
      </c>
      <c r="N573" s="5" t="s">
        <v>242</v>
      </c>
      <c r="O573" s="5">
        <v>1</v>
      </c>
      <c r="P573" s="5" t="s">
        <v>294</v>
      </c>
      <c r="Q573" s="5" t="s">
        <v>613</v>
      </c>
      <c r="R573" s="5" t="s">
        <v>240</v>
      </c>
      <c r="S573" s="5" t="s">
        <v>240</v>
      </c>
      <c r="T573" s="5" t="s">
        <v>243</v>
      </c>
      <c r="U573" s="5" t="s">
        <v>244</v>
      </c>
      <c r="V573" s="5" t="s">
        <v>240</v>
      </c>
      <c r="Y573" s="5" t="s">
        <v>240</v>
      </c>
      <c r="Z573" s="6" t="s">
        <v>298</v>
      </c>
      <c r="AB573" s="6" t="s">
        <v>240</v>
      </c>
      <c r="AE573" s="6" t="s">
        <v>299</v>
      </c>
      <c r="AF573" s="5" t="s">
        <v>248</v>
      </c>
      <c r="AG573" s="5" t="s">
        <v>249</v>
      </c>
      <c r="AW573" s="5" t="s">
        <v>251</v>
      </c>
      <c r="AX573" s="5" t="s">
        <v>240</v>
      </c>
      <c r="AY573" s="5" t="s">
        <v>253</v>
      </c>
      <c r="AZ573" s="5" t="s">
        <v>240</v>
      </c>
      <c r="BA573" s="5" t="s">
        <v>255</v>
      </c>
      <c r="BB573" s="5" t="s">
        <v>240</v>
      </c>
      <c r="BD573" s="5" t="s">
        <v>240</v>
      </c>
      <c r="BF573" s="5" t="s">
        <v>301</v>
      </c>
      <c r="BG573" s="6" t="s">
        <v>299</v>
      </c>
      <c r="BH573" s="5" t="s">
        <v>302</v>
      </c>
      <c r="BI573" s="5" t="s">
        <v>303</v>
      </c>
      <c r="BJ573" s="5" t="s">
        <v>240</v>
      </c>
      <c r="BK573" s="8">
        <f>0</f>
        <v>0</v>
      </c>
      <c r="BL573" s="7">
        <f>0</f>
        <v>0</v>
      </c>
      <c r="BM573" s="5" t="s">
        <v>258</v>
      </c>
      <c r="BN573" s="5" t="s">
        <v>259</v>
      </c>
      <c r="CB573" s="5" t="s">
        <v>240</v>
      </c>
      <c r="CC573" s="5" t="s">
        <v>240</v>
      </c>
      <c r="CG573" s="5" t="s">
        <v>617</v>
      </c>
      <c r="CH573" s="5" t="s">
        <v>305</v>
      </c>
      <c r="CI573" s="5" t="s">
        <v>240</v>
      </c>
      <c r="CL573" s="6" t="s">
        <v>261</v>
      </c>
      <c r="CM573" s="5" t="s">
        <v>240</v>
      </c>
      <c r="CN573" s="5" t="s">
        <v>263</v>
      </c>
      <c r="CO573" s="5" t="s">
        <v>240</v>
      </c>
      <c r="CP573" s="5" t="s">
        <v>240</v>
      </c>
      <c r="CQ573" s="5">
        <v>0</v>
      </c>
      <c r="CR573" s="5" t="s">
        <v>306</v>
      </c>
      <c r="CS573" s="5" t="s">
        <v>307</v>
      </c>
      <c r="CT573" s="5" t="s">
        <v>307</v>
      </c>
      <c r="CU573" s="5" t="s">
        <v>260</v>
      </c>
      <c r="CX573" s="7">
        <f>819550</f>
        <v>819550</v>
      </c>
      <c r="CY573" s="7">
        <f>0</f>
        <v>0</v>
      </c>
      <c r="DA573" s="7">
        <f>0</f>
        <v>0</v>
      </c>
      <c r="DC573" s="5" t="s">
        <v>689</v>
      </c>
      <c r="DD573" s="5" t="s">
        <v>240</v>
      </c>
      <c r="DF573" s="5" t="s">
        <v>1338</v>
      </c>
      <c r="DG573" s="7">
        <f>370</f>
        <v>370</v>
      </c>
      <c r="DI573" s="5" t="s">
        <v>618</v>
      </c>
      <c r="DJ573" s="5" t="s">
        <v>240</v>
      </c>
      <c r="DK573" s="5" t="s">
        <v>240</v>
      </c>
      <c r="DL573" s="5" t="s">
        <v>240</v>
      </c>
      <c r="DP573" s="5" t="s">
        <v>240</v>
      </c>
      <c r="DQ573" s="5" t="s">
        <v>240</v>
      </c>
      <c r="DR573" s="5" t="s">
        <v>240</v>
      </c>
      <c r="DS573" s="5" t="s">
        <v>240</v>
      </c>
      <c r="DV573" s="5" t="s">
        <v>1334</v>
      </c>
      <c r="DW573" s="5" t="s">
        <v>744</v>
      </c>
      <c r="HO573" s="5" t="s">
        <v>312</v>
      </c>
    </row>
    <row r="574" spans="1:223" x14ac:dyDescent="0.4">
      <c r="A574" s="5">
        <v>1436</v>
      </c>
      <c r="B574" s="5">
        <v>1</v>
      </c>
      <c r="C574" s="5">
        <v>1</v>
      </c>
      <c r="D574" s="5" t="s">
        <v>723</v>
      </c>
      <c r="E574" s="5" t="s">
        <v>725</v>
      </c>
      <c r="F574" s="5" t="s">
        <v>254</v>
      </c>
      <c r="G574" s="5" t="s">
        <v>240</v>
      </c>
      <c r="H574" s="6" t="s">
        <v>1155</v>
      </c>
      <c r="I574" s="5" t="s">
        <v>722</v>
      </c>
      <c r="J574" s="8">
        <f>1861.98</f>
        <v>1861.98</v>
      </c>
      <c r="K574" s="5" t="s">
        <v>308</v>
      </c>
      <c r="L574" s="7">
        <f>20481</f>
        <v>20481</v>
      </c>
      <c r="M574" s="7">
        <f>20481</f>
        <v>20481</v>
      </c>
      <c r="N574" s="5" t="s">
        <v>242</v>
      </c>
      <c r="O574" s="5">
        <v>1</v>
      </c>
      <c r="P574" s="5" t="s">
        <v>294</v>
      </c>
      <c r="Q574" s="5" t="s">
        <v>613</v>
      </c>
      <c r="R574" s="5" t="s">
        <v>240</v>
      </c>
      <c r="S574" s="5" t="s">
        <v>240</v>
      </c>
      <c r="T574" s="5" t="s">
        <v>243</v>
      </c>
      <c r="U574" s="5" t="s">
        <v>244</v>
      </c>
      <c r="V574" s="5" t="s">
        <v>240</v>
      </c>
      <c r="Y574" s="5" t="s">
        <v>240</v>
      </c>
      <c r="Z574" s="6" t="s">
        <v>298</v>
      </c>
      <c r="AB574" s="6" t="s">
        <v>240</v>
      </c>
      <c r="AE574" s="6" t="s">
        <v>299</v>
      </c>
      <c r="AF574" s="5" t="s">
        <v>248</v>
      </c>
      <c r="AG574" s="5" t="s">
        <v>249</v>
      </c>
      <c r="AW574" s="5" t="s">
        <v>251</v>
      </c>
      <c r="AX574" s="5" t="s">
        <v>240</v>
      </c>
      <c r="AY574" s="5" t="s">
        <v>253</v>
      </c>
      <c r="AZ574" s="5" t="s">
        <v>240</v>
      </c>
      <c r="BA574" s="5" t="s">
        <v>255</v>
      </c>
      <c r="BB574" s="5" t="s">
        <v>240</v>
      </c>
      <c r="BD574" s="5" t="s">
        <v>240</v>
      </c>
      <c r="BF574" s="5" t="s">
        <v>301</v>
      </c>
      <c r="BG574" s="6" t="s">
        <v>299</v>
      </c>
      <c r="BH574" s="5" t="s">
        <v>302</v>
      </c>
      <c r="BI574" s="5" t="s">
        <v>303</v>
      </c>
      <c r="BJ574" s="5" t="s">
        <v>240</v>
      </c>
      <c r="BK574" s="8">
        <f>0</f>
        <v>0</v>
      </c>
      <c r="BL574" s="7">
        <f>0</f>
        <v>0</v>
      </c>
      <c r="BM574" s="5" t="s">
        <v>258</v>
      </c>
      <c r="BN574" s="5" t="s">
        <v>259</v>
      </c>
      <c r="CB574" s="5" t="s">
        <v>240</v>
      </c>
      <c r="CC574" s="5" t="s">
        <v>240</v>
      </c>
      <c r="CG574" s="5" t="s">
        <v>617</v>
      </c>
      <c r="CH574" s="5" t="s">
        <v>305</v>
      </c>
      <c r="CI574" s="5" t="s">
        <v>240</v>
      </c>
      <c r="CL574" s="6" t="s">
        <v>261</v>
      </c>
      <c r="CM574" s="5" t="s">
        <v>240</v>
      </c>
      <c r="CN574" s="5" t="s">
        <v>263</v>
      </c>
      <c r="CO574" s="5" t="s">
        <v>240</v>
      </c>
      <c r="CP574" s="5" t="s">
        <v>240</v>
      </c>
      <c r="CQ574" s="5">
        <v>0</v>
      </c>
      <c r="CR574" s="5" t="s">
        <v>306</v>
      </c>
      <c r="CS574" s="5" t="s">
        <v>307</v>
      </c>
      <c r="CT574" s="5" t="s">
        <v>307</v>
      </c>
      <c r="CU574" s="5" t="s">
        <v>260</v>
      </c>
      <c r="CX574" s="7">
        <f>1486265</f>
        <v>1486265</v>
      </c>
      <c r="CY574" s="7">
        <f>0</f>
        <v>0</v>
      </c>
      <c r="DA574" s="7">
        <f>0</f>
        <v>0</v>
      </c>
      <c r="DC574" s="5" t="s">
        <v>689</v>
      </c>
      <c r="DD574" s="5" t="s">
        <v>240</v>
      </c>
      <c r="DF574" s="5" t="s">
        <v>1338</v>
      </c>
      <c r="DG574" s="7">
        <f>671</f>
        <v>671</v>
      </c>
      <c r="DI574" s="5" t="s">
        <v>618</v>
      </c>
      <c r="DJ574" s="5" t="s">
        <v>240</v>
      </c>
      <c r="DK574" s="5" t="s">
        <v>240</v>
      </c>
      <c r="DL574" s="5" t="s">
        <v>240</v>
      </c>
      <c r="DP574" s="5" t="s">
        <v>240</v>
      </c>
      <c r="DQ574" s="5" t="s">
        <v>240</v>
      </c>
      <c r="DR574" s="5" t="s">
        <v>240</v>
      </c>
      <c r="DS574" s="5" t="s">
        <v>240</v>
      </c>
      <c r="DV574" s="5" t="s">
        <v>1334</v>
      </c>
      <c r="DW574" s="5" t="s">
        <v>748</v>
      </c>
      <c r="HO574" s="5" t="s">
        <v>312</v>
      </c>
    </row>
    <row r="575" spans="1:223" x14ac:dyDescent="0.4">
      <c r="A575" s="5">
        <v>1437</v>
      </c>
      <c r="B575" s="5">
        <v>1</v>
      </c>
      <c r="C575" s="5">
        <v>1</v>
      </c>
      <c r="D575" s="5" t="s">
        <v>723</v>
      </c>
      <c r="E575" s="5" t="s">
        <v>725</v>
      </c>
      <c r="F575" s="5" t="s">
        <v>254</v>
      </c>
      <c r="G575" s="5" t="s">
        <v>240</v>
      </c>
      <c r="H575" s="6" t="s">
        <v>1154</v>
      </c>
      <c r="I575" s="5" t="s">
        <v>722</v>
      </c>
      <c r="J575" s="8">
        <f>3275</f>
        <v>3275</v>
      </c>
      <c r="K575" s="5" t="s">
        <v>308</v>
      </c>
      <c r="L575" s="7">
        <f>36025</f>
        <v>36025</v>
      </c>
      <c r="M575" s="7">
        <f>36025</f>
        <v>36025</v>
      </c>
      <c r="N575" s="5" t="s">
        <v>242</v>
      </c>
      <c r="O575" s="5">
        <v>1</v>
      </c>
      <c r="P575" s="5" t="s">
        <v>294</v>
      </c>
      <c r="Q575" s="5" t="s">
        <v>613</v>
      </c>
      <c r="R575" s="5" t="s">
        <v>240</v>
      </c>
      <c r="S575" s="5" t="s">
        <v>240</v>
      </c>
      <c r="T575" s="5" t="s">
        <v>243</v>
      </c>
      <c r="U575" s="5" t="s">
        <v>244</v>
      </c>
      <c r="V575" s="5" t="s">
        <v>240</v>
      </c>
      <c r="Y575" s="5" t="s">
        <v>240</v>
      </c>
      <c r="Z575" s="6" t="s">
        <v>298</v>
      </c>
      <c r="AB575" s="6" t="s">
        <v>240</v>
      </c>
      <c r="AE575" s="6" t="s">
        <v>299</v>
      </c>
      <c r="AF575" s="5" t="s">
        <v>248</v>
      </c>
      <c r="AG575" s="5" t="s">
        <v>249</v>
      </c>
      <c r="AW575" s="5" t="s">
        <v>251</v>
      </c>
      <c r="AX575" s="5" t="s">
        <v>240</v>
      </c>
      <c r="AY575" s="5" t="s">
        <v>253</v>
      </c>
      <c r="AZ575" s="5" t="s">
        <v>240</v>
      </c>
      <c r="BA575" s="5" t="s">
        <v>255</v>
      </c>
      <c r="BB575" s="5" t="s">
        <v>240</v>
      </c>
      <c r="BD575" s="5" t="s">
        <v>240</v>
      </c>
      <c r="BF575" s="5" t="s">
        <v>301</v>
      </c>
      <c r="BG575" s="6" t="s">
        <v>299</v>
      </c>
      <c r="BH575" s="5" t="s">
        <v>302</v>
      </c>
      <c r="BI575" s="5" t="s">
        <v>303</v>
      </c>
      <c r="BJ575" s="5" t="s">
        <v>240</v>
      </c>
      <c r="BK575" s="8">
        <f>0</f>
        <v>0</v>
      </c>
      <c r="BL575" s="7">
        <f>0</f>
        <v>0</v>
      </c>
      <c r="BM575" s="5" t="s">
        <v>258</v>
      </c>
      <c r="BN575" s="5" t="s">
        <v>259</v>
      </c>
      <c r="CB575" s="5" t="s">
        <v>240</v>
      </c>
      <c r="CC575" s="5" t="s">
        <v>240</v>
      </c>
      <c r="CG575" s="5" t="s">
        <v>617</v>
      </c>
      <c r="CH575" s="5" t="s">
        <v>305</v>
      </c>
      <c r="CI575" s="5" t="s">
        <v>240</v>
      </c>
      <c r="CL575" s="6" t="s">
        <v>261</v>
      </c>
      <c r="CM575" s="5" t="s">
        <v>240</v>
      </c>
      <c r="CN575" s="5" t="s">
        <v>263</v>
      </c>
      <c r="CO575" s="5" t="s">
        <v>240</v>
      </c>
      <c r="CP575" s="5" t="s">
        <v>240</v>
      </c>
      <c r="CQ575" s="5">
        <v>0</v>
      </c>
      <c r="CR575" s="5" t="s">
        <v>306</v>
      </c>
      <c r="CS575" s="5" t="s">
        <v>307</v>
      </c>
      <c r="CT575" s="5" t="s">
        <v>307</v>
      </c>
      <c r="CU575" s="5" t="s">
        <v>260</v>
      </c>
      <c r="CX575" s="7">
        <f>369905</f>
        <v>369905</v>
      </c>
      <c r="CY575" s="7">
        <f>0</f>
        <v>0</v>
      </c>
      <c r="DA575" s="7">
        <f>0</f>
        <v>0</v>
      </c>
      <c r="DC575" s="5" t="s">
        <v>689</v>
      </c>
      <c r="DD575" s="5" t="s">
        <v>240</v>
      </c>
      <c r="DF575" s="5" t="s">
        <v>1247</v>
      </c>
      <c r="DG575" s="7">
        <f>167</f>
        <v>167</v>
      </c>
      <c r="DI575" s="5" t="s">
        <v>618</v>
      </c>
      <c r="DJ575" s="5" t="s">
        <v>240</v>
      </c>
      <c r="DK575" s="5" t="s">
        <v>240</v>
      </c>
      <c r="DL575" s="5" t="s">
        <v>240</v>
      </c>
      <c r="DP575" s="5" t="s">
        <v>240</v>
      </c>
      <c r="DQ575" s="5" t="s">
        <v>240</v>
      </c>
      <c r="DR575" s="5" t="s">
        <v>240</v>
      </c>
      <c r="DS575" s="5" t="s">
        <v>240</v>
      </c>
      <c r="DV575" s="5" t="s">
        <v>1334</v>
      </c>
      <c r="DW575" s="5" t="s">
        <v>750</v>
      </c>
      <c r="HO575" s="5" t="s">
        <v>312</v>
      </c>
    </row>
    <row r="576" spans="1:223" x14ac:dyDescent="0.4">
      <c r="A576" s="5">
        <v>1438</v>
      </c>
      <c r="B576" s="5">
        <v>1</v>
      </c>
      <c r="C576" s="5">
        <v>1</v>
      </c>
      <c r="D576" s="5" t="s">
        <v>723</v>
      </c>
      <c r="E576" s="5" t="s">
        <v>725</v>
      </c>
      <c r="F576" s="5" t="s">
        <v>254</v>
      </c>
      <c r="G576" s="5" t="s">
        <v>240</v>
      </c>
      <c r="H576" s="6" t="s">
        <v>1153</v>
      </c>
      <c r="I576" s="5" t="s">
        <v>722</v>
      </c>
      <c r="J576" s="8">
        <f>2932</f>
        <v>2932</v>
      </c>
      <c r="K576" s="5" t="s">
        <v>308</v>
      </c>
      <c r="L576" s="7">
        <f>32252</f>
        <v>32252</v>
      </c>
      <c r="M576" s="7">
        <f>32252</f>
        <v>32252</v>
      </c>
      <c r="N576" s="5" t="s">
        <v>242</v>
      </c>
      <c r="O576" s="5">
        <v>1</v>
      </c>
      <c r="P576" s="5" t="s">
        <v>294</v>
      </c>
      <c r="Q576" s="5" t="s">
        <v>613</v>
      </c>
      <c r="R576" s="5" t="s">
        <v>240</v>
      </c>
      <c r="S576" s="5" t="s">
        <v>240</v>
      </c>
      <c r="T576" s="5" t="s">
        <v>243</v>
      </c>
      <c r="U576" s="5" t="s">
        <v>244</v>
      </c>
      <c r="V576" s="5" t="s">
        <v>240</v>
      </c>
      <c r="Y576" s="5" t="s">
        <v>240</v>
      </c>
      <c r="Z576" s="6" t="s">
        <v>298</v>
      </c>
      <c r="AB576" s="6" t="s">
        <v>240</v>
      </c>
      <c r="AE576" s="6" t="s">
        <v>299</v>
      </c>
      <c r="AF576" s="5" t="s">
        <v>248</v>
      </c>
      <c r="AG576" s="5" t="s">
        <v>249</v>
      </c>
      <c r="AW576" s="5" t="s">
        <v>251</v>
      </c>
      <c r="AX576" s="5" t="s">
        <v>240</v>
      </c>
      <c r="AY576" s="5" t="s">
        <v>253</v>
      </c>
      <c r="AZ576" s="5" t="s">
        <v>240</v>
      </c>
      <c r="BA576" s="5" t="s">
        <v>255</v>
      </c>
      <c r="BB576" s="5" t="s">
        <v>240</v>
      </c>
      <c r="BD576" s="5" t="s">
        <v>240</v>
      </c>
      <c r="BF576" s="5" t="s">
        <v>301</v>
      </c>
      <c r="BG576" s="6" t="s">
        <v>299</v>
      </c>
      <c r="BH576" s="5" t="s">
        <v>302</v>
      </c>
      <c r="BI576" s="5" t="s">
        <v>303</v>
      </c>
      <c r="BJ576" s="5" t="s">
        <v>240</v>
      </c>
      <c r="BK576" s="8">
        <f>0</f>
        <v>0</v>
      </c>
      <c r="BL576" s="7">
        <f>0</f>
        <v>0</v>
      </c>
      <c r="BM576" s="5" t="s">
        <v>258</v>
      </c>
      <c r="BN576" s="5" t="s">
        <v>259</v>
      </c>
      <c r="CB576" s="5" t="s">
        <v>240</v>
      </c>
      <c r="CC576" s="5" t="s">
        <v>240</v>
      </c>
      <c r="CG576" s="5" t="s">
        <v>617</v>
      </c>
      <c r="CH576" s="5" t="s">
        <v>305</v>
      </c>
      <c r="CI576" s="5" t="s">
        <v>240</v>
      </c>
      <c r="CL576" s="6" t="s">
        <v>261</v>
      </c>
      <c r="CM576" s="5" t="s">
        <v>240</v>
      </c>
      <c r="CN576" s="5" t="s">
        <v>263</v>
      </c>
      <c r="CO576" s="5" t="s">
        <v>240</v>
      </c>
      <c r="CP576" s="5" t="s">
        <v>240</v>
      </c>
      <c r="CQ576" s="5">
        <v>0</v>
      </c>
      <c r="CR576" s="5" t="s">
        <v>306</v>
      </c>
      <c r="CS576" s="5" t="s">
        <v>307</v>
      </c>
      <c r="CT576" s="5" t="s">
        <v>307</v>
      </c>
      <c r="CU576" s="5" t="s">
        <v>260</v>
      </c>
      <c r="CX576" s="7">
        <f>458505</f>
        <v>458505</v>
      </c>
      <c r="CY576" s="7">
        <f>0</f>
        <v>0</v>
      </c>
      <c r="DA576" s="7">
        <f>0</f>
        <v>0</v>
      </c>
      <c r="DC576" s="5" t="s">
        <v>689</v>
      </c>
      <c r="DD576" s="5" t="s">
        <v>240</v>
      </c>
      <c r="DF576" s="5" t="s">
        <v>1338</v>
      </c>
      <c r="DG576" s="7">
        <f>207</f>
        <v>207</v>
      </c>
      <c r="DI576" s="5" t="s">
        <v>618</v>
      </c>
      <c r="DJ576" s="5" t="s">
        <v>240</v>
      </c>
      <c r="DK576" s="5" t="s">
        <v>240</v>
      </c>
      <c r="DL576" s="5" t="s">
        <v>240</v>
      </c>
      <c r="DP576" s="5" t="s">
        <v>240</v>
      </c>
      <c r="DQ576" s="5" t="s">
        <v>240</v>
      </c>
      <c r="DR576" s="5" t="s">
        <v>240</v>
      </c>
      <c r="DS576" s="5" t="s">
        <v>240</v>
      </c>
      <c r="DV576" s="5" t="s">
        <v>1334</v>
      </c>
      <c r="DW576" s="5" t="s">
        <v>752</v>
      </c>
      <c r="HO576" s="5" t="s">
        <v>312</v>
      </c>
    </row>
    <row r="577" spans="1:223" x14ac:dyDescent="0.4">
      <c r="A577" s="5">
        <v>1439</v>
      </c>
      <c r="B577" s="5">
        <v>1</v>
      </c>
      <c r="C577" s="5">
        <v>1</v>
      </c>
      <c r="D577" s="5" t="s">
        <v>723</v>
      </c>
      <c r="E577" s="5" t="s">
        <v>725</v>
      </c>
      <c r="F577" s="5" t="s">
        <v>254</v>
      </c>
      <c r="G577" s="5" t="s">
        <v>240</v>
      </c>
      <c r="H577" s="6" t="s">
        <v>1152</v>
      </c>
      <c r="I577" s="5" t="s">
        <v>722</v>
      </c>
      <c r="J577" s="8">
        <f>3887</f>
        <v>3887</v>
      </c>
      <c r="K577" s="5" t="s">
        <v>308</v>
      </c>
      <c r="L577" s="7">
        <f>42757</f>
        <v>42757</v>
      </c>
      <c r="M577" s="7">
        <f>42757</f>
        <v>42757</v>
      </c>
      <c r="N577" s="5" t="s">
        <v>242</v>
      </c>
      <c r="O577" s="5">
        <v>1</v>
      </c>
      <c r="P577" s="5" t="s">
        <v>294</v>
      </c>
      <c r="Q577" s="5" t="s">
        <v>613</v>
      </c>
      <c r="R577" s="5" t="s">
        <v>240</v>
      </c>
      <c r="S577" s="5" t="s">
        <v>240</v>
      </c>
      <c r="T577" s="5" t="s">
        <v>243</v>
      </c>
      <c r="U577" s="5" t="s">
        <v>244</v>
      </c>
      <c r="V577" s="5" t="s">
        <v>240</v>
      </c>
      <c r="Y577" s="5" t="s">
        <v>240</v>
      </c>
      <c r="Z577" s="6" t="s">
        <v>298</v>
      </c>
      <c r="AB577" s="6" t="s">
        <v>240</v>
      </c>
      <c r="AE577" s="6" t="s">
        <v>299</v>
      </c>
      <c r="AF577" s="5" t="s">
        <v>248</v>
      </c>
      <c r="AG577" s="5" t="s">
        <v>249</v>
      </c>
      <c r="AW577" s="5" t="s">
        <v>251</v>
      </c>
      <c r="AX577" s="5" t="s">
        <v>240</v>
      </c>
      <c r="AY577" s="5" t="s">
        <v>253</v>
      </c>
      <c r="AZ577" s="5" t="s">
        <v>240</v>
      </c>
      <c r="BA577" s="5" t="s">
        <v>255</v>
      </c>
      <c r="BB577" s="5" t="s">
        <v>240</v>
      </c>
      <c r="BD577" s="5" t="s">
        <v>240</v>
      </c>
      <c r="BF577" s="5" t="s">
        <v>301</v>
      </c>
      <c r="BG577" s="6" t="s">
        <v>299</v>
      </c>
      <c r="BH577" s="5" t="s">
        <v>302</v>
      </c>
      <c r="BI577" s="5" t="s">
        <v>303</v>
      </c>
      <c r="BJ577" s="5" t="s">
        <v>240</v>
      </c>
      <c r="BK577" s="8">
        <f>0</f>
        <v>0</v>
      </c>
      <c r="BL577" s="7">
        <f>0</f>
        <v>0</v>
      </c>
      <c r="BM577" s="5" t="s">
        <v>258</v>
      </c>
      <c r="BN577" s="5" t="s">
        <v>259</v>
      </c>
      <c r="CB577" s="5" t="s">
        <v>240</v>
      </c>
      <c r="CC577" s="5" t="s">
        <v>240</v>
      </c>
      <c r="CG577" s="5" t="s">
        <v>617</v>
      </c>
      <c r="CH577" s="5" t="s">
        <v>305</v>
      </c>
      <c r="CI577" s="5" t="s">
        <v>240</v>
      </c>
      <c r="CL577" s="6" t="s">
        <v>261</v>
      </c>
      <c r="CM577" s="5" t="s">
        <v>240</v>
      </c>
      <c r="CN577" s="5" t="s">
        <v>263</v>
      </c>
      <c r="CO577" s="5" t="s">
        <v>240</v>
      </c>
      <c r="CP577" s="5" t="s">
        <v>240</v>
      </c>
      <c r="CQ577" s="5">
        <v>0</v>
      </c>
      <c r="CR577" s="5" t="s">
        <v>306</v>
      </c>
      <c r="CS577" s="5" t="s">
        <v>307</v>
      </c>
      <c r="CT577" s="5" t="s">
        <v>307</v>
      </c>
      <c r="CU577" s="5" t="s">
        <v>260</v>
      </c>
      <c r="CX577" s="7">
        <f>201565</f>
        <v>201565</v>
      </c>
      <c r="CY577" s="7">
        <f>0</f>
        <v>0</v>
      </c>
      <c r="DA577" s="7">
        <f>0</f>
        <v>0</v>
      </c>
      <c r="DC577" s="5" t="s">
        <v>689</v>
      </c>
      <c r="DD577" s="5" t="s">
        <v>240</v>
      </c>
      <c r="DF577" s="5" t="s">
        <v>1338</v>
      </c>
      <c r="DG577" s="7">
        <f>91</f>
        <v>91</v>
      </c>
      <c r="DI577" s="5" t="s">
        <v>618</v>
      </c>
      <c r="DJ577" s="5" t="s">
        <v>240</v>
      </c>
      <c r="DK577" s="5" t="s">
        <v>240</v>
      </c>
      <c r="DL577" s="5" t="s">
        <v>240</v>
      </c>
      <c r="DP577" s="5" t="s">
        <v>240</v>
      </c>
      <c r="DQ577" s="5" t="s">
        <v>240</v>
      </c>
      <c r="DR577" s="5" t="s">
        <v>240</v>
      </c>
      <c r="DS577" s="5" t="s">
        <v>240</v>
      </c>
      <c r="DV577" s="5" t="s">
        <v>1334</v>
      </c>
      <c r="DW577" s="5" t="s">
        <v>754</v>
      </c>
      <c r="HO577" s="5" t="s">
        <v>312</v>
      </c>
    </row>
    <row r="578" spans="1:223" x14ac:dyDescent="0.4">
      <c r="A578" s="5">
        <v>1440</v>
      </c>
      <c r="B578" s="5">
        <v>1</v>
      </c>
      <c r="C578" s="5">
        <v>1</v>
      </c>
      <c r="D578" s="5" t="s">
        <v>723</v>
      </c>
      <c r="E578" s="5" t="s">
        <v>725</v>
      </c>
      <c r="F578" s="5" t="s">
        <v>254</v>
      </c>
      <c r="G578" s="5" t="s">
        <v>240</v>
      </c>
      <c r="H578" s="6" t="s">
        <v>1150</v>
      </c>
      <c r="I578" s="5" t="s">
        <v>722</v>
      </c>
      <c r="J578" s="8">
        <f>548</f>
        <v>548</v>
      </c>
      <c r="K578" s="5" t="s">
        <v>308</v>
      </c>
      <c r="L578" s="7">
        <f>6028</f>
        <v>6028</v>
      </c>
      <c r="M578" s="7">
        <f>6028</f>
        <v>6028</v>
      </c>
      <c r="N578" s="5" t="s">
        <v>242</v>
      </c>
      <c r="O578" s="5">
        <v>1</v>
      </c>
      <c r="P578" s="5" t="s">
        <v>294</v>
      </c>
      <c r="Q578" s="5" t="s">
        <v>613</v>
      </c>
      <c r="R578" s="5" t="s">
        <v>240</v>
      </c>
      <c r="S578" s="5" t="s">
        <v>240</v>
      </c>
      <c r="T578" s="5" t="s">
        <v>243</v>
      </c>
      <c r="U578" s="5" t="s">
        <v>244</v>
      </c>
      <c r="V578" s="5" t="s">
        <v>240</v>
      </c>
      <c r="Y578" s="5" t="s">
        <v>240</v>
      </c>
      <c r="Z578" s="6" t="s">
        <v>298</v>
      </c>
      <c r="AB578" s="6" t="s">
        <v>240</v>
      </c>
      <c r="AE578" s="6" t="s">
        <v>299</v>
      </c>
      <c r="AF578" s="5" t="s">
        <v>248</v>
      </c>
      <c r="AG578" s="5" t="s">
        <v>249</v>
      </c>
      <c r="AW578" s="5" t="s">
        <v>251</v>
      </c>
      <c r="AX578" s="5" t="s">
        <v>240</v>
      </c>
      <c r="AY578" s="5" t="s">
        <v>253</v>
      </c>
      <c r="AZ578" s="5" t="s">
        <v>240</v>
      </c>
      <c r="BA578" s="5" t="s">
        <v>255</v>
      </c>
      <c r="BB578" s="5" t="s">
        <v>240</v>
      </c>
      <c r="BD578" s="5" t="s">
        <v>240</v>
      </c>
      <c r="BF578" s="5" t="s">
        <v>301</v>
      </c>
      <c r="BG578" s="6" t="s">
        <v>299</v>
      </c>
      <c r="BH578" s="5" t="s">
        <v>302</v>
      </c>
      <c r="BI578" s="5" t="s">
        <v>303</v>
      </c>
      <c r="BJ578" s="5" t="s">
        <v>240</v>
      </c>
      <c r="BK578" s="8">
        <f>0</f>
        <v>0</v>
      </c>
      <c r="BL578" s="7">
        <f>0</f>
        <v>0</v>
      </c>
      <c r="BM578" s="5" t="s">
        <v>258</v>
      </c>
      <c r="BN578" s="5" t="s">
        <v>259</v>
      </c>
      <c r="CB578" s="5" t="s">
        <v>240</v>
      </c>
      <c r="CC578" s="5" t="s">
        <v>240</v>
      </c>
      <c r="CG578" s="5" t="s">
        <v>617</v>
      </c>
      <c r="CH578" s="5" t="s">
        <v>305</v>
      </c>
      <c r="CI578" s="5" t="s">
        <v>240</v>
      </c>
      <c r="CL578" s="6" t="s">
        <v>261</v>
      </c>
      <c r="CM578" s="5" t="s">
        <v>240</v>
      </c>
      <c r="CN578" s="5" t="s">
        <v>263</v>
      </c>
      <c r="CO578" s="5" t="s">
        <v>240</v>
      </c>
      <c r="CP578" s="5" t="s">
        <v>240</v>
      </c>
      <c r="CQ578" s="5">
        <v>0</v>
      </c>
      <c r="CR578" s="5" t="s">
        <v>306</v>
      </c>
      <c r="CS578" s="5" t="s">
        <v>307</v>
      </c>
      <c r="CT578" s="5" t="s">
        <v>307</v>
      </c>
      <c r="CU578" s="5" t="s">
        <v>260</v>
      </c>
      <c r="CX578" s="7">
        <f>197135</f>
        <v>197135</v>
      </c>
      <c r="CY578" s="7">
        <f>0</f>
        <v>0</v>
      </c>
      <c r="DA578" s="7">
        <f>0</f>
        <v>0</v>
      </c>
      <c r="DC578" s="5" t="s">
        <v>689</v>
      </c>
      <c r="DD578" s="5" t="s">
        <v>240</v>
      </c>
      <c r="DF578" s="5" t="s">
        <v>1338</v>
      </c>
      <c r="DG578" s="7">
        <f>89</f>
        <v>89</v>
      </c>
      <c r="DI578" s="5" t="s">
        <v>618</v>
      </c>
      <c r="DJ578" s="5" t="s">
        <v>240</v>
      </c>
      <c r="DK578" s="5" t="s">
        <v>240</v>
      </c>
      <c r="DL578" s="5" t="s">
        <v>240</v>
      </c>
      <c r="DP578" s="5" t="s">
        <v>240</v>
      </c>
      <c r="DQ578" s="5" t="s">
        <v>240</v>
      </c>
      <c r="DR578" s="5" t="s">
        <v>240</v>
      </c>
      <c r="DS578" s="5" t="s">
        <v>240</v>
      </c>
      <c r="DV578" s="5" t="s">
        <v>1334</v>
      </c>
      <c r="DW578" s="5" t="s">
        <v>756</v>
      </c>
      <c r="HO578" s="5" t="s">
        <v>312</v>
      </c>
    </row>
    <row r="579" spans="1:223" x14ac:dyDescent="0.4">
      <c r="A579" s="5">
        <v>1441</v>
      </c>
      <c r="B579" s="5">
        <v>1</v>
      </c>
      <c r="C579" s="5">
        <v>1</v>
      </c>
      <c r="D579" s="5" t="s">
        <v>723</v>
      </c>
      <c r="E579" s="5" t="s">
        <v>725</v>
      </c>
      <c r="F579" s="5" t="s">
        <v>254</v>
      </c>
      <c r="G579" s="5" t="s">
        <v>240</v>
      </c>
      <c r="H579" s="6" t="s">
        <v>1149</v>
      </c>
      <c r="I579" s="5" t="s">
        <v>722</v>
      </c>
      <c r="J579" s="8">
        <f>728</f>
        <v>728</v>
      </c>
      <c r="K579" s="5" t="s">
        <v>308</v>
      </c>
      <c r="L579" s="7">
        <f>8008</f>
        <v>8008</v>
      </c>
      <c r="M579" s="7">
        <f>8008</f>
        <v>8008</v>
      </c>
      <c r="N579" s="5" t="s">
        <v>242</v>
      </c>
      <c r="O579" s="5">
        <v>1</v>
      </c>
      <c r="P579" s="5" t="s">
        <v>294</v>
      </c>
      <c r="Q579" s="5" t="s">
        <v>613</v>
      </c>
      <c r="R579" s="5" t="s">
        <v>240</v>
      </c>
      <c r="S579" s="5" t="s">
        <v>240</v>
      </c>
      <c r="T579" s="5" t="s">
        <v>243</v>
      </c>
      <c r="U579" s="5" t="s">
        <v>244</v>
      </c>
      <c r="V579" s="5" t="s">
        <v>240</v>
      </c>
      <c r="Y579" s="5" t="s">
        <v>240</v>
      </c>
      <c r="Z579" s="6" t="s">
        <v>298</v>
      </c>
      <c r="AB579" s="6" t="s">
        <v>240</v>
      </c>
      <c r="AE579" s="6" t="s">
        <v>299</v>
      </c>
      <c r="AF579" s="5" t="s">
        <v>248</v>
      </c>
      <c r="AG579" s="5" t="s">
        <v>249</v>
      </c>
      <c r="AW579" s="5" t="s">
        <v>251</v>
      </c>
      <c r="AX579" s="5" t="s">
        <v>240</v>
      </c>
      <c r="AY579" s="5" t="s">
        <v>253</v>
      </c>
      <c r="AZ579" s="5" t="s">
        <v>240</v>
      </c>
      <c r="BA579" s="5" t="s">
        <v>255</v>
      </c>
      <c r="BB579" s="5" t="s">
        <v>240</v>
      </c>
      <c r="BD579" s="5" t="s">
        <v>240</v>
      </c>
      <c r="BF579" s="5" t="s">
        <v>301</v>
      </c>
      <c r="BG579" s="6" t="s">
        <v>299</v>
      </c>
      <c r="BH579" s="5" t="s">
        <v>302</v>
      </c>
      <c r="BI579" s="5" t="s">
        <v>303</v>
      </c>
      <c r="BJ579" s="5" t="s">
        <v>240</v>
      </c>
      <c r="BK579" s="8">
        <f>0</f>
        <v>0</v>
      </c>
      <c r="BL579" s="7">
        <f>0</f>
        <v>0</v>
      </c>
      <c r="BM579" s="5" t="s">
        <v>258</v>
      </c>
      <c r="BN579" s="5" t="s">
        <v>259</v>
      </c>
      <c r="CB579" s="5" t="s">
        <v>240</v>
      </c>
      <c r="CC579" s="5" t="s">
        <v>240</v>
      </c>
      <c r="CG579" s="5" t="s">
        <v>617</v>
      </c>
      <c r="CH579" s="5" t="s">
        <v>305</v>
      </c>
      <c r="CI579" s="5" t="s">
        <v>240</v>
      </c>
      <c r="CL579" s="6" t="s">
        <v>261</v>
      </c>
      <c r="CM579" s="5" t="s">
        <v>240</v>
      </c>
      <c r="CN579" s="5" t="s">
        <v>263</v>
      </c>
      <c r="CO579" s="5" t="s">
        <v>240</v>
      </c>
      <c r="CP579" s="5" t="s">
        <v>240</v>
      </c>
      <c r="CQ579" s="5">
        <v>0</v>
      </c>
      <c r="CR579" s="5" t="s">
        <v>306</v>
      </c>
      <c r="CS579" s="5" t="s">
        <v>307</v>
      </c>
      <c r="CT579" s="5" t="s">
        <v>307</v>
      </c>
      <c r="CU579" s="5" t="s">
        <v>260</v>
      </c>
      <c r="CX579" s="7">
        <f>155050</f>
        <v>155050</v>
      </c>
      <c r="CY579" s="7">
        <f>0</f>
        <v>0</v>
      </c>
      <c r="DA579" s="7">
        <f>0</f>
        <v>0</v>
      </c>
      <c r="DC579" s="5" t="s">
        <v>689</v>
      </c>
      <c r="DD579" s="5" t="s">
        <v>240</v>
      </c>
      <c r="DF579" s="5" t="s">
        <v>1338</v>
      </c>
      <c r="DG579" s="7">
        <f>70</f>
        <v>70</v>
      </c>
      <c r="DI579" s="5" t="s">
        <v>618</v>
      </c>
      <c r="DJ579" s="5" t="s">
        <v>240</v>
      </c>
      <c r="DK579" s="5" t="s">
        <v>240</v>
      </c>
      <c r="DL579" s="5" t="s">
        <v>240</v>
      </c>
      <c r="DP579" s="5" t="s">
        <v>240</v>
      </c>
      <c r="DQ579" s="5" t="s">
        <v>240</v>
      </c>
      <c r="DR579" s="5" t="s">
        <v>240</v>
      </c>
      <c r="DS579" s="5" t="s">
        <v>240</v>
      </c>
      <c r="DV579" s="5" t="s">
        <v>1334</v>
      </c>
      <c r="DW579" s="5" t="s">
        <v>758</v>
      </c>
      <c r="HO579" s="5" t="s">
        <v>312</v>
      </c>
    </row>
    <row r="580" spans="1:223" x14ac:dyDescent="0.4">
      <c r="A580" s="5">
        <v>1442</v>
      </c>
      <c r="B580" s="5">
        <v>1</v>
      </c>
      <c r="C580" s="5">
        <v>1</v>
      </c>
      <c r="D580" s="5" t="s">
        <v>723</v>
      </c>
      <c r="E580" s="5" t="s">
        <v>725</v>
      </c>
      <c r="F580" s="5" t="s">
        <v>254</v>
      </c>
      <c r="G580" s="5" t="s">
        <v>240</v>
      </c>
      <c r="H580" s="6" t="s">
        <v>1148</v>
      </c>
      <c r="I580" s="5" t="s">
        <v>722</v>
      </c>
      <c r="J580" s="8">
        <f>562</f>
        <v>562</v>
      </c>
      <c r="K580" s="5" t="s">
        <v>308</v>
      </c>
      <c r="L580" s="7">
        <f>6182</f>
        <v>6182</v>
      </c>
      <c r="M580" s="7">
        <f>6182</f>
        <v>6182</v>
      </c>
      <c r="N580" s="5" t="s">
        <v>242</v>
      </c>
      <c r="O580" s="5">
        <v>1</v>
      </c>
      <c r="P580" s="5" t="s">
        <v>294</v>
      </c>
      <c r="Q580" s="5" t="s">
        <v>613</v>
      </c>
      <c r="R580" s="5" t="s">
        <v>240</v>
      </c>
      <c r="S580" s="5" t="s">
        <v>240</v>
      </c>
      <c r="T580" s="5" t="s">
        <v>243</v>
      </c>
      <c r="U580" s="5" t="s">
        <v>244</v>
      </c>
      <c r="V580" s="5" t="s">
        <v>240</v>
      </c>
      <c r="Y580" s="5" t="s">
        <v>240</v>
      </c>
      <c r="Z580" s="6" t="s">
        <v>298</v>
      </c>
      <c r="AB580" s="6" t="s">
        <v>240</v>
      </c>
      <c r="AE580" s="6" t="s">
        <v>299</v>
      </c>
      <c r="AF580" s="5" t="s">
        <v>248</v>
      </c>
      <c r="AG580" s="5" t="s">
        <v>249</v>
      </c>
      <c r="AW580" s="5" t="s">
        <v>251</v>
      </c>
      <c r="AX580" s="5" t="s">
        <v>240</v>
      </c>
      <c r="AY580" s="5" t="s">
        <v>253</v>
      </c>
      <c r="AZ580" s="5" t="s">
        <v>240</v>
      </c>
      <c r="BA580" s="5" t="s">
        <v>255</v>
      </c>
      <c r="BB580" s="5" t="s">
        <v>240</v>
      </c>
      <c r="BD580" s="5" t="s">
        <v>240</v>
      </c>
      <c r="BF580" s="5" t="s">
        <v>301</v>
      </c>
      <c r="BG580" s="6" t="s">
        <v>299</v>
      </c>
      <c r="BH580" s="5" t="s">
        <v>302</v>
      </c>
      <c r="BI580" s="5" t="s">
        <v>303</v>
      </c>
      <c r="BJ580" s="5" t="s">
        <v>240</v>
      </c>
      <c r="BK580" s="8">
        <f>0</f>
        <v>0</v>
      </c>
      <c r="BL580" s="7">
        <f>0</f>
        <v>0</v>
      </c>
      <c r="BM580" s="5" t="s">
        <v>258</v>
      </c>
      <c r="BN580" s="5" t="s">
        <v>259</v>
      </c>
      <c r="CB580" s="5" t="s">
        <v>240</v>
      </c>
      <c r="CC580" s="5" t="s">
        <v>240</v>
      </c>
      <c r="CG580" s="5" t="s">
        <v>617</v>
      </c>
      <c r="CH580" s="5" t="s">
        <v>305</v>
      </c>
      <c r="CI580" s="5" t="s">
        <v>240</v>
      </c>
      <c r="CL580" s="6" t="s">
        <v>261</v>
      </c>
      <c r="CM580" s="5" t="s">
        <v>240</v>
      </c>
      <c r="CN580" s="5" t="s">
        <v>263</v>
      </c>
      <c r="CO580" s="5" t="s">
        <v>240</v>
      </c>
      <c r="CP580" s="5" t="s">
        <v>240</v>
      </c>
      <c r="CQ580" s="5">
        <v>0</v>
      </c>
      <c r="CR580" s="5" t="s">
        <v>306</v>
      </c>
      <c r="CS580" s="5" t="s">
        <v>307</v>
      </c>
      <c r="CT580" s="5" t="s">
        <v>307</v>
      </c>
      <c r="CU580" s="5" t="s">
        <v>260</v>
      </c>
      <c r="CX580" s="7">
        <f>686650</f>
        <v>686650</v>
      </c>
      <c r="CY580" s="7">
        <f>0</f>
        <v>0</v>
      </c>
      <c r="DA580" s="7">
        <f>0</f>
        <v>0</v>
      </c>
      <c r="DC580" s="5" t="s">
        <v>689</v>
      </c>
      <c r="DD580" s="5" t="s">
        <v>240</v>
      </c>
      <c r="DF580" s="5" t="s">
        <v>1247</v>
      </c>
      <c r="DG580" s="7">
        <f>310</f>
        <v>310</v>
      </c>
      <c r="DI580" s="5" t="s">
        <v>618</v>
      </c>
      <c r="DJ580" s="5" t="s">
        <v>240</v>
      </c>
      <c r="DK580" s="5" t="s">
        <v>240</v>
      </c>
      <c r="DL580" s="5" t="s">
        <v>240</v>
      </c>
      <c r="DP580" s="5" t="s">
        <v>240</v>
      </c>
      <c r="DQ580" s="5" t="s">
        <v>240</v>
      </c>
      <c r="DR580" s="5" t="s">
        <v>240</v>
      </c>
      <c r="DS580" s="5" t="s">
        <v>240</v>
      </c>
      <c r="DV580" s="5" t="s">
        <v>1334</v>
      </c>
      <c r="DW580" s="5" t="s">
        <v>760</v>
      </c>
      <c r="HO580" s="5" t="s">
        <v>312</v>
      </c>
    </row>
    <row r="581" spans="1:223" x14ac:dyDescent="0.4">
      <c r="A581" s="5">
        <v>1443</v>
      </c>
      <c r="B581" s="5">
        <v>1</v>
      </c>
      <c r="C581" s="5">
        <v>1</v>
      </c>
      <c r="D581" s="5" t="s">
        <v>723</v>
      </c>
      <c r="E581" s="5" t="s">
        <v>725</v>
      </c>
      <c r="F581" s="5" t="s">
        <v>254</v>
      </c>
      <c r="G581" s="5" t="s">
        <v>240</v>
      </c>
      <c r="H581" s="6" t="s">
        <v>1147</v>
      </c>
      <c r="I581" s="5" t="s">
        <v>722</v>
      </c>
      <c r="J581" s="8">
        <f>645</f>
        <v>645</v>
      </c>
      <c r="K581" s="5" t="s">
        <v>308</v>
      </c>
      <c r="L581" s="7">
        <f>7095</f>
        <v>7095</v>
      </c>
      <c r="M581" s="7">
        <f>7095</f>
        <v>7095</v>
      </c>
      <c r="N581" s="5" t="s">
        <v>242</v>
      </c>
      <c r="O581" s="5">
        <v>1</v>
      </c>
      <c r="P581" s="5" t="s">
        <v>294</v>
      </c>
      <c r="Q581" s="5" t="s">
        <v>613</v>
      </c>
      <c r="R581" s="5" t="s">
        <v>240</v>
      </c>
      <c r="S581" s="5" t="s">
        <v>240</v>
      </c>
      <c r="T581" s="5" t="s">
        <v>243</v>
      </c>
      <c r="U581" s="5" t="s">
        <v>244</v>
      </c>
      <c r="V581" s="5" t="s">
        <v>240</v>
      </c>
      <c r="Y581" s="5" t="s">
        <v>240</v>
      </c>
      <c r="Z581" s="6" t="s">
        <v>298</v>
      </c>
      <c r="AB581" s="6" t="s">
        <v>240</v>
      </c>
      <c r="AE581" s="6" t="s">
        <v>299</v>
      </c>
      <c r="AF581" s="5" t="s">
        <v>248</v>
      </c>
      <c r="AG581" s="5" t="s">
        <v>249</v>
      </c>
      <c r="AW581" s="5" t="s">
        <v>251</v>
      </c>
      <c r="AX581" s="5" t="s">
        <v>240</v>
      </c>
      <c r="AY581" s="5" t="s">
        <v>253</v>
      </c>
      <c r="AZ581" s="5" t="s">
        <v>240</v>
      </c>
      <c r="BA581" s="5" t="s">
        <v>255</v>
      </c>
      <c r="BB581" s="5" t="s">
        <v>240</v>
      </c>
      <c r="BD581" s="5" t="s">
        <v>240</v>
      </c>
      <c r="BF581" s="5" t="s">
        <v>301</v>
      </c>
      <c r="BG581" s="6" t="s">
        <v>299</v>
      </c>
      <c r="BH581" s="5" t="s">
        <v>302</v>
      </c>
      <c r="BI581" s="5" t="s">
        <v>303</v>
      </c>
      <c r="BJ581" s="5" t="s">
        <v>240</v>
      </c>
      <c r="BK581" s="8">
        <f>0</f>
        <v>0</v>
      </c>
      <c r="BL581" s="7">
        <f>0</f>
        <v>0</v>
      </c>
      <c r="BM581" s="5" t="s">
        <v>258</v>
      </c>
      <c r="BN581" s="5" t="s">
        <v>259</v>
      </c>
      <c r="CB581" s="5" t="s">
        <v>240</v>
      </c>
      <c r="CC581" s="5" t="s">
        <v>240</v>
      </c>
      <c r="CG581" s="5" t="s">
        <v>617</v>
      </c>
      <c r="CH581" s="5" t="s">
        <v>305</v>
      </c>
      <c r="CI581" s="5" t="s">
        <v>240</v>
      </c>
      <c r="CL581" s="6" t="s">
        <v>261</v>
      </c>
      <c r="CM581" s="5" t="s">
        <v>240</v>
      </c>
      <c r="CN581" s="5" t="s">
        <v>263</v>
      </c>
      <c r="CO581" s="5" t="s">
        <v>240</v>
      </c>
      <c r="CP581" s="5" t="s">
        <v>240</v>
      </c>
      <c r="CQ581" s="5">
        <v>0</v>
      </c>
      <c r="CR581" s="5" t="s">
        <v>306</v>
      </c>
      <c r="CS581" s="5" t="s">
        <v>307</v>
      </c>
      <c r="CT581" s="5" t="s">
        <v>307</v>
      </c>
      <c r="CU581" s="5" t="s">
        <v>260</v>
      </c>
      <c r="CX581" s="7">
        <f>1105285</f>
        <v>1105285</v>
      </c>
      <c r="CY581" s="7">
        <f>0</f>
        <v>0</v>
      </c>
      <c r="DA581" s="7">
        <f>0</f>
        <v>0</v>
      </c>
      <c r="DC581" s="5" t="s">
        <v>689</v>
      </c>
      <c r="DD581" s="5" t="s">
        <v>240</v>
      </c>
      <c r="DF581" s="5" t="s">
        <v>1247</v>
      </c>
      <c r="DG581" s="7">
        <f>499</f>
        <v>499</v>
      </c>
      <c r="DI581" s="5" t="s">
        <v>618</v>
      </c>
      <c r="DJ581" s="5" t="s">
        <v>240</v>
      </c>
      <c r="DK581" s="5" t="s">
        <v>240</v>
      </c>
      <c r="DL581" s="5" t="s">
        <v>240</v>
      </c>
      <c r="DP581" s="5" t="s">
        <v>240</v>
      </c>
      <c r="DQ581" s="5" t="s">
        <v>240</v>
      </c>
      <c r="DR581" s="5" t="s">
        <v>240</v>
      </c>
      <c r="DS581" s="5" t="s">
        <v>240</v>
      </c>
      <c r="DV581" s="5" t="s">
        <v>1334</v>
      </c>
      <c r="DW581" s="5" t="s">
        <v>763</v>
      </c>
      <c r="HO581" s="5" t="s">
        <v>312</v>
      </c>
    </row>
    <row r="582" spans="1:223" x14ac:dyDescent="0.4">
      <c r="A582" s="5">
        <v>1444</v>
      </c>
      <c r="B582" s="5">
        <v>1</v>
      </c>
      <c r="C582" s="5">
        <v>1</v>
      </c>
      <c r="D582" s="5" t="s">
        <v>723</v>
      </c>
      <c r="E582" s="5" t="s">
        <v>725</v>
      </c>
      <c r="F582" s="5" t="s">
        <v>254</v>
      </c>
      <c r="G582" s="5" t="s">
        <v>240</v>
      </c>
      <c r="H582" s="6" t="s">
        <v>1146</v>
      </c>
      <c r="I582" s="5" t="s">
        <v>722</v>
      </c>
      <c r="J582" s="8">
        <f>222</f>
        <v>222</v>
      </c>
      <c r="K582" s="5" t="s">
        <v>308</v>
      </c>
      <c r="L582" s="7">
        <f>2442</f>
        <v>2442</v>
      </c>
      <c r="M582" s="7">
        <f>2442</f>
        <v>2442</v>
      </c>
      <c r="N582" s="5" t="s">
        <v>242</v>
      </c>
      <c r="O582" s="5">
        <v>1</v>
      </c>
      <c r="P582" s="5" t="s">
        <v>294</v>
      </c>
      <c r="Q582" s="5" t="s">
        <v>613</v>
      </c>
      <c r="R582" s="5" t="s">
        <v>240</v>
      </c>
      <c r="S582" s="5" t="s">
        <v>240</v>
      </c>
      <c r="T582" s="5" t="s">
        <v>243</v>
      </c>
      <c r="U582" s="5" t="s">
        <v>244</v>
      </c>
      <c r="V582" s="5" t="s">
        <v>240</v>
      </c>
      <c r="Y582" s="5" t="s">
        <v>240</v>
      </c>
      <c r="Z582" s="6" t="s">
        <v>298</v>
      </c>
      <c r="AB582" s="6" t="s">
        <v>240</v>
      </c>
      <c r="AE582" s="6" t="s">
        <v>299</v>
      </c>
      <c r="AF582" s="5" t="s">
        <v>248</v>
      </c>
      <c r="AG582" s="5" t="s">
        <v>249</v>
      </c>
      <c r="AW582" s="5" t="s">
        <v>251</v>
      </c>
      <c r="AX582" s="5" t="s">
        <v>240</v>
      </c>
      <c r="AY582" s="5" t="s">
        <v>253</v>
      </c>
      <c r="AZ582" s="5" t="s">
        <v>240</v>
      </c>
      <c r="BA582" s="5" t="s">
        <v>255</v>
      </c>
      <c r="BB582" s="5" t="s">
        <v>240</v>
      </c>
      <c r="BD582" s="5" t="s">
        <v>240</v>
      </c>
      <c r="BF582" s="5" t="s">
        <v>301</v>
      </c>
      <c r="BG582" s="6" t="s">
        <v>299</v>
      </c>
      <c r="BH582" s="5" t="s">
        <v>302</v>
      </c>
      <c r="BI582" s="5" t="s">
        <v>303</v>
      </c>
      <c r="BJ582" s="5" t="s">
        <v>240</v>
      </c>
      <c r="BK582" s="8">
        <f>0</f>
        <v>0</v>
      </c>
      <c r="BL582" s="7">
        <f>0</f>
        <v>0</v>
      </c>
      <c r="BM582" s="5" t="s">
        <v>258</v>
      </c>
      <c r="BN582" s="5" t="s">
        <v>259</v>
      </c>
      <c r="CB582" s="5" t="s">
        <v>240</v>
      </c>
      <c r="CC582" s="5" t="s">
        <v>240</v>
      </c>
      <c r="CG582" s="5" t="s">
        <v>617</v>
      </c>
      <c r="CH582" s="5" t="s">
        <v>305</v>
      </c>
      <c r="CI582" s="5" t="s">
        <v>240</v>
      </c>
      <c r="CL582" s="6" t="s">
        <v>261</v>
      </c>
      <c r="CM582" s="5" t="s">
        <v>240</v>
      </c>
      <c r="CN582" s="5" t="s">
        <v>263</v>
      </c>
      <c r="CO582" s="5" t="s">
        <v>240</v>
      </c>
      <c r="CP582" s="5" t="s">
        <v>240</v>
      </c>
      <c r="CQ582" s="5">
        <v>0</v>
      </c>
      <c r="CR582" s="5" t="s">
        <v>306</v>
      </c>
      <c r="CS582" s="5" t="s">
        <v>307</v>
      </c>
      <c r="CT582" s="5" t="s">
        <v>307</v>
      </c>
      <c r="CU582" s="5" t="s">
        <v>260</v>
      </c>
      <c r="CX582" s="7">
        <f>445215</f>
        <v>445215</v>
      </c>
      <c r="CY582" s="7">
        <f>0</f>
        <v>0</v>
      </c>
      <c r="DA582" s="7">
        <f>0</f>
        <v>0</v>
      </c>
      <c r="DC582" s="5" t="s">
        <v>689</v>
      </c>
      <c r="DD582" s="5" t="s">
        <v>240</v>
      </c>
      <c r="DF582" s="5" t="s">
        <v>1247</v>
      </c>
      <c r="DG582" s="7">
        <f>201</f>
        <v>201</v>
      </c>
      <c r="DI582" s="5" t="s">
        <v>618</v>
      </c>
      <c r="DJ582" s="5" t="s">
        <v>240</v>
      </c>
      <c r="DK582" s="5" t="s">
        <v>240</v>
      </c>
      <c r="DL582" s="5" t="s">
        <v>240</v>
      </c>
      <c r="DP582" s="5" t="s">
        <v>240</v>
      </c>
      <c r="DQ582" s="5" t="s">
        <v>240</v>
      </c>
      <c r="DR582" s="5" t="s">
        <v>240</v>
      </c>
      <c r="DS582" s="5" t="s">
        <v>240</v>
      </c>
      <c r="DV582" s="5" t="s">
        <v>1334</v>
      </c>
      <c r="DW582" s="5" t="s">
        <v>765</v>
      </c>
      <c r="HO582" s="5" t="s">
        <v>312</v>
      </c>
    </row>
    <row r="583" spans="1:223" x14ac:dyDescent="0.4">
      <c r="A583" s="5">
        <v>1445</v>
      </c>
      <c r="B583" s="5">
        <v>1</v>
      </c>
      <c r="C583" s="5">
        <v>1</v>
      </c>
      <c r="D583" s="5" t="s">
        <v>723</v>
      </c>
      <c r="E583" s="5" t="s">
        <v>725</v>
      </c>
      <c r="F583" s="5" t="s">
        <v>254</v>
      </c>
      <c r="G583" s="5" t="s">
        <v>240</v>
      </c>
      <c r="H583" s="6" t="s">
        <v>1145</v>
      </c>
      <c r="I583" s="5" t="s">
        <v>722</v>
      </c>
      <c r="J583" s="8">
        <f>129</f>
        <v>129</v>
      </c>
      <c r="K583" s="5" t="s">
        <v>308</v>
      </c>
      <c r="L583" s="7">
        <f>1419</f>
        <v>1419</v>
      </c>
      <c r="M583" s="7">
        <f>1419</f>
        <v>1419</v>
      </c>
      <c r="N583" s="5" t="s">
        <v>242</v>
      </c>
      <c r="O583" s="5">
        <v>1</v>
      </c>
      <c r="P583" s="5" t="s">
        <v>294</v>
      </c>
      <c r="Q583" s="5" t="s">
        <v>613</v>
      </c>
      <c r="R583" s="5" t="s">
        <v>240</v>
      </c>
      <c r="S583" s="5" t="s">
        <v>240</v>
      </c>
      <c r="T583" s="5" t="s">
        <v>243</v>
      </c>
      <c r="U583" s="5" t="s">
        <v>244</v>
      </c>
      <c r="V583" s="5" t="s">
        <v>240</v>
      </c>
      <c r="Y583" s="5" t="s">
        <v>240</v>
      </c>
      <c r="Z583" s="6" t="s">
        <v>298</v>
      </c>
      <c r="AB583" s="6" t="s">
        <v>240</v>
      </c>
      <c r="AE583" s="6" t="s">
        <v>299</v>
      </c>
      <c r="AF583" s="5" t="s">
        <v>248</v>
      </c>
      <c r="AG583" s="5" t="s">
        <v>249</v>
      </c>
      <c r="AW583" s="5" t="s">
        <v>251</v>
      </c>
      <c r="AX583" s="5" t="s">
        <v>240</v>
      </c>
      <c r="AY583" s="5" t="s">
        <v>253</v>
      </c>
      <c r="AZ583" s="5" t="s">
        <v>240</v>
      </c>
      <c r="BA583" s="5" t="s">
        <v>255</v>
      </c>
      <c r="BB583" s="5" t="s">
        <v>240</v>
      </c>
      <c r="BD583" s="5" t="s">
        <v>240</v>
      </c>
      <c r="BF583" s="5" t="s">
        <v>301</v>
      </c>
      <c r="BG583" s="6" t="s">
        <v>299</v>
      </c>
      <c r="BH583" s="5" t="s">
        <v>302</v>
      </c>
      <c r="BI583" s="5" t="s">
        <v>303</v>
      </c>
      <c r="BJ583" s="5" t="s">
        <v>240</v>
      </c>
      <c r="BK583" s="8">
        <f>0</f>
        <v>0</v>
      </c>
      <c r="BL583" s="7">
        <f>0</f>
        <v>0</v>
      </c>
      <c r="BM583" s="5" t="s">
        <v>258</v>
      </c>
      <c r="BN583" s="5" t="s">
        <v>259</v>
      </c>
      <c r="CB583" s="5" t="s">
        <v>240</v>
      </c>
      <c r="CC583" s="5" t="s">
        <v>240</v>
      </c>
      <c r="CG583" s="5" t="s">
        <v>617</v>
      </c>
      <c r="CH583" s="5" t="s">
        <v>305</v>
      </c>
      <c r="CI583" s="5" t="s">
        <v>240</v>
      </c>
      <c r="CL583" s="6" t="s">
        <v>261</v>
      </c>
      <c r="CM583" s="5" t="s">
        <v>240</v>
      </c>
      <c r="CN583" s="5" t="s">
        <v>263</v>
      </c>
      <c r="CO583" s="5" t="s">
        <v>240</v>
      </c>
      <c r="CP583" s="5" t="s">
        <v>240</v>
      </c>
      <c r="CQ583" s="5">
        <v>0</v>
      </c>
      <c r="CR583" s="5" t="s">
        <v>306</v>
      </c>
      <c r="CS583" s="5" t="s">
        <v>307</v>
      </c>
      <c r="CT583" s="5" t="s">
        <v>307</v>
      </c>
      <c r="CU583" s="5" t="s">
        <v>260</v>
      </c>
      <c r="CX583" s="7">
        <f>1566005</f>
        <v>1566005</v>
      </c>
      <c r="CY583" s="7">
        <f>0</f>
        <v>0</v>
      </c>
      <c r="DA583" s="7">
        <f>0</f>
        <v>0</v>
      </c>
      <c r="DC583" s="5" t="s">
        <v>689</v>
      </c>
      <c r="DD583" s="5" t="s">
        <v>240</v>
      </c>
      <c r="DF583" s="5" t="s">
        <v>1247</v>
      </c>
      <c r="DG583" s="7">
        <f>707</f>
        <v>707</v>
      </c>
      <c r="DI583" s="5" t="s">
        <v>618</v>
      </c>
      <c r="DJ583" s="5" t="s">
        <v>240</v>
      </c>
      <c r="DK583" s="5" t="s">
        <v>240</v>
      </c>
      <c r="DL583" s="5" t="s">
        <v>240</v>
      </c>
      <c r="DP583" s="5" t="s">
        <v>240</v>
      </c>
      <c r="DQ583" s="5" t="s">
        <v>240</v>
      </c>
      <c r="DR583" s="5" t="s">
        <v>240</v>
      </c>
      <c r="DS583" s="5" t="s">
        <v>240</v>
      </c>
      <c r="DV583" s="5" t="s">
        <v>1334</v>
      </c>
      <c r="DW583" s="5" t="s">
        <v>769</v>
      </c>
      <c r="HO583" s="5" t="s">
        <v>312</v>
      </c>
    </row>
    <row r="584" spans="1:223" x14ac:dyDescent="0.4">
      <c r="A584" s="5">
        <v>1446</v>
      </c>
      <c r="B584" s="5">
        <v>1</v>
      </c>
      <c r="C584" s="5">
        <v>1</v>
      </c>
      <c r="D584" s="5" t="s">
        <v>723</v>
      </c>
      <c r="E584" s="5" t="s">
        <v>725</v>
      </c>
      <c r="F584" s="5" t="s">
        <v>254</v>
      </c>
      <c r="G584" s="5" t="s">
        <v>240</v>
      </c>
      <c r="H584" s="6" t="s">
        <v>1144</v>
      </c>
      <c r="I584" s="5" t="s">
        <v>722</v>
      </c>
      <c r="J584" s="8">
        <f>1207</f>
        <v>1207</v>
      </c>
      <c r="K584" s="5" t="s">
        <v>308</v>
      </c>
      <c r="L584" s="7">
        <f>13277</f>
        <v>13277</v>
      </c>
      <c r="M584" s="7">
        <f>13277</f>
        <v>13277</v>
      </c>
      <c r="N584" s="5" t="s">
        <v>242</v>
      </c>
      <c r="O584" s="5">
        <v>1</v>
      </c>
      <c r="P584" s="5" t="s">
        <v>294</v>
      </c>
      <c r="Q584" s="5" t="s">
        <v>613</v>
      </c>
      <c r="R584" s="5" t="s">
        <v>240</v>
      </c>
      <c r="S584" s="5" t="s">
        <v>240</v>
      </c>
      <c r="T584" s="5" t="s">
        <v>243</v>
      </c>
      <c r="U584" s="5" t="s">
        <v>244</v>
      </c>
      <c r="V584" s="5" t="s">
        <v>240</v>
      </c>
      <c r="Y584" s="5" t="s">
        <v>240</v>
      </c>
      <c r="Z584" s="6" t="s">
        <v>298</v>
      </c>
      <c r="AB584" s="6" t="s">
        <v>240</v>
      </c>
      <c r="AE584" s="6" t="s">
        <v>299</v>
      </c>
      <c r="AF584" s="5" t="s">
        <v>248</v>
      </c>
      <c r="AG584" s="5" t="s">
        <v>249</v>
      </c>
      <c r="AW584" s="5" t="s">
        <v>251</v>
      </c>
      <c r="AX584" s="5" t="s">
        <v>240</v>
      </c>
      <c r="AY584" s="5" t="s">
        <v>253</v>
      </c>
      <c r="AZ584" s="5" t="s">
        <v>240</v>
      </c>
      <c r="BA584" s="5" t="s">
        <v>255</v>
      </c>
      <c r="BB584" s="5" t="s">
        <v>240</v>
      </c>
      <c r="BD584" s="5" t="s">
        <v>240</v>
      </c>
      <c r="BF584" s="5" t="s">
        <v>301</v>
      </c>
      <c r="BG584" s="6" t="s">
        <v>299</v>
      </c>
      <c r="BH584" s="5" t="s">
        <v>302</v>
      </c>
      <c r="BI584" s="5" t="s">
        <v>303</v>
      </c>
      <c r="BJ584" s="5" t="s">
        <v>240</v>
      </c>
      <c r="BK584" s="8">
        <f>0</f>
        <v>0</v>
      </c>
      <c r="BL584" s="7">
        <f>0</f>
        <v>0</v>
      </c>
      <c r="BM584" s="5" t="s">
        <v>258</v>
      </c>
      <c r="BN584" s="5" t="s">
        <v>259</v>
      </c>
      <c r="CB584" s="5" t="s">
        <v>240</v>
      </c>
      <c r="CC584" s="5" t="s">
        <v>240</v>
      </c>
      <c r="CG584" s="5" t="s">
        <v>617</v>
      </c>
      <c r="CH584" s="5" t="s">
        <v>305</v>
      </c>
      <c r="CI584" s="5" t="s">
        <v>240</v>
      </c>
      <c r="CL584" s="6" t="s">
        <v>261</v>
      </c>
      <c r="CM584" s="5" t="s">
        <v>240</v>
      </c>
      <c r="CN584" s="5" t="s">
        <v>263</v>
      </c>
      <c r="CO584" s="5" t="s">
        <v>240</v>
      </c>
      <c r="CP584" s="5" t="s">
        <v>240</v>
      </c>
      <c r="CQ584" s="5">
        <v>0</v>
      </c>
      <c r="CR584" s="5" t="s">
        <v>306</v>
      </c>
      <c r="CS584" s="5" t="s">
        <v>307</v>
      </c>
      <c r="CT584" s="5" t="s">
        <v>307</v>
      </c>
      <c r="CU584" s="5" t="s">
        <v>260</v>
      </c>
      <c r="CX584" s="7">
        <f>680005</f>
        <v>680005</v>
      </c>
      <c r="CY584" s="7">
        <f>0</f>
        <v>0</v>
      </c>
      <c r="DA584" s="7">
        <f>0</f>
        <v>0</v>
      </c>
      <c r="DC584" s="5" t="s">
        <v>689</v>
      </c>
      <c r="DD584" s="5" t="s">
        <v>240</v>
      </c>
      <c r="DF584" s="5" t="s">
        <v>1247</v>
      </c>
      <c r="DG584" s="7">
        <f>307</f>
        <v>307</v>
      </c>
      <c r="DI584" s="5" t="s">
        <v>618</v>
      </c>
      <c r="DJ584" s="5" t="s">
        <v>240</v>
      </c>
      <c r="DK584" s="5" t="s">
        <v>240</v>
      </c>
      <c r="DL584" s="5" t="s">
        <v>240</v>
      </c>
      <c r="DP584" s="5" t="s">
        <v>240</v>
      </c>
      <c r="DQ584" s="5" t="s">
        <v>240</v>
      </c>
      <c r="DR584" s="5" t="s">
        <v>240</v>
      </c>
      <c r="DS584" s="5" t="s">
        <v>240</v>
      </c>
      <c r="DV584" s="5" t="s">
        <v>1334</v>
      </c>
      <c r="DW584" s="5" t="s">
        <v>772</v>
      </c>
      <c r="HO584" s="5" t="s">
        <v>312</v>
      </c>
    </row>
    <row r="585" spans="1:223" x14ac:dyDescent="0.4">
      <c r="A585" s="5">
        <v>1447</v>
      </c>
      <c r="B585" s="5">
        <v>1</v>
      </c>
      <c r="C585" s="5">
        <v>1</v>
      </c>
      <c r="D585" s="5" t="s">
        <v>723</v>
      </c>
      <c r="E585" s="5" t="s">
        <v>725</v>
      </c>
      <c r="F585" s="5" t="s">
        <v>254</v>
      </c>
      <c r="G585" s="5" t="s">
        <v>240</v>
      </c>
      <c r="H585" s="6" t="s">
        <v>1143</v>
      </c>
      <c r="I585" s="5" t="s">
        <v>722</v>
      </c>
      <c r="J585" s="8">
        <f>2201</f>
        <v>2201</v>
      </c>
      <c r="K585" s="5" t="s">
        <v>308</v>
      </c>
      <c r="L585" s="7">
        <f>24211</f>
        <v>24211</v>
      </c>
      <c r="M585" s="7">
        <f>24211</f>
        <v>24211</v>
      </c>
      <c r="N585" s="5" t="s">
        <v>242</v>
      </c>
      <c r="O585" s="5">
        <v>1</v>
      </c>
      <c r="P585" s="5" t="s">
        <v>294</v>
      </c>
      <c r="Q585" s="5" t="s">
        <v>613</v>
      </c>
      <c r="R585" s="5" t="s">
        <v>240</v>
      </c>
      <c r="S585" s="5" t="s">
        <v>240</v>
      </c>
      <c r="T585" s="5" t="s">
        <v>243</v>
      </c>
      <c r="U585" s="5" t="s">
        <v>244</v>
      </c>
      <c r="V585" s="5" t="s">
        <v>240</v>
      </c>
      <c r="Y585" s="5" t="s">
        <v>240</v>
      </c>
      <c r="Z585" s="6" t="s">
        <v>298</v>
      </c>
      <c r="AB585" s="6" t="s">
        <v>240</v>
      </c>
      <c r="AE585" s="6" t="s">
        <v>299</v>
      </c>
      <c r="AF585" s="5" t="s">
        <v>248</v>
      </c>
      <c r="AG585" s="5" t="s">
        <v>249</v>
      </c>
      <c r="AW585" s="5" t="s">
        <v>251</v>
      </c>
      <c r="AX585" s="5" t="s">
        <v>240</v>
      </c>
      <c r="AY585" s="5" t="s">
        <v>253</v>
      </c>
      <c r="AZ585" s="5" t="s">
        <v>240</v>
      </c>
      <c r="BA585" s="5" t="s">
        <v>255</v>
      </c>
      <c r="BB585" s="5" t="s">
        <v>240</v>
      </c>
      <c r="BD585" s="5" t="s">
        <v>240</v>
      </c>
      <c r="BF585" s="5" t="s">
        <v>301</v>
      </c>
      <c r="BG585" s="6" t="s">
        <v>299</v>
      </c>
      <c r="BH585" s="5" t="s">
        <v>302</v>
      </c>
      <c r="BI585" s="5" t="s">
        <v>303</v>
      </c>
      <c r="BJ585" s="5" t="s">
        <v>240</v>
      </c>
      <c r="BK585" s="8">
        <f>0</f>
        <v>0</v>
      </c>
      <c r="BL585" s="7">
        <f>0</f>
        <v>0</v>
      </c>
      <c r="BM585" s="5" t="s">
        <v>258</v>
      </c>
      <c r="BN585" s="5" t="s">
        <v>259</v>
      </c>
      <c r="CB585" s="5" t="s">
        <v>240</v>
      </c>
      <c r="CC585" s="5" t="s">
        <v>240</v>
      </c>
      <c r="CG585" s="5" t="s">
        <v>617</v>
      </c>
      <c r="CH585" s="5" t="s">
        <v>305</v>
      </c>
      <c r="CI585" s="5" t="s">
        <v>240</v>
      </c>
      <c r="CL585" s="6" t="s">
        <v>261</v>
      </c>
      <c r="CM585" s="5" t="s">
        <v>240</v>
      </c>
      <c r="CN585" s="5" t="s">
        <v>263</v>
      </c>
      <c r="CO585" s="5" t="s">
        <v>240</v>
      </c>
      <c r="CP585" s="5" t="s">
        <v>240</v>
      </c>
      <c r="CQ585" s="5">
        <v>0</v>
      </c>
      <c r="CR585" s="5" t="s">
        <v>306</v>
      </c>
      <c r="CS585" s="5" t="s">
        <v>307</v>
      </c>
      <c r="CT585" s="5" t="s">
        <v>307</v>
      </c>
      <c r="CU585" s="5" t="s">
        <v>260</v>
      </c>
      <c r="CX585" s="7">
        <f>2261515</f>
        <v>2261515</v>
      </c>
      <c r="CY585" s="7">
        <f>0</f>
        <v>0</v>
      </c>
      <c r="DA585" s="7">
        <f>0</f>
        <v>0</v>
      </c>
      <c r="DC585" s="5" t="s">
        <v>689</v>
      </c>
      <c r="DD585" s="5" t="s">
        <v>240</v>
      </c>
      <c r="DF585" s="5" t="s">
        <v>1247</v>
      </c>
      <c r="DG585" s="7">
        <f>1021</f>
        <v>1021</v>
      </c>
      <c r="DI585" s="5" t="s">
        <v>618</v>
      </c>
      <c r="DJ585" s="5" t="s">
        <v>240</v>
      </c>
      <c r="DK585" s="5" t="s">
        <v>240</v>
      </c>
      <c r="DL585" s="5" t="s">
        <v>240</v>
      </c>
      <c r="DP585" s="5" t="s">
        <v>240</v>
      </c>
      <c r="DQ585" s="5" t="s">
        <v>240</v>
      </c>
      <c r="DR585" s="5" t="s">
        <v>240</v>
      </c>
      <c r="DS585" s="5" t="s">
        <v>240</v>
      </c>
      <c r="DV585" s="5" t="s">
        <v>1334</v>
      </c>
      <c r="DW585" s="5" t="s">
        <v>775</v>
      </c>
      <c r="HO585" s="5" t="s">
        <v>312</v>
      </c>
    </row>
    <row r="586" spans="1:223" x14ac:dyDescent="0.4">
      <c r="A586" s="5">
        <v>1448</v>
      </c>
      <c r="B586" s="5">
        <v>1</v>
      </c>
      <c r="C586" s="5">
        <v>1</v>
      </c>
      <c r="D586" s="5" t="s">
        <v>723</v>
      </c>
      <c r="E586" s="5" t="s">
        <v>725</v>
      </c>
      <c r="F586" s="5" t="s">
        <v>254</v>
      </c>
      <c r="G586" s="5" t="s">
        <v>240</v>
      </c>
      <c r="H586" s="6" t="s">
        <v>1142</v>
      </c>
      <c r="I586" s="5" t="s">
        <v>722</v>
      </c>
      <c r="J586" s="8">
        <f>3951</f>
        <v>3951</v>
      </c>
      <c r="K586" s="5" t="s">
        <v>308</v>
      </c>
      <c r="L586" s="7">
        <f>43461</f>
        <v>43461</v>
      </c>
      <c r="M586" s="7">
        <f>43461</f>
        <v>43461</v>
      </c>
      <c r="N586" s="5" t="s">
        <v>242</v>
      </c>
      <c r="O586" s="5">
        <v>1</v>
      </c>
      <c r="P586" s="5" t="s">
        <v>294</v>
      </c>
      <c r="Q586" s="5" t="s">
        <v>613</v>
      </c>
      <c r="R586" s="5" t="s">
        <v>240</v>
      </c>
      <c r="S586" s="5" t="s">
        <v>240</v>
      </c>
      <c r="T586" s="5" t="s">
        <v>243</v>
      </c>
      <c r="U586" s="5" t="s">
        <v>244</v>
      </c>
      <c r="V586" s="5" t="s">
        <v>240</v>
      </c>
      <c r="Y586" s="5" t="s">
        <v>240</v>
      </c>
      <c r="Z586" s="6" t="s">
        <v>298</v>
      </c>
      <c r="AB586" s="6" t="s">
        <v>240</v>
      </c>
      <c r="AE586" s="6" t="s">
        <v>299</v>
      </c>
      <c r="AF586" s="5" t="s">
        <v>248</v>
      </c>
      <c r="AG586" s="5" t="s">
        <v>249</v>
      </c>
      <c r="AW586" s="5" t="s">
        <v>251</v>
      </c>
      <c r="AX586" s="5" t="s">
        <v>240</v>
      </c>
      <c r="AY586" s="5" t="s">
        <v>253</v>
      </c>
      <c r="AZ586" s="5" t="s">
        <v>240</v>
      </c>
      <c r="BA586" s="5" t="s">
        <v>255</v>
      </c>
      <c r="BB586" s="5" t="s">
        <v>240</v>
      </c>
      <c r="BD586" s="5" t="s">
        <v>240</v>
      </c>
      <c r="BF586" s="5" t="s">
        <v>301</v>
      </c>
      <c r="BG586" s="6" t="s">
        <v>299</v>
      </c>
      <c r="BH586" s="5" t="s">
        <v>302</v>
      </c>
      <c r="BI586" s="5" t="s">
        <v>303</v>
      </c>
      <c r="BJ586" s="5" t="s">
        <v>240</v>
      </c>
      <c r="BK586" s="8">
        <f>0</f>
        <v>0</v>
      </c>
      <c r="BL586" s="7">
        <f>0</f>
        <v>0</v>
      </c>
      <c r="BM586" s="5" t="s">
        <v>258</v>
      </c>
      <c r="BN586" s="5" t="s">
        <v>259</v>
      </c>
      <c r="CB586" s="5" t="s">
        <v>240</v>
      </c>
      <c r="CC586" s="5" t="s">
        <v>240</v>
      </c>
      <c r="CG586" s="5" t="s">
        <v>617</v>
      </c>
      <c r="CH586" s="5" t="s">
        <v>305</v>
      </c>
      <c r="CI586" s="5" t="s">
        <v>240</v>
      </c>
      <c r="CL586" s="6" t="s">
        <v>261</v>
      </c>
      <c r="CM586" s="5" t="s">
        <v>240</v>
      </c>
      <c r="CN586" s="5" t="s">
        <v>263</v>
      </c>
      <c r="CO586" s="5" t="s">
        <v>240</v>
      </c>
      <c r="CP586" s="5" t="s">
        <v>240</v>
      </c>
      <c r="CQ586" s="5">
        <v>0</v>
      </c>
      <c r="CR586" s="5" t="s">
        <v>306</v>
      </c>
      <c r="CS586" s="5" t="s">
        <v>307</v>
      </c>
      <c r="CT586" s="5" t="s">
        <v>307</v>
      </c>
      <c r="CU586" s="5" t="s">
        <v>260</v>
      </c>
      <c r="CX586" s="7">
        <f>2261515</f>
        <v>2261515</v>
      </c>
      <c r="CY586" s="7">
        <f>0</f>
        <v>0</v>
      </c>
      <c r="DA586" s="7">
        <f>0</f>
        <v>0</v>
      </c>
      <c r="DC586" s="5" t="s">
        <v>689</v>
      </c>
      <c r="DD586" s="5" t="s">
        <v>240</v>
      </c>
      <c r="DF586" s="5" t="s">
        <v>1247</v>
      </c>
      <c r="DG586" s="7">
        <f>1021</f>
        <v>1021</v>
      </c>
      <c r="DI586" s="5" t="s">
        <v>618</v>
      </c>
      <c r="DJ586" s="5" t="s">
        <v>240</v>
      </c>
      <c r="DK586" s="5" t="s">
        <v>240</v>
      </c>
      <c r="DL586" s="5" t="s">
        <v>240</v>
      </c>
      <c r="DP586" s="5" t="s">
        <v>240</v>
      </c>
      <c r="DQ586" s="5" t="s">
        <v>240</v>
      </c>
      <c r="DR586" s="5" t="s">
        <v>240</v>
      </c>
      <c r="DS586" s="5" t="s">
        <v>240</v>
      </c>
      <c r="DV586" s="5" t="s">
        <v>1334</v>
      </c>
      <c r="DW586" s="5" t="s">
        <v>958</v>
      </c>
      <c r="HO586" s="5" t="s">
        <v>312</v>
      </c>
    </row>
    <row r="587" spans="1:223" x14ac:dyDescent="0.4">
      <c r="A587" s="5">
        <v>1449</v>
      </c>
      <c r="B587" s="5">
        <v>1</v>
      </c>
      <c r="C587" s="5">
        <v>1</v>
      </c>
      <c r="D587" s="5" t="s">
        <v>723</v>
      </c>
      <c r="E587" s="5" t="s">
        <v>725</v>
      </c>
      <c r="F587" s="5" t="s">
        <v>254</v>
      </c>
      <c r="G587" s="5" t="s">
        <v>240</v>
      </c>
      <c r="H587" s="6" t="s">
        <v>1141</v>
      </c>
      <c r="I587" s="5" t="s">
        <v>722</v>
      </c>
      <c r="J587" s="8">
        <f>516</f>
        <v>516</v>
      </c>
      <c r="K587" s="5" t="s">
        <v>308</v>
      </c>
      <c r="L587" s="7">
        <f>5676</f>
        <v>5676</v>
      </c>
      <c r="M587" s="7">
        <f>5676</f>
        <v>5676</v>
      </c>
      <c r="N587" s="5" t="s">
        <v>242</v>
      </c>
      <c r="O587" s="5">
        <v>1</v>
      </c>
      <c r="P587" s="5" t="s">
        <v>294</v>
      </c>
      <c r="Q587" s="5" t="s">
        <v>613</v>
      </c>
      <c r="R587" s="5" t="s">
        <v>240</v>
      </c>
      <c r="S587" s="5" t="s">
        <v>240</v>
      </c>
      <c r="T587" s="5" t="s">
        <v>243</v>
      </c>
      <c r="U587" s="5" t="s">
        <v>244</v>
      </c>
      <c r="V587" s="5" t="s">
        <v>240</v>
      </c>
      <c r="Y587" s="5" t="s">
        <v>240</v>
      </c>
      <c r="Z587" s="6" t="s">
        <v>298</v>
      </c>
      <c r="AB587" s="6" t="s">
        <v>240</v>
      </c>
      <c r="AE587" s="6" t="s">
        <v>299</v>
      </c>
      <c r="AF587" s="5" t="s">
        <v>248</v>
      </c>
      <c r="AG587" s="5" t="s">
        <v>249</v>
      </c>
      <c r="AW587" s="5" t="s">
        <v>251</v>
      </c>
      <c r="AX587" s="5" t="s">
        <v>240</v>
      </c>
      <c r="AY587" s="5" t="s">
        <v>253</v>
      </c>
      <c r="AZ587" s="5" t="s">
        <v>240</v>
      </c>
      <c r="BA587" s="5" t="s">
        <v>255</v>
      </c>
      <c r="BB587" s="5" t="s">
        <v>240</v>
      </c>
      <c r="BD587" s="5" t="s">
        <v>240</v>
      </c>
      <c r="BF587" s="5" t="s">
        <v>301</v>
      </c>
      <c r="BG587" s="6" t="s">
        <v>299</v>
      </c>
      <c r="BH587" s="5" t="s">
        <v>302</v>
      </c>
      <c r="BI587" s="5" t="s">
        <v>303</v>
      </c>
      <c r="BJ587" s="5" t="s">
        <v>240</v>
      </c>
      <c r="BK587" s="8">
        <f>0</f>
        <v>0</v>
      </c>
      <c r="BL587" s="7">
        <f>0</f>
        <v>0</v>
      </c>
      <c r="BM587" s="5" t="s">
        <v>258</v>
      </c>
      <c r="BN587" s="5" t="s">
        <v>259</v>
      </c>
      <c r="CB587" s="5" t="s">
        <v>240</v>
      </c>
      <c r="CC587" s="5" t="s">
        <v>240</v>
      </c>
      <c r="CG587" s="5" t="s">
        <v>617</v>
      </c>
      <c r="CH587" s="5" t="s">
        <v>305</v>
      </c>
      <c r="CI587" s="5" t="s">
        <v>240</v>
      </c>
      <c r="CL587" s="6" t="s">
        <v>261</v>
      </c>
      <c r="CM587" s="5" t="s">
        <v>240</v>
      </c>
      <c r="CN587" s="5" t="s">
        <v>263</v>
      </c>
      <c r="CO587" s="5" t="s">
        <v>240</v>
      </c>
      <c r="CP587" s="5" t="s">
        <v>240</v>
      </c>
      <c r="CQ587" s="5">
        <v>0</v>
      </c>
      <c r="CR587" s="5" t="s">
        <v>306</v>
      </c>
      <c r="CS587" s="5" t="s">
        <v>307</v>
      </c>
      <c r="CT587" s="5" t="s">
        <v>307</v>
      </c>
      <c r="CU587" s="5" t="s">
        <v>260</v>
      </c>
      <c r="CX587" s="7">
        <f>2261515</f>
        <v>2261515</v>
      </c>
      <c r="CY587" s="7">
        <f>0</f>
        <v>0</v>
      </c>
      <c r="DA587" s="7">
        <f>0</f>
        <v>0</v>
      </c>
      <c r="DC587" s="5" t="s">
        <v>689</v>
      </c>
      <c r="DD587" s="5" t="s">
        <v>240</v>
      </c>
      <c r="DF587" s="5" t="s">
        <v>1247</v>
      </c>
      <c r="DG587" s="7">
        <f>1021</f>
        <v>1021</v>
      </c>
      <c r="DI587" s="5" t="s">
        <v>618</v>
      </c>
      <c r="DJ587" s="5" t="s">
        <v>240</v>
      </c>
      <c r="DK587" s="5" t="s">
        <v>240</v>
      </c>
      <c r="DL587" s="5" t="s">
        <v>240</v>
      </c>
      <c r="DP587" s="5" t="s">
        <v>240</v>
      </c>
      <c r="DQ587" s="5" t="s">
        <v>240</v>
      </c>
      <c r="DR587" s="5" t="s">
        <v>240</v>
      </c>
      <c r="DS587" s="5" t="s">
        <v>240</v>
      </c>
      <c r="DV587" s="5" t="s">
        <v>1334</v>
      </c>
      <c r="DW587" s="5" t="s">
        <v>779</v>
      </c>
      <c r="HO587" s="5" t="s">
        <v>312</v>
      </c>
    </row>
    <row r="588" spans="1:223" x14ac:dyDescent="0.4">
      <c r="A588" s="5">
        <v>1450</v>
      </c>
      <c r="B588" s="5">
        <v>1</v>
      </c>
      <c r="C588" s="5">
        <v>1</v>
      </c>
      <c r="D588" s="5" t="s">
        <v>723</v>
      </c>
      <c r="E588" s="5" t="s">
        <v>725</v>
      </c>
      <c r="F588" s="5" t="s">
        <v>254</v>
      </c>
      <c r="G588" s="5" t="s">
        <v>240</v>
      </c>
      <c r="H588" s="6" t="s">
        <v>1140</v>
      </c>
      <c r="I588" s="5" t="s">
        <v>722</v>
      </c>
      <c r="J588" s="8">
        <f>68</f>
        <v>68</v>
      </c>
      <c r="K588" s="5" t="s">
        <v>308</v>
      </c>
      <c r="L588" s="7">
        <f>748</f>
        <v>748</v>
      </c>
      <c r="M588" s="7">
        <f>748</f>
        <v>748</v>
      </c>
      <c r="N588" s="5" t="s">
        <v>242</v>
      </c>
      <c r="O588" s="5">
        <v>1</v>
      </c>
      <c r="P588" s="5" t="s">
        <v>294</v>
      </c>
      <c r="Q588" s="5" t="s">
        <v>613</v>
      </c>
      <c r="R588" s="5" t="s">
        <v>240</v>
      </c>
      <c r="S588" s="5" t="s">
        <v>240</v>
      </c>
      <c r="T588" s="5" t="s">
        <v>243</v>
      </c>
      <c r="U588" s="5" t="s">
        <v>244</v>
      </c>
      <c r="V588" s="5" t="s">
        <v>240</v>
      </c>
      <c r="Y588" s="5" t="s">
        <v>240</v>
      </c>
      <c r="Z588" s="6" t="s">
        <v>298</v>
      </c>
      <c r="AB588" s="6" t="s">
        <v>240</v>
      </c>
      <c r="AE588" s="6" t="s">
        <v>299</v>
      </c>
      <c r="AF588" s="5" t="s">
        <v>248</v>
      </c>
      <c r="AG588" s="5" t="s">
        <v>249</v>
      </c>
      <c r="AW588" s="5" t="s">
        <v>251</v>
      </c>
      <c r="AX588" s="5" t="s">
        <v>240</v>
      </c>
      <c r="AY588" s="5" t="s">
        <v>253</v>
      </c>
      <c r="AZ588" s="5" t="s">
        <v>240</v>
      </c>
      <c r="BA588" s="5" t="s">
        <v>255</v>
      </c>
      <c r="BB588" s="5" t="s">
        <v>240</v>
      </c>
      <c r="BD588" s="5" t="s">
        <v>240</v>
      </c>
      <c r="BF588" s="5" t="s">
        <v>301</v>
      </c>
      <c r="BG588" s="6" t="s">
        <v>299</v>
      </c>
      <c r="BH588" s="5" t="s">
        <v>302</v>
      </c>
      <c r="BI588" s="5" t="s">
        <v>303</v>
      </c>
      <c r="BJ588" s="5" t="s">
        <v>240</v>
      </c>
      <c r="BK588" s="8">
        <f>0</f>
        <v>0</v>
      </c>
      <c r="BL588" s="7">
        <f>0</f>
        <v>0</v>
      </c>
      <c r="BM588" s="5" t="s">
        <v>258</v>
      </c>
      <c r="BN588" s="5" t="s">
        <v>259</v>
      </c>
      <c r="CB588" s="5" t="s">
        <v>240</v>
      </c>
      <c r="CC588" s="5" t="s">
        <v>240</v>
      </c>
      <c r="CG588" s="5" t="s">
        <v>617</v>
      </c>
      <c r="CH588" s="5" t="s">
        <v>305</v>
      </c>
      <c r="CI588" s="5" t="s">
        <v>240</v>
      </c>
      <c r="CL588" s="6" t="s">
        <v>261</v>
      </c>
      <c r="CM588" s="5" t="s">
        <v>240</v>
      </c>
      <c r="CN588" s="5" t="s">
        <v>263</v>
      </c>
      <c r="CO588" s="5" t="s">
        <v>240</v>
      </c>
      <c r="CP588" s="5" t="s">
        <v>240</v>
      </c>
      <c r="CQ588" s="5">
        <v>0</v>
      </c>
      <c r="CR588" s="5" t="s">
        <v>306</v>
      </c>
      <c r="CS588" s="5" t="s">
        <v>307</v>
      </c>
      <c r="CT588" s="5" t="s">
        <v>307</v>
      </c>
      <c r="CU588" s="5" t="s">
        <v>260</v>
      </c>
      <c r="CX588" s="7">
        <f>2261515</f>
        <v>2261515</v>
      </c>
      <c r="CY588" s="7">
        <f>0</f>
        <v>0</v>
      </c>
      <c r="DA588" s="7">
        <f>0</f>
        <v>0</v>
      </c>
      <c r="DC588" s="5" t="s">
        <v>689</v>
      </c>
      <c r="DD588" s="5" t="s">
        <v>240</v>
      </c>
      <c r="DF588" s="5" t="s">
        <v>1247</v>
      </c>
      <c r="DG588" s="7">
        <f>1021</f>
        <v>1021</v>
      </c>
      <c r="DI588" s="5" t="s">
        <v>618</v>
      </c>
      <c r="DJ588" s="5" t="s">
        <v>240</v>
      </c>
      <c r="DK588" s="5" t="s">
        <v>240</v>
      </c>
      <c r="DL588" s="5" t="s">
        <v>240</v>
      </c>
      <c r="DP588" s="5" t="s">
        <v>240</v>
      </c>
      <c r="DQ588" s="5" t="s">
        <v>240</v>
      </c>
      <c r="DR588" s="5" t="s">
        <v>240</v>
      </c>
      <c r="DS588" s="5" t="s">
        <v>240</v>
      </c>
      <c r="DV588" s="5" t="s">
        <v>1334</v>
      </c>
      <c r="DW588" s="5" t="s">
        <v>781</v>
      </c>
      <c r="HO588" s="5" t="s">
        <v>312</v>
      </c>
    </row>
    <row r="589" spans="1:223" x14ac:dyDescent="0.4">
      <c r="A589" s="5">
        <v>1451</v>
      </c>
      <c r="B589" s="5">
        <v>1</v>
      </c>
      <c r="C589" s="5">
        <v>1</v>
      </c>
      <c r="D589" s="5" t="s">
        <v>723</v>
      </c>
      <c r="E589" s="5" t="s">
        <v>725</v>
      </c>
      <c r="F589" s="5" t="s">
        <v>254</v>
      </c>
      <c r="G589" s="5" t="s">
        <v>240</v>
      </c>
      <c r="H589" s="6" t="s">
        <v>1139</v>
      </c>
      <c r="I589" s="5" t="s">
        <v>722</v>
      </c>
      <c r="J589" s="8">
        <f>6605</f>
        <v>6605</v>
      </c>
      <c r="K589" s="5" t="s">
        <v>308</v>
      </c>
      <c r="L589" s="7">
        <f>72655</f>
        <v>72655</v>
      </c>
      <c r="M589" s="7">
        <f>72655</f>
        <v>72655</v>
      </c>
      <c r="N589" s="5" t="s">
        <v>242</v>
      </c>
      <c r="O589" s="5">
        <v>1</v>
      </c>
      <c r="P589" s="5" t="s">
        <v>294</v>
      </c>
      <c r="Q589" s="5" t="s">
        <v>613</v>
      </c>
      <c r="R589" s="5" t="s">
        <v>240</v>
      </c>
      <c r="S589" s="5" t="s">
        <v>240</v>
      </c>
      <c r="T589" s="5" t="s">
        <v>243</v>
      </c>
      <c r="U589" s="5" t="s">
        <v>244</v>
      </c>
      <c r="V589" s="5" t="s">
        <v>240</v>
      </c>
      <c r="Y589" s="5" t="s">
        <v>240</v>
      </c>
      <c r="Z589" s="6" t="s">
        <v>298</v>
      </c>
      <c r="AB589" s="6" t="s">
        <v>240</v>
      </c>
      <c r="AE589" s="6" t="s">
        <v>299</v>
      </c>
      <c r="AF589" s="5" t="s">
        <v>248</v>
      </c>
      <c r="AG589" s="5" t="s">
        <v>249</v>
      </c>
      <c r="AW589" s="5" t="s">
        <v>251</v>
      </c>
      <c r="AX589" s="5" t="s">
        <v>240</v>
      </c>
      <c r="AY589" s="5" t="s">
        <v>253</v>
      </c>
      <c r="AZ589" s="5" t="s">
        <v>240</v>
      </c>
      <c r="BA589" s="5" t="s">
        <v>255</v>
      </c>
      <c r="BB589" s="5" t="s">
        <v>240</v>
      </c>
      <c r="BD589" s="5" t="s">
        <v>240</v>
      </c>
      <c r="BF589" s="5" t="s">
        <v>301</v>
      </c>
      <c r="BG589" s="6" t="s">
        <v>299</v>
      </c>
      <c r="BH589" s="5" t="s">
        <v>302</v>
      </c>
      <c r="BI589" s="5" t="s">
        <v>303</v>
      </c>
      <c r="BJ589" s="5" t="s">
        <v>240</v>
      </c>
      <c r="BK589" s="8">
        <f>0</f>
        <v>0</v>
      </c>
      <c r="BL589" s="7">
        <f>0</f>
        <v>0</v>
      </c>
      <c r="BM589" s="5" t="s">
        <v>258</v>
      </c>
      <c r="BN589" s="5" t="s">
        <v>259</v>
      </c>
      <c r="CB589" s="5" t="s">
        <v>240</v>
      </c>
      <c r="CC589" s="5" t="s">
        <v>240</v>
      </c>
      <c r="CG589" s="5" t="s">
        <v>617</v>
      </c>
      <c r="CH589" s="5" t="s">
        <v>305</v>
      </c>
      <c r="CI589" s="5" t="s">
        <v>240</v>
      </c>
      <c r="CL589" s="6" t="s">
        <v>261</v>
      </c>
      <c r="CM589" s="5" t="s">
        <v>240</v>
      </c>
      <c r="CN589" s="5" t="s">
        <v>263</v>
      </c>
      <c r="CO589" s="5" t="s">
        <v>240</v>
      </c>
      <c r="CP589" s="5" t="s">
        <v>240</v>
      </c>
      <c r="CQ589" s="5">
        <v>0</v>
      </c>
      <c r="CR589" s="5" t="s">
        <v>306</v>
      </c>
      <c r="CS589" s="5" t="s">
        <v>307</v>
      </c>
      <c r="CT589" s="5" t="s">
        <v>307</v>
      </c>
      <c r="CU589" s="5" t="s">
        <v>260</v>
      </c>
      <c r="CX589" s="7">
        <f>2223860</f>
        <v>2223860</v>
      </c>
      <c r="CY589" s="7">
        <f>0</f>
        <v>0</v>
      </c>
      <c r="DA589" s="7">
        <f>0</f>
        <v>0</v>
      </c>
      <c r="DC589" s="5" t="s">
        <v>689</v>
      </c>
      <c r="DD589" s="5" t="s">
        <v>240</v>
      </c>
      <c r="DF589" s="5" t="s">
        <v>1247</v>
      </c>
      <c r="DG589" s="7">
        <f>1004</f>
        <v>1004</v>
      </c>
      <c r="DI589" s="5" t="s">
        <v>618</v>
      </c>
      <c r="DJ589" s="5" t="s">
        <v>240</v>
      </c>
      <c r="DK589" s="5" t="s">
        <v>240</v>
      </c>
      <c r="DL589" s="5" t="s">
        <v>240</v>
      </c>
      <c r="DP589" s="5" t="s">
        <v>240</v>
      </c>
      <c r="DQ589" s="5" t="s">
        <v>240</v>
      </c>
      <c r="DR589" s="5" t="s">
        <v>240</v>
      </c>
      <c r="DS589" s="5" t="s">
        <v>240</v>
      </c>
      <c r="DV589" s="5" t="s">
        <v>1334</v>
      </c>
      <c r="DW589" s="5" t="s">
        <v>783</v>
      </c>
      <c r="HO589" s="5" t="s">
        <v>312</v>
      </c>
    </row>
    <row r="590" spans="1:223" x14ac:dyDescent="0.4">
      <c r="A590" s="5">
        <v>1452</v>
      </c>
      <c r="B590" s="5">
        <v>1</v>
      </c>
      <c r="C590" s="5">
        <v>1</v>
      </c>
      <c r="D590" s="5" t="s">
        <v>723</v>
      </c>
      <c r="E590" s="5" t="s">
        <v>725</v>
      </c>
      <c r="F590" s="5" t="s">
        <v>254</v>
      </c>
      <c r="G590" s="5" t="s">
        <v>240</v>
      </c>
      <c r="H590" s="6" t="s">
        <v>1138</v>
      </c>
      <c r="I590" s="5" t="s">
        <v>722</v>
      </c>
      <c r="J590" s="8">
        <f>538</f>
        <v>538</v>
      </c>
      <c r="K590" s="5" t="s">
        <v>308</v>
      </c>
      <c r="L590" s="7">
        <f>5918</f>
        <v>5918</v>
      </c>
      <c r="M590" s="7">
        <f>5918</f>
        <v>5918</v>
      </c>
      <c r="N590" s="5" t="s">
        <v>242</v>
      </c>
      <c r="O590" s="5">
        <v>1</v>
      </c>
      <c r="P590" s="5" t="s">
        <v>294</v>
      </c>
      <c r="Q590" s="5" t="s">
        <v>613</v>
      </c>
      <c r="R590" s="5" t="s">
        <v>240</v>
      </c>
      <c r="S590" s="5" t="s">
        <v>240</v>
      </c>
      <c r="T590" s="5" t="s">
        <v>243</v>
      </c>
      <c r="U590" s="5" t="s">
        <v>244</v>
      </c>
      <c r="V590" s="5" t="s">
        <v>240</v>
      </c>
      <c r="Y590" s="5" t="s">
        <v>240</v>
      </c>
      <c r="Z590" s="6" t="s">
        <v>298</v>
      </c>
      <c r="AB590" s="6" t="s">
        <v>240</v>
      </c>
      <c r="AE590" s="6" t="s">
        <v>299</v>
      </c>
      <c r="AF590" s="5" t="s">
        <v>248</v>
      </c>
      <c r="AG590" s="5" t="s">
        <v>249</v>
      </c>
      <c r="AW590" s="5" t="s">
        <v>251</v>
      </c>
      <c r="AX590" s="5" t="s">
        <v>240</v>
      </c>
      <c r="AY590" s="5" t="s">
        <v>253</v>
      </c>
      <c r="AZ590" s="5" t="s">
        <v>240</v>
      </c>
      <c r="BA590" s="5" t="s">
        <v>255</v>
      </c>
      <c r="BB590" s="5" t="s">
        <v>240</v>
      </c>
      <c r="BD590" s="5" t="s">
        <v>240</v>
      </c>
      <c r="BF590" s="5" t="s">
        <v>301</v>
      </c>
      <c r="BG590" s="6" t="s">
        <v>299</v>
      </c>
      <c r="BH590" s="5" t="s">
        <v>302</v>
      </c>
      <c r="BI590" s="5" t="s">
        <v>303</v>
      </c>
      <c r="BJ590" s="5" t="s">
        <v>240</v>
      </c>
      <c r="BK590" s="8">
        <f>0</f>
        <v>0</v>
      </c>
      <c r="BL590" s="7">
        <f>0</f>
        <v>0</v>
      </c>
      <c r="BM590" s="5" t="s">
        <v>258</v>
      </c>
      <c r="BN590" s="5" t="s">
        <v>259</v>
      </c>
      <c r="CB590" s="5" t="s">
        <v>240</v>
      </c>
      <c r="CC590" s="5" t="s">
        <v>240</v>
      </c>
      <c r="CG590" s="5" t="s">
        <v>617</v>
      </c>
      <c r="CH590" s="5" t="s">
        <v>305</v>
      </c>
      <c r="CI590" s="5" t="s">
        <v>240</v>
      </c>
      <c r="CL590" s="6" t="s">
        <v>261</v>
      </c>
      <c r="CM590" s="5" t="s">
        <v>240</v>
      </c>
      <c r="CN590" s="5" t="s">
        <v>263</v>
      </c>
      <c r="CO590" s="5" t="s">
        <v>240</v>
      </c>
      <c r="CP590" s="5" t="s">
        <v>240</v>
      </c>
      <c r="CQ590" s="5">
        <v>0</v>
      </c>
      <c r="CR590" s="5" t="s">
        <v>306</v>
      </c>
      <c r="CS590" s="5" t="s">
        <v>307</v>
      </c>
      <c r="CT590" s="5" t="s">
        <v>307</v>
      </c>
      <c r="CU590" s="5" t="s">
        <v>260</v>
      </c>
      <c r="CX590" s="7">
        <f>899290</f>
        <v>899290</v>
      </c>
      <c r="CY590" s="7">
        <f>0</f>
        <v>0</v>
      </c>
      <c r="DA590" s="7">
        <f>0</f>
        <v>0</v>
      </c>
      <c r="DC590" s="5" t="s">
        <v>689</v>
      </c>
      <c r="DD590" s="5" t="s">
        <v>240</v>
      </c>
      <c r="DF590" s="5" t="s">
        <v>1338</v>
      </c>
      <c r="DG590" s="7">
        <f>406</f>
        <v>406</v>
      </c>
      <c r="DI590" s="5" t="s">
        <v>618</v>
      </c>
      <c r="DJ590" s="5" t="s">
        <v>240</v>
      </c>
      <c r="DK590" s="5" t="s">
        <v>240</v>
      </c>
      <c r="DL590" s="5" t="s">
        <v>240</v>
      </c>
      <c r="DP590" s="5" t="s">
        <v>240</v>
      </c>
      <c r="DQ590" s="5" t="s">
        <v>240</v>
      </c>
      <c r="DR590" s="5" t="s">
        <v>240</v>
      </c>
      <c r="DS590" s="5" t="s">
        <v>240</v>
      </c>
      <c r="DV590" s="5" t="s">
        <v>1334</v>
      </c>
      <c r="DW590" s="5" t="s">
        <v>787</v>
      </c>
      <c r="HO590" s="5" t="s">
        <v>312</v>
      </c>
    </row>
    <row r="591" spans="1:223" x14ac:dyDescent="0.4">
      <c r="A591" s="5">
        <v>1453</v>
      </c>
      <c r="B591" s="5">
        <v>1</v>
      </c>
      <c r="C591" s="5">
        <v>1</v>
      </c>
      <c r="D591" s="5" t="s">
        <v>723</v>
      </c>
      <c r="E591" s="5" t="s">
        <v>725</v>
      </c>
      <c r="F591" s="5" t="s">
        <v>254</v>
      </c>
      <c r="G591" s="5" t="s">
        <v>240</v>
      </c>
      <c r="H591" s="6" t="s">
        <v>1137</v>
      </c>
      <c r="I591" s="5" t="s">
        <v>722</v>
      </c>
      <c r="J591" s="8">
        <f>855</f>
        <v>855</v>
      </c>
      <c r="K591" s="5" t="s">
        <v>308</v>
      </c>
      <c r="L591" s="7">
        <f>9405</f>
        <v>9405</v>
      </c>
      <c r="M591" s="7">
        <f>9405</f>
        <v>9405</v>
      </c>
      <c r="N591" s="5" t="s">
        <v>242</v>
      </c>
      <c r="O591" s="5">
        <v>1</v>
      </c>
      <c r="P591" s="5" t="s">
        <v>294</v>
      </c>
      <c r="Q591" s="5" t="s">
        <v>613</v>
      </c>
      <c r="R591" s="5" t="s">
        <v>240</v>
      </c>
      <c r="S591" s="5" t="s">
        <v>240</v>
      </c>
      <c r="T591" s="5" t="s">
        <v>243</v>
      </c>
      <c r="U591" s="5" t="s">
        <v>244</v>
      </c>
      <c r="V591" s="5" t="s">
        <v>240</v>
      </c>
      <c r="Y591" s="5" t="s">
        <v>240</v>
      </c>
      <c r="Z591" s="6" t="s">
        <v>298</v>
      </c>
      <c r="AB591" s="6" t="s">
        <v>240</v>
      </c>
      <c r="AE591" s="6" t="s">
        <v>299</v>
      </c>
      <c r="AF591" s="5" t="s">
        <v>248</v>
      </c>
      <c r="AG591" s="5" t="s">
        <v>249</v>
      </c>
      <c r="AW591" s="5" t="s">
        <v>251</v>
      </c>
      <c r="AX591" s="5" t="s">
        <v>240</v>
      </c>
      <c r="AY591" s="5" t="s">
        <v>253</v>
      </c>
      <c r="AZ591" s="5" t="s">
        <v>240</v>
      </c>
      <c r="BA591" s="5" t="s">
        <v>255</v>
      </c>
      <c r="BB591" s="5" t="s">
        <v>240</v>
      </c>
      <c r="BD591" s="5" t="s">
        <v>240</v>
      </c>
      <c r="BF591" s="5" t="s">
        <v>301</v>
      </c>
      <c r="BG591" s="6" t="s">
        <v>299</v>
      </c>
      <c r="BH591" s="5" t="s">
        <v>302</v>
      </c>
      <c r="BI591" s="5" t="s">
        <v>303</v>
      </c>
      <c r="BJ591" s="5" t="s">
        <v>240</v>
      </c>
      <c r="BK591" s="8">
        <f>0</f>
        <v>0</v>
      </c>
      <c r="BL591" s="7">
        <f>0</f>
        <v>0</v>
      </c>
      <c r="BM591" s="5" t="s">
        <v>258</v>
      </c>
      <c r="BN591" s="5" t="s">
        <v>259</v>
      </c>
      <c r="CB591" s="5" t="s">
        <v>240</v>
      </c>
      <c r="CC591" s="5" t="s">
        <v>240</v>
      </c>
      <c r="CG591" s="5" t="s">
        <v>617</v>
      </c>
      <c r="CH591" s="5" t="s">
        <v>305</v>
      </c>
      <c r="CI591" s="5" t="s">
        <v>240</v>
      </c>
      <c r="CL591" s="6" t="s">
        <v>261</v>
      </c>
      <c r="CM591" s="5" t="s">
        <v>240</v>
      </c>
      <c r="CN591" s="5" t="s">
        <v>263</v>
      </c>
      <c r="CO591" s="5" t="s">
        <v>240</v>
      </c>
      <c r="CP591" s="5" t="s">
        <v>240</v>
      </c>
      <c r="CQ591" s="5">
        <v>0</v>
      </c>
      <c r="CR591" s="5" t="s">
        <v>306</v>
      </c>
      <c r="CS591" s="5" t="s">
        <v>307</v>
      </c>
      <c r="CT591" s="5" t="s">
        <v>307</v>
      </c>
      <c r="CU591" s="5" t="s">
        <v>260</v>
      </c>
      <c r="CX591" s="7">
        <f>2217215</f>
        <v>2217215</v>
      </c>
      <c r="CY591" s="7">
        <f>0</f>
        <v>0</v>
      </c>
      <c r="DA591" s="7">
        <f>0</f>
        <v>0</v>
      </c>
      <c r="DC591" s="5" t="s">
        <v>689</v>
      </c>
      <c r="DD591" s="5" t="s">
        <v>240</v>
      </c>
      <c r="DF591" s="5" t="s">
        <v>1247</v>
      </c>
      <c r="DG591" s="7">
        <f>1001</f>
        <v>1001</v>
      </c>
      <c r="DI591" s="5" t="s">
        <v>618</v>
      </c>
      <c r="DJ591" s="5" t="s">
        <v>240</v>
      </c>
      <c r="DK591" s="5" t="s">
        <v>240</v>
      </c>
      <c r="DL591" s="5" t="s">
        <v>240</v>
      </c>
      <c r="DP591" s="5" t="s">
        <v>240</v>
      </c>
      <c r="DQ591" s="5" t="s">
        <v>240</v>
      </c>
      <c r="DR591" s="5" t="s">
        <v>240</v>
      </c>
      <c r="DS591" s="5" t="s">
        <v>240</v>
      </c>
      <c r="DV591" s="5" t="s">
        <v>1334</v>
      </c>
      <c r="DW591" s="5" t="s">
        <v>789</v>
      </c>
      <c r="HO591" s="5" t="s">
        <v>312</v>
      </c>
    </row>
    <row r="592" spans="1:223" x14ac:dyDescent="0.4">
      <c r="A592" s="5">
        <v>1454</v>
      </c>
      <c r="B592" s="5">
        <v>1</v>
      </c>
      <c r="C592" s="5">
        <v>1</v>
      </c>
      <c r="D592" s="5" t="s">
        <v>723</v>
      </c>
      <c r="E592" s="5" t="s">
        <v>725</v>
      </c>
      <c r="F592" s="5" t="s">
        <v>254</v>
      </c>
      <c r="G592" s="5" t="s">
        <v>240</v>
      </c>
      <c r="H592" s="6" t="s">
        <v>1136</v>
      </c>
      <c r="I592" s="5" t="s">
        <v>722</v>
      </c>
      <c r="J592" s="8">
        <f>2863</f>
        <v>2863</v>
      </c>
      <c r="K592" s="5" t="s">
        <v>308</v>
      </c>
      <c r="L592" s="7">
        <f>31493</f>
        <v>31493</v>
      </c>
      <c r="M592" s="7">
        <f>31493</f>
        <v>31493</v>
      </c>
      <c r="N592" s="5" t="s">
        <v>242</v>
      </c>
      <c r="O592" s="5">
        <v>1</v>
      </c>
      <c r="P592" s="5" t="s">
        <v>294</v>
      </c>
      <c r="Q592" s="5" t="s">
        <v>613</v>
      </c>
      <c r="R592" s="5" t="s">
        <v>240</v>
      </c>
      <c r="S592" s="5" t="s">
        <v>240</v>
      </c>
      <c r="T592" s="5" t="s">
        <v>243</v>
      </c>
      <c r="U592" s="5" t="s">
        <v>244</v>
      </c>
      <c r="V592" s="5" t="s">
        <v>240</v>
      </c>
      <c r="Y592" s="5" t="s">
        <v>240</v>
      </c>
      <c r="Z592" s="6" t="s">
        <v>298</v>
      </c>
      <c r="AB592" s="6" t="s">
        <v>240</v>
      </c>
      <c r="AE592" s="6" t="s">
        <v>299</v>
      </c>
      <c r="AF592" s="5" t="s">
        <v>248</v>
      </c>
      <c r="AG592" s="5" t="s">
        <v>249</v>
      </c>
      <c r="AW592" s="5" t="s">
        <v>251</v>
      </c>
      <c r="AX592" s="5" t="s">
        <v>240</v>
      </c>
      <c r="AY592" s="5" t="s">
        <v>253</v>
      </c>
      <c r="AZ592" s="5" t="s">
        <v>240</v>
      </c>
      <c r="BA592" s="5" t="s">
        <v>255</v>
      </c>
      <c r="BB592" s="5" t="s">
        <v>240</v>
      </c>
      <c r="BD592" s="5" t="s">
        <v>240</v>
      </c>
      <c r="BF592" s="5" t="s">
        <v>301</v>
      </c>
      <c r="BG592" s="6" t="s">
        <v>299</v>
      </c>
      <c r="BH592" s="5" t="s">
        <v>302</v>
      </c>
      <c r="BI592" s="5" t="s">
        <v>303</v>
      </c>
      <c r="BJ592" s="5" t="s">
        <v>240</v>
      </c>
      <c r="BK592" s="8">
        <f>0</f>
        <v>0</v>
      </c>
      <c r="BL592" s="7">
        <f>0</f>
        <v>0</v>
      </c>
      <c r="BM592" s="5" t="s">
        <v>258</v>
      </c>
      <c r="BN592" s="5" t="s">
        <v>259</v>
      </c>
      <c r="CB592" s="5" t="s">
        <v>240</v>
      </c>
      <c r="CC592" s="5" t="s">
        <v>240</v>
      </c>
      <c r="CG592" s="5" t="s">
        <v>617</v>
      </c>
      <c r="CH592" s="5" t="s">
        <v>305</v>
      </c>
      <c r="CI592" s="5" t="s">
        <v>240</v>
      </c>
      <c r="CL592" s="6" t="s">
        <v>261</v>
      </c>
      <c r="CM592" s="5" t="s">
        <v>240</v>
      </c>
      <c r="CN592" s="5" t="s">
        <v>263</v>
      </c>
      <c r="CO592" s="5" t="s">
        <v>240</v>
      </c>
      <c r="CP592" s="5" t="s">
        <v>240</v>
      </c>
      <c r="CQ592" s="5">
        <v>0</v>
      </c>
      <c r="CR592" s="5" t="s">
        <v>306</v>
      </c>
      <c r="CS592" s="5" t="s">
        <v>307</v>
      </c>
      <c r="CT592" s="5" t="s">
        <v>307</v>
      </c>
      <c r="CU592" s="5" t="s">
        <v>260</v>
      </c>
      <c r="CX592" s="7">
        <f>965740</f>
        <v>965740</v>
      </c>
      <c r="CY592" s="7">
        <f>0</f>
        <v>0</v>
      </c>
      <c r="DA592" s="7">
        <f>0</f>
        <v>0</v>
      </c>
      <c r="DC592" s="5" t="s">
        <v>689</v>
      </c>
      <c r="DD592" s="5" t="s">
        <v>240</v>
      </c>
      <c r="DF592" s="5" t="s">
        <v>1247</v>
      </c>
      <c r="DG592" s="7">
        <f>436</f>
        <v>436</v>
      </c>
      <c r="DI592" s="5" t="s">
        <v>618</v>
      </c>
      <c r="DJ592" s="5" t="s">
        <v>240</v>
      </c>
      <c r="DK592" s="5" t="s">
        <v>240</v>
      </c>
      <c r="DL592" s="5" t="s">
        <v>240</v>
      </c>
      <c r="DP592" s="5" t="s">
        <v>240</v>
      </c>
      <c r="DQ592" s="5" t="s">
        <v>240</v>
      </c>
      <c r="DR592" s="5" t="s">
        <v>240</v>
      </c>
      <c r="DS592" s="5" t="s">
        <v>240</v>
      </c>
      <c r="DV592" s="5" t="s">
        <v>1334</v>
      </c>
      <c r="DW592" s="5" t="s">
        <v>825</v>
      </c>
      <c r="HO592" s="5" t="s">
        <v>312</v>
      </c>
    </row>
    <row r="593" spans="1:223" x14ac:dyDescent="0.4">
      <c r="A593" s="5">
        <v>1455</v>
      </c>
      <c r="B593" s="5">
        <v>1</v>
      </c>
      <c r="C593" s="5">
        <v>1</v>
      </c>
      <c r="D593" s="5" t="s">
        <v>723</v>
      </c>
      <c r="E593" s="5" t="s">
        <v>725</v>
      </c>
      <c r="F593" s="5" t="s">
        <v>254</v>
      </c>
      <c r="G593" s="5" t="s">
        <v>240</v>
      </c>
      <c r="H593" s="6" t="s">
        <v>1028</v>
      </c>
      <c r="I593" s="5" t="s">
        <v>722</v>
      </c>
      <c r="J593" s="8">
        <f>2390</f>
        <v>2390</v>
      </c>
      <c r="K593" s="5" t="s">
        <v>308</v>
      </c>
      <c r="L593" s="7">
        <f>26290</f>
        <v>26290</v>
      </c>
      <c r="M593" s="7">
        <f>26290</f>
        <v>26290</v>
      </c>
      <c r="N593" s="5" t="s">
        <v>242</v>
      </c>
      <c r="O593" s="5">
        <v>1</v>
      </c>
      <c r="P593" s="5" t="s">
        <v>294</v>
      </c>
      <c r="Q593" s="5" t="s">
        <v>613</v>
      </c>
      <c r="R593" s="5" t="s">
        <v>240</v>
      </c>
      <c r="S593" s="5" t="s">
        <v>240</v>
      </c>
      <c r="T593" s="5" t="s">
        <v>243</v>
      </c>
      <c r="U593" s="5" t="s">
        <v>244</v>
      </c>
      <c r="V593" s="5" t="s">
        <v>240</v>
      </c>
      <c r="Y593" s="5" t="s">
        <v>240</v>
      </c>
      <c r="Z593" s="6" t="s">
        <v>298</v>
      </c>
      <c r="AB593" s="6" t="s">
        <v>240</v>
      </c>
      <c r="AE593" s="6" t="s">
        <v>299</v>
      </c>
      <c r="AF593" s="5" t="s">
        <v>248</v>
      </c>
      <c r="AG593" s="5" t="s">
        <v>249</v>
      </c>
      <c r="AW593" s="5" t="s">
        <v>251</v>
      </c>
      <c r="AX593" s="5" t="s">
        <v>240</v>
      </c>
      <c r="AY593" s="5" t="s">
        <v>253</v>
      </c>
      <c r="AZ593" s="5" t="s">
        <v>240</v>
      </c>
      <c r="BA593" s="5" t="s">
        <v>255</v>
      </c>
      <c r="BB593" s="5" t="s">
        <v>240</v>
      </c>
      <c r="BD593" s="5" t="s">
        <v>240</v>
      </c>
      <c r="BF593" s="5" t="s">
        <v>301</v>
      </c>
      <c r="BG593" s="6" t="s">
        <v>299</v>
      </c>
      <c r="BH593" s="5" t="s">
        <v>302</v>
      </c>
      <c r="BI593" s="5" t="s">
        <v>303</v>
      </c>
      <c r="BJ593" s="5" t="s">
        <v>240</v>
      </c>
      <c r="BK593" s="8">
        <f>0</f>
        <v>0</v>
      </c>
      <c r="BL593" s="7">
        <f>0</f>
        <v>0</v>
      </c>
      <c r="BM593" s="5" t="s">
        <v>258</v>
      </c>
      <c r="BN593" s="5" t="s">
        <v>259</v>
      </c>
      <c r="CB593" s="5" t="s">
        <v>240</v>
      </c>
      <c r="CC593" s="5" t="s">
        <v>240</v>
      </c>
      <c r="CG593" s="5" t="s">
        <v>617</v>
      </c>
      <c r="CH593" s="5" t="s">
        <v>305</v>
      </c>
      <c r="CI593" s="5" t="s">
        <v>240</v>
      </c>
      <c r="CL593" s="6" t="s">
        <v>261</v>
      </c>
      <c r="CM593" s="5" t="s">
        <v>240</v>
      </c>
      <c r="CN593" s="5" t="s">
        <v>263</v>
      </c>
      <c r="CO593" s="5" t="s">
        <v>240</v>
      </c>
      <c r="CP593" s="5" t="s">
        <v>240</v>
      </c>
      <c r="CQ593" s="5">
        <v>0</v>
      </c>
      <c r="CR593" s="5" t="s">
        <v>306</v>
      </c>
      <c r="CS593" s="5" t="s">
        <v>307</v>
      </c>
      <c r="CT593" s="5" t="s">
        <v>307</v>
      </c>
      <c r="CU593" s="5" t="s">
        <v>260</v>
      </c>
      <c r="CX593" s="7">
        <f>467365</f>
        <v>467365</v>
      </c>
      <c r="CY593" s="7">
        <f>0</f>
        <v>0</v>
      </c>
      <c r="DA593" s="7">
        <f>0</f>
        <v>0</v>
      </c>
      <c r="DC593" s="5" t="s">
        <v>689</v>
      </c>
      <c r="DD593" s="5" t="s">
        <v>240</v>
      </c>
      <c r="DF593" s="5" t="s">
        <v>1338</v>
      </c>
      <c r="DG593" s="7">
        <f>211</f>
        <v>211</v>
      </c>
      <c r="DI593" s="5" t="s">
        <v>618</v>
      </c>
      <c r="DJ593" s="5" t="s">
        <v>240</v>
      </c>
      <c r="DK593" s="5" t="s">
        <v>240</v>
      </c>
      <c r="DL593" s="5" t="s">
        <v>240</v>
      </c>
      <c r="DP593" s="5" t="s">
        <v>240</v>
      </c>
      <c r="DQ593" s="5" t="s">
        <v>240</v>
      </c>
      <c r="DR593" s="5" t="s">
        <v>240</v>
      </c>
      <c r="DS593" s="5" t="s">
        <v>240</v>
      </c>
      <c r="DV593" s="5" t="s">
        <v>1334</v>
      </c>
      <c r="DW593" s="5" t="s">
        <v>791</v>
      </c>
      <c r="HO593" s="5" t="s">
        <v>312</v>
      </c>
    </row>
    <row r="594" spans="1:223" x14ac:dyDescent="0.4">
      <c r="A594" s="5">
        <v>1456</v>
      </c>
      <c r="B594" s="5">
        <v>1</v>
      </c>
      <c r="C594" s="5">
        <v>1</v>
      </c>
      <c r="D594" s="5" t="s">
        <v>723</v>
      </c>
      <c r="E594" s="5" t="s">
        <v>725</v>
      </c>
      <c r="F594" s="5" t="s">
        <v>254</v>
      </c>
      <c r="G594" s="5" t="s">
        <v>240</v>
      </c>
      <c r="H594" s="6" t="s">
        <v>1027</v>
      </c>
      <c r="I594" s="5" t="s">
        <v>722</v>
      </c>
      <c r="J594" s="8">
        <f>2326</f>
        <v>2326</v>
      </c>
      <c r="K594" s="5" t="s">
        <v>308</v>
      </c>
      <c r="L594" s="7">
        <f>25586</f>
        <v>25586</v>
      </c>
      <c r="M594" s="7">
        <f>25586</f>
        <v>25586</v>
      </c>
      <c r="N594" s="5" t="s">
        <v>242</v>
      </c>
      <c r="O594" s="5">
        <v>1</v>
      </c>
      <c r="P594" s="5" t="s">
        <v>294</v>
      </c>
      <c r="Q594" s="5" t="s">
        <v>613</v>
      </c>
      <c r="R594" s="5" t="s">
        <v>240</v>
      </c>
      <c r="S594" s="5" t="s">
        <v>240</v>
      </c>
      <c r="T594" s="5" t="s">
        <v>243</v>
      </c>
      <c r="U594" s="5" t="s">
        <v>244</v>
      </c>
      <c r="V594" s="5" t="s">
        <v>240</v>
      </c>
      <c r="Y594" s="5" t="s">
        <v>240</v>
      </c>
      <c r="Z594" s="6" t="s">
        <v>298</v>
      </c>
      <c r="AB594" s="6" t="s">
        <v>240</v>
      </c>
      <c r="AE594" s="6" t="s">
        <v>299</v>
      </c>
      <c r="AF594" s="5" t="s">
        <v>248</v>
      </c>
      <c r="AG594" s="5" t="s">
        <v>249</v>
      </c>
      <c r="AW594" s="5" t="s">
        <v>251</v>
      </c>
      <c r="AX594" s="5" t="s">
        <v>240</v>
      </c>
      <c r="AY594" s="5" t="s">
        <v>253</v>
      </c>
      <c r="AZ594" s="5" t="s">
        <v>240</v>
      </c>
      <c r="BA594" s="5" t="s">
        <v>255</v>
      </c>
      <c r="BB594" s="5" t="s">
        <v>240</v>
      </c>
      <c r="BD594" s="5" t="s">
        <v>240</v>
      </c>
      <c r="BF594" s="5" t="s">
        <v>301</v>
      </c>
      <c r="BG594" s="6" t="s">
        <v>299</v>
      </c>
      <c r="BH594" s="5" t="s">
        <v>302</v>
      </c>
      <c r="BI594" s="5" t="s">
        <v>303</v>
      </c>
      <c r="BJ594" s="5" t="s">
        <v>240</v>
      </c>
      <c r="BK594" s="8">
        <f>0</f>
        <v>0</v>
      </c>
      <c r="BL594" s="7">
        <f>0</f>
        <v>0</v>
      </c>
      <c r="BM594" s="5" t="s">
        <v>258</v>
      </c>
      <c r="BN594" s="5" t="s">
        <v>259</v>
      </c>
      <c r="CB594" s="5" t="s">
        <v>240</v>
      </c>
      <c r="CC594" s="5" t="s">
        <v>240</v>
      </c>
      <c r="CG594" s="5" t="s">
        <v>617</v>
      </c>
      <c r="CH594" s="5" t="s">
        <v>305</v>
      </c>
      <c r="CI594" s="5" t="s">
        <v>240</v>
      </c>
      <c r="CL594" s="6" t="s">
        <v>261</v>
      </c>
      <c r="CM594" s="5" t="s">
        <v>240</v>
      </c>
      <c r="CN594" s="5" t="s">
        <v>263</v>
      </c>
      <c r="CO594" s="5" t="s">
        <v>240</v>
      </c>
      <c r="CP594" s="5" t="s">
        <v>240</v>
      </c>
      <c r="CQ594" s="5">
        <v>0</v>
      </c>
      <c r="CR594" s="5" t="s">
        <v>306</v>
      </c>
      <c r="CS594" s="5" t="s">
        <v>307</v>
      </c>
      <c r="CT594" s="5" t="s">
        <v>307</v>
      </c>
      <c r="CU594" s="5" t="s">
        <v>260</v>
      </c>
      <c r="CX594" s="7">
        <f>1678970</f>
        <v>1678970</v>
      </c>
      <c r="CY594" s="7">
        <f>0</f>
        <v>0</v>
      </c>
      <c r="DA594" s="7">
        <f>0</f>
        <v>0</v>
      </c>
      <c r="DC594" s="5" t="s">
        <v>689</v>
      </c>
      <c r="DD594" s="5" t="s">
        <v>240</v>
      </c>
      <c r="DF594" s="5" t="s">
        <v>1247</v>
      </c>
      <c r="DG594" s="7">
        <f>758</f>
        <v>758</v>
      </c>
      <c r="DI594" s="5" t="s">
        <v>618</v>
      </c>
      <c r="DJ594" s="5" t="s">
        <v>240</v>
      </c>
      <c r="DK594" s="5" t="s">
        <v>240</v>
      </c>
      <c r="DL594" s="5" t="s">
        <v>240</v>
      </c>
      <c r="DP594" s="5" t="s">
        <v>240</v>
      </c>
      <c r="DQ594" s="5" t="s">
        <v>240</v>
      </c>
      <c r="DR594" s="5" t="s">
        <v>240</v>
      </c>
      <c r="DS594" s="5" t="s">
        <v>240</v>
      </c>
      <c r="DV594" s="5" t="s">
        <v>1334</v>
      </c>
      <c r="DW594" s="5" t="s">
        <v>793</v>
      </c>
      <c r="HO594" s="5" t="s">
        <v>312</v>
      </c>
    </row>
    <row r="595" spans="1:223" x14ac:dyDescent="0.4">
      <c r="A595" s="5">
        <v>1457</v>
      </c>
      <c r="B595" s="5">
        <v>1</v>
      </c>
      <c r="C595" s="5">
        <v>1</v>
      </c>
      <c r="D595" s="5" t="s">
        <v>723</v>
      </c>
      <c r="E595" s="5" t="s">
        <v>725</v>
      </c>
      <c r="F595" s="5" t="s">
        <v>254</v>
      </c>
      <c r="G595" s="5" t="s">
        <v>240</v>
      </c>
      <c r="H595" s="6" t="s">
        <v>1026</v>
      </c>
      <c r="I595" s="5" t="s">
        <v>722</v>
      </c>
      <c r="J595" s="8">
        <f>835</f>
        <v>835</v>
      </c>
      <c r="K595" s="5" t="s">
        <v>308</v>
      </c>
      <c r="L595" s="7">
        <f>9185</f>
        <v>9185</v>
      </c>
      <c r="M595" s="7">
        <f>9185</f>
        <v>9185</v>
      </c>
      <c r="N595" s="5" t="s">
        <v>242</v>
      </c>
      <c r="O595" s="5">
        <v>1</v>
      </c>
      <c r="P595" s="5" t="s">
        <v>294</v>
      </c>
      <c r="Q595" s="5" t="s">
        <v>613</v>
      </c>
      <c r="R595" s="5" t="s">
        <v>240</v>
      </c>
      <c r="S595" s="5" t="s">
        <v>240</v>
      </c>
      <c r="T595" s="5" t="s">
        <v>243</v>
      </c>
      <c r="U595" s="5" t="s">
        <v>244</v>
      </c>
      <c r="V595" s="5" t="s">
        <v>240</v>
      </c>
      <c r="Y595" s="5" t="s">
        <v>240</v>
      </c>
      <c r="Z595" s="6" t="s">
        <v>298</v>
      </c>
      <c r="AB595" s="6" t="s">
        <v>240</v>
      </c>
      <c r="AE595" s="6" t="s">
        <v>299</v>
      </c>
      <c r="AF595" s="5" t="s">
        <v>248</v>
      </c>
      <c r="AG595" s="5" t="s">
        <v>249</v>
      </c>
      <c r="AW595" s="5" t="s">
        <v>251</v>
      </c>
      <c r="AX595" s="5" t="s">
        <v>240</v>
      </c>
      <c r="AY595" s="5" t="s">
        <v>253</v>
      </c>
      <c r="AZ595" s="5" t="s">
        <v>240</v>
      </c>
      <c r="BA595" s="5" t="s">
        <v>255</v>
      </c>
      <c r="BB595" s="5" t="s">
        <v>240</v>
      </c>
      <c r="BD595" s="5" t="s">
        <v>240</v>
      </c>
      <c r="BF595" s="5" t="s">
        <v>301</v>
      </c>
      <c r="BG595" s="6" t="s">
        <v>299</v>
      </c>
      <c r="BH595" s="5" t="s">
        <v>302</v>
      </c>
      <c r="BI595" s="5" t="s">
        <v>303</v>
      </c>
      <c r="BJ595" s="5" t="s">
        <v>240</v>
      </c>
      <c r="BK595" s="8">
        <f>0</f>
        <v>0</v>
      </c>
      <c r="BL595" s="7">
        <f>0</f>
        <v>0</v>
      </c>
      <c r="BM595" s="5" t="s">
        <v>258</v>
      </c>
      <c r="BN595" s="5" t="s">
        <v>259</v>
      </c>
      <c r="CB595" s="5" t="s">
        <v>240</v>
      </c>
      <c r="CC595" s="5" t="s">
        <v>240</v>
      </c>
      <c r="CG595" s="5" t="s">
        <v>617</v>
      </c>
      <c r="CH595" s="5" t="s">
        <v>305</v>
      </c>
      <c r="CI595" s="5" t="s">
        <v>240</v>
      </c>
      <c r="CL595" s="6" t="s">
        <v>261</v>
      </c>
      <c r="CM595" s="5" t="s">
        <v>240</v>
      </c>
      <c r="CN595" s="5" t="s">
        <v>263</v>
      </c>
      <c r="CO595" s="5" t="s">
        <v>240</v>
      </c>
      <c r="CP595" s="5" t="s">
        <v>240</v>
      </c>
      <c r="CQ595" s="5">
        <v>0</v>
      </c>
      <c r="CR595" s="5" t="s">
        <v>306</v>
      </c>
      <c r="CS595" s="5" t="s">
        <v>307</v>
      </c>
      <c r="CT595" s="5" t="s">
        <v>307</v>
      </c>
      <c r="CU595" s="5" t="s">
        <v>260</v>
      </c>
      <c r="CX595" s="7">
        <f>1659035</f>
        <v>1659035</v>
      </c>
      <c r="CY595" s="7">
        <f>0</f>
        <v>0</v>
      </c>
      <c r="DA595" s="7">
        <f>0</f>
        <v>0</v>
      </c>
      <c r="DC595" s="5" t="s">
        <v>689</v>
      </c>
      <c r="DD595" s="5" t="s">
        <v>240</v>
      </c>
      <c r="DF595" s="5" t="s">
        <v>1338</v>
      </c>
      <c r="DG595" s="7">
        <f>749</f>
        <v>749</v>
      </c>
      <c r="DI595" s="5" t="s">
        <v>618</v>
      </c>
      <c r="DJ595" s="5" t="s">
        <v>240</v>
      </c>
      <c r="DK595" s="5" t="s">
        <v>240</v>
      </c>
      <c r="DL595" s="5" t="s">
        <v>240</v>
      </c>
      <c r="DP595" s="5" t="s">
        <v>240</v>
      </c>
      <c r="DQ595" s="5" t="s">
        <v>240</v>
      </c>
      <c r="DR595" s="5" t="s">
        <v>240</v>
      </c>
      <c r="DS595" s="5" t="s">
        <v>240</v>
      </c>
      <c r="DV595" s="5" t="s">
        <v>1334</v>
      </c>
      <c r="DW595" s="5" t="s">
        <v>795</v>
      </c>
      <c r="HO595" s="5" t="s">
        <v>312</v>
      </c>
    </row>
    <row r="596" spans="1:223" x14ac:dyDescent="0.4">
      <c r="A596" s="5">
        <v>1458</v>
      </c>
      <c r="B596" s="5">
        <v>1</v>
      </c>
      <c r="C596" s="5">
        <v>1</v>
      </c>
      <c r="D596" s="5" t="s">
        <v>723</v>
      </c>
      <c r="E596" s="5" t="s">
        <v>725</v>
      </c>
      <c r="F596" s="5" t="s">
        <v>254</v>
      </c>
      <c r="G596" s="5" t="s">
        <v>240</v>
      </c>
      <c r="H596" s="6" t="s">
        <v>4283</v>
      </c>
      <c r="I596" s="5" t="s">
        <v>722</v>
      </c>
      <c r="J596" s="8">
        <f>7024</f>
        <v>7024</v>
      </c>
      <c r="K596" s="5" t="s">
        <v>308</v>
      </c>
      <c r="L596" s="7">
        <f>77264</f>
        <v>77264</v>
      </c>
      <c r="M596" s="7">
        <f>77264</f>
        <v>77264</v>
      </c>
      <c r="N596" s="5" t="s">
        <v>242</v>
      </c>
      <c r="O596" s="5">
        <v>1</v>
      </c>
      <c r="P596" s="5" t="s">
        <v>294</v>
      </c>
      <c r="Q596" s="5" t="s">
        <v>613</v>
      </c>
      <c r="R596" s="5" t="s">
        <v>240</v>
      </c>
      <c r="S596" s="5" t="s">
        <v>240</v>
      </c>
      <c r="T596" s="5" t="s">
        <v>243</v>
      </c>
      <c r="U596" s="5" t="s">
        <v>244</v>
      </c>
      <c r="V596" s="5" t="s">
        <v>240</v>
      </c>
      <c r="Y596" s="5" t="s">
        <v>240</v>
      </c>
      <c r="Z596" s="6" t="s">
        <v>298</v>
      </c>
      <c r="AB596" s="6" t="s">
        <v>240</v>
      </c>
      <c r="AE596" s="6" t="s">
        <v>299</v>
      </c>
      <c r="AF596" s="5" t="s">
        <v>248</v>
      </c>
      <c r="AG596" s="5" t="s">
        <v>249</v>
      </c>
      <c r="AW596" s="5" t="s">
        <v>251</v>
      </c>
      <c r="AX596" s="5" t="s">
        <v>240</v>
      </c>
      <c r="AY596" s="5" t="s">
        <v>253</v>
      </c>
      <c r="AZ596" s="5" t="s">
        <v>240</v>
      </c>
      <c r="BA596" s="5" t="s">
        <v>255</v>
      </c>
      <c r="BB596" s="5" t="s">
        <v>240</v>
      </c>
      <c r="BD596" s="5" t="s">
        <v>240</v>
      </c>
      <c r="BF596" s="5" t="s">
        <v>301</v>
      </c>
      <c r="BG596" s="6" t="s">
        <v>299</v>
      </c>
      <c r="BH596" s="5" t="s">
        <v>302</v>
      </c>
      <c r="BI596" s="5" t="s">
        <v>303</v>
      </c>
      <c r="BJ596" s="5" t="s">
        <v>240</v>
      </c>
      <c r="BK596" s="8">
        <f>0</f>
        <v>0</v>
      </c>
      <c r="BL596" s="7">
        <f>0</f>
        <v>0</v>
      </c>
      <c r="BM596" s="5" t="s">
        <v>258</v>
      </c>
      <c r="BN596" s="5" t="s">
        <v>259</v>
      </c>
      <c r="CB596" s="5" t="s">
        <v>240</v>
      </c>
      <c r="CC596" s="5" t="s">
        <v>240</v>
      </c>
      <c r="CG596" s="5" t="s">
        <v>617</v>
      </c>
      <c r="CH596" s="5" t="s">
        <v>305</v>
      </c>
      <c r="CI596" s="5" t="s">
        <v>240</v>
      </c>
      <c r="CL596" s="6" t="s">
        <v>261</v>
      </c>
      <c r="CM596" s="5" t="s">
        <v>240</v>
      </c>
      <c r="CN596" s="5" t="s">
        <v>263</v>
      </c>
      <c r="CO596" s="5" t="s">
        <v>240</v>
      </c>
      <c r="CP596" s="5" t="s">
        <v>240</v>
      </c>
      <c r="CQ596" s="5">
        <v>0</v>
      </c>
      <c r="CR596" s="5" t="s">
        <v>306</v>
      </c>
      <c r="CS596" s="5" t="s">
        <v>307</v>
      </c>
      <c r="CT596" s="5" t="s">
        <v>307</v>
      </c>
      <c r="CU596" s="5" t="s">
        <v>260</v>
      </c>
      <c r="CX596" s="7">
        <f>460720</f>
        <v>460720</v>
      </c>
      <c r="CY596" s="7">
        <f>0</f>
        <v>0</v>
      </c>
      <c r="DA596" s="7">
        <f>0</f>
        <v>0</v>
      </c>
      <c r="DC596" s="5" t="s">
        <v>689</v>
      </c>
      <c r="DD596" s="5" t="s">
        <v>240</v>
      </c>
      <c r="DF596" s="5" t="s">
        <v>1338</v>
      </c>
      <c r="DG596" s="7">
        <f>208</f>
        <v>208</v>
      </c>
      <c r="DI596" s="5" t="s">
        <v>618</v>
      </c>
      <c r="DJ596" s="5" t="s">
        <v>240</v>
      </c>
      <c r="DK596" s="5" t="s">
        <v>240</v>
      </c>
      <c r="DL596" s="5" t="s">
        <v>240</v>
      </c>
      <c r="DP596" s="5" t="s">
        <v>240</v>
      </c>
      <c r="DQ596" s="5" t="s">
        <v>240</v>
      </c>
      <c r="DR596" s="5" t="s">
        <v>240</v>
      </c>
      <c r="DS596" s="5" t="s">
        <v>240</v>
      </c>
      <c r="DV596" s="5" t="s">
        <v>1334</v>
      </c>
      <c r="DW596" s="5" t="s">
        <v>797</v>
      </c>
      <c r="HO596" s="5" t="s">
        <v>312</v>
      </c>
    </row>
    <row r="597" spans="1:223" x14ac:dyDescent="0.4">
      <c r="A597" s="5">
        <v>1459</v>
      </c>
      <c r="B597" s="5">
        <v>1</v>
      </c>
      <c r="C597" s="5">
        <v>1</v>
      </c>
      <c r="D597" s="5" t="s">
        <v>723</v>
      </c>
      <c r="E597" s="5" t="s">
        <v>725</v>
      </c>
      <c r="F597" s="5" t="s">
        <v>254</v>
      </c>
      <c r="G597" s="5" t="s">
        <v>240</v>
      </c>
      <c r="H597" s="6" t="s">
        <v>1023</v>
      </c>
      <c r="I597" s="5" t="s">
        <v>722</v>
      </c>
      <c r="J597" s="8">
        <f>5545</f>
        <v>5545</v>
      </c>
      <c r="K597" s="5" t="s">
        <v>308</v>
      </c>
      <c r="L597" s="7">
        <f>60995</f>
        <v>60995</v>
      </c>
      <c r="M597" s="7">
        <f>60995</f>
        <v>60995</v>
      </c>
      <c r="N597" s="5" t="s">
        <v>242</v>
      </c>
      <c r="O597" s="5">
        <v>1</v>
      </c>
      <c r="P597" s="5" t="s">
        <v>294</v>
      </c>
      <c r="Q597" s="5" t="s">
        <v>613</v>
      </c>
      <c r="R597" s="5" t="s">
        <v>240</v>
      </c>
      <c r="S597" s="5" t="s">
        <v>240</v>
      </c>
      <c r="T597" s="5" t="s">
        <v>243</v>
      </c>
      <c r="U597" s="5" t="s">
        <v>244</v>
      </c>
      <c r="V597" s="5" t="s">
        <v>240</v>
      </c>
      <c r="Y597" s="5" t="s">
        <v>240</v>
      </c>
      <c r="Z597" s="6" t="s">
        <v>298</v>
      </c>
      <c r="AB597" s="6" t="s">
        <v>240</v>
      </c>
      <c r="AE597" s="6" t="s">
        <v>299</v>
      </c>
      <c r="AF597" s="5" t="s">
        <v>248</v>
      </c>
      <c r="AG597" s="5" t="s">
        <v>249</v>
      </c>
      <c r="AW597" s="5" t="s">
        <v>251</v>
      </c>
      <c r="AX597" s="5" t="s">
        <v>240</v>
      </c>
      <c r="AY597" s="5" t="s">
        <v>253</v>
      </c>
      <c r="AZ597" s="5" t="s">
        <v>240</v>
      </c>
      <c r="BA597" s="5" t="s">
        <v>255</v>
      </c>
      <c r="BB597" s="5" t="s">
        <v>240</v>
      </c>
      <c r="BD597" s="5" t="s">
        <v>240</v>
      </c>
      <c r="BF597" s="5" t="s">
        <v>301</v>
      </c>
      <c r="BG597" s="6" t="s">
        <v>299</v>
      </c>
      <c r="BH597" s="5" t="s">
        <v>302</v>
      </c>
      <c r="BI597" s="5" t="s">
        <v>303</v>
      </c>
      <c r="BJ597" s="5" t="s">
        <v>240</v>
      </c>
      <c r="BK597" s="8">
        <f>0</f>
        <v>0</v>
      </c>
      <c r="BL597" s="7">
        <f>0</f>
        <v>0</v>
      </c>
      <c r="BM597" s="5" t="s">
        <v>258</v>
      </c>
      <c r="BN597" s="5" t="s">
        <v>259</v>
      </c>
      <c r="CB597" s="5" t="s">
        <v>240</v>
      </c>
      <c r="CC597" s="5" t="s">
        <v>240</v>
      </c>
      <c r="CG597" s="5" t="s">
        <v>617</v>
      </c>
      <c r="CH597" s="5" t="s">
        <v>305</v>
      </c>
      <c r="CI597" s="5" t="s">
        <v>240</v>
      </c>
      <c r="CL597" s="6" t="s">
        <v>261</v>
      </c>
      <c r="CM597" s="5" t="s">
        <v>240</v>
      </c>
      <c r="CN597" s="5" t="s">
        <v>263</v>
      </c>
      <c r="CO597" s="5" t="s">
        <v>240</v>
      </c>
      <c r="CP597" s="5" t="s">
        <v>240</v>
      </c>
      <c r="CQ597" s="5">
        <v>0</v>
      </c>
      <c r="CR597" s="5" t="s">
        <v>306</v>
      </c>
      <c r="CS597" s="5" t="s">
        <v>307</v>
      </c>
      <c r="CT597" s="5" t="s">
        <v>307</v>
      </c>
      <c r="CU597" s="5" t="s">
        <v>260</v>
      </c>
      <c r="CX597" s="7">
        <f>2006790</f>
        <v>2006790</v>
      </c>
      <c r="CY597" s="7">
        <f>0</f>
        <v>0</v>
      </c>
      <c r="DA597" s="7">
        <f>0</f>
        <v>0</v>
      </c>
      <c r="DC597" s="5" t="s">
        <v>689</v>
      </c>
      <c r="DD597" s="5" t="s">
        <v>240</v>
      </c>
      <c r="DF597" s="5" t="s">
        <v>1338</v>
      </c>
      <c r="DG597" s="7">
        <f>906</f>
        <v>906</v>
      </c>
      <c r="DI597" s="5" t="s">
        <v>618</v>
      </c>
      <c r="DJ597" s="5" t="s">
        <v>240</v>
      </c>
      <c r="DK597" s="5" t="s">
        <v>240</v>
      </c>
      <c r="DL597" s="5" t="s">
        <v>240</v>
      </c>
      <c r="DP597" s="5" t="s">
        <v>240</v>
      </c>
      <c r="DQ597" s="5" t="s">
        <v>240</v>
      </c>
      <c r="DR597" s="5" t="s">
        <v>240</v>
      </c>
      <c r="DS597" s="5" t="s">
        <v>240</v>
      </c>
      <c r="DV597" s="5" t="s">
        <v>1334</v>
      </c>
      <c r="DW597" s="5" t="s">
        <v>799</v>
      </c>
      <c r="HO597" s="5" t="s">
        <v>312</v>
      </c>
    </row>
    <row r="598" spans="1:223" x14ac:dyDescent="0.4">
      <c r="A598" s="5">
        <v>1460</v>
      </c>
      <c r="B598" s="5">
        <v>1</v>
      </c>
      <c r="C598" s="5">
        <v>1</v>
      </c>
      <c r="D598" s="5" t="s">
        <v>723</v>
      </c>
      <c r="E598" s="5" t="s">
        <v>725</v>
      </c>
      <c r="F598" s="5" t="s">
        <v>254</v>
      </c>
      <c r="G598" s="5" t="s">
        <v>240</v>
      </c>
      <c r="H598" s="6" t="s">
        <v>1022</v>
      </c>
      <c r="I598" s="5" t="s">
        <v>722</v>
      </c>
      <c r="J598" s="8">
        <f>1006</f>
        <v>1006</v>
      </c>
      <c r="K598" s="5" t="s">
        <v>308</v>
      </c>
      <c r="L598" s="7">
        <f>11066</f>
        <v>11066</v>
      </c>
      <c r="M598" s="7">
        <f>11066</f>
        <v>11066</v>
      </c>
      <c r="N598" s="5" t="s">
        <v>242</v>
      </c>
      <c r="O598" s="5">
        <v>1</v>
      </c>
      <c r="P598" s="5" t="s">
        <v>294</v>
      </c>
      <c r="Q598" s="5" t="s">
        <v>266</v>
      </c>
      <c r="R598" s="5" t="s">
        <v>240</v>
      </c>
      <c r="S598" s="5" t="s">
        <v>240</v>
      </c>
      <c r="T598" s="5" t="s">
        <v>296</v>
      </c>
      <c r="U598" s="5" t="s">
        <v>244</v>
      </c>
      <c r="V598" s="5" t="s">
        <v>240</v>
      </c>
      <c r="Y598" s="5" t="s">
        <v>240</v>
      </c>
      <c r="Z598" s="6" t="s">
        <v>298</v>
      </c>
      <c r="AB598" s="6" t="s">
        <v>240</v>
      </c>
      <c r="AE598" s="6" t="s">
        <v>299</v>
      </c>
      <c r="AF598" s="5" t="s">
        <v>248</v>
      </c>
      <c r="AG598" s="5" t="s">
        <v>249</v>
      </c>
      <c r="AW598" s="5" t="s">
        <v>251</v>
      </c>
      <c r="AX598" s="5" t="s">
        <v>240</v>
      </c>
      <c r="AY598" s="5" t="s">
        <v>253</v>
      </c>
      <c r="AZ598" s="5" t="s">
        <v>240</v>
      </c>
      <c r="BA598" s="5" t="s">
        <v>255</v>
      </c>
      <c r="BB598" s="5" t="s">
        <v>240</v>
      </c>
      <c r="BD598" s="5" t="s">
        <v>240</v>
      </c>
      <c r="BF598" s="5" t="s">
        <v>301</v>
      </c>
      <c r="BG598" s="6" t="s">
        <v>299</v>
      </c>
      <c r="BH598" s="5" t="s">
        <v>302</v>
      </c>
      <c r="BI598" s="5" t="s">
        <v>303</v>
      </c>
      <c r="BJ598" s="5" t="s">
        <v>240</v>
      </c>
      <c r="BK598" s="8">
        <f>0</f>
        <v>0</v>
      </c>
      <c r="BL598" s="7">
        <f>0</f>
        <v>0</v>
      </c>
      <c r="BM598" s="5" t="s">
        <v>258</v>
      </c>
      <c r="BN598" s="5" t="s">
        <v>259</v>
      </c>
      <c r="CB598" s="5" t="s">
        <v>240</v>
      </c>
      <c r="CC598" s="5" t="s">
        <v>240</v>
      </c>
      <c r="CG598" s="5" t="s">
        <v>304</v>
      </c>
      <c r="CH598" s="5" t="s">
        <v>305</v>
      </c>
      <c r="CI598" s="5" t="s">
        <v>240</v>
      </c>
      <c r="CL598" s="6" t="s">
        <v>261</v>
      </c>
      <c r="CM598" s="5" t="s">
        <v>240</v>
      </c>
      <c r="CN598" s="5" t="s">
        <v>263</v>
      </c>
      <c r="CO598" s="5" t="s">
        <v>240</v>
      </c>
      <c r="CP598" s="5" t="s">
        <v>240</v>
      </c>
      <c r="CQ598" s="5">
        <v>0</v>
      </c>
      <c r="CR598" s="5" t="s">
        <v>306</v>
      </c>
      <c r="CS598" s="5" t="s">
        <v>307</v>
      </c>
      <c r="CT598" s="5" t="s">
        <v>307</v>
      </c>
      <c r="CU598" s="5" t="s">
        <v>260</v>
      </c>
      <c r="CX598" s="7">
        <f>1</f>
        <v>1</v>
      </c>
      <c r="CY598" s="7">
        <f>0</f>
        <v>0</v>
      </c>
      <c r="DA598" s="7">
        <f>0</f>
        <v>0</v>
      </c>
      <c r="DC598" s="5" t="s">
        <v>812</v>
      </c>
      <c r="DD598" s="5" t="s">
        <v>240</v>
      </c>
      <c r="DF598" s="5" t="s">
        <v>812</v>
      </c>
      <c r="DG598" s="7">
        <f>92</f>
        <v>92</v>
      </c>
      <c r="DI598" s="5" t="s">
        <v>240</v>
      </c>
      <c r="DJ598" s="5" t="s">
        <v>240</v>
      </c>
      <c r="DK598" s="5" t="s">
        <v>240</v>
      </c>
      <c r="DL598" s="5" t="s">
        <v>240</v>
      </c>
      <c r="DP598" s="5" t="s">
        <v>240</v>
      </c>
      <c r="DQ598" s="5" t="s">
        <v>240</v>
      </c>
      <c r="DR598" s="5" t="s">
        <v>240</v>
      </c>
      <c r="DS598" s="5" t="s">
        <v>240</v>
      </c>
      <c r="DV598" s="5" t="s">
        <v>813</v>
      </c>
      <c r="DW598" s="5" t="s">
        <v>1393</v>
      </c>
      <c r="HO598" s="5" t="s">
        <v>312</v>
      </c>
    </row>
    <row r="599" spans="1:223" x14ac:dyDescent="0.4">
      <c r="A599" s="5">
        <v>1461</v>
      </c>
      <c r="B599" s="5">
        <v>1</v>
      </c>
      <c r="C599" s="5">
        <v>1</v>
      </c>
      <c r="D599" s="5" t="s">
        <v>723</v>
      </c>
      <c r="E599" s="5" t="s">
        <v>725</v>
      </c>
      <c r="F599" s="5" t="s">
        <v>254</v>
      </c>
      <c r="G599" s="5" t="s">
        <v>240</v>
      </c>
      <c r="H599" s="6" t="s">
        <v>1021</v>
      </c>
      <c r="I599" s="5" t="s">
        <v>722</v>
      </c>
      <c r="J599" s="8">
        <f>1195</f>
        <v>1195</v>
      </c>
      <c r="K599" s="5" t="s">
        <v>308</v>
      </c>
      <c r="L599" s="7">
        <f>13145</f>
        <v>13145</v>
      </c>
      <c r="M599" s="7">
        <f>13145</f>
        <v>13145</v>
      </c>
      <c r="N599" s="5" t="s">
        <v>242</v>
      </c>
      <c r="O599" s="5">
        <v>1</v>
      </c>
      <c r="P599" s="5" t="s">
        <v>294</v>
      </c>
      <c r="Q599" s="5" t="s">
        <v>613</v>
      </c>
      <c r="R599" s="5" t="s">
        <v>240</v>
      </c>
      <c r="S599" s="5" t="s">
        <v>240</v>
      </c>
      <c r="T599" s="5" t="s">
        <v>243</v>
      </c>
      <c r="U599" s="5" t="s">
        <v>244</v>
      </c>
      <c r="V599" s="5" t="s">
        <v>240</v>
      </c>
      <c r="Y599" s="5" t="s">
        <v>240</v>
      </c>
      <c r="Z599" s="6" t="s">
        <v>298</v>
      </c>
      <c r="AB599" s="6" t="s">
        <v>240</v>
      </c>
      <c r="AE599" s="6" t="s">
        <v>299</v>
      </c>
      <c r="AF599" s="5" t="s">
        <v>248</v>
      </c>
      <c r="AG599" s="5" t="s">
        <v>249</v>
      </c>
      <c r="AW599" s="5" t="s">
        <v>251</v>
      </c>
      <c r="AX599" s="5" t="s">
        <v>240</v>
      </c>
      <c r="AY599" s="5" t="s">
        <v>253</v>
      </c>
      <c r="AZ599" s="5" t="s">
        <v>240</v>
      </c>
      <c r="BA599" s="5" t="s">
        <v>255</v>
      </c>
      <c r="BB599" s="5" t="s">
        <v>240</v>
      </c>
      <c r="BD599" s="5" t="s">
        <v>240</v>
      </c>
      <c r="BF599" s="5" t="s">
        <v>301</v>
      </c>
      <c r="BG599" s="6" t="s">
        <v>299</v>
      </c>
      <c r="BH599" s="5" t="s">
        <v>302</v>
      </c>
      <c r="BI599" s="5" t="s">
        <v>303</v>
      </c>
      <c r="BJ599" s="5" t="s">
        <v>240</v>
      </c>
      <c r="BK599" s="8">
        <f>0</f>
        <v>0</v>
      </c>
      <c r="BL599" s="7">
        <f>0</f>
        <v>0</v>
      </c>
      <c r="BM599" s="5" t="s">
        <v>258</v>
      </c>
      <c r="BN599" s="5" t="s">
        <v>259</v>
      </c>
      <c r="CB599" s="5" t="s">
        <v>240</v>
      </c>
      <c r="CC599" s="5" t="s">
        <v>240</v>
      </c>
      <c r="CG599" s="5" t="s">
        <v>617</v>
      </c>
      <c r="CH599" s="5" t="s">
        <v>305</v>
      </c>
      <c r="CI599" s="5" t="s">
        <v>240</v>
      </c>
      <c r="CL599" s="6" t="s">
        <v>261</v>
      </c>
      <c r="CM599" s="5" t="s">
        <v>240</v>
      </c>
      <c r="CN599" s="5" t="s">
        <v>263</v>
      </c>
      <c r="CO599" s="5" t="s">
        <v>240</v>
      </c>
      <c r="CP599" s="5" t="s">
        <v>240</v>
      </c>
      <c r="CQ599" s="5">
        <v>0</v>
      </c>
      <c r="CR599" s="5" t="s">
        <v>306</v>
      </c>
      <c r="CS599" s="5" t="s">
        <v>307</v>
      </c>
      <c r="CT599" s="5" t="s">
        <v>307</v>
      </c>
      <c r="CU599" s="5" t="s">
        <v>260</v>
      </c>
      <c r="CX599" s="7">
        <f>2133045</f>
        <v>2133045</v>
      </c>
      <c r="CY599" s="7">
        <f>0</f>
        <v>0</v>
      </c>
      <c r="DA599" s="7">
        <f>0</f>
        <v>0</v>
      </c>
      <c r="DC599" s="5" t="s">
        <v>689</v>
      </c>
      <c r="DD599" s="5" t="s">
        <v>240</v>
      </c>
      <c r="DF599" s="5" t="s">
        <v>1247</v>
      </c>
      <c r="DG599" s="7">
        <f>963</f>
        <v>963</v>
      </c>
      <c r="DI599" s="5" t="s">
        <v>618</v>
      </c>
      <c r="DJ599" s="5" t="s">
        <v>240</v>
      </c>
      <c r="DK599" s="5" t="s">
        <v>240</v>
      </c>
      <c r="DL599" s="5" t="s">
        <v>240</v>
      </c>
      <c r="DP599" s="5" t="s">
        <v>240</v>
      </c>
      <c r="DQ599" s="5" t="s">
        <v>240</v>
      </c>
      <c r="DR599" s="5" t="s">
        <v>240</v>
      </c>
      <c r="DS599" s="5" t="s">
        <v>240</v>
      </c>
      <c r="DV599" s="5" t="s">
        <v>1334</v>
      </c>
      <c r="DW599" s="5" t="s">
        <v>804</v>
      </c>
      <c r="HO599" s="5" t="s">
        <v>312</v>
      </c>
    </row>
    <row r="600" spans="1:223" x14ac:dyDescent="0.4">
      <c r="A600" s="5">
        <v>1462</v>
      </c>
      <c r="B600" s="5">
        <v>1</v>
      </c>
      <c r="C600" s="5">
        <v>1</v>
      </c>
      <c r="D600" s="5" t="s">
        <v>723</v>
      </c>
      <c r="E600" s="5" t="s">
        <v>725</v>
      </c>
      <c r="F600" s="5" t="s">
        <v>254</v>
      </c>
      <c r="G600" s="5" t="s">
        <v>240</v>
      </c>
      <c r="H600" s="6" t="s">
        <v>1020</v>
      </c>
      <c r="I600" s="5" t="s">
        <v>722</v>
      </c>
      <c r="J600" s="8">
        <f>1068</f>
        <v>1068</v>
      </c>
      <c r="K600" s="5" t="s">
        <v>308</v>
      </c>
      <c r="L600" s="7">
        <f>11748</f>
        <v>11748</v>
      </c>
      <c r="M600" s="7">
        <f>11748</f>
        <v>11748</v>
      </c>
      <c r="N600" s="5" t="s">
        <v>242</v>
      </c>
      <c r="O600" s="5">
        <v>1</v>
      </c>
      <c r="P600" s="5" t="s">
        <v>294</v>
      </c>
      <c r="Q600" s="5" t="s">
        <v>613</v>
      </c>
      <c r="R600" s="5" t="s">
        <v>240</v>
      </c>
      <c r="S600" s="5" t="s">
        <v>240</v>
      </c>
      <c r="T600" s="5" t="s">
        <v>243</v>
      </c>
      <c r="U600" s="5" t="s">
        <v>244</v>
      </c>
      <c r="V600" s="5" t="s">
        <v>240</v>
      </c>
      <c r="Y600" s="5" t="s">
        <v>240</v>
      </c>
      <c r="Z600" s="6" t="s">
        <v>298</v>
      </c>
      <c r="AB600" s="6" t="s">
        <v>240</v>
      </c>
      <c r="AE600" s="6" t="s">
        <v>299</v>
      </c>
      <c r="AF600" s="5" t="s">
        <v>248</v>
      </c>
      <c r="AG600" s="5" t="s">
        <v>249</v>
      </c>
      <c r="AW600" s="5" t="s">
        <v>251</v>
      </c>
      <c r="AX600" s="5" t="s">
        <v>240</v>
      </c>
      <c r="AY600" s="5" t="s">
        <v>253</v>
      </c>
      <c r="AZ600" s="5" t="s">
        <v>240</v>
      </c>
      <c r="BA600" s="5" t="s">
        <v>255</v>
      </c>
      <c r="BB600" s="5" t="s">
        <v>240</v>
      </c>
      <c r="BD600" s="5" t="s">
        <v>240</v>
      </c>
      <c r="BF600" s="5" t="s">
        <v>301</v>
      </c>
      <c r="BG600" s="6" t="s">
        <v>299</v>
      </c>
      <c r="BH600" s="5" t="s">
        <v>302</v>
      </c>
      <c r="BI600" s="5" t="s">
        <v>303</v>
      </c>
      <c r="BJ600" s="5" t="s">
        <v>240</v>
      </c>
      <c r="BK600" s="8">
        <f>0</f>
        <v>0</v>
      </c>
      <c r="BL600" s="7">
        <f>0</f>
        <v>0</v>
      </c>
      <c r="BM600" s="5" t="s">
        <v>258</v>
      </c>
      <c r="BN600" s="5" t="s">
        <v>259</v>
      </c>
      <c r="CB600" s="5" t="s">
        <v>240</v>
      </c>
      <c r="CC600" s="5" t="s">
        <v>240</v>
      </c>
      <c r="CG600" s="5" t="s">
        <v>617</v>
      </c>
      <c r="CH600" s="5" t="s">
        <v>305</v>
      </c>
      <c r="CI600" s="5" t="s">
        <v>240</v>
      </c>
      <c r="CL600" s="6" t="s">
        <v>261</v>
      </c>
      <c r="CM600" s="5" t="s">
        <v>240</v>
      </c>
      <c r="CN600" s="5" t="s">
        <v>263</v>
      </c>
      <c r="CO600" s="5" t="s">
        <v>240</v>
      </c>
      <c r="CP600" s="5" t="s">
        <v>240</v>
      </c>
      <c r="CQ600" s="5">
        <v>0</v>
      </c>
      <c r="CR600" s="5" t="s">
        <v>306</v>
      </c>
      <c r="CS600" s="5" t="s">
        <v>307</v>
      </c>
      <c r="CT600" s="5" t="s">
        <v>307</v>
      </c>
      <c r="CU600" s="5" t="s">
        <v>260</v>
      </c>
      <c r="CX600" s="7">
        <f>1038835</f>
        <v>1038835</v>
      </c>
      <c r="CY600" s="7">
        <f>0</f>
        <v>0</v>
      </c>
      <c r="DA600" s="7">
        <f>0</f>
        <v>0</v>
      </c>
      <c r="DC600" s="5" t="s">
        <v>689</v>
      </c>
      <c r="DD600" s="5" t="s">
        <v>240</v>
      </c>
      <c r="DF600" s="5" t="s">
        <v>1247</v>
      </c>
      <c r="DG600" s="7">
        <f>469</f>
        <v>469</v>
      </c>
      <c r="DI600" s="5" t="s">
        <v>618</v>
      </c>
      <c r="DJ600" s="5" t="s">
        <v>240</v>
      </c>
      <c r="DK600" s="5" t="s">
        <v>240</v>
      </c>
      <c r="DL600" s="5" t="s">
        <v>240</v>
      </c>
      <c r="DP600" s="5" t="s">
        <v>240</v>
      </c>
      <c r="DQ600" s="5" t="s">
        <v>240</v>
      </c>
      <c r="DR600" s="5" t="s">
        <v>240</v>
      </c>
      <c r="DS600" s="5" t="s">
        <v>240</v>
      </c>
      <c r="DV600" s="5" t="s">
        <v>1334</v>
      </c>
      <c r="DW600" s="5" t="s">
        <v>808</v>
      </c>
      <c r="HO600" s="5" t="s">
        <v>312</v>
      </c>
    </row>
    <row r="601" spans="1:223" x14ac:dyDescent="0.4">
      <c r="A601" s="5">
        <v>1463</v>
      </c>
      <c r="B601" s="5">
        <v>1</v>
      </c>
      <c r="C601" s="5">
        <v>1</v>
      </c>
      <c r="D601" s="5" t="s">
        <v>723</v>
      </c>
      <c r="E601" s="5" t="s">
        <v>725</v>
      </c>
      <c r="F601" s="5" t="s">
        <v>254</v>
      </c>
      <c r="G601" s="5" t="s">
        <v>240</v>
      </c>
      <c r="H601" s="6" t="s">
        <v>1019</v>
      </c>
      <c r="I601" s="5" t="s">
        <v>722</v>
      </c>
      <c r="J601" s="8">
        <f>1260</f>
        <v>1260</v>
      </c>
      <c r="K601" s="5" t="s">
        <v>308</v>
      </c>
      <c r="L601" s="7">
        <f>13860</f>
        <v>13860</v>
      </c>
      <c r="M601" s="7">
        <f>13860</f>
        <v>13860</v>
      </c>
      <c r="N601" s="5" t="s">
        <v>242</v>
      </c>
      <c r="O601" s="5">
        <v>1</v>
      </c>
      <c r="P601" s="5" t="s">
        <v>294</v>
      </c>
      <c r="Q601" s="5" t="s">
        <v>613</v>
      </c>
      <c r="R601" s="5" t="s">
        <v>240</v>
      </c>
      <c r="S601" s="5" t="s">
        <v>240</v>
      </c>
      <c r="T601" s="5" t="s">
        <v>243</v>
      </c>
      <c r="U601" s="5" t="s">
        <v>244</v>
      </c>
      <c r="V601" s="5" t="s">
        <v>240</v>
      </c>
      <c r="Y601" s="5" t="s">
        <v>240</v>
      </c>
      <c r="Z601" s="6" t="s">
        <v>298</v>
      </c>
      <c r="AB601" s="6" t="s">
        <v>240</v>
      </c>
      <c r="AE601" s="6" t="s">
        <v>299</v>
      </c>
      <c r="AF601" s="5" t="s">
        <v>248</v>
      </c>
      <c r="AG601" s="5" t="s">
        <v>249</v>
      </c>
      <c r="AW601" s="5" t="s">
        <v>251</v>
      </c>
      <c r="AX601" s="5" t="s">
        <v>240</v>
      </c>
      <c r="AY601" s="5" t="s">
        <v>253</v>
      </c>
      <c r="AZ601" s="5" t="s">
        <v>240</v>
      </c>
      <c r="BA601" s="5" t="s">
        <v>255</v>
      </c>
      <c r="BB601" s="5" t="s">
        <v>240</v>
      </c>
      <c r="BD601" s="5" t="s">
        <v>240</v>
      </c>
      <c r="BF601" s="5" t="s">
        <v>301</v>
      </c>
      <c r="BG601" s="6" t="s">
        <v>299</v>
      </c>
      <c r="BH601" s="5" t="s">
        <v>302</v>
      </c>
      <c r="BI601" s="5" t="s">
        <v>303</v>
      </c>
      <c r="BJ601" s="5" t="s">
        <v>240</v>
      </c>
      <c r="BK601" s="8">
        <f>0</f>
        <v>0</v>
      </c>
      <c r="BL601" s="7">
        <f>0</f>
        <v>0</v>
      </c>
      <c r="BM601" s="5" t="s">
        <v>258</v>
      </c>
      <c r="BN601" s="5" t="s">
        <v>259</v>
      </c>
      <c r="CB601" s="5" t="s">
        <v>240</v>
      </c>
      <c r="CC601" s="5" t="s">
        <v>240</v>
      </c>
      <c r="CG601" s="5" t="s">
        <v>617</v>
      </c>
      <c r="CH601" s="5" t="s">
        <v>305</v>
      </c>
      <c r="CI601" s="5" t="s">
        <v>240</v>
      </c>
      <c r="CL601" s="6" t="s">
        <v>261</v>
      </c>
      <c r="CM601" s="5" t="s">
        <v>240</v>
      </c>
      <c r="CN601" s="5" t="s">
        <v>263</v>
      </c>
      <c r="CO601" s="5" t="s">
        <v>240</v>
      </c>
      <c r="CP601" s="5" t="s">
        <v>240</v>
      </c>
      <c r="CQ601" s="5">
        <v>0</v>
      </c>
      <c r="CR601" s="5" t="s">
        <v>306</v>
      </c>
      <c r="CS601" s="5" t="s">
        <v>307</v>
      </c>
      <c r="CT601" s="5" t="s">
        <v>307</v>
      </c>
      <c r="CU601" s="5" t="s">
        <v>260</v>
      </c>
      <c r="CX601" s="7">
        <f>1969135</f>
        <v>1969135</v>
      </c>
      <c r="CY601" s="7">
        <f>0</f>
        <v>0</v>
      </c>
      <c r="DA601" s="7">
        <f>0</f>
        <v>0</v>
      </c>
      <c r="DC601" s="5" t="s">
        <v>689</v>
      </c>
      <c r="DD601" s="5" t="s">
        <v>240</v>
      </c>
      <c r="DF601" s="5" t="s">
        <v>1247</v>
      </c>
      <c r="DG601" s="7">
        <f>889</f>
        <v>889</v>
      </c>
      <c r="DI601" s="5" t="s">
        <v>618</v>
      </c>
      <c r="DJ601" s="5" t="s">
        <v>240</v>
      </c>
      <c r="DK601" s="5" t="s">
        <v>240</v>
      </c>
      <c r="DL601" s="5" t="s">
        <v>240</v>
      </c>
      <c r="DP601" s="5" t="s">
        <v>240</v>
      </c>
      <c r="DQ601" s="5" t="s">
        <v>240</v>
      </c>
      <c r="DR601" s="5" t="s">
        <v>240</v>
      </c>
      <c r="DS601" s="5" t="s">
        <v>240</v>
      </c>
      <c r="DV601" s="5" t="s">
        <v>1334</v>
      </c>
      <c r="DW601" s="5" t="s">
        <v>1260</v>
      </c>
      <c r="HO601" s="5" t="s">
        <v>312</v>
      </c>
    </row>
    <row r="602" spans="1:223" x14ac:dyDescent="0.4">
      <c r="A602" s="5">
        <v>1464</v>
      </c>
      <c r="B602" s="5">
        <v>1</v>
      </c>
      <c r="C602" s="5">
        <v>1</v>
      </c>
      <c r="D602" s="5" t="s">
        <v>723</v>
      </c>
      <c r="E602" s="5" t="s">
        <v>725</v>
      </c>
      <c r="F602" s="5" t="s">
        <v>254</v>
      </c>
      <c r="G602" s="5" t="s">
        <v>240</v>
      </c>
      <c r="H602" s="6" t="s">
        <v>1018</v>
      </c>
      <c r="I602" s="5" t="s">
        <v>722</v>
      </c>
      <c r="J602" s="8">
        <f>6628</f>
        <v>6628</v>
      </c>
      <c r="K602" s="5" t="s">
        <v>308</v>
      </c>
      <c r="L602" s="7">
        <f>72908</f>
        <v>72908</v>
      </c>
      <c r="M602" s="7">
        <f>72908</f>
        <v>72908</v>
      </c>
      <c r="N602" s="5" t="s">
        <v>242</v>
      </c>
      <c r="O602" s="5">
        <v>1</v>
      </c>
      <c r="P602" s="5" t="s">
        <v>294</v>
      </c>
      <c r="Q602" s="5" t="s">
        <v>613</v>
      </c>
      <c r="R602" s="5" t="s">
        <v>240</v>
      </c>
      <c r="S602" s="5" t="s">
        <v>240</v>
      </c>
      <c r="T602" s="5" t="s">
        <v>243</v>
      </c>
      <c r="U602" s="5" t="s">
        <v>244</v>
      </c>
      <c r="V602" s="5" t="s">
        <v>240</v>
      </c>
      <c r="Y602" s="5" t="s">
        <v>240</v>
      </c>
      <c r="Z602" s="6" t="s">
        <v>298</v>
      </c>
      <c r="AB602" s="6" t="s">
        <v>240</v>
      </c>
      <c r="AE602" s="6" t="s">
        <v>299</v>
      </c>
      <c r="AF602" s="5" t="s">
        <v>248</v>
      </c>
      <c r="AG602" s="5" t="s">
        <v>249</v>
      </c>
      <c r="AW602" s="5" t="s">
        <v>251</v>
      </c>
      <c r="AX602" s="5" t="s">
        <v>240</v>
      </c>
      <c r="AY602" s="5" t="s">
        <v>253</v>
      </c>
      <c r="AZ602" s="5" t="s">
        <v>240</v>
      </c>
      <c r="BA602" s="5" t="s">
        <v>255</v>
      </c>
      <c r="BB602" s="5" t="s">
        <v>240</v>
      </c>
      <c r="BD602" s="5" t="s">
        <v>240</v>
      </c>
      <c r="BF602" s="5" t="s">
        <v>301</v>
      </c>
      <c r="BG602" s="6" t="s">
        <v>299</v>
      </c>
      <c r="BH602" s="5" t="s">
        <v>302</v>
      </c>
      <c r="BI602" s="5" t="s">
        <v>303</v>
      </c>
      <c r="BJ602" s="5" t="s">
        <v>240</v>
      </c>
      <c r="BK602" s="8">
        <f>0</f>
        <v>0</v>
      </c>
      <c r="BL602" s="7">
        <f>0</f>
        <v>0</v>
      </c>
      <c r="BM602" s="5" t="s">
        <v>258</v>
      </c>
      <c r="BN602" s="5" t="s">
        <v>259</v>
      </c>
      <c r="CB602" s="5" t="s">
        <v>240</v>
      </c>
      <c r="CC602" s="5" t="s">
        <v>240</v>
      </c>
      <c r="CG602" s="5" t="s">
        <v>617</v>
      </c>
      <c r="CH602" s="5" t="s">
        <v>305</v>
      </c>
      <c r="CI602" s="5" t="s">
        <v>240</v>
      </c>
      <c r="CL602" s="6" t="s">
        <v>261</v>
      </c>
      <c r="CM602" s="5" t="s">
        <v>240</v>
      </c>
      <c r="CN602" s="5" t="s">
        <v>263</v>
      </c>
      <c r="CO602" s="5" t="s">
        <v>240</v>
      </c>
      <c r="CP602" s="5" t="s">
        <v>240</v>
      </c>
      <c r="CQ602" s="5">
        <v>0</v>
      </c>
      <c r="CR602" s="5" t="s">
        <v>306</v>
      </c>
      <c r="CS602" s="5" t="s">
        <v>307</v>
      </c>
      <c r="CT602" s="5" t="s">
        <v>307</v>
      </c>
      <c r="CU602" s="5" t="s">
        <v>260</v>
      </c>
      <c r="CX602" s="7">
        <f>1118575</f>
        <v>1118575</v>
      </c>
      <c r="CY602" s="7">
        <f>0</f>
        <v>0</v>
      </c>
      <c r="DA602" s="7">
        <f>0</f>
        <v>0</v>
      </c>
      <c r="DC602" s="5" t="s">
        <v>689</v>
      </c>
      <c r="DD602" s="5" t="s">
        <v>240</v>
      </c>
      <c r="DF602" s="5" t="s">
        <v>1247</v>
      </c>
      <c r="DG602" s="7">
        <f>505</f>
        <v>505</v>
      </c>
      <c r="DI602" s="5" t="s">
        <v>618</v>
      </c>
      <c r="DJ602" s="5" t="s">
        <v>240</v>
      </c>
      <c r="DK602" s="5" t="s">
        <v>240</v>
      </c>
      <c r="DL602" s="5" t="s">
        <v>240</v>
      </c>
      <c r="DP602" s="5" t="s">
        <v>240</v>
      </c>
      <c r="DQ602" s="5" t="s">
        <v>240</v>
      </c>
      <c r="DR602" s="5" t="s">
        <v>240</v>
      </c>
      <c r="DS602" s="5" t="s">
        <v>240</v>
      </c>
      <c r="DV602" s="5" t="s">
        <v>1334</v>
      </c>
      <c r="DW602" s="5" t="s">
        <v>816</v>
      </c>
      <c r="HO602" s="5" t="s">
        <v>312</v>
      </c>
    </row>
    <row r="603" spans="1:223" x14ac:dyDescent="0.4">
      <c r="A603" s="5">
        <v>1465</v>
      </c>
      <c r="B603" s="5">
        <v>1</v>
      </c>
      <c r="C603" s="5">
        <v>1</v>
      </c>
      <c r="D603" s="5" t="s">
        <v>723</v>
      </c>
      <c r="E603" s="5" t="s">
        <v>725</v>
      </c>
      <c r="F603" s="5" t="s">
        <v>254</v>
      </c>
      <c r="G603" s="5" t="s">
        <v>240</v>
      </c>
      <c r="H603" s="6" t="s">
        <v>1017</v>
      </c>
      <c r="I603" s="5" t="s">
        <v>722</v>
      </c>
      <c r="J603" s="8">
        <f>2803</f>
        <v>2803</v>
      </c>
      <c r="K603" s="5" t="s">
        <v>308</v>
      </c>
      <c r="L603" s="7">
        <f>30833</f>
        <v>30833</v>
      </c>
      <c r="M603" s="7">
        <f>30833</f>
        <v>30833</v>
      </c>
      <c r="N603" s="5" t="s">
        <v>242</v>
      </c>
      <c r="O603" s="5">
        <v>1</v>
      </c>
      <c r="P603" s="5" t="s">
        <v>294</v>
      </c>
      <c r="Q603" s="5" t="s">
        <v>613</v>
      </c>
      <c r="R603" s="5" t="s">
        <v>240</v>
      </c>
      <c r="S603" s="5" t="s">
        <v>240</v>
      </c>
      <c r="T603" s="5" t="s">
        <v>243</v>
      </c>
      <c r="U603" s="5" t="s">
        <v>244</v>
      </c>
      <c r="V603" s="5" t="s">
        <v>240</v>
      </c>
      <c r="Y603" s="5" t="s">
        <v>240</v>
      </c>
      <c r="Z603" s="6" t="s">
        <v>298</v>
      </c>
      <c r="AB603" s="6" t="s">
        <v>240</v>
      </c>
      <c r="AE603" s="6" t="s">
        <v>299</v>
      </c>
      <c r="AF603" s="5" t="s">
        <v>248</v>
      </c>
      <c r="AG603" s="5" t="s">
        <v>249</v>
      </c>
      <c r="AW603" s="5" t="s">
        <v>251</v>
      </c>
      <c r="AX603" s="5" t="s">
        <v>240</v>
      </c>
      <c r="AY603" s="5" t="s">
        <v>253</v>
      </c>
      <c r="AZ603" s="5" t="s">
        <v>240</v>
      </c>
      <c r="BA603" s="5" t="s">
        <v>255</v>
      </c>
      <c r="BB603" s="5" t="s">
        <v>240</v>
      </c>
      <c r="BD603" s="5" t="s">
        <v>240</v>
      </c>
      <c r="BF603" s="5" t="s">
        <v>301</v>
      </c>
      <c r="BG603" s="6" t="s">
        <v>299</v>
      </c>
      <c r="BH603" s="5" t="s">
        <v>302</v>
      </c>
      <c r="BI603" s="5" t="s">
        <v>303</v>
      </c>
      <c r="BJ603" s="5" t="s">
        <v>240</v>
      </c>
      <c r="BK603" s="8">
        <f>0</f>
        <v>0</v>
      </c>
      <c r="BL603" s="7">
        <f>0</f>
        <v>0</v>
      </c>
      <c r="BM603" s="5" t="s">
        <v>258</v>
      </c>
      <c r="BN603" s="5" t="s">
        <v>259</v>
      </c>
      <c r="CB603" s="5" t="s">
        <v>240</v>
      </c>
      <c r="CC603" s="5" t="s">
        <v>240</v>
      </c>
      <c r="CG603" s="5" t="s">
        <v>617</v>
      </c>
      <c r="CH603" s="5" t="s">
        <v>305</v>
      </c>
      <c r="CI603" s="5" t="s">
        <v>240</v>
      </c>
      <c r="CL603" s="6" t="s">
        <v>261</v>
      </c>
      <c r="CM603" s="5" t="s">
        <v>240</v>
      </c>
      <c r="CN603" s="5" t="s">
        <v>263</v>
      </c>
      <c r="CO603" s="5" t="s">
        <v>240</v>
      </c>
      <c r="CP603" s="5" t="s">
        <v>240</v>
      </c>
      <c r="CQ603" s="5">
        <v>0</v>
      </c>
      <c r="CR603" s="5" t="s">
        <v>306</v>
      </c>
      <c r="CS603" s="5" t="s">
        <v>307</v>
      </c>
      <c r="CT603" s="5" t="s">
        <v>307</v>
      </c>
      <c r="CU603" s="5" t="s">
        <v>260</v>
      </c>
      <c r="CX603" s="7">
        <f>768605</f>
        <v>768605</v>
      </c>
      <c r="CY603" s="7">
        <f>0</f>
        <v>0</v>
      </c>
      <c r="DA603" s="7">
        <f>0</f>
        <v>0</v>
      </c>
      <c r="DC603" s="5" t="s">
        <v>689</v>
      </c>
      <c r="DD603" s="5" t="s">
        <v>240</v>
      </c>
      <c r="DF603" s="5" t="s">
        <v>1247</v>
      </c>
      <c r="DG603" s="7">
        <f>347</f>
        <v>347</v>
      </c>
      <c r="DI603" s="5" t="s">
        <v>618</v>
      </c>
      <c r="DJ603" s="5" t="s">
        <v>240</v>
      </c>
      <c r="DK603" s="5" t="s">
        <v>240</v>
      </c>
      <c r="DL603" s="5" t="s">
        <v>240</v>
      </c>
      <c r="DP603" s="5" t="s">
        <v>240</v>
      </c>
      <c r="DQ603" s="5" t="s">
        <v>240</v>
      </c>
      <c r="DR603" s="5" t="s">
        <v>240</v>
      </c>
      <c r="DS603" s="5" t="s">
        <v>240</v>
      </c>
      <c r="DV603" s="5" t="s">
        <v>1334</v>
      </c>
      <c r="DW603" s="5" t="s">
        <v>818</v>
      </c>
      <c r="HO603" s="5" t="s">
        <v>312</v>
      </c>
    </row>
    <row r="604" spans="1:223" x14ac:dyDescent="0.4">
      <c r="A604" s="5">
        <v>1466</v>
      </c>
      <c r="B604" s="5">
        <v>1</v>
      </c>
      <c r="C604" s="5">
        <v>1</v>
      </c>
      <c r="D604" s="5" t="s">
        <v>723</v>
      </c>
      <c r="E604" s="5" t="s">
        <v>725</v>
      </c>
      <c r="F604" s="5" t="s">
        <v>254</v>
      </c>
      <c r="G604" s="5" t="s">
        <v>240</v>
      </c>
      <c r="H604" s="6" t="s">
        <v>1016</v>
      </c>
      <c r="I604" s="5" t="s">
        <v>722</v>
      </c>
      <c r="J604" s="8">
        <f>949</f>
        <v>949</v>
      </c>
      <c r="K604" s="5" t="s">
        <v>308</v>
      </c>
      <c r="L604" s="7">
        <f>10439</f>
        <v>10439</v>
      </c>
      <c r="M604" s="7">
        <f>10439</f>
        <v>10439</v>
      </c>
      <c r="N604" s="5" t="s">
        <v>242</v>
      </c>
      <c r="O604" s="5">
        <v>1</v>
      </c>
      <c r="P604" s="5" t="s">
        <v>294</v>
      </c>
      <c r="Q604" s="5" t="s">
        <v>613</v>
      </c>
      <c r="R604" s="5" t="s">
        <v>240</v>
      </c>
      <c r="S604" s="5" t="s">
        <v>240</v>
      </c>
      <c r="T604" s="5" t="s">
        <v>243</v>
      </c>
      <c r="U604" s="5" t="s">
        <v>244</v>
      </c>
      <c r="V604" s="5" t="s">
        <v>240</v>
      </c>
      <c r="Y604" s="5" t="s">
        <v>240</v>
      </c>
      <c r="Z604" s="6" t="s">
        <v>298</v>
      </c>
      <c r="AB604" s="6" t="s">
        <v>240</v>
      </c>
      <c r="AE604" s="6" t="s">
        <v>299</v>
      </c>
      <c r="AF604" s="5" t="s">
        <v>248</v>
      </c>
      <c r="AG604" s="5" t="s">
        <v>249</v>
      </c>
      <c r="AW604" s="5" t="s">
        <v>251</v>
      </c>
      <c r="AX604" s="5" t="s">
        <v>240</v>
      </c>
      <c r="AY604" s="5" t="s">
        <v>253</v>
      </c>
      <c r="AZ604" s="5" t="s">
        <v>240</v>
      </c>
      <c r="BA604" s="5" t="s">
        <v>255</v>
      </c>
      <c r="BB604" s="5" t="s">
        <v>240</v>
      </c>
      <c r="BD604" s="5" t="s">
        <v>240</v>
      </c>
      <c r="BF604" s="5" t="s">
        <v>301</v>
      </c>
      <c r="BG604" s="6" t="s">
        <v>299</v>
      </c>
      <c r="BH604" s="5" t="s">
        <v>302</v>
      </c>
      <c r="BI604" s="5" t="s">
        <v>303</v>
      </c>
      <c r="BJ604" s="5" t="s">
        <v>240</v>
      </c>
      <c r="BK604" s="8">
        <f>0</f>
        <v>0</v>
      </c>
      <c r="BL604" s="7">
        <f>0</f>
        <v>0</v>
      </c>
      <c r="BM604" s="5" t="s">
        <v>258</v>
      </c>
      <c r="BN604" s="5" t="s">
        <v>259</v>
      </c>
      <c r="CB604" s="5" t="s">
        <v>240</v>
      </c>
      <c r="CC604" s="5" t="s">
        <v>240</v>
      </c>
      <c r="CG604" s="5" t="s">
        <v>617</v>
      </c>
      <c r="CH604" s="5" t="s">
        <v>305</v>
      </c>
      <c r="CI604" s="5" t="s">
        <v>240</v>
      </c>
      <c r="CL604" s="6" t="s">
        <v>261</v>
      </c>
      <c r="CM604" s="5" t="s">
        <v>240</v>
      </c>
      <c r="CN604" s="5" t="s">
        <v>263</v>
      </c>
      <c r="CO604" s="5" t="s">
        <v>240</v>
      </c>
      <c r="CP604" s="5" t="s">
        <v>240</v>
      </c>
      <c r="CQ604" s="5">
        <v>0</v>
      </c>
      <c r="CR604" s="5" t="s">
        <v>306</v>
      </c>
      <c r="CS604" s="5" t="s">
        <v>307</v>
      </c>
      <c r="CT604" s="5" t="s">
        <v>307</v>
      </c>
      <c r="CU604" s="5" t="s">
        <v>260</v>
      </c>
      <c r="CX604" s="7">
        <f>781895</f>
        <v>781895</v>
      </c>
      <c r="CY604" s="7">
        <f>0</f>
        <v>0</v>
      </c>
      <c r="DA604" s="7">
        <f>0</f>
        <v>0</v>
      </c>
      <c r="DC604" s="5" t="s">
        <v>689</v>
      </c>
      <c r="DD604" s="5" t="s">
        <v>240</v>
      </c>
      <c r="DF604" s="5" t="s">
        <v>1247</v>
      </c>
      <c r="DG604" s="7">
        <f>353</f>
        <v>353</v>
      </c>
      <c r="DI604" s="5" t="s">
        <v>618</v>
      </c>
      <c r="DJ604" s="5" t="s">
        <v>240</v>
      </c>
      <c r="DK604" s="5" t="s">
        <v>240</v>
      </c>
      <c r="DL604" s="5" t="s">
        <v>240</v>
      </c>
      <c r="DP604" s="5" t="s">
        <v>240</v>
      </c>
      <c r="DQ604" s="5" t="s">
        <v>240</v>
      </c>
      <c r="DR604" s="5" t="s">
        <v>240</v>
      </c>
      <c r="DS604" s="5" t="s">
        <v>240</v>
      </c>
      <c r="DV604" s="5" t="s">
        <v>1334</v>
      </c>
      <c r="DW604" s="5" t="s">
        <v>820</v>
      </c>
      <c r="HO604" s="5" t="s">
        <v>312</v>
      </c>
    </row>
    <row r="605" spans="1:223" x14ac:dyDescent="0.4">
      <c r="A605" s="5">
        <v>1467</v>
      </c>
      <c r="B605" s="5">
        <v>1</v>
      </c>
      <c r="C605" s="5">
        <v>1</v>
      </c>
      <c r="D605" s="5" t="s">
        <v>723</v>
      </c>
      <c r="E605" s="5" t="s">
        <v>725</v>
      </c>
      <c r="F605" s="5" t="s">
        <v>254</v>
      </c>
      <c r="G605" s="5" t="s">
        <v>240</v>
      </c>
      <c r="H605" s="6" t="s">
        <v>1015</v>
      </c>
      <c r="I605" s="5" t="s">
        <v>722</v>
      </c>
      <c r="J605" s="8">
        <f>4048</f>
        <v>4048</v>
      </c>
      <c r="K605" s="5" t="s">
        <v>308</v>
      </c>
      <c r="L605" s="7">
        <f>44528</f>
        <v>44528</v>
      </c>
      <c r="M605" s="7">
        <f>44528</f>
        <v>44528</v>
      </c>
      <c r="N605" s="5" t="s">
        <v>242</v>
      </c>
      <c r="O605" s="5">
        <v>1</v>
      </c>
      <c r="P605" s="5" t="s">
        <v>294</v>
      </c>
      <c r="Q605" s="5" t="s">
        <v>613</v>
      </c>
      <c r="R605" s="5" t="s">
        <v>240</v>
      </c>
      <c r="S605" s="5" t="s">
        <v>240</v>
      </c>
      <c r="T605" s="5" t="s">
        <v>243</v>
      </c>
      <c r="U605" s="5" t="s">
        <v>244</v>
      </c>
      <c r="V605" s="5" t="s">
        <v>240</v>
      </c>
      <c r="Y605" s="5" t="s">
        <v>240</v>
      </c>
      <c r="Z605" s="6" t="s">
        <v>298</v>
      </c>
      <c r="AB605" s="6" t="s">
        <v>240</v>
      </c>
      <c r="AE605" s="6" t="s">
        <v>299</v>
      </c>
      <c r="AF605" s="5" t="s">
        <v>248</v>
      </c>
      <c r="AG605" s="5" t="s">
        <v>249</v>
      </c>
      <c r="AW605" s="5" t="s">
        <v>251</v>
      </c>
      <c r="AX605" s="5" t="s">
        <v>240</v>
      </c>
      <c r="AY605" s="5" t="s">
        <v>253</v>
      </c>
      <c r="AZ605" s="5" t="s">
        <v>240</v>
      </c>
      <c r="BA605" s="5" t="s">
        <v>255</v>
      </c>
      <c r="BB605" s="5" t="s">
        <v>240</v>
      </c>
      <c r="BD605" s="5" t="s">
        <v>240</v>
      </c>
      <c r="BF605" s="5" t="s">
        <v>301</v>
      </c>
      <c r="BG605" s="6" t="s">
        <v>299</v>
      </c>
      <c r="BH605" s="5" t="s">
        <v>302</v>
      </c>
      <c r="BI605" s="5" t="s">
        <v>303</v>
      </c>
      <c r="BJ605" s="5" t="s">
        <v>240</v>
      </c>
      <c r="BK605" s="8">
        <f>0</f>
        <v>0</v>
      </c>
      <c r="BL605" s="7">
        <f>0</f>
        <v>0</v>
      </c>
      <c r="BM605" s="5" t="s">
        <v>258</v>
      </c>
      <c r="BN605" s="5" t="s">
        <v>259</v>
      </c>
      <c r="CB605" s="5" t="s">
        <v>240</v>
      </c>
      <c r="CC605" s="5" t="s">
        <v>240</v>
      </c>
      <c r="CG605" s="5" t="s">
        <v>617</v>
      </c>
      <c r="CH605" s="5" t="s">
        <v>305</v>
      </c>
      <c r="CI605" s="5" t="s">
        <v>240</v>
      </c>
      <c r="CL605" s="6" t="s">
        <v>261</v>
      </c>
      <c r="CM605" s="5" t="s">
        <v>240</v>
      </c>
      <c r="CN605" s="5" t="s">
        <v>263</v>
      </c>
      <c r="CO605" s="5" t="s">
        <v>240</v>
      </c>
      <c r="CP605" s="5" t="s">
        <v>240</v>
      </c>
      <c r="CQ605" s="5">
        <v>0</v>
      </c>
      <c r="CR605" s="5" t="s">
        <v>306</v>
      </c>
      <c r="CS605" s="5" t="s">
        <v>307</v>
      </c>
      <c r="CT605" s="5" t="s">
        <v>307</v>
      </c>
      <c r="CU605" s="5" t="s">
        <v>260</v>
      </c>
      <c r="CX605" s="7">
        <f>467365</f>
        <v>467365</v>
      </c>
      <c r="CY605" s="7">
        <f>0</f>
        <v>0</v>
      </c>
      <c r="DA605" s="7">
        <f>0</f>
        <v>0</v>
      </c>
      <c r="DC605" s="5" t="s">
        <v>689</v>
      </c>
      <c r="DD605" s="5" t="s">
        <v>240</v>
      </c>
      <c r="DF605" s="5" t="s">
        <v>1247</v>
      </c>
      <c r="DG605" s="7">
        <f>211</f>
        <v>211</v>
      </c>
      <c r="DI605" s="5" t="s">
        <v>618</v>
      </c>
      <c r="DJ605" s="5" t="s">
        <v>240</v>
      </c>
      <c r="DK605" s="5" t="s">
        <v>240</v>
      </c>
      <c r="DL605" s="5" t="s">
        <v>240</v>
      </c>
      <c r="DP605" s="5" t="s">
        <v>240</v>
      </c>
      <c r="DQ605" s="5" t="s">
        <v>240</v>
      </c>
      <c r="DR605" s="5" t="s">
        <v>240</v>
      </c>
      <c r="DS605" s="5" t="s">
        <v>240</v>
      </c>
      <c r="DV605" s="5" t="s">
        <v>1334</v>
      </c>
      <c r="DW605" s="5" t="s">
        <v>691</v>
      </c>
      <c r="HO605" s="5" t="s">
        <v>312</v>
      </c>
    </row>
    <row r="606" spans="1:223" x14ac:dyDescent="0.4">
      <c r="A606" s="5">
        <v>1468</v>
      </c>
      <c r="B606" s="5">
        <v>1</v>
      </c>
      <c r="C606" s="5">
        <v>1</v>
      </c>
      <c r="D606" s="5" t="s">
        <v>723</v>
      </c>
      <c r="E606" s="5" t="s">
        <v>725</v>
      </c>
      <c r="F606" s="5" t="s">
        <v>254</v>
      </c>
      <c r="G606" s="5" t="s">
        <v>240</v>
      </c>
      <c r="H606" s="6" t="s">
        <v>1014</v>
      </c>
      <c r="I606" s="5" t="s">
        <v>722</v>
      </c>
      <c r="J606" s="8">
        <f>138</f>
        <v>138</v>
      </c>
      <c r="K606" s="5" t="s">
        <v>308</v>
      </c>
      <c r="L606" s="7">
        <f>1518</f>
        <v>1518</v>
      </c>
      <c r="M606" s="7">
        <f>1518</f>
        <v>1518</v>
      </c>
      <c r="N606" s="5" t="s">
        <v>242</v>
      </c>
      <c r="O606" s="5">
        <v>1</v>
      </c>
      <c r="P606" s="5" t="s">
        <v>294</v>
      </c>
      <c r="Q606" s="5" t="s">
        <v>613</v>
      </c>
      <c r="R606" s="5" t="s">
        <v>240</v>
      </c>
      <c r="S606" s="5" t="s">
        <v>240</v>
      </c>
      <c r="T606" s="5" t="s">
        <v>243</v>
      </c>
      <c r="U606" s="5" t="s">
        <v>244</v>
      </c>
      <c r="V606" s="5" t="s">
        <v>240</v>
      </c>
      <c r="Y606" s="5" t="s">
        <v>240</v>
      </c>
      <c r="Z606" s="6" t="s">
        <v>298</v>
      </c>
      <c r="AB606" s="6" t="s">
        <v>240</v>
      </c>
      <c r="AE606" s="6" t="s">
        <v>299</v>
      </c>
      <c r="AF606" s="5" t="s">
        <v>248</v>
      </c>
      <c r="AG606" s="5" t="s">
        <v>249</v>
      </c>
      <c r="AW606" s="5" t="s">
        <v>251</v>
      </c>
      <c r="AX606" s="5" t="s">
        <v>240</v>
      </c>
      <c r="AY606" s="5" t="s">
        <v>253</v>
      </c>
      <c r="AZ606" s="5" t="s">
        <v>240</v>
      </c>
      <c r="BA606" s="5" t="s">
        <v>255</v>
      </c>
      <c r="BB606" s="5" t="s">
        <v>240</v>
      </c>
      <c r="BD606" s="5" t="s">
        <v>240</v>
      </c>
      <c r="BF606" s="5" t="s">
        <v>301</v>
      </c>
      <c r="BG606" s="6" t="s">
        <v>299</v>
      </c>
      <c r="BH606" s="5" t="s">
        <v>302</v>
      </c>
      <c r="BI606" s="5" t="s">
        <v>303</v>
      </c>
      <c r="BJ606" s="5" t="s">
        <v>240</v>
      </c>
      <c r="BK606" s="8">
        <f>0</f>
        <v>0</v>
      </c>
      <c r="BL606" s="7">
        <f>0</f>
        <v>0</v>
      </c>
      <c r="BM606" s="5" t="s">
        <v>258</v>
      </c>
      <c r="BN606" s="5" t="s">
        <v>259</v>
      </c>
      <c r="CB606" s="5" t="s">
        <v>240</v>
      </c>
      <c r="CC606" s="5" t="s">
        <v>240</v>
      </c>
      <c r="CG606" s="5" t="s">
        <v>617</v>
      </c>
      <c r="CH606" s="5" t="s">
        <v>305</v>
      </c>
      <c r="CI606" s="5" t="s">
        <v>240</v>
      </c>
      <c r="CL606" s="6" t="s">
        <v>261</v>
      </c>
      <c r="CM606" s="5" t="s">
        <v>240</v>
      </c>
      <c r="CN606" s="5" t="s">
        <v>263</v>
      </c>
      <c r="CO606" s="5" t="s">
        <v>240</v>
      </c>
      <c r="CP606" s="5" t="s">
        <v>240</v>
      </c>
      <c r="CQ606" s="5">
        <v>0</v>
      </c>
      <c r="CR606" s="5" t="s">
        <v>306</v>
      </c>
      <c r="CS606" s="5" t="s">
        <v>307</v>
      </c>
      <c r="CT606" s="5" t="s">
        <v>307</v>
      </c>
      <c r="CU606" s="5" t="s">
        <v>260</v>
      </c>
      <c r="CX606" s="7">
        <f>2066595</f>
        <v>2066595</v>
      </c>
      <c r="CY606" s="7">
        <f>0</f>
        <v>0</v>
      </c>
      <c r="DA606" s="7">
        <f>0</f>
        <v>0</v>
      </c>
      <c r="DC606" s="5" t="s">
        <v>689</v>
      </c>
      <c r="DD606" s="5" t="s">
        <v>240</v>
      </c>
      <c r="DF606" s="5" t="s">
        <v>1247</v>
      </c>
      <c r="DG606" s="7">
        <f>933</f>
        <v>933</v>
      </c>
      <c r="DI606" s="5" t="s">
        <v>618</v>
      </c>
      <c r="DJ606" s="5" t="s">
        <v>240</v>
      </c>
      <c r="DK606" s="5" t="s">
        <v>240</v>
      </c>
      <c r="DL606" s="5" t="s">
        <v>240</v>
      </c>
      <c r="DP606" s="5" t="s">
        <v>240</v>
      </c>
      <c r="DQ606" s="5" t="s">
        <v>240</v>
      </c>
      <c r="DR606" s="5" t="s">
        <v>240</v>
      </c>
      <c r="DS606" s="5" t="s">
        <v>240</v>
      </c>
      <c r="DV606" s="5" t="s">
        <v>1334</v>
      </c>
      <c r="DW606" s="5" t="s">
        <v>620</v>
      </c>
      <c r="HO606" s="5" t="s">
        <v>312</v>
      </c>
    </row>
    <row r="607" spans="1:223" x14ac:dyDescent="0.4">
      <c r="A607" s="5">
        <v>1469</v>
      </c>
      <c r="B607" s="5">
        <v>1</v>
      </c>
      <c r="C607" s="5">
        <v>1</v>
      </c>
      <c r="D607" s="5" t="s">
        <v>723</v>
      </c>
      <c r="E607" s="5" t="s">
        <v>725</v>
      </c>
      <c r="F607" s="5" t="s">
        <v>254</v>
      </c>
      <c r="G607" s="5" t="s">
        <v>240</v>
      </c>
      <c r="H607" s="6" t="s">
        <v>1013</v>
      </c>
      <c r="I607" s="5" t="s">
        <v>722</v>
      </c>
      <c r="J607" s="8">
        <f>978</f>
        <v>978</v>
      </c>
      <c r="K607" s="5" t="s">
        <v>308</v>
      </c>
      <c r="L607" s="7">
        <f>10758</f>
        <v>10758</v>
      </c>
      <c r="M607" s="7">
        <f>10758</f>
        <v>10758</v>
      </c>
      <c r="N607" s="5" t="s">
        <v>242</v>
      </c>
      <c r="O607" s="5">
        <v>1</v>
      </c>
      <c r="P607" s="5" t="s">
        <v>294</v>
      </c>
      <c r="Q607" s="5" t="s">
        <v>613</v>
      </c>
      <c r="R607" s="5" t="s">
        <v>240</v>
      </c>
      <c r="S607" s="5" t="s">
        <v>240</v>
      </c>
      <c r="T607" s="5" t="s">
        <v>243</v>
      </c>
      <c r="U607" s="5" t="s">
        <v>244</v>
      </c>
      <c r="V607" s="5" t="s">
        <v>240</v>
      </c>
      <c r="Y607" s="5" t="s">
        <v>240</v>
      </c>
      <c r="Z607" s="6" t="s">
        <v>298</v>
      </c>
      <c r="AB607" s="6" t="s">
        <v>240</v>
      </c>
      <c r="AE607" s="6" t="s">
        <v>299</v>
      </c>
      <c r="AF607" s="5" t="s">
        <v>248</v>
      </c>
      <c r="AG607" s="5" t="s">
        <v>249</v>
      </c>
      <c r="AW607" s="5" t="s">
        <v>251</v>
      </c>
      <c r="AX607" s="5" t="s">
        <v>240</v>
      </c>
      <c r="AY607" s="5" t="s">
        <v>253</v>
      </c>
      <c r="AZ607" s="5" t="s">
        <v>240</v>
      </c>
      <c r="BA607" s="5" t="s">
        <v>255</v>
      </c>
      <c r="BB607" s="5" t="s">
        <v>240</v>
      </c>
      <c r="BD607" s="5" t="s">
        <v>240</v>
      </c>
      <c r="BF607" s="5" t="s">
        <v>301</v>
      </c>
      <c r="BG607" s="6" t="s">
        <v>299</v>
      </c>
      <c r="BH607" s="5" t="s">
        <v>302</v>
      </c>
      <c r="BI607" s="5" t="s">
        <v>303</v>
      </c>
      <c r="BJ607" s="5" t="s">
        <v>240</v>
      </c>
      <c r="BK607" s="8">
        <f>0</f>
        <v>0</v>
      </c>
      <c r="BL607" s="7">
        <f>0</f>
        <v>0</v>
      </c>
      <c r="BM607" s="5" t="s">
        <v>258</v>
      </c>
      <c r="BN607" s="5" t="s">
        <v>259</v>
      </c>
      <c r="CB607" s="5" t="s">
        <v>240</v>
      </c>
      <c r="CC607" s="5" t="s">
        <v>240</v>
      </c>
      <c r="CG607" s="5" t="s">
        <v>617</v>
      </c>
      <c r="CH607" s="5" t="s">
        <v>305</v>
      </c>
      <c r="CI607" s="5" t="s">
        <v>240</v>
      </c>
      <c r="CL607" s="6" t="s">
        <v>261</v>
      </c>
      <c r="CM607" s="5" t="s">
        <v>240</v>
      </c>
      <c r="CN607" s="5" t="s">
        <v>263</v>
      </c>
      <c r="CO607" s="5" t="s">
        <v>240</v>
      </c>
      <c r="CP607" s="5" t="s">
        <v>240</v>
      </c>
      <c r="CQ607" s="5">
        <v>0</v>
      </c>
      <c r="CR607" s="5" t="s">
        <v>306</v>
      </c>
      <c r="CS607" s="5" t="s">
        <v>307</v>
      </c>
      <c r="CT607" s="5" t="s">
        <v>307</v>
      </c>
      <c r="CU607" s="5" t="s">
        <v>260</v>
      </c>
      <c r="CX607" s="7">
        <f>1964705</f>
        <v>1964705</v>
      </c>
      <c r="CY607" s="7">
        <f>0</f>
        <v>0</v>
      </c>
      <c r="DA607" s="7">
        <f>0</f>
        <v>0</v>
      </c>
      <c r="DC607" s="5" t="s">
        <v>689</v>
      </c>
      <c r="DD607" s="5" t="s">
        <v>240</v>
      </c>
      <c r="DF607" s="5" t="s">
        <v>1247</v>
      </c>
      <c r="DG607" s="7">
        <f>887</f>
        <v>887</v>
      </c>
      <c r="DI607" s="5" t="s">
        <v>618</v>
      </c>
      <c r="DJ607" s="5" t="s">
        <v>240</v>
      </c>
      <c r="DK607" s="5" t="s">
        <v>240</v>
      </c>
      <c r="DL607" s="5" t="s">
        <v>240</v>
      </c>
      <c r="DP607" s="5" t="s">
        <v>240</v>
      </c>
      <c r="DQ607" s="5" t="s">
        <v>240</v>
      </c>
      <c r="DR607" s="5" t="s">
        <v>240</v>
      </c>
      <c r="DS607" s="5" t="s">
        <v>240</v>
      </c>
      <c r="DV607" s="5" t="s">
        <v>1334</v>
      </c>
      <c r="DW607" s="5" t="s">
        <v>621</v>
      </c>
      <c r="HO607" s="5" t="s">
        <v>312</v>
      </c>
    </row>
    <row r="608" spans="1:223" x14ac:dyDescent="0.4">
      <c r="A608" s="5">
        <v>1470</v>
      </c>
      <c r="B608" s="5">
        <v>1</v>
      </c>
      <c r="C608" s="5">
        <v>1</v>
      </c>
      <c r="D608" s="5" t="s">
        <v>723</v>
      </c>
      <c r="E608" s="5" t="s">
        <v>725</v>
      </c>
      <c r="F608" s="5" t="s">
        <v>254</v>
      </c>
      <c r="G608" s="5" t="s">
        <v>240</v>
      </c>
      <c r="H608" s="6" t="s">
        <v>1012</v>
      </c>
      <c r="I608" s="5" t="s">
        <v>722</v>
      </c>
      <c r="J608" s="8">
        <f>512</f>
        <v>512</v>
      </c>
      <c r="K608" s="5" t="s">
        <v>308</v>
      </c>
      <c r="L608" s="7">
        <f>5632</f>
        <v>5632</v>
      </c>
      <c r="M608" s="7">
        <f>5632</f>
        <v>5632</v>
      </c>
      <c r="N608" s="5" t="s">
        <v>242</v>
      </c>
      <c r="O608" s="5">
        <v>1</v>
      </c>
      <c r="P608" s="5" t="s">
        <v>294</v>
      </c>
      <c r="Q608" s="5" t="s">
        <v>613</v>
      </c>
      <c r="R608" s="5" t="s">
        <v>240</v>
      </c>
      <c r="S608" s="5" t="s">
        <v>240</v>
      </c>
      <c r="T608" s="5" t="s">
        <v>243</v>
      </c>
      <c r="U608" s="5" t="s">
        <v>244</v>
      </c>
      <c r="V608" s="5" t="s">
        <v>240</v>
      </c>
      <c r="Y608" s="5" t="s">
        <v>240</v>
      </c>
      <c r="Z608" s="6" t="s">
        <v>298</v>
      </c>
      <c r="AB608" s="6" t="s">
        <v>240</v>
      </c>
      <c r="AE608" s="6" t="s">
        <v>299</v>
      </c>
      <c r="AF608" s="5" t="s">
        <v>248</v>
      </c>
      <c r="AG608" s="5" t="s">
        <v>249</v>
      </c>
      <c r="AW608" s="5" t="s">
        <v>251</v>
      </c>
      <c r="AX608" s="5" t="s">
        <v>240</v>
      </c>
      <c r="AY608" s="5" t="s">
        <v>253</v>
      </c>
      <c r="AZ608" s="5" t="s">
        <v>240</v>
      </c>
      <c r="BA608" s="5" t="s">
        <v>255</v>
      </c>
      <c r="BB608" s="5" t="s">
        <v>240</v>
      </c>
      <c r="BD608" s="5" t="s">
        <v>240</v>
      </c>
      <c r="BF608" s="5" t="s">
        <v>301</v>
      </c>
      <c r="BG608" s="6" t="s">
        <v>299</v>
      </c>
      <c r="BH608" s="5" t="s">
        <v>302</v>
      </c>
      <c r="BI608" s="5" t="s">
        <v>303</v>
      </c>
      <c r="BJ608" s="5" t="s">
        <v>240</v>
      </c>
      <c r="BK608" s="8">
        <f>0</f>
        <v>0</v>
      </c>
      <c r="BL608" s="7">
        <f>0</f>
        <v>0</v>
      </c>
      <c r="BM608" s="5" t="s">
        <v>258</v>
      </c>
      <c r="BN608" s="5" t="s">
        <v>259</v>
      </c>
      <c r="CB608" s="5" t="s">
        <v>240</v>
      </c>
      <c r="CC608" s="5" t="s">
        <v>240</v>
      </c>
      <c r="CG608" s="5" t="s">
        <v>617</v>
      </c>
      <c r="CH608" s="5" t="s">
        <v>305</v>
      </c>
      <c r="CI608" s="5" t="s">
        <v>240</v>
      </c>
      <c r="CL608" s="6" t="s">
        <v>261</v>
      </c>
      <c r="CM608" s="5" t="s">
        <v>240</v>
      </c>
      <c r="CN608" s="5" t="s">
        <v>263</v>
      </c>
      <c r="CO608" s="5" t="s">
        <v>240</v>
      </c>
      <c r="CP608" s="5" t="s">
        <v>240</v>
      </c>
      <c r="CQ608" s="5">
        <v>0</v>
      </c>
      <c r="CR608" s="5" t="s">
        <v>306</v>
      </c>
      <c r="CS608" s="5" t="s">
        <v>307</v>
      </c>
      <c r="CT608" s="5" t="s">
        <v>307</v>
      </c>
      <c r="CU608" s="5" t="s">
        <v>260</v>
      </c>
      <c r="CX608" s="7">
        <f>456290</f>
        <v>456290</v>
      </c>
      <c r="CY608" s="7">
        <f>0</f>
        <v>0</v>
      </c>
      <c r="DA608" s="7">
        <f>0</f>
        <v>0</v>
      </c>
      <c r="DC608" s="5" t="s">
        <v>689</v>
      </c>
      <c r="DD608" s="5" t="s">
        <v>240</v>
      </c>
      <c r="DF608" s="5" t="s">
        <v>618</v>
      </c>
      <c r="DG608" s="7">
        <f>206</f>
        <v>206</v>
      </c>
      <c r="DI608" s="5" t="s">
        <v>618</v>
      </c>
      <c r="DJ608" s="5" t="s">
        <v>240</v>
      </c>
      <c r="DK608" s="5" t="s">
        <v>240</v>
      </c>
      <c r="DL608" s="5" t="s">
        <v>240</v>
      </c>
      <c r="DP608" s="5" t="s">
        <v>240</v>
      </c>
      <c r="DQ608" s="5" t="s">
        <v>240</v>
      </c>
      <c r="DR608" s="5" t="s">
        <v>240</v>
      </c>
      <c r="DS608" s="5" t="s">
        <v>240</v>
      </c>
      <c r="DV608" s="5" t="s">
        <v>1406</v>
      </c>
      <c r="DW608" s="5" t="s">
        <v>816</v>
      </c>
      <c r="HO608" s="5" t="s">
        <v>312</v>
      </c>
    </row>
    <row r="609" spans="1:223" x14ac:dyDescent="0.4">
      <c r="A609" s="5">
        <v>1471</v>
      </c>
      <c r="B609" s="5">
        <v>1</v>
      </c>
      <c r="C609" s="5">
        <v>1</v>
      </c>
      <c r="D609" s="5" t="s">
        <v>723</v>
      </c>
      <c r="E609" s="5" t="s">
        <v>725</v>
      </c>
      <c r="F609" s="5" t="s">
        <v>254</v>
      </c>
      <c r="G609" s="5" t="s">
        <v>240</v>
      </c>
      <c r="H609" s="6" t="s">
        <v>1011</v>
      </c>
      <c r="I609" s="5" t="s">
        <v>722</v>
      </c>
      <c r="J609" s="8">
        <f>2003</f>
        <v>2003</v>
      </c>
      <c r="K609" s="5" t="s">
        <v>308</v>
      </c>
      <c r="L609" s="7">
        <f>22033</f>
        <v>22033</v>
      </c>
      <c r="M609" s="7">
        <f>22033</f>
        <v>22033</v>
      </c>
      <c r="N609" s="5" t="s">
        <v>242</v>
      </c>
      <c r="O609" s="5">
        <v>1</v>
      </c>
      <c r="P609" s="5" t="s">
        <v>294</v>
      </c>
      <c r="Q609" s="5" t="s">
        <v>613</v>
      </c>
      <c r="R609" s="5" t="s">
        <v>240</v>
      </c>
      <c r="S609" s="5" t="s">
        <v>240</v>
      </c>
      <c r="T609" s="5" t="s">
        <v>243</v>
      </c>
      <c r="U609" s="5" t="s">
        <v>244</v>
      </c>
      <c r="V609" s="5" t="s">
        <v>240</v>
      </c>
      <c r="Y609" s="5" t="s">
        <v>240</v>
      </c>
      <c r="Z609" s="6" t="s">
        <v>298</v>
      </c>
      <c r="AB609" s="6" t="s">
        <v>240</v>
      </c>
      <c r="AE609" s="6" t="s">
        <v>299</v>
      </c>
      <c r="AF609" s="5" t="s">
        <v>248</v>
      </c>
      <c r="AG609" s="5" t="s">
        <v>249</v>
      </c>
      <c r="AW609" s="5" t="s">
        <v>251</v>
      </c>
      <c r="AX609" s="5" t="s">
        <v>240</v>
      </c>
      <c r="AY609" s="5" t="s">
        <v>253</v>
      </c>
      <c r="AZ609" s="5" t="s">
        <v>240</v>
      </c>
      <c r="BA609" s="5" t="s">
        <v>255</v>
      </c>
      <c r="BB609" s="5" t="s">
        <v>240</v>
      </c>
      <c r="BD609" s="5" t="s">
        <v>240</v>
      </c>
      <c r="BF609" s="5" t="s">
        <v>301</v>
      </c>
      <c r="BG609" s="6" t="s">
        <v>299</v>
      </c>
      <c r="BH609" s="5" t="s">
        <v>302</v>
      </c>
      <c r="BI609" s="5" t="s">
        <v>303</v>
      </c>
      <c r="BJ609" s="5" t="s">
        <v>240</v>
      </c>
      <c r="BK609" s="8">
        <f>0</f>
        <v>0</v>
      </c>
      <c r="BL609" s="7">
        <f>0</f>
        <v>0</v>
      </c>
      <c r="BM609" s="5" t="s">
        <v>258</v>
      </c>
      <c r="BN609" s="5" t="s">
        <v>259</v>
      </c>
      <c r="CB609" s="5" t="s">
        <v>240</v>
      </c>
      <c r="CC609" s="5" t="s">
        <v>240</v>
      </c>
      <c r="CG609" s="5" t="s">
        <v>617</v>
      </c>
      <c r="CH609" s="5" t="s">
        <v>305</v>
      </c>
      <c r="CI609" s="5" t="s">
        <v>240</v>
      </c>
      <c r="CL609" s="6" t="s">
        <v>261</v>
      </c>
      <c r="CM609" s="5" t="s">
        <v>240</v>
      </c>
      <c r="CN609" s="5" t="s">
        <v>263</v>
      </c>
      <c r="CO609" s="5" t="s">
        <v>240</v>
      </c>
      <c r="CP609" s="5" t="s">
        <v>240</v>
      </c>
      <c r="CQ609" s="5">
        <v>0</v>
      </c>
      <c r="CR609" s="5" t="s">
        <v>306</v>
      </c>
      <c r="CS609" s="5" t="s">
        <v>307</v>
      </c>
      <c r="CT609" s="5" t="s">
        <v>307</v>
      </c>
      <c r="CU609" s="5" t="s">
        <v>260</v>
      </c>
      <c r="CX609" s="7">
        <f>248080</f>
        <v>248080</v>
      </c>
      <c r="CY609" s="7">
        <f>0</f>
        <v>0</v>
      </c>
      <c r="DA609" s="7">
        <f>0</f>
        <v>0</v>
      </c>
      <c r="DC609" s="5" t="s">
        <v>689</v>
      </c>
      <c r="DD609" s="5" t="s">
        <v>240</v>
      </c>
      <c r="DF609" s="5" t="s">
        <v>618</v>
      </c>
      <c r="DG609" s="7">
        <f>112</f>
        <v>112</v>
      </c>
      <c r="DI609" s="5" t="s">
        <v>618</v>
      </c>
      <c r="DJ609" s="5" t="s">
        <v>240</v>
      </c>
      <c r="DK609" s="5" t="s">
        <v>240</v>
      </c>
      <c r="DL609" s="5" t="s">
        <v>240</v>
      </c>
      <c r="DP609" s="5" t="s">
        <v>240</v>
      </c>
      <c r="DQ609" s="5" t="s">
        <v>240</v>
      </c>
      <c r="DR609" s="5" t="s">
        <v>240</v>
      </c>
      <c r="DS609" s="5" t="s">
        <v>240</v>
      </c>
      <c r="DV609" s="5" t="s">
        <v>1406</v>
      </c>
      <c r="DW609" s="5" t="s">
        <v>818</v>
      </c>
      <c r="HO609" s="5" t="s">
        <v>312</v>
      </c>
    </row>
    <row r="610" spans="1:223" x14ac:dyDescent="0.4">
      <c r="A610" s="5">
        <v>1472</v>
      </c>
      <c r="B610" s="5">
        <v>1</v>
      </c>
      <c r="C610" s="5">
        <v>1</v>
      </c>
      <c r="D610" s="5" t="s">
        <v>723</v>
      </c>
      <c r="E610" s="5" t="s">
        <v>725</v>
      </c>
      <c r="F610" s="5" t="s">
        <v>254</v>
      </c>
      <c r="G610" s="5" t="s">
        <v>240</v>
      </c>
      <c r="H610" s="6" t="s">
        <v>1010</v>
      </c>
      <c r="I610" s="5" t="s">
        <v>722</v>
      </c>
      <c r="J610" s="8">
        <f>4252</f>
        <v>4252</v>
      </c>
      <c r="K610" s="5" t="s">
        <v>308</v>
      </c>
      <c r="L610" s="7">
        <f>46772</f>
        <v>46772</v>
      </c>
      <c r="M610" s="7">
        <f>46772</f>
        <v>46772</v>
      </c>
      <c r="N610" s="5" t="s">
        <v>242</v>
      </c>
      <c r="O610" s="5">
        <v>1</v>
      </c>
      <c r="P610" s="5" t="s">
        <v>294</v>
      </c>
      <c r="Q610" s="5" t="s">
        <v>613</v>
      </c>
      <c r="R610" s="5" t="s">
        <v>240</v>
      </c>
      <c r="S610" s="5" t="s">
        <v>240</v>
      </c>
      <c r="T610" s="5" t="s">
        <v>243</v>
      </c>
      <c r="U610" s="5" t="s">
        <v>244</v>
      </c>
      <c r="V610" s="5" t="s">
        <v>240</v>
      </c>
      <c r="Y610" s="5" t="s">
        <v>240</v>
      </c>
      <c r="Z610" s="6" t="s">
        <v>298</v>
      </c>
      <c r="AB610" s="6" t="s">
        <v>240</v>
      </c>
      <c r="AE610" s="6" t="s">
        <v>299</v>
      </c>
      <c r="AF610" s="5" t="s">
        <v>248</v>
      </c>
      <c r="AG610" s="5" t="s">
        <v>249</v>
      </c>
      <c r="AW610" s="5" t="s">
        <v>251</v>
      </c>
      <c r="AX610" s="5" t="s">
        <v>240</v>
      </c>
      <c r="AY610" s="5" t="s">
        <v>253</v>
      </c>
      <c r="AZ610" s="5" t="s">
        <v>240</v>
      </c>
      <c r="BA610" s="5" t="s">
        <v>255</v>
      </c>
      <c r="BB610" s="5" t="s">
        <v>240</v>
      </c>
      <c r="BD610" s="5" t="s">
        <v>240</v>
      </c>
      <c r="BF610" s="5" t="s">
        <v>301</v>
      </c>
      <c r="BG610" s="6" t="s">
        <v>299</v>
      </c>
      <c r="BH610" s="5" t="s">
        <v>302</v>
      </c>
      <c r="BI610" s="5" t="s">
        <v>303</v>
      </c>
      <c r="BJ610" s="5" t="s">
        <v>240</v>
      </c>
      <c r="BK610" s="8">
        <f>0</f>
        <v>0</v>
      </c>
      <c r="BL610" s="7">
        <f>0</f>
        <v>0</v>
      </c>
      <c r="BM610" s="5" t="s">
        <v>258</v>
      </c>
      <c r="BN610" s="5" t="s">
        <v>259</v>
      </c>
      <c r="CB610" s="5" t="s">
        <v>240</v>
      </c>
      <c r="CC610" s="5" t="s">
        <v>240</v>
      </c>
      <c r="CG610" s="5" t="s">
        <v>617</v>
      </c>
      <c r="CH610" s="5" t="s">
        <v>305</v>
      </c>
      <c r="CI610" s="5" t="s">
        <v>240</v>
      </c>
      <c r="CL610" s="6" t="s">
        <v>261</v>
      </c>
      <c r="CM610" s="5" t="s">
        <v>240</v>
      </c>
      <c r="CN610" s="5" t="s">
        <v>263</v>
      </c>
      <c r="CO610" s="5" t="s">
        <v>240</v>
      </c>
      <c r="CP610" s="5" t="s">
        <v>240</v>
      </c>
      <c r="CQ610" s="5">
        <v>0</v>
      </c>
      <c r="CR610" s="5" t="s">
        <v>306</v>
      </c>
      <c r="CS610" s="5" t="s">
        <v>307</v>
      </c>
      <c r="CT610" s="5" t="s">
        <v>307</v>
      </c>
      <c r="CU610" s="5" t="s">
        <v>260</v>
      </c>
      <c r="CX610" s="7">
        <f>53160</f>
        <v>53160</v>
      </c>
      <c r="CY610" s="7">
        <f>0</f>
        <v>0</v>
      </c>
      <c r="DA610" s="7">
        <f>0</f>
        <v>0</v>
      </c>
      <c r="DC610" s="5" t="s">
        <v>689</v>
      </c>
      <c r="DD610" s="5" t="s">
        <v>240</v>
      </c>
      <c r="DF610" s="5" t="s">
        <v>618</v>
      </c>
      <c r="DG610" s="7">
        <f>24</f>
        <v>24</v>
      </c>
      <c r="DI610" s="5" t="s">
        <v>618</v>
      </c>
      <c r="DJ610" s="5" t="s">
        <v>240</v>
      </c>
      <c r="DK610" s="5" t="s">
        <v>240</v>
      </c>
      <c r="DL610" s="5" t="s">
        <v>240</v>
      </c>
      <c r="DP610" s="5" t="s">
        <v>240</v>
      </c>
      <c r="DQ610" s="5" t="s">
        <v>240</v>
      </c>
      <c r="DR610" s="5" t="s">
        <v>240</v>
      </c>
      <c r="DS610" s="5" t="s">
        <v>240</v>
      </c>
      <c r="DV610" s="5" t="s">
        <v>1406</v>
      </c>
      <c r="DW610" s="5" t="s">
        <v>820</v>
      </c>
      <c r="HO610" s="5" t="s">
        <v>312</v>
      </c>
    </row>
    <row r="611" spans="1:223" x14ac:dyDescent="0.4">
      <c r="A611" s="5">
        <v>1473</v>
      </c>
      <c r="B611" s="5">
        <v>1</v>
      </c>
      <c r="C611" s="5">
        <v>1</v>
      </c>
      <c r="D611" s="5" t="s">
        <v>723</v>
      </c>
      <c r="E611" s="5" t="s">
        <v>725</v>
      </c>
      <c r="F611" s="5" t="s">
        <v>254</v>
      </c>
      <c r="G611" s="5" t="s">
        <v>240</v>
      </c>
      <c r="H611" s="6" t="s">
        <v>1009</v>
      </c>
      <c r="I611" s="5" t="s">
        <v>722</v>
      </c>
      <c r="J611" s="8">
        <f>397</f>
        <v>397</v>
      </c>
      <c r="K611" s="5" t="s">
        <v>308</v>
      </c>
      <c r="L611" s="7">
        <f>4367</f>
        <v>4367</v>
      </c>
      <c r="M611" s="7">
        <f>4367</f>
        <v>4367</v>
      </c>
      <c r="N611" s="5" t="s">
        <v>242</v>
      </c>
      <c r="O611" s="5">
        <v>1</v>
      </c>
      <c r="P611" s="5" t="s">
        <v>294</v>
      </c>
      <c r="Q611" s="5" t="s">
        <v>613</v>
      </c>
      <c r="R611" s="5" t="s">
        <v>240</v>
      </c>
      <c r="S611" s="5" t="s">
        <v>240</v>
      </c>
      <c r="T611" s="5" t="s">
        <v>243</v>
      </c>
      <c r="U611" s="5" t="s">
        <v>244</v>
      </c>
      <c r="V611" s="5" t="s">
        <v>240</v>
      </c>
      <c r="Y611" s="5" t="s">
        <v>240</v>
      </c>
      <c r="Z611" s="6" t="s">
        <v>298</v>
      </c>
      <c r="AB611" s="6" t="s">
        <v>240</v>
      </c>
      <c r="AE611" s="6" t="s">
        <v>299</v>
      </c>
      <c r="AF611" s="5" t="s">
        <v>248</v>
      </c>
      <c r="AG611" s="5" t="s">
        <v>249</v>
      </c>
      <c r="AW611" s="5" t="s">
        <v>251</v>
      </c>
      <c r="AX611" s="5" t="s">
        <v>240</v>
      </c>
      <c r="AY611" s="5" t="s">
        <v>253</v>
      </c>
      <c r="AZ611" s="5" t="s">
        <v>240</v>
      </c>
      <c r="BA611" s="5" t="s">
        <v>255</v>
      </c>
      <c r="BB611" s="5" t="s">
        <v>240</v>
      </c>
      <c r="BD611" s="5" t="s">
        <v>240</v>
      </c>
      <c r="BF611" s="5" t="s">
        <v>301</v>
      </c>
      <c r="BG611" s="6" t="s">
        <v>299</v>
      </c>
      <c r="BH611" s="5" t="s">
        <v>302</v>
      </c>
      <c r="BI611" s="5" t="s">
        <v>303</v>
      </c>
      <c r="BJ611" s="5" t="s">
        <v>240</v>
      </c>
      <c r="BK611" s="8">
        <f>0</f>
        <v>0</v>
      </c>
      <c r="BL611" s="7">
        <f>0</f>
        <v>0</v>
      </c>
      <c r="BM611" s="5" t="s">
        <v>258</v>
      </c>
      <c r="BN611" s="5" t="s">
        <v>259</v>
      </c>
      <c r="CB611" s="5" t="s">
        <v>240</v>
      </c>
      <c r="CC611" s="5" t="s">
        <v>240</v>
      </c>
      <c r="CG611" s="5" t="s">
        <v>617</v>
      </c>
      <c r="CH611" s="5" t="s">
        <v>305</v>
      </c>
      <c r="CI611" s="5" t="s">
        <v>240</v>
      </c>
      <c r="CL611" s="6" t="s">
        <v>261</v>
      </c>
      <c r="CM611" s="5" t="s">
        <v>240</v>
      </c>
      <c r="CN611" s="5" t="s">
        <v>263</v>
      </c>
      <c r="CO611" s="5" t="s">
        <v>240</v>
      </c>
      <c r="CP611" s="5" t="s">
        <v>240</v>
      </c>
      <c r="CQ611" s="5">
        <v>0</v>
      </c>
      <c r="CR611" s="5" t="s">
        <v>306</v>
      </c>
      <c r="CS611" s="5" t="s">
        <v>307</v>
      </c>
      <c r="CT611" s="5" t="s">
        <v>307</v>
      </c>
      <c r="CU611" s="5" t="s">
        <v>260</v>
      </c>
      <c r="CX611" s="7">
        <f>445215</f>
        <v>445215</v>
      </c>
      <c r="CY611" s="7">
        <f>0</f>
        <v>0</v>
      </c>
      <c r="DA611" s="7">
        <f>0</f>
        <v>0</v>
      </c>
      <c r="DC611" s="5" t="s">
        <v>689</v>
      </c>
      <c r="DD611" s="5" t="s">
        <v>240</v>
      </c>
      <c r="DF611" s="5" t="s">
        <v>618</v>
      </c>
      <c r="DG611" s="7">
        <f>201</f>
        <v>201</v>
      </c>
      <c r="DI611" s="5" t="s">
        <v>618</v>
      </c>
      <c r="DJ611" s="5" t="s">
        <v>240</v>
      </c>
      <c r="DK611" s="5" t="s">
        <v>240</v>
      </c>
      <c r="DL611" s="5" t="s">
        <v>240</v>
      </c>
      <c r="DP611" s="5" t="s">
        <v>240</v>
      </c>
      <c r="DQ611" s="5" t="s">
        <v>240</v>
      </c>
      <c r="DR611" s="5" t="s">
        <v>240</v>
      </c>
      <c r="DS611" s="5" t="s">
        <v>240</v>
      </c>
      <c r="DV611" s="5" t="s">
        <v>1406</v>
      </c>
      <c r="DW611" s="5" t="s">
        <v>691</v>
      </c>
      <c r="HO611" s="5" t="s">
        <v>312</v>
      </c>
    </row>
    <row r="612" spans="1:223" x14ac:dyDescent="0.4">
      <c r="A612" s="5">
        <v>1474</v>
      </c>
      <c r="B612" s="5">
        <v>1</v>
      </c>
      <c r="C612" s="5">
        <v>1</v>
      </c>
      <c r="D612" s="5" t="s">
        <v>723</v>
      </c>
      <c r="E612" s="5" t="s">
        <v>725</v>
      </c>
      <c r="F612" s="5" t="s">
        <v>254</v>
      </c>
      <c r="G612" s="5" t="s">
        <v>240</v>
      </c>
      <c r="H612" s="6" t="s">
        <v>4275</v>
      </c>
      <c r="I612" s="5" t="s">
        <v>722</v>
      </c>
      <c r="J612" s="8">
        <f>375</f>
        <v>375</v>
      </c>
      <c r="K612" s="5" t="s">
        <v>308</v>
      </c>
      <c r="L612" s="7">
        <f>4125</f>
        <v>4125</v>
      </c>
      <c r="M612" s="7">
        <f>4125</f>
        <v>4125</v>
      </c>
      <c r="N612" s="5" t="s">
        <v>242</v>
      </c>
      <c r="O612" s="5">
        <v>1</v>
      </c>
      <c r="P612" s="5" t="s">
        <v>294</v>
      </c>
      <c r="Q612" s="5" t="s">
        <v>613</v>
      </c>
      <c r="R612" s="5" t="s">
        <v>240</v>
      </c>
      <c r="S612" s="5" t="s">
        <v>240</v>
      </c>
      <c r="T612" s="5" t="s">
        <v>243</v>
      </c>
      <c r="U612" s="5" t="s">
        <v>244</v>
      </c>
      <c r="V612" s="5" t="s">
        <v>240</v>
      </c>
      <c r="Y612" s="5" t="s">
        <v>240</v>
      </c>
      <c r="Z612" s="6" t="s">
        <v>298</v>
      </c>
      <c r="AB612" s="6" t="s">
        <v>240</v>
      </c>
      <c r="AE612" s="6" t="s">
        <v>299</v>
      </c>
      <c r="AF612" s="5" t="s">
        <v>248</v>
      </c>
      <c r="AG612" s="5" t="s">
        <v>249</v>
      </c>
      <c r="AW612" s="5" t="s">
        <v>251</v>
      </c>
      <c r="AX612" s="5" t="s">
        <v>240</v>
      </c>
      <c r="AY612" s="5" t="s">
        <v>253</v>
      </c>
      <c r="AZ612" s="5" t="s">
        <v>240</v>
      </c>
      <c r="BA612" s="5" t="s">
        <v>255</v>
      </c>
      <c r="BB612" s="5" t="s">
        <v>240</v>
      </c>
      <c r="BD612" s="5" t="s">
        <v>240</v>
      </c>
      <c r="BF612" s="5" t="s">
        <v>301</v>
      </c>
      <c r="BG612" s="6" t="s">
        <v>299</v>
      </c>
      <c r="BH612" s="5" t="s">
        <v>302</v>
      </c>
      <c r="BI612" s="5" t="s">
        <v>303</v>
      </c>
      <c r="BJ612" s="5" t="s">
        <v>240</v>
      </c>
      <c r="BK612" s="8">
        <f>0</f>
        <v>0</v>
      </c>
      <c r="BL612" s="7">
        <f>0</f>
        <v>0</v>
      </c>
      <c r="BM612" s="5" t="s">
        <v>258</v>
      </c>
      <c r="BN612" s="5" t="s">
        <v>259</v>
      </c>
      <c r="CB612" s="5" t="s">
        <v>240</v>
      </c>
      <c r="CC612" s="5" t="s">
        <v>240</v>
      </c>
      <c r="CG612" s="5" t="s">
        <v>617</v>
      </c>
      <c r="CH612" s="5" t="s">
        <v>305</v>
      </c>
      <c r="CI612" s="5" t="s">
        <v>240</v>
      </c>
      <c r="CL612" s="6" t="s">
        <v>261</v>
      </c>
      <c r="CM612" s="5" t="s">
        <v>240</v>
      </c>
      <c r="CN612" s="5" t="s">
        <v>263</v>
      </c>
      <c r="CO612" s="5" t="s">
        <v>240</v>
      </c>
      <c r="CP612" s="5" t="s">
        <v>240</v>
      </c>
      <c r="CQ612" s="5">
        <v>0</v>
      </c>
      <c r="CR612" s="5" t="s">
        <v>306</v>
      </c>
      <c r="CS612" s="5" t="s">
        <v>307</v>
      </c>
      <c r="CT612" s="5" t="s">
        <v>307</v>
      </c>
      <c r="CU612" s="5" t="s">
        <v>260</v>
      </c>
      <c r="CX612" s="7">
        <f>4992610</f>
        <v>4992610</v>
      </c>
      <c r="CY612" s="7">
        <f>0</f>
        <v>0</v>
      </c>
      <c r="DA612" s="7">
        <f>0</f>
        <v>0</v>
      </c>
      <c r="DC612" s="5" t="s">
        <v>689</v>
      </c>
      <c r="DD612" s="5" t="s">
        <v>240</v>
      </c>
      <c r="DF612" s="5" t="s">
        <v>618</v>
      </c>
      <c r="DG612" s="7">
        <f>2254</f>
        <v>2254</v>
      </c>
      <c r="DI612" s="5" t="s">
        <v>618</v>
      </c>
      <c r="DJ612" s="5" t="s">
        <v>240</v>
      </c>
      <c r="DK612" s="5" t="s">
        <v>240</v>
      </c>
      <c r="DL612" s="5" t="s">
        <v>240</v>
      </c>
      <c r="DP612" s="5" t="s">
        <v>240</v>
      </c>
      <c r="DQ612" s="5" t="s">
        <v>240</v>
      </c>
      <c r="DR612" s="5" t="s">
        <v>240</v>
      </c>
      <c r="DS612" s="5" t="s">
        <v>240</v>
      </c>
      <c r="DV612" s="5" t="s">
        <v>1406</v>
      </c>
      <c r="DW612" s="5" t="s">
        <v>620</v>
      </c>
      <c r="HO612" s="5" t="s">
        <v>312</v>
      </c>
    </row>
    <row r="613" spans="1:223" x14ac:dyDescent="0.4">
      <c r="A613" s="5">
        <v>1475</v>
      </c>
      <c r="B613" s="5">
        <v>1</v>
      </c>
      <c r="C613" s="5">
        <v>1</v>
      </c>
      <c r="D613" s="5" t="s">
        <v>723</v>
      </c>
      <c r="E613" s="5" t="s">
        <v>725</v>
      </c>
      <c r="F613" s="5" t="s">
        <v>254</v>
      </c>
      <c r="G613" s="5" t="s">
        <v>240</v>
      </c>
      <c r="H613" s="6" t="s">
        <v>1006</v>
      </c>
      <c r="I613" s="5" t="s">
        <v>722</v>
      </c>
      <c r="J613" s="8">
        <f>1285</f>
        <v>1285</v>
      </c>
      <c r="K613" s="5" t="s">
        <v>308</v>
      </c>
      <c r="L613" s="7">
        <f>14135</f>
        <v>14135</v>
      </c>
      <c r="M613" s="7">
        <f>14135</f>
        <v>14135</v>
      </c>
      <c r="N613" s="5" t="s">
        <v>242</v>
      </c>
      <c r="O613" s="5">
        <v>1</v>
      </c>
      <c r="P613" s="5" t="s">
        <v>294</v>
      </c>
      <c r="Q613" s="5" t="s">
        <v>613</v>
      </c>
      <c r="R613" s="5" t="s">
        <v>240</v>
      </c>
      <c r="S613" s="5" t="s">
        <v>240</v>
      </c>
      <c r="T613" s="5" t="s">
        <v>243</v>
      </c>
      <c r="U613" s="5" t="s">
        <v>244</v>
      </c>
      <c r="V613" s="5" t="s">
        <v>240</v>
      </c>
      <c r="Y613" s="5" t="s">
        <v>240</v>
      </c>
      <c r="Z613" s="6" t="s">
        <v>298</v>
      </c>
      <c r="AB613" s="6" t="s">
        <v>240</v>
      </c>
      <c r="AE613" s="6" t="s">
        <v>299</v>
      </c>
      <c r="AF613" s="5" t="s">
        <v>248</v>
      </c>
      <c r="AG613" s="5" t="s">
        <v>249</v>
      </c>
      <c r="AW613" s="5" t="s">
        <v>251</v>
      </c>
      <c r="AX613" s="5" t="s">
        <v>240</v>
      </c>
      <c r="AY613" s="5" t="s">
        <v>253</v>
      </c>
      <c r="AZ613" s="5" t="s">
        <v>240</v>
      </c>
      <c r="BA613" s="5" t="s">
        <v>255</v>
      </c>
      <c r="BB613" s="5" t="s">
        <v>240</v>
      </c>
      <c r="BD613" s="5" t="s">
        <v>240</v>
      </c>
      <c r="BF613" s="5" t="s">
        <v>301</v>
      </c>
      <c r="BG613" s="6" t="s">
        <v>299</v>
      </c>
      <c r="BH613" s="5" t="s">
        <v>302</v>
      </c>
      <c r="BI613" s="5" t="s">
        <v>303</v>
      </c>
      <c r="BJ613" s="5" t="s">
        <v>240</v>
      </c>
      <c r="BK613" s="8">
        <f>0</f>
        <v>0</v>
      </c>
      <c r="BL613" s="7">
        <f>0</f>
        <v>0</v>
      </c>
      <c r="BM613" s="5" t="s">
        <v>258</v>
      </c>
      <c r="BN613" s="5" t="s">
        <v>259</v>
      </c>
      <c r="CB613" s="5" t="s">
        <v>240</v>
      </c>
      <c r="CC613" s="5" t="s">
        <v>240</v>
      </c>
      <c r="CG613" s="5" t="s">
        <v>617</v>
      </c>
      <c r="CH613" s="5" t="s">
        <v>305</v>
      </c>
      <c r="CI613" s="5" t="s">
        <v>240</v>
      </c>
      <c r="CL613" s="6" t="s">
        <v>261</v>
      </c>
      <c r="CM613" s="5" t="s">
        <v>240</v>
      </c>
      <c r="CN613" s="5" t="s">
        <v>263</v>
      </c>
      <c r="CO613" s="5" t="s">
        <v>240</v>
      </c>
      <c r="CP613" s="5" t="s">
        <v>240</v>
      </c>
      <c r="CQ613" s="5">
        <v>0</v>
      </c>
      <c r="CR613" s="5" t="s">
        <v>306</v>
      </c>
      <c r="CS613" s="5" t="s">
        <v>307</v>
      </c>
      <c r="CT613" s="5" t="s">
        <v>307</v>
      </c>
      <c r="CU613" s="5" t="s">
        <v>260</v>
      </c>
      <c r="CX613" s="7">
        <f>136366475</f>
        <v>136366475</v>
      </c>
      <c r="CY613" s="7">
        <f>0</f>
        <v>0</v>
      </c>
      <c r="DA613" s="7">
        <f>0</f>
        <v>0</v>
      </c>
      <c r="DC613" s="5" t="s">
        <v>689</v>
      </c>
      <c r="DD613" s="5" t="s">
        <v>240</v>
      </c>
      <c r="DF613" s="5" t="s">
        <v>618</v>
      </c>
      <c r="DG613" s="7">
        <f>61565</f>
        <v>61565</v>
      </c>
      <c r="DI613" s="5" t="s">
        <v>618</v>
      </c>
      <c r="DJ613" s="5" t="s">
        <v>240</v>
      </c>
      <c r="DK613" s="5" t="s">
        <v>240</v>
      </c>
      <c r="DL613" s="5" t="s">
        <v>240</v>
      </c>
      <c r="DP613" s="5" t="s">
        <v>240</v>
      </c>
      <c r="DQ613" s="5" t="s">
        <v>240</v>
      </c>
      <c r="DR613" s="5" t="s">
        <v>240</v>
      </c>
      <c r="DS613" s="5" t="s">
        <v>240</v>
      </c>
      <c r="DV613" s="5" t="s">
        <v>1406</v>
      </c>
      <c r="DW613" s="5" t="s">
        <v>621</v>
      </c>
      <c r="HO613" s="5" t="s">
        <v>312</v>
      </c>
    </row>
    <row r="614" spans="1:223" x14ac:dyDescent="0.4">
      <c r="A614" s="5">
        <v>1476</v>
      </c>
      <c r="B614" s="5">
        <v>1</v>
      </c>
      <c r="C614" s="5">
        <v>1</v>
      </c>
      <c r="D614" s="5" t="s">
        <v>723</v>
      </c>
      <c r="E614" s="5" t="s">
        <v>725</v>
      </c>
      <c r="F614" s="5" t="s">
        <v>254</v>
      </c>
      <c r="G614" s="5" t="s">
        <v>240</v>
      </c>
      <c r="H614" s="6" t="s">
        <v>1005</v>
      </c>
      <c r="I614" s="5" t="s">
        <v>722</v>
      </c>
      <c r="J614" s="8">
        <f>538</f>
        <v>538</v>
      </c>
      <c r="K614" s="5" t="s">
        <v>308</v>
      </c>
      <c r="L614" s="7">
        <f>5918</f>
        <v>5918</v>
      </c>
      <c r="M614" s="7">
        <f>5918</f>
        <v>5918</v>
      </c>
      <c r="N614" s="5" t="s">
        <v>242</v>
      </c>
      <c r="O614" s="5">
        <v>1</v>
      </c>
      <c r="P614" s="5" t="s">
        <v>294</v>
      </c>
      <c r="Q614" s="5" t="s">
        <v>613</v>
      </c>
      <c r="R614" s="5" t="s">
        <v>240</v>
      </c>
      <c r="S614" s="5" t="s">
        <v>240</v>
      </c>
      <c r="T614" s="5" t="s">
        <v>243</v>
      </c>
      <c r="U614" s="5" t="s">
        <v>244</v>
      </c>
      <c r="V614" s="5" t="s">
        <v>240</v>
      </c>
      <c r="Y614" s="5" t="s">
        <v>240</v>
      </c>
      <c r="Z614" s="6" t="s">
        <v>298</v>
      </c>
      <c r="AB614" s="6" t="s">
        <v>240</v>
      </c>
      <c r="AE614" s="6" t="s">
        <v>299</v>
      </c>
      <c r="AF614" s="5" t="s">
        <v>248</v>
      </c>
      <c r="AG614" s="5" t="s">
        <v>249</v>
      </c>
      <c r="AW614" s="5" t="s">
        <v>251</v>
      </c>
      <c r="AX614" s="5" t="s">
        <v>240</v>
      </c>
      <c r="AY614" s="5" t="s">
        <v>253</v>
      </c>
      <c r="AZ614" s="5" t="s">
        <v>240</v>
      </c>
      <c r="BA614" s="5" t="s">
        <v>255</v>
      </c>
      <c r="BB614" s="5" t="s">
        <v>240</v>
      </c>
      <c r="BD614" s="5" t="s">
        <v>240</v>
      </c>
      <c r="BF614" s="5" t="s">
        <v>301</v>
      </c>
      <c r="BG614" s="6" t="s">
        <v>299</v>
      </c>
      <c r="BH614" s="5" t="s">
        <v>302</v>
      </c>
      <c r="BI614" s="5" t="s">
        <v>303</v>
      </c>
      <c r="BJ614" s="5" t="s">
        <v>240</v>
      </c>
      <c r="BK614" s="8">
        <f>0</f>
        <v>0</v>
      </c>
      <c r="BL614" s="7">
        <f>0</f>
        <v>0</v>
      </c>
      <c r="BM614" s="5" t="s">
        <v>258</v>
      </c>
      <c r="BN614" s="5" t="s">
        <v>259</v>
      </c>
      <c r="CB614" s="5" t="s">
        <v>240</v>
      </c>
      <c r="CC614" s="5" t="s">
        <v>240</v>
      </c>
      <c r="CG614" s="5" t="s">
        <v>617</v>
      </c>
      <c r="CH614" s="5" t="s">
        <v>305</v>
      </c>
      <c r="CI614" s="5" t="s">
        <v>240</v>
      </c>
      <c r="CL614" s="6" t="s">
        <v>261</v>
      </c>
      <c r="CM614" s="5" t="s">
        <v>240</v>
      </c>
      <c r="CN614" s="5" t="s">
        <v>263</v>
      </c>
      <c r="CO614" s="5" t="s">
        <v>240</v>
      </c>
      <c r="CP614" s="5" t="s">
        <v>240</v>
      </c>
      <c r="CQ614" s="5">
        <v>0</v>
      </c>
      <c r="CR614" s="5" t="s">
        <v>306</v>
      </c>
      <c r="CS614" s="5" t="s">
        <v>307</v>
      </c>
      <c r="CT614" s="5" t="s">
        <v>307</v>
      </c>
      <c r="CU614" s="5" t="s">
        <v>260</v>
      </c>
      <c r="CX614" s="7">
        <f>6872502</f>
        <v>6872502</v>
      </c>
      <c r="CY614" s="7">
        <f>0</f>
        <v>0</v>
      </c>
      <c r="DA614" s="7">
        <f>0</f>
        <v>0</v>
      </c>
      <c r="DC614" s="5" t="s">
        <v>689</v>
      </c>
      <c r="DD614" s="5" t="s">
        <v>240</v>
      </c>
      <c r="DF614" s="5" t="s">
        <v>689</v>
      </c>
      <c r="DG614" s="7">
        <f>3102.71</f>
        <v>3102.71</v>
      </c>
      <c r="DI614" s="5" t="s">
        <v>618</v>
      </c>
      <c r="DJ614" s="5" t="s">
        <v>240</v>
      </c>
      <c r="DK614" s="5" t="s">
        <v>240</v>
      </c>
      <c r="DL614" s="5" t="s">
        <v>240</v>
      </c>
      <c r="DP614" s="5" t="s">
        <v>240</v>
      </c>
      <c r="DQ614" s="5" t="s">
        <v>240</v>
      </c>
      <c r="DR614" s="5" t="s">
        <v>240</v>
      </c>
      <c r="DS614" s="5" t="s">
        <v>240</v>
      </c>
      <c r="DV614" s="5" t="s">
        <v>1415</v>
      </c>
      <c r="DW614" s="5" t="s">
        <v>789</v>
      </c>
      <c r="HO614" s="5" t="s">
        <v>312</v>
      </c>
    </row>
    <row r="615" spans="1:223" x14ac:dyDescent="0.4">
      <c r="A615" s="5">
        <v>1477</v>
      </c>
      <c r="B615" s="5">
        <v>1</v>
      </c>
      <c r="C615" s="5">
        <v>1</v>
      </c>
      <c r="D615" s="5" t="s">
        <v>723</v>
      </c>
      <c r="E615" s="5" t="s">
        <v>725</v>
      </c>
      <c r="F615" s="5" t="s">
        <v>254</v>
      </c>
      <c r="G615" s="5" t="s">
        <v>240</v>
      </c>
      <c r="H615" s="6" t="s">
        <v>1004</v>
      </c>
      <c r="I615" s="5" t="s">
        <v>722</v>
      </c>
      <c r="J615" s="8">
        <f>623</f>
        <v>623</v>
      </c>
      <c r="K615" s="5" t="s">
        <v>308</v>
      </c>
      <c r="L615" s="7">
        <f>6853</f>
        <v>6853</v>
      </c>
      <c r="M615" s="7">
        <f>6853</f>
        <v>6853</v>
      </c>
      <c r="N615" s="5" t="s">
        <v>242</v>
      </c>
      <c r="O615" s="5">
        <v>1</v>
      </c>
      <c r="P615" s="5" t="s">
        <v>294</v>
      </c>
      <c r="Q615" s="5" t="s">
        <v>613</v>
      </c>
      <c r="R615" s="5" t="s">
        <v>240</v>
      </c>
      <c r="S615" s="5" t="s">
        <v>240</v>
      </c>
      <c r="T615" s="5" t="s">
        <v>243</v>
      </c>
      <c r="U615" s="5" t="s">
        <v>244</v>
      </c>
      <c r="V615" s="5" t="s">
        <v>240</v>
      </c>
      <c r="Y615" s="5" t="s">
        <v>240</v>
      </c>
      <c r="Z615" s="6" t="s">
        <v>298</v>
      </c>
      <c r="AB615" s="6" t="s">
        <v>240</v>
      </c>
      <c r="AE615" s="6" t="s">
        <v>299</v>
      </c>
      <c r="AF615" s="5" t="s">
        <v>248</v>
      </c>
      <c r="AG615" s="5" t="s">
        <v>249</v>
      </c>
      <c r="AW615" s="5" t="s">
        <v>251</v>
      </c>
      <c r="AX615" s="5" t="s">
        <v>240</v>
      </c>
      <c r="AY615" s="5" t="s">
        <v>253</v>
      </c>
      <c r="AZ615" s="5" t="s">
        <v>240</v>
      </c>
      <c r="BA615" s="5" t="s">
        <v>255</v>
      </c>
      <c r="BB615" s="5" t="s">
        <v>240</v>
      </c>
      <c r="BD615" s="5" t="s">
        <v>240</v>
      </c>
      <c r="BF615" s="5" t="s">
        <v>301</v>
      </c>
      <c r="BG615" s="6" t="s">
        <v>299</v>
      </c>
      <c r="BH615" s="5" t="s">
        <v>302</v>
      </c>
      <c r="BI615" s="5" t="s">
        <v>303</v>
      </c>
      <c r="BJ615" s="5" t="s">
        <v>240</v>
      </c>
      <c r="BK615" s="8">
        <f>0</f>
        <v>0</v>
      </c>
      <c r="BL615" s="7">
        <f>0</f>
        <v>0</v>
      </c>
      <c r="BM615" s="5" t="s">
        <v>258</v>
      </c>
      <c r="BN615" s="5" t="s">
        <v>259</v>
      </c>
      <c r="CB615" s="5" t="s">
        <v>240</v>
      </c>
      <c r="CC615" s="5" t="s">
        <v>240</v>
      </c>
      <c r="CG615" s="5" t="s">
        <v>617</v>
      </c>
      <c r="CH615" s="5" t="s">
        <v>305</v>
      </c>
      <c r="CI615" s="5" t="s">
        <v>240</v>
      </c>
      <c r="CL615" s="6" t="s">
        <v>261</v>
      </c>
      <c r="CM615" s="5" t="s">
        <v>240</v>
      </c>
      <c r="CN615" s="5" t="s">
        <v>263</v>
      </c>
      <c r="CO615" s="5" t="s">
        <v>240</v>
      </c>
      <c r="CP615" s="5" t="s">
        <v>240</v>
      </c>
      <c r="CQ615" s="5">
        <v>0</v>
      </c>
      <c r="CR615" s="5" t="s">
        <v>306</v>
      </c>
      <c r="CS615" s="5" t="s">
        <v>307</v>
      </c>
      <c r="CT615" s="5" t="s">
        <v>307</v>
      </c>
      <c r="CU615" s="5" t="s">
        <v>260</v>
      </c>
      <c r="CX615" s="7">
        <f>46027</f>
        <v>46027</v>
      </c>
      <c r="CY615" s="7">
        <f>0</f>
        <v>0</v>
      </c>
      <c r="DA615" s="7">
        <f>0</f>
        <v>0</v>
      </c>
      <c r="DC615" s="5" t="s">
        <v>689</v>
      </c>
      <c r="DD615" s="5" t="s">
        <v>240</v>
      </c>
      <c r="DF615" s="5" t="s">
        <v>689</v>
      </c>
      <c r="DG615" s="7">
        <f>20.78</f>
        <v>20.78</v>
      </c>
      <c r="DI615" s="5" t="s">
        <v>618</v>
      </c>
      <c r="DJ615" s="5" t="s">
        <v>240</v>
      </c>
      <c r="DK615" s="5" t="s">
        <v>240</v>
      </c>
      <c r="DL615" s="5" t="s">
        <v>240</v>
      </c>
      <c r="DP615" s="5" t="s">
        <v>240</v>
      </c>
      <c r="DQ615" s="5" t="s">
        <v>240</v>
      </c>
      <c r="DR615" s="5" t="s">
        <v>240</v>
      </c>
      <c r="DS615" s="5" t="s">
        <v>240</v>
      </c>
      <c r="DV615" s="5" t="s">
        <v>1415</v>
      </c>
      <c r="DW615" s="5" t="s">
        <v>825</v>
      </c>
      <c r="HO615" s="5" t="s">
        <v>312</v>
      </c>
    </row>
    <row r="616" spans="1:223" x14ac:dyDescent="0.4">
      <c r="A616" s="5">
        <v>1478</v>
      </c>
      <c r="B616" s="5">
        <v>1</v>
      </c>
      <c r="C616" s="5">
        <v>1</v>
      </c>
      <c r="D616" s="5" t="s">
        <v>723</v>
      </c>
      <c r="E616" s="5" t="s">
        <v>725</v>
      </c>
      <c r="F616" s="5" t="s">
        <v>254</v>
      </c>
      <c r="G616" s="5" t="s">
        <v>240</v>
      </c>
      <c r="H616" s="6" t="s">
        <v>1003</v>
      </c>
      <c r="I616" s="5" t="s">
        <v>722</v>
      </c>
      <c r="J616" s="8">
        <f>4966</f>
        <v>4966</v>
      </c>
      <c r="K616" s="5" t="s">
        <v>308</v>
      </c>
      <c r="L616" s="7">
        <f>54626</f>
        <v>54626</v>
      </c>
      <c r="M616" s="7">
        <f>54626</f>
        <v>54626</v>
      </c>
      <c r="N616" s="5" t="s">
        <v>242</v>
      </c>
      <c r="O616" s="5">
        <v>1</v>
      </c>
      <c r="P616" s="5" t="s">
        <v>294</v>
      </c>
      <c r="Q616" s="5" t="s">
        <v>613</v>
      </c>
      <c r="R616" s="5" t="s">
        <v>240</v>
      </c>
      <c r="S616" s="5" t="s">
        <v>240</v>
      </c>
      <c r="T616" s="5" t="s">
        <v>243</v>
      </c>
      <c r="U616" s="5" t="s">
        <v>244</v>
      </c>
      <c r="V616" s="5" t="s">
        <v>240</v>
      </c>
      <c r="Y616" s="5" t="s">
        <v>240</v>
      </c>
      <c r="Z616" s="6" t="s">
        <v>298</v>
      </c>
      <c r="AB616" s="6" t="s">
        <v>240</v>
      </c>
      <c r="AE616" s="6" t="s">
        <v>299</v>
      </c>
      <c r="AF616" s="5" t="s">
        <v>248</v>
      </c>
      <c r="AG616" s="5" t="s">
        <v>249</v>
      </c>
      <c r="AW616" s="5" t="s">
        <v>251</v>
      </c>
      <c r="AX616" s="5" t="s">
        <v>240</v>
      </c>
      <c r="AY616" s="5" t="s">
        <v>253</v>
      </c>
      <c r="AZ616" s="5" t="s">
        <v>240</v>
      </c>
      <c r="BA616" s="5" t="s">
        <v>255</v>
      </c>
      <c r="BB616" s="5" t="s">
        <v>240</v>
      </c>
      <c r="BD616" s="5" t="s">
        <v>240</v>
      </c>
      <c r="BF616" s="5" t="s">
        <v>301</v>
      </c>
      <c r="BG616" s="6" t="s">
        <v>299</v>
      </c>
      <c r="BH616" s="5" t="s">
        <v>302</v>
      </c>
      <c r="BI616" s="5" t="s">
        <v>303</v>
      </c>
      <c r="BJ616" s="5" t="s">
        <v>240</v>
      </c>
      <c r="BK616" s="8">
        <f>0</f>
        <v>0</v>
      </c>
      <c r="BL616" s="7">
        <f>0</f>
        <v>0</v>
      </c>
      <c r="BM616" s="5" t="s">
        <v>258</v>
      </c>
      <c r="BN616" s="5" t="s">
        <v>259</v>
      </c>
      <c r="CB616" s="5" t="s">
        <v>240</v>
      </c>
      <c r="CC616" s="5" t="s">
        <v>240</v>
      </c>
      <c r="CG616" s="5" t="s">
        <v>617</v>
      </c>
      <c r="CH616" s="5" t="s">
        <v>305</v>
      </c>
      <c r="CI616" s="5" t="s">
        <v>240</v>
      </c>
      <c r="CL616" s="6" t="s">
        <v>261</v>
      </c>
      <c r="CM616" s="5" t="s">
        <v>240</v>
      </c>
      <c r="CN616" s="5" t="s">
        <v>263</v>
      </c>
      <c r="CO616" s="5" t="s">
        <v>240</v>
      </c>
      <c r="CP616" s="5" t="s">
        <v>240</v>
      </c>
      <c r="CQ616" s="5">
        <v>0</v>
      </c>
      <c r="CR616" s="5" t="s">
        <v>306</v>
      </c>
      <c r="CS616" s="5" t="s">
        <v>307</v>
      </c>
      <c r="CT616" s="5" t="s">
        <v>307</v>
      </c>
      <c r="CU616" s="5" t="s">
        <v>260</v>
      </c>
      <c r="CX616" s="7">
        <f>4609415</f>
        <v>4609415</v>
      </c>
      <c r="CY616" s="7">
        <f>0</f>
        <v>0</v>
      </c>
      <c r="DA616" s="7">
        <f>0</f>
        <v>0</v>
      </c>
      <c r="DC616" s="5" t="s">
        <v>689</v>
      </c>
      <c r="DD616" s="5" t="s">
        <v>240</v>
      </c>
      <c r="DF616" s="5" t="s">
        <v>689</v>
      </c>
      <c r="DG616" s="7">
        <f>2081</f>
        <v>2081</v>
      </c>
      <c r="DI616" s="5" t="s">
        <v>618</v>
      </c>
      <c r="DJ616" s="5" t="s">
        <v>240</v>
      </c>
      <c r="DK616" s="5" t="s">
        <v>240</v>
      </c>
      <c r="DL616" s="5" t="s">
        <v>240</v>
      </c>
      <c r="DP616" s="5" t="s">
        <v>240</v>
      </c>
      <c r="DQ616" s="5" t="s">
        <v>240</v>
      </c>
      <c r="DR616" s="5" t="s">
        <v>240</v>
      </c>
      <c r="DS616" s="5" t="s">
        <v>240</v>
      </c>
      <c r="DV616" s="5" t="s">
        <v>1415</v>
      </c>
      <c r="DW616" s="5" t="s">
        <v>791</v>
      </c>
      <c r="HO616" s="5" t="s">
        <v>312</v>
      </c>
    </row>
    <row r="617" spans="1:223" x14ac:dyDescent="0.4">
      <c r="A617" s="5">
        <v>1479</v>
      </c>
      <c r="B617" s="5">
        <v>1</v>
      </c>
      <c r="C617" s="5">
        <v>1</v>
      </c>
      <c r="D617" s="5" t="s">
        <v>723</v>
      </c>
      <c r="E617" s="5" t="s">
        <v>725</v>
      </c>
      <c r="F617" s="5" t="s">
        <v>254</v>
      </c>
      <c r="G617" s="5" t="s">
        <v>240</v>
      </c>
      <c r="H617" s="6" t="s">
        <v>1002</v>
      </c>
      <c r="I617" s="5" t="s">
        <v>722</v>
      </c>
      <c r="J617" s="8">
        <f>1548</f>
        <v>1548</v>
      </c>
      <c r="K617" s="5" t="s">
        <v>308</v>
      </c>
      <c r="L617" s="7">
        <f>17028</f>
        <v>17028</v>
      </c>
      <c r="M617" s="7">
        <f>17028</f>
        <v>17028</v>
      </c>
      <c r="N617" s="5" t="s">
        <v>242</v>
      </c>
      <c r="O617" s="5">
        <v>1</v>
      </c>
      <c r="P617" s="5" t="s">
        <v>294</v>
      </c>
      <c r="Q617" s="5" t="s">
        <v>613</v>
      </c>
      <c r="R617" s="5" t="s">
        <v>240</v>
      </c>
      <c r="S617" s="5" t="s">
        <v>240</v>
      </c>
      <c r="T617" s="5" t="s">
        <v>243</v>
      </c>
      <c r="U617" s="5" t="s">
        <v>244</v>
      </c>
      <c r="V617" s="5" t="s">
        <v>240</v>
      </c>
      <c r="Y617" s="5" t="s">
        <v>240</v>
      </c>
      <c r="Z617" s="6" t="s">
        <v>298</v>
      </c>
      <c r="AB617" s="6" t="s">
        <v>240</v>
      </c>
      <c r="AE617" s="6" t="s">
        <v>299</v>
      </c>
      <c r="AF617" s="5" t="s">
        <v>248</v>
      </c>
      <c r="AG617" s="5" t="s">
        <v>249</v>
      </c>
      <c r="AW617" s="5" t="s">
        <v>251</v>
      </c>
      <c r="AX617" s="5" t="s">
        <v>240</v>
      </c>
      <c r="AY617" s="5" t="s">
        <v>253</v>
      </c>
      <c r="AZ617" s="5" t="s">
        <v>240</v>
      </c>
      <c r="BA617" s="5" t="s">
        <v>255</v>
      </c>
      <c r="BB617" s="5" t="s">
        <v>240</v>
      </c>
      <c r="BD617" s="5" t="s">
        <v>240</v>
      </c>
      <c r="BF617" s="5" t="s">
        <v>301</v>
      </c>
      <c r="BG617" s="6" t="s">
        <v>299</v>
      </c>
      <c r="BH617" s="5" t="s">
        <v>302</v>
      </c>
      <c r="BI617" s="5" t="s">
        <v>303</v>
      </c>
      <c r="BJ617" s="5" t="s">
        <v>240</v>
      </c>
      <c r="BK617" s="8">
        <f>0</f>
        <v>0</v>
      </c>
      <c r="BL617" s="7">
        <f>0</f>
        <v>0</v>
      </c>
      <c r="BM617" s="5" t="s">
        <v>258</v>
      </c>
      <c r="BN617" s="5" t="s">
        <v>259</v>
      </c>
      <c r="CB617" s="5" t="s">
        <v>240</v>
      </c>
      <c r="CC617" s="5" t="s">
        <v>240</v>
      </c>
      <c r="CG617" s="5" t="s">
        <v>617</v>
      </c>
      <c r="CH617" s="5" t="s">
        <v>305</v>
      </c>
      <c r="CI617" s="5" t="s">
        <v>240</v>
      </c>
      <c r="CL617" s="6" t="s">
        <v>261</v>
      </c>
      <c r="CM617" s="5" t="s">
        <v>240</v>
      </c>
      <c r="CN617" s="5" t="s">
        <v>263</v>
      </c>
      <c r="CO617" s="5" t="s">
        <v>240</v>
      </c>
      <c r="CP617" s="5" t="s">
        <v>240</v>
      </c>
      <c r="CQ617" s="5">
        <v>0</v>
      </c>
      <c r="CR617" s="5" t="s">
        <v>306</v>
      </c>
      <c r="CS617" s="5" t="s">
        <v>307</v>
      </c>
      <c r="CT617" s="5" t="s">
        <v>307</v>
      </c>
      <c r="CU617" s="5" t="s">
        <v>260</v>
      </c>
      <c r="CX617" s="7">
        <f>1408740</f>
        <v>1408740</v>
      </c>
      <c r="CY617" s="7">
        <f>0</f>
        <v>0</v>
      </c>
      <c r="DA617" s="7">
        <f>0</f>
        <v>0</v>
      </c>
      <c r="DC617" s="5" t="s">
        <v>689</v>
      </c>
      <c r="DD617" s="5" t="s">
        <v>240</v>
      </c>
      <c r="DF617" s="5" t="s">
        <v>689</v>
      </c>
      <c r="DG617" s="7">
        <f>636</f>
        <v>636</v>
      </c>
      <c r="DI617" s="5" t="s">
        <v>618</v>
      </c>
      <c r="DJ617" s="5" t="s">
        <v>240</v>
      </c>
      <c r="DK617" s="5" t="s">
        <v>240</v>
      </c>
      <c r="DL617" s="5" t="s">
        <v>240</v>
      </c>
      <c r="DP617" s="5" t="s">
        <v>240</v>
      </c>
      <c r="DQ617" s="5" t="s">
        <v>240</v>
      </c>
      <c r="DR617" s="5" t="s">
        <v>240</v>
      </c>
      <c r="DS617" s="5" t="s">
        <v>240</v>
      </c>
      <c r="DV617" s="5" t="s">
        <v>1415</v>
      </c>
      <c r="DW617" s="5" t="s">
        <v>793</v>
      </c>
      <c r="HO617" s="5" t="s">
        <v>312</v>
      </c>
    </row>
    <row r="618" spans="1:223" x14ac:dyDescent="0.4">
      <c r="A618" s="5">
        <v>1480</v>
      </c>
      <c r="B618" s="5">
        <v>1</v>
      </c>
      <c r="C618" s="5">
        <v>1</v>
      </c>
      <c r="D618" s="5" t="s">
        <v>723</v>
      </c>
      <c r="E618" s="5" t="s">
        <v>725</v>
      </c>
      <c r="F618" s="5" t="s">
        <v>254</v>
      </c>
      <c r="G618" s="5" t="s">
        <v>240</v>
      </c>
      <c r="H618" s="6" t="s">
        <v>1001</v>
      </c>
      <c r="I618" s="5" t="s">
        <v>722</v>
      </c>
      <c r="J618" s="8">
        <f>8351</f>
        <v>8351</v>
      </c>
      <c r="K618" s="5" t="s">
        <v>308</v>
      </c>
      <c r="L618" s="7">
        <f>91861</f>
        <v>91861</v>
      </c>
      <c r="M618" s="7">
        <f>91861</f>
        <v>91861</v>
      </c>
      <c r="N618" s="5" t="s">
        <v>242</v>
      </c>
      <c r="O618" s="5">
        <v>1</v>
      </c>
      <c r="P618" s="5" t="s">
        <v>294</v>
      </c>
      <c r="Q618" s="5" t="s">
        <v>613</v>
      </c>
      <c r="R618" s="5" t="s">
        <v>240</v>
      </c>
      <c r="S618" s="5" t="s">
        <v>240</v>
      </c>
      <c r="T618" s="5" t="s">
        <v>243</v>
      </c>
      <c r="U618" s="5" t="s">
        <v>244</v>
      </c>
      <c r="V618" s="5" t="s">
        <v>240</v>
      </c>
      <c r="Y618" s="5" t="s">
        <v>240</v>
      </c>
      <c r="Z618" s="6" t="s">
        <v>298</v>
      </c>
      <c r="AB618" s="6" t="s">
        <v>240</v>
      </c>
      <c r="AE618" s="6" t="s">
        <v>299</v>
      </c>
      <c r="AF618" s="5" t="s">
        <v>248</v>
      </c>
      <c r="AG618" s="5" t="s">
        <v>249</v>
      </c>
      <c r="AW618" s="5" t="s">
        <v>251</v>
      </c>
      <c r="AX618" s="5" t="s">
        <v>240</v>
      </c>
      <c r="AY618" s="5" t="s">
        <v>253</v>
      </c>
      <c r="AZ618" s="5" t="s">
        <v>240</v>
      </c>
      <c r="BA618" s="5" t="s">
        <v>255</v>
      </c>
      <c r="BB618" s="5" t="s">
        <v>240</v>
      </c>
      <c r="BD618" s="5" t="s">
        <v>240</v>
      </c>
      <c r="BF618" s="5" t="s">
        <v>301</v>
      </c>
      <c r="BG618" s="6" t="s">
        <v>299</v>
      </c>
      <c r="BH618" s="5" t="s">
        <v>302</v>
      </c>
      <c r="BI618" s="5" t="s">
        <v>303</v>
      </c>
      <c r="BJ618" s="5" t="s">
        <v>240</v>
      </c>
      <c r="BK618" s="8">
        <f>0</f>
        <v>0</v>
      </c>
      <c r="BL618" s="7">
        <f>0</f>
        <v>0</v>
      </c>
      <c r="BM618" s="5" t="s">
        <v>258</v>
      </c>
      <c r="BN618" s="5" t="s">
        <v>259</v>
      </c>
      <c r="CB618" s="5" t="s">
        <v>240</v>
      </c>
      <c r="CC618" s="5" t="s">
        <v>240</v>
      </c>
      <c r="CG618" s="5" t="s">
        <v>617</v>
      </c>
      <c r="CH618" s="5" t="s">
        <v>305</v>
      </c>
      <c r="CI618" s="5" t="s">
        <v>240</v>
      </c>
      <c r="CL618" s="6" t="s">
        <v>261</v>
      </c>
      <c r="CM618" s="5" t="s">
        <v>240</v>
      </c>
      <c r="CN618" s="5" t="s">
        <v>263</v>
      </c>
      <c r="CO618" s="5" t="s">
        <v>240</v>
      </c>
      <c r="CP618" s="5" t="s">
        <v>240</v>
      </c>
      <c r="CQ618" s="5">
        <v>0</v>
      </c>
      <c r="CR618" s="5" t="s">
        <v>306</v>
      </c>
      <c r="CS618" s="5" t="s">
        <v>307</v>
      </c>
      <c r="CT618" s="5" t="s">
        <v>307</v>
      </c>
      <c r="CU618" s="5" t="s">
        <v>260</v>
      </c>
      <c r="CX618" s="7">
        <f>2292525</f>
        <v>2292525</v>
      </c>
      <c r="CY618" s="7">
        <f>0</f>
        <v>0</v>
      </c>
      <c r="DA618" s="7">
        <f>0</f>
        <v>0</v>
      </c>
      <c r="DC618" s="5" t="s">
        <v>689</v>
      </c>
      <c r="DD618" s="5" t="s">
        <v>240</v>
      </c>
      <c r="DF618" s="5" t="s">
        <v>689</v>
      </c>
      <c r="DG618" s="7">
        <f>1035</f>
        <v>1035</v>
      </c>
      <c r="DI618" s="5" t="s">
        <v>618</v>
      </c>
      <c r="DJ618" s="5" t="s">
        <v>240</v>
      </c>
      <c r="DK618" s="5" t="s">
        <v>240</v>
      </c>
      <c r="DL618" s="5" t="s">
        <v>240</v>
      </c>
      <c r="DP618" s="5" t="s">
        <v>240</v>
      </c>
      <c r="DQ618" s="5" t="s">
        <v>240</v>
      </c>
      <c r="DR618" s="5" t="s">
        <v>240</v>
      </c>
      <c r="DS618" s="5" t="s">
        <v>240</v>
      </c>
      <c r="DV618" s="5" t="s">
        <v>1415</v>
      </c>
      <c r="DW618" s="5" t="s">
        <v>795</v>
      </c>
      <c r="HO618" s="5" t="s">
        <v>312</v>
      </c>
    </row>
    <row r="619" spans="1:223" x14ac:dyDescent="0.4">
      <c r="A619" s="5">
        <v>1481</v>
      </c>
      <c r="B619" s="5">
        <v>1</v>
      </c>
      <c r="C619" s="5">
        <v>1</v>
      </c>
      <c r="D619" s="5" t="s">
        <v>723</v>
      </c>
      <c r="E619" s="5" t="s">
        <v>725</v>
      </c>
      <c r="F619" s="5" t="s">
        <v>254</v>
      </c>
      <c r="G619" s="5" t="s">
        <v>240</v>
      </c>
      <c r="H619" s="6" t="s">
        <v>1000</v>
      </c>
      <c r="I619" s="5" t="s">
        <v>722</v>
      </c>
      <c r="J619" s="8">
        <f>711</f>
        <v>711</v>
      </c>
      <c r="K619" s="5" t="s">
        <v>308</v>
      </c>
      <c r="L619" s="7">
        <f>7821</f>
        <v>7821</v>
      </c>
      <c r="M619" s="7">
        <f>7821</f>
        <v>7821</v>
      </c>
      <c r="N619" s="5" t="s">
        <v>242</v>
      </c>
      <c r="O619" s="5">
        <v>1</v>
      </c>
      <c r="P619" s="5" t="s">
        <v>294</v>
      </c>
      <c r="Q619" s="5" t="s">
        <v>613</v>
      </c>
      <c r="R619" s="5" t="s">
        <v>240</v>
      </c>
      <c r="S619" s="5" t="s">
        <v>240</v>
      </c>
      <c r="T619" s="5" t="s">
        <v>243</v>
      </c>
      <c r="U619" s="5" t="s">
        <v>244</v>
      </c>
      <c r="V619" s="5" t="s">
        <v>240</v>
      </c>
      <c r="Y619" s="5" t="s">
        <v>240</v>
      </c>
      <c r="Z619" s="6" t="s">
        <v>298</v>
      </c>
      <c r="AB619" s="6" t="s">
        <v>240</v>
      </c>
      <c r="AE619" s="6" t="s">
        <v>299</v>
      </c>
      <c r="AF619" s="5" t="s">
        <v>248</v>
      </c>
      <c r="AG619" s="5" t="s">
        <v>249</v>
      </c>
      <c r="AW619" s="5" t="s">
        <v>251</v>
      </c>
      <c r="AX619" s="5" t="s">
        <v>240</v>
      </c>
      <c r="AY619" s="5" t="s">
        <v>253</v>
      </c>
      <c r="AZ619" s="5" t="s">
        <v>240</v>
      </c>
      <c r="BA619" s="5" t="s">
        <v>255</v>
      </c>
      <c r="BB619" s="5" t="s">
        <v>240</v>
      </c>
      <c r="BD619" s="5" t="s">
        <v>240</v>
      </c>
      <c r="BF619" s="5" t="s">
        <v>301</v>
      </c>
      <c r="BG619" s="6" t="s">
        <v>299</v>
      </c>
      <c r="BH619" s="5" t="s">
        <v>302</v>
      </c>
      <c r="BI619" s="5" t="s">
        <v>303</v>
      </c>
      <c r="BJ619" s="5" t="s">
        <v>240</v>
      </c>
      <c r="BK619" s="8">
        <f>0</f>
        <v>0</v>
      </c>
      <c r="BL619" s="7">
        <f>0</f>
        <v>0</v>
      </c>
      <c r="BM619" s="5" t="s">
        <v>258</v>
      </c>
      <c r="BN619" s="5" t="s">
        <v>259</v>
      </c>
      <c r="CB619" s="5" t="s">
        <v>240</v>
      </c>
      <c r="CC619" s="5" t="s">
        <v>240</v>
      </c>
      <c r="CG619" s="5" t="s">
        <v>617</v>
      </c>
      <c r="CH619" s="5" t="s">
        <v>305</v>
      </c>
      <c r="CI619" s="5" t="s">
        <v>240</v>
      </c>
      <c r="CL619" s="6" t="s">
        <v>261</v>
      </c>
      <c r="CM619" s="5" t="s">
        <v>240</v>
      </c>
      <c r="CN619" s="5" t="s">
        <v>263</v>
      </c>
      <c r="CO619" s="5" t="s">
        <v>240</v>
      </c>
      <c r="CP619" s="5" t="s">
        <v>240</v>
      </c>
      <c r="CQ619" s="5">
        <v>0</v>
      </c>
      <c r="CR619" s="5" t="s">
        <v>306</v>
      </c>
      <c r="CS619" s="5" t="s">
        <v>307</v>
      </c>
      <c r="CT619" s="5" t="s">
        <v>307</v>
      </c>
      <c r="CU619" s="5" t="s">
        <v>260</v>
      </c>
      <c r="CX619" s="7">
        <f>2937090</f>
        <v>2937090</v>
      </c>
      <c r="CY619" s="7">
        <f>0</f>
        <v>0</v>
      </c>
      <c r="DA619" s="7">
        <f>0</f>
        <v>0</v>
      </c>
      <c r="DC619" s="5" t="s">
        <v>689</v>
      </c>
      <c r="DD619" s="5" t="s">
        <v>240</v>
      </c>
      <c r="DF619" s="5" t="s">
        <v>689</v>
      </c>
      <c r="DG619" s="7">
        <f>1326</f>
        <v>1326</v>
      </c>
      <c r="DI619" s="5" t="s">
        <v>618</v>
      </c>
      <c r="DJ619" s="5" t="s">
        <v>240</v>
      </c>
      <c r="DK619" s="5" t="s">
        <v>240</v>
      </c>
      <c r="DL619" s="5" t="s">
        <v>240</v>
      </c>
      <c r="DP619" s="5" t="s">
        <v>240</v>
      </c>
      <c r="DQ619" s="5" t="s">
        <v>240</v>
      </c>
      <c r="DR619" s="5" t="s">
        <v>240</v>
      </c>
      <c r="DS619" s="5" t="s">
        <v>240</v>
      </c>
      <c r="DV619" s="5" t="s">
        <v>1415</v>
      </c>
      <c r="DW619" s="5" t="s">
        <v>797</v>
      </c>
      <c r="HO619" s="5" t="s">
        <v>312</v>
      </c>
    </row>
    <row r="620" spans="1:223" x14ac:dyDescent="0.4">
      <c r="A620" s="5">
        <v>1482</v>
      </c>
      <c r="B620" s="5">
        <v>1</v>
      </c>
      <c r="C620" s="5">
        <v>1</v>
      </c>
      <c r="D620" s="5" t="s">
        <v>723</v>
      </c>
      <c r="E620" s="5" t="s">
        <v>725</v>
      </c>
      <c r="F620" s="5" t="s">
        <v>254</v>
      </c>
      <c r="G620" s="5" t="s">
        <v>240</v>
      </c>
      <c r="H620" s="6" t="s">
        <v>999</v>
      </c>
      <c r="I620" s="5" t="s">
        <v>722</v>
      </c>
      <c r="J620" s="8">
        <f>2784</f>
        <v>2784</v>
      </c>
      <c r="K620" s="5" t="s">
        <v>308</v>
      </c>
      <c r="L620" s="7">
        <f>30624</f>
        <v>30624</v>
      </c>
      <c r="M620" s="7">
        <f>30624</f>
        <v>30624</v>
      </c>
      <c r="N620" s="5" t="s">
        <v>242</v>
      </c>
      <c r="O620" s="5">
        <v>1</v>
      </c>
      <c r="P620" s="5" t="s">
        <v>294</v>
      </c>
      <c r="Q620" s="5" t="s">
        <v>613</v>
      </c>
      <c r="R620" s="5" t="s">
        <v>240</v>
      </c>
      <c r="S620" s="5" t="s">
        <v>240</v>
      </c>
      <c r="T620" s="5" t="s">
        <v>243</v>
      </c>
      <c r="U620" s="5" t="s">
        <v>244</v>
      </c>
      <c r="V620" s="5" t="s">
        <v>240</v>
      </c>
      <c r="Y620" s="5" t="s">
        <v>240</v>
      </c>
      <c r="Z620" s="6" t="s">
        <v>298</v>
      </c>
      <c r="AB620" s="6" t="s">
        <v>240</v>
      </c>
      <c r="AE620" s="6" t="s">
        <v>299</v>
      </c>
      <c r="AF620" s="5" t="s">
        <v>248</v>
      </c>
      <c r="AG620" s="5" t="s">
        <v>249</v>
      </c>
      <c r="AW620" s="5" t="s">
        <v>251</v>
      </c>
      <c r="AX620" s="5" t="s">
        <v>240</v>
      </c>
      <c r="AY620" s="5" t="s">
        <v>253</v>
      </c>
      <c r="AZ620" s="5" t="s">
        <v>240</v>
      </c>
      <c r="BA620" s="5" t="s">
        <v>255</v>
      </c>
      <c r="BB620" s="5" t="s">
        <v>240</v>
      </c>
      <c r="BD620" s="5" t="s">
        <v>240</v>
      </c>
      <c r="BF620" s="5" t="s">
        <v>301</v>
      </c>
      <c r="BG620" s="6" t="s">
        <v>299</v>
      </c>
      <c r="BH620" s="5" t="s">
        <v>302</v>
      </c>
      <c r="BI620" s="5" t="s">
        <v>303</v>
      </c>
      <c r="BJ620" s="5" t="s">
        <v>240</v>
      </c>
      <c r="BK620" s="8">
        <f>0</f>
        <v>0</v>
      </c>
      <c r="BL620" s="7">
        <f>0</f>
        <v>0</v>
      </c>
      <c r="BM620" s="5" t="s">
        <v>258</v>
      </c>
      <c r="BN620" s="5" t="s">
        <v>259</v>
      </c>
      <c r="CB620" s="5" t="s">
        <v>240</v>
      </c>
      <c r="CC620" s="5" t="s">
        <v>240</v>
      </c>
      <c r="CG620" s="5" t="s">
        <v>617</v>
      </c>
      <c r="CH620" s="5" t="s">
        <v>305</v>
      </c>
      <c r="CI620" s="5" t="s">
        <v>240</v>
      </c>
      <c r="CL620" s="6" t="s">
        <v>261</v>
      </c>
      <c r="CM620" s="5" t="s">
        <v>240</v>
      </c>
      <c r="CN620" s="5" t="s">
        <v>263</v>
      </c>
      <c r="CO620" s="5" t="s">
        <v>240</v>
      </c>
      <c r="CP620" s="5" t="s">
        <v>240</v>
      </c>
      <c r="CQ620" s="5">
        <v>0</v>
      </c>
      <c r="CR620" s="5" t="s">
        <v>306</v>
      </c>
      <c r="CS620" s="5" t="s">
        <v>307</v>
      </c>
      <c r="CT620" s="5" t="s">
        <v>307</v>
      </c>
      <c r="CU620" s="5" t="s">
        <v>260</v>
      </c>
      <c r="CX620" s="7">
        <f>392055</f>
        <v>392055</v>
      </c>
      <c r="CY620" s="7">
        <f>0</f>
        <v>0</v>
      </c>
      <c r="DA620" s="7">
        <f>0</f>
        <v>0</v>
      </c>
      <c r="DC620" s="5" t="s">
        <v>689</v>
      </c>
      <c r="DD620" s="5" t="s">
        <v>240</v>
      </c>
      <c r="DF620" s="5" t="s">
        <v>689</v>
      </c>
      <c r="DG620" s="7">
        <f>177</f>
        <v>177</v>
      </c>
      <c r="DI620" s="5" t="s">
        <v>618</v>
      </c>
      <c r="DJ620" s="5" t="s">
        <v>240</v>
      </c>
      <c r="DK620" s="5" t="s">
        <v>240</v>
      </c>
      <c r="DL620" s="5" t="s">
        <v>240</v>
      </c>
      <c r="DP620" s="5" t="s">
        <v>240</v>
      </c>
      <c r="DQ620" s="5" t="s">
        <v>240</v>
      </c>
      <c r="DR620" s="5" t="s">
        <v>240</v>
      </c>
      <c r="DS620" s="5" t="s">
        <v>240</v>
      </c>
      <c r="DV620" s="5" t="s">
        <v>1415</v>
      </c>
      <c r="DW620" s="5" t="s">
        <v>799</v>
      </c>
      <c r="HO620" s="5" t="s">
        <v>312</v>
      </c>
    </row>
    <row r="621" spans="1:223" x14ac:dyDescent="0.4">
      <c r="A621" s="5">
        <v>1483</v>
      </c>
      <c r="B621" s="5">
        <v>1</v>
      </c>
      <c r="C621" s="5">
        <v>1</v>
      </c>
      <c r="D621" s="5" t="s">
        <v>723</v>
      </c>
      <c r="E621" s="5" t="s">
        <v>725</v>
      </c>
      <c r="F621" s="5" t="s">
        <v>254</v>
      </c>
      <c r="G621" s="5" t="s">
        <v>240</v>
      </c>
      <c r="H621" s="6" t="s">
        <v>998</v>
      </c>
      <c r="I621" s="5" t="s">
        <v>722</v>
      </c>
      <c r="J621" s="8">
        <f>504</f>
        <v>504</v>
      </c>
      <c r="K621" s="5" t="s">
        <v>308</v>
      </c>
      <c r="L621" s="7">
        <f>5544</f>
        <v>5544</v>
      </c>
      <c r="M621" s="7">
        <f>5544</f>
        <v>5544</v>
      </c>
      <c r="N621" s="5" t="s">
        <v>242</v>
      </c>
      <c r="O621" s="5">
        <v>1</v>
      </c>
      <c r="P621" s="5" t="s">
        <v>294</v>
      </c>
      <c r="Q621" s="5" t="s">
        <v>613</v>
      </c>
      <c r="R621" s="5" t="s">
        <v>240</v>
      </c>
      <c r="S621" s="5" t="s">
        <v>240</v>
      </c>
      <c r="T621" s="5" t="s">
        <v>243</v>
      </c>
      <c r="U621" s="5" t="s">
        <v>244</v>
      </c>
      <c r="V621" s="5" t="s">
        <v>240</v>
      </c>
      <c r="Y621" s="5" t="s">
        <v>240</v>
      </c>
      <c r="Z621" s="6" t="s">
        <v>298</v>
      </c>
      <c r="AB621" s="6" t="s">
        <v>240</v>
      </c>
      <c r="AE621" s="6" t="s">
        <v>299</v>
      </c>
      <c r="AF621" s="5" t="s">
        <v>248</v>
      </c>
      <c r="AG621" s="5" t="s">
        <v>249</v>
      </c>
      <c r="AW621" s="5" t="s">
        <v>251</v>
      </c>
      <c r="AX621" s="5" t="s">
        <v>240</v>
      </c>
      <c r="AY621" s="5" t="s">
        <v>253</v>
      </c>
      <c r="AZ621" s="5" t="s">
        <v>240</v>
      </c>
      <c r="BA621" s="5" t="s">
        <v>255</v>
      </c>
      <c r="BB621" s="5" t="s">
        <v>240</v>
      </c>
      <c r="BD621" s="5" t="s">
        <v>240</v>
      </c>
      <c r="BF621" s="5" t="s">
        <v>301</v>
      </c>
      <c r="BG621" s="6" t="s">
        <v>299</v>
      </c>
      <c r="BH621" s="5" t="s">
        <v>302</v>
      </c>
      <c r="BI621" s="5" t="s">
        <v>303</v>
      </c>
      <c r="BJ621" s="5" t="s">
        <v>240</v>
      </c>
      <c r="BK621" s="8">
        <f>0</f>
        <v>0</v>
      </c>
      <c r="BL621" s="7">
        <f>0</f>
        <v>0</v>
      </c>
      <c r="BM621" s="5" t="s">
        <v>258</v>
      </c>
      <c r="BN621" s="5" t="s">
        <v>259</v>
      </c>
      <c r="CB621" s="5" t="s">
        <v>240</v>
      </c>
      <c r="CC621" s="5" t="s">
        <v>240</v>
      </c>
      <c r="CG621" s="5" t="s">
        <v>617</v>
      </c>
      <c r="CH621" s="5" t="s">
        <v>305</v>
      </c>
      <c r="CI621" s="5" t="s">
        <v>240</v>
      </c>
      <c r="CL621" s="6" t="s">
        <v>261</v>
      </c>
      <c r="CM621" s="5" t="s">
        <v>240</v>
      </c>
      <c r="CN621" s="5" t="s">
        <v>263</v>
      </c>
      <c r="CO621" s="5" t="s">
        <v>240</v>
      </c>
      <c r="CP621" s="5" t="s">
        <v>240</v>
      </c>
      <c r="CQ621" s="5">
        <v>0</v>
      </c>
      <c r="CR621" s="5" t="s">
        <v>306</v>
      </c>
      <c r="CS621" s="5" t="s">
        <v>307</v>
      </c>
      <c r="CT621" s="5" t="s">
        <v>307</v>
      </c>
      <c r="CU621" s="5" t="s">
        <v>260</v>
      </c>
      <c r="CX621" s="7">
        <f>2826340</f>
        <v>2826340</v>
      </c>
      <c r="CY621" s="7">
        <f>0</f>
        <v>0</v>
      </c>
      <c r="DA621" s="7">
        <f>0</f>
        <v>0</v>
      </c>
      <c r="DC621" s="5" t="s">
        <v>689</v>
      </c>
      <c r="DD621" s="5" t="s">
        <v>240</v>
      </c>
      <c r="DF621" s="5" t="s">
        <v>689</v>
      </c>
      <c r="DG621" s="7">
        <f>1276</f>
        <v>1276</v>
      </c>
      <c r="DI621" s="5" t="s">
        <v>618</v>
      </c>
      <c r="DJ621" s="5" t="s">
        <v>240</v>
      </c>
      <c r="DK621" s="5" t="s">
        <v>240</v>
      </c>
      <c r="DL621" s="5" t="s">
        <v>240</v>
      </c>
      <c r="DP621" s="5" t="s">
        <v>240</v>
      </c>
      <c r="DQ621" s="5" t="s">
        <v>240</v>
      </c>
      <c r="DR621" s="5" t="s">
        <v>240</v>
      </c>
      <c r="DS621" s="5" t="s">
        <v>240</v>
      </c>
      <c r="DV621" s="5" t="s">
        <v>1415</v>
      </c>
      <c r="DW621" s="5" t="s">
        <v>801</v>
      </c>
      <c r="HO621" s="5" t="s">
        <v>312</v>
      </c>
    </row>
    <row r="622" spans="1:223" x14ac:dyDescent="0.4">
      <c r="A622" s="5">
        <v>1484</v>
      </c>
      <c r="B622" s="5">
        <v>1</v>
      </c>
      <c r="C622" s="5">
        <v>1</v>
      </c>
      <c r="D622" s="5" t="s">
        <v>723</v>
      </c>
      <c r="E622" s="5" t="s">
        <v>725</v>
      </c>
      <c r="F622" s="5" t="s">
        <v>254</v>
      </c>
      <c r="G622" s="5" t="s">
        <v>240</v>
      </c>
      <c r="H622" s="6" t="s">
        <v>997</v>
      </c>
      <c r="I622" s="5" t="s">
        <v>722</v>
      </c>
      <c r="J622" s="8">
        <f>337</f>
        <v>337</v>
      </c>
      <c r="K622" s="5" t="s">
        <v>308</v>
      </c>
      <c r="L622" s="7">
        <f>3707</f>
        <v>3707</v>
      </c>
      <c r="M622" s="7">
        <f>3707</f>
        <v>3707</v>
      </c>
      <c r="N622" s="5" t="s">
        <v>242</v>
      </c>
      <c r="O622" s="5">
        <v>1</v>
      </c>
      <c r="P622" s="5" t="s">
        <v>294</v>
      </c>
      <c r="Q622" s="5" t="s">
        <v>613</v>
      </c>
      <c r="R622" s="5" t="s">
        <v>240</v>
      </c>
      <c r="S622" s="5" t="s">
        <v>240</v>
      </c>
      <c r="T622" s="5" t="s">
        <v>296</v>
      </c>
      <c r="U622" s="5" t="s">
        <v>244</v>
      </c>
      <c r="V622" s="5" t="s">
        <v>240</v>
      </c>
      <c r="Y622" s="5" t="s">
        <v>240</v>
      </c>
      <c r="Z622" s="6" t="s">
        <v>298</v>
      </c>
      <c r="AB622" s="6" t="s">
        <v>240</v>
      </c>
      <c r="AE622" s="6" t="s">
        <v>299</v>
      </c>
      <c r="AF622" s="5" t="s">
        <v>248</v>
      </c>
      <c r="AG622" s="5" t="s">
        <v>249</v>
      </c>
      <c r="AW622" s="5" t="s">
        <v>251</v>
      </c>
      <c r="AX622" s="5" t="s">
        <v>240</v>
      </c>
      <c r="AY622" s="5" t="s">
        <v>253</v>
      </c>
      <c r="AZ622" s="5" t="s">
        <v>240</v>
      </c>
      <c r="BA622" s="5" t="s">
        <v>255</v>
      </c>
      <c r="BB622" s="5" t="s">
        <v>240</v>
      </c>
      <c r="BD622" s="5" t="s">
        <v>240</v>
      </c>
      <c r="BF622" s="5" t="s">
        <v>301</v>
      </c>
      <c r="BG622" s="6" t="s">
        <v>299</v>
      </c>
      <c r="BH622" s="5" t="s">
        <v>302</v>
      </c>
      <c r="BI622" s="5" t="s">
        <v>303</v>
      </c>
      <c r="BJ622" s="5" t="s">
        <v>240</v>
      </c>
      <c r="BK622" s="8">
        <f>0</f>
        <v>0</v>
      </c>
      <c r="BL622" s="7">
        <f>0</f>
        <v>0</v>
      </c>
      <c r="BM622" s="5" t="s">
        <v>258</v>
      </c>
      <c r="BN622" s="5" t="s">
        <v>259</v>
      </c>
      <c r="CB622" s="5" t="s">
        <v>240</v>
      </c>
      <c r="CC622" s="5" t="s">
        <v>240</v>
      </c>
      <c r="CG622" s="5" t="s">
        <v>617</v>
      </c>
      <c r="CH622" s="5" t="s">
        <v>305</v>
      </c>
      <c r="CI622" s="5" t="s">
        <v>240</v>
      </c>
      <c r="CL622" s="6" t="s">
        <v>261</v>
      </c>
      <c r="CM622" s="5" t="s">
        <v>240</v>
      </c>
      <c r="CN622" s="5" t="s">
        <v>263</v>
      </c>
      <c r="CO622" s="5" t="s">
        <v>240</v>
      </c>
      <c r="CP622" s="5" t="s">
        <v>240</v>
      </c>
      <c r="CQ622" s="5">
        <v>0</v>
      </c>
      <c r="CR622" s="5" t="s">
        <v>306</v>
      </c>
      <c r="CS622" s="5" t="s">
        <v>307</v>
      </c>
      <c r="CT622" s="5" t="s">
        <v>307</v>
      </c>
      <c r="CU622" s="5" t="s">
        <v>260</v>
      </c>
      <c r="CX622" s="7">
        <f>1164240</f>
        <v>1164240</v>
      </c>
      <c r="CY622" s="7">
        <f>0</f>
        <v>0</v>
      </c>
      <c r="DA622" s="7">
        <f>0</f>
        <v>0</v>
      </c>
      <c r="DC622" s="5" t="s">
        <v>812</v>
      </c>
      <c r="DD622" s="5" t="s">
        <v>240</v>
      </c>
      <c r="DF622" s="5" t="s">
        <v>689</v>
      </c>
      <c r="DG622" s="7">
        <f>2376</f>
        <v>2376</v>
      </c>
      <c r="DI622" s="5" t="s">
        <v>450</v>
      </c>
      <c r="DJ622" s="5" t="s">
        <v>240</v>
      </c>
      <c r="DK622" s="5" t="s">
        <v>240</v>
      </c>
      <c r="DL622" s="5" t="s">
        <v>240</v>
      </c>
      <c r="DP622" s="5" t="s">
        <v>240</v>
      </c>
      <c r="DQ622" s="5" t="s">
        <v>240</v>
      </c>
      <c r="DR622" s="5" t="s">
        <v>240</v>
      </c>
      <c r="DS622" s="5" t="s">
        <v>240</v>
      </c>
      <c r="DV622" s="5" t="s">
        <v>1415</v>
      </c>
      <c r="DW622" s="5" t="s">
        <v>804</v>
      </c>
      <c r="HO622" s="5" t="s">
        <v>312</v>
      </c>
    </row>
    <row r="623" spans="1:223" x14ac:dyDescent="0.4">
      <c r="A623" s="5">
        <v>1485</v>
      </c>
      <c r="B623" s="5">
        <v>1</v>
      </c>
      <c r="C623" s="5">
        <v>1</v>
      </c>
      <c r="D623" s="5" t="s">
        <v>723</v>
      </c>
      <c r="E623" s="5" t="s">
        <v>725</v>
      </c>
      <c r="F623" s="5" t="s">
        <v>254</v>
      </c>
      <c r="G623" s="5" t="s">
        <v>240</v>
      </c>
      <c r="H623" s="6" t="s">
        <v>996</v>
      </c>
      <c r="I623" s="5" t="s">
        <v>722</v>
      </c>
      <c r="J623" s="8">
        <f>389</f>
        <v>389</v>
      </c>
      <c r="K623" s="5" t="s">
        <v>308</v>
      </c>
      <c r="L623" s="7">
        <f>4279</f>
        <v>4279</v>
      </c>
      <c r="M623" s="7">
        <f>4279</f>
        <v>4279</v>
      </c>
      <c r="N623" s="5" t="s">
        <v>242</v>
      </c>
      <c r="O623" s="5">
        <v>1</v>
      </c>
      <c r="P623" s="5" t="s">
        <v>294</v>
      </c>
      <c r="Q623" s="5" t="s">
        <v>613</v>
      </c>
      <c r="R623" s="5" t="s">
        <v>240</v>
      </c>
      <c r="S623" s="5" t="s">
        <v>240</v>
      </c>
      <c r="T623" s="5" t="s">
        <v>243</v>
      </c>
      <c r="U623" s="5" t="s">
        <v>244</v>
      </c>
      <c r="V623" s="5" t="s">
        <v>240</v>
      </c>
      <c r="Y623" s="5" t="s">
        <v>240</v>
      </c>
      <c r="Z623" s="6" t="s">
        <v>298</v>
      </c>
      <c r="AB623" s="6" t="s">
        <v>240</v>
      </c>
      <c r="AE623" s="6" t="s">
        <v>299</v>
      </c>
      <c r="AF623" s="5" t="s">
        <v>248</v>
      </c>
      <c r="AG623" s="5" t="s">
        <v>249</v>
      </c>
      <c r="AW623" s="5" t="s">
        <v>251</v>
      </c>
      <c r="AX623" s="5" t="s">
        <v>240</v>
      </c>
      <c r="AY623" s="5" t="s">
        <v>253</v>
      </c>
      <c r="AZ623" s="5" t="s">
        <v>240</v>
      </c>
      <c r="BA623" s="5" t="s">
        <v>255</v>
      </c>
      <c r="BB623" s="5" t="s">
        <v>240</v>
      </c>
      <c r="BD623" s="5" t="s">
        <v>240</v>
      </c>
      <c r="BF623" s="5" t="s">
        <v>301</v>
      </c>
      <c r="BG623" s="6" t="s">
        <v>299</v>
      </c>
      <c r="BH623" s="5" t="s">
        <v>302</v>
      </c>
      <c r="BI623" s="5" t="s">
        <v>303</v>
      </c>
      <c r="BJ623" s="5" t="s">
        <v>240</v>
      </c>
      <c r="BK623" s="8">
        <f>0</f>
        <v>0</v>
      </c>
      <c r="BL623" s="7">
        <f>0</f>
        <v>0</v>
      </c>
      <c r="BM623" s="5" t="s">
        <v>258</v>
      </c>
      <c r="BN623" s="5" t="s">
        <v>259</v>
      </c>
      <c r="CB623" s="5" t="s">
        <v>240</v>
      </c>
      <c r="CC623" s="5" t="s">
        <v>240</v>
      </c>
      <c r="CG623" s="5" t="s">
        <v>617</v>
      </c>
      <c r="CH623" s="5" t="s">
        <v>305</v>
      </c>
      <c r="CI623" s="5" t="s">
        <v>240</v>
      </c>
      <c r="CL623" s="6" t="s">
        <v>261</v>
      </c>
      <c r="CM623" s="5" t="s">
        <v>240</v>
      </c>
      <c r="CN623" s="5" t="s">
        <v>263</v>
      </c>
      <c r="CO623" s="5" t="s">
        <v>240</v>
      </c>
      <c r="CP623" s="5" t="s">
        <v>240</v>
      </c>
      <c r="CQ623" s="5">
        <v>0</v>
      </c>
      <c r="CR623" s="5" t="s">
        <v>306</v>
      </c>
      <c r="CS623" s="5" t="s">
        <v>307</v>
      </c>
      <c r="CT623" s="5" t="s">
        <v>307</v>
      </c>
      <c r="CU623" s="5" t="s">
        <v>260</v>
      </c>
      <c r="CX623" s="7">
        <f>2775395</f>
        <v>2775395</v>
      </c>
      <c r="CY623" s="7">
        <f>0</f>
        <v>0</v>
      </c>
      <c r="DA623" s="7">
        <f>0</f>
        <v>0</v>
      </c>
      <c r="DC623" s="5" t="s">
        <v>689</v>
      </c>
      <c r="DD623" s="5" t="s">
        <v>240</v>
      </c>
      <c r="DF623" s="5" t="s">
        <v>689</v>
      </c>
      <c r="DG623" s="7">
        <f>1253</f>
        <v>1253</v>
      </c>
      <c r="DI623" s="5" t="s">
        <v>618</v>
      </c>
      <c r="DJ623" s="5" t="s">
        <v>240</v>
      </c>
      <c r="DK623" s="5" t="s">
        <v>240</v>
      </c>
      <c r="DL623" s="5" t="s">
        <v>240</v>
      </c>
      <c r="DP623" s="5" t="s">
        <v>240</v>
      </c>
      <c r="DQ623" s="5" t="s">
        <v>240</v>
      </c>
      <c r="DR623" s="5" t="s">
        <v>240</v>
      </c>
      <c r="DS623" s="5" t="s">
        <v>240</v>
      </c>
      <c r="DV623" s="5" t="s">
        <v>1415</v>
      </c>
      <c r="DW623" s="5" t="s">
        <v>808</v>
      </c>
      <c r="HO623" s="5" t="s">
        <v>312</v>
      </c>
    </row>
    <row r="624" spans="1:223" x14ac:dyDescent="0.4">
      <c r="A624" s="5">
        <v>1486</v>
      </c>
      <c r="B624" s="5">
        <v>1</v>
      </c>
      <c r="C624" s="5">
        <v>1</v>
      </c>
      <c r="D624" s="5" t="s">
        <v>723</v>
      </c>
      <c r="E624" s="5" t="s">
        <v>725</v>
      </c>
      <c r="F624" s="5" t="s">
        <v>254</v>
      </c>
      <c r="G624" s="5" t="s">
        <v>240</v>
      </c>
      <c r="H624" s="6" t="s">
        <v>995</v>
      </c>
      <c r="I624" s="5" t="s">
        <v>722</v>
      </c>
      <c r="J624" s="8">
        <f>1461</f>
        <v>1461</v>
      </c>
      <c r="K624" s="5" t="s">
        <v>308</v>
      </c>
      <c r="L624" s="7">
        <f>16071</f>
        <v>16071</v>
      </c>
      <c r="M624" s="7">
        <f>16071</f>
        <v>16071</v>
      </c>
      <c r="N624" s="5" t="s">
        <v>242</v>
      </c>
      <c r="O624" s="5">
        <v>1</v>
      </c>
      <c r="P624" s="5" t="s">
        <v>294</v>
      </c>
      <c r="Q624" s="5" t="s">
        <v>613</v>
      </c>
      <c r="R624" s="5" t="s">
        <v>240</v>
      </c>
      <c r="S624" s="5" t="s">
        <v>240</v>
      </c>
      <c r="T624" s="5" t="s">
        <v>243</v>
      </c>
      <c r="U624" s="5" t="s">
        <v>244</v>
      </c>
      <c r="V624" s="5" t="s">
        <v>240</v>
      </c>
      <c r="Y624" s="5" t="s">
        <v>240</v>
      </c>
      <c r="Z624" s="6" t="s">
        <v>298</v>
      </c>
      <c r="AB624" s="6" t="s">
        <v>240</v>
      </c>
      <c r="AE624" s="6" t="s">
        <v>299</v>
      </c>
      <c r="AF624" s="5" t="s">
        <v>248</v>
      </c>
      <c r="AG624" s="5" t="s">
        <v>249</v>
      </c>
      <c r="AW624" s="5" t="s">
        <v>251</v>
      </c>
      <c r="AX624" s="5" t="s">
        <v>240</v>
      </c>
      <c r="AY624" s="5" t="s">
        <v>253</v>
      </c>
      <c r="AZ624" s="5" t="s">
        <v>240</v>
      </c>
      <c r="BA624" s="5" t="s">
        <v>255</v>
      </c>
      <c r="BB624" s="5" t="s">
        <v>240</v>
      </c>
      <c r="BD624" s="5" t="s">
        <v>240</v>
      </c>
      <c r="BF624" s="5" t="s">
        <v>301</v>
      </c>
      <c r="BG624" s="6" t="s">
        <v>299</v>
      </c>
      <c r="BH624" s="5" t="s">
        <v>302</v>
      </c>
      <c r="BI624" s="5" t="s">
        <v>303</v>
      </c>
      <c r="BJ624" s="5" t="s">
        <v>240</v>
      </c>
      <c r="BK624" s="8">
        <f>0</f>
        <v>0</v>
      </c>
      <c r="BL624" s="7">
        <f>0</f>
        <v>0</v>
      </c>
      <c r="BM624" s="5" t="s">
        <v>258</v>
      </c>
      <c r="BN624" s="5" t="s">
        <v>259</v>
      </c>
      <c r="CB624" s="5" t="s">
        <v>240</v>
      </c>
      <c r="CC624" s="5" t="s">
        <v>240</v>
      </c>
      <c r="CG624" s="5" t="s">
        <v>617</v>
      </c>
      <c r="CH624" s="5" t="s">
        <v>305</v>
      </c>
      <c r="CI624" s="5" t="s">
        <v>240</v>
      </c>
      <c r="CL624" s="6" t="s">
        <v>261</v>
      </c>
      <c r="CM624" s="5" t="s">
        <v>240</v>
      </c>
      <c r="CN624" s="5" t="s">
        <v>263</v>
      </c>
      <c r="CO624" s="5" t="s">
        <v>240</v>
      </c>
      <c r="CP624" s="5" t="s">
        <v>240</v>
      </c>
      <c r="CQ624" s="5">
        <v>0</v>
      </c>
      <c r="CR624" s="5" t="s">
        <v>306</v>
      </c>
      <c r="CS624" s="5" t="s">
        <v>307</v>
      </c>
      <c r="CT624" s="5" t="s">
        <v>307</v>
      </c>
      <c r="CU624" s="5" t="s">
        <v>260</v>
      </c>
      <c r="CX624" s="7">
        <f>1120790</f>
        <v>1120790</v>
      </c>
      <c r="CY624" s="7">
        <f>0</f>
        <v>0</v>
      </c>
      <c r="DA624" s="7">
        <f>0</f>
        <v>0</v>
      </c>
      <c r="DC624" s="5" t="s">
        <v>689</v>
      </c>
      <c r="DD624" s="5" t="s">
        <v>240</v>
      </c>
      <c r="DF624" s="5" t="s">
        <v>689</v>
      </c>
      <c r="DG624" s="7">
        <f>506</f>
        <v>506</v>
      </c>
      <c r="DI624" s="5" t="s">
        <v>618</v>
      </c>
      <c r="DJ624" s="5" t="s">
        <v>240</v>
      </c>
      <c r="DK624" s="5" t="s">
        <v>240</v>
      </c>
      <c r="DL624" s="5" t="s">
        <v>240</v>
      </c>
      <c r="DP624" s="5" t="s">
        <v>240</v>
      </c>
      <c r="DQ624" s="5" t="s">
        <v>240</v>
      </c>
      <c r="DR624" s="5" t="s">
        <v>240</v>
      </c>
      <c r="DS624" s="5" t="s">
        <v>240</v>
      </c>
      <c r="DV624" s="5" t="s">
        <v>1415</v>
      </c>
      <c r="DW624" s="5" t="s">
        <v>1260</v>
      </c>
      <c r="HO624" s="5" t="s">
        <v>312</v>
      </c>
    </row>
    <row r="625" spans="1:240" x14ac:dyDescent="0.4">
      <c r="A625" s="5">
        <v>1487</v>
      </c>
      <c r="B625" s="5">
        <v>1</v>
      </c>
      <c r="C625" s="5">
        <v>1</v>
      </c>
      <c r="D625" s="5" t="s">
        <v>723</v>
      </c>
      <c r="E625" s="5" t="s">
        <v>725</v>
      </c>
      <c r="F625" s="5" t="s">
        <v>254</v>
      </c>
      <c r="G625" s="5" t="s">
        <v>240</v>
      </c>
      <c r="H625" s="6" t="s">
        <v>994</v>
      </c>
      <c r="I625" s="5" t="s">
        <v>722</v>
      </c>
      <c r="J625" s="8">
        <f>3338</f>
        <v>3338</v>
      </c>
      <c r="K625" s="5" t="s">
        <v>308</v>
      </c>
      <c r="L625" s="7">
        <f>36718</f>
        <v>36718</v>
      </c>
      <c r="M625" s="7">
        <f>36718</f>
        <v>36718</v>
      </c>
      <c r="N625" s="5" t="s">
        <v>242</v>
      </c>
      <c r="O625" s="5">
        <v>1</v>
      </c>
      <c r="P625" s="5" t="s">
        <v>294</v>
      </c>
      <c r="Q625" s="5" t="s">
        <v>613</v>
      </c>
      <c r="R625" s="5" t="s">
        <v>240</v>
      </c>
      <c r="S625" s="5" t="s">
        <v>240</v>
      </c>
      <c r="T625" s="5" t="s">
        <v>243</v>
      </c>
      <c r="U625" s="5" t="s">
        <v>244</v>
      </c>
      <c r="V625" s="5" t="s">
        <v>240</v>
      </c>
      <c r="Y625" s="5" t="s">
        <v>240</v>
      </c>
      <c r="Z625" s="6" t="s">
        <v>298</v>
      </c>
      <c r="AB625" s="6" t="s">
        <v>240</v>
      </c>
      <c r="AE625" s="6" t="s">
        <v>299</v>
      </c>
      <c r="AF625" s="5" t="s">
        <v>248</v>
      </c>
      <c r="AG625" s="5" t="s">
        <v>249</v>
      </c>
      <c r="AW625" s="5" t="s">
        <v>251</v>
      </c>
      <c r="AX625" s="5" t="s">
        <v>240</v>
      </c>
      <c r="AY625" s="5" t="s">
        <v>253</v>
      </c>
      <c r="AZ625" s="5" t="s">
        <v>240</v>
      </c>
      <c r="BA625" s="5" t="s">
        <v>255</v>
      </c>
      <c r="BB625" s="5" t="s">
        <v>240</v>
      </c>
      <c r="BD625" s="5" t="s">
        <v>240</v>
      </c>
      <c r="BF625" s="5" t="s">
        <v>301</v>
      </c>
      <c r="BG625" s="6" t="s">
        <v>299</v>
      </c>
      <c r="BH625" s="5" t="s">
        <v>302</v>
      </c>
      <c r="BI625" s="5" t="s">
        <v>303</v>
      </c>
      <c r="BJ625" s="5" t="s">
        <v>240</v>
      </c>
      <c r="BK625" s="8">
        <f>0</f>
        <v>0</v>
      </c>
      <c r="BL625" s="7">
        <f>0</f>
        <v>0</v>
      </c>
      <c r="BM625" s="5" t="s">
        <v>258</v>
      </c>
      <c r="BN625" s="5" t="s">
        <v>259</v>
      </c>
      <c r="CB625" s="5" t="s">
        <v>240</v>
      </c>
      <c r="CC625" s="5" t="s">
        <v>240</v>
      </c>
      <c r="CG625" s="5" t="s">
        <v>617</v>
      </c>
      <c r="CH625" s="5" t="s">
        <v>305</v>
      </c>
      <c r="CI625" s="5" t="s">
        <v>240</v>
      </c>
      <c r="CL625" s="6" t="s">
        <v>261</v>
      </c>
      <c r="CM625" s="5" t="s">
        <v>240</v>
      </c>
      <c r="CN625" s="5" t="s">
        <v>263</v>
      </c>
      <c r="CO625" s="5" t="s">
        <v>240</v>
      </c>
      <c r="CP625" s="5" t="s">
        <v>240</v>
      </c>
      <c r="CQ625" s="5">
        <v>0</v>
      </c>
      <c r="CR625" s="5" t="s">
        <v>306</v>
      </c>
      <c r="CS625" s="5" t="s">
        <v>307</v>
      </c>
      <c r="CT625" s="5" t="s">
        <v>307</v>
      </c>
      <c r="CU625" s="5" t="s">
        <v>260</v>
      </c>
      <c r="CX625" s="7">
        <f>3964850</f>
        <v>3964850</v>
      </c>
      <c r="CY625" s="7">
        <f>0</f>
        <v>0</v>
      </c>
      <c r="DA625" s="7">
        <f>0</f>
        <v>0</v>
      </c>
      <c r="DC625" s="5" t="s">
        <v>689</v>
      </c>
      <c r="DD625" s="5" t="s">
        <v>240</v>
      </c>
      <c r="DF625" s="5" t="s">
        <v>689</v>
      </c>
      <c r="DG625" s="7">
        <f>1790</f>
        <v>1790</v>
      </c>
      <c r="DI625" s="5" t="s">
        <v>618</v>
      </c>
      <c r="DJ625" s="5" t="s">
        <v>240</v>
      </c>
      <c r="DK625" s="5" t="s">
        <v>240</v>
      </c>
      <c r="DL625" s="5" t="s">
        <v>240</v>
      </c>
      <c r="DP625" s="5" t="s">
        <v>240</v>
      </c>
      <c r="DQ625" s="5" t="s">
        <v>240</v>
      </c>
      <c r="DR625" s="5" t="s">
        <v>240</v>
      </c>
      <c r="DS625" s="5" t="s">
        <v>240</v>
      </c>
      <c r="DV625" s="5" t="s">
        <v>1415</v>
      </c>
      <c r="DW625" s="5" t="s">
        <v>816</v>
      </c>
      <c r="HO625" s="5" t="s">
        <v>312</v>
      </c>
    </row>
    <row r="626" spans="1:240" x14ac:dyDescent="0.4">
      <c r="A626" s="5">
        <v>1488</v>
      </c>
      <c r="B626" s="5">
        <v>1</v>
      </c>
      <c r="C626" s="5">
        <v>1</v>
      </c>
      <c r="D626" s="5" t="s">
        <v>723</v>
      </c>
      <c r="E626" s="5" t="s">
        <v>725</v>
      </c>
      <c r="F626" s="5" t="s">
        <v>254</v>
      </c>
      <c r="G626" s="5" t="s">
        <v>240</v>
      </c>
      <c r="H626" s="6" t="s">
        <v>993</v>
      </c>
      <c r="I626" s="5" t="s">
        <v>722</v>
      </c>
      <c r="J626" s="8">
        <f>5925</f>
        <v>5925</v>
      </c>
      <c r="K626" s="5" t="s">
        <v>308</v>
      </c>
      <c r="L626" s="7">
        <f>65175</f>
        <v>65175</v>
      </c>
      <c r="M626" s="7">
        <f>65175</f>
        <v>65175</v>
      </c>
      <c r="N626" s="5" t="s">
        <v>242</v>
      </c>
      <c r="O626" s="5">
        <v>1</v>
      </c>
      <c r="P626" s="5" t="s">
        <v>294</v>
      </c>
      <c r="Q626" s="5" t="s">
        <v>613</v>
      </c>
      <c r="R626" s="5" t="s">
        <v>240</v>
      </c>
      <c r="S626" s="5" t="s">
        <v>240</v>
      </c>
      <c r="T626" s="5" t="s">
        <v>243</v>
      </c>
      <c r="U626" s="5" t="s">
        <v>244</v>
      </c>
      <c r="V626" s="5" t="s">
        <v>240</v>
      </c>
      <c r="Y626" s="5" t="s">
        <v>240</v>
      </c>
      <c r="Z626" s="6" t="s">
        <v>298</v>
      </c>
      <c r="AB626" s="6" t="s">
        <v>240</v>
      </c>
      <c r="AE626" s="6" t="s">
        <v>299</v>
      </c>
      <c r="AF626" s="5" t="s">
        <v>248</v>
      </c>
      <c r="AG626" s="5" t="s">
        <v>249</v>
      </c>
      <c r="AW626" s="5" t="s">
        <v>251</v>
      </c>
      <c r="AX626" s="5" t="s">
        <v>240</v>
      </c>
      <c r="AY626" s="5" t="s">
        <v>253</v>
      </c>
      <c r="AZ626" s="5" t="s">
        <v>240</v>
      </c>
      <c r="BA626" s="5" t="s">
        <v>255</v>
      </c>
      <c r="BB626" s="5" t="s">
        <v>240</v>
      </c>
      <c r="BD626" s="5" t="s">
        <v>240</v>
      </c>
      <c r="BF626" s="5" t="s">
        <v>301</v>
      </c>
      <c r="BG626" s="6" t="s">
        <v>299</v>
      </c>
      <c r="BH626" s="5" t="s">
        <v>302</v>
      </c>
      <c r="BI626" s="5" t="s">
        <v>303</v>
      </c>
      <c r="BJ626" s="5" t="s">
        <v>240</v>
      </c>
      <c r="BK626" s="8">
        <f>0</f>
        <v>0</v>
      </c>
      <c r="BL626" s="7">
        <f>0</f>
        <v>0</v>
      </c>
      <c r="BM626" s="5" t="s">
        <v>258</v>
      </c>
      <c r="BN626" s="5" t="s">
        <v>259</v>
      </c>
      <c r="CB626" s="5" t="s">
        <v>240</v>
      </c>
      <c r="CC626" s="5" t="s">
        <v>240</v>
      </c>
      <c r="CG626" s="5" t="s">
        <v>617</v>
      </c>
      <c r="CH626" s="5" t="s">
        <v>305</v>
      </c>
      <c r="CI626" s="5" t="s">
        <v>240</v>
      </c>
      <c r="CL626" s="6" t="s">
        <v>261</v>
      </c>
      <c r="CM626" s="5" t="s">
        <v>240</v>
      </c>
      <c r="CN626" s="5" t="s">
        <v>263</v>
      </c>
      <c r="CO626" s="5" t="s">
        <v>240</v>
      </c>
      <c r="CP626" s="5" t="s">
        <v>240</v>
      </c>
      <c r="CQ626" s="5">
        <v>0</v>
      </c>
      <c r="CR626" s="5" t="s">
        <v>306</v>
      </c>
      <c r="CS626" s="5" t="s">
        <v>307</v>
      </c>
      <c r="CT626" s="5" t="s">
        <v>307</v>
      </c>
      <c r="CU626" s="5" t="s">
        <v>260</v>
      </c>
      <c r="CX626" s="7">
        <f>3874035</f>
        <v>3874035</v>
      </c>
      <c r="CY626" s="7">
        <f>0</f>
        <v>0</v>
      </c>
      <c r="DA626" s="7">
        <f>0</f>
        <v>0</v>
      </c>
      <c r="DC626" s="5" t="s">
        <v>689</v>
      </c>
      <c r="DD626" s="5" t="s">
        <v>240</v>
      </c>
      <c r="DF626" s="5" t="s">
        <v>689</v>
      </c>
      <c r="DG626" s="7">
        <f>1749</f>
        <v>1749</v>
      </c>
      <c r="DI626" s="5" t="s">
        <v>618</v>
      </c>
      <c r="DJ626" s="5" t="s">
        <v>240</v>
      </c>
      <c r="DK626" s="5" t="s">
        <v>240</v>
      </c>
      <c r="DL626" s="5" t="s">
        <v>240</v>
      </c>
      <c r="DP626" s="5" t="s">
        <v>240</v>
      </c>
      <c r="DQ626" s="5" t="s">
        <v>240</v>
      </c>
      <c r="DR626" s="5" t="s">
        <v>240</v>
      </c>
      <c r="DS626" s="5" t="s">
        <v>240</v>
      </c>
      <c r="DV626" s="5" t="s">
        <v>1415</v>
      </c>
      <c r="DW626" s="5" t="s">
        <v>818</v>
      </c>
      <c r="HO626" s="5" t="s">
        <v>312</v>
      </c>
    </row>
    <row r="627" spans="1:240" x14ac:dyDescent="0.4">
      <c r="A627" s="5">
        <v>1489</v>
      </c>
      <c r="B627" s="5">
        <v>1</v>
      </c>
      <c r="C627" s="5">
        <v>1</v>
      </c>
      <c r="D627" s="5" t="s">
        <v>723</v>
      </c>
      <c r="E627" s="5" t="s">
        <v>725</v>
      </c>
      <c r="F627" s="5" t="s">
        <v>254</v>
      </c>
      <c r="G627" s="5" t="s">
        <v>240</v>
      </c>
      <c r="H627" s="6" t="s">
        <v>992</v>
      </c>
      <c r="I627" s="5" t="s">
        <v>722</v>
      </c>
      <c r="J627" s="8">
        <f>280</f>
        <v>280</v>
      </c>
      <c r="K627" s="5" t="s">
        <v>308</v>
      </c>
      <c r="L627" s="7">
        <f>3080</f>
        <v>3080</v>
      </c>
      <c r="M627" s="7">
        <f>3080</f>
        <v>3080</v>
      </c>
      <c r="N627" s="5" t="s">
        <v>242</v>
      </c>
      <c r="O627" s="5">
        <v>1</v>
      </c>
      <c r="P627" s="5" t="s">
        <v>294</v>
      </c>
      <c r="Q627" s="5" t="s">
        <v>613</v>
      </c>
      <c r="R627" s="5" t="s">
        <v>240</v>
      </c>
      <c r="S627" s="5" t="s">
        <v>240</v>
      </c>
      <c r="T627" s="5" t="s">
        <v>243</v>
      </c>
      <c r="U627" s="5" t="s">
        <v>244</v>
      </c>
      <c r="V627" s="5" t="s">
        <v>240</v>
      </c>
      <c r="Y627" s="5" t="s">
        <v>240</v>
      </c>
      <c r="Z627" s="6" t="s">
        <v>298</v>
      </c>
      <c r="AB627" s="6" t="s">
        <v>240</v>
      </c>
      <c r="AE627" s="6" t="s">
        <v>299</v>
      </c>
      <c r="AF627" s="5" t="s">
        <v>248</v>
      </c>
      <c r="AG627" s="5" t="s">
        <v>249</v>
      </c>
      <c r="AW627" s="5" t="s">
        <v>251</v>
      </c>
      <c r="AX627" s="5" t="s">
        <v>240</v>
      </c>
      <c r="AY627" s="5" t="s">
        <v>253</v>
      </c>
      <c r="AZ627" s="5" t="s">
        <v>240</v>
      </c>
      <c r="BA627" s="5" t="s">
        <v>255</v>
      </c>
      <c r="BB627" s="5" t="s">
        <v>240</v>
      </c>
      <c r="BD627" s="5" t="s">
        <v>240</v>
      </c>
      <c r="BF627" s="5" t="s">
        <v>301</v>
      </c>
      <c r="BG627" s="6" t="s">
        <v>299</v>
      </c>
      <c r="BH627" s="5" t="s">
        <v>302</v>
      </c>
      <c r="BI627" s="5" t="s">
        <v>303</v>
      </c>
      <c r="BJ627" s="5" t="s">
        <v>240</v>
      </c>
      <c r="BK627" s="8">
        <f>0</f>
        <v>0</v>
      </c>
      <c r="BL627" s="7">
        <f>0</f>
        <v>0</v>
      </c>
      <c r="BM627" s="5" t="s">
        <v>258</v>
      </c>
      <c r="BN627" s="5" t="s">
        <v>259</v>
      </c>
      <c r="CB627" s="5" t="s">
        <v>240</v>
      </c>
      <c r="CC627" s="5" t="s">
        <v>240</v>
      </c>
      <c r="CG627" s="5" t="s">
        <v>617</v>
      </c>
      <c r="CH627" s="5" t="s">
        <v>305</v>
      </c>
      <c r="CI627" s="5" t="s">
        <v>240</v>
      </c>
      <c r="CL627" s="6" t="s">
        <v>261</v>
      </c>
      <c r="CM627" s="5" t="s">
        <v>240</v>
      </c>
      <c r="CN627" s="5" t="s">
        <v>263</v>
      </c>
      <c r="CO627" s="5" t="s">
        <v>240</v>
      </c>
      <c r="CP627" s="5" t="s">
        <v>240</v>
      </c>
      <c r="CQ627" s="5">
        <v>0</v>
      </c>
      <c r="CR627" s="5" t="s">
        <v>306</v>
      </c>
      <c r="CS627" s="5" t="s">
        <v>307</v>
      </c>
      <c r="CT627" s="5" t="s">
        <v>307</v>
      </c>
      <c r="CU627" s="5" t="s">
        <v>260</v>
      </c>
      <c r="CX627" s="7">
        <f>3612665</f>
        <v>3612665</v>
      </c>
      <c r="CY627" s="7">
        <f>0</f>
        <v>0</v>
      </c>
      <c r="DA627" s="7">
        <f>0</f>
        <v>0</v>
      </c>
      <c r="DC627" s="5" t="s">
        <v>689</v>
      </c>
      <c r="DD627" s="5" t="s">
        <v>240</v>
      </c>
      <c r="DF627" s="5" t="s">
        <v>689</v>
      </c>
      <c r="DG627" s="7">
        <f>1631</f>
        <v>1631</v>
      </c>
      <c r="DI627" s="5" t="s">
        <v>618</v>
      </c>
      <c r="DJ627" s="5" t="s">
        <v>240</v>
      </c>
      <c r="DK627" s="5" t="s">
        <v>240</v>
      </c>
      <c r="DL627" s="5" t="s">
        <v>240</v>
      </c>
      <c r="DP627" s="5" t="s">
        <v>240</v>
      </c>
      <c r="DQ627" s="5" t="s">
        <v>240</v>
      </c>
      <c r="DR627" s="5" t="s">
        <v>240</v>
      </c>
      <c r="DS627" s="5" t="s">
        <v>240</v>
      </c>
      <c r="DV627" s="5" t="s">
        <v>1415</v>
      </c>
      <c r="DW627" s="5" t="s">
        <v>820</v>
      </c>
      <c r="HO627" s="5" t="s">
        <v>312</v>
      </c>
    </row>
    <row r="628" spans="1:240" x14ac:dyDescent="0.4">
      <c r="A628" s="5">
        <v>1490</v>
      </c>
      <c r="B628" s="5">
        <v>1</v>
      </c>
      <c r="C628" s="5">
        <v>1</v>
      </c>
      <c r="D628" s="5" t="s">
        <v>723</v>
      </c>
      <c r="E628" s="5" t="s">
        <v>725</v>
      </c>
      <c r="F628" s="5" t="s">
        <v>254</v>
      </c>
      <c r="G628" s="5" t="s">
        <v>240</v>
      </c>
      <c r="H628" s="6" t="s">
        <v>4267</v>
      </c>
      <c r="I628" s="5" t="s">
        <v>722</v>
      </c>
      <c r="J628" s="8">
        <f>496</f>
        <v>496</v>
      </c>
      <c r="K628" s="5" t="s">
        <v>308</v>
      </c>
      <c r="L628" s="7">
        <f>5456</f>
        <v>5456</v>
      </c>
      <c r="M628" s="7">
        <f>5456</f>
        <v>5456</v>
      </c>
      <c r="N628" s="5" t="s">
        <v>242</v>
      </c>
      <c r="O628" s="5">
        <v>1</v>
      </c>
      <c r="P628" s="5" t="s">
        <v>294</v>
      </c>
      <c r="Q628" s="5" t="s">
        <v>613</v>
      </c>
      <c r="R628" s="5" t="s">
        <v>240</v>
      </c>
      <c r="S628" s="5" t="s">
        <v>240</v>
      </c>
      <c r="T628" s="5" t="s">
        <v>243</v>
      </c>
      <c r="U628" s="5" t="s">
        <v>244</v>
      </c>
      <c r="V628" s="5" t="s">
        <v>240</v>
      </c>
      <c r="Y628" s="5" t="s">
        <v>240</v>
      </c>
      <c r="Z628" s="6" t="s">
        <v>298</v>
      </c>
      <c r="AB628" s="6" t="s">
        <v>240</v>
      </c>
      <c r="AE628" s="6" t="s">
        <v>299</v>
      </c>
      <c r="AF628" s="5" t="s">
        <v>248</v>
      </c>
      <c r="AG628" s="5" t="s">
        <v>249</v>
      </c>
      <c r="AW628" s="5" t="s">
        <v>251</v>
      </c>
      <c r="AX628" s="5" t="s">
        <v>240</v>
      </c>
      <c r="AY628" s="5" t="s">
        <v>253</v>
      </c>
      <c r="AZ628" s="5" t="s">
        <v>240</v>
      </c>
      <c r="BA628" s="5" t="s">
        <v>255</v>
      </c>
      <c r="BB628" s="5" t="s">
        <v>240</v>
      </c>
      <c r="BD628" s="5" t="s">
        <v>240</v>
      </c>
      <c r="BF628" s="5" t="s">
        <v>301</v>
      </c>
      <c r="BG628" s="6" t="s">
        <v>299</v>
      </c>
      <c r="BH628" s="5" t="s">
        <v>302</v>
      </c>
      <c r="BI628" s="5" t="s">
        <v>303</v>
      </c>
      <c r="BJ628" s="5" t="s">
        <v>240</v>
      </c>
      <c r="BK628" s="8">
        <f>0</f>
        <v>0</v>
      </c>
      <c r="BL628" s="7">
        <f>0</f>
        <v>0</v>
      </c>
      <c r="BM628" s="5" t="s">
        <v>258</v>
      </c>
      <c r="BN628" s="5" t="s">
        <v>259</v>
      </c>
      <c r="CB628" s="5" t="s">
        <v>240</v>
      </c>
      <c r="CC628" s="5" t="s">
        <v>240</v>
      </c>
      <c r="CG628" s="5" t="s">
        <v>617</v>
      </c>
      <c r="CH628" s="5" t="s">
        <v>305</v>
      </c>
      <c r="CI628" s="5" t="s">
        <v>240</v>
      </c>
      <c r="CL628" s="6" t="s">
        <v>261</v>
      </c>
      <c r="CM628" s="5" t="s">
        <v>240</v>
      </c>
      <c r="CN628" s="5" t="s">
        <v>263</v>
      </c>
      <c r="CO628" s="5" t="s">
        <v>240</v>
      </c>
      <c r="CP628" s="5" t="s">
        <v>240</v>
      </c>
      <c r="CQ628" s="5">
        <v>0</v>
      </c>
      <c r="CR628" s="5" t="s">
        <v>306</v>
      </c>
      <c r="CS628" s="5" t="s">
        <v>307</v>
      </c>
      <c r="CT628" s="5" t="s">
        <v>307</v>
      </c>
      <c r="CU628" s="5" t="s">
        <v>260</v>
      </c>
      <c r="CX628" s="7">
        <f>3163020</f>
        <v>3163020</v>
      </c>
      <c r="CY628" s="7">
        <f>0</f>
        <v>0</v>
      </c>
      <c r="DA628" s="7">
        <f>0</f>
        <v>0</v>
      </c>
      <c r="DC628" s="5" t="s">
        <v>689</v>
      </c>
      <c r="DD628" s="5" t="s">
        <v>240</v>
      </c>
      <c r="DF628" s="5" t="s">
        <v>689</v>
      </c>
      <c r="DG628" s="7">
        <f>1428</f>
        <v>1428</v>
      </c>
      <c r="DI628" s="5" t="s">
        <v>618</v>
      </c>
      <c r="DJ628" s="5" t="s">
        <v>240</v>
      </c>
      <c r="DK628" s="5" t="s">
        <v>240</v>
      </c>
      <c r="DL628" s="5" t="s">
        <v>240</v>
      </c>
      <c r="DP628" s="5" t="s">
        <v>240</v>
      </c>
      <c r="DQ628" s="5" t="s">
        <v>240</v>
      </c>
      <c r="DR628" s="5" t="s">
        <v>240</v>
      </c>
      <c r="DS628" s="5" t="s">
        <v>240</v>
      </c>
      <c r="DV628" s="5" t="s">
        <v>1415</v>
      </c>
      <c r="DW628" s="5" t="s">
        <v>691</v>
      </c>
      <c r="HO628" s="5" t="s">
        <v>312</v>
      </c>
    </row>
    <row r="629" spans="1:240" x14ac:dyDescent="0.4">
      <c r="A629" s="5">
        <v>1491</v>
      </c>
      <c r="B629" s="5">
        <v>1</v>
      </c>
      <c r="C629" s="5">
        <v>1</v>
      </c>
      <c r="D629" s="5" t="s">
        <v>723</v>
      </c>
      <c r="E629" s="5" t="s">
        <v>725</v>
      </c>
      <c r="F629" s="5" t="s">
        <v>254</v>
      </c>
      <c r="G629" s="5" t="s">
        <v>240</v>
      </c>
      <c r="H629" s="6" t="s">
        <v>989</v>
      </c>
      <c r="I629" s="5" t="s">
        <v>722</v>
      </c>
      <c r="J629" s="8">
        <f>6188</f>
        <v>6188</v>
      </c>
      <c r="K629" s="5" t="s">
        <v>308</v>
      </c>
      <c r="L629" s="7">
        <f>68068</f>
        <v>68068</v>
      </c>
      <c r="M629" s="7">
        <f>68068</f>
        <v>68068</v>
      </c>
      <c r="N629" s="5" t="s">
        <v>242</v>
      </c>
      <c r="O629" s="5">
        <v>1</v>
      </c>
      <c r="P629" s="5" t="s">
        <v>294</v>
      </c>
      <c r="Q629" s="5" t="s">
        <v>613</v>
      </c>
      <c r="R629" s="5" t="s">
        <v>240</v>
      </c>
      <c r="S629" s="5" t="s">
        <v>240</v>
      </c>
      <c r="T629" s="5" t="s">
        <v>243</v>
      </c>
      <c r="U629" s="5" t="s">
        <v>244</v>
      </c>
      <c r="V629" s="5" t="s">
        <v>240</v>
      </c>
      <c r="Y629" s="5" t="s">
        <v>240</v>
      </c>
      <c r="Z629" s="6" t="s">
        <v>298</v>
      </c>
      <c r="AB629" s="6" t="s">
        <v>240</v>
      </c>
      <c r="AE629" s="6" t="s">
        <v>299</v>
      </c>
      <c r="AF629" s="5" t="s">
        <v>248</v>
      </c>
      <c r="AG629" s="5" t="s">
        <v>249</v>
      </c>
      <c r="AW629" s="5" t="s">
        <v>251</v>
      </c>
      <c r="AX629" s="5" t="s">
        <v>240</v>
      </c>
      <c r="AY629" s="5" t="s">
        <v>253</v>
      </c>
      <c r="AZ629" s="5" t="s">
        <v>240</v>
      </c>
      <c r="BA629" s="5" t="s">
        <v>255</v>
      </c>
      <c r="BB629" s="5" t="s">
        <v>240</v>
      </c>
      <c r="BD629" s="5" t="s">
        <v>240</v>
      </c>
      <c r="BF629" s="5" t="s">
        <v>301</v>
      </c>
      <c r="BG629" s="6" t="s">
        <v>299</v>
      </c>
      <c r="BH629" s="5" t="s">
        <v>302</v>
      </c>
      <c r="BI629" s="5" t="s">
        <v>303</v>
      </c>
      <c r="BJ629" s="5" t="s">
        <v>240</v>
      </c>
      <c r="BK629" s="8">
        <f>0</f>
        <v>0</v>
      </c>
      <c r="BL629" s="7">
        <f>0</f>
        <v>0</v>
      </c>
      <c r="BM629" s="5" t="s">
        <v>258</v>
      </c>
      <c r="BN629" s="5" t="s">
        <v>259</v>
      </c>
      <c r="CB629" s="5" t="s">
        <v>240</v>
      </c>
      <c r="CC629" s="5" t="s">
        <v>240</v>
      </c>
      <c r="CG629" s="5" t="s">
        <v>617</v>
      </c>
      <c r="CH629" s="5" t="s">
        <v>305</v>
      </c>
      <c r="CI629" s="5" t="s">
        <v>240</v>
      </c>
      <c r="CL629" s="6" t="s">
        <v>261</v>
      </c>
      <c r="CM629" s="5" t="s">
        <v>240</v>
      </c>
      <c r="CN629" s="5" t="s">
        <v>263</v>
      </c>
      <c r="CO629" s="5" t="s">
        <v>240</v>
      </c>
      <c r="CP629" s="5" t="s">
        <v>240</v>
      </c>
      <c r="CQ629" s="5">
        <v>0</v>
      </c>
      <c r="CR629" s="5" t="s">
        <v>306</v>
      </c>
      <c r="CS629" s="5" t="s">
        <v>307</v>
      </c>
      <c r="CT629" s="5" t="s">
        <v>307</v>
      </c>
      <c r="CU629" s="5" t="s">
        <v>260</v>
      </c>
      <c r="CX629" s="7">
        <f>2600410</f>
        <v>2600410</v>
      </c>
      <c r="CY629" s="7">
        <f>0</f>
        <v>0</v>
      </c>
      <c r="DA629" s="7">
        <f>0</f>
        <v>0</v>
      </c>
      <c r="DC629" s="5" t="s">
        <v>689</v>
      </c>
      <c r="DD629" s="5" t="s">
        <v>240</v>
      </c>
      <c r="DF629" s="5" t="s">
        <v>689</v>
      </c>
      <c r="DG629" s="7">
        <f>1174</f>
        <v>1174</v>
      </c>
      <c r="DI629" s="5" t="s">
        <v>618</v>
      </c>
      <c r="DJ629" s="5" t="s">
        <v>240</v>
      </c>
      <c r="DK629" s="5" t="s">
        <v>240</v>
      </c>
      <c r="DL629" s="5" t="s">
        <v>240</v>
      </c>
      <c r="DP629" s="5" t="s">
        <v>240</v>
      </c>
      <c r="DQ629" s="5" t="s">
        <v>240</v>
      </c>
      <c r="DR629" s="5" t="s">
        <v>240</v>
      </c>
      <c r="DS629" s="5" t="s">
        <v>240</v>
      </c>
      <c r="DV629" s="5" t="s">
        <v>1415</v>
      </c>
      <c r="DW629" s="5" t="s">
        <v>620</v>
      </c>
      <c r="HO629" s="5" t="s">
        <v>312</v>
      </c>
    </row>
    <row r="630" spans="1:240" x14ac:dyDescent="0.4">
      <c r="A630" s="5">
        <v>1492</v>
      </c>
      <c r="B630" s="5">
        <v>1</v>
      </c>
      <c r="C630" s="5">
        <v>1</v>
      </c>
      <c r="D630" s="5" t="s">
        <v>723</v>
      </c>
      <c r="E630" s="5" t="s">
        <v>725</v>
      </c>
      <c r="F630" s="5" t="s">
        <v>254</v>
      </c>
      <c r="G630" s="5" t="s">
        <v>240</v>
      </c>
      <c r="H630" s="6" t="s">
        <v>988</v>
      </c>
      <c r="I630" s="5" t="s">
        <v>722</v>
      </c>
      <c r="J630" s="8">
        <f>558</f>
        <v>558</v>
      </c>
      <c r="K630" s="5" t="s">
        <v>308</v>
      </c>
      <c r="L630" s="7">
        <f>6138</f>
        <v>6138</v>
      </c>
      <c r="M630" s="7">
        <f>6138</f>
        <v>6138</v>
      </c>
      <c r="N630" s="5" t="s">
        <v>242</v>
      </c>
      <c r="O630" s="5">
        <v>1</v>
      </c>
      <c r="P630" s="5" t="s">
        <v>294</v>
      </c>
      <c r="Q630" s="5" t="s">
        <v>613</v>
      </c>
      <c r="R630" s="5" t="s">
        <v>240</v>
      </c>
      <c r="S630" s="5" t="s">
        <v>240</v>
      </c>
      <c r="T630" s="5" t="s">
        <v>243</v>
      </c>
      <c r="U630" s="5" t="s">
        <v>724</v>
      </c>
      <c r="V630" s="5" t="s">
        <v>240</v>
      </c>
      <c r="W630" s="5" t="s">
        <v>240</v>
      </c>
      <c r="X630" s="5" t="s">
        <v>240</v>
      </c>
      <c r="Y630" s="5" t="s">
        <v>240</v>
      </c>
      <c r="Z630" s="6" t="s">
        <v>298</v>
      </c>
      <c r="AA630" s="6" t="s">
        <v>240</v>
      </c>
      <c r="AB630" s="6" t="s">
        <v>240</v>
      </c>
      <c r="AC630" s="5" t="s">
        <v>240</v>
      </c>
      <c r="AD630" s="6" t="s">
        <v>240</v>
      </c>
      <c r="AE630" s="6" t="s">
        <v>299</v>
      </c>
      <c r="AF630" s="5" t="s">
        <v>727</v>
      </c>
      <c r="AG630" s="5" t="s">
        <v>260</v>
      </c>
      <c r="AH630" s="5" t="s">
        <v>240</v>
      </c>
      <c r="AI630" s="5" t="s">
        <v>240</v>
      </c>
      <c r="AJ630" s="5" t="s">
        <v>240</v>
      </c>
      <c r="AK630" s="5" t="s">
        <v>240</v>
      </c>
      <c r="AL630" s="5" t="s">
        <v>240</v>
      </c>
      <c r="AM630" s="5" t="s">
        <v>240</v>
      </c>
      <c r="AN630" s="5" t="s">
        <v>240</v>
      </c>
      <c r="AO630" s="5" t="s">
        <v>240</v>
      </c>
      <c r="AP630" s="6" t="s">
        <v>240</v>
      </c>
      <c r="AQ630" s="6" t="s">
        <v>240</v>
      </c>
      <c r="AR630" s="6" t="s">
        <v>240</v>
      </c>
      <c r="AS630" s="6" t="s">
        <v>240</v>
      </c>
      <c r="AT630" s="5" t="s">
        <v>240</v>
      </c>
      <c r="AU630" s="5" t="s">
        <v>729</v>
      </c>
      <c r="AV630" s="5" t="s">
        <v>729</v>
      </c>
      <c r="AW630" s="5" t="s">
        <v>251</v>
      </c>
      <c r="AX630" s="5" t="s">
        <v>252</v>
      </c>
      <c r="AY630" s="5" t="s">
        <v>253</v>
      </c>
      <c r="AZ630" s="5" t="s">
        <v>240</v>
      </c>
      <c r="BA630" s="5" t="s">
        <v>255</v>
      </c>
      <c r="BB630" s="5" t="s">
        <v>731</v>
      </c>
      <c r="BD630" s="5" t="s">
        <v>240</v>
      </c>
      <c r="BF630" s="5" t="s">
        <v>732</v>
      </c>
      <c r="BG630" s="6" t="s">
        <v>733</v>
      </c>
      <c r="BH630" s="5" t="s">
        <v>734</v>
      </c>
      <c r="BI630" s="5" t="s">
        <v>734</v>
      </c>
      <c r="BJ630" s="5" t="s">
        <v>240</v>
      </c>
      <c r="BK630" s="8">
        <f>91</f>
        <v>91</v>
      </c>
      <c r="BL630" s="7">
        <f>0</f>
        <v>0</v>
      </c>
      <c r="BM630" s="5" t="s">
        <v>258</v>
      </c>
      <c r="BN630" s="5" t="s">
        <v>259</v>
      </c>
      <c r="BO630" s="5" t="s">
        <v>240</v>
      </c>
      <c r="BP630" s="5" t="s">
        <v>240</v>
      </c>
      <c r="BQ630" s="5" t="s">
        <v>240</v>
      </c>
      <c r="BR630" s="5" t="s">
        <v>240</v>
      </c>
      <c r="BS630" s="5" t="s">
        <v>240</v>
      </c>
      <c r="BT630" s="5" t="s">
        <v>240</v>
      </c>
      <c r="BU630" s="5" t="s">
        <v>240</v>
      </c>
      <c r="BV630" s="5" t="s">
        <v>240</v>
      </c>
      <c r="BW630" s="6" t="s">
        <v>240</v>
      </c>
      <c r="BX630" s="5" t="s">
        <v>240</v>
      </c>
      <c r="BY630" s="5" t="s">
        <v>240</v>
      </c>
      <c r="BZ630" s="5" t="s">
        <v>240</v>
      </c>
      <c r="CA630" s="5" t="s">
        <v>259</v>
      </c>
      <c r="CB630" s="5" t="s">
        <v>240</v>
      </c>
      <c r="CC630" s="5" t="s">
        <v>240</v>
      </c>
      <c r="CD630" s="5" t="s">
        <v>240</v>
      </c>
      <c r="CE630" s="5" t="s">
        <v>240</v>
      </c>
      <c r="CF630" s="5" t="s">
        <v>240</v>
      </c>
      <c r="CG630" s="5" t="s">
        <v>617</v>
      </c>
      <c r="CH630" s="5" t="s">
        <v>305</v>
      </c>
      <c r="CI630" s="5" t="s">
        <v>240</v>
      </c>
      <c r="CL630" s="6" t="s">
        <v>261</v>
      </c>
      <c r="CM630" s="5" t="s">
        <v>262</v>
      </c>
      <c r="CN630" s="5" t="s">
        <v>263</v>
      </c>
      <c r="CO630" s="5" t="s">
        <v>264</v>
      </c>
      <c r="CP630" s="5" t="s">
        <v>240</v>
      </c>
      <c r="CQ630" s="5">
        <v>0</v>
      </c>
      <c r="CR630" s="5" t="s">
        <v>735</v>
      </c>
      <c r="CS630" s="5" t="s">
        <v>307</v>
      </c>
      <c r="CT630" s="5" t="s">
        <v>307</v>
      </c>
      <c r="CU630" s="5" t="s">
        <v>260</v>
      </c>
      <c r="CV630" s="5" t="s">
        <v>240</v>
      </c>
      <c r="CW630" s="8">
        <f>0</f>
        <v>0</v>
      </c>
      <c r="CX630" s="7">
        <f>0</f>
        <v>0</v>
      </c>
      <c r="CY630" s="7">
        <f>0</f>
        <v>0</v>
      </c>
      <c r="DA630" s="7">
        <f>1001</f>
        <v>1001</v>
      </c>
      <c r="DB630" s="7" t="s">
        <v>240</v>
      </c>
      <c r="DC630" s="5" t="s">
        <v>240</v>
      </c>
      <c r="DD630" s="5" t="s">
        <v>240</v>
      </c>
      <c r="DE630" s="5" t="s">
        <v>240</v>
      </c>
      <c r="DF630" s="5" t="s">
        <v>450</v>
      </c>
      <c r="DG630" s="7">
        <f>0</f>
        <v>0</v>
      </c>
      <c r="DI630" s="5" t="s">
        <v>737</v>
      </c>
      <c r="DJ630" s="5" t="s">
        <v>240</v>
      </c>
      <c r="DK630" s="5" t="s">
        <v>240</v>
      </c>
      <c r="DL630" s="5" t="s">
        <v>240</v>
      </c>
      <c r="DM630" s="5" t="s">
        <v>240</v>
      </c>
      <c r="DN630" s="5" t="s">
        <v>240</v>
      </c>
      <c r="DO630" s="7" t="s">
        <v>240</v>
      </c>
      <c r="DP630" s="5" t="s">
        <v>240</v>
      </c>
      <c r="DQ630" s="5" t="s">
        <v>240</v>
      </c>
      <c r="DR630" s="5" t="s">
        <v>731</v>
      </c>
      <c r="DS630" s="5" t="s">
        <v>731</v>
      </c>
      <c r="DT630" s="5" t="s">
        <v>240</v>
      </c>
      <c r="DU630" s="5" t="s">
        <v>240</v>
      </c>
      <c r="DV630" s="5" t="s">
        <v>738</v>
      </c>
      <c r="DW630" s="5" t="s">
        <v>524</v>
      </c>
      <c r="DX630" s="5" t="s">
        <v>240</v>
      </c>
      <c r="DY630" s="5" t="s">
        <v>240</v>
      </c>
      <c r="DZ630" s="5" t="s">
        <v>240</v>
      </c>
      <c r="EA630" s="5" t="s">
        <v>240</v>
      </c>
      <c r="EB630" s="5" t="s">
        <v>240</v>
      </c>
      <c r="EC630" s="5" t="s">
        <v>240</v>
      </c>
      <c r="ED630" s="5" t="s">
        <v>240</v>
      </c>
      <c r="EE630" s="5" t="s">
        <v>240</v>
      </c>
      <c r="EF630" s="5" t="s">
        <v>240</v>
      </c>
      <c r="EG630" s="5" t="s">
        <v>240</v>
      </c>
      <c r="EH630" s="5" t="s">
        <v>240</v>
      </c>
      <c r="EI630" s="5" t="s">
        <v>240</v>
      </c>
      <c r="EJ630" s="5" t="s">
        <v>240</v>
      </c>
      <c r="EK630" s="5" t="s">
        <v>240</v>
      </c>
      <c r="EL630" s="5" t="s">
        <v>240</v>
      </c>
      <c r="EM630" s="5" t="s">
        <v>240</v>
      </c>
      <c r="EN630" s="5" t="s">
        <v>240</v>
      </c>
      <c r="EO630" s="5" t="s">
        <v>240</v>
      </c>
      <c r="EP630" s="5" t="s">
        <v>240</v>
      </c>
      <c r="EQ630" s="5" t="s">
        <v>240</v>
      </c>
      <c r="ER630" s="5" t="s">
        <v>240</v>
      </c>
      <c r="ES630" s="5" t="s">
        <v>240</v>
      </c>
      <c r="ET630" s="5" t="s">
        <v>240</v>
      </c>
      <c r="EU630" s="5" t="s">
        <v>240</v>
      </c>
      <c r="EV630" s="5" t="s">
        <v>240</v>
      </c>
      <c r="EW630" s="5" t="s">
        <v>240</v>
      </c>
      <c r="EX630" s="5" t="s">
        <v>240</v>
      </c>
      <c r="EY630" s="5" t="s">
        <v>240</v>
      </c>
      <c r="EZ630" s="5" t="s">
        <v>240</v>
      </c>
      <c r="FA630" s="5" t="s">
        <v>240</v>
      </c>
      <c r="FB630" s="5" t="s">
        <v>240</v>
      </c>
      <c r="FC630" s="5" t="s">
        <v>240</v>
      </c>
      <c r="FD630" s="5" t="s">
        <v>240</v>
      </c>
      <c r="FE630" s="5" t="s">
        <v>240</v>
      </c>
      <c r="FF630" s="5" t="s">
        <v>240</v>
      </c>
      <c r="FG630" s="5" t="s">
        <v>240</v>
      </c>
      <c r="FH630" s="5" t="s">
        <v>240</v>
      </c>
      <c r="FI630" s="5" t="s">
        <v>240</v>
      </c>
      <c r="FJ630" s="5" t="s">
        <v>240</v>
      </c>
      <c r="FK630" s="5" t="s">
        <v>240</v>
      </c>
      <c r="FL630" s="5" t="s">
        <v>240</v>
      </c>
      <c r="FM630" s="5" t="s">
        <v>240</v>
      </c>
      <c r="FN630" s="5" t="s">
        <v>240</v>
      </c>
      <c r="FO630" s="5" t="s">
        <v>240</v>
      </c>
      <c r="FP630" s="5" t="s">
        <v>240</v>
      </c>
      <c r="FQ630" s="5" t="s">
        <v>240</v>
      </c>
      <c r="FR630" s="5" t="s">
        <v>240</v>
      </c>
      <c r="FS630" s="5" t="s">
        <v>240</v>
      </c>
      <c r="FT630" s="5" t="s">
        <v>240</v>
      </c>
      <c r="FU630" s="5" t="s">
        <v>240</v>
      </c>
      <c r="FV630" s="5" t="s">
        <v>240</v>
      </c>
      <c r="FW630" s="5" t="s">
        <v>240</v>
      </c>
      <c r="FX630" s="5" t="s">
        <v>240</v>
      </c>
      <c r="FY630" s="5" t="s">
        <v>240</v>
      </c>
      <c r="FZ630" s="5" t="s">
        <v>240</v>
      </c>
      <c r="GA630" s="5" t="s">
        <v>240</v>
      </c>
      <c r="GB630" s="5" t="s">
        <v>240</v>
      </c>
      <c r="GC630" s="5" t="s">
        <v>240</v>
      </c>
      <c r="GD630" s="5" t="s">
        <v>240</v>
      </c>
      <c r="GE630" s="5" t="s">
        <v>240</v>
      </c>
      <c r="GF630" s="5" t="s">
        <v>240</v>
      </c>
      <c r="GG630" s="5" t="s">
        <v>240</v>
      </c>
      <c r="GH630" s="5" t="s">
        <v>240</v>
      </c>
      <c r="GI630" s="5" t="s">
        <v>240</v>
      </c>
      <c r="GJ630" s="5" t="s">
        <v>240</v>
      </c>
      <c r="GK630" s="5" t="s">
        <v>240</v>
      </c>
      <c r="GL630" s="5" t="s">
        <v>240</v>
      </c>
      <c r="GM630" s="5" t="s">
        <v>240</v>
      </c>
      <c r="GN630" s="5" t="s">
        <v>240</v>
      </c>
      <c r="GO630" s="5" t="s">
        <v>240</v>
      </c>
      <c r="GP630" s="5" t="s">
        <v>240</v>
      </c>
      <c r="GQ630" s="5" t="s">
        <v>240</v>
      </c>
      <c r="GR630" s="5" t="s">
        <v>240</v>
      </c>
      <c r="GS630" s="5" t="s">
        <v>240</v>
      </c>
      <c r="GT630" s="5" t="s">
        <v>240</v>
      </c>
      <c r="GU630" s="5" t="s">
        <v>240</v>
      </c>
      <c r="GV630" s="5" t="s">
        <v>240</v>
      </c>
      <c r="GW630" s="5" t="s">
        <v>240</v>
      </c>
      <c r="GX630" s="5" t="s">
        <v>240</v>
      </c>
      <c r="GY630" s="5" t="s">
        <v>240</v>
      </c>
      <c r="GZ630" s="5" t="s">
        <v>240</v>
      </c>
      <c r="HA630" s="5" t="s">
        <v>240</v>
      </c>
      <c r="HB630" s="5" t="s">
        <v>240</v>
      </c>
      <c r="HC630" s="5" t="s">
        <v>240</v>
      </c>
      <c r="HD630" s="5" t="s">
        <v>240</v>
      </c>
      <c r="HE630" s="5" t="s">
        <v>240</v>
      </c>
      <c r="HF630" s="5" t="s">
        <v>240</v>
      </c>
      <c r="HG630" s="5" t="s">
        <v>240</v>
      </c>
      <c r="HH630" s="5" t="s">
        <v>240</v>
      </c>
      <c r="HI630" s="5" t="s">
        <v>240</v>
      </c>
      <c r="HJ630" s="5" t="s">
        <v>240</v>
      </c>
      <c r="HK630" s="5" t="s">
        <v>240</v>
      </c>
      <c r="HL630" s="5" t="s">
        <v>240</v>
      </c>
      <c r="HM630" s="5" t="s">
        <v>240</v>
      </c>
      <c r="HN630" s="5" t="s">
        <v>240</v>
      </c>
      <c r="HO630" s="5" t="s">
        <v>620</v>
      </c>
      <c r="HP630" s="5" t="s">
        <v>240</v>
      </c>
      <c r="HQ630" s="5" t="s">
        <v>240</v>
      </c>
      <c r="HR630" s="5" t="s">
        <v>240</v>
      </c>
      <c r="HS630" s="5" t="s">
        <v>240</v>
      </c>
      <c r="HT630" s="5" t="s">
        <v>240</v>
      </c>
      <c r="HU630" s="5" t="s">
        <v>240</v>
      </c>
      <c r="HV630" s="5" t="s">
        <v>240</v>
      </c>
      <c r="HW630" s="5" t="s">
        <v>240</v>
      </c>
      <c r="HX630" s="5" t="s">
        <v>240</v>
      </c>
      <c r="HY630" s="5" t="s">
        <v>240</v>
      </c>
      <c r="HZ630" s="5" t="s">
        <v>240</v>
      </c>
      <c r="IA630" s="5" t="s">
        <v>240</v>
      </c>
      <c r="IB630" s="5" t="s">
        <v>240</v>
      </c>
      <c r="IC630" s="5" t="s">
        <v>240</v>
      </c>
      <c r="ID630" s="5" t="s">
        <v>240</v>
      </c>
      <c r="IE630" s="5" t="s">
        <v>240</v>
      </c>
      <c r="IF630" s="5" t="s">
        <v>240</v>
      </c>
    </row>
    <row r="631" spans="1:240" x14ac:dyDescent="0.4">
      <c r="A631" s="5">
        <v>1493</v>
      </c>
      <c r="B631" s="5">
        <v>1</v>
      </c>
      <c r="C631" s="5">
        <v>1</v>
      </c>
      <c r="D631" s="5" t="s">
        <v>723</v>
      </c>
      <c r="E631" s="5" t="s">
        <v>725</v>
      </c>
      <c r="F631" s="5" t="s">
        <v>254</v>
      </c>
      <c r="G631" s="5" t="s">
        <v>240</v>
      </c>
      <c r="H631" s="6" t="s">
        <v>987</v>
      </c>
      <c r="I631" s="5" t="s">
        <v>722</v>
      </c>
      <c r="J631" s="8">
        <f>1198</f>
        <v>1198</v>
      </c>
      <c r="K631" s="5" t="s">
        <v>308</v>
      </c>
      <c r="L631" s="7">
        <f>13178</f>
        <v>13178</v>
      </c>
      <c r="M631" s="7">
        <f>13178</f>
        <v>13178</v>
      </c>
      <c r="N631" s="5" t="s">
        <v>242</v>
      </c>
      <c r="O631" s="5">
        <v>1</v>
      </c>
      <c r="P631" s="5" t="s">
        <v>294</v>
      </c>
      <c r="Q631" s="5" t="s">
        <v>613</v>
      </c>
      <c r="R631" s="5" t="s">
        <v>240</v>
      </c>
      <c r="S631" s="5" t="s">
        <v>240</v>
      </c>
      <c r="T631" s="5" t="s">
        <v>243</v>
      </c>
      <c r="U631" s="5" t="s">
        <v>244</v>
      </c>
      <c r="V631" s="5" t="s">
        <v>240</v>
      </c>
      <c r="Y631" s="5" t="s">
        <v>240</v>
      </c>
      <c r="Z631" s="6" t="s">
        <v>298</v>
      </c>
      <c r="AB631" s="6" t="s">
        <v>240</v>
      </c>
      <c r="AE631" s="6" t="s">
        <v>299</v>
      </c>
      <c r="AF631" s="5" t="s">
        <v>248</v>
      </c>
      <c r="AG631" s="5" t="s">
        <v>249</v>
      </c>
      <c r="AW631" s="5" t="s">
        <v>251</v>
      </c>
      <c r="AX631" s="5" t="s">
        <v>240</v>
      </c>
      <c r="AY631" s="5" t="s">
        <v>253</v>
      </c>
      <c r="AZ631" s="5" t="s">
        <v>240</v>
      </c>
      <c r="BA631" s="5" t="s">
        <v>255</v>
      </c>
      <c r="BB631" s="5" t="s">
        <v>240</v>
      </c>
      <c r="BD631" s="5" t="s">
        <v>240</v>
      </c>
      <c r="BF631" s="5" t="s">
        <v>301</v>
      </c>
      <c r="BG631" s="6" t="s">
        <v>299</v>
      </c>
      <c r="BH631" s="5" t="s">
        <v>302</v>
      </c>
      <c r="BI631" s="5" t="s">
        <v>303</v>
      </c>
      <c r="BJ631" s="5" t="s">
        <v>240</v>
      </c>
      <c r="BK631" s="8">
        <f>0</f>
        <v>0</v>
      </c>
      <c r="BL631" s="7">
        <f>0</f>
        <v>0</v>
      </c>
      <c r="BM631" s="5" t="s">
        <v>258</v>
      </c>
      <c r="BN631" s="5" t="s">
        <v>259</v>
      </c>
      <c r="CB631" s="5" t="s">
        <v>240</v>
      </c>
      <c r="CC631" s="5" t="s">
        <v>240</v>
      </c>
      <c r="CG631" s="5" t="s">
        <v>617</v>
      </c>
      <c r="CH631" s="5" t="s">
        <v>305</v>
      </c>
      <c r="CI631" s="5" t="s">
        <v>240</v>
      </c>
      <c r="CL631" s="6" t="s">
        <v>261</v>
      </c>
      <c r="CM631" s="5" t="s">
        <v>240</v>
      </c>
      <c r="CN631" s="5" t="s">
        <v>263</v>
      </c>
      <c r="CO631" s="5" t="s">
        <v>240</v>
      </c>
      <c r="CP631" s="5" t="s">
        <v>240</v>
      </c>
      <c r="CQ631" s="5">
        <v>0</v>
      </c>
      <c r="CR631" s="5" t="s">
        <v>306</v>
      </c>
      <c r="CS631" s="5" t="s">
        <v>307</v>
      </c>
      <c r="CT631" s="5" t="s">
        <v>307</v>
      </c>
      <c r="CU631" s="5" t="s">
        <v>260</v>
      </c>
      <c r="CX631" s="7">
        <f>1490695</f>
        <v>1490695</v>
      </c>
      <c r="CY631" s="7">
        <f>0</f>
        <v>0</v>
      </c>
      <c r="DA631" s="7">
        <f>0</f>
        <v>0</v>
      </c>
      <c r="DC631" s="5" t="s">
        <v>689</v>
      </c>
      <c r="DD631" s="5" t="s">
        <v>240</v>
      </c>
      <c r="DF631" s="5" t="s">
        <v>689</v>
      </c>
      <c r="DG631" s="7">
        <f>673</f>
        <v>673</v>
      </c>
      <c r="DI631" s="5" t="s">
        <v>618</v>
      </c>
      <c r="DJ631" s="5" t="s">
        <v>240</v>
      </c>
      <c r="DK631" s="5" t="s">
        <v>240</v>
      </c>
      <c r="DL631" s="5" t="s">
        <v>240</v>
      </c>
      <c r="DP631" s="5" t="s">
        <v>240</v>
      </c>
      <c r="DQ631" s="5" t="s">
        <v>240</v>
      </c>
      <c r="DR631" s="5" t="s">
        <v>240</v>
      </c>
      <c r="DS631" s="5" t="s">
        <v>240</v>
      </c>
      <c r="DV631" s="5" t="s">
        <v>1435</v>
      </c>
      <c r="DW631" s="5" t="s">
        <v>795</v>
      </c>
      <c r="HO631" s="5" t="s">
        <v>312</v>
      </c>
    </row>
    <row r="632" spans="1:240" x14ac:dyDescent="0.4">
      <c r="A632" s="5">
        <v>1494</v>
      </c>
      <c r="B632" s="5">
        <v>1</v>
      </c>
      <c r="C632" s="5">
        <v>1</v>
      </c>
      <c r="D632" s="5" t="s">
        <v>723</v>
      </c>
      <c r="E632" s="5" t="s">
        <v>725</v>
      </c>
      <c r="F632" s="5" t="s">
        <v>254</v>
      </c>
      <c r="G632" s="5" t="s">
        <v>240</v>
      </c>
      <c r="H632" s="6" t="s">
        <v>986</v>
      </c>
      <c r="I632" s="5" t="s">
        <v>722</v>
      </c>
      <c r="J632" s="8">
        <f>8413</f>
        <v>8413</v>
      </c>
      <c r="K632" s="5" t="s">
        <v>308</v>
      </c>
      <c r="L632" s="7">
        <f>92543</f>
        <v>92543</v>
      </c>
      <c r="M632" s="7">
        <f>92543</f>
        <v>92543</v>
      </c>
      <c r="N632" s="5" t="s">
        <v>242</v>
      </c>
      <c r="O632" s="5">
        <v>1</v>
      </c>
      <c r="P632" s="5" t="s">
        <v>294</v>
      </c>
      <c r="Q632" s="5" t="s">
        <v>613</v>
      </c>
      <c r="R632" s="5" t="s">
        <v>240</v>
      </c>
      <c r="S632" s="5" t="s">
        <v>240</v>
      </c>
      <c r="T632" s="5" t="s">
        <v>243</v>
      </c>
      <c r="U632" s="5" t="s">
        <v>244</v>
      </c>
      <c r="V632" s="5" t="s">
        <v>240</v>
      </c>
      <c r="Y632" s="5" t="s">
        <v>240</v>
      </c>
      <c r="Z632" s="6" t="s">
        <v>298</v>
      </c>
      <c r="AB632" s="6" t="s">
        <v>240</v>
      </c>
      <c r="AE632" s="6" t="s">
        <v>299</v>
      </c>
      <c r="AF632" s="5" t="s">
        <v>248</v>
      </c>
      <c r="AG632" s="5" t="s">
        <v>249</v>
      </c>
      <c r="AW632" s="5" t="s">
        <v>251</v>
      </c>
      <c r="AX632" s="5" t="s">
        <v>240</v>
      </c>
      <c r="AY632" s="5" t="s">
        <v>253</v>
      </c>
      <c r="AZ632" s="5" t="s">
        <v>240</v>
      </c>
      <c r="BA632" s="5" t="s">
        <v>255</v>
      </c>
      <c r="BB632" s="5" t="s">
        <v>240</v>
      </c>
      <c r="BD632" s="5" t="s">
        <v>240</v>
      </c>
      <c r="BF632" s="5" t="s">
        <v>301</v>
      </c>
      <c r="BG632" s="6" t="s">
        <v>299</v>
      </c>
      <c r="BH632" s="5" t="s">
        <v>302</v>
      </c>
      <c r="BI632" s="5" t="s">
        <v>303</v>
      </c>
      <c r="BJ632" s="5" t="s">
        <v>240</v>
      </c>
      <c r="BK632" s="8">
        <f>0</f>
        <v>0</v>
      </c>
      <c r="BL632" s="7">
        <f>0</f>
        <v>0</v>
      </c>
      <c r="BM632" s="5" t="s">
        <v>258</v>
      </c>
      <c r="BN632" s="5" t="s">
        <v>259</v>
      </c>
      <c r="CB632" s="5" t="s">
        <v>240</v>
      </c>
      <c r="CC632" s="5" t="s">
        <v>240</v>
      </c>
      <c r="CG632" s="5" t="s">
        <v>617</v>
      </c>
      <c r="CH632" s="5" t="s">
        <v>305</v>
      </c>
      <c r="CI632" s="5" t="s">
        <v>240</v>
      </c>
      <c r="CL632" s="6" t="s">
        <v>261</v>
      </c>
      <c r="CM632" s="5" t="s">
        <v>240</v>
      </c>
      <c r="CN632" s="5" t="s">
        <v>263</v>
      </c>
      <c r="CO632" s="5" t="s">
        <v>240</v>
      </c>
      <c r="CP632" s="5" t="s">
        <v>240</v>
      </c>
      <c r="CQ632" s="5">
        <v>0</v>
      </c>
      <c r="CR632" s="5" t="s">
        <v>306</v>
      </c>
      <c r="CS632" s="5" t="s">
        <v>307</v>
      </c>
      <c r="CT632" s="5" t="s">
        <v>307</v>
      </c>
      <c r="CU632" s="5" t="s">
        <v>260</v>
      </c>
      <c r="CX632" s="7">
        <f>899290</f>
        <v>899290</v>
      </c>
      <c r="CY632" s="7">
        <f>0</f>
        <v>0</v>
      </c>
      <c r="DA632" s="7">
        <f>0</f>
        <v>0</v>
      </c>
      <c r="DC632" s="5" t="s">
        <v>689</v>
      </c>
      <c r="DD632" s="5" t="s">
        <v>240</v>
      </c>
      <c r="DF632" s="5" t="s">
        <v>689</v>
      </c>
      <c r="DG632" s="7">
        <f>406</f>
        <v>406</v>
      </c>
      <c r="DI632" s="5" t="s">
        <v>618</v>
      </c>
      <c r="DJ632" s="5" t="s">
        <v>240</v>
      </c>
      <c r="DK632" s="5" t="s">
        <v>240</v>
      </c>
      <c r="DL632" s="5" t="s">
        <v>240</v>
      </c>
      <c r="DP632" s="5" t="s">
        <v>240</v>
      </c>
      <c r="DQ632" s="5" t="s">
        <v>240</v>
      </c>
      <c r="DR632" s="5" t="s">
        <v>240</v>
      </c>
      <c r="DS632" s="5" t="s">
        <v>240</v>
      </c>
      <c r="DV632" s="5" t="s">
        <v>1435</v>
      </c>
      <c r="DW632" s="5" t="s">
        <v>797</v>
      </c>
      <c r="HO632" s="5" t="s">
        <v>312</v>
      </c>
    </row>
    <row r="633" spans="1:240" x14ac:dyDescent="0.4">
      <c r="A633" s="5">
        <v>1495</v>
      </c>
      <c r="B633" s="5">
        <v>1</v>
      </c>
      <c r="C633" s="5">
        <v>1</v>
      </c>
      <c r="D633" s="5" t="s">
        <v>723</v>
      </c>
      <c r="E633" s="5" t="s">
        <v>725</v>
      </c>
      <c r="F633" s="5" t="s">
        <v>254</v>
      </c>
      <c r="G633" s="5" t="s">
        <v>240</v>
      </c>
      <c r="H633" s="6" t="s">
        <v>985</v>
      </c>
      <c r="I633" s="5" t="s">
        <v>722</v>
      </c>
      <c r="J633" s="8">
        <f>8806</f>
        <v>8806</v>
      </c>
      <c r="K633" s="5" t="s">
        <v>308</v>
      </c>
      <c r="L633" s="7">
        <f>96866</f>
        <v>96866</v>
      </c>
      <c r="M633" s="7">
        <f>96866</f>
        <v>96866</v>
      </c>
      <c r="N633" s="5" t="s">
        <v>242</v>
      </c>
      <c r="O633" s="5">
        <v>1</v>
      </c>
      <c r="P633" s="5" t="s">
        <v>294</v>
      </c>
      <c r="Q633" s="5" t="s">
        <v>613</v>
      </c>
      <c r="R633" s="5" t="s">
        <v>240</v>
      </c>
      <c r="S633" s="5" t="s">
        <v>240</v>
      </c>
      <c r="T633" s="5" t="s">
        <v>243</v>
      </c>
      <c r="U633" s="5" t="s">
        <v>244</v>
      </c>
      <c r="V633" s="5" t="s">
        <v>240</v>
      </c>
      <c r="Y633" s="5" t="s">
        <v>240</v>
      </c>
      <c r="Z633" s="6" t="s">
        <v>298</v>
      </c>
      <c r="AB633" s="6" t="s">
        <v>240</v>
      </c>
      <c r="AE633" s="6" t="s">
        <v>299</v>
      </c>
      <c r="AF633" s="5" t="s">
        <v>248</v>
      </c>
      <c r="AG633" s="5" t="s">
        <v>249</v>
      </c>
      <c r="AW633" s="5" t="s">
        <v>251</v>
      </c>
      <c r="AX633" s="5" t="s">
        <v>240</v>
      </c>
      <c r="AY633" s="5" t="s">
        <v>253</v>
      </c>
      <c r="AZ633" s="5" t="s">
        <v>240</v>
      </c>
      <c r="BA633" s="5" t="s">
        <v>255</v>
      </c>
      <c r="BB633" s="5" t="s">
        <v>240</v>
      </c>
      <c r="BD633" s="5" t="s">
        <v>240</v>
      </c>
      <c r="BF633" s="5" t="s">
        <v>301</v>
      </c>
      <c r="BG633" s="6" t="s">
        <v>299</v>
      </c>
      <c r="BH633" s="5" t="s">
        <v>302</v>
      </c>
      <c r="BI633" s="5" t="s">
        <v>303</v>
      </c>
      <c r="BJ633" s="5" t="s">
        <v>240</v>
      </c>
      <c r="BK633" s="8">
        <f>0</f>
        <v>0</v>
      </c>
      <c r="BL633" s="7">
        <f>0</f>
        <v>0</v>
      </c>
      <c r="BM633" s="5" t="s">
        <v>258</v>
      </c>
      <c r="BN633" s="5" t="s">
        <v>259</v>
      </c>
      <c r="CB633" s="5" t="s">
        <v>240</v>
      </c>
      <c r="CC633" s="5" t="s">
        <v>240</v>
      </c>
      <c r="CG633" s="5" t="s">
        <v>617</v>
      </c>
      <c r="CH633" s="5" t="s">
        <v>305</v>
      </c>
      <c r="CI633" s="5" t="s">
        <v>240</v>
      </c>
      <c r="CL633" s="6" t="s">
        <v>261</v>
      </c>
      <c r="CM633" s="5" t="s">
        <v>240</v>
      </c>
      <c r="CN633" s="5" t="s">
        <v>263</v>
      </c>
      <c r="CO633" s="5" t="s">
        <v>240</v>
      </c>
      <c r="CP633" s="5" t="s">
        <v>240</v>
      </c>
      <c r="CQ633" s="5">
        <v>0</v>
      </c>
      <c r="CR633" s="5" t="s">
        <v>306</v>
      </c>
      <c r="CS633" s="5" t="s">
        <v>307</v>
      </c>
      <c r="CT633" s="5" t="s">
        <v>307</v>
      </c>
      <c r="CU633" s="5" t="s">
        <v>260</v>
      </c>
      <c r="CX633" s="7">
        <f>5036910</f>
        <v>5036910</v>
      </c>
      <c r="CY633" s="7">
        <f>0</f>
        <v>0</v>
      </c>
      <c r="DA633" s="7">
        <f>0</f>
        <v>0</v>
      </c>
      <c r="DC633" s="5" t="s">
        <v>689</v>
      </c>
      <c r="DD633" s="5" t="s">
        <v>240</v>
      </c>
      <c r="DF633" s="5" t="s">
        <v>689</v>
      </c>
      <c r="DG633" s="7">
        <f>2274</f>
        <v>2274</v>
      </c>
      <c r="DI633" s="5" t="s">
        <v>618</v>
      </c>
      <c r="DJ633" s="5" t="s">
        <v>240</v>
      </c>
      <c r="DK633" s="5" t="s">
        <v>240</v>
      </c>
      <c r="DL633" s="5" t="s">
        <v>240</v>
      </c>
      <c r="DP633" s="5" t="s">
        <v>240</v>
      </c>
      <c r="DQ633" s="5" t="s">
        <v>240</v>
      </c>
      <c r="DR633" s="5" t="s">
        <v>240</v>
      </c>
      <c r="DS633" s="5" t="s">
        <v>240</v>
      </c>
      <c r="DV633" s="5" t="s">
        <v>1435</v>
      </c>
      <c r="DW633" s="5" t="s">
        <v>799</v>
      </c>
      <c r="HO633" s="5" t="s">
        <v>312</v>
      </c>
    </row>
    <row r="634" spans="1:240" x14ac:dyDescent="0.4">
      <c r="A634" s="5">
        <v>1496</v>
      </c>
      <c r="B634" s="5">
        <v>1</v>
      </c>
      <c r="C634" s="5">
        <v>1</v>
      </c>
      <c r="D634" s="5" t="s">
        <v>723</v>
      </c>
      <c r="E634" s="5" t="s">
        <v>725</v>
      </c>
      <c r="F634" s="5" t="s">
        <v>254</v>
      </c>
      <c r="G634" s="5" t="s">
        <v>240</v>
      </c>
      <c r="H634" s="6" t="s">
        <v>984</v>
      </c>
      <c r="I634" s="5" t="s">
        <v>722</v>
      </c>
      <c r="J634" s="8">
        <f>572</f>
        <v>572</v>
      </c>
      <c r="K634" s="5" t="s">
        <v>308</v>
      </c>
      <c r="L634" s="7">
        <f>6292</f>
        <v>6292</v>
      </c>
      <c r="M634" s="7">
        <f>6292</f>
        <v>6292</v>
      </c>
      <c r="N634" s="5" t="s">
        <v>242</v>
      </c>
      <c r="O634" s="5">
        <v>1</v>
      </c>
      <c r="P634" s="5" t="s">
        <v>294</v>
      </c>
      <c r="Q634" s="5" t="s">
        <v>613</v>
      </c>
      <c r="R634" s="5" t="s">
        <v>240</v>
      </c>
      <c r="S634" s="5" t="s">
        <v>240</v>
      </c>
      <c r="T634" s="5" t="s">
        <v>243</v>
      </c>
      <c r="U634" s="5" t="s">
        <v>244</v>
      </c>
      <c r="V634" s="5" t="s">
        <v>240</v>
      </c>
      <c r="Y634" s="5" t="s">
        <v>240</v>
      </c>
      <c r="Z634" s="6" t="s">
        <v>298</v>
      </c>
      <c r="AB634" s="6" t="s">
        <v>240</v>
      </c>
      <c r="AE634" s="6" t="s">
        <v>299</v>
      </c>
      <c r="AF634" s="5" t="s">
        <v>248</v>
      </c>
      <c r="AG634" s="5" t="s">
        <v>249</v>
      </c>
      <c r="AW634" s="5" t="s">
        <v>251</v>
      </c>
      <c r="AX634" s="5" t="s">
        <v>240</v>
      </c>
      <c r="AY634" s="5" t="s">
        <v>253</v>
      </c>
      <c r="AZ634" s="5" t="s">
        <v>240</v>
      </c>
      <c r="BA634" s="5" t="s">
        <v>255</v>
      </c>
      <c r="BB634" s="5" t="s">
        <v>240</v>
      </c>
      <c r="BD634" s="5" t="s">
        <v>240</v>
      </c>
      <c r="BF634" s="5" t="s">
        <v>301</v>
      </c>
      <c r="BG634" s="6" t="s">
        <v>299</v>
      </c>
      <c r="BH634" s="5" t="s">
        <v>302</v>
      </c>
      <c r="BI634" s="5" t="s">
        <v>303</v>
      </c>
      <c r="BJ634" s="5" t="s">
        <v>240</v>
      </c>
      <c r="BK634" s="8">
        <f>0</f>
        <v>0</v>
      </c>
      <c r="BL634" s="7">
        <f>0</f>
        <v>0</v>
      </c>
      <c r="BM634" s="5" t="s">
        <v>258</v>
      </c>
      <c r="BN634" s="5" t="s">
        <v>259</v>
      </c>
      <c r="CB634" s="5" t="s">
        <v>240</v>
      </c>
      <c r="CC634" s="5" t="s">
        <v>240</v>
      </c>
      <c r="CG634" s="5" t="s">
        <v>617</v>
      </c>
      <c r="CH634" s="5" t="s">
        <v>305</v>
      </c>
      <c r="CI634" s="5" t="s">
        <v>240</v>
      </c>
      <c r="CL634" s="6" t="s">
        <v>261</v>
      </c>
      <c r="CM634" s="5" t="s">
        <v>240</v>
      </c>
      <c r="CN634" s="5" t="s">
        <v>263</v>
      </c>
      <c r="CO634" s="5" t="s">
        <v>240</v>
      </c>
      <c r="CP634" s="5" t="s">
        <v>240</v>
      </c>
      <c r="CQ634" s="5">
        <v>0</v>
      </c>
      <c r="CR634" s="5" t="s">
        <v>306</v>
      </c>
      <c r="CS634" s="5" t="s">
        <v>307</v>
      </c>
      <c r="CT634" s="5" t="s">
        <v>307</v>
      </c>
      <c r="CU634" s="5" t="s">
        <v>260</v>
      </c>
      <c r="CX634" s="7">
        <f>16783055</f>
        <v>16783055</v>
      </c>
      <c r="CY634" s="7">
        <f>0</f>
        <v>0</v>
      </c>
      <c r="DA634" s="7">
        <f>0</f>
        <v>0</v>
      </c>
      <c r="DC634" s="5" t="s">
        <v>689</v>
      </c>
      <c r="DD634" s="5" t="s">
        <v>240</v>
      </c>
      <c r="DF634" s="5" t="s">
        <v>689</v>
      </c>
      <c r="DG634" s="7">
        <f>7577</f>
        <v>7577</v>
      </c>
      <c r="DI634" s="5" t="s">
        <v>618</v>
      </c>
      <c r="DJ634" s="5" t="s">
        <v>240</v>
      </c>
      <c r="DK634" s="5" t="s">
        <v>240</v>
      </c>
      <c r="DL634" s="5" t="s">
        <v>240</v>
      </c>
      <c r="DP634" s="5" t="s">
        <v>240</v>
      </c>
      <c r="DQ634" s="5" t="s">
        <v>240</v>
      </c>
      <c r="DR634" s="5" t="s">
        <v>240</v>
      </c>
      <c r="DS634" s="5" t="s">
        <v>240</v>
      </c>
      <c r="DV634" s="5" t="s">
        <v>1435</v>
      </c>
      <c r="DW634" s="5" t="s">
        <v>801</v>
      </c>
      <c r="HO634" s="5" t="s">
        <v>312</v>
      </c>
    </row>
    <row r="635" spans="1:240" x14ac:dyDescent="0.4">
      <c r="A635" s="5">
        <v>1497</v>
      </c>
      <c r="B635" s="5">
        <v>1</v>
      </c>
      <c r="C635" s="5">
        <v>1</v>
      </c>
      <c r="D635" s="5" t="s">
        <v>723</v>
      </c>
      <c r="E635" s="5" t="s">
        <v>725</v>
      </c>
      <c r="F635" s="5" t="s">
        <v>254</v>
      </c>
      <c r="G635" s="5" t="s">
        <v>240</v>
      </c>
      <c r="H635" s="6" t="s">
        <v>983</v>
      </c>
      <c r="I635" s="5" t="s">
        <v>722</v>
      </c>
      <c r="J635" s="8">
        <f>1714</f>
        <v>1714</v>
      </c>
      <c r="K635" s="5" t="s">
        <v>308</v>
      </c>
      <c r="L635" s="7">
        <f>18854</f>
        <v>18854</v>
      </c>
      <c r="M635" s="7">
        <f>18854</f>
        <v>18854</v>
      </c>
      <c r="N635" s="5" t="s">
        <v>242</v>
      </c>
      <c r="O635" s="5">
        <v>1</v>
      </c>
      <c r="P635" s="5" t="s">
        <v>294</v>
      </c>
      <c r="Q635" s="5" t="s">
        <v>613</v>
      </c>
      <c r="R635" s="5" t="s">
        <v>240</v>
      </c>
      <c r="S635" s="5" t="s">
        <v>240</v>
      </c>
      <c r="T635" s="5" t="s">
        <v>243</v>
      </c>
      <c r="U635" s="5" t="s">
        <v>244</v>
      </c>
      <c r="V635" s="5" t="s">
        <v>240</v>
      </c>
      <c r="Y635" s="5" t="s">
        <v>240</v>
      </c>
      <c r="Z635" s="6" t="s">
        <v>298</v>
      </c>
      <c r="AB635" s="6" t="s">
        <v>240</v>
      </c>
      <c r="AE635" s="6" t="s">
        <v>299</v>
      </c>
      <c r="AF635" s="5" t="s">
        <v>248</v>
      </c>
      <c r="AG635" s="5" t="s">
        <v>249</v>
      </c>
      <c r="AW635" s="5" t="s">
        <v>251</v>
      </c>
      <c r="AX635" s="5" t="s">
        <v>240</v>
      </c>
      <c r="AY635" s="5" t="s">
        <v>253</v>
      </c>
      <c r="AZ635" s="5" t="s">
        <v>240</v>
      </c>
      <c r="BA635" s="5" t="s">
        <v>255</v>
      </c>
      <c r="BB635" s="5" t="s">
        <v>240</v>
      </c>
      <c r="BD635" s="5" t="s">
        <v>240</v>
      </c>
      <c r="BF635" s="5" t="s">
        <v>301</v>
      </c>
      <c r="BG635" s="6" t="s">
        <v>299</v>
      </c>
      <c r="BH635" s="5" t="s">
        <v>302</v>
      </c>
      <c r="BI635" s="5" t="s">
        <v>303</v>
      </c>
      <c r="BJ635" s="5" t="s">
        <v>240</v>
      </c>
      <c r="BK635" s="8">
        <f>0</f>
        <v>0</v>
      </c>
      <c r="BL635" s="7">
        <f>0</f>
        <v>0</v>
      </c>
      <c r="BM635" s="5" t="s">
        <v>258</v>
      </c>
      <c r="BN635" s="5" t="s">
        <v>259</v>
      </c>
      <c r="CB635" s="5" t="s">
        <v>240</v>
      </c>
      <c r="CC635" s="5" t="s">
        <v>240</v>
      </c>
      <c r="CG635" s="5" t="s">
        <v>617</v>
      </c>
      <c r="CH635" s="5" t="s">
        <v>305</v>
      </c>
      <c r="CI635" s="5" t="s">
        <v>240</v>
      </c>
      <c r="CL635" s="6" t="s">
        <v>261</v>
      </c>
      <c r="CM635" s="5" t="s">
        <v>240</v>
      </c>
      <c r="CN635" s="5" t="s">
        <v>263</v>
      </c>
      <c r="CO635" s="5" t="s">
        <v>240</v>
      </c>
      <c r="CP635" s="5" t="s">
        <v>240</v>
      </c>
      <c r="CQ635" s="5">
        <v>0</v>
      </c>
      <c r="CR635" s="5" t="s">
        <v>306</v>
      </c>
      <c r="CS635" s="5" t="s">
        <v>307</v>
      </c>
      <c r="CT635" s="5" t="s">
        <v>307</v>
      </c>
      <c r="CU635" s="5" t="s">
        <v>260</v>
      </c>
      <c r="CX635" s="7">
        <f>1167305</f>
        <v>1167305</v>
      </c>
      <c r="CY635" s="7">
        <f>0</f>
        <v>0</v>
      </c>
      <c r="DA635" s="7">
        <f>0</f>
        <v>0</v>
      </c>
      <c r="DC635" s="5" t="s">
        <v>689</v>
      </c>
      <c r="DD635" s="5" t="s">
        <v>240</v>
      </c>
      <c r="DF635" s="5" t="s">
        <v>689</v>
      </c>
      <c r="DG635" s="7">
        <f>527</f>
        <v>527</v>
      </c>
      <c r="DI635" s="5" t="s">
        <v>618</v>
      </c>
      <c r="DJ635" s="5" t="s">
        <v>240</v>
      </c>
      <c r="DK635" s="5" t="s">
        <v>240</v>
      </c>
      <c r="DL635" s="5" t="s">
        <v>240</v>
      </c>
      <c r="DP635" s="5" t="s">
        <v>240</v>
      </c>
      <c r="DQ635" s="5" t="s">
        <v>240</v>
      </c>
      <c r="DR635" s="5" t="s">
        <v>240</v>
      </c>
      <c r="DS635" s="5" t="s">
        <v>240</v>
      </c>
      <c r="DV635" s="5" t="s">
        <v>1435</v>
      </c>
      <c r="DW635" s="5" t="s">
        <v>804</v>
      </c>
      <c r="HO635" s="5" t="s">
        <v>312</v>
      </c>
    </row>
    <row r="636" spans="1:240" x14ac:dyDescent="0.4">
      <c r="A636" s="5">
        <v>1498</v>
      </c>
      <c r="B636" s="5">
        <v>1</v>
      </c>
      <c r="C636" s="5">
        <v>1</v>
      </c>
      <c r="D636" s="5" t="s">
        <v>723</v>
      </c>
      <c r="E636" s="5" t="s">
        <v>725</v>
      </c>
      <c r="F636" s="5" t="s">
        <v>254</v>
      </c>
      <c r="G636" s="5" t="s">
        <v>240</v>
      </c>
      <c r="H636" s="6" t="s">
        <v>982</v>
      </c>
      <c r="I636" s="5" t="s">
        <v>722</v>
      </c>
      <c r="J636" s="8">
        <f>1094</f>
        <v>1094</v>
      </c>
      <c r="K636" s="5" t="s">
        <v>308</v>
      </c>
      <c r="L636" s="7">
        <f>12034</f>
        <v>12034</v>
      </c>
      <c r="M636" s="7">
        <f>12034</f>
        <v>12034</v>
      </c>
      <c r="N636" s="5" t="s">
        <v>242</v>
      </c>
      <c r="O636" s="5">
        <v>1</v>
      </c>
      <c r="P636" s="5" t="s">
        <v>294</v>
      </c>
      <c r="Q636" s="5" t="s">
        <v>613</v>
      </c>
      <c r="R636" s="5" t="s">
        <v>240</v>
      </c>
      <c r="S636" s="5" t="s">
        <v>240</v>
      </c>
      <c r="T636" s="5" t="s">
        <v>243</v>
      </c>
      <c r="U636" s="5" t="s">
        <v>244</v>
      </c>
      <c r="V636" s="5" t="s">
        <v>240</v>
      </c>
      <c r="Y636" s="5" t="s">
        <v>240</v>
      </c>
      <c r="Z636" s="6" t="s">
        <v>298</v>
      </c>
      <c r="AB636" s="6" t="s">
        <v>240</v>
      </c>
      <c r="AE636" s="6" t="s">
        <v>299</v>
      </c>
      <c r="AF636" s="5" t="s">
        <v>248</v>
      </c>
      <c r="AG636" s="5" t="s">
        <v>249</v>
      </c>
      <c r="AW636" s="5" t="s">
        <v>251</v>
      </c>
      <c r="AX636" s="5" t="s">
        <v>240</v>
      </c>
      <c r="AY636" s="5" t="s">
        <v>253</v>
      </c>
      <c r="AZ636" s="5" t="s">
        <v>240</v>
      </c>
      <c r="BA636" s="5" t="s">
        <v>255</v>
      </c>
      <c r="BB636" s="5" t="s">
        <v>240</v>
      </c>
      <c r="BD636" s="5" t="s">
        <v>240</v>
      </c>
      <c r="BF636" s="5" t="s">
        <v>301</v>
      </c>
      <c r="BG636" s="6" t="s">
        <v>299</v>
      </c>
      <c r="BH636" s="5" t="s">
        <v>302</v>
      </c>
      <c r="BI636" s="5" t="s">
        <v>303</v>
      </c>
      <c r="BJ636" s="5" t="s">
        <v>240</v>
      </c>
      <c r="BK636" s="8">
        <f>0</f>
        <v>0</v>
      </c>
      <c r="BL636" s="7">
        <f>0</f>
        <v>0</v>
      </c>
      <c r="BM636" s="5" t="s">
        <v>258</v>
      </c>
      <c r="BN636" s="5" t="s">
        <v>259</v>
      </c>
      <c r="CB636" s="5" t="s">
        <v>240</v>
      </c>
      <c r="CC636" s="5" t="s">
        <v>240</v>
      </c>
      <c r="CG636" s="5" t="s">
        <v>617</v>
      </c>
      <c r="CH636" s="5" t="s">
        <v>305</v>
      </c>
      <c r="CI636" s="5" t="s">
        <v>240</v>
      </c>
      <c r="CL636" s="6" t="s">
        <v>261</v>
      </c>
      <c r="CM636" s="5" t="s">
        <v>240</v>
      </c>
      <c r="CN636" s="5" t="s">
        <v>263</v>
      </c>
      <c r="CO636" s="5" t="s">
        <v>240</v>
      </c>
      <c r="CP636" s="5" t="s">
        <v>240</v>
      </c>
      <c r="CQ636" s="5">
        <v>0</v>
      </c>
      <c r="CR636" s="5" t="s">
        <v>306</v>
      </c>
      <c r="CS636" s="5" t="s">
        <v>307</v>
      </c>
      <c r="CT636" s="5" t="s">
        <v>307</v>
      </c>
      <c r="CU636" s="5" t="s">
        <v>260</v>
      </c>
      <c r="CX636" s="7">
        <f>15387605</f>
        <v>15387605</v>
      </c>
      <c r="CY636" s="7">
        <f>0</f>
        <v>0</v>
      </c>
      <c r="DA636" s="7">
        <f>0</f>
        <v>0</v>
      </c>
      <c r="DC636" s="5" t="s">
        <v>689</v>
      </c>
      <c r="DD636" s="5" t="s">
        <v>240</v>
      </c>
      <c r="DF636" s="5" t="s">
        <v>689</v>
      </c>
      <c r="DG636" s="7">
        <f>6947</f>
        <v>6947</v>
      </c>
      <c r="DI636" s="5" t="s">
        <v>618</v>
      </c>
      <c r="DJ636" s="5" t="s">
        <v>240</v>
      </c>
      <c r="DK636" s="5" t="s">
        <v>240</v>
      </c>
      <c r="DL636" s="5" t="s">
        <v>240</v>
      </c>
      <c r="DP636" s="5" t="s">
        <v>240</v>
      </c>
      <c r="DQ636" s="5" t="s">
        <v>240</v>
      </c>
      <c r="DR636" s="5" t="s">
        <v>240</v>
      </c>
      <c r="DS636" s="5" t="s">
        <v>240</v>
      </c>
      <c r="DV636" s="5" t="s">
        <v>1435</v>
      </c>
      <c r="DW636" s="5" t="s">
        <v>808</v>
      </c>
      <c r="HO636" s="5" t="s">
        <v>312</v>
      </c>
    </row>
    <row r="637" spans="1:240" x14ac:dyDescent="0.4">
      <c r="A637" s="5">
        <v>1499</v>
      </c>
      <c r="B637" s="5">
        <v>1</v>
      </c>
      <c r="C637" s="5">
        <v>1</v>
      </c>
      <c r="D637" s="5" t="s">
        <v>723</v>
      </c>
      <c r="E637" s="5" t="s">
        <v>725</v>
      </c>
      <c r="F637" s="5" t="s">
        <v>254</v>
      </c>
      <c r="G637" s="5" t="s">
        <v>240</v>
      </c>
      <c r="H637" s="6" t="s">
        <v>981</v>
      </c>
      <c r="I637" s="5" t="s">
        <v>722</v>
      </c>
      <c r="J637" s="8">
        <f>1969</f>
        <v>1969</v>
      </c>
      <c r="K637" s="5" t="s">
        <v>308</v>
      </c>
      <c r="L637" s="7">
        <f>21659</f>
        <v>21659</v>
      </c>
      <c r="M637" s="7">
        <f>21659</f>
        <v>21659</v>
      </c>
      <c r="N637" s="5" t="s">
        <v>242</v>
      </c>
      <c r="O637" s="5">
        <v>1</v>
      </c>
      <c r="P637" s="5" t="s">
        <v>294</v>
      </c>
      <c r="Q637" s="5" t="s">
        <v>613</v>
      </c>
      <c r="R637" s="5" t="s">
        <v>240</v>
      </c>
      <c r="S637" s="5" t="s">
        <v>240</v>
      </c>
      <c r="T637" s="5" t="s">
        <v>243</v>
      </c>
      <c r="U637" s="5" t="s">
        <v>244</v>
      </c>
      <c r="V637" s="5" t="s">
        <v>240</v>
      </c>
      <c r="Y637" s="5" t="s">
        <v>240</v>
      </c>
      <c r="Z637" s="6" t="s">
        <v>298</v>
      </c>
      <c r="AB637" s="6" t="s">
        <v>240</v>
      </c>
      <c r="AE637" s="6" t="s">
        <v>299</v>
      </c>
      <c r="AF637" s="5" t="s">
        <v>248</v>
      </c>
      <c r="AG637" s="5" t="s">
        <v>249</v>
      </c>
      <c r="AW637" s="5" t="s">
        <v>251</v>
      </c>
      <c r="AX637" s="5" t="s">
        <v>240</v>
      </c>
      <c r="AY637" s="5" t="s">
        <v>253</v>
      </c>
      <c r="AZ637" s="5" t="s">
        <v>240</v>
      </c>
      <c r="BA637" s="5" t="s">
        <v>255</v>
      </c>
      <c r="BB637" s="5" t="s">
        <v>240</v>
      </c>
      <c r="BD637" s="5" t="s">
        <v>240</v>
      </c>
      <c r="BF637" s="5" t="s">
        <v>301</v>
      </c>
      <c r="BG637" s="6" t="s">
        <v>299</v>
      </c>
      <c r="BH637" s="5" t="s">
        <v>302</v>
      </c>
      <c r="BI637" s="5" t="s">
        <v>303</v>
      </c>
      <c r="BJ637" s="5" t="s">
        <v>240</v>
      </c>
      <c r="BK637" s="8">
        <f>0</f>
        <v>0</v>
      </c>
      <c r="BL637" s="7">
        <f>0</f>
        <v>0</v>
      </c>
      <c r="BM637" s="5" t="s">
        <v>258</v>
      </c>
      <c r="BN637" s="5" t="s">
        <v>259</v>
      </c>
      <c r="CB637" s="5" t="s">
        <v>240</v>
      </c>
      <c r="CC637" s="5" t="s">
        <v>240</v>
      </c>
      <c r="CG637" s="5" t="s">
        <v>617</v>
      </c>
      <c r="CH637" s="5" t="s">
        <v>305</v>
      </c>
      <c r="CI637" s="5" t="s">
        <v>240</v>
      </c>
      <c r="CL637" s="6" t="s">
        <v>261</v>
      </c>
      <c r="CM637" s="5" t="s">
        <v>240</v>
      </c>
      <c r="CN637" s="5" t="s">
        <v>263</v>
      </c>
      <c r="CO637" s="5" t="s">
        <v>240</v>
      </c>
      <c r="CP637" s="5" t="s">
        <v>240</v>
      </c>
      <c r="CQ637" s="5">
        <v>0</v>
      </c>
      <c r="CR637" s="5" t="s">
        <v>306</v>
      </c>
      <c r="CS637" s="5" t="s">
        <v>307</v>
      </c>
      <c r="CT637" s="5" t="s">
        <v>307</v>
      </c>
      <c r="CU637" s="5" t="s">
        <v>260</v>
      </c>
      <c r="CX637" s="7">
        <f>3216180</f>
        <v>3216180</v>
      </c>
      <c r="CY637" s="7">
        <f>0</f>
        <v>0</v>
      </c>
      <c r="DA637" s="7">
        <f>0</f>
        <v>0</v>
      </c>
      <c r="DC637" s="5" t="s">
        <v>618</v>
      </c>
      <c r="DD637" s="5" t="s">
        <v>240</v>
      </c>
      <c r="DF637" s="5" t="s">
        <v>618</v>
      </c>
      <c r="DG637" s="7">
        <f>1452</f>
        <v>1452</v>
      </c>
      <c r="DI637" s="5" t="s">
        <v>618</v>
      </c>
      <c r="DJ637" s="5" t="s">
        <v>240</v>
      </c>
      <c r="DK637" s="5" t="s">
        <v>240</v>
      </c>
      <c r="DL637" s="5" t="s">
        <v>240</v>
      </c>
      <c r="DP637" s="5" t="s">
        <v>240</v>
      </c>
      <c r="DQ637" s="5" t="s">
        <v>240</v>
      </c>
      <c r="DR637" s="5" t="s">
        <v>240</v>
      </c>
      <c r="DS637" s="5" t="s">
        <v>240</v>
      </c>
      <c r="DV637" s="5" t="s">
        <v>1435</v>
      </c>
      <c r="DW637" s="5" t="s">
        <v>1260</v>
      </c>
      <c r="HO637" s="5" t="s">
        <v>312</v>
      </c>
    </row>
    <row r="638" spans="1:240" x14ac:dyDescent="0.4">
      <c r="A638" s="5">
        <v>1500</v>
      </c>
      <c r="B638" s="5">
        <v>1</v>
      </c>
      <c r="C638" s="5">
        <v>1</v>
      </c>
      <c r="D638" s="5" t="s">
        <v>723</v>
      </c>
      <c r="E638" s="5" t="s">
        <v>725</v>
      </c>
      <c r="F638" s="5" t="s">
        <v>254</v>
      </c>
      <c r="G638" s="5" t="s">
        <v>240</v>
      </c>
      <c r="H638" s="6" t="s">
        <v>980</v>
      </c>
      <c r="I638" s="5" t="s">
        <v>722</v>
      </c>
      <c r="J638" s="8">
        <f>9011</f>
        <v>9011</v>
      </c>
      <c r="K638" s="5" t="s">
        <v>308</v>
      </c>
      <c r="L638" s="7">
        <f>99121</f>
        <v>99121</v>
      </c>
      <c r="M638" s="7">
        <f>99121</f>
        <v>99121</v>
      </c>
      <c r="N638" s="5" t="s">
        <v>242</v>
      </c>
      <c r="O638" s="5">
        <v>1</v>
      </c>
      <c r="P638" s="5" t="s">
        <v>294</v>
      </c>
      <c r="Q638" s="5" t="s">
        <v>613</v>
      </c>
      <c r="R638" s="5" t="s">
        <v>240</v>
      </c>
      <c r="S638" s="5" t="s">
        <v>240</v>
      </c>
      <c r="T638" s="5" t="s">
        <v>243</v>
      </c>
      <c r="U638" s="5" t="s">
        <v>244</v>
      </c>
      <c r="V638" s="5" t="s">
        <v>240</v>
      </c>
      <c r="Y638" s="5" t="s">
        <v>240</v>
      </c>
      <c r="Z638" s="6" t="s">
        <v>298</v>
      </c>
      <c r="AB638" s="6" t="s">
        <v>240</v>
      </c>
      <c r="AE638" s="6" t="s">
        <v>299</v>
      </c>
      <c r="AF638" s="5" t="s">
        <v>248</v>
      </c>
      <c r="AG638" s="5" t="s">
        <v>249</v>
      </c>
      <c r="AW638" s="5" t="s">
        <v>251</v>
      </c>
      <c r="AX638" s="5" t="s">
        <v>240</v>
      </c>
      <c r="AY638" s="5" t="s">
        <v>253</v>
      </c>
      <c r="AZ638" s="5" t="s">
        <v>240</v>
      </c>
      <c r="BA638" s="5" t="s">
        <v>255</v>
      </c>
      <c r="BB638" s="5" t="s">
        <v>240</v>
      </c>
      <c r="BD638" s="5" t="s">
        <v>240</v>
      </c>
      <c r="BF638" s="5" t="s">
        <v>301</v>
      </c>
      <c r="BG638" s="6" t="s">
        <v>299</v>
      </c>
      <c r="BH638" s="5" t="s">
        <v>302</v>
      </c>
      <c r="BI638" s="5" t="s">
        <v>303</v>
      </c>
      <c r="BJ638" s="5" t="s">
        <v>240</v>
      </c>
      <c r="BK638" s="8">
        <f>0</f>
        <v>0</v>
      </c>
      <c r="BL638" s="7">
        <f>0</f>
        <v>0</v>
      </c>
      <c r="BM638" s="5" t="s">
        <v>258</v>
      </c>
      <c r="BN638" s="5" t="s">
        <v>259</v>
      </c>
      <c r="CB638" s="5" t="s">
        <v>240</v>
      </c>
      <c r="CC638" s="5" t="s">
        <v>240</v>
      </c>
      <c r="CG638" s="5" t="s">
        <v>617</v>
      </c>
      <c r="CH638" s="5" t="s">
        <v>305</v>
      </c>
      <c r="CI638" s="5" t="s">
        <v>240</v>
      </c>
      <c r="CL638" s="6" t="s">
        <v>261</v>
      </c>
      <c r="CM638" s="5" t="s">
        <v>240</v>
      </c>
      <c r="CN638" s="5" t="s">
        <v>263</v>
      </c>
      <c r="CO638" s="5" t="s">
        <v>240</v>
      </c>
      <c r="CP638" s="5" t="s">
        <v>240</v>
      </c>
      <c r="CQ638" s="5">
        <v>0</v>
      </c>
      <c r="CR638" s="5" t="s">
        <v>306</v>
      </c>
      <c r="CS638" s="5" t="s">
        <v>307</v>
      </c>
      <c r="CT638" s="5" t="s">
        <v>307</v>
      </c>
      <c r="CU638" s="5" t="s">
        <v>260</v>
      </c>
      <c r="CX638" s="7">
        <f>2130830</f>
        <v>2130830</v>
      </c>
      <c r="CY638" s="7">
        <f>0</f>
        <v>0</v>
      </c>
      <c r="DA638" s="7">
        <f>0</f>
        <v>0</v>
      </c>
      <c r="DC638" s="5" t="s">
        <v>689</v>
      </c>
      <c r="DD638" s="5" t="s">
        <v>240</v>
      </c>
      <c r="DF638" s="5" t="s">
        <v>689</v>
      </c>
      <c r="DG638" s="7">
        <f>962</f>
        <v>962</v>
      </c>
      <c r="DI638" s="5" t="s">
        <v>618</v>
      </c>
      <c r="DJ638" s="5" t="s">
        <v>240</v>
      </c>
      <c r="DK638" s="5" t="s">
        <v>240</v>
      </c>
      <c r="DL638" s="5" t="s">
        <v>240</v>
      </c>
      <c r="DP638" s="5" t="s">
        <v>240</v>
      </c>
      <c r="DQ638" s="5" t="s">
        <v>240</v>
      </c>
      <c r="DR638" s="5" t="s">
        <v>240</v>
      </c>
      <c r="DS638" s="5" t="s">
        <v>240</v>
      </c>
      <c r="DV638" s="5" t="s">
        <v>1435</v>
      </c>
      <c r="DW638" s="5" t="s">
        <v>816</v>
      </c>
      <c r="HO638" s="5" t="s">
        <v>312</v>
      </c>
    </row>
    <row r="639" spans="1:240" x14ac:dyDescent="0.4">
      <c r="A639" s="5">
        <v>1501</v>
      </c>
      <c r="B639" s="5">
        <v>1</v>
      </c>
      <c r="C639" s="5">
        <v>1</v>
      </c>
      <c r="D639" s="5" t="s">
        <v>723</v>
      </c>
      <c r="E639" s="5" t="s">
        <v>725</v>
      </c>
      <c r="F639" s="5" t="s">
        <v>254</v>
      </c>
      <c r="G639" s="5" t="s">
        <v>240</v>
      </c>
      <c r="H639" s="6" t="s">
        <v>979</v>
      </c>
      <c r="I639" s="5" t="s">
        <v>722</v>
      </c>
      <c r="J639" s="8">
        <f>2084</f>
        <v>2084</v>
      </c>
      <c r="K639" s="5" t="s">
        <v>308</v>
      </c>
      <c r="L639" s="7">
        <f>22924</f>
        <v>22924</v>
      </c>
      <c r="M639" s="7">
        <f>22924</f>
        <v>22924</v>
      </c>
      <c r="N639" s="5" t="s">
        <v>242</v>
      </c>
      <c r="O639" s="5">
        <v>1</v>
      </c>
      <c r="P639" s="5" t="s">
        <v>294</v>
      </c>
      <c r="Q639" s="5" t="s">
        <v>613</v>
      </c>
      <c r="R639" s="5" t="s">
        <v>240</v>
      </c>
      <c r="S639" s="5" t="s">
        <v>240</v>
      </c>
      <c r="T639" s="5" t="s">
        <v>243</v>
      </c>
      <c r="U639" s="5" t="s">
        <v>244</v>
      </c>
      <c r="V639" s="5" t="s">
        <v>240</v>
      </c>
      <c r="Y639" s="5" t="s">
        <v>240</v>
      </c>
      <c r="Z639" s="6" t="s">
        <v>298</v>
      </c>
      <c r="AB639" s="6" t="s">
        <v>240</v>
      </c>
      <c r="AE639" s="6" t="s">
        <v>299</v>
      </c>
      <c r="AF639" s="5" t="s">
        <v>248</v>
      </c>
      <c r="AG639" s="5" t="s">
        <v>249</v>
      </c>
      <c r="AW639" s="5" t="s">
        <v>251</v>
      </c>
      <c r="AX639" s="5" t="s">
        <v>240</v>
      </c>
      <c r="AY639" s="5" t="s">
        <v>253</v>
      </c>
      <c r="AZ639" s="5" t="s">
        <v>240</v>
      </c>
      <c r="BA639" s="5" t="s">
        <v>255</v>
      </c>
      <c r="BB639" s="5" t="s">
        <v>240</v>
      </c>
      <c r="BD639" s="5" t="s">
        <v>240</v>
      </c>
      <c r="BF639" s="5" t="s">
        <v>301</v>
      </c>
      <c r="BG639" s="6" t="s">
        <v>299</v>
      </c>
      <c r="BH639" s="5" t="s">
        <v>302</v>
      </c>
      <c r="BI639" s="5" t="s">
        <v>303</v>
      </c>
      <c r="BJ639" s="5" t="s">
        <v>240</v>
      </c>
      <c r="BK639" s="8">
        <f>0</f>
        <v>0</v>
      </c>
      <c r="BL639" s="7">
        <f>0</f>
        <v>0</v>
      </c>
      <c r="BM639" s="5" t="s">
        <v>258</v>
      </c>
      <c r="BN639" s="5" t="s">
        <v>259</v>
      </c>
      <c r="CB639" s="5" t="s">
        <v>240</v>
      </c>
      <c r="CC639" s="5" t="s">
        <v>240</v>
      </c>
      <c r="CG639" s="5" t="s">
        <v>617</v>
      </c>
      <c r="CH639" s="5" t="s">
        <v>305</v>
      </c>
      <c r="CI639" s="5" t="s">
        <v>240</v>
      </c>
      <c r="CL639" s="6" t="s">
        <v>261</v>
      </c>
      <c r="CM639" s="5" t="s">
        <v>240</v>
      </c>
      <c r="CN639" s="5" t="s">
        <v>263</v>
      </c>
      <c r="CO639" s="5" t="s">
        <v>240</v>
      </c>
      <c r="CP639" s="5" t="s">
        <v>240</v>
      </c>
      <c r="CQ639" s="5">
        <v>0</v>
      </c>
      <c r="CR639" s="5" t="s">
        <v>306</v>
      </c>
      <c r="CS639" s="5" t="s">
        <v>307</v>
      </c>
      <c r="CT639" s="5" t="s">
        <v>307</v>
      </c>
      <c r="CU639" s="5" t="s">
        <v>260</v>
      </c>
      <c r="CX639" s="7">
        <f>14625645</f>
        <v>14625645</v>
      </c>
      <c r="CY639" s="7">
        <f>0</f>
        <v>0</v>
      </c>
      <c r="DA639" s="7">
        <f>0</f>
        <v>0</v>
      </c>
      <c r="DC639" s="5" t="s">
        <v>689</v>
      </c>
      <c r="DD639" s="5" t="s">
        <v>240</v>
      </c>
      <c r="DF639" s="5" t="s">
        <v>689</v>
      </c>
      <c r="DG639" s="7">
        <f>6603</f>
        <v>6603</v>
      </c>
      <c r="DI639" s="5" t="s">
        <v>618</v>
      </c>
      <c r="DJ639" s="5" t="s">
        <v>240</v>
      </c>
      <c r="DK639" s="5" t="s">
        <v>240</v>
      </c>
      <c r="DL639" s="5" t="s">
        <v>240</v>
      </c>
      <c r="DP639" s="5" t="s">
        <v>240</v>
      </c>
      <c r="DQ639" s="5" t="s">
        <v>240</v>
      </c>
      <c r="DR639" s="5" t="s">
        <v>240</v>
      </c>
      <c r="DS639" s="5" t="s">
        <v>240</v>
      </c>
      <c r="DV639" s="5" t="s">
        <v>1435</v>
      </c>
      <c r="DW639" s="5" t="s">
        <v>818</v>
      </c>
      <c r="HO639" s="5" t="s">
        <v>312</v>
      </c>
    </row>
    <row r="640" spans="1:240" x14ac:dyDescent="0.4">
      <c r="A640" s="5">
        <v>1502</v>
      </c>
      <c r="B640" s="5">
        <v>1</v>
      </c>
      <c r="C640" s="5">
        <v>1</v>
      </c>
      <c r="D640" s="5" t="s">
        <v>723</v>
      </c>
      <c r="E640" s="5" t="s">
        <v>725</v>
      </c>
      <c r="F640" s="5" t="s">
        <v>254</v>
      </c>
      <c r="G640" s="5" t="s">
        <v>240</v>
      </c>
      <c r="H640" s="6" t="s">
        <v>2053</v>
      </c>
      <c r="I640" s="5" t="s">
        <v>722</v>
      </c>
      <c r="J640" s="8">
        <f>3198</f>
        <v>3198</v>
      </c>
      <c r="K640" s="5" t="s">
        <v>308</v>
      </c>
      <c r="L640" s="7">
        <f>35178</f>
        <v>35178</v>
      </c>
      <c r="M640" s="7">
        <f>35178</f>
        <v>35178</v>
      </c>
      <c r="N640" s="5" t="s">
        <v>242</v>
      </c>
      <c r="O640" s="5">
        <v>1</v>
      </c>
      <c r="P640" s="5" t="s">
        <v>294</v>
      </c>
      <c r="Q640" s="5" t="s">
        <v>613</v>
      </c>
      <c r="R640" s="5" t="s">
        <v>240</v>
      </c>
      <c r="S640" s="5" t="s">
        <v>240</v>
      </c>
      <c r="T640" s="5" t="s">
        <v>243</v>
      </c>
      <c r="U640" s="5" t="s">
        <v>244</v>
      </c>
      <c r="V640" s="5" t="s">
        <v>240</v>
      </c>
      <c r="Y640" s="5" t="s">
        <v>240</v>
      </c>
      <c r="Z640" s="6" t="s">
        <v>298</v>
      </c>
      <c r="AB640" s="6" t="s">
        <v>240</v>
      </c>
      <c r="AE640" s="6" t="s">
        <v>299</v>
      </c>
      <c r="AF640" s="5" t="s">
        <v>248</v>
      </c>
      <c r="AG640" s="5" t="s">
        <v>249</v>
      </c>
      <c r="AW640" s="5" t="s">
        <v>251</v>
      </c>
      <c r="AX640" s="5" t="s">
        <v>240</v>
      </c>
      <c r="AY640" s="5" t="s">
        <v>253</v>
      </c>
      <c r="AZ640" s="5" t="s">
        <v>240</v>
      </c>
      <c r="BA640" s="5" t="s">
        <v>255</v>
      </c>
      <c r="BB640" s="5" t="s">
        <v>240</v>
      </c>
      <c r="BD640" s="5" t="s">
        <v>240</v>
      </c>
      <c r="BF640" s="5" t="s">
        <v>301</v>
      </c>
      <c r="BG640" s="6" t="s">
        <v>299</v>
      </c>
      <c r="BH640" s="5" t="s">
        <v>302</v>
      </c>
      <c r="BI640" s="5" t="s">
        <v>303</v>
      </c>
      <c r="BJ640" s="5" t="s">
        <v>240</v>
      </c>
      <c r="BK640" s="8">
        <f>0</f>
        <v>0</v>
      </c>
      <c r="BL640" s="7">
        <f>0</f>
        <v>0</v>
      </c>
      <c r="BM640" s="5" t="s">
        <v>258</v>
      </c>
      <c r="BN640" s="5" t="s">
        <v>259</v>
      </c>
      <c r="CB640" s="5" t="s">
        <v>240</v>
      </c>
      <c r="CC640" s="5" t="s">
        <v>240</v>
      </c>
      <c r="CG640" s="5" t="s">
        <v>617</v>
      </c>
      <c r="CH640" s="5" t="s">
        <v>305</v>
      </c>
      <c r="CI640" s="5" t="s">
        <v>240</v>
      </c>
      <c r="CL640" s="6" t="s">
        <v>261</v>
      </c>
      <c r="CM640" s="5" t="s">
        <v>240</v>
      </c>
      <c r="CN640" s="5" t="s">
        <v>263</v>
      </c>
      <c r="CO640" s="5" t="s">
        <v>240</v>
      </c>
      <c r="CP640" s="5" t="s">
        <v>240</v>
      </c>
      <c r="CQ640" s="5">
        <v>0</v>
      </c>
      <c r="CR640" s="5" t="s">
        <v>306</v>
      </c>
      <c r="CS640" s="5" t="s">
        <v>307</v>
      </c>
      <c r="CT640" s="5" t="s">
        <v>307</v>
      </c>
      <c r="CU640" s="5" t="s">
        <v>260</v>
      </c>
      <c r="CX640" s="7">
        <f>1353365</f>
        <v>1353365</v>
      </c>
      <c r="CY640" s="7">
        <f>0</f>
        <v>0</v>
      </c>
      <c r="DA640" s="7">
        <f>0</f>
        <v>0</v>
      </c>
      <c r="DC640" s="5" t="s">
        <v>689</v>
      </c>
      <c r="DD640" s="5" t="s">
        <v>240</v>
      </c>
      <c r="DF640" s="5" t="s">
        <v>1247</v>
      </c>
      <c r="DG640" s="7">
        <f>611</f>
        <v>611</v>
      </c>
      <c r="DI640" s="5" t="s">
        <v>618</v>
      </c>
      <c r="DJ640" s="5" t="s">
        <v>240</v>
      </c>
      <c r="DK640" s="5" t="s">
        <v>240</v>
      </c>
      <c r="DL640" s="5" t="s">
        <v>240</v>
      </c>
      <c r="DP640" s="5" t="s">
        <v>240</v>
      </c>
      <c r="DQ640" s="5" t="s">
        <v>240</v>
      </c>
      <c r="DR640" s="5" t="s">
        <v>240</v>
      </c>
      <c r="DS640" s="5" t="s">
        <v>240</v>
      </c>
      <c r="DV640" s="5" t="s">
        <v>1334</v>
      </c>
      <c r="DW640" s="5" t="s">
        <v>785</v>
      </c>
      <c r="HO640" s="5" t="s">
        <v>312</v>
      </c>
    </row>
    <row r="641" spans="1:223" x14ac:dyDescent="0.4">
      <c r="A641" s="5">
        <v>1503</v>
      </c>
      <c r="B641" s="5">
        <v>1</v>
      </c>
      <c r="C641" s="5">
        <v>1</v>
      </c>
      <c r="D641" s="5" t="s">
        <v>723</v>
      </c>
      <c r="E641" s="5" t="s">
        <v>725</v>
      </c>
      <c r="F641" s="5" t="s">
        <v>254</v>
      </c>
      <c r="G641" s="5" t="s">
        <v>240</v>
      </c>
      <c r="H641" s="6" t="s">
        <v>2052</v>
      </c>
      <c r="I641" s="5" t="s">
        <v>722</v>
      </c>
      <c r="J641" s="8">
        <f>6470</f>
        <v>6470</v>
      </c>
      <c r="K641" s="5" t="s">
        <v>308</v>
      </c>
      <c r="L641" s="7">
        <f>71170</f>
        <v>71170</v>
      </c>
      <c r="M641" s="7">
        <f>71170</f>
        <v>71170</v>
      </c>
      <c r="N641" s="5" t="s">
        <v>242</v>
      </c>
      <c r="O641" s="5">
        <v>1</v>
      </c>
      <c r="P641" s="5" t="s">
        <v>294</v>
      </c>
      <c r="Q641" s="5" t="s">
        <v>613</v>
      </c>
      <c r="R641" s="5" t="s">
        <v>240</v>
      </c>
      <c r="S641" s="5" t="s">
        <v>240</v>
      </c>
      <c r="T641" s="5" t="s">
        <v>243</v>
      </c>
      <c r="U641" s="5" t="s">
        <v>244</v>
      </c>
      <c r="V641" s="5" t="s">
        <v>240</v>
      </c>
      <c r="Y641" s="5" t="s">
        <v>240</v>
      </c>
      <c r="Z641" s="6" t="s">
        <v>298</v>
      </c>
      <c r="AB641" s="6" t="s">
        <v>240</v>
      </c>
      <c r="AE641" s="6" t="s">
        <v>299</v>
      </c>
      <c r="AF641" s="5" t="s">
        <v>248</v>
      </c>
      <c r="AG641" s="5" t="s">
        <v>249</v>
      </c>
      <c r="AW641" s="5" t="s">
        <v>251</v>
      </c>
      <c r="AX641" s="5" t="s">
        <v>240</v>
      </c>
      <c r="AY641" s="5" t="s">
        <v>253</v>
      </c>
      <c r="AZ641" s="5" t="s">
        <v>240</v>
      </c>
      <c r="BA641" s="5" t="s">
        <v>255</v>
      </c>
      <c r="BB641" s="5" t="s">
        <v>240</v>
      </c>
      <c r="BD641" s="5" t="s">
        <v>240</v>
      </c>
      <c r="BF641" s="5" t="s">
        <v>301</v>
      </c>
      <c r="BG641" s="6" t="s">
        <v>299</v>
      </c>
      <c r="BH641" s="5" t="s">
        <v>302</v>
      </c>
      <c r="BI641" s="5" t="s">
        <v>303</v>
      </c>
      <c r="BJ641" s="5" t="s">
        <v>240</v>
      </c>
      <c r="BK641" s="8">
        <f>0</f>
        <v>0</v>
      </c>
      <c r="BL641" s="7">
        <f>0</f>
        <v>0</v>
      </c>
      <c r="BM641" s="5" t="s">
        <v>258</v>
      </c>
      <c r="BN641" s="5" t="s">
        <v>259</v>
      </c>
      <c r="CB641" s="5" t="s">
        <v>240</v>
      </c>
      <c r="CC641" s="5" t="s">
        <v>240</v>
      </c>
      <c r="CG641" s="5" t="s">
        <v>617</v>
      </c>
      <c r="CH641" s="5" t="s">
        <v>305</v>
      </c>
      <c r="CI641" s="5" t="s">
        <v>240</v>
      </c>
      <c r="CL641" s="6" t="s">
        <v>261</v>
      </c>
      <c r="CM641" s="5" t="s">
        <v>240</v>
      </c>
      <c r="CN641" s="5" t="s">
        <v>263</v>
      </c>
      <c r="CO641" s="5" t="s">
        <v>240</v>
      </c>
      <c r="CP641" s="5" t="s">
        <v>240</v>
      </c>
      <c r="CQ641" s="5">
        <v>0</v>
      </c>
      <c r="CR641" s="5" t="s">
        <v>306</v>
      </c>
      <c r="CS641" s="5" t="s">
        <v>307</v>
      </c>
      <c r="CT641" s="5" t="s">
        <v>307</v>
      </c>
      <c r="CU641" s="5" t="s">
        <v>260</v>
      </c>
      <c r="CX641" s="7">
        <f>2268160</f>
        <v>2268160</v>
      </c>
      <c r="CY641" s="7">
        <f>0</f>
        <v>0</v>
      </c>
      <c r="DA641" s="7">
        <f>0</f>
        <v>0</v>
      </c>
      <c r="DC641" s="5" t="s">
        <v>689</v>
      </c>
      <c r="DD641" s="5" t="s">
        <v>240</v>
      </c>
      <c r="DF641" s="5" t="s">
        <v>689</v>
      </c>
      <c r="DG641" s="7">
        <f>1024</f>
        <v>1024</v>
      </c>
      <c r="DI641" s="5" t="s">
        <v>618</v>
      </c>
      <c r="DJ641" s="5" t="s">
        <v>240</v>
      </c>
      <c r="DK641" s="5" t="s">
        <v>240</v>
      </c>
      <c r="DL641" s="5" t="s">
        <v>240</v>
      </c>
      <c r="DP641" s="5" t="s">
        <v>240</v>
      </c>
      <c r="DQ641" s="5" t="s">
        <v>240</v>
      </c>
      <c r="DR641" s="5" t="s">
        <v>240</v>
      </c>
      <c r="DS641" s="5" t="s">
        <v>240</v>
      </c>
      <c r="DV641" s="5" t="s">
        <v>1435</v>
      </c>
      <c r="DW641" s="5" t="s">
        <v>820</v>
      </c>
      <c r="HO641" s="5" t="s">
        <v>312</v>
      </c>
    </row>
    <row r="642" spans="1:223" x14ac:dyDescent="0.4">
      <c r="A642" s="5">
        <v>1504</v>
      </c>
      <c r="B642" s="5">
        <v>1</v>
      </c>
      <c r="C642" s="5">
        <v>1</v>
      </c>
      <c r="D642" s="5" t="s">
        <v>723</v>
      </c>
      <c r="E642" s="5" t="s">
        <v>725</v>
      </c>
      <c r="F642" s="5" t="s">
        <v>254</v>
      </c>
      <c r="G642" s="5" t="s">
        <v>240</v>
      </c>
      <c r="H642" s="6" t="s">
        <v>2050</v>
      </c>
      <c r="I642" s="5" t="s">
        <v>722</v>
      </c>
      <c r="J642" s="8">
        <f>720</f>
        <v>720</v>
      </c>
      <c r="K642" s="5" t="s">
        <v>308</v>
      </c>
      <c r="L642" s="7">
        <f>7920</f>
        <v>7920</v>
      </c>
      <c r="M642" s="7">
        <f>7920</f>
        <v>7920</v>
      </c>
      <c r="N642" s="5" t="s">
        <v>242</v>
      </c>
      <c r="O642" s="5">
        <v>1</v>
      </c>
      <c r="P642" s="5" t="s">
        <v>294</v>
      </c>
      <c r="Q642" s="5" t="s">
        <v>613</v>
      </c>
      <c r="R642" s="5" t="s">
        <v>240</v>
      </c>
      <c r="S642" s="5" t="s">
        <v>240</v>
      </c>
      <c r="T642" s="5" t="s">
        <v>243</v>
      </c>
      <c r="U642" s="5" t="s">
        <v>244</v>
      </c>
      <c r="V642" s="5" t="s">
        <v>240</v>
      </c>
      <c r="Y642" s="5" t="s">
        <v>240</v>
      </c>
      <c r="Z642" s="6" t="s">
        <v>298</v>
      </c>
      <c r="AB642" s="6" t="s">
        <v>240</v>
      </c>
      <c r="AE642" s="6" t="s">
        <v>299</v>
      </c>
      <c r="AF642" s="5" t="s">
        <v>248</v>
      </c>
      <c r="AG642" s="5" t="s">
        <v>249</v>
      </c>
      <c r="AW642" s="5" t="s">
        <v>251</v>
      </c>
      <c r="AX642" s="5" t="s">
        <v>240</v>
      </c>
      <c r="AY642" s="5" t="s">
        <v>253</v>
      </c>
      <c r="AZ642" s="5" t="s">
        <v>240</v>
      </c>
      <c r="BA642" s="5" t="s">
        <v>255</v>
      </c>
      <c r="BB642" s="5" t="s">
        <v>240</v>
      </c>
      <c r="BD642" s="5" t="s">
        <v>240</v>
      </c>
      <c r="BF642" s="5" t="s">
        <v>301</v>
      </c>
      <c r="BG642" s="6" t="s">
        <v>299</v>
      </c>
      <c r="BH642" s="5" t="s">
        <v>302</v>
      </c>
      <c r="BI642" s="5" t="s">
        <v>303</v>
      </c>
      <c r="BJ642" s="5" t="s">
        <v>240</v>
      </c>
      <c r="BK642" s="8">
        <f>0</f>
        <v>0</v>
      </c>
      <c r="BL642" s="7">
        <f>0</f>
        <v>0</v>
      </c>
      <c r="BM642" s="5" t="s">
        <v>258</v>
      </c>
      <c r="BN642" s="5" t="s">
        <v>259</v>
      </c>
      <c r="CB642" s="5" t="s">
        <v>240</v>
      </c>
      <c r="CC642" s="5" t="s">
        <v>240</v>
      </c>
      <c r="CG642" s="5" t="s">
        <v>617</v>
      </c>
      <c r="CH642" s="5" t="s">
        <v>305</v>
      </c>
      <c r="CI642" s="5" t="s">
        <v>240</v>
      </c>
      <c r="CL642" s="6" t="s">
        <v>261</v>
      </c>
      <c r="CM642" s="5" t="s">
        <v>240</v>
      </c>
      <c r="CN642" s="5" t="s">
        <v>263</v>
      </c>
      <c r="CO642" s="5" t="s">
        <v>240</v>
      </c>
      <c r="CP642" s="5" t="s">
        <v>240</v>
      </c>
      <c r="CQ642" s="5">
        <v>0</v>
      </c>
      <c r="CR642" s="5" t="s">
        <v>306</v>
      </c>
      <c r="CS642" s="5" t="s">
        <v>307</v>
      </c>
      <c r="CT642" s="5" t="s">
        <v>307</v>
      </c>
      <c r="CU642" s="5" t="s">
        <v>260</v>
      </c>
      <c r="CX642" s="7">
        <f>14421865</f>
        <v>14421865</v>
      </c>
      <c r="CY642" s="7">
        <f>0</f>
        <v>0</v>
      </c>
      <c r="DA642" s="7">
        <f>0</f>
        <v>0</v>
      </c>
      <c r="DC642" s="5" t="s">
        <v>689</v>
      </c>
      <c r="DD642" s="5" t="s">
        <v>240</v>
      </c>
      <c r="DF642" s="5" t="s">
        <v>689</v>
      </c>
      <c r="DG642" s="7">
        <f>6511</f>
        <v>6511</v>
      </c>
      <c r="DI642" s="5" t="s">
        <v>618</v>
      </c>
      <c r="DJ642" s="5" t="s">
        <v>240</v>
      </c>
      <c r="DK642" s="5" t="s">
        <v>240</v>
      </c>
      <c r="DL642" s="5" t="s">
        <v>240</v>
      </c>
      <c r="DP642" s="5" t="s">
        <v>240</v>
      </c>
      <c r="DQ642" s="5" t="s">
        <v>240</v>
      </c>
      <c r="DR642" s="5" t="s">
        <v>240</v>
      </c>
      <c r="DS642" s="5" t="s">
        <v>240</v>
      </c>
      <c r="DV642" s="5" t="s">
        <v>1435</v>
      </c>
      <c r="DW642" s="5" t="s">
        <v>691</v>
      </c>
      <c r="HO642" s="5" t="s">
        <v>312</v>
      </c>
    </row>
    <row r="643" spans="1:223" x14ac:dyDescent="0.4">
      <c r="A643" s="5">
        <v>1505</v>
      </c>
      <c r="B643" s="5">
        <v>1</v>
      </c>
      <c r="C643" s="5">
        <v>1</v>
      </c>
      <c r="D643" s="5" t="s">
        <v>723</v>
      </c>
      <c r="E643" s="5" t="s">
        <v>725</v>
      </c>
      <c r="F643" s="5" t="s">
        <v>254</v>
      </c>
      <c r="G643" s="5" t="s">
        <v>240</v>
      </c>
      <c r="H643" s="6" t="s">
        <v>4571</v>
      </c>
      <c r="I643" s="5" t="s">
        <v>722</v>
      </c>
      <c r="J643" s="8">
        <f>662</f>
        <v>662</v>
      </c>
      <c r="K643" s="5" t="s">
        <v>308</v>
      </c>
      <c r="L643" s="7">
        <f>7282</f>
        <v>7282</v>
      </c>
      <c r="M643" s="7">
        <f>7282</f>
        <v>7282</v>
      </c>
      <c r="N643" s="5" t="s">
        <v>242</v>
      </c>
      <c r="O643" s="5">
        <v>1</v>
      </c>
      <c r="P643" s="5" t="s">
        <v>294</v>
      </c>
      <c r="Q643" s="5" t="s">
        <v>613</v>
      </c>
      <c r="R643" s="5" t="s">
        <v>240</v>
      </c>
      <c r="S643" s="5" t="s">
        <v>240</v>
      </c>
      <c r="T643" s="5" t="s">
        <v>243</v>
      </c>
      <c r="U643" s="5" t="s">
        <v>244</v>
      </c>
      <c r="V643" s="5" t="s">
        <v>240</v>
      </c>
      <c r="Y643" s="5" t="s">
        <v>240</v>
      </c>
      <c r="Z643" s="6" t="s">
        <v>298</v>
      </c>
      <c r="AB643" s="6" t="s">
        <v>240</v>
      </c>
      <c r="AE643" s="6" t="s">
        <v>299</v>
      </c>
      <c r="AF643" s="5" t="s">
        <v>248</v>
      </c>
      <c r="AG643" s="5" t="s">
        <v>249</v>
      </c>
      <c r="AW643" s="5" t="s">
        <v>251</v>
      </c>
      <c r="AX643" s="5" t="s">
        <v>240</v>
      </c>
      <c r="AY643" s="5" t="s">
        <v>253</v>
      </c>
      <c r="AZ643" s="5" t="s">
        <v>240</v>
      </c>
      <c r="BA643" s="5" t="s">
        <v>255</v>
      </c>
      <c r="BB643" s="5" t="s">
        <v>240</v>
      </c>
      <c r="BD643" s="5" t="s">
        <v>240</v>
      </c>
      <c r="BF643" s="5" t="s">
        <v>301</v>
      </c>
      <c r="BG643" s="6" t="s">
        <v>299</v>
      </c>
      <c r="BH643" s="5" t="s">
        <v>302</v>
      </c>
      <c r="BI643" s="5" t="s">
        <v>303</v>
      </c>
      <c r="BJ643" s="5" t="s">
        <v>240</v>
      </c>
      <c r="BK643" s="8">
        <f>0</f>
        <v>0</v>
      </c>
      <c r="BL643" s="7">
        <f>0</f>
        <v>0</v>
      </c>
      <c r="BM643" s="5" t="s">
        <v>258</v>
      </c>
      <c r="BN643" s="5" t="s">
        <v>259</v>
      </c>
      <c r="CB643" s="5" t="s">
        <v>240</v>
      </c>
      <c r="CC643" s="5" t="s">
        <v>240</v>
      </c>
      <c r="CG643" s="5" t="s">
        <v>617</v>
      </c>
      <c r="CH643" s="5" t="s">
        <v>305</v>
      </c>
      <c r="CI643" s="5" t="s">
        <v>240</v>
      </c>
      <c r="CL643" s="6" t="s">
        <v>261</v>
      </c>
      <c r="CM643" s="5" t="s">
        <v>240</v>
      </c>
      <c r="CN643" s="5" t="s">
        <v>263</v>
      </c>
      <c r="CO643" s="5" t="s">
        <v>240</v>
      </c>
      <c r="CP643" s="5" t="s">
        <v>240</v>
      </c>
      <c r="CQ643" s="5">
        <v>0</v>
      </c>
      <c r="CR643" s="5" t="s">
        <v>306</v>
      </c>
      <c r="CS643" s="5" t="s">
        <v>307</v>
      </c>
      <c r="CT643" s="5" t="s">
        <v>307</v>
      </c>
      <c r="CU643" s="5" t="s">
        <v>260</v>
      </c>
      <c r="CX643" s="7">
        <f>356615</f>
        <v>356615</v>
      </c>
      <c r="CY643" s="7">
        <f>0</f>
        <v>0</v>
      </c>
      <c r="DA643" s="7">
        <f>0</f>
        <v>0</v>
      </c>
      <c r="DC643" s="5" t="s">
        <v>689</v>
      </c>
      <c r="DD643" s="5" t="s">
        <v>240</v>
      </c>
      <c r="DF643" s="5" t="s">
        <v>689</v>
      </c>
      <c r="DG643" s="7">
        <f>161</f>
        <v>161</v>
      </c>
      <c r="DI643" s="5" t="s">
        <v>618</v>
      </c>
      <c r="DJ643" s="5" t="s">
        <v>240</v>
      </c>
      <c r="DK643" s="5" t="s">
        <v>240</v>
      </c>
      <c r="DL643" s="5" t="s">
        <v>240</v>
      </c>
      <c r="DP643" s="5" t="s">
        <v>240</v>
      </c>
      <c r="DQ643" s="5" t="s">
        <v>240</v>
      </c>
      <c r="DR643" s="5" t="s">
        <v>240</v>
      </c>
      <c r="DS643" s="5" t="s">
        <v>240</v>
      </c>
      <c r="DV643" s="5" t="s">
        <v>1435</v>
      </c>
      <c r="DW643" s="5" t="s">
        <v>620</v>
      </c>
      <c r="HO643" s="5" t="s">
        <v>312</v>
      </c>
    </row>
    <row r="644" spans="1:223" x14ac:dyDescent="0.4">
      <c r="A644" s="5">
        <v>1506</v>
      </c>
      <c r="B644" s="5">
        <v>1</v>
      </c>
      <c r="C644" s="5">
        <v>1</v>
      </c>
      <c r="D644" s="5" t="s">
        <v>723</v>
      </c>
      <c r="E644" s="5" t="s">
        <v>725</v>
      </c>
      <c r="F644" s="5" t="s">
        <v>254</v>
      </c>
      <c r="G644" s="5" t="s">
        <v>240</v>
      </c>
      <c r="H644" s="6" t="s">
        <v>2046</v>
      </c>
      <c r="I644" s="5" t="s">
        <v>722</v>
      </c>
      <c r="J644" s="8">
        <f>888</f>
        <v>888</v>
      </c>
      <c r="K644" s="5" t="s">
        <v>308</v>
      </c>
      <c r="L644" s="7">
        <f>9768</f>
        <v>9768</v>
      </c>
      <c r="M644" s="7">
        <f>9768</f>
        <v>9768</v>
      </c>
      <c r="N644" s="5" t="s">
        <v>242</v>
      </c>
      <c r="O644" s="5">
        <v>1</v>
      </c>
      <c r="P644" s="5" t="s">
        <v>294</v>
      </c>
      <c r="Q644" s="5" t="s">
        <v>613</v>
      </c>
      <c r="R644" s="5" t="s">
        <v>240</v>
      </c>
      <c r="S644" s="5" t="s">
        <v>240</v>
      </c>
      <c r="T644" s="5" t="s">
        <v>243</v>
      </c>
      <c r="U644" s="5" t="s">
        <v>244</v>
      </c>
      <c r="V644" s="5" t="s">
        <v>240</v>
      </c>
      <c r="Y644" s="5" t="s">
        <v>240</v>
      </c>
      <c r="Z644" s="6" t="s">
        <v>298</v>
      </c>
      <c r="AB644" s="6" t="s">
        <v>240</v>
      </c>
      <c r="AE644" s="6" t="s">
        <v>299</v>
      </c>
      <c r="AF644" s="5" t="s">
        <v>248</v>
      </c>
      <c r="AG644" s="5" t="s">
        <v>249</v>
      </c>
      <c r="AW644" s="5" t="s">
        <v>251</v>
      </c>
      <c r="AX644" s="5" t="s">
        <v>240</v>
      </c>
      <c r="AY644" s="5" t="s">
        <v>253</v>
      </c>
      <c r="AZ644" s="5" t="s">
        <v>240</v>
      </c>
      <c r="BA644" s="5" t="s">
        <v>255</v>
      </c>
      <c r="BB644" s="5" t="s">
        <v>240</v>
      </c>
      <c r="BD644" s="5" t="s">
        <v>240</v>
      </c>
      <c r="BF644" s="5" t="s">
        <v>301</v>
      </c>
      <c r="BG644" s="6" t="s">
        <v>299</v>
      </c>
      <c r="BH644" s="5" t="s">
        <v>302</v>
      </c>
      <c r="BI644" s="5" t="s">
        <v>303</v>
      </c>
      <c r="BJ644" s="5" t="s">
        <v>240</v>
      </c>
      <c r="BK644" s="8">
        <f>0</f>
        <v>0</v>
      </c>
      <c r="BL644" s="7">
        <f>0</f>
        <v>0</v>
      </c>
      <c r="BM644" s="5" t="s">
        <v>258</v>
      </c>
      <c r="BN644" s="5" t="s">
        <v>259</v>
      </c>
      <c r="CB644" s="5" t="s">
        <v>240</v>
      </c>
      <c r="CC644" s="5" t="s">
        <v>240</v>
      </c>
      <c r="CG644" s="5" t="s">
        <v>617</v>
      </c>
      <c r="CH644" s="5" t="s">
        <v>305</v>
      </c>
      <c r="CI644" s="5" t="s">
        <v>240</v>
      </c>
      <c r="CL644" s="6" t="s">
        <v>261</v>
      </c>
      <c r="CM644" s="5" t="s">
        <v>240</v>
      </c>
      <c r="CN644" s="5" t="s">
        <v>263</v>
      </c>
      <c r="CO644" s="5" t="s">
        <v>240</v>
      </c>
      <c r="CP644" s="5" t="s">
        <v>240</v>
      </c>
      <c r="CQ644" s="5">
        <v>0</v>
      </c>
      <c r="CR644" s="5" t="s">
        <v>306</v>
      </c>
      <c r="CS644" s="5" t="s">
        <v>307</v>
      </c>
      <c r="CT644" s="5" t="s">
        <v>307</v>
      </c>
      <c r="CU644" s="5" t="s">
        <v>260</v>
      </c>
      <c r="CX644" s="7">
        <f>8802410</f>
        <v>8802410</v>
      </c>
      <c r="CY644" s="7">
        <f>0</f>
        <v>0</v>
      </c>
      <c r="DA644" s="7">
        <f>0</f>
        <v>0</v>
      </c>
      <c r="DC644" s="5" t="s">
        <v>689</v>
      </c>
      <c r="DD644" s="5" t="s">
        <v>240</v>
      </c>
      <c r="DF644" s="5" t="s">
        <v>689</v>
      </c>
      <c r="DG644" s="7">
        <f>3974</f>
        <v>3974</v>
      </c>
      <c r="DI644" s="5" t="s">
        <v>618</v>
      </c>
      <c r="DJ644" s="5" t="s">
        <v>240</v>
      </c>
      <c r="DK644" s="5" t="s">
        <v>240</v>
      </c>
      <c r="DL644" s="5" t="s">
        <v>240</v>
      </c>
      <c r="DP644" s="5" t="s">
        <v>240</v>
      </c>
      <c r="DQ644" s="5" t="s">
        <v>240</v>
      </c>
      <c r="DR644" s="5" t="s">
        <v>240</v>
      </c>
      <c r="DS644" s="5" t="s">
        <v>240</v>
      </c>
      <c r="DV644" s="5" t="s">
        <v>1435</v>
      </c>
      <c r="DW644" s="5" t="s">
        <v>621</v>
      </c>
      <c r="HO644" s="5" t="s">
        <v>312</v>
      </c>
    </row>
    <row r="645" spans="1:223" x14ac:dyDescent="0.4">
      <c r="A645" s="5">
        <v>1507</v>
      </c>
      <c r="B645" s="5">
        <v>1</v>
      </c>
      <c r="C645" s="5">
        <v>1</v>
      </c>
      <c r="D645" s="5" t="s">
        <v>723</v>
      </c>
      <c r="E645" s="5" t="s">
        <v>725</v>
      </c>
      <c r="F645" s="5" t="s">
        <v>254</v>
      </c>
      <c r="G645" s="5" t="s">
        <v>240</v>
      </c>
      <c r="H645" s="6" t="s">
        <v>2043</v>
      </c>
      <c r="I645" s="5" t="s">
        <v>722</v>
      </c>
      <c r="J645" s="8">
        <f>1990</f>
        <v>1990</v>
      </c>
      <c r="K645" s="5" t="s">
        <v>308</v>
      </c>
      <c r="L645" s="7">
        <f>21890</f>
        <v>21890</v>
      </c>
      <c r="M645" s="7">
        <f>21890</f>
        <v>21890</v>
      </c>
      <c r="N645" s="5" t="s">
        <v>242</v>
      </c>
      <c r="O645" s="5">
        <v>1</v>
      </c>
      <c r="P645" s="5" t="s">
        <v>294</v>
      </c>
      <c r="Q645" s="5" t="s">
        <v>613</v>
      </c>
      <c r="R645" s="5" t="s">
        <v>240</v>
      </c>
      <c r="S645" s="5" t="s">
        <v>240</v>
      </c>
      <c r="T645" s="5" t="s">
        <v>243</v>
      </c>
      <c r="U645" s="5" t="s">
        <v>244</v>
      </c>
      <c r="V645" s="5" t="s">
        <v>240</v>
      </c>
      <c r="Y645" s="5" t="s">
        <v>240</v>
      </c>
      <c r="Z645" s="6" t="s">
        <v>298</v>
      </c>
      <c r="AB645" s="6" t="s">
        <v>240</v>
      </c>
      <c r="AE645" s="6" t="s">
        <v>299</v>
      </c>
      <c r="AF645" s="5" t="s">
        <v>248</v>
      </c>
      <c r="AG645" s="5" t="s">
        <v>249</v>
      </c>
      <c r="AW645" s="5" t="s">
        <v>251</v>
      </c>
      <c r="AX645" s="5" t="s">
        <v>240</v>
      </c>
      <c r="AY645" s="5" t="s">
        <v>253</v>
      </c>
      <c r="AZ645" s="5" t="s">
        <v>240</v>
      </c>
      <c r="BA645" s="5" t="s">
        <v>255</v>
      </c>
      <c r="BB645" s="5" t="s">
        <v>240</v>
      </c>
      <c r="BD645" s="5" t="s">
        <v>686</v>
      </c>
      <c r="BF645" s="5" t="s">
        <v>301</v>
      </c>
      <c r="BG645" s="6" t="s">
        <v>299</v>
      </c>
      <c r="BH645" s="5" t="s">
        <v>302</v>
      </c>
      <c r="BI645" s="5" t="s">
        <v>303</v>
      </c>
      <c r="BJ645" s="5" t="s">
        <v>240</v>
      </c>
      <c r="BK645" s="8">
        <f>0</f>
        <v>0</v>
      </c>
      <c r="BL645" s="7">
        <f>0</f>
        <v>0</v>
      </c>
      <c r="BM645" s="5" t="s">
        <v>258</v>
      </c>
      <c r="BN645" s="5" t="s">
        <v>259</v>
      </c>
      <c r="CB645" s="5" t="s">
        <v>240</v>
      </c>
      <c r="CC645" s="5" t="s">
        <v>240</v>
      </c>
      <c r="CG645" s="5" t="s">
        <v>617</v>
      </c>
      <c r="CH645" s="5" t="s">
        <v>305</v>
      </c>
      <c r="CI645" s="5" t="s">
        <v>240</v>
      </c>
      <c r="CL645" s="6" t="s">
        <v>261</v>
      </c>
      <c r="CM645" s="5" t="s">
        <v>240</v>
      </c>
      <c r="CN645" s="5" t="s">
        <v>263</v>
      </c>
      <c r="CO645" s="5" t="s">
        <v>240</v>
      </c>
      <c r="CP645" s="5" t="s">
        <v>240</v>
      </c>
      <c r="CQ645" s="5">
        <v>0</v>
      </c>
      <c r="CR645" s="5" t="s">
        <v>306</v>
      </c>
      <c r="CS645" s="5" t="s">
        <v>307</v>
      </c>
      <c r="CT645" s="5" t="s">
        <v>307</v>
      </c>
      <c r="CU645" s="5" t="s">
        <v>260</v>
      </c>
      <c r="CX645" s="7">
        <f>15349950</f>
        <v>15349950</v>
      </c>
      <c r="CY645" s="7">
        <f>0</f>
        <v>0</v>
      </c>
      <c r="DA645" s="7">
        <f>0</f>
        <v>0</v>
      </c>
      <c r="DC645" s="5" t="s">
        <v>689</v>
      </c>
      <c r="DD645" s="5" t="s">
        <v>240</v>
      </c>
      <c r="DF645" s="5" t="s">
        <v>689</v>
      </c>
      <c r="DG645" s="7">
        <f>6930</f>
        <v>6930</v>
      </c>
      <c r="DI645" s="5" t="s">
        <v>618</v>
      </c>
      <c r="DJ645" s="5" t="s">
        <v>240</v>
      </c>
      <c r="DK645" s="5" t="s">
        <v>240</v>
      </c>
      <c r="DL645" s="5" t="s">
        <v>240</v>
      </c>
      <c r="DP645" s="5" t="s">
        <v>240</v>
      </c>
      <c r="DQ645" s="5" t="s">
        <v>240</v>
      </c>
      <c r="DR645" s="5" t="s">
        <v>240</v>
      </c>
      <c r="DS645" s="5" t="s">
        <v>240</v>
      </c>
      <c r="DV645" s="5" t="s">
        <v>1435</v>
      </c>
      <c r="DW645" s="5" t="s">
        <v>312</v>
      </c>
      <c r="HO645" s="5" t="s">
        <v>312</v>
      </c>
    </row>
    <row r="646" spans="1:223" x14ac:dyDescent="0.4">
      <c r="A646" s="5">
        <v>1508</v>
      </c>
      <c r="B646" s="5">
        <v>1</v>
      </c>
      <c r="C646" s="5">
        <v>1</v>
      </c>
      <c r="D646" s="5" t="s">
        <v>723</v>
      </c>
      <c r="E646" s="5" t="s">
        <v>725</v>
      </c>
      <c r="F646" s="5" t="s">
        <v>254</v>
      </c>
      <c r="G646" s="5" t="s">
        <v>240</v>
      </c>
      <c r="H646" s="6" t="s">
        <v>2136</v>
      </c>
      <c r="I646" s="5" t="s">
        <v>722</v>
      </c>
      <c r="J646" s="8">
        <f>740</f>
        <v>740</v>
      </c>
      <c r="K646" s="5" t="s">
        <v>308</v>
      </c>
      <c r="L646" s="7">
        <f>8140</f>
        <v>8140</v>
      </c>
      <c r="M646" s="7">
        <f>8140</f>
        <v>8140</v>
      </c>
      <c r="N646" s="5" t="s">
        <v>242</v>
      </c>
      <c r="O646" s="5">
        <v>1</v>
      </c>
      <c r="P646" s="5" t="s">
        <v>294</v>
      </c>
      <c r="Q646" s="5" t="s">
        <v>613</v>
      </c>
      <c r="R646" s="5" t="s">
        <v>240</v>
      </c>
      <c r="S646" s="5" t="s">
        <v>240</v>
      </c>
      <c r="T646" s="5" t="s">
        <v>243</v>
      </c>
      <c r="U646" s="5" t="s">
        <v>244</v>
      </c>
      <c r="V646" s="5" t="s">
        <v>240</v>
      </c>
      <c r="Y646" s="5" t="s">
        <v>240</v>
      </c>
      <c r="Z646" s="6" t="s">
        <v>298</v>
      </c>
      <c r="AB646" s="6" t="s">
        <v>240</v>
      </c>
      <c r="AE646" s="6" t="s">
        <v>299</v>
      </c>
      <c r="AF646" s="5" t="s">
        <v>248</v>
      </c>
      <c r="AG646" s="5" t="s">
        <v>249</v>
      </c>
      <c r="AW646" s="5" t="s">
        <v>251</v>
      </c>
      <c r="AX646" s="5" t="s">
        <v>240</v>
      </c>
      <c r="AY646" s="5" t="s">
        <v>253</v>
      </c>
      <c r="AZ646" s="5" t="s">
        <v>240</v>
      </c>
      <c r="BA646" s="5" t="s">
        <v>255</v>
      </c>
      <c r="BB646" s="5" t="s">
        <v>240</v>
      </c>
      <c r="BD646" s="5" t="s">
        <v>686</v>
      </c>
      <c r="BF646" s="5" t="s">
        <v>301</v>
      </c>
      <c r="BG646" s="6" t="s">
        <v>299</v>
      </c>
      <c r="BH646" s="5" t="s">
        <v>302</v>
      </c>
      <c r="BI646" s="5" t="s">
        <v>303</v>
      </c>
      <c r="BJ646" s="5" t="s">
        <v>240</v>
      </c>
      <c r="BK646" s="8">
        <f>0</f>
        <v>0</v>
      </c>
      <c r="BL646" s="7">
        <f>0</f>
        <v>0</v>
      </c>
      <c r="BM646" s="5" t="s">
        <v>258</v>
      </c>
      <c r="BN646" s="5" t="s">
        <v>259</v>
      </c>
      <c r="CB646" s="5" t="s">
        <v>240</v>
      </c>
      <c r="CC646" s="5" t="s">
        <v>240</v>
      </c>
      <c r="CG646" s="5" t="s">
        <v>617</v>
      </c>
      <c r="CH646" s="5" t="s">
        <v>305</v>
      </c>
      <c r="CI646" s="5" t="s">
        <v>240</v>
      </c>
      <c r="CL646" s="6" t="s">
        <v>261</v>
      </c>
      <c r="CM646" s="5" t="s">
        <v>240</v>
      </c>
      <c r="CN646" s="5" t="s">
        <v>263</v>
      </c>
      <c r="CO646" s="5" t="s">
        <v>240</v>
      </c>
      <c r="CP646" s="5" t="s">
        <v>240</v>
      </c>
      <c r="CQ646" s="5">
        <v>0</v>
      </c>
      <c r="CR646" s="5" t="s">
        <v>306</v>
      </c>
      <c r="CS646" s="5" t="s">
        <v>307</v>
      </c>
      <c r="CT646" s="5" t="s">
        <v>307</v>
      </c>
      <c r="CU646" s="5" t="s">
        <v>260</v>
      </c>
      <c r="CX646" s="7">
        <f>889322</f>
        <v>889322</v>
      </c>
      <c r="CY646" s="7">
        <f>0</f>
        <v>0</v>
      </c>
      <c r="DA646" s="7">
        <f>0</f>
        <v>0</v>
      </c>
      <c r="DC646" s="5" t="s">
        <v>618</v>
      </c>
      <c r="DD646" s="5" t="s">
        <v>240</v>
      </c>
      <c r="DF646" s="5" t="s">
        <v>450</v>
      </c>
      <c r="DG646" s="7">
        <f>0</f>
        <v>0</v>
      </c>
      <c r="DI646" s="5" t="s">
        <v>618</v>
      </c>
      <c r="DJ646" s="5" t="s">
        <v>240</v>
      </c>
      <c r="DK646" s="5" t="s">
        <v>240</v>
      </c>
      <c r="DL646" s="5" t="s">
        <v>240</v>
      </c>
      <c r="DP646" s="5" t="s">
        <v>240</v>
      </c>
      <c r="DQ646" s="5" t="s">
        <v>240</v>
      </c>
      <c r="DR646" s="5" t="s">
        <v>240</v>
      </c>
      <c r="DS646" s="5" t="s">
        <v>240</v>
      </c>
      <c r="DV646" s="5" t="s">
        <v>1453</v>
      </c>
      <c r="DW646" s="5" t="s">
        <v>312</v>
      </c>
      <c r="HO646" s="5" t="s">
        <v>312</v>
      </c>
    </row>
    <row r="647" spans="1:223" x14ac:dyDescent="0.4">
      <c r="A647" s="5">
        <v>1509</v>
      </c>
      <c r="B647" s="5">
        <v>1</v>
      </c>
      <c r="C647" s="5">
        <v>1</v>
      </c>
      <c r="D647" s="5" t="s">
        <v>723</v>
      </c>
      <c r="E647" s="5" t="s">
        <v>725</v>
      </c>
      <c r="F647" s="5" t="s">
        <v>254</v>
      </c>
      <c r="G647" s="5" t="s">
        <v>240</v>
      </c>
      <c r="H647" s="6" t="s">
        <v>2041</v>
      </c>
      <c r="I647" s="5" t="s">
        <v>722</v>
      </c>
      <c r="J647" s="8">
        <f>393</f>
        <v>393</v>
      </c>
      <c r="K647" s="5" t="s">
        <v>308</v>
      </c>
      <c r="L647" s="7">
        <f>4323</f>
        <v>4323</v>
      </c>
      <c r="M647" s="7">
        <f>4323</f>
        <v>4323</v>
      </c>
      <c r="N647" s="5" t="s">
        <v>242</v>
      </c>
      <c r="O647" s="5">
        <v>1</v>
      </c>
      <c r="P647" s="5" t="s">
        <v>294</v>
      </c>
      <c r="Q647" s="5" t="s">
        <v>613</v>
      </c>
      <c r="R647" s="5" t="s">
        <v>240</v>
      </c>
      <c r="S647" s="5" t="s">
        <v>240</v>
      </c>
      <c r="T647" s="5" t="s">
        <v>243</v>
      </c>
      <c r="U647" s="5" t="s">
        <v>244</v>
      </c>
      <c r="V647" s="5" t="s">
        <v>240</v>
      </c>
      <c r="Y647" s="5" t="s">
        <v>240</v>
      </c>
      <c r="Z647" s="6" t="s">
        <v>298</v>
      </c>
      <c r="AB647" s="6" t="s">
        <v>240</v>
      </c>
      <c r="AE647" s="6" t="s">
        <v>299</v>
      </c>
      <c r="AF647" s="5" t="s">
        <v>248</v>
      </c>
      <c r="AG647" s="5" t="s">
        <v>249</v>
      </c>
      <c r="AW647" s="5" t="s">
        <v>251</v>
      </c>
      <c r="AX647" s="5" t="s">
        <v>240</v>
      </c>
      <c r="AY647" s="5" t="s">
        <v>253</v>
      </c>
      <c r="AZ647" s="5" t="s">
        <v>240</v>
      </c>
      <c r="BA647" s="5" t="s">
        <v>255</v>
      </c>
      <c r="BB647" s="5" t="s">
        <v>240</v>
      </c>
      <c r="BD647" s="5" t="s">
        <v>240</v>
      </c>
      <c r="BF647" s="5" t="s">
        <v>301</v>
      </c>
      <c r="BG647" s="6" t="s">
        <v>299</v>
      </c>
      <c r="BH647" s="5" t="s">
        <v>302</v>
      </c>
      <c r="BI647" s="5" t="s">
        <v>303</v>
      </c>
      <c r="BJ647" s="5" t="s">
        <v>240</v>
      </c>
      <c r="BK647" s="8">
        <f>0</f>
        <v>0</v>
      </c>
      <c r="BL647" s="7">
        <f>0</f>
        <v>0</v>
      </c>
      <c r="BM647" s="5" t="s">
        <v>258</v>
      </c>
      <c r="BN647" s="5" t="s">
        <v>259</v>
      </c>
      <c r="CB647" s="5" t="s">
        <v>240</v>
      </c>
      <c r="CC647" s="5" t="s">
        <v>240</v>
      </c>
      <c r="CG647" s="5" t="s">
        <v>617</v>
      </c>
      <c r="CH647" s="5" t="s">
        <v>305</v>
      </c>
      <c r="CI647" s="5" t="s">
        <v>240</v>
      </c>
      <c r="CL647" s="6" t="s">
        <v>261</v>
      </c>
      <c r="CM647" s="5" t="s">
        <v>240</v>
      </c>
      <c r="CN647" s="5" t="s">
        <v>263</v>
      </c>
      <c r="CO647" s="5" t="s">
        <v>240</v>
      </c>
      <c r="CP647" s="5" t="s">
        <v>240</v>
      </c>
      <c r="CQ647" s="5">
        <v>0</v>
      </c>
      <c r="CR647" s="5" t="s">
        <v>306</v>
      </c>
      <c r="CS647" s="5" t="s">
        <v>307</v>
      </c>
      <c r="CT647" s="5" t="s">
        <v>307</v>
      </c>
      <c r="CU647" s="5" t="s">
        <v>260</v>
      </c>
      <c r="CX647" s="7">
        <f>1253690</f>
        <v>1253690</v>
      </c>
      <c r="CY647" s="7">
        <f>0</f>
        <v>0</v>
      </c>
      <c r="DA647" s="7">
        <f>0</f>
        <v>0</v>
      </c>
      <c r="DC647" s="5" t="s">
        <v>689</v>
      </c>
      <c r="DD647" s="5" t="s">
        <v>240</v>
      </c>
      <c r="DF647" s="5" t="s">
        <v>450</v>
      </c>
      <c r="DG647" s="7">
        <f>0</f>
        <v>0</v>
      </c>
      <c r="DI647" s="5" t="s">
        <v>618</v>
      </c>
      <c r="DJ647" s="5" t="s">
        <v>240</v>
      </c>
      <c r="DK647" s="5" t="s">
        <v>240</v>
      </c>
      <c r="DL647" s="5" t="s">
        <v>240</v>
      </c>
      <c r="DP647" s="5" t="s">
        <v>240</v>
      </c>
      <c r="DQ647" s="5" t="s">
        <v>240</v>
      </c>
      <c r="DR647" s="5" t="s">
        <v>240</v>
      </c>
      <c r="DS647" s="5" t="s">
        <v>240</v>
      </c>
      <c r="DV647" s="5" t="s">
        <v>1457</v>
      </c>
      <c r="DW647" s="5" t="s">
        <v>818</v>
      </c>
      <c r="HO647" s="5" t="s">
        <v>312</v>
      </c>
    </row>
    <row r="648" spans="1:223" x14ac:dyDescent="0.4">
      <c r="A648" s="5">
        <v>1510</v>
      </c>
      <c r="B648" s="5">
        <v>1</v>
      </c>
      <c r="C648" s="5">
        <v>1</v>
      </c>
      <c r="D648" s="5" t="s">
        <v>723</v>
      </c>
      <c r="E648" s="5" t="s">
        <v>725</v>
      </c>
      <c r="F648" s="5" t="s">
        <v>254</v>
      </c>
      <c r="G648" s="5" t="s">
        <v>240</v>
      </c>
      <c r="H648" s="6" t="s">
        <v>2035</v>
      </c>
      <c r="I648" s="5" t="s">
        <v>722</v>
      </c>
      <c r="J648" s="8">
        <f>10127</f>
        <v>10127</v>
      </c>
      <c r="K648" s="5" t="s">
        <v>308</v>
      </c>
      <c r="L648" s="7">
        <f>111397</f>
        <v>111397</v>
      </c>
      <c r="M648" s="7">
        <f>111397</f>
        <v>111397</v>
      </c>
      <c r="N648" s="5" t="s">
        <v>242</v>
      </c>
      <c r="O648" s="5">
        <v>1</v>
      </c>
      <c r="P648" s="5" t="s">
        <v>294</v>
      </c>
      <c r="Q648" s="5" t="s">
        <v>613</v>
      </c>
      <c r="R648" s="5" t="s">
        <v>240</v>
      </c>
      <c r="S648" s="5" t="s">
        <v>240</v>
      </c>
      <c r="T648" s="5" t="s">
        <v>243</v>
      </c>
      <c r="U648" s="5" t="s">
        <v>244</v>
      </c>
      <c r="V648" s="5" t="s">
        <v>240</v>
      </c>
      <c r="Y648" s="5" t="s">
        <v>240</v>
      </c>
      <c r="Z648" s="6" t="s">
        <v>298</v>
      </c>
      <c r="AB648" s="6" t="s">
        <v>240</v>
      </c>
      <c r="AE648" s="6" t="s">
        <v>299</v>
      </c>
      <c r="AF648" s="5" t="s">
        <v>248</v>
      </c>
      <c r="AG648" s="5" t="s">
        <v>249</v>
      </c>
      <c r="AW648" s="5" t="s">
        <v>251</v>
      </c>
      <c r="AX648" s="5" t="s">
        <v>240</v>
      </c>
      <c r="AY648" s="5" t="s">
        <v>253</v>
      </c>
      <c r="AZ648" s="5" t="s">
        <v>240</v>
      </c>
      <c r="BA648" s="5" t="s">
        <v>255</v>
      </c>
      <c r="BB648" s="5" t="s">
        <v>240</v>
      </c>
      <c r="BD648" s="5" t="s">
        <v>240</v>
      </c>
      <c r="BF648" s="5" t="s">
        <v>301</v>
      </c>
      <c r="BG648" s="6" t="s">
        <v>299</v>
      </c>
      <c r="BH648" s="5" t="s">
        <v>302</v>
      </c>
      <c r="BI648" s="5" t="s">
        <v>303</v>
      </c>
      <c r="BJ648" s="5" t="s">
        <v>240</v>
      </c>
      <c r="BK648" s="8">
        <f>0</f>
        <v>0</v>
      </c>
      <c r="BL648" s="7">
        <f>0</f>
        <v>0</v>
      </c>
      <c r="BM648" s="5" t="s">
        <v>258</v>
      </c>
      <c r="BN648" s="5" t="s">
        <v>259</v>
      </c>
      <c r="CB648" s="5" t="s">
        <v>240</v>
      </c>
      <c r="CC648" s="5" t="s">
        <v>240</v>
      </c>
      <c r="CG648" s="5" t="s">
        <v>617</v>
      </c>
      <c r="CH648" s="5" t="s">
        <v>305</v>
      </c>
      <c r="CI648" s="5" t="s">
        <v>240</v>
      </c>
      <c r="CL648" s="6" t="s">
        <v>261</v>
      </c>
      <c r="CM648" s="5" t="s">
        <v>240</v>
      </c>
      <c r="CN648" s="5" t="s">
        <v>263</v>
      </c>
      <c r="CO648" s="5" t="s">
        <v>240</v>
      </c>
      <c r="CP648" s="5" t="s">
        <v>240</v>
      </c>
      <c r="CQ648" s="5">
        <v>0</v>
      </c>
      <c r="CR648" s="5" t="s">
        <v>306</v>
      </c>
      <c r="CS648" s="5" t="s">
        <v>307</v>
      </c>
      <c r="CT648" s="5" t="s">
        <v>307</v>
      </c>
      <c r="CU648" s="5" t="s">
        <v>260</v>
      </c>
      <c r="CX648" s="7">
        <f>230360</f>
        <v>230360</v>
      </c>
      <c r="CY648" s="7">
        <f>0</f>
        <v>0</v>
      </c>
      <c r="DA648" s="7">
        <f>0</f>
        <v>0</v>
      </c>
      <c r="DC648" s="5" t="s">
        <v>689</v>
      </c>
      <c r="DD648" s="5" t="s">
        <v>240</v>
      </c>
      <c r="DF648" s="5" t="s">
        <v>450</v>
      </c>
      <c r="DG648" s="7">
        <f>0</f>
        <v>0</v>
      </c>
      <c r="DI648" s="5" t="s">
        <v>618</v>
      </c>
      <c r="DJ648" s="5" t="s">
        <v>240</v>
      </c>
      <c r="DK648" s="5" t="s">
        <v>240</v>
      </c>
      <c r="DL648" s="5" t="s">
        <v>240</v>
      </c>
      <c r="DP648" s="5" t="s">
        <v>240</v>
      </c>
      <c r="DQ648" s="5" t="s">
        <v>240</v>
      </c>
      <c r="DR648" s="5" t="s">
        <v>240</v>
      </c>
      <c r="DS648" s="5" t="s">
        <v>240</v>
      </c>
      <c r="DV648" s="5" t="s">
        <v>1457</v>
      </c>
      <c r="DW648" s="5" t="s">
        <v>820</v>
      </c>
      <c r="HO648" s="5" t="s">
        <v>312</v>
      </c>
    </row>
    <row r="649" spans="1:223" x14ac:dyDescent="0.4">
      <c r="A649" s="5">
        <v>1511</v>
      </c>
      <c r="B649" s="5">
        <v>1</v>
      </c>
      <c r="C649" s="5">
        <v>1</v>
      </c>
      <c r="D649" s="5" t="s">
        <v>723</v>
      </c>
      <c r="E649" s="5" t="s">
        <v>725</v>
      </c>
      <c r="F649" s="5" t="s">
        <v>254</v>
      </c>
      <c r="G649" s="5" t="s">
        <v>240</v>
      </c>
      <c r="H649" s="6" t="s">
        <v>1994</v>
      </c>
      <c r="I649" s="5" t="s">
        <v>722</v>
      </c>
      <c r="J649" s="8">
        <f>70</f>
        <v>70</v>
      </c>
      <c r="K649" s="5" t="s">
        <v>308</v>
      </c>
      <c r="L649" s="7">
        <f>770</f>
        <v>770</v>
      </c>
      <c r="M649" s="7">
        <f>770</f>
        <v>770</v>
      </c>
      <c r="N649" s="5" t="s">
        <v>242</v>
      </c>
      <c r="O649" s="5">
        <v>1</v>
      </c>
      <c r="P649" s="5" t="s">
        <v>294</v>
      </c>
      <c r="Q649" s="5" t="s">
        <v>613</v>
      </c>
      <c r="R649" s="5" t="s">
        <v>240</v>
      </c>
      <c r="S649" s="5" t="s">
        <v>240</v>
      </c>
      <c r="T649" s="5" t="s">
        <v>243</v>
      </c>
      <c r="U649" s="5" t="s">
        <v>244</v>
      </c>
      <c r="V649" s="5" t="s">
        <v>240</v>
      </c>
      <c r="Y649" s="5" t="s">
        <v>240</v>
      </c>
      <c r="Z649" s="6" t="s">
        <v>298</v>
      </c>
      <c r="AB649" s="6" t="s">
        <v>240</v>
      </c>
      <c r="AE649" s="6" t="s">
        <v>299</v>
      </c>
      <c r="AF649" s="5" t="s">
        <v>248</v>
      </c>
      <c r="AG649" s="5" t="s">
        <v>249</v>
      </c>
      <c r="AW649" s="5" t="s">
        <v>251</v>
      </c>
      <c r="AX649" s="5" t="s">
        <v>240</v>
      </c>
      <c r="AY649" s="5" t="s">
        <v>253</v>
      </c>
      <c r="AZ649" s="5" t="s">
        <v>240</v>
      </c>
      <c r="BA649" s="5" t="s">
        <v>255</v>
      </c>
      <c r="BB649" s="5" t="s">
        <v>240</v>
      </c>
      <c r="BD649" s="5" t="s">
        <v>240</v>
      </c>
      <c r="BF649" s="5" t="s">
        <v>301</v>
      </c>
      <c r="BG649" s="6" t="s">
        <v>299</v>
      </c>
      <c r="BH649" s="5" t="s">
        <v>302</v>
      </c>
      <c r="BI649" s="5" t="s">
        <v>303</v>
      </c>
      <c r="BJ649" s="5" t="s">
        <v>240</v>
      </c>
      <c r="BK649" s="8">
        <f>0</f>
        <v>0</v>
      </c>
      <c r="BL649" s="7">
        <f>0</f>
        <v>0</v>
      </c>
      <c r="BM649" s="5" t="s">
        <v>258</v>
      </c>
      <c r="BN649" s="5" t="s">
        <v>259</v>
      </c>
      <c r="CB649" s="5" t="s">
        <v>240</v>
      </c>
      <c r="CC649" s="5" t="s">
        <v>240</v>
      </c>
      <c r="CG649" s="5" t="s">
        <v>617</v>
      </c>
      <c r="CH649" s="5" t="s">
        <v>305</v>
      </c>
      <c r="CI649" s="5" t="s">
        <v>240</v>
      </c>
      <c r="CL649" s="6" t="s">
        <v>261</v>
      </c>
      <c r="CM649" s="5" t="s">
        <v>240</v>
      </c>
      <c r="CN649" s="5" t="s">
        <v>263</v>
      </c>
      <c r="CO649" s="5" t="s">
        <v>240</v>
      </c>
      <c r="CP649" s="5" t="s">
        <v>240</v>
      </c>
      <c r="CQ649" s="5">
        <v>0</v>
      </c>
      <c r="CR649" s="5" t="s">
        <v>306</v>
      </c>
      <c r="CS649" s="5" t="s">
        <v>307</v>
      </c>
      <c r="CT649" s="5" t="s">
        <v>307</v>
      </c>
      <c r="CU649" s="5" t="s">
        <v>260</v>
      </c>
      <c r="CX649" s="7">
        <f>1550500</f>
        <v>1550500</v>
      </c>
      <c r="CY649" s="7">
        <f>0</f>
        <v>0</v>
      </c>
      <c r="DA649" s="7">
        <f>0</f>
        <v>0</v>
      </c>
      <c r="DC649" s="5" t="s">
        <v>689</v>
      </c>
      <c r="DD649" s="5" t="s">
        <v>240</v>
      </c>
      <c r="DF649" s="5" t="s">
        <v>450</v>
      </c>
      <c r="DG649" s="7">
        <f>0</f>
        <v>0</v>
      </c>
      <c r="DI649" s="5" t="s">
        <v>618</v>
      </c>
      <c r="DJ649" s="5" t="s">
        <v>240</v>
      </c>
      <c r="DK649" s="5" t="s">
        <v>240</v>
      </c>
      <c r="DL649" s="5" t="s">
        <v>240</v>
      </c>
      <c r="DP649" s="5" t="s">
        <v>240</v>
      </c>
      <c r="DQ649" s="5" t="s">
        <v>240</v>
      </c>
      <c r="DR649" s="5" t="s">
        <v>240</v>
      </c>
      <c r="DS649" s="5" t="s">
        <v>240</v>
      </c>
      <c r="DV649" s="5" t="s">
        <v>1457</v>
      </c>
      <c r="DW649" s="5" t="s">
        <v>691</v>
      </c>
      <c r="HO649" s="5" t="s">
        <v>312</v>
      </c>
    </row>
    <row r="650" spans="1:223" x14ac:dyDescent="0.4">
      <c r="A650" s="5">
        <v>1512</v>
      </c>
      <c r="B650" s="5">
        <v>1</v>
      </c>
      <c r="C650" s="5">
        <v>1</v>
      </c>
      <c r="D650" s="5" t="s">
        <v>723</v>
      </c>
      <c r="E650" s="5" t="s">
        <v>725</v>
      </c>
      <c r="F650" s="5" t="s">
        <v>254</v>
      </c>
      <c r="G650" s="5" t="s">
        <v>240</v>
      </c>
      <c r="H650" s="6" t="s">
        <v>1993</v>
      </c>
      <c r="I650" s="5" t="s">
        <v>722</v>
      </c>
      <c r="J650" s="8">
        <f>1244</f>
        <v>1244</v>
      </c>
      <c r="K650" s="5" t="s">
        <v>308</v>
      </c>
      <c r="L650" s="7">
        <f>13684</f>
        <v>13684</v>
      </c>
      <c r="M650" s="7">
        <f>13684</f>
        <v>13684</v>
      </c>
      <c r="N650" s="5" t="s">
        <v>242</v>
      </c>
      <c r="O650" s="5">
        <v>1</v>
      </c>
      <c r="P650" s="5" t="s">
        <v>294</v>
      </c>
      <c r="Q650" s="5" t="s">
        <v>613</v>
      </c>
      <c r="R650" s="5" t="s">
        <v>240</v>
      </c>
      <c r="S650" s="5" t="s">
        <v>240</v>
      </c>
      <c r="T650" s="5" t="s">
        <v>243</v>
      </c>
      <c r="U650" s="5" t="s">
        <v>244</v>
      </c>
      <c r="V650" s="5" t="s">
        <v>240</v>
      </c>
      <c r="Y650" s="5" t="s">
        <v>240</v>
      </c>
      <c r="Z650" s="6" t="s">
        <v>298</v>
      </c>
      <c r="AB650" s="6" t="s">
        <v>240</v>
      </c>
      <c r="AE650" s="6" t="s">
        <v>299</v>
      </c>
      <c r="AF650" s="5" t="s">
        <v>248</v>
      </c>
      <c r="AG650" s="5" t="s">
        <v>249</v>
      </c>
      <c r="AW650" s="5" t="s">
        <v>251</v>
      </c>
      <c r="AX650" s="5" t="s">
        <v>240</v>
      </c>
      <c r="AY650" s="5" t="s">
        <v>253</v>
      </c>
      <c r="AZ650" s="5" t="s">
        <v>240</v>
      </c>
      <c r="BA650" s="5" t="s">
        <v>255</v>
      </c>
      <c r="BB650" s="5" t="s">
        <v>240</v>
      </c>
      <c r="BD650" s="5" t="s">
        <v>240</v>
      </c>
      <c r="BF650" s="5" t="s">
        <v>301</v>
      </c>
      <c r="BG650" s="6" t="s">
        <v>299</v>
      </c>
      <c r="BH650" s="5" t="s">
        <v>302</v>
      </c>
      <c r="BI650" s="5" t="s">
        <v>303</v>
      </c>
      <c r="BJ650" s="5" t="s">
        <v>240</v>
      </c>
      <c r="BK650" s="8">
        <f>0</f>
        <v>0</v>
      </c>
      <c r="BL650" s="7">
        <f>0</f>
        <v>0</v>
      </c>
      <c r="BM650" s="5" t="s">
        <v>258</v>
      </c>
      <c r="BN650" s="5" t="s">
        <v>259</v>
      </c>
      <c r="CB650" s="5" t="s">
        <v>240</v>
      </c>
      <c r="CC650" s="5" t="s">
        <v>240</v>
      </c>
      <c r="CG650" s="5" t="s">
        <v>617</v>
      </c>
      <c r="CH650" s="5" t="s">
        <v>305</v>
      </c>
      <c r="CI650" s="5" t="s">
        <v>240</v>
      </c>
      <c r="CL650" s="6" t="s">
        <v>261</v>
      </c>
      <c r="CM650" s="5" t="s">
        <v>240</v>
      </c>
      <c r="CN650" s="5" t="s">
        <v>263</v>
      </c>
      <c r="CO650" s="5" t="s">
        <v>240</v>
      </c>
      <c r="CP650" s="5" t="s">
        <v>240</v>
      </c>
      <c r="CQ650" s="5">
        <v>0</v>
      </c>
      <c r="CR650" s="5" t="s">
        <v>306</v>
      </c>
      <c r="CS650" s="5" t="s">
        <v>307</v>
      </c>
      <c r="CT650" s="5" t="s">
        <v>307</v>
      </c>
      <c r="CU650" s="5" t="s">
        <v>260</v>
      </c>
      <c r="CX650" s="7">
        <f>2175130</f>
        <v>2175130</v>
      </c>
      <c r="CY650" s="7">
        <f>0</f>
        <v>0</v>
      </c>
      <c r="DA650" s="7">
        <f>0</f>
        <v>0</v>
      </c>
      <c r="DC650" s="5" t="s">
        <v>689</v>
      </c>
      <c r="DD650" s="5" t="s">
        <v>240</v>
      </c>
      <c r="DF650" s="5" t="s">
        <v>450</v>
      </c>
      <c r="DG650" s="7">
        <f>0</f>
        <v>0</v>
      </c>
      <c r="DI650" s="5" t="s">
        <v>618</v>
      </c>
      <c r="DJ650" s="5" t="s">
        <v>240</v>
      </c>
      <c r="DK650" s="5" t="s">
        <v>240</v>
      </c>
      <c r="DL650" s="5" t="s">
        <v>240</v>
      </c>
      <c r="DP650" s="5" t="s">
        <v>240</v>
      </c>
      <c r="DQ650" s="5" t="s">
        <v>240</v>
      </c>
      <c r="DR650" s="5" t="s">
        <v>240</v>
      </c>
      <c r="DS650" s="5" t="s">
        <v>240</v>
      </c>
      <c r="DV650" s="5" t="s">
        <v>1457</v>
      </c>
      <c r="DW650" s="5" t="s">
        <v>620</v>
      </c>
      <c r="HO650" s="5" t="s">
        <v>312</v>
      </c>
    </row>
    <row r="651" spans="1:223" x14ac:dyDescent="0.4">
      <c r="A651" s="5">
        <v>1513</v>
      </c>
      <c r="B651" s="5">
        <v>1</v>
      </c>
      <c r="C651" s="5">
        <v>1</v>
      </c>
      <c r="D651" s="5" t="s">
        <v>723</v>
      </c>
      <c r="E651" s="5" t="s">
        <v>725</v>
      </c>
      <c r="F651" s="5" t="s">
        <v>254</v>
      </c>
      <c r="G651" s="5" t="s">
        <v>240</v>
      </c>
      <c r="H651" s="6" t="s">
        <v>1992</v>
      </c>
      <c r="I651" s="5" t="s">
        <v>722</v>
      </c>
      <c r="J651" s="8">
        <f>610</f>
        <v>610</v>
      </c>
      <c r="K651" s="5" t="s">
        <v>308</v>
      </c>
      <c r="L651" s="7">
        <f>6710</f>
        <v>6710</v>
      </c>
      <c r="M651" s="7">
        <f>6710</f>
        <v>6710</v>
      </c>
      <c r="N651" s="5" t="s">
        <v>242</v>
      </c>
      <c r="O651" s="5">
        <v>1</v>
      </c>
      <c r="P651" s="5" t="s">
        <v>294</v>
      </c>
      <c r="Q651" s="5" t="s">
        <v>613</v>
      </c>
      <c r="R651" s="5" t="s">
        <v>240</v>
      </c>
      <c r="S651" s="5" t="s">
        <v>240</v>
      </c>
      <c r="T651" s="5" t="s">
        <v>243</v>
      </c>
      <c r="U651" s="5" t="s">
        <v>244</v>
      </c>
      <c r="V651" s="5" t="s">
        <v>240</v>
      </c>
      <c r="Y651" s="5" t="s">
        <v>240</v>
      </c>
      <c r="Z651" s="6" t="s">
        <v>298</v>
      </c>
      <c r="AB651" s="6" t="s">
        <v>240</v>
      </c>
      <c r="AE651" s="6" t="s">
        <v>299</v>
      </c>
      <c r="AF651" s="5" t="s">
        <v>248</v>
      </c>
      <c r="AG651" s="5" t="s">
        <v>249</v>
      </c>
      <c r="AW651" s="5" t="s">
        <v>251</v>
      </c>
      <c r="AX651" s="5" t="s">
        <v>240</v>
      </c>
      <c r="AY651" s="5" t="s">
        <v>253</v>
      </c>
      <c r="AZ651" s="5" t="s">
        <v>240</v>
      </c>
      <c r="BA651" s="5" t="s">
        <v>255</v>
      </c>
      <c r="BB651" s="5" t="s">
        <v>240</v>
      </c>
      <c r="BD651" s="5" t="s">
        <v>240</v>
      </c>
      <c r="BF651" s="5" t="s">
        <v>301</v>
      </c>
      <c r="BG651" s="6" t="s">
        <v>299</v>
      </c>
      <c r="BH651" s="5" t="s">
        <v>302</v>
      </c>
      <c r="BI651" s="5" t="s">
        <v>303</v>
      </c>
      <c r="BJ651" s="5" t="s">
        <v>240</v>
      </c>
      <c r="BK651" s="8">
        <f>0</f>
        <v>0</v>
      </c>
      <c r="BL651" s="7">
        <f>0</f>
        <v>0</v>
      </c>
      <c r="BM651" s="5" t="s">
        <v>258</v>
      </c>
      <c r="BN651" s="5" t="s">
        <v>259</v>
      </c>
      <c r="CB651" s="5" t="s">
        <v>240</v>
      </c>
      <c r="CC651" s="5" t="s">
        <v>240</v>
      </c>
      <c r="CG651" s="5" t="s">
        <v>617</v>
      </c>
      <c r="CH651" s="5" t="s">
        <v>305</v>
      </c>
      <c r="CI651" s="5" t="s">
        <v>240</v>
      </c>
      <c r="CL651" s="6" t="s">
        <v>261</v>
      </c>
      <c r="CM651" s="5" t="s">
        <v>240</v>
      </c>
      <c r="CN651" s="5" t="s">
        <v>263</v>
      </c>
      <c r="CO651" s="5" t="s">
        <v>240</v>
      </c>
      <c r="CP651" s="5" t="s">
        <v>240</v>
      </c>
      <c r="CQ651" s="5">
        <v>0</v>
      </c>
      <c r="CR651" s="5" t="s">
        <v>306</v>
      </c>
      <c r="CS651" s="5" t="s">
        <v>307</v>
      </c>
      <c r="CT651" s="5" t="s">
        <v>307</v>
      </c>
      <c r="CU651" s="5" t="s">
        <v>260</v>
      </c>
      <c r="CX651" s="7">
        <f>939160</f>
        <v>939160</v>
      </c>
      <c r="CY651" s="7">
        <f>0</f>
        <v>0</v>
      </c>
      <c r="DA651" s="7">
        <f>0</f>
        <v>0</v>
      </c>
      <c r="DC651" s="5" t="s">
        <v>689</v>
      </c>
      <c r="DD651" s="5" t="s">
        <v>240</v>
      </c>
      <c r="DF651" s="5" t="s">
        <v>450</v>
      </c>
      <c r="DG651" s="7">
        <f>0</f>
        <v>0</v>
      </c>
      <c r="DI651" s="5" t="s">
        <v>618</v>
      </c>
      <c r="DJ651" s="5" t="s">
        <v>240</v>
      </c>
      <c r="DK651" s="5" t="s">
        <v>240</v>
      </c>
      <c r="DL651" s="5" t="s">
        <v>240</v>
      </c>
      <c r="DP651" s="5" t="s">
        <v>240</v>
      </c>
      <c r="DQ651" s="5" t="s">
        <v>240</v>
      </c>
      <c r="DR651" s="5" t="s">
        <v>240</v>
      </c>
      <c r="DS651" s="5" t="s">
        <v>240</v>
      </c>
      <c r="DV651" s="5" t="s">
        <v>1457</v>
      </c>
      <c r="DW651" s="5" t="s">
        <v>621</v>
      </c>
      <c r="HO651" s="5" t="s">
        <v>312</v>
      </c>
    </row>
    <row r="652" spans="1:223" x14ac:dyDescent="0.4">
      <c r="A652" s="5">
        <v>1514</v>
      </c>
      <c r="B652" s="5">
        <v>1</v>
      </c>
      <c r="C652" s="5">
        <v>1</v>
      </c>
      <c r="D652" s="5" t="s">
        <v>723</v>
      </c>
      <c r="E652" s="5" t="s">
        <v>725</v>
      </c>
      <c r="F652" s="5" t="s">
        <v>254</v>
      </c>
      <c r="G652" s="5" t="s">
        <v>240</v>
      </c>
      <c r="H652" s="6" t="s">
        <v>1991</v>
      </c>
      <c r="I652" s="5" t="s">
        <v>722</v>
      </c>
      <c r="J652" s="8">
        <f>503</f>
        <v>503</v>
      </c>
      <c r="K652" s="5" t="s">
        <v>308</v>
      </c>
      <c r="L652" s="7">
        <f>5533</f>
        <v>5533</v>
      </c>
      <c r="M652" s="7">
        <f>5533</f>
        <v>5533</v>
      </c>
      <c r="N652" s="5" t="s">
        <v>242</v>
      </c>
      <c r="O652" s="5">
        <v>1</v>
      </c>
      <c r="P652" s="5" t="s">
        <v>294</v>
      </c>
      <c r="Q652" s="5" t="s">
        <v>613</v>
      </c>
      <c r="R652" s="5" t="s">
        <v>240</v>
      </c>
      <c r="S652" s="5" t="s">
        <v>240</v>
      </c>
      <c r="T652" s="5" t="s">
        <v>243</v>
      </c>
      <c r="U652" s="5" t="s">
        <v>244</v>
      </c>
      <c r="V652" s="5" t="s">
        <v>240</v>
      </c>
      <c r="Y652" s="5" t="s">
        <v>240</v>
      </c>
      <c r="Z652" s="6" t="s">
        <v>298</v>
      </c>
      <c r="AB652" s="6" t="s">
        <v>240</v>
      </c>
      <c r="AE652" s="6" t="s">
        <v>299</v>
      </c>
      <c r="AF652" s="5" t="s">
        <v>248</v>
      </c>
      <c r="AG652" s="5" t="s">
        <v>249</v>
      </c>
      <c r="AW652" s="5" t="s">
        <v>251</v>
      </c>
      <c r="AX652" s="5" t="s">
        <v>240</v>
      </c>
      <c r="AY652" s="5" t="s">
        <v>253</v>
      </c>
      <c r="AZ652" s="5" t="s">
        <v>240</v>
      </c>
      <c r="BA652" s="5" t="s">
        <v>255</v>
      </c>
      <c r="BB652" s="5" t="s">
        <v>240</v>
      </c>
      <c r="BD652" s="5" t="s">
        <v>686</v>
      </c>
      <c r="BF652" s="5" t="s">
        <v>301</v>
      </c>
      <c r="BG652" s="6" t="s">
        <v>299</v>
      </c>
      <c r="BH652" s="5" t="s">
        <v>302</v>
      </c>
      <c r="BI652" s="5" t="s">
        <v>303</v>
      </c>
      <c r="BJ652" s="5" t="s">
        <v>240</v>
      </c>
      <c r="BK652" s="8">
        <f>0</f>
        <v>0</v>
      </c>
      <c r="BL652" s="7">
        <f>0</f>
        <v>0</v>
      </c>
      <c r="BM652" s="5" t="s">
        <v>258</v>
      </c>
      <c r="BN652" s="5" t="s">
        <v>259</v>
      </c>
      <c r="CB652" s="5" t="s">
        <v>240</v>
      </c>
      <c r="CC652" s="5" t="s">
        <v>240</v>
      </c>
      <c r="CG652" s="5" t="s">
        <v>617</v>
      </c>
      <c r="CH652" s="5" t="s">
        <v>305</v>
      </c>
      <c r="CI652" s="5" t="s">
        <v>240</v>
      </c>
      <c r="CL652" s="6" t="s">
        <v>261</v>
      </c>
      <c r="CM652" s="5" t="s">
        <v>240</v>
      </c>
      <c r="CN652" s="5" t="s">
        <v>263</v>
      </c>
      <c r="CO652" s="5" t="s">
        <v>240</v>
      </c>
      <c r="CP652" s="5" t="s">
        <v>240</v>
      </c>
      <c r="CQ652" s="5">
        <v>0</v>
      </c>
      <c r="CR652" s="5" t="s">
        <v>306</v>
      </c>
      <c r="CS652" s="5" t="s">
        <v>307</v>
      </c>
      <c r="CT652" s="5" t="s">
        <v>307</v>
      </c>
      <c r="CU652" s="5" t="s">
        <v>260</v>
      </c>
      <c r="CX652" s="7">
        <f>1311280</f>
        <v>1311280</v>
      </c>
      <c r="CY652" s="7">
        <f>0</f>
        <v>0</v>
      </c>
      <c r="DA652" s="7">
        <f>0</f>
        <v>0</v>
      </c>
      <c r="DC652" s="5" t="s">
        <v>689</v>
      </c>
      <c r="DD652" s="5" t="s">
        <v>240</v>
      </c>
      <c r="DF652" s="5" t="s">
        <v>450</v>
      </c>
      <c r="DG652" s="7">
        <f>0</f>
        <v>0</v>
      </c>
      <c r="DI652" s="5" t="s">
        <v>618</v>
      </c>
      <c r="DJ652" s="5" t="s">
        <v>240</v>
      </c>
      <c r="DK652" s="5" t="s">
        <v>240</v>
      </c>
      <c r="DL652" s="5" t="s">
        <v>240</v>
      </c>
      <c r="DP652" s="5" t="s">
        <v>240</v>
      </c>
      <c r="DQ652" s="5" t="s">
        <v>240</v>
      </c>
      <c r="DR652" s="5" t="s">
        <v>240</v>
      </c>
      <c r="DS652" s="5" t="s">
        <v>240</v>
      </c>
      <c r="DV652" s="5" t="s">
        <v>1457</v>
      </c>
      <c r="DW652" s="5" t="s">
        <v>312</v>
      </c>
      <c r="HO652" s="5" t="s">
        <v>312</v>
      </c>
    </row>
    <row r="653" spans="1:223" x14ac:dyDescent="0.4">
      <c r="A653" s="5">
        <v>1515</v>
      </c>
      <c r="B653" s="5">
        <v>1</v>
      </c>
      <c r="C653" s="5">
        <v>1</v>
      </c>
      <c r="D653" s="5" t="s">
        <v>723</v>
      </c>
      <c r="E653" s="5" t="s">
        <v>725</v>
      </c>
      <c r="F653" s="5" t="s">
        <v>254</v>
      </c>
      <c r="G653" s="5" t="s">
        <v>240</v>
      </c>
      <c r="H653" s="6" t="s">
        <v>1127</v>
      </c>
      <c r="I653" s="5" t="s">
        <v>722</v>
      </c>
      <c r="J653" s="8">
        <f>570</f>
        <v>570</v>
      </c>
      <c r="K653" s="5" t="s">
        <v>308</v>
      </c>
      <c r="L653" s="7">
        <f>6270</f>
        <v>6270</v>
      </c>
      <c r="M653" s="7">
        <f>6270</f>
        <v>6270</v>
      </c>
      <c r="N653" s="5" t="s">
        <v>242</v>
      </c>
      <c r="O653" s="5">
        <v>1</v>
      </c>
      <c r="P653" s="5" t="s">
        <v>294</v>
      </c>
      <c r="Q653" s="5" t="s">
        <v>613</v>
      </c>
      <c r="R653" s="5" t="s">
        <v>240</v>
      </c>
      <c r="S653" s="5" t="s">
        <v>240</v>
      </c>
      <c r="T653" s="5" t="s">
        <v>243</v>
      </c>
      <c r="U653" s="5" t="s">
        <v>244</v>
      </c>
      <c r="V653" s="5" t="s">
        <v>240</v>
      </c>
      <c r="Y653" s="5" t="s">
        <v>240</v>
      </c>
      <c r="Z653" s="6" t="s">
        <v>298</v>
      </c>
      <c r="AB653" s="6" t="s">
        <v>240</v>
      </c>
      <c r="AE653" s="6" t="s">
        <v>299</v>
      </c>
      <c r="AF653" s="5" t="s">
        <v>248</v>
      </c>
      <c r="AG653" s="5" t="s">
        <v>249</v>
      </c>
      <c r="AW653" s="5" t="s">
        <v>251</v>
      </c>
      <c r="AX653" s="5" t="s">
        <v>240</v>
      </c>
      <c r="AY653" s="5" t="s">
        <v>253</v>
      </c>
      <c r="AZ653" s="5" t="s">
        <v>240</v>
      </c>
      <c r="BA653" s="5" t="s">
        <v>255</v>
      </c>
      <c r="BB653" s="5" t="s">
        <v>240</v>
      </c>
      <c r="BD653" s="5" t="s">
        <v>240</v>
      </c>
      <c r="BF653" s="5" t="s">
        <v>301</v>
      </c>
      <c r="BG653" s="6" t="s">
        <v>299</v>
      </c>
      <c r="BH653" s="5" t="s">
        <v>302</v>
      </c>
      <c r="BI653" s="5" t="s">
        <v>303</v>
      </c>
      <c r="BJ653" s="5" t="s">
        <v>240</v>
      </c>
      <c r="BK653" s="8">
        <f>0</f>
        <v>0</v>
      </c>
      <c r="BL653" s="7">
        <f>0</f>
        <v>0</v>
      </c>
      <c r="BM653" s="5" t="s">
        <v>258</v>
      </c>
      <c r="BN653" s="5" t="s">
        <v>259</v>
      </c>
      <c r="CB653" s="5" t="s">
        <v>240</v>
      </c>
      <c r="CC653" s="5" t="s">
        <v>240</v>
      </c>
      <c r="CG653" s="5" t="s">
        <v>617</v>
      </c>
      <c r="CH653" s="5" t="s">
        <v>305</v>
      </c>
      <c r="CI653" s="5" t="s">
        <v>240</v>
      </c>
      <c r="CL653" s="6" t="s">
        <v>261</v>
      </c>
      <c r="CM653" s="5" t="s">
        <v>240</v>
      </c>
      <c r="CN653" s="5" t="s">
        <v>263</v>
      </c>
      <c r="CO653" s="5" t="s">
        <v>240</v>
      </c>
      <c r="CP653" s="5" t="s">
        <v>240</v>
      </c>
      <c r="CQ653" s="5">
        <v>0</v>
      </c>
      <c r="CR653" s="5" t="s">
        <v>306</v>
      </c>
      <c r="CS653" s="5" t="s">
        <v>307</v>
      </c>
      <c r="CT653" s="5" t="s">
        <v>307</v>
      </c>
      <c r="CU653" s="5" t="s">
        <v>260</v>
      </c>
      <c r="CX653" s="7">
        <f>104105</f>
        <v>104105</v>
      </c>
      <c r="CY653" s="7">
        <f>0</f>
        <v>0</v>
      </c>
      <c r="DA653" s="7">
        <f>0</f>
        <v>0</v>
      </c>
      <c r="DC653" s="5" t="s">
        <v>689</v>
      </c>
      <c r="DD653" s="5" t="s">
        <v>240</v>
      </c>
      <c r="DF653" s="5" t="s">
        <v>450</v>
      </c>
      <c r="DG653" s="7">
        <f>0</f>
        <v>0</v>
      </c>
      <c r="DI653" s="5" t="s">
        <v>618</v>
      </c>
      <c r="DJ653" s="5" t="s">
        <v>240</v>
      </c>
      <c r="DK653" s="5" t="s">
        <v>240</v>
      </c>
      <c r="DL653" s="5" t="s">
        <v>240</v>
      </c>
      <c r="DP653" s="5" t="s">
        <v>240</v>
      </c>
      <c r="DQ653" s="5" t="s">
        <v>240</v>
      </c>
      <c r="DR653" s="5" t="s">
        <v>240</v>
      </c>
      <c r="DS653" s="5" t="s">
        <v>240</v>
      </c>
      <c r="DV653" s="5" t="s">
        <v>1466</v>
      </c>
      <c r="DW653" s="5" t="s">
        <v>775</v>
      </c>
      <c r="HO653" s="5" t="s">
        <v>312</v>
      </c>
    </row>
    <row r="654" spans="1:223" x14ac:dyDescent="0.4">
      <c r="A654" s="5">
        <v>1516</v>
      </c>
      <c r="B654" s="5">
        <v>1</v>
      </c>
      <c r="C654" s="5">
        <v>1</v>
      </c>
      <c r="D654" s="5" t="s">
        <v>723</v>
      </c>
      <c r="E654" s="5" t="s">
        <v>725</v>
      </c>
      <c r="F654" s="5" t="s">
        <v>254</v>
      </c>
      <c r="G654" s="5" t="s">
        <v>240</v>
      </c>
      <c r="H654" s="6" t="s">
        <v>1128</v>
      </c>
      <c r="I654" s="5" t="s">
        <v>722</v>
      </c>
      <c r="J654" s="8">
        <f>570</f>
        <v>570</v>
      </c>
      <c r="K654" s="5" t="s">
        <v>308</v>
      </c>
      <c r="L654" s="7">
        <f>6270</f>
        <v>6270</v>
      </c>
      <c r="M654" s="7">
        <f>6270</f>
        <v>6270</v>
      </c>
      <c r="N654" s="5" t="s">
        <v>242</v>
      </c>
      <c r="O654" s="5">
        <v>1</v>
      </c>
      <c r="P654" s="5" t="s">
        <v>294</v>
      </c>
      <c r="Q654" s="5" t="s">
        <v>266</v>
      </c>
      <c r="R654" s="5" t="s">
        <v>240</v>
      </c>
      <c r="S654" s="5" t="s">
        <v>240</v>
      </c>
      <c r="T654" s="5" t="s">
        <v>296</v>
      </c>
      <c r="U654" s="5" t="s">
        <v>244</v>
      </c>
      <c r="V654" s="5" t="s">
        <v>240</v>
      </c>
      <c r="Y654" s="5" t="s">
        <v>240</v>
      </c>
      <c r="Z654" s="6" t="s">
        <v>298</v>
      </c>
      <c r="AB654" s="6" t="s">
        <v>240</v>
      </c>
      <c r="AE654" s="6" t="s">
        <v>299</v>
      </c>
      <c r="AF654" s="5" t="s">
        <v>248</v>
      </c>
      <c r="AG654" s="5" t="s">
        <v>249</v>
      </c>
      <c r="AW654" s="5" t="s">
        <v>251</v>
      </c>
      <c r="AX654" s="5" t="s">
        <v>240</v>
      </c>
      <c r="AY654" s="5" t="s">
        <v>253</v>
      </c>
      <c r="AZ654" s="5" t="s">
        <v>240</v>
      </c>
      <c r="BA654" s="5" t="s">
        <v>255</v>
      </c>
      <c r="BB654" s="5" t="s">
        <v>240</v>
      </c>
      <c r="BD654" s="5" t="s">
        <v>240</v>
      </c>
      <c r="BF654" s="5" t="s">
        <v>301</v>
      </c>
      <c r="BG654" s="6" t="s">
        <v>299</v>
      </c>
      <c r="BH654" s="5" t="s">
        <v>302</v>
      </c>
      <c r="BI654" s="5" t="s">
        <v>303</v>
      </c>
      <c r="BJ654" s="5" t="s">
        <v>240</v>
      </c>
      <c r="BK654" s="8">
        <f>0</f>
        <v>0</v>
      </c>
      <c r="BL654" s="7">
        <f>0</f>
        <v>0</v>
      </c>
      <c r="BM654" s="5" t="s">
        <v>258</v>
      </c>
      <c r="BN654" s="5" t="s">
        <v>259</v>
      </c>
      <c r="CB654" s="5" t="s">
        <v>240</v>
      </c>
      <c r="CC654" s="5" t="s">
        <v>240</v>
      </c>
      <c r="CG654" s="5" t="s">
        <v>304</v>
      </c>
      <c r="CH654" s="5" t="s">
        <v>305</v>
      </c>
      <c r="CI654" s="5" t="s">
        <v>240</v>
      </c>
      <c r="CL654" s="6" t="s">
        <v>261</v>
      </c>
      <c r="CM654" s="5" t="s">
        <v>240</v>
      </c>
      <c r="CN654" s="5" t="s">
        <v>263</v>
      </c>
      <c r="CO654" s="5" t="s">
        <v>240</v>
      </c>
      <c r="CP654" s="5" t="s">
        <v>240</v>
      </c>
      <c r="CQ654" s="5">
        <v>0</v>
      </c>
      <c r="CR654" s="5" t="s">
        <v>306</v>
      </c>
      <c r="CS654" s="5" t="s">
        <v>307</v>
      </c>
      <c r="CT654" s="5" t="s">
        <v>307</v>
      </c>
      <c r="CU654" s="5" t="s">
        <v>260</v>
      </c>
      <c r="CX654" s="7">
        <f>1</f>
        <v>1</v>
      </c>
      <c r="CY654" s="7">
        <f>0</f>
        <v>0</v>
      </c>
      <c r="DA654" s="7">
        <f>0</f>
        <v>0</v>
      </c>
      <c r="DC654" s="5" t="s">
        <v>309</v>
      </c>
      <c r="DD654" s="5" t="s">
        <v>240</v>
      </c>
      <c r="DF654" s="5" t="s">
        <v>309</v>
      </c>
      <c r="DG654" s="7">
        <f>735</f>
        <v>735</v>
      </c>
      <c r="DI654" s="5" t="s">
        <v>240</v>
      </c>
      <c r="DJ654" s="5" t="s">
        <v>240</v>
      </c>
      <c r="DK654" s="5" t="s">
        <v>240</v>
      </c>
      <c r="DL654" s="5" t="s">
        <v>240</v>
      </c>
      <c r="DP654" s="5" t="s">
        <v>240</v>
      </c>
      <c r="DQ654" s="5" t="s">
        <v>240</v>
      </c>
      <c r="DR654" s="5" t="s">
        <v>240</v>
      </c>
      <c r="DS654" s="5" t="s">
        <v>240</v>
      </c>
      <c r="DV654" s="5" t="s">
        <v>310</v>
      </c>
      <c r="DW654" s="5" t="s">
        <v>1468</v>
      </c>
      <c r="HO654" s="5" t="s">
        <v>312</v>
      </c>
    </row>
    <row r="655" spans="1:223" x14ac:dyDescent="0.4">
      <c r="A655" s="5">
        <v>1517</v>
      </c>
      <c r="B655" s="5">
        <v>1</v>
      </c>
      <c r="C655" s="5">
        <v>1</v>
      </c>
      <c r="D655" s="5" t="s">
        <v>723</v>
      </c>
      <c r="E655" s="5" t="s">
        <v>725</v>
      </c>
      <c r="F655" s="5" t="s">
        <v>254</v>
      </c>
      <c r="G655" s="5" t="s">
        <v>240</v>
      </c>
      <c r="H655" s="6" t="s">
        <v>2093</v>
      </c>
      <c r="I655" s="5" t="s">
        <v>722</v>
      </c>
      <c r="J655" s="8">
        <f>912</f>
        <v>912</v>
      </c>
      <c r="K655" s="5" t="s">
        <v>308</v>
      </c>
      <c r="L655" s="7">
        <f>10032</f>
        <v>10032</v>
      </c>
      <c r="M655" s="7">
        <f>10032</f>
        <v>10032</v>
      </c>
      <c r="N655" s="5" t="s">
        <v>242</v>
      </c>
      <c r="O655" s="5">
        <v>1</v>
      </c>
      <c r="P655" s="5" t="s">
        <v>294</v>
      </c>
      <c r="Q655" s="5" t="s">
        <v>613</v>
      </c>
      <c r="R655" s="5" t="s">
        <v>240</v>
      </c>
      <c r="S655" s="5" t="s">
        <v>240</v>
      </c>
      <c r="T655" s="5" t="s">
        <v>243</v>
      </c>
      <c r="U655" s="5" t="s">
        <v>244</v>
      </c>
      <c r="V655" s="5" t="s">
        <v>240</v>
      </c>
      <c r="Y655" s="5" t="s">
        <v>240</v>
      </c>
      <c r="Z655" s="6" t="s">
        <v>298</v>
      </c>
      <c r="AB655" s="6" t="s">
        <v>240</v>
      </c>
      <c r="AE655" s="6" t="s">
        <v>299</v>
      </c>
      <c r="AF655" s="5" t="s">
        <v>248</v>
      </c>
      <c r="AG655" s="5" t="s">
        <v>249</v>
      </c>
      <c r="AW655" s="5" t="s">
        <v>251</v>
      </c>
      <c r="AX655" s="5" t="s">
        <v>240</v>
      </c>
      <c r="AY655" s="5" t="s">
        <v>253</v>
      </c>
      <c r="AZ655" s="5" t="s">
        <v>240</v>
      </c>
      <c r="BA655" s="5" t="s">
        <v>255</v>
      </c>
      <c r="BB655" s="5" t="s">
        <v>240</v>
      </c>
      <c r="BD655" s="5" t="s">
        <v>240</v>
      </c>
      <c r="BF655" s="5" t="s">
        <v>301</v>
      </c>
      <c r="BG655" s="6" t="s">
        <v>299</v>
      </c>
      <c r="BH655" s="5" t="s">
        <v>302</v>
      </c>
      <c r="BI655" s="5" t="s">
        <v>303</v>
      </c>
      <c r="BJ655" s="5" t="s">
        <v>240</v>
      </c>
      <c r="BK655" s="8">
        <f>0</f>
        <v>0</v>
      </c>
      <c r="BL655" s="7">
        <f>0</f>
        <v>0</v>
      </c>
      <c r="BM655" s="5" t="s">
        <v>258</v>
      </c>
      <c r="BN655" s="5" t="s">
        <v>259</v>
      </c>
      <c r="CB655" s="5" t="s">
        <v>240</v>
      </c>
      <c r="CC655" s="5" t="s">
        <v>240</v>
      </c>
      <c r="CG655" s="5" t="s">
        <v>617</v>
      </c>
      <c r="CH655" s="5" t="s">
        <v>305</v>
      </c>
      <c r="CI655" s="5" t="s">
        <v>240</v>
      </c>
      <c r="CL655" s="6" t="s">
        <v>261</v>
      </c>
      <c r="CM655" s="5" t="s">
        <v>240</v>
      </c>
      <c r="CN655" s="5" t="s">
        <v>263</v>
      </c>
      <c r="CO655" s="5" t="s">
        <v>240</v>
      </c>
      <c r="CP655" s="5" t="s">
        <v>240</v>
      </c>
      <c r="CQ655" s="5">
        <v>0</v>
      </c>
      <c r="CR655" s="5" t="s">
        <v>306</v>
      </c>
      <c r="CS655" s="5" t="s">
        <v>307</v>
      </c>
      <c r="CT655" s="5" t="s">
        <v>307</v>
      </c>
      <c r="CU655" s="5" t="s">
        <v>260</v>
      </c>
      <c r="CX655" s="7">
        <f>1422030</f>
        <v>1422030</v>
      </c>
      <c r="CY655" s="7">
        <f>0</f>
        <v>0</v>
      </c>
      <c r="DA655" s="7">
        <f>0</f>
        <v>0</v>
      </c>
      <c r="DC655" s="5" t="s">
        <v>689</v>
      </c>
      <c r="DD655" s="5" t="s">
        <v>240</v>
      </c>
      <c r="DF655" s="5" t="s">
        <v>450</v>
      </c>
      <c r="DG655" s="7">
        <f>0</f>
        <v>0</v>
      </c>
      <c r="DI655" s="5" t="s">
        <v>618</v>
      </c>
      <c r="DJ655" s="5" t="s">
        <v>240</v>
      </c>
      <c r="DK655" s="5" t="s">
        <v>240</v>
      </c>
      <c r="DL655" s="5" t="s">
        <v>240</v>
      </c>
      <c r="DP655" s="5" t="s">
        <v>240</v>
      </c>
      <c r="DQ655" s="5" t="s">
        <v>240</v>
      </c>
      <c r="DR655" s="5" t="s">
        <v>240</v>
      </c>
      <c r="DS655" s="5" t="s">
        <v>240</v>
      </c>
      <c r="DV655" s="5" t="s">
        <v>1466</v>
      </c>
      <c r="DW655" s="5" t="s">
        <v>779</v>
      </c>
      <c r="HO655" s="5" t="s">
        <v>312</v>
      </c>
    </row>
    <row r="656" spans="1:223" x14ac:dyDescent="0.4">
      <c r="A656" s="5">
        <v>1518</v>
      </c>
      <c r="B656" s="5">
        <v>1</v>
      </c>
      <c r="C656" s="5">
        <v>1</v>
      </c>
      <c r="D656" s="5" t="s">
        <v>723</v>
      </c>
      <c r="E656" s="5" t="s">
        <v>725</v>
      </c>
      <c r="F656" s="5" t="s">
        <v>254</v>
      </c>
      <c r="G656" s="5" t="s">
        <v>240</v>
      </c>
      <c r="H656" s="6" t="s">
        <v>1109</v>
      </c>
      <c r="I656" s="5" t="s">
        <v>722</v>
      </c>
      <c r="J656" s="8">
        <f>6860</f>
        <v>6860</v>
      </c>
      <c r="K656" s="5" t="s">
        <v>308</v>
      </c>
      <c r="L656" s="7">
        <f>75460</f>
        <v>75460</v>
      </c>
      <c r="M656" s="7">
        <f>75460</f>
        <v>75460</v>
      </c>
      <c r="N656" s="5" t="s">
        <v>242</v>
      </c>
      <c r="O656" s="5">
        <v>1</v>
      </c>
      <c r="P656" s="5" t="s">
        <v>294</v>
      </c>
      <c r="Q656" s="5" t="s">
        <v>613</v>
      </c>
      <c r="R656" s="5" t="s">
        <v>240</v>
      </c>
      <c r="S656" s="5" t="s">
        <v>240</v>
      </c>
      <c r="T656" s="5" t="s">
        <v>243</v>
      </c>
      <c r="U656" s="5" t="s">
        <v>244</v>
      </c>
      <c r="V656" s="5" t="s">
        <v>240</v>
      </c>
      <c r="Y656" s="5" t="s">
        <v>240</v>
      </c>
      <c r="Z656" s="6" t="s">
        <v>298</v>
      </c>
      <c r="AB656" s="6" t="s">
        <v>240</v>
      </c>
      <c r="AE656" s="6" t="s">
        <v>299</v>
      </c>
      <c r="AF656" s="5" t="s">
        <v>248</v>
      </c>
      <c r="AG656" s="5" t="s">
        <v>249</v>
      </c>
      <c r="AW656" s="5" t="s">
        <v>251</v>
      </c>
      <c r="AX656" s="5" t="s">
        <v>240</v>
      </c>
      <c r="AY656" s="5" t="s">
        <v>253</v>
      </c>
      <c r="AZ656" s="5" t="s">
        <v>240</v>
      </c>
      <c r="BA656" s="5" t="s">
        <v>255</v>
      </c>
      <c r="BB656" s="5" t="s">
        <v>240</v>
      </c>
      <c r="BD656" s="5" t="s">
        <v>240</v>
      </c>
      <c r="BF656" s="5" t="s">
        <v>301</v>
      </c>
      <c r="BG656" s="6" t="s">
        <v>299</v>
      </c>
      <c r="BH656" s="5" t="s">
        <v>302</v>
      </c>
      <c r="BI656" s="5" t="s">
        <v>303</v>
      </c>
      <c r="BJ656" s="5" t="s">
        <v>240</v>
      </c>
      <c r="BK656" s="8">
        <f>0</f>
        <v>0</v>
      </c>
      <c r="BL656" s="7">
        <f>0</f>
        <v>0</v>
      </c>
      <c r="BM656" s="5" t="s">
        <v>258</v>
      </c>
      <c r="BN656" s="5" t="s">
        <v>259</v>
      </c>
      <c r="CB656" s="5" t="s">
        <v>240</v>
      </c>
      <c r="CC656" s="5" t="s">
        <v>240</v>
      </c>
      <c r="CG656" s="5" t="s">
        <v>617</v>
      </c>
      <c r="CH656" s="5" t="s">
        <v>305</v>
      </c>
      <c r="CI656" s="5" t="s">
        <v>240</v>
      </c>
      <c r="CL656" s="6" t="s">
        <v>261</v>
      </c>
      <c r="CM656" s="5" t="s">
        <v>240</v>
      </c>
      <c r="CN656" s="5" t="s">
        <v>263</v>
      </c>
      <c r="CO656" s="5" t="s">
        <v>240</v>
      </c>
      <c r="CP656" s="5" t="s">
        <v>240</v>
      </c>
      <c r="CQ656" s="5">
        <v>0</v>
      </c>
      <c r="CR656" s="5" t="s">
        <v>306</v>
      </c>
      <c r="CS656" s="5" t="s">
        <v>307</v>
      </c>
      <c r="CT656" s="5" t="s">
        <v>307</v>
      </c>
      <c r="CU656" s="5" t="s">
        <v>260</v>
      </c>
      <c r="CX656" s="7">
        <f>11108225</f>
        <v>11108225</v>
      </c>
      <c r="CY656" s="7">
        <f>0</f>
        <v>0</v>
      </c>
      <c r="DA656" s="7">
        <f>0</f>
        <v>0</v>
      </c>
      <c r="DC656" s="5" t="s">
        <v>689</v>
      </c>
      <c r="DD656" s="5" t="s">
        <v>240</v>
      </c>
      <c r="DF656" s="5" t="s">
        <v>450</v>
      </c>
      <c r="DG656" s="7">
        <f>0</f>
        <v>0</v>
      </c>
      <c r="DI656" s="5" t="s">
        <v>618</v>
      </c>
      <c r="DJ656" s="5" t="s">
        <v>240</v>
      </c>
      <c r="DK656" s="5" t="s">
        <v>240</v>
      </c>
      <c r="DL656" s="5" t="s">
        <v>240</v>
      </c>
      <c r="DP656" s="5" t="s">
        <v>240</v>
      </c>
      <c r="DQ656" s="5" t="s">
        <v>240</v>
      </c>
      <c r="DR656" s="5" t="s">
        <v>240</v>
      </c>
      <c r="DS656" s="5" t="s">
        <v>240</v>
      </c>
      <c r="DV656" s="5" t="s">
        <v>1466</v>
      </c>
      <c r="DW656" s="5" t="s">
        <v>781</v>
      </c>
      <c r="HO656" s="5" t="s">
        <v>312</v>
      </c>
    </row>
    <row r="657" spans="1:223" x14ac:dyDescent="0.4">
      <c r="A657" s="5">
        <v>1519</v>
      </c>
      <c r="B657" s="5">
        <v>1</v>
      </c>
      <c r="C657" s="5">
        <v>1</v>
      </c>
      <c r="D657" s="5" t="s">
        <v>723</v>
      </c>
      <c r="E657" s="5" t="s">
        <v>725</v>
      </c>
      <c r="F657" s="5" t="s">
        <v>254</v>
      </c>
      <c r="G657" s="5" t="s">
        <v>240</v>
      </c>
      <c r="H657" s="6" t="s">
        <v>2092</v>
      </c>
      <c r="I657" s="5" t="s">
        <v>722</v>
      </c>
      <c r="J657" s="8">
        <f>2889</f>
        <v>2889</v>
      </c>
      <c r="K657" s="5" t="s">
        <v>308</v>
      </c>
      <c r="L657" s="7">
        <f>31779</f>
        <v>31779</v>
      </c>
      <c r="M657" s="7">
        <f>31779</f>
        <v>31779</v>
      </c>
      <c r="N657" s="5" t="s">
        <v>242</v>
      </c>
      <c r="O657" s="5">
        <v>1</v>
      </c>
      <c r="P657" s="5" t="s">
        <v>294</v>
      </c>
      <c r="Q657" s="5" t="s">
        <v>613</v>
      </c>
      <c r="R657" s="5" t="s">
        <v>240</v>
      </c>
      <c r="S657" s="5" t="s">
        <v>240</v>
      </c>
      <c r="T657" s="5" t="s">
        <v>243</v>
      </c>
      <c r="U657" s="5" t="s">
        <v>244</v>
      </c>
      <c r="V657" s="5" t="s">
        <v>240</v>
      </c>
      <c r="Y657" s="5" t="s">
        <v>240</v>
      </c>
      <c r="Z657" s="6" t="s">
        <v>298</v>
      </c>
      <c r="AB657" s="6" t="s">
        <v>240</v>
      </c>
      <c r="AE657" s="6" t="s">
        <v>299</v>
      </c>
      <c r="AF657" s="5" t="s">
        <v>248</v>
      </c>
      <c r="AG657" s="5" t="s">
        <v>249</v>
      </c>
      <c r="AW657" s="5" t="s">
        <v>251</v>
      </c>
      <c r="AX657" s="5" t="s">
        <v>240</v>
      </c>
      <c r="AY657" s="5" t="s">
        <v>253</v>
      </c>
      <c r="AZ657" s="5" t="s">
        <v>240</v>
      </c>
      <c r="BA657" s="5" t="s">
        <v>255</v>
      </c>
      <c r="BB657" s="5" t="s">
        <v>240</v>
      </c>
      <c r="BD657" s="5" t="s">
        <v>240</v>
      </c>
      <c r="BF657" s="5" t="s">
        <v>301</v>
      </c>
      <c r="BG657" s="6" t="s">
        <v>299</v>
      </c>
      <c r="BH657" s="5" t="s">
        <v>302</v>
      </c>
      <c r="BI657" s="5" t="s">
        <v>303</v>
      </c>
      <c r="BJ657" s="5" t="s">
        <v>240</v>
      </c>
      <c r="BK657" s="8">
        <f>0</f>
        <v>0</v>
      </c>
      <c r="BL657" s="7">
        <f>0</f>
        <v>0</v>
      </c>
      <c r="BM657" s="5" t="s">
        <v>258</v>
      </c>
      <c r="BN657" s="5" t="s">
        <v>259</v>
      </c>
      <c r="CB657" s="5" t="s">
        <v>240</v>
      </c>
      <c r="CC657" s="5" t="s">
        <v>240</v>
      </c>
      <c r="CG657" s="5" t="s">
        <v>617</v>
      </c>
      <c r="CH657" s="5" t="s">
        <v>305</v>
      </c>
      <c r="CI657" s="5" t="s">
        <v>240</v>
      </c>
      <c r="CL657" s="6" t="s">
        <v>261</v>
      </c>
      <c r="CM657" s="5" t="s">
        <v>240</v>
      </c>
      <c r="CN657" s="5" t="s">
        <v>263</v>
      </c>
      <c r="CO657" s="5" t="s">
        <v>240</v>
      </c>
      <c r="CP657" s="5" t="s">
        <v>240</v>
      </c>
      <c r="CQ657" s="5">
        <v>0</v>
      </c>
      <c r="CR657" s="5" t="s">
        <v>306</v>
      </c>
      <c r="CS657" s="5" t="s">
        <v>307</v>
      </c>
      <c r="CT657" s="5" t="s">
        <v>307</v>
      </c>
      <c r="CU657" s="5" t="s">
        <v>260</v>
      </c>
      <c r="CX657" s="7">
        <f>10937670</f>
        <v>10937670</v>
      </c>
      <c r="CY657" s="7">
        <f>0</f>
        <v>0</v>
      </c>
      <c r="DA657" s="7">
        <f>0</f>
        <v>0</v>
      </c>
      <c r="DC657" s="5" t="s">
        <v>689</v>
      </c>
      <c r="DD657" s="5" t="s">
        <v>240</v>
      </c>
      <c r="DF657" s="5" t="s">
        <v>450</v>
      </c>
      <c r="DG657" s="7">
        <f>0</f>
        <v>0</v>
      </c>
      <c r="DI657" s="5" t="s">
        <v>618</v>
      </c>
      <c r="DJ657" s="5" t="s">
        <v>240</v>
      </c>
      <c r="DK657" s="5" t="s">
        <v>240</v>
      </c>
      <c r="DL657" s="5" t="s">
        <v>240</v>
      </c>
      <c r="DP657" s="5" t="s">
        <v>240</v>
      </c>
      <c r="DQ657" s="5" t="s">
        <v>240</v>
      </c>
      <c r="DR657" s="5" t="s">
        <v>240</v>
      </c>
      <c r="DS657" s="5" t="s">
        <v>240</v>
      </c>
      <c r="DV657" s="5" t="s">
        <v>1466</v>
      </c>
      <c r="DW657" s="5" t="s">
        <v>783</v>
      </c>
      <c r="HO657" s="5" t="s">
        <v>312</v>
      </c>
    </row>
    <row r="658" spans="1:223" x14ac:dyDescent="0.4">
      <c r="A658" s="5">
        <v>1520</v>
      </c>
      <c r="B658" s="5">
        <v>1</v>
      </c>
      <c r="C658" s="5">
        <v>1</v>
      </c>
      <c r="D658" s="5" t="s">
        <v>723</v>
      </c>
      <c r="E658" s="5" t="s">
        <v>725</v>
      </c>
      <c r="F658" s="5" t="s">
        <v>254</v>
      </c>
      <c r="G658" s="5" t="s">
        <v>240</v>
      </c>
      <c r="H658" s="6" t="s">
        <v>2090</v>
      </c>
      <c r="I658" s="5" t="s">
        <v>722</v>
      </c>
      <c r="J658" s="8">
        <f>4944</f>
        <v>4944</v>
      </c>
      <c r="K658" s="5" t="s">
        <v>308</v>
      </c>
      <c r="L658" s="7">
        <f>54384</f>
        <v>54384</v>
      </c>
      <c r="M658" s="7">
        <f>54384</f>
        <v>54384</v>
      </c>
      <c r="N658" s="5" t="s">
        <v>242</v>
      </c>
      <c r="O658" s="5">
        <v>1</v>
      </c>
      <c r="P658" s="5" t="s">
        <v>294</v>
      </c>
      <c r="Q658" s="5" t="s">
        <v>613</v>
      </c>
      <c r="R658" s="5" t="s">
        <v>240</v>
      </c>
      <c r="S658" s="5" t="s">
        <v>240</v>
      </c>
      <c r="T658" s="5" t="s">
        <v>243</v>
      </c>
      <c r="U658" s="5" t="s">
        <v>244</v>
      </c>
      <c r="V658" s="5" t="s">
        <v>240</v>
      </c>
      <c r="Y658" s="5" t="s">
        <v>240</v>
      </c>
      <c r="Z658" s="6" t="s">
        <v>298</v>
      </c>
      <c r="AB658" s="6" t="s">
        <v>240</v>
      </c>
      <c r="AE658" s="6" t="s">
        <v>299</v>
      </c>
      <c r="AF658" s="5" t="s">
        <v>248</v>
      </c>
      <c r="AG658" s="5" t="s">
        <v>249</v>
      </c>
      <c r="AW658" s="5" t="s">
        <v>251</v>
      </c>
      <c r="AX658" s="5" t="s">
        <v>240</v>
      </c>
      <c r="AY658" s="5" t="s">
        <v>253</v>
      </c>
      <c r="AZ658" s="5" t="s">
        <v>240</v>
      </c>
      <c r="BA658" s="5" t="s">
        <v>255</v>
      </c>
      <c r="BB658" s="5" t="s">
        <v>240</v>
      </c>
      <c r="BD658" s="5" t="s">
        <v>240</v>
      </c>
      <c r="BF658" s="5" t="s">
        <v>301</v>
      </c>
      <c r="BG658" s="6" t="s">
        <v>299</v>
      </c>
      <c r="BH658" s="5" t="s">
        <v>302</v>
      </c>
      <c r="BI658" s="5" t="s">
        <v>303</v>
      </c>
      <c r="BJ658" s="5" t="s">
        <v>240</v>
      </c>
      <c r="BK658" s="8">
        <f>0</f>
        <v>0</v>
      </c>
      <c r="BL658" s="7">
        <f>0</f>
        <v>0</v>
      </c>
      <c r="BM658" s="5" t="s">
        <v>258</v>
      </c>
      <c r="BN658" s="5" t="s">
        <v>259</v>
      </c>
      <c r="CB658" s="5" t="s">
        <v>240</v>
      </c>
      <c r="CC658" s="5" t="s">
        <v>240</v>
      </c>
      <c r="CG658" s="5" t="s">
        <v>617</v>
      </c>
      <c r="CH658" s="5" t="s">
        <v>305</v>
      </c>
      <c r="CI658" s="5" t="s">
        <v>240</v>
      </c>
      <c r="CL658" s="6" t="s">
        <v>261</v>
      </c>
      <c r="CM658" s="5" t="s">
        <v>240</v>
      </c>
      <c r="CN658" s="5" t="s">
        <v>263</v>
      </c>
      <c r="CO658" s="5" t="s">
        <v>240</v>
      </c>
      <c r="CP658" s="5" t="s">
        <v>240</v>
      </c>
      <c r="CQ658" s="5">
        <v>0</v>
      </c>
      <c r="CR658" s="5" t="s">
        <v>306</v>
      </c>
      <c r="CS658" s="5" t="s">
        <v>307</v>
      </c>
      <c r="CT658" s="5" t="s">
        <v>307</v>
      </c>
      <c r="CU658" s="5" t="s">
        <v>260</v>
      </c>
      <c r="CX658" s="7">
        <f>3982570</f>
        <v>3982570</v>
      </c>
      <c r="CY658" s="7">
        <f>0</f>
        <v>0</v>
      </c>
      <c r="DA658" s="7">
        <f>0</f>
        <v>0</v>
      </c>
      <c r="DC658" s="5" t="s">
        <v>689</v>
      </c>
      <c r="DD658" s="5" t="s">
        <v>240</v>
      </c>
      <c r="DF658" s="5" t="s">
        <v>450</v>
      </c>
      <c r="DG658" s="7">
        <f>0</f>
        <v>0</v>
      </c>
      <c r="DI658" s="5" t="s">
        <v>618</v>
      </c>
      <c r="DJ658" s="5" t="s">
        <v>240</v>
      </c>
      <c r="DK658" s="5" t="s">
        <v>240</v>
      </c>
      <c r="DL658" s="5" t="s">
        <v>240</v>
      </c>
      <c r="DP658" s="5" t="s">
        <v>240</v>
      </c>
      <c r="DQ658" s="5" t="s">
        <v>240</v>
      </c>
      <c r="DR658" s="5" t="s">
        <v>240</v>
      </c>
      <c r="DS658" s="5" t="s">
        <v>240</v>
      </c>
      <c r="DV658" s="5" t="s">
        <v>1466</v>
      </c>
      <c r="DW658" s="5" t="s">
        <v>785</v>
      </c>
      <c r="HO658" s="5" t="s">
        <v>312</v>
      </c>
    </row>
    <row r="659" spans="1:223" x14ac:dyDescent="0.4">
      <c r="A659" s="5">
        <v>1521</v>
      </c>
      <c r="B659" s="5">
        <v>1</v>
      </c>
      <c r="C659" s="5">
        <v>1</v>
      </c>
      <c r="D659" s="5" t="s">
        <v>723</v>
      </c>
      <c r="E659" s="5" t="s">
        <v>725</v>
      </c>
      <c r="F659" s="5" t="s">
        <v>254</v>
      </c>
      <c r="G659" s="5" t="s">
        <v>240</v>
      </c>
      <c r="H659" s="6" t="s">
        <v>2089</v>
      </c>
      <c r="I659" s="5" t="s">
        <v>722</v>
      </c>
      <c r="J659" s="8">
        <f>2341</f>
        <v>2341</v>
      </c>
      <c r="K659" s="5" t="s">
        <v>308</v>
      </c>
      <c r="L659" s="7">
        <f>25751</f>
        <v>25751</v>
      </c>
      <c r="M659" s="7">
        <f>25751</f>
        <v>25751</v>
      </c>
      <c r="N659" s="5" t="s">
        <v>242</v>
      </c>
      <c r="O659" s="5">
        <v>1</v>
      </c>
      <c r="P659" s="5" t="s">
        <v>294</v>
      </c>
      <c r="Q659" s="5" t="s">
        <v>613</v>
      </c>
      <c r="R659" s="5" t="s">
        <v>240</v>
      </c>
      <c r="S659" s="5" t="s">
        <v>240</v>
      </c>
      <c r="T659" s="5" t="s">
        <v>243</v>
      </c>
      <c r="U659" s="5" t="s">
        <v>244</v>
      </c>
      <c r="V659" s="5" t="s">
        <v>240</v>
      </c>
      <c r="Y659" s="5" t="s">
        <v>240</v>
      </c>
      <c r="Z659" s="6" t="s">
        <v>298</v>
      </c>
      <c r="AB659" s="6" t="s">
        <v>240</v>
      </c>
      <c r="AE659" s="6" t="s">
        <v>299</v>
      </c>
      <c r="AF659" s="5" t="s">
        <v>248</v>
      </c>
      <c r="AG659" s="5" t="s">
        <v>249</v>
      </c>
      <c r="AW659" s="5" t="s">
        <v>251</v>
      </c>
      <c r="AX659" s="5" t="s">
        <v>240</v>
      </c>
      <c r="AY659" s="5" t="s">
        <v>253</v>
      </c>
      <c r="AZ659" s="5" t="s">
        <v>240</v>
      </c>
      <c r="BA659" s="5" t="s">
        <v>255</v>
      </c>
      <c r="BB659" s="5" t="s">
        <v>240</v>
      </c>
      <c r="BD659" s="5" t="s">
        <v>240</v>
      </c>
      <c r="BF659" s="5" t="s">
        <v>301</v>
      </c>
      <c r="BG659" s="6" t="s">
        <v>299</v>
      </c>
      <c r="BH659" s="5" t="s">
        <v>302</v>
      </c>
      <c r="BI659" s="5" t="s">
        <v>303</v>
      </c>
      <c r="BJ659" s="5" t="s">
        <v>240</v>
      </c>
      <c r="BK659" s="8">
        <f>0</f>
        <v>0</v>
      </c>
      <c r="BL659" s="7">
        <f>0</f>
        <v>0</v>
      </c>
      <c r="BM659" s="5" t="s">
        <v>258</v>
      </c>
      <c r="BN659" s="5" t="s">
        <v>259</v>
      </c>
      <c r="CB659" s="5" t="s">
        <v>240</v>
      </c>
      <c r="CC659" s="5" t="s">
        <v>240</v>
      </c>
      <c r="CG659" s="5" t="s">
        <v>617</v>
      </c>
      <c r="CH659" s="5" t="s">
        <v>305</v>
      </c>
      <c r="CI659" s="5" t="s">
        <v>240</v>
      </c>
      <c r="CL659" s="6" t="s">
        <v>261</v>
      </c>
      <c r="CM659" s="5" t="s">
        <v>240</v>
      </c>
      <c r="CN659" s="5" t="s">
        <v>263</v>
      </c>
      <c r="CO659" s="5" t="s">
        <v>240</v>
      </c>
      <c r="CP659" s="5" t="s">
        <v>240</v>
      </c>
      <c r="CQ659" s="5">
        <v>0</v>
      </c>
      <c r="CR659" s="5" t="s">
        <v>306</v>
      </c>
      <c r="CS659" s="5" t="s">
        <v>307</v>
      </c>
      <c r="CT659" s="5" t="s">
        <v>307</v>
      </c>
      <c r="CU659" s="5" t="s">
        <v>260</v>
      </c>
      <c r="CX659" s="7">
        <f>2538390</f>
        <v>2538390</v>
      </c>
      <c r="CY659" s="7">
        <f>0</f>
        <v>0</v>
      </c>
      <c r="DA659" s="7">
        <f>0</f>
        <v>0</v>
      </c>
      <c r="DC659" s="5" t="s">
        <v>689</v>
      </c>
      <c r="DD659" s="5" t="s">
        <v>240</v>
      </c>
      <c r="DF659" s="5" t="s">
        <v>450</v>
      </c>
      <c r="DG659" s="7">
        <f>0</f>
        <v>0</v>
      </c>
      <c r="DI659" s="5" t="s">
        <v>618</v>
      </c>
      <c r="DJ659" s="5" t="s">
        <v>240</v>
      </c>
      <c r="DK659" s="5" t="s">
        <v>240</v>
      </c>
      <c r="DL659" s="5" t="s">
        <v>240</v>
      </c>
      <c r="DP659" s="5" t="s">
        <v>240</v>
      </c>
      <c r="DQ659" s="5" t="s">
        <v>240</v>
      </c>
      <c r="DR659" s="5" t="s">
        <v>240</v>
      </c>
      <c r="DS659" s="5" t="s">
        <v>240</v>
      </c>
      <c r="DV659" s="5" t="s">
        <v>1466</v>
      </c>
      <c r="DW659" s="5" t="s">
        <v>787</v>
      </c>
      <c r="HO659" s="5" t="s">
        <v>312</v>
      </c>
    </row>
    <row r="660" spans="1:223" x14ac:dyDescent="0.4">
      <c r="A660" s="5">
        <v>1522</v>
      </c>
      <c r="B660" s="5">
        <v>1</v>
      </c>
      <c r="C660" s="5">
        <v>1</v>
      </c>
      <c r="D660" s="5" t="s">
        <v>723</v>
      </c>
      <c r="E660" s="5" t="s">
        <v>725</v>
      </c>
      <c r="F660" s="5" t="s">
        <v>254</v>
      </c>
      <c r="G660" s="5" t="s">
        <v>240</v>
      </c>
      <c r="H660" s="6" t="s">
        <v>2088</v>
      </c>
      <c r="I660" s="5" t="s">
        <v>722</v>
      </c>
      <c r="J660" s="8">
        <f>1752</f>
        <v>1752</v>
      </c>
      <c r="K660" s="5" t="s">
        <v>308</v>
      </c>
      <c r="L660" s="7">
        <f>19272</f>
        <v>19272</v>
      </c>
      <c r="M660" s="7">
        <f>19272</f>
        <v>19272</v>
      </c>
      <c r="N660" s="5" t="s">
        <v>242</v>
      </c>
      <c r="O660" s="5">
        <v>1</v>
      </c>
      <c r="P660" s="5" t="s">
        <v>294</v>
      </c>
      <c r="Q660" s="5" t="s">
        <v>613</v>
      </c>
      <c r="R660" s="5" t="s">
        <v>240</v>
      </c>
      <c r="S660" s="5" t="s">
        <v>240</v>
      </c>
      <c r="T660" s="5" t="s">
        <v>243</v>
      </c>
      <c r="U660" s="5" t="s">
        <v>244</v>
      </c>
      <c r="V660" s="5" t="s">
        <v>240</v>
      </c>
      <c r="Y660" s="5" t="s">
        <v>240</v>
      </c>
      <c r="Z660" s="6" t="s">
        <v>298</v>
      </c>
      <c r="AB660" s="6" t="s">
        <v>240</v>
      </c>
      <c r="AE660" s="6" t="s">
        <v>299</v>
      </c>
      <c r="AF660" s="5" t="s">
        <v>248</v>
      </c>
      <c r="AG660" s="5" t="s">
        <v>249</v>
      </c>
      <c r="AW660" s="5" t="s">
        <v>251</v>
      </c>
      <c r="AX660" s="5" t="s">
        <v>240</v>
      </c>
      <c r="AY660" s="5" t="s">
        <v>253</v>
      </c>
      <c r="AZ660" s="5" t="s">
        <v>240</v>
      </c>
      <c r="BA660" s="5" t="s">
        <v>255</v>
      </c>
      <c r="BB660" s="5" t="s">
        <v>240</v>
      </c>
      <c r="BD660" s="5" t="s">
        <v>240</v>
      </c>
      <c r="BF660" s="5" t="s">
        <v>301</v>
      </c>
      <c r="BG660" s="6" t="s">
        <v>299</v>
      </c>
      <c r="BH660" s="5" t="s">
        <v>302</v>
      </c>
      <c r="BI660" s="5" t="s">
        <v>303</v>
      </c>
      <c r="BJ660" s="5" t="s">
        <v>240</v>
      </c>
      <c r="BK660" s="8">
        <f>0</f>
        <v>0</v>
      </c>
      <c r="BL660" s="7">
        <f>0</f>
        <v>0</v>
      </c>
      <c r="BM660" s="5" t="s">
        <v>258</v>
      </c>
      <c r="BN660" s="5" t="s">
        <v>259</v>
      </c>
      <c r="CB660" s="5" t="s">
        <v>240</v>
      </c>
      <c r="CC660" s="5" t="s">
        <v>240</v>
      </c>
      <c r="CG660" s="5" t="s">
        <v>617</v>
      </c>
      <c r="CH660" s="5" t="s">
        <v>305</v>
      </c>
      <c r="CI660" s="5" t="s">
        <v>240</v>
      </c>
      <c r="CL660" s="6" t="s">
        <v>261</v>
      </c>
      <c r="CM660" s="5" t="s">
        <v>240</v>
      </c>
      <c r="CN660" s="5" t="s">
        <v>263</v>
      </c>
      <c r="CO660" s="5" t="s">
        <v>240</v>
      </c>
      <c r="CP660" s="5" t="s">
        <v>240</v>
      </c>
      <c r="CQ660" s="5">
        <v>0</v>
      </c>
      <c r="CR660" s="5" t="s">
        <v>306</v>
      </c>
      <c r="CS660" s="5" t="s">
        <v>307</v>
      </c>
      <c r="CT660" s="5" t="s">
        <v>307</v>
      </c>
      <c r="CU660" s="5" t="s">
        <v>260</v>
      </c>
      <c r="CX660" s="7">
        <f>1479620</f>
        <v>1479620</v>
      </c>
      <c r="CY660" s="7">
        <f>0</f>
        <v>0</v>
      </c>
      <c r="DA660" s="7">
        <f>0</f>
        <v>0</v>
      </c>
      <c r="DC660" s="5" t="s">
        <v>689</v>
      </c>
      <c r="DD660" s="5" t="s">
        <v>240</v>
      </c>
      <c r="DF660" s="5" t="s">
        <v>450</v>
      </c>
      <c r="DG660" s="7">
        <f>0</f>
        <v>0</v>
      </c>
      <c r="DI660" s="5" t="s">
        <v>618</v>
      </c>
      <c r="DJ660" s="5" t="s">
        <v>240</v>
      </c>
      <c r="DK660" s="5" t="s">
        <v>240</v>
      </c>
      <c r="DL660" s="5" t="s">
        <v>240</v>
      </c>
      <c r="DP660" s="5" t="s">
        <v>240</v>
      </c>
      <c r="DQ660" s="5" t="s">
        <v>240</v>
      </c>
      <c r="DR660" s="5" t="s">
        <v>240</v>
      </c>
      <c r="DS660" s="5" t="s">
        <v>240</v>
      </c>
      <c r="DV660" s="5" t="s">
        <v>1466</v>
      </c>
      <c r="DW660" s="5" t="s">
        <v>789</v>
      </c>
      <c r="HO660" s="5" t="s">
        <v>312</v>
      </c>
    </row>
    <row r="661" spans="1:223" x14ac:dyDescent="0.4">
      <c r="A661" s="5">
        <v>1523</v>
      </c>
      <c r="B661" s="5">
        <v>1</v>
      </c>
      <c r="C661" s="5">
        <v>1</v>
      </c>
      <c r="D661" s="5" t="s">
        <v>723</v>
      </c>
      <c r="E661" s="5" t="s">
        <v>725</v>
      </c>
      <c r="F661" s="5" t="s">
        <v>254</v>
      </c>
      <c r="G661" s="5" t="s">
        <v>240</v>
      </c>
      <c r="H661" s="6" t="s">
        <v>2087</v>
      </c>
      <c r="I661" s="5" t="s">
        <v>722</v>
      </c>
      <c r="J661" s="8">
        <f>1157</f>
        <v>1157</v>
      </c>
      <c r="K661" s="5" t="s">
        <v>308</v>
      </c>
      <c r="L661" s="7">
        <f>12727</f>
        <v>12727</v>
      </c>
      <c r="M661" s="7">
        <f>12727</f>
        <v>12727</v>
      </c>
      <c r="N661" s="5" t="s">
        <v>242</v>
      </c>
      <c r="O661" s="5">
        <v>1</v>
      </c>
      <c r="P661" s="5" t="s">
        <v>294</v>
      </c>
      <c r="Q661" s="5" t="s">
        <v>613</v>
      </c>
      <c r="R661" s="5" t="s">
        <v>240</v>
      </c>
      <c r="S661" s="5" t="s">
        <v>240</v>
      </c>
      <c r="T661" s="5" t="s">
        <v>243</v>
      </c>
      <c r="U661" s="5" t="s">
        <v>244</v>
      </c>
      <c r="V661" s="5" t="s">
        <v>240</v>
      </c>
      <c r="Y661" s="5" t="s">
        <v>240</v>
      </c>
      <c r="Z661" s="6" t="s">
        <v>298</v>
      </c>
      <c r="AB661" s="6" t="s">
        <v>240</v>
      </c>
      <c r="AE661" s="6" t="s">
        <v>299</v>
      </c>
      <c r="AF661" s="5" t="s">
        <v>248</v>
      </c>
      <c r="AG661" s="5" t="s">
        <v>249</v>
      </c>
      <c r="AW661" s="5" t="s">
        <v>251</v>
      </c>
      <c r="AX661" s="5" t="s">
        <v>240</v>
      </c>
      <c r="AY661" s="5" t="s">
        <v>253</v>
      </c>
      <c r="AZ661" s="5" t="s">
        <v>240</v>
      </c>
      <c r="BA661" s="5" t="s">
        <v>255</v>
      </c>
      <c r="BB661" s="5" t="s">
        <v>240</v>
      </c>
      <c r="BD661" s="5" t="s">
        <v>240</v>
      </c>
      <c r="BF661" s="5" t="s">
        <v>301</v>
      </c>
      <c r="BG661" s="6" t="s">
        <v>299</v>
      </c>
      <c r="BH661" s="5" t="s">
        <v>302</v>
      </c>
      <c r="BI661" s="5" t="s">
        <v>303</v>
      </c>
      <c r="BJ661" s="5" t="s">
        <v>240</v>
      </c>
      <c r="BK661" s="8">
        <f>0</f>
        <v>0</v>
      </c>
      <c r="BL661" s="7">
        <f>0</f>
        <v>0</v>
      </c>
      <c r="BM661" s="5" t="s">
        <v>258</v>
      </c>
      <c r="BN661" s="5" t="s">
        <v>259</v>
      </c>
      <c r="CB661" s="5" t="s">
        <v>240</v>
      </c>
      <c r="CC661" s="5" t="s">
        <v>240</v>
      </c>
      <c r="CG661" s="5" t="s">
        <v>617</v>
      </c>
      <c r="CH661" s="5" t="s">
        <v>305</v>
      </c>
      <c r="CI661" s="5" t="s">
        <v>240</v>
      </c>
      <c r="CL661" s="6" t="s">
        <v>261</v>
      </c>
      <c r="CM661" s="5" t="s">
        <v>240</v>
      </c>
      <c r="CN661" s="5" t="s">
        <v>263</v>
      </c>
      <c r="CO661" s="5" t="s">
        <v>240</v>
      </c>
      <c r="CP661" s="5" t="s">
        <v>240</v>
      </c>
      <c r="CQ661" s="5">
        <v>0</v>
      </c>
      <c r="CR661" s="5" t="s">
        <v>306</v>
      </c>
      <c r="CS661" s="5" t="s">
        <v>307</v>
      </c>
      <c r="CT661" s="5" t="s">
        <v>307</v>
      </c>
      <c r="CU661" s="5" t="s">
        <v>260</v>
      </c>
      <c r="CX661" s="7">
        <f>425280</f>
        <v>425280</v>
      </c>
      <c r="CY661" s="7">
        <f>0</f>
        <v>0</v>
      </c>
      <c r="DA661" s="7">
        <f>0</f>
        <v>0</v>
      </c>
      <c r="DC661" s="5" t="s">
        <v>689</v>
      </c>
      <c r="DD661" s="5" t="s">
        <v>240</v>
      </c>
      <c r="DF661" s="5" t="s">
        <v>450</v>
      </c>
      <c r="DG661" s="7">
        <f>0</f>
        <v>0</v>
      </c>
      <c r="DI661" s="5" t="s">
        <v>618</v>
      </c>
      <c r="DJ661" s="5" t="s">
        <v>240</v>
      </c>
      <c r="DK661" s="5" t="s">
        <v>240</v>
      </c>
      <c r="DL661" s="5" t="s">
        <v>240</v>
      </c>
      <c r="DP661" s="5" t="s">
        <v>240</v>
      </c>
      <c r="DQ661" s="5" t="s">
        <v>240</v>
      </c>
      <c r="DR661" s="5" t="s">
        <v>240</v>
      </c>
      <c r="DS661" s="5" t="s">
        <v>240</v>
      </c>
      <c r="DV661" s="5" t="s">
        <v>1466</v>
      </c>
      <c r="DW661" s="5" t="s">
        <v>825</v>
      </c>
      <c r="HO661" s="5" t="s">
        <v>312</v>
      </c>
    </row>
    <row r="662" spans="1:223" x14ac:dyDescent="0.4">
      <c r="A662" s="5">
        <v>1524</v>
      </c>
      <c r="B662" s="5">
        <v>1</v>
      </c>
      <c r="C662" s="5">
        <v>1</v>
      </c>
      <c r="D662" s="5" t="s">
        <v>723</v>
      </c>
      <c r="E662" s="5" t="s">
        <v>725</v>
      </c>
      <c r="F662" s="5" t="s">
        <v>254</v>
      </c>
      <c r="G662" s="5" t="s">
        <v>240</v>
      </c>
      <c r="H662" s="6" t="s">
        <v>2086</v>
      </c>
      <c r="I662" s="5" t="s">
        <v>722</v>
      </c>
      <c r="J662" s="8">
        <f>540</f>
        <v>540</v>
      </c>
      <c r="K662" s="5" t="s">
        <v>308</v>
      </c>
      <c r="L662" s="7">
        <f>5940</f>
        <v>5940</v>
      </c>
      <c r="M662" s="7">
        <f>5940</f>
        <v>5940</v>
      </c>
      <c r="N662" s="5" t="s">
        <v>242</v>
      </c>
      <c r="O662" s="5">
        <v>1</v>
      </c>
      <c r="P662" s="5" t="s">
        <v>294</v>
      </c>
      <c r="Q662" s="5" t="s">
        <v>266</v>
      </c>
      <c r="R662" s="5" t="s">
        <v>240</v>
      </c>
      <c r="S662" s="5" t="s">
        <v>240</v>
      </c>
      <c r="T662" s="5" t="s">
        <v>296</v>
      </c>
      <c r="U662" s="5" t="s">
        <v>244</v>
      </c>
      <c r="V662" s="5" t="s">
        <v>240</v>
      </c>
      <c r="Y662" s="5" t="s">
        <v>240</v>
      </c>
      <c r="Z662" s="6" t="s">
        <v>298</v>
      </c>
      <c r="AB662" s="6" t="s">
        <v>240</v>
      </c>
      <c r="AE662" s="6" t="s">
        <v>299</v>
      </c>
      <c r="AF662" s="5" t="s">
        <v>248</v>
      </c>
      <c r="AG662" s="5" t="s">
        <v>249</v>
      </c>
      <c r="AW662" s="5" t="s">
        <v>251</v>
      </c>
      <c r="AX662" s="5" t="s">
        <v>240</v>
      </c>
      <c r="AY662" s="5" t="s">
        <v>253</v>
      </c>
      <c r="AZ662" s="5" t="s">
        <v>240</v>
      </c>
      <c r="BA662" s="5" t="s">
        <v>255</v>
      </c>
      <c r="BB662" s="5" t="s">
        <v>240</v>
      </c>
      <c r="BD662" s="5" t="s">
        <v>240</v>
      </c>
      <c r="BF662" s="5" t="s">
        <v>301</v>
      </c>
      <c r="BG662" s="6" t="s">
        <v>299</v>
      </c>
      <c r="BH662" s="5" t="s">
        <v>302</v>
      </c>
      <c r="BI662" s="5" t="s">
        <v>303</v>
      </c>
      <c r="BJ662" s="5" t="s">
        <v>240</v>
      </c>
      <c r="BK662" s="8">
        <f>0</f>
        <v>0</v>
      </c>
      <c r="BL662" s="7">
        <f>0</f>
        <v>0</v>
      </c>
      <c r="BM662" s="5" t="s">
        <v>258</v>
      </c>
      <c r="BN662" s="5" t="s">
        <v>259</v>
      </c>
      <c r="CB662" s="5" t="s">
        <v>240</v>
      </c>
      <c r="CC662" s="5" t="s">
        <v>240</v>
      </c>
      <c r="CG662" s="5" t="s">
        <v>304</v>
      </c>
      <c r="CH662" s="5" t="s">
        <v>305</v>
      </c>
      <c r="CI662" s="5" t="s">
        <v>240</v>
      </c>
      <c r="CL662" s="6" t="s">
        <v>261</v>
      </c>
      <c r="CM662" s="5" t="s">
        <v>240</v>
      </c>
      <c r="CN662" s="5" t="s">
        <v>263</v>
      </c>
      <c r="CO662" s="5" t="s">
        <v>240</v>
      </c>
      <c r="CP662" s="5" t="s">
        <v>240</v>
      </c>
      <c r="CQ662" s="5">
        <v>0</v>
      </c>
      <c r="CR662" s="5" t="s">
        <v>306</v>
      </c>
      <c r="CS662" s="5" t="s">
        <v>307</v>
      </c>
      <c r="CT662" s="5" t="s">
        <v>307</v>
      </c>
      <c r="CU662" s="5" t="s">
        <v>260</v>
      </c>
      <c r="CX662" s="7">
        <f>1</f>
        <v>1</v>
      </c>
      <c r="CY662" s="7">
        <f>0</f>
        <v>0</v>
      </c>
      <c r="DA662" s="7">
        <f>0</f>
        <v>0</v>
      </c>
      <c r="DC662" s="5" t="s">
        <v>812</v>
      </c>
      <c r="DD662" s="5" t="s">
        <v>240</v>
      </c>
      <c r="DF662" s="5" t="s">
        <v>812</v>
      </c>
      <c r="DG662" s="7">
        <f>2099</f>
        <v>2099</v>
      </c>
      <c r="DI662" s="5" t="s">
        <v>240</v>
      </c>
      <c r="DJ662" s="5" t="s">
        <v>240</v>
      </c>
      <c r="DK662" s="5" t="s">
        <v>240</v>
      </c>
      <c r="DL662" s="5" t="s">
        <v>240</v>
      </c>
      <c r="DP662" s="5" t="s">
        <v>240</v>
      </c>
      <c r="DQ662" s="5" t="s">
        <v>240</v>
      </c>
      <c r="DR662" s="5" t="s">
        <v>240</v>
      </c>
      <c r="DS662" s="5" t="s">
        <v>240</v>
      </c>
      <c r="DV662" s="5" t="s">
        <v>813</v>
      </c>
      <c r="DW662" s="5" t="s">
        <v>1477</v>
      </c>
      <c r="HO662" s="5" t="s">
        <v>312</v>
      </c>
    </row>
    <row r="663" spans="1:223" x14ac:dyDescent="0.4">
      <c r="A663" s="5">
        <v>1525</v>
      </c>
      <c r="B663" s="5">
        <v>1</v>
      </c>
      <c r="C663" s="5">
        <v>1</v>
      </c>
      <c r="D663" s="5" t="s">
        <v>723</v>
      </c>
      <c r="E663" s="5" t="s">
        <v>725</v>
      </c>
      <c r="F663" s="5" t="s">
        <v>254</v>
      </c>
      <c r="G663" s="5" t="s">
        <v>240</v>
      </c>
      <c r="H663" s="6" t="s">
        <v>4587</v>
      </c>
      <c r="I663" s="5" t="s">
        <v>722</v>
      </c>
      <c r="J663" s="8">
        <f>662</f>
        <v>662</v>
      </c>
      <c r="K663" s="5" t="s">
        <v>308</v>
      </c>
      <c r="L663" s="7">
        <f>7282</f>
        <v>7282</v>
      </c>
      <c r="M663" s="7">
        <f>7282</f>
        <v>7282</v>
      </c>
      <c r="N663" s="5" t="s">
        <v>242</v>
      </c>
      <c r="O663" s="5">
        <v>1</v>
      </c>
      <c r="P663" s="5" t="s">
        <v>294</v>
      </c>
      <c r="Q663" s="5" t="s">
        <v>613</v>
      </c>
      <c r="R663" s="5" t="s">
        <v>240</v>
      </c>
      <c r="S663" s="5" t="s">
        <v>240</v>
      </c>
      <c r="T663" s="5" t="s">
        <v>243</v>
      </c>
      <c r="U663" s="5" t="s">
        <v>244</v>
      </c>
      <c r="V663" s="5" t="s">
        <v>240</v>
      </c>
      <c r="Y663" s="5" t="s">
        <v>240</v>
      </c>
      <c r="Z663" s="6" t="s">
        <v>298</v>
      </c>
      <c r="AB663" s="6" t="s">
        <v>240</v>
      </c>
      <c r="AE663" s="6" t="s">
        <v>299</v>
      </c>
      <c r="AF663" s="5" t="s">
        <v>248</v>
      </c>
      <c r="AG663" s="5" t="s">
        <v>249</v>
      </c>
      <c r="AW663" s="5" t="s">
        <v>251</v>
      </c>
      <c r="AX663" s="5" t="s">
        <v>240</v>
      </c>
      <c r="AY663" s="5" t="s">
        <v>253</v>
      </c>
      <c r="AZ663" s="5" t="s">
        <v>240</v>
      </c>
      <c r="BA663" s="5" t="s">
        <v>255</v>
      </c>
      <c r="BB663" s="5" t="s">
        <v>240</v>
      </c>
      <c r="BD663" s="5" t="s">
        <v>240</v>
      </c>
      <c r="BF663" s="5" t="s">
        <v>301</v>
      </c>
      <c r="BG663" s="6" t="s">
        <v>299</v>
      </c>
      <c r="BH663" s="5" t="s">
        <v>302</v>
      </c>
      <c r="BI663" s="5" t="s">
        <v>303</v>
      </c>
      <c r="BJ663" s="5" t="s">
        <v>240</v>
      </c>
      <c r="BK663" s="8">
        <f>0</f>
        <v>0</v>
      </c>
      <c r="BL663" s="7">
        <f>0</f>
        <v>0</v>
      </c>
      <c r="BM663" s="5" t="s">
        <v>258</v>
      </c>
      <c r="BN663" s="5" t="s">
        <v>259</v>
      </c>
      <c r="CB663" s="5" t="s">
        <v>240</v>
      </c>
      <c r="CC663" s="5" t="s">
        <v>240</v>
      </c>
      <c r="CG663" s="5" t="s">
        <v>617</v>
      </c>
      <c r="CH663" s="5" t="s">
        <v>305</v>
      </c>
      <c r="CI663" s="5" t="s">
        <v>240</v>
      </c>
      <c r="CL663" s="6" t="s">
        <v>261</v>
      </c>
      <c r="CM663" s="5" t="s">
        <v>240</v>
      </c>
      <c r="CN663" s="5" t="s">
        <v>263</v>
      </c>
      <c r="CO663" s="5" t="s">
        <v>240</v>
      </c>
      <c r="CP663" s="5" t="s">
        <v>240</v>
      </c>
      <c r="CQ663" s="5">
        <v>0</v>
      </c>
      <c r="CR663" s="5" t="s">
        <v>306</v>
      </c>
      <c r="CS663" s="5" t="s">
        <v>307</v>
      </c>
      <c r="CT663" s="5" t="s">
        <v>307</v>
      </c>
      <c r="CU663" s="5" t="s">
        <v>260</v>
      </c>
      <c r="CX663" s="7">
        <f>7803445</f>
        <v>7803445</v>
      </c>
      <c r="CY663" s="7">
        <f>0</f>
        <v>0</v>
      </c>
      <c r="DA663" s="7">
        <f>0</f>
        <v>0</v>
      </c>
      <c r="DC663" s="5" t="s">
        <v>689</v>
      </c>
      <c r="DD663" s="5" t="s">
        <v>240</v>
      </c>
      <c r="DF663" s="5" t="s">
        <v>450</v>
      </c>
      <c r="DG663" s="7">
        <f>0</f>
        <v>0</v>
      </c>
      <c r="DI663" s="5" t="s">
        <v>618</v>
      </c>
      <c r="DJ663" s="5" t="s">
        <v>240</v>
      </c>
      <c r="DK663" s="5" t="s">
        <v>240</v>
      </c>
      <c r="DL663" s="5" t="s">
        <v>240</v>
      </c>
      <c r="DP663" s="5" t="s">
        <v>240</v>
      </c>
      <c r="DQ663" s="5" t="s">
        <v>240</v>
      </c>
      <c r="DR663" s="5" t="s">
        <v>240</v>
      </c>
      <c r="DS663" s="5" t="s">
        <v>240</v>
      </c>
      <c r="DV663" s="5" t="s">
        <v>1466</v>
      </c>
      <c r="DW663" s="5" t="s">
        <v>793</v>
      </c>
      <c r="HO663" s="5" t="s">
        <v>312</v>
      </c>
    </row>
    <row r="664" spans="1:223" x14ac:dyDescent="0.4">
      <c r="A664" s="5">
        <v>1526</v>
      </c>
      <c r="B664" s="5">
        <v>1</v>
      </c>
      <c r="C664" s="5">
        <v>1</v>
      </c>
      <c r="D664" s="5" t="s">
        <v>723</v>
      </c>
      <c r="E664" s="5" t="s">
        <v>725</v>
      </c>
      <c r="F664" s="5" t="s">
        <v>254</v>
      </c>
      <c r="G664" s="5" t="s">
        <v>240</v>
      </c>
      <c r="H664" s="6" t="s">
        <v>2083</v>
      </c>
      <c r="I664" s="5" t="s">
        <v>722</v>
      </c>
      <c r="J664" s="8">
        <f>37551</f>
        <v>37551</v>
      </c>
      <c r="K664" s="5" t="s">
        <v>308</v>
      </c>
      <c r="L664" s="7">
        <f>413061</f>
        <v>413061</v>
      </c>
      <c r="M664" s="7">
        <f>413061</f>
        <v>413061</v>
      </c>
      <c r="N664" s="5" t="s">
        <v>242</v>
      </c>
      <c r="O664" s="5">
        <v>1</v>
      </c>
      <c r="P664" s="5" t="s">
        <v>294</v>
      </c>
      <c r="Q664" s="5" t="s">
        <v>613</v>
      </c>
      <c r="R664" s="5" t="s">
        <v>240</v>
      </c>
      <c r="S664" s="5" t="s">
        <v>240</v>
      </c>
      <c r="T664" s="5" t="s">
        <v>243</v>
      </c>
      <c r="U664" s="5" t="s">
        <v>244</v>
      </c>
      <c r="V664" s="5" t="s">
        <v>240</v>
      </c>
      <c r="Y664" s="5" t="s">
        <v>240</v>
      </c>
      <c r="Z664" s="6" t="s">
        <v>298</v>
      </c>
      <c r="AB664" s="6" t="s">
        <v>240</v>
      </c>
      <c r="AE664" s="6" t="s">
        <v>299</v>
      </c>
      <c r="AF664" s="5" t="s">
        <v>248</v>
      </c>
      <c r="AG664" s="5" t="s">
        <v>249</v>
      </c>
      <c r="AW664" s="5" t="s">
        <v>251</v>
      </c>
      <c r="AX664" s="5" t="s">
        <v>240</v>
      </c>
      <c r="AY664" s="5" t="s">
        <v>253</v>
      </c>
      <c r="AZ664" s="5" t="s">
        <v>240</v>
      </c>
      <c r="BA664" s="5" t="s">
        <v>255</v>
      </c>
      <c r="BB664" s="5" t="s">
        <v>240</v>
      </c>
      <c r="BD664" s="5" t="s">
        <v>240</v>
      </c>
      <c r="BF664" s="5" t="s">
        <v>301</v>
      </c>
      <c r="BG664" s="6" t="s">
        <v>299</v>
      </c>
      <c r="BH664" s="5" t="s">
        <v>302</v>
      </c>
      <c r="BI664" s="5" t="s">
        <v>303</v>
      </c>
      <c r="BJ664" s="5" t="s">
        <v>240</v>
      </c>
      <c r="BK664" s="8">
        <f>0</f>
        <v>0</v>
      </c>
      <c r="BL664" s="7">
        <f>0</f>
        <v>0</v>
      </c>
      <c r="BM664" s="5" t="s">
        <v>258</v>
      </c>
      <c r="BN664" s="5" t="s">
        <v>259</v>
      </c>
      <c r="CB664" s="5" t="s">
        <v>240</v>
      </c>
      <c r="CC664" s="5" t="s">
        <v>240</v>
      </c>
      <c r="CG664" s="5" t="s">
        <v>617</v>
      </c>
      <c r="CH664" s="5" t="s">
        <v>305</v>
      </c>
      <c r="CI664" s="5" t="s">
        <v>240</v>
      </c>
      <c r="CL664" s="6" t="s">
        <v>261</v>
      </c>
      <c r="CM664" s="5" t="s">
        <v>240</v>
      </c>
      <c r="CN664" s="5" t="s">
        <v>263</v>
      </c>
      <c r="CO664" s="5" t="s">
        <v>240</v>
      </c>
      <c r="CP664" s="5" t="s">
        <v>240</v>
      </c>
      <c r="CQ664" s="5">
        <v>0</v>
      </c>
      <c r="CR664" s="5" t="s">
        <v>306</v>
      </c>
      <c r="CS664" s="5" t="s">
        <v>307</v>
      </c>
      <c r="CT664" s="5" t="s">
        <v>307</v>
      </c>
      <c r="CU664" s="5" t="s">
        <v>260</v>
      </c>
      <c r="CX664" s="7">
        <f>3174095</f>
        <v>3174095</v>
      </c>
      <c r="CY664" s="7">
        <f>0</f>
        <v>0</v>
      </c>
      <c r="DA664" s="7">
        <f>0</f>
        <v>0</v>
      </c>
      <c r="DC664" s="5" t="s">
        <v>689</v>
      </c>
      <c r="DD664" s="5" t="s">
        <v>240</v>
      </c>
      <c r="DF664" s="5" t="s">
        <v>450</v>
      </c>
      <c r="DG664" s="7">
        <f>0</f>
        <v>0</v>
      </c>
      <c r="DI664" s="5" t="s">
        <v>618</v>
      </c>
      <c r="DJ664" s="5" t="s">
        <v>240</v>
      </c>
      <c r="DK664" s="5" t="s">
        <v>240</v>
      </c>
      <c r="DL664" s="5" t="s">
        <v>240</v>
      </c>
      <c r="DP664" s="5" t="s">
        <v>240</v>
      </c>
      <c r="DQ664" s="5" t="s">
        <v>240</v>
      </c>
      <c r="DR664" s="5" t="s">
        <v>240</v>
      </c>
      <c r="DS664" s="5" t="s">
        <v>240</v>
      </c>
      <c r="DV664" s="5" t="s">
        <v>1466</v>
      </c>
      <c r="DW664" s="5" t="s">
        <v>795</v>
      </c>
      <c r="HO664" s="5" t="s">
        <v>312</v>
      </c>
    </row>
    <row r="665" spans="1:223" x14ac:dyDescent="0.4">
      <c r="A665" s="5">
        <v>1527</v>
      </c>
      <c r="B665" s="5">
        <v>1</v>
      </c>
      <c r="C665" s="5">
        <v>1</v>
      </c>
      <c r="D665" s="5" t="s">
        <v>723</v>
      </c>
      <c r="E665" s="5" t="s">
        <v>725</v>
      </c>
      <c r="F665" s="5" t="s">
        <v>254</v>
      </c>
      <c r="G665" s="5" t="s">
        <v>240</v>
      </c>
      <c r="H665" s="6" t="s">
        <v>2082</v>
      </c>
      <c r="I665" s="5" t="s">
        <v>722</v>
      </c>
      <c r="J665" s="8">
        <f>416</f>
        <v>416</v>
      </c>
      <c r="K665" s="5" t="s">
        <v>308</v>
      </c>
      <c r="L665" s="7">
        <f>4576</f>
        <v>4576</v>
      </c>
      <c r="M665" s="7">
        <f>4576</f>
        <v>4576</v>
      </c>
      <c r="N665" s="5" t="s">
        <v>242</v>
      </c>
      <c r="O665" s="5">
        <v>1</v>
      </c>
      <c r="P665" s="5" t="s">
        <v>294</v>
      </c>
      <c r="Q665" s="5" t="s">
        <v>613</v>
      </c>
      <c r="R665" s="5" t="s">
        <v>240</v>
      </c>
      <c r="S665" s="5" t="s">
        <v>240</v>
      </c>
      <c r="T665" s="5" t="s">
        <v>243</v>
      </c>
      <c r="U665" s="5" t="s">
        <v>244</v>
      </c>
      <c r="V665" s="5" t="s">
        <v>240</v>
      </c>
      <c r="Y665" s="5" t="s">
        <v>240</v>
      </c>
      <c r="Z665" s="6" t="s">
        <v>298</v>
      </c>
      <c r="AB665" s="6" t="s">
        <v>240</v>
      </c>
      <c r="AE665" s="6" t="s">
        <v>299</v>
      </c>
      <c r="AF665" s="5" t="s">
        <v>248</v>
      </c>
      <c r="AG665" s="5" t="s">
        <v>249</v>
      </c>
      <c r="AW665" s="5" t="s">
        <v>251</v>
      </c>
      <c r="AX665" s="5" t="s">
        <v>240</v>
      </c>
      <c r="AY665" s="5" t="s">
        <v>253</v>
      </c>
      <c r="AZ665" s="5" t="s">
        <v>240</v>
      </c>
      <c r="BA665" s="5" t="s">
        <v>255</v>
      </c>
      <c r="BB665" s="5" t="s">
        <v>240</v>
      </c>
      <c r="BD665" s="5" t="s">
        <v>240</v>
      </c>
      <c r="BF665" s="5" t="s">
        <v>301</v>
      </c>
      <c r="BG665" s="6" t="s">
        <v>299</v>
      </c>
      <c r="BH665" s="5" t="s">
        <v>302</v>
      </c>
      <c r="BI665" s="5" t="s">
        <v>303</v>
      </c>
      <c r="BJ665" s="5" t="s">
        <v>240</v>
      </c>
      <c r="BK665" s="8">
        <f>0</f>
        <v>0</v>
      </c>
      <c r="BL665" s="7">
        <f>0</f>
        <v>0</v>
      </c>
      <c r="BM665" s="5" t="s">
        <v>258</v>
      </c>
      <c r="BN665" s="5" t="s">
        <v>259</v>
      </c>
      <c r="CB665" s="5" t="s">
        <v>240</v>
      </c>
      <c r="CC665" s="5" t="s">
        <v>240</v>
      </c>
      <c r="CG665" s="5" t="s">
        <v>617</v>
      </c>
      <c r="CH665" s="5" t="s">
        <v>305</v>
      </c>
      <c r="CI665" s="5" t="s">
        <v>240</v>
      </c>
      <c r="CL665" s="6" t="s">
        <v>261</v>
      </c>
      <c r="CM665" s="5" t="s">
        <v>240</v>
      </c>
      <c r="CN665" s="5" t="s">
        <v>263</v>
      </c>
      <c r="CO665" s="5" t="s">
        <v>240</v>
      </c>
      <c r="CP665" s="5" t="s">
        <v>240</v>
      </c>
      <c r="CQ665" s="5">
        <v>0</v>
      </c>
      <c r="CR665" s="5" t="s">
        <v>306</v>
      </c>
      <c r="CS665" s="5" t="s">
        <v>307</v>
      </c>
      <c r="CT665" s="5" t="s">
        <v>307</v>
      </c>
      <c r="CU665" s="5" t="s">
        <v>260</v>
      </c>
      <c r="CX665" s="7">
        <f>2175130</f>
        <v>2175130</v>
      </c>
      <c r="CY665" s="7">
        <f>0</f>
        <v>0</v>
      </c>
      <c r="DA665" s="7">
        <f>0</f>
        <v>0</v>
      </c>
      <c r="DC665" s="5" t="s">
        <v>689</v>
      </c>
      <c r="DD665" s="5" t="s">
        <v>240</v>
      </c>
      <c r="DF665" s="5" t="s">
        <v>450</v>
      </c>
      <c r="DG665" s="7">
        <f>0</f>
        <v>0</v>
      </c>
      <c r="DI665" s="5" t="s">
        <v>618</v>
      </c>
      <c r="DJ665" s="5" t="s">
        <v>240</v>
      </c>
      <c r="DK665" s="5" t="s">
        <v>240</v>
      </c>
      <c r="DL665" s="5" t="s">
        <v>240</v>
      </c>
      <c r="DP665" s="5" t="s">
        <v>240</v>
      </c>
      <c r="DQ665" s="5" t="s">
        <v>240</v>
      </c>
      <c r="DR665" s="5" t="s">
        <v>240</v>
      </c>
      <c r="DS665" s="5" t="s">
        <v>240</v>
      </c>
      <c r="DV665" s="5" t="s">
        <v>1466</v>
      </c>
      <c r="DW665" s="5" t="s">
        <v>797</v>
      </c>
      <c r="HO665" s="5" t="s">
        <v>312</v>
      </c>
    </row>
    <row r="666" spans="1:223" x14ac:dyDescent="0.4">
      <c r="A666" s="5">
        <v>1528</v>
      </c>
      <c r="B666" s="5">
        <v>1</v>
      </c>
      <c r="C666" s="5">
        <v>1</v>
      </c>
      <c r="D666" s="5" t="s">
        <v>723</v>
      </c>
      <c r="E666" s="5" t="s">
        <v>725</v>
      </c>
      <c r="F666" s="5" t="s">
        <v>254</v>
      </c>
      <c r="G666" s="5" t="s">
        <v>240</v>
      </c>
      <c r="H666" s="6" t="s">
        <v>2081</v>
      </c>
      <c r="I666" s="5" t="s">
        <v>722</v>
      </c>
      <c r="J666" s="8">
        <f>1983</f>
        <v>1983</v>
      </c>
      <c r="K666" s="5" t="s">
        <v>308</v>
      </c>
      <c r="L666" s="7">
        <f>21813</f>
        <v>21813</v>
      </c>
      <c r="M666" s="7">
        <f>21813</f>
        <v>21813</v>
      </c>
      <c r="N666" s="5" t="s">
        <v>242</v>
      </c>
      <c r="O666" s="5">
        <v>1</v>
      </c>
      <c r="P666" s="5" t="s">
        <v>294</v>
      </c>
      <c r="Q666" s="5" t="s">
        <v>613</v>
      </c>
      <c r="R666" s="5" t="s">
        <v>240</v>
      </c>
      <c r="S666" s="5" t="s">
        <v>240</v>
      </c>
      <c r="T666" s="5" t="s">
        <v>243</v>
      </c>
      <c r="U666" s="5" t="s">
        <v>244</v>
      </c>
      <c r="V666" s="5" t="s">
        <v>240</v>
      </c>
      <c r="Y666" s="5" t="s">
        <v>240</v>
      </c>
      <c r="Z666" s="6" t="s">
        <v>298</v>
      </c>
      <c r="AB666" s="6" t="s">
        <v>240</v>
      </c>
      <c r="AE666" s="6" t="s">
        <v>299</v>
      </c>
      <c r="AF666" s="5" t="s">
        <v>248</v>
      </c>
      <c r="AG666" s="5" t="s">
        <v>249</v>
      </c>
      <c r="AW666" s="5" t="s">
        <v>251</v>
      </c>
      <c r="AX666" s="5" t="s">
        <v>240</v>
      </c>
      <c r="AY666" s="5" t="s">
        <v>253</v>
      </c>
      <c r="AZ666" s="5" t="s">
        <v>240</v>
      </c>
      <c r="BA666" s="5" t="s">
        <v>255</v>
      </c>
      <c r="BB666" s="5" t="s">
        <v>240</v>
      </c>
      <c r="BD666" s="5" t="s">
        <v>240</v>
      </c>
      <c r="BF666" s="5" t="s">
        <v>301</v>
      </c>
      <c r="BG666" s="6" t="s">
        <v>299</v>
      </c>
      <c r="BH666" s="5" t="s">
        <v>302</v>
      </c>
      <c r="BI666" s="5" t="s">
        <v>303</v>
      </c>
      <c r="BJ666" s="5" t="s">
        <v>240</v>
      </c>
      <c r="BK666" s="8">
        <f>0</f>
        <v>0</v>
      </c>
      <c r="BL666" s="7">
        <f>0</f>
        <v>0</v>
      </c>
      <c r="BM666" s="5" t="s">
        <v>258</v>
      </c>
      <c r="BN666" s="5" t="s">
        <v>259</v>
      </c>
      <c r="CB666" s="5" t="s">
        <v>240</v>
      </c>
      <c r="CC666" s="5" t="s">
        <v>240</v>
      </c>
      <c r="CG666" s="5" t="s">
        <v>617</v>
      </c>
      <c r="CH666" s="5" t="s">
        <v>305</v>
      </c>
      <c r="CI666" s="5" t="s">
        <v>240</v>
      </c>
      <c r="CL666" s="6" t="s">
        <v>261</v>
      </c>
      <c r="CM666" s="5" t="s">
        <v>240</v>
      </c>
      <c r="CN666" s="5" t="s">
        <v>263</v>
      </c>
      <c r="CO666" s="5" t="s">
        <v>240</v>
      </c>
      <c r="CP666" s="5" t="s">
        <v>240</v>
      </c>
      <c r="CQ666" s="5">
        <v>0</v>
      </c>
      <c r="CR666" s="5" t="s">
        <v>306</v>
      </c>
      <c r="CS666" s="5" t="s">
        <v>307</v>
      </c>
      <c r="CT666" s="5" t="s">
        <v>307</v>
      </c>
      <c r="CU666" s="5" t="s">
        <v>260</v>
      </c>
      <c r="CX666" s="7">
        <f>4237295</f>
        <v>4237295</v>
      </c>
      <c r="CY666" s="7">
        <f>0</f>
        <v>0</v>
      </c>
      <c r="DA666" s="7">
        <f>0</f>
        <v>0</v>
      </c>
      <c r="DC666" s="5" t="s">
        <v>689</v>
      </c>
      <c r="DD666" s="5" t="s">
        <v>240</v>
      </c>
      <c r="DF666" s="5" t="s">
        <v>450</v>
      </c>
      <c r="DG666" s="7">
        <f>0</f>
        <v>0</v>
      </c>
      <c r="DI666" s="5" t="s">
        <v>618</v>
      </c>
      <c r="DJ666" s="5" t="s">
        <v>240</v>
      </c>
      <c r="DK666" s="5" t="s">
        <v>240</v>
      </c>
      <c r="DL666" s="5" t="s">
        <v>240</v>
      </c>
      <c r="DP666" s="5" t="s">
        <v>240</v>
      </c>
      <c r="DQ666" s="5" t="s">
        <v>240</v>
      </c>
      <c r="DR666" s="5" t="s">
        <v>240</v>
      </c>
      <c r="DS666" s="5" t="s">
        <v>240</v>
      </c>
      <c r="DV666" s="5" t="s">
        <v>1466</v>
      </c>
      <c r="DW666" s="5" t="s">
        <v>799</v>
      </c>
      <c r="HO666" s="5" t="s">
        <v>312</v>
      </c>
    </row>
    <row r="667" spans="1:223" x14ac:dyDescent="0.4">
      <c r="A667" s="5">
        <v>1529</v>
      </c>
      <c r="B667" s="5">
        <v>1</v>
      </c>
      <c r="C667" s="5">
        <v>1</v>
      </c>
      <c r="D667" s="5" t="s">
        <v>723</v>
      </c>
      <c r="E667" s="5" t="s">
        <v>725</v>
      </c>
      <c r="F667" s="5" t="s">
        <v>254</v>
      </c>
      <c r="G667" s="5" t="s">
        <v>240</v>
      </c>
      <c r="H667" s="6" t="s">
        <v>2080</v>
      </c>
      <c r="I667" s="5" t="s">
        <v>722</v>
      </c>
      <c r="J667" s="8">
        <f>13029</f>
        <v>13029</v>
      </c>
      <c r="K667" s="5" t="s">
        <v>308</v>
      </c>
      <c r="L667" s="7">
        <f>143319</f>
        <v>143319</v>
      </c>
      <c r="M667" s="7">
        <f>143319</f>
        <v>143319</v>
      </c>
      <c r="N667" s="5" t="s">
        <v>242</v>
      </c>
      <c r="O667" s="5">
        <v>1</v>
      </c>
      <c r="P667" s="5" t="s">
        <v>294</v>
      </c>
      <c r="Q667" s="5" t="s">
        <v>613</v>
      </c>
      <c r="R667" s="5" t="s">
        <v>240</v>
      </c>
      <c r="S667" s="5" t="s">
        <v>240</v>
      </c>
      <c r="T667" s="5" t="s">
        <v>243</v>
      </c>
      <c r="U667" s="5" t="s">
        <v>244</v>
      </c>
      <c r="V667" s="5" t="s">
        <v>240</v>
      </c>
      <c r="Y667" s="5" t="s">
        <v>240</v>
      </c>
      <c r="Z667" s="6" t="s">
        <v>298</v>
      </c>
      <c r="AB667" s="6" t="s">
        <v>240</v>
      </c>
      <c r="AE667" s="6" t="s">
        <v>299</v>
      </c>
      <c r="AF667" s="5" t="s">
        <v>248</v>
      </c>
      <c r="AG667" s="5" t="s">
        <v>249</v>
      </c>
      <c r="AW667" s="5" t="s">
        <v>251</v>
      </c>
      <c r="AX667" s="5" t="s">
        <v>240</v>
      </c>
      <c r="AY667" s="5" t="s">
        <v>253</v>
      </c>
      <c r="AZ667" s="5" t="s">
        <v>240</v>
      </c>
      <c r="BA667" s="5" t="s">
        <v>255</v>
      </c>
      <c r="BB667" s="5" t="s">
        <v>240</v>
      </c>
      <c r="BD667" s="5" t="s">
        <v>240</v>
      </c>
      <c r="BF667" s="5" t="s">
        <v>301</v>
      </c>
      <c r="BG667" s="6" t="s">
        <v>299</v>
      </c>
      <c r="BH667" s="5" t="s">
        <v>302</v>
      </c>
      <c r="BI667" s="5" t="s">
        <v>303</v>
      </c>
      <c r="BJ667" s="5" t="s">
        <v>240</v>
      </c>
      <c r="BK667" s="8">
        <f>0</f>
        <v>0</v>
      </c>
      <c r="BL667" s="7">
        <f>0</f>
        <v>0</v>
      </c>
      <c r="BM667" s="5" t="s">
        <v>258</v>
      </c>
      <c r="BN667" s="5" t="s">
        <v>259</v>
      </c>
      <c r="CB667" s="5" t="s">
        <v>240</v>
      </c>
      <c r="CC667" s="5" t="s">
        <v>240</v>
      </c>
      <c r="CG667" s="5" t="s">
        <v>617</v>
      </c>
      <c r="CH667" s="5" t="s">
        <v>305</v>
      </c>
      <c r="CI667" s="5" t="s">
        <v>240</v>
      </c>
      <c r="CL667" s="6" t="s">
        <v>261</v>
      </c>
      <c r="CM667" s="5" t="s">
        <v>240</v>
      </c>
      <c r="CN667" s="5" t="s">
        <v>263</v>
      </c>
      <c r="CO667" s="5" t="s">
        <v>240</v>
      </c>
      <c r="CP667" s="5" t="s">
        <v>240</v>
      </c>
      <c r="CQ667" s="5">
        <v>0</v>
      </c>
      <c r="CR667" s="5" t="s">
        <v>306</v>
      </c>
      <c r="CS667" s="5" t="s">
        <v>307</v>
      </c>
      <c r="CT667" s="5" t="s">
        <v>307</v>
      </c>
      <c r="CU667" s="5" t="s">
        <v>260</v>
      </c>
      <c r="CX667" s="7">
        <f>4243940</f>
        <v>4243940</v>
      </c>
      <c r="CY667" s="7">
        <f>0</f>
        <v>0</v>
      </c>
      <c r="DA667" s="7">
        <f>0</f>
        <v>0</v>
      </c>
      <c r="DC667" s="5" t="s">
        <v>689</v>
      </c>
      <c r="DD667" s="5" t="s">
        <v>240</v>
      </c>
      <c r="DF667" s="5" t="s">
        <v>450</v>
      </c>
      <c r="DG667" s="7">
        <f>0</f>
        <v>0</v>
      </c>
      <c r="DI667" s="5" t="s">
        <v>618</v>
      </c>
      <c r="DJ667" s="5" t="s">
        <v>240</v>
      </c>
      <c r="DK667" s="5" t="s">
        <v>240</v>
      </c>
      <c r="DL667" s="5" t="s">
        <v>240</v>
      </c>
      <c r="DP667" s="5" t="s">
        <v>240</v>
      </c>
      <c r="DQ667" s="5" t="s">
        <v>240</v>
      </c>
      <c r="DR667" s="5" t="s">
        <v>240</v>
      </c>
      <c r="DS667" s="5" t="s">
        <v>240</v>
      </c>
      <c r="DV667" s="5" t="s">
        <v>1466</v>
      </c>
      <c r="DW667" s="5" t="s">
        <v>801</v>
      </c>
      <c r="HO667" s="5" t="s">
        <v>312</v>
      </c>
    </row>
    <row r="668" spans="1:223" x14ac:dyDescent="0.4">
      <c r="A668" s="5">
        <v>1530</v>
      </c>
      <c r="B668" s="5">
        <v>1</v>
      </c>
      <c r="C668" s="5">
        <v>1</v>
      </c>
      <c r="D668" s="5" t="s">
        <v>723</v>
      </c>
      <c r="E668" s="5" t="s">
        <v>725</v>
      </c>
      <c r="F668" s="5" t="s">
        <v>254</v>
      </c>
      <c r="G668" s="5" t="s">
        <v>240</v>
      </c>
      <c r="H668" s="6" t="s">
        <v>2079</v>
      </c>
      <c r="I668" s="5" t="s">
        <v>722</v>
      </c>
      <c r="J668" s="8">
        <f>320</f>
        <v>320</v>
      </c>
      <c r="K668" s="5" t="s">
        <v>308</v>
      </c>
      <c r="L668" s="7">
        <f>3520</f>
        <v>3520</v>
      </c>
      <c r="M668" s="7">
        <f>3520</f>
        <v>3520</v>
      </c>
      <c r="N668" s="5" t="s">
        <v>242</v>
      </c>
      <c r="O668" s="5">
        <v>1</v>
      </c>
      <c r="P668" s="5" t="s">
        <v>294</v>
      </c>
      <c r="Q668" s="5" t="s">
        <v>613</v>
      </c>
      <c r="R668" s="5" t="s">
        <v>240</v>
      </c>
      <c r="S668" s="5" t="s">
        <v>240</v>
      </c>
      <c r="T668" s="5" t="s">
        <v>243</v>
      </c>
      <c r="U668" s="5" t="s">
        <v>244</v>
      </c>
      <c r="V668" s="5" t="s">
        <v>240</v>
      </c>
      <c r="Y668" s="5" t="s">
        <v>240</v>
      </c>
      <c r="Z668" s="6" t="s">
        <v>298</v>
      </c>
      <c r="AB668" s="6" t="s">
        <v>240</v>
      </c>
      <c r="AE668" s="6" t="s">
        <v>299</v>
      </c>
      <c r="AF668" s="5" t="s">
        <v>248</v>
      </c>
      <c r="AG668" s="5" t="s">
        <v>249</v>
      </c>
      <c r="AW668" s="5" t="s">
        <v>251</v>
      </c>
      <c r="AX668" s="5" t="s">
        <v>240</v>
      </c>
      <c r="AY668" s="5" t="s">
        <v>253</v>
      </c>
      <c r="AZ668" s="5" t="s">
        <v>240</v>
      </c>
      <c r="BA668" s="5" t="s">
        <v>255</v>
      </c>
      <c r="BB668" s="5" t="s">
        <v>240</v>
      </c>
      <c r="BD668" s="5" t="s">
        <v>240</v>
      </c>
      <c r="BF668" s="5" t="s">
        <v>301</v>
      </c>
      <c r="BG668" s="6" t="s">
        <v>299</v>
      </c>
      <c r="BH668" s="5" t="s">
        <v>302</v>
      </c>
      <c r="BI668" s="5" t="s">
        <v>303</v>
      </c>
      <c r="BJ668" s="5" t="s">
        <v>240</v>
      </c>
      <c r="BK668" s="8">
        <f>0</f>
        <v>0</v>
      </c>
      <c r="BL668" s="7">
        <f>0</f>
        <v>0</v>
      </c>
      <c r="BM668" s="5" t="s">
        <v>258</v>
      </c>
      <c r="BN668" s="5" t="s">
        <v>259</v>
      </c>
      <c r="CB668" s="5" t="s">
        <v>240</v>
      </c>
      <c r="CC668" s="5" t="s">
        <v>240</v>
      </c>
      <c r="CG668" s="5" t="s">
        <v>617</v>
      </c>
      <c r="CH668" s="5" t="s">
        <v>305</v>
      </c>
      <c r="CI668" s="5" t="s">
        <v>240</v>
      </c>
      <c r="CL668" s="6" t="s">
        <v>261</v>
      </c>
      <c r="CM668" s="5" t="s">
        <v>240</v>
      </c>
      <c r="CN668" s="5" t="s">
        <v>263</v>
      </c>
      <c r="CO668" s="5" t="s">
        <v>240</v>
      </c>
      <c r="CP668" s="5" t="s">
        <v>240</v>
      </c>
      <c r="CQ668" s="5">
        <v>0</v>
      </c>
      <c r="CR668" s="5" t="s">
        <v>306</v>
      </c>
      <c r="CS668" s="5" t="s">
        <v>307</v>
      </c>
      <c r="CT668" s="5" t="s">
        <v>307</v>
      </c>
      <c r="CU668" s="5" t="s">
        <v>260</v>
      </c>
      <c r="CX668" s="7">
        <f>274660</f>
        <v>274660</v>
      </c>
      <c r="CY668" s="7">
        <f>0</f>
        <v>0</v>
      </c>
      <c r="DA668" s="7">
        <f>0</f>
        <v>0</v>
      </c>
      <c r="DC668" s="5" t="s">
        <v>689</v>
      </c>
      <c r="DD668" s="5" t="s">
        <v>240</v>
      </c>
      <c r="DF668" s="5" t="s">
        <v>450</v>
      </c>
      <c r="DG668" s="7">
        <f>0</f>
        <v>0</v>
      </c>
      <c r="DI668" s="5" t="s">
        <v>618</v>
      </c>
      <c r="DJ668" s="5" t="s">
        <v>240</v>
      </c>
      <c r="DK668" s="5" t="s">
        <v>240</v>
      </c>
      <c r="DL668" s="5" t="s">
        <v>240</v>
      </c>
      <c r="DP668" s="5" t="s">
        <v>240</v>
      </c>
      <c r="DQ668" s="5" t="s">
        <v>240</v>
      </c>
      <c r="DR668" s="5" t="s">
        <v>240</v>
      </c>
      <c r="DS668" s="5" t="s">
        <v>240</v>
      </c>
      <c r="DV668" s="5" t="s">
        <v>1466</v>
      </c>
      <c r="DW668" s="5" t="s">
        <v>804</v>
      </c>
      <c r="HO668" s="5" t="s">
        <v>312</v>
      </c>
    </row>
    <row r="669" spans="1:223" x14ac:dyDescent="0.4">
      <c r="A669" s="5">
        <v>1531</v>
      </c>
      <c r="B669" s="5">
        <v>1</v>
      </c>
      <c r="C669" s="5">
        <v>1</v>
      </c>
      <c r="D669" s="5" t="s">
        <v>723</v>
      </c>
      <c r="E669" s="5" t="s">
        <v>725</v>
      </c>
      <c r="F669" s="5" t="s">
        <v>254</v>
      </c>
      <c r="G669" s="5" t="s">
        <v>240</v>
      </c>
      <c r="H669" s="6" t="s">
        <v>978</v>
      </c>
      <c r="I669" s="5" t="s">
        <v>722</v>
      </c>
      <c r="J669" s="8">
        <f>988</f>
        <v>988</v>
      </c>
      <c r="K669" s="5" t="s">
        <v>308</v>
      </c>
      <c r="L669" s="7">
        <f>10868</f>
        <v>10868</v>
      </c>
      <c r="M669" s="7">
        <f>10868</f>
        <v>10868</v>
      </c>
      <c r="N669" s="5" t="s">
        <v>242</v>
      </c>
      <c r="O669" s="5">
        <v>1</v>
      </c>
      <c r="P669" s="5" t="s">
        <v>294</v>
      </c>
      <c r="Q669" s="5" t="s">
        <v>613</v>
      </c>
      <c r="R669" s="5" t="s">
        <v>240</v>
      </c>
      <c r="S669" s="5" t="s">
        <v>240</v>
      </c>
      <c r="T669" s="5" t="s">
        <v>243</v>
      </c>
      <c r="U669" s="5" t="s">
        <v>244</v>
      </c>
      <c r="V669" s="5" t="s">
        <v>240</v>
      </c>
      <c r="Y669" s="5" t="s">
        <v>240</v>
      </c>
      <c r="Z669" s="6" t="s">
        <v>298</v>
      </c>
      <c r="AB669" s="6" t="s">
        <v>240</v>
      </c>
      <c r="AE669" s="6" t="s">
        <v>299</v>
      </c>
      <c r="AF669" s="5" t="s">
        <v>248</v>
      </c>
      <c r="AG669" s="5" t="s">
        <v>249</v>
      </c>
      <c r="AW669" s="5" t="s">
        <v>251</v>
      </c>
      <c r="AX669" s="5" t="s">
        <v>240</v>
      </c>
      <c r="AY669" s="5" t="s">
        <v>253</v>
      </c>
      <c r="AZ669" s="5" t="s">
        <v>240</v>
      </c>
      <c r="BA669" s="5" t="s">
        <v>255</v>
      </c>
      <c r="BB669" s="5" t="s">
        <v>240</v>
      </c>
      <c r="BD669" s="5" t="s">
        <v>240</v>
      </c>
      <c r="BF669" s="5" t="s">
        <v>301</v>
      </c>
      <c r="BG669" s="6" t="s">
        <v>299</v>
      </c>
      <c r="BH669" s="5" t="s">
        <v>302</v>
      </c>
      <c r="BI669" s="5" t="s">
        <v>303</v>
      </c>
      <c r="BJ669" s="5" t="s">
        <v>240</v>
      </c>
      <c r="BK669" s="8">
        <f>0</f>
        <v>0</v>
      </c>
      <c r="BL669" s="7">
        <f>0</f>
        <v>0</v>
      </c>
      <c r="BM669" s="5" t="s">
        <v>258</v>
      </c>
      <c r="BN669" s="5" t="s">
        <v>259</v>
      </c>
      <c r="CB669" s="5" t="s">
        <v>240</v>
      </c>
      <c r="CC669" s="5" t="s">
        <v>240</v>
      </c>
      <c r="CG669" s="5" t="s">
        <v>617</v>
      </c>
      <c r="CH669" s="5" t="s">
        <v>305</v>
      </c>
      <c r="CI669" s="5" t="s">
        <v>240</v>
      </c>
      <c r="CL669" s="6" t="s">
        <v>261</v>
      </c>
      <c r="CM669" s="5" t="s">
        <v>240</v>
      </c>
      <c r="CN669" s="5" t="s">
        <v>263</v>
      </c>
      <c r="CO669" s="5" t="s">
        <v>240</v>
      </c>
      <c r="CP669" s="5" t="s">
        <v>240</v>
      </c>
      <c r="CQ669" s="5">
        <v>0</v>
      </c>
      <c r="CR669" s="5" t="s">
        <v>306</v>
      </c>
      <c r="CS669" s="5" t="s">
        <v>307</v>
      </c>
      <c r="CT669" s="5" t="s">
        <v>307</v>
      </c>
      <c r="CU669" s="5" t="s">
        <v>260</v>
      </c>
      <c r="CX669" s="7">
        <f>6492165</f>
        <v>6492165</v>
      </c>
      <c r="CY669" s="7">
        <f>0</f>
        <v>0</v>
      </c>
      <c r="DA669" s="7">
        <f>0</f>
        <v>0</v>
      </c>
      <c r="DC669" s="5" t="s">
        <v>689</v>
      </c>
      <c r="DD669" s="5" t="s">
        <v>240</v>
      </c>
      <c r="DF669" s="5" t="s">
        <v>450</v>
      </c>
      <c r="DG669" s="7">
        <f>0</f>
        <v>0</v>
      </c>
      <c r="DI669" s="5" t="s">
        <v>618</v>
      </c>
      <c r="DJ669" s="5" t="s">
        <v>240</v>
      </c>
      <c r="DK669" s="5" t="s">
        <v>240</v>
      </c>
      <c r="DL669" s="5" t="s">
        <v>240</v>
      </c>
      <c r="DP669" s="5" t="s">
        <v>240</v>
      </c>
      <c r="DQ669" s="5" t="s">
        <v>240</v>
      </c>
      <c r="DR669" s="5" t="s">
        <v>240</v>
      </c>
      <c r="DS669" s="5" t="s">
        <v>240</v>
      </c>
      <c r="DV669" s="5" t="s">
        <v>1466</v>
      </c>
      <c r="DW669" s="5" t="s">
        <v>808</v>
      </c>
      <c r="HO669" s="5" t="s">
        <v>312</v>
      </c>
    </row>
    <row r="670" spans="1:223" x14ac:dyDescent="0.4">
      <c r="A670" s="5">
        <v>1532</v>
      </c>
      <c r="B670" s="5">
        <v>1</v>
      </c>
      <c r="C670" s="5">
        <v>1</v>
      </c>
      <c r="D670" s="5" t="s">
        <v>723</v>
      </c>
      <c r="E670" s="5" t="s">
        <v>725</v>
      </c>
      <c r="F670" s="5" t="s">
        <v>254</v>
      </c>
      <c r="G670" s="5" t="s">
        <v>240</v>
      </c>
      <c r="H670" s="6" t="s">
        <v>976</v>
      </c>
      <c r="I670" s="5" t="s">
        <v>722</v>
      </c>
      <c r="J670" s="8">
        <f>2976</f>
        <v>2976</v>
      </c>
      <c r="K670" s="5" t="s">
        <v>308</v>
      </c>
      <c r="L670" s="7">
        <f>32736</f>
        <v>32736</v>
      </c>
      <c r="M670" s="7">
        <f>32736</f>
        <v>32736</v>
      </c>
      <c r="N670" s="5" t="s">
        <v>242</v>
      </c>
      <c r="O670" s="5">
        <v>1</v>
      </c>
      <c r="P670" s="5" t="s">
        <v>294</v>
      </c>
      <c r="Q670" s="5" t="s">
        <v>613</v>
      </c>
      <c r="R670" s="5" t="s">
        <v>240</v>
      </c>
      <c r="S670" s="5" t="s">
        <v>240</v>
      </c>
      <c r="T670" s="5" t="s">
        <v>243</v>
      </c>
      <c r="U670" s="5" t="s">
        <v>244</v>
      </c>
      <c r="V670" s="5" t="s">
        <v>240</v>
      </c>
      <c r="Y670" s="5" t="s">
        <v>240</v>
      </c>
      <c r="Z670" s="6" t="s">
        <v>298</v>
      </c>
      <c r="AB670" s="6" t="s">
        <v>240</v>
      </c>
      <c r="AE670" s="6" t="s">
        <v>299</v>
      </c>
      <c r="AF670" s="5" t="s">
        <v>248</v>
      </c>
      <c r="AG670" s="5" t="s">
        <v>249</v>
      </c>
      <c r="AW670" s="5" t="s">
        <v>251</v>
      </c>
      <c r="AX670" s="5" t="s">
        <v>240</v>
      </c>
      <c r="AY670" s="5" t="s">
        <v>253</v>
      </c>
      <c r="AZ670" s="5" t="s">
        <v>240</v>
      </c>
      <c r="BA670" s="5" t="s">
        <v>255</v>
      </c>
      <c r="BB670" s="5" t="s">
        <v>240</v>
      </c>
      <c r="BD670" s="5" t="s">
        <v>240</v>
      </c>
      <c r="BF670" s="5" t="s">
        <v>301</v>
      </c>
      <c r="BG670" s="6" t="s">
        <v>299</v>
      </c>
      <c r="BH670" s="5" t="s">
        <v>302</v>
      </c>
      <c r="BI670" s="5" t="s">
        <v>303</v>
      </c>
      <c r="BJ670" s="5" t="s">
        <v>240</v>
      </c>
      <c r="BK670" s="8">
        <f>0</f>
        <v>0</v>
      </c>
      <c r="BL670" s="7">
        <f>0</f>
        <v>0</v>
      </c>
      <c r="BM670" s="5" t="s">
        <v>258</v>
      </c>
      <c r="BN670" s="5" t="s">
        <v>259</v>
      </c>
      <c r="CB670" s="5" t="s">
        <v>240</v>
      </c>
      <c r="CC670" s="5" t="s">
        <v>240</v>
      </c>
      <c r="CG670" s="5" t="s">
        <v>617</v>
      </c>
      <c r="CH670" s="5" t="s">
        <v>305</v>
      </c>
      <c r="CI670" s="5" t="s">
        <v>240</v>
      </c>
      <c r="CL670" s="6" t="s">
        <v>261</v>
      </c>
      <c r="CM670" s="5" t="s">
        <v>240</v>
      </c>
      <c r="CN670" s="5" t="s">
        <v>263</v>
      </c>
      <c r="CO670" s="5" t="s">
        <v>240</v>
      </c>
      <c r="CP670" s="5" t="s">
        <v>240</v>
      </c>
      <c r="CQ670" s="5">
        <v>0</v>
      </c>
      <c r="CR670" s="5" t="s">
        <v>306</v>
      </c>
      <c r="CS670" s="5" t="s">
        <v>307</v>
      </c>
      <c r="CT670" s="5" t="s">
        <v>307</v>
      </c>
      <c r="CU670" s="5" t="s">
        <v>260</v>
      </c>
      <c r="CX670" s="7">
        <f>12027450</f>
        <v>12027450</v>
      </c>
      <c r="CY670" s="7">
        <f>0</f>
        <v>0</v>
      </c>
      <c r="DA670" s="7">
        <f>0</f>
        <v>0</v>
      </c>
      <c r="DC670" s="5" t="s">
        <v>689</v>
      </c>
      <c r="DD670" s="5" t="s">
        <v>240</v>
      </c>
      <c r="DF670" s="5" t="s">
        <v>450</v>
      </c>
      <c r="DG670" s="7">
        <f>0</f>
        <v>0</v>
      </c>
      <c r="DI670" s="5" t="s">
        <v>618</v>
      </c>
      <c r="DJ670" s="5" t="s">
        <v>240</v>
      </c>
      <c r="DK670" s="5" t="s">
        <v>240</v>
      </c>
      <c r="DL670" s="5" t="s">
        <v>240</v>
      </c>
      <c r="DP670" s="5" t="s">
        <v>240</v>
      </c>
      <c r="DQ670" s="5" t="s">
        <v>240</v>
      </c>
      <c r="DR670" s="5" t="s">
        <v>240</v>
      </c>
      <c r="DS670" s="5" t="s">
        <v>240</v>
      </c>
      <c r="DV670" s="5" t="s">
        <v>1466</v>
      </c>
      <c r="DW670" s="5" t="s">
        <v>1260</v>
      </c>
      <c r="HO670" s="5" t="s">
        <v>312</v>
      </c>
    </row>
    <row r="671" spans="1:223" x14ac:dyDescent="0.4">
      <c r="A671" s="5">
        <v>1533</v>
      </c>
      <c r="B671" s="5">
        <v>1</v>
      </c>
      <c r="C671" s="5">
        <v>1</v>
      </c>
      <c r="D671" s="5" t="s">
        <v>723</v>
      </c>
      <c r="E671" s="5" t="s">
        <v>725</v>
      </c>
      <c r="F671" s="5" t="s">
        <v>254</v>
      </c>
      <c r="G671" s="5" t="s">
        <v>240</v>
      </c>
      <c r="H671" s="6" t="s">
        <v>975</v>
      </c>
      <c r="I671" s="5" t="s">
        <v>722</v>
      </c>
      <c r="J671" s="8">
        <f>596</f>
        <v>596</v>
      </c>
      <c r="K671" s="5" t="s">
        <v>308</v>
      </c>
      <c r="L671" s="7">
        <f>6556</f>
        <v>6556</v>
      </c>
      <c r="M671" s="7">
        <f>6556</f>
        <v>6556</v>
      </c>
      <c r="N671" s="5" t="s">
        <v>242</v>
      </c>
      <c r="O671" s="5">
        <v>1</v>
      </c>
      <c r="P671" s="5" t="s">
        <v>294</v>
      </c>
      <c r="Q671" s="5" t="s">
        <v>613</v>
      </c>
      <c r="R671" s="5" t="s">
        <v>240</v>
      </c>
      <c r="S671" s="5" t="s">
        <v>240</v>
      </c>
      <c r="T671" s="5" t="s">
        <v>243</v>
      </c>
      <c r="U671" s="5" t="s">
        <v>244</v>
      </c>
      <c r="V671" s="5" t="s">
        <v>240</v>
      </c>
      <c r="Y671" s="5" t="s">
        <v>240</v>
      </c>
      <c r="Z671" s="6" t="s">
        <v>298</v>
      </c>
      <c r="AB671" s="6" t="s">
        <v>240</v>
      </c>
      <c r="AE671" s="6" t="s">
        <v>299</v>
      </c>
      <c r="AF671" s="5" t="s">
        <v>248</v>
      </c>
      <c r="AG671" s="5" t="s">
        <v>249</v>
      </c>
      <c r="AW671" s="5" t="s">
        <v>251</v>
      </c>
      <c r="AX671" s="5" t="s">
        <v>240</v>
      </c>
      <c r="AY671" s="5" t="s">
        <v>253</v>
      </c>
      <c r="AZ671" s="5" t="s">
        <v>240</v>
      </c>
      <c r="BA671" s="5" t="s">
        <v>255</v>
      </c>
      <c r="BB671" s="5" t="s">
        <v>240</v>
      </c>
      <c r="BD671" s="5" t="s">
        <v>240</v>
      </c>
      <c r="BF671" s="5" t="s">
        <v>301</v>
      </c>
      <c r="BG671" s="6" t="s">
        <v>299</v>
      </c>
      <c r="BH671" s="5" t="s">
        <v>302</v>
      </c>
      <c r="BI671" s="5" t="s">
        <v>303</v>
      </c>
      <c r="BJ671" s="5" t="s">
        <v>240</v>
      </c>
      <c r="BK671" s="8">
        <f>0</f>
        <v>0</v>
      </c>
      <c r="BL671" s="7">
        <f>0</f>
        <v>0</v>
      </c>
      <c r="BM671" s="5" t="s">
        <v>258</v>
      </c>
      <c r="BN671" s="5" t="s">
        <v>259</v>
      </c>
      <c r="CB671" s="5" t="s">
        <v>240</v>
      </c>
      <c r="CC671" s="5" t="s">
        <v>240</v>
      </c>
      <c r="CG671" s="5" t="s">
        <v>617</v>
      </c>
      <c r="CH671" s="5" t="s">
        <v>305</v>
      </c>
      <c r="CI671" s="5" t="s">
        <v>240</v>
      </c>
      <c r="CL671" s="6" t="s">
        <v>261</v>
      </c>
      <c r="CM671" s="5" t="s">
        <v>240</v>
      </c>
      <c r="CN671" s="5" t="s">
        <v>263</v>
      </c>
      <c r="CO671" s="5" t="s">
        <v>240</v>
      </c>
      <c r="CP671" s="5" t="s">
        <v>240</v>
      </c>
      <c r="CQ671" s="5">
        <v>0</v>
      </c>
      <c r="CR671" s="5" t="s">
        <v>306</v>
      </c>
      <c r="CS671" s="5" t="s">
        <v>307</v>
      </c>
      <c r="CT671" s="5" t="s">
        <v>307</v>
      </c>
      <c r="CU671" s="5" t="s">
        <v>260</v>
      </c>
      <c r="CX671" s="7">
        <f>219285</f>
        <v>219285</v>
      </c>
      <c r="CY671" s="7">
        <f>0</f>
        <v>0</v>
      </c>
      <c r="DA671" s="7">
        <f>0</f>
        <v>0</v>
      </c>
      <c r="DC671" s="5" t="s">
        <v>689</v>
      </c>
      <c r="DD671" s="5" t="s">
        <v>240</v>
      </c>
      <c r="DF671" s="5" t="s">
        <v>450</v>
      </c>
      <c r="DG671" s="7">
        <f>0</f>
        <v>0</v>
      </c>
      <c r="DI671" s="5" t="s">
        <v>618</v>
      </c>
      <c r="DJ671" s="5" t="s">
        <v>240</v>
      </c>
      <c r="DK671" s="5" t="s">
        <v>240</v>
      </c>
      <c r="DL671" s="5" t="s">
        <v>240</v>
      </c>
      <c r="DP671" s="5" t="s">
        <v>240</v>
      </c>
      <c r="DQ671" s="5" t="s">
        <v>240</v>
      </c>
      <c r="DR671" s="5" t="s">
        <v>240</v>
      </c>
      <c r="DS671" s="5" t="s">
        <v>240</v>
      </c>
      <c r="DV671" s="5" t="s">
        <v>1466</v>
      </c>
      <c r="DW671" s="5" t="s">
        <v>816</v>
      </c>
      <c r="HO671" s="5" t="s">
        <v>312</v>
      </c>
    </row>
    <row r="672" spans="1:223" x14ac:dyDescent="0.4">
      <c r="A672" s="5">
        <v>1534</v>
      </c>
      <c r="B672" s="5">
        <v>1</v>
      </c>
      <c r="C672" s="5">
        <v>1</v>
      </c>
      <c r="D672" s="5" t="s">
        <v>723</v>
      </c>
      <c r="E672" s="5" t="s">
        <v>725</v>
      </c>
      <c r="F672" s="5" t="s">
        <v>254</v>
      </c>
      <c r="G672" s="5" t="s">
        <v>240</v>
      </c>
      <c r="H672" s="6" t="s">
        <v>974</v>
      </c>
      <c r="I672" s="5" t="s">
        <v>722</v>
      </c>
      <c r="J672" s="8">
        <f>493</f>
        <v>493</v>
      </c>
      <c r="K672" s="5" t="s">
        <v>308</v>
      </c>
      <c r="L672" s="7">
        <f>5423</f>
        <v>5423</v>
      </c>
      <c r="M672" s="7">
        <f>5423</f>
        <v>5423</v>
      </c>
      <c r="N672" s="5" t="s">
        <v>242</v>
      </c>
      <c r="O672" s="5">
        <v>1</v>
      </c>
      <c r="P672" s="5" t="s">
        <v>294</v>
      </c>
      <c r="Q672" s="5" t="s">
        <v>613</v>
      </c>
      <c r="R672" s="5" t="s">
        <v>240</v>
      </c>
      <c r="S672" s="5" t="s">
        <v>240</v>
      </c>
      <c r="T672" s="5" t="s">
        <v>243</v>
      </c>
      <c r="U672" s="5" t="s">
        <v>244</v>
      </c>
      <c r="V672" s="5" t="s">
        <v>240</v>
      </c>
      <c r="Y672" s="5" t="s">
        <v>240</v>
      </c>
      <c r="Z672" s="6" t="s">
        <v>298</v>
      </c>
      <c r="AB672" s="6" t="s">
        <v>240</v>
      </c>
      <c r="AE672" s="6" t="s">
        <v>299</v>
      </c>
      <c r="AF672" s="5" t="s">
        <v>248</v>
      </c>
      <c r="AG672" s="5" t="s">
        <v>249</v>
      </c>
      <c r="AW672" s="5" t="s">
        <v>251</v>
      </c>
      <c r="AX672" s="5" t="s">
        <v>240</v>
      </c>
      <c r="AY672" s="5" t="s">
        <v>253</v>
      </c>
      <c r="AZ672" s="5" t="s">
        <v>240</v>
      </c>
      <c r="BA672" s="5" t="s">
        <v>255</v>
      </c>
      <c r="BB672" s="5" t="s">
        <v>240</v>
      </c>
      <c r="BD672" s="5" t="s">
        <v>240</v>
      </c>
      <c r="BF672" s="5" t="s">
        <v>301</v>
      </c>
      <c r="BG672" s="6" t="s">
        <v>299</v>
      </c>
      <c r="BH672" s="5" t="s">
        <v>302</v>
      </c>
      <c r="BI672" s="5" t="s">
        <v>303</v>
      </c>
      <c r="BJ672" s="5" t="s">
        <v>240</v>
      </c>
      <c r="BK672" s="8">
        <f>0</f>
        <v>0</v>
      </c>
      <c r="BL672" s="7">
        <f>0</f>
        <v>0</v>
      </c>
      <c r="BM672" s="5" t="s">
        <v>258</v>
      </c>
      <c r="BN672" s="5" t="s">
        <v>259</v>
      </c>
      <c r="CB672" s="5" t="s">
        <v>240</v>
      </c>
      <c r="CC672" s="5" t="s">
        <v>240</v>
      </c>
      <c r="CG672" s="5" t="s">
        <v>617</v>
      </c>
      <c r="CH672" s="5" t="s">
        <v>305</v>
      </c>
      <c r="CI672" s="5" t="s">
        <v>240</v>
      </c>
      <c r="CL672" s="6" t="s">
        <v>261</v>
      </c>
      <c r="CM672" s="5" t="s">
        <v>240</v>
      </c>
      <c r="CN672" s="5" t="s">
        <v>263</v>
      </c>
      <c r="CO672" s="5" t="s">
        <v>240</v>
      </c>
      <c r="CP672" s="5" t="s">
        <v>240</v>
      </c>
      <c r="CQ672" s="5">
        <v>0</v>
      </c>
      <c r="CR672" s="5" t="s">
        <v>306</v>
      </c>
      <c r="CS672" s="5" t="s">
        <v>307</v>
      </c>
      <c r="CT672" s="5" t="s">
        <v>307</v>
      </c>
      <c r="CU672" s="5" t="s">
        <v>260</v>
      </c>
      <c r="CX672" s="7">
        <f>4981535</f>
        <v>4981535</v>
      </c>
      <c r="CY672" s="7">
        <f>0</f>
        <v>0</v>
      </c>
      <c r="DA672" s="7">
        <f>0</f>
        <v>0</v>
      </c>
      <c r="DC672" s="5" t="s">
        <v>689</v>
      </c>
      <c r="DD672" s="5" t="s">
        <v>240</v>
      </c>
      <c r="DF672" s="5" t="s">
        <v>450</v>
      </c>
      <c r="DG672" s="7">
        <f>0</f>
        <v>0</v>
      </c>
      <c r="DI672" s="5" t="s">
        <v>618</v>
      </c>
      <c r="DJ672" s="5" t="s">
        <v>240</v>
      </c>
      <c r="DK672" s="5" t="s">
        <v>240</v>
      </c>
      <c r="DL672" s="5" t="s">
        <v>240</v>
      </c>
      <c r="DP672" s="5" t="s">
        <v>240</v>
      </c>
      <c r="DQ672" s="5" t="s">
        <v>240</v>
      </c>
      <c r="DR672" s="5" t="s">
        <v>240</v>
      </c>
      <c r="DS672" s="5" t="s">
        <v>240</v>
      </c>
      <c r="DV672" s="5" t="s">
        <v>1466</v>
      </c>
      <c r="DW672" s="5" t="s">
        <v>818</v>
      </c>
      <c r="HO672" s="5" t="s">
        <v>312</v>
      </c>
    </row>
    <row r="673" spans="1:223" x14ac:dyDescent="0.4">
      <c r="A673" s="5">
        <v>1535</v>
      </c>
      <c r="B673" s="5">
        <v>1</v>
      </c>
      <c r="C673" s="5">
        <v>1</v>
      </c>
      <c r="D673" s="5" t="s">
        <v>723</v>
      </c>
      <c r="E673" s="5" t="s">
        <v>725</v>
      </c>
      <c r="F673" s="5" t="s">
        <v>254</v>
      </c>
      <c r="G673" s="5" t="s">
        <v>240</v>
      </c>
      <c r="H673" s="6" t="s">
        <v>973</v>
      </c>
      <c r="I673" s="5" t="s">
        <v>722</v>
      </c>
      <c r="J673" s="8">
        <f>718</f>
        <v>718</v>
      </c>
      <c r="K673" s="5" t="s">
        <v>308</v>
      </c>
      <c r="L673" s="7">
        <f>7898</f>
        <v>7898</v>
      </c>
      <c r="M673" s="7">
        <f>7898</f>
        <v>7898</v>
      </c>
      <c r="N673" s="5" t="s">
        <v>242</v>
      </c>
      <c r="O673" s="5">
        <v>1</v>
      </c>
      <c r="P673" s="5" t="s">
        <v>294</v>
      </c>
      <c r="Q673" s="5" t="s">
        <v>613</v>
      </c>
      <c r="R673" s="5" t="s">
        <v>240</v>
      </c>
      <c r="S673" s="5" t="s">
        <v>240</v>
      </c>
      <c r="T673" s="5" t="s">
        <v>243</v>
      </c>
      <c r="U673" s="5" t="s">
        <v>244</v>
      </c>
      <c r="V673" s="5" t="s">
        <v>240</v>
      </c>
      <c r="Y673" s="5" t="s">
        <v>240</v>
      </c>
      <c r="Z673" s="6" t="s">
        <v>298</v>
      </c>
      <c r="AB673" s="6" t="s">
        <v>240</v>
      </c>
      <c r="AE673" s="6" t="s">
        <v>299</v>
      </c>
      <c r="AF673" s="5" t="s">
        <v>248</v>
      </c>
      <c r="AG673" s="5" t="s">
        <v>249</v>
      </c>
      <c r="AW673" s="5" t="s">
        <v>251</v>
      </c>
      <c r="AX673" s="5" t="s">
        <v>240</v>
      </c>
      <c r="AY673" s="5" t="s">
        <v>253</v>
      </c>
      <c r="AZ673" s="5" t="s">
        <v>240</v>
      </c>
      <c r="BA673" s="5" t="s">
        <v>255</v>
      </c>
      <c r="BB673" s="5" t="s">
        <v>240</v>
      </c>
      <c r="BD673" s="5" t="s">
        <v>240</v>
      </c>
      <c r="BF673" s="5" t="s">
        <v>301</v>
      </c>
      <c r="BG673" s="6" t="s">
        <v>299</v>
      </c>
      <c r="BH673" s="5" t="s">
        <v>302</v>
      </c>
      <c r="BI673" s="5" t="s">
        <v>303</v>
      </c>
      <c r="BJ673" s="5" t="s">
        <v>240</v>
      </c>
      <c r="BK673" s="8">
        <f>0</f>
        <v>0</v>
      </c>
      <c r="BL673" s="7">
        <f>0</f>
        <v>0</v>
      </c>
      <c r="BM673" s="5" t="s">
        <v>258</v>
      </c>
      <c r="BN673" s="5" t="s">
        <v>259</v>
      </c>
      <c r="CB673" s="5" t="s">
        <v>240</v>
      </c>
      <c r="CC673" s="5" t="s">
        <v>240</v>
      </c>
      <c r="CG673" s="5" t="s">
        <v>617</v>
      </c>
      <c r="CH673" s="5" t="s">
        <v>305</v>
      </c>
      <c r="CI673" s="5" t="s">
        <v>240</v>
      </c>
      <c r="CL673" s="6" t="s">
        <v>261</v>
      </c>
      <c r="CM673" s="5" t="s">
        <v>240</v>
      </c>
      <c r="CN673" s="5" t="s">
        <v>263</v>
      </c>
      <c r="CO673" s="5" t="s">
        <v>240</v>
      </c>
      <c r="CP673" s="5" t="s">
        <v>240</v>
      </c>
      <c r="CQ673" s="5">
        <v>0</v>
      </c>
      <c r="CR673" s="5" t="s">
        <v>306</v>
      </c>
      <c r="CS673" s="5" t="s">
        <v>307</v>
      </c>
      <c r="CT673" s="5" t="s">
        <v>307</v>
      </c>
      <c r="CU673" s="5" t="s">
        <v>260</v>
      </c>
      <c r="CX673" s="7">
        <f>2128615</f>
        <v>2128615</v>
      </c>
      <c r="CY673" s="7">
        <f>0</f>
        <v>0</v>
      </c>
      <c r="DA673" s="7">
        <f>0</f>
        <v>0</v>
      </c>
      <c r="DC673" s="5" t="s">
        <v>689</v>
      </c>
      <c r="DD673" s="5" t="s">
        <v>240</v>
      </c>
      <c r="DF673" s="5" t="s">
        <v>450</v>
      </c>
      <c r="DG673" s="7">
        <f>0</f>
        <v>0</v>
      </c>
      <c r="DI673" s="5" t="s">
        <v>618</v>
      </c>
      <c r="DJ673" s="5" t="s">
        <v>240</v>
      </c>
      <c r="DK673" s="5" t="s">
        <v>240</v>
      </c>
      <c r="DL673" s="5" t="s">
        <v>240</v>
      </c>
      <c r="DP673" s="5" t="s">
        <v>240</v>
      </c>
      <c r="DQ673" s="5" t="s">
        <v>240</v>
      </c>
      <c r="DR673" s="5" t="s">
        <v>240</v>
      </c>
      <c r="DS673" s="5" t="s">
        <v>240</v>
      </c>
      <c r="DV673" s="5" t="s">
        <v>1466</v>
      </c>
      <c r="DW673" s="5" t="s">
        <v>820</v>
      </c>
      <c r="HO673" s="5" t="s">
        <v>312</v>
      </c>
    </row>
    <row r="674" spans="1:223" x14ac:dyDescent="0.4">
      <c r="A674" s="5">
        <v>1536</v>
      </c>
      <c r="B674" s="5">
        <v>1</v>
      </c>
      <c r="C674" s="5">
        <v>1</v>
      </c>
      <c r="D674" s="5" t="s">
        <v>723</v>
      </c>
      <c r="E674" s="5" t="s">
        <v>725</v>
      </c>
      <c r="F674" s="5" t="s">
        <v>254</v>
      </c>
      <c r="G674" s="5" t="s">
        <v>240</v>
      </c>
      <c r="H674" s="6" t="s">
        <v>971</v>
      </c>
      <c r="I674" s="5" t="s">
        <v>722</v>
      </c>
      <c r="J674" s="8">
        <f>307</f>
        <v>307</v>
      </c>
      <c r="K674" s="5" t="s">
        <v>308</v>
      </c>
      <c r="L674" s="7">
        <f>3377</f>
        <v>3377</v>
      </c>
      <c r="M674" s="7">
        <f>3377</f>
        <v>3377</v>
      </c>
      <c r="N674" s="5" t="s">
        <v>242</v>
      </c>
      <c r="O674" s="5">
        <v>1</v>
      </c>
      <c r="P674" s="5" t="s">
        <v>294</v>
      </c>
      <c r="Q674" s="5" t="s">
        <v>613</v>
      </c>
      <c r="R674" s="5" t="s">
        <v>240</v>
      </c>
      <c r="S674" s="5" t="s">
        <v>240</v>
      </c>
      <c r="T674" s="5" t="s">
        <v>243</v>
      </c>
      <c r="U674" s="5" t="s">
        <v>244</v>
      </c>
      <c r="V674" s="5" t="s">
        <v>240</v>
      </c>
      <c r="Y674" s="5" t="s">
        <v>240</v>
      </c>
      <c r="Z674" s="6" t="s">
        <v>298</v>
      </c>
      <c r="AB674" s="6" t="s">
        <v>240</v>
      </c>
      <c r="AE674" s="6" t="s">
        <v>299</v>
      </c>
      <c r="AF674" s="5" t="s">
        <v>248</v>
      </c>
      <c r="AG674" s="5" t="s">
        <v>249</v>
      </c>
      <c r="AW674" s="5" t="s">
        <v>251</v>
      </c>
      <c r="AX674" s="5" t="s">
        <v>240</v>
      </c>
      <c r="AY674" s="5" t="s">
        <v>253</v>
      </c>
      <c r="AZ674" s="5" t="s">
        <v>240</v>
      </c>
      <c r="BA674" s="5" t="s">
        <v>255</v>
      </c>
      <c r="BB674" s="5" t="s">
        <v>240</v>
      </c>
      <c r="BD674" s="5" t="s">
        <v>240</v>
      </c>
      <c r="BF674" s="5" t="s">
        <v>301</v>
      </c>
      <c r="BG674" s="6" t="s">
        <v>299</v>
      </c>
      <c r="BH674" s="5" t="s">
        <v>302</v>
      </c>
      <c r="BI674" s="5" t="s">
        <v>303</v>
      </c>
      <c r="BJ674" s="5" t="s">
        <v>240</v>
      </c>
      <c r="BK674" s="8">
        <f>0</f>
        <v>0</v>
      </c>
      <c r="BL674" s="7">
        <f>0</f>
        <v>0</v>
      </c>
      <c r="BM674" s="5" t="s">
        <v>258</v>
      </c>
      <c r="BN674" s="5" t="s">
        <v>259</v>
      </c>
      <c r="CB674" s="5" t="s">
        <v>240</v>
      </c>
      <c r="CC674" s="5" t="s">
        <v>240</v>
      </c>
      <c r="CG674" s="5" t="s">
        <v>617</v>
      </c>
      <c r="CH674" s="5" t="s">
        <v>305</v>
      </c>
      <c r="CI674" s="5" t="s">
        <v>240</v>
      </c>
      <c r="CL674" s="6" t="s">
        <v>261</v>
      </c>
      <c r="CM674" s="5" t="s">
        <v>240</v>
      </c>
      <c r="CN674" s="5" t="s">
        <v>263</v>
      </c>
      <c r="CO674" s="5" t="s">
        <v>240</v>
      </c>
      <c r="CP674" s="5" t="s">
        <v>240</v>
      </c>
      <c r="CQ674" s="5">
        <v>0</v>
      </c>
      <c r="CR674" s="5" t="s">
        <v>306</v>
      </c>
      <c r="CS674" s="5" t="s">
        <v>307</v>
      </c>
      <c r="CT674" s="5" t="s">
        <v>307</v>
      </c>
      <c r="CU674" s="5" t="s">
        <v>260</v>
      </c>
      <c r="CX674" s="7">
        <f>1490695</f>
        <v>1490695</v>
      </c>
      <c r="CY674" s="7">
        <f>0</f>
        <v>0</v>
      </c>
      <c r="DA674" s="7">
        <f>0</f>
        <v>0</v>
      </c>
      <c r="DC674" s="5" t="s">
        <v>689</v>
      </c>
      <c r="DD674" s="5" t="s">
        <v>240</v>
      </c>
      <c r="DF674" s="5" t="s">
        <v>450</v>
      </c>
      <c r="DG674" s="7">
        <f>0</f>
        <v>0</v>
      </c>
      <c r="DI674" s="5" t="s">
        <v>618</v>
      </c>
      <c r="DJ674" s="5" t="s">
        <v>240</v>
      </c>
      <c r="DK674" s="5" t="s">
        <v>240</v>
      </c>
      <c r="DL674" s="5" t="s">
        <v>240</v>
      </c>
      <c r="DP674" s="5" t="s">
        <v>240</v>
      </c>
      <c r="DQ674" s="5" t="s">
        <v>240</v>
      </c>
      <c r="DR674" s="5" t="s">
        <v>240</v>
      </c>
      <c r="DS674" s="5" t="s">
        <v>240</v>
      </c>
      <c r="DV674" s="5" t="s">
        <v>1466</v>
      </c>
      <c r="DW674" s="5" t="s">
        <v>691</v>
      </c>
      <c r="HO674" s="5" t="s">
        <v>312</v>
      </c>
    </row>
    <row r="675" spans="1:223" x14ac:dyDescent="0.4">
      <c r="A675" s="5">
        <v>1537</v>
      </c>
      <c r="B675" s="5">
        <v>1</v>
      </c>
      <c r="C675" s="5">
        <v>1</v>
      </c>
      <c r="D675" s="5" t="s">
        <v>723</v>
      </c>
      <c r="E675" s="5" t="s">
        <v>725</v>
      </c>
      <c r="F675" s="5" t="s">
        <v>254</v>
      </c>
      <c r="G675" s="5" t="s">
        <v>240</v>
      </c>
      <c r="H675" s="6" t="s">
        <v>970</v>
      </c>
      <c r="I675" s="5" t="s">
        <v>722</v>
      </c>
      <c r="J675" s="8">
        <f>2063</f>
        <v>2063</v>
      </c>
      <c r="K675" s="5" t="s">
        <v>308</v>
      </c>
      <c r="L675" s="7">
        <f>22693</f>
        <v>22693</v>
      </c>
      <c r="M675" s="7">
        <f>22693</f>
        <v>22693</v>
      </c>
      <c r="N675" s="5" t="s">
        <v>242</v>
      </c>
      <c r="O675" s="5">
        <v>1</v>
      </c>
      <c r="P675" s="5" t="s">
        <v>294</v>
      </c>
      <c r="Q675" s="5" t="s">
        <v>613</v>
      </c>
      <c r="R675" s="5" t="s">
        <v>240</v>
      </c>
      <c r="S675" s="5" t="s">
        <v>240</v>
      </c>
      <c r="T675" s="5" t="s">
        <v>243</v>
      </c>
      <c r="U675" s="5" t="s">
        <v>244</v>
      </c>
      <c r="V675" s="5" t="s">
        <v>240</v>
      </c>
      <c r="Y675" s="5" t="s">
        <v>240</v>
      </c>
      <c r="Z675" s="6" t="s">
        <v>298</v>
      </c>
      <c r="AB675" s="6" t="s">
        <v>240</v>
      </c>
      <c r="AE675" s="6" t="s">
        <v>299</v>
      </c>
      <c r="AF675" s="5" t="s">
        <v>248</v>
      </c>
      <c r="AG675" s="5" t="s">
        <v>249</v>
      </c>
      <c r="AW675" s="5" t="s">
        <v>251</v>
      </c>
      <c r="AX675" s="5" t="s">
        <v>240</v>
      </c>
      <c r="AY675" s="5" t="s">
        <v>253</v>
      </c>
      <c r="AZ675" s="5" t="s">
        <v>240</v>
      </c>
      <c r="BA675" s="5" t="s">
        <v>255</v>
      </c>
      <c r="BB675" s="5" t="s">
        <v>240</v>
      </c>
      <c r="BD675" s="5" t="s">
        <v>240</v>
      </c>
      <c r="BF675" s="5" t="s">
        <v>301</v>
      </c>
      <c r="BG675" s="6" t="s">
        <v>299</v>
      </c>
      <c r="BH675" s="5" t="s">
        <v>302</v>
      </c>
      <c r="BI675" s="5" t="s">
        <v>303</v>
      </c>
      <c r="BJ675" s="5" t="s">
        <v>240</v>
      </c>
      <c r="BK675" s="8">
        <f>0</f>
        <v>0</v>
      </c>
      <c r="BL675" s="7">
        <f>0</f>
        <v>0</v>
      </c>
      <c r="BM675" s="5" t="s">
        <v>258</v>
      </c>
      <c r="BN675" s="5" t="s">
        <v>259</v>
      </c>
      <c r="CB675" s="5" t="s">
        <v>240</v>
      </c>
      <c r="CC675" s="5" t="s">
        <v>240</v>
      </c>
      <c r="CG675" s="5" t="s">
        <v>617</v>
      </c>
      <c r="CH675" s="5" t="s">
        <v>305</v>
      </c>
      <c r="CI675" s="5" t="s">
        <v>240</v>
      </c>
      <c r="CL675" s="6" t="s">
        <v>261</v>
      </c>
      <c r="CM675" s="5" t="s">
        <v>240</v>
      </c>
      <c r="CN675" s="5" t="s">
        <v>263</v>
      </c>
      <c r="CO675" s="5" t="s">
        <v>240</v>
      </c>
      <c r="CP675" s="5" t="s">
        <v>240</v>
      </c>
      <c r="CQ675" s="5">
        <v>0</v>
      </c>
      <c r="CR675" s="5" t="s">
        <v>306</v>
      </c>
      <c r="CS675" s="5" t="s">
        <v>307</v>
      </c>
      <c r="CT675" s="5" t="s">
        <v>307</v>
      </c>
      <c r="CU675" s="5" t="s">
        <v>260</v>
      </c>
      <c r="CX675" s="7">
        <f>5409030</f>
        <v>5409030</v>
      </c>
      <c r="CY675" s="7">
        <f>0</f>
        <v>0</v>
      </c>
      <c r="DA675" s="7">
        <f>0</f>
        <v>0</v>
      </c>
      <c r="DC675" s="5" t="s">
        <v>689</v>
      </c>
      <c r="DD675" s="5" t="s">
        <v>240</v>
      </c>
      <c r="DF675" s="5" t="s">
        <v>450</v>
      </c>
      <c r="DG675" s="7">
        <f>0</f>
        <v>0</v>
      </c>
      <c r="DI675" s="5" t="s">
        <v>618</v>
      </c>
      <c r="DJ675" s="5" t="s">
        <v>240</v>
      </c>
      <c r="DK675" s="5" t="s">
        <v>240</v>
      </c>
      <c r="DL675" s="5" t="s">
        <v>240</v>
      </c>
      <c r="DP675" s="5" t="s">
        <v>240</v>
      </c>
      <c r="DQ675" s="5" t="s">
        <v>240</v>
      </c>
      <c r="DR675" s="5" t="s">
        <v>240</v>
      </c>
      <c r="DS675" s="5" t="s">
        <v>240</v>
      </c>
      <c r="DV675" s="5" t="s">
        <v>1466</v>
      </c>
      <c r="DW675" s="5" t="s">
        <v>620</v>
      </c>
      <c r="HO675" s="5" t="s">
        <v>312</v>
      </c>
    </row>
    <row r="676" spans="1:223" x14ac:dyDescent="0.4">
      <c r="A676" s="5">
        <v>1538</v>
      </c>
      <c r="B676" s="5">
        <v>1</v>
      </c>
      <c r="C676" s="5">
        <v>1</v>
      </c>
      <c r="D676" s="5" t="s">
        <v>723</v>
      </c>
      <c r="E676" s="5" t="s">
        <v>725</v>
      </c>
      <c r="F676" s="5" t="s">
        <v>254</v>
      </c>
      <c r="G676" s="5" t="s">
        <v>240</v>
      </c>
      <c r="H676" s="6" t="s">
        <v>969</v>
      </c>
      <c r="I676" s="5" t="s">
        <v>722</v>
      </c>
      <c r="J676" s="8">
        <f>197</f>
        <v>197</v>
      </c>
      <c r="K676" s="5" t="s">
        <v>308</v>
      </c>
      <c r="L676" s="7">
        <f>2167</f>
        <v>2167</v>
      </c>
      <c r="M676" s="7">
        <f>2167</f>
        <v>2167</v>
      </c>
      <c r="N676" s="5" t="s">
        <v>242</v>
      </c>
      <c r="O676" s="5">
        <v>1</v>
      </c>
      <c r="P676" s="5" t="s">
        <v>294</v>
      </c>
      <c r="Q676" s="5" t="s">
        <v>613</v>
      </c>
      <c r="R676" s="5" t="s">
        <v>240</v>
      </c>
      <c r="S676" s="5" t="s">
        <v>240</v>
      </c>
      <c r="T676" s="5" t="s">
        <v>243</v>
      </c>
      <c r="U676" s="5" t="s">
        <v>244</v>
      </c>
      <c r="V676" s="5" t="s">
        <v>240</v>
      </c>
      <c r="Y676" s="5" t="s">
        <v>240</v>
      </c>
      <c r="Z676" s="6" t="s">
        <v>298</v>
      </c>
      <c r="AB676" s="6" t="s">
        <v>240</v>
      </c>
      <c r="AE676" s="6" t="s">
        <v>299</v>
      </c>
      <c r="AF676" s="5" t="s">
        <v>248</v>
      </c>
      <c r="AG676" s="5" t="s">
        <v>249</v>
      </c>
      <c r="AW676" s="5" t="s">
        <v>251</v>
      </c>
      <c r="AX676" s="5" t="s">
        <v>240</v>
      </c>
      <c r="AY676" s="5" t="s">
        <v>253</v>
      </c>
      <c r="AZ676" s="5" t="s">
        <v>240</v>
      </c>
      <c r="BA676" s="5" t="s">
        <v>255</v>
      </c>
      <c r="BB676" s="5" t="s">
        <v>240</v>
      </c>
      <c r="BD676" s="5" t="s">
        <v>240</v>
      </c>
      <c r="BF676" s="5" t="s">
        <v>301</v>
      </c>
      <c r="BG676" s="6" t="s">
        <v>299</v>
      </c>
      <c r="BH676" s="5" t="s">
        <v>302</v>
      </c>
      <c r="BI676" s="5" t="s">
        <v>303</v>
      </c>
      <c r="BJ676" s="5" t="s">
        <v>240</v>
      </c>
      <c r="BK676" s="8">
        <f>0</f>
        <v>0</v>
      </c>
      <c r="BL676" s="7">
        <f>0</f>
        <v>0</v>
      </c>
      <c r="BM676" s="5" t="s">
        <v>258</v>
      </c>
      <c r="BN676" s="5" t="s">
        <v>259</v>
      </c>
      <c r="CB676" s="5" t="s">
        <v>240</v>
      </c>
      <c r="CC676" s="5" t="s">
        <v>240</v>
      </c>
      <c r="CG676" s="5" t="s">
        <v>617</v>
      </c>
      <c r="CH676" s="5" t="s">
        <v>305</v>
      </c>
      <c r="CI676" s="5" t="s">
        <v>240</v>
      </c>
      <c r="CL676" s="6" t="s">
        <v>261</v>
      </c>
      <c r="CM676" s="5" t="s">
        <v>240</v>
      </c>
      <c r="CN676" s="5" t="s">
        <v>263</v>
      </c>
      <c r="CO676" s="5" t="s">
        <v>240</v>
      </c>
      <c r="CP676" s="5" t="s">
        <v>240</v>
      </c>
      <c r="CQ676" s="5">
        <v>0</v>
      </c>
      <c r="CR676" s="5" t="s">
        <v>306</v>
      </c>
      <c r="CS676" s="5" t="s">
        <v>307</v>
      </c>
      <c r="CT676" s="5" t="s">
        <v>307</v>
      </c>
      <c r="CU676" s="5" t="s">
        <v>260</v>
      </c>
      <c r="CX676" s="7">
        <f>1231540</f>
        <v>1231540</v>
      </c>
      <c r="CY676" s="7">
        <f>0</f>
        <v>0</v>
      </c>
      <c r="DA676" s="7">
        <f>0</f>
        <v>0</v>
      </c>
      <c r="DC676" s="5" t="s">
        <v>689</v>
      </c>
      <c r="DD676" s="5" t="s">
        <v>240</v>
      </c>
      <c r="DF676" s="5" t="s">
        <v>450</v>
      </c>
      <c r="DG676" s="7">
        <f>0</f>
        <v>0</v>
      </c>
      <c r="DI676" s="5" t="s">
        <v>618</v>
      </c>
      <c r="DJ676" s="5" t="s">
        <v>240</v>
      </c>
      <c r="DK676" s="5" t="s">
        <v>240</v>
      </c>
      <c r="DL676" s="5" t="s">
        <v>240</v>
      </c>
      <c r="DP676" s="5" t="s">
        <v>240</v>
      </c>
      <c r="DQ676" s="5" t="s">
        <v>240</v>
      </c>
      <c r="DR676" s="5" t="s">
        <v>240</v>
      </c>
      <c r="DS676" s="5" t="s">
        <v>240</v>
      </c>
      <c r="DV676" s="5" t="s">
        <v>1466</v>
      </c>
      <c r="DW676" s="5" t="s">
        <v>621</v>
      </c>
      <c r="HO676" s="5" t="s">
        <v>312</v>
      </c>
    </row>
    <row r="677" spans="1:223" x14ac:dyDescent="0.4">
      <c r="A677" s="5">
        <v>1539</v>
      </c>
      <c r="B677" s="5">
        <v>1</v>
      </c>
      <c r="C677" s="5">
        <v>1</v>
      </c>
      <c r="D677" s="5" t="s">
        <v>723</v>
      </c>
      <c r="E677" s="5" t="s">
        <v>725</v>
      </c>
      <c r="F677" s="5" t="s">
        <v>254</v>
      </c>
      <c r="G677" s="5" t="s">
        <v>240</v>
      </c>
      <c r="H677" s="6" t="s">
        <v>968</v>
      </c>
      <c r="I677" s="5" t="s">
        <v>722</v>
      </c>
      <c r="J677" s="8">
        <f>6188</f>
        <v>6188</v>
      </c>
      <c r="K677" s="5" t="s">
        <v>308</v>
      </c>
      <c r="L677" s="7">
        <f>68068</f>
        <v>68068</v>
      </c>
      <c r="M677" s="7">
        <f>68068</f>
        <v>68068</v>
      </c>
      <c r="N677" s="5" t="s">
        <v>242</v>
      </c>
      <c r="O677" s="5">
        <v>1</v>
      </c>
      <c r="P677" s="5" t="s">
        <v>294</v>
      </c>
      <c r="Q677" s="5" t="s">
        <v>613</v>
      </c>
      <c r="R677" s="5" t="s">
        <v>240</v>
      </c>
      <c r="S677" s="5" t="s">
        <v>240</v>
      </c>
      <c r="T677" s="5" t="s">
        <v>243</v>
      </c>
      <c r="U677" s="5" t="s">
        <v>244</v>
      </c>
      <c r="V677" s="5" t="s">
        <v>240</v>
      </c>
      <c r="Y677" s="5" t="s">
        <v>240</v>
      </c>
      <c r="Z677" s="6" t="s">
        <v>298</v>
      </c>
      <c r="AB677" s="6" t="s">
        <v>240</v>
      </c>
      <c r="AE677" s="6" t="s">
        <v>299</v>
      </c>
      <c r="AF677" s="5" t="s">
        <v>248</v>
      </c>
      <c r="AG677" s="5" t="s">
        <v>249</v>
      </c>
      <c r="AW677" s="5" t="s">
        <v>251</v>
      </c>
      <c r="AX677" s="5" t="s">
        <v>240</v>
      </c>
      <c r="AY677" s="5" t="s">
        <v>253</v>
      </c>
      <c r="AZ677" s="5" t="s">
        <v>240</v>
      </c>
      <c r="BA677" s="5" t="s">
        <v>255</v>
      </c>
      <c r="BB677" s="5" t="s">
        <v>240</v>
      </c>
      <c r="BD677" s="5" t="s">
        <v>686</v>
      </c>
      <c r="BF677" s="5" t="s">
        <v>301</v>
      </c>
      <c r="BG677" s="6" t="s">
        <v>299</v>
      </c>
      <c r="BH677" s="5" t="s">
        <v>302</v>
      </c>
      <c r="BI677" s="5" t="s">
        <v>303</v>
      </c>
      <c r="BJ677" s="5" t="s">
        <v>240</v>
      </c>
      <c r="BK677" s="8">
        <f>0</f>
        <v>0</v>
      </c>
      <c r="BL677" s="7">
        <f>0</f>
        <v>0</v>
      </c>
      <c r="BM677" s="5" t="s">
        <v>258</v>
      </c>
      <c r="BN677" s="5" t="s">
        <v>259</v>
      </c>
      <c r="CB677" s="5" t="s">
        <v>240</v>
      </c>
      <c r="CC677" s="5" t="s">
        <v>240</v>
      </c>
      <c r="CG677" s="5" t="s">
        <v>617</v>
      </c>
      <c r="CH677" s="5" t="s">
        <v>305</v>
      </c>
      <c r="CI677" s="5" t="s">
        <v>240</v>
      </c>
      <c r="CL677" s="6" t="s">
        <v>261</v>
      </c>
      <c r="CM677" s="5" t="s">
        <v>240</v>
      </c>
      <c r="CN677" s="5" t="s">
        <v>263</v>
      </c>
      <c r="CO677" s="5" t="s">
        <v>240</v>
      </c>
      <c r="CP677" s="5" t="s">
        <v>240</v>
      </c>
      <c r="CQ677" s="5">
        <v>0</v>
      </c>
      <c r="CR677" s="5" t="s">
        <v>306</v>
      </c>
      <c r="CS677" s="5" t="s">
        <v>307</v>
      </c>
      <c r="CT677" s="5" t="s">
        <v>307</v>
      </c>
      <c r="CU677" s="5" t="s">
        <v>260</v>
      </c>
      <c r="CX677" s="7">
        <f>1896040</f>
        <v>1896040</v>
      </c>
      <c r="CY677" s="7">
        <f>0</f>
        <v>0</v>
      </c>
      <c r="DA677" s="7">
        <f>0</f>
        <v>0</v>
      </c>
      <c r="DC677" s="5" t="s">
        <v>689</v>
      </c>
      <c r="DD677" s="5" t="s">
        <v>240</v>
      </c>
      <c r="DF677" s="5" t="s">
        <v>450</v>
      </c>
      <c r="DG677" s="7">
        <f>0</f>
        <v>0</v>
      </c>
      <c r="DI677" s="5" t="s">
        <v>618</v>
      </c>
      <c r="DJ677" s="5" t="s">
        <v>240</v>
      </c>
      <c r="DK677" s="5" t="s">
        <v>240</v>
      </c>
      <c r="DL677" s="5" t="s">
        <v>240</v>
      </c>
      <c r="DP677" s="5" t="s">
        <v>240</v>
      </c>
      <c r="DQ677" s="5" t="s">
        <v>240</v>
      </c>
      <c r="DR677" s="5" t="s">
        <v>240</v>
      </c>
      <c r="DS677" s="5" t="s">
        <v>240</v>
      </c>
      <c r="DV677" s="5" t="s">
        <v>1466</v>
      </c>
      <c r="DW677" s="5" t="s">
        <v>312</v>
      </c>
      <c r="HO677" s="5" t="s">
        <v>312</v>
      </c>
    </row>
    <row r="678" spans="1:223" x14ac:dyDescent="0.4">
      <c r="A678" s="5">
        <v>1540</v>
      </c>
      <c r="B678" s="5">
        <v>1</v>
      </c>
      <c r="C678" s="5">
        <v>1</v>
      </c>
      <c r="D678" s="5" t="s">
        <v>723</v>
      </c>
      <c r="E678" s="5" t="s">
        <v>725</v>
      </c>
      <c r="F678" s="5" t="s">
        <v>254</v>
      </c>
      <c r="G678" s="5" t="s">
        <v>240</v>
      </c>
      <c r="H678" s="6" t="s">
        <v>967</v>
      </c>
      <c r="I678" s="5" t="s">
        <v>722</v>
      </c>
      <c r="J678" s="8">
        <f>61447</f>
        <v>61447</v>
      </c>
      <c r="K678" s="5" t="s">
        <v>308</v>
      </c>
      <c r="L678" s="7">
        <f>675917</f>
        <v>675917</v>
      </c>
      <c r="M678" s="7">
        <f>675917</f>
        <v>675917</v>
      </c>
      <c r="N678" s="5" t="s">
        <v>242</v>
      </c>
      <c r="O678" s="5">
        <v>1</v>
      </c>
      <c r="P678" s="5" t="s">
        <v>294</v>
      </c>
      <c r="Q678" s="5" t="s">
        <v>613</v>
      </c>
      <c r="R678" s="5" t="s">
        <v>240</v>
      </c>
      <c r="S678" s="5" t="s">
        <v>240</v>
      </c>
      <c r="T678" s="5" t="s">
        <v>243</v>
      </c>
      <c r="U678" s="5" t="s">
        <v>244</v>
      </c>
      <c r="V678" s="5" t="s">
        <v>240</v>
      </c>
      <c r="Y678" s="5" t="s">
        <v>240</v>
      </c>
      <c r="Z678" s="6" t="s">
        <v>298</v>
      </c>
      <c r="AB678" s="6" t="s">
        <v>240</v>
      </c>
      <c r="AE678" s="6" t="s">
        <v>299</v>
      </c>
      <c r="AF678" s="5" t="s">
        <v>248</v>
      </c>
      <c r="AG678" s="5" t="s">
        <v>249</v>
      </c>
      <c r="AW678" s="5" t="s">
        <v>251</v>
      </c>
      <c r="AX678" s="5" t="s">
        <v>240</v>
      </c>
      <c r="AY678" s="5" t="s">
        <v>253</v>
      </c>
      <c r="AZ678" s="5" t="s">
        <v>240</v>
      </c>
      <c r="BA678" s="5" t="s">
        <v>255</v>
      </c>
      <c r="BB678" s="5" t="s">
        <v>240</v>
      </c>
      <c r="BD678" s="5" t="s">
        <v>240</v>
      </c>
      <c r="BF678" s="5" t="s">
        <v>301</v>
      </c>
      <c r="BG678" s="6" t="s">
        <v>299</v>
      </c>
      <c r="BH678" s="5" t="s">
        <v>302</v>
      </c>
      <c r="BI678" s="5" t="s">
        <v>303</v>
      </c>
      <c r="BJ678" s="5" t="s">
        <v>240</v>
      </c>
      <c r="BK678" s="8">
        <f>0</f>
        <v>0</v>
      </c>
      <c r="BL678" s="7">
        <f>0</f>
        <v>0</v>
      </c>
      <c r="BM678" s="5" t="s">
        <v>258</v>
      </c>
      <c r="BN678" s="5" t="s">
        <v>259</v>
      </c>
      <c r="CB678" s="5" t="s">
        <v>240</v>
      </c>
      <c r="CC678" s="5" t="s">
        <v>240</v>
      </c>
      <c r="CG678" s="5" t="s">
        <v>617</v>
      </c>
      <c r="CH678" s="5" t="s">
        <v>305</v>
      </c>
      <c r="CI678" s="5" t="s">
        <v>240</v>
      </c>
      <c r="CL678" s="6" t="s">
        <v>261</v>
      </c>
      <c r="CM678" s="5" t="s">
        <v>240</v>
      </c>
      <c r="CN678" s="5" t="s">
        <v>263</v>
      </c>
      <c r="CO678" s="5" t="s">
        <v>240</v>
      </c>
      <c r="CP678" s="5" t="s">
        <v>240</v>
      </c>
      <c r="CQ678" s="5">
        <v>0</v>
      </c>
      <c r="CR678" s="5" t="s">
        <v>306</v>
      </c>
      <c r="CS678" s="5" t="s">
        <v>307</v>
      </c>
      <c r="CT678" s="5" t="s">
        <v>307</v>
      </c>
      <c r="CU678" s="5" t="s">
        <v>260</v>
      </c>
      <c r="CX678" s="7">
        <f>8583125</f>
        <v>8583125</v>
      </c>
      <c r="CY678" s="7">
        <f>0</f>
        <v>0</v>
      </c>
      <c r="DA678" s="7">
        <f>0</f>
        <v>0</v>
      </c>
      <c r="DC678" s="5" t="s">
        <v>689</v>
      </c>
      <c r="DD678" s="5" t="s">
        <v>240</v>
      </c>
      <c r="DF678" s="5" t="s">
        <v>450</v>
      </c>
      <c r="DG678" s="7">
        <f>0</f>
        <v>0</v>
      </c>
      <c r="DI678" s="5" t="s">
        <v>618</v>
      </c>
      <c r="DJ678" s="5" t="s">
        <v>240</v>
      </c>
      <c r="DK678" s="5" t="s">
        <v>240</v>
      </c>
      <c r="DL678" s="5" t="s">
        <v>240</v>
      </c>
      <c r="DP678" s="5" t="s">
        <v>240</v>
      </c>
      <c r="DQ678" s="5" t="s">
        <v>240</v>
      </c>
      <c r="DR678" s="5" t="s">
        <v>240</v>
      </c>
      <c r="DS678" s="5" t="s">
        <v>240</v>
      </c>
      <c r="DV678" s="5" t="s">
        <v>1496</v>
      </c>
      <c r="DW678" s="5" t="s">
        <v>620</v>
      </c>
      <c r="HO678" s="5" t="s">
        <v>312</v>
      </c>
    </row>
    <row r="679" spans="1:223" x14ac:dyDescent="0.4">
      <c r="A679" s="5">
        <v>1541</v>
      </c>
      <c r="B679" s="5">
        <v>1</v>
      </c>
      <c r="C679" s="5">
        <v>1</v>
      </c>
      <c r="D679" s="5" t="s">
        <v>723</v>
      </c>
      <c r="E679" s="5" t="s">
        <v>725</v>
      </c>
      <c r="F679" s="5" t="s">
        <v>254</v>
      </c>
      <c r="G679" s="5" t="s">
        <v>240</v>
      </c>
      <c r="H679" s="6" t="s">
        <v>966</v>
      </c>
      <c r="I679" s="5" t="s">
        <v>722</v>
      </c>
      <c r="J679" s="8">
        <f>20</f>
        <v>20</v>
      </c>
      <c r="K679" s="5" t="s">
        <v>308</v>
      </c>
      <c r="L679" s="7">
        <f>220</f>
        <v>220</v>
      </c>
      <c r="M679" s="7">
        <f>220</f>
        <v>220</v>
      </c>
      <c r="N679" s="5" t="s">
        <v>242</v>
      </c>
      <c r="O679" s="5">
        <v>1</v>
      </c>
      <c r="P679" s="5" t="s">
        <v>294</v>
      </c>
      <c r="Q679" s="5" t="s">
        <v>613</v>
      </c>
      <c r="R679" s="5" t="s">
        <v>240</v>
      </c>
      <c r="S679" s="5" t="s">
        <v>240</v>
      </c>
      <c r="T679" s="5" t="s">
        <v>243</v>
      </c>
      <c r="U679" s="5" t="s">
        <v>244</v>
      </c>
      <c r="V679" s="5" t="s">
        <v>240</v>
      </c>
      <c r="Y679" s="5" t="s">
        <v>240</v>
      </c>
      <c r="Z679" s="6" t="s">
        <v>298</v>
      </c>
      <c r="AB679" s="6" t="s">
        <v>240</v>
      </c>
      <c r="AE679" s="6" t="s">
        <v>299</v>
      </c>
      <c r="AF679" s="5" t="s">
        <v>248</v>
      </c>
      <c r="AG679" s="5" t="s">
        <v>249</v>
      </c>
      <c r="AW679" s="5" t="s">
        <v>251</v>
      </c>
      <c r="AX679" s="5" t="s">
        <v>240</v>
      </c>
      <c r="AY679" s="5" t="s">
        <v>253</v>
      </c>
      <c r="AZ679" s="5" t="s">
        <v>240</v>
      </c>
      <c r="BA679" s="5" t="s">
        <v>255</v>
      </c>
      <c r="BB679" s="5" t="s">
        <v>240</v>
      </c>
      <c r="BD679" s="5" t="s">
        <v>240</v>
      </c>
      <c r="BF679" s="5" t="s">
        <v>301</v>
      </c>
      <c r="BG679" s="6" t="s">
        <v>299</v>
      </c>
      <c r="BH679" s="5" t="s">
        <v>302</v>
      </c>
      <c r="BI679" s="5" t="s">
        <v>303</v>
      </c>
      <c r="BJ679" s="5" t="s">
        <v>240</v>
      </c>
      <c r="BK679" s="8">
        <f>0</f>
        <v>0</v>
      </c>
      <c r="BL679" s="7">
        <f>0</f>
        <v>0</v>
      </c>
      <c r="BM679" s="5" t="s">
        <v>258</v>
      </c>
      <c r="BN679" s="5" t="s">
        <v>259</v>
      </c>
      <c r="CB679" s="5" t="s">
        <v>240</v>
      </c>
      <c r="CC679" s="5" t="s">
        <v>240</v>
      </c>
      <c r="CG679" s="5" t="s">
        <v>617</v>
      </c>
      <c r="CH679" s="5" t="s">
        <v>305</v>
      </c>
      <c r="CI679" s="5" t="s">
        <v>240</v>
      </c>
      <c r="CL679" s="6" t="s">
        <v>261</v>
      </c>
      <c r="CM679" s="5" t="s">
        <v>240</v>
      </c>
      <c r="CN679" s="5" t="s">
        <v>263</v>
      </c>
      <c r="CO679" s="5" t="s">
        <v>240</v>
      </c>
      <c r="CP679" s="5" t="s">
        <v>240</v>
      </c>
      <c r="CQ679" s="5">
        <v>0</v>
      </c>
      <c r="CR679" s="5" t="s">
        <v>306</v>
      </c>
      <c r="CS679" s="5" t="s">
        <v>307</v>
      </c>
      <c r="CT679" s="5" t="s">
        <v>307</v>
      </c>
      <c r="CU679" s="5" t="s">
        <v>260</v>
      </c>
      <c r="CX679" s="7">
        <f>55375</f>
        <v>55375</v>
      </c>
      <c r="CY679" s="7">
        <f>0</f>
        <v>0</v>
      </c>
      <c r="DA679" s="7">
        <f>0</f>
        <v>0</v>
      </c>
      <c r="DC679" s="5" t="s">
        <v>689</v>
      </c>
      <c r="DD679" s="5" t="s">
        <v>240</v>
      </c>
      <c r="DF679" s="5" t="s">
        <v>450</v>
      </c>
      <c r="DG679" s="7">
        <f>0</f>
        <v>0</v>
      </c>
      <c r="DI679" s="5" t="s">
        <v>618</v>
      </c>
      <c r="DJ679" s="5" t="s">
        <v>240</v>
      </c>
      <c r="DK679" s="5" t="s">
        <v>240</v>
      </c>
      <c r="DL679" s="5" t="s">
        <v>240</v>
      </c>
      <c r="DP679" s="5" t="s">
        <v>240</v>
      </c>
      <c r="DQ679" s="5" t="s">
        <v>240</v>
      </c>
      <c r="DR679" s="5" t="s">
        <v>240</v>
      </c>
      <c r="DS679" s="5" t="s">
        <v>240</v>
      </c>
      <c r="DV679" s="5" t="s">
        <v>1496</v>
      </c>
      <c r="DW679" s="5" t="s">
        <v>621</v>
      </c>
      <c r="HO679" s="5" t="s">
        <v>312</v>
      </c>
    </row>
    <row r="680" spans="1:223" x14ac:dyDescent="0.4">
      <c r="A680" s="5">
        <v>1542</v>
      </c>
      <c r="B680" s="5">
        <v>1</v>
      </c>
      <c r="C680" s="5">
        <v>1</v>
      </c>
      <c r="D680" s="5" t="s">
        <v>723</v>
      </c>
      <c r="E680" s="5" t="s">
        <v>725</v>
      </c>
      <c r="F680" s="5" t="s">
        <v>254</v>
      </c>
      <c r="G680" s="5" t="s">
        <v>240</v>
      </c>
      <c r="H680" s="6" t="s">
        <v>965</v>
      </c>
      <c r="I680" s="5" t="s">
        <v>722</v>
      </c>
      <c r="J680" s="8">
        <f>79</f>
        <v>79</v>
      </c>
      <c r="K680" s="5" t="s">
        <v>308</v>
      </c>
      <c r="L680" s="7">
        <f>869</f>
        <v>869</v>
      </c>
      <c r="M680" s="7">
        <f>869</f>
        <v>869</v>
      </c>
      <c r="N680" s="5" t="s">
        <v>242</v>
      </c>
      <c r="O680" s="5">
        <v>1</v>
      </c>
      <c r="P680" s="5" t="s">
        <v>294</v>
      </c>
      <c r="Q680" s="5" t="s">
        <v>613</v>
      </c>
      <c r="R680" s="5" t="s">
        <v>240</v>
      </c>
      <c r="S680" s="5" t="s">
        <v>240</v>
      </c>
      <c r="T680" s="5" t="s">
        <v>243</v>
      </c>
      <c r="U680" s="5" t="s">
        <v>244</v>
      </c>
      <c r="V680" s="5" t="s">
        <v>240</v>
      </c>
      <c r="Y680" s="5" t="s">
        <v>240</v>
      </c>
      <c r="Z680" s="6" t="s">
        <v>298</v>
      </c>
      <c r="AB680" s="6" t="s">
        <v>240</v>
      </c>
      <c r="AE680" s="6" t="s">
        <v>299</v>
      </c>
      <c r="AF680" s="5" t="s">
        <v>248</v>
      </c>
      <c r="AG680" s="5" t="s">
        <v>249</v>
      </c>
      <c r="AW680" s="5" t="s">
        <v>251</v>
      </c>
      <c r="AX680" s="5" t="s">
        <v>240</v>
      </c>
      <c r="AY680" s="5" t="s">
        <v>253</v>
      </c>
      <c r="AZ680" s="5" t="s">
        <v>240</v>
      </c>
      <c r="BA680" s="5" t="s">
        <v>255</v>
      </c>
      <c r="BB680" s="5" t="s">
        <v>240</v>
      </c>
      <c r="BD680" s="5" t="s">
        <v>686</v>
      </c>
      <c r="BF680" s="5" t="s">
        <v>301</v>
      </c>
      <c r="BG680" s="6" t="s">
        <v>299</v>
      </c>
      <c r="BH680" s="5" t="s">
        <v>302</v>
      </c>
      <c r="BI680" s="5" t="s">
        <v>303</v>
      </c>
      <c r="BJ680" s="5" t="s">
        <v>240</v>
      </c>
      <c r="BK680" s="8">
        <f>0</f>
        <v>0</v>
      </c>
      <c r="BL680" s="7">
        <f>0</f>
        <v>0</v>
      </c>
      <c r="BM680" s="5" t="s">
        <v>258</v>
      </c>
      <c r="BN680" s="5" t="s">
        <v>259</v>
      </c>
      <c r="CB680" s="5" t="s">
        <v>240</v>
      </c>
      <c r="CC680" s="5" t="s">
        <v>240</v>
      </c>
      <c r="CG680" s="5" t="s">
        <v>617</v>
      </c>
      <c r="CH680" s="5" t="s">
        <v>305</v>
      </c>
      <c r="CI680" s="5" t="s">
        <v>240</v>
      </c>
      <c r="CL680" s="6" t="s">
        <v>261</v>
      </c>
      <c r="CM680" s="5" t="s">
        <v>240</v>
      </c>
      <c r="CN680" s="5" t="s">
        <v>263</v>
      </c>
      <c r="CO680" s="5" t="s">
        <v>240</v>
      </c>
      <c r="CP680" s="5" t="s">
        <v>240</v>
      </c>
      <c r="CQ680" s="5">
        <v>0</v>
      </c>
      <c r="CR680" s="5" t="s">
        <v>306</v>
      </c>
      <c r="CS680" s="5" t="s">
        <v>307</v>
      </c>
      <c r="CT680" s="5" t="s">
        <v>307</v>
      </c>
      <c r="CU680" s="5" t="s">
        <v>260</v>
      </c>
      <c r="CX680" s="7">
        <f>19791025</f>
        <v>19791025</v>
      </c>
      <c r="CY680" s="7">
        <f>0</f>
        <v>0</v>
      </c>
      <c r="DA680" s="7">
        <f>0</f>
        <v>0</v>
      </c>
      <c r="DC680" s="5" t="s">
        <v>689</v>
      </c>
      <c r="DD680" s="5" t="s">
        <v>240</v>
      </c>
      <c r="DF680" s="5" t="s">
        <v>689</v>
      </c>
      <c r="DG680" s="7">
        <f>0</f>
        <v>0</v>
      </c>
      <c r="DI680" s="5" t="s">
        <v>618</v>
      </c>
      <c r="DJ680" s="5" t="s">
        <v>240</v>
      </c>
      <c r="DK680" s="5" t="s">
        <v>240</v>
      </c>
      <c r="DL680" s="5" t="s">
        <v>240</v>
      </c>
      <c r="DP680" s="5" t="s">
        <v>240</v>
      </c>
      <c r="DQ680" s="5" t="s">
        <v>240</v>
      </c>
      <c r="DR680" s="5" t="s">
        <v>240</v>
      </c>
      <c r="DS680" s="5" t="s">
        <v>240</v>
      </c>
      <c r="DV680" s="5" t="s">
        <v>1496</v>
      </c>
      <c r="DW680" s="5" t="s">
        <v>312</v>
      </c>
      <c r="HO680" s="5" t="s">
        <v>312</v>
      </c>
    </row>
    <row r="681" spans="1:223" x14ac:dyDescent="0.4">
      <c r="A681" s="5">
        <v>1543</v>
      </c>
      <c r="B681" s="5">
        <v>1</v>
      </c>
      <c r="C681" s="5">
        <v>1</v>
      </c>
      <c r="D681" s="5" t="s">
        <v>723</v>
      </c>
      <c r="E681" s="5" t="s">
        <v>725</v>
      </c>
      <c r="F681" s="5" t="s">
        <v>254</v>
      </c>
      <c r="G681" s="5" t="s">
        <v>240</v>
      </c>
      <c r="H681" s="6" t="s">
        <v>964</v>
      </c>
      <c r="I681" s="5" t="s">
        <v>722</v>
      </c>
      <c r="J681" s="8">
        <f>24</f>
        <v>24</v>
      </c>
      <c r="K681" s="5" t="s">
        <v>308</v>
      </c>
      <c r="L681" s="7">
        <f>264</f>
        <v>264</v>
      </c>
      <c r="M681" s="7">
        <f>264</f>
        <v>264</v>
      </c>
      <c r="N681" s="5" t="s">
        <v>242</v>
      </c>
      <c r="O681" s="5">
        <v>1</v>
      </c>
      <c r="P681" s="5" t="s">
        <v>294</v>
      </c>
      <c r="Q681" s="5" t="s">
        <v>613</v>
      </c>
      <c r="R681" s="5" t="s">
        <v>240</v>
      </c>
      <c r="S681" s="5" t="s">
        <v>240</v>
      </c>
      <c r="T681" s="5" t="s">
        <v>243</v>
      </c>
      <c r="U681" s="5" t="s">
        <v>244</v>
      </c>
      <c r="V681" s="5" t="s">
        <v>240</v>
      </c>
      <c r="Y681" s="5" t="s">
        <v>240</v>
      </c>
      <c r="Z681" s="6" t="s">
        <v>298</v>
      </c>
      <c r="AB681" s="6" t="s">
        <v>240</v>
      </c>
      <c r="AE681" s="6" t="s">
        <v>299</v>
      </c>
      <c r="AF681" s="5" t="s">
        <v>248</v>
      </c>
      <c r="AG681" s="5" t="s">
        <v>249</v>
      </c>
      <c r="AW681" s="5" t="s">
        <v>251</v>
      </c>
      <c r="AX681" s="5" t="s">
        <v>240</v>
      </c>
      <c r="AY681" s="5" t="s">
        <v>253</v>
      </c>
      <c r="AZ681" s="5" t="s">
        <v>240</v>
      </c>
      <c r="BA681" s="5" t="s">
        <v>255</v>
      </c>
      <c r="BB681" s="5" t="s">
        <v>240</v>
      </c>
      <c r="BD681" s="5" t="s">
        <v>240</v>
      </c>
      <c r="BF681" s="5" t="s">
        <v>301</v>
      </c>
      <c r="BG681" s="6" t="s">
        <v>299</v>
      </c>
      <c r="BH681" s="5" t="s">
        <v>302</v>
      </c>
      <c r="BI681" s="5" t="s">
        <v>303</v>
      </c>
      <c r="BJ681" s="5" t="s">
        <v>240</v>
      </c>
      <c r="BK681" s="8">
        <f>0</f>
        <v>0</v>
      </c>
      <c r="BL681" s="7">
        <f>0</f>
        <v>0</v>
      </c>
      <c r="BM681" s="5" t="s">
        <v>258</v>
      </c>
      <c r="BN681" s="5" t="s">
        <v>259</v>
      </c>
      <c r="CB681" s="5" t="s">
        <v>240</v>
      </c>
      <c r="CC681" s="5" t="s">
        <v>240</v>
      </c>
      <c r="CG681" s="5" t="s">
        <v>617</v>
      </c>
      <c r="CH681" s="5" t="s">
        <v>305</v>
      </c>
      <c r="CI681" s="5" t="s">
        <v>240</v>
      </c>
      <c r="CL681" s="6" t="s">
        <v>261</v>
      </c>
      <c r="CM681" s="5" t="s">
        <v>240</v>
      </c>
      <c r="CN681" s="5" t="s">
        <v>263</v>
      </c>
      <c r="CO681" s="5" t="s">
        <v>240</v>
      </c>
      <c r="CP681" s="5" t="s">
        <v>240</v>
      </c>
      <c r="CQ681" s="5">
        <v>0</v>
      </c>
      <c r="CR681" s="5" t="s">
        <v>306</v>
      </c>
      <c r="CS681" s="5" t="s">
        <v>307</v>
      </c>
      <c r="CT681" s="5" t="s">
        <v>307</v>
      </c>
      <c r="CU681" s="5" t="s">
        <v>260</v>
      </c>
      <c r="CX681" s="7">
        <f>4199640</f>
        <v>4199640</v>
      </c>
      <c r="CY681" s="7">
        <f>0</f>
        <v>0</v>
      </c>
      <c r="DA681" s="7">
        <f>0</f>
        <v>0</v>
      </c>
      <c r="DC681" s="5" t="s">
        <v>618</v>
      </c>
      <c r="DD681" s="5" t="s">
        <v>240</v>
      </c>
      <c r="DF681" s="5" t="s">
        <v>450</v>
      </c>
      <c r="DG681" s="7">
        <f>0</f>
        <v>0</v>
      </c>
      <c r="DI681" s="5" t="s">
        <v>618</v>
      </c>
      <c r="DJ681" s="5" t="s">
        <v>240</v>
      </c>
      <c r="DK681" s="5" t="s">
        <v>240</v>
      </c>
      <c r="DL681" s="5" t="s">
        <v>240</v>
      </c>
      <c r="DP681" s="5" t="s">
        <v>240</v>
      </c>
      <c r="DQ681" s="5" t="s">
        <v>240</v>
      </c>
      <c r="DR681" s="5" t="s">
        <v>240</v>
      </c>
      <c r="DS681" s="5" t="s">
        <v>240</v>
      </c>
      <c r="DV681" s="5" t="s">
        <v>1502</v>
      </c>
      <c r="DW681" s="5" t="s">
        <v>769</v>
      </c>
      <c r="HO681" s="5" t="s">
        <v>312</v>
      </c>
    </row>
    <row r="682" spans="1:223" x14ac:dyDescent="0.4">
      <c r="A682" s="5">
        <v>1544</v>
      </c>
      <c r="B682" s="5">
        <v>1</v>
      </c>
      <c r="C682" s="5">
        <v>1</v>
      </c>
      <c r="D682" s="5" t="s">
        <v>723</v>
      </c>
      <c r="E682" s="5" t="s">
        <v>725</v>
      </c>
      <c r="F682" s="5" t="s">
        <v>254</v>
      </c>
      <c r="G682" s="5" t="s">
        <v>240</v>
      </c>
      <c r="H682" s="6" t="s">
        <v>963</v>
      </c>
      <c r="I682" s="5" t="s">
        <v>722</v>
      </c>
      <c r="J682" s="8">
        <f>69</f>
        <v>69</v>
      </c>
      <c r="K682" s="5" t="s">
        <v>308</v>
      </c>
      <c r="L682" s="7">
        <f>759</f>
        <v>759</v>
      </c>
      <c r="M682" s="7">
        <f>759</f>
        <v>759</v>
      </c>
      <c r="N682" s="5" t="s">
        <v>242</v>
      </c>
      <c r="O682" s="5">
        <v>1</v>
      </c>
      <c r="P682" s="5" t="s">
        <v>294</v>
      </c>
      <c r="Q682" s="5" t="s">
        <v>613</v>
      </c>
      <c r="R682" s="5" t="s">
        <v>240</v>
      </c>
      <c r="S682" s="5" t="s">
        <v>240</v>
      </c>
      <c r="T682" s="5" t="s">
        <v>296</v>
      </c>
      <c r="U682" s="5" t="s">
        <v>244</v>
      </c>
      <c r="V682" s="5" t="s">
        <v>240</v>
      </c>
      <c r="Y682" s="5" t="s">
        <v>240</v>
      </c>
      <c r="Z682" s="6" t="s">
        <v>298</v>
      </c>
      <c r="AB682" s="6" t="s">
        <v>240</v>
      </c>
      <c r="AE682" s="6" t="s">
        <v>299</v>
      </c>
      <c r="AF682" s="5" t="s">
        <v>248</v>
      </c>
      <c r="AG682" s="5" t="s">
        <v>249</v>
      </c>
      <c r="AW682" s="5" t="s">
        <v>251</v>
      </c>
      <c r="AX682" s="5" t="s">
        <v>240</v>
      </c>
      <c r="AY682" s="5" t="s">
        <v>253</v>
      </c>
      <c r="AZ682" s="5" t="s">
        <v>240</v>
      </c>
      <c r="BA682" s="5" t="s">
        <v>255</v>
      </c>
      <c r="BB682" s="5" t="s">
        <v>240</v>
      </c>
      <c r="BD682" s="5" t="s">
        <v>240</v>
      </c>
      <c r="BF682" s="5" t="s">
        <v>301</v>
      </c>
      <c r="BG682" s="6" t="s">
        <v>299</v>
      </c>
      <c r="BH682" s="5" t="s">
        <v>302</v>
      </c>
      <c r="BI682" s="5" t="s">
        <v>303</v>
      </c>
      <c r="BJ682" s="5" t="s">
        <v>240</v>
      </c>
      <c r="BK682" s="8">
        <f>0</f>
        <v>0</v>
      </c>
      <c r="BL682" s="7">
        <f>0</f>
        <v>0</v>
      </c>
      <c r="BM682" s="5" t="s">
        <v>258</v>
      </c>
      <c r="BN682" s="5" t="s">
        <v>259</v>
      </c>
      <c r="CB682" s="5" t="s">
        <v>240</v>
      </c>
      <c r="CC682" s="5" t="s">
        <v>240</v>
      </c>
      <c r="CG682" s="5" t="s">
        <v>617</v>
      </c>
      <c r="CH682" s="5" t="s">
        <v>305</v>
      </c>
      <c r="CI682" s="5" t="s">
        <v>240</v>
      </c>
      <c r="CL682" s="6" t="s">
        <v>261</v>
      </c>
      <c r="CM682" s="5" t="s">
        <v>240</v>
      </c>
      <c r="CN682" s="5" t="s">
        <v>263</v>
      </c>
      <c r="CO682" s="5" t="s">
        <v>240</v>
      </c>
      <c r="CP682" s="5" t="s">
        <v>240</v>
      </c>
      <c r="CQ682" s="5">
        <v>0</v>
      </c>
      <c r="CR682" s="5" t="s">
        <v>306</v>
      </c>
      <c r="CS682" s="5" t="s">
        <v>307</v>
      </c>
      <c r="CT682" s="5" t="s">
        <v>307</v>
      </c>
      <c r="CU682" s="5" t="s">
        <v>260</v>
      </c>
      <c r="CX682" s="7">
        <f>130340</f>
        <v>130340</v>
      </c>
      <c r="CY682" s="7">
        <f>0</f>
        <v>0</v>
      </c>
      <c r="DA682" s="7">
        <f>0</f>
        <v>0</v>
      </c>
      <c r="DC682" s="5" t="s">
        <v>309</v>
      </c>
      <c r="DD682" s="5" t="s">
        <v>240</v>
      </c>
      <c r="DF682" s="5" t="s">
        <v>450</v>
      </c>
      <c r="DG682" s="7">
        <f>0</f>
        <v>0</v>
      </c>
      <c r="DI682" s="5" t="s">
        <v>450</v>
      </c>
      <c r="DJ682" s="5" t="s">
        <v>240</v>
      </c>
      <c r="DK682" s="5" t="s">
        <v>240</v>
      </c>
      <c r="DL682" s="5" t="s">
        <v>240</v>
      </c>
      <c r="DP682" s="5" t="s">
        <v>240</v>
      </c>
      <c r="DQ682" s="5" t="s">
        <v>240</v>
      </c>
      <c r="DR682" s="5" t="s">
        <v>240</v>
      </c>
      <c r="DS682" s="5" t="s">
        <v>240</v>
      </c>
      <c r="DV682" s="5" t="s">
        <v>1502</v>
      </c>
      <c r="DW682" s="5" t="s">
        <v>772</v>
      </c>
      <c r="HO682" s="5" t="s">
        <v>312</v>
      </c>
    </row>
    <row r="683" spans="1:223" x14ac:dyDescent="0.4">
      <c r="A683" s="5">
        <v>1545</v>
      </c>
      <c r="B683" s="5">
        <v>1</v>
      </c>
      <c r="C683" s="5">
        <v>1</v>
      </c>
      <c r="D683" s="5" t="s">
        <v>723</v>
      </c>
      <c r="E683" s="5" t="s">
        <v>725</v>
      </c>
      <c r="F683" s="5" t="s">
        <v>254</v>
      </c>
      <c r="G683" s="5" t="s">
        <v>240</v>
      </c>
      <c r="H683" s="6" t="s">
        <v>962</v>
      </c>
      <c r="I683" s="5" t="s">
        <v>722</v>
      </c>
      <c r="J683" s="8">
        <f>250</f>
        <v>250</v>
      </c>
      <c r="K683" s="5" t="s">
        <v>308</v>
      </c>
      <c r="L683" s="7">
        <f>2750</f>
        <v>2750</v>
      </c>
      <c r="M683" s="7">
        <f>2750</f>
        <v>2750</v>
      </c>
      <c r="N683" s="5" t="s">
        <v>242</v>
      </c>
      <c r="O683" s="5">
        <v>1</v>
      </c>
      <c r="P683" s="5" t="s">
        <v>294</v>
      </c>
      <c r="Q683" s="5" t="s">
        <v>613</v>
      </c>
      <c r="R683" s="5" t="s">
        <v>240</v>
      </c>
      <c r="S683" s="5" t="s">
        <v>240</v>
      </c>
      <c r="T683" s="5" t="s">
        <v>296</v>
      </c>
      <c r="U683" s="5" t="s">
        <v>244</v>
      </c>
      <c r="V683" s="5" t="s">
        <v>240</v>
      </c>
      <c r="Y683" s="5" t="s">
        <v>240</v>
      </c>
      <c r="Z683" s="6" t="s">
        <v>298</v>
      </c>
      <c r="AB683" s="6" t="s">
        <v>240</v>
      </c>
      <c r="AE683" s="6" t="s">
        <v>299</v>
      </c>
      <c r="AF683" s="5" t="s">
        <v>248</v>
      </c>
      <c r="AG683" s="5" t="s">
        <v>249</v>
      </c>
      <c r="AW683" s="5" t="s">
        <v>251</v>
      </c>
      <c r="AX683" s="5" t="s">
        <v>240</v>
      </c>
      <c r="AY683" s="5" t="s">
        <v>253</v>
      </c>
      <c r="AZ683" s="5" t="s">
        <v>240</v>
      </c>
      <c r="BA683" s="5" t="s">
        <v>255</v>
      </c>
      <c r="BB683" s="5" t="s">
        <v>240</v>
      </c>
      <c r="BD683" s="5" t="s">
        <v>240</v>
      </c>
      <c r="BF683" s="5" t="s">
        <v>301</v>
      </c>
      <c r="BG683" s="6" t="s">
        <v>299</v>
      </c>
      <c r="BH683" s="5" t="s">
        <v>302</v>
      </c>
      <c r="BI683" s="5" t="s">
        <v>303</v>
      </c>
      <c r="BJ683" s="5" t="s">
        <v>240</v>
      </c>
      <c r="BK683" s="8">
        <f>0</f>
        <v>0</v>
      </c>
      <c r="BL683" s="7">
        <f>0</f>
        <v>0</v>
      </c>
      <c r="BM683" s="5" t="s">
        <v>258</v>
      </c>
      <c r="BN683" s="5" t="s">
        <v>259</v>
      </c>
      <c r="CB683" s="5" t="s">
        <v>240</v>
      </c>
      <c r="CC683" s="5" t="s">
        <v>240</v>
      </c>
      <c r="CG683" s="5" t="s">
        <v>617</v>
      </c>
      <c r="CH683" s="5" t="s">
        <v>305</v>
      </c>
      <c r="CI683" s="5" t="s">
        <v>240</v>
      </c>
      <c r="CL683" s="6" t="s">
        <v>261</v>
      </c>
      <c r="CM683" s="5" t="s">
        <v>240</v>
      </c>
      <c r="CN683" s="5" t="s">
        <v>263</v>
      </c>
      <c r="CO683" s="5" t="s">
        <v>240</v>
      </c>
      <c r="CP683" s="5" t="s">
        <v>240</v>
      </c>
      <c r="CQ683" s="5">
        <v>0</v>
      </c>
      <c r="CR683" s="5" t="s">
        <v>306</v>
      </c>
      <c r="CS683" s="5" t="s">
        <v>307</v>
      </c>
      <c r="CT683" s="5" t="s">
        <v>307</v>
      </c>
      <c r="CU683" s="5" t="s">
        <v>260</v>
      </c>
      <c r="CX683" s="7">
        <f>245000</f>
        <v>245000</v>
      </c>
      <c r="CY683" s="7">
        <f>0</f>
        <v>0</v>
      </c>
      <c r="DA683" s="7">
        <f>0</f>
        <v>0</v>
      </c>
      <c r="DC683" s="5" t="s">
        <v>309</v>
      </c>
      <c r="DD683" s="5" t="s">
        <v>240</v>
      </c>
      <c r="DF683" s="5" t="s">
        <v>450</v>
      </c>
      <c r="DG683" s="7">
        <f>0</f>
        <v>0</v>
      </c>
      <c r="DI683" s="5" t="s">
        <v>450</v>
      </c>
      <c r="DJ683" s="5" t="s">
        <v>240</v>
      </c>
      <c r="DK683" s="5" t="s">
        <v>240</v>
      </c>
      <c r="DL683" s="5" t="s">
        <v>240</v>
      </c>
      <c r="DP683" s="5" t="s">
        <v>240</v>
      </c>
      <c r="DQ683" s="5" t="s">
        <v>240</v>
      </c>
      <c r="DR683" s="5" t="s">
        <v>240</v>
      </c>
      <c r="DS683" s="5" t="s">
        <v>240</v>
      </c>
      <c r="DV683" s="5" t="s">
        <v>1502</v>
      </c>
      <c r="DW683" s="5" t="s">
        <v>775</v>
      </c>
      <c r="HO683" s="5" t="s">
        <v>312</v>
      </c>
    </row>
    <row r="684" spans="1:223" x14ac:dyDescent="0.4">
      <c r="A684" s="5">
        <v>1546</v>
      </c>
      <c r="B684" s="5">
        <v>1</v>
      </c>
      <c r="C684" s="5">
        <v>1</v>
      </c>
      <c r="D684" s="5" t="s">
        <v>723</v>
      </c>
      <c r="E684" s="5" t="s">
        <v>725</v>
      </c>
      <c r="F684" s="5" t="s">
        <v>254</v>
      </c>
      <c r="G684" s="5" t="s">
        <v>240</v>
      </c>
      <c r="H684" s="6" t="s">
        <v>960</v>
      </c>
      <c r="I684" s="5" t="s">
        <v>722</v>
      </c>
      <c r="J684" s="8">
        <f>205</f>
        <v>205</v>
      </c>
      <c r="K684" s="5" t="s">
        <v>308</v>
      </c>
      <c r="L684" s="7">
        <f>100450</f>
        <v>100450</v>
      </c>
      <c r="M684" s="7">
        <f>100450</f>
        <v>100450</v>
      </c>
      <c r="N684" s="5" t="s">
        <v>242</v>
      </c>
      <c r="O684" s="5">
        <v>1</v>
      </c>
      <c r="P684" s="5" t="s">
        <v>294</v>
      </c>
      <c r="Q684" s="5" t="s">
        <v>613</v>
      </c>
      <c r="R684" s="5" t="s">
        <v>240</v>
      </c>
      <c r="S684" s="5" t="s">
        <v>240</v>
      </c>
      <c r="T684" s="5" t="s">
        <v>296</v>
      </c>
      <c r="U684" s="5" t="s">
        <v>244</v>
      </c>
      <c r="V684" s="5" t="s">
        <v>240</v>
      </c>
      <c r="Y684" s="5" t="s">
        <v>240</v>
      </c>
      <c r="Z684" s="6" t="s">
        <v>298</v>
      </c>
      <c r="AB684" s="6" t="s">
        <v>240</v>
      </c>
      <c r="AE684" s="6" t="s">
        <v>299</v>
      </c>
      <c r="AF684" s="5" t="s">
        <v>248</v>
      </c>
      <c r="AG684" s="5" t="s">
        <v>249</v>
      </c>
      <c r="AW684" s="5" t="s">
        <v>251</v>
      </c>
      <c r="AX684" s="5" t="s">
        <v>240</v>
      </c>
      <c r="AY684" s="5" t="s">
        <v>253</v>
      </c>
      <c r="AZ684" s="5" t="s">
        <v>240</v>
      </c>
      <c r="BA684" s="5" t="s">
        <v>255</v>
      </c>
      <c r="BB684" s="5" t="s">
        <v>240</v>
      </c>
      <c r="BD684" s="5" t="s">
        <v>240</v>
      </c>
      <c r="BF684" s="5" t="s">
        <v>301</v>
      </c>
      <c r="BG684" s="6" t="s">
        <v>299</v>
      </c>
      <c r="BH684" s="5" t="s">
        <v>302</v>
      </c>
      <c r="BI684" s="5" t="s">
        <v>303</v>
      </c>
      <c r="BJ684" s="5" t="s">
        <v>240</v>
      </c>
      <c r="BK684" s="8">
        <f>0</f>
        <v>0</v>
      </c>
      <c r="BL684" s="7">
        <f>0</f>
        <v>0</v>
      </c>
      <c r="BM684" s="5" t="s">
        <v>258</v>
      </c>
      <c r="BN684" s="5" t="s">
        <v>259</v>
      </c>
      <c r="CB684" s="5" t="s">
        <v>240</v>
      </c>
      <c r="CC684" s="5" t="s">
        <v>240</v>
      </c>
      <c r="CG684" s="5" t="s">
        <v>617</v>
      </c>
      <c r="CH684" s="5" t="s">
        <v>305</v>
      </c>
      <c r="CI684" s="5" t="s">
        <v>240</v>
      </c>
      <c r="CL684" s="6" t="s">
        <v>261</v>
      </c>
      <c r="CM684" s="5" t="s">
        <v>240</v>
      </c>
      <c r="CN684" s="5" t="s">
        <v>263</v>
      </c>
      <c r="CO684" s="5" t="s">
        <v>240</v>
      </c>
      <c r="CP684" s="5" t="s">
        <v>240</v>
      </c>
      <c r="CQ684" s="5">
        <v>0</v>
      </c>
      <c r="CR684" s="5" t="s">
        <v>306</v>
      </c>
      <c r="CS684" s="5" t="s">
        <v>307</v>
      </c>
      <c r="CT684" s="5" t="s">
        <v>307</v>
      </c>
      <c r="CU684" s="5" t="s">
        <v>260</v>
      </c>
      <c r="CX684" s="7">
        <f>36750</f>
        <v>36750</v>
      </c>
      <c r="CY684" s="7">
        <f>0</f>
        <v>0</v>
      </c>
      <c r="DA684" s="7">
        <f>0</f>
        <v>0</v>
      </c>
      <c r="DC684" s="5" t="s">
        <v>309</v>
      </c>
      <c r="DD684" s="5" t="s">
        <v>240</v>
      </c>
      <c r="DF684" s="5" t="s">
        <v>450</v>
      </c>
      <c r="DG684" s="7">
        <f>0</f>
        <v>0</v>
      </c>
      <c r="DI684" s="5" t="s">
        <v>450</v>
      </c>
      <c r="DJ684" s="5" t="s">
        <v>240</v>
      </c>
      <c r="DK684" s="5" t="s">
        <v>240</v>
      </c>
      <c r="DL684" s="5" t="s">
        <v>240</v>
      </c>
      <c r="DP684" s="5" t="s">
        <v>240</v>
      </c>
      <c r="DQ684" s="5" t="s">
        <v>240</v>
      </c>
      <c r="DR684" s="5" t="s">
        <v>240</v>
      </c>
      <c r="DS684" s="5" t="s">
        <v>240</v>
      </c>
      <c r="DV684" s="5" t="s">
        <v>1502</v>
      </c>
      <c r="DW684" s="5" t="s">
        <v>958</v>
      </c>
      <c r="HO684" s="5" t="s">
        <v>312</v>
      </c>
    </row>
    <row r="685" spans="1:223" x14ac:dyDescent="0.4">
      <c r="A685" s="5">
        <v>1547</v>
      </c>
      <c r="B685" s="5">
        <v>1</v>
      </c>
      <c r="C685" s="5">
        <v>1</v>
      </c>
      <c r="D685" s="5" t="s">
        <v>723</v>
      </c>
      <c r="E685" s="5" t="s">
        <v>725</v>
      </c>
      <c r="F685" s="5" t="s">
        <v>254</v>
      </c>
      <c r="G685" s="5" t="s">
        <v>240</v>
      </c>
      <c r="H685" s="6" t="s">
        <v>2122</v>
      </c>
      <c r="I685" s="5" t="s">
        <v>2121</v>
      </c>
      <c r="J685" s="8">
        <f>1942</f>
        <v>1942</v>
      </c>
      <c r="K685" s="5" t="s">
        <v>308</v>
      </c>
      <c r="L685" s="7">
        <f>21362</f>
        <v>21362</v>
      </c>
      <c r="M685" s="7">
        <f>21362</f>
        <v>21362</v>
      </c>
      <c r="N685" s="5" t="s">
        <v>242</v>
      </c>
      <c r="O685" s="5">
        <v>1</v>
      </c>
      <c r="P685" s="5" t="s">
        <v>294</v>
      </c>
      <c r="Q685" s="5" t="s">
        <v>613</v>
      </c>
      <c r="R685" s="5" t="s">
        <v>240</v>
      </c>
      <c r="S685" s="5" t="s">
        <v>240</v>
      </c>
      <c r="T685" s="5" t="s">
        <v>296</v>
      </c>
      <c r="U685" s="5" t="s">
        <v>244</v>
      </c>
      <c r="V685" s="5" t="s">
        <v>240</v>
      </c>
      <c r="Y685" s="5" t="s">
        <v>240</v>
      </c>
      <c r="Z685" s="6" t="s">
        <v>298</v>
      </c>
      <c r="AB685" s="6" t="s">
        <v>240</v>
      </c>
      <c r="AE685" s="6" t="s">
        <v>299</v>
      </c>
      <c r="AF685" s="5" t="s">
        <v>248</v>
      </c>
      <c r="AG685" s="5" t="s">
        <v>249</v>
      </c>
      <c r="AW685" s="5" t="s">
        <v>251</v>
      </c>
      <c r="AX685" s="5" t="s">
        <v>240</v>
      </c>
      <c r="AY685" s="5" t="s">
        <v>253</v>
      </c>
      <c r="AZ685" s="5" t="s">
        <v>240</v>
      </c>
      <c r="BA685" s="5" t="s">
        <v>255</v>
      </c>
      <c r="BB685" s="5" t="s">
        <v>240</v>
      </c>
      <c r="BD685" s="5" t="s">
        <v>240</v>
      </c>
      <c r="BF685" s="5" t="s">
        <v>301</v>
      </c>
      <c r="BG685" s="6" t="s">
        <v>299</v>
      </c>
      <c r="BH685" s="5" t="s">
        <v>302</v>
      </c>
      <c r="BI685" s="5" t="s">
        <v>303</v>
      </c>
      <c r="BJ685" s="5" t="s">
        <v>240</v>
      </c>
      <c r="BK685" s="8">
        <f>0</f>
        <v>0</v>
      </c>
      <c r="BL685" s="7">
        <f>0</f>
        <v>0</v>
      </c>
      <c r="BM685" s="5" t="s">
        <v>258</v>
      </c>
      <c r="BN685" s="5" t="s">
        <v>259</v>
      </c>
      <c r="CB685" s="5" t="s">
        <v>240</v>
      </c>
      <c r="CC685" s="5" t="s">
        <v>240</v>
      </c>
      <c r="CG685" s="5" t="s">
        <v>617</v>
      </c>
      <c r="CH685" s="5" t="s">
        <v>305</v>
      </c>
      <c r="CI685" s="5" t="s">
        <v>240</v>
      </c>
      <c r="CL685" s="6" t="s">
        <v>261</v>
      </c>
      <c r="CM685" s="5" t="s">
        <v>240</v>
      </c>
      <c r="CN685" s="5" t="s">
        <v>263</v>
      </c>
      <c r="CO685" s="5" t="s">
        <v>240</v>
      </c>
      <c r="CP685" s="5" t="s">
        <v>240</v>
      </c>
      <c r="CQ685" s="5">
        <v>0</v>
      </c>
      <c r="CR685" s="5" t="s">
        <v>306</v>
      </c>
      <c r="CS685" s="5" t="s">
        <v>307</v>
      </c>
      <c r="CT685" s="5" t="s">
        <v>307</v>
      </c>
      <c r="CU685" s="5" t="s">
        <v>260</v>
      </c>
      <c r="CX685" s="7">
        <f>177380</f>
        <v>177380</v>
      </c>
      <c r="CY685" s="7">
        <f>0</f>
        <v>0</v>
      </c>
      <c r="DA685" s="7">
        <f>0</f>
        <v>0</v>
      </c>
      <c r="DC685" s="5" t="s">
        <v>309</v>
      </c>
      <c r="DD685" s="5" t="s">
        <v>240</v>
      </c>
      <c r="DF685" s="5" t="s">
        <v>450</v>
      </c>
      <c r="DG685" s="7">
        <f>0</f>
        <v>0</v>
      </c>
      <c r="DI685" s="5" t="s">
        <v>450</v>
      </c>
      <c r="DJ685" s="5" t="s">
        <v>240</v>
      </c>
      <c r="DK685" s="5" t="s">
        <v>240</v>
      </c>
      <c r="DL685" s="5" t="s">
        <v>240</v>
      </c>
      <c r="DP685" s="5" t="s">
        <v>240</v>
      </c>
      <c r="DQ685" s="5" t="s">
        <v>240</v>
      </c>
      <c r="DR685" s="5" t="s">
        <v>240</v>
      </c>
      <c r="DS685" s="5" t="s">
        <v>240</v>
      </c>
      <c r="DV685" s="5" t="s">
        <v>1502</v>
      </c>
      <c r="DW685" s="5" t="s">
        <v>779</v>
      </c>
      <c r="HO685" s="5" t="s">
        <v>312</v>
      </c>
    </row>
    <row r="686" spans="1:223" x14ac:dyDescent="0.4">
      <c r="A686" s="5">
        <v>1548</v>
      </c>
      <c r="B686" s="5">
        <v>1</v>
      </c>
      <c r="C686" s="5">
        <v>1</v>
      </c>
      <c r="D686" s="5" t="s">
        <v>723</v>
      </c>
      <c r="E686" s="5" t="s">
        <v>725</v>
      </c>
      <c r="F686" s="5" t="s">
        <v>254</v>
      </c>
      <c r="G686" s="5" t="s">
        <v>240</v>
      </c>
      <c r="H686" s="6" t="s">
        <v>2119</v>
      </c>
      <c r="I686" s="5" t="s">
        <v>2118</v>
      </c>
      <c r="J686" s="8">
        <f>551</f>
        <v>551</v>
      </c>
      <c r="K686" s="5" t="s">
        <v>308</v>
      </c>
      <c r="L686" s="7">
        <f>6061</f>
        <v>6061</v>
      </c>
      <c r="M686" s="7">
        <f>6061</f>
        <v>6061</v>
      </c>
      <c r="N686" s="5" t="s">
        <v>242</v>
      </c>
      <c r="O686" s="5">
        <v>1</v>
      </c>
      <c r="P686" s="5" t="s">
        <v>294</v>
      </c>
      <c r="Q686" s="5" t="s">
        <v>613</v>
      </c>
      <c r="R686" s="5" t="s">
        <v>240</v>
      </c>
      <c r="S686" s="5" t="s">
        <v>240</v>
      </c>
      <c r="T686" s="5" t="s">
        <v>296</v>
      </c>
      <c r="U686" s="5" t="s">
        <v>244</v>
      </c>
      <c r="V686" s="5" t="s">
        <v>240</v>
      </c>
      <c r="Y686" s="5" t="s">
        <v>240</v>
      </c>
      <c r="Z686" s="6" t="s">
        <v>298</v>
      </c>
      <c r="AB686" s="6" t="s">
        <v>240</v>
      </c>
      <c r="AE686" s="6" t="s">
        <v>299</v>
      </c>
      <c r="AF686" s="5" t="s">
        <v>248</v>
      </c>
      <c r="AG686" s="5" t="s">
        <v>249</v>
      </c>
      <c r="AW686" s="5" t="s">
        <v>251</v>
      </c>
      <c r="AX686" s="5" t="s">
        <v>240</v>
      </c>
      <c r="AY686" s="5" t="s">
        <v>253</v>
      </c>
      <c r="AZ686" s="5" t="s">
        <v>240</v>
      </c>
      <c r="BA686" s="5" t="s">
        <v>255</v>
      </c>
      <c r="BB686" s="5" t="s">
        <v>240</v>
      </c>
      <c r="BD686" s="5" t="s">
        <v>240</v>
      </c>
      <c r="BF686" s="5" t="s">
        <v>301</v>
      </c>
      <c r="BG686" s="6" t="s">
        <v>299</v>
      </c>
      <c r="BH686" s="5" t="s">
        <v>302</v>
      </c>
      <c r="BI686" s="5" t="s">
        <v>303</v>
      </c>
      <c r="BJ686" s="5" t="s">
        <v>240</v>
      </c>
      <c r="BK686" s="8">
        <f>0</f>
        <v>0</v>
      </c>
      <c r="BL686" s="7">
        <f>0</f>
        <v>0</v>
      </c>
      <c r="BM686" s="5" t="s">
        <v>258</v>
      </c>
      <c r="BN686" s="5" t="s">
        <v>259</v>
      </c>
      <c r="CB686" s="5" t="s">
        <v>240</v>
      </c>
      <c r="CC686" s="5" t="s">
        <v>240</v>
      </c>
      <c r="CG686" s="5" t="s">
        <v>617</v>
      </c>
      <c r="CH686" s="5" t="s">
        <v>305</v>
      </c>
      <c r="CI686" s="5" t="s">
        <v>240</v>
      </c>
      <c r="CL686" s="6" t="s">
        <v>261</v>
      </c>
      <c r="CM686" s="5" t="s">
        <v>240</v>
      </c>
      <c r="CN686" s="5" t="s">
        <v>263</v>
      </c>
      <c r="CO686" s="5" t="s">
        <v>240</v>
      </c>
      <c r="CP686" s="5" t="s">
        <v>240</v>
      </c>
      <c r="CQ686" s="5">
        <v>0</v>
      </c>
      <c r="CR686" s="5" t="s">
        <v>306</v>
      </c>
      <c r="CS686" s="5" t="s">
        <v>307</v>
      </c>
      <c r="CT686" s="5" t="s">
        <v>307</v>
      </c>
      <c r="CU686" s="5" t="s">
        <v>260</v>
      </c>
      <c r="CX686" s="7">
        <f>5390</f>
        <v>5390</v>
      </c>
      <c r="CY686" s="7">
        <f>0</f>
        <v>0</v>
      </c>
      <c r="DA686" s="7">
        <f>0</f>
        <v>0</v>
      </c>
      <c r="DC686" s="5" t="s">
        <v>309</v>
      </c>
      <c r="DD686" s="5" t="s">
        <v>240</v>
      </c>
      <c r="DF686" s="5" t="s">
        <v>450</v>
      </c>
      <c r="DG686" s="7">
        <f>0</f>
        <v>0</v>
      </c>
      <c r="DI686" s="5" t="s">
        <v>450</v>
      </c>
      <c r="DJ686" s="5" t="s">
        <v>240</v>
      </c>
      <c r="DK686" s="5" t="s">
        <v>240</v>
      </c>
      <c r="DL686" s="5" t="s">
        <v>240</v>
      </c>
      <c r="DP686" s="5" t="s">
        <v>240</v>
      </c>
      <c r="DQ686" s="5" t="s">
        <v>240</v>
      </c>
      <c r="DR686" s="5" t="s">
        <v>240</v>
      </c>
      <c r="DS686" s="5" t="s">
        <v>240</v>
      </c>
      <c r="DV686" s="5" t="s">
        <v>1502</v>
      </c>
      <c r="DW686" s="5" t="s">
        <v>781</v>
      </c>
      <c r="HO686" s="5" t="s">
        <v>312</v>
      </c>
    </row>
    <row r="687" spans="1:223" x14ac:dyDescent="0.4">
      <c r="A687" s="5">
        <v>1549</v>
      </c>
      <c r="B687" s="5">
        <v>1</v>
      </c>
      <c r="C687" s="5">
        <v>1</v>
      </c>
      <c r="D687" s="5" t="s">
        <v>723</v>
      </c>
      <c r="E687" s="5" t="s">
        <v>725</v>
      </c>
      <c r="F687" s="5" t="s">
        <v>254</v>
      </c>
      <c r="G687" s="5" t="s">
        <v>240</v>
      </c>
      <c r="H687" s="6" t="s">
        <v>2116</v>
      </c>
      <c r="I687" s="5" t="s">
        <v>2115</v>
      </c>
      <c r="J687" s="8">
        <f>660</f>
        <v>660</v>
      </c>
      <c r="K687" s="5" t="s">
        <v>308</v>
      </c>
      <c r="L687" s="7">
        <f>7260</f>
        <v>7260</v>
      </c>
      <c r="M687" s="7">
        <f>7260</f>
        <v>7260</v>
      </c>
      <c r="N687" s="5" t="s">
        <v>242</v>
      </c>
      <c r="O687" s="5">
        <v>1</v>
      </c>
      <c r="P687" s="5" t="s">
        <v>294</v>
      </c>
      <c r="Q687" s="5" t="s">
        <v>613</v>
      </c>
      <c r="R687" s="5" t="s">
        <v>240</v>
      </c>
      <c r="S687" s="5" t="s">
        <v>240</v>
      </c>
      <c r="T687" s="5" t="s">
        <v>296</v>
      </c>
      <c r="U687" s="5" t="s">
        <v>244</v>
      </c>
      <c r="V687" s="5" t="s">
        <v>240</v>
      </c>
      <c r="Y687" s="5" t="s">
        <v>240</v>
      </c>
      <c r="Z687" s="6" t="s">
        <v>298</v>
      </c>
      <c r="AB687" s="6" t="s">
        <v>240</v>
      </c>
      <c r="AE687" s="6" t="s">
        <v>299</v>
      </c>
      <c r="AF687" s="5" t="s">
        <v>248</v>
      </c>
      <c r="AG687" s="5" t="s">
        <v>249</v>
      </c>
      <c r="AW687" s="5" t="s">
        <v>251</v>
      </c>
      <c r="AX687" s="5" t="s">
        <v>240</v>
      </c>
      <c r="AY687" s="5" t="s">
        <v>253</v>
      </c>
      <c r="AZ687" s="5" t="s">
        <v>240</v>
      </c>
      <c r="BA687" s="5" t="s">
        <v>255</v>
      </c>
      <c r="BB687" s="5" t="s">
        <v>240</v>
      </c>
      <c r="BD687" s="5" t="s">
        <v>240</v>
      </c>
      <c r="BF687" s="5" t="s">
        <v>301</v>
      </c>
      <c r="BG687" s="6" t="s">
        <v>299</v>
      </c>
      <c r="BH687" s="5" t="s">
        <v>302</v>
      </c>
      <c r="BI687" s="5" t="s">
        <v>303</v>
      </c>
      <c r="BJ687" s="5" t="s">
        <v>240</v>
      </c>
      <c r="BK687" s="8">
        <f>0</f>
        <v>0</v>
      </c>
      <c r="BL687" s="7">
        <f>0</f>
        <v>0</v>
      </c>
      <c r="BM687" s="5" t="s">
        <v>258</v>
      </c>
      <c r="BN687" s="5" t="s">
        <v>259</v>
      </c>
      <c r="CB687" s="5" t="s">
        <v>240</v>
      </c>
      <c r="CC687" s="5" t="s">
        <v>240</v>
      </c>
      <c r="CG687" s="5" t="s">
        <v>617</v>
      </c>
      <c r="CH687" s="5" t="s">
        <v>305</v>
      </c>
      <c r="CI687" s="5" t="s">
        <v>240</v>
      </c>
      <c r="CL687" s="6" t="s">
        <v>261</v>
      </c>
      <c r="CM687" s="5" t="s">
        <v>240</v>
      </c>
      <c r="CN687" s="5" t="s">
        <v>263</v>
      </c>
      <c r="CO687" s="5" t="s">
        <v>240</v>
      </c>
      <c r="CP687" s="5" t="s">
        <v>240</v>
      </c>
      <c r="CQ687" s="5">
        <v>0</v>
      </c>
      <c r="CR687" s="5" t="s">
        <v>306</v>
      </c>
      <c r="CS687" s="5" t="s">
        <v>307</v>
      </c>
      <c r="CT687" s="5" t="s">
        <v>307</v>
      </c>
      <c r="CU687" s="5" t="s">
        <v>260</v>
      </c>
      <c r="CX687" s="7">
        <f>220500</f>
        <v>220500</v>
      </c>
      <c r="CY687" s="7">
        <f>0</f>
        <v>0</v>
      </c>
      <c r="DA687" s="7">
        <f>0</f>
        <v>0</v>
      </c>
      <c r="DC687" s="5" t="s">
        <v>309</v>
      </c>
      <c r="DD687" s="5" t="s">
        <v>240</v>
      </c>
      <c r="DF687" s="5" t="s">
        <v>450</v>
      </c>
      <c r="DG687" s="7">
        <f>0</f>
        <v>0</v>
      </c>
      <c r="DI687" s="5" t="s">
        <v>450</v>
      </c>
      <c r="DJ687" s="5" t="s">
        <v>240</v>
      </c>
      <c r="DK687" s="5" t="s">
        <v>240</v>
      </c>
      <c r="DL687" s="5" t="s">
        <v>240</v>
      </c>
      <c r="DP687" s="5" t="s">
        <v>240</v>
      </c>
      <c r="DQ687" s="5" t="s">
        <v>240</v>
      </c>
      <c r="DR687" s="5" t="s">
        <v>240</v>
      </c>
      <c r="DS687" s="5" t="s">
        <v>240</v>
      </c>
      <c r="DV687" s="5" t="s">
        <v>1502</v>
      </c>
      <c r="DW687" s="5" t="s">
        <v>783</v>
      </c>
      <c r="HO687" s="5" t="s">
        <v>312</v>
      </c>
    </row>
    <row r="688" spans="1:223" x14ac:dyDescent="0.4">
      <c r="A688" s="5">
        <v>1550</v>
      </c>
      <c r="B688" s="5">
        <v>1</v>
      </c>
      <c r="C688" s="5">
        <v>1</v>
      </c>
      <c r="D688" s="5" t="s">
        <v>723</v>
      </c>
      <c r="E688" s="5" t="s">
        <v>725</v>
      </c>
      <c r="F688" s="5" t="s">
        <v>254</v>
      </c>
      <c r="G688" s="5" t="s">
        <v>240</v>
      </c>
      <c r="H688" s="6" t="s">
        <v>954</v>
      </c>
      <c r="I688" s="5" t="s">
        <v>953</v>
      </c>
      <c r="J688" s="8">
        <f>66210.58</f>
        <v>66210.58</v>
      </c>
      <c r="K688" s="5" t="s">
        <v>308</v>
      </c>
      <c r="L688" s="7">
        <f>728316</f>
        <v>728316</v>
      </c>
      <c r="M688" s="7">
        <f>728316</f>
        <v>728316</v>
      </c>
      <c r="N688" s="5" t="s">
        <v>242</v>
      </c>
      <c r="O688" s="5">
        <v>1</v>
      </c>
      <c r="P688" s="5" t="s">
        <v>294</v>
      </c>
      <c r="Q688" s="5" t="s">
        <v>613</v>
      </c>
      <c r="R688" s="5" t="s">
        <v>240</v>
      </c>
      <c r="S688" s="5" t="s">
        <v>240</v>
      </c>
      <c r="T688" s="5" t="s">
        <v>296</v>
      </c>
      <c r="U688" s="5" t="s">
        <v>244</v>
      </c>
      <c r="V688" s="5" t="s">
        <v>240</v>
      </c>
      <c r="Y688" s="5" t="s">
        <v>240</v>
      </c>
      <c r="Z688" s="6" t="s">
        <v>298</v>
      </c>
      <c r="AB688" s="6" t="s">
        <v>240</v>
      </c>
      <c r="AE688" s="6" t="s">
        <v>299</v>
      </c>
      <c r="AF688" s="5" t="s">
        <v>248</v>
      </c>
      <c r="AG688" s="5" t="s">
        <v>249</v>
      </c>
      <c r="AW688" s="5" t="s">
        <v>251</v>
      </c>
      <c r="AX688" s="5" t="s">
        <v>240</v>
      </c>
      <c r="AY688" s="5" t="s">
        <v>253</v>
      </c>
      <c r="AZ688" s="5" t="s">
        <v>240</v>
      </c>
      <c r="BA688" s="5" t="s">
        <v>255</v>
      </c>
      <c r="BB688" s="5" t="s">
        <v>240</v>
      </c>
      <c r="BD688" s="5" t="s">
        <v>240</v>
      </c>
      <c r="BF688" s="5" t="s">
        <v>301</v>
      </c>
      <c r="BG688" s="6" t="s">
        <v>299</v>
      </c>
      <c r="BH688" s="5" t="s">
        <v>302</v>
      </c>
      <c r="BI688" s="5" t="s">
        <v>303</v>
      </c>
      <c r="BJ688" s="5" t="s">
        <v>240</v>
      </c>
      <c r="BK688" s="8">
        <f>0</f>
        <v>0</v>
      </c>
      <c r="BL688" s="7">
        <f>0</f>
        <v>0</v>
      </c>
      <c r="BM688" s="5" t="s">
        <v>258</v>
      </c>
      <c r="BN688" s="5" t="s">
        <v>259</v>
      </c>
      <c r="CB688" s="5" t="s">
        <v>240</v>
      </c>
      <c r="CC688" s="5" t="s">
        <v>240</v>
      </c>
      <c r="CG688" s="5" t="s">
        <v>617</v>
      </c>
      <c r="CH688" s="5" t="s">
        <v>305</v>
      </c>
      <c r="CI688" s="5" t="s">
        <v>240</v>
      </c>
      <c r="CL688" s="6" t="s">
        <v>261</v>
      </c>
      <c r="CM688" s="5" t="s">
        <v>240</v>
      </c>
      <c r="CN688" s="5" t="s">
        <v>263</v>
      </c>
      <c r="CO688" s="5" t="s">
        <v>240</v>
      </c>
      <c r="CP688" s="5" t="s">
        <v>240</v>
      </c>
      <c r="CQ688" s="5">
        <v>0</v>
      </c>
      <c r="CR688" s="5" t="s">
        <v>306</v>
      </c>
      <c r="CS688" s="5" t="s">
        <v>307</v>
      </c>
      <c r="CT688" s="5" t="s">
        <v>307</v>
      </c>
      <c r="CU688" s="5" t="s">
        <v>260</v>
      </c>
      <c r="CX688" s="7">
        <f>115150</f>
        <v>115150</v>
      </c>
      <c r="CY688" s="7">
        <f>0</f>
        <v>0</v>
      </c>
      <c r="DA688" s="7">
        <f>0</f>
        <v>0</v>
      </c>
      <c r="DC688" s="5" t="s">
        <v>309</v>
      </c>
      <c r="DD688" s="5" t="s">
        <v>240</v>
      </c>
      <c r="DF688" s="5" t="s">
        <v>450</v>
      </c>
      <c r="DG688" s="7">
        <f>0</f>
        <v>0</v>
      </c>
      <c r="DI688" s="5" t="s">
        <v>450</v>
      </c>
      <c r="DJ688" s="5" t="s">
        <v>240</v>
      </c>
      <c r="DK688" s="5" t="s">
        <v>240</v>
      </c>
      <c r="DL688" s="5" t="s">
        <v>240</v>
      </c>
      <c r="DP688" s="5" t="s">
        <v>240</v>
      </c>
      <c r="DQ688" s="5" t="s">
        <v>240</v>
      </c>
      <c r="DR688" s="5" t="s">
        <v>240</v>
      </c>
      <c r="DS688" s="5" t="s">
        <v>240</v>
      </c>
      <c r="DV688" s="5" t="s">
        <v>1502</v>
      </c>
      <c r="DW688" s="5" t="s">
        <v>785</v>
      </c>
      <c r="HO688" s="5" t="s">
        <v>312</v>
      </c>
    </row>
    <row r="689" spans="1:223" x14ac:dyDescent="0.4">
      <c r="A689" s="5">
        <v>1551</v>
      </c>
      <c r="B689" s="5">
        <v>1</v>
      </c>
      <c r="C689" s="5">
        <v>1</v>
      </c>
      <c r="D689" s="5" t="s">
        <v>723</v>
      </c>
      <c r="E689" s="5" t="s">
        <v>725</v>
      </c>
      <c r="F689" s="5" t="s">
        <v>254</v>
      </c>
      <c r="G689" s="5" t="s">
        <v>240</v>
      </c>
      <c r="H689" s="6" t="s">
        <v>951</v>
      </c>
      <c r="I689" s="5" t="s">
        <v>950</v>
      </c>
      <c r="J689" s="8">
        <f>8986</f>
        <v>8986</v>
      </c>
      <c r="K689" s="5" t="s">
        <v>308</v>
      </c>
      <c r="L689" s="7">
        <f>98846</f>
        <v>98846</v>
      </c>
      <c r="M689" s="7">
        <f>98846</f>
        <v>98846</v>
      </c>
      <c r="N689" s="5" t="s">
        <v>242</v>
      </c>
      <c r="O689" s="5">
        <v>1</v>
      </c>
      <c r="P689" s="5" t="s">
        <v>294</v>
      </c>
      <c r="Q689" s="5" t="s">
        <v>613</v>
      </c>
      <c r="R689" s="5" t="s">
        <v>240</v>
      </c>
      <c r="S689" s="5" t="s">
        <v>240</v>
      </c>
      <c r="T689" s="5" t="s">
        <v>296</v>
      </c>
      <c r="U689" s="5" t="s">
        <v>244</v>
      </c>
      <c r="V689" s="5" t="s">
        <v>240</v>
      </c>
      <c r="Y689" s="5" t="s">
        <v>240</v>
      </c>
      <c r="Z689" s="6" t="s">
        <v>298</v>
      </c>
      <c r="AB689" s="6" t="s">
        <v>240</v>
      </c>
      <c r="AE689" s="6" t="s">
        <v>299</v>
      </c>
      <c r="AF689" s="5" t="s">
        <v>248</v>
      </c>
      <c r="AG689" s="5" t="s">
        <v>249</v>
      </c>
      <c r="AW689" s="5" t="s">
        <v>251</v>
      </c>
      <c r="AX689" s="5" t="s">
        <v>240</v>
      </c>
      <c r="AY689" s="5" t="s">
        <v>253</v>
      </c>
      <c r="AZ689" s="5" t="s">
        <v>240</v>
      </c>
      <c r="BA689" s="5" t="s">
        <v>255</v>
      </c>
      <c r="BB689" s="5" t="s">
        <v>240</v>
      </c>
      <c r="BD689" s="5" t="s">
        <v>240</v>
      </c>
      <c r="BF689" s="5" t="s">
        <v>301</v>
      </c>
      <c r="BG689" s="6" t="s">
        <v>299</v>
      </c>
      <c r="BH689" s="5" t="s">
        <v>302</v>
      </c>
      <c r="BI689" s="5" t="s">
        <v>303</v>
      </c>
      <c r="BJ689" s="5" t="s">
        <v>240</v>
      </c>
      <c r="BK689" s="8">
        <f>0</f>
        <v>0</v>
      </c>
      <c r="BL689" s="7">
        <f>0</f>
        <v>0</v>
      </c>
      <c r="BM689" s="5" t="s">
        <v>258</v>
      </c>
      <c r="BN689" s="5" t="s">
        <v>259</v>
      </c>
      <c r="CB689" s="5" t="s">
        <v>240</v>
      </c>
      <c r="CC689" s="5" t="s">
        <v>240</v>
      </c>
      <c r="CG689" s="5" t="s">
        <v>617</v>
      </c>
      <c r="CH689" s="5" t="s">
        <v>305</v>
      </c>
      <c r="CI689" s="5" t="s">
        <v>240</v>
      </c>
      <c r="CL689" s="6" t="s">
        <v>261</v>
      </c>
      <c r="CM689" s="5" t="s">
        <v>240</v>
      </c>
      <c r="CN689" s="5" t="s">
        <v>263</v>
      </c>
      <c r="CO689" s="5" t="s">
        <v>240</v>
      </c>
      <c r="CP689" s="5" t="s">
        <v>240</v>
      </c>
      <c r="CQ689" s="5">
        <v>0</v>
      </c>
      <c r="CR689" s="5" t="s">
        <v>306</v>
      </c>
      <c r="CS689" s="5" t="s">
        <v>307</v>
      </c>
      <c r="CT689" s="5" t="s">
        <v>307</v>
      </c>
      <c r="CU689" s="5" t="s">
        <v>260</v>
      </c>
      <c r="CX689" s="7">
        <f>25480</f>
        <v>25480</v>
      </c>
      <c r="CY689" s="7">
        <f>0</f>
        <v>0</v>
      </c>
      <c r="DA689" s="7">
        <f>0</f>
        <v>0</v>
      </c>
      <c r="DC689" s="5" t="s">
        <v>309</v>
      </c>
      <c r="DD689" s="5" t="s">
        <v>240</v>
      </c>
      <c r="DF689" s="5" t="s">
        <v>450</v>
      </c>
      <c r="DG689" s="7">
        <f>0</f>
        <v>0</v>
      </c>
      <c r="DI689" s="5" t="s">
        <v>450</v>
      </c>
      <c r="DJ689" s="5" t="s">
        <v>240</v>
      </c>
      <c r="DK689" s="5" t="s">
        <v>240</v>
      </c>
      <c r="DL689" s="5" t="s">
        <v>240</v>
      </c>
      <c r="DP689" s="5" t="s">
        <v>240</v>
      </c>
      <c r="DQ689" s="5" t="s">
        <v>240</v>
      </c>
      <c r="DR689" s="5" t="s">
        <v>240</v>
      </c>
      <c r="DS689" s="5" t="s">
        <v>240</v>
      </c>
      <c r="DV689" s="5" t="s">
        <v>1502</v>
      </c>
      <c r="DW689" s="5" t="s">
        <v>787</v>
      </c>
      <c r="HO689" s="5" t="s">
        <v>312</v>
      </c>
    </row>
    <row r="690" spans="1:223" x14ac:dyDescent="0.4">
      <c r="A690" s="5">
        <v>1552</v>
      </c>
      <c r="B690" s="5">
        <v>1</v>
      </c>
      <c r="C690" s="5">
        <v>1</v>
      </c>
      <c r="D690" s="5" t="s">
        <v>723</v>
      </c>
      <c r="E690" s="5" t="s">
        <v>725</v>
      </c>
      <c r="F690" s="5" t="s">
        <v>254</v>
      </c>
      <c r="G690" s="5" t="s">
        <v>240</v>
      </c>
      <c r="H690" s="6" t="s">
        <v>4250</v>
      </c>
      <c r="I690" s="5" t="s">
        <v>4249</v>
      </c>
      <c r="J690" s="8">
        <f>1189</f>
        <v>1189</v>
      </c>
      <c r="K690" s="5" t="s">
        <v>308</v>
      </c>
      <c r="L690" s="7">
        <f>13079</f>
        <v>13079</v>
      </c>
      <c r="M690" s="7">
        <f>13079</f>
        <v>13079</v>
      </c>
      <c r="N690" s="5" t="s">
        <v>242</v>
      </c>
      <c r="O690" s="5">
        <v>1</v>
      </c>
      <c r="P690" s="5" t="s">
        <v>294</v>
      </c>
      <c r="Q690" s="5" t="s">
        <v>613</v>
      </c>
      <c r="R690" s="5" t="s">
        <v>240</v>
      </c>
      <c r="S690" s="5" t="s">
        <v>240</v>
      </c>
      <c r="T690" s="5" t="s">
        <v>296</v>
      </c>
      <c r="U690" s="5" t="s">
        <v>244</v>
      </c>
      <c r="V690" s="5" t="s">
        <v>240</v>
      </c>
      <c r="Y690" s="5" t="s">
        <v>240</v>
      </c>
      <c r="Z690" s="6" t="s">
        <v>298</v>
      </c>
      <c r="AB690" s="6" t="s">
        <v>240</v>
      </c>
      <c r="AE690" s="6" t="s">
        <v>299</v>
      </c>
      <c r="AF690" s="5" t="s">
        <v>248</v>
      </c>
      <c r="AG690" s="5" t="s">
        <v>249</v>
      </c>
      <c r="AW690" s="5" t="s">
        <v>251</v>
      </c>
      <c r="AX690" s="5" t="s">
        <v>240</v>
      </c>
      <c r="AY690" s="5" t="s">
        <v>253</v>
      </c>
      <c r="AZ690" s="5" t="s">
        <v>240</v>
      </c>
      <c r="BA690" s="5" t="s">
        <v>255</v>
      </c>
      <c r="BB690" s="5" t="s">
        <v>240</v>
      </c>
      <c r="BD690" s="5" t="s">
        <v>240</v>
      </c>
      <c r="BF690" s="5" t="s">
        <v>301</v>
      </c>
      <c r="BG690" s="6" t="s">
        <v>299</v>
      </c>
      <c r="BH690" s="5" t="s">
        <v>302</v>
      </c>
      <c r="BI690" s="5" t="s">
        <v>303</v>
      </c>
      <c r="BJ690" s="5" t="s">
        <v>240</v>
      </c>
      <c r="BK690" s="8">
        <f>0</f>
        <v>0</v>
      </c>
      <c r="BL690" s="7">
        <f>0</f>
        <v>0</v>
      </c>
      <c r="BM690" s="5" t="s">
        <v>258</v>
      </c>
      <c r="BN690" s="5" t="s">
        <v>259</v>
      </c>
      <c r="CB690" s="5" t="s">
        <v>240</v>
      </c>
      <c r="CC690" s="5" t="s">
        <v>240</v>
      </c>
      <c r="CG690" s="5" t="s">
        <v>617</v>
      </c>
      <c r="CH690" s="5" t="s">
        <v>305</v>
      </c>
      <c r="CI690" s="5" t="s">
        <v>240</v>
      </c>
      <c r="CL690" s="6" t="s">
        <v>261</v>
      </c>
      <c r="CM690" s="5" t="s">
        <v>240</v>
      </c>
      <c r="CN690" s="5" t="s">
        <v>263</v>
      </c>
      <c r="CO690" s="5" t="s">
        <v>240</v>
      </c>
      <c r="CP690" s="5" t="s">
        <v>240</v>
      </c>
      <c r="CQ690" s="5">
        <v>0</v>
      </c>
      <c r="CR690" s="5" t="s">
        <v>306</v>
      </c>
      <c r="CS690" s="5" t="s">
        <v>307</v>
      </c>
      <c r="CT690" s="5" t="s">
        <v>307</v>
      </c>
      <c r="CU690" s="5" t="s">
        <v>260</v>
      </c>
      <c r="CX690" s="7">
        <f>282240</f>
        <v>282240</v>
      </c>
      <c r="CY690" s="7">
        <f>0</f>
        <v>0</v>
      </c>
      <c r="DA690" s="7">
        <f>0</f>
        <v>0</v>
      </c>
      <c r="DC690" s="5" t="s">
        <v>309</v>
      </c>
      <c r="DD690" s="5" t="s">
        <v>240</v>
      </c>
      <c r="DF690" s="5" t="s">
        <v>450</v>
      </c>
      <c r="DG690" s="7">
        <f>0</f>
        <v>0</v>
      </c>
      <c r="DI690" s="5" t="s">
        <v>450</v>
      </c>
      <c r="DJ690" s="5" t="s">
        <v>240</v>
      </c>
      <c r="DK690" s="5" t="s">
        <v>240</v>
      </c>
      <c r="DL690" s="5" t="s">
        <v>240</v>
      </c>
      <c r="DP690" s="5" t="s">
        <v>240</v>
      </c>
      <c r="DQ690" s="5" t="s">
        <v>240</v>
      </c>
      <c r="DR690" s="5" t="s">
        <v>240</v>
      </c>
      <c r="DS690" s="5" t="s">
        <v>240</v>
      </c>
      <c r="DV690" s="5" t="s">
        <v>1502</v>
      </c>
      <c r="DW690" s="5" t="s">
        <v>789</v>
      </c>
      <c r="HO690" s="5" t="s">
        <v>312</v>
      </c>
    </row>
    <row r="691" spans="1:223" x14ac:dyDescent="0.4">
      <c r="A691" s="5">
        <v>1553</v>
      </c>
      <c r="B691" s="5">
        <v>1</v>
      </c>
      <c r="C691" s="5">
        <v>1</v>
      </c>
      <c r="D691" s="5" t="s">
        <v>723</v>
      </c>
      <c r="E691" s="5" t="s">
        <v>725</v>
      </c>
      <c r="F691" s="5" t="s">
        <v>254</v>
      </c>
      <c r="G691" s="5" t="s">
        <v>240</v>
      </c>
      <c r="H691" s="6" t="s">
        <v>946</v>
      </c>
      <c r="I691" s="5" t="s">
        <v>945</v>
      </c>
      <c r="J691" s="8">
        <f>921</f>
        <v>921</v>
      </c>
      <c r="K691" s="5" t="s">
        <v>308</v>
      </c>
      <c r="L691" s="7">
        <f>10131</f>
        <v>10131</v>
      </c>
      <c r="M691" s="7">
        <f>10131</f>
        <v>10131</v>
      </c>
      <c r="N691" s="5" t="s">
        <v>242</v>
      </c>
      <c r="O691" s="5">
        <v>1</v>
      </c>
      <c r="P691" s="5" t="s">
        <v>294</v>
      </c>
      <c r="Q691" s="5" t="s">
        <v>613</v>
      </c>
      <c r="R691" s="5" t="s">
        <v>240</v>
      </c>
      <c r="S691" s="5" t="s">
        <v>240</v>
      </c>
      <c r="T691" s="5" t="s">
        <v>296</v>
      </c>
      <c r="U691" s="5" t="s">
        <v>244</v>
      </c>
      <c r="V691" s="5" t="s">
        <v>240</v>
      </c>
      <c r="Y691" s="5" t="s">
        <v>240</v>
      </c>
      <c r="Z691" s="6" t="s">
        <v>298</v>
      </c>
      <c r="AB691" s="6" t="s">
        <v>240</v>
      </c>
      <c r="AE691" s="6" t="s">
        <v>299</v>
      </c>
      <c r="AF691" s="5" t="s">
        <v>248</v>
      </c>
      <c r="AG691" s="5" t="s">
        <v>249</v>
      </c>
      <c r="AW691" s="5" t="s">
        <v>251</v>
      </c>
      <c r="AX691" s="5" t="s">
        <v>240</v>
      </c>
      <c r="AY691" s="5" t="s">
        <v>253</v>
      </c>
      <c r="AZ691" s="5" t="s">
        <v>240</v>
      </c>
      <c r="BA691" s="5" t="s">
        <v>255</v>
      </c>
      <c r="BB691" s="5" t="s">
        <v>240</v>
      </c>
      <c r="BD691" s="5" t="s">
        <v>240</v>
      </c>
      <c r="BF691" s="5" t="s">
        <v>301</v>
      </c>
      <c r="BG691" s="6" t="s">
        <v>299</v>
      </c>
      <c r="BH691" s="5" t="s">
        <v>302</v>
      </c>
      <c r="BI691" s="5" t="s">
        <v>303</v>
      </c>
      <c r="BJ691" s="5" t="s">
        <v>240</v>
      </c>
      <c r="BK691" s="8">
        <f>0</f>
        <v>0</v>
      </c>
      <c r="BL691" s="7">
        <f>0</f>
        <v>0</v>
      </c>
      <c r="BM691" s="5" t="s">
        <v>258</v>
      </c>
      <c r="BN691" s="5" t="s">
        <v>259</v>
      </c>
      <c r="CB691" s="5" t="s">
        <v>240</v>
      </c>
      <c r="CC691" s="5" t="s">
        <v>240</v>
      </c>
      <c r="CG691" s="5" t="s">
        <v>617</v>
      </c>
      <c r="CH691" s="5" t="s">
        <v>305</v>
      </c>
      <c r="CI691" s="5" t="s">
        <v>240</v>
      </c>
      <c r="CL691" s="6" t="s">
        <v>261</v>
      </c>
      <c r="CM691" s="5" t="s">
        <v>240</v>
      </c>
      <c r="CN691" s="5" t="s">
        <v>263</v>
      </c>
      <c r="CO691" s="5" t="s">
        <v>240</v>
      </c>
      <c r="CP691" s="5" t="s">
        <v>240</v>
      </c>
      <c r="CQ691" s="5">
        <v>0</v>
      </c>
      <c r="CR691" s="5" t="s">
        <v>306</v>
      </c>
      <c r="CS691" s="5" t="s">
        <v>307</v>
      </c>
      <c r="CT691" s="5" t="s">
        <v>307</v>
      </c>
      <c r="CU691" s="5" t="s">
        <v>260</v>
      </c>
      <c r="CX691" s="7">
        <f>99960</f>
        <v>99960</v>
      </c>
      <c r="CY691" s="7">
        <f>0</f>
        <v>0</v>
      </c>
      <c r="DA691" s="7">
        <f>0</f>
        <v>0</v>
      </c>
      <c r="DC691" s="5" t="s">
        <v>309</v>
      </c>
      <c r="DD691" s="5" t="s">
        <v>240</v>
      </c>
      <c r="DF691" s="5" t="s">
        <v>450</v>
      </c>
      <c r="DG691" s="7">
        <f>0</f>
        <v>0</v>
      </c>
      <c r="DI691" s="5" t="s">
        <v>450</v>
      </c>
      <c r="DJ691" s="5" t="s">
        <v>240</v>
      </c>
      <c r="DK691" s="5" t="s">
        <v>240</v>
      </c>
      <c r="DL691" s="5" t="s">
        <v>240</v>
      </c>
      <c r="DP691" s="5" t="s">
        <v>240</v>
      </c>
      <c r="DQ691" s="5" t="s">
        <v>240</v>
      </c>
      <c r="DR691" s="5" t="s">
        <v>240</v>
      </c>
      <c r="DS691" s="5" t="s">
        <v>240</v>
      </c>
      <c r="DV691" s="5" t="s">
        <v>1502</v>
      </c>
      <c r="DW691" s="5" t="s">
        <v>825</v>
      </c>
      <c r="HO691" s="5" t="s">
        <v>312</v>
      </c>
    </row>
    <row r="692" spans="1:223" x14ac:dyDescent="0.4">
      <c r="A692" s="5">
        <v>1554</v>
      </c>
      <c r="B692" s="5">
        <v>1</v>
      </c>
      <c r="C692" s="5">
        <v>1</v>
      </c>
      <c r="D692" s="5" t="s">
        <v>723</v>
      </c>
      <c r="E692" s="5" t="s">
        <v>725</v>
      </c>
      <c r="F692" s="5" t="s">
        <v>254</v>
      </c>
      <c r="G692" s="5" t="s">
        <v>240</v>
      </c>
      <c r="H692" s="6" t="s">
        <v>943</v>
      </c>
      <c r="I692" s="5" t="s">
        <v>942</v>
      </c>
      <c r="J692" s="8">
        <f>997</f>
        <v>997</v>
      </c>
      <c r="K692" s="5" t="s">
        <v>308</v>
      </c>
      <c r="L692" s="7">
        <f>10967</f>
        <v>10967</v>
      </c>
      <c r="M692" s="7">
        <f>10967</f>
        <v>10967</v>
      </c>
      <c r="N692" s="5" t="s">
        <v>242</v>
      </c>
      <c r="O692" s="5">
        <v>1</v>
      </c>
      <c r="P692" s="5" t="s">
        <v>294</v>
      </c>
      <c r="Q692" s="5" t="s">
        <v>613</v>
      </c>
      <c r="R692" s="5" t="s">
        <v>240</v>
      </c>
      <c r="S692" s="5" t="s">
        <v>240</v>
      </c>
      <c r="T692" s="5" t="s">
        <v>296</v>
      </c>
      <c r="U692" s="5" t="s">
        <v>244</v>
      </c>
      <c r="V692" s="5" t="s">
        <v>240</v>
      </c>
      <c r="Y692" s="5" t="s">
        <v>240</v>
      </c>
      <c r="Z692" s="6" t="s">
        <v>298</v>
      </c>
      <c r="AB692" s="6" t="s">
        <v>240</v>
      </c>
      <c r="AE692" s="6" t="s">
        <v>299</v>
      </c>
      <c r="AF692" s="5" t="s">
        <v>248</v>
      </c>
      <c r="AG692" s="5" t="s">
        <v>249</v>
      </c>
      <c r="AW692" s="5" t="s">
        <v>251</v>
      </c>
      <c r="AX692" s="5" t="s">
        <v>240</v>
      </c>
      <c r="AY692" s="5" t="s">
        <v>253</v>
      </c>
      <c r="AZ692" s="5" t="s">
        <v>240</v>
      </c>
      <c r="BA692" s="5" t="s">
        <v>255</v>
      </c>
      <c r="BB692" s="5" t="s">
        <v>240</v>
      </c>
      <c r="BD692" s="5" t="s">
        <v>240</v>
      </c>
      <c r="BF692" s="5" t="s">
        <v>301</v>
      </c>
      <c r="BG692" s="6" t="s">
        <v>299</v>
      </c>
      <c r="BH692" s="5" t="s">
        <v>302</v>
      </c>
      <c r="BI692" s="5" t="s">
        <v>303</v>
      </c>
      <c r="BJ692" s="5" t="s">
        <v>240</v>
      </c>
      <c r="BK692" s="8">
        <f>0</f>
        <v>0</v>
      </c>
      <c r="BL692" s="7">
        <f>0</f>
        <v>0</v>
      </c>
      <c r="BM692" s="5" t="s">
        <v>258</v>
      </c>
      <c r="BN692" s="5" t="s">
        <v>259</v>
      </c>
      <c r="CB692" s="5" t="s">
        <v>240</v>
      </c>
      <c r="CC692" s="5" t="s">
        <v>240</v>
      </c>
      <c r="CG692" s="5" t="s">
        <v>617</v>
      </c>
      <c r="CH692" s="5" t="s">
        <v>305</v>
      </c>
      <c r="CI692" s="5" t="s">
        <v>240</v>
      </c>
      <c r="CL692" s="6" t="s">
        <v>261</v>
      </c>
      <c r="CM692" s="5" t="s">
        <v>240</v>
      </c>
      <c r="CN692" s="5" t="s">
        <v>263</v>
      </c>
      <c r="CO692" s="5" t="s">
        <v>240</v>
      </c>
      <c r="CP692" s="5" t="s">
        <v>240</v>
      </c>
      <c r="CQ692" s="5">
        <v>0</v>
      </c>
      <c r="CR692" s="5" t="s">
        <v>306</v>
      </c>
      <c r="CS692" s="5" t="s">
        <v>307</v>
      </c>
      <c r="CT692" s="5" t="s">
        <v>307</v>
      </c>
      <c r="CU692" s="5" t="s">
        <v>260</v>
      </c>
      <c r="CX692" s="7">
        <f>37240</f>
        <v>37240</v>
      </c>
      <c r="CY692" s="7">
        <f>0</f>
        <v>0</v>
      </c>
      <c r="DA692" s="7">
        <f>0</f>
        <v>0</v>
      </c>
      <c r="DC692" s="5" t="s">
        <v>309</v>
      </c>
      <c r="DD692" s="5" t="s">
        <v>240</v>
      </c>
      <c r="DF692" s="5" t="s">
        <v>450</v>
      </c>
      <c r="DG692" s="7">
        <f>0</f>
        <v>0</v>
      </c>
      <c r="DI692" s="5" t="s">
        <v>450</v>
      </c>
      <c r="DJ692" s="5" t="s">
        <v>240</v>
      </c>
      <c r="DK692" s="5" t="s">
        <v>240</v>
      </c>
      <c r="DL692" s="5" t="s">
        <v>240</v>
      </c>
      <c r="DP692" s="5" t="s">
        <v>240</v>
      </c>
      <c r="DQ692" s="5" t="s">
        <v>240</v>
      </c>
      <c r="DR692" s="5" t="s">
        <v>240</v>
      </c>
      <c r="DS692" s="5" t="s">
        <v>240</v>
      </c>
      <c r="DV692" s="5" t="s">
        <v>1502</v>
      </c>
      <c r="DW692" s="5" t="s">
        <v>791</v>
      </c>
      <c r="HO692" s="5" t="s">
        <v>312</v>
      </c>
    </row>
    <row r="693" spans="1:223" x14ac:dyDescent="0.4">
      <c r="A693" s="5">
        <v>1555</v>
      </c>
      <c r="B693" s="5">
        <v>1</v>
      </c>
      <c r="C693" s="5">
        <v>1</v>
      </c>
      <c r="D693" s="5" t="s">
        <v>723</v>
      </c>
      <c r="E693" s="5" t="s">
        <v>725</v>
      </c>
      <c r="F693" s="5" t="s">
        <v>254</v>
      </c>
      <c r="G693" s="5" t="s">
        <v>240</v>
      </c>
      <c r="H693" s="6" t="s">
        <v>939</v>
      </c>
      <c r="I693" s="5" t="s">
        <v>938</v>
      </c>
      <c r="J693" s="8">
        <f>254</f>
        <v>254</v>
      </c>
      <c r="K693" s="5" t="s">
        <v>308</v>
      </c>
      <c r="L693" s="7">
        <f>2794</f>
        <v>2794</v>
      </c>
      <c r="M693" s="7">
        <f>2794</f>
        <v>2794</v>
      </c>
      <c r="N693" s="5" t="s">
        <v>242</v>
      </c>
      <c r="O693" s="5">
        <v>1</v>
      </c>
      <c r="P693" s="5" t="s">
        <v>294</v>
      </c>
      <c r="Q693" s="5" t="s">
        <v>613</v>
      </c>
      <c r="R693" s="5" t="s">
        <v>240</v>
      </c>
      <c r="S693" s="5" t="s">
        <v>240</v>
      </c>
      <c r="T693" s="5" t="s">
        <v>296</v>
      </c>
      <c r="U693" s="5" t="s">
        <v>244</v>
      </c>
      <c r="V693" s="5" t="s">
        <v>240</v>
      </c>
      <c r="Y693" s="5" t="s">
        <v>240</v>
      </c>
      <c r="Z693" s="6" t="s">
        <v>298</v>
      </c>
      <c r="AB693" s="6" t="s">
        <v>240</v>
      </c>
      <c r="AE693" s="6" t="s">
        <v>299</v>
      </c>
      <c r="AF693" s="5" t="s">
        <v>248</v>
      </c>
      <c r="AG693" s="5" t="s">
        <v>249</v>
      </c>
      <c r="AW693" s="5" t="s">
        <v>251</v>
      </c>
      <c r="AX693" s="5" t="s">
        <v>240</v>
      </c>
      <c r="AY693" s="5" t="s">
        <v>253</v>
      </c>
      <c r="AZ693" s="5" t="s">
        <v>240</v>
      </c>
      <c r="BA693" s="5" t="s">
        <v>255</v>
      </c>
      <c r="BB693" s="5" t="s">
        <v>240</v>
      </c>
      <c r="BD693" s="5" t="s">
        <v>240</v>
      </c>
      <c r="BF693" s="5" t="s">
        <v>301</v>
      </c>
      <c r="BG693" s="6" t="s">
        <v>299</v>
      </c>
      <c r="BH693" s="5" t="s">
        <v>302</v>
      </c>
      <c r="BI693" s="5" t="s">
        <v>303</v>
      </c>
      <c r="BJ693" s="5" t="s">
        <v>240</v>
      </c>
      <c r="BK693" s="8">
        <f>0</f>
        <v>0</v>
      </c>
      <c r="BL693" s="7">
        <f>0</f>
        <v>0</v>
      </c>
      <c r="BM693" s="5" t="s">
        <v>258</v>
      </c>
      <c r="BN693" s="5" t="s">
        <v>259</v>
      </c>
      <c r="CB693" s="5" t="s">
        <v>240</v>
      </c>
      <c r="CC693" s="5" t="s">
        <v>240</v>
      </c>
      <c r="CG693" s="5" t="s">
        <v>617</v>
      </c>
      <c r="CH693" s="5" t="s">
        <v>305</v>
      </c>
      <c r="CI693" s="5" t="s">
        <v>240</v>
      </c>
      <c r="CL693" s="6" t="s">
        <v>261</v>
      </c>
      <c r="CM693" s="5" t="s">
        <v>240</v>
      </c>
      <c r="CN693" s="5" t="s">
        <v>263</v>
      </c>
      <c r="CO693" s="5" t="s">
        <v>240</v>
      </c>
      <c r="CP693" s="5" t="s">
        <v>240</v>
      </c>
      <c r="CQ693" s="5">
        <v>0</v>
      </c>
      <c r="CR693" s="5" t="s">
        <v>306</v>
      </c>
      <c r="CS693" s="5" t="s">
        <v>307</v>
      </c>
      <c r="CT693" s="5" t="s">
        <v>307</v>
      </c>
      <c r="CU693" s="5" t="s">
        <v>260</v>
      </c>
      <c r="CX693" s="7">
        <f>31850</f>
        <v>31850</v>
      </c>
      <c r="CY693" s="7">
        <f>0</f>
        <v>0</v>
      </c>
      <c r="DA693" s="7">
        <f>0</f>
        <v>0</v>
      </c>
      <c r="DC693" s="5" t="s">
        <v>309</v>
      </c>
      <c r="DD693" s="5" t="s">
        <v>240</v>
      </c>
      <c r="DF693" s="5" t="s">
        <v>450</v>
      </c>
      <c r="DG693" s="7">
        <f>0</f>
        <v>0</v>
      </c>
      <c r="DI693" s="5" t="s">
        <v>450</v>
      </c>
      <c r="DJ693" s="5" t="s">
        <v>240</v>
      </c>
      <c r="DK693" s="5" t="s">
        <v>240</v>
      </c>
      <c r="DL693" s="5" t="s">
        <v>240</v>
      </c>
      <c r="DP693" s="5" t="s">
        <v>240</v>
      </c>
      <c r="DQ693" s="5" t="s">
        <v>240</v>
      </c>
      <c r="DR693" s="5" t="s">
        <v>240</v>
      </c>
      <c r="DS693" s="5" t="s">
        <v>240</v>
      </c>
      <c r="DV693" s="5" t="s">
        <v>1502</v>
      </c>
      <c r="DW693" s="5" t="s">
        <v>793</v>
      </c>
      <c r="HO693" s="5" t="s">
        <v>312</v>
      </c>
    </row>
    <row r="694" spans="1:223" x14ac:dyDescent="0.4">
      <c r="A694" s="5">
        <v>1556</v>
      </c>
      <c r="B694" s="5">
        <v>1</v>
      </c>
      <c r="C694" s="5">
        <v>1</v>
      </c>
      <c r="D694" s="5" t="s">
        <v>723</v>
      </c>
      <c r="E694" s="5" t="s">
        <v>725</v>
      </c>
      <c r="F694" s="5" t="s">
        <v>254</v>
      </c>
      <c r="G694" s="5" t="s">
        <v>240</v>
      </c>
      <c r="H694" s="6" t="s">
        <v>936</v>
      </c>
      <c r="I694" s="5" t="s">
        <v>935</v>
      </c>
      <c r="J694" s="8">
        <f>834</f>
        <v>834</v>
      </c>
      <c r="K694" s="5" t="s">
        <v>308</v>
      </c>
      <c r="L694" s="7">
        <f>9174</f>
        <v>9174</v>
      </c>
      <c r="M694" s="7">
        <f>9174</f>
        <v>9174</v>
      </c>
      <c r="N694" s="5" t="s">
        <v>242</v>
      </c>
      <c r="O694" s="5">
        <v>1</v>
      </c>
      <c r="P694" s="5" t="s">
        <v>294</v>
      </c>
      <c r="Q694" s="5" t="s">
        <v>613</v>
      </c>
      <c r="R694" s="5" t="s">
        <v>240</v>
      </c>
      <c r="S694" s="5" t="s">
        <v>240</v>
      </c>
      <c r="T694" s="5" t="s">
        <v>296</v>
      </c>
      <c r="U694" s="5" t="s">
        <v>244</v>
      </c>
      <c r="V694" s="5" t="s">
        <v>240</v>
      </c>
      <c r="Y694" s="5" t="s">
        <v>240</v>
      </c>
      <c r="Z694" s="6" t="s">
        <v>298</v>
      </c>
      <c r="AB694" s="6" t="s">
        <v>240</v>
      </c>
      <c r="AE694" s="6" t="s">
        <v>299</v>
      </c>
      <c r="AF694" s="5" t="s">
        <v>248</v>
      </c>
      <c r="AG694" s="5" t="s">
        <v>249</v>
      </c>
      <c r="AW694" s="5" t="s">
        <v>251</v>
      </c>
      <c r="AX694" s="5" t="s">
        <v>240</v>
      </c>
      <c r="AY694" s="5" t="s">
        <v>253</v>
      </c>
      <c r="AZ694" s="5" t="s">
        <v>240</v>
      </c>
      <c r="BA694" s="5" t="s">
        <v>255</v>
      </c>
      <c r="BB694" s="5" t="s">
        <v>240</v>
      </c>
      <c r="BD694" s="5" t="s">
        <v>240</v>
      </c>
      <c r="BF694" s="5" t="s">
        <v>301</v>
      </c>
      <c r="BG694" s="6" t="s">
        <v>299</v>
      </c>
      <c r="BH694" s="5" t="s">
        <v>302</v>
      </c>
      <c r="BI694" s="5" t="s">
        <v>303</v>
      </c>
      <c r="BJ694" s="5" t="s">
        <v>240</v>
      </c>
      <c r="BK694" s="8">
        <f>0</f>
        <v>0</v>
      </c>
      <c r="BL694" s="7">
        <f>0</f>
        <v>0</v>
      </c>
      <c r="BM694" s="5" t="s">
        <v>258</v>
      </c>
      <c r="BN694" s="5" t="s">
        <v>259</v>
      </c>
      <c r="CB694" s="5" t="s">
        <v>240</v>
      </c>
      <c r="CC694" s="5" t="s">
        <v>240</v>
      </c>
      <c r="CG694" s="5" t="s">
        <v>617</v>
      </c>
      <c r="CH694" s="5" t="s">
        <v>305</v>
      </c>
      <c r="CI694" s="5" t="s">
        <v>240</v>
      </c>
      <c r="CL694" s="6" t="s">
        <v>261</v>
      </c>
      <c r="CM694" s="5" t="s">
        <v>240</v>
      </c>
      <c r="CN694" s="5" t="s">
        <v>263</v>
      </c>
      <c r="CO694" s="5" t="s">
        <v>240</v>
      </c>
      <c r="CP694" s="5" t="s">
        <v>240</v>
      </c>
      <c r="CQ694" s="5">
        <v>0</v>
      </c>
      <c r="CR694" s="5" t="s">
        <v>306</v>
      </c>
      <c r="CS694" s="5" t="s">
        <v>307</v>
      </c>
      <c r="CT694" s="5" t="s">
        <v>307</v>
      </c>
      <c r="CU694" s="5" t="s">
        <v>260</v>
      </c>
      <c r="CX694" s="7">
        <f>485590</f>
        <v>485590</v>
      </c>
      <c r="CY694" s="7">
        <f>0</f>
        <v>0</v>
      </c>
      <c r="DA694" s="7">
        <f>0</f>
        <v>0</v>
      </c>
      <c r="DC694" s="5" t="s">
        <v>309</v>
      </c>
      <c r="DD694" s="5" t="s">
        <v>240</v>
      </c>
      <c r="DF694" s="5" t="s">
        <v>450</v>
      </c>
      <c r="DG694" s="7">
        <f>0</f>
        <v>0</v>
      </c>
      <c r="DI694" s="5" t="s">
        <v>450</v>
      </c>
      <c r="DJ694" s="5" t="s">
        <v>240</v>
      </c>
      <c r="DK694" s="5" t="s">
        <v>240</v>
      </c>
      <c r="DL694" s="5" t="s">
        <v>240</v>
      </c>
      <c r="DP694" s="5" t="s">
        <v>240</v>
      </c>
      <c r="DQ694" s="5" t="s">
        <v>240</v>
      </c>
      <c r="DR694" s="5" t="s">
        <v>240</v>
      </c>
      <c r="DS694" s="5" t="s">
        <v>240</v>
      </c>
      <c r="DV694" s="5" t="s">
        <v>1502</v>
      </c>
      <c r="DW694" s="5" t="s">
        <v>795</v>
      </c>
      <c r="HO694" s="5" t="s">
        <v>312</v>
      </c>
    </row>
    <row r="695" spans="1:223" x14ac:dyDescent="0.4">
      <c r="A695" s="5">
        <v>1557</v>
      </c>
      <c r="B695" s="5">
        <v>1</v>
      </c>
      <c r="C695" s="5">
        <v>1</v>
      </c>
      <c r="D695" s="5" t="s">
        <v>723</v>
      </c>
      <c r="E695" s="5" t="s">
        <v>725</v>
      </c>
      <c r="F695" s="5" t="s">
        <v>254</v>
      </c>
      <c r="G695" s="5" t="s">
        <v>240</v>
      </c>
      <c r="H695" s="6" t="s">
        <v>933</v>
      </c>
      <c r="I695" s="5" t="s">
        <v>932</v>
      </c>
      <c r="J695" s="8">
        <f>1102</f>
        <v>1102</v>
      </c>
      <c r="K695" s="5" t="s">
        <v>308</v>
      </c>
      <c r="L695" s="7">
        <f>12122</f>
        <v>12122</v>
      </c>
      <c r="M695" s="7">
        <f>12122</f>
        <v>12122</v>
      </c>
      <c r="N695" s="5" t="s">
        <v>242</v>
      </c>
      <c r="O695" s="5">
        <v>1</v>
      </c>
      <c r="P695" s="5" t="s">
        <v>294</v>
      </c>
      <c r="Q695" s="5" t="s">
        <v>613</v>
      </c>
      <c r="R695" s="5" t="s">
        <v>240</v>
      </c>
      <c r="S695" s="5" t="s">
        <v>240</v>
      </c>
      <c r="T695" s="5" t="s">
        <v>296</v>
      </c>
      <c r="U695" s="5" t="s">
        <v>244</v>
      </c>
      <c r="V695" s="5" t="s">
        <v>240</v>
      </c>
      <c r="Y695" s="5" t="s">
        <v>240</v>
      </c>
      <c r="Z695" s="6" t="s">
        <v>298</v>
      </c>
      <c r="AB695" s="6" t="s">
        <v>240</v>
      </c>
      <c r="AE695" s="6" t="s">
        <v>299</v>
      </c>
      <c r="AF695" s="5" t="s">
        <v>248</v>
      </c>
      <c r="AG695" s="5" t="s">
        <v>249</v>
      </c>
      <c r="AW695" s="5" t="s">
        <v>251</v>
      </c>
      <c r="AX695" s="5" t="s">
        <v>240</v>
      </c>
      <c r="AY695" s="5" t="s">
        <v>253</v>
      </c>
      <c r="AZ695" s="5" t="s">
        <v>240</v>
      </c>
      <c r="BA695" s="5" t="s">
        <v>255</v>
      </c>
      <c r="BB695" s="5" t="s">
        <v>240</v>
      </c>
      <c r="BD695" s="5" t="s">
        <v>240</v>
      </c>
      <c r="BF695" s="5" t="s">
        <v>301</v>
      </c>
      <c r="BG695" s="6" t="s">
        <v>299</v>
      </c>
      <c r="BH695" s="5" t="s">
        <v>302</v>
      </c>
      <c r="BI695" s="5" t="s">
        <v>303</v>
      </c>
      <c r="BJ695" s="5" t="s">
        <v>240</v>
      </c>
      <c r="BK695" s="8">
        <f>0</f>
        <v>0</v>
      </c>
      <c r="BL695" s="7">
        <f>0</f>
        <v>0</v>
      </c>
      <c r="BM695" s="5" t="s">
        <v>258</v>
      </c>
      <c r="BN695" s="5" t="s">
        <v>259</v>
      </c>
      <c r="CB695" s="5" t="s">
        <v>240</v>
      </c>
      <c r="CC695" s="5" t="s">
        <v>240</v>
      </c>
      <c r="CG695" s="5" t="s">
        <v>617</v>
      </c>
      <c r="CH695" s="5" t="s">
        <v>305</v>
      </c>
      <c r="CI695" s="5" t="s">
        <v>240</v>
      </c>
      <c r="CL695" s="6" t="s">
        <v>261</v>
      </c>
      <c r="CM695" s="5" t="s">
        <v>240</v>
      </c>
      <c r="CN695" s="5" t="s">
        <v>263</v>
      </c>
      <c r="CO695" s="5" t="s">
        <v>240</v>
      </c>
      <c r="CP695" s="5" t="s">
        <v>240</v>
      </c>
      <c r="CQ695" s="5">
        <v>0</v>
      </c>
      <c r="CR695" s="5" t="s">
        <v>306</v>
      </c>
      <c r="CS695" s="5" t="s">
        <v>307</v>
      </c>
      <c r="CT695" s="5" t="s">
        <v>307</v>
      </c>
      <c r="CU695" s="5" t="s">
        <v>260</v>
      </c>
      <c r="CX695" s="7">
        <f>72520</f>
        <v>72520</v>
      </c>
      <c r="CY695" s="7">
        <f>0</f>
        <v>0</v>
      </c>
      <c r="DA695" s="7">
        <f>0</f>
        <v>0</v>
      </c>
      <c r="DC695" s="5" t="s">
        <v>309</v>
      </c>
      <c r="DD695" s="5" t="s">
        <v>240</v>
      </c>
      <c r="DF695" s="5" t="s">
        <v>450</v>
      </c>
      <c r="DG695" s="7">
        <f>0</f>
        <v>0</v>
      </c>
      <c r="DI695" s="5" t="s">
        <v>450</v>
      </c>
      <c r="DJ695" s="5" t="s">
        <v>240</v>
      </c>
      <c r="DK695" s="5" t="s">
        <v>240</v>
      </c>
      <c r="DL695" s="5" t="s">
        <v>240</v>
      </c>
      <c r="DP695" s="5" t="s">
        <v>240</v>
      </c>
      <c r="DQ695" s="5" t="s">
        <v>240</v>
      </c>
      <c r="DR695" s="5" t="s">
        <v>240</v>
      </c>
      <c r="DS695" s="5" t="s">
        <v>240</v>
      </c>
      <c r="DV695" s="5" t="s">
        <v>1502</v>
      </c>
      <c r="DW695" s="5" t="s">
        <v>797</v>
      </c>
      <c r="HO695" s="5" t="s">
        <v>312</v>
      </c>
    </row>
    <row r="696" spans="1:223" x14ac:dyDescent="0.4">
      <c r="A696" s="5">
        <v>1558</v>
      </c>
      <c r="B696" s="5">
        <v>1</v>
      </c>
      <c r="C696" s="5">
        <v>1</v>
      </c>
      <c r="D696" s="5" t="s">
        <v>723</v>
      </c>
      <c r="E696" s="5" t="s">
        <v>725</v>
      </c>
      <c r="F696" s="5" t="s">
        <v>254</v>
      </c>
      <c r="G696" s="5" t="s">
        <v>240</v>
      </c>
      <c r="H696" s="6" t="s">
        <v>930</v>
      </c>
      <c r="I696" s="5" t="s">
        <v>929</v>
      </c>
      <c r="J696" s="8">
        <f>10838</f>
        <v>10838</v>
      </c>
      <c r="K696" s="5" t="s">
        <v>308</v>
      </c>
      <c r="L696" s="7">
        <f>119218</f>
        <v>119218</v>
      </c>
      <c r="M696" s="7">
        <f>119218</f>
        <v>119218</v>
      </c>
      <c r="N696" s="5" t="s">
        <v>242</v>
      </c>
      <c r="O696" s="5">
        <v>1</v>
      </c>
      <c r="P696" s="5" t="s">
        <v>294</v>
      </c>
      <c r="Q696" s="5" t="s">
        <v>613</v>
      </c>
      <c r="R696" s="5" t="s">
        <v>240</v>
      </c>
      <c r="S696" s="5" t="s">
        <v>240</v>
      </c>
      <c r="T696" s="5" t="s">
        <v>296</v>
      </c>
      <c r="U696" s="5" t="s">
        <v>244</v>
      </c>
      <c r="V696" s="5" t="s">
        <v>240</v>
      </c>
      <c r="Y696" s="5" t="s">
        <v>240</v>
      </c>
      <c r="Z696" s="6" t="s">
        <v>298</v>
      </c>
      <c r="AB696" s="6" t="s">
        <v>240</v>
      </c>
      <c r="AE696" s="6" t="s">
        <v>299</v>
      </c>
      <c r="AF696" s="5" t="s">
        <v>248</v>
      </c>
      <c r="AG696" s="5" t="s">
        <v>249</v>
      </c>
      <c r="AW696" s="5" t="s">
        <v>251</v>
      </c>
      <c r="AX696" s="5" t="s">
        <v>240</v>
      </c>
      <c r="AY696" s="5" t="s">
        <v>253</v>
      </c>
      <c r="AZ696" s="5" t="s">
        <v>240</v>
      </c>
      <c r="BA696" s="5" t="s">
        <v>255</v>
      </c>
      <c r="BB696" s="5" t="s">
        <v>240</v>
      </c>
      <c r="BD696" s="5" t="s">
        <v>240</v>
      </c>
      <c r="BF696" s="5" t="s">
        <v>301</v>
      </c>
      <c r="BG696" s="6" t="s">
        <v>299</v>
      </c>
      <c r="BH696" s="5" t="s">
        <v>302</v>
      </c>
      <c r="BI696" s="5" t="s">
        <v>303</v>
      </c>
      <c r="BJ696" s="5" t="s">
        <v>240</v>
      </c>
      <c r="BK696" s="8">
        <f>0</f>
        <v>0</v>
      </c>
      <c r="BL696" s="7">
        <f>0</f>
        <v>0</v>
      </c>
      <c r="BM696" s="5" t="s">
        <v>258</v>
      </c>
      <c r="BN696" s="5" t="s">
        <v>259</v>
      </c>
      <c r="CB696" s="5" t="s">
        <v>240</v>
      </c>
      <c r="CC696" s="5" t="s">
        <v>240</v>
      </c>
      <c r="CG696" s="5" t="s">
        <v>617</v>
      </c>
      <c r="CH696" s="5" t="s">
        <v>305</v>
      </c>
      <c r="CI696" s="5" t="s">
        <v>240</v>
      </c>
      <c r="CL696" s="6" t="s">
        <v>261</v>
      </c>
      <c r="CM696" s="5" t="s">
        <v>240</v>
      </c>
      <c r="CN696" s="5" t="s">
        <v>263</v>
      </c>
      <c r="CO696" s="5" t="s">
        <v>240</v>
      </c>
      <c r="CP696" s="5" t="s">
        <v>240</v>
      </c>
      <c r="CQ696" s="5">
        <v>0</v>
      </c>
      <c r="CR696" s="5" t="s">
        <v>306</v>
      </c>
      <c r="CS696" s="5" t="s">
        <v>307</v>
      </c>
      <c r="CT696" s="5" t="s">
        <v>307</v>
      </c>
      <c r="CU696" s="5" t="s">
        <v>260</v>
      </c>
      <c r="CX696" s="7">
        <f>105350</f>
        <v>105350</v>
      </c>
      <c r="CY696" s="7">
        <f>0</f>
        <v>0</v>
      </c>
      <c r="DA696" s="7">
        <f>0</f>
        <v>0</v>
      </c>
      <c r="DC696" s="5" t="s">
        <v>309</v>
      </c>
      <c r="DD696" s="5" t="s">
        <v>240</v>
      </c>
      <c r="DF696" s="5" t="s">
        <v>450</v>
      </c>
      <c r="DG696" s="7">
        <f>0</f>
        <v>0</v>
      </c>
      <c r="DI696" s="5" t="s">
        <v>450</v>
      </c>
      <c r="DJ696" s="5" t="s">
        <v>240</v>
      </c>
      <c r="DK696" s="5" t="s">
        <v>240</v>
      </c>
      <c r="DL696" s="5" t="s">
        <v>240</v>
      </c>
      <c r="DP696" s="5" t="s">
        <v>240</v>
      </c>
      <c r="DQ696" s="5" t="s">
        <v>240</v>
      </c>
      <c r="DR696" s="5" t="s">
        <v>240</v>
      </c>
      <c r="DS696" s="5" t="s">
        <v>240</v>
      </c>
      <c r="DV696" s="5" t="s">
        <v>1502</v>
      </c>
      <c r="DW696" s="5" t="s">
        <v>799</v>
      </c>
      <c r="HO696" s="5" t="s">
        <v>312</v>
      </c>
    </row>
    <row r="697" spans="1:223" x14ac:dyDescent="0.4">
      <c r="A697" s="5">
        <v>1559</v>
      </c>
      <c r="B697" s="5">
        <v>1</v>
      </c>
      <c r="C697" s="5">
        <v>1</v>
      </c>
      <c r="D697" s="5" t="s">
        <v>723</v>
      </c>
      <c r="E697" s="5" t="s">
        <v>725</v>
      </c>
      <c r="F697" s="5" t="s">
        <v>254</v>
      </c>
      <c r="G697" s="5" t="s">
        <v>240</v>
      </c>
      <c r="H697" s="6" t="s">
        <v>927</v>
      </c>
      <c r="I697" s="5" t="s">
        <v>926</v>
      </c>
      <c r="J697" s="8">
        <f>296</f>
        <v>296</v>
      </c>
      <c r="K697" s="5" t="s">
        <v>308</v>
      </c>
      <c r="L697" s="7">
        <f>3256</f>
        <v>3256</v>
      </c>
      <c r="M697" s="7">
        <f>3256</f>
        <v>3256</v>
      </c>
      <c r="N697" s="5" t="s">
        <v>242</v>
      </c>
      <c r="O697" s="5">
        <v>1</v>
      </c>
      <c r="P697" s="5" t="s">
        <v>294</v>
      </c>
      <c r="Q697" s="5" t="s">
        <v>613</v>
      </c>
      <c r="R697" s="5" t="s">
        <v>240</v>
      </c>
      <c r="S697" s="5" t="s">
        <v>240</v>
      </c>
      <c r="T697" s="5" t="s">
        <v>296</v>
      </c>
      <c r="U697" s="5" t="s">
        <v>244</v>
      </c>
      <c r="V697" s="5" t="s">
        <v>240</v>
      </c>
      <c r="Y697" s="5" t="s">
        <v>240</v>
      </c>
      <c r="Z697" s="6" t="s">
        <v>298</v>
      </c>
      <c r="AB697" s="6" t="s">
        <v>240</v>
      </c>
      <c r="AE697" s="6" t="s">
        <v>299</v>
      </c>
      <c r="AF697" s="5" t="s">
        <v>248</v>
      </c>
      <c r="AG697" s="5" t="s">
        <v>249</v>
      </c>
      <c r="AW697" s="5" t="s">
        <v>251</v>
      </c>
      <c r="AX697" s="5" t="s">
        <v>240</v>
      </c>
      <c r="AY697" s="5" t="s">
        <v>253</v>
      </c>
      <c r="AZ697" s="5" t="s">
        <v>240</v>
      </c>
      <c r="BA697" s="5" t="s">
        <v>255</v>
      </c>
      <c r="BB697" s="5" t="s">
        <v>240</v>
      </c>
      <c r="BD697" s="5" t="s">
        <v>240</v>
      </c>
      <c r="BF697" s="5" t="s">
        <v>301</v>
      </c>
      <c r="BG697" s="6" t="s">
        <v>299</v>
      </c>
      <c r="BH697" s="5" t="s">
        <v>302</v>
      </c>
      <c r="BI697" s="5" t="s">
        <v>303</v>
      </c>
      <c r="BJ697" s="5" t="s">
        <v>240</v>
      </c>
      <c r="BK697" s="8">
        <f>0</f>
        <v>0</v>
      </c>
      <c r="BL697" s="7">
        <f>0</f>
        <v>0</v>
      </c>
      <c r="BM697" s="5" t="s">
        <v>258</v>
      </c>
      <c r="BN697" s="5" t="s">
        <v>259</v>
      </c>
      <c r="CB697" s="5" t="s">
        <v>240</v>
      </c>
      <c r="CC697" s="5" t="s">
        <v>240</v>
      </c>
      <c r="CG697" s="5" t="s">
        <v>617</v>
      </c>
      <c r="CH697" s="5" t="s">
        <v>305</v>
      </c>
      <c r="CI697" s="5" t="s">
        <v>240</v>
      </c>
      <c r="CL697" s="6" t="s">
        <v>261</v>
      </c>
      <c r="CM697" s="5" t="s">
        <v>240</v>
      </c>
      <c r="CN697" s="5" t="s">
        <v>263</v>
      </c>
      <c r="CO697" s="5" t="s">
        <v>240</v>
      </c>
      <c r="CP697" s="5" t="s">
        <v>240</v>
      </c>
      <c r="CQ697" s="5">
        <v>0</v>
      </c>
      <c r="CR697" s="5" t="s">
        <v>306</v>
      </c>
      <c r="CS697" s="5" t="s">
        <v>307</v>
      </c>
      <c r="CT697" s="5" t="s">
        <v>307</v>
      </c>
      <c r="CU697" s="5" t="s">
        <v>260</v>
      </c>
      <c r="CX697" s="7">
        <f>73010</f>
        <v>73010</v>
      </c>
      <c r="CY697" s="7">
        <f>0</f>
        <v>0</v>
      </c>
      <c r="DA697" s="7">
        <f>0</f>
        <v>0</v>
      </c>
      <c r="DC697" s="5" t="s">
        <v>309</v>
      </c>
      <c r="DD697" s="5" t="s">
        <v>240</v>
      </c>
      <c r="DF697" s="5" t="s">
        <v>450</v>
      </c>
      <c r="DG697" s="7">
        <f>0</f>
        <v>0</v>
      </c>
      <c r="DI697" s="5" t="s">
        <v>450</v>
      </c>
      <c r="DJ697" s="5" t="s">
        <v>240</v>
      </c>
      <c r="DK697" s="5" t="s">
        <v>240</v>
      </c>
      <c r="DL697" s="5" t="s">
        <v>240</v>
      </c>
      <c r="DP697" s="5" t="s">
        <v>240</v>
      </c>
      <c r="DQ697" s="5" t="s">
        <v>240</v>
      </c>
      <c r="DR697" s="5" t="s">
        <v>240</v>
      </c>
      <c r="DS697" s="5" t="s">
        <v>240</v>
      </c>
      <c r="DV697" s="5" t="s">
        <v>1502</v>
      </c>
      <c r="DW697" s="5" t="s">
        <v>801</v>
      </c>
      <c r="HO697" s="5" t="s">
        <v>312</v>
      </c>
    </row>
    <row r="698" spans="1:223" x14ac:dyDescent="0.4">
      <c r="A698" s="5">
        <v>1560</v>
      </c>
      <c r="B698" s="5">
        <v>1</v>
      </c>
      <c r="C698" s="5">
        <v>1</v>
      </c>
      <c r="D698" s="5" t="s">
        <v>723</v>
      </c>
      <c r="E698" s="5" t="s">
        <v>725</v>
      </c>
      <c r="F698" s="5" t="s">
        <v>254</v>
      </c>
      <c r="G698" s="5" t="s">
        <v>240</v>
      </c>
      <c r="H698" s="6" t="s">
        <v>4244</v>
      </c>
      <c r="I698" s="5" t="s">
        <v>4243</v>
      </c>
      <c r="J698" s="8">
        <f>232</f>
        <v>232</v>
      </c>
      <c r="K698" s="5" t="s">
        <v>308</v>
      </c>
      <c r="L698" s="7">
        <f>2552</f>
        <v>2552</v>
      </c>
      <c r="M698" s="7">
        <f>2552</f>
        <v>2552</v>
      </c>
      <c r="N698" s="5" t="s">
        <v>242</v>
      </c>
      <c r="O698" s="5">
        <v>1</v>
      </c>
      <c r="P698" s="5" t="s">
        <v>294</v>
      </c>
      <c r="Q698" s="5" t="s">
        <v>613</v>
      </c>
      <c r="R698" s="5" t="s">
        <v>240</v>
      </c>
      <c r="S698" s="5" t="s">
        <v>240</v>
      </c>
      <c r="T698" s="5" t="s">
        <v>296</v>
      </c>
      <c r="U698" s="5" t="s">
        <v>244</v>
      </c>
      <c r="V698" s="5" t="s">
        <v>240</v>
      </c>
      <c r="Y698" s="5" t="s">
        <v>240</v>
      </c>
      <c r="Z698" s="6" t="s">
        <v>298</v>
      </c>
      <c r="AB698" s="6" t="s">
        <v>240</v>
      </c>
      <c r="AE698" s="6" t="s">
        <v>299</v>
      </c>
      <c r="AF698" s="5" t="s">
        <v>248</v>
      </c>
      <c r="AG698" s="5" t="s">
        <v>249</v>
      </c>
      <c r="AW698" s="5" t="s">
        <v>251</v>
      </c>
      <c r="AX698" s="5" t="s">
        <v>240</v>
      </c>
      <c r="AY698" s="5" t="s">
        <v>253</v>
      </c>
      <c r="AZ698" s="5" t="s">
        <v>240</v>
      </c>
      <c r="BA698" s="5" t="s">
        <v>255</v>
      </c>
      <c r="BB698" s="5" t="s">
        <v>240</v>
      </c>
      <c r="BD698" s="5" t="s">
        <v>240</v>
      </c>
      <c r="BF698" s="5" t="s">
        <v>301</v>
      </c>
      <c r="BG698" s="6" t="s">
        <v>299</v>
      </c>
      <c r="BH698" s="5" t="s">
        <v>302</v>
      </c>
      <c r="BI698" s="5" t="s">
        <v>303</v>
      </c>
      <c r="BJ698" s="5" t="s">
        <v>240</v>
      </c>
      <c r="BK698" s="8">
        <f>0</f>
        <v>0</v>
      </c>
      <c r="BL698" s="7">
        <f>0</f>
        <v>0</v>
      </c>
      <c r="BM698" s="5" t="s">
        <v>258</v>
      </c>
      <c r="BN698" s="5" t="s">
        <v>259</v>
      </c>
      <c r="CB698" s="5" t="s">
        <v>240</v>
      </c>
      <c r="CC698" s="5" t="s">
        <v>240</v>
      </c>
      <c r="CG698" s="5" t="s">
        <v>617</v>
      </c>
      <c r="CH698" s="5" t="s">
        <v>305</v>
      </c>
      <c r="CI698" s="5" t="s">
        <v>240</v>
      </c>
      <c r="CL698" s="6" t="s">
        <v>261</v>
      </c>
      <c r="CM698" s="5" t="s">
        <v>240</v>
      </c>
      <c r="CN698" s="5" t="s">
        <v>263</v>
      </c>
      <c r="CO698" s="5" t="s">
        <v>240</v>
      </c>
      <c r="CP698" s="5" t="s">
        <v>240</v>
      </c>
      <c r="CQ698" s="5">
        <v>0</v>
      </c>
      <c r="CR698" s="5" t="s">
        <v>306</v>
      </c>
      <c r="CS698" s="5" t="s">
        <v>307</v>
      </c>
      <c r="CT698" s="5" t="s">
        <v>307</v>
      </c>
      <c r="CU698" s="5" t="s">
        <v>260</v>
      </c>
      <c r="CX698" s="7">
        <f>298900</f>
        <v>298900</v>
      </c>
      <c r="CY698" s="7">
        <f>0</f>
        <v>0</v>
      </c>
      <c r="DA698" s="7">
        <f>0</f>
        <v>0</v>
      </c>
      <c r="DC698" s="5" t="s">
        <v>309</v>
      </c>
      <c r="DD698" s="5" t="s">
        <v>240</v>
      </c>
      <c r="DF698" s="5" t="s">
        <v>450</v>
      </c>
      <c r="DG698" s="7">
        <f>0</f>
        <v>0</v>
      </c>
      <c r="DI698" s="5" t="s">
        <v>450</v>
      </c>
      <c r="DJ698" s="5" t="s">
        <v>240</v>
      </c>
      <c r="DK698" s="5" t="s">
        <v>240</v>
      </c>
      <c r="DL698" s="5" t="s">
        <v>240</v>
      </c>
      <c r="DP698" s="5" t="s">
        <v>240</v>
      </c>
      <c r="DQ698" s="5" t="s">
        <v>240</v>
      </c>
      <c r="DR698" s="5" t="s">
        <v>240</v>
      </c>
      <c r="DS698" s="5" t="s">
        <v>240</v>
      </c>
      <c r="DV698" s="5" t="s">
        <v>1502</v>
      </c>
      <c r="DW698" s="5" t="s">
        <v>804</v>
      </c>
      <c r="HO698" s="5" t="s">
        <v>312</v>
      </c>
    </row>
    <row r="699" spans="1:223" x14ac:dyDescent="0.4">
      <c r="A699" s="5">
        <v>1561</v>
      </c>
      <c r="B699" s="5">
        <v>1</v>
      </c>
      <c r="C699" s="5">
        <v>1</v>
      </c>
      <c r="D699" s="5" t="s">
        <v>723</v>
      </c>
      <c r="E699" s="5" t="s">
        <v>725</v>
      </c>
      <c r="F699" s="5" t="s">
        <v>254</v>
      </c>
      <c r="G699" s="5" t="s">
        <v>240</v>
      </c>
      <c r="H699" s="6" t="s">
        <v>922</v>
      </c>
      <c r="I699" s="5" t="s">
        <v>921</v>
      </c>
      <c r="J699" s="8">
        <f>509</f>
        <v>509</v>
      </c>
      <c r="K699" s="5" t="s">
        <v>308</v>
      </c>
      <c r="L699" s="7">
        <f>5599</f>
        <v>5599</v>
      </c>
      <c r="M699" s="7">
        <f>5599</f>
        <v>5599</v>
      </c>
      <c r="N699" s="5" t="s">
        <v>242</v>
      </c>
      <c r="O699" s="5">
        <v>1</v>
      </c>
      <c r="P699" s="5" t="s">
        <v>294</v>
      </c>
      <c r="Q699" s="5" t="s">
        <v>613</v>
      </c>
      <c r="R699" s="5" t="s">
        <v>240</v>
      </c>
      <c r="S699" s="5" t="s">
        <v>240</v>
      </c>
      <c r="T699" s="5" t="s">
        <v>296</v>
      </c>
      <c r="U699" s="5" t="s">
        <v>244</v>
      </c>
      <c r="V699" s="5" t="s">
        <v>240</v>
      </c>
      <c r="Y699" s="5" t="s">
        <v>240</v>
      </c>
      <c r="Z699" s="6" t="s">
        <v>298</v>
      </c>
      <c r="AB699" s="6" t="s">
        <v>240</v>
      </c>
      <c r="AE699" s="6" t="s">
        <v>299</v>
      </c>
      <c r="AF699" s="5" t="s">
        <v>248</v>
      </c>
      <c r="AG699" s="5" t="s">
        <v>249</v>
      </c>
      <c r="AW699" s="5" t="s">
        <v>251</v>
      </c>
      <c r="AX699" s="5" t="s">
        <v>240</v>
      </c>
      <c r="AY699" s="5" t="s">
        <v>253</v>
      </c>
      <c r="AZ699" s="5" t="s">
        <v>240</v>
      </c>
      <c r="BA699" s="5" t="s">
        <v>255</v>
      </c>
      <c r="BB699" s="5" t="s">
        <v>240</v>
      </c>
      <c r="BD699" s="5" t="s">
        <v>240</v>
      </c>
      <c r="BF699" s="5" t="s">
        <v>301</v>
      </c>
      <c r="BG699" s="6" t="s">
        <v>299</v>
      </c>
      <c r="BH699" s="5" t="s">
        <v>302</v>
      </c>
      <c r="BI699" s="5" t="s">
        <v>303</v>
      </c>
      <c r="BJ699" s="5" t="s">
        <v>240</v>
      </c>
      <c r="BK699" s="8">
        <f>0</f>
        <v>0</v>
      </c>
      <c r="BL699" s="7">
        <f>0</f>
        <v>0</v>
      </c>
      <c r="BM699" s="5" t="s">
        <v>258</v>
      </c>
      <c r="BN699" s="5" t="s">
        <v>259</v>
      </c>
      <c r="CB699" s="5" t="s">
        <v>240</v>
      </c>
      <c r="CC699" s="5" t="s">
        <v>240</v>
      </c>
      <c r="CG699" s="5" t="s">
        <v>617</v>
      </c>
      <c r="CH699" s="5" t="s">
        <v>305</v>
      </c>
      <c r="CI699" s="5" t="s">
        <v>240</v>
      </c>
      <c r="CL699" s="6" t="s">
        <v>261</v>
      </c>
      <c r="CM699" s="5" t="s">
        <v>240</v>
      </c>
      <c r="CN699" s="5" t="s">
        <v>263</v>
      </c>
      <c r="CO699" s="5" t="s">
        <v>240</v>
      </c>
      <c r="CP699" s="5" t="s">
        <v>240</v>
      </c>
      <c r="CQ699" s="5">
        <v>0</v>
      </c>
      <c r="CR699" s="5" t="s">
        <v>306</v>
      </c>
      <c r="CS699" s="5" t="s">
        <v>307</v>
      </c>
      <c r="CT699" s="5" t="s">
        <v>307</v>
      </c>
      <c r="CU699" s="5" t="s">
        <v>260</v>
      </c>
      <c r="CX699" s="7">
        <f>88690</f>
        <v>88690</v>
      </c>
      <c r="CY699" s="7">
        <f>0</f>
        <v>0</v>
      </c>
      <c r="DA699" s="7">
        <f>0</f>
        <v>0</v>
      </c>
      <c r="DC699" s="5" t="s">
        <v>309</v>
      </c>
      <c r="DD699" s="5" t="s">
        <v>240</v>
      </c>
      <c r="DF699" s="5" t="s">
        <v>450</v>
      </c>
      <c r="DG699" s="7">
        <f>0</f>
        <v>0</v>
      </c>
      <c r="DI699" s="5" t="s">
        <v>450</v>
      </c>
      <c r="DJ699" s="5" t="s">
        <v>240</v>
      </c>
      <c r="DK699" s="5" t="s">
        <v>240</v>
      </c>
      <c r="DL699" s="5" t="s">
        <v>240</v>
      </c>
      <c r="DP699" s="5" t="s">
        <v>240</v>
      </c>
      <c r="DQ699" s="5" t="s">
        <v>240</v>
      </c>
      <c r="DR699" s="5" t="s">
        <v>240</v>
      </c>
      <c r="DS699" s="5" t="s">
        <v>240</v>
      </c>
      <c r="DV699" s="5" t="s">
        <v>1502</v>
      </c>
      <c r="DW699" s="5" t="s">
        <v>808</v>
      </c>
      <c r="HO699" s="5" t="s">
        <v>312</v>
      </c>
    </row>
    <row r="700" spans="1:223" x14ac:dyDescent="0.4">
      <c r="A700" s="5">
        <v>1562</v>
      </c>
      <c r="B700" s="5">
        <v>1</v>
      </c>
      <c r="C700" s="5">
        <v>1</v>
      </c>
      <c r="D700" s="5" t="s">
        <v>723</v>
      </c>
      <c r="E700" s="5" t="s">
        <v>725</v>
      </c>
      <c r="F700" s="5" t="s">
        <v>254</v>
      </c>
      <c r="G700" s="5" t="s">
        <v>240</v>
      </c>
      <c r="H700" s="6" t="s">
        <v>919</v>
      </c>
      <c r="I700" s="5" t="s">
        <v>918</v>
      </c>
      <c r="J700" s="8">
        <f>2546</f>
        <v>2546</v>
      </c>
      <c r="K700" s="5" t="s">
        <v>308</v>
      </c>
      <c r="L700" s="7">
        <f>28006</f>
        <v>28006</v>
      </c>
      <c r="M700" s="7">
        <f>28006</f>
        <v>28006</v>
      </c>
      <c r="N700" s="5" t="s">
        <v>242</v>
      </c>
      <c r="O700" s="5">
        <v>1</v>
      </c>
      <c r="P700" s="5" t="s">
        <v>294</v>
      </c>
      <c r="Q700" s="5" t="s">
        <v>613</v>
      </c>
      <c r="R700" s="5" t="s">
        <v>240</v>
      </c>
      <c r="S700" s="5" t="s">
        <v>240</v>
      </c>
      <c r="T700" s="5" t="s">
        <v>296</v>
      </c>
      <c r="U700" s="5" t="s">
        <v>244</v>
      </c>
      <c r="V700" s="5" t="s">
        <v>240</v>
      </c>
      <c r="Y700" s="5" t="s">
        <v>240</v>
      </c>
      <c r="Z700" s="6" t="s">
        <v>298</v>
      </c>
      <c r="AB700" s="6" t="s">
        <v>240</v>
      </c>
      <c r="AE700" s="6" t="s">
        <v>299</v>
      </c>
      <c r="AF700" s="5" t="s">
        <v>248</v>
      </c>
      <c r="AG700" s="5" t="s">
        <v>249</v>
      </c>
      <c r="AW700" s="5" t="s">
        <v>251</v>
      </c>
      <c r="AX700" s="5" t="s">
        <v>240</v>
      </c>
      <c r="AY700" s="5" t="s">
        <v>253</v>
      </c>
      <c r="AZ700" s="5" t="s">
        <v>240</v>
      </c>
      <c r="BA700" s="5" t="s">
        <v>255</v>
      </c>
      <c r="BB700" s="5" t="s">
        <v>240</v>
      </c>
      <c r="BD700" s="5" t="s">
        <v>240</v>
      </c>
      <c r="BF700" s="5" t="s">
        <v>301</v>
      </c>
      <c r="BG700" s="6" t="s">
        <v>299</v>
      </c>
      <c r="BH700" s="5" t="s">
        <v>302</v>
      </c>
      <c r="BI700" s="5" t="s">
        <v>303</v>
      </c>
      <c r="BJ700" s="5" t="s">
        <v>240</v>
      </c>
      <c r="BK700" s="8">
        <f>0</f>
        <v>0</v>
      </c>
      <c r="BL700" s="7">
        <f>0</f>
        <v>0</v>
      </c>
      <c r="BM700" s="5" t="s">
        <v>258</v>
      </c>
      <c r="BN700" s="5" t="s">
        <v>259</v>
      </c>
      <c r="CB700" s="5" t="s">
        <v>240</v>
      </c>
      <c r="CC700" s="5" t="s">
        <v>240</v>
      </c>
      <c r="CG700" s="5" t="s">
        <v>617</v>
      </c>
      <c r="CH700" s="5" t="s">
        <v>305</v>
      </c>
      <c r="CI700" s="5" t="s">
        <v>240</v>
      </c>
      <c r="CL700" s="6" t="s">
        <v>261</v>
      </c>
      <c r="CM700" s="5" t="s">
        <v>240</v>
      </c>
      <c r="CN700" s="5" t="s">
        <v>263</v>
      </c>
      <c r="CO700" s="5" t="s">
        <v>240</v>
      </c>
      <c r="CP700" s="5" t="s">
        <v>240</v>
      </c>
      <c r="CQ700" s="5">
        <v>0</v>
      </c>
      <c r="CR700" s="5" t="s">
        <v>306</v>
      </c>
      <c r="CS700" s="5" t="s">
        <v>307</v>
      </c>
      <c r="CT700" s="5" t="s">
        <v>307</v>
      </c>
      <c r="CU700" s="5" t="s">
        <v>260</v>
      </c>
      <c r="CX700" s="7">
        <f>6370</f>
        <v>6370</v>
      </c>
      <c r="CY700" s="7">
        <f>0</f>
        <v>0</v>
      </c>
      <c r="DA700" s="7">
        <f>0</f>
        <v>0</v>
      </c>
      <c r="DC700" s="5" t="s">
        <v>309</v>
      </c>
      <c r="DD700" s="5" t="s">
        <v>240</v>
      </c>
      <c r="DF700" s="5" t="s">
        <v>450</v>
      </c>
      <c r="DG700" s="7">
        <f>0</f>
        <v>0</v>
      </c>
      <c r="DI700" s="5" t="s">
        <v>450</v>
      </c>
      <c r="DJ700" s="5" t="s">
        <v>240</v>
      </c>
      <c r="DK700" s="5" t="s">
        <v>240</v>
      </c>
      <c r="DL700" s="5" t="s">
        <v>240</v>
      </c>
      <c r="DP700" s="5" t="s">
        <v>240</v>
      </c>
      <c r="DQ700" s="5" t="s">
        <v>240</v>
      </c>
      <c r="DR700" s="5" t="s">
        <v>240</v>
      </c>
      <c r="DS700" s="5" t="s">
        <v>240</v>
      </c>
      <c r="DV700" s="5" t="s">
        <v>1502</v>
      </c>
      <c r="DW700" s="5" t="s">
        <v>1260</v>
      </c>
      <c r="HO700" s="5" t="s">
        <v>312</v>
      </c>
    </row>
    <row r="701" spans="1:223" x14ac:dyDescent="0.4">
      <c r="A701" s="5">
        <v>1563</v>
      </c>
      <c r="B701" s="5">
        <v>1</v>
      </c>
      <c r="C701" s="5">
        <v>1</v>
      </c>
      <c r="D701" s="5" t="s">
        <v>723</v>
      </c>
      <c r="E701" s="5" t="s">
        <v>725</v>
      </c>
      <c r="F701" s="5" t="s">
        <v>254</v>
      </c>
      <c r="G701" s="5" t="s">
        <v>240</v>
      </c>
      <c r="H701" s="6" t="s">
        <v>916</v>
      </c>
      <c r="I701" s="5" t="s">
        <v>915</v>
      </c>
      <c r="J701" s="8">
        <f>680</f>
        <v>680</v>
      </c>
      <c r="K701" s="5" t="s">
        <v>308</v>
      </c>
      <c r="L701" s="7">
        <f>7480</f>
        <v>7480</v>
      </c>
      <c r="M701" s="7">
        <f>7480</f>
        <v>7480</v>
      </c>
      <c r="N701" s="5" t="s">
        <v>242</v>
      </c>
      <c r="O701" s="5">
        <v>1</v>
      </c>
      <c r="P701" s="5" t="s">
        <v>294</v>
      </c>
      <c r="Q701" s="5" t="s">
        <v>613</v>
      </c>
      <c r="R701" s="5" t="s">
        <v>240</v>
      </c>
      <c r="S701" s="5" t="s">
        <v>240</v>
      </c>
      <c r="T701" s="5" t="s">
        <v>296</v>
      </c>
      <c r="U701" s="5" t="s">
        <v>244</v>
      </c>
      <c r="V701" s="5" t="s">
        <v>240</v>
      </c>
      <c r="Y701" s="5" t="s">
        <v>240</v>
      </c>
      <c r="Z701" s="6" t="s">
        <v>298</v>
      </c>
      <c r="AB701" s="6" t="s">
        <v>240</v>
      </c>
      <c r="AE701" s="6" t="s">
        <v>299</v>
      </c>
      <c r="AF701" s="5" t="s">
        <v>248</v>
      </c>
      <c r="AG701" s="5" t="s">
        <v>249</v>
      </c>
      <c r="AW701" s="5" t="s">
        <v>251</v>
      </c>
      <c r="AX701" s="5" t="s">
        <v>240</v>
      </c>
      <c r="AY701" s="5" t="s">
        <v>253</v>
      </c>
      <c r="AZ701" s="5" t="s">
        <v>240</v>
      </c>
      <c r="BA701" s="5" t="s">
        <v>255</v>
      </c>
      <c r="BB701" s="5" t="s">
        <v>240</v>
      </c>
      <c r="BD701" s="5" t="s">
        <v>240</v>
      </c>
      <c r="BF701" s="5" t="s">
        <v>301</v>
      </c>
      <c r="BG701" s="6" t="s">
        <v>299</v>
      </c>
      <c r="BH701" s="5" t="s">
        <v>302</v>
      </c>
      <c r="BI701" s="5" t="s">
        <v>303</v>
      </c>
      <c r="BJ701" s="5" t="s">
        <v>240</v>
      </c>
      <c r="BK701" s="8">
        <f>0</f>
        <v>0</v>
      </c>
      <c r="BL701" s="7">
        <f>0</f>
        <v>0</v>
      </c>
      <c r="BM701" s="5" t="s">
        <v>258</v>
      </c>
      <c r="BN701" s="5" t="s">
        <v>259</v>
      </c>
      <c r="CB701" s="5" t="s">
        <v>240</v>
      </c>
      <c r="CC701" s="5" t="s">
        <v>240</v>
      </c>
      <c r="CG701" s="5" t="s">
        <v>617</v>
      </c>
      <c r="CH701" s="5" t="s">
        <v>305</v>
      </c>
      <c r="CI701" s="5" t="s">
        <v>240</v>
      </c>
      <c r="CL701" s="6" t="s">
        <v>261</v>
      </c>
      <c r="CM701" s="5" t="s">
        <v>240</v>
      </c>
      <c r="CN701" s="5" t="s">
        <v>263</v>
      </c>
      <c r="CO701" s="5" t="s">
        <v>240</v>
      </c>
      <c r="CP701" s="5" t="s">
        <v>240</v>
      </c>
      <c r="CQ701" s="5">
        <v>0</v>
      </c>
      <c r="CR701" s="5" t="s">
        <v>306</v>
      </c>
      <c r="CS701" s="5" t="s">
        <v>307</v>
      </c>
      <c r="CT701" s="5" t="s">
        <v>307</v>
      </c>
      <c r="CU701" s="5" t="s">
        <v>260</v>
      </c>
      <c r="CX701" s="7">
        <f>109270</f>
        <v>109270</v>
      </c>
      <c r="CY701" s="7">
        <f>0</f>
        <v>0</v>
      </c>
      <c r="DA701" s="7">
        <f>0</f>
        <v>0</v>
      </c>
      <c r="DC701" s="5" t="s">
        <v>309</v>
      </c>
      <c r="DD701" s="5" t="s">
        <v>240</v>
      </c>
      <c r="DF701" s="5" t="s">
        <v>450</v>
      </c>
      <c r="DG701" s="7">
        <f>0</f>
        <v>0</v>
      </c>
      <c r="DI701" s="5" t="s">
        <v>450</v>
      </c>
      <c r="DJ701" s="5" t="s">
        <v>240</v>
      </c>
      <c r="DK701" s="5" t="s">
        <v>240</v>
      </c>
      <c r="DL701" s="5" t="s">
        <v>240</v>
      </c>
      <c r="DP701" s="5" t="s">
        <v>240</v>
      </c>
      <c r="DQ701" s="5" t="s">
        <v>240</v>
      </c>
      <c r="DR701" s="5" t="s">
        <v>240</v>
      </c>
      <c r="DS701" s="5" t="s">
        <v>240</v>
      </c>
      <c r="DV701" s="5" t="s">
        <v>1502</v>
      </c>
      <c r="DW701" s="5" t="s">
        <v>816</v>
      </c>
      <c r="HO701" s="5" t="s">
        <v>312</v>
      </c>
    </row>
    <row r="702" spans="1:223" x14ac:dyDescent="0.4">
      <c r="A702" s="5">
        <v>1564</v>
      </c>
      <c r="B702" s="5">
        <v>1</v>
      </c>
      <c r="C702" s="5">
        <v>1</v>
      </c>
      <c r="D702" s="5" t="s">
        <v>723</v>
      </c>
      <c r="E702" s="5" t="s">
        <v>725</v>
      </c>
      <c r="F702" s="5" t="s">
        <v>254</v>
      </c>
      <c r="G702" s="5" t="s">
        <v>240</v>
      </c>
      <c r="H702" s="6" t="s">
        <v>913</v>
      </c>
      <c r="I702" s="5" t="s">
        <v>912</v>
      </c>
      <c r="J702" s="8">
        <f>2030.15</f>
        <v>2030.15</v>
      </c>
      <c r="K702" s="5" t="s">
        <v>308</v>
      </c>
      <c r="L702" s="7">
        <f>22331</f>
        <v>22331</v>
      </c>
      <c r="M702" s="7">
        <f>22331</f>
        <v>22331</v>
      </c>
      <c r="N702" s="5" t="s">
        <v>242</v>
      </c>
      <c r="O702" s="5">
        <v>1</v>
      </c>
      <c r="P702" s="5" t="s">
        <v>294</v>
      </c>
      <c r="Q702" s="5" t="s">
        <v>613</v>
      </c>
      <c r="R702" s="5" t="s">
        <v>240</v>
      </c>
      <c r="S702" s="5" t="s">
        <v>240</v>
      </c>
      <c r="T702" s="5" t="s">
        <v>296</v>
      </c>
      <c r="U702" s="5" t="s">
        <v>244</v>
      </c>
      <c r="V702" s="5" t="s">
        <v>240</v>
      </c>
      <c r="Y702" s="5" t="s">
        <v>240</v>
      </c>
      <c r="Z702" s="6" t="s">
        <v>298</v>
      </c>
      <c r="AB702" s="6" t="s">
        <v>240</v>
      </c>
      <c r="AE702" s="6" t="s">
        <v>299</v>
      </c>
      <c r="AF702" s="5" t="s">
        <v>248</v>
      </c>
      <c r="AG702" s="5" t="s">
        <v>249</v>
      </c>
      <c r="AW702" s="5" t="s">
        <v>251</v>
      </c>
      <c r="AX702" s="5" t="s">
        <v>240</v>
      </c>
      <c r="AY702" s="5" t="s">
        <v>253</v>
      </c>
      <c r="AZ702" s="5" t="s">
        <v>240</v>
      </c>
      <c r="BA702" s="5" t="s">
        <v>255</v>
      </c>
      <c r="BB702" s="5" t="s">
        <v>240</v>
      </c>
      <c r="BD702" s="5" t="s">
        <v>240</v>
      </c>
      <c r="BF702" s="5" t="s">
        <v>301</v>
      </c>
      <c r="BG702" s="6" t="s">
        <v>299</v>
      </c>
      <c r="BH702" s="5" t="s">
        <v>302</v>
      </c>
      <c r="BI702" s="5" t="s">
        <v>303</v>
      </c>
      <c r="BJ702" s="5" t="s">
        <v>240</v>
      </c>
      <c r="BK702" s="8">
        <f>0</f>
        <v>0</v>
      </c>
      <c r="BL702" s="7">
        <f>0</f>
        <v>0</v>
      </c>
      <c r="BM702" s="5" t="s">
        <v>258</v>
      </c>
      <c r="BN702" s="5" t="s">
        <v>259</v>
      </c>
      <c r="CB702" s="5" t="s">
        <v>240</v>
      </c>
      <c r="CC702" s="5" t="s">
        <v>240</v>
      </c>
      <c r="CG702" s="5" t="s">
        <v>617</v>
      </c>
      <c r="CH702" s="5" t="s">
        <v>305</v>
      </c>
      <c r="CI702" s="5" t="s">
        <v>240</v>
      </c>
      <c r="CL702" s="6" t="s">
        <v>261</v>
      </c>
      <c r="CM702" s="5" t="s">
        <v>240</v>
      </c>
      <c r="CN702" s="5" t="s">
        <v>263</v>
      </c>
      <c r="CO702" s="5" t="s">
        <v>240</v>
      </c>
      <c r="CP702" s="5" t="s">
        <v>240</v>
      </c>
      <c r="CQ702" s="5">
        <v>0</v>
      </c>
      <c r="CR702" s="5" t="s">
        <v>306</v>
      </c>
      <c r="CS702" s="5" t="s">
        <v>307</v>
      </c>
      <c r="CT702" s="5" t="s">
        <v>307</v>
      </c>
      <c r="CU702" s="5" t="s">
        <v>260</v>
      </c>
      <c r="CX702" s="7">
        <f>5390</f>
        <v>5390</v>
      </c>
      <c r="CY702" s="7">
        <f>0</f>
        <v>0</v>
      </c>
      <c r="DA702" s="7">
        <f>0</f>
        <v>0</v>
      </c>
      <c r="DC702" s="5" t="s">
        <v>309</v>
      </c>
      <c r="DD702" s="5" t="s">
        <v>240</v>
      </c>
      <c r="DF702" s="5" t="s">
        <v>450</v>
      </c>
      <c r="DG702" s="7">
        <f>0</f>
        <v>0</v>
      </c>
      <c r="DI702" s="5" t="s">
        <v>450</v>
      </c>
      <c r="DJ702" s="5" t="s">
        <v>240</v>
      </c>
      <c r="DK702" s="5" t="s">
        <v>240</v>
      </c>
      <c r="DL702" s="5" t="s">
        <v>240</v>
      </c>
      <c r="DP702" s="5" t="s">
        <v>240</v>
      </c>
      <c r="DQ702" s="5" t="s">
        <v>240</v>
      </c>
      <c r="DR702" s="5" t="s">
        <v>240</v>
      </c>
      <c r="DS702" s="5" t="s">
        <v>240</v>
      </c>
      <c r="DV702" s="5" t="s">
        <v>1502</v>
      </c>
      <c r="DW702" s="5" t="s">
        <v>818</v>
      </c>
      <c r="HO702" s="5" t="s">
        <v>312</v>
      </c>
    </row>
    <row r="703" spans="1:223" x14ac:dyDescent="0.4">
      <c r="A703" s="5">
        <v>1565</v>
      </c>
      <c r="B703" s="5">
        <v>1</v>
      </c>
      <c r="C703" s="5">
        <v>1</v>
      </c>
      <c r="D703" s="5" t="s">
        <v>723</v>
      </c>
      <c r="E703" s="5" t="s">
        <v>725</v>
      </c>
      <c r="F703" s="5" t="s">
        <v>254</v>
      </c>
      <c r="G703" s="5" t="s">
        <v>240</v>
      </c>
      <c r="H703" s="6" t="s">
        <v>910</v>
      </c>
      <c r="I703" s="5" t="s">
        <v>909</v>
      </c>
      <c r="J703" s="8">
        <f>1621</f>
        <v>1621</v>
      </c>
      <c r="K703" s="5" t="s">
        <v>308</v>
      </c>
      <c r="L703" s="7">
        <f>17831</f>
        <v>17831</v>
      </c>
      <c r="M703" s="7">
        <f>17831</f>
        <v>17831</v>
      </c>
      <c r="N703" s="5" t="s">
        <v>242</v>
      </c>
      <c r="O703" s="5">
        <v>1</v>
      </c>
      <c r="P703" s="5" t="s">
        <v>294</v>
      </c>
      <c r="Q703" s="5" t="s">
        <v>613</v>
      </c>
      <c r="R703" s="5" t="s">
        <v>240</v>
      </c>
      <c r="S703" s="5" t="s">
        <v>240</v>
      </c>
      <c r="T703" s="5" t="s">
        <v>296</v>
      </c>
      <c r="U703" s="5" t="s">
        <v>244</v>
      </c>
      <c r="V703" s="5" t="s">
        <v>240</v>
      </c>
      <c r="Y703" s="5" t="s">
        <v>240</v>
      </c>
      <c r="Z703" s="6" t="s">
        <v>298</v>
      </c>
      <c r="AB703" s="6" t="s">
        <v>240</v>
      </c>
      <c r="AE703" s="6" t="s">
        <v>299</v>
      </c>
      <c r="AF703" s="5" t="s">
        <v>248</v>
      </c>
      <c r="AG703" s="5" t="s">
        <v>249</v>
      </c>
      <c r="AW703" s="5" t="s">
        <v>251</v>
      </c>
      <c r="AX703" s="5" t="s">
        <v>240</v>
      </c>
      <c r="AY703" s="5" t="s">
        <v>253</v>
      </c>
      <c r="AZ703" s="5" t="s">
        <v>240</v>
      </c>
      <c r="BA703" s="5" t="s">
        <v>255</v>
      </c>
      <c r="BB703" s="5" t="s">
        <v>240</v>
      </c>
      <c r="BD703" s="5" t="s">
        <v>240</v>
      </c>
      <c r="BF703" s="5" t="s">
        <v>301</v>
      </c>
      <c r="BG703" s="6" t="s">
        <v>299</v>
      </c>
      <c r="BH703" s="5" t="s">
        <v>302</v>
      </c>
      <c r="BI703" s="5" t="s">
        <v>303</v>
      </c>
      <c r="BJ703" s="5" t="s">
        <v>240</v>
      </c>
      <c r="BK703" s="8">
        <f>0</f>
        <v>0</v>
      </c>
      <c r="BL703" s="7">
        <f>0</f>
        <v>0</v>
      </c>
      <c r="BM703" s="5" t="s">
        <v>258</v>
      </c>
      <c r="BN703" s="5" t="s">
        <v>259</v>
      </c>
      <c r="CB703" s="5" t="s">
        <v>240</v>
      </c>
      <c r="CC703" s="5" t="s">
        <v>240</v>
      </c>
      <c r="CG703" s="5" t="s">
        <v>617</v>
      </c>
      <c r="CH703" s="5" t="s">
        <v>305</v>
      </c>
      <c r="CI703" s="5" t="s">
        <v>240</v>
      </c>
      <c r="CL703" s="6" t="s">
        <v>261</v>
      </c>
      <c r="CM703" s="5" t="s">
        <v>240</v>
      </c>
      <c r="CN703" s="5" t="s">
        <v>263</v>
      </c>
      <c r="CO703" s="5" t="s">
        <v>240</v>
      </c>
      <c r="CP703" s="5" t="s">
        <v>240</v>
      </c>
      <c r="CQ703" s="5">
        <v>0</v>
      </c>
      <c r="CR703" s="5" t="s">
        <v>306</v>
      </c>
      <c r="CS703" s="5" t="s">
        <v>307</v>
      </c>
      <c r="CT703" s="5" t="s">
        <v>307</v>
      </c>
      <c r="CU703" s="5" t="s">
        <v>260</v>
      </c>
      <c r="CX703" s="7">
        <f>8330</f>
        <v>8330</v>
      </c>
      <c r="CY703" s="7">
        <f>0</f>
        <v>0</v>
      </c>
      <c r="DA703" s="7">
        <f>0</f>
        <v>0</v>
      </c>
      <c r="DC703" s="5" t="s">
        <v>309</v>
      </c>
      <c r="DD703" s="5" t="s">
        <v>240</v>
      </c>
      <c r="DF703" s="5" t="s">
        <v>450</v>
      </c>
      <c r="DG703" s="7">
        <f>0</f>
        <v>0</v>
      </c>
      <c r="DI703" s="5" t="s">
        <v>450</v>
      </c>
      <c r="DJ703" s="5" t="s">
        <v>240</v>
      </c>
      <c r="DK703" s="5" t="s">
        <v>240</v>
      </c>
      <c r="DL703" s="5" t="s">
        <v>240</v>
      </c>
      <c r="DP703" s="5" t="s">
        <v>240</v>
      </c>
      <c r="DQ703" s="5" t="s">
        <v>240</v>
      </c>
      <c r="DR703" s="5" t="s">
        <v>240</v>
      </c>
      <c r="DS703" s="5" t="s">
        <v>240</v>
      </c>
      <c r="DV703" s="5" t="s">
        <v>1502</v>
      </c>
      <c r="DW703" s="5" t="s">
        <v>820</v>
      </c>
      <c r="HO703" s="5" t="s">
        <v>312</v>
      </c>
    </row>
    <row r="704" spans="1:223" x14ac:dyDescent="0.4">
      <c r="A704" s="5">
        <v>1566</v>
      </c>
      <c r="B704" s="5">
        <v>1</v>
      </c>
      <c r="C704" s="5">
        <v>1</v>
      </c>
      <c r="D704" s="5" t="s">
        <v>723</v>
      </c>
      <c r="E704" s="5" t="s">
        <v>725</v>
      </c>
      <c r="F704" s="5" t="s">
        <v>254</v>
      </c>
      <c r="G704" s="5" t="s">
        <v>240</v>
      </c>
      <c r="H704" s="6" t="s">
        <v>907</v>
      </c>
      <c r="I704" s="5" t="s">
        <v>906</v>
      </c>
      <c r="J704" s="8">
        <f>1604</f>
        <v>1604</v>
      </c>
      <c r="K704" s="5" t="s">
        <v>308</v>
      </c>
      <c r="L704" s="7">
        <f>17644</f>
        <v>17644</v>
      </c>
      <c r="M704" s="7">
        <f>17644</f>
        <v>17644</v>
      </c>
      <c r="N704" s="5" t="s">
        <v>242</v>
      </c>
      <c r="O704" s="5">
        <v>1</v>
      </c>
      <c r="P704" s="5" t="s">
        <v>294</v>
      </c>
      <c r="Q704" s="5" t="s">
        <v>613</v>
      </c>
      <c r="R704" s="5" t="s">
        <v>240</v>
      </c>
      <c r="S704" s="5" t="s">
        <v>240</v>
      </c>
      <c r="T704" s="5" t="s">
        <v>243</v>
      </c>
      <c r="U704" s="5" t="s">
        <v>244</v>
      </c>
      <c r="V704" s="5" t="s">
        <v>240</v>
      </c>
      <c r="Y704" s="5" t="s">
        <v>240</v>
      </c>
      <c r="Z704" s="6" t="s">
        <v>298</v>
      </c>
      <c r="AB704" s="6" t="s">
        <v>240</v>
      </c>
      <c r="AE704" s="6" t="s">
        <v>299</v>
      </c>
      <c r="AF704" s="5" t="s">
        <v>248</v>
      </c>
      <c r="AG704" s="5" t="s">
        <v>249</v>
      </c>
      <c r="AW704" s="5" t="s">
        <v>251</v>
      </c>
      <c r="AX704" s="5" t="s">
        <v>240</v>
      </c>
      <c r="AY704" s="5" t="s">
        <v>253</v>
      </c>
      <c r="AZ704" s="5" t="s">
        <v>240</v>
      </c>
      <c r="BA704" s="5" t="s">
        <v>255</v>
      </c>
      <c r="BB704" s="5" t="s">
        <v>240</v>
      </c>
      <c r="BD704" s="5" t="s">
        <v>240</v>
      </c>
      <c r="BF704" s="5" t="s">
        <v>447</v>
      </c>
      <c r="BG704" s="6" t="s">
        <v>1526</v>
      </c>
      <c r="BH704" s="5" t="s">
        <v>302</v>
      </c>
      <c r="BI704" s="5" t="s">
        <v>303</v>
      </c>
      <c r="BJ704" s="5" t="s">
        <v>240</v>
      </c>
      <c r="BK704" s="8">
        <f>0</f>
        <v>0</v>
      </c>
      <c r="BL704" s="7">
        <f>0</f>
        <v>0</v>
      </c>
      <c r="BM704" s="5" t="s">
        <v>258</v>
      </c>
      <c r="BN704" s="5" t="s">
        <v>259</v>
      </c>
      <c r="CB704" s="5" t="s">
        <v>240</v>
      </c>
      <c r="CC704" s="5" t="s">
        <v>240</v>
      </c>
      <c r="CG704" s="5" t="s">
        <v>617</v>
      </c>
      <c r="CH704" s="5" t="s">
        <v>305</v>
      </c>
      <c r="CI704" s="5" t="s">
        <v>240</v>
      </c>
      <c r="CL704" s="6" t="s">
        <v>261</v>
      </c>
      <c r="CM704" s="5" t="s">
        <v>240</v>
      </c>
      <c r="CN704" s="5" t="s">
        <v>263</v>
      </c>
      <c r="CO704" s="5" t="s">
        <v>240</v>
      </c>
      <c r="CP704" s="5" t="s">
        <v>240</v>
      </c>
      <c r="CQ704" s="5">
        <v>0</v>
      </c>
      <c r="CR704" s="5" t="s">
        <v>306</v>
      </c>
      <c r="CS704" s="5" t="s">
        <v>307</v>
      </c>
      <c r="CT704" s="5" t="s">
        <v>307</v>
      </c>
      <c r="CU704" s="5" t="s">
        <v>260</v>
      </c>
      <c r="CX704" s="7">
        <f>396</f>
        <v>396</v>
      </c>
      <c r="CY704" s="7">
        <f>0</f>
        <v>0</v>
      </c>
      <c r="DA704" s="7">
        <f>0</f>
        <v>0</v>
      </c>
      <c r="DC704" s="5" t="s">
        <v>1338</v>
      </c>
      <c r="DD704" s="5" t="s">
        <v>240</v>
      </c>
      <c r="DF704" s="5" t="s">
        <v>450</v>
      </c>
      <c r="DG704" s="7">
        <f>0</f>
        <v>0</v>
      </c>
      <c r="DI704" s="5" t="s">
        <v>1338</v>
      </c>
      <c r="DJ704" s="5" t="s">
        <v>240</v>
      </c>
      <c r="DK704" s="5" t="s">
        <v>240</v>
      </c>
      <c r="DL704" s="5" t="s">
        <v>240</v>
      </c>
      <c r="DP704" s="5" t="s">
        <v>240</v>
      </c>
      <c r="DQ704" s="5" t="s">
        <v>240</v>
      </c>
      <c r="DR704" s="5" t="s">
        <v>240</v>
      </c>
      <c r="DS704" s="5" t="s">
        <v>240</v>
      </c>
      <c r="DV704" s="5" t="s">
        <v>1502</v>
      </c>
      <c r="DW704" s="5" t="s">
        <v>691</v>
      </c>
      <c r="HO704" s="5" t="s">
        <v>312</v>
      </c>
    </row>
    <row r="705" spans="1:223" x14ac:dyDescent="0.4">
      <c r="A705" s="5">
        <v>1567</v>
      </c>
      <c r="B705" s="5">
        <v>1</v>
      </c>
      <c r="C705" s="5">
        <v>1</v>
      </c>
      <c r="D705" s="5" t="s">
        <v>723</v>
      </c>
      <c r="E705" s="5" t="s">
        <v>725</v>
      </c>
      <c r="F705" s="5" t="s">
        <v>254</v>
      </c>
      <c r="G705" s="5" t="s">
        <v>240</v>
      </c>
      <c r="H705" s="6" t="s">
        <v>904</v>
      </c>
      <c r="I705" s="5" t="s">
        <v>903</v>
      </c>
      <c r="J705" s="8">
        <f>665</f>
        <v>665</v>
      </c>
      <c r="K705" s="5" t="s">
        <v>308</v>
      </c>
      <c r="L705" s="7">
        <f>7315</f>
        <v>7315</v>
      </c>
      <c r="M705" s="7">
        <f>7315</f>
        <v>7315</v>
      </c>
      <c r="N705" s="5" t="s">
        <v>242</v>
      </c>
      <c r="O705" s="5">
        <v>1</v>
      </c>
      <c r="P705" s="5" t="s">
        <v>294</v>
      </c>
      <c r="Q705" s="5" t="s">
        <v>613</v>
      </c>
      <c r="R705" s="5" t="s">
        <v>240</v>
      </c>
      <c r="S705" s="5" t="s">
        <v>240</v>
      </c>
      <c r="T705" s="5" t="s">
        <v>296</v>
      </c>
      <c r="U705" s="5" t="s">
        <v>244</v>
      </c>
      <c r="V705" s="5" t="s">
        <v>240</v>
      </c>
      <c r="Y705" s="5" t="s">
        <v>240</v>
      </c>
      <c r="Z705" s="6" t="s">
        <v>298</v>
      </c>
      <c r="AB705" s="6" t="s">
        <v>240</v>
      </c>
      <c r="AE705" s="6" t="s">
        <v>299</v>
      </c>
      <c r="AF705" s="5" t="s">
        <v>248</v>
      </c>
      <c r="AG705" s="5" t="s">
        <v>249</v>
      </c>
      <c r="AW705" s="5" t="s">
        <v>251</v>
      </c>
      <c r="AX705" s="5" t="s">
        <v>240</v>
      </c>
      <c r="AY705" s="5" t="s">
        <v>253</v>
      </c>
      <c r="AZ705" s="5" t="s">
        <v>240</v>
      </c>
      <c r="BA705" s="5" t="s">
        <v>255</v>
      </c>
      <c r="BB705" s="5" t="s">
        <v>240</v>
      </c>
      <c r="BD705" s="5" t="s">
        <v>240</v>
      </c>
      <c r="BF705" s="5" t="s">
        <v>301</v>
      </c>
      <c r="BG705" s="6" t="s">
        <v>299</v>
      </c>
      <c r="BH705" s="5" t="s">
        <v>302</v>
      </c>
      <c r="BI705" s="5" t="s">
        <v>303</v>
      </c>
      <c r="BJ705" s="5" t="s">
        <v>240</v>
      </c>
      <c r="BK705" s="8">
        <f>0</f>
        <v>0</v>
      </c>
      <c r="BL705" s="7">
        <f>0</f>
        <v>0</v>
      </c>
      <c r="BM705" s="5" t="s">
        <v>258</v>
      </c>
      <c r="BN705" s="5" t="s">
        <v>259</v>
      </c>
      <c r="CB705" s="5" t="s">
        <v>240</v>
      </c>
      <c r="CC705" s="5" t="s">
        <v>240</v>
      </c>
      <c r="CG705" s="5" t="s">
        <v>617</v>
      </c>
      <c r="CH705" s="5" t="s">
        <v>305</v>
      </c>
      <c r="CI705" s="5" t="s">
        <v>240</v>
      </c>
      <c r="CL705" s="6" t="s">
        <v>261</v>
      </c>
      <c r="CM705" s="5" t="s">
        <v>240</v>
      </c>
      <c r="CN705" s="5" t="s">
        <v>263</v>
      </c>
      <c r="CO705" s="5" t="s">
        <v>240</v>
      </c>
      <c r="CP705" s="5" t="s">
        <v>240</v>
      </c>
      <c r="CQ705" s="5">
        <v>0</v>
      </c>
      <c r="CR705" s="5" t="s">
        <v>306</v>
      </c>
      <c r="CS705" s="5" t="s">
        <v>307</v>
      </c>
      <c r="CT705" s="5" t="s">
        <v>307</v>
      </c>
      <c r="CU705" s="5" t="s">
        <v>260</v>
      </c>
      <c r="CX705" s="7">
        <f>52430</f>
        <v>52430</v>
      </c>
      <c r="CY705" s="7">
        <f>0</f>
        <v>0</v>
      </c>
      <c r="DA705" s="7">
        <f>0</f>
        <v>0</v>
      </c>
      <c r="DC705" s="5" t="s">
        <v>309</v>
      </c>
      <c r="DD705" s="5" t="s">
        <v>240</v>
      </c>
      <c r="DF705" s="5" t="s">
        <v>450</v>
      </c>
      <c r="DG705" s="7">
        <f>0</f>
        <v>0</v>
      </c>
      <c r="DI705" s="5" t="s">
        <v>450</v>
      </c>
      <c r="DJ705" s="5" t="s">
        <v>240</v>
      </c>
      <c r="DK705" s="5" t="s">
        <v>240</v>
      </c>
      <c r="DL705" s="5" t="s">
        <v>240</v>
      </c>
      <c r="DP705" s="5" t="s">
        <v>240</v>
      </c>
      <c r="DQ705" s="5" t="s">
        <v>240</v>
      </c>
      <c r="DR705" s="5" t="s">
        <v>240</v>
      </c>
      <c r="DS705" s="5" t="s">
        <v>240</v>
      </c>
      <c r="DV705" s="5" t="s">
        <v>1502</v>
      </c>
      <c r="DW705" s="5" t="s">
        <v>620</v>
      </c>
      <c r="HO705" s="5" t="s">
        <v>312</v>
      </c>
    </row>
    <row r="706" spans="1:223" x14ac:dyDescent="0.4">
      <c r="A706" s="5">
        <v>1568</v>
      </c>
      <c r="B706" s="5">
        <v>1</v>
      </c>
      <c r="C706" s="5">
        <v>1</v>
      </c>
      <c r="D706" s="5" t="s">
        <v>723</v>
      </c>
      <c r="E706" s="5" t="s">
        <v>725</v>
      </c>
      <c r="F706" s="5" t="s">
        <v>254</v>
      </c>
      <c r="G706" s="5" t="s">
        <v>240</v>
      </c>
      <c r="H706" s="6" t="s">
        <v>4238</v>
      </c>
      <c r="I706" s="5" t="s">
        <v>4237</v>
      </c>
      <c r="J706" s="8">
        <f>899</f>
        <v>899</v>
      </c>
      <c r="K706" s="5" t="s">
        <v>308</v>
      </c>
      <c r="L706" s="7">
        <f>9889</f>
        <v>9889</v>
      </c>
      <c r="M706" s="7">
        <f>9889</f>
        <v>9889</v>
      </c>
      <c r="N706" s="5" t="s">
        <v>242</v>
      </c>
      <c r="O706" s="5">
        <v>1</v>
      </c>
      <c r="P706" s="5" t="s">
        <v>294</v>
      </c>
      <c r="Q706" s="5" t="s">
        <v>613</v>
      </c>
      <c r="R706" s="5" t="s">
        <v>240</v>
      </c>
      <c r="S706" s="5" t="s">
        <v>240</v>
      </c>
      <c r="T706" s="5" t="s">
        <v>296</v>
      </c>
      <c r="U706" s="5" t="s">
        <v>244</v>
      </c>
      <c r="V706" s="5" t="s">
        <v>240</v>
      </c>
      <c r="Y706" s="5" t="s">
        <v>240</v>
      </c>
      <c r="Z706" s="6" t="s">
        <v>298</v>
      </c>
      <c r="AB706" s="6" t="s">
        <v>240</v>
      </c>
      <c r="AE706" s="6" t="s">
        <v>299</v>
      </c>
      <c r="AF706" s="5" t="s">
        <v>248</v>
      </c>
      <c r="AG706" s="5" t="s">
        <v>249</v>
      </c>
      <c r="AW706" s="5" t="s">
        <v>251</v>
      </c>
      <c r="AX706" s="5" t="s">
        <v>240</v>
      </c>
      <c r="AY706" s="5" t="s">
        <v>253</v>
      </c>
      <c r="AZ706" s="5" t="s">
        <v>240</v>
      </c>
      <c r="BA706" s="5" t="s">
        <v>255</v>
      </c>
      <c r="BB706" s="5" t="s">
        <v>240</v>
      </c>
      <c r="BD706" s="5" t="s">
        <v>240</v>
      </c>
      <c r="BF706" s="5" t="s">
        <v>447</v>
      </c>
      <c r="BG706" s="6" t="s">
        <v>1526</v>
      </c>
      <c r="BH706" s="5" t="s">
        <v>302</v>
      </c>
      <c r="BI706" s="5" t="s">
        <v>303</v>
      </c>
      <c r="BJ706" s="5" t="s">
        <v>240</v>
      </c>
      <c r="BK706" s="8">
        <f>0</f>
        <v>0</v>
      </c>
      <c r="BL706" s="7">
        <f>0</f>
        <v>0</v>
      </c>
      <c r="BM706" s="5" t="s">
        <v>258</v>
      </c>
      <c r="BN706" s="5" t="s">
        <v>259</v>
      </c>
      <c r="CB706" s="5" t="s">
        <v>240</v>
      </c>
      <c r="CC706" s="5" t="s">
        <v>240</v>
      </c>
      <c r="CG706" s="5" t="s">
        <v>617</v>
      </c>
      <c r="CH706" s="5" t="s">
        <v>305</v>
      </c>
      <c r="CI706" s="5" t="s">
        <v>240</v>
      </c>
      <c r="CL706" s="6" t="s">
        <v>261</v>
      </c>
      <c r="CM706" s="5" t="s">
        <v>240</v>
      </c>
      <c r="CN706" s="5" t="s">
        <v>263</v>
      </c>
      <c r="CO706" s="5" t="s">
        <v>240</v>
      </c>
      <c r="CP706" s="5" t="s">
        <v>240</v>
      </c>
      <c r="CQ706" s="5">
        <v>0</v>
      </c>
      <c r="CR706" s="5" t="s">
        <v>306</v>
      </c>
      <c r="CS706" s="5" t="s">
        <v>307</v>
      </c>
      <c r="CT706" s="5" t="s">
        <v>307</v>
      </c>
      <c r="CU706" s="5" t="s">
        <v>260</v>
      </c>
      <c r="CX706" s="7">
        <f>110740</f>
        <v>110740</v>
      </c>
      <c r="CY706" s="7">
        <f>0</f>
        <v>0</v>
      </c>
      <c r="DA706" s="7">
        <f>0</f>
        <v>0</v>
      </c>
      <c r="DC706" s="5" t="s">
        <v>309</v>
      </c>
      <c r="DD706" s="5" t="s">
        <v>240</v>
      </c>
      <c r="DF706" s="5" t="s">
        <v>450</v>
      </c>
      <c r="DG706" s="7">
        <f>0</f>
        <v>0</v>
      </c>
      <c r="DI706" s="5" t="s">
        <v>450</v>
      </c>
      <c r="DJ706" s="5" t="s">
        <v>240</v>
      </c>
      <c r="DK706" s="5" t="s">
        <v>240</v>
      </c>
      <c r="DL706" s="5" t="s">
        <v>240</v>
      </c>
      <c r="DP706" s="5" t="s">
        <v>240</v>
      </c>
      <c r="DQ706" s="5" t="s">
        <v>240</v>
      </c>
      <c r="DR706" s="5" t="s">
        <v>240</v>
      </c>
      <c r="DS706" s="5" t="s">
        <v>240</v>
      </c>
      <c r="DV706" s="5" t="s">
        <v>1502</v>
      </c>
      <c r="DW706" s="5" t="s">
        <v>621</v>
      </c>
      <c r="HO706" s="5" t="s">
        <v>312</v>
      </c>
    </row>
    <row r="707" spans="1:223" x14ac:dyDescent="0.4">
      <c r="A707" s="5">
        <v>1569</v>
      </c>
      <c r="B707" s="5">
        <v>1</v>
      </c>
      <c r="C707" s="5">
        <v>1</v>
      </c>
      <c r="D707" s="5" t="s">
        <v>723</v>
      </c>
      <c r="E707" s="5" t="s">
        <v>725</v>
      </c>
      <c r="F707" s="5" t="s">
        <v>254</v>
      </c>
      <c r="G707" s="5" t="s">
        <v>240</v>
      </c>
      <c r="H707" s="6" t="s">
        <v>899</v>
      </c>
      <c r="I707" s="5" t="s">
        <v>898</v>
      </c>
      <c r="J707" s="8">
        <f>1153</f>
        <v>1153</v>
      </c>
      <c r="K707" s="5" t="s">
        <v>308</v>
      </c>
      <c r="L707" s="7">
        <f>12683</f>
        <v>12683</v>
      </c>
      <c r="M707" s="7">
        <f>12683</f>
        <v>12683</v>
      </c>
      <c r="N707" s="5" t="s">
        <v>242</v>
      </c>
      <c r="O707" s="5">
        <v>1</v>
      </c>
      <c r="P707" s="5" t="s">
        <v>294</v>
      </c>
      <c r="Q707" s="5" t="s">
        <v>613</v>
      </c>
      <c r="R707" s="5" t="s">
        <v>240</v>
      </c>
      <c r="S707" s="5" t="s">
        <v>240</v>
      </c>
      <c r="T707" s="5" t="s">
        <v>296</v>
      </c>
      <c r="U707" s="5" t="s">
        <v>244</v>
      </c>
      <c r="V707" s="5" t="s">
        <v>240</v>
      </c>
      <c r="Y707" s="5" t="s">
        <v>240</v>
      </c>
      <c r="Z707" s="6" t="s">
        <v>298</v>
      </c>
      <c r="AB707" s="6" t="s">
        <v>240</v>
      </c>
      <c r="AE707" s="6" t="s">
        <v>299</v>
      </c>
      <c r="AF707" s="5" t="s">
        <v>248</v>
      </c>
      <c r="AG707" s="5" t="s">
        <v>249</v>
      </c>
      <c r="AW707" s="5" t="s">
        <v>251</v>
      </c>
      <c r="AX707" s="5" t="s">
        <v>240</v>
      </c>
      <c r="AY707" s="5" t="s">
        <v>253</v>
      </c>
      <c r="AZ707" s="5" t="s">
        <v>240</v>
      </c>
      <c r="BA707" s="5" t="s">
        <v>255</v>
      </c>
      <c r="BB707" s="5" t="s">
        <v>240</v>
      </c>
      <c r="BD707" s="5" t="s">
        <v>686</v>
      </c>
      <c r="BF707" s="5" t="s">
        <v>301</v>
      </c>
      <c r="BG707" s="6" t="s">
        <v>299</v>
      </c>
      <c r="BH707" s="5" t="s">
        <v>302</v>
      </c>
      <c r="BI707" s="5" t="s">
        <v>303</v>
      </c>
      <c r="BJ707" s="5" t="s">
        <v>240</v>
      </c>
      <c r="BK707" s="8">
        <f>0</f>
        <v>0</v>
      </c>
      <c r="BL707" s="7">
        <f>0</f>
        <v>0</v>
      </c>
      <c r="BM707" s="5" t="s">
        <v>258</v>
      </c>
      <c r="BN707" s="5" t="s">
        <v>259</v>
      </c>
      <c r="CB707" s="5" t="s">
        <v>240</v>
      </c>
      <c r="CC707" s="5" t="s">
        <v>240</v>
      </c>
      <c r="CG707" s="5" t="s">
        <v>617</v>
      </c>
      <c r="CH707" s="5" t="s">
        <v>305</v>
      </c>
      <c r="CI707" s="5" t="s">
        <v>240</v>
      </c>
      <c r="CL707" s="6" t="s">
        <v>261</v>
      </c>
      <c r="CM707" s="5" t="s">
        <v>240</v>
      </c>
      <c r="CN707" s="5" t="s">
        <v>263</v>
      </c>
      <c r="CO707" s="5" t="s">
        <v>240</v>
      </c>
      <c r="CP707" s="5" t="s">
        <v>240</v>
      </c>
      <c r="CQ707" s="5">
        <v>0</v>
      </c>
      <c r="CR707" s="5" t="s">
        <v>306</v>
      </c>
      <c r="CS707" s="5" t="s">
        <v>307</v>
      </c>
      <c r="CT707" s="5" t="s">
        <v>307</v>
      </c>
      <c r="CU707" s="5" t="s">
        <v>260</v>
      </c>
      <c r="CX707" s="7">
        <f>23030</f>
        <v>23030</v>
      </c>
      <c r="CY707" s="7">
        <f>0</f>
        <v>0</v>
      </c>
      <c r="DA707" s="7">
        <f>0</f>
        <v>0</v>
      </c>
      <c r="DC707" s="5" t="s">
        <v>309</v>
      </c>
      <c r="DD707" s="5" t="s">
        <v>240</v>
      </c>
      <c r="DF707" s="5" t="s">
        <v>450</v>
      </c>
      <c r="DG707" s="7">
        <f>0</f>
        <v>0</v>
      </c>
      <c r="DI707" s="5" t="s">
        <v>450</v>
      </c>
      <c r="DJ707" s="5" t="s">
        <v>240</v>
      </c>
      <c r="DK707" s="5" t="s">
        <v>240</v>
      </c>
      <c r="DL707" s="5" t="s">
        <v>240</v>
      </c>
      <c r="DP707" s="5" t="s">
        <v>240</v>
      </c>
      <c r="DQ707" s="5" t="s">
        <v>240</v>
      </c>
      <c r="DR707" s="5" t="s">
        <v>240</v>
      </c>
      <c r="DS707" s="5" t="s">
        <v>240</v>
      </c>
      <c r="DV707" s="5" t="s">
        <v>1502</v>
      </c>
      <c r="DW707" s="5" t="s">
        <v>312</v>
      </c>
      <c r="HO707" s="5" t="s">
        <v>312</v>
      </c>
    </row>
    <row r="708" spans="1:223" x14ac:dyDescent="0.4">
      <c r="A708" s="5">
        <v>1570</v>
      </c>
      <c r="B708" s="5">
        <v>1</v>
      </c>
      <c r="C708" s="5">
        <v>1</v>
      </c>
      <c r="D708" s="5" t="s">
        <v>723</v>
      </c>
      <c r="E708" s="5" t="s">
        <v>725</v>
      </c>
      <c r="F708" s="5" t="s">
        <v>254</v>
      </c>
      <c r="G708" s="5" t="s">
        <v>240</v>
      </c>
      <c r="H708" s="6" t="s">
        <v>896</v>
      </c>
      <c r="I708" s="5" t="s">
        <v>895</v>
      </c>
      <c r="J708" s="8">
        <f>2203</f>
        <v>2203</v>
      </c>
      <c r="K708" s="5" t="s">
        <v>308</v>
      </c>
      <c r="L708" s="7">
        <f>24233</f>
        <v>24233</v>
      </c>
      <c r="M708" s="7">
        <f>24233</f>
        <v>24233</v>
      </c>
      <c r="N708" s="5" t="s">
        <v>242</v>
      </c>
      <c r="O708" s="5">
        <v>1</v>
      </c>
      <c r="P708" s="5" t="s">
        <v>294</v>
      </c>
      <c r="Q708" s="5" t="s">
        <v>613</v>
      </c>
      <c r="R708" s="5" t="s">
        <v>240</v>
      </c>
      <c r="S708" s="5" t="s">
        <v>240</v>
      </c>
      <c r="T708" s="5" t="s">
        <v>243</v>
      </c>
      <c r="U708" s="5" t="s">
        <v>244</v>
      </c>
      <c r="V708" s="5" t="s">
        <v>240</v>
      </c>
      <c r="Y708" s="5" t="s">
        <v>240</v>
      </c>
      <c r="Z708" s="6" t="s">
        <v>298</v>
      </c>
      <c r="AB708" s="6" t="s">
        <v>240</v>
      </c>
      <c r="AE708" s="6" t="s">
        <v>299</v>
      </c>
      <c r="AF708" s="5" t="s">
        <v>248</v>
      </c>
      <c r="AG708" s="5" t="s">
        <v>249</v>
      </c>
      <c r="AW708" s="5" t="s">
        <v>251</v>
      </c>
      <c r="AX708" s="5" t="s">
        <v>240</v>
      </c>
      <c r="AY708" s="5" t="s">
        <v>253</v>
      </c>
      <c r="AZ708" s="5" t="s">
        <v>240</v>
      </c>
      <c r="BA708" s="5" t="s">
        <v>255</v>
      </c>
      <c r="BB708" s="5" t="s">
        <v>240</v>
      </c>
      <c r="BD708" s="5" t="s">
        <v>686</v>
      </c>
      <c r="BF708" s="5" t="s">
        <v>301</v>
      </c>
      <c r="BG708" s="6" t="s">
        <v>299</v>
      </c>
      <c r="BH708" s="5" t="s">
        <v>302</v>
      </c>
      <c r="BI708" s="5" t="s">
        <v>303</v>
      </c>
      <c r="BJ708" s="5" t="s">
        <v>240</v>
      </c>
      <c r="BK708" s="8">
        <f>0</f>
        <v>0</v>
      </c>
      <c r="BL708" s="7">
        <f>0</f>
        <v>0</v>
      </c>
      <c r="BM708" s="5" t="s">
        <v>258</v>
      </c>
      <c r="BN708" s="5" t="s">
        <v>259</v>
      </c>
      <c r="CB708" s="5" t="s">
        <v>240</v>
      </c>
      <c r="CC708" s="5" t="s">
        <v>240</v>
      </c>
      <c r="CG708" s="5" t="s">
        <v>617</v>
      </c>
      <c r="CH708" s="5" t="s">
        <v>305</v>
      </c>
      <c r="CI708" s="5" t="s">
        <v>240</v>
      </c>
      <c r="CL708" s="6" t="s">
        <v>261</v>
      </c>
      <c r="CM708" s="5" t="s">
        <v>240</v>
      </c>
      <c r="CN708" s="5" t="s">
        <v>263</v>
      </c>
      <c r="CO708" s="5" t="s">
        <v>240</v>
      </c>
      <c r="CP708" s="5" t="s">
        <v>240</v>
      </c>
      <c r="CQ708" s="5">
        <v>0</v>
      </c>
      <c r="CR708" s="5" t="s">
        <v>306</v>
      </c>
      <c r="CS708" s="5" t="s">
        <v>307</v>
      </c>
      <c r="CT708" s="5" t="s">
        <v>307</v>
      </c>
      <c r="CU708" s="5" t="s">
        <v>260</v>
      </c>
      <c r="CX708" s="7">
        <f>2943668</f>
        <v>2943668</v>
      </c>
      <c r="CY708" s="7">
        <f>0</f>
        <v>0</v>
      </c>
      <c r="DA708" s="7">
        <f>0</f>
        <v>0</v>
      </c>
      <c r="DC708" s="5" t="s">
        <v>618</v>
      </c>
      <c r="DD708" s="5" t="s">
        <v>240</v>
      </c>
      <c r="DF708" s="5" t="s">
        <v>450</v>
      </c>
      <c r="DG708" s="7">
        <f>0</f>
        <v>0</v>
      </c>
      <c r="DI708" s="5" t="s">
        <v>618</v>
      </c>
      <c r="DJ708" s="5" t="s">
        <v>240</v>
      </c>
      <c r="DK708" s="5" t="s">
        <v>240</v>
      </c>
      <c r="DL708" s="5" t="s">
        <v>240</v>
      </c>
      <c r="DP708" s="5" t="s">
        <v>240</v>
      </c>
      <c r="DQ708" s="5" t="s">
        <v>240</v>
      </c>
      <c r="DR708" s="5" t="s">
        <v>240</v>
      </c>
      <c r="DS708" s="5" t="s">
        <v>240</v>
      </c>
      <c r="DV708" s="5" t="s">
        <v>1533</v>
      </c>
      <c r="DW708" s="5" t="s">
        <v>312</v>
      </c>
      <c r="HO708" s="5" t="s">
        <v>312</v>
      </c>
    </row>
    <row r="709" spans="1:223" x14ac:dyDescent="0.4">
      <c r="A709" s="5">
        <v>1571</v>
      </c>
      <c r="B709" s="5">
        <v>1</v>
      </c>
      <c r="C709" s="5">
        <v>1</v>
      </c>
      <c r="D709" s="5" t="s">
        <v>723</v>
      </c>
      <c r="E709" s="5" t="s">
        <v>725</v>
      </c>
      <c r="F709" s="5" t="s">
        <v>254</v>
      </c>
      <c r="G709" s="5" t="s">
        <v>240</v>
      </c>
      <c r="H709" s="6" t="s">
        <v>893</v>
      </c>
      <c r="I709" s="5" t="s">
        <v>892</v>
      </c>
      <c r="J709" s="8">
        <f>1065</f>
        <v>1065</v>
      </c>
      <c r="K709" s="5" t="s">
        <v>308</v>
      </c>
      <c r="L709" s="7">
        <f>11715</f>
        <v>11715</v>
      </c>
      <c r="M709" s="7">
        <f>11715</f>
        <v>11715</v>
      </c>
      <c r="N709" s="5" t="s">
        <v>242</v>
      </c>
      <c r="O709" s="5">
        <v>1</v>
      </c>
      <c r="P709" s="5" t="s">
        <v>294</v>
      </c>
      <c r="Q709" s="5" t="s">
        <v>613</v>
      </c>
      <c r="R709" s="5" t="s">
        <v>240</v>
      </c>
      <c r="S709" s="5" t="s">
        <v>240</v>
      </c>
      <c r="T709" s="5" t="s">
        <v>243</v>
      </c>
      <c r="U709" s="5" t="s">
        <v>244</v>
      </c>
      <c r="V709" s="5" t="s">
        <v>240</v>
      </c>
      <c r="Y709" s="5" t="s">
        <v>240</v>
      </c>
      <c r="Z709" s="6" t="s">
        <v>298</v>
      </c>
      <c r="AB709" s="6" t="s">
        <v>240</v>
      </c>
      <c r="AE709" s="6" t="s">
        <v>299</v>
      </c>
      <c r="AF709" s="5" t="s">
        <v>248</v>
      </c>
      <c r="AG709" s="5" t="s">
        <v>249</v>
      </c>
      <c r="AW709" s="5" t="s">
        <v>251</v>
      </c>
      <c r="AX709" s="5" t="s">
        <v>240</v>
      </c>
      <c r="AY709" s="5" t="s">
        <v>253</v>
      </c>
      <c r="AZ709" s="5" t="s">
        <v>240</v>
      </c>
      <c r="BA709" s="5" t="s">
        <v>255</v>
      </c>
      <c r="BB709" s="5" t="s">
        <v>240</v>
      </c>
      <c r="BD709" s="5" t="s">
        <v>240</v>
      </c>
      <c r="BF709" s="5" t="s">
        <v>301</v>
      </c>
      <c r="BG709" s="6" t="s">
        <v>299</v>
      </c>
      <c r="BH709" s="5" t="s">
        <v>302</v>
      </c>
      <c r="BI709" s="5" t="s">
        <v>303</v>
      </c>
      <c r="BJ709" s="5" t="s">
        <v>240</v>
      </c>
      <c r="BK709" s="8">
        <f>0</f>
        <v>0</v>
      </c>
      <c r="BL709" s="7">
        <f>0</f>
        <v>0</v>
      </c>
      <c r="BM709" s="5" t="s">
        <v>258</v>
      </c>
      <c r="BN709" s="5" t="s">
        <v>259</v>
      </c>
      <c r="CB709" s="5" t="s">
        <v>240</v>
      </c>
      <c r="CC709" s="5" t="s">
        <v>240</v>
      </c>
      <c r="CG709" s="5" t="s">
        <v>617</v>
      </c>
      <c r="CH709" s="5" t="s">
        <v>305</v>
      </c>
      <c r="CI709" s="5" t="s">
        <v>240</v>
      </c>
      <c r="CL709" s="6" t="s">
        <v>261</v>
      </c>
      <c r="CM709" s="5" t="s">
        <v>240</v>
      </c>
      <c r="CN709" s="5" t="s">
        <v>263</v>
      </c>
      <c r="CO709" s="5" t="s">
        <v>240</v>
      </c>
      <c r="CP709" s="5" t="s">
        <v>240</v>
      </c>
      <c r="CQ709" s="5">
        <v>0</v>
      </c>
      <c r="CR709" s="5" t="s">
        <v>306</v>
      </c>
      <c r="CS709" s="5" t="s">
        <v>307</v>
      </c>
      <c r="CT709" s="5" t="s">
        <v>307</v>
      </c>
      <c r="CU709" s="5" t="s">
        <v>260</v>
      </c>
      <c r="CX709" s="7">
        <f>2768750</f>
        <v>2768750</v>
      </c>
      <c r="CY709" s="7">
        <f>0</f>
        <v>0</v>
      </c>
      <c r="DA709" s="7">
        <f>0</f>
        <v>0</v>
      </c>
      <c r="DC709" s="5" t="s">
        <v>618</v>
      </c>
      <c r="DD709" s="5" t="s">
        <v>240</v>
      </c>
      <c r="DF709" s="5" t="s">
        <v>450</v>
      </c>
      <c r="DG709" s="7">
        <f>0</f>
        <v>0</v>
      </c>
      <c r="DI709" s="5" t="s">
        <v>618</v>
      </c>
      <c r="DJ709" s="5" t="s">
        <v>240</v>
      </c>
      <c r="DK709" s="5" t="s">
        <v>240</v>
      </c>
      <c r="DL709" s="5" t="s">
        <v>240</v>
      </c>
      <c r="DP709" s="5" t="s">
        <v>240</v>
      </c>
      <c r="DQ709" s="5" t="s">
        <v>240</v>
      </c>
      <c r="DR709" s="5" t="s">
        <v>240</v>
      </c>
      <c r="DS709" s="5" t="s">
        <v>240</v>
      </c>
      <c r="DV709" s="5" t="s">
        <v>1538</v>
      </c>
      <c r="DW709" s="5" t="s">
        <v>801</v>
      </c>
      <c r="HO709" s="5" t="s">
        <v>312</v>
      </c>
    </row>
    <row r="710" spans="1:223" x14ac:dyDescent="0.4">
      <c r="A710" s="5">
        <v>1572</v>
      </c>
      <c r="B710" s="5">
        <v>1</v>
      </c>
      <c r="C710" s="5">
        <v>1</v>
      </c>
      <c r="D710" s="5" t="s">
        <v>723</v>
      </c>
      <c r="E710" s="5" t="s">
        <v>725</v>
      </c>
      <c r="F710" s="5" t="s">
        <v>254</v>
      </c>
      <c r="G710" s="5" t="s">
        <v>240</v>
      </c>
      <c r="H710" s="6" t="s">
        <v>890</v>
      </c>
      <c r="I710" s="5" t="s">
        <v>889</v>
      </c>
      <c r="J710" s="8">
        <f>1451</f>
        <v>1451</v>
      </c>
      <c r="K710" s="5" t="s">
        <v>308</v>
      </c>
      <c r="L710" s="7">
        <f>15961</f>
        <v>15961</v>
      </c>
      <c r="M710" s="7">
        <f>15961</f>
        <v>15961</v>
      </c>
      <c r="N710" s="5" t="s">
        <v>242</v>
      </c>
      <c r="O710" s="5">
        <v>1</v>
      </c>
      <c r="P710" s="5" t="s">
        <v>294</v>
      </c>
      <c r="Q710" s="5" t="s">
        <v>613</v>
      </c>
      <c r="R710" s="5" t="s">
        <v>240</v>
      </c>
      <c r="S710" s="5" t="s">
        <v>240</v>
      </c>
      <c r="T710" s="5" t="s">
        <v>243</v>
      </c>
      <c r="U710" s="5" t="s">
        <v>244</v>
      </c>
      <c r="V710" s="5" t="s">
        <v>240</v>
      </c>
      <c r="Y710" s="5" t="s">
        <v>240</v>
      </c>
      <c r="Z710" s="6" t="s">
        <v>298</v>
      </c>
      <c r="AB710" s="6" t="s">
        <v>240</v>
      </c>
      <c r="AE710" s="6" t="s">
        <v>299</v>
      </c>
      <c r="AF710" s="5" t="s">
        <v>248</v>
      </c>
      <c r="AG710" s="5" t="s">
        <v>249</v>
      </c>
      <c r="AW710" s="5" t="s">
        <v>251</v>
      </c>
      <c r="AX710" s="5" t="s">
        <v>240</v>
      </c>
      <c r="AY710" s="5" t="s">
        <v>253</v>
      </c>
      <c r="AZ710" s="5" t="s">
        <v>240</v>
      </c>
      <c r="BA710" s="5" t="s">
        <v>255</v>
      </c>
      <c r="BB710" s="5" t="s">
        <v>240</v>
      </c>
      <c r="BD710" s="5" t="s">
        <v>240</v>
      </c>
      <c r="BF710" s="5" t="s">
        <v>301</v>
      </c>
      <c r="BG710" s="6" t="s">
        <v>299</v>
      </c>
      <c r="BH710" s="5" t="s">
        <v>302</v>
      </c>
      <c r="BI710" s="5" t="s">
        <v>303</v>
      </c>
      <c r="BJ710" s="5" t="s">
        <v>240</v>
      </c>
      <c r="BK710" s="8">
        <f>0</f>
        <v>0</v>
      </c>
      <c r="BL710" s="7">
        <f>0</f>
        <v>0</v>
      </c>
      <c r="BM710" s="5" t="s">
        <v>258</v>
      </c>
      <c r="BN710" s="5" t="s">
        <v>259</v>
      </c>
      <c r="CB710" s="5" t="s">
        <v>240</v>
      </c>
      <c r="CC710" s="5" t="s">
        <v>240</v>
      </c>
      <c r="CG710" s="5" t="s">
        <v>617</v>
      </c>
      <c r="CH710" s="5" t="s">
        <v>305</v>
      </c>
      <c r="CI710" s="5" t="s">
        <v>240</v>
      </c>
      <c r="CL710" s="6" t="s">
        <v>261</v>
      </c>
      <c r="CM710" s="5" t="s">
        <v>240</v>
      </c>
      <c r="CN710" s="5" t="s">
        <v>263</v>
      </c>
      <c r="CO710" s="5" t="s">
        <v>240</v>
      </c>
      <c r="CP710" s="5" t="s">
        <v>240</v>
      </c>
      <c r="CQ710" s="5">
        <v>0</v>
      </c>
      <c r="CR710" s="5" t="s">
        <v>306</v>
      </c>
      <c r="CS710" s="5" t="s">
        <v>307</v>
      </c>
      <c r="CT710" s="5" t="s">
        <v>307</v>
      </c>
      <c r="CU710" s="5" t="s">
        <v>260</v>
      </c>
      <c r="CX710" s="7">
        <f>190652</f>
        <v>190652</v>
      </c>
      <c r="CY710" s="7">
        <f>0</f>
        <v>0</v>
      </c>
      <c r="DA710" s="7">
        <f>0</f>
        <v>0</v>
      </c>
      <c r="DC710" s="5" t="s">
        <v>1541</v>
      </c>
      <c r="DD710" s="5" t="s">
        <v>240</v>
      </c>
      <c r="DF710" s="5" t="s">
        <v>450</v>
      </c>
      <c r="DG710" s="7">
        <f>0</f>
        <v>0</v>
      </c>
      <c r="DI710" s="5" t="s">
        <v>1320</v>
      </c>
      <c r="DJ710" s="5" t="s">
        <v>240</v>
      </c>
      <c r="DK710" s="5" t="s">
        <v>240</v>
      </c>
      <c r="DL710" s="5" t="s">
        <v>240</v>
      </c>
      <c r="DP710" s="5" t="s">
        <v>240</v>
      </c>
      <c r="DQ710" s="5" t="s">
        <v>240</v>
      </c>
      <c r="DR710" s="5" t="s">
        <v>240</v>
      </c>
      <c r="DS710" s="5" t="s">
        <v>240</v>
      </c>
      <c r="DV710" s="5" t="s">
        <v>1538</v>
      </c>
      <c r="DW710" s="5" t="s">
        <v>804</v>
      </c>
      <c r="HO710" s="5" t="s">
        <v>312</v>
      </c>
    </row>
    <row r="711" spans="1:223" x14ac:dyDescent="0.4">
      <c r="A711" s="5">
        <v>1573</v>
      </c>
      <c r="B711" s="5">
        <v>1</v>
      </c>
      <c r="C711" s="5">
        <v>1</v>
      </c>
      <c r="D711" s="5" t="s">
        <v>723</v>
      </c>
      <c r="E711" s="5" t="s">
        <v>725</v>
      </c>
      <c r="F711" s="5" t="s">
        <v>254</v>
      </c>
      <c r="G711" s="5" t="s">
        <v>240</v>
      </c>
      <c r="H711" s="6" t="s">
        <v>887</v>
      </c>
      <c r="I711" s="5" t="s">
        <v>886</v>
      </c>
      <c r="J711" s="8">
        <f>512</f>
        <v>512</v>
      </c>
      <c r="K711" s="5" t="s">
        <v>308</v>
      </c>
      <c r="L711" s="7">
        <f>5632</f>
        <v>5632</v>
      </c>
      <c r="M711" s="7">
        <f>5632</f>
        <v>5632</v>
      </c>
      <c r="N711" s="5" t="s">
        <v>242</v>
      </c>
      <c r="O711" s="5">
        <v>1</v>
      </c>
      <c r="P711" s="5" t="s">
        <v>294</v>
      </c>
      <c r="Q711" s="5" t="s">
        <v>613</v>
      </c>
      <c r="R711" s="5" t="s">
        <v>240</v>
      </c>
      <c r="S711" s="5" t="s">
        <v>240</v>
      </c>
      <c r="T711" s="5" t="s">
        <v>243</v>
      </c>
      <c r="U711" s="5" t="s">
        <v>244</v>
      </c>
      <c r="V711" s="5" t="s">
        <v>240</v>
      </c>
      <c r="Y711" s="5" t="s">
        <v>240</v>
      </c>
      <c r="Z711" s="6" t="s">
        <v>298</v>
      </c>
      <c r="AB711" s="6" t="s">
        <v>240</v>
      </c>
      <c r="AE711" s="6" t="s">
        <v>299</v>
      </c>
      <c r="AF711" s="5" t="s">
        <v>248</v>
      </c>
      <c r="AG711" s="5" t="s">
        <v>249</v>
      </c>
      <c r="AW711" s="5" t="s">
        <v>251</v>
      </c>
      <c r="AX711" s="5" t="s">
        <v>240</v>
      </c>
      <c r="AY711" s="5" t="s">
        <v>253</v>
      </c>
      <c r="AZ711" s="5" t="s">
        <v>240</v>
      </c>
      <c r="BA711" s="5" t="s">
        <v>255</v>
      </c>
      <c r="BB711" s="5" t="s">
        <v>240</v>
      </c>
      <c r="BD711" s="5" t="s">
        <v>240</v>
      </c>
      <c r="BF711" s="5" t="s">
        <v>301</v>
      </c>
      <c r="BG711" s="6" t="s">
        <v>299</v>
      </c>
      <c r="BH711" s="5" t="s">
        <v>302</v>
      </c>
      <c r="BI711" s="5" t="s">
        <v>303</v>
      </c>
      <c r="BJ711" s="5" t="s">
        <v>240</v>
      </c>
      <c r="BK711" s="8">
        <f>0</f>
        <v>0</v>
      </c>
      <c r="BL711" s="7">
        <f>0</f>
        <v>0</v>
      </c>
      <c r="BM711" s="5" t="s">
        <v>258</v>
      </c>
      <c r="BN711" s="5" t="s">
        <v>259</v>
      </c>
      <c r="CB711" s="5" t="s">
        <v>240</v>
      </c>
      <c r="CC711" s="5" t="s">
        <v>240</v>
      </c>
      <c r="CG711" s="5" t="s">
        <v>617</v>
      </c>
      <c r="CH711" s="5" t="s">
        <v>305</v>
      </c>
      <c r="CI711" s="5" t="s">
        <v>240</v>
      </c>
      <c r="CL711" s="6" t="s">
        <v>261</v>
      </c>
      <c r="CM711" s="5" t="s">
        <v>240</v>
      </c>
      <c r="CN711" s="5" t="s">
        <v>263</v>
      </c>
      <c r="CO711" s="5" t="s">
        <v>240</v>
      </c>
      <c r="CP711" s="5" t="s">
        <v>240</v>
      </c>
      <c r="CQ711" s="5">
        <v>0</v>
      </c>
      <c r="CR711" s="5" t="s">
        <v>306</v>
      </c>
      <c r="CS711" s="5" t="s">
        <v>307</v>
      </c>
      <c r="CT711" s="5" t="s">
        <v>307</v>
      </c>
      <c r="CU711" s="5" t="s">
        <v>260</v>
      </c>
      <c r="CX711" s="7">
        <f>9222444</f>
        <v>9222444</v>
      </c>
      <c r="CY711" s="7">
        <f>0</f>
        <v>0</v>
      </c>
      <c r="DA711" s="7">
        <f>0</f>
        <v>0</v>
      </c>
      <c r="DC711" s="5" t="s">
        <v>1541</v>
      </c>
      <c r="DD711" s="5" t="s">
        <v>240</v>
      </c>
      <c r="DF711" s="5" t="s">
        <v>450</v>
      </c>
      <c r="DG711" s="7">
        <f>0</f>
        <v>0</v>
      </c>
      <c r="DI711" s="5" t="s">
        <v>1320</v>
      </c>
      <c r="DJ711" s="5" t="s">
        <v>240</v>
      </c>
      <c r="DK711" s="5" t="s">
        <v>240</v>
      </c>
      <c r="DL711" s="5" t="s">
        <v>240</v>
      </c>
      <c r="DP711" s="5" t="s">
        <v>240</v>
      </c>
      <c r="DQ711" s="5" t="s">
        <v>240</v>
      </c>
      <c r="DR711" s="5" t="s">
        <v>240</v>
      </c>
      <c r="DS711" s="5" t="s">
        <v>240</v>
      </c>
      <c r="DV711" s="5" t="s">
        <v>1538</v>
      </c>
      <c r="DW711" s="5" t="s">
        <v>808</v>
      </c>
      <c r="HO711" s="5" t="s">
        <v>312</v>
      </c>
    </row>
    <row r="712" spans="1:223" x14ac:dyDescent="0.4">
      <c r="A712" s="5">
        <v>1574</v>
      </c>
      <c r="B712" s="5">
        <v>1</v>
      </c>
      <c r="C712" s="5">
        <v>1</v>
      </c>
      <c r="D712" s="5" t="s">
        <v>723</v>
      </c>
      <c r="E712" s="5" t="s">
        <v>725</v>
      </c>
      <c r="F712" s="5" t="s">
        <v>254</v>
      </c>
      <c r="G712" s="5" t="s">
        <v>240</v>
      </c>
      <c r="H712" s="6" t="s">
        <v>884</v>
      </c>
      <c r="I712" s="5" t="s">
        <v>883</v>
      </c>
      <c r="J712" s="8">
        <f>1075</f>
        <v>1075</v>
      </c>
      <c r="K712" s="5" t="s">
        <v>308</v>
      </c>
      <c r="L712" s="7">
        <f>11825</f>
        <v>11825</v>
      </c>
      <c r="M712" s="7">
        <f>11825</f>
        <v>11825</v>
      </c>
      <c r="N712" s="5" t="s">
        <v>242</v>
      </c>
      <c r="O712" s="5">
        <v>1</v>
      </c>
      <c r="P712" s="5" t="s">
        <v>294</v>
      </c>
      <c r="Q712" s="5" t="s">
        <v>613</v>
      </c>
      <c r="R712" s="5" t="s">
        <v>240</v>
      </c>
      <c r="S712" s="5" t="s">
        <v>240</v>
      </c>
      <c r="T712" s="5" t="s">
        <v>243</v>
      </c>
      <c r="U712" s="5" t="s">
        <v>244</v>
      </c>
      <c r="V712" s="5" t="s">
        <v>240</v>
      </c>
      <c r="Y712" s="5" t="s">
        <v>240</v>
      </c>
      <c r="Z712" s="6" t="s">
        <v>298</v>
      </c>
      <c r="AB712" s="6" t="s">
        <v>240</v>
      </c>
      <c r="AE712" s="6" t="s">
        <v>299</v>
      </c>
      <c r="AF712" s="5" t="s">
        <v>248</v>
      </c>
      <c r="AG712" s="5" t="s">
        <v>249</v>
      </c>
      <c r="AW712" s="5" t="s">
        <v>251</v>
      </c>
      <c r="AX712" s="5" t="s">
        <v>240</v>
      </c>
      <c r="AY712" s="5" t="s">
        <v>253</v>
      </c>
      <c r="AZ712" s="5" t="s">
        <v>240</v>
      </c>
      <c r="BA712" s="5" t="s">
        <v>255</v>
      </c>
      <c r="BB712" s="5" t="s">
        <v>240</v>
      </c>
      <c r="BD712" s="5" t="s">
        <v>240</v>
      </c>
      <c r="BF712" s="5" t="s">
        <v>301</v>
      </c>
      <c r="BG712" s="6" t="s">
        <v>299</v>
      </c>
      <c r="BH712" s="5" t="s">
        <v>302</v>
      </c>
      <c r="BI712" s="5" t="s">
        <v>303</v>
      </c>
      <c r="BJ712" s="5" t="s">
        <v>240</v>
      </c>
      <c r="BK712" s="8">
        <f>0</f>
        <v>0</v>
      </c>
      <c r="BL712" s="7">
        <f>0</f>
        <v>0</v>
      </c>
      <c r="BM712" s="5" t="s">
        <v>258</v>
      </c>
      <c r="BN712" s="5" t="s">
        <v>259</v>
      </c>
      <c r="CB712" s="5" t="s">
        <v>240</v>
      </c>
      <c r="CC712" s="5" t="s">
        <v>240</v>
      </c>
      <c r="CG712" s="5" t="s">
        <v>617</v>
      </c>
      <c r="CH712" s="5" t="s">
        <v>305</v>
      </c>
      <c r="CI712" s="5" t="s">
        <v>240</v>
      </c>
      <c r="CL712" s="6" t="s">
        <v>261</v>
      </c>
      <c r="CM712" s="5" t="s">
        <v>240</v>
      </c>
      <c r="CN712" s="5" t="s">
        <v>263</v>
      </c>
      <c r="CO712" s="5" t="s">
        <v>240</v>
      </c>
      <c r="CP712" s="5" t="s">
        <v>240</v>
      </c>
      <c r="CQ712" s="5">
        <v>0</v>
      </c>
      <c r="CR712" s="5" t="s">
        <v>306</v>
      </c>
      <c r="CS712" s="5" t="s">
        <v>307</v>
      </c>
      <c r="CT712" s="5" t="s">
        <v>307</v>
      </c>
      <c r="CU712" s="5" t="s">
        <v>260</v>
      </c>
      <c r="CX712" s="7">
        <f>7010475</f>
        <v>7010475</v>
      </c>
      <c r="CY712" s="7">
        <f>0</f>
        <v>0</v>
      </c>
      <c r="DA712" s="7">
        <f>0</f>
        <v>0</v>
      </c>
      <c r="DC712" s="5" t="s">
        <v>689</v>
      </c>
      <c r="DD712" s="5" t="s">
        <v>240</v>
      </c>
      <c r="DF712" s="5" t="s">
        <v>450</v>
      </c>
      <c r="DG712" s="7">
        <f>0</f>
        <v>0</v>
      </c>
      <c r="DI712" s="5" t="s">
        <v>618</v>
      </c>
      <c r="DJ712" s="5" t="s">
        <v>240</v>
      </c>
      <c r="DK712" s="5" t="s">
        <v>240</v>
      </c>
      <c r="DL712" s="5" t="s">
        <v>240</v>
      </c>
      <c r="DP712" s="5" t="s">
        <v>240</v>
      </c>
      <c r="DQ712" s="5" t="s">
        <v>240</v>
      </c>
      <c r="DR712" s="5" t="s">
        <v>240</v>
      </c>
      <c r="DS712" s="5" t="s">
        <v>240</v>
      </c>
      <c r="DV712" s="5" t="s">
        <v>1538</v>
      </c>
      <c r="DW712" s="5" t="s">
        <v>1260</v>
      </c>
      <c r="HO712" s="5" t="s">
        <v>312</v>
      </c>
    </row>
    <row r="713" spans="1:223" x14ac:dyDescent="0.4">
      <c r="A713" s="5">
        <v>1575</v>
      </c>
      <c r="B713" s="5">
        <v>1</v>
      </c>
      <c r="C713" s="5">
        <v>1</v>
      </c>
      <c r="D713" s="5" t="s">
        <v>723</v>
      </c>
      <c r="E713" s="5" t="s">
        <v>725</v>
      </c>
      <c r="F713" s="5" t="s">
        <v>254</v>
      </c>
      <c r="G713" s="5" t="s">
        <v>240</v>
      </c>
      <c r="H713" s="6" t="s">
        <v>881</v>
      </c>
      <c r="I713" s="5" t="s">
        <v>880</v>
      </c>
      <c r="J713" s="8">
        <f>839.76</f>
        <v>839.76</v>
      </c>
      <c r="K713" s="5" t="s">
        <v>308</v>
      </c>
      <c r="L713" s="7">
        <f>1860068</f>
        <v>1860068</v>
      </c>
      <c r="M713" s="7">
        <f>1860068</f>
        <v>1860068</v>
      </c>
      <c r="N713" s="5" t="s">
        <v>242</v>
      </c>
      <c r="O713" s="5">
        <v>1</v>
      </c>
      <c r="P713" s="5" t="s">
        <v>294</v>
      </c>
      <c r="Q713" s="5" t="s">
        <v>613</v>
      </c>
      <c r="R713" s="5" t="s">
        <v>240</v>
      </c>
      <c r="S713" s="5" t="s">
        <v>240</v>
      </c>
      <c r="T713" s="5" t="s">
        <v>243</v>
      </c>
      <c r="U713" s="5" t="s">
        <v>244</v>
      </c>
      <c r="V713" s="5" t="s">
        <v>240</v>
      </c>
      <c r="Y713" s="5" t="s">
        <v>240</v>
      </c>
      <c r="Z713" s="6" t="s">
        <v>298</v>
      </c>
      <c r="AB713" s="6" t="s">
        <v>240</v>
      </c>
      <c r="AE713" s="6" t="s">
        <v>299</v>
      </c>
      <c r="AF713" s="5" t="s">
        <v>248</v>
      </c>
      <c r="AG713" s="5" t="s">
        <v>249</v>
      </c>
      <c r="AW713" s="5" t="s">
        <v>251</v>
      </c>
      <c r="AX713" s="5" t="s">
        <v>240</v>
      </c>
      <c r="AY713" s="5" t="s">
        <v>253</v>
      </c>
      <c r="AZ713" s="5" t="s">
        <v>240</v>
      </c>
      <c r="BA713" s="5" t="s">
        <v>255</v>
      </c>
      <c r="BB713" s="5" t="s">
        <v>240</v>
      </c>
      <c r="BD713" s="5" t="s">
        <v>240</v>
      </c>
      <c r="BF713" s="5" t="s">
        <v>301</v>
      </c>
      <c r="BG713" s="6" t="s">
        <v>299</v>
      </c>
      <c r="BH713" s="5" t="s">
        <v>302</v>
      </c>
      <c r="BI713" s="5" t="s">
        <v>303</v>
      </c>
      <c r="BJ713" s="5" t="s">
        <v>240</v>
      </c>
      <c r="BK713" s="8">
        <f>0</f>
        <v>0</v>
      </c>
      <c r="BL713" s="7">
        <f>0</f>
        <v>0</v>
      </c>
      <c r="BM713" s="5" t="s">
        <v>258</v>
      </c>
      <c r="BN713" s="5" t="s">
        <v>259</v>
      </c>
      <c r="CB713" s="5" t="s">
        <v>240</v>
      </c>
      <c r="CC713" s="5" t="s">
        <v>240</v>
      </c>
      <c r="CG713" s="5" t="s">
        <v>617</v>
      </c>
      <c r="CH713" s="5" t="s">
        <v>305</v>
      </c>
      <c r="CI713" s="5" t="s">
        <v>240</v>
      </c>
      <c r="CL713" s="6" t="s">
        <v>261</v>
      </c>
      <c r="CM713" s="5" t="s">
        <v>240</v>
      </c>
      <c r="CN713" s="5" t="s">
        <v>263</v>
      </c>
      <c r="CO713" s="5" t="s">
        <v>240</v>
      </c>
      <c r="CP713" s="5" t="s">
        <v>240</v>
      </c>
      <c r="CQ713" s="5">
        <v>0</v>
      </c>
      <c r="CR713" s="5" t="s">
        <v>306</v>
      </c>
      <c r="CS713" s="5" t="s">
        <v>307</v>
      </c>
      <c r="CT713" s="5" t="s">
        <v>307</v>
      </c>
      <c r="CU713" s="5" t="s">
        <v>260</v>
      </c>
      <c r="CX713" s="7">
        <f>8783736</f>
        <v>8783736</v>
      </c>
      <c r="CY713" s="7">
        <f>0</f>
        <v>0</v>
      </c>
      <c r="DA713" s="7">
        <f>0</f>
        <v>0</v>
      </c>
      <c r="DC713" s="5" t="s">
        <v>843</v>
      </c>
      <c r="DD713" s="5" t="s">
        <v>240</v>
      </c>
      <c r="DF713" s="5" t="s">
        <v>450</v>
      </c>
      <c r="DG713" s="7">
        <f>0</f>
        <v>0</v>
      </c>
      <c r="DI713" s="5" t="s">
        <v>843</v>
      </c>
      <c r="DJ713" s="5" t="s">
        <v>240</v>
      </c>
      <c r="DK713" s="5" t="s">
        <v>240</v>
      </c>
      <c r="DL713" s="5" t="s">
        <v>240</v>
      </c>
      <c r="DP713" s="5" t="s">
        <v>240</v>
      </c>
      <c r="DQ713" s="5" t="s">
        <v>240</v>
      </c>
      <c r="DR713" s="5" t="s">
        <v>240</v>
      </c>
      <c r="DS713" s="5" t="s">
        <v>240</v>
      </c>
      <c r="DV713" s="5" t="s">
        <v>1538</v>
      </c>
      <c r="DW713" s="5" t="s">
        <v>816</v>
      </c>
      <c r="HO713" s="5" t="s">
        <v>312</v>
      </c>
    </row>
    <row r="714" spans="1:223" x14ac:dyDescent="0.4">
      <c r="A714" s="5">
        <v>1576</v>
      </c>
      <c r="B714" s="5">
        <v>1</v>
      </c>
      <c r="C714" s="5">
        <v>1</v>
      </c>
      <c r="D714" s="5" t="s">
        <v>723</v>
      </c>
      <c r="E714" s="5" t="s">
        <v>725</v>
      </c>
      <c r="F714" s="5" t="s">
        <v>254</v>
      </c>
      <c r="G714" s="5" t="s">
        <v>240</v>
      </c>
      <c r="H714" s="6" t="s">
        <v>878</v>
      </c>
      <c r="I714" s="5" t="s">
        <v>877</v>
      </c>
      <c r="J714" s="8">
        <f>981</f>
        <v>981</v>
      </c>
      <c r="K714" s="5" t="s">
        <v>308</v>
      </c>
      <c r="L714" s="7">
        <f>10791</f>
        <v>10791</v>
      </c>
      <c r="M714" s="7">
        <f>10791</f>
        <v>10791</v>
      </c>
      <c r="N714" s="5" t="s">
        <v>242</v>
      </c>
      <c r="O714" s="5">
        <v>1</v>
      </c>
      <c r="P714" s="5" t="s">
        <v>294</v>
      </c>
      <c r="Q714" s="5" t="s">
        <v>613</v>
      </c>
      <c r="R714" s="5" t="s">
        <v>240</v>
      </c>
      <c r="S714" s="5" t="s">
        <v>240</v>
      </c>
      <c r="T714" s="5" t="s">
        <v>243</v>
      </c>
      <c r="U714" s="5" t="s">
        <v>244</v>
      </c>
      <c r="V714" s="5" t="s">
        <v>240</v>
      </c>
      <c r="Y714" s="5" t="s">
        <v>240</v>
      </c>
      <c r="Z714" s="6" t="s">
        <v>298</v>
      </c>
      <c r="AB714" s="6" t="s">
        <v>240</v>
      </c>
      <c r="AE714" s="6" t="s">
        <v>299</v>
      </c>
      <c r="AF714" s="5" t="s">
        <v>248</v>
      </c>
      <c r="AG714" s="5" t="s">
        <v>249</v>
      </c>
      <c r="AW714" s="5" t="s">
        <v>251</v>
      </c>
      <c r="AX714" s="5" t="s">
        <v>240</v>
      </c>
      <c r="AY714" s="5" t="s">
        <v>253</v>
      </c>
      <c r="AZ714" s="5" t="s">
        <v>240</v>
      </c>
      <c r="BA714" s="5" t="s">
        <v>255</v>
      </c>
      <c r="BB714" s="5" t="s">
        <v>240</v>
      </c>
      <c r="BD714" s="5" t="s">
        <v>240</v>
      </c>
      <c r="BF714" s="5" t="s">
        <v>301</v>
      </c>
      <c r="BG714" s="6" t="s">
        <v>299</v>
      </c>
      <c r="BH714" s="5" t="s">
        <v>302</v>
      </c>
      <c r="BI714" s="5" t="s">
        <v>303</v>
      </c>
      <c r="BJ714" s="5" t="s">
        <v>240</v>
      </c>
      <c r="BK714" s="8">
        <f>0</f>
        <v>0</v>
      </c>
      <c r="BL714" s="7">
        <f>0</f>
        <v>0</v>
      </c>
      <c r="BM714" s="5" t="s">
        <v>258</v>
      </c>
      <c r="BN714" s="5" t="s">
        <v>259</v>
      </c>
      <c r="CB714" s="5" t="s">
        <v>240</v>
      </c>
      <c r="CC714" s="5" t="s">
        <v>240</v>
      </c>
      <c r="CG714" s="5" t="s">
        <v>617</v>
      </c>
      <c r="CH714" s="5" t="s">
        <v>305</v>
      </c>
      <c r="CI714" s="5" t="s">
        <v>240</v>
      </c>
      <c r="CL714" s="6" t="s">
        <v>261</v>
      </c>
      <c r="CM714" s="5" t="s">
        <v>240</v>
      </c>
      <c r="CN714" s="5" t="s">
        <v>263</v>
      </c>
      <c r="CO714" s="5" t="s">
        <v>240</v>
      </c>
      <c r="CP714" s="5" t="s">
        <v>240</v>
      </c>
      <c r="CQ714" s="5">
        <v>0</v>
      </c>
      <c r="CR714" s="5" t="s">
        <v>306</v>
      </c>
      <c r="CS714" s="5" t="s">
        <v>307</v>
      </c>
      <c r="CT714" s="5" t="s">
        <v>307</v>
      </c>
      <c r="CU714" s="5" t="s">
        <v>260</v>
      </c>
      <c r="CX714" s="7">
        <f>59838225</f>
        <v>59838225</v>
      </c>
      <c r="CY714" s="7">
        <f>0</f>
        <v>0</v>
      </c>
      <c r="DA714" s="7">
        <f>0</f>
        <v>0</v>
      </c>
      <c r="DC714" s="5" t="s">
        <v>689</v>
      </c>
      <c r="DD714" s="5" t="s">
        <v>240</v>
      </c>
      <c r="DF714" s="5" t="s">
        <v>689</v>
      </c>
      <c r="DG714" s="7">
        <f>0</f>
        <v>0</v>
      </c>
      <c r="DI714" s="5" t="s">
        <v>618</v>
      </c>
      <c r="DJ714" s="5" t="s">
        <v>240</v>
      </c>
      <c r="DK714" s="5" t="s">
        <v>240</v>
      </c>
      <c r="DL714" s="5" t="s">
        <v>240</v>
      </c>
      <c r="DP714" s="5" t="s">
        <v>240</v>
      </c>
      <c r="DQ714" s="5" t="s">
        <v>240</v>
      </c>
      <c r="DR714" s="5" t="s">
        <v>240</v>
      </c>
      <c r="DS714" s="5" t="s">
        <v>240</v>
      </c>
      <c r="DV714" s="5" t="s">
        <v>1538</v>
      </c>
      <c r="DW714" s="5" t="s">
        <v>818</v>
      </c>
      <c r="HO714" s="5" t="s">
        <v>312</v>
      </c>
    </row>
    <row r="715" spans="1:223" x14ac:dyDescent="0.4">
      <c r="A715" s="5">
        <v>1577</v>
      </c>
      <c r="B715" s="5">
        <v>1</v>
      </c>
      <c r="C715" s="5">
        <v>1</v>
      </c>
      <c r="D715" s="5" t="s">
        <v>846</v>
      </c>
      <c r="E715" s="5" t="s">
        <v>725</v>
      </c>
      <c r="F715" s="5" t="s">
        <v>254</v>
      </c>
      <c r="G715" s="5" t="s">
        <v>240</v>
      </c>
      <c r="H715" s="6" t="s">
        <v>875</v>
      </c>
      <c r="I715" s="5" t="s">
        <v>874</v>
      </c>
      <c r="J715" s="8">
        <f>5132</f>
        <v>5132</v>
      </c>
      <c r="K715" s="5" t="s">
        <v>308</v>
      </c>
      <c r="L715" s="7">
        <f>56452</f>
        <v>56452</v>
      </c>
      <c r="M715" s="7">
        <f>56452</f>
        <v>56452</v>
      </c>
      <c r="N715" s="5" t="s">
        <v>242</v>
      </c>
      <c r="O715" s="5">
        <v>1</v>
      </c>
      <c r="P715" s="5" t="s">
        <v>294</v>
      </c>
      <c r="Q715" s="5" t="s">
        <v>613</v>
      </c>
      <c r="R715" s="5" t="s">
        <v>240</v>
      </c>
      <c r="S715" s="5" t="s">
        <v>240</v>
      </c>
      <c r="T715" s="5" t="s">
        <v>243</v>
      </c>
      <c r="U715" s="5" t="s">
        <v>244</v>
      </c>
      <c r="V715" s="5" t="s">
        <v>240</v>
      </c>
      <c r="Y715" s="5" t="s">
        <v>240</v>
      </c>
      <c r="Z715" s="6" t="s">
        <v>298</v>
      </c>
      <c r="AB715" s="6" t="s">
        <v>240</v>
      </c>
      <c r="AE715" s="6" t="s">
        <v>299</v>
      </c>
      <c r="AF715" s="5" t="s">
        <v>248</v>
      </c>
      <c r="AG715" s="5" t="s">
        <v>249</v>
      </c>
      <c r="AW715" s="5" t="s">
        <v>251</v>
      </c>
      <c r="AX715" s="5" t="s">
        <v>240</v>
      </c>
      <c r="AY715" s="5" t="s">
        <v>253</v>
      </c>
      <c r="AZ715" s="5" t="s">
        <v>240</v>
      </c>
      <c r="BA715" s="5" t="s">
        <v>255</v>
      </c>
      <c r="BB715" s="5" t="s">
        <v>240</v>
      </c>
      <c r="BD715" s="5" t="s">
        <v>240</v>
      </c>
      <c r="BF715" s="5" t="s">
        <v>301</v>
      </c>
      <c r="BG715" s="6" t="s">
        <v>299</v>
      </c>
      <c r="BH715" s="5" t="s">
        <v>302</v>
      </c>
      <c r="BI715" s="5" t="s">
        <v>303</v>
      </c>
      <c r="BJ715" s="5" t="s">
        <v>240</v>
      </c>
      <c r="BK715" s="8">
        <f>0</f>
        <v>0</v>
      </c>
      <c r="BL715" s="7">
        <f>0</f>
        <v>0</v>
      </c>
      <c r="BM715" s="5" t="s">
        <v>258</v>
      </c>
      <c r="BN715" s="5" t="s">
        <v>259</v>
      </c>
      <c r="CB715" s="5" t="s">
        <v>240</v>
      </c>
      <c r="CC715" s="5" t="s">
        <v>240</v>
      </c>
      <c r="CG715" s="5" t="s">
        <v>617</v>
      </c>
      <c r="CH715" s="5" t="s">
        <v>305</v>
      </c>
      <c r="CI715" s="5" t="s">
        <v>240</v>
      </c>
      <c r="CL715" s="6" t="s">
        <v>261</v>
      </c>
      <c r="CM715" s="5" t="s">
        <v>240</v>
      </c>
      <c r="CN715" s="5" t="s">
        <v>263</v>
      </c>
      <c r="CO715" s="5" t="s">
        <v>240</v>
      </c>
      <c r="CP715" s="5" t="s">
        <v>240</v>
      </c>
      <c r="CQ715" s="5">
        <v>0</v>
      </c>
      <c r="CR715" s="5" t="s">
        <v>306</v>
      </c>
      <c r="CS715" s="5" t="s">
        <v>307</v>
      </c>
      <c r="CT715" s="5" t="s">
        <v>307</v>
      </c>
      <c r="CU715" s="5" t="s">
        <v>260</v>
      </c>
      <c r="CX715" s="7">
        <f>12660940</f>
        <v>12660940</v>
      </c>
      <c r="CY715" s="7">
        <f>0</f>
        <v>0</v>
      </c>
      <c r="DA715" s="7">
        <f>0</f>
        <v>0</v>
      </c>
      <c r="DC715" s="5" t="s">
        <v>689</v>
      </c>
      <c r="DD715" s="5" t="s">
        <v>240</v>
      </c>
      <c r="DF715" s="5" t="s">
        <v>450</v>
      </c>
      <c r="DG715" s="7">
        <f>0</f>
        <v>0</v>
      </c>
      <c r="DI715" s="5" t="s">
        <v>618</v>
      </c>
      <c r="DJ715" s="5" t="s">
        <v>240</v>
      </c>
      <c r="DK715" s="5" t="s">
        <v>240</v>
      </c>
      <c r="DL715" s="5" t="s">
        <v>240</v>
      </c>
      <c r="DP715" s="5" t="s">
        <v>240</v>
      </c>
      <c r="DQ715" s="5" t="s">
        <v>240</v>
      </c>
      <c r="DR715" s="5" t="s">
        <v>240</v>
      </c>
      <c r="DS715" s="5" t="s">
        <v>240</v>
      </c>
      <c r="DV715" s="5" t="s">
        <v>1538</v>
      </c>
      <c r="DW715" s="5" t="s">
        <v>820</v>
      </c>
      <c r="HO715" s="5" t="s">
        <v>312</v>
      </c>
    </row>
    <row r="716" spans="1:223" x14ac:dyDescent="0.4">
      <c r="A716" s="5">
        <v>1578</v>
      </c>
      <c r="B716" s="5">
        <v>1</v>
      </c>
      <c r="C716" s="5">
        <v>1</v>
      </c>
      <c r="D716" s="5" t="s">
        <v>850</v>
      </c>
      <c r="E716" s="5" t="s">
        <v>725</v>
      </c>
      <c r="F716" s="5" t="s">
        <v>254</v>
      </c>
      <c r="G716" s="5" t="s">
        <v>240</v>
      </c>
      <c r="H716" s="6" t="s">
        <v>873</v>
      </c>
      <c r="I716" s="5" t="s">
        <v>849</v>
      </c>
      <c r="J716" s="8">
        <f>13311</f>
        <v>13311</v>
      </c>
      <c r="K716" s="5" t="s">
        <v>308</v>
      </c>
      <c r="L716" s="7">
        <f>146421</f>
        <v>146421</v>
      </c>
      <c r="M716" s="7">
        <f>146421</f>
        <v>146421</v>
      </c>
      <c r="N716" s="5" t="s">
        <v>242</v>
      </c>
      <c r="O716" s="5">
        <v>1</v>
      </c>
      <c r="P716" s="5" t="s">
        <v>294</v>
      </c>
      <c r="Q716" s="5" t="s">
        <v>613</v>
      </c>
      <c r="R716" s="5" t="s">
        <v>240</v>
      </c>
      <c r="S716" s="5" t="s">
        <v>240</v>
      </c>
      <c r="T716" s="5" t="s">
        <v>243</v>
      </c>
      <c r="U716" s="5" t="s">
        <v>244</v>
      </c>
      <c r="V716" s="5" t="s">
        <v>240</v>
      </c>
      <c r="Y716" s="5" t="s">
        <v>240</v>
      </c>
      <c r="Z716" s="6" t="s">
        <v>298</v>
      </c>
      <c r="AB716" s="6" t="s">
        <v>240</v>
      </c>
      <c r="AE716" s="6" t="s">
        <v>299</v>
      </c>
      <c r="AF716" s="5" t="s">
        <v>248</v>
      </c>
      <c r="AG716" s="5" t="s">
        <v>249</v>
      </c>
      <c r="AW716" s="5" t="s">
        <v>251</v>
      </c>
      <c r="AX716" s="5" t="s">
        <v>240</v>
      </c>
      <c r="AY716" s="5" t="s">
        <v>253</v>
      </c>
      <c r="AZ716" s="5" t="s">
        <v>240</v>
      </c>
      <c r="BA716" s="5" t="s">
        <v>255</v>
      </c>
      <c r="BB716" s="5" t="s">
        <v>240</v>
      </c>
      <c r="BD716" s="5" t="s">
        <v>240</v>
      </c>
      <c r="BF716" s="5" t="s">
        <v>301</v>
      </c>
      <c r="BG716" s="6" t="s">
        <v>299</v>
      </c>
      <c r="BH716" s="5" t="s">
        <v>302</v>
      </c>
      <c r="BI716" s="5" t="s">
        <v>303</v>
      </c>
      <c r="BJ716" s="5" t="s">
        <v>240</v>
      </c>
      <c r="BK716" s="8">
        <f>0</f>
        <v>0</v>
      </c>
      <c r="BL716" s="7">
        <f>0</f>
        <v>0</v>
      </c>
      <c r="BM716" s="5" t="s">
        <v>258</v>
      </c>
      <c r="BN716" s="5" t="s">
        <v>259</v>
      </c>
      <c r="CB716" s="5" t="s">
        <v>240</v>
      </c>
      <c r="CC716" s="5" t="s">
        <v>240</v>
      </c>
      <c r="CG716" s="5" t="s">
        <v>617</v>
      </c>
      <c r="CH716" s="5" t="s">
        <v>305</v>
      </c>
      <c r="CI716" s="5" t="s">
        <v>240</v>
      </c>
      <c r="CL716" s="6" t="s">
        <v>261</v>
      </c>
      <c r="CM716" s="5" t="s">
        <v>240</v>
      </c>
      <c r="CN716" s="5" t="s">
        <v>263</v>
      </c>
      <c r="CO716" s="5" t="s">
        <v>240</v>
      </c>
      <c r="CP716" s="5" t="s">
        <v>240</v>
      </c>
      <c r="CQ716" s="5">
        <v>0</v>
      </c>
      <c r="CR716" s="5" t="s">
        <v>306</v>
      </c>
      <c r="CS716" s="5" t="s">
        <v>307</v>
      </c>
      <c r="CT716" s="5" t="s">
        <v>307</v>
      </c>
      <c r="CU716" s="5" t="s">
        <v>260</v>
      </c>
      <c r="CX716" s="7">
        <f>378765</f>
        <v>378765</v>
      </c>
      <c r="CY716" s="7">
        <f>0</f>
        <v>0</v>
      </c>
      <c r="DA716" s="7">
        <f>0</f>
        <v>0</v>
      </c>
      <c r="DC716" s="5" t="s">
        <v>689</v>
      </c>
      <c r="DD716" s="5" t="s">
        <v>240</v>
      </c>
      <c r="DF716" s="5" t="s">
        <v>450</v>
      </c>
      <c r="DG716" s="7">
        <f>0</f>
        <v>0</v>
      </c>
      <c r="DI716" s="5" t="s">
        <v>618</v>
      </c>
      <c r="DJ716" s="5" t="s">
        <v>240</v>
      </c>
      <c r="DK716" s="5" t="s">
        <v>240</v>
      </c>
      <c r="DL716" s="5" t="s">
        <v>240</v>
      </c>
      <c r="DP716" s="5" t="s">
        <v>240</v>
      </c>
      <c r="DQ716" s="5" t="s">
        <v>240</v>
      </c>
      <c r="DR716" s="5" t="s">
        <v>240</v>
      </c>
      <c r="DS716" s="5" t="s">
        <v>240</v>
      </c>
      <c r="DV716" s="5" t="s">
        <v>1538</v>
      </c>
      <c r="DW716" s="5" t="s">
        <v>691</v>
      </c>
      <c r="HO716" s="5" t="s">
        <v>312</v>
      </c>
    </row>
    <row r="717" spans="1:223" x14ac:dyDescent="0.4">
      <c r="A717" s="5">
        <v>1579</v>
      </c>
      <c r="B717" s="5">
        <v>1</v>
      </c>
      <c r="C717" s="5">
        <v>1</v>
      </c>
      <c r="D717" s="5" t="s">
        <v>850</v>
      </c>
      <c r="E717" s="5" t="s">
        <v>725</v>
      </c>
      <c r="F717" s="5" t="s">
        <v>254</v>
      </c>
      <c r="G717" s="5" t="s">
        <v>871</v>
      </c>
      <c r="H717" s="6" t="s">
        <v>872</v>
      </c>
      <c r="I717" s="5" t="s">
        <v>849</v>
      </c>
      <c r="J717" s="8">
        <f>10417</f>
        <v>10417</v>
      </c>
      <c r="K717" s="5" t="s">
        <v>308</v>
      </c>
      <c r="L717" s="7">
        <f>114587</f>
        <v>114587</v>
      </c>
      <c r="M717" s="7">
        <f>114587</f>
        <v>114587</v>
      </c>
      <c r="N717" s="5" t="s">
        <v>242</v>
      </c>
      <c r="O717" s="5">
        <v>1</v>
      </c>
      <c r="P717" s="5" t="s">
        <v>294</v>
      </c>
      <c r="Q717" s="5" t="s">
        <v>613</v>
      </c>
      <c r="R717" s="5" t="s">
        <v>240</v>
      </c>
      <c r="S717" s="5" t="s">
        <v>240</v>
      </c>
      <c r="T717" s="5" t="s">
        <v>243</v>
      </c>
      <c r="U717" s="5" t="s">
        <v>244</v>
      </c>
      <c r="V717" s="5" t="s">
        <v>240</v>
      </c>
      <c r="Y717" s="5" t="s">
        <v>240</v>
      </c>
      <c r="Z717" s="6" t="s">
        <v>298</v>
      </c>
      <c r="AB717" s="6" t="s">
        <v>240</v>
      </c>
      <c r="AE717" s="6" t="s">
        <v>299</v>
      </c>
      <c r="AF717" s="5" t="s">
        <v>248</v>
      </c>
      <c r="AG717" s="5" t="s">
        <v>249</v>
      </c>
      <c r="AW717" s="5" t="s">
        <v>251</v>
      </c>
      <c r="AX717" s="5" t="s">
        <v>240</v>
      </c>
      <c r="AY717" s="5" t="s">
        <v>253</v>
      </c>
      <c r="AZ717" s="5" t="s">
        <v>240</v>
      </c>
      <c r="BA717" s="5" t="s">
        <v>255</v>
      </c>
      <c r="BB717" s="5" t="s">
        <v>240</v>
      </c>
      <c r="BD717" s="5" t="s">
        <v>240</v>
      </c>
      <c r="BF717" s="5" t="s">
        <v>301</v>
      </c>
      <c r="BG717" s="6" t="s">
        <v>299</v>
      </c>
      <c r="BH717" s="5" t="s">
        <v>302</v>
      </c>
      <c r="BI717" s="5" t="s">
        <v>303</v>
      </c>
      <c r="BJ717" s="5" t="s">
        <v>240</v>
      </c>
      <c r="BK717" s="8">
        <f>0</f>
        <v>0</v>
      </c>
      <c r="BL717" s="7">
        <f>0</f>
        <v>0</v>
      </c>
      <c r="BM717" s="5" t="s">
        <v>258</v>
      </c>
      <c r="BN717" s="5" t="s">
        <v>259</v>
      </c>
      <c r="CB717" s="5" t="s">
        <v>240</v>
      </c>
      <c r="CC717" s="5" t="s">
        <v>240</v>
      </c>
      <c r="CG717" s="5" t="s">
        <v>617</v>
      </c>
      <c r="CH717" s="5" t="s">
        <v>305</v>
      </c>
      <c r="CI717" s="5" t="s">
        <v>240</v>
      </c>
      <c r="CL717" s="6" t="s">
        <v>261</v>
      </c>
      <c r="CM717" s="5" t="s">
        <v>240</v>
      </c>
      <c r="CN717" s="5" t="s">
        <v>263</v>
      </c>
      <c r="CO717" s="5" t="s">
        <v>240</v>
      </c>
      <c r="CP717" s="5" t="s">
        <v>240</v>
      </c>
      <c r="CQ717" s="5">
        <v>0</v>
      </c>
      <c r="CR717" s="5" t="s">
        <v>306</v>
      </c>
      <c r="CS717" s="5" t="s">
        <v>307</v>
      </c>
      <c r="CT717" s="5" t="s">
        <v>307</v>
      </c>
      <c r="CU717" s="5" t="s">
        <v>260</v>
      </c>
      <c r="CX717" s="7">
        <f>11979</f>
        <v>11979</v>
      </c>
      <c r="CY717" s="7">
        <f>0</f>
        <v>0</v>
      </c>
      <c r="DA717" s="7">
        <f>0</f>
        <v>0</v>
      </c>
      <c r="DC717" s="5" t="s">
        <v>450</v>
      </c>
      <c r="DD717" s="5" t="s">
        <v>240</v>
      </c>
      <c r="DF717" s="5" t="s">
        <v>450</v>
      </c>
      <c r="DG717" s="7">
        <f>0</f>
        <v>0</v>
      </c>
      <c r="DI717" s="5" t="s">
        <v>737</v>
      </c>
      <c r="DJ717" s="5" t="s">
        <v>240</v>
      </c>
      <c r="DK717" s="5" t="s">
        <v>240</v>
      </c>
      <c r="DL717" s="5" t="s">
        <v>240</v>
      </c>
      <c r="DP717" s="5" t="s">
        <v>240</v>
      </c>
      <c r="DQ717" s="5" t="s">
        <v>240</v>
      </c>
      <c r="DR717" s="5" t="s">
        <v>240</v>
      </c>
      <c r="DS717" s="5" t="s">
        <v>240</v>
      </c>
      <c r="DV717" s="5" t="s">
        <v>1538</v>
      </c>
      <c r="DW717" s="5" t="s">
        <v>620</v>
      </c>
      <c r="HO717" s="5" t="s">
        <v>312</v>
      </c>
    </row>
    <row r="718" spans="1:223" x14ac:dyDescent="0.4">
      <c r="A718" s="5">
        <v>1580</v>
      </c>
      <c r="B718" s="5">
        <v>1</v>
      </c>
      <c r="C718" s="5">
        <v>1</v>
      </c>
      <c r="D718" s="5" t="s">
        <v>850</v>
      </c>
      <c r="E718" s="5" t="s">
        <v>725</v>
      </c>
      <c r="F718" s="5" t="s">
        <v>254</v>
      </c>
      <c r="G718" s="5" t="s">
        <v>868</v>
      </c>
      <c r="H718" s="6" t="s">
        <v>869</v>
      </c>
      <c r="I718" s="5" t="s">
        <v>849</v>
      </c>
      <c r="J718" s="8">
        <f>8203</f>
        <v>8203</v>
      </c>
      <c r="K718" s="5" t="s">
        <v>308</v>
      </c>
      <c r="L718" s="7">
        <f>90233</f>
        <v>90233</v>
      </c>
      <c r="M718" s="7">
        <f>90233</f>
        <v>90233</v>
      </c>
      <c r="N718" s="5" t="s">
        <v>242</v>
      </c>
      <c r="O718" s="5">
        <v>1</v>
      </c>
      <c r="P718" s="5" t="s">
        <v>294</v>
      </c>
      <c r="Q718" s="5" t="s">
        <v>613</v>
      </c>
      <c r="R718" s="5" t="s">
        <v>240</v>
      </c>
      <c r="S718" s="5" t="s">
        <v>240</v>
      </c>
      <c r="T718" s="5" t="s">
        <v>243</v>
      </c>
      <c r="U718" s="5" t="s">
        <v>244</v>
      </c>
      <c r="V718" s="5" t="s">
        <v>240</v>
      </c>
      <c r="Y718" s="5" t="s">
        <v>240</v>
      </c>
      <c r="Z718" s="6" t="s">
        <v>298</v>
      </c>
      <c r="AB718" s="6" t="s">
        <v>240</v>
      </c>
      <c r="AE718" s="6" t="s">
        <v>299</v>
      </c>
      <c r="AF718" s="5" t="s">
        <v>248</v>
      </c>
      <c r="AG718" s="5" t="s">
        <v>249</v>
      </c>
      <c r="AW718" s="5" t="s">
        <v>251</v>
      </c>
      <c r="AX718" s="5" t="s">
        <v>240</v>
      </c>
      <c r="AY718" s="5" t="s">
        <v>253</v>
      </c>
      <c r="AZ718" s="5" t="s">
        <v>240</v>
      </c>
      <c r="BA718" s="5" t="s">
        <v>255</v>
      </c>
      <c r="BB718" s="5" t="s">
        <v>240</v>
      </c>
      <c r="BD718" s="5" t="s">
        <v>240</v>
      </c>
      <c r="BF718" s="5" t="s">
        <v>301</v>
      </c>
      <c r="BG718" s="6" t="s">
        <v>299</v>
      </c>
      <c r="BH718" s="5" t="s">
        <v>302</v>
      </c>
      <c r="BI718" s="5" t="s">
        <v>303</v>
      </c>
      <c r="BJ718" s="5" t="s">
        <v>240</v>
      </c>
      <c r="BK718" s="8">
        <f>0</f>
        <v>0</v>
      </c>
      <c r="BL718" s="7">
        <f>0</f>
        <v>0</v>
      </c>
      <c r="BM718" s="5" t="s">
        <v>258</v>
      </c>
      <c r="BN718" s="5" t="s">
        <v>259</v>
      </c>
      <c r="CB718" s="5" t="s">
        <v>240</v>
      </c>
      <c r="CC718" s="5" t="s">
        <v>240</v>
      </c>
      <c r="CG718" s="5" t="s">
        <v>617</v>
      </c>
      <c r="CH718" s="5" t="s">
        <v>305</v>
      </c>
      <c r="CI718" s="5" t="s">
        <v>240</v>
      </c>
      <c r="CL718" s="6" t="s">
        <v>261</v>
      </c>
      <c r="CM718" s="5" t="s">
        <v>240</v>
      </c>
      <c r="CN718" s="5" t="s">
        <v>263</v>
      </c>
      <c r="CO718" s="5" t="s">
        <v>240</v>
      </c>
      <c r="CP718" s="5" t="s">
        <v>240</v>
      </c>
      <c r="CQ718" s="5">
        <v>0</v>
      </c>
      <c r="CR718" s="5" t="s">
        <v>306</v>
      </c>
      <c r="CS718" s="5" t="s">
        <v>307</v>
      </c>
      <c r="CT718" s="5" t="s">
        <v>307</v>
      </c>
      <c r="CU718" s="5" t="s">
        <v>260</v>
      </c>
      <c r="CX718" s="7">
        <f>1298</f>
        <v>1298</v>
      </c>
      <c r="CY718" s="7">
        <f>0</f>
        <v>0</v>
      </c>
      <c r="DA718" s="7">
        <f>0</f>
        <v>0</v>
      </c>
      <c r="DC718" s="5" t="s">
        <v>450</v>
      </c>
      <c r="DD718" s="5" t="s">
        <v>240</v>
      </c>
      <c r="DF718" s="5" t="s">
        <v>450</v>
      </c>
      <c r="DG718" s="7">
        <f>0</f>
        <v>0</v>
      </c>
      <c r="DH718" s="6" t="s">
        <v>1554</v>
      </c>
      <c r="DI718" s="5" t="s">
        <v>737</v>
      </c>
      <c r="DJ718" s="5" t="s">
        <v>240</v>
      </c>
      <c r="DK718" s="5" t="s">
        <v>240</v>
      </c>
      <c r="DL718" s="5" t="s">
        <v>240</v>
      </c>
      <c r="DP718" s="5" t="s">
        <v>240</v>
      </c>
      <c r="DQ718" s="5" t="s">
        <v>240</v>
      </c>
      <c r="DR718" s="5" t="s">
        <v>240</v>
      </c>
      <c r="DS718" s="5" t="s">
        <v>240</v>
      </c>
      <c r="DV718" s="5" t="s">
        <v>1538</v>
      </c>
      <c r="DW718" s="5" t="s">
        <v>621</v>
      </c>
      <c r="HO718" s="5" t="s">
        <v>312</v>
      </c>
    </row>
    <row r="719" spans="1:223" x14ac:dyDescent="0.4">
      <c r="A719" s="5">
        <v>1581</v>
      </c>
      <c r="B719" s="5">
        <v>1</v>
      </c>
      <c r="C719" s="5">
        <v>1</v>
      </c>
      <c r="D719" s="5" t="s">
        <v>723</v>
      </c>
      <c r="E719" s="5" t="s">
        <v>725</v>
      </c>
      <c r="F719" s="5" t="s">
        <v>254</v>
      </c>
      <c r="G719" s="5" t="s">
        <v>240</v>
      </c>
      <c r="H719" s="6" t="s">
        <v>866</v>
      </c>
      <c r="I719" s="5" t="s">
        <v>722</v>
      </c>
      <c r="J719" s="8">
        <f>1160</f>
        <v>1160</v>
      </c>
      <c r="K719" s="5" t="s">
        <v>308</v>
      </c>
      <c r="L719" s="7">
        <f>12760</f>
        <v>12760</v>
      </c>
      <c r="M719" s="7">
        <f>12760</f>
        <v>12760</v>
      </c>
      <c r="N719" s="5" t="s">
        <v>242</v>
      </c>
      <c r="O719" s="5">
        <v>1</v>
      </c>
      <c r="P719" s="5" t="s">
        <v>294</v>
      </c>
      <c r="Q719" s="5" t="s">
        <v>613</v>
      </c>
      <c r="R719" s="5" t="s">
        <v>240</v>
      </c>
      <c r="S719" s="5" t="s">
        <v>240</v>
      </c>
      <c r="T719" s="5" t="s">
        <v>243</v>
      </c>
      <c r="U719" s="5" t="s">
        <v>244</v>
      </c>
      <c r="V719" s="5" t="s">
        <v>240</v>
      </c>
      <c r="Y719" s="5" t="s">
        <v>240</v>
      </c>
      <c r="Z719" s="6" t="s">
        <v>298</v>
      </c>
      <c r="AB719" s="6" t="s">
        <v>240</v>
      </c>
      <c r="AE719" s="6" t="s">
        <v>299</v>
      </c>
      <c r="AF719" s="5" t="s">
        <v>248</v>
      </c>
      <c r="AG719" s="5" t="s">
        <v>249</v>
      </c>
      <c r="AW719" s="5" t="s">
        <v>251</v>
      </c>
      <c r="AX719" s="5" t="s">
        <v>240</v>
      </c>
      <c r="AY719" s="5" t="s">
        <v>253</v>
      </c>
      <c r="AZ719" s="5" t="s">
        <v>240</v>
      </c>
      <c r="BA719" s="5" t="s">
        <v>255</v>
      </c>
      <c r="BB719" s="5" t="s">
        <v>240</v>
      </c>
      <c r="BD719" s="5" t="s">
        <v>686</v>
      </c>
      <c r="BF719" s="5" t="s">
        <v>301</v>
      </c>
      <c r="BG719" s="6" t="s">
        <v>299</v>
      </c>
      <c r="BH719" s="5" t="s">
        <v>302</v>
      </c>
      <c r="BI719" s="5" t="s">
        <v>303</v>
      </c>
      <c r="BJ719" s="5" t="s">
        <v>240</v>
      </c>
      <c r="BK719" s="8">
        <f>0</f>
        <v>0</v>
      </c>
      <c r="BL719" s="7">
        <f>0</f>
        <v>0</v>
      </c>
      <c r="BM719" s="5" t="s">
        <v>258</v>
      </c>
      <c r="BN719" s="5" t="s">
        <v>259</v>
      </c>
      <c r="CB719" s="5" t="s">
        <v>240</v>
      </c>
      <c r="CC719" s="5" t="s">
        <v>240</v>
      </c>
      <c r="CG719" s="5" t="s">
        <v>617</v>
      </c>
      <c r="CH719" s="5" t="s">
        <v>305</v>
      </c>
      <c r="CI719" s="5" t="s">
        <v>240</v>
      </c>
      <c r="CL719" s="6" t="s">
        <v>261</v>
      </c>
      <c r="CM719" s="5" t="s">
        <v>240</v>
      </c>
      <c r="CN719" s="5" t="s">
        <v>263</v>
      </c>
      <c r="CO719" s="5" t="s">
        <v>240</v>
      </c>
      <c r="CP719" s="5" t="s">
        <v>240</v>
      </c>
      <c r="CQ719" s="5">
        <v>0</v>
      </c>
      <c r="CR719" s="5" t="s">
        <v>306</v>
      </c>
      <c r="CS719" s="5" t="s">
        <v>307</v>
      </c>
      <c r="CT719" s="5" t="s">
        <v>307</v>
      </c>
      <c r="CU719" s="5" t="s">
        <v>260</v>
      </c>
      <c r="CX719" s="7">
        <f>3183895</f>
        <v>3183895</v>
      </c>
      <c r="CY719" s="7">
        <f>0</f>
        <v>0</v>
      </c>
      <c r="DA719" s="7">
        <f>0</f>
        <v>0</v>
      </c>
      <c r="DC719" s="5" t="s">
        <v>450</v>
      </c>
      <c r="DD719" s="5" t="s">
        <v>240</v>
      </c>
      <c r="DF719" s="5" t="s">
        <v>450</v>
      </c>
      <c r="DG719" s="7">
        <f>0</f>
        <v>0</v>
      </c>
      <c r="DH719" s="6" t="s">
        <v>1556</v>
      </c>
      <c r="DI719" s="5" t="s">
        <v>737</v>
      </c>
      <c r="DJ719" s="5" t="s">
        <v>240</v>
      </c>
      <c r="DK719" s="5" t="s">
        <v>240</v>
      </c>
      <c r="DL719" s="5" t="s">
        <v>240</v>
      </c>
      <c r="DP719" s="5" t="s">
        <v>240</v>
      </c>
      <c r="DQ719" s="5" t="s">
        <v>240</v>
      </c>
      <c r="DR719" s="5" t="s">
        <v>240</v>
      </c>
      <c r="DS719" s="5" t="s">
        <v>240</v>
      </c>
      <c r="DV719" s="5" t="s">
        <v>1538</v>
      </c>
      <c r="DW719" s="5" t="s">
        <v>312</v>
      </c>
      <c r="HO719" s="5" t="s">
        <v>312</v>
      </c>
    </row>
    <row r="720" spans="1:223" x14ac:dyDescent="0.4">
      <c r="A720" s="5">
        <v>1582</v>
      </c>
      <c r="B720" s="5">
        <v>1</v>
      </c>
      <c r="C720" s="5">
        <v>1</v>
      </c>
      <c r="D720" s="5" t="s">
        <v>723</v>
      </c>
      <c r="E720" s="5" t="s">
        <v>725</v>
      </c>
      <c r="F720" s="5" t="s">
        <v>254</v>
      </c>
      <c r="G720" s="5" t="s">
        <v>864</v>
      </c>
      <c r="H720" s="6" t="s">
        <v>865</v>
      </c>
      <c r="I720" s="5" t="s">
        <v>849</v>
      </c>
      <c r="J720" s="8">
        <f>25302</f>
        <v>25302</v>
      </c>
      <c r="K720" s="5" t="s">
        <v>308</v>
      </c>
      <c r="L720" s="7">
        <f>278322</f>
        <v>278322</v>
      </c>
      <c r="M720" s="7">
        <f>278322</f>
        <v>278322</v>
      </c>
      <c r="N720" s="5" t="s">
        <v>242</v>
      </c>
      <c r="O720" s="5">
        <v>1</v>
      </c>
      <c r="P720" s="5" t="s">
        <v>294</v>
      </c>
      <c r="Q720" s="5" t="s">
        <v>613</v>
      </c>
      <c r="R720" s="5" t="s">
        <v>240</v>
      </c>
      <c r="S720" s="5" t="s">
        <v>240</v>
      </c>
      <c r="T720" s="5" t="s">
        <v>243</v>
      </c>
      <c r="U720" s="5" t="s">
        <v>244</v>
      </c>
      <c r="V720" s="5" t="s">
        <v>240</v>
      </c>
      <c r="Y720" s="5" t="s">
        <v>240</v>
      </c>
      <c r="Z720" s="6" t="s">
        <v>298</v>
      </c>
      <c r="AB720" s="6" t="s">
        <v>240</v>
      </c>
      <c r="AE720" s="6" t="s">
        <v>299</v>
      </c>
      <c r="AF720" s="5" t="s">
        <v>248</v>
      </c>
      <c r="AG720" s="5" t="s">
        <v>249</v>
      </c>
      <c r="AW720" s="5" t="s">
        <v>251</v>
      </c>
      <c r="AX720" s="5" t="s">
        <v>240</v>
      </c>
      <c r="AY720" s="5" t="s">
        <v>253</v>
      </c>
      <c r="AZ720" s="5" t="s">
        <v>240</v>
      </c>
      <c r="BA720" s="5" t="s">
        <v>255</v>
      </c>
      <c r="BB720" s="5" t="s">
        <v>240</v>
      </c>
      <c r="BD720" s="5" t="s">
        <v>240</v>
      </c>
      <c r="BF720" s="5" t="s">
        <v>301</v>
      </c>
      <c r="BG720" s="6" t="s">
        <v>299</v>
      </c>
      <c r="BH720" s="5" t="s">
        <v>302</v>
      </c>
      <c r="BI720" s="5" t="s">
        <v>303</v>
      </c>
      <c r="BJ720" s="5" t="s">
        <v>240</v>
      </c>
      <c r="BK720" s="8">
        <f>0</f>
        <v>0</v>
      </c>
      <c r="BL720" s="7">
        <f>0</f>
        <v>0</v>
      </c>
      <c r="BM720" s="5" t="s">
        <v>258</v>
      </c>
      <c r="BN720" s="5" t="s">
        <v>259</v>
      </c>
      <c r="CB720" s="5" t="s">
        <v>240</v>
      </c>
      <c r="CC720" s="5" t="s">
        <v>240</v>
      </c>
      <c r="CG720" s="5" t="s">
        <v>617</v>
      </c>
      <c r="CH720" s="5" t="s">
        <v>305</v>
      </c>
      <c r="CI720" s="5" t="s">
        <v>240</v>
      </c>
      <c r="CL720" s="6" t="s">
        <v>261</v>
      </c>
      <c r="CM720" s="5" t="s">
        <v>240</v>
      </c>
      <c r="CN720" s="5" t="s">
        <v>263</v>
      </c>
      <c r="CO720" s="5" t="s">
        <v>240</v>
      </c>
      <c r="CP720" s="5" t="s">
        <v>240</v>
      </c>
      <c r="CQ720" s="5">
        <v>0</v>
      </c>
      <c r="CR720" s="5" t="s">
        <v>306</v>
      </c>
      <c r="CS720" s="5" t="s">
        <v>307</v>
      </c>
      <c r="CT720" s="5" t="s">
        <v>307</v>
      </c>
      <c r="CU720" s="5" t="s">
        <v>260</v>
      </c>
      <c r="CX720" s="7">
        <f>406532</f>
        <v>406532</v>
      </c>
      <c r="CY720" s="7">
        <f>0</f>
        <v>0</v>
      </c>
      <c r="DA720" s="7">
        <f>0</f>
        <v>0</v>
      </c>
      <c r="DC720" s="5" t="s">
        <v>1320</v>
      </c>
      <c r="DD720" s="5" t="s">
        <v>240</v>
      </c>
      <c r="DF720" s="5" t="s">
        <v>1320</v>
      </c>
      <c r="DG720" s="7">
        <f>14519</f>
        <v>14519</v>
      </c>
      <c r="DH720" s="6" t="s">
        <v>1556</v>
      </c>
      <c r="DI720" s="5" t="s">
        <v>1320</v>
      </c>
      <c r="DJ720" s="5" t="s">
        <v>240</v>
      </c>
      <c r="DK720" s="5" t="s">
        <v>240</v>
      </c>
      <c r="DL720" s="5" t="s">
        <v>240</v>
      </c>
      <c r="DP720" s="5" t="s">
        <v>240</v>
      </c>
      <c r="DQ720" s="5" t="s">
        <v>240</v>
      </c>
      <c r="DR720" s="5" t="s">
        <v>240</v>
      </c>
      <c r="DS720" s="5" t="s">
        <v>240</v>
      </c>
      <c r="DV720" s="5" t="s">
        <v>1560</v>
      </c>
      <c r="DW720" s="5" t="s">
        <v>621</v>
      </c>
      <c r="HO720" s="5" t="s">
        <v>312</v>
      </c>
    </row>
    <row r="721" spans="1:240" x14ac:dyDescent="0.4">
      <c r="A721" s="5">
        <v>1583</v>
      </c>
      <c r="B721" s="5">
        <v>1</v>
      </c>
      <c r="C721" s="5">
        <v>1</v>
      </c>
      <c r="D721" s="5" t="s">
        <v>723</v>
      </c>
      <c r="E721" s="5" t="s">
        <v>725</v>
      </c>
      <c r="F721" s="5" t="s">
        <v>254</v>
      </c>
      <c r="G721" s="5" t="s">
        <v>862</v>
      </c>
      <c r="H721" s="6" t="s">
        <v>863</v>
      </c>
      <c r="I721" s="5" t="s">
        <v>849</v>
      </c>
      <c r="J721" s="8">
        <f>17099</f>
        <v>17099</v>
      </c>
      <c r="K721" s="5" t="s">
        <v>308</v>
      </c>
      <c r="L721" s="7">
        <f>188089</f>
        <v>188089</v>
      </c>
      <c r="M721" s="7">
        <f>188089</f>
        <v>188089</v>
      </c>
      <c r="N721" s="5" t="s">
        <v>242</v>
      </c>
      <c r="O721" s="5">
        <v>1</v>
      </c>
      <c r="P721" s="5" t="s">
        <v>294</v>
      </c>
      <c r="Q721" s="5" t="s">
        <v>613</v>
      </c>
      <c r="R721" s="5" t="s">
        <v>240</v>
      </c>
      <c r="S721" s="5" t="s">
        <v>240</v>
      </c>
      <c r="T721" s="5" t="s">
        <v>243</v>
      </c>
      <c r="U721" s="5" t="s">
        <v>244</v>
      </c>
      <c r="V721" s="5" t="s">
        <v>240</v>
      </c>
      <c r="Y721" s="5" t="s">
        <v>240</v>
      </c>
      <c r="Z721" s="6" t="s">
        <v>298</v>
      </c>
      <c r="AB721" s="6" t="s">
        <v>240</v>
      </c>
      <c r="AE721" s="6" t="s">
        <v>299</v>
      </c>
      <c r="AF721" s="5" t="s">
        <v>248</v>
      </c>
      <c r="AG721" s="5" t="s">
        <v>249</v>
      </c>
      <c r="AW721" s="5" t="s">
        <v>251</v>
      </c>
      <c r="AX721" s="5" t="s">
        <v>240</v>
      </c>
      <c r="AY721" s="5" t="s">
        <v>253</v>
      </c>
      <c r="AZ721" s="5" t="s">
        <v>240</v>
      </c>
      <c r="BA721" s="5" t="s">
        <v>255</v>
      </c>
      <c r="BB721" s="5" t="s">
        <v>240</v>
      </c>
      <c r="BD721" s="5" t="s">
        <v>686</v>
      </c>
      <c r="BF721" s="5" t="s">
        <v>301</v>
      </c>
      <c r="BG721" s="6" t="s">
        <v>299</v>
      </c>
      <c r="BH721" s="5" t="s">
        <v>302</v>
      </c>
      <c r="BI721" s="5" t="s">
        <v>303</v>
      </c>
      <c r="BJ721" s="5" t="s">
        <v>240</v>
      </c>
      <c r="BK721" s="8">
        <f>0</f>
        <v>0</v>
      </c>
      <c r="BL721" s="7">
        <f>0</f>
        <v>0</v>
      </c>
      <c r="BM721" s="5" t="s">
        <v>258</v>
      </c>
      <c r="BN721" s="5" t="s">
        <v>259</v>
      </c>
      <c r="CB721" s="5" t="s">
        <v>240</v>
      </c>
      <c r="CC721" s="5" t="s">
        <v>240</v>
      </c>
      <c r="CG721" s="5" t="s">
        <v>617</v>
      </c>
      <c r="CH721" s="5" t="s">
        <v>305</v>
      </c>
      <c r="CI721" s="5" t="s">
        <v>240</v>
      </c>
      <c r="CL721" s="6" t="s">
        <v>261</v>
      </c>
      <c r="CM721" s="5" t="s">
        <v>240</v>
      </c>
      <c r="CN721" s="5" t="s">
        <v>263</v>
      </c>
      <c r="CO721" s="5" t="s">
        <v>240</v>
      </c>
      <c r="CP721" s="5" t="s">
        <v>240</v>
      </c>
      <c r="CQ721" s="5">
        <v>0</v>
      </c>
      <c r="CR721" s="5" t="s">
        <v>306</v>
      </c>
      <c r="CS721" s="5" t="s">
        <v>307</v>
      </c>
      <c r="CT721" s="5" t="s">
        <v>307</v>
      </c>
      <c r="CU721" s="5" t="s">
        <v>260</v>
      </c>
      <c r="CX721" s="7">
        <f>571256</f>
        <v>571256</v>
      </c>
      <c r="CY721" s="7">
        <f>0</f>
        <v>0</v>
      </c>
      <c r="DA721" s="7">
        <f>0</f>
        <v>0</v>
      </c>
      <c r="DC721" s="5" t="s">
        <v>1320</v>
      </c>
      <c r="DD721" s="5" t="s">
        <v>240</v>
      </c>
      <c r="DF721" s="5" t="s">
        <v>1320</v>
      </c>
      <c r="DG721" s="7">
        <f>164926</f>
        <v>164926</v>
      </c>
      <c r="DH721" s="6" t="s">
        <v>1556</v>
      </c>
      <c r="DI721" s="5" t="s">
        <v>1320</v>
      </c>
      <c r="DJ721" s="5" t="s">
        <v>240</v>
      </c>
      <c r="DK721" s="5" t="s">
        <v>240</v>
      </c>
      <c r="DL721" s="5" t="s">
        <v>240</v>
      </c>
      <c r="DP721" s="5" t="s">
        <v>240</v>
      </c>
      <c r="DQ721" s="5" t="s">
        <v>240</v>
      </c>
      <c r="DR721" s="5" t="s">
        <v>240</v>
      </c>
      <c r="DS721" s="5" t="s">
        <v>240</v>
      </c>
      <c r="DV721" s="5" t="s">
        <v>1560</v>
      </c>
      <c r="DW721" s="5" t="s">
        <v>312</v>
      </c>
      <c r="HO721" s="5" t="s">
        <v>312</v>
      </c>
    </row>
    <row r="722" spans="1:240" x14ac:dyDescent="0.4">
      <c r="A722" s="5">
        <v>1584</v>
      </c>
      <c r="B722" s="5">
        <v>1</v>
      </c>
      <c r="C722" s="5">
        <v>1</v>
      </c>
      <c r="D722" s="5" t="s">
        <v>723</v>
      </c>
      <c r="E722" s="5" t="s">
        <v>725</v>
      </c>
      <c r="F722" s="5" t="s">
        <v>254</v>
      </c>
      <c r="G722" s="5" t="s">
        <v>4227</v>
      </c>
      <c r="H722" s="6" t="s">
        <v>4228</v>
      </c>
      <c r="I722" s="5" t="s">
        <v>849</v>
      </c>
      <c r="J722" s="8">
        <f>6249</f>
        <v>6249</v>
      </c>
      <c r="K722" s="5" t="s">
        <v>308</v>
      </c>
      <c r="L722" s="7">
        <f>68739</f>
        <v>68739</v>
      </c>
      <c r="M722" s="7">
        <f>68739</f>
        <v>68739</v>
      </c>
      <c r="N722" s="5" t="s">
        <v>242</v>
      </c>
      <c r="O722" s="5">
        <v>1</v>
      </c>
      <c r="P722" s="5" t="s">
        <v>294</v>
      </c>
      <c r="Q722" s="5" t="s">
        <v>613</v>
      </c>
      <c r="R722" s="5" t="s">
        <v>240</v>
      </c>
      <c r="S722" s="5" t="s">
        <v>240</v>
      </c>
      <c r="T722" s="5" t="s">
        <v>243</v>
      </c>
      <c r="U722" s="5" t="s">
        <v>244</v>
      </c>
      <c r="V722" s="5" t="s">
        <v>240</v>
      </c>
      <c r="Y722" s="5" t="s">
        <v>240</v>
      </c>
      <c r="Z722" s="6" t="s">
        <v>298</v>
      </c>
      <c r="AB722" s="6" t="s">
        <v>240</v>
      </c>
      <c r="AE722" s="6" t="s">
        <v>299</v>
      </c>
      <c r="AF722" s="5" t="s">
        <v>248</v>
      </c>
      <c r="AG722" s="5" t="s">
        <v>249</v>
      </c>
      <c r="AW722" s="5" t="s">
        <v>251</v>
      </c>
      <c r="AX722" s="5" t="s">
        <v>240</v>
      </c>
      <c r="AY722" s="5" t="s">
        <v>253</v>
      </c>
      <c r="AZ722" s="5" t="s">
        <v>240</v>
      </c>
      <c r="BA722" s="5" t="s">
        <v>255</v>
      </c>
      <c r="BB722" s="5" t="s">
        <v>240</v>
      </c>
      <c r="BD722" s="5" t="s">
        <v>686</v>
      </c>
      <c r="BF722" s="5" t="s">
        <v>301</v>
      </c>
      <c r="BG722" s="6" t="s">
        <v>299</v>
      </c>
      <c r="BH722" s="5" t="s">
        <v>302</v>
      </c>
      <c r="BI722" s="5" t="s">
        <v>303</v>
      </c>
      <c r="BJ722" s="5" t="s">
        <v>240</v>
      </c>
      <c r="BK722" s="8">
        <f>0</f>
        <v>0</v>
      </c>
      <c r="BL722" s="7">
        <f>0</f>
        <v>0</v>
      </c>
      <c r="BM722" s="5" t="s">
        <v>258</v>
      </c>
      <c r="BN722" s="5" t="s">
        <v>259</v>
      </c>
      <c r="CB722" s="5" t="s">
        <v>240</v>
      </c>
      <c r="CC722" s="5" t="s">
        <v>240</v>
      </c>
      <c r="CG722" s="5" t="s">
        <v>617</v>
      </c>
      <c r="CH722" s="5" t="s">
        <v>305</v>
      </c>
      <c r="CI722" s="5" t="s">
        <v>240</v>
      </c>
      <c r="CL722" s="6" t="s">
        <v>261</v>
      </c>
      <c r="CM722" s="5" t="s">
        <v>240</v>
      </c>
      <c r="CN722" s="5" t="s">
        <v>263</v>
      </c>
      <c r="CO722" s="5" t="s">
        <v>240</v>
      </c>
      <c r="CP722" s="5" t="s">
        <v>240</v>
      </c>
      <c r="CQ722" s="5">
        <v>0</v>
      </c>
      <c r="CR722" s="5" t="s">
        <v>306</v>
      </c>
      <c r="CS722" s="5" t="s">
        <v>307</v>
      </c>
      <c r="CT722" s="5" t="s">
        <v>307</v>
      </c>
      <c r="CU722" s="5" t="s">
        <v>260</v>
      </c>
      <c r="CX722" s="7">
        <f>30584720</f>
        <v>30584720</v>
      </c>
      <c r="CY722" s="7">
        <f>0</f>
        <v>0</v>
      </c>
      <c r="DA722" s="7">
        <f>0</f>
        <v>0</v>
      </c>
      <c r="DC722" s="5" t="s">
        <v>689</v>
      </c>
      <c r="DD722" s="5" t="s">
        <v>240</v>
      </c>
      <c r="DF722" s="5" t="s">
        <v>689</v>
      </c>
      <c r="DG722" s="7">
        <f>13808</f>
        <v>13808</v>
      </c>
      <c r="DH722" s="6" t="s">
        <v>1556</v>
      </c>
      <c r="DI722" s="5" t="s">
        <v>618</v>
      </c>
      <c r="DJ722" s="5" t="s">
        <v>240</v>
      </c>
      <c r="DK722" s="5" t="s">
        <v>240</v>
      </c>
      <c r="DL722" s="5" t="s">
        <v>240</v>
      </c>
      <c r="DP722" s="5" t="s">
        <v>240</v>
      </c>
      <c r="DQ722" s="5" t="s">
        <v>240</v>
      </c>
      <c r="DR722" s="5" t="s">
        <v>240</v>
      </c>
      <c r="DS722" s="5" t="s">
        <v>240</v>
      </c>
      <c r="DV722" s="5" t="s">
        <v>1566</v>
      </c>
      <c r="DW722" s="5" t="s">
        <v>312</v>
      </c>
      <c r="HO722" s="5" t="s">
        <v>312</v>
      </c>
    </row>
    <row r="723" spans="1:240" x14ac:dyDescent="0.4">
      <c r="A723" s="5">
        <v>1585</v>
      </c>
      <c r="B723" s="5">
        <v>1</v>
      </c>
      <c r="C723" s="5">
        <v>1</v>
      </c>
      <c r="D723" s="5" t="s">
        <v>723</v>
      </c>
      <c r="E723" s="5" t="s">
        <v>725</v>
      </c>
      <c r="F723" s="5" t="s">
        <v>254</v>
      </c>
      <c r="G723" s="5" t="s">
        <v>856</v>
      </c>
      <c r="H723" s="6" t="s">
        <v>857</v>
      </c>
      <c r="I723" s="5" t="s">
        <v>849</v>
      </c>
      <c r="J723" s="8">
        <f>1801</f>
        <v>1801</v>
      </c>
      <c r="K723" s="5" t="s">
        <v>308</v>
      </c>
      <c r="L723" s="7">
        <f>19811</f>
        <v>19811</v>
      </c>
      <c r="M723" s="7">
        <f>19811</f>
        <v>19811</v>
      </c>
      <c r="N723" s="5" t="s">
        <v>242</v>
      </c>
      <c r="O723" s="5">
        <v>1</v>
      </c>
      <c r="P723" s="5" t="s">
        <v>294</v>
      </c>
      <c r="Q723" s="5" t="s">
        <v>613</v>
      </c>
      <c r="R723" s="5" t="s">
        <v>240</v>
      </c>
      <c r="S723" s="5" t="s">
        <v>240</v>
      </c>
      <c r="T723" s="5" t="s">
        <v>243</v>
      </c>
      <c r="U723" s="5" t="s">
        <v>244</v>
      </c>
      <c r="V723" s="5" t="s">
        <v>240</v>
      </c>
      <c r="Y723" s="5" t="s">
        <v>240</v>
      </c>
      <c r="Z723" s="6" t="s">
        <v>298</v>
      </c>
      <c r="AB723" s="6" t="s">
        <v>240</v>
      </c>
      <c r="AE723" s="6" t="s">
        <v>299</v>
      </c>
      <c r="AF723" s="5" t="s">
        <v>248</v>
      </c>
      <c r="AG723" s="5" t="s">
        <v>249</v>
      </c>
      <c r="AW723" s="5" t="s">
        <v>251</v>
      </c>
      <c r="AX723" s="5" t="s">
        <v>240</v>
      </c>
      <c r="AY723" s="5" t="s">
        <v>253</v>
      </c>
      <c r="AZ723" s="5" t="s">
        <v>240</v>
      </c>
      <c r="BA723" s="5" t="s">
        <v>255</v>
      </c>
      <c r="BB723" s="5" t="s">
        <v>240</v>
      </c>
      <c r="BD723" s="5" t="s">
        <v>240</v>
      </c>
      <c r="BF723" s="5" t="s">
        <v>301</v>
      </c>
      <c r="BG723" s="6" t="s">
        <v>299</v>
      </c>
      <c r="BH723" s="5" t="s">
        <v>302</v>
      </c>
      <c r="BI723" s="5" t="s">
        <v>303</v>
      </c>
      <c r="BJ723" s="5" t="s">
        <v>240</v>
      </c>
      <c r="BK723" s="8">
        <f>0</f>
        <v>0</v>
      </c>
      <c r="BL723" s="7">
        <f>0</f>
        <v>0</v>
      </c>
      <c r="BM723" s="5" t="s">
        <v>258</v>
      </c>
      <c r="BN723" s="5" t="s">
        <v>259</v>
      </c>
      <c r="CB723" s="5" t="s">
        <v>240</v>
      </c>
      <c r="CC723" s="5" t="s">
        <v>240</v>
      </c>
      <c r="CG723" s="5" t="s">
        <v>617</v>
      </c>
      <c r="CH723" s="5" t="s">
        <v>305</v>
      </c>
      <c r="CI723" s="5" t="s">
        <v>240</v>
      </c>
      <c r="CL723" s="6" t="s">
        <v>261</v>
      </c>
      <c r="CM723" s="5" t="s">
        <v>240</v>
      </c>
      <c r="CN723" s="5" t="s">
        <v>263</v>
      </c>
      <c r="CO723" s="5" t="s">
        <v>240</v>
      </c>
      <c r="CP723" s="5" t="s">
        <v>240</v>
      </c>
      <c r="CQ723" s="5">
        <v>0</v>
      </c>
      <c r="CR723" s="5" t="s">
        <v>306</v>
      </c>
      <c r="CS723" s="5" t="s">
        <v>307</v>
      </c>
      <c r="CT723" s="5" t="s">
        <v>307</v>
      </c>
      <c r="CU723" s="5" t="s">
        <v>260</v>
      </c>
      <c r="CX723" s="7">
        <f>675575</f>
        <v>675575</v>
      </c>
      <c r="CY723" s="7">
        <f>0</f>
        <v>0</v>
      </c>
      <c r="DA723" s="7">
        <f>0</f>
        <v>0</v>
      </c>
      <c r="DC723" s="5" t="s">
        <v>689</v>
      </c>
      <c r="DD723" s="5" t="s">
        <v>240</v>
      </c>
      <c r="DF723" s="5" t="s">
        <v>689</v>
      </c>
      <c r="DG723" s="7">
        <f>305</f>
        <v>305</v>
      </c>
      <c r="DH723" s="6" t="s">
        <v>1556</v>
      </c>
      <c r="DI723" s="5" t="s">
        <v>618</v>
      </c>
      <c r="DJ723" s="5" t="s">
        <v>240</v>
      </c>
      <c r="DK723" s="5" t="s">
        <v>240</v>
      </c>
      <c r="DL723" s="5" t="s">
        <v>240</v>
      </c>
      <c r="DP723" s="5" t="s">
        <v>240</v>
      </c>
      <c r="DQ723" s="5" t="s">
        <v>240</v>
      </c>
      <c r="DR723" s="5" t="s">
        <v>240</v>
      </c>
      <c r="DS723" s="5" t="s">
        <v>240</v>
      </c>
      <c r="DV723" s="5" t="s">
        <v>1570</v>
      </c>
      <c r="DW723" s="5" t="s">
        <v>795</v>
      </c>
      <c r="HO723" s="5" t="s">
        <v>312</v>
      </c>
    </row>
    <row r="724" spans="1:240" x14ac:dyDescent="0.4">
      <c r="A724" s="5">
        <v>1586</v>
      </c>
      <c r="B724" s="5">
        <v>1</v>
      </c>
      <c r="C724" s="5">
        <v>1</v>
      </c>
      <c r="D724" s="5" t="s">
        <v>850</v>
      </c>
      <c r="E724" s="5" t="s">
        <v>851</v>
      </c>
      <c r="F724" s="5" t="s">
        <v>254</v>
      </c>
      <c r="G724" s="5" t="s">
        <v>852</v>
      </c>
      <c r="H724" s="6" t="s">
        <v>853</v>
      </c>
      <c r="I724" s="5" t="s">
        <v>849</v>
      </c>
      <c r="J724" s="8">
        <f>7878</f>
        <v>7878</v>
      </c>
      <c r="K724" s="5" t="s">
        <v>308</v>
      </c>
      <c r="L724" s="7">
        <f>17449770</f>
        <v>17449770</v>
      </c>
      <c r="M724" s="7">
        <f>17449770</f>
        <v>17449770</v>
      </c>
      <c r="N724" s="5" t="s">
        <v>242</v>
      </c>
      <c r="O724" s="5">
        <v>1</v>
      </c>
      <c r="P724" s="5" t="s">
        <v>294</v>
      </c>
      <c r="Q724" s="5" t="s">
        <v>613</v>
      </c>
      <c r="R724" s="5" t="s">
        <v>240</v>
      </c>
      <c r="S724" s="5" t="s">
        <v>240</v>
      </c>
      <c r="T724" s="5" t="s">
        <v>243</v>
      </c>
      <c r="U724" s="5" t="s">
        <v>244</v>
      </c>
      <c r="V724" s="5" t="s">
        <v>240</v>
      </c>
      <c r="Y724" s="5" t="s">
        <v>240</v>
      </c>
      <c r="Z724" s="6" t="s">
        <v>298</v>
      </c>
      <c r="AB724" s="6" t="s">
        <v>240</v>
      </c>
      <c r="AE724" s="6" t="s">
        <v>299</v>
      </c>
      <c r="AF724" s="5" t="s">
        <v>248</v>
      </c>
      <c r="AG724" s="5" t="s">
        <v>249</v>
      </c>
      <c r="AW724" s="5" t="s">
        <v>251</v>
      </c>
      <c r="AX724" s="5" t="s">
        <v>240</v>
      </c>
      <c r="AY724" s="5" t="s">
        <v>253</v>
      </c>
      <c r="AZ724" s="5" t="s">
        <v>240</v>
      </c>
      <c r="BA724" s="5" t="s">
        <v>255</v>
      </c>
      <c r="BB724" s="5" t="s">
        <v>240</v>
      </c>
      <c r="BD724" s="5" t="s">
        <v>240</v>
      </c>
      <c r="BF724" s="5" t="s">
        <v>301</v>
      </c>
      <c r="BG724" s="6" t="s">
        <v>299</v>
      </c>
      <c r="BH724" s="5" t="s">
        <v>302</v>
      </c>
      <c r="BI724" s="5" t="s">
        <v>303</v>
      </c>
      <c r="BJ724" s="5" t="s">
        <v>240</v>
      </c>
      <c r="BK724" s="8">
        <f>0</f>
        <v>0</v>
      </c>
      <c r="BL724" s="7">
        <f>0</f>
        <v>0</v>
      </c>
      <c r="BM724" s="5" t="s">
        <v>258</v>
      </c>
      <c r="BN724" s="5" t="s">
        <v>259</v>
      </c>
      <c r="CB724" s="5" t="s">
        <v>240</v>
      </c>
      <c r="CC724" s="5" t="s">
        <v>240</v>
      </c>
      <c r="CG724" s="5" t="s">
        <v>617</v>
      </c>
      <c r="CH724" s="5" t="s">
        <v>305</v>
      </c>
      <c r="CI724" s="5" t="s">
        <v>240</v>
      </c>
      <c r="CL724" s="6" t="s">
        <v>261</v>
      </c>
      <c r="CM724" s="5" t="s">
        <v>240</v>
      </c>
      <c r="CN724" s="5" t="s">
        <v>263</v>
      </c>
      <c r="CO724" s="5" t="s">
        <v>240</v>
      </c>
      <c r="CP724" s="5" t="s">
        <v>240</v>
      </c>
      <c r="CQ724" s="5">
        <v>0</v>
      </c>
      <c r="CR724" s="5" t="s">
        <v>306</v>
      </c>
      <c r="CS724" s="5" t="s">
        <v>307</v>
      </c>
      <c r="CT724" s="5" t="s">
        <v>307</v>
      </c>
      <c r="CU724" s="5" t="s">
        <v>260</v>
      </c>
      <c r="CX724" s="7">
        <f>1422030</f>
        <v>1422030</v>
      </c>
      <c r="CY724" s="7">
        <f>0</f>
        <v>0</v>
      </c>
      <c r="DA724" s="7">
        <f>0</f>
        <v>0</v>
      </c>
      <c r="DC724" s="5" t="s">
        <v>689</v>
      </c>
      <c r="DD724" s="5" t="s">
        <v>240</v>
      </c>
      <c r="DF724" s="5" t="s">
        <v>689</v>
      </c>
      <c r="DG724" s="7">
        <f>642</f>
        <v>642</v>
      </c>
      <c r="DH724" s="6" t="s">
        <v>1556</v>
      </c>
      <c r="DI724" s="5" t="s">
        <v>618</v>
      </c>
      <c r="DJ724" s="5" t="s">
        <v>240</v>
      </c>
      <c r="DK724" s="5" t="s">
        <v>240</v>
      </c>
      <c r="DL724" s="5" t="s">
        <v>240</v>
      </c>
      <c r="DP724" s="5" t="s">
        <v>240</v>
      </c>
      <c r="DQ724" s="5" t="s">
        <v>240</v>
      </c>
      <c r="DR724" s="5" t="s">
        <v>240</v>
      </c>
      <c r="DS724" s="5" t="s">
        <v>240</v>
      </c>
      <c r="DV724" s="5" t="s">
        <v>1570</v>
      </c>
      <c r="DW724" s="5" t="s">
        <v>797</v>
      </c>
      <c r="HO724" s="5" t="s">
        <v>312</v>
      </c>
    </row>
    <row r="725" spans="1:240" x14ac:dyDescent="0.4">
      <c r="A725" s="5">
        <v>1587</v>
      </c>
      <c r="B725" s="5">
        <v>1</v>
      </c>
      <c r="C725" s="5">
        <v>1</v>
      </c>
      <c r="D725" s="5" t="s">
        <v>846</v>
      </c>
      <c r="E725" s="5" t="s">
        <v>418</v>
      </c>
      <c r="F725" s="5" t="s">
        <v>254</v>
      </c>
      <c r="G725" s="5" t="s">
        <v>240</v>
      </c>
      <c r="H725" s="6" t="s">
        <v>847</v>
      </c>
      <c r="I725" s="5" t="s">
        <v>845</v>
      </c>
      <c r="J725" s="8">
        <f>5396.26</f>
        <v>5396.26</v>
      </c>
      <c r="K725" s="5" t="s">
        <v>308</v>
      </c>
      <c r="L725" s="7">
        <f>15445324</f>
        <v>15445324</v>
      </c>
      <c r="M725" s="7">
        <f>15445324</f>
        <v>15445324</v>
      </c>
      <c r="N725" s="5" t="s">
        <v>242</v>
      </c>
      <c r="O725" s="5">
        <v>1</v>
      </c>
      <c r="P725" s="5" t="s">
        <v>294</v>
      </c>
      <c r="Q725" s="5" t="s">
        <v>613</v>
      </c>
      <c r="R725" s="5" t="s">
        <v>240</v>
      </c>
      <c r="S725" s="5" t="s">
        <v>240</v>
      </c>
      <c r="T725" s="5" t="s">
        <v>243</v>
      </c>
      <c r="U725" s="5" t="s">
        <v>244</v>
      </c>
      <c r="V725" s="5" t="s">
        <v>240</v>
      </c>
      <c r="Y725" s="5" t="s">
        <v>240</v>
      </c>
      <c r="Z725" s="6" t="s">
        <v>298</v>
      </c>
      <c r="AB725" s="6" t="s">
        <v>240</v>
      </c>
      <c r="AE725" s="6" t="s">
        <v>299</v>
      </c>
      <c r="AF725" s="5" t="s">
        <v>248</v>
      </c>
      <c r="AG725" s="5" t="s">
        <v>249</v>
      </c>
      <c r="AW725" s="5" t="s">
        <v>251</v>
      </c>
      <c r="AX725" s="5" t="s">
        <v>240</v>
      </c>
      <c r="AY725" s="5" t="s">
        <v>253</v>
      </c>
      <c r="AZ725" s="5" t="s">
        <v>240</v>
      </c>
      <c r="BA725" s="5" t="s">
        <v>255</v>
      </c>
      <c r="BB725" s="5" t="s">
        <v>240</v>
      </c>
      <c r="BD725" s="5" t="s">
        <v>240</v>
      </c>
      <c r="BF725" s="5" t="s">
        <v>301</v>
      </c>
      <c r="BG725" s="6" t="s">
        <v>299</v>
      </c>
      <c r="BH725" s="5" t="s">
        <v>302</v>
      </c>
      <c r="BI725" s="5" t="s">
        <v>303</v>
      </c>
      <c r="BJ725" s="5" t="s">
        <v>240</v>
      </c>
      <c r="BK725" s="8">
        <f>0</f>
        <v>0</v>
      </c>
      <c r="BL725" s="7">
        <f>0</f>
        <v>0</v>
      </c>
      <c r="BM725" s="5" t="s">
        <v>258</v>
      </c>
      <c r="BN725" s="5" t="s">
        <v>259</v>
      </c>
      <c r="CB725" s="5" t="s">
        <v>240</v>
      </c>
      <c r="CC725" s="5" t="s">
        <v>240</v>
      </c>
      <c r="CG725" s="5" t="s">
        <v>617</v>
      </c>
      <c r="CH725" s="5" t="s">
        <v>305</v>
      </c>
      <c r="CI725" s="5" t="s">
        <v>240</v>
      </c>
      <c r="CL725" s="6" t="s">
        <v>261</v>
      </c>
      <c r="CM725" s="5" t="s">
        <v>240</v>
      </c>
      <c r="CN725" s="5" t="s">
        <v>263</v>
      </c>
      <c r="CO725" s="5" t="s">
        <v>240</v>
      </c>
      <c r="CP725" s="5" t="s">
        <v>240</v>
      </c>
      <c r="CQ725" s="5">
        <v>0</v>
      </c>
      <c r="CR725" s="5" t="s">
        <v>306</v>
      </c>
      <c r="CS725" s="5" t="s">
        <v>307</v>
      </c>
      <c r="CT725" s="5" t="s">
        <v>307</v>
      </c>
      <c r="CU725" s="5" t="s">
        <v>260</v>
      </c>
      <c r="CX725" s="7">
        <f>981245</f>
        <v>981245</v>
      </c>
      <c r="CY725" s="7">
        <f>0</f>
        <v>0</v>
      </c>
      <c r="DA725" s="7">
        <f>0</f>
        <v>0</v>
      </c>
      <c r="DC725" s="5" t="s">
        <v>689</v>
      </c>
      <c r="DD725" s="5" t="s">
        <v>240</v>
      </c>
      <c r="DF725" s="5" t="s">
        <v>689</v>
      </c>
      <c r="DG725" s="7">
        <f>443</f>
        <v>443</v>
      </c>
      <c r="DH725" s="6" t="s">
        <v>1556</v>
      </c>
      <c r="DI725" s="5" t="s">
        <v>618</v>
      </c>
      <c r="DJ725" s="5" t="s">
        <v>240</v>
      </c>
      <c r="DK725" s="5" t="s">
        <v>240</v>
      </c>
      <c r="DL725" s="5" t="s">
        <v>240</v>
      </c>
      <c r="DP725" s="5" t="s">
        <v>240</v>
      </c>
      <c r="DQ725" s="5" t="s">
        <v>240</v>
      </c>
      <c r="DR725" s="5" t="s">
        <v>240</v>
      </c>
      <c r="DS725" s="5" t="s">
        <v>240</v>
      </c>
      <c r="DV725" s="5" t="s">
        <v>1570</v>
      </c>
      <c r="DW725" s="5" t="s">
        <v>799</v>
      </c>
      <c r="HO725" s="5" t="s">
        <v>312</v>
      </c>
    </row>
    <row r="726" spans="1:240" x14ac:dyDescent="0.4">
      <c r="A726" s="5">
        <v>1588</v>
      </c>
      <c r="B726" s="5">
        <v>1</v>
      </c>
      <c r="C726" s="5">
        <v>1</v>
      </c>
      <c r="D726" s="5" t="s">
        <v>840</v>
      </c>
      <c r="E726" s="5" t="s">
        <v>418</v>
      </c>
      <c r="F726" s="5" t="s">
        <v>254</v>
      </c>
      <c r="G726" s="5" t="s">
        <v>240</v>
      </c>
      <c r="H726" s="6" t="s">
        <v>841</v>
      </c>
      <c r="I726" s="5" t="s">
        <v>839</v>
      </c>
      <c r="J726" s="8">
        <f>1298.33</f>
        <v>1298.33</v>
      </c>
      <c r="K726" s="5" t="s">
        <v>308</v>
      </c>
      <c r="L726" s="7">
        <f>7974342</f>
        <v>7974342</v>
      </c>
      <c r="M726" s="7">
        <f>7974342</f>
        <v>7974342</v>
      </c>
      <c r="N726" s="5" t="s">
        <v>242</v>
      </c>
      <c r="O726" s="5">
        <v>1</v>
      </c>
      <c r="P726" s="5" t="s">
        <v>294</v>
      </c>
      <c r="Q726" s="5" t="s">
        <v>266</v>
      </c>
      <c r="R726" s="5" t="s">
        <v>240</v>
      </c>
      <c r="S726" s="5" t="s">
        <v>240</v>
      </c>
      <c r="T726" s="5" t="s">
        <v>296</v>
      </c>
      <c r="U726" s="5" t="s">
        <v>244</v>
      </c>
      <c r="V726" s="5" t="s">
        <v>240</v>
      </c>
      <c r="Y726" s="5" t="s">
        <v>240</v>
      </c>
      <c r="Z726" s="6" t="s">
        <v>298</v>
      </c>
      <c r="AB726" s="6" t="s">
        <v>240</v>
      </c>
      <c r="AE726" s="6" t="s">
        <v>299</v>
      </c>
      <c r="AF726" s="5" t="s">
        <v>248</v>
      </c>
      <c r="AG726" s="5" t="s">
        <v>249</v>
      </c>
      <c r="AW726" s="5" t="s">
        <v>251</v>
      </c>
      <c r="AX726" s="5" t="s">
        <v>240</v>
      </c>
      <c r="AY726" s="5" t="s">
        <v>253</v>
      </c>
      <c r="AZ726" s="5" t="s">
        <v>240</v>
      </c>
      <c r="BA726" s="5" t="s">
        <v>255</v>
      </c>
      <c r="BB726" s="5" t="s">
        <v>240</v>
      </c>
      <c r="BD726" s="5" t="s">
        <v>240</v>
      </c>
      <c r="BF726" s="5" t="s">
        <v>301</v>
      </c>
      <c r="BG726" s="6" t="s">
        <v>299</v>
      </c>
      <c r="BH726" s="5" t="s">
        <v>302</v>
      </c>
      <c r="BI726" s="5" t="s">
        <v>303</v>
      </c>
      <c r="BJ726" s="5" t="s">
        <v>240</v>
      </c>
      <c r="BK726" s="8">
        <f>0</f>
        <v>0</v>
      </c>
      <c r="BL726" s="7">
        <f>0</f>
        <v>0</v>
      </c>
      <c r="BM726" s="5" t="s">
        <v>258</v>
      </c>
      <c r="BN726" s="5" t="s">
        <v>259</v>
      </c>
      <c r="CB726" s="5" t="s">
        <v>240</v>
      </c>
      <c r="CC726" s="5" t="s">
        <v>240</v>
      </c>
      <c r="CG726" s="5" t="s">
        <v>304</v>
      </c>
      <c r="CH726" s="5" t="s">
        <v>305</v>
      </c>
      <c r="CI726" s="5" t="s">
        <v>240</v>
      </c>
      <c r="CL726" s="6" t="s">
        <v>261</v>
      </c>
      <c r="CM726" s="5" t="s">
        <v>240</v>
      </c>
      <c r="CN726" s="5" t="s">
        <v>263</v>
      </c>
      <c r="CO726" s="5" t="s">
        <v>240</v>
      </c>
      <c r="CP726" s="5" t="s">
        <v>240</v>
      </c>
      <c r="CQ726" s="5">
        <v>0</v>
      </c>
      <c r="CR726" s="5" t="s">
        <v>306</v>
      </c>
      <c r="CS726" s="5" t="s">
        <v>307</v>
      </c>
      <c r="CT726" s="5" t="s">
        <v>307</v>
      </c>
      <c r="CU726" s="5" t="s">
        <v>260</v>
      </c>
      <c r="CX726" s="7">
        <f>1</f>
        <v>1</v>
      </c>
      <c r="CY726" s="7">
        <f>0</f>
        <v>0</v>
      </c>
      <c r="DA726" s="7">
        <f>0</f>
        <v>0</v>
      </c>
      <c r="DC726" s="5" t="s">
        <v>812</v>
      </c>
      <c r="DD726" s="5" t="s">
        <v>240</v>
      </c>
      <c r="DF726" s="5" t="s">
        <v>812</v>
      </c>
      <c r="DG726" s="7">
        <f>1232</f>
        <v>1232</v>
      </c>
      <c r="DI726" s="5" t="s">
        <v>240</v>
      </c>
      <c r="DJ726" s="5" t="s">
        <v>240</v>
      </c>
      <c r="DK726" s="5" t="s">
        <v>240</v>
      </c>
      <c r="DL726" s="5" t="s">
        <v>240</v>
      </c>
      <c r="DP726" s="5" t="s">
        <v>240</v>
      </c>
      <c r="DQ726" s="5" t="s">
        <v>240</v>
      </c>
      <c r="DR726" s="5" t="s">
        <v>240</v>
      </c>
      <c r="DS726" s="5" t="s">
        <v>240</v>
      </c>
      <c r="DV726" s="5" t="s">
        <v>813</v>
      </c>
      <c r="DW726" s="5" t="s">
        <v>1574</v>
      </c>
      <c r="HO726" s="5" t="s">
        <v>312</v>
      </c>
    </row>
    <row r="727" spans="1:240" x14ac:dyDescent="0.4">
      <c r="A727" s="5">
        <v>1589</v>
      </c>
      <c r="B727" s="5">
        <v>1</v>
      </c>
      <c r="C727" s="5">
        <v>1</v>
      </c>
      <c r="D727" s="5" t="s">
        <v>2111</v>
      </c>
      <c r="E727" s="5" t="s">
        <v>418</v>
      </c>
      <c r="F727" s="5" t="s">
        <v>254</v>
      </c>
      <c r="G727" s="5" t="s">
        <v>240</v>
      </c>
      <c r="H727" s="6" t="s">
        <v>2113</v>
      </c>
      <c r="I727" s="5" t="s">
        <v>2110</v>
      </c>
      <c r="J727" s="8">
        <f>690</f>
        <v>690</v>
      </c>
      <c r="K727" s="5" t="s">
        <v>308</v>
      </c>
      <c r="L727" s="7">
        <f>1528350</f>
        <v>1528350</v>
      </c>
      <c r="M727" s="7">
        <f>1528350</f>
        <v>1528350</v>
      </c>
      <c r="N727" s="5" t="s">
        <v>242</v>
      </c>
      <c r="O727" s="5">
        <v>1</v>
      </c>
      <c r="P727" s="5" t="s">
        <v>294</v>
      </c>
      <c r="Q727" s="5" t="s">
        <v>613</v>
      </c>
      <c r="R727" s="5" t="s">
        <v>240</v>
      </c>
      <c r="S727" s="5" t="s">
        <v>240</v>
      </c>
      <c r="T727" s="5" t="s">
        <v>243</v>
      </c>
      <c r="U727" s="5" t="s">
        <v>244</v>
      </c>
      <c r="V727" s="5" t="s">
        <v>240</v>
      </c>
      <c r="Y727" s="5" t="s">
        <v>240</v>
      </c>
      <c r="Z727" s="6" t="s">
        <v>298</v>
      </c>
      <c r="AB727" s="6" t="s">
        <v>240</v>
      </c>
      <c r="AE727" s="6" t="s">
        <v>299</v>
      </c>
      <c r="AF727" s="5" t="s">
        <v>248</v>
      </c>
      <c r="AG727" s="5" t="s">
        <v>249</v>
      </c>
      <c r="AW727" s="5" t="s">
        <v>251</v>
      </c>
      <c r="AX727" s="5" t="s">
        <v>240</v>
      </c>
      <c r="AY727" s="5" t="s">
        <v>253</v>
      </c>
      <c r="AZ727" s="5" t="s">
        <v>240</v>
      </c>
      <c r="BA727" s="5" t="s">
        <v>255</v>
      </c>
      <c r="BB727" s="5" t="s">
        <v>240</v>
      </c>
      <c r="BD727" s="5" t="s">
        <v>240</v>
      </c>
      <c r="BF727" s="5" t="s">
        <v>301</v>
      </c>
      <c r="BG727" s="6" t="s">
        <v>299</v>
      </c>
      <c r="BH727" s="5" t="s">
        <v>302</v>
      </c>
      <c r="BI727" s="5" t="s">
        <v>303</v>
      </c>
      <c r="BJ727" s="5" t="s">
        <v>240</v>
      </c>
      <c r="BK727" s="8">
        <f>0</f>
        <v>0</v>
      </c>
      <c r="BL727" s="7">
        <f>0</f>
        <v>0</v>
      </c>
      <c r="BM727" s="5" t="s">
        <v>258</v>
      </c>
      <c r="BN727" s="5" t="s">
        <v>259</v>
      </c>
      <c r="CB727" s="5" t="s">
        <v>240</v>
      </c>
      <c r="CC727" s="5" t="s">
        <v>240</v>
      </c>
      <c r="CG727" s="5" t="s">
        <v>617</v>
      </c>
      <c r="CH727" s="5" t="s">
        <v>305</v>
      </c>
      <c r="CI727" s="5" t="s">
        <v>240</v>
      </c>
      <c r="CL727" s="6" t="s">
        <v>261</v>
      </c>
      <c r="CM727" s="5" t="s">
        <v>240</v>
      </c>
      <c r="CN727" s="5" t="s">
        <v>263</v>
      </c>
      <c r="CO727" s="5" t="s">
        <v>240</v>
      </c>
      <c r="CP727" s="5" t="s">
        <v>240</v>
      </c>
      <c r="CQ727" s="5">
        <v>0</v>
      </c>
      <c r="CR727" s="5" t="s">
        <v>306</v>
      </c>
      <c r="CS727" s="5" t="s">
        <v>307</v>
      </c>
      <c r="CT727" s="5" t="s">
        <v>307</v>
      </c>
      <c r="CU727" s="5" t="s">
        <v>260</v>
      </c>
      <c r="CX727" s="7">
        <f>285735</f>
        <v>285735</v>
      </c>
      <c r="CY727" s="7">
        <f>0</f>
        <v>0</v>
      </c>
      <c r="DA727" s="7">
        <f>0</f>
        <v>0</v>
      </c>
      <c r="DC727" s="5" t="s">
        <v>689</v>
      </c>
      <c r="DD727" s="5" t="s">
        <v>240</v>
      </c>
      <c r="DF727" s="5" t="s">
        <v>689</v>
      </c>
      <c r="DG727" s="7">
        <f>129</f>
        <v>129</v>
      </c>
      <c r="DH727" s="6" t="s">
        <v>1556</v>
      </c>
      <c r="DI727" s="5" t="s">
        <v>618</v>
      </c>
      <c r="DJ727" s="5" t="s">
        <v>240</v>
      </c>
      <c r="DK727" s="5" t="s">
        <v>240</v>
      </c>
      <c r="DL727" s="5" t="s">
        <v>240</v>
      </c>
      <c r="DP727" s="5" t="s">
        <v>240</v>
      </c>
      <c r="DQ727" s="5" t="s">
        <v>240</v>
      </c>
      <c r="DR727" s="5" t="s">
        <v>240</v>
      </c>
      <c r="DS727" s="5" t="s">
        <v>240</v>
      </c>
      <c r="DV727" s="5" t="s">
        <v>1570</v>
      </c>
      <c r="DW727" s="5" t="s">
        <v>804</v>
      </c>
      <c r="HO727" s="5" t="s">
        <v>312</v>
      </c>
    </row>
    <row r="728" spans="1:240" x14ac:dyDescent="0.4">
      <c r="A728" s="5">
        <v>1591</v>
      </c>
      <c r="B728" s="5">
        <v>1</v>
      </c>
      <c r="C728" s="5">
        <v>1</v>
      </c>
      <c r="D728" s="5" t="s">
        <v>829</v>
      </c>
      <c r="E728" s="5" t="s">
        <v>418</v>
      </c>
      <c r="F728" s="5" t="s">
        <v>254</v>
      </c>
      <c r="G728" s="5" t="s">
        <v>240</v>
      </c>
      <c r="H728" s="6" t="s">
        <v>838</v>
      </c>
      <c r="I728" s="5" t="s">
        <v>828</v>
      </c>
      <c r="J728" s="8">
        <f>36</f>
        <v>36</v>
      </c>
      <c r="K728" s="5" t="s">
        <v>308</v>
      </c>
      <c r="L728" s="7">
        <f>79740</f>
        <v>79740</v>
      </c>
      <c r="M728" s="7">
        <f>79740</f>
        <v>79740</v>
      </c>
      <c r="N728" s="5" t="s">
        <v>242</v>
      </c>
      <c r="O728" s="5">
        <v>1</v>
      </c>
      <c r="P728" s="5" t="s">
        <v>294</v>
      </c>
      <c r="Q728" s="5" t="s">
        <v>266</v>
      </c>
      <c r="R728" s="5" t="s">
        <v>240</v>
      </c>
      <c r="S728" s="5" t="s">
        <v>240</v>
      </c>
      <c r="T728" s="5" t="s">
        <v>296</v>
      </c>
      <c r="U728" s="5" t="s">
        <v>244</v>
      </c>
      <c r="V728" s="5" t="s">
        <v>240</v>
      </c>
      <c r="Y728" s="5" t="s">
        <v>240</v>
      </c>
      <c r="Z728" s="6" t="s">
        <v>298</v>
      </c>
      <c r="AB728" s="6" t="s">
        <v>240</v>
      </c>
      <c r="AE728" s="6" t="s">
        <v>299</v>
      </c>
      <c r="AF728" s="5" t="s">
        <v>248</v>
      </c>
      <c r="AG728" s="5" t="s">
        <v>249</v>
      </c>
      <c r="AW728" s="5" t="s">
        <v>251</v>
      </c>
      <c r="AX728" s="5" t="s">
        <v>240</v>
      </c>
      <c r="AY728" s="5" t="s">
        <v>253</v>
      </c>
      <c r="AZ728" s="5" t="s">
        <v>240</v>
      </c>
      <c r="BA728" s="5" t="s">
        <v>255</v>
      </c>
      <c r="BB728" s="5" t="s">
        <v>240</v>
      </c>
      <c r="BD728" s="5" t="s">
        <v>240</v>
      </c>
      <c r="BF728" s="5" t="s">
        <v>301</v>
      </c>
      <c r="BG728" s="6" t="s">
        <v>299</v>
      </c>
      <c r="BH728" s="5" t="s">
        <v>302</v>
      </c>
      <c r="BI728" s="5" t="s">
        <v>303</v>
      </c>
      <c r="BJ728" s="5" t="s">
        <v>240</v>
      </c>
      <c r="BK728" s="8">
        <f>0</f>
        <v>0</v>
      </c>
      <c r="BL728" s="7">
        <f>0</f>
        <v>0</v>
      </c>
      <c r="BM728" s="5" t="s">
        <v>258</v>
      </c>
      <c r="BN728" s="5" t="s">
        <v>259</v>
      </c>
      <c r="CB728" s="5" t="s">
        <v>240</v>
      </c>
      <c r="CC728" s="5" t="s">
        <v>240</v>
      </c>
      <c r="CG728" s="5" t="s">
        <v>304</v>
      </c>
      <c r="CH728" s="5" t="s">
        <v>305</v>
      </c>
      <c r="CI728" s="5" t="s">
        <v>240</v>
      </c>
      <c r="CL728" s="6" t="s">
        <v>261</v>
      </c>
      <c r="CM728" s="5" t="s">
        <v>240</v>
      </c>
      <c r="CN728" s="5" t="s">
        <v>263</v>
      </c>
      <c r="CO728" s="5" t="s">
        <v>240</v>
      </c>
      <c r="CP728" s="5" t="s">
        <v>240</v>
      </c>
      <c r="CQ728" s="5">
        <v>0</v>
      </c>
      <c r="CR728" s="5" t="s">
        <v>306</v>
      </c>
      <c r="CS728" s="5" t="s">
        <v>307</v>
      </c>
      <c r="CT728" s="5" t="s">
        <v>307</v>
      </c>
      <c r="CU728" s="5" t="s">
        <v>260</v>
      </c>
      <c r="CX728" s="7">
        <f>1</f>
        <v>1</v>
      </c>
      <c r="CY728" s="7">
        <f>0</f>
        <v>0</v>
      </c>
      <c r="DA728" s="7">
        <f>0</f>
        <v>0</v>
      </c>
      <c r="DC728" s="5" t="s">
        <v>309</v>
      </c>
      <c r="DD728" s="5" t="s">
        <v>240</v>
      </c>
      <c r="DF728" s="5" t="s">
        <v>309</v>
      </c>
      <c r="DG728" s="7">
        <f>1007</f>
        <v>1007</v>
      </c>
      <c r="DI728" s="5" t="s">
        <v>240</v>
      </c>
      <c r="DJ728" s="5" t="s">
        <v>240</v>
      </c>
      <c r="DK728" s="5" t="s">
        <v>240</v>
      </c>
      <c r="DL728" s="5" t="s">
        <v>240</v>
      </c>
      <c r="DP728" s="5" t="s">
        <v>240</v>
      </c>
      <c r="DQ728" s="5" t="s">
        <v>240</v>
      </c>
      <c r="DR728" s="5" t="s">
        <v>240</v>
      </c>
      <c r="DS728" s="5" t="s">
        <v>240</v>
      </c>
      <c r="DV728" s="5" t="s">
        <v>310</v>
      </c>
      <c r="DW728" s="5" t="s">
        <v>1577</v>
      </c>
      <c r="HO728" s="5" t="s">
        <v>312</v>
      </c>
    </row>
    <row r="729" spans="1:240" x14ac:dyDescent="0.4">
      <c r="A729" s="5">
        <v>1592</v>
      </c>
      <c r="B729" s="5">
        <v>1</v>
      </c>
      <c r="C729" s="5">
        <v>1</v>
      </c>
      <c r="D729" s="5" t="s">
        <v>829</v>
      </c>
      <c r="E729" s="5" t="s">
        <v>418</v>
      </c>
      <c r="F729" s="5" t="s">
        <v>254</v>
      </c>
      <c r="G729" s="5" t="s">
        <v>240</v>
      </c>
      <c r="H729" s="6" t="s">
        <v>835</v>
      </c>
      <c r="I729" s="5" t="s">
        <v>828</v>
      </c>
      <c r="J729" s="8">
        <f>21</f>
        <v>21</v>
      </c>
      <c r="K729" s="5" t="s">
        <v>308</v>
      </c>
      <c r="L729" s="7">
        <f>10290</f>
        <v>10290</v>
      </c>
      <c r="M729" s="7">
        <f>10290</f>
        <v>10290</v>
      </c>
      <c r="N729" s="5" t="s">
        <v>242</v>
      </c>
      <c r="O729" s="5">
        <v>1</v>
      </c>
      <c r="P729" s="5" t="s">
        <v>294</v>
      </c>
      <c r="Q729" s="5" t="s">
        <v>266</v>
      </c>
      <c r="R729" s="5" t="s">
        <v>240</v>
      </c>
      <c r="S729" s="5" t="s">
        <v>240</v>
      </c>
      <c r="T729" s="5" t="s">
        <v>296</v>
      </c>
      <c r="U729" s="5" t="s">
        <v>244</v>
      </c>
      <c r="V729" s="5" t="s">
        <v>240</v>
      </c>
      <c r="Y729" s="5" t="s">
        <v>240</v>
      </c>
      <c r="Z729" s="6" t="s">
        <v>298</v>
      </c>
      <c r="AB729" s="6" t="s">
        <v>240</v>
      </c>
      <c r="AE729" s="6" t="s">
        <v>299</v>
      </c>
      <c r="AF729" s="5" t="s">
        <v>248</v>
      </c>
      <c r="AG729" s="5" t="s">
        <v>249</v>
      </c>
      <c r="AW729" s="5" t="s">
        <v>251</v>
      </c>
      <c r="AX729" s="5" t="s">
        <v>240</v>
      </c>
      <c r="AY729" s="5" t="s">
        <v>253</v>
      </c>
      <c r="AZ729" s="5" t="s">
        <v>240</v>
      </c>
      <c r="BA729" s="5" t="s">
        <v>255</v>
      </c>
      <c r="BB729" s="5" t="s">
        <v>240</v>
      </c>
      <c r="BD729" s="5" t="s">
        <v>240</v>
      </c>
      <c r="BF729" s="5" t="s">
        <v>301</v>
      </c>
      <c r="BG729" s="6" t="s">
        <v>299</v>
      </c>
      <c r="BH729" s="5" t="s">
        <v>302</v>
      </c>
      <c r="BI729" s="5" t="s">
        <v>303</v>
      </c>
      <c r="BJ729" s="5" t="s">
        <v>240</v>
      </c>
      <c r="BK729" s="8">
        <f>0</f>
        <v>0</v>
      </c>
      <c r="BL729" s="7">
        <f>0</f>
        <v>0</v>
      </c>
      <c r="BM729" s="5" t="s">
        <v>258</v>
      </c>
      <c r="BN729" s="5" t="s">
        <v>259</v>
      </c>
      <c r="CB729" s="5" t="s">
        <v>240</v>
      </c>
      <c r="CC729" s="5" t="s">
        <v>240</v>
      </c>
      <c r="CG729" s="5" t="s">
        <v>304</v>
      </c>
      <c r="CH729" s="5" t="s">
        <v>305</v>
      </c>
      <c r="CI729" s="5" t="s">
        <v>240</v>
      </c>
      <c r="CL729" s="6" t="s">
        <v>261</v>
      </c>
      <c r="CM729" s="5" t="s">
        <v>240</v>
      </c>
      <c r="CN729" s="5" t="s">
        <v>263</v>
      </c>
      <c r="CO729" s="5" t="s">
        <v>240</v>
      </c>
      <c r="CP729" s="5" t="s">
        <v>240</v>
      </c>
      <c r="CQ729" s="5">
        <v>0</v>
      </c>
      <c r="CR729" s="5" t="s">
        <v>306</v>
      </c>
      <c r="CS729" s="5" t="s">
        <v>307</v>
      </c>
      <c r="CT729" s="5" t="s">
        <v>307</v>
      </c>
      <c r="CU729" s="5" t="s">
        <v>260</v>
      </c>
      <c r="CX729" s="7">
        <f>1</f>
        <v>1</v>
      </c>
      <c r="CY729" s="7">
        <f>0</f>
        <v>0</v>
      </c>
      <c r="DA729" s="7">
        <f>0</f>
        <v>0</v>
      </c>
      <c r="DC729" s="5" t="s">
        <v>812</v>
      </c>
      <c r="DD729" s="5" t="s">
        <v>240</v>
      </c>
      <c r="DF729" s="5" t="s">
        <v>812</v>
      </c>
      <c r="DG729" s="7">
        <f>866</f>
        <v>866</v>
      </c>
      <c r="DI729" s="5" t="s">
        <v>240</v>
      </c>
      <c r="DJ729" s="5" t="s">
        <v>240</v>
      </c>
      <c r="DK729" s="5" t="s">
        <v>240</v>
      </c>
      <c r="DL729" s="5" t="s">
        <v>240</v>
      </c>
      <c r="DP729" s="5" t="s">
        <v>240</v>
      </c>
      <c r="DQ729" s="5" t="s">
        <v>240</v>
      </c>
      <c r="DR729" s="5" t="s">
        <v>240</v>
      </c>
      <c r="DS729" s="5" t="s">
        <v>240</v>
      </c>
      <c r="DV729" s="5" t="s">
        <v>813</v>
      </c>
      <c r="DW729" s="5" t="s">
        <v>1579</v>
      </c>
      <c r="HO729" s="5" t="s">
        <v>312</v>
      </c>
    </row>
    <row r="730" spans="1:240" x14ac:dyDescent="0.4">
      <c r="A730" s="5">
        <v>1593</v>
      </c>
      <c r="B730" s="5">
        <v>1</v>
      </c>
      <c r="C730" s="5">
        <v>1</v>
      </c>
      <c r="D730" s="5" t="s">
        <v>829</v>
      </c>
      <c r="E730" s="5" t="s">
        <v>418</v>
      </c>
      <c r="F730" s="5" t="s">
        <v>254</v>
      </c>
      <c r="G730" s="5" t="s">
        <v>240</v>
      </c>
      <c r="H730" s="6" t="s">
        <v>831</v>
      </c>
      <c r="I730" s="5" t="s">
        <v>828</v>
      </c>
      <c r="J730" s="8">
        <f>375.61</f>
        <v>375.61</v>
      </c>
      <c r="K730" s="5" t="s">
        <v>308</v>
      </c>
      <c r="L730" s="7">
        <f>831976</f>
        <v>831976</v>
      </c>
      <c r="M730" s="7">
        <f>831976</f>
        <v>831976</v>
      </c>
      <c r="N730" s="5" t="s">
        <v>242</v>
      </c>
      <c r="O730" s="5">
        <v>1</v>
      </c>
      <c r="P730" s="5" t="s">
        <v>294</v>
      </c>
      <c r="Q730" s="5" t="s">
        <v>266</v>
      </c>
      <c r="R730" s="5" t="s">
        <v>240</v>
      </c>
      <c r="S730" s="5" t="s">
        <v>240</v>
      </c>
      <c r="T730" s="5" t="s">
        <v>296</v>
      </c>
      <c r="U730" s="5" t="s">
        <v>244</v>
      </c>
      <c r="V730" s="5" t="s">
        <v>240</v>
      </c>
      <c r="Y730" s="5" t="s">
        <v>240</v>
      </c>
      <c r="Z730" s="6" t="s">
        <v>298</v>
      </c>
      <c r="AB730" s="6" t="s">
        <v>240</v>
      </c>
      <c r="AE730" s="6" t="s">
        <v>299</v>
      </c>
      <c r="AF730" s="5" t="s">
        <v>248</v>
      </c>
      <c r="AG730" s="5" t="s">
        <v>249</v>
      </c>
      <c r="AW730" s="5" t="s">
        <v>251</v>
      </c>
      <c r="AX730" s="5" t="s">
        <v>240</v>
      </c>
      <c r="AY730" s="5" t="s">
        <v>253</v>
      </c>
      <c r="AZ730" s="5" t="s">
        <v>240</v>
      </c>
      <c r="BA730" s="5" t="s">
        <v>255</v>
      </c>
      <c r="BB730" s="5" t="s">
        <v>240</v>
      </c>
      <c r="BD730" s="5" t="s">
        <v>240</v>
      </c>
      <c r="BF730" s="5" t="s">
        <v>301</v>
      </c>
      <c r="BG730" s="6" t="s">
        <v>299</v>
      </c>
      <c r="BH730" s="5" t="s">
        <v>302</v>
      </c>
      <c r="BI730" s="5" t="s">
        <v>303</v>
      </c>
      <c r="BJ730" s="5" t="s">
        <v>240</v>
      </c>
      <c r="BK730" s="8">
        <f>0</f>
        <v>0</v>
      </c>
      <c r="BL730" s="7">
        <f>0</f>
        <v>0</v>
      </c>
      <c r="BM730" s="5" t="s">
        <v>258</v>
      </c>
      <c r="BN730" s="5" t="s">
        <v>259</v>
      </c>
      <c r="CB730" s="5" t="s">
        <v>240</v>
      </c>
      <c r="CC730" s="5" t="s">
        <v>240</v>
      </c>
      <c r="CG730" s="5" t="s">
        <v>304</v>
      </c>
      <c r="CH730" s="5" t="s">
        <v>305</v>
      </c>
      <c r="CI730" s="5" t="s">
        <v>240</v>
      </c>
      <c r="CL730" s="6" t="s">
        <v>261</v>
      </c>
      <c r="CM730" s="5" t="s">
        <v>240</v>
      </c>
      <c r="CN730" s="5" t="s">
        <v>263</v>
      </c>
      <c r="CO730" s="5" t="s">
        <v>240</v>
      </c>
      <c r="CP730" s="5" t="s">
        <v>240</v>
      </c>
      <c r="CQ730" s="5">
        <v>0</v>
      </c>
      <c r="CR730" s="5" t="s">
        <v>306</v>
      </c>
      <c r="CS730" s="5" t="s">
        <v>307</v>
      </c>
      <c r="CT730" s="5" t="s">
        <v>307</v>
      </c>
      <c r="CU730" s="5" t="s">
        <v>260</v>
      </c>
      <c r="CX730" s="7">
        <f>1</f>
        <v>1</v>
      </c>
      <c r="CY730" s="7">
        <f>0</f>
        <v>0</v>
      </c>
      <c r="DA730" s="7">
        <f>0</f>
        <v>0</v>
      </c>
      <c r="DC730" s="5" t="s">
        <v>812</v>
      </c>
      <c r="DD730" s="5" t="s">
        <v>240</v>
      </c>
      <c r="DF730" s="5" t="s">
        <v>812</v>
      </c>
      <c r="DG730" s="7">
        <f>2279</f>
        <v>2279</v>
      </c>
      <c r="DI730" s="5" t="s">
        <v>240</v>
      </c>
      <c r="DJ730" s="5" t="s">
        <v>240</v>
      </c>
      <c r="DK730" s="5" t="s">
        <v>240</v>
      </c>
      <c r="DL730" s="5" t="s">
        <v>240</v>
      </c>
      <c r="DP730" s="5" t="s">
        <v>240</v>
      </c>
      <c r="DQ730" s="5" t="s">
        <v>240</v>
      </c>
      <c r="DR730" s="5" t="s">
        <v>240</v>
      </c>
      <c r="DS730" s="5" t="s">
        <v>240</v>
      </c>
      <c r="DV730" s="5" t="s">
        <v>813</v>
      </c>
      <c r="DW730" s="5" t="s">
        <v>1581</v>
      </c>
      <c r="HO730" s="5" t="s">
        <v>312</v>
      </c>
    </row>
    <row r="731" spans="1:240" x14ac:dyDescent="0.4">
      <c r="A731" s="5">
        <v>1594</v>
      </c>
      <c r="B731" s="5">
        <v>1</v>
      </c>
      <c r="C731" s="5">
        <v>1</v>
      </c>
      <c r="D731" s="5" t="s">
        <v>1997</v>
      </c>
      <c r="E731" s="5" t="s">
        <v>418</v>
      </c>
      <c r="F731" s="5" t="s">
        <v>254</v>
      </c>
      <c r="G731" s="5" t="s">
        <v>240</v>
      </c>
      <c r="H731" s="6" t="s">
        <v>1999</v>
      </c>
      <c r="I731" s="5" t="s">
        <v>1996</v>
      </c>
      <c r="J731" s="8">
        <f>1431</f>
        <v>1431</v>
      </c>
      <c r="K731" s="5" t="s">
        <v>308</v>
      </c>
      <c r="L731" s="7">
        <f>3169665</f>
        <v>3169665</v>
      </c>
      <c r="M731" s="7">
        <f>3169665</f>
        <v>3169665</v>
      </c>
      <c r="N731" s="5" t="s">
        <v>242</v>
      </c>
      <c r="O731" s="5">
        <v>1</v>
      </c>
      <c r="P731" s="5" t="s">
        <v>294</v>
      </c>
      <c r="Q731" s="5" t="s">
        <v>613</v>
      </c>
      <c r="R731" s="5" t="s">
        <v>240</v>
      </c>
      <c r="S731" s="5" t="s">
        <v>240</v>
      </c>
      <c r="T731" s="5" t="s">
        <v>243</v>
      </c>
      <c r="U731" s="5" t="s">
        <v>724</v>
      </c>
      <c r="V731" s="5" t="s">
        <v>240</v>
      </c>
      <c r="W731" s="5" t="s">
        <v>240</v>
      </c>
      <c r="X731" s="5" t="s">
        <v>240</v>
      </c>
      <c r="Y731" s="5" t="s">
        <v>240</v>
      </c>
      <c r="Z731" s="6" t="s">
        <v>298</v>
      </c>
      <c r="AA731" s="6" t="s">
        <v>240</v>
      </c>
      <c r="AB731" s="6" t="s">
        <v>240</v>
      </c>
      <c r="AC731" s="5" t="s">
        <v>240</v>
      </c>
      <c r="AD731" s="6" t="s">
        <v>240</v>
      </c>
      <c r="AE731" s="6" t="s">
        <v>299</v>
      </c>
      <c r="AF731" s="5" t="s">
        <v>727</v>
      </c>
      <c r="AG731" s="5" t="s">
        <v>260</v>
      </c>
      <c r="AH731" s="5" t="s">
        <v>240</v>
      </c>
      <c r="AI731" s="5" t="s">
        <v>240</v>
      </c>
      <c r="AJ731" s="5" t="s">
        <v>240</v>
      </c>
      <c r="AK731" s="5" t="s">
        <v>240</v>
      </c>
      <c r="AL731" s="5" t="s">
        <v>240</v>
      </c>
      <c r="AM731" s="5" t="s">
        <v>240</v>
      </c>
      <c r="AN731" s="5" t="s">
        <v>240</v>
      </c>
      <c r="AO731" s="5" t="s">
        <v>240</v>
      </c>
      <c r="AP731" s="6" t="s">
        <v>240</v>
      </c>
      <c r="AQ731" s="6" t="s">
        <v>240</v>
      </c>
      <c r="AR731" s="6" t="s">
        <v>240</v>
      </c>
      <c r="AS731" s="6" t="s">
        <v>240</v>
      </c>
      <c r="AT731" s="5" t="s">
        <v>240</v>
      </c>
      <c r="AU731" s="5" t="s">
        <v>729</v>
      </c>
      <c r="AV731" s="5" t="s">
        <v>729</v>
      </c>
      <c r="AW731" s="5" t="s">
        <v>251</v>
      </c>
      <c r="AX731" s="5" t="s">
        <v>252</v>
      </c>
      <c r="AY731" s="5" t="s">
        <v>253</v>
      </c>
      <c r="AZ731" s="5" t="s">
        <v>240</v>
      </c>
      <c r="BA731" s="5" t="s">
        <v>255</v>
      </c>
      <c r="BB731" s="5" t="s">
        <v>731</v>
      </c>
      <c r="BD731" s="5" t="s">
        <v>240</v>
      </c>
      <c r="BF731" s="5" t="s">
        <v>732</v>
      </c>
      <c r="BG731" s="6" t="s">
        <v>733</v>
      </c>
      <c r="BH731" s="5" t="s">
        <v>734</v>
      </c>
      <c r="BI731" s="5" t="s">
        <v>734</v>
      </c>
      <c r="BJ731" s="5" t="s">
        <v>240</v>
      </c>
      <c r="BK731" s="8">
        <f>2064</f>
        <v>2064</v>
      </c>
      <c r="BL731" s="7">
        <f>0</f>
        <v>0</v>
      </c>
      <c r="BM731" s="5" t="s">
        <v>258</v>
      </c>
      <c r="BN731" s="5" t="s">
        <v>259</v>
      </c>
      <c r="BO731" s="5" t="s">
        <v>240</v>
      </c>
      <c r="BP731" s="5" t="s">
        <v>240</v>
      </c>
      <c r="BQ731" s="5" t="s">
        <v>240</v>
      </c>
      <c r="BR731" s="5" t="s">
        <v>240</v>
      </c>
      <c r="BS731" s="5" t="s">
        <v>240</v>
      </c>
      <c r="BT731" s="5" t="s">
        <v>240</v>
      </c>
      <c r="BU731" s="5" t="s">
        <v>240</v>
      </c>
      <c r="BV731" s="5" t="s">
        <v>240</v>
      </c>
      <c r="BW731" s="6" t="s">
        <v>240</v>
      </c>
      <c r="BX731" s="5" t="s">
        <v>240</v>
      </c>
      <c r="BY731" s="5" t="s">
        <v>240</v>
      </c>
      <c r="BZ731" s="5" t="s">
        <v>240</v>
      </c>
      <c r="CA731" s="5" t="s">
        <v>259</v>
      </c>
      <c r="CB731" s="5" t="s">
        <v>240</v>
      </c>
      <c r="CC731" s="5" t="s">
        <v>240</v>
      </c>
      <c r="CD731" s="5" t="s">
        <v>240</v>
      </c>
      <c r="CE731" s="5" t="s">
        <v>240</v>
      </c>
      <c r="CF731" s="5" t="s">
        <v>240</v>
      </c>
      <c r="CG731" s="5" t="s">
        <v>617</v>
      </c>
      <c r="CH731" s="5" t="s">
        <v>305</v>
      </c>
      <c r="CI731" s="5" t="s">
        <v>240</v>
      </c>
      <c r="CL731" s="6" t="s">
        <v>261</v>
      </c>
      <c r="CM731" s="5" t="s">
        <v>262</v>
      </c>
      <c r="CN731" s="5" t="s">
        <v>263</v>
      </c>
      <c r="CO731" s="5" t="s">
        <v>264</v>
      </c>
      <c r="CP731" s="5" t="s">
        <v>240</v>
      </c>
      <c r="CQ731" s="5">
        <v>0</v>
      </c>
      <c r="CR731" s="5" t="s">
        <v>735</v>
      </c>
      <c r="CS731" s="5" t="s">
        <v>307</v>
      </c>
      <c r="CT731" s="5" t="s">
        <v>307</v>
      </c>
      <c r="CU731" s="5" t="s">
        <v>260</v>
      </c>
      <c r="CV731" s="5" t="s">
        <v>240</v>
      </c>
      <c r="CW731" s="8">
        <f>0</f>
        <v>0</v>
      </c>
      <c r="CX731" s="7">
        <f>0</f>
        <v>0</v>
      </c>
      <c r="CY731" s="7">
        <f>0</f>
        <v>0</v>
      </c>
      <c r="DA731" s="7">
        <f>22704</f>
        <v>22704</v>
      </c>
      <c r="DB731" s="7" t="s">
        <v>240</v>
      </c>
      <c r="DC731" s="5" t="s">
        <v>240</v>
      </c>
      <c r="DD731" s="5" t="s">
        <v>240</v>
      </c>
      <c r="DE731" s="5" t="s">
        <v>240</v>
      </c>
      <c r="DF731" s="5" t="s">
        <v>450</v>
      </c>
      <c r="DG731" s="7">
        <f>0</f>
        <v>0</v>
      </c>
      <c r="DI731" s="5" t="s">
        <v>737</v>
      </c>
      <c r="DJ731" s="5" t="s">
        <v>240</v>
      </c>
      <c r="DK731" s="5" t="s">
        <v>240</v>
      </c>
      <c r="DL731" s="5" t="s">
        <v>240</v>
      </c>
      <c r="DM731" s="5" t="s">
        <v>240</v>
      </c>
      <c r="DN731" s="5" t="s">
        <v>240</v>
      </c>
      <c r="DO731" s="7" t="s">
        <v>240</v>
      </c>
      <c r="DP731" s="5" t="s">
        <v>240</v>
      </c>
      <c r="DQ731" s="5" t="s">
        <v>240</v>
      </c>
      <c r="DR731" s="5" t="s">
        <v>731</v>
      </c>
      <c r="DS731" s="5" t="s">
        <v>731</v>
      </c>
      <c r="DT731" s="5" t="s">
        <v>240</v>
      </c>
      <c r="DU731" s="5" t="s">
        <v>240</v>
      </c>
      <c r="DV731" s="5" t="s">
        <v>738</v>
      </c>
      <c r="DW731" s="5" t="s">
        <v>550</v>
      </c>
      <c r="DX731" s="5" t="s">
        <v>240</v>
      </c>
      <c r="DY731" s="5" t="s">
        <v>240</v>
      </c>
      <c r="DZ731" s="5" t="s">
        <v>240</v>
      </c>
      <c r="EA731" s="5" t="s">
        <v>240</v>
      </c>
      <c r="EB731" s="5" t="s">
        <v>240</v>
      </c>
      <c r="EC731" s="5" t="s">
        <v>240</v>
      </c>
      <c r="ED731" s="5" t="s">
        <v>240</v>
      </c>
      <c r="EE731" s="5" t="s">
        <v>240</v>
      </c>
      <c r="EF731" s="5" t="s">
        <v>240</v>
      </c>
      <c r="EG731" s="5" t="s">
        <v>240</v>
      </c>
      <c r="EH731" s="5" t="s">
        <v>240</v>
      </c>
      <c r="EI731" s="5" t="s">
        <v>240</v>
      </c>
      <c r="EJ731" s="5" t="s">
        <v>240</v>
      </c>
      <c r="EK731" s="5" t="s">
        <v>240</v>
      </c>
      <c r="EL731" s="5" t="s">
        <v>240</v>
      </c>
      <c r="EM731" s="5" t="s">
        <v>240</v>
      </c>
      <c r="EN731" s="5" t="s">
        <v>240</v>
      </c>
      <c r="EO731" s="5" t="s">
        <v>240</v>
      </c>
      <c r="EP731" s="5" t="s">
        <v>240</v>
      </c>
      <c r="EQ731" s="5" t="s">
        <v>240</v>
      </c>
      <c r="ER731" s="5" t="s">
        <v>240</v>
      </c>
      <c r="ES731" s="5" t="s">
        <v>240</v>
      </c>
      <c r="ET731" s="5" t="s">
        <v>240</v>
      </c>
      <c r="EU731" s="5" t="s">
        <v>240</v>
      </c>
      <c r="EV731" s="5" t="s">
        <v>240</v>
      </c>
      <c r="EW731" s="5" t="s">
        <v>240</v>
      </c>
      <c r="EX731" s="5" t="s">
        <v>240</v>
      </c>
      <c r="EY731" s="5" t="s">
        <v>240</v>
      </c>
      <c r="EZ731" s="5" t="s">
        <v>240</v>
      </c>
      <c r="FA731" s="5" t="s">
        <v>240</v>
      </c>
      <c r="FB731" s="5" t="s">
        <v>240</v>
      </c>
      <c r="FC731" s="5" t="s">
        <v>240</v>
      </c>
      <c r="FD731" s="5" t="s">
        <v>240</v>
      </c>
      <c r="FE731" s="5" t="s">
        <v>240</v>
      </c>
      <c r="FF731" s="5" t="s">
        <v>240</v>
      </c>
      <c r="FG731" s="5" t="s">
        <v>240</v>
      </c>
      <c r="FH731" s="5" t="s">
        <v>240</v>
      </c>
      <c r="FI731" s="5" t="s">
        <v>240</v>
      </c>
      <c r="FJ731" s="5" t="s">
        <v>240</v>
      </c>
      <c r="FK731" s="5" t="s">
        <v>240</v>
      </c>
      <c r="FL731" s="5" t="s">
        <v>240</v>
      </c>
      <c r="FM731" s="5" t="s">
        <v>240</v>
      </c>
      <c r="FN731" s="5" t="s">
        <v>240</v>
      </c>
      <c r="FO731" s="5" t="s">
        <v>240</v>
      </c>
      <c r="FP731" s="5" t="s">
        <v>240</v>
      </c>
      <c r="FQ731" s="5" t="s">
        <v>240</v>
      </c>
      <c r="FR731" s="5" t="s">
        <v>240</v>
      </c>
      <c r="FS731" s="5" t="s">
        <v>240</v>
      </c>
      <c r="FT731" s="5" t="s">
        <v>240</v>
      </c>
      <c r="FU731" s="5" t="s">
        <v>240</v>
      </c>
      <c r="FV731" s="5" t="s">
        <v>240</v>
      </c>
      <c r="FW731" s="5" t="s">
        <v>240</v>
      </c>
      <c r="FX731" s="5" t="s">
        <v>240</v>
      </c>
      <c r="FY731" s="5" t="s">
        <v>240</v>
      </c>
      <c r="FZ731" s="5" t="s">
        <v>240</v>
      </c>
      <c r="GA731" s="5" t="s">
        <v>240</v>
      </c>
      <c r="GB731" s="5" t="s">
        <v>240</v>
      </c>
      <c r="GC731" s="5" t="s">
        <v>240</v>
      </c>
      <c r="GD731" s="5" t="s">
        <v>240</v>
      </c>
      <c r="GE731" s="5" t="s">
        <v>240</v>
      </c>
      <c r="GF731" s="5" t="s">
        <v>240</v>
      </c>
      <c r="GG731" s="5" t="s">
        <v>240</v>
      </c>
      <c r="GH731" s="5" t="s">
        <v>240</v>
      </c>
      <c r="GI731" s="5" t="s">
        <v>240</v>
      </c>
      <c r="GJ731" s="5" t="s">
        <v>240</v>
      </c>
      <c r="GK731" s="5" t="s">
        <v>240</v>
      </c>
      <c r="GL731" s="5" t="s">
        <v>240</v>
      </c>
      <c r="GM731" s="5" t="s">
        <v>240</v>
      </c>
      <c r="GN731" s="5" t="s">
        <v>240</v>
      </c>
      <c r="GO731" s="5" t="s">
        <v>240</v>
      </c>
      <c r="GP731" s="5" t="s">
        <v>240</v>
      </c>
      <c r="GQ731" s="5" t="s">
        <v>240</v>
      </c>
      <c r="GR731" s="5" t="s">
        <v>240</v>
      </c>
      <c r="GS731" s="5" t="s">
        <v>240</v>
      </c>
      <c r="GT731" s="5" t="s">
        <v>240</v>
      </c>
      <c r="GU731" s="5" t="s">
        <v>240</v>
      </c>
      <c r="GV731" s="5" t="s">
        <v>240</v>
      </c>
      <c r="GW731" s="5" t="s">
        <v>240</v>
      </c>
      <c r="GX731" s="5" t="s">
        <v>240</v>
      </c>
      <c r="GY731" s="5" t="s">
        <v>240</v>
      </c>
      <c r="GZ731" s="5" t="s">
        <v>240</v>
      </c>
      <c r="HA731" s="5" t="s">
        <v>240</v>
      </c>
      <c r="HB731" s="5" t="s">
        <v>240</v>
      </c>
      <c r="HC731" s="5" t="s">
        <v>240</v>
      </c>
      <c r="HD731" s="5" t="s">
        <v>240</v>
      </c>
      <c r="HE731" s="5" t="s">
        <v>240</v>
      </c>
      <c r="HF731" s="5" t="s">
        <v>240</v>
      </c>
      <c r="HG731" s="5" t="s">
        <v>240</v>
      </c>
      <c r="HH731" s="5" t="s">
        <v>240</v>
      </c>
      <c r="HI731" s="5" t="s">
        <v>240</v>
      </c>
      <c r="HJ731" s="5" t="s">
        <v>240</v>
      </c>
      <c r="HK731" s="5" t="s">
        <v>240</v>
      </c>
      <c r="HL731" s="5" t="s">
        <v>240</v>
      </c>
      <c r="HM731" s="5" t="s">
        <v>240</v>
      </c>
      <c r="HN731" s="5" t="s">
        <v>240</v>
      </c>
      <c r="HO731" s="5" t="s">
        <v>620</v>
      </c>
      <c r="HP731" s="5" t="s">
        <v>240</v>
      </c>
      <c r="HQ731" s="5" t="s">
        <v>240</v>
      </c>
      <c r="HR731" s="5" t="s">
        <v>240</v>
      </c>
      <c r="HS731" s="5" t="s">
        <v>240</v>
      </c>
      <c r="HT731" s="5" t="s">
        <v>240</v>
      </c>
      <c r="HU731" s="5" t="s">
        <v>240</v>
      </c>
      <c r="HV731" s="5" t="s">
        <v>240</v>
      </c>
      <c r="HW731" s="5" t="s">
        <v>240</v>
      </c>
      <c r="HX731" s="5" t="s">
        <v>240</v>
      </c>
      <c r="HY731" s="5" t="s">
        <v>240</v>
      </c>
      <c r="HZ731" s="5" t="s">
        <v>240</v>
      </c>
      <c r="IA731" s="5" t="s">
        <v>240</v>
      </c>
      <c r="IB731" s="5" t="s">
        <v>240</v>
      </c>
      <c r="IC731" s="5" t="s">
        <v>240</v>
      </c>
      <c r="ID731" s="5" t="s">
        <v>240</v>
      </c>
      <c r="IE731" s="5" t="s">
        <v>240</v>
      </c>
      <c r="IF731" s="5" t="s">
        <v>240</v>
      </c>
    </row>
    <row r="732" spans="1:240" x14ac:dyDescent="0.4">
      <c r="A732" s="5">
        <v>1595</v>
      </c>
      <c r="B732" s="5">
        <v>1</v>
      </c>
      <c r="C732" s="5">
        <v>1</v>
      </c>
      <c r="D732" s="5" t="s">
        <v>2732</v>
      </c>
      <c r="E732" s="5" t="s">
        <v>418</v>
      </c>
      <c r="F732" s="5" t="s">
        <v>254</v>
      </c>
      <c r="G732" s="5" t="s">
        <v>2733</v>
      </c>
      <c r="H732" s="6" t="s">
        <v>2734</v>
      </c>
      <c r="I732" s="5" t="s">
        <v>2731</v>
      </c>
      <c r="J732" s="8">
        <f>947.13</f>
        <v>947.13</v>
      </c>
      <c r="K732" s="5" t="s">
        <v>308</v>
      </c>
      <c r="L732" s="7">
        <f>2097893</f>
        <v>2097893</v>
      </c>
      <c r="M732" s="7">
        <f>2097893</f>
        <v>2097893</v>
      </c>
      <c r="N732" s="5" t="s">
        <v>242</v>
      </c>
      <c r="O732" s="5">
        <v>1</v>
      </c>
      <c r="P732" s="5" t="s">
        <v>294</v>
      </c>
      <c r="Q732" s="5" t="s">
        <v>266</v>
      </c>
      <c r="R732" s="5" t="s">
        <v>240</v>
      </c>
      <c r="S732" s="5" t="s">
        <v>240</v>
      </c>
      <c r="T732" s="5" t="s">
        <v>296</v>
      </c>
      <c r="U732" s="5" t="s">
        <v>244</v>
      </c>
      <c r="V732" s="5" t="s">
        <v>240</v>
      </c>
      <c r="Y732" s="5" t="s">
        <v>240</v>
      </c>
      <c r="Z732" s="6" t="s">
        <v>298</v>
      </c>
      <c r="AB732" s="6" t="s">
        <v>240</v>
      </c>
      <c r="AE732" s="6" t="s">
        <v>299</v>
      </c>
      <c r="AF732" s="5" t="s">
        <v>248</v>
      </c>
      <c r="AG732" s="5" t="s">
        <v>249</v>
      </c>
      <c r="AW732" s="5" t="s">
        <v>251</v>
      </c>
      <c r="AX732" s="5" t="s">
        <v>240</v>
      </c>
      <c r="AY732" s="5" t="s">
        <v>253</v>
      </c>
      <c r="AZ732" s="5" t="s">
        <v>240</v>
      </c>
      <c r="BA732" s="5" t="s">
        <v>255</v>
      </c>
      <c r="BB732" s="5" t="s">
        <v>240</v>
      </c>
      <c r="BD732" s="5" t="s">
        <v>240</v>
      </c>
      <c r="BF732" s="5" t="s">
        <v>301</v>
      </c>
      <c r="BG732" s="6" t="s">
        <v>299</v>
      </c>
      <c r="BH732" s="5" t="s">
        <v>302</v>
      </c>
      <c r="BI732" s="5" t="s">
        <v>303</v>
      </c>
      <c r="BJ732" s="5" t="s">
        <v>240</v>
      </c>
      <c r="BK732" s="8">
        <f>0</f>
        <v>0</v>
      </c>
      <c r="BL732" s="7">
        <f>0</f>
        <v>0</v>
      </c>
      <c r="BM732" s="5" t="s">
        <v>258</v>
      </c>
      <c r="BN732" s="5" t="s">
        <v>259</v>
      </c>
      <c r="CB732" s="5" t="s">
        <v>240</v>
      </c>
      <c r="CC732" s="5" t="s">
        <v>240</v>
      </c>
      <c r="CG732" s="5" t="s">
        <v>304</v>
      </c>
      <c r="CH732" s="5" t="s">
        <v>305</v>
      </c>
      <c r="CI732" s="5" t="s">
        <v>240</v>
      </c>
      <c r="CL732" s="6" t="s">
        <v>261</v>
      </c>
      <c r="CM732" s="5" t="s">
        <v>240</v>
      </c>
      <c r="CN732" s="5" t="s">
        <v>263</v>
      </c>
      <c r="CO732" s="5" t="s">
        <v>240</v>
      </c>
      <c r="CP732" s="5" t="s">
        <v>240</v>
      </c>
      <c r="CQ732" s="5">
        <v>0</v>
      </c>
      <c r="CR732" s="5" t="s">
        <v>306</v>
      </c>
      <c r="CS732" s="5" t="s">
        <v>307</v>
      </c>
      <c r="CT732" s="5" t="s">
        <v>307</v>
      </c>
      <c r="CU732" s="5" t="s">
        <v>260</v>
      </c>
      <c r="CX732" s="7">
        <f>1</f>
        <v>1</v>
      </c>
      <c r="CY732" s="7">
        <f>0</f>
        <v>0</v>
      </c>
      <c r="DA732" s="7">
        <f>0</f>
        <v>0</v>
      </c>
      <c r="DC732" s="5" t="s">
        <v>309</v>
      </c>
      <c r="DD732" s="5" t="s">
        <v>240</v>
      </c>
      <c r="DF732" s="5" t="s">
        <v>309</v>
      </c>
      <c r="DG732" s="7">
        <f>1801</f>
        <v>1801</v>
      </c>
      <c r="DI732" s="5" t="s">
        <v>240</v>
      </c>
      <c r="DJ732" s="5" t="s">
        <v>240</v>
      </c>
      <c r="DK732" s="5" t="s">
        <v>240</v>
      </c>
      <c r="DL732" s="5" t="s">
        <v>240</v>
      </c>
      <c r="DP732" s="5" t="s">
        <v>240</v>
      </c>
      <c r="DQ732" s="5" t="s">
        <v>240</v>
      </c>
      <c r="DR732" s="5" t="s">
        <v>240</v>
      </c>
      <c r="DS732" s="5" t="s">
        <v>240</v>
      </c>
      <c r="DV732" s="5" t="s">
        <v>310</v>
      </c>
      <c r="DW732" s="5" t="s">
        <v>1584</v>
      </c>
      <c r="HO732" s="5" t="s">
        <v>312</v>
      </c>
    </row>
    <row r="733" spans="1:240" x14ac:dyDescent="0.4">
      <c r="A733" s="5">
        <v>1845</v>
      </c>
      <c r="B733" s="5">
        <v>1</v>
      </c>
      <c r="C733" s="5">
        <v>1</v>
      </c>
      <c r="D733" s="5" t="s">
        <v>6585</v>
      </c>
      <c r="E733" s="5" t="s">
        <v>1131</v>
      </c>
      <c r="F733" s="5" t="s">
        <v>254</v>
      </c>
      <c r="G733" s="5" t="s">
        <v>240</v>
      </c>
      <c r="H733" s="6" t="s">
        <v>6679</v>
      </c>
      <c r="I733" s="5" t="s">
        <v>6584</v>
      </c>
      <c r="J733" s="8">
        <f>51381</f>
        <v>51381</v>
      </c>
      <c r="K733" s="5" t="s">
        <v>308</v>
      </c>
      <c r="L733" s="7">
        <f>113808915</f>
        <v>113808915</v>
      </c>
      <c r="M733" s="7">
        <f>113808915</f>
        <v>113808915</v>
      </c>
      <c r="N733" s="5" t="s">
        <v>242</v>
      </c>
      <c r="O733" s="5">
        <v>1</v>
      </c>
      <c r="P733" s="5" t="s">
        <v>294</v>
      </c>
      <c r="Q733" s="5" t="s">
        <v>266</v>
      </c>
      <c r="R733" s="5" t="s">
        <v>240</v>
      </c>
      <c r="S733" s="5" t="s">
        <v>240</v>
      </c>
      <c r="T733" s="5" t="s">
        <v>296</v>
      </c>
      <c r="U733" s="5" t="s">
        <v>244</v>
      </c>
      <c r="V733" s="5" t="s">
        <v>240</v>
      </c>
      <c r="Y733" s="5" t="s">
        <v>240</v>
      </c>
      <c r="Z733" s="6" t="s">
        <v>298</v>
      </c>
      <c r="AB733" s="6" t="s">
        <v>240</v>
      </c>
      <c r="AE733" s="6" t="s">
        <v>299</v>
      </c>
      <c r="AF733" s="5" t="s">
        <v>248</v>
      </c>
      <c r="AG733" s="5" t="s">
        <v>249</v>
      </c>
      <c r="AW733" s="5" t="s">
        <v>251</v>
      </c>
      <c r="AX733" s="5" t="s">
        <v>240</v>
      </c>
      <c r="AY733" s="5" t="s">
        <v>253</v>
      </c>
      <c r="AZ733" s="5" t="s">
        <v>240</v>
      </c>
      <c r="BA733" s="5" t="s">
        <v>255</v>
      </c>
      <c r="BB733" s="5" t="s">
        <v>240</v>
      </c>
      <c r="BD733" s="5" t="s">
        <v>240</v>
      </c>
      <c r="BF733" s="5" t="s">
        <v>301</v>
      </c>
      <c r="BG733" s="6" t="s">
        <v>299</v>
      </c>
      <c r="BH733" s="5" t="s">
        <v>302</v>
      </c>
      <c r="BI733" s="5" t="s">
        <v>303</v>
      </c>
      <c r="BJ733" s="5" t="s">
        <v>240</v>
      </c>
      <c r="BK733" s="8">
        <f>0</f>
        <v>0</v>
      </c>
      <c r="BL733" s="7">
        <f>0</f>
        <v>0</v>
      </c>
      <c r="BM733" s="5" t="s">
        <v>258</v>
      </c>
      <c r="BN733" s="5" t="s">
        <v>259</v>
      </c>
      <c r="CB733" s="5" t="s">
        <v>240</v>
      </c>
      <c r="CC733" s="5" t="s">
        <v>240</v>
      </c>
      <c r="CG733" s="5" t="s">
        <v>304</v>
      </c>
      <c r="CH733" s="5" t="s">
        <v>305</v>
      </c>
      <c r="CI733" s="5" t="s">
        <v>240</v>
      </c>
      <c r="CL733" s="6" t="s">
        <v>261</v>
      </c>
      <c r="CM733" s="5" t="s">
        <v>240</v>
      </c>
      <c r="CN733" s="5" t="s">
        <v>263</v>
      </c>
      <c r="CO733" s="5" t="s">
        <v>240</v>
      </c>
      <c r="CP733" s="5" t="s">
        <v>240</v>
      </c>
      <c r="CQ733" s="5">
        <v>0</v>
      </c>
      <c r="CR733" s="5" t="s">
        <v>306</v>
      </c>
      <c r="CS733" s="5" t="s">
        <v>307</v>
      </c>
      <c r="CT733" s="5" t="s">
        <v>307</v>
      </c>
      <c r="CU733" s="5" t="s">
        <v>260</v>
      </c>
      <c r="CX733" s="7">
        <f>1</f>
        <v>1</v>
      </c>
      <c r="CY733" s="7">
        <f>0</f>
        <v>0</v>
      </c>
      <c r="DA733" s="7">
        <f>0</f>
        <v>0</v>
      </c>
      <c r="DC733" s="5" t="s">
        <v>812</v>
      </c>
      <c r="DD733" s="5" t="s">
        <v>240</v>
      </c>
      <c r="DF733" s="5" t="s">
        <v>812</v>
      </c>
      <c r="DG733" s="7">
        <f>1333</f>
        <v>1333</v>
      </c>
      <c r="DI733" s="5" t="s">
        <v>240</v>
      </c>
      <c r="DJ733" s="5" t="s">
        <v>240</v>
      </c>
      <c r="DK733" s="5" t="s">
        <v>240</v>
      </c>
      <c r="DL733" s="5" t="s">
        <v>240</v>
      </c>
      <c r="DP733" s="5" t="s">
        <v>240</v>
      </c>
      <c r="DQ733" s="5" t="s">
        <v>240</v>
      </c>
      <c r="DR733" s="5" t="s">
        <v>240</v>
      </c>
      <c r="DS733" s="5" t="s">
        <v>240</v>
      </c>
      <c r="DV733" s="5" t="s">
        <v>813</v>
      </c>
      <c r="DW733" s="5" t="s">
        <v>1586</v>
      </c>
      <c r="HO733" s="5" t="s">
        <v>312</v>
      </c>
    </row>
    <row r="734" spans="1:240" x14ac:dyDescent="0.4">
      <c r="A734" s="5">
        <v>1846</v>
      </c>
      <c r="B734" s="5">
        <v>1</v>
      </c>
      <c r="C734" s="5">
        <v>1</v>
      </c>
      <c r="D734" s="5" t="s">
        <v>6585</v>
      </c>
      <c r="E734" s="5" t="s">
        <v>1131</v>
      </c>
      <c r="F734" s="5" t="s">
        <v>254</v>
      </c>
      <c r="G734" s="5" t="s">
        <v>240</v>
      </c>
      <c r="H734" s="6" t="s">
        <v>6662</v>
      </c>
      <c r="I734" s="5" t="s">
        <v>6584</v>
      </c>
      <c r="J734" s="8">
        <f>1345</f>
        <v>1345</v>
      </c>
      <c r="K734" s="5" t="s">
        <v>308</v>
      </c>
      <c r="L734" s="7">
        <f>2979175</f>
        <v>2979175</v>
      </c>
      <c r="M734" s="7">
        <f>2979175</f>
        <v>2979175</v>
      </c>
      <c r="N734" s="5" t="s">
        <v>242</v>
      </c>
      <c r="O734" s="5">
        <v>1</v>
      </c>
      <c r="P734" s="5" t="s">
        <v>294</v>
      </c>
      <c r="Q734" s="5" t="s">
        <v>266</v>
      </c>
      <c r="R734" s="5" t="s">
        <v>240</v>
      </c>
      <c r="S734" s="5" t="s">
        <v>240</v>
      </c>
      <c r="T734" s="5" t="s">
        <v>296</v>
      </c>
      <c r="U734" s="5" t="s">
        <v>244</v>
      </c>
      <c r="V734" s="5" t="s">
        <v>240</v>
      </c>
      <c r="Y734" s="5" t="s">
        <v>240</v>
      </c>
      <c r="Z734" s="6" t="s">
        <v>298</v>
      </c>
      <c r="AB734" s="6" t="s">
        <v>240</v>
      </c>
      <c r="AE734" s="6" t="s">
        <v>299</v>
      </c>
      <c r="AF734" s="5" t="s">
        <v>248</v>
      </c>
      <c r="AG734" s="5" t="s">
        <v>249</v>
      </c>
      <c r="AW734" s="5" t="s">
        <v>251</v>
      </c>
      <c r="AX734" s="5" t="s">
        <v>240</v>
      </c>
      <c r="AY734" s="5" t="s">
        <v>253</v>
      </c>
      <c r="AZ734" s="5" t="s">
        <v>240</v>
      </c>
      <c r="BA734" s="5" t="s">
        <v>255</v>
      </c>
      <c r="BB734" s="5" t="s">
        <v>240</v>
      </c>
      <c r="BD734" s="5" t="s">
        <v>240</v>
      </c>
      <c r="BF734" s="5" t="s">
        <v>301</v>
      </c>
      <c r="BG734" s="6" t="s">
        <v>299</v>
      </c>
      <c r="BH734" s="5" t="s">
        <v>302</v>
      </c>
      <c r="BI734" s="5" t="s">
        <v>303</v>
      </c>
      <c r="BJ734" s="5" t="s">
        <v>240</v>
      </c>
      <c r="BK734" s="8">
        <f>0</f>
        <v>0</v>
      </c>
      <c r="BL734" s="7">
        <f>0</f>
        <v>0</v>
      </c>
      <c r="BM734" s="5" t="s">
        <v>258</v>
      </c>
      <c r="BN734" s="5" t="s">
        <v>259</v>
      </c>
      <c r="CB734" s="5" t="s">
        <v>240</v>
      </c>
      <c r="CC734" s="5" t="s">
        <v>240</v>
      </c>
      <c r="CG734" s="5" t="s">
        <v>304</v>
      </c>
      <c r="CH734" s="5" t="s">
        <v>305</v>
      </c>
      <c r="CI734" s="5" t="s">
        <v>240</v>
      </c>
      <c r="CL734" s="6" t="s">
        <v>261</v>
      </c>
      <c r="CM734" s="5" t="s">
        <v>240</v>
      </c>
      <c r="CN734" s="5" t="s">
        <v>263</v>
      </c>
      <c r="CO734" s="5" t="s">
        <v>240</v>
      </c>
      <c r="CP734" s="5" t="s">
        <v>240</v>
      </c>
      <c r="CQ734" s="5">
        <v>0</v>
      </c>
      <c r="CR734" s="5" t="s">
        <v>306</v>
      </c>
      <c r="CS734" s="5" t="s">
        <v>307</v>
      </c>
      <c r="CT734" s="5" t="s">
        <v>307</v>
      </c>
      <c r="CU734" s="5" t="s">
        <v>260</v>
      </c>
      <c r="CX734" s="7">
        <f>1</f>
        <v>1</v>
      </c>
      <c r="CY734" s="7">
        <f>0</f>
        <v>0</v>
      </c>
      <c r="DA734" s="7">
        <f>0</f>
        <v>0</v>
      </c>
      <c r="DC734" s="5" t="s">
        <v>812</v>
      </c>
      <c r="DD734" s="5" t="s">
        <v>240</v>
      </c>
      <c r="DF734" s="5" t="s">
        <v>812</v>
      </c>
      <c r="DG734" s="7">
        <f>567</f>
        <v>567</v>
      </c>
      <c r="DI734" s="5" t="s">
        <v>240</v>
      </c>
      <c r="DJ734" s="5" t="s">
        <v>240</v>
      </c>
      <c r="DK734" s="5" t="s">
        <v>240</v>
      </c>
      <c r="DL734" s="5" t="s">
        <v>240</v>
      </c>
      <c r="DP734" s="5" t="s">
        <v>240</v>
      </c>
      <c r="DQ734" s="5" t="s">
        <v>240</v>
      </c>
      <c r="DR734" s="5" t="s">
        <v>240</v>
      </c>
      <c r="DS734" s="5" t="s">
        <v>240</v>
      </c>
      <c r="DV734" s="5" t="s">
        <v>813</v>
      </c>
      <c r="DW734" s="5" t="s">
        <v>1588</v>
      </c>
      <c r="HO734" s="5" t="s">
        <v>312</v>
      </c>
    </row>
    <row r="735" spans="1:240" x14ac:dyDescent="0.4">
      <c r="A735" s="5">
        <v>1847</v>
      </c>
      <c r="B735" s="5">
        <v>1</v>
      </c>
      <c r="C735" s="5">
        <v>1</v>
      </c>
      <c r="D735" s="5" t="s">
        <v>6585</v>
      </c>
      <c r="E735" s="5" t="s">
        <v>1131</v>
      </c>
      <c r="F735" s="5" t="s">
        <v>254</v>
      </c>
      <c r="G735" s="5" t="s">
        <v>240</v>
      </c>
      <c r="H735" s="6" t="s">
        <v>6595</v>
      </c>
      <c r="I735" s="5" t="s">
        <v>6584</v>
      </c>
      <c r="J735" s="8">
        <f>83</f>
        <v>83</v>
      </c>
      <c r="K735" s="5" t="s">
        <v>308</v>
      </c>
      <c r="L735" s="7">
        <f>183845</f>
        <v>183845</v>
      </c>
      <c r="M735" s="7">
        <f>183845</f>
        <v>183845</v>
      </c>
      <c r="N735" s="5" t="s">
        <v>242</v>
      </c>
      <c r="O735" s="5">
        <v>1</v>
      </c>
      <c r="P735" s="5" t="s">
        <v>294</v>
      </c>
      <c r="Q735" s="5" t="s">
        <v>266</v>
      </c>
      <c r="R735" s="5" t="s">
        <v>240</v>
      </c>
      <c r="S735" s="5" t="s">
        <v>240</v>
      </c>
      <c r="T735" s="5" t="s">
        <v>296</v>
      </c>
      <c r="U735" s="5" t="s">
        <v>244</v>
      </c>
      <c r="V735" s="5" t="s">
        <v>240</v>
      </c>
      <c r="Y735" s="5" t="s">
        <v>240</v>
      </c>
      <c r="Z735" s="6" t="s">
        <v>298</v>
      </c>
      <c r="AB735" s="6" t="s">
        <v>240</v>
      </c>
      <c r="AE735" s="6" t="s">
        <v>299</v>
      </c>
      <c r="AF735" s="5" t="s">
        <v>248</v>
      </c>
      <c r="AG735" s="5" t="s">
        <v>249</v>
      </c>
      <c r="AW735" s="5" t="s">
        <v>251</v>
      </c>
      <c r="AX735" s="5" t="s">
        <v>240</v>
      </c>
      <c r="AY735" s="5" t="s">
        <v>253</v>
      </c>
      <c r="AZ735" s="5" t="s">
        <v>240</v>
      </c>
      <c r="BA735" s="5" t="s">
        <v>255</v>
      </c>
      <c r="BB735" s="5" t="s">
        <v>240</v>
      </c>
      <c r="BD735" s="5" t="s">
        <v>240</v>
      </c>
      <c r="BF735" s="5" t="s">
        <v>301</v>
      </c>
      <c r="BG735" s="6" t="s">
        <v>299</v>
      </c>
      <c r="BH735" s="5" t="s">
        <v>302</v>
      </c>
      <c r="BI735" s="5" t="s">
        <v>303</v>
      </c>
      <c r="BJ735" s="5" t="s">
        <v>240</v>
      </c>
      <c r="BK735" s="8">
        <f>0</f>
        <v>0</v>
      </c>
      <c r="BL735" s="7">
        <f>0</f>
        <v>0</v>
      </c>
      <c r="BM735" s="5" t="s">
        <v>258</v>
      </c>
      <c r="BN735" s="5" t="s">
        <v>259</v>
      </c>
      <c r="CB735" s="5" t="s">
        <v>240</v>
      </c>
      <c r="CC735" s="5" t="s">
        <v>240</v>
      </c>
      <c r="CG735" s="5" t="s">
        <v>304</v>
      </c>
      <c r="CH735" s="5" t="s">
        <v>305</v>
      </c>
      <c r="CI735" s="5" t="s">
        <v>240</v>
      </c>
      <c r="CL735" s="6" t="s">
        <v>261</v>
      </c>
      <c r="CM735" s="5" t="s">
        <v>240</v>
      </c>
      <c r="CN735" s="5" t="s">
        <v>263</v>
      </c>
      <c r="CO735" s="5" t="s">
        <v>240</v>
      </c>
      <c r="CP735" s="5" t="s">
        <v>240</v>
      </c>
      <c r="CQ735" s="5">
        <v>0</v>
      </c>
      <c r="CR735" s="5" t="s">
        <v>306</v>
      </c>
      <c r="CS735" s="5" t="s">
        <v>307</v>
      </c>
      <c r="CT735" s="5" t="s">
        <v>307</v>
      </c>
      <c r="CU735" s="5" t="s">
        <v>260</v>
      </c>
      <c r="CX735" s="7">
        <f>1</f>
        <v>1</v>
      </c>
      <c r="CY735" s="7">
        <f>0</f>
        <v>0</v>
      </c>
      <c r="DA735" s="7">
        <f>0</f>
        <v>0</v>
      </c>
      <c r="DC735" s="5" t="s">
        <v>309</v>
      </c>
      <c r="DD735" s="5" t="s">
        <v>240</v>
      </c>
      <c r="DF735" s="5" t="s">
        <v>309</v>
      </c>
      <c r="DG735" s="7">
        <f>908</f>
        <v>908</v>
      </c>
      <c r="DI735" s="5" t="s">
        <v>240</v>
      </c>
      <c r="DJ735" s="5" t="s">
        <v>240</v>
      </c>
      <c r="DK735" s="5" t="s">
        <v>240</v>
      </c>
      <c r="DL735" s="5" t="s">
        <v>240</v>
      </c>
      <c r="DP735" s="5" t="s">
        <v>240</v>
      </c>
      <c r="DQ735" s="5" t="s">
        <v>240</v>
      </c>
      <c r="DR735" s="5" t="s">
        <v>240</v>
      </c>
      <c r="DS735" s="5" t="s">
        <v>240</v>
      </c>
      <c r="DV735" s="5" t="s">
        <v>310</v>
      </c>
      <c r="DW735" s="5" t="s">
        <v>1590</v>
      </c>
      <c r="HO735" s="5" t="s">
        <v>312</v>
      </c>
    </row>
    <row r="736" spans="1:240" x14ac:dyDescent="0.4">
      <c r="A736" s="5">
        <v>1848</v>
      </c>
      <c r="B736" s="5">
        <v>1</v>
      </c>
      <c r="C736" s="5">
        <v>1</v>
      </c>
      <c r="D736" s="5" t="s">
        <v>6585</v>
      </c>
      <c r="E736" s="5" t="s">
        <v>1131</v>
      </c>
      <c r="F736" s="5" t="s">
        <v>254</v>
      </c>
      <c r="G736" s="5" t="s">
        <v>240</v>
      </c>
      <c r="H736" s="6" t="s">
        <v>6657</v>
      </c>
      <c r="I736" s="5" t="s">
        <v>6584</v>
      </c>
      <c r="J736" s="8">
        <f>168</f>
        <v>168</v>
      </c>
      <c r="K736" s="5" t="s">
        <v>308</v>
      </c>
      <c r="L736" s="7">
        <f>372120</f>
        <v>372120</v>
      </c>
      <c r="M736" s="7">
        <f>372120</f>
        <v>372120</v>
      </c>
      <c r="N736" s="5" t="s">
        <v>242</v>
      </c>
      <c r="O736" s="5">
        <v>1</v>
      </c>
      <c r="P736" s="5" t="s">
        <v>294</v>
      </c>
      <c r="Q736" s="5" t="s">
        <v>266</v>
      </c>
      <c r="R736" s="5" t="s">
        <v>240</v>
      </c>
      <c r="S736" s="5" t="s">
        <v>240</v>
      </c>
      <c r="T736" s="5" t="s">
        <v>296</v>
      </c>
      <c r="U736" s="5" t="s">
        <v>244</v>
      </c>
      <c r="V736" s="5" t="s">
        <v>240</v>
      </c>
      <c r="Y736" s="5" t="s">
        <v>240</v>
      </c>
      <c r="Z736" s="6" t="s">
        <v>298</v>
      </c>
      <c r="AB736" s="6" t="s">
        <v>240</v>
      </c>
      <c r="AE736" s="6" t="s">
        <v>299</v>
      </c>
      <c r="AF736" s="5" t="s">
        <v>248</v>
      </c>
      <c r="AG736" s="5" t="s">
        <v>249</v>
      </c>
      <c r="AW736" s="5" t="s">
        <v>251</v>
      </c>
      <c r="AX736" s="5" t="s">
        <v>240</v>
      </c>
      <c r="AY736" s="5" t="s">
        <v>253</v>
      </c>
      <c r="AZ736" s="5" t="s">
        <v>240</v>
      </c>
      <c r="BA736" s="5" t="s">
        <v>255</v>
      </c>
      <c r="BB736" s="5" t="s">
        <v>240</v>
      </c>
      <c r="BD736" s="5" t="s">
        <v>240</v>
      </c>
      <c r="BF736" s="5" t="s">
        <v>301</v>
      </c>
      <c r="BG736" s="6" t="s">
        <v>299</v>
      </c>
      <c r="BH736" s="5" t="s">
        <v>302</v>
      </c>
      <c r="BI736" s="5" t="s">
        <v>303</v>
      </c>
      <c r="BJ736" s="5" t="s">
        <v>240</v>
      </c>
      <c r="BK736" s="8">
        <f>0</f>
        <v>0</v>
      </c>
      <c r="BL736" s="7">
        <f>0</f>
        <v>0</v>
      </c>
      <c r="BM736" s="5" t="s">
        <v>258</v>
      </c>
      <c r="BN736" s="5" t="s">
        <v>259</v>
      </c>
      <c r="CB736" s="5" t="s">
        <v>240</v>
      </c>
      <c r="CC736" s="5" t="s">
        <v>240</v>
      </c>
      <c r="CG736" s="5" t="s">
        <v>304</v>
      </c>
      <c r="CH736" s="5" t="s">
        <v>305</v>
      </c>
      <c r="CI736" s="5" t="s">
        <v>240</v>
      </c>
      <c r="CL736" s="6" t="s">
        <v>261</v>
      </c>
      <c r="CM736" s="5" t="s">
        <v>240</v>
      </c>
      <c r="CN736" s="5" t="s">
        <v>263</v>
      </c>
      <c r="CO736" s="5" t="s">
        <v>240</v>
      </c>
      <c r="CP736" s="5" t="s">
        <v>240</v>
      </c>
      <c r="CQ736" s="5">
        <v>0</v>
      </c>
      <c r="CR736" s="5" t="s">
        <v>306</v>
      </c>
      <c r="CS736" s="5" t="s">
        <v>307</v>
      </c>
      <c r="CT736" s="5" t="s">
        <v>307</v>
      </c>
      <c r="CU736" s="5" t="s">
        <v>260</v>
      </c>
      <c r="CX736" s="7">
        <f>1</f>
        <v>1</v>
      </c>
      <c r="CY736" s="7">
        <f>0</f>
        <v>0</v>
      </c>
      <c r="DA736" s="7">
        <f>0</f>
        <v>0</v>
      </c>
      <c r="DC736" s="5" t="s">
        <v>812</v>
      </c>
      <c r="DD736" s="5" t="s">
        <v>240</v>
      </c>
      <c r="DF736" s="5" t="s">
        <v>812</v>
      </c>
      <c r="DG736" s="7">
        <f>152</f>
        <v>152</v>
      </c>
      <c r="DI736" s="5" t="s">
        <v>240</v>
      </c>
      <c r="DJ736" s="5" t="s">
        <v>240</v>
      </c>
      <c r="DK736" s="5" t="s">
        <v>240</v>
      </c>
      <c r="DL736" s="5" t="s">
        <v>240</v>
      </c>
      <c r="DP736" s="5" t="s">
        <v>240</v>
      </c>
      <c r="DQ736" s="5" t="s">
        <v>240</v>
      </c>
      <c r="DR736" s="5" t="s">
        <v>240</v>
      </c>
      <c r="DS736" s="5" t="s">
        <v>240</v>
      </c>
      <c r="DV736" s="5" t="s">
        <v>813</v>
      </c>
      <c r="DW736" s="5" t="s">
        <v>777</v>
      </c>
      <c r="HO736" s="5" t="s">
        <v>312</v>
      </c>
    </row>
    <row r="737" spans="1:240" x14ac:dyDescent="0.4">
      <c r="A737" s="5">
        <v>1849</v>
      </c>
      <c r="B737" s="5">
        <v>1</v>
      </c>
      <c r="C737" s="5">
        <v>1</v>
      </c>
      <c r="D737" s="5" t="s">
        <v>6585</v>
      </c>
      <c r="E737" s="5" t="s">
        <v>1131</v>
      </c>
      <c r="F737" s="5" t="s">
        <v>254</v>
      </c>
      <c r="G737" s="5" t="s">
        <v>240</v>
      </c>
      <c r="H737" s="6" t="s">
        <v>6586</v>
      </c>
      <c r="I737" s="5" t="s">
        <v>6584</v>
      </c>
      <c r="J737" s="8">
        <f>123</f>
        <v>123</v>
      </c>
      <c r="K737" s="5" t="s">
        <v>308</v>
      </c>
      <c r="L737" s="7">
        <f>272445</f>
        <v>272445</v>
      </c>
      <c r="M737" s="7">
        <f>272445</f>
        <v>272445</v>
      </c>
      <c r="N737" s="5" t="s">
        <v>242</v>
      </c>
      <c r="O737" s="5">
        <v>1</v>
      </c>
      <c r="P737" s="5" t="s">
        <v>294</v>
      </c>
      <c r="Q737" s="5" t="s">
        <v>266</v>
      </c>
      <c r="R737" s="5" t="s">
        <v>240</v>
      </c>
      <c r="S737" s="5" t="s">
        <v>240</v>
      </c>
      <c r="T737" s="5" t="s">
        <v>296</v>
      </c>
      <c r="U737" s="5" t="s">
        <v>244</v>
      </c>
      <c r="V737" s="5" t="s">
        <v>240</v>
      </c>
      <c r="Y737" s="5" t="s">
        <v>240</v>
      </c>
      <c r="Z737" s="6" t="s">
        <v>298</v>
      </c>
      <c r="AB737" s="6" t="s">
        <v>240</v>
      </c>
      <c r="AE737" s="6" t="s">
        <v>299</v>
      </c>
      <c r="AF737" s="5" t="s">
        <v>248</v>
      </c>
      <c r="AG737" s="5" t="s">
        <v>249</v>
      </c>
      <c r="AW737" s="5" t="s">
        <v>251</v>
      </c>
      <c r="AX737" s="5" t="s">
        <v>240</v>
      </c>
      <c r="AY737" s="5" t="s">
        <v>253</v>
      </c>
      <c r="AZ737" s="5" t="s">
        <v>240</v>
      </c>
      <c r="BA737" s="5" t="s">
        <v>255</v>
      </c>
      <c r="BB737" s="5" t="s">
        <v>240</v>
      </c>
      <c r="BD737" s="5" t="s">
        <v>240</v>
      </c>
      <c r="BF737" s="5" t="s">
        <v>301</v>
      </c>
      <c r="BG737" s="6" t="s">
        <v>299</v>
      </c>
      <c r="BH737" s="5" t="s">
        <v>302</v>
      </c>
      <c r="BI737" s="5" t="s">
        <v>303</v>
      </c>
      <c r="BJ737" s="5" t="s">
        <v>240</v>
      </c>
      <c r="BK737" s="8">
        <f>0</f>
        <v>0</v>
      </c>
      <c r="BL737" s="7">
        <f>0</f>
        <v>0</v>
      </c>
      <c r="BM737" s="5" t="s">
        <v>258</v>
      </c>
      <c r="BN737" s="5" t="s">
        <v>259</v>
      </c>
      <c r="CB737" s="5" t="s">
        <v>240</v>
      </c>
      <c r="CC737" s="5" t="s">
        <v>240</v>
      </c>
      <c r="CG737" s="5" t="s">
        <v>304</v>
      </c>
      <c r="CH737" s="5" t="s">
        <v>305</v>
      </c>
      <c r="CI737" s="5" t="s">
        <v>240</v>
      </c>
      <c r="CL737" s="6" t="s">
        <v>261</v>
      </c>
      <c r="CM737" s="5" t="s">
        <v>240</v>
      </c>
      <c r="CN737" s="5" t="s">
        <v>263</v>
      </c>
      <c r="CO737" s="5" t="s">
        <v>240</v>
      </c>
      <c r="CP737" s="5" t="s">
        <v>240</v>
      </c>
      <c r="CQ737" s="5">
        <v>0</v>
      </c>
      <c r="CR737" s="5" t="s">
        <v>306</v>
      </c>
      <c r="CS737" s="5" t="s">
        <v>307</v>
      </c>
      <c r="CT737" s="5" t="s">
        <v>307</v>
      </c>
      <c r="CU737" s="5" t="s">
        <v>260</v>
      </c>
      <c r="CX737" s="7">
        <f>1</f>
        <v>1</v>
      </c>
      <c r="CY737" s="7">
        <f>0</f>
        <v>0</v>
      </c>
      <c r="DA737" s="7">
        <f>0</f>
        <v>0</v>
      </c>
      <c r="DC737" s="5" t="s">
        <v>812</v>
      </c>
      <c r="DD737" s="5" t="s">
        <v>240</v>
      </c>
      <c r="DF737" s="5" t="s">
        <v>812</v>
      </c>
      <c r="DG737" s="7">
        <f>156</f>
        <v>156</v>
      </c>
      <c r="DI737" s="5" t="s">
        <v>240</v>
      </c>
      <c r="DJ737" s="5" t="s">
        <v>240</v>
      </c>
      <c r="DK737" s="5" t="s">
        <v>240</v>
      </c>
      <c r="DL737" s="5" t="s">
        <v>240</v>
      </c>
      <c r="DP737" s="5" t="s">
        <v>240</v>
      </c>
      <c r="DQ737" s="5" t="s">
        <v>240</v>
      </c>
      <c r="DR737" s="5" t="s">
        <v>240</v>
      </c>
      <c r="DS737" s="5" t="s">
        <v>240</v>
      </c>
      <c r="DV737" s="5" t="s">
        <v>813</v>
      </c>
      <c r="DW737" s="5" t="s">
        <v>902</v>
      </c>
      <c r="HO737" s="5" t="s">
        <v>312</v>
      </c>
    </row>
    <row r="738" spans="1:240" x14ac:dyDescent="0.4">
      <c r="A738" s="5">
        <v>1850</v>
      </c>
      <c r="B738" s="5">
        <v>1</v>
      </c>
      <c r="C738" s="5">
        <v>1</v>
      </c>
      <c r="D738" s="5" t="s">
        <v>6585</v>
      </c>
      <c r="E738" s="5" t="s">
        <v>1131</v>
      </c>
      <c r="F738" s="5" t="s">
        <v>254</v>
      </c>
      <c r="G738" s="5" t="s">
        <v>240</v>
      </c>
      <c r="H738" s="6" t="s">
        <v>6656</v>
      </c>
      <c r="I738" s="5" t="s">
        <v>6584</v>
      </c>
      <c r="J738" s="8">
        <f>4011</f>
        <v>4011</v>
      </c>
      <c r="K738" s="5" t="s">
        <v>308</v>
      </c>
      <c r="L738" s="7">
        <f>44121</f>
        <v>44121</v>
      </c>
      <c r="M738" s="7">
        <f>44121</f>
        <v>44121</v>
      </c>
      <c r="N738" s="5" t="s">
        <v>242</v>
      </c>
      <c r="O738" s="5">
        <v>1</v>
      </c>
      <c r="P738" s="5" t="s">
        <v>294</v>
      </c>
      <c r="Q738" s="5" t="s">
        <v>266</v>
      </c>
      <c r="R738" s="5" t="s">
        <v>240</v>
      </c>
      <c r="S738" s="5" t="s">
        <v>240</v>
      </c>
      <c r="T738" s="5" t="s">
        <v>243</v>
      </c>
      <c r="U738" s="5" t="s">
        <v>240</v>
      </c>
      <c r="V738" s="5" t="s">
        <v>240</v>
      </c>
      <c r="Y738" s="5" t="s">
        <v>240</v>
      </c>
      <c r="Z738" s="6" t="s">
        <v>444</v>
      </c>
      <c r="AB738" s="6" t="s">
        <v>240</v>
      </c>
      <c r="AE738" s="6" t="s">
        <v>1594</v>
      </c>
      <c r="AF738" s="5" t="s">
        <v>248</v>
      </c>
      <c r="AG738" s="5" t="s">
        <v>260</v>
      </c>
      <c r="AW738" s="5" t="s">
        <v>251</v>
      </c>
      <c r="AX738" s="5" t="s">
        <v>240</v>
      </c>
      <c r="AY738" s="5" t="s">
        <v>253</v>
      </c>
      <c r="AZ738" s="5" t="s">
        <v>240</v>
      </c>
      <c r="BA738" s="5" t="s">
        <v>255</v>
      </c>
      <c r="BB738" s="5" t="s">
        <v>240</v>
      </c>
      <c r="BD738" s="5" t="s">
        <v>240</v>
      </c>
      <c r="BF738" s="5" t="s">
        <v>447</v>
      </c>
      <c r="BG738" s="6" t="s">
        <v>444</v>
      </c>
      <c r="BH738" s="5" t="s">
        <v>302</v>
      </c>
      <c r="BI738" s="5" t="s">
        <v>302</v>
      </c>
      <c r="BJ738" s="5" t="s">
        <v>240</v>
      </c>
      <c r="BK738" s="8">
        <f>0</f>
        <v>0</v>
      </c>
      <c r="BL738" s="7">
        <f>0</f>
        <v>0</v>
      </c>
      <c r="BM738" s="5" t="s">
        <v>258</v>
      </c>
      <c r="BN738" s="5" t="s">
        <v>259</v>
      </c>
      <c r="CB738" s="5" t="s">
        <v>240</v>
      </c>
      <c r="CC738" s="5" t="s">
        <v>240</v>
      </c>
      <c r="CG738" s="5" t="s">
        <v>449</v>
      </c>
      <c r="CH738" s="5" t="s">
        <v>305</v>
      </c>
      <c r="CI738" s="5" t="s">
        <v>240</v>
      </c>
      <c r="CL738" s="6" t="s">
        <v>261</v>
      </c>
      <c r="CM738" s="5" t="s">
        <v>240</v>
      </c>
      <c r="CN738" s="5" t="s">
        <v>263</v>
      </c>
      <c r="CO738" s="5" t="s">
        <v>240</v>
      </c>
      <c r="CP738" s="5" t="s">
        <v>240</v>
      </c>
      <c r="CQ738" s="5">
        <v>0</v>
      </c>
      <c r="CR738" s="5" t="s">
        <v>306</v>
      </c>
      <c r="CS738" s="5" t="s">
        <v>307</v>
      </c>
      <c r="CT738" s="5" t="s">
        <v>307</v>
      </c>
      <c r="CU738" s="5" t="s">
        <v>260</v>
      </c>
      <c r="CX738" s="7">
        <f>1256708</f>
        <v>1256708</v>
      </c>
      <c r="CY738" s="7">
        <f>0</f>
        <v>0</v>
      </c>
      <c r="DA738" s="7">
        <f>0</f>
        <v>0</v>
      </c>
      <c r="DC738" s="5" t="s">
        <v>450</v>
      </c>
      <c r="DD738" s="5" t="s">
        <v>240</v>
      </c>
      <c r="DF738" s="5" t="s">
        <v>450</v>
      </c>
      <c r="DG738" s="7">
        <f>723.06</f>
        <v>723.06</v>
      </c>
      <c r="DI738" s="5" t="s">
        <v>240</v>
      </c>
      <c r="DJ738" s="5" t="s">
        <v>240</v>
      </c>
      <c r="DK738" s="5" t="s">
        <v>240</v>
      </c>
      <c r="DL738" s="5" t="s">
        <v>240</v>
      </c>
      <c r="DP738" s="5" t="s">
        <v>240</v>
      </c>
      <c r="DQ738" s="5" t="s">
        <v>240</v>
      </c>
      <c r="DR738" s="5" t="s">
        <v>240</v>
      </c>
      <c r="DS738" s="5" t="s">
        <v>240</v>
      </c>
      <c r="DV738" s="5" t="s">
        <v>310</v>
      </c>
      <c r="DW738" s="5" t="s">
        <v>1596</v>
      </c>
      <c r="HO738" s="5" t="s">
        <v>621</v>
      </c>
    </row>
    <row r="739" spans="1:240" x14ac:dyDescent="0.4">
      <c r="A739" s="5">
        <v>1851</v>
      </c>
      <c r="B739" s="5">
        <v>1</v>
      </c>
      <c r="C739" s="5">
        <v>1</v>
      </c>
      <c r="D739" s="5" t="s">
        <v>6585</v>
      </c>
      <c r="E739" s="5" t="s">
        <v>1131</v>
      </c>
      <c r="F739" s="5" t="s">
        <v>254</v>
      </c>
      <c r="G739" s="5" t="s">
        <v>240</v>
      </c>
      <c r="H739" s="6" t="s">
        <v>6604</v>
      </c>
      <c r="I739" s="5" t="s">
        <v>6584</v>
      </c>
      <c r="J739" s="8">
        <f>437</f>
        <v>437</v>
      </c>
      <c r="K739" s="5" t="s">
        <v>308</v>
      </c>
      <c r="L739" s="7">
        <f>967955</f>
        <v>967955</v>
      </c>
      <c r="M739" s="7">
        <f>967955</f>
        <v>967955</v>
      </c>
      <c r="N739" s="5" t="s">
        <v>242</v>
      </c>
      <c r="O739" s="5">
        <v>1</v>
      </c>
      <c r="P739" s="5" t="s">
        <v>294</v>
      </c>
      <c r="Q739" s="5" t="s">
        <v>613</v>
      </c>
      <c r="R739" s="5" t="s">
        <v>240</v>
      </c>
      <c r="S739" s="5" t="s">
        <v>240</v>
      </c>
      <c r="T739" s="5" t="s">
        <v>243</v>
      </c>
      <c r="U739" s="5" t="s">
        <v>724</v>
      </c>
      <c r="V739" s="5" t="s">
        <v>240</v>
      </c>
      <c r="W739" s="5" t="s">
        <v>240</v>
      </c>
      <c r="X739" s="5" t="s">
        <v>240</v>
      </c>
      <c r="Y739" s="5" t="s">
        <v>240</v>
      </c>
      <c r="Z739" s="6" t="s">
        <v>298</v>
      </c>
      <c r="AA739" s="6" t="s">
        <v>240</v>
      </c>
      <c r="AB739" s="6" t="s">
        <v>240</v>
      </c>
      <c r="AC739" s="5" t="s">
        <v>240</v>
      </c>
      <c r="AD739" s="6" t="s">
        <v>240</v>
      </c>
      <c r="AE739" s="6" t="s">
        <v>299</v>
      </c>
      <c r="AF739" s="5" t="s">
        <v>727</v>
      </c>
      <c r="AG739" s="5" t="s">
        <v>260</v>
      </c>
      <c r="AH739" s="5" t="s">
        <v>240</v>
      </c>
      <c r="AI739" s="5" t="s">
        <v>240</v>
      </c>
      <c r="AJ739" s="5" t="s">
        <v>240</v>
      </c>
      <c r="AK739" s="5" t="s">
        <v>240</v>
      </c>
      <c r="AL739" s="5" t="s">
        <v>240</v>
      </c>
      <c r="AM739" s="5" t="s">
        <v>240</v>
      </c>
      <c r="AN739" s="5" t="s">
        <v>240</v>
      </c>
      <c r="AO739" s="5" t="s">
        <v>240</v>
      </c>
      <c r="AP739" s="6" t="s">
        <v>240</v>
      </c>
      <c r="AQ739" s="6" t="s">
        <v>240</v>
      </c>
      <c r="AR739" s="6" t="s">
        <v>240</v>
      </c>
      <c r="AS739" s="6" t="s">
        <v>240</v>
      </c>
      <c r="AT739" s="5" t="s">
        <v>240</v>
      </c>
      <c r="AU739" s="5" t="s">
        <v>729</v>
      </c>
      <c r="AV739" s="5" t="s">
        <v>729</v>
      </c>
      <c r="AW739" s="5" t="s">
        <v>251</v>
      </c>
      <c r="AX739" s="5" t="s">
        <v>252</v>
      </c>
      <c r="AY739" s="5" t="s">
        <v>253</v>
      </c>
      <c r="AZ739" s="5" t="s">
        <v>240</v>
      </c>
      <c r="BA739" s="5" t="s">
        <v>255</v>
      </c>
      <c r="BB739" s="5" t="s">
        <v>731</v>
      </c>
      <c r="BD739" s="5" t="s">
        <v>240</v>
      </c>
      <c r="BF739" s="5" t="s">
        <v>732</v>
      </c>
      <c r="BG739" s="6" t="s">
        <v>733</v>
      </c>
      <c r="BH739" s="5" t="s">
        <v>734</v>
      </c>
      <c r="BI739" s="5" t="s">
        <v>734</v>
      </c>
      <c r="BJ739" s="5" t="s">
        <v>240</v>
      </c>
      <c r="BK739" s="8">
        <f>368.8</f>
        <v>368.8</v>
      </c>
      <c r="BL739" s="7">
        <f>0</f>
        <v>0</v>
      </c>
      <c r="BM739" s="5" t="s">
        <v>258</v>
      </c>
      <c r="BN739" s="5" t="s">
        <v>259</v>
      </c>
      <c r="BO739" s="5" t="s">
        <v>240</v>
      </c>
      <c r="BP739" s="5" t="s">
        <v>240</v>
      </c>
      <c r="BQ739" s="5" t="s">
        <v>240</v>
      </c>
      <c r="BR739" s="5" t="s">
        <v>240</v>
      </c>
      <c r="BS739" s="5" t="s">
        <v>240</v>
      </c>
      <c r="BT739" s="5" t="s">
        <v>240</v>
      </c>
      <c r="BU739" s="5" t="s">
        <v>240</v>
      </c>
      <c r="BV739" s="5" t="s">
        <v>240</v>
      </c>
      <c r="BW739" s="6" t="s">
        <v>240</v>
      </c>
      <c r="BX739" s="5" t="s">
        <v>240</v>
      </c>
      <c r="BY739" s="5" t="s">
        <v>240</v>
      </c>
      <c r="BZ739" s="5" t="s">
        <v>240</v>
      </c>
      <c r="CA739" s="5" t="s">
        <v>259</v>
      </c>
      <c r="CB739" s="5" t="s">
        <v>240</v>
      </c>
      <c r="CC739" s="5" t="s">
        <v>240</v>
      </c>
      <c r="CD739" s="5" t="s">
        <v>240</v>
      </c>
      <c r="CE739" s="5" t="s">
        <v>240</v>
      </c>
      <c r="CF739" s="5" t="s">
        <v>240</v>
      </c>
      <c r="CG739" s="5" t="s">
        <v>617</v>
      </c>
      <c r="CH739" s="5" t="s">
        <v>305</v>
      </c>
      <c r="CI739" s="5" t="s">
        <v>240</v>
      </c>
      <c r="CL739" s="6" t="s">
        <v>261</v>
      </c>
      <c r="CM739" s="5" t="s">
        <v>262</v>
      </c>
      <c r="CN739" s="5" t="s">
        <v>263</v>
      </c>
      <c r="CO739" s="5" t="s">
        <v>264</v>
      </c>
      <c r="CP739" s="5" t="s">
        <v>240</v>
      </c>
      <c r="CQ739" s="5">
        <v>0</v>
      </c>
      <c r="CR739" s="5" t="s">
        <v>735</v>
      </c>
      <c r="CS739" s="5" t="s">
        <v>307</v>
      </c>
      <c r="CT739" s="5" t="s">
        <v>307</v>
      </c>
      <c r="CU739" s="5" t="s">
        <v>260</v>
      </c>
      <c r="CV739" s="5" t="s">
        <v>240</v>
      </c>
      <c r="CW739" s="8">
        <f>0</f>
        <v>0</v>
      </c>
      <c r="CX739" s="7">
        <f>0</f>
        <v>0</v>
      </c>
      <c r="CY739" s="7">
        <f>0</f>
        <v>0</v>
      </c>
      <c r="DA739" s="7">
        <f>4056</f>
        <v>4056</v>
      </c>
      <c r="DB739" s="7" t="s">
        <v>240</v>
      </c>
      <c r="DC739" s="5" t="s">
        <v>240</v>
      </c>
      <c r="DD739" s="5" t="s">
        <v>240</v>
      </c>
      <c r="DE739" s="5" t="s">
        <v>240</v>
      </c>
      <c r="DF739" s="5" t="s">
        <v>450</v>
      </c>
      <c r="DG739" s="7">
        <f>0</f>
        <v>0</v>
      </c>
      <c r="DI739" s="5" t="s">
        <v>737</v>
      </c>
      <c r="DJ739" s="5" t="s">
        <v>240</v>
      </c>
      <c r="DK739" s="5" t="s">
        <v>240</v>
      </c>
      <c r="DL739" s="5" t="s">
        <v>240</v>
      </c>
      <c r="DM739" s="5" t="s">
        <v>240</v>
      </c>
      <c r="DN739" s="5" t="s">
        <v>240</v>
      </c>
      <c r="DO739" s="7" t="s">
        <v>240</v>
      </c>
      <c r="DP739" s="5" t="s">
        <v>240</v>
      </c>
      <c r="DQ739" s="5" t="s">
        <v>240</v>
      </c>
      <c r="DR739" s="5" t="s">
        <v>731</v>
      </c>
      <c r="DS739" s="5" t="s">
        <v>731</v>
      </c>
      <c r="DT739" s="5" t="s">
        <v>240</v>
      </c>
      <c r="DU739" s="5" t="s">
        <v>240</v>
      </c>
      <c r="DV739" s="5" t="s">
        <v>738</v>
      </c>
      <c r="DW739" s="5" t="s">
        <v>602</v>
      </c>
      <c r="DX739" s="5" t="s">
        <v>240</v>
      </c>
      <c r="DY739" s="5" t="s">
        <v>240</v>
      </c>
      <c r="DZ739" s="5" t="s">
        <v>240</v>
      </c>
      <c r="EA739" s="5" t="s">
        <v>240</v>
      </c>
      <c r="EB739" s="5" t="s">
        <v>240</v>
      </c>
      <c r="EC739" s="5" t="s">
        <v>240</v>
      </c>
      <c r="ED739" s="5" t="s">
        <v>240</v>
      </c>
      <c r="EE739" s="5" t="s">
        <v>240</v>
      </c>
      <c r="EF739" s="5" t="s">
        <v>240</v>
      </c>
      <c r="EG739" s="5" t="s">
        <v>240</v>
      </c>
      <c r="EH739" s="5" t="s">
        <v>240</v>
      </c>
      <c r="EI739" s="5" t="s">
        <v>240</v>
      </c>
      <c r="EJ739" s="5" t="s">
        <v>240</v>
      </c>
      <c r="EK739" s="5" t="s">
        <v>240</v>
      </c>
      <c r="EL739" s="5" t="s">
        <v>240</v>
      </c>
      <c r="EM739" s="5" t="s">
        <v>240</v>
      </c>
      <c r="EN739" s="5" t="s">
        <v>240</v>
      </c>
      <c r="EO739" s="5" t="s">
        <v>240</v>
      </c>
      <c r="EP739" s="5" t="s">
        <v>240</v>
      </c>
      <c r="EQ739" s="5" t="s">
        <v>240</v>
      </c>
      <c r="ER739" s="5" t="s">
        <v>240</v>
      </c>
      <c r="ES739" s="5" t="s">
        <v>240</v>
      </c>
      <c r="ET739" s="5" t="s">
        <v>240</v>
      </c>
      <c r="EU739" s="5" t="s">
        <v>240</v>
      </c>
      <c r="EV739" s="5" t="s">
        <v>240</v>
      </c>
      <c r="EW739" s="5" t="s">
        <v>240</v>
      </c>
      <c r="EX739" s="5" t="s">
        <v>240</v>
      </c>
      <c r="EY739" s="5" t="s">
        <v>240</v>
      </c>
      <c r="EZ739" s="5" t="s">
        <v>240</v>
      </c>
      <c r="FA739" s="5" t="s">
        <v>240</v>
      </c>
      <c r="FB739" s="5" t="s">
        <v>240</v>
      </c>
      <c r="FC739" s="5" t="s">
        <v>240</v>
      </c>
      <c r="FD739" s="5" t="s">
        <v>240</v>
      </c>
      <c r="FE739" s="5" t="s">
        <v>240</v>
      </c>
      <c r="FF739" s="5" t="s">
        <v>240</v>
      </c>
      <c r="FG739" s="5" t="s">
        <v>240</v>
      </c>
      <c r="FH739" s="5" t="s">
        <v>240</v>
      </c>
      <c r="FI739" s="5" t="s">
        <v>240</v>
      </c>
      <c r="FJ739" s="5" t="s">
        <v>240</v>
      </c>
      <c r="FK739" s="5" t="s">
        <v>240</v>
      </c>
      <c r="FL739" s="5" t="s">
        <v>240</v>
      </c>
      <c r="FM739" s="5" t="s">
        <v>240</v>
      </c>
      <c r="FN739" s="5" t="s">
        <v>240</v>
      </c>
      <c r="FO739" s="5" t="s">
        <v>240</v>
      </c>
      <c r="FP739" s="5" t="s">
        <v>240</v>
      </c>
      <c r="FQ739" s="5" t="s">
        <v>240</v>
      </c>
      <c r="FR739" s="5" t="s">
        <v>240</v>
      </c>
      <c r="FS739" s="5" t="s">
        <v>240</v>
      </c>
      <c r="FT739" s="5" t="s">
        <v>240</v>
      </c>
      <c r="FU739" s="5" t="s">
        <v>240</v>
      </c>
      <c r="FV739" s="5" t="s">
        <v>240</v>
      </c>
      <c r="FW739" s="5" t="s">
        <v>240</v>
      </c>
      <c r="FX739" s="5" t="s">
        <v>240</v>
      </c>
      <c r="FY739" s="5" t="s">
        <v>240</v>
      </c>
      <c r="FZ739" s="5" t="s">
        <v>240</v>
      </c>
      <c r="GA739" s="5" t="s">
        <v>240</v>
      </c>
      <c r="GB739" s="5" t="s">
        <v>240</v>
      </c>
      <c r="GC739" s="5" t="s">
        <v>240</v>
      </c>
      <c r="GD739" s="5" t="s">
        <v>240</v>
      </c>
      <c r="GE739" s="5" t="s">
        <v>240</v>
      </c>
      <c r="GF739" s="5" t="s">
        <v>240</v>
      </c>
      <c r="GG739" s="5" t="s">
        <v>240</v>
      </c>
      <c r="GH739" s="5" t="s">
        <v>240</v>
      </c>
      <c r="GI739" s="5" t="s">
        <v>240</v>
      </c>
      <c r="GJ739" s="5" t="s">
        <v>240</v>
      </c>
      <c r="GK739" s="5" t="s">
        <v>240</v>
      </c>
      <c r="GL739" s="5" t="s">
        <v>240</v>
      </c>
      <c r="GM739" s="5" t="s">
        <v>240</v>
      </c>
      <c r="GN739" s="5" t="s">
        <v>240</v>
      </c>
      <c r="GO739" s="5" t="s">
        <v>240</v>
      </c>
      <c r="GP739" s="5" t="s">
        <v>240</v>
      </c>
      <c r="GQ739" s="5" t="s">
        <v>240</v>
      </c>
      <c r="GR739" s="5" t="s">
        <v>240</v>
      </c>
      <c r="GS739" s="5" t="s">
        <v>240</v>
      </c>
      <c r="GT739" s="5" t="s">
        <v>240</v>
      </c>
      <c r="GU739" s="5" t="s">
        <v>240</v>
      </c>
      <c r="GV739" s="5" t="s">
        <v>240</v>
      </c>
      <c r="GW739" s="5" t="s">
        <v>240</v>
      </c>
      <c r="GX739" s="5" t="s">
        <v>240</v>
      </c>
      <c r="GY739" s="5" t="s">
        <v>240</v>
      </c>
      <c r="GZ739" s="5" t="s">
        <v>240</v>
      </c>
      <c r="HA739" s="5" t="s">
        <v>240</v>
      </c>
      <c r="HB739" s="5" t="s">
        <v>240</v>
      </c>
      <c r="HC739" s="5" t="s">
        <v>240</v>
      </c>
      <c r="HD739" s="5" t="s">
        <v>240</v>
      </c>
      <c r="HE739" s="5" t="s">
        <v>240</v>
      </c>
      <c r="HF739" s="5" t="s">
        <v>240</v>
      </c>
      <c r="HG739" s="5" t="s">
        <v>240</v>
      </c>
      <c r="HH739" s="5" t="s">
        <v>240</v>
      </c>
      <c r="HI739" s="5" t="s">
        <v>240</v>
      </c>
      <c r="HJ739" s="5" t="s">
        <v>240</v>
      </c>
      <c r="HK739" s="5" t="s">
        <v>240</v>
      </c>
      <c r="HL739" s="5" t="s">
        <v>240</v>
      </c>
      <c r="HM739" s="5" t="s">
        <v>240</v>
      </c>
      <c r="HN739" s="5" t="s">
        <v>240</v>
      </c>
      <c r="HO739" s="5" t="s">
        <v>620</v>
      </c>
      <c r="HP739" s="5" t="s">
        <v>240</v>
      </c>
      <c r="HQ739" s="5" t="s">
        <v>240</v>
      </c>
      <c r="HR739" s="5" t="s">
        <v>240</v>
      </c>
      <c r="HS739" s="5" t="s">
        <v>240</v>
      </c>
      <c r="HT739" s="5" t="s">
        <v>240</v>
      </c>
      <c r="HU739" s="5" t="s">
        <v>240</v>
      </c>
      <c r="HV739" s="5" t="s">
        <v>240</v>
      </c>
      <c r="HW739" s="5" t="s">
        <v>240</v>
      </c>
      <c r="HX739" s="5" t="s">
        <v>240</v>
      </c>
      <c r="HY739" s="5" t="s">
        <v>240</v>
      </c>
      <c r="HZ739" s="5" t="s">
        <v>240</v>
      </c>
      <c r="IA739" s="5" t="s">
        <v>240</v>
      </c>
      <c r="IB739" s="5" t="s">
        <v>240</v>
      </c>
      <c r="IC739" s="5" t="s">
        <v>240</v>
      </c>
      <c r="ID739" s="5" t="s">
        <v>240</v>
      </c>
      <c r="IE739" s="5" t="s">
        <v>240</v>
      </c>
      <c r="IF739" s="5" t="s">
        <v>240</v>
      </c>
    </row>
    <row r="740" spans="1:240" x14ac:dyDescent="0.4">
      <c r="A740" s="5">
        <v>1852</v>
      </c>
      <c r="B740" s="5">
        <v>1</v>
      </c>
      <c r="C740" s="5">
        <v>1</v>
      </c>
      <c r="D740" s="5" t="s">
        <v>6585</v>
      </c>
      <c r="E740" s="5" t="s">
        <v>1131</v>
      </c>
      <c r="F740" s="5" t="s">
        <v>254</v>
      </c>
      <c r="G740" s="5" t="s">
        <v>240</v>
      </c>
      <c r="H740" s="6" t="s">
        <v>6603</v>
      </c>
      <c r="I740" s="5" t="s">
        <v>6584</v>
      </c>
      <c r="J740" s="8">
        <f>1686</f>
        <v>1686</v>
      </c>
      <c r="K740" s="5" t="s">
        <v>308</v>
      </c>
      <c r="L740" s="7">
        <f>18546</f>
        <v>18546</v>
      </c>
      <c r="M740" s="7">
        <f>18546</f>
        <v>18546</v>
      </c>
      <c r="N740" s="5" t="s">
        <v>242</v>
      </c>
      <c r="O740" s="5">
        <v>1</v>
      </c>
      <c r="P740" s="5" t="s">
        <v>294</v>
      </c>
      <c r="Q740" s="5" t="s">
        <v>613</v>
      </c>
      <c r="R740" s="5" t="s">
        <v>240</v>
      </c>
      <c r="S740" s="5" t="s">
        <v>240</v>
      </c>
      <c r="T740" s="5" t="s">
        <v>243</v>
      </c>
      <c r="U740" s="5" t="s">
        <v>244</v>
      </c>
      <c r="V740" s="5" t="s">
        <v>240</v>
      </c>
      <c r="Y740" s="5" t="s">
        <v>240</v>
      </c>
      <c r="Z740" s="6" t="s">
        <v>298</v>
      </c>
      <c r="AB740" s="6" t="s">
        <v>240</v>
      </c>
      <c r="AE740" s="6" t="s">
        <v>299</v>
      </c>
      <c r="AF740" s="5" t="s">
        <v>248</v>
      </c>
      <c r="AG740" s="5" t="s">
        <v>249</v>
      </c>
      <c r="AW740" s="5" t="s">
        <v>251</v>
      </c>
      <c r="AX740" s="5" t="s">
        <v>240</v>
      </c>
      <c r="AY740" s="5" t="s">
        <v>253</v>
      </c>
      <c r="AZ740" s="5" t="s">
        <v>240</v>
      </c>
      <c r="BA740" s="5" t="s">
        <v>255</v>
      </c>
      <c r="BB740" s="5" t="s">
        <v>240</v>
      </c>
      <c r="BD740" s="5" t="s">
        <v>240</v>
      </c>
      <c r="BF740" s="5" t="s">
        <v>301</v>
      </c>
      <c r="BG740" s="6" t="s">
        <v>299</v>
      </c>
      <c r="BH740" s="5" t="s">
        <v>302</v>
      </c>
      <c r="BI740" s="5" t="s">
        <v>303</v>
      </c>
      <c r="BJ740" s="5" t="s">
        <v>240</v>
      </c>
      <c r="BK740" s="8">
        <f>0</f>
        <v>0</v>
      </c>
      <c r="BL740" s="7">
        <f>0</f>
        <v>0</v>
      </c>
      <c r="BM740" s="5" t="s">
        <v>258</v>
      </c>
      <c r="BN740" s="5" t="s">
        <v>259</v>
      </c>
      <c r="CB740" s="5" t="s">
        <v>240</v>
      </c>
      <c r="CC740" s="5" t="s">
        <v>240</v>
      </c>
      <c r="CG740" s="5" t="s">
        <v>617</v>
      </c>
      <c r="CH740" s="5" t="s">
        <v>305</v>
      </c>
      <c r="CI740" s="5" t="s">
        <v>240</v>
      </c>
      <c r="CL740" s="6" t="s">
        <v>261</v>
      </c>
      <c r="CM740" s="5" t="s">
        <v>240</v>
      </c>
      <c r="CN740" s="5" t="s">
        <v>263</v>
      </c>
      <c r="CO740" s="5" t="s">
        <v>240</v>
      </c>
      <c r="CP740" s="5" t="s">
        <v>240</v>
      </c>
      <c r="CQ740" s="5">
        <v>0</v>
      </c>
      <c r="CR740" s="5" t="s">
        <v>306</v>
      </c>
      <c r="CS740" s="5" t="s">
        <v>307</v>
      </c>
      <c r="CT740" s="5" t="s">
        <v>307</v>
      </c>
      <c r="CU740" s="5" t="s">
        <v>260</v>
      </c>
      <c r="CX740" s="7">
        <f>121825</f>
        <v>121825</v>
      </c>
      <c r="CY740" s="7">
        <f>0</f>
        <v>0</v>
      </c>
      <c r="DA740" s="7">
        <f>0</f>
        <v>0</v>
      </c>
      <c r="DC740" s="5" t="s">
        <v>689</v>
      </c>
      <c r="DD740" s="5" t="s">
        <v>240</v>
      </c>
      <c r="DF740" s="5" t="s">
        <v>689</v>
      </c>
      <c r="DG740" s="7">
        <f>55</f>
        <v>55</v>
      </c>
      <c r="DH740" s="6" t="s">
        <v>1556</v>
      </c>
      <c r="DI740" s="5" t="s">
        <v>618</v>
      </c>
      <c r="DJ740" s="5" t="s">
        <v>240</v>
      </c>
      <c r="DK740" s="5" t="s">
        <v>240</v>
      </c>
      <c r="DL740" s="5" t="s">
        <v>240</v>
      </c>
      <c r="DP740" s="5" t="s">
        <v>240</v>
      </c>
      <c r="DQ740" s="5" t="s">
        <v>240</v>
      </c>
      <c r="DR740" s="5" t="s">
        <v>240</v>
      </c>
      <c r="DS740" s="5" t="s">
        <v>240</v>
      </c>
      <c r="DV740" s="5" t="s">
        <v>1570</v>
      </c>
      <c r="DW740" s="5" t="s">
        <v>808</v>
      </c>
      <c r="HO740" s="5" t="s">
        <v>312</v>
      </c>
    </row>
    <row r="741" spans="1:240" x14ac:dyDescent="0.4">
      <c r="A741" s="5">
        <v>2208</v>
      </c>
      <c r="B741" s="5">
        <v>1</v>
      </c>
      <c r="C741" s="5">
        <v>1</v>
      </c>
      <c r="D741" s="5" t="s">
        <v>6214</v>
      </c>
      <c r="E741" s="5" t="s">
        <v>6215</v>
      </c>
      <c r="F741" s="5" t="s">
        <v>254</v>
      </c>
      <c r="G741" s="5" t="s">
        <v>240</v>
      </c>
      <c r="H741" s="6" t="s">
        <v>6217</v>
      </c>
      <c r="I741" s="5" t="s">
        <v>6213</v>
      </c>
      <c r="J741" s="8">
        <f>3050</f>
        <v>3050</v>
      </c>
      <c r="K741" s="5" t="s">
        <v>308</v>
      </c>
      <c r="L741" s="7">
        <f>22336400</f>
        <v>22336400</v>
      </c>
      <c r="M741" s="7">
        <f>22336400</f>
        <v>22336400</v>
      </c>
      <c r="N741" s="5" t="s">
        <v>242</v>
      </c>
      <c r="O741" s="5">
        <v>1</v>
      </c>
      <c r="P741" s="5" t="s">
        <v>294</v>
      </c>
      <c r="Q741" s="5" t="s">
        <v>613</v>
      </c>
      <c r="R741" s="5" t="s">
        <v>240</v>
      </c>
      <c r="S741" s="5" t="s">
        <v>240</v>
      </c>
      <c r="T741" s="5" t="s">
        <v>243</v>
      </c>
      <c r="U741" s="5" t="s">
        <v>244</v>
      </c>
      <c r="V741" s="5" t="s">
        <v>240</v>
      </c>
      <c r="Y741" s="5" t="s">
        <v>240</v>
      </c>
      <c r="Z741" s="6" t="s">
        <v>298</v>
      </c>
      <c r="AB741" s="6" t="s">
        <v>240</v>
      </c>
      <c r="AE741" s="6" t="s">
        <v>299</v>
      </c>
      <c r="AF741" s="5" t="s">
        <v>248</v>
      </c>
      <c r="AG741" s="5" t="s">
        <v>249</v>
      </c>
      <c r="AW741" s="5" t="s">
        <v>251</v>
      </c>
      <c r="AX741" s="5" t="s">
        <v>240</v>
      </c>
      <c r="AY741" s="5" t="s">
        <v>253</v>
      </c>
      <c r="AZ741" s="5" t="s">
        <v>240</v>
      </c>
      <c r="BA741" s="5" t="s">
        <v>255</v>
      </c>
      <c r="BB741" s="5" t="s">
        <v>240</v>
      </c>
      <c r="BD741" s="5" t="s">
        <v>240</v>
      </c>
      <c r="BF741" s="5" t="s">
        <v>301</v>
      </c>
      <c r="BG741" s="6" t="s">
        <v>299</v>
      </c>
      <c r="BH741" s="5" t="s">
        <v>302</v>
      </c>
      <c r="BI741" s="5" t="s">
        <v>303</v>
      </c>
      <c r="BJ741" s="5" t="s">
        <v>240</v>
      </c>
      <c r="BK741" s="8">
        <f>0</f>
        <v>0</v>
      </c>
      <c r="BL741" s="7">
        <f>0</f>
        <v>0</v>
      </c>
      <c r="BM741" s="5" t="s">
        <v>258</v>
      </c>
      <c r="BN741" s="5" t="s">
        <v>259</v>
      </c>
      <c r="CB741" s="5" t="s">
        <v>240</v>
      </c>
      <c r="CC741" s="5" t="s">
        <v>240</v>
      </c>
      <c r="CG741" s="5" t="s">
        <v>617</v>
      </c>
      <c r="CH741" s="5" t="s">
        <v>305</v>
      </c>
      <c r="CI741" s="5" t="s">
        <v>240</v>
      </c>
      <c r="CL741" s="6" t="s">
        <v>261</v>
      </c>
      <c r="CM741" s="5" t="s">
        <v>240</v>
      </c>
      <c r="CN741" s="5" t="s">
        <v>263</v>
      </c>
      <c r="CO741" s="5" t="s">
        <v>240</v>
      </c>
      <c r="CP741" s="5" t="s">
        <v>240</v>
      </c>
      <c r="CQ741" s="5">
        <v>0</v>
      </c>
      <c r="CR741" s="5" t="s">
        <v>306</v>
      </c>
      <c r="CS741" s="5" t="s">
        <v>307</v>
      </c>
      <c r="CT741" s="5" t="s">
        <v>307</v>
      </c>
      <c r="CU741" s="5" t="s">
        <v>260</v>
      </c>
      <c r="CX741" s="7">
        <f>1561575</f>
        <v>1561575</v>
      </c>
      <c r="CY741" s="7">
        <f>0</f>
        <v>0</v>
      </c>
      <c r="DA741" s="7">
        <f>0</f>
        <v>0</v>
      </c>
      <c r="DC741" s="5" t="s">
        <v>689</v>
      </c>
      <c r="DD741" s="5" t="s">
        <v>240</v>
      </c>
      <c r="DF741" s="5" t="s">
        <v>689</v>
      </c>
      <c r="DG741" s="7">
        <f>705</f>
        <v>705</v>
      </c>
      <c r="DH741" s="6" t="s">
        <v>1556</v>
      </c>
      <c r="DI741" s="5" t="s">
        <v>618</v>
      </c>
      <c r="DJ741" s="5" t="s">
        <v>240</v>
      </c>
      <c r="DK741" s="5" t="s">
        <v>240</v>
      </c>
      <c r="DL741" s="5" t="s">
        <v>240</v>
      </c>
      <c r="DP741" s="5" t="s">
        <v>240</v>
      </c>
      <c r="DQ741" s="5" t="s">
        <v>240</v>
      </c>
      <c r="DR741" s="5" t="s">
        <v>240</v>
      </c>
      <c r="DS741" s="5" t="s">
        <v>240</v>
      </c>
      <c r="DV741" s="5" t="s">
        <v>1570</v>
      </c>
      <c r="DW741" s="5" t="s">
        <v>1260</v>
      </c>
      <c r="HO741" s="5" t="s">
        <v>312</v>
      </c>
    </row>
    <row r="742" spans="1:240" x14ac:dyDescent="0.4">
      <c r="A742" s="5">
        <v>2417</v>
      </c>
      <c r="B742" s="5">
        <v>1</v>
      </c>
      <c r="C742" s="5">
        <v>1</v>
      </c>
      <c r="D742" s="5" t="s">
        <v>297</v>
      </c>
      <c r="E742" s="5" t="s">
        <v>245</v>
      </c>
      <c r="F742" s="5" t="s">
        <v>254</v>
      </c>
      <c r="G742" s="5" t="s">
        <v>240</v>
      </c>
      <c r="H742" s="6" t="s">
        <v>2068</v>
      </c>
      <c r="I742" s="5" t="s">
        <v>295</v>
      </c>
      <c r="J742" s="8">
        <f>35</f>
        <v>35</v>
      </c>
      <c r="K742" s="5" t="s">
        <v>308</v>
      </c>
      <c r="L742" s="7">
        <f>1</f>
        <v>1</v>
      </c>
      <c r="M742" s="7">
        <f>1</f>
        <v>1</v>
      </c>
      <c r="N742" s="5" t="s">
        <v>242</v>
      </c>
      <c r="O742" s="5">
        <v>1</v>
      </c>
      <c r="P742" s="5" t="s">
        <v>294</v>
      </c>
      <c r="Q742" s="5" t="s">
        <v>266</v>
      </c>
      <c r="R742" s="5" t="s">
        <v>240</v>
      </c>
      <c r="S742" s="5" t="s">
        <v>240</v>
      </c>
      <c r="T742" s="5" t="s">
        <v>296</v>
      </c>
      <c r="U742" s="5" t="s">
        <v>244</v>
      </c>
      <c r="V742" s="5" t="s">
        <v>240</v>
      </c>
      <c r="Y742" s="5" t="s">
        <v>240</v>
      </c>
      <c r="Z742" s="6" t="s">
        <v>298</v>
      </c>
      <c r="AB742" s="6" t="s">
        <v>240</v>
      </c>
      <c r="AE742" s="6" t="s">
        <v>299</v>
      </c>
      <c r="AF742" s="5" t="s">
        <v>248</v>
      </c>
      <c r="AG742" s="5" t="s">
        <v>249</v>
      </c>
      <c r="AW742" s="5" t="s">
        <v>251</v>
      </c>
      <c r="AX742" s="5" t="s">
        <v>240</v>
      </c>
      <c r="AY742" s="5" t="s">
        <v>253</v>
      </c>
      <c r="AZ742" s="5" t="s">
        <v>240</v>
      </c>
      <c r="BA742" s="5" t="s">
        <v>255</v>
      </c>
      <c r="BB742" s="5" t="s">
        <v>240</v>
      </c>
      <c r="BD742" s="5" t="s">
        <v>240</v>
      </c>
      <c r="BF742" s="5" t="s">
        <v>301</v>
      </c>
      <c r="BG742" s="6" t="s">
        <v>299</v>
      </c>
      <c r="BH742" s="5" t="s">
        <v>302</v>
      </c>
      <c r="BI742" s="5" t="s">
        <v>303</v>
      </c>
      <c r="BJ742" s="5" t="s">
        <v>240</v>
      </c>
      <c r="BK742" s="8">
        <f>0</f>
        <v>0</v>
      </c>
      <c r="BL742" s="7">
        <f>0</f>
        <v>0</v>
      </c>
      <c r="BM742" s="5" t="s">
        <v>258</v>
      </c>
      <c r="BN742" s="5" t="s">
        <v>259</v>
      </c>
      <c r="CB742" s="5" t="s">
        <v>240</v>
      </c>
      <c r="CC742" s="5" t="s">
        <v>240</v>
      </c>
      <c r="CG742" s="5" t="s">
        <v>304</v>
      </c>
      <c r="CH742" s="5" t="s">
        <v>305</v>
      </c>
      <c r="CI742" s="5" t="s">
        <v>240</v>
      </c>
      <c r="CL742" s="6" t="s">
        <v>261</v>
      </c>
      <c r="CM742" s="5" t="s">
        <v>240</v>
      </c>
      <c r="CN742" s="5" t="s">
        <v>263</v>
      </c>
      <c r="CO742" s="5" t="s">
        <v>240</v>
      </c>
      <c r="CP742" s="5" t="s">
        <v>240</v>
      </c>
      <c r="CQ742" s="5">
        <v>0</v>
      </c>
      <c r="CR742" s="5" t="s">
        <v>306</v>
      </c>
      <c r="CS742" s="5" t="s">
        <v>307</v>
      </c>
      <c r="CT742" s="5" t="s">
        <v>307</v>
      </c>
      <c r="CU742" s="5" t="s">
        <v>260</v>
      </c>
      <c r="CX742" s="7">
        <f>1</f>
        <v>1</v>
      </c>
      <c r="CY742" s="7">
        <f>0</f>
        <v>0</v>
      </c>
      <c r="DA742" s="7">
        <f>0</f>
        <v>0</v>
      </c>
      <c r="DC742" s="5" t="s">
        <v>309</v>
      </c>
      <c r="DD742" s="5" t="s">
        <v>240</v>
      </c>
      <c r="DF742" s="5" t="s">
        <v>309</v>
      </c>
      <c r="DG742" s="7">
        <f>1826</f>
        <v>1826</v>
      </c>
      <c r="DI742" s="5" t="s">
        <v>240</v>
      </c>
      <c r="DJ742" s="5" t="s">
        <v>240</v>
      </c>
      <c r="DK742" s="5" t="s">
        <v>240</v>
      </c>
      <c r="DL742" s="5" t="s">
        <v>240</v>
      </c>
      <c r="DP742" s="5" t="s">
        <v>240</v>
      </c>
      <c r="DQ742" s="5" t="s">
        <v>240</v>
      </c>
      <c r="DR742" s="5" t="s">
        <v>240</v>
      </c>
      <c r="DS742" s="5" t="s">
        <v>240</v>
      </c>
      <c r="DV742" s="5" t="s">
        <v>310</v>
      </c>
      <c r="DW742" s="5" t="s">
        <v>1601</v>
      </c>
      <c r="HO742" s="5" t="s">
        <v>312</v>
      </c>
    </row>
    <row r="743" spans="1:240" x14ac:dyDescent="0.4">
      <c r="A743" s="5">
        <v>2418</v>
      </c>
      <c r="B743" s="5">
        <v>1</v>
      </c>
      <c r="C743" s="5">
        <v>1</v>
      </c>
      <c r="D743" s="5" t="s">
        <v>297</v>
      </c>
      <c r="E743" s="5" t="s">
        <v>245</v>
      </c>
      <c r="F743" s="5" t="s">
        <v>254</v>
      </c>
      <c r="G743" s="5" t="s">
        <v>240</v>
      </c>
      <c r="H743" s="6" t="s">
        <v>823</v>
      </c>
      <c r="I743" s="5" t="s">
        <v>295</v>
      </c>
      <c r="J743" s="8">
        <f>70</f>
        <v>70</v>
      </c>
      <c r="K743" s="5" t="s">
        <v>308</v>
      </c>
      <c r="L743" s="7">
        <f>1</f>
        <v>1</v>
      </c>
      <c r="M743" s="7">
        <f>1</f>
        <v>1</v>
      </c>
      <c r="N743" s="5" t="s">
        <v>242</v>
      </c>
      <c r="O743" s="5">
        <v>1</v>
      </c>
      <c r="P743" s="5" t="s">
        <v>294</v>
      </c>
      <c r="Q743" s="5" t="s">
        <v>613</v>
      </c>
      <c r="R743" s="5" t="s">
        <v>240</v>
      </c>
      <c r="S743" s="5" t="s">
        <v>240</v>
      </c>
      <c r="T743" s="5" t="s">
        <v>243</v>
      </c>
      <c r="U743" s="5" t="s">
        <v>244</v>
      </c>
      <c r="V743" s="5" t="s">
        <v>240</v>
      </c>
      <c r="Y743" s="5" t="s">
        <v>240</v>
      </c>
      <c r="Z743" s="6" t="s">
        <v>298</v>
      </c>
      <c r="AB743" s="6" t="s">
        <v>240</v>
      </c>
      <c r="AE743" s="6" t="s">
        <v>299</v>
      </c>
      <c r="AF743" s="5" t="s">
        <v>248</v>
      </c>
      <c r="AG743" s="5" t="s">
        <v>249</v>
      </c>
      <c r="AW743" s="5" t="s">
        <v>251</v>
      </c>
      <c r="AX743" s="5" t="s">
        <v>240</v>
      </c>
      <c r="AY743" s="5" t="s">
        <v>253</v>
      </c>
      <c r="AZ743" s="5" t="s">
        <v>240</v>
      </c>
      <c r="BA743" s="5" t="s">
        <v>255</v>
      </c>
      <c r="BB743" s="5" t="s">
        <v>240</v>
      </c>
      <c r="BD743" s="5" t="s">
        <v>240</v>
      </c>
      <c r="BF743" s="5" t="s">
        <v>301</v>
      </c>
      <c r="BG743" s="6" t="s">
        <v>299</v>
      </c>
      <c r="BH743" s="5" t="s">
        <v>302</v>
      </c>
      <c r="BI743" s="5" t="s">
        <v>303</v>
      </c>
      <c r="BJ743" s="5" t="s">
        <v>240</v>
      </c>
      <c r="BK743" s="8">
        <f>0</f>
        <v>0</v>
      </c>
      <c r="BL743" s="7">
        <f>0</f>
        <v>0</v>
      </c>
      <c r="BM743" s="5" t="s">
        <v>258</v>
      </c>
      <c r="BN743" s="5" t="s">
        <v>259</v>
      </c>
      <c r="CB743" s="5" t="s">
        <v>240</v>
      </c>
      <c r="CC743" s="5" t="s">
        <v>240</v>
      </c>
      <c r="CG743" s="5" t="s">
        <v>617</v>
      </c>
      <c r="CH743" s="5" t="s">
        <v>305</v>
      </c>
      <c r="CI743" s="5" t="s">
        <v>240</v>
      </c>
      <c r="CL743" s="6" t="s">
        <v>261</v>
      </c>
      <c r="CM743" s="5" t="s">
        <v>240</v>
      </c>
      <c r="CN743" s="5" t="s">
        <v>263</v>
      </c>
      <c r="CO743" s="5" t="s">
        <v>240</v>
      </c>
      <c r="CP743" s="5" t="s">
        <v>240</v>
      </c>
      <c r="CQ743" s="5">
        <v>0</v>
      </c>
      <c r="CR743" s="5" t="s">
        <v>306</v>
      </c>
      <c r="CS743" s="5" t="s">
        <v>307</v>
      </c>
      <c r="CT743" s="5" t="s">
        <v>307</v>
      </c>
      <c r="CU743" s="5" t="s">
        <v>260</v>
      </c>
      <c r="CX743" s="7">
        <f>316745</f>
        <v>316745</v>
      </c>
      <c r="CY743" s="7">
        <f>0</f>
        <v>0</v>
      </c>
      <c r="DA743" s="7">
        <f>0</f>
        <v>0</v>
      </c>
      <c r="DC743" s="5" t="s">
        <v>689</v>
      </c>
      <c r="DD743" s="5" t="s">
        <v>240</v>
      </c>
      <c r="DF743" s="5" t="s">
        <v>689</v>
      </c>
      <c r="DG743" s="7">
        <f>143</f>
        <v>143</v>
      </c>
      <c r="DH743" s="6" t="s">
        <v>1556</v>
      </c>
      <c r="DI743" s="5" t="s">
        <v>618</v>
      </c>
      <c r="DJ743" s="5" t="s">
        <v>240</v>
      </c>
      <c r="DK743" s="5" t="s">
        <v>240</v>
      </c>
      <c r="DL743" s="5" t="s">
        <v>240</v>
      </c>
      <c r="DP743" s="5" t="s">
        <v>240</v>
      </c>
      <c r="DQ743" s="5" t="s">
        <v>240</v>
      </c>
      <c r="DR743" s="5" t="s">
        <v>240</v>
      </c>
      <c r="DS743" s="5" t="s">
        <v>240</v>
      </c>
      <c r="DV743" s="5" t="s">
        <v>1570</v>
      </c>
      <c r="DW743" s="5" t="s">
        <v>818</v>
      </c>
      <c r="HO743" s="5" t="s">
        <v>312</v>
      </c>
    </row>
    <row r="744" spans="1:240" x14ac:dyDescent="0.4">
      <c r="A744" s="5">
        <v>2419</v>
      </c>
      <c r="B744" s="5">
        <v>1</v>
      </c>
      <c r="C744" s="5">
        <v>1</v>
      </c>
      <c r="D744" s="5" t="s">
        <v>297</v>
      </c>
      <c r="E744" s="5" t="s">
        <v>245</v>
      </c>
      <c r="F744" s="5" t="s">
        <v>254</v>
      </c>
      <c r="G744" s="5" t="s">
        <v>240</v>
      </c>
      <c r="H744" s="6" t="s">
        <v>822</v>
      </c>
      <c r="I744" s="5" t="s">
        <v>295</v>
      </c>
      <c r="J744" s="8">
        <f>5223</f>
        <v>5223</v>
      </c>
      <c r="K744" s="5" t="s">
        <v>308</v>
      </c>
      <c r="L744" s="7">
        <f>1</f>
        <v>1</v>
      </c>
      <c r="M744" s="7">
        <f>1</f>
        <v>1</v>
      </c>
      <c r="N744" s="5" t="s">
        <v>242</v>
      </c>
      <c r="O744" s="5">
        <v>1</v>
      </c>
      <c r="P744" s="5" t="s">
        <v>294</v>
      </c>
      <c r="Q744" s="5" t="s">
        <v>613</v>
      </c>
      <c r="R744" s="5" t="s">
        <v>240</v>
      </c>
      <c r="S744" s="5" t="s">
        <v>240</v>
      </c>
      <c r="T744" s="5" t="s">
        <v>243</v>
      </c>
      <c r="U744" s="5" t="s">
        <v>244</v>
      </c>
      <c r="V744" s="5" t="s">
        <v>240</v>
      </c>
      <c r="Y744" s="5" t="s">
        <v>240</v>
      </c>
      <c r="Z744" s="6" t="s">
        <v>298</v>
      </c>
      <c r="AB744" s="6" t="s">
        <v>240</v>
      </c>
      <c r="AE744" s="6" t="s">
        <v>299</v>
      </c>
      <c r="AF744" s="5" t="s">
        <v>248</v>
      </c>
      <c r="AG744" s="5" t="s">
        <v>249</v>
      </c>
      <c r="AW744" s="5" t="s">
        <v>251</v>
      </c>
      <c r="AX744" s="5" t="s">
        <v>240</v>
      </c>
      <c r="AY744" s="5" t="s">
        <v>253</v>
      </c>
      <c r="AZ744" s="5" t="s">
        <v>240</v>
      </c>
      <c r="BA744" s="5" t="s">
        <v>255</v>
      </c>
      <c r="BB744" s="5" t="s">
        <v>240</v>
      </c>
      <c r="BD744" s="5" t="s">
        <v>240</v>
      </c>
      <c r="BF744" s="5" t="s">
        <v>301</v>
      </c>
      <c r="BG744" s="6" t="s">
        <v>299</v>
      </c>
      <c r="BH744" s="5" t="s">
        <v>302</v>
      </c>
      <c r="BI744" s="5" t="s">
        <v>303</v>
      </c>
      <c r="BJ744" s="5" t="s">
        <v>240</v>
      </c>
      <c r="BK744" s="8">
        <f>0</f>
        <v>0</v>
      </c>
      <c r="BL744" s="7">
        <f>0</f>
        <v>0</v>
      </c>
      <c r="BM744" s="5" t="s">
        <v>258</v>
      </c>
      <c r="BN744" s="5" t="s">
        <v>259</v>
      </c>
      <c r="CB744" s="5" t="s">
        <v>240</v>
      </c>
      <c r="CC744" s="5" t="s">
        <v>240</v>
      </c>
      <c r="CG744" s="5" t="s">
        <v>617</v>
      </c>
      <c r="CH744" s="5" t="s">
        <v>305</v>
      </c>
      <c r="CI744" s="5" t="s">
        <v>240</v>
      </c>
      <c r="CL744" s="6" t="s">
        <v>261</v>
      </c>
      <c r="CM744" s="5" t="s">
        <v>240</v>
      </c>
      <c r="CN744" s="5" t="s">
        <v>263</v>
      </c>
      <c r="CO744" s="5" t="s">
        <v>240</v>
      </c>
      <c r="CP744" s="5" t="s">
        <v>240</v>
      </c>
      <c r="CQ744" s="5">
        <v>0</v>
      </c>
      <c r="CR744" s="5" t="s">
        <v>306</v>
      </c>
      <c r="CS744" s="5" t="s">
        <v>307</v>
      </c>
      <c r="CT744" s="5" t="s">
        <v>307</v>
      </c>
      <c r="CU744" s="5" t="s">
        <v>260</v>
      </c>
      <c r="CX744" s="7">
        <f>702155</f>
        <v>702155</v>
      </c>
      <c r="CY744" s="7">
        <f>0</f>
        <v>0</v>
      </c>
      <c r="DA744" s="7">
        <f>0</f>
        <v>0</v>
      </c>
      <c r="DC744" s="5" t="s">
        <v>689</v>
      </c>
      <c r="DD744" s="5" t="s">
        <v>240</v>
      </c>
      <c r="DF744" s="5" t="s">
        <v>689</v>
      </c>
      <c r="DG744" s="7">
        <f>317</f>
        <v>317</v>
      </c>
      <c r="DH744" s="6" t="s">
        <v>1556</v>
      </c>
      <c r="DI744" s="5" t="s">
        <v>618</v>
      </c>
      <c r="DJ744" s="5" t="s">
        <v>240</v>
      </c>
      <c r="DK744" s="5" t="s">
        <v>240</v>
      </c>
      <c r="DL744" s="5" t="s">
        <v>240</v>
      </c>
      <c r="DP744" s="5" t="s">
        <v>240</v>
      </c>
      <c r="DQ744" s="5" t="s">
        <v>240</v>
      </c>
      <c r="DR744" s="5" t="s">
        <v>240</v>
      </c>
      <c r="DS744" s="5" t="s">
        <v>240</v>
      </c>
      <c r="DV744" s="5" t="s">
        <v>1570</v>
      </c>
      <c r="DW744" s="5" t="s">
        <v>820</v>
      </c>
      <c r="HO744" s="5" t="s">
        <v>312</v>
      </c>
    </row>
    <row r="745" spans="1:240" x14ac:dyDescent="0.4">
      <c r="A745" s="5">
        <v>2420</v>
      </c>
      <c r="B745" s="5">
        <v>1</v>
      </c>
      <c r="C745" s="5">
        <v>1</v>
      </c>
      <c r="D745" s="5" t="s">
        <v>297</v>
      </c>
      <c r="E745" s="5" t="s">
        <v>245</v>
      </c>
      <c r="F745" s="5" t="s">
        <v>254</v>
      </c>
      <c r="G745" s="5" t="s">
        <v>240</v>
      </c>
      <c r="H745" s="6" t="s">
        <v>821</v>
      </c>
      <c r="I745" s="5" t="s">
        <v>295</v>
      </c>
      <c r="J745" s="8">
        <f>984</f>
        <v>984</v>
      </c>
      <c r="K745" s="5" t="s">
        <v>308</v>
      </c>
      <c r="L745" s="7">
        <f>1</f>
        <v>1</v>
      </c>
      <c r="M745" s="7">
        <f>1</f>
        <v>1</v>
      </c>
      <c r="N745" s="5" t="s">
        <v>242</v>
      </c>
      <c r="O745" s="5">
        <v>1</v>
      </c>
      <c r="P745" s="5" t="s">
        <v>294</v>
      </c>
      <c r="Q745" s="5" t="s">
        <v>613</v>
      </c>
      <c r="R745" s="5" t="s">
        <v>240</v>
      </c>
      <c r="S745" s="5" t="s">
        <v>240</v>
      </c>
      <c r="T745" s="5" t="s">
        <v>243</v>
      </c>
      <c r="U745" s="5" t="s">
        <v>244</v>
      </c>
      <c r="V745" s="5" t="s">
        <v>240</v>
      </c>
      <c r="Y745" s="5" t="s">
        <v>240</v>
      </c>
      <c r="Z745" s="6" t="s">
        <v>298</v>
      </c>
      <c r="AB745" s="6" t="s">
        <v>240</v>
      </c>
      <c r="AE745" s="6" t="s">
        <v>299</v>
      </c>
      <c r="AF745" s="5" t="s">
        <v>248</v>
      </c>
      <c r="AG745" s="5" t="s">
        <v>249</v>
      </c>
      <c r="AW745" s="5" t="s">
        <v>251</v>
      </c>
      <c r="AX745" s="5" t="s">
        <v>240</v>
      </c>
      <c r="AY745" s="5" t="s">
        <v>253</v>
      </c>
      <c r="AZ745" s="5" t="s">
        <v>240</v>
      </c>
      <c r="BA745" s="5" t="s">
        <v>255</v>
      </c>
      <c r="BB745" s="5" t="s">
        <v>240</v>
      </c>
      <c r="BD745" s="5" t="s">
        <v>686</v>
      </c>
      <c r="BF745" s="5" t="s">
        <v>301</v>
      </c>
      <c r="BG745" s="6" t="s">
        <v>299</v>
      </c>
      <c r="BH745" s="5" t="s">
        <v>302</v>
      </c>
      <c r="BI745" s="5" t="s">
        <v>303</v>
      </c>
      <c r="BJ745" s="5" t="s">
        <v>240</v>
      </c>
      <c r="BK745" s="8">
        <f>0</f>
        <v>0</v>
      </c>
      <c r="BL745" s="7">
        <f>0</f>
        <v>0</v>
      </c>
      <c r="BM745" s="5" t="s">
        <v>258</v>
      </c>
      <c r="BN745" s="5" t="s">
        <v>259</v>
      </c>
      <c r="CB745" s="5" t="s">
        <v>240</v>
      </c>
      <c r="CC745" s="5" t="s">
        <v>240</v>
      </c>
      <c r="CG745" s="5" t="s">
        <v>617</v>
      </c>
      <c r="CH745" s="5" t="s">
        <v>305</v>
      </c>
      <c r="CI745" s="5" t="s">
        <v>240</v>
      </c>
      <c r="CL745" s="6" t="s">
        <v>261</v>
      </c>
      <c r="CM745" s="5" t="s">
        <v>240</v>
      </c>
      <c r="CN745" s="5" t="s">
        <v>263</v>
      </c>
      <c r="CO745" s="5" t="s">
        <v>240</v>
      </c>
      <c r="CP745" s="5" t="s">
        <v>240</v>
      </c>
      <c r="CQ745" s="5">
        <v>0</v>
      </c>
      <c r="CR745" s="5" t="s">
        <v>306</v>
      </c>
      <c r="CS745" s="5" t="s">
        <v>307</v>
      </c>
      <c r="CT745" s="5" t="s">
        <v>307</v>
      </c>
      <c r="CU745" s="5" t="s">
        <v>260</v>
      </c>
      <c r="CX745" s="7">
        <f>40985200</f>
        <v>40985200</v>
      </c>
      <c r="CY745" s="7">
        <f>0</f>
        <v>0</v>
      </c>
      <c r="DA745" s="7">
        <f>0</f>
        <v>0</v>
      </c>
      <c r="DC745" s="5" t="s">
        <v>843</v>
      </c>
      <c r="DD745" s="5" t="s">
        <v>240</v>
      </c>
      <c r="DF745" s="5" t="s">
        <v>843</v>
      </c>
      <c r="DG745" s="7">
        <f>0</f>
        <v>0</v>
      </c>
      <c r="DH745" s="6" t="s">
        <v>1607</v>
      </c>
      <c r="DI745" s="5" t="s">
        <v>843</v>
      </c>
      <c r="DJ745" s="5" t="s">
        <v>240</v>
      </c>
      <c r="DK745" s="5" t="s">
        <v>240</v>
      </c>
      <c r="DL745" s="5" t="s">
        <v>240</v>
      </c>
      <c r="DP745" s="5" t="s">
        <v>240</v>
      </c>
      <c r="DQ745" s="5" t="s">
        <v>240</v>
      </c>
      <c r="DR745" s="5" t="s">
        <v>240</v>
      </c>
      <c r="DS745" s="5" t="s">
        <v>240</v>
      </c>
      <c r="DV745" s="5" t="s">
        <v>1608</v>
      </c>
      <c r="DW745" s="5" t="s">
        <v>312</v>
      </c>
      <c r="HO745" s="5" t="s">
        <v>312</v>
      </c>
    </row>
    <row r="746" spans="1:240" x14ac:dyDescent="0.4">
      <c r="A746" s="5">
        <v>2421</v>
      </c>
      <c r="B746" s="5">
        <v>1</v>
      </c>
      <c r="C746" s="5">
        <v>1</v>
      </c>
      <c r="D746" s="5" t="s">
        <v>297</v>
      </c>
      <c r="E746" s="5" t="s">
        <v>245</v>
      </c>
      <c r="F746" s="5" t="s">
        <v>254</v>
      </c>
      <c r="G746" s="5" t="s">
        <v>240</v>
      </c>
      <c r="H746" s="6" t="s">
        <v>819</v>
      </c>
      <c r="I746" s="5" t="s">
        <v>295</v>
      </c>
      <c r="J746" s="8">
        <f>1409</f>
        <v>1409</v>
      </c>
      <c r="K746" s="5" t="s">
        <v>308</v>
      </c>
      <c r="L746" s="7">
        <f>1</f>
        <v>1</v>
      </c>
      <c r="M746" s="7">
        <f>1</f>
        <v>1</v>
      </c>
      <c r="N746" s="5" t="s">
        <v>242</v>
      </c>
      <c r="O746" s="5">
        <v>1</v>
      </c>
      <c r="P746" s="5" t="s">
        <v>294</v>
      </c>
      <c r="Q746" s="5" t="s">
        <v>266</v>
      </c>
      <c r="R746" s="5" t="s">
        <v>240</v>
      </c>
      <c r="S746" s="5" t="s">
        <v>240</v>
      </c>
      <c r="T746" s="5" t="s">
        <v>296</v>
      </c>
      <c r="U746" s="5" t="s">
        <v>244</v>
      </c>
      <c r="V746" s="5" t="s">
        <v>240</v>
      </c>
      <c r="Y746" s="5" t="s">
        <v>240</v>
      </c>
      <c r="Z746" s="6" t="s">
        <v>298</v>
      </c>
      <c r="AB746" s="6" t="s">
        <v>240</v>
      </c>
      <c r="AE746" s="6" t="s">
        <v>299</v>
      </c>
      <c r="AF746" s="5" t="s">
        <v>248</v>
      </c>
      <c r="AG746" s="5" t="s">
        <v>249</v>
      </c>
      <c r="AW746" s="5" t="s">
        <v>251</v>
      </c>
      <c r="AX746" s="5" t="s">
        <v>240</v>
      </c>
      <c r="AY746" s="5" t="s">
        <v>253</v>
      </c>
      <c r="AZ746" s="5" t="s">
        <v>240</v>
      </c>
      <c r="BA746" s="5" t="s">
        <v>255</v>
      </c>
      <c r="BB746" s="5" t="s">
        <v>240</v>
      </c>
      <c r="BD746" s="5" t="s">
        <v>240</v>
      </c>
      <c r="BF746" s="5" t="s">
        <v>301</v>
      </c>
      <c r="BG746" s="6" t="s">
        <v>299</v>
      </c>
      <c r="BH746" s="5" t="s">
        <v>302</v>
      </c>
      <c r="BI746" s="5" t="s">
        <v>303</v>
      </c>
      <c r="BJ746" s="5" t="s">
        <v>240</v>
      </c>
      <c r="BK746" s="8">
        <f>0</f>
        <v>0</v>
      </c>
      <c r="BL746" s="7">
        <f>0</f>
        <v>0</v>
      </c>
      <c r="BM746" s="5" t="s">
        <v>258</v>
      </c>
      <c r="BN746" s="5" t="s">
        <v>259</v>
      </c>
      <c r="CB746" s="5" t="s">
        <v>240</v>
      </c>
      <c r="CC746" s="5" t="s">
        <v>240</v>
      </c>
      <c r="CG746" s="5" t="s">
        <v>304</v>
      </c>
      <c r="CH746" s="5" t="s">
        <v>305</v>
      </c>
      <c r="CI746" s="5" t="s">
        <v>240</v>
      </c>
      <c r="CL746" s="6" t="s">
        <v>261</v>
      </c>
      <c r="CM746" s="5" t="s">
        <v>240</v>
      </c>
      <c r="CN746" s="5" t="s">
        <v>263</v>
      </c>
      <c r="CO746" s="5" t="s">
        <v>240</v>
      </c>
      <c r="CP746" s="5" t="s">
        <v>240</v>
      </c>
      <c r="CQ746" s="5">
        <v>0</v>
      </c>
      <c r="CR746" s="5" t="s">
        <v>306</v>
      </c>
      <c r="CS746" s="5" t="s">
        <v>307</v>
      </c>
      <c r="CT746" s="5" t="s">
        <v>307</v>
      </c>
      <c r="CU746" s="5" t="s">
        <v>260</v>
      </c>
      <c r="CX746" s="7">
        <f>1</f>
        <v>1</v>
      </c>
      <c r="CY746" s="7">
        <f>0</f>
        <v>0</v>
      </c>
      <c r="DA746" s="7">
        <f>0</f>
        <v>0</v>
      </c>
      <c r="DC746" s="5" t="s">
        <v>812</v>
      </c>
      <c r="DD746" s="5" t="s">
        <v>240</v>
      </c>
      <c r="DF746" s="5" t="s">
        <v>812</v>
      </c>
      <c r="DG746" s="7">
        <f>92</f>
        <v>92</v>
      </c>
      <c r="DI746" s="5" t="s">
        <v>240</v>
      </c>
      <c r="DJ746" s="5" t="s">
        <v>240</v>
      </c>
      <c r="DK746" s="5" t="s">
        <v>240</v>
      </c>
      <c r="DL746" s="5" t="s">
        <v>240</v>
      </c>
      <c r="DP746" s="5" t="s">
        <v>240</v>
      </c>
      <c r="DQ746" s="5" t="s">
        <v>240</v>
      </c>
      <c r="DR746" s="5" t="s">
        <v>240</v>
      </c>
      <c r="DS746" s="5" t="s">
        <v>240</v>
      </c>
      <c r="DV746" s="5" t="s">
        <v>813</v>
      </c>
      <c r="DW746" s="5" t="s">
        <v>1008</v>
      </c>
      <c r="HO746" s="5" t="s">
        <v>312</v>
      </c>
    </row>
    <row r="747" spans="1:240" x14ac:dyDescent="0.4">
      <c r="A747" s="5">
        <v>2422</v>
      </c>
      <c r="B747" s="5">
        <v>1</v>
      </c>
      <c r="C747" s="5">
        <v>1</v>
      </c>
      <c r="D747" s="5" t="s">
        <v>297</v>
      </c>
      <c r="E747" s="5" t="s">
        <v>245</v>
      </c>
      <c r="F747" s="5" t="s">
        <v>254</v>
      </c>
      <c r="G747" s="5" t="s">
        <v>240</v>
      </c>
      <c r="H747" s="6" t="s">
        <v>817</v>
      </c>
      <c r="I747" s="5" t="s">
        <v>295</v>
      </c>
      <c r="J747" s="8">
        <f>184</f>
        <v>184</v>
      </c>
      <c r="K747" s="5" t="s">
        <v>308</v>
      </c>
      <c r="L747" s="7">
        <f>1</f>
        <v>1</v>
      </c>
      <c r="M747" s="7">
        <f>1</f>
        <v>1</v>
      </c>
      <c r="N747" s="5" t="s">
        <v>242</v>
      </c>
      <c r="O747" s="5">
        <v>1</v>
      </c>
      <c r="P747" s="5" t="s">
        <v>294</v>
      </c>
      <c r="Q747" s="5" t="s">
        <v>266</v>
      </c>
      <c r="R747" s="5" t="s">
        <v>240</v>
      </c>
      <c r="S747" s="5" t="s">
        <v>240</v>
      </c>
      <c r="T747" s="5" t="s">
        <v>296</v>
      </c>
      <c r="U747" s="5" t="s">
        <v>244</v>
      </c>
      <c r="V747" s="5" t="s">
        <v>240</v>
      </c>
      <c r="Y747" s="5" t="s">
        <v>240</v>
      </c>
      <c r="Z747" s="6" t="s">
        <v>298</v>
      </c>
      <c r="AB747" s="6" t="s">
        <v>240</v>
      </c>
      <c r="AE747" s="6" t="s">
        <v>299</v>
      </c>
      <c r="AF747" s="5" t="s">
        <v>248</v>
      </c>
      <c r="AG747" s="5" t="s">
        <v>249</v>
      </c>
      <c r="AW747" s="5" t="s">
        <v>251</v>
      </c>
      <c r="AX747" s="5" t="s">
        <v>240</v>
      </c>
      <c r="AY747" s="5" t="s">
        <v>253</v>
      </c>
      <c r="AZ747" s="5" t="s">
        <v>240</v>
      </c>
      <c r="BA747" s="5" t="s">
        <v>255</v>
      </c>
      <c r="BB747" s="5" t="s">
        <v>240</v>
      </c>
      <c r="BD747" s="5" t="s">
        <v>240</v>
      </c>
      <c r="BF747" s="5" t="s">
        <v>301</v>
      </c>
      <c r="BG747" s="6" t="s">
        <v>299</v>
      </c>
      <c r="BH747" s="5" t="s">
        <v>302</v>
      </c>
      <c r="BI747" s="5" t="s">
        <v>303</v>
      </c>
      <c r="BJ747" s="5" t="s">
        <v>240</v>
      </c>
      <c r="BK747" s="8">
        <f>0</f>
        <v>0</v>
      </c>
      <c r="BL747" s="7">
        <f>0</f>
        <v>0</v>
      </c>
      <c r="BM747" s="5" t="s">
        <v>258</v>
      </c>
      <c r="BN747" s="5" t="s">
        <v>259</v>
      </c>
      <c r="CB747" s="5" t="s">
        <v>240</v>
      </c>
      <c r="CC747" s="5" t="s">
        <v>240</v>
      </c>
      <c r="CG747" s="5" t="s">
        <v>304</v>
      </c>
      <c r="CH747" s="5" t="s">
        <v>305</v>
      </c>
      <c r="CI747" s="5" t="s">
        <v>240</v>
      </c>
      <c r="CL747" s="6" t="s">
        <v>261</v>
      </c>
      <c r="CM747" s="5" t="s">
        <v>240</v>
      </c>
      <c r="CN747" s="5" t="s">
        <v>263</v>
      </c>
      <c r="CO747" s="5" t="s">
        <v>240</v>
      </c>
      <c r="CP747" s="5" t="s">
        <v>240</v>
      </c>
      <c r="CQ747" s="5">
        <v>0</v>
      </c>
      <c r="CR747" s="5" t="s">
        <v>306</v>
      </c>
      <c r="CS747" s="5" t="s">
        <v>307</v>
      </c>
      <c r="CT747" s="5" t="s">
        <v>307</v>
      </c>
      <c r="CU747" s="5" t="s">
        <v>260</v>
      </c>
      <c r="CX747" s="7">
        <f>1</f>
        <v>1</v>
      </c>
      <c r="CY747" s="7">
        <f>0</f>
        <v>0</v>
      </c>
      <c r="DA747" s="7">
        <f>0</f>
        <v>0</v>
      </c>
      <c r="DC747" s="5" t="s">
        <v>812</v>
      </c>
      <c r="DD747" s="5" t="s">
        <v>240</v>
      </c>
      <c r="DF747" s="5" t="s">
        <v>812</v>
      </c>
      <c r="DG747" s="7">
        <f>335</f>
        <v>335</v>
      </c>
      <c r="DI747" s="5" t="s">
        <v>240</v>
      </c>
      <c r="DJ747" s="5" t="s">
        <v>240</v>
      </c>
      <c r="DK747" s="5" t="s">
        <v>240</v>
      </c>
      <c r="DL747" s="5" t="s">
        <v>240</v>
      </c>
      <c r="DP747" s="5" t="s">
        <v>240</v>
      </c>
      <c r="DQ747" s="5" t="s">
        <v>240</v>
      </c>
      <c r="DR747" s="5" t="s">
        <v>240</v>
      </c>
      <c r="DS747" s="5" t="s">
        <v>240</v>
      </c>
      <c r="DV747" s="5" t="s">
        <v>813</v>
      </c>
      <c r="DW747" s="5" t="s">
        <v>1252</v>
      </c>
      <c r="HO747" s="5" t="s">
        <v>312</v>
      </c>
    </row>
    <row r="748" spans="1:240" x14ac:dyDescent="0.4">
      <c r="A748" s="5">
        <v>2423</v>
      </c>
      <c r="B748" s="5">
        <v>1</v>
      </c>
      <c r="C748" s="5">
        <v>1</v>
      </c>
      <c r="D748" s="5" t="s">
        <v>297</v>
      </c>
      <c r="E748" s="5" t="s">
        <v>245</v>
      </c>
      <c r="F748" s="5" t="s">
        <v>254</v>
      </c>
      <c r="G748" s="5" t="s">
        <v>240</v>
      </c>
      <c r="H748" s="6" t="s">
        <v>815</v>
      </c>
      <c r="I748" s="5" t="s">
        <v>295</v>
      </c>
      <c r="J748" s="8">
        <f>6453</f>
        <v>6453</v>
      </c>
      <c r="K748" s="5" t="s">
        <v>308</v>
      </c>
      <c r="L748" s="7">
        <f>1</f>
        <v>1</v>
      </c>
      <c r="M748" s="7">
        <f>1</f>
        <v>1</v>
      </c>
      <c r="N748" s="5" t="s">
        <v>242</v>
      </c>
      <c r="O748" s="5">
        <v>1</v>
      </c>
      <c r="P748" s="5" t="s">
        <v>294</v>
      </c>
      <c r="Q748" s="5" t="s">
        <v>266</v>
      </c>
      <c r="R748" s="5" t="s">
        <v>240</v>
      </c>
      <c r="S748" s="5" t="s">
        <v>240</v>
      </c>
      <c r="T748" s="5" t="s">
        <v>296</v>
      </c>
      <c r="U748" s="5" t="s">
        <v>244</v>
      </c>
      <c r="V748" s="5" t="s">
        <v>240</v>
      </c>
      <c r="Y748" s="5" t="s">
        <v>240</v>
      </c>
      <c r="Z748" s="6" t="s">
        <v>298</v>
      </c>
      <c r="AB748" s="6" t="s">
        <v>240</v>
      </c>
      <c r="AE748" s="6" t="s">
        <v>299</v>
      </c>
      <c r="AF748" s="5" t="s">
        <v>248</v>
      </c>
      <c r="AG748" s="5" t="s">
        <v>249</v>
      </c>
      <c r="AW748" s="5" t="s">
        <v>251</v>
      </c>
      <c r="AX748" s="5" t="s">
        <v>240</v>
      </c>
      <c r="AY748" s="5" t="s">
        <v>253</v>
      </c>
      <c r="AZ748" s="5" t="s">
        <v>240</v>
      </c>
      <c r="BA748" s="5" t="s">
        <v>255</v>
      </c>
      <c r="BB748" s="5" t="s">
        <v>240</v>
      </c>
      <c r="BD748" s="5" t="s">
        <v>240</v>
      </c>
      <c r="BF748" s="5" t="s">
        <v>301</v>
      </c>
      <c r="BG748" s="6" t="s">
        <v>299</v>
      </c>
      <c r="BH748" s="5" t="s">
        <v>302</v>
      </c>
      <c r="BI748" s="5" t="s">
        <v>303</v>
      </c>
      <c r="BJ748" s="5" t="s">
        <v>240</v>
      </c>
      <c r="BK748" s="8">
        <f>0</f>
        <v>0</v>
      </c>
      <c r="BL748" s="7">
        <f>0</f>
        <v>0</v>
      </c>
      <c r="BM748" s="5" t="s">
        <v>258</v>
      </c>
      <c r="BN748" s="5" t="s">
        <v>259</v>
      </c>
      <c r="CB748" s="5" t="s">
        <v>240</v>
      </c>
      <c r="CC748" s="5" t="s">
        <v>240</v>
      </c>
      <c r="CG748" s="5" t="s">
        <v>304</v>
      </c>
      <c r="CH748" s="5" t="s">
        <v>305</v>
      </c>
      <c r="CI748" s="5" t="s">
        <v>240</v>
      </c>
      <c r="CL748" s="6" t="s">
        <v>261</v>
      </c>
      <c r="CM748" s="5" t="s">
        <v>240</v>
      </c>
      <c r="CN748" s="5" t="s">
        <v>263</v>
      </c>
      <c r="CO748" s="5" t="s">
        <v>240</v>
      </c>
      <c r="CP748" s="5" t="s">
        <v>240</v>
      </c>
      <c r="CQ748" s="5">
        <v>0</v>
      </c>
      <c r="CR748" s="5" t="s">
        <v>306</v>
      </c>
      <c r="CS748" s="5" t="s">
        <v>307</v>
      </c>
      <c r="CT748" s="5" t="s">
        <v>307</v>
      </c>
      <c r="CU748" s="5" t="s">
        <v>260</v>
      </c>
      <c r="CX748" s="7">
        <f>1</f>
        <v>1</v>
      </c>
      <c r="CY748" s="7">
        <f>0</f>
        <v>0</v>
      </c>
      <c r="DA748" s="7">
        <f>0</f>
        <v>0</v>
      </c>
      <c r="DC748" s="5" t="s">
        <v>309</v>
      </c>
      <c r="DD748" s="5" t="s">
        <v>240</v>
      </c>
      <c r="DF748" s="5" t="s">
        <v>309</v>
      </c>
      <c r="DG748" s="7">
        <f>691</f>
        <v>691</v>
      </c>
      <c r="DI748" s="5" t="s">
        <v>240</v>
      </c>
      <c r="DJ748" s="5" t="s">
        <v>240</v>
      </c>
      <c r="DK748" s="5" t="s">
        <v>240</v>
      </c>
      <c r="DL748" s="5" t="s">
        <v>240</v>
      </c>
      <c r="DP748" s="5" t="s">
        <v>240</v>
      </c>
      <c r="DQ748" s="5" t="s">
        <v>240</v>
      </c>
      <c r="DR748" s="5" t="s">
        <v>240</v>
      </c>
      <c r="DS748" s="5" t="s">
        <v>240</v>
      </c>
      <c r="DV748" s="5" t="s">
        <v>310</v>
      </c>
      <c r="DW748" s="5" t="s">
        <v>1612</v>
      </c>
      <c r="HO748" s="5" t="s">
        <v>312</v>
      </c>
    </row>
    <row r="749" spans="1:240" x14ac:dyDescent="0.4">
      <c r="A749" s="5">
        <v>2424</v>
      </c>
      <c r="B749" s="5">
        <v>1</v>
      </c>
      <c r="C749" s="5">
        <v>1</v>
      </c>
      <c r="D749" s="5" t="s">
        <v>297</v>
      </c>
      <c r="E749" s="5" t="s">
        <v>245</v>
      </c>
      <c r="F749" s="5" t="s">
        <v>254</v>
      </c>
      <c r="G749" s="5" t="s">
        <v>240</v>
      </c>
      <c r="H749" s="6" t="s">
        <v>4219</v>
      </c>
      <c r="I749" s="5" t="s">
        <v>295</v>
      </c>
      <c r="J749" s="8">
        <f>557</f>
        <v>557</v>
      </c>
      <c r="K749" s="5" t="s">
        <v>308</v>
      </c>
      <c r="L749" s="7">
        <f>1</f>
        <v>1</v>
      </c>
      <c r="M749" s="7">
        <f>1</f>
        <v>1</v>
      </c>
      <c r="N749" s="5" t="s">
        <v>242</v>
      </c>
      <c r="O749" s="5">
        <v>1</v>
      </c>
      <c r="P749" s="5" t="s">
        <v>294</v>
      </c>
      <c r="Q749" s="5" t="s">
        <v>266</v>
      </c>
      <c r="R749" s="5" t="s">
        <v>240</v>
      </c>
      <c r="S749" s="5" t="s">
        <v>240</v>
      </c>
      <c r="T749" s="5" t="s">
        <v>296</v>
      </c>
      <c r="U749" s="5" t="s">
        <v>244</v>
      </c>
      <c r="V749" s="5" t="s">
        <v>240</v>
      </c>
      <c r="Y749" s="5" t="s">
        <v>240</v>
      </c>
      <c r="Z749" s="6" t="s">
        <v>298</v>
      </c>
      <c r="AB749" s="6" t="s">
        <v>240</v>
      </c>
      <c r="AE749" s="6" t="s">
        <v>299</v>
      </c>
      <c r="AF749" s="5" t="s">
        <v>248</v>
      </c>
      <c r="AG749" s="5" t="s">
        <v>249</v>
      </c>
      <c r="AW749" s="5" t="s">
        <v>251</v>
      </c>
      <c r="AX749" s="5" t="s">
        <v>240</v>
      </c>
      <c r="AY749" s="5" t="s">
        <v>253</v>
      </c>
      <c r="AZ749" s="5" t="s">
        <v>240</v>
      </c>
      <c r="BA749" s="5" t="s">
        <v>255</v>
      </c>
      <c r="BB749" s="5" t="s">
        <v>240</v>
      </c>
      <c r="BD749" s="5" t="s">
        <v>240</v>
      </c>
      <c r="BF749" s="5" t="s">
        <v>301</v>
      </c>
      <c r="BG749" s="6" t="s">
        <v>299</v>
      </c>
      <c r="BH749" s="5" t="s">
        <v>302</v>
      </c>
      <c r="BI749" s="5" t="s">
        <v>303</v>
      </c>
      <c r="BJ749" s="5" t="s">
        <v>240</v>
      </c>
      <c r="BK749" s="8">
        <f>0</f>
        <v>0</v>
      </c>
      <c r="BL749" s="7">
        <f>0</f>
        <v>0</v>
      </c>
      <c r="BM749" s="5" t="s">
        <v>258</v>
      </c>
      <c r="BN749" s="5" t="s">
        <v>259</v>
      </c>
      <c r="CB749" s="5" t="s">
        <v>240</v>
      </c>
      <c r="CC749" s="5" t="s">
        <v>240</v>
      </c>
      <c r="CG749" s="5" t="s">
        <v>304</v>
      </c>
      <c r="CH749" s="5" t="s">
        <v>305</v>
      </c>
      <c r="CI749" s="5" t="s">
        <v>240</v>
      </c>
      <c r="CL749" s="6" t="s">
        <v>261</v>
      </c>
      <c r="CM749" s="5" t="s">
        <v>240</v>
      </c>
      <c r="CN749" s="5" t="s">
        <v>263</v>
      </c>
      <c r="CO749" s="5" t="s">
        <v>240</v>
      </c>
      <c r="CP749" s="5" t="s">
        <v>240</v>
      </c>
      <c r="CQ749" s="5">
        <v>0</v>
      </c>
      <c r="CR749" s="5" t="s">
        <v>306</v>
      </c>
      <c r="CS749" s="5" t="s">
        <v>307</v>
      </c>
      <c r="CT749" s="5" t="s">
        <v>307</v>
      </c>
      <c r="CU749" s="5" t="s">
        <v>260</v>
      </c>
      <c r="CX749" s="7">
        <f>1</f>
        <v>1</v>
      </c>
      <c r="CY749" s="7">
        <f>0</f>
        <v>0</v>
      </c>
      <c r="DA749" s="7">
        <f>0</f>
        <v>0</v>
      </c>
      <c r="DC749" s="5" t="s">
        <v>812</v>
      </c>
      <c r="DD749" s="5" t="s">
        <v>240</v>
      </c>
      <c r="DF749" s="5" t="s">
        <v>812</v>
      </c>
      <c r="DG749" s="7">
        <f>2223</f>
        <v>2223</v>
      </c>
      <c r="DI749" s="5" t="s">
        <v>240</v>
      </c>
      <c r="DJ749" s="5" t="s">
        <v>240</v>
      </c>
      <c r="DK749" s="5" t="s">
        <v>240</v>
      </c>
      <c r="DL749" s="5" t="s">
        <v>240</v>
      </c>
      <c r="DP749" s="5" t="s">
        <v>240</v>
      </c>
      <c r="DQ749" s="5" t="s">
        <v>240</v>
      </c>
      <c r="DR749" s="5" t="s">
        <v>240</v>
      </c>
      <c r="DS749" s="5" t="s">
        <v>240</v>
      </c>
      <c r="DV749" s="5" t="s">
        <v>813</v>
      </c>
      <c r="DW749" s="5" t="s">
        <v>1468</v>
      </c>
      <c r="HO749" s="5" t="s">
        <v>312</v>
      </c>
    </row>
    <row r="750" spans="1:240" x14ac:dyDescent="0.4">
      <c r="A750" s="5">
        <v>2425</v>
      </c>
      <c r="B750" s="5">
        <v>1</v>
      </c>
      <c r="C750" s="5">
        <v>1</v>
      </c>
      <c r="D750" s="5" t="s">
        <v>297</v>
      </c>
      <c r="E750" s="5" t="s">
        <v>245</v>
      </c>
      <c r="F750" s="5" t="s">
        <v>254</v>
      </c>
      <c r="G750" s="5" t="s">
        <v>240</v>
      </c>
      <c r="H750" s="6" t="s">
        <v>807</v>
      </c>
      <c r="I750" s="5" t="s">
        <v>295</v>
      </c>
      <c r="J750" s="8">
        <f>735</f>
        <v>735</v>
      </c>
      <c r="K750" s="5" t="s">
        <v>308</v>
      </c>
      <c r="L750" s="7">
        <f>1</f>
        <v>1</v>
      </c>
      <c r="M750" s="7">
        <f>1</f>
        <v>1</v>
      </c>
      <c r="N750" s="5" t="s">
        <v>242</v>
      </c>
      <c r="O750" s="5">
        <v>1</v>
      </c>
      <c r="P750" s="5" t="s">
        <v>294</v>
      </c>
      <c r="Q750" s="5" t="s">
        <v>266</v>
      </c>
      <c r="R750" s="5" t="s">
        <v>240</v>
      </c>
      <c r="S750" s="5" t="s">
        <v>240</v>
      </c>
      <c r="T750" s="5" t="s">
        <v>296</v>
      </c>
      <c r="U750" s="5" t="s">
        <v>244</v>
      </c>
      <c r="V750" s="5" t="s">
        <v>240</v>
      </c>
      <c r="Y750" s="5" t="s">
        <v>240</v>
      </c>
      <c r="Z750" s="6" t="s">
        <v>298</v>
      </c>
      <c r="AB750" s="6" t="s">
        <v>240</v>
      </c>
      <c r="AE750" s="6" t="s">
        <v>299</v>
      </c>
      <c r="AF750" s="5" t="s">
        <v>248</v>
      </c>
      <c r="AG750" s="5" t="s">
        <v>249</v>
      </c>
      <c r="AW750" s="5" t="s">
        <v>251</v>
      </c>
      <c r="AX750" s="5" t="s">
        <v>240</v>
      </c>
      <c r="AY750" s="5" t="s">
        <v>253</v>
      </c>
      <c r="AZ750" s="5" t="s">
        <v>240</v>
      </c>
      <c r="BA750" s="5" t="s">
        <v>255</v>
      </c>
      <c r="BB750" s="5" t="s">
        <v>240</v>
      </c>
      <c r="BD750" s="5" t="s">
        <v>240</v>
      </c>
      <c r="BF750" s="5" t="s">
        <v>301</v>
      </c>
      <c r="BG750" s="6" t="s">
        <v>299</v>
      </c>
      <c r="BH750" s="5" t="s">
        <v>302</v>
      </c>
      <c r="BI750" s="5" t="s">
        <v>303</v>
      </c>
      <c r="BJ750" s="5" t="s">
        <v>240</v>
      </c>
      <c r="BK750" s="8">
        <f>0</f>
        <v>0</v>
      </c>
      <c r="BL750" s="7">
        <f>0</f>
        <v>0</v>
      </c>
      <c r="BM750" s="5" t="s">
        <v>258</v>
      </c>
      <c r="BN750" s="5" t="s">
        <v>259</v>
      </c>
      <c r="CB750" s="5" t="s">
        <v>240</v>
      </c>
      <c r="CC750" s="5" t="s">
        <v>240</v>
      </c>
      <c r="CG750" s="5" t="s">
        <v>304</v>
      </c>
      <c r="CH750" s="5" t="s">
        <v>305</v>
      </c>
      <c r="CI750" s="5" t="s">
        <v>240</v>
      </c>
      <c r="CL750" s="6" t="s">
        <v>261</v>
      </c>
      <c r="CM750" s="5" t="s">
        <v>240</v>
      </c>
      <c r="CN750" s="5" t="s">
        <v>263</v>
      </c>
      <c r="CO750" s="5" t="s">
        <v>240</v>
      </c>
      <c r="CP750" s="5" t="s">
        <v>240</v>
      </c>
      <c r="CQ750" s="5">
        <v>0</v>
      </c>
      <c r="CR750" s="5" t="s">
        <v>306</v>
      </c>
      <c r="CS750" s="5" t="s">
        <v>307</v>
      </c>
      <c r="CT750" s="5" t="s">
        <v>307</v>
      </c>
      <c r="CU750" s="5" t="s">
        <v>260</v>
      </c>
      <c r="CX750" s="7">
        <f>1</f>
        <v>1</v>
      </c>
      <c r="CY750" s="7">
        <f>0</f>
        <v>0</v>
      </c>
      <c r="DA750" s="7">
        <f>0</f>
        <v>0</v>
      </c>
      <c r="DC750" s="5" t="s">
        <v>812</v>
      </c>
      <c r="DD750" s="5" t="s">
        <v>240</v>
      </c>
      <c r="DF750" s="5" t="s">
        <v>812</v>
      </c>
      <c r="DG750" s="7">
        <f>306</f>
        <v>306</v>
      </c>
      <c r="DI750" s="5" t="s">
        <v>240</v>
      </c>
      <c r="DJ750" s="5" t="s">
        <v>240</v>
      </c>
      <c r="DK750" s="5" t="s">
        <v>240</v>
      </c>
      <c r="DL750" s="5" t="s">
        <v>240</v>
      </c>
      <c r="DP750" s="5" t="s">
        <v>240</v>
      </c>
      <c r="DQ750" s="5" t="s">
        <v>240</v>
      </c>
      <c r="DR750" s="5" t="s">
        <v>240</v>
      </c>
      <c r="DS750" s="5" t="s">
        <v>240</v>
      </c>
      <c r="DV750" s="5" t="s">
        <v>813</v>
      </c>
      <c r="DW750" s="5" t="s">
        <v>1577</v>
      </c>
      <c r="HO750" s="5" t="s">
        <v>312</v>
      </c>
    </row>
    <row r="751" spans="1:240" x14ac:dyDescent="0.4">
      <c r="A751" s="5">
        <v>2426</v>
      </c>
      <c r="B751" s="5">
        <v>1</v>
      </c>
      <c r="C751" s="5">
        <v>1</v>
      </c>
      <c r="D751" s="5" t="s">
        <v>297</v>
      </c>
      <c r="E751" s="5" t="s">
        <v>245</v>
      </c>
      <c r="F751" s="5" t="s">
        <v>254</v>
      </c>
      <c r="G751" s="5" t="s">
        <v>240</v>
      </c>
      <c r="H751" s="6" t="s">
        <v>802</v>
      </c>
      <c r="I751" s="5" t="s">
        <v>295</v>
      </c>
      <c r="J751" s="8">
        <f>1183</f>
        <v>1183</v>
      </c>
      <c r="K751" s="5" t="s">
        <v>308</v>
      </c>
      <c r="L751" s="7">
        <f>1</f>
        <v>1</v>
      </c>
      <c r="M751" s="7">
        <f>1</f>
        <v>1</v>
      </c>
      <c r="N751" s="5" t="s">
        <v>242</v>
      </c>
      <c r="O751" s="5">
        <v>1</v>
      </c>
      <c r="P751" s="5" t="s">
        <v>294</v>
      </c>
      <c r="Q751" s="5" t="s">
        <v>613</v>
      </c>
      <c r="R751" s="5" t="s">
        <v>240</v>
      </c>
      <c r="S751" s="5" t="s">
        <v>240</v>
      </c>
      <c r="T751" s="5" t="s">
        <v>243</v>
      </c>
      <c r="U751" s="5" t="s">
        <v>724</v>
      </c>
      <c r="V751" s="5" t="s">
        <v>240</v>
      </c>
      <c r="W751" s="5" t="s">
        <v>240</v>
      </c>
      <c r="X751" s="5" t="s">
        <v>240</v>
      </c>
      <c r="Y751" s="5" t="s">
        <v>240</v>
      </c>
      <c r="Z751" s="6" t="s">
        <v>298</v>
      </c>
      <c r="AA751" s="6" t="s">
        <v>240</v>
      </c>
      <c r="AB751" s="6" t="s">
        <v>240</v>
      </c>
      <c r="AC751" s="5" t="s">
        <v>240</v>
      </c>
      <c r="AD751" s="6" t="s">
        <v>240</v>
      </c>
      <c r="AE751" s="6" t="s">
        <v>299</v>
      </c>
      <c r="AF751" s="5" t="s">
        <v>727</v>
      </c>
      <c r="AG751" s="5" t="s">
        <v>260</v>
      </c>
      <c r="AH751" s="5" t="s">
        <v>240</v>
      </c>
      <c r="AI751" s="5" t="s">
        <v>240</v>
      </c>
      <c r="AJ751" s="5" t="s">
        <v>240</v>
      </c>
      <c r="AK751" s="5" t="s">
        <v>240</v>
      </c>
      <c r="AL751" s="5" t="s">
        <v>240</v>
      </c>
      <c r="AM751" s="5" t="s">
        <v>240</v>
      </c>
      <c r="AN751" s="5" t="s">
        <v>240</v>
      </c>
      <c r="AO751" s="5" t="s">
        <v>240</v>
      </c>
      <c r="AP751" s="6" t="s">
        <v>240</v>
      </c>
      <c r="AQ751" s="6" t="s">
        <v>240</v>
      </c>
      <c r="AR751" s="6" t="s">
        <v>240</v>
      </c>
      <c r="AS751" s="6" t="s">
        <v>240</v>
      </c>
      <c r="AT751" s="5" t="s">
        <v>240</v>
      </c>
      <c r="AU751" s="5" t="s">
        <v>729</v>
      </c>
      <c r="AV751" s="5" t="s">
        <v>729</v>
      </c>
      <c r="AW751" s="5" t="s">
        <v>251</v>
      </c>
      <c r="AX751" s="5" t="s">
        <v>252</v>
      </c>
      <c r="AY751" s="5" t="s">
        <v>253</v>
      </c>
      <c r="AZ751" s="5" t="s">
        <v>240</v>
      </c>
      <c r="BA751" s="5" t="s">
        <v>255</v>
      </c>
      <c r="BB751" s="5" t="s">
        <v>731</v>
      </c>
      <c r="BD751" s="5" t="s">
        <v>240</v>
      </c>
      <c r="BF751" s="5" t="s">
        <v>732</v>
      </c>
      <c r="BG751" s="6" t="s">
        <v>733</v>
      </c>
      <c r="BH751" s="5" t="s">
        <v>734</v>
      </c>
      <c r="BI751" s="5" t="s">
        <v>734</v>
      </c>
      <c r="BJ751" s="5" t="s">
        <v>240</v>
      </c>
      <c r="BK751" s="8">
        <f>494.1</f>
        <v>494.1</v>
      </c>
      <c r="BL751" s="7">
        <f>0</f>
        <v>0</v>
      </c>
      <c r="BM751" s="5" t="s">
        <v>258</v>
      </c>
      <c r="BN751" s="5" t="s">
        <v>259</v>
      </c>
      <c r="BO751" s="5" t="s">
        <v>240</v>
      </c>
      <c r="BP751" s="5" t="s">
        <v>240</v>
      </c>
      <c r="BQ751" s="5" t="s">
        <v>240</v>
      </c>
      <c r="BR751" s="5" t="s">
        <v>240</v>
      </c>
      <c r="BS751" s="5" t="s">
        <v>240</v>
      </c>
      <c r="BT751" s="5" t="s">
        <v>240</v>
      </c>
      <c r="BU751" s="5" t="s">
        <v>240</v>
      </c>
      <c r="BV751" s="5" t="s">
        <v>240</v>
      </c>
      <c r="BW751" s="6" t="s">
        <v>240</v>
      </c>
      <c r="BX751" s="5" t="s">
        <v>240</v>
      </c>
      <c r="BY751" s="5" t="s">
        <v>240</v>
      </c>
      <c r="BZ751" s="5" t="s">
        <v>240</v>
      </c>
      <c r="CA751" s="5" t="s">
        <v>259</v>
      </c>
      <c r="CB751" s="5" t="s">
        <v>240</v>
      </c>
      <c r="CC751" s="5" t="s">
        <v>240</v>
      </c>
      <c r="CD751" s="5" t="s">
        <v>240</v>
      </c>
      <c r="CE751" s="5" t="s">
        <v>240</v>
      </c>
      <c r="CF751" s="5" t="s">
        <v>240</v>
      </c>
      <c r="CG751" s="5" t="s">
        <v>617</v>
      </c>
      <c r="CH751" s="5" t="s">
        <v>305</v>
      </c>
      <c r="CI751" s="5" t="s">
        <v>240</v>
      </c>
      <c r="CL751" s="6" t="s">
        <v>261</v>
      </c>
      <c r="CM751" s="5" t="s">
        <v>262</v>
      </c>
      <c r="CN751" s="5" t="s">
        <v>263</v>
      </c>
      <c r="CO751" s="5" t="s">
        <v>264</v>
      </c>
      <c r="CP751" s="5" t="s">
        <v>240</v>
      </c>
      <c r="CQ751" s="5">
        <v>0</v>
      </c>
      <c r="CR751" s="5" t="s">
        <v>735</v>
      </c>
      <c r="CS751" s="5" t="s">
        <v>307</v>
      </c>
      <c r="CT751" s="5" t="s">
        <v>307</v>
      </c>
      <c r="CU751" s="5" t="s">
        <v>260</v>
      </c>
      <c r="CV751" s="5" t="s">
        <v>240</v>
      </c>
      <c r="CW751" s="8">
        <f>0</f>
        <v>0</v>
      </c>
      <c r="CX751" s="7">
        <f>0</f>
        <v>0</v>
      </c>
      <c r="CY751" s="7">
        <f>0</f>
        <v>0</v>
      </c>
      <c r="DA751" s="7">
        <f>5435</f>
        <v>5435</v>
      </c>
      <c r="DB751" s="7" t="s">
        <v>240</v>
      </c>
      <c r="DC751" s="5" t="s">
        <v>240</v>
      </c>
      <c r="DD751" s="5" t="s">
        <v>240</v>
      </c>
      <c r="DE751" s="5" t="s">
        <v>240</v>
      </c>
      <c r="DF751" s="5" t="s">
        <v>450</v>
      </c>
      <c r="DG751" s="7">
        <f>0</f>
        <v>0</v>
      </c>
      <c r="DI751" s="5" t="s">
        <v>737</v>
      </c>
      <c r="DJ751" s="5" t="s">
        <v>240</v>
      </c>
      <c r="DK751" s="5" t="s">
        <v>240</v>
      </c>
      <c r="DL751" s="5" t="s">
        <v>240</v>
      </c>
      <c r="DM751" s="5" t="s">
        <v>240</v>
      </c>
      <c r="DN751" s="5" t="s">
        <v>240</v>
      </c>
      <c r="DO751" s="7" t="s">
        <v>240</v>
      </c>
      <c r="DP751" s="5" t="s">
        <v>240</v>
      </c>
      <c r="DQ751" s="5" t="s">
        <v>240</v>
      </c>
      <c r="DR751" s="5" t="s">
        <v>731</v>
      </c>
      <c r="DS751" s="5" t="s">
        <v>731</v>
      </c>
      <c r="DT751" s="5" t="s">
        <v>240</v>
      </c>
      <c r="DU751" s="5" t="s">
        <v>240</v>
      </c>
      <c r="DV751" s="5" t="s">
        <v>738</v>
      </c>
      <c r="DW751" s="5" t="s">
        <v>604</v>
      </c>
      <c r="DX751" s="5" t="s">
        <v>240</v>
      </c>
      <c r="DY751" s="5" t="s">
        <v>240</v>
      </c>
      <c r="DZ751" s="5" t="s">
        <v>240</v>
      </c>
      <c r="EA751" s="5" t="s">
        <v>240</v>
      </c>
      <c r="EB751" s="5" t="s">
        <v>240</v>
      </c>
      <c r="EC751" s="5" t="s">
        <v>240</v>
      </c>
      <c r="ED751" s="5" t="s">
        <v>240</v>
      </c>
      <c r="EE751" s="5" t="s">
        <v>240</v>
      </c>
      <c r="EF751" s="5" t="s">
        <v>240</v>
      </c>
      <c r="EG751" s="5" t="s">
        <v>240</v>
      </c>
      <c r="EH751" s="5" t="s">
        <v>240</v>
      </c>
      <c r="EI751" s="5" t="s">
        <v>240</v>
      </c>
      <c r="EJ751" s="5" t="s">
        <v>240</v>
      </c>
      <c r="EK751" s="5" t="s">
        <v>240</v>
      </c>
      <c r="EL751" s="5" t="s">
        <v>240</v>
      </c>
      <c r="EM751" s="5" t="s">
        <v>240</v>
      </c>
      <c r="EN751" s="5" t="s">
        <v>240</v>
      </c>
      <c r="EO751" s="5" t="s">
        <v>240</v>
      </c>
      <c r="EP751" s="5" t="s">
        <v>240</v>
      </c>
      <c r="EQ751" s="5" t="s">
        <v>240</v>
      </c>
      <c r="ER751" s="5" t="s">
        <v>240</v>
      </c>
      <c r="ES751" s="5" t="s">
        <v>240</v>
      </c>
      <c r="ET751" s="5" t="s">
        <v>240</v>
      </c>
      <c r="EU751" s="5" t="s">
        <v>240</v>
      </c>
      <c r="EV751" s="5" t="s">
        <v>240</v>
      </c>
      <c r="EW751" s="5" t="s">
        <v>240</v>
      </c>
      <c r="EX751" s="5" t="s">
        <v>240</v>
      </c>
      <c r="EY751" s="5" t="s">
        <v>240</v>
      </c>
      <c r="EZ751" s="5" t="s">
        <v>240</v>
      </c>
      <c r="FA751" s="5" t="s">
        <v>240</v>
      </c>
      <c r="FB751" s="5" t="s">
        <v>240</v>
      </c>
      <c r="FC751" s="5" t="s">
        <v>240</v>
      </c>
      <c r="FD751" s="5" t="s">
        <v>240</v>
      </c>
      <c r="FE751" s="5" t="s">
        <v>240</v>
      </c>
      <c r="FF751" s="5" t="s">
        <v>240</v>
      </c>
      <c r="FG751" s="5" t="s">
        <v>240</v>
      </c>
      <c r="FH751" s="5" t="s">
        <v>240</v>
      </c>
      <c r="FI751" s="5" t="s">
        <v>240</v>
      </c>
      <c r="FJ751" s="5" t="s">
        <v>240</v>
      </c>
      <c r="FK751" s="5" t="s">
        <v>240</v>
      </c>
      <c r="FL751" s="5" t="s">
        <v>240</v>
      </c>
      <c r="FM751" s="5" t="s">
        <v>240</v>
      </c>
      <c r="FN751" s="5" t="s">
        <v>240</v>
      </c>
      <c r="FO751" s="5" t="s">
        <v>240</v>
      </c>
      <c r="FP751" s="5" t="s">
        <v>240</v>
      </c>
      <c r="FQ751" s="5" t="s">
        <v>240</v>
      </c>
      <c r="FR751" s="5" t="s">
        <v>240</v>
      </c>
      <c r="FS751" s="5" t="s">
        <v>240</v>
      </c>
      <c r="FT751" s="5" t="s">
        <v>240</v>
      </c>
      <c r="FU751" s="5" t="s">
        <v>240</v>
      </c>
      <c r="FV751" s="5" t="s">
        <v>240</v>
      </c>
      <c r="FW751" s="5" t="s">
        <v>240</v>
      </c>
      <c r="FX751" s="5" t="s">
        <v>240</v>
      </c>
      <c r="FY751" s="5" t="s">
        <v>240</v>
      </c>
      <c r="FZ751" s="5" t="s">
        <v>240</v>
      </c>
      <c r="GA751" s="5" t="s">
        <v>240</v>
      </c>
      <c r="GB751" s="5" t="s">
        <v>240</v>
      </c>
      <c r="GC751" s="5" t="s">
        <v>240</v>
      </c>
      <c r="GD751" s="5" t="s">
        <v>240</v>
      </c>
      <c r="GE751" s="5" t="s">
        <v>240</v>
      </c>
      <c r="GF751" s="5" t="s">
        <v>240</v>
      </c>
      <c r="GG751" s="5" t="s">
        <v>240</v>
      </c>
      <c r="GH751" s="5" t="s">
        <v>240</v>
      </c>
      <c r="GI751" s="5" t="s">
        <v>240</v>
      </c>
      <c r="GJ751" s="5" t="s">
        <v>240</v>
      </c>
      <c r="GK751" s="5" t="s">
        <v>240</v>
      </c>
      <c r="GL751" s="5" t="s">
        <v>240</v>
      </c>
      <c r="GM751" s="5" t="s">
        <v>240</v>
      </c>
      <c r="GN751" s="5" t="s">
        <v>240</v>
      </c>
      <c r="GO751" s="5" t="s">
        <v>240</v>
      </c>
      <c r="GP751" s="5" t="s">
        <v>240</v>
      </c>
      <c r="GQ751" s="5" t="s">
        <v>240</v>
      </c>
      <c r="GR751" s="5" t="s">
        <v>240</v>
      </c>
      <c r="GS751" s="5" t="s">
        <v>240</v>
      </c>
      <c r="GT751" s="5" t="s">
        <v>240</v>
      </c>
      <c r="GU751" s="5" t="s">
        <v>240</v>
      </c>
      <c r="GV751" s="5" t="s">
        <v>240</v>
      </c>
      <c r="GW751" s="5" t="s">
        <v>240</v>
      </c>
      <c r="GX751" s="5" t="s">
        <v>240</v>
      </c>
      <c r="GY751" s="5" t="s">
        <v>240</v>
      </c>
      <c r="GZ751" s="5" t="s">
        <v>240</v>
      </c>
      <c r="HA751" s="5" t="s">
        <v>240</v>
      </c>
      <c r="HB751" s="5" t="s">
        <v>240</v>
      </c>
      <c r="HC751" s="5" t="s">
        <v>240</v>
      </c>
      <c r="HD751" s="5" t="s">
        <v>240</v>
      </c>
      <c r="HE751" s="5" t="s">
        <v>240</v>
      </c>
      <c r="HF751" s="5" t="s">
        <v>240</v>
      </c>
      <c r="HG751" s="5" t="s">
        <v>240</v>
      </c>
      <c r="HH751" s="5" t="s">
        <v>240</v>
      </c>
      <c r="HI751" s="5" t="s">
        <v>240</v>
      </c>
      <c r="HJ751" s="5" t="s">
        <v>240</v>
      </c>
      <c r="HK751" s="5" t="s">
        <v>240</v>
      </c>
      <c r="HL751" s="5" t="s">
        <v>240</v>
      </c>
      <c r="HM751" s="5" t="s">
        <v>240</v>
      </c>
      <c r="HN751" s="5" t="s">
        <v>240</v>
      </c>
      <c r="HO751" s="5" t="s">
        <v>620</v>
      </c>
      <c r="HP751" s="5" t="s">
        <v>240</v>
      </c>
      <c r="HQ751" s="5" t="s">
        <v>240</v>
      </c>
      <c r="HR751" s="5" t="s">
        <v>240</v>
      </c>
      <c r="HS751" s="5" t="s">
        <v>240</v>
      </c>
      <c r="HT751" s="5" t="s">
        <v>240</v>
      </c>
      <c r="HU751" s="5" t="s">
        <v>240</v>
      </c>
      <c r="HV751" s="5" t="s">
        <v>240</v>
      </c>
      <c r="HW751" s="5" t="s">
        <v>240</v>
      </c>
      <c r="HX751" s="5" t="s">
        <v>240</v>
      </c>
      <c r="HY751" s="5" t="s">
        <v>240</v>
      </c>
      <c r="HZ751" s="5" t="s">
        <v>240</v>
      </c>
      <c r="IA751" s="5" t="s">
        <v>240</v>
      </c>
      <c r="IB751" s="5" t="s">
        <v>240</v>
      </c>
      <c r="IC751" s="5" t="s">
        <v>240</v>
      </c>
      <c r="ID751" s="5" t="s">
        <v>240</v>
      </c>
      <c r="IE751" s="5" t="s">
        <v>240</v>
      </c>
      <c r="IF751" s="5" t="s">
        <v>240</v>
      </c>
    </row>
    <row r="752" spans="1:240" x14ac:dyDescent="0.4">
      <c r="A752" s="5">
        <v>2427</v>
      </c>
      <c r="B752" s="5">
        <v>1</v>
      </c>
      <c r="C752" s="5">
        <v>1</v>
      </c>
      <c r="D752" s="5" t="s">
        <v>297</v>
      </c>
      <c r="E752" s="5" t="s">
        <v>245</v>
      </c>
      <c r="F752" s="5" t="s">
        <v>254</v>
      </c>
      <c r="G752" s="5" t="s">
        <v>240</v>
      </c>
      <c r="H752" s="6" t="s">
        <v>800</v>
      </c>
      <c r="I752" s="5" t="s">
        <v>295</v>
      </c>
      <c r="J752" s="8">
        <f>10107</f>
        <v>10107</v>
      </c>
      <c r="K752" s="5" t="s">
        <v>308</v>
      </c>
      <c r="L752" s="7">
        <f>1</f>
        <v>1</v>
      </c>
      <c r="M752" s="7">
        <f>1</f>
        <v>1</v>
      </c>
      <c r="N752" s="5" t="s">
        <v>242</v>
      </c>
      <c r="O752" s="5">
        <v>1</v>
      </c>
      <c r="P752" s="5" t="s">
        <v>294</v>
      </c>
      <c r="Q752" s="5" t="s">
        <v>266</v>
      </c>
      <c r="R752" s="5" t="s">
        <v>240</v>
      </c>
      <c r="S752" s="5" t="s">
        <v>240</v>
      </c>
      <c r="T752" s="5" t="s">
        <v>296</v>
      </c>
      <c r="U752" s="5" t="s">
        <v>244</v>
      </c>
      <c r="V752" s="5" t="s">
        <v>240</v>
      </c>
      <c r="Y752" s="5" t="s">
        <v>240</v>
      </c>
      <c r="Z752" s="6" t="s">
        <v>298</v>
      </c>
      <c r="AB752" s="6" t="s">
        <v>240</v>
      </c>
      <c r="AE752" s="6" t="s">
        <v>299</v>
      </c>
      <c r="AF752" s="5" t="s">
        <v>248</v>
      </c>
      <c r="AG752" s="5" t="s">
        <v>249</v>
      </c>
      <c r="AW752" s="5" t="s">
        <v>251</v>
      </c>
      <c r="AX752" s="5" t="s">
        <v>240</v>
      </c>
      <c r="AY752" s="5" t="s">
        <v>253</v>
      </c>
      <c r="AZ752" s="5" t="s">
        <v>240</v>
      </c>
      <c r="BA752" s="5" t="s">
        <v>255</v>
      </c>
      <c r="BB752" s="5" t="s">
        <v>240</v>
      </c>
      <c r="BD752" s="5" t="s">
        <v>240</v>
      </c>
      <c r="BF752" s="5" t="s">
        <v>301</v>
      </c>
      <c r="BG752" s="6" t="s">
        <v>299</v>
      </c>
      <c r="BH752" s="5" t="s">
        <v>302</v>
      </c>
      <c r="BI752" s="5" t="s">
        <v>303</v>
      </c>
      <c r="BJ752" s="5" t="s">
        <v>240</v>
      </c>
      <c r="BK752" s="8">
        <f>0</f>
        <v>0</v>
      </c>
      <c r="BL752" s="7">
        <f>0</f>
        <v>0</v>
      </c>
      <c r="BM752" s="5" t="s">
        <v>258</v>
      </c>
      <c r="BN752" s="5" t="s">
        <v>259</v>
      </c>
      <c r="CB752" s="5" t="s">
        <v>240</v>
      </c>
      <c r="CC752" s="5" t="s">
        <v>240</v>
      </c>
      <c r="CG752" s="5" t="s">
        <v>304</v>
      </c>
      <c r="CH752" s="5" t="s">
        <v>305</v>
      </c>
      <c r="CI752" s="5" t="s">
        <v>240</v>
      </c>
      <c r="CL752" s="6" t="s">
        <v>261</v>
      </c>
      <c r="CM752" s="5" t="s">
        <v>240</v>
      </c>
      <c r="CN752" s="5" t="s">
        <v>263</v>
      </c>
      <c r="CO752" s="5" t="s">
        <v>240</v>
      </c>
      <c r="CP752" s="5" t="s">
        <v>240</v>
      </c>
      <c r="CQ752" s="5">
        <v>0</v>
      </c>
      <c r="CR752" s="5" t="s">
        <v>306</v>
      </c>
      <c r="CS752" s="5" t="s">
        <v>307</v>
      </c>
      <c r="CT752" s="5" t="s">
        <v>307</v>
      </c>
      <c r="CU752" s="5" t="s">
        <v>260</v>
      </c>
      <c r="CX752" s="7">
        <f>1</f>
        <v>1</v>
      </c>
      <c r="CY752" s="7">
        <f>0</f>
        <v>0</v>
      </c>
      <c r="DA752" s="7">
        <f>0</f>
        <v>0</v>
      </c>
      <c r="DC752" s="5" t="s">
        <v>309</v>
      </c>
      <c r="DD752" s="5" t="s">
        <v>240</v>
      </c>
      <c r="DF752" s="5" t="s">
        <v>309</v>
      </c>
      <c r="DG752" s="7">
        <f>600</f>
        <v>600</v>
      </c>
      <c r="DI752" s="5" t="s">
        <v>240</v>
      </c>
      <c r="DJ752" s="5" t="s">
        <v>240</v>
      </c>
      <c r="DK752" s="5" t="s">
        <v>240</v>
      </c>
      <c r="DL752" s="5" t="s">
        <v>240</v>
      </c>
      <c r="DP752" s="5" t="s">
        <v>240</v>
      </c>
      <c r="DQ752" s="5" t="s">
        <v>240</v>
      </c>
      <c r="DR752" s="5" t="s">
        <v>240</v>
      </c>
      <c r="DS752" s="5" t="s">
        <v>240</v>
      </c>
      <c r="DV752" s="5" t="s">
        <v>310</v>
      </c>
      <c r="DW752" s="5" t="s">
        <v>1617</v>
      </c>
      <c r="HO752" s="5" t="s">
        <v>312</v>
      </c>
    </row>
    <row r="753" spans="1:240" x14ac:dyDescent="0.4">
      <c r="A753" s="5">
        <v>2428</v>
      </c>
      <c r="B753" s="5">
        <v>1</v>
      </c>
      <c r="C753" s="5">
        <v>1</v>
      </c>
      <c r="D753" s="5" t="s">
        <v>297</v>
      </c>
      <c r="E753" s="5" t="s">
        <v>245</v>
      </c>
      <c r="F753" s="5" t="s">
        <v>254</v>
      </c>
      <c r="G753" s="5" t="s">
        <v>240</v>
      </c>
      <c r="H753" s="6" t="s">
        <v>798</v>
      </c>
      <c r="I753" s="5" t="s">
        <v>295</v>
      </c>
      <c r="J753" s="8">
        <f>4734</f>
        <v>4734</v>
      </c>
      <c r="K753" s="5" t="s">
        <v>308</v>
      </c>
      <c r="L753" s="7">
        <f>1</f>
        <v>1</v>
      </c>
      <c r="M753" s="7">
        <f>1</f>
        <v>1</v>
      </c>
      <c r="N753" s="5" t="s">
        <v>242</v>
      </c>
      <c r="O753" s="5">
        <v>1</v>
      </c>
      <c r="P753" s="5" t="s">
        <v>294</v>
      </c>
      <c r="Q753" s="5" t="s">
        <v>266</v>
      </c>
      <c r="R753" s="5" t="s">
        <v>240</v>
      </c>
      <c r="S753" s="5" t="s">
        <v>240</v>
      </c>
      <c r="T753" s="5" t="s">
        <v>296</v>
      </c>
      <c r="U753" s="5" t="s">
        <v>244</v>
      </c>
      <c r="V753" s="5" t="s">
        <v>240</v>
      </c>
      <c r="Y753" s="5" t="s">
        <v>240</v>
      </c>
      <c r="Z753" s="6" t="s">
        <v>298</v>
      </c>
      <c r="AB753" s="6" t="s">
        <v>240</v>
      </c>
      <c r="AE753" s="6" t="s">
        <v>299</v>
      </c>
      <c r="AF753" s="5" t="s">
        <v>248</v>
      </c>
      <c r="AG753" s="5" t="s">
        <v>249</v>
      </c>
      <c r="AW753" s="5" t="s">
        <v>251</v>
      </c>
      <c r="AX753" s="5" t="s">
        <v>240</v>
      </c>
      <c r="AY753" s="5" t="s">
        <v>253</v>
      </c>
      <c r="AZ753" s="5" t="s">
        <v>240</v>
      </c>
      <c r="BA753" s="5" t="s">
        <v>255</v>
      </c>
      <c r="BB753" s="5" t="s">
        <v>240</v>
      </c>
      <c r="BD753" s="5" t="s">
        <v>240</v>
      </c>
      <c r="BF753" s="5" t="s">
        <v>301</v>
      </c>
      <c r="BG753" s="6" t="s">
        <v>299</v>
      </c>
      <c r="BH753" s="5" t="s">
        <v>302</v>
      </c>
      <c r="BI753" s="5" t="s">
        <v>303</v>
      </c>
      <c r="BJ753" s="5" t="s">
        <v>240</v>
      </c>
      <c r="BK753" s="8">
        <f>0</f>
        <v>0</v>
      </c>
      <c r="BL753" s="7">
        <f>0</f>
        <v>0</v>
      </c>
      <c r="BM753" s="5" t="s">
        <v>258</v>
      </c>
      <c r="BN753" s="5" t="s">
        <v>259</v>
      </c>
      <c r="CB753" s="5" t="s">
        <v>240</v>
      </c>
      <c r="CC753" s="5" t="s">
        <v>240</v>
      </c>
      <c r="CG753" s="5" t="s">
        <v>304</v>
      </c>
      <c r="CH753" s="5" t="s">
        <v>305</v>
      </c>
      <c r="CI753" s="5" t="s">
        <v>240</v>
      </c>
      <c r="CL753" s="6" t="s">
        <v>261</v>
      </c>
      <c r="CM753" s="5" t="s">
        <v>240</v>
      </c>
      <c r="CN753" s="5" t="s">
        <v>263</v>
      </c>
      <c r="CO753" s="5" t="s">
        <v>240</v>
      </c>
      <c r="CP753" s="5" t="s">
        <v>240</v>
      </c>
      <c r="CQ753" s="5">
        <v>0</v>
      </c>
      <c r="CR753" s="5" t="s">
        <v>306</v>
      </c>
      <c r="CS753" s="5" t="s">
        <v>307</v>
      </c>
      <c r="CT753" s="5" t="s">
        <v>307</v>
      </c>
      <c r="CU753" s="5" t="s">
        <v>260</v>
      </c>
      <c r="CX753" s="7">
        <f>1</f>
        <v>1</v>
      </c>
      <c r="CY753" s="7">
        <f>0</f>
        <v>0</v>
      </c>
      <c r="DA753" s="7">
        <f>0</f>
        <v>0</v>
      </c>
      <c r="DC753" s="5" t="s">
        <v>812</v>
      </c>
      <c r="DD753" s="5" t="s">
        <v>240</v>
      </c>
      <c r="DF753" s="5" t="s">
        <v>812</v>
      </c>
      <c r="DG753" s="7">
        <f>242</f>
        <v>242</v>
      </c>
      <c r="DI753" s="5" t="s">
        <v>240</v>
      </c>
      <c r="DJ753" s="5" t="s">
        <v>240</v>
      </c>
      <c r="DK753" s="5" t="s">
        <v>240</v>
      </c>
      <c r="DL753" s="5" t="s">
        <v>240</v>
      </c>
      <c r="DP753" s="5" t="s">
        <v>240</v>
      </c>
      <c r="DQ753" s="5" t="s">
        <v>240</v>
      </c>
      <c r="DR753" s="5" t="s">
        <v>240</v>
      </c>
      <c r="DS753" s="5" t="s">
        <v>240</v>
      </c>
      <c r="DV753" s="5" t="s">
        <v>813</v>
      </c>
      <c r="DW753" s="5" t="s">
        <v>1584</v>
      </c>
      <c r="HO753" s="5" t="s">
        <v>312</v>
      </c>
    </row>
    <row r="754" spans="1:240" x14ac:dyDescent="0.4">
      <c r="A754" s="5">
        <v>2429</v>
      </c>
      <c r="B754" s="5">
        <v>1</v>
      </c>
      <c r="C754" s="5">
        <v>1</v>
      </c>
      <c r="D754" s="5" t="s">
        <v>297</v>
      </c>
      <c r="E754" s="5" t="s">
        <v>245</v>
      </c>
      <c r="F754" s="5" t="s">
        <v>254</v>
      </c>
      <c r="G754" s="5" t="s">
        <v>240</v>
      </c>
      <c r="H754" s="6" t="s">
        <v>796</v>
      </c>
      <c r="I754" s="5" t="s">
        <v>295</v>
      </c>
      <c r="J754" s="8">
        <f>1067</f>
        <v>1067</v>
      </c>
      <c r="K754" s="5" t="s">
        <v>308</v>
      </c>
      <c r="L754" s="7">
        <f>1</f>
        <v>1</v>
      </c>
      <c r="M754" s="7">
        <f>1</f>
        <v>1</v>
      </c>
      <c r="N754" s="5" t="s">
        <v>242</v>
      </c>
      <c r="O754" s="5">
        <v>1</v>
      </c>
      <c r="P754" s="5" t="s">
        <v>294</v>
      </c>
      <c r="Q754" s="5" t="s">
        <v>266</v>
      </c>
      <c r="R754" s="5" t="s">
        <v>240</v>
      </c>
      <c r="S754" s="5" t="s">
        <v>240</v>
      </c>
      <c r="T754" s="5" t="s">
        <v>296</v>
      </c>
      <c r="U754" s="5" t="s">
        <v>244</v>
      </c>
      <c r="V754" s="5" t="s">
        <v>240</v>
      </c>
      <c r="Y754" s="5" t="s">
        <v>240</v>
      </c>
      <c r="Z754" s="6" t="s">
        <v>298</v>
      </c>
      <c r="AB754" s="6" t="s">
        <v>240</v>
      </c>
      <c r="AE754" s="6" t="s">
        <v>299</v>
      </c>
      <c r="AF754" s="5" t="s">
        <v>248</v>
      </c>
      <c r="AG754" s="5" t="s">
        <v>249</v>
      </c>
      <c r="AW754" s="5" t="s">
        <v>251</v>
      </c>
      <c r="AX754" s="5" t="s">
        <v>240</v>
      </c>
      <c r="AY754" s="5" t="s">
        <v>253</v>
      </c>
      <c r="AZ754" s="5" t="s">
        <v>240</v>
      </c>
      <c r="BA754" s="5" t="s">
        <v>255</v>
      </c>
      <c r="BB754" s="5" t="s">
        <v>240</v>
      </c>
      <c r="BD754" s="5" t="s">
        <v>240</v>
      </c>
      <c r="BF754" s="5" t="s">
        <v>301</v>
      </c>
      <c r="BG754" s="6" t="s">
        <v>299</v>
      </c>
      <c r="BH754" s="5" t="s">
        <v>302</v>
      </c>
      <c r="BI754" s="5" t="s">
        <v>303</v>
      </c>
      <c r="BJ754" s="5" t="s">
        <v>240</v>
      </c>
      <c r="BK754" s="8">
        <f>0</f>
        <v>0</v>
      </c>
      <c r="BL754" s="7">
        <f>0</f>
        <v>0</v>
      </c>
      <c r="BM754" s="5" t="s">
        <v>258</v>
      </c>
      <c r="BN754" s="5" t="s">
        <v>259</v>
      </c>
      <c r="CB754" s="5" t="s">
        <v>240</v>
      </c>
      <c r="CC754" s="5" t="s">
        <v>240</v>
      </c>
      <c r="CG754" s="5" t="s">
        <v>304</v>
      </c>
      <c r="CH754" s="5" t="s">
        <v>305</v>
      </c>
      <c r="CI754" s="5" t="s">
        <v>240</v>
      </c>
      <c r="CL754" s="6" t="s">
        <v>261</v>
      </c>
      <c r="CM754" s="5" t="s">
        <v>240</v>
      </c>
      <c r="CN754" s="5" t="s">
        <v>263</v>
      </c>
      <c r="CO754" s="5" t="s">
        <v>240</v>
      </c>
      <c r="CP754" s="5" t="s">
        <v>240</v>
      </c>
      <c r="CQ754" s="5">
        <v>0</v>
      </c>
      <c r="CR754" s="5" t="s">
        <v>306</v>
      </c>
      <c r="CS754" s="5" t="s">
        <v>307</v>
      </c>
      <c r="CT754" s="5" t="s">
        <v>307</v>
      </c>
      <c r="CU754" s="5" t="s">
        <v>260</v>
      </c>
      <c r="CX754" s="7">
        <f>1</f>
        <v>1</v>
      </c>
      <c r="CY754" s="7">
        <f>0</f>
        <v>0</v>
      </c>
      <c r="DA754" s="7">
        <f>0</f>
        <v>0</v>
      </c>
      <c r="DC754" s="5" t="s">
        <v>812</v>
      </c>
      <c r="DD754" s="5" t="s">
        <v>240</v>
      </c>
      <c r="DF754" s="5" t="s">
        <v>812</v>
      </c>
      <c r="DG754" s="7">
        <f>467</f>
        <v>467</v>
      </c>
      <c r="DI754" s="5" t="s">
        <v>240</v>
      </c>
      <c r="DJ754" s="5" t="s">
        <v>240</v>
      </c>
      <c r="DK754" s="5" t="s">
        <v>240</v>
      </c>
      <c r="DL754" s="5" t="s">
        <v>240</v>
      </c>
      <c r="DP754" s="5" t="s">
        <v>240</v>
      </c>
      <c r="DQ754" s="5" t="s">
        <v>240</v>
      </c>
      <c r="DR754" s="5" t="s">
        <v>240</v>
      </c>
      <c r="DS754" s="5" t="s">
        <v>240</v>
      </c>
      <c r="DV754" s="5" t="s">
        <v>813</v>
      </c>
      <c r="DW754" s="5" t="s">
        <v>1590</v>
      </c>
      <c r="HO754" s="5" t="s">
        <v>312</v>
      </c>
    </row>
    <row r="755" spans="1:240" x14ac:dyDescent="0.4">
      <c r="A755" s="5">
        <v>2430</v>
      </c>
      <c r="B755" s="5">
        <v>1</v>
      </c>
      <c r="C755" s="5">
        <v>1</v>
      </c>
      <c r="D755" s="5" t="s">
        <v>297</v>
      </c>
      <c r="E755" s="5" t="s">
        <v>245</v>
      </c>
      <c r="F755" s="5" t="s">
        <v>254</v>
      </c>
      <c r="G755" s="5" t="s">
        <v>240</v>
      </c>
      <c r="H755" s="6" t="s">
        <v>794</v>
      </c>
      <c r="I755" s="5" t="s">
        <v>295</v>
      </c>
      <c r="J755" s="8">
        <f>206</f>
        <v>206</v>
      </c>
      <c r="K755" s="5" t="s">
        <v>308</v>
      </c>
      <c r="L755" s="7">
        <f>1</f>
        <v>1</v>
      </c>
      <c r="M755" s="7">
        <f>1</f>
        <v>1</v>
      </c>
      <c r="N755" s="5" t="s">
        <v>242</v>
      </c>
      <c r="O755" s="5">
        <v>1</v>
      </c>
      <c r="P755" s="5" t="s">
        <v>294</v>
      </c>
      <c r="Q755" s="5" t="s">
        <v>266</v>
      </c>
      <c r="R755" s="5" t="s">
        <v>240</v>
      </c>
      <c r="S755" s="5" t="s">
        <v>240</v>
      </c>
      <c r="T755" s="5" t="s">
        <v>296</v>
      </c>
      <c r="U755" s="5" t="s">
        <v>244</v>
      </c>
      <c r="V755" s="5" t="s">
        <v>240</v>
      </c>
      <c r="Y755" s="5" t="s">
        <v>240</v>
      </c>
      <c r="Z755" s="6" t="s">
        <v>298</v>
      </c>
      <c r="AB755" s="6" t="s">
        <v>240</v>
      </c>
      <c r="AE755" s="6" t="s">
        <v>299</v>
      </c>
      <c r="AF755" s="5" t="s">
        <v>248</v>
      </c>
      <c r="AG755" s="5" t="s">
        <v>249</v>
      </c>
      <c r="AW755" s="5" t="s">
        <v>251</v>
      </c>
      <c r="AX755" s="5" t="s">
        <v>240</v>
      </c>
      <c r="AY755" s="5" t="s">
        <v>253</v>
      </c>
      <c r="AZ755" s="5" t="s">
        <v>240</v>
      </c>
      <c r="BA755" s="5" t="s">
        <v>255</v>
      </c>
      <c r="BB755" s="5" t="s">
        <v>240</v>
      </c>
      <c r="BD755" s="5" t="s">
        <v>240</v>
      </c>
      <c r="BF755" s="5" t="s">
        <v>301</v>
      </c>
      <c r="BG755" s="6" t="s">
        <v>299</v>
      </c>
      <c r="BH755" s="5" t="s">
        <v>302</v>
      </c>
      <c r="BI755" s="5" t="s">
        <v>303</v>
      </c>
      <c r="BJ755" s="5" t="s">
        <v>240</v>
      </c>
      <c r="BK755" s="8">
        <f>0</f>
        <v>0</v>
      </c>
      <c r="BL755" s="7">
        <f>0</f>
        <v>0</v>
      </c>
      <c r="BM755" s="5" t="s">
        <v>258</v>
      </c>
      <c r="BN755" s="5" t="s">
        <v>259</v>
      </c>
      <c r="CB755" s="5" t="s">
        <v>240</v>
      </c>
      <c r="CC755" s="5" t="s">
        <v>240</v>
      </c>
      <c r="CG755" s="5" t="s">
        <v>304</v>
      </c>
      <c r="CH755" s="5" t="s">
        <v>305</v>
      </c>
      <c r="CI755" s="5" t="s">
        <v>240</v>
      </c>
      <c r="CL755" s="6" t="s">
        <v>261</v>
      </c>
      <c r="CM755" s="5" t="s">
        <v>240</v>
      </c>
      <c r="CN755" s="5" t="s">
        <v>263</v>
      </c>
      <c r="CO755" s="5" t="s">
        <v>240</v>
      </c>
      <c r="CP755" s="5" t="s">
        <v>240</v>
      </c>
      <c r="CQ755" s="5">
        <v>0</v>
      </c>
      <c r="CR755" s="5" t="s">
        <v>306</v>
      </c>
      <c r="CS755" s="5" t="s">
        <v>307</v>
      </c>
      <c r="CT755" s="5" t="s">
        <v>307</v>
      </c>
      <c r="CU755" s="5" t="s">
        <v>260</v>
      </c>
      <c r="CX755" s="7">
        <f>1</f>
        <v>1</v>
      </c>
      <c r="CY755" s="7">
        <f>0</f>
        <v>0</v>
      </c>
      <c r="DA755" s="7">
        <f>0</f>
        <v>0</v>
      </c>
      <c r="DC755" s="5" t="s">
        <v>309</v>
      </c>
      <c r="DD755" s="5" t="s">
        <v>240</v>
      </c>
      <c r="DF755" s="5" t="s">
        <v>309</v>
      </c>
      <c r="DG755" s="7">
        <f>202</f>
        <v>202</v>
      </c>
      <c r="DI755" s="5" t="s">
        <v>240</v>
      </c>
      <c r="DJ755" s="5" t="s">
        <v>240</v>
      </c>
      <c r="DK755" s="5" t="s">
        <v>240</v>
      </c>
      <c r="DL755" s="5" t="s">
        <v>240</v>
      </c>
      <c r="DP755" s="5" t="s">
        <v>240</v>
      </c>
      <c r="DQ755" s="5" t="s">
        <v>240</v>
      </c>
      <c r="DR755" s="5" t="s">
        <v>240</v>
      </c>
      <c r="DS755" s="5" t="s">
        <v>240</v>
      </c>
      <c r="DV755" s="5" t="s">
        <v>310</v>
      </c>
      <c r="DW755" s="5" t="s">
        <v>1621</v>
      </c>
      <c r="HO755" s="5" t="s">
        <v>312</v>
      </c>
    </row>
    <row r="756" spans="1:240" x14ac:dyDescent="0.4">
      <c r="A756" s="5">
        <v>2431</v>
      </c>
      <c r="B756" s="5">
        <v>1</v>
      </c>
      <c r="C756" s="5">
        <v>1</v>
      </c>
      <c r="D756" s="5" t="s">
        <v>297</v>
      </c>
      <c r="E756" s="5" t="s">
        <v>245</v>
      </c>
      <c r="F756" s="5" t="s">
        <v>254</v>
      </c>
      <c r="G756" s="5" t="s">
        <v>240</v>
      </c>
      <c r="H756" s="6" t="s">
        <v>792</v>
      </c>
      <c r="I756" s="5" t="s">
        <v>295</v>
      </c>
      <c r="J756" s="8">
        <f>4.17</f>
        <v>4.17</v>
      </c>
      <c r="K756" s="5" t="s">
        <v>308</v>
      </c>
      <c r="L756" s="7">
        <f>1</f>
        <v>1</v>
      </c>
      <c r="M756" s="7">
        <f>1</f>
        <v>1</v>
      </c>
      <c r="N756" s="5" t="s">
        <v>242</v>
      </c>
      <c r="O756" s="5">
        <v>1</v>
      </c>
      <c r="P756" s="5" t="s">
        <v>294</v>
      </c>
      <c r="Q756" s="5" t="s">
        <v>266</v>
      </c>
      <c r="R756" s="5" t="s">
        <v>240</v>
      </c>
      <c r="S756" s="5" t="s">
        <v>240</v>
      </c>
      <c r="T756" s="5" t="s">
        <v>296</v>
      </c>
      <c r="U756" s="5" t="s">
        <v>244</v>
      </c>
      <c r="V756" s="5" t="s">
        <v>240</v>
      </c>
      <c r="Y756" s="5" t="s">
        <v>240</v>
      </c>
      <c r="Z756" s="6" t="s">
        <v>298</v>
      </c>
      <c r="AB756" s="6" t="s">
        <v>240</v>
      </c>
      <c r="AE756" s="6" t="s">
        <v>299</v>
      </c>
      <c r="AF756" s="5" t="s">
        <v>248</v>
      </c>
      <c r="AG756" s="5" t="s">
        <v>249</v>
      </c>
      <c r="AW756" s="5" t="s">
        <v>251</v>
      </c>
      <c r="AX756" s="5" t="s">
        <v>240</v>
      </c>
      <c r="AY756" s="5" t="s">
        <v>253</v>
      </c>
      <c r="AZ756" s="5" t="s">
        <v>240</v>
      </c>
      <c r="BA756" s="5" t="s">
        <v>255</v>
      </c>
      <c r="BB756" s="5" t="s">
        <v>240</v>
      </c>
      <c r="BD756" s="5" t="s">
        <v>240</v>
      </c>
      <c r="BF756" s="5" t="s">
        <v>301</v>
      </c>
      <c r="BG756" s="6" t="s">
        <v>299</v>
      </c>
      <c r="BH756" s="5" t="s">
        <v>302</v>
      </c>
      <c r="BI756" s="5" t="s">
        <v>303</v>
      </c>
      <c r="BJ756" s="5" t="s">
        <v>240</v>
      </c>
      <c r="BK756" s="8">
        <f>0</f>
        <v>0</v>
      </c>
      <c r="BL756" s="7">
        <f>0</f>
        <v>0</v>
      </c>
      <c r="BM756" s="5" t="s">
        <v>258</v>
      </c>
      <c r="BN756" s="5" t="s">
        <v>259</v>
      </c>
      <c r="CB756" s="5" t="s">
        <v>240</v>
      </c>
      <c r="CC756" s="5" t="s">
        <v>240</v>
      </c>
      <c r="CG756" s="5" t="s">
        <v>304</v>
      </c>
      <c r="CH756" s="5" t="s">
        <v>305</v>
      </c>
      <c r="CI756" s="5" t="s">
        <v>240</v>
      </c>
      <c r="CL756" s="6" t="s">
        <v>261</v>
      </c>
      <c r="CM756" s="5" t="s">
        <v>240</v>
      </c>
      <c r="CN756" s="5" t="s">
        <v>263</v>
      </c>
      <c r="CO756" s="5" t="s">
        <v>240</v>
      </c>
      <c r="CP756" s="5" t="s">
        <v>240</v>
      </c>
      <c r="CQ756" s="5">
        <v>0</v>
      </c>
      <c r="CR756" s="5" t="s">
        <v>306</v>
      </c>
      <c r="CS756" s="5" t="s">
        <v>307</v>
      </c>
      <c r="CT756" s="5" t="s">
        <v>307</v>
      </c>
      <c r="CU756" s="5" t="s">
        <v>260</v>
      </c>
      <c r="CX756" s="7">
        <f>1</f>
        <v>1</v>
      </c>
      <c r="CY756" s="7">
        <f>0</f>
        <v>0</v>
      </c>
      <c r="DA756" s="7">
        <f>0</f>
        <v>0</v>
      </c>
      <c r="DC756" s="5" t="s">
        <v>812</v>
      </c>
      <c r="DD756" s="5" t="s">
        <v>240</v>
      </c>
      <c r="DF756" s="5" t="s">
        <v>812</v>
      </c>
      <c r="DG756" s="7">
        <f>151</f>
        <v>151</v>
      </c>
      <c r="DI756" s="5" t="s">
        <v>240</v>
      </c>
      <c r="DJ756" s="5" t="s">
        <v>240</v>
      </c>
      <c r="DK756" s="5" t="s">
        <v>240</v>
      </c>
      <c r="DL756" s="5" t="s">
        <v>240</v>
      </c>
      <c r="DP756" s="5" t="s">
        <v>240</v>
      </c>
      <c r="DQ756" s="5" t="s">
        <v>240</v>
      </c>
      <c r="DR756" s="5" t="s">
        <v>240</v>
      </c>
      <c r="DS756" s="5" t="s">
        <v>240</v>
      </c>
      <c r="DV756" s="5" t="s">
        <v>813</v>
      </c>
      <c r="DW756" s="5" t="s">
        <v>1601</v>
      </c>
      <c r="HO756" s="5" t="s">
        <v>312</v>
      </c>
    </row>
    <row r="757" spans="1:240" x14ac:dyDescent="0.4">
      <c r="A757" s="5">
        <v>2432</v>
      </c>
      <c r="B757" s="5">
        <v>1</v>
      </c>
      <c r="C757" s="5">
        <v>1</v>
      </c>
      <c r="D757" s="5" t="s">
        <v>297</v>
      </c>
      <c r="E757" s="5" t="s">
        <v>245</v>
      </c>
      <c r="F757" s="5" t="s">
        <v>254</v>
      </c>
      <c r="G757" s="5" t="s">
        <v>240</v>
      </c>
      <c r="H757" s="6" t="s">
        <v>790</v>
      </c>
      <c r="I757" s="5" t="s">
        <v>295</v>
      </c>
      <c r="J757" s="8">
        <f>1979</f>
        <v>1979</v>
      </c>
      <c r="K757" s="5" t="s">
        <v>308</v>
      </c>
      <c r="L757" s="7">
        <f>1</f>
        <v>1</v>
      </c>
      <c r="M757" s="7">
        <f>1</f>
        <v>1</v>
      </c>
      <c r="N757" s="5" t="s">
        <v>242</v>
      </c>
      <c r="O757" s="5">
        <v>1</v>
      </c>
      <c r="P757" s="5" t="s">
        <v>294</v>
      </c>
      <c r="Q757" s="5" t="s">
        <v>266</v>
      </c>
      <c r="R757" s="5" t="s">
        <v>240</v>
      </c>
      <c r="S757" s="5" t="s">
        <v>240</v>
      </c>
      <c r="T757" s="5" t="s">
        <v>296</v>
      </c>
      <c r="U757" s="5" t="s">
        <v>244</v>
      </c>
      <c r="V757" s="5" t="s">
        <v>240</v>
      </c>
      <c r="Y757" s="5" t="s">
        <v>240</v>
      </c>
      <c r="Z757" s="6" t="s">
        <v>298</v>
      </c>
      <c r="AB757" s="6" t="s">
        <v>240</v>
      </c>
      <c r="AE757" s="6" t="s">
        <v>299</v>
      </c>
      <c r="AF757" s="5" t="s">
        <v>248</v>
      </c>
      <c r="AG757" s="5" t="s">
        <v>249</v>
      </c>
      <c r="AW757" s="5" t="s">
        <v>251</v>
      </c>
      <c r="AX757" s="5" t="s">
        <v>240</v>
      </c>
      <c r="AY757" s="5" t="s">
        <v>253</v>
      </c>
      <c r="AZ757" s="5" t="s">
        <v>240</v>
      </c>
      <c r="BA757" s="5" t="s">
        <v>255</v>
      </c>
      <c r="BB757" s="5" t="s">
        <v>240</v>
      </c>
      <c r="BD757" s="5" t="s">
        <v>240</v>
      </c>
      <c r="BF757" s="5" t="s">
        <v>301</v>
      </c>
      <c r="BG757" s="6" t="s">
        <v>299</v>
      </c>
      <c r="BH757" s="5" t="s">
        <v>302</v>
      </c>
      <c r="BI757" s="5" t="s">
        <v>303</v>
      </c>
      <c r="BJ757" s="5" t="s">
        <v>240</v>
      </c>
      <c r="BK757" s="8">
        <f>0</f>
        <v>0</v>
      </c>
      <c r="BL757" s="7">
        <f>0</f>
        <v>0</v>
      </c>
      <c r="BM757" s="5" t="s">
        <v>258</v>
      </c>
      <c r="BN757" s="5" t="s">
        <v>259</v>
      </c>
      <c r="CB757" s="5" t="s">
        <v>240</v>
      </c>
      <c r="CC757" s="5" t="s">
        <v>240</v>
      </c>
      <c r="CG757" s="5" t="s">
        <v>304</v>
      </c>
      <c r="CH757" s="5" t="s">
        <v>305</v>
      </c>
      <c r="CI757" s="5" t="s">
        <v>240</v>
      </c>
      <c r="CL757" s="6" t="s">
        <v>261</v>
      </c>
      <c r="CM757" s="5" t="s">
        <v>240</v>
      </c>
      <c r="CN757" s="5" t="s">
        <v>263</v>
      </c>
      <c r="CO757" s="5" t="s">
        <v>240</v>
      </c>
      <c r="CP757" s="5" t="s">
        <v>240</v>
      </c>
      <c r="CQ757" s="5">
        <v>0</v>
      </c>
      <c r="CR757" s="5" t="s">
        <v>306</v>
      </c>
      <c r="CS757" s="5" t="s">
        <v>307</v>
      </c>
      <c r="CT757" s="5" t="s">
        <v>307</v>
      </c>
      <c r="CU757" s="5" t="s">
        <v>260</v>
      </c>
      <c r="CX757" s="7">
        <f>1</f>
        <v>1</v>
      </c>
      <c r="CY757" s="7">
        <f>0</f>
        <v>0</v>
      </c>
      <c r="DA757" s="7">
        <f>0</f>
        <v>0</v>
      </c>
      <c r="DC757" s="5" t="s">
        <v>812</v>
      </c>
      <c r="DD757" s="5" t="s">
        <v>240</v>
      </c>
      <c r="DF757" s="5" t="s">
        <v>812</v>
      </c>
      <c r="DG757" s="7">
        <f>782</f>
        <v>782</v>
      </c>
      <c r="DI757" s="5" t="s">
        <v>240</v>
      </c>
      <c r="DJ757" s="5" t="s">
        <v>240</v>
      </c>
      <c r="DK757" s="5" t="s">
        <v>240</v>
      </c>
      <c r="DL757" s="5" t="s">
        <v>240</v>
      </c>
      <c r="DP757" s="5" t="s">
        <v>240</v>
      </c>
      <c r="DQ757" s="5" t="s">
        <v>240</v>
      </c>
      <c r="DR757" s="5" t="s">
        <v>240</v>
      </c>
      <c r="DS757" s="5" t="s">
        <v>240</v>
      </c>
      <c r="DV757" s="5" t="s">
        <v>813</v>
      </c>
      <c r="DW757" s="5" t="s">
        <v>1612</v>
      </c>
      <c r="HO757" s="5" t="s">
        <v>312</v>
      </c>
    </row>
    <row r="758" spans="1:240" x14ac:dyDescent="0.4">
      <c r="A758" s="5">
        <v>2433</v>
      </c>
      <c r="B758" s="5">
        <v>1</v>
      </c>
      <c r="C758" s="5">
        <v>1</v>
      </c>
      <c r="D758" s="5" t="s">
        <v>297</v>
      </c>
      <c r="E758" s="5" t="s">
        <v>245</v>
      </c>
      <c r="F758" s="5" t="s">
        <v>254</v>
      </c>
      <c r="G758" s="5" t="s">
        <v>240</v>
      </c>
      <c r="H758" s="6" t="s">
        <v>824</v>
      </c>
      <c r="I758" s="5" t="s">
        <v>295</v>
      </c>
      <c r="J758" s="8">
        <f>566</f>
        <v>566</v>
      </c>
      <c r="K758" s="5" t="s">
        <v>308</v>
      </c>
      <c r="L758" s="7">
        <f>1</f>
        <v>1</v>
      </c>
      <c r="M758" s="7">
        <f>1</f>
        <v>1</v>
      </c>
      <c r="N758" s="5" t="s">
        <v>242</v>
      </c>
      <c r="O758" s="5">
        <v>1</v>
      </c>
      <c r="P758" s="5" t="s">
        <v>294</v>
      </c>
      <c r="Q758" s="5" t="s">
        <v>613</v>
      </c>
      <c r="R758" s="5" t="s">
        <v>240</v>
      </c>
      <c r="S758" s="5" t="s">
        <v>240</v>
      </c>
      <c r="T758" s="5" t="s">
        <v>243</v>
      </c>
      <c r="U758" s="5" t="s">
        <v>724</v>
      </c>
      <c r="V758" s="5" t="s">
        <v>240</v>
      </c>
      <c r="W758" s="5" t="s">
        <v>240</v>
      </c>
      <c r="X758" s="5" t="s">
        <v>240</v>
      </c>
      <c r="Y758" s="5" t="s">
        <v>240</v>
      </c>
      <c r="Z758" s="6" t="s">
        <v>298</v>
      </c>
      <c r="AA758" s="6" t="s">
        <v>240</v>
      </c>
      <c r="AB758" s="6" t="s">
        <v>240</v>
      </c>
      <c r="AC758" s="5" t="s">
        <v>240</v>
      </c>
      <c r="AD758" s="6" t="s">
        <v>240</v>
      </c>
      <c r="AE758" s="6" t="s">
        <v>299</v>
      </c>
      <c r="AF758" s="5" t="s">
        <v>727</v>
      </c>
      <c r="AG758" s="5" t="s">
        <v>260</v>
      </c>
      <c r="AH758" s="5" t="s">
        <v>240</v>
      </c>
      <c r="AI758" s="5" t="s">
        <v>240</v>
      </c>
      <c r="AJ758" s="5" t="s">
        <v>240</v>
      </c>
      <c r="AK758" s="5" t="s">
        <v>240</v>
      </c>
      <c r="AL758" s="5" t="s">
        <v>240</v>
      </c>
      <c r="AM758" s="5" t="s">
        <v>240</v>
      </c>
      <c r="AN758" s="5" t="s">
        <v>240</v>
      </c>
      <c r="AO758" s="5" t="s">
        <v>240</v>
      </c>
      <c r="AP758" s="6" t="s">
        <v>240</v>
      </c>
      <c r="AQ758" s="6" t="s">
        <v>240</v>
      </c>
      <c r="AR758" s="6" t="s">
        <v>240</v>
      </c>
      <c r="AS758" s="6" t="s">
        <v>240</v>
      </c>
      <c r="AT758" s="5" t="s">
        <v>240</v>
      </c>
      <c r="AU758" s="5" t="s">
        <v>729</v>
      </c>
      <c r="AV758" s="5" t="s">
        <v>729</v>
      </c>
      <c r="AW758" s="5" t="s">
        <v>251</v>
      </c>
      <c r="AX758" s="5" t="s">
        <v>252</v>
      </c>
      <c r="AY758" s="5" t="s">
        <v>253</v>
      </c>
      <c r="AZ758" s="5" t="s">
        <v>240</v>
      </c>
      <c r="BA758" s="5" t="s">
        <v>255</v>
      </c>
      <c r="BB758" s="5" t="s">
        <v>731</v>
      </c>
      <c r="BD758" s="5" t="s">
        <v>240</v>
      </c>
      <c r="BF758" s="5" t="s">
        <v>732</v>
      </c>
      <c r="BG758" s="6" t="s">
        <v>733</v>
      </c>
      <c r="BH758" s="5" t="s">
        <v>734</v>
      </c>
      <c r="BI758" s="5" t="s">
        <v>734</v>
      </c>
      <c r="BJ758" s="5" t="s">
        <v>240</v>
      </c>
      <c r="BK758" s="8">
        <f>495.86</f>
        <v>495.86</v>
      </c>
      <c r="BL758" s="7">
        <f>0</f>
        <v>0</v>
      </c>
      <c r="BM758" s="5" t="s">
        <v>258</v>
      </c>
      <c r="BN758" s="5" t="s">
        <v>259</v>
      </c>
      <c r="BO758" s="5" t="s">
        <v>240</v>
      </c>
      <c r="BP758" s="5" t="s">
        <v>240</v>
      </c>
      <c r="BQ758" s="5" t="s">
        <v>240</v>
      </c>
      <c r="BR758" s="5" t="s">
        <v>240</v>
      </c>
      <c r="BS758" s="5" t="s">
        <v>240</v>
      </c>
      <c r="BT758" s="5" t="s">
        <v>240</v>
      </c>
      <c r="BU758" s="5" t="s">
        <v>240</v>
      </c>
      <c r="BV758" s="5" t="s">
        <v>240</v>
      </c>
      <c r="BW758" s="6" t="s">
        <v>240</v>
      </c>
      <c r="BX758" s="5" t="s">
        <v>240</v>
      </c>
      <c r="BY758" s="5" t="s">
        <v>240</v>
      </c>
      <c r="BZ758" s="5" t="s">
        <v>240</v>
      </c>
      <c r="CA758" s="5" t="s">
        <v>259</v>
      </c>
      <c r="CB758" s="5" t="s">
        <v>240</v>
      </c>
      <c r="CC758" s="5" t="s">
        <v>240</v>
      </c>
      <c r="CD758" s="5" t="s">
        <v>240</v>
      </c>
      <c r="CE758" s="5" t="s">
        <v>240</v>
      </c>
      <c r="CF758" s="5" t="s">
        <v>240</v>
      </c>
      <c r="CG758" s="5" t="s">
        <v>617</v>
      </c>
      <c r="CH758" s="5" t="s">
        <v>305</v>
      </c>
      <c r="CI758" s="5" t="s">
        <v>240</v>
      </c>
      <c r="CL758" s="6" t="s">
        <v>261</v>
      </c>
      <c r="CM758" s="5" t="s">
        <v>262</v>
      </c>
      <c r="CN758" s="5" t="s">
        <v>263</v>
      </c>
      <c r="CO758" s="5" t="s">
        <v>264</v>
      </c>
      <c r="CP758" s="5" t="s">
        <v>240</v>
      </c>
      <c r="CQ758" s="5">
        <v>0</v>
      </c>
      <c r="CR758" s="5" t="s">
        <v>735</v>
      </c>
      <c r="CS758" s="5" t="s">
        <v>307</v>
      </c>
      <c r="CT758" s="5" t="s">
        <v>307</v>
      </c>
      <c r="CU758" s="5" t="s">
        <v>260</v>
      </c>
      <c r="CV758" s="5" t="s">
        <v>240</v>
      </c>
      <c r="CW758" s="8">
        <f>0</f>
        <v>0</v>
      </c>
      <c r="CX758" s="7">
        <f>0</f>
        <v>0</v>
      </c>
      <c r="CY758" s="7">
        <f>0</f>
        <v>0</v>
      </c>
      <c r="DA758" s="7">
        <f>5454</f>
        <v>5454</v>
      </c>
      <c r="DB758" s="7" t="s">
        <v>240</v>
      </c>
      <c r="DC758" s="5" t="s">
        <v>240</v>
      </c>
      <c r="DD758" s="5" t="s">
        <v>240</v>
      </c>
      <c r="DE758" s="5" t="s">
        <v>240</v>
      </c>
      <c r="DF758" s="5" t="s">
        <v>450</v>
      </c>
      <c r="DG758" s="7">
        <f>0</f>
        <v>0</v>
      </c>
      <c r="DI758" s="5" t="s">
        <v>737</v>
      </c>
      <c r="DJ758" s="5" t="s">
        <v>240</v>
      </c>
      <c r="DK758" s="5" t="s">
        <v>240</v>
      </c>
      <c r="DL758" s="5" t="s">
        <v>240</v>
      </c>
      <c r="DM758" s="5" t="s">
        <v>240</v>
      </c>
      <c r="DN758" s="5" t="s">
        <v>240</v>
      </c>
      <c r="DO758" s="7" t="s">
        <v>240</v>
      </c>
      <c r="DP758" s="5" t="s">
        <v>240</v>
      </c>
      <c r="DQ758" s="5" t="s">
        <v>240</v>
      </c>
      <c r="DR758" s="5" t="s">
        <v>731</v>
      </c>
      <c r="DS758" s="5" t="s">
        <v>731</v>
      </c>
      <c r="DT758" s="5" t="s">
        <v>240</v>
      </c>
      <c r="DU758" s="5" t="s">
        <v>240</v>
      </c>
      <c r="DV758" s="5" t="s">
        <v>738</v>
      </c>
      <c r="DW758" s="5" t="s">
        <v>552</v>
      </c>
      <c r="DX758" s="5" t="s">
        <v>240</v>
      </c>
      <c r="DY758" s="5" t="s">
        <v>240</v>
      </c>
      <c r="DZ758" s="5" t="s">
        <v>240</v>
      </c>
      <c r="EA758" s="5" t="s">
        <v>240</v>
      </c>
      <c r="EB758" s="5" t="s">
        <v>240</v>
      </c>
      <c r="EC758" s="5" t="s">
        <v>240</v>
      </c>
      <c r="ED758" s="5" t="s">
        <v>240</v>
      </c>
      <c r="EE758" s="5" t="s">
        <v>240</v>
      </c>
      <c r="EF758" s="5" t="s">
        <v>240</v>
      </c>
      <c r="EG758" s="5" t="s">
        <v>240</v>
      </c>
      <c r="EH758" s="5" t="s">
        <v>240</v>
      </c>
      <c r="EI758" s="5" t="s">
        <v>240</v>
      </c>
      <c r="EJ758" s="5" t="s">
        <v>240</v>
      </c>
      <c r="EK758" s="5" t="s">
        <v>240</v>
      </c>
      <c r="EL758" s="5" t="s">
        <v>240</v>
      </c>
      <c r="EM758" s="5" t="s">
        <v>240</v>
      </c>
      <c r="EN758" s="5" t="s">
        <v>240</v>
      </c>
      <c r="EO758" s="5" t="s">
        <v>240</v>
      </c>
      <c r="EP758" s="5" t="s">
        <v>240</v>
      </c>
      <c r="EQ758" s="5" t="s">
        <v>240</v>
      </c>
      <c r="ER758" s="5" t="s">
        <v>240</v>
      </c>
      <c r="ES758" s="5" t="s">
        <v>240</v>
      </c>
      <c r="ET758" s="5" t="s">
        <v>240</v>
      </c>
      <c r="EU758" s="5" t="s">
        <v>240</v>
      </c>
      <c r="EV758" s="5" t="s">
        <v>240</v>
      </c>
      <c r="EW758" s="5" t="s">
        <v>240</v>
      </c>
      <c r="EX758" s="5" t="s">
        <v>240</v>
      </c>
      <c r="EY758" s="5" t="s">
        <v>240</v>
      </c>
      <c r="EZ758" s="5" t="s">
        <v>240</v>
      </c>
      <c r="FA758" s="5" t="s">
        <v>240</v>
      </c>
      <c r="FB758" s="5" t="s">
        <v>240</v>
      </c>
      <c r="FC758" s="5" t="s">
        <v>240</v>
      </c>
      <c r="FD758" s="5" t="s">
        <v>240</v>
      </c>
      <c r="FE758" s="5" t="s">
        <v>240</v>
      </c>
      <c r="FF758" s="5" t="s">
        <v>240</v>
      </c>
      <c r="FG758" s="5" t="s">
        <v>240</v>
      </c>
      <c r="FH758" s="5" t="s">
        <v>240</v>
      </c>
      <c r="FI758" s="5" t="s">
        <v>240</v>
      </c>
      <c r="FJ758" s="5" t="s">
        <v>240</v>
      </c>
      <c r="FK758" s="5" t="s">
        <v>240</v>
      </c>
      <c r="FL758" s="5" t="s">
        <v>240</v>
      </c>
      <c r="FM758" s="5" t="s">
        <v>240</v>
      </c>
      <c r="FN758" s="5" t="s">
        <v>240</v>
      </c>
      <c r="FO758" s="5" t="s">
        <v>240</v>
      </c>
      <c r="FP758" s="5" t="s">
        <v>240</v>
      </c>
      <c r="FQ758" s="5" t="s">
        <v>240</v>
      </c>
      <c r="FR758" s="5" t="s">
        <v>240</v>
      </c>
      <c r="FS758" s="5" t="s">
        <v>240</v>
      </c>
      <c r="FT758" s="5" t="s">
        <v>240</v>
      </c>
      <c r="FU758" s="5" t="s">
        <v>240</v>
      </c>
      <c r="FV758" s="5" t="s">
        <v>240</v>
      </c>
      <c r="FW758" s="5" t="s">
        <v>240</v>
      </c>
      <c r="FX758" s="5" t="s">
        <v>240</v>
      </c>
      <c r="FY758" s="5" t="s">
        <v>240</v>
      </c>
      <c r="FZ758" s="5" t="s">
        <v>240</v>
      </c>
      <c r="GA758" s="5" t="s">
        <v>240</v>
      </c>
      <c r="GB758" s="5" t="s">
        <v>240</v>
      </c>
      <c r="GC758" s="5" t="s">
        <v>240</v>
      </c>
      <c r="GD758" s="5" t="s">
        <v>240</v>
      </c>
      <c r="GE758" s="5" t="s">
        <v>240</v>
      </c>
      <c r="GF758" s="5" t="s">
        <v>240</v>
      </c>
      <c r="GG758" s="5" t="s">
        <v>240</v>
      </c>
      <c r="GH758" s="5" t="s">
        <v>240</v>
      </c>
      <c r="GI758" s="5" t="s">
        <v>240</v>
      </c>
      <c r="GJ758" s="5" t="s">
        <v>240</v>
      </c>
      <c r="GK758" s="5" t="s">
        <v>240</v>
      </c>
      <c r="GL758" s="5" t="s">
        <v>240</v>
      </c>
      <c r="GM758" s="5" t="s">
        <v>240</v>
      </c>
      <c r="GN758" s="5" t="s">
        <v>240</v>
      </c>
      <c r="GO758" s="5" t="s">
        <v>240</v>
      </c>
      <c r="GP758" s="5" t="s">
        <v>240</v>
      </c>
      <c r="GQ758" s="5" t="s">
        <v>240</v>
      </c>
      <c r="GR758" s="5" t="s">
        <v>240</v>
      </c>
      <c r="GS758" s="5" t="s">
        <v>240</v>
      </c>
      <c r="GT758" s="5" t="s">
        <v>240</v>
      </c>
      <c r="GU758" s="5" t="s">
        <v>240</v>
      </c>
      <c r="GV758" s="5" t="s">
        <v>240</v>
      </c>
      <c r="GW758" s="5" t="s">
        <v>240</v>
      </c>
      <c r="GX758" s="5" t="s">
        <v>240</v>
      </c>
      <c r="GY758" s="5" t="s">
        <v>240</v>
      </c>
      <c r="GZ758" s="5" t="s">
        <v>240</v>
      </c>
      <c r="HA758" s="5" t="s">
        <v>240</v>
      </c>
      <c r="HB758" s="5" t="s">
        <v>240</v>
      </c>
      <c r="HC758" s="5" t="s">
        <v>240</v>
      </c>
      <c r="HD758" s="5" t="s">
        <v>240</v>
      </c>
      <c r="HE758" s="5" t="s">
        <v>240</v>
      </c>
      <c r="HF758" s="5" t="s">
        <v>240</v>
      </c>
      <c r="HG758" s="5" t="s">
        <v>240</v>
      </c>
      <c r="HH758" s="5" t="s">
        <v>240</v>
      </c>
      <c r="HI758" s="5" t="s">
        <v>240</v>
      </c>
      <c r="HJ758" s="5" t="s">
        <v>240</v>
      </c>
      <c r="HK758" s="5" t="s">
        <v>240</v>
      </c>
      <c r="HL758" s="5" t="s">
        <v>240</v>
      </c>
      <c r="HM758" s="5" t="s">
        <v>240</v>
      </c>
      <c r="HN758" s="5" t="s">
        <v>240</v>
      </c>
      <c r="HO758" s="5" t="s">
        <v>620</v>
      </c>
      <c r="HP758" s="5" t="s">
        <v>240</v>
      </c>
      <c r="HQ758" s="5" t="s">
        <v>240</v>
      </c>
      <c r="HR758" s="5" t="s">
        <v>240</v>
      </c>
      <c r="HS758" s="5" t="s">
        <v>240</v>
      </c>
      <c r="HT758" s="5" t="s">
        <v>240</v>
      </c>
      <c r="HU758" s="5" t="s">
        <v>240</v>
      </c>
      <c r="HV758" s="5" t="s">
        <v>240</v>
      </c>
      <c r="HW758" s="5" t="s">
        <v>240</v>
      </c>
      <c r="HX758" s="5" t="s">
        <v>240</v>
      </c>
      <c r="HY758" s="5" t="s">
        <v>240</v>
      </c>
      <c r="HZ758" s="5" t="s">
        <v>240</v>
      </c>
      <c r="IA758" s="5" t="s">
        <v>240</v>
      </c>
      <c r="IB758" s="5" t="s">
        <v>240</v>
      </c>
      <c r="IC758" s="5" t="s">
        <v>240</v>
      </c>
      <c r="ID758" s="5" t="s">
        <v>240</v>
      </c>
      <c r="IE758" s="5" t="s">
        <v>240</v>
      </c>
      <c r="IF758" s="5" t="s">
        <v>240</v>
      </c>
    </row>
    <row r="759" spans="1:240" x14ac:dyDescent="0.4">
      <c r="A759" s="5">
        <v>2434</v>
      </c>
      <c r="B759" s="5">
        <v>1</v>
      </c>
      <c r="C759" s="5">
        <v>1</v>
      </c>
      <c r="D759" s="5" t="s">
        <v>297</v>
      </c>
      <c r="E759" s="5" t="s">
        <v>245</v>
      </c>
      <c r="F759" s="5" t="s">
        <v>254</v>
      </c>
      <c r="G759" s="5" t="s">
        <v>240</v>
      </c>
      <c r="H759" s="6" t="s">
        <v>788</v>
      </c>
      <c r="I759" s="5" t="s">
        <v>295</v>
      </c>
      <c r="J759" s="8">
        <f>4077</f>
        <v>4077</v>
      </c>
      <c r="K759" s="5" t="s">
        <v>308</v>
      </c>
      <c r="L759" s="7">
        <f>1</f>
        <v>1</v>
      </c>
      <c r="M759" s="7">
        <f>1</f>
        <v>1</v>
      </c>
      <c r="N759" s="5" t="s">
        <v>242</v>
      </c>
      <c r="O759" s="5">
        <v>1</v>
      </c>
      <c r="P759" s="5" t="s">
        <v>294</v>
      </c>
      <c r="Q759" s="5" t="s">
        <v>613</v>
      </c>
      <c r="R759" s="5" t="s">
        <v>240</v>
      </c>
      <c r="S759" s="5" t="s">
        <v>240</v>
      </c>
      <c r="T759" s="5" t="s">
        <v>243</v>
      </c>
      <c r="U759" s="5" t="s">
        <v>244</v>
      </c>
      <c r="V759" s="5" t="s">
        <v>240</v>
      </c>
      <c r="Y759" s="5" t="s">
        <v>240</v>
      </c>
      <c r="Z759" s="6" t="s">
        <v>298</v>
      </c>
      <c r="AB759" s="6" t="s">
        <v>240</v>
      </c>
      <c r="AE759" s="6" t="s">
        <v>299</v>
      </c>
      <c r="AF759" s="5" t="s">
        <v>248</v>
      </c>
      <c r="AG759" s="5" t="s">
        <v>249</v>
      </c>
      <c r="AW759" s="5" t="s">
        <v>251</v>
      </c>
      <c r="AX759" s="5" t="s">
        <v>240</v>
      </c>
      <c r="AY759" s="5" t="s">
        <v>253</v>
      </c>
      <c r="AZ759" s="5" t="s">
        <v>240</v>
      </c>
      <c r="BA759" s="5" t="s">
        <v>255</v>
      </c>
      <c r="BB759" s="5" t="s">
        <v>240</v>
      </c>
      <c r="BD759" s="5" t="s">
        <v>240</v>
      </c>
      <c r="BF759" s="5" t="s">
        <v>301</v>
      </c>
      <c r="BG759" s="6" t="s">
        <v>299</v>
      </c>
      <c r="BH759" s="5" t="s">
        <v>302</v>
      </c>
      <c r="BI759" s="5" t="s">
        <v>303</v>
      </c>
      <c r="BJ759" s="5" t="s">
        <v>240</v>
      </c>
      <c r="BK759" s="8">
        <f>0</f>
        <v>0</v>
      </c>
      <c r="BL759" s="7">
        <f>0</f>
        <v>0</v>
      </c>
      <c r="BM759" s="5" t="s">
        <v>258</v>
      </c>
      <c r="BN759" s="5" t="s">
        <v>259</v>
      </c>
      <c r="CB759" s="5" t="s">
        <v>240</v>
      </c>
      <c r="CC759" s="5" t="s">
        <v>240</v>
      </c>
      <c r="CG759" s="5" t="s">
        <v>617</v>
      </c>
      <c r="CH759" s="5" t="s">
        <v>305</v>
      </c>
      <c r="CI759" s="5" t="s">
        <v>240</v>
      </c>
      <c r="CL759" s="6" t="s">
        <v>261</v>
      </c>
      <c r="CM759" s="5" t="s">
        <v>240</v>
      </c>
      <c r="CN759" s="5" t="s">
        <v>263</v>
      </c>
      <c r="CO759" s="5" t="s">
        <v>240</v>
      </c>
      <c r="CP759" s="5" t="s">
        <v>240</v>
      </c>
      <c r="CQ759" s="5">
        <v>0</v>
      </c>
      <c r="CR759" s="5" t="s">
        <v>306</v>
      </c>
      <c r="CS759" s="5" t="s">
        <v>307</v>
      </c>
      <c r="CT759" s="5" t="s">
        <v>307</v>
      </c>
      <c r="CU759" s="5" t="s">
        <v>260</v>
      </c>
      <c r="CX759" s="7">
        <f>1127841</f>
        <v>1127841</v>
      </c>
      <c r="CY759" s="7">
        <f>0</f>
        <v>0</v>
      </c>
      <c r="DA759" s="7">
        <f>0</f>
        <v>0</v>
      </c>
      <c r="DC759" s="5" t="s">
        <v>843</v>
      </c>
      <c r="DD759" s="5" t="s">
        <v>240</v>
      </c>
      <c r="DF759" s="5" t="s">
        <v>843</v>
      </c>
      <c r="DG759" s="7">
        <f>93.21</f>
        <v>93.21</v>
      </c>
      <c r="DI759" s="5" t="s">
        <v>843</v>
      </c>
      <c r="DJ759" s="5" t="s">
        <v>240</v>
      </c>
      <c r="DK759" s="5" t="s">
        <v>240</v>
      </c>
      <c r="DL759" s="5" t="s">
        <v>240</v>
      </c>
      <c r="DP759" s="5" t="s">
        <v>240</v>
      </c>
      <c r="DQ759" s="5" t="s">
        <v>240</v>
      </c>
      <c r="DR759" s="5" t="s">
        <v>240</v>
      </c>
      <c r="DS759" s="5" t="s">
        <v>240</v>
      </c>
      <c r="DV759" s="5" t="s">
        <v>1628</v>
      </c>
      <c r="DW759" s="5" t="s">
        <v>621</v>
      </c>
      <c r="HO759" s="5" t="s">
        <v>312</v>
      </c>
    </row>
    <row r="760" spans="1:240" x14ac:dyDescent="0.4">
      <c r="A760" s="5">
        <v>2435</v>
      </c>
      <c r="B760" s="5">
        <v>1</v>
      </c>
      <c r="C760" s="5">
        <v>1</v>
      </c>
      <c r="D760" s="5" t="s">
        <v>297</v>
      </c>
      <c r="E760" s="5" t="s">
        <v>245</v>
      </c>
      <c r="F760" s="5" t="s">
        <v>254</v>
      </c>
      <c r="G760" s="5" t="s">
        <v>240</v>
      </c>
      <c r="H760" s="6" t="s">
        <v>786</v>
      </c>
      <c r="I760" s="5" t="s">
        <v>295</v>
      </c>
      <c r="J760" s="8">
        <f>5549</f>
        <v>5549</v>
      </c>
      <c r="K760" s="5" t="s">
        <v>308</v>
      </c>
      <c r="L760" s="7">
        <f>1</f>
        <v>1</v>
      </c>
      <c r="M760" s="7">
        <f>1</f>
        <v>1</v>
      </c>
      <c r="N760" s="5" t="s">
        <v>242</v>
      </c>
      <c r="O760" s="5">
        <v>1</v>
      </c>
      <c r="P760" s="5" t="s">
        <v>294</v>
      </c>
      <c r="Q760" s="5" t="s">
        <v>613</v>
      </c>
      <c r="R760" s="5" t="s">
        <v>240</v>
      </c>
      <c r="S760" s="5" t="s">
        <v>240</v>
      </c>
      <c r="T760" s="5" t="s">
        <v>243</v>
      </c>
      <c r="U760" s="5" t="s">
        <v>244</v>
      </c>
      <c r="V760" s="5" t="s">
        <v>240</v>
      </c>
      <c r="Y760" s="5" t="s">
        <v>240</v>
      </c>
      <c r="Z760" s="6" t="s">
        <v>298</v>
      </c>
      <c r="AB760" s="6" t="s">
        <v>240</v>
      </c>
      <c r="AE760" s="6" t="s">
        <v>299</v>
      </c>
      <c r="AF760" s="5" t="s">
        <v>248</v>
      </c>
      <c r="AG760" s="5" t="s">
        <v>249</v>
      </c>
      <c r="AW760" s="5" t="s">
        <v>251</v>
      </c>
      <c r="AX760" s="5" t="s">
        <v>240</v>
      </c>
      <c r="AY760" s="5" t="s">
        <v>253</v>
      </c>
      <c r="AZ760" s="5" t="s">
        <v>240</v>
      </c>
      <c r="BA760" s="5" t="s">
        <v>255</v>
      </c>
      <c r="BB760" s="5" t="s">
        <v>240</v>
      </c>
      <c r="BD760" s="5" t="s">
        <v>686</v>
      </c>
      <c r="BF760" s="5" t="s">
        <v>301</v>
      </c>
      <c r="BG760" s="6" t="s">
        <v>299</v>
      </c>
      <c r="BH760" s="5" t="s">
        <v>302</v>
      </c>
      <c r="BI760" s="5" t="s">
        <v>303</v>
      </c>
      <c r="BJ760" s="5" t="s">
        <v>240</v>
      </c>
      <c r="BK760" s="8">
        <f>0</f>
        <v>0</v>
      </c>
      <c r="BL760" s="7">
        <f>0</f>
        <v>0</v>
      </c>
      <c r="BM760" s="5" t="s">
        <v>258</v>
      </c>
      <c r="BN760" s="5" t="s">
        <v>259</v>
      </c>
      <c r="CB760" s="5" t="s">
        <v>240</v>
      </c>
      <c r="CC760" s="5" t="s">
        <v>240</v>
      </c>
      <c r="CG760" s="5" t="s">
        <v>617</v>
      </c>
      <c r="CH760" s="5" t="s">
        <v>305</v>
      </c>
      <c r="CI760" s="5" t="s">
        <v>240</v>
      </c>
      <c r="CL760" s="6" t="s">
        <v>261</v>
      </c>
      <c r="CM760" s="5" t="s">
        <v>240</v>
      </c>
      <c r="CN760" s="5" t="s">
        <v>263</v>
      </c>
      <c r="CO760" s="5" t="s">
        <v>240</v>
      </c>
      <c r="CP760" s="5" t="s">
        <v>240</v>
      </c>
      <c r="CQ760" s="5">
        <v>0</v>
      </c>
      <c r="CR760" s="5" t="s">
        <v>306</v>
      </c>
      <c r="CS760" s="5" t="s">
        <v>307</v>
      </c>
      <c r="CT760" s="5" t="s">
        <v>307</v>
      </c>
      <c r="CU760" s="5" t="s">
        <v>260</v>
      </c>
      <c r="CX760" s="7">
        <f>3379409</f>
        <v>3379409</v>
      </c>
      <c r="CY760" s="7">
        <f>0</f>
        <v>0</v>
      </c>
      <c r="DA760" s="7">
        <f>0</f>
        <v>0</v>
      </c>
      <c r="DC760" s="5" t="s">
        <v>843</v>
      </c>
      <c r="DD760" s="5" t="s">
        <v>240</v>
      </c>
      <c r="DF760" s="5" t="s">
        <v>843</v>
      </c>
      <c r="DG760" s="7">
        <f>279.29</f>
        <v>279.29000000000002</v>
      </c>
      <c r="DI760" s="5" t="s">
        <v>843</v>
      </c>
      <c r="DJ760" s="5" t="s">
        <v>240</v>
      </c>
      <c r="DK760" s="5" t="s">
        <v>240</v>
      </c>
      <c r="DL760" s="5" t="s">
        <v>240</v>
      </c>
      <c r="DP760" s="5" t="s">
        <v>240</v>
      </c>
      <c r="DQ760" s="5" t="s">
        <v>240</v>
      </c>
      <c r="DR760" s="5" t="s">
        <v>240</v>
      </c>
      <c r="DS760" s="5" t="s">
        <v>240</v>
      </c>
      <c r="DV760" s="5" t="s">
        <v>1628</v>
      </c>
      <c r="DW760" s="5" t="s">
        <v>312</v>
      </c>
      <c r="HO760" s="5" t="s">
        <v>312</v>
      </c>
    </row>
    <row r="761" spans="1:240" x14ac:dyDescent="0.4">
      <c r="A761" s="5">
        <v>2436</v>
      </c>
      <c r="B761" s="5">
        <v>1</v>
      </c>
      <c r="C761" s="5">
        <v>1</v>
      </c>
      <c r="D761" s="5" t="s">
        <v>297</v>
      </c>
      <c r="E761" s="5" t="s">
        <v>245</v>
      </c>
      <c r="F761" s="5" t="s">
        <v>254</v>
      </c>
      <c r="G761" s="5" t="s">
        <v>240</v>
      </c>
      <c r="H761" s="6" t="s">
        <v>784</v>
      </c>
      <c r="I761" s="5" t="s">
        <v>295</v>
      </c>
      <c r="J761" s="8">
        <f>4305</f>
        <v>4305</v>
      </c>
      <c r="K761" s="5" t="s">
        <v>308</v>
      </c>
      <c r="L761" s="7">
        <f>1</f>
        <v>1</v>
      </c>
      <c r="M761" s="7">
        <f>1</f>
        <v>1</v>
      </c>
      <c r="N761" s="5" t="s">
        <v>242</v>
      </c>
      <c r="O761" s="5">
        <v>1</v>
      </c>
      <c r="P761" s="5" t="s">
        <v>294</v>
      </c>
      <c r="Q761" s="5" t="s">
        <v>613</v>
      </c>
      <c r="R761" s="5" t="s">
        <v>240</v>
      </c>
      <c r="S761" s="5" t="s">
        <v>240</v>
      </c>
      <c r="T761" s="5" t="s">
        <v>243</v>
      </c>
      <c r="U761" s="5" t="s">
        <v>244</v>
      </c>
      <c r="V761" s="5" t="s">
        <v>240</v>
      </c>
      <c r="Y761" s="5" t="s">
        <v>240</v>
      </c>
      <c r="Z761" s="6" t="s">
        <v>298</v>
      </c>
      <c r="AB761" s="6" t="s">
        <v>240</v>
      </c>
      <c r="AE761" s="6" t="s">
        <v>299</v>
      </c>
      <c r="AF761" s="5" t="s">
        <v>248</v>
      </c>
      <c r="AG761" s="5" t="s">
        <v>249</v>
      </c>
      <c r="AW761" s="5" t="s">
        <v>251</v>
      </c>
      <c r="AX761" s="5" t="s">
        <v>240</v>
      </c>
      <c r="AY761" s="5" t="s">
        <v>253</v>
      </c>
      <c r="AZ761" s="5" t="s">
        <v>240</v>
      </c>
      <c r="BA761" s="5" t="s">
        <v>255</v>
      </c>
      <c r="BB761" s="5" t="s">
        <v>240</v>
      </c>
      <c r="BD761" s="5" t="s">
        <v>240</v>
      </c>
      <c r="BF761" s="5" t="s">
        <v>301</v>
      </c>
      <c r="BG761" s="6" t="s">
        <v>299</v>
      </c>
      <c r="BH761" s="5" t="s">
        <v>302</v>
      </c>
      <c r="BI761" s="5" t="s">
        <v>303</v>
      </c>
      <c r="BJ761" s="5" t="s">
        <v>240</v>
      </c>
      <c r="BK761" s="8">
        <f>0</f>
        <v>0</v>
      </c>
      <c r="BL761" s="7">
        <f>0</f>
        <v>0</v>
      </c>
      <c r="BM761" s="5" t="s">
        <v>258</v>
      </c>
      <c r="BN761" s="5" t="s">
        <v>259</v>
      </c>
      <c r="CB761" s="5" t="s">
        <v>240</v>
      </c>
      <c r="CC761" s="5" t="s">
        <v>240</v>
      </c>
      <c r="CG761" s="5" t="s">
        <v>617</v>
      </c>
      <c r="CH761" s="5" t="s">
        <v>305</v>
      </c>
      <c r="CI761" s="5" t="s">
        <v>240</v>
      </c>
      <c r="CL761" s="6" t="s">
        <v>261</v>
      </c>
      <c r="CM761" s="5" t="s">
        <v>240</v>
      </c>
      <c r="CN761" s="5" t="s">
        <v>263</v>
      </c>
      <c r="CO761" s="5" t="s">
        <v>240</v>
      </c>
      <c r="CP761" s="5" t="s">
        <v>240</v>
      </c>
      <c r="CQ761" s="5">
        <v>0</v>
      </c>
      <c r="CR761" s="5" t="s">
        <v>306</v>
      </c>
      <c r="CS761" s="5" t="s">
        <v>307</v>
      </c>
      <c r="CT761" s="5" t="s">
        <v>307</v>
      </c>
      <c r="CU761" s="5" t="s">
        <v>260</v>
      </c>
      <c r="CX761" s="7">
        <f>3889977</f>
        <v>3889977</v>
      </c>
      <c r="CY761" s="7">
        <f>0</f>
        <v>0</v>
      </c>
      <c r="DA761" s="7">
        <f>0</f>
        <v>0</v>
      </c>
      <c r="DC761" s="5" t="s">
        <v>843</v>
      </c>
      <c r="DD761" s="5" t="s">
        <v>240</v>
      </c>
      <c r="DF761" s="5" t="s">
        <v>450</v>
      </c>
      <c r="DG761" s="7">
        <f>0</f>
        <v>0</v>
      </c>
      <c r="DI761" s="5" t="s">
        <v>843</v>
      </c>
      <c r="DJ761" s="5" t="s">
        <v>240</v>
      </c>
      <c r="DK761" s="5" t="s">
        <v>240</v>
      </c>
      <c r="DL761" s="5" t="s">
        <v>240</v>
      </c>
      <c r="DP761" s="5" t="s">
        <v>240</v>
      </c>
      <c r="DQ761" s="5" t="s">
        <v>240</v>
      </c>
      <c r="DR761" s="5" t="s">
        <v>240</v>
      </c>
      <c r="DS761" s="5" t="s">
        <v>240</v>
      </c>
      <c r="DV761" s="5" t="s">
        <v>1633</v>
      </c>
      <c r="DW761" s="5" t="s">
        <v>691</v>
      </c>
      <c r="HO761" s="5" t="s">
        <v>312</v>
      </c>
    </row>
    <row r="762" spans="1:240" x14ac:dyDescent="0.4">
      <c r="A762" s="5">
        <v>2437</v>
      </c>
      <c r="B762" s="5">
        <v>1</v>
      </c>
      <c r="C762" s="5">
        <v>1</v>
      </c>
      <c r="D762" s="5" t="s">
        <v>297</v>
      </c>
      <c r="E762" s="5" t="s">
        <v>245</v>
      </c>
      <c r="F762" s="5" t="s">
        <v>254</v>
      </c>
      <c r="G762" s="5" t="s">
        <v>240</v>
      </c>
      <c r="H762" s="6" t="s">
        <v>782</v>
      </c>
      <c r="I762" s="5" t="s">
        <v>295</v>
      </c>
      <c r="J762" s="8">
        <f>185</f>
        <v>185</v>
      </c>
      <c r="K762" s="5" t="s">
        <v>308</v>
      </c>
      <c r="L762" s="7">
        <f>1</f>
        <v>1</v>
      </c>
      <c r="M762" s="7">
        <f>1</f>
        <v>1</v>
      </c>
      <c r="N762" s="5" t="s">
        <v>242</v>
      </c>
      <c r="O762" s="5">
        <v>1</v>
      </c>
      <c r="P762" s="5" t="s">
        <v>294</v>
      </c>
      <c r="Q762" s="5" t="s">
        <v>613</v>
      </c>
      <c r="R762" s="5" t="s">
        <v>240</v>
      </c>
      <c r="S762" s="5" t="s">
        <v>240</v>
      </c>
      <c r="T762" s="5" t="s">
        <v>243</v>
      </c>
      <c r="U762" s="5" t="s">
        <v>244</v>
      </c>
      <c r="V762" s="5" t="s">
        <v>240</v>
      </c>
      <c r="Y762" s="5" t="s">
        <v>240</v>
      </c>
      <c r="Z762" s="6" t="s">
        <v>298</v>
      </c>
      <c r="AB762" s="6" t="s">
        <v>240</v>
      </c>
      <c r="AE762" s="6" t="s">
        <v>299</v>
      </c>
      <c r="AF762" s="5" t="s">
        <v>248</v>
      </c>
      <c r="AG762" s="5" t="s">
        <v>249</v>
      </c>
      <c r="AW762" s="5" t="s">
        <v>251</v>
      </c>
      <c r="AX762" s="5" t="s">
        <v>240</v>
      </c>
      <c r="AY762" s="5" t="s">
        <v>253</v>
      </c>
      <c r="AZ762" s="5" t="s">
        <v>240</v>
      </c>
      <c r="BA762" s="5" t="s">
        <v>255</v>
      </c>
      <c r="BB762" s="5" t="s">
        <v>240</v>
      </c>
      <c r="BD762" s="5" t="s">
        <v>240</v>
      </c>
      <c r="BF762" s="5" t="s">
        <v>301</v>
      </c>
      <c r="BG762" s="6" t="s">
        <v>299</v>
      </c>
      <c r="BH762" s="5" t="s">
        <v>302</v>
      </c>
      <c r="BI762" s="5" t="s">
        <v>303</v>
      </c>
      <c r="BJ762" s="5" t="s">
        <v>240</v>
      </c>
      <c r="BK762" s="8">
        <f>0</f>
        <v>0</v>
      </c>
      <c r="BL762" s="7">
        <f>0</f>
        <v>0</v>
      </c>
      <c r="BM762" s="5" t="s">
        <v>258</v>
      </c>
      <c r="BN762" s="5" t="s">
        <v>259</v>
      </c>
      <c r="CB762" s="5" t="s">
        <v>240</v>
      </c>
      <c r="CC762" s="5" t="s">
        <v>240</v>
      </c>
      <c r="CG762" s="5" t="s">
        <v>617</v>
      </c>
      <c r="CH762" s="5" t="s">
        <v>305</v>
      </c>
      <c r="CI762" s="5" t="s">
        <v>240</v>
      </c>
      <c r="CL762" s="6" t="s">
        <v>261</v>
      </c>
      <c r="CM762" s="5" t="s">
        <v>240</v>
      </c>
      <c r="CN762" s="5" t="s">
        <v>263</v>
      </c>
      <c r="CO762" s="5" t="s">
        <v>240</v>
      </c>
      <c r="CP762" s="5" t="s">
        <v>240</v>
      </c>
      <c r="CQ762" s="5">
        <v>0</v>
      </c>
      <c r="CR762" s="5" t="s">
        <v>306</v>
      </c>
      <c r="CS762" s="5" t="s">
        <v>307</v>
      </c>
      <c r="CT762" s="5" t="s">
        <v>307</v>
      </c>
      <c r="CU762" s="5" t="s">
        <v>260</v>
      </c>
      <c r="CX762" s="7">
        <f>6389383</f>
        <v>6389383</v>
      </c>
      <c r="CY762" s="7">
        <f>0</f>
        <v>0</v>
      </c>
      <c r="DA762" s="7">
        <f>0</f>
        <v>0</v>
      </c>
      <c r="DC762" s="5" t="s">
        <v>843</v>
      </c>
      <c r="DD762" s="5" t="s">
        <v>240</v>
      </c>
      <c r="DF762" s="5" t="s">
        <v>450</v>
      </c>
      <c r="DG762" s="7">
        <f>0</f>
        <v>0</v>
      </c>
      <c r="DI762" s="5" t="s">
        <v>843</v>
      </c>
      <c r="DJ762" s="5" t="s">
        <v>240</v>
      </c>
      <c r="DK762" s="5" t="s">
        <v>240</v>
      </c>
      <c r="DL762" s="5" t="s">
        <v>240</v>
      </c>
      <c r="DP762" s="5" t="s">
        <v>240</v>
      </c>
      <c r="DQ762" s="5" t="s">
        <v>240</v>
      </c>
      <c r="DR762" s="5" t="s">
        <v>240</v>
      </c>
      <c r="DS762" s="5" t="s">
        <v>240</v>
      </c>
      <c r="DV762" s="5" t="s">
        <v>1633</v>
      </c>
      <c r="DW762" s="5" t="s">
        <v>620</v>
      </c>
      <c r="HO762" s="5" t="s">
        <v>312</v>
      </c>
    </row>
    <row r="763" spans="1:240" x14ac:dyDescent="0.4">
      <c r="A763" s="5">
        <v>2438</v>
      </c>
      <c r="B763" s="5">
        <v>1</v>
      </c>
      <c r="C763" s="5">
        <v>1</v>
      </c>
      <c r="D763" s="5" t="s">
        <v>297</v>
      </c>
      <c r="E763" s="5" t="s">
        <v>245</v>
      </c>
      <c r="F763" s="5" t="s">
        <v>254</v>
      </c>
      <c r="G763" s="5" t="s">
        <v>240</v>
      </c>
      <c r="H763" s="6" t="s">
        <v>780</v>
      </c>
      <c r="I763" s="5" t="s">
        <v>295</v>
      </c>
      <c r="J763" s="8">
        <f>176</f>
        <v>176</v>
      </c>
      <c r="K763" s="5" t="s">
        <v>308</v>
      </c>
      <c r="L763" s="7">
        <f>1</f>
        <v>1</v>
      </c>
      <c r="M763" s="7">
        <f>1</f>
        <v>1</v>
      </c>
      <c r="N763" s="5" t="s">
        <v>242</v>
      </c>
      <c r="O763" s="5">
        <v>1</v>
      </c>
      <c r="P763" s="5" t="s">
        <v>294</v>
      </c>
      <c r="Q763" s="5" t="s">
        <v>613</v>
      </c>
      <c r="R763" s="5" t="s">
        <v>240</v>
      </c>
      <c r="S763" s="5" t="s">
        <v>240</v>
      </c>
      <c r="T763" s="5" t="s">
        <v>243</v>
      </c>
      <c r="U763" s="5" t="s">
        <v>244</v>
      </c>
      <c r="V763" s="5" t="s">
        <v>240</v>
      </c>
      <c r="Y763" s="5" t="s">
        <v>240</v>
      </c>
      <c r="Z763" s="6" t="s">
        <v>298</v>
      </c>
      <c r="AB763" s="6" t="s">
        <v>240</v>
      </c>
      <c r="AE763" s="6" t="s">
        <v>299</v>
      </c>
      <c r="AF763" s="5" t="s">
        <v>248</v>
      </c>
      <c r="AG763" s="5" t="s">
        <v>249</v>
      </c>
      <c r="AW763" s="5" t="s">
        <v>251</v>
      </c>
      <c r="AX763" s="5" t="s">
        <v>240</v>
      </c>
      <c r="AY763" s="5" t="s">
        <v>253</v>
      </c>
      <c r="AZ763" s="5" t="s">
        <v>240</v>
      </c>
      <c r="BA763" s="5" t="s">
        <v>255</v>
      </c>
      <c r="BB763" s="5" t="s">
        <v>240</v>
      </c>
      <c r="BD763" s="5" t="s">
        <v>240</v>
      </c>
      <c r="BF763" s="5" t="s">
        <v>301</v>
      </c>
      <c r="BG763" s="6" t="s">
        <v>299</v>
      </c>
      <c r="BH763" s="5" t="s">
        <v>302</v>
      </c>
      <c r="BI763" s="5" t="s">
        <v>303</v>
      </c>
      <c r="BJ763" s="5" t="s">
        <v>240</v>
      </c>
      <c r="BK763" s="8">
        <f>0</f>
        <v>0</v>
      </c>
      <c r="BL763" s="7">
        <f>0</f>
        <v>0</v>
      </c>
      <c r="BM763" s="5" t="s">
        <v>258</v>
      </c>
      <c r="BN763" s="5" t="s">
        <v>259</v>
      </c>
      <c r="CB763" s="5" t="s">
        <v>240</v>
      </c>
      <c r="CC763" s="5" t="s">
        <v>240</v>
      </c>
      <c r="CG763" s="5" t="s">
        <v>617</v>
      </c>
      <c r="CH763" s="5" t="s">
        <v>305</v>
      </c>
      <c r="CI763" s="5" t="s">
        <v>240</v>
      </c>
      <c r="CL763" s="6" t="s">
        <v>261</v>
      </c>
      <c r="CM763" s="5" t="s">
        <v>240</v>
      </c>
      <c r="CN763" s="5" t="s">
        <v>263</v>
      </c>
      <c r="CO763" s="5" t="s">
        <v>240</v>
      </c>
      <c r="CP763" s="5" t="s">
        <v>240</v>
      </c>
      <c r="CQ763" s="5">
        <v>0</v>
      </c>
      <c r="CR763" s="5" t="s">
        <v>306</v>
      </c>
      <c r="CS763" s="5" t="s">
        <v>307</v>
      </c>
      <c r="CT763" s="5" t="s">
        <v>307</v>
      </c>
      <c r="CU763" s="5" t="s">
        <v>260</v>
      </c>
      <c r="CX763" s="7">
        <f>10750194</f>
        <v>10750194</v>
      </c>
      <c r="CY763" s="7">
        <f>0</f>
        <v>0</v>
      </c>
      <c r="DA763" s="7">
        <f>0</f>
        <v>0</v>
      </c>
      <c r="DC763" s="5" t="s">
        <v>843</v>
      </c>
      <c r="DD763" s="5" t="s">
        <v>240</v>
      </c>
      <c r="DF763" s="5" t="s">
        <v>450</v>
      </c>
      <c r="DG763" s="7">
        <f>0</f>
        <v>0</v>
      </c>
      <c r="DH763" s="6" t="s">
        <v>1636</v>
      </c>
      <c r="DI763" s="5" t="s">
        <v>843</v>
      </c>
      <c r="DJ763" s="5" t="s">
        <v>240</v>
      </c>
      <c r="DK763" s="5" t="s">
        <v>240</v>
      </c>
      <c r="DL763" s="5" t="s">
        <v>240</v>
      </c>
      <c r="DP763" s="5" t="s">
        <v>240</v>
      </c>
      <c r="DQ763" s="5" t="s">
        <v>240</v>
      </c>
      <c r="DR763" s="5" t="s">
        <v>240</v>
      </c>
      <c r="DS763" s="5" t="s">
        <v>240</v>
      </c>
      <c r="DV763" s="5" t="s">
        <v>1633</v>
      </c>
      <c r="DW763" s="5" t="s">
        <v>621</v>
      </c>
      <c r="HO763" s="5" t="s">
        <v>312</v>
      </c>
    </row>
    <row r="764" spans="1:240" x14ac:dyDescent="0.4">
      <c r="A764" s="5">
        <v>2439</v>
      </c>
      <c r="B764" s="5">
        <v>1</v>
      </c>
      <c r="C764" s="5">
        <v>1</v>
      </c>
      <c r="D764" s="5" t="s">
        <v>297</v>
      </c>
      <c r="E764" s="5" t="s">
        <v>245</v>
      </c>
      <c r="F764" s="5" t="s">
        <v>254</v>
      </c>
      <c r="G764" s="5" t="s">
        <v>240</v>
      </c>
      <c r="H764" s="6" t="s">
        <v>778</v>
      </c>
      <c r="I764" s="5" t="s">
        <v>295</v>
      </c>
      <c r="J764" s="8">
        <f>217</f>
        <v>217</v>
      </c>
      <c r="K764" s="5" t="s">
        <v>308</v>
      </c>
      <c r="L764" s="7">
        <f>1</f>
        <v>1</v>
      </c>
      <c r="M764" s="7">
        <f>1</f>
        <v>1</v>
      </c>
      <c r="N764" s="5" t="s">
        <v>242</v>
      </c>
      <c r="O764" s="5">
        <v>1</v>
      </c>
      <c r="P764" s="5" t="s">
        <v>294</v>
      </c>
      <c r="Q764" s="5" t="s">
        <v>613</v>
      </c>
      <c r="R764" s="5" t="s">
        <v>240</v>
      </c>
      <c r="S764" s="5" t="s">
        <v>240</v>
      </c>
      <c r="T764" s="5" t="s">
        <v>243</v>
      </c>
      <c r="U764" s="5" t="s">
        <v>244</v>
      </c>
      <c r="V764" s="5" t="s">
        <v>240</v>
      </c>
      <c r="Y764" s="5" t="s">
        <v>240</v>
      </c>
      <c r="Z764" s="6" t="s">
        <v>298</v>
      </c>
      <c r="AB764" s="6" t="s">
        <v>240</v>
      </c>
      <c r="AE764" s="6" t="s">
        <v>299</v>
      </c>
      <c r="AF764" s="5" t="s">
        <v>248</v>
      </c>
      <c r="AG764" s="5" t="s">
        <v>249</v>
      </c>
      <c r="AW764" s="5" t="s">
        <v>251</v>
      </c>
      <c r="AX764" s="5" t="s">
        <v>240</v>
      </c>
      <c r="AY764" s="5" t="s">
        <v>253</v>
      </c>
      <c r="AZ764" s="5" t="s">
        <v>240</v>
      </c>
      <c r="BA764" s="5" t="s">
        <v>255</v>
      </c>
      <c r="BB764" s="5" t="s">
        <v>240</v>
      </c>
      <c r="BD764" s="5" t="s">
        <v>686</v>
      </c>
      <c r="BF764" s="5" t="s">
        <v>301</v>
      </c>
      <c r="BG764" s="6" t="s">
        <v>299</v>
      </c>
      <c r="BH764" s="5" t="s">
        <v>302</v>
      </c>
      <c r="BI764" s="5" t="s">
        <v>303</v>
      </c>
      <c r="BJ764" s="5" t="s">
        <v>240</v>
      </c>
      <c r="BK764" s="8">
        <f>0</f>
        <v>0</v>
      </c>
      <c r="BL764" s="7">
        <f>0</f>
        <v>0</v>
      </c>
      <c r="BM764" s="5" t="s">
        <v>258</v>
      </c>
      <c r="BN764" s="5" t="s">
        <v>259</v>
      </c>
      <c r="CB764" s="5" t="s">
        <v>240</v>
      </c>
      <c r="CC764" s="5" t="s">
        <v>240</v>
      </c>
      <c r="CG764" s="5" t="s">
        <v>617</v>
      </c>
      <c r="CH764" s="5" t="s">
        <v>305</v>
      </c>
      <c r="CI764" s="5" t="s">
        <v>240</v>
      </c>
      <c r="CL764" s="6" t="s">
        <v>261</v>
      </c>
      <c r="CM764" s="5" t="s">
        <v>240</v>
      </c>
      <c r="CN764" s="5" t="s">
        <v>263</v>
      </c>
      <c r="CO764" s="5" t="s">
        <v>240</v>
      </c>
      <c r="CP764" s="5" t="s">
        <v>240</v>
      </c>
      <c r="CQ764" s="5">
        <v>0</v>
      </c>
      <c r="CR764" s="5" t="s">
        <v>306</v>
      </c>
      <c r="CS764" s="5" t="s">
        <v>307</v>
      </c>
      <c r="CT764" s="5" t="s">
        <v>307</v>
      </c>
      <c r="CU764" s="5" t="s">
        <v>260</v>
      </c>
      <c r="CX764" s="7">
        <f>22216012</f>
        <v>22216012</v>
      </c>
      <c r="CY764" s="7">
        <f>0</f>
        <v>0</v>
      </c>
      <c r="DA764" s="7">
        <f>0</f>
        <v>0</v>
      </c>
      <c r="DC764" s="5" t="s">
        <v>843</v>
      </c>
      <c r="DD764" s="5" t="s">
        <v>240</v>
      </c>
      <c r="DF764" s="5" t="s">
        <v>450</v>
      </c>
      <c r="DG764" s="7">
        <f>0</f>
        <v>0</v>
      </c>
      <c r="DI764" s="5" t="s">
        <v>843</v>
      </c>
      <c r="DJ764" s="5" t="s">
        <v>240</v>
      </c>
      <c r="DK764" s="5" t="s">
        <v>240</v>
      </c>
      <c r="DL764" s="5" t="s">
        <v>240</v>
      </c>
      <c r="DP764" s="5" t="s">
        <v>240</v>
      </c>
      <c r="DQ764" s="5" t="s">
        <v>240</v>
      </c>
      <c r="DR764" s="5" t="s">
        <v>240</v>
      </c>
      <c r="DS764" s="5" t="s">
        <v>240</v>
      </c>
      <c r="DV764" s="5" t="s">
        <v>1633</v>
      </c>
      <c r="DW764" s="5" t="s">
        <v>312</v>
      </c>
      <c r="HO764" s="5" t="s">
        <v>312</v>
      </c>
    </row>
    <row r="765" spans="1:240" x14ac:dyDescent="0.4">
      <c r="A765" s="5">
        <v>2440</v>
      </c>
      <c r="B765" s="5">
        <v>1</v>
      </c>
      <c r="C765" s="5">
        <v>1</v>
      </c>
      <c r="D765" s="5" t="s">
        <v>297</v>
      </c>
      <c r="E765" s="5" t="s">
        <v>245</v>
      </c>
      <c r="F765" s="5" t="s">
        <v>254</v>
      </c>
      <c r="G765" s="5" t="s">
        <v>240</v>
      </c>
      <c r="H765" s="6" t="s">
        <v>4210</v>
      </c>
      <c r="I765" s="5" t="s">
        <v>295</v>
      </c>
      <c r="J765" s="8">
        <f>262</f>
        <v>262</v>
      </c>
      <c r="K765" s="5" t="s">
        <v>308</v>
      </c>
      <c r="L765" s="7">
        <f>1</f>
        <v>1</v>
      </c>
      <c r="M765" s="7">
        <f>1</f>
        <v>1</v>
      </c>
      <c r="N765" s="5" t="s">
        <v>242</v>
      </c>
      <c r="O765" s="5">
        <v>1</v>
      </c>
      <c r="P765" s="5" t="s">
        <v>294</v>
      </c>
      <c r="Q765" s="5" t="s">
        <v>266</v>
      </c>
      <c r="R765" s="5" t="s">
        <v>240</v>
      </c>
      <c r="S765" s="5" t="s">
        <v>240</v>
      </c>
      <c r="T765" s="5" t="s">
        <v>296</v>
      </c>
      <c r="U765" s="5" t="s">
        <v>244</v>
      </c>
      <c r="V765" s="5" t="s">
        <v>240</v>
      </c>
      <c r="Y765" s="5" t="s">
        <v>240</v>
      </c>
      <c r="Z765" s="6" t="s">
        <v>298</v>
      </c>
      <c r="AB765" s="6" t="s">
        <v>240</v>
      </c>
      <c r="AE765" s="6" t="s">
        <v>299</v>
      </c>
      <c r="AF765" s="5" t="s">
        <v>248</v>
      </c>
      <c r="AG765" s="5" t="s">
        <v>249</v>
      </c>
      <c r="AW765" s="5" t="s">
        <v>251</v>
      </c>
      <c r="AX765" s="5" t="s">
        <v>240</v>
      </c>
      <c r="AY765" s="5" t="s">
        <v>253</v>
      </c>
      <c r="AZ765" s="5" t="s">
        <v>240</v>
      </c>
      <c r="BA765" s="5" t="s">
        <v>255</v>
      </c>
      <c r="BB765" s="5" t="s">
        <v>240</v>
      </c>
      <c r="BD765" s="5" t="s">
        <v>240</v>
      </c>
      <c r="BF765" s="5" t="s">
        <v>301</v>
      </c>
      <c r="BG765" s="6" t="s">
        <v>299</v>
      </c>
      <c r="BH765" s="5" t="s">
        <v>302</v>
      </c>
      <c r="BI765" s="5" t="s">
        <v>303</v>
      </c>
      <c r="BJ765" s="5" t="s">
        <v>240</v>
      </c>
      <c r="BK765" s="8">
        <f>0</f>
        <v>0</v>
      </c>
      <c r="BL765" s="7">
        <f>0</f>
        <v>0</v>
      </c>
      <c r="BM765" s="5" t="s">
        <v>258</v>
      </c>
      <c r="BN765" s="5" t="s">
        <v>259</v>
      </c>
      <c r="CB765" s="5" t="s">
        <v>240</v>
      </c>
      <c r="CC765" s="5" t="s">
        <v>240</v>
      </c>
      <c r="CG765" s="5" t="s">
        <v>304</v>
      </c>
      <c r="CH765" s="5" t="s">
        <v>305</v>
      </c>
      <c r="CI765" s="5" t="s">
        <v>240</v>
      </c>
      <c r="CL765" s="6" t="s">
        <v>261</v>
      </c>
      <c r="CM765" s="5" t="s">
        <v>240</v>
      </c>
      <c r="CN765" s="5" t="s">
        <v>263</v>
      </c>
      <c r="CO765" s="5" t="s">
        <v>240</v>
      </c>
      <c r="CP765" s="5" t="s">
        <v>240</v>
      </c>
      <c r="CQ765" s="5">
        <v>0</v>
      </c>
      <c r="CR765" s="5" t="s">
        <v>306</v>
      </c>
      <c r="CS765" s="5" t="s">
        <v>307</v>
      </c>
      <c r="CT765" s="5" t="s">
        <v>307</v>
      </c>
      <c r="CU765" s="5" t="s">
        <v>260</v>
      </c>
      <c r="CX765" s="7">
        <f>1</f>
        <v>1</v>
      </c>
      <c r="CY765" s="7">
        <f>0</f>
        <v>0</v>
      </c>
      <c r="DA765" s="7">
        <f>0</f>
        <v>0</v>
      </c>
      <c r="DC765" s="5" t="s">
        <v>309</v>
      </c>
      <c r="DD765" s="5" t="s">
        <v>240</v>
      </c>
      <c r="DF765" s="5" t="s">
        <v>309</v>
      </c>
      <c r="DG765" s="7">
        <f>9865</f>
        <v>9865</v>
      </c>
      <c r="DI765" s="5" t="s">
        <v>240</v>
      </c>
      <c r="DJ765" s="5" t="s">
        <v>240</v>
      </c>
      <c r="DK765" s="5" t="s">
        <v>240</v>
      </c>
      <c r="DL765" s="5" t="s">
        <v>240</v>
      </c>
      <c r="DP765" s="5" t="s">
        <v>240</v>
      </c>
      <c r="DQ765" s="5" t="s">
        <v>240</v>
      </c>
      <c r="DR765" s="5" t="s">
        <v>240</v>
      </c>
      <c r="DS765" s="5" t="s">
        <v>240</v>
      </c>
      <c r="DV765" s="5" t="s">
        <v>310</v>
      </c>
      <c r="DW765" s="5" t="s">
        <v>1639</v>
      </c>
      <c r="HO765" s="5" t="s">
        <v>312</v>
      </c>
    </row>
    <row r="766" spans="1:240" x14ac:dyDescent="0.4">
      <c r="A766" s="5">
        <v>2441</v>
      </c>
      <c r="B766" s="5">
        <v>1</v>
      </c>
      <c r="C766" s="5">
        <v>1</v>
      </c>
      <c r="D766" s="5" t="s">
        <v>297</v>
      </c>
      <c r="E766" s="5" t="s">
        <v>245</v>
      </c>
      <c r="F766" s="5" t="s">
        <v>254</v>
      </c>
      <c r="G766" s="5" t="s">
        <v>240</v>
      </c>
      <c r="H766" s="6" t="s">
        <v>773</v>
      </c>
      <c r="I766" s="5" t="s">
        <v>295</v>
      </c>
      <c r="J766" s="8">
        <f>298</f>
        <v>298</v>
      </c>
      <c r="K766" s="5" t="s">
        <v>308</v>
      </c>
      <c r="L766" s="7">
        <f>1</f>
        <v>1</v>
      </c>
      <c r="M766" s="7">
        <f>1</f>
        <v>1</v>
      </c>
      <c r="N766" s="5" t="s">
        <v>242</v>
      </c>
      <c r="O766" s="5">
        <v>1</v>
      </c>
      <c r="P766" s="5" t="s">
        <v>294</v>
      </c>
      <c r="Q766" s="5" t="s">
        <v>266</v>
      </c>
      <c r="R766" s="5" t="s">
        <v>240</v>
      </c>
      <c r="S766" s="5" t="s">
        <v>240</v>
      </c>
      <c r="T766" s="5" t="s">
        <v>296</v>
      </c>
      <c r="U766" s="5" t="s">
        <v>244</v>
      </c>
      <c r="V766" s="5" t="s">
        <v>240</v>
      </c>
      <c r="Y766" s="5" t="s">
        <v>240</v>
      </c>
      <c r="Z766" s="6" t="s">
        <v>298</v>
      </c>
      <c r="AB766" s="6" t="s">
        <v>240</v>
      </c>
      <c r="AE766" s="6" t="s">
        <v>299</v>
      </c>
      <c r="AF766" s="5" t="s">
        <v>248</v>
      </c>
      <c r="AG766" s="5" t="s">
        <v>249</v>
      </c>
      <c r="AW766" s="5" t="s">
        <v>251</v>
      </c>
      <c r="AX766" s="5" t="s">
        <v>240</v>
      </c>
      <c r="AY766" s="5" t="s">
        <v>253</v>
      </c>
      <c r="AZ766" s="5" t="s">
        <v>240</v>
      </c>
      <c r="BA766" s="5" t="s">
        <v>255</v>
      </c>
      <c r="BB766" s="5" t="s">
        <v>240</v>
      </c>
      <c r="BD766" s="5" t="s">
        <v>240</v>
      </c>
      <c r="BF766" s="5" t="s">
        <v>301</v>
      </c>
      <c r="BG766" s="6" t="s">
        <v>299</v>
      </c>
      <c r="BH766" s="5" t="s">
        <v>302</v>
      </c>
      <c r="BI766" s="5" t="s">
        <v>303</v>
      </c>
      <c r="BJ766" s="5" t="s">
        <v>240</v>
      </c>
      <c r="BK766" s="8">
        <f>0</f>
        <v>0</v>
      </c>
      <c r="BL766" s="7">
        <f>0</f>
        <v>0</v>
      </c>
      <c r="BM766" s="5" t="s">
        <v>258</v>
      </c>
      <c r="BN766" s="5" t="s">
        <v>259</v>
      </c>
      <c r="CB766" s="5" t="s">
        <v>240</v>
      </c>
      <c r="CC766" s="5" t="s">
        <v>240</v>
      </c>
      <c r="CG766" s="5" t="s">
        <v>304</v>
      </c>
      <c r="CH766" s="5" t="s">
        <v>305</v>
      </c>
      <c r="CI766" s="5" t="s">
        <v>240</v>
      </c>
      <c r="CL766" s="6" t="s">
        <v>261</v>
      </c>
      <c r="CM766" s="5" t="s">
        <v>240</v>
      </c>
      <c r="CN766" s="5" t="s">
        <v>263</v>
      </c>
      <c r="CO766" s="5" t="s">
        <v>240</v>
      </c>
      <c r="CP766" s="5" t="s">
        <v>240</v>
      </c>
      <c r="CQ766" s="5">
        <v>0</v>
      </c>
      <c r="CR766" s="5" t="s">
        <v>306</v>
      </c>
      <c r="CS766" s="5" t="s">
        <v>307</v>
      </c>
      <c r="CT766" s="5" t="s">
        <v>307</v>
      </c>
      <c r="CU766" s="5" t="s">
        <v>260</v>
      </c>
      <c r="CX766" s="7">
        <f>1</f>
        <v>1</v>
      </c>
      <c r="CY766" s="7">
        <f>0</f>
        <v>0</v>
      </c>
      <c r="DA766" s="7">
        <f>0</f>
        <v>0</v>
      </c>
      <c r="DC766" s="5" t="s">
        <v>812</v>
      </c>
      <c r="DD766" s="5" t="s">
        <v>240</v>
      </c>
      <c r="DF766" s="5" t="s">
        <v>812</v>
      </c>
      <c r="DG766" s="7">
        <f>309</f>
        <v>309</v>
      </c>
      <c r="DI766" s="5" t="s">
        <v>240</v>
      </c>
      <c r="DJ766" s="5" t="s">
        <v>240</v>
      </c>
      <c r="DK766" s="5" t="s">
        <v>240</v>
      </c>
      <c r="DL766" s="5" t="s">
        <v>240</v>
      </c>
      <c r="DP766" s="5" t="s">
        <v>240</v>
      </c>
      <c r="DQ766" s="5" t="s">
        <v>240</v>
      </c>
      <c r="DR766" s="5" t="s">
        <v>240</v>
      </c>
      <c r="DS766" s="5" t="s">
        <v>240</v>
      </c>
      <c r="DV766" s="5" t="s">
        <v>813</v>
      </c>
      <c r="DW766" s="5" t="s">
        <v>1617</v>
      </c>
      <c r="HO766" s="5" t="s">
        <v>312</v>
      </c>
    </row>
    <row r="767" spans="1:240" x14ac:dyDescent="0.4">
      <c r="A767" s="5">
        <v>2442</v>
      </c>
      <c r="B767" s="5">
        <v>1</v>
      </c>
      <c r="C767" s="5">
        <v>1</v>
      </c>
      <c r="D767" s="5" t="s">
        <v>297</v>
      </c>
      <c r="E767" s="5" t="s">
        <v>245</v>
      </c>
      <c r="F767" s="5" t="s">
        <v>254</v>
      </c>
      <c r="G767" s="5" t="s">
        <v>240</v>
      </c>
      <c r="H767" s="6" t="s">
        <v>770</v>
      </c>
      <c r="I767" s="5" t="s">
        <v>295</v>
      </c>
      <c r="J767" s="8">
        <f>172</f>
        <v>172</v>
      </c>
      <c r="K767" s="5" t="s">
        <v>308</v>
      </c>
      <c r="L767" s="7">
        <f>1</f>
        <v>1</v>
      </c>
      <c r="M767" s="7">
        <f>1</f>
        <v>1</v>
      </c>
      <c r="N767" s="5" t="s">
        <v>242</v>
      </c>
      <c r="O767" s="5">
        <v>1</v>
      </c>
      <c r="P767" s="5" t="s">
        <v>294</v>
      </c>
      <c r="Q767" s="5" t="s">
        <v>266</v>
      </c>
      <c r="R767" s="5" t="s">
        <v>240</v>
      </c>
      <c r="S767" s="5" t="s">
        <v>240</v>
      </c>
      <c r="T767" s="5" t="s">
        <v>296</v>
      </c>
      <c r="U767" s="5" t="s">
        <v>244</v>
      </c>
      <c r="V767" s="5" t="s">
        <v>240</v>
      </c>
      <c r="Y767" s="5" t="s">
        <v>240</v>
      </c>
      <c r="Z767" s="6" t="s">
        <v>298</v>
      </c>
      <c r="AB767" s="6" t="s">
        <v>240</v>
      </c>
      <c r="AE767" s="6" t="s">
        <v>299</v>
      </c>
      <c r="AF767" s="5" t="s">
        <v>248</v>
      </c>
      <c r="AG767" s="5" t="s">
        <v>249</v>
      </c>
      <c r="AW767" s="5" t="s">
        <v>251</v>
      </c>
      <c r="AX767" s="5" t="s">
        <v>240</v>
      </c>
      <c r="AY767" s="5" t="s">
        <v>253</v>
      </c>
      <c r="AZ767" s="5" t="s">
        <v>240</v>
      </c>
      <c r="BA767" s="5" t="s">
        <v>255</v>
      </c>
      <c r="BB767" s="5" t="s">
        <v>240</v>
      </c>
      <c r="BD767" s="5" t="s">
        <v>240</v>
      </c>
      <c r="BF767" s="5" t="s">
        <v>301</v>
      </c>
      <c r="BG767" s="6" t="s">
        <v>299</v>
      </c>
      <c r="BH767" s="5" t="s">
        <v>302</v>
      </c>
      <c r="BI767" s="5" t="s">
        <v>303</v>
      </c>
      <c r="BJ767" s="5" t="s">
        <v>240</v>
      </c>
      <c r="BK767" s="8">
        <f>0</f>
        <v>0</v>
      </c>
      <c r="BL767" s="7">
        <f>0</f>
        <v>0</v>
      </c>
      <c r="BM767" s="5" t="s">
        <v>258</v>
      </c>
      <c r="BN767" s="5" t="s">
        <v>259</v>
      </c>
      <c r="CB767" s="5" t="s">
        <v>240</v>
      </c>
      <c r="CC767" s="5" t="s">
        <v>240</v>
      </c>
      <c r="CG767" s="5" t="s">
        <v>304</v>
      </c>
      <c r="CH767" s="5" t="s">
        <v>305</v>
      </c>
      <c r="CI767" s="5" t="s">
        <v>240</v>
      </c>
      <c r="CL767" s="6" t="s">
        <v>261</v>
      </c>
      <c r="CM767" s="5" t="s">
        <v>240</v>
      </c>
      <c r="CN767" s="5" t="s">
        <v>263</v>
      </c>
      <c r="CO767" s="5" t="s">
        <v>240</v>
      </c>
      <c r="CP767" s="5" t="s">
        <v>240</v>
      </c>
      <c r="CQ767" s="5">
        <v>0</v>
      </c>
      <c r="CR767" s="5" t="s">
        <v>306</v>
      </c>
      <c r="CS767" s="5" t="s">
        <v>307</v>
      </c>
      <c r="CT767" s="5" t="s">
        <v>307</v>
      </c>
      <c r="CU767" s="5" t="s">
        <v>260</v>
      </c>
      <c r="CX767" s="7">
        <f>1</f>
        <v>1</v>
      </c>
      <c r="CY767" s="7">
        <f>0</f>
        <v>0</v>
      </c>
      <c r="DA767" s="7">
        <f>0</f>
        <v>0</v>
      </c>
      <c r="DC767" s="5" t="s">
        <v>812</v>
      </c>
      <c r="DD767" s="5" t="s">
        <v>240</v>
      </c>
      <c r="DF767" s="5" t="s">
        <v>812</v>
      </c>
      <c r="DG767" s="7">
        <f>814</f>
        <v>814</v>
      </c>
      <c r="DI767" s="5" t="s">
        <v>240</v>
      </c>
      <c r="DJ767" s="5" t="s">
        <v>240</v>
      </c>
      <c r="DK767" s="5" t="s">
        <v>240</v>
      </c>
      <c r="DL767" s="5" t="s">
        <v>240</v>
      </c>
      <c r="DP767" s="5" t="s">
        <v>240</v>
      </c>
      <c r="DQ767" s="5" t="s">
        <v>240</v>
      </c>
      <c r="DR767" s="5" t="s">
        <v>240</v>
      </c>
      <c r="DS767" s="5" t="s">
        <v>240</v>
      </c>
      <c r="DV767" s="5" t="s">
        <v>813</v>
      </c>
      <c r="DW767" s="5" t="s">
        <v>1621</v>
      </c>
      <c r="HO767" s="5" t="s">
        <v>312</v>
      </c>
    </row>
    <row r="768" spans="1:240" x14ac:dyDescent="0.4">
      <c r="A768" s="5">
        <v>2443</v>
      </c>
      <c r="B768" s="5">
        <v>1</v>
      </c>
      <c r="C768" s="5">
        <v>1</v>
      </c>
      <c r="D768" s="5" t="s">
        <v>297</v>
      </c>
      <c r="E768" s="5" t="s">
        <v>245</v>
      </c>
      <c r="F768" s="5" t="s">
        <v>254</v>
      </c>
      <c r="G768" s="5" t="s">
        <v>240</v>
      </c>
      <c r="H768" s="6" t="s">
        <v>767</v>
      </c>
      <c r="I768" s="5" t="s">
        <v>295</v>
      </c>
      <c r="J768" s="8">
        <f>43</f>
        <v>43</v>
      </c>
      <c r="K768" s="5" t="s">
        <v>308</v>
      </c>
      <c r="L768" s="7">
        <f>1</f>
        <v>1</v>
      </c>
      <c r="M768" s="7">
        <f>1</f>
        <v>1</v>
      </c>
      <c r="N768" s="5" t="s">
        <v>242</v>
      </c>
      <c r="O768" s="5">
        <v>1</v>
      </c>
      <c r="P768" s="5" t="s">
        <v>294</v>
      </c>
      <c r="Q768" s="5" t="s">
        <v>613</v>
      </c>
      <c r="R768" s="5" t="s">
        <v>240</v>
      </c>
      <c r="S768" s="5" t="s">
        <v>240</v>
      </c>
      <c r="T768" s="5" t="s">
        <v>243</v>
      </c>
      <c r="U768" s="5" t="s">
        <v>244</v>
      </c>
      <c r="V768" s="5" t="s">
        <v>240</v>
      </c>
      <c r="Y768" s="5" t="s">
        <v>240</v>
      </c>
      <c r="Z768" s="6" t="s">
        <v>298</v>
      </c>
      <c r="AB768" s="6" t="s">
        <v>240</v>
      </c>
      <c r="AE768" s="6" t="s">
        <v>299</v>
      </c>
      <c r="AF768" s="5" t="s">
        <v>248</v>
      </c>
      <c r="AG768" s="5" t="s">
        <v>249</v>
      </c>
      <c r="AW768" s="5" t="s">
        <v>251</v>
      </c>
      <c r="AX768" s="5" t="s">
        <v>240</v>
      </c>
      <c r="AY768" s="5" t="s">
        <v>253</v>
      </c>
      <c r="AZ768" s="5" t="s">
        <v>240</v>
      </c>
      <c r="BA768" s="5" t="s">
        <v>255</v>
      </c>
      <c r="BB768" s="5" t="s">
        <v>240</v>
      </c>
      <c r="BD768" s="5" t="s">
        <v>240</v>
      </c>
      <c r="BF768" s="5" t="s">
        <v>301</v>
      </c>
      <c r="BG768" s="6" t="s">
        <v>299</v>
      </c>
      <c r="BH768" s="5" t="s">
        <v>302</v>
      </c>
      <c r="BI768" s="5" t="s">
        <v>303</v>
      </c>
      <c r="BJ768" s="5" t="s">
        <v>240</v>
      </c>
      <c r="BK768" s="8">
        <f>0</f>
        <v>0</v>
      </c>
      <c r="BL768" s="7">
        <f>0</f>
        <v>0</v>
      </c>
      <c r="BM768" s="5" t="s">
        <v>258</v>
      </c>
      <c r="BN768" s="5" t="s">
        <v>259</v>
      </c>
      <c r="CB768" s="5" t="s">
        <v>240</v>
      </c>
      <c r="CC768" s="5" t="s">
        <v>240</v>
      </c>
      <c r="CG768" s="5" t="s">
        <v>617</v>
      </c>
      <c r="CH768" s="5" t="s">
        <v>305</v>
      </c>
      <c r="CI768" s="5" t="s">
        <v>240</v>
      </c>
      <c r="CL768" s="6" t="s">
        <v>261</v>
      </c>
      <c r="CM768" s="5" t="s">
        <v>240</v>
      </c>
      <c r="CN768" s="5" t="s">
        <v>263</v>
      </c>
      <c r="CO768" s="5" t="s">
        <v>240</v>
      </c>
      <c r="CP768" s="5" t="s">
        <v>240</v>
      </c>
      <c r="CQ768" s="5">
        <v>0</v>
      </c>
      <c r="CR768" s="5" t="s">
        <v>306</v>
      </c>
      <c r="CS768" s="5" t="s">
        <v>307</v>
      </c>
      <c r="CT768" s="5" t="s">
        <v>307</v>
      </c>
      <c r="CU768" s="5" t="s">
        <v>260</v>
      </c>
      <c r="CX768" s="7">
        <f>5854245</f>
        <v>5854245</v>
      </c>
      <c r="CY768" s="7">
        <f>0</f>
        <v>0</v>
      </c>
      <c r="DA768" s="7">
        <f>0</f>
        <v>0</v>
      </c>
      <c r="DC768" s="5" t="s">
        <v>689</v>
      </c>
      <c r="DD768" s="5" t="s">
        <v>240</v>
      </c>
      <c r="DF768" s="5" t="s">
        <v>450</v>
      </c>
      <c r="DG768" s="7">
        <f>0</f>
        <v>0</v>
      </c>
      <c r="DI768" s="5" t="s">
        <v>618</v>
      </c>
      <c r="DJ768" s="5" t="s">
        <v>240</v>
      </c>
      <c r="DK768" s="5" t="s">
        <v>240</v>
      </c>
      <c r="DL768" s="5" t="s">
        <v>240</v>
      </c>
      <c r="DP768" s="5" t="s">
        <v>240</v>
      </c>
      <c r="DQ768" s="5" t="s">
        <v>240</v>
      </c>
      <c r="DR768" s="5" t="s">
        <v>240</v>
      </c>
      <c r="DS768" s="5" t="s">
        <v>240</v>
      </c>
      <c r="DV768" s="5" t="s">
        <v>1645</v>
      </c>
      <c r="DW768" s="5" t="s">
        <v>691</v>
      </c>
      <c r="HO768" s="5" t="s">
        <v>312</v>
      </c>
    </row>
    <row r="769" spans="1:223" x14ac:dyDescent="0.4">
      <c r="A769" s="5">
        <v>2444</v>
      </c>
      <c r="B769" s="5">
        <v>1</v>
      </c>
      <c r="C769" s="5">
        <v>1</v>
      </c>
      <c r="D769" s="5" t="s">
        <v>297</v>
      </c>
      <c r="E769" s="5" t="s">
        <v>245</v>
      </c>
      <c r="F769" s="5" t="s">
        <v>254</v>
      </c>
      <c r="G769" s="5" t="s">
        <v>240</v>
      </c>
      <c r="H769" s="6" t="s">
        <v>764</v>
      </c>
      <c r="I769" s="5" t="s">
        <v>295</v>
      </c>
      <c r="J769" s="8">
        <f>639</f>
        <v>639</v>
      </c>
      <c r="K769" s="5" t="s">
        <v>308</v>
      </c>
      <c r="L769" s="7">
        <f>1</f>
        <v>1</v>
      </c>
      <c r="M769" s="7">
        <f>1</f>
        <v>1</v>
      </c>
      <c r="N769" s="5" t="s">
        <v>242</v>
      </c>
      <c r="O769" s="5">
        <v>1</v>
      </c>
      <c r="P769" s="5" t="s">
        <v>294</v>
      </c>
      <c r="Q769" s="5" t="s">
        <v>613</v>
      </c>
      <c r="R769" s="5" t="s">
        <v>240</v>
      </c>
      <c r="S769" s="5" t="s">
        <v>240</v>
      </c>
      <c r="T769" s="5" t="s">
        <v>243</v>
      </c>
      <c r="U769" s="5" t="s">
        <v>244</v>
      </c>
      <c r="V769" s="5" t="s">
        <v>240</v>
      </c>
      <c r="Y769" s="5" t="s">
        <v>240</v>
      </c>
      <c r="Z769" s="6" t="s">
        <v>298</v>
      </c>
      <c r="AB769" s="6" t="s">
        <v>240</v>
      </c>
      <c r="AE769" s="6" t="s">
        <v>299</v>
      </c>
      <c r="AF769" s="5" t="s">
        <v>248</v>
      </c>
      <c r="AG769" s="5" t="s">
        <v>249</v>
      </c>
      <c r="AW769" s="5" t="s">
        <v>251</v>
      </c>
      <c r="AX769" s="5" t="s">
        <v>240</v>
      </c>
      <c r="AY769" s="5" t="s">
        <v>253</v>
      </c>
      <c r="AZ769" s="5" t="s">
        <v>240</v>
      </c>
      <c r="BA769" s="5" t="s">
        <v>255</v>
      </c>
      <c r="BB769" s="5" t="s">
        <v>240</v>
      </c>
      <c r="BD769" s="5" t="s">
        <v>240</v>
      </c>
      <c r="BF769" s="5" t="s">
        <v>301</v>
      </c>
      <c r="BG769" s="6" t="s">
        <v>299</v>
      </c>
      <c r="BH769" s="5" t="s">
        <v>302</v>
      </c>
      <c r="BI769" s="5" t="s">
        <v>303</v>
      </c>
      <c r="BJ769" s="5" t="s">
        <v>240</v>
      </c>
      <c r="BK769" s="8">
        <f>0</f>
        <v>0</v>
      </c>
      <c r="BL769" s="7">
        <f>0</f>
        <v>0</v>
      </c>
      <c r="BM769" s="5" t="s">
        <v>258</v>
      </c>
      <c r="BN769" s="5" t="s">
        <v>259</v>
      </c>
      <c r="CB769" s="5" t="s">
        <v>240</v>
      </c>
      <c r="CC769" s="5" t="s">
        <v>240</v>
      </c>
      <c r="CG769" s="5" t="s">
        <v>617</v>
      </c>
      <c r="CH769" s="5" t="s">
        <v>305</v>
      </c>
      <c r="CI769" s="5" t="s">
        <v>240</v>
      </c>
      <c r="CL769" s="6" t="s">
        <v>261</v>
      </c>
      <c r="CM769" s="5" t="s">
        <v>240</v>
      </c>
      <c r="CN769" s="5" t="s">
        <v>263</v>
      </c>
      <c r="CO769" s="5" t="s">
        <v>240</v>
      </c>
      <c r="CP769" s="5" t="s">
        <v>240</v>
      </c>
      <c r="CQ769" s="5">
        <v>0</v>
      </c>
      <c r="CR769" s="5" t="s">
        <v>306</v>
      </c>
      <c r="CS769" s="5" t="s">
        <v>307</v>
      </c>
      <c r="CT769" s="5" t="s">
        <v>307</v>
      </c>
      <c r="CU769" s="5" t="s">
        <v>260</v>
      </c>
      <c r="CX769" s="7">
        <f>51910740</f>
        <v>51910740</v>
      </c>
      <c r="CY769" s="7">
        <f>0</f>
        <v>0</v>
      </c>
      <c r="DA769" s="7">
        <f>0</f>
        <v>0</v>
      </c>
      <c r="DC769" s="5" t="s">
        <v>689</v>
      </c>
      <c r="DD769" s="5" t="s">
        <v>240</v>
      </c>
      <c r="DF769" s="5" t="s">
        <v>450</v>
      </c>
      <c r="DG769" s="7">
        <f>0</f>
        <v>0</v>
      </c>
      <c r="DI769" s="5" t="s">
        <v>618</v>
      </c>
      <c r="DJ769" s="5" t="s">
        <v>240</v>
      </c>
      <c r="DK769" s="5" t="s">
        <v>240</v>
      </c>
      <c r="DL769" s="5" t="s">
        <v>240</v>
      </c>
      <c r="DP769" s="5" t="s">
        <v>240</v>
      </c>
      <c r="DQ769" s="5" t="s">
        <v>240</v>
      </c>
      <c r="DR769" s="5" t="s">
        <v>240</v>
      </c>
      <c r="DS769" s="5" t="s">
        <v>240</v>
      </c>
      <c r="DV769" s="5" t="s">
        <v>1645</v>
      </c>
      <c r="DW769" s="5" t="s">
        <v>621</v>
      </c>
      <c r="HO769" s="5" t="s">
        <v>312</v>
      </c>
    </row>
    <row r="770" spans="1:223" x14ac:dyDescent="0.4">
      <c r="A770" s="5">
        <v>2445</v>
      </c>
      <c r="B770" s="5">
        <v>1</v>
      </c>
      <c r="C770" s="5">
        <v>1</v>
      </c>
      <c r="D770" s="5" t="s">
        <v>297</v>
      </c>
      <c r="E770" s="5" t="s">
        <v>245</v>
      </c>
      <c r="F770" s="5" t="s">
        <v>254</v>
      </c>
      <c r="G770" s="5" t="s">
        <v>240</v>
      </c>
      <c r="H770" s="6" t="s">
        <v>761</v>
      </c>
      <c r="I770" s="5" t="s">
        <v>295</v>
      </c>
      <c r="J770" s="8">
        <f>1.68</f>
        <v>1.68</v>
      </c>
      <c r="K770" s="5" t="s">
        <v>308</v>
      </c>
      <c r="L770" s="7">
        <f>1</f>
        <v>1</v>
      </c>
      <c r="M770" s="7">
        <f>1</f>
        <v>1</v>
      </c>
      <c r="N770" s="5" t="s">
        <v>242</v>
      </c>
      <c r="O770" s="5">
        <v>1</v>
      </c>
      <c r="P770" s="5" t="s">
        <v>294</v>
      </c>
      <c r="Q770" s="5" t="s">
        <v>613</v>
      </c>
      <c r="R770" s="5" t="s">
        <v>240</v>
      </c>
      <c r="S770" s="5" t="s">
        <v>240</v>
      </c>
      <c r="T770" s="5" t="s">
        <v>243</v>
      </c>
      <c r="U770" s="5" t="s">
        <v>244</v>
      </c>
      <c r="V770" s="5" t="s">
        <v>240</v>
      </c>
      <c r="Y770" s="5" t="s">
        <v>240</v>
      </c>
      <c r="Z770" s="6" t="s">
        <v>298</v>
      </c>
      <c r="AB770" s="6" t="s">
        <v>240</v>
      </c>
      <c r="AE770" s="6" t="s">
        <v>299</v>
      </c>
      <c r="AF770" s="5" t="s">
        <v>248</v>
      </c>
      <c r="AG770" s="5" t="s">
        <v>249</v>
      </c>
      <c r="AW770" s="5" t="s">
        <v>251</v>
      </c>
      <c r="AX770" s="5" t="s">
        <v>240</v>
      </c>
      <c r="AY770" s="5" t="s">
        <v>253</v>
      </c>
      <c r="AZ770" s="5" t="s">
        <v>240</v>
      </c>
      <c r="BA770" s="5" t="s">
        <v>255</v>
      </c>
      <c r="BB770" s="5" t="s">
        <v>240</v>
      </c>
      <c r="BD770" s="5" t="s">
        <v>686</v>
      </c>
      <c r="BF770" s="5" t="s">
        <v>301</v>
      </c>
      <c r="BG770" s="6" t="s">
        <v>299</v>
      </c>
      <c r="BH770" s="5" t="s">
        <v>302</v>
      </c>
      <c r="BI770" s="5" t="s">
        <v>303</v>
      </c>
      <c r="BJ770" s="5" t="s">
        <v>240</v>
      </c>
      <c r="BK770" s="8">
        <f>0</f>
        <v>0</v>
      </c>
      <c r="BL770" s="7">
        <f>0</f>
        <v>0</v>
      </c>
      <c r="BM770" s="5" t="s">
        <v>258</v>
      </c>
      <c r="BN770" s="5" t="s">
        <v>259</v>
      </c>
      <c r="CB770" s="5" t="s">
        <v>240</v>
      </c>
      <c r="CC770" s="5" t="s">
        <v>240</v>
      </c>
      <c r="CG770" s="5" t="s">
        <v>617</v>
      </c>
      <c r="CH770" s="5" t="s">
        <v>305</v>
      </c>
      <c r="CI770" s="5" t="s">
        <v>240</v>
      </c>
      <c r="CL770" s="6" t="s">
        <v>261</v>
      </c>
      <c r="CM770" s="5" t="s">
        <v>240</v>
      </c>
      <c r="CN770" s="5" t="s">
        <v>263</v>
      </c>
      <c r="CO770" s="5" t="s">
        <v>240</v>
      </c>
      <c r="CP770" s="5" t="s">
        <v>240</v>
      </c>
      <c r="CQ770" s="5">
        <v>0</v>
      </c>
      <c r="CR770" s="5" t="s">
        <v>306</v>
      </c>
      <c r="CS770" s="5" t="s">
        <v>307</v>
      </c>
      <c r="CT770" s="5" t="s">
        <v>307</v>
      </c>
      <c r="CU770" s="5" t="s">
        <v>260</v>
      </c>
      <c r="CX770" s="7">
        <f>65947195</f>
        <v>65947195</v>
      </c>
      <c r="CY770" s="7">
        <f>0</f>
        <v>0</v>
      </c>
      <c r="DA770" s="7">
        <f>0</f>
        <v>0</v>
      </c>
      <c r="DC770" s="5" t="s">
        <v>689</v>
      </c>
      <c r="DD770" s="5" t="s">
        <v>240</v>
      </c>
      <c r="DF770" s="5" t="s">
        <v>450</v>
      </c>
      <c r="DG770" s="7">
        <f>0</f>
        <v>0</v>
      </c>
      <c r="DI770" s="5" t="s">
        <v>618</v>
      </c>
      <c r="DJ770" s="5" t="s">
        <v>240</v>
      </c>
      <c r="DK770" s="5" t="s">
        <v>240</v>
      </c>
      <c r="DL770" s="5" t="s">
        <v>240</v>
      </c>
      <c r="DP770" s="5" t="s">
        <v>240</v>
      </c>
      <c r="DQ770" s="5" t="s">
        <v>240</v>
      </c>
      <c r="DR770" s="5" t="s">
        <v>240</v>
      </c>
      <c r="DS770" s="5" t="s">
        <v>240</v>
      </c>
      <c r="DV770" s="5" t="s">
        <v>1645</v>
      </c>
      <c r="DW770" s="5" t="s">
        <v>312</v>
      </c>
      <c r="HO770" s="5" t="s">
        <v>312</v>
      </c>
    </row>
    <row r="771" spans="1:223" x14ac:dyDescent="0.4">
      <c r="A771" s="5">
        <v>2446</v>
      </c>
      <c r="B771" s="5">
        <v>1</v>
      </c>
      <c r="C771" s="5">
        <v>1</v>
      </c>
      <c r="D771" s="5" t="s">
        <v>297</v>
      </c>
      <c r="E771" s="5" t="s">
        <v>245</v>
      </c>
      <c r="F771" s="5" t="s">
        <v>254</v>
      </c>
      <c r="G771" s="5" t="s">
        <v>240</v>
      </c>
      <c r="H771" s="6" t="s">
        <v>759</v>
      </c>
      <c r="I771" s="5" t="s">
        <v>295</v>
      </c>
      <c r="J771" s="8">
        <f>4.55</f>
        <v>4.55</v>
      </c>
      <c r="K771" s="5" t="s">
        <v>308</v>
      </c>
      <c r="L771" s="7">
        <f>1</f>
        <v>1</v>
      </c>
      <c r="M771" s="7">
        <f>1</f>
        <v>1</v>
      </c>
      <c r="N771" s="5" t="s">
        <v>242</v>
      </c>
      <c r="O771" s="5">
        <v>1</v>
      </c>
      <c r="P771" s="5" t="s">
        <v>294</v>
      </c>
      <c r="Q771" s="5" t="s">
        <v>613</v>
      </c>
      <c r="R771" s="5" t="s">
        <v>240</v>
      </c>
      <c r="S771" s="5" t="s">
        <v>240</v>
      </c>
      <c r="T771" s="5" t="s">
        <v>243</v>
      </c>
      <c r="U771" s="5" t="s">
        <v>244</v>
      </c>
      <c r="V771" s="5" t="s">
        <v>240</v>
      </c>
      <c r="Y771" s="5" t="s">
        <v>240</v>
      </c>
      <c r="Z771" s="6" t="s">
        <v>298</v>
      </c>
      <c r="AB771" s="6" t="s">
        <v>240</v>
      </c>
      <c r="AE771" s="6" t="s">
        <v>299</v>
      </c>
      <c r="AF771" s="5" t="s">
        <v>248</v>
      </c>
      <c r="AG771" s="5" t="s">
        <v>249</v>
      </c>
      <c r="AW771" s="5" t="s">
        <v>251</v>
      </c>
      <c r="AX771" s="5" t="s">
        <v>240</v>
      </c>
      <c r="AY771" s="5" t="s">
        <v>253</v>
      </c>
      <c r="AZ771" s="5" t="s">
        <v>240</v>
      </c>
      <c r="BA771" s="5" t="s">
        <v>255</v>
      </c>
      <c r="BB771" s="5" t="s">
        <v>240</v>
      </c>
      <c r="BD771" s="5" t="s">
        <v>686</v>
      </c>
      <c r="BF771" s="5" t="s">
        <v>301</v>
      </c>
      <c r="BG771" s="6" t="s">
        <v>299</v>
      </c>
      <c r="BH771" s="5" t="s">
        <v>302</v>
      </c>
      <c r="BI771" s="5" t="s">
        <v>303</v>
      </c>
      <c r="BJ771" s="5" t="s">
        <v>240</v>
      </c>
      <c r="BK771" s="8">
        <f>0</f>
        <v>0</v>
      </c>
      <c r="BL771" s="7">
        <f>0</f>
        <v>0</v>
      </c>
      <c r="BM771" s="5" t="s">
        <v>258</v>
      </c>
      <c r="BN771" s="5" t="s">
        <v>259</v>
      </c>
      <c r="CB771" s="5" t="s">
        <v>240</v>
      </c>
      <c r="CC771" s="5" t="s">
        <v>240</v>
      </c>
      <c r="CG771" s="5" t="s">
        <v>617</v>
      </c>
      <c r="CH771" s="5" t="s">
        <v>305</v>
      </c>
      <c r="CI771" s="5" t="s">
        <v>240</v>
      </c>
      <c r="CL771" s="6" t="s">
        <v>261</v>
      </c>
      <c r="CM771" s="5" t="s">
        <v>240</v>
      </c>
      <c r="CN771" s="5" t="s">
        <v>263</v>
      </c>
      <c r="CO771" s="5" t="s">
        <v>240</v>
      </c>
      <c r="CP771" s="5" t="s">
        <v>240</v>
      </c>
      <c r="CQ771" s="5">
        <v>0</v>
      </c>
      <c r="CR771" s="5" t="s">
        <v>306</v>
      </c>
      <c r="CS771" s="5" t="s">
        <v>307</v>
      </c>
      <c r="CT771" s="5" t="s">
        <v>307</v>
      </c>
      <c r="CU771" s="5" t="s">
        <v>260</v>
      </c>
      <c r="CX771" s="7">
        <f>1027201</f>
        <v>1027201</v>
      </c>
      <c r="CY771" s="7">
        <f>0</f>
        <v>0</v>
      </c>
      <c r="DA771" s="7">
        <f>0</f>
        <v>0</v>
      </c>
      <c r="DC771" s="5" t="s">
        <v>1541</v>
      </c>
      <c r="DD771" s="5" t="s">
        <v>240</v>
      </c>
      <c r="DF771" s="5" t="s">
        <v>450</v>
      </c>
      <c r="DG771" s="7">
        <f>0</f>
        <v>0</v>
      </c>
      <c r="DI771" s="5" t="s">
        <v>1320</v>
      </c>
      <c r="DJ771" s="5" t="s">
        <v>240</v>
      </c>
      <c r="DK771" s="5" t="s">
        <v>240</v>
      </c>
      <c r="DL771" s="5" t="s">
        <v>240</v>
      </c>
      <c r="DP771" s="5" t="s">
        <v>240</v>
      </c>
      <c r="DQ771" s="5" t="s">
        <v>240</v>
      </c>
      <c r="DR771" s="5" t="s">
        <v>240</v>
      </c>
      <c r="DS771" s="5" t="s">
        <v>240</v>
      </c>
      <c r="DV771" s="5" t="s">
        <v>1651</v>
      </c>
      <c r="DW771" s="5" t="s">
        <v>312</v>
      </c>
      <c r="HO771" s="5" t="s">
        <v>312</v>
      </c>
    </row>
    <row r="772" spans="1:223" x14ac:dyDescent="0.4">
      <c r="A772" s="5">
        <v>2447</v>
      </c>
      <c r="B772" s="5">
        <v>1</v>
      </c>
      <c r="C772" s="5">
        <v>1</v>
      </c>
      <c r="D772" s="5" t="s">
        <v>297</v>
      </c>
      <c r="E772" s="5" t="s">
        <v>245</v>
      </c>
      <c r="F772" s="5" t="s">
        <v>254</v>
      </c>
      <c r="G772" s="5" t="s">
        <v>240</v>
      </c>
      <c r="H772" s="6" t="s">
        <v>757</v>
      </c>
      <c r="I772" s="5" t="s">
        <v>295</v>
      </c>
      <c r="J772" s="8">
        <f>6.6</f>
        <v>6.6</v>
      </c>
      <c r="K772" s="5" t="s">
        <v>308</v>
      </c>
      <c r="L772" s="7">
        <f>1</f>
        <v>1</v>
      </c>
      <c r="M772" s="7">
        <f>1</f>
        <v>1</v>
      </c>
      <c r="N772" s="5" t="s">
        <v>242</v>
      </c>
      <c r="O772" s="5">
        <v>1</v>
      </c>
      <c r="P772" s="5" t="s">
        <v>294</v>
      </c>
      <c r="Q772" s="5" t="s">
        <v>613</v>
      </c>
      <c r="R772" s="5" t="s">
        <v>240</v>
      </c>
      <c r="S772" s="5" t="s">
        <v>240</v>
      </c>
      <c r="T772" s="5" t="s">
        <v>243</v>
      </c>
      <c r="U772" s="5" t="s">
        <v>244</v>
      </c>
      <c r="V772" s="5" t="s">
        <v>240</v>
      </c>
      <c r="Y772" s="5" t="s">
        <v>240</v>
      </c>
      <c r="Z772" s="6" t="s">
        <v>298</v>
      </c>
      <c r="AB772" s="6" t="s">
        <v>240</v>
      </c>
      <c r="AE772" s="6" t="s">
        <v>299</v>
      </c>
      <c r="AF772" s="5" t="s">
        <v>248</v>
      </c>
      <c r="AG772" s="5" t="s">
        <v>249</v>
      </c>
      <c r="AW772" s="5" t="s">
        <v>251</v>
      </c>
      <c r="AX772" s="5" t="s">
        <v>240</v>
      </c>
      <c r="AY772" s="5" t="s">
        <v>253</v>
      </c>
      <c r="AZ772" s="5" t="s">
        <v>240</v>
      </c>
      <c r="BA772" s="5" t="s">
        <v>255</v>
      </c>
      <c r="BB772" s="5" t="s">
        <v>240</v>
      </c>
      <c r="BD772" s="5" t="s">
        <v>240</v>
      </c>
      <c r="BF772" s="5" t="s">
        <v>301</v>
      </c>
      <c r="BG772" s="6" t="s">
        <v>299</v>
      </c>
      <c r="BH772" s="5" t="s">
        <v>302</v>
      </c>
      <c r="BI772" s="5" t="s">
        <v>303</v>
      </c>
      <c r="BJ772" s="5" t="s">
        <v>240</v>
      </c>
      <c r="BK772" s="8">
        <f>0</f>
        <v>0</v>
      </c>
      <c r="BL772" s="7">
        <f>0</f>
        <v>0</v>
      </c>
      <c r="BM772" s="5" t="s">
        <v>258</v>
      </c>
      <c r="BN772" s="5" t="s">
        <v>259</v>
      </c>
      <c r="CB772" s="5" t="s">
        <v>240</v>
      </c>
      <c r="CC772" s="5" t="s">
        <v>240</v>
      </c>
      <c r="CG772" s="5" t="s">
        <v>617</v>
      </c>
      <c r="CH772" s="5" t="s">
        <v>305</v>
      </c>
      <c r="CI772" s="5" t="s">
        <v>240</v>
      </c>
      <c r="CL772" s="6" t="s">
        <v>261</v>
      </c>
      <c r="CM772" s="5" t="s">
        <v>240</v>
      </c>
      <c r="CN772" s="5" t="s">
        <v>263</v>
      </c>
      <c r="CO772" s="5" t="s">
        <v>240</v>
      </c>
      <c r="CP772" s="5" t="s">
        <v>240</v>
      </c>
      <c r="CQ772" s="5">
        <v>0</v>
      </c>
      <c r="CR772" s="5" t="s">
        <v>306</v>
      </c>
      <c r="CS772" s="5" t="s">
        <v>307</v>
      </c>
      <c r="CT772" s="5" t="s">
        <v>307</v>
      </c>
      <c r="CU772" s="5" t="s">
        <v>260</v>
      </c>
      <c r="CX772" s="7">
        <f>9355500</f>
        <v>9355500</v>
      </c>
      <c r="CY772" s="7">
        <f>0</f>
        <v>0</v>
      </c>
      <c r="DA772" s="7">
        <f>0</f>
        <v>0</v>
      </c>
      <c r="DC772" s="5" t="s">
        <v>843</v>
      </c>
      <c r="DD772" s="5" t="s">
        <v>240</v>
      </c>
      <c r="DF772" s="5" t="s">
        <v>843</v>
      </c>
      <c r="DG772" s="7">
        <f>0</f>
        <v>0</v>
      </c>
      <c r="DH772" s="6" t="s">
        <v>1655</v>
      </c>
      <c r="DI772" s="5" t="s">
        <v>843</v>
      </c>
      <c r="DJ772" s="5" t="s">
        <v>240</v>
      </c>
      <c r="DK772" s="5" t="s">
        <v>240</v>
      </c>
      <c r="DL772" s="5" t="s">
        <v>240</v>
      </c>
      <c r="DP772" s="5" t="s">
        <v>240</v>
      </c>
      <c r="DQ772" s="5" t="s">
        <v>240</v>
      </c>
      <c r="DR772" s="5" t="s">
        <v>240</v>
      </c>
      <c r="DS772" s="5" t="s">
        <v>240</v>
      </c>
      <c r="DV772" s="5" t="s">
        <v>1656</v>
      </c>
      <c r="DW772" s="5" t="s">
        <v>620</v>
      </c>
      <c r="HO772" s="5" t="s">
        <v>312</v>
      </c>
    </row>
    <row r="773" spans="1:223" x14ac:dyDescent="0.4">
      <c r="A773" s="5">
        <v>2448</v>
      </c>
      <c r="B773" s="5">
        <v>1</v>
      </c>
      <c r="C773" s="5">
        <v>1</v>
      </c>
      <c r="D773" s="5" t="s">
        <v>297</v>
      </c>
      <c r="E773" s="5" t="s">
        <v>245</v>
      </c>
      <c r="F773" s="5" t="s">
        <v>254</v>
      </c>
      <c r="G773" s="5" t="s">
        <v>240</v>
      </c>
      <c r="H773" s="6" t="s">
        <v>755</v>
      </c>
      <c r="I773" s="5" t="s">
        <v>295</v>
      </c>
      <c r="J773" s="8">
        <f>20265</f>
        <v>20265</v>
      </c>
      <c r="K773" s="5" t="s">
        <v>308</v>
      </c>
      <c r="L773" s="7">
        <f>1</f>
        <v>1</v>
      </c>
      <c r="M773" s="7">
        <f>1</f>
        <v>1</v>
      </c>
      <c r="N773" s="5" t="s">
        <v>242</v>
      </c>
      <c r="O773" s="5">
        <v>1</v>
      </c>
      <c r="P773" s="5" t="s">
        <v>294</v>
      </c>
      <c r="Q773" s="5" t="s">
        <v>613</v>
      </c>
      <c r="R773" s="5" t="s">
        <v>240</v>
      </c>
      <c r="S773" s="5" t="s">
        <v>240</v>
      </c>
      <c r="T773" s="5" t="s">
        <v>243</v>
      </c>
      <c r="U773" s="5" t="s">
        <v>244</v>
      </c>
      <c r="V773" s="5" t="s">
        <v>240</v>
      </c>
      <c r="Y773" s="5" t="s">
        <v>240</v>
      </c>
      <c r="Z773" s="6" t="s">
        <v>298</v>
      </c>
      <c r="AB773" s="6" t="s">
        <v>240</v>
      </c>
      <c r="AE773" s="6" t="s">
        <v>299</v>
      </c>
      <c r="AF773" s="5" t="s">
        <v>248</v>
      </c>
      <c r="AG773" s="5" t="s">
        <v>249</v>
      </c>
      <c r="AW773" s="5" t="s">
        <v>251</v>
      </c>
      <c r="AX773" s="5" t="s">
        <v>240</v>
      </c>
      <c r="AY773" s="5" t="s">
        <v>253</v>
      </c>
      <c r="AZ773" s="5" t="s">
        <v>240</v>
      </c>
      <c r="BA773" s="5" t="s">
        <v>255</v>
      </c>
      <c r="BB773" s="5" t="s">
        <v>240</v>
      </c>
      <c r="BD773" s="5" t="s">
        <v>240</v>
      </c>
      <c r="BF773" s="5" t="s">
        <v>301</v>
      </c>
      <c r="BG773" s="6" t="s">
        <v>299</v>
      </c>
      <c r="BH773" s="5" t="s">
        <v>302</v>
      </c>
      <c r="BI773" s="5" t="s">
        <v>303</v>
      </c>
      <c r="BJ773" s="5" t="s">
        <v>240</v>
      </c>
      <c r="BK773" s="8">
        <f>0</f>
        <v>0</v>
      </c>
      <c r="BL773" s="7">
        <f>0</f>
        <v>0</v>
      </c>
      <c r="BM773" s="5" t="s">
        <v>258</v>
      </c>
      <c r="BN773" s="5" t="s">
        <v>259</v>
      </c>
      <c r="CB773" s="5" t="s">
        <v>240</v>
      </c>
      <c r="CC773" s="5" t="s">
        <v>240</v>
      </c>
      <c r="CG773" s="5" t="s">
        <v>617</v>
      </c>
      <c r="CH773" s="5" t="s">
        <v>305</v>
      </c>
      <c r="CI773" s="5" t="s">
        <v>240</v>
      </c>
      <c r="CL773" s="6" t="s">
        <v>261</v>
      </c>
      <c r="CM773" s="5" t="s">
        <v>240</v>
      </c>
      <c r="CN773" s="5" t="s">
        <v>263</v>
      </c>
      <c r="CO773" s="5" t="s">
        <v>240</v>
      </c>
      <c r="CP773" s="5" t="s">
        <v>240</v>
      </c>
      <c r="CQ773" s="5">
        <v>0</v>
      </c>
      <c r="CR773" s="5" t="s">
        <v>306</v>
      </c>
      <c r="CS773" s="5" t="s">
        <v>307</v>
      </c>
      <c r="CT773" s="5" t="s">
        <v>307</v>
      </c>
      <c r="CU773" s="5" t="s">
        <v>260</v>
      </c>
      <c r="CX773" s="7">
        <f>21513600</f>
        <v>21513600</v>
      </c>
      <c r="CY773" s="7">
        <f>0</f>
        <v>0</v>
      </c>
      <c r="DA773" s="7">
        <f>0</f>
        <v>0</v>
      </c>
      <c r="DC773" s="5" t="s">
        <v>843</v>
      </c>
      <c r="DD773" s="5" t="s">
        <v>240</v>
      </c>
      <c r="DF773" s="5" t="s">
        <v>843</v>
      </c>
      <c r="DG773" s="7">
        <f>0</f>
        <v>0</v>
      </c>
      <c r="DI773" s="5" t="s">
        <v>843</v>
      </c>
      <c r="DJ773" s="5" t="s">
        <v>240</v>
      </c>
      <c r="DK773" s="5" t="s">
        <v>240</v>
      </c>
      <c r="DL773" s="5" t="s">
        <v>240</v>
      </c>
      <c r="DP773" s="5" t="s">
        <v>240</v>
      </c>
      <c r="DQ773" s="5" t="s">
        <v>240</v>
      </c>
      <c r="DR773" s="5" t="s">
        <v>240</v>
      </c>
      <c r="DS773" s="5" t="s">
        <v>240</v>
      </c>
      <c r="DV773" s="5" t="s">
        <v>1656</v>
      </c>
      <c r="DW773" s="5" t="s">
        <v>621</v>
      </c>
      <c r="HO773" s="5" t="s">
        <v>312</v>
      </c>
    </row>
    <row r="774" spans="1:223" x14ac:dyDescent="0.4">
      <c r="A774" s="5">
        <v>2449</v>
      </c>
      <c r="B774" s="5">
        <v>1</v>
      </c>
      <c r="C774" s="5">
        <v>1</v>
      </c>
      <c r="D774" s="5" t="s">
        <v>297</v>
      </c>
      <c r="E774" s="5" t="s">
        <v>245</v>
      </c>
      <c r="F774" s="5" t="s">
        <v>254</v>
      </c>
      <c r="G774" s="5" t="s">
        <v>240</v>
      </c>
      <c r="H774" s="6" t="s">
        <v>753</v>
      </c>
      <c r="I774" s="5" t="s">
        <v>295</v>
      </c>
      <c r="J774" s="8">
        <f>13129</f>
        <v>13129</v>
      </c>
      <c r="K774" s="5" t="s">
        <v>308</v>
      </c>
      <c r="L774" s="7">
        <f>1</f>
        <v>1</v>
      </c>
      <c r="M774" s="7">
        <f>1</f>
        <v>1</v>
      </c>
      <c r="N774" s="5" t="s">
        <v>242</v>
      </c>
      <c r="O774" s="5">
        <v>1</v>
      </c>
      <c r="P774" s="5" t="s">
        <v>294</v>
      </c>
      <c r="Q774" s="5" t="s">
        <v>266</v>
      </c>
      <c r="R774" s="5" t="s">
        <v>240</v>
      </c>
      <c r="S774" s="5" t="s">
        <v>240</v>
      </c>
      <c r="T774" s="5" t="s">
        <v>296</v>
      </c>
      <c r="U774" s="5" t="s">
        <v>244</v>
      </c>
      <c r="V774" s="5" t="s">
        <v>240</v>
      </c>
      <c r="Y774" s="5" t="s">
        <v>240</v>
      </c>
      <c r="Z774" s="6" t="s">
        <v>298</v>
      </c>
      <c r="AB774" s="6" t="s">
        <v>240</v>
      </c>
      <c r="AE774" s="6" t="s">
        <v>299</v>
      </c>
      <c r="AF774" s="5" t="s">
        <v>248</v>
      </c>
      <c r="AG774" s="5" t="s">
        <v>249</v>
      </c>
      <c r="AW774" s="5" t="s">
        <v>251</v>
      </c>
      <c r="AX774" s="5" t="s">
        <v>240</v>
      </c>
      <c r="AY774" s="5" t="s">
        <v>253</v>
      </c>
      <c r="AZ774" s="5" t="s">
        <v>240</v>
      </c>
      <c r="BA774" s="5" t="s">
        <v>255</v>
      </c>
      <c r="BB774" s="5" t="s">
        <v>240</v>
      </c>
      <c r="BD774" s="5" t="s">
        <v>240</v>
      </c>
      <c r="BF774" s="5" t="s">
        <v>301</v>
      </c>
      <c r="BG774" s="6" t="s">
        <v>299</v>
      </c>
      <c r="BH774" s="5" t="s">
        <v>302</v>
      </c>
      <c r="BI774" s="5" t="s">
        <v>303</v>
      </c>
      <c r="BJ774" s="5" t="s">
        <v>240</v>
      </c>
      <c r="BK774" s="8">
        <f>0</f>
        <v>0</v>
      </c>
      <c r="BL774" s="7">
        <f>0</f>
        <v>0</v>
      </c>
      <c r="BM774" s="5" t="s">
        <v>258</v>
      </c>
      <c r="BN774" s="5" t="s">
        <v>259</v>
      </c>
      <c r="CB774" s="5" t="s">
        <v>240</v>
      </c>
      <c r="CC774" s="5" t="s">
        <v>240</v>
      </c>
      <c r="CG774" s="5" t="s">
        <v>304</v>
      </c>
      <c r="CH774" s="5" t="s">
        <v>305</v>
      </c>
      <c r="CI774" s="5" t="s">
        <v>240</v>
      </c>
      <c r="CL774" s="6" t="s">
        <v>261</v>
      </c>
      <c r="CM774" s="5" t="s">
        <v>240</v>
      </c>
      <c r="CN774" s="5" t="s">
        <v>263</v>
      </c>
      <c r="CO774" s="5" t="s">
        <v>240</v>
      </c>
      <c r="CP774" s="5" t="s">
        <v>240</v>
      </c>
      <c r="CQ774" s="5">
        <v>0</v>
      </c>
      <c r="CR774" s="5" t="s">
        <v>306</v>
      </c>
      <c r="CS774" s="5" t="s">
        <v>307</v>
      </c>
      <c r="CT774" s="5" t="s">
        <v>307</v>
      </c>
      <c r="CU774" s="5" t="s">
        <v>260</v>
      </c>
      <c r="CX774" s="7">
        <f>1</f>
        <v>1</v>
      </c>
      <c r="CY774" s="7">
        <f>0</f>
        <v>0</v>
      </c>
      <c r="DA774" s="7">
        <f>0</f>
        <v>0</v>
      </c>
      <c r="DC774" s="5" t="s">
        <v>309</v>
      </c>
      <c r="DD774" s="5" t="s">
        <v>240</v>
      </c>
      <c r="DF774" s="5" t="s">
        <v>309</v>
      </c>
      <c r="DG774" s="7">
        <f>696</f>
        <v>696</v>
      </c>
      <c r="DI774" s="5" t="s">
        <v>240</v>
      </c>
      <c r="DJ774" s="5" t="s">
        <v>240</v>
      </c>
      <c r="DK774" s="5" t="s">
        <v>240</v>
      </c>
      <c r="DL774" s="5" t="s">
        <v>240</v>
      </c>
      <c r="DP774" s="5" t="s">
        <v>240</v>
      </c>
      <c r="DQ774" s="5" t="s">
        <v>240</v>
      </c>
      <c r="DR774" s="5" t="s">
        <v>240</v>
      </c>
      <c r="DS774" s="5" t="s">
        <v>240</v>
      </c>
      <c r="DV774" s="5" t="s">
        <v>310</v>
      </c>
      <c r="DW774" s="5" t="s">
        <v>1659</v>
      </c>
      <c r="HO774" s="5" t="s">
        <v>312</v>
      </c>
    </row>
    <row r="775" spans="1:223" x14ac:dyDescent="0.4">
      <c r="A775" s="5">
        <v>2450</v>
      </c>
      <c r="B775" s="5">
        <v>1</v>
      </c>
      <c r="C775" s="5">
        <v>1</v>
      </c>
      <c r="D775" s="5" t="s">
        <v>297</v>
      </c>
      <c r="E775" s="5" t="s">
        <v>245</v>
      </c>
      <c r="F775" s="5" t="s">
        <v>254</v>
      </c>
      <c r="G775" s="5" t="s">
        <v>240</v>
      </c>
      <c r="H775" s="6" t="s">
        <v>751</v>
      </c>
      <c r="I775" s="5" t="s">
        <v>295</v>
      </c>
      <c r="J775" s="8">
        <f>11184</f>
        <v>11184</v>
      </c>
      <c r="K775" s="5" t="s">
        <v>308</v>
      </c>
      <c r="L775" s="7">
        <f>1</f>
        <v>1</v>
      </c>
      <c r="M775" s="7">
        <f>1</f>
        <v>1</v>
      </c>
      <c r="N775" s="5" t="s">
        <v>242</v>
      </c>
      <c r="O775" s="5">
        <v>1</v>
      </c>
      <c r="P775" s="5" t="s">
        <v>294</v>
      </c>
      <c r="Q775" s="5" t="s">
        <v>613</v>
      </c>
      <c r="R775" s="5" t="s">
        <v>240</v>
      </c>
      <c r="S775" s="5" t="s">
        <v>240</v>
      </c>
      <c r="T775" s="5" t="s">
        <v>243</v>
      </c>
      <c r="U775" s="5" t="s">
        <v>244</v>
      </c>
      <c r="V775" s="5" t="s">
        <v>240</v>
      </c>
      <c r="Y775" s="5" t="s">
        <v>240</v>
      </c>
      <c r="Z775" s="6" t="s">
        <v>298</v>
      </c>
      <c r="AB775" s="6" t="s">
        <v>240</v>
      </c>
      <c r="AE775" s="6" t="s">
        <v>299</v>
      </c>
      <c r="AF775" s="5" t="s">
        <v>248</v>
      </c>
      <c r="AG775" s="5" t="s">
        <v>249</v>
      </c>
      <c r="AW775" s="5" t="s">
        <v>251</v>
      </c>
      <c r="AX775" s="5" t="s">
        <v>240</v>
      </c>
      <c r="AY775" s="5" t="s">
        <v>253</v>
      </c>
      <c r="AZ775" s="5" t="s">
        <v>240</v>
      </c>
      <c r="BA775" s="5" t="s">
        <v>255</v>
      </c>
      <c r="BB775" s="5" t="s">
        <v>240</v>
      </c>
      <c r="BD775" s="5" t="s">
        <v>686</v>
      </c>
      <c r="BF775" s="5" t="s">
        <v>301</v>
      </c>
      <c r="BG775" s="6" t="s">
        <v>299</v>
      </c>
      <c r="BH775" s="5" t="s">
        <v>302</v>
      </c>
      <c r="BI775" s="5" t="s">
        <v>303</v>
      </c>
      <c r="BJ775" s="5" t="s">
        <v>240</v>
      </c>
      <c r="BK775" s="8">
        <f>0</f>
        <v>0</v>
      </c>
      <c r="BL775" s="7">
        <f>0</f>
        <v>0</v>
      </c>
      <c r="BM775" s="5" t="s">
        <v>258</v>
      </c>
      <c r="BN775" s="5" t="s">
        <v>259</v>
      </c>
      <c r="CB775" s="5" t="s">
        <v>240</v>
      </c>
      <c r="CC775" s="5" t="s">
        <v>240</v>
      </c>
      <c r="CG775" s="5" t="s">
        <v>617</v>
      </c>
      <c r="CH775" s="5" t="s">
        <v>305</v>
      </c>
      <c r="CI775" s="5" t="s">
        <v>240</v>
      </c>
      <c r="CL775" s="6" t="s">
        <v>261</v>
      </c>
      <c r="CM775" s="5" t="s">
        <v>240</v>
      </c>
      <c r="CN775" s="5" t="s">
        <v>263</v>
      </c>
      <c r="CO775" s="5" t="s">
        <v>240</v>
      </c>
      <c r="CP775" s="5" t="s">
        <v>240</v>
      </c>
      <c r="CQ775" s="5">
        <v>0</v>
      </c>
      <c r="CR775" s="5" t="s">
        <v>306</v>
      </c>
      <c r="CS775" s="5" t="s">
        <v>307</v>
      </c>
      <c r="CT775" s="5" t="s">
        <v>307</v>
      </c>
      <c r="CU775" s="5" t="s">
        <v>260</v>
      </c>
      <c r="CX775" s="7">
        <f>4920993</f>
        <v>4920993</v>
      </c>
      <c r="CY775" s="7">
        <f>0</f>
        <v>0</v>
      </c>
      <c r="DA775" s="7">
        <f>0</f>
        <v>0</v>
      </c>
      <c r="DC775" s="5" t="s">
        <v>843</v>
      </c>
      <c r="DD775" s="5" t="s">
        <v>240</v>
      </c>
      <c r="DF775" s="5" t="s">
        <v>843</v>
      </c>
      <c r="DG775" s="7">
        <f>781.11</f>
        <v>781.11</v>
      </c>
      <c r="DI775" s="5" t="s">
        <v>843</v>
      </c>
      <c r="DJ775" s="5" t="s">
        <v>240</v>
      </c>
      <c r="DK775" s="5" t="s">
        <v>240</v>
      </c>
      <c r="DL775" s="5" t="s">
        <v>240</v>
      </c>
      <c r="DP775" s="5" t="s">
        <v>240</v>
      </c>
      <c r="DQ775" s="5" t="s">
        <v>240</v>
      </c>
      <c r="DR775" s="5" t="s">
        <v>240</v>
      </c>
      <c r="DS775" s="5" t="s">
        <v>240</v>
      </c>
      <c r="DV775" s="5" t="s">
        <v>1663</v>
      </c>
      <c r="DW775" s="5" t="s">
        <v>312</v>
      </c>
      <c r="HO775" s="5" t="s">
        <v>312</v>
      </c>
    </row>
    <row r="776" spans="1:223" x14ac:dyDescent="0.4">
      <c r="A776" s="5">
        <v>2451</v>
      </c>
      <c r="B776" s="5">
        <v>1</v>
      </c>
      <c r="C776" s="5">
        <v>1</v>
      </c>
      <c r="D776" s="5" t="s">
        <v>297</v>
      </c>
      <c r="E776" s="5" t="s">
        <v>245</v>
      </c>
      <c r="F776" s="5" t="s">
        <v>254</v>
      </c>
      <c r="G776" s="5" t="s">
        <v>240</v>
      </c>
      <c r="H776" s="6" t="s">
        <v>749</v>
      </c>
      <c r="I776" s="5" t="s">
        <v>295</v>
      </c>
      <c r="J776" s="8">
        <f>322</f>
        <v>322</v>
      </c>
      <c r="K776" s="5" t="s">
        <v>308</v>
      </c>
      <c r="L776" s="7">
        <f>1</f>
        <v>1</v>
      </c>
      <c r="M776" s="7">
        <f>1</f>
        <v>1</v>
      </c>
      <c r="N776" s="5" t="s">
        <v>242</v>
      </c>
      <c r="O776" s="5">
        <v>1</v>
      </c>
      <c r="P776" s="5" t="s">
        <v>294</v>
      </c>
      <c r="Q776" s="5" t="s">
        <v>613</v>
      </c>
      <c r="R776" s="5" t="s">
        <v>240</v>
      </c>
      <c r="S776" s="5" t="s">
        <v>240</v>
      </c>
      <c r="T776" s="5" t="s">
        <v>243</v>
      </c>
      <c r="U776" s="5" t="s">
        <v>244</v>
      </c>
      <c r="V776" s="5" t="s">
        <v>240</v>
      </c>
      <c r="Y776" s="5" t="s">
        <v>240</v>
      </c>
      <c r="Z776" s="6" t="s">
        <v>298</v>
      </c>
      <c r="AB776" s="6" t="s">
        <v>240</v>
      </c>
      <c r="AE776" s="6" t="s">
        <v>299</v>
      </c>
      <c r="AF776" s="5" t="s">
        <v>248</v>
      </c>
      <c r="AG776" s="5" t="s">
        <v>249</v>
      </c>
      <c r="AW776" s="5" t="s">
        <v>251</v>
      </c>
      <c r="AX776" s="5" t="s">
        <v>240</v>
      </c>
      <c r="AY776" s="5" t="s">
        <v>253</v>
      </c>
      <c r="AZ776" s="5" t="s">
        <v>240</v>
      </c>
      <c r="BA776" s="5" t="s">
        <v>255</v>
      </c>
      <c r="BB776" s="5" t="s">
        <v>240</v>
      </c>
      <c r="BD776" s="5" t="s">
        <v>686</v>
      </c>
      <c r="BF776" s="5" t="s">
        <v>301</v>
      </c>
      <c r="BG776" s="6" t="s">
        <v>299</v>
      </c>
      <c r="BH776" s="5" t="s">
        <v>302</v>
      </c>
      <c r="BI776" s="5" t="s">
        <v>303</v>
      </c>
      <c r="BJ776" s="5" t="s">
        <v>240</v>
      </c>
      <c r="BK776" s="8">
        <f>0</f>
        <v>0</v>
      </c>
      <c r="BL776" s="7">
        <f>0</f>
        <v>0</v>
      </c>
      <c r="BM776" s="5" t="s">
        <v>258</v>
      </c>
      <c r="BN776" s="5" t="s">
        <v>259</v>
      </c>
      <c r="CB776" s="5" t="s">
        <v>240</v>
      </c>
      <c r="CC776" s="5" t="s">
        <v>240</v>
      </c>
      <c r="CG776" s="5" t="s">
        <v>617</v>
      </c>
      <c r="CH776" s="5" t="s">
        <v>305</v>
      </c>
      <c r="CI776" s="5" t="s">
        <v>240</v>
      </c>
      <c r="CL776" s="6" t="s">
        <v>261</v>
      </c>
      <c r="CM776" s="5" t="s">
        <v>240</v>
      </c>
      <c r="CN776" s="5" t="s">
        <v>263</v>
      </c>
      <c r="CO776" s="5" t="s">
        <v>240</v>
      </c>
      <c r="CP776" s="5" t="s">
        <v>240</v>
      </c>
      <c r="CQ776" s="5">
        <v>0</v>
      </c>
      <c r="CR776" s="5" t="s">
        <v>306</v>
      </c>
      <c r="CS776" s="5" t="s">
        <v>307</v>
      </c>
      <c r="CT776" s="5" t="s">
        <v>307</v>
      </c>
      <c r="CU776" s="5" t="s">
        <v>260</v>
      </c>
      <c r="CX776" s="7">
        <f>6498810</f>
        <v>6498810</v>
      </c>
      <c r="CY776" s="7">
        <f>0</f>
        <v>0</v>
      </c>
      <c r="DA776" s="7">
        <f>0</f>
        <v>0</v>
      </c>
      <c r="DC776" s="5" t="s">
        <v>618</v>
      </c>
      <c r="DD776" s="5" t="s">
        <v>240</v>
      </c>
      <c r="DF776" s="5" t="s">
        <v>450</v>
      </c>
      <c r="DG776" s="7">
        <f>0</f>
        <v>0</v>
      </c>
      <c r="DI776" s="5" t="s">
        <v>618</v>
      </c>
      <c r="DJ776" s="5" t="s">
        <v>240</v>
      </c>
      <c r="DK776" s="5" t="s">
        <v>240</v>
      </c>
      <c r="DL776" s="5" t="s">
        <v>240</v>
      </c>
      <c r="DP776" s="5" t="s">
        <v>240</v>
      </c>
      <c r="DQ776" s="5" t="s">
        <v>240</v>
      </c>
      <c r="DR776" s="5" t="s">
        <v>240</v>
      </c>
      <c r="DS776" s="5" t="s">
        <v>240</v>
      </c>
      <c r="DV776" s="5" t="s">
        <v>1667</v>
      </c>
      <c r="DW776" s="5" t="s">
        <v>312</v>
      </c>
      <c r="HO776" s="5" t="s">
        <v>312</v>
      </c>
    </row>
    <row r="777" spans="1:223" x14ac:dyDescent="0.4">
      <c r="A777" s="5">
        <v>2452</v>
      </c>
      <c r="B777" s="5">
        <v>1</v>
      </c>
      <c r="C777" s="5">
        <v>1</v>
      </c>
      <c r="D777" s="5" t="s">
        <v>297</v>
      </c>
      <c r="E777" s="5" t="s">
        <v>245</v>
      </c>
      <c r="F777" s="5" t="s">
        <v>254</v>
      </c>
      <c r="G777" s="5" t="s">
        <v>240</v>
      </c>
      <c r="H777" s="6" t="s">
        <v>746</v>
      </c>
      <c r="I777" s="5" t="s">
        <v>295</v>
      </c>
      <c r="J777" s="8">
        <f>769</f>
        <v>769</v>
      </c>
      <c r="K777" s="5" t="s">
        <v>308</v>
      </c>
      <c r="L777" s="7">
        <f>1</f>
        <v>1</v>
      </c>
      <c r="M777" s="7">
        <f>1</f>
        <v>1</v>
      </c>
      <c r="N777" s="5" t="s">
        <v>242</v>
      </c>
      <c r="O777" s="5">
        <v>1</v>
      </c>
      <c r="P777" s="5" t="s">
        <v>294</v>
      </c>
      <c r="Q777" s="5" t="s">
        <v>613</v>
      </c>
      <c r="R777" s="5" t="s">
        <v>240</v>
      </c>
      <c r="S777" s="5" t="s">
        <v>240</v>
      </c>
      <c r="T777" s="5" t="s">
        <v>243</v>
      </c>
      <c r="U777" s="5" t="s">
        <v>244</v>
      </c>
      <c r="V777" s="5" t="s">
        <v>240</v>
      </c>
      <c r="Y777" s="5" t="s">
        <v>240</v>
      </c>
      <c r="Z777" s="6" t="s">
        <v>298</v>
      </c>
      <c r="AB777" s="6" t="s">
        <v>240</v>
      </c>
      <c r="AE777" s="6" t="s">
        <v>299</v>
      </c>
      <c r="AF777" s="5" t="s">
        <v>248</v>
      </c>
      <c r="AG777" s="5" t="s">
        <v>249</v>
      </c>
      <c r="AW777" s="5" t="s">
        <v>251</v>
      </c>
      <c r="AX777" s="5" t="s">
        <v>240</v>
      </c>
      <c r="AY777" s="5" t="s">
        <v>253</v>
      </c>
      <c r="AZ777" s="5" t="s">
        <v>240</v>
      </c>
      <c r="BA777" s="5" t="s">
        <v>255</v>
      </c>
      <c r="BB777" s="5" t="s">
        <v>240</v>
      </c>
      <c r="BD777" s="5" t="s">
        <v>240</v>
      </c>
      <c r="BF777" s="5" t="s">
        <v>301</v>
      </c>
      <c r="BG777" s="6" t="s">
        <v>299</v>
      </c>
      <c r="BH777" s="5" t="s">
        <v>302</v>
      </c>
      <c r="BI777" s="5" t="s">
        <v>303</v>
      </c>
      <c r="BJ777" s="5" t="s">
        <v>240</v>
      </c>
      <c r="BK777" s="8">
        <f>0</f>
        <v>0</v>
      </c>
      <c r="BL777" s="7">
        <f>0</f>
        <v>0</v>
      </c>
      <c r="BM777" s="5" t="s">
        <v>258</v>
      </c>
      <c r="BN777" s="5" t="s">
        <v>259</v>
      </c>
      <c r="CB777" s="5" t="s">
        <v>240</v>
      </c>
      <c r="CC777" s="5" t="s">
        <v>240</v>
      </c>
      <c r="CG777" s="5" t="s">
        <v>617</v>
      </c>
      <c r="CH777" s="5" t="s">
        <v>305</v>
      </c>
      <c r="CI777" s="5" t="s">
        <v>240</v>
      </c>
      <c r="CL777" s="6" t="s">
        <v>261</v>
      </c>
      <c r="CM777" s="5" t="s">
        <v>240</v>
      </c>
      <c r="CN777" s="5" t="s">
        <v>263</v>
      </c>
      <c r="CO777" s="5" t="s">
        <v>240</v>
      </c>
      <c r="CP777" s="5" t="s">
        <v>240</v>
      </c>
      <c r="CQ777" s="5">
        <v>0</v>
      </c>
      <c r="CR777" s="5" t="s">
        <v>306</v>
      </c>
      <c r="CS777" s="5" t="s">
        <v>307</v>
      </c>
      <c r="CT777" s="5" t="s">
        <v>307</v>
      </c>
      <c r="CU777" s="5" t="s">
        <v>260</v>
      </c>
      <c r="CX777" s="7">
        <f>480655</f>
        <v>480655</v>
      </c>
      <c r="CY777" s="7">
        <f>0</f>
        <v>0</v>
      </c>
      <c r="DA777" s="7">
        <f>0</f>
        <v>0</v>
      </c>
      <c r="DC777" s="5" t="s">
        <v>618</v>
      </c>
      <c r="DD777" s="5" t="s">
        <v>240</v>
      </c>
      <c r="DF777" s="5" t="s">
        <v>450</v>
      </c>
      <c r="DG777" s="7">
        <f>0</f>
        <v>0</v>
      </c>
      <c r="DI777" s="5" t="s">
        <v>618</v>
      </c>
      <c r="DJ777" s="5" t="s">
        <v>240</v>
      </c>
      <c r="DK777" s="5" t="s">
        <v>240</v>
      </c>
      <c r="DL777" s="5" t="s">
        <v>240</v>
      </c>
      <c r="DP777" s="5" t="s">
        <v>240</v>
      </c>
      <c r="DQ777" s="5" t="s">
        <v>240</v>
      </c>
      <c r="DR777" s="5" t="s">
        <v>240</v>
      </c>
      <c r="DS777" s="5" t="s">
        <v>240</v>
      </c>
      <c r="DV777" s="5" t="s">
        <v>1671</v>
      </c>
      <c r="DW777" s="5" t="s">
        <v>804</v>
      </c>
      <c r="HO777" s="5" t="s">
        <v>312</v>
      </c>
    </row>
    <row r="778" spans="1:223" x14ac:dyDescent="0.4">
      <c r="A778" s="5">
        <v>2453</v>
      </c>
      <c r="B778" s="5">
        <v>1</v>
      </c>
      <c r="C778" s="5">
        <v>1</v>
      </c>
      <c r="D778" s="5" t="s">
        <v>297</v>
      </c>
      <c r="E778" s="5" t="s">
        <v>245</v>
      </c>
      <c r="F778" s="5" t="s">
        <v>254</v>
      </c>
      <c r="G778" s="5" t="s">
        <v>240</v>
      </c>
      <c r="H778" s="6" t="s">
        <v>743</v>
      </c>
      <c r="I778" s="5" t="s">
        <v>295</v>
      </c>
      <c r="J778" s="8">
        <f>1833</f>
        <v>1833</v>
      </c>
      <c r="K778" s="5" t="s">
        <v>308</v>
      </c>
      <c r="L778" s="7">
        <f>1</f>
        <v>1</v>
      </c>
      <c r="M778" s="7">
        <f>1</f>
        <v>1</v>
      </c>
      <c r="N778" s="5" t="s">
        <v>242</v>
      </c>
      <c r="O778" s="5">
        <v>1</v>
      </c>
      <c r="P778" s="5" t="s">
        <v>294</v>
      </c>
      <c r="Q778" s="5" t="s">
        <v>613</v>
      </c>
      <c r="R778" s="5" t="s">
        <v>240</v>
      </c>
      <c r="S778" s="5" t="s">
        <v>240</v>
      </c>
      <c r="T778" s="5" t="s">
        <v>243</v>
      </c>
      <c r="U778" s="5" t="s">
        <v>244</v>
      </c>
      <c r="V778" s="5" t="s">
        <v>240</v>
      </c>
      <c r="Y778" s="5" t="s">
        <v>240</v>
      </c>
      <c r="Z778" s="6" t="s">
        <v>298</v>
      </c>
      <c r="AB778" s="6" t="s">
        <v>240</v>
      </c>
      <c r="AE778" s="6" t="s">
        <v>299</v>
      </c>
      <c r="AF778" s="5" t="s">
        <v>248</v>
      </c>
      <c r="AG778" s="5" t="s">
        <v>249</v>
      </c>
      <c r="AW778" s="5" t="s">
        <v>251</v>
      </c>
      <c r="AX778" s="5" t="s">
        <v>240</v>
      </c>
      <c r="AY778" s="5" t="s">
        <v>253</v>
      </c>
      <c r="AZ778" s="5" t="s">
        <v>240</v>
      </c>
      <c r="BA778" s="5" t="s">
        <v>255</v>
      </c>
      <c r="BB778" s="5" t="s">
        <v>240</v>
      </c>
      <c r="BD778" s="5" t="s">
        <v>240</v>
      </c>
      <c r="BF778" s="5" t="s">
        <v>301</v>
      </c>
      <c r="BG778" s="6" t="s">
        <v>299</v>
      </c>
      <c r="BH778" s="5" t="s">
        <v>302</v>
      </c>
      <c r="BI778" s="5" t="s">
        <v>303</v>
      </c>
      <c r="BJ778" s="5" t="s">
        <v>240</v>
      </c>
      <c r="BK778" s="8">
        <f>0</f>
        <v>0</v>
      </c>
      <c r="BL778" s="7">
        <f>0</f>
        <v>0</v>
      </c>
      <c r="BM778" s="5" t="s">
        <v>258</v>
      </c>
      <c r="BN778" s="5" t="s">
        <v>259</v>
      </c>
      <c r="CB778" s="5" t="s">
        <v>240</v>
      </c>
      <c r="CC778" s="5" t="s">
        <v>240</v>
      </c>
      <c r="CG778" s="5" t="s">
        <v>617</v>
      </c>
      <c r="CH778" s="5" t="s">
        <v>305</v>
      </c>
      <c r="CI778" s="5" t="s">
        <v>240</v>
      </c>
      <c r="CL778" s="6" t="s">
        <v>261</v>
      </c>
      <c r="CM778" s="5" t="s">
        <v>240</v>
      </c>
      <c r="CN778" s="5" t="s">
        <v>263</v>
      </c>
      <c r="CO778" s="5" t="s">
        <v>240</v>
      </c>
      <c r="CP778" s="5" t="s">
        <v>240</v>
      </c>
      <c r="CQ778" s="5">
        <v>0</v>
      </c>
      <c r="CR778" s="5" t="s">
        <v>306</v>
      </c>
      <c r="CS778" s="5" t="s">
        <v>307</v>
      </c>
      <c r="CT778" s="5" t="s">
        <v>307</v>
      </c>
      <c r="CU778" s="5" t="s">
        <v>260</v>
      </c>
      <c r="CX778" s="7">
        <f>568854</f>
        <v>568854</v>
      </c>
      <c r="CY778" s="7">
        <f>0</f>
        <v>0</v>
      </c>
      <c r="DA778" s="7">
        <f>0</f>
        <v>0</v>
      </c>
      <c r="DC778" s="5" t="s">
        <v>843</v>
      </c>
      <c r="DD778" s="5" t="s">
        <v>240</v>
      </c>
      <c r="DF778" s="5" t="s">
        <v>450</v>
      </c>
      <c r="DG778" s="7">
        <f>0</f>
        <v>0</v>
      </c>
      <c r="DI778" s="5" t="s">
        <v>843</v>
      </c>
      <c r="DJ778" s="5" t="s">
        <v>240</v>
      </c>
      <c r="DK778" s="5" t="s">
        <v>240</v>
      </c>
      <c r="DL778" s="5" t="s">
        <v>240</v>
      </c>
      <c r="DP778" s="5" t="s">
        <v>240</v>
      </c>
      <c r="DQ778" s="5" t="s">
        <v>240</v>
      </c>
      <c r="DR778" s="5" t="s">
        <v>240</v>
      </c>
      <c r="DS778" s="5" t="s">
        <v>240</v>
      </c>
      <c r="DV778" s="5" t="s">
        <v>1671</v>
      </c>
      <c r="DW778" s="5" t="s">
        <v>808</v>
      </c>
      <c r="HO778" s="5" t="s">
        <v>312</v>
      </c>
    </row>
    <row r="779" spans="1:223" x14ac:dyDescent="0.4">
      <c r="A779" s="5">
        <v>2454</v>
      </c>
      <c r="B779" s="5">
        <v>1</v>
      </c>
      <c r="C779" s="5">
        <v>1</v>
      </c>
      <c r="D779" s="5" t="s">
        <v>297</v>
      </c>
      <c r="E779" s="5" t="s">
        <v>245</v>
      </c>
      <c r="F779" s="5" t="s">
        <v>254</v>
      </c>
      <c r="G779" s="5" t="s">
        <v>240</v>
      </c>
      <c r="H779" s="6" t="s">
        <v>741</v>
      </c>
      <c r="I779" s="5" t="s">
        <v>295</v>
      </c>
      <c r="J779" s="8">
        <f>180</f>
        <v>180</v>
      </c>
      <c r="K779" s="5" t="s">
        <v>308</v>
      </c>
      <c r="L779" s="7">
        <f>1</f>
        <v>1</v>
      </c>
      <c r="M779" s="7">
        <f>1</f>
        <v>1</v>
      </c>
      <c r="N779" s="5" t="s">
        <v>242</v>
      </c>
      <c r="O779" s="5">
        <v>1</v>
      </c>
      <c r="P779" s="5" t="s">
        <v>294</v>
      </c>
      <c r="Q779" s="5" t="s">
        <v>613</v>
      </c>
      <c r="R779" s="5" t="s">
        <v>240</v>
      </c>
      <c r="S779" s="5" t="s">
        <v>240</v>
      </c>
      <c r="T779" s="5" t="s">
        <v>243</v>
      </c>
      <c r="U779" s="5" t="s">
        <v>244</v>
      </c>
      <c r="V779" s="5" t="s">
        <v>240</v>
      </c>
      <c r="Y779" s="5" t="s">
        <v>240</v>
      </c>
      <c r="Z779" s="6" t="s">
        <v>298</v>
      </c>
      <c r="AB779" s="6" t="s">
        <v>240</v>
      </c>
      <c r="AE779" s="6" t="s">
        <v>299</v>
      </c>
      <c r="AF779" s="5" t="s">
        <v>248</v>
      </c>
      <c r="AG779" s="5" t="s">
        <v>249</v>
      </c>
      <c r="AW779" s="5" t="s">
        <v>251</v>
      </c>
      <c r="AX779" s="5" t="s">
        <v>240</v>
      </c>
      <c r="AY779" s="5" t="s">
        <v>253</v>
      </c>
      <c r="AZ779" s="5" t="s">
        <v>240</v>
      </c>
      <c r="BA779" s="5" t="s">
        <v>255</v>
      </c>
      <c r="BB779" s="5" t="s">
        <v>240</v>
      </c>
      <c r="BD779" s="5" t="s">
        <v>240</v>
      </c>
      <c r="BF779" s="5" t="s">
        <v>301</v>
      </c>
      <c r="BG779" s="6" t="s">
        <v>299</v>
      </c>
      <c r="BH779" s="5" t="s">
        <v>302</v>
      </c>
      <c r="BI779" s="5" t="s">
        <v>303</v>
      </c>
      <c r="BJ779" s="5" t="s">
        <v>240</v>
      </c>
      <c r="BK779" s="8">
        <f>0</f>
        <v>0</v>
      </c>
      <c r="BL779" s="7">
        <f>0</f>
        <v>0</v>
      </c>
      <c r="BM779" s="5" t="s">
        <v>258</v>
      </c>
      <c r="BN779" s="5" t="s">
        <v>259</v>
      </c>
      <c r="CB779" s="5" t="s">
        <v>240</v>
      </c>
      <c r="CC779" s="5" t="s">
        <v>240</v>
      </c>
      <c r="CG779" s="5" t="s">
        <v>617</v>
      </c>
      <c r="CH779" s="5" t="s">
        <v>305</v>
      </c>
      <c r="CI779" s="5" t="s">
        <v>240</v>
      </c>
      <c r="CL779" s="6" t="s">
        <v>261</v>
      </c>
      <c r="CM779" s="5" t="s">
        <v>240</v>
      </c>
      <c r="CN779" s="5" t="s">
        <v>263</v>
      </c>
      <c r="CO779" s="5" t="s">
        <v>240</v>
      </c>
      <c r="CP779" s="5" t="s">
        <v>240</v>
      </c>
      <c r="CQ779" s="5">
        <v>0</v>
      </c>
      <c r="CR779" s="5" t="s">
        <v>306</v>
      </c>
      <c r="CS779" s="5" t="s">
        <v>307</v>
      </c>
      <c r="CT779" s="5" t="s">
        <v>307</v>
      </c>
      <c r="CU779" s="5" t="s">
        <v>260</v>
      </c>
      <c r="CX779" s="7">
        <f>70200</f>
        <v>70200</v>
      </c>
      <c r="CY779" s="7">
        <f>0</f>
        <v>0</v>
      </c>
      <c r="DA779" s="7">
        <f>0</f>
        <v>0</v>
      </c>
      <c r="DC779" s="5" t="s">
        <v>1674</v>
      </c>
      <c r="DD779" s="5" t="s">
        <v>240</v>
      </c>
      <c r="DF779" s="5" t="s">
        <v>450</v>
      </c>
      <c r="DG779" s="7">
        <f>0</f>
        <v>0</v>
      </c>
      <c r="DI779" s="5" t="s">
        <v>843</v>
      </c>
      <c r="DJ779" s="5" t="s">
        <v>240</v>
      </c>
      <c r="DK779" s="5" t="s">
        <v>240</v>
      </c>
      <c r="DL779" s="5" t="s">
        <v>240</v>
      </c>
      <c r="DP779" s="5" t="s">
        <v>240</v>
      </c>
      <c r="DQ779" s="5" t="s">
        <v>240</v>
      </c>
      <c r="DR779" s="5" t="s">
        <v>240</v>
      </c>
      <c r="DS779" s="5" t="s">
        <v>240</v>
      </c>
      <c r="DV779" s="5" t="s">
        <v>1671</v>
      </c>
      <c r="DW779" s="5" t="s">
        <v>1260</v>
      </c>
      <c r="HO779" s="5" t="s">
        <v>312</v>
      </c>
    </row>
    <row r="780" spans="1:223" x14ac:dyDescent="0.4">
      <c r="A780" s="5">
        <v>2455</v>
      </c>
      <c r="B780" s="5">
        <v>1</v>
      </c>
      <c r="C780" s="5">
        <v>1</v>
      </c>
      <c r="D780" s="5" t="s">
        <v>297</v>
      </c>
      <c r="E780" s="5" t="s">
        <v>245</v>
      </c>
      <c r="F780" s="5" t="s">
        <v>254</v>
      </c>
      <c r="G780" s="5" t="s">
        <v>240</v>
      </c>
      <c r="H780" s="6" t="s">
        <v>739</v>
      </c>
      <c r="I780" s="5" t="s">
        <v>295</v>
      </c>
      <c r="J780" s="8">
        <f>5354</f>
        <v>5354</v>
      </c>
      <c r="K780" s="5" t="s">
        <v>308</v>
      </c>
      <c r="L780" s="7">
        <f>1</f>
        <v>1</v>
      </c>
      <c r="M780" s="7">
        <f>1</f>
        <v>1</v>
      </c>
      <c r="N780" s="5" t="s">
        <v>242</v>
      </c>
      <c r="O780" s="5">
        <v>1</v>
      </c>
      <c r="P780" s="5" t="s">
        <v>294</v>
      </c>
      <c r="Q780" s="5" t="s">
        <v>266</v>
      </c>
      <c r="R780" s="5" t="s">
        <v>240</v>
      </c>
      <c r="S780" s="5" t="s">
        <v>240</v>
      </c>
      <c r="T780" s="5" t="s">
        <v>296</v>
      </c>
      <c r="U780" s="5" t="s">
        <v>244</v>
      </c>
      <c r="V780" s="5" t="s">
        <v>240</v>
      </c>
      <c r="Y780" s="5" t="s">
        <v>240</v>
      </c>
      <c r="Z780" s="6" t="s">
        <v>298</v>
      </c>
      <c r="AB780" s="6" t="s">
        <v>240</v>
      </c>
      <c r="AE780" s="6" t="s">
        <v>299</v>
      </c>
      <c r="AF780" s="5" t="s">
        <v>248</v>
      </c>
      <c r="AG780" s="5" t="s">
        <v>249</v>
      </c>
      <c r="AW780" s="5" t="s">
        <v>251</v>
      </c>
      <c r="AX780" s="5" t="s">
        <v>240</v>
      </c>
      <c r="AY780" s="5" t="s">
        <v>253</v>
      </c>
      <c r="AZ780" s="5" t="s">
        <v>240</v>
      </c>
      <c r="BA780" s="5" t="s">
        <v>255</v>
      </c>
      <c r="BB780" s="5" t="s">
        <v>240</v>
      </c>
      <c r="BD780" s="5" t="s">
        <v>240</v>
      </c>
      <c r="BF780" s="5" t="s">
        <v>301</v>
      </c>
      <c r="BG780" s="6" t="s">
        <v>299</v>
      </c>
      <c r="BH780" s="5" t="s">
        <v>302</v>
      </c>
      <c r="BI780" s="5" t="s">
        <v>303</v>
      </c>
      <c r="BJ780" s="5" t="s">
        <v>240</v>
      </c>
      <c r="BK780" s="8">
        <f>0</f>
        <v>0</v>
      </c>
      <c r="BL780" s="7">
        <f>0</f>
        <v>0</v>
      </c>
      <c r="BM780" s="5" t="s">
        <v>258</v>
      </c>
      <c r="BN780" s="5" t="s">
        <v>259</v>
      </c>
      <c r="CB780" s="5" t="s">
        <v>240</v>
      </c>
      <c r="CC780" s="5" t="s">
        <v>240</v>
      </c>
      <c r="CG780" s="5" t="s">
        <v>304</v>
      </c>
      <c r="CH780" s="5" t="s">
        <v>305</v>
      </c>
      <c r="CI780" s="5" t="s">
        <v>240</v>
      </c>
      <c r="CL780" s="6" t="s">
        <v>261</v>
      </c>
      <c r="CM780" s="5" t="s">
        <v>240</v>
      </c>
      <c r="CN780" s="5" t="s">
        <v>263</v>
      </c>
      <c r="CO780" s="5" t="s">
        <v>240</v>
      </c>
      <c r="CP780" s="5" t="s">
        <v>240</v>
      </c>
      <c r="CQ780" s="5">
        <v>0</v>
      </c>
      <c r="CR780" s="5" t="s">
        <v>306</v>
      </c>
      <c r="CS780" s="5" t="s">
        <v>307</v>
      </c>
      <c r="CT780" s="5" t="s">
        <v>307</v>
      </c>
      <c r="CU780" s="5" t="s">
        <v>260</v>
      </c>
      <c r="CX780" s="7">
        <f>1</f>
        <v>1</v>
      </c>
      <c r="CY780" s="7">
        <f>0</f>
        <v>0</v>
      </c>
      <c r="DA780" s="7">
        <f>0</f>
        <v>0</v>
      </c>
      <c r="DC780" s="5" t="s">
        <v>309</v>
      </c>
      <c r="DD780" s="5" t="s">
        <v>240</v>
      </c>
      <c r="DF780" s="5" t="s">
        <v>309</v>
      </c>
      <c r="DG780" s="7">
        <f>3053</f>
        <v>3053</v>
      </c>
      <c r="DI780" s="5" t="s">
        <v>240</v>
      </c>
      <c r="DJ780" s="5" t="s">
        <v>240</v>
      </c>
      <c r="DK780" s="5" t="s">
        <v>240</v>
      </c>
      <c r="DL780" s="5" t="s">
        <v>240</v>
      </c>
      <c r="DP780" s="5" t="s">
        <v>240</v>
      </c>
      <c r="DQ780" s="5" t="s">
        <v>240</v>
      </c>
      <c r="DR780" s="5" t="s">
        <v>240</v>
      </c>
      <c r="DS780" s="5" t="s">
        <v>240</v>
      </c>
      <c r="DV780" s="5" t="s">
        <v>310</v>
      </c>
      <c r="DW780" s="5" t="s">
        <v>1190</v>
      </c>
      <c r="HO780" s="5" t="s">
        <v>312</v>
      </c>
    </row>
    <row r="781" spans="1:223" x14ac:dyDescent="0.4">
      <c r="A781" s="5">
        <v>2456</v>
      </c>
      <c r="B781" s="5">
        <v>1</v>
      </c>
      <c r="C781" s="5">
        <v>1</v>
      </c>
      <c r="D781" s="5" t="s">
        <v>297</v>
      </c>
      <c r="E781" s="5" t="s">
        <v>245</v>
      </c>
      <c r="F781" s="5" t="s">
        <v>254</v>
      </c>
      <c r="G781" s="5" t="s">
        <v>240</v>
      </c>
      <c r="H781" s="6" t="s">
        <v>4202</v>
      </c>
      <c r="I781" s="5" t="s">
        <v>295</v>
      </c>
      <c r="J781" s="8">
        <f>1844</f>
        <v>1844</v>
      </c>
      <c r="K781" s="5" t="s">
        <v>308</v>
      </c>
      <c r="L781" s="7">
        <f>1</f>
        <v>1</v>
      </c>
      <c r="M781" s="7">
        <f>1</f>
        <v>1</v>
      </c>
      <c r="N781" s="5" t="s">
        <v>242</v>
      </c>
      <c r="O781" s="5">
        <v>1</v>
      </c>
      <c r="P781" s="5" t="s">
        <v>294</v>
      </c>
      <c r="Q781" s="5" t="s">
        <v>613</v>
      </c>
      <c r="R781" s="5" t="s">
        <v>240</v>
      </c>
      <c r="S781" s="5" t="s">
        <v>240</v>
      </c>
      <c r="T781" s="5" t="s">
        <v>243</v>
      </c>
      <c r="U781" s="5" t="s">
        <v>244</v>
      </c>
      <c r="V781" s="5" t="s">
        <v>240</v>
      </c>
      <c r="Y781" s="5" t="s">
        <v>240</v>
      </c>
      <c r="Z781" s="6" t="s">
        <v>298</v>
      </c>
      <c r="AB781" s="6" t="s">
        <v>240</v>
      </c>
      <c r="AE781" s="6" t="s">
        <v>299</v>
      </c>
      <c r="AF781" s="5" t="s">
        <v>248</v>
      </c>
      <c r="AG781" s="5" t="s">
        <v>249</v>
      </c>
      <c r="AW781" s="5" t="s">
        <v>251</v>
      </c>
      <c r="AX781" s="5" t="s">
        <v>240</v>
      </c>
      <c r="AY781" s="5" t="s">
        <v>253</v>
      </c>
      <c r="AZ781" s="5" t="s">
        <v>240</v>
      </c>
      <c r="BA781" s="5" t="s">
        <v>255</v>
      </c>
      <c r="BB781" s="5" t="s">
        <v>240</v>
      </c>
      <c r="BD781" s="5" t="s">
        <v>240</v>
      </c>
      <c r="BF781" s="5" t="s">
        <v>301</v>
      </c>
      <c r="BG781" s="6" t="s">
        <v>299</v>
      </c>
      <c r="BH781" s="5" t="s">
        <v>302</v>
      </c>
      <c r="BI781" s="5" t="s">
        <v>303</v>
      </c>
      <c r="BJ781" s="5" t="s">
        <v>240</v>
      </c>
      <c r="BK781" s="8">
        <f>0</f>
        <v>0</v>
      </c>
      <c r="BL781" s="7">
        <f>0</f>
        <v>0</v>
      </c>
      <c r="BM781" s="5" t="s">
        <v>258</v>
      </c>
      <c r="BN781" s="5" t="s">
        <v>259</v>
      </c>
      <c r="CB781" s="5" t="s">
        <v>240</v>
      </c>
      <c r="CC781" s="5" t="s">
        <v>240</v>
      </c>
      <c r="CG781" s="5" t="s">
        <v>617</v>
      </c>
      <c r="CH781" s="5" t="s">
        <v>305</v>
      </c>
      <c r="CI781" s="5" t="s">
        <v>240</v>
      </c>
      <c r="CL781" s="6" t="s">
        <v>261</v>
      </c>
      <c r="CM781" s="5" t="s">
        <v>240</v>
      </c>
      <c r="CN781" s="5" t="s">
        <v>263</v>
      </c>
      <c r="CO781" s="5" t="s">
        <v>240</v>
      </c>
      <c r="CP781" s="5" t="s">
        <v>240</v>
      </c>
      <c r="CQ781" s="5">
        <v>0</v>
      </c>
      <c r="CR781" s="5" t="s">
        <v>306</v>
      </c>
      <c r="CS781" s="5" t="s">
        <v>307</v>
      </c>
      <c r="CT781" s="5" t="s">
        <v>307</v>
      </c>
      <c r="CU781" s="5" t="s">
        <v>260</v>
      </c>
      <c r="CX781" s="7">
        <f>1437800</f>
        <v>1437800</v>
      </c>
      <c r="CY781" s="7">
        <f>0</f>
        <v>0</v>
      </c>
      <c r="DA781" s="7">
        <f>0</f>
        <v>0</v>
      </c>
      <c r="DC781" s="5" t="s">
        <v>1674</v>
      </c>
      <c r="DD781" s="5" t="s">
        <v>240</v>
      </c>
      <c r="DF781" s="5" t="s">
        <v>450</v>
      </c>
      <c r="DG781" s="7">
        <f>0</f>
        <v>0</v>
      </c>
      <c r="DI781" s="5" t="s">
        <v>843</v>
      </c>
      <c r="DJ781" s="5" t="s">
        <v>240</v>
      </c>
      <c r="DK781" s="5" t="s">
        <v>240</v>
      </c>
      <c r="DL781" s="5" t="s">
        <v>240</v>
      </c>
      <c r="DP781" s="5" t="s">
        <v>240</v>
      </c>
      <c r="DQ781" s="5" t="s">
        <v>240</v>
      </c>
      <c r="DR781" s="5" t="s">
        <v>240</v>
      </c>
      <c r="DS781" s="5" t="s">
        <v>240</v>
      </c>
      <c r="DV781" s="5" t="s">
        <v>1671</v>
      </c>
      <c r="DW781" s="5" t="s">
        <v>816</v>
      </c>
      <c r="HO781" s="5" t="s">
        <v>312</v>
      </c>
    </row>
    <row r="782" spans="1:223" x14ac:dyDescent="0.4">
      <c r="A782" s="5">
        <v>2457</v>
      </c>
      <c r="B782" s="5">
        <v>1</v>
      </c>
      <c r="C782" s="5">
        <v>1</v>
      </c>
      <c r="D782" s="5" t="s">
        <v>297</v>
      </c>
      <c r="E782" s="5" t="s">
        <v>245</v>
      </c>
      <c r="F782" s="5" t="s">
        <v>254</v>
      </c>
      <c r="G782" s="5" t="s">
        <v>240</v>
      </c>
      <c r="H782" s="6" t="s">
        <v>720</v>
      </c>
      <c r="I782" s="5" t="s">
        <v>295</v>
      </c>
      <c r="J782" s="8">
        <f>870</f>
        <v>870</v>
      </c>
      <c r="K782" s="5" t="s">
        <v>308</v>
      </c>
      <c r="L782" s="7">
        <f>1</f>
        <v>1</v>
      </c>
      <c r="M782" s="7">
        <f>1</f>
        <v>1</v>
      </c>
      <c r="N782" s="5" t="s">
        <v>242</v>
      </c>
      <c r="O782" s="5">
        <v>1</v>
      </c>
      <c r="P782" s="5" t="s">
        <v>294</v>
      </c>
      <c r="Q782" s="5" t="s">
        <v>266</v>
      </c>
      <c r="R782" s="5" t="s">
        <v>240</v>
      </c>
      <c r="S782" s="5" t="s">
        <v>240</v>
      </c>
      <c r="T782" s="5" t="s">
        <v>296</v>
      </c>
      <c r="U782" s="5" t="s">
        <v>244</v>
      </c>
      <c r="V782" s="5" t="s">
        <v>240</v>
      </c>
      <c r="Y782" s="5" t="s">
        <v>240</v>
      </c>
      <c r="Z782" s="6" t="s">
        <v>298</v>
      </c>
      <c r="AB782" s="6" t="s">
        <v>240</v>
      </c>
      <c r="AE782" s="6" t="s">
        <v>299</v>
      </c>
      <c r="AF782" s="5" t="s">
        <v>248</v>
      </c>
      <c r="AG782" s="5" t="s">
        <v>249</v>
      </c>
      <c r="AW782" s="5" t="s">
        <v>251</v>
      </c>
      <c r="AX782" s="5" t="s">
        <v>240</v>
      </c>
      <c r="AY782" s="5" t="s">
        <v>253</v>
      </c>
      <c r="AZ782" s="5" t="s">
        <v>240</v>
      </c>
      <c r="BA782" s="5" t="s">
        <v>255</v>
      </c>
      <c r="BB782" s="5" t="s">
        <v>240</v>
      </c>
      <c r="BD782" s="5" t="s">
        <v>240</v>
      </c>
      <c r="BF782" s="5" t="s">
        <v>301</v>
      </c>
      <c r="BG782" s="6" t="s">
        <v>299</v>
      </c>
      <c r="BH782" s="5" t="s">
        <v>302</v>
      </c>
      <c r="BI782" s="5" t="s">
        <v>303</v>
      </c>
      <c r="BJ782" s="5" t="s">
        <v>240</v>
      </c>
      <c r="BK782" s="8">
        <f>0</f>
        <v>0</v>
      </c>
      <c r="BL782" s="7">
        <f>0</f>
        <v>0</v>
      </c>
      <c r="BM782" s="5" t="s">
        <v>258</v>
      </c>
      <c r="BN782" s="5" t="s">
        <v>259</v>
      </c>
      <c r="CB782" s="5" t="s">
        <v>240</v>
      </c>
      <c r="CC782" s="5" t="s">
        <v>240</v>
      </c>
      <c r="CG782" s="5" t="s">
        <v>304</v>
      </c>
      <c r="CH782" s="5" t="s">
        <v>305</v>
      </c>
      <c r="CI782" s="5" t="s">
        <v>240</v>
      </c>
      <c r="CL782" s="6" t="s">
        <v>261</v>
      </c>
      <c r="CM782" s="5" t="s">
        <v>240</v>
      </c>
      <c r="CN782" s="5" t="s">
        <v>263</v>
      </c>
      <c r="CO782" s="5" t="s">
        <v>240</v>
      </c>
      <c r="CP782" s="5" t="s">
        <v>240</v>
      </c>
      <c r="CQ782" s="5">
        <v>0</v>
      </c>
      <c r="CR782" s="5" t="s">
        <v>306</v>
      </c>
      <c r="CS782" s="5" t="s">
        <v>307</v>
      </c>
      <c r="CT782" s="5" t="s">
        <v>307</v>
      </c>
      <c r="CU782" s="5" t="s">
        <v>260</v>
      </c>
      <c r="CX782" s="7">
        <f>1</f>
        <v>1</v>
      </c>
      <c r="CY782" s="7">
        <f>0</f>
        <v>0</v>
      </c>
      <c r="DA782" s="7">
        <f>0</f>
        <v>0</v>
      </c>
      <c r="DC782" s="5" t="s">
        <v>812</v>
      </c>
      <c r="DD782" s="5" t="s">
        <v>240</v>
      </c>
      <c r="DF782" s="5" t="s">
        <v>812</v>
      </c>
      <c r="DG782" s="7">
        <f>189</f>
        <v>189</v>
      </c>
      <c r="DI782" s="5" t="s">
        <v>240</v>
      </c>
      <c r="DJ782" s="5" t="s">
        <v>240</v>
      </c>
      <c r="DK782" s="5" t="s">
        <v>240</v>
      </c>
      <c r="DL782" s="5" t="s">
        <v>240</v>
      </c>
      <c r="DP782" s="5" t="s">
        <v>240</v>
      </c>
      <c r="DQ782" s="5" t="s">
        <v>240</v>
      </c>
      <c r="DR782" s="5" t="s">
        <v>240</v>
      </c>
      <c r="DS782" s="5" t="s">
        <v>240</v>
      </c>
      <c r="DV782" s="5" t="s">
        <v>813</v>
      </c>
      <c r="DW782" s="5" t="s">
        <v>1639</v>
      </c>
      <c r="HO782" s="5" t="s">
        <v>312</v>
      </c>
    </row>
    <row r="783" spans="1:223" x14ac:dyDescent="0.4">
      <c r="A783" s="5">
        <v>2458</v>
      </c>
      <c r="B783" s="5">
        <v>1</v>
      </c>
      <c r="C783" s="5">
        <v>1</v>
      </c>
      <c r="D783" s="5" t="s">
        <v>297</v>
      </c>
      <c r="E783" s="5" t="s">
        <v>245</v>
      </c>
      <c r="F783" s="5" t="s">
        <v>254</v>
      </c>
      <c r="G783" s="5" t="s">
        <v>240</v>
      </c>
      <c r="H783" s="6" t="s">
        <v>718</v>
      </c>
      <c r="I783" s="5" t="s">
        <v>295</v>
      </c>
      <c r="J783" s="8">
        <f>2925</f>
        <v>2925</v>
      </c>
      <c r="K783" s="5" t="s">
        <v>308</v>
      </c>
      <c r="L783" s="7">
        <f>1</f>
        <v>1</v>
      </c>
      <c r="M783" s="7">
        <f>1</f>
        <v>1</v>
      </c>
      <c r="N783" s="5" t="s">
        <v>242</v>
      </c>
      <c r="O783" s="5">
        <v>1</v>
      </c>
      <c r="P783" s="5" t="s">
        <v>294</v>
      </c>
      <c r="Q783" s="5" t="s">
        <v>613</v>
      </c>
      <c r="R783" s="5" t="s">
        <v>240</v>
      </c>
      <c r="S783" s="5" t="s">
        <v>240</v>
      </c>
      <c r="T783" s="5" t="s">
        <v>243</v>
      </c>
      <c r="U783" s="5" t="s">
        <v>244</v>
      </c>
      <c r="V783" s="5" t="s">
        <v>240</v>
      </c>
      <c r="Y783" s="5" t="s">
        <v>240</v>
      </c>
      <c r="Z783" s="6" t="s">
        <v>298</v>
      </c>
      <c r="AB783" s="6" t="s">
        <v>240</v>
      </c>
      <c r="AE783" s="6" t="s">
        <v>299</v>
      </c>
      <c r="AF783" s="5" t="s">
        <v>248</v>
      </c>
      <c r="AG783" s="5" t="s">
        <v>249</v>
      </c>
      <c r="AW783" s="5" t="s">
        <v>251</v>
      </c>
      <c r="AX783" s="5" t="s">
        <v>240</v>
      </c>
      <c r="AY783" s="5" t="s">
        <v>253</v>
      </c>
      <c r="AZ783" s="5" t="s">
        <v>240</v>
      </c>
      <c r="BA783" s="5" t="s">
        <v>255</v>
      </c>
      <c r="BB783" s="5" t="s">
        <v>240</v>
      </c>
      <c r="BD783" s="5" t="s">
        <v>240</v>
      </c>
      <c r="BF783" s="5" t="s">
        <v>301</v>
      </c>
      <c r="BG783" s="6" t="s">
        <v>299</v>
      </c>
      <c r="BH783" s="5" t="s">
        <v>302</v>
      </c>
      <c r="BI783" s="5" t="s">
        <v>303</v>
      </c>
      <c r="BJ783" s="5" t="s">
        <v>240</v>
      </c>
      <c r="BK783" s="8">
        <f>0</f>
        <v>0</v>
      </c>
      <c r="BL783" s="7">
        <f>0</f>
        <v>0</v>
      </c>
      <c r="BM783" s="5" t="s">
        <v>258</v>
      </c>
      <c r="BN783" s="5" t="s">
        <v>259</v>
      </c>
      <c r="CB783" s="5" t="s">
        <v>240</v>
      </c>
      <c r="CC783" s="5" t="s">
        <v>240</v>
      </c>
      <c r="CG783" s="5" t="s">
        <v>617</v>
      </c>
      <c r="CH783" s="5" t="s">
        <v>305</v>
      </c>
      <c r="CI783" s="5" t="s">
        <v>240</v>
      </c>
      <c r="CL783" s="6" t="s">
        <v>261</v>
      </c>
      <c r="CM783" s="5" t="s">
        <v>240</v>
      </c>
      <c r="CN783" s="5" t="s">
        <v>263</v>
      </c>
      <c r="CO783" s="5" t="s">
        <v>240</v>
      </c>
      <c r="CP783" s="5" t="s">
        <v>240</v>
      </c>
      <c r="CQ783" s="5">
        <v>0</v>
      </c>
      <c r="CR783" s="5" t="s">
        <v>306</v>
      </c>
      <c r="CS783" s="5" t="s">
        <v>307</v>
      </c>
      <c r="CT783" s="5" t="s">
        <v>307</v>
      </c>
      <c r="CU783" s="5" t="s">
        <v>260</v>
      </c>
      <c r="CX783" s="7">
        <f>4859</f>
        <v>4859</v>
      </c>
      <c r="CY783" s="7">
        <f>0</f>
        <v>0</v>
      </c>
      <c r="DA783" s="7">
        <f>0</f>
        <v>0</v>
      </c>
      <c r="DC783" s="5" t="s">
        <v>1338</v>
      </c>
      <c r="DD783" s="5" t="s">
        <v>240</v>
      </c>
      <c r="DF783" s="5" t="s">
        <v>450</v>
      </c>
      <c r="DG783" s="7">
        <f>0</f>
        <v>0</v>
      </c>
      <c r="DI783" s="5" t="s">
        <v>1338</v>
      </c>
      <c r="DJ783" s="5" t="s">
        <v>240</v>
      </c>
      <c r="DK783" s="5" t="s">
        <v>240</v>
      </c>
      <c r="DL783" s="5" t="s">
        <v>240</v>
      </c>
      <c r="DP783" s="5" t="s">
        <v>240</v>
      </c>
      <c r="DQ783" s="5" t="s">
        <v>240</v>
      </c>
      <c r="DR783" s="5" t="s">
        <v>240</v>
      </c>
      <c r="DS783" s="5" t="s">
        <v>240</v>
      </c>
      <c r="DV783" s="5" t="s">
        <v>1671</v>
      </c>
      <c r="DW783" s="5" t="s">
        <v>820</v>
      </c>
      <c r="HO783" s="5" t="s">
        <v>312</v>
      </c>
    </row>
    <row r="784" spans="1:223" x14ac:dyDescent="0.4">
      <c r="A784" s="5">
        <v>2459</v>
      </c>
      <c r="B784" s="5">
        <v>1</v>
      </c>
      <c r="C784" s="5">
        <v>1</v>
      </c>
      <c r="D784" s="5" t="s">
        <v>297</v>
      </c>
      <c r="E784" s="5" t="s">
        <v>245</v>
      </c>
      <c r="F784" s="5" t="s">
        <v>254</v>
      </c>
      <c r="G784" s="5" t="s">
        <v>240</v>
      </c>
      <c r="H784" s="6" t="s">
        <v>716</v>
      </c>
      <c r="I784" s="5" t="s">
        <v>295</v>
      </c>
      <c r="J784" s="8">
        <f>487</f>
        <v>487</v>
      </c>
      <c r="K784" s="5" t="s">
        <v>308</v>
      </c>
      <c r="L784" s="7">
        <f>1</f>
        <v>1</v>
      </c>
      <c r="M784" s="7">
        <f>1</f>
        <v>1</v>
      </c>
      <c r="N784" s="5" t="s">
        <v>242</v>
      </c>
      <c r="O784" s="5">
        <v>1</v>
      </c>
      <c r="P784" s="5" t="s">
        <v>294</v>
      </c>
      <c r="Q784" s="5" t="s">
        <v>613</v>
      </c>
      <c r="R784" s="5" t="s">
        <v>240</v>
      </c>
      <c r="S784" s="5" t="s">
        <v>240</v>
      </c>
      <c r="T784" s="5" t="s">
        <v>243</v>
      </c>
      <c r="U784" s="5" t="s">
        <v>244</v>
      </c>
      <c r="V784" s="5" t="s">
        <v>240</v>
      </c>
      <c r="Y784" s="5" t="s">
        <v>240</v>
      </c>
      <c r="Z784" s="6" t="s">
        <v>298</v>
      </c>
      <c r="AB784" s="6" t="s">
        <v>240</v>
      </c>
      <c r="AE784" s="6" t="s">
        <v>299</v>
      </c>
      <c r="AF784" s="5" t="s">
        <v>248</v>
      </c>
      <c r="AG784" s="5" t="s">
        <v>249</v>
      </c>
      <c r="AW784" s="5" t="s">
        <v>251</v>
      </c>
      <c r="AX784" s="5" t="s">
        <v>240</v>
      </c>
      <c r="AY784" s="5" t="s">
        <v>253</v>
      </c>
      <c r="AZ784" s="5" t="s">
        <v>240</v>
      </c>
      <c r="BA784" s="5" t="s">
        <v>255</v>
      </c>
      <c r="BB784" s="5" t="s">
        <v>240</v>
      </c>
      <c r="BD784" s="5" t="s">
        <v>240</v>
      </c>
      <c r="BF784" s="5" t="s">
        <v>301</v>
      </c>
      <c r="BG784" s="6" t="s">
        <v>299</v>
      </c>
      <c r="BH784" s="5" t="s">
        <v>302</v>
      </c>
      <c r="BI784" s="5" t="s">
        <v>303</v>
      </c>
      <c r="BJ784" s="5" t="s">
        <v>240</v>
      </c>
      <c r="BK784" s="8">
        <f>0</f>
        <v>0</v>
      </c>
      <c r="BL784" s="7">
        <f>0</f>
        <v>0</v>
      </c>
      <c r="BM784" s="5" t="s">
        <v>258</v>
      </c>
      <c r="BN784" s="5" t="s">
        <v>259</v>
      </c>
      <c r="CB784" s="5" t="s">
        <v>240</v>
      </c>
      <c r="CC784" s="5" t="s">
        <v>240</v>
      </c>
      <c r="CG784" s="5" t="s">
        <v>617</v>
      </c>
      <c r="CH784" s="5" t="s">
        <v>305</v>
      </c>
      <c r="CI784" s="5" t="s">
        <v>240</v>
      </c>
      <c r="CL784" s="6" t="s">
        <v>261</v>
      </c>
      <c r="CM784" s="5" t="s">
        <v>240</v>
      </c>
      <c r="CN784" s="5" t="s">
        <v>263</v>
      </c>
      <c r="CO784" s="5" t="s">
        <v>240</v>
      </c>
      <c r="CP784" s="5" t="s">
        <v>240</v>
      </c>
      <c r="CQ784" s="5">
        <v>0</v>
      </c>
      <c r="CR784" s="5" t="s">
        <v>306</v>
      </c>
      <c r="CS784" s="5" t="s">
        <v>307</v>
      </c>
      <c r="CT784" s="5" t="s">
        <v>307</v>
      </c>
      <c r="CU784" s="5" t="s">
        <v>260</v>
      </c>
      <c r="CX784" s="7">
        <f>5461</f>
        <v>5461</v>
      </c>
      <c r="CY784" s="7">
        <f>0</f>
        <v>0</v>
      </c>
      <c r="DA784" s="7">
        <f>0</f>
        <v>0</v>
      </c>
      <c r="DC784" s="5" t="s">
        <v>1338</v>
      </c>
      <c r="DD784" s="5" t="s">
        <v>240</v>
      </c>
      <c r="DF784" s="5" t="s">
        <v>450</v>
      </c>
      <c r="DG784" s="7">
        <f>0</f>
        <v>0</v>
      </c>
      <c r="DI784" s="5" t="s">
        <v>1338</v>
      </c>
      <c r="DJ784" s="5" t="s">
        <v>240</v>
      </c>
      <c r="DK784" s="5" t="s">
        <v>240</v>
      </c>
      <c r="DL784" s="5" t="s">
        <v>240</v>
      </c>
      <c r="DP784" s="5" t="s">
        <v>240</v>
      </c>
      <c r="DQ784" s="5" t="s">
        <v>240</v>
      </c>
      <c r="DR784" s="5" t="s">
        <v>240</v>
      </c>
      <c r="DS784" s="5" t="s">
        <v>240</v>
      </c>
      <c r="DV784" s="5" t="s">
        <v>1671</v>
      </c>
      <c r="DW784" s="5" t="s">
        <v>691</v>
      </c>
      <c r="HO784" s="5" t="s">
        <v>312</v>
      </c>
    </row>
    <row r="785" spans="1:223" x14ac:dyDescent="0.4">
      <c r="A785" s="5">
        <v>2460</v>
      </c>
      <c r="B785" s="5">
        <v>1</v>
      </c>
      <c r="C785" s="5">
        <v>1</v>
      </c>
      <c r="D785" s="5" t="s">
        <v>297</v>
      </c>
      <c r="E785" s="5" t="s">
        <v>245</v>
      </c>
      <c r="F785" s="5" t="s">
        <v>254</v>
      </c>
      <c r="G785" s="5" t="s">
        <v>240</v>
      </c>
      <c r="H785" s="6" t="s">
        <v>714</v>
      </c>
      <c r="I785" s="5" t="s">
        <v>295</v>
      </c>
      <c r="J785" s="8">
        <f>2138</f>
        <v>2138</v>
      </c>
      <c r="K785" s="5" t="s">
        <v>308</v>
      </c>
      <c r="L785" s="7">
        <f>1</f>
        <v>1</v>
      </c>
      <c r="M785" s="7">
        <f>1</f>
        <v>1</v>
      </c>
      <c r="N785" s="5" t="s">
        <v>242</v>
      </c>
      <c r="O785" s="5">
        <v>1</v>
      </c>
      <c r="P785" s="5" t="s">
        <v>294</v>
      </c>
      <c r="Q785" s="5" t="s">
        <v>613</v>
      </c>
      <c r="R785" s="5" t="s">
        <v>240</v>
      </c>
      <c r="S785" s="5" t="s">
        <v>240</v>
      </c>
      <c r="T785" s="5" t="s">
        <v>243</v>
      </c>
      <c r="U785" s="5" t="s">
        <v>244</v>
      </c>
      <c r="V785" s="5" t="s">
        <v>240</v>
      </c>
      <c r="Y785" s="5" t="s">
        <v>240</v>
      </c>
      <c r="Z785" s="6" t="s">
        <v>298</v>
      </c>
      <c r="AB785" s="6" t="s">
        <v>240</v>
      </c>
      <c r="AE785" s="6" t="s">
        <v>299</v>
      </c>
      <c r="AF785" s="5" t="s">
        <v>248</v>
      </c>
      <c r="AG785" s="5" t="s">
        <v>249</v>
      </c>
      <c r="AW785" s="5" t="s">
        <v>251</v>
      </c>
      <c r="AX785" s="5" t="s">
        <v>240</v>
      </c>
      <c r="AY785" s="5" t="s">
        <v>253</v>
      </c>
      <c r="AZ785" s="5" t="s">
        <v>240</v>
      </c>
      <c r="BA785" s="5" t="s">
        <v>255</v>
      </c>
      <c r="BB785" s="5" t="s">
        <v>240</v>
      </c>
      <c r="BD785" s="5" t="s">
        <v>240</v>
      </c>
      <c r="BF785" s="5" t="s">
        <v>301</v>
      </c>
      <c r="BG785" s="6" t="s">
        <v>299</v>
      </c>
      <c r="BH785" s="5" t="s">
        <v>302</v>
      </c>
      <c r="BI785" s="5" t="s">
        <v>303</v>
      </c>
      <c r="BJ785" s="5" t="s">
        <v>240</v>
      </c>
      <c r="BK785" s="8">
        <f>0</f>
        <v>0</v>
      </c>
      <c r="BL785" s="7">
        <f>0</f>
        <v>0</v>
      </c>
      <c r="BM785" s="5" t="s">
        <v>258</v>
      </c>
      <c r="BN785" s="5" t="s">
        <v>259</v>
      </c>
      <c r="CB785" s="5" t="s">
        <v>240</v>
      </c>
      <c r="CC785" s="5" t="s">
        <v>240</v>
      </c>
      <c r="CG785" s="5" t="s">
        <v>617</v>
      </c>
      <c r="CH785" s="5" t="s">
        <v>305</v>
      </c>
      <c r="CI785" s="5" t="s">
        <v>240</v>
      </c>
      <c r="CL785" s="6" t="s">
        <v>261</v>
      </c>
      <c r="CM785" s="5" t="s">
        <v>240</v>
      </c>
      <c r="CN785" s="5" t="s">
        <v>263</v>
      </c>
      <c r="CO785" s="5" t="s">
        <v>240</v>
      </c>
      <c r="CP785" s="5" t="s">
        <v>240</v>
      </c>
      <c r="CQ785" s="5">
        <v>0</v>
      </c>
      <c r="CR785" s="5" t="s">
        <v>306</v>
      </c>
      <c r="CS785" s="5" t="s">
        <v>307</v>
      </c>
      <c r="CT785" s="5" t="s">
        <v>307</v>
      </c>
      <c r="CU785" s="5" t="s">
        <v>260</v>
      </c>
      <c r="CX785" s="7">
        <f>3569</f>
        <v>3569</v>
      </c>
      <c r="CY785" s="7">
        <f>0</f>
        <v>0</v>
      </c>
      <c r="DA785" s="7">
        <f>0</f>
        <v>0</v>
      </c>
      <c r="DC785" s="5" t="s">
        <v>1338</v>
      </c>
      <c r="DD785" s="5" t="s">
        <v>240</v>
      </c>
      <c r="DF785" s="5" t="s">
        <v>450</v>
      </c>
      <c r="DG785" s="7">
        <f>0</f>
        <v>0</v>
      </c>
      <c r="DI785" s="5" t="s">
        <v>1338</v>
      </c>
      <c r="DJ785" s="5" t="s">
        <v>240</v>
      </c>
      <c r="DK785" s="5" t="s">
        <v>240</v>
      </c>
      <c r="DL785" s="5" t="s">
        <v>240</v>
      </c>
      <c r="DP785" s="5" t="s">
        <v>240</v>
      </c>
      <c r="DQ785" s="5" t="s">
        <v>240</v>
      </c>
      <c r="DR785" s="5" t="s">
        <v>240</v>
      </c>
      <c r="DS785" s="5" t="s">
        <v>240</v>
      </c>
      <c r="DV785" s="5" t="s">
        <v>1671</v>
      </c>
      <c r="DW785" s="5" t="s">
        <v>620</v>
      </c>
      <c r="HO785" s="5" t="s">
        <v>312</v>
      </c>
    </row>
    <row r="786" spans="1:223" x14ac:dyDescent="0.4">
      <c r="A786" s="5">
        <v>2461</v>
      </c>
      <c r="B786" s="5">
        <v>1</v>
      </c>
      <c r="C786" s="5">
        <v>1</v>
      </c>
      <c r="D786" s="5" t="s">
        <v>297</v>
      </c>
      <c r="E786" s="5" t="s">
        <v>245</v>
      </c>
      <c r="F786" s="5" t="s">
        <v>254</v>
      </c>
      <c r="G786" s="5" t="s">
        <v>240</v>
      </c>
      <c r="H786" s="6" t="s">
        <v>712</v>
      </c>
      <c r="I786" s="5" t="s">
        <v>295</v>
      </c>
      <c r="J786" s="8">
        <f>657</f>
        <v>657</v>
      </c>
      <c r="K786" s="5" t="s">
        <v>308</v>
      </c>
      <c r="L786" s="7">
        <f>1</f>
        <v>1</v>
      </c>
      <c r="M786" s="7">
        <f>1</f>
        <v>1</v>
      </c>
      <c r="N786" s="5" t="s">
        <v>242</v>
      </c>
      <c r="O786" s="5">
        <v>1</v>
      </c>
      <c r="P786" s="5" t="s">
        <v>294</v>
      </c>
      <c r="Q786" s="5" t="s">
        <v>613</v>
      </c>
      <c r="R786" s="5" t="s">
        <v>240</v>
      </c>
      <c r="S786" s="5" t="s">
        <v>240</v>
      </c>
      <c r="T786" s="5" t="s">
        <v>243</v>
      </c>
      <c r="U786" s="5" t="s">
        <v>244</v>
      </c>
      <c r="V786" s="5" t="s">
        <v>240</v>
      </c>
      <c r="Y786" s="5" t="s">
        <v>240</v>
      </c>
      <c r="Z786" s="6" t="s">
        <v>298</v>
      </c>
      <c r="AB786" s="6" t="s">
        <v>240</v>
      </c>
      <c r="AE786" s="6" t="s">
        <v>299</v>
      </c>
      <c r="AF786" s="5" t="s">
        <v>248</v>
      </c>
      <c r="AG786" s="5" t="s">
        <v>249</v>
      </c>
      <c r="AW786" s="5" t="s">
        <v>251</v>
      </c>
      <c r="AX786" s="5" t="s">
        <v>240</v>
      </c>
      <c r="AY786" s="5" t="s">
        <v>253</v>
      </c>
      <c r="AZ786" s="5" t="s">
        <v>240</v>
      </c>
      <c r="BA786" s="5" t="s">
        <v>255</v>
      </c>
      <c r="BB786" s="5" t="s">
        <v>240</v>
      </c>
      <c r="BD786" s="5" t="s">
        <v>240</v>
      </c>
      <c r="BF786" s="5" t="s">
        <v>301</v>
      </c>
      <c r="BG786" s="6" t="s">
        <v>299</v>
      </c>
      <c r="BH786" s="5" t="s">
        <v>302</v>
      </c>
      <c r="BI786" s="5" t="s">
        <v>303</v>
      </c>
      <c r="BJ786" s="5" t="s">
        <v>240</v>
      </c>
      <c r="BK786" s="8">
        <f>0</f>
        <v>0</v>
      </c>
      <c r="BL786" s="7">
        <f>0</f>
        <v>0</v>
      </c>
      <c r="BM786" s="5" t="s">
        <v>258</v>
      </c>
      <c r="BN786" s="5" t="s">
        <v>259</v>
      </c>
      <c r="CB786" s="5" t="s">
        <v>240</v>
      </c>
      <c r="CC786" s="5" t="s">
        <v>240</v>
      </c>
      <c r="CG786" s="5" t="s">
        <v>617</v>
      </c>
      <c r="CH786" s="5" t="s">
        <v>305</v>
      </c>
      <c r="CI786" s="5" t="s">
        <v>240</v>
      </c>
      <c r="CL786" s="6" t="s">
        <v>261</v>
      </c>
      <c r="CM786" s="5" t="s">
        <v>240</v>
      </c>
      <c r="CN786" s="5" t="s">
        <v>263</v>
      </c>
      <c r="CO786" s="5" t="s">
        <v>240</v>
      </c>
      <c r="CP786" s="5" t="s">
        <v>240</v>
      </c>
      <c r="CQ786" s="5">
        <v>0</v>
      </c>
      <c r="CR786" s="5" t="s">
        <v>306</v>
      </c>
      <c r="CS786" s="5" t="s">
        <v>307</v>
      </c>
      <c r="CT786" s="5" t="s">
        <v>307</v>
      </c>
      <c r="CU786" s="5" t="s">
        <v>260</v>
      </c>
      <c r="CX786" s="7">
        <f>114400</f>
        <v>114400</v>
      </c>
      <c r="CY786" s="7">
        <f>0</f>
        <v>0</v>
      </c>
      <c r="DA786" s="7">
        <f>0</f>
        <v>0</v>
      </c>
      <c r="DC786" s="5" t="s">
        <v>1674</v>
      </c>
      <c r="DD786" s="5" t="s">
        <v>240</v>
      </c>
      <c r="DF786" s="5" t="s">
        <v>450</v>
      </c>
      <c r="DG786" s="7">
        <f>0</f>
        <v>0</v>
      </c>
      <c r="DI786" s="5" t="s">
        <v>843</v>
      </c>
      <c r="DJ786" s="5" t="s">
        <v>240</v>
      </c>
      <c r="DK786" s="5" t="s">
        <v>240</v>
      </c>
      <c r="DL786" s="5" t="s">
        <v>240</v>
      </c>
      <c r="DP786" s="5" t="s">
        <v>240</v>
      </c>
      <c r="DQ786" s="5" t="s">
        <v>240</v>
      </c>
      <c r="DR786" s="5" t="s">
        <v>240</v>
      </c>
      <c r="DS786" s="5" t="s">
        <v>240</v>
      </c>
      <c r="DV786" s="5" t="s">
        <v>1671</v>
      </c>
      <c r="DW786" s="5" t="s">
        <v>621</v>
      </c>
      <c r="HO786" s="5" t="s">
        <v>312</v>
      </c>
    </row>
    <row r="787" spans="1:223" x14ac:dyDescent="0.4">
      <c r="A787" s="5">
        <v>2462</v>
      </c>
      <c r="B787" s="5">
        <v>1</v>
      </c>
      <c r="C787" s="5">
        <v>1</v>
      </c>
      <c r="D787" s="5" t="s">
        <v>297</v>
      </c>
      <c r="E787" s="5" t="s">
        <v>245</v>
      </c>
      <c r="F787" s="5" t="s">
        <v>254</v>
      </c>
      <c r="G787" s="5" t="s">
        <v>240</v>
      </c>
      <c r="H787" s="6" t="s">
        <v>710</v>
      </c>
      <c r="I787" s="5" t="s">
        <v>295</v>
      </c>
      <c r="J787" s="8">
        <f>2398</f>
        <v>2398</v>
      </c>
      <c r="K787" s="5" t="s">
        <v>308</v>
      </c>
      <c r="L787" s="7">
        <f>1</f>
        <v>1</v>
      </c>
      <c r="M787" s="7">
        <f>1</f>
        <v>1</v>
      </c>
      <c r="N787" s="5" t="s">
        <v>242</v>
      </c>
      <c r="O787" s="5">
        <v>1</v>
      </c>
      <c r="P787" s="5" t="s">
        <v>294</v>
      </c>
      <c r="Q787" s="5" t="s">
        <v>613</v>
      </c>
      <c r="R787" s="5" t="s">
        <v>240</v>
      </c>
      <c r="S787" s="5" t="s">
        <v>240</v>
      </c>
      <c r="T787" s="5" t="s">
        <v>243</v>
      </c>
      <c r="U787" s="5" t="s">
        <v>244</v>
      </c>
      <c r="V787" s="5" t="s">
        <v>240</v>
      </c>
      <c r="Y787" s="5" t="s">
        <v>240</v>
      </c>
      <c r="Z787" s="6" t="s">
        <v>298</v>
      </c>
      <c r="AB787" s="6" t="s">
        <v>240</v>
      </c>
      <c r="AE787" s="6" t="s">
        <v>299</v>
      </c>
      <c r="AF787" s="5" t="s">
        <v>248</v>
      </c>
      <c r="AG787" s="5" t="s">
        <v>249</v>
      </c>
      <c r="AW787" s="5" t="s">
        <v>251</v>
      </c>
      <c r="AX787" s="5" t="s">
        <v>240</v>
      </c>
      <c r="AY787" s="5" t="s">
        <v>253</v>
      </c>
      <c r="AZ787" s="5" t="s">
        <v>240</v>
      </c>
      <c r="BA787" s="5" t="s">
        <v>255</v>
      </c>
      <c r="BB787" s="5" t="s">
        <v>240</v>
      </c>
      <c r="BD787" s="5" t="s">
        <v>686</v>
      </c>
      <c r="BF787" s="5" t="s">
        <v>301</v>
      </c>
      <c r="BG787" s="6" t="s">
        <v>299</v>
      </c>
      <c r="BH787" s="5" t="s">
        <v>302</v>
      </c>
      <c r="BI787" s="5" t="s">
        <v>303</v>
      </c>
      <c r="BJ787" s="5" t="s">
        <v>240</v>
      </c>
      <c r="BK787" s="8">
        <f>0</f>
        <v>0</v>
      </c>
      <c r="BL787" s="7">
        <f>0</f>
        <v>0</v>
      </c>
      <c r="BM787" s="5" t="s">
        <v>258</v>
      </c>
      <c r="BN787" s="5" t="s">
        <v>259</v>
      </c>
      <c r="CB787" s="5" t="s">
        <v>240</v>
      </c>
      <c r="CC787" s="5" t="s">
        <v>240</v>
      </c>
      <c r="CG787" s="5" t="s">
        <v>617</v>
      </c>
      <c r="CH787" s="5" t="s">
        <v>305</v>
      </c>
      <c r="CI787" s="5" t="s">
        <v>240</v>
      </c>
      <c r="CL787" s="6" t="s">
        <v>261</v>
      </c>
      <c r="CM787" s="5" t="s">
        <v>240</v>
      </c>
      <c r="CN787" s="5" t="s">
        <v>263</v>
      </c>
      <c r="CO787" s="5" t="s">
        <v>240</v>
      </c>
      <c r="CP787" s="5" t="s">
        <v>240</v>
      </c>
      <c r="CQ787" s="5">
        <v>0</v>
      </c>
      <c r="CR787" s="5" t="s">
        <v>306</v>
      </c>
      <c r="CS787" s="5" t="s">
        <v>307</v>
      </c>
      <c r="CT787" s="5" t="s">
        <v>307</v>
      </c>
      <c r="CU787" s="5" t="s">
        <v>260</v>
      </c>
      <c r="CX787" s="7">
        <f>985400</f>
        <v>985400</v>
      </c>
      <c r="CY787" s="7">
        <f>0</f>
        <v>0</v>
      </c>
      <c r="DA787" s="7">
        <f>0</f>
        <v>0</v>
      </c>
      <c r="DC787" s="5" t="s">
        <v>1674</v>
      </c>
      <c r="DD787" s="5" t="s">
        <v>240</v>
      </c>
      <c r="DF787" s="5" t="s">
        <v>450</v>
      </c>
      <c r="DG787" s="7">
        <f>0</f>
        <v>0</v>
      </c>
      <c r="DI787" s="5" t="s">
        <v>843</v>
      </c>
      <c r="DJ787" s="5" t="s">
        <v>240</v>
      </c>
      <c r="DK787" s="5" t="s">
        <v>240</v>
      </c>
      <c r="DL787" s="5" t="s">
        <v>240</v>
      </c>
      <c r="DP787" s="5" t="s">
        <v>240</v>
      </c>
      <c r="DQ787" s="5" t="s">
        <v>240</v>
      </c>
      <c r="DR787" s="5" t="s">
        <v>240</v>
      </c>
      <c r="DS787" s="5" t="s">
        <v>240</v>
      </c>
      <c r="DV787" s="5" t="s">
        <v>1671</v>
      </c>
      <c r="DW787" s="5" t="s">
        <v>312</v>
      </c>
      <c r="HO787" s="5" t="s">
        <v>312</v>
      </c>
    </row>
    <row r="788" spans="1:223" x14ac:dyDescent="0.4">
      <c r="A788" s="5">
        <v>2463</v>
      </c>
      <c r="B788" s="5">
        <v>1</v>
      </c>
      <c r="C788" s="5">
        <v>1</v>
      </c>
      <c r="D788" s="5" t="s">
        <v>297</v>
      </c>
      <c r="E788" s="5" t="s">
        <v>245</v>
      </c>
      <c r="F788" s="5" t="s">
        <v>254</v>
      </c>
      <c r="G788" s="5" t="s">
        <v>240</v>
      </c>
      <c r="H788" s="6" t="s">
        <v>708</v>
      </c>
      <c r="I788" s="5" t="s">
        <v>295</v>
      </c>
      <c r="J788" s="8">
        <f>1188</f>
        <v>1188</v>
      </c>
      <c r="K788" s="5" t="s">
        <v>308</v>
      </c>
      <c r="L788" s="7">
        <f>1</f>
        <v>1</v>
      </c>
      <c r="M788" s="7">
        <f>1</f>
        <v>1</v>
      </c>
      <c r="N788" s="5" t="s">
        <v>242</v>
      </c>
      <c r="O788" s="5">
        <v>1</v>
      </c>
      <c r="P788" s="5" t="s">
        <v>294</v>
      </c>
      <c r="Q788" s="5" t="s">
        <v>613</v>
      </c>
      <c r="R788" s="5" t="s">
        <v>240</v>
      </c>
      <c r="S788" s="5" t="s">
        <v>240</v>
      </c>
      <c r="T788" s="5" t="s">
        <v>243</v>
      </c>
      <c r="U788" s="5" t="s">
        <v>244</v>
      </c>
      <c r="V788" s="5" t="s">
        <v>240</v>
      </c>
      <c r="Y788" s="5" t="s">
        <v>240</v>
      </c>
      <c r="Z788" s="6" t="s">
        <v>298</v>
      </c>
      <c r="AB788" s="6" t="s">
        <v>240</v>
      </c>
      <c r="AE788" s="6" t="s">
        <v>299</v>
      </c>
      <c r="AF788" s="5" t="s">
        <v>248</v>
      </c>
      <c r="AG788" s="5" t="s">
        <v>249</v>
      </c>
      <c r="AW788" s="5" t="s">
        <v>251</v>
      </c>
      <c r="AX788" s="5" t="s">
        <v>240</v>
      </c>
      <c r="AY788" s="5" t="s">
        <v>253</v>
      </c>
      <c r="AZ788" s="5" t="s">
        <v>240</v>
      </c>
      <c r="BA788" s="5" t="s">
        <v>255</v>
      </c>
      <c r="BB788" s="5" t="s">
        <v>240</v>
      </c>
      <c r="BD788" s="5" t="s">
        <v>686</v>
      </c>
      <c r="BF788" s="5" t="s">
        <v>301</v>
      </c>
      <c r="BG788" s="6" t="s">
        <v>299</v>
      </c>
      <c r="BH788" s="5" t="s">
        <v>302</v>
      </c>
      <c r="BI788" s="5" t="s">
        <v>303</v>
      </c>
      <c r="BJ788" s="5" t="s">
        <v>240</v>
      </c>
      <c r="BK788" s="8">
        <f>0</f>
        <v>0</v>
      </c>
      <c r="BL788" s="7">
        <f>0</f>
        <v>0</v>
      </c>
      <c r="BM788" s="5" t="s">
        <v>258</v>
      </c>
      <c r="BN788" s="5" t="s">
        <v>259</v>
      </c>
      <c r="CB788" s="5" t="s">
        <v>240</v>
      </c>
      <c r="CC788" s="5" t="s">
        <v>240</v>
      </c>
      <c r="CG788" s="5" t="s">
        <v>617</v>
      </c>
      <c r="CH788" s="5" t="s">
        <v>305</v>
      </c>
      <c r="CI788" s="5" t="s">
        <v>240</v>
      </c>
      <c r="CL788" s="6" t="s">
        <v>261</v>
      </c>
      <c r="CM788" s="5" t="s">
        <v>240</v>
      </c>
      <c r="CN788" s="5" t="s">
        <v>263</v>
      </c>
      <c r="CO788" s="5" t="s">
        <v>240</v>
      </c>
      <c r="CP788" s="5" t="s">
        <v>240</v>
      </c>
      <c r="CQ788" s="5">
        <v>0</v>
      </c>
      <c r="CR788" s="5" t="s">
        <v>306</v>
      </c>
      <c r="CS788" s="5" t="s">
        <v>307</v>
      </c>
      <c r="CT788" s="5" t="s">
        <v>307</v>
      </c>
      <c r="CU788" s="5" t="s">
        <v>260</v>
      </c>
      <c r="CX788" s="7">
        <f>1273625</f>
        <v>1273625</v>
      </c>
      <c r="CY788" s="7">
        <f>0</f>
        <v>0</v>
      </c>
      <c r="DA788" s="7">
        <f>0</f>
        <v>0</v>
      </c>
      <c r="DC788" s="5" t="s">
        <v>618</v>
      </c>
      <c r="DD788" s="5" t="s">
        <v>240</v>
      </c>
      <c r="DF788" s="5" t="s">
        <v>450</v>
      </c>
      <c r="DG788" s="7">
        <f>0</f>
        <v>0</v>
      </c>
      <c r="DI788" s="5" t="s">
        <v>618</v>
      </c>
      <c r="DJ788" s="5" t="s">
        <v>240</v>
      </c>
      <c r="DK788" s="5" t="s">
        <v>240</v>
      </c>
      <c r="DL788" s="5" t="s">
        <v>240</v>
      </c>
      <c r="DP788" s="5" t="s">
        <v>240</v>
      </c>
      <c r="DQ788" s="5" t="s">
        <v>240</v>
      </c>
      <c r="DR788" s="5" t="s">
        <v>240</v>
      </c>
      <c r="DS788" s="5" t="s">
        <v>240</v>
      </c>
      <c r="DV788" s="5" t="s">
        <v>1686</v>
      </c>
      <c r="DW788" s="5" t="s">
        <v>312</v>
      </c>
      <c r="HO788" s="5" t="s">
        <v>312</v>
      </c>
    </row>
    <row r="789" spans="1:223" x14ac:dyDescent="0.4">
      <c r="A789" s="5">
        <v>2464</v>
      </c>
      <c r="B789" s="5">
        <v>1</v>
      </c>
      <c r="C789" s="5">
        <v>1</v>
      </c>
      <c r="D789" s="5" t="s">
        <v>297</v>
      </c>
      <c r="E789" s="5" t="s">
        <v>245</v>
      </c>
      <c r="F789" s="5" t="s">
        <v>254</v>
      </c>
      <c r="G789" s="5" t="s">
        <v>240</v>
      </c>
      <c r="H789" s="6" t="s">
        <v>706</v>
      </c>
      <c r="I789" s="5" t="s">
        <v>295</v>
      </c>
      <c r="J789" s="8">
        <f>2400</f>
        <v>2400</v>
      </c>
      <c r="K789" s="5" t="s">
        <v>308</v>
      </c>
      <c r="L789" s="7">
        <f>1</f>
        <v>1</v>
      </c>
      <c r="M789" s="7">
        <f>1</f>
        <v>1</v>
      </c>
      <c r="N789" s="5" t="s">
        <v>242</v>
      </c>
      <c r="O789" s="5">
        <v>1</v>
      </c>
      <c r="P789" s="5" t="s">
        <v>294</v>
      </c>
      <c r="Q789" s="5" t="s">
        <v>613</v>
      </c>
      <c r="R789" s="5" t="s">
        <v>240</v>
      </c>
      <c r="S789" s="5" t="s">
        <v>240</v>
      </c>
      <c r="T789" s="5" t="s">
        <v>243</v>
      </c>
      <c r="U789" s="5" t="s">
        <v>244</v>
      </c>
      <c r="V789" s="5" t="s">
        <v>240</v>
      </c>
      <c r="Y789" s="5" t="s">
        <v>240</v>
      </c>
      <c r="Z789" s="6" t="s">
        <v>298</v>
      </c>
      <c r="AB789" s="6" t="s">
        <v>240</v>
      </c>
      <c r="AE789" s="6" t="s">
        <v>299</v>
      </c>
      <c r="AF789" s="5" t="s">
        <v>248</v>
      </c>
      <c r="AG789" s="5" t="s">
        <v>249</v>
      </c>
      <c r="AW789" s="5" t="s">
        <v>251</v>
      </c>
      <c r="AX789" s="5" t="s">
        <v>240</v>
      </c>
      <c r="AY789" s="5" t="s">
        <v>253</v>
      </c>
      <c r="AZ789" s="5" t="s">
        <v>240</v>
      </c>
      <c r="BA789" s="5" t="s">
        <v>255</v>
      </c>
      <c r="BB789" s="5" t="s">
        <v>240</v>
      </c>
      <c r="BD789" s="5" t="s">
        <v>686</v>
      </c>
      <c r="BF789" s="5" t="s">
        <v>301</v>
      </c>
      <c r="BG789" s="6" t="s">
        <v>299</v>
      </c>
      <c r="BH789" s="5" t="s">
        <v>302</v>
      </c>
      <c r="BI789" s="5" t="s">
        <v>303</v>
      </c>
      <c r="BJ789" s="5" t="s">
        <v>240</v>
      </c>
      <c r="BK789" s="8">
        <f>0</f>
        <v>0</v>
      </c>
      <c r="BL789" s="7">
        <f>0</f>
        <v>0</v>
      </c>
      <c r="BM789" s="5" t="s">
        <v>258</v>
      </c>
      <c r="BN789" s="5" t="s">
        <v>259</v>
      </c>
      <c r="CB789" s="5" t="s">
        <v>240</v>
      </c>
      <c r="CC789" s="5" t="s">
        <v>240</v>
      </c>
      <c r="CG789" s="5" t="s">
        <v>617</v>
      </c>
      <c r="CH789" s="5" t="s">
        <v>305</v>
      </c>
      <c r="CI789" s="5" t="s">
        <v>240</v>
      </c>
      <c r="CL789" s="6" t="s">
        <v>261</v>
      </c>
      <c r="CM789" s="5" t="s">
        <v>240</v>
      </c>
      <c r="CN789" s="5" t="s">
        <v>263</v>
      </c>
      <c r="CO789" s="5" t="s">
        <v>240</v>
      </c>
      <c r="CP789" s="5" t="s">
        <v>240</v>
      </c>
      <c r="CQ789" s="5">
        <v>0</v>
      </c>
      <c r="CR789" s="5" t="s">
        <v>306</v>
      </c>
      <c r="CS789" s="5" t="s">
        <v>307</v>
      </c>
      <c r="CT789" s="5" t="s">
        <v>307</v>
      </c>
      <c r="CU789" s="5" t="s">
        <v>260</v>
      </c>
      <c r="CX789" s="7">
        <f>4590000</f>
        <v>4590000</v>
      </c>
      <c r="CY789" s="7">
        <f>0</f>
        <v>0</v>
      </c>
      <c r="DA789" s="7">
        <f>0</f>
        <v>0</v>
      </c>
      <c r="DC789" s="5" t="s">
        <v>843</v>
      </c>
      <c r="DD789" s="5" t="s">
        <v>240</v>
      </c>
      <c r="DF789" s="5" t="s">
        <v>843</v>
      </c>
      <c r="DG789" s="7">
        <f>2213</f>
        <v>2213</v>
      </c>
      <c r="DI789" s="5" t="s">
        <v>843</v>
      </c>
      <c r="DJ789" s="5" t="s">
        <v>240</v>
      </c>
      <c r="DK789" s="5" t="s">
        <v>240</v>
      </c>
      <c r="DL789" s="5" t="s">
        <v>240</v>
      </c>
      <c r="DP789" s="5" t="s">
        <v>240</v>
      </c>
      <c r="DQ789" s="5" t="s">
        <v>240</v>
      </c>
      <c r="DR789" s="5" t="s">
        <v>240</v>
      </c>
      <c r="DS789" s="5" t="s">
        <v>240</v>
      </c>
      <c r="DV789" s="5" t="s">
        <v>1691</v>
      </c>
      <c r="DW789" s="5" t="s">
        <v>312</v>
      </c>
      <c r="HO789" s="5" t="s">
        <v>312</v>
      </c>
    </row>
    <row r="790" spans="1:223" x14ac:dyDescent="0.4">
      <c r="A790" s="5">
        <v>2465</v>
      </c>
      <c r="B790" s="5">
        <v>1</v>
      </c>
      <c r="C790" s="5">
        <v>1</v>
      </c>
      <c r="D790" s="5" t="s">
        <v>297</v>
      </c>
      <c r="E790" s="5" t="s">
        <v>245</v>
      </c>
      <c r="F790" s="5" t="s">
        <v>254</v>
      </c>
      <c r="G790" s="5" t="s">
        <v>240</v>
      </c>
      <c r="H790" s="6" t="s">
        <v>704</v>
      </c>
      <c r="I790" s="5" t="s">
        <v>295</v>
      </c>
      <c r="J790" s="8">
        <f>2693</f>
        <v>2693</v>
      </c>
      <c r="K790" s="5" t="s">
        <v>308</v>
      </c>
      <c r="L790" s="7">
        <f>1</f>
        <v>1</v>
      </c>
      <c r="M790" s="7">
        <f>1</f>
        <v>1</v>
      </c>
      <c r="N790" s="5" t="s">
        <v>242</v>
      </c>
      <c r="O790" s="5">
        <v>1</v>
      </c>
      <c r="P790" s="5" t="s">
        <v>294</v>
      </c>
      <c r="Q790" s="5" t="s">
        <v>266</v>
      </c>
      <c r="R790" s="5" t="s">
        <v>240</v>
      </c>
      <c r="S790" s="5" t="s">
        <v>240</v>
      </c>
      <c r="T790" s="5" t="s">
        <v>296</v>
      </c>
      <c r="U790" s="5" t="s">
        <v>244</v>
      </c>
      <c r="V790" s="5" t="s">
        <v>240</v>
      </c>
      <c r="Y790" s="5" t="s">
        <v>240</v>
      </c>
      <c r="Z790" s="6" t="s">
        <v>298</v>
      </c>
      <c r="AB790" s="6" t="s">
        <v>240</v>
      </c>
      <c r="AE790" s="6" t="s">
        <v>299</v>
      </c>
      <c r="AF790" s="5" t="s">
        <v>248</v>
      </c>
      <c r="AG790" s="5" t="s">
        <v>249</v>
      </c>
      <c r="AW790" s="5" t="s">
        <v>251</v>
      </c>
      <c r="AX790" s="5" t="s">
        <v>240</v>
      </c>
      <c r="AY790" s="5" t="s">
        <v>253</v>
      </c>
      <c r="AZ790" s="5" t="s">
        <v>240</v>
      </c>
      <c r="BA790" s="5" t="s">
        <v>255</v>
      </c>
      <c r="BB790" s="5" t="s">
        <v>240</v>
      </c>
      <c r="BD790" s="5" t="s">
        <v>240</v>
      </c>
      <c r="BF790" s="5" t="s">
        <v>301</v>
      </c>
      <c r="BG790" s="6" t="s">
        <v>299</v>
      </c>
      <c r="BH790" s="5" t="s">
        <v>302</v>
      </c>
      <c r="BI790" s="5" t="s">
        <v>303</v>
      </c>
      <c r="BJ790" s="5" t="s">
        <v>240</v>
      </c>
      <c r="BK790" s="8">
        <f>0</f>
        <v>0</v>
      </c>
      <c r="BL790" s="7">
        <f>0</f>
        <v>0</v>
      </c>
      <c r="BM790" s="5" t="s">
        <v>258</v>
      </c>
      <c r="BN790" s="5" t="s">
        <v>259</v>
      </c>
      <c r="CB790" s="5" t="s">
        <v>240</v>
      </c>
      <c r="CC790" s="5" t="s">
        <v>240</v>
      </c>
      <c r="CG790" s="5" t="s">
        <v>304</v>
      </c>
      <c r="CH790" s="5" t="s">
        <v>305</v>
      </c>
      <c r="CI790" s="5" t="s">
        <v>240</v>
      </c>
      <c r="CL790" s="6" t="s">
        <v>261</v>
      </c>
      <c r="CM790" s="5" t="s">
        <v>240</v>
      </c>
      <c r="CN790" s="5" t="s">
        <v>263</v>
      </c>
      <c r="CO790" s="5" t="s">
        <v>240</v>
      </c>
      <c r="CP790" s="5" t="s">
        <v>240</v>
      </c>
      <c r="CQ790" s="5">
        <v>0</v>
      </c>
      <c r="CR790" s="5" t="s">
        <v>306</v>
      </c>
      <c r="CS790" s="5" t="s">
        <v>307</v>
      </c>
      <c r="CT790" s="5" t="s">
        <v>307</v>
      </c>
      <c r="CU790" s="5" t="s">
        <v>260</v>
      </c>
      <c r="CX790" s="7">
        <f>1</f>
        <v>1</v>
      </c>
      <c r="CY790" s="7">
        <f>0</f>
        <v>0</v>
      </c>
      <c r="DA790" s="7">
        <f>0</f>
        <v>0</v>
      </c>
      <c r="DC790" s="5" t="s">
        <v>812</v>
      </c>
      <c r="DD790" s="5" t="s">
        <v>240</v>
      </c>
      <c r="DF790" s="5" t="s">
        <v>812</v>
      </c>
      <c r="DG790" s="7">
        <f>464</f>
        <v>464</v>
      </c>
      <c r="DI790" s="5" t="s">
        <v>240</v>
      </c>
      <c r="DJ790" s="5" t="s">
        <v>240</v>
      </c>
      <c r="DK790" s="5" t="s">
        <v>240</v>
      </c>
      <c r="DL790" s="5" t="s">
        <v>240</v>
      </c>
      <c r="DP790" s="5" t="s">
        <v>240</v>
      </c>
      <c r="DQ790" s="5" t="s">
        <v>240</v>
      </c>
      <c r="DR790" s="5" t="s">
        <v>240</v>
      </c>
      <c r="DS790" s="5" t="s">
        <v>240</v>
      </c>
      <c r="DV790" s="5" t="s">
        <v>813</v>
      </c>
      <c r="DW790" s="5" t="s">
        <v>1659</v>
      </c>
      <c r="HO790" s="5" t="s">
        <v>312</v>
      </c>
    </row>
    <row r="791" spans="1:223" x14ac:dyDescent="0.4">
      <c r="A791" s="5">
        <v>2466</v>
      </c>
      <c r="B791" s="5">
        <v>1</v>
      </c>
      <c r="C791" s="5">
        <v>1</v>
      </c>
      <c r="D791" s="5" t="s">
        <v>297</v>
      </c>
      <c r="E791" s="5" t="s">
        <v>245</v>
      </c>
      <c r="F791" s="5" t="s">
        <v>254</v>
      </c>
      <c r="G791" s="5" t="s">
        <v>240</v>
      </c>
      <c r="H791" s="6" t="s">
        <v>702</v>
      </c>
      <c r="I791" s="5" t="s">
        <v>295</v>
      </c>
      <c r="J791" s="8">
        <f>16929</f>
        <v>16929</v>
      </c>
      <c r="K791" s="5" t="s">
        <v>308</v>
      </c>
      <c r="L791" s="7">
        <f>1</f>
        <v>1</v>
      </c>
      <c r="M791" s="7">
        <f>1</f>
        <v>1</v>
      </c>
      <c r="N791" s="5" t="s">
        <v>242</v>
      </c>
      <c r="O791" s="5">
        <v>1</v>
      </c>
      <c r="P791" s="5" t="s">
        <v>294</v>
      </c>
      <c r="Q791" s="5" t="s">
        <v>613</v>
      </c>
      <c r="R791" s="5" t="s">
        <v>240</v>
      </c>
      <c r="S791" s="5" t="s">
        <v>240</v>
      </c>
      <c r="T791" s="5" t="s">
        <v>243</v>
      </c>
      <c r="U791" s="5" t="s">
        <v>244</v>
      </c>
      <c r="V791" s="5" t="s">
        <v>240</v>
      </c>
      <c r="Y791" s="5" t="s">
        <v>240</v>
      </c>
      <c r="Z791" s="6" t="s">
        <v>298</v>
      </c>
      <c r="AB791" s="6" t="s">
        <v>240</v>
      </c>
      <c r="AE791" s="6" t="s">
        <v>299</v>
      </c>
      <c r="AF791" s="5" t="s">
        <v>248</v>
      </c>
      <c r="AG791" s="5" t="s">
        <v>249</v>
      </c>
      <c r="AW791" s="5" t="s">
        <v>251</v>
      </c>
      <c r="AX791" s="5" t="s">
        <v>240</v>
      </c>
      <c r="AY791" s="5" t="s">
        <v>253</v>
      </c>
      <c r="AZ791" s="5" t="s">
        <v>240</v>
      </c>
      <c r="BA791" s="5" t="s">
        <v>255</v>
      </c>
      <c r="BB791" s="5" t="s">
        <v>240</v>
      </c>
      <c r="BD791" s="5" t="s">
        <v>240</v>
      </c>
      <c r="BF791" s="5" t="s">
        <v>301</v>
      </c>
      <c r="BG791" s="6" t="s">
        <v>299</v>
      </c>
      <c r="BH791" s="5" t="s">
        <v>302</v>
      </c>
      <c r="BI791" s="5" t="s">
        <v>303</v>
      </c>
      <c r="BJ791" s="5" t="s">
        <v>240</v>
      </c>
      <c r="BK791" s="8">
        <f>0</f>
        <v>0</v>
      </c>
      <c r="BL791" s="7">
        <f>0</f>
        <v>0</v>
      </c>
      <c r="BM791" s="5" t="s">
        <v>258</v>
      </c>
      <c r="BN791" s="5" t="s">
        <v>259</v>
      </c>
      <c r="CB791" s="5" t="s">
        <v>240</v>
      </c>
      <c r="CC791" s="5" t="s">
        <v>240</v>
      </c>
      <c r="CG791" s="5" t="s">
        <v>617</v>
      </c>
      <c r="CH791" s="5" t="s">
        <v>305</v>
      </c>
      <c r="CI791" s="5" t="s">
        <v>240</v>
      </c>
      <c r="CL791" s="6" t="s">
        <v>261</v>
      </c>
      <c r="CM791" s="5" t="s">
        <v>240</v>
      </c>
      <c r="CN791" s="5" t="s">
        <v>263</v>
      </c>
      <c r="CO791" s="5" t="s">
        <v>240</v>
      </c>
      <c r="CP791" s="5" t="s">
        <v>240</v>
      </c>
      <c r="CQ791" s="5">
        <v>0</v>
      </c>
      <c r="CR791" s="5" t="s">
        <v>306</v>
      </c>
      <c r="CS791" s="5" t="s">
        <v>307</v>
      </c>
      <c r="CT791" s="5" t="s">
        <v>307</v>
      </c>
      <c r="CU791" s="5" t="s">
        <v>260</v>
      </c>
      <c r="CX791" s="7">
        <f>1109715</f>
        <v>1109715</v>
      </c>
      <c r="CY791" s="7">
        <f>0</f>
        <v>0</v>
      </c>
      <c r="DA791" s="7">
        <f>0</f>
        <v>0</v>
      </c>
      <c r="DC791" s="5" t="s">
        <v>689</v>
      </c>
      <c r="DD791" s="5" t="s">
        <v>240</v>
      </c>
      <c r="DF791" s="5" t="s">
        <v>450</v>
      </c>
      <c r="DG791" s="7">
        <f>0</f>
        <v>0</v>
      </c>
      <c r="DI791" s="5" t="s">
        <v>618</v>
      </c>
      <c r="DJ791" s="5" t="s">
        <v>240</v>
      </c>
      <c r="DK791" s="5" t="s">
        <v>240</v>
      </c>
      <c r="DL791" s="5" t="s">
        <v>240</v>
      </c>
      <c r="DP791" s="5" t="s">
        <v>240</v>
      </c>
      <c r="DQ791" s="5" t="s">
        <v>240</v>
      </c>
      <c r="DR791" s="5" t="s">
        <v>240</v>
      </c>
      <c r="DS791" s="5" t="s">
        <v>240</v>
      </c>
      <c r="DV791" s="5" t="s">
        <v>1696</v>
      </c>
      <c r="DW791" s="5" t="s">
        <v>691</v>
      </c>
      <c r="HO791" s="5" t="s">
        <v>312</v>
      </c>
    </row>
    <row r="792" spans="1:223" x14ac:dyDescent="0.4">
      <c r="A792" s="5">
        <v>2467</v>
      </c>
      <c r="B792" s="5">
        <v>1</v>
      </c>
      <c r="C792" s="5">
        <v>1</v>
      </c>
      <c r="D792" s="5" t="s">
        <v>297</v>
      </c>
      <c r="E792" s="5" t="s">
        <v>245</v>
      </c>
      <c r="F792" s="5" t="s">
        <v>254</v>
      </c>
      <c r="G792" s="5" t="s">
        <v>240</v>
      </c>
      <c r="H792" s="6" t="s">
        <v>700</v>
      </c>
      <c r="I792" s="5" t="s">
        <v>295</v>
      </c>
      <c r="J792" s="8">
        <f>1225</f>
        <v>1225</v>
      </c>
      <c r="K792" s="5" t="s">
        <v>308</v>
      </c>
      <c r="L792" s="7">
        <f>1</f>
        <v>1</v>
      </c>
      <c r="M792" s="7">
        <f>1</f>
        <v>1</v>
      </c>
      <c r="N792" s="5" t="s">
        <v>242</v>
      </c>
      <c r="O792" s="5">
        <v>1</v>
      </c>
      <c r="P792" s="5" t="s">
        <v>294</v>
      </c>
      <c r="Q792" s="5" t="s">
        <v>613</v>
      </c>
      <c r="R792" s="5" t="s">
        <v>240</v>
      </c>
      <c r="S792" s="5" t="s">
        <v>240</v>
      </c>
      <c r="T792" s="5" t="s">
        <v>243</v>
      </c>
      <c r="U792" s="5" t="s">
        <v>244</v>
      </c>
      <c r="V792" s="5" t="s">
        <v>240</v>
      </c>
      <c r="Y792" s="5" t="s">
        <v>240</v>
      </c>
      <c r="Z792" s="6" t="s">
        <v>298</v>
      </c>
      <c r="AB792" s="6" t="s">
        <v>240</v>
      </c>
      <c r="AE792" s="6" t="s">
        <v>299</v>
      </c>
      <c r="AF792" s="5" t="s">
        <v>248</v>
      </c>
      <c r="AG792" s="5" t="s">
        <v>249</v>
      </c>
      <c r="AW792" s="5" t="s">
        <v>251</v>
      </c>
      <c r="AX792" s="5" t="s">
        <v>240</v>
      </c>
      <c r="AY792" s="5" t="s">
        <v>253</v>
      </c>
      <c r="AZ792" s="5" t="s">
        <v>240</v>
      </c>
      <c r="BA792" s="5" t="s">
        <v>255</v>
      </c>
      <c r="BB792" s="5" t="s">
        <v>240</v>
      </c>
      <c r="BD792" s="5" t="s">
        <v>240</v>
      </c>
      <c r="BF792" s="5" t="s">
        <v>301</v>
      </c>
      <c r="BG792" s="6" t="s">
        <v>299</v>
      </c>
      <c r="BH792" s="5" t="s">
        <v>302</v>
      </c>
      <c r="BI792" s="5" t="s">
        <v>303</v>
      </c>
      <c r="BJ792" s="5" t="s">
        <v>240</v>
      </c>
      <c r="BK792" s="8">
        <f>0</f>
        <v>0</v>
      </c>
      <c r="BL792" s="7">
        <f>0</f>
        <v>0</v>
      </c>
      <c r="BM792" s="5" t="s">
        <v>258</v>
      </c>
      <c r="BN792" s="5" t="s">
        <v>259</v>
      </c>
      <c r="CB792" s="5" t="s">
        <v>240</v>
      </c>
      <c r="CC792" s="5" t="s">
        <v>240</v>
      </c>
      <c r="CG792" s="5" t="s">
        <v>617</v>
      </c>
      <c r="CH792" s="5" t="s">
        <v>305</v>
      </c>
      <c r="CI792" s="5" t="s">
        <v>240</v>
      </c>
      <c r="CL792" s="6" t="s">
        <v>261</v>
      </c>
      <c r="CM792" s="5" t="s">
        <v>240</v>
      </c>
      <c r="CN792" s="5" t="s">
        <v>263</v>
      </c>
      <c r="CO792" s="5" t="s">
        <v>240</v>
      </c>
      <c r="CP792" s="5" t="s">
        <v>240</v>
      </c>
      <c r="CQ792" s="5">
        <v>0</v>
      </c>
      <c r="CR792" s="5" t="s">
        <v>306</v>
      </c>
      <c r="CS792" s="5" t="s">
        <v>307</v>
      </c>
      <c r="CT792" s="5" t="s">
        <v>307</v>
      </c>
      <c r="CU792" s="5" t="s">
        <v>260</v>
      </c>
      <c r="CX792" s="7">
        <f>637920</f>
        <v>637920</v>
      </c>
      <c r="CY792" s="7">
        <f>0</f>
        <v>0</v>
      </c>
      <c r="DA792" s="7">
        <f>0</f>
        <v>0</v>
      </c>
      <c r="DC792" s="5" t="s">
        <v>689</v>
      </c>
      <c r="DD792" s="5" t="s">
        <v>240</v>
      </c>
      <c r="DF792" s="5" t="s">
        <v>450</v>
      </c>
      <c r="DG792" s="7">
        <f>0</f>
        <v>0</v>
      </c>
      <c r="DI792" s="5" t="s">
        <v>618</v>
      </c>
      <c r="DJ792" s="5" t="s">
        <v>240</v>
      </c>
      <c r="DK792" s="5" t="s">
        <v>240</v>
      </c>
      <c r="DL792" s="5" t="s">
        <v>240</v>
      </c>
      <c r="DP792" s="5" t="s">
        <v>240</v>
      </c>
      <c r="DQ792" s="5" t="s">
        <v>240</v>
      </c>
      <c r="DR792" s="5" t="s">
        <v>240</v>
      </c>
      <c r="DS792" s="5" t="s">
        <v>240</v>
      </c>
      <c r="DV792" s="5" t="s">
        <v>1696</v>
      </c>
      <c r="DW792" s="5" t="s">
        <v>620</v>
      </c>
      <c r="HO792" s="5" t="s">
        <v>312</v>
      </c>
    </row>
    <row r="793" spans="1:223" x14ac:dyDescent="0.4">
      <c r="A793" s="5">
        <v>2468</v>
      </c>
      <c r="B793" s="5">
        <v>1</v>
      </c>
      <c r="C793" s="5">
        <v>1</v>
      </c>
      <c r="D793" s="5" t="s">
        <v>297</v>
      </c>
      <c r="E793" s="5" t="s">
        <v>245</v>
      </c>
      <c r="F793" s="5" t="s">
        <v>254</v>
      </c>
      <c r="G793" s="5" t="s">
        <v>240</v>
      </c>
      <c r="H793" s="6" t="s">
        <v>698</v>
      </c>
      <c r="I793" s="5" t="s">
        <v>295</v>
      </c>
      <c r="J793" s="8">
        <f>6054</f>
        <v>6054</v>
      </c>
      <c r="K793" s="5" t="s">
        <v>308</v>
      </c>
      <c r="L793" s="7">
        <f>1</f>
        <v>1</v>
      </c>
      <c r="M793" s="7">
        <f>1</f>
        <v>1</v>
      </c>
      <c r="N793" s="5" t="s">
        <v>242</v>
      </c>
      <c r="O793" s="5">
        <v>1</v>
      </c>
      <c r="P793" s="5" t="s">
        <v>294</v>
      </c>
      <c r="Q793" s="5" t="s">
        <v>613</v>
      </c>
      <c r="R793" s="5" t="s">
        <v>240</v>
      </c>
      <c r="S793" s="5" t="s">
        <v>240</v>
      </c>
      <c r="T793" s="5" t="s">
        <v>243</v>
      </c>
      <c r="U793" s="5" t="s">
        <v>244</v>
      </c>
      <c r="V793" s="5" t="s">
        <v>240</v>
      </c>
      <c r="Y793" s="5" t="s">
        <v>240</v>
      </c>
      <c r="Z793" s="6" t="s">
        <v>298</v>
      </c>
      <c r="AB793" s="6" t="s">
        <v>240</v>
      </c>
      <c r="AE793" s="6" t="s">
        <v>299</v>
      </c>
      <c r="AF793" s="5" t="s">
        <v>248</v>
      </c>
      <c r="AG793" s="5" t="s">
        <v>249</v>
      </c>
      <c r="AW793" s="5" t="s">
        <v>251</v>
      </c>
      <c r="AX793" s="5" t="s">
        <v>240</v>
      </c>
      <c r="AY793" s="5" t="s">
        <v>253</v>
      </c>
      <c r="AZ793" s="5" t="s">
        <v>240</v>
      </c>
      <c r="BA793" s="5" t="s">
        <v>255</v>
      </c>
      <c r="BB793" s="5" t="s">
        <v>240</v>
      </c>
      <c r="BD793" s="5" t="s">
        <v>240</v>
      </c>
      <c r="BF793" s="5" t="s">
        <v>301</v>
      </c>
      <c r="BG793" s="6" t="s">
        <v>299</v>
      </c>
      <c r="BH793" s="5" t="s">
        <v>302</v>
      </c>
      <c r="BI793" s="5" t="s">
        <v>303</v>
      </c>
      <c r="BJ793" s="5" t="s">
        <v>240</v>
      </c>
      <c r="BK793" s="8">
        <f>0</f>
        <v>0</v>
      </c>
      <c r="BL793" s="7">
        <f>0</f>
        <v>0</v>
      </c>
      <c r="BM793" s="5" t="s">
        <v>258</v>
      </c>
      <c r="BN793" s="5" t="s">
        <v>259</v>
      </c>
      <c r="CB793" s="5" t="s">
        <v>240</v>
      </c>
      <c r="CC793" s="5" t="s">
        <v>240</v>
      </c>
      <c r="CG793" s="5" t="s">
        <v>617</v>
      </c>
      <c r="CH793" s="5" t="s">
        <v>305</v>
      </c>
      <c r="CI793" s="5" t="s">
        <v>240</v>
      </c>
      <c r="CL793" s="6" t="s">
        <v>261</v>
      </c>
      <c r="CM793" s="5" t="s">
        <v>240</v>
      </c>
      <c r="CN793" s="5" t="s">
        <v>263</v>
      </c>
      <c r="CO793" s="5" t="s">
        <v>240</v>
      </c>
      <c r="CP793" s="5" t="s">
        <v>240</v>
      </c>
      <c r="CQ793" s="5">
        <v>0</v>
      </c>
      <c r="CR793" s="5" t="s">
        <v>306</v>
      </c>
      <c r="CS793" s="5" t="s">
        <v>307</v>
      </c>
      <c r="CT793" s="5" t="s">
        <v>307</v>
      </c>
      <c r="CU793" s="5" t="s">
        <v>260</v>
      </c>
      <c r="CX793" s="7">
        <f>974600</f>
        <v>974600</v>
      </c>
      <c r="CY793" s="7">
        <f>0</f>
        <v>0</v>
      </c>
      <c r="DA793" s="7">
        <f>0</f>
        <v>0</v>
      </c>
      <c r="DC793" s="5" t="s">
        <v>689</v>
      </c>
      <c r="DD793" s="5" t="s">
        <v>240</v>
      </c>
      <c r="DF793" s="5" t="s">
        <v>450</v>
      </c>
      <c r="DG793" s="7">
        <f>0</f>
        <v>0</v>
      </c>
      <c r="DI793" s="5" t="s">
        <v>618</v>
      </c>
      <c r="DJ793" s="5" t="s">
        <v>240</v>
      </c>
      <c r="DK793" s="5" t="s">
        <v>240</v>
      </c>
      <c r="DL793" s="5" t="s">
        <v>240</v>
      </c>
      <c r="DP793" s="5" t="s">
        <v>240</v>
      </c>
      <c r="DQ793" s="5" t="s">
        <v>240</v>
      </c>
      <c r="DR793" s="5" t="s">
        <v>240</v>
      </c>
      <c r="DS793" s="5" t="s">
        <v>240</v>
      </c>
      <c r="DV793" s="5" t="s">
        <v>1696</v>
      </c>
      <c r="DW793" s="5" t="s">
        <v>621</v>
      </c>
      <c r="HO793" s="5" t="s">
        <v>312</v>
      </c>
    </row>
    <row r="794" spans="1:223" x14ac:dyDescent="0.4">
      <c r="A794" s="5">
        <v>2469</v>
      </c>
      <c r="B794" s="5">
        <v>1</v>
      </c>
      <c r="C794" s="5">
        <v>1</v>
      </c>
      <c r="D794" s="5" t="s">
        <v>297</v>
      </c>
      <c r="E794" s="5" t="s">
        <v>245</v>
      </c>
      <c r="F794" s="5" t="s">
        <v>254</v>
      </c>
      <c r="G794" s="5" t="s">
        <v>240</v>
      </c>
      <c r="H794" s="6" t="s">
        <v>696</v>
      </c>
      <c r="I794" s="5" t="s">
        <v>295</v>
      </c>
      <c r="J794" s="8">
        <f>592</f>
        <v>592</v>
      </c>
      <c r="K794" s="5" t="s">
        <v>308</v>
      </c>
      <c r="L794" s="7">
        <f>1</f>
        <v>1</v>
      </c>
      <c r="M794" s="7">
        <f>1</f>
        <v>1</v>
      </c>
      <c r="N794" s="5" t="s">
        <v>242</v>
      </c>
      <c r="O794" s="5">
        <v>1</v>
      </c>
      <c r="P794" s="5" t="s">
        <v>294</v>
      </c>
      <c r="Q794" s="5" t="s">
        <v>613</v>
      </c>
      <c r="R794" s="5" t="s">
        <v>240</v>
      </c>
      <c r="S794" s="5" t="s">
        <v>240</v>
      </c>
      <c r="T794" s="5" t="s">
        <v>243</v>
      </c>
      <c r="U794" s="5" t="s">
        <v>244</v>
      </c>
      <c r="V794" s="5" t="s">
        <v>240</v>
      </c>
      <c r="Y794" s="5" t="s">
        <v>240</v>
      </c>
      <c r="Z794" s="6" t="s">
        <v>298</v>
      </c>
      <c r="AB794" s="6" t="s">
        <v>240</v>
      </c>
      <c r="AE794" s="6" t="s">
        <v>299</v>
      </c>
      <c r="AF794" s="5" t="s">
        <v>248</v>
      </c>
      <c r="AG794" s="5" t="s">
        <v>249</v>
      </c>
      <c r="AW794" s="5" t="s">
        <v>251</v>
      </c>
      <c r="AX794" s="5" t="s">
        <v>240</v>
      </c>
      <c r="AY794" s="5" t="s">
        <v>253</v>
      </c>
      <c r="AZ794" s="5" t="s">
        <v>240</v>
      </c>
      <c r="BA794" s="5" t="s">
        <v>255</v>
      </c>
      <c r="BB794" s="5" t="s">
        <v>240</v>
      </c>
      <c r="BD794" s="5" t="s">
        <v>240</v>
      </c>
      <c r="BF794" s="5" t="s">
        <v>301</v>
      </c>
      <c r="BG794" s="6" t="s">
        <v>299</v>
      </c>
      <c r="BH794" s="5" t="s">
        <v>302</v>
      </c>
      <c r="BI794" s="5" t="s">
        <v>303</v>
      </c>
      <c r="BJ794" s="5" t="s">
        <v>240</v>
      </c>
      <c r="BK794" s="8">
        <f>0</f>
        <v>0</v>
      </c>
      <c r="BL794" s="7">
        <f>0</f>
        <v>0</v>
      </c>
      <c r="BM794" s="5" t="s">
        <v>258</v>
      </c>
      <c r="BN794" s="5" t="s">
        <v>259</v>
      </c>
      <c r="CB794" s="5" t="s">
        <v>240</v>
      </c>
      <c r="CC794" s="5" t="s">
        <v>240</v>
      </c>
      <c r="CG794" s="5" t="s">
        <v>617</v>
      </c>
      <c r="CH794" s="5" t="s">
        <v>305</v>
      </c>
      <c r="CI794" s="5" t="s">
        <v>240</v>
      </c>
      <c r="CL794" s="6" t="s">
        <v>261</v>
      </c>
      <c r="CM794" s="5" t="s">
        <v>240</v>
      </c>
      <c r="CN794" s="5" t="s">
        <v>263</v>
      </c>
      <c r="CO794" s="5" t="s">
        <v>240</v>
      </c>
      <c r="CP794" s="5" t="s">
        <v>240</v>
      </c>
      <c r="CQ794" s="5">
        <v>0</v>
      </c>
      <c r="CR794" s="5" t="s">
        <v>306</v>
      </c>
      <c r="CS794" s="5" t="s">
        <v>307</v>
      </c>
      <c r="CT794" s="5" t="s">
        <v>307</v>
      </c>
      <c r="CU794" s="5" t="s">
        <v>260</v>
      </c>
      <c r="CX794" s="7">
        <f>3705695</f>
        <v>3705695</v>
      </c>
      <c r="CY794" s="7">
        <f>0</f>
        <v>0</v>
      </c>
      <c r="DA794" s="7">
        <f>0</f>
        <v>0</v>
      </c>
      <c r="DC794" s="5" t="s">
        <v>450</v>
      </c>
      <c r="DD794" s="5" t="s">
        <v>240</v>
      </c>
      <c r="DF794" s="5" t="s">
        <v>450</v>
      </c>
      <c r="DG794" s="7">
        <f>1673</f>
        <v>1673</v>
      </c>
      <c r="DI794" s="5" t="s">
        <v>618</v>
      </c>
      <c r="DJ794" s="5" t="s">
        <v>240</v>
      </c>
      <c r="DK794" s="5" t="s">
        <v>240</v>
      </c>
      <c r="DL794" s="5" t="s">
        <v>240</v>
      </c>
      <c r="DP794" s="5" t="s">
        <v>240</v>
      </c>
      <c r="DQ794" s="5" t="s">
        <v>240</v>
      </c>
      <c r="DR794" s="5" t="s">
        <v>240</v>
      </c>
      <c r="DS794" s="5" t="s">
        <v>240</v>
      </c>
      <c r="DV794" s="5" t="s">
        <v>1702</v>
      </c>
      <c r="DW794" s="5" t="s">
        <v>621</v>
      </c>
      <c r="HO794" s="5" t="s">
        <v>312</v>
      </c>
    </row>
    <row r="795" spans="1:223" x14ac:dyDescent="0.4">
      <c r="A795" s="5">
        <v>2470</v>
      </c>
      <c r="B795" s="5">
        <v>1</v>
      </c>
      <c r="C795" s="5">
        <v>1</v>
      </c>
      <c r="D795" s="5" t="s">
        <v>297</v>
      </c>
      <c r="E795" s="5" t="s">
        <v>245</v>
      </c>
      <c r="F795" s="5" t="s">
        <v>254</v>
      </c>
      <c r="G795" s="5" t="s">
        <v>240</v>
      </c>
      <c r="H795" s="6" t="s">
        <v>2078</v>
      </c>
      <c r="I795" s="5" t="s">
        <v>295</v>
      </c>
      <c r="J795" s="8">
        <f>321</f>
        <v>321</v>
      </c>
      <c r="K795" s="5" t="s">
        <v>308</v>
      </c>
      <c r="L795" s="7">
        <f>1</f>
        <v>1</v>
      </c>
      <c r="M795" s="7">
        <f>1</f>
        <v>1</v>
      </c>
      <c r="N795" s="5" t="s">
        <v>242</v>
      </c>
      <c r="O795" s="5">
        <v>1</v>
      </c>
      <c r="P795" s="5" t="s">
        <v>294</v>
      </c>
      <c r="Q795" s="5" t="s">
        <v>613</v>
      </c>
      <c r="R795" s="5" t="s">
        <v>240</v>
      </c>
      <c r="S795" s="5" t="s">
        <v>240</v>
      </c>
      <c r="T795" s="5" t="s">
        <v>243</v>
      </c>
      <c r="U795" s="5" t="s">
        <v>244</v>
      </c>
      <c r="V795" s="5" t="s">
        <v>240</v>
      </c>
      <c r="Y795" s="5" t="s">
        <v>240</v>
      </c>
      <c r="Z795" s="6" t="s">
        <v>298</v>
      </c>
      <c r="AB795" s="6" t="s">
        <v>240</v>
      </c>
      <c r="AE795" s="6" t="s">
        <v>299</v>
      </c>
      <c r="AF795" s="5" t="s">
        <v>248</v>
      </c>
      <c r="AG795" s="5" t="s">
        <v>249</v>
      </c>
      <c r="AW795" s="5" t="s">
        <v>251</v>
      </c>
      <c r="AX795" s="5" t="s">
        <v>240</v>
      </c>
      <c r="AY795" s="5" t="s">
        <v>253</v>
      </c>
      <c r="AZ795" s="5" t="s">
        <v>240</v>
      </c>
      <c r="BA795" s="5" t="s">
        <v>255</v>
      </c>
      <c r="BB795" s="5" t="s">
        <v>240</v>
      </c>
      <c r="BD795" s="5" t="s">
        <v>686</v>
      </c>
      <c r="BF795" s="5" t="s">
        <v>301</v>
      </c>
      <c r="BG795" s="6" t="s">
        <v>299</v>
      </c>
      <c r="BH795" s="5" t="s">
        <v>302</v>
      </c>
      <c r="BI795" s="5" t="s">
        <v>303</v>
      </c>
      <c r="BJ795" s="5" t="s">
        <v>240</v>
      </c>
      <c r="BK795" s="8">
        <f>0</f>
        <v>0</v>
      </c>
      <c r="BL795" s="7">
        <f>0</f>
        <v>0</v>
      </c>
      <c r="BM795" s="5" t="s">
        <v>258</v>
      </c>
      <c r="BN795" s="5" t="s">
        <v>259</v>
      </c>
      <c r="CB795" s="5" t="s">
        <v>240</v>
      </c>
      <c r="CC795" s="5" t="s">
        <v>240</v>
      </c>
      <c r="CG795" s="5" t="s">
        <v>617</v>
      </c>
      <c r="CH795" s="5" t="s">
        <v>305</v>
      </c>
      <c r="CI795" s="5" t="s">
        <v>240</v>
      </c>
      <c r="CL795" s="6" t="s">
        <v>261</v>
      </c>
      <c r="CM795" s="5" t="s">
        <v>240</v>
      </c>
      <c r="CN795" s="5" t="s">
        <v>263</v>
      </c>
      <c r="CO795" s="5" t="s">
        <v>240</v>
      </c>
      <c r="CP795" s="5" t="s">
        <v>240</v>
      </c>
      <c r="CQ795" s="5">
        <v>0</v>
      </c>
      <c r="CR795" s="5" t="s">
        <v>306</v>
      </c>
      <c r="CS795" s="5" t="s">
        <v>307</v>
      </c>
      <c r="CT795" s="5" t="s">
        <v>307</v>
      </c>
      <c r="CU795" s="5" t="s">
        <v>260</v>
      </c>
      <c r="CX795" s="7">
        <f>177200</f>
        <v>177200</v>
      </c>
      <c r="CY795" s="7">
        <f>0</f>
        <v>0</v>
      </c>
      <c r="DA795" s="7">
        <f>0</f>
        <v>0</v>
      </c>
      <c r="DC795" s="5" t="s">
        <v>618</v>
      </c>
      <c r="DD795" s="5" t="s">
        <v>240</v>
      </c>
      <c r="DF795" s="5" t="s">
        <v>450</v>
      </c>
      <c r="DG795" s="7">
        <f>0</f>
        <v>0</v>
      </c>
      <c r="DI795" s="5" t="s">
        <v>618</v>
      </c>
      <c r="DJ795" s="5" t="s">
        <v>240</v>
      </c>
      <c r="DK795" s="5" t="s">
        <v>240</v>
      </c>
      <c r="DL795" s="5" t="s">
        <v>240</v>
      </c>
      <c r="DP795" s="5" t="s">
        <v>240</v>
      </c>
      <c r="DQ795" s="5" t="s">
        <v>240</v>
      </c>
      <c r="DR795" s="5" t="s">
        <v>240</v>
      </c>
      <c r="DS795" s="5" t="s">
        <v>240</v>
      </c>
      <c r="DV795" s="5" t="s">
        <v>1702</v>
      </c>
      <c r="DW795" s="5" t="s">
        <v>312</v>
      </c>
      <c r="HO795" s="5" t="s">
        <v>312</v>
      </c>
    </row>
    <row r="796" spans="1:223" x14ac:dyDescent="0.4">
      <c r="A796" s="5">
        <v>2471</v>
      </c>
      <c r="B796" s="5">
        <v>1</v>
      </c>
      <c r="C796" s="5">
        <v>1</v>
      </c>
      <c r="D796" s="5" t="s">
        <v>297</v>
      </c>
      <c r="E796" s="5" t="s">
        <v>245</v>
      </c>
      <c r="F796" s="5" t="s">
        <v>254</v>
      </c>
      <c r="G796" s="5" t="s">
        <v>240</v>
      </c>
      <c r="H796" s="6" t="s">
        <v>2077</v>
      </c>
      <c r="I796" s="5" t="s">
        <v>295</v>
      </c>
      <c r="J796" s="8">
        <f>350</f>
        <v>350</v>
      </c>
      <c r="K796" s="5" t="s">
        <v>308</v>
      </c>
      <c r="L796" s="7">
        <f>1</f>
        <v>1</v>
      </c>
      <c r="M796" s="7">
        <f>1</f>
        <v>1</v>
      </c>
      <c r="N796" s="5" t="s">
        <v>242</v>
      </c>
      <c r="O796" s="5">
        <v>1</v>
      </c>
      <c r="P796" s="5" t="s">
        <v>294</v>
      </c>
      <c r="Q796" s="5" t="s">
        <v>613</v>
      </c>
      <c r="R796" s="5" t="s">
        <v>240</v>
      </c>
      <c r="S796" s="5" t="s">
        <v>240</v>
      </c>
      <c r="T796" s="5" t="s">
        <v>243</v>
      </c>
      <c r="U796" s="5" t="s">
        <v>244</v>
      </c>
      <c r="V796" s="5" t="s">
        <v>240</v>
      </c>
      <c r="Y796" s="5" t="s">
        <v>240</v>
      </c>
      <c r="Z796" s="6" t="s">
        <v>1706</v>
      </c>
      <c r="AB796" s="6" t="s">
        <v>240</v>
      </c>
      <c r="AE796" s="6" t="s">
        <v>299</v>
      </c>
      <c r="AF796" s="5" t="s">
        <v>248</v>
      </c>
      <c r="AG796" s="5" t="s">
        <v>249</v>
      </c>
      <c r="AW796" s="5" t="s">
        <v>251</v>
      </c>
      <c r="AX796" s="5" t="s">
        <v>240</v>
      </c>
      <c r="AY796" s="5" t="s">
        <v>253</v>
      </c>
      <c r="AZ796" s="5" t="s">
        <v>240</v>
      </c>
      <c r="BA796" s="5" t="s">
        <v>255</v>
      </c>
      <c r="BB796" s="5" t="s">
        <v>240</v>
      </c>
      <c r="BD796" s="5" t="s">
        <v>686</v>
      </c>
      <c r="BF796" s="5" t="s">
        <v>301</v>
      </c>
      <c r="BG796" s="6" t="s">
        <v>299</v>
      </c>
      <c r="BH796" s="5" t="s">
        <v>302</v>
      </c>
      <c r="BI796" s="5" t="s">
        <v>303</v>
      </c>
      <c r="BJ796" s="5" t="s">
        <v>240</v>
      </c>
      <c r="BK796" s="8">
        <f>0</f>
        <v>0</v>
      </c>
      <c r="BL796" s="7">
        <f>0</f>
        <v>0</v>
      </c>
      <c r="BM796" s="5" t="s">
        <v>258</v>
      </c>
      <c r="BN796" s="5" t="s">
        <v>259</v>
      </c>
      <c r="CB796" s="5" t="s">
        <v>240</v>
      </c>
      <c r="CC796" s="5" t="s">
        <v>240</v>
      </c>
      <c r="CG796" s="5" t="s">
        <v>617</v>
      </c>
      <c r="CH796" s="5" t="s">
        <v>305</v>
      </c>
      <c r="CI796" s="5" t="s">
        <v>240</v>
      </c>
      <c r="CL796" s="6" t="s">
        <v>261</v>
      </c>
      <c r="CM796" s="5" t="s">
        <v>240</v>
      </c>
      <c r="CN796" s="5" t="s">
        <v>263</v>
      </c>
      <c r="CO796" s="5" t="s">
        <v>240</v>
      </c>
      <c r="CP796" s="5" t="s">
        <v>240</v>
      </c>
      <c r="CQ796" s="5">
        <v>0</v>
      </c>
      <c r="CR796" s="5" t="s">
        <v>306</v>
      </c>
      <c r="CS796" s="5" t="s">
        <v>307</v>
      </c>
      <c r="CT796" s="5" t="s">
        <v>307</v>
      </c>
      <c r="CU796" s="5" t="s">
        <v>260</v>
      </c>
      <c r="CX796" s="7">
        <f>1526135</f>
        <v>1526135</v>
      </c>
      <c r="CY796" s="7">
        <f>0</f>
        <v>0</v>
      </c>
      <c r="DA796" s="7">
        <f>0</f>
        <v>0</v>
      </c>
      <c r="DC796" s="5" t="s">
        <v>618</v>
      </c>
      <c r="DD796" s="5" t="s">
        <v>240</v>
      </c>
      <c r="DF796" s="5" t="s">
        <v>618</v>
      </c>
      <c r="DG796" s="7">
        <f>689</f>
        <v>689</v>
      </c>
      <c r="DI796" s="5" t="s">
        <v>618</v>
      </c>
      <c r="DJ796" s="5" t="s">
        <v>240</v>
      </c>
      <c r="DK796" s="5" t="s">
        <v>240</v>
      </c>
      <c r="DL796" s="5" t="s">
        <v>240</v>
      </c>
      <c r="DP796" s="5" t="s">
        <v>240</v>
      </c>
      <c r="DQ796" s="5" t="s">
        <v>240</v>
      </c>
      <c r="DR796" s="5" t="s">
        <v>240</v>
      </c>
      <c r="DS796" s="5" t="s">
        <v>240</v>
      </c>
      <c r="DV796" s="5" t="s">
        <v>1708</v>
      </c>
      <c r="DW796" s="5" t="s">
        <v>312</v>
      </c>
      <c r="HO796" s="5" t="s">
        <v>312</v>
      </c>
    </row>
    <row r="797" spans="1:223" x14ac:dyDescent="0.4">
      <c r="A797" s="5">
        <v>2472</v>
      </c>
      <c r="B797" s="5">
        <v>1</v>
      </c>
      <c r="C797" s="5">
        <v>1</v>
      </c>
      <c r="D797" s="5" t="s">
        <v>297</v>
      </c>
      <c r="E797" s="5" t="s">
        <v>245</v>
      </c>
      <c r="F797" s="5" t="s">
        <v>254</v>
      </c>
      <c r="G797" s="5" t="s">
        <v>240</v>
      </c>
      <c r="H797" s="6" t="s">
        <v>2076</v>
      </c>
      <c r="I797" s="5" t="s">
        <v>295</v>
      </c>
      <c r="J797" s="8">
        <f>1245</f>
        <v>1245</v>
      </c>
      <c r="K797" s="5" t="s">
        <v>308</v>
      </c>
      <c r="L797" s="7">
        <f>1</f>
        <v>1</v>
      </c>
      <c r="M797" s="7">
        <f>1</f>
        <v>1</v>
      </c>
      <c r="N797" s="5" t="s">
        <v>242</v>
      </c>
      <c r="O797" s="5">
        <v>1</v>
      </c>
      <c r="P797" s="5" t="s">
        <v>294</v>
      </c>
      <c r="Q797" s="5" t="s">
        <v>613</v>
      </c>
      <c r="R797" s="5" t="s">
        <v>240</v>
      </c>
      <c r="S797" s="5" t="s">
        <v>240</v>
      </c>
      <c r="T797" s="5" t="s">
        <v>243</v>
      </c>
      <c r="U797" s="5" t="s">
        <v>244</v>
      </c>
      <c r="V797" s="5" t="s">
        <v>240</v>
      </c>
      <c r="Y797" s="5" t="s">
        <v>240</v>
      </c>
      <c r="Z797" s="6" t="s">
        <v>298</v>
      </c>
      <c r="AB797" s="6" t="s">
        <v>240</v>
      </c>
      <c r="AE797" s="6" t="s">
        <v>299</v>
      </c>
      <c r="AF797" s="5" t="s">
        <v>248</v>
      </c>
      <c r="AG797" s="5" t="s">
        <v>249</v>
      </c>
      <c r="AW797" s="5" t="s">
        <v>251</v>
      </c>
      <c r="AX797" s="5" t="s">
        <v>240</v>
      </c>
      <c r="AY797" s="5" t="s">
        <v>253</v>
      </c>
      <c r="AZ797" s="5" t="s">
        <v>240</v>
      </c>
      <c r="BA797" s="5" t="s">
        <v>255</v>
      </c>
      <c r="BB797" s="5" t="s">
        <v>240</v>
      </c>
      <c r="BD797" s="5" t="s">
        <v>240</v>
      </c>
      <c r="BF797" s="5" t="s">
        <v>301</v>
      </c>
      <c r="BG797" s="6" t="s">
        <v>299</v>
      </c>
      <c r="BH797" s="5" t="s">
        <v>302</v>
      </c>
      <c r="BI797" s="5" t="s">
        <v>303</v>
      </c>
      <c r="BJ797" s="5" t="s">
        <v>240</v>
      </c>
      <c r="BK797" s="8">
        <f>0</f>
        <v>0</v>
      </c>
      <c r="BL797" s="7">
        <f>0</f>
        <v>0</v>
      </c>
      <c r="BM797" s="5" t="s">
        <v>258</v>
      </c>
      <c r="BN797" s="5" t="s">
        <v>259</v>
      </c>
      <c r="CB797" s="5" t="s">
        <v>240</v>
      </c>
      <c r="CC797" s="5" t="s">
        <v>240</v>
      </c>
      <c r="CG797" s="5" t="s">
        <v>617</v>
      </c>
      <c r="CH797" s="5" t="s">
        <v>305</v>
      </c>
      <c r="CI797" s="5" t="s">
        <v>240</v>
      </c>
      <c r="CL797" s="6" t="s">
        <v>261</v>
      </c>
      <c r="CM797" s="5" t="s">
        <v>240</v>
      </c>
      <c r="CN797" s="5" t="s">
        <v>263</v>
      </c>
      <c r="CO797" s="5" t="s">
        <v>240</v>
      </c>
      <c r="CP797" s="5" t="s">
        <v>240</v>
      </c>
      <c r="CQ797" s="5">
        <v>0</v>
      </c>
      <c r="CR797" s="5" t="s">
        <v>306</v>
      </c>
      <c r="CS797" s="5" t="s">
        <v>307</v>
      </c>
      <c r="CT797" s="5" t="s">
        <v>307</v>
      </c>
      <c r="CU797" s="5" t="s">
        <v>260</v>
      </c>
      <c r="CX797" s="7">
        <f>2236000</f>
        <v>2236000</v>
      </c>
      <c r="CY797" s="7">
        <f>0</f>
        <v>0</v>
      </c>
      <c r="DA797" s="7">
        <f>0</f>
        <v>0</v>
      </c>
      <c r="DC797" s="5" t="s">
        <v>843</v>
      </c>
      <c r="DD797" s="5" t="s">
        <v>240</v>
      </c>
      <c r="DF797" s="5" t="s">
        <v>450</v>
      </c>
      <c r="DG797" s="7">
        <f>0</f>
        <v>0</v>
      </c>
      <c r="DI797" s="5" t="s">
        <v>843</v>
      </c>
      <c r="DJ797" s="5" t="s">
        <v>240</v>
      </c>
      <c r="DK797" s="5" t="s">
        <v>240</v>
      </c>
      <c r="DL797" s="5" t="s">
        <v>240</v>
      </c>
      <c r="DP797" s="5" t="s">
        <v>240</v>
      </c>
      <c r="DQ797" s="5" t="s">
        <v>240</v>
      </c>
      <c r="DR797" s="5" t="s">
        <v>240</v>
      </c>
      <c r="DS797" s="5" t="s">
        <v>240</v>
      </c>
      <c r="DV797" s="5" t="s">
        <v>1712</v>
      </c>
      <c r="DW797" s="5" t="s">
        <v>818</v>
      </c>
      <c r="HO797" s="5" t="s">
        <v>312</v>
      </c>
    </row>
    <row r="798" spans="1:223" x14ac:dyDescent="0.4">
      <c r="A798" s="5">
        <v>2473</v>
      </c>
      <c r="B798" s="5">
        <v>1</v>
      </c>
      <c r="C798" s="5">
        <v>1</v>
      </c>
      <c r="D798" s="5" t="s">
        <v>297</v>
      </c>
      <c r="E798" s="5" t="s">
        <v>245</v>
      </c>
      <c r="F798" s="5" t="s">
        <v>254</v>
      </c>
      <c r="G798" s="5" t="s">
        <v>240</v>
      </c>
      <c r="H798" s="6" t="s">
        <v>2075</v>
      </c>
      <c r="I798" s="5" t="s">
        <v>295</v>
      </c>
      <c r="J798" s="8">
        <f>886</f>
        <v>886</v>
      </c>
      <c r="K798" s="5" t="s">
        <v>308</v>
      </c>
      <c r="L798" s="7">
        <f>1</f>
        <v>1</v>
      </c>
      <c r="M798" s="7">
        <f>1</f>
        <v>1</v>
      </c>
      <c r="N798" s="5" t="s">
        <v>242</v>
      </c>
      <c r="O798" s="5">
        <v>1</v>
      </c>
      <c r="P798" s="5" t="s">
        <v>294</v>
      </c>
      <c r="Q798" s="5" t="s">
        <v>613</v>
      </c>
      <c r="R798" s="5" t="s">
        <v>240</v>
      </c>
      <c r="S798" s="5" t="s">
        <v>240</v>
      </c>
      <c r="T798" s="5" t="s">
        <v>243</v>
      </c>
      <c r="U798" s="5" t="s">
        <v>244</v>
      </c>
      <c r="V798" s="5" t="s">
        <v>240</v>
      </c>
      <c r="Y798" s="5" t="s">
        <v>240</v>
      </c>
      <c r="Z798" s="6" t="s">
        <v>298</v>
      </c>
      <c r="AB798" s="6" t="s">
        <v>240</v>
      </c>
      <c r="AE798" s="6" t="s">
        <v>299</v>
      </c>
      <c r="AF798" s="5" t="s">
        <v>248</v>
      </c>
      <c r="AG798" s="5" t="s">
        <v>249</v>
      </c>
      <c r="AW798" s="5" t="s">
        <v>251</v>
      </c>
      <c r="AX798" s="5" t="s">
        <v>240</v>
      </c>
      <c r="AY798" s="5" t="s">
        <v>253</v>
      </c>
      <c r="AZ798" s="5" t="s">
        <v>240</v>
      </c>
      <c r="BA798" s="5" t="s">
        <v>255</v>
      </c>
      <c r="BB798" s="5" t="s">
        <v>240</v>
      </c>
      <c r="BD798" s="5" t="s">
        <v>240</v>
      </c>
      <c r="BF798" s="5" t="s">
        <v>301</v>
      </c>
      <c r="BG798" s="6" t="s">
        <v>299</v>
      </c>
      <c r="BH798" s="5" t="s">
        <v>302</v>
      </c>
      <c r="BI798" s="5" t="s">
        <v>303</v>
      </c>
      <c r="BJ798" s="5" t="s">
        <v>240</v>
      </c>
      <c r="BK798" s="8">
        <f>0</f>
        <v>0</v>
      </c>
      <c r="BL798" s="7">
        <f>0</f>
        <v>0</v>
      </c>
      <c r="BM798" s="5" t="s">
        <v>258</v>
      </c>
      <c r="BN798" s="5" t="s">
        <v>259</v>
      </c>
      <c r="CB798" s="5" t="s">
        <v>240</v>
      </c>
      <c r="CC798" s="5" t="s">
        <v>240</v>
      </c>
      <c r="CG798" s="5" t="s">
        <v>617</v>
      </c>
      <c r="CH798" s="5" t="s">
        <v>305</v>
      </c>
      <c r="CI798" s="5" t="s">
        <v>240</v>
      </c>
      <c r="CL798" s="6" t="s">
        <v>261</v>
      </c>
      <c r="CM798" s="5" t="s">
        <v>240</v>
      </c>
      <c r="CN798" s="5" t="s">
        <v>263</v>
      </c>
      <c r="CO798" s="5" t="s">
        <v>240</v>
      </c>
      <c r="CP798" s="5" t="s">
        <v>240</v>
      </c>
      <c r="CQ798" s="5">
        <v>0</v>
      </c>
      <c r="CR798" s="5" t="s">
        <v>306</v>
      </c>
      <c r="CS798" s="5" t="s">
        <v>307</v>
      </c>
      <c r="CT798" s="5" t="s">
        <v>307</v>
      </c>
      <c r="CU798" s="5" t="s">
        <v>260</v>
      </c>
      <c r="CX798" s="7">
        <f>1200530</f>
        <v>1200530</v>
      </c>
      <c r="CY798" s="7">
        <f>0</f>
        <v>0</v>
      </c>
      <c r="DA798" s="7">
        <f>0</f>
        <v>0</v>
      </c>
      <c r="DC798" s="5" t="s">
        <v>618</v>
      </c>
      <c r="DD798" s="5" t="s">
        <v>240</v>
      </c>
      <c r="DF798" s="5" t="s">
        <v>450</v>
      </c>
      <c r="DG798" s="7">
        <f>0</f>
        <v>0</v>
      </c>
      <c r="DI798" s="5" t="s">
        <v>618</v>
      </c>
      <c r="DJ798" s="5" t="s">
        <v>240</v>
      </c>
      <c r="DK798" s="5" t="s">
        <v>240</v>
      </c>
      <c r="DL798" s="5" t="s">
        <v>240</v>
      </c>
      <c r="DP798" s="5" t="s">
        <v>240</v>
      </c>
      <c r="DQ798" s="5" t="s">
        <v>240</v>
      </c>
      <c r="DR798" s="5" t="s">
        <v>240</v>
      </c>
      <c r="DS798" s="5" t="s">
        <v>240</v>
      </c>
      <c r="DV798" s="5" t="s">
        <v>1712</v>
      </c>
      <c r="DW798" s="5" t="s">
        <v>820</v>
      </c>
      <c r="HO798" s="5" t="s">
        <v>312</v>
      </c>
    </row>
    <row r="799" spans="1:223" x14ac:dyDescent="0.4">
      <c r="A799" s="5">
        <v>2474</v>
      </c>
      <c r="B799" s="5">
        <v>1</v>
      </c>
      <c r="C799" s="5">
        <v>1</v>
      </c>
      <c r="D799" s="5" t="s">
        <v>297</v>
      </c>
      <c r="E799" s="5" t="s">
        <v>245</v>
      </c>
      <c r="F799" s="5" t="s">
        <v>254</v>
      </c>
      <c r="G799" s="5" t="s">
        <v>240</v>
      </c>
      <c r="H799" s="6" t="s">
        <v>2074</v>
      </c>
      <c r="I799" s="5" t="s">
        <v>295</v>
      </c>
      <c r="J799" s="8">
        <f>410</f>
        <v>410</v>
      </c>
      <c r="K799" s="5" t="s">
        <v>308</v>
      </c>
      <c r="L799" s="7">
        <f>1</f>
        <v>1</v>
      </c>
      <c r="M799" s="7">
        <f>1</f>
        <v>1</v>
      </c>
      <c r="N799" s="5" t="s">
        <v>242</v>
      </c>
      <c r="O799" s="5">
        <v>1</v>
      </c>
      <c r="P799" s="5" t="s">
        <v>294</v>
      </c>
      <c r="Q799" s="5" t="s">
        <v>613</v>
      </c>
      <c r="R799" s="5" t="s">
        <v>240</v>
      </c>
      <c r="S799" s="5" t="s">
        <v>240</v>
      </c>
      <c r="T799" s="5" t="s">
        <v>243</v>
      </c>
      <c r="U799" s="5" t="s">
        <v>244</v>
      </c>
      <c r="V799" s="5" t="s">
        <v>240</v>
      </c>
      <c r="Y799" s="5" t="s">
        <v>240</v>
      </c>
      <c r="Z799" s="6" t="s">
        <v>298</v>
      </c>
      <c r="AB799" s="6" t="s">
        <v>240</v>
      </c>
      <c r="AE799" s="6" t="s">
        <v>299</v>
      </c>
      <c r="AF799" s="5" t="s">
        <v>248</v>
      </c>
      <c r="AG799" s="5" t="s">
        <v>249</v>
      </c>
      <c r="AW799" s="5" t="s">
        <v>251</v>
      </c>
      <c r="AX799" s="5" t="s">
        <v>240</v>
      </c>
      <c r="AY799" s="5" t="s">
        <v>253</v>
      </c>
      <c r="AZ799" s="5" t="s">
        <v>240</v>
      </c>
      <c r="BA799" s="5" t="s">
        <v>255</v>
      </c>
      <c r="BB799" s="5" t="s">
        <v>240</v>
      </c>
      <c r="BD799" s="5" t="s">
        <v>240</v>
      </c>
      <c r="BF799" s="5" t="s">
        <v>301</v>
      </c>
      <c r="BG799" s="6" t="s">
        <v>299</v>
      </c>
      <c r="BH799" s="5" t="s">
        <v>302</v>
      </c>
      <c r="BI799" s="5" t="s">
        <v>303</v>
      </c>
      <c r="BJ799" s="5" t="s">
        <v>240</v>
      </c>
      <c r="BK799" s="8">
        <f>0</f>
        <v>0</v>
      </c>
      <c r="BL799" s="7">
        <f>0</f>
        <v>0</v>
      </c>
      <c r="BM799" s="5" t="s">
        <v>258</v>
      </c>
      <c r="BN799" s="5" t="s">
        <v>259</v>
      </c>
      <c r="CB799" s="5" t="s">
        <v>240</v>
      </c>
      <c r="CC799" s="5" t="s">
        <v>240</v>
      </c>
      <c r="CG799" s="5" t="s">
        <v>617</v>
      </c>
      <c r="CH799" s="5" t="s">
        <v>305</v>
      </c>
      <c r="CI799" s="5" t="s">
        <v>240</v>
      </c>
      <c r="CL799" s="6" t="s">
        <v>261</v>
      </c>
      <c r="CM799" s="5" t="s">
        <v>240</v>
      </c>
      <c r="CN799" s="5" t="s">
        <v>263</v>
      </c>
      <c r="CO799" s="5" t="s">
        <v>240</v>
      </c>
      <c r="CP799" s="5" t="s">
        <v>240</v>
      </c>
      <c r="CQ799" s="5">
        <v>0</v>
      </c>
      <c r="CR799" s="5" t="s">
        <v>306</v>
      </c>
      <c r="CS799" s="5" t="s">
        <v>307</v>
      </c>
      <c r="CT799" s="5" t="s">
        <v>307</v>
      </c>
      <c r="CU799" s="5" t="s">
        <v>260</v>
      </c>
      <c r="CX799" s="7">
        <f>3023475</f>
        <v>3023475</v>
      </c>
      <c r="CY799" s="7">
        <f>0</f>
        <v>0</v>
      </c>
      <c r="DA799" s="7">
        <f>0</f>
        <v>0</v>
      </c>
      <c r="DC799" s="5" t="s">
        <v>618</v>
      </c>
      <c r="DD799" s="5" t="s">
        <v>240</v>
      </c>
      <c r="DF799" s="5" t="s">
        <v>450</v>
      </c>
      <c r="DG799" s="7">
        <f>0</f>
        <v>0</v>
      </c>
      <c r="DI799" s="5" t="s">
        <v>618</v>
      </c>
      <c r="DJ799" s="5" t="s">
        <v>240</v>
      </c>
      <c r="DK799" s="5" t="s">
        <v>240</v>
      </c>
      <c r="DL799" s="5" t="s">
        <v>240</v>
      </c>
      <c r="DP799" s="5" t="s">
        <v>240</v>
      </c>
      <c r="DQ799" s="5" t="s">
        <v>240</v>
      </c>
      <c r="DR799" s="5" t="s">
        <v>240</v>
      </c>
      <c r="DS799" s="5" t="s">
        <v>240</v>
      </c>
      <c r="DV799" s="5" t="s">
        <v>1712</v>
      </c>
      <c r="DW799" s="5" t="s">
        <v>691</v>
      </c>
      <c r="HO799" s="5" t="s">
        <v>312</v>
      </c>
    </row>
    <row r="800" spans="1:223" x14ac:dyDescent="0.4">
      <c r="A800" s="5">
        <v>2475</v>
      </c>
      <c r="B800" s="5">
        <v>1</v>
      </c>
      <c r="C800" s="5">
        <v>1</v>
      </c>
      <c r="D800" s="5" t="s">
        <v>297</v>
      </c>
      <c r="E800" s="5" t="s">
        <v>245</v>
      </c>
      <c r="F800" s="5" t="s">
        <v>254</v>
      </c>
      <c r="G800" s="5" t="s">
        <v>240</v>
      </c>
      <c r="H800" s="6" t="s">
        <v>2073</v>
      </c>
      <c r="I800" s="5" t="s">
        <v>295</v>
      </c>
      <c r="J800" s="8">
        <f>2744</f>
        <v>2744</v>
      </c>
      <c r="K800" s="5" t="s">
        <v>308</v>
      </c>
      <c r="L800" s="7">
        <f>1</f>
        <v>1</v>
      </c>
      <c r="M800" s="7">
        <f>1</f>
        <v>1</v>
      </c>
      <c r="N800" s="5" t="s">
        <v>242</v>
      </c>
      <c r="O800" s="5">
        <v>1</v>
      </c>
      <c r="P800" s="5" t="s">
        <v>294</v>
      </c>
      <c r="Q800" s="5" t="s">
        <v>613</v>
      </c>
      <c r="R800" s="5" t="s">
        <v>240</v>
      </c>
      <c r="S800" s="5" t="s">
        <v>240</v>
      </c>
      <c r="T800" s="5" t="s">
        <v>243</v>
      </c>
      <c r="U800" s="5" t="s">
        <v>244</v>
      </c>
      <c r="V800" s="5" t="s">
        <v>240</v>
      </c>
      <c r="Y800" s="5" t="s">
        <v>240</v>
      </c>
      <c r="Z800" s="6" t="s">
        <v>298</v>
      </c>
      <c r="AB800" s="6" t="s">
        <v>240</v>
      </c>
      <c r="AE800" s="6" t="s">
        <v>299</v>
      </c>
      <c r="AF800" s="5" t="s">
        <v>248</v>
      </c>
      <c r="AG800" s="5" t="s">
        <v>249</v>
      </c>
      <c r="AW800" s="5" t="s">
        <v>251</v>
      </c>
      <c r="AX800" s="5" t="s">
        <v>240</v>
      </c>
      <c r="AY800" s="5" t="s">
        <v>253</v>
      </c>
      <c r="AZ800" s="5" t="s">
        <v>240</v>
      </c>
      <c r="BA800" s="5" t="s">
        <v>255</v>
      </c>
      <c r="BB800" s="5" t="s">
        <v>240</v>
      </c>
      <c r="BD800" s="5" t="s">
        <v>240</v>
      </c>
      <c r="BF800" s="5" t="s">
        <v>301</v>
      </c>
      <c r="BG800" s="6" t="s">
        <v>299</v>
      </c>
      <c r="BH800" s="5" t="s">
        <v>302</v>
      </c>
      <c r="BI800" s="5" t="s">
        <v>303</v>
      </c>
      <c r="BJ800" s="5" t="s">
        <v>240</v>
      </c>
      <c r="BK800" s="8">
        <f>0</f>
        <v>0</v>
      </c>
      <c r="BL800" s="7">
        <f>0</f>
        <v>0</v>
      </c>
      <c r="BM800" s="5" t="s">
        <v>258</v>
      </c>
      <c r="BN800" s="5" t="s">
        <v>259</v>
      </c>
      <c r="CB800" s="5" t="s">
        <v>240</v>
      </c>
      <c r="CC800" s="5" t="s">
        <v>240</v>
      </c>
      <c r="CG800" s="5" t="s">
        <v>617</v>
      </c>
      <c r="CH800" s="5" t="s">
        <v>305</v>
      </c>
      <c r="CI800" s="5" t="s">
        <v>240</v>
      </c>
      <c r="CL800" s="6" t="s">
        <v>261</v>
      </c>
      <c r="CM800" s="5" t="s">
        <v>240</v>
      </c>
      <c r="CN800" s="5" t="s">
        <v>263</v>
      </c>
      <c r="CO800" s="5" t="s">
        <v>240</v>
      </c>
      <c r="CP800" s="5" t="s">
        <v>240</v>
      </c>
      <c r="CQ800" s="5">
        <v>0</v>
      </c>
      <c r="CR800" s="5" t="s">
        <v>306</v>
      </c>
      <c r="CS800" s="5" t="s">
        <v>307</v>
      </c>
      <c r="CT800" s="5" t="s">
        <v>307</v>
      </c>
      <c r="CU800" s="5" t="s">
        <v>260</v>
      </c>
      <c r="CX800" s="7">
        <f>1552715</f>
        <v>1552715</v>
      </c>
      <c r="CY800" s="7">
        <f>0</f>
        <v>0</v>
      </c>
      <c r="DA800" s="7">
        <f>0</f>
        <v>0</v>
      </c>
      <c r="DC800" s="5" t="s">
        <v>618</v>
      </c>
      <c r="DD800" s="5" t="s">
        <v>240</v>
      </c>
      <c r="DF800" s="5" t="s">
        <v>450</v>
      </c>
      <c r="DG800" s="7">
        <f>0</f>
        <v>0</v>
      </c>
      <c r="DI800" s="5" t="s">
        <v>618</v>
      </c>
      <c r="DJ800" s="5" t="s">
        <v>240</v>
      </c>
      <c r="DK800" s="5" t="s">
        <v>240</v>
      </c>
      <c r="DL800" s="5" t="s">
        <v>240</v>
      </c>
      <c r="DP800" s="5" t="s">
        <v>240</v>
      </c>
      <c r="DQ800" s="5" t="s">
        <v>240</v>
      </c>
      <c r="DR800" s="5" t="s">
        <v>240</v>
      </c>
      <c r="DS800" s="5" t="s">
        <v>240</v>
      </c>
      <c r="DV800" s="5" t="s">
        <v>1712</v>
      </c>
      <c r="DW800" s="5" t="s">
        <v>620</v>
      </c>
      <c r="HO800" s="5" t="s">
        <v>312</v>
      </c>
    </row>
    <row r="801" spans="1:240" x14ac:dyDescent="0.4">
      <c r="A801" s="5">
        <v>2476</v>
      </c>
      <c r="B801" s="5">
        <v>1</v>
      </c>
      <c r="C801" s="5">
        <v>1</v>
      </c>
      <c r="D801" s="5" t="s">
        <v>297</v>
      </c>
      <c r="E801" s="5" t="s">
        <v>245</v>
      </c>
      <c r="F801" s="5" t="s">
        <v>254</v>
      </c>
      <c r="G801" s="5" t="s">
        <v>240</v>
      </c>
      <c r="H801" s="6" t="s">
        <v>2072</v>
      </c>
      <c r="I801" s="5" t="s">
        <v>295</v>
      </c>
      <c r="J801" s="8">
        <f>14725</f>
        <v>14725</v>
      </c>
      <c r="K801" s="5" t="s">
        <v>308</v>
      </c>
      <c r="L801" s="7">
        <f>1</f>
        <v>1</v>
      </c>
      <c r="M801" s="7">
        <f>1</f>
        <v>1</v>
      </c>
      <c r="N801" s="5" t="s">
        <v>242</v>
      </c>
      <c r="O801" s="5">
        <v>1</v>
      </c>
      <c r="P801" s="5" t="s">
        <v>294</v>
      </c>
      <c r="Q801" s="5" t="s">
        <v>613</v>
      </c>
      <c r="R801" s="5" t="s">
        <v>240</v>
      </c>
      <c r="S801" s="5" t="s">
        <v>240</v>
      </c>
      <c r="T801" s="5" t="s">
        <v>243</v>
      </c>
      <c r="U801" s="5" t="s">
        <v>244</v>
      </c>
      <c r="V801" s="5" t="s">
        <v>240</v>
      </c>
      <c r="Y801" s="5" t="s">
        <v>240</v>
      </c>
      <c r="Z801" s="6" t="s">
        <v>298</v>
      </c>
      <c r="AB801" s="6" t="s">
        <v>240</v>
      </c>
      <c r="AE801" s="6" t="s">
        <v>299</v>
      </c>
      <c r="AF801" s="5" t="s">
        <v>248</v>
      </c>
      <c r="AG801" s="5" t="s">
        <v>249</v>
      </c>
      <c r="AW801" s="5" t="s">
        <v>251</v>
      </c>
      <c r="AX801" s="5" t="s">
        <v>240</v>
      </c>
      <c r="AY801" s="5" t="s">
        <v>253</v>
      </c>
      <c r="AZ801" s="5" t="s">
        <v>240</v>
      </c>
      <c r="BA801" s="5" t="s">
        <v>255</v>
      </c>
      <c r="BB801" s="5" t="s">
        <v>240</v>
      </c>
      <c r="BD801" s="5" t="s">
        <v>240</v>
      </c>
      <c r="BF801" s="5" t="s">
        <v>301</v>
      </c>
      <c r="BG801" s="6" t="s">
        <v>299</v>
      </c>
      <c r="BH801" s="5" t="s">
        <v>302</v>
      </c>
      <c r="BI801" s="5" t="s">
        <v>303</v>
      </c>
      <c r="BJ801" s="5" t="s">
        <v>240</v>
      </c>
      <c r="BK801" s="8">
        <f>0</f>
        <v>0</v>
      </c>
      <c r="BL801" s="7">
        <f>0</f>
        <v>0</v>
      </c>
      <c r="BM801" s="5" t="s">
        <v>258</v>
      </c>
      <c r="BN801" s="5" t="s">
        <v>259</v>
      </c>
      <c r="CB801" s="5" t="s">
        <v>240</v>
      </c>
      <c r="CC801" s="5" t="s">
        <v>240</v>
      </c>
      <c r="CG801" s="5" t="s">
        <v>617</v>
      </c>
      <c r="CH801" s="5" t="s">
        <v>305</v>
      </c>
      <c r="CI801" s="5" t="s">
        <v>240</v>
      </c>
      <c r="CL801" s="6" t="s">
        <v>261</v>
      </c>
      <c r="CM801" s="5" t="s">
        <v>240</v>
      </c>
      <c r="CN801" s="5" t="s">
        <v>263</v>
      </c>
      <c r="CO801" s="5" t="s">
        <v>240</v>
      </c>
      <c r="CP801" s="5" t="s">
        <v>240</v>
      </c>
      <c r="CQ801" s="5">
        <v>0</v>
      </c>
      <c r="CR801" s="5" t="s">
        <v>306</v>
      </c>
      <c r="CS801" s="5" t="s">
        <v>307</v>
      </c>
      <c r="CT801" s="5" t="s">
        <v>307</v>
      </c>
      <c r="CU801" s="5" t="s">
        <v>260</v>
      </c>
      <c r="CX801" s="7">
        <f>593620</f>
        <v>593620</v>
      </c>
      <c r="CY801" s="7">
        <f>0</f>
        <v>0</v>
      </c>
      <c r="DA801" s="7">
        <f>0</f>
        <v>0</v>
      </c>
      <c r="DC801" s="5" t="s">
        <v>618</v>
      </c>
      <c r="DD801" s="5" t="s">
        <v>240</v>
      </c>
      <c r="DF801" s="5" t="s">
        <v>450</v>
      </c>
      <c r="DG801" s="7">
        <f>0</f>
        <v>0</v>
      </c>
      <c r="DI801" s="5" t="s">
        <v>618</v>
      </c>
      <c r="DJ801" s="5" t="s">
        <v>240</v>
      </c>
      <c r="DK801" s="5" t="s">
        <v>240</v>
      </c>
      <c r="DL801" s="5" t="s">
        <v>240</v>
      </c>
      <c r="DP801" s="5" t="s">
        <v>240</v>
      </c>
      <c r="DQ801" s="5" t="s">
        <v>240</v>
      </c>
      <c r="DR801" s="5" t="s">
        <v>240</v>
      </c>
      <c r="DS801" s="5" t="s">
        <v>240</v>
      </c>
      <c r="DV801" s="5" t="s">
        <v>1712</v>
      </c>
      <c r="DW801" s="5" t="s">
        <v>621</v>
      </c>
      <c r="HO801" s="5" t="s">
        <v>312</v>
      </c>
    </row>
    <row r="802" spans="1:240" x14ac:dyDescent="0.4">
      <c r="A802" s="5">
        <v>2477</v>
      </c>
      <c r="B802" s="5">
        <v>1</v>
      </c>
      <c r="C802" s="5">
        <v>1</v>
      </c>
      <c r="D802" s="5" t="s">
        <v>297</v>
      </c>
      <c r="E802" s="5" t="s">
        <v>245</v>
      </c>
      <c r="F802" s="5" t="s">
        <v>254</v>
      </c>
      <c r="G802" s="5" t="s">
        <v>240</v>
      </c>
      <c r="H802" s="6" t="s">
        <v>4579</v>
      </c>
      <c r="I802" s="5" t="s">
        <v>295</v>
      </c>
      <c r="J802" s="8">
        <f>2056</f>
        <v>2056</v>
      </c>
      <c r="K802" s="5" t="s">
        <v>308</v>
      </c>
      <c r="L802" s="7">
        <f>1</f>
        <v>1</v>
      </c>
      <c r="M802" s="7">
        <f>1</f>
        <v>1</v>
      </c>
      <c r="N802" s="5" t="s">
        <v>242</v>
      </c>
      <c r="O802" s="5">
        <v>1</v>
      </c>
      <c r="P802" s="5" t="s">
        <v>294</v>
      </c>
      <c r="Q802" s="5" t="s">
        <v>613</v>
      </c>
      <c r="R802" s="5" t="s">
        <v>240</v>
      </c>
      <c r="S802" s="5" t="s">
        <v>240</v>
      </c>
      <c r="T802" s="5" t="s">
        <v>243</v>
      </c>
      <c r="U802" s="5" t="s">
        <v>244</v>
      </c>
      <c r="V802" s="5" t="s">
        <v>240</v>
      </c>
      <c r="Y802" s="5" t="s">
        <v>240</v>
      </c>
      <c r="Z802" s="6" t="s">
        <v>298</v>
      </c>
      <c r="AB802" s="6" t="s">
        <v>240</v>
      </c>
      <c r="AE802" s="6" t="s">
        <v>299</v>
      </c>
      <c r="AF802" s="5" t="s">
        <v>248</v>
      </c>
      <c r="AG802" s="5" t="s">
        <v>249</v>
      </c>
      <c r="AW802" s="5" t="s">
        <v>251</v>
      </c>
      <c r="AX802" s="5" t="s">
        <v>240</v>
      </c>
      <c r="AY802" s="5" t="s">
        <v>253</v>
      </c>
      <c r="AZ802" s="5" t="s">
        <v>240</v>
      </c>
      <c r="BA802" s="5" t="s">
        <v>255</v>
      </c>
      <c r="BB802" s="5" t="s">
        <v>240</v>
      </c>
      <c r="BD802" s="5" t="s">
        <v>686</v>
      </c>
      <c r="BF802" s="5" t="s">
        <v>301</v>
      </c>
      <c r="BG802" s="6" t="s">
        <v>299</v>
      </c>
      <c r="BH802" s="5" t="s">
        <v>302</v>
      </c>
      <c r="BI802" s="5" t="s">
        <v>303</v>
      </c>
      <c r="BJ802" s="5" t="s">
        <v>240</v>
      </c>
      <c r="BK802" s="8">
        <f>0</f>
        <v>0</v>
      </c>
      <c r="BL802" s="7">
        <f>0</f>
        <v>0</v>
      </c>
      <c r="BM802" s="5" t="s">
        <v>258</v>
      </c>
      <c r="BN802" s="5" t="s">
        <v>259</v>
      </c>
      <c r="CB802" s="5" t="s">
        <v>240</v>
      </c>
      <c r="CC802" s="5" t="s">
        <v>240</v>
      </c>
      <c r="CG802" s="5" t="s">
        <v>617</v>
      </c>
      <c r="CH802" s="5" t="s">
        <v>305</v>
      </c>
      <c r="CI802" s="5" t="s">
        <v>240</v>
      </c>
      <c r="CL802" s="6" t="s">
        <v>261</v>
      </c>
      <c r="CM802" s="5" t="s">
        <v>240</v>
      </c>
      <c r="CN802" s="5" t="s">
        <v>263</v>
      </c>
      <c r="CO802" s="5" t="s">
        <v>240</v>
      </c>
      <c r="CP802" s="5" t="s">
        <v>240</v>
      </c>
      <c r="CQ802" s="5">
        <v>0</v>
      </c>
      <c r="CR802" s="5" t="s">
        <v>306</v>
      </c>
      <c r="CS802" s="5" t="s">
        <v>307</v>
      </c>
      <c r="CT802" s="5" t="s">
        <v>307</v>
      </c>
      <c r="CU802" s="5" t="s">
        <v>260</v>
      </c>
      <c r="CX802" s="7">
        <f>2372500</f>
        <v>2372500</v>
      </c>
      <c r="CY802" s="7">
        <f>0</f>
        <v>0</v>
      </c>
      <c r="DA802" s="7">
        <f>0</f>
        <v>0</v>
      </c>
      <c r="DC802" s="5" t="s">
        <v>843</v>
      </c>
      <c r="DD802" s="5" t="s">
        <v>240</v>
      </c>
      <c r="DF802" s="5" t="s">
        <v>450</v>
      </c>
      <c r="DG802" s="7">
        <f>0</f>
        <v>0</v>
      </c>
      <c r="DI802" s="5" t="s">
        <v>843</v>
      </c>
      <c r="DJ802" s="5" t="s">
        <v>240</v>
      </c>
      <c r="DK802" s="5" t="s">
        <v>240</v>
      </c>
      <c r="DL802" s="5" t="s">
        <v>240</v>
      </c>
      <c r="DP802" s="5" t="s">
        <v>240</v>
      </c>
      <c r="DQ802" s="5" t="s">
        <v>240</v>
      </c>
      <c r="DR802" s="5" t="s">
        <v>240</v>
      </c>
      <c r="DS802" s="5" t="s">
        <v>240</v>
      </c>
      <c r="DV802" s="5" t="s">
        <v>1712</v>
      </c>
      <c r="DW802" s="5" t="s">
        <v>312</v>
      </c>
      <c r="HO802" s="5" t="s">
        <v>312</v>
      </c>
    </row>
    <row r="803" spans="1:240" x14ac:dyDescent="0.4">
      <c r="A803" s="5">
        <v>2478</v>
      </c>
      <c r="B803" s="5">
        <v>1</v>
      </c>
      <c r="C803" s="5">
        <v>1</v>
      </c>
      <c r="D803" s="5" t="s">
        <v>297</v>
      </c>
      <c r="E803" s="5" t="s">
        <v>245</v>
      </c>
      <c r="F803" s="5" t="s">
        <v>254</v>
      </c>
      <c r="G803" s="5" t="s">
        <v>240</v>
      </c>
      <c r="H803" s="6" t="s">
        <v>2066</v>
      </c>
      <c r="I803" s="5" t="s">
        <v>295</v>
      </c>
      <c r="J803" s="8">
        <f>1048</f>
        <v>1048</v>
      </c>
      <c r="K803" s="5" t="s">
        <v>308</v>
      </c>
      <c r="L803" s="7">
        <f>1</f>
        <v>1</v>
      </c>
      <c r="M803" s="7">
        <f>1</f>
        <v>1</v>
      </c>
      <c r="N803" s="5" t="s">
        <v>242</v>
      </c>
      <c r="O803" s="5">
        <v>1</v>
      </c>
      <c r="P803" s="5" t="s">
        <v>294</v>
      </c>
      <c r="Q803" s="5" t="s">
        <v>266</v>
      </c>
      <c r="R803" s="5" t="s">
        <v>240</v>
      </c>
      <c r="S803" s="5" t="s">
        <v>240</v>
      </c>
      <c r="T803" s="5" t="s">
        <v>296</v>
      </c>
      <c r="U803" s="5" t="s">
        <v>244</v>
      </c>
      <c r="V803" s="5" t="s">
        <v>240</v>
      </c>
      <c r="Y803" s="5" t="s">
        <v>240</v>
      </c>
      <c r="Z803" s="6" t="s">
        <v>298</v>
      </c>
      <c r="AB803" s="6" t="s">
        <v>240</v>
      </c>
      <c r="AE803" s="6" t="s">
        <v>299</v>
      </c>
      <c r="AF803" s="5" t="s">
        <v>248</v>
      </c>
      <c r="AG803" s="5" t="s">
        <v>249</v>
      </c>
      <c r="AW803" s="5" t="s">
        <v>251</v>
      </c>
      <c r="AX803" s="5" t="s">
        <v>240</v>
      </c>
      <c r="AY803" s="5" t="s">
        <v>253</v>
      </c>
      <c r="AZ803" s="5" t="s">
        <v>240</v>
      </c>
      <c r="BA803" s="5" t="s">
        <v>255</v>
      </c>
      <c r="BB803" s="5" t="s">
        <v>240</v>
      </c>
      <c r="BD803" s="5" t="s">
        <v>240</v>
      </c>
      <c r="BF803" s="5" t="s">
        <v>301</v>
      </c>
      <c r="BG803" s="6" t="s">
        <v>299</v>
      </c>
      <c r="BH803" s="5" t="s">
        <v>302</v>
      </c>
      <c r="BI803" s="5" t="s">
        <v>303</v>
      </c>
      <c r="BJ803" s="5" t="s">
        <v>240</v>
      </c>
      <c r="BK803" s="8">
        <f>0</f>
        <v>0</v>
      </c>
      <c r="BL803" s="7">
        <f>0</f>
        <v>0</v>
      </c>
      <c r="BM803" s="5" t="s">
        <v>258</v>
      </c>
      <c r="BN803" s="5" t="s">
        <v>259</v>
      </c>
      <c r="CB803" s="5" t="s">
        <v>240</v>
      </c>
      <c r="CC803" s="5" t="s">
        <v>240</v>
      </c>
      <c r="CG803" s="5" t="s">
        <v>304</v>
      </c>
      <c r="CH803" s="5" t="s">
        <v>305</v>
      </c>
      <c r="CI803" s="5" t="s">
        <v>240</v>
      </c>
      <c r="CL803" s="6" t="s">
        <v>261</v>
      </c>
      <c r="CM803" s="5" t="s">
        <v>240</v>
      </c>
      <c r="CN803" s="5" t="s">
        <v>263</v>
      </c>
      <c r="CO803" s="5" t="s">
        <v>240</v>
      </c>
      <c r="CP803" s="5" t="s">
        <v>240</v>
      </c>
      <c r="CQ803" s="5">
        <v>0</v>
      </c>
      <c r="CR803" s="5" t="s">
        <v>306</v>
      </c>
      <c r="CS803" s="5" t="s">
        <v>307</v>
      </c>
      <c r="CT803" s="5" t="s">
        <v>307</v>
      </c>
      <c r="CU803" s="5" t="s">
        <v>260</v>
      </c>
      <c r="CX803" s="7">
        <f>1</f>
        <v>1</v>
      </c>
      <c r="CY803" s="7">
        <f>0</f>
        <v>0</v>
      </c>
      <c r="DA803" s="7">
        <f>0</f>
        <v>0</v>
      </c>
      <c r="DC803" s="5" t="s">
        <v>309</v>
      </c>
      <c r="DD803" s="5" t="s">
        <v>240</v>
      </c>
      <c r="DF803" s="5" t="s">
        <v>309</v>
      </c>
      <c r="DG803" s="7">
        <f>466</f>
        <v>466</v>
      </c>
      <c r="DI803" s="5" t="s">
        <v>240</v>
      </c>
      <c r="DJ803" s="5" t="s">
        <v>240</v>
      </c>
      <c r="DK803" s="5" t="s">
        <v>240</v>
      </c>
      <c r="DL803" s="5" t="s">
        <v>240</v>
      </c>
      <c r="DP803" s="5" t="s">
        <v>240</v>
      </c>
      <c r="DQ803" s="5" t="s">
        <v>240</v>
      </c>
      <c r="DR803" s="5" t="s">
        <v>240</v>
      </c>
      <c r="DS803" s="5" t="s">
        <v>240</v>
      </c>
      <c r="DV803" s="5" t="s">
        <v>310</v>
      </c>
      <c r="DW803" s="5" t="s">
        <v>1192</v>
      </c>
      <c r="HO803" s="5" t="s">
        <v>312</v>
      </c>
    </row>
    <row r="804" spans="1:240" x14ac:dyDescent="0.4">
      <c r="A804" s="5">
        <v>2479</v>
      </c>
      <c r="B804" s="5">
        <v>1</v>
      </c>
      <c r="C804" s="5">
        <v>1</v>
      </c>
      <c r="D804" s="5" t="s">
        <v>297</v>
      </c>
      <c r="E804" s="5" t="s">
        <v>245</v>
      </c>
      <c r="F804" s="5" t="s">
        <v>254</v>
      </c>
      <c r="G804" s="5" t="s">
        <v>240</v>
      </c>
      <c r="H804" s="6" t="s">
        <v>2065</v>
      </c>
      <c r="I804" s="5" t="s">
        <v>295</v>
      </c>
      <c r="J804" s="8">
        <f>16035</f>
        <v>16035</v>
      </c>
      <c r="K804" s="5" t="s">
        <v>308</v>
      </c>
      <c r="L804" s="7">
        <f>1</f>
        <v>1</v>
      </c>
      <c r="M804" s="7">
        <f>1</f>
        <v>1</v>
      </c>
      <c r="N804" s="5" t="s">
        <v>242</v>
      </c>
      <c r="O804" s="5">
        <v>1</v>
      </c>
      <c r="P804" s="5" t="s">
        <v>294</v>
      </c>
      <c r="Q804" s="5" t="s">
        <v>613</v>
      </c>
      <c r="R804" s="5" t="s">
        <v>240</v>
      </c>
      <c r="S804" s="5" t="s">
        <v>240</v>
      </c>
      <c r="T804" s="5" t="s">
        <v>243</v>
      </c>
      <c r="U804" s="5" t="s">
        <v>244</v>
      </c>
      <c r="V804" s="5" t="s">
        <v>240</v>
      </c>
      <c r="Y804" s="5" t="s">
        <v>240</v>
      </c>
      <c r="Z804" s="6" t="s">
        <v>298</v>
      </c>
      <c r="AB804" s="6" t="s">
        <v>240</v>
      </c>
      <c r="AE804" s="6" t="s">
        <v>299</v>
      </c>
      <c r="AF804" s="5" t="s">
        <v>248</v>
      </c>
      <c r="AG804" s="5" t="s">
        <v>249</v>
      </c>
      <c r="AW804" s="5" t="s">
        <v>251</v>
      </c>
      <c r="AX804" s="5" t="s">
        <v>240</v>
      </c>
      <c r="AY804" s="5" t="s">
        <v>253</v>
      </c>
      <c r="AZ804" s="5" t="s">
        <v>240</v>
      </c>
      <c r="BA804" s="5" t="s">
        <v>255</v>
      </c>
      <c r="BB804" s="5" t="s">
        <v>240</v>
      </c>
      <c r="BD804" s="5" t="s">
        <v>240</v>
      </c>
      <c r="BF804" s="5" t="s">
        <v>301</v>
      </c>
      <c r="BG804" s="6" t="s">
        <v>299</v>
      </c>
      <c r="BH804" s="5" t="s">
        <v>302</v>
      </c>
      <c r="BI804" s="5" t="s">
        <v>303</v>
      </c>
      <c r="BJ804" s="5" t="s">
        <v>240</v>
      </c>
      <c r="BK804" s="8">
        <f>0</f>
        <v>0</v>
      </c>
      <c r="BL804" s="7">
        <f>0</f>
        <v>0</v>
      </c>
      <c r="BM804" s="5" t="s">
        <v>258</v>
      </c>
      <c r="BN804" s="5" t="s">
        <v>259</v>
      </c>
      <c r="CB804" s="5" t="s">
        <v>240</v>
      </c>
      <c r="CC804" s="5" t="s">
        <v>240</v>
      </c>
      <c r="CG804" s="5" t="s">
        <v>617</v>
      </c>
      <c r="CH804" s="5" t="s">
        <v>305</v>
      </c>
      <c r="CI804" s="5" t="s">
        <v>240</v>
      </c>
      <c r="CL804" s="6" t="s">
        <v>261</v>
      </c>
      <c r="CM804" s="5" t="s">
        <v>240</v>
      </c>
      <c r="CN804" s="5" t="s">
        <v>263</v>
      </c>
      <c r="CO804" s="5" t="s">
        <v>240</v>
      </c>
      <c r="CP804" s="5" t="s">
        <v>240</v>
      </c>
      <c r="CQ804" s="5">
        <v>0</v>
      </c>
      <c r="CR804" s="5" t="s">
        <v>306</v>
      </c>
      <c r="CS804" s="5" t="s">
        <v>307</v>
      </c>
      <c r="CT804" s="5" t="s">
        <v>307</v>
      </c>
      <c r="CU804" s="5" t="s">
        <v>260</v>
      </c>
      <c r="CX804" s="7">
        <f>5710270</f>
        <v>5710270</v>
      </c>
      <c r="CY804" s="7">
        <f>0</f>
        <v>0</v>
      </c>
      <c r="DA804" s="7">
        <f>0</f>
        <v>0</v>
      </c>
      <c r="DC804" s="5" t="s">
        <v>689</v>
      </c>
      <c r="DD804" s="5" t="s">
        <v>240</v>
      </c>
      <c r="DF804" s="5" t="s">
        <v>450</v>
      </c>
      <c r="DG804" s="7">
        <f>0</f>
        <v>0</v>
      </c>
      <c r="DI804" s="5" t="s">
        <v>618</v>
      </c>
      <c r="DJ804" s="5" t="s">
        <v>240</v>
      </c>
      <c r="DK804" s="5" t="s">
        <v>240</v>
      </c>
      <c r="DL804" s="5" t="s">
        <v>240</v>
      </c>
      <c r="DP804" s="5" t="s">
        <v>240</v>
      </c>
      <c r="DQ804" s="5" t="s">
        <v>240</v>
      </c>
      <c r="DR804" s="5" t="s">
        <v>240</v>
      </c>
      <c r="DS804" s="5" t="s">
        <v>240</v>
      </c>
      <c r="DV804" s="5" t="s">
        <v>1722</v>
      </c>
      <c r="DW804" s="5" t="s">
        <v>312</v>
      </c>
      <c r="HO804" s="5" t="s">
        <v>312</v>
      </c>
    </row>
    <row r="805" spans="1:240" x14ac:dyDescent="0.4">
      <c r="A805" s="5">
        <v>2480</v>
      </c>
      <c r="B805" s="5">
        <v>1</v>
      </c>
      <c r="C805" s="5">
        <v>1</v>
      </c>
      <c r="D805" s="5" t="s">
        <v>297</v>
      </c>
      <c r="E805" s="5" t="s">
        <v>245</v>
      </c>
      <c r="F805" s="5" t="s">
        <v>254</v>
      </c>
      <c r="G805" s="5" t="s">
        <v>240</v>
      </c>
      <c r="H805" s="6" t="s">
        <v>2064</v>
      </c>
      <c r="I805" s="5" t="s">
        <v>295</v>
      </c>
      <c r="J805" s="8">
        <f>2081</f>
        <v>2081</v>
      </c>
      <c r="K805" s="5" t="s">
        <v>308</v>
      </c>
      <c r="L805" s="7">
        <f>1</f>
        <v>1</v>
      </c>
      <c r="M805" s="7">
        <f>1</f>
        <v>1</v>
      </c>
      <c r="N805" s="5" t="s">
        <v>242</v>
      </c>
      <c r="O805" s="5">
        <v>1</v>
      </c>
      <c r="P805" s="5" t="s">
        <v>294</v>
      </c>
      <c r="Q805" s="5" t="s">
        <v>613</v>
      </c>
      <c r="R805" s="5" t="s">
        <v>240</v>
      </c>
      <c r="S805" s="5" t="s">
        <v>240</v>
      </c>
      <c r="T805" s="5" t="s">
        <v>243</v>
      </c>
      <c r="U805" s="5" t="s">
        <v>244</v>
      </c>
      <c r="V805" s="5" t="s">
        <v>240</v>
      </c>
      <c r="Y805" s="5" t="s">
        <v>240</v>
      </c>
      <c r="Z805" s="6" t="s">
        <v>298</v>
      </c>
      <c r="AB805" s="6" t="s">
        <v>240</v>
      </c>
      <c r="AE805" s="6" t="s">
        <v>299</v>
      </c>
      <c r="AF805" s="5" t="s">
        <v>248</v>
      </c>
      <c r="AG805" s="5" t="s">
        <v>249</v>
      </c>
      <c r="AW805" s="5" t="s">
        <v>251</v>
      </c>
      <c r="AX805" s="5" t="s">
        <v>240</v>
      </c>
      <c r="AY805" s="5" t="s">
        <v>253</v>
      </c>
      <c r="AZ805" s="5" t="s">
        <v>240</v>
      </c>
      <c r="BA805" s="5" t="s">
        <v>255</v>
      </c>
      <c r="BB805" s="5" t="s">
        <v>240</v>
      </c>
      <c r="BD805" s="5" t="s">
        <v>686</v>
      </c>
      <c r="BF805" s="5" t="s">
        <v>687</v>
      </c>
      <c r="BG805" s="6" t="s">
        <v>688</v>
      </c>
      <c r="BH805" s="5" t="s">
        <v>302</v>
      </c>
      <c r="BI805" s="5" t="s">
        <v>303</v>
      </c>
      <c r="BJ805" s="5" t="s">
        <v>240</v>
      </c>
      <c r="BK805" s="8">
        <f>0</f>
        <v>0</v>
      </c>
      <c r="BL805" s="7">
        <f>0</f>
        <v>0</v>
      </c>
      <c r="BM805" s="5" t="s">
        <v>258</v>
      </c>
      <c r="BN805" s="5" t="s">
        <v>259</v>
      </c>
      <c r="CB805" s="5" t="s">
        <v>240</v>
      </c>
      <c r="CC805" s="5" t="s">
        <v>240</v>
      </c>
      <c r="CG805" s="5" t="s">
        <v>617</v>
      </c>
      <c r="CH805" s="5" t="s">
        <v>305</v>
      </c>
      <c r="CI805" s="5" t="s">
        <v>240</v>
      </c>
      <c r="CL805" s="6" t="s">
        <v>261</v>
      </c>
      <c r="CM805" s="5" t="s">
        <v>240</v>
      </c>
      <c r="CN805" s="5" t="s">
        <v>263</v>
      </c>
      <c r="CO805" s="5" t="s">
        <v>240</v>
      </c>
      <c r="CP805" s="5" t="s">
        <v>240</v>
      </c>
      <c r="CQ805" s="5">
        <v>0</v>
      </c>
      <c r="CR805" s="5" t="s">
        <v>306</v>
      </c>
      <c r="CS805" s="5" t="s">
        <v>307</v>
      </c>
      <c r="CT805" s="5" t="s">
        <v>307</v>
      </c>
      <c r="CU805" s="5" t="s">
        <v>260</v>
      </c>
      <c r="CX805" s="7">
        <f>1616950</f>
        <v>1616950</v>
      </c>
      <c r="CY805" s="7">
        <f>0</f>
        <v>0</v>
      </c>
      <c r="DA805" s="7">
        <f>0</f>
        <v>0</v>
      </c>
      <c r="DC805" s="5" t="s">
        <v>689</v>
      </c>
      <c r="DD805" s="5" t="s">
        <v>240</v>
      </c>
      <c r="DF805" s="5" t="s">
        <v>450</v>
      </c>
      <c r="DG805" s="7">
        <f>0</f>
        <v>0</v>
      </c>
      <c r="DI805" s="5" t="s">
        <v>618</v>
      </c>
      <c r="DJ805" s="5" t="s">
        <v>240</v>
      </c>
      <c r="DK805" s="5" t="s">
        <v>240</v>
      </c>
      <c r="DL805" s="5" t="s">
        <v>240</v>
      </c>
      <c r="DP805" s="5" t="s">
        <v>240</v>
      </c>
      <c r="DQ805" s="5" t="s">
        <v>240</v>
      </c>
      <c r="DR805" s="5" t="s">
        <v>240</v>
      </c>
      <c r="DS805" s="5" t="s">
        <v>240</v>
      </c>
      <c r="DV805" s="5" t="s">
        <v>1726</v>
      </c>
      <c r="DW805" s="5" t="s">
        <v>312</v>
      </c>
      <c r="HO805" s="5" t="s">
        <v>312</v>
      </c>
    </row>
    <row r="806" spans="1:240" x14ac:dyDescent="0.4">
      <c r="A806" s="5">
        <v>2481</v>
      </c>
      <c r="B806" s="5">
        <v>1</v>
      </c>
      <c r="C806" s="5">
        <v>1</v>
      </c>
      <c r="D806" s="5" t="s">
        <v>297</v>
      </c>
      <c r="E806" s="5" t="s">
        <v>245</v>
      </c>
      <c r="F806" s="5" t="s">
        <v>254</v>
      </c>
      <c r="G806" s="5" t="s">
        <v>240</v>
      </c>
      <c r="H806" s="6" t="s">
        <v>2063</v>
      </c>
      <c r="I806" s="5" t="s">
        <v>295</v>
      </c>
      <c r="J806" s="8">
        <f>661</f>
        <v>661</v>
      </c>
      <c r="K806" s="5" t="s">
        <v>308</v>
      </c>
      <c r="L806" s="7">
        <f>1</f>
        <v>1</v>
      </c>
      <c r="M806" s="7">
        <f>1</f>
        <v>1</v>
      </c>
      <c r="N806" s="5" t="s">
        <v>242</v>
      </c>
      <c r="O806" s="5">
        <v>1</v>
      </c>
      <c r="P806" s="5" t="s">
        <v>294</v>
      </c>
      <c r="Q806" s="5" t="s">
        <v>613</v>
      </c>
      <c r="R806" s="5" t="s">
        <v>240</v>
      </c>
      <c r="S806" s="5" t="s">
        <v>240</v>
      </c>
      <c r="T806" s="5" t="s">
        <v>243</v>
      </c>
      <c r="U806" s="5" t="s">
        <v>724</v>
      </c>
      <c r="V806" s="5" t="s">
        <v>240</v>
      </c>
      <c r="W806" s="5" t="s">
        <v>240</v>
      </c>
      <c r="X806" s="5" t="s">
        <v>240</v>
      </c>
      <c r="Y806" s="5" t="s">
        <v>240</v>
      </c>
      <c r="Z806" s="6" t="s">
        <v>298</v>
      </c>
      <c r="AA806" s="6" t="s">
        <v>240</v>
      </c>
      <c r="AB806" s="6" t="s">
        <v>240</v>
      </c>
      <c r="AC806" s="5" t="s">
        <v>240</v>
      </c>
      <c r="AD806" s="6" t="s">
        <v>240</v>
      </c>
      <c r="AE806" s="6" t="s">
        <v>299</v>
      </c>
      <c r="AF806" s="5" t="s">
        <v>727</v>
      </c>
      <c r="AG806" s="5" t="s">
        <v>260</v>
      </c>
      <c r="AH806" s="5" t="s">
        <v>240</v>
      </c>
      <c r="AI806" s="5" t="s">
        <v>240</v>
      </c>
      <c r="AJ806" s="5" t="s">
        <v>240</v>
      </c>
      <c r="AK806" s="5" t="s">
        <v>240</v>
      </c>
      <c r="AL806" s="5" t="s">
        <v>240</v>
      </c>
      <c r="AM806" s="5" t="s">
        <v>240</v>
      </c>
      <c r="AN806" s="5" t="s">
        <v>240</v>
      </c>
      <c r="AO806" s="5" t="s">
        <v>240</v>
      </c>
      <c r="AP806" s="6" t="s">
        <v>240</v>
      </c>
      <c r="AQ806" s="6" t="s">
        <v>240</v>
      </c>
      <c r="AR806" s="6" t="s">
        <v>240</v>
      </c>
      <c r="AS806" s="6" t="s">
        <v>240</v>
      </c>
      <c r="AT806" s="5" t="s">
        <v>240</v>
      </c>
      <c r="AU806" s="5" t="s">
        <v>729</v>
      </c>
      <c r="AV806" s="5" t="s">
        <v>729</v>
      </c>
      <c r="AW806" s="5" t="s">
        <v>251</v>
      </c>
      <c r="AX806" s="5" t="s">
        <v>252</v>
      </c>
      <c r="AY806" s="5" t="s">
        <v>253</v>
      </c>
      <c r="AZ806" s="5" t="s">
        <v>240</v>
      </c>
      <c r="BA806" s="5" t="s">
        <v>255</v>
      </c>
      <c r="BB806" s="5" t="s">
        <v>731</v>
      </c>
      <c r="BD806" s="5" t="s">
        <v>240</v>
      </c>
      <c r="BF806" s="5" t="s">
        <v>732</v>
      </c>
      <c r="BG806" s="6" t="s">
        <v>733</v>
      </c>
      <c r="BH806" s="5" t="s">
        <v>734</v>
      </c>
      <c r="BI806" s="5" t="s">
        <v>734</v>
      </c>
      <c r="BJ806" s="5" t="s">
        <v>240</v>
      </c>
      <c r="BK806" s="8">
        <f>146.1</f>
        <v>146.1</v>
      </c>
      <c r="BL806" s="7">
        <f>0</f>
        <v>0</v>
      </c>
      <c r="BM806" s="5" t="s">
        <v>258</v>
      </c>
      <c r="BN806" s="5" t="s">
        <v>259</v>
      </c>
      <c r="BO806" s="5" t="s">
        <v>240</v>
      </c>
      <c r="BP806" s="5" t="s">
        <v>240</v>
      </c>
      <c r="BQ806" s="5" t="s">
        <v>240</v>
      </c>
      <c r="BR806" s="5" t="s">
        <v>240</v>
      </c>
      <c r="BS806" s="5" t="s">
        <v>240</v>
      </c>
      <c r="BT806" s="5" t="s">
        <v>240</v>
      </c>
      <c r="BU806" s="5" t="s">
        <v>240</v>
      </c>
      <c r="BV806" s="5" t="s">
        <v>240</v>
      </c>
      <c r="BW806" s="6" t="s">
        <v>240</v>
      </c>
      <c r="BX806" s="5" t="s">
        <v>240</v>
      </c>
      <c r="BY806" s="5" t="s">
        <v>240</v>
      </c>
      <c r="BZ806" s="5" t="s">
        <v>240</v>
      </c>
      <c r="CA806" s="5" t="s">
        <v>259</v>
      </c>
      <c r="CB806" s="5" t="s">
        <v>240</v>
      </c>
      <c r="CC806" s="5" t="s">
        <v>240</v>
      </c>
      <c r="CD806" s="5" t="s">
        <v>240</v>
      </c>
      <c r="CE806" s="5" t="s">
        <v>240</v>
      </c>
      <c r="CF806" s="5" t="s">
        <v>240</v>
      </c>
      <c r="CG806" s="5" t="s">
        <v>617</v>
      </c>
      <c r="CH806" s="5" t="s">
        <v>305</v>
      </c>
      <c r="CI806" s="5" t="s">
        <v>240</v>
      </c>
      <c r="CL806" s="6" t="s">
        <v>261</v>
      </c>
      <c r="CM806" s="5" t="s">
        <v>262</v>
      </c>
      <c r="CN806" s="5" t="s">
        <v>263</v>
      </c>
      <c r="CO806" s="5" t="s">
        <v>264</v>
      </c>
      <c r="CP806" s="5" t="s">
        <v>240</v>
      </c>
      <c r="CQ806" s="5">
        <v>0</v>
      </c>
      <c r="CR806" s="5" t="s">
        <v>735</v>
      </c>
      <c r="CS806" s="5" t="s">
        <v>307</v>
      </c>
      <c r="CT806" s="5" t="s">
        <v>307</v>
      </c>
      <c r="CU806" s="5" t="s">
        <v>260</v>
      </c>
      <c r="CV806" s="5" t="s">
        <v>240</v>
      </c>
      <c r="CW806" s="8">
        <f>0</f>
        <v>0</v>
      </c>
      <c r="CX806" s="7">
        <f>0</f>
        <v>0</v>
      </c>
      <c r="CY806" s="7">
        <f>0</f>
        <v>0</v>
      </c>
      <c r="DA806" s="7">
        <f>1607</f>
        <v>1607</v>
      </c>
      <c r="DB806" s="7" t="s">
        <v>240</v>
      </c>
      <c r="DC806" s="5" t="s">
        <v>240</v>
      </c>
      <c r="DD806" s="5" t="s">
        <v>240</v>
      </c>
      <c r="DE806" s="5" t="s">
        <v>240</v>
      </c>
      <c r="DF806" s="5" t="s">
        <v>450</v>
      </c>
      <c r="DG806" s="7">
        <f>0</f>
        <v>0</v>
      </c>
      <c r="DI806" s="5" t="s">
        <v>737</v>
      </c>
      <c r="DJ806" s="5" t="s">
        <v>240</v>
      </c>
      <c r="DK806" s="5" t="s">
        <v>240</v>
      </c>
      <c r="DL806" s="5" t="s">
        <v>240</v>
      </c>
      <c r="DM806" s="5" t="s">
        <v>240</v>
      </c>
      <c r="DN806" s="5" t="s">
        <v>240</v>
      </c>
      <c r="DO806" s="7" t="s">
        <v>240</v>
      </c>
      <c r="DP806" s="5" t="s">
        <v>240</v>
      </c>
      <c r="DQ806" s="5" t="s">
        <v>240</v>
      </c>
      <c r="DR806" s="5" t="s">
        <v>731</v>
      </c>
      <c r="DS806" s="5" t="s">
        <v>731</v>
      </c>
      <c r="DT806" s="5" t="s">
        <v>240</v>
      </c>
      <c r="DU806" s="5" t="s">
        <v>240</v>
      </c>
      <c r="DV806" s="5" t="s">
        <v>738</v>
      </c>
      <c r="DW806" s="5" t="s">
        <v>606</v>
      </c>
      <c r="DX806" s="5" t="s">
        <v>240</v>
      </c>
      <c r="DY806" s="5" t="s">
        <v>240</v>
      </c>
      <c r="DZ806" s="5" t="s">
        <v>240</v>
      </c>
      <c r="EA806" s="5" t="s">
        <v>240</v>
      </c>
      <c r="EB806" s="5" t="s">
        <v>240</v>
      </c>
      <c r="EC806" s="5" t="s">
        <v>240</v>
      </c>
      <c r="ED806" s="5" t="s">
        <v>240</v>
      </c>
      <c r="EE806" s="5" t="s">
        <v>240</v>
      </c>
      <c r="EF806" s="5" t="s">
        <v>240</v>
      </c>
      <c r="EG806" s="5" t="s">
        <v>240</v>
      </c>
      <c r="EH806" s="5" t="s">
        <v>240</v>
      </c>
      <c r="EI806" s="5" t="s">
        <v>240</v>
      </c>
      <c r="EJ806" s="5" t="s">
        <v>240</v>
      </c>
      <c r="EK806" s="5" t="s">
        <v>240</v>
      </c>
      <c r="EL806" s="5" t="s">
        <v>240</v>
      </c>
      <c r="EM806" s="5" t="s">
        <v>240</v>
      </c>
      <c r="EN806" s="5" t="s">
        <v>240</v>
      </c>
      <c r="EO806" s="5" t="s">
        <v>240</v>
      </c>
      <c r="EP806" s="5" t="s">
        <v>240</v>
      </c>
      <c r="EQ806" s="5" t="s">
        <v>240</v>
      </c>
      <c r="ER806" s="5" t="s">
        <v>240</v>
      </c>
      <c r="ES806" s="5" t="s">
        <v>240</v>
      </c>
      <c r="ET806" s="5" t="s">
        <v>240</v>
      </c>
      <c r="EU806" s="5" t="s">
        <v>240</v>
      </c>
      <c r="EV806" s="5" t="s">
        <v>240</v>
      </c>
      <c r="EW806" s="5" t="s">
        <v>240</v>
      </c>
      <c r="EX806" s="5" t="s">
        <v>240</v>
      </c>
      <c r="EY806" s="5" t="s">
        <v>240</v>
      </c>
      <c r="EZ806" s="5" t="s">
        <v>240</v>
      </c>
      <c r="FA806" s="5" t="s">
        <v>240</v>
      </c>
      <c r="FB806" s="5" t="s">
        <v>240</v>
      </c>
      <c r="FC806" s="5" t="s">
        <v>240</v>
      </c>
      <c r="FD806" s="5" t="s">
        <v>240</v>
      </c>
      <c r="FE806" s="5" t="s">
        <v>240</v>
      </c>
      <c r="FF806" s="5" t="s">
        <v>240</v>
      </c>
      <c r="FG806" s="5" t="s">
        <v>240</v>
      </c>
      <c r="FH806" s="5" t="s">
        <v>240</v>
      </c>
      <c r="FI806" s="5" t="s">
        <v>240</v>
      </c>
      <c r="FJ806" s="5" t="s">
        <v>240</v>
      </c>
      <c r="FK806" s="5" t="s">
        <v>240</v>
      </c>
      <c r="FL806" s="5" t="s">
        <v>240</v>
      </c>
      <c r="FM806" s="5" t="s">
        <v>240</v>
      </c>
      <c r="FN806" s="5" t="s">
        <v>240</v>
      </c>
      <c r="FO806" s="5" t="s">
        <v>240</v>
      </c>
      <c r="FP806" s="5" t="s">
        <v>240</v>
      </c>
      <c r="FQ806" s="5" t="s">
        <v>240</v>
      </c>
      <c r="FR806" s="5" t="s">
        <v>240</v>
      </c>
      <c r="FS806" s="5" t="s">
        <v>240</v>
      </c>
      <c r="FT806" s="5" t="s">
        <v>240</v>
      </c>
      <c r="FU806" s="5" t="s">
        <v>240</v>
      </c>
      <c r="FV806" s="5" t="s">
        <v>240</v>
      </c>
      <c r="FW806" s="5" t="s">
        <v>240</v>
      </c>
      <c r="FX806" s="5" t="s">
        <v>240</v>
      </c>
      <c r="FY806" s="5" t="s">
        <v>240</v>
      </c>
      <c r="FZ806" s="5" t="s">
        <v>240</v>
      </c>
      <c r="GA806" s="5" t="s">
        <v>240</v>
      </c>
      <c r="GB806" s="5" t="s">
        <v>240</v>
      </c>
      <c r="GC806" s="5" t="s">
        <v>240</v>
      </c>
      <c r="GD806" s="5" t="s">
        <v>240</v>
      </c>
      <c r="GE806" s="5" t="s">
        <v>240</v>
      </c>
      <c r="GF806" s="5" t="s">
        <v>240</v>
      </c>
      <c r="GG806" s="5" t="s">
        <v>240</v>
      </c>
      <c r="GH806" s="5" t="s">
        <v>240</v>
      </c>
      <c r="GI806" s="5" t="s">
        <v>240</v>
      </c>
      <c r="GJ806" s="5" t="s">
        <v>240</v>
      </c>
      <c r="GK806" s="5" t="s">
        <v>240</v>
      </c>
      <c r="GL806" s="5" t="s">
        <v>240</v>
      </c>
      <c r="GM806" s="5" t="s">
        <v>240</v>
      </c>
      <c r="GN806" s="5" t="s">
        <v>240</v>
      </c>
      <c r="GO806" s="5" t="s">
        <v>240</v>
      </c>
      <c r="GP806" s="5" t="s">
        <v>240</v>
      </c>
      <c r="GQ806" s="5" t="s">
        <v>240</v>
      </c>
      <c r="GR806" s="5" t="s">
        <v>240</v>
      </c>
      <c r="GS806" s="5" t="s">
        <v>240</v>
      </c>
      <c r="GT806" s="5" t="s">
        <v>240</v>
      </c>
      <c r="GU806" s="5" t="s">
        <v>240</v>
      </c>
      <c r="GV806" s="5" t="s">
        <v>240</v>
      </c>
      <c r="GW806" s="5" t="s">
        <v>240</v>
      </c>
      <c r="GX806" s="5" t="s">
        <v>240</v>
      </c>
      <c r="GY806" s="5" t="s">
        <v>240</v>
      </c>
      <c r="GZ806" s="5" t="s">
        <v>240</v>
      </c>
      <c r="HA806" s="5" t="s">
        <v>240</v>
      </c>
      <c r="HB806" s="5" t="s">
        <v>240</v>
      </c>
      <c r="HC806" s="5" t="s">
        <v>240</v>
      </c>
      <c r="HD806" s="5" t="s">
        <v>240</v>
      </c>
      <c r="HE806" s="5" t="s">
        <v>240</v>
      </c>
      <c r="HF806" s="5" t="s">
        <v>240</v>
      </c>
      <c r="HG806" s="5" t="s">
        <v>240</v>
      </c>
      <c r="HH806" s="5" t="s">
        <v>240</v>
      </c>
      <c r="HI806" s="5" t="s">
        <v>240</v>
      </c>
      <c r="HJ806" s="5" t="s">
        <v>240</v>
      </c>
      <c r="HK806" s="5" t="s">
        <v>240</v>
      </c>
      <c r="HL806" s="5" t="s">
        <v>240</v>
      </c>
      <c r="HM806" s="5" t="s">
        <v>240</v>
      </c>
      <c r="HN806" s="5" t="s">
        <v>240</v>
      </c>
      <c r="HO806" s="5" t="s">
        <v>620</v>
      </c>
      <c r="HP806" s="5" t="s">
        <v>240</v>
      </c>
      <c r="HQ806" s="5" t="s">
        <v>240</v>
      </c>
      <c r="HR806" s="5" t="s">
        <v>240</v>
      </c>
      <c r="HS806" s="5" t="s">
        <v>240</v>
      </c>
      <c r="HT806" s="5" t="s">
        <v>240</v>
      </c>
      <c r="HU806" s="5" t="s">
        <v>240</v>
      </c>
      <c r="HV806" s="5" t="s">
        <v>240</v>
      </c>
      <c r="HW806" s="5" t="s">
        <v>240</v>
      </c>
      <c r="HX806" s="5" t="s">
        <v>240</v>
      </c>
      <c r="HY806" s="5" t="s">
        <v>240</v>
      </c>
      <c r="HZ806" s="5" t="s">
        <v>240</v>
      </c>
      <c r="IA806" s="5" t="s">
        <v>240</v>
      </c>
      <c r="IB806" s="5" t="s">
        <v>240</v>
      </c>
      <c r="IC806" s="5" t="s">
        <v>240</v>
      </c>
      <c r="ID806" s="5" t="s">
        <v>240</v>
      </c>
      <c r="IE806" s="5" t="s">
        <v>240</v>
      </c>
      <c r="IF806" s="5" t="s">
        <v>240</v>
      </c>
    </row>
    <row r="807" spans="1:240" x14ac:dyDescent="0.4">
      <c r="A807" s="5">
        <v>2482</v>
      </c>
      <c r="B807" s="5">
        <v>1</v>
      </c>
      <c r="C807" s="5">
        <v>1</v>
      </c>
      <c r="D807" s="5" t="s">
        <v>297</v>
      </c>
      <c r="E807" s="5" t="s">
        <v>245</v>
      </c>
      <c r="F807" s="5" t="s">
        <v>254</v>
      </c>
      <c r="G807" s="5" t="s">
        <v>240</v>
      </c>
      <c r="H807" s="6" t="s">
        <v>2062</v>
      </c>
      <c r="I807" s="5" t="s">
        <v>295</v>
      </c>
      <c r="J807" s="8">
        <f>1033</f>
        <v>1033</v>
      </c>
      <c r="K807" s="5" t="s">
        <v>308</v>
      </c>
      <c r="L807" s="7">
        <f>1</f>
        <v>1</v>
      </c>
      <c r="M807" s="7">
        <f>1</f>
        <v>1</v>
      </c>
      <c r="N807" s="5" t="s">
        <v>242</v>
      </c>
      <c r="O807" s="5">
        <v>1</v>
      </c>
      <c r="P807" s="5" t="s">
        <v>294</v>
      </c>
      <c r="Q807" s="5" t="s">
        <v>613</v>
      </c>
      <c r="R807" s="5" t="s">
        <v>240</v>
      </c>
      <c r="S807" s="5" t="s">
        <v>240</v>
      </c>
      <c r="T807" s="5" t="s">
        <v>243</v>
      </c>
      <c r="U807" s="5" t="s">
        <v>244</v>
      </c>
      <c r="V807" s="5" t="s">
        <v>240</v>
      </c>
      <c r="Y807" s="5" t="s">
        <v>240</v>
      </c>
      <c r="Z807" s="6" t="s">
        <v>298</v>
      </c>
      <c r="AB807" s="6" t="s">
        <v>240</v>
      </c>
      <c r="AE807" s="6" t="s">
        <v>299</v>
      </c>
      <c r="AF807" s="5" t="s">
        <v>248</v>
      </c>
      <c r="AG807" s="5" t="s">
        <v>249</v>
      </c>
      <c r="AW807" s="5" t="s">
        <v>251</v>
      </c>
      <c r="AX807" s="5" t="s">
        <v>240</v>
      </c>
      <c r="AY807" s="5" t="s">
        <v>253</v>
      </c>
      <c r="AZ807" s="5" t="s">
        <v>240</v>
      </c>
      <c r="BA807" s="5" t="s">
        <v>255</v>
      </c>
      <c r="BB807" s="5" t="s">
        <v>240</v>
      </c>
      <c r="BD807" s="5" t="s">
        <v>240</v>
      </c>
      <c r="BF807" s="5" t="s">
        <v>687</v>
      </c>
      <c r="BG807" s="6" t="s">
        <v>688</v>
      </c>
      <c r="BH807" s="5" t="s">
        <v>302</v>
      </c>
      <c r="BI807" s="5" t="s">
        <v>303</v>
      </c>
      <c r="BJ807" s="5" t="s">
        <v>240</v>
      </c>
      <c r="BK807" s="8">
        <f>0</f>
        <v>0</v>
      </c>
      <c r="BL807" s="7">
        <f>0</f>
        <v>0</v>
      </c>
      <c r="BM807" s="5" t="s">
        <v>258</v>
      </c>
      <c r="BN807" s="5" t="s">
        <v>259</v>
      </c>
      <c r="CB807" s="5" t="s">
        <v>240</v>
      </c>
      <c r="CC807" s="5" t="s">
        <v>240</v>
      </c>
      <c r="CG807" s="5" t="s">
        <v>617</v>
      </c>
      <c r="CH807" s="5" t="s">
        <v>305</v>
      </c>
      <c r="CI807" s="5" t="s">
        <v>240</v>
      </c>
      <c r="CL807" s="6" t="s">
        <v>261</v>
      </c>
      <c r="CM807" s="5" t="s">
        <v>240</v>
      </c>
      <c r="CN807" s="5" t="s">
        <v>263</v>
      </c>
      <c r="CO807" s="5" t="s">
        <v>240</v>
      </c>
      <c r="CP807" s="5" t="s">
        <v>240</v>
      </c>
      <c r="CQ807" s="5">
        <v>0</v>
      </c>
      <c r="CR807" s="5" t="s">
        <v>306</v>
      </c>
      <c r="CS807" s="5" t="s">
        <v>307</v>
      </c>
      <c r="CT807" s="5" t="s">
        <v>307</v>
      </c>
      <c r="CU807" s="5" t="s">
        <v>260</v>
      </c>
      <c r="CX807" s="7">
        <f>2680150</f>
        <v>2680150</v>
      </c>
      <c r="CY807" s="7">
        <f>0</f>
        <v>0</v>
      </c>
      <c r="DA807" s="7">
        <f>0</f>
        <v>0</v>
      </c>
      <c r="DC807" s="5" t="s">
        <v>689</v>
      </c>
      <c r="DD807" s="5" t="s">
        <v>240</v>
      </c>
      <c r="DF807" s="5" t="s">
        <v>450</v>
      </c>
      <c r="DG807" s="7">
        <f>0</f>
        <v>0</v>
      </c>
      <c r="DI807" s="5" t="s">
        <v>618</v>
      </c>
      <c r="DJ807" s="5" t="s">
        <v>240</v>
      </c>
      <c r="DK807" s="5" t="s">
        <v>240</v>
      </c>
      <c r="DL807" s="5" t="s">
        <v>240</v>
      </c>
      <c r="DP807" s="5" t="s">
        <v>240</v>
      </c>
      <c r="DQ807" s="5" t="s">
        <v>240</v>
      </c>
      <c r="DR807" s="5" t="s">
        <v>240</v>
      </c>
      <c r="DS807" s="5" t="s">
        <v>240</v>
      </c>
      <c r="DV807" s="5" t="s">
        <v>1731</v>
      </c>
      <c r="DW807" s="5" t="s">
        <v>312</v>
      </c>
      <c r="HO807" s="5" t="s">
        <v>312</v>
      </c>
    </row>
    <row r="808" spans="1:240" x14ac:dyDescent="0.4">
      <c r="A808" s="5">
        <v>2483</v>
      </c>
      <c r="B808" s="5">
        <v>1</v>
      </c>
      <c r="C808" s="5">
        <v>1</v>
      </c>
      <c r="D808" s="5" t="s">
        <v>297</v>
      </c>
      <c r="E808" s="5" t="s">
        <v>245</v>
      </c>
      <c r="F808" s="5" t="s">
        <v>254</v>
      </c>
      <c r="G808" s="5" t="s">
        <v>240</v>
      </c>
      <c r="H808" s="6" t="s">
        <v>2061</v>
      </c>
      <c r="I808" s="5" t="s">
        <v>295</v>
      </c>
      <c r="J808" s="8">
        <f>260</f>
        <v>260</v>
      </c>
      <c r="K808" s="5" t="s">
        <v>308</v>
      </c>
      <c r="L808" s="7">
        <f>1</f>
        <v>1</v>
      </c>
      <c r="M808" s="7">
        <f>1</f>
        <v>1</v>
      </c>
      <c r="N808" s="5" t="s">
        <v>242</v>
      </c>
      <c r="O808" s="5">
        <v>1</v>
      </c>
      <c r="P808" s="5" t="s">
        <v>294</v>
      </c>
      <c r="Q808" s="5" t="s">
        <v>613</v>
      </c>
      <c r="R808" s="5" t="s">
        <v>240</v>
      </c>
      <c r="S808" s="5" t="s">
        <v>240</v>
      </c>
      <c r="T808" s="5" t="s">
        <v>243</v>
      </c>
      <c r="U808" s="5" t="s">
        <v>244</v>
      </c>
      <c r="V808" s="5" t="s">
        <v>240</v>
      </c>
      <c r="Y808" s="5" t="s">
        <v>240</v>
      </c>
      <c r="Z808" s="6" t="s">
        <v>298</v>
      </c>
      <c r="AB808" s="6" t="s">
        <v>240</v>
      </c>
      <c r="AE808" s="6" t="s">
        <v>299</v>
      </c>
      <c r="AF808" s="5" t="s">
        <v>248</v>
      </c>
      <c r="AG808" s="5" t="s">
        <v>249</v>
      </c>
      <c r="AW808" s="5" t="s">
        <v>251</v>
      </c>
      <c r="AX808" s="5" t="s">
        <v>240</v>
      </c>
      <c r="AY808" s="5" t="s">
        <v>253</v>
      </c>
      <c r="AZ808" s="5" t="s">
        <v>240</v>
      </c>
      <c r="BA808" s="5" t="s">
        <v>255</v>
      </c>
      <c r="BB808" s="5" t="s">
        <v>240</v>
      </c>
      <c r="BD808" s="5" t="s">
        <v>686</v>
      </c>
      <c r="BF808" s="5" t="s">
        <v>687</v>
      </c>
      <c r="BG808" s="6" t="s">
        <v>688</v>
      </c>
      <c r="BH808" s="5" t="s">
        <v>302</v>
      </c>
      <c r="BI808" s="5" t="s">
        <v>303</v>
      </c>
      <c r="BJ808" s="5" t="s">
        <v>240</v>
      </c>
      <c r="BK808" s="8">
        <f>0</f>
        <v>0</v>
      </c>
      <c r="BL808" s="7">
        <f>0</f>
        <v>0</v>
      </c>
      <c r="BM808" s="5" t="s">
        <v>258</v>
      </c>
      <c r="BN808" s="5" t="s">
        <v>259</v>
      </c>
      <c r="CB808" s="5" t="s">
        <v>240</v>
      </c>
      <c r="CC808" s="5" t="s">
        <v>240</v>
      </c>
      <c r="CG808" s="5" t="s">
        <v>617</v>
      </c>
      <c r="CH808" s="5" t="s">
        <v>305</v>
      </c>
      <c r="CI808" s="5" t="s">
        <v>240</v>
      </c>
      <c r="CL808" s="6" t="s">
        <v>261</v>
      </c>
      <c r="CM808" s="5" t="s">
        <v>240</v>
      </c>
      <c r="CN808" s="5" t="s">
        <v>263</v>
      </c>
      <c r="CO808" s="5" t="s">
        <v>240</v>
      </c>
      <c r="CP808" s="5" t="s">
        <v>240</v>
      </c>
      <c r="CQ808" s="5">
        <v>0</v>
      </c>
      <c r="CR808" s="5" t="s">
        <v>306</v>
      </c>
      <c r="CS808" s="5" t="s">
        <v>307</v>
      </c>
      <c r="CT808" s="5" t="s">
        <v>307</v>
      </c>
      <c r="CU808" s="5" t="s">
        <v>260</v>
      </c>
      <c r="CX808" s="7">
        <f>2400000</f>
        <v>2400000</v>
      </c>
      <c r="CY808" s="7">
        <f>0</f>
        <v>0</v>
      </c>
      <c r="DA808" s="7">
        <f>0</f>
        <v>0</v>
      </c>
      <c r="DC808" s="5" t="s">
        <v>843</v>
      </c>
      <c r="DD808" s="5" t="s">
        <v>240</v>
      </c>
      <c r="DF808" s="5" t="s">
        <v>843</v>
      </c>
      <c r="DG808" s="7">
        <f>1000</f>
        <v>1000</v>
      </c>
      <c r="DI808" s="5" t="s">
        <v>843</v>
      </c>
      <c r="DJ808" s="5" t="s">
        <v>240</v>
      </c>
      <c r="DK808" s="5" t="s">
        <v>240</v>
      </c>
      <c r="DL808" s="5" t="s">
        <v>240</v>
      </c>
      <c r="DP808" s="5" t="s">
        <v>240</v>
      </c>
      <c r="DQ808" s="5" t="s">
        <v>240</v>
      </c>
      <c r="DR808" s="5" t="s">
        <v>240</v>
      </c>
      <c r="DS808" s="5" t="s">
        <v>240</v>
      </c>
      <c r="DV808" s="5" t="s">
        <v>1735</v>
      </c>
      <c r="DW808" s="5" t="s">
        <v>312</v>
      </c>
      <c r="HO808" s="5" t="s">
        <v>312</v>
      </c>
    </row>
    <row r="809" spans="1:240" x14ac:dyDescent="0.4">
      <c r="A809" s="5">
        <v>2484</v>
      </c>
      <c r="B809" s="5">
        <v>1</v>
      </c>
      <c r="C809" s="5">
        <v>1</v>
      </c>
      <c r="D809" s="5" t="s">
        <v>297</v>
      </c>
      <c r="E809" s="5" t="s">
        <v>245</v>
      </c>
      <c r="F809" s="5" t="s">
        <v>254</v>
      </c>
      <c r="G809" s="5" t="s">
        <v>240</v>
      </c>
      <c r="H809" s="6" t="s">
        <v>2060</v>
      </c>
      <c r="I809" s="5" t="s">
        <v>295</v>
      </c>
      <c r="J809" s="8">
        <f>3189</f>
        <v>3189</v>
      </c>
      <c r="K809" s="5" t="s">
        <v>308</v>
      </c>
      <c r="L809" s="7">
        <f>1</f>
        <v>1</v>
      </c>
      <c r="M809" s="7">
        <f>1</f>
        <v>1</v>
      </c>
      <c r="N809" s="5" t="s">
        <v>242</v>
      </c>
      <c r="O809" s="5">
        <v>1</v>
      </c>
      <c r="P809" s="5" t="s">
        <v>294</v>
      </c>
      <c r="Q809" s="5" t="s">
        <v>613</v>
      </c>
      <c r="R809" s="5" t="s">
        <v>240</v>
      </c>
      <c r="S809" s="5" t="s">
        <v>240</v>
      </c>
      <c r="T809" s="5" t="s">
        <v>243</v>
      </c>
      <c r="U809" s="5" t="s">
        <v>244</v>
      </c>
      <c r="V809" s="5" t="s">
        <v>240</v>
      </c>
      <c r="Y809" s="5" t="s">
        <v>240</v>
      </c>
      <c r="Z809" s="6" t="s">
        <v>298</v>
      </c>
      <c r="AB809" s="6" t="s">
        <v>240</v>
      </c>
      <c r="AE809" s="6" t="s">
        <v>299</v>
      </c>
      <c r="AF809" s="5" t="s">
        <v>248</v>
      </c>
      <c r="AG809" s="5" t="s">
        <v>249</v>
      </c>
      <c r="AW809" s="5" t="s">
        <v>251</v>
      </c>
      <c r="AX809" s="5" t="s">
        <v>240</v>
      </c>
      <c r="AY809" s="5" t="s">
        <v>253</v>
      </c>
      <c r="AZ809" s="5" t="s">
        <v>240</v>
      </c>
      <c r="BA809" s="5" t="s">
        <v>255</v>
      </c>
      <c r="BB809" s="5" t="s">
        <v>240</v>
      </c>
      <c r="BD809" s="5" t="s">
        <v>686</v>
      </c>
      <c r="BF809" s="5" t="s">
        <v>301</v>
      </c>
      <c r="BG809" s="6" t="s">
        <v>299</v>
      </c>
      <c r="BH809" s="5" t="s">
        <v>302</v>
      </c>
      <c r="BI809" s="5" t="s">
        <v>303</v>
      </c>
      <c r="BJ809" s="5" t="s">
        <v>240</v>
      </c>
      <c r="BK809" s="8">
        <f>0</f>
        <v>0</v>
      </c>
      <c r="BL809" s="7">
        <f>0</f>
        <v>0</v>
      </c>
      <c r="BM809" s="5" t="s">
        <v>258</v>
      </c>
      <c r="BN809" s="5" t="s">
        <v>259</v>
      </c>
      <c r="CB809" s="5" t="s">
        <v>240</v>
      </c>
      <c r="CC809" s="5" t="s">
        <v>240</v>
      </c>
      <c r="CG809" s="5" t="s">
        <v>617</v>
      </c>
      <c r="CH809" s="5" t="s">
        <v>305</v>
      </c>
      <c r="CI809" s="5" t="s">
        <v>240</v>
      </c>
      <c r="CL809" s="6" t="s">
        <v>261</v>
      </c>
      <c r="CM809" s="5" t="s">
        <v>240</v>
      </c>
      <c r="CN809" s="5" t="s">
        <v>263</v>
      </c>
      <c r="CO809" s="5" t="s">
        <v>240</v>
      </c>
      <c r="CP809" s="5" t="s">
        <v>240</v>
      </c>
      <c r="CQ809" s="5">
        <v>0</v>
      </c>
      <c r="CR809" s="5" t="s">
        <v>306</v>
      </c>
      <c r="CS809" s="5" t="s">
        <v>307</v>
      </c>
      <c r="CT809" s="5" t="s">
        <v>307</v>
      </c>
      <c r="CU809" s="5" t="s">
        <v>260</v>
      </c>
      <c r="CX809" s="7">
        <f>2046660</f>
        <v>2046660</v>
      </c>
      <c r="CY809" s="7">
        <f>0</f>
        <v>0</v>
      </c>
      <c r="DA809" s="7">
        <f>0</f>
        <v>0</v>
      </c>
      <c r="DC809" s="5" t="s">
        <v>618</v>
      </c>
      <c r="DD809" s="5" t="s">
        <v>240</v>
      </c>
      <c r="DF809" s="5" t="s">
        <v>618</v>
      </c>
      <c r="DG809" s="7">
        <f>924</f>
        <v>924</v>
      </c>
      <c r="DI809" s="5" t="s">
        <v>618</v>
      </c>
      <c r="DJ809" s="5" t="s">
        <v>240</v>
      </c>
      <c r="DK809" s="5" t="s">
        <v>240</v>
      </c>
      <c r="DL809" s="5" t="s">
        <v>240</v>
      </c>
      <c r="DP809" s="5" t="s">
        <v>240</v>
      </c>
      <c r="DQ809" s="5" t="s">
        <v>240</v>
      </c>
      <c r="DR809" s="5" t="s">
        <v>240</v>
      </c>
      <c r="DS809" s="5" t="s">
        <v>240</v>
      </c>
      <c r="DV809" s="5" t="s">
        <v>1739</v>
      </c>
      <c r="DW809" s="5" t="s">
        <v>312</v>
      </c>
      <c r="HO809" s="5" t="s">
        <v>312</v>
      </c>
    </row>
    <row r="810" spans="1:240" x14ac:dyDescent="0.4">
      <c r="A810" s="5">
        <v>2485</v>
      </c>
      <c r="B810" s="5">
        <v>1</v>
      </c>
      <c r="C810" s="5">
        <v>1</v>
      </c>
      <c r="D810" s="5" t="s">
        <v>297</v>
      </c>
      <c r="E810" s="5" t="s">
        <v>245</v>
      </c>
      <c r="F810" s="5" t="s">
        <v>254</v>
      </c>
      <c r="G810" s="5" t="s">
        <v>240</v>
      </c>
      <c r="H810" s="6" t="s">
        <v>2054</v>
      </c>
      <c r="I810" s="5" t="s">
        <v>295</v>
      </c>
      <c r="J810" s="8">
        <f>697</f>
        <v>697</v>
      </c>
      <c r="K810" s="5" t="s">
        <v>308</v>
      </c>
      <c r="L810" s="7">
        <f>1</f>
        <v>1</v>
      </c>
      <c r="M810" s="7">
        <f>1</f>
        <v>1</v>
      </c>
      <c r="N810" s="5" t="s">
        <v>242</v>
      </c>
      <c r="O810" s="5">
        <v>1</v>
      </c>
      <c r="P810" s="5" t="s">
        <v>294</v>
      </c>
      <c r="Q810" s="5" t="s">
        <v>613</v>
      </c>
      <c r="R810" s="5" t="s">
        <v>240</v>
      </c>
      <c r="S810" s="5" t="s">
        <v>240</v>
      </c>
      <c r="T810" s="5" t="s">
        <v>243</v>
      </c>
      <c r="U810" s="5" t="s">
        <v>244</v>
      </c>
      <c r="V810" s="5" t="s">
        <v>240</v>
      </c>
      <c r="Y810" s="5" t="s">
        <v>240</v>
      </c>
      <c r="Z810" s="6" t="s">
        <v>1742</v>
      </c>
      <c r="AB810" s="6" t="s">
        <v>240</v>
      </c>
      <c r="AE810" s="6" t="s">
        <v>299</v>
      </c>
      <c r="AF810" s="5" t="s">
        <v>248</v>
      </c>
      <c r="AG810" s="5" t="s">
        <v>249</v>
      </c>
      <c r="AW810" s="5" t="s">
        <v>251</v>
      </c>
      <c r="AX810" s="5" t="s">
        <v>240</v>
      </c>
      <c r="AY810" s="5" t="s">
        <v>253</v>
      </c>
      <c r="AZ810" s="5" t="s">
        <v>240</v>
      </c>
      <c r="BA810" s="5" t="s">
        <v>255</v>
      </c>
      <c r="BB810" s="5" t="s">
        <v>240</v>
      </c>
      <c r="BD810" s="5" t="s">
        <v>240</v>
      </c>
      <c r="BF810" s="5" t="s">
        <v>301</v>
      </c>
      <c r="BG810" s="6" t="s">
        <v>299</v>
      </c>
      <c r="BH810" s="5" t="s">
        <v>302</v>
      </c>
      <c r="BI810" s="5" t="s">
        <v>303</v>
      </c>
      <c r="BJ810" s="5" t="s">
        <v>240</v>
      </c>
      <c r="BK810" s="8">
        <f>0</f>
        <v>0</v>
      </c>
      <c r="BL810" s="7">
        <f>0</f>
        <v>0</v>
      </c>
      <c r="BM810" s="5" t="s">
        <v>258</v>
      </c>
      <c r="BN810" s="5" t="s">
        <v>259</v>
      </c>
      <c r="CB810" s="5" t="s">
        <v>240</v>
      </c>
      <c r="CC810" s="5" t="s">
        <v>240</v>
      </c>
      <c r="CG810" s="5" t="s">
        <v>449</v>
      </c>
      <c r="CH810" s="5" t="s">
        <v>305</v>
      </c>
      <c r="CI810" s="5" t="s">
        <v>240</v>
      </c>
      <c r="CL810" s="6" t="s">
        <v>261</v>
      </c>
      <c r="CM810" s="5" t="s">
        <v>240</v>
      </c>
      <c r="CN810" s="5" t="s">
        <v>263</v>
      </c>
      <c r="CO810" s="5" t="s">
        <v>240</v>
      </c>
      <c r="CP810" s="5" t="s">
        <v>240</v>
      </c>
      <c r="CQ810" s="5">
        <v>0</v>
      </c>
      <c r="CR810" s="5" t="s">
        <v>306</v>
      </c>
      <c r="CS810" s="5" t="s">
        <v>307</v>
      </c>
      <c r="CT810" s="5" t="s">
        <v>307</v>
      </c>
      <c r="CU810" s="5" t="s">
        <v>260</v>
      </c>
      <c r="CX810" s="7">
        <f>608328</f>
        <v>608328</v>
      </c>
      <c r="CY810" s="7">
        <f>0</f>
        <v>0</v>
      </c>
      <c r="DA810" s="7">
        <f>0</f>
        <v>0</v>
      </c>
      <c r="DC810" s="5" t="s">
        <v>618</v>
      </c>
      <c r="DD810" s="5" t="s">
        <v>240</v>
      </c>
      <c r="DF810" s="5" t="s">
        <v>618</v>
      </c>
      <c r="DG810" s="7">
        <f>568</f>
        <v>568</v>
      </c>
      <c r="DI810" s="5" t="s">
        <v>618</v>
      </c>
      <c r="DJ810" s="5" t="s">
        <v>240</v>
      </c>
      <c r="DK810" s="5" t="s">
        <v>240</v>
      </c>
      <c r="DL810" s="5" t="s">
        <v>240</v>
      </c>
      <c r="DP810" s="5" t="s">
        <v>240</v>
      </c>
      <c r="DQ810" s="5" t="s">
        <v>240</v>
      </c>
      <c r="DR810" s="5" t="s">
        <v>240</v>
      </c>
      <c r="DS810" s="5" t="s">
        <v>240</v>
      </c>
      <c r="DV810" s="5" t="s">
        <v>1744</v>
      </c>
      <c r="DW810" s="5" t="s">
        <v>621</v>
      </c>
      <c r="HO810" s="5" t="s">
        <v>312</v>
      </c>
    </row>
    <row r="811" spans="1:240" x14ac:dyDescent="0.4">
      <c r="A811" s="5">
        <v>2486</v>
      </c>
      <c r="B811" s="5">
        <v>1</v>
      </c>
      <c r="C811" s="5">
        <v>1</v>
      </c>
      <c r="D811" s="5" t="s">
        <v>297</v>
      </c>
      <c r="E811" s="5" t="s">
        <v>245</v>
      </c>
      <c r="F811" s="5" t="s">
        <v>254</v>
      </c>
      <c r="G811" s="5" t="s">
        <v>240</v>
      </c>
      <c r="H811" s="6" t="s">
        <v>2049</v>
      </c>
      <c r="I811" s="5" t="s">
        <v>295</v>
      </c>
      <c r="J811" s="8">
        <f>502</f>
        <v>502</v>
      </c>
      <c r="K811" s="5" t="s">
        <v>308</v>
      </c>
      <c r="L811" s="7">
        <f>1</f>
        <v>1</v>
      </c>
      <c r="M811" s="7">
        <f>1</f>
        <v>1</v>
      </c>
      <c r="N811" s="5" t="s">
        <v>242</v>
      </c>
      <c r="O811" s="5">
        <v>1</v>
      </c>
      <c r="P811" s="5" t="s">
        <v>294</v>
      </c>
      <c r="Q811" s="5" t="s">
        <v>613</v>
      </c>
      <c r="R811" s="5" t="s">
        <v>240</v>
      </c>
      <c r="S811" s="5" t="s">
        <v>240</v>
      </c>
      <c r="T811" s="5" t="s">
        <v>243</v>
      </c>
      <c r="U811" s="5" t="s">
        <v>244</v>
      </c>
      <c r="V811" s="5" t="s">
        <v>240</v>
      </c>
      <c r="Y811" s="5" t="s">
        <v>240</v>
      </c>
      <c r="Z811" s="6" t="s">
        <v>1742</v>
      </c>
      <c r="AB811" s="6" t="s">
        <v>240</v>
      </c>
      <c r="AE811" s="6" t="s">
        <v>299</v>
      </c>
      <c r="AF811" s="5" t="s">
        <v>248</v>
      </c>
      <c r="AG811" s="5" t="s">
        <v>249</v>
      </c>
      <c r="AW811" s="5" t="s">
        <v>251</v>
      </c>
      <c r="AX811" s="5" t="s">
        <v>240</v>
      </c>
      <c r="AY811" s="5" t="s">
        <v>253</v>
      </c>
      <c r="AZ811" s="5" t="s">
        <v>240</v>
      </c>
      <c r="BA811" s="5" t="s">
        <v>255</v>
      </c>
      <c r="BB811" s="5" t="s">
        <v>240</v>
      </c>
      <c r="BD811" s="5" t="s">
        <v>686</v>
      </c>
      <c r="BF811" s="5" t="s">
        <v>301</v>
      </c>
      <c r="BG811" s="6" t="s">
        <v>299</v>
      </c>
      <c r="BH811" s="5" t="s">
        <v>302</v>
      </c>
      <c r="BI811" s="5" t="s">
        <v>303</v>
      </c>
      <c r="BJ811" s="5" t="s">
        <v>240</v>
      </c>
      <c r="BK811" s="8">
        <f>0</f>
        <v>0</v>
      </c>
      <c r="BL811" s="7">
        <f>0</f>
        <v>0</v>
      </c>
      <c r="BM811" s="5" t="s">
        <v>258</v>
      </c>
      <c r="BN811" s="5" t="s">
        <v>259</v>
      </c>
      <c r="CB811" s="5" t="s">
        <v>240</v>
      </c>
      <c r="CC811" s="5" t="s">
        <v>240</v>
      </c>
      <c r="CG811" s="5" t="s">
        <v>449</v>
      </c>
      <c r="CH811" s="5" t="s">
        <v>305</v>
      </c>
      <c r="CI811" s="5" t="s">
        <v>240</v>
      </c>
      <c r="CL811" s="6" t="s">
        <v>261</v>
      </c>
      <c r="CM811" s="5" t="s">
        <v>240</v>
      </c>
      <c r="CN811" s="5" t="s">
        <v>263</v>
      </c>
      <c r="CO811" s="5" t="s">
        <v>240</v>
      </c>
      <c r="CP811" s="5" t="s">
        <v>240</v>
      </c>
      <c r="CQ811" s="5">
        <v>0</v>
      </c>
      <c r="CR811" s="5" t="s">
        <v>306</v>
      </c>
      <c r="CS811" s="5" t="s">
        <v>307</v>
      </c>
      <c r="CT811" s="5" t="s">
        <v>307</v>
      </c>
      <c r="CU811" s="5" t="s">
        <v>260</v>
      </c>
      <c r="CX811" s="7">
        <f>1966356</f>
        <v>1966356</v>
      </c>
      <c r="CY811" s="7">
        <f>0</f>
        <v>0</v>
      </c>
      <c r="DA811" s="7">
        <f>0</f>
        <v>0</v>
      </c>
      <c r="DC811" s="5" t="s">
        <v>618</v>
      </c>
      <c r="DD811" s="5" t="s">
        <v>240</v>
      </c>
      <c r="DF811" s="5" t="s">
        <v>618</v>
      </c>
      <c r="DG811" s="7">
        <f>1836</f>
        <v>1836</v>
      </c>
      <c r="DH811" s="6" t="s">
        <v>1742</v>
      </c>
      <c r="DI811" s="5" t="s">
        <v>618</v>
      </c>
      <c r="DJ811" s="5" t="s">
        <v>240</v>
      </c>
      <c r="DK811" s="5" t="s">
        <v>240</v>
      </c>
      <c r="DL811" s="5" t="s">
        <v>240</v>
      </c>
      <c r="DP811" s="5" t="s">
        <v>240</v>
      </c>
      <c r="DQ811" s="5" t="s">
        <v>240</v>
      </c>
      <c r="DR811" s="5" t="s">
        <v>240</v>
      </c>
      <c r="DS811" s="5" t="s">
        <v>240</v>
      </c>
      <c r="DV811" s="5" t="s">
        <v>1744</v>
      </c>
      <c r="DW811" s="5" t="s">
        <v>312</v>
      </c>
      <c r="HO811" s="5" t="s">
        <v>312</v>
      </c>
    </row>
    <row r="812" spans="1:240" x14ac:dyDescent="0.4">
      <c r="A812" s="5">
        <v>2487</v>
      </c>
      <c r="B812" s="5">
        <v>1</v>
      </c>
      <c r="C812" s="5">
        <v>1</v>
      </c>
      <c r="D812" s="5" t="s">
        <v>297</v>
      </c>
      <c r="E812" s="5" t="s">
        <v>245</v>
      </c>
      <c r="F812" s="5" t="s">
        <v>254</v>
      </c>
      <c r="G812" s="5" t="s">
        <v>240</v>
      </c>
      <c r="H812" s="6" t="s">
        <v>2045</v>
      </c>
      <c r="I812" s="5" t="s">
        <v>295</v>
      </c>
      <c r="J812" s="8">
        <f>465</f>
        <v>465</v>
      </c>
      <c r="K812" s="5" t="s">
        <v>308</v>
      </c>
      <c r="L812" s="7">
        <f>1</f>
        <v>1</v>
      </c>
      <c r="M812" s="7">
        <f>1</f>
        <v>1</v>
      </c>
      <c r="N812" s="5" t="s">
        <v>242</v>
      </c>
      <c r="O812" s="5">
        <v>1</v>
      </c>
      <c r="P812" s="5" t="s">
        <v>294</v>
      </c>
      <c r="Q812" s="5" t="s">
        <v>613</v>
      </c>
      <c r="R812" s="5" t="s">
        <v>240</v>
      </c>
      <c r="S812" s="5" t="s">
        <v>240</v>
      </c>
      <c r="T812" s="5" t="s">
        <v>243</v>
      </c>
      <c r="U812" s="5" t="s">
        <v>244</v>
      </c>
      <c r="V812" s="5" t="s">
        <v>240</v>
      </c>
      <c r="Y812" s="5" t="s">
        <v>240</v>
      </c>
      <c r="Z812" s="6" t="s">
        <v>298</v>
      </c>
      <c r="AB812" s="6" t="s">
        <v>240</v>
      </c>
      <c r="AE812" s="6" t="s">
        <v>299</v>
      </c>
      <c r="AF812" s="5" t="s">
        <v>248</v>
      </c>
      <c r="AG812" s="5" t="s">
        <v>249</v>
      </c>
      <c r="AW812" s="5" t="s">
        <v>251</v>
      </c>
      <c r="AX812" s="5" t="s">
        <v>240</v>
      </c>
      <c r="AY812" s="5" t="s">
        <v>253</v>
      </c>
      <c r="AZ812" s="5" t="s">
        <v>240</v>
      </c>
      <c r="BA812" s="5" t="s">
        <v>255</v>
      </c>
      <c r="BB812" s="5" t="s">
        <v>240</v>
      </c>
      <c r="BD812" s="5" t="s">
        <v>240</v>
      </c>
      <c r="BF812" s="5" t="s">
        <v>301</v>
      </c>
      <c r="BG812" s="6" t="s">
        <v>299</v>
      </c>
      <c r="BH812" s="5" t="s">
        <v>302</v>
      </c>
      <c r="BI812" s="5" t="s">
        <v>303</v>
      </c>
      <c r="BJ812" s="5" t="s">
        <v>240</v>
      </c>
      <c r="BK812" s="8">
        <f>0</f>
        <v>0</v>
      </c>
      <c r="BL812" s="7">
        <f>0</f>
        <v>0</v>
      </c>
      <c r="BM812" s="5" t="s">
        <v>258</v>
      </c>
      <c r="BN812" s="5" t="s">
        <v>259</v>
      </c>
      <c r="CB812" s="5" t="s">
        <v>240</v>
      </c>
      <c r="CC812" s="5" t="s">
        <v>240</v>
      </c>
      <c r="CG812" s="5" t="s">
        <v>617</v>
      </c>
      <c r="CH812" s="5" t="s">
        <v>305</v>
      </c>
      <c r="CI812" s="5" t="s">
        <v>240</v>
      </c>
      <c r="CL812" s="6" t="s">
        <v>261</v>
      </c>
      <c r="CM812" s="5" t="s">
        <v>240</v>
      </c>
      <c r="CN812" s="5" t="s">
        <v>263</v>
      </c>
      <c r="CO812" s="5" t="s">
        <v>240</v>
      </c>
      <c r="CP812" s="5" t="s">
        <v>240</v>
      </c>
      <c r="CQ812" s="5">
        <v>0</v>
      </c>
      <c r="CR812" s="5" t="s">
        <v>306</v>
      </c>
      <c r="CS812" s="5" t="s">
        <v>307</v>
      </c>
      <c r="CT812" s="5" t="s">
        <v>307</v>
      </c>
      <c r="CU812" s="5" t="s">
        <v>260</v>
      </c>
      <c r="CX812" s="7">
        <f>2403275</f>
        <v>2403275</v>
      </c>
      <c r="CY812" s="7">
        <f>0</f>
        <v>0</v>
      </c>
      <c r="DA812" s="7">
        <f>0</f>
        <v>0</v>
      </c>
      <c r="DC812" s="5" t="s">
        <v>689</v>
      </c>
      <c r="DD812" s="5" t="s">
        <v>240</v>
      </c>
      <c r="DF812" s="5" t="s">
        <v>689</v>
      </c>
      <c r="DG812" s="7">
        <f>1085</f>
        <v>1085</v>
      </c>
      <c r="DH812" s="6" t="s">
        <v>1742</v>
      </c>
      <c r="DI812" s="5" t="s">
        <v>618</v>
      </c>
      <c r="DJ812" s="5" t="s">
        <v>240</v>
      </c>
      <c r="DK812" s="5" t="s">
        <v>240</v>
      </c>
      <c r="DL812" s="5" t="s">
        <v>240</v>
      </c>
      <c r="DP812" s="5" t="s">
        <v>240</v>
      </c>
      <c r="DQ812" s="5" t="s">
        <v>240</v>
      </c>
      <c r="DR812" s="5" t="s">
        <v>240</v>
      </c>
      <c r="DS812" s="5" t="s">
        <v>240</v>
      </c>
      <c r="DV812" s="5" t="s">
        <v>1749</v>
      </c>
      <c r="DW812" s="5" t="s">
        <v>620</v>
      </c>
      <c r="HO812" s="5" t="s">
        <v>312</v>
      </c>
    </row>
    <row r="813" spans="1:240" x14ac:dyDescent="0.4">
      <c r="A813" s="5">
        <v>2488</v>
      </c>
      <c r="B813" s="5">
        <v>1</v>
      </c>
      <c r="C813" s="5">
        <v>1</v>
      </c>
      <c r="D813" s="5" t="s">
        <v>297</v>
      </c>
      <c r="E813" s="5" t="s">
        <v>245</v>
      </c>
      <c r="F813" s="5" t="s">
        <v>254</v>
      </c>
      <c r="G813" s="5" t="s">
        <v>240</v>
      </c>
      <c r="H813" s="6" t="s">
        <v>2044</v>
      </c>
      <c r="I813" s="5" t="s">
        <v>295</v>
      </c>
      <c r="J813" s="8">
        <f>1707</f>
        <v>1707</v>
      </c>
      <c r="K813" s="5" t="s">
        <v>308</v>
      </c>
      <c r="L813" s="7">
        <f>1</f>
        <v>1</v>
      </c>
      <c r="M813" s="7">
        <f>1</f>
        <v>1</v>
      </c>
      <c r="N813" s="5" t="s">
        <v>242</v>
      </c>
      <c r="O813" s="5">
        <v>1</v>
      </c>
      <c r="P813" s="5" t="s">
        <v>294</v>
      </c>
      <c r="Q813" s="5" t="s">
        <v>613</v>
      </c>
      <c r="R813" s="5" t="s">
        <v>240</v>
      </c>
      <c r="S813" s="5" t="s">
        <v>240</v>
      </c>
      <c r="T813" s="5" t="s">
        <v>243</v>
      </c>
      <c r="U813" s="5" t="s">
        <v>244</v>
      </c>
      <c r="V813" s="5" t="s">
        <v>240</v>
      </c>
      <c r="Y813" s="5" t="s">
        <v>240</v>
      </c>
      <c r="Z813" s="6" t="s">
        <v>298</v>
      </c>
      <c r="AB813" s="6" t="s">
        <v>240</v>
      </c>
      <c r="AE813" s="6" t="s">
        <v>299</v>
      </c>
      <c r="AF813" s="5" t="s">
        <v>248</v>
      </c>
      <c r="AG813" s="5" t="s">
        <v>249</v>
      </c>
      <c r="AW813" s="5" t="s">
        <v>251</v>
      </c>
      <c r="AX813" s="5" t="s">
        <v>240</v>
      </c>
      <c r="AY813" s="5" t="s">
        <v>253</v>
      </c>
      <c r="AZ813" s="5" t="s">
        <v>240</v>
      </c>
      <c r="BA813" s="5" t="s">
        <v>255</v>
      </c>
      <c r="BB813" s="5" t="s">
        <v>240</v>
      </c>
      <c r="BD813" s="5" t="s">
        <v>240</v>
      </c>
      <c r="BF813" s="5" t="s">
        <v>301</v>
      </c>
      <c r="BG813" s="6" t="s">
        <v>299</v>
      </c>
      <c r="BH813" s="5" t="s">
        <v>302</v>
      </c>
      <c r="BI813" s="5" t="s">
        <v>303</v>
      </c>
      <c r="BJ813" s="5" t="s">
        <v>240</v>
      </c>
      <c r="BK813" s="8">
        <f>0</f>
        <v>0</v>
      </c>
      <c r="BL813" s="7">
        <f>0</f>
        <v>0</v>
      </c>
      <c r="BM813" s="5" t="s">
        <v>258</v>
      </c>
      <c r="BN813" s="5" t="s">
        <v>259</v>
      </c>
      <c r="CB813" s="5" t="s">
        <v>240</v>
      </c>
      <c r="CC813" s="5" t="s">
        <v>240</v>
      </c>
      <c r="CG813" s="5" t="s">
        <v>617</v>
      </c>
      <c r="CH813" s="5" t="s">
        <v>305</v>
      </c>
      <c r="CI813" s="5" t="s">
        <v>240</v>
      </c>
      <c r="CL813" s="6" t="s">
        <v>261</v>
      </c>
      <c r="CM813" s="5" t="s">
        <v>240</v>
      </c>
      <c r="CN813" s="5" t="s">
        <v>263</v>
      </c>
      <c r="CO813" s="5" t="s">
        <v>240</v>
      </c>
      <c r="CP813" s="5" t="s">
        <v>240</v>
      </c>
      <c r="CQ813" s="5">
        <v>0</v>
      </c>
      <c r="CR813" s="5" t="s">
        <v>306</v>
      </c>
      <c r="CS813" s="5" t="s">
        <v>307</v>
      </c>
      <c r="CT813" s="5" t="s">
        <v>307</v>
      </c>
      <c r="CU813" s="5" t="s">
        <v>260</v>
      </c>
      <c r="CX813" s="7">
        <f>1402095</f>
        <v>1402095</v>
      </c>
      <c r="CY813" s="7">
        <f>0</f>
        <v>0</v>
      </c>
      <c r="DA813" s="7">
        <f>0</f>
        <v>0</v>
      </c>
      <c r="DC813" s="5" t="s">
        <v>689</v>
      </c>
      <c r="DD813" s="5" t="s">
        <v>240</v>
      </c>
      <c r="DF813" s="5" t="s">
        <v>689</v>
      </c>
      <c r="DG813" s="7">
        <f>633</f>
        <v>633</v>
      </c>
      <c r="DH813" s="6" t="s">
        <v>1751</v>
      </c>
      <c r="DI813" s="5" t="s">
        <v>618</v>
      </c>
      <c r="DJ813" s="5" t="s">
        <v>240</v>
      </c>
      <c r="DK813" s="5" t="s">
        <v>240</v>
      </c>
      <c r="DL813" s="5" t="s">
        <v>240</v>
      </c>
      <c r="DP813" s="5" t="s">
        <v>240</v>
      </c>
      <c r="DQ813" s="5" t="s">
        <v>240</v>
      </c>
      <c r="DR813" s="5" t="s">
        <v>240</v>
      </c>
      <c r="DS813" s="5" t="s">
        <v>240</v>
      </c>
      <c r="DV813" s="5" t="s">
        <v>1749</v>
      </c>
      <c r="DW813" s="5" t="s">
        <v>621</v>
      </c>
      <c r="HO813" s="5" t="s">
        <v>312</v>
      </c>
    </row>
    <row r="814" spans="1:240" x14ac:dyDescent="0.4">
      <c r="A814" s="5">
        <v>2489</v>
      </c>
      <c r="B814" s="5">
        <v>1</v>
      </c>
      <c r="C814" s="5">
        <v>1</v>
      </c>
      <c r="D814" s="5" t="s">
        <v>297</v>
      </c>
      <c r="E814" s="5" t="s">
        <v>245</v>
      </c>
      <c r="F814" s="5" t="s">
        <v>254</v>
      </c>
      <c r="G814" s="5" t="s">
        <v>240</v>
      </c>
      <c r="H814" s="6" t="s">
        <v>2042</v>
      </c>
      <c r="I814" s="5" t="s">
        <v>295</v>
      </c>
      <c r="J814" s="8">
        <f>751</f>
        <v>751</v>
      </c>
      <c r="K814" s="5" t="s">
        <v>308</v>
      </c>
      <c r="L814" s="7">
        <f>1</f>
        <v>1</v>
      </c>
      <c r="M814" s="7">
        <f>1</f>
        <v>1</v>
      </c>
      <c r="N814" s="5" t="s">
        <v>242</v>
      </c>
      <c r="O814" s="5">
        <v>1</v>
      </c>
      <c r="P814" s="5" t="s">
        <v>294</v>
      </c>
      <c r="Q814" s="5" t="s">
        <v>613</v>
      </c>
      <c r="R814" s="5" t="s">
        <v>240</v>
      </c>
      <c r="S814" s="5" t="s">
        <v>240</v>
      </c>
      <c r="T814" s="5" t="s">
        <v>243</v>
      </c>
      <c r="U814" s="5" t="s">
        <v>244</v>
      </c>
      <c r="V814" s="5" t="s">
        <v>240</v>
      </c>
      <c r="Y814" s="5" t="s">
        <v>240</v>
      </c>
      <c r="Z814" s="6" t="s">
        <v>298</v>
      </c>
      <c r="AB814" s="6" t="s">
        <v>240</v>
      </c>
      <c r="AE814" s="6" t="s">
        <v>299</v>
      </c>
      <c r="AF814" s="5" t="s">
        <v>248</v>
      </c>
      <c r="AG814" s="5" t="s">
        <v>249</v>
      </c>
      <c r="AW814" s="5" t="s">
        <v>251</v>
      </c>
      <c r="AX814" s="5" t="s">
        <v>240</v>
      </c>
      <c r="AY814" s="5" t="s">
        <v>253</v>
      </c>
      <c r="AZ814" s="5" t="s">
        <v>240</v>
      </c>
      <c r="BA814" s="5" t="s">
        <v>255</v>
      </c>
      <c r="BB814" s="5" t="s">
        <v>240</v>
      </c>
      <c r="BD814" s="5" t="s">
        <v>686</v>
      </c>
      <c r="BF814" s="5" t="s">
        <v>301</v>
      </c>
      <c r="BG814" s="6" t="s">
        <v>299</v>
      </c>
      <c r="BH814" s="5" t="s">
        <v>302</v>
      </c>
      <c r="BI814" s="5" t="s">
        <v>303</v>
      </c>
      <c r="BJ814" s="5" t="s">
        <v>240</v>
      </c>
      <c r="BK814" s="8">
        <f>0</f>
        <v>0</v>
      </c>
      <c r="BL814" s="7">
        <f>0</f>
        <v>0</v>
      </c>
      <c r="BM814" s="5" t="s">
        <v>258</v>
      </c>
      <c r="BN814" s="5" t="s">
        <v>259</v>
      </c>
      <c r="CB814" s="5" t="s">
        <v>240</v>
      </c>
      <c r="CC814" s="5" t="s">
        <v>240</v>
      </c>
      <c r="CG814" s="5" t="s">
        <v>617</v>
      </c>
      <c r="CH814" s="5" t="s">
        <v>305</v>
      </c>
      <c r="CI814" s="5" t="s">
        <v>240</v>
      </c>
      <c r="CL814" s="6" t="s">
        <v>261</v>
      </c>
      <c r="CM814" s="5" t="s">
        <v>240</v>
      </c>
      <c r="CN814" s="5" t="s">
        <v>263</v>
      </c>
      <c r="CO814" s="5" t="s">
        <v>240</v>
      </c>
      <c r="CP814" s="5" t="s">
        <v>240</v>
      </c>
      <c r="CQ814" s="5">
        <v>0</v>
      </c>
      <c r="CR814" s="5" t="s">
        <v>306</v>
      </c>
      <c r="CS814" s="5" t="s">
        <v>307</v>
      </c>
      <c r="CT814" s="5" t="s">
        <v>307</v>
      </c>
      <c r="CU814" s="5" t="s">
        <v>260</v>
      </c>
      <c r="CX814" s="7">
        <f>2600410</f>
        <v>2600410</v>
      </c>
      <c r="CY814" s="7">
        <f>0</f>
        <v>0</v>
      </c>
      <c r="DA814" s="7">
        <f>0</f>
        <v>0</v>
      </c>
      <c r="DC814" s="5" t="s">
        <v>689</v>
      </c>
      <c r="DD814" s="5" t="s">
        <v>240</v>
      </c>
      <c r="DF814" s="5" t="s">
        <v>689</v>
      </c>
      <c r="DG814" s="7">
        <f>1174</f>
        <v>1174</v>
      </c>
      <c r="DH814" s="6" t="s">
        <v>1751</v>
      </c>
      <c r="DI814" s="5" t="s">
        <v>618</v>
      </c>
      <c r="DJ814" s="5" t="s">
        <v>240</v>
      </c>
      <c r="DK814" s="5" t="s">
        <v>240</v>
      </c>
      <c r="DL814" s="5" t="s">
        <v>240</v>
      </c>
      <c r="DP814" s="5" t="s">
        <v>240</v>
      </c>
      <c r="DQ814" s="5" t="s">
        <v>240</v>
      </c>
      <c r="DR814" s="5" t="s">
        <v>240</v>
      </c>
      <c r="DS814" s="5" t="s">
        <v>240</v>
      </c>
      <c r="DV814" s="5" t="s">
        <v>1749</v>
      </c>
      <c r="DW814" s="5" t="s">
        <v>312</v>
      </c>
      <c r="HO814" s="5" t="s">
        <v>312</v>
      </c>
    </row>
    <row r="815" spans="1:240" x14ac:dyDescent="0.4">
      <c r="A815" s="5">
        <v>2490</v>
      </c>
      <c r="B815" s="5">
        <v>1</v>
      </c>
      <c r="C815" s="5">
        <v>1</v>
      </c>
      <c r="D815" s="5" t="s">
        <v>297</v>
      </c>
      <c r="E815" s="5" t="s">
        <v>245</v>
      </c>
      <c r="F815" s="5" t="s">
        <v>254</v>
      </c>
      <c r="G815" s="5" t="s">
        <v>240</v>
      </c>
      <c r="H815" s="6" t="s">
        <v>1995</v>
      </c>
      <c r="I815" s="5" t="s">
        <v>295</v>
      </c>
      <c r="J815" s="8">
        <f>931</f>
        <v>931</v>
      </c>
      <c r="K815" s="5" t="s">
        <v>308</v>
      </c>
      <c r="L815" s="7">
        <f>1</f>
        <v>1</v>
      </c>
      <c r="M815" s="7">
        <f>1</f>
        <v>1</v>
      </c>
      <c r="N815" s="5" t="s">
        <v>242</v>
      </c>
      <c r="O815" s="5">
        <v>1</v>
      </c>
      <c r="P815" s="5" t="s">
        <v>294</v>
      </c>
      <c r="Q815" s="5" t="s">
        <v>613</v>
      </c>
      <c r="R815" s="5" t="s">
        <v>240</v>
      </c>
      <c r="S815" s="5" t="s">
        <v>240</v>
      </c>
      <c r="T815" s="5" t="s">
        <v>243</v>
      </c>
      <c r="U815" s="5" t="s">
        <v>244</v>
      </c>
      <c r="V815" s="5" t="s">
        <v>240</v>
      </c>
      <c r="Y815" s="5" t="s">
        <v>240</v>
      </c>
      <c r="Z815" s="6" t="s">
        <v>298</v>
      </c>
      <c r="AB815" s="6" t="s">
        <v>240</v>
      </c>
      <c r="AE815" s="6" t="s">
        <v>299</v>
      </c>
      <c r="AF815" s="5" t="s">
        <v>248</v>
      </c>
      <c r="AG815" s="5" t="s">
        <v>249</v>
      </c>
      <c r="AW815" s="5" t="s">
        <v>251</v>
      </c>
      <c r="AX815" s="5" t="s">
        <v>240</v>
      </c>
      <c r="AY815" s="5" t="s">
        <v>253</v>
      </c>
      <c r="AZ815" s="5" t="s">
        <v>240</v>
      </c>
      <c r="BA815" s="5" t="s">
        <v>255</v>
      </c>
      <c r="BB815" s="5" t="s">
        <v>240</v>
      </c>
      <c r="BD815" s="5" t="s">
        <v>686</v>
      </c>
      <c r="BF815" s="5" t="s">
        <v>301</v>
      </c>
      <c r="BG815" s="6" t="s">
        <v>299</v>
      </c>
      <c r="BH815" s="5" t="s">
        <v>302</v>
      </c>
      <c r="BI815" s="5" t="s">
        <v>303</v>
      </c>
      <c r="BJ815" s="5" t="s">
        <v>240</v>
      </c>
      <c r="BK815" s="8">
        <f>0</f>
        <v>0</v>
      </c>
      <c r="BL815" s="7">
        <f>0</f>
        <v>0</v>
      </c>
      <c r="BM815" s="5" t="s">
        <v>258</v>
      </c>
      <c r="BN815" s="5" t="s">
        <v>259</v>
      </c>
      <c r="CB815" s="5" t="s">
        <v>240</v>
      </c>
      <c r="CC815" s="5" t="s">
        <v>240</v>
      </c>
      <c r="CG815" s="5" t="s">
        <v>617</v>
      </c>
      <c r="CH815" s="5" t="s">
        <v>305</v>
      </c>
      <c r="CI815" s="5" t="s">
        <v>240</v>
      </c>
      <c r="CL815" s="6" t="s">
        <v>261</v>
      </c>
      <c r="CM815" s="5" t="s">
        <v>240</v>
      </c>
      <c r="CN815" s="5" t="s">
        <v>263</v>
      </c>
      <c r="CO815" s="5" t="s">
        <v>240</v>
      </c>
      <c r="CP815" s="5" t="s">
        <v>240</v>
      </c>
      <c r="CQ815" s="5">
        <v>0</v>
      </c>
      <c r="CR815" s="5" t="s">
        <v>306</v>
      </c>
      <c r="CS815" s="5" t="s">
        <v>307</v>
      </c>
      <c r="CT815" s="5" t="s">
        <v>307</v>
      </c>
      <c r="CU815" s="5" t="s">
        <v>260</v>
      </c>
      <c r="CX815" s="7">
        <f>5497630</f>
        <v>5497630</v>
      </c>
      <c r="CY815" s="7">
        <f>0</f>
        <v>0</v>
      </c>
      <c r="DA815" s="7">
        <f>0</f>
        <v>0</v>
      </c>
      <c r="DC815" s="5" t="s">
        <v>689</v>
      </c>
      <c r="DD815" s="5" t="s">
        <v>240</v>
      </c>
      <c r="DF815" s="5" t="s">
        <v>689</v>
      </c>
      <c r="DG815" s="7">
        <f>2482</f>
        <v>2482</v>
      </c>
      <c r="DH815" s="6" t="s">
        <v>1751</v>
      </c>
      <c r="DI815" s="5" t="s">
        <v>618</v>
      </c>
      <c r="DJ815" s="5" t="s">
        <v>240</v>
      </c>
      <c r="DK815" s="5" t="s">
        <v>240</v>
      </c>
      <c r="DL815" s="5" t="s">
        <v>240</v>
      </c>
      <c r="DP815" s="5" t="s">
        <v>240</v>
      </c>
      <c r="DQ815" s="5" t="s">
        <v>240</v>
      </c>
      <c r="DR815" s="5" t="s">
        <v>240</v>
      </c>
      <c r="DS815" s="5" t="s">
        <v>240</v>
      </c>
      <c r="DV815" s="5" t="s">
        <v>1756</v>
      </c>
      <c r="DW815" s="5" t="s">
        <v>312</v>
      </c>
      <c r="HO815" s="5" t="s">
        <v>312</v>
      </c>
    </row>
    <row r="816" spans="1:240" x14ac:dyDescent="0.4">
      <c r="A816" s="5">
        <v>2491</v>
      </c>
      <c r="B816" s="5">
        <v>1</v>
      </c>
      <c r="C816" s="5">
        <v>1</v>
      </c>
      <c r="D816" s="5" t="s">
        <v>297</v>
      </c>
      <c r="E816" s="5" t="s">
        <v>245</v>
      </c>
      <c r="F816" s="5" t="s">
        <v>254</v>
      </c>
      <c r="G816" s="5" t="s">
        <v>240</v>
      </c>
      <c r="H816" s="6" t="s">
        <v>1990</v>
      </c>
      <c r="I816" s="5" t="s">
        <v>295</v>
      </c>
      <c r="J816" s="8">
        <f>497</f>
        <v>497</v>
      </c>
      <c r="K816" s="5" t="s">
        <v>308</v>
      </c>
      <c r="L816" s="7">
        <f>1</f>
        <v>1</v>
      </c>
      <c r="M816" s="7">
        <f>1</f>
        <v>1</v>
      </c>
      <c r="N816" s="5" t="s">
        <v>242</v>
      </c>
      <c r="O816" s="5">
        <v>1</v>
      </c>
      <c r="P816" s="5" t="s">
        <v>294</v>
      </c>
      <c r="Q816" s="5" t="s">
        <v>613</v>
      </c>
      <c r="R816" s="5" t="s">
        <v>240</v>
      </c>
      <c r="S816" s="5" t="s">
        <v>240</v>
      </c>
      <c r="T816" s="5" t="s">
        <v>243</v>
      </c>
      <c r="U816" s="5" t="s">
        <v>244</v>
      </c>
      <c r="V816" s="5" t="s">
        <v>240</v>
      </c>
      <c r="Y816" s="5" t="s">
        <v>240</v>
      </c>
      <c r="Z816" s="6" t="s">
        <v>298</v>
      </c>
      <c r="AB816" s="6" t="s">
        <v>240</v>
      </c>
      <c r="AE816" s="6" t="s">
        <v>299</v>
      </c>
      <c r="AF816" s="5" t="s">
        <v>248</v>
      </c>
      <c r="AG816" s="5" t="s">
        <v>249</v>
      </c>
      <c r="AW816" s="5" t="s">
        <v>251</v>
      </c>
      <c r="AX816" s="5" t="s">
        <v>240</v>
      </c>
      <c r="AY816" s="5" t="s">
        <v>253</v>
      </c>
      <c r="AZ816" s="5" t="s">
        <v>240</v>
      </c>
      <c r="BA816" s="5" t="s">
        <v>255</v>
      </c>
      <c r="BB816" s="5" t="s">
        <v>240</v>
      </c>
      <c r="BD816" s="5" t="s">
        <v>686</v>
      </c>
      <c r="BF816" s="5" t="s">
        <v>301</v>
      </c>
      <c r="BG816" s="6" t="s">
        <v>299</v>
      </c>
      <c r="BH816" s="5" t="s">
        <v>302</v>
      </c>
      <c r="BI816" s="5" t="s">
        <v>303</v>
      </c>
      <c r="BJ816" s="5" t="s">
        <v>240</v>
      </c>
      <c r="BK816" s="8">
        <f>0</f>
        <v>0</v>
      </c>
      <c r="BL816" s="7">
        <f>0</f>
        <v>0</v>
      </c>
      <c r="BM816" s="5" t="s">
        <v>258</v>
      </c>
      <c r="BN816" s="5" t="s">
        <v>259</v>
      </c>
      <c r="CB816" s="5" t="s">
        <v>240</v>
      </c>
      <c r="CC816" s="5" t="s">
        <v>240</v>
      </c>
      <c r="CG816" s="5" t="s">
        <v>617</v>
      </c>
      <c r="CH816" s="5" t="s">
        <v>305</v>
      </c>
      <c r="CI816" s="5" t="s">
        <v>240</v>
      </c>
      <c r="CL816" s="6" t="s">
        <v>261</v>
      </c>
      <c r="CM816" s="5" t="s">
        <v>240</v>
      </c>
      <c r="CN816" s="5" t="s">
        <v>263</v>
      </c>
      <c r="CO816" s="5" t="s">
        <v>240</v>
      </c>
      <c r="CP816" s="5" t="s">
        <v>240</v>
      </c>
      <c r="CQ816" s="5">
        <v>0</v>
      </c>
      <c r="CR816" s="5" t="s">
        <v>306</v>
      </c>
      <c r="CS816" s="5" t="s">
        <v>307</v>
      </c>
      <c r="CT816" s="5" t="s">
        <v>307</v>
      </c>
      <c r="CU816" s="5" t="s">
        <v>260</v>
      </c>
      <c r="CX816" s="7">
        <f>717660</f>
        <v>717660</v>
      </c>
      <c r="CY816" s="7">
        <f>0</f>
        <v>0</v>
      </c>
      <c r="DA816" s="7">
        <f>0</f>
        <v>0</v>
      </c>
      <c r="DC816" s="5" t="s">
        <v>689</v>
      </c>
      <c r="DD816" s="5" t="s">
        <v>240</v>
      </c>
      <c r="DF816" s="5" t="s">
        <v>1247</v>
      </c>
      <c r="DG816" s="7">
        <f>324</f>
        <v>324</v>
      </c>
      <c r="DH816" s="6" t="s">
        <v>1761</v>
      </c>
      <c r="DI816" s="5" t="s">
        <v>618</v>
      </c>
      <c r="DJ816" s="5" t="s">
        <v>240</v>
      </c>
      <c r="DK816" s="5" t="s">
        <v>240</v>
      </c>
      <c r="DL816" s="5" t="s">
        <v>240</v>
      </c>
      <c r="DP816" s="5" t="s">
        <v>240</v>
      </c>
      <c r="DQ816" s="5" t="s">
        <v>240</v>
      </c>
      <c r="DR816" s="5" t="s">
        <v>240</v>
      </c>
      <c r="DS816" s="5" t="s">
        <v>240</v>
      </c>
      <c r="DV816" s="5" t="s">
        <v>1762</v>
      </c>
      <c r="DW816" s="5" t="s">
        <v>312</v>
      </c>
      <c r="HO816" s="5" t="s">
        <v>312</v>
      </c>
    </row>
    <row r="817" spans="1:223" x14ac:dyDescent="0.4">
      <c r="A817" s="5">
        <v>2492</v>
      </c>
      <c r="B817" s="5">
        <v>1</v>
      </c>
      <c r="C817" s="5">
        <v>1</v>
      </c>
      <c r="D817" s="5" t="s">
        <v>297</v>
      </c>
      <c r="E817" s="5" t="s">
        <v>245</v>
      </c>
      <c r="F817" s="5" t="s">
        <v>254</v>
      </c>
      <c r="G817" s="5" t="s">
        <v>240</v>
      </c>
      <c r="H817" s="6" t="s">
        <v>1988</v>
      </c>
      <c r="I817" s="5" t="s">
        <v>295</v>
      </c>
      <c r="J817" s="8">
        <f>1453</f>
        <v>1453</v>
      </c>
      <c r="K817" s="5" t="s">
        <v>308</v>
      </c>
      <c r="L817" s="7">
        <f>1</f>
        <v>1</v>
      </c>
      <c r="M817" s="7">
        <f>1</f>
        <v>1</v>
      </c>
      <c r="N817" s="5" t="s">
        <v>242</v>
      </c>
      <c r="O817" s="5">
        <v>1</v>
      </c>
      <c r="P817" s="5" t="s">
        <v>294</v>
      </c>
      <c r="Q817" s="5" t="s">
        <v>613</v>
      </c>
      <c r="R817" s="5" t="s">
        <v>240</v>
      </c>
      <c r="S817" s="5" t="s">
        <v>240</v>
      </c>
      <c r="T817" s="5" t="s">
        <v>243</v>
      </c>
      <c r="U817" s="5" t="s">
        <v>244</v>
      </c>
      <c r="V817" s="5" t="s">
        <v>240</v>
      </c>
      <c r="Y817" s="5" t="s">
        <v>240</v>
      </c>
      <c r="Z817" s="6" t="s">
        <v>298</v>
      </c>
      <c r="AB817" s="6" t="s">
        <v>240</v>
      </c>
      <c r="AE817" s="6" t="s">
        <v>299</v>
      </c>
      <c r="AF817" s="5" t="s">
        <v>248</v>
      </c>
      <c r="AG817" s="5" t="s">
        <v>249</v>
      </c>
      <c r="AW817" s="5" t="s">
        <v>251</v>
      </c>
      <c r="AX817" s="5" t="s">
        <v>240</v>
      </c>
      <c r="AY817" s="5" t="s">
        <v>253</v>
      </c>
      <c r="AZ817" s="5" t="s">
        <v>240</v>
      </c>
      <c r="BA817" s="5" t="s">
        <v>255</v>
      </c>
      <c r="BB817" s="5" t="s">
        <v>240</v>
      </c>
      <c r="BD817" s="5" t="s">
        <v>240</v>
      </c>
      <c r="BF817" s="5" t="s">
        <v>301</v>
      </c>
      <c r="BG817" s="6" t="s">
        <v>299</v>
      </c>
      <c r="BH817" s="5" t="s">
        <v>302</v>
      </c>
      <c r="BI817" s="5" t="s">
        <v>303</v>
      </c>
      <c r="BJ817" s="5" t="s">
        <v>240</v>
      </c>
      <c r="BK817" s="8">
        <f>0</f>
        <v>0</v>
      </c>
      <c r="BL817" s="7">
        <f>0</f>
        <v>0</v>
      </c>
      <c r="BM817" s="5" t="s">
        <v>258</v>
      </c>
      <c r="BN817" s="5" t="s">
        <v>259</v>
      </c>
      <c r="CB817" s="5" t="s">
        <v>240</v>
      </c>
      <c r="CC817" s="5" t="s">
        <v>240</v>
      </c>
      <c r="CG817" s="5" t="s">
        <v>617</v>
      </c>
      <c r="CH817" s="5" t="s">
        <v>305</v>
      </c>
      <c r="CI817" s="5" t="s">
        <v>240</v>
      </c>
      <c r="CL817" s="6" t="s">
        <v>261</v>
      </c>
      <c r="CM817" s="5" t="s">
        <v>240</v>
      </c>
      <c r="CN817" s="5" t="s">
        <v>263</v>
      </c>
      <c r="CO817" s="5" t="s">
        <v>240</v>
      </c>
      <c r="CP817" s="5" t="s">
        <v>240</v>
      </c>
      <c r="CQ817" s="5">
        <v>0</v>
      </c>
      <c r="CR817" s="5" t="s">
        <v>306</v>
      </c>
      <c r="CS817" s="5" t="s">
        <v>307</v>
      </c>
      <c r="CT817" s="5" t="s">
        <v>307</v>
      </c>
      <c r="CU817" s="5" t="s">
        <v>260</v>
      </c>
      <c r="CX817" s="7">
        <f>823980</f>
        <v>823980</v>
      </c>
      <c r="CY817" s="7">
        <f>0</f>
        <v>0</v>
      </c>
      <c r="DA817" s="7">
        <f>0</f>
        <v>0</v>
      </c>
      <c r="DC817" s="5" t="s">
        <v>689</v>
      </c>
      <c r="DD817" s="5" t="s">
        <v>240</v>
      </c>
      <c r="DF817" s="5" t="s">
        <v>689</v>
      </c>
      <c r="DG817" s="7">
        <f>372</f>
        <v>372</v>
      </c>
      <c r="DI817" s="5" t="s">
        <v>618</v>
      </c>
      <c r="DJ817" s="5" t="s">
        <v>240</v>
      </c>
      <c r="DK817" s="5" t="s">
        <v>240</v>
      </c>
      <c r="DL817" s="5" t="s">
        <v>240</v>
      </c>
      <c r="DP817" s="5" t="s">
        <v>240</v>
      </c>
      <c r="DQ817" s="5" t="s">
        <v>240</v>
      </c>
      <c r="DR817" s="5" t="s">
        <v>240</v>
      </c>
      <c r="DS817" s="5" t="s">
        <v>240</v>
      </c>
      <c r="DV817" s="5" t="s">
        <v>1766</v>
      </c>
      <c r="DW817" s="5" t="s">
        <v>620</v>
      </c>
      <c r="HO817" s="5" t="s">
        <v>312</v>
      </c>
    </row>
    <row r="818" spans="1:223" x14ac:dyDescent="0.4">
      <c r="A818" s="5">
        <v>2493</v>
      </c>
      <c r="B818" s="5">
        <v>1</v>
      </c>
      <c r="C818" s="5">
        <v>1</v>
      </c>
      <c r="D818" s="5" t="s">
        <v>297</v>
      </c>
      <c r="E818" s="5" t="s">
        <v>245</v>
      </c>
      <c r="F818" s="5" t="s">
        <v>254</v>
      </c>
      <c r="G818" s="5" t="s">
        <v>240</v>
      </c>
      <c r="H818" s="6" t="s">
        <v>1718</v>
      </c>
      <c r="I818" s="5" t="s">
        <v>295</v>
      </c>
      <c r="J818" s="8">
        <f>466</f>
        <v>466</v>
      </c>
      <c r="K818" s="5" t="s">
        <v>308</v>
      </c>
      <c r="L818" s="7">
        <f>1</f>
        <v>1</v>
      </c>
      <c r="M818" s="7">
        <f>1</f>
        <v>1</v>
      </c>
      <c r="N818" s="5" t="s">
        <v>242</v>
      </c>
      <c r="O818" s="5">
        <v>1</v>
      </c>
      <c r="P818" s="5" t="s">
        <v>294</v>
      </c>
      <c r="Q818" s="5" t="s">
        <v>613</v>
      </c>
      <c r="R818" s="5" t="s">
        <v>240</v>
      </c>
      <c r="S818" s="5" t="s">
        <v>240</v>
      </c>
      <c r="T818" s="5" t="s">
        <v>243</v>
      </c>
      <c r="U818" s="5" t="s">
        <v>244</v>
      </c>
      <c r="V818" s="5" t="s">
        <v>240</v>
      </c>
      <c r="Y818" s="5" t="s">
        <v>240</v>
      </c>
      <c r="Z818" s="6" t="s">
        <v>298</v>
      </c>
      <c r="AB818" s="6" t="s">
        <v>240</v>
      </c>
      <c r="AE818" s="6" t="s">
        <v>299</v>
      </c>
      <c r="AF818" s="5" t="s">
        <v>248</v>
      </c>
      <c r="AG818" s="5" t="s">
        <v>249</v>
      </c>
      <c r="AW818" s="5" t="s">
        <v>251</v>
      </c>
      <c r="AX818" s="5" t="s">
        <v>240</v>
      </c>
      <c r="AY818" s="5" t="s">
        <v>253</v>
      </c>
      <c r="AZ818" s="5" t="s">
        <v>240</v>
      </c>
      <c r="BA818" s="5" t="s">
        <v>255</v>
      </c>
      <c r="BB818" s="5" t="s">
        <v>240</v>
      </c>
      <c r="BD818" s="5" t="s">
        <v>240</v>
      </c>
      <c r="BF818" s="5" t="s">
        <v>301</v>
      </c>
      <c r="BG818" s="6" t="s">
        <v>299</v>
      </c>
      <c r="BH818" s="5" t="s">
        <v>302</v>
      </c>
      <c r="BI818" s="5" t="s">
        <v>303</v>
      </c>
      <c r="BJ818" s="5" t="s">
        <v>240</v>
      </c>
      <c r="BK818" s="8">
        <f>0</f>
        <v>0</v>
      </c>
      <c r="BL818" s="7">
        <f>0</f>
        <v>0</v>
      </c>
      <c r="BM818" s="5" t="s">
        <v>258</v>
      </c>
      <c r="BN818" s="5" t="s">
        <v>259</v>
      </c>
      <c r="CB818" s="5" t="s">
        <v>240</v>
      </c>
      <c r="CC818" s="5" t="s">
        <v>240</v>
      </c>
      <c r="CG818" s="5" t="s">
        <v>617</v>
      </c>
      <c r="CH818" s="5" t="s">
        <v>305</v>
      </c>
      <c r="CI818" s="5" t="s">
        <v>240</v>
      </c>
      <c r="CL818" s="6" t="s">
        <v>261</v>
      </c>
      <c r="CM818" s="5" t="s">
        <v>240</v>
      </c>
      <c r="CN818" s="5" t="s">
        <v>263</v>
      </c>
      <c r="CO818" s="5" t="s">
        <v>240</v>
      </c>
      <c r="CP818" s="5" t="s">
        <v>240</v>
      </c>
      <c r="CQ818" s="5">
        <v>0</v>
      </c>
      <c r="CR818" s="5" t="s">
        <v>306</v>
      </c>
      <c r="CS818" s="5" t="s">
        <v>307</v>
      </c>
      <c r="CT818" s="5" t="s">
        <v>307</v>
      </c>
      <c r="CU818" s="5" t="s">
        <v>260</v>
      </c>
      <c r="CX818" s="7">
        <f>16289110</f>
        <v>16289110</v>
      </c>
      <c r="CY818" s="7">
        <f>0</f>
        <v>0</v>
      </c>
      <c r="DA818" s="7">
        <f>0</f>
        <v>0</v>
      </c>
      <c r="DC818" s="5" t="s">
        <v>689</v>
      </c>
      <c r="DD818" s="5" t="s">
        <v>240</v>
      </c>
      <c r="DF818" s="5" t="s">
        <v>689</v>
      </c>
      <c r="DG818" s="7">
        <f>7354</f>
        <v>7354</v>
      </c>
      <c r="DH818" s="6" t="s">
        <v>1768</v>
      </c>
      <c r="DI818" s="5" t="s">
        <v>618</v>
      </c>
      <c r="DJ818" s="5" t="s">
        <v>240</v>
      </c>
      <c r="DK818" s="5" t="s">
        <v>240</v>
      </c>
      <c r="DL818" s="5" t="s">
        <v>240</v>
      </c>
      <c r="DP818" s="5" t="s">
        <v>240</v>
      </c>
      <c r="DQ818" s="5" t="s">
        <v>240</v>
      </c>
      <c r="DR818" s="5" t="s">
        <v>240</v>
      </c>
      <c r="DS818" s="5" t="s">
        <v>240</v>
      </c>
      <c r="DV818" s="5" t="s">
        <v>1766</v>
      </c>
      <c r="DW818" s="5" t="s">
        <v>621</v>
      </c>
      <c r="HO818" s="5" t="s">
        <v>312</v>
      </c>
    </row>
    <row r="819" spans="1:223" x14ac:dyDescent="0.4">
      <c r="A819" s="5">
        <v>2494</v>
      </c>
      <c r="B819" s="5">
        <v>1</v>
      </c>
      <c r="C819" s="5">
        <v>1</v>
      </c>
      <c r="D819" s="5" t="s">
        <v>297</v>
      </c>
      <c r="E819" s="5" t="s">
        <v>245</v>
      </c>
      <c r="F819" s="5" t="s">
        <v>254</v>
      </c>
      <c r="G819" s="5" t="s">
        <v>240</v>
      </c>
      <c r="H819" s="6" t="s">
        <v>1675</v>
      </c>
      <c r="I819" s="5" t="s">
        <v>295</v>
      </c>
      <c r="J819" s="8">
        <f>3053</f>
        <v>3053</v>
      </c>
      <c r="K819" s="5" t="s">
        <v>308</v>
      </c>
      <c r="L819" s="7">
        <f>1</f>
        <v>1</v>
      </c>
      <c r="M819" s="7">
        <f>1</f>
        <v>1</v>
      </c>
      <c r="N819" s="5" t="s">
        <v>242</v>
      </c>
      <c r="O819" s="5">
        <v>1</v>
      </c>
      <c r="P819" s="5" t="s">
        <v>294</v>
      </c>
      <c r="Q819" s="5" t="s">
        <v>613</v>
      </c>
      <c r="R819" s="5" t="s">
        <v>240</v>
      </c>
      <c r="S819" s="5" t="s">
        <v>240</v>
      </c>
      <c r="T819" s="5" t="s">
        <v>243</v>
      </c>
      <c r="U819" s="5" t="s">
        <v>244</v>
      </c>
      <c r="V819" s="5" t="s">
        <v>240</v>
      </c>
      <c r="Y819" s="5" t="s">
        <v>240</v>
      </c>
      <c r="Z819" s="6" t="s">
        <v>298</v>
      </c>
      <c r="AB819" s="6" t="s">
        <v>240</v>
      </c>
      <c r="AE819" s="6" t="s">
        <v>299</v>
      </c>
      <c r="AF819" s="5" t="s">
        <v>248</v>
      </c>
      <c r="AG819" s="5" t="s">
        <v>249</v>
      </c>
      <c r="AW819" s="5" t="s">
        <v>251</v>
      </c>
      <c r="AX819" s="5" t="s">
        <v>240</v>
      </c>
      <c r="AY819" s="5" t="s">
        <v>253</v>
      </c>
      <c r="AZ819" s="5" t="s">
        <v>240</v>
      </c>
      <c r="BA819" s="5" t="s">
        <v>255</v>
      </c>
      <c r="BB819" s="5" t="s">
        <v>240</v>
      </c>
      <c r="BD819" s="5" t="s">
        <v>686</v>
      </c>
      <c r="BF819" s="5" t="s">
        <v>301</v>
      </c>
      <c r="BG819" s="6" t="s">
        <v>299</v>
      </c>
      <c r="BH819" s="5" t="s">
        <v>302</v>
      </c>
      <c r="BI819" s="5" t="s">
        <v>303</v>
      </c>
      <c r="BJ819" s="5" t="s">
        <v>240</v>
      </c>
      <c r="BK819" s="8">
        <f>0</f>
        <v>0</v>
      </c>
      <c r="BL819" s="7">
        <f>0</f>
        <v>0</v>
      </c>
      <c r="BM819" s="5" t="s">
        <v>258</v>
      </c>
      <c r="BN819" s="5" t="s">
        <v>259</v>
      </c>
      <c r="CB819" s="5" t="s">
        <v>240</v>
      </c>
      <c r="CC819" s="5" t="s">
        <v>240</v>
      </c>
      <c r="CG819" s="5" t="s">
        <v>617</v>
      </c>
      <c r="CH819" s="5" t="s">
        <v>305</v>
      </c>
      <c r="CI819" s="5" t="s">
        <v>240</v>
      </c>
      <c r="CL819" s="6" t="s">
        <v>261</v>
      </c>
      <c r="CM819" s="5" t="s">
        <v>240</v>
      </c>
      <c r="CN819" s="5" t="s">
        <v>263</v>
      </c>
      <c r="CO819" s="5" t="s">
        <v>240</v>
      </c>
      <c r="CP819" s="5" t="s">
        <v>240</v>
      </c>
      <c r="CQ819" s="5">
        <v>0</v>
      </c>
      <c r="CR819" s="5" t="s">
        <v>306</v>
      </c>
      <c r="CS819" s="5" t="s">
        <v>307</v>
      </c>
      <c r="CT819" s="5" t="s">
        <v>307</v>
      </c>
      <c r="CU819" s="5" t="s">
        <v>260</v>
      </c>
      <c r="CX819" s="7">
        <f>163910</f>
        <v>163910</v>
      </c>
      <c r="CY819" s="7">
        <f>0</f>
        <v>0</v>
      </c>
      <c r="DA819" s="7">
        <f>0</f>
        <v>0</v>
      </c>
      <c r="DC819" s="5" t="s">
        <v>689</v>
      </c>
      <c r="DD819" s="5" t="s">
        <v>240</v>
      </c>
      <c r="DF819" s="5" t="s">
        <v>689</v>
      </c>
      <c r="DG819" s="7">
        <f>74</f>
        <v>74</v>
      </c>
      <c r="DH819" s="6" t="s">
        <v>1768</v>
      </c>
      <c r="DI819" s="5" t="s">
        <v>618</v>
      </c>
      <c r="DJ819" s="5" t="s">
        <v>240</v>
      </c>
      <c r="DK819" s="5" t="s">
        <v>240</v>
      </c>
      <c r="DL819" s="5" t="s">
        <v>240</v>
      </c>
      <c r="DP819" s="5" t="s">
        <v>240</v>
      </c>
      <c r="DQ819" s="5" t="s">
        <v>240</v>
      </c>
      <c r="DR819" s="5" t="s">
        <v>240</v>
      </c>
      <c r="DS819" s="5" t="s">
        <v>240</v>
      </c>
      <c r="DV819" s="5" t="s">
        <v>1766</v>
      </c>
      <c r="DW819" s="5" t="s">
        <v>312</v>
      </c>
      <c r="HO819" s="5" t="s">
        <v>312</v>
      </c>
    </row>
    <row r="820" spans="1:223" x14ac:dyDescent="0.4">
      <c r="A820" s="5">
        <v>2495</v>
      </c>
      <c r="B820" s="5">
        <v>1</v>
      </c>
      <c r="C820" s="5">
        <v>1</v>
      </c>
      <c r="D820" s="5" t="s">
        <v>297</v>
      </c>
      <c r="E820" s="5" t="s">
        <v>245</v>
      </c>
      <c r="F820" s="5" t="s">
        <v>254</v>
      </c>
      <c r="G820" s="5" t="s">
        <v>240</v>
      </c>
      <c r="H820" s="6" t="s">
        <v>826</v>
      </c>
      <c r="I820" s="5" t="s">
        <v>295</v>
      </c>
      <c r="J820" s="8">
        <f>1645</f>
        <v>1645</v>
      </c>
      <c r="K820" s="5" t="s">
        <v>308</v>
      </c>
      <c r="L820" s="7">
        <f>1</f>
        <v>1</v>
      </c>
      <c r="M820" s="7">
        <f>1</f>
        <v>1</v>
      </c>
      <c r="N820" s="5" t="s">
        <v>242</v>
      </c>
      <c r="O820" s="5">
        <v>1</v>
      </c>
      <c r="P820" s="5" t="s">
        <v>294</v>
      </c>
      <c r="Q820" s="5" t="s">
        <v>613</v>
      </c>
      <c r="R820" s="5" t="s">
        <v>240</v>
      </c>
      <c r="S820" s="5" t="s">
        <v>240</v>
      </c>
      <c r="T820" s="5" t="s">
        <v>243</v>
      </c>
      <c r="U820" s="5" t="s">
        <v>244</v>
      </c>
      <c r="V820" s="5" t="s">
        <v>240</v>
      </c>
      <c r="Y820" s="5" t="s">
        <v>240</v>
      </c>
      <c r="Z820" s="6" t="s">
        <v>298</v>
      </c>
      <c r="AB820" s="6" t="s">
        <v>240</v>
      </c>
      <c r="AE820" s="6" t="s">
        <v>299</v>
      </c>
      <c r="AF820" s="5" t="s">
        <v>248</v>
      </c>
      <c r="AG820" s="5" t="s">
        <v>249</v>
      </c>
      <c r="AW820" s="5" t="s">
        <v>251</v>
      </c>
      <c r="AX820" s="5" t="s">
        <v>240</v>
      </c>
      <c r="AY820" s="5" t="s">
        <v>253</v>
      </c>
      <c r="AZ820" s="5" t="s">
        <v>240</v>
      </c>
      <c r="BA820" s="5" t="s">
        <v>255</v>
      </c>
      <c r="BB820" s="5" t="s">
        <v>240</v>
      </c>
      <c r="BD820" s="5" t="s">
        <v>240</v>
      </c>
      <c r="BF820" s="5" t="s">
        <v>301</v>
      </c>
      <c r="BG820" s="6" t="s">
        <v>299</v>
      </c>
      <c r="BH820" s="5" t="s">
        <v>302</v>
      </c>
      <c r="BI820" s="5" t="s">
        <v>303</v>
      </c>
      <c r="BJ820" s="5" t="s">
        <v>240</v>
      </c>
      <c r="BK820" s="8">
        <f>0</f>
        <v>0</v>
      </c>
      <c r="BL820" s="7">
        <f>0</f>
        <v>0</v>
      </c>
      <c r="BM820" s="5" t="s">
        <v>258</v>
      </c>
      <c r="BN820" s="5" t="s">
        <v>259</v>
      </c>
      <c r="CB820" s="5" t="s">
        <v>240</v>
      </c>
      <c r="CC820" s="5" t="s">
        <v>240</v>
      </c>
      <c r="CG820" s="5" t="s">
        <v>617</v>
      </c>
      <c r="CH820" s="5" t="s">
        <v>305</v>
      </c>
      <c r="CI820" s="5" t="s">
        <v>240</v>
      </c>
      <c r="CL820" s="6" t="s">
        <v>261</v>
      </c>
      <c r="CM820" s="5" t="s">
        <v>240</v>
      </c>
      <c r="CN820" s="5" t="s">
        <v>263</v>
      </c>
      <c r="CO820" s="5" t="s">
        <v>240</v>
      </c>
      <c r="CP820" s="5" t="s">
        <v>240</v>
      </c>
      <c r="CQ820" s="5">
        <v>0</v>
      </c>
      <c r="CR820" s="5" t="s">
        <v>306</v>
      </c>
      <c r="CS820" s="5" t="s">
        <v>307</v>
      </c>
      <c r="CT820" s="5" t="s">
        <v>307</v>
      </c>
      <c r="CU820" s="5" t="s">
        <v>260</v>
      </c>
      <c r="CX820" s="7">
        <f>1326785</f>
        <v>1326785</v>
      </c>
      <c r="CY820" s="7">
        <f>0</f>
        <v>0</v>
      </c>
      <c r="DA820" s="7">
        <f>0</f>
        <v>0</v>
      </c>
      <c r="DC820" s="5" t="s">
        <v>689</v>
      </c>
      <c r="DD820" s="5" t="s">
        <v>240</v>
      </c>
      <c r="DF820" s="5" t="s">
        <v>689</v>
      </c>
      <c r="DG820" s="7">
        <f>599</f>
        <v>599</v>
      </c>
      <c r="DH820" s="6" t="s">
        <v>1773</v>
      </c>
      <c r="DI820" s="5" t="s">
        <v>618</v>
      </c>
      <c r="DJ820" s="5" t="s">
        <v>240</v>
      </c>
      <c r="DK820" s="5" t="s">
        <v>240</v>
      </c>
      <c r="DL820" s="5" t="s">
        <v>240</v>
      </c>
      <c r="DP820" s="5" t="s">
        <v>240</v>
      </c>
      <c r="DQ820" s="5" t="s">
        <v>240</v>
      </c>
      <c r="DR820" s="5" t="s">
        <v>240</v>
      </c>
      <c r="DS820" s="5" t="s">
        <v>240</v>
      </c>
      <c r="DV820" s="5" t="s">
        <v>1774</v>
      </c>
      <c r="DW820" s="5" t="s">
        <v>621</v>
      </c>
      <c r="HO820" s="5" t="s">
        <v>312</v>
      </c>
    </row>
    <row r="821" spans="1:223" x14ac:dyDescent="0.4">
      <c r="A821" s="5">
        <v>2496</v>
      </c>
      <c r="B821" s="5">
        <v>1</v>
      </c>
      <c r="C821" s="5">
        <v>1</v>
      </c>
      <c r="D821" s="5" t="s">
        <v>297</v>
      </c>
      <c r="E821" s="5" t="s">
        <v>245</v>
      </c>
      <c r="F821" s="5" t="s">
        <v>254</v>
      </c>
      <c r="G821" s="5" t="s">
        <v>240</v>
      </c>
      <c r="H821" s="6" t="s">
        <v>805</v>
      </c>
      <c r="I821" s="5" t="s">
        <v>295</v>
      </c>
      <c r="J821" s="8">
        <f>1389</f>
        <v>1389</v>
      </c>
      <c r="K821" s="5" t="s">
        <v>308</v>
      </c>
      <c r="L821" s="7">
        <f>1</f>
        <v>1</v>
      </c>
      <c r="M821" s="7">
        <f>1</f>
        <v>1</v>
      </c>
      <c r="N821" s="5" t="s">
        <v>242</v>
      </c>
      <c r="O821" s="5">
        <v>1</v>
      </c>
      <c r="P821" s="5" t="s">
        <v>294</v>
      </c>
      <c r="Q821" s="5" t="s">
        <v>613</v>
      </c>
      <c r="R821" s="5" t="s">
        <v>240</v>
      </c>
      <c r="S821" s="5" t="s">
        <v>240</v>
      </c>
      <c r="T821" s="5" t="s">
        <v>243</v>
      </c>
      <c r="U821" s="5" t="s">
        <v>244</v>
      </c>
      <c r="V821" s="5" t="s">
        <v>240</v>
      </c>
      <c r="Y821" s="5" t="s">
        <v>240</v>
      </c>
      <c r="Z821" s="6" t="s">
        <v>298</v>
      </c>
      <c r="AB821" s="6" t="s">
        <v>240</v>
      </c>
      <c r="AE821" s="6" t="s">
        <v>299</v>
      </c>
      <c r="AF821" s="5" t="s">
        <v>248</v>
      </c>
      <c r="AG821" s="5" t="s">
        <v>249</v>
      </c>
      <c r="AW821" s="5" t="s">
        <v>251</v>
      </c>
      <c r="AX821" s="5" t="s">
        <v>240</v>
      </c>
      <c r="AY821" s="5" t="s">
        <v>253</v>
      </c>
      <c r="AZ821" s="5" t="s">
        <v>240</v>
      </c>
      <c r="BA821" s="5" t="s">
        <v>255</v>
      </c>
      <c r="BB821" s="5" t="s">
        <v>240</v>
      </c>
      <c r="BD821" s="5" t="s">
        <v>240</v>
      </c>
      <c r="BF821" s="5" t="s">
        <v>301</v>
      </c>
      <c r="BG821" s="6" t="s">
        <v>299</v>
      </c>
      <c r="BH821" s="5" t="s">
        <v>302</v>
      </c>
      <c r="BI821" s="5" t="s">
        <v>303</v>
      </c>
      <c r="BJ821" s="5" t="s">
        <v>240</v>
      </c>
      <c r="BK821" s="8">
        <f>0</f>
        <v>0</v>
      </c>
      <c r="BL821" s="7">
        <f>0</f>
        <v>0</v>
      </c>
      <c r="BM821" s="5" t="s">
        <v>258</v>
      </c>
      <c r="BN821" s="5" t="s">
        <v>259</v>
      </c>
      <c r="CB821" s="5" t="s">
        <v>240</v>
      </c>
      <c r="CC821" s="5" t="s">
        <v>240</v>
      </c>
      <c r="CG821" s="5" t="s">
        <v>617</v>
      </c>
      <c r="CH821" s="5" t="s">
        <v>305</v>
      </c>
      <c r="CI821" s="5" t="s">
        <v>240</v>
      </c>
      <c r="CL821" s="6" t="s">
        <v>261</v>
      </c>
      <c r="CM821" s="5" t="s">
        <v>240</v>
      </c>
      <c r="CN821" s="5" t="s">
        <v>263</v>
      </c>
      <c r="CO821" s="5" t="s">
        <v>240</v>
      </c>
      <c r="CP821" s="5" t="s">
        <v>240</v>
      </c>
      <c r="CQ821" s="5">
        <v>0</v>
      </c>
      <c r="CR821" s="5" t="s">
        <v>306</v>
      </c>
      <c r="CS821" s="5" t="s">
        <v>307</v>
      </c>
      <c r="CT821" s="5" t="s">
        <v>307</v>
      </c>
      <c r="CU821" s="5" t="s">
        <v>260</v>
      </c>
      <c r="CX821" s="7">
        <f>1687830</f>
        <v>1687830</v>
      </c>
      <c r="CY821" s="7">
        <f>0</f>
        <v>0</v>
      </c>
      <c r="DA821" s="7">
        <f>0</f>
        <v>0</v>
      </c>
      <c r="DC821" s="5" t="s">
        <v>689</v>
      </c>
      <c r="DD821" s="5" t="s">
        <v>240</v>
      </c>
      <c r="DF821" s="5" t="s">
        <v>689</v>
      </c>
      <c r="DG821" s="7">
        <f>762</f>
        <v>762</v>
      </c>
      <c r="DH821" s="6" t="s">
        <v>1778</v>
      </c>
      <c r="DI821" s="5" t="s">
        <v>618</v>
      </c>
      <c r="DJ821" s="5" t="s">
        <v>240</v>
      </c>
      <c r="DK821" s="5" t="s">
        <v>240</v>
      </c>
      <c r="DL821" s="5" t="s">
        <v>240</v>
      </c>
      <c r="DP821" s="5" t="s">
        <v>240</v>
      </c>
      <c r="DQ821" s="5" t="s">
        <v>240</v>
      </c>
      <c r="DR821" s="5" t="s">
        <v>240</v>
      </c>
      <c r="DS821" s="5" t="s">
        <v>240</v>
      </c>
      <c r="DV821" s="5" t="s">
        <v>1779</v>
      </c>
      <c r="DW821" s="5" t="s">
        <v>621</v>
      </c>
      <c r="HO821" s="5" t="s">
        <v>312</v>
      </c>
    </row>
    <row r="822" spans="1:223" x14ac:dyDescent="0.4">
      <c r="A822" s="5">
        <v>2497</v>
      </c>
      <c r="B822" s="5">
        <v>1</v>
      </c>
      <c r="C822" s="5">
        <v>1</v>
      </c>
      <c r="D822" s="5" t="s">
        <v>297</v>
      </c>
      <c r="E822" s="5" t="s">
        <v>245</v>
      </c>
      <c r="F822" s="5" t="s">
        <v>254</v>
      </c>
      <c r="G822" s="5" t="s">
        <v>240</v>
      </c>
      <c r="H822" s="6" t="s">
        <v>694</v>
      </c>
      <c r="I822" s="5" t="s">
        <v>295</v>
      </c>
      <c r="J822" s="8">
        <f>967</f>
        <v>967</v>
      </c>
      <c r="K822" s="5" t="s">
        <v>308</v>
      </c>
      <c r="L822" s="7">
        <f>1</f>
        <v>1</v>
      </c>
      <c r="M822" s="7">
        <f>1</f>
        <v>1</v>
      </c>
      <c r="N822" s="5" t="s">
        <v>242</v>
      </c>
      <c r="O822" s="5">
        <v>1</v>
      </c>
      <c r="P822" s="5" t="s">
        <v>294</v>
      </c>
      <c r="Q822" s="5" t="s">
        <v>266</v>
      </c>
      <c r="R822" s="5" t="s">
        <v>240</v>
      </c>
      <c r="S822" s="5" t="s">
        <v>240</v>
      </c>
      <c r="T822" s="5" t="s">
        <v>296</v>
      </c>
      <c r="U822" s="5" t="s">
        <v>244</v>
      </c>
      <c r="V822" s="5" t="s">
        <v>240</v>
      </c>
      <c r="Y822" s="5" t="s">
        <v>240</v>
      </c>
      <c r="Z822" s="6" t="s">
        <v>298</v>
      </c>
      <c r="AB822" s="6" t="s">
        <v>240</v>
      </c>
      <c r="AE822" s="6" t="s">
        <v>299</v>
      </c>
      <c r="AF822" s="5" t="s">
        <v>248</v>
      </c>
      <c r="AG822" s="5" t="s">
        <v>249</v>
      </c>
      <c r="AW822" s="5" t="s">
        <v>251</v>
      </c>
      <c r="AX822" s="5" t="s">
        <v>240</v>
      </c>
      <c r="AY822" s="5" t="s">
        <v>253</v>
      </c>
      <c r="AZ822" s="5" t="s">
        <v>240</v>
      </c>
      <c r="BA822" s="5" t="s">
        <v>255</v>
      </c>
      <c r="BB822" s="5" t="s">
        <v>240</v>
      </c>
      <c r="BD822" s="5" t="s">
        <v>240</v>
      </c>
      <c r="BF822" s="5" t="s">
        <v>301</v>
      </c>
      <c r="BG822" s="6" t="s">
        <v>299</v>
      </c>
      <c r="BH822" s="5" t="s">
        <v>302</v>
      </c>
      <c r="BI822" s="5" t="s">
        <v>303</v>
      </c>
      <c r="BJ822" s="5" t="s">
        <v>240</v>
      </c>
      <c r="BK822" s="8">
        <f>0</f>
        <v>0</v>
      </c>
      <c r="BL822" s="7">
        <f>0</f>
        <v>0</v>
      </c>
      <c r="BM822" s="5" t="s">
        <v>258</v>
      </c>
      <c r="BN822" s="5" t="s">
        <v>259</v>
      </c>
      <c r="CB822" s="5" t="s">
        <v>240</v>
      </c>
      <c r="CC822" s="5" t="s">
        <v>240</v>
      </c>
      <c r="CG822" s="5" t="s">
        <v>304</v>
      </c>
      <c r="CH822" s="5" t="s">
        <v>305</v>
      </c>
      <c r="CI822" s="5" t="s">
        <v>240</v>
      </c>
      <c r="CL822" s="6" t="s">
        <v>261</v>
      </c>
      <c r="CM822" s="5" t="s">
        <v>240</v>
      </c>
      <c r="CN822" s="5" t="s">
        <v>263</v>
      </c>
      <c r="CO822" s="5" t="s">
        <v>240</v>
      </c>
      <c r="CP822" s="5" t="s">
        <v>240</v>
      </c>
      <c r="CQ822" s="5">
        <v>0</v>
      </c>
      <c r="CR822" s="5" t="s">
        <v>306</v>
      </c>
      <c r="CS822" s="5" t="s">
        <v>307</v>
      </c>
      <c r="CT822" s="5" t="s">
        <v>307</v>
      </c>
      <c r="CU822" s="5" t="s">
        <v>260</v>
      </c>
      <c r="CX822" s="7">
        <f>1</f>
        <v>1</v>
      </c>
      <c r="CY822" s="7">
        <f>0</f>
        <v>0</v>
      </c>
      <c r="DA822" s="7">
        <f>0</f>
        <v>0</v>
      </c>
      <c r="DC822" s="5" t="s">
        <v>309</v>
      </c>
      <c r="DD822" s="5" t="s">
        <v>240</v>
      </c>
      <c r="DF822" s="5" t="s">
        <v>309</v>
      </c>
      <c r="DG822" s="7">
        <f>3433</f>
        <v>3433</v>
      </c>
      <c r="DI822" s="5" t="s">
        <v>240</v>
      </c>
      <c r="DJ822" s="5" t="s">
        <v>240</v>
      </c>
      <c r="DK822" s="5" t="s">
        <v>240</v>
      </c>
      <c r="DL822" s="5" t="s">
        <v>240</v>
      </c>
      <c r="DP822" s="5" t="s">
        <v>240</v>
      </c>
      <c r="DQ822" s="5" t="s">
        <v>240</v>
      </c>
      <c r="DR822" s="5" t="s">
        <v>240</v>
      </c>
      <c r="DS822" s="5" t="s">
        <v>240</v>
      </c>
      <c r="DV822" s="5" t="s">
        <v>310</v>
      </c>
      <c r="DW822" s="5" t="s">
        <v>1781</v>
      </c>
      <c r="HO822" s="5" t="s">
        <v>312</v>
      </c>
    </row>
    <row r="823" spans="1:223" x14ac:dyDescent="0.4">
      <c r="A823" s="5">
        <v>2498</v>
      </c>
      <c r="B823" s="5">
        <v>1</v>
      </c>
      <c r="C823" s="5">
        <v>1</v>
      </c>
      <c r="D823" s="5" t="s">
        <v>297</v>
      </c>
      <c r="E823" s="5" t="s">
        <v>245</v>
      </c>
      <c r="F823" s="5" t="s">
        <v>254</v>
      </c>
      <c r="G823" s="5" t="s">
        <v>240</v>
      </c>
      <c r="H823" s="6" t="s">
        <v>692</v>
      </c>
      <c r="I823" s="5" t="s">
        <v>295</v>
      </c>
      <c r="J823" s="8">
        <f>2497</f>
        <v>2497</v>
      </c>
      <c r="K823" s="5" t="s">
        <v>308</v>
      </c>
      <c r="L823" s="7">
        <f>1</f>
        <v>1</v>
      </c>
      <c r="M823" s="7">
        <f>1</f>
        <v>1</v>
      </c>
      <c r="N823" s="5" t="s">
        <v>242</v>
      </c>
      <c r="O823" s="5">
        <v>1</v>
      </c>
      <c r="P823" s="5" t="s">
        <v>294</v>
      </c>
      <c r="Q823" s="5" t="s">
        <v>613</v>
      </c>
      <c r="R823" s="5" t="s">
        <v>240</v>
      </c>
      <c r="S823" s="5" t="s">
        <v>240</v>
      </c>
      <c r="T823" s="5" t="s">
        <v>243</v>
      </c>
      <c r="U823" s="5" t="s">
        <v>244</v>
      </c>
      <c r="V823" s="5" t="s">
        <v>240</v>
      </c>
      <c r="Y823" s="5" t="s">
        <v>240</v>
      </c>
      <c r="Z823" s="6" t="s">
        <v>298</v>
      </c>
      <c r="AB823" s="6" t="s">
        <v>240</v>
      </c>
      <c r="AE823" s="6" t="s">
        <v>299</v>
      </c>
      <c r="AF823" s="5" t="s">
        <v>248</v>
      </c>
      <c r="AG823" s="5" t="s">
        <v>249</v>
      </c>
      <c r="AW823" s="5" t="s">
        <v>251</v>
      </c>
      <c r="AX823" s="5" t="s">
        <v>240</v>
      </c>
      <c r="AY823" s="5" t="s">
        <v>253</v>
      </c>
      <c r="AZ823" s="5" t="s">
        <v>240</v>
      </c>
      <c r="BA823" s="5" t="s">
        <v>255</v>
      </c>
      <c r="BB823" s="5" t="s">
        <v>240</v>
      </c>
      <c r="BD823" s="5" t="s">
        <v>240</v>
      </c>
      <c r="BF823" s="5" t="s">
        <v>301</v>
      </c>
      <c r="BG823" s="6" t="s">
        <v>299</v>
      </c>
      <c r="BH823" s="5" t="s">
        <v>302</v>
      </c>
      <c r="BI823" s="5" t="s">
        <v>303</v>
      </c>
      <c r="BJ823" s="5" t="s">
        <v>240</v>
      </c>
      <c r="BK823" s="8">
        <f>0</f>
        <v>0</v>
      </c>
      <c r="BL823" s="7">
        <f>0</f>
        <v>0</v>
      </c>
      <c r="BM823" s="5" t="s">
        <v>258</v>
      </c>
      <c r="BN823" s="5" t="s">
        <v>259</v>
      </c>
      <c r="CB823" s="5" t="s">
        <v>240</v>
      </c>
      <c r="CC823" s="5" t="s">
        <v>240</v>
      </c>
      <c r="CG823" s="5" t="s">
        <v>617</v>
      </c>
      <c r="CH823" s="5" t="s">
        <v>305</v>
      </c>
      <c r="CI823" s="5" t="s">
        <v>240</v>
      </c>
      <c r="CL823" s="6" t="s">
        <v>261</v>
      </c>
      <c r="CM823" s="5" t="s">
        <v>240</v>
      </c>
      <c r="CN823" s="5" t="s">
        <v>263</v>
      </c>
      <c r="CO823" s="5" t="s">
        <v>240</v>
      </c>
      <c r="CP823" s="5" t="s">
        <v>240</v>
      </c>
      <c r="CQ823" s="5">
        <v>0</v>
      </c>
      <c r="CR823" s="5" t="s">
        <v>306</v>
      </c>
      <c r="CS823" s="5" t="s">
        <v>307</v>
      </c>
      <c r="CT823" s="5" t="s">
        <v>307</v>
      </c>
      <c r="CU823" s="5" t="s">
        <v>260</v>
      </c>
      <c r="CX823" s="7">
        <f>555965</f>
        <v>555965</v>
      </c>
      <c r="CY823" s="7">
        <f>0</f>
        <v>0</v>
      </c>
      <c r="DA823" s="7">
        <f>0</f>
        <v>0</v>
      </c>
      <c r="DC823" s="5" t="s">
        <v>618</v>
      </c>
      <c r="DD823" s="5" t="s">
        <v>240</v>
      </c>
      <c r="DF823" s="5" t="s">
        <v>450</v>
      </c>
      <c r="DG823" s="7">
        <f>0</f>
        <v>0</v>
      </c>
      <c r="DI823" s="5" t="s">
        <v>618</v>
      </c>
      <c r="DJ823" s="5" t="s">
        <v>240</v>
      </c>
      <c r="DK823" s="5" t="s">
        <v>240</v>
      </c>
      <c r="DL823" s="5" t="s">
        <v>240</v>
      </c>
      <c r="DP823" s="5" t="s">
        <v>240</v>
      </c>
      <c r="DQ823" s="5" t="s">
        <v>240</v>
      </c>
      <c r="DR823" s="5" t="s">
        <v>240</v>
      </c>
      <c r="DS823" s="5" t="s">
        <v>240</v>
      </c>
      <c r="DV823" s="5" t="s">
        <v>1785</v>
      </c>
      <c r="DW823" s="5" t="s">
        <v>801</v>
      </c>
      <c r="HO823" s="5" t="s">
        <v>312</v>
      </c>
    </row>
    <row r="824" spans="1:223" x14ac:dyDescent="0.4">
      <c r="A824" s="5">
        <v>2499</v>
      </c>
      <c r="B824" s="5">
        <v>1</v>
      </c>
      <c r="C824" s="5">
        <v>1</v>
      </c>
      <c r="D824" s="5" t="s">
        <v>297</v>
      </c>
      <c r="E824" s="5" t="s">
        <v>245</v>
      </c>
      <c r="F824" s="5" t="s">
        <v>254</v>
      </c>
      <c r="G824" s="5" t="s">
        <v>240</v>
      </c>
      <c r="H824" s="6" t="s">
        <v>4194</v>
      </c>
      <c r="I824" s="5" t="s">
        <v>295</v>
      </c>
      <c r="J824" s="8">
        <f>1071</f>
        <v>1071</v>
      </c>
      <c r="K824" s="5" t="s">
        <v>308</v>
      </c>
      <c r="L824" s="7">
        <f>1</f>
        <v>1</v>
      </c>
      <c r="M824" s="7">
        <f>1</f>
        <v>1</v>
      </c>
      <c r="N824" s="5" t="s">
        <v>242</v>
      </c>
      <c r="O824" s="5">
        <v>1</v>
      </c>
      <c r="P824" s="5" t="s">
        <v>294</v>
      </c>
      <c r="Q824" s="5" t="s">
        <v>613</v>
      </c>
      <c r="R824" s="5" t="s">
        <v>240</v>
      </c>
      <c r="S824" s="5" t="s">
        <v>240</v>
      </c>
      <c r="T824" s="5" t="s">
        <v>243</v>
      </c>
      <c r="U824" s="5" t="s">
        <v>244</v>
      </c>
      <c r="V824" s="5" t="s">
        <v>240</v>
      </c>
      <c r="Y824" s="5" t="s">
        <v>240</v>
      </c>
      <c r="Z824" s="6" t="s">
        <v>298</v>
      </c>
      <c r="AB824" s="6" t="s">
        <v>240</v>
      </c>
      <c r="AE824" s="6" t="s">
        <v>299</v>
      </c>
      <c r="AF824" s="5" t="s">
        <v>248</v>
      </c>
      <c r="AG824" s="5" t="s">
        <v>249</v>
      </c>
      <c r="AW824" s="5" t="s">
        <v>251</v>
      </c>
      <c r="AX824" s="5" t="s">
        <v>240</v>
      </c>
      <c r="AY824" s="5" t="s">
        <v>253</v>
      </c>
      <c r="AZ824" s="5" t="s">
        <v>240</v>
      </c>
      <c r="BA824" s="5" t="s">
        <v>255</v>
      </c>
      <c r="BB824" s="5" t="s">
        <v>240</v>
      </c>
      <c r="BD824" s="5" t="s">
        <v>240</v>
      </c>
      <c r="BF824" s="5" t="s">
        <v>301</v>
      </c>
      <c r="BG824" s="6" t="s">
        <v>299</v>
      </c>
      <c r="BH824" s="5" t="s">
        <v>302</v>
      </c>
      <c r="BI824" s="5" t="s">
        <v>303</v>
      </c>
      <c r="BJ824" s="5" t="s">
        <v>240</v>
      </c>
      <c r="BK824" s="8">
        <f>0</f>
        <v>0</v>
      </c>
      <c r="BL824" s="7">
        <f>0</f>
        <v>0</v>
      </c>
      <c r="BM824" s="5" t="s">
        <v>258</v>
      </c>
      <c r="BN824" s="5" t="s">
        <v>259</v>
      </c>
      <c r="CB824" s="5" t="s">
        <v>240</v>
      </c>
      <c r="CC824" s="5" t="s">
        <v>240</v>
      </c>
      <c r="CG824" s="5" t="s">
        <v>617</v>
      </c>
      <c r="CH824" s="5" t="s">
        <v>305</v>
      </c>
      <c r="CI824" s="5" t="s">
        <v>240</v>
      </c>
      <c r="CL824" s="6" t="s">
        <v>261</v>
      </c>
      <c r="CM824" s="5" t="s">
        <v>240</v>
      </c>
      <c r="CN824" s="5" t="s">
        <v>263</v>
      </c>
      <c r="CO824" s="5" t="s">
        <v>240</v>
      </c>
      <c r="CP824" s="5" t="s">
        <v>240</v>
      </c>
      <c r="CQ824" s="5">
        <v>0</v>
      </c>
      <c r="CR824" s="5" t="s">
        <v>306</v>
      </c>
      <c r="CS824" s="5" t="s">
        <v>307</v>
      </c>
      <c r="CT824" s="5" t="s">
        <v>307</v>
      </c>
      <c r="CU824" s="5" t="s">
        <v>260</v>
      </c>
      <c r="CX824" s="7">
        <f>6300</f>
        <v>6300</v>
      </c>
      <c r="CY824" s="7">
        <f>0</f>
        <v>0</v>
      </c>
      <c r="DA824" s="7">
        <f>0</f>
        <v>0</v>
      </c>
      <c r="DC824" s="5" t="s">
        <v>1320</v>
      </c>
      <c r="DD824" s="5" t="s">
        <v>240</v>
      </c>
      <c r="DF824" s="5" t="s">
        <v>450</v>
      </c>
      <c r="DG824" s="7">
        <f>0</f>
        <v>0</v>
      </c>
      <c r="DI824" s="5" t="s">
        <v>1320</v>
      </c>
      <c r="DJ824" s="5" t="s">
        <v>240</v>
      </c>
      <c r="DK824" s="5" t="s">
        <v>240</v>
      </c>
      <c r="DL824" s="5" t="s">
        <v>240</v>
      </c>
      <c r="DP824" s="5" t="s">
        <v>240</v>
      </c>
      <c r="DQ824" s="5" t="s">
        <v>240</v>
      </c>
      <c r="DR824" s="5" t="s">
        <v>240</v>
      </c>
      <c r="DS824" s="5" t="s">
        <v>240</v>
      </c>
      <c r="DV824" s="5" t="s">
        <v>1785</v>
      </c>
      <c r="DW824" s="5" t="s">
        <v>804</v>
      </c>
      <c r="HO824" s="5" t="s">
        <v>312</v>
      </c>
    </row>
    <row r="825" spans="1:223" x14ac:dyDescent="0.4">
      <c r="A825" s="5">
        <v>2500</v>
      </c>
      <c r="B825" s="5">
        <v>1</v>
      </c>
      <c r="C825" s="5">
        <v>1</v>
      </c>
      <c r="D825" s="5" t="s">
        <v>297</v>
      </c>
      <c r="E825" s="5" t="s">
        <v>245</v>
      </c>
      <c r="F825" s="5" t="s">
        <v>254</v>
      </c>
      <c r="G825" s="5" t="s">
        <v>240</v>
      </c>
      <c r="H825" s="6" t="s">
        <v>681</v>
      </c>
      <c r="I825" s="5" t="s">
        <v>295</v>
      </c>
      <c r="J825" s="8">
        <f>412</f>
        <v>412</v>
      </c>
      <c r="K825" s="5" t="s">
        <v>308</v>
      </c>
      <c r="L825" s="7">
        <f>1</f>
        <v>1</v>
      </c>
      <c r="M825" s="7">
        <f>1</f>
        <v>1</v>
      </c>
      <c r="N825" s="5" t="s">
        <v>242</v>
      </c>
      <c r="O825" s="5">
        <v>1</v>
      </c>
      <c r="P825" s="5" t="s">
        <v>294</v>
      </c>
      <c r="Q825" s="5" t="s">
        <v>613</v>
      </c>
      <c r="R825" s="5" t="s">
        <v>240</v>
      </c>
      <c r="S825" s="5" t="s">
        <v>240</v>
      </c>
      <c r="T825" s="5" t="s">
        <v>243</v>
      </c>
      <c r="U825" s="5" t="s">
        <v>244</v>
      </c>
      <c r="V825" s="5" t="s">
        <v>240</v>
      </c>
      <c r="Y825" s="5" t="s">
        <v>240</v>
      </c>
      <c r="Z825" s="6" t="s">
        <v>298</v>
      </c>
      <c r="AB825" s="6" t="s">
        <v>240</v>
      </c>
      <c r="AE825" s="6" t="s">
        <v>299</v>
      </c>
      <c r="AF825" s="5" t="s">
        <v>248</v>
      </c>
      <c r="AG825" s="5" t="s">
        <v>249</v>
      </c>
      <c r="AW825" s="5" t="s">
        <v>251</v>
      </c>
      <c r="AX825" s="5" t="s">
        <v>240</v>
      </c>
      <c r="AY825" s="5" t="s">
        <v>253</v>
      </c>
      <c r="AZ825" s="5" t="s">
        <v>240</v>
      </c>
      <c r="BA825" s="5" t="s">
        <v>255</v>
      </c>
      <c r="BB825" s="5" t="s">
        <v>240</v>
      </c>
      <c r="BD825" s="5" t="s">
        <v>240</v>
      </c>
      <c r="BF825" s="5" t="s">
        <v>301</v>
      </c>
      <c r="BG825" s="6" t="s">
        <v>299</v>
      </c>
      <c r="BH825" s="5" t="s">
        <v>302</v>
      </c>
      <c r="BI825" s="5" t="s">
        <v>303</v>
      </c>
      <c r="BJ825" s="5" t="s">
        <v>240</v>
      </c>
      <c r="BK825" s="8">
        <f>0</f>
        <v>0</v>
      </c>
      <c r="BL825" s="7">
        <f>0</f>
        <v>0</v>
      </c>
      <c r="BM825" s="5" t="s">
        <v>258</v>
      </c>
      <c r="BN825" s="5" t="s">
        <v>259</v>
      </c>
      <c r="CB825" s="5" t="s">
        <v>240</v>
      </c>
      <c r="CC825" s="5" t="s">
        <v>240</v>
      </c>
      <c r="CG825" s="5" t="s">
        <v>617</v>
      </c>
      <c r="CH825" s="5" t="s">
        <v>305</v>
      </c>
      <c r="CI825" s="5" t="s">
        <v>240</v>
      </c>
      <c r="CL825" s="6" t="s">
        <v>261</v>
      </c>
      <c r="CM825" s="5" t="s">
        <v>240</v>
      </c>
      <c r="CN825" s="5" t="s">
        <v>263</v>
      </c>
      <c r="CO825" s="5" t="s">
        <v>240</v>
      </c>
      <c r="CP825" s="5" t="s">
        <v>240</v>
      </c>
      <c r="CQ825" s="5">
        <v>0</v>
      </c>
      <c r="CR825" s="5" t="s">
        <v>306</v>
      </c>
      <c r="CS825" s="5" t="s">
        <v>307</v>
      </c>
      <c r="CT825" s="5" t="s">
        <v>307</v>
      </c>
      <c r="CU825" s="5" t="s">
        <v>260</v>
      </c>
      <c r="CX825" s="7">
        <f>36722</f>
        <v>36722</v>
      </c>
      <c r="CY825" s="7">
        <f>0</f>
        <v>0</v>
      </c>
      <c r="DA825" s="7">
        <f>0</f>
        <v>0</v>
      </c>
      <c r="DC825" s="5" t="s">
        <v>1338</v>
      </c>
      <c r="DD825" s="5" t="s">
        <v>240</v>
      </c>
      <c r="DF825" s="5" t="s">
        <v>450</v>
      </c>
      <c r="DG825" s="7">
        <f>0</f>
        <v>0</v>
      </c>
      <c r="DI825" s="5" t="s">
        <v>1338</v>
      </c>
      <c r="DJ825" s="5" t="s">
        <v>240</v>
      </c>
      <c r="DK825" s="5" t="s">
        <v>240</v>
      </c>
      <c r="DL825" s="5" t="s">
        <v>240</v>
      </c>
      <c r="DP825" s="5" t="s">
        <v>240</v>
      </c>
      <c r="DQ825" s="5" t="s">
        <v>240</v>
      </c>
      <c r="DR825" s="5" t="s">
        <v>240</v>
      </c>
      <c r="DS825" s="5" t="s">
        <v>240</v>
      </c>
      <c r="DV825" s="5" t="s">
        <v>1785</v>
      </c>
      <c r="DW825" s="5" t="s">
        <v>808</v>
      </c>
      <c r="HO825" s="5" t="s">
        <v>312</v>
      </c>
    </row>
    <row r="826" spans="1:223" x14ac:dyDescent="0.4">
      <c r="A826" s="5">
        <v>2501</v>
      </c>
      <c r="B826" s="5">
        <v>1</v>
      </c>
      <c r="C826" s="5">
        <v>1</v>
      </c>
      <c r="D826" s="5" t="s">
        <v>297</v>
      </c>
      <c r="E826" s="5" t="s">
        <v>245</v>
      </c>
      <c r="F826" s="5" t="s">
        <v>254</v>
      </c>
      <c r="G826" s="5" t="s">
        <v>240</v>
      </c>
      <c r="H826" s="6" t="s">
        <v>679</v>
      </c>
      <c r="I826" s="5" t="s">
        <v>295</v>
      </c>
      <c r="J826" s="8">
        <f>1242</f>
        <v>1242</v>
      </c>
      <c r="K826" s="5" t="s">
        <v>308</v>
      </c>
      <c r="L826" s="7">
        <f>1</f>
        <v>1</v>
      </c>
      <c r="M826" s="7">
        <f>1</f>
        <v>1</v>
      </c>
      <c r="N826" s="5" t="s">
        <v>242</v>
      </c>
      <c r="O826" s="5">
        <v>1</v>
      </c>
      <c r="P826" s="5" t="s">
        <v>294</v>
      </c>
      <c r="Q826" s="5" t="s">
        <v>613</v>
      </c>
      <c r="R826" s="5" t="s">
        <v>240</v>
      </c>
      <c r="S826" s="5" t="s">
        <v>240</v>
      </c>
      <c r="T826" s="5" t="s">
        <v>243</v>
      </c>
      <c r="U826" s="5" t="s">
        <v>244</v>
      </c>
      <c r="V826" s="5" t="s">
        <v>240</v>
      </c>
      <c r="Y826" s="5" t="s">
        <v>240</v>
      </c>
      <c r="Z826" s="6" t="s">
        <v>298</v>
      </c>
      <c r="AB826" s="6" t="s">
        <v>240</v>
      </c>
      <c r="AE826" s="6" t="s">
        <v>299</v>
      </c>
      <c r="AF826" s="5" t="s">
        <v>248</v>
      </c>
      <c r="AG826" s="5" t="s">
        <v>249</v>
      </c>
      <c r="AW826" s="5" t="s">
        <v>251</v>
      </c>
      <c r="AX826" s="5" t="s">
        <v>240</v>
      </c>
      <c r="AY826" s="5" t="s">
        <v>253</v>
      </c>
      <c r="AZ826" s="5" t="s">
        <v>240</v>
      </c>
      <c r="BA826" s="5" t="s">
        <v>255</v>
      </c>
      <c r="BB826" s="5" t="s">
        <v>240</v>
      </c>
      <c r="BD826" s="5" t="s">
        <v>240</v>
      </c>
      <c r="BF826" s="5" t="s">
        <v>301</v>
      </c>
      <c r="BG826" s="6" t="s">
        <v>299</v>
      </c>
      <c r="BH826" s="5" t="s">
        <v>302</v>
      </c>
      <c r="BI826" s="5" t="s">
        <v>303</v>
      </c>
      <c r="BJ826" s="5" t="s">
        <v>240</v>
      </c>
      <c r="BK826" s="8">
        <f>0</f>
        <v>0</v>
      </c>
      <c r="BL826" s="7">
        <f>0</f>
        <v>0</v>
      </c>
      <c r="BM826" s="5" t="s">
        <v>258</v>
      </c>
      <c r="BN826" s="5" t="s">
        <v>259</v>
      </c>
      <c r="CB826" s="5" t="s">
        <v>240</v>
      </c>
      <c r="CC826" s="5" t="s">
        <v>240</v>
      </c>
      <c r="CG826" s="5" t="s">
        <v>617</v>
      </c>
      <c r="CH826" s="5" t="s">
        <v>305</v>
      </c>
      <c r="CI826" s="5" t="s">
        <v>240</v>
      </c>
      <c r="CL826" s="6" t="s">
        <v>261</v>
      </c>
      <c r="CM826" s="5" t="s">
        <v>240</v>
      </c>
      <c r="CN826" s="5" t="s">
        <v>263</v>
      </c>
      <c r="CO826" s="5" t="s">
        <v>240</v>
      </c>
      <c r="CP826" s="5" t="s">
        <v>240</v>
      </c>
      <c r="CQ826" s="5">
        <v>0</v>
      </c>
      <c r="CR826" s="5" t="s">
        <v>306</v>
      </c>
      <c r="CS826" s="5" t="s">
        <v>307</v>
      </c>
      <c r="CT826" s="5" t="s">
        <v>307</v>
      </c>
      <c r="CU826" s="5" t="s">
        <v>260</v>
      </c>
      <c r="CX826" s="7">
        <f>9500700</f>
        <v>9500700</v>
      </c>
      <c r="CY826" s="7">
        <f>0</f>
        <v>0</v>
      </c>
      <c r="DA826" s="7">
        <f>0</f>
        <v>0</v>
      </c>
      <c r="DC826" s="5" t="s">
        <v>843</v>
      </c>
      <c r="DD826" s="5" t="s">
        <v>240</v>
      </c>
      <c r="DF826" s="5" t="s">
        <v>450</v>
      </c>
      <c r="DG826" s="7">
        <f>0</f>
        <v>0</v>
      </c>
      <c r="DI826" s="5" t="s">
        <v>843</v>
      </c>
      <c r="DJ826" s="5" t="s">
        <v>240</v>
      </c>
      <c r="DK826" s="5" t="s">
        <v>240</v>
      </c>
      <c r="DL826" s="5" t="s">
        <v>240</v>
      </c>
      <c r="DP826" s="5" t="s">
        <v>240</v>
      </c>
      <c r="DQ826" s="5" t="s">
        <v>240</v>
      </c>
      <c r="DR826" s="5" t="s">
        <v>240</v>
      </c>
      <c r="DS826" s="5" t="s">
        <v>240</v>
      </c>
      <c r="DV826" s="5" t="s">
        <v>1785</v>
      </c>
      <c r="DW826" s="5" t="s">
        <v>1260</v>
      </c>
      <c r="HO826" s="5" t="s">
        <v>312</v>
      </c>
    </row>
    <row r="827" spans="1:223" x14ac:dyDescent="0.4">
      <c r="A827" s="5">
        <v>2502</v>
      </c>
      <c r="B827" s="5">
        <v>1</v>
      </c>
      <c r="C827" s="5">
        <v>1</v>
      </c>
      <c r="D827" s="5" t="s">
        <v>297</v>
      </c>
      <c r="E827" s="5" t="s">
        <v>245</v>
      </c>
      <c r="F827" s="5" t="s">
        <v>254</v>
      </c>
      <c r="G827" s="5" t="s">
        <v>240</v>
      </c>
      <c r="H827" s="6" t="s">
        <v>677</v>
      </c>
      <c r="I827" s="5" t="s">
        <v>295</v>
      </c>
      <c r="J827" s="8">
        <f>135</f>
        <v>135</v>
      </c>
      <c r="K827" s="5" t="s">
        <v>308</v>
      </c>
      <c r="L827" s="7">
        <f>1</f>
        <v>1</v>
      </c>
      <c r="M827" s="7">
        <f>1</f>
        <v>1</v>
      </c>
      <c r="N827" s="5" t="s">
        <v>242</v>
      </c>
      <c r="O827" s="5">
        <v>1</v>
      </c>
      <c r="P827" s="5" t="s">
        <v>294</v>
      </c>
      <c r="Q827" s="5" t="s">
        <v>613</v>
      </c>
      <c r="R827" s="5" t="s">
        <v>240</v>
      </c>
      <c r="S827" s="5" t="s">
        <v>240</v>
      </c>
      <c r="T827" s="5" t="s">
        <v>243</v>
      </c>
      <c r="U827" s="5" t="s">
        <v>244</v>
      </c>
      <c r="V827" s="5" t="s">
        <v>240</v>
      </c>
      <c r="Y827" s="5" t="s">
        <v>240</v>
      </c>
      <c r="Z827" s="6" t="s">
        <v>298</v>
      </c>
      <c r="AB827" s="6" t="s">
        <v>240</v>
      </c>
      <c r="AE827" s="6" t="s">
        <v>299</v>
      </c>
      <c r="AF827" s="5" t="s">
        <v>248</v>
      </c>
      <c r="AG827" s="5" t="s">
        <v>249</v>
      </c>
      <c r="AW827" s="5" t="s">
        <v>251</v>
      </c>
      <c r="AX827" s="5" t="s">
        <v>240</v>
      </c>
      <c r="AY827" s="5" t="s">
        <v>253</v>
      </c>
      <c r="AZ827" s="5" t="s">
        <v>240</v>
      </c>
      <c r="BA827" s="5" t="s">
        <v>255</v>
      </c>
      <c r="BB827" s="5" t="s">
        <v>240</v>
      </c>
      <c r="BD827" s="5" t="s">
        <v>240</v>
      </c>
      <c r="BF827" s="5" t="s">
        <v>301</v>
      </c>
      <c r="BG827" s="6" t="s">
        <v>299</v>
      </c>
      <c r="BH827" s="5" t="s">
        <v>302</v>
      </c>
      <c r="BI827" s="5" t="s">
        <v>303</v>
      </c>
      <c r="BJ827" s="5" t="s">
        <v>240</v>
      </c>
      <c r="BK827" s="8">
        <f>0</f>
        <v>0</v>
      </c>
      <c r="BL827" s="7">
        <f>0</f>
        <v>0</v>
      </c>
      <c r="BM827" s="5" t="s">
        <v>258</v>
      </c>
      <c r="BN827" s="5" t="s">
        <v>259</v>
      </c>
      <c r="CB827" s="5" t="s">
        <v>240</v>
      </c>
      <c r="CC827" s="5" t="s">
        <v>240</v>
      </c>
      <c r="CG827" s="5" t="s">
        <v>617</v>
      </c>
      <c r="CH827" s="5" t="s">
        <v>305</v>
      </c>
      <c r="CI827" s="5" t="s">
        <v>240</v>
      </c>
      <c r="CL827" s="6" t="s">
        <v>261</v>
      </c>
      <c r="CM827" s="5" t="s">
        <v>240</v>
      </c>
      <c r="CN827" s="5" t="s">
        <v>263</v>
      </c>
      <c r="CO827" s="5" t="s">
        <v>240</v>
      </c>
      <c r="CP827" s="5" t="s">
        <v>240</v>
      </c>
      <c r="CQ827" s="5">
        <v>0</v>
      </c>
      <c r="CR827" s="5" t="s">
        <v>306</v>
      </c>
      <c r="CS827" s="5" t="s">
        <v>307</v>
      </c>
      <c r="CT827" s="5" t="s">
        <v>307</v>
      </c>
      <c r="CU827" s="5" t="s">
        <v>260</v>
      </c>
      <c r="CX827" s="7">
        <f>5624</f>
        <v>5624</v>
      </c>
      <c r="CY827" s="7">
        <f>0</f>
        <v>0</v>
      </c>
      <c r="DA827" s="7">
        <f>0</f>
        <v>0</v>
      </c>
      <c r="DC827" s="5" t="s">
        <v>1790</v>
      </c>
      <c r="DD827" s="5" t="s">
        <v>240</v>
      </c>
      <c r="DF827" s="5" t="s">
        <v>450</v>
      </c>
      <c r="DG827" s="7">
        <f>0</f>
        <v>0</v>
      </c>
      <c r="DI827" s="5" t="s">
        <v>1790</v>
      </c>
      <c r="DJ827" s="5" t="s">
        <v>240</v>
      </c>
      <c r="DK827" s="5" t="s">
        <v>240</v>
      </c>
      <c r="DL827" s="5" t="s">
        <v>240</v>
      </c>
      <c r="DP827" s="5" t="s">
        <v>240</v>
      </c>
      <c r="DQ827" s="5" t="s">
        <v>240</v>
      </c>
      <c r="DR827" s="5" t="s">
        <v>240</v>
      </c>
      <c r="DS827" s="5" t="s">
        <v>240</v>
      </c>
      <c r="DV827" s="5" t="s">
        <v>1785</v>
      </c>
      <c r="DW827" s="5" t="s">
        <v>816</v>
      </c>
      <c r="HO827" s="5" t="s">
        <v>312</v>
      </c>
    </row>
    <row r="828" spans="1:223" x14ac:dyDescent="0.4">
      <c r="A828" s="5">
        <v>2503</v>
      </c>
      <c r="B828" s="5">
        <v>1</v>
      </c>
      <c r="C828" s="5">
        <v>1</v>
      </c>
      <c r="D828" s="5" t="s">
        <v>297</v>
      </c>
      <c r="E828" s="5" t="s">
        <v>245</v>
      </c>
      <c r="F828" s="5" t="s">
        <v>254</v>
      </c>
      <c r="G828" s="5" t="s">
        <v>240</v>
      </c>
      <c r="H828" s="6" t="s">
        <v>675</v>
      </c>
      <c r="I828" s="5" t="s">
        <v>295</v>
      </c>
      <c r="J828" s="8">
        <f>3272</f>
        <v>3272</v>
      </c>
      <c r="K828" s="5" t="s">
        <v>308</v>
      </c>
      <c r="L828" s="7">
        <f>1</f>
        <v>1</v>
      </c>
      <c r="M828" s="7">
        <f>1</f>
        <v>1</v>
      </c>
      <c r="N828" s="5" t="s">
        <v>242</v>
      </c>
      <c r="O828" s="5">
        <v>1</v>
      </c>
      <c r="P828" s="5" t="s">
        <v>294</v>
      </c>
      <c r="Q828" s="5" t="s">
        <v>613</v>
      </c>
      <c r="R828" s="5" t="s">
        <v>240</v>
      </c>
      <c r="S828" s="5" t="s">
        <v>240</v>
      </c>
      <c r="T828" s="5" t="s">
        <v>243</v>
      </c>
      <c r="U828" s="5" t="s">
        <v>244</v>
      </c>
      <c r="V828" s="5" t="s">
        <v>240</v>
      </c>
      <c r="Y828" s="5" t="s">
        <v>240</v>
      </c>
      <c r="Z828" s="6" t="s">
        <v>298</v>
      </c>
      <c r="AB828" s="6" t="s">
        <v>240</v>
      </c>
      <c r="AE828" s="6" t="s">
        <v>299</v>
      </c>
      <c r="AF828" s="5" t="s">
        <v>248</v>
      </c>
      <c r="AG828" s="5" t="s">
        <v>249</v>
      </c>
      <c r="AW828" s="5" t="s">
        <v>251</v>
      </c>
      <c r="AX828" s="5" t="s">
        <v>240</v>
      </c>
      <c r="AY828" s="5" t="s">
        <v>253</v>
      </c>
      <c r="AZ828" s="5" t="s">
        <v>240</v>
      </c>
      <c r="BA828" s="5" t="s">
        <v>255</v>
      </c>
      <c r="BB828" s="5" t="s">
        <v>240</v>
      </c>
      <c r="BD828" s="5" t="s">
        <v>240</v>
      </c>
      <c r="BF828" s="5" t="s">
        <v>301</v>
      </c>
      <c r="BG828" s="6" t="s">
        <v>299</v>
      </c>
      <c r="BH828" s="5" t="s">
        <v>302</v>
      </c>
      <c r="BI828" s="5" t="s">
        <v>303</v>
      </c>
      <c r="BJ828" s="5" t="s">
        <v>240</v>
      </c>
      <c r="BK828" s="8">
        <f>0</f>
        <v>0</v>
      </c>
      <c r="BL828" s="7">
        <f>0</f>
        <v>0</v>
      </c>
      <c r="BM828" s="5" t="s">
        <v>258</v>
      </c>
      <c r="BN828" s="5" t="s">
        <v>259</v>
      </c>
      <c r="CB828" s="5" t="s">
        <v>240</v>
      </c>
      <c r="CC828" s="5" t="s">
        <v>240</v>
      </c>
      <c r="CG828" s="5" t="s">
        <v>617</v>
      </c>
      <c r="CH828" s="5" t="s">
        <v>305</v>
      </c>
      <c r="CI828" s="5" t="s">
        <v>240</v>
      </c>
      <c r="CL828" s="6" t="s">
        <v>261</v>
      </c>
      <c r="CM828" s="5" t="s">
        <v>240</v>
      </c>
      <c r="CN828" s="5" t="s">
        <v>263</v>
      </c>
      <c r="CO828" s="5" t="s">
        <v>240</v>
      </c>
      <c r="CP828" s="5" t="s">
        <v>240</v>
      </c>
      <c r="CQ828" s="5">
        <v>0</v>
      </c>
      <c r="CR828" s="5" t="s">
        <v>306</v>
      </c>
      <c r="CS828" s="5" t="s">
        <v>307</v>
      </c>
      <c r="CT828" s="5" t="s">
        <v>307</v>
      </c>
      <c r="CU828" s="5" t="s">
        <v>260</v>
      </c>
      <c r="CX828" s="7">
        <f>76933</f>
        <v>76933</v>
      </c>
      <c r="CY828" s="7">
        <f>0</f>
        <v>0</v>
      </c>
      <c r="DA828" s="7">
        <f>0</f>
        <v>0</v>
      </c>
      <c r="DC828" s="5" t="s">
        <v>1247</v>
      </c>
      <c r="DD828" s="5" t="s">
        <v>240</v>
      </c>
      <c r="DF828" s="5" t="s">
        <v>450</v>
      </c>
      <c r="DG828" s="7">
        <f>0</f>
        <v>0</v>
      </c>
      <c r="DI828" s="5" t="s">
        <v>1247</v>
      </c>
      <c r="DJ828" s="5" t="s">
        <v>240</v>
      </c>
      <c r="DK828" s="5" t="s">
        <v>240</v>
      </c>
      <c r="DL828" s="5" t="s">
        <v>240</v>
      </c>
      <c r="DP828" s="5" t="s">
        <v>240</v>
      </c>
      <c r="DQ828" s="5" t="s">
        <v>240</v>
      </c>
      <c r="DR828" s="5" t="s">
        <v>240</v>
      </c>
      <c r="DS828" s="5" t="s">
        <v>240</v>
      </c>
      <c r="DV828" s="5" t="s">
        <v>1785</v>
      </c>
      <c r="DW828" s="5" t="s">
        <v>818</v>
      </c>
      <c r="HO828" s="5" t="s">
        <v>312</v>
      </c>
    </row>
    <row r="829" spans="1:223" x14ac:dyDescent="0.4">
      <c r="A829" s="5">
        <v>2504</v>
      </c>
      <c r="B829" s="5">
        <v>1</v>
      </c>
      <c r="C829" s="5">
        <v>1</v>
      </c>
      <c r="D829" s="5" t="s">
        <v>297</v>
      </c>
      <c r="E829" s="5" t="s">
        <v>245</v>
      </c>
      <c r="F829" s="5" t="s">
        <v>254</v>
      </c>
      <c r="G829" s="5" t="s">
        <v>240</v>
      </c>
      <c r="H829" s="6" t="s">
        <v>673</v>
      </c>
      <c r="I829" s="5" t="s">
        <v>295</v>
      </c>
      <c r="J829" s="8">
        <f>1640</f>
        <v>1640</v>
      </c>
      <c r="K829" s="5" t="s">
        <v>308</v>
      </c>
      <c r="L829" s="7">
        <f>1</f>
        <v>1</v>
      </c>
      <c r="M829" s="7">
        <f>1</f>
        <v>1</v>
      </c>
      <c r="N829" s="5" t="s">
        <v>242</v>
      </c>
      <c r="O829" s="5">
        <v>1</v>
      </c>
      <c r="P829" s="5" t="s">
        <v>294</v>
      </c>
      <c r="Q829" s="5" t="s">
        <v>613</v>
      </c>
      <c r="R829" s="5" t="s">
        <v>240</v>
      </c>
      <c r="S829" s="5" t="s">
        <v>240</v>
      </c>
      <c r="T829" s="5" t="s">
        <v>243</v>
      </c>
      <c r="U829" s="5" t="s">
        <v>244</v>
      </c>
      <c r="V829" s="5" t="s">
        <v>240</v>
      </c>
      <c r="Y829" s="5" t="s">
        <v>240</v>
      </c>
      <c r="Z829" s="6" t="s">
        <v>298</v>
      </c>
      <c r="AB829" s="6" t="s">
        <v>240</v>
      </c>
      <c r="AE829" s="6" t="s">
        <v>299</v>
      </c>
      <c r="AF829" s="5" t="s">
        <v>248</v>
      </c>
      <c r="AG829" s="5" t="s">
        <v>249</v>
      </c>
      <c r="AW829" s="5" t="s">
        <v>251</v>
      </c>
      <c r="AX829" s="5" t="s">
        <v>240</v>
      </c>
      <c r="AY829" s="5" t="s">
        <v>253</v>
      </c>
      <c r="AZ829" s="5" t="s">
        <v>240</v>
      </c>
      <c r="BA829" s="5" t="s">
        <v>255</v>
      </c>
      <c r="BB829" s="5" t="s">
        <v>240</v>
      </c>
      <c r="BD829" s="5" t="s">
        <v>240</v>
      </c>
      <c r="BF829" s="5" t="s">
        <v>301</v>
      </c>
      <c r="BG829" s="6" t="s">
        <v>299</v>
      </c>
      <c r="BH829" s="5" t="s">
        <v>302</v>
      </c>
      <c r="BI829" s="5" t="s">
        <v>303</v>
      </c>
      <c r="BJ829" s="5" t="s">
        <v>240</v>
      </c>
      <c r="BK829" s="8">
        <f>0</f>
        <v>0</v>
      </c>
      <c r="BL829" s="7">
        <f>0</f>
        <v>0</v>
      </c>
      <c r="BM829" s="5" t="s">
        <v>258</v>
      </c>
      <c r="BN829" s="5" t="s">
        <v>259</v>
      </c>
      <c r="CB829" s="5" t="s">
        <v>240</v>
      </c>
      <c r="CC829" s="5" t="s">
        <v>240</v>
      </c>
      <c r="CG829" s="5" t="s">
        <v>617</v>
      </c>
      <c r="CH829" s="5" t="s">
        <v>305</v>
      </c>
      <c r="CI829" s="5" t="s">
        <v>240</v>
      </c>
      <c r="CL829" s="6" t="s">
        <v>261</v>
      </c>
      <c r="CM829" s="5" t="s">
        <v>240</v>
      </c>
      <c r="CN829" s="5" t="s">
        <v>263</v>
      </c>
      <c r="CO829" s="5" t="s">
        <v>240</v>
      </c>
      <c r="CP829" s="5" t="s">
        <v>240</v>
      </c>
      <c r="CQ829" s="5">
        <v>0</v>
      </c>
      <c r="CR829" s="5" t="s">
        <v>306</v>
      </c>
      <c r="CS829" s="5" t="s">
        <v>307</v>
      </c>
      <c r="CT829" s="5" t="s">
        <v>307</v>
      </c>
      <c r="CU829" s="5" t="s">
        <v>260</v>
      </c>
      <c r="CX829" s="7">
        <f>13975</f>
        <v>13975</v>
      </c>
      <c r="CY829" s="7">
        <f>0</f>
        <v>0</v>
      </c>
      <c r="DA829" s="7">
        <f>0</f>
        <v>0</v>
      </c>
      <c r="DC829" s="5" t="s">
        <v>1338</v>
      </c>
      <c r="DD829" s="5" t="s">
        <v>240</v>
      </c>
      <c r="DF829" s="5" t="s">
        <v>450</v>
      </c>
      <c r="DG829" s="7">
        <f>0</f>
        <v>0</v>
      </c>
      <c r="DI829" s="5" t="s">
        <v>1338</v>
      </c>
      <c r="DJ829" s="5" t="s">
        <v>240</v>
      </c>
      <c r="DK829" s="5" t="s">
        <v>240</v>
      </c>
      <c r="DL829" s="5" t="s">
        <v>240</v>
      </c>
      <c r="DP829" s="5" t="s">
        <v>240</v>
      </c>
      <c r="DQ829" s="5" t="s">
        <v>240</v>
      </c>
      <c r="DR829" s="5" t="s">
        <v>240</v>
      </c>
      <c r="DS829" s="5" t="s">
        <v>240</v>
      </c>
      <c r="DV829" s="5" t="s">
        <v>1785</v>
      </c>
      <c r="DW829" s="5" t="s">
        <v>820</v>
      </c>
      <c r="HO829" s="5" t="s">
        <v>312</v>
      </c>
    </row>
    <row r="830" spans="1:223" x14ac:dyDescent="0.4">
      <c r="A830" s="5">
        <v>2505</v>
      </c>
      <c r="B830" s="5">
        <v>1</v>
      </c>
      <c r="C830" s="5">
        <v>1</v>
      </c>
      <c r="D830" s="5" t="s">
        <v>297</v>
      </c>
      <c r="E830" s="5" t="s">
        <v>245</v>
      </c>
      <c r="F830" s="5" t="s">
        <v>254</v>
      </c>
      <c r="G830" s="5" t="s">
        <v>240</v>
      </c>
      <c r="H830" s="6" t="s">
        <v>671</v>
      </c>
      <c r="I830" s="5" t="s">
        <v>295</v>
      </c>
      <c r="J830" s="8">
        <f>350</f>
        <v>350</v>
      </c>
      <c r="K830" s="5" t="s">
        <v>308</v>
      </c>
      <c r="L830" s="7">
        <f>1</f>
        <v>1</v>
      </c>
      <c r="M830" s="7">
        <f>1</f>
        <v>1</v>
      </c>
      <c r="N830" s="5" t="s">
        <v>242</v>
      </c>
      <c r="O830" s="5">
        <v>1</v>
      </c>
      <c r="P830" s="5" t="s">
        <v>294</v>
      </c>
      <c r="Q830" s="5" t="s">
        <v>613</v>
      </c>
      <c r="R830" s="5" t="s">
        <v>240</v>
      </c>
      <c r="S830" s="5" t="s">
        <v>240</v>
      </c>
      <c r="T830" s="5" t="s">
        <v>243</v>
      </c>
      <c r="U830" s="5" t="s">
        <v>244</v>
      </c>
      <c r="V830" s="5" t="s">
        <v>240</v>
      </c>
      <c r="Y830" s="5" t="s">
        <v>240</v>
      </c>
      <c r="Z830" s="6" t="s">
        <v>298</v>
      </c>
      <c r="AB830" s="6" t="s">
        <v>240</v>
      </c>
      <c r="AE830" s="6" t="s">
        <v>299</v>
      </c>
      <c r="AF830" s="5" t="s">
        <v>248</v>
      </c>
      <c r="AG830" s="5" t="s">
        <v>249</v>
      </c>
      <c r="AW830" s="5" t="s">
        <v>251</v>
      </c>
      <c r="AX830" s="5" t="s">
        <v>240</v>
      </c>
      <c r="AY830" s="5" t="s">
        <v>253</v>
      </c>
      <c r="AZ830" s="5" t="s">
        <v>240</v>
      </c>
      <c r="BA830" s="5" t="s">
        <v>255</v>
      </c>
      <c r="BB830" s="5" t="s">
        <v>240</v>
      </c>
      <c r="BD830" s="5" t="s">
        <v>240</v>
      </c>
      <c r="BF830" s="5" t="s">
        <v>301</v>
      </c>
      <c r="BG830" s="6" t="s">
        <v>299</v>
      </c>
      <c r="BH830" s="5" t="s">
        <v>302</v>
      </c>
      <c r="BI830" s="5" t="s">
        <v>303</v>
      </c>
      <c r="BJ830" s="5" t="s">
        <v>240</v>
      </c>
      <c r="BK830" s="8">
        <f>0</f>
        <v>0</v>
      </c>
      <c r="BL830" s="7">
        <f>0</f>
        <v>0</v>
      </c>
      <c r="BM830" s="5" t="s">
        <v>258</v>
      </c>
      <c r="BN830" s="5" t="s">
        <v>259</v>
      </c>
      <c r="CB830" s="5" t="s">
        <v>240</v>
      </c>
      <c r="CC830" s="5" t="s">
        <v>240</v>
      </c>
      <c r="CG830" s="5" t="s">
        <v>617</v>
      </c>
      <c r="CH830" s="5" t="s">
        <v>305</v>
      </c>
      <c r="CI830" s="5" t="s">
        <v>240</v>
      </c>
      <c r="CL830" s="6" t="s">
        <v>261</v>
      </c>
      <c r="CM830" s="5" t="s">
        <v>240</v>
      </c>
      <c r="CN830" s="5" t="s">
        <v>263</v>
      </c>
      <c r="CO830" s="5" t="s">
        <v>240</v>
      </c>
      <c r="CP830" s="5" t="s">
        <v>240</v>
      </c>
      <c r="CQ830" s="5">
        <v>0</v>
      </c>
      <c r="CR830" s="5" t="s">
        <v>306</v>
      </c>
      <c r="CS830" s="5" t="s">
        <v>307</v>
      </c>
      <c r="CT830" s="5" t="s">
        <v>307</v>
      </c>
      <c r="CU830" s="5" t="s">
        <v>260</v>
      </c>
      <c r="CX830" s="7">
        <f>22403</f>
        <v>22403</v>
      </c>
      <c r="CY830" s="7">
        <f>0</f>
        <v>0</v>
      </c>
      <c r="DA830" s="7">
        <f>0</f>
        <v>0</v>
      </c>
      <c r="DC830" s="5" t="s">
        <v>1338</v>
      </c>
      <c r="DD830" s="5" t="s">
        <v>240</v>
      </c>
      <c r="DF830" s="5" t="s">
        <v>450</v>
      </c>
      <c r="DG830" s="7">
        <f>0</f>
        <v>0</v>
      </c>
      <c r="DI830" s="5" t="s">
        <v>1338</v>
      </c>
      <c r="DJ830" s="5" t="s">
        <v>240</v>
      </c>
      <c r="DK830" s="5" t="s">
        <v>240</v>
      </c>
      <c r="DL830" s="5" t="s">
        <v>240</v>
      </c>
      <c r="DP830" s="5" t="s">
        <v>240</v>
      </c>
      <c r="DQ830" s="5" t="s">
        <v>240</v>
      </c>
      <c r="DR830" s="5" t="s">
        <v>240</v>
      </c>
      <c r="DS830" s="5" t="s">
        <v>240</v>
      </c>
      <c r="DV830" s="5" t="s">
        <v>1785</v>
      </c>
      <c r="DW830" s="5" t="s">
        <v>691</v>
      </c>
      <c r="HO830" s="5" t="s">
        <v>312</v>
      </c>
    </row>
    <row r="831" spans="1:223" x14ac:dyDescent="0.4">
      <c r="A831" s="5">
        <v>2506</v>
      </c>
      <c r="B831" s="5">
        <v>1</v>
      </c>
      <c r="C831" s="5">
        <v>1</v>
      </c>
      <c r="D831" s="5" t="s">
        <v>297</v>
      </c>
      <c r="E831" s="5" t="s">
        <v>245</v>
      </c>
      <c r="F831" s="5" t="s">
        <v>254</v>
      </c>
      <c r="G831" s="5" t="s">
        <v>240</v>
      </c>
      <c r="H831" s="6" t="s">
        <v>669</v>
      </c>
      <c r="I831" s="5" t="s">
        <v>295</v>
      </c>
      <c r="J831" s="8">
        <f>2812</f>
        <v>2812</v>
      </c>
      <c r="K831" s="5" t="s">
        <v>308</v>
      </c>
      <c r="L831" s="7">
        <f>1</f>
        <v>1</v>
      </c>
      <c r="M831" s="7">
        <f>1</f>
        <v>1</v>
      </c>
      <c r="N831" s="5" t="s">
        <v>242</v>
      </c>
      <c r="O831" s="5">
        <v>1</v>
      </c>
      <c r="P831" s="5" t="s">
        <v>294</v>
      </c>
      <c r="Q831" s="5" t="s">
        <v>613</v>
      </c>
      <c r="R831" s="5" t="s">
        <v>240</v>
      </c>
      <c r="S831" s="5" t="s">
        <v>240</v>
      </c>
      <c r="T831" s="5" t="s">
        <v>243</v>
      </c>
      <c r="U831" s="5" t="s">
        <v>244</v>
      </c>
      <c r="V831" s="5" t="s">
        <v>240</v>
      </c>
      <c r="Y831" s="5" t="s">
        <v>240</v>
      </c>
      <c r="Z831" s="6" t="s">
        <v>298</v>
      </c>
      <c r="AB831" s="6" t="s">
        <v>240</v>
      </c>
      <c r="AE831" s="6" t="s">
        <v>299</v>
      </c>
      <c r="AF831" s="5" t="s">
        <v>248</v>
      </c>
      <c r="AG831" s="5" t="s">
        <v>249</v>
      </c>
      <c r="AW831" s="5" t="s">
        <v>251</v>
      </c>
      <c r="AX831" s="5" t="s">
        <v>240</v>
      </c>
      <c r="AY831" s="5" t="s">
        <v>253</v>
      </c>
      <c r="AZ831" s="5" t="s">
        <v>240</v>
      </c>
      <c r="BA831" s="5" t="s">
        <v>255</v>
      </c>
      <c r="BB831" s="5" t="s">
        <v>240</v>
      </c>
      <c r="BD831" s="5" t="s">
        <v>240</v>
      </c>
      <c r="BF831" s="5" t="s">
        <v>301</v>
      </c>
      <c r="BG831" s="6" t="s">
        <v>299</v>
      </c>
      <c r="BH831" s="5" t="s">
        <v>302</v>
      </c>
      <c r="BI831" s="5" t="s">
        <v>303</v>
      </c>
      <c r="BJ831" s="5" t="s">
        <v>240</v>
      </c>
      <c r="BK831" s="8">
        <f>0</f>
        <v>0</v>
      </c>
      <c r="BL831" s="7">
        <f>0</f>
        <v>0</v>
      </c>
      <c r="BM831" s="5" t="s">
        <v>258</v>
      </c>
      <c r="BN831" s="5" t="s">
        <v>259</v>
      </c>
      <c r="CB831" s="5" t="s">
        <v>240</v>
      </c>
      <c r="CC831" s="5" t="s">
        <v>240</v>
      </c>
      <c r="CG831" s="5" t="s">
        <v>617</v>
      </c>
      <c r="CH831" s="5" t="s">
        <v>305</v>
      </c>
      <c r="CI831" s="5" t="s">
        <v>240</v>
      </c>
      <c r="CL831" s="6" t="s">
        <v>261</v>
      </c>
      <c r="CM831" s="5" t="s">
        <v>240</v>
      </c>
      <c r="CN831" s="5" t="s">
        <v>263</v>
      </c>
      <c r="CO831" s="5" t="s">
        <v>240</v>
      </c>
      <c r="CP831" s="5" t="s">
        <v>240</v>
      </c>
      <c r="CQ831" s="5">
        <v>0</v>
      </c>
      <c r="CR831" s="5" t="s">
        <v>306</v>
      </c>
      <c r="CS831" s="5" t="s">
        <v>307</v>
      </c>
      <c r="CT831" s="5" t="s">
        <v>307</v>
      </c>
      <c r="CU831" s="5" t="s">
        <v>260</v>
      </c>
      <c r="CX831" s="7">
        <f>660070</f>
        <v>660070</v>
      </c>
      <c r="CY831" s="7">
        <f>0</f>
        <v>0</v>
      </c>
      <c r="DA831" s="7">
        <f>0</f>
        <v>0</v>
      </c>
      <c r="DC831" s="5" t="s">
        <v>618</v>
      </c>
      <c r="DD831" s="5" t="s">
        <v>240</v>
      </c>
      <c r="DF831" s="5" t="s">
        <v>450</v>
      </c>
      <c r="DG831" s="7">
        <f>0</f>
        <v>0</v>
      </c>
      <c r="DI831" s="5" t="s">
        <v>618</v>
      </c>
      <c r="DJ831" s="5" t="s">
        <v>240</v>
      </c>
      <c r="DK831" s="5" t="s">
        <v>240</v>
      </c>
      <c r="DL831" s="5" t="s">
        <v>240</v>
      </c>
      <c r="DP831" s="5" t="s">
        <v>240</v>
      </c>
      <c r="DQ831" s="5" t="s">
        <v>240</v>
      </c>
      <c r="DR831" s="5" t="s">
        <v>240</v>
      </c>
      <c r="DS831" s="5" t="s">
        <v>240</v>
      </c>
      <c r="DV831" s="5" t="s">
        <v>1785</v>
      </c>
      <c r="DW831" s="5" t="s">
        <v>620</v>
      </c>
      <c r="HO831" s="5" t="s">
        <v>312</v>
      </c>
    </row>
    <row r="832" spans="1:223" x14ac:dyDescent="0.4">
      <c r="A832" s="5">
        <v>2507</v>
      </c>
      <c r="B832" s="5">
        <v>1</v>
      </c>
      <c r="C832" s="5">
        <v>1</v>
      </c>
      <c r="D832" s="5" t="s">
        <v>297</v>
      </c>
      <c r="E832" s="5" t="s">
        <v>245</v>
      </c>
      <c r="F832" s="5" t="s">
        <v>254</v>
      </c>
      <c r="G832" s="5" t="s">
        <v>240</v>
      </c>
      <c r="H832" s="6" t="s">
        <v>667</v>
      </c>
      <c r="I832" s="5" t="s">
        <v>295</v>
      </c>
      <c r="J832" s="8">
        <f>15526</f>
        <v>15526</v>
      </c>
      <c r="K832" s="5" t="s">
        <v>308</v>
      </c>
      <c r="L832" s="7">
        <f>1</f>
        <v>1</v>
      </c>
      <c r="M832" s="7">
        <f>1</f>
        <v>1</v>
      </c>
      <c r="N832" s="5" t="s">
        <v>242</v>
      </c>
      <c r="O832" s="5">
        <v>1</v>
      </c>
      <c r="P832" s="5" t="s">
        <v>294</v>
      </c>
      <c r="Q832" s="5" t="s">
        <v>613</v>
      </c>
      <c r="R832" s="5" t="s">
        <v>240</v>
      </c>
      <c r="S832" s="5" t="s">
        <v>240</v>
      </c>
      <c r="T832" s="5" t="s">
        <v>243</v>
      </c>
      <c r="U832" s="5" t="s">
        <v>244</v>
      </c>
      <c r="V832" s="5" t="s">
        <v>240</v>
      </c>
      <c r="Y832" s="5" t="s">
        <v>240</v>
      </c>
      <c r="Z832" s="6" t="s">
        <v>298</v>
      </c>
      <c r="AB832" s="6" t="s">
        <v>240</v>
      </c>
      <c r="AE832" s="6" t="s">
        <v>299</v>
      </c>
      <c r="AF832" s="5" t="s">
        <v>248</v>
      </c>
      <c r="AG832" s="5" t="s">
        <v>249</v>
      </c>
      <c r="AW832" s="5" t="s">
        <v>251</v>
      </c>
      <c r="AX832" s="5" t="s">
        <v>240</v>
      </c>
      <c r="AY832" s="5" t="s">
        <v>253</v>
      </c>
      <c r="AZ832" s="5" t="s">
        <v>240</v>
      </c>
      <c r="BA832" s="5" t="s">
        <v>255</v>
      </c>
      <c r="BB832" s="5" t="s">
        <v>240</v>
      </c>
      <c r="BD832" s="5" t="s">
        <v>240</v>
      </c>
      <c r="BF832" s="5" t="s">
        <v>301</v>
      </c>
      <c r="BG832" s="6" t="s">
        <v>299</v>
      </c>
      <c r="BH832" s="5" t="s">
        <v>302</v>
      </c>
      <c r="BI832" s="5" t="s">
        <v>303</v>
      </c>
      <c r="BJ832" s="5" t="s">
        <v>240</v>
      </c>
      <c r="BK832" s="8">
        <f>0</f>
        <v>0</v>
      </c>
      <c r="BL832" s="7">
        <f>0</f>
        <v>0</v>
      </c>
      <c r="BM832" s="5" t="s">
        <v>258</v>
      </c>
      <c r="BN832" s="5" t="s">
        <v>259</v>
      </c>
      <c r="CB832" s="5" t="s">
        <v>240</v>
      </c>
      <c r="CC832" s="5" t="s">
        <v>240</v>
      </c>
      <c r="CG832" s="5" t="s">
        <v>617</v>
      </c>
      <c r="CH832" s="5" t="s">
        <v>305</v>
      </c>
      <c r="CI832" s="5" t="s">
        <v>240</v>
      </c>
      <c r="CL832" s="6" t="s">
        <v>261</v>
      </c>
      <c r="CM832" s="5" t="s">
        <v>240</v>
      </c>
      <c r="CN832" s="5" t="s">
        <v>263</v>
      </c>
      <c r="CO832" s="5" t="s">
        <v>240</v>
      </c>
      <c r="CP832" s="5" t="s">
        <v>240</v>
      </c>
      <c r="CQ832" s="5">
        <v>0</v>
      </c>
      <c r="CR832" s="5" t="s">
        <v>306</v>
      </c>
      <c r="CS832" s="5" t="s">
        <v>307</v>
      </c>
      <c r="CT832" s="5" t="s">
        <v>307</v>
      </c>
      <c r="CU832" s="5" t="s">
        <v>260</v>
      </c>
      <c r="CX832" s="7">
        <f>171828</f>
        <v>171828</v>
      </c>
      <c r="CY832" s="7">
        <f>0</f>
        <v>0</v>
      </c>
      <c r="DA832" s="7">
        <f>0</f>
        <v>0</v>
      </c>
      <c r="DC832" s="5" t="s">
        <v>1338</v>
      </c>
      <c r="DD832" s="5" t="s">
        <v>240</v>
      </c>
      <c r="DF832" s="5" t="s">
        <v>450</v>
      </c>
      <c r="DG832" s="7">
        <f>0</f>
        <v>0</v>
      </c>
      <c r="DI832" s="5" t="s">
        <v>1338</v>
      </c>
      <c r="DJ832" s="5" t="s">
        <v>240</v>
      </c>
      <c r="DK832" s="5" t="s">
        <v>240</v>
      </c>
      <c r="DL832" s="5" t="s">
        <v>240</v>
      </c>
      <c r="DP832" s="5" t="s">
        <v>240</v>
      </c>
      <c r="DQ832" s="5" t="s">
        <v>240</v>
      </c>
      <c r="DR832" s="5" t="s">
        <v>240</v>
      </c>
      <c r="DS832" s="5" t="s">
        <v>240</v>
      </c>
      <c r="DV832" s="5" t="s">
        <v>1785</v>
      </c>
      <c r="DW832" s="5" t="s">
        <v>621</v>
      </c>
      <c r="HO832" s="5" t="s">
        <v>312</v>
      </c>
    </row>
    <row r="833" spans="1:223" x14ac:dyDescent="0.4">
      <c r="A833" s="5">
        <v>2508</v>
      </c>
      <c r="B833" s="5">
        <v>1</v>
      </c>
      <c r="C833" s="5">
        <v>1</v>
      </c>
      <c r="D833" s="5" t="s">
        <v>297</v>
      </c>
      <c r="E833" s="5" t="s">
        <v>245</v>
      </c>
      <c r="F833" s="5" t="s">
        <v>254</v>
      </c>
      <c r="G833" s="5" t="s">
        <v>240</v>
      </c>
      <c r="H833" s="6" t="s">
        <v>665</v>
      </c>
      <c r="I833" s="5" t="s">
        <v>295</v>
      </c>
      <c r="J833" s="8">
        <f>260</f>
        <v>260</v>
      </c>
      <c r="K833" s="5" t="s">
        <v>308</v>
      </c>
      <c r="L833" s="7">
        <f>1</f>
        <v>1</v>
      </c>
      <c r="M833" s="7">
        <f>1</f>
        <v>1</v>
      </c>
      <c r="N833" s="5" t="s">
        <v>242</v>
      </c>
      <c r="O833" s="5">
        <v>1</v>
      </c>
      <c r="P833" s="5" t="s">
        <v>294</v>
      </c>
      <c r="Q833" s="5" t="s">
        <v>613</v>
      </c>
      <c r="R833" s="5" t="s">
        <v>240</v>
      </c>
      <c r="S833" s="5" t="s">
        <v>240</v>
      </c>
      <c r="T833" s="5" t="s">
        <v>243</v>
      </c>
      <c r="U833" s="5" t="s">
        <v>244</v>
      </c>
      <c r="V833" s="5" t="s">
        <v>240</v>
      </c>
      <c r="Y833" s="5" t="s">
        <v>240</v>
      </c>
      <c r="Z833" s="6" t="s">
        <v>298</v>
      </c>
      <c r="AB833" s="6" t="s">
        <v>240</v>
      </c>
      <c r="AE833" s="6" t="s">
        <v>299</v>
      </c>
      <c r="AF833" s="5" t="s">
        <v>248</v>
      </c>
      <c r="AG833" s="5" t="s">
        <v>249</v>
      </c>
      <c r="AW833" s="5" t="s">
        <v>251</v>
      </c>
      <c r="AX833" s="5" t="s">
        <v>240</v>
      </c>
      <c r="AY833" s="5" t="s">
        <v>253</v>
      </c>
      <c r="AZ833" s="5" t="s">
        <v>240</v>
      </c>
      <c r="BA833" s="5" t="s">
        <v>255</v>
      </c>
      <c r="BB833" s="5" t="s">
        <v>240</v>
      </c>
      <c r="BD833" s="5" t="s">
        <v>686</v>
      </c>
      <c r="BF833" s="5" t="s">
        <v>301</v>
      </c>
      <c r="BG833" s="6" t="s">
        <v>299</v>
      </c>
      <c r="BH833" s="5" t="s">
        <v>302</v>
      </c>
      <c r="BI833" s="5" t="s">
        <v>303</v>
      </c>
      <c r="BJ833" s="5" t="s">
        <v>240</v>
      </c>
      <c r="BK833" s="8">
        <f>0</f>
        <v>0</v>
      </c>
      <c r="BL833" s="7">
        <f>0</f>
        <v>0</v>
      </c>
      <c r="BM833" s="5" t="s">
        <v>258</v>
      </c>
      <c r="BN833" s="5" t="s">
        <v>259</v>
      </c>
      <c r="CB833" s="5" t="s">
        <v>240</v>
      </c>
      <c r="CC833" s="5" t="s">
        <v>240</v>
      </c>
      <c r="CG833" s="5" t="s">
        <v>617</v>
      </c>
      <c r="CH833" s="5" t="s">
        <v>305</v>
      </c>
      <c r="CI833" s="5" t="s">
        <v>240</v>
      </c>
      <c r="CL833" s="6" t="s">
        <v>261</v>
      </c>
      <c r="CM833" s="5" t="s">
        <v>240</v>
      </c>
      <c r="CN833" s="5" t="s">
        <v>263</v>
      </c>
      <c r="CO833" s="5" t="s">
        <v>240</v>
      </c>
      <c r="CP833" s="5" t="s">
        <v>240</v>
      </c>
      <c r="CQ833" s="5">
        <v>0</v>
      </c>
      <c r="CR833" s="5" t="s">
        <v>306</v>
      </c>
      <c r="CS833" s="5" t="s">
        <v>307</v>
      </c>
      <c r="CT833" s="5" t="s">
        <v>307</v>
      </c>
      <c r="CU833" s="5" t="s">
        <v>260</v>
      </c>
      <c r="CX833" s="7">
        <f>2152980</f>
        <v>2152980</v>
      </c>
      <c r="CY833" s="7">
        <f>0</f>
        <v>0</v>
      </c>
      <c r="DA833" s="7">
        <f>0</f>
        <v>0</v>
      </c>
      <c r="DC833" s="5" t="s">
        <v>618</v>
      </c>
      <c r="DD833" s="5" t="s">
        <v>240</v>
      </c>
      <c r="DF833" s="5" t="s">
        <v>450</v>
      </c>
      <c r="DG833" s="7">
        <f>0</f>
        <v>0</v>
      </c>
      <c r="DI833" s="5" t="s">
        <v>618</v>
      </c>
      <c r="DJ833" s="5" t="s">
        <v>240</v>
      </c>
      <c r="DK833" s="5" t="s">
        <v>240</v>
      </c>
      <c r="DL833" s="5" t="s">
        <v>240</v>
      </c>
      <c r="DP833" s="5" t="s">
        <v>240</v>
      </c>
      <c r="DQ833" s="5" t="s">
        <v>240</v>
      </c>
      <c r="DR833" s="5" t="s">
        <v>240</v>
      </c>
      <c r="DS833" s="5" t="s">
        <v>240</v>
      </c>
      <c r="DV833" s="5" t="s">
        <v>1785</v>
      </c>
      <c r="DW833" s="5" t="s">
        <v>312</v>
      </c>
      <c r="HO833" s="5" t="s">
        <v>312</v>
      </c>
    </row>
    <row r="834" spans="1:223" x14ac:dyDescent="0.4">
      <c r="A834" s="5">
        <v>2509</v>
      </c>
      <c r="B834" s="5">
        <v>1</v>
      </c>
      <c r="C834" s="5">
        <v>1</v>
      </c>
      <c r="D834" s="5" t="s">
        <v>297</v>
      </c>
      <c r="E834" s="5" t="s">
        <v>245</v>
      </c>
      <c r="F834" s="5" t="s">
        <v>254</v>
      </c>
      <c r="G834" s="5" t="s">
        <v>240</v>
      </c>
      <c r="H834" s="6" t="s">
        <v>663</v>
      </c>
      <c r="I834" s="5" t="s">
        <v>295</v>
      </c>
      <c r="J834" s="8">
        <f>168</f>
        <v>168</v>
      </c>
      <c r="K834" s="5" t="s">
        <v>308</v>
      </c>
      <c r="L834" s="7">
        <f>1</f>
        <v>1</v>
      </c>
      <c r="M834" s="7">
        <f>1</f>
        <v>1</v>
      </c>
      <c r="N834" s="5" t="s">
        <v>242</v>
      </c>
      <c r="O834" s="5">
        <v>1</v>
      </c>
      <c r="P834" s="5" t="s">
        <v>294</v>
      </c>
      <c r="Q834" s="5" t="s">
        <v>613</v>
      </c>
      <c r="R834" s="5" t="s">
        <v>240</v>
      </c>
      <c r="S834" s="5" t="s">
        <v>240</v>
      </c>
      <c r="T834" s="5" t="s">
        <v>243</v>
      </c>
      <c r="U834" s="5" t="s">
        <v>244</v>
      </c>
      <c r="V834" s="5" t="s">
        <v>240</v>
      </c>
      <c r="Y834" s="5" t="s">
        <v>240</v>
      </c>
      <c r="Z834" s="6" t="s">
        <v>298</v>
      </c>
      <c r="AB834" s="6" t="s">
        <v>240</v>
      </c>
      <c r="AE834" s="6" t="s">
        <v>299</v>
      </c>
      <c r="AF834" s="5" t="s">
        <v>248</v>
      </c>
      <c r="AG834" s="5" t="s">
        <v>249</v>
      </c>
      <c r="AW834" s="5" t="s">
        <v>251</v>
      </c>
      <c r="AX834" s="5" t="s">
        <v>240</v>
      </c>
      <c r="AY834" s="5" t="s">
        <v>253</v>
      </c>
      <c r="AZ834" s="5" t="s">
        <v>240</v>
      </c>
      <c r="BA834" s="5" t="s">
        <v>255</v>
      </c>
      <c r="BB834" s="5" t="s">
        <v>240</v>
      </c>
      <c r="BD834" s="5" t="s">
        <v>240</v>
      </c>
      <c r="BF834" s="5" t="s">
        <v>301</v>
      </c>
      <c r="BG834" s="6" t="s">
        <v>299</v>
      </c>
      <c r="BH834" s="5" t="s">
        <v>302</v>
      </c>
      <c r="BI834" s="5" t="s">
        <v>303</v>
      </c>
      <c r="BJ834" s="5" t="s">
        <v>240</v>
      </c>
      <c r="BK834" s="8">
        <f>0</f>
        <v>0</v>
      </c>
      <c r="BL834" s="7">
        <f>0</f>
        <v>0</v>
      </c>
      <c r="BM834" s="5" t="s">
        <v>258</v>
      </c>
      <c r="BN834" s="5" t="s">
        <v>259</v>
      </c>
      <c r="CB834" s="5" t="s">
        <v>240</v>
      </c>
      <c r="CC834" s="5" t="s">
        <v>240</v>
      </c>
      <c r="CG834" s="5" t="s">
        <v>617</v>
      </c>
      <c r="CH834" s="5" t="s">
        <v>305</v>
      </c>
      <c r="CI834" s="5" t="s">
        <v>240</v>
      </c>
      <c r="CL834" s="6" t="s">
        <v>261</v>
      </c>
      <c r="CM834" s="5" t="s">
        <v>240</v>
      </c>
      <c r="CN834" s="5" t="s">
        <v>263</v>
      </c>
      <c r="CO834" s="5" t="s">
        <v>240</v>
      </c>
      <c r="CP834" s="5" t="s">
        <v>240</v>
      </c>
      <c r="CQ834" s="5">
        <v>0</v>
      </c>
      <c r="CR834" s="5" t="s">
        <v>306</v>
      </c>
      <c r="CS834" s="5" t="s">
        <v>307</v>
      </c>
      <c r="CT834" s="5" t="s">
        <v>307</v>
      </c>
      <c r="CU834" s="5" t="s">
        <v>260</v>
      </c>
      <c r="CX834" s="7">
        <f>677790</f>
        <v>677790</v>
      </c>
      <c r="CY834" s="7">
        <f>0</f>
        <v>0</v>
      </c>
      <c r="DA834" s="7">
        <f>0</f>
        <v>0</v>
      </c>
      <c r="DC834" s="5" t="s">
        <v>689</v>
      </c>
      <c r="DD834" s="5" t="s">
        <v>240</v>
      </c>
      <c r="DF834" s="5" t="s">
        <v>450</v>
      </c>
      <c r="DG834" s="7">
        <f>0</f>
        <v>0</v>
      </c>
      <c r="DI834" s="5" t="s">
        <v>618</v>
      </c>
      <c r="DJ834" s="5" t="s">
        <v>240</v>
      </c>
      <c r="DK834" s="5" t="s">
        <v>240</v>
      </c>
      <c r="DL834" s="5" t="s">
        <v>240</v>
      </c>
      <c r="DP834" s="5" t="s">
        <v>240</v>
      </c>
      <c r="DQ834" s="5" t="s">
        <v>240</v>
      </c>
      <c r="DR834" s="5" t="s">
        <v>240</v>
      </c>
      <c r="DS834" s="5" t="s">
        <v>240</v>
      </c>
      <c r="DV834" s="5" t="s">
        <v>1800</v>
      </c>
      <c r="DW834" s="5" t="s">
        <v>820</v>
      </c>
      <c r="HO834" s="5" t="s">
        <v>312</v>
      </c>
    </row>
    <row r="835" spans="1:223" x14ac:dyDescent="0.4">
      <c r="A835" s="5">
        <v>2510</v>
      </c>
      <c r="B835" s="5">
        <v>1</v>
      </c>
      <c r="C835" s="5">
        <v>1</v>
      </c>
      <c r="D835" s="5" t="s">
        <v>297</v>
      </c>
      <c r="E835" s="5" t="s">
        <v>245</v>
      </c>
      <c r="F835" s="5" t="s">
        <v>254</v>
      </c>
      <c r="G835" s="5" t="s">
        <v>240</v>
      </c>
      <c r="H835" s="6" t="s">
        <v>661</v>
      </c>
      <c r="I835" s="5" t="s">
        <v>295</v>
      </c>
      <c r="J835" s="8">
        <f>1842</f>
        <v>1842</v>
      </c>
      <c r="K835" s="5" t="s">
        <v>308</v>
      </c>
      <c r="L835" s="7">
        <f>1</f>
        <v>1</v>
      </c>
      <c r="M835" s="7">
        <f>1</f>
        <v>1</v>
      </c>
      <c r="N835" s="5" t="s">
        <v>242</v>
      </c>
      <c r="O835" s="5">
        <v>1</v>
      </c>
      <c r="P835" s="5" t="s">
        <v>294</v>
      </c>
      <c r="Q835" s="5" t="s">
        <v>613</v>
      </c>
      <c r="R835" s="5" t="s">
        <v>240</v>
      </c>
      <c r="S835" s="5" t="s">
        <v>240</v>
      </c>
      <c r="T835" s="5" t="s">
        <v>243</v>
      </c>
      <c r="U835" s="5" t="s">
        <v>244</v>
      </c>
      <c r="V835" s="5" t="s">
        <v>240</v>
      </c>
      <c r="Y835" s="5" t="s">
        <v>240</v>
      </c>
      <c r="Z835" s="6" t="s">
        <v>298</v>
      </c>
      <c r="AB835" s="6" t="s">
        <v>240</v>
      </c>
      <c r="AE835" s="6" t="s">
        <v>299</v>
      </c>
      <c r="AF835" s="5" t="s">
        <v>248</v>
      </c>
      <c r="AG835" s="5" t="s">
        <v>249</v>
      </c>
      <c r="AW835" s="5" t="s">
        <v>251</v>
      </c>
      <c r="AX835" s="5" t="s">
        <v>240</v>
      </c>
      <c r="AY835" s="5" t="s">
        <v>253</v>
      </c>
      <c r="AZ835" s="5" t="s">
        <v>240</v>
      </c>
      <c r="BA835" s="5" t="s">
        <v>255</v>
      </c>
      <c r="BB835" s="5" t="s">
        <v>240</v>
      </c>
      <c r="BD835" s="5" t="s">
        <v>240</v>
      </c>
      <c r="BF835" s="5" t="s">
        <v>301</v>
      </c>
      <c r="BG835" s="6" t="s">
        <v>299</v>
      </c>
      <c r="BH835" s="5" t="s">
        <v>302</v>
      </c>
      <c r="BI835" s="5" t="s">
        <v>303</v>
      </c>
      <c r="BJ835" s="5" t="s">
        <v>240</v>
      </c>
      <c r="BK835" s="8">
        <f>0</f>
        <v>0</v>
      </c>
      <c r="BL835" s="7">
        <f>0</f>
        <v>0</v>
      </c>
      <c r="BM835" s="5" t="s">
        <v>258</v>
      </c>
      <c r="BN835" s="5" t="s">
        <v>259</v>
      </c>
      <c r="CB835" s="5" t="s">
        <v>240</v>
      </c>
      <c r="CC835" s="5" t="s">
        <v>240</v>
      </c>
      <c r="CG835" s="5" t="s">
        <v>617</v>
      </c>
      <c r="CH835" s="5" t="s">
        <v>305</v>
      </c>
      <c r="CI835" s="5" t="s">
        <v>240</v>
      </c>
      <c r="CL835" s="6" t="s">
        <v>261</v>
      </c>
      <c r="CM835" s="5" t="s">
        <v>240</v>
      </c>
      <c r="CN835" s="5" t="s">
        <v>263</v>
      </c>
      <c r="CO835" s="5" t="s">
        <v>240</v>
      </c>
      <c r="CP835" s="5" t="s">
        <v>240</v>
      </c>
      <c r="CQ835" s="5">
        <v>0</v>
      </c>
      <c r="CR835" s="5" t="s">
        <v>306</v>
      </c>
      <c r="CS835" s="5" t="s">
        <v>307</v>
      </c>
      <c r="CT835" s="5" t="s">
        <v>307</v>
      </c>
      <c r="CU835" s="5" t="s">
        <v>260</v>
      </c>
      <c r="CX835" s="7">
        <f>50945</f>
        <v>50945</v>
      </c>
      <c r="CY835" s="7">
        <f>0</f>
        <v>0</v>
      </c>
      <c r="DA835" s="7">
        <f>0</f>
        <v>0</v>
      </c>
      <c r="DC835" s="5" t="s">
        <v>689</v>
      </c>
      <c r="DD835" s="5" t="s">
        <v>240</v>
      </c>
      <c r="DF835" s="5" t="s">
        <v>450</v>
      </c>
      <c r="DG835" s="7">
        <f>0</f>
        <v>0</v>
      </c>
      <c r="DI835" s="5" t="s">
        <v>618</v>
      </c>
      <c r="DJ835" s="5" t="s">
        <v>240</v>
      </c>
      <c r="DK835" s="5" t="s">
        <v>240</v>
      </c>
      <c r="DL835" s="5" t="s">
        <v>240</v>
      </c>
      <c r="DP835" s="5" t="s">
        <v>240</v>
      </c>
      <c r="DQ835" s="5" t="s">
        <v>240</v>
      </c>
      <c r="DR835" s="5" t="s">
        <v>240</v>
      </c>
      <c r="DS835" s="5" t="s">
        <v>240</v>
      </c>
      <c r="DV835" s="5" t="s">
        <v>1800</v>
      </c>
      <c r="DW835" s="5" t="s">
        <v>691</v>
      </c>
      <c r="HO835" s="5" t="s">
        <v>312</v>
      </c>
    </row>
    <row r="836" spans="1:223" x14ac:dyDescent="0.4">
      <c r="A836" s="5">
        <v>2511</v>
      </c>
      <c r="B836" s="5">
        <v>1</v>
      </c>
      <c r="C836" s="5">
        <v>1</v>
      </c>
      <c r="D836" s="5" t="s">
        <v>297</v>
      </c>
      <c r="E836" s="5" t="s">
        <v>245</v>
      </c>
      <c r="F836" s="5" t="s">
        <v>254</v>
      </c>
      <c r="G836" s="5" t="s">
        <v>240</v>
      </c>
      <c r="H836" s="6" t="s">
        <v>659</v>
      </c>
      <c r="I836" s="5" t="s">
        <v>295</v>
      </c>
      <c r="J836" s="8">
        <f>825</f>
        <v>825</v>
      </c>
      <c r="K836" s="5" t="s">
        <v>308</v>
      </c>
      <c r="L836" s="7">
        <f>1</f>
        <v>1</v>
      </c>
      <c r="M836" s="7">
        <f>1</f>
        <v>1</v>
      </c>
      <c r="N836" s="5" t="s">
        <v>242</v>
      </c>
      <c r="O836" s="5">
        <v>1</v>
      </c>
      <c r="P836" s="5" t="s">
        <v>294</v>
      </c>
      <c r="Q836" s="5" t="s">
        <v>613</v>
      </c>
      <c r="R836" s="5" t="s">
        <v>240</v>
      </c>
      <c r="S836" s="5" t="s">
        <v>240</v>
      </c>
      <c r="T836" s="5" t="s">
        <v>243</v>
      </c>
      <c r="U836" s="5" t="s">
        <v>244</v>
      </c>
      <c r="V836" s="5" t="s">
        <v>240</v>
      </c>
      <c r="Y836" s="5" t="s">
        <v>240</v>
      </c>
      <c r="Z836" s="6" t="s">
        <v>298</v>
      </c>
      <c r="AB836" s="6" t="s">
        <v>240</v>
      </c>
      <c r="AE836" s="6" t="s">
        <v>299</v>
      </c>
      <c r="AF836" s="5" t="s">
        <v>248</v>
      </c>
      <c r="AG836" s="5" t="s">
        <v>249</v>
      </c>
      <c r="AW836" s="5" t="s">
        <v>251</v>
      </c>
      <c r="AX836" s="5" t="s">
        <v>240</v>
      </c>
      <c r="AY836" s="5" t="s">
        <v>253</v>
      </c>
      <c r="AZ836" s="5" t="s">
        <v>240</v>
      </c>
      <c r="BA836" s="5" t="s">
        <v>255</v>
      </c>
      <c r="BB836" s="5" t="s">
        <v>240</v>
      </c>
      <c r="BD836" s="5" t="s">
        <v>240</v>
      </c>
      <c r="BF836" s="5" t="s">
        <v>301</v>
      </c>
      <c r="BG836" s="6" t="s">
        <v>299</v>
      </c>
      <c r="BH836" s="5" t="s">
        <v>302</v>
      </c>
      <c r="BI836" s="5" t="s">
        <v>303</v>
      </c>
      <c r="BJ836" s="5" t="s">
        <v>240</v>
      </c>
      <c r="BK836" s="8">
        <f>0</f>
        <v>0</v>
      </c>
      <c r="BL836" s="7">
        <f>0</f>
        <v>0</v>
      </c>
      <c r="BM836" s="5" t="s">
        <v>258</v>
      </c>
      <c r="BN836" s="5" t="s">
        <v>259</v>
      </c>
      <c r="CB836" s="5" t="s">
        <v>240</v>
      </c>
      <c r="CC836" s="5" t="s">
        <v>240</v>
      </c>
      <c r="CG836" s="5" t="s">
        <v>617</v>
      </c>
      <c r="CH836" s="5" t="s">
        <v>305</v>
      </c>
      <c r="CI836" s="5" t="s">
        <v>240</v>
      </c>
      <c r="CL836" s="6" t="s">
        <v>261</v>
      </c>
      <c r="CM836" s="5" t="s">
        <v>240</v>
      </c>
      <c r="CN836" s="5" t="s">
        <v>263</v>
      </c>
      <c r="CO836" s="5" t="s">
        <v>240</v>
      </c>
      <c r="CP836" s="5" t="s">
        <v>240</v>
      </c>
      <c r="CQ836" s="5">
        <v>0</v>
      </c>
      <c r="CR836" s="5" t="s">
        <v>306</v>
      </c>
      <c r="CS836" s="5" t="s">
        <v>307</v>
      </c>
      <c r="CT836" s="5" t="s">
        <v>307</v>
      </c>
      <c r="CU836" s="5" t="s">
        <v>260</v>
      </c>
      <c r="CX836" s="7">
        <f>1134080</f>
        <v>1134080</v>
      </c>
      <c r="CY836" s="7">
        <f>0</f>
        <v>0</v>
      </c>
      <c r="DA836" s="7">
        <f>0</f>
        <v>0</v>
      </c>
      <c r="DC836" s="5" t="s">
        <v>689</v>
      </c>
      <c r="DD836" s="5" t="s">
        <v>240</v>
      </c>
      <c r="DF836" s="5" t="s">
        <v>450</v>
      </c>
      <c r="DG836" s="7">
        <f>0</f>
        <v>0</v>
      </c>
      <c r="DI836" s="5" t="s">
        <v>618</v>
      </c>
      <c r="DJ836" s="5" t="s">
        <v>240</v>
      </c>
      <c r="DK836" s="5" t="s">
        <v>240</v>
      </c>
      <c r="DL836" s="5" t="s">
        <v>240</v>
      </c>
      <c r="DP836" s="5" t="s">
        <v>240</v>
      </c>
      <c r="DQ836" s="5" t="s">
        <v>240</v>
      </c>
      <c r="DR836" s="5" t="s">
        <v>240</v>
      </c>
      <c r="DS836" s="5" t="s">
        <v>240</v>
      </c>
      <c r="DV836" s="5" t="s">
        <v>1800</v>
      </c>
      <c r="DW836" s="5" t="s">
        <v>620</v>
      </c>
      <c r="HO836" s="5" t="s">
        <v>312</v>
      </c>
    </row>
    <row r="837" spans="1:223" x14ac:dyDescent="0.4">
      <c r="A837" s="5">
        <v>2512</v>
      </c>
      <c r="B837" s="5">
        <v>1</v>
      </c>
      <c r="C837" s="5">
        <v>1</v>
      </c>
      <c r="D837" s="5" t="s">
        <v>297</v>
      </c>
      <c r="E837" s="5" t="s">
        <v>245</v>
      </c>
      <c r="F837" s="5" t="s">
        <v>254</v>
      </c>
      <c r="G837" s="5" t="s">
        <v>240</v>
      </c>
      <c r="H837" s="6" t="s">
        <v>657</v>
      </c>
      <c r="I837" s="5" t="s">
        <v>295</v>
      </c>
      <c r="J837" s="8">
        <f>1622</f>
        <v>1622</v>
      </c>
      <c r="K837" s="5" t="s">
        <v>308</v>
      </c>
      <c r="L837" s="7">
        <f>1</f>
        <v>1</v>
      </c>
      <c r="M837" s="7">
        <f>1</f>
        <v>1</v>
      </c>
      <c r="N837" s="5" t="s">
        <v>242</v>
      </c>
      <c r="O837" s="5">
        <v>1</v>
      </c>
      <c r="P837" s="5" t="s">
        <v>294</v>
      </c>
      <c r="Q837" s="5" t="s">
        <v>613</v>
      </c>
      <c r="R837" s="5" t="s">
        <v>240</v>
      </c>
      <c r="S837" s="5" t="s">
        <v>240</v>
      </c>
      <c r="T837" s="5" t="s">
        <v>243</v>
      </c>
      <c r="U837" s="5" t="s">
        <v>244</v>
      </c>
      <c r="V837" s="5" t="s">
        <v>240</v>
      </c>
      <c r="Y837" s="5" t="s">
        <v>240</v>
      </c>
      <c r="Z837" s="6" t="s">
        <v>298</v>
      </c>
      <c r="AB837" s="6" t="s">
        <v>240</v>
      </c>
      <c r="AE837" s="6" t="s">
        <v>299</v>
      </c>
      <c r="AF837" s="5" t="s">
        <v>248</v>
      </c>
      <c r="AG837" s="5" t="s">
        <v>249</v>
      </c>
      <c r="AW837" s="5" t="s">
        <v>251</v>
      </c>
      <c r="AX837" s="5" t="s">
        <v>240</v>
      </c>
      <c r="AY837" s="5" t="s">
        <v>253</v>
      </c>
      <c r="AZ837" s="5" t="s">
        <v>240</v>
      </c>
      <c r="BA837" s="5" t="s">
        <v>255</v>
      </c>
      <c r="BB837" s="5" t="s">
        <v>240</v>
      </c>
      <c r="BD837" s="5" t="s">
        <v>240</v>
      </c>
      <c r="BF837" s="5" t="s">
        <v>301</v>
      </c>
      <c r="BG837" s="6" t="s">
        <v>299</v>
      </c>
      <c r="BH837" s="5" t="s">
        <v>302</v>
      </c>
      <c r="BI837" s="5" t="s">
        <v>303</v>
      </c>
      <c r="BJ837" s="5" t="s">
        <v>240</v>
      </c>
      <c r="BK837" s="8">
        <f>0</f>
        <v>0</v>
      </c>
      <c r="BL837" s="7">
        <f>0</f>
        <v>0</v>
      </c>
      <c r="BM837" s="5" t="s">
        <v>258</v>
      </c>
      <c r="BN837" s="5" t="s">
        <v>259</v>
      </c>
      <c r="CB837" s="5" t="s">
        <v>240</v>
      </c>
      <c r="CC837" s="5" t="s">
        <v>240</v>
      </c>
      <c r="CG837" s="5" t="s">
        <v>617</v>
      </c>
      <c r="CH837" s="5" t="s">
        <v>305</v>
      </c>
      <c r="CI837" s="5" t="s">
        <v>240</v>
      </c>
      <c r="CL837" s="6" t="s">
        <v>261</v>
      </c>
      <c r="CM837" s="5" t="s">
        <v>240</v>
      </c>
      <c r="CN837" s="5" t="s">
        <v>263</v>
      </c>
      <c r="CO837" s="5" t="s">
        <v>240</v>
      </c>
      <c r="CP837" s="5" t="s">
        <v>240</v>
      </c>
      <c r="CQ837" s="5">
        <v>0</v>
      </c>
      <c r="CR837" s="5" t="s">
        <v>306</v>
      </c>
      <c r="CS837" s="5" t="s">
        <v>307</v>
      </c>
      <c r="CT837" s="5" t="s">
        <v>307</v>
      </c>
      <c r="CU837" s="5" t="s">
        <v>260</v>
      </c>
      <c r="CX837" s="7">
        <f>1036620</f>
        <v>1036620</v>
      </c>
      <c r="CY837" s="7">
        <f>0</f>
        <v>0</v>
      </c>
      <c r="DA837" s="7">
        <f>0</f>
        <v>0</v>
      </c>
      <c r="DC837" s="5" t="s">
        <v>689</v>
      </c>
      <c r="DD837" s="5" t="s">
        <v>240</v>
      </c>
      <c r="DF837" s="5" t="s">
        <v>450</v>
      </c>
      <c r="DG837" s="7">
        <f>0</f>
        <v>0</v>
      </c>
      <c r="DI837" s="5" t="s">
        <v>618</v>
      </c>
      <c r="DJ837" s="5" t="s">
        <v>240</v>
      </c>
      <c r="DK837" s="5" t="s">
        <v>240</v>
      </c>
      <c r="DL837" s="5" t="s">
        <v>240</v>
      </c>
      <c r="DP837" s="5" t="s">
        <v>240</v>
      </c>
      <c r="DQ837" s="5" t="s">
        <v>240</v>
      </c>
      <c r="DR837" s="5" t="s">
        <v>240</v>
      </c>
      <c r="DS837" s="5" t="s">
        <v>240</v>
      </c>
      <c r="DV837" s="5" t="s">
        <v>1800</v>
      </c>
      <c r="DW837" s="5" t="s">
        <v>621</v>
      </c>
      <c r="HO837" s="5" t="s">
        <v>312</v>
      </c>
    </row>
    <row r="838" spans="1:223" x14ac:dyDescent="0.4">
      <c r="A838" s="5">
        <v>2513</v>
      </c>
      <c r="B838" s="5">
        <v>1</v>
      </c>
      <c r="C838" s="5">
        <v>1</v>
      </c>
      <c r="D838" s="5" t="s">
        <v>297</v>
      </c>
      <c r="E838" s="5" t="s">
        <v>245</v>
      </c>
      <c r="F838" s="5" t="s">
        <v>254</v>
      </c>
      <c r="G838" s="5" t="s">
        <v>240</v>
      </c>
      <c r="H838" s="6" t="s">
        <v>655</v>
      </c>
      <c r="I838" s="5" t="s">
        <v>295</v>
      </c>
      <c r="J838" s="8">
        <f>6431</f>
        <v>6431</v>
      </c>
      <c r="K838" s="5" t="s">
        <v>308</v>
      </c>
      <c r="L838" s="7">
        <f>1</f>
        <v>1</v>
      </c>
      <c r="M838" s="7">
        <f>1</f>
        <v>1</v>
      </c>
      <c r="N838" s="5" t="s">
        <v>242</v>
      </c>
      <c r="O838" s="5">
        <v>1</v>
      </c>
      <c r="P838" s="5" t="s">
        <v>294</v>
      </c>
      <c r="Q838" s="5" t="s">
        <v>266</v>
      </c>
      <c r="R838" s="5" t="s">
        <v>240</v>
      </c>
      <c r="S838" s="5" t="s">
        <v>240</v>
      </c>
      <c r="T838" s="5" t="s">
        <v>296</v>
      </c>
      <c r="U838" s="5" t="s">
        <v>244</v>
      </c>
      <c r="V838" s="5" t="s">
        <v>240</v>
      </c>
      <c r="Y838" s="5" t="s">
        <v>240</v>
      </c>
      <c r="Z838" s="6" t="s">
        <v>298</v>
      </c>
      <c r="AB838" s="6" t="s">
        <v>240</v>
      </c>
      <c r="AE838" s="6" t="s">
        <v>299</v>
      </c>
      <c r="AF838" s="5" t="s">
        <v>248</v>
      </c>
      <c r="AG838" s="5" t="s">
        <v>249</v>
      </c>
      <c r="AW838" s="5" t="s">
        <v>251</v>
      </c>
      <c r="AX838" s="5" t="s">
        <v>240</v>
      </c>
      <c r="AY838" s="5" t="s">
        <v>253</v>
      </c>
      <c r="AZ838" s="5" t="s">
        <v>240</v>
      </c>
      <c r="BA838" s="5" t="s">
        <v>255</v>
      </c>
      <c r="BB838" s="5" t="s">
        <v>240</v>
      </c>
      <c r="BD838" s="5" t="s">
        <v>240</v>
      </c>
      <c r="BF838" s="5" t="s">
        <v>301</v>
      </c>
      <c r="BG838" s="6" t="s">
        <v>299</v>
      </c>
      <c r="BH838" s="5" t="s">
        <v>302</v>
      </c>
      <c r="BI838" s="5" t="s">
        <v>303</v>
      </c>
      <c r="BJ838" s="5" t="s">
        <v>240</v>
      </c>
      <c r="BK838" s="8">
        <f>0</f>
        <v>0</v>
      </c>
      <c r="BL838" s="7">
        <f>0</f>
        <v>0</v>
      </c>
      <c r="BM838" s="5" t="s">
        <v>258</v>
      </c>
      <c r="BN838" s="5" t="s">
        <v>259</v>
      </c>
      <c r="CB838" s="5" t="s">
        <v>240</v>
      </c>
      <c r="CC838" s="5" t="s">
        <v>240</v>
      </c>
      <c r="CG838" s="5" t="s">
        <v>304</v>
      </c>
      <c r="CH838" s="5" t="s">
        <v>305</v>
      </c>
      <c r="CI838" s="5" t="s">
        <v>240</v>
      </c>
      <c r="CL838" s="6" t="s">
        <v>261</v>
      </c>
      <c r="CM838" s="5" t="s">
        <v>240</v>
      </c>
      <c r="CN838" s="5" t="s">
        <v>263</v>
      </c>
      <c r="CO838" s="5" t="s">
        <v>240</v>
      </c>
      <c r="CP838" s="5" t="s">
        <v>240</v>
      </c>
      <c r="CQ838" s="5">
        <v>0</v>
      </c>
      <c r="CR838" s="5" t="s">
        <v>306</v>
      </c>
      <c r="CS838" s="5" t="s">
        <v>307</v>
      </c>
      <c r="CT838" s="5" t="s">
        <v>307</v>
      </c>
      <c r="CU838" s="5" t="s">
        <v>260</v>
      </c>
      <c r="CX838" s="7">
        <f>1</f>
        <v>1</v>
      </c>
      <c r="CY838" s="7">
        <f>0</f>
        <v>0</v>
      </c>
      <c r="DA838" s="7">
        <f>0</f>
        <v>0</v>
      </c>
      <c r="DC838" s="5" t="s">
        <v>812</v>
      </c>
      <c r="DD838" s="5" t="s">
        <v>240</v>
      </c>
      <c r="DF838" s="5" t="s">
        <v>812</v>
      </c>
      <c r="DG838" s="7">
        <f>97</f>
        <v>97</v>
      </c>
      <c r="DI838" s="5" t="s">
        <v>240</v>
      </c>
      <c r="DJ838" s="5" t="s">
        <v>240</v>
      </c>
      <c r="DK838" s="5" t="s">
        <v>240</v>
      </c>
      <c r="DL838" s="5" t="s">
        <v>240</v>
      </c>
      <c r="DP838" s="5" t="s">
        <v>240</v>
      </c>
      <c r="DQ838" s="5" t="s">
        <v>240</v>
      </c>
      <c r="DR838" s="5" t="s">
        <v>240</v>
      </c>
      <c r="DS838" s="5" t="s">
        <v>240</v>
      </c>
      <c r="DV838" s="5" t="s">
        <v>813</v>
      </c>
      <c r="DW838" s="5" t="s">
        <v>1781</v>
      </c>
      <c r="HO838" s="5" t="s">
        <v>312</v>
      </c>
    </row>
    <row r="839" spans="1:223" x14ac:dyDescent="0.4">
      <c r="A839" s="5">
        <v>2514</v>
      </c>
      <c r="B839" s="5">
        <v>1</v>
      </c>
      <c r="C839" s="5">
        <v>1</v>
      </c>
      <c r="D839" s="5" t="s">
        <v>297</v>
      </c>
      <c r="E839" s="5" t="s">
        <v>245</v>
      </c>
      <c r="F839" s="5" t="s">
        <v>254</v>
      </c>
      <c r="G839" s="5" t="s">
        <v>240</v>
      </c>
      <c r="H839" s="6" t="s">
        <v>653</v>
      </c>
      <c r="I839" s="5" t="s">
        <v>295</v>
      </c>
      <c r="J839" s="8">
        <f>2169</f>
        <v>2169</v>
      </c>
      <c r="K839" s="5" t="s">
        <v>308</v>
      </c>
      <c r="L839" s="7">
        <f>1</f>
        <v>1</v>
      </c>
      <c r="M839" s="7">
        <f>1</f>
        <v>1</v>
      </c>
      <c r="N839" s="5" t="s">
        <v>242</v>
      </c>
      <c r="O839" s="5">
        <v>1</v>
      </c>
      <c r="P839" s="5" t="s">
        <v>294</v>
      </c>
      <c r="Q839" s="5" t="s">
        <v>613</v>
      </c>
      <c r="R839" s="5" t="s">
        <v>240</v>
      </c>
      <c r="S839" s="5" t="s">
        <v>240</v>
      </c>
      <c r="T839" s="5" t="s">
        <v>243</v>
      </c>
      <c r="U839" s="5" t="s">
        <v>244</v>
      </c>
      <c r="V839" s="5" t="s">
        <v>240</v>
      </c>
      <c r="Y839" s="5" t="s">
        <v>240</v>
      </c>
      <c r="Z839" s="6" t="s">
        <v>298</v>
      </c>
      <c r="AB839" s="6" t="s">
        <v>240</v>
      </c>
      <c r="AE839" s="6" t="s">
        <v>299</v>
      </c>
      <c r="AF839" s="5" t="s">
        <v>248</v>
      </c>
      <c r="AG839" s="5" t="s">
        <v>249</v>
      </c>
      <c r="AW839" s="5" t="s">
        <v>251</v>
      </c>
      <c r="AX839" s="5" t="s">
        <v>240</v>
      </c>
      <c r="AY839" s="5" t="s">
        <v>253</v>
      </c>
      <c r="AZ839" s="5" t="s">
        <v>240</v>
      </c>
      <c r="BA839" s="5" t="s">
        <v>255</v>
      </c>
      <c r="BB839" s="5" t="s">
        <v>240</v>
      </c>
      <c r="BD839" s="5" t="s">
        <v>686</v>
      </c>
      <c r="BF839" s="5" t="s">
        <v>301</v>
      </c>
      <c r="BG839" s="6" t="s">
        <v>299</v>
      </c>
      <c r="BH839" s="5" t="s">
        <v>302</v>
      </c>
      <c r="BI839" s="5" t="s">
        <v>303</v>
      </c>
      <c r="BJ839" s="5" t="s">
        <v>240</v>
      </c>
      <c r="BK839" s="8">
        <f>0</f>
        <v>0</v>
      </c>
      <c r="BL839" s="7">
        <f>0</f>
        <v>0</v>
      </c>
      <c r="BM839" s="5" t="s">
        <v>258</v>
      </c>
      <c r="BN839" s="5" t="s">
        <v>259</v>
      </c>
      <c r="CB839" s="5" t="s">
        <v>240</v>
      </c>
      <c r="CC839" s="5" t="s">
        <v>240</v>
      </c>
      <c r="CG839" s="5" t="s">
        <v>617</v>
      </c>
      <c r="CH839" s="5" t="s">
        <v>305</v>
      </c>
      <c r="CI839" s="5" t="s">
        <v>240</v>
      </c>
      <c r="CL839" s="6" t="s">
        <v>261</v>
      </c>
      <c r="CM839" s="5" t="s">
        <v>240</v>
      </c>
      <c r="CN839" s="5" t="s">
        <v>263</v>
      </c>
      <c r="CO839" s="5" t="s">
        <v>240</v>
      </c>
      <c r="CP839" s="5" t="s">
        <v>240</v>
      </c>
      <c r="CQ839" s="5">
        <v>0</v>
      </c>
      <c r="CR839" s="5" t="s">
        <v>306</v>
      </c>
      <c r="CS839" s="5" t="s">
        <v>307</v>
      </c>
      <c r="CT839" s="5" t="s">
        <v>307</v>
      </c>
      <c r="CU839" s="5" t="s">
        <v>260</v>
      </c>
      <c r="CX839" s="7">
        <f>7473410</f>
        <v>7473410</v>
      </c>
      <c r="CY839" s="7">
        <f>0</f>
        <v>0</v>
      </c>
      <c r="DA839" s="7">
        <f>0</f>
        <v>0</v>
      </c>
      <c r="DC839" s="5" t="s">
        <v>689</v>
      </c>
      <c r="DD839" s="5" t="s">
        <v>240</v>
      </c>
      <c r="DF839" s="5" t="s">
        <v>450</v>
      </c>
      <c r="DG839" s="7">
        <f>0</f>
        <v>0</v>
      </c>
      <c r="DI839" s="5" t="s">
        <v>618</v>
      </c>
      <c r="DJ839" s="5" t="s">
        <v>240</v>
      </c>
      <c r="DK839" s="5" t="s">
        <v>240</v>
      </c>
      <c r="DL839" s="5" t="s">
        <v>240</v>
      </c>
      <c r="DP839" s="5" t="s">
        <v>240</v>
      </c>
      <c r="DQ839" s="5" t="s">
        <v>240</v>
      </c>
      <c r="DR839" s="5" t="s">
        <v>240</v>
      </c>
      <c r="DS839" s="5" t="s">
        <v>240</v>
      </c>
      <c r="DV839" s="5" t="s">
        <v>1808</v>
      </c>
      <c r="DW839" s="5" t="s">
        <v>312</v>
      </c>
      <c r="HO839" s="5" t="s">
        <v>312</v>
      </c>
    </row>
    <row r="840" spans="1:223" x14ac:dyDescent="0.4">
      <c r="A840" s="5">
        <v>2515</v>
      </c>
      <c r="B840" s="5">
        <v>1</v>
      </c>
      <c r="C840" s="5">
        <v>1</v>
      </c>
      <c r="D840" s="5" t="s">
        <v>297</v>
      </c>
      <c r="E840" s="5" t="s">
        <v>245</v>
      </c>
      <c r="F840" s="5" t="s">
        <v>254</v>
      </c>
      <c r="G840" s="5" t="s">
        <v>240</v>
      </c>
      <c r="H840" s="6" t="s">
        <v>651</v>
      </c>
      <c r="I840" s="5" t="s">
        <v>295</v>
      </c>
      <c r="J840" s="8">
        <f>2646</f>
        <v>2646</v>
      </c>
      <c r="K840" s="5" t="s">
        <v>308</v>
      </c>
      <c r="L840" s="7">
        <f>1</f>
        <v>1</v>
      </c>
      <c r="M840" s="7">
        <f>1</f>
        <v>1</v>
      </c>
      <c r="N840" s="5" t="s">
        <v>242</v>
      </c>
      <c r="O840" s="5">
        <v>1</v>
      </c>
      <c r="P840" s="5" t="s">
        <v>294</v>
      </c>
      <c r="Q840" s="5" t="s">
        <v>613</v>
      </c>
      <c r="R840" s="5" t="s">
        <v>240</v>
      </c>
      <c r="S840" s="5" t="s">
        <v>240</v>
      </c>
      <c r="T840" s="5" t="s">
        <v>243</v>
      </c>
      <c r="U840" s="5" t="s">
        <v>244</v>
      </c>
      <c r="V840" s="5" t="s">
        <v>240</v>
      </c>
      <c r="Y840" s="5" t="s">
        <v>240</v>
      </c>
      <c r="Z840" s="6" t="s">
        <v>298</v>
      </c>
      <c r="AB840" s="6" t="s">
        <v>240</v>
      </c>
      <c r="AE840" s="6" t="s">
        <v>299</v>
      </c>
      <c r="AF840" s="5" t="s">
        <v>248</v>
      </c>
      <c r="AG840" s="5" t="s">
        <v>249</v>
      </c>
      <c r="AW840" s="5" t="s">
        <v>251</v>
      </c>
      <c r="AX840" s="5" t="s">
        <v>240</v>
      </c>
      <c r="AY840" s="5" t="s">
        <v>253</v>
      </c>
      <c r="AZ840" s="5" t="s">
        <v>240</v>
      </c>
      <c r="BA840" s="5" t="s">
        <v>255</v>
      </c>
      <c r="BB840" s="5" t="s">
        <v>240</v>
      </c>
      <c r="BD840" s="5" t="s">
        <v>240</v>
      </c>
      <c r="BF840" s="5" t="s">
        <v>301</v>
      </c>
      <c r="BG840" s="6" t="s">
        <v>299</v>
      </c>
      <c r="BH840" s="5" t="s">
        <v>302</v>
      </c>
      <c r="BI840" s="5" t="s">
        <v>303</v>
      </c>
      <c r="BJ840" s="5" t="s">
        <v>240</v>
      </c>
      <c r="BK840" s="8">
        <f>0</f>
        <v>0</v>
      </c>
      <c r="BL840" s="7">
        <f>0</f>
        <v>0</v>
      </c>
      <c r="BM840" s="5" t="s">
        <v>258</v>
      </c>
      <c r="BN840" s="5" t="s">
        <v>259</v>
      </c>
      <c r="CB840" s="5" t="s">
        <v>240</v>
      </c>
      <c r="CC840" s="5" t="s">
        <v>240</v>
      </c>
      <c r="CG840" s="5" t="s">
        <v>617</v>
      </c>
      <c r="CH840" s="5" t="s">
        <v>305</v>
      </c>
      <c r="CI840" s="5" t="s">
        <v>240</v>
      </c>
      <c r="CL840" s="6" t="s">
        <v>261</v>
      </c>
      <c r="CM840" s="5" t="s">
        <v>240</v>
      </c>
      <c r="CN840" s="5" t="s">
        <v>263</v>
      </c>
      <c r="CO840" s="5" t="s">
        <v>240</v>
      </c>
      <c r="CP840" s="5" t="s">
        <v>240</v>
      </c>
      <c r="CQ840" s="5">
        <v>0</v>
      </c>
      <c r="CR840" s="5" t="s">
        <v>306</v>
      </c>
      <c r="CS840" s="5" t="s">
        <v>307</v>
      </c>
      <c r="CT840" s="5" t="s">
        <v>307</v>
      </c>
      <c r="CU840" s="5" t="s">
        <v>260</v>
      </c>
      <c r="CX840" s="7">
        <f>276875</f>
        <v>276875</v>
      </c>
      <c r="CY840" s="7">
        <f>0</f>
        <v>0</v>
      </c>
      <c r="DA840" s="7">
        <f>0</f>
        <v>0</v>
      </c>
      <c r="DC840" s="5" t="s">
        <v>689</v>
      </c>
      <c r="DD840" s="5" t="s">
        <v>240</v>
      </c>
      <c r="DF840" s="5" t="s">
        <v>450</v>
      </c>
      <c r="DG840" s="7">
        <f>0</f>
        <v>0</v>
      </c>
      <c r="DI840" s="5" t="s">
        <v>618</v>
      </c>
      <c r="DJ840" s="5" t="s">
        <v>240</v>
      </c>
      <c r="DK840" s="5" t="s">
        <v>240</v>
      </c>
      <c r="DL840" s="5" t="s">
        <v>240</v>
      </c>
      <c r="DP840" s="5" t="s">
        <v>240</v>
      </c>
      <c r="DQ840" s="5" t="s">
        <v>240</v>
      </c>
      <c r="DR840" s="5" t="s">
        <v>240</v>
      </c>
      <c r="DS840" s="5" t="s">
        <v>240</v>
      </c>
      <c r="DV840" s="5" t="s">
        <v>1812</v>
      </c>
      <c r="DW840" s="5" t="s">
        <v>621</v>
      </c>
      <c r="HO840" s="5" t="s">
        <v>312</v>
      </c>
    </row>
    <row r="841" spans="1:223" x14ac:dyDescent="0.4">
      <c r="A841" s="5">
        <v>2516</v>
      </c>
      <c r="B841" s="5">
        <v>1</v>
      </c>
      <c r="C841" s="5">
        <v>1</v>
      </c>
      <c r="D841" s="5" t="s">
        <v>297</v>
      </c>
      <c r="E841" s="5" t="s">
        <v>245</v>
      </c>
      <c r="F841" s="5" t="s">
        <v>254</v>
      </c>
      <c r="G841" s="5" t="s">
        <v>240</v>
      </c>
      <c r="H841" s="6" t="s">
        <v>650</v>
      </c>
      <c r="I841" s="5" t="s">
        <v>295</v>
      </c>
      <c r="J841" s="8">
        <f>1644</f>
        <v>1644</v>
      </c>
      <c r="K841" s="5" t="s">
        <v>308</v>
      </c>
      <c r="L841" s="7">
        <f>1</f>
        <v>1</v>
      </c>
      <c r="M841" s="7">
        <f>1</f>
        <v>1</v>
      </c>
      <c r="N841" s="5" t="s">
        <v>242</v>
      </c>
      <c r="O841" s="5">
        <v>1</v>
      </c>
      <c r="P841" s="5" t="s">
        <v>294</v>
      </c>
      <c r="Q841" s="5" t="s">
        <v>613</v>
      </c>
      <c r="R841" s="5" t="s">
        <v>240</v>
      </c>
      <c r="S841" s="5" t="s">
        <v>240</v>
      </c>
      <c r="T841" s="5" t="s">
        <v>243</v>
      </c>
      <c r="U841" s="5" t="s">
        <v>244</v>
      </c>
      <c r="V841" s="5" t="s">
        <v>240</v>
      </c>
      <c r="Y841" s="5" t="s">
        <v>240</v>
      </c>
      <c r="Z841" s="6" t="s">
        <v>298</v>
      </c>
      <c r="AB841" s="6" t="s">
        <v>240</v>
      </c>
      <c r="AE841" s="6" t="s">
        <v>299</v>
      </c>
      <c r="AF841" s="5" t="s">
        <v>248</v>
      </c>
      <c r="AG841" s="5" t="s">
        <v>249</v>
      </c>
      <c r="AW841" s="5" t="s">
        <v>251</v>
      </c>
      <c r="AX841" s="5" t="s">
        <v>240</v>
      </c>
      <c r="AY841" s="5" t="s">
        <v>253</v>
      </c>
      <c r="AZ841" s="5" t="s">
        <v>240</v>
      </c>
      <c r="BA841" s="5" t="s">
        <v>255</v>
      </c>
      <c r="BB841" s="5" t="s">
        <v>240</v>
      </c>
      <c r="BD841" s="5" t="s">
        <v>686</v>
      </c>
      <c r="BF841" s="5" t="s">
        <v>301</v>
      </c>
      <c r="BG841" s="6" t="s">
        <v>299</v>
      </c>
      <c r="BH841" s="5" t="s">
        <v>302</v>
      </c>
      <c r="BI841" s="5" t="s">
        <v>303</v>
      </c>
      <c r="BJ841" s="5" t="s">
        <v>240</v>
      </c>
      <c r="BK841" s="8">
        <f>0</f>
        <v>0</v>
      </c>
      <c r="BL841" s="7">
        <f>0</f>
        <v>0</v>
      </c>
      <c r="BM841" s="5" t="s">
        <v>258</v>
      </c>
      <c r="BN841" s="5" t="s">
        <v>259</v>
      </c>
      <c r="CB841" s="5" t="s">
        <v>240</v>
      </c>
      <c r="CC841" s="5" t="s">
        <v>240</v>
      </c>
      <c r="CG841" s="5" t="s">
        <v>617</v>
      </c>
      <c r="CH841" s="5" t="s">
        <v>305</v>
      </c>
      <c r="CI841" s="5" t="s">
        <v>240</v>
      </c>
      <c r="CL841" s="6" t="s">
        <v>261</v>
      </c>
      <c r="CM841" s="5" t="s">
        <v>240</v>
      </c>
      <c r="CN841" s="5" t="s">
        <v>263</v>
      </c>
      <c r="CO841" s="5" t="s">
        <v>240</v>
      </c>
      <c r="CP841" s="5" t="s">
        <v>240</v>
      </c>
      <c r="CQ841" s="5">
        <v>0</v>
      </c>
      <c r="CR841" s="5" t="s">
        <v>306</v>
      </c>
      <c r="CS841" s="5" t="s">
        <v>307</v>
      </c>
      <c r="CT841" s="5" t="s">
        <v>307</v>
      </c>
      <c r="CU841" s="5" t="s">
        <v>260</v>
      </c>
      <c r="CX841" s="7">
        <f>861635</f>
        <v>861635</v>
      </c>
      <c r="CY841" s="7">
        <f>0</f>
        <v>0</v>
      </c>
      <c r="DA841" s="7">
        <f>0</f>
        <v>0</v>
      </c>
      <c r="DC841" s="5" t="s">
        <v>689</v>
      </c>
      <c r="DD841" s="5" t="s">
        <v>240</v>
      </c>
      <c r="DF841" s="5" t="s">
        <v>450</v>
      </c>
      <c r="DG841" s="7">
        <f>0</f>
        <v>0</v>
      </c>
      <c r="DI841" s="5" t="s">
        <v>618</v>
      </c>
      <c r="DJ841" s="5" t="s">
        <v>240</v>
      </c>
      <c r="DK841" s="5" t="s">
        <v>240</v>
      </c>
      <c r="DL841" s="5" t="s">
        <v>240</v>
      </c>
      <c r="DP841" s="5" t="s">
        <v>240</v>
      </c>
      <c r="DQ841" s="5" t="s">
        <v>240</v>
      </c>
      <c r="DR841" s="5" t="s">
        <v>240</v>
      </c>
      <c r="DS841" s="5" t="s">
        <v>240</v>
      </c>
      <c r="DV841" s="5" t="s">
        <v>1812</v>
      </c>
      <c r="DW841" s="5" t="s">
        <v>312</v>
      </c>
      <c r="HO841" s="5" t="s">
        <v>312</v>
      </c>
    </row>
    <row r="842" spans="1:223" x14ac:dyDescent="0.4">
      <c r="A842" s="5">
        <v>2517</v>
      </c>
      <c r="B842" s="5">
        <v>1</v>
      </c>
      <c r="C842" s="5">
        <v>1</v>
      </c>
      <c r="D842" s="5" t="s">
        <v>297</v>
      </c>
      <c r="E842" s="5" t="s">
        <v>245</v>
      </c>
      <c r="F842" s="5" t="s">
        <v>254</v>
      </c>
      <c r="G842" s="5" t="s">
        <v>240</v>
      </c>
      <c r="H842" s="6" t="s">
        <v>648</v>
      </c>
      <c r="I842" s="5" t="s">
        <v>295</v>
      </c>
      <c r="J842" s="8">
        <f>2026</f>
        <v>2026</v>
      </c>
      <c r="K842" s="5" t="s">
        <v>308</v>
      </c>
      <c r="L842" s="7">
        <f>1</f>
        <v>1</v>
      </c>
      <c r="M842" s="7">
        <f>1</f>
        <v>1</v>
      </c>
      <c r="N842" s="5" t="s">
        <v>242</v>
      </c>
      <c r="O842" s="5">
        <v>1</v>
      </c>
      <c r="P842" s="5" t="s">
        <v>294</v>
      </c>
      <c r="Q842" s="5" t="s">
        <v>613</v>
      </c>
      <c r="R842" s="5" t="s">
        <v>240</v>
      </c>
      <c r="S842" s="5" t="s">
        <v>240</v>
      </c>
      <c r="T842" s="5" t="s">
        <v>243</v>
      </c>
      <c r="U842" s="5" t="s">
        <v>244</v>
      </c>
      <c r="V842" s="5" t="s">
        <v>240</v>
      </c>
      <c r="Y842" s="5" t="s">
        <v>240</v>
      </c>
      <c r="Z842" s="6" t="s">
        <v>298</v>
      </c>
      <c r="AB842" s="6" t="s">
        <v>240</v>
      </c>
      <c r="AE842" s="6" t="s">
        <v>299</v>
      </c>
      <c r="AF842" s="5" t="s">
        <v>248</v>
      </c>
      <c r="AG842" s="5" t="s">
        <v>249</v>
      </c>
      <c r="AW842" s="5" t="s">
        <v>251</v>
      </c>
      <c r="AX842" s="5" t="s">
        <v>240</v>
      </c>
      <c r="AY842" s="5" t="s">
        <v>253</v>
      </c>
      <c r="AZ842" s="5" t="s">
        <v>240</v>
      </c>
      <c r="BA842" s="5" t="s">
        <v>255</v>
      </c>
      <c r="BB842" s="5" t="s">
        <v>240</v>
      </c>
      <c r="BD842" s="5" t="s">
        <v>686</v>
      </c>
      <c r="BF842" s="5" t="s">
        <v>301</v>
      </c>
      <c r="BG842" s="6" t="s">
        <v>299</v>
      </c>
      <c r="BH842" s="5" t="s">
        <v>302</v>
      </c>
      <c r="BI842" s="5" t="s">
        <v>303</v>
      </c>
      <c r="BJ842" s="5" t="s">
        <v>240</v>
      </c>
      <c r="BK842" s="8">
        <f>0</f>
        <v>0</v>
      </c>
      <c r="BL842" s="7">
        <f>0</f>
        <v>0</v>
      </c>
      <c r="BM842" s="5" t="s">
        <v>258</v>
      </c>
      <c r="BN842" s="5" t="s">
        <v>259</v>
      </c>
      <c r="CB842" s="5" t="s">
        <v>240</v>
      </c>
      <c r="CC842" s="5" t="s">
        <v>240</v>
      </c>
      <c r="CG842" s="5" t="s">
        <v>617</v>
      </c>
      <c r="CH842" s="5" t="s">
        <v>305</v>
      </c>
      <c r="CI842" s="5" t="s">
        <v>240</v>
      </c>
      <c r="CL842" s="6" t="s">
        <v>261</v>
      </c>
      <c r="CM842" s="5" t="s">
        <v>240</v>
      </c>
      <c r="CN842" s="5" t="s">
        <v>263</v>
      </c>
      <c r="CO842" s="5" t="s">
        <v>240</v>
      </c>
      <c r="CP842" s="5" t="s">
        <v>240</v>
      </c>
      <c r="CQ842" s="5">
        <v>0</v>
      </c>
      <c r="CR842" s="5" t="s">
        <v>306</v>
      </c>
      <c r="CS842" s="5" t="s">
        <v>307</v>
      </c>
      <c r="CT842" s="5" t="s">
        <v>307</v>
      </c>
      <c r="CU842" s="5" t="s">
        <v>260</v>
      </c>
      <c r="CX842" s="7">
        <f>1676755</f>
        <v>1676755</v>
      </c>
      <c r="CY842" s="7">
        <f>0</f>
        <v>0</v>
      </c>
      <c r="DA842" s="7">
        <f>0</f>
        <v>0</v>
      </c>
      <c r="DC842" s="5" t="s">
        <v>689</v>
      </c>
      <c r="DD842" s="5" t="s">
        <v>240</v>
      </c>
      <c r="DF842" s="5" t="s">
        <v>450</v>
      </c>
      <c r="DG842" s="7">
        <f>0</f>
        <v>0</v>
      </c>
      <c r="DI842" s="5" t="s">
        <v>618</v>
      </c>
      <c r="DJ842" s="5" t="s">
        <v>240</v>
      </c>
      <c r="DK842" s="5" t="s">
        <v>240</v>
      </c>
      <c r="DL842" s="5" t="s">
        <v>240</v>
      </c>
      <c r="DP842" s="5" t="s">
        <v>240</v>
      </c>
      <c r="DQ842" s="5" t="s">
        <v>240</v>
      </c>
      <c r="DR842" s="5" t="s">
        <v>240</v>
      </c>
      <c r="DS842" s="5" t="s">
        <v>240</v>
      </c>
      <c r="DV842" s="5" t="s">
        <v>1817</v>
      </c>
      <c r="DW842" s="5" t="s">
        <v>312</v>
      </c>
      <c r="HO842" s="5" t="s">
        <v>312</v>
      </c>
    </row>
    <row r="843" spans="1:223" x14ac:dyDescent="0.4">
      <c r="A843" s="5">
        <v>2518</v>
      </c>
      <c r="B843" s="5">
        <v>1</v>
      </c>
      <c r="C843" s="5">
        <v>1</v>
      </c>
      <c r="D843" s="5" t="s">
        <v>297</v>
      </c>
      <c r="E843" s="5" t="s">
        <v>245</v>
      </c>
      <c r="F843" s="5" t="s">
        <v>254</v>
      </c>
      <c r="G843" s="5" t="s">
        <v>240</v>
      </c>
      <c r="H843" s="6" t="s">
        <v>646</v>
      </c>
      <c r="I843" s="5" t="s">
        <v>295</v>
      </c>
      <c r="J843" s="8">
        <f>3117</f>
        <v>3117</v>
      </c>
      <c r="K843" s="5" t="s">
        <v>308</v>
      </c>
      <c r="L843" s="7">
        <f>1</f>
        <v>1</v>
      </c>
      <c r="M843" s="7">
        <f>1</f>
        <v>1</v>
      </c>
      <c r="N843" s="5" t="s">
        <v>242</v>
      </c>
      <c r="O843" s="5">
        <v>1</v>
      </c>
      <c r="P843" s="5" t="s">
        <v>294</v>
      </c>
      <c r="Q843" s="5" t="s">
        <v>613</v>
      </c>
      <c r="R843" s="5" t="s">
        <v>240</v>
      </c>
      <c r="S843" s="5" t="s">
        <v>240</v>
      </c>
      <c r="T843" s="5" t="s">
        <v>243</v>
      </c>
      <c r="U843" s="5" t="s">
        <v>244</v>
      </c>
      <c r="V843" s="5" t="s">
        <v>240</v>
      </c>
      <c r="Y843" s="5" t="s">
        <v>240</v>
      </c>
      <c r="Z843" s="6" t="s">
        <v>298</v>
      </c>
      <c r="AB843" s="6" t="s">
        <v>240</v>
      </c>
      <c r="AE843" s="6" t="s">
        <v>299</v>
      </c>
      <c r="AF843" s="5" t="s">
        <v>248</v>
      </c>
      <c r="AG843" s="5" t="s">
        <v>249</v>
      </c>
      <c r="AW843" s="5" t="s">
        <v>251</v>
      </c>
      <c r="AX843" s="5" t="s">
        <v>240</v>
      </c>
      <c r="AY843" s="5" t="s">
        <v>253</v>
      </c>
      <c r="AZ843" s="5" t="s">
        <v>240</v>
      </c>
      <c r="BA843" s="5" t="s">
        <v>255</v>
      </c>
      <c r="BB843" s="5" t="s">
        <v>240</v>
      </c>
      <c r="BD843" s="5" t="s">
        <v>240</v>
      </c>
      <c r="BF843" s="5" t="s">
        <v>301</v>
      </c>
      <c r="BG843" s="6" t="s">
        <v>299</v>
      </c>
      <c r="BH843" s="5" t="s">
        <v>302</v>
      </c>
      <c r="BI843" s="5" t="s">
        <v>303</v>
      </c>
      <c r="BJ843" s="5" t="s">
        <v>240</v>
      </c>
      <c r="BK843" s="8">
        <f>0</f>
        <v>0</v>
      </c>
      <c r="BL843" s="7">
        <f>0</f>
        <v>0</v>
      </c>
      <c r="BM843" s="5" t="s">
        <v>258</v>
      </c>
      <c r="BN843" s="5" t="s">
        <v>259</v>
      </c>
      <c r="CB843" s="5" t="s">
        <v>240</v>
      </c>
      <c r="CC843" s="5" t="s">
        <v>240</v>
      </c>
      <c r="CG843" s="5" t="s">
        <v>617</v>
      </c>
      <c r="CH843" s="5" t="s">
        <v>305</v>
      </c>
      <c r="CI843" s="5" t="s">
        <v>240</v>
      </c>
      <c r="CL843" s="6" t="s">
        <v>261</v>
      </c>
      <c r="CM843" s="5" t="s">
        <v>240</v>
      </c>
      <c r="CN843" s="5" t="s">
        <v>263</v>
      </c>
      <c r="CO843" s="5" t="s">
        <v>240</v>
      </c>
      <c r="CP843" s="5" t="s">
        <v>240</v>
      </c>
      <c r="CQ843" s="5">
        <v>0</v>
      </c>
      <c r="CR843" s="5" t="s">
        <v>306</v>
      </c>
      <c r="CS843" s="5" t="s">
        <v>307</v>
      </c>
      <c r="CT843" s="5" t="s">
        <v>307</v>
      </c>
      <c r="CU843" s="5" t="s">
        <v>260</v>
      </c>
      <c r="CX843" s="7">
        <f>912580</f>
        <v>912580</v>
      </c>
      <c r="CY843" s="7">
        <f>0</f>
        <v>0</v>
      </c>
      <c r="DA843" s="7">
        <f>0</f>
        <v>0</v>
      </c>
      <c r="DC843" s="5" t="s">
        <v>689</v>
      </c>
      <c r="DD843" s="5" t="s">
        <v>240</v>
      </c>
      <c r="DF843" s="5" t="s">
        <v>450</v>
      </c>
      <c r="DG843" s="7">
        <f>0</f>
        <v>0</v>
      </c>
      <c r="DI843" s="5" t="s">
        <v>618</v>
      </c>
      <c r="DJ843" s="5" t="s">
        <v>240</v>
      </c>
      <c r="DK843" s="5" t="s">
        <v>240</v>
      </c>
      <c r="DL843" s="5" t="s">
        <v>240</v>
      </c>
      <c r="DP843" s="5" t="s">
        <v>240</v>
      </c>
      <c r="DQ843" s="5" t="s">
        <v>240</v>
      </c>
      <c r="DR843" s="5" t="s">
        <v>240</v>
      </c>
      <c r="DS843" s="5" t="s">
        <v>240</v>
      </c>
      <c r="DV843" s="5" t="s">
        <v>1821</v>
      </c>
      <c r="DW843" s="5" t="s">
        <v>691</v>
      </c>
      <c r="HO843" s="5" t="s">
        <v>312</v>
      </c>
    </row>
    <row r="844" spans="1:223" x14ac:dyDescent="0.4">
      <c r="A844" s="5">
        <v>2519</v>
      </c>
      <c r="B844" s="5">
        <v>1</v>
      </c>
      <c r="C844" s="5">
        <v>1</v>
      </c>
      <c r="D844" s="5" t="s">
        <v>297</v>
      </c>
      <c r="E844" s="5" t="s">
        <v>245</v>
      </c>
      <c r="F844" s="5" t="s">
        <v>254</v>
      </c>
      <c r="G844" s="5" t="s">
        <v>240</v>
      </c>
      <c r="H844" s="6" t="s">
        <v>644</v>
      </c>
      <c r="I844" s="5" t="s">
        <v>295</v>
      </c>
      <c r="J844" s="8">
        <f>4832</f>
        <v>4832</v>
      </c>
      <c r="K844" s="5" t="s">
        <v>308</v>
      </c>
      <c r="L844" s="7">
        <f>1</f>
        <v>1</v>
      </c>
      <c r="M844" s="7">
        <f>1</f>
        <v>1</v>
      </c>
      <c r="N844" s="5" t="s">
        <v>242</v>
      </c>
      <c r="O844" s="5">
        <v>1</v>
      </c>
      <c r="P844" s="5" t="s">
        <v>294</v>
      </c>
      <c r="Q844" s="5" t="s">
        <v>613</v>
      </c>
      <c r="R844" s="5" t="s">
        <v>240</v>
      </c>
      <c r="S844" s="5" t="s">
        <v>240</v>
      </c>
      <c r="T844" s="5" t="s">
        <v>243</v>
      </c>
      <c r="U844" s="5" t="s">
        <v>244</v>
      </c>
      <c r="V844" s="5" t="s">
        <v>240</v>
      </c>
      <c r="Y844" s="5" t="s">
        <v>240</v>
      </c>
      <c r="Z844" s="6" t="s">
        <v>298</v>
      </c>
      <c r="AB844" s="6" t="s">
        <v>240</v>
      </c>
      <c r="AE844" s="6" t="s">
        <v>299</v>
      </c>
      <c r="AF844" s="5" t="s">
        <v>248</v>
      </c>
      <c r="AG844" s="5" t="s">
        <v>249</v>
      </c>
      <c r="AW844" s="5" t="s">
        <v>251</v>
      </c>
      <c r="AX844" s="5" t="s">
        <v>240</v>
      </c>
      <c r="AY844" s="5" t="s">
        <v>253</v>
      </c>
      <c r="AZ844" s="5" t="s">
        <v>240</v>
      </c>
      <c r="BA844" s="5" t="s">
        <v>255</v>
      </c>
      <c r="BB844" s="5" t="s">
        <v>240</v>
      </c>
      <c r="BD844" s="5" t="s">
        <v>240</v>
      </c>
      <c r="BF844" s="5" t="s">
        <v>687</v>
      </c>
      <c r="BG844" s="6" t="s">
        <v>1825</v>
      </c>
      <c r="BH844" s="5" t="s">
        <v>302</v>
      </c>
      <c r="BI844" s="5" t="s">
        <v>303</v>
      </c>
      <c r="BJ844" s="5" t="s">
        <v>240</v>
      </c>
      <c r="BK844" s="8">
        <f>0</f>
        <v>0</v>
      </c>
      <c r="BL844" s="7">
        <f>0</f>
        <v>0</v>
      </c>
      <c r="BM844" s="5" t="s">
        <v>258</v>
      </c>
      <c r="BN844" s="5" t="s">
        <v>259</v>
      </c>
      <c r="CB844" s="5" t="s">
        <v>240</v>
      </c>
      <c r="CC844" s="5" t="s">
        <v>240</v>
      </c>
      <c r="CG844" s="5" t="s">
        <v>617</v>
      </c>
      <c r="CH844" s="5" t="s">
        <v>305</v>
      </c>
      <c r="CI844" s="5" t="s">
        <v>240</v>
      </c>
      <c r="CL844" s="6" t="s">
        <v>261</v>
      </c>
      <c r="CM844" s="5" t="s">
        <v>240</v>
      </c>
      <c r="CN844" s="5" t="s">
        <v>263</v>
      </c>
      <c r="CO844" s="5" t="s">
        <v>240</v>
      </c>
      <c r="CP844" s="5" t="s">
        <v>240</v>
      </c>
      <c r="CQ844" s="5">
        <v>0</v>
      </c>
      <c r="CR844" s="5" t="s">
        <v>306</v>
      </c>
      <c r="CS844" s="5" t="s">
        <v>307</v>
      </c>
      <c r="CT844" s="5" t="s">
        <v>307</v>
      </c>
      <c r="CU844" s="5" t="s">
        <v>260</v>
      </c>
      <c r="CX844" s="7">
        <f>910365</f>
        <v>910365</v>
      </c>
      <c r="CY844" s="7">
        <f>0</f>
        <v>0</v>
      </c>
      <c r="DA844" s="7">
        <f>0</f>
        <v>0</v>
      </c>
      <c r="DC844" s="5" t="s">
        <v>450</v>
      </c>
      <c r="DD844" s="5" t="s">
        <v>240</v>
      </c>
      <c r="DF844" s="5" t="s">
        <v>450</v>
      </c>
      <c r="DG844" s="7">
        <f>0</f>
        <v>0</v>
      </c>
      <c r="DI844" s="5" t="s">
        <v>618</v>
      </c>
      <c r="DJ844" s="5" t="s">
        <v>240</v>
      </c>
      <c r="DK844" s="5" t="s">
        <v>240</v>
      </c>
      <c r="DL844" s="5" t="s">
        <v>240</v>
      </c>
      <c r="DP844" s="5" t="s">
        <v>240</v>
      </c>
      <c r="DQ844" s="5" t="s">
        <v>240</v>
      </c>
      <c r="DR844" s="5" t="s">
        <v>240</v>
      </c>
      <c r="DS844" s="5" t="s">
        <v>240</v>
      </c>
      <c r="DV844" s="5" t="s">
        <v>1826</v>
      </c>
      <c r="DW844" s="5" t="s">
        <v>691</v>
      </c>
      <c r="HO844" s="5" t="s">
        <v>312</v>
      </c>
    </row>
    <row r="845" spans="1:223" x14ac:dyDescent="0.4">
      <c r="A845" s="5">
        <v>2520</v>
      </c>
      <c r="B845" s="5">
        <v>1</v>
      </c>
      <c r="C845" s="5">
        <v>1</v>
      </c>
      <c r="D845" s="5" t="s">
        <v>297</v>
      </c>
      <c r="E845" s="5" t="s">
        <v>245</v>
      </c>
      <c r="F845" s="5" t="s">
        <v>254</v>
      </c>
      <c r="G845" s="5" t="s">
        <v>240</v>
      </c>
      <c r="H845" s="6" t="s">
        <v>642</v>
      </c>
      <c r="I845" s="5" t="s">
        <v>295</v>
      </c>
      <c r="J845" s="8">
        <f>1578</f>
        <v>1578</v>
      </c>
      <c r="K845" s="5" t="s">
        <v>308</v>
      </c>
      <c r="L845" s="7">
        <f>1</f>
        <v>1</v>
      </c>
      <c r="M845" s="7">
        <f>1</f>
        <v>1</v>
      </c>
      <c r="N845" s="5" t="s">
        <v>242</v>
      </c>
      <c r="O845" s="5">
        <v>1</v>
      </c>
      <c r="P845" s="5" t="s">
        <v>294</v>
      </c>
      <c r="Q845" s="5" t="s">
        <v>613</v>
      </c>
      <c r="R845" s="5" t="s">
        <v>240</v>
      </c>
      <c r="S845" s="5" t="s">
        <v>240</v>
      </c>
      <c r="T845" s="5" t="s">
        <v>243</v>
      </c>
      <c r="U845" s="5" t="s">
        <v>244</v>
      </c>
      <c r="V845" s="5" t="s">
        <v>240</v>
      </c>
      <c r="Y845" s="5" t="s">
        <v>240</v>
      </c>
      <c r="Z845" s="6" t="s">
        <v>298</v>
      </c>
      <c r="AB845" s="6" t="s">
        <v>240</v>
      </c>
      <c r="AE845" s="6" t="s">
        <v>299</v>
      </c>
      <c r="AF845" s="5" t="s">
        <v>248</v>
      </c>
      <c r="AG845" s="5" t="s">
        <v>249</v>
      </c>
      <c r="AW845" s="5" t="s">
        <v>251</v>
      </c>
      <c r="AX845" s="5" t="s">
        <v>240</v>
      </c>
      <c r="AY845" s="5" t="s">
        <v>253</v>
      </c>
      <c r="AZ845" s="5" t="s">
        <v>240</v>
      </c>
      <c r="BA845" s="5" t="s">
        <v>255</v>
      </c>
      <c r="BB845" s="5" t="s">
        <v>240</v>
      </c>
      <c r="BD845" s="5" t="s">
        <v>240</v>
      </c>
      <c r="BF845" s="5" t="s">
        <v>301</v>
      </c>
      <c r="BG845" s="6" t="s">
        <v>299</v>
      </c>
      <c r="BH845" s="5" t="s">
        <v>302</v>
      </c>
      <c r="BI845" s="5" t="s">
        <v>303</v>
      </c>
      <c r="BJ845" s="5" t="s">
        <v>240</v>
      </c>
      <c r="BK845" s="8">
        <f>0</f>
        <v>0</v>
      </c>
      <c r="BL845" s="7">
        <f>0</f>
        <v>0</v>
      </c>
      <c r="BM845" s="5" t="s">
        <v>258</v>
      </c>
      <c r="BN845" s="5" t="s">
        <v>259</v>
      </c>
      <c r="CB845" s="5" t="s">
        <v>240</v>
      </c>
      <c r="CC845" s="5" t="s">
        <v>240</v>
      </c>
      <c r="CG845" s="5" t="s">
        <v>617</v>
      </c>
      <c r="CH845" s="5" t="s">
        <v>305</v>
      </c>
      <c r="CI845" s="5" t="s">
        <v>240</v>
      </c>
      <c r="CL845" s="6" t="s">
        <v>261</v>
      </c>
      <c r="CM845" s="5" t="s">
        <v>240</v>
      </c>
      <c r="CN845" s="5" t="s">
        <v>263</v>
      </c>
      <c r="CO845" s="5" t="s">
        <v>240</v>
      </c>
      <c r="CP845" s="5" t="s">
        <v>240</v>
      </c>
      <c r="CQ845" s="5">
        <v>0</v>
      </c>
      <c r="CR845" s="5" t="s">
        <v>306</v>
      </c>
      <c r="CS845" s="5" t="s">
        <v>307</v>
      </c>
      <c r="CT845" s="5" t="s">
        <v>307</v>
      </c>
      <c r="CU845" s="5" t="s">
        <v>260</v>
      </c>
      <c r="CX845" s="7">
        <f>1871675</f>
        <v>1871675</v>
      </c>
      <c r="CY845" s="7">
        <f>0</f>
        <v>0</v>
      </c>
      <c r="DA845" s="7">
        <f>0</f>
        <v>0</v>
      </c>
      <c r="DC845" s="5" t="s">
        <v>450</v>
      </c>
      <c r="DD845" s="5" t="s">
        <v>240</v>
      </c>
      <c r="DF845" s="5" t="s">
        <v>450</v>
      </c>
      <c r="DG845" s="7">
        <f>0</f>
        <v>0</v>
      </c>
      <c r="DI845" s="5" t="s">
        <v>618</v>
      </c>
      <c r="DJ845" s="5" t="s">
        <v>240</v>
      </c>
      <c r="DK845" s="5" t="s">
        <v>240</v>
      </c>
      <c r="DL845" s="5" t="s">
        <v>240</v>
      </c>
      <c r="DP845" s="5" t="s">
        <v>240</v>
      </c>
      <c r="DQ845" s="5" t="s">
        <v>240</v>
      </c>
      <c r="DR845" s="5" t="s">
        <v>240</v>
      </c>
      <c r="DS845" s="5" t="s">
        <v>240</v>
      </c>
      <c r="DV845" s="5" t="s">
        <v>1826</v>
      </c>
      <c r="DW845" s="5" t="s">
        <v>620</v>
      </c>
      <c r="HO845" s="5" t="s">
        <v>312</v>
      </c>
    </row>
    <row r="846" spans="1:223" x14ac:dyDescent="0.4">
      <c r="A846" s="5">
        <v>2521</v>
      </c>
      <c r="B846" s="5">
        <v>1</v>
      </c>
      <c r="C846" s="5">
        <v>1</v>
      </c>
      <c r="D846" s="5" t="s">
        <v>297</v>
      </c>
      <c r="E846" s="5" t="s">
        <v>245</v>
      </c>
      <c r="F846" s="5" t="s">
        <v>254</v>
      </c>
      <c r="G846" s="5" t="s">
        <v>240</v>
      </c>
      <c r="H846" s="6" t="s">
        <v>640</v>
      </c>
      <c r="I846" s="5" t="s">
        <v>295</v>
      </c>
      <c r="J846" s="8">
        <f>4068</f>
        <v>4068</v>
      </c>
      <c r="K846" s="5" t="s">
        <v>308</v>
      </c>
      <c r="L846" s="7">
        <f>1</f>
        <v>1</v>
      </c>
      <c r="M846" s="7">
        <f>1</f>
        <v>1</v>
      </c>
      <c r="N846" s="5" t="s">
        <v>242</v>
      </c>
      <c r="O846" s="5">
        <v>1</v>
      </c>
      <c r="P846" s="5" t="s">
        <v>294</v>
      </c>
      <c r="Q846" s="5" t="s">
        <v>266</v>
      </c>
      <c r="R846" s="5" t="s">
        <v>240</v>
      </c>
      <c r="S846" s="5" t="s">
        <v>240</v>
      </c>
      <c r="T846" s="5" t="s">
        <v>296</v>
      </c>
      <c r="U846" s="5" t="s">
        <v>244</v>
      </c>
      <c r="V846" s="5" t="s">
        <v>240</v>
      </c>
      <c r="Y846" s="5" t="s">
        <v>240</v>
      </c>
      <c r="Z846" s="6" t="s">
        <v>298</v>
      </c>
      <c r="AB846" s="6" t="s">
        <v>240</v>
      </c>
      <c r="AE846" s="6" t="s">
        <v>299</v>
      </c>
      <c r="AF846" s="5" t="s">
        <v>248</v>
      </c>
      <c r="AG846" s="5" t="s">
        <v>249</v>
      </c>
      <c r="AW846" s="5" t="s">
        <v>251</v>
      </c>
      <c r="AX846" s="5" t="s">
        <v>240</v>
      </c>
      <c r="AY846" s="5" t="s">
        <v>253</v>
      </c>
      <c r="AZ846" s="5" t="s">
        <v>240</v>
      </c>
      <c r="BA846" s="5" t="s">
        <v>255</v>
      </c>
      <c r="BB846" s="5" t="s">
        <v>240</v>
      </c>
      <c r="BD846" s="5" t="s">
        <v>240</v>
      </c>
      <c r="BF846" s="5" t="s">
        <v>301</v>
      </c>
      <c r="BG846" s="6" t="s">
        <v>299</v>
      </c>
      <c r="BH846" s="5" t="s">
        <v>302</v>
      </c>
      <c r="BI846" s="5" t="s">
        <v>303</v>
      </c>
      <c r="BJ846" s="5" t="s">
        <v>240</v>
      </c>
      <c r="BK846" s="8">
        <f>0</f>
        <v>0</v>
      </c>
      <c r="BL846" s="7">
        <f>0</f>
        <v>0</v>
      </c>
      <c r="BM846" s="5" t="s">
        <v>258</v>
      </c>
      <c r="BN846" s="5" t="s">
        <v>259</v>
      </c>
      <c r="CB846" s="5" t="s">
        <v>240</v>
      </c>
      <c r="CC846" s="5" t="s">
        <v>240</v>
      </c>
      <c r="CG846" s="5" t="s">
        <v>304</v>
      </c>
      <c r="CH846" s="5" t="s">
        <v>305</v>
      </c>
      <c r="CI846" s="5" t="s">
        <v>240</v>
      </c>
      <c r="CL846" s="6" t="s">
        <v>261</v>
      </c>
      <c r="CM846" s="5" t="s">
        <v>240</v>
      </c>
      <c r="CN846" s="5" t="s">
        <v>263</v>
      </c>
      <c r="CO846" s="5" t="s">
        <v>240</v>
      </c>
      <c r="CP846" s="5" t="s">
        <v>240</v>
      </c>
      <c r="CQ846" s="5">
        <v>0</v>
      </c>
      <c r="CR846" s="5" t="s">
        <v>306</v>
      </c>
      <c r="CS846" s="5" t="s">
        <v>307</v>
      </c>
      <c r="CT846" s="5" t="s">
        <v>307</v>
      </c>
      <c r="CU846" s="5" t="s">
        <v>260</v>
      </c>
      <c r="CX846" s="7">
        <f>1</f>
        <v>1</v>
      </c>
      <c r="CY846" s="7">
        <f>0</f>
        <v>0</v>
      </c>
      <c r="DA846" s="7">
        <f>0</f>
        <v>0</v>
      </c>
      <c r="DC846" s="5" t="s">
        <v>812</v>
      </c>
      <c r="DD846" s="5" t="s">
        <v>240</v>
      </c>
      <c r="DF846" s="5" t="s">
        <v>812</v>
      </c>
      <c r="DG846" s="7">
        <f>741</f>
        <v>741</v>
      </c>
      <c r="DI846" s="5" t="s">
        <v>240</v>
      </c>
      <c r="DJ846" s="5" t="s">
        <v>240</v>
      </c>
      <c r="DK846" s="5" t="s">
        <v>240</v>
      </c>
      <c r="DL846" s="5" t="s">
        <v>240</v>
      </c>
      <c r="DP846" s="5" t="s">
        <v>240</v>
      </c>
      <c r="DQ846" s="5" t="s">
        <v>240</v>
      </c>
      <c r="DR846" s="5" t="s">
        <v>240</v>
      </c>
      <c r="DS846" s="5" t="s">
        <v>240</v>
      </c>
      <c r="DV846" s="5" t="s">
        <v>813</v>
      </c>
      <c r="DW846" s="5" t="s">
        <v>1829</v>
      </c>
      <c r="HO846" s="5" t="s">
        <v>312</v>
      </c>
    </row>
    <row r="847" spans="1:223" x14ac:dyDescent="0.4">
      <c r="A847" s="5">
        <v>2522</v>
      </c>
      <c r="B847" s="5">
        <v>1</v>
      </c>
      <c r="C847" s="5">
        <v>1</v>
      </c>
      <c r="D847" s="5" t="s">
        <v>297</v>
      </c>
      <c r="E847" s="5" t="s">
        <v>245</v>
      </c>
      <c r="F847" s="5" t="s">
        <v>254</v>
      </c>
      <c r="G847" s="5" t="s">
        <v>240</v>
      </c>
      <c r="H847" s="6" t="s">
        <v>638</v>
      </c>
      <c r="I847" s="5" t="s">
        <v>295</v>
      </c>
      <c r="J847" s="8">
        <f>5033</f>
        <v>5033</v>
      </c>
      <c r="K847" s="5" t="s">
        <v>308</v>
      </c>
      <c r="L847" s="7">
        <f>1</f>
        <v>1</v>
      </c>
      <c r="M847" s="7">
        <f>1</f>
        <v>1</v>
      </c>
      <c r="N847" s="5" t="s">
        <v>242</v>
      </c>
      <c r="O847" s="5">
        <v>1</v>
      </c>
      <c r="P847" s="5" t="s">
        <v>294</v>
      </c>
      <c r="Q847" s="5" t="s">
        <v>613</v>
      </c>
      <c r="R847" s="5" t="s">
        <v>240</v>
      </c>
      <c r="S847" s="5" t="s">
        <v>240</v>
      </c>
      <c r="T847" s="5" t="s">
        <v>243</v>
      </c>
      <c r="U847" s="5" t="s">
        <v>244</v>
      </c>
      <c r="V847" s="5" t="s">
        <v>240</v>
      </c>
      <c r="Y847" s="5" t="s">
        <v>240</v>
      </c>
      <c r="Z847" s="6" t="s">
        <v>298</v>
      </c>
      <c r="AB847" s="6" t="s">
        <v>240</v>
      </c>
      <c r="AE847" s="6" t="s">
        <v>299</v>
      </c>
      <c r="AF847" s="5" t="s">
        <v>248</v>
      </c>
      <c r="AG847" s="5" t="s">
        <v>249</v>
      </c>
      <c r="AW847" s="5" t="s">
        <v>251</v>
      </c>
      <c r="AX847" s="5" t="s">
        <v>240</v>
      </c>
      <c r="AY847" s="5" t="s">
        <v>253</v>
      </c>
      <c r="AZ847" s="5" t="s">
        <v>240</v>
      </c>
      <c r="BA847" s="5" t="s">
        <v>255</v>
      </c>
      <c r="BB847" s="5" t="s">
        <v>240</v>
      </c>
      <c r="BD847" s="5" t="s">
        <v>686</v>
      </c>
      <c r="BF847" s="5" t="s">
        <v>301</v>
      </c>
      <c r="BG847" s="6" t="s">
        <v>299</v>
      </c>
      <c r="BH847" s="5" t="s">
        <v>302</v>
      </c>
      <c r="BI847" s="5" t="s">
        <v>303</v>
      </c>
      <c r="BJ847" s="5" t="s">
        <v>240</v>
      </c>
      <c r="BK847" s="8">
        <f>0</f>
        <v>0</v>
      </c>
      <c r="BL847" s="7">
        <f>0</f>
        <v>0</v>
      </c>
      <c r="BM847" s="5" t="s">
        <v>258</v>
      </c>
      <c r="BN847" s="5" t="s">
        <v>259</v>
      </c>
      <c r="CB847" s="5" t="s">
        <v>240</v>
      </c>
      <c r="CC847" s="5" t="s">
        <v>240</v>
      </c>
      <c r="CG847" s="5" t="s">
        <v>617</v>
      </c>
      <c r="CH847" s="5" t="s">
        <v>305</v>
      </c>
      <c r="CI847" s="5" t="s">
        <v>240</v>
      </c>
      <c r="CL847" s="6" t="s">
        <v>261</v>
      </c>
      <c r="CM847" s="5" t="s">
        <v>240</v>
      </c>
      <c r="CN847" s="5" t="s">
        <v>263</v>
      </c>
      <c r="CO847" s="5" t="s">
        <v>240</v>
      </c>
      <c r="CP847" s="5" t="s">
        <v>240</v>
      </c>
      <c r="CQ847" s="5">
        <v>0</v>
      </c>
      <c r="CR847" s="5" t="s">
        <v>306</v>
      </c>
      <c r="CS847" s="5" t="s">
        <v>307</v>
      </c>
      <c r="CT847" s="5" t="s">
        <v>307</v>
      </c>
      <c r="CU847" s="5" t="s">
        <v>260</v>
      </c>
      <c r="CX847" s="7">
        <f>489515</f>
        <v>489515</v>
      </c>
      <c r="CY847" s="7">
        <f>0</f>
        <v>0</v>
      </c>
      <c r="DA847" s="7">
        <f>0</f>
        <v>0</v>
      </c>
      <c r="DC847" s="5" t="s">
        <v>450</v>
      </c>
      <c r="DD847" s="5" t="s">
        <v>240</v>
      </c>
      <c r="DF847" s="5" t="s">
        <v>450</v>
      </c>
      <c r="DG847" s="7">
        <f>0</f>
        <v>0</v>
      </c>
      <c r="DI847" s="5" t="s">
        <v>618</v>
      </c>
      <c r="DJ847" s="5" t="s">
        <v>240</v>
      </c>
      <c r="DK847" s="5" t="s">
        <v>240</v>
      </c>
      <c r="DL847" s="5" t="s">
        <v>240</v>
      </c>
      <c r="DP847" s="5" t="s">
        <v>240</v>
      </c>
      <c r="DQ847" s="5" t="s">
        <v>240</v>
      </c>
      <c r="DR847" s="5" t="s">
        <v>240</v>
      </c>
      <c r="DS847" s="5" t="s">
        <v>240</v>
      </c>
      <c r="DV847" s="5" t="s">
        <v>1826</v>
      </c>
      <c r="DW847" s="5" t="s">
        <v>312</v>
      </c>
      <c r="HO847" s="5" t="s">
        <v>312</v>
      </c>
    </row>
    <row r="848" spans="1:223" x14ac:dyDescent="0.4">
      <c r="A848" s="5">
        <v>2523</v>
      </c>
      <c r="B848" s="5">
        <v>1</v>
      </c>
      <c r="C848" s="5">
        <v>1</v>
      </c>
      <c r="D848" s="5" t="s">
        <v>297</v>
      </c>
      <c r="E848" s="5" t="s">
        <v>245</v>
      </c>
      <c r="F848" s="5" t="s">
        <v>254</v>
      </c>
      <c r="G848" s="5" t="s">
        <v>240</v>
      </c>
      <c r="H848" s="6" t="s">
        <v>636</v>
      </c>
      <c r="I848" s="5" t="s">
        <v>295</v>
      </c>
      <c r="J848" s="8">
        <f>1012</f>
        <v>1012</v>
      </c>
      <c r="K848" s="5" t="s">
        <v>308</v>
      </c>
      <c r="L848" s="7">
        <f>1</f>
        <v>1</v>
      </c>
      <c r="M848" s="7">
        <f>1</f>
        <v>1</v>
      </c>
      <c r="N848" s="5" t="s">
        <v>242</v>
      </c>
      <c r="O848" s="5">
        <v>1</v>
      </c>
      <c r="P848" s="5" t="s">
        <v>294</v>
      </c>
      <c r="Q848" s="5" t="s">
        <v>613</v>
      </c>
      <c r="R848" s="5" t="s">
        <v>240</v>
      </c>
      <c r="S848" s="5" t="s">
        <v>240</v>
      </c>
      <c r="T848" s="5" t="s">
        <v>243</v>
      </c>
      <c r="U848" s="5" t="s">
        <v>244</v>
      </c>
      <c r="V848" s="5" t="s">
        <v>240</v>
      </c>
      <c r="Y848" s="5" t="s">
        <v>240</v>
      </c>
      <c r="Z848" s="6" t="s">
        <v>1833</v>
      </c>
      <c r="AB848" s="6" t="s">
        <v>240</v>
      </c>
      <c r="AE848" s="6" t="s">
        <v>299</v>
      </c>
      <c r="AF848" s="5" t="s">
        <v>248</v>
      </c>
      <c r="AG848" s="5" t="s">
        <v>249</v>
      </c>
      <c r="AW848" s="5" t="s">
        <v>251</v>
      </c>
      <c r="AX848" s="5" t="s">
        <v>240</v>
      </c>
      <c r="AY848" s="5" t="s">
        <v>253</v>
      </c>
      <c r="AZ848" s="5" t="s">
        <v>240</v>
      </c>
      <c r="BA848" s="5" t="s">
        <v>255</v>
      </c>
      <c r="BB848" s="5" t="s">
        <v>240</v>
      </c>
      <c r="BD848" s="5" t="s">
        <v>686</v>
      </c>
      <c r="BF848" s="5" t="s">
        <v>301</v>
      </c>
      <c r="BG848" s="6" t="s">
        <v>299</v>
      </c>
      <c r="BH848" s="5" t="s">
        <v>302</v>
      </c>
      <c r="BI848" s="5" t="s">
        <v>303</v>
      </c>
      <c r="BJ848" s="5" t="s">
        <v>240</v>
      </c>
      <c r="BK848" s="8">
        <f>0</f>
        <v>0</v>
      </c>
      <c r="BL848" s="7">
        <f>0</f>
        <v>0</v>
      </c>
      <c r="BM848" s="5" t="s">
        <v>258</v>
      </c>
      <c r="BN848" s="5" t="s">
        <v>259</v>
      </c>
      <c r="CB848" s="5" t="s">
        <v>240</v>
      </c>
      <c r="CC848" s="5" t="s">
        <v>240</v>
      </c>
      <c r="CG848" s="5" t="s">
        <v>449</v>
      </c>
      <c r="CH848" s="5" t="s">
        <v>305</v>
      </c>
      <c r="CI848" s="5" t="s">
        <v>240</v>
      </c>
      <c r="CL848" s="6" t="s">
        <v>261</v>
      </c>
      <c r="CM848" s="5" t="s">
        <v>240</v>
      </c>
      <c r="CN848" s="5" t="s">
        <v>263</v>
      </c>
      <c r="CO848" s="5" t="s">
        <v>240</v>
      </c>
      <c r="CP848" s="5" t="s">
        <v>240</v>
      </c>
      <c r="CQ848" s="5">
        <v>0</v>
      </c>
      <c r="CR848" s="5" t="s">
        <v>306</v>
      </c>
      <c r="CS848" s="5" t="s">
        <v>307</v>
      </c>
      <c r="CT848" s="5" t="s">
        <v>307</v>
      </c>
      <c r="CU848" s="5" t="s">
        <v>260</v>
      </c>
      <c r="CX848" s="7">
        <f>207324</f>
        <v>207324</v>
      </c>
      <c r="CY848" s="7">
        <f>0</f>
        <v>0</v>
      </c>
      <c r="DA848" s="7">
        <f>0</f>
        <v>0</v>
      </c>
      <c r="DC848" s="5" t="s">
        <v>689</v>
      </c>
      <c r="DD848" s="5" t="s">
        <v>240</v>
      </c>
      <c r="DF848" s="5" t="s">
        <v>1320</v>
      </c>
      <c r="DG848" s="7">
        <f>1329</f>
        <v>1329</v>
      </c>
      <c r="DI848" s="5" t="s">
        <v>618</v>
      </c>
      <c r="DJ848" s="5" t="s">
        <v>240</v>
      </c>
      <c r="DK848" s="5" t="s">
        <v>240</v>
      </c>
      <c r="DL848" s="5" t="s">
        <v>240</v>
      </c>
      <c r="DP848" s="5" t="s">
        <v>240</v>
      </c>
      <c r="DQ848" s="5" t="s">
        <v>240</v>
      </c>
      <c r="DR848" s="5" t="s">
        <v>240</v>
      </c>
      <c r="DS848" s="5" t="s">
        <v>240</v>
      </c>
      <c r="DV848" s="5" t="s">
        <v>1835</v>
      </c>
      <c r="DW848" s="5" t="s">
        <v>312</v>
      </c>
      <c r="HO848" s="5" t="s">
        <v>312</v>
      </c>
    </row>
    <row r="849" spans="1:223" x14ac:dyDescent="0.4">
      <c r="A849" s="5">
        <v>2524</v>
      </c>
      <c r="B849" s="5">
        <v>1</v>
      </c>
      <c r="C849" s="5">
        <v>1</v>
      </c>
      <c r="D849" s="5" t="s">
        <v>297</v>
      </c>
      <c r="E849" s="5" t="s">
        <v>245</v>
      </c>
      <c r="F849" s="5" t="s">
        <v>254</v>
      </c>
      <c r="G849" s="5" t="s">
        <v>240</v>
      </c>
      <c r="H849" s="6" t="s">
        <v>634</v>
      </c>
      <c r="I849" s="5" t="s">
        <v>295</v>
      </c>
      <c r="J849" s="8">
        <f>1208</f>
        <v>1208</v>
      </c>
      <c r="K849" s="5" t="s">
        <v>308</v>
      </c>
      <c r="L849" s="7">
        <f>1</f>
        <v>1</v>
      </c>
      <c r="M849" s="7">
        <f>1</f>
        <v>1</v>
      </c>
      <c r="N849" s="5" t="s">
        <v>242</v>
      </c>
      <c r="O849" s="5">
        <v>1</v>
      </c>
      <c r="P849" s="5" t="s">
        <v>294</v>
      </c>
      <c r="Q849" s="5" t="s">
        <v>266</v>
      </c>
      <c r="R849" s="5" t="s">
        <v>240</v>
      </c>
      <c r="S849" s="5" t="s">
        <v>240</v>
      </c>
      <c r="T849" s="5" t="s">
        <v>243</v>
      </c>
      <c r="U849" s="5" t="s">
        <v>244</v>
      </c>
      <c r="V849" s="5" t="s">
        <v>240</v>
      </c>
      <c r="Y849" s="5" t="s">
        <v>240</v>
      </c>
      <c r="Z849" s="6" t="s">
        <v>298</v>
      </c>
      <c r="AB849" s="6" t="s">
        <v>240</v>
      </c>
      <c r="AE849" s="6" t="s">
        <v>299</v>
      </c>
      <c r="AF849" s="5" t="s">
        <v>248</v>
      </c>
      <c r="AG849" s="5" t="s">
        <v>249</v>
      </c>
      <c r="AW849" s="5" t="s">
        <v>251</v>
      </c>
      <c r="AX849" s="5" t="s">
        <v>240</v>
      </c>
      <c r="AY849" s="5" t="s">
        <v>253</v>
      </c>
      <c r="AZ849" s="5" t="s">
        <v>240</v>
      </c>
      <c r="BA849" s="5" t="s">
        <v>255</v>
      </c>
      <c r="BB849" s="5" t="s">
        <v>240</v>
      </c>
      <c r="BD849" s="5" t="s">
        <v>240</v>
      </c>
      <c r="BF849" s="5" t="s">
        <v>301</v>
      </c>
      <c r="BG849" s="6" t="s">
        <v>299</v>
      </c>
      <c r="BH849" s="5" t="s">
        <v>302</v>
      </c>
      <c r="BI849" s="5" t="s">
        <v>303</v>
      </c>
      <c r="BJ849" s="5" t="s">
        <v>240</v>
      </c>
      <c r="BK849" s="8">
        <f>0</f>
        <v>0</v>
      </c>
      <c r="BL849" s="7">
        <f>0</f>
        <v>0</v>
      </c>
      <c r="BM849" s="5" t="s">
        <v>258</v>
      </c>
      <c r="BN849" s="5" t="s">
        <v>259</v>
      </c>
      <c r="CB849" s="5" t="s">
        <v>240</v>
      </c>
      <c r="CC849" s="5" t="s">
        <v>240</v>
      </c>
      <c r="CG849" s="5" t="s">
        <v>617</v>
      </c>
      <c r="CH849" s="5" t="s">
        <v>305</v>
      </c>
      <c r="CI849" s="5" t="s">
        <v>240</v>
      </c>
      <c r="CL849" s="6" t="s">
        <v>261</v>
      </c>
      <c r="CM849" s="5" t="s">
        <v>240</v>
      </c>
      <c r="CN849" s="5" t="s">
        <v>263</v>
      </c>
      <c r="CO849" s="5" t="s">
        <v>240</v>
      </c>
      <c r="CP849" s="5" t="s">
        <v>240</v>
      </c>
      <c r="CQ849" s="5">
        <v>0</v>
      </c>
      <c r="CR849" s="5" t="s">
        <v>306</v>
      </c>
      <c r="CS849" s="5" t="s">
        <v>307</v>
      </c>
      <c r="CT849" s="5" t="s">
        <v>307</v>
      </c>
      <c r="CU849" s="5" t="s">
        <v>260</v>
      </c>
      <c r="CX849" s="7">
        <f>242</f>
        <v>242</v>
      </c>
      <c r="CY849" s="7">
        <f>0</f>
        <v>0</v>
      </c>
      <c r="DA849" s="7">
        <f>0</f>
        <v>0</v>
      </c>
      <c r="DC849" s="5" t="s">
        <v>450</v>
      </c>
      <c r="DD849" s="5" t="s">
        <v>240</v>
      </c>
      <c r="DF849" s="5" t="s">
        <v>854</v>
      </c>
      <c r="DG849" s="7">
        <f>22</f>
        <v>22</v>
      </c>
      <c r="DI849" s="5" t="s">
        <v>737</v>
      </c>
      <c r="DJ849" s="5" t="s">
        <v>240</v>
      </c>
      <c r="DK849" s="5" t="s">
        <v>240</v>
      </c>
      <c r="DL849" s="5" t="s">
        <v>240</v>
      </c>
      <c r="DP849" s="5" t="s">
        <v>240</v>
      </c>
      <c r="DQ849" s="5" t="s">
        <v>240</v>
      </c>
      <c r="DR849" s="5" t="s">
        <v>240</v>
      </c>
      <c r="DS849" s="5" t="s">
        <v>240</v>
      </c>
      <c r="DV849" s="5" t="s">
        <v>1839</v>
      </c>
      <c r="DW849" s="5" t="s">
        <v>818</v>
      </c>
      <c r="HO849" s="5" t="s">
        <v>312</v>
      </c>
    </row>
    <row r="850" spans="1:223" x14ac:dyDescent="0.4">
      <c r="A850" s="5">
        <v>2525</v>
      </c>
      <c r="B850" s="5">
        <v>1</v>
      </c>
      <c r="C850" s="5">
        <v>1</v>
      </c>
      <c r="D850" s="5" t="s">
        <v>297</v>
      </c>
      <c r="E850" s="5" t="s">
        <v>245</v>
      </c>
      <c r="F850" s="5" t="s">
        <v>254</v>
      </c>
      <c r="G850" s="5" t="s">
        <v>240</v>
      </c>
      <c r="H850" s="6" t="s">
        <v>632</v>
      </c>
      <c r="I850" s="5" t="s">
        <v>295</v>
      </c>
      <c r="J850" s="8">
        <f>120</f>
        <v>120</v>
      </c>
      <c r="K850" s="5" t="s">
        <v>308</v>
      </c>
      <c r="L850" s="7">
        <f>1</f>
        <v>1</v>
      </c>
      <c r="M850" s="7">
        <f>1</f>
        <v>1</v>
      </c>
      <c r="N850" s="5" t="s">
        <v>242</v>
      </c>
      <c r="O850" s="5">
        <v>1</v>
      </c>
      <c r="P850" s="5" t="s">
        <v>294</v>
      </c>
      <c r="Q850" s="5" t="s">
        <v>613</v>
      </c>
      <c r="R850" s="5" t="s">
        <v>240</v>
      </c>
      <c r="S850" s="5" t="s">
        <v>240</v>
      </c>
      <c r="T850" s="5" t="s">
        <v>243</v>
      </c>
      <c r="U850" s="5" t="s">
        <v>244</v>
      </c>
      <c r="V850" s="5" t="s">
        <v>240</v>
      </c>
      <c r="Y850" s="5" t="s">
        <v>240</v>
      </c>
      <c r="Z850" s="6" t="s">
        <v>298</v>
      </c>
      <c r="AB850" s="6" t="s">
        <v>240</v>
      </c>
      <c r="AE850" s="6" t="s">
        <v>299</v>
      </c>
      <c r="AF850" s="5" t="s">
        <v>248</v>
      </c>
      <c r="AG850" s="5" t="s">
        <v>249</v>
      </c>
      <c r="AW850" s="5" t="s">
        <v>251</v>
      </c>
      <c r="AX850" s="5" t="s">
        <v>240</v>
      </c>
      <c r="AY850" s="5" t="s">
        <v>253</v>
      </c>
      <c r="AZ850" s="5" t="s">
        <v>240</v>
      </c>
      <c r="BA850" s="5" t="s">
        <v>255</v>
      </c>
      <c r="BB850" s="5" t="s">
        <v>240</v>
      </c>
      <c r="BD850" s="5" t="s">
        <v>240</v>
      </c>
      <c r="BF850" s="5" t="s">
        <v>301</v>
      </c>
      <c r="BG850" s="6" t="s">
        <v>299</v>
      </c>
      <c r="BH850" s="5" t="s">
        <v>302</v>
      </c>
      <c r="BI850" s="5" t="s">
        <v>303</v>
      </c>
      <c r="BJ850" s="5" t="s">
        <v>240</v>
      </c>
      <c r="BK850" s="8">
        <f>0</f>
        <v>0</v>
      </c>
      <c r="BL850" s="7">
        <f>0</f>
        <v>0</v>
      </c>
      <c r="BM850" s="5" t="s">
        <v>258</v>
      </c>
      <c r="BN850" s="5" t="s">
        <v>259</v>
      </c>
      <c r="CB850" s="5" t="s">
        <v>240</v>
      </c>
      <c r="CC850" s="5" t="s">
        <v>240</v>
      </c>
      <c r="CG850" s="5" t="s">
        <v>617</v>
      </c>
      <c r="CH850" s="5" t="s">
        <v>305</v>
      </c>
      <c r="CI850" s="5" t="s">
        <v>240</v>
      </c>
      <c r="CL850" s="6" t="s">
        <v>261</v>
      </c>
      <c r="CM850" s="5" t="s">
        <v>240</v>
      </c>
      <c r="CN850" s="5" t="s">
        <v>263</v>
      </c>
      <c r="CO850" s="5" t="s">
        <v>240</v>
      </c>
      <c r="CP850" s="5" t="s">
        <v>240</v>
      </c>
      <c r="CQ850" s="5">
        <v>0</v>
      </c>
      <c r="CR850" s="5" t="s">
        <v>306</v>
      </c>
      <c r="CS850" s="5" t="s">
        <v>307</v>
      </c>
      <c r="CT850" s="5" t="s">
        <v>307</v>
      </c>
      <c r="CU850" s="5" t="s">
        <v>260</v>
      </c>
      <c r="CX850" s="7">
        <f>4454</f>
        <v>4454</v>
      </c>
      <c r="CY850" s="7">
        <f>0</f>
        <v>0</v>
      </c>
      <c r="DA850" s="7">
        <f>0</f>
        <v>0</v>
      </c>
      <c r="DC850" s="5" t="s">
        <v>450</v>
      </c>
      <c r="DD850" s="5" t="s">
        <v>240</v>
      </c>
      <c r="DF850" s="5" t="s">
        <v>1338</v>
      </c>
      <c r="DG850" s="7">
        <f>9.09</f>
        <v>9.09</v>
      </c>
      <c r="DI850" s="5" t="s">
        <v>450</v>
      </c>
      <c r="DJ850" s="5" t="s">
        <v>240</v>
      </c>
      <c r="DK850" s="5" t="s">
        <v>240</v>
      </c>
      <c r="DL850" s="5" t="s">
        <v>240</v>
      </c>
      <c r="DP850" s="5" t="s">
        <v>240</v>
      </c>
      <c r="DQ850" s="5" t="s">
        <v>240</v>
      </c>
      <c r="DR850" s="5" t="s">
        <v>240</v>
      </c>
      <c r="DS850" s="5" t="s">
        <v>240</v>
      </c>
      <c r="DV850" s="5" t="s">
        <v>1839</v>
      </c>
      <c r="DW850" s="5" t="s">
        <v>820</v>
      </c>
      <c r="HO850" s="5" t="s">
        <v>312</v>
      </c>
    </row>
    <row r="851" spans="1:223" x14ac:dyDescent="0.4">
      <c r="A851" s="5">
        <v>2526</v>
      </c>
      <c r="B851" s="5">
        <v>1</v>
      </c>
      <c r="C851" s="5">
        <v>1</v>
      </c>
      <c r="D851" s="5" t="s">
        <v>297</v>
      </c>
      <c r="E851" s="5" t="s">
        <v>245</v>
      </c>
      <c r="F851" s="5" t="s">
        <v>254</v>
      </c>
      <c r="G851" s="5" t="s">
        <v>240</v>
      </c>
      <c r="H851" s="6" t="s">
        <v>630</v>
      </c>
      <c r="I851" s="5" t="s">
        <v>295</v>
      </c>
      <c r="J851" s="8">
        <f>2033</f>
        <v>2033</v>
      </c>
      <c r="K851" s="5" t="s">
        <v>308</v>
      </c>
      <c r="L851" s="7">
        <f>1</f>
        <v>1</v>
      </c>
      <c r="M851" s="7">
        <f>1</f>
        <v>1</v>
      </c>
      <c r="N851" s="5" t="s">
        <v>242</v>
      </c>
      <c r="O851" s="5">
        <v>1</v>
      </c>
      <c r="P851" s="5" t="s">
        <v>294</v>
      </c>
      <c r="Q851" s="5" t="s">
        <v>613</v>
      </c>
      <c r="R851" s="5" t="s">
        <v>240</v>
      </c>
      <c r="S851" s="5" t="s">
        <v>240</v>
      </c>
      <c r="T851" s="5" t="s">
        <v>243</v>
      </c>
      <c r="U851" s="5" t="s">
        <v>244</v>
      </c>
      <c r="V851" s="5" t="s">
        <v>240</v>
      </c>
      <c r="Y851" s="5" t="s">
        <v>240</v>
      </c>
      <c r="Z851" s="6" t="s">
        <v>298</v>
      </c>
      <c r="AB851" s="6" t="s">
        <v>240</v>
      </c>
      <c r="AE851" s="6" t="s">
        <v>299</v>
      </c>
      <c r="AF851" s="5" t="s">
        <v>248</v>
      </c>
      <c r="AG851" s="5" t="s">
        <v>249</v>
      </c>
      <c r="AW851" s="5" t="s">
        <v>251</v>
      </c>
      <c r="AX851" s="5" t="s">
        <v>240</v>
      </c>
      <c r="AY851" s="5" t="s">
        <v>253</v>
      </c>
      <c r="AZ851" s="5" t="s">
        <v>240</v>
      </c>
      <c r="BA851" s="5" t="s">
        <v>255</v>
      </c>
      <c r="BB851" s="5" t="s">
        <v>240</v>
      </c>
      <c r="BD851" s="5" t="s">
        <v>240</v>
      </c>
      <c r="BF851" s="5" t="s">
        <v>301</v>
      </c>
      <c r="BG851" s="6" t="s">
        <v>299</v>
      </c>
      <c r="BH851" s="5" t="s">
        <v>302</v>
      </c>
      <c r="BI851" s="5" t="s">
        <v>303</v>
      </c>
      <c r="BJ851" s="5" t="s">
        <v>240</v>
      </c>
      <c r="BK851" s="8">
        <f>0</f>
        <v>0</v>
      </c>
      <c r="BL851" s="7">
        <f>0</f>
        <v>0</v>
      </c>
      <c r="BM851" s="5" t="s">
        <v>258</v>
      </c>
      <c r="BN851" s="5" t="s">
        <v>259</v>
      </c>
      <c r="CB851" s="5" t="s">
        <v>240</v>
      </c>
      <c r="CC851" s="5" t="s">
        <v>240</v>
      </c>
      <c r="CG851" s="5" t="s">
        <v>617</v>
      </c>
      <c r="CH851" s="5" t="s">
        <v>305</v>
      </c>
      <c r="CI851" s="5" t="s">
        <v>240</v>
      </c>
      <c r="CL851" s="6" t="s">
        <v>261</v>
      </c>
      <c r="CM851" s="5" t="s">
        <v>240</v>
      </c>
      <c r="CN851" s="5" t="s">
        <v>263</v>
      </c>
      <c r="CO851" s="5" t="s">
        <v>240</v>
      </c>
      <c r="CP851" s="5" t="s">
        <v>240</v>
      </c>
      <c r="CQ851" s="5">
        <v>0</v>
      </c>
      <c r="CR851" s="5" t="s">
        <v>306</v>
      </c>
      <c r="CS851" s="5" t="s">
        <v>307</v>
      </c>
      <c r="CT851" s="5" t="s">
        <v>307</v>
      </c>
      <c r="CU851" s="5" t="s">
        <v>260</v>
      </c>
      <c r="CX851" s="7">
        <f>559</f>
        <v>559</v>
      </c>
      <c r="CY851" s="7">
        <f>0</f>
        <v>0</v>
      </c>
      <c r="DA851" s="7">
        <f>0</f>
        <v>0</v>
      </c>
      <c r="DC851" s="5" t="s">
        <v>1338</v>
      </c>
      <c r="DD851" s="5" t="s">
        <v>240</v>
      </c>
      <c r="DF851" s="5" t="s">
        <v>1338</v>
      </c>
      <c r="DG851" s="7">
        <f>13</f>
        <v>13</v>
      </c>
      <c r="DI851" s="5" t="s">
        <v>1338</v>
      </c>
      <c r="DJ851" s="5" t="s">
        <v>240</v>
      </c>
      <c r="DK851" s="5" t="s">
        <v>240</v>
      </c>
      <c r="DL851" s="5" t="s">
        <v>240</v>
      </c>
      <c r="DP851" s="5" t="s">
        <v>240</v>
      </c>
      <c r="DQ851" s="5" t="s">
        <v>240</v>
      </c>
      <c r="DR851" s="5" t="s">
        <v>240</v>
      </c>
      <c r="DS851" s="5" t="s">
        <v>240</v>
      </c>
      <c r="DV851" s="5" t="s">
        <v>1839</v>
      </c>
      <c r="DW851" s="5" t="s">
        <v>691</v>
      </c>
      <c r="HO851" s="5" t="s">
        <v>312</v>
      </c>
    </row>
    <row r="852" spans="1:223" x14ac:dyDescent="0.4">
      <c r="A852" s="5">
        <v>2527</v>
      </c>
      <c r="B852" s="5">
        <v>1</v>
      </c>
      <c r="C852" s="5">
        <v>1</v>
      </c>
      <c r="D852" s="5" t="s">
        <v>297</v>
      </c>
      <c r="E852" s="5" t="s">
        <v>245</v>
      </c>
      <c r="F852" s="5" t="s">
        <v>254</v>
      </c>
      <c r="G852" s="5" t="s">
        <v>240</v>
      </c>
      <c r="H852" s="6" t="s">
        <v>628</v>
      </c>
      <c r="I852" s="5" t="s">
        <v>295</v>
      </c>
      <c r="J852" s="8">
        <f>3474</f>
        <v>3474</v>
      </c>
      <c r="K852" s="5" t="s">
        <v>308</v>
      </c>
      <c r="L852" s="7">
        <f>1</f>
        <v>1</v>
      </c>
      <c r="M852" s="7">
        <f>1</f>
        <v>1</v>
      </c>
      <c r="N852" s="5" t="s">
        <v>242</v>
      </c>
      <c r="O852" s="5">
        <v>1</v>
      </c>
      <c r="P852" s="5" t="s">
        <v>294</v>
      </c>
      <c r="Q852" s="5" t="s">
        <v>613</v>
      </c>
      <c r="R852" s="5" t="s">
        <v>240</v>
      </c>
      <c r="S852" s="5" t="s">
        <v>240</v>
      </c>
      <c r="T852" s="5" t="s">
        <v>243</v>
      </c>
      <c r="U852" s="5" t="s">
        <v>244</v>
      </c>
      <c r="V852" s="5" t="s">
        <v>240</v>
      </c>
      <c r="Y852" s="5" t="s">
        <v>240</v>
      </c>
      <c r="Z852" s="6" t="s">
        <v>298</v>
      </c>
      <c r="AB852" s="6" t="s">
        <v>240</v>
      </c>
      <c r="AE852" s="6" t="s">
        <v>299</v>
      </c>
      <c r="AF852" s="5" t="s">
        <v>248</v>
      </c>
      <c r="AG852" s="5" t="s">
        <v>249</v>
      </c>
      <c r="AW852" s="5" t="s">
        <v>251</v>
      </c>
      <c r="AX852" s="5" t="s">
        <v>240</v>
      </c>
      <c r="AY852" s="5" t="s">
        <v>253</v>
      </c>
      <c r="AZ852" s="5" t="s">
        <v>240</v>
      </c>
      <c r="BA852" s="5" t="s">
        <v>255</v>
      </c>
      <c r="BB852" s="5" t="s">
        <v>240</v>
      </c>
      <c r="BD852" s="5" t="s">
        <v>240</v>
      </c>
      <c r="BF852" s="5" t="s">
        <v>301</v>
      </c>
      <c r="BG852" s="6" t="s">
        <v>299</v>
      </c>
      <c r="BH852" s="5" t="s">
        <v>302</v>
      </c>
      <c r="BI852" s="5" t="s">
        <v>303</v>
      </c>
      <c r="BJ852" s="5" t="s">
        <v>240</v>
      </c>
      <c r="BK852" s="8">
        <f>0</f>
        <v>0</v>
      </c>
      <c r="BL852" s="7">
        <f>0</f>
        <v>0</v>
      </c>
      <c r="BM852" s="5" t="s">
        <v>258</v>
      </c>
      <c r="BN852" s="5" t="s">
        <v>259</v>
      </c>
      <c r="CB852" s="5" t="s">
        <v>240</v>
      </c>
      <c r="CC852" s="5" t="s">
        <v>240</v>
      </c>
      <c r="CG852" s="5" t="s">
        <v>617</v>
      </c>
      <c r="CH852" s="5" t="s">
        <v>305</v>
      </c>
      <c r="CI852" s="5" t="s">
        <v>240</v>
      </c>
      <c r="CL852" s="6" t="s">
        <v>261</v>
      </c>
      <c r="CM852" s="5" t="s">
        <v>240</v>
      </c>
      <c r="CN852" s="5" t="s">
        <v>263</v>
      </c>
      <c r="CO852" s="5" t="s">
        <v>240</v>
      </c>
      <c r="CP852" s="5" t="s">
        <v>240</v>
      </c>
      <c r="CQ852" s="5">
        <v>0</v>
      </c>
      <c r="CR852" s="5" t="s">
        <v>306</v>
      </c>
      <c r="CS852" s="5" t="s">
        <v>307</v>
      </c>
      <c r="CT852" s="5" t="s">
        <v>307</v>
      </c>
      <c r="CU852" s="5" t="s">
        <v>260</v>
      </c>
      <c r="CX852" s="7">
        <f>4900</f>
        <v>4900</v>
      </c>
      <c r="CY852" s="7">
        <f>0</f>
        <v>0</v>
      </c>
      <c r="DA852" s="7">
        <f>0</f>
        <v>0</v>
      </c>
      <c r="DC852" s="5" t="s">
        <v>450</v>
      </c>
      <c r="DD852" s="5" t="s">
        <v>240</v>
      </c>
      <c r="DF852" s="5" t="s">
        <v>1338</v>
      </c>
      <c r="DG852" s="7">
        <f>10</f>
        <v>10</v>
      </c>
      <c r="DH852" s="6" t="s">
        <v>1843</v>
      </c>
      <c r="DI852" s="5" t="s">
        <v>450</v>
      </c>
      <c r="DJ852" s="5" t="s">
        <v>240</v>
      </c>
      <c r="DK852" s="5" t="s">
        <v>240</v>
      </c>
      <c r="DL852" s="5" t="s">
        <v>240</v>
      </c>
      <c r="DP852" s="5" t="s">
        <v>240</v>
      </c>
      <c r="DQ852" s="5" t="s">
        <v>240</v>
      </c>
      <c r="DR852" s="5" t="s">
        <v>240</v>
      </c>
      <c r="DS852" s="5" t="s">
        <v>240</v>
      </c>
      <c r="DV852" s="5" t="s">
        <v>1839</v>
      </c>
      <c r="DW852" s="5" t="s">
        <v>620</v>
      </c>
      <c r="HO852" s="5" t="s">
        <v>312</v>
      </c>
    </row>
    <row r="853" spans="1:223" x14ac:dyDescent="0.4">
      <c r="A853" s="5">
        <v>2528</v>
      </c>
      <c r="B853" s="5">
        <v>1</v>
      </c>
      <c r="C853" s="5">
        <v>1</v>
      </c>
      <c r="D853" s="5" t="s">
        <v>297</v>
      </c>
      <c r="E853" s="5" t="s">
        <v>245</v>
      </c>
      <c r="F853" s="5" t="s">
        <v>254</v>
      </c>
      <c r="G853" s="5" t="s">
        <v>240</v>
      </c>
      <c r="H853" s="6" t="s">
        <v>626</v>
      </c>
      <c r="I853" s="5" t="s">
        <v>295</v>
      </c>
      <c r="J853" s="8">
        <f>3652</f>
        <v>3652</v>
      </c>
      <c r="K853" s="5" t="s">
        <v>308</v>
      </c>
      <c r="L853" s="7">
        <f>1</f>
        <v>1</v>
      </c>
      <c r="M853" s="7">
        <f>1</f>
        <v>1</v>
      </c>
      <c r="N853" s="5" t="s">
        <v>242</v>
      </c>
      <c r="O853" s="5">
        <v>1</v>
      </c>
      <c r="P853" s="5" t="s">
        <v>294</v>
      </c>
      <c r="Q853" s="5" t="s">
        <v>613</v>
      </c>
      <c r="R853" s="5" t="s">
        <v>240</v>
      </c>
      <c r="S853" s="5" t="s">
        <v>240</v>
      </c>
      <c r="T853" s="5" t="s">
        <v>243</v>
      </c>
      <c r="U853" s="5" t="s">
        <v>244</v>
      </c>
      <c r="V853" s="5" t="s">
        <v>240</v>
      </c>
      <c r="Y853" s="5" t="s">
        <v>240</v>
      </c>
      <c r="Z853" s="6" t="s">
        <v>298</v>
      </c>
      <c r="AB853" s="6" t="s">
        <v>240</v>
      </c>
      <c r="AE853" s="6" t="s">
        <v>299</v>
      </c>
      <c r="AF853" s="5" t="s">
        <v>248</v>
      </c>
      <c r="AG853" s="5" t="s">
        <v>249</v>
      </c>
      <c r="AW853" s="5" t="s">
        <v>251</v>
      </c>
      <c r="AX853" s="5" t="s">
        <v>240</v>
      </c>
      <c r="AY853" s="5" t="s">
        <v>253</v>
      </c>
      <c r="AZ853" s="5" t="s">
        <v>240</v>
      </c>
      <c r="BA853" s="5" t="s">
        <v>255</v>
      </c>
      <c r="BB853" s="5" t="s">
        <v>240</v>
      </c>
      <c r="BD853" s="5" t="s">
        <v>240</v>
      </c>
      <c r="BF853" s="5" t="s">
        <v>301</v>
      </c>
      <c r="BG853" s="6" t="s">
        <v>299</v>
      </c>
      <c r="BH853" s="5" t="s">
        <v>302</v>
      </c>
      <c r="BI853" s="5" t="s">
        <v>303</v>
      </c>
      <c r="BJ853" s="5" t="s">
        <v>240</v>
      </c>
      <c r="BK853" s="8">
        <f>0</f>
        <v>0</v>
      </c>
      <c r="BL853" s="7">
        <f>0</f>
        <v>0</v>
      </c>
      <c r="BM853" s="5" t="s">
        <v>258</v>
      </c>
      <c r="BN853" s="5" t="s">
        <v>259</v>
      </c>
      <c r="CB853" s="5" t="s">
        <v>240</v>
      </c>
      <c r="CC853" s="5" t="s">
        <v>240</v>
      </c>
      <c r="CG853" s="5" t="s">
        <v>617</v>
      </c>
      <c r="CH853" s="5" t="s">
        <v>305</v>
      </c>
      <c r="CI853" s="5" t="s">
        <v>240</v>
      </c>
      <c r="CL853" s="6" t="s">
        <v>261</v>
      </c>
      <c r="CM853" s="5" t="s">
        <v>240</v>
      </c>
      <c r="CN853" s="5" t="s">
        <v>263</v>
      </c>
      <c r="CO853" s="5" t="s">
        <v>240</v>
      </c>
      <c r="CP853" s="5" t="s">
        <v>240</v>
      </c>
      <c r="CQ853" s="5">
        <v>0</v>
      </c>
      <c r="CR853" s="5" t="s">
        <v>306</v>
      </c>
      <c r="CS853" s="5" t="s">
        <v>307</v>
      </c>
      <c r="CT853" s="5" t="s">
        <v>307</v>
      </c>
      <c r="CU853" s="5" t="s">
        <v>260</v>
      </c>
      <c r="CX853" s="7">
        <f>4184</f>
        <v>4184</v>
      </c>
      <c r="CY853" s="7">
        <f>0</f>
        <v>0</v>
      </c>
      <c r="DA853" s="7">
        <f>0</f>
        <v>0</v>
      </c>
      <c r="DC853" s="5" t="s">
        <v>450</v>
      </c>
      <c r="DD853" s="5" t="s">
        <v>240</v>
      </c>
      <c r="DF853" s="5" t="s">
        <v>1338</v>
      </c>
      <c r="DG853" s="7">
        <f>8.54</f>
        <v>8.5399999999999991</v>
      </c>
      <c r="DI853" s="5" t="s">
        <v>450</v>
      </c>
      <c r="DJ853" s="5" t="s">
        <v>240</v>
      </c>
      <c r="DK853" s="5" t="s">
        <v>240</v>
      </c>
      <c r="DL853" s="5" t="s">
        <v>240</v>
      </c>
      <c r="DP853" s="5" t="s">
        <v>240</v>
      </c>
      <c r="DQ853" s="5" t="s">
        <v>240</v>
      </c>
      <c r="DR853" s="5" t="s">
        <v>240</v>
      </c>
      <c r="DS853" s="5" t="s">
        <v>240</v>
      </c>
      <c r="DV853" s="5" t="s">
        <v>1839</v>
      </c>
      <c r="DW853" s="5" t="s">
        <v>621</v>
      </c>
      <c r="HO853" s="5" t="s">
        <v>312</v>
      </c>
    </row>
    <row r="854" spans="1:223" x14ac:dyDescent="0.4">
      <c r="A854" s="5">
        <v>2529</v>
      </c>
      <c r="B854" s="5">
        <v>1</v>
      </c>
      <c r="C854" s="5">
        <v>1</v>
      </c>
      <c r="D854" s="5" t="s">
        <v>297</v>
      </c>
      <c r="E854" s="5" t="s">
        <v>245</v>
      </c>
      <c r="F854" s="5" t="s">
        <v>254</v>
      </c>
      <c r="G854" s="5" t="s">
        <v>240</v>
      </c>
      <c r="H854" s="6" t="s">
        <v>624</v>
      </c>
      <c r="I854" s="5" t="s">
        <v>295</v>
      </c>
      <c r="J854" s="8">
        <f>2680</f>
        <v>2680</v>
      </c>
      <c r="K854" s="5" t="s">
        <v>308</v>
      </c>
      <c r="L854" s="7">
        <f>1</f>
        <v>1</v>
      </c>
      <c r="M854" s="7">
        <f>1</f>
        <v>1</v>
      </c>
      <c r="N854" s="5" t="s">
        <v>242</v>
      </c>
      <c r="O854" s="5">
        <v>1</v>
      </c>
      <c r="P854" s="5" t="s">
        <v>294</v>
      </c>
      <c r="Q854" s="5" t="s">
        <v>266</v>
      </c>
      <c r="R854" s="5" t="s">
        <v>240</v>
      </c>
      <c r="S854" s="5" t="s">
        <v>240</v>
      </c>
      <c r="T854" s="5" t="s">
        <v>296</v>
      </c>
      <c r="U854" s="5" t="s">
        <v>244</v>
      </c>
      <c r="V854" s="5" t="s">
        <v>240</v>
      </c>
      <c r="Y854" s="5" t="s">
        <v>240</v>
      </c>
      <c r="Z854" s="6" t="s">
        <v>298</v>
      </c>
      <c r="AB854" s="6" t="s">
        <v>240</v>
      </c>
      <c r="AE854" s="6" t="s">
        <v>299</v>
      </c>
      <c r="AF854" s="5" t="s">
        <v>248</v>
      </c>
      <c r="AG854" s="5" t="s">
        <v>249</v>
      </c>
      <c r="AW854" s="5" t="s">
        <v>251</v>
      </c>
      <c r="AX854" s="5" t="s">
        <v>240</v>
      </c>
      <c r="AY854" s="5" t="s">
        <v>253</v>
      </c>
      <c r="AZ854" s="5" t="s">
        <v>240</v>
      </c>
      <c r="BA854" s="5" t="s">
        <v>255</v>
      </c>
      <c r="BB854" s="5" t="s">
        <v>240</v>
      </c>
      <c r="BD854" s="5" t="s">
        <v>240</v>
      </c>
      <c r="BF854" s="5" t="s">
        <v>301</v>
      </c>
      <c r="BG854" s="6" t="s">
        <v>299</v>
      </c>
      <c r="BH854" s="5" t="s">
        <v>302</v>
      </c>
      <c r="BI854" s="5" t="s">
        <v>303</v>
      </c>
      <c r="BJ854" s="5" t="s">
        <v>240</v>
      </c>
      <c r="BK854" s="8">
        <f>0</f>
        <v>0</v>
      </c>
      <c r="BL854" s="7">
        <f>0</f>
        <v>0</v>
      </c>
      <c r="BM854" s="5" t="s">
        <v>258</v>
      </c>
      <c r="BN854" s="5" t="s">
        <v>259</v>
      </c>
      <c r="CB854" s="5" t="s">
        <v>240</v>
      </c>
      <c r="CC854" s="5" t="s">
        <v>240</v>
      </c>
      <c r="CG854" s="5" t="s">
        <v>304</v>
      </c>
      <c r="CH854" s="5" t="s">
        <v>305</v>
      </c>
      <c r="CI854" s="5" t="s">
        <v>240</v>
      </c>
      <c r="CL854" s="6" t="s">
        <v>261</v>
      </c>
      <c r="CM854" s="5" t="s">
        <v>240</v>
      </c>
      <c r="CN854" s="5" t="s">
        <v>263</v>
      </c>
      <c r="CO854" s="5" t="s">
        <v>240</v>
      </c>
      <c r="CP854" s="5" t="s">
        <v>240</v>
      </c>
      <c r="CQ854" s="5">
        <v>0</v>
      </c>
      <c r="CR854" s="5" t="s">
        <v>306</v>
      </c>
      <c r="CS854" s="5" t="s">
        <v>307</v>
      </c>
      <c r="CT854" s="5" t="s">
        <v>307</v>
      </c>
      <c r="CU854" s="5" t="s">
        <v>260</v>
      </c>
      <c r="CX854" s="7">
        <f>1</f>
        <v>1</v>
      </c>
      <c r="CY854" s="7">
        <f>0</f>
        <v>0</v>
      </c>
      <c r="DA854" s="7">
        <f>0</f>
        <v>0</v>
      </c>
      <c r="DC854" s="5" t="s">
        <v>309</v>
      </c>
      <c r="DD854" s="5" t="s">
        <v>240</v>
      </c>
      <c r="DF854" s="5" t="s">
        <v>309</v>
      </c>
      <c r="DG854" s="7">
        <f>1899</f>
        <v>1899</v>
      </c>
      <c r="DI854" s="5" t="s">
        <v>240</v>
      </c>
      <c r="DJ854" s="5" t="s">
        <v>240</v>
      </c>
      <c r="DK854" s="5" t="s">
        <v>240</v>
      </c>
      <c r="DL854" s="5" t="s">
        <v>240</v>
      </c>
      <c r="DP854" s="5" t="s">
        <v>240</v>
      </c>
      <c r="DQ854" s="5" t="s">
        <v>240</v>
      </c>
      <c r="DR854" s="5" t="s">
        <v>240</v>
      </c>
      <c r="DS854" s="5" t="s">
        <v>240</v>
      </c>
      <c r="DV854" s="5" t="s">
        <v>310</v>
      </c>
      <c r="DW854" s="5" t="s">
        <v>1829</v>
      </c>
      <c r="HO854" s="5" t="s">
        <v>312</v>
      </c>
    </row>
    <row r="855" spans="1:223" x14ac:dyDescent="0.4">
      <c r="A855" s="5">
        <v>2530</v>
      </c>
      <c r="B855" s="5">
        <v>1</v>
      </c>
      <c r="C855" s="5">
        <v>1</v>
      </c>
      <c r="D855" s="5" t="s">
        <v>297</v>
      </c>
      <c r="E855" s="5" t="s">
        <v>245</v>
      </c>
      <c r="F855" s="5" t="s">
        <v>254</v>
      </c>
      <c r="G855" s="5" t="s">
        <v>240</v>
      </c>
      <c r="H855" s="6" t="s">
        <v>622</v>
      </c>
      <c r="I855" s="5" t="s">
        <v>295</v>
      </c>
      <c r="J855" s="8">
        <f>1698</f>
        <v>1698</v>
      </c>
      <c r="K855" s="5" t="s">
        <v>308</v>
      </c>
      <c r="L855" s="7">
        <f>1</f>
        <v>1</v>
      </c>
      <c r="M855" s="7">
        <f>1</f>
        <v>1</v>
      </c>
      <c r="N855" s="5" t="s">
        <v>242</v>
      </c>
      <c r="O855" s="5">
        <v>1</v>
      </c>
      <c r="P855" s="5" t="s">
        <v>294</v>
      </c>
      <c r="Q855" s="5" t="s">
        <v>613</v>
      </c>
      <c r="R855" s="5" t="s">
        <v>240</v>
      </c>
      <c r="S855" s="5" t="s">
        <v>240</v>
      </c>
      <c r="T855" s="5" t="s">
        <v>243</v>
      </c>
      <c r="U855" s="5" t="s">
        <v>244</v>
      </c>
      <c r="V855" s="5" t="s">
        <v>240</v>
      </c>
      <c r="Y855" s="5" t="s">
        <v>240</v>
      </c>
      <c r="Z855" s="6" t="s">
        <v>298</v>
      </c>
      <c r="AB855" s="6" t="s">
        <v>240</v>
      </c>
      <c r="AE855" s="6" t="s">
        <v>299</v>
      </c>
      <c r="AF855" s="5" t="s">
        <v>248</v>
      </c>
      <c r="AG855" s="5" t="s">
        <v>249</v>
      </c>
      <c r="AW855" s="5" t="s">
        <v>251</v>
      </c>
      <c r="AX855" s="5" t="s">
        <v>240</v>
      </c>
      <c r="AY855" s="5" t="s">
        <v>253</v>
      </c>
      <c r="AZ855" s="5" t="s">
        <v>240</v>
      </c>
      <c r="BA855" s="5" t="s">
        <v>255</v>
      </c>
      <c r="BB855" s="5" t="s">
        <v>240</v>
      </c>
      <c r="BD855" s="5" t="s">
        <v>240</v>
      </c>
      <c r="BF855" s="5" t="s">
        <v>301</v>
      </c>
      <c r="BG855" s="6" t="s">
        <v>299</v>
      </c>
      <c r="BH855" s="5" t="s">
        <v>302</v>
      </c>
      <c r="BI855" s="5" t="s">
        <v>303</v>
      </c>
      <c r="BJ855" s="5" t="s">
        <v>240</v>
      </c>
      <c r="BK855" s="8">
        <f>0</f>
        <v>0</v>
      </c>
      <c r="BL855" s="7">
        <f>0</f>
        <v>0</v>
      </c>
      <c r="BM855" s="5" t="s">
        <v>258</v>
      </c>
      <c r="BN855" s="5" t="s">
        <v>259</v>
      </c>
      <c r="CB855" s="5" t="s">
        <v>240</v>
      </c>
      <c r="CC855" s="5" t="s">
        <v>240</v>
      </c>
      <c r="CG855" s="5" t="s">
        <v>617</v>
      </c>
      <c r="CH855" s="5" t="s">
        <v>305</v>
      </c>
      <c r="CI855" s="5" t="s">
        <v>240</v>
      </c>
      <c r="CL855" s="6" t="s">
        <v>261</v>
      </c>
      <c r="CM855" s="5" t="s">
        <v>240</v>
      </c>
      <c r="CN855" s="5" t="s">
        <v>263</v>
      </c>
      <c r="CO855" s="5" t="s">
        <v>240</v>
      </c>
      <c r="CP855" s="5" t="s">
        <v>240</v>
      </c>
      <c r="CQ855" s="5">
        <v>0</v>
      </c>
      <c r="CR855" s="5" t="s">
        <v>306</v>
      </c>
      <c r="CS855" s="5" t="s">
        <v>307</v>
      </c>
      <c r="CT855" s="5" t="s">
        <v>307</v>
      </c>
      <c r="CU855" s="5" t="s">
        <v>260</v>
      </c>
      <c r="CX855" s="7">
        <f>18590495</f>
        <v>18590495</v>
      </c>
      <c r="CY855" s="7">
        <f>0</f>
        <v>0</v>
      </c>
      <c r="DA855" s="7">
        <f>0</f>
        <v>0</v>
      </c>
      <c r="DC855" s="5" t="s">
        <v>1849</v>
      </c>
      <c r="DD855" s="5" t="s">
        <v>240</v>
      </c>
      <c r="DF855" s="5" t="s">
        <v>1849</v>
      </c>
      <c r="DG855" s="7">
        <f>2803</f>
        <v>2803</v>
      </c>
      <c r="DI855" s="5" t="s">
        <v>618</v>
      </c>
      <c r="DJ855" s="5" t="s">
        <v>240</v>
      </c>
      <c r="DK855" s="5" t="s">
        <v>240</v>
      </c>
      <c r="DL855" s="5" t="s">
        <v>240</v>
      </c>
      <c r="DP855" s="5" t="s">
        <v>240</v>
      </c>
      <c r="DQ855" s="5" t="s">
        <v>240</v>
      </c>
      <c r="DR855" s="5" t="s">
        <v>240</v>
      </c>
      <c r="DS855" s="5" t="s">
        <v>240</v>
      </c>
      <c r="DV855" s="5" t="s">
        <v>1850</v>
      </c>
      <c r="DW855" s="5" t="s">
        <v>621</v>
      </c>
      <c r="HO855" s="5" t="s">
        <v>312</v>
      </c>
    </row>
    <row r="856" spans="1:223" x14ac:dyDescent="0.4">
      <c r="A856" s="5">
        <v>2531</v>
      </c>
      <c r="B856" s="5">
        <v>1</v>
      </c>
      <c r="C856" s="5">
        <v>1</v>
      </c>
      <c r="D856" s="5" t="s">
        <v>297</v>
      </c>
      <c r="E856" s="5" t="s">
        <v>245</v>
      </c>
      <c r="F856" s="5" t="s">
        <v>254</v>
      </c>
      <c r="G856" s="5" t="s">
        <v>240</v>
      </c>
      <c r="H856" s="6" t="s">
        <v>4178</v>
      </c>
      <c r="I856" s="5" t="s">
        <v>295</v>
      </c>
      <c r="J856" s="8">
        <f>795</f>
        <v>795</v>
      </c>
      <c r="K856" s="5" t="s">
        <v>308</v>
      </c>
      <c r="L856" s="7">
        <f>1</f>
        <v>1</v>
      </c>
      <c r="M856" s="7">
        <f>1</f>
        <v>1</v>
      </c>
      <c r="N856" s="5" t="s">
        <v>242</v>
      </c>
      <c r="O856" s="5">
        <v>1</v>
      </c>
      <c r="P856" s="5" t="s">
        <v>294</v>
      </c>
      <c r="Q856" s="5" t="s">
        <v>613</v>
      </c>
      <c r="R856" s="5" t="s">
        <v>240</v>
      </c>
      <c r="S856" s="5" t="s">
        <v>240</v>
      </c>
      <c r="T856" s="5" t="s">
        <v>243</v>
      </c>
      <c r="U856" s="5" t="s">
        <v>244</v>
      </c>
      <c r="V856" s="5" t="s">
        <v>240</v>
      </c>
      <c r="Y856" s="5" t="s">
        <v>240</v>
      </c>
      <c r="Z856" s="6" t="s">
        <v>298</v>
      </c>
      <c r="AB856" s="6" t="s">
        <v>240</v>
      </c>
      <c r="AE856" s="6" t="s">
        <v>747</v>
      </c>
      <c r="AF856" s="5" t="s">
        <v>248</v>
      </c>
      <c r="AG856" s="5" t="s">
        <v>249</v>
      </c>
      <c r="AW856" s="5" t="s">
        <v>251</v>
      </c>
      <c r="AX856" s="5" t="s">
        <v>240</v>
      </c>
      <c r="AY856" s="5" t="s">
        <v>253</v>
      </c>
      <c r="AZ856" s="5" t="s">
        <v>240</v>
      </c>
      <c r="BA856" s="5" t="s">
        <v>255</v>
      </c>
      <c r="BB856" s="5" t="s">
        <v>240</v>
      </c>
      <c r="BD856" s="5" t="s">
        <v>686</v>
      </c>
      <c r="BF856" s="5" t="s">
        <v>687</v>
      </c>
      <c r="BG856" s="6" t="s">
        <v>747</v>
      </c>
      <c r="BH856" s="5" t="s">
        <v>302</v>
      </c>
      <c r="BI856" s="5" t="s">
        <v>303</v>
      </c>
      <c r="BJ856" s="5" t="s">
        <v>240</v>
      </c>
      <c r="BK856" s="8">
        <f>0</f>
        <v>0</v>
      </c>
      <c r="BL856" s="7">
        <f>0</f>
        <v>0</v>
      </c>
      <c r="BM856" s="5" t="s">
        <v>258</v>
      </c>
      <c r="BN856" s="5" t="s">
        <v>259</v>
      </c>
      <c r="CB856" s="5" t="s">
        <v>240</v>
      </c>
      <c r="CC856" s="5" t="s">
        <v>240</v>
      </c>
      <c r="CG856" s="5" t="s">
        <v>617</v>
      </c>
      <c r="CH856" s="5" t="s">
        <v>305</v>
      </c>
      <c r="CI856" s="5" t="s">
        <v>240</v>
      </c>
      <c r="CL856" s="6" t="s">
        <v>261</v>
      </c>
      <c r="CM856" s="5" t="s">
        <v>240</v>
      </c>
      <c r="CN856" s="5" t="s">
        <v>263</v>
      </c>
      <c r="CO856" s="5" t="s">
        <v>240</v>
      </c>
      <c r="CP856" s="5" t="s">
        <v>240</v>
      </c>
      <c r="CQ856" s="5">
        <v>0</v>
      </c>
      <c r="CR856" s="5" t="s">
        <v>306</v>
      </c>
      <c r="CS856" s="5" t="s">
        <v>307</v>
      </c>
      <c r="CT856" s="5" t="s">
        <v>307</v>
      </c>
      <c r="CU856" s="5" t="s">
        <v>260</v>
      </c>
      <c r="CX856" s="7">
        <f>31989030</f>
        <v>31989030</v>
      </c>
      <c r="CY856" s="7">
        <f>0</f>
        <v>0</v>
      </c>
      <c r="DA856" s="7">
        <f>0</f>
        <v>0</v>
      </c>
      <c r="DC856" s="5" t="s">
        <v>1849</v>
      </c>
      <c r="DD856" s="5" t="s">
        <v>240</v>
      </c>
      <c r="DF856" s="5" t="s">
        <v>1849</v>
      </c>
      <c r="DG856" s="7">
        <f>1291</f>
        <v>1291</v>
      </c>
      <c r="DI856" s="5" t="s">
        <v>618</v>
      </c>
      <c r="DJ856" s="5" t="s">
        <v>240</v>
      </c>
      <c r="DK856" s="5" t="s">
        <v>240</v>
      </c>
      <c r="DL856" s="5" t="s">
        <v>240</v>
      </c>
      <c r="DP856" s="5" t="s">
        <v>240</v>
      </c>
      <c r="DQ856" s="5" t="s">
        <v>240</v>
      </c>
      <c r="DR856" s="5" t="s">
        <v>240</v>
      </c>
      <c r="DS856" s="5" t="s">
        <v>240</v>
      </c>
      <c r="DV856" s="5" t="s">
        <v>1850</v>
      </c>
      <c r="DW856" s="5" t="s">
        <v>312</v>
      </c>
      <c r="HO856" s="5" t="s">
        <v>312</v>
      </c>
    </row>
    <row r="857" spans="1:223" x14ac:dyDescent="0.4">
      <c r="A857" s="5">
        <v>2532</v>
      </c>
      <c r="B857" s="5">
        <v>1</v>
      </c>
      <c r="C857" s="5">
        <v>1</v>
      </c>
      <c r="D857" s="5" t="s">
        <v>297</v>
      </c>
      <c r="E857" s="5" t="s">
        <v>245</v>
      </c>
      <c r="F857" s="5" t="s">
        <v>254</v>
      </c>
      <c r="G857" s="5" t="s">
        <v>240</v>
      </c>
      <c r="H857" s="6" t="s">
        <v>611</v>
      </c>
      <c r="I857" s="5" t="s">
        <v>295</v>
      </c>
      <c r="J857" s="8">
        <f>1750</f>
        <v>1750</v>
      </c>
      <c r="K857" s="5" t="s">
        <v>308</v>
      </c>
      <c r="L857" s="7">
        <f>1</f>
        <v>1</v>
      </c>
      <c r="M857" s="7">
        <f>1</f>
        <v>1</v>
      </c>
      <c r="N857" s="5" t="s">
        <v>242</v>
      </c>
      <c r="O857" s="5">
        <v>1</v>
      </c>
      <c r="P857" s="5" t="s">
        <v>294</v>
      </c>
      <c r="Q857" s="5" t="s">
        <v>613</v>
      </c>
      <c r="R857" s="5" t="s">
        <v>240</v>
      </c>
      <c r="S857" s="5" t="s">
        <v>240</v>
      </c>
      <c r="T857" s="5" t="s">
        <v>243</v>
      </c>
      <c r="U857" s="5" t="s">
        <v>244</v>
      </c>
      <c r="V857" s="5" t="s">
        <v>240</v>
      </c>
      <c r="Y857" s="5" t="s">
        <v>240</v>
      </c>
      <c r="Z857" s="6" t="s">
        <v>1854</v>
      </c>
      <c r="AB857" s="6" t="s">
        <v>240</v>
      </c>
      <c r="AE857" s="6" t="s">
        <v>1855</v>
      </c>
      <c r="AF857" s="5" t="s">
        <v>248</v>
      </c>
      <c r="AG857" s="5" t="s">
        <v>249</v>
      </c>
      <c r="AW857" s="5" t="s">
        <v>251</v>
      </c>
      <c r="AX857" s="5" t="s">
        <v>240</v>
      </c>
      <c r="AY857" s="5" t="s">
        <v>253</v>
      </c>
      <c r="AZ857" s="5" t="s">
        <v>240</v>
      </c>
      <c r="BA857" s="5" t="s">
        <v>255</v>
      </c>
      <c r="BB857" s="5" t="s">
        <v>240</v>
      </c>
      <c r="BD857" s="5" t="s">
        <v>686</v>
      </c>
      <c r="BF857" s="5" t="s">
        <v>447</v>
      </c>
      <c r="BG857" s="6" t="s">
        <v>1855</v>
      </c>
      <c r="BH857" s="5" t="s">
        <v>302</v>
      </c>
      <c r="BI857" s="5" t="s">
        <v>303</v>
      </c>
      <c r="BJ857" s="5" t="s">
        <v>240</v>
      </c>
      <c r="BK857" s="8">
        <f>0</f>
        <v>0</v>
      </c>
      <c r="BL857" s="7">
        <f>0</f>
        <v>0</v>
      </c>
      <c r="BM857" s="5" t="s">
        <v>258</v>
      </c>
      <c r="BN857" s="5" t="s">
        <v>259</v>
      </c>
      <c r="CB857" s="5" t="s">
        <v>240</v>
      </c>
      <c r="CC857" s="5" t="s">
        <v>240</v>
      </c>
      <c r="CG857" s="5" t="s">
        <v>449</v>
      </c>
      <c r="CH857" s="5" t="s">
        <v>305</v>
      </c>
      <c r="CI857" s="5" t="s">
        <v>240</v>
      </c>
      <c r="CL857" s="6" t="s">
        <v>261</v>
      </c>
      <c r="CM857" s="5" t="s">
        <v>240</v>
      </c>
      <c r="CN857" s="5" t="s">
        <v>263</v>
      </c>
      <c r="CO857" s="5" t="s">
        <v>240</v>
      </c>
      <c r="CP857" s="5" t="s">
        <v>240</v>
      </c>
      <c r="CQ857" s="5">
        <v>0</v>
      </c>
      <c r="CR857" s="5" t="s">
        <v>306</v>
      </c>
      <c r="CS857" s="5" t="s">
        <v>307</v>
      </c>
      <c r="CT857" s="5" t="s">
        <v>307</v>
      </c>
      <c r="CU857" s="5" t="s">
        <v>260</v>
      </c>
      <c r="CX857" s="7">
        <f>936775</f>
        <v>936775</v>
      </c>
      <c r="CY857" s="7">
        <f>0</f>
        <v>0</v>
      </c>
      <c r="DA857" s="7">
        <f>0</f>
        <v>0</v>
      </c>
      <c r="DC857" s="5" t="s">
        <v>843</v>
      </c>
      <c r="DD857" s="5" t="s">
        <v>240</v>
      </c>
      <c r="DF857" s="5" t="s">
        <v>1338</v>
      </c>
      <c r="DG857" s="7">
        <f>265</f>
        <v>265</v>
      </c>
      <c r="DI857" s="5" t="s">
        <v>843</v>
      </c>
      <c r="DJ857" s="5" t="s">
        <v>240</v>
      </c>
      <c r="DK857" s="5" t="s">
        <v>240</v>
      </c>
      <c r="DL857" s="5" t="s">
        <v>240</v>
      </c>
      <c r="DP857" s="5" t="s">
        <v>240</v>
      </c>
      <c r="DQ857" s="5" t="s">
        <v>240</v>
      </c>
      <c r="DR857" s="5" t="s">
        <v>240</v>
      </c>
      <c r="DS857" s="5" t="s">
        <v>240</v>
      </c>
      <c r="DV857" s="5" t="s">
        <v>1858</v>
      </c>
      <c r="DW857" s="5" t="s">
        <v>312</v>
      </c>
      <c r="HO857" s="5" t="s">
        <v>312</v>
      </c>
    </row>
    <row r="858" spans="1:223" x14ac:dyDescent="0.4">
      <c r="A858" s="5">
        <v>2533</v>
      </c>
      <c r="B858" s="5">
        <v>1</v>
      </c>
      <c r="C858" s="5">
        <v>1</v>
      </c>
      <c r="D858" s="5" t="s">
        <v>297</v>
      </c>
      <c r="E858" s="5" t="s">
        <v>245</v>
      </c>
      <c r="F858" s="5" t="s">
        <v>254</v>
      </c>
      <c r="G858" s="5" t="s">
        <v>240</v>
      </c>
      <c r="H858" s="6" t="s">
        <v>609</v>
      </c>
      <c r="I858" s="5" t="s">
        <v>295</v>
      </c>
      <c r="J858" s="8">
        <f>69</f>
        <v>69</v>
      </c>
      <c r="K858" s="5" t="s">
        <v>308</v>
      </c>
      <c r="L858" s="7">
        <f>1</f>
        <v>1</v>
      </c>
      <c r="M858" s="7">
        <f>1</f>
        <v>1</v>
      </c>
      <c r="N858" s="5" t="s">
        <v>242</v>
      </c>
      <c r="O858" s="5">
        <v>1</v>
      </c>
      <c r="P858" s="5" t="s">
        <v>294</v>
      </c>
      <c r="Q858" s="5" t="s">
        <v>266</v>
      </c>
      <c r="R858" s="5" t="s">
        <v>240</v>
      </c>
      <c r="S858" s="5" t="s">
        <v>240</v>
      </c>
      <c r="T858" s="5" t="s">
        <v>296</v>
      </c>
      <c r="U858" s="5" t="s">
        <v>244</v>
      </c>
      <c r="V858" s="5" t="s">
        <v>240</v>
      </c>
      <c r="Y858" s="5" t="s">
        <v>240</v>
      </c>
      <c r="Z858" s="6" t="s">
        <v>298</v>
      </c>
      <c r="AB858" s="6" t="s">
        <v>240</v>
      </c>
      <c r="AE858" s="6" t="s">
        <v>299</v>
      </c>
      <c r="AF858" s="5" t="s">
        <v>248</v>
      </c>
      <c r="AG858" s="5" t="s">
        <v>249</v>
      </c>
      <c r="AW858" s="5" t="s">
        <v>251</v>
      </c>
      <c r="AX858" s="5" t="s">
        <v>240</v>
      </c>
      <c r="AY858" s="5" t="s">
        <v>253</v>
      </c>
      <c r="AZ858" s="5" t="s">
        <v>240</v>
      </c>
      <c r="BA858" s="5" t="s">
        <v>255</v>
      </c>
      <c r="BB858" s="5" t="s">
        <v>240</v>
      </c>
      <c r="BD858" s="5" t="s">
        <v>240</v>
      </c>
      <c r="BF858" s="5" t="s">
        <v>301</v>
      </c>
      <c r="BG858" s="6" t="s">
        <v>299</v>
      </c>
      <c r="BH858" s="5" t="s">
        <v>302</v>
      </c>
      <c r="BI858" s="5" t="s">
        <v>303</v>
      </c>
      <c r="BJ858" s="5" t="s">
        <v>240</v>
      </c>
      <c r="BK858" s="8">
        <f>0</f>
        <v>0</v>
      </c>
      <c r="BL858" s="7">
        <f>0</f>
        <v>0</v>
      </c>
      <c r="BM858" s="5" t="s">
        <v>258</v>
      </c>
      <c r="BN858" s="5" t="s">
        <v>259</v>
      </c>
      <c r="CB858" s="5" t="s">
        <v>240</v>
      </c>
      <c r="CC858" s="5" t="s">
        <v>240</v>
      </c>
      <c r="CG858" s="5" t="s">
        <v>617</v>
      </c>
      <c r="CH858" s="5" t="s">
        <v>305</v>
      </c>
      <c r="CI858" s="5" t="s">
        <v>240</v>
      </c>
      <c r="CL858" s="6" t="s">
        <v>261</v>
      </c>
      <c r="CM858" s="5" t="s">
        <v>240</v>
      </c>
      <c r="CN858" s="5" t="s">
        <v>263</v>
      </c>
      <c r="CO858" s="5" t="s">
        <v>240</v>
      </c>
      <c r="CP858" s="5" t="s">
        <v>240</v>
      </c>
      <c r="CQ858" s="5">
        <v>0</v>
      </c>
      <c r="CR858" s="5" t="s">
        <v>306</v>
      </c>
      <c r="CS858" s="5" t="s">
        <v>307</v>
      </c>
      <c r="CT858" s="5" t="s">
        <v>307</v>
      </c>
      <c r="CU858" s="5" t="s">
        <v>260</v>
      </c>
      <c r="CX858" s="7">
        <f>48833</f>
        <v>48833</v>
      </c>
      <c r="CY858" s="7">
        <f>0</f>
        <v>0</v>
      </c>
      <c r="DA858" s="7">
        <f>0</f>
        <v>0</v>
      </c>
      <c r="DC858" s="5" t="s">
        <v>309</v>
      </c>
      <c r="DD858" s="5" t="s">
        <v>240</v>
      </c>
      <c r="DF858" s="5" t="s">
        <v>450</v>
      </c>
      <c r="DG858" s="7">
        <f>0</f>
        <v>0</v>
      </c>
      <c r="DI858" s="5" t="s">
        <v>450</v>
      </c>
      <c r="DJ858" s="5" t="s">
        <v>240</v>
      </c>
      <c r="DK858" s="5" t="s">
        <v>240</v>
      </c>
      <c r="DL858" s="5" t="s">
        <v>240</v>
      </c>
      <c r="DP858" s="5" t="s">
        <v>240</v>
      </c>
      <c r="DQ858" s="5" t="s">
        <v>240</v>
      </c>
      <c r="DR858" s="5" t="s">
        <v>240</v>
      </c>
      <c r="DS858" s="5" t="s">
        <v>240</v>
      </c>
      <c r="DV858" s="5" t="s">
        <v>1862</v>
      </c>
      <c r="DW858" s="5" t="s">
        <v>775</v>
      </c>
      <c r="HO858" s="5" t="s">
        <v>312</v>
      </c>
    </row>
    <row r="859" spans="1:223" x14ac:dyDescent="0.4">
      <c r="A859" s="5">
        <v>2534</v>
      </c>
      <c r="B859" s="5">
        <v>1</v>
      </c>
      <c r="C859" s="5">
        <v>1</v>
      </c>
      <c r="D859" s="5" t="s">
        <v>297</v>
      </c>
      <c r="E859" s="5" t="s">
        <v>245</v>
      </c>
      <c r="F859" s="5" t="s">
        <v>254</v>
      </c>
      <c r="G859" s="5" t="s">
        <v>240</v>
      </c>
      <c r="H859" s="6" t="s">
        <v>607</v>
      </c>
      <c r="I859" s="5" t="s">
        <v>295</v>
      </c>
      <c r="J859" s="8">
        <f>1191</f>
        <v>1191</v>
      </c>
      <c r="K859" s="5" t="s">
        <v>308</v>
      </c>
      <c r="L859" s="7">
        <f>1</f>
        <v>1</v>
      </c>
      <c r="M859" s="7">
        <f>1</f>
        <v>1</v>
      </c>
      <c r="N859" s="5" t="s">
        <v>242</v>
      </c>
      <c r="O859" s="5">
        <v>1</v>
      </c>
      <c r="P859" s="5" t="s">
        <v>294</v>
      </c>
      <c r="Q859" s="5" t="s">
        <v>266</v>
      </c>
      <c r="R859" s="5" t="s">
        <v>240</v>
      </c>
      <c r="S859" s="5" t="s">
        <v>240</v>
      </c>
      <c r="T859" s="5" t="s">
        <v>296</v>
      </c>
      <c r="U859" s="5" t="s">
        <v>244</v>
      </c>
      <c r="V859" s="5" t="s">
        <v>240</v>
      </c>
      <c r="Y859" s="5" t="s">
        <v>240</v>
      </c>
      <c r="Z859" s="6" t="s">
        <v>298</v>
      </c>
      <c r="AB859" s="6" t="s">
        <v>240</v>
      </c>
      <c r="AE859" s="6" t="s">
        <v>299</v>
      </c>
      <c r="AF859" s="5" t="s">
        <v>248</v>
      </c>
      <c r="AG859" s="5" t="s">
        <v>249</v>
      </c>
      <c r="AW859" s="5" t="s">
        <v>251</v>
      </c>
      <c r="AX859" s="5" t="s">
        <v>240</v>
      </c>
      <c r="AY859" s="5" t="s">
        <v>253</v>
      </c>
      <c r="AZ859" s="5" t="s">
        <v>240</v>
      </c>
      <c r="BA859" s="5" t="s">
        <v>255</v>
      </c>
      <c r="BB859" s="5" t="s">
        <v>240</v>
      </c>
      <c r="BD859" s="5" t="s">
        <v>240</v>
      </c>
      <c r="BF859" s="5" t="s">
        <v>768</v>
      </c>
      <c r="BG859" s="6" t="s">
        <v>1863</v>
      </c>
      <c r="BH859" s="5" t="s">
        <v>302</v>
      </c>
      <c r="BI859" s="5" t="s">
        <v>303</v>
      </c>
      <c r="BJ859" s="5" t="s">
        <v>240</v>
      </c>
      <c r="BK859" s="8">
        <f>0</f>
        <v>0</v>
      </c>
      <c r="BL859" s="7">
        <f>0</f>
        <v>0</v>
      </c>
      <c r="BM859" s="5" t="s">
        <v>258</v>
      </c>
      <c r="BN859" s="5" t="s">
        <v>259</v>
      </c>
      <c r="CB859" s="5" t="s">
        <v>240</v>
      </c>
      <c r="CC859" s="5" t="s">
        <v>240</v>
      </c>
      <c r="CG859" s="5" t="s">
        <v>617</v>
      </c>
      <c r="CH859" s="5" t="s">
        <v>305</v>
      </c>
      <c r="CI859" s="5" t="s">
        <v>240</v>
      </c>
      <c r="CL859" s="6" t="s">
        <v>261</v>
      </c>
      <c r="CM859" s="5" t="s">
        <v>240</v>
      </c>
      <c r="CN859" s="5" t="s">
        <v>263</v>
      </c>
      <c r="CO859" s="5" t="s">
        <v>240</v>
      </c>
      <c r="CP859" s="5" t="s">
        <v>240</v>
      </c>
      <c r="CQ859" s="5">
        <v>0</v>
      </c>
      <c r="CR859" s="5" t="s">
        <v>306</v>
      </c>
      <c r="CS859" s="5" t="s">
        <v>307</v>
      </c>
      <c r="CT859" s="5" t="s">
        <v>307</v>
      </c>
      <c r="CU859" s="5" t="s">
        <v>260</v>
      </c>
      <c r="CX859" s="7">
        <f>5056</f>
        <v>5056</v>
      </c>
      <c r="CY859" s="7">
        <f>0</f>
        <v>0</v>
      </c>
      <c r="DA859" s="7">
        <f>0</f>
        <v>0</v>
      </c>
      <c r="DC859" s="5" t="s">
        <v>309</v>
      </c>
      <c r="DD859" s="5" t="s">
        <v>240</v>
      </c>
      <c r="DF859" s="5" t="s">
        <v>450</v>
      </c>
      <c r="DG859" s="7">
        <f>0</f>
        <v>0</v>
      </c>
      <c r="DI859" s="5" t="s">
        <v>450</v>
      </c>
      <c r="DJ859" s="5" t="s">
        <v>240</v>
      </c>
      <c r="DK859" s="5" t="s">
        <v>240</v>
      </c>
      <c r="DL859" s="5" t="s">
        <v>240</v>
      </c>
      <c r="DP859" s="5" t="s">
        <v>240</v>
      </c>
      <c r="DQ859" s="5" t="s">
        <v>240</v>
      </c>
      <c r="DR859" s="5" t="s">
        <v>240</v>
      </c>
      <c r="DS859" s="5" t="s">
        <v>240</v>
      </c>
      <c r="DV859" s="5" t="s">
        <v>1862</v>
      </c>
      <c r="DW859" s="5" t="s">
        <v>958</v>
      </c>
      <c r="HO859" s="5" t="s">
        <v>312</v>
      </c>
    </row>
    <row r="860" spans="1:223" x14ac:dyDescent="0.4">
      <c r="A860" s="5">
        <v>2535</v>
      </c>
      <c r="B860" s="5">
        <v>1</v>
      </c>
      <c r="C860" s="5">
        <v>1</v>
      </c>
      <c r="D860" s="5" t="s">
        <v>297</v>
      </c>
      <c r="E860" s="5" t="s">
        <v>245</v>
      </c>
      <c r="F860" s="5" t="s">
        <v>254</v>
      </c>
      <c r="G860" s="5" t="s">
        <v>240</v>
      </c>
      <c r="H860" s="6" t="s">
        <v>605</v>
      </c>
      <c r="I860" s="5" t="s">
        <v>295</v>
      </c>
      <c r="J860" s="8">
        <f>4460</f>
        <v>4460</v>
      </c>
      <c r="K860" s="5" t="s">
        <v>308</v>
      </c>
      <c r="L860" s="7">
        <f>1</f>
        <v>1</v>
      </c>
      <c r="M860" s="7">
        <f>1</f>
        <v>1</v>
      </c>
      <c r="N860" s="5" t="s">
        <v>242</v>
      </c>
      <c r="O860" s="5">
        <v>1</v>
      </c>
      <c r="P860" s="5" t="s">
        <v>294</v>
      </c>
      <c r="Q860" s="5" t="s">
        <v>266</v>
      </c>
      <c r="R860" s="5" t="s">
        <v>240</v>
      </c>
      <c r="S860" s="5" t="s">
        <v>240</v>
      </c>
      <c r="T860" s="5" t="s">
        <v>296</v>
      </c>
      <c r="U860" s="5" t="s">
        <v>244</v>
      </c>
      <c r="V860" s="5" t="s">
        <v>240</v>
      </c>
      <c r="Y860" s="5" t="s">
        <v>240</v>
      </c>
      <c r="Z860" s="6" t="s">
        <v>298</v>
      </c>
      <c r="AB860" s="6" t="s">
        <v>240</v>
      </c>
      <c r="AE860" s="6" t="s">
        <v>299</v>
      </c>
      <c r="AF860" s="5" t="s">
        <v>248</v>
      </c>
      <c r="AG860" s="5" t="s">
        <v>249</v>
      </c>
      <c r="AW860" s="5" t="s">
        <v>251</v>
      </c>
      <c r="AX860" s="5" t="s">
        <v>240</v>
      </c>
      <c r="AY860" s="5" t="s">
        <v>253</v>
      </c>
      <c r="AZ860" s="5" t="s">
        <v>240</v>
      </c>
      <c r="BA860" s="5" t="s">
        <v>255</v>
      </c>
      <c r="BB860" s="5" t="s">
        <v>240</v>
      </c>
      <c r="BD860" s="5" t="s">
        <v>240</v>
      </c>
      <c r="BF860" s="5" t="s">
        <v>301</v>
      </c>
      <c r="BG860" s="6" t="s">
        <v>299</v>
      </c>
      <c r="BH860" s="5" t="s">
        <v>302</v>
      </c>
      <c r="BI860" s="5" t="s">
        <v>303</v>
      </c>
      <c r="BJ860" s="5" t="s">
        <v>240</v>
      </c>
      <c r="BK860" s="8">
        <f>0</f>
        <v>0</v>
      </c>
      <c r="BL860" s="7">
        <f>0</f>
        <v>0</v>
      </c>
      <c r="BM860" s="5" t="s">
        <v>258</v>
      </c>
      <c r="BN860" s="5" t="s">
        <v>259</v>
      </c>
      <c r="CB860" s="5" t="s">
        <v>240</v>
      </c>
      <c r="CC860" s="5" t="s">
        <v>240</v>
      </c>
      <c r="CG860" s="5" t="s">
        <v>617</v>
      </c>
      <c r="CH860" s="5" t="s">
        <v>305</v>
      </c>
      <c r="CI860" s="5" t="s">
        <v>240</v>
      </c>
      <c r="CL860" s="6" t="s">
        <v>261</v>
      </c>
      <c r="CM860" s="5" t="s">
        <v>240</v>
      </c>
      <c r="CN860" s="5" t="s">
        <v>263</v>
      </c>
      <c r="CO860" s="5" t="s">
        <v>240</v>
      </c>
      <c r="CP860" s="5" t="s">
        <v>240</v>
      </c>
      <c r="CQ860" s="5">
        <v>0</v>
      </c>
      <c r="CR860" s="5" t="s">
        <v>306</v>
      </c>
      <c r="CS860" s="5" t="s">
        <v>307</v>
      </c>
      <c r="CT860" s="5" t="s">
        <v>307</v>
      </c>
      <c r="CU860" s="5" t="s">
        <v>260</v>
      </c>
      <c r="CX860" s="7">
        <f>846646</f>
        <v>846646</v>
      </c>
      <c r="CY860" s="7">
        <f>0</f>
        <v>0</v>
      </c>
      <c r="DA860" s="7">
        <f>0</f>
        <v>0</v>
      </c>
      <c r="DC860" s="5" t="s">
        <v>309</v>
      </c>
      <c r="DD860" s="5" t="s">
        <v>240</v>
      </c>
      <c r="DF860" s="5" t="s">
        <v>450</v>
      </c>
      <c r="DG860" s="7">
        <f>0</f>
        <v>0</v>
      </c>
      <c r="DI860" s="5" t="s">
        <v>450</v>
      </c>
      <c r="DJ860" s="5" t="s">
        <v>240</v>
      </c>
      <c r="DK860" s="5" t="s">
        <v>240</v>
      </c>
      <c r="DL860" s="5" t="s">
        <v>240</v>
      </c>
      <c r="DP860" s="5" t="s">
        <v>240</v>
      </c>
      <c r="DQ860" s="5" t="s">
        <v>240</v>
      </c>
      <c r="DR860" s="5" t="s">
        <v>240</v>
      </c>
      <c r="DS860" s="5" t="s">
        <v>240</v>
      </c>
      <c r="DV860" s="5" t="s">
        <v>1862</v>
      </c>
      <c r="DW860" s="5" t="s">
        <v>779</v>
      </c>
      <c r="HO860" s="5" t="s">
        <v>312</v>
      </c>
    </row>
    <row r="861" spans="1:223" x14ac:dyDescent="0.4">
      <c r="A861" s="5">
        <v>2536</v>
      </c>
      <c r="B861" s="5">
        <v>1</v>
      </c>
      <c r="C861" s="5">
        <v>1</v>
      </c>
      <c r="D861" s="5" t="s">
        <v>297</v>
      </c>
      <c r="E861" s="5" t="s">
        <v>245</v>
      </c>
      <c r="F861" s="5" t="s">
        <v>254</v>
      </c>
      <c r="G861" s="5" t="s">
        <v>240</v>
      </c>
      <c r="H861" s="6" t="s">
        <v>603</v>
      </c>
      <c r="I861" s="5" t="s">
        <v>295</v>
      </c>
      <c r="J861" s="8">
        <f>913</f>
        <v>913</v>
      </c>
      <c r="K861" s="5" t="s">
        <v>308</v>
      </c>
      <c r="L861" s="7">
        <f>1</f>
        <v>1</v>
      </c>
      <c r="M861" s="7">
        <f>1</f>
        <v>1</v>
      </c>
      <c r="N861" s="5" t="s">
        <v>242</v>
      </c>
      <c r="O861" s="5">
        <v>1</v>
      </c>
      <c r="P861" s="5" t="s">
        <v>294</v>
      </c>
      <c r="Q861" s="5" t="s">
        <v>266</v>
      </c>
      <c r="R861" s="5" t="s">
        <v>240</v>
      </c>
      <c r="S861" s="5" t="s">
        <v>240</v>
      </c>
      <c r="T861" s="5" t="s">
        <v>243</v>
      </c>
      <c r="U861" s="5" t="s">
        <v>244</v>
      </c>
      <c r="V861" s="5" t="s">
        <v>240</v>
      </c>
      <c r="Y861" s="5" t="s">
        <v>240</v>
      </c>
      <c r="Z861" s="6" t="s">
        <v>298</v>
      </c>
      <c r="AB861" s="6" t="s">
        <v>240</v>
      </c>
      <c r="AE861" s="6" t="s">
        <v>299</v>
      </c>
      <c r="AF861" s="5" t="s">
        <v>248</v>
      </c>
      <c r="AG861" s="5" t="s">
        <v>249</v>
      </c>
      <c r="AW861" s="5" t="s">
        <v>251</v>
      </c>
      <c r="AX861" s="5" t="s">
        <v>240</v>
      </c>
      <c r="AY861" s="5" t="s">
        <v>253</v>
      </c>
      <c r="AZ861" s="5" t="s">
        <v>240</v>
      </c>
      <c r="BA861" s="5" t="s">
        <v>255</v>
      </c>
      <c r="BB861" s="5" t="s">
        <v>240</v>
      </c>
      <c r="BD861" s="5" t="s">
        <v>240</v>
      </c>
      <c r="BF861" s="5" t="s">
        <v>301</v>
      </c>
      <c r="BG861" s="6" t="s">
        <v>299</v>
      </c>
      <c r="BH861" s="5" t="s">
        <v>302</v>
      </c>
      <c r="BI861" s="5" t="s">
        <v>303</v>
      </c>
      <c r="BJ861" s="5" t="s">
        <v>240</v>
      </c>
      <c r="BK861" s="8">
        <f>0</f>
        <v>0</v>
      </c>
      <c r="BL861" s="7">
        <f>0</f>
        <v>0</v>
      </c>
      <c r="BM861" s="5" t="s">
        <v>258</v>
      </c>
      <c r="BN861" s="5" t="s">
        <v>259</v>
      </c>
      <c r="CB861" s="5" t="s">
        <v>240</v>
      </c>
      <c r="CC861" s="5" t="s">
        <v>240</v>
      </c>
      <c r="CG861" s="5" t="s">
        <v>617</v>
      </c>
      <c r="CH861" s="5" t="s">
        <v>305</v>
      </c>
      <c r="CI861" s="5" t="s">
        <v>240</v>
      </c>
      <c r="CL861" s="6" t="s">
        <v>261</v>
      </c>
      <c r="CM861" s="5" t="s">
        <v>240</v>
      </c>
      <c r="CN861" s="5" t="s">
        <v>263</v>
      </c>
      <c r="CO861" s="5" t="s">
        <v>240</v>
      </c>
      <c r="CP861" s="5" t="s">
        <v>240</v>
      </c>
      <c r="CQ861" s="5">
        <v>0</v>
      </c>
      <c r="CR861" s="5" t="s">
        <v>306</v>
      </c>
      <c r="CS861" s="5" t="s">
        <v>307</v>
      </c>
      <c r="CT861" s="5" t="s">
        <v>307</v>
      </c>
      <c r="CU861" s="5" t="s">
        <v>260</v>
      </c>
      <c r="CX861" s="7">
        <f>11760</f>
        <v>11760</v>
      </c>
      <c r="CY861" s="7">
        <f>0</f>
        <v>0</v>
      </c>
      <c r="DA861" s="7">
        <f>0</f>
        <v>0</v>
      </c>
      <c r="DC861" s="5" t="s">
        <v>450</v>
      </c>
      <c r="DD861" s="5" t="s">
        <v>240</v>
      </c>
      <c r="DF861" s="5" t="s">
        <v>309</v>
      </c>
      <c r="DG861" s="7">
        <f>24</f>
        <v>24</v>
      </c>
      <c r="DI861" s="5" t="s">
        <v>450</v>
      </c>
      <c r="DJ861" s="5" t="s">
        <v>240</v>
      </c>
      <c r="DK861" s="5" t="s">
        <v>240</v>
      </c>
      <c r="DL861" s="5" t="s">
        <v>240</v>
      </c>
      <c r="DP861" s="5" t="s">
        <v>240</v>
      </c>
      <c r="DQ861" s="5" t="s">
        <v>240</v>
      </c>
      <c r="DR861" s="5" t="s">
        <v>240</v>
      </c>
      <c r="DS861" s="5" t="s">
        <v>240</v>
      </c>
      <c r="DV861" s="5" t="s">
        <v>1862</v>
      </c>
      <c r="DW861" s="5" t="s">
        <v>781</v>
      </c>
      <c r="HO861" s="5" t="s">
        <v>312</v>
      </c>
    </row>
    <row r="862" spans="1:223" x14ac:dyDescent="0.4">
      <c r="A862" s="5">
        <v>2537</v>
      </c>
      <c r="B862" s="5">
        <v>1</v>
      </c>
      <c r="C862" s="5">
        <v>1</v>
      </c>
      <c r="D862" s="5" t="s">
        <v>297</v>
      </c>
      <c r="E862" s="5" t="s">
        <v>245</v>
      </c>
      <c r="F862" s="5" t="s">
        <v>254</v>
      </c>
      <c r="G862" s="5" t="s">
        <v>240</v>
      </c>
      <c r="H862" s="6" t="s">
        <v>601</v>
      </c>
      <c r="I862" s="5" t="s">
        <v>295</v>
      </c>
      <c r="J862" s="8">
        <f>1760</f>
        <v>1760</v>
      </c>
      <c r="K862" s="5" t="s">
        <v>308</v>
      </c>
      <c r="L862" s="7">
        <f>1</f>
        <v>1</v>
      </c>
      <c r="M862" s="7">
        <f>1</f>
        <v>1</v>
      </c>
      <c r="N862" s="5" t="s">
        <v>242</v>
      </c>
      <c r="O862" s="5">
        <v>1</v>
      </c>
      <c r="P862" s="5" t="s">
        <v>294</v>
      </c>
      <c r="Q862" s="5" t="s">
        <v>266</v>
      </c>
      <c r="R862" s="5" t="s">
        <v>240</v>
      </c>
      <c r="S862" s="5" t="s">
        <v>240</v>
      </c>
      <c r="T862" s="5" t="s">
        <v>243</v>
      </c>
      <c r="U862" s="5" t="s">
        <v>244</v>
      </c>
      <c r="V862" s="5" t="s">
        <v>240</v>
      </c>
      <c r="Y862" s="5" t="s">
        <v>240</v>
      </c>
      <c r="Z862" s="6" t="s">
        <v>298</v>
      </c>
      <c r="AB862" s="6" t="s">
        <v>240</v>
      </c>
      <c r="AE862" s="6" t="s">
        <v>299</v>
      </c>
      <c r="AF862" s="5" t="s">
        <v>248</v>
      </c>
      <c r="AG862" s="5" t="s">
        <v>249</v>
      </c>
      <c r="AW862" s="5" t="s">
        <v>251</v>
      </c>
      <c r="AX862" s="5" t="s">
        <v>240</v>
      </c>
      <c r="AY862" s="5" t="s">
        <v>253</v>
      </c>
      <c r="AZ862" s="5" t="s">
        <v>240</v>
      </c>
      <c r="BA862" s="5" t="s">
        <v>255</v>
      </c>
      <c r="BB862" s="5" t="s">
        <v>240</v>
      </c>
      <c r="BD862" s="5" t="s">
        <v>240</v>
      </c>
      <c r="BF862" s="5" t="s">
        <v>301</v>
      </c>
      <c r="BG862" s="6" t="s">
        <v>299</v>
      </c>
      <c r="BH862" s="5" t="s">
        <v>302</v>
      </c>
      <c r="BI862" s="5" t="s">
        <v>303</v>
      </c>
      <c r="BJ862" s="5" t="s">
        <v>240</v>
      </c>
      <c r="BK862" s="8">
        <f>0</f>
        <v>0</v>
      </c>
      <c r="BL862" s="7">
        <f>0</f>
        <v>0</v>
      </c>
      <c r="BM862" s="5" t="s">
        <v>258</v>
      </c>
      <c r="BN862" s="5" t="s">
        <v>259</v>
      </c>
      <c r="CB862" s="5" t="s">
        <v>240</v>
      </c>
      <c r="CC862" s="5" t="s">
        <v>240</v>
      </c>
      <c r="CG862" s="5" t="s">
        <v>617</v>
      </c>
      <c r="CH862" s="5" t="s">
        <v>305</v>
      </c>
      <c r="CI862" s="5" t="s">
        <v>240</v>
      </c>
      <c r="CL862" s="6" t="s">
        <v>261</v>
      </c>
      <c r="CM862" s="5" t="s">
        <v>240</v>
      </c>
      <c r="CN862" s="5" t="s">
        <v>263</v>
      </c>
      <c r="CO862" s="5" t="s">
        <v>240</v>
      </c>
      <c r="CP862" s="5" t="s">
        <v>240</v>
      </c>
      <c r="CQ862" s="5">
        <v>0</v>
      </c>
      <c r="CR862" s="5" t="s">
        <v>306</v>
      </c>
      <c r="CS862" s="5" t="s">
        <v>307</v>
      </c>
      <c r="CT862" s="5" t="s">
        <v>307</v>
      </c>
      <c r="CU862" s="5" t="s">
        <v>260</v>
      </c>
      <c r="CX862" s="7">
        <f>95060</f>
        <v>95060</v>
      </c>
      <c r="CY862" s="7">
        <f>0</f>
        <v>0</v>
      </c>
      <c r="DA862" s="7">
        <f>0</f>
        <v>0</v>
      </c>
      <c r="DC862" s="5" t="s">
        <v>450</v>
      </c>
      <c r="DD862" s="5" t="s">
        <v>240</v>
      </c>
      <c r="DF862" s="5" t="s">
        <v>309</v>
      </c>
      <c r="DG862" s="7">
        <f>194</f>
        <v>194</v>
      </c>
      <c r="DI862" s="5" t="s">
        <v>450</v>
      </c>
      <c r="DJ862" s="5" t="s">
        <v>240</v>
      </c>
      <c r="DK862" s="5" t="s">
        <v>240</v>
      </c>
      <c r="DL862" s="5" t="s">
        <v>240</v>
      </c>
      <c r="DP862" s="5" t="s">
        <v>240</v>
      </c>
      <c r="DQ862" s="5" t="s">
        <v>240</v>
      </c>
      <c r="DR862" s="5" t="s">
        <v>240</v>
      </c>
      <c r="DS862" s="5" t="s">
        <v>240</v>
      </c>
      <c r="DV862" s="5" t="s">
        <v>1862</v>
      </c>
      <c r="DW862" s="5" t="s">
        <v>783</v>
      </c>
      <c r="HO862" s="5" t="s">
        <v>312</v>
      </c>
    </row>
    <row r="863" spans="1:223" x14ac:dyDescent="0.4">
      <c r="A863" s="5">
        <v>2538</v>
      </c>
      <c r="B863" s="5">
        <v>1</v>
      </c>
      <c r="C863" s="5">
        <v>1</v>
      </c>
      <c r="D863" s="5" t="s">
        <v>297</v>
      </c>
      <c r="E863" s="5" t="s">
        <v>245</v>
      </c>
      <c r="F863" s="5" t="s">
        <v>254</v>
      </c>
      <c r="G863" s="5" t="s">
        <v>240</v>
      </c>
      <c r="H863" s="6" t="s">
        <v>599</v>
      </c>
      <c r="I863" s="5" t="s">
        <v>295</v>
      </c>
      <c r="J863" s="8">
        <f>161</f>
        <v>161</v>
      </c>
      <c r="K863" s="5" t="s">
        <v>308</v>
      </c>
      <c r="L863" s="7">
        <f>1</f>
        <v>1</v>
      </c>
      <c r="M863" s="7">
        <f>1</f>
        <v>1</v>
      </c>
      <c r="N863" s="5" t="s">
        <v>242</v>
      </c>
      <c r="O863" s="5">
        <v>1</v>
      </c>
      <c r="P863" s="5" t="s">
        <v>294</v>
      </c>
      <c r="Q863" s="5" t="s">
        <v>266</v>
      </c>
      <c r="R863" s="5" t="s">
        <v>240</v>
      </c>
      <c r="S863" s="5" t="s">
        <v>240</v>
      </c>
      <c r="T863" s="5" t="s">
        <v>243</v>
      </c>
      <c r="U863" s="5" t="s">
        <v>244</v>
      </c>
      <c r="V863" s="5" t="s">
        <v>240</v>
      </c>
      <c r="Y863" s="5" t="s">
        <v>240</v>
      </c>
      <c r="Z863" s="6" t="s">
        <v>298</v>
      </c>
      <c r="AB863" s="6" t="s">
        <v>240</v>
      </c>
      <c r="AE863" s="6" t="s">
        <v>299</v>
      </c>
      <c r="AF863" s="5" t="s">
        <v>248</v>
      </c>
      <c r="AG863" s="5" t="s">
        <v>249</v>
      </c>
      <c r="AW863" s="5" t="s">
        <v>251</v>
      </c>
      <c r="AX863" s="5" t="s">
        <v>240</v>
      </c>
      <c r="AY863" s="5" t="s">
        <v>253</v>
      </c>
      <c r="AZ863" s="5" t="s">
        <v>240</v>
      </c>
      <c r="BA863" s="5" t="s">
        <v>255</v>
      </c>
      <c r="BB863" s="5" t="s">
        <v>240</v>
      </c>
      <c r="BD863" s="5" t="s">
        <v>240</v>
      </c>
      <c r="BF863" s="5" t="s">
        <v>301</v>
      </c>
      <c r="BG863" s="6" t="s">
        <v>299</v>
      </c>
      <c r="BH863" s="5" t="s">
        <v>302</v>
      </c>
      <c r="BI863" s="5" t="s">
        <v>303</v>
      </c>
      <c r="BJ863" s="5" t="s">
        <v>240</v>
      </c>
      <c r="BK863" s="8">
        <f>0</f>
        <v>0</v>
      </c>
      <c r="BL863" s="7">
        <f>0</f>
        <v>0</v>
      </c>
      <c r="BM863" s="5" t="s">
        <v>258</v>
      </c>
      <c r="BN863" s="5" t="s">
        <v>259</v>
      </c>
      <c r="CB863" s="5" t="s">
        <v>240</v>
      </c>
      <c r="CC863" s="5" t="s">
        <v>240</v>
      </c>
      <c r="CG863" s="5" t="s">
        <v>617</v>
      </c>
      <c r="CH863" s="5" t="s">
        <v>305</v>
      </c>
      <c r="CI863" s="5" t="s">
        <v>240</v>
      </c>
      <c r="CL863" s="6" t="s">
        <v>261</v>
      </c>
      <c r="CM863" s="5" t="s">
        <v>240</v>
      </c>
      <c r="CN863" s="5" t="s">
        <v>263</v>
      </c>
      <c r="CO863" s="5" t="s">
        <v>240</v>
      </c>
      <c r="CP863" s="5" t="s">
        <v>240</v>
      </c>
      <c r="CQ863" s="5">
        <v>0</v>
      </c>
      <c r="CR863" s="5" t="s">
        <v>306</v>
      </c>
      <c r="CS863" s="5" t="s">
        <v>307</v>
      </c>
      <c r="CT863" s="5" t="s">
        <v>307</v>
      </c>
      <c r="CU863" s="5" t="s">
        <v>260</v>
      </c>
      <c r="CX863" s="7">
        <f>3136</f>
        <v>3136</v>
      </c>
      <c r="CY863" s="7">
        <f>0</f>
        <v>0</v>
      </c>
      <c r="DA863" s="7">
        <f>0</f>
        <v>0</v>
      </c>
      <c r="DC863" s="5" t="s">
        <v>450</v>
      </c>
      <c r="DD863" s="5" t="s">
        <v>240</v>
      </c>
      <c r="DF863" s="5" t="s">
        <v>1320</v>
      </c>
      <c r="DG863" s="7">
        <f>112</f>
        <v>112</v>
      </c>
      <c r="DI863" s="5" t="s">
        <v>1320</v>
      </c>
      <c r="DJ863" s="5" t="s">
        <v>240</v>
      </c>
      <c r="DK863" s="5" t="s">
        <v>240</v>
      </c>
      <c r="DL863" s="5" t="s">
        <v>240</v>
      </c>
      <c r="DP863" s="5" t="s">
        <v>240</v>
      </c>
      <c r="DQ863" s="5" t="s">
        <v>240</v>
      </c>
      <c r="DR863" s="5" t="s">
        <v>240</v>
      </c>
      <c r="DS863" s="5" t="s">
        <v>240</v>
      </c>
      <c r="DV863" s="5" t="s">
        <v>1862</v>
      </c>
      <c r="DW863" s="5" t="s">
        <v>785</v>
      </c>
      <c r="HO863" s="5" t="s">
        <v>312</v>
      </c>
    </row>
    <row r="864" spans="1:223" x14ac:dyDescent="0.4">
      <c r="A864" s="5">
        <v>2539</v>
      </c>
      <c r="B864" s="5">
        <v>1</v>
      </c>
      <c r="C864" s="5">
        <v>1</v>
      </c>
      <c r="D864" s="5" t="s">
        <v>297</v>
      </c>
      <c r="E864" s="5" t="s">
        <v>245</v>
      </c>
      <c r="F864" s="5" t="s">
        <v>254</v>
      </c>
      <c r="G864" s="5" t="s">
        <v>240</v>
      </c>
      <c r="H864" s="6" t="s">
        <v>597</v>
      </c>
      <c r="I864" s="5" t="s">
        <v>295</v>
      </c>
      <c r="J864" s="8">
        <f>3493</f>
        <v>3493</v>
      </c>
      <c r="K864" s="5" t="s">
        <v>308</v>
      </c>
      <c r="L864" s="7">
        <f>1</f>
        <v>1</v>
      </c>
      <c r="M864" s="7">
        <f>1</f>
        <v>1</v>
      </c>
      <c r="N864" s="5" t="s">
        <v>242</v>
      </c>
      <c r="O864" s="5">
        <v>1</v>
      </c>
      <c r="P864" s="5" t="s">
        <v>294</v>
      </c>
      <c r="Q864" s="5" t="s">
        <v>266</v>
      </c>
      <c r="R864" s="5" t="s">
        <v>240</v>
      </c>
      <c r="S864" s="5" t="s">
        <v>240</v>
      </c>
      <c r="T864" s="5" t="s">
        <v>243</v>
      </c>
      <c r="U864" s="5" t="s">
        <v>244</v>
      </c>
      <c r="V864" s="5" t="s">
        <v>240</v>
      </c>
      <c r="Y864" s="5" t="s">
        <v>240</v>
      </c>
      <c r="Z864" s="6" t="s">
        <v>298</v>
      </c>
      <c r="AB864" s="6" t="s">
        <v>240</v>
      </c>
      <c r="AE864" s="6" t="s">
        <v>299</v>
      </c>
      <c r="AF864" s="5" t="s">
        <v>248</v>
      </c>
      <c r="AG864" s="5" t="s">
        <v>249</v>
      </c>
      <c r="AW864" s="5" t="s">
        <v>251</v>
      </c>
      <c r="AX864" s="5" t="s">
        <v>240</v>
      </c>
      <c r="AY864" s="5" t="s">
        <v>253</v>
      </c>
      <c r="AZ864" s="5" t="s">
        <v>240</v>
      </c>
      <c r="BA864" s="5" t="s">
        <v>255</v>
      </c>
      <c r="BB864" s="5" t="s">
        <v>240</v>
      </c>
      <c r="BD864" s="5" t="s">
        <v>240</v>
      </c>
      <c r="BF864" s="5" t="s">
        <v>301</v>
      </c>
      <c r="BG864" s="6" t="s">
        <v>299</v>
      </c>
      <c r="BH864" s="5" t="s">
        <v>302</v>
      </c>
      <c r="BI864" s="5" t="s">
        <v>303</v>
      </c>
      <c r="BJ864" s="5" t="s">
        <v>240</v>
      </c>
      <c r="BK864" s="8">
        <f>0</f>
        <v>0</v>
      </c>
      <c r="BL864" s="7">
        <f>0</f>
        <v>0</v>
      </c>
      <c r="BM864" s="5" t="s">
        <v>258</v>
      </c>
      <c r="BN864" s="5" t="s">
        <v>259</v>
      </c>
      <c r="CB864" s="5" t="s">
        <v>240</v>
      </c>
      <c r="CC864" s="5" t="s">
        <v>240</v>
      </c>
      <c r="CG864" s="5" t="s">
        <v>617</v>
      </c>
      <c r="CH864" s="5" t="s">
        <v>305</v>
      </c>
      <c r="CI864" s="5" t="s">
        <v>240</v>
      </c>
      <c r="CL864" s="6" t="s">
        <v>261</v>
      </c>
      <c r="CM864" s="5" t="s">
        <v>240</v>
      </c>
      <c r="CN864" s="5" t="s">
        <v>263</v>
      </c>
      <c r="CO864" s="5" t="s">
        <v>240</v>
      </c>
      <c r="CP864" s="5" t="s">
        <v>240</v>
      </c>
      <c r="CQ864" s="5">
        <v>0</v>
      </c>
      <c r="CR864" s="5" t="s">
        <v>306</v>
      </c>
      <c r="CS864" s="5" t="s">
        <v>307</v>
      </c>
      <c r="CT864" s="5" t="s">
        <v>307</v>
      </c>
      <c r="CU864" s="5" t="s">
        <v>260</v>
      </c>
      <c r="CX864" s="7">
        <f>21070</f>
        <v>21070</v>
      </c>
      <c r="CY864" s="7">
        <f>0</f>
        <v>0</v>
      </c>
      <c r="DA864" s="7">
        <f>0</f>
        <v>0</v>
      </c>
      <c r="DC864" s="5" t="s">
        <v>450</v>
      </c>
      <c r="DD864" s="5" t="s">
        <v>240</v>
      </c>
      <c r="DF864" s="5" t="s">
        <v>309</v>
      </c>
      <c r="DG864" s="7">
        <f>43</f>
        <v>43</v>
      </c>
      <c r="DI864" s="5" t="s">
        <v>450</v>
      </c>
      <c r="DJ864" s="5" t="s">
        <v>240</v>
      </c>
      <c r="DK864" s="5" t="s">
        <v>240</v>
      </c>
      <c r="DL864" s="5" t="s">
        <v>240</v>
      </c>
      <c r="DP864" s="5" t="s">
        <v>240</v>
      </c>
      <c r="DQ864" s="5" t="s">
        <v>240</v>
      </c>
      <c r="DR864" s="5" t="s">
        <v>240</v>
      </c>
      <c r="DS864" s="5" t="s">
        <v>240</v>
      </c>
      <c r="DV864" s="5" t="s">
        <v>1862</v>
      </c>
      <c r="DW864" s="5" t="s">
        <v>787</v>
      </c>
      <c r="HO864" s="5" t="s">
        <v>312</v>
      </c>
    </row>
    <row r="865" spans="1:223" x14ac:dyDescent="0.4">
      <c r="A865" s="5">
        <v>2540</v>
      </c>
      <c r="B865" s="5">
        <v>1</v>
      </c>
      <c r="C865" s="5">
        <v>1</v>
      </c>
      <c r="D865" s="5" t="s">
        <v>297</v>
      </c>
      <c r="E865" s="5" t="s">
        <v>245</v>
      </c>
      <c r="F865" s="5" t="s">
        <v>254</v>
      </c>
      <c r="G865" s="5" t="s">
        <v>240</v>
      </c>
      <c r="H865" s="6" t="s">
        <v>595</v>
      </c>
      <c r="I865" s="5" t="s">
        <v>295</v>
      </c>
      <c r="J865" s="8">
        <f>793</f>
        <v>793</v>
      </c>
      <c r="K865" s="5" t="s">
        <v>308</v>
      </c>
      <c r="L865" s="7">
        <f>1</f>
        <v>1</v>
      </c>
      <c r="M865" s="7">
        <f>1</f>
        <v>1</v>
      </c>
      <c r="N865" s="5" t="s">
        <v>242</v>
      </c>
      <c r="O865" s="5">
        <v>1</v>
      </c>
      <c r="P865" s="5" t="s">
        <v>294</v>
      </c>
      <c r="Q865" s="5" t="s">
        <v>266</v>
      </c>
      <c r="R865" s="5" t="s">
        <v>240</v>
      </c>
      <c r="S865" s="5" t="s">
        <v>240</v>
      </c>
      <c r="T865" s="5" t="s">
        <v>243</v>
      </c>
      <c r="U865" s="5" t="s">
        <v>244</v>
      </c>
      <c r="V865" s="5" t="s">
        <v>240</v>
      </c>
      <c r="Y865" s="5" t="s">
        <v>240</v>
      </c>
      <c r="Z865" s="6" t="s">
        <v>298</v>
      </c>
      <c r="AB865" s="6" t="s">
        <v>240</v>
      </c>
      <c r="AE865" s="6" t="s">
        <v>299</v>
      </c>
      <c r="AF865" s="5" t="s">
        <v>248</v>
      </c>
      <c r="AG865" s="5" t="s">
        <v>249</v>
      </c>
      <c r="AW865" s="5" t="s">
        <v>251</v>
      </c>
      <c r="AX865" s="5" t="s">
        <v>240</v>
      </c>
      <c r="AY865" s="5" t="s">
        <v>253</v>
      </c>
      <c r="AZ865" s="5" t="s">
        <v>240</v>
      </c>
      <c r="BA865" s="5" t="s">
        <v>255</v>
      </c>
      <c r="BB865" s="5" t="s">
        <v>240</v>
      </c>
      <c r="BD865" s="5" t="s">
        <v>240</v>
      </c>
      <c r="BF865" s="5" t="s">
        <v>301</v>
      </c>
      <c r="BG865" s="6" t="s">
        <v>299</v>
      </c>
      <c r="BH865" s="5" t="s">
        <v>302</v>
      </c>
      <c r="BI865" s="5" t="s">
        <v>303</v>
      </c>
      <c r="BJ865" s="5" t="s">
        <v>240</v>
      </c>
      <c r="BK865" s="8">
        <f>0</f>
        <v>0</v>
      </c>
      <c r="BL865" s="7">
        <f>0</f>
        <v>0</v>
      </c>
      <c r="BM865" s="5" t="s">
        <v>258</v>
      </c>
      <c r="BN865" s="5" t="s">
        <v>259</v>
      </c>
      <c r="CB865" s="5" t="s">
        <v>240</v>
      </c>
      <c r="CC865" s="5" t="s">
        <v>240</v>
      </c>
      <c r="CG865" s="5" t="s">
        <v>617</v>
      </c>
      <c r="CH865" s="5" t="s">
        <v>305</v>
      </c>
      <c r="CI865" s="5" t="s">
        <v>240</v>
      </c>
      <c r="CL865" s="6" t="s">
        <v>261</v>
      </c>
      <c r="CM865" s="5" t="s">
        <v>240</v>
      </c>
      <c r="CN865" s="5" t="s">
        <v>263</v>
      </c>
      <c r="CO865" s="5" t="s">
        <v>240</v>
      </c>
      <c r="CP865" s="5" t="s">
        <v>240</v>
      </c>
      <c r="CQ865" s="5">
        <v>0</v>
      </c>
      <c r="CR865" s="5" t="s">
        <v>306</v>
      </c>
      <c r="CS865" s="5" t="s">
        <v>307</v>
      </c>
      <c r="CT865" s="5" t="s">
        <v>307</v>
      </c>
      <c r="CU865" s="5" t="s">
        <v>260</v>
      </c>
      <c r="CX865" s="7">
        <f>243</f>
        <v>243</v>
      </c>
      <c r="CY865" s="7">
        <f>0</f>
        <v>0</v>
      </c>
      <c r="DA865" s="7">
        <f>0</f>
        <v>0</v>
      </c>
      <c r="DC865" s="5" t="s">
        <v>450</v>
      </c>
      <c r="DD865" s="5" t="s">
        <v>240</v>
      </c>
      <c r="DF865" s="5" t="s">
        <v>1320</v>
      </c>
      <c r="DG865" s="7">
        <f>8.71</f>
        <v>8.7100000000000009</v>
      </c>
      <c r="DI865" s="5" t="s">
        <v>1320</v>
      </c>
      <c r="DJ865" s="5" t="s">
        <v>240</v>
      </c>
      <c r="DK865" s="5" t="s">
        <v>240</v>
      </c>
      <c r="DL865" s="5" t="s">
        <v>240</v>
      </c>
      <c r="DP865" s="5" t="s">
        <v>240</v>
      </c>
      <c r="DQ865" s="5" t="s">
        <v>240</v>
      </c>
      <c r="DR865" s="5" t="s">
        <v>240</v>
      </c>
      <c r="DS865" s="5" t="s">
        <v>240</v>
      </c>
      <c r="DV865" s="5" t="s">
        <v>1862</v>
      </c>
      <c r="DW865" s="5" t="s">
        <v>789</v>
      </c>
      <c r="HO865" s="5" t="s">
        <v>312</v>
      </c>
    </row>
    <row r="866" spans="1:223" x14ac:dyDescent="0.4">
      <c r="A866" s="5">
        <v>2541</v>
      </c>
      <c r="B866" s="5">
        <v>1</v>
      </c>
      <c r="C866" s="5">
        <v>1</v>
      </c>
      <c r="D866" s="5" t="s">
        <v>297</v>
      </c>
      <c r="E866" s="5" t="s">
        <v>245</v>
      </c>
      <c r="F866" s="5" t="s">
        <v>254</v>
      </c>
      <c r="G866" s="5" t="s">
        <v>240</v>
      </c>
      <c r="H866" s="6" t="s">
        <v>593</v>
      </c>
      <c r="I866" s="5" t="s">
        <v>295</v>
      </c>
      <c r="J866" s="8">
        <f>1714</f>
        <v>1714</v>
      </c>
      <c r="K866" s="5" t="s">
        <v>308</v>
      </c>
      <c r="L866" s="7">
        <f>1</f>
        <v>1</v>
      </c>
      <c r="M866" s="7">
        <f>1</f>
        <v>1</v>
      </c>
      <c r="N866" s="5" t="s">
        <v>242</v>
      </c>
      <c r="O866" s="5">
        <v>1</v>
      </c>
      <c r="P866" s="5" t="s">
        <v>294</v>
      </c>
      <c r="Q866" s="5" t="s">
        <v>266</v>
      </c>
      <c r="R866" s="5" t="s">
        <v>240</v>
      </c>
      <c r="S866" s="5" t="s">
        <v>240</v>
      </c>
      <c r="T866" s="5" t="s">
        <v>243</v>
      </c>
      <c r="U866" s="5" t="s">
        <v>244</v>
      </c>
      <c r="V866" s="5" t="s">
        <v>240</v>
      </c>
      <c r="Y866" s="5" t="s">
        <v>240</v>
      </c>
      <c r="Z866" s="6" t="s">
        <v>298</v>
      </c>
      <c r="AB866" s="6" t="s">
        <v>240</v>
      </c>
      <c r="AE866" s="6" t="s">
        <v>299</v>
      </c>
      <c r="AF866" s="5" t="s">
        <v>248</v>
      </c>
      <c r="AG866" s="5" t="s">
        <v>249</v>
      </c>
      <c r="AW866" s="5" t="s">
        <v>251</v>
      </c>
      <c r="AX866" s="5" t="s">
        <v>240</v>
      </c>
      <c r="AY866" s="5" t="s">
        <v>253</v>
      </c>
      <c r="AZ866" s="5" t="s">
        <v>240</v>
      </c>
      <c r="BA866" s="5" t="s">
        <v>255</v>
      </c>
      <c r="BB866" s="5" t="s">
        <v>240</v>
      </c>
      <c r="BD866" s="5" t="s">
        <v>240</v>
      </c>
      <c r="BF866" s="5" t="s">
        <v>301</v>
      </c>
      <c r="BG866" s="6" t="s">
        <v>299</v>
      </c>
      <c r="BH866" s="5" t="s">
        <v>302</v>
      </c>
      <c r="BI866" s="5" t="s">
        <v>303</v>
      </c>
      <c r="BJ866" s="5" t="s">
        <v>240</v>
      </c>
      <c r="BK866" s="8">
        <f>0</f>
        <v>0</v>
      </c>
      <c r="BL866" s="7">
        <f>0</f>
        <v>0</v>
      </c>
      <c r="BM866" s="5" t="s">
        <v>258</v>
      </c>
      <c r="BN866" s="5" t="s">
        <v>259</v>
      </c>
      <c r="CB866" s="5" t="s">
        <v>240</v>
      </c>
      <c r="CC866" s="5" t="s">
        <v>240</v>
      </c>
      <c r="CG866" s="5" t="s">
        <v>617</v>
      </c>
      <c r="CH866" s="5" t="s">
        <v>305</v>
      </c>
      <c r="CI866" s="5" t="s">
        <v>240</v>
      </c>
      <c r="CL866" s="6" t="s">
        <v>261</v>
      </c>
      <c r="CM866" s="5" t="s">
        <v>240</v>
      </c>
      <c r="CN866" s="5" t="s">
        <v>263</v>
      </c>
      <c r="CO866" s="5" t="s">
        <v>240</v>
      </c>
      <c r="CP866" s="5" t="s">
        <v>240</v>
      </c>
      <c r="CQ866" s="5">
        <v>0</v>
      </c>
      <c r="CR866" s="5" t="s">
        <v>306</v>
      </c>
      <c r="CS866" s="5" t="s">
        <v>307</v>
      </c>
      <c r="CT866" s="5" t="s">
        <v>307</v>
      </c>
      <c r="CU866" s="5" t="s">
        <v>260</v>
      </c>
      <c r="CX866" s="7">
        <f>58800</f>
        <v>58800</v>
      </c>
      <c r="CY866" s="7">
        <f>0</f>
        <v>0</v>
      </c>
      <c r="DA866" s="7">
        <f>0</f>
        <v>0</v>
      </c>
      <c r="DC866" s="5" t="s">
        <v>450</v>
      </c>
      <c r="DD866" s="5" t="s">
        <v>240</v>
      </c>
      <c r="DF866" s="5" t="s">
        <v>309</v>
      </c>
      <c r="DG866" s="7">
        <f>120</f>
        <v>120</v>
      </c>
      <c r="DI866" s="5" t="s">
        <v>450</v>
      </c>
      <c r="DJ866" s="5" t="s">
        <v>240</v>
      </c>
      <c r="DK866" s="5" t="s">
        <v>240</v>
      </c>
      <c r="DL866" s="5" t="s">
        <v>240</v>
      </c>
      <c r="DP866" s="5" t="s">
        <v>240</v>
      </c>
      <c r="DQ866" s="5" t="s">
        <v>240</v>
      </c>
      <c r="DR866" s="5" t="s">
        <v>240</v>
      </c>
      <c r="DS866" s="5" t="s">
        <v>240</v>
      </c>
      <c r="DV866" s="5" t="s">
        <v>1862</v>
      </c>
      <c r="DW866" s="5" t="s">
        <v>825</v>
      </c>
      <c r="HO866" s="5" t="s">
        <v>312</v>
      </c>
    </row>
    <row r="867" spans="1:223" x14ac:dyDescent="0.4">
      <c r="A867" s="5">
        <v>2542</v>
      </c>
      <c r="B867" s="5">
        <v>1</v>
      </c>
      <c r="C867" s="5">
        <v>1</v>
      </c>
      <c r="D867" s="5" t="s">
        <v>297</v>
      </c>
      <c r="E867" s="5" t="s">
        <v>245</v>
      </c>
      <c r="F867" s="5" t="s">
        <v>254</v>
      </c>
      <c r="G867" s="5" t="s">
        <v>240</v>
      </c>
      <c r="H867" s="6" t="s">
        <v>591</v>
      </c>
      <c r="I867" s="5" t="s">
        <v>295</v>
      </c>
      <c r="J867" s="8">
        <f>740</f>
        <v>740</v>
      </c>
      <c r="K867" s="5" t="s">
        <v>308</v>
      </c>
      <c r="L867" s="7">
        <f>1</f>
        <v>1</v>
      </c>
      <c r="M867" s="7">
        <f>1</f>
        <v>1</v>
      </c>
      <c r="N867" s="5" t="s">
        <v>242</v>
      </c>
      <c r="O867" s="5">
        <v>1</v>
      </c>
      <c r="P867" s="5" t="s">
        <v>294</v>
      </c>
      <c r="Q867" s="5" t="s">
        <v>266</v>
      </c>
      <c r="R867" s="5" t="s">
        <v>240</v>
      </c>
      <c r="S867" s="5" t="s">
        <v>240</v>
      </c>
      <c r="T867" s="5" t="s">
        <v>243</v>
      </c>
      <c r="U867" s="5" t="s">
        <v>244</v>
      </c>
      <c r="V867" s="5" t="s">
        <v>240</v>
      </c>
      <c r="Y867" s="5" t="s">
        <v>240</v>
      </c>
      <c r="Z867" s="6" t="s">
        <v>298</v>
      </c>
      <c r="AB867" s="6" t="s">
        <v>240</v>
      </c>
      <c r="AE867" s="6" t="s">
        <v>299</v>
      </c>
      <c r="AF867" s="5" t="s">
        <v>248</v>
      </c>
      <c r="AG867" s="5" t="s">
        <v>249</v>
      </c>
      <c r="AW867" s="5" t="s">
        <v>251</v>
      </c>
      <c r="AX867" s="5" t="s">
        <v>240</v>
      </c>
      <c r="AY867" s="5" t="s">
        <v>253</v>
      </c>
      <c r="AZ867" s="5" t="s">
        <v>240</v>
      </c>
      <c r="BA867" s="5" t="s">
        <v>255</v>
      </c>
      <c r="BB867" s="5" t="s">
        <v>240</v>
      </c>
      <c r="BD867" s="5" t="s">
        <v>240</v>
      </c>
      <c r="BF867" s="5" t="s">
        <v>301</v>
      </c>
      <c r="BG867" s="6" t="s">
        <v>299</v>
      </c>
      <c r="BH867" s="5" t="s">
        <v>302</v>
      </c>
      <c r="BI867" s="5" t="s">
        <v>303</v>
      </c>
      <c r="BJ867" s="5" t="s">
        <v>240</v>
      </c>
      <c r="BK867" s="8">
        <f>0</f>
        <v>0</v>
      </c>
      <c r="BL867" s="7">
        <f>0</f>
        <v>0</v>
      </c>
      <c r="BM867" s="5" t="s">
        <v>258</v>
      </c>
      <c r="BN867" s="5" t="s">
        <v>259</v>
      </c>
      <c r="CB867" s="5" t="s">
        <v>240</v>
      </c>
      <c r="CC867" s="5" t="s">
        <v>240</v>
      </c>
      <c r="CG867" s="5" t="s">
        <v>617</v>
      </c>
      <c r="CH867" s="5" t="s">
        <v>305</v>
      </c>
      <c r="CI867" s="5" t="s">
        <v>240</v>
      </c>
      <c r="CL867" s="6" t="s">
        <v>261</v>
      </c>
      <c r="CM867" s="5" t="s">
        <v>240</v>
      </c>
      <c r="CN867" s="5" t="s">
        <v>263</v>
      </c>
      <c r="CO867" s="5" t="s">
        <v>240</v>
      </c>
      <c r="CP867" s="5" t="s">
        <v>240</v>
      </c>
      <c r="CQ867" s="5">
        <v>0</v>
      </c>
      <c r="CR867" s="5" t="s">
        <v>306</v>
      </c>
      <c r="CS867" s="5" t="s">
        <v>307</v>
      </c>
      <c r="CT867" s="5" t="s">
        <v>307</v>
      </c>
      <c r="CU867" s="5" t="s">
        <v>260</v>
      </c>
      <c r="CX867" s="7">
        <f>2925</f>
        <v>2925</v>
      </c>
      <c r="CY867" s="7">
        <f>0</f>
        <v>0</v>
      </c>
      <c r="DA867" s="7">
        <f>0</f>
        <v>0</v>
      </c>
      <c r="DC867" s="5" t="s">
        <v>450</v>
      </c>
      <c r="DD867" s="5" t="s">
        <v>240</v>
      </c>
      <c r="DF867" s="5" t="s">
        <v>309</v>
      </c>
      <c r="DG867" s="7">
        <f>5.97</f>
        <v>5.97</v>
      </c>
      <c r="DI867" s="5" t="s">
        <v>450</v>
      </c>
      <c r="DJ867" s="5" t="s">
        <v>240</v>
      </c>
      <c r="DK867" s="5" t="s">
        <v>240</v>
      </c>
      <c r="DL867" s="5" t="s">
        <v>240</v>
      </c>
      <c r="DP867" s="5" t="s">
        <v>240</v>
      </c>
      <c r="DQ867" s="5" t="s">
        <v>240</v>
      </c>
      <c r="DR867" s="5" t="s">
        <v>240</v>
      </c>
      <c r="DS867" s="5" t="s">
        <v>240</v>
      </c>
      <c r="DV867" s="5" t="s">
        <v>1862</v>
      </c>
      <c r="DW867" s="5" t="s">
        <v>791</v>
      </c>
      <c r="HO867" s="5" t="s">
        <v>312</v>
      </c>
    </row>
    <row r="868" spans="1:223" x14ac:dyDescent="0.4">
      <c r="A868" s="5">
        <v>2543</v>
      </c>
      <c r="B868" s="5">
        <v>1</v>
      </c>
      <c r="C868" s="5">
        <v>1</v>
      </c>
      <c r="D868" s="5" t="s">
        <v>297</v>
      </c>
      <c r="E868" s="5" t="s">
        <v>245</v>
      </c>
      <c r="F868" s="5" t="s">
        <v>254</v>
      </c>
      <c r="G868" s="5" t="s">
        <v>240</v>
      </c>
      <c r="H868" s="6" t="s">
        <v>589</v>
      </c>
      <c r="I868" s="5" t="s">
        <v>295</v>
      </c>
      <c r="J868" s="8">
        <f>2923</f>
        <v>2923</v>
      </c>
      <c r="K868" s="5" t="s">
        <v>308</v>
      </c>
      <c r="L868" s="7">
        <f>1</f>
        <v>1</v>
      </c>
      <c r="M868" s="7">
        <f>1</f>
        <v>1</v>
      </c>
      <c r="N868" s="5" t="s">
        <v>242</v>
      </c>
      <c r="O868" s="5">
        <v>1</v>
      </c>
      <c r="P868" s="5" t="s">
        <v>294</v>
      </c>
      <c r="Q868" s="5" t="s">
        <v>266</v>
      </c>
      <c r="R868" s="5" t="s">
        <v>240</v>
      </c>
      <c r="S868" s="5" t="s">
        <v>240</v>
      </c>
      <c r="T868" s="5" t="s">
        <v>243</v>
      </c>
      <c r="U868" s="5" t="s">
        <v>244</v>
      </c>
      <c r="V868" s="5" t="s">
        <v>240</v>
      </c>
      <c r="Y868" s="5" t="s">
        <v>240</v>
      </c>
      <c r="Z868" s="6" t="s">
        <v>298</v>
      </c>
      <c r="AB868" s="6" t="s">
        <v>240</v>
      </c>
      <c r="AE868" s="6" t="s">
        <v>299</v>
      </c>
      <c r="AF868" s="5" t="s">
        <v>248</v>
      </c>
      <c r="AG868" s="5" t="s">
        <v>249</v>
      </c>
      <c r="AW868" s="5" t="s">
        <v>251</v>
      </c>
      <c r="AX868" s="5" t="s">
        <v>240</v>
      </c>
      <c r="AY868" s="5" t="s">
        <v>253</v>
      </c>
      <c r="AZ868" s="5" t="s">
        <v>240</v>
      </c>
      <c r="BA868" s="5" t="s">
        <v>255</v>
      </c>
      <c r="BB868" s="5" t="s">
        <v>240</v>
      </c>
      <c r="BD868" s="5" t="s">
        <v>240</v>
      </c>
      <c r="BF868" s="5" t="s">
        <v>301</v>
      </c>
      <c r="BG868" s="6" t="s">
        <v>299</v>
      </c>
      <c r="BH868" s="5" t="s">
        <v>302</v>
      </c>
      <c r="BI868" s="5" t="s">
        <v>303</v>
      </c>
      <c r="BJ868" s="5" t="s">
        <v>240</v>
      </c>
      <c r="BK868" s="8">
        <f>0</f>
        <v>0</v>
      </c>
      <c r="BL868" s="7">
        <f>0</f>
        <v>0</v>
      </c>
      <c r="BM868" s="5" t="s">
        <v>258</v>
      </c>
      <c r="BN868" s="5" t="s">
        <v>259</v>
      </c>
      <c r="CB868" s="5" t="s">
        <v>240</v>
      </c>
      <c r="CC868" s="5" t="s">
        <v>240</v>
      </c>
      <c r="CG868" s="5" t="s">
        <v>617</v>
      </c>
      <c r="CH868" s="5" t="s">
        <v>305</v>
      </c>
      <c r="CI868" s="5" t="s">
        <v>240</v>
      </c>
      <c r="CL868" s="6" t="s">
        <v>261</v>
      </c>
      <c r="CM868" s="5" t="s">
        <v>240</v>
      </c>
      <c r="CN868" s="5" t="s">
        <v>263</v>
      </c>
      <c r="CO868" s="5" t="s">
        <v>240</v>
      </c>
      <c r="CP868" s="5" t="s">
        <v>240</v>
      </c>
      <c r="CQ868" s="5">
        <v>0</v>
      </c>
      <c r="CR868" s="5" t="s">
        <v>306</v>
      </c>
      <c r="CS868" s="5" t="s">
        <v>307</v>
      </c>
      <c r="CT868" s="5" t="s">
        <v>307</v>
      </c>
      <c r="CU868" s="5" t="s">
        <v>260</v>
      </c>
      <c r="CX868" s="7">
        <f>5785580</f>
        <v>5785580</v>
      </c>
      <c r="CY868" s="7">
        <f>0</f>
        <v>0</v>
      </c>
      <c r="DA868" s="7">
        <f>0</f>
        <v>0</v>
      </c>
      <c r="DC868" s="5" t="s">
        <v>450</v>
      </c>
      <c r="DD868" s="5" t="s">
        <v>240</v>
      </c>
      <c r="DF868" s="5" t="s">
        <v>1849</v>
      </c>
      <c r="DG868" s="7">
        <f>2612</f>
        <v>2612</v>
      </c>
      <c r="DI868" s="5" t="s">
        <v>618</v>
      </c>
      <c r="DJ868" s="5" t="s">
        <v>240</v>
      </c>
      <c r="DK868" s="5" t="s">
        <v>240</v>
      </c>
      <c r="DL868" s="5" t="s">
        <v>240</v>
      </c>
      <c r="DP868" s="5" t="s">
        <v>240</v>
      </c>
      <c r="DQ868" s="5" t="s">
        <v>240</v>
      </c>
      <c r="DR868" s="5" t="s">
        <v>240</v>
      </c>
      <c r="DS868" s="5" t="s">
        <v>240</v>
      </c>
      <c r="DV868" s="5" t="s">
        <v>1862</v>
      </c>
      <c r="DW868" s="5" t="s">
        <v>793</v>
      </c>
      <c r="HO868" s="5" t="s">
        <v>312</v>
      </c>
    </row>
    <row r="869" spans="1:223" x14ac:dyDescent="0.4">
      <c r="A869" s="5">
        <v>2544</v>
      </c>
      <c r="B869" s="5">
        <v>1</v>
      </c>
      <c r="C869" s="5">
        <v>1</v>
      </c>
      <c r="D869" s="5" t="s">
        <v>297</v>
      </c>
      <c r="E869" s="5" t="s">
        <v>245</v>
      </c>
      <c r="F869" s="5" t="s">
        <v>254</v>
      </c>
      <c r="G869" s="5" t="s">
        <v>240</v>
      </c>
      <c r="H869" s="6" t="s">
        <v>587</v>
      </c>
      <c r="I869" s="5" t="s">
        <v>295</v>
      </c>
      <c r="J869" s="8">
        <f>633</f>
        <v>633</v>
      </c>
      <c r="K869" s="5" t="s">
        <v>308</v>
      </c>
      <c r="L869" s="7">
        <f>1</f>
        <v>1</v>
      </c>
      <c r="M869" s="7">
        <f>1</f>
        <v>1</v>
      </c>
      <c r="N869" s="5" t="s">
        <v>242</v>
      </c>
      <c r="O869" s="5">
        <v>1</v>
      </c>
      <c r="P869" s="5" t="s">
        <v>294</v>
      </c>
      <c r="Q869" s="5" t="s">
        <v>613</v>
      </c>
      <c r="R869" s="5" t="s">
        <v>240</v>
      </c>
      <c r="S869" s="5" t="s">
        <v>240</v>
      </c>
      <c r="T869" s="5" t="s">
        <v>243</v>
      </c>
      <c r="U869" s="5" t="s">
        <v>244</v>
      </c>
      <c r="V869" s="5" t="s">
        <v>240</v>
      </c>
      <c r="Y869" s="5" t="s">
        <v>240</v>
      </c>
      <c r="Z869" s="6" t="s">
        <v>298</v>
      </c>
      <c r="AB869" s="6" t="s">
        <v>240</v>
      </c>
      <c r="AE869" s="6" t="s">
        <v>299</v>
      </c>
      <c r="AF869" s="5" t="s">
        <v>248</v>
      </c>
      <c r="AG869" s="5" t="s">
        <v>249</v>
      </c>
      <c r="AW869" s="5" t="s">
        <v>251</v>
      </c>
      <c r="AX869" s="5" t="s">
        <v>240</v>
      </c>
      <c r="AY869" s="5" t="s">
        <v>253</v>
      </c>
      <c r="AZ869" s="5" t="s">
        <v>240</v>
      </c>
      <c r="BA869" s="5" t="s">
        <v>255</v>
      </c>
      <c r="BB869" s="5" t="s">
        <v>240</v>
      </c>
      <c r="BD869" s="5" t="s">
        <v>240</v>
      </c>
      <c r="BF869" s="5" t="s">
        <v>301</v>
      </c>
      <c r="BG869" s="6" t="s">
        <v>299</v>
      </c>
      <c r="BH869" s="5" t="s">
        <v>302</v>
      </c>
      <c r="BI869" s="5" t="s">
        <v>303</v>
      </c>
      <c r="BJ869" s="5" t="s">
        <v>240</v>
      </c>
      <c r="BK869" s="8">
        <f>0</f>
        <v>0</v>
      </c>
      <c r="BL869" s="7">
        <f>0</f>
        <v>0</v>
      </c>
      <c r="BM869" s="5" t="s">
        <v>258</v>
      </c>
      <c r="BN869" s="5" t="s">
        <v>259</v>
      </c>
      <c r="CB869" s="5" t="s">
        <v>240</v>
      </c>
      <c r="CC869" s="5" t="s">
        <v>240</v>
      </c>
      <c r="CG869" s="5" t="s">
        <v>617</v>
      </c>
      <c r="CH869" s="5" t="s">
        <v>305</v>
      </c>
      <c r="CI869" s="5" t="s">
        <v>240</v>
      </c>
      <c r="CL869" s="6" t="s">
        <v>261</v>
      </c>
      <c r="CM869" s="5" t="s">
        <v>240</v>
      </c>
      <c r="CN869" s="5" t="s">
        <v>263</v>
      </c>
      <c r="CO869" s="5" t="s">
        <v>240</v>
      </c>
      <c r="CP869" s="5" t="s">
        <v>240</v>
      </c>
      <c r="CQ869" s="5">
        <v>0</v>
      </c>
      <c r="CR869" s="5" t="s">
        <v>306</v>
      </c>
      <c r="CS869" s="5" t="s">
        <v>307</v>
      </c>
      <c r="CT869" s="5" t="s">
        <v>307</v>
      </c>
      <c r="CU869" s="5" t="s">
        <v>260</v>
      </c>
      <c r="CX869" s="7">
        <f>2929800</f>
        <v>2929800</v>
      </c>
      <c r="CY869" s="7">
        <f>0</f>
        <v>0</v>
      </c>
      <c r="DA869" s="7">
        <f>0</f>
        <v>0</v>
      </c>
      <c r="DC869" s="5" t="s">
        <v>843</v>
      </c>
      <c r="DD869" s="5" t="s">
        <v>240</v>
      </c>
      <c r="DF869" s="5" t="s">
        <v>843</v>
      </c>
      <c r="DG869" s="7">
        <f>292.98</f>
        <v>292.98</v>
      </c>
      <c r="DI869" s="5" t="s">
        <v>843</v>
      </c>
      <c r="DJ869" s="5" t="s">
        <v>240</v>
      </c>
      <c r="DK869" s="5" t="s">
        <v>240</v>
      </c>
      <c r="DL869" s="5" t="s">
        <v>240</v>
      </c>
      <c r="DP869" s="5" t="s">
        <v>240</v>
      </c>
      <c r="DQ869" s="5" t="s">
        <v>240</v>
      </c>
      <c r="DR869" s="5" t="s">
        <v>240</v>
      </c>
      <c r="DS869" s="5" t="s">
        <v>240</v>
      </c>
      <c r="DV869" s="5" t="s">
        <v>1862</v>
      </c>
      <c r="DW869" s="5" t="s">
        <v>795</v>
      </c>
      <c r="HO869" s="5" t="s">
        <v>312</v>
      </c>
    </row>
    <row r="870" spans="1:223" x14ac:dyDescent="0.4">
      <c r="A870" s="5">
        <v>2545</v>
      </c>
      <c r="B870" s="5">
        <v>1</v>
      </c>
      <c r="C870" s="5">
        <v>1</v>
      </c>
      <c r="D870" s="5" t="s">
        <v>297</v>
      </c>
      <c r="E870" s="5" t="s">
        <v>245</v>
      </c>
      <c r="F870" s="5" t="s">
        <v>254</v>
      </c>
      <c r="G870" s="5" t="s">
        <v>240</v>
      </c>
      <c r="H870" s="6" t="s">
        <v>585</v>
      </c>
      <c r="I870" s="5" t="s">
        <v>295</v>
      </c>
      <c r="J870" s="8">
        <f>467</f>
        <v>467</v>
      </c>
      <c r="K870" s="5" t="s">
        <v>308</v>
      </c>
      <c r="L870" s="7">
        <f>1</f>
        <v>1</v>
      </c>
      <c r="M870" s="7">
        <f>1</f>
        <v>1</v>
      </c>
      <c r="N870" s="5" t="s">
        <v>242</v>
      </c>
      <c r="O870" s="5">
        <v>1</v>
      </c>
      <c r="P870" s="5" t="s">
        <v>294</v>
      </c>
      <c r="Q870" s="5" t="s">
        <v>266</v>
      </c>
      <c r="R870" s="5" t="s">
        <v>240</v>
      </c>
      <c r="S870" s="5" t="s">
        <v>240</v>
      </c>
      <c r="T870" s="5" t="s">
        <v>296</v>
      </c>
      <c r="U870" s="5" t="s">
        <v>244</v>
      </c>
      <c r="V870" s="5" t="s">
        <v>240</v>
      </c>
      <c r="Y870" s="5" t="s">
        <v>240</v>
      </c>
      <c r="Z870" s="6" t="s">
        <v>298</v>
      </c>
      <c r="AB870" s="6" t="s">
        <v>240</v>
      </c>
      <c r="AE870" s="6" t="s">
        <v>299</v>
      </c>
      <c r="AF870" s="5" t="s">
        <v>248</v>
      </c>
      <c r="AG870" s="5" t="s">
        <v>249</v>
      </c>
      <c r="AW870" s="5" t="s">
        <v>251</v>
      </c>
      <c r="AX870" s="5" t="s">
        <v>240</v>
      </c>
      <c r="AY870" s="5" t="s">
        <v>253</v>
      </c>
      <c r="AZ870" s="5" t="s">
        <v>240</v>
      </c>
      <c r="BA870" s="5" t="s">
        <v>255</v>
      </c>
      <c r="BB870" s="5" t="s">
        <v>240</v>
      </c>
      <c r="BD870" s="5" t="s">
        <v>240</v>
      </c>
      <c r="BF870" s="5" t="s">
        <v>301</v>
      </c>
      <c r="BG870" s="6" t="s">
        <v>299</v>
      </c>
      <c r="BH870" s="5" t="s">
        <v>302</v>
      </c>
      <c r="BI870" s="5" t="s">
        <v>303</v>
      </c>
      <c r="BJ870" s="5" t="s">
        <v>240</v>
      </c>
      <c r="BK870" s="8">
        <f>0</f>
        <v>0</v>
      </c>
      <c r="BL870" s="7">
        <f>0</f>
        <v>0</v>
      </c>
      <c r="BM870" s="5" t="s">
        <v>258</v>
      </c>
      <c r="BN870" s="5" t="s">
        <v>259</v>
      </c>
      <c r="CB870" s="5" t="s">
        <v>240</v>
      </c>
      <c r="CC870" s="5" t="s">
        <v>240</v>
      </c>
      <c r="CG870" s="5" t="s">
        <v>304</v>
      </c>
      <c r="CH870" s="5" t="s">
        <v>305</v>
      </c>
      <c r="CI870" s="5" t="s">
        <v>240</v>
      </c>
      <c r="CL870" s="6" t="s">
        <v>261</v>
      </c>
      <c r="CM870" s="5" t="s">
        <v>240</v>
      </c>
      <c r="CN870" s="5" t="s">
        <v>263</v>
      </c>
      <c r="CO870" s="5" t="s">
        <v>240</v>
      </c>
      <c r="CP870" s="5" t="s">
        <v>240</v>
      </c>
      <c r="CQ870" s="5">
        <v>0</v>
      </c>
      <c r="CR870" s="5" t="s">
        <v>306</v>
      </c>
      <c r="CS870" s="5" t="s">
        <v>307</v>
      </c>
      <c r="CT870" s="5" t="s">
        <v>307</v>
      </c>
      <c r="CU870" s="5" t="s">
        <v>260</v>
      </c>
      <c r="CX870" s="7">
        <f>1</f>
        <v>1</v>
      </c>
      <c r="CY870" s="7">
        <f>0</f>
        <v>0</v>
      </c>
      <c r="DA870" s="7">
        <f>0</f>
        <v>0</v>
      </c>
      <c r="DC870" s="5" t="s">
        <v>812</v>
      </c>
      <c r="DD870" s="5" t="s">
        <v>240</v>
      </c>
      <c r="DF870" s="5" t="s">
        <v>812</v>
      </c>
      <c r="DG870" s="7">
        <f>237</f>
        <v>237</v>
      </c>
      <c r="DI870" s="5" t="s">
        <v>240</v>
      </c>
      <c r="DJ870" s="5" t="s">
        <v>240</v>
      </c>
      <c r="DK870" s="5" t="s">
        <v>240</v>
      </c>
      <c r="DL870" s="5" t="s">
        <v>240</v>
      </c>
      <c r="DP870" s="5" t="s">
        <v>240</v>
      </c>
      <c r="DQ870" s="5" t="s">
        <v>240</v>
      </c>
      <c r="DR870" s="5" t="s">
        <v>240</v>
      </c>
      <c r="DS870" s="5" t="s">
        <v>240</v>
      </c>
      <c r="DV870" s="5" t="s">
        <v>813</v>
      </c>
      <c r="DW870" s="5" t="s">
        <v>1874</v>
      </c>
      <c r="HO870" s="5" t="s">
        <v>312</v>
      </c>
    </row>
    <row r="871" spans="1:223" x14ac:dyDescent="0.4">
      <c r="A871" s="5">
        <v>2546</v>
      </c>
      <c r="B871" s="5">
        <v>1</v>
      </c>
      <c r="C871" s="5">
        <v>1</v>
      </c>
      <c r="D871" s="5" t="s">
        <v>297</v>
      </c>
      <c r="E871" s="5" t="s">
        <v>245</v>
      </c>
      <c r="F871" s="5" t="s">
        <v>254</v>
      </c>
      <c r="G871" s="5" t="s">
        <v>240</v>
      </c>
      <c r="H871" s="6" t="s">
        <v>583</v>
      </c>
      <c r="I871" s="5" t="s">
        <v>295</v>
      </c>
      <c r="J871" s="8">
        <f>5164</f>
        <v>5164</v>
      </c>
      <c r="K871" s="5" t="s">
        <v>308</v>
      </c>
      <c r="L871" s="7">
        <f>1</f>
        <v>1</v>
      </c>
      <c r="M871" s="7">
        <f>1</f>
        <v>1</v>
      </c>
      <c r="N871" s="5" t="s">
        <v>242</v>
      </c>
      <c r="O871" s="5">
        <v>1</v>
      </c>
      <c r="P871" s="5" t="s">
        <v>294</v>
      </c>
      <c r="Q871" s="5" t="s">
        <v>613</v>
      </c>
      <c r="R871" s="5" t="s">
        <v>240</v>
      </c>
      <c r="S871" s="5" t="s">
        <v>240</v>
      </c>
      <c r="T871" s="5" t="s">
        <v>243</v>
      </c>
      <c r="U871" s="5" t="s">
        <v>244</v>
      </c>
      <c r="V871" s="5" t="s">
        <v>240</v>
      </c>
      <c r="Y871" s="5" t="s">
        <v>240</v>
      </c>
      <c r="Z871" s="6" t="s">
        <v>298</v>
      </c>
      <c r="AB871" s="6" t="s">
        <v>240</v>
      </c>
      <c r="AE871" s="6" t="s">
        <v>299</v>
      </c>
      <c r="AF871" s="5" t="s">
        <v>248</v>
      </c>
      <c r="AG871" s="5" t="s">
        <v>249</v>
      </c>
      <c r="AW871" s="5" t="s">
        <v>251</v>
      </c>
      <c r="AX871" s="5" t="s">
        <v>240</v>
      </c>
      <c r="AY871" s="5" t="s">
        <v>253</v>
      </c>
      <c r="AZ871" s="5" t="s">
        <v>240</v>
      </c>
      <c r="BA871" s="5" t="s">
        <v>255</v>
      </c>
      <c r="BB871" s="5" t="s">
        <v>240</v>
      </c>
      <c r="BD871" s="5" t="s">
        <v>240</v>
      </c>
      <c r="BF871" s="5" t="s">
        <v>301</v>
      </c>
      <c r="BG871" s="6" t="s">
        <v>299</v>
      </c>
      <c r="BH871" s="5" t="s">
        <v>302</v>
      </c>
      <c r="BI871" s="5" t="s">
        <v>303</v>
      </c>
      <c r="BJ871" s="5" t="s">
        <v>240</v>
      </c>
      <c r="BK871" s="8">
        <f>0</f>
        <v>0</v>
      </c>
      <c r="BL871" s="7">
        <f>0</f>
        <v>0</v>
      </c>
      <c r="BM871" s="5" t="s">
        <v>258</v>
      </c>
      <c r="BN871" s="5" t="s">
        <v>259</v>
      </c>
      <c r="CB871" s="5" t="s">
        <v>240</v>
      </c>
      <c r="CC871" s="5" t="s">
        <v>240</v>
      </c>
      <c r="CG871" s="5" t="s">
        <v>617</v>
      </c>
      <c r="CH871" s="5" t="s">
        <v>305</v>
      </c>
      <c r="CI871" s="5" t="s">
        <v>240</v>
      </c>
      <c r="CL871" s="6" t="s">
        <v>261</v>
      </c>
      <c r="CM871" s="5" t="s">
        <v>240</v>
      </c>
      <c r="CN871" s="5" t="s">
        <v>263</v>
      </c>
      <c r="CO871" s="5" t="s">
        <v>240</v>
      </c>
      <c r="CP871" s="5" t="s">
        <v>240</v>
      </c>
      <c r="CQ871" s="5">
        <v>0</v>
      </c>
      <c r="CR871" s="5" t="s">
        <v>306</v>
      </c>
      <c r="CS871" s="5" t="s">
        <v>307</v>
      </c>
      <c r="CT871" s="5" t="s">
        <v>307</v>
      </c>
      <c r="CU871" s="5" t="s">
        <v>260</v>
      </c>
      <c r="CX871" s="7">
        <f>152292</f>
        <v>152292</v>
      </c>
      <c r="CY871" s="7">
        <f>0</f>
        <v>0</v>
      </c>
      <c r="DA871" s="7">
        <f>0</f>
        <v>0</v>
      </c>
      <c r="DC871" s="5" t="s">
        <v>843</v>
      </c>
      <c r="DD871" s="5" t="s">
        <v>240</v>
      </c>
      <c r="DF871" s="5" t="s">
        <v>843</v>
      </c>
      <c r="DG871" s="7">
        <f>15.54</f>
        <v>15.54</v>
      </c>
      <c r="DI871" s="5" t="s">
        <v>843</v>
      </c>
      <c r="DJ871" s="5" t="s">
        <v>240</v>
      </c>
      <c r="DK871" s="5" t="s">
        <v>240</v>
      </c>
      <c r="DL871" s="5" t="s">
        <v>240</v>
      </c>
      <c r="DP871" s="5" t="s">
        <v>240</v>
      </c>
      <c r="DQ871" s="5" t="s">
        <v>240</v>
      </c>
      <c r="DR871" s="5" t="s">
        <v>240</v>
      </c>
      <c r="DS871" s="5" t="s">
        <v>240</v>
      </c>
      <c r="DV871" s="5" t="s">
        <v>1862</v>
      </c>
      <c r="DW871" s="5" t="s">
        <v>799</v>
      </c>
      <c r="HO871" s="5" t="s">
        <v>312</v>
      </c>
    </row>
    <row r="872" spans="1:223" x14ac:dyDescent="0.4">
      <c r="A872" s="5">
        <v>2547</v>
      </c>
      <c r="B872" s="5">
        <v>1</v>
      </c>
      <c r="C872" s="5">
        <v>1</v>
      </c>
      <c r="D872" s="5" t="s">
        <v>297</v>
      </c>
      <c r="E872" s="5" t="s">
        <v>245</v>
      </c>
      <c r="F872" s="5" t="s">
        <v>254</v>
      </c>
      <c r="G872" s="5" t="s">
        <v>240</v>
      </c>
      <c r="H872" s="6" t="s">
        <v>581</v>
      </c>
      <c r="I872" s="5" t="s">
        <v>295</v>
      </c>
      <c r="J872" s="8">
        <f>3926</f>
        <v>3926</v>
      </c>
      <c r="K872" s="5" t="s">
        <v>308</v>
      </c>
      <c r="L872" s="7">
        <f>1</f>
        <v>1</v>
      </c>
      <c r="M872" s="7">
        <f>1</f>
        <v>1</v>
      </c>
      <c r="N872" s="5" t="s">
        <v>242</v>
      </c>
      <c r="O872" s="5">
        <v>1</v>
      </c>
      <c r="P872" s="5" t="s">
        <v>294</v>
      </c>
      <c r="Q872" s="5" t="s">
        <v>613</v>
      </c>
      <c r="R872" s="5" t="s">
        <v>240</v>
      </c>
      <c r="S872" s="5" t="s">
        <v>240</v>
      </c>
      <c r="T872" s="5" t="s">
        <v>243</v>
      </c>
      <c r="U872" s="5" t="s">
        <v>244</v>
      </c>
      <c r="V872" s="5" t="s">
        <v>240</v>
      </c>
      <c r="Y872" s="5" t="s">
        <v>240</v>
      </c>
      <c r="Z872" s="6" t="s">
        <v>298</v>
      </c>
      <c r="AB872" s="6" t="s">
        <v>240</v>
      </c>
      <c r="AE872" s="6" t="s">
        <v>299</v>
      </c>
      <c r="AF872" s="5" t="s">
        <v>248</v>
      </c>
      <c r="AG872" s="5" t="s">
        <v>249</v>
      </c>
      <c r="AW872" s="5" t="s">
        <v>251</v>
      </c>
      <c r="AX872" s="5" t="s">
        <v>240</v>
      </c>
      <c r="AY872" s="5" t="s">
        <v>253</v>
      </c>
      <c r="AZ872" s="5" t="s">
        <v>240</v>
      </c>
      <c r="BA872" s="5" t="s">
        <v>255</v>
      </c>
      <c r="BB872" s="5" t="s">
        <v>240</v>
      </c>
      <c r="BD872" s="5" t="s">
        <v>240</v>
      </c>
      <c r="BF872" s="5" t="s">
        <v>301</v>
      </c>
      <c r="BG872" s="6" t="s">
        <v>299</v>
      </c>
      <c r="BH872" s="5" t="s">
        <v>302</v>
      </c>
      <c r="BI872" s="5" t="s">
        <v>303</v>
      </c>
      <c r="BJ872" s="5" t="s">
        <v>240</v>
      </c>
      <c r="BK872" s="8">
        <f>0</f>
        <v>0</v>
      </c>
      <c r="BL872" s="7">
        <f>0</f>
        <v>0</v>
      </c>
      <c r="BM872" s="5" t="s">
        <v>258</v>
      </c>
      <c r="BN872" s="5" t="s">
        <v>259</v>
      </c>
      <c r="CB872" s="5" t="s">
        <v>240</v>
      </c>
      <c r="CC872" s="5" t="s">
        <v>240</v>
      </c>
      <c r="CG872" s="5" t="s">
        <v>617</v>
      </c>
      <c r="CH872" s="5" t="s">
        <v>305</v>
      </c>
      <c r="CI872" s="5" t="s">
        <v>240</v>
      </c>
      <c r="CL872" s="6" t="s">
        <v>261</v>
      </c>
      <c r="CM872" s="5" t="s">
        <v>240</v>
      </c>
      <c r="CN872" s="5" t="s">
        <v>263</v>
      </c>
      <c r="CO872" s="5" t="s">
        <v>240</v>
      </c>
      <c r="CP872" s="5" t="s">
        <v>240</v>
      </c>
      <c r="CQ872" s="5">
        <v>0</v>
      </c>
      <c r="CR872" s="5" t="s">
        <v>306</v>
      </c>
      <c r="CS872" s="5" t="s">
        <v>307</v>
      </c>
      <c r="CT872" s="5" t="s">
        <v>307</v>
      </c>
      <c r="CU872" s="5" t="s">
        <v>260</v>
      </c>
      <c r="CX872" s="7">
        <f>795956</f>
        <v>795956</v>
      </c>
      <c r="CY872" s="7">
        <f>0</f>
        <v>0</v>
      </c>
      <c r="DA872" s="7">
        <f>0</f>
        <v>0</v>
      </c>
      <c r="DC872" s="5" t="s">
        <v>843</v>
      </c>
      <c r="DD872" s="5" t="s">
        <v>240</v>
      </c>
      <c r="DF872" s="5" t="s">
        <v>843</v>
      </c>
      <c r="DG872" s="7">
        <f>81.22</f>
        <v>81.22</v>
      </c>
      <c r="DI872" s="5" t="s">
        <v>843</v>
      </c>
      <c r="DJ872" s="5" t="s">
        <v>240</v>
      </c>
      <c r="DK872" s="5" t="s">
        <v>240</v>
      </c>
      <c r="DL872" s="5" t="s">
        <v>240</v>
      </c>
      <c r="DP872" s="5" t="s">
        <v>240</v>
      </c>
      <c r="DQ872" s="5" t="s">
        <v>240</v>
      </c>
      <c r="DR872" s="5" t="s">
        <v>240</v>
      </c>
      <c r="DS872" s="5" t="s">
        <v>240</v>
      </c>
      <c r="DV872" s="5" t="s">
        <v>1862</v>
      </c>
      <c r="DW872" s="5" t="s">
        <v>801</v>
      </c>
      <c r="HO872" s="5" t="s">
        <v>312</v>
      </c>
    </row>
    <row r="873" spans="1:223" x14ac:dyDescent="0.4">
      <c r="A873" s="5">
        <v>2548</v>
      </c>
      <c r="B873" s="5">
        <v>1</v>
      </c>
      <c r="C873" s="5">
        <v>1</v>
      </c>
      <c r="D873" s="5" t="s">
        <v>297</v>
      </c>
      <c r="E873" s="5" t="s">
        <v>245</v>
      </c>
      <c r="F873" s="5" t="s">
        <v>254</v>
      </c>
      <c r="G873" s="5" t="s">
        <v>240</v>
      </c>
      <c r="H873" s="6" t="s">
        <v>579</v>
      </c>
      <c r="I873" s="5" t="s">
        <v>295</v>
      </c>
      <c r="J873" s="8">
        <f>2428</f>
        <v>2428</v>
      </c>
      <c r="K873" s="5" t="s">
        <v>308</v>
      </c>
      <c r="L873" s="7">
        <f>1</f>
        <v>1</v>
      </c>
      <c r="M873" s="7">
        <f>1</f>
        <v>1</v>
      </c>
      <c r="N873" s="5" t="s">
        <v>242</v>
      </c>
      <c r="O873" s="5">
        <v>1</v>
      </c>
      <c r="P873" s="5" t="s">
        <v>294</v>
      </c>
      <c r="Q873" s="5" t="s">
        <v>613</v>
      </c>
      <c r="R873" s="5" t="s">
        <v>240</v>
      </c>
      <c r="S873" s="5" t="s">
        <v>240</v>
      </c>
      <c r="T873" s="5" t="s">
        <v>243</v>
      </c>
      <c r="U873" s="5" t="s">
        <v>244</v>
      </c>
      <c r="V873" s="5" t="s">
        <v>240</v>
      </c>
      <c r="Y873" s="5" t="s">
        <v>240</v>
      </c>
      <c r="Z873" s="6" t="s">
        <v>298</v>
      </c>
      <c r="AB873" s="6" t="s">
        <v>240</v>
      </c>
      <c r="AE873" s="6" t="s">
        <v>299</v>
      </c>
      <c r="AF873" s="5" t="s">
        <v>248</v>
      </c>
      <c r="AG873" s="5" t="s">
        <v>249</v>
      </c>
      <c r="AW873" s="5" t="s">
        <v>251</v>
      </c>
      <c r="AX873" s="5" t="s">
        <v>240</v>
      </c>
      <c r="AY873" s="5" t="s">
        <v>253</v>
      </c>
      <c r="AZ873" s="5" t="s">
        <v>240</v>
      </c>
      <c r="BA873" s="5" t="s">
        <v>255</v>
      </c>
      <c r="BB873" s="5" t="s">
        <v>240</v>
      </c>
      <c r="BD873" s="5" t="s">
        <v>240</v>
      </c>
      <c r="BF873" s="5" t="s">
        <v>301</v>
      </c>
      <c r="BG873" s="6" t="s">
        <v>299</v>
      </c>
      <c r="BH873" s="5" t="s">
        <v>302</v>
      </c>
      <c r="BI873" s="5" t="s">
        <v>303</v>
      </c>
      <c r="BJ873" s="5" t="s">
        <v>240</v>
      </c>
      <c r="BK873" s="8">
        <f>0</f>
        <v>0</v>
      </c>
      <c r="BL873" s="7">
        <f>0</f>
        <v>0</v>
      </c>
      <c r="BM873" s="5" t="s">
        <v>258</v>
      </c>
      <c r="BN873" s="5" t="s">
        <v>259</v>
      </c>
      <c r="CB873" s="5" t="s">
        <v>240</v>
      </c>
      <c r="CC873" s="5" t="s">
        <v>240</v>
      </c>
      <c r="CG873" s="5" t="s">
        <v>617</v>
      </c>
      <c r="CH873" s="5" t="s">
        <v>305</v>
      </c>
      <c r="CI873" s="5" t="s">
        <v>240</v>
      </c>
      <c r="CL873" s="6" t="s">
        <v>261</v>
      </c>
      <c r="CM873" s="5" t="s">
        <v>240</v>
      </c>
      <c r="CN873" s="5" t="s">
        <v>263</v>
      </c>
      <c r="CO873" s="5" t="s">
        <v>240</v>
      </c>
      <c r="CP873" s="5" t="s">
        <v>240</v>
      </c>
      <c r="CQ873" s="5">
        <v>0</v>
      </c>
      <c r="CR873" s="5" t="s">
        <v>306</v>
      </c>
      <c r="CS873" s="5" t="s">
        <v>307</v>
      </c>
      <c r="CT873" s="5" t="s">
        <v>307</v>
      </c>
      <c r="CU873" s="5" t="s">
        <v>260</v>
      </c>
      <c r="CX873" s="7">
        <f>2299170</f>
        <v>2299170</v>
      </c>
      <c r="CY873" s="7">
        <f>0</f>
        <v>0</v>
      </c>
      <c r="DA873" s="7">
        <f>0</f>
        <v>0</v>
      </c>
      <c r="DC873" s="5" t="s">
        <v>689</v>
      </c>
      <c r="DD873" s="5" t="s">
        <v>240</v>
      </c>
      <c r="DF873" s="5" t="s">
        <v>689</v>
      </c>
      <c r="DG873" s="7">
        <f>1038</f>
        <v>1038</v>
      </c>
      <c r="DI873" s="5" t="s">
        <v>618</v>
      </c>
      <c r="DJ873" s="5" t="s">
        <v>240</v>
      </c>
      <c r="DK873" s="5" t="s">
        <v>240</v>
      </c>
      <c r="DL873" s="5" t="s">
        <v>240</v>
      </c>
      <c r="DP873" s="5" t="s">
        <v>240</v>
      </c>
      <c r="DQ873" s="5" t="s">
        <v>240</v>
      </c>
      <c r="DR873" s="5" t="s">
        <v>240</v>
      </c>
      <c r="DS873" s="5" t="s">
        <v>240</v>
      </c>
      <c r="DV873" s="5" t="s">
        <v>1862</v>
      </c>
      <c r="DW873" s="5" t="s">
        <v>804</v>
      </c>
      <c r="HO873" s="5" t="s">
        <v>312</v>
      </c>
    </row>
    <row r="874" spans="1:223" x14ac:dyDescent="0.4">
      <c r="A874" s="5">
        <v>2549</v>
      </c>
      <c r="B874" s="5">
        <v>1</v>
      </c>
      <c r="C874" s="5">
        <v>1</v>
      </c>
      <c r="D874" s="5" t="s">
        <v>297</v>
      </c>
      <c r="E874" s="5" t="s">
        <v>245</v>
      </c>
      <c r="F874" s="5" t="s">
        <v>254</v>
      </c>
      <c r="G874" s="5" t="s">
        <v>240</v>
      </c>
      <c r="H874" s="6" t="s">
        <v>577</v>
      </c>
      <c r="I874" s="5" t="s">
        <v>295</v>
      </c>
      <c r="J874" s="8">
        <f>5536</f>
        <v>5536</v>
      </c>
      <c r="K874" s="5" t="s">
        <v>308</v>
      </c>
      <c r="L874" s="7">
        <f>1</f>
        <v>1</v>
      </c>
      <c r="M874" s="7">
        <f>1</f>
        <v>1</v>
      </c>
      <c r="N874" s="5" t="s">
        <v>242</v>
      </c>
      <c r="O874" s="5">
        <v>1</v>
      </c>
      <c r="P874" s="5" t="s">
        <v>294</v>
      </c>
      <c r="Q874" s="5" t="s">
        <v>613</v>
      </c>
      <c r="R874" s="5" t="s">
        <v>240</v>
      </c>
      <c r="S874" s="5" t="s">
        <v>240</v>
      </c>
      <c r="T874" s="5" t="s">
        <v>243</v>
      </c>
      <c r="U874" s="5" t="s">
        <v>244</v>
      </c>
      <c r="V874" s="5" t="s">
        <v>240</v>
      </c>
      <c r="Y874" s="5" t="s">
        <v>240</v>
      </c>
      <c r="Z874" s="6" t="s">
        <v>298</v>
      </c>
      <c r="AB874" s="6" t="s">
        <v>240</v>
      </c>
      <c r="AE874" s="6" t="s">
        <v>299</v>
      </c>
      <c r="AF874" s="5" t="s">
        <v>248</v>
      </c>
      <c r="AG874" s="5" t="s">
        <v>249</v>
      </c>
      <c r="AW874" s="5" t="s">
        <v>251</v>
      </c>
      <c r="AX874" s="5" t="s">
        <v>240</v>
      </c>
      <c r="AY874" s="5" t="s">
        <v>253</v>
      </c>
      <c r="AZ874" s="5" t="s">
        <v>240</v>
      </c>
      <c r="BA874" s="5" t="s">
        <v>255</v>
      </c>
      <c r="BB874" s="5" t="s">
        <v>240</v>
      </c>
      <c r="BD874" s="5" t="s">
        <v>240</v>
      </c>
      <c r="BF874" s="5" t="s">
        <v>301</v>
      </c>
      <c r="BG874" s="6" t="s">
        <v>299</v>
      </c>
      <c r="BH874" s="5" t="s">
        <v>302</v>
      </c>
      <c r="BI874" s="5" t="s">
        <v>303</v>
      </c>
      <c r="BJ874" s="5" t="s">
        <v>240</v>
      </c>
      <c r="BK874" s="8">
        <f>0</f>
        <v>0</v>
      </c>
      <c r="BL874" s="7">
        <f>0</f>
        <v>0</v>
      </c>
      <c r="BM874" s="5" t="s">
        <v>258</v>
      </c>
      <c r="BN874" s="5" t="s">
        <v>259</v>
      </c>
      <c r="CB874" s="5" t="s">
        <v>240</v>
      </c>
      <c r="CC874" s="5" t="s">
        <v>240</v>
      </c>
      <c r="CG874" s="5" t="s">
        <v>617</v>
      </c>
      <c r="CH874" s="5" t="s">
        <v>305</v>
      </c>
      <c r="CI874" s="5" t="s">
        <v>240</v>
      </c>
      <c r="CL874" s="6" t="s">
        <v>261</v>
      </c>
      <c r="CM874" s="5" t="s">
        <v>240</v>
      </c>
      <c r="CN874" s="5" t="s">
        <v>263</v>
      </c>
      <c r="CO874" s="5" t="s">
        <v>240</v>
      </c>
      <c r="CP874" s="5" t="s">
        <v>240</v>
      </c>
      <c r="CQ874" s="5">
        <v>0</v>
      </c>
      <c r="CR874" s="5" t="s">
        <v>306</v>
      </c>
      <c r="CS874" s="5" t="s">
        <v>307</v>
      </c>
      <c r="CT874" s="5" t="s">
        <v>307</v>
      </c>
      <c r="CU874" s="5" t="s">
        <v>260</v>
      </c>
      <c r="CX874" s="7">
        <f>9613100</f>
        <v>9613100</v>
      </c>
      <c r="CY874" s="7">
        <f>0</f>
        <v>0</v>
      </c>
      <c r="DA874" s="7">
        <f>0</f>
        <v>0</v>
      </c>
      <c r="DC874" s="5" t="s">
        <v>689</v>
      </c>
      <c r="DD874" s="5" t="s">
        <v>240</v>
      </c>
      <c r="DF874" s="5" t="s">
        <v>689</v>
      </c>
      <c r="DG874" s="7">
        <f>4340</f>
        <v>4340</v>
      </c>
      <c r="DI874" s="5" t="s">
        <v>618</v>
      </c>
      <c r="DJ874" s="5" t="s">
        <v>240</v>
      </c>
      <c r="DK874" s="5" t="s">
        <v>240</v>
      </c>
      <c r="DL874" s="5" t="s">
        <v>240</v>
      </c>
      <c r="DP874" s="5" t="s">
        <v>240</v>
      </c>
      <c r="DQ874" s="5" t="s">
        <v>240</v>
      </c>
      <c r="DR874" s="5" t="s">
        <v>240</v>
      </c>
      <c r="DS874" s="5" t="s">
        <v>240</v>
      </c>
      <c r="DV874" s="5" t="s">
        <v>1862</v>
      </c>
      <c r="DW874" s="5" t="s">
        <v>808</v>
      </c>
      <c r="HO874" s="5" t="s">
        <v>312</v>
      </c>
    </row>
    <row r="875" spans="1:223" x14ac:dyDescent="0.4">
      <c r="A875" s="5">
        <v>2550</v>
      </c>
      <c r="B875" s="5">
        <v>1</v>
      </c>
      <c r="C875" s="5">
        <v>1</v>
      </c>
      <c r="D875" s="5" t="s">
        <v>297</v>
      </c>
      <c r="E875" s="5" t="s">
        <v>245</v>
      </c>
      <c r="F875" s="5" t="s">
        <v>254</v>
      </c>
      <c r="G875" s="5" t="s">
        <v>240</v>
      </c>
      <c r="H875" s="6" t="s">
        <v>575</v>
      </c>
      <c r="I875" s="5" t="s">
        <v>295</v>
      </c>
      <c r="J875" s="8">
        <f>236</f>
        <v>236</v>
      </c>
      <c r="K875" s="5" t="s">
        <v>308</v>
      </c>
      <c r="L875" s="7">
        <f>1</f>
        <v>1</v>
      </c>
      <c r="M875" s="7">
        <f>1</f>
        <v>1</v>
      </c>
      <c r="N875" s="5" t="s">
        <v>242</v>
      </c>
      <c r="O875" s="5">
        <v>1</v>
      </c>
      <c r="P875" s="5" t="s">
        <v>294</v>
      </c>
      <c r="Q875" s="5" t="s">
        <v>613</v>
      </c>
      <c r="R875" s="5" t="s">
        <v>240</v>
      </c>
      <c r="S875" s="5" t="s">
        <v>240</v>
      </c>
      <c r="T875" s="5" t="s">
        <v>243</v>
      </c>
      <c r="U875" s="5" t="s">
        <v>244</v>
      </c>
      <c r="V875" s="5" t="s">
        <v>240</v>
      </c>
      <c r="Y875" s="5" t="s">
        <v>240</v>
      </c>
      <c r="Z875" s="6" t="s">
        <v>298</v>
      </c>
      <c r="AB875" s="6" t="s">
        <v>240</v>
      </c>
      <c r="AE875" s="6" t="s">
        <v>299</v>
      </c>
      <c r="AF875" s="5" t="s">
        <v>248</v>
      </c>
      <c r="AG875" s="5" t="s">
        <v>249</v>
      </c>
      <c r="AW875" s="5" t="s">
        <v>251</v>
      </c>
      <c r="AX875" s="5" t="s">
        <v>240</v>
      </c>
      <c r="AY875" s="5" t="s">
        <v>253</v>
      </c>
      <c r="AZ875" s="5" t="s">
        <v>240</v>
      </c>
      <c r="BA875" s="5" t="s">
        <v>255</v>
      </c>
      <c r="BB875" s="5" t="s">
        <v>240</v>
      </c>
      <c r="BD875" s="5" t="s">
        <v>240</v>
      </c>
      <c r="BF875" s="5" t="s">
        <v>301</v>
      </c>
      <c r="BG875" s="6" t="s">
        <v>299</v>
      </c>
      <c r="BH875" s="5" t="s">
        <v>302</v>
      </c>
      <c r="BI875" s="5" t="s">
        <v>303</v>
      </c>
      <c r="BJ875" s="5" t="s">
        <v>240</v>
      </c>
      <c r="BK875" s="8">
        <f>0</f>
        <v>0</v>
      </c>
      <c r="BL875" s="7">
        <f>0</f>
        <v>0</v>
      </c>
      <c r="BM875" s="5" t="s">
        <v>258</v>
      </c>
      <c r="BN875" s="5" t="s">
        <v>259</v>
      </c>
      <c r="CB875" s="5" t="s">
        <v>240</v>
      </c>
      <c r="CC875" s="5" t="s">
        <v>240</v>
      </c>
      <c r="CG875" s="5" t="s">
        <v>617</v>
      </c>
      <c r="CH875" s="5" t="s">
        <v>305</v>
      </c>
      <c r="CI875" s="5" t="s">
        <v>240</v>
      </c>
      <c r="CL875" s="6" t="s">
        <v>261</v>
      </c>
      <c r="CM875" s="5" t="s">
        <v>240</v>
      </c>
      <c r="CN875" s="5" t="s">
        <v>263</v>
      </c>
      <c r="CO875" s="5" t="s">
        <v>240</v>
      </c>
      <c r="CP875" s="5" t="s">
        <v>240</v>
      </c>
      <c r="CQ875" s="5">
        <v>0</v>
      </c>
      <c r="CR875" s="5" t="s">
        <v>306</v>
      </c>
      <c r="CS875" s="5" t="s">
        <v>307</v>
      </c>
      <c r="CT875" s="5" t="s">
        <v>307</v>
      </c>
      <c r="CU875" s="5" t="s">
        <v>260</v>
      </c>
      <c r="CX875" s="7">
        <f>1714410</f>
        <v>1714410</v>
      </c>
      <c r="CY875" s="7">
        <f>0</f>
        <v>0</v>
      </c>
      <c r="DA875" s="7">
        <f>0</f>
        <v>0</v>
      </c>
      <c r="DC875" s="5" t="s">
        <v>689</v>
      </c>
      <c r="DD875" s="5" t="s">
        <v>240</v>
      </c>
      <c r="DF875" s="5" t="s">
        <v>689</v>
      </c>
      <c r="DG875" s="7">
        <f>774</f>
        <v>774</v>
      </c>
      <c r="DI875" s="5" t="s">
        <v>618</v>
      </c>
      <c r="DJ875" s="5" t="s">
        <v>240</v>
      </c>
      <c r="DK875" s="5" t="s">
        <v>240</v>
      </c>
      <c r="DL875" s="5" t="s">
        <v>240</v>
      </c>
      <c r="DP875" s="5" t="s">
        <v>240</v>
      </c>
      <c r="DQ875" s="5" t="s">
        <v>240</v>
      </c>
      <c r="DR875" s="5" t="s">
        <v>240</v>
      </c>
      <c r="DS875" s="5" t="s">
        <v>240</v>
      </c>
      <c r="DV875" s="5" t="s">
        <v>1862</v>
      </c>
      <c r="DW875" s="5" t="s">
        <v>1260</v>
      </c>
      <c r="HO875" s="5" t="s">
        <v>312</v>
      </c>
    </row>
    <row r="876" spans="1:223" x14ac:dyDescent="0.4">
      <c r="A876" s="5">
        <v>2551</v>
      </c>
      <c r="B876" s="5">
        <v>1</v>
      </c>
      <c r="C876" s="5">
        <v>1</v>
      </c>
      <c r="D876" s="5" t="s">
        <v>297</v>
      </c>
      <c r="E876" s="5" t="s">
        <v>245</v>
      </c>
      <c r="F876" s="5" t="s">
        <v>254</v>
      </c>
      <c r="G876" s="5" t="s">
        <v>240</v>
      </c>
      <c r="H876" s="6" t="s">
        <v>573</v>
      </c>
      <c r="I876" s="5" t="s">
        <v>295</v>
      </c>
      <c r="J876" s="8">
        <f>3431</f>
        <v>3431</v>
      </c>
      <c r="K876" s="5" t="s">
        <v>308</v>
      </c>
      <c r="L876" s="7">
        <f>1</f>
        <v>1</v>
      </c>
      <c r="M876" s="7">
        <f>1</f>
        <v>1</v>
      </c>
      <c r="N876" s="5" t="s">
        <v>242</v>
      </c>
      <c r="O876" s="5">
        <v>1</v>
      </c>
      <c r="P876" s="5" t="s">
        <v>294</v>
      </c>
      <c r="Q876" s="5" t="s">
        <v>613</v>
      </c>
      <c r="R876" s="5" t="s">
        <v>240</v>
      </c>
      <c r="S876" s="5" t="s">
        <v>240</v>
      </c>
      <c r="T876" s="5" t="s">
        <v>243</v>
      </c>
      <c r="U876" s="5" t="s">
        <v>244</v>
      </c>
      <c r="V876" s="5" t="s">
        <v>240</v>
      </c>
      <c r="Y876" s="5" t="s">
        <v>240</v>
      </c>
      <c r="Z876" s="6" t="s">
        <v>298</v>
      </c>
      <c r="AB876" s="6" t="s">
        <v>240</v>
      </c>
      <c r="AE876" s="6" t="s">
        <v>299</v>
      </c>
      <c r="AF876" s="5" t="s">
        <v>248</v>
      </c>
      <c r="AG876" s="5" t="s">
        <v>249</v>
      </c>
      <c r="AW876" s="5" t="s">
        <v>251</v>
      </c>
      <c r="AX876" s="5" t="s">
        <v>240</v>
      </c>
      <c r="AY876" s="5" t="s">
        <v>253</v>
      </c>
      <c r="AZ876" s="5" t="s">
        <v>240</v>
      </c>
      <c r="BA876" s="5" t="s">
        <v>255</v>
      </c>
      <c r="BB876" s="5" t="s">
        <v>240</v>
      </c>
      <c r="BD876" s="5" t="s">
        <v>240</v>
      </c>
      <c r="BF876" s="5" t="s">
        <v>301</v>
      </c>
      <c r="BG876" s="6" t="s">
        <v>299</v>
      </c>
      <c r="BH876" s="5" t="s">
        <v>302</v>
      </c>
      <c r="BI876" s="5" t="s">
        <v>303</v>
      </c>
      <c r="BJ876" s="5" t="s">
        <v>240</v>
      </c>
      <c r="BK876" s="8">
        <f>0</f>
        <v>0</v>
      </c>
      <c r="BL876" s="7">
        <f>0</f>
        <v>0</v>
      </c>
      <c r="BM876" s="5" t="s">
        <v>258</v>
      </c>
      <c r="BN876" s="5" t="s">
        <v>259</v>
      </c>
      <c r="CB876" s="5" t="s">
        <v>240</v>
      </c>
      <c r="CC876" s="5" t="s">
        <v>240</v>
      </c>
      <c r="CG876" s="5" t="s">
        <v>617</v>
      </c>
      <c r="CH876" s="5" t="s">
        <v>305</v>
      </c>
      <c r="CI876" s="5" t="s">
        <v>240</v>
      </c>
      <c r="CL876" s="6" t="s">
        <v>261</v>
      </c>
      <c r="CM876" s="5" t="s">
        <v>240</v>
      </c>
      <c r="CN876" s="5" t="s">
        <v>263</v>
      </c>
      <c r="CO876" s="5" t="s">
        <v>240</v>
      </c>
      <c r="CP876" s="5" t="s">
        <v>240</v>
      </c>
      <c r="CQ876" s="5">
        <v>0</v>
      </c>
      <c r="CR876" s="5" t="s">
        <v>306</v>
      </c>
      <c r="CS876" s="5" t="s">
        <v>307</v>
      </c>
      <c r="CT876" s="5" t="s">
        <v>307</v>
      </c>
      <c r="CU876" s="5" t="s">
        <v>260</v>
      </c>
      <c r="CX876" s="7">
        <f>976815</f>
        <v>976815</v>
      </c>
      <c r="CY876" s="7">
        <f>0</f>
        <v>0</v>
      </c>
      <c r="DA876" s="7">
        <f>0</f>
        <v>0</v>
      </c>
      <c r="DC876" s="5" t="s">
        <v>618</v>
      </c>
      <c r="DD876" s="5" t="s">
        <v>240</v>
      </c>
      <c r="DF876" s="5" t="s">
        <v>618</v>
      </c>
      <c r="DG876" s="7">
        <f>441</f>
        <v>441</v>
      </c>
      <c r="DI876" s="5" t="s">
        <v>618</v>
      </c>
      <c r="DJ876" s="5" t="s">
        <v>240</v>
      </c>
      <c r="DK876" s="5" t="s">
        <v>240</v>
      </c>
      <c r="DL876" s="5" t="s">
        <v>240</v>
      </c>
      <c r="DP876" s="5" t="s">
        <v>240</v>
      </c>
      <c r="DQ876" s="5" t="s">
        <v>240</v>
      </c>
      <c r="DR876" s="5" t="s">
        <v>240</v>
      </c>
      <c r="DS876" s="5" t="s">
        <v>240</v>
      </c>
      <c r="DV876" s="5" t="s">
        <v>1862</v>
      </c>
      <c r="DW876" s="5" t="s">
        <v>816</v>
      </c>
      <c r="HO876" s="5" t="s">
        <v>312</v>
      </c>
    </row>
    <row r="877" spans="1:223" x14ac:dyDescent="0.4">
      <c r="A877" s="5">
        <v>2552</v>
      </c>
      <c r="B877" s="5">
        <v>1</v>
      </c>
      <c r="C877" s="5">
        <v>1</v>
      </c>
      <c r="D877" s="5" t="s">
        <v>297</v>
      </c>
      <c r="E877" s="5" t="s">
        <v>245</v>
      </c>
      <c r="F877" s="5" t="s">
        <v>254</v>
      </c>
      <c r="G877" s="5" t="s">
        <v>240</v>
      </c>
      <c r="H877" s="6" t="s">
        <v>571</v>
      </c>
      <c r="I877" s="5" t="s">
        <v>295</v>
      </c>
      <c r="J877" s="8">
        <f>2322</f>
        <v>2322</v>
      </c>
      <c r="K877" s="5" t="s">
        <v>308</v>
      </c>
      <c r="L877" s="7">
        <f>1</f>
        <v>1</v>
      </c>
      <c r="M877" s="7">
        <f>1</f>
        <v>1</v>
      </c>
      <c r="N877" s="5" t="s">
        <v>242</v>
      </c>
      <c r="O877" s="5">
        <v>1</v>
      </c>
      <c r="P877" s="5" t="s">
        <v>294</v>
      </c>
      <c r="Q877" s="5" t="s">
        <v>613</v>
      </c>
      <c r="R877" s="5" t="s">
        <v>240</v>
      </c>
      <c r="S877" s="5" t="s">
        <v>240</v>
      </c>
      <c r="T877" s="5" t="s">
        <v>243</v>
      </c>
      <c r="U877" s="5" t="s">
        <v>244</v>
      </c>
      <c r="V877" s="5" t="s">
        <v>240</v>
      </c>
      <c r="Y877" s="5" t="s">
        <v>240</v>
      </c>
      <c r="Z877" s="6" t="s">
        <v>298</v>
      </c>
      <c r="AB877" s="6" t="s">
        <v>240</v>
      </c>
      <c r="AE877" s="6" t="s">
        <v>299</v>
      </c>
      <c r="AF877" s="5" t="s">
        <v>248</v>
      </c>
      <c r="AG877" s="5" t="s">
        <v>249</v>
      </c>
      <c r="AW877" s="5" t="s">
        <v>251</v>
      </c>
      <c r="AX877" s="5" t="s">
        <v>240</v>
      </c>
      <c r="AY877" s="5" t="s">
        <v>253</v>
      </c>
      <c r="AZ877" s="5" t="s">
        <v>240</v>
      </c>
      <c r="BA877" s="5" t="s">
        <v>255</v>
      </c>
      <c r="BB877" s="5" t="s">
        <v>240</v>
      </c>
      <c r="BD877" s="5" t="s">
        <v>240</v>
      </c>
      <c r="BF877" s="5" t="s">
        <v>301</v>
      </c>
      <c r="BG877" s="6" t="s">
        <v>299</v>
      </c>
      <c r="BH877" s="5" t="s">
        <v>302</v>
      </c>
      <c r="BI877" s="5" t="s">
        <v>303</v>
      </c>
      <c r="BJ877" s="5" t="s">
        <v>240</v>
      </c>
      <c r="BK877" s="8">
        <f>0</f>
        <v>0</v>
      </c>
      <c r="BL877" s="7">
        <f>0</f>
        <v>0</v>
      </c>
      <c r="BM877" s="5" t="s">
        <v>258</v>
      </c>
      <c r="BN877" s="5" t="s">
        <v>259</v>
      </c>
      <c r="CB877" s="5" t="s">
        <v>240</v>
      </c>
      <c r="CC877" s="5" t="s">
        <v>240</v>
      </c>
      <c r="CG877" s="5" t="s">
        <v>617</v>
      </c>
      <c r="CH877" s="5" t="s">
        <v>305</v>
      </c>
      <c r="CI877" s="5" t="s">
        <v>240</v>
      </c>
      <c r="CL877" s="6" t="s">
        <v>261</v>
      </c>
      <c r="CM877" s="5" t="s">
        <v>240</v>
      </c>
      <c r="CN877" s="5" t="s">
        <v>263</v>
      </c>
      <c r="CO877" s="5" t="s">
        <v>240</v>
      </c>
      <c r="CP877" s="5" t="s">
        <v>240</v>
      </c>
      <c r="CQ877" s="5">
        <v>0</v>
      </c>
      <c r="CR877" s="5" t="s">
        <v>306</v>
      </c>
      <c r="CS877" s="5" t="s">
        <v>307</v>
      </c>
      <c r="CT877" s="5" t="s">
        <v>307</v>
      </c>
      <c r="CU877" s="5" t="s">
        <v>260</v>
      </c>
      <c r="CX877" s="7">
        <f>1584</f>
        <v>1584</v>
      </c>
      <c r="CY877" s="7">
        <f>0</f>
        <v>0</v>
      </c>
      <c r="DA877" s="7">
        <f>0</f>
        <v>0</v>
      </c>
      <c r="DC877" s="5" t="s">
        <v>737</v>
      </c>
      <c r="DD877" s="5" t="s">
        <v>240</v>
      </c>
      <c r="DF877" s="5" t="s">
        <v>737</v>
      </c>
      <c r="DG877" s="7">
        <f>144</f>
        <v>144</v>
      </c>
      <c r="DI877" s="5" t="s">
        <v>737</v>
      </c>
      <c r="DJ877" s="5" t="s">
        <v>240</v>
      </c>
      <c r="DK877" s="5" t="s">
        <v>240</v>
      </c>
      <c r="DL877" s="5" t="s">
        <v>240</v>
      </c>
      <c r="DP877" s="5" t="s">
        <v>240</v>
      </c>
      <c r="DQ877" s="5" t="s">
        <v>240</v>
      </c>
      <c r="DR877" s="5" t="s">
        <v>240</v>
      </c>
      <c r="DS877" s="5" t="s">
        <v>240</v>
      </c>
      <c r="DV877" s="5" t="s">
        <v>1862</v>
      </c>
      <c r="DW877" s="5" t="s">
        <v>818</v>
      </c>
      <c r="HO877" s="5" t="s">
        <v>312</v>
      </c>
    </row>
    <row r="878" spans="1:223" x14ac:dyDescent="0.4">
      <c r="A878" s="5">
        <v>2553</v>
      </c>
      <c r="B878" s="5">
        <v>1</v>
      </c>
      <c r="C878" s="5">
        <v>1</v>
      </c>
      <c r="D878" s="5" t="s">
        <v>297</v>
      </c>
      <c r="E878" s="5" t="s">
        <v>245</v>
      </c>
      <c r="F878" s="5" t="s">
        <v>254</v>
      </c>
      <c r="G878" s="5" t="s">
        <v>240</v>
      </c>
      <c r="H878" s="6" t="s">
        <v>569</v>
      </c>
      <c r="I878" s="5" t="s">
        <v>295</v>
      </c>
      <c r="J878" s="8">
        <f>2935</f>
        <v>2935</v>
      </c>
      <c r="K878" s="5" t="s">
        <v>308</v>
      </c>
      <c r="L878" s="7">
        <f>1</f>
        <v>1</v>
      </c>
      <c r="M878" s="7">
        <f>1</f>
        <v>1</v>
      </c>
      <c r="N878" s="5" t="s">
        <v>242</v>
      </c>
      <c r="O878" s="5">
        <v>1</v>
      </c>
      <c r="P878" s="5" t="s">
        <v>294</v>
      </c>
      <c r="Q878" s="5" t="s">
        <v>266</v>
      </c>
      <c r="R878" s="5" t="s">
        <v>240</v>
      </c>
      <c r="S878" s="5" t="s">
        <v>240</v>
      </c>
      <c r="T878" s="5" t="s">
        <v>296</v>
      </c>
      <c r="U878" s="5" t="s">
        <v>244</v>
      </c>
      <c r="V878" s="5" t="s">
        <v>240</v>
      </c>
      <c r="Y878" s="5" t="s">
        <v>240</v>
      </c>
      <c r="Z878" s="6" t="s">
        <v>298</v>
      </c>
      <c r="AB878" s="6" t="s">
        <v>240</v>
      </c>
      <c r="AE878" s="6" t="s">
        <v>299</v>
      </c>
      <c r="AF878" s="5" t="s">
        <v>248</v>
      </c>
      <c r="AG878" s="5" t="s">
        <v>249</v>
      </c>
      <c r="AW878" s="5" t="s">
        <v>251</v>
      </c>
      <c r="AX878" s="5" t="s">
        <v>240</v>
      </c>
      <c r="AY878" s="5" t="s">
        <v>253</v>
      </c>
      <c r="AZ878" s="5" t="s">
        <v>240</v>
      </c>
      <c r="BA878" s="5" t="s">
        <v>255</v>
      </c>
      <c r="BB878" s="5" t="s">
        <v>240</v>
      </c>
      <c r="BD878" s="5" t="s">
        <v>240</v>
      </c>
      <c r="BF878" s="5" t="s">
        <v>301</v>
      </c>
      <c r="BG878" s="6" t="s">
        <v>299</v>
      </c>
      <c r="BH878" s="5" t="s">
        <v>302</v>
      </c>
      <c r="BI878" s="5" t="s">
        <v>303</v>
      </c>
      <c r="BJ878" s="5" t="s">
        <v>240</v>
      </c>
      <c r="BK878" s="8">
        <f>0</f>
        <v>0</v>
      </c>
      <c r="BL878" s="7">
        <f>0</f>
        <v>0</v>
      </c>
      <c r="BM878" s="5" t="s">
        <v>258</v>
      </c>
      <c r="BN878" s="5" t="s">
        <v>259</v>
      </c>
      <c r="CB878" s="5" t="s">
        <v>240</v>
      </c>
      <c r="CC878" s="5" t="s">
        <v>240</v>
      </c>
      <c r="CG878" s="5" t="s">
        <v>304</v>
      </c>
      <c r="CH878" s="5" t="s">
        <v>305</v>
      </c>
      <c r="CI878" s="5" t="s">
        <v>240</v>
      </c>
      <c r="CL878" s="6" t="s">
        <v>261</v>
      </c>
      <c r="CM878" s="5" t="s">
        <v>240</v>
      </c>
      <c r="CN878" s="5" t="s">
        <v>263</v>
      </c>
      <c r="CO878" s="5" t="s">
        <v>240</v>
      </c>
      <c r="CP878" s="5" t="s">
        <v>240</v>
      </c>
      <c r="CQ878" s="5">
        <v>0</v>
      </c>
      <c r="CR878" s="5" t="s">
        <v>306</v>
      </c>
      <c r="CS878" s="5" t="s">
        <v>307</v>
      </c>
      <c r="CT878" s="5" t="s">
        <v>307</v>
      </c>
      <c r="CU878" s="5" t="s">
        <v>260</v>
      </c>
      <c r="CX878" s="7">
        <f>1</f>
        <v>1</v>
      </c>
      <c r="CY878" s="7">
        <f>0</f>
        <v>0</v>
      </c>
      <c r="DA878" s="7">
        <f>0</f>
        <v>0</v>
      </c>
      <c r="DC878" s="5" t="s">
        <v>812</v>
      </c>
      <c r="DD878" s="5" t="s">
        <v>240</v>
      </c>
      <c r="DF878" s="5" t="s">
        <v>812</v>
      </c>
      <c r="DG878" s="7">
        <f>311</f>
        <v>311</v>
      </c>
      <c r="DI878" s="5" t="s">
        <v>240</v>
      </c>
      <c r="DJ878" s="5" t="s">
        <v>240</v>
      </c>
      <c r="DK878" s="5" t="s">
        <v>240</v>
      </c>
      <c r="DL878" s="5" t="s">
        <v>240</v>
      </c>
      <c r="DP878" s="5" t="s">
        <v>240</v>
      </c>
      <c r="DQ878" s="5" t="s">
        <v>240</v>
      </c>
      <c r="DR878" s="5" t="s">
        <v>240</v>
      </c>
      <c r="DS878" s="5" t="s">
        <v>240</v>
      </c>
      <c r="DV878" s="5" t="s">
        <v>813</v>
      </c>
      <c r="DW878" s="5" t="s">
        <v>1883</v>
      </c>
      <c r="HO878" s="5" t="s">
        <v>312</v>
      </c>
    </row>
    <row r="879" spans="1:223" x14ac:dyDescent="0.4">
      <c r="A879" s="5">
        <v>2554</v>
      </c>
      <c r="B879" s="5">
        <v>1</v>
      </c>
      <c r="C879" s="5">
        <v>1</v>
      </c>
      <c r="D879" s="5" t="s">
        <v>297</v>
      </c>
      <c r="E879" s="5" t="s">
        <v>245</v>
      </c>
      <c r="F879" s="5" t="s">
        <v>254</v>
      </c>
      <c r="G879" s="5" t="s">
        <v>240</v>
      </c>
      <c r="H879" s="6" t="s">
        <v>567</v>
      </c>
      <c r="I879" s="5" t="s">
        <v>295</v>
      </c>
      <c r="J879" s="8">
        <f>2354</f>
        <v>2354</v>
      </c>
      <c r="K879" s="5" t="s">
        <v>308</v>
      </c>
      <c r="L879" s="7">
        <f>1</f>
        <v>1</v>
      </c>
      <c r="M879" s="7">
        <f>1</f>
        <v>1</v>
      </c>
      <c r="N879" s="5" t="s">
        <v>242</v>
      </c>
      <c r="O879" s="5">
        <v>1</v>
      </c>
      <c r="P879" s="5" t="s">
        <v>294</v>
      </c>
      <c r="Q879" s="5" t="s">
        <v>613</v>
      </c>
      <c r="R879" s="5" t="s">
        <v>240</v>
      </c>
      <c r="S879" s="5" t="s">
        <v>240</v>
      </c>
      <c r="T879" s="5" t="s">
        <v>243</v>
      </c>
      <c r="U879" s="5" t="s">
        <v>244</v>
      </c>
      <c r="V879" s="5" t="s">
        <v>240</v>
      </c>
      <c r="Y879" s="5" t="s">
        <v>240</v>
      </c>
      <c r="Z879" s="6" t="s">
        <v>298</v>
      </c>
      <c r="AB879" s="6" t="s">
        <v>240</v>
      </c>
      <c r="AE879" s="6" t="s">
        <v>299</v>
      </c>
      <c r="AF879" s="5" t="s">
        <v>248</v>
      </c>
      <c r="AG879" s="5" t="s">
        <v>249</v>
      </c>
      <c r="AW879" s="5" t="s">
        <v>251</v>
      </c>
      <c r="AX879" s="5" t="s">
        <v>240</v>
      </c>
      <c r="AY879" s="5" t="s">
        <v>253</v>
      </c>
      <c r="AZ879" s="5" t="s">
        <v>240</v>
      </c>
      <c r="BA879" s="5" t="s">
        <v>255</v>
      </c>
      <c r="BB879" s="5" t="s">
        <v>240</v>
      </c>
      <c r="BD879" s="5" t="s">
        <v>240</v>
      </c>
      <c r="BF879" s="5" t="s">
        <v>301</v>
      </c>
      <c r="BG879" s="6" t="s">
        <v>299</v>
      </c>
      <c r="BH879" s="5" t="s">
        <v>302</v>
      </c>
      <c r="BI879" s="5" t="s">
        <v>303</v>
      </c>
      <c r="BJ879" s="5" t="s">
        <v>240</v>
      </c>
      <c r="BK879" s="8">
        <f>0</f>
        <v>0</v>
      </c>
      <c r="BL879" s="7">
        <f>0</f>
        <v>0</v>
      </c>
      <c r="BM879" s="5" t="s">
        <v>258</v>
      </c>
      <c r="BN879" s="5" t="s">
        <v>259</v>
      </c>
      <c r="CB879" s="5" t="s">
        <v>240</v>
      </c>
      <c r="CC879" s="5" t="s">
        <v>240</v>
      </c>
      <c r="CG879" s="5" t="s">
        <v>617</v>
      </c>
      <c r="CH879" s="5" t="s">
        <v>305</v>
      </c>
      <c r="CI879" s="5" t="s">
        <v>240</v>
      </c>
      <c r="CL879" s="6" t="s">
        <v>261</v>
      </c>
      <c r="CM879" s="5" t="s">
        <v>240</v>
      </c>
      <c r="CN879" s="5" t="s">
        <v>263</v>
      </c>
      <c r="CO879" s="5" t="s">
        <v>240</v>
      </c>
      <c r="CP879" s="5" t="s">
        <v>240</v>
      </c>
      <c r="CQ879" s="5">
        <v>0</v>
      </c>
      <c r="CR879" s="5" t="s">
        <v>306</v>
      </c>
      <c r="CS879" s="5" t="s">
        <v>307</v>
      </c>
      <c r="CT879" s="5" t="s">
        <v>307</v>
      </c>
      <c r="CU879" s="5" t="s">
        <v>260</v>
      </c>
      <c r="CX879" s="7">
        <f>42085</f>
        <v>42085</v>
      </c>
      <c r="CY879" s="7">
        <f>0</f>
        <v>0</v>
      </c>
      <c r="DA879" s="7">
        <f>0</f>
        <v>0</v>
      </c>
      <c r="DC879" s="5" t="s">
        <v>689</v>
      </c>
      <c r="DD879" s="5" t="s">
        <v>240</v>
      </c>
      <c r="DF879" s="5" t="s">
        <v>689</v>
      </c>
      <c r="DG879" s="7">
        <f>19</f>
        <v>19</v>
      </c>
      <c r="DI879" s="5" t="s">
        <v>618</v>
      </c>
      <c r="DJ879" s="5" t="s">
        <v>240</v>
      </c>
      <c r="DK879" s="5" t="s">
        <v>240</v>
      </c>
      <c r="DL879" s="5" t="s">
        <v>240</v>
      </c>
      <c r="DP879" s="5" t="s">
        <v>240</v>
      </c>
      <c r="DQ879" s="5" t="s">
        <v>240</v>
      </c>
      <c r="DR879" s="5" t="s">
        <v>240</v>
      </c>
      <c r="DS879" s="5" t="s">
        <v>240</v>
      </c>
      <c r="DV879" s="5" t="s">
        <v>1862</v>
      </c>
      <c r="DW879" s="5" t="s">
        <v>691</v>
      </c>
      <c r="HO879" s="5" t="s">
        <v>312</v>
      </c>
    </row>
    <row r="880" spans="1:223" x14ac:dyDescent="0.4">
      <c r="A880" s="5">
        <v>2555</v>
      </c>
      <c r="B880" s="5">
        <v>1</v>
      </c>
      <c r="C880" s="5">
        <v>1</v>
      </c>
      <c r="D880" s="5" t="s">
        <v>297</v>
      </c>
      <c r="E880" s="5" t="s">
        <v>245</v>
      </c>
      <c r="F880" s="5" t="s">
        <v>254</v>
      </c>
      <c r="G880" s="5" t="s">
        <v>240</v>
      </c>
      <c r="H880" s="6" t="s">
        <v>565</v>
      </c>
      <c r="I880" s="5" t="s">
        <v>295</v>
      </c>
      <c r="J880" s="8">
        <f>158</f>
        <v>158</v>
      </c>
      <c r="K880" s="5" t="s">
        <v>308</v>
      </c>
      <c r="L880" s="7">
        <f>1</f>
        <v>1</v>
      </c>
      <c r="M880" s="7">
        <f>1</f>
        <v>1</v>
      </c>
      <c r="N880" s="5" t="s">
        <v>242</v>
      </c>
      <c r="O880" s="5">
        <v>1</v>
      </c>
      <c r="P880" s="5" t="s">
        <v>294</v>
      </c>
      <c r="Q880" s="5" t="s">
        <v>613</v>
      </c>
      <c r="R880" s="5" t="s">
        <v>240</v>
      </c>
      <c r="S880" s="5" t="s">
        <v>240</v>
      </c>
      <c r="T880" s="5" t="s">
        <v>243</v>
      </c>
      <c r="U880" s="5" t="s">
        <v>244</v>
      </c>
      <c r="V880" s="5" t="s">
        <v>240</v>
      </c>
      <c r="Y880" s="5" t="s">
        <v>240</v>
      </c>
      <c r="Z880" s="6" t="s">
        <v>298</v>
      </c>
      <c r="AB880" s="6" t="s">
        <v>240</v>
      </c>
      <c r="AE880" s="6" t="s">
        <v>299</v>
      </c>
      <c r="AF880" s="5" t="s">
        <v>248</v>
      </c>
      <c r="AG880" s="5" t="s">
        <v>249</v>
      </c>
      <c r="AW880" s="5" t="s">
        <v>251</v>
      </c>
      <c r="AX880" s="5" t="s">
        <v>240</v>
      </c>
      <c r="AY880" s="5" t="s">
        <v>253</v>
      </c>
      <c r="AZ880" s="5" t="s">
        <v>240</v>
      </c>
      <c r="BA880" s="5" t="s">
        <v>255</v>
      </c>
      <c r="BB880" s="5" t="s">
        <v>240</v>
      </c>
      <c r="BD880" s="5" t="s">
        <v>686</v>
      </c>
      <c r="BF880" s="5" t="s">
        <v>301</v>
      </c>
      <c r="BG880" s="6" t="s">
        <v>299</v>
      </c>
      <c r="BH880" s="5" t="s">
        <v>302</v>
      </c>
      <c r="BI880" s="5" t="s">
        <v>303</v>
      </c>
      <c r="BJ880" s="5" t="s">
        <v>240</v>
      </c>
      <c r="BK880" s="8">
        <f>0</f>
        <v>0</v>
      </c>
      <c r="BL880" s="7">
        <f>0</f>
        <v>0</v>
      </c>
      <c r="BM880" s="5" t="s">
        <v>258</v>
      </c>
      <c r="BN880" s="5" t="s">
        <v>259</v>
      </c>
      <c r="CB880" s="5" t="s">
        <v>240</v>
      </c>
      <c r="CC880" s="5" t="s">
        <v>240</v>
      </c>
      <c r="CG880" s="5" t="s">
        <v>617</v>
      </c>
      <c r="CH880" s="5" t="s">
        <v>305</v>
      </c>
      <c r="CI880" s="5" t="s">
        <v>240</v>
      </c>
      <c r="CL880" s="6" t="s">
        <v>261</v>
      </c>
      <c r="CM880" s="5" t="s">
        <v>240</v>
      </c>
      <c r="CN880" s="5" t="s">
        <v>263</v>
      </c>
      <c r="CO880" s="5" t="s">
        <v>240</v>
      </c>
      <c r="CP880" s="5" t="s">
        <v>240</v>
      </c>
      <c r="CQ880" s="5">
        <v>0</v>
      </c>
      <c r="CR880" s="5" t="s">
        <v>306</v>
      </c>
      <c r="CS880" s="5" t="s">
        <v>307</v>
      </c>
      <c r="CT880" s="5" t="s">
        <v>307</v>
      </c>
      <c r="CU880" s="5" t="s">
        <v>260</v>
      </c>
      <c r="CX880" s="7">
        <f>163910</f>
        <v>163910</v>
      </c>
      <c r="CY880" s="7">
        <f>0</f>
        <v>0</v>
      </c>
      <c r="DA880" s="7">
        <f>0</f>
        <v>0</v>
      </c>
      <c r="DC880" s="5" t="s">
        <v>689</v>
      </c>
      <c r="DD880" s="5" t="s">
        <v>240</v>
      </c>
      <c r="DF880" s="5" t="s">
        <v>689</v>
      </c>
      <c r="DG880" s="7">
        <f>74</f>
        <v>74</v>
      </c>
      <c r="DI880" s="5" t="s">
        <v>618</v>
      </c>
      <c r="DJ880" s="5" t="s">
        <v>240</v>
      </c>
      <c r="DK880" s="5" t="s">
        <v>240</v>
      </c>
      <c r="DL880" s="5" t="s">
        <v>240</v>
      </c>
      <c r="DP880" s="5" t="s">
        <v>240</v>
      </c>
      <c r="DQ880" s="5" t="s">
        <v>240</v>
      </c>
      <c r="DR880" s="5" t="s">
        <v>240</v>
      </c>
      <c r="DS880" s="5" t="s">
        <v>240</v>
      </c>
      <c r="DV880" s="5" t="s">
        <v>1862</v>
      </c>
      <c r="DW880" s="5" t="s">
        <v>620</v>
      </c>
      <c r="HO880" s="5" t="s">
        <v>312</v>
      </c>
    </row>
    <row r="881" spans="1:223" x14ac:dyDescent="0.4">
      <c r="A881" s="5">
        <v>2556</v>
      </c>
      <c r="B881" s="5">
        <v>1</v>
      </c>
      <c r="C881" s="5">
        <v>1</v>
      </c>
      <c r="D881" s="5" t="s">
        <v>297</v>
      </c>
      <c r="E881" s="5" t="s">
        <v>245</v>
      </c>
      <c r="F881" s="5" t="s">
        <v>254</v>
      </c>
      <c r="G881" s="5" t="s">
        <v>240</v>
      </c>
      <c r="H881" s="6" t="s">
        <v>563</v>
      </c>
      <c r="I881" s="5" t="s">
        <v>295</v>
      </c>
      <c r="J881" s="8">
        <f>1690</f>
        <v>1690</v>
      </c>
      <c r="K881" s="5" t="s">
        <v>308</v>
      </c>
      <c r="L881" s="7">
        <f>1</f>
        <v>1</v>
      </c>
      <c r="M881" s="7">
        <f>1</f>
        <v>1</v>
      </c>
      <c r="N881" s="5" t="s">
        <v>242</v>
      </c>
      <c r="O881" s="5">
        <v>1</v>
      </c>
      <c r="P881" s="5" t="s">
        <v>294</v>
      </c>
      <c r="Q881" s="5" t="s">
        <v>613</v>
      </c>
      <c r="R881" s="5" t="s">
        <v>240</v>
      </c>
      <c r="S881" s="5" t="s">
        <v>240</v>
      </c>
      <c r="T881" s="5" t="s">
        <v>243</v>
      </c>
      <c r="U881" s="5" t="s">
        <v>244</v>
      </c>
      <c r="V881" s="5" t="s">
        <v>240</v>
      </c>
      <c r="Y881" s="5" t="s">
        <v>240</v>
      </c>
      <c r="Z881" s="6" t="s">
        <v>298</v>
      </c>
      <c r="AB881" s="6" t="s">
        <v>240</v>
      </c>
      <c r="AE881" s="6" t="s">
        <v>299</v>
      </c>
      <c r="AF881" s="5" t="s">
        <v>248</v>
      </c>
      <c r="AG881" s="5" t="s">
        <v>249</v>
      </c>
      <c r="AW881" s="5" t="s">
        <v>251</v>
      </c>
      <c r="AX881" s="5" t="s">
        <v>240</v>
      </c>
      <c r="AY881" s="5" t="s">
        <v>253</v>
      </c>
      <c r="AZ881" s="5" t="s">
        <v>240</v>
      </c>
      <c r="BA881" s="5" t="s">
        <v>255</v>
      </c>
      <c r="BB881" s="5" t="s">
        <v>240</v>
      </c>
      <c r="BD881" s="5" t="s">
        <v>240</v>
      </c>
      <c r="BF881" s="5" t="s">
        <v>301</v>
      </c>
      <c r="BG881" s="6" t="s">
        <v>299</v>
      </c>
      <c r="BH881" s="5" t="s">
        <v>302</v>
      </c>
      <c r="BI881" s="5" t="s">
        <v>303</v>
      </c>
      <c r="BJ881" s="5" t="s">
        <v>240</v>
      </c>
      <c r="BK881" s="8">
        <f>0</f>
        <v>0</v>
      </c>
      <c r="BL881" s="7">
        <f>0</f>
        <v>0</v>
      </c>
      <c r="BM881" s="5" t="s">
        <v>258</v>
      </c>
      <c r="BN881" s="5" t="s">
        <v>259</v>
      </c>
      <c r="CB881" s="5" t="s">
        <v>240</v>
      </c>
      <c r="CC881" s="5" t="s">
        <v>240</v>
      </c>
      <c r="CG881" s="5" t="s">
        <v>617</v>
      </c>
      <c r="CH881" s="5" t="s">
        <v>305</v>
      </c>
      <c r="CI881" s="5" t="s">
        <v>240</v>
      </c>
      <c r="CL881" s="6" t="s">
        <v>261</v>
      </c>
      <c r="CM881" s="5" t="s">
        <v>240</v>
      </c>
      <c r="CN881" s="5" t="s">
        <v>263</v>
      </c>
      <c r="CO881" s="5" t="s">
        <v>240</v>
      </c>
      <c r="CP881" s="5" t="s">
        <v>240</v>
      </c>
      <c r="CQ881" s="5">
        <v>0</v>
      </c>
      <c r="CR881" s="5" t="s">
        <v>306</v>
      </c>
      <c r="CS881" s="5" t="s">
        <v>307</v>
      </c>
      <c r="CT881" s="5" t="s">
        <v>307</v>
      </c>
      <c r="CU881" s="5" t="s">
        <v>260</v>
      </c>
      <c r="CX881" s="7">
        <f>1909330</f>
        <v>1909330</v>
      </c>
      <c r="CY881" s="7">
        <f>0</f>
        <v>0</v>
      </c>
      <c r="DA881" s="7">
        <f>0</f>
        <v>0</v>
      </c>
      <c r="DC881" s="5" t="s">
        <v>689</v>
      </c>
      <c r="DD881" s="5" t="s">
        <v>240</v>
      </c>
      <c r="DF881" s="5" t="s">
        <v>689</v>
      </c>
      <c r="DG881" s="7">
        <f>862</f>
        <v>862</v>
      </c>
      <c r="DI881" s="5" t="s">
        <v>618</v>
      </c>
      <c r="DJ881" s="5" t="s">
        <v>240</v>
      </c>
      <c r="DK881" s="5" t="s">
        <v>240</v>
      </c>
      <c r="DL881" s="5" t="s">
        <v>240</v>
      </c>
      <c r="DP881" s="5" t="s">
        <v>240</v>
      </c>
      <c r="DQ881" s="5" t="s">
        <v>240</v>
      </c>
      <c r="DR881" s="5" t="s">
        <v>240</v>
      </c>
      <c r="DS881" s="5" t="s">
        <v>240</v>
      </c>
      <c r="DV881" s="5" t="s">
        <v>1862</v>
      </c>
      <c r="DW881" s="5" t="s">
        <v>621</v>
      </c>
      <c r="HO881" s="5" t="s">
        <v>312</v>
      </c>
    </row>
    <row r="882" spans="1:223" x14ac:dyDescent="0.4">
      <c r="A882" s="5">
        <v>2557</v>
      </c>
      <c r="B882" s="5">
        <v>1</v>
      </c>
      <c r="C882" s="5">
        <v>1</v>
      </c>
      <c r="D882" s="5" t="s">
        <v>297</v>
      </c>
      <c r="E882" s="5" t="s">
        <v>245</v>
      </c>
      <c r="F882" s="5" t="s">
        <v>254</v>
      </c>
      <c r="G882" s="5" t="s">
        <v>240</v>
      </c>
      <c r="H882" s="6" t="s">
        <v>561</v>
      </c>
      <c r="I882" s="5" t="s">
        <v>295</v>
      </c>
      <c r="J882" s="8">
        <f>1145</f>
        <v>1145</v>
      </c>
      <c r="K882" s="5" t="s">
        <v>308</v>
      </c>
      <c r="L882" s="7">
        <f>1</f>
        <v>1</v>
      </c>
      <c r="M882" s="7">
        <f>1</f>
        <v>1</v>
      </c>
      <c r="N882" s="5" t="s">
        <v>242</v>
      </c>
      <c r="O882" s="5">
        <v>1</v>
      </c>
      <c r="P882" s="5" t="s">
        <v>294</v>
      </c>
      <c r="Q882" s="5" t="s">
        <v>613</v>
      </c>
      <c r="R882" s="5" t="s">
        <v>240</v>
      </c>
      <c r="S882" s="5" t="s">
        <v>240</v>
      </c>
      <c r="T882" s="5" t="s">
        <v>243</v>
      </c>
      <c r="U882" s="5" t="s">
        <v>244</v>
      </c>
      <c r="V882" s="5" t="s">
        <v>240</v>
      </c>
      <c r="Y882" s="5" t="s">
        <v>240</v>
      </c>
      <c r="Z882" s="6" t="s">
        <v>298</v>
      </c>
      <c r="AB882" s="6" t="s">
        <v>240</v>
      </c>
      <c r="AE882" s="6" t="s">
        <v>299</v>
      </c>
      <c r="AF882" s="5" t="s">
        <v>248</v>
      </c>
      <c r="AG882" s="5" t="s">
        <v>249</v>
      </c>
      <c r="AW882" s="5" t="s">
        <v>251</v>
      </c>
      <c r="AX882" s="5" t="s">
        <v>240</v>
      </c>
      <c r="AY882" s="5" t="s">
        <v>253</v>
      </c>
      <c r="AZ882" s="5" t="s">
        <v>240</v>
      </c>
      <c r="BA882" s="5" t="s">
        <v>255</v>
      </c>
      <c r="BB882" s="5" t="s">
        <v>240</v>
      </c>
      <c r="BD882" s="5" t="s">
        <v>240</v>
      </c>
      <c r="BF882" s="5" t="s">
        <v>301</v>
      </c>
      <c r="BG882" s="6" t="s">
        <v>299</v>
      </c>
      <c r="BH882" s="5" t="s">
        <v>302</v>
      </c>
      <c r="BI882" s="5" t="s">
        <v>303</v>
      </c>
      <c r="BJ882" s="5" t="s">
        <v>240</v>
      </c>
      <c r="BK882" s="8">
        <f>0</f>
        <v>0</v>
      </c>
      <c r="BL882" s="7">
        <f>0</f>
        <v>0</v>
      </c>
      <c r="BM882" s="5" t="s">
        <v>258</v>
      </c>
      <c r="BN882" s="5" t="s">
        <v>259</v>
      </c>
      <c r="CB882" s="5" t="s">
        <v>240</v>
      </c>
      <c r="CC882" s="5" t="s">
        <v>240</v>
      </c>
      <c r="CG882" s="5" t="s">
        <v>617</v>
      </c>
      <c r="CH882" s="5" t="s">
        <v>305</v>
      </c>
      <c r="CI882" s="5" t="s">
        <v>240</v>
      </c>
      <c r="CL882" s="6" t="s">
        <v>261</v>
      </c>
      <c r="CM882" s="5" t="s">
        <v>240</v>
      </c>
      <c r="CN882" s="5" t="s">
        <v>263</v>
      </c>
      <c r="CO882" s="5" t="s">
        <v>240</v>
      </c>
      <c r="CP882" s="5" t="s">
        <v>240</v>
      </c>
      <c r="CQ882" s="5">
        <v>0</v>
      </c>
      <c r="CR882" s="5" t="s">
        <v>306</v>
      </c>
      <c r="CS882" s="5" t="s">
        <v>307</v>
      </c>
      <c r="CT882" s="5" t="s">
        <v>307</v>
      </c>
      <c r="CU882" s="5" t="s">
        <v>260</v>
      </c>
      <c r="CX882" s="7">
        <f>6782330</f>
        <v>6782330</v>
      </c>
      <c r="CY882" s="7">
        <f>0</f>
        <v>0</v>
      </c>
      <c r="DA882" s="7">
        <f>0</f>
        <v>0</v>
      </c>
      <c r="DC882" s="5" t="s">
        <v>1849</v>
      </c>
      <c r="DD882" s="5" t="s">
        <v>240</v>
      </c>
      <c r="DF882" s="5" t="s">
        <v>1849</v>
      </c>
      <c r="DG882" s="7">
        <f>0</f>
        <v>0</v>
      </c>
      <c r="DI882" s="5" t="s">
        <v>618</v>
      </c>
      <c r="DJ882" s="5" t="s">
        <v>240</v>
      </c>
      <c r="DK882" s="5" t="s">
        <v>240</v>
      </c>
      <c r="DL882" s="5" t="s">
        <v>240</v>
      </c>
      <c r="DP882" s="5" t="s">
        <v>240</v>
      </c>
      <c r="DQ882" s="5" t="s">
        <v>240</v>
      </c>
      <c r="DR882" s="5" t="s">
        <v>240</v>
      </c>
      <c r="DS882" s="5" t="s">
        <v>240</v>
      </c>
      <c r="DV882" s="5" t="s">
        <v>1862</v>
      </c>
      <c r="DW882" s="5" t="s">
        <v>312</v>
      </c>
      <c r="HO882" s="5" t="s">
        <v>312</v>
      </c>
    </row>
    <row r="883" spans="1:223" x14ac:dyDescent="0.4">
      <c r="A883" s="5">
        <v>2558</v>
      </c>
      <c r="B883" s="5">
        <v>1</v>
      </c>
      <c r="C883" s="5">
        <v>1</v>
      </c>
      <c r="D883" s="5" t="s">
        <v>297</v>
      </c>
      <c r="E883" s="5" t="s">
        <v>245</v>
      </c>
      <c r="F883" s="5" t="s">
        <v>254</v>
      </c>
      <c r="G883" s="5" t="s">
        <v>240</v>
      </c>
      <c r="H883" s="6" t="s">
        <v>559</v>
      </c>
      <c r="I883" s="5" t="s">
        <v>295</v>
      </c>
      <c r="J883" s="8">
        <f>895</f>
        <v>895</v>
      </c>
      <c r="K883" s="5" t="s">
        <v>308</v>
      </c>
      <c r="L883" s="7">
        <f>1</f>
        <v>1</v>
      </c>
      <c r="M883" s="7">
        <f>1</f>
        <v>1</v>
      </c>
      <c r="N883" s="5" t="s">
        <v>242</v>
      </c>
      <c r="O883" s="5">
        <v>1</v>
      </c>
      <c r="P883" s="5" t="s">
        <v>294</v>
      </c>
      <c r="Q883" s="5" t="s">
        <v>266</v>
      </c>
      <c r="R883" s="5" t="s">
        <v>240</v>
      </c>
      <c r="S883" s="5" t="s">
        <v>240</v>
      </c>
      <c r="T883" s="5" t="s">
        <v>296</v>
      </c>
      <c r="U883" s="5" t="s">
        <v>244</v>
      </c>
      <c r="V883" s="5" t="s">
        <v>240</v>
      </c>
      <c r="Y883" s="5" t="s">
        <v>240</v>
      </c>
      <c r="Z883" s="6" t="s">
        <v>298</v>
      </c>
      <c r="AB883" s="6" t="s">
        <v>240</v>
      </c>
      <c r="AE883" s="6" t="s">
        <v>299</v>
      </c>
      <c r="AF883" s="5" t="s">
        <v>248</v>
      </c>
      <c r="AG883" s="5" t="s">
        <v>249</v>
      </c>
      <c r="AW883" s="5" t="s">
        <v>251</v>
      </c>
      <c r="AX883" s="5" t="s">
        <v>240</v>
      </c>
      <c r="AY883" s="5" t="s">
        <v>253</v>
      </c>
      <c r="AZ883" s="5" t="s">
        <v>240</v>
      </c>
      <c r="BA883" s="5" t="s">
        <v>255</v>
      </c>
      <c r="BB883" s="5" t="s">
        <v>240</v>
      </c>
      <c r="BD883" s="5" t="s">
        <v>240</v>
      </c>
      <c r="BF883" s="5" t="s">
        <v>301</v>
      </c>
      <c r="BG883" s="6" t="s">
        <v>299</v>
      </c>
      <c r="BH883" s="5" t="s">
        <v>302</v>
      </c>
      <c r="BI883" s="5" t="s">
        <v>303</v>
      </c>
      <c r="BJ883" s="5" t="s">
        <v>240</v>
      </c>
      <c r="BK883" s="8">
        <f>0</f>
        <v>0</v>
      </c>
      <c r="BL883" s="7">
        <f>0</f>
        <v>0</v>
      </c>
      <c r="BM883" s="5" t="s">
        <v>258</v>
      </c>
      <c r="BN883" s="5" t="s">
        <v>259</v>
      </c>
      <c r="CB883" s="5" t="s">
        <v>240</v>
      </c>
      <c r="CC883" s="5" t="s">
        <v>240</v>
      </c>
      <c r="CG883" s="5" t="s">
        <v>617</v>
      </c>
      <c r="CH883" s="5" t="s">
        <v>305</v>
      </c>
      <c r="CI883" s="5" t="s">
        <v>240</v>
      </c>
      <c r="CL883" s="6" t="s">
        <v>261</v>
      </c>
      <c r="CM883" s="5" t="s">
        <v>240</v>
      </c>
      <c r="CN883" s="5" t="s">
        <v>263</v>
      </c>
      <c r="CO883" s="5" t="s">
        <v>240</v>
      </c>
      <c r="CP883" s="5" t="s">
        <v>240</v>
      </c>
      <c r="CQ883" s="5">
        <v>0</v>
      </c>
      <c r="CR883" s="5" t="s">
        <v>306</v>
      </c>
      <c r="CS883" s="5" t="s">
        <v>307</v>
      </c>
      <c r="CT883" s="5" t="s">
        <v>307</v>
      </c>
      <c r="CU883" s="5" t="s">
        <v>260</v>
      </c>
      <c r="CX883" s="7">
        <f>136220</f>
        <v>136220</v>
      </c>
      <c r="CY883" s="7">
        <f>0</f>
        <v>0</v>
      </c>
      <c r="DA883" s="7">
        <f>0</f>
        <v>0</v>
      </c>
      <c r="DC883" s="5" t="s">
        <v>309</v>
      </c>
      <c r="DD883" s="5" t="s">
        <v>240</v>
      </c>
      <c r="DF883" s="5" t="s">
        <v>450</v>
      </c>
      <c r="DG883" s="7">
        <f>0</f>
        <v>0</v>
      </c>
      <c r="DI883" s="5" t="s">
        <v>450</v>
      </c>
      <c r="DJ883" s="5" t="s">
        <v>240</v>
      </c>
      <c r="DK883" s="5" t="s">
        <v>240</v>
      </c>
      <c r="DL883" s="5" t="s">
        <v>240</v>
      </c>
      <c r="DP883" s="5" t="s">
        <v>240</v>
      </c>
      <c r="DQ883" s="5" t="s">
        <v>240</v>
      </c>
      <c r="DR883" s="5" t="s">
        <v>240</v>
      </c>
      <c r="DS883" s="5" t="s">
        <v>240</v>
      </c>
      <c r="DV883" s="5" t="s">
        <v>1890</v>
      </c>
      <c r="DW883" s="5" t="s">
        <v>816</v>
      </c>
      <c r="HO883" s="5" t="s">
        <v>312</v>
      </c>
    </row>
    <row r="884" spans="1:223" x14ac:dyDescent="0.4">
      <c r="A884" s="5">
        <v>2559</v>
      </c>
      <c r="B884" s="5">
        <v>1</v>
      </c>
      <c r="C884" s="5">
        <v>1</v>
      </c>
      <c r="D884" s="5" t="s">
        <v>297</v>
      </c>
      <c r="E884" s="5" t="s">
        <v>245</v>
      </c>
      <c r="F884" s="5" t="s">
        <v>254</v>
      </c>
      <c r="G884" s="5" t="s">
        <v>240</v>
      </c>
      <c r="H884" s="6" t="s">
        <v>557</v>
      </c>
      <c r="I884" s="5" t="s">
        <v>295</v>
      </c>
      <c r="J884" s="8">
        <f>179</f>
        <v>179</v>
      </c>
      <c r="K884" s="5" t="s">
        <v>308</v>
      </c>
      <c r="L884" s="7">
        <f>1</f>
        <v>1</v>
      </c>
      <c r="M884" s="7">
        <f>1</f>
        <v>1</v>
      </c>
      <c r="N884" s="5" t="s">
        <v>242</v>
      </c>
      <c r="O884" s="5">
        <v>1</v>
      </c>
      <c r="P884" s="5" t="s">
        <v>294</v>
      </c>
      <c r="Q884" s="5" t="s">
        <v>613</v>
      </c>
      <c r="R884" s="5" t="s">
        <v>240</v>
      </c>
      <c r="S884" s="5" t="s">
        <v>240</v>
      </c>
      <c r="T884" s="5" t="s">
        <v>243</v>
      </c>
      <c r="U884" s="5" t="s">
        <v>244</v>
      </c>
      <c r="V884" s="5" t="s">
        <v>240</v>
      </c>
      <c r="Y884" s="5" t="s">
        <v>240</v>
      </c>
      <c r="Z884" s="6" t="s">
        <v>298</v>
      </c>
      <c r="AB884" s="6" t="s">
        <v>240</v>
      </c>
      <c r="AE884" s="6" t="s">
        <v>299</v>
      </c>
      <c r="AF884" s="5" t="s">
        <v>248</v>
      </c>
      <c r="AG884" s="5" t="s">
        <v>249</v>
      </c>
      <c r="AW884" s="5" t="s">
        <v>251</v>
      </c>
      <c r="AX884" s="5" t="s">
        <v>240</v>
      </c>
      <c r="AY884" s="5" t="s">
        <v>253</v>
      </c>
      <c r="AZ884" s="5" t="s">
        <v>240</v>
      </c>
      <c r="BA884" s="5" t="s">
        <v>255</v>
      </c>
      <c r="BB884" s="5" t="s">
        <v>240</v>
      </c>
      <c r="BD884" s="5" t="s">
        <v>240</v>
      </c>
      <c r="BF884" s="5" t="s">
        <v>301</v>
      </c>
      <c r="BG884" s="6" t="s">
        <v>299</v>
      </c>
      <c r="BH884" s="5" t="s">
        <v>302</v>
      </c>
      <c r="BI884" s="5" t="s">
        <v>303</v>
      </c>
      <c r="BJ884" s="5" t="s">
        <v>240</v>
      </c>
      <c r="BK884" s="8">
        <f>0</f>
        <v>0</v>
      </c>
      <c r="BL884" s="7">
        <f>0</f>
        <v>0</v>
      </c>
      <c r="BM884" s="5" t="s">
        <v>258</v>
      </c>
      <c r="BN884" s="5" t="s">
        <v>259</v>
      </c>
      <c r="CB884" s="5" t="s">
        <v>240</v>
      </c>
      <c r="CC884" s="5" t="s">
        <v>240</v>
      </c>
      <c r="CG884" s="5" t="s">
        <v>617</v>
      </c>
      <c r="CH884" s="5" t="s">
        <v>305</v>
      </c>
      <c r="CI884" s="5" t="s">
        <v>240</v>
      </c>
      <c r="CL884" s="6" t="s">
        <v>261</v>
      </c>
      <c r="CM884" s="5" t="s">
        <v>240</v>
      </c>
      <c r="CN884" s="5" t="s">
        <v>263</v>
      </c>
      <c r="CO884" s="5" t="s">
        <v>240</v>
      </c>
      <c r="CP884" s="5" t="s">
        <v>240</v>
      </c>
      <c r="CQ884" s="5">
        <v>0</v>
      </c>
      <c r="CR884" s="5" t="s">
        <v>306</v>
      </c>
      <c r="CS884" s="5" t="s">
        <v>307</v>
      </c>
      <c r="CT884" s="5" t="s">
        <v>307</v>
      </c>
      <c r="CU884" s="5" t="s">
        <v>260</v>
      </c>
      <c r="CX884" s="7">
        <f>1014470</f>
        <v>1014470</v>
      </c>
      <c r="CY884" s="7">
        <f>0</f>
        <v>0</v>
      </c>
      <c r="DA884" s="7">
        <f>0</f>
        <v>0</v>
      </c>
      <c r="DC884" s="5" t="s">
        <v>689</v>
      </c>
      <c r="DD884" s="5" t="s">
        <v>240</v>
      </c>
      <c r="DF884" s="5" t="s">
        <v>689</v>
      </c>
      <c r="DG884" s="7">
        <f>458</f>
        <v>458</v>
      </c>
      <c r="DI884" s="5" t="s">
        <v>618</v>
      </c>
      <c r="DJ884" s="5" t="s">
        <v>240</v>
      </c>
      <c r="DK884" s="5" t="s">
        <v>240</v>
      </c>
      <c r="DL884" s="5" t="s">
        <v>240</v>
      </c>
      <c r="DP884" s="5" t="s">
        <v>240</v>
      </c>
      <c r="DQ884" s="5" t="s">
        <v>240</v>
      </c>
      <c r="DR884" s="5" t="s">
        <v>240</v>
      </c>
      <c r="DS884" s="5" t="s">
        <v>240</v>
      </c>
      <c r="DV884" s="5" t="s">
        <v>1890</v>
      </c>
      <c r="DW884" s="5" t="s">
        <v>818</v>
      </c>
      <c r="HO884" s="5" t="s">
        <v>312</v>
      </c>
    </row>
    <row r="885" spans="1:223" x14ac:dyDescent="0.4">
      <c r="A885" s="5">
        <v>2560</v>
      </c>
      <c r="B885" s="5">
        <v>1</v>
      </c>
      <c r="C885" s="5">
        <v>1</v>
      </c>
      <c r="D885" s="5" t="s">
        <v>297</v>
      </c>
      <c r="E885" s="5" t="s">
        <v>245</v>
      </c>
      <c r="F885" s="5" t="s">
        <v>254</v>
      </c>
      <c r="G885" s="5" t="s">
        <v>240</v>
      </c>
      <c r="H885" s="6" t="s">
        <v>555</v>
      </c>
      <c r="I885" s="5" t="s">
        <v>295</v>
      </c>
      <c r="J885" s="8">
        <f>5674</f>
        <v>5674</v>
      </c>
      <c r="K885" s="5" t="s">
        <v>308</v>
      </c>
      <c r="L885" s="7">
        <f>1</f>
        <v>1</v>
      </c>
      <c r="M885" s="7">
        <f>1</f>
        <v>1</v>
      </c>
      <c r="N885" s="5" t="s">
        <v>242</v>
      </c>
      <c r="O885" s="5">
        <v>1</v>
      </c>
      <c r="P885" s="5" t="s">
        <v>294</v>
      </c>
      <c r="Q885" s="5" t="s">
        <v>613</v>
      </c>
      <c r="R885" s="5" t="s">
        <v>240</v>
      </c>
      <c r="S885" s="5" t="s">
        <v>240</v>
      </c>
      <c r="T885" s="5" t="s">
        <v>243</v>
      </c>
      <c r="U885" s="5" t="s">
        <v>244</v>
      </c>
      <c r="V885" s="5" t="s">
        <v>240</v>
      </c>
      <c r="Y885" s="5" t="s">
        <v>240</v>
      </c>
      <c r="Z885" s="6" t="s">
        <v>298</v>
      </c>
      <c r="AB885" s="6" t="s">
        <v>240</v>
      </c>
      <c r="AE885" s="6" t="s">
        <v>299</v>
      </c>
      <c r="AF885" s="5" t="s">
        <v>248</v>
      </c>
      <c r="AG885" s="5" t="s">
        <v>249</v>
      </c>
      <c r="AW885" s="5" t="s">
        <v>251</v>
      </c>
      <c r="AX885" s="5" t="s">
        <v>240</v>
      </c>
      <c r="AY885" s="5" t="s">
        <v>253</v>
      </c>
      <c r="AZ885" s="5" t="s">
        <v>240</v>
      </c>
      <c r="BA885" s="5" t="s">
        <v>255</v>
      </c>
      <c r="BB885" s="5" t="s">
        <v>240</v>
      </c>
      <c r="BD885" s="5" t="s">
        <v>240</v>
      </c>
      <c r="BF885" s="5" t="s">
        <v>301</v>
      </c>
      <c r="BG885" s="6" t="s">
        <v>299</v>
      </c>
      <c r="BH885" s="5" t="s">
        <v>302</v>
      </c>
      <c r="BI885" s="5" t="s">
        <v>303</v>
      </c>
      <c r="BJ885" s="5" t="s">
        <v>240</v>
      </c>
      <c r="BK885" s="8">
        <f>0</f>
        <v>0</v>
      </c>
      <c r="BL885" s="7">
        <f>0</f>
        <v>0</v>
      </c>
      <c r="BM885" s="5" t="s">
        <v>258</v>
      </c>
      <c r="BN885" s="5" t="s">
        <v>259</v>
      </c>
      <c r="CB885" s="5" t="s">
        <v>240</v>
      </c>
      <c r="CC885" s="5" t="s">
        <v>240</v>
      </c>
      <c r="CG885" s="5" t="s">
        <v>617</v>
      </c>
      <c r="CH885" s="5" t="s">
        <v>305</v>
      </c>
      <c r="CI885" s="5" t="s">
        <v>240</v>
      </c>
      <c r="CL885" s="6" t="s">
        <v>261</v>
      </c>
      <c r="CM885" s="5" t="s">
        <v>240</v>
      </c>
      <c r="CN885" s="5" t="s">
        <v>263</v>
      </c>
      <c r="CO885" s="5" t="s">
        <v>240</v>
      </c>
      <c r="CP885" s="5" t="s">
        <v>240</v>
      </c>
      <c r="CQ885" s="5">
        <v>0</v>
      </c>
      <c r="CR885" s="5" t="s">
        <v>306</v>
      </c>
      <c r="CS885" s="5" t="s">
        <v>307</v>
      </c>
      <c r="CT885" s="5" t="s">
        <v>307</v>
      </c>
      <c r="CU885" s="5" t="s">
        <v>260</v>
      </c>
      <c r="CX885" s="7">
        <f>992320</f>
        <v>992320</v>
      </c>
      <c r="CY885" s="7">
        <f>0</f>
        <v>0</v>
      </c>
      <c r="DA885" s="7">
        <f>0</f>
        <v>0</v>
      </c>
      <c r="DC885" s="5" t="s">
        <v>689</v>
      </c>
      <c r="DD885" s="5" t="s">
        <v>240</v>
      </c>
      <c r="DF885" s="5" t="s">
        <v>689</v>
      </c>
      <c r="DG885" s="7">
        <f>448</f>
        <v>448</v>
      </c>
      <c r="DI885" s="5" t="s">
        <v>618</v>
      </c>
      <c r="DJ885" s="5" t="s">
        <v>240</v>
      </c>
      <c r="DK885" s="5" t="s">
        <v>240</v>
      </c>
      <c r="DL885" s="5" t="s">
        <v>240</v>
      </c>
      <c r="DP885" s="5" t="s">
        <v>240</v>
      </c>
      <c r="DQ885" s="5" t="s">
        <v>240</v>
      </c>
      <c r="DR885" s="5" t="s">
        <v>240</v>
      </c>
      <c r="DS885" s="5" t="s">
        <v>240</v>
      </c>
      <c r="DV885" s="5" t="s">
        <v>1890</v>
      </c>
      <c r="DW885" s="5" t="s">
        <v>820</v>
      </c>
      <c r="HO885" s="5" t="s">
        <v>312</v>
      </c>
    </row>
    <row r="886" spans="1:223" x14ac:dyDescent="0.4">
      <c r="A886" s="5">
        <v>2561</v>
      </c>
      <c r="B886" s="5">
        <v>1</v>
      </c>
      <c r="C886" s="5">
        <v>1</v>
      </c>
      <c r="D886" s="5" t="s">
        <v>297</v>
      </c>
      <c r="E886" s="5" t="s">
        <v>245</v>
      </c>
      <c r="F886" s="5" t="s">
        <v>254</v>
      </c>
      <c r="G886" s="5" t="s">
        <v>240</v>
      </c>
      <c r="H886" s="6" t="s">
        <v>553</v>
      </c>
      <c r="I886" s="5" t="s">
        <v>295</v>
      </c>
      <c r="J886" s="8">
        <f>5353</f>
        <v>5353</v>
      </c>
      <c r="K886" s="5" t="s">
        <v>308</v>
      </c>
      <c r="L886" s="7">
        <f>1</f>
        <v>1</v>
      </c>
      <c r="M886" s="7">
        <f>1</f>
        <v>1</v>
      </c>
      <c r="N886" s="5" t="s">
        <v>242</v>
      </c>
      <c r="O886" s="5">
        <v>1</v>
      </c>
      <c r="P886" s="5" t="s">
        <v>294</v>
      </c>
      <c r="Q886" s="5" t="s">
        <v>266</v>
      </c>
      <c r="R886" s="5" t="s">
        <v>240</v>
      </c>
      <c r="S886" s="5" t="s">
        <v>240</v>
      </c>
      <c r="T886" s="5" t="s">
        <v>243</v>
      </c>
      <c r="U886" s="5" t="s">
        <v>240</v>
      </c>
      <c r="V886" s="5" t="s">
        <v>240</v>
      </c>
      <c r="Y886" s="5" t="s">
        <v>240</v>
      </c>
      <c r="Z886" s="6" t="s">
        <v>444</v>
      </c>
      <c r="AB886" s="6" t="s">
        <v>240</v>
      </c>
      <c r="AE886" s="6" t="s">
        <v>1894</v>
      </c>
      <c r="AF886" s="5" t="s">
        <v>248</v>
      </c>
      <c r="AG886" s="5" t="s">
        <v>260</v>
      </c>
      <c r="AW886" s="5" t="s">
        <v>251</v>
      </c>
      <c r="AX886" s="5" t="s">
        <v>240</v>
      </c>
      <c r="AY886" s="5" t="s">
        <v>253</v>
      </c>
      <c r="AZ886" s="5" t="s">
        <v>240</v>
      </c>
      <c r="BA886" s="5" t="s">
        <v>255</v>
      </c>
      <c r="BB886" s="5" t="s">
        <v>240</v>
      </c>
      <c r="BD886" s="5" t="s">
        <v>240</v>
      </c>
      <c r="BF886" s="5" t="s">
        <v>447</v>
      </c>
      <c r="BG886" s="6" t="s">
        <v>444</v>
      </c>
      <c r="BH886" s="5" t="s">
        <v>302</v>
      </c>
      <c r="BI886" s="5" t="s">
        <v>448</v>
      </c>
      <c r="BJ886" s="5" t="s">
        <v>240</v>
      </c>
      <c r="BK886" s="8">
        <f>0</f>
        <v>0</v>
      </c>
      <c r="BL886" s="7">
        <f>0</f>
        <v>0</v>
      </c>
      <c r="BM886" s="5" t="s">
        <v>258</v>
      </c>
      <c r="BN886" s="5" t="s">
        <v>259</v>
      </c>
      <c r="CB886" s="5" t="s">
        <v>240</v>
      </c>
      <c r="CC886" s="5" t="s">
        <v>240</v>
      </c>
      <c r="CG886" s="5" t="s">
        <v>449</v>
      </c>
      <c r="CH886" s="5" t="s">
        <v>305</v>
      </c>
      <c r="CI886" s="5" t="s">
        <v>240</v>
      </c>
      <c r="CL886" s="6" t="s">
        <v>261</v>
      </c>
      <c r="CM886" s="5" t="s">
        <v>240</v>
      </c>
      <c r="CN886" s="5" t="s">
        <v>263</v>
      </c>
      <c r="CO886" s="5" t="s">
        <v>240</v>
      </c>
      <c r="CP886" s="5" t="s">
        <v>240</v>
      </c>
      <c r="CQ886" s="5">
        <v>0</v>
      </c>
      <c r="CR886" s="5" t="s">
        <v>306</v>
      </c>
      <c r="CS886" s="5" t="s">
        <v>307</v>
      </c>
      <c r="CT886" s="5" t="s">
        <v>307</v>
      </c>
      <c r="CU886" s="5" t="s">
        <v>260</v>
      </c>
      <c r="CX886" s="7">
        <f>3338042</f>
        <v>3338042</v>
      </c>
      <c r="CY886" s="7">
        <f>0</f>
        <v>0</v>
      </c>
      <c r="DA886" s="7">
        <f>0</f>
        <v>0</v>
      </c>
      <c r="DC886" s="5" t="s">
        <v>450</v>
      </c>
      <c r="DD886" s="5" t="s">
        <v>240</v>
      </c>
      <c r="DF886" s="5" t="s">
        <v>450</v>
      </c>
      <c r="DG886" s="7">
        <f>868.23</f>
        <v>868.23</v>
      </c>
      <c r="DI886" s="5" t="s">
        <v>240</v>
      </c>
      <c r="DJ886" s="5" t="s">
        <v>240</v>
      </c>
      <c r="DK886" s="5" t="s">
        <v>240</v>
      </c>
      <c r="DL886" s="5" t="s">
        <v>240</v>
      </c>
      <c r="DP886" s="5" t="s">
        <v>240</v>
      </c>
      <c r="DQ886" s="5" t="s">
        <v>240</v>
      </c>
      <c r="DR886" s="5" t="s">
        <v>240</v>
      </c>
      <c r="DS886" s="5" t="s">
        <v>240</v>
      </c>
      <c r="DV886" s="5" t="s">
        <v>310</v>
      </c>
      <c r="DW886" s="5" t="s">
        <v>1895</v>
      </c>
      <c r="HO886" s="5" t="s">
        <v>312</v>
      </c>
    </row>
    <row r="887" spans="1:223" x14ac:dyDescent="0.4">
      <c r="A887" s="5">
        <v>2562</v>
      </c>
      <c r="B887" s="5">
        <v>1</v>
      </c>
      <c r="C887" s="5">
        <v>1</v>
      </c>
      <c r="D887" s="5" t="s">
        <v>297</v>
      </c>
      <c r="E887" s="5" t="s">
        <v>245</v>
      </c>
      <c r="F887" s="5" t="s">
        <v>254</v>
      </c>
      <c r="G887" s="5" t="s">
        <v>240</v>
      </c>
      <c r="H887" s="6" t="s">
        <v>551</v>
      </c>
      <c r="I887" s="5" t="s">
        <v>295</v>
      </c>
      <c r="J887" s="8">
        <f>1597</f>
        <v>1597</v>
      </c>
      <c r="K887" s="5" t="s">
        <v>308</v>
      </c>
      <c r="L887" s="7">
        <f>1</f>
        <v>1</v>
      </c>
      <c r="M887" s="7">
        <f>1</f>
        <v>1</v>
      </c>
      <c r="N887" s="5" t="s">
        <v>242</v>
      </c>
      <c r="O887" s="5">
        <v>1</v>
      </c>
      <c r="P887" s="5" t="s">
        <v>294</v>
      </c>
      <c r="Q887" s="5" t="s">
        <v>613</v>
      </c>
      <c r="R887" s="5" t="s">
        <v>240</v>
      </c>
      <c r="S887" s="5" t="s">
        <v>240</v>
      </c>
      <c r="T887" s="5" t="s">
        <v>243</v>
      </c>
      <c r="U887" s="5" t="s">
        <v>244</v>
      </c>
      <c r="V887" s="5" t="s">
        <v>240</v>
      </c>
      <c r="Y887" s="5" t="s">
        <v>240</v>
      </c>
      <c r="Z887" s="6" t="s">
        <v>298</v>
      </c>
      <c r="AB887" s="6" t="s">
        <v>240</v>
      </c>
      <c r="AE887" s="6" t="s">
        <v>299</v>
      </c>
      <c r="AF887" s="5" t="s">
        <v>248</v>
      </c>
      <c r="AG887" s="5" t="s">
        <v>249</v>
      </c>
      <c r="AW887" s="5" t="s">
        <v>251</v>
      </c>
      <c r="AX887" s="5" t="s">
        <v>240</v>
      </c>
      <c r="AY887" s="5" t="s">
        <v>253</v>
      </c>
      <c r="AZ887" s="5" t="s">
        <v>240</v>
      </c>
      <c r="BA887" s="5" t="s">
        <v>255</v>
      </c>
      <c r="BB887" s="5" t="s">
        <v>240</v>
      </c>
      <c r="BD887" s="5" t="s">
        <v>240</v>
      </c>
      <c r="BF887" s="5" t="s">
        <v>301</v>
      </c>
      <c r="BG887" s="6" t="s">
        <v>299</v>
      </c>
      <c r="BH887" s="5" t="s">
        <v>302</v>
      </c>
      <c r="BI887" s="5" t="s">
        <v>303</v>
      </c>
      <c r="BJ887" s="5" t="s">
        <v>240</v>
      </c>
      <c r="BK887" s="8">
        <f>0</f>
        <v>0</v>
      </c>
      <c r="BL887" s="7">
        <f>0</f>
        <v>0</v>
      </c>
      <c r="BM887" s="5" t="s">
        <v>258</v>
      </c>
      <c r="BN887" s="5" t="s">
        <v>259</v>
      </c>
      <c r="CB887" s="5" t="s">
        <v>240</v>
      </c>
      <c r="CC887" s="5" t="s">
        <v>240</v>
      </c>
      <c r="CG887" s="5" t="s">
        <v>617</v>
      </c>
      <c r="CH887" s="5" t="s">
        <v>305</v>
      </c>
      <c r="CI887" s="5" t="s">
        <v>240</v>
      </c>
      <c r="CL887" s="6" t="s">
        <v>261</v>
      </c>
      <c r="CM887" s="5" t="s">
        <v>240</v>
      </c>
      <c r="CN887" s="5" t="s">
        <v>263</v>
      </c>
      <c r="CO887" s="5" t="s">
        <v>240</v>
      </c>
      <c r="CP887" s="5" t="s">
        <v>240</v>
      </c>
      <c r="CQ887" s="5">
        <v>0</v>
      </c>
      <c r="CR887" s="5" t="s">
        <v>306</v>
      </c>
      <c r="CS887" s="5" t="s">
        <v>307</v>
      </c>
      <c r="CT887" s="5" t="s">
        <v>307</v>
      </c>
      <c r="CU887" s="5" t="s">
        <v>260</v>
      </c>
      <c r="CX887" s="7">
        <f>3851885</f>
        <v>3851885</v>
      </c>
      <c r="CY887" s="7">
        <f>0</f>
        <v>0</v>
      </c>
      <c r="DA887" s="7">
        <f>0</f>
        <v>0</v>
      </c>
      <c r="DC887" s="5" t="s">
        <v>689</v>
      </c>
      <c r="DD887" s="5" t="s">
        <v>240</v>
      </c>
      <c r="DF887" s="5" t="s">
        <v>689</v>
      </c>
      <c r="DG887" s="7">
        <f>1739</f>
        <v>1739</v>
      </c>
      <c r="DI887" s="5" t="s">
        <v>618</v>
      </c>
      <c r="DJ887" s="5" t="s">
        <v>240</v>
      </c>
      <c r="DK887" s="5" t="s">
        <v>240</v>
      </c>
      <c r="DL887" s="5" t="s">
        <v>240</v>
      </c>
      <c r="DP887" s="5" t="s">
        <v>240</v>
      </c>
      <c r="DQ887" s="5" t="s">
        <v>240</v>
      </c>
      <c r="DR887" s="5" t="s">
        <v>240</v>
      </c>
      <c r="DS887" s="5" t="s">
        <v>240</v>
      </c>
      <c r="DV887" s="5" t="s">
        <v>1890</v>
      </c>
      <c r="DW887" s="5" t="s">
        <v>620</v>
      </c>
      <c r="HO887" s="5" t="s">
        <v>312</v>
      </c>
    </row>
    <row r="888" spans="1:223" x14ac:dyDescent="0.4">
      <c r="A888" s="5">
        <v>2563</v>
      </c>
      <c r="B888" s="5">
        <v>1</v>
      </c>
      <c r="C888" s="5">
        <v>1</v>
      </c>
      <c r="D888" s="5" t="s">
        <v>297</v>
      </c>
      <c r="E888" s="5" t="s">
        <v>245</v>
      </c>
      <c r="F888" s="5" t="s">
        <v>254</v>
      </c>
      <c r="G888" s="5" t="s">
        <v>240</v>
      </c>
      <c r="H888" s="6" t="s">
        <v>549</v>
      </c>
      <c r="I888" s="5" t="s">
        <v>295</v>
      </c>
      <c r="J888" s="8">
        <f>735</f>
        <v>735</v>
      </c>
      <c r="K888" s="5" t="s">
        <v>308</v>
      </c>
      <c r="L888" s="7">
        <f>1</f>
        <v>1</v>
      </c>
      <c r="M888" s="7">
        <f>1</f>
        <v>1</v>
      </c>
      <c r="N888" s="5" t="s">
        <v>242</v>
      </c>
      <c r="O888" s="5">
        <v>1</v>
      </c>
      <c r="P888" s="5" t="s">
        <v>294</v>
      </c>
      <c r="Q888" s="5" t="s">
        <v>613</v>
      </c>
      <c r="R888" s="5" t="s">
        <v>240</v>
      </c>
      <c r="S888" s="5" t="s">
        <v>240</v>
      </c>
      <c r="T888" s="5" t="s">
        <v>243</v>
      </c>
      <c r="U888" s="5" t="s">
        <v>244</v>
      </c>
      <c r="V888" s="5" t="s">
        <v>240</v>
      </c>
      <c r="Y888" s="5" t="s">
        <v>240</v>
      </c>
      <c r="Z888" s="6" t="s">
        <v>298</v>
      </c>
      <c r="AB888" s="6" t="s">
        <v>240</v>
      </c>
      <c r="AE888" s="6" t="s">
        <v>299</v>
      </c>
      <c r="AF888" s="5" t="s">
        <v>248</v>
      </c>
      <c r="AG888" s="5" t="s">
        <v>249</v>
      </c>
      <c r="AW888" s="5" t="s">
        <v>251</v>
      </c>
      <c r="AX888" s="5" t="s">
        <v>240</v>
      </c>
      <c r="AY888" s="5" t="s">
        <v>253</v>
      </c>
      <c r="AZ888" s="5" t="s">
        <v>240</v>
      </c>
      <c r="BA888" s="5" t="s">
        <v>255</v>
      </c>
      <c r="BB888" s="5" t="s">
        <v>240</v>
      </c>
      <c r="BD888" s="5" t="s">
        <v>240</v>
      </c>
      <c r="BF888" s="5" t="s">
        <v>301</v>
      </c>
      <c r="BG888" s="6" t="s">
        <v>299</v>
      </c>
      <c r="BH888" s="5" t="s">
        <v>302</v>
      </c>
      <c r="BI888" s="5" t="s">
        <v>303</v>
      </c>
      <c r="BJ888" s="5" t="s">
        <v>240</v>
      </c>
      <c r="BK888" s="8">
        <f>0</f>
        <v>0</v>
      </c>
      <c r="BL888" s="7">
        <f>0</f>
        <v>0</v>
      </c>
      <c r="BM888" s="5" t="s">
        <v>258</v>
      </c>
      <c r="BN888" s="5" t="s">
        <v>259</v>
      </c>
      <c r="CB888" s="5" t="s">
        <v>240</v>
      </c>
      <c r="CC888" s="5" t="s">
        <v>240</v>
      </c>
      <c r="CG888" s="5" t="s">
        <v>617</v>
      </c>
      <c r="CH888" s="5" t="s">
        <v>305</v>
      </c>
      <c r="CI888" s="5" t="s">
        <v>240</v>
      </c>
      <c r="CL888" s="6" t="s">
        <v>261</v>
      </c>
      <c r="CM888" s="5" t="s">
        <v>240</v>
      </c>
      <c r="CN888" s="5" t="s">
        <v>263</v>
      </c>
      <c r="CO888" s="5" t="s">
        <v>240</v>
      </c>
      <c r="CP888" s="5" t="s">
        <v>240</v>
      </c>
      <c r="CQ888" s="5">
        <v>0</v>
      </c>
      <c r="CR888" s="5" t="s">
        <v>306</v>
      </c>
      <c r="CS888" s="5" t="s">
        <v>307</v>
      </c>
      <c r="CT888" s="5" t="s">
        <v>307</v>
      </c>
      <c r="CU888" s="5" t="s">
        <v>260</v>
      </c>
      <c r="CX888" s="7">
        <f>4582835</f>
        <v>4582835</v>
      </c>
      <c r="CY888" s="7">
        <f>0</f>
        <v>0</v>
      </c>
      <c r="DA888" s="7">
        <f>0</f>
        <v>0</v>
      </c>
      <c r="DC888" s="5" t="s">
        <v>689</v>
      </c>
      <c r="DD888" s="5" t="s">
        <v>240</v>
      </c>
      <c r="DF888" s="5" t="s">
        <v>737</v>
      </c>
      <c r="DG888" s="7">
        <f>2069</f>
        <v>2069</v>
      </c>
      <c r="DI888" s="5" t="s">
        <v>618</v>
      </c>
      <c r="DJ888" s="5" t="s">
        <v>240</v>
      </c>
      <c r="DK888" s="5" t="s">
        <v>240</v>
      </c>
      <c r="DL888" s="5" t="s">
        <v>240</v>
      </c>
      <c r="DP888" s="5" t="s">
        <v>240</v>
      </c>
      <c r="DQ888" s="5" t="s">
        <v>240</v>
      </c>
      <c r="DR888" s="5" t="s">
        <v>240</v>
      </c>
      <c r="DS888" s="5" t="s">
        <v>240</v>
      </c>
      <c r="DV888" s="5" t="s">
        <v>1890</v>
      </c>
      <c r="DW888" s="5" t="s">
        <v>621</v>
      </c>
      <c r="HO888" s="5" t="s">
        <v>312</v>
      </c>
    </row>
    <row r="889" spans="1:223" x14ac:dyDescent="0.4">
      <c r="A889" s="5">
        <v>2564</v>
      </c>
      <c r="B889" s="5">
        <v>1</v>
      </c>
      <c r="C889" s="5">
        <v>1</v>
      </c>
      <c r="D889" s="5" t="s">
        <v>297</v>
      </c>
      <c r="E889" s="5" t="s">
        <v>245</v>
      </c>
      <c r="F889" s="5" t="s">
        <v>254</v>
      </c>
      <c r="G889" s="5" t="s">
        <v>240</v>
      </c>
      <c r="H889" s="6" t="s">
        <v>547</v>
      </c>
      <c r="I889" s="5" t="s">
        <v>295</v>
      </c>
      <c r="J889" s="8">
        <f>2847</f>
        <v>2847</v>
      </c>
      <c r="K889" s="5" t="s">
        <v>308</v>
      </c>
      <c r="L889" s="7">
        <f>1</f>
        <v>1</v>
      </c>
      <c r="M889" s="7">
        <f>1</f>
        <v>1</v>
      </c>
      <c r="N889" s="5" t="s">
        <v>242</v>
      </c>
      <c r="O889" s="5">
        <v>1</v>
      </c>
      <c r="P889" s="5" t="s">
        <v>294</v>
      </c>
      <c r="Q889" s="5" t="s">
        <v>613</v>
      </c>
      <c r="R889" s="5" t="s">
        <v>240</v>
      </c>
      <c r="S889" s="5" t="s">
        <v>240</v>
      </c>
      <c r="T889" s="5" t="s">
        <v>243</v>
      </c>
      <c r="U889" s="5" t="s">
        <v>244</v>
      </c>
      <c r="V889" s="5" t="s">
        <v>240</v>
      </c>
      <c r="Y889" s="5" t="s">
        <v>240</v>
      </c>
      <c r="Z889" s="6" t="s">
        <v>298</v>
      </c>
      <c r="AB889" s="6" t="s">
        <v>240</v>
      </c>
      <c r="AE889" s="6" t="s">
        <v>299</v>
      </c>
      <c r="AF889" s="5" t="s">
        <v>248</v>
      </c>
      <c r="AG889" s="5" t="s">
        <v>249</v>
      </c>
      <c r="AW889" s="5" t="s">
        <v>251</v>
      </c>
      <c r="AX889" s="5" t="s">
        <v>240</v>
      </c>
      <c r="AY889" s="5" t="s">
        <v>253</v>
      </c>
      <c r="AZ889" s="5" t="s">
        <v>240</v>
      </c>
      <c r="BA889" s="5" t="s">
        <v>255</v>
      </c>
      <c r="BB889" s="5" t="s">
        <v>240</v>
      </c>
      <c r="BD889" s="5" t="s">
        <v>686</v>
      </c>
      <c r="BF889" s="5" t="s">
        <v>301</v>
      </c>
      <c r="BG889" s="6" t="s">
        <v>299</v>
      </c>
      <c r="BH889" s="5" t="s">
        <v>302</v>
      </c>
      <c r="BI889" s="5" t="s">
        <v>303</v>
      </c>
      <c r="BJ889" s="5" t="s">
        <v>240</v>
      </c>
      <c r="BK889" s="8">
        <f>0</f>
        <v>0</v>
      </c>
      <c r="BL889" s="7">
        <f>0</f>
        <v>0</v>
      </c>
      <c r="BM889" s="5" t="s">
        <v>258</v>
      </c>
      <c r="BN889" s="5" t="s">
        <v>259</v>
      </c>
      <c r="CB889" s="5" t="s">
        <v>240</v>
      </c>
      <c r="CC889" s="5" t="s">
        <v>240</v>
      </c>
      <c r="CG889" s="5" t="s">
        <v>617</v>
      </c>
      <c r="CH889" s="5" t="s">
        <v>305</v>
      </c>
      <c r="CI889" s="5" t="s">
        <v>240</v>
      </c>
      <c r="CL889" s="6" t="s">
        <v>261</v>
      </c>
      <c r="CM889" s="5" t="s">
        <v>240</v>
      </c>
      <c r="CN889" s="5" t="s">
        <v>263</v>
      </c>
      <c r="CO889" s="5" t="s">
        <v>240</v>
      </c>
      <c r="CP889" s="5" t="s">
        <v>240</v>
      </c>
      <c r="CQ889" s="5">
        <v>0</v>
      </c>
      <c r="CR889" s="5" t="s">
        <v>306</v>
      </c>
      <c r="CS889" s="5" t="s">
        <v>307</v>
      </c>
      <c r="CT889" s="5" t="s">
        <v>307</v>
      </c>
      <c r="CU889" s="5" t="s">
        <v>260</v>
      </c>
      <c r="CX889" s="7">
        <f>24593145</f>
        <v>24593145</v>
      </c>
      <c r="CY889" s="7">
        <f>0</f>
        <v>0</v>
      </c>
      <c r="DA889" s="7">
        <f>0</f>
        <v>0</v>
      </c>
      <c r="DC889" s="5" t="s">
        <v>689</v>
      </c>
      <c r="DD889" s="5" t="s">
        <v>240</v>
      </c>
      <c r="DF889" s="5" t="s">
        <v>689</v>
      </c>
      <c r="DG889" s="7">
        <f>11103</f>
        <v>11103</v>
      </c>
      <c r="DI889" s="5" t="s">
        <v>618</v>
      </c>
      <c r="DJ889" s="5" t="s">
        <v>240</v>
      </c>
      <c r="DK889" s="5" t="s">
        <v>240</v>
      </c>
      <c r="DL889" s="5" t="s">
        <v>240</v>
      </c>
      <c r="DP889" s="5" t="s">
        <v>240</v>
      </c>
      <c r="DQ889" s="5" t="s">
        <v>240</v>
      </c>
      <c r="DR889" s="5" t="s">
        <v>240</v>
      </c>
      <c r="DS889" s="5" t="s">
        <v>240</v>
      </c>
      <c r="DV889" s="5" t="s">
        <v>1890</v>
      </c>
      <c r="DW889" s="5" t="s">
        <v>312</v>
      </c>
      <c r="HO889" s="5" t="s">
        <v>312</v>
      </c>
    </row>
    <row r="890" spans="1:223" x14ac:dyDescent="0.4">
      <c r="A890" s="5">
        <v>2565</v>
      </c>
      <c r="B890" s="5">
        <v>1</v>
      </c>
      <c r="C890" s="5">
        <v>1</v>
      </c>
      <c r="D890" s="5" t="s">
        <v>297</v>
      </c>
      <c r="E890" s="5" t="s">
        <v>245</v>
      </c>
      <c r="F890" s="5" t="s">
        <v>254</v>
      </c>
      <c r="G890" s="5" t="s">
        <v>240</v>
      </c>
      <c r="H890" s="6" t="s">
        <v>545</v>
      </c>
      <c r="I890" s="5" t="s">
        <v>295</v>
      </c>
      <c r="J890" s="8">
        <f>174</f>
        <v>174</v>
      </c>
      <c r="K890" s="5" t="s">
        <v>308</v>
      </c>
      <c r="L890" s="7">
        <f>1</f>
        <v>1</v>
      </c>
      <c r="M890" s="7">
        <f>1</f>
        <v>1</v>
      </c>
      <c r="N890" s="5" t="s">
        <v>242</v>
      </c>
      <c r="O890" s="5">
        <v>1</v>
      </c>
      <c r="P890" s="5" t="s">
        <v>294</v>
      </c>
      <c r="Q890" s="5" t="s">
        <v>613</v>
      </c>
      <c r="R890" s="5" t="s">
        <v>240</v>
      </c>
      <c r="S890" s="5" t="s">
        <v>240</v>
      </c>
      <c r="T890" s="5" t="s">
        <v>243</v>
      </c>
      <c r="U890" s="5" t="s">
        <v>244</v>
      </c>
      <c r="V890" s="5" t="s">
        <v>240</v>
      </c>
      <c r="Y890" s="5" t="s">
        <v>240</v>
      </c>
      <c r="Z890" s="6" t="s">
        <v>298</v>
      </c>
      <c r="AB890" s="6" t="s">
        <v>240</v>
      </c>
      <c r="AE890" s="6" t="s">
        <v>299</v>
      </c>
      <c r="AF890" s="5" t="s">
        <v>248</v>
      </c>
      <c r="AG890" s="5" t="s">
        <v>249</v>
      </c>
      <c r="AW890" s="5" t="s">
        <v>251</v>
      </c>
      <c r="AX890" s="5" t="s">
        <v>240</v>
      </c>
      <c r="AY890" s="5" t="s">
        <v>253</v>
      </c>
      <c r="AZ890" s="5" t="s">
        <v>240</v>
      </c>
      <c r="BA890" s="5" t="s">
        <v>255</v>
      </c>
      <c r="BB890" s="5" t="s">
        <v>240</v>
      </c>
      <c r="BD890" s="5" t="s">
        <v>686</v>
      </c>
      <c r="BF890" s="5" t="s">
        <v>301</v>
      </c>
      <c r="BG890" s="6" t="s">
        <v>299</v>
      </c>
      <c r="BH890" s="5" t="s">
        <v>302</v>
      </c>
      <c r="BI890" s="5" t="s">
        <v>303</v>
      </c>
      <c r="BJ890" s="5" t="s">
        <v>240</v>
      </c>
      <c r="BK890" s="8">
        <f>0</f>
        <v>0</v>
      </c>
      <c r="BL890" s="7">
        <f>0</f>
        <v>0</v>
      </c>
      <c r="BM890" s="5" t="s">
        <v>258</v>
      </c>
      <c r="BN890" s="5" t="s">
        <v>259</v>
      </c>
      <c r="CB890" s="5" t="s">
        <v>240</v>
      </c>
      <c r="CC890" s="5" t="s">
        <v>240</v>
      </c>
      <c r="CG890" s="5" t="s">
        <v>617</v>
      </c>
      <c r="CH890" s="5" t="s">
        <v>305</v>
      </c>
      <c r="CI890" s="5" t="s">
        <v>240</v>
      </c>
      <c r="CL890" s="6" t="s">
        <v>261</v>
      </c>
      <c r="CM890" s="5" t="s">
        <v>240</v>
      </c>
      <c r="CN890" s="5" t="s">
        <v>263</v>
      </c>
      <c r="CO890" s="5" t="s">
        <v>240</v>
      </c>
      <c r="CP890" s="5" t="s">
        <v>240</v>
      </c>
      <c r="CQ890" s="5">
        <v>0</v>
      </c>
      <c r="CR890" s="5" t="s">
        <v>306</v>
      </c>
      <c r="CS890" s="5" t="s">
        <v>307</v>
      </c>
      <c r="CT890" s="5" t="s">
        <v>307</v>
      </c>
      <c r="CU890" s="5" t="s">
        <v>260</v>
      </c>
      <c r="CX890" s="7">
        <f>24376075</f>
        <v>24376075</v>
      </c>
      <c r="CY890" s="7">
        <f>0</f>
        <v>0</v>
      </c>
      <c r="DA890" s="7">
        <f>0</f>
        <v>0</v>
      </c>
      <c r="DC890" s="5" t="s">
        <v>689</v>
      </c>
      <c r="DD890" s="5" t="s">
        <v>240</v>
      </c>
      <c r="DF890" s="5" t="s">
        <v>689</v>
      </c>
      <c r="DG890" s="7">
        <f>11005</f>
        <v>11005</v>
      </c>
      <c r="DI890" s="5" t="s">
        <v>618</v>
      </c>
      <c r="DJ890" s="5" t="s">
        <v>240</v>
      </c>
      <c r="DK890" s="5" t="s">
        <v>240</v>
      </c>
      <c r="DL890" s="5" t="s">
        <v>240</v>
      </c>
      <c r="DP890" s="5" t="s">
        <v>240</v>
      </c>
      <c r="DQ890" s="5" t="s">
        <v>240</v>
      </c>
      <c r="DR890" s="5" t="s">
        <v>240</v>
      </c>
      <c r="DS890" s="5" t="s">
        <v>240</v>
      </c>
      <c r="DV890" s="5" t="s">
        <v>1902</v>
      </c>
      <c r="DW890" s="5" t="s">
        <v>312</v>
      </c>
      <c r="HO890" s="5" t="s">
        <v>312</v>
      </c>
    </row>
    <row r="891" spans="1:223" x14ac:dyDescent="0.4">
      <c r="A891" s="5">
        <v>2566</v>
      </c>
      <c r="B891" s="5">
        <v>1</v>
      </c>
      <c r="C891" s="5">
        <v>1</v>
      </c>
      <c r="D891" s="5" t="s">
        <v>297</v>
      </c>
      <c r="E891" s="5" t="s">
        <v>245</v>
      </c>
      <c r="F891" s="5" t="s">
        <v>254</v>
      </c>
      <c r="G891" s="5" t="s">
        <v>240</v>
      </c>
      <c r="H891" s="6" t="s">
        <v>543</v>
      </c>
      <c r="I891" s="5" t="s">
        <v>295</v>
      </c>
      <c r="J891" s="8">
        <f>2190</f>
        <v>2190</v>
      </c>
      <c r="K891" s="5" t="s">
        <v>308</v>
      </c>
      <c r="L891" s="7">
        <f>1</f>
        <v>1</v>
      </c>
      <c r="M891" s="7">
        <f>1</f>
        <v>1</v>
      </c>
      <c r="N891" s="5" t="s">
        <v>242</v>
      </c>
      <c r="O891" s="5">
        <v>1</v>
      </c>
      <c r="P891" s="5" t="s">
        <v>294</v>
      </c>
      <c r="Q891" s="5" t="s">
        <v>613</v>
      </c>
      <c r="R891" s="5" t="s">
        <v>240</v>
      </c>
      <c r="S891" s="5" t="s">
        <v>240</v>
      </c>
      <c r="T891" s="5" t="s">
        <v>243</v>
      </c>
      <c r="U891" s="5" t="s">
        <v>244</v>
      </c>
      <c r="V891" s="5" t="s">
        <v>240</v>
      </c>
      <c r="Y891" s="5" t="s">
        <v>240</v>
      </c>
      <c r="Z891" s="6" t="s">
        <v>298</v>
      </c>
      <c r="AB891" s="6" t="s">
        <v>240</v>
      </c>
      <c r="AE891" s="6" t="s">
        <v>299</v>
      </c>
      <c r="AF891" s="5" t="s">
        <v>248</v>
      </c>
      <c r="AG891" s="5" t="s">
        <v>249</v>
      </c>
      <c r="AW891" s="5" t="s">
        <v>251</v>
      </c>
      <c r="AX891" s="5" t="s">
        <v>240</v>
      </c>
      <c r="AY891" s="5" t="s">
        <v>253</v>
      </c>
      <c r="AZ891" s="5" t="s">
        <v>240</v>
      </c>
      <c r="BA891" s="5" t="s">
        <v>255</v>
      </c>
      <c r="BB891" s="5" t="s">
        <v>240</v>
      </c>
      <c r="BD891" s="5" t="s">
        <v>240</v>
      </c>
      <c r="BF891" s="5" t="s">
        <v>301</v>
      </c>
      <c r="BG891" s="6" t="s">
        <v>299</v>
      </c>
      <c r="BH891" s="5" t="s">
        <v>302</v>
      </c>
      <c r="BI891" s="5" t="s">
        <v>303</v>
      </c>
      <c r="BJ891" s="5" t="s">
        <v>240</v>
      </c>
      <c r="BK891" s="8">
        <f>0</f>
        <v>0</v>
      </c>
      <c r="BL891" s="7">
        <f>0</f>
        <v>0</v>
      </c>
      <c r="BM891" s="5" t="s">
        <v>258</v>
      </c>
      <c r="BN891" s="5" t="s">
        <v>259</v>
      </c>
      <c r="CB891" s="5" t="s">
        <v>240</v>
      </c>
      <c r="CC891" s="5" t="s">
        <v>240</v>
      </c>
      <c r="CG891" s="5" t="s">
        <v>617</v>
      </c>
      <c r="CH891" s="5" t="s">
        <v>305</v>
      </c>
      <c r="CI891" s="5" t="s">
        <v>240</v>
      </c>
      <c r="CL891" s="6" t="s">
        <v>261</v>
      </c>
      <c r="CM891" s="5" t="s">
        <v>240</v>
      </c>
      <c r="CN891" s="5" t="s">
        <v>263</v>
      </c>
      <c r="CO891" s="5" t="s">
        <v>240</v>
      </c>
      <c r="CP891" s="5" t="s">
        <v>240</v>
      </c>
      <c r="CQ891" s="5">
        <v>0</v>
      </c>
      <c r="CR891" s="5" t="s">
        <v>306</v>
      </c>
      <c r="CS891" s="5" t="s">
        <v>307</v>
      </c>
      <c r="CT891" s="5" t="s">
        <v>307</v>
      </c>
      <c r="CU891" s="5" t="s">
        <v>260</v>
      </c>
      <c r="CX891" s="7">
        <f>4392345</f>
        <v>4392345</v>
      </c>
      <c r="CY891" s="7">
        <f>0</f>
        <v>0</v>
      </c>
      <c r="DA891" s="7">
        <f>0</f>
        <v>0</v>
      </c>
      <c r="DC891" s="5" t="s">
        <v>689</v>
      </c>
      <c r="DD891" s="5" t="s">
        <v>240</v>
      </c>
      <c r="DF891" s="5" t="s">
        <v>689</v>
      </c>
      <c r="DG891" s="7">
        <f>1983</f>
        <v>1983</v>
      </c>
      <c r="DI891" s="5" t="s">
        <v>618</v>
      </c>
      <c r="DJ891" s="5" t="s">
        <v>240</v>
      </c>
      <c r="DK891" s="5" t="s">
        <v>240</v>
      </c>
      <c r="DL891" s="5" t="s">
        <v>240</v>
      </c>
      <c r="DP891" s="5" t="s">
        <v>240</v>
      </c>
      <c r="DQ891" s="5" t="s">
        <v>240</v>
      </c>
      <c r="DR891" s="5" t="s">
        <v>240</v>
      </c>
      <c r="DS891" s="5" t="s">
        <v>240</v>
      </c>
      <c r="DV891" s="5" t="s">
        <v>1906</v>
      </c>
      <c r="DW891" s="5" t="s">
        <v>816</v>
      </c>
      <c r="HO891" s="5" t="s">
        <v>312</v>
      </c>
    </row>
    <row r="892" spans="1:223" x14ac:dyDescent="0.4">
      <c r="A892" s="5">
        <v>2567</v>
      </c>
      <c r="B892" s="5">
        <v>1</v>
      </c>
      <c r="C892" s="5">
        <v>1</v>
      </c>
      <c r="D892" s="5" t="s">
        <v>297</v>
      </c>
      <c r="E892" s="5" t="s">
        <v>245</v>
      </c>
      <c r="F892" s="5" t="s">
        <v>254</v>
      </c>
      <c r="G892" s="5" t="s">
        <v>240</v>
      </c>
      <c r="H892" s="6" t="s">
        <v>541</v>
      </c>
      <c r="I892" s="5" t="s">
        <v>295</v>
      </c>
      <c r="J892" s="8">
        <f>149</f>
        <v>149</v>
      </c>
      <c r="K892" s="5" t="s">
        <v>308</v>
      </c>
      <c r="L892" s="7">
        <f>1</f>
        <v>1</v>
      </c>
      <c r="M892" s="7">
        <f>1</f>
        <v>1</v>
      </c>
      <c r="N892" s="5" t="s">
        <v>242</v>
      </c>
      <c r="O892" s="5">
        <v>1</v>
      </c>
      <c r="P892" s="5" t="s">
        <v>294</v>
      </c>
      <c r="Q892" s="5" t="s">
        <v>613</v>
      </c>
      <c r="R892" s="5" t="s">
        <v>240</v>
      </c>
      <c r="S892" s="5" t="s">
        <v>240</v>
      </c>
      <c r="T892" s="5" t="s">
        <v>243</v>
      </c>
      <c r="U892" s="5" t="s">
        <v>244</v>
      </c>
      <c r="V892" s="5" t="s">
        <v>240</v>
      </c>
      <c r="Y892" s="5" t="s">
        <v>240</v>
      </c>
      <c r="Z892" s="6" t="s">
        <v>298</v>
      </c>
      <c r="AB892" s="6" t="s">
        <v>240</v>
      </c>
      <c r="AE892" s="6" t="s">
        <v>299</v>
      </c>
      <c r="AF892" s="5" t="s">
        <v>248</v>
      </c>
      <c r="AG892" s="5" t="s">
        <v>249</v>
      </c>
      <c r="AW892" s="5" t="s">
        <v>251</v>
      </c>
      <c r="AX892" s="5" t="s">
        <v>240</v>
      </c>
      <c r="AY892" s="5" t="s">
        <v>253</v>
      </c>
      <c r="AZ892" s="5" t="s">
        <v>240</v>
      </c>
      <c r="BA892" s="5" t="s">
        <v>255</v>
      </c>
      <c r="BB892" s="5" t="s">
        <v>240</v>
      </c>
      <c r="BD892" s="5" t="s">
        <v>240</v>
      </c>
      <c r="BF892" s="5" t="s">
        <v>301</v>
      </c>
      <c r="BG892" s="6" t="s">
        <v>299</v>
      </c>
      <c r="BH892" s="5" t="s">
        <v>302</v>
      </c>
      <c r="BI892" s="5" t="s">
        <v>303</v>
      </c>
      <c r="BJ892" s="5" t="s">
        <v>240</v>
      </c>
      <c r="BK892" s="8">
        <f>0</f>
        <v>0</v>
      </c>
      <c r="BL892" s="7">
        <f>0</f>
        <v>0</v>
      </c>
      <c r="BM892" s="5" t="s">
        <v>258</v>
      </c>
      <c r="BN892" s="5" t="s">
        <v>259</v>
      </c>
      <c r="CB892" s="5" t="s">
        <v>240</v>
      </c>
      <c r="CC892" s="5" t="s">
        <v>240</v>
      </c>
      <c r="CG892" s="5" t="s">
        <v>617</v>
      </c>
      <c r="CH892" s="5" t="s">
        <v>305</v>
      </c>
      <c r="CI892" s="5" t="s">
        <v>240</v>
      </c>
      <c r="CL892" s="6" t="s">
        <v>261</v>
      </c>
      <c r="CM892" s="5" t="s">
        <v>240</v>
      </c>
      <c r="CN892" s="5" t="s">
        <v>263</v>
      </c>
      <c r="CO892" s="5" t="s">
        <v>240</v>
      </c>
      <c r="CP892" s="5" t="s">
        <v>240</v>
      </c>
      <c r="CQ892" s="5">
        <v>0</v>
      </c>
      <c r="CR892" s="5" t="s">
        <v>306</v>
      </c>
      <c r="CS892" s="5" t="s">
        <v>307</v>
      </c>
      <c r="CT892" s="5" t="s">
        <v>307</v>
      </c>
      <c r="CU892" s="5" t="s">
        <v>260</v>
      </c>
      <c r="CX892" s="7">
        <f>2908295</f>
        <v>2908295</v>
      </c>
      <c r="CY892" s="7">
        <f>0</f>
        <v>0</v>
      </c>
      <c r="DA892" s="7">
        <f>0</f>
        <v>0</v>
      </c>
      <c r="DC892" s="5" t="s">
        <v>689</v>
      </c>
      <c r="DD892" s="5" t="s">
        <v>240</v>
      </c>
      <c r="DF892" s="5" t="s">
        <v>689</v>
      </c>
      <c r="DG892" s="7">
        <f>1313</f>
        <v>1313</v>
      </c>
      <c r="DI892" s="5" t="s">
        <v>618</v>
      </c>
      <c r="DJ892" s="5" t="s">
        <v>240</v>
      </c>
      <c r="DK892" s="5" t="s">
        <v>240</v>
      </c>
      <c r="DL892" s="5" t="s">
        <v>240</v>
      </c>
      <c r="DP892" s="5" t="s">
        <v>240</v>
      </c>
      <c r="DQ892" s="5" t="s">
        <v>240</v>
      </c>
      <c r="DR892" s="5" t="s">
        <v>240</v>
      </c>
      <c r="DS892" s="5" t="s">
        <v>240</v>
      </c>
      <c r="DV892" s="5" t="s">
        <v>1906</v>
      </c>
      <c r="DW892" s="5" t="s">
        <v>818</v>
      </c>
      <c r="HO892" s="5" t="s">
        <v>312</v>
      </c>
    </row>
    <row r="893" spans="1:223" x14ac:dyDescent="0.4">
      <c r="A893" s="5">
        <v>2568</v>
      </c>
      <c r="B893" s="5">
        <v>1</v>
      </c>
      <c r="C893" s="5">
        <v>1</v>
      </c>
      <c r="D893" s="5" t="s">
        <v>297</v>
      </c>
      <c r="E893" s="5" t="s">
        <v>245</v>
      </c>
      <c r="F893" s="5" t="s">
        <v>254</v>
      </c>
      <c r="G893" s="5" t="s">
        <v>240</v>
      </c>
      <c r="H893" s="6" t="s">
        <v>539</v>
      </c>
      <c r="I893" s="5" t="s">
        <v>295</v>
      </c>
      <c r="J893" s="8">
        <f>1116</f>
        <v>1116</v>
      </c>
      <c r="K893" s="5" t="s">
        <v>308</v>
      </c>
      <c r="L893" s="7">
        <f>1</f>
        <v>1</v>
      </c>
      <c r="M893" s="7">
        <f>1</f>
        <v>1</v>
      </c>
      <c r="N893" s="5" t="s">
        <v>242</v>
      </c>
      <c r="O893" s="5">
        <v>1</v>
      </c>
      <c r="P893" s="5" t="s">
        <v>294</v>
      </c>
      <c r="Q893" s="5" t="s">
        <v>613</v>
      </c>
      <c r="R893" s="5" t="s">
        <v>240</v>
      </c>
      <c r="S893" s="5" t="s">
        <v>240</v>
      </c>
      <c r="T893" s="5" t="s">
        <v>243</v>
      </c>
      <c r="U893" s="5" t="s">
        <v>244</v>
      </c>
      <c r="V893" s="5" t="s">
        <v>240</v>
      </c>
      <c r="Y893" s="5" t="s">
        <v>240</v>
      </c>
      <c r="Z893" s="6" t="s">
        <v>298</v>
      </c>
      <c r="AB893" s="6" t="s">
        <v>240</v>
      </c>
      <c r="AE893" s="6" t="s">
        <v>299</v>
      </c>
      <c r="AF893" s="5" t="s">
        <v>248</v>
      </c>
      <c r="AG893" s="5" t="s">
        <v>249</v>
      </c>
      <c r="AW893" s="5" t="s">
        <v>251</v>
      </c>
      <c r="AX893" s="5" t="s">
        <v>240</v>
      </c>
      <c r="AY893" s="5" t="s">
        <v>253</v>
      </c>
      <c r="AZ893" s="5" t="s">
        <v>240</v>
      </c>
      <c r="BA893" s="5" t="s">
        <v>255</v>
      </c>
      <c r="BB893" s="5" t="s">
        <v>240</v>
      </c>
      <c r="BD893" s="5" t="s">
        <v>240</v>
      </c>
      <c r="BF893" s="5" t="s">
        <v>301</v>
      </c>
      <c r="BG893" s="6" t="s">
        <v>299</v>
      </c>
      <c r="BH893" s="5" t="s">
        <v>302</v>
      </c>
      <c r="BI893" s="5" t="s">
        <v>303</v>
      </c>
      <c r="BJ893" s="5" t="s">
        <v>240</v>
      </c>
      <c r="BK893" s="8">
        <f>0</f>
        <v>0</v>
      </c>
      <c r="BL893" s="7">
        <f>0</f>
        <v>0</v>
      </c>
      <c r="BM893" s="5" t="s">
        <v>258</v>
      </c>
      <c r="BN893" s="5" t="s">
        <v>259</v>
      </c>
      <c r="CB893" s="5" t="s">
        <v>240</v>
      </c>
      <c r="CC893" s="5" t="s">
        <v>240</v>
      </c>
      <c r="CG893" s="5" t="s">
        <v>617</v>
      </c>
      <c r="CH893" s="5" t="s">
        <v>305</v>
      </c>
      <c r="CI893" s="5" t="s">
        <v>240</v>
      </c>
      <c r="CL893" s="6" t="s">
        <v>261</v>
      </c>
      <c r="CM893" s="5" t="s">
        <v>240</v>
      </c>
      <c r="CN893" s="5" t="s">
        <v>263</v>
      </c>
      <c r="CO893" s="5" t="s">
        <v>240</v>
      </c>
      <c r="CP893" s="5" t="s">
        <v>240</v>
      </c>
      <c r="CQ893" s="5">
        <v>0</v>
      </c>
      <c r="CR893" s="5" t="s">
        <v>306</v>
      </c>
      <c r="CS893" s="5" t="s">
        <v>307</v>
      </c>
      <c r="CT893" s="5" t="s">
        <v>307</v>
      </c>
      <c r="CU893" s="5" t="s">
        <v>260</v>
      </c>
      <c r="CX893" s="7">
        <f>2664645</f>
        <v>2664645</v>
      </c>
      <c r="CY893" s="7">
        <f>0</f>
        <v>0</v>
      </c>
      <c r="DA893" s="7">
        <f>0</f>
        <v>0</v>
      </c>
      <c r="DC893" s="5" t="s">
        <v>689</v>
      </c>
      <c r="DD893" s="5" t="s">
        <v>240</v>
      </c>
      <c r="DF893" s="5" t="s">
        <v>689</v>
      </c>
      <c r="DG893" s="7">
        <f>1203</f>
        <v>1203</v>
      </c>
      <c r="DI893" s="5" t="s">
        <v>618</v>
      </c>
      <c r="DJ893" s="5" t="s">
        <v>240</v>
      </c>
      <c r="DK893" s="5" t="s">
        <v>240</v>
      </c>
      <c r="DL893" s="5" t="s">
        <v>240</v>
      </c>
      <c r="DP893" s="5" t="s">
        <v>240</v>
      </c>
      <c r="DQ893" s="5" t="s">
        <v>240</v>
      </c>
      <c r="DR893" s="5" t="s">
        <v>240</v>
      </c>
      <c r="DS893" s="5" t="s">
        <v>240</v>
      </c>
      <c r="DV893" s="5" t="s">
        <v>1906</v>
      </c>
      <c r="DW893" s="5" t="s">
        <v>820</v>
      </c>
      <c r="HO893" s="5" t="s">
        <v>312</v>
      </c>
    </row>
    <row r="894" spans="1:223" x14ac:dyDescent="0.4">
      <c r="A894" s="5">
        <v>2569</v>
      </c>
      <c r="B894" s="5">
        <v>1</v>
      </c>
      <c r="C894" s="5">
        <v>1</v>
      </c>
      <c r="D894" s="5" t="s">
        <v>297</v>
      </c>
      <c r="E894" s="5" t="s">
        <v>245</v>
      </c>
      <c r="F894" s="5" t="s">
        <v>254</v>
      </c>
      <c r="G894" s="5" t="s">
        <v>240</v>
      </c>
      <c r="H894" s="6" t="s">
        <v>537</v>
      </c>
      <c r="I894" s="5" t="s">
        <v>295</v>
      </c>
      <c r="J894" s="8">
        <f>68</f>
        <v>68</v>
      </c>
      <c r="K894" s="5" t="s">
        <v>308</v>
      </c>
      <c r="L894" s="7">
        <f>1</f>
        <v>1</v>
      </c>
      <c r="M894" s="7">
        <f>1</f>
        <v>1</v>
      </c>
      <c r="N894" s="5" t="s">
        <v>242</v>
      </c>
      <c r="O894" s="5">
        <v>1</v>
      </c>
      <c r="P894" s="5" t="s">
        <v>294</v>
      </c>
      <c r="Q894" s="5" t="s">
        <v>613</v>
      </c>
      <c r="R894" s="5" t="s">
        <v>240</v>
      </c>
      <c r="S894" s="5" t="s">
        <v>240</v>
      </c>
      <c r="T894" s="5" t="s">
        <v>243</v>
      </c>
      <c r="U894" s="5" t="s">
        <v>244</v>
      </c>
      <c r="V894" s="5" t="s">
        <v>240</v>
      </c>
      <c r="Y894" s="5" t="s">
        <v>240</v>
      </c>
      <c r="Z894" s="6" t="s">
        <v>298</v>
      </c>
      <c r="AB894" s="6" t="s">
        <v>240</v>
      </c>
      <c r="AE894" s="6" t="s">
        <v>299</v>
      </c>
      <c r="AF894" s="5" t="s">
        <v>248</v>
      </c>
      <c r="AG894" s="5" t="s">
        <v>249</v>
      </c>
      <c r="AW894" s="5" t="s">
        <v>251</v>
      </c>
      <c r="AX894" s="5" t="s">
        <v>240</v>
      </c>
      <c r="AY894" s="5" t="s">
        <v>253</v>
      </c>
      <c r="AZ894" s="5" t="s">
        <v>240</v>
      </c>
      <c r="BA894" s="5" t="s">
        <v>255</v>
      </c>
      <c r="BB894" s="5" t="s">
        <v>240</v>
      </c>
      <c r="BD894" s="5" t="s">
        <v>240</v>
      </c>
      <c r="BF894" s="5" t="s">
        <v>301</v>
      </c>
      <c r="BG894" s="6" t="s">
        <v>299</v>
      </c>
      <c r="BH894" s="5" t="s">
        <v>302</v>
      </c>
      <c r="BI894" s="5" t="s">
        <v>303</v>
      </c>
      <c r="BJ894" s="5" t="s">
        <v>240</v>
      </c>
      <c r="BK894" s="8">
        <f>0</f>
        <v>0</v>
      </c>
      <c r="BL894" s="7">
        <f>0</f>
        <v>0</v>
      </c>
      <c r="BM894" s="5" t="s">
        <v>258</v>
      </c>
      <c r="BN894" s="5" t="s">
        <v>259</v>
      </c>
      <c r="CB894" s="5" t="s">
        <v>240</v>
      </c>
      <c r="CC894" s="5" t="s">
        <v>240</v>
      </c>
      <c r="CG894" s="5" t="s">
        <v>617</v>
      </c>
      <c r="CH894" s="5" t="s">
        <v>305</v>
      </c>
      <c r="CI894" s="5" t="s">
        <v>240</v>
      </c>
      <c r="CL894" s="6" t="s">
        <v>261</v>
      </c>
      <c r="CM894" s="5" t="s">
        <v>240</v>
      </c>
      <c r="CN894" s="5" t="s">
        <v>263</v>
      </c>
      <c r="CO894" s="5" t="s">
        <v>240</v>
      </c>
      <c r="CP894" s="5" t="s">
        <v>240</v>
      </c>
      <c r="CQ894" s="5">
        <v>0</v>
      </c>
      <c r="CR894" s="5" t="s">
        <v>306</v>
      </c>
      <c r="CS894" s="5" t="s">
        <v>307</v>
      </c>
      <c r="CT894" s="5" t="s">
        <v>307</v>
      </c>
      <c r="CU894" s="5" t="s">
        <v>260</v>
      </c>
      <c r="CX894" s="7">
        <f>3893970</f>
        <v>3893970</v>
      </c>
      <c r="CY894" s="7">
        <f>0</f>
        <v>0</v>
      </c>
      <c r="DA894" s="7">
        <f>0</f>
        <v>0</v>
      </c>
      <c r="DC894" s="5" t="s">
        <v>689</v>
      </c>
      <c r="DD894" s="5" t="s">
        <v>240</v>
      </c>
      <c r="DF894" s="5" t="s">
        <v>689</v>
      </c>
      <c r="DG894" s="7">
        <f>1758</f>
        <v>1758</v>
      </c>
      <c r="DI894" s="5" t="s">
        <v>618</v>
      </c>
      <c r="DJ894" s="5" t="s">
        <v>240</v>
      </c>
      <c r="DK894" s="5" t="s">
        <v>240</v>
      </c>
      <c r="DL894" s="5" t="s">
        <v>240</v>
      </c>
      <c r="DP894" s="5" t="s">
        <v>240</v>
      </c>
      <c r="DQ894" s="5" t="s">
        <v>240</v>
      </c>
      <c r="DR894" s="5" t="s">
        <v>240</v>
      </c>
      <c r="DS894" s="5" t="s">
        <v>240</v>
      </c>
      <c r="DV894" s="5" t="s">
        <v>1906</v>
      </c>
      <c r="DW894" s="5" t="s">
        <v>691</v>
      </c>
      <c r="HO894" s="5" t="s">
        <v>312</v>
      </c>
    </row>
    <row r="895" spans="1:223" x14ac:dyDescent="0.4">
      <c r="A895" s="5">
        <v>2570</v>
      </c>
      <c r="B895" s="5">
        <v>1</v>
      </c>
      <c r="C895" s="5">
        <v>1</v>
      </c>
      <c r="D895" s="5" t="s">
        <v>297</v>
      </c>
      <c r="E895" s="5" t="s">
        <v>245</v>
      </c>
      <c r="F895" s="5" t="s">
        <v>254</v>
      </c>
      <c r="G895" s="5" t="s">
        <v>240</v>
      </c>
      <c r="H895" s="6" t="s">
        <v>535</v>
      </c>
      <c r="I895" s="5" t="s">
        <v>295</v>
      </c>
      <c r="J895" s="8">
        <f>203</f>
        <v>203</v>
      </c>
      <c r="K895" s="5" t="s">
        <v>308</v>
      </c>
      <c r="L895" s="7">
        <f>1</f>
        <v>1</v>
      </c>
      <c r="M895" s="7">
        <f>1</f>
        <v>1</v>
      </c>
      <c r="N895" s="5" t="s">
        <v>242</v>
      </c>
      <c r="O895" s="5">
        <v>1</v>
      </c>
      <c r="P895" s="5" t="s">
        <v>294</v>
      </c>
      <c r="Q895" s="5" t="s">
        <v>613</v>
      </c>
      <c r="R895" s="5" t="s">
        <v>240</v>
      </c>
      <c r="S895" s="5" t="s">
        <v>240</v>
      </c>
      <c r="T895" s="5" t="s">
        <v>243</v>
      </c>
      <c r="U895" s="5" t="s">
        <v>244</v>
      </c>
      <c r="V895" s="5" t="s">
        <v>240</v>
      </c>
      <c r="Y895" s="5" t="s">
        <v>240</v>
      </c>
      <c r="Z895" s="6" t="s">
        <v>298</v>
      </c>
      <c r="AB895" s="6" t="s">
        <v>240</v>
      </c>
      <c r="AE895" s="6" t="s">
        <v>299</v>
      </c>
      <c r="AF895" s="5" t="s">
        <v>248</v>
      </c>
      <c r="AG895" s="5" t="s">
        <v>249</v>
      </c>
      <c r="AW895" s="5" t="s">
        <v>251</v>
      </c>
      <c r="AX895" s="5" t="s">
        <v>240</v>
      </c>
      <c r="AY895" s="5" t="s">
        <v>253</v>
      </c>
      <c r="AZ895" s="5" t="s">
        <v>240</v>
      </c>
      <c r="BA895" s="5" t="s">
        <v>255</v>
      </c>
      <c r="BB895" s="5" t="s">
        <v>240</v>
      </c>
      <c r="BD895" s="5" t="s">
        <v>240</v>
      </c>
      <c r="BF895" s="5" t="s">
        <v>301</v>
      </c>
      <c r="BG895" s="6" t="s">
        <v>299</v>
      </c>
      <c r="BH895" s="5" t="s">
        <v>302</v>
      </c>
      <c r="BI895" s="5" t="s">
        <v>303</v>
      </c>
      <c r="BJ895" s="5" t="s">
        <v>240</v>
      </c>
      <c r="BK895" s="8">
        <f>0</f>
        <v>0</v>
      </c>
      <c r="BL895" s="7">
        <f>0</f>
        <v>0</v>
      </c>
      <c r="BM895" s="5" t="s">
        <v>258</v>
      </c>
      <c r="BN895" s="5" t="s">
        <v>259</v>
      </c>
      <c r="CB895" s="5" t="s">
        <v>240</v>
      </c>
      <c r="CC895" s="5" t="s">
        <v>240</v>
      </c>
      <c r="CG895" s="5" t="s">
        <v>617</v>
      </c>
      <c r="CH895" s="5" t="s">
        <v>305</v>
      </c>
      <c r="CI895" s="5" t="s">
        <v>240</v>
      </c>
      <c r="CL895" s="6" t="s">
        <v>261</v>
      </c>
      <c r="CM895" s="5" t="s">
        <v>240</v>
      </c>
      <c r="CN895" s="5" t="s">
        <v>263</v>
      </c>
      <c r="CO895" s="5" t="s">
        <v>240</v>
      </c>
      <c r="CP895" s="5" t="s">
        <v>240</v>
      </c>
      <c r="CQ895" s="5">
        <v>0</v>
      </c>
      <c r="CR895" s="5" t="s">
        <v>306</v>
      </c>
      <c r="CS895" s="5" t="s">
        <v>307</v>
      </c>
      <c r="CT895" s="5" t="s">
        <v>307</v>
      </c>
      <c r="CU895" s="5" t="s">
        <v>260</v>
      </c>
      <c r="CX895" s="7">
        <f>6959530</f>
        <v>6959530</v>
      </c>
      <c r="CY895" s="7">
        <f>0</f>
        <v>0</v>
      </c>
      <c r="DA895" s="7">
        <f>0</f>
        <v>0</v>
      </c>
      <c r="DC895" s="5" t="s">
        <v>689</v>
      </c>
      <c r="DD895" s="5" t="s">
        <v>240</v>
      </c>
      <c r="DF895" s="5" t="s">
        <v>689</v>
      </c>
      <c r="DG895" s="7">
        <f>3142</f>
        <v>3142</v>
      </c>
      <c r="DH895" s="6" t="s">
        <v>1911</v>
      </c>
      <c r="DI895" s="5" t="s">
        <v>618</v>
      </c>
      <c r="DJ895" s="5" t="s">
        <v>240</v>
      </c>
      <c r="DK895" s="5" t="s">
        <v>240</v>
      </c>
      <c r="DL895" s="5" t="s">
        <v>240</v>
      </c>
      <c r="DP895" s="5" t="s">
        <v>240</v>
      </c>
      <c r="DQ895" s="5" t="s">
        <v>240</v>
      </c>
      <c r="DR895" s="5" t="s">
        <v>240</v>
      </c>
      <c r="DS895" s="5" t="s">
        <v>240</v>
      </c>
      <c r="DV895" s="5" t="s">
        <v>1906</v>
      </c>
      <c r="DW895" s="5" t="s">
        <v>620</v>
      </c>
      <c r="HO895" s="5" t="s">
        <v>312</v>
      </c>
    </row>
    <row r="896" spans="1:223" x14ac:dyDescent="0.4">
      <c r="A896" s="5">
        <v>2571</v>
      </c>
      <c r="B896" s="5">
        <v>1</v>
      </c>
      <c r="C896" s="5">
        <v>1</v>
      </c>
      <c r="D896" s="5" t="s">
        <v>297</v>
      </c>
      <c r="E896" s="5" t="s">
        <v>245</v>
      </c>
      <c r="F896" s="5" t="s">
        <v>254</v>
      </c>
      <c r="G896" s="5" t="s">
        <v>240</v>
      </c>
      <c r="H896" s="6" t="s">
        <v>533</v>
      </c>
      <c r="I896" s="5" t="s">
        <v>295</v>
      </c>
      <c r="J896" s="8">
        <f>10</f>
        <v>10</v>
      </c>
      <c r="K896" s="5" t="s">
        <v>308</v>
      </c>
      <c r="L896" s="7">
        <f>1</f>
        <v>1</v>
      </c>
      <c r="M896" s="7">
        <f>1</f>
        <v>1</v>
      </c>
      <c r="N896" s="5" t="s">
        <v>242</v>
      </c>
      <c r="O896" s="5">
        <v>1</v>
      </c>
      <c r="P896" s="5" t="s">
        <v>294</v>
      </c>
      <c r="Q896" s="5" t="s">
        <v>613</v>
      </c>
      <c r="R896" s="5" t="s">
        <v>240</v>
      </c>
      <c r="S896" s="5" t="s">
        <v>240</v>
      </c>
      <c r="T896" s="5" t="s">
        <v>243</v>
      </c>
      <c r="U896" s="5" t="s">
        <v>244</v>
      </c>
      <c r="V896" s="5" t="s">
        <v>240</v>
      </c>
      <c r="Y896" s="5" t="s">
        <v>240</v>
      </c>
      <c r="Z896" s="6" t="s">
        <v>298</v>
      </c>
      <c r="AB896" s="6" t="s">
        <v>240</v>
      </c>
      <c r="AE896" s="6" t="s">
        <v>299</v>
      </c>
      <c r="AF896" s="5" t="s">
        <v>248</v>
      </c>
      <c r="AG896" s="5" t="s">
        <v>249</v>
      </c>
      <c r="AW896" s="5" t="s">
        <v>251</v>
      </c>
      <c r="AX896" s="5" t="s">
        <v>240</v>
      </c>
      <c r="AY896" s="5" t="s">
        <v>253</v>
      </c>
      <c r="AZ896" s="5" t="s">
        <v>240</v>
      </c>
      <c r="BA896" s="5" t="s">
        <v>255</v>
      </c>
      <c r="BB896" s="5" t="s">
        <v>240</v>
      </c>
      <c r="BD896" s="5" t="s">
        <v>240</v>
      </c>
      <c r="BF896" s="5" t="s">
        <v>301</v>
      </c>
      <c r="BG896" s="6" t="s">
        <v>299</v>
      </c>
      <c r="BH896" s="5" t="s">
        <v>302</v>
      </c>
      <c r="BI896" s="5" t="s">
        <v>303</v>
      </c>
      <c r="BJ896" s="5" t="s">
        <v>240</v>
      </c>
      <c r="BK896" s="8">
        <f>0</f>
        <v>0</v>
      </c>
      <c r="BL896" s="7">
        <f>0</f>
        <v>0</v>
      </c>
      <c r="BM896" s="5" t="s">
        <v>258</v>
      </c>
      <c r="BN896" s="5" t="s">
        <v>259</v>
      </c>
      <c r="CB896" s="5" t="s">
        <v>240</v>
      </c>
      <c r="CC896" s="5" t="s">
        <v>240</v>
      </c>
      <c r="CG896" s="5" t="s">
        <v>617</v>
      </c>
      <c r="CH896" s="5" t="s">
        <v>305</v>
      </c>
      <c r="CI896" s="5" t="s">
        <v>240</v>
      </c>
      <c r="CL896" s="6" t="s">
        <v>261</v>
      </c>
      <c r="CM896" s="5" t="s">
        <v>240</v>
      </c>
      <c r="CN896" s="5" t="s">
        <v>263</v>
      </c>
      <c r="CO896" s="5" t="s">
        <v>240</v>
      </c>
      <c r="CP896" s="5" t="s">
        <v>240</v>
      </c>
      <c r="CQ896" s="5">
        <v>0</v>
      </c>
      <c r="CR896" s="5" t="s">
        <v>306</v>
      </c>
      <c r="CS896" s="5" t="s">
        <v>307</v>
      </c>
      <c r="CT896" s="5" t="s">
        <v>307</v>
      </c>
      <c r="CU896" s="5" t="s">
        <v>260</v>
      </c>
      <c r="CX896" s="7">
        <f>2239365</f>
        <v>2239365</v>
      </c>
      <c r="CY896" s="7">
        <f>0</f>
        <v>0</v>
      </c>
      <c r="DA896" s="7">
        <f>0</f>
        <v>0</v>
      </c>
      <c r="DC896" s="5" t="s">
        <v>689</v>
      </c>
      <c r="DD896" s="5" t="s">
        <v>240</v>
      </c>
      <c r="DF896" s="5" t="s">
        <v>689</v>
      </c>
      <c r="DG896" s="7">
        <f>1011</f>
        <v>1011</v>
      </c>
      <c r="DI896" s="5" t="s">
        <v>618</v>
      </c>
      <c r="DJ896" s="5" t="s">
        <v>240</v>
      </c>
      <c r="DK896" s="5" t="s">
        <v>240</v>
      </c>
      <c r="DL896" s="5" t="s">
        <v>240</v>
      </c>
      <c r="DP896" s="5" t="s">
        <v>240</v>
      </c>
      <c r="DQ896" s="5" t="s">
        <v>240</v>
      </c>
      <c r="DR896" s="5" t="s">
        <v>240</v>
      </c>
      <c r="DS896" s="5" t="s">
        <v>240</v>
      </c>
      <c r="DV896" s="5" t="s">
        <v>1906</v>
      </c>
      <c r="DW896" s="5" t="s">
        <v>621</v>
      </c>
      <c r="HO896" s="5" t="s">
        <v>312</v>
      </c>
    </row>
    <row r="897" spans="1:240" x14ac:dyDescent="0.4">
      <c r="A897" s="5">
        <v>2572</v>
      </c>
      <c r="B897" s="5">
        <v>1</v>
      </c>
      <c r="C897" s="5">
        <v>1</v>
      </c>
      <c r="D897" s="5" t="s">
        <v>297</v>
      </c>
      <c r="E897" s="5" t="s">
        <v>245</v>
      </c>
      <c r="F897" s="5" t="s">
        <v>254</v>
      </c>
      <c r="G897" s="5" t="s">
        <v>240</v>
      </c>
      <c r="H897" s="6" t="s">
        <v>531</v>
      </c>
      <c r="I897" s="5" t="s">
        <v>295</v>
      </c>
      <c r="J897" s="8">
        <f>128</f>
        <v>128</v>
      </c>
      <c r="K897" s="5" t="s">
        <v>308</v>
      </c>
      <c r="L897" s="7">
        <f>1</f>
        <v>1</v>
      </c>
      <c r="M897" s="7">
        <f>1</f>
        <v>1</v>
      </c>
      <c r="N897" s="5" t="s">
        <v>242</v>
      </c>
      <c r="O897" s="5">
        <v>1</v>
      </c>
      <c r="P897" s="5" t="s">
        <v>294</v>
      </c>
      <c r="Q897" s="5" t="s">
        <v>613</v>
      </c>
      <c r="R897" s="5" t="s">
        <v>240</v>
      </c>
      <c r="S897" s="5" t="s">
        <v>240</v>
      </c>
      <c r="T897" s="5" t="s">
        <v>243</v>
      </c>
      <c r="U897" s="5" t="s">
        <v>244</v>
      </c>
      <c r="V897" s="5" t="s">
        <v>240</v>
      </c>
      <c r="Y897" s="5" t="s">
        <v>240</v>
      </c>
      <c r="Z897" s="6" t="s">
        <v>298</v>
      </c>
      <c r="AB897" s="6" t="s">
        <v>240</v>
      </c>
      <c r="AE897" s="6" t="s">
        <v>299</v>
      </c>
      <c r="AF897" s="5" t="s">
        <v>248</v>
      </c>
      <c r="AG897" s="5" t="s">
        <v>249</v>
      </c>
      <c r="AW897" s="5" t="s">
        <v>251</v>
      </c>
      <c r="AX897" s="5" t="s">
        <v>240</v>
      </c>
      <c r="AY897" s="5" t="s">
        <v>253</v>
      </c>
      <c r="AZ897" s="5" t="s">
        <v>240</v>
      </c>
      <c r="BA897" s="5" t="s">
        <v>255</v>
      </c>
      <c r="BB897" s="5" t="s">
        <v>240</v>
      </c>
      <c r="BD897" s="5" t="s">
        <v>686</v>
      </c>
      <c r="BF897" s="5" t="s">
        <v>301</v>
      </c>
      <c r="BG897" s="6" t="s">
        <v>299</v>
      </c>
      <c r="BH897" s="5" t="s">
        <v>302</v>
      </c>
      <c r="BI897" s="5" t="s">
        <v>303</v>
      </c>
      <c r="BJ897" s="5" t="s">
        <v>240</v>
      </c>
      <c r="BK897" s="8">
        <f>0</f>
        <v>0</v>
      </c>
      <c r="BL897" s="7">
        <f>0</f>
        <v>0</v>
      </c>
      <c r="BM897" s="5" t="s">
        <v>258</v>
      </c>
      <c r="BN897" s="5" t="s">
        <v>259</v>
      </c>
      <c r="CB897" s="5" t="s">
        <v>240</v>
      </c>
      <c r="CC897" s="5" t="s">
        <v>240</v>
      </c>
      <c r="CG897" s="5" t="s">
        <v>617</v>
      </c>
      <c r="CH897" s="5" t="s">
        <v>305</v>
      </c>
      <c r="CI897" s="5" t="s">
        <v>240</v>
      </c>
      <c r="CL897" s="6" t="s">
        <v>261</v>
      </c>
      <c r="CM897" s="5" t="s">
        <v>240</v>
      </c>
      <c r="CN897" s="5" t="s">
        <v>263</v>
      </c>
      <c r="CO897" s="5" t="s">
        <v>240</v>
      </c>
      <c r="CP897" s="5" t="s">
        <v>240</v>
      </c>
      <c r="CQ897" s="5">
        <v>0</v>
      </c>
      <c r="CR897" s="5" t="s">
        <v>306</v>
      </c>
      <c r="CS897" s="5" t="s">
        <v>307</v>
      </c>
      <c r="CT897" s="5" t="s">
        <v>307</v>
      </c>
      <c r="CU897" s="5" t="s">
        <v>260</v>
      </c>
      <c r="CX897" s="7">
        <f>241435</f>
        <v>241435</v>
      </c>
      <c r="CY897" s="7">
        <f>0</f>
        <v>0</v>
      </c>
      <c r="DA897" s="7">
        <f>0</f>
        <v>0</v>
      </c>
      <c r="DC897" s="5" t="s">
        <v>689</v>
      </c>
      <c r="DD897" s="5" t="s">
        <v>240</v>
      </c>
      <c r="DF897" s="5" t="s">
        <v>689</v>
      </c>
      <c r="DG897" s="7">
        <f>109</f>
        <v>109</v>
      </c>
      <c r="DI897" s="5" t="s">
        <v>618</v>
      </c>
      <c r="DJ897" s="5" t="s">
        <v>240</v>
      </c>
      <c r="DK897" s="5" t="s">
        <v>240</v>
      </c>
      <c r="DL897" s="5" t="s">
        <v>240</v>
      </c>
      <c r="DP897" s="5" t="s">
        <v>240</v>
      </c>
      <c r="DQ897" s="5" t="s">
        <v>240</v>
      </c>
      <c r="DR897" s="5" t="s">
        <v>240</v>
      </c>
      <c r="DS897" s="5" t="s">
        <v>240</v>
      </c>
      <c r="DV897" s="5" t="s">
        <v>1906</v>
      </c>
      <c r="DW897" s="5" t="s">
        <v>312</v>
      </c>
      <c r="HO897" s="5" t="s">
        <v>312</v>
      </c>
    </row>
    <row r="898" spans="1:240" x14ac:dyDescent="0.4">
      <c r="A898" s="5">
        <v>2573</v>
      </c>
      <c r="B898" s="5">
        <v>1</v>
      </c>
      <c r="C898" s="5">
        <v>1</v>
      </c>
      <c r="D898" s="5" t="s">
        <v>297</v>
      </c>
      <c r="E898" s="5" t="s">
        <v>245</v>
      </c>
      <c r="F898" s="5" t="s">
        <v>254</v>
      </c>
      <c r="G898" s="5" t="s">
        <v>240</v>
      </c>
      <c r="H898" s="6" t="s">
        <v>529</v>
      </c>
      <c r="I898" s="5" t="s">
        <v>295</v>
      </c>
      <c r="J898" s="8">
        <f>339</f>
        <v>339</v>
      </c>
      <c r="K898" s="5" t="s">
        <v>308</v>
      </c>
      <c r="L898" s="7">
        <f>1</f>
        <v>1</v>
      </c>
      <c r="M898" s="7">
        <f>1</f>
        <v>1</v>
      </c>
      <c r="N898" s="5" t="s">
        <v>242</v>
      </c>
      <c r="O898" s="5">
        <v>1</v>
      </c>
      <c r="P898" s="5" t="s">
        <v>294</v>
      </c>
      <c r="Q898" s="5" t="s">
        <v>613</v>
      </c>
      <c r="R898" s="5" t="s">
        <v>240</v>
      </c>
      <c r="S898" s="5" t="s">
        <v>240</v>
      </c>
      <c r="T898" s="5" t="s">
        <v>243</v>
      </c>
      <c r="U898" s="5" t="s">
        <v>244</v>
      </c>
      <c r="V898" s="5" t="s">
        <v>240</v>
      </c>
      <c r="Y898" s="5" t="s">
        <v>240</v>
      </c>
      <c r="Z898" s="6" t="s">
        <v>298</v>
      </c>
      <c r="AB898" s="6" t="s">
        <v>240</v>
      </c>
      <c r="AE898" s="6" t="s">
        <v>299</v>
      </c>
      <c r="AF898" s="5" t="s">
        <v>248</v>
      </c>
      <c r="AG898" s="5" t="s">
        <v>249</v>
      </c>
      <c r="AW898" s="5" t="s">
        <v>251</v>
      </c>
      <c r="AX898" s="5" t="s">
        <v>240</v>
      </c>
      <c r="AY898" s="5" t="s">
        <v>253</v>
      </c>
      <c r="AZ898" s="5" t="s">
        <v>240</v>
      </c>
      <c r="BA898" s="5" t="s">
        <v>255</v>
      </c>
      <c r="BB898" s="5" t="s">
        <v>240</v>
      </c>
      <c r="BD898" s="5" t="s">
        <v>686</v>
      </c>
      <c r="BF898" s="5" t="s">
        <v>301</v>
      </c>
      <c r="BG898" s="6" t="s">
        <v>299</v>
      </c>
      <c r="BH898" s="5" t="s">
        <v>302</v>
      </c>
      <c r="BI898" s="5" t="s">
        <v>303</v>
      </c>
      <c r="BJ898" s="5" t="s">
        <v>240</v>
      </c>
      <c r="BK898" s="8">
        <f>0</f>
        <v>0</v>
      </c>
      <c r="BL898" s="7">
        <f>0</f>
        <v>0</v>
      </c>
      <c r="BM898" s="5" t="s">
        <v>258</v>
      </c>
      <c r="BN898" s="5" t="s">
        <v>259</v>
      </c>
      <c r="CB898" s="5" t="s">
        <v>240</v>
      </c>
      <c r="CC898" s="5" t="s">
        <v>240</v>
      </c>
      <c r="CG898" s="5" t="s">
        <v>617</v>
      </c>
      <c r="CH898" s="5" t="s">
        <v>305</v>
      </c>
      <c r="CI898" s="5" t="s">
        <v>240</v>
      </c>
      <c r="CL898" s="6" t="s">
        <v>261</v>
      </c>
      <c r="CM898" s="5" t="s">
        <v>240</v>
      </c>
      <c r="CN898" s="5" t="s">
        <v>263</v>
      </c>
      <c r="CO898" s="5" t="s">
        <v>240</v>
      </c>
      <c r="CP898" s="5" t="s">
        <v>240</v>
      </c>
      <c r="CQ898" s="5">
        <v>0</v>
      </c>
      <c r="CR898" s="5" t="s">
        <v>306</v>
      </c>
      <c r="CS898" s="5" t="s">
        <v>307</v>
      </c>
      <c r="CT898" s="5" t="s">
        <v>307</v>
      </c>
      <c r="CU898" s="5" t="s">
        <v>260</v>
      </c>
      <c r="CX898" s="7">
        <f>23257943</f>
        <v>23257943</v>
      </c>
      <c r="CY898" s="7">
        <f>0</f>
        <v>0</v>
      </c>
      <c r="DA898" s="7">
        <f>0</f>
        <v>0</v>
      </c>
      <c r="DC898" s="5" t="s">
        <v>689</v>
      </c>
      <c r="DD898" s="5" t="s">
        <v>240</v>
      </c>
      <c r="DF898" s="5" t="s">
        <v>689</v>
      </c>
      <c r="DG898" s="7">
        <f>10500</f>
        <v>10500</v>
      </c>
      <c r="DI898" s="5" t="s">
        <v>618</v>
      </c>
      <c r="DJ898" s="5" t="s">
        <v>240</v>
      </c>
      <c r="DK898" s="5" t="s">
        <v>240</v>
      </c>
      <c r="DL898" s="5" t="s">
        <v>240</v>
      </c>
      <c r="DP898" s="5" t="s">
        <v>240</v>
      </c>
      <c r="DQ898" s="5" t="s">
        <v>240</v>
      </c>
      <c r="DR898" s="5" t="s">
        <v>240</v>
      </c>
      <c r="DS898" s="5" t="s">
        <v>240</v>
      </c>
      <c r="DV898" s="5" t="s">
        <v>1917</v>
      </c>
      <c r="DW898" s="5" t="s">
        <v>312</v>
      </c>
      <c r="HO898" s="5" t="s">
        <v>312</v>
      </c>
    </row>
    <row r="899" spans="1:240" x14ac:dyDescent="0.4">
      <c r="A899" s="5">
        <v>2574</v>
      </c>
      <c r="B899" s="5">
        <v>1</v>
      </c>
      <c r="C899" s="5">
        <v>1</v>
      </c>
      <c r="D899" s="5" t="s">
        <v>297</v>
      </c>
      <c r="E899" s="5" t="s">
        <v>245</v>
      </c>
      <c r="F899" s="5" t="s">
        <v>254</v>
      </c>
      <c r="G899" s="5" t="s">
        <v>240</v>
      </c>
      <c r="H899" s="6" t="s">
        <v>527</v>
      </c>
      <c r="I899" s="5" t="s">
        <v>295</v>
      </c>
      <c r="J899" s="8">
        <f>638</f>
        <v>638</v>
      </c>
      <c r="K899" s="5" t="s">
        <v>308</v>
      </c>
      <c r="L899" s="7">
        <f>1</f>
        <v>1</v>
      </c>
      <c r="M899" s="7">
        <f>1</f>
        <v>1</v>
      </c>
      <c r="N899" s="5" t="s">
        <v>242</v>
      </c>
      <c r="O899" s="5">
        <v>1</v>
      </c>
      <c r="P899" s="5" t="s">
        <v>294</v>
      </c>
      <c r="Q899" s="5" t="s">
        <v>613</v>
      </c>
      <c r="R899" s="5" t="s">
        <v>240</v>
      </c>
      <c r="S899" s="5" t="s">
        <v>240</v>
      </c>
      <c r="T899" s="5" t="s">
        <v>243</v>
      </c>
      <c r="U899" s="5" t="s">
        <v>244</v>
      </c>
      <c r="V899" s="5" t="s">
        <v>240</v>
      </c>
      <c r="Y899" s="5" t="s">
        <v>240</v>
      </c>
      <c r="Z899" s="6" t="s">
        <v>298</v>
      </c>
      <c r="AB899" s="6" t="s">
        <v>240</v>
      </c>
      <c r="AE899" s="6" t="s">
        <v>299</v>
      </c>
      <c r="AF899" s="5" t="s">
        <v>248</v>
      </c>
      <c r="AG899" s="5" t="s">
        <v>249</v>
      </c>
      <c r="AW899" s="5" t="s">
        <v>251</v>
      </c>
      <c r="AX899" s="5" t="s">
        <v>240</v>
      </c>
      <c r="AY899" s="5" t="s">
        <v>253</v>
      </c>
      <c r="AZ899" s="5" t="s">
        <v>240</v>
      </c>
      <c r="BA899" s="5" t="s">
        <v>255</v>
      </c>
      <c r="BB899" s="5" t="s">
        <v>240</v>
      </c>
      <c r="BD899" s="5" t="s">
        <v>240</v>
      </c>
      <c r="BF899" s="5" t="s">
        <v>301</v>
      </c>
      <c r="BG899" s="6" t="s">
        <v>299</v>
      </c>
      <c r="BH899" s="5" t="s">
        <v>302</v>
      </c>
      <c r="BI899" s="5" t="s">
        <v>303</v>
      </c>
      <c r="BJ899" s="5" t="s">
        <v>240</v>
      </c>
      <c r="BK899" s="8">
        <f>0</f>
        <v>0</v>
      </c>
      <c r="BL899" s="7">
        <f>0</f>
        <v>0</v>
      </c>
      <c r="BM899" s="5" t="s">
        <v>258</v>
      </c>
      <c r="BN899" s="5" t="s">
        <v>259</v>
      </c>
      <c r="CB899" s="5" t="s">
        <v>240</v>
      </c>
      <c r="CC899" s="5" t="s">
        <v>240</v>
      </c>
      <c r="CG899" s="5" t="s">
        <v>617</v>
      </c>
      <c r="CH899" s="5" t="s">
        <v>305</v>
      </c>
      <c r="CI899" s="5" t="s">
        <v>240</v>
      </c>
      <c r="CL899" s="6" t="s">
        <v>261</v>
      </c>
      <c r="CM899" s="5" t="s">
        <v>240</v>
      </c>
      <c r="CN899" s="5" t="s">
        <v>263</v>
      </c>
      <c r="CO899" s="5" t="s">
        <v>240</v>
      </c>
      <c r="CP899" s="5" t="s">
        <v>240</v>
      </c>
      <c r="CQ899" s="5">
        <v>0</v>
      </c>
      <c r="CR899" s="5" t="s">
        <v>306</v>
      </c>
      <c r="CS899" s="5" t="s">
        <v>307</v>
      </c>
      <c r="CT899" s="5" t="s">
        <v>307</v>
      </c>
      <c r="CU899" s="5" t="s">
        <v>260</v>
      </c>
      <c r="CX899" s="7">
        <f>11894550</f>
        <v>11894550</v>
      </c>
      <c r="CY899" s="7">
        <f>0</f>
        <v>0</v>
      </c>
      <c r="DA899" s="7">
        <f>0</f>
        <v>0</v>
      </c>
      <c r="DC899" s="5" t="s">
        <v>689</v>
      </c>
      <c r="DD899" s="5" t="s">
        <v>240</v>
      </c>
      <c r="DF899" s="5" t="s">
        <v>689</v>
      </c>
      <c r="DG899" s="7">
        <f>5370</f>
        <v>5370</v>
      </c>
      <c r="DI899" s="5" t="s">
        <v>618</v>
      </c>
      <c r="DJ899" s="5" t="s">
        <v>240</v>
      </c>
      <c r="DK899" s="5" t="s">
        <v>240</v>
      </c>
      <c r="DL899" s="5" t="s">
        <v>240</v>
      </c>
      <c r="DP899" s="5" t="s">
        <v>240</v>
      </c>
      <c r="DQ899" s="5" t="s">
        <v>240</v>
      </c>
      <c r="DR899" s="5" t="s">
        <v>240</v>
      </c>
      <c r="DS899" s="5" t="s">
        <v>240</v>
      </c>
      <c r="DV899" s="5" t="s">
        <v>1135</v>
      </c>
      <c r="DW899" s="5" t="s">
        <v>620</v>
      </c>
      <c r="HO899" s="5" t="s">
        <v>312</v>
      </c>
    </row>
    <row r="900" spans="1:240" x14ac:dyDescent="0.4">
      <c r="A900" s="5">
        <v>2575</v>
      </c>
      <c r="B900" s="5">
        <v>1</v>
      </c>
      <c r="C900" s="5">
        <v>1</v>
      </c>
      <c r="D900" s="5" t="s">
        <v>297</v>
      </c>
      <c r="E900" s="5" t="s">
        <v>245</v>
      </c>
      <c r="F900" s="5" t="s">
        <v>254</v>
      </c>
      <c r="G900" s="5" t="s">
        <v>240</v>
      </c>
      <c r="H900" s="6" t="s">
        <v>525</v>
      </c>
      <c r="I900" s="5" t="s">
        <v>295</v>
      </c>
      <c r="J900" s="8">
        <f>1686</f>
        <v>1686</v>
      </c>
      <c r="K900" s="5" t="s">
        <v>308</v>
      </c>
      <c r="L900" s="7">
        <f>1</f>
        <v>1</v>
      </c>
      <c r="M900" s="7">
        <f>1</f>
        <v>1</v>
      </c>
      <c r="N900" s="5" t="s">
        <v>242</v>
      </c>
      <c r="O900" s="5">
        <v>1</v>
      </c>
      <c r="P900" s="5" t="s">
        <v>294</v>
      </c>
      <c r="Q900" s="5" t="s">
        <v>613</v>
      </c>
      <c r="R900" s="5" t="s">
        <v>240</v>
      </c>
      <c r="S900" s="5" t="s">
        <v>240</v>
      </c>
      <c r="T900" s="5" t="s">
        <v>243</v>
      </c>
      <c r="U900" s="5" t="s">
        <v>244</v>
      </c>
      <c r="V900" s="5" t="s">
        <v>240</v>
      </c>
      <c r="Y900" s="5" t="s">
        <v>240</v>
      </c>
      <c r="Z900" s="6" t="s">
        <v>298</v>
      </c>
      <c r="AB900" s="6" t="s">
        <v>240</v>
      </c>
      <c r="AE900" s="6" t="s">
        <v>299</v>
      </c>
      <c r="AF900" s="5" t="s">
        <v>248</v>
      </c>
      <c r="AG900" s="5" t="s">
        <v>249</v>
      </c>
      <c r="AW900" s="5" t="s">
        <v>251</v>
      </c>
      <c r="AX900" s="5" t="s">
        <v>240</v>
      </c>
      <c r="AY900" s="5" t="s">
        <v>253</v>
      </c>
      <c r="AZ900" s="5" t="s">
        <v>240</v>
      </c>
      <c r="BA900" s="5" t="s">
        <v>255</v>
      </c>
      <c r="BB900" s="5" t="s">
        <v>240</v>
      </c>
      <c r="BD900" s="5" t="s">
        <v>240</v>
      </c>
      <c r="BF900" s="5" t="s">
        <v>301</v>
      </c>
      <c r="BG900" s="6" t="s">
        <v>299</v>
      </c>
      <c r="BH900" s="5" t="s">
        <v>302</v>
      </c>
      <c r="BI900" s="5" t="s">
        <v>303</v>
      </c>
      <c r="BJ900" s="5" t="s">
        <v>240</v>
      </c>
      <c r="BK900" s="8">
        <f>0</f>
        <v>0</v>
      </c>
      <c r="BL900" s="7">
        <f>0</f>
        <v>0</v>
      </c>
      <c r="BM900" s="5" t="s">
        <v>258</v>
      </c>
      <c r="BN900" s="5" t="s">
        <v>259</v>
      </c>
      <c r="CB900" s="5" t="s">
        <v>240</v>
      </c>
      <c r="CC900" s="5" t="s">
        <v>240</v>
      </c>
      <c r="CG900" s="5" t="s">
        <v>617</v>
      </c>
      <c r="CH900" s="5" t="s">
        <v>305</v>
      </c>
      <c r="CI900" s="5" t="s">
        <v>240</v>
      </c>
      <c r="CL900" s="6" t="s">
        <v>261</v>
      </c>
      <c r="CM900" s="5" t="s">
        <v>240</v>
      </c>
      <c r="CN900" s="5" t="s">
        <v>263</v>
      </c>
      <c r="CO900" s="5" t="s">
        <v>240</v>
      </c>
      <c r="CP900" s="5" t="s">
        <v>240</v>
      </c>
      <c r="CQ900" s="5">
        <v>0</v>
      </c>
      <c r="CR900" s="5" t="s">
        <v>306</v>
      </c>
      <c r="CS900" s="5" t="s">
        <v>307</v>
      </c>
      <c r="CT900" s="5" t="s">
        <v>307</v>
      </c>
      <c r="CU900" s="5" t="s">
        <v>260</v>
      </c>
      <c r="CX900" s="7">
        <f>16410935</f>
        <v>16410935</v>
      </c>
      <c r="CY900" s="7">
        <f>0</f>
        <v>0</v>
      </c>
      <c r="DA900" s="7">
        <f>0</f>
        <v>0</v>
      </c>
      <c r="DC900" s="5" t="s">
        <v>689</v>
      </c>
      <c r="DD900" s="5" t="s">
        <v>240</v>
      </c>
      <c r="DF900" s="5" t="s">
        <v>689</v>
      </c>
      <c r="DG900" s="7">
        <f>7409</f>
        <v>7409</v>
      </c>
      <c r="DI900" s="5" t="s">
        <v>618</v>
      </c>
      <c r="DJ900" s="5" t="s">
        <v>240</v>
      </c>
      <c r="DK900" s="5" t="s">
        <v>240</v>
      </c>
      <c r="DL900" s="5" t="s">
        <v>240</v>
      </c>
      <c r="DP900" s="5" t="s">
        <v>240</v>
      </c>
      <c r="DQ900" s="5" t="s">
        <v>240</v>
      </c>
      <c r="DR900" s="5" t="s">
        <v>240</v>
      </c>
      <c r="DS900" s="5" t="s">
        <v>240</v>
      </c>
      <c r="DV900" s="5" t="s">
        <v>1135</v>
      </c>
      <c r="DW900" s="5" t="s">
        <v>621</v>
      </c>
      <c r="HO900" s="5" t="s">
        <v>312</v>
      </c>
    </row>
    <row r="901" spans="1:240" x14ac:dyDescent="0.4">
      <c r="A901" s="5">
        <v>2576</v>
      </c>
      <c r="B901" s="5">
        <v>1</v>
      </c>
      <c r="C901" s="5">
        <v>1</v>
      </c>
      <c r="D901" s="5" t="s">
        <v>297</v>
      </c>
      <c r="E901" s="5" t="s">
        <v>245</v>
      </c>
      <c r="F901" s="5" t="s">
        <v>254</v>
      </c>
      <c r="G901" s="5" t="s">
        <v>240</v>
      </c>
      <c r="H901" s="6" t="s">
        <v>523</v>
      </c>
      <c r="I901" s="5" t="s">
        <v>295</v>
      </c>
      <c r="J901" s="8">
        <f>215</f>
        <v>215</v>
      </c>
      <c r="K901" s="5" t="s">
        <v>308</v>
      </c>
      <c r="L901" s="7">
        <f>1</f>
        <v>1</v>
      </c>
      <c r="M901" s="7">
        <f>1</f>
        <v>1</v>
      </c>
      <c r="N901" s="5" t="s">
        <v>242</v>
      </c>
      <c r="O901" s="5">
        <v>1</v>
      </c>
      <c r="P901" s="5" t="s">
        <v>294</v>
      </c>
      <c r="Q901" s="5" t="s">
        <v>613</v>
      </c>
      <c r="R901" s="5" t="s">
        <v>240</v>
      </c>
      <c r="S901" s="5" t="s">
        <v>240</v>
      </c>
      <c r="T901" s="5" t="s">
        <v>243</v>
      </c>
      <c r="U901" s="5" t="s">
        <v>244</v>
      </c>
      <c r="V901" s="5" t="s">
        <v>240</v>
      </c>
      <c r="Y901" s="5" t="s">
        <v>240</v>
      </c>
      <c r="Z901" s="6" t="s">
        <v>298</v>
      </c>
      <c r="AB901" s="6" t="s">
        <v>240</v>
      </c>
      <c r="AE901" s="6" t="s">
        <v>1132</v>
      </c>
      <c r="AF901" s="5" t="s">
        <v>248</v>
      </c>
      <c r="AG901" s="5" t="s">
        <v>249</v>
      </c>
      <c r="AW901" s="5" t="s">
        <v>251</v>
      </c>
      <c r="AX901" s="5" t="s">
        <v>240</v>
      </c>
      <c r="AY901" s="5" t="s">
        <v>253</v>
      </c>
      <c r="AZ901" s="5" t="s">
        <v>240</v>
      </c>
      <c r="BA901" s="5" t="s">
        <v>255</v>
      </c>
      <c r="BB901" s="5" t="s">
        <v>240</v>
      </c>
      <c r="BD901" s="5" t="s">
        <v>240</v>
      </c>
      <c r="BF901" s="5" t="s">
        <v>687</v>
      </c>
      <c r="BG901" s="6" t="s">
        <v>1132</v>
      </c>
      <c r="BH901" s="5" t="s">
        <v>302</v>
      </c>
      <c r="BI901" s="5" t="s">
        <v>303</v>
      </c>
      <c r="BJ901" s="5" t="s">
        <v>240</v>
      </c>
      <c r="BK901" s="8">
        <f>0</f>
        <v>0</v>
      </c>
      <c r="BL901" s="7">
        <f>0</f>
        <v>0</v>
      </c>
      <c r="BM901" s="5" t="s">
        <v>258</v>
      </c>
      <c r="BN901" s="5" t="s">
        <v>259</v>
      </c>
      <c r="CB901" s="5" t="s">
        <v>240</v>
      </c>
      <c r="CC901" s="5" t="s">
        <v>240</v>
      </c>
      <c r="CG901" s="5" t="s">
        <v>617</v>
      </c>
      <c r="CH901" s="5" t="s">
        <v>305</v>
      </c>
      <c r="CI901" s="5" t="s">
        <v>240</v>
      </c>
      <c r="CL901" s="6" t="s">
        <v>261</v>
      </c>
      <c r="CM901" s="5" t="s">
        <v>240</v>
      </c>
      <c r="CN901" s="5" t="s">
        <v>263</v>
      </c>
      <c r="CO901" s="5" t="s">
        <v>240</v>
      </c>
      <c r="CP901" s="5" t="s">
        <v>240</v>
      </c>
      <c r="CQ901" s="5">
        <v>0</v>
      </c>
      <c r="CR901" s="5" t="s">
        <v>306</v>
      </c>
      <c r="CS901" s="5" t="s">
        <v>307</v>
      </c>
      <c r="CT901" s="5" t="s">
        <v>307</v>
      </c>
      <c r="CU901" s="5" t="s">
        <v>260</v>
      </c>
      <c r="CX901" s="7">
        <f>26936615</f>
        <v>26936615</v>
      </c>
      <c r="CY901" s="7">
        <f>0</f>
        <v>0</v>
      </c>
      <c r="DA901" s="7">
        <f>0</f>
        <v>0</v>
      </c>
      <c r="DC901" s="5" t="s">
        <v>689</v>
      </c>
      <c r="DD901" s="5" t="s">
        <v>240</v>
      </c>
      <c r="DF901" s="5" t="s">
        <v>689</v>
      </c>
      <c r="DG901" s="7">
        <f>12161</f>
        <v>12161</v>
      </c>
      <c r="DI901" s="5" t="s">
        <v>618</v>
      </c>
      <c r="DJ901" s="5" t="s">
        <v>240</v>
      </c>
      <c r="DK901" s="5" t="s">
        <v>240</v>
      </c>
      <c r="DL901" s="5" t="s">
        <v>240</v>
      </c>
      <c r="DP901" s="5" t="s">
        <v>240</v>
      </c>
      <c r="DQ901" s="5" t="s">
        <v>240</v>
      </c>
      <c r="DR901" s="5" t="s">
        <v>240</v>
      </c>
      <c r="DS901" s="5" t="s">
        <v>240</v>
      </c>
      <c r="DV901" s="5" t="s">
        <v>1923</v>
      </c>
      <c r="DW901" s="5" t="s">
        <v>621</v>
      </c>
      <c r="HO901" s="5" t="s">
        <v>312</v>
      </c>
    </row>
    <row r="902" spans="1:240" x14ac:dyDescent="0.4">
      <c r="A902" s="5">
        <v>2577</v>
      </c>
      <c r="B902" s="5">
        <v>1</v>
      </c>
      <c r="C902" s="5">
        <v>1</v>
      </c>
      <c r="D902" s="5" t="s">
        <v>297</v>
      </c>
      <c r="E902" s="5" t="s">
        <v>245</v>
      </c>
      <c r="F902" s="5" t="s">
        <v>254</v>
      </c>
      <c r="G902" s="5" t="s">
        <v>240</v>
      </c>
      <c r="H902" s="6" t="s">
        <v>521</v>
      </c>
      <c r="I902" s="5" t="s">
        <v>295</v>
      </c>
      <c r="J902" s="8">
        <f>421</f>
        <v>421</v>
      </c>
      <c r="K902" s="5" t="s">
        <v>308</v>
      </c>
      <c r="L902" s="7">
        <f>1</f>
        <v>1</v>
      </c>
      <c r="M902" s="7">
        <f>1</f>
        <v>1</v>
      </c>
      <c r="N902" s="5" t="s">
        <v>242</v>
      </c>
      <c r="O902" s="5">
        <v>1</v>
      </c>
      <c r="P902" s="5" t="s">
        <v>294</v>
      </c>
      <c r="Q902" s="5" t="s">
        <v>613</v>
      </c>
      <c r="R902" s="5" t="s">
        <v>240</v>
      </c>
      <c r="S902" s="5" t="s">
        <v>240</v>
      </c>
      <c r="T902" s="5" t="s">
        <v>243</v>
      </c>
      <c r="U902" s="5" t="s">
        <v>244</v>
      </c>
      <c r="V902" s="5" t="s">
        <v>240</v>
      </c>
      <c r="Y902" s="5" t="s">
        <v>240</v>
      </c>
      <c r="Z902" s="6" t="s">
        <v>298</v>
      </c>
      <c r="AB902" s="6" t="s">
        <v>240</v>
      </c>
      <c r="AE902" s="6" t="s">
        <v>299</v>
      </c>
      <c r="AF902" s="5" t="s">
        <v>248</v>
      </c>
      <c r="AG902" s="5" t="s">
        <v>249</v>
      </c>
      <c r="AW902" s="5" t="s">
        <v>251</v>
      </c>
      <c r="AX902" s="5" t="s">
        <v>240</v>
      </c>
      <c r="AY902" s="5" t="s">
        <v>253</v>
      </c>
      <c r="AZ902" s="5" t="s">
        <v>240</v>
      </c>
      <c r="BA902" s="5" t="s">
        <v>255</v>
      </c>
      <c r="BB902" s="5" t="s">
        <v>240</v>
      </c>
      <c r="BD902" s="5" t="s">
        <v>240</v>
      </c>
      <c r="BF902" s="5" t="s">
        <v>687</v>
      </c>
      <c r="BG902" s="6" t="s">
        <v>688</v>
      </c>
      <c r="BH902" s="5" t="s">
        <v>302</v>
      </c>
      <c r="BI902" s="5" t="s">
        <v>302</v>
      </c>
      <c r="BJ902" s="5" t="s">
        <v>240</v>
      </c>
      <c r="BK902" s="8">
        <f>0</f>
        <v>0</v>
      </c>
      <c r="BL902" s="7">
        <f>0</f>
        <v>0</v>
      </c>
      <c r="BM902" s="5" t="s">
        <v>258</v>
      </c>
      <c r="BN902" s="5" t="s">
        <v>259</v>
      </c>
      <c r="CB902" s="5" t="s">
        <v>240</v>
      </c>
      <c r="CC902" s="5" t="s">
        <v>240</v>
      </c>
      <c r="CG902" s="5" t="s">
        <v>617</v>
      </c>
      <c r="CH902" s="5" t="s">
        <v>305</v>
      </c>
      <c r="CI902" s="5" t="s">
        <v>240</v>
      </c>
      <c r="CL902" s="6" t="s">
        <v>261</v>
      </c>
      <c r="CM902" s="5" t="s">
        <v>240</v>
      </c>
      <c r="CN902" s="5" t="s">
        <v>263</v>
      </c>
      <c r="CO902" s="5" t="s">
        <v>240</v>
      </c>
      <c r="CP902" s="5" t="s">
        <v>240</v>
      </c>
      <c r="CQ902" s="5">
        <v>0</v>
      </c>
      <c r="CR902" s="5" t="s">
        <v>306</v>
      </c>
      <c r="CS902" s="5" t="s">
        <v>307</v>
      </c>
      <c r="CT902" s="5" t="s">
        <v>307</v>
      </c>
      <c r="CU902" s="5" t="s">
        <v>260</v>
      </c>
      <c r="CX902" s="7">
        <f>2945950</f>
        <v>2945950</v>
      </c>
      <c r="CY902" s="7">
        <f>0</f>
        <v>0</v>
      </c>
      <c r="DA902" s="7">
        <f>0</f>
        <v>0</v>
      </c>
      <c r="DC902" s="5" t="s">
        <v>618</v>
      </c>
      <c r="DD902" s="5" t="s">
        <v>240</v>
      </c>
      <c r="DF902" s="5" t="s">
        <v>450</v>
      </c>
      <c r="DG902" s="7">
        <f>0</f>
        <v>0</v>
      </c>
      <c r="DI902" s="5" t="s">
        <v>618</v>
      </c>
      <c r="DJ902" s="5" t="s">
        <v>240</v>
      </c>
      <c r="DK902" s="5" t="s">
        <v>240</v>
      </c>
      <c r="DL902" s="5" t="s">
        <v>240</v>
      </c>
      <c r="DP902" s="5" t="s">
        <v>240</v>
      </c>
      <c r="DQ902" s="5" t="s">
        <v>240</v>
      </c>
      <c r="DR902" s="5" t="s">
        <v>240</v>
      </c>
      <c r="DS902" s="5" t="s">
        <v>240</v>
      </c>
      <c r="DV902" s="5" t="s">
        <v>1927</v>
      </c>
      <c r="DW902" s="5" t="s">
        <v>312</v>
      </c>
      <c r="HO902" s="5" t="s">
        <v>691</v>
      </c>
    </row>
    <row r="903" spans="1:240" x14ac:dyDescent="0.4">
      <c r="A903" s="5">
        <v>2578</v>
      </c>
      <c r="B903" s="5">
        <v>1</v>
      </c>
      <c r="C903" s="5">
        <v>1</v>
      </c>
      <c r="D903" s="5" t="s">
        <v>297</v>
      </c>
      <c r="E903" s="5" t="s">
        <v>245</v>
      </c>
      <c r="F903" s="5" t="s">
        <v>254</v>
      </c>
      <c r="G903" s="5" t="s">
        <v>240</v>
      </c>
      <c r="H903" s="6" t="s">
        <v>519</v>
      </c>
      <c r="I903" s="5" t="s">
        <v>295</v>
      </c>
      <c r="J903" s="8">
        <f>745</f>
        <v>745</v>
      </c>
      <c r="K903" s="5" t="s">
        <v>308</v>
      </c>
      <c r="L903" s="7">
        <f>1</f>
        <v>1</v>
      </c>
      <c r="M903" s="7">
        <f>1</f>
        <v>1</v>
      </c>
      <c r="N903" s="5" t="s">
        <v>242</v>
      </c>
      <c r="O903" s="5">
        <v>1</v>
      </c>
      <c r="P903" s="5" t="s">
        <v>294</v>
      </c>
      <c r="Q903" s="5" t="s">
        <v>613</v>
      </c>
      <c r="R903" s="5" t="s">
        <v>240</v>
      </c>
      <c r="S903" s="5" t="s">
        <v>240</v>
      </c>
      <c r="T903" s="5" t="s">
        <v>243</v>
      </c>
      <c r="U903" s="5" t="s">
        <v>244</v>
      </c>
      <c r="V903" s="5" t="s">
        <v>240</v>
      </c>
      <c r="Y903" s="5" t="s">
        <v>240</v>
      </c>
      <c r="Z903" s="6" t="s">
        <v>298</v>
      </c>
      <c r="AB903" s="6" t="s">
        <v>240</v>
      </c>
      <c r="AE903" s="6" t="s">
        <v>299</v>
      </c>
      <c r="AF903" s="5" t="s">
        <v>248</v>
      </c>
      <c r="AG903" s="5" t="s">
        <v>249</v>
      </c>
      <c r="AW903" s="5" t="s">
        <v>251</v>
      </c>
      <c r="AX903" s="5" t="s">
        <v>240</v>
      </c>
      <c r="AY903" s="5" t="s">
        <v>253</v>
      </c>
      <c r="AZ903" s="5" t="s">
        <v>240</v>
      </c>
      <c r="BA903" s="5" t="s">
        <v>255</v>
      </c>
      <c r="BB903" s="5" t="s">
        <v>240</v>
      </c>
      <c r="BD903" s="5" t="s">
        <v>686</v>
      </c>
      <c r="BF903" s="5" t="s">
        <v>301</v>
      </c>
      <c r="BG903" s="6" t="s">
        <v>299</v>
      </c>
      <c r="BH903" s="5" t="s">
        <v>302</v>
      </c>
      <c r="BI903" s="5" t="s">
        <v>303</v>
      </c>
      <c r="BJ903" s="5" t="s">
        <v>240</v>
      </c>
      <c r="BK903" s="8">
        <f>0</f>
        <v>0</v>
      </c>
      <c r="BL903" s="7">
        <f>0</f>
        <v>0</v>
      </c>
      <c r="BM903" s="5" t="s">
        <v>258</v>
      </c>
      <c r="BN903" s="5" t="s">
        <v>259</v>
      </c>
      <c r="CB903" s="5" t="s">
        <v>240</v>
      </c>
      <c r="CC903" s="5" t="s">
        <v>240</v>
      </c>
      <c r="CG903" s="5" t="s">
        <v>617</v>
      </c>
      <c r="CH903" s="5" t="s">
        <v>305</v>
      </c>
      <c r="CI903" s="5" t="s">
        <v>240</v>
      </c>
      <c r="CL903" s="6" t="s">
        <v>261</v>
      </c>
      <c r="CM903" s="5" t="s">
        <v>240</v>
      </c>
      <c r="CN903" s="5" t="s">
        <v>263</v>
      </c>
      <c r="CO903" s="5" t="s">
        <v>240</v>
      </c>
      <c r="CP903" s="5" t="s">
        <v>240</v>
      </c>
      <c r="CQ903" s="5">
        <v>0</v>
      </c>
      <c r="CR903" s="5" t="s">
        <v>306</v>
      </c>
      <c r="CS903" s="5" t="s">
        <v>307</v>
      </c>
      <c r="CT903" s="5" t="s">
        <v>307</v>
      </c>
      <c r="CU903" s="5" t="s">
        <v>260</v>
      </c>
      <c r="CX903" s="7">
        <f>5528640</f>
        <v>5528640</v>
      </c>
      <c r="CY903" s="7">
        <f>0</f>
        <v>0</v>
      </c>
      <c r="DA903" s="7">
        <f>0</f>
        <v>0</v>
      </c>
      <c r="DC903" s="5" t="s">
        <v>689</v>
      </c>
      <c r="DD903" s="5" t="s">
        <v>240</v>
      </c>
      <c r="DF903" s="5" t="s">
        <v>618</v>
      </c>
      <c r="DG903" s="7">
        <f>2496</f>
        <v>2496</v>
      </c>
      <c r="DI903" s="5" t="s">
        <v>618</v>
      </c>
      <c r="DJ903" s="5" t="s">
        <v>240</v>
      </c>
      <c r="DK903" s="5" t="s">
        <v>240</v>
      </c>
      <c r="DL903" s="5" t="s">
        <v>240</v>
      </c>
      <c r="DP903" s="5" t="s">
        <v>240</v>
      </c>
      <c r="DQ903" s="5" t="s">
        <v>240</v>
      </c>
      <c r="DR903" s="5" t="s">
        <v>240</v>
      </c>
      <c r="DS903" s="5" t="s">
        <v>240</v>
      </c>
      <c r="DV903" s="5" t="s">
        <v>1931</v>
      </c>
      <c r="DW903" s="5" t="s">
        <v>312</v>
      </c>
      <c r="HO903" s="5" t="s">
        <v>312</v>
      </c>
    </row>
    <row r="904" spans="1:240" x14ac:dyDescent="0.4">
      <c r="A904" s="5">
        <v>2579</v>
      </c>
      <c r="B904" s="5">
        <v>1</v>
      </c>
      <c r="C904" s="5">
        <v>1</v>
      </c>
      <c r="D904" s="5" t="s">
        <v>297</v>
      </c>
      <c r="E904" s="5" t="s">
        <v>245</v>
      </c>
      <c r="F904" s="5" t="s">
        <v>254</v>
      </c>
      <c r="G904" s="5" t="s">
        <v>240</v>
      </c>
      <c r="H904" s="6" t="s">
        <v>517</v>
      </c>
      <c r="I904" s="5" t="s">
        <v>295</v>
      </c>
      <c r="J904" s="8">
        <f>1453</f>
        <v>1453</v>
      </c>
      <c r="K904" s="5" t="s">
        <v>308</v>
      </c>
      <c r="L904" s="7">
        <f>1</f>
        <v>1</v>
      </c>
      <c r="M904" s="7">
        <f>1</f>
        <v>1</v>
      </c>
      <c r="N904" s="5" t="s">
        <v>242</v>
      </c>
      <c r="O904" s="5">
        <v>1</v>
      </c>
      <c r="P904" s="5" t="s">
        <v>294</v>
      </c>
      <c r="Q904" s="5" t="s">
        <v>613</v>
      </c>
      <c r="R904" s="5" t="s">
        <v>240</v>
      </c>
      <c r="S904" s="5" t="s">
        <v>240</v>
      </c>
      <c r="T904" s="5" t="s">
        <v>243</v>
      </c>
      <c r="U904" s="5" t="s">
        <v>244</v>
      </c>
      <c r="V904" s="5" t="s">
        <v>240</v>
      </c>
      <c r="Y904" s="5" t="s">
        <v>240</v>
      </c>
      <c r="Z904" s="6" t="s">
        <v>298</v>
      </c>
      <c r="AB904" s="6" t="s">
        <v>240</v>
      </c>
      <c r="AE904" s="6" t="s">
        <v>299</v>
      </c>
      <c r="AF904" s="5" t="s">
        <v>248</v>
      </c>
      <c r="AG904" s="5" t="s">
        <v>249</v>
      </c>
      <c r="AW904" s="5" t="s">
        <v>251</v>
      </c>
      <c r="AX904" s="5" t="s">
        <v>240</v>
      </c>
      <c r="AY904" s="5" t="s">
        <v>253</v>
      </c>
      <c r="AZ904" s="5" t="s">
        <v>240</v>
      </c>
      <c r="BA904" s="5" t="s">
        <v>255</v>
      </c>
      <c r="BB904" s="5" t="s">
        <v>240</v>
      </c>
      <c r="BD904" s="5" t="s">
        <v>686</v>
      </c>
      <c r="BF904" s="5" t="s">
        <v>301</v>
      </c>
      <c r="BG904" s="6" t="s">
        <v>299</v>
      </c>
      <c r="BH904" s="5" t="s">
        <v>302</v>
      </c>
      <c r="BI904" s="5" t="s">
        <v>303</v>
      </c>
      <c r="BJ904" s="5" t="s">
        <v>240</v>
      </c>
      <c r="BK904" s="8">
        <f>0</f>
        <v>0</v>
      </c>
      <c r="BL904" s="7">
        <f>0</f>
        <v>0</v>
      </c>
      <c r="BM904" s="5" t="s">
        <v>258</v>
      </c>
      <c r="BN904" s="5" t="s">
        <v>259</v>
      </c>
      <c r="CB904" s="5" t="s">
        <v>240</v>
      </c>
      <c r="CC904" s="5" t="s">
        <v>240</v>
      </c>
      <c r="CG904" s="5" t="s">
        <v>617</v>
      </c>
      <c r="CH904" s="5" t="s">
        <v>305</v>
      </c>
      <c r="CI904" s="5" t="s">
        <v>240</v>
      </c>
      <c r="CL904" s="6" t="s">
        <v>261</v>
      </c>
      <c r="CM904" s="5" t="s">
        <v>240</v>
      </c>
      <c r="CN904" s="5" t="s">
        <v>263</v>
      </c>
      <c r="CO904" s="5" t="s">
        <v>240</v>
      </c>
      <c r="CP904" s="5" t="s">
        <v>240</v>
      </c>
      <c r="CQ904" s="5">
        <v>0</v>
      </c>
      <c r="CR904" s="5" t="s">
        <v>306</v>
      </c>
      <c r="CS904" s="5" t="s">
        <v>307</v>
      </c>
      <c r="CT904" s="5" t="s">
        <v>307</v>
      </c>
      <c r="CU904" s="5" t="s">
        <v>260</v>
      </c>
      <c r="CX904" s="7">
        <f>5475147</f>
        <v>5475147</v>
      </c>
      <c r="CY904" s="7">
        <f>0</f>
        <v>0</v>
      </c>
      <c r="DA904" s="7">
        <f>0</f>
        <v>0</v>
      </c>
      <c r="DC904" s="5" t="s">
        <v>689</v>
      </c>
      <c r="DD904" s="5" t="s">
        <v>240</v>
      </c>
      <c r="DF904" s="5" t="s">
        <v>689</v>
      </c>
      <c r="DG904" s="7">
        <f>2471</f>
        <v>2471</v>
      </c>
      <c r="DI904" s="5" t="s">
        <v>618</v>
      </c>
      <c r="DJ904" s="5" t="s">
        <v>240</v>
      </c>
      <c r="DK904" s="5" t="s">
        <v>240</v>
      </c>
      <c r="DL904" s="5" t="s">
        <v>240</v>
      </c>
      <c r="DP904" s="5" t="s">
        <v>240</v>
      </c>
      <c r="DQ904" s="5" t="s">
        <v>240</v>
      </c>
      <c r="DR904" s="5" t="s">
        <v>240</v>
      </c>
      <c r="DS904" s="5" t="s">
        <v>240</v>
      </c>
      <c r="DV904" s="5" t="s">
        <v>1936</v>
      </c>
      <c r="DW904" s="5" t="s">
        <v>312</v>
      </c>
      <c r="HO904" s="5" t="s">
        <v>312</v>
      </c>
    </row>
    <row r="905" spans="1:240" x14ac:dyDescent="0.4">
      <c r="A905" s="5">
        <v>2580</v>
      </c>
      <c r="B905" s="5">
        <v>1</v>
      </c>
      <c r="C905" s="5">
        <v>1</v>
      </c>
      <c r="D905" s="5" t="s">
        <v>297</v>
      </c>
      <c r="E905" s="5" t="s">
        <v>245</v>
      </c>
      <c r="F905" s="5" t="s">
        <v>254</v>
      </c>
      <c r="G905" s="5" t="s">
        <v>240</v>
      </c>
      <c r="H905" s="6" t="s">
        <v>515</v>
      </c>
      <c r="I905" s="5" t="s">
        <v>295</v>
      </c>
      <c r="J905" s="8">
        <f>658</f>
        <v>658</v>
      </c>
      <c r="K905" s="5" t="s">
        <v>308</v>
      </c>
      <c r="L905" s="7">
        <f>1</f>
        <v>1</v>
      </c>
      <c r="M905" s="7">
        <f>1</f>
        <v>1</v>
      </c>
      <c r="N905" s="5" t="s">
        <v>242</v>
      </c>
      <c r="O905" s="5">
        <v>1</v>
      </c>
      <c r="P905" s="5" t="s">
        <v>294</v>
      </c>
      <c r="Q905" s="5" t="s">
        <v>613</v>
      </c>
      <c r="R905" s="5" t="s">
        <v>240</v>
      </c>
      <c r="S905" s="5" t="s">
        <v>240</v>
      </c>
      <c r="T905" s="5" t="s">
        <v>243</v>
      </c>
      <c r="U905" s="5" t="s">
        <v>244</v>
      </c>
      <c r="V905" s="5" t="s">
        <v>240</v>
      </c>
      <c r="Y905" s="5" t="s">
        <v>240</v>
      </c>
      <c r="Z905" s="6" t="s">
        <v>298</v>
      </c>
      <c r="AB905" s="6" t="s">
        <v>240</v>
      </c>
      <c r="AE905" s="6" t="s">
        <v>299</v>
      </c>
      <c r="AF905" s="5" t="s">
        <v>248</v>
      </c>
      <c r="AG905" s="5" t="s">
        <v>249</v>
      </c>
      <c r="AW905" s="5" t="s">
        <v>251</v>
      </c>
      <c r="AX905" s="5" t="s">
        <v>240</v>
      </c>
      <c r="AY905" s="5" t="s">
        <v>253</v>
      </c>
      <c r="AZ905" s="5" t="s">
        <v>240</v>
      </c>
      <c r="BA905" s="5" t="s">
        <v>255</v>
      </c>
      <c r="BB905" s="5" t="s">
        <v>240</v>
      </c>
      <c r="BD905" s="5" t="s">
        <v>240</v>
      </c>
      <c r="BF905" s="5" t="s">
        <v>301</v>
      </c>
      <c r="BG905" s="6" t="s">
        <v>299</v>
      </c>
      <c r="BH905" s="5" t="s">
        <v>302</v>
      </c>
      <c r="BI905" s="5" t="s">
        <v>303</v>
      </c>
      <c r="BJ905" s="5" t="s">
        <v>240</v>
      </c>
      <c r="BK905" s="8">
        <f>0</f>
        <v>0</v>
      </c>
      <c r="BL905" s="7">
        <f>0</f>
        <v>0</v>
      </c>
      <c r="BM905" s="5" t="s">
        <v>258</v>
      </c>
      <c r="BN905" s="5" t="s">
        <v>259</v>
      </c>
      <c r="CB905" s="5" t="s">
        <v>240</v>
      </c>
      <c r="CC905" s="5" t="s">
        <v>240</v>
      </c>
      <c r="CG905" s="5" t="s">
        <v>617</v>
      </c>
      <c r="CH905" s="5" t="s">
        <v>305</v>
      </c>
      <c r="CI905" s="5" t="s">
        <v>240</v>
      </c>
      <c r="CL905" s="6" t="s">
        <v>261</v>
      </c>
      <c r="CM905" s="5" t="s">
        <v>240</v>
      </c>
      <c r="CN905" s="5" t="s">
        <v>263</v>
      </c>
      <c r="CO905" s="5" t="s">
        <v>240</v>
      </c>
      <c r="CP905" s="5" t="s">
        <v>240</v>
      </c>
      <c r="CQ905" s="5">
        <v>0</v>
      </c>
      <c r="CR905" s="5" t="s">
        <v>306</v>
      </c>
      <c r="CS905" s="5" t="s">
        <v>307</v>
      </c>
      <c r="CT905" s="5" t="s">
        <v>307</v>
      </c>
      <c r="CU905" s="5" t="s">
        <v>260</v>
      </c>
      <c r="CX905" s="7">
        <f>24830</f>
        <v>24830</v>
      </c>
      <c r="CY905" s="7">
        <f>0</f>
        <v>0</v>
      </c>
      <c r="DA905" s="7">
        <f>0</f>
        <v>0</v>
      </c>
      <c r="DC905" s="5" t="s">
        <v>689</v>
      </c>
      <c r="DD905" s="5" t="s">
        <v>240</v>
      </c>
      <c r="DF905" s="5" t="s">
        <v>843</v>
      </c>
      <c r="DG905" s="7">
        <f>11.21</f>
        <v>11.21</v>
      </c>
      <c r="DI905" s="5" t="s">
        <v>618</v>
      </c>
      <c r="DJ905" s="5" t="s">
        <v>240</v>
      </c>
      <c r="DK905" s="5" t="s">
        <v>240</v>
      </c>
      <c r="DL905" s="5" t="s">
        <v>240</v>
      </c>
      <c r="DP905" s="5" t="s">
        <v>240</v>
      </c>
      <c r="DQ905" s="5" t="s">
        <v>240</v>
      </c>
      <c r="DR905" s="5" t="s">
        <v>240</v>
      </c>
      <c r="DS905" s="5" t="s">
        <v>240</v>
      </c>
      <c r="DV905" s="5" t="s">
        <v>1940</v>
      </c>
      <c r="DW905" s="5" t="s">
        <v>620</v>
      </c>
      <c r="HO905" s="5" t="s">
        <v>312</v>
      </c>
    </row>
    <row r="906" spans="1:240" x14ac:dyDescent="0.4">
      <c r="A906" s="5">
        <v>2581</v>
      </c>
      <c r="B906" s="5">
        <v>1</v>
      </c>
      <c r="C906" s="5">
        <v>1</v>
      </c>
      <c r="D906" s="5" t="s">
        <v>297</v>
      </c>
      <c r="E906" s="5" t="s">
        <v>245</v>
      </c>
      <c r="F906" s="5" t="s">
        <v>254</v>
      </c>
      <c r="G906" s="5" t="s">
        <v>240</v>
      </c>
      <c r="H906" s="6" t="s">
        <v>513</v>
      </c>
      <c r="I906" s="5" t="s">
        <v>295</v>
      </c>
      <c r="J906" s="8">
        <f>3458</f>
        <v>3458</v>
      </c>
      <c r="K906" s="5" t="s">
        <v>308</v>
      </c>
      <c r="L906" s="7">
        <f>1</f>
        <v>1</v>
      </c>
      <c r="M906" s="7">
        <f>1</f>
        <v>1</v>
      </c>
      <c r="N906" s="5" t="s">
        <v>242</v>
      </c>
      <c r="O906" s="5">
        <v>1</v>
      </c>
      <c r="P906" s="5" t="s">
        <v>294</v>
      </c>
      <c r="Q906" s="5" t="s">
        <v>613</v>
      </c>
      <c r="R906" s="5" t="s">
        <v>240</v>
      </c>
      <c r="S906" s="5" t="s">
        <v>240</v>
      </c>
      <c r="T906" s="5" t="s">
        <v>243</v>
      </c>
      <c r="U906" s="5" t="s">
        <v>244</v>
      </c>
      <c r="V906" s="5" t="s">
        <v>240</v>
      </c>
      <c r="Y906" s="5" t="s">
        <v>240</v>
      </c>
      <c r="Z906" s="6" t="s">
        <v>298</v>
      </c>
      <c r="AB906" s="6" t="s">
        <v>240</v>
      </c>
      <c r="AE906" s="6" t="s">
        <v>299</v>
      </c>
      <c r="AF906" s="5" t="s">
        <v>248</v>
      </c>
      <c r="AG906" s="5" t="s">
        <v>249</v>
      </c>
      <c r="AW906" s="5" t="s">
        <v>251</v>
      </c>
      <c r="AX906" s="5" t="s">
        <v>240</v>
      </c>
      <c r="AY906" s="5" t="s">
        <v>253</v>
      </c>
      <c r="AZ906" s="5" t="s">
        <v>240</v>
      </c>
      <c r="BA906" s="5" t="s">
        <v>255</v>
      </c>
      <c r="BB906" s="5" t="s">
        <v>240</v>
      </c>
      <c r="BD906" s="5" t="s">
        <v>240</v>
      </c>
      <c r="BF906" s="5" t="s">
        <v>301</v>
      </c>
      <c r="BG906" s="6" t="s">
        <v>299</v>
      </c>
      <c r="BH906" s="5" t="s">
        <v>302</v>
      </c>
      <c r="BI906" s="5" t="s">
        <v>303</v>
      </c>
      <c r="BJ906" s="5" t="s">
        <v>240</v>
      </c>
      <c r="BK906" s="8">
        <f>0</f>
        <v>0</v>
      </c>
      <c r="BL906" s="7">
        <f>0</f>
        <v>0</v>
      </c>
      <c r="BM906" s="5" t="s">
        <v>258</v>
      </c>
      <c r="BN906" s="5" t="s">
        <v>259</v>
      </c>
      <c r="CB906" s="5" t="s">
        <v>240</v>
      </c>
      <c r="CC906" s="5" t="s">
        <v>240</v>
      </c>
      <c r="CG906" s="5" t="s">
        <v>617</v>
      </c>
      <c r="CH906" s="5" t="s">
        <v>305</v>
      </c>
      <c r="CI906" s="5" t="s">
        <v>240</v>
      </c>
      <c r="CL906" s="6" t="s">
        <v>261</v>
      </c>
      <c r="CM906" s="5" t="s">
        <v>240</v>
      </c>
      <c r="CN906" s="5" t="s">
        <v>263</v>
      </c>
      <c r="CO906" s="5" t="s">
        <v>240</v>
      </c>
      <c r="CP906" s="5" t="s">
        <v>240</v>
      </c>
      <c r="CQ906" s="5">
        <v>0</v>
      </c>
      <c r="CR906" s="5" t="s">
        <v>306</v>
      </c>
      <c r="CS906" s="5" t="s">
        <v>307</v>
      </c>
      <c r="CT906" s="5" t="s">
        <v>307</v>
      </c>
      <c r="CU906" s="5" t="s">
        <v>260</v>
      </c>
      <c r="CX906" s="7">
        <f>11032510</f>
        <v>11032510</v>
      </c>
      <c r="CY906" s="7">
        <f>0</f>
        <v>0</v>
      </c>
      <c r="DA906" s="7">
        <f>0</f>
        <v>0</v>
      </c>
      <c r="DC906" s="5" t="s">
        <v>843</v>
      </c>
      <c r="DD906" s="5" t="s">
        <v>240</v>
      </c>
      <c r="DF906" s="5" t="s">
        <v>843</v>
      </c>
      <c r="DG906" s="7">
        <f>1282.85</f>
        <v>1282.8499999999999</v>
      </c>
      <c r="DI906" s="5" t="s">
        <v>843</v>
      </c>
      <c r="DJ906" s="5" t="s">
        <v>240</v>
      </c>
      <c r="DK906" s="5" t="s">
        <v>240</v>
      </c>
      <c r="DL906" s="5" t="s">
        <v>240</v>
      </c>
      <c r="DP906" s="5" t="s">
        <v>240</v>
      </c>
      <c r="DQ906" s="5" t="s">
        <v>240</v>
      </c>
      <c r="DR906" s="5" t="s">
        <v>240</v>
      </c>
      <c r="DS906" s="5" t="s">
        <v>240</v>
      </c>
      <c r="DV906" s="5" t="s">
        <v>1940</v>
      </c>
      <c r="DW906" s="5" t="s">
        <v>621</v>
      </c>
      <c r="HO906" s="5" t="s">
        <v>312</v>
      </c>
    </row>
    <row r="907" spans="1:240" x14ac:dyDescent="0.4">
      <c r="A907" s="5">
        <v>2582</v>
      </c>
      <c r="B907" s="5">
        <v>1</v>
      </c>
      <c r="C907" s="5">
        <v>1</v>
      </c>
      <c r="D907" s="5" t="s">
        <v>297</v>
      </c>
      <c r="E907" s="5" t="s">
        <v>245</v>
      </c>
      <c r="F907" s="5" t="s">
        <v>254</v>
      </c>
      <c r="G907" s="5" t="s">
        <v>240</v>
      </c>
      <c r="H907" s="6" t="s">
        <v>511</v>
      </c>
      <c r="I907" s="5" t="s">
        <v>295</v>
      </c>
      <c r="J907" s="8">
        <f>798</f>
        <v>798</v>
      </c>
      <c r="K907" s="5" t="s">
        <v>308</v>
      </c>
      <c r="L907" s="7">
        <f>1</f>
        <v>1</v>
      </c>
      <c r="M907" s="7">
        <f>1</f>
        <v>1</v>
      </c>
      <c r="N907" s="5" t="s">
        <v>242</v>
      </c>
      <c r="O907" s="5">
        <v>1</v>
      </c>
      <c r="P907" s="5" t="s">
        <v>294</v>
      </c>
      <c r="Q907" s="5" t="s">
        <v>613</v>
      </c>
      <c r="R907" s="5" t="s">
        <v>240</v>
      </c>
      <c r="S907" s="5" t="s">
        <v>240</v>
      </c>
      <c r="T907" s="5" t="s">
        <v>243</v>
      </c>
      <c r="U907" s="5" t="s">
        <v>244</v>
      </c>
      <c r="V907" s="5" t="s">
        <v>240</v>
      </c>
      <c r="Y907" s="5" t="s">
        <v>240</v>
      </c>
      <c r="Z907" s="6" t="s">
        <v>298</v>
      </c>
      <c r="AB907" s="6" t="s">
        <v>240</v>
      </c>
      <c r="AE907" s="6" t="s">
        <v>299</v>
      </c>
      <c r="AF907" s="5" t="s">
        <v>248</v>
      </c>
      <c r="AG907" s="5" t="s">
        <v>249</v>
      </c>
      <c r="AW907" s="5" t="s">
        <v>251</v>
      </c>
      <c r="AX907" s="5" t="s">
        <v>240</v>
      </c>
      <c r="AY907" s="5" t="s">
        <v>253</v>
      </c>
      <c r="AZ907" s="5" t="s">
        <v>240</v>
      </c>
      <c r="BA907" s="5" t="s">
        <v>255</v>
      </c>
      <c r="BB907" s="5" t="s">
        <v>240</v>
      </c>
      <c r="BD907" s="5" t="s">
        <v>686</v>
      </c>
      <c r="BF907" s="5" t="s">
        <v>687</v>
      </c>
      <c r="BG907" s="6" t="s">
        <v>1943</v>
      </c>
      <c r="BH907" s="5" t="s">
        <v>302</v>
      </c>
      <c r="BI907" s="5" t="s">
        <v>303</v>
      </c>
      <c r="BJ907" s="5" t="s">
        <v>240</v>
      </c>
      <c r="BK907" s="8">
        <f>0</f>
        <v>0</v>
      </c>
      <c r="BL907" s="7">
        <f>0</f>
        <v>0</v>
      </c>
      <c r="BM907" s="5" t="s">
        <v>258</v>
      </c>
      <c r="BN907" s="5" t="s">
        <v>259</v>
      </c>
      <c r="CB907" s="5" t="s">
        <v>240</v>
      </c>
      <c r="CC907" s="5" t="s">
        <v>240</v>
      </c>
      <c r="CG907" s="5" t="s">
        <v>617</v>
      </c>
      <c r="CH907" s="5" t="s">
        <v>305</v>
      </c>
      <c r="CI907" s="5" t="s">
        <v>240</v>
      </c>
      <c r="CL907" s="6" t="s">
        <v>261</v>
      </c>
      <c r="CM907" s="5" t="s">
        <v>240</v>
      </c>
      <c r="CN907" s="5" t="s">
        <v>263</v>
      </c>
      <c r="CO907" s="5" t="s">
        <v>240</v>
      </c>
      <c r="CP907" s="5" t="s">
        <v>240</v>
      </c>
      <c r="CQ907" s="5">
        <v>0</v>
      </c>
      <c r="CR907" s="5" t="s">
        <v>306</v>
      </c>
      <c r="CS907" s="5" t="s">
        <v>307</v>
      </c>
      <c r="CT907" s="5" t="s">
        <v>307</v>
      </c>
      <c r="CU907" s="5" t="s">
        <v>260</v>
      </c>
      <c r="CX907" s="7">
        <f>4703254</f>
        <v>4703254</v>
      </c>
      <c r="CY907" s="7">
        <f>0</f>
        <v>0</v>
      </c>
      <c r="DA907" s="7">
        <f>0</f>
        <v>0</v>
      </c>
      <c r="DC907" s="5" t="s">
        <v>843</v>
      </c>
      <c r="DD907" s="5" t="s">
        <v>240</v>
      </c>
      <c r="DF907" s="5" t="s">
        <v>843</v>
      </c>
      <c r="DG907" s="7">
        <f>546.89</f>
        <v>546.89</v>
      </c>
      <c r="DI907" s="5" t="s">
        <v>843</v>
      </c>
      <c r="DJ907" s="5" t="s">
        <v>240</v>
      </c>
      <c r="DK907" s="5" t="s">
        <v>240</v>
      </c>
      <c r="DL907" s="5" t="s">
        <v>240</v>
      </c>
      <c r="DP907" s="5" t="s">
        <v>240</v>
      </c>
      <c r="DQ907" s="5" t="s">
        <v>240</v>
      </c>
      <c r="DR907" s="5" t="s">
        <v>240</v>
      </c>
      <c r="DS907" s="5" t="s">
        <v>240</v>
      </c>
      <c r="DV907" s="5" t="s">
        <v>1940</v>
      </c>
      <c r="DW907" s="5" t="s">
        <v>312</v>
      </c>
      <c r="HO907" s="5" t="s">
        <v>312</v>
      </c>
    </row>
    <row r="908" spans="1:240" x14ac:dyDescent="0.4">
      <c r="A908" s="5">
        <v>2583</v>
      </c>
      <c r="B908" s="5">
        <v>1</v>
      </c>
      <c r="C908" s="5">
        <v>1</v>
      </c>
      <c r="D908" s="5" t="s">
        <v>297</v>
      </c>
      <c r="E908" s="5" t="s">
        <v>245</v>
      </c>
      <c r="F908" s="5" t="s">
        <v>254</v>
      </c>
      <c r="G908" s="5" t="s">
        <v>240</v>
      </c>
      <c r="H908" s="6" t="s">
        <v>509</v>
      </c>
      <c r="I908" s="5" t="s">
        <v>295</v>
      </c>
      <c r="J908" s="8">
        <f>368</f>
        <v>368</v>
      </c>
      <c r="K908" s="5" t="s">
        <v>308</v>
      </c>
      <c r="L908" s="7">
        <f>1</f>
        <v>1</v>
      </c>
      <c r="M908" s="7">
        <f>1</f>
        <v>1</v>
      </c>
      <c r="N908" s="5" t="s">
        <v>242</v>
      </c>
      <c r="O908" s="5">
        <v>1</v>
      </c>
      <c r="P908" s="5" t="s">
        <v>294</v>
      </c>
      <c r="Q908" s="5" t="s">
        <v>613</v>
      </c>
      <c r="R908" s="5" t="s">
        <v>240</v>
      </c>
      <c r="S908" s="5" t="s">
        <v>240</v>
      </c>
      <c r="T908" s="5" t="s">
        <v>243</v>
      </c>
      <c r="U908" s="5" t="s">
        <v>244</v>
      </c>
      <c r="V908" s="5" t="s">
        <v>240</v>
      </c>
      <c r="Y908" s="5" t="s">
        <v>240</v>
      </c>
      <c r="Z908" s="6" t="s">
        <v>298</v>
      </c>
      <c r="AB908" s="6" t="s">
        <v>240</v>
      </c>
      <c r="AE908" s="6" t="s">
        <v>299</v>
      </c>
      <c r="AF908" s="5" t="s">
        <v>248</v>
      </c>
      <c r="AG908" s="5" t="s">
        <v>249</v>
      </c>
      <c r="AW908" s="5" t="s">
        <v>251</v>
      </c>
      <c r="AX908" s="5" t="s">
        <v>240</v>
      </c>
      <c r="AY908" s="5" t="s">
        <v>253</v>
      </c>
      <c r="AZ908" s="5" t="s">
        <v>240</v>
      </c>
      <c r="BA908" s="5" t="s">
        <v>255</v>
      </c>
      <c r="BB908" s="5" t="s">
        <v>240</v>
      </c>
      <c r="BD908" s="5" t="s">
        <v>240</v>
      </c>
      <c r="BF908" s="5" t="s">
        <v>687</v>
      </c>
      <c r="BG908" s="6" t="s">
        <v>1943</v>
      </c>
      <c r="BH908" s="5" t="s">
        <v>302</v>
      </c>
      <c r="BI908" s="5" t="s">
        <v>303</v>
      </c>
      <c r="BJ908" s="5" t="s">
        <v>240</v>
      </c>
      <c r="BK908" s="8">
        <f>0</f>
        <v>0</v>
      </c>
      <c r="BL908" s="7">
        <f>0</f>
        <v>0</v>
      </c>
      <c r="BM908" s="5" t="s">
        <v>258</v>
      </c>
      <c r="BN908" s="5" t="s">
        <v>259</v>
      </c>
      <c r="CB908" s="5" t="s">
        <v>240</v>
      </c>
      <c r="CC908" s="5" t="s">
        <v>240</v>
      </c>
      <c r="CG908" s="5" t="s">
        <v>617</v>
      </c>
      <c r="CH908" s="5" t="s">
        <v>305</v>
      </c>
      <c r="CI908" s="5" t="s">
        <v>240</v>
      </c>
      <c r="CL908" s="6" t="s">
        <v>261</v>
      </c>
      <c r="CM908" s="5" t="s">
        <v>240</v>
      </c>
      <c r="CN908" s="5" t="s">
        <v>263</v>
      </c>
      <c r="CO908" s="5" t="s">
        <v>240</v>
      </c>
      <c r="CP908" s="5" t="s">
        <v>240</v>
      </c>
      <c r="CQ908" s="5">
        <v>0</v>
      </c>
      <c r="CR908" s="5" t="s">
        <v>306</v>
      </c>
      <c r="CS908" s="5" t="s">
        <v>307</v>
      </c>
      <c r="CT908" s="5" t="s">
        <v>307</v>
      </c>
      <c r="CU908" s="5" t="s">
        <v>260</v>
      </c>
      <c r="CX908" s="7">
        <f>6647215</f>
        <v>6647215</v>
      </c>
      <c r="CY908" s="7">
        <f>0</f>
        <v>0</v>
      </c>
      <c r="DA908" s="7">
        <f>0</f>
        <v>0</v>
      </c>
      <c r="DC908" s="5" t="s">
        <v>689</v>
      </c>
      <c r="DD908" s="5" t="s">
        <v>240</v>
      </c>
      <c r="DF908" s="5" t="s">
        <v>689</v>
      </c>
      <c r="DG908" s="7">
        <f>3001</f>
        <v>3001</v>
      </c>
      <c r="DI908" s="5" t="s">
        <v>618</v>
      </c>
      <c r="DJ908" s="5" t="s">
        <v>240</v>
      </c>
      <c r="DK908" s="5" t="s">
        <v>240</v>
      </c>
      <c r="DL908" s="5" t="s">
        <v>240</v>
      </c>
      <c r="DP908" s="5" t="s">
        <v>240</v>
      </c>
      <c r="DQ908" s="5" t="s">
        <v>240</v>
      </c>
      <c r="DR908" s="5" t="s">
        <v>240</v>
      </c>
      <c r="DS908" s="5" t="s">
        <v>240</v>
      </c>
      <c r="DV908" s="5" t="s">
        <v>1947</v>
      </c>
      <c r="DW908" s="5" t="s">
        <v>621</v>
      </c>
      <c r="HO908" s="5" t="s">
        <v>312</v>
      </c>
    </row>
    <row r="909" spans="1:240" x14ac:dyDescent="0.4">
      <c r="A909" s="5">
        <v>2584</v>
      </c>
      <c r="B909" s="5">
        <v>1</v>
      </c>
      <c r="C909" s="5">
        <v>1</v>
      </c>
      <c r="D909" s="5" t="s">
        <v>297</v>
      </c>
      <c r="E909" s="5" t="s">
        <v>245</v>
      </c>
      <c r="F909" s="5" t="s">
        <v>254</v>
      </c>
      <c r="G909" s="5" t="s">
        <v>240</v>
      </c>
      <c r="H909" s="6" t="s">
        <v>507</v>
      </c>
      <c r="I909" s="5" t="s">
        <v>295</v>
      </c>
      <c r="J909" s="8">
        <f>169</f>
        <v>169</v>
      </c>
      <c r="K909" s="5" t="s">
        <v>308</v>
      </c>
      <c r="L909" s="7">
        <f>1</f>
        <v>1</v>
      </c>
      <c r="M909" s="7">
        <f>1</f>
        <v>1</v>
      </c>
      <c r="N909" s="5" t="s">
        <v>242</v>
      </c>
      <c r="O909" s="5">
        <v>1</v>
      </c>
      <c r="P909" s="5" t="s">
        <v>294</v>
      </c>
      <c r="Q909" s="5" t="s">
        <v>613</v>
      </c>
      <c r="R909" s="5" t="s">
        <v>240</v>
      </c>
      <c r="S909" s="5" t="s">
        <v>240</v>
      </c>
      <c r="T909" s="5" t="s">
        <v>243</v>
      </c>
      <c r="U909" s="5" t="s">
        <v>244</v>
      </c>
      <c r="V909" s="5" t="s">
        <v>240</v>
      </c>
      <c r="Y909" s="5" t="s">
        <v>240</v>
      </c>
      <c r="Z909" s="6" t="s">
        <v>298</v>
      </c>
      <c r="AB909" s="6" t="s">
        <v>240</v>
      </c>
      <c r="AE909" s="6" t="s">
        <v>299</v>
      </c>
      <c r="AF909" s="5" t="s">
        <v>248</v>
      </c>
      <c r="AG909" s="5" t="s">
        <v>249</v>
      </c>
      <c r="AW909" s="5" t="s">
        <v>251</v>
      </c>
      <c r="AX909" s="5" t="s">
        <v>240</v>
      </c>
      <c r="AY909" s="5" t="s">
        <v>253</v>
      </c>
      <c r="AZ909" s="5" t="s">
        <v>240</v>
      </c>
      <c r="BA909" s="5" t="s">
        <v>255</v>
      </c>
      <c r="BB909" s="5" t="s">
        <v>240</v>
      </c>
      <c r="BD909" s="5" t="s">
        <v>686</v>
      </c>
      <c r="BF909" s="5" t="s">
        <v>687</v>
      </c>
      <c r="BG909" s="6" t="s">
        <v>1943</v>
      </c>
      <c r="BH909" s="5" t="s">
        <v>302</v>
      </c>
      <c r="BI909" s="5" t="s">
        <v>303</v>
      </c>
      <c r="BJ909" s="5" t="s">
        <v>240</v>
      </c>
      <c r="BK909" s="8">
        <f>0</f>
        <v>0</v>
      </c>
      <c r="BL909" s="7">
        <f>0</f>
        <v>0</v>
      </c>
      <c r="BM909" s="5" t="s">
        <v>258</v>
      </c>
      <c r="BN909" s="5" t="s">
        <v>259</v>
      </c>
      <c r="CB909" s="5" t="s">
        <v>240</v>
      </c>
      <c r="CC909" s="5" t="s">
        <v>240</v>
      </c>
      <c r="CG909" s="5" t="s">
        <v>617</v>
      </c>
      <c r="CH909" s="5" t="s">
        <v>305</v>
      </c>
      <c r="CI909" s="5" t="s">
        <v>240</v>
      </c>
      <c r="CL909" s="6" t="s">
        <v>261</v>
      </c>
      <c r="CM909" s="5" t="s">
        <v>240</v>
      </c>
      <c r="CN909" s="5" t="s">
        <v>263</v>
      </c>
      <c r="CO909" s="5" t="s">
        <v>240</v>
      </c>
      <c r="CP909" s="5" t="s">
        <v>240</v>
      </c>
      <c r="CQ909" s="5">
        <v>0</v>
      </c>
      <c r="CR909" s="5" t="s">
        <v>306</v>
      </c>
      <c r="CS909" s="5" t="s">
        <v>307</v>
      </c>
      <c r="CT909" s="5" t="s">
        <v>307</v>
      </c>
      <c r="CU909" s="5" t="s">
        <v>260</v>
      </c>
      <c r="CX909" s="7">
        <f>3521783</f>
        <v>3521783</v>
      </c>
      <c r="CY909" s="7">
        <f>0</f>
        <v>0</v>
      </c>
      <c r="DA909" s="7">
        <f>0</f>
        <v>0</v>
      </c>
      <c r="DC909" s="5" t="s">
        <v>689</v>
      </c>
      <c r="DD909" s="5" t="s">
        <v>240</v>
      </c>
      <c r="DF909" s="5" t="s">
        <v>843</v>
      </c>
      <c r="DG909" s="7">
        <f>1589.97</f>
        <v>1589.97</v>
      </c>
      <c r="DI909" s="5" t="s">
        <v>618</v>
      </c>
      <c r="DJ909" s="5" t="s">
        <v>240</v>
      </c>
      <c r="DK909" s="5" t="s">
        <v>240</v>
      </c>
      <c r="DL909" s="5" t="s">
        <v>240</v>
      </c>
      <c r="DP909" s="5" t="s">
        <v>240</v>
      </c>
      <c r="DQ909" s="5" t="s">
        <v>240</v>
      </c>
      <c r="DR909" s="5" t="s">
        <v>240</v>
      </c>
      <c r="DS909" s="5" t="s">
        <v>240</v>
      </c>
      <c r="DV909" s="5" t="s">
        <v>1947</v>
      </c>
      <c r="DW909" s="5" t="s">
        <v>312</v>
      </c>
      <c r="HO909" s="5" t="s">
        <v>312</v>
      </c>
    </row>
    <row r="910" spans="1:240" x14ac:dyDescent="0.4">
      <c r="A910" s="5">
        <v>2585</v>
      </c>
      <c r="B910" s="5">
        <v>1</v>
      </c>
      <c r="C910" s="5">
        <v>1</v>
      </c>
      <c r="D910" s="5" t="s">
        <v>297</v>
      </c>
      <c r="E910" s="5" t="s">
        <v>245</v>
      </c>
      <c r="F910" s="5" t="s">
        <v>254</v>
      </c>
      <c r="G910" s="5" t="s">
        <v>240</v>
      </c>
      <c r="H910" s="6" t="s">
        <v>505</v>
      </c>
      <c r="I910" s="5" t="s">
        <v>295</v>
      </c>
      <c r="J910" s="8">
        <f>98</f>
        <v>98</v>
      </c>
      <c r="K910" s="5" t="s">
        <v>308</v>
      </c>
      <c r="L910" s="7">
        <f>1</f>
        <v>1</v>
      </c>
      <c r="M910" s="7">
        <f>1</f>
        <v>1</v>
      </c>
      <c r="N910" s="5" t="s">
        <v>242</v>
      </c>
      <c r="O910" s="5">
        <v>1</v>
      </c>
      <c r="P910" s="5" t="s">
        <v>294</v>
      </c>
      <c r="Q910" s="5" t="s">
        <v>613</v>
      </c>
      <c r="R910" s="5" t="s">
        <v>240</v>
      </c>
      <c r="S910" s="5" t="s">
        <v>240</v>
      </c>
      <c r="T910" s="5" t="s">
        <v>243</v>
      </c>
      <c r="U910" s="5" t="s">
        <v>724</v>
      </c>
      <c r="V910" s="5" t="s">
        <v>240</v>
      </c>
      <c r="W910" s="5" t="s">
        <v>240</v>
      </c>
      <c r="X910" s="5" t="s">
        <v>240</v>
      </c>
      <c r="Y910" s="5" t="s">
        <v>240</v>
      </c>
      <c r="Z910" s="6" t="s">
        <v>298</v>
      </c>
      <c r="AA910" s="6" t="s">
        <v>240</v>
      </c>
      <c r="AB910" s="6" t="s">
        <v>240</v>
      </c>
      <c r="AC910" s="5" t="s">
        <v>240</v>
      </c>
      <c r="AD910" s="6" t="s">
        <v>240</v>
      </c>
      <c r="AE910" s="6" t="s">
        <v>299</v>
      </c>
      <c r="AF910" s="5" t="s">
        <v>727</v>
      </c>
      <c r="AG910" s="5" t="s">
        <v>260</v>
      </c>
      <c r="AH910" s="5" t="s">
        <v>240</v>
      </c>
      <c r="AI910" s="5" t="s">
        <v>240</v>
      </c>
      <c r="AJ910" s="5" t="s">
        <v>240</v>
      </c>
      <c r="AK910" s="5" t="s">
        <v>240</v>
      </c>
      <c r="AL910" s="5" t="s">
        <v>240</v>
      </c>
      <c r="AM910" s="5" t="s">
        <v>240</v>
      </c>
      <c r="AN910" s="5" t="s">
        <v>240</v>
      </c>
      <c r="AO910" s="5" t="s">
        <v>240</v>
      </c>
      <c r="AP910" s="6" t="s">
        <v>240</v>
      </c>
      <c r="AQ910" s="6" t="s">
        <v>240</v>
      </c>
      <c r="AR910" s="6" t="s">
        <v>240</v>
      </c>
      <c r="AS910" s="6" t="s">
        <v>240</v>
      </c>
      <c r="AT910" s="5" t="s">
        <v>240</v>
      </c>
      <c r="AU910" s="5" t="s">
        <v>729</v>
      </c>
      <c r="AV910" s="5" t="s">
        <v>729</v>
      </c>
      <c r="AW910" s="5" t="s">
        <v>251</v>
      </c>
      <c r="AX910" s="5" t="s">
        <v>252</v>
      </c>
      <c r="AY910" s="5" t="s">
        <v>253</v>
      </c>
      <c r="AZ910" s="5" t="s">
        <v>240</v>
      </c>
      <c r="BA910" s="5" t="s">
        <v>255</v>
      </c>
      <c r="BB910" s="5" t="s">
        <v>731</v>
      </c>
      <c r="BD910" s="5" t="s">
        <v>240</v>
      </c>
      <c r="BF910" s="5" t="s">
        <v>732</v>
      </c>
      <c r="BG910" s="6" t="s">
        <v>733</v>
      </c>
      <c r="BH910" s="5" t="s">
        <v>734</v>
      </c>
      <c r="BI910" s="5" t="s">
        <v>734</v>
      </c>
      <c r="BJ910" s="5" t="s">
        <v>240</v>
      </c>
      <c r="BK910" s="8">
        <f>62.48</f>
        <v>62.48</v>
      </c>
      <c r="BL910" s="7">
        <f>0</f>
        <v>0</v>
      </c>
      <c r="BM910" s="5" t="s">
        <v>258</v>
      </c>
      <c r="BN910" s="5" t="s">
        <v>259</v>
      </c>
      <c r="BO910" s="5" t="s">
        <v>240</v>
      </c>
      <c r="BP910" s="5" t="s">
        <v>240</v>
      </c>
      <c r="BQ910" s="5" t="s">
        <v>240</v>
      </c>
      <c r="BR910" s="5" t="s">
        <v>240</v>
      </c>
      <c r="BS910" s="5" t="s">
        <v>240</v>
      </c>
      <c r="BT910" s="5" t="s">
        <v>240</v>
      </c>
      <c r="BU910" s="5" t="s">
        <v>240</v>
      </c>
      <c r="BV910" s="5" t="s">
        <v>240</v>
      </c>
      <c r="BW910" s="6" t="s">
        <v>240</v>
      </c>
      <c r="BX910" s="5" t="s">
        <v>240</v>
      </c>
      <c r="BY910" s="5" t="s">
        <v>240</v>
      </c>
      <c r="BZ910" s="5" t="s">
        <v>240</v>
      </c>
      <c r="CA910" s="5" t="s">
        <v>259</v>
      </c>
      <c r="CB910" s="5" t="s">
        <v>240</v>
      </c>
      <c r="CC910" s="5" t="s">
        <v>240</v>
      </c>
      <c r="CD910" s="5" t="s">
        <v>240</v>
      </c>
      <c r="CE910" s="5" t="s">
        <v>240</v>
      </c>
      <c r="CF910" s="5" t="s">
        <v>240</v>
      </c>
      <c r="CG910" s="5" t="s">
        <v>617</v>
      </c>
      <c r="CH910" s="5" t="s">
        <v>305</v>
      </c>
      <c r="CI910" s="5" t="s">
        <v>240</v>
      </c>
      <c r="CL910" s="6" t="s">
        <v>261</v>
      </c>
      <c r="CM910" s="5" t="s">
        <v>262</v>
      </c>
      <c r="CN910" s="5" t="s">
        <v>263</v>
      </c>
      <c r="CO910" s="5" t="s">
        <v>264</v>
      </c>
      <c r="CP910" s="5" t="s">
        <v>240</v>
      </c>
      <c r="CQ910" s="5">
        <v>0</v>
      </c>
      <c r="CR910" s="5" t="s">
        <v>735</v>
      </c>
      <c r="CS910" s="5" t="s">
        <v>307</v>
      </c>
      <c r="CT910" s="5" t="s">
        <v>307</v>
      </c>
      <c r="CU910" s="5" t="s">
        <v>260</v>
      </c>
      <c r="CV910" s="5" t="s">
        <v>240</v>
      </c>
      <c r="CW910" s="8">
        <f>0</f>
        <v>0</v>
      </c>
      <c r="CX910" s="7">
        <f>0</f>
        <v>0</v>
      </c>
      <c r="CY910" s="7">
        <f>0</f>
        <v>0</v>
      </c>
      <c r="DA910" s="7">
        <f>687</f>
        <v>687</v>
      </c>
      <c r="DB910" s="7" t="s">
        <v>240</v>
      </c>
      <c r="DC910" s="5" t="s">
        <v>240</v>
      </c>
      <c r="DD910" s="5" t="s">
        <v>240</v>
      </c>
      <c r="DE910" s="5" t="s">
        <v>240</v>
      </c>
      <c r="DF910" s="5" t="s">
        <v>1790</v>
      </c>
      <c r="DG910" s="7">
        <f>0</f>
        <v>0</v>
      </c>
      <c r="DI910" s="5" t="s">
        <v>737</v>
      </c>
      <c r="DJ910" s="5" t="s">
        <v>240</v>
      </c>
      <c r="DK910" s="5" t="s">
        <v>240</v>
      </c>
      <c r="DL910" s="5" t="s">
        <v>240</v>
      </c>
      <c r="DM910" s="5" t="s">
        <v>240</v>
      </c>
      <c r="DN910" s="5" t="s">
        <v>240</v>
      </c>
      <c r="DO910" s="7" t="s">
        <v>240</v>
      </c>
      <c r="DP910" s="5" t="s">
        <v>240</v>
      </c>
      <c r="DQ910" s="5" t="s">
        <v>240</v>
      </c>
      <c r="DR910" s="5" t="s">
        <v>731</v>
      </c>
      <c r="DS910" s="5" t="s">
        <v>731</v>
      </c>
      <c r="DT910" s="5" t="s">
        <v>240</v>
      </c>
      <c r="DU910" s="5" t="s">
        <v>240</v>
      </c>
      <c r="DV910" s="5" t="s">
        <v>738</v>
      </c>
      <c r="DW910" s="5" t="s">
        <v>608</v>
      </c>
      <c r="DX910" s="5" t="s">
        <v>240</v>
      </c>
      <c r="DY910" s="5" t="s">
        <v>240</v>
      </c>
      <c r="DZ910" s="5" t="s">
        <v>240</v>
      </c>
      <c r="EA910" s="5" t="s">
        <v>240</v>
      </c>
      <c r="EB910" s="5" t="s">
        <v>240</v>
      </c>
      <c r="EC910" s="5" t="s">
        <v>240</v>
      </c>
      <c r="ED910" s="5" t="s">
        <v>240</v>
      </c>
      <c r="EE910" s="5" t="s">
        <v>240</v>
      </c>
      <c r="EF910" s="5" t="s">
        <v>240</v>
      </c>
      <c r="EG910" s="5" t="s">
        <v>240</v>
      </c>
      <c r="EH910" s="5" t="s">
        <v>240</v>
      </c>
      <c r="EI910" s="5" t="s">
        <v>240</v>
      </c>
      <c r="EJ910" s="5" t="s">
        <v>240</v>
      </c>
      <c r="EK910" s="5" t="s">
        <v>240</v>
      </c>
      <c r="EL910" s="5" t="s">
        <v>240</v>
      </c>
      <c r="EM910" s="5" t="s">
        <v>240</v>
      </c>
      <c r="EN910" s="5" t="s">
        <v>240</v>
      </c>
      <c r="EO910" s="5" t="s">
        <v>240</v>
      </c>
      <c r="EP910" s="5" t="s">
        <v>240</v>
      </c>
      <c r="EQ910" s="5" t="s">
        <v>240</v>
      </c>
      <c r="ER910" s="5" t="s">
        <v>240</v>
      </c>
      <c r="ES910" s="5" t="s">
        <v>240</v>
      </c>
      <c r="ET910" s="5" t="s">
        <v>240</v>
      </c>
      <c r="EU910" s="5" t="s">
        <v>240</v>
      </c>
      <c r="EV910" s="5" t="s">
        <v>240</v>
      </c>
      <c r="EW910" s="5" t="s">
        <v>240</v>
      </c>
      <c r="EX910" s="5" t="s">
        <v>240</v>
      </c>
      <c r="EY910" s="5" t="s">
        <v>240</v>
      </c>
      <c r="EZ910" s="5" t="s">
        <v>240</v>
      </c>
      <c r="FA910" s="5" t="s">
        <v>240</v>
      </c>
      <c r="FB910" s="5" t="s">
        <v>240</v>
      </c>
      <c r="FC910" s="5" t="s">
        <v>240</v>
      </c>
      <c r="FD910" s="5" t="s">
        <v>240</v>
      </c>
      <c r="FE910" s="5" t="s">
        <v>240</v>
      </c>
      <c r="FF910" s="5" t="s">
        <v>240</v>
      </c>
      <c r="FG910" s="5" t="s">
        <v>240</v>
      </c>
      <c r="FH910" s="5" t="s">
        <v>240</v>
      </c>
      <c r="FI910" s="5" t="s">
        <v>240</v>
      </c>
      <c r="FJ910" s="5" t="s">
        <v>240</v>
      </c>
      <c r="FK910" s="5" t="s">
        <v>240</v>
      </c>
      <c r="FL910" s="5" t="s">
        <v>240</v>
      </c>
      <c r="FM910" s="5" t="s">
        <v>240</v>
      </c>
      <c r="FN910" s="5" t="s">
        <v>240</v>
      </c>
      <c r="FO910" s="5" t="s">
        <v>240</v>
      </c>
      <c r="FP910" s="5" t="s">
        <v>240</v>
      </c>
      <c r="FQ910" s="5" t="s">
        <v>240</v>
      </c>
      <c r="FR910" s="5" t="s">
        <v>240</v>
      </c>
      <c r="FS910" s="5" t="s">
        <v>240</v>
      </c>
      <c r="FT910" s="5" t="s">
        <v>240</v>
      </c>
      <c r="FU910" s="5" t="s">
        <v>240</v>
      </c>
      <c r="FV910" s="5" t="s">
        <v>240</v>
      </c>
      <c r="FW910" s="5" t="s">
        <v>240</v>
      </c>
      <c r="FX910" s="5" t="s">
        <v>240</v>
      </c>
      <c r="FY910" s="5" t="s">
        <v>240</v>
      </c>
      <c r="FZ910" s="5" t="s">
        <v>240</v>
      </c>
      <c r="GA910" s="5" t="s">
        <v>240</v>
      </c>
      <c r="GB910" s="5" t="s">
        <v>240</v>
      </c>
      <c r="GC910" s="5" t="s">
        <v>240</v>
      </c>
      <c r="GD910" s="5" t="s">
        <v>240</v>
      </c>
      <c r="GE910" s="5" t="s">
        <v>240</v>
      </c>
      <c r="GF910" s="5" t="s">
        <v>240</v>
      </c>
      <c r="GG910" s="5" t="s">
        <v>240</v>
      </c>
      <c r="GH910" s="5" t="s">
        <v>240</v>
      </c>
      <c r="GI910" s="5" t="s">
        <v>240</v>
      </c>
      <c r="GJ910" s="5" t="s">
        <v>240</v>
      </c>
      <c r="GK910" s="5" t="s">
        <v>240</v>
      </c>
      <c r="GL910" s="5" t="s">
        <v>240</v>
      </c>
      <c r="GM910" s="5" t="s">
        <v>240</v>
      </c>
      <c r="GN910" s="5" t="s">
        <v>240</v>
      </c>
      <c r="GO910" s="5" t="s">
        <v>240</v>
      </c>
      <c r="GP910" s="5" t="s">
        <v>240</v>
      </c>
      <c r="GQ910" s="5" t="s">
        <v>240</v>
      </c>
      <c r="GR910" s="5" t="s">
        <v>240</v>
      </c>
      <c r="GS910" s="5" t="s">
        <v>240</v>
      </c>
      <c r="GT910" s="5" t="s">
        <v>240</v>
      </c>
      <c r="GU910" s="5" t="s">
        <v>240</v>
      </c>
      <c r="GV910" s="5" t="s">
        <v>240</v>
      </c>
      <c r="GW910" s="5" t="s">
        <v>240</v>
      </c>
      <c r="GX910" s="5" t="s">
        <v>240</v>
      </c>
      <c r="GY910" s="5" t="s">
        <v>240</v>
      </c>
      <c r="GZ910" s="5" t="s">
        <v>240</v>
      </c>
      <c r="HA910" s="5" t="s">
        <v>240</v>
      </c>
      <c r="HB910" s="5" t="s">
        <v>240</v>
      </c>
      <c r="HC910" s="5" t="s">
        <v>240</v>
      </c>
      <c r="HD910" s="5" t="s">
        <v>240</v>
      </c>
      <c r="HE910" s="5" t="s">
        <v>240</v>
      </c>
      <c r="HF910" s="5" t="s">
        <v>240</v>
      </c>
      <c r="HG910" s="5" t="s">
        <v>240</v>
      </c>
      <c r="HH910" s="5" t="s">
        <v>240</v>
      </c>
      <c r="HI910" s="5" t="s">
        <v>240</v>
      </c>
      <c r="HJ910" s="5" t="s">
        <v>240</v>
      </c>
      <c r="HK910" s="5" t="s">
        <v>240</v>
      </c>
      <c r="HL910" s="5" t="s">
        <v>240</v>
      </c>
      <c r="HM910" s="5" t="s">
        <v>240</v>
      </c>
      <c r="HN910" s="5" t="s">
        <v>240</v>
      </c>
      <c r="HO910" s="5" t="s">
        <v>620</v>
      </c>
      <c r="HP910" s="5" t="s">
        <v>240</v>
      </c>
      <c r="HQ910" s="5" t="s">
        <v>240</v>
      </c>
      <c r="HR910" s="5" t="s">
        <v>240</v>
      </c>
      <c r="HS910" s="5" t="s">
        <v>240</v>
      </c>
      <c r="HT910" s="5" t="s">
        <v>240</v>
      </c>
      <c r="HU910" s="5" t="s">
        <v>240</v>
      </c>
      <c r="HV910" s="5" t="s">
        <v>240</v>
      </c>
      <c r="HW910" s="5" t="s">
        <v>240</v>
      </c>
      <c r="HX910" s="5" t="s">
        <v>240</v>
      </c>
      <c r="HY910" s="5" t="s">
        <v>240</v>
      </c>
      <c r="HZ910" s="5" t="s">
        <v>240</v>
      </c>
      <c r="IA910" s="5" t="s">
        <v>240</v>
      </c>
      <c r="IB910" s="5" t="s">
        <v>240</v>
      </c>
      <c r="IC910" s="5" t="s">
        <v>240</v>
      </c>
      <c r="ID910" s="5" t="s">
        <v>240</v>
      </c>
      <c r="IE910" s="5" t="s">
        <v>240</v>
      </c>
      <c r="IF910" s="5" t="s">
        <v>240</v>
      </c>
    </row>
    <row r="911" spans="1:240" x14ac:dyDescent="0.4">
      <c r="A911" s="5">
        <v>2586</v>
      </c>
      <c r="B911" s="5">
        <v>1</v>
      </c>
      <c r="C911" s="5">
        <v>1</v>
      </c>
      <c r="D911" s="5" t="s">
        <v>297</v>
      </c>
      <c r="E911" s="5" t="s">
        <v>245</v>
      </c>
      <c r="F911" s="5" t="s">
        <v>254</v>
      </c>
      <c r="G911" s="5" t="s">
        <v>240</v>
      </c>
      <c r="H911" s="6" t="s">
        <v>503</v>
      </c>
      <c r="I911" s="5" t="s">
        <v>295</v>
      </c>
      <c r="J911" s="8">
        <f>0.83</f>
        <v>0.83</v>
      </c>
      <c r="K911" s="5" t="s">
        <v>308</v>
      </c>
      <c r="L911" s="7">
        <f>1</f>
        <v>1</v>
      </c>
      <c r="M911" s="7">
        <f>1</f>
        <v>1</v>
      </c>
      <c r="N911" s="5" t="s">
        <v>242</v>
      </c>
      <c r="O911" s="5">
        <v>1</v>
      </c>
      <c r="P911" s="5" t="s">
        <v>294</v>
      </c>
      <c r="Q911" s="5" t="s">
        <v>613</v>
      </c>
      <c r="R911" s="5" t="s">
        <v>240</v>
      </c>
      <c r="S911" s="5" t="s">
        <v>240</v>
      </c>
      <c r="T911" s="5" t="s">
        <v>243</v>
      </c>
      <c r="U911" s="5" t="s">
        <v>244</v>
      </c>
      <c r="V911" s="5" t="s">
        <v>240</v>
      </c>
      <c r="Y911" s="5" t="s">
        <v>240</v>
      </c>
      <c r="Z911" s="6" t="s">
        <v>298</v>
      </c>
      <c r="AB911" s="6" t="s">
        <v>240</v>
      </c>
      <c r="AE911" s="6" t="s">
        <v>299</v>
      </c>
      <c r="AF911" s="5" t="s">
        <v>248</v>
      </c>
      <c r="AG911" s="5" t="s">
        <v>249</v>
      </c>
      <c r="AW911" s="5" t="s">
        <v>251</v>
      </c>
      <c r="AX911" s="5" t="s">
        <v>240</v>
      </c>
      <c r="AY911" s="5" t="s">
        <v>253</v>
      </c>
      <c r="AZ911" s="5" t="s">
        <v>240</v>
      </c>
      <c r="BA911" s="5" t="s">
        <v>255</v>
      </c>
      <c r="BB911" s="5" t="s">
        <v>240</v>
      </c>
      <c r="BD911" s="5" t="s">
        <v>686</v>
      </c>
      <c r="BF911" s="5" t="s">
        <v>301</v>
      </c>
      <c r="BG911" s="6" t="s">
        <v>299</v>
      </c>
      <c r="BH911" s="5" t="s">
        <v>302</v>
      </c>
      <c r="BI911" s="5" t="s">
        <v>303</v>
      </c>
      <c r="BJ911" s="5" t="s">
        <v>240</v>
      </c>
      <c r="BK911" s="8">
        <f>0</f>
        <v>0</v>
      </c>
      <c r="BL911" s="7">
        <f>0</f>
        <v>0</v>
      </c>
      <c r="BM911" s="5" t="s">
        <v>258</v>
      </c>
      <c r="BN911" s="5" t="s">
        <v>259</v>
      </c>
      <c r="CB911" s="5" t="s">
        <v>240</v>
      </c>
      <c r="CC911" s="5" t="s">
        <v>240</v>
      </c>
      <c r="CG911" s="5" t="s">
        <v>617</v>
      </c>
      <c r="CH911" s="5" t="s">
        <v>305</v>
      </c>
      <c r="CI911" s="5" t="s">
        <v>240</v>
      </c>
      <c r="CL911" s="6" t="s">
        <v>261</v>
      </c>
      <c r="CM911" s="5" t="s">
        <v>240</v>
      </c>
      <c r="CN911" s="5" t="s">
        <v>263</v>
      </c>
      <c r="CO911" s="5" t="s">
        <v>240</v>
      </c>
      <c r="CP911" s="5" t="s">
        <v>240</v>
      </c>
      <c r="CQ911" s="5">
        <v>0</v>
      </c>
      <c r="CR911" s="5" t="s">
        <v>306</v>
      </c>
      <c r="CS911" s="5" t="s">
        <v>307</v>
      </c>
      <c r="CT911" s="5" t="s">
        <v>307</v>
      </c>
      <c r="CU911" s="5" t="s">
        <v>260</v>
      </c>
      <c r="CX911" s="7">
        <f>3987000</f>
        <v>3987000</v>
      </c>
      <c r="CY911" s="7">
        <f>0</f>
        <v>0</v>
      </c>
      <c r="DA911" s="7">
        <f>0</f>
        <v>0</v>
      </c>
      <c r="DC911" s="5" t="s">
        <v>689</v>
      </c>
      <c r="DD911" s="5" t="s">
        <v>240</v>
      </c>
      <c r="DF911" s="5" t="s">
        <v>689</v>
      </c>
      <c r="DG911" s="7">
        <f>1800</f>
        <v>1800</v>
      </c>
      <c r="DI911" s="5" t="s">
        <v>618</v>
      </c>
      <c r="DJ911" s="5" t="s">
        <v>240</v>
      </c>
      <c r="DK911" s="5" t="s">
        <v>240</v>
      </c>
      <c r="DL911" s="5" t="s">
        <v>240</v>
      </c>
      <c r="DP911" s="5" t="s">
        <v>240</v>
      </c>
      <c r="DQ911" s="5" t="s">
        <v>240</v>
      </c>
      <c r="DR911" s="5" t="s">
        <v>240</v>
      </c>
      <c r="DS911" s="5" t="s">
        <v>240</v>
      </c>
      <c r="DV911" s="5" t="s">
        <v>1953</v>
      </c>
      <c r="DW911" s="5" t="s">
        <v>312</v>
      </c>
      <c r="HO911" s="5" t="s">
        <v>312</v>
      </c>
    </row>
    <row r="912" spans="1:240" x14ac:dyDescent="0.4">
      <c r="A912" s="5">
        <v>2587</v>
      </c>
      <c r="B912" s="5">
        <v>1</v>
      </c>
      <c r="C912" s="5">
        <v>1</v>
      </c>
      <c r="D912" s="5" t="s">
        <v>297</v>
      </c>
      <c r="E912" s="5" t="s">
        <v>245</v>
      </c>
      <c r="F912" s="5" t="s">
        <v>254</v>
      </c>
      <c r="G912" s="5" t="s">
        <v>240</v>
      </c>
      <c r="H912" s="6" t="s">
        <v>501</v>
      </c>
      <c r="I912" s="5" t="s">
        <v>295</v>
      </c>
      <c r="J912" s="8">
        <f>57</f>
        <v>57</v>
      </c>
      <c r="K912" s="5" t="s">
        <v>308</v>
      </c>
      <c r="L912" s="7">
        <f>1</f>
        <v>1</v>
      </c>
      <c r="M912" s="7">
        <f>1</f>
        <v>1</v>
      </c>
      <c r="N912" s="5" t="s">
        <v>242</v>
      </c>
      <c r="O912" s="5">
        <v>1</v>
      </c>
      <c r="P912" s="5" t="s">
        <v>294</v>
      </c>
      <c r="Q912" s="5" t="s">
        <v>613</v>
      </c>
      <c r="R912" s="5" t="s">
        <v>240</v>
      </c>
      <c r="S912" s="5" t="s">
        <v>240</v>
      </c>
      <c r="T912" s="5" t="s">
        <v>243</v>
      </c>
      <c r="U912" s="5" t="s">
        <v>244</v>
      </c>
      <c r="V912" s="5" t="s">
        <v>240</v>
      </c>
      <c r="Y912" s="5" t="s">
        <v>240</v>
      </c>
      <c r="Z912" s="6" t="s">
        <v>298</v>
      </c>
      <c r="AB912" s="6" t="s">
        <v>240</v>
      </c>
      <c r="AE912" s="6" t="s">
        <v>299</v>
      </c>
      <c r="AF912" s="5" t="s">
        <v>248</v>
      </c>
      <c r="AG912" s="5" t="s">
        <v>249</v>
      </c>
      <c r="AW912" s="5" t="s">
        <v>251</v>
      </c>
      <c r="AX912" s="5" t="s">
        <v>240</v>
      </c>
      <c r="AY912" s="5" t="s">
        <v>253</v>
      </c>
      <c r="AZ912" s="5" t="s">
        <v>240</v>
      </c>
      <c r="BA912" s="5" t="s">
        <v>255</v>
      </c>
      <c r="BB912" s="5" t="s">
        <v>240</v>
      </c>
      <c r="BD912" s="5" t="s">
        <v>686</v>
      </c>
      <c r="BF912" s="5" t="s">
        <v>301</v>
      </c>
      <c r="BG912" s="6" t="s">
        <v>299</v>
      </c>
      <c r="BH912" s="5" t="s">
        <v>302</v>
      </c>
      <c r="BI912" s="5" t="s">
        <v>303</v>
      </c>
      <c r="BJ912" s="5" t="s">
        <v>240</v>
      </c>
      <c r="BK912" s="8">
        <f>0</f>
        <v>0</v>
      </c>
      <c r="BL912" s="7">
        <f>0</f>
        <v>0</v>
      </c>
      <c r="BM912" s="5" t="s">
        <v>258</v>
      </c>
      <c r="BN912" s="5" t="s">
        <v>259</v>
      </c>
      <c r="CB912" s="5" t="s">
        <v>240</v>
      </c>
      <c r="CC912" s="5" t="s">
        <v>240</v>
      </c>
      <c r="CG912" s="5" t="s">
        <v>617</v>
      </c>
      <c r="CH912" s="5" t="s">
        <v>305</v>
      </c>
      <c r="CI912" s="5" t="s">
        <v>240</v>
      </c>
      <c r="CL912" s="6" t="s">
        <v>261</v>
      </c>
      <c r="CM912" s="5" t="s">
        <v>240</v>
      </c>
      <c r="CN912" s="5" t="s">
        <v>263</v>
      </c>
      <c r="CO912" s="5" t="s">
        <v>240</v>
      </c>
      <c r="CP912" s="5" t="s">
        <v>240</v>
      </c>
      <c r="CQ912" s="5">
        <v>0</v>
      </c>
      <c r="CR912" s="5" t="s">
        <v>306</v>
      </c>
      <c r="CS912" s="5" t="s">
        <v>307</v>
      </c>
      <c r="CT912" s="5" t="s">
        <v>307</v>
      </c>
      <c r="CU912" s="5" t="s">
        <v>260</v>
      </c>
      <c r="CX912" s="7">
        <f>4487124</f>
        <v>4487124</v>
      </c>
      <c r="CY912" s="7">
        <f>0</f>
        <v>0</v>
      </c>
      <c r="DA912" s="7">
        <f>0</f>
        <v>0</v>
      </c>
      <c r="DC912" s="5" t="s">
        <v>689</v>
      </c>
      <c r="DD912" s="5" t="s">
        <v>240</v>
      </c>
      <c r="DF912" s="5" t="s">
        <v>689</v>
      </c>
      <c r="DG912" s="7">
        <f>2025</f>
        <v>2025</v>
      </c>
      <c r="DH912" s="6" t="s">
        <v>1957</v>
      </c>
      <c r="DI912" s="5" t="s">
        <v>618</v>
      </c>
      <c r="DJ912" s="5" t="s">
        <v>240</v>
      </c>
      <c r="DK912" s="5" t="s">
        <v>240</v>
      </c>
      <c r="DL912" s="5" t="s">
        <v>240</v>
      </c>
      <c r="DP912" s="5" t="s">
        <v>240</v>
      </c>
      <c r="DQ912" s="5" t="s">
        <v>240</v>
      </c>
      <c r="DR912" s="5" t="s">
        <v>240</v>
      </c>
      <c r="DS912" s="5" t="s">
        <v>240</v>
      </c>
      <c r="DV912" s="5" t="s">
        <v>1958</v>
      </c>
      <c r="DW912" s="5" t="s">
        <v>312</v>
      </c>
      <c r="HO912" s="5" t="s">
        <v>312</v>
      </c>
    </row>
    <row r="913" spans="1:223" x14ac:dyDescent="0.4">
      <c r="A913" s="5">
        <v>2588</v>
      </c>
      <c r="B913" s="5">
        <v>1</v>
      </c>
      <c r="C913" s="5">
        <v>1</v>
      </c>
      <c r="D913" s="5" t="s">
        <v>297</v>
      </c>
      <c r="E913" s="5" t="s">
        <v>245</v>
      </c>
      <c r="F913" s="5" t="s">
        <v>254</v>
      </c>
      <c r="G913" s="5" t="s">
        <v>240</v>
      </c>
      <c r="H913" s="6" t="s">
        <v>499</v>
      </c>
      <c r="I913" s="5" t="s">
        <v>295</v>
      </c>
      <c r="J913" s="8">
        <f>1221</f>
        <v>1221</v>
      </c>
      <c r="K913" s="5" t="s">
        <v>308</v>
      </c>
      <c r="L913" s="7">
        <f>1</f>
        <v>1</v>
      </c>
      <c r="M913" s="7">
        <f>1</f>
        <v>1</v>
      </c>
      <c r="N913" s="5" t="s">
        <v>242</v>
      </c>
      <c r="O913" s="5">
        <v>1</v>
      </c>
      <c r="P913" s="5" t="s">
        <v>294</v>
      </c>
      <c r="Q913" s="5" t="s">
        <v>613</v>
      </c>
      <c r="R913" s="5" t="s">
        <v>240</v>
      </c>
      <c r="S913" s="5" t="s">
        <v>240</v>
      </c>
      <c r="T913" s="5" t="s">
        <v>243</v>
      </c>
      <c r="U913" s="5" t="s">
        <v>244</v>
      </c>
      <c r="V913" s="5" t="s">
        <v>240</v>
      </c>
      <c r="Y913" s="5" t="s">
        <v>240</v>
      </c>
      <c r="Z913" s="6" t="s">
        <v>298</v>
      </c>
      <c r="AB913" s="6" t="s">
        <v>240</v>
      </c>
      <c r="AE913" s="6" t="s">
        <v>299</v>
      </c>
      <c r="AF913" s="5" t="s">
        <v>248</v>
      </c>
      <c r="AG913" s="5" t="s">
        <v>249</v>
      </c>
      <c r="AW913" s="5" t="s">
        <v>251</v>
      </c>
      <c r="AX913" s="5" t="s">
        <v>240</v>
      </c>
      <c r="AY913" s="5" t="s">
        <v>253</v>
      </c>
      <c r="AZ913" s="5" t="s">
        <v>240</v>
      </c>
      <c r="BA913" s="5" t="s">
        <v>255</v>
      </c>
      <c r="BB913" s="5" t="s">
        <v>240</v>
      </c>
      <c r="BD913" s="5" t="s">
        <v>686</v>
      </c>
      <c r="BF913" s="5" t="s">
        <v>301</v>
      </c>
      <c r="BG913" s="6" t="s">
        <v>299</v>
      </c>
      <c r="BH913" s="5" t="s">
        <v>302</v>
      </c>
      <c r="BI913" s="5" t="s">
        <v>303</v>
      </c>
      <c r="BJ913" s="5" t="s">
        <v>240</v>
      </c>
      <c r="BK913" s="8">
        <f>0</f>
        <v>0</v>
      </c>
      <c r="BL913" s="7">
        <f>0</f>
        <v>0</v>
      </c>
      <c r="BM913" s="5" t="s">
        <v>258</v>
      </c>
      <c r="BN913" s="5" t="s">
        <v>259</v>
      </c>
      <c r="CB913" s="5" t="s">
        <v>240</v>
      </c>
      <c r="CC913" s="5" t="s">
        <v>240</v>
      </c>
      <c r="CG913" s="5" t="s">
        <v>617</v>
      </c>
      <c r="CH913" s="5" t="s">
        <v>305</v>
      </c>
      <c r="CI913" s="5" t="s">
        <v>240</v>
      </c>
      <c r="CL913" s="6" t="s">
        <v>261</v>
      </c>
      <c r="CM913" s="5" t="s">
        <v>240</v>
      </c>
      <c r="CN913" s="5" t="s">
        <v>263</v>
      </c>
      <c r="CO913" s="5" t="s">
        <v>240</v>
      </c>
      <c r="CP913" s="5" t="s">
        <v>240</v>
      </c>
      <c r="CQ913" s="5">
        <v>0</v>
      </c>
      <c r="CR913" s="5" t="s">
        <v>306</v>
      </c>
      <c r="CS913" s="5" t="s">
        <v>307</v>
      </c>
      <c r="CT913" s="5" t="s">
        <v>307</v>
      </c>
      <c r="CU913" s="5" t="s">
        <v>260</v>
      </c>
      <c r="CX913" s="7">
        <f>3748843</f>
        <v>3748843</v>
      </c>
      <c r="CY913" s="7">
        <f>0</f>
        <v>0</v>
      </c>
      <c r="DA913" s="7">
        <f>0</f>
        <v>0</v>
      </c>
      <c r="DC913" s="5" t="s">
        <v>689</v>
      </c>
      <c r="DD913" s="5" t="s">
        <v>240</v>
      </c>
      <c r="DF913" s="5" t="s">
        <v>689</v>
      </c>
      <c r="DG913" s="7">
        <f>1692</f>
        <v>1692</v>
      </c>
      <c r="DI913" s="5" t="s">
        <v>618</v>
      </c>
      <c r="DJ913" s="5" t="s">
        <v>240</v>
      </c>
      <c r="DK913" s="5" t="s">
        <v>240</v>
      </c>
      <c r="DL913" s="5" t="s">
        <v>240</v>
      </c>
      <c r="DP913" s="5" t="s">
        <v>240</v>
      </c>
      <c r="DQ913" s="5" t="s">
        <v>240</v>
      </c>
      <c r="DR913" s="5" t="s">
        <v>240</v>
      </c>
      <c r="DS913" s="5" t="s">
        <v>240</v>
      </c>
      <c r="DV913" s="5" t="s">
        <v>1962</v>
      </c>
      <c r="DW913" s="5" t="s">
        <v>312</v>
      </c>
      <c r="HO913" s="5" t="s">
        <v>312</v>
      </c>
    </row>
    <row r="914" spans="1:223" x14ac:dyDescent="0.4">
      <c r="A914" s="5">
        <v>2589</v>
      </c>
      <c r="B914" s="5">
        <v>1</v>
      </c>
      <c r="C914" s="5">
        <v>1</v>
      </c>
      <c r="D914" s="5" t="s">
        <v>297</v>
      </c>
      <c r="E914" s="5" t="s">
        <v>245</v>
      </c>
      <c r="F914" s="5" t="s">
        <v>254</v>
      </c>
      <c r="G914" s="5" t="s">
        <v>240</v>
      </c>
      <c r="H914" s="6" t="s">
        <v>497</v>
      </c>
      <c r="I914" s="5" t="s">
        <v>295</v>
      </c>
      <c r="J914" s="8">
        <f>485</f>
        <v>485</v>
      </c>
      <c r="K914" s="5" t="s">
        <v>308</v>
      </c>
      <c r="L914" s="7">
        <f>1</f>
        <v>1</v>
      </c>
      <c r="M914" s="7">
        <f>1</f>
        <v>1</v>
      </c>
      <c r="N914" s="5" t="s">
        <v>242</v>
      </c>
      <c r="O914" s="5">
        <v>1</v>
      </c>
      <c r="P914" s="5" t="s">
        <v>294</v>
      </c>
      <c r="Q914" s="5" t="s">
        <v>613</v>
      </c>
      <c r="R914" s="5" t="s">
        <v>240</v>
      </c>
      <c r="S914" s="5" t="s">
        <v>240</v>
      </c>
      <c r="T914" s="5" t="s">
        <v>243</v>
      </c>
      <c r="U914" s="5" t="s">
        <v>244</v>
      </c>
      <c r="V914" s="5" t="s">
        <v>240</v>
      </c>
      <c r="Y914" s="5" t="s">
        <v>240</v>
      </c>
      <c r="Z914" s="6" t="s">
        <v>298</v>
      </c>
      <c r="AB914" s="6" t="s">
        <v>240</v>
      </c>
      <c r="AE914" s="6" t="s">
        <v>299</v>
      </c>
      <c r="AF914" s="5" t="s">
        <v>248</v>
      </c>
      <c r="AG914" s="5" t="s">
        <v>249</v>
      </c>
      <c r="AW914" s="5" t="s">
        <v>251</v>
      </c>
      <c r="AX914" s="5" t="s">
        <v>240</v>
      </c>
      <c r="AY914" s="5" t="s">
        <v>253</v>
      </c>
      <c r="AZ914" s="5" t="s">
        <v>240</v>
      </c>
      <c r="BA914" s="5" t="s">
        <v>255</v>
      </c>
      <c r="BB914" s="5" t="s">
        <v>240</v>
      </c>
      <c r="BD914" s="5" t="s">
        <v>686</v>
      </c>
      <c r="BF914" s="5" t="s">
        <v>301</v>
      </c>
      <c r="BG914" s="6" t="s">
        <v>299</v>
      </c>
      <c r="BH914" s="5" t="s">
        <v>302</v>
      </c>
      <c r="BI914" s="5" t="s">
        <v>303</v>
      </c>
      <c r="BJ914" s="5" t="s">
        <v>240</v>
      </c>
      <c r="BK914" s="8">
        <f>0</f>
        <v>0</v>
      </c>
      <c r="BL914" s="7">
        <f>0</f>
        <v>0</v>
      </c>
      <c r="BM914" s="5" t="s">
        <v>258</v>
      </c>
      <c r="BN914" s="5" t="s">
        <v>259</v>
      </c>
      <c r="CB914" s="5" t="s">
        <v>240</v>
      </c>
      <c r="CC914" s="5" t="s">
        <v>240</v>
      </c>
      <c r="CG914" s="5" t="s">
        <v>617</v>
      </c>
      <c r="CH914" s="5" t="s">
        <v>305</v>
      </c>
      <c r="CI914" s="5" t="s">
        <v>240</v>
      </c>
      <c r="CL914" s="6" t="s">
        <v>261</v>
      </c>
      <c r="CM914" s="5" t="s">
        <v>240</v>
      </c>
      <c r="CN914" s="5" t="s">
        <v>263</v>
      </c>
      <c r="CO914" s="5" t="s">
        <v>240</v>
      </c>
      <c r="CP914" s="5" t="s">
        <v>240</v>
      </c>
      <c r="CQ914" s="5">
        <v>0</v>
      </c>
      <c r="CR914" s="5" t="s">
        <v>306</v>
      </c>
      <c r="CS914" s="5" t="s">
        <v>307</v>
      </c>
      <c r="CT914" s="5" t="s">
        <v>307</v>
      </c>
      <c r="CU914" s="5" t="s">
        <v>260</v>
      </c>
      <c r="CX914" s="7">
        <f>5308668</f>
        <v>5308668</v>
      </c>
      <c r="CY914" s="7">
        <f>0</f>
        <v>0</v>
      </c>
      <c r="DA914" s="7">
        <f>0</f>
        <v>0</v>
      </c>
      <c r="DC914" s="5" t="s">
        <v>689</v>
      </c>
      <c r="DD914" s="5" t="s">
        <v>240</v>
      </c>
      <c r="DF914" s="5" t="s">
        <v>689</v>
      </c>
      <c r="DG914" s="7">
        <f>2396</f>
        <v>2396</v>
      </c>
      <c r="DI914" s="5" t="s">
        <v>618</v>
      </c>
      <c r="DJ914" s="5" t="s">
        <v>240</v>
      </c>
      <c r="DK914" s="5" t="s">
        <v>240</v>
      </c>
      <c r="DL914" s="5" t="s">
        <v>240</v>
      </c>
      <c r="DP914" s="5" t="s">
        <v>240</v>
      </c>
      <c r="DQ914" s="5" t="s">
        <v>240</v>
      </c>
      <c r="DR914" s="5" t="s">
        <v>240</v>
      </c>
      <c r="DS914" s="5" t="s">
        <v>240</v>
      </c>
      <c r="DV914" s="5" t="s">
        <v>1966</v>
      </c>
      <c r="DW914" s="5" t="s">
        <v>312</v>
      </c>
      <c r="HO914" s="5" t="s">
        <v>312</v>
      </c>
    </row>
    <row r="915" spans="1:223" x14ac:dyDescent="0.4">
      <c r="A915" s="5">
        <v>2590</v>
      </c>
      <c r="B915" s="5">
        <v>1</v>
      </c>
      <c r="C915" s="5">
        <v>1</v>
      </c>
      <c r="D915" s="5" t="s">
        <v>297</v>
      </c>
      <c r="E915" s="5" t="s">
        <v>245</v>
      </c>
      <c r="F915" s="5" t="s">
        <v>254</v>
      </c>
      <c r="G915" s="5" t="s">
        <v>240</v>
      </c>
      <c r="H915" s="6" t="s">
        <v>495</v>
      </c>
      <c r="I915" s="5" t="s">
        <v>295</v>
      </c>
      <c r="J915" s="8">
        <f>80</f>
        <v>80</v>
      </c>
      <c r="K915" s="5" t="s">
        <v>308</v>
      </c>
      <c r="L915" s="7">
        <f>1</f>
        <v>1</v>
      </c>
      <c r="M915" s="7">
        <f>1</f>
        <v>1</v>
      </c>
      <c r="N915" s="5" t="s">
        <v>242</v>
      </c>
      <c r="O915" s="5">
        <v>1</v>
      </c>
      <c r="P915" s="5" t="s">
        <v>294</v>
      </c>
      <c r="Q915" s="5" t="s">
        <v>613</v>
      </c>
      <c r="R915" s="5" t="s">
        <v>240</v>
      </c>
      <c r="S915" s="5" t="s">
        <v>240</v>
      </c>
      <c r="T915" s="5" t="s">
        <v>243</v>
      </c>
      <c r="U915" s="5" t="s">
        <v>244</v>
      </c>
      <c r="V915" s="5" t="s">
        <v>240</v>
      </c>
      <c r="Y915" s="5" t="s">
        <v>240</v>
      </c>
      <c r="Z915" s="6" t="s">
        <v>298</v>
      </c>
      <c r="AB915" s="6" t="s">
        <v>240</v>
      </c>
      <c r="AE915" s="6" t="s">
        <v>299</v>
      </c>
      <c r="AF915" s="5" t="s">
        <v>248</v>
      </c>
      <c r="AG915" s="5" t="s">
        <v>249</v>
      </c>
      <c r="AW915" s="5" t="s">
        <v>251</v>
      </c>
      <c r="AX915" s="5" t="s">
        <v>240</v>
      </c>
      <c r="AY915" s="5" t="s">
        <v>253</v>
      </c>
      <c r="AZ915" s="5" t="s">
        <v>240</v>
      </c>
      <c r="BA915" s="5" t="s">
        <v>255</v>
      </c>
      <c r="BB915" s="5" t="s">
        <v>240</v>
      </c>
      <c r="BD915" s="5" t="s">
        <v>686</v>
      </c>
      <c r="BF915" s="5" t="s">
        <v>301</v>
      </c>
      <c r="BG915" s="6" t="s">
        <v>299</v>
      </c>
      <c r="BH915" s="5" t="s">
        <v>302</v>
      </c>
      <c r="BI915" s="5" t="s">
        <v>303</v>
      </c>
      <c r="BJ915" s="5" t="s">
        <v>240</v>
      </c>
      <c r="BK915" s="8">
        <f>0</f>
        <v>0</v>
      </c>
      <c r="BL915" s="7">
        <f>0</f>
        <v>0</v>
      </c>
      <c r="BM915" s="5" t="s">
        <v>258</v>
      </c>
      <c r="BN915" s="5" t="s">
        <v>259</v>
      </c>
      <c r="CB915" s="5" t="s">
        <v>240</v>
      </c>
      <c r="CC915" s="5" t="s">
        <v>240</v>
      </c>
      <c r="CG915" s="5" t="s">
        <v>617</v>
      </c>
      <c r="CH915" s="5" t="s">
        <v>305</v>
      </c>
      <c r="CI915" s="5" t="s">
        <v>240</v>
      </c>
      <c r="CL915" s="6" t="s">
        <v>261</v>
      </c>
      <c r="CM915" s="5" t="s">
        <v>240</v>
      </c>
      <c r="CN915" s="5" t="s">
        <v>263</v>
      </c>
      <c r="CO915" s="5" t="s">
        <v>240</v>
      </c>
      <c r="CP915" s="5" t="s">
        <v>240</v>
      </c>
      <c r="CQ915" s="5">
        <v>0</v>
      </c>
      <c r="CR915" s="5" t="s">
        <v>306</v>
      </c>
      <c r="CS915" s="5" t="s">
        <v>307</v>
      </c>
      <c r="CT915" s="5" t="s">
        <v>307</v>
      </c>
      <c r="CU915" s="5" t="s">
        <v>260</v>
      </c>
      <c r="CX915" s="7">
        <f>3114622</f>
        <v>3114622</v>
      </c>
      <c r="CY915" s="7">
        <f>0</f>
        <v>0</v>
      </c>
      <c r="DA915" s="7">
        <f>0</f>
        <v>0</v>
      </c>
      <c r="DC915" s="5" t="s">
        <v>689</v>
      </c>
      <c r="DD915" s="5" t="s">
        <v>240</v>
      </c>
      <c r="DF915" s="5" t="s">
        <v>689</v>
      </c>
      <c r="DG915" s="7">
        <f>1406</f>
        <v>1406</v>
      </c>
      <c r="DI915" s="5" t="s">
        <v>618</v>
      </c>
      <c r="DJ915" s="5" t="s">
        <v>240</v>
      </c>
      <c r="DK915" s="5" t="s">
        <v>240</v>
      </c>
      <c r="DL915" s="5" t="s">
        <v>240</v>
      </c>
      <c r="DP915" s="5" t="s">
        <v>240</v>
      </c>
      <c r="DQ915" s="5" t="s">
        <v>240</v>
      </c>
      <c r="DR915" s="5" t="s">
        <v>240</v>
      </c>
      <c r="DS915" s="5" t="s">
        <v>240</v>
      </c>
      <c r="DV915" s="5" t="s">
        <v>1970</v>
      </c>
      <c r="DW915" s="5" t="s">
        <v>312</v>
      </c>
      <c r="HO915" s="5" t="s">
        <v>312</v>
      </c>
    </row>
    <row r="916" spans="1:223" x14ac:dyDescent="0.4">
      <c r="A916" s="5">
        <v>2591</v>
      </c>
      <c r="B916" s="5">
        <v>1</v>
      </c>
      <c r="C916" s="5">
        <v>1</v>
      </c>
      <c r="D916" s="5" t="s">
        <v>297</v>
      </c>
      <c r="E916" s="5" t="s">
        <v>245</v>
      </c>
      <c r="F916" s="5" t="s">
        <v>254</v>
      </c>
      <c r="G916" s="5" t="s">
        <v>240</v>
      </c>
      <c r="H916" s="6" t="s">
        <v>493</v>
      </c>
      <c r="I916" s="5" t="s">
        <v>295</v>
      </c>
      <c r="J916" s="8">
        <f>7.11</f>
        <v>7.11</v>
      </c>
      <c r="K916" s="5" t="s">
        <v>308</v>
      </c>
      <c r="L916" s="7">
        <f>1</f>
        <v>1</v>
      </c>
      <c r="M916" s="7">
        <f>1</f>
        <v>1</v>
      </c>
      <c r="N916" s="5" t="s">
        <v>242</v>
      </c>
      <c r="O916" s="5">
        <v>1</v>
      </c>
      <c r="P916" s="5" t="s">
        <v>294</v>
      </c>
      <c r="Q916" s="5" t="s">
        <v>613</v>
      </c>
      <c r="R916" s="5" t="s">
        <v>240</v>
      </c>
      <c r="S916" s="5" t="s">
        <v>240</v>
      </c>
      <c r="T916" s="5" t="s">
        <v>243</v>
      </c>
      <c r="U916" s="5" t="s">
        <v>244</v>
      </c>
      <c r="V916" s="5" t="s">
        <v>240</v>
      </c>
      <c r="Y916" s="5" t="s">
        <v>240</v>
      </c>
      <c r="Z916" s="6" t="s">
        <v>298</v>
      </c>
      <c r="AB916" s="6" t="s">
        <v>240</v>
      </c>
      <c r="AE916" s="6" t="s">
        <v>299</v>
      </c>
      <c r="AF916" s="5" t="s">
        <v>248</v>
      </c>
      <c r="AG916" s="5" t="s">
        <v>249</v>
      </c>
      <c r="AW916" s="5" t="s">
        <v>251</v>
      </c>
      <c r="AX916" s="5" t="s">
        <v>240</v>
      </c>
      <c r="AY916" s="5" t="s">
        <v>253</v>
      </c>
      <c r="AZ916" s="5" t="s">
        <v>240</v>
      </c>
      <c r="BA916" s="5" t="s">
        <v>255</v>
      </c>
      <c r="BB916" s="5" t="s">
        <v>240</v>
      </c>
      <c r="BD916" s="5" t="s">
        <v>686</v>
      </c>
      <c r="BF916" s="5" t="s">
        <v>301</v>
      </c>
      <c r="BG916" s="6" t="s">
        <v>299</v>
      </c>
      <c r="BH916" s="5" t="s">
        <v>302</v>
      </c>
      <c r="BI916" s="5" t="s">
        <v>303</v>
      </c>
      <c r="BJ916" s="5" t="s">
        <v>240</v>
      </c>
      <c r="BK916" s="8">
        <f>0</f>
        <v>0</v>
      </c>
      <c r="BL916" s="7">
        <f>0</f>
        <v>0</v>
      </c>
      <c r="BM916" s="5" t="s">
        <v>258</v>
      </c>
      <c r="BN916" s="5" t="s">
        <v>259</v>
      </c>
      <c r="CB916" s="5" t="s">
        <v>240</v>
      </c>
      <c r="CC916" s="5" t="s">
        <v>240</v>
      </c>
      <c r="CG916" s="5" t="s">
        <v>617</v>
      </c>
      <c r="CH916" s="5" t="s">
        <v>305</v>
      </c>
      <c r="CI916" s="5" t="s">
        <v>240</v>
      </c>
      <c r="CL916" s="6" t="s">
        <v>261</v>
      </c>
      <c r="CM916" s="5" t="s">
        <v>240</v>
      </c>
      <c r="CN916" s="5" t="s">
        <v>263</v>
      </c>
      <c r="CO916" s="5" t="s">
        <v>240</v>
      </c>
      <c r="CP916" s="5" t="s">
        <v>240</v>
      </c>
      <c r="CQ916" s="5">
        <v>0</v>
      </c>
      <c r="CR916" s="5" t="s">
        <v>306</v>
      </c>
      <c r="CS916" s="5" t="s">
        <v>307</v>
      </c>
      <c r="CT916" s="5" t="s">
        <v>307</v>
      </c>
      <c r="CU916" s="5" t="s">
        <v>260</v>
      </c>
      <c r="CX916" s="7">
        <f>7863250</f>
        <v>7863250</v>
      </c>
      <c r="CY916" s="7">
        <f>0</f>
        <v>0</v>
      </c>
      <c r="DA916" s="7">
        <f>0</f>
        <v>0</v>
      </c>
      <c r="DC916" s="5" t="s">
        <v>689</v>
      </c>
      <c r="DD916" s="5" t="s">
        <v>240</v>
      </c>
      <c r="DF916" s="5" t="s">
        <v>689</v>
      </c>
      <c r="DG916" s="7">
        <f>3550</f>
        <v>3550</v>
      </c>
      <c r="DI916" s="5" t="s">
        <v>618</v>
      </c>
      <c r="DJ916" s="5" t="s">
        <v>240</v>
      </c>
      <c r="DK916" s="5" t="s">
        <v>240</v>
      </c>
      <c r="DL916" s="5" t="s">
        <v>240</v>
      </c>
      <c r="DP916" s="5" t="s">
        <v>240</v>
      </c>
      <c r="DQ916" s="5" t="s">
        <v>240</v>
      </c>
      <c r="DR916" s="5" t="s">
        <v>240</v>
      </c>
      <c r="DS916" s="5" t="s">
        <v>240</v>
      </c>
      <c r="DV916" s="5" t="s">
        <v>1974</v>
      </c>
      <c r="DW916" s="5" t="s">
        <v>312</v>
      </c>
      <c r="HO916" s="5" t="s">
        <v>312</v>
      </c>
    </row>
    <row r="917" spans="1:223" x14ac:dyDescent="0.4">
      <c r="A917" s="5">
        <v>2592</v>
      </c>
      <c r="B917" s="5">
        <v>1</v>
      </c>
      <c r="C917" s="5">
        <v>1</v>
      </c>
      <c r="D917" s="5" t="s">
        <v>297</v>
      </c>
      <c r="E917" s="5" t="s">
        <v>245</v>
      </c>
      <c r="F917" s="5" t="s">
        <v>254</v>
      </c>
      <c r="G917" s="5" t="s">
        <v>240</v>
      </c>
      <c r="H917" s="6" t="s">
        <v>491</v>
      </c>
      <c r="I917" s="5" t="s">
        <v>295</v>
      </c>
      <c r="J917" s="8">
        <f>97</f>
        <v>97</v>
      </c>
      <c r="K917" s="5" t="s">
        <v>308</v>
      </c>
      <c r="L917" s="7">
        <f>1</f>
        <v>1</v>
      </c>
      <c r="M917" s="7">
        <f>1</f>
        <v>1</v>
      </c>
      <c r="N917" s="5" t="s">
        <v>242</v>
      </c>
      <c r="O917" s="5">
        <v>1</v>
      </c>
      <c r="P917" s="5" t="s">
        <v>294</v>
      </c>
      <c r="Q917" s="5" t="s">
        <v>613</v>
      </c>
      <c r="R917" s="5" t="s">
        <v>240</v>
      </c>
      <c r="S917" s="5" t="s">
        <v>240</v>
      </c>
      <c r="T917" s="5" t="s">
        <v>243</v>
      </c>
      <c r="U917" s="5" t="s">
        <v>244</v>
      </c>
      <c r="V917" s="5" t="s">
        <v>240</v>
      </c>
      <c r="Y917" s="5" t="s">
        <v>240</v>
      </c>
      <c r="Z917" s="6" t="s">
        <v>298</v>
      </c>
      <c r="AB917" s="6" t="s">
        <v>240</v>
      </c>
      <c r="AE917" s="6" t="s">
        <v>299</v>
      </c>
      <c r="AF917" s="5" t="s">
        <v>248</v>
      </c>
      <c r="AG917" s="5" t="s">
        <v>249</v>
      </c>
      <c r="AW917" s="5" t="s">
        <v>251</v>
      </c>
      <c r="AX917" s="5" t="s">
        <v>240</v>
      </c>
      <c r="AY917" s="5" t="s">
        <v>253</v>
      </c>
      <c r="AZ917" s="5" t="s">
        <v>240</v>
      </c>
      <c r="BA917" s="5" t="s">
        <v>255</v>
      </c>
      <c r="BB917" s="5" t="s">
        <v>240</v>
      </c>
      <c r="BD917" s="5" t="s">
        <v>686</v>
      </c>
      <c r="BF917" s="5" t="s">
        <v>301</v>
      </c>
      <c r="BG917" s="6" t="s">
        <v>299</v>
      </c>
      <c r="BH917" s="5" t="s">
        <v>302</v>
      </c>
      <c r="BI917" s="5" t="s">
        <v>303</v>
      </c>
      <c r="BJ917" s="5" t="s">
        <v>240</v>
      </c>
      <c r="BK917" s="8">
        <f>0</f>
        <v>0</v>
      </c>
      <c r="BL917" s="7">
        <f>0</f>
        <v>0</v>
      </c>
      <c r="BM917" s="5" t="s">
        <v>258</v>
      </c>
      <c r="BN917" s="5" t="s">
        <v>259</v>
      </c>
      <c r="CB917" s="5" t="s">
        <v>240</v>
      </c>
      <c r="CC917" s="5" t="s">
        <v>240</v>
      </c>
      <c r="CG917" s="5" t="s">
        <v>617</v>
      </c>
      <c r="CH917" s="5" t="s">
        <v>305</v>
      </c>
      <c r="CI917" s="5" t="s">
        <v>240</v>
      </c>
      <c r="CL917" s="6" t="s">
        <v>261</v>
      </c>
      <c r="CM917" s="5" t="s">
        <v>240</v>
      </c>
      <c r="CN917" s="5" t="s">
        <v>263</v>
      </c>
      <c r="CO917" s="5" t="s">
        <v>240</v>
      </c>
      <c r="CP917" s="5" t="s">
        <v>240</v>
      </c>
      <c r="CQ917" s="5">
        <v>0</v>
      </c>
      <c r="CR917" s="5" t="s">
        <v>306</v>
      </c>
      <c r="CS917" s="5" t="s">
        <v>307</v>
      </c>
      <c r="CT917" s="5" t="s">
        <v>307</v>
      </c>
      <c r="CU917" s="5" t="s">
        <v>260</v>
      </c>
      <c r="CX917" s="7">
        <f>3891755</f>
        <v>3891755</v>
      </c>
      <c r="CY917" s="7">
        <f>0</f>
        <v>0</v>
      </c>
      <c r="DA917" s="7">
        <f>0</f>
        <v>0</v>
      </c>
      <c r="DC917" s="5" t="s">
        <v>689</v>
      </c>
      <c r="DD917" s="5" t="s">
        <v>240</v>
      </c>
      <c r="DF917" s="5" t="s">
        <v>689</v>
      </c>
      <c r="DG917" s="7">
        <f>1757</f>
        <v>1757</v>
      </c>
      <c r="DH917" s="6" t="s">
        <v>1911</v>
      </c>
      <c r="DI917" s="5" t="s">
        <v>618</v>
      </c>
      <c r="DJ917" s="5" t="s">
        <v>240</v>
      </c>
      <c r="DK917" s="5" t="s">
        <v>240</v>
      </c>
      <c r="DL917" s="5" t="s">
        <v>240</v>
      </c>
      <c r="DP917" s="5" t="s">
        <v>240</v>
      </c>
      <c r="DQ917" s="5" t="s">
        <v>240</v>
      </c>
      <c r="DR917" s="5" t="s">
        <v>240</v>
      </c>
      <c r="DS917" s="5" t="s">
        <v>240</v>
      </c>
      <c r="DV917" s="5" t="s">
        <v>1978</v>
      </c>
      <c r="DW917" s="5" t="s">
        <v>312</v>
      </c>
      <c r="HO917" s="5" t="s">
        <v>312</v>
      </c>
    </row>
    <row r="918" spans="1:223" x14ac:dyDescent="0.4">
      <c r="A918" s="5">
        <v>2593</v>
      </c>
      <c r="B918" s="5">
        <v>1</v>
      </c>
      <c r="C918" s="5">
        <v>1</v>
      </c>
      <c r="D918" s="5" t="s">
        <v>297</v>
      </c>
      <c r="E918" s="5" t="s">
        <v>245</v>
      </c>
      <c r="F918" s="5" t="s">
        <v>254</v>
      </c>
      <c r="G918" s="5" t="s">
        <v>240</v>
      </c>
      <c r="H918" s="6" t="s">
        <v>489</v>
      </c>
      <c r="I918" s="5" t="s">
        <v>295</v>
      </c>
      <c r="J918" s="8">
        <f>85</f>
        <v>85</v>
      </c>
      <c r="K918" s="5" t="s">
        <v>308</v>
      </c>
      <c r="L918" s="7">
        <f>1</f>
        <v>1</v>
      </c>
      <c r="M918" s="7">
        <f>1</f>
        <v>1</v>
      </c>
      <c r="N918" s="5" t="s">
        <v>242</v>
      </c>
      <c r="O918" s="5">
        <v>1</v>
      </c>
      <c r="P918" s="5" t="s">
        <v>294</v>
      </c>
      <c r="Q918" s="5" t="s">
        <v>266</v>
      </c>
      <c r="R918" s="5" t="s">
        <v>240</v>
      </c>
      <c r="S918" s="5" t="s">
        <v>240</v>
      </c>
      <c r="T918" s="5" t="s">
        <v>296</v>
      </c>
      <c r="U918" s="5" t="s">
        <v>244</v>
      </c>
      <c r="V918" s="5" t="s">
        <v>240</v>
      </c>
      <c r="Y918" s="5" t="s">
        <v>240</v>
      </c>
      <c r="Z918" s="6" t="s">
        <v>298</v>
      </c>
      <c r="AB918" s="6" t="s">
        <v>240</v>
      </c>
      <c r="AE918" s="6" t="s">
        <v>299</v>
      </c>
      <c r="AF918" s="5" t="s">
        <v>248</v>
      </c>
      <c r="AG918" s="5" t="s">
        <v>249</v>
      </c>
      <c r="AW918" s="5" t="s">
        <v>251</v>
      </c>
      <c r="AX918" s="5" t="s">
        <v>240</v>
      </c>
      <c r="AY918" s="5" t="s">
        <v>253</v>
      </c>
      <c r="AZ918" s="5" t="s">
        <v>240</v>
      </c>
      <c r="BA918" s="5" t="s">
        <v>255</v>
      </c>
      <c r="BB918" s="5" t="s">
        <v>240</v>
      </c>
      <c r="BD918" s="5" t="s">
        <v>240</v>
      </c>
      <c r="BF918" s="5" t="s">
        <v>301</v>
      </c>
      <c r="BG918" s="6" t="s">
        <v>299</v>
      </c>
      <c r="BH918" s="5" t="s">
        <v>302</v>
      </c>
      <c r="BI918" s="5" t="s">
        <v>303</v>
      </c>
      <c r="BJ918" s="5" t="s">
        <v>240</v>
      </c>
      <c r="BK918" s="8">
        <f>0</f>
        <v>0</v>
      </c>
      <c r="BL918" s="7">
        <f>0</f>
        <v>0</v>
      </c>
      <c r="BM918" s="5" t="s">
        <v>258</v>
      </c>
      <c r="BN918" s="5" t="s">
        <v>259</v>
      </c>
      <c r="CB918" s="5" t="s">
        <v>240</v>
      </c>
      <c r="CC918" s="5" t="s">
        <v>240</v>
      </c>
      <c r="CG918" s="5" t="s">
        <v>304</v>
      </c>
      <c r="CH918" s="5" t="s">
        <v>305</v>
      </c>
      <c r="CI918" s="5" t="s">
        <v>240</v>
      </c>
      <c r="CL918" s="6" t="s">
        <v>261</v>
      </c>
      <c r="CM918" s="5" t="s">
        <v>240</v>
      </c>
      <c r="CN918" s="5" t="s">
        <v>263</v>
      </c>
      <c r="CO918" s="5" t="s">
        <v>240</v>
      </c>
      <c r="CP918" s="5" t="s">
        <v>240</v>
      </c>
      <c r="CQ918" s="5">
        <v>0</v>
      </c>
      <c r="CR918" s="5" t="s">
        <v>306</v>
      </c>
      <c r="CS918" s="5" t="s">
        <v>307</v>
      </c>
      <c r="CT918" s="5" t="s">
        <v>307</v>
      </c>
      <c r="CU918" s="5" t="s">
        <v>260</v>
      </c>
      <c r="CX918" s="7">
        <f>1</f>
        <v>1</v>
      </c>
      <c r="CY918" s="7">
        <f>0</f>
        <v>0</v>
      </c>
      <c r="DA918" s="7">
        <f>0</f>
        <v>0</v>
      </c>
      <c r="DC918" s="5" t="s">
        <v>309</v>
      </c>
      <c r="DD918" s="5" t="s">
        <v>240</v>
      </c>
      <c r="DF918" s="5" t="s">
        <v>309</v>
      </c>
      <c r="DG918" s="7">
        <f>3443</f>
        <v>3443</v>
      </c>
      <c r="DI918" s="5" t="s">
        <v>240</v>
      </c>
      <c r="DJ918" s="5" t="s">
        <v>240</v>
      </c>
      <c r="DK918" s="5" t="s">
        <v>240</v>
      </c>
      <c r="DL918" s="5" t="s">
        <v>240</v>
      </c>
      <c r="DP918" s="5" t="s">
        <v>240</v>
      </c>
      <c r="DQ918" s="5" t="s">
        <v>240</v>
      </c>
      <c r="DR918" s="5" t="s">
        <v>240</v>
      </c>
      <c r="DS918" s="5" t="s">
        <v>240</v>
      </c>
      <c r="DV918" s="5" t="s">
        <v>310</v>
      </c>
      <c r="DW918" s="5" t="s">
        <v>1874</v>
      </c>
      <c r="HO918" s="5" t="s">
        <v>312</v>
      </c>
    </row>
    <row r="919" spans="1:223" x14ac:dyDescent="0.4">
      <c r="A919" s="5">
        <v>2594</v>
      </c>
      <c r="B919" s="5">
        <v>1</v>
      </c>
      <c r="C919" s="5">
        <v>1</v>
      </c>
      <c r="D919" s="5" t="s">
        <v>297</v>
      </c>
      <c r="E919" s="5" t="s">
        <v>245</v>
      </c>
      <c r="F919" s="5" t="s">
        <v>254</v>
      </c>
      <c r="G919" s="5" t="s">
        <v>240</v>
      </c>
      <c r="H919" s="6" t="s">
        <v>487</v>
      </c>
      <c r="I919" s="5" t="s">
        <v>295</v>
      </c>
      <c r="J919" s="8">
        <f>21</f>
        <v>21</v>
      </c>
      <c r="K919" s="5" t="s">
        <v>308</v>
      </c>
      <c r="L919" s="7">
        <f>1</f>
        <v>1</v>
      </c>
      <c r="M919" s="7">
        <f>1</f>
        <v>1</v>
      </c>
      <c r="N919" s="5" t="s">
        <v>242</v>
      </c>
      <c r="O919" s="5">
        <v>1</v>
      </c>
      <c r="P919" s="5" t="s">
        <v>294</v>
      </c>
      <c r="Q919" s="5" t="s">
        <v>613</v>
      </c>
      <c r="R919" s="5" t="s">
        <v>240</v>
      </c>
      <c r="S919" s="5" t="s">
        <v>240</v>
      </c>
      <c r="T919" s="5" t="s">
        <v>243</v>
      </c>
      <c r="U919" s="5" t="s">
        <v>244</v>
      </c>
      <c r="V919" s="5" t="s">
        <v>240</v>
      </c>
      <c r="Y919" s="5" t="s">
        <v>240</v>
      </c>
      <c r="Z919" s="6" t="s">
        <v>298</v>
      </c>
      <c r="AB919" s="6" t="s">
        <v>240</v>
      </c>
      <c r="AE919" s="6" t="s">
        <v>299</v>
      </c>
      <c r="AF919" s="5" t="s">
        <v>248</v>
      </c>
      <c r="AG919" s="5" t="s">
        <v>249</v>
      </c>
      <c r="AW919" s="5" t="s">
        <v>251</v>
      </c>
      <c r="AX919" s="5" t="s">
        <v>240</v>
      </c>
      <c r="AY919" s="5" t="s">
        <v>253</v>
      </c>
      <c r="AZ919" s="5" t="s">
        <v>240</v>
      </c>
      <c r="BA919" s="5" t="s">
        <v>255</v>
      </c>
      <c r="BB919" s="5" t="s">
        <v>240</v>
      </c>
      <c r="BD919" s="5" t="s">
        <v>686</v>
      </c>
      <c r="BF919" s="5" t="s">
        <v>301</v>
      </c>
      <c r="BG919" s="6" t="s">
        <v>299</v>
      </c>
      <c r="BH919" s="5" t="s">
        <v>302</v>
      </c>
      <c r="BI919" s="5" t="s">
        <v>303</v>
      </c>
      <c r="BJ919" s="5" t="s">
        <v>240</v>
      </c>
      <c r="BK919" s="8">
        <f>0</f>
        <v>0</v>
      </c>
      <c r="BL919" s="7">
        <f>0</f>
        <v>0</v>
      </c>
      <c r="BM919" s="5" t="s">
        <v>258</v>
      </c>
      <c r="BN919" s="5" t="s">
        <v>259</v>
      </c>
      <c r="CB919" s="5" t="s">
        <v>240</v>
      </c>
      <c r="CC919" s="5" t="s">
        <v>240</v>
      </c>
      <c r="CG919" s="5" t="s">
        <v>617</v>
      </c>
      <c r="CH919" s="5" t="s">
        <v>305</v>
      </c>
      <c r="CI919" s="5" t="s">
        <v>240</v>
      </c>
      <c r="CL919" s="6" t="s">
        <v>261</v>
      </c>
      <c r="CM919" s="5" t="s">
        <v>240</v>
      </c>
      <c r="CN919" s="5" t="s">
        <v>263</v>
      </c>
      <c r="CO919" s="5" t="s">
        <v>240</v>
      </c>
      <c r="CP919" s="5" t="s">
        <v>240</v>
      </c>
      <c r="CQ919" s="5">
        <v>0</v>
      </c>
      <c r="CR919" s="5" t="s">
        <v>306</v>
      </c>
      <c r="CS919" s="5" t="s">
        <v>307</v>
      </c>
      <c r="CT919" s="5" t="s">
        <v>307</v>
      </c>
      <c r="CU919" s="5" t="s">
        <v>260</v>
      </c>
      <c r="CX919" s="7">
        <f>3900615</f>
        <v>3900615</v>
      </c>
      <c r="CY919" s="7">
        <f>0</f>
        <v>0</v>
      </c>
      <c r="DA919" s="7">
        <f>0</f>
        <v>0</v>
      </c>
      <c r="DC919" s="5" t="s">
        <v>689</v>
      </c>
      <c r="DD919" s="5" t="s">
        <v>240</v>
      </c>
      <c r="DF919" s="5" t="s">
        <v>689</v>
      </c>
      <c r="DG919" s="7">
        <f>1761</f>
        <v>1761</v>
      </c>
      <c r="DI919" s="5" t="s">
        <v>618</v>
      </c>
      <c r="DJ919" s="5" t="s">
        <v>240</v>
      </c>
      <c r="DK919" s="5" t="s">
        <v>240</v>
      </c>
      <c r="DL919" s="5" t="s">
        <v>240</v>
      </c>
      <c r="DP919" s="5" t="s">
        <v>240</v>
      </c>
      <c r="DQ919" s="5" t="s">
        <v>240</v>
      </c>
      <c r="DR919" s="5" t="s">
        <v>240</v>
      </c>
      <c r="DS919" s="5" t="s">
        <v>240</v>
      </c>
      <c r="DV919" s="5" t="s">
        <v>1983</v>
      </c>
      <c r="DW919" s="5" t="s">
        <v>312</v>
      </c>
      <c r="HO919" s="5" t="s">
        <v>312</v>
      </c>
    </row>
    <row r="920" spans="1:223" x14ac:dyDescent="0.4">
      <c r="A920" s="5">
        <v>2595</v>
      </c>
      <c r="B920" s="5">
        <v>1</v>
      </c>
      <c r="C920" s="5">
        <v>1</v>
      </c>
      <c r="D920" s="5" t="s">
        <v>297</v>
      </c>
      <c r="E920" s="5" t="s">
        <v>245</v>
      </c>
      <c r="F920" s="5" t="s">
        <v>254</v>
      </c>
      <c r="G920" s="5" t="s">
        <v>240</v>
      </c>
      <c r="H920" s="6" t="s">
        <v>4146</v>
      </c>
      <c r="I920" s="5" t="s">
        <v>295</v>
      </c>
      <c r="J920" s="8">
        <f>431</f>
        <v>431</v>
      </c>
      <c r="K920" s="5" t="s">
        <v>308</v>
      </c>
      <c r="L920" s="7">
        <f>1</f>
        <v>1</v>
      </c>
      <c r="M920" s="7">
        <f>1</f>
        <v>1</v>
      </c>
      <c r="N920" s="5" t="s">
        <v>242</v>
      </c>
      <c r="O920" s="5">
        <v>1</v>
      </c>
      <c r="P920" s="5" t="s">
        <v>294</v>
      </c>
      <c r="Q920" s="5" t="s">
        <v>613</v>
      </c>
      <c r="R920" s="5" t="s">
        <v>240</v>
      </c>
      <c r="S920" s="5" t="s">
        <v>240</v>
      </c>
      <c r="T920" s="5" t="s">
        <v>243</v>
      </c>
      <c r="U920" s="5" t="s">
        <v>244</v>
      </c>
      <c r="V920" s="5" t="s">
        <v>240</v>
      </c>
      <c r="Y920" s="5" t="s">
        <v>240</v>
      </c>
      <c r="Z920" s="6" t="s">
        <v>298</v>
      </c>
      <c r="AB920" s="6" t="s">
        <v>240</v>
      </c>
      <c r="AE920" s="6" t="s">
        <v>299</v>
      </c>
      <c r="AF920" s="5" t="s">
        <v>248</v>
      </c>
      <c r="AG920" s="5" t="s">
        <v>249</v>
      </c>
      <c r="AW920" s="5" t="s">
        <v>251</v>
      </c>
      <c r="AX920" s="5" t="s">
        <v>240</v>
      </c>
      <c r="AY920" s="5" t="s">
        <v>253</v>
      </c>
      <c r="AZ920" s="5" t="s">
        <v>240</v>
      </c>
      <c r="BA920" s="5" t="s">
        <v>255</v>
      </c>
      <c r="BB920" s="5" t="s">
        <v>240</v>
      </c>
      <c r="BD920" s="5" t="s">
        <v>686</v>
      </c>
      <c r="BF920" s="5" t="s">
        <v>301</v>
      </c>
      <c r="BG920" s="6" t="s">
        <v>299</v>
      </c>
      <c r="BH920" s="5" t="s">
        <v>302</v>
      </c>
      <c r="BI920" s="5" t="s">
        <v>303</v>
      </c>
      <c r="BJ920" s="5" t="s">
        <v>240</v>
      </c>
      <c r="BK920" s="8">
        <f>0</f>
        <v>0</v>
      </c>
      <c r="BL920" s="7">
        <f>0</f>
        <v>0</v>
      </c>
      <c r="BM920" s="5" t="s">
        <v>258</v>
      </c>
      <c r="BN920" s="5" t="s">
        <v>259</v>
      </c>
      <c r="CB920" s="5" t="s">
        <v>240</v>
      </c>
      <c r="CC920" s="5" t="s">
        <v>240</v>
      </c>
      <c r="CG920" s="5" t="s">
        <v>617</v>
      </c>
      <c r="CH920" s="5" t="s">
        <v>305</v>
      </c>
      <c r="CI920" s="5" t="s">
        <v>240</v>
      </c>
      <c r="CL920" s="6" t="s">
        <v>261</v>
      </c>
      <c r="CM920" s="5" t="s">
        <v>240</v>
      </c>
      <c r="CN920" s="5" t="s">
        <v>263</v>
      </c>
      <c r="CO920" s="5" t="s">
        <v>240</v>
      </c>
      <c r="CP920" s="5" t="s">
        <v>240</v>
      </c>
      <c r="CQ920" s="5">
        <v>0</v>
      </c>
      <c r="CR920" s="5" t="s">
        <v>306</v>
      </c>
      <c r="CS920" s="5" t="s">
        <v>307</v>
      </c>
      <c r="CT920" s="5" t="s">
        <v>307</v>
      </c>
      <c r="CU920" s="5" t="s">
        <v>260</v>
      </c>
      <c r="CX920" s="7">
        <f>8284100</f>
        <v>8284100</v>
      </c>
      <c r="CY920" s="7">
        <f>0</f>
        <v>0</v>
      </c>
      <c r="DA920" s="7">
        <f>0</f>
        <v>0</v>
      </c>
      <c r="DC920" s="5" t="s">
        <v>689</v>
      </c>
      <c r="DD920" s="5" t="s">
        <v>240</v>
      </c>
      <c r="DF920" s="5" t="s">
        <v>689</v>
      </c>
      <c r="DG920" s="7">
        <f>3740</f>
        <v>3740</v>
      </c>
      <c r="DI920" s="5" t="s">
        <v>618</v>
      </c>
      <c r="DJ920" s="5" t="s">
        <v>240</v>
      </c>
      <c r="DK920" s="5" t="s">
        <v>240</v>
      </c>
      <c r="DL920" s="5" t="s">
        <v>240</v>
      </c>
      <c r="DP920" s="5" t="s">
        <v>240</v>
      </c>
      <c r="DQ920" s="5" t="s">
        <v>240</v>
      </c>
      <c r="DR920" s="5" t="s">
        <v>240</v>
      </c>
      <c r="DS920" s="5" t="s">
        <v>240</v>
      </c>
      <c r="DV920" s="5" t="s">
        <v>1987</v>
      </c>
      <c r="DW920" s="5" t="s">
        <v>312</v>
      </c>
      <c r="HO920" s="5" t="s">
        <v>312</v>
      </c>
    </row>
    <row r="921" spans="1:223" x14ac:dyDescent="0.4">
      <c r="A921" s="5">
        <v>2596</v>
      </c>
      <c r="B921" s="5">
        <v>1</v>
      </c>
      <c r="C921" s="5">
        <v>1</v>
      </c>
      <c r="D921" s="5" t="s">
        <v>297</v>
      </c>
      <c r="E921" s="5" t="s">
        <v>245</v>
      </c>
      <c r="F921" s="5" t="s">
        <v>254</v>
      </c>
      <c r="G921" s="5" t="s">
        <v>240</v>
      </c>
      <c r="H921" s="6" t="s">
        <v>480</v>
      </c>
      <c r="I921" s="5" t="s">
        <v>295</v>
      </c>
      <c r="J921" s="8">
        <f>2188</f>
        <v>2188</v>
      </c>
      <c r="K921" s="5" t="s">
        <v>308</v>
      </c>
      <c r="L921" s="7">
        <f>1</f>
        <v>1</v>
      </c>
      <c r="M921" s="7">
        <f>1</f>
        <v>1</v>
      </c>
      <c r="N921" s="5" t="s">
        <v>242</v>
      </c>
      <c r="O921" s="5">
        <v>1</v>
      </c>
      <c r="P921" s="5" t="s">
        <v>294</v>
      </c>
      <c r="Q921" s="5" t="s">
        <v>266</v>
      </c>
      <c r="R921" s="5" t="s">
        <v>240</v>
      </c>
      <c r="S921" s="5" t="s">
        <v>240</v>
      </c>
      <c r="T921" s="5" t="s">
        <v>296</v>
      </c>
      <c r="U921" s="5" t="s">
        <v>244</v>
      </c>
      <c r="V921" s="5" t="s">
        <v>240</v>
      </c>
      <c r="Y921" s="5" t="s">
        <v>240</v>
      </c>
      <c r="Z921" s="6" t="s">
        <v>298</v>
      </c>
      <c r="AB921" s="6" t="s">
        <v>240</v>
      </c>
      <c r="AE921" s="6" t="s">
        <v>299</v>
      </c>
      <c r="AF921" s="5" t="s">
        <v>248</v>
      </c>
      <c r="AG921" s="5" t="s">
        <v>249</v>
      </c>
      <c r="AW921" s="5" t="s">
        <v>251</v>
      </c>
      <c r="AX921" s="5" t="s">
        <v>240</v>
      </c>
      <c r="AY921" s="5" t="s">
        <v>253</v>
      </c>
      <c r="AZ921" s="5" t="s">
        <v>240</v>
      </c>
      <c r="BA921" s="5" t="s">
        <v>255</v>
      </c>
      <c r="BB921" s="5" t="s">
        <v>240</v>
      </c>
      <c r="BD921" s="5" t="s">
        <v>240</v>
      </c>
      <c r="BF921" s="5" t="s">
        <v>301</v>
      </c>
      <c r="BG921" s="6" t="s">
        <v>299</v>
      </c>
      <c r="BH921" s="5" t="s">
        <v>302</v>
      </c>
      <c r="BI921" s="5" t="s">
        <v>303</v>
      </c>
      <c r="BJ921" s="5" t="s">
        <v>240</v>
      </c>
      <c r="BK921" s="8">
        <f>0</f>
        <v>0</v>
      </c>
      <c r="BL921" s="7">
        <f>0</f>
        <v>0</v>
      </c>
      <c r="BM921" s="5" t="s">
        <v>258</v>
      </c>
      <c r="BN921" s="5" t="s">
        <v>259</v>
      </c>
      <c r="CB921" s="5" t="s">
        <v>240</v>
      </c>
      <c r="CC921" s="5" t="s">
        <v>240</v>
      </c>
      <c r="CG921" s="5" t="s">
        <v>304</v>
      </c>
      <c r="CH921" s="5" t="s">
        <v>305</v>
      </c>
      <c r="CI921" s="5" t="s">
        <v>240</v>
      </c>
      <c r="CL921" s="6" t="s">
        <v>261</v>
      </c>
      <c r="CM921" s="5" t="s">
        <v>240</v>
      </c>
      <c r="CN921" s="5" t="s">
        <v>263</v>
      </c>
      <c r="CO921" s="5" t="s">
        <v>240</v>
      </c>
      <c r="CP921" s="5" t="s">
        <v>240</v>
      </c>
      <c r="CQ921" s="5">
        <v>0</v>
      </c>
      <c r="CR921" s="5" t="s">
        <v>306</v>
      </c>
      <c r="CS921" s="5" t="s">
        <v>307</v>
      </c>
      <c r="CT921" s="5" t="s">
        <v>307</v>
      </c>
      <c r="CU921" s="5" t="s">
        <v>260</v>
      </c>
      <c r="CX921" s="7">
        <f>1</f>
        <v>1</v>
      </c>
      <c r="CY921" s="7">
        <f>0</f>
        <v>0</v>
      </c>
      <c r="DA921" s="7">
        <f>0</f>
        <v>0</v>
      </c>
      <c r="DC921" s="5" t="s">
        <v>309</v>
      </c>
      <c r="DD921" s="5" t="s">
        <v>240</v>
      </c>
      <c r="DF921" s="5" t="s">
        <v>309</v>
      </c>
      <c r="DG921" s="7">
        <f>1453</f>
        <v>1453</v>
      </c>
      <c r="DI921" s="5" t="s">
        <v>240</v>
      </c>
      <c r="DJ921" s="5" t="s">
        <v>240</v>
      </c>
      <c r="DK921" s="5" t="s">
        <v>240</v>
      </c>
      <c r="DL921" s="5" t="s">
        <v>240</v>
      </c>
      <c r="DP921" s="5" t="s">
        <v>240</v>
      </c>
      <c r="DQ921" s="5" t="s">
        <v>240</v>
      </c>
      <c r="DR921" s="5" t="s">
        <v>240</v>
      </c>
      <c r="DS921" s="5" t="s">
        <v>240</v>
      </c>
      <c r="DV921" s="5" t="s">
        <v>310</v>
      </c>
      <c r="DW921" s="5" t="s">
        <v>1194</v>
      </c>
      <c r="HO921" s="5" t="s">
        <v>312</v>
      </c>
    </row>
    <row r="922" spans="1:223" x14ac:dyDescent="0.4">
      <c r="A922" s="5">
        <v>2597</v>
      </c>
      <c r="B922" s="5">
        <v>1</v>
      </c>
      <c r="C922" s="5">
        <v>1</v>
      </c>
      <c r="D922" s="5" t="s">
        <v>297</v>
      </c>
      <c r="E922" s="5" t="s">
        <v>245</v>
      </c>
      <c r="F922" s="5" t="s">
        <v>254</v>
      </c>
      <c r="G922" s="5" t="s">
        <v>240</v>
      </c>
      <c r="H922" s="6" t="s">
        <v>478</v>
      </c>
      <c r="I922" s="5" t="s">
        <v>295</v>
      </c>
      <c r="J922" s="8">
        <f>5282</f>
        <v>5282</v>
      </c>
      <c r="K922" s="5" t="s">
        <v>308</v>
      </c>
      <c r="L922" s="7">
        <f>1</f>
        <v>1</v>
      </c>
      <c r="M922" s="7">
        <f>1</f>
        <v>1</v>
      </c>
      <c r="N922" s="5" t="s">
        <v>242</v>
      </c>
      <c r="O922" s="5">
        <v>1</v>
      </c>
      <c r="P922" s="5" t="s">
        <v>294</v>
      </c>
      <c r="Q922" s="5" t="s">
        <v>613</v>
      </c>
      <c r="R922" s="5" t="s">
        <v>240</v>
      </c>
      <c r="S922" s="5" t="s">
        <v>240</v>
      </c>
      <c r="T922" s="5" t="s">
        <v>243</v>
      </c>
      <c r="U922" s="5" t="s">
        <v>724</v>
      </c>
      <c r="V922" s="5" t="s">
        <v>240</v>
      </c>
      <c r="Y922" s="5" t="s">
        <v>240</v>
      </c>
      <c r="Z922" s="6" t="s">
        <v>298</v>
      </c>
      <c r="AB922" s="6" t="s">
        <v>240</v>
      </c>
      <c r="AE922" s="6" t="s">
        <v>299</v>
      </c>
      <c r="AF922" s="5" t="s">
        <v>248</v>
      </c>
      <c r="AG922" s="5" t="s">
        <v>249</v>
      </c>
      <c r="AW922" s="5" t="s">
        <v>251</v>
      </c>
      <c r="AX922" s="5" t="s">
        <v>240</v>
      </c>
      <c r="AY922" s="5" t="s">
        <v>253</v>
      </c>
      <c r="AZ922" s="5" t="s">
        <v>240</v>
      </c>
      <c r="BA922" s="5" t="s">
        <v>255</v>
      </c>
      <c r="BB922" s="5" t="s">
        <v>240</v>
      </c>
      <c r="BD922" s="5" t="s">
        <v>240</v>
      </c>
      <c r="BF922" s="5" t="s">
        <v>301</v>
      </c>
      <c r="BG922" s="6" t="s">
        <v>299</v>
      </c>
      <c r="BH922" s="5" t="s">
        <v>302</v>
      </c>
      <c r="BI922" s="5" t="s">
        <v>303</v>
      </c>
      <c r="BJ922" s="5" t="s">
        <v>240</v>
      </c>
      <c r="BK922" s="8">
        <f>0</f>
        <v>0</v>
      </c>
      <c r="BL922" s="7">
        <f>0</f>
        <v>0</v>
      </c>
      <c r="BM922" s="5" t="s">
        <v>258</v>
      </c>
      <c r="BN922" s="5" t="s">
        <v>259</v>
      </c>
      <c r="CB922" s="5" t="s">
        <v>240</v>
      </c>
      <c r="CC922" s="5" t="s">
        <v>240</v>
      </c>
      <c r="CG922" s="5" t="s">
        <v>617</v>
      </c>
      <c r="CH922" s="5" t="s">
        <v>305</v>
      </c>
      <c r="CI922" s="5" t="s">
        <v>240</v>
      </c>
      <c r="CL922" s="6" t="s">
        <v>261</v>
      </c>
      <c r="CM922" s="5" t="s">
        <v>240</v>
      </c>
      <c r="CN922" s="5" t="s">
        <v>263</v>
      </c>
      <c r="CO922" s="5" t="s">
        <v>240</v>
      </c>
      <c r="CP922" s="5" t="s">
        <v>240</v>
      </c>
      <c r="CQ922" s="5">
        <v>0</v>
      </c>
      <c r="CR922" s="5" t="s">
        <v>306</v>
      </c>
      <c r="CS922" s="5" t="s">
        <v>307</v>
      </c>
      <c r="CT922" s="5" t="s">
        <v>307</v>
      </c>
      <c r="CU922" s="5" t="s">
        <v>260</v>
      </c>
      <c r="CX922" s="7">
        <f>5302</f>
        <v>5302</v>
      </c>
      <c r="CY922" s="7">
        <f>0</f>
        <v>0</v>
      </c>
      <c r="DA922" s="7">
        <f>0</f>
        <v>0</v>
      </c>
      <c r="DC922" s="5" t="s">
        <v>854</v>
      </c>
      <c r="DD922" s="5" t="s">
        <v>240</v>
      </c>
      <c r="DF922" s="5" t="s">
        <v>450</v>
      </c>
      <c r="DG922" s="7">
        <f>0</f>
        <v>0</v>
      </c>
      <c r="DI922" s="5" t="s">
        <v>737</v>
      </c>
      <c r="DJ922" s="5" t="s">
        <v>240</v>
      </c>
      <c r="DK922" s="5" t="s">
        <v>240</v>
      </c>
      <c r="DL922" s="5" t="s">
        <v>240</v>
      </c>
      <c r="DP922" s="5" t="s">
        <v>240</v>
      </c>
      <c r="DQ922" s="5" t="s">
        <v>240</v>
      </c>
      <c r="DR922" s="5" t="s">
        <v>240</v>
      </c>
      <c r="DS922" s="5" t="s">
        <v>240</v>
      </c>
      <c r="DV922" s="5" t="s">
        <v>957</v>
      </c>
      <c r="DW922" s="5" t="s">
        <v>742</v>
      </c>
      <c r="HO922" s="5" t="s">
        <v>312</v>
      </c>
    </row>
    <row r="923" spans="1:223" x14ac:dyDescent="0.4">
      <c r="A923" s="5">
        <v>2598</v>
      </c>
      <c r="B923" s="5">
        <v>1</v>
      </c>
      <c r="C923" s="5">
        <v>1</v>
      </c>
      <c r="D923" s="5" t="s">
        <v>297</v>
      </c>
      <c r="E923" s="5" t="s">
        <v>245</v>
      </c>
      <c r="F923" s="5" t="s">
        <v>254</v>
      </c>
      <c r="G923" s="5" t="s">
        <v>240</v>
      </c>
      <c r="H923" s="6" t="s">
        <v>476</v>
      </c>
      <c r="I923" s="5" t="s">
        <v>295</v>
      </c>
      <c r="J923" s="8">
        <f>1127</f>
        <v>1127</v>
      </c>
      <c r="K923" s="5" t="s">
        <v>308</v>
      </c>
      <c r="L923" s="7">
        <f>1</f>
        <v>1</v>
      </c>
      <c r="M923" s="7">
        <f>1</f>
        <v>1</v>
      </c>
      <c r="N923" s="5" t="s">
        <v>242</v>
      </c>
      <c r="O923" s="5">
        <v>1</v>
      </c>
      <c r="P923" s="5" t="s">
        <v>294</v>
      </c>
      <c r="Q923" s="5" t="s">
        <v>266</v>
      </c>
      <c r="R923" s="5" t="s">
        <v>240</v>
      </c>
      <c r="S923" s="5" t="s">
        <v>240</v>
      </c>
      <c r="T923" s="5" t="s">
        <v>296</v>
      </c>
      <c r="U923" s="5" t="s">
        <v>244</v>
      </c>
      <c r="V923" s="5" t="s">
        <v>240</v>
      </c>
      <c r="Y923" s="5" t="s">
        <v>240</v>
      </c>
      <c r="Z923" s="6" t="s">
        <v>298</v>
      </c>
      <c r="AB923" s="6" t="s">
        <v>240</v>
      </c>
      <c r="AE923" s="6" t="s">
        <v>299</v>
      </c>
      <c r="AF923" s="5" t="s">
        <v>248</v>
      </c>
      <c r="AG923" s="5" t="s">
        <v>249</v>
      </c>
      <c r="AW923" s="5" t="s">
        <v>251</v>
      </c>
      <c r="AX923" s="5" t="s">
        <v>240</v>
      </c>
      <c r="AY923" s="5" t="s">
        <v>253</v>
      </c>
      <c r="AZ923" s="5" t="s">
        <v>240</v>
      </c>
      <c r="BA923" s="5" t="s">
        <v>255</v>
      </c>
      <c r="BB923" s="5" t="s">
        <v>240</v>
      </c>
      <c r="BD923" s="5" t="s">
        <v>240</v>
      </c>
      <c r="BF923" s="5" t="s">
        <v>301</v>
      </c>
      <c r="BG923" s="6" t="s">
        <v>299</v>
      </c>
      <c r="BH923" s="5" t="s">
        <v>302</v>
      </c>
      <c r="BI923" s="5" t="s">
        <v>303</v>
      </c>
      <c r="BJ923" s="5" t="s">
        <v>240</v>
      </c>
      <c r="BK923" s="8">
        <f>0</f>
        <v>0</v>
      </c>
      <c r="BL923" s="7">
        <f>0</f>
        <v>0</v>
      </c>
      <c r="BM923" s="5" t="s">
        <v>258</v>
      </c>
      <c r="BN923" s="5" t="s">
        <v>259</v>
      </c>
      <c r="CB923" s="5" t="s">
        <v>240</v>
      </c>
      <c r="CC923" s="5" t="s">
        <v>240</v>
      </c>
      <c r="CG923" s="5" t="s">
        <v>304</v>
      </c>
      <c r="CH923" s="5" t="s">
        <v>305</v>
      </c>
      <c r="CI923" s="5" t="s">
        <v>240</v>
      </c>
      <c r="CL923" s="6" t="s">
        <v>261</v>
      </c>
      <c r="CM923" s="5" t="s">
        <v>240</v>
      </c>
      <c r="CN923" s="5" t="s">
        <v>263</v>
      </c>
      <c r="CO923" s="5" t="s">
        <v>240</v>
      </c>
      <c r="CP923" s="5" t="s">
        <v>240</v>
      </c>
      <c r="CQ923" s="5">
        <v>0</v>
      </c>
      <c r="CR923" s="5" t="s">
        <v>306</v>
      </c>
      <c r="CS923" s="5" t="s">
        <v>307</v>
      </c>
      <c r="CT923" s="5" t="s">
        <v>307</v>
      </c>
      <c r="CU923" s="5" t="s">
        <v>260</v>
      </c>
      <c r="CX923" s="7">
        <f>1</f>
        <v>1</v>
      </c>
      <c r="CY923" s="7">
        <f>0</f>
        <v>0</v>
      </c>
      <c r="DA923" s="7">
        <f>0</f>
        <v>0</v>
      </c>
      <c r="DC923" s="5" t="s">
        <v>309</v>
      </c>
      <c r="DD923" s="5" t="s">
        <v>240</v>
      </c>
      <c r="DF923" s="5" t="s">
        <v>309</v>
      </c>
      <c r="DG923" s="7">
        <f>497</f>
        <v>497</v>
      </c>
      <c r="DI923" s="5" t="s">
        <v>240</v>
      </c>
      <c r="DJ923" s="5" t="s">
        <v>240</v>
      </c>
      <c r="DK923" s="5" t="s">
        <v>240</v>
      </c>
      <c r="DL923" s="5" t="s">
        <v>240</v>
      </c>
      <c r="DP923" s="5" t="s">
        <v>240</v>
      </c>
      <c r="DQ923" s="5" t="s">
        <v>240</v>
      </c>
      <c r="DR923" s="5" t="s">
        <v>240</v>
      </c>
      <c r="DS923" s="5" t="s">
        <v>240</v>
      </c>
      <c r="DV923" s="5" t="s">
        <v>310</v>
      </c>
      <c r="DW923" s="5" t="s">
        <v>1196</v>
      </c>
      <c r="HO923" s="5" t="s">
        <v>312</v>
      </c>
    </row>
    <row r="924" spans="1:223" x14ac:dyDescent="0.4">
      <c r="A924" s="5">
        <v>2599</v>
      </c>
      <c r="B924" s="5">
        <v>1</v>
      </c>
      <c r="C924" s="5">
        <v>1</v>
      </c>
      <c r="D924" s="5" t="s">
        <v>297</v>
      </c>
      <c r="E924" s="5" t="s">
        <v>245</v>
      </c>
      <c r="F924" s="5" t="s">
        <v>254</v>
      </c>
      <c r="G924" s="5" t="s">
        <v>240</v>
      </c>
      <c r="H924" s="6" t="s">
        <v>474</v>
      </c>
      <c r="I924" s="5" t="s">
        <v>295</v>
      </c>
      <c r="J924" s="8">
        <f>1526</f>
        <v>1526</v>
      </c>
      <c r="K924" s="5" t="s">
        <v>308</v>
      </c>
      <c r="L924" s="7">
        <f>1</f>
        <v>1</v>
      </c>
      <c r="M924" s="7">
        <f>1</f>
        <v>1</v>
      </c>
      <c r="N924" s="5" t="s">
        <v>242</v>
      </c>
      <c r="O924" s="5">
        <v>1</v>
      </c>
      <c r="P924" s="5" t="s">
        <v>294</v>
      </c>
      <c r="Q924" s="5" t="s">
        <v>613</v>
      </c>
      <c r="R924" s="5" t="s">
        <v>240</v>
      </c>
      <c r="S924" s="5" t="s">
        <v>240</v>
      </c>
      <c r="T924" s="5" t="s">
        <v>243</v>
      </c>
      <c r="U924" s="5" t="s">
        <v>724</v>
      </c>
      <c r="V924" s="5" t="s">
        <v>240</v>
      </c>
      <c r="Y924" s="5" t="s">
        <v>240</v>
      </c>
      <c r="Z924" s="6" t="s">
        <v>298</v>
      </c>
      <c r="AB924" s="6" t="s">
        <v>240</v>
      </c>
      <c r="AE924" s="6" t="s">
        <v>299</v>
      </c>
      <c r="AF924" s="5" t="s">
        <v>248</v>
      </c>
      <c r="AG924" s="5" t="s">
        <v>249</v>
      </c>
      <c r="AW924" s="5" t="s">
        <v>251</v>
      </c>
      <c r="AX924" s="5" t="s">
        <v>240</v>
      </c>
      <c r="AY924" s="5" t="s">
        <v>253</v>
      </c>
      <c r="AZ924" s="5" t="s">
        <v>240</v>
      </c>
      <c r="BA924" s="5" t="s">
        <v>255</v>
      </c>
      <c r="BB924" s="5" t="s">
        <v>240</v>
      </c>
      <c r="BD924" s="5" t="s">
        <v>240</v>
      </c>
      <c r="BF924" s="5" t="s">
        <v>301</v>
      </c>
      <c r="BG924" s="6" t="s">
        <v>299</v>
      </c>
      <c r="BH924" s="5" t="s">
        <v>302</v>
      </c>
      <c r="BI924" s="5" t="s">
        <v>303</v>
      </c>
      <c r="BJ924" s="5" t="s">
        <v>240</v>
      </c>
      <c r="BK924" s="8">
        <f>0</f>
        <v>0</v>
      </c>
      <c r="BL924" s="7">
        <f>0</f>
        <v>0</v>
      </c>
      <c r="BM924" s="5" t="s">
        <v>258</v>
      </c>
      <c r="BN924" s="5" t="s">
        <v>259</v>
      </c>
      <c r="CB924" s="5" t="s">
        <v>240</v>
      </c>
      <c r="CC924" s="5" t="s">
        <v>240</v>
      </c>
      <c r="CG924" s="5" t="s">
        <v>617</v>
      </c>
      <c r="CH924" s="5" t="s">
        <v>305</v>
      </c>
      <c r="CI924" s="5" t="s">
        <v>240</v>
      </c>
      <c r="CL924" s="6" t="s">
        <v>261</v>
      </c>
      <c r="CM924" s="5" t="s">
        <v>240</v>
      </c>
      <c r="CN924" s="5" t="s">
        <v>263</v>
      </c>
      <c r="CO924" s="5" t="s">
        <v>240</v>
      </c>
      <c r="CP924" s="5" t="s">
        <v>240</v>
      </c>
      <c r="CQ924" s="5">
        <v>0</v>
      </c>
      <c r="CR924" s="5" t="s">
        <v>306</v>
      </c>
      <c r="CS924" s="5" t="s">
        <v>307</v>
      </c>
      <c r="CT924" s="5" t="s">
        <v>307</v>
      </c>
      <c r="CU924" s="5" t="s">
        <v>260</v>
      </c>
      <c r="CX924" s="7">
        <f>5533</f>
        <v>5533</v>
      </c>
      <c r="CY924" s="7">
        <f>0</f>
        <v>0</v>
      </c>
      <c r="DA924" s="7">
        <f>0</f>
        <v>0</v>
      </c>
      <c r="DC924" s="5" t="s">
        <v>854</v>
      </c>
      <c r="DD924" s="5" t="s">
        <v>240</v>
      </c>
      <c r="DF924" s="5" t="s">
        <v>450</v>
      </c>
      <c r="DG924" s="7">
        <f>0</f>
        <v>0</v>
      </c>
      <c r="DI924" s="5" t="s">
        <v>737</v>
      </c>
      <c r="DJ924" s="5" t="s">
        <v>240</v>
      </c>
      <c r="DK924" s="5" t="s">
        <v>240</v>
      </c>
      <c r="DL924" s="5" t="s">
        <v>240</v>
      </c>
      <c r="DP924" s="5" t="s">
        <v>240</v>
      </c>
      <c r="DQ924" s="5" t="s">
        <v>240</v>
      </c>
      <c r="DR924" s="5" t="s">
        <v>240</v>
      </c>
      <c r="DS924" s="5" t="s">
        <v>240</v>
      </c>
      <c r="DV924" s="5" t="s">
        <v>957</v>
      </c>
      <c r="DW924" s="5" t="s">
        <v>463</v>
      </c>
      <c r="HO924" s="5" t="s">
        <v>312</v>
      </c>
    </row>
    <row r="925" spans="1:223" x14ac:dyDescent="0.4">
      <c r="A925" s="5">
        <v>2600</v>
      </c>
      <c r="B925" s="5">
        <v>1</v>
      </c>
      <c r="C925" s="5">
        <v>1</v>
      </c>
      <c r="D925" s="5" t="s">
        <v>297</v>
      </c>
      <c r="E925" s="5" t="s">
        <v>245</v>
      </c>
      <c r="F925" s="5" t="s">
        <v>254</v>
      </c>
      <c r="G925" s="5" t="s">
        <v>240</v>
      </c>
      <c r="H925" s="6" t="s">
        <v>472</v>
      </c>
      <c r="I925" s="5" t="s">
        <v>295</v>
      </c>
      <c r="J925" s="8">
        <f>40</f>
        <v>40</v>
      </c>
      <c r="K925" s="5" t="s">
        <v>308</v>
      </c>
      <c r="L925" s="7">
        <f>1</f>
        <v>1</v>
      </c>
      <c r="M925" s="7">
        <f>1</f>
        <v>1</v>
      </c>
      <c r="N925" s="5" t="s">
        <v>242</v>
      </c>
      <c r="O925" s="5">
        <v>1</v>
      </c>
      <c r="P925" s="5" t="s">
        <v>294</v>
      </c>
      <c r="Q925" s="5" t="s">
        <v>613</v>
      </c>
      <c r="R925" s="5" t="s">
        <v>240</v>
      </c>
      <c r="S925" s="5" t="s">
        <v>240</v>
      </c>
      <c r="T925" s="5" t="s">
        <v>243</v>
      </c>
      <c r="U925" s="5" t="s">
        <v>724</v>
      </c>
      <c r="V925" s="5" t="s">
        <v>240</v>
      </c>
      <c r="Y925" s="5" t="s">
        <v>240</v>
      </c>
      <c r="Z925" s="6" t="s">
        <v>298</v>
      </c>
      <c r="AB925" s="6" t="s">
        <v>240</v>
      </c>
      <c r="AE925" s="6" t="s">
        <v>299</v>
      </c>
      <c r="AF925" s="5" t="s">
        <v>248</v>
      </c>
      <c r="AG925" s="5" t="s">
        <v>249</v>
      </c>
      <c r="AW925" s="5" t="s">
        <v>251</v>
      </c>
      <c r="AX925" s="5" t="s">
        <v>240</v>
      </c>
      <c r="AY925" s="5" t="s">
        <v>253</v>
      </c>
      <c r="AZ925" s="5" t="s">
        <v>240</v>
      </c>
      <c r="BA925" s="5" t="s">
        <v>255</v>
      </c>
      <c r="BB925" s="5" t="s">
        <v>240</v>
      </c>
      <c r="BD925" s="5" t="s">
        <v>240</v>
      </c>
      <c r="BF925" s="5" t="s">
        <v>301</v>
      </c>
      <c r="BG925" s="6" t="s">
        <v>299</v>
      </c>
      <c r="BH925" s="5" t="s">
        <v>302</v>
      </c>
      <c r="BI925" s="5" t="s">
        <v>303</v>
      </c>
      <c r="BJ925" s="5" t="s">
        <v>240</v>
      </c>
      <c r="BK925" s="8">
        <f>0</f>
        <v>0</v>
      </c>
      <c r="BL925" s="7">
        <f>0</f>
        <v>0</v>
      </c>
      <c r="BM925" s="5" t="s">
        <v>258</v>
      </c>
      <c r="BN925" s="5" t="s">
        <v>259</v>
      </c>
      <c r="CB925" s="5" t="s">
        <v>240</v>
      </c>
      <c r="CC925" s="5" t="s">
        <v>240</v>
      </c>
      <c r="CG925" s="5" t="s">
        <v>617</v>
      </c>
      <c r="CH925" s="5" t="s">
        <v>305</v>
      </c>
      <c r="CI925" s="5" t="s">
        <v>240</v>
      </c>
      <c r="CL925" s="6" t="s">
        <v>261</v>
      </c>
      <c r="CM925" s="5" t="s">
        <v>240</v>
      </c>
      <c r="CN925" s="5" t="s">
        <v>263</v>
      </c>
      <c r="CO925" s="5" t="s">
        <v>240</v>
      </c>
      <c r="CP925" s="5" t="s">
        <v>240</v>
      </c>
      <c r="CQ925" s="5">
        <v>0</v>
      </c>
      <c r="CR925" s="5" t="s">
        <v>306</v>
      </c>
      <c r="CS925" s="5" t="s">
        <v>307</v>
      </c>
      <c r="CT925" s="5" t="s">
        <v>307</v>
      </c>
      <c r="CU925" s="5" t="s">
        <v>260</v>
      </c>
      <c r="CX925" s="7">
        <f>6710</f>
        <v>6710</v>
      </c>
      <c r="CY925" s="7">
        <f>0</f>
        <v>0</v>
      </c>
      <c r="DA925" s="7">
        <f>0</f>
        <v>0</v>
      </c>
      <c r="DC925" s="5" t="s">
        <v>854</v>
      </c>
      <c r="DD925" s="5" t="s">
        <v>240</v>
      </c>
      <c r="DF925" s="5" t="s">
        <v>450</v>
      </c>
      <c r="DG925" s="7">
        <f>0</f>
        <v>0</v>
      </c>
      <c r="DI925" s="5" t="s">
        <v>737</v>
      </c>
      <c r="DJ925" s="5" t="s">
        <v>240</v>
      </c>
      <c r="DK925" s="5" t="s">
        <v>240</v>
      </c>
      <c r="DL925" s="5" t="s">
        <v>240</v>
      </c>
      <c r="DP925" s="5" t="s">
        <v>240</v>
      </c>
      <c r="DQ925" s="5" t="s">
        <v>240</v>
      </c>
      <c r="DR925" s="5" t="s">
        <v>240</v>
      </c>
      <c r="DS925" s="5" t="s">
        <v>240</v>
      </c>
      <c r="DV925" s="5" t="s">
        <v>957</v>
      </c>
      <c r="DW925" s="5" t="s">
        <v>465</v>
      </c>
      <c r="HO925" s="5" t="s">
        <v>312</v>
      </c>
    </row>
    <row r="926" spans="1:223" x14ac:dyDescent="0.4">
      <c r="A926" s="5">
        <v>2601</v>
      </c>
      <c r="B926" s="5">
        <v>1</v>
      </c>
      <c r="C926" s="5">
        <v>1</v>
      </c>
      <c r="D926" s="5" t="s">
        <v>297</v>
      </c>
      <c r="E926" s="5" t="s">
        <v>245</v>
      </c>
      <c r="F926" s="5" t="s">
        <v>254</v>
      </c>
      <c r="G926" s="5" t="s">
        <v>240</v>
      </c>
      <c r="H926" s="6" t="s">
        <v>470</v>
      </c>
      <c r="I926" s="5" t="s">
        <v>295</v>
      </c>
      <c r="J926" s="8">
        <f>161</f>
        <v>161</v>
      </c>
      <c r="K926" s="5" t="s">
        <v>308</v>
      </c>
      <c r="L926" s="7">
        <f>1</f>
        <v>1</v>
      </c>
      <c r="M926" s="7">
        <f>1</f>
        <v>1</v>
      </c>
      <c r="N926" s="5" t="s">
        <v>242</v>
      </c>
      <c r="O926" s="5">
        <v>1</v>
      </c>
      <c r="P926" s="5" t="s">
        <v>294</v>
      </c>
      <c r="Q926" s="5" t="s">
        <v>613</v>
      </c>
      <c r="R926" s="5" t="s">
        <v>240</v>
      </c>
      <c r="S926" s="5" t="s">
        <v>240</v>
      </c>
      <c r="T926" s="5" t="s">
        <v>243</v>
      </c>
      <c r="U926" s="5" t="s">
        <v>724</v>
      </c>
      <c r="V926" s="5" t="s">
        <v>240</v>
      </c>
      <c r="Y926" s="5" t="s">
        <v>240</v>
      </c>
      <c r="Z926" s="6" t="s">
        <v>298</v>
      </c>
      <c r="AB926" s="6" t="s">
        <v>240</v>
      </c>
      <c r="AE926" s="6" t="s">
        <v>299</v>
      </c>
      <c r="AF926" s="5" t="s">
        <v>248</v>
      </c>
      <c r="AG926" s="5" t="s">
        <v>249</v>
      </c>
      <c r="AW926" s="5" t="s">
        <v>251</v>
      </c>
      <c r="AX926" s="5" t="s">
        <v>240</v>
      </c>
      <c r="AY926" s="5" t="s">
        <v>253</v>
      </c>
      <c r="AZ926" s="5" t="s">
        <v>240</v>
      </c>
      <c r="BA926" s="5" t="s">
        <v>255</v>
      </c>
      <c r="BB926" s="5" t="s">
        <v>240</v>
      </c>
      <c r="BD926" s="5" t="s">
        <v>240</v>
      </c>
      <c r="BF926" s="5" t="s">
        <v>301</v>
      </c>
      <c r="BG926" s="6" t="s">
        <v>299</v>
      </c>
      <c r="BH926" s="5" t="s">
        <v>302</v>
      </c>
      <c r="BI926" s="5" t="s">
        <v>303</v>
      </c>
      <c r="BJ926" s="5" t="s">
        <v>240</v>
      </c>
      <c r="BK926" s="8">
        <f>0</f>
        <v>0</v>
      </c>
      <c r="BL926" s="7">
        <f>0</f>
        <v>0</v>
      </c>
      <c r="BM926" s="5" t="s">
        <v>258</v>
      </c>
      <c r="BN926" s="5" t="s">
        <v>259</v>
      </c>
      <c r="CB926" s="5" t="s">
        <v>240</v>
      </c>
      <c r="CC926" s="5" t="s">
        <v>240</v>
      </c>
      <c r="CG926" s="5" t="s">
        <v>617</v>
      </c>
      <c r="CH926" s="5" t="s">
        <v>305</v>
      </c>
      <c r="CI926" s="5" t="s">
        <v>240</v>
      </c>
      <c r="CL926" s="6" t="s">
        <v>261</v>
      </c>
      <c r="CM926" s="5" t="s">
        <v>240</v>
      </c>
      <c r="CN926" s="5" t="s">
        <v>263</v>
      </c>
      <c r="CO926" s="5" t="s">
        <v>240</v>
      </c>
      <c r="CP926" s="5" t="s">
        <v>240</v>
      </c>
      <c r="CQ926" s="5">
        <v>0</v>
      </c>
      <c r="CR926" s="5" t="s">
        <v>306</v>
      </c>
      <c r="CS926" s="5" t="s">
        <v>307</v>
      </c>
      <c r="CT926" s="5" t="s">
        <v>307</v>
      </c>
      <c r="CU926" s="5" t="s">
        <v>260</v>
      </c>
      <c r="CX926" s="7">
        <f>13684</f>
        <v>13684</v>
      </c>
      <c r="CY926" s="7">
        <f>0</f>
        <v>0</v>
      </c>
      <c r="DA926" s="7">
        <f>0</f>
        <v>0</v>
      </c>
      <c r="DC926" s="5" t="s">
        <v>854</v>
      </c>
      <c r="DD926" s="5" t="s">
        <v>240</v>
      </c>
      <c r="DF926" s="5" t="s">
        <v>450</v>
      </c>
      <c r="DG926" s="7">
        <f>0</f>
        <v>0</v>
      </c>
      <c r="DI926" s="5" t="s">
        <v>737</v>
      </c>
      <c r="DJ926" s="5" t="s">
        <v>240</v>
      </c>
      <c r="DK926" s="5" t="s">
        <v>240</v>
      </c>
      <c r="DL926" s="5" t="s">
        <v>240</v>
      </c>
      <c r="DP926" s="5" t="s">
        <v>240</v>
      </c>
      <c r="DQ926" s="5" t="s">
        <v>240</v>
      </c>
      <c r="DR926" s="5" t="s">
        <v>240</v>
      </c>
      <c r="DS926" s="5" t="s">
        <v>240</v>
      </c>
      <c r="DV926" s="5" t="s">
        <v>957</v>
      </c>
      <c r="DW926" s="5" t="s">
        <v>467</v>
      </c>
      <c r="HO926" s="5" t="s">
        <v>312</v>
      </c>
    </row>
    <row r="927" spans="1:223" x14ac:dyDescent="0.4">
      <c r="A927" s="5">
        <v>2602</v>
      </c>
      <c r="B927" s="5">
        <v>1</v>
      </c>
      <c r="C927" s="5">
        <v>1</v>
      </c>
      <c r="D927" s="5" t="s">
        <v>297</v>
      </c>
      <c r="E927" s="5" t="s">
        <v>245</v>
      </c>
      <c r="F927" s="5" t="s">
        <v>254</v>
      </c>
      <c r="G927" s="5" t="s">
        <v>240</v>
      </c>
      <c r="H927" s="6" t="s">
        <v>468</v>
      </c>
      <c r="I927" s="5" t="s">
        <v>295</v>
      </c>
      <c r="J927" s="8">
        <f>4600</f>
        <v>4600</v>
      </c>
      <c r="K927" s="5" t="s">
        <v>308</v>
      </c>
      <c r="L927" s="7">
        <f>1</f>
        <v>1</v>
      </c>
      <c r="M927" s="7">
        <f>1</f>
        <v>1</v>
      </c>
      <c r="N927" s="5" t="s">
        <v>242</v>
      </c>
      <c r="O927" s="5">
        <v>1</v>
      </c>
      <c r="P927" s="5" t="s">
        <v>294</v>
      </c>
      <c r="Q927" s="5" t="s">
        <v>613</v>
      </c>
      <c r="R927" s="5" t="s">
        <v>240</v>
      </c>
      <c r="S927" s="5" t="s">
        <v>240</v>
      </c>
      <c r="T927" s="5" t="s">
        <v>243</v>
      </c>
      <c r="U927" s="5" t="s">
        <v>724</v>
      </c>
      <c r="V927" s="5" t="s">
        <v>240</v>
      </c>
      <c r="Y927" s="5" t="s">
        <v>240</v>
      </c>
      <c r="Z927" s="6" t="s">
        <v>298</v>
      </c>
      <c r="AB927" s="6" t="s">
        <v>240</v>
      </c>
      <c r="AE927" s="6" t="s">
        <v>299</v>
      </c>
      <c r="AF927" s="5" t="s">
        <v>248</v>
      </c>
      <c r="AG927" s="5" t="s">
        <v>249</v>
      </c>
      <c r="AW927" s="5" t="s">
        <v>251</v>
      </c>
      <c r="AX927" s="5" t="s">
        <v>240</v>
      </c>
      <c r="AY927" s="5" t="s">
        <v>253</v>
      </c>
      <c r="AZ927" s="5" t="s">
        <v>240</v>
      </c>
      <c r="BA927" s="5" t="s">
        <v>255</v>
      </c>
      <c r="BB927" s="5" t="s">
        <v>240</v>
      </c>
      <c r="BD927" s="5" t="s">
        <v>240</v>
      </c>
      <c r="BF927" s="5" t="s">
        <v>301</v>
      </c>
      <c r="BG927" s="6" t="s">
        <v>299</v>
      </c>
      <c r="BH927" s="5" t="s">
        <v>302</v>
      </c>
      <c r="BI927" s="5" t="s">
        <v>303</v>
      </c>
      <c r="BJ927" s="5" t="s">
        <v>240</v>
      </c>
      <c r="BK927" s="8">
        <f>0</f>
        <v>0</v>
      </c>
      <c r="BL927" s="7">
        <f>0</f>
        <v>0</v>
      </c>
      <c r="BM927" s="5" t="s">
        <v>258</v>
      </c>
      <c r="BN927" s="5" t="s">
        <v>259</v>
      </c>
      <c r="CB927" s="5" t="s">
        <v>240</v>
      </c>
      <c r="CC927" s="5" t="s">
        <v>240</v>
      </c>
      <c r="CG927" s="5" t="s">
        <v>617</v>
      </c>
      <c r="CH927" s="5" t="s">
        <v>305</v>
      </c>
      <c r="CI927" s="5" t="s">
        <v>240</v>
      </c>
      <c r="CL927" s="6" t="s">
        <v>261</v>
      </c>
      <c r="CM927" s="5" t="s">
        <v>240</v>
      </c>
      <c r="CN927" s="5" t="s">
        <v>263</v>
      </c>
      <c r="CO927" s="5" t="s">
        <v>240</v>
      </c>
      <c r="CP927" s="5" t="s">
        <v>240</v>
      </c>
      <c r="CQ927" s="5">
        <v>0</v>
      </c>
      <c r="CR927" s="5" t="s">
        <v>306</v>
      </c>
      <c r="CS927" s="5" t="s">
        <v>307</v>
      </c>
      <c r="CT927" s="5" t="s">
        <v>307</v>
      </c>
      <c r="CU927" s="5" t="s">
        <v>260</v>
      </c>
      <c r="CX927" s="7">
        <f>770</f>
        <v>770</v>
      </c>
      <c r="CY927" s="7">
        <f>0</f>
        <v>0</v>
      </c>
      <c r="DA927" s="7">
        <f>0</f>
        <v>0</v>
      </c>
      <c r="DC927" s="5" t="s">
        <v>854</v>
      </c>
      <c r="DD927" s="5" t="s">
        <v>240</v>
      </c>
      <c r="DF927" s="5" t="s">
        <v>450</v>
      </c>
      <c r="DG927" s="7">
        <f>0</f>
        <v>0</v>
      </c>
      <c r="DI927" s="5" t="s">
        <v>737</v>
      </c>
      <c r="DJ927" s="5" t="s">
        <v>240</v>
      </c>
      <c r="DK927" s="5" t="s">
        <v>240</v>
      </c>
      <c r="DL927" s="5" t="s">
        <v>240</v>
      </c>
      <c r="DP927" s="5" t="s">
        <v>240</v>
      </c>
      <c r="DQ927" s="5" t="s">
        <v>240</v>
      </c>
      <c r="DR927" s="5" t="s">
        <v>240</v>
      </c>
      <c r="DS927" s="5" t="s">
        <v>240</v>
      </c>
      <c r="DV927" s="5" t="s">
        <v>957</v>
      </c>
      <c r="DW927" s="5" t="s">
        <v>469</v>
      </c>
      <c r="HO927" s="5" t="s">
        <v>312</v>
      </c>
    </row>
    <row r="928" spans="1:223" x14ac:dyDescent="0.4">
      <c r="A928" s="5">
        <v>2603</v>
      </c>
      <c r="B928" s="5">
        <v>1</v>
      </c>
      <c r="C928" s="5">
        <v>1</v>
      </c>
      <c r="D928" s="5" t="s">
        <v>297</v>
      </c>
      <c r="E928" s="5" t="s">
        <v>245</v>
      </c>
      <c r="F928" s="5" t="s">
        <v>254</v>
      </c>
      <c r="G928" s="5" t="s">
        <v>240</v>
      </c>
      <c r="H928" s="6" t="s">
        <v>466</v>
      </c>
      <c r="I928" s="5" t="s">
        <v>295</v>
      </c>
      <c r="J928" s="8">
        <f>605</f>
        <v>605</v>
      </c>
      <c r="K928" s="5" t="s">
        <v>308</v>
      </c>
      <c r="L928" s="7">
        <f>1</f>
        <v>1</v>
      </c>
      <c r="M928" s="7">
        <f>1</f>
        <v>1</v>
      </c>
      <c r="N928" s="5" t="s">
        <v>242</v>
      </c>
      <c r="O928" s="5">
        <v>1</v>
      </c>
      <c r="P928" s="5" t="s">
        <v>294</v>
      </c>
      <c r="Q928" s="5" t="s">
        <v>266</v>
      </c>
      <c r="R928" s="5" t="s">
        <v>240</v>
      </c>
      <c r="S928" s="5" t="s">
        <v>240</v>
      </c>
      <c r="T928" s="5" t="s">
        <v>296</v>
      </c>
      <c r="U928" s="5" t="s">
        <v>244</v>
      </c>
      <c r="V928" s="5" t="s">
        <v>240</v>
      </c>
      <c r="Y928" s="5" t="s">
        <v>240</v>
      </c>
      <c r="Z928" s="6" t="s">
        <v>298</v>
      </c>
      <c r="AB928" s="6" t="s">
        <v>240</v>
      </c>
      <c r="AE928" s="6" t="s">
        <v>299</v>
      </c>
      <c r="AF928" s="5" t="s">
        <v>248</v>
      </c>
      <c r="AG928" s="5" t="s">
        <v>249</v>
      </c>
      <c r="AW928" s="5" t="s">
        <v>251</v>
      </c>
      <c r="AX928" s="5" t="s">
        <v>240</v>
      </c>
      <c r="AY928" s="5" t="s">
        <v>253</v>
      </c>
      <c r="AZ928" s="5" t="s">
        <v>240</v>
      </c>
      <c r="BA928" s="5" t="s">
        <v>255</v>
      </c>
      <c r="BB928" s="5" t="s">
        <v>240</v>
      </c>
      <c r="BD928" s="5" t="s">
        <v>240</v>
      </c>
      <c r="BF928" s="5" t="s">
        <v>301</v>
      </c>
      <c r="BG928" s="6" t="s">
        <v>299</v>
      </c>
      <c r="BH928" s="5" t="s">
        <v>302</v>
      </c>
      <c r="BI928" s="5" t="s">
        <v>303</v>
      </c>
      <c r="BJ928" s="5" t="s">
        <v>240</v>
      </c>
      <c r="BK928" s="8">
        <f>0</f>
        <v>0</v>
      </c>
      <c r="BL928" s="7">
        <f>0</f>
        <v>0</v>
      </c>
      <c r="BM928" s="5" t="s">
        <v>258</v>
      </c>
      <c r="BN928" s="5" t="s">
        <v>259</v>
      </c>
      <c r="CB928" s="5" t="s">
        <v>240</v>
      </c>
      <c r="CC928" s="5" t="s">
        <v>240</v>
      </c>
      <c r="CG928" s="5" t="s">
        <v>304</v>
      </c>
      <c r="CH928" s="5" t="s">
        <v>305</v>
      </c>
      <c r="CI928" s="5" t="s">
        <v>240</v>
      </c>
      <c r="CL928" s="6" t="s">
        <v>261</v>
      </c>
      <c r="CM928" s="5" t="s">
        <v>240</v>
      </c>
      <c r="CN928" s="5" t="s">
        <v>263</v>
      </c>
      <c r="CO928" s="5" t="s">
        <v>240</v>
      </c>
      <c r="CP928" s="5" t="s">
        <v>240</v>
      </c>
      <c r="CQ928" s="5">
        <v>0</v>
      </c>
      <c r="CR928" s="5" t="s">
        <v>306</v>
      </c>
      <c r="CS928" s="5" t="s">
        <v>307</v>
      </c>
      <c r="CT928" s="5" t="s">
        <v>307</v>
      </c>
      <c r="CU928" s="5" t="s">
        <v>260</v>
      </c>
      <c r="CX928" s="7">
        <f>1</f>
        <v>1</v>
      </c>
      <c r="CY928" s="7">
        <f>0</f>
        <v>0</v>
      </c>
      <c r="DA928" s="7">
        <f>0</f>
        <v>0</v>
      </c>
      <c r="DC928" s="5" t="s">
        <v>309</v>
      </c>
      <c r="DD928" s="5" t="s">
        <v>240</v>
      </c>
      <c r="DF928" s="5" t="s">
        <v>309</v>
      </c>
      <c r="DG928" s="7">
        <f>931</f>
        <v>931</v>
      </c>
      <c r="DI928" s="5" t="s">
        <v>240</v>
      </c>
      <c r="DJ928" s="5" t="s">
        <v>240</v>
      </c>
      <c r="DK928" s="5" t="s">
        <v>240</v>
      </c>
      <c r="DL928" s="5" t="s">
        <v>240</v>
      </c>
      <c r="DP928" s="5" t="s">
        <v>240</v>
      </c>
      <c r="DQ928" s="5" t="s">
        <v>240</v>
      </c>
      <c r="DR928" s="5" t="s">
        <v>240</v>
      </c>
      <c r="DS928" s="5" t="s">
        <v>240</v>
      </c>
      <c r="DV928" s="5" t="s">
        <v>310</v>
      </c>
      <c r="DW928" s="5" t="s">
        <v>1198</v>
      </c>
      <c r="HO928" s="5" t="s">
        <v>312</v>
      </c>
    </row>
    <row r="929" spans="1:223" x14ac:dyDescent="0.4">
      <c r="A929" s="5">
        <v>2604</v>
      </c>
      <c r="B929" s="5">
        <v>1</v>
      </c>
      <c r="C929" s="5">
        <v>1</v>
      </c>
      <c r="D929" s="5" t="s">
        <v>297</v>
      </c>
      <c r="E929" s="5" t="s">
        <v>245</v>
      </c>
      <c r="F929" s="5" t="s">
        <v>254</v>
      </c>
      <c r="G929" s="5" t="s">
        <v>240</v>
      </c>
      <c r="H929" s="6" t="s">
        <v>464</v>
      </c>
      <c r="I929" s="5" t="s">
        <v>295</v>
      </c>
      <c r="J929" s="8">
        <f>180</f>
        <v>180</v>
      </c>
      <c r="K929" s="5" t="s">
        <v>308</v>
      </c>
      <c r="L929" s="7">
        <f>1</f>
        <v>1</v>
      </c>
      <c r="M929" s="7">
        <f>1</f>
        <v>1</v>
      </c>
      <c r="N929" s="5" t="s">
        <v>242</v>
      </c>
      <c r="O929" s="5">
        <v>1</v>
      </c>
      <c r="P929" s="5" t="s">
        <v>294</v>
      </c>
      <c r="Q929" s="5" t="s">
        <v>613</v>
      </c>
      <c r="R929" s="5" t="s">
        <v>240</v>
      </c>
      <c r="S929" s="5" t="s">
        <v>240</v>
      </c>
      <c r="T929" s="5" t="s">
        <v>243</v>
      </c>
      <c r="U929" s="5" t="s">
        <v>244</v>
      </c>
      <c r="V929" s="5" t="s">
        <v>240</v>
      </c>
      <c r="Y929" s="5" t="s">
        <v>240</v>
      </c>
      <c r="Z929" s="6" t="s">
        <v>1998</v>
      </c>
      <c r="AB929" s="6" t="s">
        <v>240</v>
      </c>
      <c r="AE929" s="6" t="s">
        <v>299</v>
      </c>
      <c r="AF929" s="5" t="s">
        <v>248</v>
      </c>
      <c r="AG929" s="5" t="s">
        <v>249</v>
      </c>
      <c r="AW929" s="5" t="s">
        <v>251</v>
      </c>
      <c r="AX929" s="5" t="s">
        <v>240</v>
      </c>
      <c r="AY929" s="5" t="s">
        <v>253</v>
      </c>
      <c r="AZ929" s="5" t="s">
        <v>240</v>
      </c>
      <c r="BA929" s="5" t="s">
        <v>255</v>
      </c>
      <c r="BB929" s="5" t="s">
        <v>240</v>
      </c>
      <c r="BD929" s="5" t="s">
        <v>842</v>
      </c>
      <c r="BF929" s="5" t="s">
        <v>301</v>
      </c>
      <c r="BG929" s="6" t="s">
        <v>299</v>
      </c>
      <c r="BH929" s="5" t="s">
        <v>302</v>
      </c>
      <c r="BI929" s="5" t="s">
        <v>303</v>
      </c>
      <c r="BJ929" s="5" t="s">
        <v>240</v>
      </c>
      <c r="BK929" s="8">
        <f>0</f>
        <v>0</v>
      </c>
      <c r="BL929" s="7">
        <f>0</f>
        <v>0</v>
      </c>
      <c r="BM929" s="5" t="s">
        <v>258</v>
      </c>
      <c r="BN929" s="5" t="s">
        <v>259</v>
      </c>
      <c r="CB929" s="5" t="s">
        <v>240</v>
      </c>
      <c r="CC929" s="5" t="s">
        <v>240</v>
      </c>
      <c r="CG929" s="5" t="s">
        <v>617</v>
      </c>
      <c r="CH929" s="5" t="s">
        <v>305</v>
      </c>
      <c r="CI929" s="5" t="s">
        <v>240</v>
      </c>
      <c r="CL929" s="6" t="s">
        <v>261</v>
      </c>
      <c r="CM929" s="5" t="s">
        <v>240</v>
      </c>
      <c r="CN929" s="5" t="s">
        <v>263</v>
      </c>
      <c r="CO929" s="5" t="s">
        <v>240</v>
      </c>
      <c r="CP929" s="5" t="s">
        <v>240</v>
      </c>
      <c r="CQ929" s="5">
        <v>0</v>
      </c>
      <c r="CR929" s="5" t="s">
        <v>306</v>
      </c>
      <c r="CS929" s="5" t="s">
        <v>307</v>
      </c>
      <c r="CT929" s="5" t="s">
        <v>307</v>
      </c>
      <c r="CU929" s="5" t="s">
        <v>260</v>
      </c>
      <c r="CX929" s="7">
        <f>3169665</f>
        <v>3169665</v>
      </c>
      <c r="CY929" s="7">
        <f>0</f>
        <v>0</v>
      </c>
      <c r="DA929" s="7">
        <f>0</f>
        <v>0</v>
      </c>
      <c r="DC929" s="5" t="s">
        <v>689</v>
      </c>
      <c r="DD929" s="5" t="s">
        <v>240</v>
      </c>
      <c r="DF929" s="5" t="s">
        <v>689</v>
      </c>
      <c r="DG929" s="7">
        <f>1431</f>
        <v>1431</v>
      </c>
      <c r="DH929" s="6" t="s">
        <v>2000</v>
      </c>
      <c r="DI929" s="5" t="s">
        <v>618</v>
      </c>
      <c r="DJ929" s="5" t="s">
        <v>240</v>
      </c>
      <c r="DK929" s="5" t="s">
        <v>240</v>
      </c>
      <c r="DL929" s="5" t="s">
        <v>240</v>
      </c>
      <c r="DP929" s="5" t="s">
        <v>240</v>
      </c>
      <c r="DQ929" s="5" t="s">
        <v>240</v>
      </c>
      <c r="DR929" s="5" t="s">
        <v>240</v>
      </c>
      <c r="DS929" s="5" t="s">
        <v>240</v>
      </c>
      <c r="DV929" s="5" t="s">
        <v>2001</v>
      </c>
      <c r="DW929" s="5" t="s">
        <v>312</v>
      </c>
      <c r="HO929" s="5" t="s">
        <v>312</v>
      </c>
    </row>
    <row r="930" spans="1:223" x14ac:dyDescent="0.4">
      <c r="A930" s="5">
        <v>2605</v>
      </c>
      <c r="B930" s="5">
        <v>1</v>
      </c>
      <c r="C930" s="5">
        <v>1</v>
      </c>
      <c r="D930" s="5" t="s">
        <v>297</v>
      </c>
      <c r="E930" s="5" t="s">
        <v>245</v>
      </c>
      <c r="F930" s="5" t="s">
        <v>254</v>
      </c>
      <c r="G930" s="5" t="s">
        <v>240</v>
      </c>
      <c r="H930" s="6" t="s">
        <v>462</v>
      </c>
      <c r="I930" s="5" t="s">
        <v>295</v>
      </c>
      <c r="J930" s="8">
        <f>222</f>
        <v>222</v>
      </c>
      <c r="K930" s="5" t="s">
        <v>308</v>
      </c>
      <c r="L930" s="7">
        <f>1</f>
        <v>1</v>
      </c>
      <c r="M930" s="7">
        <f>1</f>
        <v>1</v>
      </c>
      <c r="N930" s="5" t="s">
        <v>242</v>
      </c>
      <c r="O930" s="5">
        <v>1</v>
      </c>
      <c r="P930" s="5" t="s">
        <v>294</v>
      </c>
      <c r="Q930" s="5" t="s">
        <v>613</v>
      </c>
      <c r="R930" s="5" t="s">
        <v>240</v>
      </c>
      <c r="S930" s="5" t="s">
        <v>240</v>
      </c>
      <c r="T930" s="5" t="s">
        <v>243</v>
      </c>
      <c r="U930" s="5" t="s">
        <v>244</v>
      </c>
      <c r="V930" s="5" t="s">
        <v>240</v>
      </c>
      <c r="Y930" s="5" t="s">
        <v>240</v>
      </c>
      <c r="Z930" s="6" t="s">
        <v>298</v>
      </c>
      <c r="AB930" s="6" t="s">
        <v>240</v>
      </c>
      <c r="AE930" s="6" t="s">
        <v>299</v>
      </c>
      <c r="AF930" s="5" t="s">
        <v>248</v>
      </c>
      <c r="AG930" s="5" t="s">
        <v>249</v>
      </c>
      <c r="AW930" s="5" t="s">
        <v>251</v>
      </c>
      <c r="AX930" s="5" t="s">
        <v>240</v>
      </c>
      <c r="AY930" s="5" t="s">
        <v>253</v>
      </c>
      <c r="AZ930" s="5" t="s">
        <v>240</v>
      </c>
      <c r="BA930" s="5" t="s">
        <v>255</v>
      </c>
      <c r="BB930" s="5" t="s">
        <v>240</v>
      </c>
      <c r="BD930" s="5" t="s">
        <v>686</v>
      </c>
      <c r="BF930" s="5" t="s">
        <v>301</v>
      </c>
      <c r="BG930" s="6" t="s">
        <v>299</v>
      </c>
      <c r="BH930" s="5" t="s">
        <v>302</v>
      </c>
      <c r="BI930" s="5" t="s">
        <v>303</v>
      </c>
      <c r="BJ930" s="5" t="s">
        <v>240</v>
      </c>
      <c r="BK930" s="8">
        <f>0</f>
        <v>0</v>
      </c>
      <c r="BL930" s="7">
        <f>0</f>
        <v>0</v>
      </c>
      <c r="BM930" s="5" t="s">
        <v>258</v>
      </c>
      <c r="BN930" s="5" t="s">
        <v>259</v>
      </c>
      <c r="CB930" s="5" t="s">
        <v>240</v>
      </c>
      <c r="CC930" s="5" t="s">
        <v>240</v>
      </c>
      <c r="CG930" s="5" t="s">
        <v>617</v>
      </c>
      <c r="CH930" s="5" t="s">
        <v>305</v>
      </c>
      <c r="CI930" s="5" t="s">
        <v>240</v>
      </c>
      <c r="CL930" s="6" t="s">
        <v>261</v>
      </c>
      <c r="CM930" s="5" t="s">
        <v>240</v>
      </c>
      <c r="CN930" s="5" t="s">
        <v>263</v>
      </c>
      <c r="CO930" s="5" t="s">
        <v>240</v>
      </c>
      <c r="CP930" s="5" t="s">
        <v>240</v>
      </c>
      <c r="CQ930" s="5">
        <v>0</v>
      </c>
      <c r="CR930" s="5" t="s">
        <v>306</v>
      </c>
      <c r="CS930" s="5" t="s">
        <v>307</v>
      </c>
      <c r="CT930" s="5" t="s">
        <v>307</v>
      </c>
      <c r="CU930" s="5" t="s">
        <v>260</v>
      </c>
      <c r="CX930" s="7">
        <f>3550645</f>
        <v>3550645</v>
      </c>
      <c r="CY930" s="7">
        <f>0</f>
        <v>0</v>
      </c>
      <c r="DA930" s="7">
        <f>0</f>
        <v>0</v>
      </c>
      <c r="DC930" s="5" t="s">
        <v>689</v>
      </c>
      <c r="DD930" s="5" t="s">
        <v>240</v>
      </c>
      <c r="DF930" s="5" t="s">
        <v>689</v>
      </c>
      <c r="DG930" s="7">
        <f>0</f>
        <v>0</v>
      </c>
      <c r="DI930" s="5" t="s">
        <v>618</v>
      </c>
      <c r="DJ930" s="5" t="s">
        <v>240</v>
      </c>
      <c r="DK930" s="5" t="s">
        <v>240</v>
      </c>
      <c r="DL930" s="5" t="s">
        <v>240</v>
      </c>
      <c r="DP930" s="5" t="s">
        <v>240</v>
      </c>
      <c r="DQ930" s="5" t="s">
        <v>240</v>
      </c>
      <c r="DR930" s="5" t="s">
        <v>240</v>
      </c>
      <c r="DS930" s="5" t="s">
        <v>240</v>
      </c>
      <c r="DV930" s="5" t="s">
        <v>2005</v>
      </c>
      <c r="DW930" s="5" t="s">
        <v>312</v>
      </c>
      <c r="HO930" s="5" t="s">
        <v>312</v>
      </c>
    </row>
    <row r="931" spans="1:223" x14ac:dyDescent="0.4">
      <c r="A931" s="5">
        <v>2606</v>
      </c>
      <c r="B931" s="5">
        <v>1</v>
      </c>
      <c r="C931" s="5">
        <v>1</v>
      </c>
      <c r="D931" s="5" t="s">
        <v>297</v>
      </c>
      <c r="E931" s="5" t="s">
        <v>245</v>
      </c>
      <c r="F931" s="5" t="s">
        <v>254</v>
      </c>
      <c r="G931" s="5" t="s">
        <v>240</v>
      </c>
      <c r="H931" s="6" t="s">
        <v>460</v>
      </c>
      <c r="I931" s="5" t="s">
        <v>295</v>
      </c>
      <c r="J931" s="8">
        <f>3581</f>
        <v>3581</v>
      </c>
      <c r="K931" s="5" t="s">
        <v>308</v>
      </c>
      <c r="L931" s="7">
        <f>1</f>
        <v>1</v>
      </c>
      <c r="M931" s="7">
        <f>1</f>
        <v>1</v>
      </c>
      <c r="N931" s="5" t="s">
        <v>242</v>
      </c>
      <c r="O931" s="5">
        <v>1</v>
      </c>
      <c r="P931" s="5" t="s">
        <v>294</v>
      </c>
      <c r="Q931" s="5" t="s">
        <v>613</v>
      </c>
      <c r="R931" s="5" t="s">
        <v>240</v>
      </c>
      <c r="S931" s="5" t="s">
        <v>240</v>
      </c>
      <c r="T931" s="5" t="s">
        <v>243</v>
      </c>
      <c r="U931" s="5" t="s">
        <v>244</v>
      </c>
      <c r="V931" s="5" t="s">
        <v>240</v>
      </c>
      <c r="Y931" s="5" t="s">
        <v>240</v>
      </c>
      <c r="Z931" s="6" t="s">
        <v>298</v>
      </c>
      <c r="AB931" s="6" t="s">
        <v>240</v>
      </c>
      <c r="AE931" s="6" t="s">
        <v>299</v>
      </c>
      <c r="AF931" s="5" t="s">
        <v>248</v>
      </c>
      <c r="AG931" s="5" t="s">
        <v>249</v>
      </c>
      <c r="AW931" s="5" t="s">
        <v>251</v>
      </c>
      <c r="AX931" s="5" t="s">
        <v>240</v>
      </c>
      <c r="AY931" s="5" t="s">
        <v>253</v>
      </c>
      <c r="AZ931" s="5" t="s">
        <v>240</v>
      </c>
      <c r="BA931" s="5" t="s">
        <v>255</v>
      </c>
      <c r="BB931" s="5" t="s">
        <v>240</v>
      </c>
      <c r="BD931" s="5" t="s">
        <v>686</v>
      </c>
      <c r="BF931" s="5" t="s">
        <v>301</v>
      </c>
      <c r="BG931" s="6" t="s">
        <v>299</v>
      </c>
      <c r="BH931" s="5" t="s">
        <v>302</v>
      </c>
      <c r="BI931" s="5" t="s">
        <v>303</v>
      </c>
      <c r="BJ931" s="5" t="s">
        <v>240</v>
      </c>
      <c r="BK931" s="8">
        <f>0</f>
        <v>0</v>
      </c>
      <c r="BL931" s="7">
        <f>0</f>
        <v>0</v>
      </c>
      <c r="BM931" s="5" t="s">
        <v>258</v>
      </c>
      <c r="BN931" s="5" t="s">
        <v>259</v>
      </c>
      <c r="CB931" s="5" t="s">
        <v>240</v>
      </c>
      <c r="CC931" s="5" t="s">
        <v>240</v>
      </c>
      <c r="CG931" s="5" t="s">
        <v>617</v>
      </c>
      <c r="CH931" s="5" t="s">
        <v>305</v>
      </c>
      <c r="CI931" s="5" t="s">
        <v>240</v>
      </c>
      <c r="CL931" s="6" t="s">
        <v>261</v>
      </c>
      <c r="CM931" s="5" t="s">
        <v>240</v>
      </c>
      <c r="CN931" s="5" t="s">
        <v>263</v>
      </c>
      <c r="CO931" s="5" t="s">
        <v>240</v>
      </c>
      <c r="CP931" s="5" t="s">
        <v>240</v>
      </c>
      <c r="CQ931" s="5">
        <v>0</v>
      </c>
      <c r="CR931" s="5" t="s">
        <v>306</v>
      </c>
      <c r="CS931" s="5" t="s">
        <v>307</v>
      </c>
      <c r="CT931" s="5" t="s">
        <v>307</v>
      </c>
      <c r="CU931" s="5" t="s">
        <v>260</v>
      </c>
      <c r="CX931" s="7">
        <f>97460</f>
        <v>97460</v>
      </c>
      <c r="CY931" s="7">
        <f>0</f>
        <v>0</v>
      </c>
      <c r="DA931" s="7">
        <f>0</f>
        <v>0</v>
      </c>
      <c r="DC931" s="5" t="s">
        <v>689</v>
      </c>
      <c r="DD931" s="5" t="s">
        <v>240</v>
      </c>
      <c r="DF931" s="5" t="s">
        <v>1247</v>
      </c>
      <c r="DG931" s="7">
        <f>44</f>
        <v>44</v>
      </c>
      <c r="DI931" s="5" t="s">
        <v>618</v>
      </c>
      <c r="DJ931" s="5" t="s">
        <v>240</v>
      </c>
      <c r="DK931" s="5" t="s">
        <v>240</v>
      </c>
      <c r="DL931" s="5" t="s">
        <v>240</v>
      </c>
      <c r="DP931" s="5" t="s">
        <v>240</v>
      </c>
      <c r="DQ931" s="5" t="s">
        <v>240</v>
      </c>
      <c r="DR931" s="5" t="s">
        <v>240</v>
      </c>
      <c r="DS931" s="5" t="s">
        <v>240</v>
      </c>
      <c r="DV931" s="5" t="s">
        <v>1334</v>
      </c>
      <c r="DW931" s="5" t="s">
        <v>312</v>
      </c>
      <c r="HO931" s="5" t="s">
        <v>312</v>
      </c>
    </row>
    <row r="932" spans="1:223" x14ac:dyDescent="0.4">
      <c r="A932" s="5">
        <v>2607</v>
      </c>
      <c r="B932" s="5">
        <v>1</v>
      </c>
      <c r="C932" s="5">
        <v>1</v>
      </c>
      <c r="D932" s="5" t="s">
        <v>297</v>
      </c>
      <c r="E932" s="5" t="s">
        <v>245</v>
      </c>
      <c r="F932" s="5" t="s">
        <v>254</v>
      </c>
      <c r="G932" s="5" t="s">
        <v>240</v>
      </c>
      <c r="H932" s="6" t="s">
        <v>458</v>
      </c>
      <c r="I932" s="5" t="s">
        <v>295</v>
      </c>
      <c r="J932" s="8">
        <f>603</f>
        <v>603</v>
      </c>
      <c r="K932" s="5" t="s">
        <v>308</v>
      </c>
      <c r="L932" s="7">
        <f>1</f>
        <v>1</v>
      </c>
      <c r="M932" s="7">
        <f>1</f>
        <v>1</v>
      </c>
      <c r="N932" s="5" t="s">
        <v>242</v>
      </c>
      <c r="O932" s="5">
        <v>1</v>
      </c>
      <c r="P932" s="5" t="s">
        <v>294</v>
      </c>
      <c r="Q932" s="5" t="s">
        <v>613</v>
      </c>
      <c r="R932" s="5" t="s">
        <v>240</v>
      </c>
      <c r="S932" s="5" t="s">
        <v>240</v>
      </c>
      <c r="T932" s="5" t="s">
        <v>243</v>
      </c>
      <c r="U932" s="5" t="s">
        <v>244</v>
      </c>
      <c r="V932" s="5" t="s">
        <v>240</v>
      </c>
      <c r="Y932" s="5" t="s">
        <v>240</v>
      </c>
      <c r="Z932" s="6" t="s">
        <v>298</v>
      </c>
      <c r="AB932" s="6" t="s">
        <v>240</v>
      </c>
      <c r="AE932" s="6" t="s">
        <v>299</v>
      </c>
      <c r="AF932" s="5" t="s">
        <v>248</v>
      </c>
      <c r="AG932" s="5" t="s">
        <v>249</v>
      </c>
      <c r="AW932" s="5" t="s">
        <v>251</v>
      </c>
      <c r="AX932" s="5" t="s">
        <v>240</v>
      </c>
      <c r="AY932" s="5" t="s">
        <v>253</v>
      </c>
      <c r="AZ932" s="5" t="s">
        <v>240</v>
      </c>
      <c r="BA932" s="5" t="s">
        <v>255</v>
      </c>
      <c r="BB932" s="5" t="s">
        <v>240</v>
      </c>
      <c r="BD932" s="5" t="s">
        <v>686</v>
      </c>
      <c r="BF932" s="5" t="s">
        <v>301</v>
      </c>
      <c r="BG932" s="6" t="s">
        <v>299</v>
      </c>
      <c r="BH932" s="5" t="s">
        <v>302</v>
      </c>
      <c r="BI932" s="5" t="s">
        <v>303</v>
      </c>
      <c r="BJ932" s="5" t="s">
        <v>240</v>
      </c>
      <c r="BK932" s="8">
        <f>0</f>
        <v>0</v>
      </c>
      <c r="BL932" s="7">
        <f>0</f>
        <v>0</v>
      </c>
      <c r="BM932" s="5" t="s">
        <v>258</v>
      </c>
      <c r="BN932" s="5" t="s">
        <v>259</v>
      </c>
      <c r="CB932" s="5" t="s">
        <v>240</v>
      </c>
      <c r="CC932" s="5" t="s">
        <v>240</v>
      </c>
      <c r="CG932" s="5" t="s">
        <v>617</v>
      </c>
      <c r="CH932" s="5" t="s">
        <v>305</v>
      </c>
      <c r="CI932" s="5" t="s">
        <v>240</v>
      </c>
      <c r="CL932" s="6" t="s">
        <v>261</v>
      </c>
      <c r="CM932" s="5" t="s">
        <v>240</v>
      </c>
      <c r="CN932" s="5" t="s">
        <v>263</v>
      </c>
      <c r="CO932" s="5" t="s">
        <v>240</v>
      </c>
      <c r="CP932" s="5" t="s">
        <v>240</v>
      </c>
      <c r="CQ932" s="5">
        <v>0</v>
      </c>
      <c r="CR932" s="5" t="s">
        <v>306</v>
      </c>
      <c r="CS932" s="5" t="s">
        <v>307</v>
      </c>
      <c r="CT932" s="5" t="s">
        <v>307</v>
      </c>
      <c r="CU932" s="5" t="s">
        <v>260</v>
      </c>
      <c r="CX932" s="7">
        <f>3142841</f>
        <v>3142841</v>
      </c>
      <c r="CY932" s="7">
        <f>0</f>
        <v>0</v>
      </c>
      <c r="DA932" s="7">
        <f>0</f>
        <v>0</v>
      </c>
      <c r="DC932" s="5" t="s">
        <v>689</v>
      </c>
      <c r="DD932" s="5" t="s">
        <v>240</v>
      </c>
      <c r="DF932" s="5" t="s">
        <v>843</v>
      </c>
      <c r="DG932" s="7">
        <f>1418.89</f>
        <v>1418.89</v>
      </c>
      <c r="DI932" s="5" t="s">
        <v>618</v>
      </c>
      <c r="DJ932" s="5" t="s">
        <v>240</v>
      </c>
      <c r="DK932" s="5" t="s">
        <v>240</v>
      </c>
      <c r="DL932" s="5" t="s">
        <v>240</v>
      </c>
      <c r="DP932" s="5" t="s">
        <v>240</v>
      </c>
      <c r="DQ932" s="5" t="s">
        <v>240</v>
      </c>
      <c r="DR932" s="5" t="s">
        <v>240</v>
      </c>
      <c r="DS932" s="5" t="s">
        <v>240</v>
      </c>
      <c r="DV932" s="5" t="s">
        <v>1406</v>
      </c>
      <c r="DW932" s="5" t="s">
        <v>312</v>
      </c>
      <c r="HO932" s="5" t="s">
        <v>312</v>
      </c>
    </row>
    <row r="933" spans="1:223" x14ac:dyDescent="0.4">
      <c r="A933" s="5">
        <v>2608</v>
      </c>
      <c r="B933" s="5">
        <v>1</v>
      </c>
      <c r="C933" s="5">
        <v>1</v>
      </c>
      <c r="D933" s="5" t="s">
        <v>297</v>
      </c>
      <c r="E933" s="5" t="s">
        <v>245</v>
      </c>
      <c r="F933" s="5" t="s">
        <v>254</v>
      </c>
      <c r="G933" s="5" t="s">
        <v>240</v>
      </c>
      <c r="H933" s="6" t="s">
        <v>456</v>
      </c>
      <c r="I933" s="5" t="s">
        <v>295</v>
      </c>
      <c r="J933" s="8">
        <f>92</f>
        <v>92</v>
      </c>
      <c r="K933" s="5" t="s">
        <v>308</v>
      </c>
      <c r="L933" s="7">
        <f>1</f>
        <v>1</v>
      </c>
      <c r="M933" s="7">
        <f>1</f>
        <v>1</v>
      </c>
      <c r="N933" s="5" t="s">
        <v>242</v>
      </c>
      <c r="O933" s="5">
        <v>1</v>
      </c>
      <c r="P933" s="5" t="s">
        <v>294</v>
      </c>
      <c r="Q933" s="5" t="s">
        <v>613</v>
      </c>
      <c r="R933" s="5" t="s">
        <v>240</v>
      </c>
      <c r="S933" s="5" t="s">
        <v>240</v>
      </c>
      <c r="T933" s="5" t="s">
        <v>243</v>
      </c>
      <c r="U933" s="5" t="s">
        <v>244</v>
      </c>
      <c r="V933" s="5" t="s">
        <v>240</v>
      </c>
      <c r="Y933" s="5" t="s">
        <v>240</v>
      </c>
      <c r="Z933" s="6" t="s">
        <v>298</v>
      </c>
      <c r="AB933" s="6" t="s">
        <v>240</v>
      </c>
      <c r="AE933" s="6" t="s">
        <v>299</v>
      </c>
      <c r="AF933" s="5" t="s">
        <v>248</v>
      </c>
      <c r="AG933" s="5" t="s">
        <v>249</v>
      </c>
      <c r="AW933" s="5" t="s">
        <v>251</v>
      </c>
      <c r="AX933" s="5" t="s">
        <v>240</v>
      </c>
      <c r="AY933" s="5" t="s">
        <v>253</v>
      </c>
      <c r="AZ933" s="5" t="s">
        <v>240</v>
      </c>
      <c r="BA933" s="5" t="s">
        <v>255</v>
      </c>
      <c r="BB933" s="5" t="s">
        <v>240</v>
      </c>
      <c r="BD933" s="5" t="s">
        <v>686</v>
      </c>
      <c r="BF933" s="5" t="s">
        <v>301</v>
      </c>
      <c r="BG933" s="6" t="s">
        <v>299</v>
      </c>
      <c r="BH933" s="5" t="s">
        <v>302</v>
      </c>
      <c r="BI933" s="5" t="s">
        <v>303</v>
      </c>
      <c r="BJ933" s="5" t="s">
        <v>240</v>
      </c>
      <c r="BK933" s="8">
        <f>0</f>
        <v>0</v>
      </c>
      <c r="BL933" s="7">
        <f>0</f>
        <v>0</v>
      </c>
      <c r="BM933" s="5" t="s">
        <v>258</v>
      </c>
      <c r="BN933" s="5" t="s">
        <v>259</v>
      </c>
      <c r="CB933" s="5" t="s">
        <v>240</v>
      </c>
      <c r="CC933" s="5" t="s">
        <v>240</v>
      </c>
      <c r="CG933" s="5" t="s">
        <v>617</v>
      </c>
      <c r="CH933" s="5" t="s">
        <v>305</v>
      </c>
      <c r="CI933" s="5" t="s">
        <v>240</v>
      </c>
      <c r="CL933" s="6" t="s">
        <v>261</v>
      </c>
      <c r="CM933" s="5" t="s">
        <v>240</v>
      </c>
      <c r="CN933" s="5" t="s">
        <v>263</v>
      </c>
      <c r="CO933" s="5" t="s">
        <v>240</v>
      </c>
      <c r="CP933" s="5" t="s">
        <v>240</v>
      </c>
      <c r="CQ933" s="5">
        <v>0</v>
      </c>
      <c r="CR933" s="5" t="s">
        <v>306</v>
      </c>
      <c r="CS933" s="5" t="s">
        <v>307</v>
      </c>
      <c r="CT933" s="5" t="s">
        <v>307</v>
      </c>
      <c r="CU933" s="5" t="s">
        <v>260</v>
      </c>
      <c r="CX933" s="7">
        <f>1151800</f>
        <v>1151800</v>
      </c>
      <c r="CY933" s="7">
        <f>0</f>
        <v>0</v>
      </c>
      <c r="DA933" s="7">
        <f>0</f>
        <v>0</v>
      </c>
      <c r="DC933" s="5" t="s">
        <v>689</v>
      </c>
      <c r="DD933" s="5" t="s">
        <v>240</v>
      </c>
      <c r="DF933" s="5" t="s">
        <v>450</v>
      </c>
      <c r="DG933" s="7">
        <f>0</f>
        <v>0</v>
      </c>
      <c r="DI933" s="5" t="s">
        <v>618</v>
      </c>
      <c r="DJ933" s="5" t="s">
        <v>240</v>
      </c>
      <c r="DK933" s="5" t="s">
        <v>240</v>
      </c>
      <c r="DL933" s="5" t="s">
        <v>240</v>
      </c>
      <c r="DP933" s="5" t="s">
        <v>240</v>
      </c>
      <c r="DQ933" s="5" t="s">
        <v>240</v>
      </c>
      <c r="DR933" s="5" t="s">
        <v>240</v>
      </c>
      <c r="DS933" s="5" t="s">
        <v>240</v>
      </c>
      <c r="DV933" s="5" t="s">
        <v>2011</v>
      </c>
      <c r="DW933" s="5" t="s">
        <v>312</v>
      </c>
      <c r="HO933" s="5" t="s">
        <v>312</v>
      </c>
    </row>
    <row r="934" spans="1:223" x14ac:dyDescent="0.4">
      <c r="A934" s="5">
        <v>2609</v>
      </c>
      <c r="B934" s="5">
        <v>1</v>
      </c>
      <c r="C934" s="5">
        <v>1</v>
      </c>
      <c r="D934" s="5" t="s">
        <v>297</v>
      </c>
      <c r="E934" s="5" t="s">
        <v>245</v>
      </c>
      <c r="F934" s="5" t="s">
        <v>254</v>
      </c>
      <c r="G934" s="5" t="s">
        <v>240</v>
      </c>
      <c r="H934" s="6" t="s">
        <v>454</v>
      </c>
      <c r="I934" s="5" t="s">
        <v>295</v>
      </c>
      <c r="J934" s="8">
        <f>109</f>
        <v>109</v>
      </c>
      <c r="K934" s="5" t="s">
        <v>308</v>
      </c>
      <c r="L934" s="7">
        <f>1</f>
        <v>1</v>
      </c>
      <c r="M934" s="7">
        <f>1</f>
        <v>1</v>
      </c>
      <c r="N934" s="5" t="s">
        <v>242</v>
      </c>
      <c r="O934" s="5">
        <v>1</v>
      </c>
      <c r="P934" s="5" t="s">
        <v>294</v>
      </c>
      <c r="Q934" s="5" t="s">
        <v>266</v>
      </c>
      <c r="R934" s="5" t="s">
        <v>240</v>
      </c>
      <c r="S934" s="5" t="s">
        <v>240</v>
      </c>
      <c r="T934" s="5" t="s">
        <v>296</v>
      </c>
      <c r="U934" s="5" t="s">
        <v>244</v>
      </c>
      <c r="V934" s="5" t="s">
        <v>240</v>
      </c>
      <c r="Y934" s="5" t="s">
        <v>240</v>
      </c>
      <c r="Z934" s="6" t="s">
        <v>298</v>
      </c>
      <c r="AB934" s="6" t="s">
        <v>240</v>
      </c>
      <c r="AE934" s="6" t="s">
        <v>299</v>
      </c>
      <c r="AF934" s="5" t="s">
        <v>248</v>
      </c>
      <c r="AG934" s="5" t="s">
        <v>249</v>
      </c>
      <c r="AW934" s="5" t="s">
        <v>251</v>
      </c>
      <c r="AX934" s="5" t="s">
        <v>240</v>
      </c>
      <c r="AY934" s="5" t="s">
        <v>253</v>
      </c>
      <c r="AZ934" s="5" t="s">
        <v>240</v>
      </c>
      <c r="BA934" s="5" t="s">
        <v>255</v>
      </c>
      <c r="BB934" s="5" t="s">
        <v>240</v>
      </c>
      <c r="BD934" s="5" t="s">
        <v>240</v>
      </c>
      <c r="BF934" s="5" t="s">
        <v>301</v>
      </c>
      <c r="BG934" s="6" t="s">
        <v>299</v>
      </c>
      <c r="BH934" s="5" t="s">
        <v>302</v>
      </c>
      <c r="BI934" s="5" t="s">
        <v>303</v>
      </c>
      <c r="BJ934" s="5" t="s">
        <v>240</v>
      </c>
      <c r="BK934" s="8">
        <f>0</f>
        <v>0</v>
      </c>
      <c r="BL934" s="7">
        <f>0</f>
        <v>0</v>
      </c>
      <c r="BM934" s="5" t="s">
        <v>258</v>
      </c>
      <c r="BN934" s="5" t="s">
        <v>259</v>
      </c>
      <c r="CB934" s="5" t="s">
        <v>240</v>
      </c>
      <c r="CC934" s="5" t="s">
        <v>240</v>
      </c>
      <c r="CG934" s="5" t="s">
        <v>304</v>
      </c>
      <c r="CH934" s="5" t="s">
        <v>305</v>
      </c>
      <c r="CI934" s="5" t="s">
        <v>240</v>
      </c>
      <c r="CL934" s="6" t="s">
        <v>261</v>
      </c>
      <c r="CM934" s="5" t="s">
        <v>240</v>
      </c>
      <c r="CN934" s="5" t="s">
        <v>263</v>
      </c>
      <c r="CO934" s="5" t="s">
        <v>240</v>
      </c>
      <c r="CP934" s="5" t="s">
        <v>240</v>
      </c>
      <c r="CQ934" s="5">
        <v>0</v>
      </c>
      <c r="CR934" s="5" t="s">
        <v>306</v>
      </c>
      <c r="CS934" s="5" t="s">
        <v>307</v>
      </c>
      <c r="CT934" s="5" t="s">
        <v>307</v>
      </c>
      <c r="CU934" s="5" t="s">
        <v>260</v>
      </c>
      <c r="CX934" s="7">
        <f>1</f>
        <v>1</v>
      </c>
      <c r="CY934" s="7">
        <f>0</f>
        <v>0</v>
      </c>
      <c r="DA934" s="7">
        <f>0</f>
        <v>0</v>
      </c>
      <c r="DC934" s="5" t="s">
        <v>812</v>
      </c>
      <c r="DD934" s="5" t="s">
        <v>240</v>
      </c>
      <c r="DF934" s="5" t="s">
        <v>812</v>
      </c>
      <c r="DG934" s="7">
        <f>757</f>
        <v>757</v>
      </c>
      <c r="DI934" s="5" t="s">
        <v>240</v>
      </c>
      <c r="DJ934" s="5" t="s">
        <v>240</v>
      </c>
      <c r="DK934" s="5" t="s">
        <v>240</v>
      </c>
      <c r="DL934" s="5" t="s">
        <v>240</v>
      </c>
      <c r="DP934" s="5" t="s">
        <v>240</v>
      </c>
      <c r="DQ934" s="5" t="s">
        <v>240</v>
      </c>
      <c r="DR934" s="5" t="s">
        <v>240</v>
      </c>
      <c r="DS934" s="5" t="s">
        <v>240</v>
      </c>
      <c r="DV934" s="5" t="s">
        <v>813</v>
      </c>
      <c r="DW934" s="5" t="s">
        <v>2013</v>
      </c>
      <c r="HO934" s="5" t="s">
        <v>312</v>
      </c>
    </row>
    <row r="935" spans="1:223" x14ac:dyDescent="0.4">
      <c r="A935" s="5">
        <v>2610</v>
      </c>
      <c r="B935" s="5">
        <v>1</v>
      </c>
      <c r="C935" s="5">
        <v>1</v>
      </c>
      <c r="D935" s="5" t="s">
        <v>297</v>
      </c>
      <c r="E935" s="5" t="s">
        <v>245</v>
      </c>
      <c r="F935" s="5" t="s">
        <v>254</v>
      </c>
      <c r="G935" s="5" t="s">
        <v>240</v>
      </c>
      <c r="H935" s="6" t="s">
        <v>452</v>
      </c>
      <c r="I935" s="5" t="s">
        <v>295</v>
      </c>
      <c r="J935" s="8">
        <f>1732</f>
        <v>1732</v>
      </c>
      <c r="K935" s="5" t="s">
        <v>308</v>
      </c>
      <c r="L935" s="7">
        <f>1</f>
        <v>1</v>
      </c>
      <c r="M935" s="7">
        <f>1</f>
        <v>1</v>
      </c>
      <c r="N935" s="5" t="s">
        <v>242</v>
      </c>
      <c r="O935" s="5">
        <v>1</v>
      </c>
      <c r="P935" s="5" t="s">
        <v>294</v>
      </c>
      <c r="Q935" s="5" t="s">
        <v>613</v>
      </c>
      <c r="R935" s="5" t="s">
        <v>240</v>
      </c>
      <c r="S935" s="5" t="s">
        <v>240</v>
      </c>
      <c r="T935" s="5" t="s">
        <v>243</v>
      </c>
      <c r="U935" s="5" t="s">
        <v>244</v>
      </c>
      <c r="V935" s="5" t="s">
        <v>240</v>
      </c>
      <c r="Y935" s="5" t="s">
        <v>240</v>
      </c>
      <c r="Z935" s="6" t="s">
        <v>298</v>
      </c>
      <c r="AB935" s="6" t="s">
        <v>240</v>
      </c>
      <c r="AE935" s="6" t="s">
        <v>299</v>
      </c>
      <c r="AF935" s="5" t="s">
        <v>248</v>
      </c>
      <c r="AG935" s="5" t="s">
        <v>249</v>
      </c>
      <c r="AW935" s="5" t="s">
        <v>251</v>
      </c>
      <c r="AX935" s="5" t="s">
        <v>240</v>
      </c>
      <c r="AY935" s="5" t="s">
        <v>253</v>
      </c>
      <c r="AZ935" s="5" t="s">
        <v>240</v>
      </c>
      <c r="BA935" s="5" t="s">
        <v>255</v>
      </c>
      <c r="BB935" s="5" t="s">
        <v>240</v>
      </c>
      <c r="BD935" s="5" t="s">
        <v>686</v>
      </c>
      <c r="BF935" s="5" t="s">
        <v>301</v>
      </c>
      <c r="BG935" s="6" t="s">
        <v>299</v>
      </c>
      <c r="BH935" s="5" t="s">
        <v>302</v>
      </c>
      <c r="BI935" s="5" t="s">
        <v>303</v>
      </c>
      <c r="BJ935" s="5" t="s">
        <v>240</v>
      </c>
      <c r="BK935" s="8">
        <f>0</f>
        <v>0</v>
      </c>
      <c r="BL935" s="7">
        <f>0</f>
        <v>0</v>
      </c>
      <c r="BM935" s="5" t="s">
        <v>258</v>
      </c>
      <c r="BN935" s="5" t="s">
        <v>259</v>
      </c>
      <c r="CB935" s="5" t="s">
        <v>240</v>
      </c>
      <c r="CC935" s="5" t="s">
        <v>240</v>
      </c>
      <c r="CG935" s="5" t="s">
        <v>617</v>
      </c>
      <c r="CH935" s="5" t="s">
        <v>305</v>
      </c>
      <c r="CI935" s="5" t="s">
        <v>240</v>
      </c>
      <c r="CL935" s="6" t="s">
        <v>261</v>
      </c>
      <c r="CM935" s="5" t="s">
        <v>240</v>
      </c>
      <c r="CN935" s="5" t="s">
        <v>263</v>
      </c>
      <c r="CO935" s="5" t="s">
        <v>240</v>
      </c>
      <c r="CP935" s="5" t="s">
        <v>240</v>
      </c>
      <c r="CQ935" s="5">
        <v>0</v>
      </c>
      <c r="CR935" s="5" t="s">
        <v>306</v>
      </c>
      <c r="CS935" s="5" t="s">
        <v>307</v>
      </c>
      <c r="CT935" s="5" t="s">
        <v>307</v>
      </c>
      <c r="CU935" s="5" t="s">
        <v>260</v>
      </c>
      <c r="CX935" s="7">
        <f>675575</f>
        <v>675575</v>
      </c>
      <c r="CY935" s="7">
        <f>0</f>
        <v>0</v>
      </c>
      <c r="DA935" s="7">
        <f>0</f>
        <v>0</v>
      </c>
      <c r="DC935" s="5" t="s">
        <v>689</v>
      </c>
      <c r="DD935" s="5" t="s">
        <v>240</v>
      </c>
      <c r="DF935" s="5" t="s">
        <v>450</v>
      </c>
      <c r="DG935" s="7">
        <f>0</f>
        <v>0</v>
      </c>
      <c r="DI935" s="5" t="s">
        <v>618</v>
      </c>
      <c r="DJ935" s="5" t="s">
        <v>240</v>
      </c>
      <c r="DK935" s="5" t="s">
        <v>240</v>
      </c>
      <c r="DL935" s="5" t="s">
        <v>240</v>
      </c>
      <c r="DP935" s="5" t="s">
        <v>240</v>
      </c>
      <c r="DQ935" s="5" t="s">
        <v>240</v>
      </c>
      <c r="DR935" s="5" t="s">
        <v>240</v>
      </c>
      <c r="DS935" s="5" t="s">
        <v>240</v>
      </c>
      <c r="DV935" s="5" t="s">
        <v>1696</v>
      </c>
      <c r="DW935" s="5" t="s">
        <v>312</v>
      </c>
      <c r="HO935" s="5" t="s">
        <v>312</v>
      </c>
    </row>
    <row r="936" spans="1:223" x14ac:dyDescent="0.4">
      <c r="A936" s="5">
        <v>2611</v>
      </c>
      <c r="B936" s="5">
        <v>1</v>
      </c>
      <c r="C936" s="5">
        <v>1</v>
      </c>
      <c r="D936" s="5" t="s">
        <v>297</v>
      </c>
      <c r="E936" s="5" t="s">
        <v>245</v>
      </c>
      <c r="F936" s="5" t="s">
        <v>254</v>
      </c>
      <c r="G936" s="5" t="s">
        <v>240</v>
      </c>
      <c r="H936" s="6" t="s">
        <v>4138</v>
      </c>
      <c r="I936" s="5" t="s">
        <v>295</v>
      </c>
      <c r="J936" s="8">
        <f>392</f>
        <v>392</v>
      </c>
      <c r="K936" s="5" t="s">
        <v>308</v>
      </c>
      <c r="L936" s="7">
        <f>1</f>
        <v>1</v>
      </c>
      <c r="M936" s="7">
        <f>1</f>
        <v>1</v>
      </c>
      <c r="N936" s="5" t="s">
        <v>242</v>
      </c>
      <c r="O936" s="5">
        <v>1</v>
      </c>
      <c r="P936" s="5" t="s">
        <v>294</v>
      </c>
      <c r="Q936" s="5" t="s">
        <v>613</v>
      </c>
      <c r="R936" s="5" t="s">
        <v>240</v>
      </c>
      <c r="S936" s="5" t="s">
        <v>240</v>
      </c>
      <c r="T936" s="5" t="s">
        <v>243</v>
      </c>
      <c r="U936" s="5" t="s">
        <v>244</v>
      </c>
      <c r="V936" s="5" t="s">
        <v>240</v>
      </c>
      <c r="Y936" s="5" t="s">
        <v>240</v>
      </c>
      <c r="Z936" s="6" t="s">
        <v>298</v>
      </c>
      <c r="AB936" s="6" t="s">
        <v>240</v>
      </c>
      <c r="AE936" s="6" t="s">
        <v>299</v>
      </c>
      <c r="AF936" s="5" t="s">
        <v>248</v>
      </c>
      <c r="AG936" s="5" t="s">
        <v>249</v>
      </c>
      <c r="AW936" s="5" t="s">
        <v>251</v>
      </c>
      <c r="AX936" s="5" t="s">
        <v>240</v>
      </c>
      <c r="AY936" s="5" t="s">
        <v>253</v>
      </c>
      <c r="AZ936" s="5" t="s">
        <v>240</v>
      </c>
      <c r="BA936" s="5" t="s">
        <v>255</v>
      </c>
      <c r="BB936" s="5" t="s">
        <v>240</v>
      </c>
      <c r="BD936" s="5" t="s">
        <v>686</v>
      </c>
      <c r="BF936" s="5" t="s">
        <v>301</v>
      </c>
      <c r="BG936" s="6" t="s">
        <v>299</v>
      </c>
      <c r="BH936" s="5" t="s">
        <v>302</v>
      </c>
      <c r="BI936" s="5" t="s">
        <v>303</v>
      </c>
      <c r="BJ936" s="5" t="s">
        <v>240</v>
      </c>
      <c r="BK936" s="8">
        <f>0</f>
        <v>0</v>
      </c>
      <c r="BL936" s="7">
        <f>0</f>
        <v>0</v>
      </c>
      <c r="BM936" s="5" t="s">
        <v>258</v>
      </c>
      <c r="BN936" s="5" t="s">
        <v>259</v>
      </c>
      <c r="CB936" s="5" t="s">
        <v>240</v>
      </c>
      <c r="CC936" s="5" t="s">
        <v>240</v>
      </c>
      <c r="CG936" s="5" t="s">
        <v>617</v>
      </c>
      <c r="CH936" s="5" t="s">
        <v>305</v>
      </c>
      <c r="CI936" s="5" t="s">
        <v>240</v>
      </c>
      <c r="CL936" s="6" t="s">
        <v>261</v>
      </c>
      <c r="CM936" s="5" t="s">
        <v>240</v>
      </c>
      <c r="CN936" s="5" t="s">
        <v>263</v>
      </c>
      <c r="CO936" s="5" t="s">
        <v>240</v>
      </c>
      <c r="CP936" s="5" t="s">
        <v>240</v>
      </c>
      <c r="CQ936" s="5">
        <v>0</v>
      </c>
      <c r="CR936" s="5" t="s">
        <v>306</v>
      </c>
      <c r="CS936" s="5" t="s">
        <v>307</v>
      </c>
      <c r="CT936" s="5" t="s">
        <v>307</v>
      </c>
      <c r="CU936" s="5" t="s">
        <v>260</v>
      </c>
      <c r="CX936" s="7">
        <f>3601590</f>
        <v>3601590</v>
      </c>
      <c r="CY936" s="7">
        <f>0</f>
        <v>0</v>
      </c>
      <c r="DA936" s="7">
        <f>0</f>
        <v>0</v>
      </c>
      <c r="DC936" s="5" t="s">
        <v>689</v>
      </c>
      <c r="DD936" s="5" t="s">
        <v>240</v>
      </c>
      <c r="DF936" s="5" t="s">
        <v>450</v>
      </c>
      <c r="DG936" s="7">
        <f>0</f>
        <v>0</v>
      </c>
      <c r="DI936" s="5" t="s">
        <v>618</v>
      </c>
      <c r="DJ936" s="5" t="s">
        <v>240</v>
      </c>
      <c r="DK936" s="5" t="s">
        <v>240</v>
      </c>
      <c r="DL936" s="5" t="s">
        <v>240</v>
      </c>
      <c r="DP936" s="5" t="s">
        <v>240</v>
      </c>
      <c r="DQ936" s="5" t="s">
        <v>240</v>
      </c>
      <c r="DR936" s="5" t="s">
        <v>240</v>
      </c>
      <c r="DS936" s="5" t="s">
        <v>240</v>
      </c>
      <c r="DV936" s="5" t="s">
        <v>2018</v>
      </c>
      <c r="DW936" s="5" t="s">
        <v>312</v>
      </c>
      <c r="HO936" s="5" t="s">
        <v>312</v>
      </c>
    </row>
    <row r="937" spans="1:223" x14ac:dyDescent="0.4">
      <c r="A937" s="5">
        <v>2612</v>
      </c>
      <c r="B937" s="5">
        <v>1</v>
      </c>
      <c r="C937" s="5">
        <v>1</v>
      </c>
      <c r="D937" s="5" t="s">
        <v>297</v>
      </c>
      <c r="E937" s="5" t="s">
        <v>245</v>
      </c>
      <c r="F937" s="5" t="s">
        <v>254</v>
      </c>
      <c r="G937" s="5" t="s">
        <v>240</v>
      </c>
      <c r="H937" s="6" t="s">
        <v>441</v>
      </c>
      <c r="I937" s="5" t="s">
        <v>295</v>
      </c>
      <c r="J937" s="8">
        <f>341</f>
        <v>341</v>
      </c>
      <c r="K937" s="5" t="s">
        <v>308</v>
      </c>
      <c r="L937" s="7">
        <f>1</f>
        <v>1</v>
      </c>
      <c r="M937" s="7">
        <f>1</f>
        <v>1</v>
      </c>
      <c r="N937" s="5" t="s">
        <v>242</v>
      </c>
      <c r="O937" s="5">
        <v>1</v>
      </c>
      <c r="P937" s="5" t="s">
        <v>294</v>
      </c>
      <c r="Q937" s="5" t="s">
        <v>613</v>
      </c>
      <c r="R937" s="5" t="s">
        <v>240</v>
      </c>
      <c r="S937" s="5" t="s">
        <v>240</v>
      </c>
      <c r="T937" s="5" t="s">
        <v>243</v>
      </c>
      <c r="U937" s="5" t="s">
        <v>244</v>
      </c>
      <c r="V937" s="5" t="s">
        <v>240</v>
      </c>
      <c r="Y937" s="5" t="s">
        <v>240</v>
      </c>
      <c r="Z937" s="6" t="s">
        <v>298</v>
      </c>
      <c r="AB937" s="6" t="s">
        <v>240</v>
      </c>
      <c r="AE937" s="6" t="s">
        <v>299</v>
      </c>
      <c r="AF937" s="5" t="s">
        <v>248</v>
      </c>
      <c r="AG937" s="5" t="s">
        <v>249</v>
      </c>
      <c r="AW937" s="5" t="s">
        <v>251</v>
      </c>
      <c r="AX937" s="5" t="s">
        <v>240</v>
      </c>
      <c r="AY937" s="5" t="s">
        <v>253</v>
      </c>
      <c r="AZ937" s="5" t="s">
        <v>240</v>
      </c>
      <c r="BA937" s="5" t="s">
        <v>255</v>
      </c>
      <c r="BB937" s="5" t="s">
        <v>240</v>
      </c>
      <c r="BD937" s="5" t="s">
        <v>686</v>
      </c>
      <c r="BF937" s="5" t="s">
        <v>301</v>
      </c>
      <c r="BG937" s="6" t="s">
        <v>299</v>
      </c>
      <c r="BH937" s="5" t="s">
        <v>302</v>
      </c>
      <c r="BI937" s="5" t="s">
        <v>303</v>
      </c>
      <c r="BJ937" s="5" t="s">
        <v>240</v>
      </c>
      <c r="BK937" s="8">
        <f>0</f>
        <v>0</v>
      </c>
      <c r="BL937" s="7">
        <f>0</f>
        <v>0</v>
      </c>
      <c r="BM937" s="5" t="s">
        <v>258</v>
      </c>
      <c r="BN937" s="5" t="s">
        <v>259</v>
      </c>
      <c r="CB937" s="5" t="s">
        <v>240</v>
      </c>
      <c r="CC937" s="5" t="s">
        <v>240</v>
      </c>
      <c r="CG937" s="5" t="s">
        <v>617</v>
      </c>
      <c r="CH937" s="5" t="s">
        <v>305</v>
      </c>
      <c r="CI937" s="5" t="s">
        <v>240</v>
      </c>
      <c r="CL937" s="6" t="s">
        <v>261</v>
      </c>
      <c r="CM937" s="5" t="s">
        <v>240</v>
      </c>
      <c r="CN937" s="5" t="s">
        <v>263</v>
      </c>
      <c r="CO937" s="5" t="s">
        <v>240</v>
      </c>
      <c r="CP937" s="5" t="s">
        <v>240</v>
      </c>
      <c r="CQ937" s="5">
        <v>0</v>
      </c>
      <c r="CR937" s="5" t="s">
        <v>306</v>
      </c>
      <c r="CS937" s="5" t="s">
        <v>307</v>
      </c>
      <c r="CT937" s="5" t="s">
        <v>307</v>
      </c>
      <c r="CU937" s="5" t="s">
        <v>260</v>
      </c>
      <c r="CX937" s="7">
        <f>4173060</f>
        <v>4173060</v>
      </c>
      <c r="CY937" s="7">
        <f>0</f>
        <v>0</v>
      </c>
      <c r="DA937" s="7">
        <f>0</f>
        <v>0</v>
      </c>
      <c r="DC937" s="5" t="s">
        <v>689</v>
      </c>
      <c r="DD937" s="5" t="s">
        <v>240</v>
      </c>
      <c r="DF937" s="5" t="s">
        <v>450</v>
      </c>
      <c r="DG937" s="7">
        <f>0</f>
        <v>0</v>
      </c>
      <c r="DH937" s="6" t="s">
        <v>2022</v>
      </c>
      <c r="DI937" s="5" t="s">
        <v>618</v>
      </c>
      <c r="DJ937" s="5" t="s">
        <v>240</v>
      </c>
      <c r="DK937" s="5" t="s">
        <v>240</v>
      </c>
      <c r="DL937" s="5" t="s">
        <v>240</v>
      </c>
      <c r="DP937" s="5" t="s">
        <v>240</v>
      </c>
      <c r="DQ937" s="5" t="s">
        <v>240</v>
      </c>
      <c r="DR937" s="5" t="s">
        <v>240</v>
      </c>
      <c r="DS937" s="5" t="s">
        <v>240</v>
      </c>
      <c r="DV937" s="5" t="s">
        <v>2023</v>
      </c>
      <c r="DW937" s="5" t="s">
        <v>312</v>
      </c>
      <c r="HO937" s="5" t="s">
        <v>312</v>
      </c>
    </row>
    <row r="938" spans="1:223" x14ac:dyDescent="0.4">
      <c r="A938" s="5">
        <v>2613</v>
      </c>
      <c r="B938" s="5">
        <v>1</v>
      </c>
      <c r="C938" s="5">
        <v>1</v>
      </c>
      <c r="D938" s="5" t="s">
        <v>297</v>
      </c>
      <c r="E938" s="5" t="s">
        <v>245</v>
      </c>
      <c r="F938" s="5" t="s">
        <v>254</v>
      </c>
      <c r="G938" s="5" t="s">
        <v>240</v>
      </c>
      <c r="H938" s="6" t="s">
        <v>439</v>
      </c>
      <c r="I938" s="5" t="s">
        <v>295</v>
      </c>
      <c r="J938" s="8">
        <f>654</f>
        <v>654</v>
      </c>
      <c r="K938" s="5" t="s">
        <v>308</v>
      </c>
      <c r="L938" s="7">
        <f>1</f>
        <v>1</v>
      </c>
      <c r="M938" s="7">
        <f>1</f>
        <v>1</v>
      </c>
      <c r="N938" s="5" t="s">
        <v>242</v>
      </c>
      <c r="O938" s="5">
        <v>1</v>
      </c>
      <c r="P938" s="5" t="s">
        <v>294</v>
      </c>
      <c r="Q938" s="5" t="s">
        <v>613</v>
      </c>
      <c r="R938" s="5" t="s">
        <v>240</v>
      </c>
      <c r="S938" s="5" t="s">
        <v>240</v>
      </c>
      <c r="T938" s="5" t="s">
        <v>243</v>
      </c>
      <c r="U938" s="5" t="s">
        <v>244</v>
      </c>
      <c r="V938" s="5" t="s">
        <v>240</v>
      </c>
      <c r="Y938" s="5" t="s">
        <v>240</v>
      </c>
      <c r="Z938" s="6" t="s">
        <v>298</v>
      </c>
      <c r="AB938" s="6" t="s">
        <v>240</v>
      </c>
      <c r="AE938" s="6" t="s">
        <v>299</v>
      </c>
      <c r="AF938" s="5" t="s">
        <v>248</v>
      </c>
      <c r="AG938" s="5" t="s">
        <v>249</v>
      </c>
      <c r="AW938" s="5" t="s">
        <v>251</v>
      </c>
      <c r="AX938" s="5" t="s">
        <v>240</v>
      </c>
      <c r="AY938" s="5" t="s">
        <v>253</v>
      </c>
      <c r="AZ938" s="5" t="s">
        <v>240</v>
      </c>
      <c r="BA938" s="5" t="s">
        <v>255</v>
      </c>
      <c r="BB938" s="5" t="s">
        <v>240</v>
      </c>
      <c r="BD938" s="5" t="s">
        <v>686</v>
      </c>
      <c r="BF938" s="5" t="s">
        <v>301</v>
      </c>
      <c r="BG938" s="6" t="s">
        <v>299</v>
      </c>
      <c r="BH938" s="5" t="s">
        <v>302</v>
      </c>
      <c r="BI938" s="5" t="s">
        <v>303</v>
      </c>
      <c r="BJ938" s="5" t="s">
        <v>240</v>
      </c>
      <c r="BK938" s="8">
        <f>0</f>
        <v>0</v>
      </c>
      <c r="BL938" s="7">
        <f>0</f>
        <v>0</v>
      </c>
      <c r="BM938" s="5" t="s">
        <v>258</v>
      </c>
      <c r="BN938" s="5" t="s">
        <v>259</v>
      </c>
      <c r="CB938" s="5" t="s">
        <v>240</v>
      </c>
      <c r="CC938" s="5" t="s">
        <v>240</v>
      </c>
      <c r="CG938" s="5" t="s">
        <v>617</v>
      </c>
      <c r="CH938" s="5" t="s">
        <v>305</v>
      </c>
      <c r="CI938" s="5" t="s">
        <v>240</v>
      </c>
      <c r="CL938" s="6" t="s">
        <v>261</v>
      </c>
      <c r="CM938" s="5" t="s">
        <v>240</v>
      </c>
      <c r="CN938" s="5" t="s">
        <v>263</v>
      </c>
      <c r="CO938" s="5" t="s">
        <v>240</v>
      </c>
      <c r="CP938" s="5" t="s">
        <v>240</v>
      </c>
      <c r="CQ938" s="5">
        <v>0</v>
      </c>
      <c r="CR938" s="5" t="s">
        <v>306</v>
      </c>
      <c r="CS938" s="5" t="s">
        <v>307</v>
      </c>
      <c r="CT938" s="5" t="s">
        <v>307</v>
      </c>
      <c r="CU938" s="5" t="s">
        <v>260</v>
      </c>
      <c r="CX938" s="7">
        <f>14486100</f>
        <v>14486100</v>
      </c>
      <c r="CY938" s="7">
        <f>0</f>
        <v>0</v>
      </c>
      <c r="DA938" s="7">
        <f>0</f>
        <v>0</v>
      </c>
      <c r="DC938" s="5" t="s">
        <v>689</v>
      </c>
      <c r="DD938" s="5" t="s">
        <v>240</v>
      </c>
      <c r="DF938" s="5" t="s">
        <v>689</v>
      </c>
      <c r="DG938" s="7">
        <f>6540</f>
        <v>6540</v>
      </c>
      <c r="DH938" s="6" t="s">
        <v>1768</v>
      </c>
      <c r="DI938" s="5" t="s">
        <v>618</v>
      </c>
      <c r="DJ938" s="5" t="s">
        <v>240</v>
      </c>
      <c r="DK938" s="5" t="s">
        <v>240</v>
      </c>
      <c r="DL938" s="5" t="s">
        <v>240</v>
      </c>
      <c r="DP938" s="5" t="s">
        <v>240</v>
      </c>
      <c r="DQ938" s="5" t="s">
        <v>240</v>
      </c>
      <c r="DR938" s="5" t="s">
        <v>240</v>
      </c>
      <c r="DS938" s="5" t="s">
        <v>240</v>
      </c>
      <c r="DV938" s="5" t="s">
        <v>2027</v>
      </c>
      <c r="DW938" s="5" t="s">
        <v>312</v>
      </c>
      <c r="HO938" s="5" t="s">
        <v>312</v>
      </c>
    </row>
    <row r="939" spans="1:223" x14ac:dyDescent="0.4">
      <c r="A939" s="5">
        <v>2614</v>
      </c>
      <c r="B939" s="5">
        <v>1</v>
      </c>
      <c r="C939" s="5">
        <v>1</v>
      </c>
      <c r="D939" s="5" t="s">
        <v>297</v>
      </c>
      <c r="E939" s="5" t="s">
        <v>245</v>
      </c>
      <c r="F939" s="5" t="s">
        <v>254</v>
      </c>
      <c r="G939" s="5" t="s">
        <v>240</v>
      </c>
      <c r="H939" s="6" t="s">
        <v>437</v>
      </c>
      <c r="I939" s="5" t="s">
        <v>295</v>
      </c>
      <c r="J939" s="8">
        <f>2693</f>
        <v>2693</v>
      </c>
      <c r="K939" s="5" t="s">
        <v>308</v>
      </c>
      <c r="L939" s="7">
        <f>1</f>
        <v>1</v>
      </c>
      <c r="M939" s="7">
        <f>1</f>
        <v>1</v>
      </c>
      <c r="N939" s="5" t="s">
        <v>242</v>
      </c>
      <c r="O939" s="5">
        <v>1</v>
      </c>
      <c r="P939" s="5" t="s">
        <v>294</v>
      </c>
      <c r="Q939" s="5" t="s">
        <v>613</v>
      </c>
      <c r="R939" s="5" t="s">
        <v>240</v>
      </c>
      <c r="S939" s="5" t="s">
        <v>240</v>
      </c>
      <c r="T939" s="5" t="s">
        <v>243</v>
      </c>
      <c r="U939" s="5" t="s">
        <v>244</v>
      </c>
      <c r="V939" s="5" t="s">
        <v>240</v>
      </c>
      <c r="Y939" s="5" t="s">
        <v>240</v>
      </c>
      <c r="Z939" s="6" t="s">
        <v>298</v>
      </c>
      <c r="AB939" s="6" t="s">
        <v>240</v>
      </c>
      <c r="AE939" s="6" t="s">
        <v>299</v>
      </c>
      <c r="AF939" s="5" t="s">
        <v>248</v>
      </c>
      <c r="AG939" s="5" t="s">
        <v>249</v>
      </c>
      <c r="AW939" s="5" t="s">
        <v>251</v>
      </c>
      <c r="AX939" s="5" t="s">
        <v>240</v>
      </c>
      <c r="AY939" s="5" t="s">
        <v>253</v>
      </c>
      <c r="AZ939" s="5" t="s">
        <v>240</v>
      </c>
      <c r="BA939" s="5" t="s">
        <v>255</v>
      </c>
      <c r="BB939" s="5" t="s">
        <v>240</v>
      </c>
      <c r="BD939" s="5" t="s">
        <v>686</v>
      </c>
      <c r="BF939" s="5" t="s">
        <v>301</v>
      </c>
      <c r="BG939" s="6" t="s">
        <v>299</v>
      </c>
      <c r="BH939" s="5" t="s">
        <v>302</v>
      </c>
      <c r="BI939" s="5" t="s">
        <v>303</v>
      </c>
      <c r="BJ939" s="5" t="s">
        <v>240</v>
      </c>
      <c r="BK939" s="8">
        <f>0</f>
        <v>0</v>
      </c>
      <c r="BL939" s="7">
        <f>0</f>
        <v>0</v>
      </c>
      <c r="BM939" s="5" t="s">
        <v>258</v>
      </c>
      <c r="BN939" s="5" t="s">
        <v>259</v>
      </c>
      <c r="CB939" s="5" t="s">
        <v>240</v>
      </c>
      <c r="CC939" s="5" t="s">
        <v>240</v>
      </c>
      <c r="CG939" s="5" t="s">
        <v>617</v>
      </c>
      <c r="CH939" s="5" t="s">
        <v>305</v>
      </c>
      <c r="CI939" s="5" t="s">
        <v>240</v>
      </c>
      <c r="CL939" s="6" t="s">
        <v>261</v>
      </c>
      <c r="CM939" s="5" t="s">
        <v>240</v>
      </c>
      <c r="CN939" s="5" t="s">
        <v>263</v>
      </c>
      <c r="CO939" s="5" t="s">
        <v>240</v>
      </c>
      <c r="CP939" s="5" t="s">
        <v>240</v>
      </c>
      <c r="CQ939" s="5">
        <v>0</v>
      </c>
      <c r="CR939" s="5" t="s">
        <v>306</v>
      </c>
      <c r="CS939" s="5" t="s">
        <v>307</v>
      </c>
      <c r="CT939" s="5" t="s">
        <v>307</v>
      </c>
      <c r="CU939" s="5" t="s">
        <v>260</v>
      </c>
      <c r="CX939" s="7">
        <f>5056845</f>
        <v>5056845</v>
      </c>
      <c r="CY939" s="7">
        <f>0</f>
        <v>0</v>
      </c>
      <c r="DA939" s="7">
        <f>0</f>
        <v>0</v>
      </c>
      <c r="DC939" s="5" t="s">
        <v>689</v>
      </c>
      <c r="DD939" s="5" t="s">
        <v>240</v>
      </c>
      <c r="DF939" s="5" t="s">
        <v>689</v>
      </c>
      <c r="DG939" s="7">
        <f>2283</f>
        <v>2283</v>
      </c>
      <c r="DH939" s="6" t="s">
        <v>2031</v>
      </c>
      <c r="DI939" s="5" t="s">
        <v>618</v>
      </c>
      <c r="DJ939" s="5" t="s">
        <v>240</v>
      </c>
      <c r="DK939" s="5" t="s">
        <v>240</v>
      </c>
      <c r="DL939" s="5" t="s">
        <v>240</v>
      </c>
      <c r="DP939" s="5" t="s">
        <v>240</v>
      </c>
      <c r="DQ939" s="5" t="s">
        <v>240</v>
      </c>
      <c r="DR939" s="5" t="s">
        <v>240</v>
      </c>
      <c r="DS939" s="5" t="s">
        <v>240</v>
      </c>
      <c r="DV939" s="5" t="s">
        <v>2032</v>
      </c>
      <c r="DW939" s="5" t="s">
        <v>312</v>
      </c>
      <c r="HO939" s="5" t="s">
        <v>312</v>
      </c>
    </row>
    <row r="940" spans="1:223" x14ac:dyDescent="0.4">
      <c r="A940" s="5">
        <v>2615</v>
      </c>
      <c r="B940" s="5">
        <v>1</v>
      </c>
      <c r="C940" s="5">
        <v>1</v>
      </c>
      <c r="D940" s="5" t="s">
        <v>297</v>
      </c>
      <c r="E940" s="5" t="s">
        <v>245</v>
      </c>
      <c r="F940" s="5" t="s">
        <v>254</v>
      </c>
      <c r="G940" s="5" t="s">
        <v>240</v>
      </c>
      <c r="H940" s="6" t="s">
        <v>435</v>
      </c>
      <c r="I940" s="5" t="s">
        <v>295</v>
      </c>
      <c r="J940" s="8">
        <f>2050</f>
        <v>2050</v>
      </c>
      <c r="K940" s="5" t="s">
        <v>308</v>
      </c>
      <c r="L940" s="7">
        <f>1</f>
        <v>1</v>
      </c>
      <c r="M940" s="7">
        <f>1</f>
        <v>1</v>
      </c>
      <c r="N940" s="5" t="s">
        <v>242</v>
      </c>
      <c r="O940" s="5">
        <v>1</v>
      </c>
      <c r="P940" s="5" t="s">
        <v>294</v>
      </c>
      <c r="Q940" s="5" t="s">
        <v>613</v>
      </c>
      <c r="R940" s="5" t="s">
        <v>240</v>
      </c>
      <c r="S940" s="5" t="s">
        <v>240</v>
      </c>
      <c r="T940" s="5" t="s">
        <v>243</v>
      </c>
      <c r="U940" s="5" t="s">
        <v>244</v>
      </c>
      <c r="V940" s="5" t="s">
        <v>240</v>
      </c>
      <c r="Y940" s="5" t="s">
        <v>240</v>
      </c>
      <c r="Z940" s="6" t="s">
        <v>298</v>
      </c>
      <c r="AB940" s="6" t="s">
        <v>240</v>
      </c>
      <c r="AE940" s="6" t="s">
        <v>299</v>
      </c>
      <c r="AF940" s="5" t="s">
        <v>248</v>
      </c>
      <c r="AG940" s="5" t="s">
        <v>249</v>
      </c>
      <c r="AW940" s="5" t="s">
        <v>251</v>
      </c>
      <c r="AX940" s="5" t="s">
        <v>240</v>
      </c>
      <c r="AY940" s="5" t="s">
        <v>253</v>
      </c>
      <c r="AZ940" s="5" t="s">
        <v>240</v>
      </c>
      <c r="BA940" s="5" t="s">
        <v>255</v>
      </c>
      <c r="BB940" s="5" t="s">
        <v>240</v>
      </c>
      <c r="BD940" s="5" t="s">
        <v>686</v>
      </c>
      <c r="BF940" s="5" t="s">
        <v>301</v>
      </c>
      <c r="BG940" s="6" t="s">
        <v>299</v>
      </c>
      <c r="BH940" s="5" t="s">
        <v>302</v>
      </c>
      <c r="BI940" s="5" t="s">
        <v>303</v>
      </c>
      <c r="BJ940" s="5" t="s">
        <v>240</v>
      </c>
      <c r="BK940" s="8">
        <f>0</f>
        <v>0</v>
      </c>
      <c r="BL940" s="7">
        <f>0</f>
        <v>0</v>
      </c>
      <c r="BM940" s="5" t="s">
        <v>258</v>
      </c>
      <c r="BN940" s="5" t="s">
        <v>259</v>
      </c>
      <c r="CB940" s="5" t="s">
        <v>240</v>
      </c>
      <c r="CC940" s="5" t="s">
        <v>240</v>
      </c>
      <c r="CG940" s="5" t="s">
        <v>617</v>
      </c>
      <c r="CH940" s="5" t="s">
        <v>305</v>
      </c>
      <c r="CI940" s="5" t="s">
        <v>240</v>
      </c>
      <c r="CL940" s="6" t="s">
        <v>261</v>
      </c>
      <c r="CM940" s="5" t="s">
        <v>240</v>
      </c>
      <c r="CN940" s="5" t="s">
        <v>263</v>
      </c>
      <c r="CO940" s="5" t="s">
        <v>240</v>
      </c>
      <c r="CP940" s="5" t="s">
        <v>240</v>
      </c>
      <c r="CQ940" s="5">
        <v>0</v>
      </c>
      <c r="CR940" s="5" t="s">
        <v>306</v>
      </c>
      <c r="CS940" s="5" t="s">
        <v>307</v>
      </c>
      <c r="CT940" s="5" t="s">
        <v>307</v>
      </c>
      <c r="CU940" s="5" t="s">
        <v>260</v>
      </c>
      <c r="CX940" s="7">
        <f>4091105</f>
        <v>4091105</v>
      </c>
      <c r="CY940" s="7">
        <f>0</f>
        <v>0</v>
      </c>
      <c r="DA940" s="7">
        <f>0</f>
        <v>0</v>
      </c>
      <c r="DC940" s="5" t="s">
        <v>689</v>
      </c>
      <c r="DD940" s="5" t="s">
        <v>240</v>
      </c>
      <c r="DF940" s="5" t="s">
        <v>689</v>
      </c>
      <c r="DG940" s="7">
        <f>1847</f>
        <v>1847</v>
      </c>
      <c r="DH940" s="6" t="s">
        <v>2034</v>
      </c>
      <c r="DI940" s="5" t="s">
        <v>618</v>
      </c>
      <c r="DJ940" s="5" t="s">
        <v>240</v>
      </c>
      <c r="DK940" s="5" t="s">
        <v>240</v>
      </c>
      <c r="DL940" s="5" t="s">
        <v>240</v>
      </c>
      <c r="DP940" s="5" t="s">
        <v>240</v>
      </c>
      <c r="DQ940" s="5" t="s">
        <v>240</v>
      </c>
      <c r="DR940" s="5" t="s">
        <v>240</v>
      </c>
      <c r="DS940" s="5" t="s">
        <v>240</v>
      </c>
      <c r="DV940" s="5" t="s">
        <v>1774</v>
      </c>
      <c r="DW940" s="5" t="s">
        <v>312</v>
      </c>
      <c r="HO940" s="5" t="s">
        <v>312</v>
      </c>
    </row>
    <row r="941" spans="1:223" x14ac:dyDescent="0.4">
      <c r="A941" s="5">
        <v>2616</v>
      </c>
      <c r="B941" s="5">
        <v>1</v>
      </c>
      <c r="C941" s="5">
        <v>1</v>
      </c>
      <c r="D941" s="5" t="s">
        <v>297</v>
      </c>
      <c r="E941" s="5" t="s">
        <v>245</v>
      </c>
      <c r="F941" s="5" t="s">
        <v>254</v>
      </c>
      <c r="G941" s="5" t="s">
        <v>240</v>
      </c>
      <c r="H941" s="6" t="s">
        <v>433</v>
      </c>
      <c r="I941" s="5" t="s">
        <v>295</v>
      </c>
      <c r="J941" s="8">
        <f>1102</f>
        <v>1102</v>
      </c>
      <c r="K941" s="5" t="s">
        <v>308</v>
      </c>
      <c r="L941" s="7">
        <f>1</f>
        <v>1</v>
      </c>
      <c r="M941" s="7">
        <f>1</f>
        <v>1</v>
      </c>
      <c r="N941" s="5" t="s">
        <v>242</v>
      </c>
      <c r="O941" s="5">
        <v>1</v>
      </c>
      <c r="P941" s="5" t="s">
        <v>294</v>
      </c>
      <c r="Q941" s="5" t="s">
        <v>613</v>
      </c>
      <c r="R941" s="5" t="s">
        <v>240</v>
      </c>
      <c r="S941" s="5" t="s">
        <v>240</v>
      </c>
      <c r="T941" s="5" t="s">
        <v>243</v>
      </c>
      <c r="U941" s="5" t="s">
        <v>724</v>
      </c>
      <c r="V941" s="5" t="s">
        <v>240</v>
      </c>
      <c r="Y941" s="5" t="s">
        <v>240</v>
      </c>
      <c r="Z941" s="6" t="s">
        <v>298</v>
      </c>
      <c r="AB941" s="6" t="s">
        <v>240</v>
      </c>
      <c r="AE941" s="6" t="s">
        <v>299</v>
      </c>
      <c r="AF941" s="5" t="s">
        <v>248</v>
      </c>
      <c r="AG941" s="5" t="s">
        <v>249</v>
      </c>
      <c r="AW941" s="5" t="s">
        <v>251</v>
      </c>
      <c r="AX941" s="5" t="s">
        <v>240</v>
      </c>
      <c r="AY941" s="5" t="s">
        <v>253</v>
      </c>
      <c r="AZ941" s="5" t="s">
        <v>240</v>
      </c>
      <c r="BA941" s="5" t="s">
        <v>255</v>
      </c>
      <c r="BB941" s="5" t="s">
        <v>240</v>
      </c>
      <c r="BD941" s="5" t="s">
        <v>240</v>
      </c>
      <c r="BF941" s="5" t="s">
        <v>301</v>
      </c>
      <c r="BG941" s="6" t="s">
        <v>299</v>
      </c>
      <c r="BH941" s="5" t="s">
        <v>302</v>
      </c>
      <c r="BI941" s="5" t="s">
        <v>303</v>
      </c>
      <c r="BJ941" s="5" t="s">
        <v>240</v>
      </c>
      <c r="BK941" s="8">
        <f>0</f>
        <v>0</v>
      </c>
      <c r="BL941" s="7">
        <f>0</f>
        <v>0</v>
      </c>
      <c r="BM941" s="5" t="s">
        <v>258</v>
      </c>
      <c r="BN941" s="5" t="s">
        <v>259</v>
      </c>
      <c r="CB941" s="5" t="s">
        <v>240</v>
      </c>
      <c r="CC941" s="5" t="s">
        <v>240</v>
      </c>
      <c r="CG941" s="5" t="s">
        <v>617</v>
      </c>
      <c r="CH941" s="5" t="s">
        <v>305</v>
      </c>
      <c r="CI941" s="5" t="s">
        <v>240</v>
      </c>
      <c r="CL941" s="6" t="s">
        <v>261</v>
      </c>
      <c r="CM941" s="5" t="s">
        <v>240</v>
      </c>
      <c r="CN941" s="5" t="s">
        <v>263</v>
      </c>
      <c r="CO941" s="5" t="s">
        <v>240</v>
      </c>
      <c r="CP941" s="5" t="s">
        <v>240</v>
      </c>
      <c r="CQ941" s="5">
        <v>0</v>
      </c>
      <c r="CR941" s="5" t="s">
        <v>306</v>
      </c>
      <c r="CS941" s="5" t="s">
        <v>307</v>
      </c>
      <c r="CT941" s="5" t="s">
        <v>307</v>
      </c>
      <c r="CU941" s="5" t="s">
        <v>260</v>
      </c>
      <c r="CX941" s="7">
        <f>111397</f>
        <v>111397</v>
      </c>
      <c r="CY941" s="7">
        <f>0</f>
        <v>0</v>
      </c>
      <c r="DA941" s="7">
        <f>0</f>
        <v>0</v>
      </c>
      <c r="DC941" s="5" t="s">
        <v>854</v>
      </c>
      <c r="DD941" s="5" t="s">
        <v>240</v>
      </c>
      <c r="DF941" s="5" t="s">
        <v>450</v>
      </c>
      <c r="DG941" s="7">
        <f>0</f>
        <v>0</v>
      </c>
      <c r="DI941" s="5" t="s">
        <v>737</v>
      </c>
      <c r="DJ941" s="5" t="s">
        <v>240</v>
      </c>
      <c r="DK941" s="5" t="s">
        <v>240</v>
      </c>
      <c r="DL941" s="5" t="s">
        <v>240</v>
      </c>
      <c r="DP941" s="5" t="s">
        <v>240</v>
      </c>
      <c r="DQ941" s="5" t="s">
        <v>240</v>
      </c>
      <c r="DR941" s="5" t="s">
        <v>240</v>
      </c>
      <c r="DS941" s="5" t="s">
        <v>240</v>
      </c>
      <c r="DV941" s="5" t="s">
        <v>957</v>
      </c>
      <c r="DW941" s="5" t="s">
        <v>471</v>
      </c>
      <c r="HO941" s="5" t="s">
        <v>312</v>
      </c>
    </row>
    <row r="942" spans="1:223" x14ac:dyDescent="0.4">
      <c r="A942" s="5">
        <v>2617</v>
      </c>
      <c r="B942" s="5">
        <v>1</v>
      </c>
      <c r="C942" s="5">
        <v>1</v>
      </c>
      <c r="D942" s="5" t="s">
        <v>297</v>
      </c>
      <c r="E942" s="5" t="s">
        <v>245</v>
      </c>
      <c r="F942" s="5" t="s">
        <v>254</v>
      </c>
      <c r="G942" s="5" t="s">
        <v>240</v>
      </c>
      <c r="H942" s="6" t="s">
        <v>431</v>
      </c>
      <c r="I942" s="5" t="s">
        <v>295</v>
      </c>
      <c r="J942" s="8">
        <f>3914</f>
        <v>3914</v>
      </c>
      <c r="K942" s="5" t="s">
        <v>308</v>
      </c>
      <c r="L942" s="7">
        <f>1</f>
        <v>1</v>
      </c>
      <c r="M942" s="7">
        <f>1</f>
        <v>1</v>
      </c>
      <c r="N942" s="5" t="s">
        <v>242</v>
      </c>
      <c r="O942" s="5">
        <v>1</v>
      </c>
      <c r="P942" s="5" t="s">
        <v>294</v>
      </c>
      <c r="Q942" s="5" t="s">
        <v>613</v>
      </c>
      <c r="R942" s="5" t="s">
        <v>240</v>
      </c>
      <c r="S942" s="5" t="s">
        <v>240</v>
      </c>
      <c r="T942" s="5" t="s">
        <v>243</v>
      </c>
      <c r="U942" s="5" t="s">
        <v>244</v>
      </c>
      <c r="V942" s="5" t="s">
        <v>240</v>
      </c>
      <c r="Y942" s="5" t="s">
        <v>240</v>
      </c>
      <c r="Z942" s="6" t="s">
        <v>298</v>
      </c>
      <c r="AB942" s="6" t="s">
        <v>240</v>
      </c>
      <c r="AE942" s="6" t="s">
        <v>299</v>
      </c>
      <c r="AF942" s="5" t="s">
        <v>248</v>
      </c>
      <c r="AG942" s="5" t="s">
        <v>249</v>
      </c>
      <c r="AW942" s="5" t="s">
        <v>251</v>
      </c>
      <c r="AX942" s="5" t="s">
        <v>240</v>
      </c>
      <c r="AY942" s="5" t="s">
        <v>253</v>
      </c>
      <c r="AZ942" s="5" t="s">
        <v>240</v>
      </c>
      <c r="BA942" s="5" t="s">
        <v>255</v>
      </c>
      <c r="BB942" s="5" t="s">
        <v>240</v>
      </c>
      <c r="BD942" s="5" t="s">
        <v>686</v>
      </c>
      <c r="BF942" s="5" t="s">
        <v>301</v>
      </c>
      <c r="BG942" s="6" t="s">
        <v>299</v>
      </c>
      <c r="BH942" s="5" t="s">
        <v>302</v>
      </c>
      <c r="BI942" s="5" t="s">
        <v>303</v>
      </c>
      <c r="BJ942" s="5" t="s">
        <v>240</v>
      </c>
      <c r="BK942" s="8">
        <f>0</f>
        <v>0</v>
      </c>
      <c r="BL942" s="7">
        <f>0</f>
        <v>0</v>
      </c>
      <c r="BM942" s="5" t="s">
        <v>258</v>
      </c>
      <c r="BN942" s="5" t="s">
        <v>259</v>
      </c>
      <c r="CB942" s="5" t="s">
        <v>240</v>
      </c>
      <c r="CC942" s="5" t="s">
        <v>240</v>
      </c>
      <c r="CG942" s="5" t="s">
        <v>617</v>
      </c>
      <c r="CH942" s="5" t="s">
        <v>305</v>
      </c>
      <c r="CI942" s="5" t="s">
        <v>240</v>
      </c>
      <c r="CL942" s="6" t="s">
        <v>261</v>
      </c>
      <c r="CM942" s="5" t="s">
        <v>240</v>
      </c>
      <c r="CN942" s="5" t="s">
        <v>263</v>
      </c>
      <c r="CO942" s="5" t="s">
        <v>240</v>
      </c>
      <c r="CP942" s="5" t="s">
        <v>240</v>
      </c>
      <c r="CQ942" s="5">
        <v>0</v>
      </c>
      <c r="CR942" s="5" t="s">
        <v>306</v>
      </c>
      <c r="CS942" s="5" t="s">
        <v>307</v>
      </c>
      <c r="CT942" s="5" t="s">
        <v>307</v>
      </c>
      <c r="CU942" s="5" t="s">
        <v>260</v>
      </c>
      <c r="CX942" s="7">
        <f>46025485</f>
        <v>46025485</v>
      </c>
      <c r="CY942" s="7">
        <f>0</f>
        <v>0</v>
      </c>
      <c r="DA942" s="7">
        <f>0</f>
        <v>0</v>
      </c>
      <c r="DC942" s="5" t="s">
        <v>689</v>
      </c>
      <c r="DD942" s="5" t="s">
        <v>240</v>
      </c>
      <c r="DF942" s="5" t="s">
        <v>689</v>
      </c>
      <c r="DG942" s="7">
        <f>20779</f>
        <v>20779</v>
      </c>
      <c r="DI942" s="5" t="s">
        <v>618</v>
      </c>
      <c r="DJ942" s="5" t="s">
        <v>240</v>
      </c>
      <c r="DK942" s="5" t="s">
        <v>240</v>
      </c>
      <c r="DL942" s="5" t="s">
        <v>240</v>
      </c>
      <c r="DP942" s="5" t="s">
        <v>240</v>
      </c>
      <c r="DQ942" s="5" t="s">
        <v>240</v>
      </c>
      <c r="DR942" s="5" t="s">
        <v>240</v>
      </c>
      <c r="DS942" s="5" t="s">
        <v>240</v>
      </c>
      <c r="DV942" s="5" t="s">
        <v>1135</v>
      </c>
      <c r="DW942" s="5" t="s">
        <v>312</v>
      </c>
      <c r="HO942" s="5" t="s">
        <v>312</v>
      </c>
    </row>
    <row r="943" spans="1:223" x14ac:dyDescent="0.4">
      <c r="A943" s="5">
        <v>2618</v>
      </c>
      <c r="B943" s="5">
        <v>1</v>
      </c>
      <c r="C943" s="5">
        <v>1</v>
      </c>
      <c r="D943" s="5" t="s">
        <v>297</v>
      </c>
      <c r="E943" s="5" t="s">
        <v>245</v>
      </c>
      <c r="F943" s="5" t="s">
        <v>254</v>
      </c>
      <c r="G943" s="5" t="s">
        <v>240</v>
      </c>
      <c r="H943" s="6" t="s">
        <v>429</v>
      </c>
      <c r="I943" s="5" t="s">
        <v>295</v>
      </c>
      <c r="J943" s="8">
        <f>346</f>
        <v>346</v>
      </c>
      <c r="K943" s="5" t="s">
        <v>308</v>
      </c>
      <c r="L943" s="7">
        <f>1</f>
        <v>1</v>
      </c>
      <c r="M943" s="7">
        <f>1</f>
        <v>1</v>
      </c>
      <c r="N943" s="5" t="s">
        <v>242</v>
      </c>
      <c r="O943" s="5">
        <v>1</v>
      </c>
      <c r="P943" s="5" t="s">
        <v>294</v>
      </c>
      <c r="Q943" s="5" t="s">
        <v>613</v>
      </c>
      <c r="R943" s="5" t="s">
        <v>240</v>
      </c>
      <c r="S943" s="5" t="s">
        <v>240</v>
      </c>
      <c r="T943" s="5" t="s">
        <v>243</v>
      </c>
      <c r="U943" s="5" t="s">
        <v>244</v>
      </c>
      <c r="V943" s="5" t="s">
        <v>240</v>
      </c>
      <c r="Y943" s="5" t="s">
        <v>240</v>
      </c>
      <c r="Z943" s="6" t="s">
        <v>298</v>
      </c>
      <c r="AB943" s="6" t="s">
        <v>240</v>
      </c>
      <c r="AE943" s="6" t="s">
        <v>299</v>
      </c>
      <c r="AF943" s="5" t="s">
        <v>248</v>
      </c>
      <c r="AG943" s="5" t="s">
        <v>249</v>
      </c>
      <c r="AW943" s="5" t="s">
        <v>251</v>
      </c>
      <c r="AX943" s="5" t="s">
        <v>240</v>
      </c>
      <c r="AY943" s="5" t="s">
        <v>253</v>
      </c>
      <c r="AZ943" s="5" t="s">
        <v>240</v>
      </c>
      <c r="BA943" s="5" t="s">
        <v>255</v>
      </c>
      <c r="BB943" s="5" t="s">
        <v>240</v>
      </c>
      <c r="BD943" s="5" t="s">
        <v>686</v>
      </c>
      <c r="BF943" s="5" t="s">
        <v>301</v>
      </c>
      <c r="BG943" s="6" t="s">
        <v>299</v>
      </c>
      <c r="BH943" s="5" t="s">
        <v>302</v>
      </c>
      <c r="BI943" s="5" t="s">
        <v>303</v>
      </c>
      <c r="BJ943" s="5" t="s">
        <v>240</v>
      </c>
      <c r="BK943" s="8">
        <f>0</f>
        <v>0</v>
      </c>
      <c r="BL943" s="7">
        <f>0</f>
        <v>0</v>
      </c>
      <c r="BM943" s="5" t="s">
        <v>258</v>
      </c>
      <c r="BN943" s="5" t="s">
        <v>259</v>
      </c>
      <c r="CB943" s="5" t="s">
        <v>240</v>
      </c>
      <c r="CC943" s="5" t="s">
        <v>240</v>
      </c>
      <c r="CG943" s="5" t="s">
        <v>617</v>
      </c>
      <c r="CH943" s="5" t="s">
        <v>305</v>
      </c>
      <c r="CI943" s="5" t="s">
        <v>240</v>
      </c>
      <c r="CL943" s="6" t="s">
        <v>261</v>
      </c>
      <c r="CM943" s="5" t="s">
        <v>240</v>
      </c>
      <c r="CN943" s="5" t="s">
        <v>263</v>
      </c>
      <c r="CO943" s="5" t="s">
        <v>240</v>
      </c>
      <c r="CP943" s="5" t="s">
        <v>240</v>
      </c>
      <c r="CQ943" s="5">
        <v>0</v>
      </c>
      <c r="CR943" s="5" t="s">
        <v>306</v>
      </c>
      <c r="CS943" s="5" t="s">
        <v>307</v>
      </c>
      <c r="CT943" s="5" t="s">
        <v>307</v>
      </c>
      <c r="CU943" s="5" t="s">
        <v>260</v>
      </c>
      <c r="CX943" s="7">
        <f>31264725</f>
        <v>31264725</v>
      </c>
      <c r="CY943" s="7">
        <f>0</f>
        <v>0</v>
      </c>
      <c r="DA943" s="7">
        <f>0</f>
        <v>0</v>
      </c>
      <c r="DC943" s="5" t="s">
        <v>689</v>
      </c>
      <c r="DD943" s="5" t="s">
        <v>240</v>
      </c>
      <c r="DF943" s="5" t="s">
        <v>689</v>
      </c>
      <c r="DG943" s="7">
        <f>14115</f>
        <v>14115</v>
      </c>
      <c r="DI943" s="5" t="s">
        <v>618</v>
      </c>
      <c r="DJ943" s="5" t="s">
        <v>240</v>
      </c>
      <c r="DK943" s="5" t="s">
        <v>240</v>
      </c>
      <c r="DL943" s="5" t="s">
        <v>240</v>
      </c>
      <c r="DP943" s="5" t="s">
        <v>240</v>
      </c>
      <c r="DQ943" s="5" t="s">
        <v>240</v>
      </c>
      <c r="DR943" s="5" t="s">
        <v>240</v>
      </c>
      <c r="DS943" s="5" t="s">
        <v>240</v>
      </c>
      <c r="DV943" s="5" t="s">
        <v>2040</v>
      </c>
      <c r="DW943" s="5" t="s">
        <v>312</v>
      </c>
      <c r="HO943" s="5" t="s">
        <v>312</v>
      </c>
    </row>
    <row r="944" spans="1:223" x14ac:dyDescent="0.4">
      <c r="A944" s="5">
        <v>2619</v>
      </c>
      <c r="B944" s="5">
        <v>1</v>
      </c>
      <c r="C944" s="5">
        <v>1</v>
      </c>
      <c r="D944" s="5" t="s">
        <v>297</v>
      </c>
      <c r="E944" s="5" t="s">
        <v>245</v>
      </c>
      <c r="F944" s="5" t="s">
        <v>254</v>
      </c>
      <c r="G944" s="5" t="s">
        <v>240</v>
      </c>
      <c r="H944" s="6" t="s">
        <v>427</v>
      </c>
      <c r="I944" s="5" t="s">
        <v>295</v>
      </c>
      <c r="J944" s="8">
        <f>1261</f>
        <v>1261</v>
      </c>
      <c r="K944" s="5" t="s">
        <v>308</v>
      </c>
      <c r="L944" s="7">
        <f>1</f>
        <v>1</v>
      </c>
      <c r="M944" s="7">
        <f>1</f>
        <v>1</v>
      </c>
      <c r="N944" s="5" t="s">
        <v>242</v>
      </c>
      <c r="O944" s="5">
        <v>1</v>
      </c>
      <c r="P944" s="5" t="s">
        <v>294</v>
      </c>
      <c r="Q944" s="5" t="s">
        <v>613</v>
      </c>
      <c r="R944" s="5" t="s">
        <v>240</v>
      </c>
      <c r="S944" s="5" t="s">
        <v>240</v>
      </c>
      <c r="T944" s="5" t="s">
        <v>243</v>
      </c>
      <c r="U944" s="5" t="s">
        <v>724</v>
      </c>
      <c r="V944" s="5" t="s">
        <v>240</v>
      </c>
      <c r="Y944" s="5" t="s">
        <v>240</v>
      </c>
      <c r="Z944" s="6" t="s">
        <v>298</v>
      </c>
      <c r="AB944" s="6" t="s">
        <v>240</v>
      </c>
      <c r="AE944" s="6" t="s">
        <v>299</v>
      </c>
      <c r="AF944" s="5" t="s">
        <v>248</v>
      </c>
      <c r="AG944" s="5" t="s">
        <v>249</v>
      </c>
      <c r="AW944" s="5" t="s">
        <v>251</v>
      </c>
      <c r="AX944" s="5" t="s">
        <v>240</v>
      </c>
      <c r="AY944" s="5" t="s">
        <v>253</v>
      </c>
      <c r="AZ944" s="5" t="s">
        <v>240</v>
      </c>
      <c r="BA944" s="5" t="s">
        <v>255</v>
      </c>
      <c r="BB944" s="5" t="s">
        <v>240</v>
      </c>
      <c r="BD944" s="5" t="s">
        <v>240</v>
      </c>
      <c r="BF944" s="5" t="s">
        <v>301</v>
      </c>
      <c r="BG944" s="6" t="s">
        <v>299</v>
      </c>
      <c r="BH944" s="5" t="s">
        <v>302</v>
      </c>
      <c r="BI944" s="5" t="s">
        <v>303</v>
      </c>
      <c r="BJ944" s="5" t="s">
        <v>240</v>
      </c>
      <c r="BK944" s="8">
        <f>0</f>
        <v>0</v>
      </c>
      <c r="BL944" s="7">
        <f>0</f>
        <v>0</v>
      </c>
      <c r="BM944" s="5" t="s">
        <v>258</v>
      </c>
      <c r="BN944" s="5" t="s">
        <v>259</v>
      </c>
      <c r="CB944" s="5" t="s">
        <v>240</v>
      </c>
      <c r="CC944" s="5" t="s">
        <v>240</v>
      </c>
      <c r="CG944" s="5" t="s">
        <v>617</v>
      </c>
      <c r="CH944" s="5" t="s">
        <v>305</v>
      </c>
      <c r="CI944" s="5" t="s">
        <v>240</v>
      </c>
      <c r="CL944" s="6" t="s">
        <v>261</v>
      </c>
      <c r="CM944" s="5" t="s">
        <v>240</v>
      </c>
      <c r="CN944" s="5" t="s">
        <v>263</v>
      </c>
      <c r="CO944" s="5" t="s">
        <v>240</v>
      </c>
      <c r="CP944" s="5" t="s">
        <v>240</v>
      </c>
      <c r="CQ944" s="5">
        <v>0</v>
      </c>
      <c r="CR944" s="5" t="s">
        <v>306</v>
      </c>
      <c r="CS944" s="5" t="s">
        <v>307</v>
      </c>
      <c r="CT944" s="5" t="s">
        <v>307</v>
      </c>
      <c r="CU944" s="5" t="s">
        <v>260</v>
      </c>
      <c r="CX944" s="7">
        <f>4323</f>
        <v>4323</v>
      </c>
      <c r="CY944" s="7">
        <f>0</f>
        <v>0</v>
      </c>
      <c r="DA944" s="7">
        <f>0</f>
        <v>0</v>
      </c>
      <c r="DC944" s="5" t="s">
        <v>854</v>
      </c>
      <c r="DD944" s="5" t="s">
        <v>240</v>
      </c>
      <c r="DF944" s="5" t="s">
        <v>450</v>
      </c>
      <c r="DG944" s="7">
        <f>0</f>
        <v>0</v>
      </c>
      <c r="DI944" s="5" t="s">
        <v>737</v>
      </c>
      <c r="DJ944" s="5" t="s">
        <v>240</v>
      </c>
      <c r="DK944" s="5" t="s">
        <v>240</v>
      </c>
      <c r="DL944" s="5" t="s">
        <v>240</v>
      </c>
      <c r="DP944" s="5" t="s">
        <v>240</v>
      </c>
      <c r="DQ944" s="5" t="s">
        <v>240</v>
      </c>
      <c r="DR944" s="5" t="s">
        <v>240</v>
      </c>
      <c r="DS944" s="5" t="s">
        <v>240</v>
      </c>
      <c r="DV944" s="5" t="s">
        <v>957</v>
      </c>
      <c r="DW944" s="5" t="s">
        <v>473</v>
      </c>
      <c r="HO944" s="5" t="s">
        <v>312</v>
      </c>
    </row>
    <row r="945" spans="1:223" x14ac:dyDescent="0.4">
      <c r="A945" s="5">
        <v>2620</v>
      </c>
      <c r="B945" s="5">
        <v>1</v>
      </c>
      <c r="C945" s="5">
        <v>1</v>
      </c>
      <c r="D945" s="5" t="s">
        <v>297</v>
      </c>
      <c r="E945" s="5" t="s">
        <v>245</v>
      </c>
      <c r="F945" s="5" t="s">
        <v>254</v>
      </c>
      <c r="G945" s="5" t="s">
        <v>240</v>
      </c>
      <c r="H945" s="6" t="s">
        <v>425</v>
      </c>
      <c r="I945" s="5" t="s">
        <v>295</v>
      </c>
      <c r="J945" s="8">
        <f>170</f>
        <v>170</v>
      </c>
      <c r="K945" s="5" t="s">
        <v>308</v>
      </c>
      <c r="L945" s="7">
        <f>1</f>
        <v>1</v>
      </c>
      <c r="M945" s="7">
        <f>1</f>
        <v>1</v>
      </c>
      <c r="N945" s="5" t="s">
        <v>242</v>
      </c>
      <c r="O945" s="5">
        <v>1</v>
      </c>
      <c r="P945" s="5" t="s">
        <v>294</v>
      </c>
      <c r="Q945" s="5" t="s">
        <v>266</v>
      </c>
      <c r="R945" s="5" t="s">
        <v>240</v>
      </c>
      <c r="S945" s="5" t="s">
        <v>240</v>
      </c>
      <c r="T945" s="5" t="s">
        <v>296</v>
      </c>
      <c r="U945" s="5" t="s">
        <v>244</v>
      </c>
      <c r="V945" s="5" t="s">
        <v>240</v>
      </c>
      <c r="Y945" s="5" t="s">
        <v>240</v>
      </c>
      <c r="Z945" s="6" t="s">
        <v>298</v>
      </c>
      <c r="AB945" s="6" t="s">
        <v>240</v>
      </c>
      <c r="AE945" s="6" t="s">
        <v>299</v>
      </c>
      <c r="AF945" s="5" t="s">
        <v>248</v>
      </c>
      <c r="AG945" s="5" t="s">
        <v>249</v>
      </c>
      <c r="AW945" s="5" t="s">
        <v>251</v>
      </c>
      <c r="AX945" s="5" t="s">
        <v>240</v>
      </c>
      <c r="AY945" s="5" t="s">
        <v>253</v>
      </c>
      <c r="AZ945" s="5" t="s">
        <v>240</v>
      </c>
      <c r="BA945" s="5" t="s">
        <v>255</v>
      </c>
      <c r="BB945" s="5" t="s">
        <v>240</v>
      </c>
      <c r="BD945" s="5" t="s">
        <v>240</v>
      </c>
      <c r="BF945" s="5" t="s">
        <v>301</v>
      </c>
      <c r="BG945" s="6" t="s">
        <v>299</v>
      </c>
      <c r="BH945" s="5" t="s">
        <v>302</v>
      </c>
      <c r="BI945" s="5" t="s">
        <v>303</v>
      </c>
      <c r="BJ945" s="5" t="s">
        <v>240</v>
      </c>
      <c r="BK945" s="8">
        <f>0</f>
        <v>0</v>
      </c>
      <c r="BL945" s="7">
        <f>0</f>
        <v>0</v>
      </c>
      <c r="BM945" s="5" t="s">
        <v>258</v>
      </c>
      <c r="BN945" s="5" t="s">
        <v>259</v>
      </c>
      <c r="CB945" s="5" t="s">
        <v>240</v>
      </c>
      <c r="CC945" s="5" t="s">
        <v>240</v>
      </c>
      <c r="CG945" s="5" t="s">
        <v>304</v>
      </c>
      <c r="CH945" s="5" t="s">
        <v>305</v>
      </c>
      <c r="CI945" s="5" t="s">
        <v>240</v>
      </c>
      <c r="CL945" s="6" t="s">
        <v>261</v>
      </c>
      <c r="CM945" s="5" t="s">
        <v>240</v>
      </c>
      <c r="CN945" s="5" t="s">
        <v>263</v>
      </c>
      <c r="CO945" s="5" t="s">
        <v>240</v>
      </c>
      <c r="CP945" s="5" t="s">
        <v>240</v>
      </c>
      <c r="CQ945" s="5">
        <v>0</v>
      </c>
      <c r="CR945" s="5" t="s">
        <v>306</v>
      </c>
      <c r="CS945" s="5" t="s">
        <v>307</v>
      </c>
      <c r="CT945" s="5" t="s">
        <v>307</v>
      </c>
      <c r="CU945" s="5" t="s">
        <v>260</v>
      </c>
      <c r="CX945" s="7">
        <f>1</f>
        <v>1</v>
      </c>
      <c r="CY945" s="7">
        <f>0</f>
        <v>0</v>
      </c>
      <c r="DA945" s="7">
        <f>0</f>
        <v>0</v>
      </c>
      <c r="DC945" s="5" t="s">
        <v>309</v>
      </c>
      <c r="DD945" s="5" t="s">
        <v>240</v>
      </c>
      <c r="DF945" s="5" t="s">
        <v>309</v>
      </c>
      <c r="DG945" s="7">
        <f>751</f>
        <v>751</v>
      </c>
      <c r="DI945" s="5" t="s">
        <v>240</v>
      </c>
      <c r="DJ945" s="5" t="s">
        <v>240</v>
      </c>
      <c r="DK945" s="5" t="s">
        <v>240</v>
      </c>
      <c r="DL945" s="5" t="s">
        <v>240</v>
      </c>
      <c r="DP945" s="5" t="s">
        <v>240</v>
      </c>
      <c r="DQ945" s="5" t="s">
        <v>240</v>
      </c>
      <c r="DR945" s="5" t="s">
        <v>240</v>
      </c>
      <c r="DS945" s="5" t="s">
        <v>240</v>
      </c>
      <c r="DV945" s="5" t="s">
        <v>310</v>
      </c>
      <c r="DW945" s="5" t="s">
        <v>1200</v>
      </c>
      <c r="HO945" s="5" t="s">
        <v>312</v>
      </c>
    </row>
    <row r="946" spans="1:223" x14ac:dyDescent="0.4">
      <c r="A946" s="5">
        <v>2621</v>
      </c>
      <c r="B946" s="5">
        <v>1</v>
      </c>
      <c r="C946" s="5">
        <v>1</v>
      </c>
      <c r="D946" s="5" t="s">
        <v>297</v>
      </c>
      <c r="E946" s="5" t="s">
        <v>245</v>
      </c>
      <c r="F946" s="5" t="s">
        <v>254</v>
      </c>
      <c r="G946" s="5" t="s">
        <v>240</v>
      </c>
      <c r="H946" s="6" t="s">
        <v>423</v>
      </c>
      <c r="I946" s="5" t="s">
        <v>295</v>
      </c>
      <c r="J946" s="8">
        <f>2865</f>
        <v>2865</v>
      </c>
      <c r="K946" s="5" t="s">
        <v>308</v>
      </c>
      <c r="L946" s="7">
        <f>1</f>
        <v>1</v>
      </c>
      <c r="M946" s="7">
        <f>1</f>
        <v>1</v>
      </c>
      <c r="N946" s="5" t="s">
        <v>242</v>
      </c>
      <c r="O946" s="5">
        <v>1</v>
      </c>
      <c r="P946" s="5" t="s">
        <v>294</v>
      </c>
      <c r="Q946" s="5" t="s">
        <v>613</v>
      </c>
      <c r="R946" s="5" t="s">
        <v>240</v>
      </c>
      <c r="S946" s="5" t="s">
        <v>240</v>
      </c>
      <c r="T946" s="5" t="s">
        <v>243</v>
      </c>
      <c r="U946" s="5" t="s">
        <v>724</v>
      </c>
      <c r="V946" s="5" t="s">
        <v>240</v>
      </c>
      <c r="Y946" s="5" t="s">
        <v>240</v>
      </c>
      <c r="Z946" s="6" t="s">
        <v>298</v>
      </c>
      <c r="AB946" s="6" t="s">
        <v>240</v>
      </c>
      <c r="AE946" s="6" t="s">
        <v>299</v>
      </c>
      <c r="AF946" s="5" t="s">
        <v>248</v>
      </c>
      <c r="AG946" s="5" t="s">
        <v>249</v>
      </c>
      <c r="AW946" s="5" t="s">
        <v>251</v>
      </c>
      <c r="AX946" s="5" t="s">
        <v>240</v>
      </c>
      <c r="AY946" s="5" t="s">
        <v>253</v>
      </c>
      <c r="AZ946" s="5" t="s">
        <v>240</v>
      </c>
      <c r="BA946" s="5" t="s">
        <v>255</v>
      </c>
      <c r="BB946" s="5" t="s">
        <v>240</v>
      </c>
      <c r="BD946" s="5" t="s">
        <v>240</v>
      </c>
      <c r="BF946" s="5" t="s">
        <v>301</v>
      </c>
      <c r="BG946" s="6" t="s">
        <v>299</v>
      </c>
      <c r="BH946" s="5" t="s">
        <v>302</v>
      </c>
      <c r="BI946" s="5" t="s">
        <v>303</v>
      </c>
      <c r="BJ946" s="5" t="s">
        <v>240</v>
      </c>
      <c r="BK946" s="8">
        <f>0</f>
        <v>0</v>
      </c>
      <c r="BL946" s="7">
        <f>0</f>
        <v>0</v>
      </c>
      <c r="BM946" s="5" t="s">
        <v>258</v>
      </c>
      <c r="BN946" s="5" t="s">
        <v>259</v>
      </c>
      <c r="CB946" s="5" t="s">
        <v>240</v>
      </c>
      <c r="CC946" s="5" t="s">
        <v>240</v>
      </c>
      <c r="CG946" s="5" t="s">
        <v>617</v>
      </c>
      <c r="CH946" s="5" t="s">
        <v>305</v>
      </c>
      <c r="CI946" s="5" t="s">
        <v>240</v>
      </c>
      <c r="CL946" s="6" t="s">
        <v>261</v>
      </c>
      <c r="CM946" s="5" t="s">
        <v>240</v>
      </c>
      <c r="CN946" s="5" t="s">
        <v>263</v>
      </c>
      <c r="CO946" s="5" t="s">
        <v>240</v>
      </c>
      <c r="CP946" s="5" t="s">
        <v>240</v>
      </c>
      <c r="CQ946" s="5">
        <v>0</v>
      </c>
      <c r="CR946" s="5" t="s">
        <v>306</v>
      </c>
      <c r="CS946" s="5" t="s">
        <v>307</v>
      </c>
      <c r="CT946" s="5" t="s">
        <v>307</v>
      </c>
      <c r="CU946" s="5" t="s">
        <v>260</v>
      </c>
      <c r="CX946" s="7">
        <f>21890</f>
        <v>21890</v>
      </c>
      <c r="CY946" s="7">
        <f>0</f>
        <v>0</v>
      </c>
      <c r="DA946" s="7">
        <f>0</f>
        <v>0</v>
      </c>
      <c r="DC946" s="5" t="s">
        <v>854</v>
      </c>
      <c r="DD946" s="5" t="s">
        <v>240</v>
      </c>
      <c r="DF946" s="5" t="s">
        <v>450</v>
      </c>
      <c r="DG946" s="7">
        <f>0</f>
        <v>0</v>
      </c>
      <c r="DI946" s="5" t="s">
        <v>737</v>
      </c>
      <c r="DJ946" s="5" t="s">
        <v>240</v>
      </c>
      <c r="DK946" s="5" t="s">
        <v>240</v>
      </c>
      <c r="DL946" s="5" t="s">
        <v>240</v>
      </c>
      <c r="DP946" s="5" t="s">
        <v>240</v>
      </c>
      <c r="DQ946" s="5" t="s">
        <v>240</v>
      </c>
      <c r="DR946" s="5" t="s">
        <v>240</v>
      </c>
      <c r="DS946" s="5" t="s">
        <v>240</v>
      </c>
      <c r="DV946" s="5" t="s">
        <v>957</v>
      </c>
      <c r="DW946" s="5" t="s">
        <v>477</v>
      </c>
      <c r="HO946" s="5" t="s">
        <v>312</v>
      </c>
    </row>
    <row r="947" spans="1:223" x14ac:dyDescent="0.4">
      <c r="A947" s="5">
        <v>2622</v>
      </c>
      <c r="B947" s="5">
        <v>1</v>
      </c>
      <c r="C947" s="5">
        <v>1</v>
      </c>
      <c r="D947" s="5" t="s">
        <v>297</v>
      </c>
      <c r="E947" s="5" t="s">
        <v>245</v>
      </c>
      <c r="F947" s="5" t="s">
        <v>254</v>
      </c>
      <c r="G947" s="5" t="s">
        <v>240</v>
      </c>
      <c r="H947" s="6" t="s">
        <v>421</v>
      </c>
      <c r="I947" s="5" t="s">
        <v>295</v>
      </c>
      <c r="J947" s="8">
        <f>2018</f>
        <v>2018</v>
      </c>
      <c r="K947" s="5" t="s">
        <v>308</v>
      </c>
      <c r="L947" s="7">
        <f>1</f>
        <v>1</v>
      </c>
      <c r="M947" s="7">
        <f>1</f>
        <v>1</v>
      </c>
      <c r="N947" s="5" t="s">
        <v>242</v>
      </c>
      <c r="O947" s="5">
        <v>1</v>
      </c>
      <c r="P947" s="5" t="s">
        <v>294</v>
      </c>
      <c r="Q947" s="5" t="s">
        <v>266</v>
      </c>
      <c r="R947" s="5" t="s">
        <v>240</v>
      </c>
      <c r="S947" s="5" t="s">
        <v>240</v>
      </c>
      <c r="T947" s="5" t="s">
        <v>296</v>
      </c>
      <c r="U947" s="5" t="s">
        <v>244</v>
      </c>
      <c r="V947" s="5" t="s">
        <v>240</v>
      </c>
      <c r="Y947" s="5" t="s">
        <v>240</v>
      </c>
      <c r="Z947" s="6" t="s">
        <v>298</v>
      </c>
      <c r="AB947" s="6" t="s">
        <v>240</v>
      </c>
      <c r="AE947" s="6" t="s">
        <v>299</v>
      </c>
      <c r="AF947" s="5" t="s">
        <v>248</v>
      </c>
      <c r="AG947" s="5" t="s">
        <v>249</v>
      </c>
      <c r="AW947" s="5" t="s">
        <v>251</v>
      </c>
      <c r="AX947" s="5" t="s">
        <v>240</v>
      </c>
      <c r="AY947" s="5" t="s">
        <v>253</v>
      </c>
      <c r="AZ947" s="5" t="s">
        <v>240</v>
      </c>
      <c r="BA947" s="5" t="s">
        <v>255</v>
      </c>
      <c r="BB947" s="5" t="s">
        <v>240</v>
      </c>
      <c r="BD947" s="5" t="s">
        <v>240</v>
      </c>
      <c r="BF947" s="5" t="s">
        <v>301</v>
      </c>
      <c r="BG947" s="6" t="s">
        <v>299</v>
      </c>
      <c r="BH947" s="5" t="s">
        <v>302</v>
      </c>
      <c r="BI947" s="5" t="s">
        <v>303</v>
      </c>
      <c r="BJ947" s="5" t="s">
        <v>240</v>
      </c>
      <c r="BK947" s="8">
        <f>0</f>
        <v>0</v>
      </c>
      <c r="BL947" s="7">
        <f>0</f>
        <v>0</v>
      </c>
      <c r="BM947" s="5" t="s">
        <v>258</v>
      </c>
      <c r="BN947" s="5" t="s">
        <v>259</v>
      </c>
      <c r="CB947" s="5" t="s">
        <v>240</v>
      </c>
      <c r="CC947" s="5" t="s">
        <v>240</v>
      </c>
      <c r="CG947" s="5" t="s">
        <v>304</v>
      </c>
      <c r="CH947" s="5" t="s">
        <v>305</v>
      </c>
      <c r="CI947" s="5" t="s">
        <v>240</v>
      </c>
      <c r="CL947" s="6" t="s">
        <v>261</v>
      </c>
      <c r="CM947" s="5" t="s">
        <v>240</v>
      </c>
      <c r="CN947" s="5" t="s">
        <v>263</v>
      </c>
      <c r="CO947" s="5" t="s">
        <v>240</v>
      </c>
      <c r="CP947" s="5" t="s">
        <v>240</v>
      </c>
      <c r="CQ947" s="5">
        <v>0</v>
      </c>
      <c r="CR947" s="5" t="s">
        <v>306</v>
      </c>
      <c r="CS947" s="5" t="s">
        <v>307</v>
      </c>
      <c r="CT947" s="5" t="s">
        <v>307</v>
      </c>
      <c r="CU947" s="5" t="s">
        <v>260</v>
      </c>
      <c r="CX947" s="7">
        <f>1</f>
        <v>1</v>
      </c>
      <c r="CY947" s="7">
        <f>0</f>
        <v>0</v>
      </c>
      <c r="DA947" s="7">
        <f>0</f>
        <v>0</v>
      </c>
      <c r="DC947" s="5" t="s">
        <v>309</v>
      </c>
      <c r="DD947" s="5" t="s">
        <v>240</v>
      </c>
      <c r="DF947" s="5" t="s">
        <v>309</v>
      </c>
      <c r="DG947" s="7">
        <f>1707</f>
        <v>1707</v>
      </c>
      <c r="DI947" s="5" t="s">
        <v>240</v>
      </c>
      <c r="DJ947" s="5" t="s">
        <v>240</v>
      </c>
      <c r="DK947" s="5" t="s">
        <v>240</v>
      </c>
      <c r="DL947" s="5" t="s">
        <v>240</v>
      </c>
      <c r="DP947" s="5" t="s">
        <v>240</v>
      </c>
      <c r="DQ947" s="5" t="s">
        <v>240</v>
      </c>
      <c r="DR947" s="5" t="s">
        <v>240</v>
      </c>
      <c r="DS947" s="5" t="s">
        <v>240</v>
      </c>
      <c r="DV947" s="5" t="s">
        <v>310</v>
      </c>
      <c r="DW947" s="5" t="s">
        <v>1202</v>
      </c>
      <c r="HO947" s="5" t="s">
        <v>312</v>
      </c>
    </row>
    <row r="948" spans="1:223" x14ac:dyDescent="0.4">
      <c r="A948" s="5">
        <v>2623</v>
      </c>
      <c r="B948" s="5">
        <v>1</v>
      </c>
      <c r="C948" s="5">
        <v>1</v>
      </c>
      <c r="D948" s="5" t="s">
        <v>297</v>
      </c>
      <c r="E948" s="5" t="s">
        <v>245</v>
      </c>
      <c r="F948" s="5" t="s">
        <v>254</v>
      </c>
      <c r="G948" s="5" t="s">
        <v>240</v>
      </c>
      <c r="H948" s="6" t="s">
        <v>4132</v>
      </c>
      <c r="I948" s="5" t="s">
        <v>295</v>
      </c>
      <c r="J948" s="8">
        <f>145</f>
        <v>145</v>
      </c>
      <c r="K948" s="5" t="s">
        <v>308</v>
      </c>
      <c r="L948" s="7">
        <f>1</f>
        <v>1</v>
      </c>
      <c r="M948" s="7">
        <f>1</f>
        <v>1</v>
      </c>
      <c r="N948" s="5" t="s">
        <v>242</v>
      </c>
      <c r="O948" s="5">
        <v>1</v>
      </c>
      <c r="P948" s="5" t="s">
        <v>294</v>
      </c>
      <c r="Q948" s="5" t="s">
        <v>266</v>
      </c>
      <c r="R948" s="5" t="s">
        <v>240</v>
      </c>
      <c r="S948" s="5" t="s">
        <v>240</v>
      </c>
      <c r="T948" s="5" t="s">
        <v>296</v>
      </c>
      <c r="U948" s="5" t="s">
        <v>244</v>
      </c>
      <c r="V948" s="5" t="s">
        <v>240</v>
      </c>
      <c r="Y948" s="5" t="s">
        <v>240</v>
      </c>
      <c r="Z948" s="6" t="s">
        <v>298</v>
      </c>
      <c r="AB948" s="6" t="s">
        <v>240</v>
      </c>
      <c r="AE948" s="6" t="s">
        <v>299</v>
      </c>
      <c r="AF948" s="5" t="s">
        <v>248</v>
      </c>
      <c r="AG948" s="5" t="s">
        <v>249</v>
      </c>
      <c r="AW948" s="5" t="s">
        <v>251</v>
      </c>
      <c r="AX948" s="5" t="s">
        <v>240</v>
      </c>
      <c r="AY948" s="5" t="s">
        <v>253</v>
      </c>
      <c r="AZ948" s="5" t="s">
        <v>240</v>
      </c>
      <c r="BA948" s="5" t="s">
        <v>255</v>
      </c>
      <c r="BB948" s="5" t="s">
        <v>240</v>
      </c>
      <c r="BD948" s="5" t="s">
        <v>240</v>
      </c>
      <c r="BF948" s="5" t="s">
        <v>301</v>
      </c>
      <c r="BG948" s="6" t="s">
        <v>299</v>
      </c>
      <c r="BH948" s="5" t="s">
        <v>302</v>
      </c>
      <c r="BI948" s="5" t="s">
        <v>303</v>
      </c>
      <c r="BJ948" s="5" t="s">
        <v>240</v>
      </c>
      <c r="BK948" s="8">
        <f>0</f>
        <v>0</v>
      </c>
      <c r="BL948" s="7">
        <f>0</f>
        <v>0</v>
      </c>
      <c r="BM948" s="5" t="s">
        <v>258</v>
      </c>
      <c r="BN948" s="5" t="s">
        <v>259</v>
      </c>
      <c r="CB948" s="5" t="s">
        <v>240</v>
      </c>
      <c r="CC948" s="5" t="s">
        <v>240</v>
      </c>
      <c r="CG948" s="5" t="s">
        <v>304</v>
      </c>
      <c r="CH948" s="5" t="s">
        <v>305</v>
      </c>
      <c r="CI948" s="5" t="s">
        <v>240</v>
      </c>
      <c r="CL948" s="6" t="s">
        <v>261</v>
      </c>
      <c r="CM948" s="5" t="s">
        <v>240</v>
      </c>
      <c r="CN948" s="5" t="s">
        <v>263</v>
      </c>
      <c r="CO948" s="5" t="s">
        <v>240</v>
      </c>
      <c r="CP948" s="5" t="s">
        <v>240</v>
      </c>
      <c r="CQ948" s="5">
        <v>0</v>
      </c>
      <c r="CR948" s="5" t="s">
        <v>306</v>
      </c>
      <c r="CS948" s="5" t="s">
        <v>307</v>
      </c>
      <c r="CT948" s="5" t="s">
        <v>307</v>
      </c>
      <c r="CU948" s="5" t="s">
        <v>260</v>
      </c>
      <c r="CX948" s="7">
        <f>1</f>
        <v>1</v>
      </c>
      <c r="CY948" s="7">
        <f>0</f>
        <v>0</v>
      </c>
      <c r="DA948" s="7">
        <f>0</f>
        <v>0</v>
      </c>
      <c r="DC948" s="5" t="s">
        <v>309</v>
      </c>
      <c r="DD948" s="5" t="s">
        <v>240</v>
      </c>
      <c r="DF948" s="5" t="s">
        <v>309</v>
      </c>
      <c r="DG948" s="7">
        <f>465</f>
        <v>465</v>
      </c>
      <c r="DI948" s="5" t="s">
        <v>240</v>
      </c>
      <c r="DJ948" s="5" t="s">
        <v>240</v>
      </c>
      <c r="DK948" s="5" t="s">
        <v>240</v>
      </c>
      <c r="DL948" s="5" t="s">
        <v>240</v>
      </c>
      <c r="DP948" s="5" t="s">
        <v>240</v>
      </c>
      <c r="DQ948" s="5" t="s">
        <v>240</v>
      </c>
      <c r="DR948" s="5" t="s">
        <v>240</v>
      </c>
      <c r="DS948" s="5" t="s">
        <v>240</v>
      </c>
      <c r="DV948" s="5" t="s">
        <v>310</v>
      </c>
      <c r="DW948" s="5" t="s">
        <v>1204</v>
      </c>
      <c r="HO948" s="5" t="s">
        <v>312</v>
      </c>
    </row>
    <row r="949" spans="1:223" x14ac:dyDescent="0.4">
      <c r="A949" s="5">
        <v>2624</v>
      </c>
      <c r="B949" s="5">
        <v>1</v>
      </c>
      <c r="C949" s="5">
        <v>1</v>
      </c>
      <c r="D949" s="5" t="s">
        <v>297</v>
      </c>
      <c r="E949" s="5" t="s">
        <v>245</v>
      </c>
      <c r="F949" s="5" t="s">
        <v>254</v>
      </c>
      <c r="G949" s="5" t="s">
        <v>240</v>
      </c>
      <c r="H949" s="6" t="s">
        <v>415</v>
      </c>
      <c r="I949" s="5" t="s">
        <v>295</v>
      </c>
      <c r="J949" s="8">
        <f>1760</f>
        <v>1760</v>
      </c>
      <c r="K949" s="5" t="s">
        <v>308</v>
      </c>
      <c r="L949" s="7">
        <f>1</f>
        <v>1</v>
      </c>
      <c r="M949" s="7">
        <f>1</f>
        <v>1</v>
      </c>
      <c r="N949" s="5" t="s">
        <v>242</v>
      </c>
      <c r="O949" s="5">
        <v>1</v>
      </c>
      <c r="P949" s="5" t="s">
        <v>294</v>
      </c>
      <c r="Q949" s="5" t="s">
        <v>613</v>
      </c>
      <c r="R949" s="5" t="s">
        <v>240</v>
      </c>
      <c r="S949" s="5" t="s">
        <v>240</v>
      </c>
      <c r="T949" s="5" t="s">
        <v>243</v>
      </c>
      <c r="U949" s="5" t="s">
        <v>724</v>
      </c>
      <c r="V949" s="5" t="s">
        <v>240</v>
      </c>
      <c r="Y949" s="5" t="s">
        <v>240</v>
      </c>
      <c r="Z949" s="6" t="s">
        <v>298</v>
      </c>
      <c r="AB949" s="6" t="s">
        <v>240</v>
      </c>
      <c r="AE949" s="6" t="s">
        <v>299</v>
      </c>
      <c r="AF949" s="5" t="s">
        <v>248</v>
      </c>
      <c r="AG949" s="5" t="s">
        <v>249</v>
      </c>
      <c r="AW949" s="5" t="s">
        <v>251</v>
      </c>
      <c r="AX949" s="5" t="s">
        <v>240</v>
      </c>
      <c r="AY949" s="5" t="s">
        <v>253</v>
      </c>
      <c r="AZ949" s="5" t="s">
        <v>240</v>
      </c>
      <c r="BA949" s="5" t="s">
        <v>255</v>
      </c>
      <c r="BB949" s="5" t="s">
        <v>240</v>
      </c>
      <c r="BD949" s="5" t="s">
        <v>240</v>
      </c>
      <c r="BF949" s="5" t="s">
        <v>301</v>
      </c>
      <c r="BG949" s="6" t="s">
        <v>299</v>
      </c>
      <c r="BH949" s="5" t="s">
        <v>302</v>
      </c>
      <c r="BI949" s="5" t="s">
        <v>303</v>
      </c>
      <c r="BJ949" s="5" t="s">
        <v>240</v>
      </c>
      <c r="BK949" s="8">
        <f>0</f>
        <v>0</v>
      </c>
      <c r="BL949" s="7">
        <f>0</f>
        <v>0</v>
      </c>
      <c r="BM949" s="5" t="s">
        <v>258</v>
      </c>
      <c r="BN949" s="5" t="s">
        <v>259</v>
      </c>
      <c r="CB949" s="5" t="s">
        <v>240</v>
      </c>
      <c r="CC949" s="5" t="s">
        <v>240</v>
      </c>
      <c r="CG949" s="5" t="s">
        <v>617</v>
      </c>
      <c r="CH949" s="5" t="s">
        <v>305</v>
      </c>
      <c r="CI949" s="5" t="s">
        <v>240</v>
      </c>
      <c r="CL949" s="6" t="s">
        <v>261</v>
      </c>
      <c r="CM949" s="5" t="s">
        <v>240</v>
      </c>
      <c r="CN949" s="5" t="s">
        <v>263</v>
      </c>
      <c r="CO949" s="5" t="s">
        <v>240</v>
      </c>
      <c r="CP949" s="5" t="s">
        <v>240</v>
      </c>
      <c r="CQ949" s="5">
        <v>0</v>
      </c>
      <c r="CR949" s="5" t="s">
        <v>306</v>
      </c>
      <c r="CS949" s="5" t="s">
        <v>307</v>
      </c>
      <c r="CT949" s="5" t="s">
        <v>307</v>
      </c>
      <c r="CU949" s="5" t="s">
        <v>260</v>
      </c>
      <c r="CX949" s="7">
        <f>9768</f>
        <v>9768</v>
      </c>
      <c r="CY949" s="7">
        <f>0</f>
        <v>0</v>
      </c>
      <c r="DA949" s="7">
        <f>0</f>
        <v>0</v>
      </c>
      <c r="DC949" s="5" t="s">
        <v>854</v>
      </c>
      <c r="DD949" s="5" t="s">
        <v>240</v>
      </c>
      <c r="DF949" s="5" t="s">
        <v>450</v>
      </c>
      <c r="DG949" s="7">
        <f>0</f>
        <v>0</v>
      </c>
      <c r="DI949" s="5" t="s">
        <v>737</v>
      </c>
      <c r="DJ949" s="5" t="s">
        <v>240</v>
      </c>
      <c r="DK949" s="5" t="s">
        <v>240</v>
      </c>
      <c r="DL949" s="5" t="s">
        <v>240</v>
      </c>
      <c r="DP949" s="5" t="s">
        <v>240</v>
      </c>
      <c r="DQ949" s="5" t="s">
        <v>240</v>
      </c>
      <c r="DR949" s="5" t="s">
        <v>240</v>
      </c>
      <c r="DS949" s="5" t="s">
        <v>240</v>
      </c>
      <c r="DV949" s="5" t="s">
        <v>957</v>
      </c>
      <c r="DW949" s="5" t="s">
        <v>479</v>
      </c>
      <c r="HO949" s="5" t="s">
        <v>312</v>
      </c>
    </row>
    <row r="950" spans="1:223" x14ac:dyDescent="0.4">
      <c r="A950" s="5">
        <v>2625</v>
      </c>
      <c r="B950" s="5">
        <v>1</v>
      </c>
      <c r="C950" s="5">
        <v>1</v>
      </c>
      <c r="D950" s="5" t="s">
        <v>297</v>
      </c>
      <c r="E950" s="5" t="s">
        <v>245</v>
      </c>
      <c r="F950" s="5" t="s">
        <v>254</v>
      </c>
      <c r="G950" s="5" t="s">
        <v>240</v>
      </c>
      <c r="H950" s="6" t="s">
        <v>413</v>
      </c>
      <c r="I950" s="5" t="s">
        <v>295</v>
      </c>
      <c r="J950" s="8">
        <f>714</f>
        <v>714</v>
      </c>
      <c r="K950" s="5" t="s">
        <v>308</v>
      </c>
      <c r="L950" s="7">
        <f>1</f>
        <v>1</v>
      </c>
      <c r="M950" s="7">
        <f>1</f>
        <v>1</v>
      </c>
      <c r="N950" s="5" t="s">
        <v>242</v>
      </c>
      <c r="O950" s="5">
        <v>1</v>
      </c>
      <c r="P950" s="5" t="s">
        <v>294</v>
      </c>
      <c r="Q950" s="5" t="s">
        <v>266</v>
      </c>
      <c r="R950" s="5" t="s">
        <v>240</v>
      </c>
      <c r="S950" s="5" t="s">
        <v>240</v>
      </c>
      <c r="T950" s="5" t="s">
        <v>296</v>
      </c>
      <c r="U950" s="5" t="s">
        <v>244</v>
      </c>
      <c r="V950" s="5" t="s">
        <v>240</v>
      </c>
      <c r="Y950" s="5" t="s">
        <v>240</v>
      </c>
      <c r="Z950" s="6" t="s">
        <v>298</v>
      </c>
      <c r="AB950" s="6" t="s">
        <v>240</v>
      </c>
      <c r="AE950" s="6" t="s">
        <v>299</v>
      </c>
      <c r="AF950" s="5" t="s">
        <v>248</v>
      </c>
      <c r="AG950" s="5" t="s">
        <v>249</v>
      </c>
      <c r="AW950" s="5" t="s">
        <v>251</v>
      </c>
      <c r="AX950" s="5" t="s">
        <v>240</v>
      </c>
      <c r="AY950" s="5" t="s">
        <v>253</v>
      </c>
      <c r="AZ950" s="5" t="s">
        <v>240</v>
      </c>
      <c r="BA950" s="5" t="s">
        <v>255</v>
      </c>
      <c r="BB950" s="5" t="s">
        <v>240</v>
      </c>
      <c r="BD950" s="5" t="s">
        <v>240</v>
      </c>
      <c r="BF950" s="5" t="s">
        <v>301</v>
      </c>
      <c r="BG950" s="6" t="s">
        <v>299</v>
      </c>
      <c r="BH950" s="5" t="s">
        <v>302</v>
      </c>
      <c r="BI950" s="5" t="s">
        <v>303</v>
      </c>
      <c r="BJ950" s="5" t="s">
        <v>240</v>
      </c>
      <c r="BK950" s="8">
        <f>0</f>
        <v>0</v>
      </c>
      <c r="BL950" s="7">
        <f>0</f>
        <v>0</v>
      </c>
      <c r="BM950" s="5" t="s">
        <v>258</v>
      </c>
      <c r="BN950" s="5" t="s">
        <v>259</v>
      </c>
      <c r="CB950" s="5" t="s">
        <v>240</v>
      </c>
      <c r="CC950" s="5" t="s">
        <v>240</v>
      </c>
      <c r="CG950" s="5" t="s">
        <v>304</v>
      </c>
      <c r="CH950" s="5" t="s">
        <v>305</v>
      </c>
      <c r="CI950" s="5" t="s">
        <v>240</v>
      </c>
      <c r="CL950" s="6" t="s">
        <v>261</v>
      </c>
      <c r="CM950" s="5" t="s">
        <v>240</v>
      </c>
      <c r="CN950" s="5" t="s">
        <v>263</v>
      </c>
      <c r="CO950" s="5" t="s">
        <v>240</v>
      </c>
      <c r="CP950" s="5" t="s">
        <v>240</v>
      </c>
      <c r="CQ950" s="5">
        <v>0</v>
      </c>
      <c r="CR950" s="5" t="s">
        <v>306</v>
      </c>
      <c r="CS950" s="5" t="s">
        <v>307</v>
      </c>
      <c r="CT950" s="5" t="s">
        <v>307</v>
      </c>
      <c r="CU950" s="5" t="s">
        <v>260</v>
      </c>
      <c r="CX950" s="7">
        <f>1</f>
        <v>1</v>
      </c>
      <c r="CY950" s="7">
        <f>0</f>
        <v>0</v>
      </c>
      <c r="DA950" s="7">
        <f>0</f>
        <v>0</v>
      </c>
      <c r="DC950" s="5" t="s">
        <v>812</v>
      </c>
      <c r="DD950" s="5" t="s">
        <v>240</v>
      </c>
      <c r="DF950" s="5" t="s">
        <v>812</v>
      </c>
      <c r="DG950" s="7">
        <f>294</f>
        <v>294</v>
      </c>
      <c r="DI950" s="5" t="s">
        <v>240</v>
      </c>
      <c r="DJ950" s="5" t="s">
        <v>240</v>
      </c>
      <c r="DK950" s="5" t="s">
        <v>240</v>
      </c>
      <c r="DL950" s="5" t="s">
        <v>240</v>
      </c>
      <c r="DP950" s="5" t="s">
        <v>240</v>
      </c>
      <c r="DQ950" s="5" t="s">
        <v>240</v>
      </c>
      <c r="DR950" s="5" t="s">
        <v>240</v>
      </c>
      <c r="DS950" s="5" t="s">
        <v>240</v>
      </c>
      <c r="DV950" s="5" t="s">
        <v>813</v>
      </c>
      <c r="DW950" s="5" t="s">
        <v>2048</v>
      </c>
      <c r="HO950" s="5" t="s">
        <v>312</v>
      </c>
    </row>
    <row r="951" spans="1:223" x14ac:dyDescent="0.4">
      <c r="A951" s="5">
        <v>2626</v>
      </c>
      <c r="B951" s="5">
        <v>1</v>
      </c>
      <c r="C951" s="5">
        <v>1</v>
      </c>
      <c r="D951" s="5" t="s">
        <v>297</v>
      </c>
      <c r="E951" s="5" t="s">
        <v>245</v>
      </c>
      <c r="F951" s="5" t="s">
        <v>254</v>
      </c>
      <c r="G951" s="5" t="s">
        <v>240</v>
      </c>
      <c r="H951" s="6" t="s">
        <v>411</v>
      </c>
      <c r="I951" s="5" t="s">
        <v>295</v>
      </c>
      <c r="J951" s="8">
        <f>1359</f>
        <v>1359</v>
      </c>
      <c r="K951" s="5" t="s">
        <v>308</v>
      </c>
      <c r="L951" s="7">
        <f>1</f>
        <v>1</v>
      </c>
      <c r="M951" s="7">
        <f>1</f>
        <v>1</v>
      </c>
      <c r="N951" s="5" t="s">
        <v>242</v>
      </c>
      <c r="O951" s="5">
        <v>1</v>
      </c>
      <c r="P951" s="5" t="s">
        <v>294</v>
      </c>
      <c r="Q951" s="5" t="s">
        <v>266</v>
      </c>
      <c r="R951" s="5" t="s">
        <v>240</v>
      </c>
      <c r="S951" s="5" t="s">
        <v>240</v>
      </c>
      <c r="T951" s="5" t="s">
        <v>296</v>
      </c>
      <c r="U951" s="5" t="s">
        <v>244</v>
      </c>
      <c r="V951" s="5" t="s">
        <v>240</v>
      </c>
      <c r="Y951" s="5" t="s">
        <v>240</v>
      </c>
      <c r="Z951" s="6" t="s">
        <v>298</v>
      </c>
      <c r="AB951" s="6" t="s">
        <v>240</v>
      </c>
      <c r="AE951" s="6" t="s">
        <v>299</v>
      </c>
      <c r="AF951" s="5" t="s">
        <v>248</v>
      </c>
      <c r="AG951" s="5" t="s">
        <v>249</v>
      </c>
      <c r="AW951" s="5" t="s">
        <v>251</v>
      </c>
      <c r="AX951" s="5" t="s">
        <v>240</v>
      </c>
      <c r="AY951" s="5" t="s">
        <v>253</v>
      </c>
      <c r="AZ951" s="5" t="s">
        <v>240</v>
      </c>
      <c r="BA951" s="5" t="s">
        <v>255</v>
      </c>
      <c r="BB951" s="5" t="s">
        <v>240</v>
      </c>
      <c r="BD951" s="5" t="s">
        <v>240</v>
      </c>
      <c r="BF951" s="5" t="s">
        <v>301</v>
      </c>
      <c r="BG951" s="6" t="s">
        <v>299</v>
      </c>
      <c r="BH951" s="5" t="s">
        <v>302</v>
      </c>
      <c r="BI951" s="5" t="s">
        <v>303</v>
      </c>
      <c r="BJ951" s="5" t="s">
        <v>240</v>
      </c>
      <c r="BK951" s="8">
        <f>0</f>
        <v>0</v>
      </c>
      <c r="BL951" s="7">
        <f>0</f>
        <v>0</v>
      </c>
      <c r="BM951" s="5" t="s">
        <v>258</v>
      </c>
      <c r="BN951" s="5" t="s">
        <v>259</v>
      </c>
      <c r="CB951" s="5" t="s">
        <v>240</v>
      </c>
      <c r="CC951" s="5" t="s">
        <v>240</v>
      </c>
      <c r="CG951" s="5" t="s">
        <v>304</v>
      </c>
      <c r="CH951" s="5" t="s">
        <v>305</v>
      </c>
      <c r="CI951" s="5" t="s">
        <v>240</v>
      </c>
      <c r="CL951" s="6" t="s">
        <v>261</v>
      </c>
      <c r="CM951" s="5" t="s">
        <v>240</v>
      </c>
      <c r="CN951" s="5" t="s">
        <v>263</v>
      </c>
      <c r="CO951" s="5" t="s">
        <v>240</v>
      </c>
      <c r="CP951" s="5" t="s">
        <v>240</v>
      </c>
      <c r="CQ951" s="5">
        <v>0</v>
      </c>
      <c r="CR951" s="5" t="s">
        <v>306</v>
      </c>
      <c r="CS951" s="5" t="s">
        <v>307</v>
      </c>
      <c r="CT951" s="5" t="s">
        <v>307</v>
      </c>
      <c r="CU951" s="5" t="s">
        <v>260</v>
      </c>
      <c r="CX951" s="7">
        <f>1</f>
        <v>1</v>
      </c>
      <c r="CY951" s="7">
        <f>0</f>
        <v>0</v>
      </c>
      <c r="DA951" s="7">
        <f>0</f>
        <v>0</v>
      </c>
      <c r="DC951" s="5" t="s">
        <v>309</v>
      </c>
      <c r="DD951" s="5" t="s">
        <v>240</v>
      </c>
      <c r="DF951" s="5" t="s">
        <v>309</v>
      </c>
      <c r="DG951" s="7">
        <f>502</f>
        <v>502</v>
      </c>
      <c r="DI951" s="5" t="s">
        <v>240</v>
      </c>
      <c r="DJ951" s="5" t="s">
        <v>240</v>
      </c>
      <c r="DK951" s="5" t="s">
        <v>240</v>
      </c>
      <c r="DL951" s="5" t="s">
        <v>240</v>
      </c>
      <c r="DP951" s="5" t="s">
        <v>240</v>
      </c>
      <c r="DQ951" s="5" t="s">
        <v>240</v>
      </c>
      <c r="DR951" s="5" t="s">
        <v>240</v>
      </c>
      <c r="DS951" s="5" t="s">
        <v>240</v>
      </c>
      <c r="DV951" s="5" t="s">
        <v>310</v>
      </c>
      <c r="DW951" s="5" t="s">
        <v>1206</v>
      </c>
      <c r="HO951" s="5" t="s">
        <v>312</v>
      </c>
    </row>
    <row r="952" spans="1:223" x14ac:dyDescent="0.4">
      <c r="A952" s="5">
        <v>2627</v>
      </c>
      <c r="B952" s="5">
        <v>1</v>
      </c>
      <c r="C952" s="5">
        <v>1</v>
      </c>
      <c r="D952" s="5" t="s">
        <v>297</v>
      </c>
      <c r="E952" s="5" t="s">
        <v>245</v>
      </c>
      <c r="F952" s="5" t="s">
        <v>254</v>
      </c>
      <c r="G952" s="5" t="s">
        <v>240</v>
      </c>
      <c r="H952" s="6" t="s">
        <v>4130</v>
      </c>
      <c r="I952" s="5" t="s">
        <v>295</v>
      </c>
      <c r="J952" s="8">
        <f>4721</f>
        <v>4721</v>
      </c>
      <c r="K952" s="5" t="s">
        <v>308</v>
      </c>
      <c r="L952" s="7">
        <f>1</f>
        <v>1</v>
      </c>
      <c r="M952" s="7">
        <f>1</f>
        <v>1</v>
      </c>
      <c r="N952" s="5" t="s">
        <v>242</v>
      </c>
      <c r="O952" s="5">
        <v>1</v>
      </c>
      <c r="P952" s="5" t="s">
        <v>294</v>
      </c>
      <c r="Q952" s="5" t="s">
        <v>613</v>
      </c>
      <c r="R952" s="5" t="s">
        <v>240</v>
      </c>
      <c r="S952" s="5" t="s">
        <v>240</v>
      </c>
      <c r="T952" s="5" t="s">
        <v>243</v>
      </c>
      <c r="U952" s="5" t="s">
        <v>724</v>
      </c>
      <c r="V952" s="5" t="s">
        <v>240</v>
      </c>
      <c r="Y952" s="5" t="s">
        <v>240</v>
      </c>
      <c r="Z952" s="6" t="s">
        <v>298</v>
      </c>
      <c r="AB952" s="6" t="s">
        <v>240</v>
      </c>
      <c r="AE952" s="6" t="s">
        <v>299</v>
      </c>
      <c r="AF952" s="5" t="s">
        <v>248</v>
      </c>
      <c r="AG952" s="5" t="s">
        <v>249</v>
      </c>
      <c r="AW952" s="5" t="s">
        <v>251</v>
      </c>
      <c r="AX952" s="5" t="s">
        <v>240</v>
      </c>
      <c r="AY952" s="5" t="s">
        <v>253</v>
      </c>
      <c r="AZ952" s="5" t="s">
        <v>240</v>
      </c>
      <c r="BA952" s="5" t="s">
        <v>255</v>
      </c>
      <c r="BB952" s="5" t="s">
        <v>240</v>
      </c>
      <c r="BD952" s="5" t="s">
        <v>240</v>
      </c>
      <c r="BF952" s="5" t="s">
        <v>301</v>
      </c>
      <c r="BG952" s="6" t="s">
        <v>299</v>
      </c>
      <c r="BH952" s="5" t="s">
        <v>302</v>
      </c>
      <c r="BI952" s="5" t="s">
        <v>303</v>
      </c>
      <c r="BJ952" s="5" t="s">
        <v>240</v>
      </c>
      <c r="BK952" s="8">
        <f>0</f>
        <v>0</v>
      </c>
      <c r="BL952" s="7">
        <f>0</f>
        <v>0</v>
      </c>
      <c r="BM952" s="5" t="s">
        <v>258</v>
      </c>
      <c r="BN952" s="5" t="s">
        <v>259</v>
      </c>
      <c r="CB952" s="5" t="s">
        <v>240</v>
      </c>
      <c r="CC952" s="5" t="s">
        <v>240</v>
      </c>
      <c r="CG952" s="5" t="s">
        <v>617</v>
      </c>
      <c r="CH952" s="5" t="s">
        <v>305</v>
      </c>
      <c r="CI952" s="5" t="s">
        <v>240</v>
      </c>
      <c r="CL952" s="6" t="s">
        <v>261</v>
      </c>
      <c r="CM952" s="5" t="s">
        <v>240</v>
      </c>
      <c r="CN952" s="5" t="s">
        <v>263</v>
      </c>
      <c r="CO952" s="5" t="s">
        <v>240</v>
      </c>
      <c r="CP952" s="5" t="s">
        <v>240</v>
      </c>
      <c r="CQ952" s="5">
        <v>0</v>
      </c>
      <c r="CR952" s="5" t="s">
        <v>306</v>
      </c>
      <c r="CS952" s="5" t="s">
        <v>307</v>
      </c>
      <c r="CT952" s="5" t="s">
        <v>307</v>
      </c>
      <c r="CU952" s="5" t="s">
        <v>260</v>
      </c>
      <c r="CX952" s="7">
        <f>7920</f>
        <v>7920</v>
      </c>
      <c r="CY952" s="7">
        <f>0</f>
        <v>0</v>
      </c>
      <c r="DA952" s="7">
        <f>0</f>
        <v>0</v>
      </c>
      <c r="DC952" s="5" t="s">
        <v>854</v>
      </c>
      <c r="DD952" s="5" t="s">
        <v>240</v>
      </c>
      <c r="DF952" s="5" t="s">
        <v>450</v>
      </c>
      <c r="DG952" s="7">
        <f>0</f>
        <v>0</v>
      </c>
      <c r="DI952" s="5" t="s">
        <v>737</v>
      </c>
      <c r="DJ952" s="5" t="s">
        <v>240</v>
      </c>
      <c r="DK952" s="5" t="s">
        <v>240</v>
      </c>
      <c r="DL952" s="5" t="s">
        <v>240</v>
      </c>
      <c r="DP952" s="5" t="s">
        <v>240</v>
      </c>
      <c r="DQ952" s="5" t="s">
        <v>240</v>
      </c>
      <c r="DR952" s="5" t="s">
        <v>240</v>
      </c>
      <c r="DS952" s="5" t="s">
        <v>240</v>
      </c>
      <c r="DV952" s="5" t="s">
        <v>957</v>
      </c>
      <c r="DW952" s="5" t="s">
        <v>2051</v>
      </c>
      <c r="HO952" s="5" t="s">
        <v>312</v>
      </c>
    </row>
    <row r="953" spans="1:223" x14ac:dyDescent="0.4">
      <c r="A953" s="5">
        <v>2628</v>
      </c>
      <c r="B953" s="5">
        <v>1</v>
      </c>
      <c r="C953" s="5">
        <v>1</v>
      </c>
      <c r="D953" s="5" t="s">
        <v>297</v>
      </c>
      <c r="E953" s="5" t="s">
        <v>245</v>
      </c>
      <c r="F953" s="5" t="s">
        <v>254</v>
      </c>
      <c r="G953" s="5" t="s">
        <v>240</v>
      </c>
      <c r="H953" s="6" t="s">
        <v>407</v>
      </c>
      <c r="I953" s="5" t="s">
        <v>295</v>
      </c>
      <c r="J953" s="8">
        <f>5722</f>
        <v>5722</v>
      </c>
      <c r="K953" s="5" t="s">
        <v>308</v>
      </c>
      <c r="L953" s="7">
        <f>1</f>
        <v>1</v>
      </c>
      <c r="M953" s="7">
        <f>1</f>
        <v>1</v>
      </c>
      <c r="N953" s="5" t="s">
        <v>242</v>
      </c>
      <c r="O953" s="5">
        <v>1</v>
      </c>
      <c r="P953" s="5" t="s">
        <v>294</v>
      </c>
      <c r="Q953" s="5" t="s">
        <v>613</v>
      </c>
      <c r="R953" s="5" t="s">
        <v>240</v>
      </c>
      <c r="S953" s="5" t="s">
        <v>240</v>
      </c>
      <c r="T953" s="5" t="s">
        <v>243</v>
      </c>
      <c r="U953" s="5" t="s">
        <v>724</v>
      </c>
      <c r="V953" s="5" t="s">
        <v>240</v>
      </c>
      <c r="Y953" s="5" t="s">
        <v>240</v>
      </c>
      <c r="Z953" s="6" t="s">
        <v>298</v>
      </c>
      <c r="AB953" s="6" t="s">
        <v>240</v>
      </c>
      <c r="AE953" s="6" t="s">
        <v>299</v>
      </c>
      <c r="AF953" s="5" t="s">
        <v>248</v>
      </c>
      <c r="AG953" s="5" t="s">
        <v>249</v>
      </c>
      <c r="AW953" s="5" t="s">
        <v>251</v>
      </c>
      <c r="AX953" s="5" t="s">
        <v>240</v>
      </c>
      <c r="AY953" s="5" t="s">
        <v>253</v>
      </c>
      <c r="AZ953" s="5" t="s">
        <v>240</v>
      </c>
      <c r="BA953" s="5" t="s">
        <v>255</v>
      </c>
      <c r="BB953" s="5" t="s">
        <v>240</v>
      </c>
      <c r="BD953" s="5" t="s">
        <v>240</v>
      </c>
      <c r="BF953" s="5" t="s">
        <v>301</v>
      </c>
      <c r="BG953" s="6" t="s">
        <v>299</v>
      </c>
      <c r="BH953" s="5" t="s">
        <v>302</v>
      </c>
      <c r="BI953" s="5" t="s">
        <v>303</v>
      </c>
      <c r="BJ953" s="5" t="s">
        <v>240</v>
      </c>
      <c r="BK953" s="8">
        <f>0</f>
        <v>0</v>
      </c>
      <c r="BL953" s="7">
        <f>0</f>
        <v>0</v>
      </c>
      <c r="BM953" s="5" t="s">
        <v>258</v>
      </c>
      <c r="BN953" s="5" t="s">
        <v>259</v>
      </c>
      <c r="CB953" s="5" t="s">
        <v>240</v>
      </c>
      <c r="CC953" s="5" t="s">
        <v>240</v>
      </c>
      <c r="CG953" s="5" t="s">
        <v>617</v>
      </c>
      <c r="CH953" s="5" t="s">
        <v>305</v>
      </c>
      <c r="CI953" s="5" t="s">
        <v>240</v>
      </c>
      <c r="CL953" s="6" t="s">
        <v>261</v>
      </c>
      <c r="CM953" s="5" t="s">
        <v>240</v>
      </c>
      <c r="CN953" s="5" t="s">
        <v>263</v>
      </c>
      <c r="CO953" s="5" t="s">
        <v>240</v>
      </c>
      <c r="CP953" s="5" t="s">
        <v>240</v>
      </c>
      <c r="CQ953" s="5">
        <v>0</v>
      </c>
      <c r="CR953" s="5" t="s">
        <v>306</v>
      </c>
      <c r="CS953" s="5" t="s">
        <v>307</v>
      </c>
      <c r="CT953" s="5" t="s">
        <v>307</v>
      </c>
      <c r="CU953" s="5" t="s">
        <v>260</v>
      </c>
      <c r="CX953" s="7">
        <f>71170</f>
        <v>71170</v>
      </c>
      <c r="CY953" s="7">
        <f>0</f>
        <v>0</v>
      </c>
      <c r="DA953" s="7">
        <f>0</f>
        <v>0</v>
      </c>
      <c r="DC953" s="5" t="s">
        <v>854</v>
      </c>
      <c r="DD953" s="5" t="s">
        <v>240</v>
      </c>
      <c r="DF953" s="5" t="s">
        <v>450</v>
      </c>
      <c r="DG953" s="7">
        <f>0</f>
        <v>0</v>
      </c>
      <c r="DI953" s="5" t="s">
        <v>737</v>
      </c>
      <c r="DJ953" s="5" t="s">
        <v>240</v>
      </c>
      <c r="DK953" s="5" t="s">
        <v>240</v>
      </c>
      <c r="DL953" s="5" t="s">
        <v>240</v>
      </c>
      <c r="DP953" s="5" t="s">
        <v>240</v>
      </c>
      <c r="DQ953" s="5" t="s">
        <v>240</v>
      </c>
      <c r="DR953" s="5" t="s">
        <v>240</v>
      </c>
      <c r="DS953" s="5" t="s">
        <v>240</v>
      </c>
      <c r="DV953" s="5" t="s">
        <v>957</v>
      </c>
      <c r="DW953" s="5" t="s">
        <v>488</v>
      </c>
      <c r="HO953" s="5" t="s">
        <v>312</v>
      </c>
    </row>
    <row r="954" spans="1:223" x14ac:dyDescent="0.4">
      <c r="A954" s="5">
        <v>2629</v>
      </c>
      <c r="B954" s="5">
        <v>1</v>
      </c>
      <c r="C954" s="5">
        <v>1</v>
      </c>
      <c r="D954" s="5" t="s">
        <v>297</v>
      </c>
      <c r="E954" s="5" t="s">
        <v>245</v>
      </c>
      <c r="F954" s="5" t="s">
        <v>254</v>
      </c>
      <c r="G954" s="5" t="s">
        <v>240</v>
      </c>
      <c r="H954" s="6" t="s">
        <v>405</v>
      </c>
      <c r="I954" s="5" t="s">
        <v>295</v>
      </c>
      <c r="J954" s="8">
        <f>2218</f>
        <v>2218</v>
      </c>
      <c r="K954" s="5" t="s">
        <v>308</v>
      </c>
      <c r="L954" s="7">
        <f>1</f>
        <v>1</v>
      </c>
      <c r="M954" s="7">
        <f>1</f>
        <v>1</v>
      </c>
      <c r="N954" s="5" t="s">
        <v>242</v>
      </c>
      <c r="O954" s="5">
        <v>1</v>
      </c>
      <c r="P954" s="5" t="s">
        <v>294</v>
      </c>
      <c r="Q954" s="5" t="s">
        <v>613</v>
      </c>
      <c r="R954" s="5" t="s">
        <v>240</v>
      </c>
      <c r="S954" s="5" t="s">
        <v>240</v>
      </c>
      <c r="T954" s="5" t="s">
        <v>243</v>
      </c>
      <c r="U954" s="5" t="s">
        <v>724</v>
      </c>
      <c r="V954" s="5" t="s">
        <v>240</v>
      </c>
      <c r="Y954" s="5" t="s">
        <v>240</v>
      </c>
      <c r="Z954" s="6" t="s">
        <v>298</v>
      </c>
      <c r="AB954" s="6" t="s">
        <v>240</v>
      </c>
      <c r="AE954" s="6" t="s">
        <v>299</v>
      </c>
      <c r="AF954" s="5" t="s">
        <v>248</v>
      </c>
      <c r="AG954" s="5" t="s">
        <v>249</v>
      </c>
      <c r="AW954" s="5" t="s">
        <v>251</v>
      </c>
      <c r="AX954" s="5" t="s">
        <v>240</v>
      </c>
      <c r="AY954" s="5" t="s">
        <v>253</v>
      </c>
      <c r="AZ954" s="5" t="s">
        <v>240</v>
      </c>
      <c r="BA954" s="5" t="s">
        <v>255</v>
      </c>
      <c r="BB954" s="5" t="s">
        <v>240</v>
      </c>
      <c r="BD954" s="5" t="s">
        <v>240</v>
      </c>
      <c r="BF954" s="5" t="s">
        <v>301</v>
      </c>
      <c r="BG954" s="6" t="s">
        <v>299</v>
      </c>
      <c r="BH954" s="5" t="s">
        <v>302</v>
      </c>
      <c r="BI954" s="5" t="s">
        <v>303</v>
      </c>
      <c r="BJ954" s="5" t="s">
        <v>240</v>
      </c>
      <c r="BK954" s="8">
        <f>0</f>
        <v>0</v>
      </c>
      <c r="BL954" s="7">
        <f>0</f>
        <v>0</v>
      </c>
      <c r="BM954" s="5" t="s">
        <v>258</v>
      </c>
      <c r="BN954" s="5" t="s">
        <v>259</v>
      </c>
      <c r="CB954" s="5" t="s">
        <v>240</v>
      </c>
      <c r="CC954" s="5" t="s">
        <v>240</v>
      </c>
      <c r="CG954" s="5" t="s">
        <v>617</v>
      </c>
      <c r="CH954" s="5" t="s">
        <v>305</v>
      </c>
      <c r="CI954" s="5" t="s">
        <v>240</v>
      </c>
      <c r="CL954" s="6" t="s">
        <v>261</v>
      </c>
      <c r="CM954" s="5" t="s">
        <v>240</v>
      </c>
      <c r="CN954" s="5" t="s">
        <v>263</v>
      </c>
      <c r="CO954" s="5" t="s">
        <v>240</v>
      </c>
      <c r="CP954" s="5" t="s">
        <v>240</v>
      </c>
      <c r="CQ954" s="5">
        <v>0</v>
      </c>
      <c r="CR954" s="5" t="s">
        <v>306</v>
      </c>
      <c r="CS954" s="5" t="s">
        <v>307</v>
      </c>
      <c r="CT954" s="5" t="s">
        <v>307</v>
      </c>
      <c r="CU954" s="5" t="s">
        <v>260</v>
      </c>
      <c r="CX954" s="7">
        <f>35178</f>
        <v>35178</v>
      </c>
      <c r="CY954" s="7">
        <f>0</f>
        <v>0</v>
      </c>
      <c r="DA954" s="7">
        <f>0</f>
        <v>0</v>
      </c>
      <c r="DC954" s="5" t="s">
        <v>854</v>
      </c>
      <c r="DD954" s="5" t="s">
        <v>240</v>
      </c>
      <c r="DF954" s="5" t="s">
        <v>450</v>
      </c>
      <c r="DG954" s="7">
        <f>0</f>
        <v>0</v>
      </c>
      <c r="DI954" s="5" t="s">
        <v>737</v>
      </c>
      <c r="DJ954" s="5" t="s">
        <v>240</v>
      </c>
      <c r="DK954" s="5" t="s">
        <v>240</v>
      </c>
      <c r="DL954" s="5" t="s">
        <v>240</v>
      </c>
      <c r="DP954" s="5" t="s">
        <v>240</v>
      </c>
      <c r="DQ954" s="5" t="s">
        <v>240</v>
      </c>
      <c r="DR954" s="5" t="s">
        <v>240</v>
      </c>
      <c r="DS954" s="5" t="s">
        <v>240</v>
      </c>
      <c r="DV954" s="5" t="s">
        <v>957</v>
      </c>
      <c r="DW954" s="5" t="s">
        <v>490</v>
      </c>
      <c r="HO954" s="5" t="s">
        <v>312</v>
      </c>
    </row>
    <row r="955" spans="1:223" x14ac:dyDescent="0.4">
      <c r="A955" s="5">
        <v>2630</v>
      </c>
      <c r="B955" s="5">
        <v>1</v>
      </c>
      <c r="C955" s="5">
        <v>1</v>
      </c>
      <c r="D955" s="5" t="s">
        <v>297</v>
      </c>
      <c r="E955" s="5" t="s">
        <v>245</v>
      </c>
      <c r="F955" s="5" t="s">
        <v>254</v>
      </c>
      <c r="G955" s="5" t="s">
        <v>240</v>
      </c>
      <c r="H955" s="6" t="s">
        <v>403</v>
      </c>
      <c r="I955" s="5" t="s">
        <v>295</v>
      </c>
      <c r="J955" s="8">
        <f>706</f>
        <v>706</v>
      </c>
      <c r="K955" s="5" t="s">
        <v>308</v>
      </c>
      <c r="L955" s="7">
        <f>1</f>
        <v>1</v>
      </c>
      <c r="M955" s="7">
        <f>1</f>
        <v>1</v>
      </c>
      <c r="N955" s="5" t="s">
        <v>242</v>
      </c>
      <c r="O955" s="5">
        <v>1</v>
      </c>
      <c r="P955" s="5" t="s">
        <v>294</v>
      </c>
      <c r="Q955" s="5" t="s">
        <v>266</v>
      </c>
      <c r="R955" s="5" t="s">
        <v>240</v>
      </c>
      <c r="S955" s="5" t="s">
        <v>240</v>
      </c>
      <c r="T955" s="5" t="s">
        <v>296</v>
      </c>
      <c r="U955" s="5" t="s">
        <v>244</v>
      </c>
      <c r="V955" s="5" t="s">
        <v>240</v>
      </c>
      <c r="Y955" s="5" t="s">
        <v>240</v>
      </c>
      <c r="Z955" s="6" t="s">
        <v>298</v>
      </c>
      <c r="AB955" s="6" t="s">
        <v>240</v>
      </c>
      <c r="AE955" s="6" t="s">
        <v>299</v>
      </c>
      <c r="AF955" s="5" t="s">
        <v>248</v>
      </c>
      <c r="AG955" s="5" t="s">
        <v>249</v>
      </c>
      <c r="AW955" s="5" t="s">
        <v>251</v>
      </c>
      <c r="AX955" s="5" t="s">
        <v>240</v>
      </c>
      <c r="AY955" s="5" t="s">
        <v>253</v>
      </c>
      <c r="AZ955" s="5" t="s">
        <v>240</v>
      </c>
      <c r="BA955" s="5" t="s">
        <v>255</v>
      </c>
      <c r="BB955" s="5" t="s">
        <v>240</v>
      </c>
      <c r="BD955" s="5" t="s">
        <v>240</v>
      </c>
      <c r="BF955" s="5" t="s">
        <v>301</v>
      </c>
      <c r="BG955" s="6" t="s">
        <v>299</v>
      </c>
      <c r="BH955" s="5" t="s">
        <v>302</v>
      </c>
      <c r="BI955" s="5" t="s">
        <v>303</v>
      </c>
      <c r="BJ955" s="5" t="s">
        <v>240</v>
      </c>
      <c r="BK955" s="8">
        <f>0</f>
        <v>0</v>
      </c>
      <c r="BL955" s="7">
        <f>0</f>
        <v>0</v>
      </c>
      <c r="BM955" s="5" t="s">
        <v>258</v>
      </c>
      <c r="BN955" s="5" t="s">
        <v>259</v>
      </c>
      <c r="CB955" s="5" t="s">
        <v>240</v>
      </c>
      <c r="CC955" s="5" t="s">
        <v>240</v>
      </c>
      <c r="CG955" s="5" t="s">
        <v>304</v>
      </c>
      <c r="CH955" s="5" t="s">
        <v>305</v>
      </c>
      <c r="CI955" s="5" t="s">
        <v>240</v>
      </c>
      <c r="CL955" s="6" t="s">
        <v>261</v>
      </c>
      <c r="CM955" s="5" t="s">
        <v>240</v>
      </c>
      <c r="CN955" s="5" t="s">
        <v>263</v>
      </c>
      <c r="CO955" s="5" t="s">
        <v>240</v>
      </c>
      <c r="CP955" s="5" t="s">
        <v>240</v>
      </c>
      <c r="CQ955" s="5">
        <v>0</v>
      </c>
      <c r="CR955" s="5" t="s">
        <v>306</v>
      </c>
      <c r="CS955" s="5" t="s">
        <v>307</v>
      </c>
      <c r="CT955" s="5" t="s">
        <v>307</v>
      </c>
      <c r="CU955" s="5" t="s">
        <v>260</v>
      </c>
      <c r="CX955" s="7">
        <f>1</f>
        <v>1</v>
      </c>
      <c r="CY955" s="7">
        <f>0</f>
        <v>0</v>
      </c>
      <c r="DA955" s="7">
        <f>0</f>
        <v>0</v>
      </c>
      <c r="DC955" s="5" t="s">
        <v>309</v>
      </c>
      <c r="DD955" s="5" t="s">
        <v>240</v>
      </c>
      <c r="DF955" s="5" t="s">
        <v>309</v>
      </c>
      <c r="DG955" s="7">
        <f>697</f>
        <v>697</v>
      </c>
      <c r="DI955" s="5" t="s">
        <v>240</v>
      </c>
      <c r="DJ955" s="5" t="s">
        <v>240</v>
      </c>
      <c r="DK955" s="5" t="s">
        <v>240</v>
      </c>
      <c r="DL955" s="5" t="s">
        <v>240</v>
      </c>
      <c r="DP955" s="5" t="s">
        <v>240</v>
      </c>
      <c r="DQ955" s="5" t="s">
        <v>240</v>
      </c>
      <c r="DR955" s="5" t="s">
        <v>240</v>
      </c>
      <c r="DS955" s="5" t="s">
        <v>240</v>
      </c>
      <c r="DV955" s="5" t="s">
        <v>310</v>
      </c>
      <c r="DW955" s="5" t="s">
        <v>2055</v>
      </c>
      <c r="HO955" s="5" t="s">
        <v>312</v>
      </c>
    </row>
    <row r="956" spans="1:223" x14ac:dyDescent="0.4">
      <c r="A956" s="5">
        <v>2631</v>
      </c>
      <c r="B956" s="5">
        <v>1</v>
      </c>
      <c r="C956" s="5">
        <v>1</v>
      </c>
      <c r="D956" s="5" t="s">
        <v>297</v>
      </c>
      <c r="E956" s="5" t="s">
        <v>245</v>
      </c>
      <c r="F956" s="5" t="s">
        <v>254</v>
      </c>
      <c r="G956" s="5" t="s">
        <v>240</v>
      </c>
      <c r="H956" s="6" t="s">
        <v>401</v>
      </c>
      <c r="I956" s="5" t="s">
        <v>295</v>
      </c>
      <c r="J956" s="8">
        <f>169</f>
        <v>169</v>
      </c>
      <c r="K956" s="5" t="s">
        <v>308</v>
      </c>
      <c r="L956" s="7">
        <f>1</f>
        <v>1</v>
      </c>
      <c r="M956" s="7">
        <f>1</f>
        <v>1</v>
      </c>
      <c r="N956" s="5" t="s">
        <v>242</v>
      </c>
      <c r="O956" s="5">
        <v>1</v>
      </c>
      <c r="P956" s="5" t="s">
        <v>294</v>
      </c>
      <c r="Q956" s="5" t="s">
        <v>613</v>
      </c>
      <c r="R956" s="5" t="s">
        <v>240</v>
      </c>
      <c r="S956" s="5" t="s">
        <v>240</v>
      </c>
      <c r="T956" s="5" t="s">
        <v>243</v>
      </c>
      <c r="U956" s="5" t="s">
        <v>724</v>
      </c>
      <c r="V956" s="5" t="s">
        <v>240</v>
      </c>
      <c r="Y956" s="5" t="s">
        <v>240</v>
      </c>
      <c r="Z956" s="6" t="s">
        <v>298</v>
      </c>
      <c r="AB956" s="6" t="s">
        <v>240</v>
      </c>
      <c r="AE956" s="6" t="s">
        <v>299</v>
      </c>
      <c r="AF956" s="5" t="s">
        <v>248</v>
      </c>
      <c r="AG956" s="5" t="s">
        <v>249</v>
      </c>
      <c r="AW956" s="5" t="s">
        <v>251</v>
      </c>
      <c r="AX956" s="5" t="s">
        <v>240</v>
      </c>
      <c r="AY956" s="5" t="s">
        <v>253</v>
      </c>
      <c r="AZ956" s="5" t="s">
        <v>240</v>
      </c>
      <c r="BA956" s="5" t="s">
        <v>255</v>
      </c>
      <c r="BB956" s="5" t="s">
        <v>240</v>
      </c>
      <c r="BD956" s="5" t="s">
        <v>240</v>
      </c>
      <c r="BF956" s="5" t="s">
        <v>301</v>
      </c>
      <c r="BG956" s="6" t="s">
        <v>299</v>
      </c>
      <c r="BH956" s="5" t="s">
        <v>302</v>
      </c>
      <c r="BI956" s="5" t="s">
        <v>303</v>
      </c>
      <c r="BJ956" s="5" t="s">
        <v>240</v>
      </c>
      <c r="BK956" s="8">
        <f>0</f>
        <v>0</v>
      </c>
      <c r="BL956" s="7">
        <f>0</f>
        <v>0</v>
      </c>
      <c r="BM956" s="5" t="s">
        <v>258</v>
      </c>
      <c r="BN956" s="5" t="s">
        <v>259</v>
      </c>
      <c r="CB956" s="5" t="s">
        <v>240</v>
      </c>
      <c r="CC956" s="5" t="s">
        <v>240</v>
      </c>
      <c r="CG956" s="5" t="s">
        <v>617</v>
      </c>
      <c r="CH956" s="5" t="s">
        <v>305</v>
      </c>
      <c r="CI956" s="5" t="s">
        <v>240</v>
      </c>
      <c r="CL956" s="6" t="s">
        <v>261</v>
      </c>
      <c r="CM956" s="5" t="s">
        <v>240</v>
      </c>
      <c r="CN956" s="5" t="s">
        <v>263</v>
      </c>
      <c r="CO956" s="5" t="s">
        <v>240</v>
      </c>
      <c r="CP956" s="5" t="s">
        <v>240</v>
      </c>
      <c r="CQ956" s="5">
        <v>0</v>
      </c>
      <c r="CR956" s="5" t="s">
        <v>306</v>
      </c>
      <c r="CS956" s="5" t="s">
        <v>307</v>
      </c>
      <c r="CT956" s="5" t="s">
        <v>307</v>
      </c>
      <c r="CU956" s="5" t="s">
        <v>260</v>
      </c>
      <c r="CX956" s="7">
        <f>8096</f>
        <v>8096</v>
      </c>
      <c r="CY956" s="7">
        <f>0</f>
        <v>0</v>
      </c>
      <c r="DA956" s="7">
        <f>0</f>
        <v>0</v>
      </c>
      <c r="DC956" s="5" t="s">
        <v>854</v>
      </c>
      <c r="DD956" s="5" t="s">
        <v>240</v>
      </c>
      <c r="DF956" s="5" t="s">
        <v>450</v>
      </c>
      <c r="DG956" s="7">
        <f>0</f>
        <v>0</v>
      </c>
      <c r="DI956" s="5" t="s">
        <v>737</v>
      </c>
      <c r="DJ956" s="5" t="s">
        <v>240</v>
      </c>
      <c r="DK956" s="5" t="s">
        <v>240</v>
      </c>
      <c r="DL956" s="5" t="s">
        <v>240</v>
      </c>
      <c r="DP956" s="5" t="s">
        <v>240</v>
      </c>
      <c r="DQ956" s="5" t="s">
        <v>240</v>
      </c>
      <c r="DR956" s="5" t="s">
        <v>240</v>
      </c>
      <c r="DS956" s="5" t="s">
        <v>240</v>
      </c>
      <c r="DV956" s="5" t="s">
        <v>957</v>
      </c>
      <c r="DW956" s="5" t="s">
        <v>2057</v>
      </c>
      <c r="HO956" s="5" t="s">
        <v>312</v>
      </c>
    </row>
    <row r="957" spans="1:223" x14ac:dyDescent="0.4">
      <c r="A957" s="5">
        <v>2632</v>
      </c>
      <c r="B957" s="5">
        <v>1</v>
      </c>
      <c r="C957" s="5">
        <v>1</v>
      </c>
      <c r="D957" s="5" t="s">
        <v>297</v>
      </c>
      <c r="E957" s="5" t="s">
        <v>245</v>
      </c>
      <c r="F957" s="5" t="s">
        <v>254</v>
      </c>
      <c r="G957" s="5" t="s">
        <v>240</v>
      </c>
      <c r="H957" s="6" t="s">
        <v>399</v>
      </c>
      <c r="I957" s="5" t="s">
        <v>295</v>
      </c>
      <c r="J957" s="8">
        <f>532</f>
        <v>532</v>
      </c>
      <c r="K957" s="5" t="s">
        <v>308</v>
      </c>
      <c r="L957" s="7">
        <f>1</f>
        <v>1</v>
      </c>
      <c r="M957" s="7">
        <f>1</f>
        <v>1</v>
      </c>
      <c r="N957" s="5" t="s">
        <v>242</v>
      </c>
      <c r="O957" s="5">
        <v>1</v>
      </c>
      <c r="P957" s="5" t="s">
        <v>294</v>
      </c>
      <c r="Q957" s="5" t="s">
        <v>613</v>
      </c>
      <c r="R957" s="5" t="s">
        <v>240</v>
      </c>
      <c r="S957" s="5" t="s">
        <v>240</v>
      </c>
      <c r="T957" s="5" t="s">
        <v>243</v>
      </c>
      <c r="U957" s="5" t="s">
        <v>724</v>
      </c>
      <c r="V957" s="5" t="s">
        <v>240</v>
      </c>
      <c r="Y957" s="5" t="s">
        <v>240</v>
      </c>
      <c r="Z957" s="6" t="s">
        <v>298</v>
      </c>
      <c r="AB957" s="6" t="s">
        <v>240</v>
      </c>
      <c r="AE957" s="6" t="s">
        <v>299</v>
      </c>
      <c r="AF957" s="5" t="s">
        <v>248</v>
      </c>
      <c r="AG957" s="5" t="s">
        <v>249</v>
      </c>
      <c r="AW957" s="5" t="s">
        <v>251</v>
      </c>
      <c r="AX957" s="5" t="s">
        <v>240</v>
      </c>
      <c r="AY957" s="5" t="s">
        <v>253</v>
      </c>
      <c r="AZ957" s="5" t="s">
        <v>240</v>
      </c>
      <c r="BA957" s="5" t="s">
        <v>255</v>
      </c>
      <c r="BB957" s="5" t="s">
        <v>240</v>
      </c>
      <c r="BD957" s="5" t="s">
        <v>240</v>
      </c>
      <c r="BF957" s="5" t="s">
        <v>301</v>
      </c>
      <c r="BG957" s="6" t="s">
        <v>299</v>
      </c>
      <c r="BH957" s="5" t="s">
        <v>302</v>
      </c>
      <c r="BI957" s="5" t="s">
        <v>303</v>
      </c>
      <c r="BJ957" s="5" t="s">
        <v>240</v>
      </c>
      <c r="BK957" s="8">
        <f>0</f>
        <v>0</v>
      </c>
      <c r="BL957" s="7">
        <f>0</f>
        <v>0</v>
      </c>
      <c r="BM957" s="5" t="s">
        <v>258</v>
      </c>
      <c r="BN957" s="5" t="s">
        <v>259</v>
      </c>
      <c r="CB957" s="5" t="s">
        <v>240</v>
      </c>
      <c r="CC957" s="5" t="s">
        <v>240</v>
      </c>
      <c r="CG957" s="5" t="s">
        <v>617</v>
      </c>
      <c r="CH957" s="5" t="s">
        <v>305</v>
      </c>
      <c r="CI957" s="5" t="s">
        <v>240</v>
      </c>
      <c r="CL957" s="6" t="s">
        <v>261</v>
      </c>
      <c r="CM957" s="5" t="s">
        <v>240</v>
      </c>
      <c r="CN957" s="5" t="s">
        <v>263</v>
      </c>
      <c r="CO957" s="5" t="s">
        <v>240</v>
      </c>
      <c r="CP957" s="5" t="s">
        <v>240</v>
      </c>
      <c r="CQ957" s="5">
        <v>0</v>
      </c>
      <c r="CR957" s="5" t="s">
        <v>306</v>
      </c>
      <c r="CS957" s="5" t="s">
        <v>307</v>
      </c>
      <c r="CT957" s="5" t="s">
        <v>307</v>
      </c>
      <c r="CU957" s="5" t="s">
        <v>260</v>
      </c>
      <c r="CX957" s="7">
        <f>20185</f>
        <v>20185</v>
      </c>
      <c r="CY957" s="7">
        <f>0</f>
        <v>0</v>
      </c>
      <c r="DA957" s="7">
        <f>0</f>
        <v>0</v>
      </c>
      <c r="DC957" s="5" t="s">
        <v>854</v>
      </c>
      <c r="DD957" s="5" t="s">
        <v>240</v>
      </c>
      <c r="DF957" s="5" t="s">
        <v>450</v>
      </c>
      <c r="DG957" s="7">
        <f>0</f>
        <v>0</v>
      </c>
      <c r="DI957" s="5" t="s">
        <v>737</v>
      </c>
      <c r="DJ957" s="5" t="s">
        <v>240</v>
      </c>
      <c r="DK957" s="5" t="s">
        <v>240</v>
      </c>
      <c r="DL957" s="5" t="s">
        <v>240</v>
      </c>
      <c r="DP957" s="5" t="s">
        <v>240</v>
      </c>
      <c r="DQ957" s="5" t="s">
        <v>240</v>
      </c>
      <c r="DR957" s="5" t="s">
        <v>240</v>
      </c>
      <c r="DS957" s="5" t="s">
        <v>240</v>
      </c>
      <c r="DV957" s="5" t="s">
        <v>957</v>
      </c>
      <c r="DW957" s="5" t="s">
        <v>721</v>
      </c>
      <c r="HO957" s="5" t="s">
        <v>312</v>
      </c>
    </row>
    <row r="958" spans="1:223" x14ac:dyDescent="0.4">
      <c r="A958" s="5">
        <v>2633</v>
      </c>
      <c r="B958" s="5">
        <v>1</v>
      </c>
      <c r="C958" s="5">
        <v>1</v>
      </c>
      <c r="D958" s="5" t="s">
        <v>297</v>
      </c>
      <c r="E958" s="5" t="s">
        <v>245</v>
      </c>
      <c r="F958" s="5" t="s">
        <v>254</v>
      </c>
      <c r="G958" s="5" t="s">
        <v>240</v>
      </c>
      <c r="H958" s="6" t="s">
        <v>397</v>
      </c>
      <c r="I958" s="5" t="s">
        <v>295</v>
      </c>
      <c r="J958" s="8">
        <f>1747</f>
        <v>1747</v>
      </c>
      <c r="K958" s="5" t="s">
        <v>308</v>
      </c>
      <c r="L958" s="7">
        <f>1</f>
        <v>1</v>
      </c>
      <c r="M958" s="7">
        <f>1</f>
        <v>1</v>
      </c>
      <c r="N958" s="5" t="s">
        <v>242</v>
      </c>
      <c r="O958" s="5">
        <v>1</v>
      </c>
      <c r="P958" s="5" t="s">
        <v>294</v>
      </c>
      <c r="Q958" s="5" t="s">
        <v>613</v>
      </c>
      <c r="R958" s="5" t="s">
        <v>240</v>
      </c>
      <c r="S958" s="5" t="s">
        <v>240</v>
      </c>
      <c r="T958" s="5" t="s">
        <v>243</v>
      </c>
      <c r="U958" s="5" t="s">
        <v>724</v>
      </c>
      <c r="V958" s="5" t="s">
        <v>240</v>
      </c>
      <c r="Y958" s="5" t="s">
        <v>240</v>
      </c>
      <c r="Z958" s="6" t="s">
        <v>298</v>
      </c>
      <c r="AB958" s="6" t="s">
        <v>240</v>
      </c>
      <c r="AE958" s="6" t="s">
        <v>299</v>
      </c>
      <c r="AF958" s="5" t="s">
        <v>248</v>
      </c>
      <c r="AG958" s="5" t="s">
        <v>249</v>
      </c>
      <c r="AW958" s="5" t="s">
        <v>251</v>
      </c>
      <c r="AX958" s="5" t="s">
        <v>240</v>
      </c>
      <c r="AY958" s="5" t="s">
        <v>253</v>
      </c>
      <c r="AZ958" s="5" t="s">
        <v>240</v>
      </c>
      <c r="BA958" s="5" t="s">
        <v>255</v>
      </c>
      <c r="BB958" s="5" t="s">
        <v>240</v>
      </c>
      <c r="BD958" s="5" t="s">
        <v>240</v>
      </c>
      <c r="BF958" s="5" t="s">
        <v>301</v>
      </c>
      <c r="BG958" s="6" t="s">
        <v>299</v>
      </c>
      <c r="BH958" s="5" t="s">
        <v>302</v>
      </c>
      <c r="BI958" s="5" t="s">
        <v>303</v>
      </c>
      <c r="BJ958" s="5" t="s">
        <v>240</v>
      </c>
      <c r="BK958" s="8">
        <f>0</f>
        <v>0</v>
      </c>
      <c r="BL958" s="7">
        <f>0</f>
        <v>0</v>
      </c>
      <c r="BM958" s="5" t="s">
        <v>258</v>
      </c>
      <c r="BN958" s="5" t="s">
        <v>259</v>
      </c>
      <c r="CB958" s="5" t="s">
        <v>240</v>
      </c>
      <c r="CC958" s="5" t="s">
        <v>240</v>
      </c>
      <c r="CG958" s="5" t="s">
        <v>617</v>
      </c>
      <c r="CH958" s="5" t="s">
        <v>305</v>
      </c>
      <c r="CI958" s="5" t="s">
        <v>240</v>
      </c>
      <c r="CL958" s="6" t="s">
        <v>261</v>
      </c>
      <c r="CM958" s="5" t="s">
        <v>240</v>
      </c>
      <c r="CN958" s="5" t="s">
        <v>263</v>
      </c>
      <c r="CO958" s="5" t="s">
        <v>240</v>
      </c>
      <c r="CP958" s="5" t="s">
        <v>240</v>
      </c>
      <c r="CQ958" s="5">
        <v>0</v>
      </c>
      <c r="CR958" s="5" t="s">
        <v>306</v>
      </c>
      <c r="CS958" s="5" t="s">
        <v>307</v>
      </c>
      <c r="CT958" s="5" t="s">
        <v>307</v>
      </c>
      <c r="CU958" s="5" t="s">
        <v>260</v>
      </c>
      <c r="CX958" s="7">
        <f>9779</f>
        <v>9779</v>
      </c>
      <c r="CY958" s="7">
        <f>0</f>
        <v>0</v>
      </c>
      <c r="DA958" s="7">
        <f>0</f>
        <v>0</v>
      </c>
      <c r="DC958" s="5" t="s">
        <v>854</v>
      </c>
      <c r="DD958" s="5" t="s">
        <v>240</v>
      </c>
      <c r="DF958" s="5" t="s">
        <v>450</v>
      </c>
      <c r="DG958" s="7">
        <f>0</f>
        <v>0</v>
      </c>
      <c r="DI958" s="5" t="s">
        <v>737</v>
      </c>
      <c r="DJ958" s="5" t="s">
        <v>240</v>
      </c>
      <c r="DK958" s="5" t="s">
        <v>240</v>
      </c>
      <c r="DL958" s="5" t="s">
        <v>240</v>
      </c>
      <c r="DP958" s="5" t="s">
        <v>240</v>
      </c>
      <c r="DQ958" s="5" t="s">
        <v>240</v>
      </c>
      <c r="DR958" s="5" t="s">
        <v>240</v>
      </c>
      <c r="DS958" s="5" t="s">
        <v>240</v>
      </c>
      <c r="DV958" s="5" t="s">
        <v>957</v>
      </c>
      <c r="DW958" s="5" t="s">
        <v>1364</v>
      </c>
      <c r="HO958" s="5" t="s">
        <v>312</v>
      </c>
    </row>
    <row r="959" spans="1:223" x14ac:dyDescent="0.4">
      <c r="A959" s="5">
        <v>2634</v>
      </c>
      <c r="B959" s="5">
        <v>1</v>
      </c>
      <c r="C959" s="5">
        <v>1</v>
      </c>
      <c r="D959" s="5" t="s">
        <v>297</v>
      </c>
      <c r="E959" s="5" t="s">
        <v>245</v>
      </c>
      <c r="F959" s="5" t="s">
        <v>254</v>
      </c>
      <c r="G959" s="5" t="s">
        <v>240</v>
      </c>
      <c r="H959" s="6" t="s">
        <v>395</v>
      </c>
      <c r="I959" s="5" t="s">
        <v>295</v>
      </c>
      <c r="J959" s="8">
        <f>368</f>
        <v>368</v>
      </c>
      <c r="K959" s="5" t="s">
        <v>308</v>
      </c>
      <c r="L959" s="7">
        <f>1</f>
        <v>1</v>
      </c>
      <c r="M959" s="7">
        <f>1</f>
        <v>1</v>
      </c>
      <c r="N959" s="5" t="s">
        <v>242</v>
      </c>
      <c r="O959" s="5">
        <v>1</v>
      </c>
      <c r="P959" s="5" t="s">
        <v>294</v>
      </c>
      <c r="Q959" s="5" t="s">
        <v>266</v>
      </c>
      <c r="R959" s="5" t="s">
        <v>240</v>
      </c>
      <c r="S959" s="5" t="s">
        <v>240</v>
      </c>
      <c r="T959" s="5" t="s">
        <v>296</v>
      </c>
      <c r="U959" s="5" t="s">
        <v>244</v>
      </c>
      <c r="V959" s="5" t="s">
        <v>240</v>
      </c>
      <c r="Y959" s="5" t="s">
        <v>240</v>
      </c>
      <c r="Z959" s="6" t="s">
        <v>298</v>
      </c>
      <c r="AB959" s="6" t="s">
        <v>240</v>
      </c>
      <c r="AE959" s="6" t="s">
        <v>299</v>
      </c>
      <c r="AF959" s="5" t="s">
        <v>248</v>
      </c>
      <c r="AG959" s="5" t="s">
        <v>249</v>
      </c>
      <c r="AW959" s="5" t="s">
        <v>251</v>
      </c>
      <c r="AX959" s="5" t="s">
        <v>240</v>
      </c>
      <c r="AY959" s="5" t="s">
        <v>253</v>
      </c>
      <c r="AZ959" s="5" t="s">
        <v>240</v>
      </c>
      <c r="BA959" s="5" t="s">
        <v>255</v>
      </c>
      <c r="BB959" s="5" t="s">
        <v>240</v>
      </c>
      <c r="BD959" s="5" t="s">
        <v>240</v>
      </c>
      <c r="BF959" s="5" t="s">
        <v>301</v>
      </c>
      <c r="BG959" s="6" t="s">
        <v>299</v>
      </c>
      <c r="BH959" s="5" t="s">
        <v>302</v>
      </c>
      <c r="BI959" s="5" t="s">
        <v>303</v>
      </c>
      <c r="BJ959" s="5" t="s">
        <v>240</v>
      </c>
      <c r="BK959" s="8">
        <f>0</f>
        <v>0</v>
      </c>
      <c r="BL959" s="7">
        <f>0</f>
        <v>0</v>
      </c>
      <c r="BM959" s="5" t="s">
        <v>258</v>
      </c>
      <c r="BN959" s="5" t="s">
        <v>259</v>
      </c>
      <c r="CB959" s="5" t="s">
        <v>240</v>
      </c>
      <c r="CC959" s="5" t="s">
        <v>240</v>
      </c>
      <c r="CG959" s="5" t="s">
        <v>304</v>
      </c>
      <c r="CH959" s="5" t="s">
        <v>305</v>
      </c>
      <c r="CI959" s="5" t="s">
        <v>240</v>
      </c>
      <c r="CL959" s="6" t="s">
        <v>261</v>
      </c>
      <c r="CM959" s="5" t="s">
        <v>240</v>
      </c>
      <c r="CN959" s="5" t="s">
        <v>263</v>
      </c>
      <c r="CO959" s="5" t="s">
        <v>240</v>
      </c>
      <c r="CP959" s="5" t="s">
        <v>240</v>
      </c>
      <c r="CQ959" s="5">
        <v>0</v>
      </c>
      <c r="CR959" s="5" t="s">
        <v>306</v>
      </c>
      <c r="CS959" s="5" t="s">
        <v>307</v>
      </c>
      <c r="CT959" s="5" t="s">
        <v>307</v>
      </c>
      <c r="CU959" s="5" t="s">
        <v>260</v>
      </c>
      <c r="CX959" s="7">
        <f>1</f>
        <v>1</v>
      </c>
      <c r="CY959" s="7">
        <f>0</f>
        <v>0</v>
      </c>
      <c r="DA959" s="7">
        <f>0</f>
        <v>0</v>
      </c>
      <c r="DC959" s="5" t="s">
        <v>309</v>
      </c>
      <c r="DD959" s="5" t="s">
        <v>240</v>
      </c>
      <c r="DF959" s="5" t="s">
        <v>309</v>
      </c>
      <c r="DG959" s="7">
        <f>3189</f>
        <v>3189</v>
      </c>
      <c r="DI959" s="5" t="s">
        <v>240</v>
      </c>
      <c r="DJ959" s="5" t="s">
        <v>240</v>
      </c>
      <c r="DK959" s="5" t="s">
        <v>240</v>
      </c>
      <c r="DL959" s="5" t="s">
        <v>240</v>
      </c>
      <c r="DP959" s="5" t="s">
        <v>240</v>
      </c>
      <c r="DQ959" s="5" t="s">
        <v>240</v>
      </c>
      <c r="DR959" s="5" t="s">
        <v>240</v>
      </c>
      <c r="DS959" s="5" t="s">
        <v>240</v>
      </c>
      <c r="DV959" s="5" t="s">
        <v>310</v>
      </c>
      <c r="DW959" s="5" t="s">
        <v>2057</v>
      </c>
      <c r="HO959" s="5" t="s">
        <v>312</v>
      </c>
    </row>
    <row r="960" spans="1:223" x14ac:dyDescent="0.4">
      <c r="A960" s="5">
        <v>2635</v>
      </c>
      <c r="B960" s="5">
        <v>1</v>
      </c>
      <c r="C960" s="5">
        <v>1</v>
      </c>
      <c r="D960" s="5" t="s">
        <v>297</v>
      </c>
      <c r="E960" s="5" t="s">
        <v>245</v>
      </c>
      <c r="F960" s="5" t="s">
        <v>254</v>
      </c>
      <c r="G960" s="5" t="s">
        <v>240</v>
      </c>
      <c r="H960" s="6" t="s">
        <v>393</v>
      </c>
      <c r="I960" s="5" t="s">
        <v>295</v>
      </c>
      <c r="J960" s="8">
        <f>2993</f>
        <v>2993</v>
      </c>
      <c r="K960" s="5" t="s">
        <v>308</v>
      </c>
      <c r="L960" s="7">
        <f>1</f>
        <v>1</v>
      </c>
      <c r="M960" s="7">
        <f>1</f>
        <v>1</v>
      </c>
      <c r="N960" s="5" t="s">
        <v>242</v>
      </c>
      <c r="O960" s="5">
        <v>1</v>
      </c>
      <c r="P960" s="5" t="s">
        <v>294</v>
      </c>
      <c r="Q960" s="5" t="s">
        <v>266</v>
      </c>
      <c r="R960" s="5" t="s">
        <v>240</v>
      </c>
      <c r="S960" s="5" t="s">
        <v>240</v>
      </c>
      <c r="T960" s="5" t="s">
        <v>296</v>
      </c>
      <c r="U960" s="5" t="s">
        <v>244</v>
      </c>
      <c r="V960" s="5" t="s">
        <v>240</v>
      </c>
      <c r="Y960" s="5" t="s">
        <v>240</v>
      </c>
      <c r="Z960" s="6" t="s">
        <v>298</v>
      </c>
      <c r="AB960" s="6" t="s">
        <v>240</v>
      </c>
      <c r="AE960" s="6" t="s">
        <v>299</v>
      </c>
      <c r="AF960" s="5" t="s">
        <v>248</v>
      </c>
      <c r="AG960" s="5" t="s">
        <v>249</v>
      </c>
      <c r="AW960" s="5" t="s">
        <v>251</v>
      </c>
      <c r="AX960" s="5" t="s">
        <v>240</v>
      </c>
      <c r="AY960" s="5" t="s">
        <v>253</v>
      </c>
      <c r="AZ960" s="5" t="s">
        <v>240</v>
      </c>
      <c r="BA960" s="5" t="s">
        <v>255</v>
      </c>
      <c r="BB960" s="5" t="s">
        <v>240</v>
      </c>
      <c r="BD960" s="5" t="s">
        <v>240</v>
      </c>
      <c r="BF960" s="5" t="s">
        <v>301</v>
      </c>
      <c r="BG960" s="6" t="s">
        <v>299</v>
      </c>
      <c r="BH960" s="5" t="s">
        <v>302</v>
      </c>
      <c r="BI960" s="5" t="s">
        <v>303</v>
      </c>
      <c r="BJ960" s="5" t="s">
        <v>240</v>
      </c>
      <c r="BK960" s="8">
        <f>0</f>
        <v>0</v>
      </c>
      <c r="BL960" s="7">
        <f>0</f>
        <v>0</v>
      </c>
      <c r="BM960" s="5" t="s">
        <v>258</v>
      </c>
      <c r="BN960" s="5" t="s">
        <v>259</v>
      </c>
      <c r="CB960" s="5" t="s">
        <v>240</v>
      </c>
      <c r="CC960" s="5" t="s">
        <v>240</v>
      </c>
      <c r="CG960" s="5" t="s">
        <v>304</v>
      </c>
      <c r="CH960" s="5" t="s">
        <v>305</v>
      </c>
      <c r="CI960" s="5" t="s">
        <v>240</v>
      </c>
      <c r="CL960" s="6" t="s">
        <v>261</v>
      </c>
      <c r="CM960" s="5" t="s">
        <v>240</v>
      </c>
      <c r="CN960" s="5" t="s">
        <v>263</v>
      </c>
      <c r="CO960" s="5" t="s">
        <v>240</v>
      </c>
      <c r="CP960" s="5" t="s">
        <v>240</v>
      </c>
      <c r="CQ960" s="5">
        <v>0</v>
      </c>
      <c r="CR960" s="5" t="s">
        <v>306</v>
      </c>
      <c r="CS960" s="5" t="s">
        <v>307</v>
      </c>
      <c r="CT960" s="5" t="s">
        <v>307</v>
      </c>
      <c r="CU960" s="5" t="s">
        <v>260</v>
      </c>
      <c r="CX960" s="7">
        <f>1</f>
        <v>1</v>
      </c>
      <c r="CY960" s="7">
        <f>0</f>
        <v>0</v>
      </c>
      <c r="DA960" s="7">
        <f>0</f>
        <v>0</v>
      </c>
      <c r="DC960" s="5" t="s">
        <v>309</v>
      </c>
      <c r="DD960" s="5" t="s">
        <v>240</v>
      </c>
      <c r="DF960" s="5" t="s">
        <v>309</v>
      </c>
      <c r="DG960" s="7">
        <f>260</f>
        <v>260</v>
      </c>
      <c r="DI960" s="5" t="s">
        <v>240</v>
      </c>
      <c r="DJ960" s="5" t="s">
        <v>240</v>
      </c>
      <c r="DK960" s="5" t="s">
        <v>240</v>
      </c>
      <c r="DL960" s="5" t="s">
        <v>240</v>
      </c>
      <c r="DP960" s="5" t="s">
        <v>240</v>
      </c>
      <c r="DQ960" s="5" t="s">
        <v>240</v>
      </c>
      <c r="DR960" s="5" t="s">
        <v>240</v>
      </c>
      <c r="DS960" s="5" t="s">
        <v>240</v>
      </c>
      <c r="DV960" s="5" t="s">
        <v>310</v>
      </c>
      <c r="DW960" s="5" t="s">
        <v>1126</v>
      </c>
      <c r="HO960" s="5" t="s">
        <v>312</v>
      </c>
    </row>
    <row r="961" spans="1:223" x14ac:dyDescent="0.4">
      <c r="A961" s="5">
        <v>2636</v>
      </c>
      <c r="B961" s="5">
        <v>1</v>
      </c>
      <c r="C961" s="5">
        <v>1</v>
      </c>
      <c r="D961" s="5" t="s">
        <v>297</v>
      </c>
      <c r="E961" s="5" t="s">
        <v>245</v>
      </c>
      <c r="F961" s="5" t="s">
        <v>254</v>
      </c>
      <c r="G961" s="5" t="s">
        <v>240</v>
      </c>
      <c r="H961" s="6" t="s">
        <v>391</v>
      </c>
      <c r="I961" s="5" t="s">
        <v>295</v>
      </c>
      <c r="J961" s="8">
        <f>2380</f>
        <v>2380</v>
      </c>
      <c r="K961" s="5" t="s">
        <v>308</v>
      </c>
      <c r="L961" s="7">
        <f>1</f>
        <v>1</v>
      </c>
      <c r="M961" s="7">
        <f>1</f>
        <v>1</v>
      </c>
      <c r="N961" s="5" t="s">
        <v>242</v>
      </c>
      <c r="O961" s="5">
        <v>1</v>
      </c>
      <c r="P961" s="5" t="s">
        <v>294</v>
      </c>
      <c r="Q961" s="5" t="s">
        <v>266</v>
      </c>
      <c r="R961" s="5" t="s">
        <v>240</v>
      </c>
      <c r="S961" s="5" t="s">
        <v>240</v>
      </c>
      <c r="T961" s="5" t="s">
        <v>296</v>
      </c>
      <c r="U961" s="5" t="s">
        <v>244</v>
      </c>
      <c r="V961" s="5" t="s">
        <v>240</v>
      </c>
      <c r="Y961" s="5" t="s">
        <v>240</v>
      </c>
      <c r="Z961" s="6" t="s">
        <v>298</v>
      </c>
      <c r="AB961" s="6" t="s">
        <v>240</v>
      </c>
      <c r="AE961" s="6" t="s">
        <v>299</v>
      </c>
      <c r="AF961" s="5" t="s">
        <v>248</v>
      </c>
      <c r="AG961" s="5" t="s">
        <v>249</v>
      </c>
      <c r="AW961" s="5" t="s">
        <v>251</v>
      </c>
      <c r="AX961" s="5" t="s">
        <v>240</v>
      </c>
      <c r="AY961" s="5" t="s">
        <v>253</v>
      </c>
      <c r="AZ961" s="5" t="s">
        <v>240</v>
      </c>
      <c r="BA961" s="5" t="s">
        <v>255</v>
      </c>
      <c r="BB961" s="5" t="s">
        <v>240</v>
      </c>
      <c r="BD961" s="5" t="s">
        <v>240</v>
      </c>
      <c r="BF961" s="5" t="s">
        <v>301</v>
      </c>
      <c r="BG961" s="6" t="s">
        <v>299</v>
      </c>
      <c r="BH961" s="5" t="s">
        <v>302</v>
      </c>
      <c r="BI961" s="5" t="s">
        <v>303</v>
      </c>
      <c r="BJ961" s="5" t="s">
        <v>240</v>
      </c>
      <c r="BK961" s="8">
        <f>0</f>
        <v>0</v>
      </c>
      <c r="BL961" s="7">
        <f>0</f>
        <v>0</v>
      </c>
      <c r="BM961" s="5" t="s">
        <v>258</v>
      </c>
      <c r="BN961" s="5" t="s">
        <v>259</v>
      </c>
      <c r="CB961" s="5" t="s">
        <v>240</v>
      </c>
      <c r="CC961" s="5" t="s">
        <v>240</v>
      </c>
      <c r="CG961" s="5" t="s">
        <v>304</v>
      </c>
      <c r="CH961" s="5" t="s">
        <v>305</v>
      </c>
      <c r="CI961" s="5" t="s">
        <v>240</v>
      </c>
      <c r="CL961" s="6" t="s">
        <v>261</v>
      </c>
      <c r="CM961" s="5" t="s">
        <v>240</v>
      </c>
      <c r="CN961" s="5" t="s">
        <v>263</v>
      </c>
      <c r="CO961" s="5" t="s">
        <v>240</v>
      </c>
      <c r="CP961" s="5" t="s">
        <v>240</v>
      </c>
      <c r="CQ961" s="5">
        <v>0</v>
      </c>
      <c r="CR961" s="5" t="s">
        <v>306</v>
      </c>
      <c r="CS961" s="5" t="s">
        <v>307</v>
      </c>
      <c r="CT961" s="5" t="s">
        <v>307</v>
      </c>
      <c r="CU961" s="5" t="s">
        <v>260</v>
      </c>
      <c r="CX961" s="7">
        <f>1</f>
        <v>1</v>
      </c>
      <c r="CY961" s="7">
        <f>0</f>
        <v>0</v>
      </c>
      <c r="DA961" s="7">
        <f>0</f>
        <v>0</v>
      </c>
      <c r="DC961" s="5" t="s">
        <v>309</v>
      </c>
      <c r="DD961" s="5" t="s">
        <v>240</v>
      </c>
      <c r="DF961" s="5" t="s">
        <v>309</v>
      </c>
      <c r="DG961" s="7">
        <f>1033</f>
        <v>1033</v>
      </c>
      <c r="DI961" s="5" t="s">
        <v>240</v>
      </c>
      <c r="DJ961" s="5" t="s">
        <v>240</v>
      </c>
      <c r="DK961" s="5" t="s">
        <v>240</v>
      </c>
      <c r="DL961" s="5" t="s">
        <v>240</v>
      </c>
      <c r="DP961" s="5" t="s">
        <v>240</v>
      </c>
      <c r="DQ961" s="5" t="s">
        <v>240</v>
      </c>
      <c r="DR961" s="5" t="s">
        <v>240</v>
      </c>
      <c r="DS961" s="5" t="s">
        <v>240</v>
      </c>
      <c r="DV961" s="5" t="s">
        <v>310</v>
      </c>
      <c r="DW961" s="5" t="s">
        <v>1124</v>
      </c>
      <c r="HO961" s="5" t="s">
        <v>312</v>
      </c>
    </row>
    <row r="962" spans="1:223" x14ac:dyDescent="0.4">
      <c r="A962" s="5">
        <v>2637</v>
      </c>
      <c r="B962" s="5">
        <v>1</v>
      </c>
      <c r="C962" s="5">
        <v>1</v>
      </c>
      <c r="D962" s="5" t="s">
        <v>297</v>
      </c>
      <c r="E962" s="5" t="s">
        <v>245</v>
      </c>
      <c r="F962" s="5" t="s">
        <v>254</v>
      </c>
      <c r="G962" s="5" t="s">
        <v>240</v>
      </c>
      <c r="H962" s="6" t="s">
        <v>389</v>
      </c>
      <c r="I962" s="5" t="s">
        <v>295</v>
      </c>
      <c r="J962" s="8">
        <f>8734</f>
        <v>8734</v>
      </c>
      <c r="K962" s="5" t="s">
        <v>308</v>
      </c>
      <c r="L962" s="7">
        <f>1</f>
        <v>1</v>
      </c>
      <c r="M962" s="7">
        <f>1</f>
        <v>1</v>
      </c>
      <c r="N962" s="5" t="s">
        <v>242</v>
      </c>
      <c r="O962" s="5">
        <v>1</v>
      </c>
      <c r="P962" s="5" t="s">
        <v>294</v>
      </c>
      <c r="Q962" s="5" t="s">
        <v>266</v>
      </c>
      <c r="R962" s="5" t="s">
        <v>240</v>
      </c>
      <c r="S962" s="5" t="s">
        <v>240</v>
      </c>
      <c r="T962" s="5" t="s">
        <v>296</v>
      </c>
      <c r="U962" s="5" t="s">
        <v>244</v>
      </c>
      <c r="V962" s="5" t="s">
        <v>240</v>
      </c>
      <c r="Y962" s="5" t="s">
        <v>240</v>
      </c>
      <c r="Z962" s="6" t="s">
        <v>298</v>
      </c>
      <c r="AB962" s="6" t="s">
        <v>240</v>
      </c>
      <c r="AE962" s="6" t="s">
        <v>299</v>
      </c>
      <c r="AF962" s="5" t="s">
        <v>248</v>
      </c>
      <c r="AG962" s="5" t="s">
        <v>249</v>
      </c>
      <c r="AW962" s="5" t="s">
        <v>251</v>
      </c>
      <c r="AX962" s="5" t="s">
        <v>240</v>
      </c>
      <c r="AY962" s="5" t="s">
        <v>253</v>
      </c>
      <c r="AZ962" s="5" t="s">
        <v>240</v>
      </c>
      <c r="BA962" s="5" t="s">
        <v>255</v>
      </c>
      <c r="BB962" s="5" t="s">
        <v>240</v>
      </c>
      <c r="BD962" s="5" t="s">
        <v>240</v>
      </c>
      <c r="BF962" s="5" t="s">
        <v>301</v>
      </c>
      <c r="BG962" s="6" t="s">
        <v>299</v>
      </c>
      <c r="BH962" s="5" t="s">
        <v>302</v>
      </c>
      <c r="BI962" s="5" t="s">
        <v>303</v>
      </c>
      <c r="BJ962" s="5" t="s">
        <v>240</v>
      </c>
      <c r="BK962" s="8">
        <f>0</f>
        <v>0</v>
      </c>
      <c r="BL962" s="7">
        <f>0</f>
        <v>0</v>
      </c>
      <c r="BM962" s="5" t="s">
        <v>258</v>
      </c>
      <c r="BN962" s="5" t="s">
        <v>259</v>
      </c>
      <c r="CB962" s="5" t="s">
        <v>240</v>
      </c>
      <c r="CC962" s="5" t="s">
        <v>240</v>
      </c>
      <c r="CG962" s="5" t="s">
        <v>304</v>
      </c>
      <c r="CH962" s="5" t="s">
        <v>305</v>
      </c>
      <c r="CI962" s="5" t="s">
        <v>240</v>
      </c>
      <c r="CL962" s="6" t="s">
        <v>261</v>
      </c>
      <c r="CM962" s="5" t="s">
        <v>240</v>
      </c>
      <c r="CN962" s="5" t="s">
        <v>263</v>
      </c>
      <c r="CO962" s="5" t="s">
        <v>240</v>
      </c>
      <c r="CP962" s="5" t="s">
        <v>240</v>
      </c>
      <c r="CQ962" s="5">
        <v>0</v>
      </c>
      <c r="CR962" s="5" t="s">
        <v>306</v>
      </c>
      <c r="CS962" s="5" t="s">
        <v>307</v>
      </c>
      <c r="CT962" s="5" t="s">
        <v>307</v>
      </c>
      <c r="CU962" s="5" t="s">
        <v>260</v>
      </c>
      <c r="CX962" s="7">
        <f>1</f>
        <v>1</v>
      </c>
      <c r="CY962" s="7">
        <f>0</f>
        <v>0</v>
      </c>
      <c r="DA962" s="7">
        <f>0</f>
        <v>0</v>
      </c>
      <c r="DC962" s="5" t="s">
        <v>309</v>
      </c>
      <c r="DD962" s="5" t="s">
        <v>240</v>
      </c>
      <c r="DF962" s="5" t="s">
        <v>309</v>
      </c>
      <c r="DG962" s="7">
        <f>661</f>
        <v>661</v>
      </c>
      <c r="DI962" s="5" t="s">
        <v>240</v>
      </c>
      <c r="DJ962" s="5" t="s">
        <v>240</v>
      </c>
      <c r="DK962" s="5" t="s">
        <v>240</v>
      </c>
      <c r="DL962" s="5" t="s">
        <v>240</v>
      </c>
      <c r="DP962" s="5" t="s">
        <v>240</v>
      </c>
      <c r="DQ962" s="5" t="s">
        <v>240</v>
      </c>
      <c r="DR962" s="5" t="s">
        <v>240</v>
      </c>
      <c r="DS962" s="5" t="s">
        <v>240</v>
      </c>
      <c r="DV962" s="5" t="s">
        <v>310</v>
      </c>
      <c r="DW962" s="5" t="s">
        <v>1122</v>
      </c>
      <c r="HO962" s="5" t="s">
        <v>312</v>
      </c>
    </row>
    <row r="963" spans="1:223" x14ac:dyDescent="0.4">
      <c r="A963" s="5">
        <v>2638</v>
      </c>
      <c r="B963" s="5">
        <v>1</v>
      </c>
      <c r="C963" s="5">
        <v>1</v>
      </c>
      <c r="D963" s="5" t="s">
        <v>297</v>
      </c>
      <c r="E963" s="5" t="s">
        <v>245</v>
      </c>
      <c r="F963" s="5" t="s">
        <v>254</v>
      </c>
      <c r="G963" s="5" t="s">
        <v>240</v>
      </c>
      <c r="H963" s="6" t="s">
        <v>387</v>
      </c>
      <c r="I963" s="5" t="s">
        <v>295</v>
      </c>
      <c r="J963" s="8">
        <f>816</f>
        <v>816</v>
      </c>
      <c r="K963" s="5" t="s">
        <v>308</v>
      </c>
      <c r="L963" s="7">
        <f>1</f>
        <v>1</v>
      </c>
      <c r="M963" s="7">
        <f>1</f>
        <v>1</v>
      </c>
      <c r="N963" s="5" t="s">
        <v>242</v>
      </c>
      <c r="O963" s="5">
        <v>1</v>
      </c>
      <c r="P963" s="5" t="s">
        <v>294</v>
      </c>
      <c r="Q963" s="5" t="s">
        <v>266</v>
      </c>
      <c r="R963" s="5" t="s">
        <v>240</v>
      </c>
      <c r="S963" s="5" t="s">
        <v>240</v>
      </c>
      <c r="T963" s="5" t="s">
        <v>296</v>
      </c>
      <c r="U963" s="5" t="s">
        <v>244</v>
      </c>
      <c r="V963" s="5" t="s">
        <v>240</v>
      </c>
      <c r="Y963" s="5" t="s">
        <v>240</v>
      </c>
      <c r="Z963" s="6" t="s">
        <v>298</v>
      </c>
      <c r="AB963" s="6" t="s">
        <v>240</v>
      </c>
      <c r="AE963" s="6" t="s">
        <v>299</v>
      </c>
      <c r="AF963" s="5" t="s">
        <v>248</v>
      </c>
      <c r="AG963" s="5" t="s">
        <v>249</v>
      </c>
      <c r="AW963" s="5" t="s">
        <v>251</v>
      </c>
      <c r="AX963" s="5" t="s">
        <v>240</v>
      </c>
      <c r="AY963" s="5" t="s">
        <v>253</v>
      </c>
      <c r="AZ963" s="5" t="s">
        <v>240</v>
      </c>
      <c r="BA963" s="5" t="s">
        <v>255</v>
      </c>
      <c r="BB963" s="5" t="s">
        <v>240</v>
      </c>
      <c r="BD963" s="5" t="s">
        <v>240</v>
      </c>
      <c r="BF963" s="5" t="s">
        <v>301</v>
      </c>
      <c r="BG963" s="6" t="s">
        <v>299</v>
      </c>
      <c r="BH963" s="5" t="s">
        <v>302</v>
      </c>
      <c r="BI963" s="5" t="s">
        <v>303</v>
      </c>
      <c r="BJ963" s="5" t="s">
        <v>240</v>
      </c>
      <c r="BK963" s="8">
        <f>0</f>
        <v>0</v>
      </c>
      <c r="BL963" s="7">
        <f>0</f>
        <v>0</v>
      </c>
      <c r="BM963" s="5" t="s">
        <v>258</v>
      </c>
      <c r="BN963" s="5" t="s">
        <v>259</v>
      </c>
      <c r="CB963" s="5" t="s">
        <v>240</v>
      </c>
      <c r="CC963" s="5" t="s">
        <v>240</v>
      </c>
      <c r="CG963" s="5" t="s">
        <v>304</v>
      </c>
      <c r="CH963" s="5" t="s">
        <v>305</v>
      </c>
      <c r="CI963" s="5" t="s">
        <v>240</v>
      </c>
      <c r="CL963" s="6" t="s">
        <v>261</v>
      </c>
      <c r="CM963" s="5" t="s">
        <v>240</v>
      </c>
      <c r="CN963" s="5" t="s">
        <v>263</v>
      </c>
      <c r="CO963" s="5" t="s">
        <v>240</v>
      </c>
      <c r="CP963" s="5" t="s">
        <v>240</v>
      </c>
      <c r="CQ963" s="5">
        <v>0</v>
      </c>
      <c r="CR963" s="5" t="s">
        <v>306</v>
      </c>
      <c r="CS963" s="5" t="s">
        <v>307</v>
      </c>
      <c r="CT963" s="5" t="s">
        <v>307</v>
      </c>
      <c r="CU963" s="5" t="s">
        <v>260</v>
      </c>
      <c r="CX963" s="7">
        <f>1</f>
        <v>1</v>
      </c>
      <c r="CY963" s="7">
        <f>0</f>
        <v>0</v>
      </c>
      <c r="DA963" s="7">
        <f>0</f>
        <v>0</v>
      </c>
      <c r="DC963" s="5" t="s">
        <v>309</v>
      </c>
      <c r="DD963" s="5" t="s">
        <v>240</v>
      </c>
      <c r="DF963" s="5" t="s">
        <v>309</v>
      </c>
      <c r="DG963" s="7">
        <f>2081</f>
        <v>2081</v>
      </c>
      <c r="DI963" s="5" t="s">
        <v>240</v>
      </c>
      <c r="DJ963" s="5" t="s">
        <v>240</v>
      </c>
      <c r="DK963" s="5" t="s">
        <v>240</v>
      </c>
      <c r="DL963" s="5" t="s">
        <v>240</v>
      </c>
      <c r="DP963" s="5" t="s">
        <v>240</v>
      </c>
      <c r="DQ963" s="5" t="s">
        <v>240</v>
      </c>
      <c r="DR963" s="5" t="s">
        <v>240</v>
      </c>
      <c r="DS963" s="5" t="s">
        <v>240</v>
      </c>
      <c r="DV963" s="5" t="s">
        <v>310</v>
      </c>
      <c r="DW963" s="5" t="s">
        <v>1210</v>
      </c>
      <c r="HO963" s="5" t="s">
        <v>312</v>
      </c>
    </row>
    <row r="964" spans="1:223" x14ac:dyDescent="0.4">
      <c r="A964" s="5">
        <v>2639</v>
      </c>
      <c r="B964" s="5">
        <v>1</v>
      </c>
      <c r="C964" s="5">
        <v>1</v>
      </c>
      <c r="D964" s="5" t="s">
        <v>297</v>
      </c>
      <c r="E964" s="5" t="s">
        <v>245</v>
      </c>
      <c r="F964" s="5" t="s">
        <v>254</v>
      </c>
      <c r="G964" s="5" t="s">
        <v>240</v>
      </c>
      <c r="H964" s="6" t="s">
        <v>385</v>
      </c>
      <c r="I964" s="5" t="s">
        <v>295</v>
      </c>
      <c r="J964" s="8">
        <f>2031</f>
        <v>2031</v>
      </c>
      <c r="K964" s="5" t="s">
        <v>308</v>
      </c>
      <c r="L964" s="7">
        <f>1</f>
        <v>1</v>
      </c>
      <c r="M964" s="7">
        <f>1</f>
        <v>1</v>
      </c>
      <c r="N964" s="5" t="s">
        <v>242</v>
      </c>
      <c r="O964" s="5">
        <v>1</v>
      </c>
      <c r="P964" s="5" t="s">
        <v>294</v>
      </c>
      <c r="Q964" s="5" t="s">
        <v>266</v>
      </c>
      <c r="R964" s="5" t="s">
        <v>240</v>
      </c>
      <c r="S964" s="5" t="s">
        <v>240</v>
      </c>
      <c r="T964" s="5" t="s">
        <v>296</v>
      </c>
      <c r="U964" s="5" t="s">
        <v>244</v>
      </c>
      <c r="V964" s="5" t="s">
        <v>240</v>
      </c>
      <c r="Y964" s="5" t="s">
        <v>240</v>
      </c>
      <c r="Z964" s="6" t="s">
        <v>298</v>
      </c>
      <c r="AB964" s="6" t="s">
        <v>240</v>
      </c>
      <c r="AE964" s="6" t="s">
        <v>299</v>
      </c>
      <c r="AF964" s="5" t="s">
        <v>248</v>
      </c>
      <c r="AG964" s="5" t="s">
        <v>249</v>
      </c>
      <c r="AW964" s="5" t="s">
        <v>251</v>
      </c>
      <c r="AX964" s="5" t="s">
        <v>240</v>
      </c>
      <c r="AY964" s="5" t="s">
        <v>253</v>
      </c>
      <c r="AZ964" s="5" t="s">
        <v>240</v>
      </c>
      <c r="BA964" s="5" t="s">
        <v>255</v>
      </c>
      <c r="BB964" s="5" t="s">
        <v>240</v>
      </c>
      <c r="BD964" s="5" t="s">
        <v>240</v>
      </c>
      <c r="BF964" s="5" t="s">
        <v>301</v>
      </c>
      <c r="BG964" s="6" t="s">
        <v>299</v>
      </c>
      <c r="BH964" s="5" t="s">
        <v>302</v>
      </c>
      <c r="BI964" s="5" t="s">
        <v>303</v>
      </c>
      <c r="BJ964" s="5" t="s">
        <v>240</v>
      </c>
      <c r="BK964" s="8">
        <f>0</f>
        <v>0</v>
      </c>
      <c r="BL964" s="7">
        <f>0</f>
        <v>0</v>
      </c>
      <c r="BM964" s="5" t="s">
        <v>258</v>
      </c>
      <c r="BN964" s="5" t="s">
        <v>259</v>
      </c>
      <c r="CB964" s="5" t="s">
        <v>240</v>
      </c>
      <c r="CC964" s="5" t="s">
        <v>240</v>
      </c>
      <c r="CG964" s="5" t="s">
        <v>304</v>
      </c>
      <c r="CH964" s="5" t="s">
        <v>305</v>
      </c>
      <c r="CI964" s="5" t="s">
        <v>240</v>
      </c>
      <c r="CL964" s="6" t="s">
        <v>261</v>
      </c>
      <c r="CM964" s="5" t="s">
        <v>240</v>
      </c>
      <c r="CN964" s="5" t="s">
        <v>263</v>
      </c>
      <c r="CO964" s="5" t="s">
        <v>240</v>
      </c>
      <c r="CP964" s="5" t="s">
        <v>240</v>
      </c>
      <c r="CQ964" s="5">
        <v>0</v>
      </c>
      <c r="CR964" s="5" t="s">
        <v>306</v>
      </c>
      <c r="CS964" s="5" t="s">
        <v>307</v>
      </c>
      <c r="CT964" s="5" t="s">
        <v>307</v>
      </c>
      <c r="CU964" s="5" t="s">
        <v>260</v>
      </c>
      <c r="CX964" s="7">
        <f>1</f>
        <v>1</v>
      </c>
      <c r="CY964" s="7">
        <f>0</f>
        <v>0</v>
      </c>
      <c r="DA964" s="7">
        <f>0</f>
        <v>0</v>
      </c>
      <c r="DC964" s="5" t="s">
        <v>309</v>
      </c>
      <c r="DD964" s="5" t="s">
        <v>240</v>
      </c>
      <c r="DF964" s="5" t="s">
        <v>309</v>
      </c>
      <c r="DG964" s="7">
        <f>16035</f>
        <v>16035</v>
      </c>
      <c r="DI964" s="5" t="s">
        <v>240</v>
      </c>
      <c r="DJ964" s="5" t="s">
        <v>240</v>
      </c>
      <c r="DK964" s="5" t="s">
        <v>240</v>
      </c>
      <c r="DL964" s="5" t="s">
        <v>240</v>
      </c>
      <c r="DP964" s="5" t="s">
        <v>240</v>
      </c>
      <c r="DQ964" s="5" t="s">
        <v>240</v>
      </c>
      <c r="DR964" s="5" t="s">
        <v>240</v>
      </c>
      <c r="DS964" s="5" t="s">
        <v>240</v>
      </c>
      <c r="DV964" s="5" t="s">
        <v>310</v>
      </c>
      <c r="DW964" s="5" t="s">
        <v>1212</v>
      </c>
      <c r="HO964" s="5" t="s">
        <v>312</v>
      </c>
    </row>
    <row r="965" spans="1:223" x14ac:dyDescent="0.4">
      <c r="A965" s="5">
        <v>2640</v>
      </c>
      <c r="B965" s="5">
        <v>1</v>
      </c>
      <c r="C965" s="5">
        <v>1</v>
      </c>
      <c r="D965" s="5" t="s">
        <v>297</v>
      </c>
      <c r="E965" s="5" t="s">
        <v>245</v>
      </c>
      <c r="F965" s="5" t="s">
        <v>254</v>
      </c>
      <c r="G965" s="5" t="s">
        <v>240</v>
      </c>
      <c r="H965" s="6" t="s">
        <v>383</v>
      </c>
      <c r="I965" s="5" t="s">
        <v>295</v>
      </c>
      <c r="J965" s="8">
        <f>1407</f>
        <v>1407</v>
      </c>
      <c r="K965" s="5" t="s">
        <v>308</v>
      </c>
      <c r="L965" s="7">
        <f>1</f>
        <v>1</v>
      </c>
      <c r="M965" s="7">
        <f>1</f>
        <v>1</v>
      </c>
      <c r="N965" s="5" t="s">
        <v>242</v>
      </c>
      <c r="O965" s="5">
        <v>1</v>
      </c>
      <c r="P965" s="5" t="s">
        <v>294</v>
      </c>
      <c r="Q965" s="5" t="s">
        <v>266</v>
      </c>
      <c r="R965" s="5" t="s">
        <v>240</v>
      </c>
      <c r="S965" s="5" t="s">
        <v>240</v>
      </c>
      <c r="T965" s="5" t="s">
        <v>296</v>
      </c>
      <c r="U965" s="5" t="s">
        <v>244</v>
      </c>
      <c r="V965" s="5" t="s">
        <v>240</v>
      </c>
      <c r="Y965" s="5" t="s">
        <v>240</v>
      </c>
      <c r="Z965" s="6" t="s">
        <v>298</v>
      </c>
      <c r="AB965" s="6" t="s">
        <v>240</v>
      </c>
      <c r="AE965" s="6" t="s">
        <v>299</v>
      </c>
      <c r="AF965" s="5" t="s">
        <v>248</v>
      </c>
      <c r="AG965" s="5" t="s">
        <v>249</v>
      </c>
      <c r="AW965" s="5" t="s">
        <v>251</v>
      </c>
      <c r="AX965" s="5" t="s">
        <v>240</v>
      </c>
      <c r="AY965" s="5" t="s">
        <v>253</v>
      </c>
      <c r="AZ965" s="5" t="s">
        <v>240</v>
      </c>
      <c r="BA965" s="5" t="s">
        <v>255</v>
      </c>
      <c r="BB965" s="5" t="s">
        <v>240</v>
      </c>
      <c r="BD965" s="5" t="s">
        <v>240</v>
      </c>
      <c r="BF965" s="5" t="s">
        <v>301</v>
      </c>
      <c r="BG965" s="6" t="s">
        <v>299</v>
      </c>
      <c r="BH965" s="5" t="s">
        <v>302</v>
      </c>
      <c r="BI965" s="5" t="s">
        <v>303</v>
      </c>
      <c r="BJ965" s="5" t="s">
        <v>240</v>
      </c>
      <c r="BK965" s="8">
        <f>0</f>
        <v>0</v>
      </c>
      <c r="BL965" s="7">
        <f>0</f>
        <v>0</v>
      </c>
      <c r="BM965" s="5" t="s">
        <v>258</v>
      </c>
      <c r="BN965" s="5" t="s">
        <v>259</v>
      </c>
      <c r="CB965" s="5" t="s">
        <v>240</v>
      </c>
      <c r="CC965" s="5" t="s">
        <v>240</v>
      </c>
      <c r="CG965" s="5" t="s">
        <v>304</v>
      </c>
      <c r="CH965" s="5" t="s">
        <v>305</v>
      </c>
      <c r="CI965" s="5" t="s">
        <v>240</v>
      </c>
      <c r="CL965" s="6" t="s">
        <v>261</v>
      </c>
      <c r="CM965" s="5" t="s">
        <v>240</v>
      </c>
      <c r="CN965" s="5" t="s">
        <v>263</v>
      </c>
      <c r="CO965" s="5" t="s">
        <v>240</v>
      </c>
      <c r="CP965" s="5" t="s">
        <v>240</v>
      </c>
      <c r="CQ965" s="5">
        <v>0</v>
      </c>
      <c r="CR965" s="5" t="s">
        <v>306</v>
      </c>
      <c r="CS965" s="5" t="s">
        <v>307</v>
      </c>
      <c r="CT965" s="5" t="s">
        <v>307</v>
      </c>
      <c r="CU965" s="5" t="s">
        <v>260</v>
      </c>
      <c r="CX965" s="7">
        <f>1</f>
        <v>1</v>
      </c>
      <c r="CY965" s="7">
        <f>0</f>
        <v>0</v>
      </c>
      <c r="DA965" s="7">
        <f>0</f>
        <v>0</v>
      </c>
      <c r="DC965" s="5" t="s">
        <v>309</v>
      </c>
      <c r="DD965" s="5" t="s">
        <v>240</v>
      </c>
      <c r="DF965" s="5" t="s">
        <v>309</v>
      </c>
      <c r="DG965" s="7">
        <f>1048</f>
        <v>1048</v>
      </c>
      <c r="DI965" s="5" t="s">
        <v>240</v>
      </c>
      <c r="DJ965" s="5" t="s">
        <v>240</v>
      </c>
      <c r="DK965" s="5" t="s">
        <v>240</v>
      </c>
      <c r="DL965" s="5" t="s">
        <v>240</v>
      </c>
      <c r="DP965" s="5" t="s">
        <v>240</v>
      </c>
      <c r="DQ965" s="5" t="s">
        <v>240</v>
      </c>
      <c r="DR965" s="5" t="s">
        <v>240</v>
      </c>
      <c r="DS965" s="5" t="s">
        <v>240</v>
      </c>
      <c r="DV965" s="5" t="s">
        <v>310</v>
      </c>
      <c r="DW965" s="5" t="s">
        <v>1214</v>
      </c>
      <c r="HO965" s="5" t="s">
        <v>312</v>
      </c>
    </row>
    <row r="966" spans="1:223" x14ac:dyDescent="0.4">
      <c r="A966" s="5">
        <v>2641</v>
      </c>
      <c r="B966" s="5">
        <v>1</v>
      </c>
      <c r="C966" s="5">
        <v>1</v>
      </c>
      <c r="D966" s="5" t="s">
        <v>297</v>
      </c>
      <c r="E966" s="5" t="s">
        <v>245</v>
      </c>
      <c r="F966" s="5" t="s">
        <v>254</v>
      </c>
      <c r="G966" s="5" t="s">
        <v>240</v>
      </c>
      <c r="H966" s="6" t="s">
        <v>381</v>
      </c>
      <c r="I966" s="5" t="s">
        <v>295</v>
      </c>
      <c r="J966" s="8">
        <f>1076</f>
        <v>1076</v>
      </c>
      <c r="K966" s="5" t="s">
        <v>308</v>
      </c>
      <c r="L966" s="7">
        <f>1</f>
        <v>1</v>
      </c>
      <c r="M966" s="7">
        <f>1</f>
        <v>1</v>
      </c>
      <c r="N966" s="5" t="s">
        <v>242</v>
      </c>
      <c r="O966" s="5">
        <v>1</v>
      </c>
      <c r="P966" s="5" t="s">
        <v>294</v>
      </c>
      <c r="Q966" s="5" t="s">
        <v>266</v>
      </c>
      <c r="R966" s="5" t="s">
        <v>240</v>
      </c>
      <c r="S966" s="5" t="s">
        <v>240</v>
      </c>
      <c r="T966" s="5" t="s">
        <v>296</v>
      </c>
      <c r="U966" s="5" t="s">
        <v>244</v>
      </c>
      <c r="V966" s="5" t="s">
        <v>240</v>
      </c>
      <c r="Y966" s="5" t="s">
        <v>240</v>
      </c>
      <c r="Z966" s="6" t="s">
        <v>298</v>
      </c>
      <c r="AB966" s="6" t="s">
        <v>240</v>
      </c>
      <c r="AE966" s="6" t="s">
        <v>299</v>
      </c>
      <c r="AF966" s="5" t="s">
        <v>248</v>
      </c>
      <c r="AG966" s="5" t="s">
        <v>249</v>
      </c>
      <c r="AW966" s="5" t="s">
        <v>251</v>
      </c>
      <c r="AX966" s="5" t="s">
        <v>240</v>
      </c>
      <c r="AY966" s="5" t="s">
        <v>253</v>
      </c>
      <c r="AZ966" s="5" t="s">
        <v>240</v>
      </c>
      <c r="BA966" s="5" t="s">
        <v>255</v>
      </c>
      <c r="BB966" s="5" t="s">
        <v>240</v>
      </c>
      <c r="BD966" s="5" t="s">
        <v>240</v>
      </c>
      <c r="BF966" s="5" t="s">
        <v>301</v>
      </c>
      <c r="BG966" s="6" t="s">
        <v>299</v>
      </c>
      <c r="BH966" s="5" t="s">
        <v>302</v>
      </c>
      <c r="BI966" s="5" t="s">
        <v>303</v>
      </c>
      <c r="BJ966" s="5" t="s">
        <v>240</v>
      </c>
      <c r="BK966" s="8">
        <f>0</f>
        <v>0</v>
      </c>
      <c r="BL966" s="7">
        <f>0</f>
        <v>0</v>
      </c>
      <c r="BM966" s="5" t="s">
        <v>258</v>
      </c>
      <c r="BN966" s="5" t="s">
        <v>259</v>
      </c>
      <c r="CB966" s="5" t="s">
        <v>240</v>
      </c>
      <c r="CC966" s="5" t="s">
        <v>240</v>
      </c>
      <c r="CG966" s="5" t="s">
        <v>304</v>
      </c>
      <c r="CH966" s="5" t="s">
        <v>305</v>
      </c>
      <c r="CI966" s="5" t="s">
        <v>240</v>
      </c>
      <c r="CL966" s="6" t="s">
        <v>261</v>
      </c>
      <c r="CM966" s="5" t="s">
        <v>240</v>
      </c>
      <c r="CN966" s="5" t="s">
        <v>263</v>
      </c>
      <c r="CO966" s="5" t="s">
        <v>240</v>
      </c>
      <c r="CP966" s="5" t="s">
        <v>240</v>
      </c>
      <c r="CQ966" s="5">
        <v>0</v>
      </c>
      <c r="CR966" s="5" t="s">
        <v>306</v>
      </c>
      <c r="CS966" s="5" t="s">
        <v>307</v>
      </c>
      <c r="CT966" s="5" t="s">
        <v>307</v>
      </c>
      <c r="CU966" s="5" t="s">
        <v>260</v>
      </c>
      <c r="CX966" s="7">
        <f>1</f>
        <v>1</v>
      </c>
      <c r="CY966" s="7">
        <f>0</f>
        <v>0</v>
      </c>
      <c r="DA966" s="7">
        <f>0</f>
        <v>0</v>
      </c>
      <c r="DC966" s="5" t="s">
        <v>309</v>
      </c>
      <c r="DD966" s="5" t="s">
        <v>240</v>
      </c>
      <c r="DF966" s="5" t="s">
        <v>309</v>
      </c>
      <c r="DG966" s="7">
        <f>605</f>
        <v>605</v>
      </c>
      <c r="DI966" s="5" t="s">
        <v>240</v>
      </c>
      <c r="DJ966" s="5" t="s">
        <v>240</v>
      </c>
      <c r="DK966" s="5" t="s">
        <v>240</v>
      </c>
      <c r="DL966" s="5" t="s">
        <v>240</v>
      </c>
      <c r="DP966" s="5" t="s">
        <v>240</v>
      </c>
      <c r="DQ966" s="5" t="s">
        <v>240</v>
      </c>
      <c r="DR966" s="5" t="s">
        <v>240</v>
      </c>
      <c r="DS966" s="5" t="s">
        <v>240</v>
      </c>
      <c r="DV966" s="5" t="s">
        <v>310</v>
      </c>
      <c r="DW966" s="5" t="s">
        <v>1883</v>
      </c>
      <c r="HO966" s="5" t="s">
        <v>312</v>
      </c>
    </row>
    <row r="967" spans="1:223" x14ac:dyDescent="0.4">
      <c r="A967" s="5">
        <v>2642</v>
      </c>
      <c r="B967" s="5">
        <v>1</v>
      </c>
      <c r="C967" s="5">
        <v>1</v>
      </c>
      <c r="D967" s="5" t="s">
        <v>297</v>
      </c>
      <c r="E967" s="5" t="s">
        <v>245</v>
      </c>
      <c r="F967" s="5" t="s">
        <v>254</v>
      </c>
      <c r="G967" s="5" t="s">
        <v>240</v>
      </c>
      <c r="H967" s="6" t="s">
        <v>379</v>
      </c>
      <c r="I967" s="5" t="s">
        <v>295</v>
      </c>
      <c r="J967" s="8">
        <f>281</f>
        <v>281</v>
      </c>
      <c r="K967" s="5" t="s">
        <v>308</v>
      </c>
      <c r="L967" s="7">
        <f>1</f>
        <v>1</v>
      </c>
      <c r="M967" s="7">
        <f>1</f>
        <v>1</v>
      </c>
      <c r="N967" s="5" t="s">
        <v>242</v>
      </c>
      <c r="O967" s="5">
        <v>1</v>
      </c>
      <c r="P967" s="5" t="s">
        <v>294</v>
      </c>
      <c r="Q967" s="5" t="s">
        <v>266</v>
      </c>
      <c r="R967" s="5" t="s">
        <v>240</v>
      </c>
      <c r="S967" s="5" t="s">
        <v>240</v>
      </c>
      <c r="T967" s="5" t="s">
        <v>296</v>
      </c>
      <c r="U967" s="5" t="s">
        <v>244</v>
      </c>
      <c r="V967" s="5" t="s">
        <v>240</v>
      </c>
      <c r="Y967" s="5" t="s">
        <v>240</v>
      </c>
      <c r="Z967" s="6" t="s">
        <v>298</v>
      </c>
      <c r="AB967" s="6" t="s">
        <v>240</v>
      </c>
      <c r="AE967" s="6" t="s">
        <v>299</v>
      </c>
      <c r="AF967" s="5" t="s">
        <v>248</v>
      </c>
      <c r="AG967" s="5" t="s">
        <v>249</v>
      </c>
      <c r="AW967" s="5" t="s">
        <v>251</v>
      </c>
      <c r="AX967" s="5" t="s">
        <v>240</v>
      </c>
      <c r="AY967" s="5" t="s">
        <v>253</v>
      </c>
      <c r="AZ967" s="5" t="s">
        <v>240</v>
      </c>
      <c r="BA967" s="5" t="s">
        <v>255</v>
      </c>
      <c r="BB967" s="5" t="s">
        <v>240</v>
      </c>
      <c r="BD967" s="5" t="s">
        <v>240</v>
      </c>
      <c r="BF967" s="5" t="s">
        <v>301</v>
      </c>
      <c r="BG967" s="6" t="s">
        <v>299</v>
      </c>
      <c r="BH967" s="5" t="s">
        <v>302</v>
      </c>
      <c r="BI967" s="5" t="s">
        <v>303</v>
      </c>
      <c r="BJ967" s="5" t="s">
        <v>240</v>
      </c>
      <c r="BK967" s="8">
        <f>0</f>
        <v>0</v>
      </c>
      <c r="BL967" s="7">
        <f>0</f>
        <v>0</v>
      </c>
      <c r="BM967" s="5" t="s">
        <v>258</v>
      </c>
      <c r="BN967" s="5" t="s">
        <v>259</v>
      </c>
      <c r="CB967" s="5" t="s">
        <v>240</v>
      </c>
      <c r="CC967" s="5" t="s">
        <v>240</v>
      </c>
      <c r="CG967" s="5" t="s">
        <v>304</v>
      </c>
      <c r="CH967" s="5" t="s">
        <v>305</v>
      </c>
      <c r="CI967" s="5" t="s">
        <v>240</v>
      </c>
      <c r="CL967" s="6" t="s">
        <v>261</v>
      </c>
      <c r="CM967" s="5" t="s">
        <v>240</v>
      </c>
      <c r="CN967" s="5" t="s">
        <v>263</v>
      </c>
      <c r="CO967" s="5" t="s">
        <v>240</v>
      </c>
      <c r="CP967" s="5" t="s">
        <v>240</v>
      </c>
      <c r="CQ967" s="5">
        <v>0</v>
      </c>
      <c r="CR967" s="5" t="s">
        <v>306</v>
      </c>
      <c r="CS967" s="5" t="s">
        <v>307</v>
      </c>
      <c r="CT967" s="5" t="s">
        <v>307</v>
      </c>
      <c r="CU967" s="5" t="s">
        <v>260</v>
      </c>
      <c r="CX967" s="7">
        <f>1</f>
        <v>1</v>
      </c>
      <c r="CY967" s="7">
        <f>0</f>
        <v>0</v>
      </c>
      <c r="DA967" s="7">
        <f>0</f>
        <v>0</v>
      </c>
      <c r="DC967" s="5" t="s">
        <v>309</v>
      </c>
      <c r="DD967" s="5" t="s">
        <v>240</v>
      </c>
      <c r="DF967" s="5" t="s">
        <v>309</v>
      </c>
      <c r="DG967" s="7">
        <f>35</f>
        <v>35</v>
      </c>
      <c r="DI967" s="5" t="s">
        <v>240</v>
      </c>
      <c r="DJ967" s="5" t="s">
        <v>240</v>
      </c>
      <c r="DK967" s="5" t="s">
        <v>240</v>
      </c>
      <c r="DL967" s="5" t="s">
        <v>240</v>
      </c>
      <c r="DP967" s="5" t="s">
        <v>240</v>
      </c>
      <c r="DQ967" s="5" t="s">
        <v>240</v>
      </c>
      <c r="DR967" s="5" t="s">
        <v>240</v>
      </c>
      <c r="DS967" s="5" t="s">
        <v>240</v>
      </c>
      <c r="DV967" s="5" t="s">
        <v>310</v>
      </c>
      <c r="DW967" s="5" t="s">
        <v>312</v>
      </c>
      <c r="HO967" s="5" t="s">
        <v>312</v>
      </c>
    </row>
    <row r="968" spans="1:223" x14ac:dyDescent="0.4">
      <c r="A968" s="5">
        <v>2643</v>
      </c>
      <c r="B968" s="5">
        <v>1</v>
      </c>
      <c r="C968" s="5">
        <v>1</v>
      </c>
      <c r="D968" s="5" t="s">
        <v>297</v>
      </c>
      <c r="E968" s="5" t="s">
        <v>245</v>
      </c>
      <c r="F968" s="5" t="s">
        <v>254</v>
      </c>
      <c r="G968" s="5" t="s">
        <v>240</v>
      </c>
      <c r="H968" s="6" t="s">
        <v>377</v>
      </c>
      <c r="I968" s="5" t="s">
        <v>295</v>
      </c>
      <c r="J968" s="8">
        <f>1557</f>
        <v>1557</v>
      </c>
      <c r="K968" s="5" t="s">
        <v>308</v>
      </c>
      <c r="L968" s="7">
        <f>1</f>
        <v>1</v>
      </c>
      <c r="M968" s="7">
        <f>1</f>
        <v>1</v>
      </c>
      <c r="N968" s="5" t="s">
        <v>242</v>
      </c>
      <c r="O968" s="5">
        <v>1</v>
      </c>
      <c r="P968" s="5" t="s">
        <v>294</v>
      </c>
      <c r="Q968" s="5" t="s">
        <v>266</v>
      </c>
      <c r="R968" s="5" t="s">
        <v>240</v>
      </c>
      <c r="S968" s="5" t="s">
        <v>240</v>
      </c>
      <c r="T968" s="5" t="s">
        <v>296</v>
      </c>
      <c r="U968" s="5" t="s">
        <v>244</v>
      </c>
      <c r="V968" s="5" t="s">
        <v>240</v>
      </c>
      <c r="Y968" s="5" t="s">
        <v>240</v>
      </c>
      <c r="Z968" s="6" t="s">
        <v>298</v>
      </c>
      <c r="AB968" s="6" t="s">
        <v>240</v>
      </c>
      <c r="AE968" s="6" t="s">
        <v>299</v>
      </c>
      <c r="AF968" s="5" t="s">
        <v>248</v>
      </c>
      <c r="AG968" s="5" t="s">
        <v>249</v>
      </c>
      <c r="AW968" s="5" t="s">
        <v>251</v>
      </c>
      <c r="AX968" s="5" t="s">
        <v>240</v>
      </c>
      <c r="AY968" s="5" t="s">
        <v>253</v>
      </c>
      <c r="AZ968" s="5" t="s">
        <v>240</v>
      </c>
      <c r="BA968" s="5" t="s">
        <v>255</v>
      </c>
      <c r="BB968" s="5" t="s">
        <v>240</v>
      </c>
      <c r="BD968" s="5" t="s">
        <v>240</v>
      </c>
      <c r="BF968" s="5" t="s">
        <v>301</v>
      </c>
      <c r="BG968" s="6" t="s">
        <v>299</v>
      </c>
      <c r="BH968" s="5" t="s">
        <v>302</v>
      </c>
      <c r="BI968" s="5" t="s">
        <v>303</v>
      </c>
      <c r="BJ968" s="5" t="s">
        <v>240</v>
      </c>
      <c r="BK968" s="8">
        <f>0</f>
        <v>0</v>
      </c>
      <c r="BL968" s="7">
        <f>0</f>
        <v>0</v>
      </c>
      <c r="BM968" s="5" t="s">
        <v>258</v>
      </c>
      <c r="BN968" s="5" t="s">
        <v>259</v>
      </c>
      <c r="CB968" s="5" t="s">
        <v>240</v>
      </c>
      <c r="CC968" s="5" t="s">
        <v>240</v>
      </c>
      <c r="CG968" s="5" t="s">
        <v>304</v>
      </c>
      <c r="CH968" s="5" t="s">
        <v>305</v>
      </c>
      <c r="CI968" s="5" t="s">
        <v>240</v>
      </c>
      <c r="CL968" s="6" t="s">
        <v>261</v>
      </c>
      <c r="CM968" s="5" t="s">
        <v>240</v>
      </c>
      <c r="CN968" s="5" t="s">
        <v>263</v>
      </c>
      <c r="CO968" s="5" t="s">
        <v>240</v>
      </c>
      <c r="CP968" s="5" t="s">
        <v>240</v>
      </c>
      <c r="CQ968" s="5">
        <v>0</v>
      </c>
      <c r="CR968" s="5" t="s">
        <v>306</v>
      </c>
      <c r="CS968" s="5" t="s">
        <v>307</v>
      </c>
      <c r="CT968" s="5" t="s">
        <v>307</v>
      </c>
      <c r="CU968" s="5" t="s">
        <v>260</v>
      </c>
      <c r="CX968" s="7">
        <f>1</f>
        <v>1</v>
      </c>
      <c r="CY968" s="7">
        <f>0</f>
        <v>0</v>
      </c>
      <c r="DA968" s="7">
        <f>0</f>
        <v>0</v>
      </c>
      <c r="DC968" s="5" t="s">
        <v>812</v>
      </c>
      <c r="DD968" s="5" t="s">
        <v>240</v>
      </c>
      <c r="DF968" s="5" t="s">
        <v>812</v>
      </c>
      <c r="DG968" s="7">
        <f>506</f>
        <v>506</v>
      </c>
      <c r="DI968" s="5" t="s">
        <v>240</v>
      </c>
      <c r="DJ968" s="5" t="s">
        <v>240</v>
      </c>
      <c r="DK968" s="5" t="s">
        <v>240</v>
      </c>
      <c r="DL968" s="5" t="s">
        <v>240</v>
      </c>
      <c r="DP968" s="5" t="s">
        <v>240</v>
      </c>
      <c r="DQ968" s="5" t="s">
        <v>240</v>
      </c>
      <c r="DR968" s="5" t="s">
        <v>240</v>
      </c>
      <c r="DS968" s="5" t="s">
        <v>240</v>
      </c>
      <c r="DV968" s="5" t="s">
        <v>813</v>
      </c>
      <c r="DW968" s="5" t="s">
        <v>1200</v>
      </c>
      <c r="HO968" s="5" t="s">
        <v>312</v>
      </c>
    </row>
    <row r="969" spans="1:223" x14ac:dyDescent="0.4">
      <c r="A969" s="5">
        <v>2644</v>
      </c>
      <c r="B969" s="5">
        <v>1</v>
      </c>
      <c r="C969" s="5">
        <v>1</v>
      </c>
      <c r="D969" s="5" t="s">
        <v>297</v>
      </c>
      <c r="E969" s="5" t="s">
        <v>245</v>
      </c>
      <c r="F969" s="5" t="s">
        <v>254</v>
      </c>
      <c r="G969" s="5" t="s">
        <v>240</v>
      </c>
      <c r="H969" s="6" t="s">
        <v>375</v>
      </c>
      <c r="I969" s="5" t="s">
        <v>295</v>
      </c>
      <c r="J969" s="8">
        <f>912</f>
        <v>912</v>
      </c>
      <c r="K969" s="5" t="s">
        <v>308</v>
      </c>
      <c r="L969" s="7">
        <f>1</f>
        <v>1</v>
      </c>
      <c r="M969" s="7">
        <f>1</f>
        <v>1</v>
      </c>
      <c r="N969" s="5" t="s">
        <v>242</v>
      </c>
      <c r="O969" s="5">
        <v>1</v>
      </c>
      <c r="P969" s="5" t="s">
        <v>294</v>
      </c>
      <c r="Q969" s="5" t="s">
        <v>266</v>
      </c>
      <c r="R969" s="5" t="s">
        <v>240</v>
      </c>
      <c r="S969" s="5" t="s">
        <v>240</v>
      </c>
      <c r="T969" s="5" t="s">
        <v>296</v>
      </c>
      <c r="U969" s="5" t="s">
        <v>244</v>
      </c>
      <c r="V969" s="5" t="s">
        <v>240</v>
      </c>
      <c r="Y969" s="5" t="s">
        <v>240</v>
      </c>
      <c r="Z969" s="6" t="s">
        <v>298</v>
      </c>
      <c r="AB969" s="6" t="s">
        <v>240</v>
      </c>
      <c r="AE969" s="6" t="s">
        <v>299</v>
      </c>
      <c r="AF969" s="5" t="s">
        <v>248</v>
      </c>
      <c r="AG969" s="5" t="s">
        <v>249</v>
      </c>
      <c r="AW969" s="5" t="s">
        <v>251</v>
      </c>
      <c r="AX969" s="5" t="s">
        <v>240</v>
      </c>
      <c r="AY969" s="5" t="s">
        <v>253</v>
      </c>
      <c r="AZ969" s="5" t="s">
        <v>240</v>
      </c>
      <c r="BA969" s="5" t="s">
        <v>255</v>
      </c>
      <c r="BB969" s="5" t="s">
        <v>240</v>
      </c>
      <c r="BD969" s="5" t="s">
        <v>240</v>
      </c>
      <c r="BF969" s="5" t="s">
        <v>301</v>
      </c>
      <c r="BG969" s="6" t="s">
        <v>299</v>
      </c>
      <c r="BH969" s="5" t="s">
        <v>302</v>
      </c>
      <c r="BI969" s="5" t="s">
        <v>303</v>
      </c>
      <c r="BJ969" s="5" t="s">
        <v>240</v>
      </c>
      <c r="BK969" s="8">
        <f>0</f>
        <v>0</v>
      </c>
      <c r="BL969" s="7">
        <f>0</f>
        <v>0</v>
      </c>
      <c r="BM969" s="5" t="s">
        <v>258</v>
      </c>
      <c r="BN969" s="5" t="s">
        <v>259</v>
      </c>
      <c r="CB969" s="5" t="s">
        <v>240</v>
      </c>
      <c r="CC969" s="5" t="s">
        <v>240</v>
      </c>
      <c r="CG969" s="5" t="s">
        <v>304</v>
      </c>
      <c r="CH969" s="5" t="s">
        <v>305</v>
      </c>
      <c r="CI969" s="5" t="s">
        <v>240</v>
      </c>
      <c r="CL969" s="6" t="s">
        <v>261</v>
      </c>
      <c r="CM969" s="5" t="s">
        <v>240</v>
      </c>
      <c r="CN969" s="5" t="s">
        <v>263</v>
      </c>
      <c r="CO969" s="5" t="s">
        <v>240</v>
      </c>
      <c r="CP969" s="5" t="s">
        <v>240</v>
      </c>
      <c r="CQ969" s="5">
        <v>0</v>
      </c>
      <c r="CR969" s="5" t="s">
        <v>306</v>
      </c>
      <c r="CS969" s="5" t="s">
        <v>307</v>
      </c>
      <c r="CT969" s="5" t="s">
        <v>307</v>
      </c>
      <c r="CU969" s="5" t="s">
        <v>260</v>
      </c>
      <c r="CX969" s="7">
        <f>1</f>
        <v>1</v>
      </c>
      <c r="CY969" s="7">
        <f>0</f>
        <v>0</v>
      </c>
      <c r="DA969" s="7">
        <f>0</f>
        <v>0</v>
      </c>
      <c r="DC969" s="5" t="s">
        <v>309</v>
      </c>
      <c r="DD969" s="5" t="s">
        <v>240</v>
      </c>
      <c r="DF969" s="5" t="s">
        <v>309</v>
      </c>
      <c r="DG969" s="7">
        <f>624</f>
        <v>624</v>
      </c>
      <c r="DI969" s="5" t="s">
        <v>240</v>
      </c>
      <c r="DJ969" s="5" t="s">
        <v>240</v>
      </c>
      <c r="DK969" s="5" t="s">
        <v>240</v>
      </c>
      <c r="DL969" s="5" t="s">
        <v>240</v>
      </c>
      <c r="DP969" s="5" t="s">
        <v>240</v>
      </c>
      <c r="DQ969" s="5" t="s">
        <v>240</v>
      </c>
      <c r="DR969" s="5" t="s">
        <v>240</v>
      </c>
      <c r="DS969" s="5" t="s">
        <v>240</v>
      </c>
      <c r="DV969" s="5" t="s">
        <v>310</v>
      </c>
      <c r="DW969" s="5" t="s">
        <v>2071</v>
      </c>
      <c r="HO969" s="5" t="s">
        <v>312</v>
      </c>
    </row>
    <row r="970" spans="1:223" x14ac:dyDescent="0.4">
      <c r="A970" s="5">
        <v>2645</v>
      </c>
      <c r="B970" s="5">
        <v>1</v>
      </c>
      <c r="C970" s="5">
        <v>1</v>
      </c>
      <c r="D970" s="5" t="s">
        <v>297</v>
      </c>
      <c r="E970" s="5" t="s">
        <v>245</v>
      </c>
      <c r="F970" s="5" t="s">
        <v>254</v>
      </c>
      <c r="G970" s="5" t="s">
        <v>240</v>
      </c>
      <c r="H970" s="6" t="s">
        <v>373</v>
      </c>
      <c r="I970" s="5" t="s">
        <v>295</v>
      </c>
      <c r="J970" s="8">
        <f>93</f>
        <v>93</v>
      </c>
      <c r="K970" s="5" t="s">
        <v>308</v>
      </c>
      <c r="L970" s="7">
        <f>1</f>
        <v>1</v>
      </c>
      <c r="M970" s="7">
        <f>1</f>
        <v>1</v>
      </c>
      <c r="N970" s="5" t="s">
        <v>242</v>
      </c>
      <c r="O970" s="5">
        <v>1</v>
      </c>
      <c r="P970" s="5" t="s">
        <v>294</v>
      </c>
      <c r="Q970" s="5" t="s">
        <v>266</v>
      </c>
      <c r="R970" s="5" t="s">
        <v>240</v>
      </c>
      <c r="S970" s="5" t="s">
        <v>240</v>
      </c>
      <c r="T970" s="5" t="s">
        <v>296</v>
      </c>
      <c r="U970" s="5" t="s">
        <v>244</v>
      </c>
      <c r="V970" s="5" t="s">
        <v>240</v>
      </c>
      <c r="Y970" s="5" t="s">
        <v>240</v>
      </c>
      <c r="Z970" s="6" t="s">
        <v>298</v>
      </c>
      <c r="AB970" s="6" t="s">
        <v>240</v>
      </c>
      <c r="AE970" s="6" t="s">
        <v>299</v>
      </c>
      <c r="AF970" s="5" t="s">
        <v>248</v>
      </c>
      <c r="AG970" s="5" t="s">
        <v>249</v>
      </c>
      <c r="AW970" s="5" t="s">
        <v>251</v>
      </c>
      <c r="AX970" s="5" t="s">
        <v>240</v>
      </c>
      <c r="AY970" s="5" t="s">
        <v>253</v>
      </c>
      <c r="AZ970" s="5" t="s">
        <v>240</v>
      </c>
      <c r="BA970" s="5" t="s">
        <v>255</v>
      </c>
      <c r="BB970" s="5" t="s">
        <v>240</v>
      </c>
      <c r="BD970" s="5" t="s">
        <v>240</v>
      </c>
      <c r="BF970" s="5" t="s">
        <v>301</v>
      </c>
      <c r="BG970" s="6" t="s">
        <v>299</v>
      </c>
      <c r="BH970" s="5" t="s">
        <v>302</v>
      </c>
      <c r="BI970" s="5" t="s">
        <v>303</v>
      </c>
      <c r="BJ970" s="5" t="s">
        <v>240</v>
      </c>
      <c r="BK970" s="8">
        <f>0</f>
        <v>0</v>
      </c>
      <c r="BL970" s="7">
        <f>0</f>
        <v>0</v>
      </c>
      <c r="BM970" s="5" t="s">
        <v>258</v>
      </c>
      <c r="BN970" s="5" t="s">
        <v>259</v>
      </c>
      <c r="CB970" s="5" t="s">
        <v>240</v>
      </c>
      <c r="CC970" s="5" t="s">
        <v>240</v>
      </c>
      <c r="CG970" s="5" t="s">
        <v>304</v>
      </c>
      <c r="CH970" s="5" t="s">
        <v>305</v>
      </c>
      <c r="CI970" s="5" t="s">
        <v>240</v>
      </c>
      <c r="CL970" s="6" t="s">
        <v>261</v>
      </c>
      <c r="CM970" s="5" t="s">
        <v>240</v>
      </c>
      <c r="CN970" s="5" t="s">
        <v>263</v>
      </c>
      <c r="CO970" s="5" t="s">
        <v>240</v>
      </c>
      <c r="CP970" s="5" t="s">
        <v>240</v>
      </c>
      <c r="CQ970" s="5">
        <v>0</v>
      </c>
      <c r="CR970" s="5" t="s">
        <v>306</v>
      </c>
      <c r="CS970" s="5" t="s">
        <v>307</v>
      </c>
      <c r="CT970" s="5" t="s">
        <v>307</v>
      </c>
      <c r="CU970" s="5" t="s">
        <v>260</v>
      </c>
      <c r="CX970" s="7">
        <f>1</f>
        <v>1</v>
      </c>
      <c r="CY970" s="7">
        <f>0</f>
        <v>0</v>
      </c>
      <c r="DA970" s="7">
        <f>0</f>
        <v>0</v>
      </c>
      <c r="DC970" s="5" t="s">
        <v>309</v>
      </c>
      <c r="DD970" s="5" t="s">
        <v>240</v>
      </c>
      <c r="DF970" s="5" t="s">
        <v>309</v>
      </c>
      <c r="DG970" s="7">
        <f>14725</f>
        <v>14725</v>
      </c>
      <c r="DI970" s="5" t="s">
        <v>240</v>
      </c>
      <c r="DJ970" s="5" t="s">
        <v>240</v>
      </c>
      <c r="DK970" s="5" t="s">
        <v>240</v>
      </c>
      <c r="DL970" s="5" t="s">
        <v>240</v>
      </c>
      <c r="DP970" s="5" t="s">
        <v>240</v>
      </c>
      <c r="DQ970" s="5" t="s">
        <v>240</v>
      </c>
      <c r="DR970" s="5" t="s">
        <v>240</v>
      </c>
      <c r="DS970" s="5" t="s">
        <v>240</v>
      </c>
      <c r="DV970" s="5" t="s">
        <v>310</v>
      </c>
      <c r="DW970" s="5" t="s">
        <v>265</v>
      </c>
      <c r="HO970" s="5" t="s">
        <v>312</v>
      </c>
    </row>
    <row r="971" spans="1:223" x14ac:dyDescent="0.4">
      <c r="A971" s="5">
        <v>2646</v>
      </c>
      <c r="B971" s="5">
        <v>1</v>
      </c>
      <c r="C971" s="5">
        <v>1</v>
      </c>
      <c r="D971" s="5" t="s">
        <v>297</v>
      </c>
      <c r="E971" s="5" t="s">
        <v>245</v>
      </c>
      <c r="F971" s="5" t="s">
        <v>254</v>
      </c>
      <c r="G971" s="5" t="s">
        <v>240</v>
      </c>
      <c r="H971" s="6" t="s">
        <v>371</v>
      </c>
      <c r="I971" s="5" t="s">
        <v>295</v>
      </c>
      <c r="J971" s="8">
        <f>90</f>
        <v>90</v>
      </c>
      <c r="K971" s="5" t="s">
        <v>308</v>
      </c>
      <c r="L971" s="7">
        <f>1</f>
        <v>1</v>
      </c>
      <c r="M971" s="7">
        <f>1</f>
        <v>1</v>
      </c>
      <c r="N971" s="5" t="s">
        <v>242</v>
      </c>
      <c r="O971" s="5">
        <v>1</v>
      </c>
      <c r="P971" s="5" t="s">
        <v>294</v>
      </c>
      <c r="Q971" s="5" t="s">
        <v>266</v>
      </c>
      <c r="R971" s="5" t="s">
        <v>240</v>
      </c>
      <c r="S971" s="5" t="s">
        <v>240</v>
      </c>
      <c r="T971" s="5" t="s">
        <v>296</v>
      </c>
      <c r="U971" s="5" t="s">
        <v>244</v>
      </c>
      <c r="V971" s="5" t="s">
        <v>240</v>
      </c>
      <c r="Y971" s="5" t="s">
        <v>240</v>
      </c>
      <c r="Z971" s="6" t="s">
        <v>298</v>
      </c>
      <c r="AB971" s="6" t="s">
        <v>240</v>
      </c>
      <c r="AE971" s="6" t="s">
        <v>299</v>
      </c>
      <c r="AF971" s="5" t="s">
        <v>248</v>
      </c>
      <c r="AG971" s="5" t="s">
        <v>249</v>
      </c>
      <c r="AW971" s="5" t="s">
        <v>251</v>
      </c>
      <c r="AX971" s="5" t="s">
        <v>240</v>
      </c>
      <c r="AY971" s="5" t="s">
        <v>253</v>
      </c>
      <c r="AZ971" s="5" t="s">
        <v>240</v>
      </c>
      <c r="BA971" s="5" t="s">
        <v>255</v>
      </c>
      <c r="BB971" s="5" t="s">
        <v>240</v>
      </c>
      <c r="BD971" s="5" t="s">
        <v>240</v>
      </c>
      <c r="BF971" s="5" t="s">
        <v>301</v>
      </c>
      <c r="BG971" s="6" t="s">
        <v>299</v>
      </c>
      <c r="BH971" s="5" t="s">
        <v>302</v>
      </c>
      <c r="BI971" s="5" t="s">
        <v>303</v>
      </c>
      <c r="BJ971" s="5" t="s">
        <v>240</v>
      </c>
      <c r="BK971" s="8">
        <f>0</f>
        <v>0</v>
      </c>
      <c r="BL971" s="7">
        <f>0</f>
        <v>0</v>
      </c>
      <c r="BM971" s="5" t="s">
        <v>258</v>
      </c>
      <c r="BN971" s="5" t="s">
        <v>259</v>
      </c>
      <c r="CB971" s="5" t="s">
        <v>240</v>
      </c>
      <c r="CC971" s="5" t="s">
        <v>240</v>
      </c>
      <c r="CG971" s="5" t="s">
        <v>304</v>
      </c>
      <c r="CH971" s="5" t="s">
        <v>305</v>
      </c>
      <c r="CI971" s="5" t="s">
        <v>240</v>
      </c>
      <c r="CL971" s="6" t="s">
        <v>261</v>
      </c>
      <c r="CM971" s="5" t="s">
        <v>240</v>
      </c>
      <c r="CN971" s="5" t="s">
        <v>263</v>
      </c>
      <c r="CO971" s="5" t="s">
        <v>240</v>
      </c>
      <c r="CP971" s="5" t="s">
        <v>240</v>
      </c>
      <c r="CQ971" s="5">
        <v>0</v>
      </c>
      <c r="CR971" s="5" t="s">
        <v>306</v>
      </c>
      <c r="CS971" s="5" t="s">
        <v>307</v>
      </c>
      <c r="CT971" s="5" t="s">
        <v>307</v>
      </c>
      <c r="CU971" s="5" t="s">
        <v>260</v>
      </c>
      <c r="CX971" s="7">
        <f>1</f>
        <v>1</v>
      </c>
      <c r="CY971" s="7">
        <f>0</f>
        <v>0</v>
      </c>
      <c r="DA971" s="7">
        <f>0</f>
        <v>0</v>
      </c>
      <c r="DC971" s="5" t="s">
        <v>309</v>
      </c>
      <c r="DD971" s="5" t="s">
        <v>240</v>
      </c>
      <c r="DF971" s="5" t="s">
        <v>309</v>
      </c>
      <c r="DG971" s="7">
        <f>2744</f>
        <v>2744</v>
      </c>
      <c r="DI971" s="5" t="s">
        <v>240</v>
      </c>
      <c r="DJ971" s="5" t="s">
        <v>240</v>
      </c>
      <c r="DK971" s="5" t="s">
        <v>240</v>
      </c>
      <c r="DL971" s="5" t="s">
        <v>240</v>
      </c>
      <c r="DP971" s="5" t="s">
        <v>240</v>
      </c>
      <c r="DQ971" s="5" t="s">
        <v>240</v>
      </c>
      <c r="DR971" s="5" t="s">
        <v>240</v>
      </c>
      <c r="DS971" s="5" t="s">
        <v>240</v>
      </c>
      <c r="DV971" s="5" t="s">
        <v>310</v>
      </c>
      <c r="DW971" s="5" t="s">
        <v>1219</v>
      </c>
      <c r="HO971" s="5" t="s">
        <v>312</v>
      </c>
    </row>
    <row r="972" spans="1:223" x14ac:dyDescent="0.4">
      <c r="A972" s="5">
        <v>2647</v>
      </c>
      <c r="B972" s="5">
        <v>1</v>
      </c>
      <c r="C972" s="5">
        <v>1</v>
      </c>
      <c r="D972" s="5" t="s">
        <v>297</v>
      </c>
      <c r="E972" s="5" t="s">
        <v>245</v>
      </c>
      <c r="F972" s="5" t="s">
        <v>254</v>
      </c>
      <c r="G972" s="5" t="s">
        <v>240</v>
      </c>
      <c r="H972" s="6" t="s">
        <v>369</v>
      </c>
      <c r="I972" s="5" t="s">
        <v>295</v>
      </c>
      <c r="J972" s="8">
        <f>650</f>
        <v>650</v>
      </c>
      <c r="K972" s="5" t="s">
        <v>308</v>
      </c>
      <c r="L972" s="7">
        <f>1</f>
        <v>1</v>
      </c>
      <c r="M972" s="7">
        <f>1</f>
        <v>1</v>
      </c>
      <c r="N972" s="5" t="s">
        <v>242</v>
      </c>
      <c r="O972" s="5">
        <v>1</v>
      </c>
      <c r="P972" s="5" t="s">
        <v>294</v>
      </c>
      <c r="Q972" s="5" t="s">
        <v>266</v>
      </c>
      <c r="R972" s="5" t="s">
        <v>240</v>
      </c>
      <c r="S972" s="5" t="s">
        <v>240</v>
      </c>
      <c r="T972" s="5" t="s">
        <v>296</v>
      </c>
      <c r="U972" s="5" t="s">
        <v>244</v>
      </c>
      <c r="V972" s="5" t="s">
        <v>240</v>
      </c>
      <c r="Y972" s="5" t="s">
        <v>240</v>
      </c>
      <c r="Z972" s="6" t="s">
        <v>298</v>
      </c>
      <c r="AB972" s="6" t="s">
        <v>240</v>
      </c>
      <c r="AE972" s="6" t="s">
        <v>299</v>
      </c>
      <c r="AF972" s="5" t="s">
        <v>248</v>
      </c>
      <c r="AG972" s="5" t="s">
        <v>249</v>
      </c>
      <c r="AW972" s="5" t="s">
        <v>251</v>
      </c>
      <c r="AX972" s="5" t="s">
        <v>240</v>
      </c>
      <c r="AY972" s="5" t="s">
        <v>253</v>
      </c>
      <c r="AZ972" s="5" t="s">
        <v>240</v>
      </c>
      <c r="BA972" s="5" t="s">
        <v>255</v>
      </c>
      <c r="BB972" s="5" t="s">
        <v>240</v>
      </c>
      <c r="BD972" s="5" t="s">
        <v>240</v>
      </c>
      <c r="BF972" s="5" t="s">
        <v>301</v>
      </c>
      <c r="BG972" s="6" t="s">
        <v>299</v>
      </c>
      <c r="BH972" s="5" t="s">
        <v>302</v>
      </c>
      <c r="BI972" s="5" t="s">
        <v>303</v>
      </c>
      <c r="BJ972" s="5" t="s">
        <v>240</v>
      </c>
      <c r="BK972" s="8">
        <f>0</f>
        <v>0</v>
      </c>
      <c r="BL972" s="7">
        <f>0</f>
        <v>0</v>
      </c>
      <c r="BM972" s="5" t="s">
        <v>258</v>
      </c>
      <c r="BN972" s="5" t="s">
        <v>259</v>
      </c>
      <c r="CB972" s="5" t="s">
        <v>240</v>
      </c>
      <c r="CC972" s="5" t="s">
        <v>240</v>
      </c>
      <c r="CG972" s="5" t="s">
        <v>304</v>
      </c>
      <c r="CH972" s="5" t="s">
        <v>305</v>
      </c>
      <c r="CI972" s="5" t="s">
        <v>240</v>
      </c>
      <c r="CL972" s="6" t="s">
        <v>261</v>
      </c>
      <c r="CM972" s="5" t="s">
        <v>240</v>
      </c>
      <c r="CN972" s="5" t="s">
        <v>263</v>
      </c>
      <c r="CO972" s="5" t="s">
        <v>240</v>
      </c>
      <c r="CP972" s="5" t="s">
        <v>240</v>
      </c>
      <c r="CQ972" s="5">
        <v>0</v>
      </c>
      <c r="CR972" s="5" t="s">
        <v>306</v>
      </c>
      <c r="CS972" s="5" t="s">
        <v>307</v>
      </c>
      <c r="CT972" s="5" t="s">
        <v>307</v>
      </c>
      <c r="CU972" s="5" t="s">
        <v>260</v>
      </c>
      <c r="CX972" s="7">
        <f>1</f>
        <v>1</v>
      </c>
      <c r="CY972" s="7">
        <f>0</f>
        <v>0</v>
      </c>
      <c r="DA972" s="7">
        <f>0</f>
        <v>0</v>
      </c>
      <c r="DC972" s="5" t="s">
        <v>309</v>
      </c>
      <c r="DD972" s="5" t="s">
        <v>240</v>
      </c>
      <c r="DF972" s="5" t="s">
        <v>309</v>
      </c>
      <c r="DG972" s="7">
        <f>410</f>
        <v>410</v>
      </c>
      <c r="DI972" s="5" t="s">
        <v>240</v>
      </c>
      <c r="DJ972" s="5" t="s">
        <v>240</v>
      </c>
      <c r="DK972" s="5" t="s">
        <v>240</v>
      </c>
      <c r="DL972" s="5" t="s">
        <v>240</v>
      </c>
      <c r="DP972" s="5" t="s">
        <v>240</v>
      </c>
      <c r="DQ972" s="5" t="s">
        <v>240</v>
      </c>
      <c r="DR972" s="5" t="s">
        <v>240</v>
      </c>
      <c r="DS972" s="5" t="s">
        <v>240</v>
      </c>
      <c r="DV972" s="5" t="s">
        <v>310</v>
      </c>
      <c r="DW972" s="5" t="s">
        <v>1221</v>
      </c>
      <c r="HO972" s="5" t="s">
        <v>312</v>
      </c>
    </row>
    <row r="973" spans="1:223" x14ac:dyDescent="0.4">
      <c r="A973" s="5">
        <v>2648</v>
      </c>
      <c r="B973" s="5">
        <v>1</v>
      </c>
      <c r="C973" s="5">
        <v>1</v>
      </c>
      <c r="D973" s="5" t="s">
        <v>297</v>
      </c>
      <c r="E973" s="5" t="s">
        <v>245</v>
      </c>
      <c r="F973" s="5" t="s">
        <v>254</v>
      </c>
      <c r="G973" s="5" t="s">
        <v>240</v>
      </c>
      <c r="H973" s="6" t="s">
        <v>367</v>
      </c>
      <c r="I973" s="5" t="s">
        <v>295</v>
      </c>
      <c r="J973" s="8">
        <f>1430</f>
        <v>1430</v>
      </c>
      <c r="K973" s="5" t="s">
        <v>308</v>
      </c>
      <c r="L973" s="7">
        <f>1</f>
        <v>1</v>
      </c>
      <c r="M973" s="7">
        <f>1</f>
        <v>1</v>
      </c>
      <c r="N973" s="5" t="s">
        <v>242</v>
      </c>
      <c r="O973" s="5">
        <v>1</v>
      </c>
      <c r="P973" s="5" t="s">
        <v>294</v>
      </c>
      <c r="Q973" s="5" t="s">
        <v>266</v>
      </c>
      <c r="R973" s="5" t="s">
        <v>240</v>
      </c>
      <c r="S973" s="5" t="s">
        <v>240</v>
      </c>
      <c r="T973" s="5" t="s">
        <v>296</v>
      </c>
      <c r="U973" s="5" t="s">
        <v>244</v>
      </c>
      <c r="V973" s="5" t="s">
        <v>240</v>
      </c>
      <c r="Y973" s="5" t="s">
        <v>240</v>
      </c>
      <c r="Z973" s="6" t="s">
        <v>298</v>
      </c>
      <c r="AB973" s="6" t="s">
        <v>240</v>
      </c>
      <c r="AE973" s="6" t="s">
        <v>299</v>
      </c>
      <c r="AF973" s="5" t="s">
        <v>248</v>
      </c>
      <c r="AG973" s="5" t="s">
        <v>249</v>
      </c>
      <c r="AW973" s="5" t="s">
        <v>251</v>
      </c>
      <c r="AX973" s="5" t="s">
        <v>240</v>
      </c>
      <c r="AY973" s="5" t="s">
        <v>253</v>
      </c>
      <c r="AZ973" s="5" t="s">
        <v>240</v>
      </c>
      <c r="BA973" s="5" t="s">
        <v>255</v>
      </c>
      <c r="BB973" s="5" t="s">
        <v>240</v>
      </c>
      <c r="BD973" s="5" t="s">
        <v>240</v>
      </c>
      <c r="BF973" s="5" t="s">
        <v>301</v>
      </c>
      <c r="BG973" s="6" t="s">
        <v>299</v>
      </c>
      <c r="BH973" s="5" t="s">
        <v>302</v>
      </c>
      <c r="BI973" s="5" t="s">
        <v>303</v>
      </c>
      <c r="BJ973" s="5" t="s">
        <v>240</v>
      </c>
      <c r="BK973" s="8">
        <f>0</f>
        <v>0</v>
      </c>
      <c r="BL973" s="7">
        <f>0</f>
        <v>0</v>
      </c>
      <c r="BM973" s="5" t="s">
        <v>258</v>
      </c>
      <c r="BN973" s="5" t="s">
        <v>259</v>
      </c>
      <c r="CB973" s="5" t="s">
        <v>240</v>
      </c>
      <c r="CC973" s="5" t="s">
        <v>240</v>
      </c>
      <c r="CG973" s="5" t="s">
        <v>304</v>
      </c>
      <c r="CH973" s="5" t="s">
        <v>305</v>
      </c>
      <c r="CI973" s="5" t="s">
        <v>240</v>
      </c>
      <c r="CL973" s="6" t="s">
        <v>261</v>
      </c>
      <c r="CM973" s="5" t="s">
        <v>240</v>
      </c>
      <c r="CN973" s="5" t="s">
        <v>263</v>
      </c>
      <c r="CO973" s="5" t="s">
        <v>240</v>
      </c>
      <c r="CP973" s="5" t="s">
        <v>240</v>
      </c>
      <c r="CQ973" s="5">
        <v>0</v>
      </c>
      <c r="CR973" s="5" t="s">
        <v>306</v>
      </c>
      <c r="CS973" s="5" t="s">
        <v>307</v>
      </c>
      <c r="CT973" s="5" t="s">
        <v>307</v>
      </c>
      <c r="CU973" s="5" t="s">
        <v>260</v>
      </c>
      <c r="CX973" s="7">
        <f>1</f>
        <v>1</v>
      </c>
      <c r="CY973" s="7">
        <f>0</f>
        <v>0</v>
      </c>
      <c r="DA973" s="7">
        <f>0</f>
        <v>0</v>
      </c>
      <c r="DC973" s="5" t="s">
        <v>309</v>
      </c>
      <c r="DD973" s="5" t="s">
        <v>240</v>
      </c>
      <c r="DF973" s="5" t="s">
        <v>309</v>
      </c>
      <c r="DG973" s="7">
        <f>886</f>
        <v>886</v>
      </c>
      <c r="DI973" s="5" t="s">
        <v>240</v>
      </c>
      <c r="DJ973" s="5" t="s">
        <v>240</v>
      </c>
      <c r="DK973" s="5" t="s">
        <v>240</v>
      </c>
      <c r="DL973" s="5" t="s">
        <v>240</v>
      </c>
      <c r="DP973" s="5" t="s">
        <v>240</v>
      </c>
      <c r="DQ973" s="5" t="s">
        <v>240</v>
      </c>
      <c r="DR973" s="5" t="s">
        <v>240</v>
      </c>
      <c r="DS973" s="5" t="s">
        <v>240</v>
      </c>
      <c r="DV973" s="5" t="s">
        <v>310</v>
      </c>
      <c r="DW973" s="5" t="s">
        <v>1223</v>
      </c>
      <c r="HO973" s="5" t="s">
        <v>312</v>
      </c>
    </row>
    <row r="974" spans="1:223" x14ac:dyDescent="0.4">
      <c r="A974" s="5">
        <v>2649</v>
      </c>
      <c r="B974" s="5">
        <v>1</v>
      </c>
      <c r="C974" s="5">
        <v>1</v>
      </c>
      <c r="D974" s="5" t="s">
        <v>297</v>
      </c>
      <c r="E974" s="5" t="s">
        <v>245</v>
      </c>
      <c r="F974" s="5" t="s">
        <v>254</v>
      </c>
      <c r="G974" s="5" t="s">
        <v>240</v>
      </c>
      <c r="H974" s="6" t="s">
        <v>365</v>
      </c>
      <c r="I974" s="5" t="s">
        <v>295</v>
      </c>
      <c r="J974" s="8">
        <f>266</f>
        <v>266</v>
      </c>
      <c r="K974" s="5" t="s">
        <v>308</v>
      </c>
      <c r="L974" s="7">
        <f>1</f>
        <v>1</v>
      </c>
      <c r="M974" s="7">
        <f>1</f>
        <v>1</v>
      </c>
      <c r="N974" s="5" t="s">
        <v>242</v>
      </c>
      <c r="O974" s="5">
        <v>1</v>
      </c>
      <c r="P974" s="5" t="s">
        <v>294</v>
      </c>
      <c r="Q974" s="5" t="s">
        <v>266</v>
      </c>
      <c r="R974" s="5" t="s">
        <v>240</v>
      </c>
      <c r="S974" s="5" t="s">
        <v>240</v>
      </c>
      <c r="T974" s="5" t="s">
        <v>296</v>
      </c>
      <c r="U974" s="5" t="s">
        <v>244</v>
      </c>
      <c r="V974" s="5" t="s">
        <v>240</v>
      </c>
      <c r="Y974" s="5" t="s">
        <v>240</v>
      </c>
      <c r="Z974" s="6" t="s">
        <v>298</v>
      </c>
      <c r="AB974" s="6" t="s">
        <v>240</v>
      </c>
      <c r="AE974" s="6" t="s">
        <v>299</v>
      </c>
      <c r="AF974" s="5" t="s">
        <v>248</v>
      </c>
      <c r="AG974" s="5" t="s">
        <v>249</v>
      </c>
      <c r="AW974" s="5" t="s">
        <v>251</v>
      </c>
      <c r="AX974" s="5" t="s">
        <v>240</v>
      </c>
      <c r="AY974" s="5" t="s">
        <v>253</v>
      </c>
      <c r="AZ974" s="5" t="s">
        <v>240</v>
      </c>
      <c r="BA974" s="5" t="s">
        <v>255</v>
      </c>
      <c r="BB974" s="5" t="s">
        <v>240</v>
      </c>
      <c r="BD974" s="5" t="s">
        <v>240</v>
      </c>
      <c r="BF974" s="5" t="s">
        <v>301</v>
      </c>
      <c r="BG974" s="6" t="s">
        <v>299</v>
      </c>
      <c r="BH974" s="5" t="s">
        <v>302</v>
      </c>
      <c r="BI974" s="5" t="s">
        <v>303</v>
      </c>
      <c r="BJ974" s="5" t="s">
        <v>240</v>
      </c>
      <c r="BK974" s="8">
        <f>0</f>
        <v>0</v>
      </c>
      <c r="BL974" s="7">
        <f>0</f>
        <v>0</v>
      </c>
      <c r="BM974" s="5" t="s">
        <v>258</v>
      </c>
      <c r="BN974" s="5" t="s">
        <v>259</v>
      </c>
      <c r="CB974" s="5" t="s">
        <v>240</v>
      </c>
      <c r="CC974" s="5" t="s">
        <v>240</v>
      </c>
      <c r="CG974" s="5" t="s">
        <v>304</v>
      </c>
      <c r="CH974" s="5" t="s">
        <v>305</v>
      </c>
      <c r="CI974" s="5" t="s">
        <v>240</v>
      </c>
      <c r="CL974" s="6" t="s">
        <v>261</v>
      </c>
      <c r="CM974" s="5" t="s">
        <v>240</v>
      </c>
      <c r="CN974" s="5" t="s">
        <v>263</v>
      </c>
      <c r="CO974" s="5" t="s">
        <v>240</v>
      </c>
      <c r="CP974" s="5" t="s">
        <v>240</v>
      </c>
      <c r="CQ974" s="5">
        <v>0</v>
      </c>
      <c r="CR974" s="5" t="s">
        <v>306</v>
      </c>
      <c r="CS974" s="5" t="s">
        <v>307</v>
      </c>
      <c r="CT974" s="5" t="s">
        <v>307</v>
      </c>
      <c r="CU974" s="5" t="s">
        <v>260</v>
      </c>
      <c r="CX974" s="7">
        <f>1</f>
        <v>1</v>
      </c>
      <c r="CY974" s="7">
        <f>0</f>
        <v>0</v>
      </c>
      <c r="DA974" s="7">
        <f>0</f>
        <v>0</v>
      </c>
      <c r="DC974" s="5" t="s">
        <v>309</v>
      </c>
      <c r="DD974" s="5" t="s">
        <v>240</v>
      </c>
      <c r="DF974" s="5" t="s">
        <v>309</v>
      </c>
      <c r="DG974" s="7">
        <f>1245</f>
        <v>1245</v>
      </c>
      <c r="DI974" s="5" t="s">
        <v>240</v>
      </c>
      <c r="DJ974" s="5" t="s">
        <v>240</v>
      </c>
      <c r="DK974" s="5" t="s">
        <v>240</v>
      </c>
      <c r="DL974" s="5" t="s">
        <v>240</v>
      </c>
      <c r="DP974" s="5" t="s">
        <v>240</v>
      </c>
      <c r="DQ974" s="5" t="s">
        <v>240</v>
      </c>
      <c r="DR974" s="5" t="s">
        <v>240</v>
      </c>
      <c r="DS974" s="5" t="s">
        <v>240</v>
      </c>
      <c r="DV974" s="5" t="s">
        <v>310</v>
      </c>
      <c r="DW974" s="5" t="s">
        <v>1225</v>
      </c>
      <c r="HO974" s="5" t="s">
        <v>312</v>
      </c>
    </row>
    <row r="975" spans="1:223" x14ac:dyDescent="0.4">
      <c r="A975" s="5">
        <v>2650</v>
      </c>
      <c r="B975" s="5">
        <v>1</v>
      </c>
      <c r="C975" s="5">
        <v>1</v>
      </c>
      <c r="D975" s="5" t="s">
        <v>297</v>
      </c>
      <c r="E975" s="5" t="s">
        <v>245</v>
      </c>
      <c r="F975" s="5" t="s">
        <v>254</v>
      </c>
      <c r="G975" s="5" t="s">
        <v>240</v>
      </c>
      <c r="H975" s="6" t="s">
        <v>363</v>
      </c>
      <c r="I975" s="5" t="s">
        <v>295</v>
      </c>
      <c r="J975" s="8">
        <f>51</f>
        <v>51</v>
      </c>
      <c r="K975" s="5" t="s">
        <v>308</v>
      </c>
      <c r="L975" s="7">
        <f>1</f>
        <v>1</v>
      </c>
      <c r="M975" s="7">
        <f>1</f>
        <v>1</v>
      </c>
      <c r="N975" s="5" t="s">
        <v>242</v>
      </c>
      <c r="O975" s="5">
        <v>1</v>
      </c>
      <c r="P975" s="5" t="s">
        <v>294</v>
      </c>
      <c r="Q975" s="5" t="s">
        <v>266</v>
      </c>
      <c r="R975" s="5" t="s">
        <v>240</v>
      </c>
      <c r="S975" s="5" t="s">
        <v>240</v>
      </c>
      <c r="T975" s="5" t="s">
        <v>296</v>
      </c>
      <c r="U975" s="5" t="s">
        <v>244</v>
      </c>
      <c r="V975" s="5" t="s">
        <v>240</v>
      </c>
      <c r="Y975" s="5" t="s">
        <v>240</v>
      </c>
      <c r="Z975" s="6" t="s">
        <v>298</v>
      </c>
      <c r="AB975" s="6" t="s">
        <v>240</v>
      </c>
      <c r="AE975" s="6" t="s">
        <v>299</v>
      </c>
      <c r="AF975" s="5" t="s">
        <v>248</v>
      </c>
      <c r="AG975" s="5" t="s">
        <v>249</v>
      </c>
      <c r="AW975" s="5" t="s">
        <v>251</v>
      </c>
      <c r="AX975" s="5" t="s">
        <v>240</v>
      </c>
      <c r="AY975" s="5" t="s">
        <v>253</v>
      </c>
      <c r="AZ975" s="5" t="s">
        <v>240</v>
      </c>
      <c r="BA975" s="5" t="s">
        <v>255</v>
      </c>
      <c r="BB975" s="5" t="s">
        <v>240</v>
      </c>
      <c r="BD975" s="5" t="s">
        <v>240</v>
      </c>
      <c r="BF975" s="5" t="s">
        <v>301</v>
      </c>
      <c r="BG975" s="6" t="s">
        <v>299</v>
      </c>
      <c r="BH975" s="5" t="s">
        <v>302</v>
      </c>
      <c r="BI975" s="5" t="s">
        <v>303</v>
      </c>
      <c r="BJ975" s="5" t="s">
        <v>240</v>
      </c>
      <c r="BK975" s="8">
        <f>0</f>
        <v>0</v>
      </c>
      <c r="BL975" s="7">
        <f>0</f>
        <v>0</v>
      </c>
      <c r="BM975" s="5" t="s">
        <v>258</v>
      </c>
      <c r="BN975" s="5" t="s">
        <v>259</v>
      </c>
      <c r="CB975" s="5" t="s">
        <v>240</v>
      </c>
      <c r="CC975" s="5" t="s">
        <v>240</v>
      </c>
      <c r="CG975" s="5" t="s">
        <v>304</v>
      </c>
      <c r="CH975" s="5" t="s">
        <v>305</v>
      </c>
      <c r="CI975" s="5" t="s">
        <v>240</v>
      </c>
      <c r="CL975" s="6" t="s">
        <v>261</v>
      </c>
      <c r="CM975" s="5" t="s">
        <v>240</v>
      </c>
      <c r="CN975" s="5" t="s">
        <v>263</v>
      </c>
      <c r="CO975" s="5" t="s">
        <v>240</v>
      </c>
      <c r="CP975" s="5" t="s">
        <v>240</v>
      </c>
      <c r="CQ975" s="5">
        <v>0</v>
      </c>
      <c r="CR975" s="5" t="s">
        <v>306</v>
      </c>
      <c r="CS975" s="5" t="s">
        <v>307</v>
      </c>
      <c r="CT975" s="5" t="s">
        <v>307</v>
      </c>
      <c r="CU975" s="5" t="s">
        <v>260</v>
      </c>
      <c r="CX975" s="7">
        <f>1</f>
        <v>1</v>
      </c>
      <c r="CY975" s="7">
        <f>0</f>
        <v>0</v>
      </c>
      <c r="DA975" s="7">
        <f>0</f>
        <v>0</v>
      </c>
      <c r="DC975" s="5" t="s">
        <v>309</v>
      </c>
      <c r="DD975" s="5" t="s">
        <v>240</v>
      </c>
      <c r="DF975" s="5" t="s">
        <v>309</v>
      </c>
      <c r="DG975" s="7">
        <f>350</f>
        <v>350</v>
      </c>
      <c r="DI975" s="5" t="s">
        <v>240</v>
      </c>
      <c r="DJ975" s="5" t="s">
        <v>240</v>
      </c>
      <c r="DK975" s="5" t="s">
        <v>240</v>
      </c>
      <c r="DL975" s="5" t="s">
        <v>240</v>
      </c>
      <c r="DP975" s="5" t="s">
        <v>240</v>
      </c>
      <c r="DQ975" s="5" t="s">
        <v>240</v>
      </c>
      <c r="DR975" s="5" t="s">
        <v>240</v>
      </c>
      <c r="DS975" s="5" t="s">
        <v>240</v>
      </c>
      <c r="DV975" s="5" t="s">
        <v>310</v>
      </c>
      <c r="DW975" s="5" t="s">
        <v>1227</v>
      </c>
      <c r="HO975" s="5" t="s">
        <v>312</v>
      </c>
    </row>
    <row r="976" spans="1:223" x14ac:dyDescent="0.4">
      <c r="A976" s="5">
        <v>2651</v>
      </c>
      <c r="B976" s="5">
        <v>1</v>
      </c>
      <c r="C976" s="5">
        <v>1</v>
      </c>
      <c r="D976" s="5" t="s">
        <v>297</v>
      </c>
      <c r="E976" s="5" t="s">
        <v>245</v>
      </c>
      <c r="F976" s="5" t="s">
        <v>254</v>
      </c>
      <c r="G976" s="5" t="s">
        <v>240</v>
      </c>
      <c r="H976" s="6" t="s">
        <v>361</v>
      </c>
      <c r="I976" s="5" t="s">
        <v>295</v>
      </c>
      <c r="J976" s="8">
        <f>92</f>
        <v>92</v>
      </c>
      <c r="K976" s="5" t="s">
        <v>308</v>
      </c>
      <c r="L976" s="7">
        <f>1</f>
        <v>1</v>
      </c>
      <c r="M976" s="7">
        <f>1</f>
        <v>1</v>
      </c>
      <c r="N976" s="5" t="s">
        <v>242</v>
      </c>
      <c r="O976" s="5">
        <v>1</v>
      </c>
      <c r="P976" s="5" t="s">
        <v>294</v>
      </c>
      <c r="Q976" s="5" t="s">
        <v>266</v>
      </c>
      <c r="R976" s="5" t="s">
        <v>240</v>
      </c>
      <c r="S976" s="5" t="s">
        <v>240</v>
      </c>
      <c r="T976" s="5" t="s">
        <v>296</v>
      </c>
      <c r="U976" s="5" t="s">
        <v>244</v>
      </c>
      <c r="V976" s="5" t="s">
        <v>240</v>
      </c>
      <c r="Y976" s="5" t="s">
        <v>240</v>
      </c>
      <c r="Z976" s="6" t="s">
        <v>298</v>
      </c>
      <c r="AB976" s="6" t="s">
        <v>240</v>
      </c>
      <c r="AE976" s="6" t="s">
        <v>299</v>
      </c>
      <c r="AF976" s="5" t="s">
        <v>248</v>
      </c>
      <c r="AG976" s="5" t="s">
        <v>249</v>
      </c>
      <c r="AW976" s="5" t="s">
        <v>251</v>
      </c>
      <c r="AX976" s="5" t="s">
        <v>240</v>
      </c>
      <c r="AY976" s="5" t="s">
        <v>253</v>
      </c>
      <c r="AZ976" s="5" t="s">
        <v>240</v>
      </c>
      <c r="BA976" s="5" t="s">
        <v>255</v>
      </c>
      <c r="BB976" s="5" t="s">
        <v>240</v>
      </c>
      <c r="BD976" s="5" t="s">
        <v>240</v>
      </c>
      <c r="BF976" s="5" t="s">
        <v>301</v>
      </c>
      <c r="BG976" s="6" t="s">
        <v>299</v>
      </c>
      <c r="BH976" s="5" t="s">
        <v>302</v>
      </c>
      <c r="BI976" s="5" t="s">
        <v>303</v>
      </c>
      <c r="BJ976" s="5" t="s">
        <v>240</v>
      </c>
      <c r="BK976" s="8">
        <f>0</f>
        <v>0</v>
      </c>
      <c r="BL976" s="7">
        <f>0</f>
        <v>0</v>
      </c>
      <c r="BM976" s="5" t="s">
        <v>258</v>
      </c>
      <c r="BN976" s="5" t="s">
        <v>259</v>
      </c>
      <c r="CB976" s="5" t="s">
        <v>240</v>
      </c>
      <c r="CC976" s="5" t="s">
        <v>240</v>
      </c>
      <c r="CG976" s="5" t="s">
        <v>304</v>
      </c>
      <c r="CH976" s="5" t="s">
        <v>305</v>
      </c>
      <c r="CI976" s="5" t="s">
        <v>240</v>
      </c>
      <c r="CL976" s="6" t="s">
        <v>261</v>
      </c>
      <c r="CM976" s="5" t="s">
        <v>240</v>
      </c>
      <c r="CN976" s="5" t="s">
        <v>263</v>
      </c>
      <c r="CO976" s="5" t="s">
        <v>240</v>
      </c>
      <c r="CP976" s="5" t="s">
        <v>240</v>
      </c>
      <c r="CQ976" s="5">
        <v>0</v>
      </c>
      <c r="CR976" s="5" t="s">
        <v>306</v>
      </c>
      <c r="CS976" s="5" t="s">
        <v>307</v>
      </c>
      <c r="CT976" s="5" t="s">
        <v>307</v>
      </c>
      <c r="CU976" s="5" t="s">
        <v>260</v>
      </c>
      <c r="CX976" s="7">
        <f>1</f>
        <v>1</v>
      </c>
      <c r="CY976" s="7">
        <f>0</f>
        <v>0</v>
      </c>
      <c r="DA976" s="7">
        <f>0</f>
        <v>0</v>
      </c>
      <c r="DC976" s="5" t="s">
        <v>309</v>
      </c>
      <c r="DD976" s="5" t="s">
        <v>240</v>
      </c>
      <c r="DF976" s="5" t="s">
        <v>309</v>
      </c>
      <c r="DG976" s="7">
        <f>321</f>
        <v>321</v>
      </c>
      <c r="DI976" s="5" t="s">
        <v>240</v>
      </c>
      <c r="DJ976" s="5" t="s">
        <v>240</v>
      </c>
      <c r="DK976" s="5" t="s">
        <v>240</v>
      </c>
      <c r="DL976" s="5" t="s">
        <v>240</v>
      </c>
      <c r="DP976" s="5" t="s">
        <v>240</v>
      </c>
      <c r="DQ976" s="5" t="s">
        <v>240</v>
      </c>
      <c r="DR976" s="5" t="s">
        <v>240</v>
      </c>
      <c r="DS976" s="5" t="s">
        <v>240</v>
      </c>
      <c r="DV976" s="5" t="s">
        <v>310</v>
      </c>
      <c r="DW976" s="5" t="s">
        <v>1229</v>
      </c>
      <c r="HO976" s="5" t="s">
        <v>312</v>
      </c>
    </row>
    <row r="977" spans="1:223" x14ac:dyDescent="0.4">
      <c r="A977" s="5">
        <v>2652</v>
      </c>
      <c r="B977" s="5">
        <v>1</v>
      </c>
      <c r="C977" s="5">
        <v>1</v>
      </c>
      <c r="D977" s="5" t="s">
        <v>297</v>
      </c>
      <c r="E977" s="5" t="s">
        <v>245</v>
      </c>
      <c r="F977" s="5" t="s">
        <v>254</v>
      </c>
      <c r="G977" s="5" t="s">
        <v>240</v>
      </c>
      <c r="H977" s="6" t="s">
        <v>359</v>
      </c>
      <c r="I977" s="5" t="s">
        <v>295</v>
      </c>
      <c r="J977" s="8">
        <f>135</f>
        <v>135</v>
      </c>
      <c r="K977" s="5" t="s">
        <v>308</v>
      </c>
      <c r="L977" s="7">
        <f>1</f>
        <v>1</v>
      </c>
      <c r="M977" s="7">
        <f>1</f>
        <v>1</v>
      </c>
      <c r="N977" s="5" t="s">
        <v>242</v>
      </c>
      <c r="O977" s="5">
        <v>1</v>
      </c>
      <c r="P977" s="5" t="s">
        <v>294</v>
      </c>
      <c r="Q977" s="5" t="s">
        <v>613</v>
      </c>
      <c r="R977" s="5" t="s">
        <v>240</v>
      </c>
      <c r="S977" s="5" t="s">
        <v>240</v>
      </c>
      <c r="T977" s="5" t="s">
        <v>243</v>
      </c>
      <c r="U977" s="5" t="s">
        <v>724</v>
      </c>
      <c r="V977" s="5" t="s">
        <v>240</v>
      </c>
      <c r="Y977" s="5" t="s">
        <v>240</v>
      </c>
      <c r="Z977" s="6" t="s">
        <v>298</v>
      </c>
      <c r="AB977" s="6" t="s">
        <v>240</v>
      </c>
      <c r="AE977" s="6" t="s">
        <v>299</v>
      </c>
      <c r="AF977" s="5" t="s">
        <v>248</v>
      </c>
      <c r="AG977" s="5" t="s">
        <v>249</v>
      </c>
      <c r="AW977" s="5" t="s">
        <v>251</v>
      </c>
      <c r="AX977" s="5" t="s">
        <v>240</v>
      </c>
      <c r="AY977" s="5" t="s">
        <v>253</v>
      </c>
      <c r="AZ977" s="5" t="s">
        <v>240</v>
      </c>
      <c r="BA977" s="5" t="s">
        <v>255</v>
      </c>
      <c r="BB977" s="5" t="s">
        <v>240</v>
      </c>
      <c r="BD977" s="5" t="s">
        <v>240</v>
      </c>
      <c r="BF977" s="5" t="s">
        <v>301</v>
      </c>
      <c r="BG977" s="6" t="s">
        <v>299</v>
      </c>
      <c r="BH977" s="5" t="s">
        <v>302</v>
      </c>
      <c r="BI977" s="5" t="s">
        <v>303</v>
      </c>
      <c r="BJ977" s="5" t="s">
        <v>240</v>
      </c>
      <c r="BK977" s="8">
        <f>0</f>
        <v>0</v>
      </c>
      <c r="BL977" s="7">
        <f>0</f>
        <v>0</v>
      </c>
      <c r="BM977" s="5" t="s">
        <v>258</v>
      </c>
      <c r="BN977" s="5" t="s">
        <v>259</v>
      </c>
      <c r="CB977" s="5" t="s">
        <v>240</v>
      </c>
      <c r="CC977" s="5" t="s">
        <v>240</v>
      </c>
      <c r="CG977" s="5" t="s">
        <v>617</v>
      </c>
      <c r="CH977" s="5" t="s">
        <v>305</v>
      </c>
      <c r="CI977" s="5" t="s">
        <v>240</v>
      </c>
      <c r="CL977" s="6" t="s">
        <v>261</v>
      </c>
      <c r="CM977" s="5" t="s">
        <v>240</v>
      </c>
      <c r="CN977" s="5" t="s">
        <v>263</v>
      </c>
      <c r="CO977" s="5" t="s">
        <v>240</v>
      </c>
      <c r="CP977" s="5" t="s">
        <v>240</v>
      </c>
      <c r="CQ977" s="5">
        <v>0</v>
      </c>
      <c r="CR977" s="5" t="s">
        <v>306</v>
      </c>
      <c r="CS977" s="5" t="s">
        <v>307</v>
      </c>
      <c r="CT977" s="5" t="s">
        <v>307</v>
      </c>
      <c r="CU977" s="5" t="s">
        <v>260</v>
      </c>
      <c r="CX977" s="7">
        <f>3520</f>
        <v>3520</v>
      </c>
      <c r="CY977" s="7">
        <f>0</f>
        <v>0</v>
      </c>
      <c r="DA977" s="7">
        <f>0</f>
        <v>0</v>
      </c>
      <c r="DC977" s="5" t="s">
        <v>737</v>
      </c>
      <c r="DD977" s="5" t="s">
        <v>240</v>
      </c>
      <c r="DF977" s="5" t="s">
        <v>450</v>
      </c>
      <c r="DG977" s="7">
        <f>0</f>
        <v>0</v>
      </c>
      <c r="DI977" s="5" t="s">
        <v>737</v>
      </c>
      <c r="DJ977" s="5" t="s">
        <v>240</v>
      </c>
      <c r="DK977" s="5" t="s">
        <v>240</v>
      </c>
      <c r="DL977" s="5" t="s">
        <v>240</v>
      </c>
      <c r="DP977" s="5" t="s">
        <v>240</v>
      </c>
      <c r="DQ977" s="5" t="s">
        <v>240</v>
      </c>
      <c r="DR977" s="5" t="s">
        <v>240</v>
      </c>
      <c r="DS977" s="5" t="s">
        <v>240</v>
      </c>
      <c r="DV977" s="5" t="s">
        <v>957</v>
      </c>
      <c r="DW977" s="5" t="s">
        <v>424</v>
      </c>
      <c r="HO977" s="5" t="s">
        <v>312</v>
      </c>
    </row>
    <row r="978" spans="1:223" x14ac:dyDescent="0.4">
      <c r="A978" s="5">
        <v>2653</v>
      </c>
      <c r="B978" s="5">
        <v>1</v>
      </c>
      <c r="C978" s="5">
        <v>1</v>
      </c>
      <c r="D978" s="5" t="s">
        <v>297</v>
      </c>
      <c r="E978" s="5" t="s">
        <v>245</v>
      </c>
      <c r="F978" s="5" t="s">
        <v>254</v>
      </c>
      <c r="G978" s="5" t="s">
        <v>240</v>
      </c>
      <c r="H978" s="6" t="s">
        <v>357</v>
      </c>
      <c r="I978" s="5" t="s">
        <v>295</v>
      </c>
      <c r="J978" s="8">
        <f>727</f>
        <v>727</v>
      </c>
      <c r="K978" s="5" t="s">
        <v>308</v>
      </c>
      <c r="L978" s="7">
        <f>1</f>
        <v>1</v>
      </c>
      <c r="M978" s="7">
        <f>1</f>
        <v>1</v>
      </c>
      <c r="N978" s="5" t="s">
        <v>242</v>
      </c>
      <c r="O978" s="5">
        <v>1</v>
      </c>
      <c r="P978" s="5" t="s">
        <v>294</v>
      </c>
      <c r="Q978" s="5" t="s">
        <v>613</v>
      </c>
      <c r="R978" s="5" t="s">
        <v>240</v>
      </c>
      <c r="S978" s="5" t="s">
        <v>240</v>
      </c>
      <c r="T978" s="5" t="s">
        <v>243</v>
      </c>
      <c r="U978" s="5" t="s">
        <v>724</v>
      </c>
      <c r="V978" s="5" t="s">
        <v>240</v>
      </c>
      <c r="Y978" s="5" t="s">
        <v>240</v>
      </c>
      <c r="Z978" s="6" t="s">
        <v>298</v>
      </c>
      <c r="AB978" s="6" t="s">
        <v>240</v>
      </c>
      <c r="AE978" s="6" t="s">
        <v>299</v>
      </c>
      <c r="AF978" s="5" t="s">
        <v>248</v>
      </c>
      <c r="AG978" s="5" t="s">
        <v>249</v>
      </c>
      <c r="AW978" s="5" t="s">
        <v>251</v>
      </c>
      <c r="AX978" s="5" t="s">
        <v>240</v>
      </c>
      <c r="AY978" s="5" t="s">
        <v>253</v>
      </c>
      <c r="AZ978" s="5" t="s">
        <v>240</v>
      </c>
      <c r="BA978" s="5" t="s">
        <v>255</v>
      </c>
      <c r="BB978" s="5" t="s">
        <v>240</v>
      </c>
      <c r="BD978" s="5" t="s">
        <v>240</v>
      </c>
      <c r="BF978" s="5" t="s">
        <v>301</v>
      </c>
      <c r="BG978" s="6" t="s">
        <v>299</v>
      </c>
      <c r="BH978" s="5" t="s">
        <v>302</v>
      </c>
      <c r="BI978" s="5" t="s">
        <v>303</v>
      </c>
      <c r="BJ978" s="5" t="s">
        <v>240</v>
      </c>
      <c r="BK978" s="8">
        <f>0</f>
        <v>0</v>
      </c>
      <c r="BL978" s="7">
        <f>0</f>
        <v>0</v>
      </c>
      <c r="BM978" s="5" t="s">
        <v>258</v>
      </c>
      <c r="BN978" s="5" t="s">
        <v>259</v>
      </c>
      <c r="CB978" s="5" t="s">
        <v>240</v>
      </c>
      <c r="CC978" s="5" t="s">
        <v>240</v>
      </c>
      <c r="CG978" s="5" t="s">
        <v>617</v>
      </c>
      <c r="CH978" s="5" t="s">
        <v>305</v>
      </c>
      <c r="CI978" s="5" t="s">
        <v>240</v>
      </c>
      <c r="CL978" s="6" t="s">
        <v>261</v>
      </c>
      <c r="CM978" s="5" t="s">
        <v>240</v>
      </c>
      <c r="CN978" s="5" t="s">
        <v>263</v>
      </c>
      <c r="CO978" s="5" t="s">
        <v>240</v>
      </c>
      <c r="CP978" s="5" t="s">
        <v>240</v>
      </c>
      <c r="CQ978" s="5">
        <v>0</v>
      </c>
      <c r="CR978" s="5" t="s">
        <v>306</v>
      </c>
      <c r="CS978" s="5" t="s">
        <v>307</v>
      </c>
      <c r="CT978" s="5" t="s">
        <v>307</v>
      </c>
      <c r="CU978" s="5" t="s">
        <v>260</v>
      </c>
      <c r="CX978" s="7">
        <f>143319</f>
        <v>143319</v>
      </c>
      <c r="CY978" s="7">
        <f>0</f>
        <v>0</v>
      </c>
      <c r="DA978" s="7">
        <f>0</f>
        <v>0</v>
      </c>
      <c r="DC978" s="5" t="s">
        <v>854</v>
      </c>
      <c r="DD978" s="5" t="s">
        <v>240</v>
      </c>
      <c r="DF978" s="5" t="s">
        <v>450</v>
      </c>
      <c r="DG978" s="7">
        <f>0</f>
        <v>0</v>
      </c>
      <c r="DI978" s="5" t="s">
        <v>737</v>
      </c>
      <c r="DJ978" s="5" t="s">
        <v>240</v>
      </c>
      <c r="DK978" s="5" t="s">
        <v>240</v>
      </c>
      <c r="DL978" s="5" t="s">
        <v>240</v>
      </c>
      <c r="DP978" s="5" t="s">
        <v>240</v>
      </c>
      <c r="DQ978" s="5" t="s">
        <v>240</v>
      </c>
      <c r="DR978" s="5" t="s">
        <v>240</v>
      </c>
      <c r="DS978" s="5" t="s">
        <v>240</v>
      </c>
      <c r="DV978" s="5" t="s">
        <v>957</v>
      </c>
      <c r="DW978" s="5" t="s">
        <v>426</v>
      </c>
      <c r="HO978" s="5" t="s">
        <v>312</v>
      </c>
    </row>
    <row r="979" spans="1:223" x14ac:dyDescent="0.4">
      <c r="A979" s="5">
        <v>2654</v>
      </c>
      <c r="B979" s="5">
        <v>1</v>
      </c>
      <c r="C979" s="5">
        <v>1</v>
      </c>
      <c r="D979" s="5" t="s">
        <v>297</v>
      </c>
      <c r="E979" s="5" t="s">
        <v>245</v>
      </c>
      <c r="F979" s="5" t="s">
        <v>254</v>
      </c>
      <c r="G979" s="5" t="s">
        <v>240</v>
      </c>
      <c r="H979" s="6" t="s">
        <v>355</v>
      </c>
      <c r="I979" s="5" t="s">
        <v>295</v>
      </c>
      <c r="J979" s="8">
        <f>579</f>
        <v>579</v>
      </c>
      <c r="K979" s="5" t="s">
        <v>308</v>
      </c>
      <c r="L979" s="7">
        <f>1</f>
        <v>1</v>
      </c>
      <c r="M979" s="7">
        <f>1</f>
        <v>1</v>
      </c>
      <c r="N979" s="5" t="s">
        <v>242</v>
      </c>
      <c r="O979" s="5">
        <v>1</v>
      </c>
      <c r="P979" s="5" t="s">
        <v>294</v>
      </c>
      <c r="Q979" s="5" t="s">
        <v>613</v>
      </c>
      <c r="R979" s="5" t="s">
        <v>240</v>
      </c>
      <c r="S979" s="5" t="s">
        <v>240</v>
      </c>
      <c r="T979" s="5" t="s">
        <v>243</v>
      </c>
      <c r="U979" s="5" t="s">
        <v>724</v>
      </c>
      <c r="V979" s="5" t="s">
        <v>240</v>
      </c>
      <c r="Y979" s="5" t="s">
        <v>240</v>
      </c>
      <c r="Z979" s="6" t="s">
        <v>298</v>
      </c>
      <c r="AB979" s="6" t="s">
        <v>240</v>
      </c>
      <c r="AE979" s="6" t="s">
        <v>299</v>
      </c>
      <c r="AF979" s="5" t="s">
        <v>248</v>
      </c>
      <c r="AG979" s="5" t="s">
        <v>249</v>
      </c>
      <c r="AW979" s="5" t="s">
        <v>251</v>
      </c>
      <c r="AX979" s="5" t="s">
        <v>240</v>
      </c>
      <c r="AY979" s="5" t="s">
        <v>253</v>
      </c>
      <c r="AZ979" s="5" t="s">
        <v>240</v>
      </c>
      <c r="BA979" s="5" t="s">
        <v>255</v>
      </c>
      <c r="BB979" s="5" t="s">
        <v>240</v>
      </c>
      <c r="BD979" s="5" t="s">
        <v>240</v>
      </c>
      <c r="BF979" s="5" t="s">
        <v>301</v>
      </c>
      <c r="BG979" s="6" t="s">
        <v>299</v>
      </c>
      <c r="BH979" s="5" t="s">
        <v>302</v>
      </c>
      <c r="BI979" s="5" t="s">
        <v>303</v>
      </c>
      <c r="BJ979" s="5" t="s">
        <v>240</v>
      </c>
      <c r="BK979" s="8">
        <f>0</f>
        <v>0</v>
      </c>
      <c r="BL979" s="7">
        <f>0</f>
        <v>0</v>
      </c>
      <c r="BM979" s="5" t="s">
        <v>258</v>
      </c>
      <c r="BN979" s="5" t="s">
        <v>259</v>
      </c>
      <c r="CB979" s="5" t="s">
        <v>240</v>
      </c>
      <c r="CC979" s="5" t="s">
        <v>240</v>
      </c>
      <c r="CG979" s="5" t="s">
        <v>617</v>
      </c>
      <c r="CH979" s="5" t="s">
        <v>305</v>
      </c>
      <c r="CI979" s="5" t="s">
        <v>240</v>
      </c>
      <c r="CL979" s="6" t="s">
        <v>261</v>
      </c>
      <c r="CM979" s="5" t="s">
        <v>240</v>
      </c>
      <c r="CN979" s="5" t="s">
        <v>263</v>
      </c>
      <c r="CO979" s="5" t="s">
        <v>240</v>
      </c>
      <c r="CP979" s="5" t="s">
        <v>240</v>
      </c>
      <c r="CQ979" s="5">
        <v>0</v>
      </c>
      <c r="CR979" s="5" t="s">
        <v>306</v>
      </c>
      <c r="CS979" s="5" t="s">
        <v>307</v>
      </c>
      <c r="CT979" s="5" t="s">
        <v>307</v>
      </c>
      <c r="CU979" s="5" t="s">
        <v>260</v>
      </c>
      <c r="CX979" s="7">
        <f>21813</f>
        <v>21813</v>
      </c>
      <c r="CY979" s="7">
        <f>0</f>
        <v>0</v>
      </c>
      <c r="DA979" s="7">
        <f>0</f>
        <v>0</v>
      </c>
      <c r="DC979" s="5" t="s">
        <v>854</v>
      </c>
      <c r="DD979" s="5" t="s">
        <v>240</v>
      </c>
      <c r="DF979" s="5" t="s">
        <v>450</v>
      </c>
      <c r="DG979" s="7">
        <f>0</f>
        <v>0</v>
      </c>
      <c r="DI979" s="5" t="s">
        <v>737</v>
      </c>
      <c r="DJ979" s="5" t="s">
        <v>240</v>
      </c>
      <c r="DK979" s="5" t="s">
        <v>240</v>
      </c>
      <c r="DL979" s="5" t="s">
        <v>240</v>
      </c>
      <c r="DP979" s="5" t="s">
        <v>240</v>
      </c>
      <c r="DQ979" s="5" t="s">
        <v>240</v>
      </c>
      <c r="DR979" s="5" t="s">
        <v>240</v>
      </c>
      <c r="DS979" s="5" t="s">
        <v>240</v>
      </c>
      <c r="DV979" s="5" t="s">
        <v>957</v>
      </c>
      <c r="DW979" s="5" t="s">
        <v>428</v>
      </c>
      <c r="HO979" s="5" t="s">
        <v>312</v>
      </c>
    </row>
    <row r="980" spans="1:223" x14ac:dyDescent="0.4">
      <c r="A980" s="5">
        <v>2655</v>
      </c>
      <c r="B980" s="5">
        <v>1</v>
      </c>
      <c r="C980" s="5">
        <v>1</v>
      </c>
      <c r="D980" s="5" t="s">
        <v>297</v>
      </c>
      <c r="E980" s="5" t="s">
        <v>245</v>
      </c>
      <c r="F980" s="5" t="s">
        <v>254</v>
      </c>
      <c r="G980" s="5" t="s">
        <v>240</v>
      </c>
      <c r="H980" s="6" t="s">
        <v>353</v>
      </c>
      <c r="I980" s="5" t="s">
        <v>295</v>
      </c>
      <c r="J980" s="8">
        <f>66</f>
        <v>66</v>
      </c>
      <c r="K980" s="5" t="s">
        <v>308</v>
      </c>
      <c r="L980" s="7">
        <f>1</f>
        <v>1</v>
      </c>
      <c r="M980" s="7">
        <f>1</f>
        <v>1</v>
      </c>
      <c r="N980" s="5" t="s">
        <v>242</v>
      </c>
      <c r="O980" s="5">
        <v>1</v>
      </c>
      <c r="P980" s="5" t="s">
        <v>294</v>
      </c>
      <c r="Q980" s="5" t="s">
        <v>613</v>
      </c>
      <c r="R980" s="5" t="s">
        <v>240</v>
      </c>
      <c r="S980" s="5" t="s">
        <v>240</v>
      </c>
      <c r="T980" s="5" t="s">
        <v>243</v>
      </c>
      <c r="U980" s="5" t="s">
        <v>724</v>
      </c>
      <c r="V980" s="5" t="s">
        <v>240</v>
      </c>
      <c r="Y980" s="5" t="s">
        <v>240</v>
      </c>
      <c r="Z980" s="6" t="s">
        <v>298</v>
      </c>
      <c r="AB980" s="6" t="s">
        <v>240</v>
      </c>
      <c r="AE980" s="6" t="s">
        <v>299</v>
      </c>
      <c r="AF980" s="5" t="s">
        <v>248</v>
      </c>
      <c r="AG980" s="5" t="s">
        <v>249</v>
      </c>
      <c r="AW980" s="5" t="s">
        <v>251</v>
      </c>
      <c r="AX980" s="5" t="s">
        <v>240</v>
      </c>
      <c r="AY980" s="5" t="s">
        <v>253</v>
      </c>
      <c r="AZ980" s="5" t="s">
        <v>240</v>
      </c>
      <c r="BA980" s="5" t="s">
        <v>255</v>
      </c>
      <c r="BB980" s="5" t="s">
        <v>240</v>
      </c>
      <c r="BD980" s="5" t="s">
        <v>240</v>
      </c>
      <c r="BF980" s="5" t="s">
        <v>301</v>
      </c>
      <c r="BG980" s="6" t="s">
        <v>299</v>
      </c>
      <c r="BH980" s="5" t="s">
        <v>302</v>
      </c>
      <c r="BI980" s="5" t="s">
        <v>303</v>
      </c>
      <c r="BJ980" s="5" t="s">
        <v>240</v>
      </c>
      <c r="BK980" s="8">
        <f>0</f>
        <v>0</v>
      </c>
      <c r="BL980" s="7">
        <f>0</f>
        <v>0</v>
      </c>
      <c r="BM980" s="5" t="s">
        <v>258</v>
      </c>
      <c r="BN980" s="5" t="s">
        <v>259</v>
      </c>
      <c r="CB980" s="5" t="s">
        <v>240</v>
      </c>
      <c r="CC980" s="5" t="s">
        <v>240</v>
      </c>
      <c r="CG980" s="5" t="s">
        <v>617</v>
      </c>
      <c r="CH980" s="5" t="s">
        <v>305</v>
      </c>
      <c r="CI980" s="5" t="s">
        <v>240</v>
      </c>
      <c r="CL980" s="6" t="s">
        <v>261</v>
      </c>
      <c r="CM980" s="5" t="s">
        <v>240</v>
      </c>
      <c r="CN980" s="5" t="s">
        <v>263</v>
      </c>
      <c r="CO980" s="5" t="s">
        <v>240</v>
      </c>
      <c r="CP980" s="5" t="s">
        <v>240</v>
      </c>
      <c r="CQ980" s="5">
        <v>0</v>
      </c>
      <c r="CR980" s="5" t="s">
        <v>306</v>
      </c>
      <c r="CS980" s="5" t="s">
        <v>307</v>
      </c>
      <c r="CT980" s="5" t="s">
        <v>307</v>
      </c>
      <c r="CU980" s="5" t="s">
        <v>260</v>
      </c>
      <c r="CX980" s="7">
        <f>4576</f>
        <v>4576</v>
      </c>
      <c r="CY980" s="7">
        <f>0</f>
        <v>0</v>
      </c>
      <c r="DA980" s="7">
        <f>0</f>
        <v>0</v>
      </c>
      <c r="DC980" s="5" t="s">
        <v>854</v>
      </c>
      <c r="DD980" s="5" t="s">
        <v>240</v>
      </c>
      <c r="DF980" s="5" t="s">
        <v>450</v>
      </c>
      <c r="DG980" s="7">
        <f>0</f>
        <v>0</v>
      </c>
      <c r="DI980" s="5" t="s">
        <v>737</v>
      </c>
      <c r="DJ980" s="5" t="s">
        <v>240</v>
      </c>
      <c r="DK980" s="5" t="s">
        <v>240</v>
      </c>
      <c r="DL980" s="5" t="s">
        <v>240</v>
      </c>
      <c r="DP980" s="5" t="s">
        <v>240</v>
      </c>
      <c r="DQ980" s="5" t="s">
        <v>240</v>
      </c>
      <c r="DR980" s="5" t="s">
        <v>240</v>
      </c>
      <c r="DS980" s="5" t="s">
        <v>240</v>
      </c>
      <c r="DV980" s="5" t="s">
        <v>957</v>
      </c>
      <c r="DW980" s="5" t="s">
        <v>430</v>
      </c>
      <c r="HO980" s="5" t="s">
        <v>312</v>
      </c>
    </row>
    <row r="981" spans="1:223" x14ac:dyDescent="0.4">
      <c r="A981" s="5">
        <v>2656</v>
      </c>
      <c r="B981" s="5">
        <v>1</v>
      </c>
      <c r="C981" s="5">
        <v>1</v>
      </c>
      <c r="D981" s="5" t="s">
        <v>297</v>
      </c>
      <c r="E981" s="5" t="s">
        <v>245</v>
      </c>
      <c r="F981" s="5" t="s">
        <v>254</v>
      </c>
      <c r="G981" s="5" t="s">
        <v>240</v>
      </c>
      <c r="H981" s="6" t="s">
        <v>351</v>
      </c>
      <c r="I981" s="5" t="s">
        <v>295</v>
      </c>
      <c r="J981" s="8">
        <f>118</f>
        <v>118</v>
      </c>
      <c r="K981" s="5" t="s">
        <v>308</v>
      </c>
      <c r="L981" s="7">
        <f>1</f>
        <v>1</v>
      </c>
      <c r="M981" s="7">
        <f>1</f>
        <v>1</v>
      </c>
      <c r="N981" s="5" t="s">
        <v>242</v>
      </c>
      <c r="O981" s="5">
        <v>1</v>
      </c>
      <c r="P981" s="5" t="s">
        <v>294</v>
      </c>
      <c r="Q981" s="5" t="s">
        <v>613</v>
      </c>
      <c r="R981" s="5" t="s">
        <v>240</v>
      </c>
      <c r="S981" s="5" t="s">
        <v>240</v>
      </c>
      <c r="T981" s="5" t="s">
        <v>243</v>
      </c>
      <c r="U981" s="5" t="s">
        <v>724</v>
      </c>
      <c r="V981" s="5" t="s">
        <v>240</v>
      </c>
      <c r="Y981" s="5" t="s">
        <v>240</v>
      </c>
      <c r="Z981" s="6" t="s">
        <v>298</v>
      </c>
      <c r="AB981" s="6" t="s">
        <v>240</v>
      </c>
      <c r="AE981" s="6" t="s">
        <v>299</v>
      </c>
      <c r="AF981" s="5" t="s">
        <v>248</v>
      </c>
      <c r="AG981" s="5" t="s">
        <v>249</v>
      </c>
      <c r="AW981" s="5" t="s">
        <v>251</v>
      </c>
      <c r="AX981" s="5" t="s">
        <v>240</v>
      </c>
      <c r="AY981" s="5" t="s">
        <v>253</v>
      </c>
      <c r="AZ981" s="5" t="s">
        <v>240</v>
      </c>
      <c r="BA981" s="5" t="s">
        <v>255</v>
      </c>
      <c r="BB981" s="5" t="s">
        <v>240</v>
      </c>
      <c r="BD981" s="5" t="s">
        <v>240</v>
      </c>
      <c r="BF981" s="5" t="s">
        <v>301</v>
      </c>
      <c r="BG981" s="6" t="s">
        <v>299</v>
      </c>
      <c r="BH981" s="5" t="s">
        <v>302</v>
      </c>
      <c r="BI981" s="5" t="s">
        <v>303</v>
      </c>
      <c r="BJ981" s="5" t="s">
        <v>240</v>
      </c>
      <c r="BK981" s="8">
        <f>0</f>
        <v>0</v>
      </c>
      <c r="BL981" s="7">
        <f>0</f>
        <v>0</v>
      </c>
      <c r="BM981" s="5" t="s">
        <v>258</v>
      </c>
      <c r="BN981" s="5" t="s">
        <v>259</v>
      </c>
      <c r="CB981" s="5" t="s">
        <v>240</v>
      </c>
      <c r="CC981" s="5" t="s">
        <v>240</v>
      </c>
      <c r="CG981" s="5" t="s">
        <v>617</v>
      </c>
      <c r="CH981" s="5" t="s">
        <v>305</v>
      </c>
      <c r="CI981" s="5" t="s">
        <v>240</v>
      </c>
      <c r="CL981" s="6" t="s">
        <v>261</v>
      </c>
      <c r="CM981" s="5" t="s">
        <v>240</v>
      </c>
      <c r="CN981" s="5" t="s">
        <v>263</v>
      </c>
      <c r="CO981" s="5" t="s">
        <v>240</v>
      </c>
      <c r="CP981" s="5" t="s">
        <v>240</v>
      </c>
      <c r="CQ981" s="5">
        <v>0</v>
      </c>
      <c r="CR981" s="5" t="s">
        <v>306</v>
      </c>
      <c r="CS981" s="5" t="s">
        <v>307</v>
      </c>
      <c r="CT981" s="5" t="s">
        <v>307</v>
      </c>
      <c r="CU981" s="5" t="s">
        <v>260</v>
      </c>
      <c r="CX981" s="7">
        <f>413061</f>
        <v>413061</v>
      </c>
      <c r="CY981" s="7">
        <f>0</f>
        <v>0</v>
      </c>
      <c r="DA981" s="7">
        <f>0</f>
        <v>0</v>
      </c>
      <c r="DC981" s="5" t="s">
        <v>854</v>
      </c>
      <c r="DD981" s="5" t="s">
        <v>240</v>
      </c>
      <c r="DF981" s="5" t="s">
        <v>450</v>
      </c>
      <c r="DG981" s="7">
        <f>0</f>
        <v>0</v>
      </c>
      <c r="DI981" s="5" t="s">
        <v>737</v>
      </c>
      <c r="DJ981" s="5" t="s">
        <v>240</v>
      </c>
      <c r="DK981" s="5" t="s">
        <v>240</v>
      </c>
      <c r="DL981" s="5" t="s">
        <v>240</v>
      </c>
      <c r="DP981" s="5" t="s">
        <v>240</v>
      </c>
      <c r="DQ981" s="5" t="s">
        <v>240</v>
      </c>
      <c r="DR981" s="5" t="s">
        <v>240</v>
      </c>
      <c r="DS981" s="5" t="s">
        <v>240</v>
      </c>
      <c r="DV981" s="5" t="s">
        <v>957</v>
      </c>
      <c r="DW981" s="5" t="s">
        <v>432</v>
      </c>
      <c r="HO981" s="5" t="s">
        <v>312</v>
      </c>
    </row>
    <row r="982" spans="1:223" x14ac:dyDescent="0.4">
      <c r="A982" s="5">
        <v>2657</v>
      </c>
      <c r="B982" s="5">
        <v>1</v>
      </c>
      <c r="C982" s="5">
        <v>1</v>
      </c>
      <c r="D982" s="5" t="s">
        <v>297</v>
      </c>
      <c r="E982" s="5" t="s">
        <v>245</v>
      </c>
      <c r="F982" s="5" t="s">
        <v>254</v>
      </c>
      <c r="G982" s="5" t="s">
        <v>240</v>
      </c>
      <c r="H982" s="6" t="s">
        <v>349</v>
      </c>
      <c r="I982" s="5" t="s">
        <v>295</v>
      </c>
      <c r="J982" s="8">
        <f>12031</f>
        <v>12031</v>
      </c>
      <c r="K982" s="5" t="s">
        <v>308</v>
      </c>
      <c r="L982" s="7">
        <f>1</f>
        <v>1</v>
      </c>
      <c r="M982" s="7">
        <f>1</f>
        <v>1</v>
      </c>
      <c r="N982" s="5" t="s">
        <v>242</v>
      </c>
      <c r="O982" s="5">
        <v>1</v>
      </c>
      <c r="P982" s="5" t="s">
        <v>294</v>
      </c>
      <c r="Q982" s="5" t="s">
        <v>266</v>
      </c>
      <c r="R982" s="5" t="s">
        <v>240</v>
      </c>
      <c r="S982" s="5" t="s">
        <v>240</v>
      </c>
      <c r="T982" s="5" t="s">
        <v>296</v>
      </c>
      <c r="U982" s="5" t="s">
        <v>244</v>
      </c>
      <c r="V982" s="5" t="s">
        <v>240</v>
      </c>
      <c r="Y982" s="5" t="s">
        <v>240</v>
      </c>
      <c r="Z982" s="6" t="s">
        <v>298</v>
      </c>
      <c r="AB982" s="6" t="s">
        <v>240</v>
      </c>
      <c r="AE982" s="6" t="s">
        <v>299</v>
      </c>
      <c r="AF982" s="5" t="s">
        <v>248</v>
      </c>
      <c r="AG982" s="5" t="s">
        <v>249</v>
      </c>
      <c r="AW982" s="5" t="s">
        <v>251</v>
      </c>
      <c r="AX982" s="5" t="s">
        <v>240</v>
      </c>
      <c r="AY982" s="5" t="s">
        <v>253</v>
      </c>
      <c r="AZ982" s="5" t="s">
        <v>240</v>
      </c>
      <c r="BA982" s="5" t="s">
        <v>255</v>
      </c>
      <c r="BB982" s="5" t="s">
        <v>240</v>
      </c>
      <c r="BD982" s="5" t="s">
        <v>240</v>
      </c>
      <c r="BF982" s="5" t="s">
        <v>301</v>
      </c>
      <c r="BG982" s="6" t="s">
        <v>299</v>
      </c>
      <c r="BH982" s="5" t="s">
        <v>302</v>
      </c>
      <c r="BI982" s="5" t="s">
        <v>303</v>
      </c>
      <c r="BJ982" s="5" t="s">
        <v>240</v>
      </c>
      <c r="BK982" s="8">
        <f>0</f>
        <v>0</v>
      </c>
      <c r="BL982" s="7">
        <f>0</f>
        <v>0</v>
      </c>
      <c r="BM982" s="5" t="s">
        <v>258</v>
      </c>
      <c r="BN982" s="5" t="s">
        <v>259</v>
      </c>
      <c r="CB982" s="5" t="s">
        <v>240</v>
      </c>
      <c r="CC982" s="5" t="s">
        <v>240</v>
      </c>
      <c r="CG982" s="5" t="s">
        <v>304</v>
      </c>
      <c r="CH982" s="5" t="s">
        <v>305</v>
      </c>
      <c r="CI982" s="5" t="s">
        <v>240</v>
      </c>
      <c r="CL982" s="6" t="s">
        <v>261</v>
      </c>
      <c r="CM982" s="5" t="s">
        <v>240</v>
      </c>
      <c r="CN982" s="5" t="s">
        <v>263</v>
      </c>
      <c r="CO982" s="5" t="s">
        <v>240</v>
      </c>
      <c r="CP982" s="5" t="s">
        <v>240</v>
      </c>
      <c r="CQ982" s="5">
        <v>0</v>
      </c>
      <c r="CR982" s="5" t="s">
        <v>306</v>
      </c>
      <c r="CS982" s="5" t="s">
        <v>307</v>
      </c>
      <c r="CT982" s="5" t="s">
        <v>307</v>
      </c>
      <c r="CU982" s="5" t="s">
        <v>260</v>
      </c>
      <c r="CX982" s="7">
        <f>1</f>
        <v>1</v>
      </c>
      <c r="CY982" s="7">
        <f>0</f>
        <v>0</v>
      </c>
      <c r="DA982" s="7">
        <f>0</f>
        <v>0</v>
      </c>
      <c r="DC982" s="5" t="s">
        <v>812</v>
      </c>
      <c r="DD982" s="5" t="s">
        <v>240</v>
      </c>
      <c r="DF982" s="5" t="s">
        <v>812</v>
      </c>
      <c r="DG982" s="7">
        <f>756</f>
        <v>756</v>
      </c>
      <c r="DI982" s="5" t="s">
        <v>240</v>
      </c>
      <c r="DJ982" s="5" t="s">
        <v>240</v>
      </c>
      <c r="DK982" s="5" t="s">
        <v>240</v>
      </c>
      <c r="DL982" s="5" t="s">
        <v>240</v>
      </c>
      <c r="DP982" s="5" t="s">
        <v>240</v>
      </c>
      <c r="DQ982" s="5" t="s">
        <v>240</v>
      </c>
      <c r="DR982" s="5" t="s">
        <v>240</v>
      </c>
      <c r="DS982" s="5" t="s">
        <v>240</v>
      </c>
      <c r="DV982" s="5" t="s">
        <v>813</v>
      </c>
      <c r="DW982" s="5" t="s">
        <v>2085</v>
      </c>
      <c r="HO982" s="5" t="s">
        <v>312</v>
      </c>
    </row>
    <row r="983" spans="1:223" x14ac:dyDescent="0.4">
      <c r="A983" s="5">
        <v>2658</v>
      </c>
      <c r="B983" s="5">
        <v>1</v>
      </c>
      <c r="C983" s="5">
        <v>1</v>
      </c>
      <c r="D983" s="5" t="s">
        <v>297</v>
      </c>
      <c r="E983" s="5" t="s">
        <v>245</v>
      </c>
      <c r="F983" s="5" t="s">
        <v>254</v>
      </c>
      <c r="G983" s="5" t="s">
        <v>240</v>
      </c>
      <c r="H983" s="6" t="s">
        <v>347</v>
      </c>
      <c r="I983" s="5" t="s">
        <v>295</v>
      </c>
      <c r="J983" s="8">
        <f>8337</f>
        <v>8337</v>
      </c>
      <c r="K983" s="5" t="s">
        <v>308</v>
      </c>
      <c r="L983" s="7">
        <f>1</f>
        <v>1</v>
      </c>
      <c r="M983" s="7">
        <f>1</f>
        <v>1</v>
      </c>
      <c r="N983" s="5" t="s">
        <v>242</v>
      </c>
      <c r="O983" s="5">
        <v>1</v>
      </c>
      <c r="P983" s="5" t="s">
        <v>294</v>
      </c>
      <c r="Q983" s="5" t="s">
        <v>613</v>
      </c>
      <c r="R983" s="5" t="s">
        <v>240</v>
      </c>
      <c r="S983" s="5" t="s">
        <v>240</v>
      </c>
      <c r="T983" s="5" t="s">
        <v>243</v>
      </c>
      <c r="U983" s="5" t="s">
        <v>724</v>
      </c>
      <c r="V983" s="5" t="s">
        <v>240</v>
      </c>
      <c r="Y983" s="5" t="s">
        <v>240</v>
      </c>
      <c r="Z983" s="6" t="s">
        <v>298</v>
      </c>
      <c r="AB983" s="6" t="s">
        <v>240</v>
      </c>
      <c r="AE983" s="6" t="s">
        <v>299</v>
      </c>
      <c r="AF983" s="5" t="s">
        <v>248</v>
      </c>
      <c r="AG983" s="5" t="s">
        <v>249</v>
      </c>
      <c r="AW983" s="5" t="s">
        <v>251</v>
      </c>
      <c r="AX983" s="5" t="s">
        <v>240</v>
      </c>
      <c r="AY983" s="5" t="s">
        <v>253</v>
      </c>
      <c r="AZ983" s="5" t="s">
        <v>240</v>
      </c>
      <c r="BA983" s="5" t="s">
        <v>255</v>
      </c>
      <c r="BB983" s="5" t="s">
        <v>240</v>
      </c>
      <c r="BD983" s="5" t="s">
        <v>240</v>
      </c>
      <c r="BF983" s="5" t="s">
        <v>301</v>
      </c>
      <c r="BG983" s="6" t="s">
        <v>299</v>
      </c>
      <c r="BH983" s="5" t="s">
        <v>302</v>
      </c>
      <c r="BI983" s="5" t="s">
        <v>303</v>
      </c>
      <c r="BJ983" s="5" t="s">
        <v>240</v>
      </c>
      <c r="BK983" s="8">
        <f>0</f>
        <v>0</v>
      </c>
      <c r="BL983" s="7">
        <f>0</f>
        <v>0</v>
      </c>
      <c r="BM983" s="5" t="s">
        <v>258</v>
      </c>
      <c r="BN983" s="5" t="s">
        <v>259</v>
      </c>
      <c r="CB983" s="5" t="s">
        <v>240</v>
      </c>
      <c r="CC983" s="5" t="s">
        <v>240</v>
      </c>
      <c r="CG983" s="5" t="s">
        <v>617</v>
      </c>
      <c r="CH983" s="5" t="s">
        <v>305</v>
      </c>
      <c r="CI983" s="5" t="s">
        <v>240</v>
      </c>
      <c r="CL983" s="6" t="s">
        <v>261</v>
      </c>
      <c r="CM983" s="5" t="s">
        <v>240</v>
      </c>
      <c r="CN983" s="5" t="s">
        <v>263</v>
      </c>
      <c r="CO983" s="5" t="s">
        <v>240</v>
      </c>
      <c r="CP983" s="5" t="s">
        <v>240</v>
      </c>
      <c r="CQ983" s="5">
        <v>0</v>
      </c>
      <c r="CR983" s="5" t="s">
        <v>306</v>
      </c>
      <c r="CS983" s="5" t="s">
        <v>307</v>
      </c>
      <c r="CT983" s="5" t="s">
        <v>307</v>
      </c>
      <c r="CU983" s="5" t="s">
        <v>260</v>
      </c>
      <c r="CX983" s="7">
        <f>5940</f>
        <v>5940</v>
      </c>
      <c r="CY983" s="7">
        <f>0</f>
        <v>0</v>
      </c>
      <c r="DA983" s="7">
        <f>0</f>
        <v>0</v>
      </c>
      <c r="DC983" s="5" t="s">
        <v>854</v>
      </c>
      <c r="DD983" s="5" t="s">
        <v>240</v>
      </c>
      <c r="DF983" s="5" t="s">
        <v>450</v>
      </c>
      <c r="DG983" s="7">
        <f>0</f>
        <v>0</v>
      </c>
      <c r="DI983" s="5" t="s">
        <v>737</v>
      </c>
      <c r="DJ983" s="5" t="s">
        <v>240</v>
      </c>
      <c r="DK983" s="5" t="s">
        <v>240</v>
      </c>
      <c r="DL983" s="5" t="s">
        <v>240</v>
      </c>
      <c r="DP983" s="5" t="s">
        <v>240</v>
      </c>
      <c r="DQ983" s="5" t="s">
        <v>240</v>
      </c>
      <c r="DR983" s="5" t="s">
        <v>240</v>
      </c>
      <c r="DS983" s="5" t="s">
        <v>240</v>
      </c>
      <c r="DV983" s="5" t="s">
        <v>957</v>
      </c>
      <c r="DW983" s="5" t="s">
        <v>436</v>
      </c>
      <c r="HO983" s="5" t="s">
        <v>312</v>
      </c>
    </row>
    <row r="984" spans="1:223" x14ac:dyDescent="0.4">
      <c r="A984" s="5">
        <v>2659</v>
      </c>
      <c r="B984" s="5">
        <v>1</v>
      </c>
      <c r="C984" s="5">
        <v>1</v>
      </c>
      <c r="D984" s="5" t="s">
        <v>297</v>
      </c>
      <c r="E984" s="5" t="s">
        <v>245</v>
      </c>
      <c r="F984" s="5" t="s">
        <v>254</v>
      </c>
      <c r="G984" s="5" t="s">
        <v>240</v>
      </c>
      <c r="H984" s="6" t="s">
        <v>4113</v>
      </c>
      <c r="I984" s="5" t="s">
        <v>295</v>
      </c>
      <c r="J984" s="8">
        <f>4226</f>
        <v>4226</v>
      </c>
      <c r="K984" s="5" t="s">
        <v>308</v>
      </c>
      <c r="L984" s="7">
        <f>1</f>
        <v>1</v>
      </c>
      <c r="M984" s="7">
        <f>1</f>
        <v>1</v>
      </c>
      <c r="N984" s="5" t="s">
        <v>242</v>
      </c>
      <c r="O984" s="5">
        <v>1</v>
      </c>
      <c r="P984" s="5" t="s">
        <v>294</v>
      </c>
      <c r="Q984" s="5" t="s">
        <v>613</v>
      </c>
      <c r="R984" s="5" t="s">
        <v>240</v>
      </c>
      <c r="S984" s="5" t="s">
        <v>240</v>
      </c>
      <c r="T984" s="5" t="s">
        <v>243</v>
      </c>
      <c r="U984" s="5" t="s">
        <v>724</v>
      </c>
      <c r="V984" s="5" t="s">
        <v>240</v>
      </c>
      <c r="Y984" s="5" t="s">
        <v>240</v>
      </c>
      <c r="Z984" s="6" t="s">
        <v>298</v>
      </c>
      <c r="AB984" s="6" t="s">
        <v>240</v>
      </c>
      <c r="AE984" s="6" t="s">
        <v>299</v>
      </c>
      <c r="AF984" s="5" t="s">
        <v>248</v>
      </c>
      <c r="AG984" s="5" t="s">
        <v>249</v>
      </c>
      <c r="AW984" s="5" t="s">
        <v>251</v>
      </c>
      <c r="AX984" s="5" t="s">
        <v>240</v>
      </c>
      <c r="AY984" s="5" t="s">
        <v>253</v>
      </c>
      <c r="AZ984" s="5" t="s">
        <v>240</v>
      </c>
      <c r="BA984" s="5" t="s">
        <v>255</v>
      </c>
      <c r="BB984" s="5" t="s">
        <v>240</v>
      </c>
      <c r="BD984" s="5" t="s">
        <v>240</v>
      </c>
      <c r="BF984" s="5" t="s">
        <v>301</v>
      </c>
      <c r="BG984" s="6" t="s">
        <v>299</v>
      </c>
      <c r="BH984" s="5" t="s">
        <v>302</v>
      </c>
      <c r="BI984" s="5" t="s">
        <v>303</v>
      </c>
      <c r="BJ984" s="5" t="s">
        <v>240</v>
      </c>
      <c r="BK984" s="8">
        <f>0</f>
        <v>0</v>
      </c>
      <c r="BL984" s="7">
        <f>0</f>
        <v>0</v>
      </c>
      <c r="BM984" s="5" t="s">
        <v>258</v>
      </c>
      <c r="BN984" s="5" t="s">
        <v>259</v>
      </c>
      <c r="CB984" s="5" t="s">
        <v>240</v>
      </c>
      <c r="CC984" s="5" t="s">
        <v>240</v>
      </c>
      <c r="CG984" s="5" t="s">
        <v>617</v>
      </c>
      <c r="CH984" s="5" t="s">
        <v>305</v>
      </c>
      <c r="CI984" s="5" t="s">
        <v>240</v>
      </c>
      <c r="CL984" s="6" t="s">
        <v>261</v>
      </c>
      <c r="CM984" s="5" t="s">
        <v>240</v>
      </c>
      <c r="CN984" s="5" t="s">
        <v>263</v>
      </c>
      <c r="CO984" s="5" t="s">
        <v>240</v>
      </c>
      <c r="CP984" s="5" t="s">
        <v>240</v>
      </c>
      <c r="CQ984" s="5">
        <v>0</v>
      </c>
      <c r="CR984" s="5" t="s">
        <v>306</v>
      </c>
      <c r="CS984" s="5" t="s">
        <v>307</v>
      </c>
      <c r="CT984" s="5" t="s">
        <v>307</v>
      </c>
      <c r="CU984" s="5" t="s">
        <v>260</v>
      </c>
      <c r="CX984" s="7">
        <f>12727</f>
        <v>12727</v>
      </c>
      <c r="CY984" s="7">
        <f>0</f>
        <v>0</v>
      </c>
      <c r="DA984" s="7">
        <f>0</f>
        <v>0</v>
      </c>
      <c r="DC984" s="5" t="s">
        <v>854</v>
      </c>
      <c r="DD984" s="5" t="s">
        <v>240</v>
      </c>
      <c r="DF984" s="5" t="s">
        <v>450</v>
      </c>
      <c r="DG984" s="7">
        <f>0</f>
        <v>0</v>
      </c>
      <c r="DI984" s="5" t="s">
        <v>737</v>
      </c>
      <c r="DJ984" s="5" t="s">
        <v>240</v>
      </c>
      <c r="DK984" s="5" t="s">
        <v>240</v>
      </c>
      <c r="DL984" s="5" t="s">
        <v>240</v>
      </c>
      <c r="DP984" s="5" t="s">
        <v>240</v>
      </c>
      <c r="DQ984" s="5" t="s">
        <v>240</v>
      </c>
      <c r="DR984" s="5" t="s">
        <v>240</v>
      </c>
      <c r="DS984" s="5" t="s">
        <v>240</v>
      </c>
      <c r="DV984" s="5" t="s">
        <v>957</v>
      </c>
      <c r="DW984" s="5" t="s">
        <v>438</v>
      </c>
      <c r="HO984" s="5" t="s">
        <v>312</v>
      </c>
    </row>
    <row r="985" spans="1:223" x14ac:dyDescent="0.4">
      <c r="A985" s="5">
        <v>2660</v>
      </c>
      <c r="B985" s="5">
        <v>1</v>
      </c>
      <c r="C985" s="5">
        <v>1</v>
      </c>
      <c r="D985" s="5" t="s">
        <v>297</v>
      </c>
      <c r="E985" s="5" t="s">
        <v>245</v>
      </c>
      <c r="F985" s="5" t="s">
        <v>254</v>
      </c>
      <c r="G985" s="5" t="s">
        <v>240</v>
      </c>
      <c r="H985" s="6" t="s">
        <v>343</v>
      </c>
      <c r="I985" s="5" t="s">
        <v>295</v>
      </c>
      <c r="J985" s="8">
        <f>1929</f>
        <v>1929</v>
      </c>
      <c r="K985" s="5" t="s">
        <v>308</v>
      </c>
      <c r="L985" s="7">
        <f>1</f>
        <v>1</v>
      </c>
      <c r="M985" s="7">
        <f>1</f>
        <v>1</v>
      </c>
      <c r="N985" s="5" t="s">
        <v>242</v>
      </c>
      <c r="O985" s="5">
        <v>1</v>
      </c>
      <c r="P985" s="5" t="s">
        <v>294</v>
      </c>
      <c r="Q985" s="5" t="s">
        <v>613</v>
      </c>
      <c r="R985" s="5" t="s">
        <v>240</v>
      </c>
      <c r="S985" s="5" t="s">
        <v>240</v>
      </c>
      <c r="T985" s="5" t="s">
        <v>243</v>
      </c>
      <c r="U985" s="5" t="s">
        <v>724</v>
      </c>
      <c r="V985" s="5" t="s">
        <v>240</v>
      </c>
      <c r="Y985" s="5" t="s">
        <v>240</v>
      </c>
      <c r="Z985" s="6" t="s">
        <v>298</v>
      </c>
      <c r="AB985" s="6" t="s">
        <v>240</v>
      </c>
      <c r="AE985" s="6" t="s">
        <v>299</v>
      </c>
      <c r="AF985" s="5" t="s">
        <v>248</v>
      </c>
      <c r="AG985" s="5" t="s">
        <v>249</v>
      </c>
      <c r="AW985" s="5" t="s">
        <v>251</v>
      </c>
      <c r="AX985" s="5" t="s">
        <v>240</v>
      </c>
      <c r="AY985" s="5" t="s">
        <v>253</v>
      </c>
      <c r="AZ985" s="5" t="s">
        <v>240</v>
      </c>
      <c r="BA985" s="5" t="s">
        <v>255</v>
      </c>
      <c r="BB985" s="5" t="s">
        <v>240</v>
      </c>
      <c r="BD985" s="5" t="s">
        <v>240</v>
      </c>
      <c r="BF985" s="5" t="s">
        <v>301</v>
      </c>
      <c r="BG985" s="6" t="s">
        <v>299</v>
      </c>
      <c r="BH985" s="5" t="s">
        <v>302</v>
      </c>
      <c r="BI985" s="5" t="s">
        <v>303</v>
      </c>
      <c r="BJ985" s="5" t="s">
        <v>240</v>
      </c>
      <c r="BK985" s="8">
        <f>0</f>
        <v>0</v>
      </c>
      <c r="BL985" s="7">
        <f>0</f>
        <v>0</v>
      </c>
      <c r="BM985" s="5" t="s">
        <v>258</v>
      </c>
      <c r="BN985" s="5" t="s">
        <v>259</v>
      </c>
      <c r="CB985" s="5" t="s">
        <v>240</v>
      </c>
      <c r="CC985" s="5" t="s">
        <v>240</v>
      </c>
      <c r="CG985" s="5" t="s">
        <v>617</v>
      </c>
      <c r="CH985" s="5" t="s">
        <v>305</v>
      </c>
      <c r="CI985" s="5" t="s">
        <v>240</v>
      </c>
      <c r="CL985" s="6" t="s">
        <v>261</v>
      </c>
      <c r="CM985" s="5" t="s">
        <v>240</v>
      </c>
      <c r="CN985" s="5" t="s">
        <v>263</v>
      </c>
      <c r="CO985" s="5" t="s">
        <v>240</v>
      </c>
      <c r="CP985" s="5" t="s">
        <v>240</v>
      </c>
      <c r="CQ985" s="5">
        <v>0</v>
      </c>
      <c r="CR985" s="5" t="s">
        <v>306</v>
      </c>
      <c r="CS985" s="5" t="s">
        <v>307</v>
      </c>
      <c r="CT985" s="5" t="s">
        <v>307</v>
      </c>
      <c r="CU985" s="5" t="s">
        <v>260</v>
      </c>
      <c r="CX985" s="7">
        <f>19272</f>
        <v>19272</v>
      </c>
      <c r="CY985" s="7">
        <f>0</f>
        <v>0</v>
      </c>
      <c r="DA985" s="7">
        <f>0</f>
        <v>0</v>
      </c>
      <c r="DC985" s="5" t="s">
        <v>854</v>
      </c>
      <c r="DD985" s="5" t="s">
        <v>240</v>
      </c>
      <c r="DF985" s="5" t="s">
        <v>450</v>
      </c>
      <c r="DG985" s="7">
        <f>0</f>
        <v>0</v>
      </c>
      <c r="DI985" s="5" t="s">
        <v>737</v>
      </c>
      <c r="DJ985" s="5" t="s">
        <v>240</v>
      </c>
      <c r="DK985" s="5" t="s">
        <v>240</v>
      </c>
      <c r="DL985" s="5" t="s">
        <v>240</v>
      </c>
      <c r="DP985" s="5" t="s">
        <v>240</v>
      </c>
      <c r="DQ985" s="5" t="s">
        <v>240</v>
      </c>
      <c r="DR985" s="5" t="s">
        <v>240</v>
      </c>
      <c r="DS985" s="5" t="s">
        <v>240</v>
      </c>
      <c r="DV985" s="5" t="s">
        <v>957</v>
      </c>
      <c r="DW985" s="5" t="s">
        <v>440</v>
      </c>
      <c r="HO985" s="5" t="s">
        <v>312</v>
      </c>
    </row>
    <row r="986" spans="1:223" x14ac:dyDescent="0.4">
      <c r="A986" s="5">
        <v>2661</v>
      </c>
      <c r="B986" s="5">
        <v>1</v>
      </c>
      <c r="C986" s="5">
        <v>1</v>
      </c>
      <c r="D986" s="5" t="s">
        <v>297</v>
      </c>
      <c r="E986" s="5" t="s">
        <v>245</v>
      </c>
      <c r="F986" s="5" t="s">
        <v>254</v>
      </c>
      <c r="G986" s="5" t="s">
        <v>240</v>
      </c>
      <c r="H986" s="6" t="s">
        <v>341</v>
      </c>
      <c r="I986" s="5" t="s">
        <v>295</v>
      </c>
      <c r="J986" s="8">
        <f>1137</f>
        <v>1137</v>
      </c>
      <c r="K986" s="5" t="s">
        <v>308</v>
      </c>
      <c r="L986" s="7">
        <f>1</f>
        <v>1</v>
      </c>
      <c r="M986" s="7">
        <f>1</f>
        <v>1</v>
      </c>
      <c r="N986" s="5" t="s">
        <v>242</v>
      </c>
      <c r="O986" s="5">
        <v>1</v>
      </c>
      <c r="P986" s="5" t="s">
        <v>294</v>
      </c>
      <c r="Q986" s="5" t="s">
        <v>613</v>
      </c>
      <c r="R986" s="5" t="s">
        <v>240</v>
      </c>
      <c r="S986" s="5" t="s">
        <v>240</v>
      </c>
      <c r="T986" s="5" t="s">
        <v>243</v>
      </c>
      <c r="U986" s="5" t="s">
        <v>724</v>
      </c>
      <c r="V986" s="5" t="s">
        <v>240</v>
      </c>
      <c r="Y986" s="5" t="s">
        <v>240</v>
      </c>
      <c r="Z986" s="6" t="s">
        <v>298</v>
      </c>
      <c r="AB986" s="6" t="s">
        <v>240</v>
      </c>
      <c r="AE986" s="6" t="s">
        <v>299</v>
      </c>
      <c r="AF986" s="5" t="s">
        <v>248</v>
      </c>
      <c r="AG986" s="5" t="s">
        <v>249</v>
      </c>
      <c r="AW986" s="5" t="s">
        <v>251</v>
      </c>
      <c r="AX986" s="5" t="s">
        <v>240</v>
      </c>
      <c r="AY986" s="5" t="s">
        <v>253</v>
      </c>
      <c r="AZ986" s="5" t="s">
        <v>240</v>
      </c>
      <c r="BA986" s="5" t="s">
        <v>255</v>
      </c>
      <c r="BB986" s="5" t="s">
        <v>240</v>
      </c>
      <c r="BD986" s="5" t="s">
        <v>240</v>
      </c>
      <c r="BF986" s="5" t="s">
        <v>301</v>
      </c>
      <c r="BG986" s="6" t="s">
        <v>299</v>
      </c>
      <c r="BH986" s="5" t="s">
        <v>302</v>
      </c>
      <c r="BI986" s="5" t="s">
        <v>303</v>
      </c>
      <c r="BJ986" s="5" t="s">
        <v>240</v>
      </c>
      <c r="BK986" s="8">
        <f>0</f>
        <v>0</v>
      </c>
      <c r="BL986" s="7">
        <f>0</f>
        <v>0</v>
      </c>
      <c r="BM986" s="5" t="s">
        <v>258</v>
      </c>
      <c r="BN986" s="5" t="s">
        <v>259</v>
      </c>
      <c r="CB986" s="5" t="s">
        <v>240</v>
      </c>
      <c r="CC986" s="5" t="s">
        <v>240</v>
      </c>
      <c r="CG986" s="5" t="s">
        <v>617</v>
      </c>
      <c r="CH986" s="5" t="s">
        <v>305</v>
      </c>
      <c r="CI986" s="5" t="s">
        <v>240</v>
      </c>
      <c r="CL986" s="6" t="s">
        <v>261</v>
      </c>
      <c r="CM986" s="5" t="s">
        <v>240</v>
      </c>
      <c r="CN986" s="5" t="s">
        <v>263</v>
      </c>
      <c r="CO986" s="5" t="s">
        <v>240</v>
      </c>
      <c r="CP986" s="5" t="s">
        <v>240</v>
      </c>
      <c r="CQ986" s="5">
        <v>0</v>
      </c>
      <c r="CR986" s="5" t="s">
        <v>306</v>
      </c>
      <c r="CS986" s="5" t="s">
        <v>307</v>
      </c>
      <c r="CT986" s="5" t="s">
        <v>307</v>
      </c>
      <c r="CU986" s="5" t="s">
        <v>260</v>
      </c>
      <c r="CX986" s="7">
        <f>25751</f>
        <v>25751</v>
      </c>
      <c r="CY986" s="7">
        <f>0</f>
        <v>0</v>
      </c>
      <c r="DA986" s="7">
        <f>0</f>
        <v>0</v>
      </c>
      <c r="DC986" s="5" t="s">
        <v>854</v>
      </c>
      <c r="DD986" s="5" t="s">
        <v>240</v>
      </c>
      <c r="DF986" s="5" t="s">
        <v>450</v>
      </c>
      <c r="DG986" s="7">
        <f>0</f>
        <v>0</v>
      </c>
      <c r="DI986" s="5" t="s">
        <v>737</v>
      </c>
      <c r="DJ986" s="5" t="s">
        <v>240</v>
      </c>
      <c r="DK986" s="5" t="s">
        <v>240</v>
      </c>
      <c r="DL986" s="5" t="s">
        <v>240</v>
      </c>
      <c r="DP986" s="5" t="s">
        <v>240</v>
      </c>
      <c r="DQ986" s="5" t="s">
        <v>240</v>
      </c>
      <c r="DR986" s="5" t="s">
        <v>240</v>
      </c>
      <c r="DS986" s="5" t="s">
        <v>240</v>
      </c>
      <c r="DV986" s="5" t="s">
        <v>957</v>
      </c>
      <c r="DW986" s="5" t="s">
        <v>442</v>
      </c>
      <c r="HO986" s="5" t="s">
        <v>312</v>
      </c>
    </row>
    <row r="987" spans="1:223" x14ac:dyDescent="0.4">
      <c r="A987" s="5">
        <v>2662</v>
      </c>
      <c r="B987" s="5">
        <v>1</v>
      </c>
      <c r="C987" s="5">
        <v>1</v>
      </c>
      <c r="D987" s="5" t="s">
        <v>297</v>
      </c>
      <c r="E987" s="5" t="s">
        <v>245</v>
      </c>
      <c r="F987" s="5" t="s">
        <v>254</v>
      </c>
      <c r="G987" s="5" t="s">
        <v>240</v>
      </c>
      <c r="H987" s="6" t="s">
        <v>339</v>
      </c>
      <c r="I987" s="5" t="s">
        <v>295</v>
      </c>
      <c r="J987" s="8">
        <f>1167</f>
        <v>1167</v>
      </c>
      <c r="K987" s="5" t="s">
        <v>308</v>
      </c>
      <c r="L987" s="7">
        <f>1</f>
        <v>1</v>
      </c>
      <c r="M987" s="7">
        <f>1</f>
        <v>1</v>
      </c>
      <c r="N987" s="5" t="s">
        <v>242</v>
      </c>
      <c r="O987" s="5">
        <v>1</v>
      </c>
      <c r="P987" s="5" t="s">
        <v>294</v>
      </c>
      <c r="Q987" s="5" t="s">
        <v>613</v>
      </c>
      <c r="R987" s="5" t="s">
        <v>240</v>
      </c>
      <c r="S987" s="5" t="s">
        <v>240</v>
      </c>
      <c r="T987" s="5" t="s">
        <v>243</v>
      </c>
      <c r="U987" s="5" t="s">
        <v>724</v>
      </c>
      <c r="V987" s="5" t="s">
        <v>240</v>
      </c>
      <c r="Y987" s="5" t="s">
        <v>240</v>
      </c>
      <c r="Z987" s="6" t="s">
        <v>298</v>
      </c>
      <c r="AB987" s="6" t="s">
        <v>240</v>
      </c>
      <c r="AE987" s="6" t="s">
        <v>299</v>
      </c>
      <c r="AF987" s="5" t="s">
        <v>248</v>
      </c>
      <c r="AG987" s="5" t="s">
        <v>249</v>
      </c>
      <c r="AW987" s="5" t="s">
        <v>251</v>
      </c>
      <c r="AX987" s="5" t="s">
        <v>240</v>
      </c>
      <c r="AY987" s="5" t="s">
        <v>253</v>
      </c>
      <c r="AZ987" s="5" t="s">
        <v>240</v>
      </c>
      <c r="BA987" s="5" t="s">
        <v>255</v>
      </c>
      <c r="BB987" s="5" t="s">
        <v>240</v>
      </c>
      <c r="BD987" s="5" t="s">
        <v>240</v>
      </c>
      <c r="BF987" s="5" t="s">
        <v>301</v>
      </c>
      <c r="BG987" s="6" t="s">
        <v>299</v>
      </c>
      <c r="BH987" s="5" t="s">
        <v>302</v>
      </c>
      <c r="BI987" s="5" t="s">
        <v>303</v>
      </c>
      <c r="BJ987" s="5" t="s">
        <v>240</v>
      </c>
      <c r="BK987" s="8">
        <f>0</f>
        <v>0</v>
      </c>
      <c r="BL987" s="7">
        <f>0</f>
        <v>0</v>
      </c>
      <c r="BM987" s="5" t="s">
        <v>258</v>
      </c>
      <c r="BN987" s="5" t="s">
        <v>259</v>
      </c>
      <c r="CB987" s="5" t="s">
        <v>240</v>
      </c>
      <c r="CC987" s="5" t="s">
        <v>240</v>
      </c>
      <c r="CG987" s="5" t="s">
        <v>617</v>
      </c>
      <c r="CH987" s="5" t="s">
        <v>305</v>
      </c>
      <c r="CI987" s="5" t="s">
        <v>240</v>
      </c>
      <c r="CL987" s="6" t="s">
        <v>261</v>
      </c>
      <c r="CM987" s="5" t="s">
        <v>240</v>
      </c>
      <c r="CN987" s="5" t="s">
        <v>263</v>
      </c>
      <c r="CO987" s="5" t="s">
        <v>240</v>
      </c>
      <c r="CP987" s="5" t="s">
        <v>240</v>
      </c>
      <c r="CQ987" s="5">
        <v>0</v>
      </c>
      <c r="CR987" s="5" t="s">
        <v>306</v>
      </c>
      <c r="CS987" s="5" t="s">
        <v>307</v>
      </c>
      <c r="CT987" s="5" t="s">
        <v>307</v>
      </c>
      <c r="CU987" s="5" t="s">
        <v>260</v>
      </c>
      <c r="CX987" s="7">
        <f>54384</f>
        <v>54384</v>
      </c>
      <c r="CY987" s="7">
        <f>0</f>
        <v>0</v>
      </c>
      <c r="DA987" s="7">
        <f>0</f>
        <v>0</v>
      </c>
      <c r="DC987" s="5" t="s">
        <v>854</v>
      </c>
      <c r="DD987" s="5" t="s">
        <v>240</v>
      </c>
      <c r="DF987" s="5" t="s">
        <v>450</v>
      </c>
      <c r="DG987" s="7">
        <f>0</f>
        <v>0</v>
      </c>
      <c r="DI987" s="5" t="s">
        <v>737</v>
      </c>
      <c r="DJ987" s="5" t="s">
        <v>240</v>
      </c>
      <c r="DK987" s="5" t="s">
        <v>240</v>
      </c>
      <c r="DL987" s="5" t="s">
        <v>240</v>
      </c>
      <c r="DP987" s="5" t="s">
        <v>240</v>
      </c>
      <c r="DQ987" s="5" t="s">
        <v>240</v>
      </c>
      <c r="DR987" s="5" t="s">
        <v>240</v>
      </c>
      <c r="DS987" s="5" t="s">
        <v>240</v>
      </c>
      <c r="DV987" s="5" t="s">
        <v>957</v>
      </c>
      <c r="DW987" s="5" t="s">
        <v>2091</v>
      </c>
      <c r="HO987" s="5" t="s">
        <v>312</v>
      </c>
    </row>
    <row r="988" spans="1:223" x14ac:dyDescent="0.4">
      <c r="A988" s="5">
        <v>2663</v>
      </c>
      <c r="B988" s="5">
        <v>1</v>
      </c>
      <c r="C988" s="5">
        <v>1</v>
      </c>
      <c r="D988" s="5" t="s">
        <v>297</v>
      </c>
      <c r="E988" s="5" t="s">
        <v>245</v>
      </c>
      <c r="F988" s="5" t="s">
        <v>254</v>
      </c>
      <c r="G988" s="5" t="s">
        <v>240</v>
      </c>
      <c r="H988" s="6" t="s">
        <v>337</v>
      </c>
      <c r="I988" s="5" t="s">
        <v>295</v>
      </c>
      <c r="J988" s="8">
        <f>618</f>
        <v>618</v>
      </c>
      <c r="K988" s="5" t="s">
        <v>308</v>
      </c>
      <c r="L988" s="7">
        <f>1</f>
        <v>1</v>
      </c>
      <c r="M988" s="7">
        <f>1</f>
        <v>1</v>
      </c>
      <c r="N988" s="5" t="s">
        <v>242</v>
      </c>
      <c r="O988" s="5">
        <v>1</v>
      </c>
      <c r="P988" s="5" t="s">
        <v>294</v>
      </c>
      <c r="Q988" s="5" t="s">
        <v>613</v>
      </c>
      <c r="R988" s="5" t="s">
        <v>240</v>
      </c>
      <c r="S988" s="5" t="s">
        <v>240</v>
      </c>
      <c r="T988" s="5" t="s">
        <v>243</v>
      </c>
      <c r="U988" s="5" t="s">
        <v>724</v>
      </c>
      <c r="V988" s="5" t="s">
        <v>240</v>
      </c>
      <c r="Y988" s="5" t="s">
        <v>240</v>
      </c>
      <c r="Z988" s="6" t="s">
        <v>298</v>
      </c>
      <c r="AB988" s="6" t="s">
        <v>240</v>
      </c>
      <c r="AE988" s="6" t="s">
        <v>299</v>
      </c>
      <c r="AF988" s="5" t="s">
        <v>248</v>
      </c>
      <c r="AG988" s="5" t="s">
        <v>249</v>
      </c>
      <c r="AW988" s="5" t="s">
        <v>251</v>
      </c>
      <c r="AX988" s="5" t="s">
        <v>240</v>
      </c>
      <c r="AY988" s="5" t="s">
        <v>253</v>
      </c>
      <c r="AZ988" s="5" t="s">
        <v>240</v>
      </c>
      <c r="BA988" s="5" t="s">
        <v>255</v>
      </c>
      <c r="BB988" s="5" t="s">
        <v>240</v>
      </c>
      <c r="BD988" s="5" t="s">
        <v>240</v>
      </c>
      <c r="BF988" s="5" t="s">
        <v>301</v>
      </c>
      <c r="BG988" s="6" t="s">
        <v>299</v>
      </c>
      <c r="BH988" s="5" t="s">
        <v>302</v>
      </c>
      <c r="BI988" s="5" t="s">
        <v>303</v>
      </c>
      <c r="BJ988" s="5" t="s">
        <v>240</v>
      </c>
      <c r="BK988" s="8">
        <f>0</f>
        <v>0</v>
      </c>
      <c r="BL988" s="7">
        <f>0</f>
        <v>0</v>
      </c>
      <c r="BM988" s="5" t="s">
        <v>258</v>
      </c>
      <c r="BN988" s="5" t="s">
        <v>259</v>
      </c>
      <c r="CB988" s="5" t="s">
        <v>240</v>
      </c>
      <c r="CC988" s="5" t="s">
        <v>240</v>
      </c>
      <c r="CG988" s="5" t="s">
        <v>617</v>
      </c>
      <c r="CH988" s="5" t="s">
        <v>305</v>
      </c>
      <c r="CI988" s="5" t="s">
        <v>240</v>
      </c>
      <c r="CL988" s="6" t="s">
        <v>261</v>
      </c>
      <c r="CM988" s="5" t="s">
        <v>240</v>
      </c>
      <c r="CN988" s="5" t="s">
        <v>263</v>
      </c>
      <c r="CO988" s="5" t="s">
        <v>240</v>
      </c>
      <c r="CP988" s="5" t="s">
        <v>240</v>
      </c>
      <c r="CQ988" s="5">
        <v>0</v>
      </c>
      <c r="CR988" s="5" t="s">
        <v>306</v>
      </c>
      <c r="CS988" s="5" t="s">
        <v>307</v>
      </c>
      <c r="CT988" s="5" t="s">
        <v>307</v>
      </c>
      <c r="CU988" s="5" t="s">
        <v>260</v>
      </c>
      <c r="CX988" s="7">
        <f>31779</f>
        <v>31779</v>
      </c>
      <c r="CY988" s="7">
        <f>0</f>
        <v>0</v>
      </c>
      <c r="DA988" s="7">
        <f>0</f>
        <v>0</v>
      </c>
      <c r="DC988" s="5" t="s">
        <v>854</v>
      </c>
      <c r="DD988" s="5" t="s">
        <v>240</v>
      </c>
      <c r="DF988" s="5" t="s">
        <v>450</v>
      </c>
      <c r="DG988" s="7">
        <f>0</f>
        <v>0</v>
      </c>
      <c r="DI988" s="5" t="s">
        <v>737</v>
      </c>
      <c r="DJ988" s="5" t="s">
        <v>240</v>
      </c>
      <c r="DK988" s="5" t="s">
        <v>240</v>
      </c>
      <c r="DL988" s="5" t="s">
        <v>240</v>
      </c>
      <c r="DP988" s="5" t="s">
        <v>240</v>
      </c>
      <c r="DQ988" s="5" t="s">
        <v>240</v>
      </c>
      <c r="DR988" s="5" t="s">
        <v>240</v>
      </c>
      <c r="DS988" s="5" t="s">
        <v>240</v>
      </c>
      <c r="DV988" s="5" t="s">
        <v>957</v>
      </c>
      <c r="DW988" s="5" t="s">
        <v>453</v>
      </c>
      <c r="HO988" s="5" t="s">
        <v>312</v>
      </c>
    </row>
    <row r="989" spans="1:223" x14ac:dyDescent="0.4">
      <c r="A989" s="5">
        <v>2664</v>
      </c>
      <c r="B989" s="5">
        <v>1</v>
      </c>
      <c r="C989" s="5">
        <v>1</v>
      </c>
      <c r="D989" s="5" t="s">
        <v>297</v>
      </c>
      <c r="E989" s="5" t="s">
        <v>245</v>
      </c>
      <c r="F989" s="5" t="s">
        <v>254</v>
      </c>
      <c r="G989" s="5" t="s">
        <v>240</v>
      </c>
      <c r="H989" s="6" t="s">
        <v>335</v>
      </c>
      <c r="I989" s="5" t="s">
        <v>295</v>
      </c>
      <c r="J989" s="8">
        <f>2463</f>
        <v>2463</v>
      </c>
      <c r="K989" s="5" t="s">
        <v>308</v>
      </c>
      <c r="L989" s="7">
        <f>1</f>
        <v>1</v>
      </c>
      <c r="M989" s="7">
        <f>1</f>
        <v>1</v>
      </c>
      <c r="N989" s="5" t="s">
        <v>242</v>
      </c>
      <c r="O989" s="5">
        <v>1</v>
      </c>
      <c r="P989" s="5" t="s">
        <v>294</v>
      </c>
      <c r="Q989" s="5" t="s">
        <v>613</v>
      </c>
      <c r="R989" s="5" t="s">
        <v>240</v>
      </c>
      <c r="S989" s="5" t="s">
        <v>240</v>
      </c>
      <c r="T989" s="5" t="s">
        <v>243</v>
      </c>
      <c r="U989" s="5" t="s">
        <v>724</v>
      </c>
      <c r="V989" s="5" t="s">
        <v>240</v>
      </c>
      <c r="Y989" s="5" t="s">
        <v>240</v>
      </c>
      <c r="Z989" s="6" t="s">
        <v>298</v>
      </c>
      <c r="AB989" s="6" t="s">
        <v>240</v>
      </c>
      <c r="AE989" s="6" t="s">
        <v>299</v>
      </c>
      <c r="AF989" s="5" t="s">
        <v>248</v>
      </c>
      <c r="AG989" s="5" t="s">
        <v>249</v>
      </c>
      <c r="AW989" s="5" t="s">
        <v>251</v>
      </c>
      <c r="AX989" s="5" t="s">
        <v>240</v>
      </c>
      <c r="AY989" s="5" t="s">
        <v>253</v>
      </c>
      <c r="AZ989" s="5" t="s">
        <v>240</v>
      </c>
      <c r="BA989" s="5" t="s">
        <v>255</v>
      </c>
      <c r="BB989" s="5" t="s">
        <v>240</v>
      </c>
      <c r="BD989" s="5" t="s">
        <v>240</v>
      </c>
      <c r="BF989" s="5" t="s">
        <v>301</v>
      </c>
      <c r="BG989" s="6" t="s">
        <v>299</v>
      </c>
      <c r="BH989" s="5" t="s">
        <v>302</v>
      </c>
      <c r="BI989" s="5" t="s">
        <v>303</v>
      </c>
      <c r="BJ989" s="5" t="s">
        <v>240</v>
      </c>
      <c r="BK989" s="8">
        <f>0</f>
        <v>0</v>
      </c>
      <c r="BL989" s="7">
        <f>0</f>
        <v>0</v>
      </c>
      <c r="BM989" s="5" t="s">
        <v>258</v>
      </c>
      <c r="BN989" s="5" t="s">
        <v>259</v>
      </c>
      <c r="CB989" s="5" t="s">
        <v>240</v>
      </c>
      <c r="CC989" s="5" t="s">
        <v>240</v>
      </c>
      <c r="CG989" s="5" t="s">
        <v>617</v>
      </c>
      <c r="CH989" s="5" t="s">
        <v>305</v>
      </c>
      <c r="CI989" s="5" t="s">
        <v>240</v>
      </c>
      <c r="CL989" s="6" t="s">
        <v>261</v>
      </c>
      <c r="CM989" s="5" t="s">
        <v>240</v>
      </c>
      <c r="CN989" s="5" t="s">
        <v>263</v>
      </c>
      <c r="CO989" s="5" t="s">
        <v>240</v>
      </c>
      <c r="CP989" s="5" t="s">
        <v>240</v>
      </c>
      <c r="CQ989" s="5">
        <v>0</v>
      </c>
      <c r="CR989" s="5" t="s">
        <v>306</v>
      </c>
      <c r="CS989" s="5" t="s">
        <v>307</v>
      </c>
      <c r="CT989" s="5" t="s">
        <v>307</v>
      </c>
      <c r="CU989" s="5" t="s">
        <v>260</v>
      </c>
      <c r="CX989" s="7">
        <f>10032</f>
        <v>10032</v>
      </c>
      <c r="CY989" s="7">
        <f>0</f>
        <v>0</v>
      </c>
      <c r="DA989" s="7">
        <f>0</f>
        <v>0</v>
      </c>
      <c r="DC989" s="5" t="s">
        <v>854</v>
      </c>
      <c r="DD989" s="5" t="s">
        <v>240</v>
      </c>
      <c r="DF989" s="5" t="s">
        <v>450</v>
      </c>
      <c r="DG989" s="7">
        <f>0</f>
        <v>0</v>
      </c>
      <c r="DI989" s="5" t="s">
        <v>737</v>
      </c>
      <c r="DJ989" s="5" t="s">
        <v>240</v>
      </c>
      <c r="DK989" s="5" t="s">
        <v>240</v>
      </c>
      <c r="DL989" s="5" t="s">
        <v>240</v>
      </c>
      <c r="DP989" s="5" t="s">
        <v>240</v>
      </c>
      <c r="DQ989" s="5" t="s">
        <v>240</v>
      </c>
      <c r="DR989" s="5" t="s">
        <v>240</v>
      </c>
      <c r="DS989" s="5" t="s">
        <v>240</v>
      </c>
      <c r="DV989" s="5" t="s">
        <v>957</v>
      </c>
      <c r="DW989" s="5" t="s">
        <v>457</v>
      </c>
      <c r="HO989" s="5" t="s">
        <v>312</v>
      </c>
    </row>
    <row r="990" spans="1:223" x14ac:dyDescent="0.4">
      <c r="A990" s="5">
        <v>2665</v>
      </c>
      <c r="B990" s="5">
        <v>1</v>
      </c>
      <c r="C990" s="5">
        <v>1</v>
      </c>
      <c r="D990" s="5" t="s">
        <v>297</v>
      </c>
      <c r="E990" s="5" t="s">
        <v>245</v>
      </c>
      <c r="F990" s="5" t="s">
        <v>254</v>
      </c>
      <c r="G990" s="5" t="s">
        <v>240</v>
      </c>
      <c r="H990" s="6" t="s">
        <v>333</v>
      </c>
      <c r="I990" s="5" t="s">
        <v>295</v>
      </c>
      <c r="J990" s="8">
        <f>2910</f>
        <v>2910</v>
      </c>
      <c r="K990" s="5" t="s">
        <v>308</v>
      </c>
      <c r="L990" s="7">
        <f>1</f>
        <v>1</v>
      </c>
      <c r="M990" s="7">
        <f>1</f>
        <v>1</v>
      </c>
      <c r="N990" s="5" t="s">
        <v>242</v>
      </c>
      <c r="O990" s="5">
        <v>1</v>
      </c>
      <c r="P990" s="5" t="s">
        <v>294</v>
      </c>
      <c r="Q990" s="5" t="s">
        <v>613</v>
      </c>
      <c r="R990" s="5" t="s">
        <v>240</v>
      </c>
      <c r="S990" s="5" t="s">
        <v>240</v>
      </c>
      <c r="T990" s="5" t="s">
        <v>243</v>
      </c>
      <c r="U990" s="5" t="s">
        <v>724</v>
      </c>
      <c r="V990" s="5" t="s">
        <v>240</v>
      </c>
      <c r="Y990" s="5" t="s">
        <v>240</v>
      </c>
      <c r="Z990" s="6" t="s">
        <v>298</v>
      </c>
      <c r="AB990" s="6" t="s">
        <v>240</v>
      </c>
      <c r="AE990" s="6" t="s">
        <v>299</v>
      </c>
      <c r="AF990" s="5" t="s">
        <v>248</v>
      </c>
      <c r="AG990" s="5" t="s">
        <v>249</v>
      </c>
      <c r="AW990" s="5" t="s">
        <v>251</v>
      </c>
      <c r="AX990" s="5" t="s">
        <v>240</v>
      </c>
      <c r="AY990" s="5" t="s">
        <v>253</v>
      </c>
      <c r="AZ990" s="5" t="s">
        <v>240</v>
      </c>
      <c r="BA990" s="5" t="s">
        <v>255</v>
      </c>
      <c r="BB990" s="5" t="s">
        <v>240</v>
      </c>
      <c r="BD990" s="5" t="s">
        <v>240</v>
      </c>
      <c r="BF990" s="5" t="s">
        <v>301</v>
      </c>
      <c r="BG990" s="6" t="s">
        <v>299</v>
      </c>
      <c r="BH990" s="5" t="s">
        <v>302</v>
      </c>
      <c r="BI990" s="5" t="s">
        <v>303</v>
      </c>
      <c r="BJ990" s="5" t="s">
        <v>240</v>
      </c>
      <c r="BK990" s="8">
        <f>0</f>
        <v>0</v>
      </c>
      <c r="BL990" s="7">
        <f>0</f>
        <v>0</v>
      </c>
      <c r="BM990" s="5" t="s">
        <v>258</v>
      </c>
      <c r="BN990" s="5" t="s">
        <v>259</v>
      </c>
      <c r="CB990" s="5" t="s">
        <v>240</v>
      </c>
      <c r="CC990" s="5" t="s">
        <v>240</v>
      </c>
      <c r="CG990" s="5" t="s">
        <v>617</v>
      </c>
      <c r="CH990" s="5" t="s">
        <v>305</v>
      </c>
      <c r="CI990" s="5" t="s">
        <v>240</v>
      </c>
      <c r="CL990" s="6" t="s">
        <v>261</v>
      </c>
      <c r="CM990" s="5" t="s">
        <v>240</v>
      </c>
      <c r="CN990" s="5" t="s">
        <v>263</v>
      </c>
      <c r="CO990" s="5" t="s">
        <v>240</v>
      </c>
      <c r="CP990" s="5" t="s">
        <v>240</v>
      </c>
      <c r="CQ990" s="5">
        <v>0</v>
      </c>
      <c r="CR990" s="5" t="s">
        <v>306</v>
      </c>
      <c r="CS990" s="5" t="s">
        <v>307</v>
      </c>
      <c r="CT990" s="5" t="s">
        <v>307</v>
      </c>
      <c r="CU990" s="5" t="s">
        <v>260</v>
      </c>
      <c r="CX990" s="7">
        <f>5137</f>
        <v>5137</v>
      </c>
      <c r="CY990" s="7">
        <f>0</f>
        <v>0</v>
      </c>
      <c r="DA990" s="7">
        <f>0</f>
        <v>0</v>
      </c>
      <c r="DC990" s="5" t="s">
        <v>854</v>
      </c>
      <c r="DD990" s="5" t="s">
        <v>240</v>
      </c>
      <c r="DF990" s="5" t="s">
        <v>450</v>
      </c>
      <c r="DG990" s="7">
        <f>0</f>
        <v>0</v>
      </c>
      <c r="DI990" s="5" t="s">
        <v>737</v>
      </c>
      <c r="DJ990" s="5" t="s">
        <v>240</v>
      </c>
      <c r="DK990" s="5" t="s">
        <v>240</v>
      </c>
      <c r="DL990" s="5" t="s">
        <v>240</v>
      </c>
      <c r="DP990" s="5" t="s">
        <v>240</v>
      </c>
      <c r="DQ990" s="5" t="s">
        <v>240</v>
      </c>
      <c r="DR990" s="5" t="s">
        <v>240</v>
      </c>
      <c r="DS990" s="5" t="s">
        <v>240</v>
      </c>
      <c r="DV990" s="5" t="s">
        <v>957</v>
      </c>
      <c r="DW990" s="5" t="s">
        <v>783</v>
      </c>
      <c r="HO990" s="5" t="s">
        <v>312</v>
      </c>
    </row>
    <row r="991" spans="1:223" x14ac:dyDescent="0.4">
      <c r="A991" s="5">
        <v>2666</v>
      </c>
      <c r="B991" s="5">
        <v>1</v>
      </c>
      <c r="C991" s="5">
        <v>1</v>
      </c>
      <c r="D991" s="5" t="s">
        <v>297</v>
      </c>
      <c r="E991" s="5" t="s">
        <v>245</v>
      </c>
      <c r="F991" s="5" t="s">
        <v>254</v>
      </c>
      <c r="G991" s="5" t="s">
        <v>240</v>
      </c>
      <c r="H991" s="6" t="s">
        <v>331</v>
      </c>
      <c r="I991" s="5" t="s">
        <v>295</v>
      </c>
      <c r="J991" s="8">
        <f>42</f>
        <v>42</v>
      </c>
      <c r="K991" s="5" t="s">
        <v>308</v>
      </c>
      <c r="L991" s="7">
        <f>1</f>
        <v>1</v>
      </c>
      <c r="M991" s="7">
        <f>1</f>
        <v>1</v>
      </c>
      <c r="N991" s="5" t="s">
        <v>242</v>
      </c>
      <c r="O991" s="5">
        <v>1</v>
      </c>
      <c r="P991" s="5" t="s">
        <v>294</v>
      </c>
      <c r="Q991" s="5" t="s">
        <v>266</v>
      </c>
      <c r="R991" s="5" t="s">
        <v>240</v>
      </c>
      <c r="S991" s="5" t="s">
        <v>240</v>
      </c>
      <c r="T991" s="5" t="s">
        <v>296</v>
      </c>
      <c r="U991" s="5" t="s">
        <v>244</v>
      </c>
      <c r="V991" s="5" t="s">
        <v>240</v>
      </c>
      <c r="Y991" s="5" t="s">
        <v>240</v>
      </c>
      <c r="Z991" s="6" t="s">
        <v>298</v>
      </c>
      <c r="AB991" s="6" t="s">
        <v>240</v>
      </c>
      <c r="AE991" s="6" t="s">
        <v>299</v>
      </c>
      <c r="AF991" s="5" t="s">
        <v>248</v>
      </c>
      <c r="AG991" s="5" t="s">
        <v>249</v>
      </c>
      <c r="AW991" s="5" t="s">
        <v>251</v>
      </c>
      <c r="AX991" s="5" t="s">
        <v>240</v>
      </c>
      <c r="AY991" s="5" t="s">
        <v>253</v>
      </c>
      <c r="AZ991" s="5" t="s">
        <v>240</v>
      </c>
      <c r="BA991" s="5" t="s">
        <v>255</v>
      </c>
      <c r="BB991" s="5" t="s">
        <v>240</v>
      </c>
      <c r="BD991" s="5" t="s">
        <v>240</v>
      </c>
      <c r="BF991" s="5" t="s">
        <v>301</v>
      </c>
      <c r="BG991" s="6" t="s">
        <v>299</v>
      </c>
      <c r="BH991" s="5" t="s">
        <v>302</v>
      </c>
      <c r="BI991" s="5" t="s">
        <v>303</v>
      </c>
      <c r="BJ991" s="5" t="s">
        <v>240</v>
      </c>
      <c r="BK991" s="8">
        <f>0</f>
        <v>0</v>
      </c>
      <c r="BL991" s="7">
        <f>0</f>
        <v>0</v>
      </c>
      <c r="BM991" s="5" t="s">
        <v>258</v>
      </c>
      <c r="BN991" s="5" t="s">
        <v>259</v>
      </c>
      <c r="CB991" s="5" t="s">
        <v>240</v>
      </c>
      <c r="CC991" s="5" t="s">
        <v>240</v>
      </c>
      <c r="CG991" s="5" t="s">
        <v>304</v>
      </c>
      <c r="CH991" s="5" t="s">
        <v>305</v>
      </c>
      <c r="CI991" s="5" t="s">
        <v>240</v>
      </c>
      <c r="CL991" s="6" t="s">
        <v>261</v>
      </c>
      <c r="CM991" s="5" t="s">
        <v>240</v>
      </c>
      <c r="CN991" s="5" t="s">
        <v>263</v>
      </c>
      <c r="CO991" s="5" t="s">
        <v>240</v>
      </c>
      <c r="CP991" s="5" t="s">
        <v>240</v>
      </c>
      <c r="CQ991" s="5">
        <v>0</v>
      </c>
      <c r="CR991" s="5" t="s">
        <v>306</v>
      </c>
      <c r="CS991" s="5" t="s">
        <v>307</v>
      </c>
      <c r="CT991" s="5" t="s">
        <v>307</v>
      </c>
      <c r="CU991" s="5" t="s">
        <v>260</v>
      </c>
      <c r="CX991" s="7">
        <f>1</f>
        <v>1</v>
      </c>
      <c r="CY991" s="7">
        <f>0</f>
        <v>0</v>
      </c>
      <c r="DA991" s="7">
        <f>0</f>
        <v>0</v>
      </c>
      <c r="DC991" s="5" t="s">
        <v>812</v>
      </c>
      <c r="DD991" s="5" t="s">
        <v>240</v>
      </c>
      <c r="DF991" s="5" t="s">
        <v>812</v>
      </c>
      <c r="DG991" s="7">
        <f>352</f>
        <v>352</v>
      </c>
      <c r="DI991" s="5" t="s">
        <v>240</v>
      </c>
      <c r="DJ991" s="5" t="s">
        <v>240</v>
      </c>
      <c r="DK991" s="5" t="s">
        <v>240</v>
      </c>
      <c r="DL991" s="5" t="s">
        <v>240</v>
      </c>
      <c r="DP991" s="5" t="s">
        <v>240</v>
      </c>
      <c r="DQ991" s="5" t="s">
        <v>240</v>
      </c>
      <c r="DR991" s="5" t="s">
        <v>240</v>
      </c>
      <c r="DS991" s="5" t="s">
        <v>240</v>
      </c>
      <c r="DV991" s="5" t="s">
        <v>813</v>
      </c>
      <c r="DW991" s="5" t="s">
        <v>2096</v>
      </c>
      <c r="HO991" s="5" t="s">
        <v>312</v>
      </c>
    </row>
    <row r="992" spans="1:223" x14ac:dyDescent="0.4">
      <c r="A992" s="5">
        <v>2667</v>
      </c>
      <c r="B992" s="5">
        <v>1</v>
      </c>
      <c r="C992" s="5">
        <v>1</v>
      </c>
      <c r="D992" s="5" t="s">
        <v>297</v>
      </c>
      <c r="E992" s="5" t="s">
        <v>245</v>
      </c>
      <c r="F992" s="5" t="s">
        <v>254</v>
      </c>
      <c r="G992" s="5" t="s">
        <v>240</v>
      </c>
      <c r="H992" s="6" t="s">
        <v>329</v>
      </c>
      <c r="I992" s="5" t="s">
        <v>295</v>
      </c>
      <c r="J992" s="8">
        <f>713</f>
        <v>713</v>
      </c>
      <c r="K992" s="5" t="s">
        <v>308</v>
      </c>
      <c r="L992" s="7">
        <f>1</f>
        <v>1</v>
      </c>
      <c r="M992" s="7">
        <f>1</f>
        <v>1</v>
      </c>
      <c r="N992" s="5" t="s">
        <v>242</v>
      </c>
      <c r="O992" s="5">
        <v>1</v>
      </c>
      <c r="P992" s="5" t="s">
        <v>294</v>
      </c>
      <c r="Q992" s="5" t="s">
        <v>2097</v>
      </c>
      <c r="R992" s="5" t="s">
        <v>240</v>
      </c>
      <c r="S992" s="5" t="s">
        <v>240</v>
      </c>
      <c r="T992" s="5" t="s">
        <v>243</v>
      </c>
      <c r="U992" s="5" t="s">
        <v>724</v>
      </c>
      <c r="V992" s="5" t="s">
        <v>240</v>
      </c>
      <c r="Y992" s="5" t="s">
        <v>240</v>
      </c>
      <c r="Z992" s="6" t="s">
        <v>2099</v>
      </c>
      <c r="AE992" s="6" t="s">
        <v>2099</v>
      </c>
      <c r="AF992" s="5" t="s">
        <v>248</v>
      </c>
      <c r="AG992" s="5" t="s">
        <v>249</v>
      </c>
      <c r="AW992" s="5" t="s">
        <v>240</v>
      </c>
      <c r="AX992" s="5" t="s">
        <v>240</v>
      </c>
      <c r="AY992" s="5" t="s">
        <v>253</v>
      </c>
      <c r="AZ992" s="5" t="s">
        <v>240</v>
      </c>
      <c r="BA992" s="5" t="s">
        <v>255</v>
      </c>
      <c r="BB992" s="5" t="s">
        <v>240</v>
      </c>
      <c r="BD992" s="5" t="s">
        <v>240</v>
      </c>
      <c r="BF992" s="5" t="s">
        <v>2101</v>
      </c>
      <c r="BG992" s="6" t="s">
        <v>2099</v>
      </c>
      <c r="BH992" s="5" t="s">
        <v>734</v>
      </c>
      <c r="BI992" s="5" t="s">
        <v>303</v>
      </c>
      <c r="BJ992" s="5" t="s">
        <v>240</v>
      </c>
      <c r="BK992" s="8">
        <f>526.65</f>
        <v>526.65</v>
      </c>
      <c r="BL992" s="7">
        <f>5266793</f>
        <v>5266793</v>
      </c>
      <c r="BM992" s="5" t="s">
        <v>258</v>
      </c>
      <c r="BN992" s="5" t="s">
        <v>259</v>
      </c>
      <c r="CB992" s="5" t="s">
        <v>240</v>
      </c>
      <c r="CC992" s="5" t="s">
        <v>240</v>
      </c>
      <c r="CG992" s="5" t="s">
        <v>449</v>
      </c>
      <c r="CH992" s="5" t="s">
        <v>305</v>
      </c>
      <c r="CI992" s="5" t="s">
        <v>240</v>
      </c>
      <c r="CL992" s="6" t="s">
        <v>261</v>
      </c>
      <c r="CM992" s="5" t="s">
        <v>240</v>
      </c>
      <c r="CN992" s="5" t="s">
        <v>263</v>
      </c>
      <c r="CO992" s="5" t="s">
        <v>240</v>
      </c>
      <c r="CP992" s="5" t="s">
        <v>240</v>
      </c>
      <c r="CQ992" s="5">
        <v>0</v>
      </c>
      <c r="CR992" s="5" t="s">
        <v>735</v>
      </c>
      <c r="CS992" s="5" t="s">
        <v>307</v>
      </c>
      <c r="CT992" s="5" t="s">
        <v>307</v>
      </c>
      <c r="CU992" s="5" t="s">
        <v>260</v>
      </c>
      <c r="CW992" s="8">
        <f>10000.55</f>
        <v>10000.549999999999</v>
      </c>
      <c r="CX992" s="7">
        <f>5266793</f>
        <v>5266793</v>
      </c>
      <c r="DA992" s="7">
        <f>0</f>
        <v>0</v>
      </c>
      <c r="DC992" s="5" t="s">
        <v>240</v>
      </c>
      <c r="DD992" s="5" t="s">
        <v>240</v>
      </c>
      <c r="DF992" s="5" t="s">
        <v>240</v>
      </c>
      <c r="DG992" s="7" t="s">
        <v>240</v>
      </c>
      <c r="DI992" s="5" t="s">
        <v>240</v>
      </c>
      <c r="DJ992" s="5" t="s">
        <v>240</v>
      </c>
      <c r="DK992" s="5" t="s">
        <v>240</v>
      </c>
      <c r="DL992" s="5" t="s">
        <v>240</v>
      </c>
      <c r="DP992" s="5" t="s">
        <v>240</v>
      </c>
      <c r="DQ992" s="5" t="s">
        <v>240</v>
      </c>
      <c r="DR992" s="5" t="s">
        <v>240</v>
      </c>
      <c r="DS992" s="5" t="s">
        <v>240</v>
      </c>
      <c r="DV992" s="5" t="s">
        <v>310</v>
      </c>
      <c r="DW992" s="5" t="s">
        <v>2102</v>
      </c>
    </row>
    <row r="993" spans="1:240" x14ac:dyDescent="0.4">
      <c r="A993" s="5">
        <v>2668</v>
      </c>
      <c r="B993" s="5">
        <v>1</v>
      </c>
      <c r="C993" s="5">
        <v>1</v>
      </c>
      <c r="D993" s="5" t="s">
        <v>297</v>
      </c>
      <c r="E993" s="5" t="s">
        <v>245</v>
      </c>
      <c r="F993" s="5" t="s">
        <v>254</v>
      </c>
      <c r="G993" s="5" t="s">
        <v>240</v>
      </c>
      <c r="H993" s="6" t="s">
        <v>327</v>
      </c>
      <c r="I993" s="5" t="s">
        <v>295</v>
      </c>
      <c r="J993" s="8">
        <f>1923</f>
        <v>1923</v>
      </c>
      <c r="K993" s="5" t="s">
        <v>308</v>
      </c>
      <c r="L993" s="7">
        <f>1</f>
        <v>1</v>
      </c>
      <c r="M993" s="7">
        <f>1</f>
        <v>1</v>
      </c>
      <c r="N993" s="5" t="s">
        <v>242</v>
      </c>
      <c r="O993" s="5">
        <v>1</v>
      </c>
      <c r="P993" s="5" t="s">
        <v>294</v>
      </c>
      <c r="Q993" s="5" t="s">
        <v>2097</v>
      </c>
      <c r="R993" s="5" t="s">
        <v>240</v>
      </c>
      <c r="S993" s="5" t="s">
        <v>240</v>
      </c>
      <c r="T993" s="5" t="s">
        <v>243</v>
      </c>
      <c r="U993" s="5" t="s">
        <v>724</v>
      </c>
      <c r="V993" s="5" t="s">
        <v>240</v>
      </c>
      <c r="Y993" s="5" t="s">
        <v>240</v>
      </c>
      <c r="Z993" s="6" t="s">
        <v>2104</v>
      </c>
      <c r="AE993" s="6" t="s">
        <v>2104</v>
      </c>
      <c r="AF993" s="5" t="s">
        <v>248</v>
      </c>
      <c r="AG993" s="5" t="s">
        <v>249</v>
      </c>
      <c r="AW993" s="5" t="s">
        <v>240</v>
      </c>
      <c r="AX993" s="5" t="s">
        <v>240</v>
      </c>
      <c r="AY993" s="5" t="s">
        <v>253</v>
      </c>
      <c r="AZ993" s="5" t="s">
        <v>240</v>
      </c>
      <c r="BA993" s="5" t="s">
        <v>255</v>
      </c>
      <c r="BB993" s="5" t="s">
        <v>240</v>
      </c>
      <c r="BD993" s="5" t="s">
        <v>240</v>
      </c>
      <c r="BF993" s="5" t="s">
        <v>2101</v>
      </c>
      <c r="BG993" s="6" t="s">
        <v>2104</v>
      </c>
      <c r="BH993" s="5" t="s">
        <v>734</v>
      </c>
      <c r="BI993" s="5" t="s">
        <v>303</v>
      </c>
      <c r="BJ993" s="5" t="s">
        <v>240</v>
      </c>
      <c r="BK993" s="8">
        <f>0</f>
        <v>0</v>
      </c>
      <c r="BL993" s="7">
        <f>7101506</f>
        <v>7101506</v>
      </c>
      <c r="BM993" s="5" t="s">
        <v>258</v>
      </c>
      <c r="BN993" s="5" t="s">
        <v>259</v>
      </c>
      <c r="CB993" s="5" t="s">
        <v>240</v>
      </c>
      <c r="CC993" s="5" t="s">
        <v>240</v>
      </c>
      <c r="CG993" s="5" t="s">
        <v>449</v>
      </c>
      <c r="CH993" s="5" t="s">
        <v>305</v>
      </c>
      <c r="CI993" s="5" t="s">
        <v>240</v>
      </c>
      <c r="CL993" s="6" t="s">
        <v>261</v>
      </c>
      <c r="CM993" s="5" t="s">
        <v>240</v>
      </c>
      <c r="CN993" s="5" t="s">
        <v>263</v>
      </c>
      <c r="CO993" s="5" t="s">
        <v>240</v>
      </c>
      <c r="CP993" s="5" t="s">
        <v>240</v>
      </c>
      <c r="CQ993" s="5">
        <v>0</v>
      </c>
      <c r="CR993" s="5" t="s">
        <v>735</v>
      </c>
      <c r="CS993" s="5" t="s">
        <v>307</v>
      </c>
      <c r="CT993" s="5" t="s">
        <v>307</v>
      </c>
      <c r="CU993" s="5" t="s">
        <v>260</v>
      </c>
      <c r="CX993" s="7">
        <f>7101506</f>
        <v>7101506</v>
      </c>
      <c r="DA993" s="7">
        <f>0</f>
        <v>0</v>
      </c>
      <c r="DC993" s="5" t="s">
        <v>240</v>
      </c>
      <c r="DD993" s="5" t="s">
        <v>240</v>
      </c>
      <c r="DF993" s="5" t="s">
        <v>240</v>
      </c>
      <c r="DG993" s="7" t="s">
        <v>240</v>
      </c>
      <c r="DI993" s="5" t="s">
        <v>240</v>
      </c>
      <c r="DJ993" s="5" t="s">
        <v>240</v>
      </c>
      <c r="DK993" s="5" t="s">
        <v>240</v>
      </c>
      <c r="DL993" s="5" t="s">
        <v>240</v>
      </c>
      <c r="DP993" s="5" t="s">
        <v>240</v>
      </c>
      <c r="DQ993" s="5" t="s">
        <v>240</v>
      </c>
      <c r="DR993" s="5" t="s">
        <v>240</v>
      </c>
      <c r="DS993" s="5" t="s">
        <v>240</v>
      </c>
      <c r="DV993" s="5" t="s">
        <v>310</v>
      </c>
      <c r="DW993" s="5" t="s">
        <v>2106</v>
      </c>
    </row>
    <row r="994" spans="1:240" x14ac:dyDescent="0.4">
      <c r="A994" s="5">
        <v>2669</v>
      </c>
      <c r="B994" s="5">
        <v>1</v>
      </c>
      <c r="C994" s="5">
        <v>1</v>
      </c>
      <c r="D994" s="5" t="s">
        <v>297</v>
      </c>
      <c r="E994" s="5" t="s">
        <v>245</v>
      </c>
      <c r="F994" s="5" t="s">
        <v>254</v>
      </c>
      <c r="G994" s="5" t="s">
        <v>240</v>
      </c>
      <c r="H994" s="6" t="s">
        <v>325</v>
      </c>
      <c r="I994" s="5" t="s">
        <v>295</v>
      </c>
      <c r="J994" s="8">
        <f>1768</f>
        <v>1768</v>
      </c>
      <c r="K994" s="5" t="s">
        <v>308</v>
      </c>
      <c r="L994" s="7">
        <f>1</f>
        <v>1</v>
      </c>
      <c r="M994" s="7">
        <f>1</f>
        <v>1</v>
      </c>
      <c r="N994" s="5" t="s">
        <v>242</v>
      </c>
      <c r="O994" s="5">
        <v>1</v>
      </c>
      <c r="P994" s="5" t="s">
        <v>294</v>
      </c>
      <c r="Q994" s="5" t="s">
        <v>266</v>
      </c>
      <c r="R994" s="5" t="s">
        <v>240</v>
      </c>
      <c r="S994" s="5" t="s">
        <v>240</v>
      </c>
      <c r="T994" s="5" t="s">
        <v>296</v>
      </c>
      <c r="U994" s="5" t="s">
        <v>244</v>
      </c>
      <c r="V994" s="5" t="s">
        <v>240</v>
      </c>
      <c r="Y994" s="5" t="s">
        <v>240</v>
      </c>
      <c r="Z994" s="6" t="s">
        <v>298</v>
      </c>
      <c r="AB994" s="6" t="s">
        <v>240</v>
      </c>
      <c r="AE994" s="6" t="s">
        <v>299</v>
      </c>
      <c r="AF994" s="5" t="s">
        <v>248</v>
      </c>
      <c r="AG994" s="5" t="s">
        <v>249</v>
      </c>
      <c r="AW994" s="5" t="s">
        <v>251</v>
      </c>
      <c r="AX994" s="5" t="s">
        <v>240</v>
      </c>
      <c r="AY994" s="5" t="s">
        <v>253</v>
      </c>
      <c r="AZ994" s="5" t="s">
        <v>240</v>
      </c>
      <c r="BA994" s="5" t="s">
        <v>255</v>
      </c>
      <c r="BB994" s="5" t="s">
        <v>240</v>
      </c>
      <c r="BD994" s="5" t="s">
        <v>240</v>
      </c>
      <c r="BF994" s="5" t="s">
        <v>301</v>
      </c>
      <c r="BG994" s="6" t="s">
        <v>299</v>
      </c>
      <c r="BH994" s="5" t="s">
        <v>302</v>
      </c>
      <c r="BI994" s="5" t="s">
        <v>303</v>
      </c>
      <c r="BJ994" s="5" t="s">
        <v>240</v>
      </c>
      <c r="BK994" s="8">
        <f>0</f>
        <v>0</v>
      </c>
      <c r="BL994" s="7">
        <f>0</f>
        <v>0</v>
      </c>
      <c r="BM994" s="5" t="s">
        <v>258</v>
      </c>
      <c r="BN994" s="5" t="s">
        <v>259</v>
      </c>
      <c r="CB994" s="5" t="s">
        <v>240</v>
      </c>
      <c r="CC994" s="5" t="s">
        <v>240</v>
      </c>
      <c r="CG994" s="5" t="s">
        <v>304</v>
      </c>
      <c r="CH994" s="5" t="s">
        <v>305</v>
      </c>
      <c r="CI994" s="5" t="s">
        <v>240</v>
      </c>
      <c r="CL994" s="6" t="s">
        <v>261</v>
      </c>
      <c r="CM994" s="5" t="s">
        <v>240</v>
      </c>
      <c r="CN994" s="5" t="s">
        <v>263</v>
      </c>
      <c r="CO994" s="5" t="s">
        <v>240</v>
      </c>
      <c r="CP994" s="5" t="s">
        <v>240</v>
      </c>
      <c r="CQ994" s="5">
        <v>0</v>
      </c>
      <c r="CR994" s="5" t="s">
        <v>306</v>
      </c>
      <c r="CS994" s="5" t="s">
        <v>307</v>
      </c>
      <c r="CT994" s="5" t="s">
        <v>307</v>
      </c>
      <c r="CU994" s="5" t="s">
        <v>260</v>
      </c>
      <c r="CX994" s="7">
        <f>1</f>
        <v>1</v>
      </c>
      <c r="CY994" s="7">
        <f>0</f>
        <v>0</v>
      </c>
      <c r="DA994" s="7">
        <f>0</f>
        <v>0</v>
      </c>
      <c r="DC994" s="5" t="s">
        <v>309</v>
      </c>
      <c r="DD994" s="5" t="s">
        <v>240</v>
      </c>
      <c r="DF994" s="5" t="s">
        <v>309</v>
      </c>
      <c r="DG994" s="7">
        <f>98</f>
        <v>98</v>
      </c>
      <c r="DI994" s="5" t="s">
        <v>240</v>
      </c>
      <c r="DJ994" s="5" t="s">
        <v>240</v>
      </c>
      <c r="DK994" s="5" t="s">
        <v>240</v>
      </c>
      <c r="DL994" s="5" t="s">
        <v>240</v>
      </c>
      <c r="DP994" s="5" t="s">
        <v>240</v>
      </c>
      <c r="DQ994" s="5" t="s">
        <v>240</v>
      </c>
      <c r="DR994" s="5" t="s">
        <v>240</v>
      </c>
      <c r="DS994" s="5" t="s">
        <v>240</v>
      </c>
      <c r="DV994" s="5" t="s">
        <v>310</v>
      </c>
      <c r="DW994" s="5" t="s">
        <v>2108</v>
      </c>
      <c r="HO994" s="5" t="s">
        <v>312</v>
      </c>
    </row>
    <row r="995" spans="1:240" x14ac:dyDescent="0.4">
      <c r="A995" s="5">
        <v>2670</v>
      </c>
      <c r="B995" s="5">
        <v>1</v>
      </c>
      <c r="C995" s="5">
        <v>1</v>
      </c>
      <c r="D995" s="5" t="s">
        <v>297</v>
      </c>
      <c r="E995" s="5" t="s">
        <v>245</v>
      </c>
      <c r="F995" s="5" t="s">
        <v>254</v>
      </c>
      <c r="G995" s="5" t="s">
        <v>240</v>
      </c>
      <c r="H995" s="6" t="s">
        <v>323</v>
      </c>
      <c r="I995" s="5" t="s">
        <v>295</v>
      </c>
      <c r="J995" s="8">
        <f>714</f>
        <v>714</v>
      </c>
      <c r="K995" s="5" t="s">
        <v>308</v>
      </c>
      <c r="L995" s="7">
        <f>1</f>
        <v>1</v>
      </c>
      <c r="M995" s="7">
        <f>1</f>
        <v>1</v>
      </c>
      <c r="N995" s="5" t="s">
        <v>242</v>
      </c>
      <c r="O995" s="5">
        <v>1</v>
      </c>
      <c r="P995" s="5" t="s">
        <v>294</v>
      </c>
      <c r="Q995" s="5" t="s">
        <v>613</v>
      </c>
      <c r="R995" s="5" t="s">
        <v>240</v>
      </c>
      <c r="S995" s="5" t="s">
        <v>240</v>
      </c>
      <c r="T995" s="5" t="s">
        <v>243</v>
      </c>
      <c r="U995" s="5" t="s">
        <v>244</v>
      </c>
      <c r="V995" s="5" t="s">
        <v>240</v>
      </c>
      <c r="Y995" s="5" t="s">
        <v>240</v>
      </c>
      <c r="Z995" s="6" t="s">
        <v>298</v>
      </c>
      <c r="AB995" s="6" t="s">
        <v>240</v>
      </c>
      <c r="AE995" s="6" t="s">
        <v>299</v>
      </c>
      <c r="AF995" s="5" t="s">
        <v>248</v>
      </c>
      <c r="AG995" s="5" t="s">
        <v>249</v>
      </c>
      <c r="AW995" s="5" t="s">
        <v>251</v>
      </c>
      <c r="AX995" s="5" t="s">
        <v>240</v>
      </c>
      <c r="AY995" s="5" t="s">
        <v>253</v>
      </c>
      <c r="AZ995" s="5" t="s">
        <v>240</v>
      </c>
      <c r="BA995" s="5" t="s">
        <v>255</v>
      </c>
      <c r="BB995" s="5" t="s">
        <v>240</v>
      </c>
      <c r="BD995" s="5" t="s">
        <v>240</v>
      </c>
      <c r="BF995" s="5" t="s">
        <v>301</v>
      </c>
      <c r="BG995" s="6" t="s">
        <v>299</v>
      </c>
      <c r="BH995" s="5" t="s">
        <v>302</v>
      </c>
      <c r="BI995" s="5" t="s">
        <v>303</v>
      </c>
      <c r="BJ995" s="5" t="s">
        <v>240</v>
      </c>
      <c r="BK995" s="8">
        <f>0</f>
        <v>0</v>
      </c>
      <c r="BL995" s="7">
        <f>0</f>
        <v>0</v>
      </c>
      <c r="BM995" s="5" t="s">
        <v>258</v>
      </c>
      <c r="BN995" s="5" t="s">
        <v>259</v>
      </c>
      <c r="CB995" s="5" t="s">
        <v>240</v>
      </c>
      <c r="CC995" s="5" t="s">
        <v>240</v>
      </c>
      <c r="CG995" s="5" t="s">
        <v>617</v>
      </c>
      <c r="CH995" s="5" t="s">
        <v>305</v>
      </c>
      <c r="CI995" s="5" t="s">
        <v>240</v>
      </c>
      <c r="CL995" s="6" t="s">
        <v>261</v>
      </c>
      <c r="CM995" s="5" t="s">
        <v>240</v>
      </c>
      <c r="CN995" s="5" t="s">
        <v>263</v>
      </c>
      <c r="CO995" s="5" t="s">
        <v>240</v>
      </c>
      <c r="CP995" s="5" t="s">
        <v>240</v>
      </c>
      <c r="CQ995" s="5">
        <v>0</v>
      </c>
      <c r="CR995" s="5" t="s">
        <v>306</v>
      </c>
      <c r="CS995" s="5" t="s">
        <v>307</v>
      </c>
      <c r="CT995" s="5" t="s">
        <v>307</v>
      </c>
      <c r="CU995" s="5" t="s">
        <v>260</v>
      </c>
      <c r="CX995" s="7">
        <f>183450730</f>
        <v>183450730</v>
      </c>
      <c r="CY995" s="7">
        <f>0</f>
        <v>0</v>
      </c>
      <c r="DA995" s="7">
        <f>0</f>
        <v>0</v>
      </c>
      <c r="DC995" s="5" t="s">
        <v>689</v>
      </c>
      <c r="DD995" s="5" t="s">
        <v>240</v>
      </c>
      <c r="DF995" s="5" t="s">
        <v>450</v>
      </c>
      <c r="DG995" s="7">
        <f>0</f>
        <v>0</v>
      </c>
      <c r="DI995" s="5" t="s">
        <v>618</v>
      </c>
      <c r="DJ995" s="5" t="s">
        <v>240</v>
      </c>
      <c r="DK995" s="5" t="s">
        <v>240</v>
      </c>
      <c r="DL995" s="5" t="s">
        <v>240</v>
      </c>
      <c r="DP995" s="5" t="s">
        <v>240</v>
      </c>
      <c r="DQ995" s="5" t="s">
        <v>240</v>
      </c>
      <c r="DR995" s="5" t="s">
        <v>240</v>
      </c>
      <c r="DS995" s="5" t="s">
        <v>240</v>
      </c>
      <c r="DV995" s="5" t="s">
        <v>1645</v>
      </c>
      <c r="DW995" s="5" t="s">
        <v>620</v>
      </c>
      <c r="HO995" s="5" t="s">
        <v>312</v>
      </c>
    </row>
    <row r="996" spans="1:240" x14ac:dyDescent="0.4">
      <c r="A996" s="5">
        <v>2671</v>
      </c>
      <c r="B996" s="5">
        <v>1</v>
      </c>
      <c r="C996" s="5">
        <v>1</v>
      </c>
      <c r="D996" s="5" t="s">
        <v>297</v>
      </c>
      <c r="E996" s="5" t="s">
        <v>245</v>
      </c>
      <c r="F996" s="5" t="s">
        <v>254</v>
      </c>
      <c r="G996" s="5" t="s">
        <v>240</v>
      </c>
      <c r="H996" s="6" t="s">
        <v>321</v>
      </c>
      <c r="I996" s="5" t="s">
        <v>295</v>
      </c>
      <c r="J996" s="8">
        <f>7175</f>
        <v>7175</v>
      </c>
      <c r="K996" s="5" t="s">
        <v>308</v>
      </c>
      <c r="L996" s="7">
        <f>1</f>
        <v>1</v>
      </c>
      <c r="M996" s="7">
        <f>1</f>
        <v>1</v>
      </c>
      <c r="N996" s="5" t="s">
        <v>242</v>
      </c>
      <c r="O996" s="5">
        <v>1</v>
      </c>
      <c r="P996" s="5" t="s">
        <v>294</v>
      </c>
      <c r="Q996" s="5" t="s">
        <v>613</v>
      </c>
      <c r="R996" s="5" t="s">
        <v>240</v>
      </c>
      <c r="S996" s="5" t="s">
        <v>240</v>
      </c>
      <c r="T996" s="5" t="s">
        <v>243</v>
      </c>
      <c r="U996" s="5" t="s">
        <v>244</v>
      </c>
      <c r="V996" s="5" t="s">
        <v>240</v>
      </c>
      <c r="Y996" s="5" t="s">
        <v>240</v>
      </c>
      <c r="Z996" s="6" t="s">
        <v>2112</v>
      </c>
      <c r="AB996" s="6" t="s">
        <v>240</v>
      </c>
      <c r="AE996" s="6" t="s">
        <v>299</v>
      </c>
      <c r="AF996" s="5" t="s">
        <v>248</v>
      </c>
      <c r="AG996" s="5" t="s">
        <v>249</v>
      </c>
      <c r="AW996" s="5" t="s">
        <v>251</v>
      </c>
      <c r="AX996" s="5" t="s">
        <v>240</v>
      </c>
      <c r="AY996" s="5" t="s">
        <v>253</v>
      </c>
      <c r="AZ996" s="5" t="s">
        <v>240</v>
      </c>
      <c r="BA996" s="5" t="s">
        <v>255</v>
      </c>
      <c r="BB996" s="5" t="s">
        <v>240</v>
      </c>
      <c r="BD996" s="5" t="s">
        <v>842</v>
      </c>
      <c r="BF996" s="5" t="s">
        <v>301</v>
      </c>
      <c r="BG996" s="6" t="s">
        <v>299</v>
      </c>
      <c r="BH996" s="5" t="s">
        <v>302</v>
      </c>
      <c r="BI996" s="5" t="s">
        <v>303</v>
      </c>
      <c r="BJ996" s="5" t="s">
        <v>240</v>
      </c>
      <c r="BK996" s="8">
        <f>0</f>
        <v>0</v>
      </c>
      <c r="BL996" s="7">
        <f>0</f>
        <v>0</v>
      </c>
      <c r="BM996" s="5" t="s">
        <v>258</v>
      </c>
      <c r="BN996" s="5" t="s">
        <v>259</v>
      </c>
      <c r="CB996" s="5" t="s">
        <v>240</v>
      </c>
      <c r="CC996" s="5" t="s">
        <v>240</v>
      </c>
      <c r="CG996" s="5" t="s">
        <v>617</v>
      </c>
      <c r="CH996" s="5" t="s">
        <v>305</v>
      </c>
      <c r="CI996" s="5" t="s">
        <v>240</v>
      </c>
      <c r="CL996" s="6" t="s">
        <v>261</v>
      </c>
      <c r="CM996" s="5" t="s">
        <v>240</v>
      </c>
      <c r="CN996" s="5" t="s">
        <v>263</v>
      </c>
      <c r="CO996" s="5" t="s">
        <v>240</v>
      </c>
      <c r="CP996" s="5" t="s">
        <v>240</v>
      </c>
      <c r="CQ996" s="5">
        <v>0</v>
      </c>
      <c r="CR996" s="5" t="s">
        <v>306</v>
      </c>
      <c r="CS996" s="5" t="s">
        <v>307</v>
      </c>
      <c r="CT996" s="5" t="s">
        <v>307</v>
      </c>
      <c r="CU996" s="5" t="s">
        <v>260</v>
      </c>
      <c r="CX996" s="7">
        <f>1528350</f>
        <v>1528350</v>
      </c>
      <c r="CY996" s="7">
        <f>0</f>
        <v>0</v>
      </c>
      <c r="DA996" s="7">
        <f>0</f>
        <v>0</v>
      </c>
      <c r="DC996" s="5" t="s">
        <v>618</v>
      </c>
      <c r="DD996" s="5" t="s">
        <v>240</v>
      </c>
      <c r="DF996" s="5" t="s">
        <v>618</v>
      </c>
      <c r="DG996" s="7">
        <f>7110</f>
        <v>7110</v>
      </c>
      <c r="DH996" s="6" t="s">
        <v>774</v>
      </c>
      <c r="DI996" s="5" t="s">
        <v>618</v>
      </c>
      <c r="DJ996" s="5" t="s">
        <v>240</v>
      </c>
      <c r="DK996" s="5" t="s">
        <v>240</v>
      </c>
      <c r="DL996" s="5" t="s">
        <v>240</v>
      </c>
      <c r="DP996" s="5" t="s">
        <v>240</v>
      </c>
      <c r="DQ996" s="5" t="s">
        <v>240</v>
      </c>
      <c r="DR996" s="5" t="s">
        <v>240</v>
      </c>
      <c r="DS996" s="5" t="s">
        <v>240</v>
      </c>
      <c r="DV996" s="5" t="s">
        <v>2114</v>
      </c>
      <c r="DW996" s="5" t="s">
        <v>312</v>
      </c>
      <c r="HO996" s="5" t="s">
        <v>312</v>
      </c>
    </row>
    <row r="997" spans="1:240" x14ac:dyDescent="0.4">
      <c r="A997" s="5">
        <v>2672</v>
      </c>
      <c r="B997" s="5">
        <v>1</v>
      </c>
      <c r="C997" s="5">
        <v>1</v>
      </c>
      <c r="D997" s="5" t="s">
        <v>297</v>
      </c>
      <c r="E997" s="5" t="s">
        <v>245</v>
      </c>
      <c r="F997" s="5" t="s">
        <v>254</v>
      </c>
      <c r="G997" s="5" t="s">
        <v>240</v>
      </c>
      <c r="H997" s="6" t="s">
        <v>319</v>
      </c>
      <c r="I997" s="5" t="s">
        <v>295</v>
      </c>
      <c r="J997" s="8">
        <f>830</f>
        <v>830</v>
      </c>
      <c r="K997" s="5" t="s">
        <v>308</v>
      </c>
      <c r="L997" s="7">
        <f>1</f>
        <v>1</v>
      </c>
      <c r="M997" s="7">
        <f>1</f>
        <v>1</v>
      </c>
      <c r="N997" s="5" t="s">
        <v>242</v>
      </c>
      <c r="O997" s="5">
        <v>1</v>
      </c>
      <c r="P997" s="5" t="s">
        <v>294</v>
      </c>
      <c r="Q997" s="5" t="s">
        <v>613</v>
      </c>
      <c r="R997" s="5" t="s">
        <v>240</v>
      </c>
      <c r="S997" s="5" t="s">
        <v>240</v>
      </c>
      <c r="T997" s="5" t="s">
        <v>243</v>
      </c>
      <c r="U997" s="5" t="s">
        <v>724</v>
      </c>
      <c r="V997" s="5" t="s">
        <v>240</v>
      </c>
      <c r="Y997" s="5" t="s">
        <v>240</v>
      </c>
      <c r="Z997" s="6" t="s">
        <v>298</v>
      </c>
      <c r="AB997" s="6" t="s">
        <v>240</v>
      </c>
      <c r="AE997" s="6" t="s">
        <v>299</v>
      </c>
      <c r="AF997" s="5" t="s">
        <v>248</v>
      </c>
      <c r="AG997" s="5" t="s">
        <v>249</v>
      </c>
      <c r="AW997" s="5" t="s">
        <v>251</v>
      </c>
      <c r="AX997" s="5" t="s">
        <v>240</v>
      </c>
      <c r="AY997" s="5" t="s">
        <v>253</v>
      </c>
      <c r="AZ997" s="5" t="s">
        <v>240</v>
      </c>
      <c r="BA997" s="5" t="s">
        <v>255</v>
      </c>
      <c r="BB997" s="5" t="s">
        <v>240</v>
      </c>
      <c r="BD997" s="5" t="s">
        <v>842</v>
      </c>
      <c r="BF997" s="5" t="s">
        <v>301</v>
      </c>
      <c r="BG997" s="6" t="s">
        <v>299</v>
      </c>
      <c r="BH997" s="5" t="s">
        <v>302</v>
      </c>
      <c r="BI997" s="5" t="s">
        <v>303</v>
      </c>
      <c r="BJ997" s="5" t="s">
        <v>240</v>
      </c>
      <c r="BK997" s="8">
        <f>0</f>
        <v>0</v>
      </c>
      <c r="BL997" s="7">
        <f>0</f>
        <v>0</v>
      </c>
      <c r="BM997" s="5" t="s">
        <v>258</v>
      </c>
      <c r="BN997" s="5" t="s">
        <v>259</v>
      </c>
      <c r="CB997" s="5" t="s">
        <v>240</v>
      </c>
      <c r="CC997" s="5" t="s">
        <v>240</v>
      </c>
      <c r="CG997" s="5" t="s">
        <v>617</v>
      </c>
      <c r="CH997" s="5" t="s">
        <v>305</v>
      </c>
      <c r="CI997" s="5" t="s">
        <v>240</v>
      </c>
      <c r="CL997" s="6" t="s">
        <v>261</v>
      </c>
      <c r="CM997" s="5" t="s">
        <v>240</v>
      </c>
      <c r="CN997" s="5" t="s">
        <v>263</v>
      </c>
      <c r="CO997" s="5" t="s">
        <v>240</v>
      </c>
      <c r="CP997" s="5" t="s">
        <v>240</v>
      </c>
      <c r="CQ997" s="5">
        <v>0</v>
      </c>
      <c r="CR997" s="5" t="s">
        <v>306</v>
      </c>
      <c r="CS997" s="5" t="s">
        <v>307</v>
      </c>
      <c r="CT997" s="5" t="s">
        <v>307</v>
      </c>
      <c r="CU997" s="5" t="s">
        <v>260</v>
      </c>
      <c r="CX997" s="7">
        <f>7260</f>
        <v>7260</v>
      </c>
      <c r="CY997" s="7">
        <f>0</f>
        <v>0</v>
      </c>
      <c r="DA997" s="7">
        <f>0</f>
        <v>0</v>
      </c>
      <c r="DC997" s="5" t="s">
        <v>450</v>
      </c>
      <c r="DD997" s="5" t="s">
        <v>240</v>
      </c>
      <c r="DF997" s="5" t="s">
        <v>450</v>
      </c>
      <c r="DG997" s="7">
        <f>0</f>
        <v>0</v>
      </c>
      <c r="DI997" s="5" t="s">
        <v>737</v>
      </c>
      <c r="DJ997" s="5" t="s">
        <v>240</v>
      </c>
      <c r="DK997" s="5" t="s">
        <v>240</v>
      </c>
      <c r="DL997" s="5" t="s">
        <v>240</v>
      </c>
      <c r="DP997" s="5" t="s">
        <v>240</v>
      </c>
      <c r="DQ997" s="5" t="s">
        <v>240</v>
      </c>
      <c r="DR997" s="5" t="s">
        <v>240</v>
      </c>
      <c r="DS997" s="5" t="s">
        <v>240</v>
      </c>
      <c r="DV997" s="5" t="s">
        <v>2117</v>
      </c>
      <c r="DW997" s="5" t="s">
        <v>312</v>
      </c>
      <c r="HO997" s="5" t="s">
        <v>312</v>
      </c>
    </row>
    <row r="998" spans="1:240" x14ac:dyDescent="0.4">
      <c r="A998" s="5">
        <v>2673</v>
      </c>
      <c r="B998" s="5">
        <v>1</v>
      </c>
      <c r="C998" s="5">
        <v>1</v>
      </c>
      <c r="D998" s="5" t="s">
        <v>297</v>
      </c>
      <c r="E998" s="5" t="s">
        <v>245</v>
      </c>
      <c r="F998" s="5" t="s">
        <v>254</v>
      </c>
      <c r="G998" s="5" t="s">
        <v>240</v>
      </c>
      <c r="H998" s="6" t="s">
        <v>317</v>
      </c>
      <c r="I998" s="5" t="s">
        <v>295</v>
      </c>
      <c r="J998" s="8">
        <f>259</f>
        <v>259</v>
      </c>
      <c r="K998" s="5" t="s">
        <v>308</v>
      </c>
      <c r="L998" s="7">
        <f>1</f>
        <v>1</v>
      </c>
      <c r="M998" s="7">
        <f>1</f>
        <v>1</v>
      </c>
      <c r="N998" s="5" t="s">
        <v>242</v>
      </c>
      <c r="O998" s="5">
        <v>1</v>
      </c>
      <c r="P998" s="5" t="s">
        <v>294</v>
      </c>
      <c r="Q998" s="5" t="s">
        <v>613</v>
      </c>
      <c r="R998" s="5" t="s">
        <v>240</v>
      </c>
      <c r="S998" s="5" t="s">
        <v>240</v>
      </c>
      <c r="T998" s="5" t="s">
        <v>243</v>
      </c>
      <c r="U998" s="5" t="s">
        <v>724</v>
      </c>
      <c r="V998" s="5" t="s">
        <v>240</v>
      </c>
      <c r="Y998" s="5" t="s">
        <v>240</v>
      </c>
      <c r="Z998" s="6" t="s">
        <v>298</v>
      </c>
      <c r="AB998" s="6" t="s">
        <v>240</v>
      </c>
      <c r="AE998" s="6" t="s">
        <v>299</v>
      </c>
      <c r="AF998" s="5" t="s">
        <v>248</v>
      </c>
      <c r="AG998" s="5" t="s">
        <v>249</v>
      </c>
      <c r="AW998" s="5" t="s">
        <v>251</v>
      </c>
      <c r="AX998" s="5" t="s">
        <v>240</v>
      </c>
      <c r="AY998" s="5" t="s">
        <v>253</v>
      </c>
      <c r="AZ998" s="5" t="s">
        <v>240</v>
      </c>
      <c r="BA998" s="5" t="s">
        <v>255</v>
      </c>
      <c r="BB998" s="5" t="s">
        <v>240</v>
      </c>
      <c r="BD998" s="5" t="s">
        <v>842</v>
      </c>
      <c r="BF998" s="5" t="s">
        <v>301</v>
      </c>
      <c r="BG998" s="6" t="s">
        <v>299</v>
      </c>
      <c r="BH998" s="5" t="s">
        <v>302</v>
      </c>
      <c r="BI998" s="5" t="s">
        <v>303</v>
      </c>
      <c r="BJ998" s="5" t="s">
        <v>240</v>
      </c>
      <c r="BK998" s="8">
        <f>0</f>
        <v>0</v>
      </c>
      <c r="BL998" s="7">
        <f>0</f>
        <v>0</v>
      </c>
      <c r="BM998" s="5" t="s">
        <v>258</v>
      </c>
      <c r="BN998" s="5" t="s">
        <v>259</v>
      </c>
      <c r="CB998" s="5" t="s">
        <v>240</v>
      </c>
      <c r="CC998" s="5" t="s">
        <v>240</v>
      </c>
      <c r="CG998" s="5" t="s">
        <v>617</v>
      </c>
      <c r="CH998" s="5" t="s">
        <v>305</v>
      </c>
      <c r="CI998" s="5" t="s">
        <v>240</v>
      </c>
      <c r="CL998" s="6" t="s">
        <v>261</v>
      </c>
      <c r="CM998" s="5" t="s">
        <v>240</v>
      </c>
      <c r="CN998" s="5" t="s">
        <v>263</v>
      </c>
      <c r="CO998" s="5" t="s">
        <v>240</v>
      </c>
      <c r="CP998" s="5" t="s">
        <v>240</v>
      </c>
      <c r="CQ998" s="5">
        <v>0</v>
      </c>
      <c r="CR998" s="5" t="s">
        <v>306</v>
      </c>
      <c r="CS998" s="5" t="s">
        <v>307</v>
      </c>
      <c r="CT998" s="5" t="s">
        <v>307</v>
      </c>
      <c r="CU998" s="5" t="s">
        <v>260</v>
      </c>
      <c r="CX998" s="7">
        <f>6061</f>
        <v>6061</v>
      </c>
      <c r="CY998" s="7">
        <f>0</f>
        <v>0</v>
      </c>
      <c r="DA998" s="7">
        <f>0</f>
        <v>0</v>
      </c>
      <c r="DC998" s="5" t="s">
        <v>450</v>
      </c>
      <c r="DD998" s="5" t="s">
        <v>240</v>
      </c>
      <c r="DF998" s="5" t="s">
        <v>450</v>
      </c>
      <c r="DG998" s="7">
        <f>0</f>
        <v>0</v>
      </c>
      <c r="DI998" s="5" t="s">
        <v>737</v>
      </c>
      <c r="DJ998" s="5" t="s">
        <v>240</v>
      </c>
      <c r="DK998" s="5" t="s">
        <v>240</v>
      </c>
      <c r="DL998" s="5" t="s">
        <v>240</v>
      </c>
      <c r="DP998" s="5" t="s">
        <v>240</v>
      </c>
      <c r="DQ998" s="5" t="s">
        <v>240</v>
      </c>
      <c r="DR998" s="5" t="s">
        <v>240</v>
      </c>
      <c r="DS998" s="5" t="s">
        <v>240</v>
      </c>
      <c r="DV998" s="5" t="s">
        <v>2120</v>
      </c>
      <c r="DW998" s="5" t="s">
        <v>312</v>
      </c>
      <c r="HO998" s="5" t="s">
        <v>312</v>
      </c>
    </row>
    <row r="999" spans="1:240" x14ac:dyDescent="0.4">
      <c r="A999" s="5">
        <v>2674</v>
      </c>
      <c r="B999" s="5">
        <v>1</v>
      </c>
      <c r="C999" s="5">
        <v>1</v>
      </c>
      <c r="D999" s="5" t="s">
        <v>297</v>
      </c>
      <c r="E999" s="5" t="s">
        <v>245</v>
      </c>
      <c r="F999" s="5" t="s">
        <v>254</v>
      </c>
      <c r="G999" s="5" t="s">
        <v>240</v>
      </c>
      <c r="H999" s="6" t="s">
        <v>315</v>
      </c>
      <c r="I999" s="5" t="s">
        <v>295</v>
      </c>
      <c r="J999" s="8">
        <f>60</f>
        <v>60</v>
      </c>
      <c r="K999" s="5" t="s">
        <v>308</v>
      </c>
      <c r="L999" s="7">
        <f>1</f>
        <v>1</v>
      </c>
      <c r="M999" s="7">
        <f>1</f>
        <v>1</v>
      </c>
      <c r="N999" s="5" t="s">
        <v>242</v>
      </c>
      <c r="O999" s="5">
        <v>1</v>
      </c>
      <c r="P999" s="5" t="s">
        <v>294</v>
      </c>
      <c r="Q999" s="5" t="s">
        <v>613</v>
      </c>
      <c r="R999" s="5" t="s">
        <v>240</v>
      </c>
      <c r="S999" s="5" t="s">
        <v>240</v>
      </c>
      <c r="T999" s="5" t="s">
        <v>243</v>
      </c>
      <c r="U999" s="5" t="s">
        <v>724</v>
      </c>
      <c r="V999" s="5" t="s">
        <v>240</v>
      </c>
      <c r="Y999" s="5" t="s">
        <v>240</v>
      </c>
      <c r="Z999" s="6" t="s">
        <v>298</v>
      </c>
      <c r="AB999" s="6" t="s">
        <v>240</v>
      </c>
      <c r="AE999" s="6" t="s">
        <v>299</v>
      </c>
      <c r="AF999" s="5" t="s">
        <v>248</v>
      </c>
      <c r="AG999" s="5" t="s">
        <v>249</v>
      </c>
      <c r="AW999" s="5" t="s">
        <v>251</v>
      </c>
      <c r="AX999" s="5" t="s">
        <v>240</v>
      </c>
      <c r="AY999" s="5" t="s">
        <v>253</v>
      </c>
      <c r="AZ999" s="5" t="s">
        <v>240</v>
      </c>
      <c r="BA999" s="5" t="s">
        <v>255</v>
      </c>
      <c r="BB999" s="5" t="s">
        <v>240</v>
      </c>
      <c r="BD999" s="5" t="s">
        <v>842</v>
      </c>
      <c r="BF999" s="5" t="s">
        <v>301</v>
      </c>
      <c r="BG999" s="6" t="s">
        <v>299</v>
      </c>
      <c r="BH999" s="5" t="s">
        <v>302</v>
      </c>
      <c r="BI999" s="5" t="s">
        <v>303</v>
      </c>
      <c r="BJ999" s="5" t="s">
        <v>240</v>
      </c>
      <c r="BK999" s="8">
        <f>0</f>
        <v>0</v>
      </c>
      <c r="BL999" s="7">
        <f>0</f>
        <v>0</v>
      </c>
      <c r="BM999" s="5" t="s">
        <v>258</v>
      </c>
      <c r="BN999" s="5" t="s">
        <v>259</v>
      </c>
      <c r="CB999" s="5" t="s">
        <v>240</v>
      </c>
      <c r="CC999" s="5" t="s">
        <v>240</v>
      </c>
      <c r="CG999" s="5" t="s">
        <v>617</v>
      </c>
      <c r="CH999" s="5" t="s">
        <v>305</v>
      </c>
      <c r="CI999" s="5" t="s">
        <v>240</v>
      </c>
      <c r="CL999" s="6" t="s">
        <v>261</v>
      </c>
      <c r="CM999" s="5" t="s">
        <v>240</v>
      </c>
      <c r="CN999" s="5" t="s">
        <v>263</v>
      </c>
      <c r="CO999" s="5" t="s">
        <v>240</v>
      </c>
      <c r="CP999" s="5" t="s">
        <v>240</v>
      </c>
      <c r="CQ999" s="5">
        <v>0</v>
      </c>
      <c r="CR999" s="5" t="s">
        <v>306</v>
      </c>
      <c r="CS999" s="5" t="s">
        <v>307</v>
      </c>
      <c r="CT999" s="5" t="s">
        <v>307</v>
      </c>
      <c r="CU999" s="5" t="s">
        <v>260</v>
      </c>
      <c r="CX999" s="7">
        <f>21362</f>
        <v>21362</v>
      </c>
      <c r="CY999" s="7">
        <f>0</f>
        <v>0</v>
      </c>
      <c r="DA999" s="7">
        <f>0</f>
        <v>0</v>
      </c>
      <c r="DC999" s="5" t="s">
        <v>737</v>
      </c>
      <c r="DD999" s="5" t="s">
        <v>240</v>
      </c>
      <c r="DF999" s="5" t="s">
        <v>450</v>
      </c>
      <c r="DG999" s="7">
        <f>0</f>
        <v>0</v>
      </c>
      <c r="DI999" s="5" t="s">
        <v>737</v>
      </c>
      <c r="DJ999" s="5" t="s">
        <v>240</v>
      </c>
      <c r="DK999" s="5" t="s">
        <v>240</v>
      </c>
      <c r="DL999" s="5" t="s">
        <v>240</v>
      </c>
      <c r="DP999" s="5" t="s">
        <v>240</v>
      </c>
      <c r="DQ999" s="5" t="s">
        <v>240</v>
      </c>
      <c r="DR999" s="5" t="s">
        <v>240</v>
      </c>
      <c r="DS999" s="5" t="s">
        <v>240</v>
      </c>
      <c r="DV999" s="5" t="s">
        <v>2123</v>
      </c>
      <c r="DW999" s="5" t="s">
        <v>312</v>
      </c>
      <c r="HO999" s="5" t="s">
        <v>312</v>
      </c>
    </row>
    <row r="1000" spans="1:240" x14ac:dyDescent="0.4">
      <c r="A1000" s="5">
        <v>2675</v>
      </c>
      <c r="B1000" s="5">
        <v>1</v>
      </c>
      <c r="C1000" s="5">
        <v>1</v>
      </c>
      <c r="D1000" s="5" t="s">
        <v>297</v>
      </c>
      <c r="E1000" s="5" t="s">
        <v>245</v>
      </c>
      <c r="F1000" s="5" t="s">
        <v>254</v>
      </c>
      <c r="G1000" s="5" t="s">
        <v>240</v>
      </c>
      <c r="H1000" s="6" t="s">
        <v>313</v>
      </c>
      <c r="I1000" s="5" t="s">
        <v>295</v>
      </c>
      <c r="J1000" s="8">
        <f>6305</f>
        <v>6305</v>
      </c>
      <c r="K1000" s="5" t="s">
        <v>308</v>
      </c>
      <c r="L1000" s="7">
        <f>1</f>
        <v>1</v>
      </c>
      <c r="M1000" s="7">
        <f>1</f>
        <v>1</v>
      </c>
      <c r="N1000" s="5" t="s">
        <v>242</v>
      </c>
      <c r="O1000" s="5">
        <v>1</v>
      </c>
      <c r="P1000" s="5" t="s">
        <v>294</v>
      </c>
      <c r="Q1000" s="5" t="s">
        <v>613</v>
      </c>
      <c r="R1000" s="5" t="s">
        <v>240</v>
      </c>
      <c r="S1000" s="5" t="s">
        <v>240</v>
      </c>
      <c r="T1000" s="5" t="s">
        <v>243</v>
      </c>
      <c r="U1000" s="5" t="s">
        <v>244</v>
      </c>
      <c r="V1000" s="5" t="s">
        <v>240</v>
      </c>
      <c r="Y1000" s="5" t="s">
        <v>240</v>
      </c>
      <c r="Z1000" s="6" t="s">
        <v>298</v>
      </c>
      <c r="AB1000" s="6" t="s">
        <v>240</v>
      </c>
      <c r="AE1000" s="6" t="s">
        <v>299</v>
      </c>
      <c r="AF1000" s="5" t="s">
        <v>248</v>
      </c>
      <c r="AG1000" s="5" t="s">
        <v>249</v>
      </c>
      <c r="AW1000" s="5" t="s">
        <v>251</v>
      </c>
      <c r="AX1000" s="5" t="s">
        <v>240</v>
      </c>
      <c r="AY1000" s="5" t="s">
        <v>253</v>
      </c>
      <c r="AZ1000" s="5" t="s">
        <v>240</v>
      </c>
      <c r="BA1000" s="5" t="s">
        <v>255</v>
      </c>
      <c r="BB1000" s="5" t="s">
        <v>240</v>
      </c>
      <c r="BD1000" s="5" t="s">
        <v>686</v>
      </c>
      <c r="BF1000" s="5" t="s">
        <v>687</v>
      </c>
      <c r="BG1000" s="6" t="s">
        <v>1825</v>
      </c>
      <c r="BH1000" s="5" t="s">
        <v>302</v>
      </c>
      <c r="BI1000" s="5" t="s">
        <v>303</v>
      </c>
      <c r="BJ1000" s="5" t="s">
        <v>240</v>
      </c>
      <c r="BK1000" s="8">
        <f>0</f>
        <v>0</v>
      </c>
      <c r="BL1000" s="7">
        <f>0</f>
        <v>0</v>
      </c>
      <c r="BM1000" s="5" t="s">
        <v>258</v>
      </c>
      <c r="BN1000" s="5" t="s">
        <v>259</v>
      </c>
      <c r="CB1000" s="5" t="s">
        <v>240</v>
      </c>
      <c r="CC1000" s="5" t="s">
        <v>240</v>
      </c>
      <c r="CG1000" s="5" t="s">
        <v>617</v>
      </c>
      <c r="CH1000" s="5" t="s">
        <v>305</v>
      </c>
      <c r="CI1000" s="5" t="s">
        <v>240</v>
      </c>
      <c r="CL1000" s="6" t="s">
        <v>261</v>
      </c>
      <c r="CM1000" s="5" t="s">
        <v>240</v>
      </c>
      <c r="CN1000" s="5" t="s">
        <v>263</v>
      </c>
      <c r="CO1000" s="5" t="s">
        <v>240</v>
      </c>
      <c r="CP1000" s="5" t="s">
        <v>240</v>
      </c>
      <c r="CQ1000" s="5">
        <v>0</v>
      </c>
      <c r="CR1000" s="5" t="s">
        <v>306</v>
      </c>
      <c r="CS1000" s="5" t="s">
        <v>307</v>
      </c>
      <c r="CT1000" s="5" t="s">
        <v>307</v>
      </c>
      <c r="CU1000" s="5" t="s">
        <v>260</v>
      </c>
      <c r="CX1000" s="7">
        <f>7967355</f>
        <v>7967355</v>
      </c>
      <c r="CY1000" s="7">
        <f>0</f>
        <v>0</v>
      </c>
      <c r="DA1000" s="7">
        <f>0</f>
        <v>0</v>
      </c>
      <c r="DC1000" s="5" t="s">
        <v>689</v>
      </c>
      <c r="DD1000" s="5" t="s">
        <v>240</v>
      </c>
      <c r="DF1000" s="5" t="s">
        <v>689</v>
      </c>
      <c r="DG1000" s="7">
        <f>3597</f>
        <v>3597</v>
      </c>
      <c r="DI1000" s="5" t="s">
        <v>618</v>
      </c>
      <c r="DJ1000" s="5" t="s">
        <v>240</v>
      </c>
      <c r="DK1000" s="5" t="s">
        <v>240</v>
      </c>
      <c r="DL1000" s="5" t="s">
        <v>240</v>
      </c>
      <c r="DP1000" s="5" t="s">
        <v>240</v>
      </c>
      <c r="DQ1000" s="5" t="s">
        <v>240</v>
      </c>
      <c r="DR1000" s="5" t="s">
        <v>240</v>
      </c>
      <c r="DS1000" s="5" t="s">
        <v>240</v>
      </c>
      <c r="DV1000" s="5" t="s">
        <v>1415</v>
      </c>
      <c r="DW1000" s="5" t="s">
        <v>312</v>
      </c>
      <c r="HO1000" s="5" t="s">
        <v>312</v>
      </c>
    </row>
    <row r="1001" spans="1:240" x14ac:dyDescent="0.4">
      <c r="A1001" s="5">
        <v>2676</v>
      </c>
      <c r="B1001" s="5">
        <v>1</v>
      </c>
      <c r="C1001" s="5">
        <v>1</v>
      </c>
      <c r="D1001" s="5" t="s">
        <v>297</v>
      </c>
      <c r="E1001" s="5" t="s">
        <v>245</v>
      </c>
      <c r="F1001" s="5" t="s">
        <v>254</v>
      </c>
      <c r="G1001" s="5" t="s">
        <v>240</v>
      </c>
      <c r="H1001" s="6" t="s">
        <v>300</v>
      </c>
      <c r="I1001" s="5" t="s">
        <v>295</v>
      </c>
      <c r="J1001" s="8">
        <f>4.56</f>
        <v>4.5599999999999996</v>
      </c>
      <c r="K1001" s="5" t="s">
        <v>308</v>
      </c>
      <c r="L1001" s="7">
        <f>1</f>
        <v>1</v>
      </c>
      <c r="M1001" s="7">
        <f>1</f>
        <v>1</v>
      </c>
      <c r="N1001" s="5" t="s">
        <v>242</v>
      </c>
      <c r="O1001" s="5">
        <v>1</v>
      </c>
      <c r="P1001" s="5" t="s">
        <v>294</v>
      </c>
      <c r="Q1001" s="5" t="s">
        <v>613</v>
      </c>
      <c r="R1001" s="5" t="s">
        <v>240</v>
      </c>
      <c r="S1001" s="5" t="s">
        <v>240</v>
      </c>
      <c r="T1001" s="5" t="s">
        <v>296</v>
      </c>
      <c r="U1001" s="5" t="s">
        <v>244</v>
      </c>
      <c r="V1001" s="5" t="s">
        <v>240</v>
      </c>
      <c r="Y1001" s="5" t="s">
        <v>240</v>
      </c>
      <c r="Z1001" s="6" t="s">
        <v>298</v>
      </c>
      <c r="AB1001" s="6" t="s">
        <v>240</v>
      </c>
      <c r="AE1001" s="6" t="s">
        <v>299</v>
      </c>
      <c r="AF1001" s="5" t="s">
        <v>248</v>
      </c>
      <c r="AG1001" s="5" t="s">
        <v>249</v>
      </c>
      <c r="AW1001" s="5" t="s">
        <v>251</v>
      </c>
      <c r="AX1001" s="5" t="s">
        <v>240</v>
      </c>
      <c r="AY1001" s="5" t="s">
        <v>253</v>
      </c>
      <c r="AZ1001" s="5" t="s">
        <v>240</v>
      </c>
      <c r="BA1001" s="5" t="s">
        <v>255</v>
      </c>
      <c r="BB1001" s="5" t="s">
        <v>240</v>
      </c>
      <c r="BD1001" s="5" t="s">
        <v>686</v>
      </c>
      <c r="BF1001" s="5" t="s">
        <v>301</v>
      </c>
      <c r="BG1001" s="6" t="s">
        <v>299</v>
      </c>
      <c r="BH1001" s="5" t="s">
        <v>302</v>
      </c>
      <c r="BI1001" s="5" t="s">
        <v>303</v>
      </c>
      <c r="BJ1001" s="5" t="s">
        <v>240</v>
      </c>
      <c r="BK1001" s="8">
        <f>0</f>
        <v>0</v>
      </c>
      <c r="BL1001" s="7">
        <f>0</f>
        <v>0</v>
      </c>
      <c r="BM1001" s="5" t="s">
        <v>258</v>
      </c>
      <c r="BN1001" s="5" t="s">
        <v>259</v>
      </c>
      <c r="CB1001" s="5" t="s">
        <v>240</v>
      </c>
      <c r="CC1001" s="5" t="s">
        <v>240</v>
      </c>
      <c r="CG1001" s="5" t="s">
        <v>617</v>
      </c>
      <c r="CH1001" s="5" t="s">
        <v>305</v>
      </c>
      <c r="CI1001" s="5" t="s">
        <v>240</v>
      </c>
      <c r="CL1001" s="6" t="s">
        <v>261</v>
      </c>
      <c r="CM1001" s="5" t="s">
        <v>240</v>
      </c>
      <c r="CN1001" s="5" t="s">
        <v>263</v>
      </c>
      <c r="CO1001" s="5" t="s">
        <v>240</v>
      </c>
      <c r="CP1001" s="5" t="s">
        <v>240</v>
      </c>
      <c r="CQ1001" s="5">
        <v>0</v>
      </c>
      <c r="CR1001" s="5" t="s">
        <v>306</v>
      </c>
      <c r="CS1001" s="5" t="s">
        <v>307</v>
      </c>
      <c r="CT1001" s="5" t="s">
        <v>307</v>
      </c>
      <c r="CU1001" s="5" t="s">
        <v>260</v>
      </c>
      <c r="CX1001" s="7">
        <f>139160</f>
        <v>139160</v>
      </c>
      <c r="CY1001" s="7">
        <f>0</f>
        <v>0</v>
      </c>
      <c r="DA1001" s="7">
        <f>0</f>
        <v>0</v>
      </c>
      <c r="DC1001" s="5" t="s">
        <v>309</v>
      </c>
      <c r="DD1001" s="5" t="s">
        <v>240</v>
      </c>
      <c r="DF1001" s="5" t="s">
        <v>1247</v>
      </c>
      <c r="DG1001" s="7">
        <f>400</f>
        <v>400</v>
      </c>
      <c r="DI1001" s="5" t="s">
        <v>450</v>
      </c>
      <c r="DJ1001" s="5" t="s">
        <v>240</v>
      </c>
      <c r="DK1001" s="5" t="s">
        <v>240</v>
      </c>
      <c r="DL1001" s="5" t="s">
        <v>240</v>
      </c>
      <c r="DP1001" s="5" t="s">
        <v>240</v>
      </c>
      <c r="DQ1001" s="5" t="s">
        <v>240</v>
      </c>
      <c r="DR1001" s="5" t="s">
        <v>240</v>
      </c>
      <c r="DS1001" s="5" t="s">
        <v>240</v>
      </c>
      <c r="DV1001" s="5" t="s">
        <v>2128</v>
      </c>
      <c r="DW1001" s="5" t="s">
        <v>312</v>
      </c>
      <c r="HO1001" s="5" t="s">
        <v>312</v>
      </c>
    </row>
    <row r="1002" spans="1:240" x14ac:dyDescent="0.4">
      <c r="A1002" s="5">
        <v>2677</v>
      </c>
      <c r="B1002" s="5">
        <v>1</v>
      </c>
      <c r="C1002" s="5">
        <v>1</v>
      </c>
      <c r="D1002" s="5" t="s">
        <v>297</v>
      </c>
      <c r="E1002" s="5" t="s">
        <v>245</v>
      </c>
      <c r="F1002" s="5" t="s">
        <v>254</v>
      </c>
      <c r="G1002" s="5" t="s">
        <v>240</v>
      </c>
      <c r="H1002" s="6" t="s">
        <v>6550</v>
      </c>
      <c r="I1002" s="5" t="s">
        <v>295</v>
      </c>
      <c r="J1002" s="8">
        <f>15</f>
        <v>15</v>
      </c>
      <c r="K1002" s="5" t="s">
        <v>308</v>
      </c>
      <c r="L1002" s="7">
        <f>1</f>
        <v>1</v>
      </c>
      <c r="M1002" s="7">
        <f>1</f>
        <v>1</v>
      </c>
      <c r="N1002" s="5" t="s">
        <v>242</v>
      </c>
      <c r="O1002" s="5">
        <v>1</v>
      </c>
      <c r="P1002" s="5" t="s">
        <v>294</v>
      </c>
      <c r="Q1002" s="5" t="s">
        <v>613</v>
      </c>
      <c r="R1002" s="5" t="s">
        <v>240</v>
      </c>
      <c r="S1002" s="5" t="s">
        <v>240</v>
      </c>
      <c r="T1002" s="5" t="s">
        <v>243</v>
      </c>
      <c r="U1002" s="5" t="s">
        <v>724</v>
      </c>
      <c r="V1002" s="5" t="s">
        <v>240</v>
      </c>
      <c r="W1002" s="5" t="s">
        <v>240</v>
      </c>
      <c r="X1002" s="5" t="s">
        <v>240</v>
      </c>
      <c r="Y1002" s="5" t="s">
        <v>240</v>
      </c>
      <c r="Z1002" s="6" t="s">
        <v>298</v>
      </c>
      <c r="AA1002" s="6" t="s">
        <v>240</v>
      </c>
      <c r="AB1002" s="6" t="s">
        <v>240</v>
      </c>
      <c r="AC1002" s="5" t="s">
        <v>240</v>
      </c>
      <c r="AD1002" s="6" t="s">
        <v>240</v>
      </c>
      <c r="AE1002" s="6" t="s">
        <v>299</v>
      </c>
      <c r="AF1002" s="5" t="s">
        <v>727</v>
      </c>
      <c r="AG1002" s="5" t="s">
        <v>260</v>
      </c>
      <c r="AH1002" s="5" t="s">
        <v>240</v>
      </c>
      <c r="AI1002" s="5" t="s">
        <v>240</v>
      </c>
      <c r="AJ1002" s="5" t="s">
        <v>240</v>
      </c>
      <c r="AK1002" s="5" t="s">
        <v>240</v>
      </c>
      <c r="AL1002" s="5" t="s">
        <v>240</v>
      </c>
      <c r="AM1002" s="5" t="s">
        <v>240</v>
      </c>
      <c r="AN1002" s="5" t="s">
        <v>240</v>
      </c>
      <c r="AO1002" s="5" t="s">
        <v>240</v>
      </c>
      <c r="AP1002" s="6" t="s">
        <v>240</v>
      </c>
      <c r="AQ1002" s="6" t="s">
        <v>240</v>
      </c>
      <c r="AR1002" s="6" t="s">
        <v>240</v>
      </c>
      <c r="AS1002" s="6" t="s">
        <v>240</v>
      </c>
      <c r="AT1002" s="5" t="s">
        <v>240</v>
      </c>
      <c r="AU1002" s="5" t="s">
        <v>729</v>
      </c>
      <c r="AV1002" s="5" t="s">
        <v>729</v>
      </c>
      <c r="AW1002" s="5" t="s">
        <v>251</v>
      </c>
      <c r="AX1002" s="5" t="s">
        <v>252</v>
      </c>
      <c r="AY1002" s="5" t="s">
        <v>253</v>
      </c>
      <c r="AZ1002" s="5" t="s">
        <v>240</v>
      </c>
      <c r="BA1002" s="5" t="s">
        <v>255</v>
      </c>
      <c r="BB1002" s="5" t="s">
        <v>731</v>
      </c>
      <c r="BD1002" s="5" t="s">
        <v>240</v>
      </c>
      <c r="BF1002" s="5" t="s">
        <v>732</v>
      </c>
      <c r="BG1002" s="6" t="s">
        <v>733</v>
      </c>
      <c r="BH1002" s="5" t="s">
        <v>734</v>
      </c>
      <c r="BI1002" s="5" t="s">
        <v>734</v>
      </c>
      <c r="BJ1002" s="5" t="s">
        <v>240</v>
      </c>
      <c r="BK1002" s="8">
        <f>165</f>
        <v>165</v>
      </c>
      <c r="BL1002" s="7">
        <f>0</f>
        <v>0</v>
      </c>
      <c r="BM1002" s="5" t="s">
        <v>258</v>
      </c>
      <c r="BN1002" s="5" t="s">
        <v>259</v>
      </c>
      <c r="BO1002" s="5" t="s">
        <v>240</v>
      </c>
      <c r="BP1002" s="5" t="s">
        <v>240</v>
      </c>
      <c r="BQ1002" s="5" t="s">
        <v>240</v>
      </c>
      <c r="BR1002" s="5" t="s">
        <v>240</v>
      </c>
      <c r="BS1002" s="5" t="s">
        <v>240</v>
      </c>
      <c r="BT1002" s="5" t="s">
        <v>240</v>
      </c>
      <c r="BU1002" s="5" t="s">
        <v>240</v>
      </c>
      <c r="BV1002" s="5" t="s">
        <v>240</v>
      </c>
      <c r="BW1002" s="6" t="s">
        <v>240</v>
      </c>
      <c r="BX1002" s="5" t="s">
        <v>240</v>
      </c>
      <c r="BY1002" s="5" t="s">
        <v>240</v>
      </c>
      <c r="BZ1002" s="5" t="s">
        <v>240</v>
      </c>
      <c r="CA1002" s="5" t="s">
        <v>259</v>
      </c>
      <c r="CB1002" s="5" t="s">
        <v>240</v>
      </c>
      <c r="CC1002" s="5" t="s">
        <v>240</v>
      </c>
      <c r="CD1002" s="5" t="s">
        <v>240</v>
      </c>
      <c r="CE1002" s="5" t="s">
        <v>240</v>
      </c>
      <c r="CF1002" s="5" t="s">
        <v>240</v>
      </c>
      <c r="CG1002" s="5" t="s">
        <v>617</v>
      </c>
      <c r="CH1002" s="5" t="s">
        <v>305</v>
      </c>
      <c r="CI1002" s="5" t="s">
        <v>240</v>
      </c>
      <c r="CL1002" s="6" t="s">
        <v>261</v>
      </c>
      <c r="CM1002" s="5" t="s">
        <v>262</v>
      </c>
      <c r="CN1002" s="5" t="s">
        <v>263</v>
      </c>
      <c r="CO1002" s="5" t="s">
        <v>264</v>
      </c>
      <c r="CP1002" s="5" t="s">
        <v>240</v>
      </c>
      <c r="CQ1002" s="5">
        <v>0</v>
      </c>
      <c r="CR1002" s="5" t="s">
        <v>735</v>
      </c>
      <c r="CS1002" s="5" t="s">
        <v>307</v>
      </c>
      <c r="CT1002" s="5" t="s">
        <v>307</v>
      </c>
      <c r="CU1002" s="5" t="s">
        <v>260</v>
      </c>
      <c r="CV1002" s="5" t="s">
        <v>240</v>
      </c>
      <c r="CW1002" s="8">
        <f>0</f>
        <v>0</v>
      </c>
      <c r="CX1002" s="7">
        <f>0</f>
        <v>0</v>
      </c>
      <c r="CY1002" s="7">
        <f>0</f>
        <v>0</v>
      </c>
      <c r="DA1002" s="7">
        <f>1815</f>
        <v>1815</v>
      </c>
      <c r="DB1002" s="7" t="s">
        <v>240</v>
      </c>
      <c r="DC1002" s="5" t="s">
        <v>240</v>
      </c>
      <c r="DD1002" s="5" t="s">
        <v>240</v>
      </c>
      <c r="DE1002" s="5" t="s">
        <v>240</v>
      </c>
      <c r="DF1002" s="5" t="s">
        <v>450</v>
      </c>
      <c r="DG1002" s="7">
        <f>0</f>
        <v>0</v>
      </c>
      <c r="DI1002" s="5" t="s">
        <v>737</v>
      </c>
      <c r="DJ1002" s="5" t="s">
        <v>240</v>
      </c>
      <c r="DK1002" s="5" t="s">
        <v>240</v>
      </c>
      <c r="DL1002" s="5" t="s">
        <v>240</v>
      </c>
      <c r="DM1002" s="5" t="s">
        <v>240</v>
      </c>
      <c r="DN1002" s="5" t="s">
        <v>240</v>
      </c>
      <c r="DO1002" s="7" t="s">
        <v>240</v>
      </c>
      <c r="DP1002" s="5" t="s">
        <v>240</v>
      </c>
      <c r="DQ1002" s="5" t="s">
        <v>240</v>
      </c>
      <c r="DR1002" s="5" t="s">
        <v>731</v>
      </c>
      <c r="DS1002" s="5" t="s">
        <v>731</v>
      </c>
      <c r="DT1002" s="5" t="s">
        <v>240</v>
      </c>
      <c r="DU1002" s="5" t="s">
        <v>240</v>
      </c>
      <c r="DV1002" s="5" t="s">
        <v>738</v>
      </c>
      <c r="DW1002" s="5" t="s">
        <v>512</v>
      </c>
      <c r="DX1002" s="5" t="s">
        <v>240</v>
      </c>
      <c r="DY1002" s="5" t="s">
        <v>240</v>
      </c>
      <c r="DZ1002" s="5" t="s">
        <v>240</v>
      </c>
      <c r="EA1002" s="5" t="s">
        <v>240</v>
      </c>
      <c r="EB1002" s="5" t="s">
        <v>240</v>
      </c>
      <c r="EC1002" s="5" t="s">
        <v>240</v>
      </c>
      <c r="ED1002" s="5" t="s">
        <v>240</v>
      </c>
      <c r="EE1002" s="5" t="s">
        <v>240</v>
      </c>
      <c r="EF1002" s="5" t="s">
        <v>240</v>
      </c>
      <c r="EG1002" s="5" t="s">
        <v>240</v>
      </c>
      <c r="EH1002" s="5" t="s">
        <v>240</v>
      </c>
      <c r="EI1002" s="5" t="s">
        <v>240</v>
      </c>
      <c r="EJ1002" s="5" t="s">
        <v>240</v>
      </c>
      <c r="EK1002" s="5" t="s">
        <v>240</v>
      </c>
      <c r="EL1002" s="5" t="s">
        <v>240</v>
      </c>
      <c r="EM1002" s="5" t="s">
        <v>240</v>
      </c>
      <c r="EN1002" s="5" t="s">
        <v>240</v>
      </c>
      <c r="EO1002" s="5" t="s">
        <v>240</v>
      </c>
      <c r="EP1002" s="5" t="s">
        <v>240</v>
      </c>
      <c r="EQ1002" s="5" t="s">
        <v>240</v>
      </c>
      <c r="ER1002" s="5" t="s">
        <v>240</v>
      </c>
      <c r="ES1002" s="5" t="s">
        <v>240</v>
      </c>
      <c r="ET1002" s="5" t="s">
        <v>240</v>
      </c>
      <c r="EU1002" s="5" t="s">
        <v>240</v>
      </c>
      <c r="EV1002" s="5" t="s">
        <v>240</v>
      </c>
      <c r="EW1002" s="5" t="s">
        <v>240</v>
      </c>
      <c r="EX1002" s="5" t="s">
        <v>240</v>
      </c>
      <c r="EY1002" s="5" t="s">
        <v>240</v>
      </c>
      <c r="EZ1002" s="5" t="s">
        <v>240</v>
      </c>
      <c r="FA1002" s="5" t="s">
        <v>240</v>
      </c>
      <c r="FB1002" s="5" t="s">
        <v>240</v>
      </c>
      <c r="FC1002" s="5" t="s">
        <v>240</v>
      </c>
      <c r="FD1002" s="5" t="s">
        <v>240</v>
      </c>
      <c r="FE1002" s="5" t="s">
        <v>240</v>
      </c>
      <c r="FF1002" s="5" t="s">
        <v>240</v>
      </c>
      <c r="FG1002" s="5" t="s">
        <v>240</v>
      </c>
      <c r="FH1002" s="5" t="s">
        <v>240</v>
      </c>
      <c r="FI1002" s="5" t="s">
        <v>240</v>
      </c>
      <c r="FJ1002" s="5" t="s">
        <v>240</v>
      </c>
      <c r="FK1002" s="5" t="s">
        <v>240</v>
      </c>
      <c r="FL1002" s="5" t="s">
        <v>240</v>
      </c>
      <c r="FM1002" s="5" t="s">
        <v>240</v>
      </c>
      <c r="FN1002" s="5" t="s">
        <v>240</v>
      </c>
      <c r="FO1002" s="5" t="s">
        <v>240</v>
      </c>
      <c r="FP1002" s="5" t="s">
        <v>240</v>
      </c>
      <c r="FQ1002" s="5" t="s">
        <v>240</v>
      </c>
      <c r="FR1002" s="5" t="s">
        <v>240</v>
      </c>
      <c r="FS1002" s="5" t="s">
        <v>240</v>
      </c>
      <c r="FT1002" s="5" t="s">
        <v>240</v>
      </c>
      <c r="FU1002" s="5" t="s">
        <v>240</v>
      </c>
      <c r="FV1002" s="5" t="s">
        <v>240</v>
      </c>
      <c r="FW1002" s="5" t="s">
        <v>240</v>
      </c>
      <c r="FX1002" s="5" t="s">
        <v>240</v>
      </c>
      <c r="FY1002" s="5" t="s">
        <v>240</v>
      </c>
      <c r="FZ1002" s="5" t="s">
        <v>240</v>
      </c>
      <c r="GA1002" s="5" t="s">
        <v>240</v>
      </c>
      <c r="GB1002" s="5" t="s">
        <v>240</v>
      </c>
      <c r="GC1002" s="5" t="s">
        <v>240</v>
      </c>
      <c r="GD1002" s="5" t="s">
        <v>240</v>
      </c>
      <c r="GE1002" s="5" t="s">
        <v>240</v>
      </c>
      <c r="GF1002" s="5" t="s">
        <v>240</v>
      </c>
      <c r="GG1002" s="5" t="s">
        <v>240</v>
      </c>
      <c r="GH1002" s="5" t="s">
        <v>240</v>
      </c>
      <c r="GI1002" s="5" t="s">
        <v>240</v>
      </c>
      <c r="GJ1002" s="5" t="s">
        <v>240</v>
      </c>
      <c r="GK1002" s="5" t="s">
        <v>240</v>
      </c>
      <c r="GL1002" s="5" t="s">
        <v>240</v>
      </c>
      <c r="GM1002" s="5" t="s">
        <v>240</v>
      </c>
      <c r="GN1002" s="5" t="s">
        <v>240</v>
      </c>
      <c r="GO1002" s="5" t="s">
        <v>240</v>
      </c>
      <c r="GP1002" s="5" t="s">
        <v>240</v>
      </c>
      <c r="GQ1002" s="5" t="s">
        <v>240</v>
      </c>
      <c r="GR1002" s="5" t="s">
        <v>240</v>
      </c>
      <c r="GS1002" s="5" t="s">
        <v>240</v>
      </c>
      <c r="GT1002" s="5" t="s">
        <v>240</v>
      </c>
      <c r="GU1002" s="5" t="s">
        <v>240</v>
      </c>
      <c r="GV1002" s="5" t="s">
        <v>240</v>
      </c>
      <c r="GW1002" s="5" t="s">
        <v>240</v>
      </c>
      <c r="GX1002" s="5" t="s">
        <v>240</v>
      </c>
      <c r="GY1002" s="5" t="s">
        <v>240</v>
      </c>
      <c r="GZ1002" s="5" t="s">
        <v>240</v>
      </c>
      <c r="HA1002" s="5" t="s">
        <v>240</v>
      </c>
      <c r="HB1002" s="5" t="s">
        <v>240</v>
      </c>
      <c r="HC1002" s="5" t="s">
        <v>240</v>
      </c>
      <c r="HD1002" s="5" t="s">
        <v>240</v>
      </c>
      <c r="HE1002" s="5" t="s">
        <v>240</v>
      </c>
      <c r="HF1002" s="5" t="s">
        <v>240</v>
      </c>
      <c r="HG1002" s="5" t="s">
        <v>240</v>
      </c>
      <c r="HH1002" s="5" t="s">
        <v>240</v>
      </c>
      <c r="HI1002" s="5" t="s">
        <v>240</v>
      </c>
      <c r="HJ1002" s="5" t="s">
        <v>240</v>
      </c>
      <c r="HK1002" s="5" t="s">
        <v>240</v>
      </c>
      <c r="HL1002" s="5" t="s">
        <v>240</v>
      </c>
      <c r="HM1002" s="5" t="s">
        <v>240</v>
      </c>
      <c r="HN1002" s="5" t="s">
        <v>240</v>
      </c>
      <c r="HO1002" s="5" t="s">
        <v>620</v>
      </c>
      <c r="HP1002" s="5" t="s">
        <v>240</v>
      </c>
      <c r="HQ1002" s="5" t="s">
        <v>240</v>
      </c>
      <c r="HR1002" s="5" t="s">
        <v>240</v>
      </c>
      <c r="HS1002" s="5" t="s">
        <v>240</v>
      </c>
      <c r="HT1002" s="5" t="s">
        <v>240</v>
      </c>
      <c r="HU1002" s="5" t="s">
        <v>240</v>
      </c>
      <c r="HV1002" s="5" t="s">
        <v>240</v>
      </c>
      <c r="HW1002" s="5" t="s">
        <v>240</v>
      </c>
      <c r="HX1002" s="5" t="s">
        <v>240</v>
      </c>
      <c r="HY1002" s="5" t="s">
        <v>240</v>
      </c>
      <c r="HZ1002" s="5" t="s">
        <v>240</v>
      </c>
      <c r="IA1002" s="5" t="s">
        <v>240</v>
      </c>
      <c r="IB1002" s="5" t="s">
        <v>240</v>
      </c>
      <c r="IC1002" s="5" t="s">
        <v>240</v>
      </c>
      <c r="ID1002" s="5" t="s">
        <v>240</v>
      </c>
      <c r="IE1002" s="5" t="s">
        <v>240</v>
      </c>
      <c r="IF1002" s="5" t="s">
        <v>240</v>
      </c>
    </row>
    <row r="1003" spans="1:240" x14ac:dyDescent="0.4">
      <c r="A1003" s="5">
        <v>2678</v>
      </c>
      <c r="B1003" s="5">
        <v>1</v>
      </c>
      <c r="C1003" s="5">
        <v>1</v>
      </c>
      <c r="D1003" s="5" t="s">
        <v>297</v>
      </c>
      <c r="E1003" s="5" t="s">
        <v>245</v>
      </c>
      <c r="F1003" s="5" t="s">
        <v>254</v>
      </c>
      <c r="G1003" s="5" t="s">
        <v>240</v>
      </c>
      <c r="H1003" s="6" t="s">
        <v>6684</v>
      </c>
      <c r="I1003" s="5" t="s">
        <v>295</v>
      </c>
      <c r="J1003" s="8">
        <f>664</f>
        <v>664</v>
      </c>
      <c r="K1003" s="5" t="s">
        <v>308</v>
      </c>
      <c r="L1003" s="7">
        <f>1</f>
        <v>1</v>
      </c>
      <c r="M1003" s="7">
        <f>1</f>
        <v>1</v>
      </c>
      <c r="N1003" s="5" t="s">
        <v>242</v>
      </c>
      <c r="O1003" s="5">
        <v>1</v>
      </c>
      <c r="P1003" s="5" t="s">
        <v>294</v>
      </c>
      <c r="Q1003" s="5" t="s">
        <v>613</v>
      </c>
      <c r="R1003" s="5" t="s">
        <v>240</v>
      </c>
      <c r="S1003" s="5" t="s">
        <v>240</v>
      </c>
      <c r="T1003" s="5" t="s">
        <v>243</v>
      </c>
      <c r="U1003" s="5" t="s">
        <v>244</v>
      </c>
      <c r="V1003" s="5" t="s">
        <v>240</v>
      </c>
      <c r="Y1003" s="5" t="s">
        <v>240</v>
      </c>
      <c r="Z1003" s="6" t="s">
        <v>298</v>
      </c>
      <c r="AB1003" s="6" t="s">
        <v>240</v>
      </c>
      <c r="AE1003" s="6" t="s">
        <v>299</v>
      </c>
      <c r="AF1003" s="5" t="s">
        <v>248</v>
      </c>
      <c r="AG1003" s="5" t="s">
        <v>249</v>
      </c>
      <c r="AW1003" s="5" t="s">
        <v>251</v>
      </c>
      <c r="AX1003" s="5" t="s">
        <v>240</v>
      </c>
      <c r="AY1003" s="5" t="s">
        <v>253</v>
      </c>
      <c r="AZ1003" s="5" t="s">
        <v>240</v>
      </c>
      <c r="BA1003" s="5" t="s">
        <v>255</v>
      </c>
      <c r="BB1003" s="5" t="s">
        <v>240</v>
      </c>
      <c r="BD1003" s="5" t="s">
        <v>686</v>
      </c>
      <c r="BF1003" s="5" t="s">
        <v>301</v>
      </c>
      <c r="BG1003" s="6" t="s">
        <v>299</v>
      </c>
      <c r="BH1003" s="5" t="s">
        <v>302</v>
      </c>
      <c r="BI1003" s="5" t="s">
        <v>303</v>
      </c>
      <c r="BJ1003" s="5" t="s">
        <v>240</v>
      </c>
      <c r="BK1003" s="8">
        <f>0</f>
        <v>0</v>
      </c>
      <c r="BL1003" s="7">
        <f>0</f>
        <v>0</v>
      </c>
      <c r="BM1003" s="5" t="s">
        <v>258</v>
      </c>
      <c r="BN1003" s="5" t="s">
        <v>259</v>
      </c>
      <c r="CB1003" s="5" t="s">
        <v>240</v>
      </c>
      <c r="CC1003" s="5" t="s">
        <v>240</v>
      </c>
      <c r="CG1003" s="5" t="s">
        <v>617</v>
      </c>
      <c r="CH1003" s="5" t="s">
        <v>305</v>
      </c>
      <c r="CI1003" s="5" t="s">
        <v>240</v>
      </c>
      <c r="CL1003" s="6" t="s">
        <v>261</v>
      </c>
      <c r="CM1003" s="5" t="s">
        <v>240</v>
      </c>
      <c r="CN1003" s="5" t="s">
        <v>263</v>
      </c>
      <c r="CO1003" s="5" t="s">
        <v>240</v>
      </c>
      <c r="CP1003" s="5" t="s">
        <v>240</v>
      </c>
      <c r="CQ1003" s="5">
        <v>0</v>
      </c>
      <c r="CR1003" s="5" t="s">
        <v>306</v>
      </c>
      <c r="CS1003" s="5" t="s">
        <v>307</v>
      </c>
      <c r="CT1003" s="5" t="s">
        <v>307</v>
      </c>
      <c r="CU1003" s="5" t="s">
        <v>260</v>
      </c>
      <c r="CX1003" s="7">
        <f>177200</f>
        <v>177200</v>
      </c>
      <c r="CY1003" s="7">
        <f>0</f>
        <v>0</v>
      </c>
      <c r="DA1003" s="7">
        <f>0</f>
        <v>0</v>
      </c>
      <c r="DC1003" s="5" t="s">
        <v>689</v>
      </c>
      <c r="DD1003" s="5" t="s">
        <v>240</v>
      </c>
      <c r="DF1003" s="5" t="s">
        <v>689</v>
      </c>
      <c r="DG1003" s="7">
        <f>80</f>
        <v>80</v>
      </c>
      <c r="DH1003" s="6" t="s">
        <v>2131</v>
      </c>
      <c r="DI1003" s="5" t="s">
        <v>618</v>
      </c>
      <c r="DJ1003" s="5" t="s">
        <v>240</v>
      </c>
      <c r="DK1003" s="5" t="s">
        <v>240</v>
      </c>
      <c r="DL1003" s="5" t="s">
        <v>240</v>
      </c>
      <c r="DP1003" s="5" t="s">
        <v>240</v>
      </c>
      <c r="DQ1003" s="5" t="s">
        <v>240</v>
      </c>
      <c r="DR1003" s="5" t="s">
        <v>240</v>
      </c>
      <c r="DS1003" s="5" t="s">
        <v>240</v>
      </c>
      <c r="DV1003" s="5" t="s">
        <v>1779</v>
      </c>
      <c r="DW1003" s="5" t="s">
        <v>312</v>
      </c>
      <c r="HO1003" s="5" t="s">
        <v>312</v>
      </c>
    </row>
    <row r="1004" spans="1:240" x14ac:dyDescent="0.4">
      <c r="A1004" s="5">
        <v>2679</v>
      </c>
      <c r="B1004" s="5">
        <v>1</v>
      </c>
      <c r="C1004" s="5">
        <v>1</v>
      </c>
      <c r="D1004" s="5" t="s">
        <v>297</v>
      </c>
      <c r="E1004" s="5" t="s">
        <v>245</v>
      </c>
      <c r="F1004" s="5" t="s">
        <v>254</v>
      </c>
      <c r="G1004" s="5" t="s">
        <v>240</v>
      </c>
      <c r="H1004" s="6" t="s">
        <v>6551</v>
      </c>
      <c r="I1004" s="5" t="s">
        <v>295</v>
      </c>
      <c r="J1004" s="8">
        <f>1103</f>
        <v>1103</v>
      </c>
      <c r="K1004" s="5" t="s">
        <v>308</v>
      </c>
      <c r="L1004" s="7">
        <f>1</f>
        <v>1</v>
      </c>
      <c r="M1004" s="7">
        <f>1</f>
        <v>1</v>
      </c>
      <c r="N1004" s="5" t="s">
        <v>242</v>
      </c>
      <c r="O1004" s="5">
        <v>1</v>
      </c>
      <c r="P1004" s="5" t="s">
        <v>294</v>
      </c>
      <c r="Q1004" s="5" t="s">
        <v>613</v>
      </c>
      <c r="R1004" s="5" t="s">
        <v>240</v>
      </c>
      <c r="S1004" s="5" t="s">
        <v>240</v>
      </c>
      <c r="T1004" s="5" t="s">
        <v>243</v>
      </c>
      <c r="U1004" s="5" t="s">
        <v>244</v>
      </c>
      <c r="V1004" s="5" t="s">
        <v>240</v>
      </c>
      <c r="Y1004" s="5" t="s">
        <v>240</v>
      </c>
      <c r="Z1004" s="6" t="s">
        <v>298</v>
      </c>
      <c r="AB1004" s="6" t="s">
        <v>240</v>
      </c>
      <c r="AE1004" s="6" t="s">
        <v>299</v>
      </c>
      <c r="AF1004" s="5" t="s">
        <v>248</v>
      </c>
      <c r="AG1004" s="5" t="s">
        <v>249</v>
      </c>
      <c r="AW1004" s="5" t="s">
        <v>251</v>
      </c>
      <c r="AX1004" s="5" t="s">
        <v>240</v>
      </c>
      <c r="AY1004" s="5" t="s">
        <v>253</v>
      </c>
      <c r="AZ1004" s="5" t="s">
        <v>240</v>
      </c>
      <c r="BA1004" s="5" t="s">
        <v>255</v>
      </c>
      <c r="BB1004" s="5" t="s">
        <v>240</v>
      </c>
      <c r="BD1004" s="5" t="s">
        <v>686</v>
      </c>
      <c r="BF1004" s="5" t="s">
        <v>301</v>
      </c>
      <c r="BG1004" s="6" t="s">
        <v>299</v>
      </c>
      <c r="BH1004" s="5" t="s">
        <v>302</v>
      </c>
      <c r="BI1004" s="5" t="s">
        <v>303</v>
      </c>
      <c r="BJ1004" s="5" t="s">
        <v>240</v>
      </c>
      <c r="BK1004" s="8">
        <f>0</f>
        <v>0</v>
      </c>
      <c r="BL1004" s="7">
        <f>0</f>
        <v>0</v>
      </c>
      <c r="BM1004" s="5" t="s">
        <v>258</v>
      </c>
      <c r="BN1004" s="5" t="s">
        <v>259</v>
      </c>
      <c r="CB1004" s="5" t="s">
        <v>240</v>
      </c>
      <c r="CC1004" s="5" t="s">
        <v>240</v>
      </c>
      <c r="CG1004" s="5" t="s">
        <v>617</v>
      </c>
      <c r="CH1004" s="5" t="s">
        <v>305</v>
      </c>
      <c r="CI1004" s="5" t="s">
        <v>240</v>
      </c>
      <c r="CL1004" s="6" t="s">
        <v>261</v>
      </c>
      <c r="CM1004" s="5" t="s">
        <v>240</v>
      </c>
      <c r="CN1004" s="5" t="s">
        <v>263</v>
      </c>
      <c r="CO1004" s="5" t="s">
        <v>240</v>
      </c>
      <c r="CP1004" s="5" t="s">
        <v>240</v>
      </c>
      <c r="CQ1004" s="5">
        <v>0</v>
      </c>
      <c r="CR1004" s="5" t="s">
        <v>306</v>
      </c>
      <c r="CS1004" s="5" t="s">
        <v>307</v>
      </c>
      <c r="CT1004" s="5" t="s">
        <v>307</v>
      </c>
      <c r="CU1004" s="5" t="s">
        <v>260</v>
      </c>
      <c r="CX1004" s="7">
        <f>1528350</f>
        <v>1528350</v>
      </c>
      <c r="CY1004" s="7">
        <f>0</f>
        <v>0</v>
      </c>
      <c r="DA1004" s="7">
        <f>0</f>
        <v>0</v>
      </c>
      <c r="DC1004" s="5" t="s">
        <v>689</v>
      </c>
      <c r="DD1004" s="5" t="s">
        <v>240</v>
      </c>
      <c r="DF1004" s="5" t="s">
        <v>450</v>
      </c>
      <c r="DG1004" s="7">
        <f>0</f>
        <v>0</v>
      </c>
      <c r="DI1004" s="5" t="s">
        <v>618</v>
      </c>
      <c r="DJ1004" s="5" t="s">
        <v>240</v>
      </c>
      <c r="DK1004" s="5" t="s">
        <v>240</v>
      </c>
      <c r="DL1004" s="5" t="s">
        <v>240</v>
      </c>
      <c r="DP1004" s="5" t="s">
        <v>240</v>
      </c>
      <c r="DQ1004" s="5" t="s">
        <v>240</v>
      </c>
      <c r="DR1004" s="5" t="s">
        <v>240</v>
      </c>
      <c r="DS1004" s="5" t="s">
        <v>240</v>
      </c>
      <c r="DV1004" s="5" t="s">
        <v>2135</v>
      </c>
      <c r="DW1004" s="5" t="s">
        <v>312</v>
      </c>
      <c r="HO1004" s="5" t="s">
        <v>312</v>
      </c>
    </row>
    <row r="1005" spans="1:240" x14ac:dyDescent="0.4">
      <c r="A1005" s="5">
        <v>2680</v>
      </c>
      <c r="B1005" s="5">
        <v>1</v>
      </c>
      <c r="C1005" s="5">
        <v>1</v>
      </c>
      <c r="D1005" s="5" t="s">
        <v>297</v>
      </c>
      <c r="E1005" s="5" t="s">
        <v>245</v>
      </c>
      <c r="F1005" s="5" t="s">
        <v>254</v>
      </c>
      <c r="G1005" s="5" t="s">
        <v>240</v>
      </c>
      <c r="H1005" s="6" t="s">
        <v>6596</v>
      </c>
      <c r="I1005" s="5" t="s">
        <v>295</v>
      </c>
      <c r="J1005" s="8">
        <f>3180</f>
        <v>3180</v>
      </c>
      <c r="K1005" s="5" t="s">
        <v>308</v>
      </c>
      <c r="L1005" s="7">
        <f>1</f>
        <v>1</v>
      </c>
      <c r="M1005" s="7">
        <f>1</f>
        <v>1</v>
      </c>
      <c r="N1005" s="5" t="s">
        <v>242</v>
      </c>
      <c r="O1005" s="5">
        <v>1</v>
      </c>
      <c r="P1005" s="5" t="s">
        <v>294</v>
      </c>
      <c r="Q1005" s="5" t="s">
        <v>613</v>
      </c>
      <c r="R1005" s="5" t="s">
        <v>240</v>
      </c>
      <c r="S1005" s="5" t="s">
        <v>240</v>
      </c>
      <c r="T1005" s="5" t="s">
        <v>243</v>
      </c>
      <c r="U1005" s="5" t="s">
        <v>724</v>
      </c>
      <c r="V1005" s="5" t="s">
        <v>240</v>
      </c>
      <c r="Y1005" s="5" t="s">
        <v>240</v>
      </c>
      <c r="Z1005" s="6" t="s">
        <v>298</v>
      </c>
      <c r="AB1005" s="6" t="s">
        <v>240</v>
      </c>
      <c r="AE1005" s="6" t="s">
        <v>299</v>
      </c>
      <c r="AF1005" s="5" t="s">
        <v>248</v>
      </c>
      <c r="AG1005" s="5" t="s">
        <v>249</v>
      </c>
      <c r="AW1005" s="5" t="s">
        <v>251</v>
      </c>
      <c r="AX1005" s="5" t="s">
        <v>240</v>
      </c>
      <c r="AY1005" s="5" t="s">
        <v>253</v>
      </c>
      <c r="AZ1005" s="5" t="s">
        <v>240</v>
      </c>
      <c r="BA1005" s="5" t="s">
        <v>255</v>
      </c>
      <c r="BB1005" s="5" t="s">
        <v>240</v>
      </c>
      <c r="BD1005" s="5" t="s">
        <v>240</v>
      </c>
      <c r="BF1005" s="5" t="s">
        <v>301</v>
      </c>
      <c r="BG1005" s="6" t="s">
        <v>299</v>
      </c>
      <c r="BH1005" s="5" t="s">
        <v>302</v>
      </c>
      <c r="BI1005" s="5" t="s">
        <v>303</v>
      </c>
      <c r="BJ1005" s="5" t="s">
        <v>240</v>
      </c>
      <c r="BK1005" s="8">
        <f>0</f>
        <v>0</v>
      </c>
      <c r="BL1005" s="7">
        <f>0</f>
        <v>0</v>
      </c>
      <c r="BM1005" s="5" t="s">
        <v>258</v>
      </c>
      <c r="BN1005" s="5" t="s">
        <v>259</v>
      </c>
      <c r="CB1005" s="5" t="s">
        <v>240</v>
      </c>
      <c r="CC1005" s="5" t="s">
        <v>240</v>
      </c>
      <c r="CG1005" s="5" t="s">
        <v>617</v>
      </c>
      <c r="CH1005" s="5" t="s">
        <v>305</v>
      </c>
      <c r="CI1005" s="5" t="s">
        <v>240</v>
      </c>
      <c r="CL1005" s="6" t="s">
        <v>261</v>
      </c>
      <c r="CM1005" s="5" t="s">
        <v>240</v>
      </c>
      <c r="CN1005" s="5" t="s">
        <v>263</v>
      </c>
      <c r="CO1005" s="5" t="s">
        <v>240</v>
      </c>
      <c r="CP1005" s="5" t="s">
        <v>240</v>
      </c>
      <c r="CQ1005" s="5">
        <v>0</v>
      </c>
      <c r="CR1005" s="5" t="s">
        <v>306</v>
      </c>
      <c r="CS1005" s="5" t="s">
        <v>307</v>
      </c>
      <c r="CT1005" s="5" t="s">
        <v>307</v>
      </c>
      <c r="CU1005" s="5" t="s">
        <v>260</v>
      </c>
      <c r="CX1005" s="7">
        <f>8140</f>
        <v>8140</v>
      </c>
      <c r="CY1005" s="7">
        <f>0</f>
        <v>0</v>
      </c>
      <c r="DA1005" s="7">
        <f>0</f>
        <v>0</v>
      </c>
      <c r="DC1005" s="5" t="s">
        <v>854</v>
      </c>
      <c r="DD1005" s="5" t="s">
        <v>240</v>
      </c>
      <c r="DF1005" s="5" t="s">
        <v>450</v>
      </c>
      <c r="DG1005" s="7">
        <f>0</f>
        <v>0</v>
      </c>
      <c r="DI1005" s="5" t="s">
        <v>737</v>
      </c>
      <c r="DJ1005" s="5" t="s">
        <v>240</v>
      </c>
      <c r="DK1005" s="5" t="s">
        <v>240</v>
      </c>
      <c r="DL1005" s="5" t="s">
        <v>240</v>
      </c>
      <c r="DP1005" s="5" t="s">
        <v>240</v>
      </c>
      <c r="DQ1005" s="5" t="s">
        <v>240</v>
      </c>
      <c r="DR1005" s="5" t="s">
        <v>240</v>
      </c>
      <c r="DS1005" s="5" t="s">
        <v>240</v>
      </c>
      <c r="DV1005" s="5" t="s">
        <v>957</v>
      </c>
      <c r="DW1005" s="5" t="s">
        <v>475</v>
      </c>
      <c r="HO1005" s="5" t="s">
        <v>312</v>
      </c>
    </row>
    <row r="1006" spans="1:240" x14ac:dyDescent="0.4">
      <c r="A1006" s="5">
        <v>2681</v>
      </c>
      <c r="B1006" s="5">
        <v>1</v>
      </c>
      <c r="C1006" s="5">
        <v>1</v>
      </c>
      <c r="D1006" s="5" t="s">
        <v>297</v>
      </c>
      <c r="E1006" s="5" t="s">
        <v>245</v>
      </c>
      <c r="F1006" s="5" t="s">
        <v>254</v>
      </c>
      <c r="G1006" s="5" t="s">
        <v>240</v>
      </c>
      <c r="H1006" s="6" t="s">
        <v>345</v>
      </c>
      <c r="I1006" s="5" t="s">
        <v>295</v>
      </c>
      <c r="J1006" s="8">
        <f>3488</f>
        <v>3488</v>
      </c>
      <c r="K1006" s="5" t="s">
        <v>308</v>
      </c>
      <c r="L1006" s="7">
        <f>1</f>
        <v>1</v>
      </c>
      <c r="M1006" s="7">
        <f>1</f>
        <v>1</v>
      </c>
      <c r="N1006" s="5" t="s">
        <v>242</v>
      </c>
      <c r="O1006" s="5">
        <v>1</v>
      </c>
      <c r="P1006" s="5" t="s">
        <v>294</v>
      </c>
      <c r="Q1006" s="5" t="s">
        <v>266</v>
      </c>
      <c r="R1006" s="5" t="s">
        <v>240</v>
      </c>
      <c r="S1006" s="5" t="s">
        <v>240</v>
      </c>
      <c r="T1006" s="5" t="s">
        <v>296</v>
      </c>
      <c r="U1006" s="5" t="s">
        <v>244</v>
      </c>
      <c r="V1006" s="5" t="s">
        <v>240</v>
      </c>
      <c r="Y1006" s="5" t="s">
        <v>240</v>
      </c>
      <c r="Z1006" s="6" t="s">
        <v>298</v>
      </c>
      <c r="AB1006" s="6" t="s">
        <v>240</v>
      </c>
      <c r="AE1006" s="6" t="s">
        <v>299</v>
      </c>
      <c r="AF1006" s="5" t="s">
        <v>248</v>
      </c>
      <c r="AG1006" s="5" t="s">
        <v>249</v>
      </c>
      <c r="AW1006" s="5" t="s">
        <v>251</v>
      </c>
      <c r="AX1006" s="5" t="s">
        <v>240</v>
      </c>
      <c r="AY1006" s="5" t="s">
        <v>253</v>
      </c>
      <c r="AZ1006" s="5" t="s">
        <v>240</v>
      </c>
      <c r="BA1006" s="5" t="s">
        <v>255</v>
      </c>
      <c r="BB1006" s="5" t="s">
        <v>240</v>
      </c>
      <c r="BD1006" s="5" t="s">
        <v>240</v>
      </c>
      <c r="BF1006" s="5" t="s">
        <v>301</v>
      </c>
      <c r="BG1006" s="6" t="s">
        <v>299</v>
      </c>
      <c r="BH1006" s="5" t="s">
        <v>302</v>
      </c>
      <c r="BI1006" s="5" t="s">
        <v>303</v>
      </c>
      <c r="BJ1006" s="5" t="s">
        <v>240</v>
      </c>
      <c r="BK1006" s="8">
        <f>0</f>
        <v>0</v>
      </c>
      <c r="BL1006" s="7">
        <f>0</f>
        <v>0</v>
      </c>
      <c r="BM1006" s="5" t="s">
        <v>258</v>
      </c>
      <c r="BN1006" s="5" t="s">
        <v>259</v>
      </c>
      <c r="CB1006" s="5" t="s">
        <v>240</v>
      </c>
      <c r="CC1006" s="5" t="s">
        <v>240</v>
      </c>
      <c r="CG1006" s="5" t="s">
        <v>304</v>
      </c>
      <c r="CH1006" s="5" t="s">
        <v>305</v>
      </c>
      <c r="CI1006" s="5" t="s">
        <v>240</v>
      </c>
      <c r="CL1006" s="6" t="s">
        <v>261</v>
      </c>
      <c r="CM1006" s="5" t="s">
        <v>240</v>
      </c>
      <c r="CN1006" s="5" t="s">
        <v>263</v>
      </c>
      <c r="CO1006" s="5" t="s">
        <v>240</v>
      </c>
      <c r="CP1006" s="5" t="s">
        <v>240</v>
      </c>
      <c r="CQ1006" s="5">
        <v>0</v>
      </c>
      <c r="CR1006" s="5" t="s">
        <v>306</v>
      </c>
      <c r="CS1006" s="5" t="s">
        <v>307</v>
      </c>
      <c r="CT1006" s="5" t="s">
        <v>307</v>
      </c>
      <c r="CU1006" s="5" t="s">
        <v>260</v>
      </c>
      <c r="CX1006" s="7">
        <f>1</f>
        <v>1</v>
      </c>
      <c r="CY1006" s="7">
        <f>0</f>
        <v>0</v>
      </c>
      <c r="DA1006" s="7">
        <f>0</f>
        <v>0</v>
      </c>
      <c r="DC1006" s="5" t="s">
        <v>309</v>
      </c>
      <c r="DD1006" s="5" t="s">
        <v>240</v>
      </c>
      <c r="DF1006" s="5" t="s">
        <v>309</v>
      </c>
      <c r="DG1006" s="7">
        <f>255</f>
        <v>255</v>
      </c>
      <c r="DI1006" s="5" t="s">
        <v>240</v>
      </c>
      <c r="DJ1006" s="5" t="s">
        <v>240</v>
      </c>
      <c r="DK1006" s="5" t="s">
        <v>240</v>
      </c>
      <c r="DL1006" s="5" t="s">
        <v>240</v>
      </c>
      <c r="DP1006" s="5" t="s">
        <v>240</v>
      </c>
      <c r="DQ1006" s="5" t="s">
        <v>240</v>
      </c>
      <c r="DR1006" s="5" t="s">
        <v>240</v>
      </c>
      <c r="DS1006" s="5" t="s">
        <v>240</v>
      </c>
      <c r="DV1006" s="5" t="s">
        <v>310</v>
      </c>
      <c r="DW1006" s="5" t="s">
        <v>2013</v>
      </c>
      <c r="HO1006" s="5" t="s">
        <v>312</v>
      </c>
    </row>
    <row r="1007" spans="1:240" x14ac:dyDescent="0.4">
      <c r="A1007" s="5">
        <v>2682</v>
      </c>
      <c r="B1007" s="5">
        <v>1</v>
      </c>
      <c r="C1007" s="5">
        <v>1</v>
      </c>
      <c r="D1007" s="5" t="s">
        <v>297</v>
      </c>
      <c r="E1007" s="5" t="s">
        <v>245</v>
      </c>
      <c r="F1007" s="5" t="s">
        <v>254</v>
      </c>
      <c r="G1007" s="5" t="s">
        <v>240</v>
      </c>
      <c r="H1007" s="6" t="s">
        <v>6094</v>
      </c>
      <c r="I1007" s="5" t="s">
        <v>295</v>
      </c>
      <c r="J1007" s="8">
        <f>3571</f>
        <v>3571</v>
      </c>
      <c r="K1007" s="5" t="s">
        <v>308</v>
      </c>
      <c r="L1007" s="7">
        <f>1</f>
        <v>1</v>
      </c>
      <c r="M1007" s="7">
        <f>1</f>
        <v>1</v>
      </c>
      <c r="N1007" s="5" t="s">
        <v>242</v>
      </c>
      <c r="O1007" s="5">
        <v>1</v>
      </c>
      <c r="P1007" s="5" t="s">
        <v>294</v>
      </c>
      <c r="Q1007" s="5" t="s">
        <v>266</v>
      </c>
      <c r="R1007" s="5" t="s">
        <v>240</v>
      </c>
      <c r="S1007" s="5" t="s">
        <v>240</v>
      </c>
      <c r="T1007" s="5" t="s">
        <v>296</v>
      </c>
      <c r="U1007" s="5" t="s">
        <v>244</v>
      </c>
      <c r="V1007" s="5" t="s">
        <v>240</v>
      </c>
      <c r="Y1007" s="5" t="s">
        <v>240</v>
      </c>
      <c r="Z1007" s="6" t="s">
        <v>298</v>
      </c>
      <c r="AB1007" s="6" t="s">
        <v>240</v>
      </c>
      <c r="AE1007" s="6" t="s">
        <v>299</v>
      </c>
      <c r="AF1007" s="5" t="s">
        <v>248</v>
      </c>
      <c r="AG1007" s="5" t="s">
        <v>249</v>
      </c>
      <c r="AW1007" s="5" t="s">
        <v>251</v>
      </c>
      <c r="AX1007" s="5" t="s">
        <v>240</v>
      </c>
      <c r="AY1007" s="5" t="s">
        <v>253</v>
      </c>
      <c r="AZ1007" s="5" t="s">
        <v>240</v>
      </c>
      <c r="BA1007" s="5" t="s">
        <v>255</v>
      </c>
      <c r="BB1007" s="5" t="s">
        <v>240</v>
      </c>
      <c r="BD1007" s="5" t="s">
        <v>240</v>
      </c>
      <c r="BF1007" s="5" t="s">
        <v>301</v>
      </c>
      <c r="BG1007" s="6" t="s">
        <v>299</v>
      </c>
      <c r="BH1007" s="5" t="s">
        <v>302</v>
      </c>
      <c r="BI1007" s="5" t="s">
        <v>303</v>
      </c>
      <c r="BJ1007" s="5" t="s">
        <v>240</v>
      </c>
      <c r="BK1007" s="8">
        <f>0</f>
        <v>0</v>
      </c>
      <c r="BL1007" s="7">
        <f>0</f>
        <v>0</v>
      </c>
      <c r="BM1007" s="5" t="s">
        <v>258</v>
      </c>
      <c r="BN1007" s="5" t="s">
        <v>259</v>
      </c>
      <c r="CB1007" s="5" t="s">
        <v>240</v>
      </c>
      <c r="CC1007" s="5" t="s">
        <v>240</v>
      </c>
      <c r="CG1007" s="5" t="s">
        <v>304</v>
      </c>
      <c r="CH1007" s="5" t="s">
        <v>305</v>
      </c>
      <c r="CI1007" s="5" t="s">
        <v>240</v>
      </c>
      <c r="CL1007" s="6" t="s">
        <v>261</v>
      </c>
      <c r="CM1007" s="5" t="s">
        <v>240</v>
      </c>
      <c r="CN1007" s="5" t="s">
        <v>263</v>
      </c>
      <c r="CO1007" s="5" t="s">
        <v>240</v>
      </c>
      <c r="CP1007" s="5" t="s">
        <v>240</v>
      </c>
      <c r="CQ1007" s="5">
        <v>0</v>
      </c>
      <c r="CR1007" s="5" t="s">
        <v>306</v>
      </c>
      <c r="CS1007" s="5" t="s">
        <v>307</v>
      </c>
      <c r="CT1007" s="5" t="s">
        <v>307</v>
      </c>
      <c r="CU1007" s="5" t="s">
        <v>260</v>
      </c>
      <c r="CX1007" s="7">
        <f>1</f>
        <v>1</v>
      </c>
      <c r="CY1007" s="7">
        <f>0</f>
        <v>0</v>
      </c>
      <c r="DA1007" s="7">
        <f>0</f>
        <v>0</v>
      </c>
      <c r="DC1007" s="5" t="s">
        <v>812</v>
      </c>
      <c r="DD1007" s="5" t="s">
        <v>240</v>
      </c>
      <c r="DF1007" s="5" t="s">
        <v>812</v>
      </c>
      <c r="DG1007" s="7">
        <f>409</f>
        <v>409</v>
      </c>
      <c r="DI1007" s="5" t="s">
        <v>240</v>
      </c>
      <c r="DJ1007" s="5" t="s">
        <v>240</v>
      </c>
      <c r="DK1007" s="5" t="s">
        <v>240</v>
      </c>
      <c r="DL1007" s="5" t="s">
        <v>240</v>
      </c>
      <c r="DP1007" s="5" t="s">
        <v>240</v>
      </c>
      <c r="DQ1007" s="5" t="s">
        <v>240</v>
      </c>
      <c r="DR1007" s="5" t="s">
        <v>240</v>
      </c>
      <c r="DS1007" s="5" t="s">
        <v>240</v>
      </c>
      <c r="DV1007" s="5" t="s">
        <v>813</v>
      </c>
      <c r="DW1007" s="5" t="s">
        <v>2139</v>
      </c>
      <c r="HO1007" s="5" t="s">
        <v>312</v>
      </c>
    </row>
    <row r="1008" spans="1:240" x14ac:dyDescent="0.4">
      <c r="A1008" s="5">
        <v>2683</v>
      </c>
      <c r="B1008" s="5">
        <v>1</v>
      </c>
      <c r="C1008" s="5">
        <v>1</v>
      </c>
      <c r="D1008" s="5" t="s">
        <v>297</v>
      </c>
      <c r="E1008" s="5" t="s">
        <v>245</v>
      </c>
      <c r="F1008" s="5" t="s">
        <v>254</v>
      </c>
      <c r="G1008" s="5" t="s">
        <v>240</v>
      </c>
      <c r="H1008" s="6" t="s">
        <v>6494</v>
      </c>
      <c r="I1008" s="5" t="s">
        <v>295</v>
      </c>
      <c r="J1008" s="8">
        <f>125</f>
        <v>125</v>
      </c>
      <c r="K1008" s="5" t="s">
        <v>308</v>
      </c>
      <c r="L1008" s="7">
        <f>1</f>
        <v>1</v>
      </c>
      <c r="M1008" s="7">
        <f>1</f>
        <v>1</v>
      </c>
      <c r="N1008" s="5" t="s">
        <v>242</v>
      </c>
      <c r="O1008" s="5">
        <v>1</v>
      </c>
      <c r="P1008" s="5" t="s">
        <v>294</v>
      </c>
      <c r="Q1008" s="5" t="s">
        <v>266</v>
      </c>
      <c r="R1008" s="5" t="s">
        <v>240</v>
      </c>
      <c r="S1008" s="5" t="s">
        <v>240</v>
      </c>
      <c r="T1008" s="5" t="s">
        <v>296</v>
      </c>
      <c r="U1008" s="5" t="s">
        <v>244</v>
      </c>
      <c r="V1008" s="5" t="s">
        <v>240</v>
      </c>
      <c r="Y1008" s="5" t="s">
        <v>240</v>
      </c>
      <c r="Z1008" s="6" t="s">
        <v>298</v>
      </c>
      <c r="AB1008" s="6" t="s">
        <v>240</v>
      </c>
      <c r="AE1008" s="6" t="s">
        <v>299</v>
      </c>
      <c r="AF1008" s="5" t="s">
        <v>248</v>
      </c>
      <c r="AG1008" s="5" t="s">
        <v>249</v>
      </c>
      <c r="AW1008" s="5" t="s">
        <v>251</v>
      </c>
      <c r="AX1008" s="5" t="s">
        <v>240</v>
      </c>
      <c r="AY1008" s="5" t="s">
        <v>253</v>
      </c>
      <c r="AZ1008" s="5" t="s">
        <v>240</v>
      </c>
      <c r="BA1008" s="5" t="s">
        <v>255</v>
      </c>
      <c r="BB1008" s="5" t="s">
        <v>240</v>
      </c>
      <c r="BD1008" s="5" t="s">
        <v>240</v>
      </c>
      <c r="BF1008" s="5" t="s">
        <v>301</v>
      </c>
      <c r="BG1008" s="6" t="s">
        <v>299</v>
      </c>
      <c r="BH1008" s="5" t="s">
        <v>302</v>
      </c>
      <c r="BI1008" s="5" t="s">
        <v>303</v>
      </c>
      <c r="BJ1008" s="5" t="s">
        <v>240</v>
      </c>
      <c r="BK1008" s="8">
        <f>0</f>
        <v>0</v>
      </c>
      <c r="BL1008" s="7">
        <f>0</f>
        <v>0</v>
      </c>
      <c r="BM1008" s="5" t="s">
        <v>258</v>
      </c>
      <c r="BN1008" s="5" t="s">
        <v>259</v>
      </c>
      <c r="CB1008" s="5" t="s">
        <v>240</v>
      </c>
      <c r="CC1008" s="5" t="s">
        <v>240</v>
      </c>
      <c r="CG1008" s="5" t="s">
        <v>304</v>
      </c>
      <c r="CH1008" s="5" t="s">
        <v>305</v>
      </c>
      <c r="CI1008" s="5" t="s">
        <v>240</v>
      </c>
      <c r="CL1008" s="6" t="s">
        <v>261</v>
      </c>
      <c r="CM1008" s="5" t="s">
        <v>240</v>
      </c>
      <c r="CN1008" s="5" t="s">
        <v>263</v>
      </c>
      <c r="CO1008" s="5" t="s">
        <v>240</v>
      </c>
      <c r="CP1008" s="5" t="s">
        <v>240</v>
      </c>
      <c r="CQ1008" s="5">
        <v>0</v>
      </c>
      <c r="CR1008" s="5" t="s">
        <v>306</v>
      </c>
      <c r="CS1008" s="5" t="s">
        <v>307</v>
      </c>
      <c r="CT1008" s="5" t="s">
        <v>307</v>
      </c>
      <c r="CU1008" s="5" t="s">
        <v>260</v>
      </c>
      <c r="CX1008" s="7">
        <f>1</f>
        <v>1</v>
      </c>
      <c r="CY1008" s="7">
        <f>0</f>
        <v>0</v>
      </c>
      <c r="DA1008" s="7">
        <f>0</f>
        <v>0</v>
      </c>
      <c r="DC1008" s="5" t="s">
        <v>812</v>
      </c>
      <c r="DD1008" s="5" t="s">
        <v>240</v>
      </c>
      <c r="DF1008" s="5" t="s">
        <v>812</v>
      </c>
      <c r="DG1008" s="7">
        <f>432</f>
        <v>432</v>
      </c>
      <c r="DI1008" s="5" t="s">
        <v>240</v>
      </c>
      <c r="DJ1008" s="5" t="s">
        <v>240</v>
      </c>
      <c r="DK1008" s="5" t="s">
        <v>240</v>
      </c>
      <c r="DL1008" s="5" t="s">
        <v>240</v>
      </c>
      <c r="DP1008" s="5" t="s">
        <v>240</v>
      </c>
      <c r="DQ1008" s="5" t="s">
        <v>240</v>
      </c>
      <c r="DR1008" s="5" t="s">
        <v>240</v>
      </c>
      <c r="DS1008" s="5" t="s">
        <v>240</v>
      </c>
      <c r="DV1008" s="5" t="s">
        <v>813</v>
      </c>
      <c r="DW1008" s="5" t="s">
        <v>2141</v>
      </c>
      <c r="HO1008" s="5" t="s">
        <v>312</v>
      </c>
    </row>
    <row r="1009" spans="1:240" x14ac:dyDescent="0.4">
      <c r="A1009" s="5">
        <v>2684</v>
      </c>
      <c r="B1009" s="5">
        <v>1</v>
      </c>
      <c r="C1009" s="5">
        <v>1</v>
      </c>
      <c r="D1009" s="5" t="s">
        <v>297</v>
      </c>
      <c r="E1009" s="5" t="s">
        <v>245</v>
      </c>
      <c r="F1009" s="5" t="s">
        <v>254</v>
      </c>
      <c r="G1009" s="5" t="s">
        <v>240</v>
      </c>
      <c r="H1009" s="6" t="s">
        <v>409</v>
      </c>
      <c r="I1009" s="5" t="s">
        <v>295</v>
      </c>
      <c r="J1009" s="8">
        <f>675</f>
        <v>675</v>
      </c>
      <c r="K1009" s="5" t="s">
        <v>308</v>
      </c>
      <c r="L1009" s="7">
        <f>1</f>
        <v>1</v>
      </c>
      <c r="M1009" s="7">
        <f>1</f>
        <v>1</v>
      </c>
      <c r="N1009" s="5" t="s">
        <v>242</v>
      </c>
      <c r="O1009" s="5">
        <v>1</v>
      </c>
      <c r="P1009" s="5" t="s">
        <v>294</v>
      </c>
      <c r="Q1009" s="5" t="s">
        <v>266</v>
      </c>
      <c r="R1009" s="5" t="s">
        <v>240</v>
      </c>
      <c r="S1009" s="5" t="s">
        <v>240</v>
      </c>
      <c r="T1009" s="5" t="s">
        <v>296</v>
      </c>
      <c r="U1009" s="5" t="s">
        <v>244</v>
      </c>
      <c r="V1009" s="5" t="s">
        <v>240</v>
      </c>
      <c r="Y1009" s="5" t="s">
        <v>240</v>
      </c>
      <c r="Z1009" s="6" t="s">
        <v>298</v>
      </c>
      <c r="AB1009" s="6" t="s">
        <v>240</v>
      </c>
      <c r="AE1009" s="6" t="s">
        <v>299</v>
      </c>
      <c r="AF1009" s="5" t="s">
        <v>248</v>
      </c>
      <c r="AG1009" s="5" t="s">
        <v>249</v>
      </c>
      <c r="AW1009" s="5" t="s">
        <v>251</v>
      </c>
      <c r="AX1009" s="5" t="s">
        <v>240</v>
      </c>
      <c r="AY1009" s="5" t="s">
        <v>253</v>
      </c>
      <c r="AZ1009" s="5" t="s">
        <v>240</v>
      </c>
      <c r="BA1009" s="5" t="s">
        <v>255</v>
      </c>
      <c r="BB1009" s="5" t="s">
        <v>240</v>
      </c>
      <c r="BD1009" s="5" t="s">
        <v>240</v>
      </c>
      <c r="BF1009" s="5" t="s">
        <v>301</v>
      </c>
      <c r="BG1009" s="6" t="s">
        <v>299</v>
      </c>
      <c r="BH1009" s="5" t="s">
        <v>302</v>
      </c>
      <c r="BI1009" s="5" t="s">
        <v>303</v>
      </c>
      <c r="BJ1009" s="5" t="s">
        <v>240</v>
      </c>
      <c r="BK1009" s="8">
        <f>0</f>
        <v>0</v>
      </c>
      <c r="BL1009" s="7">
        <f>0</f>
        <v>0</v>
      </c>
      <c r="BM1009" s="5" t="s">
        <v>258</v>
      </c>
      <c r="BN1009" s="5" t="s">
        <v>259</v>
      </c>
      <c r="CB1009" s="5" t="s">
        <v>240</v>
      </c>
      <c r="CC1009" s="5" t="s">
        <v>240</v>
      </c>
      <c r="CG1009" s="5" t="s">
        <v>304</v>
      </c>
      <c r="CH1009" s="5" t="s">
        <v>305</v>
      </c>
      <c r="CI1009" s="5" t="s">
        <v>240</v>
      </c>
      <c r="CL1009" s="6" t="s">
        <v>261</v>
      </c>
      <c r="CM1009" s="5" t="s">
        <v>240</v>
      </c>
      <c r="CN1009" s="5" t="s">
        <v>263</v>
      </c>
      <c r="CO1009" s="5" t="s">
        <v>240</v>
      </c>
      <c r="CP1009" s="5" t="s">
        <v>240</v>
      </c>
      <c r="CQ1009" s="5">
        <v>0</v>
      </c>
      <c r="CR1009" s="5" t="s">
        <v>306</v>
      </c>
      <c r="CS1009" s="5" t="s">
        <v>307</v>
      </c>
      <c r="CT1009" s="5" t="s">
        <v>307</v>
      </c>
      <c r="CU1009" s="5" t="s">
        <v>260</v>
      </c>
      <c r="CX1009" s="7">
        <f>1</f>
        <v>1</v>
      </c>
      <c r="CY1009" s="7">
        <f>0</f>
        <v>0</v>
      </c>
      <c r="DA1009" s="7">
        <f>0</f>
        <v>0</v>
      </c>
      <c r="DC1009" s="5" t="s">
        <v>309</v>
      </c>
      <c r="DD1009" s="5" t="s">
        <v>240</v>
      </c>
      <c r="DF1009" s="5" t="s">
        <v>309</v>
      </c>
      <c r="DG1009" s="7">
        <f>1532</f>
        <v>1532</v>
      </c>
      <c r="DI1009" s="5" t="s">
        <v>240</v>
      </c>
      <c r="DJ1009" s="5" t="s">
        <v>240</v>
      </c>
      <c r="DK1009" s="5" t="s">
        <v>240</v>
      </c>
      <c r="DL1009" s="5" t="s">
        <v>240</v>
      </c>
      <c r="DP1009" s="5" t="s">
        <v>240</v>
      </c>
      <c r="DQ1009" s="5" t="s">
        <v>240</v>
      </c>
      <c r="DR1009" s="5" t="s">
        <v>240</v>
      </c>
      <c r="DS1009" s="5" t="s">
        <v>240</v>
      </c>
      <c r="DV1009" s="5" t="s">
        <v>310</v>
      </c>
      <c r="DW1009" s="5" t="s">
        <v>2048</v>
      </c>
      <c r="HO1009" s="5" t="s">
        <v>312</v>
      </c>
    </row>
    <row r="1010" spans="1:240" x14ac:dyDescent="0.4">
      <c r="A1010" s="5">
        <v>2685</v>
      </c>
      <c r="B1010" s="5">
        <v>1</v>
      </c>
      <c r="C1010" s="5">
        <v>1</v>
      </c>
      <c r="D1010" s="5" t="s">
        <v>297</v>
      </c>
      <c r="E1010" s="5" t="s">
        <v>245</v>
      </c>
      <c r="F1010" s="5" t="s">
        <v>254</v>
      </c>
      <c r="G1010" s="5" t="s">
        <v>240</v>
      </c>
      <c r="H1010" s="6" t="s">
        <v>1029</v>
      </c>
      <c r="I1010" s="5" t="s">
        <v>295</v>
      </c>
      <c r="J1010" s="8">
        <f>3590</f>
        <v>3590</v>
      </c>
      <c r="K1010" s="5" t="s">
        <v>308</v>
      </c>
      <c r="L1010" s="7">
        <f>1</f>
        <v>1</v>
      </c>
      <c r="M1010" s="7">
        <f>1</f>
        <v>1</v>
      </c>
      <c r="N1010" s="5" t="s">
        <v>242</v>
      </c>
      <c r="O1010" s="5">
        <v>1</v>
      </c>
      <c r="P1010" s="5" t="s">
        <v>294</v>
      </c>
      <c r="Q1010" s="5" t="s">
        <v>266</v>
      </c>
      <c r="R1010" s="5" t="s">
        <v>240</v>
      </c>
      <c r="S1010" s="5" t="s">
        <v>240</v>
      </c>
      <c r="T1010" s="5" t="s">
        <v>296</v>
      </c>
      <c r="U1010" s="5" t="s">
        <v>244</v>
      </c>
      <c r="V1010" s="5" t="s">
        <v>240</v>
      </c>
      <c r="Y1010" s="5" t="s">
        <v>240</v>
      </c>
      <c r="Z1010" s="6" t="s">
        <v>298</v>
      </c>
      <c r="AB1010" s="6" t="s">
        <v>240</v>
      </c>
      <c r="AE1010" s="6" t="s">
        <v>299</v>
      </c>
      <c r="AF1010" s="5" t="s">
        <v>248</v>
      </c>
      <c r="AG1010" s="5" t="s">
        <v>249</v>
      </c>
      <c r="AW1010" s="5" t="s">
        <v>251</v>
      </c>
      <c r="AX1010" s="5" t="s">
        <v>240</v>
      </c>
      <c r="AY1010" s="5" t="s">
        <v>253</v>
      </c>
      <c r="AZ1010" s="5" t="s">
        <v>240</v>
      </c>
      <c r="BA1010" s="5" t="s">
        <v>255</v>
      </c>
      <c r="BB1010" s="5" t="s">
        <v>240</v>
      </c>
      <c r="BD1010" s="5" t="s">
        <v>240</v>
      </c>
      <c r="BF1010" s="5" t="s">
        <v>301</v>
      </c>
      <c r="BG1010" s="6" t="s">
        <v>299</v>
      </c>
      <c r="BH1010" s="5" t="s">
        <v>302</v>
      </c>
      <c r="BI1010" s="5" t="s">
        <v>303</v>
      </c>
      <c r="BJ1010" s="5" t="s">
        <v>240</v>
      </c>
      <c r="BK1010" s="8">
        <f>0</f>
        <v>0</v>
      </c>
      <c r="BL1010" s="7">
        <f>0</f>
        <v>0</v>
      </c>
      <c r="BM1010" s="5" t="s">
        <v>258</v>
      </c>
      <c r="BN1010" s="5" t="s">
        <v>259</v>
      </c>
      <c r="CB1010" s="5" t="s">
        <v>240</v>
      </c>
      <c r="CC1010" s="5" t="s">
        <v>240</v>
      </c>
      <c r="CG1010" s="5" t="s">
        <v>304</v>
      </c>
      <c r="CH1010" s="5" t="s">
        <v>305</v>
      </c>
      <c r="CI1010" s="5" t="s">
        <v>240</v>
      </c>
      <c r="CL1010" s="6" t="s">
        <v>261</v>
      </c>
      <c r="CM1010" s="5" t="s">
        <v>240</v>
      </c>
      <c r="CN1010" s="5" t="s">
        <v>263</v>
      </c>
      <c r="CO1010" s="5" t="s">
        <v>240</v>
      </c>
      <c r="CP1010" s="5" t="s">
        <v>240</v>
      </c>
      <c r="CQ1010" s="5">
        <v>0</v>
      </c>
      <c r="CR1010" s="5" t="s">
        <v>306</v>
      </c>
      <c r="CS1010" s="5" t="s">
        <v>307</v>
      </c>
      <c r="CT1010" s="5" t="s">
        <v>307</v>
      </c>
      <c r="CU1010" s="5" t="s">
        <v>260</v>
      </c>
      <c r="CX1010" s="7">
        <f>1</f>
        <v>1</v>
      </c>
      <c r="CY1010" s="7">
        <f>0</f>
        <v>0</v>
      </c>
      <c r="DA1010" s="7">
        <f>0</f>
        <v>0</v>
      </c>
      <c r="DC1010" s="5" t="s">
        <v>812</v>
      </c>
      <c r="DD1010" s="5" t="s">
        <v>240</v>
      </c>
      <c r="DF1010" s="5" t="s">
        <v>812</v>
      </c>
      <c r="DG1010" s="7">
        <f>829</f>
        <v>829</v>
      </c>
      <c r="DI1010" s="5" t="s">
        <v>240</v>
      </c>
      <c r="DJ1010" s="5" t="s">
        <v>240</v>
      </c>
      <c r="DK1010" s="5" t="s">
        <v>240</v>
      </c>
      <c r="DL1010" s="5" t="s">
        <v>240</v>
      </c>
      <c r="DP1010" s="5" t="s">
        <v>240</v>
      </c>
      <c r="DQ1010" s="5" t="s">
        <v>240</v>
      </c>
      <c r="DR1010" s="5" t="s">
        <v>240</v>
      </c>
      <c r="DS1010" s="5" t="s">
        <v>240</v>
      </c>
      <c r="DV1010" s="5" t="s">
        <v>813</v>
      </c>
      <c r="DW1010" s="5" t="s">
        <v>2144</v>
      </c>
      <c r="HO1010" s="5" t="s">
        <v>312</v>
      </c>
    </row>
    <row r="1011" spans="1:240" x14ac:dyDescent="0.4">
      <c r="A1011" s="5">
        <v>2686</v>
      </c>
      <c r="B1011" s="5">
        <v>1</v>
      </c>
      <c r="C1011" s="5">
        <v>1</v>
      </c>
      <c r="D1011" s="5" t="s">
        <v>297</v>
      </c>
      <c r="E1011" s="5" t="s">
        <v>245</v>
      </c>
      <c r="F1011" s="5" t="s">
        <v>254</v>
      </c>
      <c r="G1011" s="5" t="s">
        <v>240</v>
      </c>
      <c r="H1011" s="6" t="s">
        <v>1031</v>
      </c>
      <c r="I1011" s="5" t="s">
        <v>295</v>
      </c>
      <c r="J1011" s="8">
        <f>173</f>
        <v>173</v>
      </c>
      <c r="K1011" s="5" t="s">
        <v>308</v>
      </c>
      <c r="L1011" s="7">
        <f>1</f>
        <v>1</v>
      </c>
      <c r="M1011" s="7">
        <f>1</f>
        <v>1</v>
      </c>
      <c r="N1011" s="5" t="s">
        <v>242</v>
      </c>
      <c r="O1011" s="5">
        <v>1</v>
      </c>
      <c r="P1011" s="5" t="s">
        <v>294</v>
      </c>
      <c r="Q1011" s="5" t="s">
        <v>266</v>
      </c>
      <c r="R1011" s="5" t="s">
        <v>240</v>
      </c>
      <c r="S1011" s="5" t="s">
        <v>240</v>
      </c>
      <c r="T1011" s="5" t="s">
        <v>296</v>
      </c>
      <c r="U1011" s="5" t="s">
        <v>244</v>
      </c>
      <c r="V1011" s="5" t="s">
        <v>240</v>
      </c>
      <c r="Y1011" s="5" t="s">
        <v>240</v>
      </c>
      <c r="Z1011" s="6" t="s">
        <v>298</v>
      </c>
      <c r="AB1011" s="6" t="s">
        <v>240</v>
      </c>
      <c r="AE1011" s="6" t="s">
        <v>299</v>
      </c>
      <c r="AF1011" s="5" t="s">
        <v>248</v>
      </c>
      <c r="AG1011" s="5" t="s">
        <v>249</v>
      </c>
      <c r="AW1011" s="5" t="s">
        <v>251</v>
      </c>
      <c r="AX1011" s="5" t="s">
        <v>240</v>
      </c>
      <c r="AY1011" s="5" t="s">
        <v>253</v>
      </c>
      <c r="AZ1011" s="5" t="s">
        <v>240</v>
      </c>
      <c r="BA1011" s="5" t="s">
        <v>255</v>
      </c>
      <c r="BB1011" s="5" t="s">
        <v>240</v>
      </c>
      <c r="BD1011" s="5" t="s">
        <v>240</v>
      </c>
      <c r="BF1011" s="5" t="s">
        <v>301</v>
      </c>
      <c r="BG1011" s="6" t="s">
        <v>299</v>
      </c>
      <c r="BH1011" s="5" t="s">
        <v>302</v>
      </c>
      <c r="BI1011" s="5" t="s">
        <v>303</v>
      </c>
      <c r="BJ1011" s="5" t="s">
        <v>240</v>
      </c>
      <c r="BK1011" s="8">
        <f>0</f>
        <v>0</v>
      </c>
      <c r="BL1011" s="7">
        <f>0</f>
        <v>0</v>
      </c>
      <c r="BM1011" s="5" t="s">
        <v>258</v>
      </c>
      <c r="BN1011" s="5" t="s">
        <v>259</v>
      </c>
      <c r="CB1011" s="5" t="s">
        <v>240</v>
      </c>
      <c r="CC1011" s="5" t="s">
        <v>240</v>
      </c>
      <c r="CG1011" s="5" t="s">
        <v>304</v>
      </c>
      <c r="CH1011" s="5" t="s">
        <v>305</v>
      </c>
      <c r="CI1011" s="5" t="s">
        <v>240</v>
      </c>
      <c r="CL1011" s="6" t="s">
        <v>261</v>
      </c>
      <c r="CM1011" s="5" t="s">
        <v>240</v>
      </c>
      <c r="CN1011" s="5" t="s">
        <v>263</v>
      </c>
      <c r="CO1011" s="5" t="s">
        <v>240</v>
      </c>
      <c r="CP1011" s="5" t="s">
        <v>240</v>
      </c>
      <c r="CQ1011" s="5">
        <v>0</v>
      </c>
      <c r="CR1011" s="5" t="s">
        <v>306</v>
      </c>
      <c r="CS1011" s="5" t="s">
        <v>307</v>
      </c>
      <c r="CT1011" s="5" t="s">
        <v>307</v>
      </c>
      <c r="CU1011" s="5" t="s">
        <v>260</v>
      </c>
      <c r="CX1011" s="7">
        <f>1</f>
        <v>1</v>
      </c>
      <c r="CY1011" s="7">
        <f>0</f>
        <v>0</v>
      </c>
      <c r="DA1011" s="7">
        <f>0</f>
        <v>0</v>
      </c>
      <c r="DC1011" s="5" t="s">
        <v>812</v>
      </c>
      <c r="DD1011" s="5" t="s">
        <v>240</v>
      </c>
      <c r="DF1011" s="5" t="s">
        <v>812</v>
      </c>
      <c r="DG1011" s="7">
        <f>640</f>
        <v>640</v>
      </c>
      <c r="DI1011" s="5" t="s">
        <v>240</v>
      </c>
      <c r="DJ1011" s="5" t="s">
        <v>240</v>
      </c>
      <c r="DK1011" s="5" t="s">
        <v>240</v>
      </c>
      <c r="DL1011" s="5" t="s">
        <v>240</v>
      </c>
      <c r="DP1011" s="5" t="s">
        <v>240</v>
      </c>
      <c r="DQ1011" s="5" t="s">
        <v>240</v>
      </c>
      <c r="DR1011" s="5" t="s">
        <v>240</v>
      </c>
      <c r="DS1011" s="5" t="s">
        <v>240</v>
      </c>
      <c r="DV1011" s="5" t="s">
        <v>813</v>
      </c>
      <c r="DW1011" s="5" t="s">
        <v>2146</v>
      </c>
      <c r="HO1011" s="5" t="s">
        <v>312</v>
      </c>
    </row>
    <row r="1012" spans="1:240" x14ac:dyDescent="0.4">
      <c r="A1012" s="5">
        <v>2687</v>
      </c>
      <c r="B1012" s="5">
        <v>1</v>
      </c>
      <c r="C1012" s="5">
        <v>1</v>
      </c>
      <c r="D1012" s="5" t="s">
        <v>297</v>
      </c>
      <c r="E1012" s="5" t="s">
        <v>245</v>
      </c>
      <c r="F1012" s="5" t="s">
        <v>254</v>
      </c>
      <c r="G1012" s="5" t="s">
        <v>240</v>
      </c>
      <c r="H1012" s="6" t="s">
        <v>1033</v>
      </c>
      <c r="I1012" s="5" t="s">
        <v>295</v>
      </c>
      <c r="J1012" s="8">
        <f>4.82</f>
        <v>4.82</v>
      </c>
      <c r="K1012" s="5" t="s">
        <v>308</v>
      </c>
      <c r="L1012" s="7">
        <f>1</f>
        <v>1</v>
      </c>
      <c r="M1012" s="7">
        <f>1</f>
        <v>1</v>
      </c>
      <c r="N1012" s="5" t="s">
        <v>242</v>
      </c>
      <c r="O1012" s="5">
        <v>1</v>
      </c>
      <c r="P1012" s="5" t="s">
        <v>294</v>
      </c>
      <c r="Q1012" s="5" t="s">
        <v>613</v>
      </c>
      <c r="R1012" s="5" t="s">
        <v>240</v>
      </c>
      <c r="S1012" s="5" t="s">
        <v>240</v>
      </c>
      <c r="T1012" s="5" t="s">
        <v>243</v>
      </c>
      <c r="U1012" s="5" t="s">
        <v>724</v>
      </c>
      <c r="V1012" s="5" t="s">
        <v>240</v>
      </c>
      <c r="W1012" s="5" t="s">
        <v>240</v>
      </c>
      <c r="X1012" s="5" t="s">
        <v>240</v>
      </c>
      <c r="Y1012" s="5" t="s">
        <v>240</v>
      </c>
      <c r="Z1012" s="6" t="s">
        <v>298</v>
      </c>
      <c r="AA1012" s="6" t="s">
        <v>240</v>
      </c>
      <c r="AB1012" s="6" t="s">
        <v>240</v>
      </c>
      <c r="AC1012" s="5" t="s">
        <v>240</v>
      </c>
      <c r="AD1012" s="6" t="s">
        <v>240</v>
      </c>
      <c r="AE1012" s="6" t="s">
        <v>299</v>
      </c>
      <c r="AF1012" s="5" t="s">
        <v>727</v>
      </c>
      <c r="AG1012" s="5" t="s">
        <v>260</v>
      </c>
      <c r="AH1012" s="5" t="s">
        <v>240</v>
      </c>
      <c r="AI1012" s="5" t="s">
        <v>240</v>
      </c>
      <c r="AJ1012" s="5" t="s">
        <v>240</v>
      </c>
      <c r="AK1012" s="5" t="s">
        <v>240</v>
      </c>
      <c r="AL1012" s="5" t="s">
        <v>240</v>
      </c>
      <c r="AM1012" s="5" t="s">
        <v>240</v>
      </c>
      <c r="AN1012" s="5" t="s">
        <v>240</v>
      </c>
      <c r="AO1012" s="5" t="s">
        <v>240</v>
      </c>
      <c r="AP1012" s="6" t="s">
        <v>240</v>
      </c>
      <c r="AQ1012" s="6" t="s">
        <v>240</v>
      </c>
      <c r="AR1012" s="6" t="s">
        <v>240</v>
      </c>
      <c r="AS1012" s="6" t="s">
        <v>240</v>
      </c>
      <c r="AT1012" s="5" t="s">
        <v>240</v>
      </c>
      <c r="AU1012" s="5" t="s">
        <v>729</v>
      </c>
      <c r="AV1012" s="5" t="s">
        <v>729</v>
      </c>
      <c r="AW1012" s="5" t="s">
        <v>251</v>
      </c>
      <c r="AX1012" s="5" t="s">
        <v>252</v>
      </c>
      <c r="AY1012" s="5" t="s">
        <v>253</v>
      </c>
      <c r="AZ1012" s="5" t="s">
        <v>240</v>
      </c>
      <c r="BA1012" s="5" t="s">
        <v>255</v>
      </c>
      <c r="BB1012" s="5" t="s">
        <v>731</v>
      </c>
      <c r="BD1012" s="5" t="s">
        <v>240</v>
      </c>
      <c r="BF1012" s="5" t="s">
        <v>732</v>
      </c>
      <c r="BG1012" s="6" t="s">
        <v>733</v>
      </c>
      <c r="BH1012" s="5" t="s">
        <v>734</v>
      </c>
      <c r="BI1012" s="5" t="s">
        <v>734</v>
      </c>
      <c r="BJ1012" s="5" t="s">
        <v>240</v>
      </c>
      <c r="BK1012" s="8">
        <f>380</f>
        <v>380</v>
      </c>
      <c r="BL1012" s="7">
        <f>0</f>
        <v>0</v>
      </c>
      <c r="BM1012" s="5" t="s">
        <v>258</v>
      </c>
      <c r="BN1012" s="5" t="s">
        <v>259</v>
      </c>
      <c r="BO1012" s="5" t="s">
        <v>240</v>
      </c>
      <c r="BP1012" s="5" t="s">
        <v>240</v>
      </c>
      <c r="BQ1012" s="5" t="s">
        <v>240</v>
      </c>
      <c r="BR1012" s="5" t="s">
        <v>240</v>
      </c>
      <c r="BS1012" s="5" t="s">
        <v>240</v>
      </c>
      <c r="BT1012" s="5" t="s">
        <v>240</v>
      </c>
      <c r="BU1012" s="5" t="s">
        <v>240</v>
      </c>
      <c r="BV1012" s="5" t="s">
        <v>240</v>
      </c>
      <c r="BW1012" s="6" t="s">
        <v>240</v>
      </c>
      <c r="BX1012" s="5" t="s">
        <v>240</v>
      </c>
      <c r="BY1012" s="5" t="s">
        <v>240</v>
      </c>
      <c r="BZ1012" s="5" t="s">
        <v>240</v>
      </c>
      <c r="CA1012" s="5" t="s">
        <v>259</v>
      </c>
      <c r="CB1012" s="5" t="s">
        <v>240</v>
      </c>
      <c r="CC1012" s="5" t="s">
        <v>240</v>
      </c>
      <c r="CD1012" s="5" t="s">
        <v>240</v>
      </c>
      <c r="CE1012" s="5" t="s">
        <v>240</v>
      </c>
      <c r="CF1012" s="5" t="s">
        <v>240</v>
      </c>
      <c r="CG1012" s="5" t="s">
        <v>617</v>
      </c>
      <c r="CH1012" s="5" t="s">
        <v>305</v>
      </c>
      <c r="CI1012" s="5" t="s">
        <v>240</v>
      </c>
      <c r="CL1012" s="6" t="s">
        <v>261</v>
      </c>
      <c r="CM1012" s="5" t="s">
        <v>262</v>
      </c>
      <c r="CN1012" s="5" t="s">
        <v>263</v>
      </c>
      <c r="CO1012" s="5" t="s">
        <v>264</v>
      </c>
      <c r="CP1012" s="5" t="s">
        <v>240</v>
      </c>
      <c r="CQ1012" s="5">
        <v>0</v>
      </c>
      <c r="CR1012" s="5" t="s">
        <v>735</v>
      </c>
      <c r="CS1012" s="5" t="s">
        <v>307</v>
      </c>
      <c r="CT1012" s="5" t="s">
        <v>307</v>
      </c>
      <c r="CU1012" s="5" t="s">
        <v>260</v>
      </c>
      <c r="CV1012" s="5" t="s">
        <v>240</v>
      </c>
      <c r="CW1012" s="8">
        <f>0</f>
        <v>0</v>
      </c>
      <c r="CX1012" s="7">
        <f>0</f>
        <v>0</v>
      </c>
      <c r="CY1012" s="7">
        <f>0</f>
        <v>0</v>
      </c>
      <c r="DA1012" s="7">
        <f>4180</f>
        <v>4180</v>
      </c>
      <c r="DB1012" s="7" t="s">
        <v>240</v>
      </c>
      <c r="DC1012" s="5" t="s">
        <v>240</v>
      </c>
      <c r="DD1012" s="5" t="s">
        <v>240</v>
      </c>
      <c r="DE1012" s="5" t="s">
        <v>240</v>
      </c>
      <c r="DF1012" s="5" t="s">
        <v>450</v>
      </c>
      <c r="DG1012" s="7">
        <f>0</f>
        <v>0</v>
      </c>
      <c r="DI1012" s="5" t="s">
        <v>737</v>
      </c>
      <c r="DJ1012" s="5" t="s">
        <v>240</v>
      </c>
      <c r="DK1012" s="5" t="s">
        <v>240</v>
      </c>
      <c r="DL1012" s="5" t="s">
        <v>240</v>
      </c>
      <c r="DM1012" s="5" t="s">
        <v>240</v>
      </c>
      <c r="DN1012" s="5" t="s">
        <v>240</v>
      </c>
      <c r="DO1012" s="7" t="s">
        <v>240</v>
      </c>
      <c r="DP1012" s="5" t="s">
        <v>240</v>
      </c>
      <c r="DQ1012" s="5" t="s">
        <v>240</v>
      </c>
      <c r="DR1012" s="5" t="s">
        <v>731</v>
      </c>
      <c r="DS1012" s="5" t="s">
        <v>731</v>
      </c>
      <c r="DT1012" s="5" t="s">
        <v>240</v>
      </c>
      <c r="DU1012" s="5" t="s">
        <v>240</v>
      </c>
      <c r="DV1012" s="5" t="s">
        <v>738</v>
      </c>
      <c r="DW1012" s="5" t="s">
        <v>526</v>
      </c>
      <c r="DX1012" s="5" t="s">
        <v>240</v>
      </c>
      <c r="DY1012" s="5" t="s">
        <v>240</v>
      </c>
      <c r="DZ1012" s="5" t="s">
        <v>240</v>
      </c>
      <c r="EA1012" s="5" t="s">
        <v>240</v>
      </c>
      <c r="EB1012" s="5" t="s">
        <v>240</v>
      </c>
      <c r="EC1012" s="5" t="s">
        <v>240</v>
      </c>
      <c r="ED1012" s="5" t="s">
        <v>240</v>
      </c>
      <c r="EE1012" s="5" t="s">
        <v>240</v>
      </c>
      <c r="EF1012" s="5" t="s">
        <v>240</v>
      </c>
      <c r="EG1012" s="5" t="s">
        <v>240</v>
      </c>
      <c r="EH1012" s="5" t="s">
        <v>240</v>
      </c>
      <c r="EI1012" s="5" t="s">
        <v>240</v>
      </c>
      <c r="EJ1012" s="5" t="s">
        <v>240</v>
      </c>
      <c r="EK1012" s="5" t="s">
        <v>240</v>
      </c>
      <c r="EL1012" s="5" t="s">
        <v>240</v>
      </c>
      <c r="EM1012" s="5" t="s">
        <v>240</v>
      </c>
      <c r="EN1012" s="5" t="s">
        <v>240</v>
      </c>
      <c r="EO1012" s="5" t="s">
        <v>240</v>
      </c>
      <c r="EP1012" s="5" t="s">
        <v>240</v>
      </c>
      <c r="EQ1012" s="5" t="s">
        <v>240</v>
      </c>
      <c r="ER1012" s="5" t="s">
        <v>240</v>
      </c>
      <c r="ES1012" s="5" t="s">
        <v>240</v>
      </c>
      <c r="ET1012" s="5" t="s">
        <v>240</v>
      </c>
      <c r="EU1012" s="5" t="s">
        <v>240</v>
      </c>
      <c r="EV1012" s="5" t="s">
        <v>240</v>
      </c>
      <c r="EW1012" s="5" t="s">
        <v>240</v>
      </c>
      <c r="EX1012" s="5" t="s">
        <v>240</v>
      </c>
      <c r="EY1012" s="5" t="s">
        <v>240</v>
      </c>
      <c r="EZ1012" s="5" t="s">
        <v>240</v>
      </c>
      <c r="FA1012" s="5" t="s">
        <v>240</v>
      </c>
      <c r="FB1012" s="5" t="s">
        <v>240</v>
      </c>
      <c r="FC1012" s="5" t="s">
        <v>240</v>
      </c>
      <c r="FD1012" s="5" t="s">
        <v>240</v>
      </c>
      <c r="FE1012" s="5" t="s">
        <v>240</v>
      </c>
      <c r="FF1012" s="5" t="s">
        <v>240</v>
      </c>
      <c r="FG1012" s="5" t="s">
        <v>240</v>
      </c>
      <c r="FH1012" s="5" t="s">
        <v>240</v>
      </c>
      <c r="FI1012" s="5" t="s">
        <v>240</v>
      </c>
      <c r="FJ1012" s="5" t="s">
        <v>240</v>
      </c>
      <c r="FK1012" s="5" t="s">
        <v>240</v>
      </c>
      <c r="FL1012" s="5" t="s">
        <v>240</v>
      </c>
      <c r="FM1012" s="5" t="s">
        <v>240</v>
      </c>
      <c r="FN1012" s="5" t="s">
        <v>240</v>
      </c>
      <c r="FO1012" s="5" t="s">
        <v>240</v>
      </c>
      <c r="FP1012" s="5" t="s">
        <v>240</v>
      </c>
      <c r="FQ1012" s="5" t="s">
        <v>240</v>
      </c>
      <c r="FR1012" s="5" t="s">
        <v>240</v>
      </c>
      <c r="FS1012" s="5" t="s">
        <v>240</v>
      </c>
      <c r="FT1012" s="5" t="s">
        <v>240</v>
      </c>
      <c r="FU1012" s="5" t="s">
        <v>240</v>
      </c>
      <c r="FV1012" s="5" t="s">
        <v>240</v>
      </c>
      <c r="FW1012" s="5" t="s">
        <v>240</v>
      </c>
      <c r="FX1012" s="5" t="s">
        <v>240</v>
      </c>
      <c r="FY1012" s="5" t="s">
        <v>240</v>
      </c>
      <c r="FZ1012" s="5" t="s">
        <v>240</v>
      </c>
      <c r="GA1012" s="5" t="s">
        <v>240</v>
      </c>
      <c r="GB1012" s="5" t="s">
        <v>240</v>
      </c>
      <c r="GC1012" s="5" t="s">
        <v>240</v>
      </c>
      <c r="GD1012" s="5" t="s">
        <v>240</v>
      </c>
      <c r="GE1012" s="5" t="s">
        <v>240</v>
      </c>
      <c r="GF1012" s="5" t="s">
        <v>240</v>
      </c>
      <c r="GG1012" s="5" t="s">
        <v>240</v>
      </c>
      <c r="GH1012" s="5" t="s">
        <v>240</v>
      </c>
      <c r="GI1012" s="5" t="s">
        <v>240</v>
      </c>
      <c r="GJ1012" s="5" t="s">
        <v>240</v>
      </c>
      <c r="GK1012" s="5" t="s">
        <v>240</v>
      </c>
      <c r="GL1012" s="5" t="s">
        <v>240</v>
      </c>
      <c r="GM1012" s="5" t="s">
        <v>240</v>
      </c>
      <c r="GN1012" s="5" t="s">
        <v>240</v>
      </c>
      <c r="GO1012" s="5" t="s">
        <v>240</v>
      </c>
      <c r="GP1012" s="5" t="s">
        <v>240</v>
      </c>
      <c r="GQ1012" s="5" t="s">
        <v>240</v>
      </c>
      <c r="GR1012" s="5" t="s">
        <v>240</v>
      </c>
      <c r="GS1012" s="5" t="s">
        <v>240</v>
      </c>
      <c r="GT1012" s="5" t="s">
        <v>240</v>
      </c>
      <c r="GU1012" s="5" t="s">
        <v>240</v>
      </c>
      <c r="GV1012" s="5" t="s">
        <v>240</v>
      </c>
      <c r="GW1012" s="5" t="s">
        <v>240</v>
      </c>
      <c r="GX1012" s="5" t="s">
        <v>240</v>
      </c>
      <c r="GY1012" s="5" t="s">
        <v>240</v>
      </c>
      <c r="GZ1012" s="5" t="s">
        <v>240</v>
      </c>
      <c r="HA1012" s="5" t="s">
        <v>240</v>
      </c>
      <c r="HB1012" s="5" t="s">
        <v>240</v>
      </c>
      <c r="HC1012" s="5" t="s">
        <v>240</v>
      </c>
      <c r="HD1012" s="5" t="s">
        <v>240</v>
      </c>
      <c r="HE1012" s="5" t="s">
        <v>240</v>
      </c>
      <c r="HF1012" s="5" t="s">
        <v>240</v>
      </c>
      <c r="HG1012" s="5" t="s">
        <v>240</v>
      </c>
      <c r="HH1012" s="5" t="s">
        <v>240</v>
      </c>
      <c r="HI1012" s="5" t="s">
        <v>240</v>
      </c>
      <c r="HJ1012" s="5" t="s">
        <v>240</v>
      </c>
      <c r="HK1012" s="5" t="s">
        <v>240</v>
      </c>
      <c r="HL1012" s="5" t="s">
        <v>240</v>
      </c>
      <c r="HM1012" s="5" t="s">
        <v>240</v>
      </c>
      <c r="HN1012" s="5" t="s">
        <v>240</v>
      </c>
      <c r="HO1012" s="5" t="s">
        <v>620</v>
      </c>
      <c r="HP1012" s="5" t="s">
        <v>240</v>
      </c>
      <c r="HQ1012" s="5" t="s">
        <v>240</v>
      </c>
      <c r="HR1012" s="5" t="s">
        <v>240</v>
      </c>
      <c r="HS1012" s="5" t="s">
        <v>240</v>
      </c>
      <c r="HT1012" s="5" t="s">
        <v>240</v>
      </c>
      <c r="HU1012" s="5" t="s">
        <v>240</v>
      </c>
      <c r="HV1012" s="5" t="s">
        <v>240</v>
      </c>
      <c r="HW1012" s="5" t="s">
        <v>240</v>
      </c>
      <c r="HX1012" s="5" t="s">
        <v>240</v>
      </c>
      <c r="HY1012" s="5" t="s">
        <v>240</v>
      </c>
      <c r="HZ1012" s="5" t="s">
        <v>240</v>
      </c>
      <c r="IA1012" s="5" t="s">
        <v>240</v>
      </c>
      <c r="IB1012" s="5" t="s">
        <v>240</v>
      </c>
      <c r="IC1012" s="5" t="s">
        <v>240</v>
      </c>
      <c r="ID1012" s="5" t="s">
        <v>240</v>
      </c>
      <c r="IE1012" s="5" t="s">
        <v>240</v>
      </c>
      <c r="IF1012" s="5" t="s">
        <v>240</v>
      </c>
    </row>
    <row r="1013" spans="1:240" x14ac:dyDescent="0.4">
      <c r="A1013" s="5">
        <v>2688</v>
      </c>
      <c r="B1013" s="5">
        <v>1</v>
      </c>
      <c r="C1013" s="5">
        <v>1</v>
      </c>
      <c r="D1013" s="5" t="s">
        <v>297</v>
      </c>
      <c r="E1013" s="5" t="s">
        <v>245</v>
      </c>
      <c r="F1013" s="5" t="s">
        <v>254</v>
      </c>
      <c r="G1013" s="5" t="s">
        <v>240</v>
      </c>
      <c r="H1013" s="6" t="s">
        <v>1035</v>
      </c>
      <c r="I1013" s="5" t="s">
        <v>295</v>
      </c>
      <c r="J1013" s="8">
        <f>7472</f>
        <v>7472</v>
      </c>
      <c r="K1013" s="5" t="s">
        <v>308</v>
      </c>
      <c r="L1013" s="7">
        <f>1</f>
        <v>1</v>
      </c>
      <c r="M1013" s="7">
        <f>1</f>
        <v>1</v>
      </c>
      <c r="N1013" s="5" t="s">
        <v>242</v>
      </c>
      <c r="O1013" s="5">
        <v>1</v>
      </c>
      <c r="P1013" s="5" t="s">
        <v>294</v>
      </c>
      <c r="Q1013" s="5" t="s">
        <v>266</v>
      </c>
      <c r="R1013" s="5" t="s">
        <v>240</v>
      </c>
      <c r="S1013" s="5" t="s">
        <v>240</v>
      </c>
      <c r="T1013" s="5" t="s">
        <v>296</v>
      </c>
      <c r="U1013" s="5" t="s">
        <v>244</v>
      </c>
      <c r="V1013" s="5" t="s">
        <v>240</v>
      </c>
      <c r="Y1013" s="5" t="s">
        <v>240</v>
      </c>
      <c r="Z1013" s="6" t="s">
        <v>298</v>
      </c>
      <c r="AB1013" s="6" t="s">
        <v>240</v>
      </c>
      <c r="AE1013" s="6" t="s">
        <v>299</v>
      </c>
      <c r="AF1013" s="5" t="s">
        <v>248</v>
      </c>
      <c r="AG1013" s="5" t="s">
        <v>249</v>
      </c>
      <c r="AW1013" s="5" t="s">
        <v>251</v>
      </c>
      <c r="AX1013" s="5" t="s">
        <v>240</v>
      </c>
      <c r="AY1013" s="5" t="s">
        <v>253</v>
      </c>
      <c r="AZ1013" s="5" t="s">
        <v>240</v>
      </c>
      <c r="BA1013" s="5" t="s">
        <v>255</v>
      </c>
      <c r="BB1013" s="5" t="s">
        <v>240</v>
      </c>
      <c r="BD1013" s="5" t="s">
        <v>240</v>
      </c>
      <c r="BF1013" s="5" t="s">
        <v>301</v>
      </c>
      <c r="BG1013" s="6" t="s">
        <v>299</v>
      </c>
      <c r="BH1013" s="5" t="s">
        <v>302</v>
      </c>
      <c r="BI1013" s="5" t="s">
        <v>303</v>
      </c>
      <c r="BJ1013" s="5" t="s">
        <v>240</v>
      </c>
      <c r="BK1013" s="8">
        <f>0</f>
        <v>0</v>
      </c>
      <c r="BL1013" s="7">
        <f>0</f>
        <v>0</v>
      </c>
      <c r="BM1013" s="5" t="s">
        <v>258</v>
      </c>
      <c r="BN1013" s="5" t="s">
        <v>259</v>
      </c>
      <c r="CB1013" s="5" t="s">
        <v>240</v>
      </c>
      <c r="CC1013" s="5" t="s">
        <v>240</v>
      </c>
      <c r="CG1013" s="5" t="s">
        <v>304</v>
      </c>
      <c r="CH1013" s="5" t="s">
        <v>305</v>
      </c>
      <c r="CI1013" s="5" t="s">
        <v>240</v>
      </c>
      <c r="CL1013" s="6" t="s">
        <v>261</v>
      </c>
      <c r="CM1013" s="5" t="s">
        <v>240</v>
      </c>
      <c r="CN1013" s="5" t="s">
        <v>263</v>
      </c>
      <c r="CO1013" s="5" t="s">
        <v>240</v>
      </c>
      <c r="CP1013" s="5" t="s">
        <v>240</v>
      </c>
      <c r="CQ1013" s="5">
        <v>0</v>
      </c>
      <c r="CR1013" s="5" t="s">
        <v>306</v>
      </c>
      <c r="CS1013" s="5" t="s">
        <v>307</v>
      </c>
      <c r="CT1013" s="5" t="s">
        <v>307</v>
      </c>
      <c r="CU1013" s="5" t="s">
        <v>260</v>
      </c>
      <c r="CX1013" s="7">
        <f>1</f>
        <v>1</v>
      </c>
      <c r="CY1013" s="7">
        <f>0</f>
        <v>0</v>
      </c>
      <c r="DA1013" s="7">
        <f>0</f>
        <v>0</v>
      </c>
      <c r="DC1013" s="5" t="s">
        <v>309</v>
      </c>
      <c r="DD1013" s="5" t="s">
        <v>240</v>
      </c>
      <c r="DF1013" s="5" t="s">
        <v>309</v>
      </c>
      <c r="DG1013" s="7">
        <f>3203</f>
        <v>3203</v>
      </c>
      <c r="DI1013" s="5" t="s">
        <v>240</v>
      </c>
      <c r="DJ1013" s="5" t="s">
        <v>240</v>
      </c>
      <c r="DK1013" s="5" t="s">
        <v>240</v>
      </c>
      <c r="DL1013" s="5" t="s">
        <v>240</v>
      </c>
      <c r="DP1013" s="5" t="s">
        <v>240</v>
      </c>
      <c r="DQ1013" s="5" t="s">
        <v>240</v>
      </c>
      <c r="DR1013" s="5" t="s">
        <v>240</v>
      </c>
      <c r="DS1013" s="5" t="s">
        <v>240</v>
      </c>
      <c r="DV1013" s="5" t="s">
        <v>310</v>
      </c>
      <c r="DW1013" s="5" t="s">
        <v>2085</v>
      </c>
      <c r="HO1013" s="5" t="s">
        <v>312</v>
      </c>
    </row>
    <row r="1014" spans="1:240" x14ac:dyDescent="0.4">
      <c r="A1014" s="5">
        <v>2689</v>
      </c>
      <c r="B1014" s="5">
        <v>1</v>
      </c>
      <c r="C1014" s="5">
        <v>1</v>
      </c>
      <c r="D1014" s="5" t="s">
        <v>297</v>
      </c>
      <c r="E1014" s="5" t="s">
        <v>245</v>
      </c>
      <c r="F1014" s="5" t="s">
        <v>254</v>
      </c>
      <c r="G1014" s="5" t="s">
        <v>240</v>
      </c>
      <c r="H1014" s="6" t="s">
        <v>1037</v>
      </c>
      <c r="I1014" s="5" t="s">
        <v>295</v>
      </c>
      <c r="J1014" s="8">
        <f>2079</f>
        <v>2079</v>
      </c>
      <c r="K1014" s="5" t="s">
        <v>308</v>
      </c>
      <c r="L1014" s="7">
        <f>1</f>
        <v>1</v>
      </c>
      <c r="M1014" s="7">
        <f>1</f>
        <v>1</v>
      </c>
      <c r="N1014" s="5" t="s">
        <v>242</v>
      </c>
      <c r="O1014" s="5">
        <v>1</v>
      </c>
      <c r="P1014" s="5" t="s">
        <v>294</v>
      </c>
      <c r="Q1014" s="5" t="s">
        <v>266</v>
      </c>
      <c r="R1014" s="5" t="s">
        <v>240</v>
      </c>
      <c r="S1014" s="5" t="s">
        <v>240</v>
      </c>
      <c r="T1014" s="5" t="s">
        <v>296</v>
      </c>
      <c r="U1014" s="5" t="s">
        <v>244</v>
      </c>
      <c r="V1014" s="5" t="s">
        <v>240</v>
      </c>
      <c r="Y1014" s="5" t="s">
        <v>240</v>
      </c>
      <c r="Z1014" s="6" t="s">
        <v>298</v>
      </c>
      <c r="AB1014" s="6" t="s">
        <v>240</v>
      </c>
      <c r="AE1014" s="6" t="s">
        <v>299</v>
      </c>
      <c r="AF1014" s="5" t="s">
        <v>248</v>
      </c>
      <c r="AG1014" s="5" t="s">
        <v>249</v>
      </c>
      <c r="AW1014" s="5" t="s">
        <v>251</v>
      </c>
      <c r="AX1014" s="5" t="s">
        <v>240</v>
      </c>
      <c r="AY1014" s="5" t="s">
        <v>253</v>
      </c>
      <c r="AZ1014" s="5" t="s">
        <v>240</v>
      </c>
      <c r="BA1014" s="5" t="s">
        <v>255</v>
      </c>
      <c r="BB1014" s="5" t="s">
        <v>240</v>
      </c>
      <c r="BD1014" s="5" t="s">
        <v>240</v>
      </c>
      <c r="BF1014" s="5" t="s">
        <v>301</v>
      </c>
      <c r="BG1014" s="6" t="s">
        <v>299</v>
      </c>
      <c r="BH1014" s="5" t="s">
        <v>302</v>
      </c>
      <c r="BI1014" s="5" t="s">
        <v>303</v>
      </c>
      <c r="BJ1014" s="5" t="s">
        <v>240</v>
      </c>
      <c r="BK1014" s="8">
        <f>0</f>
        <v>0</v>
      </c>
      <c r="BL1014" s="7">
        <f>0</f>
        <v>0</v>
      </c>
      <c r="BM1014" s="5" t="s">
        <v>258</v>
      </c>
      <c r="BN1014" s="5" t="s">
        <v>259</v>
      </c>
      <c r="CB1014" s="5" t="s">
        <v>240</v>
      </c>
      <c r="CC1014" s="5" t="s">
        <v>240</v>
      </c>
      <c r="CG1014" s="5" t="s">
        <v>304</v>
      </c>
      <c r="CH1014" s="5" t="s">
        <v>305</v>
      </c>
      <c r="CI1014" s="5" t="s">
        <v>240</v>
      </c>
      <c r="CL1014" s="6" t="s">
        <v>261</v>
      </c>
      <c r="CM1014" s="5" t="s">
        <v>240</v>
      </c>
      <c r="CN1014" s="5" t="s">
        <v>263</v>
      </c>
      <c r="CO1014" s="5" t="s">
        <v>240</v>
      </c>
      <c r="CP1014" s="5" t="s">
        <v>240</v>
      </c>
      <c r="CQ1014" s="5">
        <v>0</v>
      </c>
      <c r="CR1014" s="5" t="s">
        <v>306</v>
      </c>
      <c r="CS1014" s="5" t="s">
        <v>307</v>
      </c>
      <c r="CT1014" s="5" t="s">
        <v>307</v>
      </c>
      <c r="CU1014" s="5" t="s">
        <v>260</v>
      </c>
      <c r="CX1014" s="7">
        <f>1</f>
        <v>1</v>
      </c>
      <c r="CY1014" s="7">
        <f>0</f>
        <v>0</v>
      </c>
      <c r="DA1014" s="7">
        <f>0</f>
        <v>0</v>
      </c>
      <c r="DC1014" s="5" t="s">
        <v>812</v>
      </c>
      <c r="DD1014" s="5" t="s">
        <v>240</v>
      </c>
      <c r="DF1014" s="5" t="s">
        <v>812</v>
      </c>
      <c r="DG1014" s="7">
        <f>349</f>
        <v>349</v>
      </c>
      <c r="DI1014" s="5" t="s">
        <v>240</v>
      </c>
      <c r="DJ1014" s="5" t="s">
        <v>240</v>
      </c>
      <c r="DK1014" s="5" t="s">
        <v>240</v>
      </c>
      <c r="DL1014" s="5" t="s">
        <v>240</v>
      </c>
      <c r="DP1014" s="5" t="s">
        <v>240</v>
      </c>
      <c r="DQ1014" s="5" t="s">
        <v>240</v>
      </c>
      <c r="DR1014" s="5" t="s">
        <v>240</v>
      </c>
      <c r="DS1014" s="5" t="s">
        <v>240</v>
      </c>
      <c r="DV1014" s="5" t="s">
        <v>813</v>
      </c>
      <c r="DW1014" s="5" t="s">
        <v>2150</v>
      </c>
      <c r="HO1014" s="5" t="s">
        <v>312</v>
      </c>
    </row>
    <row r="1015" spans="1:240" x14ac:dyDescent="0.4">
      <c r="A1015" s="5">
        <v>2690</v>
      </c>
      <c r="B1015" s="5">
        <v>1</v>
      </c>
      <c r="C1015" s="5">
        <v>1</v>
      </c>
      <c r="D1015" s="5" t="s">
        <v>297</v>
      </c>
      <c r="E1015" s="5" t="s">
        <v>245</v>
      </c>
      <c r="F1015" s="5" t="s">
        <v>254</v>
      </c>
      <c r="G1015" s="5" t="s">
        <v>240</v>
      </c>
      <c r="H1015" s="6" t="s">
        <v>1039</v>
      </c>
      <c r="I1015" s="5" t="s">
        <v>295</v>
      </c>
      <c r="J1015" s="8">
        <f>671</f>
        <v>671</v>
      </c>
      <c r="K1015" s="5" t="s">
        <v>308</v>
      </c>
      <c r="L1015" s="7">
        <f>1</f>
        <v>1</v>
      </c>
      <c r="M1015" s="7">
        <f>1</f>
        <v>1</v>
      </c>
      <c r="N1015" s="5" t="s">
        <v>242</v>
      </c>
      <c r="O1015" s="5">
        <v>1</v>
      </c>
      <c r="P1015" s="5" t="s">
        <v>294</v>
      </c>
      <c r="Q1015" s="5" t="s">
        <v>266</v>
      </c>
      <c r="R1015" s="5" t="s">
        <v>240</v>
      </c>
      <c r="S1015" s="5" t="s">
        <v>240</v>
      </c>
      <c r="T1015" s="5" t="s">
        <v>296</v>
      </c>
      <c r="U1015" s="5" t="s">
        <v>244</v>
      </c>
      <c r="V1015" s="5" t="s">
        <v>240</v>
      </c>
      <c r="Y1015" s="5" t="s">
        <v>240</v>
      </c>
      <c r="Z1015" s="6" t="s">
        <v>298</v>
      </c>
      <c r="AB1015" s="6" t="s">
        <v>240</v>
      </c>
      <c r="AE1015" s="6" t="s">
        <v>299</v>
      </c>
      <c r="AF1015" s="5" t="s">
        <v>248</v>
      </c>
      <c r="AG1015" s="5" t="s">
        <v>249</v>
      </c>
      <c r="AW1015" s="5" t="s">
        <v>251</v>
      </c>
      <c r="AX1015" s="5" t="s">
        <v>240</v>
      </c>
      <c r="AY1015" s="5" t="s">
        <v>253</v>
      </c>
      <c r="AZ1015" s="5" t="s">
        <v>240</v>
      </c>
      <c r="BA1015" s="5" t="s">
        <v>255</v>
      </c>
      <c r="BB1015" s="5" t="s">
        <v>240</v>
      </c>
      <c r="BD1015" s="5" t="s">
        <v>240</v>
      </c>
      <c r="BF1015" s="5" t="s">
        <v>301</v>
      </c>
      <c r="BG1015" s="6" t="s">
        <v>299</v>
      </c>
      <c r="BH1015" s="5" t="s">
        <v>302</v>
      </c>
      <c r="BI1015" s="5" t="s">
        <v>303</v>
      </c>
      <c r="BJ1015" s="5" t="s">
        <v>240</v>
      </c>
      <c r="BK1015" s="8">
        <f>0</f>
        <v>0</v>
      </c>
      <c r="BL1015" s="7">
        <f>0</f>
        <v>0</v>
      </c>
      <c r="BM1015" s="5" t="s">
        <v>258</v>
      </c>
      <c r="BN1015" s="5" t="s">
        <v>259</v>
      </c>
      <c r="CB1015" s="5" t="s">
        <v>240</v>
      </c>
      <c r="CC1015" s="5" t="s">
        <v>240</v>
      </c>
      <c r="CG1015" s="5" t="s">
        <v>304</v>
      </c>
      <c r="CH1015" s="5" t="s">
        <v>305</v>
      </c>
      <c r="CI1015" s="5" t="s">
        <v>240</v>
      </c>
      <c r="CL1015" s="6" t="s">
        <v>261</v>
      </c>
      <c r="CM1015" s="5" t="s">
        <v>240</v>
      </c>
      <c r="CN1015" s="5" t="s">
        <v>263</v>
      </c>
      <c r="CO1015" s="5" t="s">
        <v>240</v>
      </c>
      <c r="CP1015" s="5" t="s">
        <v>240</v>
      </c>
      <c r="CQ1015" s="5">
        <v>0</v>
      </c>
      <c r="CR1015" s="5" t="s">
        <v>306</v>
      </c>
      <c r="CS1015" s="5" t="s">
        <v>307</v>
      </c>
      <c r="CT1015" s="5" t="s">
        <v>307</v>
      </c>
      <c r="CU1015" s="5" t="s">
        <v>260</v>
      </c>
      <c r="CX1015" s="7">
        <f>1</f>
        <v>1</v>
      </c>
      <c r="CY1015" s="7">
        <f>0</f>
        <v>0</v>
      </c>
      <c r="DA1015" s="7">
        <f>0</f>
        <v>0</v>
      </c>
      <c r="DC1015" s="5" t="s">
        <v>812</v>
      </c>
      <c r="DD1015" s="5" t="s">
        <v>240</v>
      </c>
      <c r="DF1015" s="5" t="s">
        <v>812</v>
      </c>
      <c r="DG1015" s="7">
        <f>767</f>
        <v>767</v>
      </c>
      <c r="DI1015" s="5" t="s">
        <v>240</v>
      </c>
      <c r="DJ1015" s="5" t="s">
        <v>240</v>
      </c>
      <c r="DK1015" s="5" t="s">
        <v>240</v>
      </c>
      <c r="DL1015" s="5" t="s">
        <v>240</v>
      </c>
      <c r="DP1015" s="5" t="s">
        <v>240</v>
      </c>
      <c r="DQ1015" s="5" t="s">
        <v>240</v>
      </c>
      <c r="DR1015" s="5" t="s">
        <v>240</v>
      </c>
      <c r="DS1015" s="5" t="s">
        <v>240</v>
      </c>
      <c r="DV1015" s="5" t="s">
        <v>813</v>
      </c>
      <c r="DW1015" s="5" t="s">
        <v>2152</v>
      </c>
      <c r="HO1015" s="5" t="s">
        <v>312</v>
      </c>
    </row>
    <row r="1016" spans="1:240" x14ac:dyDescent="0.4">
      <c r="A1016" s="5">
        <v>2691</v>
      </c>
      <c r="B1016" s="5">
        <v>1</v>
      </c>
      <c r="C1016" s="5">
        <v>1</v>
      </c>
      <c r="D1016" s="5" t="s">
        <v>297</v>
      </c>
      <c r="E1016" s="5" t="s">
        <v>245</v>
      </c>
      <c r="F1016" s="5" t="s">
        <v>254</v>
      </c>
      <c r="G1016" s="5" t="s">
        <v>240</v>
      </c>
      <c r="H1016" s="6" t="s">
        <v>1041</v>
      </c>
      <c r="I1016" s="5" t="s">
        <v>295</v>
      </c>
      <c r="J1016" s="8">
        <f>1796</f>
        <v>1796</v>
      </c>
      <c r="K1016" s="5" t="s">
        <v>308</v>
      </c>
      <c r="L1016" s="7">
        <f>1</f>
        <v>1</v>
      </c>
      <c r="M1016" s="7">
        <f>1</f>
        <v>1</v>
      </c>
      <c r="N1016" s="5" t="s">
        <v>242</v>
      </c>
      <c r="O1016" s="5">
        <v>1</v>
      </c>
      <c r="P1016" s="5" t="s">
        <v>294</v>
      </c>
      <c r="Q1016" s="5" t="s">
        <v>266</v>
      </c>
      <c r="R1016" s="5" t="s">
        <v>240</v>
      </c>
      <c r="S1016" s="5" t="s">
        <v>240</v>
      </c>
      <c r="T1016" s="5" t="s">
        <v>296</v>
      </c>
      <c r="U1016" s="5" t="s">
        <v>244</v>
      </c>
      <c r="V1016" s="5" t="s">
        <v>240</v>
      </c>
      <c r="Y1016" s="5" t="s">
        <v>240</v>
      </c>
      <c r="Z1016" s="6" t="s">
        <v>298</v>
      </c>
      <c r="AB1016" s="6" t="s">
        <v>240</v>
      </c>
      <c r="AE1016" s="6" t="s">
        <v>299</v>
      </c>
      <c r="AF1016" s="5" t="s">
        <v>248</v>
      </c>
      <c r="AG1016" s="5" t="s">
        <v>249</v>
      </c>
      <c r="AW1016" s="5" t="s">
        <v>251</v>
      </c>
      <c r="AX1016" s="5" t="s">
        <v>240</v>
      </c>
      <c r="AY1016" s="5" t="s">
        <v>253</v>
      </c>
      <c r="AZ1016" s="5" t="s">
        <v>240</v>
      </c>
      <c r="BA1016" s="5" t="s">
        <v>255</v>
      </c>
      <c r="BB1016" s="5" t="s">
        <v>240</v>
      </c>
      <c r="BD1016" s="5" t="s">
        <v>240</v>
      </c>
      <c r="BF1016" s="5" t="s">
        <v>301</v>
      </c>
      <c r="BG1016" s="6" t="s">
        <v>299</v>
      </c>
      <c r="BH1016" s="5" t="s">
        <v>302</v>
      </c>
      <c r="BI1016" s="5" t="s">
        <v>303</v>
      </c>
      <c r="BJ1016" s="5" t="s">
        <v>240</v>
      </c>
      <c r="BK1016" s="8">
        <f>0</f>
        <v>0</v>
      </c>
      <c r="BL1016" s="7">
        <f>0</f>
        <v>0</v>
      </c>
      <c r="BM1016" s="5" t="s">
        <v>258</v>
      </c>
      <c r="BN1016" s="5" t="s">
        <v>259</v>
      </c>
      <c r="CB1016" s="5" t="s">
        <v>240</v>
      </c>
      <c r="CC1016" s="5" t="s">
        <v>240</v>
      </c>
      <c r="CG1016" s="5" t="s">
        <v>304</v>
      </c>
      <c r="CH1016" s="5" t="s">
        <v>305</v>
      </c>
      <c r="CI1016" s="5" t="s">
        <v>240</v>
      </c>
      <c r="CL1016" s="6" t="s">
        <v>261</v>
      </c>
      <c r="CM1016" s="5" t="s">
        <v>240</v>
      </c>
      <c r="CN1016" s="5" t="s">
        <v>263</v>
      </c>
      <c r="CO1016" s="5" t="s">
        <v>240</v>
      </c>
      <c r="CP1016" s="5" t="s">
        <v>240</v>
      </c>
      <c r="CQ1016" s="5">
        <v>0</v>
      </c>
      <c r="CR1016" s="5" t="s">
        <v>306</v>
      </c>
      <c r="CS1016" s="5" t="s">
        <v>307</v>
      </c>
      <c r="CT1016" s="5" t="s">
        <v>307</v>
      </c>
      <c r="CU1016" s="5" t="s">
        <v>260</v>
      </c>
      <c r="CX1016" s="7">
        <f>1</f>
        <v>1</v>
      </c>
      <c r="CY1016" s="7">
        <f>0</f>
        <v>0</v>
      </c>
      <c r="DA1016" s="7">
        <f>0</f>
        <v>0</v>
      </c>
      <c r="DC1016" s="5" t="s">
        <v>309</v>
      </c>
      <c r="DD1016" s="5" t="s">
        <v>240</v>
      </c>
      <c r="DF1016" s="5" t="s">
        <v>309</v>
      </c>
      <c r="DG1016" s="7">
        <f>1208</f>
        <v>1208</v>
      </c>
      <c r="DI1016" s="5" t="s">
        <v>240</v>
      </c>
      <c r="DJ1016" s="5" t="s">
        <v>240</v>
      </c>
      <c r="DK1016" s="5" t="s">
        <v>240</v>
      </c>
      <c r="DL1016" s="5" t="s">
        <v>240</v>
      </c>
      <c r="DP1016" s="5" t="s">
        <v>240</v>
      </c>
      <c r="DQ1016" s="5" t="s">
        <v>240</v>
      </c>
      <c r="DR1016" s="5" t="s">
        <v>240</v>
      </c>
      <c r="DS1016" s="5" t="s">
        <v>240</v>
      </c>
      <c r="DV1016" s="5" t="s">
        <v>310</v>
      </c>
      <c r="DW1016" s="5" t="s">
        <v>2096</v>
      </c>
      <c r="HO1016" s="5" t="s">
        <v>312</v>
      </c>
    </row>
    <row r="1017" spans="1:240" x14ac:dyDescent="0.4">
      <c r="A1017" s="5">
        <v>2692</v>
      </c>
      <c r="B1017" s="5">
        <v>1</v>
      </c>
      <c r="C1017" s="5">
        <v>1</v>
      </c>
      <c r="D1017" s="5" t="s">
        <v>297</v>
      </c>
      <c r="E1017" s="5" t="s">
        <v>245</v>
      </c>
      <c r="F1017" s="5" t="s">
        <v>254</v>
      </c>
      <c r="G1017" s="5" t="s">
        <v>240</v>
      </c>
      <c r="H1017" s="6" t="s">
        <v>1043</v>
      </c>
      <c r="I1017" s="5" t="s">
        <v>295</v>
      </c>
      <c r="J1017" s="8">
        <f>1808</f>
        <v>1808</v>
      </c>
      <c r="K1017" s="5" t="s">
        <v>308</v>
      </c>
      <c r="L1017" s="7">
        <f>1</f>
        <v>1</v>
      </c>
      <c r="M1017" s="7">
        <f>1</f>
        <v>1</v>
      </c>
      <c r="N1017" s="5" t="s">
        <v>242</v>
      </c>
      <c r="O1017" s="5">
        <v>1</v>
      </c>
      <c r="P1017" s="5" t="s">
        <v>294</v>
      </c>
      <c r="Q1017" s="5" t="s">
        <v>266</v>
      </c>
      <c r="R1017" s="5" t="s">
        <v>240</v>
      </c>
      <c r="S1017" s="5" t="s">
        <v>240</v>
      </c>
      <c r="T1017" s="5" t="s">
        <v>296</v>
      </c>
      <c r="U1017" s="5" t="s">
        <v>244</v>
      </c>
      <c r="V1017" s="5" t="s">
        <v>240</v>
      </c>
      <c r="Y1017" s="5" t="s">
        <v>240</v>
      </c>
      <c r="Z1017" s="6" t="s">
        <v>298</v>
      </c>
      <c r="AB1017" s="6" t="s">
        <v>240</v>
      </c>
      <c r="AE1017" s="6" t="s">
        <v>299</v>
      </c>
      <c r="AF1017" s="5" t="s">
        <v>248</v>
      </c>
      <c r="AG1017" s="5" t="s">
        <v>249</v>
      </c>
      <c r="AW1017" s="5" t="s">
        <v>251</v>
      </c>
      <c r="AX1017" s="5" t="s">
        <v>240</v>
      </c>
      <c r="AY1017" s="5" t="s">
        <v>253</v>
      </c>
      <c r="AZ1017" s="5" t="s">
        <v>240</v>
      </c>
      <c r="BA1017" s="5" t="s">
        <v>255</v>
      </c>
      <c r="BB1017" s="5" t="s">
        <v>240</v>
      </c>
      <c r="BD1017" s="5" t="s">
        <v>240</v>
      </c>
      <c r="BF1017" s="5" t="s">
        <v>301</v>
      </c>
      <c r="BG1017" s="6" t="s">
        <v>299</v>
      </c>
      <c r="BH1017" s="5" t="s">
        <v>302</v>
      </c>
      <c r="BI1017" s="5" t="s">
        <v>303</v>
      </c>
      <c r="BJ1017" s="5" t="s">
        <v>240</v>
      </c>
      <c r="BK1017" s="8">
        <f>0</f>
        <v>0</v>
      </c>
      <c r="BL1017" s="7">
        <f>0</f>
        <v>0</v>
      </c>
      <c r="BM1017" s="5" t="s">
        <v>258</v>
      </c>
      <c r="BN1017" s="5" t="s">
        <v>259</v>
      </c>
      <c r="CB1017" s="5" t="s">
        <v>240</v>
      </c>
      <c r="CC1017" s="5" t="s">
        <v>240</v>
      </c>
      <c r="CG1017" s="5" t="s">
        <v>304</v>
      </c>
      <c r="CH1017" s="5" t="s">
        <v>305</v>
      </c>
      <c r="CI1017" s="5" t="s">
        <v>240</v>
      </c>
      <c r="CL1017" s="6" t="s">
        <v>261</v>
      </c>
      <c r="CM1017" s="5" t="s">
        <v>240</v>
      </c>
      <c r="CN1017" s="5" t="s">
        <v>263</v>
      </c>
      <c r="CO1017" s="5" t="s">
        <v>240</v>
      </c>
      <c r="CP1017" s="5" t="s">
        <v>240</v>
      </c>
      <c r="CQ1017" s="5">
        <v>0</v>
      </c>
      <c r="CR1017" s="5" t="s">
        <v>306</v>
      </c>
      <c r="CS1017" s="5" t="s">
        <v>307</v>
      </c>
      <c r="CT1017" s="5" t="s">
        <v>307</v>
      </c>
      <c r="CU1017" s="5" t="s">
        <v>260</v>
      </c>
      <c r="CX1017" s="7">
        <f>1</f>
        <v>1</v>
      </c>
      <c r="CY1017" s="7">
        <f>0</f>
        <v>0</v>
      </c>
      <c r="DA1017" s="7">
        <f>0</f>
        <v>0</v>
      </c>
      <c r="DC1017" s="5" t="s">
        <v>812</v>
      </c>
      <c r="DD1017" s="5" t="s">
        <v>240</v>
      </c>
      <c r="DF1017" s="5" t="s">
        <v>812</v>
      </c>
      <c r="DG1017" s="7">
        <f>2143</f>
        <v>2143</v>
      </c>
      <c r="DI1017" s="5" t="s">
        <v>240</v>
      </c>
      <c r="DJ1017" s="5" t="s">
        <v>240</v>
      </c>
      <c r="DK1017" s="5" t="s">
        <v>240</v>
      </c>
      <c r="DL1017" s="5" t="s">
        <v>240</v>
      </c>
      <c r="DP1017" s="5" t="s">
        <v>240</v>
      </c>
      <c r="DQ1017" s="5" t="s">
        <v>240</v>
      </c>
      <c r="DR1017" s="5" t="s">
        <v>240</v>
      </c>
      <c r="DS1017" s="5" t="s">
        <v>240</v>
      </c>
      <c r="DV1017" s="5" t="s">
        <v>813</v>
      </c>
      <c r="DW1017" s="5" t="s">
        <v>2155</v>
      </c>
      <c r="HO1017" s="5" t="s">
        <v>312</v>
      </c>
    </row>
    <row r="1018" spans="1:240" x14ac:dyDescent="0.4">
      <c r="A1018" s="5">
        <v>2693</v>
      </c>
      <c r="B1018" s="5">
        <v>1</v>
      </c>
      <c r="C1018" s="5">
        <v>1</v>
      </c>
      <c r="D1018" s="5" t="s">
        <v>297</v>
      </c>
      <c r="E1018" s="5" t="s">
        <v>245</v>
      </c>
      <c r="F1018" s="5" t="s">
        <v>254</v>
      </c>
      <c r="G1018" s="5" t="s">
        <v>240</v>
      </c>
      <c r="H1018" s="6" t="s">
        <v>1045</v>
      </c>
      <c r="I1018" s="5" t="s">
        <v>295</v>
      </c>
      <c r="J1018" s="8">
        <f>2433</f>
        <v>2433</v>
      </c>
      <c r="K1018" s="5" t="s">
        <v>308</v>
      </c>
      <c r="L1018" s="7">
        <f>1</f>
        <v>1</v>
      </c>
      <c r="M1018" s="7">
        <f>1</f>
        <v>1</v>
      </c>
      <c r="N1018" s="5" t="s">
        <v>242</v>
      </c>
      <c r="O1018" s="5">
        <v>1</v>
      </c>
      <c r="P1018" s="5" t="s">
        <v>294</v>
      </c>
      <c r="Q1018" s="5" t="s">
        <v>266</v>
      </c>
      <c r="R1018" s="5" t="s">
        <v>240</v>
      </c>
      <c r="S1018" s="5" t="s">
        <v>240</v>
      </c>
      <c r="T1018" s="5" t="s">
        <v>296</v>
      </c>
      <c r="U1018" s="5" t="s">
        <v>244</v>
      </c>
      <c r="V1018" s="5" t="s">
        <v>240</v>
      </c>
      <c r="Y1018" s="5" t="s">
        <v>240</v>
      </c>
      <c r="Z1018" s="6" t="s">
        <v>298</v>
      </c>
      <c r="AB1018" s="6" t="s">
        <v>240</v>
      </c>
      <c r="AE1018" s="6" t="s">
        <v>299</v>
      </c>
      <c r="AF1018" s="5" t="s">
        <v>248</v>
      </c>
      <c r="AG1018" s="5" t="s">
        <v>249</v>
      </c>
      <c r="AW1018" s="5" t="s">
        <v>251</v>
      </c>
      <c r="AX1018" s="5" t="s">
        <v>240</v>
      </c>
      <c r="AY1018" s="5" t="s">
        <v>253</v>
      </c>
      <c r="AZ1018" s="5" t="s">
        <v>240</v>
      </c>
      <c r="BA1018" s="5" t="s">
        <v>255</v>
      </c>
      <c r="BB1018" s="5" t="s">
        <v>240</v>
      </c>
      <c r="BD1018" s="5" t="s">
        <v>240</v>
      </c>
      <c r="BF1018" s="5" t="s">
        <v>301</v>
      </c>
      <c r="BG1018" s="6" t="s">
        <v>299</v>
      </c>
      <c r="BH1018" s="5" t="s">
        <v>302</v>
      </c>
      <c r="BI1018" s="5" t="s">
        <v>303</v>
      </c>
      <c r="BJ1018" s="5" t="s">
        <v>240</v>
      </c>
      <c r="BK1018" s="8">
        <f>0</f>
        <v>0</v>
      </c>
      <c r="BL1018" s="7">
        <f>0</f>
        <v>0</v>
      </c>
      <c r="BM1018" s="5" t="s">
        <v>258</v>
      </c>
      <c r="BN1018" s="5" t="s">
        <v>259</v>
      </c>
      <c r="CB1018" s="5" t="s">
        <v>240</v>
      </c>
      <c r="CC1018" s="5" t="s">
        <v>240</v>
      </c>
      <c r="CG1018" s="5" t="s">
        <v>304</v>
      </c>
      <c r="CH1018" s="5" t="s">
        <v>305</v>
      </c>
      <c r="CI1018" s="5" t="s">
        <v>240</v>
      </c>
      <c r="CL1018" s="6" t="s">
        <v>261</v>
      </c>
      <c r="CM1018" s="5" t="s">
        <v>240</v>
      </c>
      <c r="CN1018" s="5" t="s">
        <v>263</v>
      </c>
      <c r="CO1018" s="5" t="s">
        <v>240</v>
      </c>
      <c r="CP1018" s="5" t="s">
        <v>240</v>
      </c>
      <c r="CQ1018" s="5">
        <v>0</v>
      </c>
      <c r="CR1018" s="5" t="s">
        <v>306</v>
      </c>
      <c r="CS1018" s="5" t="s">
        <v>307</v>
      </c>
      <c r="CT1018" s="5" t="s">
        <v>307</v>
      </c>
      <c r="CU1018" s="5" t="s">
        <v>260</v>
      </c>
      <c r="CX1018" s="7">
        <f>1</f>
        <v>1</v>
      </c>
      <c r="CY1018" s="7">
        <f>0</f>
        <v>0</v>
      </c>
      <c r="DA1018" s="7">
        <f>0</f>
        <v>0</v>
      </c>
      <c r="DC1018" s="5" t="s">
        <v>812</v>
      </c>
      <c r="DD1018" s="5" t="s">
        <v>240</v>
      </c>
      <c r="DF1018" s="5" t="s">
        <v>812</v>
      </c>
      <c r="DG1018" s="7">
        <f>76</f>
        <v>76</v>
      </c>
      <c r="DH1018" s="6" t="s">
        <v>2157</v>
      </c>
      <c r="DI1018" s="5" t="s">
        <v>240</v>
      </c>
      <c r="DJ1018" s="5" t="s">
        <v>240</v>
      </c>
      <c r="DK1018" s="5" t="s">
        <v>240</v>
      </c>
      <c r="DL1018" s="5" t="s">
        <v>240</v>
      </c>
      <c r="DP1018" s="5" t="s">
        <v>240</v>
      </c>
      <c r="DQ1018" s="5" t="s">
        <v>240</v>
      </c>
      <c r="DR1018" s="5" t="s">
        <v>240</v>
      </c>
      <c r="DS1018" s="5" t="s">
        <v>240</v>
      </c>
      <c r="DV1018" s="5" t="s">
        <v>813</v>
      </c>
      <c r="DW1018" s="5" t="s">
        <v>2158</v>
      </c>
      <c r="HO1018" s="5" t="s">
        <v>312</v>
      </c>
    </row>
    <row r="1019" spans="1:240" x14ac:dyDescent="0.4">
      <c r="A1019" s="5">
        <v>2694</v>
      </c>
      <c r="B1019" s="5">
        <v>1</v>
      </c>
      <c r="C1019" s="5">
        <v>1</v>
      </c>
      <c r="D1019" s="5" t="s">
        <v>297</v>
      </c>
      <c r="E1019" s="5" t="s">
        <v>245</v>
      </c>
      <c r="F1019" s="5" t="s">
        <v>254</v>
      </c>
      <c r="G1019" s="5" t="s">
        <v>240</v>
      </c>
      <c r="H1019" s="6" t="s">
        <v>1047</v>
      </c>
      <c r="I1019" s="5" t="s">
        <v>295</v>
      </c>
      <c r="J1019" s="8">
        <f>1451</f>
        <v>1451</v>
      </c>
      <c r="K1019" s="5" t="s">
        <v>308</v>
      </c>
      <c r="L1019" s="7">
        <f>1</f>
        <v>1</v>
      </c>
      <c r="M1019" s="7">
        <f>1</f>
        <v>1</v>
      </c>
      <c r="N1019" s="5" t="s">
        <v>242</v>
      </c>
      <c r="O1019" s="5">
        <v>1</v>
      </c>
      <c r="P1019" s="5" t="s">
        <v>294</v>
      </c>
      <c r="Q1019" s="5" t="s">
        <v>266</v>
      </c>
      <c r="R1019" s="5" t="s">
        <v>240</v>
      </c>
      <c r="S1019" s="5" t="s">
        <v>240</v>
      </c>
      <c r="T1019" s="5" t="s">
        <v>296</v>
      </c>
      <c r="U1019" s="5" t="s">
        <v>244</v>
      </c>
      <c r="V1019" s="5" t="s">
        <v>240</v>
      </c>
      <c r="Y1019" s="5" t="s">
        <v>240</v>
      </c>
      <c r="Z1019" s="6" t="s">
        <v>298</v>
      </c>
      <c r="AB1019" s="6" t="s">
        <v>240</v>
      </c>
      <c r="AE1019" s="6" t="s">
        <v>299</v>
      </c>
      <c r="AF1019" s="5" t="s">
        <v>248</v>
      </c>
      <c r="AG1019" s="5" t="s">
        <v>249</v>
      </c>
      <c r="AW1019" s="5" t="s">
        <v>251</v>
      </c>
      <c r="AX1019" s="5" t="s">
        <v>240</v>
      </c>
      <c r="AY1019" s="5" t="s">
        <v>253</v>
      </c>
      <c r="AZ1019" s="5" t="s">
        <v>240</v>
      </c>
      <c r="BA1019" s="5" t="s">
        <v>255</v>
      </c>
      <c r="BB1019" s="5" t="s">
        <v>240</v>
      </c>
      <c r="BD1019" s="5" t="s">
        <v>240</v>
      </c>
      <c r="BF1019" s="5" t="s">
        <v>301</v>
      </c>
      <c r="BG1019" s="6" t="s">
        <v>299</v>
      </c>
      <c r="BH1019" s="5" t="s">
        <v>302</v>
      </c>
      <c r="BI1019" s="5" t="s">
        <v>303</v>
      </c>
      <c r="BJ1019" s="5" t="s">
        <v>240</v>
      </c>
      <c r="BK1019" s="8">
        <f>0</f>
        <v>0</v>
      </c>
      <c r="BL1019" s="7">
        <f>0</f>
        <v>0</v>
      </c>
      <c r="BM1019" s="5" t="s">
        <v>258</v>
      </c>
      <c r="BN1019" s="5" t="s">
        <v>259</v>
      </c>
      <c r="CB1019" s="5" t="s">
        <v>240</v>
      </c>
      <c r="CC1019" s="5" t="s">
        <v>240</v>
      </c>
      <c r="CG1019" s="5" t="s">
        <v>304</v>
      </c>
      <c r="CH1019" s="5" t="s">
        <v>305</v>
      </c>
      <c r="CI1019" s="5" t="s">
        <v>240</v>
      </c>
      <c r="CL1019" s="6" t="s">
        <v>261</v>
      </c>
      <c r="CM1019" s="5" t="s">
        <v>240</v>
      </c>
      <c r="CN1019" s="5" t="s">
        <v>263</v>
      </c>
      <c r="CO1019" s="5" t="s">
        <v>240</v>
      </c>
      <c r="CP1019" s="5" t="s">
        <v>240</v>
      </c>
      <c r="CQ1019" s="5">
        <v>0</v>
      </c>
      <c r="CR1019" s="5" t="s">
        <v>306</v>
      </c>
      <c r="CS1019" s="5" t="s">
        <v>307</v>
      </c>
      <c r="CT1019" s="5" t="s">
        <v>307</v>
      </c>
      <c r="CU1019" s="5" t="s">
        <v>260</v>
      </c>
      <c r="CX1019" s="7">
        <f>1</f>
        <v>1</v>
      </c>
      <c r="CY1019" s="7">
        <f>0</f>
        <v>0</v>
      </c>
      <c r="DA1019" s="7">
        <f>0</f>
        <v>0</v>
      </c>
      <c r="DC1019" s="5" t="s">
        <v>812</v>
      </c>
      <c r="DD1019" s="5" t="s">
        <v>240</v>
      </c>
      <c r="DF1019" s="5" t="s">
        <v>812</v>
      </c>
      <c r="DG1019" s="7">
        <f>361</f>
        <v>361</v>
      </c>
      <c r="DH1019" s="6" t="s">
        <v>2160</v>
      </c>
      <c r="DI1019" s="5" t="s">
        <v>240</v>
      </c>
      <c r="DJ1019" s="5" t="s">
        <v>240</v>
      </c>
      <c r="DK1019" s="5" t="s">
        <v>240</v>
      </c>
      <c r="DL1019" s="5" t="s">
        <v>240</v>
      </c>
      <c r="DP1019" s="5" t="s">
        <v>240</v>
      </c>
      <c r="DQ1019" s="5" t="s">
        <v>240</v>
      </c>
      <c r="DR1019" s="5" t="s">
        <v>240</v>
      </c>
      <c r="DS1019" s="5" t="s">
        <v>240</v>
      </c>
      <c r="DV1019" s="5" t="s">
        <v>813</v>
      </c>
      <c r="DW1019" s="5" t="s">
        <v>2161</v>
      </c>
      <c r="HO1019" s="5" t="s">
        <v>312</v>
      </c>
    </row>
    <row r="1020" spans="1:240" x14ac:dyDescent="0.4">
      <c r="A1020" s="5">
        <v>2695</v>
      </c>
      <c r="B1020" s="5">
        <v>1</v>
      </c>
      <c r="C1020" s="5">
        <v>1</v>
      </c>
      <c r="D1020" s="5" t="s">
        <v>297</v>
      </c>
      <c r="E1020" s="5" t="s">
        <v>245</v>
      </c>
      <c r="F1020" s="5" t="s">
        <v>254</v>
      </c>
      <c r="G1020" s="5" t="s">
        <v>240</v>
      </c>
      <c r="H1020" s="6" t="s">
        <v>1049</v>
      </c>
      <c r="I1020" s="5" t="s">
        <v>295</v>
      </c>
      <c r="J1020" s="8">
        <f>198</f>
        <v>198</v>
      </c>
      <c r="K1020" s="5" t="s">
        <v>308</v>
      </c>
      <c r="L1020" s="7">
        <f>1</f>
        <v>1</v>
      </c>
      <c r="M1020" s="7">
        <f>1</f>
        <v>1</v>
      </c>
      <c r="N1020" s="5" t="s">
        <v>242</v>
      </c>
      <c r="O1020" s="5">
        <v>1</v>
      </c>
      <c r="P1020" s="5" t="s">
        <v>294</v>
      </c>
      <c r="Q1020" s="5" t="s">
        <v>266</v>
      </c>
      <c r="R1020" s="5" t="s">
        <v>240</v>
      </c>
      <c r="S1020" s="5" t="s">
        <v>240</v>
      </c>
      <c r="T1020" s="5" t="s">
        <v>296</v>
      </c>
      <c r="U1020" s="5" t="s">
        <v>244</v>
      </c>
      <c r="V1020" s="5" t="s">
        <v>240</v>
      </c>
      <c r="Y1020" s="5" t="s">
        <v>240</v>
      </c>
      <c r="Z1020" s="6" t="s">
        <v>298</v>
      </c>
      <c r="AB1020" s="6" t="s">
        <v>240</v>
      </c>
      <c r="AE1020" s="6" t="s">
        <v>299</v>
      </c>
      <c r="AF1020" s="5" t="s">
        <v>248</v>
      </c>
      <c r="AG1020" s="5" t="s">
        <v>249</v>
      </c>
      <c r="AW1020" s="5" t="s">
        <v>251</v>
      </c>
      <c r="AX1020" s="5" t="s">
        <v>240</v>
      </c>
      <c r="AY1020" s="5" t="s">
        <v>253</v>
      </c>
      <c r="AZ1020" s="5" t="s">
        <v>240</v>
      </c>
      <c r="BA1020" s="5" t="s">
        <v>255</v>
      </c>
      <c r="BB1020" s="5" t="s">
        <v>240</v>
      </c>
      <c r="BD1020" s="5" t="s">
        <v>240</v>
      </c>
      <c r="BF1020" s="5" t="s">
        <v>301</v>
      </c>
      <c r="BG1020" s="6" t="s">
        <v>299</v>
      </c>
      <c r="BH1020" s="5" t="s">
        <v>302</v>
      </c>
      <c r="BI1020" s="5" t="s">
        <v>303</v>
      </c>
      <c r="BJ1020" s="5" t="s">
        <v>240</v>
      </c>
      <c r="BK1020" s="8">
        <f>0</f>
        <v>0</v>
      </c>
      <c r="BL1020" s="7">
        <f>0</f>
        <v>0</v>
      </c>
      <c r="BM1020" s="5" t="s">
        <v>258</v>
      </c>
      <c r="BN1020" s="5" t="s">
        <v>259</v>
      </c>
      <c r="CB1020" s="5" t="s">
        <v>240</v>
      </c>
      <c r="CC1020" s="5" t="s">
        <v>240</v>
      </c>
      <c r="CG1020" s="5" t="s">
        <v>304</v>
      </c>
      <c r="CH1020" s="5" t="s">
        <v>305</v>
      </c>
      <c r="CI1020" s="5" t="s">
        <v>240</v>
      </c>
      <c r="CL1020" s="6" t="s">
        <v>261</v>
      </c>
      <c r="CM1020" s="5" t="s">
        <v>240</v>
      </c>
      <c r="CN1020" s="5" t="s">
        <v>263</v>
      </c>
      <c r="CO1020" s="5" t="s">
        <v>240</v>
      </c>
      <c r="CP1020" s="5" t="s">
        <v>240</v>
      </c>
      <c r="CQ1020" s="5">
        <v>0</v>
      </c>
      <c r="CR1020" s="5" t="s">
        <v>306</v>
      </c>
      <c r="CS1020" s="5" t="s">
        <v>307</v>
      </c>
      <c r="CT1020" s="5" t="s">
        <v>307</v>
      </c>
      <c r="CU1020" s="5" t="s">
        <v>260</v>
      </c>
      <c r="CX1020" s="7">
        <f>1</f>
        <v>1</v>
      </c>
      <c r="CY1020" s="7">
        <f>0</f>
        <v>0</v>
      </c>
      <c r="DA1020" s="7">
        <f>0</f>
        <v>0</v>
      </c>
      <c r="DC1020" s="5" t="s">
        <v>812</v>
      </c>
      <c r="DD1020" s="5" t="s">
        <v>240</v>
      </c>
      <c r="DF1020" s="5" t="s">
        <v>812</v>
      </c>
      <c r="DG1020" s="7">
        <f>10373</f>
        <v>10373</v>
      </c>
      <c r="DH1020" s="6" t="s">
        <v>2163</v>
      </c>
      <c r="DI1020" s="5" t="s">
        <v>240</v>
      </c>
      <c r="DJ1020" s="5" t="s">
        <v>240</v>
      </c>
      <c r="DK1020" s="5" t="s">
        <v>240</v>
      </c>
      <c r="DL1020" s="5" t="s">
        <v>240</v>
      </c>
      <c r="DP1020" s="5" t="s">
        <v>240</v>
      </c>
      <c r="DQ1020" s="5" t="s">
        <v>240</v>
      </c>
      <c r="DR1020" s="5" t="s">
        <v>240</v>
      </c>
      <c r="DS1020" s="5" t="s">
        <v>240</v>
      </c>
      <c r="DV1020" s="5" t="s">
        <v>813</v>
      </c>
      <c r="DW1020" s="5" t="s">
        <v>2164</v>
      </c>
      <c r="HO1020" s="5" t="s">
        <v>312</v>
      </c>
    </row>
    <row r="1021" spans="1:240" x14ac:dyDescent="0.4">
      <c r="A1021" s="5">
        <v>2696</v>
      </c>
      <c r="B1021" s="5">
        <v>1</v>
      </c>
      <c r="C1021" s="5">
        <v>1</v>
      </c>
      <c r="D1021" s="5" t="s">
        <v>297</v>
      </c>
      <c r="E1021" s="5" t="s">
        <v>245</v>
      </c>
      <c r="F1021" s="5" t="s">
        <v>254</v>
      </c>
      <c r="G1021" s="5" t="s">
        <v>240</v>
      </c>
      <c r="H1021" s="6" t="s">
        <v>1051</v>
      </c>
      <c r="I1021" s="5" t="s">
        <v>295</v>
      </c>
      <c r="J1021" s="8">
        <f>5.63</f>
        <v>5.63</v>
      </c>
      <c r="K1021" s="5" t="s">
        <v>308</v>
      </c>
      <c r="L1021" s="7">
        <f>1</f>
        <v>1</v>
      </c>
      <c r="M1021" s="7">
        <f>1</f>
        <v>1</v>
      </c>
      <c r="N1021" s="5" t="s">
        <v>242</v>
      </c>
      <c r="O1021" s="5">
        <v>1</v>
      </c>
      <c r="P1021" s="5" t="s">
        <v>294</v>
      </c>
      <c r="Q1021" s="5" t="s">
        <v>266</v>
      </c>
      <c r="R1021" s="5" t="s">
        <v>240</v>
      </c>
      <c r="S1021" s="5" t="s">
        <v>240</v>
      </c>
      <c r="T1021" s="5" t="s">
        <v>296</v>
      </c>
      <c r="U1021" s="5" t="s">
        <v>244</v>
      </c>
      <c r="V1021" s="5" t="s">
        <v>240</v>
      </c>
      <c r="Y1021" s="5" t="s">
        <v>240</v>
      </c>
      <c r="Z1021" s="6" t="s">
        <v>298</v>
      </c>
      <c r="AB1021" s="6" t="s">
        <v>240</v>
      </c>
      <c r="AE1021" s="6" t="s">
        <v>299</v>
      </c>
      <c r="AF1021" s="5" t="s">
        <v>248</v>
      </c>
      <c r="AG1021" s="5" t="s">
        <v>249</v>
      </c>
      <c r="AW1021" s="5" t="s">
        <v>251</v>
      </c>
      <c r="AX1021" s="5" t="s">
        <v>240</v>
      </c>
      <c r="AY1021" s="5" t="s">
        <v>253</v>
      </c>
      <c r="AZ1021" s="5" t="s">
        <v>240</v>
      </c>
      <c r="BA1021" s="5" t="s">
        <v>255</v>
      </c>
      <c r="BB1021" s="5" t="s">
        <v>240</v>
      </c>
      <c r="BD1021" s="5" t="s">
        <v>240</v>
      </c>
      <c r="BF1021" s="5" t="s">
        <v>301</v>
      </c>
      <c r="BG1021" s="6" t="s">
        <v>299</v>
      </c>
      <c r="BH1021" s="5" t="s">
        <v>302</v>
      </c>
      <c r="BI1021" s="5" t="s">
        <v>303</v>
      </c>
      <c r="BJ1021" s="5" t="s">
        <v>240</v>
      </c>
      <c r="BK1021" s="8">
        <f>0</f>
        <v>0</v>
      </c>
      <c r="BL1021" s="7">
        <f>0</f>
        <v>0</v>
      </c>
      <c r="BM1021" s="5" t="s">
        <v>258</v>
      </c>
      <c r="BN1021" s="5" t="s">
        <v>259</v>
      </c>
      <c r="CB1021" s="5" t="s">
        <v>240</v>
      </c>
      <c r="CC1021" s="5" t="s">
        <v>240</v>
      </c>
      <c r="CG1021" s="5" t="s">
        <v>304</v>
      </c>
      <c r="CH1021" s="5" t="s">
        <v>305</v>
      </c>
      <c r="CI1021" s="5" t="s">
        <v>240</v>
      </c>
      <c r="CL1021" s="6" t="s">
        <v>261</v>
      </c>
      <c r="CM1021" s="5" t="s">
        <v>240</v>
      </c>
      <c r="CN1021" s="5" t="s">
        <v>263</v>
      </c>
      <c r="CO1021" s="5" t="s">
        <v>240</v>
      </c>
      <c r="CP1021" s="5" t="s">
        <v>240</v>
      </c>
      <c r="CQ1021" s="5">
        <v>0</v>
      </c>
      <c r="CR1021" s="5" t="s">
        <v>306</v>
      </c>
      <c r="CS1021" s="5" t="s">
        <v>307</v>
      </c>
      <c r="CT1021" s="5" t="s">
        <v>307</v>
      </c>
      <c r="CU1021" s="5" t="s">
        <v>260</v>
      </c>
      <c r="CX1021" s="7">
        <f>1</f>
        <v>1</v>
      </c>
      <c r="CY1021" s="7">
        <f>0</f>
        <v>0</v>
      </c>
      <c r="DA1021" s="7">
        <f>0</f>
        <v>0</v>
      </c>
      <c r="DC1021" s="5" t="s">
        <v>812</v>
      </c>
      <c r="DD1021" s="5" t="s">
        <v>240</v>
      </c>
      <c r="DF1021" s="5" t="s">
        <v>812</v>
      </c>
      <c r="DG1021" s="7">
        <f>318</f>
        <v>318</v>
      </c>
      <c r="DH1021" s="6" t="s">
        <v>2166</v>
      </c>
      <c r="DI1021" s="5" t="s">
        <v>240</v>
      </c>
      <c r="DJ1021" s="5" t="s">
        <v>240</v>
      </c>
      <c r="DK1021" s="5" t="s">
        <v>240</v>
      </c>
      <c r="DL1021" s="5" t="s">
        <v>240</v>
      </c>
      <c r="DP1021" s="5" t="s">
        <v>240</v>
      </c>
      <c r="DQ1021" s="5" t="s">
        <v>240</v>
      </c>
      <c r="DR1021" s="5" t="s">
        <v>240</v>
      </c>
      <c r="DS1021" s="5" t="s">
        <v>240</v>
      </c>
      <c r="DV1021" s="5" t="s">
        <v>813</v>
      </c>
      <c r="DW1021" s="5" t="s">
        <v>2167</v>
      </c>
      <c r="HO1021" s="5" t="s">
        <v>312</v>
      </c>
    </row>
    <row r="1022" spans="1:240" x14ac:dyDescent="0.4">
      <c r="A1022" s="5">
        <v>2697</v>
      </c>
      <c r="B1022" s="5">
        <v>1</v>
      </c>
      <c r="C1022" s="5">
        <v>1</v>
      </c>
      <c r="D1022" s="5" t="s">
        <v>297</v>
      </c>
      <c r="E1022" s="5" t="s">
        <v>245</v>
      </c>
      <c r="F1022" s="5" t="s">
        <v>254</v>
      </c>
      <c r="G1022" s="5" t="s">
        <v>240</v>
      </c>
      <c r="H1022" s="6" t="s">
        <v>1053</v>
      </c>
      <c r="I1022" s="5" t="s">
        <v>295</v>
      </c>
      <c r="J1022" s="8">
        <f>7.12</f>
        <v>7.12</v>
      </c>
      <c r="K1022" s="5" t="s">
        <v>308</v>
      </c>
      <c r="L1022" s="7">
        <f>1</f>
        <v>1</v>
      </c>
      <c r="M1022" s="7">
        <f>1</f>
        <v>1</v>
      </c>
      <c r="N1022" s="5" t="s">
        <v>242</v>
      </c>
      <c r="O1022" s="5">
        <v>1</v>
      </c>
      <c r="P1022" s="5" t="s">
        <v>294</v>
      </c>
      <c r="Q1022" s="5" t="s">
        <v>266</v>
      </c>
      <c r="R1022" s="5" t="s">
        <v>240</v>
      </c>
      <c r="S1022" s="5" t="s">
        <v>240</v>
      </c>
      <c r="T1022" s="5" t="s">
        <v>296</v>
      </c>
      <c r="U1022" s="5" t="s">
        <v>244</v>
      </c>
      <c r="V1022" s="5" t="s">
        <v>240</v>
      </c>
      <c r="Y1022" s="5" t="s">
        <v>240</v>
      </c>
      <c r="Z1022" s="6" t="s">
        <v>298</v>
      </c>
      <c r="AB1022" s="6" t="s">
        <v>240</v>
      </c>
      <c r="AE1022" s="6" t="s">
        <v>299</v>
      </c>
      <c r="AF1022" s="5" t="s">
        <v>248</v>
      </c>
      <c r="AG1022" s="5" t="s">
        <v>249</v>
      </c>
      <c r="AW1022" s="5" t="s">
        <v>251</v>
      </c>
      <c r="AX1022" s="5" t="s">
        <v>240</v>
      </c>
      <c r="AY1022" s="5" t="s">
        <v>253</v>
      </c>
      <c r="AZ1022" s="5" t="s">
        <v>240</v>
      </c>
      <c r="BA1022" s="5" t="s">
        <v>255</v>
      </c>
      <c r="BB1022" s="5" t="s">
        <v>240</v>
      </c>
      <c r="BD1022" s="5" t="s">
        <v>240</v>
      </c>
      <c r="BF1022" s="5" t="s">
        <v>301</v>
      </c>
      <c r="BG1022" s="6" t="s">
        <v>299</v>
      </c>
      <c r="BH1022" s="5" t="s">
        <v>302</v>
      </c>
      <c r="BI1022" s="5" t="s">
        <v>303</v>
      </c>
      <c r="BJ1022" s="5" t="s">
        <v>240</v>
      </c>
      <c r="BK1022" s="8">
        <f>0</f>
        <v>0</v>
      </c>
      <c r="BL1022" s="7">
        <f>0</f>
        <v>0</v>
      </c>
      <c r="BM1022" s="5" t="s">
        <v>258</v>
      </c>
      <c r="BN1022" s="5" t="s">
        <v>259</v>
      </c>
      <c r="CB1022" s="5" t="s">
        <v>240</v>
      </c>
      <c r="CC1022" s="5" t="s">
        <v>240</v>
      </c>
      <c r="CG1022" s="5" t="s">
        <v>304</v>
      </c>
      <c r="CH1022" s="5" t="s">
        <v>305</v>
      </c>
      <c r="CI1022" s="5" t="s">
        <v>240</v>
      </c>
      <c r="CL1022" s="6" t="s">
        <v>261</v>
      </c>
      <c r="CM1022" s="5" t="s">
        <v>240</v>
      </c>
      <c r="CN1022" s="5" t="s">
        <v>263</v>
      </c>
      <c r="CO1022" s="5" t="s">
        <v>240</v>
      </c>
      <c r="CP1022" s="5" t="s">
        <v>240</v>
      </c>
      <c r="CQ1022" s="5">
        <v>0</v>
      </c>
      <c r="CR1022" s="5" t="s">
        <v>306</v>
      </c>
      <c r="CS1022" s="5" t="s">
        <v>307</v>
      </c>
      <c r="CT1022" s="5" t="s">
        <v>307</v>
      </c>
      <c r="CU1022" s="5" t="s">
        <v>260</v>
      </c>
      <c r="CX1022" s="7">
        <f>1</f>
        <v>1</v>
      </c>
      <c r="CY1022" s="7">
        <f>0</f>
        <v>0</v>
      </c>
      <c r="DA1022" s="7">
        <f>0</f>
        <v>0</v>
      </c>
      <c r="DC1022" s="5" t="s">
        <v>812</v>
      </c>
      <c r="DD1022" s="5" t="s">
        <v>240</v>
      </c>
      <c r="DF1022" s="5" t="s">
        <v>812</v>
      </c>
      <c r="DG1022" s="7">
        <f>399</f>
        <v>399</v>
      </c>
      <c r="DH1022" s="6" t="s">
        <v>2169</v>
      </c>
      <c r="DI1022" s="5" t="s">
        <v>240</v>
      </c>
      <c r="DJ1022" s="5" t="s">
        <v>240</v>
      </c>
      <c r="DK1022" s="5" t="s">
        <v>240</v>
      </c>
      <c r="DL1022" s="5" t="s">
        <v>240</v>
      </c>
      <c r="DP1022" s="5" t="s">
        <v>240</v>
      </c>
      <c r="DQ1022" s="5" t="s">
        <v>240</v>
      </c>
      <c r="DR1022" s="5" t="s">
        <v>240</v>
      </c>
      <c r="DS1022" s="5" t="s">
        <v>240</v>
      </c>
      <c r="DV1022" s="5" t="s">
        <v>813</v>
      </c>
      <c r="DW1022" s="5" t="s">
        <v>2170</v>
      </c>
      <c r="HO1022" s="5" t="s">
        <v>312</v>
      </c>
    </row>
    <row r="1023" spans="1:240" x14ac:dyDescent="0.4">
      <c r="A1023" s="5">
        <v>2698</v>
      </c>
      <c r="B1023" s="5">
        <v>1</v>
      </c>
      <c r="C1023" s="5">
        <v>1</v>
      </c>
      <c r="D1023" s="5" t="s">
        <v>297</v>
      </c>
      <c r="E1023" s="5" t="s">
        <v>245</v>
      </c>
      <c r="F1023" s="5" t="s">
        <v>254</v>
      </c>
      <c r="G1023" s="5" t="s">
        <v>240</v>
      </c>
      <c r="H1023" s="6" t="s">
        <v>1055</v>
      </c>
      <c r="I1023" s="5" t="s">
        <v>295</v>
      </c>
      <c r="J1023" s="8">
        <f>3.76</f>
        <v>3.76</v>
      </c>
      <c r="K1023" s="5" t="s">
        <v>308</v>
      </c>
      <c r="L1023" s="7">
        <f>1</f>
        <v>1</v>
      </c>
      <c r="M1023" s="7">
        <f>1</f>
        <v>1</v>
      </c>
      <c r="N1023" s="5" t="s">
        <v>242</v>
      </c>
      <c r="O1023" s="5">
        <v>1</v>
      </c>
      <c r="P1023" s="5" t="s">
        <v>294</v>
      </c>
      <c r="Q1023" s="5" t="s">
        <v>266</v>
      </c>
      <c r="R1023" s="5" t="s">
        <v>240</v>
      </c>
      <c r="S1023" s="5" t="s">
        <v>240</v>
      </c>
      <c r="T1023" s="5" t="s">
        <v>296</v>
      </c>
      <c r="U1023" s="5" t="s">
        <v>244</v>
      </c>
      <c r="V1023" s="5" t="s">
        <v>240</v>
      </c>
      <c r="Y1023" s="5" t="s">
        <v>240</v>
      </c>
      <c r="Z1023" s="6" t="s">
        <v>298</v>
      </c>
      <c r="AB1023" s="6" t="s">
        <v>240</v>
      </c>
      <c r="AE1023" s="6" t="s">
        <v>299</v>
      </c>
      <c r="AF1023" s="5" t="s">
        <v>248</v>
      </c>
      <c r="AG1023" s="5" t="s">
        <v>249</v>
      </c>
      <c r="AW1023" s="5" t="s">
        <v>251</v>
      </c>
      <c r="AX1023" s="5" t="s">
        <v>240</v>
      </c>
      <c r="AY1023" s="5" t="s">
        <v>253</v>
      </c>
      <c r="AZ1023" s="5" t="s">
        <v>240</v>
      </c>
      <c r="BA1023" s="5" t="s">
        <v>255</v>
      </c>
      <c r="BB1023" s="5" t="s">
        <v>240</v>
      </c>
      <c r="BD1023" s="5" t="s">
        <v>240</v>
      </c>
      <c r="BF1023" s="5" t="s">
        <v>301</v>
      </c>
      <c r="BG1023" s="6" t="s">
        <v>299</v>
      </c>
      <c r="BH1023" s="5" t="s">
        <v>302</v>
      </c>
      <c r="BI1023" s="5" t="s">
        <v>303</v>
      </c>
      <c r="BJ1023" s="5" t="s">
        <v>240</v>
      </c>
      <c r="BK1023" s="8">
        <f>0</f>
        <v>0</v>
      </c>
      <c r="BL1023" s="7">
        <f>0</f>
        <v>0</v>
      </c>
      <c r="BM1023" s="5" t="s">
        <v>258</v>
      </c>
      <c r="BN1023" s="5" t="s">
        <v>259</v>
      </c>
      <c r="CB1023" s="5" t="s">
        <v>240</v>
      </c>
      <c r="CC1023" s="5" t="s">
        <v>240</v>
      </c>
      <c r="CG1023" s="5" t="s">
        <v>304</v>
      </c>
      <c r="CH1023" s="5" t="s">
        <v>305</v>
      </c>
      <c r="CI1023" s="5" t="s">
        <v>240</v>
      </c>
      <c r="CL1023" s="6" t="s">
        <v>261</v>
      </c>
      <c r="CM1023" s="5" t="s">
        <v>240</v>
      </c>
      <c r="CN1023" s="5" t="s">
        <v>263</v>
      </c>
      <c r="CO1023" s="5" t="s">
        <v>240</v>
      </c>
      <c r="CP1023" s="5" t="s">
        <v>240</v>
      </c>
      <c r="CQ1023" s="5">
        <v>0</v>
      </c>
      <c r="CR1023" s="5" t="s">
        <v>306</v>
      </c>
      <c r="CS1023" s="5" t="s">
        <v>307</v>
      </c>
      <c r="CT1023" s="5" t="s">
        <v>307</v>
      </c>
      <c r="CU1023" s="5" t="s">
        <v>260</v>
      </c>
      <c r="CX1023" s="7">
        <f>1</f>
        <v>1</v>
      </c>
      <c r="CY1023" s="7">
        <f>0</f>
        <v>0</v>
      </c>
      <c r="DA1023" s="7">
        <f>0</f>
        <v>0</v>
      </c>
      <c r="DC1023" s="5" t="s">
        <v>812</v>
      </c>
      <c r="DD1023" s="5" t="s">
        <v>240</v>
      </c>
      <c r="DF1023" s="5" t="s">
        <v>812</v>
      </c>
      <c r="DG1023" s="7">
        <f>2473</f>
        <v>2473</v>
      </c>
      <c r="DH1023" s="6" t="s">
        <v>2172</v>
      </c>
      <c r="DI1023" s="5" t="s">
        <v>240</v>
      </c>
      <c r="DJ1023" s="5" t="s">
        <v>240</v>
      </c>
      <c r="DK1023" s="5" t="s">
        <v>240</v>
      </c>
      <c r="DL1023" s="5" t="s">
        <v>240</v>
      </c>
      <c r="DP1023" s="5" t="s">
        <v>240</v>
      </c>
      <c r="DQ1023" s="5" t="s">
        <v>240</v>
      </c>
      <c r="DR1023" s="5" t="s">
        <v>240</v>
      </c>
      <c r="DS1023" s="5" t="s">
        <v>240</v>
      </c>
      <c r="DV1023" s="5" t="s">
        <v>813</v>
      </c>
      <c r="DW1023" s="5" t="s">
        <v>2173</v>
      </c>
      <c r="HO1023" s="5" t="s">
        <v>312</v>
      </c>
    </row>
    <row r="1024" spans="1:240" x14ac:dyDescent="0.4">
      <c r="A1024" s="5">
        <v>2699</v>
      </c>
      <c r="B1024" s="5">
        <v>1</v>
      </c>
      <c r="C1024" s="5">
        <v>1</v>
      </c>
      <c r="D1024" s="5" t="s">
        <v>297</v>
      </c>
      <c r="E1024" s="5" t="s">
        <v>245</v>
      </c>
      <c r="F1024" s="5" t="s">
        <v>254</v>
      </c>
      <c r="G1024" s="5" t="s">
        <v>240</v>
      </c>
      <c r="H1024" s="6" t="s">
        <v>1057</v>
      </c>
      <c r="I1024" s="5" t="s">
        <v>295</v>
      </c>
      <c r="J1024" s="8">
        <f>1879</f>
        <v>1879</v>
      </c>
      <c r="K1024" s="5" t="s">
        <v>308</v>
      </c>
      <c r="L1024" s="7">
        <f>1</f>
        <v>1</v>
      </c>
      <c r="M1024" s="7">
        <f>1</f>
        <v>1</v>
      </c>
      <c r="N1024" s="5" t="s">
        <v>242</v>
      </c>
      <c r="O1024" s="5">
        <v>1</v>
      </c>
      <c r="P1024" s="5" t="s">
        <v>294</v>
      </c>
      <c r="Q1024" s="5" t="s">
        <v>266</v>
      </c>
      <c r="R1024" s="5" t="s">
        <v>240</v>
      </c>
      <c r="S1024" s="5" t="s">
        <v>240</v>
      </c>
      <c r="T1024" s="5" t="s">
        <v>296</v>
      </c>
      <c r="U1024" s="5" t="s">
        <v>244</v>
      </c>
      <c r="V1024" s="5" t="s">
        <v>240</v>
      </c>
      <c r="Y1024" s="5" t="s">
        <v>240</v>
      </c>
      <c r="Z1024" s="6" t="s">
        <v>298</v>
      </c>
      <c r="AB1024" s="6" t="s">
        <v>240</v>
      </c>
      <c r="AE1024" s="6" t="s">
        <v>299</v>
      </c>
      <c r="AF1024" s="5" t="s">
        <v>248</v>
      </c>
      <c r="AG1024" s="5" t="s">
        <v>249</v>
      </c>
      <c r="AW1024" s="5" t="s">
        <v>251</v>
      </c>
      <c r="AX1024" s="5" t="s">
        <v>240</v>
      </c>
      <c r="AY1024" s="5" t="s">
        <v>253</v>
      </c>
      <c r="AZ1024" s="5" t="s">
        <v>240</v>
      </c>
      <c r="BA1024" s="5" t="s">
        <v>255</v>
      </c>
      <c r="BB1024" s="5" t="s">
        <v>240</v>
      </c>
      <c r="BD1024" s="5" t="s">
        <v>240</v>
      </c>
      <c r="BF1024" s="5" t="s">
        <v>301</v>
      </c>
      <c r="BG1024" s="6" t="s">
        <v>299</v>
      </c>
      <c r="BH1024" s="5" t="s">
        <v>302</v>
      </c>
      <c r="BI1024" s="5" t="s">
        <v>303</v>
      </c>
      <c r="BJ1024" s="5" t="s">
        <v>240</v>
      </c>
      <c r="BK1024" s="8">
        <f>0</f>
        <v>0</v>
      </c>
      <c r="BL1024" s="7">
        <f>0</f>
        <v>0</v>
      </c>
      <c r="BM1024" s="5" t="s">
        <v>258</v>
      </c>
      <c r="BN1024" s="5" t="s">
        <v>259</v>
      </c>
      <c r="CB1024" s="5" t="s">
        <v>240</v>
      </c>
      <c r="CC1024" s="5" t="s">
        <v>240</v>
      </c>
      <c r="CG1024" s="5" t="s">
        <v>304</v>
      </c>
      <c r="CH1024" s="5" t="s">
        <v>305</v>
      </c>
      <c r="CI1024" s="5" t="s">
        <v>240</v>
      </c>
      <c r="CL1024" s="6" t="s">
        <v>261</v>
      </c>
      <c r="CM1024" s="5" t="s">
        <v>240</v>
      </c>
      <c r="CN1024" s="5" t="s">
        <v>263</v>
      </c>
      <c r="CO1024" s="5" t="s">
        <v>240</v>
      </c>
      <c r="CP1024" s="5" t="s">
        <v>240</v>
      </c>
      <c r="CQ1024" s="5">
        <v>0</v>
      </c>
      <c r="CR1024" s="5" t="s">
        <v>306</v>
      </c>
      <c r="CS1024" s="5" t="s">
        <v>307</v>
      </c>
      <c r="CT1024" s="5" t="s">
        <v>307</v>
      </c>
      <c r="CU1024" s="5" t="s">
        <v>260</v>
      </c>
      <c r="CX1024" s="7">
        <f>1</f>
        <v>1</v>
      </c>
      <c r="CY1024" s="7">
        <f>0</f>
        <v>0</v>
      </c>
      <c r="DA1024" s="7">
        <f>0</f>
        <v>0</v>
      </c>
      <c r="DC1024" s="5" t="s">
        <v>812</v>
      </c>
      <c r="DD1024" s="5" t="s">
        <v>240</v>
      </c>
      <c r="DF1024" s="5" t="s">
        <v>812</v>
      </c>
      <c r="DG1024" s="7">
        <f>231</f>
        <v>231</v>
      </c>
      <c r="DI1024" s="5" t="s">
        <v>240</v>
      </c>
      <c r="DJ1024" s="5" t="s">
        <v>240</v>
      </c>
      <c r="DK1024" s="5" t="s">
        <v>240</v>
      </c>
      <c r="DL1024" s="5" t="s">
        <v>240</v>
      </c>
      <c r="DP1024" s="5" t="s">
        <v>240</v>
      </c>
      <c r="DQ1024" s="5" t="s">
        <v>240</v>
      </c>
      <c r="DR1024" s="5" t="s">
        <v>240</v>
      </c>
      <c r="DS1024" s="5" t="s">
        <v>240</v>
      </c>
      <c r="DV1024" s="5" t="s">
        <v>813</v>
      </c>
      <c r="DW1024" s="5" t="s">
        <v>2175</v>
      </c>
      <c r="HO1024" s="5" t="s">
        <v>312</v>
      </c>
    </row>
    <row r="1025" spans="1:223" x14ac:dyDescent="0.4">
      <c r="A1025" s="5">
        <v>2700</v>
      </c>
      <c r="B1025" s="5">
        <v>1</v>
      </c>
      <c r="C1025" s="5">
        <v>1</v>
      </c>
      <c r="D1025" s="5" t="s">
        <v>297</v>
      </c>
      <c r="E1025" s="5" t="s">
        <v>245</v>
      </c>
      <c r="F1025" s="5" t="s">
        <v>254</v>
      </c>
      <c r="G1025" s="5" t="s">
        <v>240</v>
      </c>
      <c r="H1025" s="6" t="s">
        <v>1059</v>
      </c>
      <c r="I1025" s="5" t="s">
        <v>295</v>
      </c>
      <c r="J1025" s="8">
        <f>1227</f>
        <v>1227</v>
      </c>
      <c r="K1025" s="5" t="s">
        <v>308</v>
      </c>
      <c r="L1025" s="7">
        <f>1</f>
        <v>1</v>
      </c>
      <c r="M1025" s="7">
        <f>1</f>
        <v>1</v>
      </c>
      <c r="N1025" s="5" t="s">
        <v>242</v>
      </c>
      <c r="O1025" s="5">
        <v>1</v>
      </c>
      <c r="P1025" s="5" t="s">
        <v>294</v>
      </c>
      <c r="Q1025" s="5" t="s">
        <v>266</v>
      </c>
      <c r="R1025" s="5" t="s">
        <v>240</v>
      </c>
      <c r="S1025" s="5" t="s">
        <v>240</v>
      </c>
      <c r="T1025" s="5" t="s">
        <v>296</v>
      </c>
      <c r="U1025" s="5" t="s">
        <v>244</v>
      </c>
      <c r="V1025" s="5" t="s">
        <v>240</v>
      </c>
      <c r="Y1025" s="5" t="s">
        <v>240</v>
      </c>
      <c r="Z1025" s="6" t="s">
        <v>298</v>
      </c>
      <c r="AB1025" s="6" t="s">
        <v>240</v>
      </c>
      <c r="AE1025" s="6" t="s">
        <v>299</v>
      </c>
      <c r="AF1025" s="5" t="s">
        <v>248</v>
      </c>
      <c r="AG1025" s="5" t="s">
        <v>249</v>
      </c>
      <c r="AW1025" s="5" t="s">
        <v>251</v>
      </c>
      <c r="AX1025" s="5" t="s">
        <v>240</v>
      </c>
      <c r="AY1025" s="5" t="s">
        <v>253</v>
      </c>
      <c r="AZ1025" s="5" t="s">
        <v>240</v>
      </c>
      <c r="BA1025" s="5" t="s">
        <v>255</v>
      </c>
      <c r="BB1025" s="5" t="s">
        <v>240</v>
      </c>
      <c r="BD1025" s="5" t="s">
        <v>240</v>
      </c>
      <c r="BF1025" s="5" t="s">
        <v>301</v>
      </c>
      <c r="BG1025" s="6" t="s">
        <v>299</v>
      </c>
      <c r="BH1025" s="5" t="s">
        <v>302</v>
      </c>
      <c r="BI1025" s="5" t="s">
        <v>303</v>
      </c>
      <c r="BJ1025" s="5" t="s">
        <v>240</v>
      </c>
      <c r="BK1025" s="8">
        <f>0</f>
        <v>0</v>
      </c>
      <c r="BL1025" s="7">
        <f>0</f>
        <v>0</v>
      </c>
      <c r="BM1025" s="5" t="s">
        <v>258</v>
      </c>
      <c r="BN1025" s="5" t="s">
        <v>259</v>
      </c>
      <c r="CB1025" s="5" t="s">
        <v>240</v>
      </c>
      <c r="CC1025" s="5" t="s">
        <v>240</v>
      </c>
      <c r="CG1025" s="5" t="s">
        <v>304</v>
      </c>
      <c r="CH1025" s="5" t="s">
        <v>305</v>
      </c>
      <c r="CI1025" s="5" t="s">
        <v>240</v>
      </c>
      <c r="CL1025" s="6" t="s">
        <v>261</v>
      </c>
      <c r="CM1025" s="5" t="s">
        <v>240</v>
      </c>
      <c r="CN1025" s="5" t="s">
        <v>263</v>
      </c>
      <c r="CO1025" s="5" t="s">
        <v>240</v>
      </c>
      <c r="CP1025" s="5" t="s">
        <v>240</v>
      </c>
      <c r="CQ1025" s="5">
        <v>0</v>
      </c>
      <c r="CR1025" s="5" t="s">
        <v>306</v>
      </c>
      <c r="CS1025" s="5" t="s">
        <v>307</v>
      </c>
      <c r="CT1025" s="5" t="s">
        <v>307</v>
      </c>
      <c r="CU1025" s="5" t="s">
        <v>260</v>
      </c>
      <c r="CX1025" s="7">
        <f>1</f>
        <v>1</v>
      </c>
      <c r="CY1025" s="7">
        <f>0</f>
        <v>0</v>
      </c>
      <c r="DA1025" s="7">
        <f>0</f>
        <v>0</v>
      </c>
      <c r="DC1025" s="5" t="s">
        <v>812</v>
      </c>
      <c r="DD1025" s="5" t="s">
        <v>240</v>
      </c>
      <c r="DF1025" s="5" t="s">
        <v>812</v>
      </c>
      <c r="DG1025" s="7">
        <f>391</f>
        <v>391</v>
      </c>
      <c r="DI1025" s="5" t="s">
        <v>240</v>
      </c>
      <c r="DJ1025" s="5" t="s">
        <v>240</v>
      </c>
      <c r="DK1025" s="5" t="s">
        <v>240</v>
      </c>
      <c r="DL1025" s="5" t="s">
        <v>240</v>
      </c>
      <c r="DP1025" s="5" t="s">
        <v>240</v>
      </c>
      <c r="DQ1025" s="5" t="s">
        <v>240</v>
      </c>
      <c r="DR1025" s="5" t="s">
        <v>240</v>
      </c>
      <c r="DS1025" s="5" t="s">
        <v>240</v>
      </c>
      <c r="DV1025" s="5" t="s">
        <v>813</v>
      </c>
      <c r="DW1025" s="5" t="s">
        <v>2177</v>
      </c>
      <c r="HO1025" s="5" t="s">
        <v>312</v>
      </c>
    </row>
    <row r="1026" spans="1:223" x14ac:dyDescent="0.4">
      <c r="A1026" s="5">
        <v>2701</v>
      </c>
      <c r="B1026" s="5">
        <v>1</v>
      </c>
      <c r="C1026" s="5">
        <v>1</v>
      </c>
      <c r="D1026" s="5" t="s">
        <v>297</v>
      </c>
      <c r="E1026" s="5" t="s">
        <v>245</v>
      </c>
      <c r="F1026" s="5" t="s">
        <v>254</v>
      </c>
      <c r="G1026" s="5" t="s">
        <v>240</v>
      </c>
      <c r="H1026" s="6" t="s">
        <v>1061</v>
      </c>
      <c r="I1026" s="5" t="s">
        <v>295</v>
      </c>
      <c r="J1026" s="8">
        <f>165</f>
        <v>165</v>
      </c>
      <c r="K1026" s="5" t="s">
        <v>308</v>
      </c>
      <c r="L1026" s="7">
        <f>1</f>
        <v>1</v>
      </c>
      <c r="M1026" s="7">
        <f>1</f>
        <v>1</v>
      </c>
      <c r="N1026" s="5" t="s">
        <v>242</v>
      </c>
      <c r="O1026" s="5">
        <v>1</v>
      </c>
      <c r="P1026" s="5" t="s">
        <v>294</v>
      </c>
      <c r="Q1026" s="5" t="s">
        <v>266</v>
      </c>
      <c r="R1026" s="5" t="s">
        <v>240</v>
      </c>
      <c r="S1026" s="5" t="s">
        <v>240</v>
      </c>
      <c r="T1026" s="5" t="s">
        <v>296</v>
      </c>
      <c r="U1026" s="5" t="s">
        <v>244</v>
      </c>
      <c r="V1026" s="5" t="s">
        <v>240</v>
      </c>
      <c r="Y1026" s="5" t="s">
        <v>240</v>
      </c>
      <c r="Z1026" s="6" t="s">
        <v>298</v>
      </c>
      <c r="AB1026" s="6" t="s">
        <v>240</v>
      </c>
      <c r="AE1026" s="6" t="s">
        <v>299</v>
      </c>
      <c r="AF1026" s="5" t="s">
        <v>248</v>
      </c>
      <c r="AG1026" s="5" t="s">
        <v>249</v>
      </c>
      <c r="AW1026" s="5" t="s">
        <v>251</v>
      </c>
      <c r="AX1026" s="5" t="s">
        <v>240</v>
      </c>
      <c r="AY1026" s="5" t="s">
        <v>253</v>
      </c>
      <c r="AZ1026" s="5" t="s">
        <v>240</v>
      </c>
      <c r="BA1026" s="5" t="s">
        <v>255</v>
      </c>
      <c r="BB1026" s="5" t="s">
        <v>240</v>
      </c>
      <c r="BD1026" s="5" t="s">
        <v>240</v>
      </c>
      <c r="BF1026" s="5" t="s">
        <v>301</v>
      </c>
      <c r="BG1026" s="6" t="s">
        <v>299</v>
      </c>
      <c r="BH1026" s="5" t="s">
        <v>302</v>
      </c>
      <c r="BI1026" s="5" t="s">
        <v>303</v>
      </c>
      <c r="BJ1026" s="5" t="s">
        <v>240</v>
      </c>
      <c r="BK1026" s="8">
        <f>0</f>
        <v>0</v>
      </c>
      <c r="BL1026" s="7">
        <f>0</f>
        <v>0</v>
      </c>
      <c r="BM1026" s="5" t="s">
        <v>258</v>
      </c>
      <c r="BN1026" s="5" t="s">
        <v>259</v>
      </c>
      <c r="CB1026" s="5" t="s">
        <v>240</v>
      </c>
      <c r="CC1026" s="5" t="s">
        <v>240</v>
      </c>
      <c r="CG1026" s="5" t="s">
        <v>304</v>
      </c>
      <c r="CH1026" s="5" t="s">
        <v>305</v>
      </c>
      <c r="CI1026" s="5" t="s">
        <v>240</v>
      </c>
      <c r="CL1026" s="6" t="s">
        <v>261</v>
      </c>
      <c r="CM1026" s="5" t="s">
        <v>240</v>
      </c>
      <c r="CN1026" s="5" t="s">
        <v>263</v>
      </c>
      <c r="CO1026" s="5" t="s">
        <v>240</v>
      </c>
      <c r="CP1026" s="5" t="s">
        <v>240</v>
      </c>
      <c r="CQ1026" s="5">
        <v>0</v>
      </c>
      <c r="CR1026" s="5" t="s">
        <v>306</v>
      </c>
      <c r="CS1026" s="5" t="s">
        <v>307</v>
      </c>
      <c r="CT1026" s="5" t="s">
        <v>307</v>
      </c>
      <c r="CU1026" s="5" t="s">
        <v>260</v>
      </c>
      <c r="CX1026" s="7">
        <f>1</f>
        <v>1</v>
      </c>
      <c r="CY1026" s="7">
        <f>0</f>
        <v>0</v>
      </c>
      <c r="DA1026" s="7">
        <f>0</f>
        <v>0</v>
      </c>
      <c r="DC1026" s="5" t="s">
        <v>812</v>
      </c>
      <c r="DD1026" s="5" t="s">
        <v>240</v>
      </c>
      <c r="DF1026" s="5" t="s">
        <v>812</v>
      </c>
      <c r="DG1026" s="7">
        <f>14362</f>
        <v>14362</v>
      </c>
      <c r="DI1026" s="5" t="s">
        <v>240</v>
      </c>
      <c r="DJ1026" s="5" t="s">
        <v>240</v>
      </c>
      <c r="DK1026" s="5" t="s">
        <v>240</v>
      </c>
      <c r="DL1026" s="5" t="s">
        <v>240</v>
      </c>
      <c r="DP1026" s="5" t="s">
        <v>240</v>
      </c>
      <c r="DQ1026" s="5" t="s">
        <v>240</v>
      </c>
      <c r="DR1026" s="5" t="s">
        <v>240</v>
      </c>
      <c r="DS1026" s="5" t="s">
        <v>240</v>
      </c>
      <c r="DV1026" s="5" t="s">
        <v>813</v>
      </c>
      <c r="DW1026" s="5" t="s">
        <v>2179</v>
      </c>
      <c r="HO1026" s="5" t="s">
        <v>312</v>
      </c>
    </row>
    <row r="1027" spans="1:223" x14ac:dyDescent="0.4">
      <c r="A1027" s="5">
        <v>2702</v>
      </c>
      <c r="B1027" s="5">
        <v>1</v>
      </c>
      <c r="C1027" s="5">
        <v>1</v>
      </c>
      <c r="D1027" s="5" t="s">
        <v>297</v>
      </c>
      <c r="E1027" s="5" t="s">
        <v>245</v>
      </c>
      <c r="F1027" s="5" t="s">
        <v>254</v>
      </c>
      <c r="G1027" s="5" t="s">
        <v>240</v>
      </c>
      <c r="H1027" s="6" t="s">
        <v>1063</v>
      </c>
      <c r="I1027" s="5" t="s">
        <v>295</v>
      </c>
      <c r="J1027" s="8">
        <f>31</f>
        <v>31</v>
      </c>
      <c r="K1027" s="5" t="s">
        <v>308</v>
      </c>
      <c r="L1027" s="7">
        <f>1</f>
        <v>1</v>
      </c>
      <c r="M1027" s="7">
        <f>1</f>
        <v>1</v>
      </c>
      <c r="N1027" s="5" t="s">
        <v>242</v>
      </c>
      <c r="O1027" s="5">
        <v>1</v>
      </c>
      <c r="P1027" s="5" t="s">
        <v>294</v>
      </c>
      <c r="Q1027" s="5" t="s">
        <v>266</v>
      </c>
      <c r="R1027" s="5" t="s">
        <v>240</v>
      </c>
      <c r="S1027" s="5" t="s">
        <v>240</v>
      </c>
      <c r="T1027" s="5" t="s">
        <v>296</v>
      </c>
      <c r="U1027" s="5" t="s">
        <v>244</v>
      </c>
      <c r="V1027" s="5" t="s">
        <v>240</v>
      </c>
      <c r="Y1027" s="5" t="s">
        <v>240</v>
      </c>
      <c r="Z1027" s="6" t="s">
        <v>298</v>
      </c>
      <c r="AB1027" s="6" t="s">
        <v>240</v>
      </c>
      <c r="AE1027" s="6" t="s">
        <v>299</v>
      </c>
      <c r="AF1027" s="5" t="s">
        <v>248</v>
      </c>
      <c r="AG1027" s="5" t="s">
        <v>249</v>
      </c>
      <c r="AW1027" s="5" t="s">
        <v>251</v>
      </c>
      <c r="AX1027" s="5" t="s">
        <v>240</v>
      </c>
      <c r="AY1027" s="5" t="s">
        <v>253</v>
      </c>
      <c r="AZ1027" s="5" t="s">
        <v>240</v>
      </c>
      <c r="BA1027" s="5" t="s">
        <v>255</v>
      </c>
      <c r="BB1027" s="5" t="s">
        <v>240</v>
      </c>
      <c r="BD1027" s="5" t="s">
        <v>240</v>
      </c>
      <c r="BF1027" s="5" t="s">
        <v>301</v>
      </c>
      <c r="BG1027" s="6" t="s">
        <v>299</v>
      </c>
      <c r="BH1027" s="5" t="s">
        <v>302</v>
      </c>
      <c r="BI1027" s="5" t="s">
        <v>303</v>
      </c>
      <c r="BJ1027" s="5" t="s">
        <v>240</v>
      </c>
      <c r="BK1027" s="8">
        <f>0</f>
        <v>0</v>
      </c>
      <c r="BL1027" s="7">
        <f>0</f>
        <v>0</v>
      </c>
      <c r="BM1027" s="5" t="s">
        <v>258</v>
      </c>
      <c r="BN1027" s="5" t="s">
        <v>259</v>
      </c>
      <c r="CB1027" s="5" t="s">
        <v>240</v>
      </c>
      <c r="CC1027" s="5" t="s">
        <v>240</v>
      </c>
      <c r="CG1027" s="5" t="s">
        <v>304</v>
      </c>
      <c r="CH1027" s="5" t="s">
        <v>305</v>
      </c>
      <c r="CI1027" s="5" t="s">
        <v>240</v>
      </c>
      <c r="CL1027" s="6" t="s">
        <v>261</v>
      </c>
      <c r="CM1027" s="5" t="s">
        <v>240</v>
      </c>
      <c r="CN1027" s="5" t="s">
        <v>263</v>
      </c>
      <c r="CO1027" s="5" t="s">
        <v>240</v>
      </c>
      <c r="CP1027" s="5" t="s">
        <v>240</v>
      </c>
      <c r="CQ1027" s="5">
        <v>0</v>
      </c>
      <c r="CR1027" s="5" t="s">
        <v>306</v>
      </c>
      <c r="CS1027" s="5" t="s">
        <v>307</v>
      </c>
      <c r="CT1027" s="5" t="s">
        <v>307</v>
      </c>
      <c r="CU1027" s="5" t="s">
        <v>260</v>
      </c>
      <c r="CX1027" s="7">
        <f>1</f>
        <v>1</v>
      </c>
      <c r="CY1027" s="7">
        <f>0</f>
        <v>0</v>
      </c>
      <c r="DA1027" s="7">
        <f>0</f>
        <v>0</v>
      </c>
      <c r="DC1027" s="5" t="s">
        <v>812</v>
      </c>
      <c r="DD1027" s="5" t="s">
        <v>240</v>
      </c>
      <c r="DF1027" s="5" t="s">
        <v>812</v>
      </c>
      <c r="DG1027" s="7">
        <f>411</f>
        <v>411</v>
      </c>
      <c r="DI1027" s="5" t="s">
        <v>240</v>
      </c>
      <c r="DJ1027" s="5" t="s">
        <v>240</v>
      </c>
      <c r="DK1027" s="5" t="s">
        <v>240</v>
      </c>
      <c r="DL1027" s="5" t="s">
        <v>240</v>
      </c>
      <c r="DP1027" s="5" t="s">
        <v>240</v>
      </c>
      <c r="DQ1027" s="5" t="s">
        <v>240</v>
      </c>
      <c r="DR1027" s="5" t="s">
        <v>240</v>
      </c>
      <c r="DS1027" s="5" t="s">
        <v>240</v>
      </c>
      <c r="DV1027" s="5" t="s">
        <v>813</v>
      </c>
      <c r="DW1027" s="5" t="s">
        <v>2181</v>
      </c>
      <c r="HO1027" s="5" t="s">
        <v>312</v>
      </c>
    </row>
    <row r="1028" spans="1:223" x14ac:dyDescent="0.4">
      <c r="A1028" s="5">
        <v>2703</v>
      </c>
      <c r="B1028" s="5">
        <v>1</v>
      </c>
      <c r="C1028" s="5">
        <v>1</v>
      </c>
      <c r="D1028" s="5" t="s">
        <v>297</v>
      </c>
      <c r="E1028" s="5" t="s">
        <v>245</v>
      </c>
      <c r="F1028" s="5" t="s">
        <v>254</v>
      </c>
      <c r="G1028" s="5" t="s">
        <v>240</v>
      </c>
      <c r="H1028" s="6" t="s">
        <v>1065</v>
      </c>
      <c r="I1028" s="5" t="s">
        <v>295</v>
      </c>
      <c r="J1028" s="8">
        <f>673</f>
        <v>673</v>
      </c>
      <c r="K1028" s="5" t="s">
        <v>308</v>
      </c>
      <c r="L1028" s="7">
        <f>1</f>
        <v>1</v>
      </c>
      <c r="M1028" s="7">
        <f>1</f>
        <v>1</v>
      </c>
      <c r="N1028" s="5" t="s">
        <v>242</v>
      </c>
      <c r="O1028" s="5">
        <v>1</v>
      </c>
      <c r="P1028" s="5" t="s">
        <v>294</v>
      </c>
      <c r="Q1028" s="5" t="s">
        <v>266</v>
      </c>
      <c r="R1028" s="5" t="s">
        <v>240</v>
      </c>
      <c r="S1028" s="5" t="s">
        <v>240</v>
      </c>
      <c r="T1028" s="5" t="s">
        <v>296</v>
      </c>
      <c r="U1028" s="5" t="s">
        <v>244</v>
      </c>
      <c r="V1028" s="5" t="s">
        <v>240</v>
      </c>
      <c r="Y1028" s="5" t="s">
        <v>240</v>
      </c>
      <c r="Z1028" s="6" t="s">
        <v>298</v>
      </c>
      <c r="AB1028" s="6" t="s">
        <v>240</v>
      </c>
      <c r="AE1028" s="6" t="s">
        <v>299</v>
      </c>
      <c r="AF1028" s="5" t="s">
        <v>248</v>
      </c>
      <c r="AG1028" s="5" t="s">
        <v>249</v>
      </c>
      <c r="AW1028" s="5" t="s">
        <v>251</v>
      </c>
      <c r="AX1028" s="5" t="s">
        <v>240</v>
      </c>
      <c r="AY1028" s="5" t="s">
        <v>253</v>
      </c>
      <c r="AZ1028" s="5" t="s">
        <v>240</v>
      </c>
      <c r="BA1028" s="5" t="s">
        <v>255</v>
      </c>
      <c r="BB1028" s="5" t="s">
        <v>240</v>
      </c>
      <c r="BD1028" s="5" t="s">
        <v>240</v>
      </c>
      <c r="BF1028" s="5" t="s">
        <v>301</v>
      </c>
      <c r="BG1028" s="6" t="s">
        <v>299</v>
      </c>
      <c r="BH1028" s="5" t="s">
        <v>302</v>
      </c>
      <c r="BI1028" s="5" t="s">
        <v>303</v>
      </c>
      <c r="BJ1028" s="5" t="s">
        <v>240</v>
      </c>
      <c r="BK1028" s="8">
        <f>0</f>
        <v>0</v>
      </c>
      <c r="BL1028" s="7">
        <f>0</f>
        <v>0</v>
      </c>
      <c r="BM1028" s="5" t="s">
        <v>258</v>
      </c>
      <c r="BN1028" s="5" t="s">
        <v>259</v>
      </c>
      <c r="CB1028" s="5" t="s">
        <v>240</v>
      </c>
      <c r="CC1028" s="5" t="s">
        <v>240</v>
      </c>
      <c r="CG1028" s="5" t="s">
        <v>304</v>
      </c>
      <c r="CH1028" s="5" t="s">
        <v>305</v>
      </c>
      <c r="CI1028" s="5" t="s">
        <v>240</v>
      </c>
      <c r="CL1028" s="6" t="s">
        <v>261</v>
      </c>
      <c r="CM1028" s="5" t="s">
        <v>240</v>
      </c>
      <c r="CN1028" s="5" t="s">
        <v>263</v>
      </c>
      <c r="CO1028" s="5" t="s">
        <v>240</v>
      </c>
      <c r="CP1028" s="5" t="s">
        <v>240</v>
      </c>
      <c r="CQ1028" s="5">
        <v>0</v>
      </c>
      <c r="CR1028" s="5" t="s">
        <v>306</v>
      </c>
      <c r="CS1028" s="5" t="s">
        <v>307</v>
      </c>
      <c r="CT1028" s="5" t="s">
        <v>307</v>
      </c>
      <c r="CU1028" s="5" t="s">
        <v>260</v>
      </c>
      <c r="CX1028" s="7">
        <f>1</f>
        <v>1</v>
      </c>
      <c r="CY1028" s="7">
        <f>0</f>
        <v>0</v>
      </c>
      <c r="DA1028" s="7">
        <f>0</f>
        <v>0</v>
      </c>
      <c r="DC1028" s="5" t="s">
        <v>812</v>
      </c>
      <c r="DD1028" s="5" t="s">
        <v>240</v>
      </c>
      <c r="DF1028" s="5" t="s">
        <v>812</v>
      </c>
      <c r="DG1028" s="7">
        <f>415</f>
        <v>415</v>
      </c>
      <c r="DH1028" s="6" t="s">
        <v>2183</v>
      </c>
      <c r="DI1028" s="5" t="s">
        <v>240</v>
      </c>
      <c r="DJ1028" s="5" t="s">
        <v>240</v>
      </c>
      <c r="DK1028" s="5" t="s">
        <v>240</v>
      </c>
      <c r="DL1028" s="5" t="s">
        <v>240</v>
      </c>
      <c r="DP1028" s="5" t="s">
        <v>240</v>
      </c>
      <c r="DQ1028" s="5" t="s">
        <v>240</v>
      </c>
      <c r="DR1028" s="5" t="s">
        <v>240</v>
      </c>
      <c r="DS1028" s="5" t="s">
        <v>240</v>
      </c>
      <c r="DV1028" s="5" t="s">
        <v>813</v>
      </c>
      <c r="DW1028" s="5" t="s">
        <v>2184</v>
      </c>
      <c r="HO1028" s="5" t="s">
        <v>312</v>
      </c>
    </row>
    <row r="1029" spans="1:223" x14ac:dyDescent="0.4">
      <c r="A1029" s="5">
        <v>2704</v>
      </c>
      <c r="B1029" s="5">
        <v>1</v>
      </c>
      <c r="C1029" s="5">
        <v>1</v>
      </c>
      <c r="D1029" s="5" t="s">
        <v>297</v>
      </c>
      <c r="E1029" s="5" t="s">
        <v>245</v>
      </c>
      <c r="F1029" s="5" t="s">
        <v>254</v>
      </c>
      <c r="G1029" s="5" t="s">
        <v>240</v>
      </c>
      <c r="H1029" s="6" t="s">
        <v>1067</v>
      </c>
      <c r="I1029" s="5" t="s">
        <v>295</v>
      </c>
      <c r="J1029" s="8">
        <f>841</f>
        <v>841</v>
      </c>
      <c r="K1029" s="5" t="s">
        <v>308</v>
      </c>
      <c r="L1029" s="7">
        <f>1</f>
        <v>1</v>
      </c>
      <c r="M1029" s="7">
        <f>1</f>
        <v>1</v>
      </c>
      <c r="N1029" s="5" t="s">
        <v>242</v>
      </c>
      <c r="O1029" s="5">
        <v>1</v>
      </c>
      <c r="P1029" s="5" t="s">
        <v>294</v>
      </c>
      <c r="Q1029" s="5" t="s">
        <v>266</v>
      </c>
      <c r="R1029" s="5" t="s">
        <v>240</v>
      </c>
      <c r="S1029" s="5" t="s">
        <v>240</v>
      </c>
      <c r="T1029" s="5" t="s">
        <v>296</v>
      </c>
      <c r="U1029" s="5" t="s">
        <v>244</v>
      </c>
      <c r="V1029" s="5" t="s">
        <v>240</v>
      </c>
      <c r="Y1029" s="5" t="s">
        <v>240</v>
      </c>
      <c r="Z1029" s="6" t="s">
        <v>298</v>
      </c>
      <c r="AB1029" s="6" t="s">
        <v>240</v>
      </c>
      <c r="AE1029" s="6" t="s">
        <v>299</v>
      </c>
      <c r="AF1029" s="5" t="s">
        <v>248</v>
      </c>
      <c r="AG1029" s="5" t="s">
        <v>249</v>
      </c>
      <c r="AW1029" s="5" t="s">
        <v>251</v>
      </c>
      <c r="AX1029" s="5" t="s">
        <v>240</v>
      </c>
      <c r="AY1029" s="5" t="s">
        <v>253</v>
      </c>
      <c r="AZ1029" s="5" t="s">
        <v>240</v>
      </c>
      <c r="BA1029" s="5" t="s">
        <v>255</v>
      </c>
      <c r="BB1029" s="5" t="s">
        <v>240</v>
      </c>
      <c r="BD1029" s="5" t="s">
        <v>240</v>
      </c>
      <c r="BF1029" s="5" t="s">
        <v>301</v>
      </c>
      <c r="BG1029" s="6" t="s">
        <v>299</v>
      </c>
      <c r="BH1029" s="5" t="s">
        <v>302</v>
      </c>
      <c r="BI1029" s="5" t="s">
        <v>303</v>
      </c>
      <c r="BJ1029" s="5" t="s">
        <v>240</v>
      </c>
      <c r="BK1029" s="8">
        <f>0</f>
        <v>0</v>
      </c>
      <c r="BL1029" s="7">
        <f>0</f>
        <v>0</v>
      </c>
      <c r="BM1029" s="5" t="s">
        <v>258</v>
      </c>
      <c r="BN1029" s="5" t="s">
        <v>259</v>
      </c>
      <c r="CB1029" s="5" t="s">
        <v>240</v>
      </c>
      <c r="CC1029" s="5" t="s">
        <v>240</v>
      </c>
      <c r="CG1029" s="5" t="s">
        <v>304</v>
      </c>
      <c r="CH1029" s="5" t="s">
        <v>305</v>
      </c>
      <c r="CI1029" s="5" t="s">
        <v>240</v>
      </c>
      <c r="CL1029" s="6" t="s">
        <v>261</v>
      </c>
      <c r="CM1029" s="5" t="s">
        <v>240</v>
      </c>
      <c r="CN1029" s="5" t="s">
        <v>263</v>
      </c>
      <c r="CO1029" s="5" t="s">
        <v>240</v>
      </c>
      <c r="CP1029" s="5" t="s">
        <v>240</v>
      </c>
      <c r="CQ1029" s="5">
        <v>0</v>
      </c>
      <c r="CR1029" s="5" t="s">
        <v>306</v>
      </c>
      <c r="CS1029" s="5" t="s">
        <v>307</v>
      </c>
      <c r="CT1029" s="5" t="s">
        <v>307</v>
      </c>
      <c r="CU1029" s="5" t="s">
        <v>260</v>
      </c>
      <c r="CX1029" s="7">
        <f>1</f>
        <v>1</v>
      </c>
      <c r="CY1029" s="7">
        <f>0</f>
        <v>0</v>
      </c>
      <c r="DA1029" s="7">
        <f>0</f>
        <v>0</v>
      </c>
      <c r="DC1029" s="5" t="s">
        <v>812</v>
      </c>
      <c r="DD1029" s="5" t="s">
        <v>240</v>
      </c>
      <c r="DF1029" s="5" t="s">
        <v>812</v>
      </c>
      <c r="DG1029" s="7">
        <f>1091</f>
        <v>1091</v>
      </c>
      <c r="DI1029" s="5" t="s">
        <v>240</v>
      </c>
      <c r="DJ1029" s="5" t="s">
        <v>240</v>
      </c>
      <c r="DK1029" s="5" t="s">
        <v>240</v>
      </c>
      <c r="DL1029" s="5" t="s">
        <v>240</v>
      </c>
      <c r="DP1029" s="5" t="s">
        <v>240</v>
      </c>
      <c r="DQ1029" s="5" t="s">
        <v>240</v>
      </c>
      <c r="DR1029" s="5" t="s">
        <v>240</v>
      </c>
      <c r="DS1029" s="5" t="s">
        <v>240</v>
      </c>
      <c r="DV1029" s="5" t="s">
        <v>813</v>
      </c>
      <c r="DW1029" s="5" t="s">
        <v>2186</v>
      </c>
      <c r="HO1029" s="5" t="s">
        <v>312</v>
      </c>
    </row>
    <row r="1030" spans="1:223" x14ac:dyDescent="0.4">
      <c r="A1030" s="5">
        <v>2705</v>
      </c>
      <c r="B1030" s="5">
        <v>1</v>
      </c>
      <c r="C1030" s="5">
        <v>1</v>
      </c>
      <c r="D1030" s="5" t="s">
        <v>297</v>
      </c>
      <c r="E1030" s="5" t="s">
        <v>245</v>
      </c>
      <c r="F1030" s="5" t="s">
        <v>254</v>
      </c>
      <c r="G1030" s="5" t="s">
        <v>240</v>
      </c>
      <c r="H1030" s="6" t="s">
        <v>1069</v>
      </c>
      <c r="I1030" s="5" t="s">
        <v>295</v>
      </c>
      <c r="J1030" s="8">
        <f>793</f>
        <v>793</v>
      </c>
      <c r="K1030" s="5" t="s">
        <v>308</v>
      </c>
      <c r="L1030" s="7">
        <f>1</f>
        <v>1</v>
      </c>
      <c r="M1030" s="7">
        <f>1</f>
        <v>1</v>
      </c>
      <c r="N1030" s="5" t="s">
        <v>242</v>
      </c>
      <c r="O1030" s="5">
        <v>1</v>
      </c>
      <c r="P1030" s="5" t="s">
        <v>294</v>
      </c>
      <c r="Q1030" s="5" t="s">
        <v>266</v>
      </c>
      <c r="R1030" s="5" t="s">
        <v>240</v>
      </c>
      <c r="S1030" s="5" t="s">
        <v>240</v>
      </c>
      <c r="T1030" s="5" t="s">
        <v>296</v>
      </c>
      <c r="U1030" s="5" t="s">
        <v>244</v>
      </c>
      <c r="V1030" s="5" t="s">
        <v>240</v>
      </c>
      <c r="Y1030" s="5" t="s">
        <v>240</v>
      </c>
      <c r="Z1030" s="6" t="s">
        <v>298</v>
      </c>
      <c r="AB1030" s="6" t="s">
        <v>240</v>
      </c>
      <c r="AE1030" s="6" t="s">
        <v>299</v>
      </c>
      <c r="AF1030" s="5" t="s">
        <v>248</v>
      </c>
      <c r="AG1030" s="5" t="s">
        <v>249</v>
      </c>
      <c r="AW1030" s="5" t="s">
        <v>251</v>
      </c>
      <c r="AX1030" s="5" t="s">
        <v>240</v>
      </c>
      <c r="AY1030" s="5" t="s">
        <v>253</v>
      </c>
      <c r="AZ1030" s="5" t="s">
        <v>240</v>
      </c>
      <c r="BA1030" s="5" t="s">
        <v>255</v>
      </c>
      <c r="BB1030" s="5" t="s">
        <v>240</v>
      </c>
      <c r="BD1030" s="5" t="s">
        <v>240</v>
      </c>
      <c r="BF1030" s="5" t="s">
        <v>301</v>
      </c>
      <c r="BG1030" s="6" t="s">
        <v>299</v>
      </c>
      <c r="BH1030" s="5" t="s">
        <v>302</v>
      </c>
      <c r="BI1030" s="5" t="s">
        <v>303</v>
      </c>
      <c r="BJ1030" s="5" t="s">
        <v>240</v>
      </c>
      <c r="BK1030" s="8">
        <f>0</f>
        <v>0</v>
      </c>
      <c r="BL1030" s="7">
        <f>0</f>
        <v>0</v>
      </c>
      <c r="BM1030" s="5" t="s">
        <v>258</v>
      </c>
      <c r="BN1030" s="5" t="s">
        <v>259</v>
      </c>
      <c r="CB1030" s="5" t="s">
        <v>240</v>
      </c>
      <c r="CC1030" s="5" t="s">
        <v>240</v>
      </c>
      <c r="CG1030" s="5" t="s">
        <v>304</v>
      </c>
      <c r="CH1030" s="5" t="s">
        <v>305</v>
      </c>
      <c r="CI1030" s="5" t="s">
        <v>240</v>
      </c>
      <c r="CL1030" s="6" t="s">
        <v>261</v>
      </c>
      <c r="CM1030" s="5" t="s">
        <v>240</v>
      </c>
      <c r="CN1030" s="5" t="s">
        <v>263</v>
      </c>
      <c r="CO1030" s="5" t="s">
        <v>240</v>
      </c>
      <c r="CP1030" s="5" t="s">
        <v>240</v>
      </c>
      <c r="CQ1030" s="5">
        <v>0</v>
      </c>
      <c r="CR1030" s="5" t="s">
        <v>306</v>
      </c>
      <c r="CS1030" s="5" t="s">
        <v>307</v>
      </c>
      <c r="CT1030" s="5" t="s">
        <v>307</v>
      </c>
      <c r="CU1030" s="5" t="s">
        <v>260</v>
      </c>
      <c r="CX1030" s="7">
        <f>1</f>
        <v>1</v>
      </c>
      <c r="CY1030" s="7">
        <f>0</f>
        <v>0</v>
      </c>
      <c r="DA1030" s="7">
        <f>0</f>
        <v>0</v>
      </c>
      <c r="DC1030" s="5" t="s">
        <v>812</v>
      </c>
      <c r="DD1030" s="5" t="s">
        <v>240</v>
      </c>
      <c r="DF1030" s="5" t="s">
        <v>812</v>
      </c>
      <c r="DG1030" s="7">
        <f>1760</f>
        <v>1760</v>
      </c>
      <c r="DI1030" s="5" t="s">
        <v>240</v>
      </c>
      <c r="DJ1030" s="5" t="s">
        <v>240</v>
      </c>
      <c r="DK1030" s="5" t="s">
        <v>240</v>
      </c>
      <c r="DL1030" s="5" t="s">
        <v>240</v>
      </c>
      <c r="DP1030" s="5" t="s">
        <v>240</v>
      </c>
      <c r="DQ1030" s="5" t="s">
        <v>240</v>
      </c>
      <c r="DR1030" s="5" t="s">
        <v>240</v>
      </c>
      <c r="DS1030" s="5" t="s">
        <v>240</v>
      </c>
      <c r="DV1030" s="5" t="s">
        <v>813</v>
      </c>
      <c r="DW1030" s="5" t="s">
        <v>2188</v>
      </c>
      <c r="HO1030" s="5" t="s">
        <v>312</v>
      </c>
    </row>
    <row r="1031" spans="1:223" x14ac:dyDescent="0.4">
      <c r="A1031" s="5">
        <v>2706</v>
      </c>
      <c r="B1031" s="5">
        <v>1</v>
      </c>
      <c r="C1031" s="5">
        <v>1</v>
      </c>
      <c r="D1031" s="5" t="s">
        <v>297</v>
      </c>
      <c r="E1031" s="5" t="s">
        <v>245</v>
      </c>
      <c r="F1031" s="5" t="s">
        <v>254</v>
      </c>
      <c r="G1031" s="5" t="s">
        <v>240</v>
      </c>
      <c r="H1031" s="6" t="s">
        <v>1071</v>
      </c>
      <c r="I1031" s="5" t="s">
        <v>295</v>
      </c>
      <c r="J1031" s="8">
        <f>2460</f>
        <v>2460</v>
      </c>
      <c r="K1031" s="5" t="s">
        <v>308</v>
      </c>
      <c r="L1031" s="7">
        <f>1</f>
        <v>1</v>
      </c>
      <c r="M1031" s="7">
        <f>1</f>
        <v>1</v>
      </c>
      <c r="N1031" s="5" t="s">
        <v>242</v>
      </c>
      <c r="O1031" s="5">
        <v>1</v>
      </c>
      <c r="P1031" s="5" t="s">
        <v>294</v>
      </c>
      <c r="Q1031" s="5" t="s">
        <v>266</v>
      </c>
      <c r="R1031" s="5" t="s">
        <v>240</v>
      </c>
      <c r="S1031" s="5" t="s">
        <v>240</v>
      </c>
      <c r="T1031" s="5" t="s">
        <v>296</v>
      </c>
      <c r="U1031" s="5" t="s">
        <v>244</v>
      </c>
      <c r="V1031" s="5" t="s">
        <v>240</v>
      </c>
      <c r="Y1031" s="5" t="s">
        <v>240</v>
      </c>
      <c r="Z1031" s="6" t="s">
        <v>298</v>
      </c>
      <c r="AB1031" s="6" t="s">
        <v>240</v>
      </c>
      <c r="AE1031" s="6" t="s">
        <v>299</v>
      </c>
      <c r="AF1031" s="5" t="s">
        <v>248</v>
      </c>
      <c r="AG1031" s="5" t="s">
        <v>249</v>
      </c>
      <c r="AW1031" s="5" t="s">
        <v>251</v>
      </c>
      <c r="AX1031" s="5" t="s">
        <v>240</v>
      </c>
      <c r="AY1031" s="5" t="s">
        <v>253</v>
      </c>
      <c r="AZ1031" s="5" t="s">
        <v>240</v>
      </c>
      <c r="BA1031" s="5" t="s">
        <v>255</v>
      </c>
      <c r="BB1031" s="5" t="s">
        <v>240</v>
      </c>
      <c r="BD1031" s="5" t="s">
        <v>240</v>
      </c>
      <c r="BF1031" s="5" t="s">
        <v>301</v>
      </c>
      <c r="BG1031" s="6" t="s">
        <v>299</v>
      </c>
      <c r="BH1031" s="5" t="s">
        <v>302</v>
      </c>
      <c r="BI1031" s="5" t="s">
        <v>303</v>
      </c>
      <c r="BJ1031" s="5" t="s">
        <v>240</v>
      </c>
      <c r="BK1031" s="8">
        <f>0</f>
        <v>0</v>
      </c>
      <c r="BL1031" s="7">
        <f>0</f>
        <v>0</v>
      </c>
      <c r="BM1031" s="5" t="s">
        <v>258</v>
      </c>
      <c r="BN1031" s="5" t="s">
        <v>259</v>
      </c>
      <c r="CB1031" s="5" t="s">
        <v>240</v>
      </c>
      <c r="CC1031" s="5" t="s">
        <v>240</v>
      </c>
      <c r="CG1031" s="5" t="s">
        <v>304</v>
      </c>
      <c r="CH1031" s="5" t="s">
        <v>305</v>
      </c>
      <c r="CI1031" s="5" t="s">
        <v>240</v>
      </c>
      <c r="CL1031" s="6" t="s">
        <v>261</v>
      </c>
      <c r="CM1031" s="5" t="s">
        <v>240</v>
      </c>
      <c r="CN1031" s="5" t="s">
        <v>263</v>
      </c>
      <c r="CO1031" s="5" t="s">
        <v>240</v>
      </c>
      <c r="CP1031" s="5" t="s">
        <v>240</v>
      </c>
      <c r="CQ1031" s="5">
        <v>0</v>
      </c>
      <c r="CR1031" s="5" t="s">
        <v>306</v>
      </c>
      <c r="CS1031" s="5" t="s">
        <v>307</v>
      </c>
      <c r="CT1031" s="5" t="s">
        <v>307</v>
      </c>
      <c r="CU1031" s="5" t="s">
        <v>260</v>
      </c>
      <c r="CX1031" s="7">
        <f>1</f>
        <v>1</v>
      </c>
      <c r="CY1031" s="7">
        <f>0</f>
        <v>0</v>
      </c>
      <c r="DA1031" s="7">
        <f>0</f>
        <v>0</v>
      </c>
      <c r="DC1031" s="5" t="s">
        <v>812</v>
      </c>
      <c r="DD1031" s="5" t="s">
        <v>240</v>
      </c>
      <c r="DF1031" s="5" t="s">
        <v>812</v>
      </c>
      <c r="DG1031" s="7">
        <f>756</f>
        <v>756</v>
      </c>
      <c r="DI1031" s="5" t="s">
        <v>240</v>
      </c>
      <c r="DJ1031" s="5" t="s">
        <v>240</v>
      </c>
      <c r="DK1031" s="5" t="s">
        <v>240</v>
      </c>
      <c r="DL1031" s="5" t="s">
        <v>240</v>
      </c>
      <c r="DP1031" s="5" t="s">
        <v>240</v>
      </c>
      <c r="DQ1031" s="5" t="s">
        <v>240</v>
      </c>
      <c r="DR1031" s="5" t="s">
        <v>240</v>
      </c>
      <c r="DS1031" s="5" t="s">
        <v>240</v>
      </c>
      <c r="DV1031" s="5" t="s">
        <v>813</v>
      </c>
      <c r="DW1031" s="5" t="s">
        <v>2190</v>
      </c>
      <c r="HO1031" s="5" t="s">
        <v>312</v>
      </c>
    </row>
    <row r="1032" spans="1:223" x14ac:dyDescent="0.4">
      <c r="A1032" s="5">
        <v>2707</v>
      </c>
      <c r="B1032" s="5">
        <v>1</v>
      </c>
      <c r="C1032" s="5">
        <v>1</v>
      </c>
      <c r="D1032" s="5" t="s">
        <v>297</v>
      </c>
      <c r="E1032" s="5" t="s">
        <v>245</v>
      </c>
      <c r="F1032" s="5" t="s">
        <v>254</v>
      </c>
      <c r="G1032" s="5" t="s">
        <v>240</v>
      </c>
      <c r="H1032" s="6" t="s">
        <v>1073</v>
      </c>
      <c r="I1032" s="5" t="s">
        <v>295</v>
      </c>
      <c r="J1032" s="8">
        <f>3251</f>
        <v>3251</v>
      </c>
      <c r="K1032" s="5" t="s">
        <v>308</v>
      </c>
      <c r="L1032" s="7">
        <f>1</f>
        <v>1</v>
      </c>
      <c r="M1032" s="7">
        <f>1</f>
        <v>1</v>
      </c>
      <c r="N1032" s="5" t="s">
        <v>242</v>
      </c>
      <c r="O1032" s="5">
        <v>1</v>
      </c>
      <c r="P1032" s="5" t="s">
        <v>294</v>
      </c>
      <c r="Q1032" s="5" t="s">
        <v>266</v>
      </c>
      <c r="R1032" s="5" t="s">
        <v>240</v>
      </c>
      <c r="S1032" s="5" t="s">
        <v>240</v>
      </c>
      <c r="T1032" s="5" t="s">
        <v>296</v>
      </c>
      <c r="U1032" s="5" t="s">
        <v>244</v>
      </c>
      <c r="V1032" s="5" t="s">
        <v>240</v>
      </c>
      <c r="Y1032" s="5" t="s">
        <v>240</v>
      </c>
      <c r="Z1032" s="6" t="s">
        <v>298</v>
      </c>
      <c r="AB1032" s="6" t="s">
        <v>240</v>
      </c>
      <c r="AE1032" s="6" t="s">
        <v>299</v>
      </c>
      <c r="AF1032" s="5" t="s">
        <v>248</v>
      </c>
      <c r="AG1032" s="5" t="s">
        <v>249</v>
      </c>
      <c r="AW1032" s="5" t="s">
        <v>251</v>
      </c>
      <c r="AX1032" s="5" t="s">
        <v>240</v>
      </c>
      <c r="AY1032" s="5" t="s">
        <v>253</v>
      </c>
      <c r="AZ1032" s="5" t="s">
        <v>240</v>
      </c>
      <c r="BA1032" s="5" t="s">
        <v>255</v>
      </c>
      <c r="BB1032" s="5" t="s">
        <v>240</v>
      </c>
      <c r="BD1032" s="5" t="s">
        <v>240</v>
      </c>
      <c r="BF1032" s="5" t="s">
        <v>301</v>
      </c>
      <c r="BG1032" s="6" t="s">
        <v>299</v>
      </c>
      <c r="BH1032" s="5" t="s">
        <v>302</v>
      </c>
      <c r="BI1032" s="5" t="s">
        <v>303</v>
      </c>
      <c r="BJ1032" s="5" t="s">
        <v>240</v>
      </c>
      <c r="BK1032" s="8">
        <f>0</f>
        <v>0</v>
      </c>
      <c r="BL1032" s="7">
        <f>0</f>
        <v>0</v>
      </c>
      <c r="BM1032" s="5" t="s">
        <v>258</v>
      </c>
      <c r="BN1032" s="5" t="s">
        <v>259</v>
      </c>
      <c r="CB1032" s="5" t="s">
        <v>240</v>
      </c>
      <c r="CC1032" s="5" t="s">
        <v>240</v>
      </c>
      <c r="CG1032" s="5" t="s">
        <v>304</v>
      </c>
      <c r="CH1032" s="5" t="s">
        <v>305</v>
      </c>
      <c r="CI1032" s="5" t="s">
        <v>240</v>
      </c>
      <c r="CL1032" s="6" t="s">
        <v>261</v>
      </c>
      <c r="CM1032" s="5" t="s">
        <v>240</v>
      </c>
      <c r="CN1032" s="5" t="s">
        <v>263</v>
      </c>
      <c r="CO1032" s="5" t="s">
        <v>240</v>
      </c>
      <c r="CP1032" s="5" t="s">
        <v>240</v>
      </c>
      <c r="CQ1032" s="5">
        <v>0</v>
      </c>
      <c r="CR1032" s="5" t="s">
        <v>306</v>
      </c>
      <c r="CS1032" s="5" t="s">
        <v>307</v>
      </c>
      <c r="CT1032" s="5" t="s">
        <v>307</v>
      </c>
      <c r="CU1032" s="5" t="s">
        <v>260</v>
      </c>
      <c r="CX1032" s="7">
        <f>1</f>
        <v>1</v>
      </c>
      <c r="CY1032" s="7">
        <f>0</f>
        <v>0</v>
      </c>
      <c r="DA1032" s="7">
        <f>0</f>
        <v>0</v>
      </c>
      <c r="DC1032" s="5" t="s">
        <v>812</v>
      </c>
      <c r="DD1032" s="5" t="s">
        <v>240</v>
      </c>
      <c r="DF1032" s="5" t="s">
        <v>812</v>
      </c>
      <c r="DG1032" s="7">
        <f>398</f>
        <v>398</v>
      </c>
      <c r="DI1032" s="5" t="s">
        <v>240</v>
      </c>
      <c r="DJ1032" s="5" t="s">
        <v>240</v>
      </c>
      <c r="DK1032" s="5" t="s">
        <v>240</v>
      </c>
      <c r="DL1032" s="5" t="s">
        <v>240</v>
      </c>
      <c r="DP1032" s="5" t="s">
        <v>240</v>
      </c>
      <c r="DQ1032" s="5" t="s">
        <v>240</v>
      </c>
      <c r="DR1032" s="5" t="s">
        <v>240</v>
      </c>
      <c r="DS1032" s="5" t="s">
        <v>240</v>
      </c>
      <c r="DV1032" s="5" t="s">
        <v>813</v>
      </c>
      <c r="DW1032" s="5" t="s">
        <v>2192</v>
      </c>
      <c r="HO1032" s="5" t="s">
        <v>312</v>
      </c>
    </row>
    <row r="1033" spans="1:223" x14ac:dyDescent="0.4">
      <c r="A1033" s="5">
        <v>2708</v>
      </c>
      <c r="B1033" s="5">
        <v>1</v>
      </c>
      <c r="C1033" s="5">
        <v>1</v>
      </c>
      <c r="D1033" s="5" t="s">
        <v>297</v>
      </c>
      <c r="E1033" s="5" t="s">
        <v>245</v>
      </c>
      <c r="F1033" s="5" t="s">
        <v>254</v>
      </c>
      <c r="G1033" s="5" t="s">
        <v>240</v>
      </c>
      <c r="H1033" s="6" t="s">
        <v>1075</v>
      </c>
      <c r="I1033" s="5" t="s">
        <v>295</v>
      </c>
      <c r="J1033" s="8">
        <f>1034</f>
        <v>1034</v>
      </c>
      <c r="K1033" s="5" t="s">
        <v>308</v>
      </c>
      <c r="L1033" s="7">
        <f>1</f>
        <v>1</v>
      </c>
      <c r="M1033" s="7">
        <f>1</f>
        <v>1</v>
      </c>
      <c r="N1033" s="5" t="s">
        <v>242</v>
      </c>
      <c r="O1033" s="5">
        <v>1</v>
      </c>
      <c r="P1033" s="5" t="s">
        <v>294</v>
      </c>
      <c r="Q1033" s="5" t="s">
        <v>266</v>
      </c>
      <c r="R1033" s="5" t="s">
        <v>240</v>
      </c>
      <c r="S1033" s="5" t="s">
        <v>240</v>
      </c>
      <c r="T1033" s="5" t="s">
        <v>296</v>
      </c>
      <c r="U1033" s="5" t="s">
        <v>244</v>
      </c>
      <c r="V1033" s="5" t="s">
        <v>240</v>
      </c>
      <c r="Y1033" s="5" t="s">
        <v>240</v>
      </c>
      <c r="Z1033" s="6" t="s">
        <v>298</v>
      </c>
      <c r="AB1033" s="6" t="s">
        <v>240</v>
      </c>
      <c r="AE1033" s="6" t="s">
        <v>299</v>
      </c>
      <c r="AF1033" s="5" t="s">
        <v>248</v>
      </c>
      <c r="AG1033" s="5" t="s">
        <v>249</v>
      </c>
      <c r="AW1033" s="5" t="s">
        <v>251</v>
      </c>
      <c r="AX1033" s="5" t="s">
        <v>240</v>
      </c>
      <c r="AY1033" s="5" t="s">
        <v>253</v>
      </c>
      <c r="AZ1033" s="5" t="s">
        <v>240</v>
      </c>
      <c r="BA1033" s="5" t="s">
        <v>255</v>
      </c>
      <c r="BB1033" s="5" t="s">
        <v>240</v>
      </c>
      <c r="BD1033" s="5" t="s">
        <v>240</v>
      </c>
      <c r="BF1033" s="5" t="s">
        <v>301</v>
      </c>
      <c r="BG1033" s="6" t="s">
        <v>299</v>
      </c>
      <c r="BH1033" s="5" t="s">
        <v>302</v>
      </c>
      <c r="BI1033" s="5" t="s">
        <v>303</v>
      </c>
      <c r="BJ1033" s="5" t="s">
        <v>240</v>
      </c>
      <c r="BK1033" s="8">
        <f>0</f>
        <v>0</v>
      </c>
      <c r="BL1033" s="7">
        <f>0</f>
        <v>0</v>
      </c>
      <c r="BM1033" s="5" t="s">
        <v>258</v>
      </c>
      <c r="BN1033" s="5" t="s">
        <v>259</v>
      </c>
      <c r="CB1033" s="5" t="s">
        <v>240</v>
      </c>
      <c r="CC1033" s="5" t="s">
        <v>240</v>
      </c>
      <c r="CG1033" s="5" t="s">
        <v>304</v>
      </c>
      <c r="CH1033" s="5" t="s">
        <v>305</v>
      </c>
      <c r="CI1033" s="5" t="s">
        <v>240</v>
      </c>
      <c r="CL1033" s="6" t="s">
        <v>261</v>
      </c>
      <c r="CM1033" s="5" t="s">
        <v>240</v>
      </c>
      <c r="CN1033" s="5" t="s">
        <v>263</v>
      </c>
      <c r="CO1033" s="5" t="s">
        <v>240</v>
      </c>
      <c r="CP1033" s="5" t="s">
        <v>240</v>
      </c>
      <c r="CQ1033" s="5">
        <v>0</v>
      </c>
      <c r="CR1033" s="5" t="s">
        <v>306</v>
      </c>
      <c r="CS1033" s="5" t="s">
        <v>307</v>
      </c>
      <c r="CT1033" s="5" t="s">
        <v>307</v>
      </c>
      <c r="CU1033" s="5" t="s">
        <v>260</v>
      </c>
      <c r="CX1033" s="7">
        <f>1</f>
        <v>1</v>
      </c>
      <c r="CY1033" s="7">
        <f>0</f>
        <v>0</v>
      </c>
      <c r="DA1033" s="7">
        <f>0</f>
        <v>0</v>
      </c>
      <c r="DC1033" s="5" t="s">
        <v>812</v>
      </c>
      <c r="DD1033" s="5" t="s">
        <v>240</v>
      </c>
      <c r="DF1033" s="5" t="s">
        <v>812</v>
      </c>
      <c r="DG1033" s="7">
        <f>957</f>
        <v>957</v>
      </c>
      <c r="DI1033" s="5" t="s">
        <v>240</v>
      </c>
      <c r="DJ1033" s="5" t="s">
        <v>240</v>
      </c>
      <c r="DK1033" s="5" t="s">
        <v>240</v>
      </c>
      <c r="DL1033" s="5" t="s">
        <v>240</v>
      </c>
      <c r="DP1033" s="5" t="s">
        <v>240</v>
      </c>
      <c r="DQ1033" s="5" t="s">
        <v>240</v>
      </c>
      <c r="DR1033" s="5" t="s">
        <v>240</v>
      </c>
      <c r="DS1033" s="5" t="s">
        <v>240</v>
      </c>
      <c r="DV1033" s="5" t="s">
        <v>813</v>
      </c>
      <c r="DW1033" s="5" t="s">
        <v>2194</v>
      </c>
      <c r="HO1033" s="5" t="s">
        <v>312</v>
      </c>
    </row>
    <row r="1034" spans="1:223" x14ac:dyDescent="0.4">
      <c r="A1034" s="5">
        <v>2709</v>
      </c>
      <c r="B1034" s="5">
        <v>1</v>
      </c>
      <c r="C1034" s="5">
        <v>1</v>
      </c>
      <c r="D1034" s="5" t="s">
        <v>297</v>
      </c>
      <c r="E1034" s="5" t="s">
        <v>245</v>
      </c>
      <c r="F1034" s="5" t="s">
        <v>254</v>
      </c>
      <c r="G1034" s="5" t="s">
        <v>240</v>
      </c>
      <c r="H1034" s="6" t="s">
        <v>1077</v>
      </c>
      <c r="I1034" s="5" t="s">
        <v>295</v>
      </c>
      <c r="J1034" s="8">
        <f>476</f>
        <v>476</v>
      </c>
      <c r="K1034" s="5" t="s">
        <v>308</v>
      </c>
      <c r="L1034" s="7">
        <f>1</f>
        <v>1</v>
      </c>
      <c r="M1034" s="7">
        <f>1</f>
        <v>1</v>
      </c>
      <c r="N1034" s="5" t="s">
        <v>242</v>
      </c>
      <c r="O1034" s="5">
        <v>1</v>
      </c>
      <c r="P1034" s="5" t="s">
        <v>294</v>
      </c>
      <c r="Q1034" s="5" t="s">
        <v>266</v>
      </c>
      <c r="R1034" s="5" t="s">
        <v>240</v>
      </c>
      <c r="S1034" s="5" t="s">
        <v>240</v>
      </c>
      <c r="T1034" s="5" t="s">
        <v>296</v>
      </c>
      <c r="U1034" s="5" t="s">
        <v>244</v>
      </c>
      <c r="V1034" s="5" t="s">
        <v>240</v>
      </c>
      <c r="Y1034" s="5" t="s">
        <v>240</v>
      </c>
      <c r="Z1034" s="6" t="s">
        <v>298</v>
      </c>
      <c r="AB1034" s="6" t="s">
        <v>240</v>
      </c>
      <c r="AE1034" s="6" t="s">
        <v>299</v>
      </c>
      <c r="AF1034" s="5" t="s">
        <v>248</v>
      </c>
      <c r="AG1034" s="5" t="s">
        <v>249</v>
      </c>
      <c r="AW1034" s="5" t="s">
        <v>251</v>
      </c>
      <c r="AX1034" s="5" t="s">
        <v>240</v>
      </c>
      <c r="AY1034" s="5" t="s">
        <v>253</v>
      </c>
      <c r="AZ1034" s="5" t="s">
        <v>240</v>
      </c>
      <c r="BA1034" s="5" t="s">
        <v>255</v>
      </c>
      <c r="BB1034" s="5" t="s">
        <v>240</v>
      </c>
      <c r="BD1034" s="5" t="s">
        <v>240</v>
      </c>
      <c r="BF1034" s="5" t="s">
        <v>301</v>
      </c>
      <c r="BG1034" s="6" t="s">
        <v>299</v>
      </c>
      <c r="BH1034" s="5" t="s">
        <v>302</v>
      </c>
      <c r="BI1034" s="5" t="s">
        <v>303</v>
      </c>
      <c r="BJ1034" s="5" t="s">
        <v>240</v>
      </c>
      <c r="BK1034" s="8">
        <f>0</f>
        <v>0</v>
      </c>
      <c r="BL1034" s="7">
        <f>0</f>
        <v>0</v>
      </c>
      <c r="BM1034" s="5" t="s">
        <v>258</v>
      </c>
      <c r="BN1034" s="5" t="s">
        <v>259</v>
      </c>
      <c r="CB1034" s="5" t="s">
        <v>240</v>
      </c>
      <c r="CC1034" s="5" t="s">
        <v>240</v>
      </c>
      <c r="CG1034" s="5" t="s">
        <v>304</v>
      </c>
      <c r="CH1034" s="5" t="s">
        <v>305</v>
      </c>
      <c r="CI1034" s="5" t="s">
        <v>240</v>
      </c>
      <c r="CL1034" s="6" t="s">
        <v>261</v>
      </c>
      <c r="CM1034" s="5" t="s">
        <v>240</v>
      </c>
      <c r="CN1034" s="5" t="s">
        <v>263</v>
      </c>
      <c r="CO1034" s="5" t="s">
        <v>240</v>
      </c>
      <c r="CP1034" s="5" t="s">
        <v>240</v>
      </c>
      <c r="CQ1034" s="5">
        <v>0</v>
      </c>
      <c r="CR1034" s="5" t="s">
        <v>306</v>
      </c>
      <c r="CS1034" s="5" t="s">
        <v>307</v>
      </c>
      <c r="CT1034" s="5" t="s">
        <v>307</v>
      </c>
      <c r="CU1034" s="5" t="s">
        <v>260</v>
      </c>
      <c r="CX1034" s="7">
        <f>1</f>
        <v>1</v>
      </c>
      <c r="CY1034" s="7">
        <f>0</f>
        <v>0</v>
      </c>
      <c r="DA1034" s="7">
        <f>0</f>
        <v>0</v>
      </c>
      <c r="DC1034" s="5" t="s">
        <v>812</v>
      </c>
      <c r="DD1034" s="5" t="s">
        <v>240</v>
      </c>
      <c r="DF1034" s="5" t="s">
        <v>812</v>
      </c>
      <c r="DG1034" s="7">
        <f>2335</f>
        <v>2335</v>
      </c>
      <c r="DH1034" s="6" t="s">
        <v>2196</v>
      </c>
      <c r="DI1034" s="5" t="s">
        <v>240</v>
      </c>
      <c r="DJ1034" s="5" t="s">
        <v>240</v>
      </c>
      <c r="DK1034" s="5" t="s">
        <v>240</v>
      </c>
      <c r="DL1034" s="5" t="s">
        <v>240</v>
      </c>
      <c r="DP1034" s="5" t="s">
        <v>240</v>
      </c>
      <c r="DQ1034" s="5" t="s">
        <v>240</v>
      </c>
      <c r="DR1034" s="5" t="s">
        <v>240</v>
      </c>
      <c r="DS1034" s="5" t="s">
        <v>240</v>
      </c>
      <c r="DV1034" s="5" t="s">
        <v>813</v>
      </c>
      <c r="DW1034" s="5" t="s">
        <v>2197</v>
      </c>
      <c r="HO1034" s="5" t="s">
        <v>312</v>
      </c>
    </row>
    <row r="1035" spans="1:223" x14ac:dyDescent="0.4">
      <c r="A1035" s="5">
        <v>2710</v>
      </c>
      <c r="B1035" s="5">
        <v>1</v>
      </c>
      <c r="C1035" s="5">
        <v>1</v>
      </c>
      <c r="D1035" s="5" t="s">
        <v>297</v>
      </c>
      <c r="E1035" s="5" t="s">
        <v>245</v>
      </c>
      <c r="F1035" s="5" t="s">
        <v>254</v>
      </c>
      <c r="G1035" s="5" t="s">
        <v>240</v>
      </c>
      <c r="H1035" s="6" t="s">
        <v>1079</v>
      </c>
      <c r="I1035" s="5" t="s">
        <v>295</v>
      </c>
      <c r="J1035" s="8">
        <f>244</f>
        <v>244</v>
      </c>
      <c r="K1035" s="5" t="s">
        <v>308</v>
      </c>
      <c r="L1035" s="7">
        <f>1</f>
        <v>1</v>
      </c>
      <c r="M1035" s="7">
        <f>1</f>
        <v>1</v>
      </c>
      <c r="N1035" s="5" t="s">
        <v>242</v>
      </c>
      <c r="O1035" s="5">
        <v>1</v>
      </c>
      <c r="P1035" s="5" t="s">
        <v>294</v>
      </c>
      <c r="Q1035" s="5" t="s">
        <v>266</v>
      </c>
      <c r="R1035" s="5" t="s">
        <v>240</v>
      </c>
      <c r="S1035" s="5" t="s">
        <v>240</v>
      </c>
      <c r="T1035" s="5" t="s">
        <v>296</v>
      </c>
      <c r="U1035" s="5" t="s">
        <v>244</v>
      </c>
      <c r="V1035" s="5" t="s">
        <v>240</v>
      </c>
      <c r="Y1035" s="5" t="s">
        <v>240</v>
      </c>
      <c r="Z1035" s="6" t="s">
        <v>298</v>
      </c>
      <c r="AB1035" s="6" t="s">
        <v>240</v>
      </c>
      <c r="AE1035" s="6" t="s">
        <v>299</v>
      </c>
      <c r="AF1035" s="5" t="s">
        <v>248</v>
      </c>
      <c r="AG1035" s="5" t="s">
        <v>249</v>
      </c>
      <c r="AW1035" s="5" t="s">
        <v>251</v>
      </c>
      <c r="AX1035" s="5" t="s">
        <v>240</v>
      </c>
      <c r="AY1035" s="5" t="s">
        <v>253</v>
      </c>
      <c r="AZ1035" s="5" t="s">
        <v>240</v>
      </c>
      <c r="BA1035" s="5" t="s">
        <v>255</v>
      </c>
      <c r="BB1035" s="5" t="s">
        <v>240</v>
      </c>
      <c r="BD1035" s="5" t="s">
        <v>240</v>
      </c>
      <c r="BF1035" s="5" t="s">
        <v>301</v>
      </c>
      <c r="BG1035" s="6" t="s">
        <v>299</v>
      </c>
      <c r="BH1035" s="5" t="s">
        <v>302</v>
      </c>
      <c r="BI1035" s="5" t="s">
        <v>303</v>
      </c>
      <c r="BJ1035" s="5" t="s">
        <v>240</v>
      </c>
      <c r="BK1035" s="8">
        <f>0</f>
        <v>0</v>
      </c>
      <c r="BL1035" s="7">
        <f>0</f>
        <v>0</v>
      </c>
      <c r="BM1035" s="5" t="s">
        <v>258</v>
      </c>
      <c r="BN1035" s="5" t="s">
        <v>259</v>
      </c>
      <c r="CB1035" s="5" t="s">
        <v>240</v>
      </c>
      <c r="CC1035" s="5" t="s">
        <v>240</v>
      </c>
      <c r="CG1035" s="5" t="s">
        <v>304</v>
      </c>
      <c r="CH1035" s="5" t="s">
        <v>305</v>
      </c>
      <c r="CI1035" s="5" t="s">
        <v>240</v>
      </c>
      <c r="CL1035" s="6" t="s">
        <v>261</v>
      </c>
      <c r="CM1035" s="5" t="s">
        <v>240</v>
      </c>
      <c r="CN1035" s="5" t="s">
        <v>263</v>
      </c>
      <c r="CO1035" s="5" t="s">
        <v>240</v>
      </c>
      <c r="CP1035" s="5" t="s">
        <v>240</v>
      </c>
      <c r="CQ1035" s="5">
        <v>0</v>
      </c>
      <c r="CR1035" s="5" t="s">
        <v>306</v>
      </c>
      <c r="CS1035" s="5" t="s">
        <v>307</v>
      </c>
      <c r="CT1035" s="5" t="s">
        <v>307</v>
      </c>
      <c r="CU1035" s="5" t="s">
        <v>260</v>
      </c>
      <c r="CX1035" s="7">
        <f>1</f>
        <v>1</v>
      </c>
      <c r="CY1035" s="7">
        <f>0</f>
        <v>0</v>
      </c>
      <c r="DA1035" s="7">
        <f>0</f>
        <v>0</v>
      </c>
      <c r="DC1035" s="5" t="s">
        <v>812</v>
      </c>
      <c r="DD1035" s="5" t="s">
        <v>240</v>
      </c>
      <c r="DF1035" s="5" t="s">
        <v>812</v>
      </c>
      <c r="DG1035" s="7">
        <f>3492</f>
        <v>3492</v>
      </c>
      <c r="DH1035" s="6" t="s">
        <v>2196</v>
      </c>
      <c r="DI1035" s="5" t="s">
        <v>240</v>
      </c>
      <c r="DJ1035" s="5" t="s">
        <v>240</v>
      </c>
      <c r="DK1035" s="5" t="s">
        <v>240</v>
      </c>
      <c r="DL1035" s="5" t="s">
        <v>240</v>
      </c>
      <c r="DP1035" s="5" t="s">
        <v>240</v>
      </c>
      <c r="DQ1035" s="5" t="s">
        <v>240</v>
      </c>
      <c r="DR1035" s="5" t="s">
        <v>240</v>
      </c>
      <c r="DS1035" s="5" t="s">
        <v>240</v>
      </c>
      <c r="DV1035" s="5" t="s">
        <v>813</v>
      </c>
      <c r="DW1035" s="5" t="s">
        <v>2199</v>
      </c>
      <c r="HO1035" s="5" t="s">
        <v>312</v>
      </c>
    </row>
    <row r="1036" spans="1:223" x14ac:dyDescent="0.4">
      <c r="A1036" s="5">
        <v>2711</v>
      </c>
      <c r="B1036" s="5">
        <v>1</v>
      </c>
      <c r="C1036" s="5">
        <v>1</v>
      </c>
      <c r="D1036" s="5" t="s">
        <v>297</v>
      </c>
      <c r="E1036" s="5" t="s">
        <v>245</v>
      </c>
      <c r="F1036" s="5" t="s">
        <v>254</v>
      </c>
      <c r="G1036" s="5" t="s">
        <v>240</v>
      </c>
      <c r="H1036" s="6" t="s">
        <v>1081</v>
      </c>
      <c r="I1036" s="5" t="s">
        <v>295</v>
      </c>
      <c r="J1036" s="8">
        <f>19</f>
        <v>19</v>
      </c>
      <c r="K1036" s="5" t="s">
        <v>308</v>
      </c>
      <c r="L1036" s="7">
        <f>1</f>
        <v>1</v>
      </c>
      <c r="M1036" s="7">
        <f>1</f>
        <v>1</v>
      </c>
      <c r="N1036" s="5" t="s">
        <v>242</v>
      </c>
      <c r="O1036" s="5">
        <v>1</v>
      </c>
      <c r="P1036" s="5" t="s">
        <v>294</v>
      </c>
      <c r="Q1036" s="5" t="s">
        <v>266</v>
      </c>
      <c r="R1036" s="5" t="s">
        <v>240</v>
      </c>
      <c r="S1036" s="5" t="s">
        <v>240</v>
      </c>
      <c r="T1036" s="5" t="s">
        <v>296</v>
      </c>
      <c r="U1036" s="5" t="s">
        <v>244</v>
      </c>
      <c r="V1036" s="5" t="s">
        <v>240</v>
      </c>
      <c r="Y1036" s="5" t="s">
        <v>240</v>
      </c>
      <c r="Z1036" s="6" t="s">
        <v>298</v>
      </c>
      <c r="AB1036" s="6" t="s">
        <v>240</v>
      </c>
      <c r="AE1036" s="6" t="s">
        <v>299</v>
      </c>
      <c r="AF1036" s="5" t="s">
        <v>248</v>
      </c>
      <c r="AG1036" s="5" t="s">
        <v>249</v>
      </c>
      <c r="AW1036" s="5" t="s">
        <v>251</v>
      </c>
      <c r="AX1036" s="5" t="s">
        <v>240</v>
      </c>
      <c r="AY1036" s="5" t="s">
        <v>253</v>
      </c>
      <c r="AZ1036" s="5" t="s">
        <v>240</v>
      </c>
      <c r="BA1036" s="5" t="s">
        <v>255</v>
      </c>
      <c r="BB1036" s="5" t="s">
        <v>240</v>
      </c>
      <c r="BD1036" s="5" t="s">
        <v>240</v>
      </c>
      <c r="BF1036" s="5" t="s">
        <v>301</v>
      </c>
      <c r="BG1036" s="6" t="s">
        <v>299</v>
      </c>
      <c r="BH1036" s="5" t="s">
        <v>302</v>
      </c>
      <c r="BI1036" s="5" t="s">
        <v>303</v>
      </c>
      <c r="BJ1036" s="5" t="s">
        <v>240</v>
      </c>
      <c r="BK1036" s="8">
        <f>0</f>
        <v>0</v>
      </c>
      <c r="BL1036" s="7">
        <f>0</f>
        <v>0</v>
      </c>
      <c r="BM1036" s="5" t="s">
        <v>258</v>
      </c>
      <c r="BN1036" s="5" t="s">
        <v>259</v>
      </c>
      <c r="CB1036" s="5" t="s">
        <v>240</v>
      </c>
      <c r="CC1036" s="5" t="s">
        <v>240</v>
      </c>
      <c r="CG1036" s="5" t="s">
        <v>304</v>
      </c>
      <c r="CH1036" s="5" t="s">
        <v>305</v>
      </c>
      <c r="CI1036" s="5" t="s">
        <v>240</v>
      </c>
      <c r="CL1036" s="6" t="s">
        <v>261</v>
      </c>
      <c r="CM1036" s="5" t="s">
        <v>240</v>
      </c>
      <c r="CN1036" s="5" t="s">
        <v>263</v>
      </c>
      <c r="CO1036" s="5" t="s">
        <v>240</v>
      </c>
      <c r="CP1036" s="5" t="s">
        <v>240</v>
      </c>
      <c r="CQ1036" s="5">
        <v>0</v>
      </c>
      <c r="CR1036" s="5" t="s">
        <v>306</v>
      </c>
      <c r="CS1036" s="5" t="s">
        <v>307</v>
      </c>
      <c r="CT1036" s="5" t="s">
        <v>307</v>
      </c>
      <c r="CU1036" s="5" t="s">
        <v>260</v>
      </c>
      <c r="CX1036" s="7">
        <f>1</f>
        <v>1</v>
      </c>
      <c r="CY1036" s="7">
        <f>0</f>
        <v>0</v>
      </c>
      <c r="DA1036" s="7">
        <f>0</f>
        <v>0</v>
      </c>
      <c r="DC1036" s="5" t="s">
        <v>812</v>
      </c>
      <c r="DD1036" s="5" t="s">
        <v>240</v>
      </c>
      <c r="DF1036" s="5" t="s">
        <v>812</v>
      </c>
      <c r="DG1036" s="7">
        <f>2904</f>
        <v>2904</v>
      </c>
      <c r="DH1036" s="6" t="s">
        <v>2196</v>
      </c>
      <c r="DI1036" s="5" t="s">
        <v>240</v>
      </c>
      <c r="DJ1036" s="5" t="s">
        <v>240</v>
      </c>
      <c r="DK1036" s="5" t="s">
        <v>240</v>
      </c>
      <c r="DL1036" s="5" t="s">
        <v>240</v>
      </c>
      <c r="DP1036" s="5" t="s">
        <v>240</v>
      </c>
      <c r="DQ1036" s="5" t="s">
        <v>240</v>
      </c>
      <c r="DR1036" s="5" t="s">
        <v>240</v>
      </c>
      <c r="DS1036" s="5" t="s">
        <v>240</v>
      </c>
      <c r="DV1036" s="5" t="s">
        <v>813</v>
      </c>
      <c r="DW1036" s="5" t="s">
        <v>2201</v>
      </c>
      <c r="HO1036" s="5" t="s">
        <v>312</v>
      </c>
    </row>
    <row r="1037" spans="1:223" x14ac:dyDescent="0.4">
      <c r="A1037" s="5">
        <v>2712</v>
      </c>
      <c r="B1037" s="5">
        <v>1</v>
      </c>
      <c r="C1037" s="5">
        <v>1</v>
      </c>
      <c r="D1037" s="5" t="s">
        <v>297</v>
      </c>
      <c r="E1037" s="5" t="s">
        <v>245</v>
      </c>
      <c r="F1037" s="5" t="s">
        <v>254</v>
      </c>
      <c r="G1037" s="5" t="s">
        <v>240</v>
      </c>
      <c r="H1037" s="6" t="s">
        <v>1083</v>
      </c>
      <c r="I1037" s="5" t="s">
        <v>295</v>
      </c>
      <c r="J1037" s="8">
        <f>708</f>
        <v>708</v>
      </c>
      <c r="K1037" s="5" t="s">
        <v>308</v>
      </c>
      <c r="L1037" s="7">
        <f>1</f>
        <v>1</v>
      </c>
      <c r="M1037" s="7">
        <f>1</f>
        <v>1</v>
      </c>
      <c r="N1037" s="5" t="s">
        <v>242</v>
      </c>
      <c r="O1037" s="5">
        <v>1</v>
      </c>
      <c r="P1037" s="5" t="s">
        <v>294</v>
      </c>
      <c r="Q1037" s="5" t="s">
        <v>266</v>
      </c>
      <c r="R1037" s="5" t="s">
        <v>240</v>
      </c>
      <c r="S1037" s="5" t="s">
        <v>240</v>
      </c>
      <c r="T1037" s="5" t="s">
        <v>296</v>
      </c>
      <c r="U1037" s="5" t="s">
        <v>244</v>
      </c>
      <c r="V1037" s="5" t="s">
        <v>240</v>
      </c>
      <c r="Y1037" s="5" t="s">
        <v>240</v>
      </c>
      <c r="Z1037" s="6" t="s">
        <v>298</v>
      </c>
      <c r="AB1037" s="6" t="s">
        <v>240</v>
      </c>
      <c r="AE1037" s="6" t="s">
        <v>2202</v>
      </c>
      <c r="AF1037" s="5" t="s">
        <v>248</v>
      </c>
      <c r="AG1037" s="5" t="s">
        <v>249</v>
      </c>
      <c r="AW1037" s="5" t="s">
        <v>251</v>
      </c>
      <c r="AX1037" s="5" t="s">
        <v>240</v>
      </c>
      <c r="AY1037" s="5" t="s">
        <v>253</v>
      </c>
      <c r="AZ1037" s="5" t="s">
        <v>240</v>
      </c>
      <c r="BA1037" s="5" t="s">
        <v>255</v>
      </c>
      <c r="BB1037" s="5" t="s">
        <v>240</v>
      </c>
      <c r="BD1037" s="5" t="s">
        <v>240</v>
      </c>
      <c r="BF1037" s="5" t="s">
        <v>687</v>
      </c>
      <c r="BG1037" s="6" t="s">
        <v>1825</v>
      </c>
      <c r="BH1037" s="5" t="s">
        <v>302</v>
      </c>
      <c r="BI1037" s="5" t="s">
        <v>303</v>
      </c>
      <c r="BJ1037" s="5" t="s">
        <v>240</v>
      </c>
      <c r="BK1037" s="8">
        <f>0</f>
        <v>0</v>
      </c>
      <c r="BL1037" s="7">
        <f>0</f>
        <v>0</v>
      </c>
      <c r="BM1037" s="5" t="s">
        <v>258</v>
      </c>
      <c r="BN1037" s="5" t="s">
        <v>259</v>
      </c>
      <c r="CB1037" s="5" t="s">
        <v>240</v>
      </c>
      <c r="CC1037" s="5" t="s">
        <v>240</v>
      </c>
      <c r="CG1037" s="5" t="s">
        <v>304</v>
      </c>
      <c r="CH1037" s="5" t="s">
        <v>305</v>
      </c>
      <c r="CI1037" s="5" t="s">
        <v>240</v>
      </c>
      <c r="CL1037" s="6" t="s">
        <v>261</v>
      </c>
      <c r="CM1037" s="5" t="s">
        <v>240</v>
      </c>
      <c r="CN1037" s="5" t="s">
        <v>263</v>
      </c>
      <c r="CO1037" s="5" t="s">
        <v>240</v>
      </c>
      <c r="CP1037" s="5" t="s">
        <v>240</v>
      </c>
      <c r="CQ1037" s="5">
        <v>0</v>
      </c>
      <c r="CR1037" s="5" t="s">
        <v>306</v>
      </c>
      <c r="CS1037" s="5" t="s">
        <v>307</v>
      </c>
      <c r="CT1037" s="5" t="s">
        <v>307</v>
      </c>
      <c r="CU1037" s="5" t="s">
        <v>260</v>
      </c>
      <c r="CX1037" s="7">
        <f>1</f>
        <v>1</v>
      </c>
      <c r="CY1037" s="7">
        <f>0</f>
        <v>0</v>
      </c>
      <c r="DA1037" s="7">
        <f>0</f>
        <v>0</v>
      </c>
      <c r="DC1037" s="5" t="s">
        <v>812</v>
      </c>
      <c r="DD1037" s="5" t="s">
        <v>240</v>
      </c>
      <c r="DF1037" s="5" t="s">
        <v>812</v>
      </c>
      <c r="DG1037" s="7">
        <f>4685</f>
        <v>4685</v>
      </c>
      <c r="DI1037" s="5" t="s">
        <v>240</v>
      </c>
      <c r="DJ1037" s="5" t="s">
        <v>240</v>
      </c>
      <c r="DK1037" s="5" t="s">
        <v>240</v>
      </c>
      <c r="DL1037" s="5" t="s">
        <v>240</v>
      </c>
      <c r="DP1037" s="5" t="s">
        <v>240</v>
      </c>
      <c r="DQ1037" s="5" t="s">
        <v>240</v>
      </c>
      <c r="DR1037" s="5" t="s">
        <v>240</v>
      </c>
      <c r="DS1037" s="5" t="s">
        <v>240</v>
      </c>
      <c r="DV1037" s="5" t="s">
        <v>813</v>
      </c>
      <c r="DW1037" s="5" t="s">
        <v>2204</v>
      </c>
      <c r="HO1037" s="5" t="s">
        <v>312</v>
      </c>
    </row>
    <row r="1038" spans="1:223" x14ac:dyDescent="0.4">
      <c r="A1038" s="5">
        <v>2713</v>
      </c>
      <c r="B1038" s="5">
        <v>1</v>
      </c>
      <c r="C1038" s="5">
        <v>1</v>
      </c>
      <c r="D1038" s="5" t="s">
        <v>297</v>
      </c>
      <c r="E1038" s="5" t="s">
        <v>245</v>
      </c>
      <c r="F1038" s="5" t="s">
        <v>254</v>
      </c>
      <c r="G1038" s="5" t="s">
        <v>240</v>
      </c>
      <c r="H1038" s="6" t="s">
        <v>1085</v>
      </c>
      <c r="I1038" s="5" t="s">
        <v>295</v>
      </c>
      <c r="J1038" s="8">
        <f>103</f>
        <v>103</v>
      </c>
      <c r="K1038" s="5" t="s">
        <v>308</v>
      </c>
      <c r="L1038" s="7">
        <f>1</f>
        <v>1</v>
      </c>
      <c r="M1038" s="7">
        <f>1</f>
        <v>1</v>
      </c>
      <c r="N1038" s="5" t="s">
        <v>242</v>
      </c>
      <c r="O1038" s="5">
        <v>1</v>
      </c>
      <c r="P1038" s="5" t="s">
        <v>294</v>
      </c>
      <c r="Q1038" s="5" t="s">
        <v>266</v>
      </c>
      <c r="R1038" s="5" t="s">
        <v>240</v>
      </c>
      <c r="S1038" s="5" t="s">
        <v>240</v>
      </c>
      <c r="T1038" s="5" t="s">
        <v>296</v>
      </c>
      <c r="U1038" s="5" t="s">
        <v>244</v>
      </c>
      <c r="V1038" s="5" t="s">
        <v>240</v>
      </c>
      <c r="Y1038" s="5" t="s">
        <v>240</v>
      </c>
      <c r="Z1038" s="6" t="s">
        <v>298</v>
      </c>
      <c r="AB1038" s="6" t="s">
        <v>240</v>
      </c>
      <c r="AE1038" s="6" t="s">
        <v>299</v>
      </c>
      <c r="AF1038" s="5" t="s">
        <v>248</v>
      </c>
      <c r="AG1038" s="5" t="s">
        <v>249</v>
      </c>
      <c r="AW1038" s="5" t="s">
        <v>251</v>
      </c>
      <c r="AX1038" s="5" t="s">
        <v>240</v>
      </c>
      <c r="AY1038" s="5" t="s">
        <v>253</v>
      </c>
      <c r="AZ1038" s="5" t="s">
        <v>240</v>
      </c>
      <c r="BA1038" s="5" t="s">
        <v>255</v>
      </c>
      <c r="BB1038" s="5" t="s">
        <v>240</v>
      </c>
      <c r="BD1038" s="5" t="s">
        <v>240</v>
      </c>
      <c r="BF1038" s="5" t="s">
        <v>301</v>
      </c>
      <c r="BG1038" s="6" t="s">
        <v>299</v>
      </c>
      <c r="BH1038" s="5" t="s">
        <v>302</v>
      </c>
      <c r="BI1038" s="5" t="s">
        <v>303</v>
      </c>
      <c r="BJ1038" s="5" t="s">
        <v>240</v>
      </c>
      <c r="BK1038" s="8">
        <f>0</f>
        <v>0</v>
      </c>
      <c r="BL1038" s="7">
        <f>0</f>
        <v>0</v>
      </c>
      <c r="BM1038" s="5" t="s">
        <v>258</v>
      </c>
      <c r="BN1038" s="5" t="s">
        <v>259</v>
      </c>
      <c r="CB1038" s="5" t="s">
        <v>240</v>
      </c>
      <c r="CC1038" s="5" t="s">
        <v>240</v>
      </c>
      <c r="CG1038" s="5" t="s">
        <v>304</v>
      </c>
      <c r="CH1038" s="5" t="s">
        <v>305</v>
      </c>
      <c r="CI1038" s="5" t="s">
        <v>240</v>
      </c>
      <c r="CL1038" s="6" t="s">
        <v>261</v>
      </c>
      <c r="CM1038" s="5" t="s">
        <v>240</v>
      </c>
      <c r="CN1038" s="5" t="s">
        <v>263</v>
      </c>
      <c r="CO1038" s="5" t="s">
        <v>240</v>
      </c>
      <c r="CP1038" s="5" t="s">
        <v>240</v>
      </c>
      <c r="CQ1038" s="5">
        <v>0</v>
      </c>
      <c r="CR1038" s="5" t="s">
        <v>306</v>
      </c>
      <c r="CS1038" s="5" t="s">
        <v>307</v>
      </c>
      <c r="CT1038" s="5" t="s">
        <v>307</v>
      </c>
      <c r="CU1038" s="5" t="s">
        <v>260</v>
      </c>
      <c r="CX1038" s="7">
        <f>1</f>
        <v>1</v>
      </c>
      <c r="CY1038" s="7">
        <f>0</f>
        <v>0</v>
      </c>
      <c r="DA1038" s="7">
        <f>0</f>
        <v>0</v>
      </c>
      <c r="DC1038" s="5" t="s">
        <v>812</v>
      </c>
      <c r="DD1038" s="5" t="s">
        <v>240</v>
      </c>
      <c r="DF1038" s="5" t="s">
        <v>812</v>
      </c>
      <c r="DG1038" s="7">
        <f>2666</f>
        <v>2666</v>
      </c>
      <c r="DI1038" s="5" t="s">
        <v>240</v>
      </c>
      <c r="DJ1038" s="5" t="s">
        <v>240</v>
      </c>
      <c r="DK1038" s="5" t="s">
        <v>240</v>
      </c>
      <c r="DL1038" s="5" t="s">
        <v>240</v>
      </c>
      <c r="DP1038" s="5" t="s">
        <v>240</v>
      </c>
      <c r="DQ1038" s="5" t="s">
        <v>240</v>
      </c>
      <c r="DR1038" s="5" t="s">
        <v>240</v>
      </c>
      <c r="DS1038" s="5" t="s">
        <v>240</v>
      </c>
      <c r="DV1038" s="5" t="s">
        <v>813</v>
      </c>
      <c r="DW1038" s="5" t="s">
        <v>2206</v>
      </c>
      <c r="HO1038" s="5" t="s">
        <v>312</v>
      </c>
    </row>
    <row r="1039" spans="1:223" x14ac:dyDescent="0.4">
      <c r="A1039" s="5">
        <v>2714</v>
      </c>
      <c r="B1039" s="5">
        <v>1</v>
      </c>
      <c r="C1039" s="5">
        <v>1</v>
      </c>
      <c r="D1039" s="5" t="s">
        <v>297</v>
      </c>
      <c r="E1039" s="5" t="s">
        <v>245</v>
      </c>
      <c r="F1039" s="5" t="s">
        <v>254</v>
      </c>
      <c r="G1039" s="5" t="s">
        <v>240</v>
      </c>
      <c r="H1039" s="6" t="s">
        <v>1087</v>
      </c>
      <c r="I1039" s="5" t="s">
        <v>295</v>
      </c>
      <c r="J1039" s="8">
        <f>680</f>
        <v>680</v>
      </c>
      <c r="K1039" s="5" t="s">
        <v>308</v>
      </c>
      <c r="L1039" s="7">
        <f>1</f>
        <v>1</v>
      </c>
      <c r="M1039" s="7">
        <f>1</f>
        <v>1</v>
      </c>
      <c r="N1039" s="5" t="s">
        <v>242</v>
      </c>
      <c r="O1039" s="5">
        <v>1</v>
      </c>
      <c r="P1039" s="5" t="s">
        <v>294</v>
      </c>
      <c r="Q1039" s="5" t="s">
        <v>266</v>
      </c>
      <c r="R1039" s="5" t="s">
        <v>240</v>
      </c>
      <c r="S1039" s="5" t="s">
        <v>240</v>
      </c>
      <c r="T1039" s="5" t="s">
        <v>296</v>
      </c>
      <c r="U1039" s="5" t="s">
        <v>244</v>
      </c>
      <c r="V1039" s="5" t="s">
        <v>240</v>
      </c>
      <c r="Y1039" s="5" t="s">
        <v>240</v>
      </c>
      <c r="Z1039" s="6" t="s">
        <v>298</v>
      </c>
      <c r="AB1039" s="6" t="s">
        <v>240</v>
      </c>
      <c r="AE1039" s="6" t="s">
        <v>2207</v>
      </c>
      <c r="AF1039" s="5" t="s">
        <v>248</v>
      </c>
      <c r="AG1039" s="5" t="s">
        <v>249</v>
      </c>
      <c r="AW1039" s="5" t="s">
        <v>251</v>
      </c>
      <c r="AX1039" s="5" t="s">
        <v>240</v>
      </c>
      <c r="AY1039" s="5" t="s">
        <v>253</v>
      </c>
      <c r="AZ1039" s="5" t="s">
        <v>240</v>
      </c>
      <c r="BA1039" s="5" t="s">
        <v>255</v>
      </c>
      <c r="BB1039" s="5" t="s">
        <v>240</v>
      </c>
      <c r="BD1039" s="5" t="s">
        <v>240</v>
      </c>
      <c r="BF1039" s="5" t="s">
        <v>687</v>
      </c>
      <c r="BG1039" s="6" t="s">
        <v>2207</v>
      </c>
      <c r="BH1039" s="5" t="s">
        <v>302</v>
      </c>
      <c r="BI1039" s="5" t="s">
        <v>303</v>
      </c>
      <c r="BJ1039" s="5" t="s">
        <v>240</v>
      </c>
      <c r="BK1039" s="8">
        <f>0</f>
        <v>0</v>
      </c>
      <c r="BL1039" s="7">
        <f>0</f>
        <v>0</v>
      </c>
      <c r="BM1039" s="5" t="s">
        <v>258</v>
      </c>
      <c r="BN1039" s="5" t="s">
        <v>259</v>
      </c>
      <c r="CB1039" s="5" t="s">
        <v>240</v>
      </c>
      <c r="CC1039" s="5" t="s">
        <v>240</v>
      </c>
      <c r="CG1039" s="5" t="s">
        <v>304</v>
      </c>
      <c r="CH1039" s="5" t="s">
        <v>305</v>
      </c>
      <c r="CI1039" s="5" t="s">
        <v>240</v>
      </c>
      <c r="CL1039" s="6" t="s">
        <v>261</v>
      </c>
      <c r="CM1039" s="5" t="s">
        <v>240</v>
      </c>
      <c r="CN1039" s="5" t="s">
        <v>263</v>
      </c>
      <c r="CO1039" s="5" t="s">
        <v>240</v>
      </c>
      <c r="CP1039" s="5" t="s">
        <v>240</v>
      </c>
      <c r="CQ1039" s="5">
        <v>0</v>
      </c>
      <c r="CR1039" s="5" t="s">
        <v>306</v>
      </c>
      <c r="CS1039" s="5" t="s">
        <v>307</v>
      </c>
      <c r="CT1039" s="5" t="s">
        <v>307</v>
      </c>
      <c r="CU1039" s="5" t="s">
        <v>260</v>
      </c>
      <c r="CX1039" s="7">
        <f>1</f>
        <v>1</v>
      </c>
      <c r="CY1039" s="7">
        <f>0</f>
        <v>0</v>
      </c>
      <c r="DA1039" s="7">
        <f>0</f>
        <v>0</v>
      </c>
      <c r="DC1039" s="5" t="s">
        <v>812</v>
      </c>
      <c r="DD1039" s="5" t="s">
        <v>240</v>
      </c>
      <c r="DF1039" s="5" t="s">
        <v>812</v>
      </c>
      <c r="DG1039" s="7">
        <f>482</f>
        <v>482</v>
      </c>
      <c r="DI1039" s="5" t="s">
        <v>240</v>
      </c>
      <c r="DJ1039" s="5" t="s">
        <v>240</v>
      </c>
      <c r="DK1039" s="5" t="s">
        <v>240</v>
      </c>
      <c r="DL1039" s="5" t="s">
        <v>240</v>
      </c>
      <c r="DP1039" s="5" t="s">
        <v>240</v>
      </c>
      <c r="DQ1039" s="5" t="s">
        <v>240</v>
      </c>
      <c r="DR1039" s="5" t="s">
        <v>240</v>
      </c>
      <c r="DS1039" s="5" t="s">
        <v>240</v>
      </c>
      <c r="DV1039" s="5" t="s">
        <v>813</v>
      </c>
      <c r="DW1039" s="5" t="s">
        <v>2209</v>
      </c>
      <c r="HO1039" s="5" t="s">
        <v>312</v>
      </c>
    </row>
    <row r="1040" spans="1:223" x14ac:dyDescent="0.4">
      <c r="A1040" s="5">
        <v>2715</v>
      </c>
      <c r="B1040" s="5">
        <v>1</v>
      </c>
      <c r="C1040" s="5">
        <v>1</v>
      </c>
      <c r="D1040" s="5" t="s">
        <v>297</v>
      </c>
      <c r="E1040" s="5" t="s">
        <v>245</v>
      </c>
      <c r="F1040" s="5" t="s">
        <v>254</v>
      </c>
      <c r="G1040" s="5" t="s">
        <v>240</v>
      </c>
      <c r="H1040" s="6" t="s">
        <v>1089</v>
      </c>
      <c r="I1040" s="5" t="s">
        <v>295</v>
      </c>
      <c r="J1040" s="8">
        <f>465</f>
        <v>465</v>
      </c>
      <c r="K1040" s="5" t="s">
        <v>308</v>
      </c>
      <c r="L1040" s="7">
        <f>1</f>
        <v>1</v>
      </c>
      <c r="M1040" s="7">
        <f>1</f>
        <v>1</v>
      </c>
      <c r="N1040" s="5" t="s">
        <v>242</v>
      </c>
      <c r="O1040" s="5">
        <v>1</v>
      </c>
      <c r="P1040" s="5" t="s">
        <v>294</v>
      </c>
      <c r="Q1040" s="5" t="s">
        <v>266</v>
      </c>
      <c r="R1040" s="5" t="s">
        <v>240</v>
      </c>
      <c r="S1040" s="5" t="s">
        <v>240</v>
      </c>
      <c r="T1040" s="5" t="s">
        <v>296</v>
      </c>
      <c r="U1040" s="5" t="s">
        <v>244</v>
      </c>
      <c r="V1040" s="5" t="s">
        <v>240</v>
      </c>
      <c r="Y1040" s="5" t="s">
        <v>240</v>
      </c>
      <c r="Z1040" s="6" t="s">
        <v>298</v>
      </c>
      <c r="AB1040" s="6" t="s">
        <v>240</v>
      </c>
      <c r="AE1040" s="6" t="s">
        <v>2210</v>
      </c>
      <c r="AF1040" s="5" t="s">
        <v>248</v>
      </c>
      <c r="AG1040" s="5" t="s">
        <v>249</v>
      </c>
      <c r="AW1040" s="5" t="s">
        <v>251</v>
      </c>
      <c r="AX1040" s="5" t="s">
        <v>240</v>
      </c>
      <c r="AY1040" s="5" t="s">
        <v>253</v>
      </c>
      <c r="AZ1040" s="5" t="s">
        <v>240</v>
      </c>
      <c r="BA1040" s="5" t="s">
        <v>255</v>
      </c>
      <c r="BB1040" s="5" t="s">
        <v>240</v>
      </c>
      <c r="BD1040" s="5" t="s">
        <v>240</v>
      </c>
      <c r="BF1040" s="5" t="s">
        <v>447</v>
      </c>
      <c r="BG1040" s="6" t="s">
        <v>2210</v>
      </c>
      <c r="BH1040" s="5" t="s">
        <v>302</v>
      </c>
      <c r="BI1040" s="5" t="s">
        <v>303</v>
      </c>
      <c r="BJ1040" s="5" t="s">
        <v>240</v>
      </c>
      <c r="BK1040" s="8">
        <f>0</f>
        <v>0</v>
      </c>
      <c r="BL1040" s="7">
        <f>0</f>
        <v>0</v>
      </c>
      <c r="BM1040" s="5" t="s">
        <v>258</v>
      </c>
      <c r="BN1040" s="5" t="s">
        <v>259</v>
      </c>
      <c r="CB1040" s="5" t="s">
        <v>240</v>
      </c>
      <c r="CC1040" s="5" t="s">
        <v>240</v>
      </c>
      <c r="CG1040" s="5" t="s">
        <v>304</v>
      </c>
      <c r="CH1040" s="5" t="s">
        <v>305</v>
      </c>
      <c r="CI1040" s="5" t="s">
        <v>240</v>
      </c>
      <c r="CL1040" s="6" t="s">
        <v>261</v>
      </c>
      <c r="CM1040" s="5" t="s">
        <v>240</v>
      </c>
      <c r="CN1040" s="5" t="s">
        <v>263</v>
      </c>
      <c r="CO1040" s="5" t="s">
        <v>240</v>
      </c>
      <c r="CP1040" s="5" t="s">
        <v>240</v>
      </c>
      <c r="CQ1040" s="5">
        <v>0</v>
      </c>
      <c r="CR1040" s="5" t="s">
        <v>306</v>
      </c>
      <c r="CS1040" s="5" t="s">
        <v>307</v>
      </c>
      <c r="CT1040" s="5" t="s">
        <v>307</v>
      </c>
      <c r="CU1040" s="5" t="s">
        <v>260</v>
      </c>
      <c r="CX1040" s="7">
        <f>1</f>
        <v>1</v>
      </c>
      <c r="CY1040" s="7">
        <f>0</f>
        <v>0</v>
      </c>
      <c r="DA1040" s="7">
        <f>0</f>
        <v>0</v>
      </c>
      <c r="DC1040" s="5" t="s">
        <v>812</v>
      </c>
      <c r="DD1040" s="5" t="s">
        <v>240</v>
      </c>
      <c r="DF1040" s="5" t="s">
        <v>812</v>
      </c>
      <c r="DG1040" s="7">
        <f>444</f>
        <v>444</v>
      </c>
      <c r="DH1040" s="6" t="s">
        <v>2212</v>
      </c>
      <c r="DI1040" s="5" t="s">
        <v>240</v>
      </c>
      <c r="DJ1040" s="5" t="s">
        <v>240</v>
      </c>
      <c r="DK1040" s="5" t="s">
        <v>240</v>
      </c>
      <c r="DL1040" s="5" t="s">
        <v>240</v>
      </c>
      <c r="DP1040" s="5" t="s">
        <v>240</v>
      </c>
      <c r="DQ1040" s="5" t="s">
        <v>240</v>
      </c>
      <c r="DR1040" s="5" t="s">
        <v>240</v>
      </c>
      <c r="DS1040" s="5" t="s">
        <v>240</v>
      </c>
      <c r="DV1040" s="5" t="s">
        <v>813</v>
      </c>
      <c r="DW1040" s="5" t="s">
        <v>2213</v>
      </c>
      <c r="HO1040" s="5" t="s">
        <v>312</v>
      </c>
    </row>
    <row r="1041" spans="1:240" x14ac:dyDescent="0.4">
      <c r="A1041" s="5">
        <v>2716</v>
      </c>
      <c r="B1041" s="5">
        <v>1</v>
      </c>
      <c r="C1041" s="5">
        <v>1</v>
      </c>
      <c r="D1041" s="5" t="s">
        <v>297</v>
      </c>
      <c r="E1041" s="5" t="s">
        <v>245</v>
      </c>
      <c r="F1041" s="5" t="s">
        <v>254</v>
      </c>
      <c r="G1041" s="5" t="s">
        <v>240</v>
      </c>
      <c r="H1041" s="6" t="s">
        <v>1091</v>
      </c>
      <c r="I1041" s="5" t="s">
        <v>295</v>
      </c>
      <c r="J1041" s="8">
        <f>783</f>
        <v>783</v>
      </c>
      <c r="K1041" s="5" t="s">
        <v>308</v>
      </c>
      <c r="L1041" s="7">
        <f>1</f>
        <v>1</v>
      </c>
      <c r="M1041" s="7">
        <f>1</f>
        <v>1</v>
      </c>
      <c r="N1041" s="5" t="s">
        <v>242</v>
      </c>
      <c r="O1041" s="5">
        <v>1</v>
      </c>
      <c r="P1041" s="5" t="s">
        <v>294</v>
      </c>
      <c r="Q1041" s="5" t="s">
        <v>266</v>
      </c>
      <c r="R1041" s="5" t="s">
        <v>240</v>
      </c>
      <c r="S1041" s="5" t="s">
        <v>240</v>
      </c>
      <c r="T1041" s="5" t="s">
        <v>296</v>
      </c>
      <c r="U1041" s="5" t="s">
        <v>244</v>
      </c>
      <c r="V1041" s="5" t="s">
        <v>240</v>
      </c>
      <c r="Y1041" s="5" t="s">
        <v>240</v>
      </c>
      <c r="Z1041" s="6" t="s">
        <v>298</v>
      </c>
      <c r="AB1041" s="6" t="s">
        <v>240</v>
      </c>
      <c r="AE1041" s="6" t="s">
        <v>2214</v>
      </c>
      <c r="AF1041" s="5" t="s">
        <v>248</v>
      </c>
      <c r="AG1041" s="5" t="s">
        <v>249</v>
      </c>
      <c r="AW1041" s="5" t="s">
        <v>251</v>
      </c>
      <c r="AX1041" s="5" t="s">
        <v>240</v>
      </c>
      <c r="AY1041" s="5" t="s">
        <v>253</v>
      </c>
      <c r="AZ1041" s="5" t="s">
        <v>240</v>
      </c>
      <c r="BA1041" s="5" t="s">
        <v>255</v>
      </c>
      <c r="BB1041" s="5" t="s">
        <v>240</v>
      </c>
      <c r="BD1041" s="5" t="s">
        <v>240</v>
      </c>
      <c r="BF1041" s="5" t="s">
        <v>687</v>
      </c>
      <c r="BG1041" s="6" t="s">
        <v>2214</v>
      </c>
      <c r="BH1041" s="5" t="s">
        <v>302</v>
      </c>
      <c r="BI1041" s="5" t="s">
        <v>303</v>
      </c>
      <c r="BJ1041" s="5" t="s">
        <v>240</v>
      </c>
      <c r="BK1041" s="8">
        <f>0</f>
        <v>0</v>
      </c>
      <c r="BL1041" s="7">
        <f>0</f>
        <v>0</v>
      </c>
      <c r="BM1041" s="5" t="s">
        <v>258</v>
      </c>
      <c r="BN1041" s="5" t="s">
        <v>259</v>
      </c>
      <c r="CB1041" s="5" t="s">
        <v>240</v>
      </c>
      <c r="CC1041" s="5" t="s">
        <v>240</v>
      </c>
      <c r="CG1041" s="5" t="s">
        <v>304</v>
      </c>
      <c r="CH1041" s="5" t="s">
        <v>305</v>
      </c>
      <c r="CI1041" s="5" t="s">
        <v>240</v>
      </c>
      <c r="CL1041" s="6" t="s">
        <v>261</v>
      </c>
      <c r="CM1041" s="5" t="s">
        <v>240</v>
      </c>
      <c r="CN1041" s="5" t="s">
        <v>263</v>
      </c>
      <c r="CO1041" s="5" t="s">
        <v>240</v>
      </c>
      <c r="CP1041" s="5" t="s">
        <v>240</v>
      </c>
      <c r="CQ1041" s="5">
        <v>0</v>
      </c>
      <c r="CR1041" s="5" t="s">
        <v>306</v>
      </c>
      <c r="CS1041" s="5" t="s">
        <v>307</v>
      </c>
      <c r="CT1041" s="5" t="s">
        <v>307</v>
      </c>
      <c r="CU1041" s="5" t="s">
        <v>260</v>
      </c>
      <c r="CX1041" s="7">
        <f>1</f>
        <v>1</v>
      </c>
      <c r="CY1041" s="7">
        <f>0</f>
        <v>0</v>
      </c>
      <c r="DA1041" s="7">
        <f>0</f>
        <v>0</v>
      </c>
      <c r="DC1041" s="5" t="s">
        <v>812</v>
      </c>
      <c r="DD1041" s="5" t="s">
        <v>240</v>
      </c>
      <c r="DF1041" s="5" t="s">
        <v>812</v>
      </c>
      <c r="DG1041" s="7">
        <f>147</f>
        <v>147</v>
      </c>
      <c r="DI1041" s="5" t="s">
        <v>240</v>
      </c>
      <c r="DJ1041" s="5" t="s">
        <v>240</v>
      </c>
      <c r="DK1041" s="5" t="s">
        <v>240</v>
      </c>
      <c r="DL1041" s="5" t="s">
        <v>240</v>
      </c>
      <c r="DP1041" s="5" t="s">
        <v>240</v>
      </c>
      <c r="DQ1041" s="5" t="s">
        <v>240</v>
      </c>
      <c r="DR1041" s="5" t="s">
        <v>240</v>
      </c>
      <c r="DS1041" s="5" t="s">
        <v>240</v>
      </c>
      <c r="DV1041" s="5" t="s">
        <v>813</v>
      </c>
      <c r="DW1041" s="5" t="s">
        <v>2216</v>
      </c>
      <c r="HO1041" s="5" t="s">
        <v>312</v>
      </c>
    </row>
    <row r="1042" spans="1:240" x14ac:dyDescent="0.4">
      <c r="A1042" s="5">
        <v>2717</v>
      </c>
      <c r="B1042" s="5">
        <v>1</v>
      </c>
      <c r="C1042" s="5">
        <v>1</v>
      </c>
      <c r="D1042" s="5" t="s">
        <v>297</v>
      </c>
      <c r="E1042" s="5" t="s">
        <v>245</v>
      </c>
      <c r="F1042" s="5" t="s">
        <v>254</v>
      </c>
      <c r="G1042" s="5" t="s">
        <v>240</v>
      </c>
      <c r="H1042" s="6" t="s">
        <v>1093</v>
      </c>
      <c r="I1042" s="5" t="s">
        <v>295</v>
      </c>
      <c r="J1042" s="8">
        <f>217</f>
        <v>217</v>
      </c>
      <c r="K1042" s="5" t="s">
        <v>308</v>
      </c>
      <c r="L1042" s="7">
        <f>1</f>
        <v>1</v>
      </c>
      <c r="M1042" s="7">
        <f>1</f>
        <v>1</v>
      </c>
      <c r="N1042" s="5" t="s">
        <v>242</v>
      </c>
      <c r="O1042" s="5">
        <v>1</v>
      </c>
      <c r="P1042" s="5" t="s">
        <v>294</v>
      </c>
      <c r="Q1042" s="5" t="s">
        <v>266</v>
      </c>
      <c r="R1042" s="5" t="s">
        <v>240</v>
      </c>
      <c r="S1042" s="5" t="s">
        <v>240</v>
      </c>
      <c r="T1042" s="5" t="s">
        <v>296</v>
      </c>
      <c r="U1042" s="5" t="s">
        <v>244</v>
      </c>
      <c r="V1042" s="5" t="s">
        <v>240</v>
      </c>
      <c r="Y1042" s="5" t="s">
        <v>240</v>
      </c>
      <c r="Z1042" s="6" t="s">
        <v>298</v>
      </c>
      <c r="AB1042" s="6" t="s">
        <v>240</v>
      </c>
      <c r="AE1042" s="6" t="s">
        <v>299</v>
      </c>
      <c r="AF1042" s="5" t="s">
        <v>248</v>
      </c>
      <c r="AG1042" s="5" t="s">
        <v>249</v>
      </c>
      <c r="AW1042" s="5" t="s">
        <v>251</v>
      </c>
      <c r="AX1042" s="5" t="s">
        <v>240</v>
      </c>
      <c r="AY1042" s="5" t="s">
        <v>253</v>
      </c>
      <c r="AZ1042" s="5" t="s">
        <v>240</v>
      </c>
      <c r="BA1042" s="5" t="s">
        <v>255</v>
      </c>
      <c r="BB1042" s="5" t="s">
        <v>240</v>
      </c>
      <c r="BD1042" s="5" t="s">
        <v>240</v>
      </c>
      <c r="BF1042" s="5" t="s">
        <v>301</v>
      </c>
      <c r="BG1042" s="6" t="s">
        <v>299</v>
      </c>
      <c r="BH1042" s="5" t="s">
        <v>302</v>
      </c>
      <c r="BI1042" s="5" t="s">
        <v>303</v>
      </c>
      <c r="BJ1042" s="5" t="s">
        <v>240</v>
      </c>
      <c r="BK1042" s="8">
        <f>0</f>
        <v>0</v>
      </c>
      <c r="BL1042" s="7">
        <f>0</f>
        <v>0</v>
      </c>
      <c r="BM1042" s="5" t="s">
        <v>258</v>
      </c>
      <c r="BN1042" s="5" t="s">
        <v>259</v>
      </c>
      <c r="CB1042" s="5" t="s">
        <v>240</v>
      </c>
      <c r="CC1042" s="5" t="s">
        <v>240</v>
      </c>
      <c r="CG1042" s="5" t="s">
        <v>304</v>
      </c>
      <c r="CH1042" s="5" t="s">
        <v>305</v>
      </c>
      <c r="CI1042" s="5" t="s">
        <v>240</v>
      </c>
      <c r="CL1042" s="6" t="s">
        <v>261</v>
      </c>
      <c r="CM1042" s="5" t="s">
        <v>240</v>
      </c>
      <c r="CN1042" s="5" t="s">
        <v>263</v>
      </c>
      <c r="CO1042" s="5" t="s">
        <v>240</v>
      </c>
      <c r="CP1042" s="5" t="s">
        <v>240</v>
      </c>
      <c r="CQ1042" s="5">
        <v>0</v>
      </c>
      <c r="CR1042" s="5" t="s">
        <v>306</v>
      </c>
      <c r="CS1042" s="5" t="s">
        <v>307</v>
      </c>
      <c r="CT1042" s="5" t="s">
        <v>307</v>
      </c>
      <c r="CU1042" s="5" t="s">
        <v>260</v>
      </c>
      <c r="CX1042" s="7">
        <f>1</f>
        <v>1</v>
      </c>
      <c r="CY1042" s="7">
        <f>0</f>
        <v>0</v>
      </c>
      <c r="DA1042" s="7">
        <f>0</f>
        <v>0</v>
      </c>
      <c r="DC1042" s="5" t="s">
        <v>812</v>
      </c>
      <c r="DD1042" s="5" t="s">
        <v>240</v>
      </c>
      <c r="DF1042" s="5" t="s">
        <v>812</v>
      </c>
      <c r="DG1042" s="7">
        <f>548</f>
        <v>548</v>
      </c>
      <c r="DI1042" s="5" t="s">
        <v>240</v>
      </c>
      <c r="DJ1042" s="5" t="s">
        <v>240</v>
      </c>
      <c r="DK1042" s="5" t="s">
        <v>240</v>
      </c>
      <c r="DL1042" s="5" t="s">
        <v>240</v>
      </c>
      <c r="DP1042" s="5" t="s">
        <v>240</v>
      </c>
      <c r="DQ1042" s="5" t="s">
        <v>240</v>
      </c>
      <c r="DR1042" s="5" t="s">
        <v>240</v>
      </c>
      <c r="DS1042" s="5" t="s">
        <v>240</v>
      </c>
      <c r="DV1042" s="5" t="s">
        <v>813</v>
      </c>
      <c r="DW1042" s="5" t="s">
        <v>2218</v>
      </c>
      <c r="HO1042" s="5" t="s">
        <v>312</v>
      </c>
    </row>
    <row r="1043" spans="1:240" x14ac:dyDescent="0.4">
      <c r="A1043" s="5">
        <v>2718</v>
      </c>
      <c r="B1043" s="5">
        <v>1</v>
      </c>
      <c r="C1043" s="5">
        <v>1</v>
      </c>
      <c r="D1043" s="5" t="s">
        <v>297</v>
      </c>
      <c r="E1043" s="5" t="s">
        <v>245</v>
      </c>
      <c r="F1043" s="5" t="s">
        <v>254</v>
      </c>
      <c r="G1043" s="5" t="s">
        <v>240</v>
      </c>
      <c r="H1043" s="6" t="s">
        <v>1095</v>
      </c>
      <c r="I1043" s="5" t="s">
        <v>295</v>
      </c>
      <c r="J1043" s="8">
        <f>111</f>
        <v>111</v>
      </c>
      <c r="K1043" s="5" t="s">
        <v>308</v>
      </c>
      <c r="L1043" s="7">
        <f>1</f>
        <v>1</v>
      </c>
      <c r="M1043" s="7">
        <f>1</f>
        <v>1</v>
      </c>
      <c r="N1043" s="5" t="s">
        <v>242</v>
      </c>
      <c r="O1043" s="5">
        <v>1</v>
      </c>
      <c r="P1043" s="5" t="s">
        <v>294</v>
      </c>
      <c r="Q1043" s="5" t="s">
        <v>266</v>
      </c>
      <c r="R1043" s="5" t="s">
        <v>240</v>
      </c>
      <c r="S1043" s="5" t="s">
        <v>240</v>
      </c>
      <c r="T1043" s="5" t="s">
        <v>296</v>
      </c>
      <c r="U1043" s="5" t="s">
        <v>244</v>
      </c>
      <c r="V1043" s="5" t="s">
        <v>240</v>
      </c>
      <c r="Y1043" s="5" t="s">
        <v>240</v>
      </c>
      <c r="Z1043" s="6" t="s">
        <v>298</v>
      </c>
      <c r="AB1043" s="6" t="s">
        <v>240</v>
      </c>
      <c r="AE1043" s="6" t="s">
        <v>299</v>
      </c>
      <c r="AF1043" s="5" t="s">
        <v>248</v>
      </c>
      <c r="AG1043" s="5" t="s">
        <v>249</v>
      </c>
      <c r="AW1043" s="5" t="s">
        <v>251</v>
      </c>
      <c r="AX1043" s="5" t="s">
        <v>240</v>
      </c>
      <c r="AY1043" s="5" t="s">
        <v>253</v>
      </c>
      <c r="AZ1043" s="5" t="s">
        <v>240</v>
      </c>
      <c r="BA1043" s="5" t="s">
        <v>255</v>
      </c>
      <c r="BB1043" s="5" t="s">
        <v>240</v>
      </c>
      <c r="BD1043" s="5" t="s">
        <v>240</v>
      </c>
      <c r="BF1043" s="5" t="s">
        <v>301</v>
      </c>
      <c r="BG1043" s="6" t="s">
        <v>299</v>
      </c>
      <c r="BH1043" s="5" t="s">
        <v>302</v>
      </c>
      <c r="BI1043" s="5" t="s">
        <v>303</v>
      </c>
      <c r="BJ1043" s="5" t="s">
        <v>240</v>
      </c>
      <c r="BK1043" s="8">
        <f>0</f>
        <v>0</v>
      </c>
      <c r="BL1043" s="7">
        <f>0</f>
        <v>0</v>
      </c>
      <c r="BM1043" s="5" t="s">
        <v>258</v>
      </c>
      <c r="BN1043" s="5" t="s">
        <v>259</v>
      </c>
      <c r="CB1043" s="5" t="s">
        <v>240</v>
      </c>
      <c r="CC1043" s="5" t="s">
        <v>240</v>
      </c>
      <c r="CG1043" s="5" t="s">
        <v>304</v>
      </c>
      <c r="CH1043" s="5" t="s">
        <v>305</v>
      </c>
      <c r="CI1043" s="5" t="s">
        <v>240</v>
      </c>
      <c r="CL1043" s="6" t="s">
        <v>261</v>
      </c>
      <c r="CM1043" s="5" t="s">
        <v>240</v>
      </c>
      <c r="CN1043" s="5" t="s">
        <v>263</v>
      </c>
      <c r="CO1043" s="5" t="s">
        <v>240</v>
      </c>
      <c r="CP1043" s="5" t="s">
        <v>240</v>
      </c>
      <c r="CQ1043" s="5">
        <v>0</v>
      </c>
      <c r="CR1043" s="5" t="s">
        <v>306</v>
      </c>
      <c r="CS1043" s="5" t="s">
        <v>307</v>
      </c>
      <c r="CT1043" s="5" t="s">
        <v>307</v>
      </c>
      <c r="CU1043" s="5" t="s">
        <v>260</v>
      </c>
      <c r="CX1043" s="7">
        <f>1</f>
        <v>1</v>
      </c>
      <c r="CY1043" s="7">
        <f>0</f>
        <v>0</v>
      </c>
      <c r="DA1043" s="7">
        <f>0</f>
        <v>0</v>
      </c>
      <c r="DC1043" s="5" t="s">
        <v>812</v>
      </c>
      <c r="DD1043" s="5" t="s">
        <v>240</v>
      </c>
      <c r="DF1043" s="5" t="s">
        <v>812</v>
      </c>
      <c r="DG1043" s="7">
        <f>555</f>
        <v>555</v>
      </c>
      <c r="DI1043" s="5" t="s">
        <v>240</v>
      </c>
      <c r="DJ1043" s="5" t="s">
        <v>240</v>
      </c>
      <c r="DK1043" s="5" t="s">
        <v>240</v>
      </c>
      <c r="DL1043" s="5" t="s">
        <v>240</v>
      </c>
      <c r="DP1043" s="5" t="s">
        <v>240</v>
      </c>
      <c r="DQ1043" s="5" t="s">
        <v>240</v>
      </c>
      <c r="DR1043" s="5" t="s">
        <v>240</v>
      </c>
      <c r="DS1043" s="5" t="s">
        <v>240</v>
      </c>
      <c r="DV1043" s="5" t="s">
        <v>813</v>
      </c>
      <c r="DW1043" s="5" t="s">
        <v>2220</v>
      </c>
      <c r="HO1043" s="5" t="s">
        <v>312</v>
      </c>
    </row>
    <row r="1044" spans="1:240" x14ac:dyDescent="0.4">
      <c r="A1044" s="5">
        <v>2719</v>
      </c>
      <c r="B1044" s="5">
        <v>1</v>
      </c>
      <c r="C1044" s="5">
        <v>1</v>
      </c>
      <c r="D1044" s="5" t="s">
        <v>297</v>
      </c>
      <c r="E1044" s="5" t="s">
        <v>245</v>
      </c>
      <c r="F1044" s="5" t="s">
        <v>254</v>
      </c>
      <c r="G1044" s="5" t="s">
        <v>240</v>
      </c>
      <c r="H1044" s="6" t="s">
        <v>1097</v>
      </c>
      <c r="I1044" s="5" t="s">
        <v>295</v>
      </c>
      <c r="J1044" s="8">
        <f>128</f>
        <v>128</v>
      </c>
      <c r="K1044" s="5" t="s">
        <v>308</v>
      </c>
      <c r="L1044" s="7">
        <f>1</f>
        <v>1</v>
      </c>
      <c r="M1044" s="7">
        <f>1</f>
        <v>1</v>
      </c>
      <c r="N1044" s="5" t="s">
        <v>242</v>
      </c>
      <c r="O1044" s="5">
        <v>1</v>
      </c>
      <c r="P1044" s="5" t="s">
        <v>294</v>
      </c>
      <c r="Q1044" s="5" t="s">
        <v>266</v>
      </c>
      <c r="R1044" s="5" t="s">
        <v>240</v>
      </c>
      <c r="S1044" s="5" t="s">
        <v>240</v>
      </c>
      <c r="T1044" s="5" t="s">
        <v>296</v>
      </c>
      <c r="U1044" s="5" t="s">
        <v>244</v>
      </c>
      <c r="V1044" s="5" t="s">
        <v>240</v>
      </c>
      <c r="Y1044" s="5" t="s">
        <v>240</v>
      </c>
      <c r="Z1044" s="6" t="s">
        <v>298</v>
      </c>
      <c r="AB1044" s="6" t="s">
        <v>240</v>
      </c>
      <c r="AE1044" s="6" t="s">
        <v>299</v>
      </c>
      <c r="AF1044" s="5" t="s">
        <v>248</v>
      </c>
      <c r="AG1044" s="5" t="s">
        <v>249</v>
      </c>
      <c r="AW1044" s="5" t="s">
        <v>251</v>
      </c>
      <c r="AX1044" s="5" t="s">
        <v>240</v>
      </c>
      <c r="AY1044" s="5" t="s">
        <v>253</v>
      </c>
      <c r="AZ1044" s="5" t="s">
        <v>240</v>
      </c>
      <c r="BA1044" s="5" t="s">
        <v>255</v>
      </c>
      <c r="BB1044" s="5" t="s">
        <v>240</v>
      </c>
      <c r="BD1044" s="5" t="s">
        <v>240</v>
      </c>
      <c r="BF1044" s="5" t="s">
        <v>301</v>
      </c>
      <c r="BG1044" s="6" t="s">
        <v>299</v>
      </c>
      <c r="BH1044" s="5" t="s">
        <v>302</v>
      </c>
      <c r="BI1044" s="5" t="s">
        <v>303</v>
      </c>
      <c r="BJ1044" s="5" t="s">
        <v>240</v>
      </c>
      <c r="BK1044" s="8">
        <f>0</f>
        <v>0</v>
      </c>
      <c r="BL1044" s="7">
        <f>0</f>
        <v>0</v>
      </c>
      <c r="BM1044" s="5" t="s">
        <v>258</v>
      </c>
      <c r="BN1044" s="5" t="s">
        <v>259</v>
      </c>
      <c r="CB1044" s="5" t="s">
        <v>240</v>
      </c>
      <c r="CC1044" s="5" t="s">
        <v>240</v>
      </c>
      <c r="CG1044" s="5" t="s">
        <v>304</v>
      </c>
      <c r="CH1044" s="5" t="s">
        <v>305</v>
      </c>
      <c r="CI1044" s="5" t="s">
        <v>240</v>
      </c>
      <c r="CL1044" s="6" t="s">
        <v>261</v>
      </c>
      <c r="CM1044" s="5" t="s">
        <v>240</v>
      </c>
      <c r="CN1044" s="5" t="s">
        <v>263</v>
      </c>
      <c r="CO1044" s="5" t="s">
        <v>240</v>
      </c>
      <c r="CP1044" s="5" t="s">
        <v>240</v>
      </c>
      <c r="CQ1044" s="5">
        <v>0</v>
      </c>
      <c r="CR1044" s="5" t="s">
        <v>306</v>
      </c>
      <c r="CS1044" s="5" t="s">
        <v>307</v>
      </c>
      <c r="CT1044" s="5" t="s">
        <v>307</v>
      </c>
      <c r="CU1044" s="5" t="s">
        <v>260</v>
      </c>
      <c r="CX1044" s="7">
        <f>1</f>
        <v>1</v>
      </c>
      <c r="CY1044" s="7">
        <f>0</f>
        <v>0</v>
      </c>
      <c r="DA1044" s="7">
        <f>0</f>
        <v>0</v>
      </c>
      <c r="DC1044" s="5" t="s">
        <v>812</v>
      </c>
      <c r="DD1044" s="5" t="s">
        <v>240</v>
      </c>
      <c r="DF1044" s="5" t="s">
        <v>812</v>
      </c>
      <c r="DG1044" s="7">
        <f>78</f>
        <v>78</v>
      </c>
      <c r="DI1044" s="5" t="s">
        <v>240</v>
      </c>
      <c r="DJ1044" s="5" t="s">
        <v>240</v>
      </c>
      <c r="DK1044" s="5" t="s">
        <v>240</v>
      </c>
      <c r="DL1044" s="5" t="s">
        <v>240</v>
      </c>
      <c r="DP1044" s="5" t="s">
        <v>240</v>
      </c>
      <c r="DQ1044" s="5" t="s">
        <v>240</v>
      </c>
      <c r="DR1044" s="5" t="s">
        <v>240</v>
      </c>
      <c r="DS1044" s="5" t="s">
        <v>240</v>
      </c>
      <c r="DV1044" s="5" t="s">
        <v>813</v>
      </c>
      <c r="DW1044" s="5" t="s">
        <v>2222</v>
      </c>
      <c r="HO1044" s="5" t="s">
        <v>312</v>
      </c>
    </row>
    <row r="1045" spans="1:240" x14ac:dyDescent="0.4">
      <c r="A1045" s="5">
        <v>2720</v>
      </c>
      <c r="B1045" s="5">
        <v>1</v>
      </c>
      <c r="C1045" s="5">
        <v>1</v>
      </c>
      <c r="D1045" s="5" t="s">
        <v>297</v>
      </c>
      <c r="E1045" s="5" t="s">
        <v>245</v>
      </c>
      <c r="F1045" s="5" t="s">
        <v>254</v>
      </c>
      <c r="G1045" s="5" t="s">
        <v>240</v>
      </c>
      <c r="H1045" s="6" t="s">
        <v>1099</v>
      </c>
      <c r="I1045" s="5" t="s">
        <v>295</v>
      </c>
      <c r="J1045" s="8">
        <f>34</f>
        <v>34</v>
      </c>
      <c r="K1045" s="5" t="s">
        <v>308</v>
      </c>
      <c r="L1045" s="7">
        <f>1</f>
        <v>1</v>
      </c>
      <c r="M1045" s="7">
        <f>1</f>
        <v>1</v>
      </c>
      <c r="N1045" s="5" t="s">
        <v>242</v>
      </c>
      <c r="O1045" s="5">
        <v>1</v>
      </c>
      <c r="P1045" s="5" t="s">
        <v>294</v>
      </c>
      <c r="Q1045" s="5" t="s">
        <v>266</v>
      </c>
      <c r="R1045" s="5" t="s">
        <v>240</v>
      </c>
      <c r="S1045" s="5" t="s">
        <v>240</v>
      </c>
      <c r="T1045" s="5" t="s">
        <v>296</v>
      </c>
      <c r="U1045" s="5" t="s">
        <v>244</v>
      </c>
      <c r="V1045" s="5" t="s">
        <v>240</v>
      </c>
      <c r="Y1045" s="5" t="s">
        <v>240</v>
      </c>
      <c r="Z1045" s="6" t="s">
        <v>298</v>
      </c>
      <c r="AB1045" s="6" t="s">
        <v>240</v>
      </c>
      <c r="AE1045" s="6" t="s">
        <v>299</v>
      </c>
      <c r="AF1045" s="5" t="s">
        <v>248</v>
      </c>
      <c r="AG1045" s="5" t="s">
        <v>249</v>
      </c>
      <c r="AW1045" s="5" t="s">
        <v>251</v>
      </c>
      <c r="AX1045" s="5" t="s">
        <v>240</v>
      </c>
      <c r="AY1045" s="5" t="s">
        <v>253</v>
      </c>
      <c r="AZ1045" s="5" t="s">
        <v>240</v>
      </c>
      <c r="BA1045" s="5" t="s">
        <v>255</v>
      </c>
      <c r="BB1045" s="5" t="s">
        <v>240</v>
      </c>
      <c r="BD1045" s="5" t="s">
        <v>240</v>
      </c>
      <c r="BF1045" s="5" t="s">
        <v>301</v>
      </c>
      <c r="BG1045" s="6" t="s">
        <v>299</v>
      </c>
      <c r="BH1045" s="5" t="s">
        <v>302</v>
      </c>
      <c r="BI1045" s="5" t="s">
        <v>303</v>
      </c>
      <c r="BJ1045" s="5" t="s">
        <v>240</v>
      </c>
      <c r="BK1045" s="8">
        <f>0</f>
        <v>0</v>
      </c>
      <c r="BL1045" s="7">
        <f>0</f>
        <v>0</v>
      </c>
      <c r="BM1045" s="5" t="s">
        <v>258</v>
      </c>
      <c r="BN1045" s="5" t="s">
        <v>259</v>
      </c>
      <c r="CB1045" s="5" t="s">
        <v>240</v>
      </c>
      <c r="CC1045" s="5" t="s">
        <v>240</v>
      </c>
      <c r="CG1045" s="5" t="s">
        <v>304</v>
      </c>
      <c r="CH1045" s="5" t="s">
        <v>305</v>
      </c>
      <c r="CI1045" s="5" t="s">
        <v>240</v>
      </c>
      <c r="CL1045" s="6" t="s">
        <v>261</v>
      </c>
      <c r="CM1045" s="5" t="s">
        <v>240</v>
      </c>
      <c r="CN1045" s="5" t="s">
        <v>263</v>
      </c>
      <c r="CO1045" s="5" t="s">
        <v>240</v>
      </c>
      <c r="CP1045" s="5" t="s">
        <v>240</v>
      </c>
      <c r="CQ1045" s="5">
        <v>0</v>
      </c>
      <c r="CR1045" s="5" t="s">
        <v>306</v>
      </c>
      <c r="CS1045" s="5" t="s">
        <v>307</v>
      </c>
      <c r="CT1045" s="5" t="s">
        <v>307</v>
      </c>
      <c r="CU1045" s="5" t="s">
        <v>260</v>
      </c>
      <c r="CX1045" s="7">
        <f>1</f>
        <v>1</v>
      </c>
      <c r="CY1045" s="7">
        <f>0</f>
        <v>0</v>
      </c>
      <c r="DA1045" s="7">
        <f>0</f>
        <v>0</v>
      </c>
      <c r="DC1045" s="5" t="s">
        <v>812</v>
      </c>
      <c r="DD1045" s="5" t="s">
        <v>240</v>
      </c>
      <c r="DF1045" s="5" t="s">
        <v>812</v>
      </c>
      <c r="DG1045" s="7">
        <f>21</f>
        <v>21</v>
      </c>
      <c r="DI1045" s="5" t="s">
        <v>240</v>
      </c>
      <c r="DJ1045" s="5" t="s">
        <v>240</v>
      </c>
      <c r="DK1045" s="5" t="s">
        <v>240</v>
      </c>
      <c r="DL1045" s="5" t="s">
        <v>240</v>
      </c>
      <c r="DP1045" s="5" t="s">
        <v>240</v>
      </c>
      <c r="DQ1045" s="5" t="s">
        <v>240</v>
      </c>
      <c r="DR1045" s="5" t="s">
        <v>240</v>
      </c>
      <c r="DS1045" s="5" t="s">
        <v>240</v>
      </c>
      <c r="DV1045" s="5" t="s">
        <v>813</v>
      </c>
      <c r="DW1045" s="5" t="s">
        <v>2224</v>
      </c>
      <c r="HO1045" s="5" t="s">
        <v>312</v>
      </c>
    </row>
    <row r="1046" spans="1:240" x14ac:dyDescent="0.4">
      <c r="A1046" s="5">
        <v>2721</v>
      </c>
      <c r="B1046" s="5">
        <v>1</v>
      </c>
      <c r="C1046" s="5">
        <v>1</v>
      </c>
      <c r="D1046" s="5" t="s">
        <v>297</v>
      </c>
      <c r="E1046" s="5" t="s">
        <v>245</v>
      </c>
      <c r="F1046" s="5" t="s">
        <v>254</v>
      </c>
      <c r="G1046" s="5" t="s">
        <v>240</v>
      </c>
      <c r="H1046" s="6" t="s">
        <v>1101</v>
      </c>
      <c r="I1046" s="5" t="s">
        <v>295</v>
      </c>
      <c r="J1046" s="8">
        <f>328</f>
        <v>328</v>
      </c>
      <c r="K1046" s="5" t="s">
        <v>308</v>
      </c>
      <c r="L1046" s="7">
        <f>1</f>
        <v>1</v>
      </c>
      <c r="M1046" s="7">
        <f>1</f>
        <v>1</v>
      </c>
      <c r="N1046" s="5" t="s">
        <v>242</v>
      </c>
      <c r="O1046" s="5">
        <v>1</v>
      </c>
      <c r="P1046" s="5" t="s">
        <v>294</v>
      </c>
      <c r="Q1046" s="5" t="s">
        <v>266</v>
      </c>
      <c r="R1046" s="5" t="s">
        <v>240</v>
      </c>
      <c r="S1046" s="5" t="s">
        <v>240</v>
      </c>
      <c r="T1046" s="5" t="s">
        <v>296</v>
      </c>
      <c r="U1046" s="5" t="s">
        <v>244</v>
      </c>
      <c r="V1046" s="5" t="s">
        <v>240</v>
      </c>
      <c r="Y1046" s="5" t="s">
        <v>240</v>
      </c>
      <c r="Z1046" s="6" t="s">
        <v>298</v>
      </c>
      <c r="AB1046" s="6" t="s">
        <v>240</v>
      </c>
      <c r="AE1046" s="6" t="s">
        <v>299</v>
      </c>
      <c r="AF1046" s="5" t="s">
        <v>248</v>
      </c>
      <c r="AG1046" s="5" t="s">
        <v>249</v>
      </c>
      <c r="AW1046" s="5" t="s">
        <v>251</v>
      </c>
      <c r="AX1046" s="5" t="s">
        <v>240</v>
      </c>
      <c r="AY1046" s="5" t="s">
        <v>253</v>
      </c>
      <c r="AZ1046" s="5" t="s">
        <v>240</v>
      </c>
      <c r="BA1046" s="5" t="s">
        <v>255</v>
      </c>
      <c r="BB1046" s="5" t="s">
        <v>240</v>
      </c>
      <c r="BD1046" s="5" t="s">
        <v>240</v>
      </c>
      <c r="BF1046" s="5" t="s">
        <v>301</v>
      </c>
      <c r="BG1046" s="6" t="s">
        <v>299</v>
      </c>
      <c r="BH1046" s="5" t="s">
        <v>302</v>
      </c>
      <c r="BI1046" s="5" t="s">
        <v>303</v>
      </c>
      <c r="BJ1046" s="5" t="s">
        <v>240</v>
      </c>
      <c r="BK1046" s="8">
        <f>0</f>
        <v>0</v>
      </c>
      <c r="BL1046" s="7">
        <f>0</f>
        <v>0</v>
      </c>
      <c r="BM1046" s="5" t="s">
        <v>258</v>
      </c>
      <c r="BN1046" s="5" t="s">
        <v>259</v>
      </c>
      <c r="CB1046" s="5" t="s">
        <v>240</v>
      </c>
      <c r="CC1046" s="5" t="s">
        <v>240</v>
      </c>
      <c r="CG1046" s="5" t="s">
        <v>304</v>
      </c>
      <c r="CH1046" s="5" t="s">
        <v>305</v>
      </c>
      <c r="CI1046" s="5" t="s">
        <v>240</v>
      </c>
      <c r="CL1046" s="6" t="s">
        <v>261</v>
      </c>
      <c r="CM1046" s="5" t="s">
        <v>240</v>
      </c>
      <c r="CN1046" s="5" t="s">
        <v>263</v>
      </c>
      <c r="CO1046" s="5" t="s">
        <v>240</v>
      </c>
      <c r="CP1046" s="5" t="s">
        <v>240</v>
      </c>
      <c r="CQ1046" s="5">
        <v>0</v>
      </c>
      <c r="CR1046" s="5" t="s">
        <v>306</v>
      </c>
      <c r="CS1046" s="5" t="s">
        <v>307</v>
      </c>
      <c r="CT1046" s="5" t="s">
        <v>307</v>
      </c>
      <c r="CU1046" s="5" t="s">
        <v>260</v>
      </c>
      <c r="CX1046" s="7">
        <f>1</f>
        <v>1</v>
      </c>
      <c r="CY1046" s="7">
        <f>0</f>
        <v>0</v>
      </c>
      <c r="DA1046" s="7">
        <f>0</f>
        <v>0</v>
      </c>
      <c r="DC1046" s="5" t="s">
        <v>812</v>
      </c>
      <c r="DD1046" s="5" t="s">
        <v>240</v>
      </c>
      <c r="DF1046" s="5" t="s">
        <v>812</v>
      </c>
      <c r="DG1046" s="7">
        <f>2812</f>
        <v>2812</v>
      </c>
      <c r="DI1046" s="5" t="s">
        <v>240</v>
      </c>
      <c r="DJ1046" s="5" t="s">
        <v>240</v>
      </c>
      <c r="DK1046" s="5" t="s">
        <v>240</v>
      </c>
      <c r="DL1046" s="5" t="s">
        <v>240</v>
      </c>
      <c r="DP1046" s="5" t="s">
        <v>240</v>
      </c>
      <c r="DQ1046" s="5" t="s">
        <v>240</v>
      </c>
      <c r="DR1046" s="5" t="s">
        <v>240</v>
      </c>
      <c r="DS1046" s="5" t="s">
        <v>240</v>
      </c>
      <c r="DV1046" s="5" t="s">
        <v>813</v>
      </c>
      <c r="DW1046" s="5" t="s">
        <v>2226</v>
      </c>
      <c r="HO1046" s="5" t="s">
        <v>312</v>
      </c>
    </row>
    <row r="1047" spans="1:240" x14ac:dyDescent="0.4">
      <c r="A1047" s="5">
        <v>2722</v>
      </c>
      <c r="B1047" s="5">
        <v>1</v>
      </c>
      <c r="C1047" s="5">
        <v>1</v>
      </c>
      <c r="D1047" s="5" t="s">
        <v>297</v>
      </c>
      <c r="E1047" s="5" t="s">
        <v>245</v>
      </c>
      <c r="F1047" s="5" t="s">
        <v>254</v>
      </c>
      <c r="G1047" s="5" t="s">
        <v>240</v>
      </c>
      <c r="H1047" s="6" t="s">
        <v>1103</v>
      </c>
      <c r="I1047" s="5" t="s">
        <v>295</v>
      </c>
      <c r="J1047" s="8">
        <f>99</f>
        <v>99</v>
      </c>
      <c r="K1047" s="5" t="s">
        <v>308</v>
      </c>
      <c r="L1047" s="7">
        <f>1</f>
        <v>1</v>
      </c>
      <c r="M1047" s="7">
        <f>1</f>
        <v>1</v>
      </c>
      <c r="N1047" s="5" t="s">
        <v>242</v>
      </c>
      <c r="O1047" s="5">
        <v>1</v>
      </c>
      <c r="P1047" s="5" t="s">
        <v>294</v>
      </c>
      <c r="Q1047" s="5" t="s">
        <v>266</v>
      </c>
      <c r="R1047" s="5" t="s">
        <v>240</v>
      </c>
      <c r="S1047" s="5" t="s">
        <v>240</v>
      </c>
      <c r="T1047" s="5" t="s">
        <v>296</v>
      </c>
      <c r="U1047" s="5" t="s">
        <v>244</v>
      </c>
      <c r="V1047" s="5" t="s">
        <v>240</v>
      </c>
      <c r="Y1047" s="5" t="s">
        <v>240</v>
      </c>
      <c r="Z1047" s="6" t="s">
        <v>298</v>
      </c>
      <c r="AB1047" s="6" t="s">
        <v>240</v>
      </c>
      <c r="AE1047" s="6" t="s">
        <v>299</v>
      </c>
      <c r="AF1047" s="5" t="s">
        <v>248</v>
      </c>
      <c r="AG1047" s="5" t="s">
        <v>249</v>
      </c>
      <c r="AW1047" s="5" t="s">
        <v>251</v>
      </c>
      <c r="AX1047" s="5" t="s">
        <v>240</v>
      </c>
      <c r="AY1047" s="5" t="s">
        <v>253</v>
      </c>
      <c r="AZ1047" s="5" t="s">
        <v>240</v>
      </c>
      <c r="BA1047" s="5" t="s">
        <v>255</v>
      </c>
      <c r="BB1047" s="5" t="s">
        <v>240</v>
      </c>
      <c r="BD1047" s="5" t="s">
        <v>240</v>
      </c>
      <c r="BF1047" s="5" t="s">
        <v>301</v>
      </c>
      <c r="BG1047" s="6" t="s">
        <v>299</v>
      </c>
      <c r="BH1047" s="5" t="s">
        <v>302</v>
      </c>
      <c r="BI1047" s="5" t="s">
        <v>303</v>
      </c>
      <c r="BJ1047" s="5" t="s">
        <v>240</v>
      </c>
      <c r="BK1047" s="8">
        <f>0</f>
        <v>0</v>
      </c>
      <c r="BL1047" s="7">
        <f>0</f>
        <v>0</v>
      </c>
      <c r="BM1047" s="5" t="s">
        <v>258</v>
      </c>
      <c r="BN1047" s="5" t="s">
        <v>259</v>
      </c>
      <c r="CB1047" s="5" t="s">
        <v>240</v>
      </c>
      <c r="CC1047" s="5" t="s">
        <v>240</v>
      </c>
      <c r="CG1047" s="5" t="s">
        <v>304</v>
      </c>
      <c r="CH1047" s="5" t="s">
        <v>305</v>
      </c>
      <c r="CI1047" s="5" t="s">
        <v>240</v>
      </c>
      <c r="CL1047" s="6" t="s">
        <v>261</v>
      </c>
      <c r="CM1047" s="5" t="s">
        <v>240</v>
      </c>
      <c r="CN1047" s="5" t="s">
        <v>263</v>
      </c>
      <c r="CO1047" s="5" t="s">
        <v>240</v>
      </c>
      <c r="CP1047" s="5" t="s">
        <v>240</v>
      </c>
      <c r="CQ1047" s="5">
        <v>0</v>
      </c>
      <c r="CR1047" s="5" t="s">
        <v>306</v>
      </c>
      <c r="CS1047" s="5" t="s">
        <v>307</v>
      </c>
      <c r="CT1047" s="5" t="s">
        <v>307</v>
      </c>
      <c r="CU1047" s="5" t="s">
        <v>260</v>
      </c>
      <c r="CX1047" s="7">
        <f>1</f>
        <v>1</v>
      </c>
      <c r="CY1047" s="7">
        <f>0</f>
        <v>0</v>
      </c>
      <c r="DA1047" s="7">
        <f>0</f>
        <v>0</v>
      </c>
      <c r="DC1047" s="5" t="s">
        <v>812</v>
      </c>
      <c r="DD1047" s="5" t="s">
        <v>240</v>
      </c>
      <c r="DF1047" s="5" t="s">
        <v>812</v>
      </c>
      <c r="DG1047" s="7">
        <f>261</f>
        <v>261</v>
      </c>
      <c r="DI1047" s="5" t="s">
        <v>240</v>
      </c>
      <c r="DJ1047" s="5" t="s">
        <v>240</v>
      </c>
      <c r="DK1047" s="5" t="s">
        <v>240</v>
      </c>
      <c r="DL1047" s="5" t="s">
        <v>240</v>
      </c>
      <c r="DP1047" s="5" t="s">
        <v>240</v>
      </c>
      <c r="DQ1047" s="5" t="s">
        <v>240</v>
      </c>
      <c r="DR1047" s="5" t="s">
        <v>240</v>
      </c>
      <c r="DS1047" s="5" t="s">
        <v>240</v>
      </c>
      <c r="DV1047" s="5" t="s">
        <v>813</v>
      </c>
      <c r="DW1047" s="5" t="s">
        <v>2228</v>
      </c>
      <c r="HO1047" s="5" t="s">
        <v>312</v>
      </c>
    </row>
    <row r="1048" spans="1:240" x14ac:dyDescent="0.4">
      <c r="A1048" s="5">
        <v>2723</v>
      </c>
      <c r="B1048" s="5">
        <v>1</v>
      </c>
      <c r="C1048" s="5">
        <v>1</v>
      </c>
      <c r="D1048" s="5" t="s">
        <v>297</v>
      </c>
      <c r="E1048" s="5" t="s">
        <v>245</v>
      </c>
      <c r="F1048" s="5" t="s">
        <v>254</v>
      </c>
      <c r="G1048" s="5" t="s">
        <v>240</v>
      </c>
      <c r="H1048" s="6" t="s">
        <v>1105</v>
      </c>
      <c r="I1048" s="5" t="s">
        <v>295</v>
      </c>
      <c r="J1048" s="8">
        <f>847</f>
        <v>847</v>
      </c>
      <c r="K1048" s="5" t="s">
        <v>308</v>
      </c>
      <c r="L1048" s="7">
        <f>1</f>
        <v>1</v>
      </c>
      <c r="M1048" s="7">
        <f>1</f>
        <v>1</v>
      </c>
      <c r="N1048" s="5" t="s">
        <v>242</v>
      </c>
      <c r="O1048" s="5">
        <v>1</v>
      </c>
      <c r="P1048" s="5" t="s">
        <v>294</v>
      </c>
      <c r="Q1048" s="5" t="s">
        <v>266</v>
      </c>
      <c r="R1048" s="5" t="s">
        <v>240</v>
      </c>
      <c r="S1048" s="5" t="s">
        <v>240</v>
      </c>
      <c r="T1048" s="5" t="s">
        <v>296</v>
      </c>
      <c r="U1048" s="5" t="s">
        <v>244</v>
      </c>
      <c r="V1048" s="5" t="s">
        <v>240</v>
      </c>
      <c r="Y1048" s="5" t="s">
        <v>240</v>
      </c>
      <c r="Z1048" s="6" t="s">
        <v>298</v>
      </c>
      <c r="AB1048" s="6" t="s">
        <v>240</v>
      </c>
      <c r="AE1048" s="6" t="s">
        <v>299</v>
      </c>
      <c r="AF1048" s="5" t="s">
        <v>248</v>
      </c>
      <c r="AG1048" s="5" t="s">
        <v>249</v>
      </c>
      <c r="AW1048" s="5" t="s">
        <v>251</v>
      </c>
      <c r="AX1048" s="5" t="s">
        <v>240</v>
      </c>
      <c r="AY1048" s="5" t="s">
        <v>253</v>
      </c>
      <c r="AZ1048" s="5" t="s">
        <v>240</v>
      </c>
      <c r="BA1048" s="5" t="s">
        <v>255</v>
      </c>
      <c r="BB1048" s="5" t="s">
        <v>240</v>
      </c>
      <c r="BD1048" s="5" t="s">
        <v>240</v>
      </c>
      <c r="BF1048" s="5" t="s">
        <v>301</v>
      </c>
      <c r="BG1048" s="6" t="s">
        <v>299</v>
      </c>
      <c r="BH1048" s="5" t="s">
        <v>302</v>
      </c>
      <c r="BI1048" s="5" t="s">
        <v>303</v>
      </c>
      <c r="BJ1048" s="5" t="s">
        <v>240</v>
      </c>
      <c r="BK1048" s="8">
        <f>0</f>
        <v>0</v>
      </c>
      <c r="BL1048" s="7">
        <f>0</f>
        <v>0</v>
      </c>
      <c r="BM1048" s="5" t="s">
        <v>258</v>
      </c>
      <c r="BN1048" s="5" t="s">
        <v>259</v>
      </c>
      <c r="CB1048" s="5" t="s">
        <v>240</v>
      </c>
      <c r="CC1048" s="5" t="s">
        <v>240</v>
      </c>
      <c r="CG1048" s="5" t="s">
        <v>304</v>
      </c>
      <c r="CH1048" s="5" t="s">
        <v>305</v>
      </c>
      <c r="CI1048" s="5" t="s">
        <v>240</v>
      </c>
      <c r="CL1048" s="6" t="s">
        <v>261</v>
      </c>
      <c r="CM1048" s="5" t="s">
        <v>240</v>
      </c>
      <c r="CN1048" s="5" t="s">
        <v>263</v>
      </c>
      <c r="CO1048" s="5" t="s">
        <v>240</v>
      </c>
      <c r="CP1048" s="5" t="s">
        <v>240</v>
      </c>
      <c r="CQ1048" s="5">
        <v>0</v>
      </c>
      <c r="CR1048" s="5" t="s">
        <v>306</v>
      </c>
      <c r="CS1048" s="5" t="s">
        <v>307</v>
      </c>
      <c r="CT1048" s="5" t="s">
        <v>307</v>
      </c>
      <c r="CU1048" s="5" t="s">
        <v>260</v>
      </c>
      <c r="CX1048" s="7">
        <f>1</f>
        <v>1</v>
      </c>
      <c r="CY1048" s="7">
        <f>0</f>
        <v>0</v>
      </c>
      <c r="DA1048" s="7">
        <f>0</f>
        <v>0</v>
      </c>
      <c r="DC1048" s="5" t="s">
        <v>812</v>
      </c>
      <c r="DD1048" s="5" t="s">
        <v>240</v>
      </c>
      <c r="DF1048" s="5" t="s">
        <v>812</v>
      </c>
      <c r="DG1048" s="7">
        <f>1314</f>
        <v>1314</v>
      </c>
      <c r="DI1048" s="5" t="s">
        <v>240</v>
      </c>
      <c r="DJ1048" s="5" t="s">
        <v>240</v>
      </c>
      <c r="DK1048" s="5" t="s">
        <v>240</v>
      </c>
      <c r="DL1048" s="5" t="s">
        <v>240</v>
      </c>
      <c r="DP1048" s="5" t="s">
        <v>240</v>
      </c>
      <c r="DQ1048" s="5" t="s">
        <v>240</v>
      </c>
      <c r="DR1048" s="5" t="s">
        <v>240</v>
      </c>
      <c r="DS1048" s="5" t="s">
        <v>240</v>
      </c>
      <c r="DV1048" s="5" t="s">
        <v>813</v>
      </c>
      <c r="DW1048" s="5" t="s">
        <v>2230</v>
      </c>
      <c r="HO1048" s="5" t="s">
        <v>312</v>
      </c>
    </row>
    <row r="1049" spans="1:240" x14ac:dyDescent="0.4">
      <c r="A1049" s="5">
        <v>2724</v>
      </c>
      <c r="B1049" s="5">
        <v>1</v>
      </c>
      <c r="C1049" s="5">
        <v>1</v>
      </c>
      <c r="D1049" s="5" t="s">
        <v>297</v>
      </c>
      <c r="E1049" s="5" t="s">
        <v>245</v>
      </c>
      <c r="F1049" s="5" t="s">
        <v>254</v>
      </c>
      <c r="G1049" s="5" t="s">
        <v>240</v>
      </c>
      <c r="H1049" s="6" t="s">
        <v>1107</v>
      </c>
      <c r="I1049" s="5" t="s">
        <v>295</v>
      </c>
      <c r="J1049" s="8">
        <f>1032</f>
        <v>1032</v>
      </c>
      <c r="K1049" s="5" t="s">
        <v>308</v>
      </c>
      <c r="L1049" s="7">
        <f>1</f>
        <v>1</v>
      </c>
      <c r="M1049" s="7">
        <f>1</f>
        <v>1</v>
      </c>
      <c r="N1049" s="5" t="s">
        <v>242</v>
      </c>
      <c r="O1049" s="5">
        <v>1</v>
      </c>
      <c r="P1049" s="5" t="s">
        <v>294</v>
      </c>
      <c r="Q1049" s="5" t="s">
        <v>266</v>
      </c>
      <c r="R1049" s="5" t="s">
        <v>240</v>
      </c>
      <c r="S1049" s="5" t="s">
        <v>240</v>
      </c>
      <c r="T1049" s="5" t="s">
        <v>296</v>
      </c>
      <c r="U1049" s="5" t="s">
        <v>244</v>
      </c>
      <c r="V1049" s="5" t="s">
        <v>240</v>
      </c>
      <c r="Y1049" s="5" t="s">
        <v>240</v>
      </c>
      <c r="Z1049" s="6" t="s">
        <v>298</v>
      </c>
      <c r="AB1049" s="6" t="s">
        <v>240</v>
      </c>
      <c r="AE1049" s="6" t="s">
        <v>299</v>
      </c>
      <c r="AF1049" s="5" t="s">
        <v>248</v>
      </c>
      <c r="AG1049" s="5" t="s">
        <v>249</v>
      </c>
      <c r="AW1049" s="5" t="s">
        <v>251</v>
      </c>
      <c r="AX1049" s="5" t="s">
        <v>240</v>
      </c>
      <c r="AY1049" s="5" t="s">
        <v>253</v>
      </c>
      <c r="AZ1049" s="5" t="s">
        <v>240</v>
      </c>
      <c r="BA1049" s="5" t="s">
        <v>255</v>
      </c>
      <c r="BB1049" s="5" t="s">
        <v>240</v>
      </c>
      <c r="BD1049" s="5" t="s">
        <v>240</v>
      </c>
      <c r="BF1049" s="5" t="s">
        <v>301</v>
      </c>
      <c r="BG1049" s="6" t="s">
        <v>299</v>
      </c>
      <c r="BH1049" s="5" t="s">
        <v>302</v>
      </c>
      <c r="BI1049" s="5" t="s">
        <v>303</v>
      </c>
      <c r="BJ1049" s="5" t="s">
        <v>240</v>
      </c>
      <c r="BK1049" s="8">
        <f>0</f>
        <v>0</v>
      </c>
      <c r="BL1049" s="7">
        <f>0</f>
        <v>0</v>
      </c>
      <c r="BM1049" s="5" t="s">
        <v>258</v>
      </c>
      <c r="BN1049" s="5" t="s">
        <v>259</v>
      </c>
      <c r="CB1049" s="5" t="s">
        <v>240</v>
      </c>
      <c r="CC1049" s="5" t="s">
        <v>240</v>
      </c>
      <c r="CG1049" s="5" t="s">
        <v>304</v>
      </c>
      <c r="CH1049" s="5" t="s">
        <v>305</v>
      </c>
      <c r="CI1049" s="5" t="s">
        <v>240</v>
      </c>
      <c r="CL1049" s="6" t="s">
        <v>261</v>
      </c>
      <c r="CM1049" s="5" t="s">
        <v>240</v>
      </c>
      <c r="CN1049" s="5" t="s">
        <v>263</v>
      </c>
      <c r="CO1049" s="5" t="s">
        <v>240</v>
      </c>
      <c r="CP1049" s="5" t="s">
        <v>240</v>
      </c>
      <c r="CQ1049" s="5">
        <v>0</v>
      </c>
      <c r="CR1049" s="5" t="s">
        <v>306</v>
      </c>
      <c r="CS1049" s="5" t="s">
        <v>307</v>
      </c>
      <c r="CT1049" s="5" t="s">
        <v>307</v>
      </c>
      <c r="CU1049" s="5" t="s">
        <v>260</v>
      </c>
      <c r="CX1049" s="7">
        <f>1</f>
        <v>1</v>
      </c>
      <c r="CY1049" s="7">
        <f>0</f>
        <v>0</v>
      </c>
      <c r="DA1049" s="7">
        <f>0</f>
        <v>0</v>
      </c>
      <c r="DC1049" s="5" t="s">
        <v>812</v>
      </c>
      <c r="DD1049" s="5" t="s">
        <v>240</v>
      </c>
      <c r="DF1049" s="5" t="s">
        <v>812</v>
      </c>
      <c r="DG1049" s="7">
        <f>302</f>
        <v>302</v>
      </c>
      <c r="DI1049" s="5" t="s">
        <v>240</v>
      </c>
      <c r="DJ1049" s="5" t="s">
        <v>240</v>
      </c>
      <c r="DK1049" s="5" t="s">
        <v>240</v>
      </c>
      <c r="DL1049" s="5" t="s">
        <v>240</v>
      </c>
      <c r="DP1049" s="5" t="s">
        <v>240</v>
      </c>
      <c r="DQ1049" s="5" t="s">
        <v>240</v>
      </c>
      <c r="DR1049" s="5" t="s">
        <v>240</v>
      </c>
      <c r="DS1049" s="5" t="s">
        <v>240</v>
      </c>
      <c r="DV1049" s="5" t="s">
        <v>813</v>
      </c>
      <c r="DW1049" s="5" t="s">
        <v>2232</v>
      </c>
      <c r="HO1049" s="5" t="s">
        <v>312</v>
      </c>
    </row>
    <row r="1050" spans="1:240" x14ac:dyDescent="0.4">
      <c r="A1050" s="5">
        <v>2725</v>
      </c>
      <c r="B1050" s="5">
        <v>1</v>
      </c>
      <c r="C1050" s="5">
        <v>1</v>
      </c>
      <c r="D1050" s="5" t="s">
        <v>297</v>
      </c>
      <c r="E1050" s="5" t="s">
        <v>245</v>
      </c>
      <c r="F1050" s="5" t="s">
        <v>254</v>
      </c>
      <c r="G1050" s="5" t="s">
        <v>240</v>
      </c>
      <c r="H1050" s="6" t="s">
        <v>5261</v>
      </c>
      <c r="I1050" s="5" t="s">
        <v>295</v>
      </c>
      <c r="J1050" s="8">
        <f>2130</f>
        <v>2130</v>
      </c>
      <c r="K1050" s="5" t="s">
        <v>308</v>
      </c>
      <c r="L1050" s="7">
        <f>1</f>
        <v>1</v>
      </c>
      <c r="M1050" s="7">
        <f>1</f>
        <v>1</v>
      </c>
      <c r="N1050" s="5" t="s">
        <v>242</v>
      </c>
      <c r="O1050" s="5">
        <v>1</v>
      </c>
      <c r="P1050" s="5" t="s">
        <v>294</v>
      </c>
      <c r="Q1050" s="5" t="s">
        <v>266</v>
      </c>
      <c r="R1050" s="5" t="s">
        <v>240</v>
      </c>
      <c r="S1050" s="5" t="s">
        <v>240</v>
      </c>
      <c r="T1050" s="5" t="s">
        <v>296</v>
      </c>
      <c r="U1050" s="5" t="s">
        <v>244</v>
      </c>
      <c r="V1050" s="5" t="s">
        <v>240</v>
      </c>
      <c r="Y1050" s="5" t="s">
        <v>240</v>
      </c>
      <c r="Z1050" s="6" t="s">
        <v>298</v>
      </c>
      <c r="AB1050" s="6" t="s">
        <v>240</v>
      </c>
      <c r="AE1050" s="6" t="s">
        <v>299</v>
      </c>
      <c r="AF1050" s="5" t="s">
        <v>248</v>
      </c>
      <c r="AG1050" s="5" t="s">
        <v>249</v>
      </c>
      <c r="AW1050" s="5" t="s">
        <v>251</v>
      </c>
      <c r="AX1050" s="5" t="s">
        <v>240</v>
      </c>
      <c r="AY1050" s="5" t="s">
        <v>253</v>
      </c>
      <c r="AZ1050" s="5" t="s">
        <v>240</v>
      </c>
      <c r="BA1050" s="5" t="s">
        <v>255</v>
      </c>
      <c r="BB1050" s="5" t="s">
        <v>240</v>
      </c>
      <c r="BD1050" s="5" t="s">
        <v>240</v>
      </c>
      <c r="BF1050" s="5" t="s">
        <v>301</v>
      </c>
      <c r="BG1050" s="6" t="s">
        <v>299</v>
      </c>
      <c r="BH1050" s="5" t="s">
        <v>302</v>
      </c>
      <c r="BI1050" s="5" t="s">
        <v>303</v>
      </c>
      <c r="BJ1050" s="5" t="s">
        <v>240</v>
      </c>
      <c r="BK1050" s="8">
        <f>0</f>
        <v>0</v>
      </c>
      <c r="BL1050" s="7">
        <f>0</f>
        <v>0</v>
      </c>
      <c r="BM1050" s="5" t="s">
        <v>258</v>
      </c>
      <c r="BN1050" s="5" t="s">
        <v>259</v>
      </c>
      <c r="CB1050" s="5" t="s">
        <v>240</v>
      </c>
      <c r="CC1050" s="5" t="s">
        <v>240</v>
      </c>
      <c r="CG1050" s="5" t="s">
        <v>304</v>
      </c>
      <c r="CH1050" s="5" t="s">
        <v>305</v>
      </c>
      <c r="CI1050" s="5" t="s">
        <v>240</v>
      </c>
      <c r="CL1050" s="6" t="s">
        <v>261</v>
      </c>
      <c r="CM1050" s="5" t="s">
        <v>240</v>
      </c>
      <c r="CN1050" s="5" t="s">
        <v>263</v>
      </c>
      <c r="CO1050" s="5" t="s">
        <v>240</v>
      </c>
      <c r="CP1050" s="5" t="s">
        <v>240</v>
      </c>
      <c r="CQ1050" s="5">
        <v>0</v>
      </c>
      <c r="CR1050" s="5" t="s">
        <v>306</v>
      </c>
      <c r="CS1050" s="5" t="s">
        <v>307</v>
      </c>
      <c r="CT1050" s="5" t="s">
        <v>307</v>
      </c>
      <c r="CU1050" s="5" t="s">
        <v>260</v>
      </c>
      <c r="CX1050" s="7">
        <f>1</f>
        <v>1</v>
      </c>
      <c r="CY1050" s="7">
        <f>0</f>
        <v>0</v>
      </c>
      <c r="DA1050" s="7">
        <f>0</f>
        <v>0</v>
      </c>
      <c r="DC1050" s="5" t="s">
        <v>812</v>
      </c>
      <c r="DD1050" s="5" t="s">
        <v>240</v>
      </c>
      <c r="DF1050" s="5" t="s">
        <v>812</v>
      </c>
      <c r="DG1050" s="7">
        <f>190</f>
        <v>190</v>
      </c>
      <c r="DI1050" s="5" t="s">
        <v>240</v>
      </c>
      <c r="DJ1050" s="5" t="s">
        <v>240</v>
      </c>
      <c r="DK1050" s="5" t="s">
        <v>240</v>
      </c>
      <c r="DL1050" s="5" t="s">
        <v>240</v>
      </c>
      <c r="DP1050" s="5" t="s">
        <v>240</v>
      </c>
      <c r="DQ1050" s="5" t="s">
        <v>240</v>
      </c>
      <c r="DR1050" s="5" t="s">
        <v>240</v>
      </c>
      <c r="DS1050" s="5" t="s">
        <v>240</v>
      </c>
      <c r="DV1050" s="5" t="s">
        <v>813</v>
      </c>
      <c r="DW1050" s="5" t="s">
        <v>2234</v>
      </c>
      <c r="HO1050" s="5" t="s">
        <v>312</v>
      </c>
    </row>
    <row r="1051" spans="1:240" x14ac:dyDescent="0.4">
      <c r="A1051" s="5">
        <v>2726</v>
      </c>
      <c r="B1051" s="5">
        <v>1</v>
      </c>
      <c r="C1051" s="5">
        <v>1</v>
      </c>
      <c r="D1051" s="5" t="s">
        <v>297</v>
      </c>
      <c r="E1051" s="5" t="s">
        <v>245</v>
      </c>
      <c r="F1051" s="5" t="s">
        <v>254</v>
      </c>
      <c r="G1051" s="5" t="s">
        <v>240</v>
      </c>
      <c r="H1051" s="6" t="s">
        <v>5260</v>
      </c>
      <c r="I1051" s="5" t="s">
        <v>295</v>
      </c>
      <c r="J1051" s="8">
        <f>831</f>
        <v>831</v>
      </c>
      <c r="K1051" s="5" t="s">
        <v>308</v>
      </c>
      <c r="L1051" s="7">
        <f>1</f>
        <v>1</v>
      </c>
      <c r="M1051" s="7">
        <f>1</f>
        <v>1</v>
      </c>
      <c r="N1051" s="5" t="s">
        <v>242</v>
      </c>
      <c r="O1051" s="5">
        <v>1</v>
      </c>
      <c r="P1051" s="5" t="s">
        <v>294</v>
      </c>
      <c r="Q1051" s="5" t="s">
        <v>266</v>
      </c>
      <c r="R1051" s="5" t="s">
        <v>240</v>
      </c>
      <c r="S1051" s="5" t="s">
        <v>240</v>
      </c>
      <c r="T1051" s="5" t="s">
        <v>296</v>
      </c>
      <c r="U1051" s="5" t="s">
        <v>244</v>
      </c>
      <c r="V1051" s="5" t="s">
        <v>240</v>
      </c>
      <c r="Y1051" s="5" t="s">
        <v>240</v>
      </c>
      <c r="Z1051" s="6" t="s">
        <v>298</v>
      </c>
      <c r="AB1051" s="6" t="s">
        <v>240</v>
      </c>
      <c r="AE1051" s="6" t="s">
        <v>299</v>
      </c>
      <c r="AF1051" s="5" t="s">
        <v>248</v>
      </c>
      <c r="AG1051" s="5" t="s">
        <v>249</v>
      </c>
      <c r="AW1051" s="5" t="s">
        <v>251</v>
      </c>
      <c r="AX1051" s="5" t="s">
        <v>240</v>
      </c>
      <c r="AY1051" s="5" t="s">
        <v>253</v>
      </c>
      <c r="AZ1051" s="5" t="s">
        <v>240</v>
      </c>
      <c r="BA1051" s="5" t="s">
        <v>255</v>
      </c>
      <c r="BB1051" s="5" t="s">
        <v>240</v>
      </c>
      <c r="BD1051" s="5" t="s">
        <v>240</v>
      </c>
      <c r="BF1051" s="5" t="s">
        <v>301</v>
      </c>
      <c r="BG1051" s="6" t="s">
        <v>299</v>
      </c>
      <c r="BH1051" s="5" t="s">
        <v>302</v>
      </c>
      <c r="BI1051" s="5" t="s">
        <v>303</v>
      </c>
      <c r="BJ1051" s="5" t="s">
        <v>240</v>
      </c>
      <c r="BK1051" s="8">
        <f>0</f>
        <v>0</v>
      </c>
      <c r="BL1051" s="7">
        <f>0</f>
        <v>0</v>
      </c>
      <c r="BM1051" s="5" t="s">
        <v>258</v>
      </c>
      <c r="BN1051" s="5" t="s">
        <v>259</v>
      </c>
      <c r="CB1051" s="5" t="s">
        <v>240</v>
      </c>
      <c r="CC1051" s="5" t="s">
        <v>240</v>
      </c>
      <c r="CG1051" s="5" t="s">
        <v>304</v>
      </c>
      <c r="CH1051" s="5" t="s">
        <v>305</v>
      </c>
      <c r="CI1051" s="5" t="s">
        <v>240</v>
      </c>
      <c r="CL1051" s="6" t="s">
        <v>261</v>
      </c>
      <c r="CM1051" s="5" t="s">
        <v>240</v>
      </c>
      <c r="CN1051" s="5" t="s">
        <v>263</v>
      </c>
      <c r="CO1051" s="5" t="s">
        <v>240</v>
      </c>
      <c r="CP1051" s="5" t="s">
        <v>240</v>
      </c>
      <c r="CQ1051" s="5">
        <v>0</v>
      </c>
      <c r="CR1051" s="5" t="s">
        <v>306</v>
      </c>
      <c r="CS1051" s="5" t="s">
        <v>307</v>
      </c>
      <c r="CT1051" s="5" t="s">
        <v>307</v>
      </c>
      <c r="CU1051" s="5" t="s">
        <v>260</v>
      </c>
      <c r="CX1051" s="7">
        <f>1</f>
        <v>1</v>
      </c>
      <c r="CY1051" s="7">
        <f>0</f>
        <v>0</v>
      </c>
      <c r="DA1051" s="7">
        <f>0</f>
        <v>0</v>
      </c>
      <c r="DC1051" s="5" t="s">
        <v>812</v>
      </c>
      <c r="DD1051" s="5" t="s">
        <v>240</v>
      </c>
      <c r="DF1051" s="5" t="s">
        <v>812</v>
      </c>
      <c r="DG1051" s="7">
        <f>188</f>
        <v>188</v>
      </c>
      <c r="DI1051" s="5" t="s">
        <v>240</v>
      </c>
      <c r="DJ1051" s="5" t="s">
        <v>240</v>
      </c>
      <c r="DK1051" s="5" t="s">
        <v>240</v>
      </c>
      <c r="DL1051" s="5" t="s">
        <v>240</v>
      </c>
      <c r="DP1051" s="5" t="s">
        <v>240</v>
      </c>
      <c r="DQ1051" s="5" t="s">
        <v>240</v>
      </c>
      <c r="DR1051" s="5" t="s">
        <v>240</v>
      </c>
      <c r="DS1051" s="5" t="s">
        <v>240</v>
      </c>
      <c r="DV1051" s="5" t="s">
        <v>813</v>
      </c>
      <c r="DW1051" s="5" t="s">
        <v>2236</v>
      </c>
      <c r="HO1051" s="5" t="s">
        <v>312</v>
      </c>
    </row>
    <row r="1052" spans="1:240" x14ac:dyDescent="0.4">
      <c r="A1052" s="5">
        <v>2727</v>
      </c>
      <c r="B1052" s="5">
        <v>1</v>
      </c>
      <c r="C1052" s="5">
        <v>1</v>
      </c>
      <c r="D1052" s="5" t="s">
        <v>297</v>
      </c>
      <c r="E1052" s="5" t="s">
        <v>245</v>
      </c>
      <c r="F1052" s="5" t="s">
        <v>254</v>
      </c>
      <c r="G1052" s="5" t="s">
        <v>240</v>
      </c>
      <c r="H1052" s="6" t="s">
        <v>5259</v>
      </c>
      <c r="I1052" s="5" t="s">
        <v>295</v>
      </c>
      <c r="J1052" s="8">
        <f>2149</f>
        <v>2149</v>
      </c>
      <c r="K1052" s="5" t="s">
        <v>308</v>
      </c>
      <c r="L1052" s="7">
        <f>1</f>
        <v>1</v>
      </c>
      <c r="M1052" s="7">
        <f>1</f>
        <v>1</v>
      </c>
      <c r="N1052" s="5" t="s">
        <v>242</v>
      </c>
      <c r="O1052" s="5">
        <v>1</v>
      </c>
      <c r="P1052" s="5" t="s">
        <v>294</v>
      </c>
      <c r="Q1052" s="5" t="s">
        <v>266</v>
      </c>
      <c r="R1052" s="5" t="s">
        <v>240</v>
      </c>
      <c r="S1052" s="5" t="s">
        <v>240</v>
      </c>
      <c r="T1052" s="5" t="s">
        <v>296</v>
      </c>
      <c r="U1052" s="5" t="s">
        <v>244</v>
      </c>
      <c r="V1052" s="5" t="s">
        <v>240</v>
      </c>
      <c r="Y1052" s="5" t="s">
        <v>240</v>
      </c>
      <c r="Z1052" s="6" t="s">
        <v>298</v>
      </c>
      <c r="AB1052" s="6" t="s">
        <v>240</v>
      </c>
      <c r="AE1052" s="6" t="s">
        <v>299</v>
      </c>
      <c r="AF1052" s="5" t="s">
        <v>248</v>
      </c>
      <c r="AG1052" s="5" t="s">
        <v>249</v>
      </c>
      <c r="AW1052" s="5" t="s">
        <v>251</v>
      </c>
      <c r="AX1052" s="5" t="s">
        <v>240</v>
      </c>
      <c r="AY1052" s="5" t="s">
        <v>253</v>
      </c>
      <c r="AZ1052" s="5" t="s">
        <v>240</v>
      </c>
      <c r="BA1052" s="5" t="s">
        <v>255</v>
      </c>
      <c r="BB1052" s="5" t="s">
        <v>240</v>
      </c>
      <c r="BD1052" s="5" t="s">
        <v>240</v>
      </c>
      <c r="BF1052" s="5" t="s">
        <v>301</v>
      </c>
      <c r="BG1052" s="6" t="s">
        <v>299</v>
      </c>
      <c r="BH1052" s="5" t="s">
        <v>302</v>
      </c>
      <c r="BI1052" s="5" t="s">
        <v>303</v>
      </c>
      <c r="BJ1052" s="5" t="s">
        <v>240</v>
      </c>
      <c r="BK1052" s="8">
        <f>0</f>
        <v>0</v>
      </c>
      <c r="BL1052" s="7">
        <f>0</f>
        <v>0</v>
      </c>
      <c r="BM1052" s="5" t="s">
        <v>258</v>
      </c>
      <c r="BN1052" s="5" t="s">
        <v>259</v>
      </c>
      <c r="CB1052" s="5" t="s">
        <v>240</v>
      </c>
      <c r="CC1052" s="5" t="s">
        <v>240</v>
      </c>
      <c r="CG1052" s="5" t="s">
        <v>304</v>
      </c>
      <c r="CH1052" s="5" t="s">
        <v>305</v>
      </c>
      <c r="CI1052" s="5" t="s">
        <v>240</v>
      </c>
      <c r="CL1052" s="6" t="s">
        <v>261</v>
      </c>
      <c r="CM1052" s="5" t="s">
        <v>240</v>
      </c>
      <c r="CN1052" s="5" t="s">
        <v>263</v>
      </c>
      <c r="CO1052" s="5" t="s">
        <v>240</v>
      </c>
      <c r="CP1052" s="5" t="s">
        <v>240</v>
      </c>
      <c r="CQ1052" s="5">
        <v>0</v>
      </c>
      <c r="CR1052" s="5" t="s">
        <v>306</v>
      </c>
      <c r="CS1052" s="5" t="s">
        <v>307</v>
      </c>
      <c r="CT1052" s="5" t="s">
        <v>307</v>
      </c>
      <c r="CU1052" s="5" t="s">
        <v>260</v>
      </c>
      <c r="CX1052" s="7">
        <f>1</f>
        <v>1</v>
      </c>
      <c r="CY1052" s="7">
        <f>0</f>
        <v>0</v>
      </c>
      <c r="DA1052" s="7">
        <f>0</f>
        <v>0</v>
      </c>
      <c r="DC1052" s="5" t="s">
        <v>812</v>
      </c>
      <c r="DD1052" s="5" t="s">
        <v>240</v>
      </c>
      <c r="DF1052" s="5" t="s">
        <v>812</v>
      </c>
      <c r="DG1052" s="7">
        <f>130</f>
        <v>130</v>
      </c>
      <c r="DI1052" s="5" t="s">
        <v>240</v>
      </c>
      <c r="DJ1052" s="5" t="s">
        <v>240</v>
      </c>
      <c r="DK1052" s="5" t="s">
        <v>240</v>
      </c>
      <c r="DL1052" s="5" t="s">
        <v>240</v>
      </c>
      <c r="DP1052" s="5" t="s">
        <v>240</v>
      </c>
      <c r="DQ1052" s="5" t="s">
        <v>240</v>
      </c>
      <c r="DR1052" s="5" t="s">
        <v>240</v>
      </c>
      <c r="DS1052" s="5" t="s">
        <v>240</v>
      </c>
      <c r="DV1052" s="5" t="s">
        <v>813</v>
      </c>
      <c r="DW1052" s="5" t="s">
        <v>2238</v>
      </c>
      <c r="HO1052" s="5" t="s">
        <v>312</v>
      </c>
    </row>
    <row r="1053" spans="1:240" x14ac:dyDescent="0.4">
      <c r="A1053" s="5">
        <v>2728</v>
      </c>
      <c r="B1053" s="5">
        <v>1</v>
      </c>
      <c r="C1053" s="5">
        <v>1</v>
      </c>
      <c r="D1053" s="5" t="s">
        <v>297</v>
      </c>
      <c r="E1053" s="5" t="s">
        <v>245</v>
      </c>
      <c r="F1053" s="5" t="s">
        <v>254</v>
      </c>
      <c r="G1053" s="5" t="s">
        <v>240</v>
      </c>
      <c r="H1053" s="6" t="s">
        <v>5258</v>
      </c>
      <c r="I1053" s="5" t="s">
        <v>295</v>
      </c>
      <c r="J1053" s="8">
        <f>7492</f>
        <v>7492</v>
      </c>
      <c r="K1053" s="5" t="s">
        <v>308</v>
      </c>
      <c r="L1053" s="7">
        <f>1</f>
        <v>1</v>
      </c>
      <c r="M1053" s="7">
        <f>1</f>
        <v>1</v>
      </c>
      <c r="N1053" s="5" t="s">
        <v>242</v>
      </c>
      <c r="O1053" s="5">
        <v>1</v>
      </c>
      <c r="P1053" s="5" t="s">
        <v>294</v>
      </c>
      <c r="Q1053" s="5" t="s">
        <v>266</v>
      </c>
      <c r="R1053" s="5" t="s">
        <v>240</v>
      </c>
      <c r="S1053" s="5" t="s">
        <v>240</v>
      </c>
      <c r="T1053" s="5" t="s">
        <v>296</v>
      </c>
      <c r="U1053" s="5" t="s">
        <v>244</v>
      </c>
      <c r="V1053" s="5" t="s">
        <v>240</v>
      </c>
      <c r="Y1053" s="5" t="s">
        <v>240</v>
      </c>
      <c r="Z1053" s="6" t="s">
        <v>298</v>
      </c>
      <c r="AB1053" s="6" t="s">
        <v>240</v>
      </c>
      <c r="AE1053" s="6" t="s">
        <v>299</v>
      </c>
      <c r="AF1053" s="5" t="s">
        <v>248</v>
      </c>
      <c r="AG1053" s="5" t="s">
        <v>249</v>
      </c>
      <c r="AW1053" s="5" t="s">
        <v>251</v>
      </c>
      <c r="AX1053" s="5" t="s">
        <v>240</v>
      </c>
      <c r="AY1053" s="5" t="s">
        <v>253</v>
      </c>
      <c r="AZ1053" s="5" t="s">
        <v>240</v>
      </c>
      <c r="BA1053" s="5" t="s">
        <v>255</v>
      </c>
      <c r="BB1053" s="5" t="s">
        <v>240</v>
      </c>
      <c r="BD1053" s="5" t="s">
        <v>240</v>
      </c>
      <c r="BF1053" s="5" t="s">
        <v>301</v>
      </c>
      <c r="BG1053" s="6" t="s">
        <v>299</v>
      </c>
      <c r="BH1053" s="5" t="s">
        <v>302</v>
      </c>
      <c r="BI1053" s="5" t="s">
        <v>303</v>
      </c>
      <c r="BJ1053" s="5" t="s">
        <v>240</v>
      </c>
      <c r="BK1053" s="8">
        <f>0</f>
        <v>0</v>
      </c>
      <c r="BL1053" s="7">
        <f>0</f>
        <v>0</v>
      </c>
      <c r="BM1053" s="5" t="s">
        <v>258</v>
      </c>
      <c r="BN1053" s="5" t="s">
        <v>259</v>
      </c>
      <c r="CB1053" s="5" t="s">
        <v>240</v>
      </c>
      <c r="CC1053" s="5" t="s">
        <v>240</v>
      </c>
      <c r="CG1053" s="5" t="s">
        <v>304</v>
      </c>
      <c r="CH1053" s="5" t="s">
        <v>305</v>
      </c>
      <c r="CI1053" s="5" t="s">
        <v>240</v>
      </c>
      <c r="CL1053" s="6" t="s">
        <v>261</v>
      </c>
      <c r="CM1053" s="5" t="s">
        <v>240</v>
      </c>
      <c r="CN1053" s="5" t="s">
        <v>263</v>
      </c>
      <c r="CO1053" s="5" t="s">
        <v>240</v>
      </c>
      <c r="CP1053" s="5" t="s">
        <v>240</v>
      </c>
      <c r="CQ1053" s="5">
        <v>0</v>
      </c>
      <c r="CR1053" s="5" t="s">
        <v>306</v>
      </c>
      <c r="CS1053" s="5" t="s">
        <v>307</v>
      </c>
      <c r="CT1053" s="5" t="s">
        <v>307</v>
      </c>
      <c r="CU1053" s="5" t="s">
        <v>260</v>
      </c>
      <c r="CX1053" s="7">
        <f>1</f>
        <v>1</v>
      </c>
      <c r="CY1053" s="7">
        <f>0</f>
        <v>0</v>
      </c>
      <c r="DA1053" s="7">
        <f>0</f>
        <v>0</v>
      </c>
      <c r="DC1053" s="5" t="s">
        <v>812</v>
      </c>
      <c r="DD1053" s="5" t="s">
        <v>240</v>
      </c>
      <c r="DF1053" s="5" t="s">
        <v>812</v>
      </c>
      <c r="DG1053" s="7">
        <f>177</f>
        <v>177</v>
      </c>
      <c r="DI1053" s="5" t="s">
        <v>240</v>
      </c>
      <c r="DJ1053" s="5" t="s">
        <v>240</v>
      </c>
      <c r="DK1053" s="5" t="s">
        <v>240</v>
      </c>
      <c r="DL1053" s="5" t="s">
        <v>240</v>
      </c>
      <c r="DP1053" s="5" t="s">
        <v>240</v>
      </c>
      <c r="DQ1053" s="5" t="s">
        <v>240</v>
      </c>
      <c r="DR1053" s="5" t="s">
        <v>240</v>
      </c>
      <c r="DS1053" s="5" t="s">
        <v>240</v>
      </c>
      <c r="DV1053" s="5" t="s">
        <v>813</v>
      </c>
      <c r="DW1053" s="5" t="s">
        <v>2240</v>
      </c>
      <c r="HO1053" s="5" t="s">
        <v>312</v>
      </c>
    </row>
    <row r="1054" spans="1:240" x14ac:dyDescent="0.4">
      <c r="A1054" s="5">
        <v>2729</v>
      </c>
      <c r="B1054" s="5">
        <v>1</v>
      </c>
      <c r="C1054" s="5">
        <v>1</v>
      </c>
      <c r="D1054" s="5" t="s">
        <v>297</v>
      </c>
      <c r="E1054" s="5" t="s">
        <v>245</v>
      </c>
      <c r="F1054" s="5" t="s">
        <v>254</v>
      </c>
      <c r="G1054" s="5" t="s">
        <v>240</v>
      </c>
      <c r="H1054" s="6" t="s">
        <v>5257</v>
      </c>
      <c r="I1054" s="5" t="s">
        <v>295</v>
      </c>
      <c r="J1054" s="8">
        <f>383</f>
        <v>383</v>
      </c>
      <c r="K1054" s="5" t="s">
        <v>308</v>
      </c>
      <c r="L1054" s="7">
        <f>1</f>
        <v>1</v>
      </c>
      <c r="M1054" s="7">
        <f>1</f>
        <v>1</v>
      </c>
      <c r="N1054" s="5" t="s">
        <v>242</v>
      </c>
      <c r="O1054" s="5">
        <v>1</v>
      </c>
      <c r="P1054" s="5" t="s">
        <v>294</v>
      </c>
      <c r="Q1054" s="5" t="s">
        <v>613</v>
      </c>
      <c r="R1054" s="5" t="s">
        <v>240</v>
      </c>
      <c r="S1054" s="5" t="s">
        <v>240</v>
      </c>
      <c r="T1054" s="5" t="s">
        <v>243</v>
      </c>
      <c r="U1054" s="5" t="s">
        <v>724</v>
      </c>
      <c r="V1054" s="5" t="s">
        <v>240</v>
      </c>
      <c r="W1054" s="5" t="s">
        <v>240</v>
      </c>
      <c r="X1054" s="5" t="s">
        <v>240</v>
      </c>
      <c r="Y1054" s="5" t="s">
        <v>240</v>
      </c>
      <c r="Z1054" s="6" t="s">
        <v>298</v>
      </c>
      <c r="AA1054" s="6" t="s">
        <v>240</v>
      </c>
      <c r="AB1054" s="6" t="s">
        <v>240</v>
      </c>
      <c r="AC1054" s="5" t="s">
        <v>240</v>
      </c>
      <c r="AD1054" s="6" t="s">
        <v>240</v>
      </c>
      <c r="AE1054" s="6" t="s">
        <v>299</v>
      </c>
      <c r="AF1054" s="5" t="s">
        <v>727</v>
      </c>
      <c r="AG1054" s="5" t="s">
        <v>260</v>
      </c>
      <c r="AH1054" s="5" t="s">
        <v>240</v>
      </c>
      <c r="AI1054" s="5" t="s">
        <v>240</v>
      </c>
      <c r="AJ1054" s="5" t="s">
        <v>240</v>
      </c>
      <c r="AK1054" s="5" t="s">
        <v>240</v>
      </c>
      <c r="AL1054" s="5" t="s">
        <v>240</v>
      </c>
      <c r="AM1054" s="5" t="s">
        <v>240</v>
      </c>
      <c r="AN1054" s="5" t="s">
        <v>240</v>
      </c>
      <c r="AO1054" s="5" t="s">
        <v>240</v>
      </c>
      <c r="AP1054" s="6" t="s">
        <v>240</v>
      </c>
      <c r="AQ1054" s="6" t="s">
        <v>240</v>
      </c>
      <c r="AR1054" s="6" t="s">
        <v>240</v>
      </c>
      <c r="AS1054" s="6" t="s">
        <v>240</v>
      </c>
      <c r="AT1054" s="5" t="s">
        <v>240</v>
      </c>
      <c r="AU1054" s="5" t="s">
        <v>729</v>
      </c>
      <c r="AV1054" s="5" t="s">
        <v>729</v>
      </c>
      <c r="AW1054" s="5" t="s">
        <v>251</v>
      </c>
      <c r="AX1054" s="5" t="s">
        <v>252</v>
      </c>
      <c r="AY1054" s="5" t="s">
        <v>253</v>
      </c>
      <c r="AZ1054" s="5" t="s">
        <v>240</v>
      </c>
      <c r="BA1054" s="5" t="s">
        <v>255</v>
      </c>
      <c r="BB1054" s="5" t="s">
        <v>731</v>
      </c>
      <c r="BD1054" s="5" t="s">
        <v>240</v>
      </c>
      <c r="BF1054" s="5" t="s">
        <v>732</v>
      </c>
      <c r="BG1054" s="6" t="s">
        <v>733</v>
      </c>
      <c r="BH1054" s="5" t="s">
        <v>734</v>
      </c>
      <c r="BI1054" s="5" t="s">
        <v>734</v>
      </c>
      <c r="BJ1054" s="5" t="s">
        <v>240</v>
      </c>
      <c r="BK1054" s="8">
        <f>495.86</f>
        <v>495.86</v>
      </c>
      <c r="BL1054" s="7">
        <f>0</f>
        <v>0</v>
      </c>
      <c r="BM1054" s="5" t="s">
        <v>258</v>
      </c>
      <c r="BN1054" s="5" t="s">
        <v>259</v>
      </c>
      <c r="BO1054" s="5" t="s">
        <v>240</v>
      </c>
      <c r="BP1054" s="5" t="s">
        <v>240</v>
      </c>
      <c r="BQ1054" s="5" t="s">
        <v>240</v>
      </c>
      <c r="BR1054" s="5" t="s">
        <v>240</v>
      </c>
      <c r="BS1054" s="5" t="s">
        <v>240</v>
      </c>
      <c r="BT1054" s="5" t="s">
        <v>240</v>
      </c>
      <c r="BU1054" s="5" t="s">
        <v>240</v>
      </c>
      <c r="BV1054" s="5" t="s">
        <v>240</v>
      </c>
      <c r="BW1054" s="6" t="s">
        <v>240</v>
      </c>
      <c r="BX1054" s="5" t="s">
        <v>240</v>
      </c>
      <c r="BY1054" s="5" t="s">
        <v>240</v>
      </c>
      <c r="BZ1054" s="5" t="s">
        <v>240</v>
      </c>
      <c r="CA1054" s="5" t="s">
        <v>259</v>
      </c>
      <c r="CB1054" s="5" t="s">
        <v>240</v>
      </c>
      <c r="CC1054" s="5" t="s">
        <v>240</v>
      </c>
      <c r="CD1054" s="5" t="s">
        <v>240</v>
      </c>
      <c r="CE1054" s="5" t="s">
        <v>240</v>
      </c>
      <c r="CF1054" s="5" t="s">
        <v>240</v>
      </c>
      <c r="CG1054" s="5" t="s">
        <v>617</v>
      </c>
      <c r="CH1054" s="5" t="s">
        <v>305</v>
      </c>
      <c r="CI1054" s="5" t="s">
        <v>240</v>
      </c>
      <c r="CL1054" s="6" t="s">
        <v>261</v>
      </c>
      <c r="CM1054" s="5" t="s">
        <v>262</v>
      </c>
      <c r="CN1054" s="5" t="s">
        <v>263</v>
      </c>
      <c r="CO1054" s="5" t="s">
        <v>264</v>
      </c>
      <c r="CP1054" s="5" t="s">
        <v>240</v>
      </c>
      <c r="CQ1054" s="5">
        <v>0</v>
      </c>
      <c r="CR1054" s="5" t="s">
        <v>735</v>
      </c>
      <c r="CS1054" s="5" t="s">
        <v>307</v>
      </c>
      <c r="CT1054" s="5" t="s">
        <v>307</v>
      </c>
      <c r="CU1054" s="5" t="s">
        <v>260</v>
      </c>
      <c r="CV1054" s="5" t="s">
        <v>240</v>
      </c>
      <c r="CW1054" s="8">
        <f>0</f>
        <v>0</v>
      </c>
      <c r="CX1054" s="7">
        <f>0</f>
        <v>0</v>
      </c>
      <c r="CY1054" s="7">
        <f>0</f>
        <v>0</v>
      </c>
      <c r="DA1054" s="7">
        <f>5454</f>
        <v>5454</v>
      </c>
      <c r="DB1054" s="7" t="s">
        <v>240</v>
      </c>
      <c r="DC1054" s="5" t="s">
        <v>240</v>
      </c>
      <c r="DD1054" s="5" t="s">
        <v>240</v>
      </c>
      <c r="DE1054" s="5" t="s">
        <v>240</v>
      </c>
      <c r="DF1054" s="5" t="s">
        <v>450</v>
      </c>
      <c r="DG1054" s="7">
        <f>0</f>
        <v>0</v>
      </c>
      <c r="DI1054" s="5" t="s">
        <v>737</v>
      </c>
      <c r="DJ1054" s="5" t="s">
        <v>240</v>
      </c>
      <c r="DK1054" s="5" t="s">
        <v>240</v>
      </c>
      <c r="DL1054" s="5" t="s">
        <v>240</v>
      </c>
      <c r="DM1054" s="5" t="s">
        <v>240</v>
      </c>
      <c r="DN1054" s="5" t="s">
        <v>240</v>
      </c>
      <c r="DO1054" s="7" t="s">
        <v>240</v>
      </c>
      <c r="DP1054" s="5" t="s">
        <v>240</v>
      </c>
      <c r="DQ1054" s="5" t="s">
        <v>240</v>
      </c>
      <c r="DR1054" s="5" t="s">
        <v>731</v>
      </c>
      <c r="DS1054" s="5" t="s">
        <v>731</v>
      </c>
      <c r="DT1054" s="5" t="s">
        <v>240</v>
      </c>
      <c r="DU1054" s="5" t="s">
        <v>240</v>
      </c>
      <c r="DV1054" s="5" t="s">
        <v>738</v>
      </c>
      <c r="DW1054" s="5" t="s">
        <v>554</v>
      </c>
      <c r="DX1054" s="5" t="s">
        <v>240</v>
      </c>
      <c r="DY1054" s="5" t="s">
        <v>240</v>
      </c>
      <c r="DZ1054" s="5" t="s">
        <v>240</v>
      </c>
      <c r="EA1054" s="5" t="s">
        <v>240</v>
      </c>
      <c r="EB1054" s="5" t="s">
        <v>240</v>
      </c>
      <c r="EC1054" s="5" t="s">
        <v>240</v>
      </c>
      <c r="ED1054" s="5" t="s">
        <v>240</v>
      </c>
      <c r="EE1054" s="5" t="s">
        <v>240</v>
      </c>
      <c r="EF1054" s="5" t="s">
        <v>240</v>
      </c>
      <c r="EG1054" s="5" t="s">
        <v>240</v>
      </c>
      <c r="EH1054" s="5" t="s">
        <v>240</v>
      </c>
      <c r="EI1054" s="5" t="s">
        <v>240</v>
      </c>
      <c r="EJ1054" s="5" t="s">
        <v>240</v>
      </c>
      <c r="EK1054" s="5" t="s">
        <v>240</v>
      </c>
      <c r="EL1054" s="5" t="s">
        <v>240</v>
      </c>
      <c r="EM1054" s="5" t="s">
        <v>240</v>
      </c>
      <c r="EN1054" s="5" t="s">
        <v>240</v>
      </c>
      <c r="EO1054" s="5" t="s">
        <v>240</v>
      </c>
      <c r="EP1054" s="5" t="s">
        <v>240</v>
      </c>
      <c r="EQ1054" s="5" t="s">
        <v>240</v>
      </c>
      <c r="ER1054" s="5" t="s">
        <v>240</v>
      </c>
      <c r="ES1054" s="5" t="s">
        <v>240</v>
      </c>
      <c r="ET1054" s="5" t="s">
        <v>240</v>
      </c>
      <c r="EU1054" s="5" t="s">
        <v>240</v>
      </c>
      <c r="EV1054" s="5" t="s">
        <v>240</v>
      </c>
      <c r="EW1054" s="5" t="s">
        <v>240</v>
      </c>
      <c r="EX1054" s="5" t="s">
        <v>240</v>
      </c>
      <c r="EY1054" s="5" t="s">
        <v>240</v>
      </c>
      <c r="EZ1054" s="5" t="s">
        <v>240</v>
      </c>
      <c r="FA1054" s="5" t="s">
        <v>240</v>
      </c>
      <c r="FB1054" s="5" t="s">
        <v>240</v>
      </c>
      <c r="FC1054" s="5" t="s">
        <v>240</v>
      </c>
      <c r="FD1054" s="5" t="s">
        <v>240</v>
      </c>
      <c r="FE1054" s="5" t="s">
        <v>240</v>
      </c>
      <c r="FF1054" s="5" t="s">
        <v>240</v>
      </c>
      <c r="FG1054" s="5" t="s">
        <v>240</v>
      </c>
      <c r="FH1054" s="5" t="s">
        <v>240</v>
      </c>
      <c r="FI1054" s="5" t="s">
        <v>240</v>
      </c>
      <c r="FJ1054" s="5" t="s">
        <v>240</v>
      </c>
      <c r="FK1054" s="5" t="s">
        <v>240</v>
      </c>
      <c r="FL1054" s="5" t="s">
        <v>240</v>
      </c>
      <c r="FM1054" s="5" t="s">
        <v>240</v>
      </c>
      <c r="FN1054" s="5" t="s">
        <v>240</v>
      </c>
      <c r="FO1054" s="5" t="s">
        <v>240</v>
      </c>
      <c r="FP1054" s="5" t="s">
        <v>240</v>
      </c>
      <c r="FQ1054" s="5" t="s">
        <v>240</v>
      </c>
      <c r="FR1054" s="5" t="s">
        <v>240</v>
      </c>
      <c r="FS1054" s="5" t="s">
        <v>240</v>
      </c>
      <c r="FT1054" s="5" t="s">
        <v>240</v>
      </c>
      <c r="FU1054" s="5" t="s">
        <v>240</v>
      </c>
      <c r="FV1054" s="5" t="s">
        <v>240</v>
      </c>
      <c r="FW1054" s="5" t="s">
        <v>240</v>
      </c>
      <c r="FX1054" s="5" t="s">
        <v>240</v>
      </c>
      <c r="FY1054" s="5" t="s">
        <v>240</v>
      </c>
      <c r="FZ1054" s="5" t="s">
        <v>240</v>
      </c>
      <c r="GA1054" s="5" t="s">
        <v>240</v>
      </c>
      <c r="GB1054" s="5" t="s">
        <v>240</v>
      </c>
      <c r="GC1054" s="5" t="s">
        <v>240</v>
      </c>
      <c r="GD1054" s="5" t="s">
        <v>240</v>
      </c>
      <c r="GE1054" s="5" t="s">
        <v>240</v>
      </c>
      <c r="GF1054" s="5" t="s">
        <v>240</v>
      </c>
      <c r="GG1054" s="5" t="s">
        <v>240</v>
      </c>
      <c r="GH1054" s="5" t="s">
        <v>240</v>
      </c>
      <c r="GI1054" s="5" t="s">
        <v>240</v>
      </c>
      <c r="GJ1054" s="5" t="s">
        <v>240</v>
      </c>
      <c r="GK1054" s="5" t="s">
        <v>240</v>
      </c>
      <c r="GL1054" s="5" t="s">
        <v>240</v>
      </c>
      <c r="GM1054" s="5" t="s">
        <v>240</v>
      </c>
      <c r="GN1054" s="5" t="s">
        <v>240</v>
      </c>
      <c r="GO1054" s="5" t="s">
        <v>240</v>
      </c>
      <c r="GP1054" s="5" t="s">
        <v>240</v>
      </c>
      <c r="GQ1054" s="5" t="s">
        <v>240</v>
      </c>
      <c r="GR1054" s="5" t="s">
        <v>240</v>
      </c>
      <c r="GS1054" s="5" t="s">
        <v>240</v>
      </c>
      <c r="GT1054" s="5" t="s">
        <v>240</v>
      </c>
      <c r="GU1054" s="5" t="s">
        <v>240</v>
      </c>
      <c r="GV1054" s="5" t="s">
        <v>240</v>
      </c>
      <c r="GW1054" s="5" t="s">
        <v>240</v>
      </c>
      <c r="GX1054" s="5" t="s">
        <v>240</v>
      </c>
      <c r="GY1054" s="5" t="s">
        <v>240</v>
      </c>
      <c r="GZ1054" s="5" t="s">
        <v>240</v>
      </c>
      <c r="HA1054" s="5" t="s">
        <v>240</v>
      </c>
      <c r="HB1054" s="5" t="s">
        <v>240</v>
      </c>
      <c r="HC1054" s="5" t="s">
        <v>240</v>
      </c>
      <c r="HD1054" s="5" t="s">
        <v>240</v>
      </c>
      <c r="HE1054" s="5" t="s">
        <v>240</v>
      </c>
      <c r="HF1054" s="5" t="s">
        <v>240</v>
      </c>
      <c r="HG1054" s="5" t="s">
        <v>240</v>
      </c>
      <c r="HH1054" s="5" t="s">
        <v>240</v>
      </c>
      <c r="HI1054" s="5" t="s">
        <v>240</v>
      </c>
      <c r="HJ1054" s="5" t="s">
        <v>240</v>
      </c>
      <c r="HK1054" s="5" t="s">
        <v>240</v>
      </c>
      <c r="HL1054" s="5" t="s">
        <v>240</v>
      </c>
      <c r="HM1054" s="5" t="s">
        <v>240</v>
      </c>
      <c r="HN1054" s="5" t="s">
        <v>240</v>
      </c>
      <c r="HO1054" s="5" t="s">
        <v>620</v>
      </c>
      <c r="HP1054" s="5" t="s">
        <v>240</v>
      </c>
      <c r="HQ1054" s="5" t="s">
        <v>240</v>
      </c>
      <c r="HR1054" s="5" t="s">
        <v>240</v>
      </c>
      <c r="HS1054" s="5" t="s">
        <v>240</v>
      </c>
      <c r="HT1054" s="5" t="s">
        <v>240</v>
      </c>
      <c r="HU1054" s="5" t="s">
        <v>240</v>
      </c>
      <c r="HV1054" s="5" t="s">
        <v>240</v>
      </c>
      <c r="HW1054" s="5" t="s">
        <v>240</v>
      </c>
      <c r="HX1054" s="5" t="s">
        <v>240</v>
      </c>
      <c r="HY1054" s="5" t="s">
        <v>240</v>
      </c>
      <c r="HZ1054" s="5" t="s">
        <v>240</v>
      </c>
      <c r="IA1054" s="5" t="s">
        <v>240</v>
      </c>
      <c r="IB1054" s="5" t="s">
        <v>240</v>
      </c>
      <c r="IC1054" s="5" t="s">
        <v>240</v>
      </c>
      <c r="ID1054" s="5" t="s">
        <v>240</v>
      </c>
      <c r="IE1054" s="5" t="s">
        <v>240</v>
      </c>
      <c r="IF1054" s="5" t="s">
        <v>240</v>
      </c>
    </row>
    <row r="1055" spans="1:240" x14ac:dyDescent="0.4">
      <c r="A1055" s="5">
        <v>2730</v>
      </c>
      <c r="B1055" s="5">
        <v>1</v>
      </c>
      <c r="C1055" s="5">
        <v>1</v>
      </c>
      <c r="D1055" s="5" t="s">
        <v>297</v>
      </c>
      <c r="E1055" s="5" t="s">
        <v>245</v>
      </c>
      <c r="F1055" s="5" t="s">
        <v>254</v>
      </c>
      <c r="G1055" s="5" t="s">
        <v>240</v>
      </c>
      <c r="H1055" s="6" t="s">
        <v>5256</v>
      </c>
      <c r="I1055" s="5" t="s">
        <v>295</v>
      </c>
      <c r="J1055" s="8">
        <f>302</f>
        <v>302</v>
      </c>
      <c r="K1055" s="5" t="s">
        <v>308</v>
      </c>
      <c r="L1055" s="7">
        <f>1</f>
        <v>1</v>
      </c>
      <c r="M1055" s="7">
        <f>1</f>
        <v>1</v>
      </c>
      <c r="N1055" s="5" t="s">
        <v>242</v>
      </c>
      <c r="O1055" s="5">
        <v>1</v>
      </c>
      <c r="P1055" s="5" t="s">
        <v>294</v>
      </c>
      <c r="Q1055" s="5" t="s">
        <v>266</v>
      </c>
      <c r="R1055" s="5" t="s">
        <v>240</v>
      </c>
      <c r="S1055" s="5" t="s">
        <v>240</v>
      </c>
      <c r="T1055" s="5" t="s">
        <v>296</v>
      </c>
      <c r="U1055" s="5" t="s">
        <v>244</v>
      </c>
      <c r="V1055" s="5" t="s">
        <v>240</v>
      </c>
      <c r="Y1055" s="5" t="s">
        <v>240</v>
      </c>
      <c r="Z1055" s="6" t="s">
        <v>298</v>
      </c>
      <c r="AB1055" s="6" t="s">
        <v>240</v>
      </c>
      <c r="AE1055" s="6" t="s">
        <v>299</v>
      </c>
      <c r="AF1055" s="5" t="s">
        <v>248</v>
      </c>
      <c r="AG1055" s="5" t="s">
        <v>249</v>
      </c>
      <c r="AW1055" s="5" t="s">
        <v>251</v>
      </c>
      <c r="AX1055" s="5" t="s">
        <v>240</v>
      </c>
      <c r="AY1055" s="5" t="s">
        <v>253</v>
      </c>
      <c r="AZ1055" s="5" t="s">
        <v>240</v>
      </c>
      <c r="BA1055" s="5" t="s">
        <v>255</v>
      </c>
      <c r="BB1055" s="5" t="s">
        <v>240</v>
      </c>
      <c r="BD1055" s="5" t="s">
        <v>240</v>
      </c>
      <c r="BF1055" s="5" t="s">
        <v>301</v>
      </c>
      <c r="BG1055" s="6" t="s">
        <v>299</v>
      </c>
      <c r="BH1055" s="5" t="s">
        <v>302</v>
      </c>
      <c r="BI1055" s="5" t="s">
        <v>303</v>
      </c>
      <c r="BJ1055" s="5" t="s">
        <v>240</v>
      </c>
      <c r="BK1055" s="8">
        <f>0</f>
        <v>0</v>
      </c>
      <c r="BL1055" s="7">
        <f>0</f>
        <v>0</v>
      </c>
      <c r="BM1055" s="5" t="s">
        <v>258</v>
      </c>
      <c r="BN1055" s="5" t="s">
        <v>259</v>
      </c>
      <c r="CB1055" s="5" t="s">
        <v>240</v>
      </c>
      <c r="CC1055" s="5" t="s">
        <v>240</v>
      </c>
      <c r="CG1055" s="5" t="s">
        <v>304</v>
      </c>
      <c r="CH1055" s="5" t="s">
        <v>305</v>
      </c>
      <c r="CI1055" s="5" t="s">
        <v>240</v>
      </c>
      <c r="CL1055" s="6" t="s">
        <v>261</v>
      </c>
      <c r="CM1055" s="5" t="s">
        <v>240</v>
      </c>
      <c r="CN1055" s="5" t="s">
        <v>263</v>
      </c>
      <c r="CO1055" s="5" t="s">
        <v>240</v>
      </c>
      <c r="CP1055" s="5" t="s">
        <v>240</v>
      </c>
      <c r="CQ1055" s="5">
        <v>0</v>
      </c>
      <c r="CR1055" s="5" t="s">
        <v>306</v>
      </c>
      <c r="CS1055" s="5" t="s">
        <v>307</v>
      </c>
      <c r="CT1055" s="5" t="s">
        <v>307</v>
      </c>
      <c r="CU1055" s="5" t="s">
        <v>260</v>
      </c>
      <c r="CX1055" s="7">
        <f>1</f>
        <v>1</v>
      </c>
      <c r="CY1055" s="7">
        <f>0</f>
        <v>0</v>
      </c>
      <c r="DA1055" s="7">
        <f>0</f>
        <v>0</v>
      </c>
      <c r="DC1055" s="5" t="s">
        <v>812</v>
      </c>
      <c r="DD1055" s="5" t="s">
        <v>240</v>
      </c>
      <c r="DF1055" s="5" t="s">
        <v>812</v>
      </c>
      <c r="DG1055" s="7">
        <f>142</f>
        <v>142</v>
      </c>
      <c r="DI1055" s="5" t="s">
        <v>240</v>
      </c>
      <c r="DJ1055" s="5" t="s">
        <v>240</v>
      </c>
      <c r="DK1055" s="5" t="s">
        <v>240</v>
      </c>
      <c r="DL1055" s="5" t="s">
        <v>240</v>
      </c>
      <c r="DP1055" s="5" t="s">
        <v>240</v>
      </c>
      <c r="DQ1055" s="5" t="s">
        <v>240</v>
      </c>
      <c r="DR1055" s="5" t="s">
        <v>240</v>
      </c>
      <c r="DS1055" s="5" t="s">
        <v>240</v>
      </c>
      <c r="DV1055" s="5" t="s">
        <v>813</v>
      </c>
      <c r="DW1055" s="5" t="s">
        <v>2243</v>
      </c>
      <c r="HO1055" s="5" t="s">
        <v>312</v>
      </c>
    </row>
    <row r="1056" spans="1:240" x14ac:dyDescent="0.4">
      <c r="A1056" s="5">
        <v>2731</v>
      </c>
      <c r="B1056" s="5">
        <v>1</v>
      </c>
      <c r="C1056" s="5">
        <v>1</v>
      </c>
      <c r="D1056" s="5" t="s">
        <v>297</v>
      </c>
      <c r="E1056" s="5" t="s">
        <v>245</v>
      </c>
      <c r="F1056" s="5" t="s">
        <v>254</v>
      </c>
      <c r="G1056" s="5" t="s">
        <v>240</v>
      </c>
      <c r="H1056" s="6" t="s">
        <v>6209</v>
      </c>
      <c r="I1056" s="5" t="s">
        <v>295</v>
      </c>
      <c r="J1056" s="8">
        <f>216</f>
        <v>216</v>
      </c>
      <c r="K1056" s="5" t="s">
        <v>308</v>
      </c>
      <c r="L1056" s="7">
        <f>1</f>
        <v>1</v>
      </c>
      <c r="M1056" s="7">
        <f>1</f>
        <v>1</v>
      </c>
      <c r="N1056" s="5" t="s">
        <v>242</v>
      </c>
      <c r="O1056" s="5">
        <v>1</v>
      </c>
      <c r="P1056" s="5" t="s">
        <v>294</v>
      </c>
      <c r="Q1056" s="5" t="s">
        <v>266</v>
      </c>
      <c r="R1056" s="5" t="s">
        <v>240</v>
      </c>
      <c r="S1056" s="5" t="s">
        <v>240</v>
      </c>
      <c r="T1056" s="5" t="s">
        <v>296</v>
      </c>
      <c r="U1056" s="5" t="s">
        <v>244</v>
      </c>
      <c r="V1056" s="5" t="s">
        <v>240</v>
      </c>
      <c r="Y1056" s="5" t="s">
        <v>240</v>
      </c>
      <c r="Z1056" s="6" t="s">
        <v>298</v>
      </c>
      <c r="AB1056" s="6" t="s">
        <v>240</v>
      </c>
      <c r="AE1056" s="6" t="s">
        <v>299</v>
      </c>
      <c r="AF1056" s="5" t="s">
        <v>248</v>
      </c>
      <c r="AG1056" s="5" t="s">
        <v>249</v>
      </c>
      <c r="AW1056" s="5" t="s">
        <v>251</v>
      </c>
      <c r="AX1056" s="5" t="s">
        <v>240</v>
      </c>
      <c r="AY1056" s="5" t="s">
        <v>253</v>
      </c>
      <c r="AZ1056" s="5" t="s">
        <v>240</v>
      </c>
      <c r="BA1056" s="5" t="s">
        <v>255</v>
      </c>
      <c r="BB1056" s="5" t="s">
        <v>240</v>
      </c>
      <c r="BD1056" s="5" t="s">
        <v>240</v>
      </c>
      <c r="BF1056" s="5" t="s">
        <v>301</v>
      </c>
      <c r="BG1056" s="6" t="s">
        <v>299</v>
      </c>
      <c r="BH1056" s="5" t="s">
        <v>302</v>
      </c>
      <c r="BI1056" s="5" t="s">
        <v>303</v>
      </c>
      <c r="BJ1056" s="5" t="s">
        <v>240</v>
      </c>
      <c r="BK1056" s="8">
        <f>0</f>
        <v>0</v>
      </c>
      <c r="BL1056" s="7">
        <f>0</f>
        <v>0</v>
      </c>
      <c r="BM1056" s="5" t="s">
        <v>258</v>
      </c>
      <c r="BN1056" s="5" t="s">
        <v>259</v>
      </c>
      <c r="CB1056" s="5" t="s">
        <v>240</v>
      </c>
      <c r="CC1056" s="5" t="s">
        <v>240</v>
      </c>
      <c r="CG1056" s="5" t="s">
        <v>304</v>
      </c>
      <c r="CH1056" s="5" t="s">
        <v>305</v>
      </c>
      <c r="CI1056" s="5" t="s">
        <v>240</v>
      </c>
      <c r="CL1056" s="6" t="s">
        <v>261</v>
      </c>
      <c r="CM1056" s="5" t="s">
        <v>240</v>
      </c>
      <c r="CN1056" s="5" t="s">
        <v>263</v>
      </c>
      <c r="CO1056" s="5" t="s">
        <v>240</v>
      </c>
      <c r="CP1056" s="5" t="s">
        <v>240</v>
      </c>
      <c r="CQ1056" s="5">
        <v>0</v>
      </c>
      <c r="CR1056" s="5" t="s">
        <v>306</v>
      </c>
      <c r="CS1056" s="5" t="s">
        <v>307</v>
      </c>
      <c r="CT1056" s="5" t="s">
        <v>307</v>
      </c>
      <c r="CU1056" s="5" t="s">
        <v>260</v>
      </c>
      <c r="CX1056" s="7">
        <f>1</f>
        <v>1</v>
      </c>
      <c r="CY1056" s="7">
        <f>0</f>
        <v>0</v>
      </c>
      <c r="DA1056" s="7">
        <f>0</f>
        <v>0</v>
      </c>
      <c r="DC1056" s="5" t="s">
        <v>812</v>
      </c>
      <c r="DD1056" s="5" t="s">
        <v>240</v>
      </c>
      <c r="DF1056" s="5" t="s">
        <v>812</v>
      </c>
      <c r="DG1056" s="7">
        <f>1736</f>
        <v>1736</v>
      </c>
      <c r="DI1056" s="5" t="s">
        <v>240</v>
      </c>
      <c r="DJ1056" s="5" t="s">
        <v>240</v>
      </c>
      <c r="DK1056" s="5" t="s">
        <v>240</v>
      </c>
      <c r="DL1056" s="5" t="s">
        <v>240</v>
      </c>
      <c r="DP1056" s="5" t="s">
        <v>240</v>
      </c>
      <c r="DQ1056" s="5" t="s">
        <v>240</v>
      </c>
      <c r="DR1056" s="5" t="s">
        <v>240</v>
      </c>
      <c r="DS1056" s="5" t="s">
        <v>240</v>
      </c>
      <c r="DV1056" s="5" t="s">
        <v>813</v>
      </c>
      <c r="DW1056" s="5" t="s">
        <v>2245</v>
      </c>
      <c r="HO1056" s="5" t="s">
        <v>312</v>
      </c>
    </row>
    <row r="1057" spans="1:223" x14ac:dyDescent="0.4">
      <c r="A1057" s="5">
        <v>2732</v>
      </c>
      <c r="B1057" s="5">
        <v>1</v>
      </c>
      <c r="C1057" s="5">
        <v>1</v>
      </c>
      <c r="D1057" s="5" t="s">
        <v>297</v>
      </c>
      <c r="E1057" s="5" t="s">
        <v>245</v>
      </c>
      <c r="F1057" s="5" t="s">
        <v>254</v>
      </c>
      <c r="G1057" s="5" t="s">
        <v>240</v>
      </c>
      <c r="H1057" s="6" t="s">
        <v>5254</v>
      </c>
      <c r="I1057" s="5" t="s">
        <v>295</v>
      </c>
      <c r="J1057" s="8">
        <f>1118</f>
        <v>1118</v>
      </c>
      <c r="K1057" s="5" t="s">
        <v>308</v>
      </c>
      <c r="L1057" s="7">
        <f>1</f>
        <v>1</v>
      </c>
      <c r="M1057" s="7">
        <f>1</f>
        <v>1</v>
      </c>
      <c r="N1057" s="5" t="s">
        <v>242</v>
      </c>
      <c r="O1057" s="5">
        <v>1</v>
      </c>
      <c r="P1057" s="5" t="s">
        <v>294</v>
      </c>
      <c r="Q1057" s="5" t="s">
        <v>266</v>
      </c>
      <c r="R1057" s="5" t="s">
        <v>240</v>
      </c>
      <c r="S1057" s="5" t="s">
        <v>240</v>
      </c>
      <c r="T1057" s="5" t="s">
        <v>296</v>
      </c>
      <c r="U1057" s="5" t="s">
        <v>244</v>
      </c>
      <c r="V1057" s="5" t="s">
        <v>240</v>
      </c>
      <c r="Y1057" s="5" t="s">
        <v>240</v>
      </c>
      <c r="Z1057" s="6" t="s">
        <v>298</v>
      </c>
      <c r="AB1057" s="6" t="s">
        <v>240</v>
      </c>
      <c r="AE1057" s="6" t="s">
        <v>299</v>
      </c>
      <c r="AF1057" s="5" t="s">
        <v>248</v>
      </c>
      <c r="AG1057" s="5" t="s">
        <v>249</v>
      </c>
      <c r="AW1057" s="5" t="s">
        <v>251</v>
      </c>
      <c r="AX1057" s="5" t="s">
        <v>240</v>
      </c>
      <c r="AY1057" s="5" t="s">
        <v>253</v>
      </c>
      <c r="AZ1057" s="5" t="s">
        <v>240</v>
      </c>
      <c r="BA1057" s="5" t="s">
        <v>255</v>
      </c>
      <c r="BB1057" s="5" t="s">
        <v>240</v>
      </c>
      <c r="BD1057" s="5" t="s">
        <v>240</v>
      </c>
      <c r="BF1057" s="5" t="s">
        <v>301</v>
      </c>
      <c r="BG1057" s="6" t="s">
        <v>299</v>
      </c>
      <c r="BH1057" s="5" t="s">
        <v>302</v>
      </c>
      <c r="BI1057" s="5" t="s">
        <v>303</v>
      </c>
      <c r="BJ1057" s="5" t="s">
        <v>240</v>
      </c>
      <c r="BK1057" s="8">
        <f>0</f>
        <v>0</v>
      </c>
      <c r="BL1057" s="7">
        <f>0</f>
        <v>0</v>
      </c>
      <c r="BM1057" s="5" t="s">
        <v>258</v>
      </c>
      <c r="BN1057" s="5" t="s">
        <v>259</v>
      </c>
      <c r="CB1057" s="5" t="s">
        <v>240</v>
      </c>
      <c r="CC1057" s="5" t="s">
        <v>240</v>
      </c>
      <c r="CG1057" s="5" t="s">
        <v>304</v>
      </c>
      <c r="CH1057" s="5" t="s">
        <v>305</v>
      </c>
      <c r="CI1057" s="5" t="s">
        <v>240</v>
      </c>
      <c r="CL1057" s="6" t="s">
        <v>261</v>
      </c>
      <c r="CM1057" s="5" t="s">
        <v>240</v>
      </c>
      <c r="CN1057" s="5" t="s">
        <v>263</v>
      </c>
      <c r="CO1057" s="5" t="s">
        <v>240</v>
      </c>
      <c r="CP1057" s="5" t="s">
        <v>240</v>
      </c>
      <c r="CQ1057" s="5">
        <v>0</v>
      </c>
      <c r="CR1057" s="5" t="s">
        <v>306</v>
      </c>
      <c r="CS1057" s="5" t="s">
        <v>307</v>
      </c>
      <c r="CT1057" s="5" t="s">
        <v>307</v>
      </c>
      <c r="CU1057" s="5" t="s">
        <v>260</v>
      </c>
      <c r="CX1057" s="7">
        <f>1</f>
        <v>1</v>
      </c>
      <c r="CY1057" s="7">
        <f>0</f>
        <v>0</v>
      </c>
      <c r="DA1057" s="7">
        <f>0</f>
        <v>0</v>
      </c>
      <c r="DC1057" s="5" t="s">
        <v>812</v>
      </c>
      <c r="DD1057" s="5" t="s">
        <v>240</v>
      </c>
      <c r="DF1057" s="5" t="s">
        <v>812</v>
      </c>
      <c r="DG1057" s="7">
        <f>1238</f>
        <v>1238</v>
      </c>
      <c r="DI1057" s="5" t="s">
        <v>240</v>
      </c>
      <c r="DJ1057" s="5" t="s">
        <v>240</v>
      </c>
      <c r="DK1057" s="5" t="s">
        <v>240</v>
      </c>
      <c r="DL1057" s="5" t="s">
        <v>240</v>
      </c>
      <c r="DP1057" s="5" t="s">
        <v>240</v>
      </c>
      <c r="DQ1057" s="5" t="s">
        <v>240</v>
      </c>
      <c r="DR1057" s="5" t="s">
        <v>240</v>
      </c>
      <c r="DS1057" s="5" t="s">
        <v>240</v>
      </c>
      <c r="DV1057" s="5" t="s">
        <v>813</v>
      </c>
      <c r="DW1057" s="5" t="s">
        <v>2247</v>
      </c>
      <c r="HO1057" s="5" t="s">
        <v>312</v>
      </c>
    </row>
    <row r="1058" spans="1:223" x14ac:dyDescent="0.4">
      <c r="A1058" s="5">
        <v>2733</v>
      </c>
      <c r="B1058" s="5">
        <v>1</v>
      </c>
      <c r="C1058" s="5">
        <v>1</v>
      </c>
      <c r="D1058" s="5" t="s">
        <v>297</v>
      </c>
      <c r="E1058" s="5" t="s">
        <v>245</v>
      </c>
      <c r="F1058" s="5" t="s">
        <v>254</v>
      </c>
      <c r="G1058" s="5" t="s">
        <v>240</v>
      </c>
      <c r="H1058" s="6" t="s">
        <v>5253</v>
      </c>
      <c r="I1058" s="5" t="s">
        <v>295</v>
      </c>
      <c r="J1058" s="8">
        <f>1321</f>
        <v>1321</v>
      </c>
      <c r="K1058" s="5" t="s">
        <v>308</v>
      </c>
      <c r="L1058" s="7">
        <f>1</f>
        <v>1</v>
      </c>
      <c r="M1058" s="7">
        <f>1</f>
        <v>1</v>
      </c>
      <c r="N1058" s="5" t="s">
        <v>242</v>
      </c>
      <c r="O1058" s="5">
        <v>1</v>
      </c>
      <c r="P1058" s="5" t="s">
        <v>294</v>
      </c>
      <c r="Q1058" s="5" t="s">
        <v>266</v>
      </c>
      <c r="R1058" s="5" t="s">
        <v>240</v>
      </c>
      <c r="S1058" s="5" t="s">
        <v>240</v>
      </c>
      <c r="T1058" s="5" t="s">
        <v>296</v>
      </c>
      <c r="U1058" s="5" t="s">
        <v>244</v>
      </c>
      <c r="V1058" s="5" t="s">
        <v>240</v>
      </c>
      <c r="Y1058" s="5" t="s">
        <v>240</v>
      </c>
      <c r="Z1058" s="6" t="s">
        <v>298</v>
      </c>
      <c r="AB1058" s="6" t="s">
        <v>240</v>
      </c>
      <c r="AE1058" s="6" t="s">
        <v>299</v>
      </c>
      <c r="AF1058" s="5" t="s">
        <v>248</v>
      </c>
      <c r="AG1058" s="5" t="s">
        <v>249</v>
      </c>
      <c r="AW1058" s="5" t="s">
        <v>251</v>
      </c>
      <c r="AX1058" s="5" t="s">
        <v>240</v>
      </c>
      <c r="AY1058" s="5" t="s">
        <v>253</v>
      </c>
      <c r="AZ1058" s="5" t="s">
        <v>240</v>
      </c>
      <c r="BA1058" s="5" t="s">
        <v>255</v>
      </c>
      <c r="BB1058" s="5" t="s">
        <v>240</v>
      </c>
      <c r="BD1058" s="5" t="s">
        <v>240</v>
      </c>
      <c r="BF1058" s="5" t="s">
        <v>301</v>
      </c>
      <c r="BG1058" s="6" t="s">
        <v>299</v>
      </c>
      <c r="BH1058" s="5" t="s">
        <v>302</v>
      </c>
      <c r="BI1058" s="5" t="s">
        <v>303</v>
      </c>
      <c r="BJ1058" s="5" t="s">
        <v>240</v>
      </c>
      <c r="BK1058" s="8">
        <f>0</f>
        <v>0</v>
      </c>
      <c r="BL1058" s="7">
        <f>0</f>
        <v>0</v>
      </c>
      <c r="BM1058" s="5" t="s">
        <v>258</v>
      </c>
      <c r="BN1058" s="5" t="s">
        <v>259</v>
      </c>
      <c r="CB1058" s="5" t="s">
        <v>240</v>
      </c>
      <c r="CC1058" s="5" t="s">
        <v>240</v>
      </c>
      <c r="CG1058" s="5" t="s">
        <v>304</v>
      </c>
      <c r="CH1058" s="5" t="s">
        <v>305</v>
      </c>
      <c r="CI1058" s="5" t="s">
        <v>240</v>
      </c>
      <c r="CL1058" s="6" t="s">
        <v>261</v>
      </c>
      <c r="CM1058" s="5" t="s">
        <v>240</v>
      </c>
      <c r="CN1058" s="5" t="s">
        <v>263</v>
      </c>
      <c r="CO1058" s="5" t="s">
        <v>240</v>
      </c>
      <c r="CP1058" s="5" t="s">
        <v>240</v>
      </c>
      <c r="CQ1058" s="5">
        <v>0</v>
      </c>
      <c r="CR1058" s="5" t="s">
        <v>306</v>
      </c>
      <c r="CS1058" s="5" t="s">
        <v>307</v>
      </c>
      <c r="CT1058" s="5" t="s">
        <v>307</v>
      </c>
      <c r="CU1058" s="5" t="s">
        <v>260</v>
      </c>
      <c r="CX1058" s="7">
        <f>1</f>
        <v>1</v>
      </c>
      <c r="CY1058" s="7">
        <f>0</f>
        <v>0</v>
      </c>
      <c r="DA1058" s="7">
        <f>0</f>
        <v>0</v>
      </c>
      <c r="DC1058" s="5" t="s">
        <v>812</v>
      </c>
      <c r="DD1058" s="5" t="s">
        <v>240</v>
      </c>
      <c r="DF1058" s="5" t="s">
        <v>812</v>
      </c>
      <c r="DG1058" s="7">
        <f>1185</f>
        <v>1185</v>
      </c>
      <c r="DI1058" s="5" t="s">
        <v>240</v>
      </c>
      <c r="DJ1058" s="5" t="s">
        <v>240</v>
      </c>
      <c r="DK1058" s="5" t="s">
        <v>240</v>
      </c>
      <c r="DL1058" s="5" t="s">
        <v>240</v>
      </c>
      <c r="DP1058" s="5" t="s">
        <v>240</v>
      </c>
      <c r="DQ1058" s="5" t="s">
        <v>240</v>
      </c>
      <c r="DR1058" s="5" t="s">
        <v>240</v>
      </c>
      <c r="DS1058" s="5" t="s">
        <v>240</v>
      </c>
      <c r="DV1058" s="5" t="s">
        <v>813</v>
      </c>
      <c r="DW1058" s="5" t="s">
        <v>2249</v>
      </c>
      <c r="HO1058" s="5" t="s">
        <v>312</v>
      </c>
    </row>
    <row r="1059" spans="1:223" x14ac:dyDescent="0.4">
      <c r="A1059" s="5">
        <v>2734</v>
      </c>
      <c r="B1059" s="5">
        <v>1</v>
      </c>
      <c r="C1059" s="5">
        <v>1</v>
      </c>
      <c r="D1059" s="5" t="s">
        <v>297</v>
      </c>
      <c r="E1059" s="5" t="s">
        <v>245</v>
      </c>
      <c r="F1059" s="5" t="s">
        <v>254</v>
      </c>
      <c r="G1059" s="5" t="s">
        <v>240</v>
      </c>
      <c r="H1059" s="6" t="s">
        <v>5252</v>
      </c>
      <c r="I1059" s="5" t="s">
        <v>295</v>
      </c>
      <c r="J1059" s="8">
        <f>1098</f>
        <v>1098</v>
      </c>
      <c r="K1059" s="5" t="s">
        <v>308</v>
      </c>
      <c r="L1059" s="7">
        <f>1</f>
        <v>1</v>
      </c>
      <c r="M1059" s="7">
        <f>1</f>
        <v>1</v>
      </c>
      <c r="N1059" s="5" t="s">
        <v>242</v>
      </c>
      <c r="O1059" s="5">
        <v>1</v>
      </c>
      <c r="P1059" s="5" t="s">
        <v>294</v>
      </c>
      <c r="Q1059" s="5" t="s">
        <v>266</v>
      </c>
      <c r="R1059" s="5" t="s">
        <v>240</v>
      </c>
      <c r="S1059" s="5" t="s">
        <v>240</v>
      </c>
      <c r="T1059" s="5" t="s">
        <v>296</v>
      </c>
      <c r="U1059" s="5" t="s">
        <v>244</v>
      </c>
      <c r="V1059" s="5" t="s">
        <v>240</v>
      </c>
      <c r="Y1059" s="5" t="s">
        <v>240</v>
      </c>
      <c r="Z1059" s="6" t="s">
        <v>298</v>
      </c>
      <c r="AB1059" s="6" t="s">
        <v>240</v>
      </c>
      <c r="AE1059" s="6" t="s">
        <v>299</v>
      </c>
      <c r="AF1059" s="5" t="s">
        <v>248</v>
      </c>
      <c r="AG1059" s="5" t="s">
        <v>249</v>
      </c>
      <c r="AW1059" s="5" t="s">
        <v>251</v>
      </c>
      <c r="AX1059" s="5" t="s">
        <v>240</v>
      </c>
      <c r="AY1059" s="5" t="s">
        <v>253</v>
      </c>
      <c r="AZ1059" s="5" t="s">
        <v>240</v>
      </c>
      <c r="BA1059" s="5" t="s">
        <v>255</v>
      </c>
      <c r="BB1059" s="5" t="s">
        <v>240</v>
      </c>
      <c r="BD1059" s="5" t="s">
        <v>240</v>
      </c>
      <c r="BF1059" s="5" t="s">
        <v>301</v>
      </c>
      <c r="BG1059" s="6" t="s">
        <v>299</v>
      </c>
      <c r="BH1059" s="5" t="s">
        <v>302</v>
      </c>
      <c r="BI1059" s="5" t="s">
        <v>303</v>
      </c>
      <c r="BJ1059" s="5" t="s">
        <v>240</v>
      </c>
      <c r="BK1059" s="8">
        <f>0</f>
        <v>0</v>
      </c>
      <c r="BL1059" s="7">
        <f>0</f>
        <v>0</v>
      </c>
      <c r="BM1059" s="5" t="s">
        <v>258</v>
      </c>
      <c r="BN1059" s="5" t="s">
        <v>259</v>
      </c>
      <c r="CB1059" s="5" t="s">
        <v>240</v>
      </c>
      <c r="CC1059" s="5" t="s">
        <v>240</v>
      </c>
      <c r="CG1059" s="5" t="s">
        <v>304</v>
      </c>
      <c r="CH1059" s="5" t="s">
        <v>305</v>
      </c>
      <c r="CI1059" s="5" t="s">
        <v>240</v>
      </c>
      <c r="CL1059" s="6" t="s">
        <v>261</v>
      </c>
      <c r="CM1059" s="5" t="s">
        <v>240</v>
      </c>
      <c r="CN1059" s="5" t="s">
        <v>263</v>
      </c>
      <c r="CO1059" s="5" t="s">
        <v>240</v>
      </c>
      <c r="CP1059" s="5" t="s">
        <v>240</v>
      </c>
      <c r="CQ1059" s="5">
        <v>0</v>
      </c>
      <c r="CR1059" s="5" t="s">
        <v>306</v>
      </c>
      <c r="CS1059" s="5" t="s">
        <v>307</v>
      </c>
      <c r="CT1059" s="5" t="s">
        <v>307</v>
      </c>
      <c r="CU1059" s="5" t="s">
        <v>260</v>
      </c>
      <c r="CX1059" s="7">
        <f>1</f>
        <v>1</v>
      </c>
      <c r="CY1059" s="7">
        <f>0</f>
        <v>0</v>
      </c>
      <c r="DA1059" s="7">
        <f>0</f>
        <v>0</v>
      </c>
      <c r="DC1059" s="5" t="s">
        <v>812</v>
      </c>
      <c r="DD1059" s="5" t="s">
        <v>240</v>
      </c>
      <c r="DF1059" s="5" t="s">
        <v>812</v>
      </c>
      <c r="DG1059" s="7">
        <f>806</f>
        <v>806</v>
      </c>
      <c r="DI1059" s="5" t="s">
        <v>240</v>
      </c>
      <c r="DJ1059" s="5" t="s">
        <v>240</v>
      </c>
      <c r="DK1059" s="5" t="s">
        <v>240</v>
      </c>
      <c r="DL1059" s="5" t="s">
        <v>240</v>
      </c>
      <c r="DP1059" s="5" t="s">
        <v>240</v>
      </c>
      <c r="DQ1059" s="5" t="s">
        <v>240</v>
      </c>
      <c r="DR1059" s="5" t="s">
        <v>240</v>
      </c>
      <c r="DS1059" s="5" t="s">
        <v>240</v>
      </c>
      <c r="DV1059" s="5" t="s">
        <v>813</v>
      </c>
      <c r="DW1059" s="5" t="s">
        <v>2251</v>
      </c>
      <c r="HO1059" s="5" t="s">
        <v>312</v>
      </c>
    </row>
    <row r="1060" spans="1:223" x14ac:dyDescent="0.4">
      <c r="A1060" s="5">
        <v>2735</v>
      </c>
      <c r="B1060" s="5">
        <v>1</v>
      </c>
      <c r="C1060" s="5">
        <v>1</v>
      </c>
      <c r="D1060" s="5" t="s">
        <v>297</v>
      </c>
      <c r="E1060" s="5" t="s">
        <v>245</v>
      </c>
      <c r="F1060" s="5" t="s">
        <v>254</v>
      </c>
      <c r="G1060" s="5" t="s">
        <v>240</v>
      </c>
      <c r="H1060" s="6" t="s">
        <v>5251</v>
      </c>
      <c r="I1060" s="5" t="s">
        <v>295</v>
      </c>
      <c r="J1060" s="8">
        <f>454</f>
        <v>454</v>
      </c>
      <c r="K1060" s="5" t="s">
        <v>308</v>
      </c>
      <c r="L1060" s="7">
        <f>1</f>
        <v>1</v>
      </c>
      <c r="M1060" s="7">
        <f>1</f>
        <v>1</v>
      </c>
      <c r="N1060" s="5" t="s">
        <v>242</v>
      </c>
      <c r="O1060" s="5">
        <v>1</v>
      </c>
      <c r="P1060" s="5" t="s">
        <v>294</v>
      </c>
      <c r="Q1060" s="5" t="s">
        <v>266</v>
      </c>
      <c r="R1060" s="5" t="s">
        <v>240</v>
      </c>
      <c r="S1060" s="5" t="s">
        <v>240</v>
      </c>
      <c r="T1060" s="5" t="s">
        <v>296</v>
      </c>
      <c r="U1060" s="5" t="s">
        <v>244</v>
      </c>
      <c r="V1060" s="5" t="s">
        <v>240</v>
      </c>
      <c r="Y1060" s="5" t="s">
        <v>240</v>
      </c>
      <c r="Z1060" s="6" t="s">
        <v>298</v>
      </c>
      <c r="AB1060" s="6" t="s">
        <v>240</v>
      </c>
      <c r="AE1060" s="6" t="s">
        <v>299</v>
      </c>
      <c r="AF1060" s="5" t="s">
        <v>248</v>
      </c>
      <c r="AG1060" s="5" t="s">
        <v>249</v>
      </c>
      <c r="AW1060" s="5" t="s">
        <v>251</v>
      </c>
      <c r="AX1060" s="5" t="s">
        <v>240</v>
      </c>
      <c r="AY1060" s="5" t="s">
        <v>253</v>
      </c>
      <c r="AZ1060" s="5" t="s">
        <v>240</v>
      </c>
      <c r="BA1060" s="5" t="s">
        <v>255</v>
      </c>
      <c r="BB1060" s="5" t="s">
        <v>240</v>
      </c>
      <c r="BD1060" s="5" t="s">
        <v>240</v>
      </c>
      <c r="BF1060" s="5" t="s">
        <v>301</v>
      </c>
      <c r="BG1060" s="6" t="s">
        <v>299</v>
      </c>
      <c r="BH1060" s="5" t="s">
        <v>302</v>
      </c>
      <c r="BI1060" s="5" t="s">
        <v>303</v>
      </c>
      <c r="BJ1060" s="5" t="s">
        <v>240</v>
      </c>
      <c r="BK1060" s="8">
        <f>0</f>
        <v>0</v>
      </c>
      <c r="BL1060" s="7">
        <f>0</f>
        <v>0</v>
      </c>
      <c r="BM1060" s="5" t="s">
        <v>258</v>
      </c>
      <c r="BN1060" s="5" t="s">
        <v>259</v>
      </c>
      <c r="CB1060" s="5" t="s">
        <v>240</v>
      </c>
      <c r="CC1060" s="5" t="s">
        <v>240</v>
      </c>
      <c r="CG1060" s="5" t="s">
        <v>304</v>
      </c>
      <c r="CH1060" s="5" t="s">
        <v>305</v>
      </c>
      <c r="CI1060" s="5" t="s">
        <v>240</v>
      </c>
      <c r="CL1060" s="6" t="s">
        <v>261</v>
      </c>
      <c r="CM1060" s="5" t="s">
        <v>240</v>
      </c>
      <c r="CN1060" s="5" t="s">
        <v>263</v>
      </c>
      <c r="CO1060" s="5" t="s">
        <v>240</v>
      </c>
      <c r="CP1060" s="5" t="s">
        <v>240</v>
      </c>
      <c r="CQ1060" s="5">
        <v>0</v>
      </c>
      <c r="CR1060" s="5" t="s">
        <v>306</v>
      </c>
      <c r="CS1060" s="5" t="s">
        <v>307</v>
      </c>
      <c r="CT1060" s="5" t="s">
        <v>307</v>
      </c>
      <c r="CU1060" s="5" t="s">
        <v>260</v>
      </c>
      <c r="CX1060" s="7">
        <f>1</f>
        <v>1</v>
      </c>
      <c r="CY1060" s="7">
        <f>0</f>
        <v>0</v>
      </c>
      <c r="DA1060" s="7">
        <f>0</f>
        <v>0</v>
      </c>
      <c r="DC1060" s="5" t="s">
        <v>812</v>
      </c>
      <c r="DD1060" s="5" t="s">
        <v>240</v>
      </c>
      <c r="DF1060" s="5" t="s">
        <v>812</v>
      </c>
      <c r="DG1060" s="7">
        <f>496</f>
        <v>496</v>
      </c>
      <c r="DI1060" s="5" t="s">
        <v>240</v>
      </c>
      <c r="DJ1060" s="5" t="s">
        <v>240</v>
      </c>
      <c r="DK1060" s="5" t="s">
        <v>240</v>
      </c>
      <c r="DL1060" s="5" t="s">
        <v>240</v>
      </c>
      <c r="DP1060" s="5" t="s">
        <v>240</v>
      </c>
      <c r="DQ1060" s="5" t="s">
        <v>240</v>
      </c>
      <c r="DR1060" s="5" t="s">
        <v>240</v>
      </c>
      <c r="DS1060" s="5" t="s">
        <v>240</v>
      </c>
      <c r="DV1060" s="5" t="s">
        <v>813</v>
      </c>
      <c r="DW1060" s="5" t="s">
        <v>2253</v>
      </c>
      <c r="HO1060" s="5" t="s">
        <v>312</v>
      </c>
    </row>
    <row r="1061" spans="1:223" x14ac:dyDescent="0.4">
      <c r="A1061" s="5">
        <v>2736</v>
      </c>
      <c r="B1061" s="5">
        <v>1</v>
      </c>
      <c r="C1061" s="5">
        <v>1</v>
      </c>
      <c r="D1061" s="5" t="s">
        <v>297</v>
      </c>
      <c r="E1061" s="5" t="s">
        <v>245</v>
      </c>
      <c r="F1061" s="5" t="s">
        <v>254</v>
      </c>
      <c r="G1061" s="5" t="s">
        <v>240</v>
      </c>
      <c r="H1061" s="6" t="s">
        <v>5250</v>
      </c>
      <c r="I1061" s="5" t="s">
        <v>295</v>
      </c>
      <c r="J1061" s="8">
        <f>130</f>
        <v>130</v>
      </c>
      <c r="K1061" s="5" t="s">
        <v>308</v>
      </c>
      <c r="L1061" s="7">
        <f>1</f>
        <v>1</v>
      </c>
      <c r="M1061" s="7">
        <f>1</f>
        <v>1</v>
      </c>
      <c r="N1061" s="5" t="s">
        <v>242</v>
      </c>
      <c r="O1061" s="5">
        <v>1</v>
      </c>
      <c r="P1061" s="5" t="s">
        <v>294</v>
      </c>
      <c r="Q1061" s="5" t="s">
        <v>266</v>
      </c>
      <c r="R1061" s="5" t="s">
        <v>240</v>
      </c>
      <c r="S1061" s="5" t="s">
        <v>240</v>
      </c>
      <c r="T1061" s="5" t="s">
        <v>296</v>
      </c>
      <c r="U1061" s="5" t="s">
        <v>244</v>
      </c>
      <c r="V1061" s="5" t="s">
        <v>240</v>
      </c>
      <c r="Y1061" s="5" t="s">
        <v>240</v>
      </c>
      <c r="Z1061" s="6" t="s">
        <v>298</v>
      </c>
      <c r="AB1061" s="6" t="s">
        <v>240</v>
      </c>
      <c r="AE1061" s="6" t="s">
        <v>299</v>
      </c>
      <c r="AF1061" s="5" t="s">
        <v>248</v>
      </c>
      <c r="AG1061" s="5" t="s">
        <v>249</v>
      </c>
      <c r="AW1061" s="5" t="s">
        <v>251</v>
      </c>
      <c r="AX1061" s="5" t="s">
        <v>240</v>
      </c>
      <c r="AY1061" s="5" t="s">
        <v>253</v>
      </c>
      <c r="AZ1061" s="5" t="s">
        <v>240</v>
      </c>
      <c r="BA1061" s="5" t="s">
        <v>255</v>
      </c>
      <c r="BB1061" s="5" t="s">
        <v>240</v>
      </c>
      <c r="BD1061" s="5" t="s">
        <v>240</v>
      </c>
      <c r="BF1061" s="5" t="s">
        <v>301</v>
      </c>
      <c r="BG1061" s="6" t="s">
        <v>299</v>
      </c>
      <c r="BH1061" s="5" t="s">
        <v>302</v>
      </c>
      <c r="BI1061" s="5" t="s">
        <v>303</v>
      </c>
      <c r="BJ1061" s="5" t="s">
        <v>240</v>
      </c>
      <c r="BK1061" s="8">
        <f>0</f>
        <v>0</v>
      </c>
      <c r="BL1061" s="7">
        <f>0</f>
        <v>0</v>
      </c>
      <c r="BM1061" s="5" t="s">
        <v>258</v>
      </c>
      <c r="BN1061" s="5" t="s">
        <v>259</v>
      </c>
      <c r="CB1061" s="5" t="s">
        <v>240</v>
      </c>
      <c r="CC1061" s="5" t="s">
        <v>240</v>
      </c>
      <c r="CG1061" s="5" t="s">
        <v>304</v>
      </c>
      <c r="CH1061" s="5" t="s">
        <v>305</v>
      </c>
      <c r="CI1061" s="5" t="s">
        <v>240</v>
      </c>
      <c r="CL1061" s="6" t="s">
        <v>261</v>
      </c>
      <c r="CM1061" s="5" t="s">
        <v>240</v>
      </c>
      <c r="CN1061" s="5" t="s">
        <v>263</v>
      </c>
      <c r="CO1061" s="5" t="s">
        <v>240</v>
      </c>
      <c r="CP1061" s="5" t="s">
        <v>240</v>
      </c>
      <c r="CQ1061" s="5">
        <v>0</v>
      </c>
      <c r="CR1061" s="5" t="s">
        <v>306</v>
      </c>
      <c r="CS1061" s="5" t="s">
        <v>307</v>
      </c>
      <c r="CT1061" s="5" t="s">
        <v>307</v>
      </c>
      <c r="CU1061" s="5" t="s">
        <v>260</v>
      </c>
      <c r="CX1061" s="7">
        <f>1</f>
        <v>1</v>
      </c>
      <c r="CY1061" s="7">
        <f>0</f>
        <v>0</v>
      </c>
      <c r="DA1061" s="7">
        <f>0</f>
        <v>0</v>
      </c>
      <c r="DC1061" s="5" t="s">
        <v>812</v>
      </c>
      <c r="DD1061" s="5" t="s">
        <v>240</v>
      </c>
      <c r="DF1061" s="5" t="s">
        <v>2255</v>
      </c>
      <c r="DG1061" s="7">
        <f>454</f>
        <v>454</v>
      </c>
      <c r="DI1061" s="5" t="s">
        <v>240</v>
      </c>
      <c r="DJ1061" s="5" t="s">
        <v>240</v>
      </c>
      <c r="DK1061" s="5" t="s">
        <v>240</v>
      </c>
      <c r="DL1061" s="5" t="s">
        <v>240</v>
      </c>
      <c r="DP1061" s="5" t="s">
        <v>240</v>
      </c>
      <c r="DQ1061" s="5" t="s">
        <v>240</v>
      </c>
      <c r="DR1061" s="5" t="s">
        <v>240</v>
      </c>
      <c r="DS1061" s="5" t="s">
        <v>240</v>
      </c>
      <c r="DV1061" s="5" t="s">
        <v>813</v>
      </c>
      <c r="DW1061" s="5" t="s">
        <v>2256</v>
      </c>
      <c r="HO1061" s="5" t="s">
        <v>312</v>
      </c>
    </row>
    <row r="1062" spans="1:223" x14ac:dyDescent="0.4">
      <c r="A1062" s="5">
        <v>2737</v>
      </c>
      <c r="B1062" s="5">
        <v>1</v>
      </c>
      <c r="C1062" s="5">
        <v>1</v>
      </c>
      <c r="D1062" s="5" t="s">
        <v>297</v>
      </c>
      <c r="E1062" s="5" t="s">
        <v>245</v>
      </c>
      <c r="F1062" s="5" t="s">
        <v>254</v>
      </c>
      <c r="G1062" s="5" t="s">
        <v>240</v>
      </c>
      <c r="H1062" s="6" t="s">
        <v>5249</v>
      </c>
      <c r="I1062" s="5" t="s">
        <v>295</v>
      </c>
      <c r="J1062" s="8">
        <f>16</f>
        <v>16</v>
      </c>
      <c r="K1062" s="5" t="s">
        <v>308</v>
      </c>
      <c r="L1062" s="7">
        <f>1</f>
        <v>1</v>
      </c>
      <c r="M1062" s="7">
        <f>1</f>
        <v>1</v>
      </c>
      <c r="N1062" s="5" t="s">
        <v>242</v>
      </c>
      <c r="O1062" s="5">
        <v>1</v>
      </c>
      <c r="P1062" s="5" t="s">
        <v>294</v>
      </c>
      <c r="Q1062" s="5" t="s">
        <v>266</v>
      </c>
      <c r="R1062" s="5" t="s">
        <v>240</v>
      </c>
      <c r="S1062" s="5" t="s">
        <v>240</v>
      </c>
      <c r="T1062" s="5" t="s">
        <v>296</v>
      </c>
      <c r="U1062" s="5" t="s">
        <v>244</v>
      </c>
      <c r="V1062" s="5" t="s">
        <v>240</v>
      </c>
      <c r="Y1062" s="5" t="s">
        <v>240</v>
      </c>
      <c r="Z1062" s="6" t="s">
        <v>298</v>
      </c>
      <c r="AB1062" s="6" t="s">
        <v>240</v>
      </c>
      <c r="AE1062" s="6" t="s">
        <v>299</v>
      </c>
      <c r="AF1062" s="5" t="s">
        <v>248</v>
      </c>
      <c r="AG1062" s="5" t="s">
        <v>249</v>
      </c>
      <c r="AW1062" s="5" t="s">
        <v>251</v>
      </c>
      <c r="AX1062" s="5" t="s">
        <v>240</v>
      </c>
      <c r="AY1062" s="5" t="s">
        <v>253</v>
      </c>
      <c r="AZ1062" s="5" t="s">
        <v>240</v>
      </c>
      <c r="BA1062" s="5" t="s">
        <v>255</v>
      </c>
      <c r="BB1062" s="5" t="s">
        <v>240</v>
      </c>
      <c r="BD1062" s="5" t="s">
        <v>240</v>
      </c>
      <c r="BF1062" s="5" t="s">
        <v>301</v>
      </c>
      <c r="BG1062" s="6" t="s">
        <v>299</v>
      </c>
      <c r="BH1062" s="5" t="s">
        <v>302</v>
      </c>
      <c r="BI1062" s="5" t="s">
        <v>303</v>
      </c>
      <c r="BJ1062" s="5" t="s">
        <v>240</v>
      </c>
      <c r="BK1062" s="8">
        <f>0</f>
        <v>0</v>
      </c>
      <c r="BL1062" s="7">
        <f>0</f>
        <v>0</v>
      </c>
      <c r="BM1062" s="5" t="s">
        <v>258</v>
      </c>
      <c r="BN1062" s="5" t="s">
        <v>259</v>
      </c>
      <c r="CB1062" s="5" t="s">
        <v>240</v>
      </c>
      <c r="CC1062" s="5" t="s">
        <v>240</v>
      </c>
      <c r="CG1062" s="5" t="s">
        <v>304</v>
      </c>
      <c r="CH1062" s="5" t="s">
        <v>305</v>
      </c>
      <c r="CI1062" s="5" t="s">
        <v>240</v>
      </c>
      <c r="CL1062" s="6" t="s">
        <v>261</v>
      </c>
      <c r="CM1062" s="5" t="s">
        <v>240</v>
      </c>
      <c r="CN1062" s="5" t="s">
        <v>263</v>
      </c>
      <c r="CO1062" s="5" t="s">
        <v>240</v>
      </c>
      <c r="CP1062" s="5" t="s">
        <v>240</v>
      </c>
      <c r="CQ1062" s="5">
        <v>0</v>
      </c>
      <c r="CR1062" s="5" t="s">
        <v>306</v>
      </c>
      <c r="CS1062" s="5" t="s">
        <v>307</v>
      </c>
      <c r="CT1062" s="5" t="s">
        <v>307</v>
      </c>
      <c r="CU1062" s="5" t="s">
        <v>260</v>
      </c>
      <c r="CX1062" s="7">
        <f>1</f>
        <v>1</v>
      </c>
      <c r="CY1062" s="7">
        <f>0</f>
        <v>0</v>
      </c>
      <c r="DA1062" s="7">
        <f>0</f>
        <v>0</v>
      </c>
      <c r="DC1062" s="5" t="s">
        <v>812</v>
      </c>
      <c r="DD1062" s="5" t="s">
        <v>240</v>
      </c>
      <c r="DF1062" s="5" t="s">
        <v>812</v>
      </c>
      <c r="DG1062" s="7">
        <f>35</f>
        <v>35</v>
      </c>
      <c r="DI1062" s="5" t="s">
        <v>240</v>
      </c>
      <c r="DJ1062" s="5" t="s">
        <v>240</v>
      </c>
      <c r="DK1062" s="5" t="s">
        <v>240</v>
      </c>
      <c r="DL1062" s="5" t="s">
        <v>240</v>
      </c>
      <c r="DP1062" s="5" t="s">
        <v>240</v>
      </c>
      <c r="DQ1062" s="5" t="s">
        <v>240</v>
      </c>
      <c r="DR1062" s="5" t="s">
        <v>240</v>
      </c>
      <c r="DS1062" s="5" t="s">
        <v>240</v>
      </c>
      <c r="DV1062" s="5" t="s">
        <v>813</v>
      </c>
      <c r="DW1062" s="5" t="s">
        <v>2258</v>
      </c>
      <c r="HO1062" s="5" t="s">
        <v>312</v>
      </c>
    </row>
    <row r="1063" spans="1:223" x14ac:dyDescent="0.4">
      <c r="A1063" s="5">
        <v>2738</v>
      </c>
      <c r="B1063" s="5">
        <v>1</v>
      </c>
      <c r="C1063" s="5">
        <v>1</v>
      </c>
      <c r="D1063" s="5" t="s">
        <v>297</v>
      </c>
      <c r="E1063" s="5" t="s">
        <v>245</v>
      </c>
      <c r="F1063" s="5" t="s">
        <v>254</v>
      </c>
      <c r="G1063" s="5" t="s">
        <v>240</v>
      </c>
      <c r="H1063" s="6" t="s">
        <v>5248</v>
      </c>
      <c r="I1063" s="5" t="s">
        <v>295</v>
      </c>
      <c r="J1063" s="8">
        <f>68</f>
        <v>68</v>
      </c>
      <c r="K1063" s="5" t="s">
        <v>308</v>
      </c>
      <c r="L1063" s="7">
        <f>1</f>
        <v>1</v>
      </c>
      <c r="M1063" s="7">
        <f>1</f>
        <v>1</v>
      </c>
      <c r="N1063" s="5" t="s">
        <v>242</v>
      </c>
      <c r="O1063" s="5">
        <v>1</v>
      </c>
      <c r="P1063" s="5" t="s">
        <v>294</v>
      </c>
      <c r="Q1063" s="5" t="s">
        <v>266</v>
      </c>
      <c r="R1063" s="5" t="s">
        <v>240</v>
      </c>
      <c r="S1063" s="5" t="s">
        <v>240</v>
      </c>
      <c r="T1063" s="5" t="s">
        <v>296</v>
      </c>
      <c r="U1063" s="5" t="s">
        <v>244</v>
      </c>
      <c r="V1063" s="5" t="s">
        <v>240</v>
      </c>
      <c r="Y1063" s="5" t="s">
        <v>240</v>
      </c>
      <c r="Z1063" s="6" t="s">
        <v>298</v>
      </c>
      <c r="AB1063" s="6" t="s">
        <v>240</v>
      </c>
      <c r="AE1063" s="6" t="s">
        <v>299</v>
      </c>
      <c r="AF1063" s="5" t="s">
        <v>248</v>
      </c>
      <c r="AG1063" s="5" t="s">
        <v>249</v>
      </c>
      <c r="AW1063" s="5" t="s">
        <v>251</v>
      </c>
      <c r="AX1063" s="5" t="s">
        <v>240</v>
      </c>
      <c r="AY1063" s="5" t="s">
        <v>253</v>
      </c>
      <c r="AZ1063" s="5" t="s">
        <v>240</v>
      </c>
      <c r="BA1063" s="5" t="s">
        <v>255</v>
      </c>
      <c r="BB1063" s="5" t="s">
        <v>240</v>
      </c>
      <c r="BD1063" s="5" t="s">
        <v>240</v>
      </c>
      <c r="BF1063" s="5" t="s">
        <v>301</v>
      </c>
      <c r="BG1063" s="6" t="s">
        <v>299</v>
      </c>
      <c r="BH1063" s="5" t="s">
        <v>302</v>
      </c>
      <c r="BI1063" s="5" t="s">
        <v>303</v>
      </c>
      <c r="BJ1063" s="5" t="s">
        <v>240</v>
      </c>
      <c r="BK1063" s="8">
        <f>0</f>
        <v>0</v>
      </c>
      <c r="BL1063" s="7">
        <f>0</f>
        <v>0</v>
      </c>
      <c r="BM1063" s="5" t="s">
        <v>258</v>
      </c>
      <c r="BN1063" s="5" t="s">
        <v>259</v>
      </c>
      <c r="CB1063" s="5" t="s">
        <v>240</v>
      </c>
      <c r="CC1063" s="5" t="s">
        <v>240</v>
      </c>
      <c r="CG1063" s="5" t="s">
        <v>304</v>
      </c>
      <c r="CH1063" s="5" t="s">
        <v>305</v>
      </c>
      <c r="CI1063" s="5" t="s">
        <v>240</v>
      </c>
      <c r="CL1063" s="6" t="s">
        <v>261</v>
      </c>
      <c r="CM1063" s="5" t="s">
        <v>240</v>
      </c>
      <c r="CN1063" s="5" t="s">
        <v>263</v>
      </c>
      <c r="CO1063" s="5" t="s">
        <v>240</v>
      </c>
      <c r="CP1063" s="5" t="s">
        <v>240</v>
      </c>
      <c r="CQ1063" s="5">
        <v>0</v>
      </c>
      <c r="CR1063" s="5" t="s">
        <v>306</v>
      </c>
      <c r="CS1063" s="5" t="s">
        <v>307</v>
      </c>
      <c r="CT1063" s="5" t="s">
        <v>307</v>
      </c>
      <c r="CU1063" s="5" t="s">
        <v>260</v>
      </c>
      <c r="CX1063" s="7">
        <f>1</f>
        <v>1</v>
      </c>
      <c r="CY1063" s="7">
        <f>0</f>
        <v>0</v>
      </c>
      <c r="DA1063" s="7">
        <f>0</f>
        <v>0</v>
      </c>
      <c r="DC1063" s="5" t="s">
        <v>812</v>
      </c>
      <c r="DD1063" s="5" t="s">
        <v>240</v>
      </c>
      <c r="DF1063" s="5" t="s">
        <v>812</v>
      </c>
      <c r="DG1063" s="7">
        <f>473</f>
        <v>473</v>
      </c>
      <c r="DI1063" s="5" t="s">
        <v>240</v>
      </c>
      <c r="DJ1063" s="5" t="s">
        <v>240</v>
      </c>
      <c r="DK1063" s="5" t="s">
        <v>240</v>
      </c>
      <c r="DL1063" s="5" t="s">
        <v>240</v>
      </c>
      <c r="DP1063" s="5" t="s">
        <v>240</v>
      </c>
      <c r="DQ1063" s="5" t="s">
        <v>240</v>
      </c>
      <c r="DR1063" s="5" t="s">
        <v>240</v>
      </c>
      <c r="DS1063" s="5" t="s">
        <v>240</v>
      </c>
      <c r="DV1063" s="5" t="s">
        <v>813</v>
      </c>
      <c r="DW1063" s="5" t="s">
        <v>2260</v>
      </c>
      <c r="HO1063" s="5" t="s">
        <v>312</v>
      </c>
    </row>
    <row r="1064" spans="1:223" x14ac:dyDescent="0.4">
      <c r="A1064" s="5">
        <v>2739</v>
      </c>
      <c r="B1064" s="5">
        <v>1</v>
      </c>
      <c r="C1064" s="5">
        <v>1</v>
      </c>
      <c r="D1064" s="5" t="s">
        <v>297</v>
      </c>
      <c r="E1064" s="5" t="s">
        <v>245</v>
      </c>
      <c r="F1064" s="5" t="s">
        <v>254</v>
      </c>
      <c r="G1064" s="5" t="s">
        <v>240</v>
      </c>
      <c r="H1064" s="6" t="s">
        <v>5247</v>
      </c>
      <c r="I1064" s="5" t="s">
        <v>295</v>
      </c>
      <c r="J1064" s="8">
        <f>2551</f>
        <v>2551</v>
      </c>
      <c r="K1064" s="5" t="s">
        <v>308</v>
      </c>
      <c r="L1064" s="7">
        <f>1</f>
        <v>1</v>
      </c>
      <c r="M1064" s="7">
        <f>1</f>
        <v>1</v>
      </c>
      <c r="N1064" s="5" t="s">
        <v>242</v>
      </c>
      <c r="O1064" s="5">
        <v>1</v>
      </c>
      <c r="P1064" s="5" t="s">
        <v>294</v>
      </c>
      <c r="Q1064" s="5" t="s">
        <v>266</v>
      </c>
      <c r="R1064" s="5" t="s">
        <v>240</v>
      </c>
      <c r="S1064" s="5" t="s">
        <v>240</v>
      </c>
      <c r="T1064" s="5" t="s">
        <v>296</v>
      </c>
      <c r="U1064" s="5" t="s">
        <v>244</v>
      </c>
      <c r="V1064" s="5" t="s">
        <v>240</v>
      </c>
      <c r="Y1064" s="5" t="s">
        <v>240</v>
      </c>
      <c r="Z1064" s="6" t="s">
        <v>298</v>
      </c>
      <c r="AB1064" s="6" t="s">
        <v>240</v>
      </c>
      <c r="AE1064" s="6" t="s">
        <v>299</v>
      </c>
      <c r="AF1064" s="5" t="s">
        <v>248</v>
      </c>
      <c r="AG1064" s="5" t="s">
        <v>249</v>
      </c>
      <c r="AW1064" s="5" t="s">
        <v>251</v>
      </c>
      <c r="AX1064" s="5" t="s">
        <v>240</v>
      </c>
      <c r="AY1064" s="5" t="s">
        <v>253</v>
      </c>
      <c r="AZ1064" s="5" t="s">
        <v>240</v>
      </c>
      <c r="BA1064" s="5" t="s">
        <v>255</v>
      </c>
      <c r="BB1064" s="5" t="s">
        <v>240</v>
      </c>
      <c r="BD1064" s="5" t="s">
        <v>240</v>
      </c>
      <c r="BF1064" s="5" t="s">
        <v>301</v>
      </c>
      <c r="BG1064" s="6" t="s">
        <v>299</v>
      </c>
      <c r="BH1064" s="5" t="s">
        <v>302</v>
      </c>
      <c r="BI1064" s="5" t="s">
        <v>303</v>
      </c>
      <c r="BJ1064" s="5" t="s">
        <v>240</v>
      </c>
      <c r="BK1064" s="8">
        <f>0</f>
        <v>0</v>
      </c>
      <c r="BL1064" s="7">
        <f>0</f>
        <v>0</v>
      </c>
      <c r="BM1064" s="5" t="s">
        <v>258</v>
      </c>
      <c r="BN1064" s="5" t="s">
        <v>259</v>
      </c>
      <c r="CB1064" s="5" t="s">
        <v>240</v>
      </c>
      <c r="CC1064" s="5" t="s">
        <v>240</v>
      </c>
      <c r="CG1064" s="5" t="s">
        <v>304</v>
      </c>
      <c r="CH1064" s="5" t="s">
        <v>305</v>
      </c>
      <c r="CI1064" s="5" t="s">
        <v>240</v>
      </c>
      <c r="CL1064" s="6" t="s">
        <v>261</v>
      </c>
      <c r="CM1064" s="5" t="s">
        <v>240</v>
      </c>
      <c r="CN1064" s="5" t="s">
        <v>263</v>
      </c>
      <c r="CO1064" s="5" t="s">
        <v>240</v>
      </c>
      <c r="CP1064" s="5" t="s">
        <v>240</v>
      </c>
      <c r="CQ1064" s="5">
        <v>0</v>
      </c>
      <c r="CR1064" s="5" t="s">
        <v>306</v>
      </c>
      <c r="CS1064" s="5" t="s">
        <v>307</v>
      </c>
      <c r="CT1064" s="5" t="s">
        <v>307</v>
      </c>
      <c r="CU1064" s="5" t="s">
        <v>260</v>
      </c>
      <c r="CX1064" s="7">
        <f>1</f>
        <v>1</v>
      </c>
      <c r="CY1064" s="7">
        <f>0</f>
        <v>0</v>
      </c>
      <c r="DA1064" s="7">
        <f>0</f>
        <v>0</v>
      </c>
      <c r="DC1064" s="5" t="s">
        <v>812</v>
      </c>
      <c r="DD1064" s="5" t="s">
        <v>240</v>
      </c>
      <c r="DF1064" s="5" t="s">
        <v>812</v>
      </c>
      <c r="DG1064" s="7">
        <f>1228</f>
        <v>1228</v>
      </c>
      <c r="DI1064" s="5" t="s">
        <v>240</v>
      </c>
      <c r="DJ1064" s="5" t="s">
        <v>240</v>
      </c>
      <c r="DK1064" s="5" t="s">
        <v>240</v>
      </c>
      <c r="DL1064" s="5" t="s">
        <v>240</v>
      </c>
      <c r="DP1064" s="5" t="s">
        <v>240</v>
      </c>
      <c r="DQ1064" s="5" t="s">
        <v>240</v>
      </c>
      <c r="DR1064" s="5" t="s">
        <v>240</v>
      </c>
      <c r="DS1064" s="5" t="s">
        <v>240</v>
      </c>
      <c r="DV1064" s="5" t="s">
        <v>813</v>
      </c>
      <c r="DW1064" s="5" t="s">
        <v>2262</v>
      </c>
      <c r="HO1064" s="5" t="s">
        <v>312</v>
      </c>
    </row>
    <row r="1065" spans="1:223" x14ac:dyDescent="0.4">
      <c r="A1065" s="5">
        <v>2740</v>
      </c>
      <c r="B1065" s="5">
        <v>1</v>
      </c>
      <c r="C1065" s="5">
        <v>1</v>
      </c>
      <c r="D1065" s="5" t="s">
        <v>297</v>
      </c>
      <c r="E1065" s="5" t="s">
        <v>245</v>
      </c>
      <c r="F1065" s="5" t="s">
        <v>254</v>
      </c>
      <c r="G1065" s="5" t="s">
        <v>240</v>
      </c>
      <c r="H1065" s="6" t="s">
        <v>5246</v>
      </c>
      <c r="I1065" s="5" t="s">
        <v>295</v>
      </c>
      <c r="J1065" s="8">
        <f>421</f>
        <v>421</v>
      </c>
      <c r="K1065" s="5" t="s">
        <v>308</v>
      </c>
      <c r="L1065" s="7">
        <f>1</f>
        <v>1</v>
      </c>
      <c r="M1065" s="7">
        <f>1</f>
        <v>1</v>
      </c>
      <c r="N1065" s="5" t="s">
        <v>242</v>
      </c>
      <c r="O1065" s="5">
        <v>1</v>
      </c>
      <c r="P1065" s="5" t="s">
        <v>294</v>
      </c>
      <c r="Q1065" s="5" t="s">
        <v>266</v>
      </c>
      <c r="R1065" s="5" t="s">
        <v>240</v>
      </c>
      <c r="S1065" s="5" t="s">
        <v>240</v>
      </c>
      <c r="T1065" s="5" t="s">
        <v>296</v>
      </c>
      <c r="U1065" s="5" t="s">
        <v>244</v>
      </c>
      <c r="V1065" s="5" t="s">
        <v>240</v>
      </c>
      <c r="Y1065" s="5" t="s">
        <v>240</v>
      </c>
      <c r="Z1065" s="6" t="s">
        <v>298</v>
      </c>
      <c r="AB1065" s="6" t="s">
        <v>240</v>
      </c>
      <c r="AE1065" s="6" t="s">
        <v>299</v>
      </c>
      <c r="AF1065" s="5" t="s">
        <v>248</v>
      </c>
      <c r="AG1065" s="5" t="s">
        <v>249</v>
      </c>
      <c r="AW1065" s="5" t="s">
        <v>251</v>
      </c>
      <c r="AX1065" s="5" t="s">
        <v>240</v>
      </c>
      <c r="AY1065" s="5" t="s">
        <v>253</v>
      </c>
      <c r="AZ1065" s="5" t="s">
        <v>240</v>
      </c>
      <c r="BA1065" s="5" t="s">
        <v>255</v>
      </c>
      <c r="BB1065" s="5" t="s">
        <v>240</v>
      </c>
      <c r="BD1065" s="5" t="s">
        <v>240</v>
      </c>
      <c r="BF1065" s="5" t="s">
        <v>301</v>
      </c>
      <c r="BG1065" s="6" t="s">
        <v>299</v>
      </c>
      <c r="BH1065" s="5" t="s">
        <v>302</v>
      </c>
      <c r="BI1065" s="5" t="s">
        <v>303</v>
      </c>
      <c r="BJ1065" s="5" t="s">
        <v>240</v>
      </c>
      <c r="BK1065" s="8">
        <f>0</f>
        <v>0</v>
      </c>
      <c r="BL1065" s="7">
        <f>0</f>
        <v>0</v>
      </c>
      <c r="BM1065" s="5" t="s">
        <v>258</v>
      </c>
      <c r="BN1065" s="5" t="s">
        <v>259</v>
      </c>
      <c r="CB1065" s="5" t="s">
        <v>240</v>
      </c>
      <c r="CC1065" s="5" t="s">
        <v>240</v>
      </c>
      <c r="CG1065" s="5" t="s">
        <v>304</v>
      </c>
      <c r="CH1065" s="5" t="s">
        <v>305</v>
      </c>
      <c r="CI1065" s="5" t="s">
        <v>240</v>
      </c>
      <c r="CL1065" s="6" t="s">
        <v>261</v>
      </c>
      <c r="CM1065" s="5" t="s">
        <v>240</v>
      </c>
      <c r="CN1065" s="5" t="s">
        <v>263</v>
      </c>
      <c r="CO1065" s="5" t="s">
        <v>240</v>
      </c>
      <c r="CP1065" s="5" t="s">
        <v>240</v>
      </c>
      <c r="CQ1065" s="5">
        <v>0</v>
      </c>
      <c r="CR1065" s="5" t="s">
        <v>306</v>
      </c>
      <c r="CS1065" s="5" t="s">
        <v>307</v>
      </c>
      <c r="CT1065" s="5" t="s">
        <v>307</v>
      </c>
      <c r="CU1065" s="5" t="s">
        <v>260</v>
      </c>
      <c r="CX1065" s="7">
        <f>1</f>
        <v>1</v>
      </c>
      <c r="CY1065" s="7">
        <f>0</f>
        <v>0</v>
      </c>
      <c r="DA1065" s="7">
        <f>0</f>
        <v>0</v>
      </c>
      <c r="DC1065" s="5" t="s">
        <v>812</v>
      </c>
      <c r="DD1065" s="5" t="s">
        <v>240</v>
      </c>
      <c r="DF1065" s="5" t="s">
        <v>812</v>
      </c>
      <c r="DG1065" s="7">
        <f>114</f>
        <v>114</v>
      </c>
      <c r="DI1065" s="5" t="s">
        <v>240</v>
      </c>
      <c r="DJ1065" s="5" t="s">
        <v>240</v>
      </c>
      <c r="DK1065" s="5" t="s">
        <v>240</v>
      </c>
      <c r="DL1065" s="5" t="s">
        <v>240</v>
      </c>
      <c r="DP1065" s="5" t="s">
        <v>240</v>
      </c>
      <c r="DQ1065" s="5" t="s">
        <v>240</v>
      </c>
      <c r="DR1065" s="5" t="s">
        <v>240</v>
      </c>
      <c r="DS1065" s="5" t="s">
        <v>240</v>
      </c>
      <c r="DV1065" s="5" t="s">
        <v>813</v>
      </c>
      <c r="DW1065" s="5" t="s">
        <v>2264</v>
      </c>
      <c r="HO1065" s="5" t="s">
        <v>312</v>
      </c>
    </row>
    <row r="1066" spans="1:223" x14ac:dyDescent="0.4">
      <c r="A1066" s="5">
        <v>2741</v>
      </c>
      <c r="B1066" s="5">
        <v>1</v>
      </c>
      <c r="C1066" s="5">
        <v>1</v>
      </c>
      <c r="D1066" s="5" t="s">
        <v>297</v>
      </c>
      <c r="E1066" s="5" t="s">
        <v>245</v>
      </c>
      <c r="F1066" s="5" t="s">
        <v>254</v>
      </c>
      <c r="G1066" s="5" t="s">
        <v>240</v>
      </c>
      <c r="H1066" s="6" t="s">
        <v>5245</v>
      </c>
      <c r="I1066" s="5" t="s">
        <v>295</v>
      </c>
      <c r="J1066" s="8">
        <f>1091</f>
        <v>1091</v>
      </c>
      <c r="K1066" s="5" t="s">
        <v>308</v>
      </c>
      <c r="L1066" s="7">
        <f>1</f>
        <v>1</v>
      </c>
      <c r="M1066" s="7">
        <f>1</f>
        <v>1</v>
      </c>
      <c r="N1066" s="5" t="s">
        <v>242</v>
      </c>
      <c r="O1066" s="5">
        <v>1</v>
      </c>
      <c r="P1066" s="5" t="s">
        <v>294</v>
      </c>
      <c r="Q1066" s="5" t="s">
        <v>266</v>
      </c>
      <c r="R1066" s="5" t="s">
        <v>240</v>
      </c>
      <c r="S1066" s="5" t="s">
        <v>240</v>
      </c>
      <c r="T1066" s="5" t="s">
        <v>296</v>
      </c>
      <c r="U1066" s="5" t="s">
        <v>244</v>
      </c>
      <c r="V1066" s="5" t="s">
        <v>240</v>
      </c>
      <c r="Y1066" s="5" t="s">
        <v>240</v>
      </c>
      <c r="Z1066" s="6" t="s">
        <v>298</v>
      </c>
      <c r="AB1066" s="6" t="s">
        <v>240</v>
      </c>
      <c r="AE1066" s="6" t="s">
        <v>299</v>
      </c>
      <c r="AF1066" s="5" t="s">
        <v>248</v>
      </c>
      <c r="AG1066" s="5" t="s">
        <v>249</v>
      </c>
      <c r="AW1066" s="5" t="s">
        <v>251</v>
      </c>
      <c r="AX1066" s="5" t="s">
        <v>240</v>
      </c>
      <c r="AY1066" s="5" t="s">
        <v>253</v>
      </c>
      <c r="AZ1066" s="5" t="s">
        <v>240</v>
      </c>
      <c r="BA1066" s="5" t="s">
        <v>255</v>
      </c>
      <c r="BB1066" s="5" t="s">
        <v>240</v>
      </c>
      <c r="BD1066" s="5" t="s">
        <v>240</v>
      </c>
      <c r="BF1066" s="5" t="s">
        <v>301</v>
      </c>
      <c r="BG1066" s="6" t="s">
        <v>299</v>
      </c>
      <c r="BH1066" s="5" t="s">
        <v>302</v>
      </c>
      <c r="BI1066" s="5" t="s">
        <v>303</v>
      </c>
      <c r="BJ1066" s="5" t="s">
        <v>240</v>
      </c>
      <c r="BK1066" s="8">
        <f>0</f>
        <v>0</v>
      </c>
      <c r="BL1066" s="7">
        <f>0</f>
        <v>0</v>
      </c>
      <c r="BM1066" s="5" t="s">
        <v>258</v>
      </c>
      <c r="BN1066" s="5" t="s">
        <v>259</v>
      </c>
      <c r="CB1066" s="5" t="s">
        <v>240</v>
      </c>
      <c r="CC1066" s="5" t="s">
        <v>240</v>
      </c>
      <c r="CG1066" s="5" t="s">
        <v>304</v>
      </c>
      <c r="CH1066" s="5" t="s">
        <v>305</v>
      </c>
      <c r="CI1066" s="5" t="s">
        <v>240</v>
      </c>
      <c r="CL1066" s="6" t="s">
        <v>261</v>
      </c>
      <c r="CM1066" s="5" t="s">
        <v>240</v>
      </c>
      <c r="CN1066" s="5" t="s">
        <v>263</v>
      </c>
      <c r="CO1066" s="5" t="s">
        <v>240</v>
      </c>
      <c r="CP1066" s="5" t="s">
        <v>240</v>
      </c>
      <c r="CQ1066" s="5">
        <v>0</v>
      </c>
      <c r="CR1066" s="5" t="s">
        <v>306</v>
      </c>
      <c r="CS1066" s="5" t="s">
        <v>307</v>
      </c>
      <c r="CT1066" s="5" t="s">
        <v>307</v>
      </c>
      <c r="CU1066" s="5" t="s">
        <v>260</v>
      </c>
      <c r="CX1066" s="7">
        <f>1</f>
        <v>1</v>
      </c>
      <c r="CY1066" s="7">
        <f>0</f>
        <v>0</v>
      </c>
      <c r="DA1066" s="7">
        <f>0</f>
        <v>0</v>
      </c>
      <c r="DC1066" s="5" t="s">
        <v>812</v>
      </c>
      <c r="DD1066" s="5" t="s">
        <v>240</v>
      </c>
      <c r="DF1066" s="5" t="s">
        <v>812</v>
      </c>
      <c r="DG1066" s="7">
        <f>483</f>
        <v>483</v>
      </c>
      <c r="DI1066" s="5" t="s">
        <v>240</v>
      </c>
      <c r="DJ1066" s="5" t="s">
        <v>240</v>
      </c>
      <c r="DK1066" s="5" t="s">
        <v>240</v>
      </c>
      <c r="DL1066" s="5" t="s">
        <v>240</v>
      </c>
      <c r="DP1066" s="5" t="s">
        <v>240</v>
      </c>
      <c r="DQ1066" s="5" t="s">
        <v>240</v>
      </c>
      <c r="DR1066" s="5" t="s">
        <v>240</v>
      </c>
      <c r="DS1066" s="5" t="s">
        <v>240</v>
      </c>
      <c r="DV1066" s="5" t="s">
        <v>813</v>
      </c>
      <c r="DW1066" s="5" t="s">
        <v>2266</v>
      </c>
      <c r="HO1066" s="5" t="s">
        <v>312</v>
      </c>
    </row>
    <row r="1067" spans="1:223" x14ac:dyDescent="0.4">
      <c r="A1067" s="5">
        <v>2742</v>
      </c>
      <c r="B1067" s="5">
        <v>1</v>
      </c>
      <c r="C1067" s="5">
        <v>1</v>
      </c>
      <c r="D1067" s="5" t="s">
        <v>297</v>
      </c>
      <c r="E1067" s="5" t="s">
        <v>245</v>
      </c>
      <c r="F1067" s="5" t="s">
        <v>254</v>
      </c>
      <c r="G1067" s="5" t="s">
        <v>240</v>
      </c>
      <c r="H1067" s="6" t="s">
        <v>5244</v>
      </c>
      <c r="I1067" s="5" t="s">
        <v>295</v>
      </c>
      <c r="J1067" s="8">
        <f>855</f>
        <v>855</v>
      </c>
      <c r="K1067" s="5" t="s">
        <v>308</v>
      </c>
      <c r="L1067" s="7">
        <f>1</f>
        <v>1</v>
      </c>
      <c r="M1067" s="7">
        <f>1</f>
        <v>1</v>
      </c>
      <c r="N1067" s="5" t="s">
        <v>242</v>
      </c>
      <c r="O1067" s="5">
        <v>1</v>
      </c>
      <c r="P1067" s="5" t="s">
        <v>294</v>
      </c>
      <c r="Q1067" s="5" t="s">
        <v>266</v>
      </c>
      <c r="R1067" s="5" t="s">
        <v>240</v>
      </c>
      <c r="S1067" s="5" t="s">
        <v>240</v>
      </c>
      <c r="T1067" s="5" t="s">
        <v>296</v>
      </c>
      <c r="U1067" s="5" t="s">
        <v>244</v>
      </c>
      <c r="V1067" s="5" t="s">
        <v>240</v>
      </c>
      <c r="Y1067" s="5" t="s">
        <v>240</v>
      </c>
      <c r="Z1067" s="6" t="s">
        <v>298</v>
      </c>
      <c r="AB1067" s="6" t="s">
        <v>240</v>
      </c>
      <c r="AE1067" s="6" t="s">
        <v>299</v>
      </c>
      <c r="AF1067" s="5" t="s">
        <v>248</v>
      </c>
      <c r="AG1067" s="5" t="s">
        <v>249</v>
      </c>
      <c r="AW1067" s="5" t="s">
        <v>251</v>
      </c>
      <c r="AX1067" s="5" t="s">
        <v>240</v>
      </c>
      <c r="AY1067" s="5" t="s">
        <v>253</v>
      </c>
      <c r="AZ1067" s="5" t="s">
        <v>240</v>
      </c>
      <c r="BA1067" s="5" t="s">
        <v>255</v>
      </c>
      <c r="BB1067" s="5" t="s">
        <v>240</v>
      </c>
      <c r="BD1067" s="5" t="s">
        <v>240</v>
      </c>
      <c r="BF1067" s="5" t="s">
        <v>301</v>
      </c>
      <c r="BG1067" s="6" t="s">
        <v>299</v>
      </c>
      <c r="BH1067" s="5" t="s">
        <v>302</v>
      </c>
      <c r="BI1067" s="5" t="s">
        <v>303</v>
      </c>
      <c r="BJ1067" s="5" t="s">
        <v>240</v>
      </c>
      <c r="BK1067" s="8">
        <f>0</f>
        <v>0</v>
      </c>
      <c r="BL1067" s="7">
        <f>0</f>
        <v>0</v>
      </c>
      <c r="BM1067" s="5" t="s">
        <v>258</v>
      </c>
      <c r="BN1067" s="5" t="s">
        <v>259</v>
      </c>
      <c r="CB1067" s="5" t="s">
        <v>240</v>
      </c>
      <c r="CC1067" s="5" t="s">
        <v>240</v>
      </c>
      <c r="CG1067" s="5" t="s">
        <v>304</v>
      </c>
      <c r="CH1067" s="5" t="s">
        <v>305</v>
      </c>
      <c r="CI1067" s="5" t="s">
        <v>240</v>
      </c>
      <c r="CL1067" s="6" t="s">
        <v>261</v>
      </c>
      <c r="CM1067" s="5" t="s">
        <v>240</v>
      </c>
      <c r="CN1067" s="5" t="s">
        <v>263</v>
      </c>
      <c r="CO1067" s="5" t="s">
        <v>240</v>
      </c>
      <c r="CP1067" s="5" t="s">
        <v>240</v>
      </c>
      <c r="CQ1067" s="5">
        <v>0</v>
      </c>
      <c r="CR1067" s="5" t="s">
        <v>306</v>
      </c>
      <c r="CS1067" s="5" t="s">
        <v>307</v>
      </c>
      <c r="CT1067" s="5" t="s">
        <v>307</v>
      </c>
      <c r="CU1067" s="5" t="s">
        <v>260</v>
      </c>
      <c r="CX1067" s="7">
        <f>1</f>
        <v>1</v>
      </c>
      <c r="CY1067" s="7">
        <f>0</f>
        <v>0</v>
      </c>
      <c r="DA1067" s="7">
        <f>0</f>
        <v>0</v>
      </c>
      <c r="DC1067" s="5" t="s">
        <v>812</v>
      </c>
      <c r="DD1067" s="5" t="s">
        <v>240</v>
      </c>
      <c r="DF1067" s="5" t="s">
        <v>812</v>
      </c>
      <c r="DG1067" s="7">
        <f>749</f>
        <v>749</v>
      </c>
      <c r="DI1067" s="5" t="s">
        <v>240</v>
      </c>
      <c r="DJ1067" s="5" t="s">
        <v>240</v>
      </c>
      <c r="DK1067" s="5" t="s">
        <v>240</v>
      </c>
      <c r="DL1067" s="5" t="s">
        <v>240</v>
      </c>
      <c r="DP1067" s="5" t="s">
        <v>240</v>
      </c>
      <c r="DQ1067" s="5" t="s">
        <v>240</v>
      </c>
      <c r="DR1067" s="5" t="s">
        <v>240</v>
      </c>
      <c r="DS1067" s="5" t="s">
        <v>240</v>
      </c>
      <c r="DV1067" s="5" t="s">
        <v>813</v>
      </c>
      <c r="DW1067" s="5" t="s">
        <v>2268</v>
      </c>
      <c r="HO1067" s="5" t="s">
        <v>312</v>
      </c>
    </row>
    <row r="1068" spans="1:223" x14ac:dyDescent="0.4">
      <c r="A1068" s="5">
        <v>2743</v>
      </c>
      <c r="B1068" s="5">
        <v>1</v>
      </c>
      <c r="C1068" s="5">
        <v>1</v>
      </c>
      <c r="D1068" s="5" t="s">
        <v>297</v>
      </c>
      <c r="E1068" s="5" t="s">
        <v>245</v>
      </c>
      <c r="F1068" s="5" t="s">
        <v>254</v>
      </c>
      <c r="G1068" s="5" t="s">
        <v>240</v>
      </c>
      <c r="H1068" s="6" t="s">
        <v>5243</v>
      </c>
      <c r="I1068" s="5" t="s">
        <v>295</v>
      </c>
      <c r="J1068" s="8">
        <f>546</f>
        <v>546</v>
      </c>
      <c r="K1068" s="5" t="s">
        <v>308</v>
      </c>
      <c r="L1068" s="7">
        <f>1</f>
        <v>1</v>
      </c>
      <c r="M1068" s="7">
        <f>1</f>
        <v>1</v>
      </c>
      <c r="N1068" s="5" t="s">
        <v>242</v>
      </c>
      <c r="O1068" s="5">
        <v>1</v>
      </c>
      <c r="P1068" s="5" t="s">
        <v>294</v>
      </c>
      <c r="Q1068" s="5" t="s">
        <v>266</v>
      </c>
      <c r="R1068" s="5" t="s">
        <v>240</v>
      </c>
      <c r="S1068" s="5" t="s">
        <v>240</v>
      </c>
      <c r="T1068" s="5" t="s">
        <v>296</v>
      </c>
      <c r="U1068" s="5" t="s">
        <v>244</v>
      </c>
      <c r="V1068" s="5" t="s">
        <v>240</v>
      </c>
      <c r="Y1068" s="5" t="s">
        <v>240</v>
      </c>
      <c r="Z1068" s="6" t="s">
        <v>298</v>
      </c>
      <c r="AB1068" s="6" t="s">
        <v>240</v>
      </c>
      <c r="AE1068" s="6" t="s">
        <v>299</v>
      </c>
      <c r="AF1068" s="5" t="s">
        <v>248</v>
      </c>
      <c r="AG1068" s="5" t="s">
        <v>249</v>
      </c>
      <c r="AW1068" s="5" t="s">
        <v>251</v>
      </c>
      <c r="AX1068" s="5" t="s">
        <v>240</v>
      </c>
      <c r="AY1068" s="5" t="s">
        <v>253</v>
      </c>
      <c r="AZ1068" s="5" t="s">
        <v>240</v>
      </c>
      <c r="BA1068" s="5" t="s">
        <v>255</v>
      </c>
      <c r="BB1068" s="5" t="s">
        <v>240</v>
      </c>
      <c r="BD1068" s="5" t="s">
        <v>240</v>
      </c>
      <c r="BF1068" s="5" t="s">
        <v>301</v>
      </c>
      <c r="BG1068" s="6" t="s">
        <v>299</v>
      </c>
      <c r="BH1068" s="5" t="s">
        <v>302</v>
      </c>
      <c r="BI1068" s="5" t="s">
        <v>303</v>
      </c>
      <c r="BJ1068" s="5" t="s">
        <v>240</v>
      </c>
      <c r="BK1068" s="8">
        <f>0</f>
        <v>0</v>
      </c>
      <c r="BL1068" s="7">
        <f>0</f>
        <v>0</v>
      </c>
      <c r="BM1068" s="5" t="s">
        <v>258</v>
      </c>
      <c r="BN1068" s="5" t="s">
        <v>259</v>
      </c>
      <c r="CB1068" s="5" t="s">
        <v>240</v>
      </c>
      <c r="CC1068" s="5" t="s">
        <v>240</v>
      </c>
      <c r="CG1068" s="5" t="s">
        <v>304</v>
      </c>
      <c r="CH1068" s="5" t="s">
        <v>305</v>
      </c>
      <c r="CI1068" s="5" t="s">
        <v>240</v>
      </c>
      <c r="CL1068" s="6" t="s">
        <v>261</v>
      </c>
      <c r="CM1068" s="5" t="s">
        <v>240</v>
      </c>
      <c r="CN1068" s="5" t="s">
        <v>263</v>
      </c>
      <c r="CO1068" s="5" t="s">
        <v>240</v>
      </c>
      <c r="CP1068" s="5" t="s">
        <v>240</v>
      </c>
      <c r="CQ1068" s="5">
        <v>0</v>
      </c>
      <c r="CR1068" s="5" t="s">
        <v>306</v>
      </c>
      <c r="CS1068" s="5" t="s">
        <v>307</v>
      </c>
      <c r="CT1068" s="5" t="s">
        <v>307</v>
      </c>
      <c r="CU1068" s="5" t="s">
        <v>260</v>
      </c>
      <c r="CX1068" s="7">
        <f>1</f>
        <v>1</v>
      </c>
      <c r="CY1068" s="7">
        <f>0</f>
        <v>0</v>
      </c>
      <c r="DA1068" s="7">
        <f>0</f>
        <v>0</v>
      </c>
      <c r="DC1068" s="5" t="s">
        <v>812</v>
      </c>
      <c r="DD1068" s="5" t="s">
        <v>240</v>
      </c>
      <c r="DF1068" s="5" t="s">
        <v>812</v>
      </c>
      <c r="DG1068" s="7">
        <f>916</f>
        <v>916</v>
      </c>
      <c r="DI1068" s="5" t="s">
        <v>240</v>
      </c>
      <c r="DJ1068" s="5" t="s">
        <v>240</v>
      </c>
      <c r="DK1068" s="5" t="s">
        <v>240</v>
      </c>
      <c r="DL1068" s="5" t="s">
        <v>240</v>
      </c>
      <c r="DP1068" s="5" t="s">
        <v>240</v>
      </c>
      <c r="DQ1068" s="5" t="s">
        <v>240</v>
      </c>
      <c r="DR1068" s="5" t="s">
        <v>240</v>
      </c>
      <c r="DS1068" s="5" t="s">
        <v>240</v>
      </c>
      <c r="DV1068" s="5" t="s">
        <v>813</v>
      </c>
      <c r="DW1068" s="5" t="s">
        <v>2270</v>
      </c>
      <c r="HO1068" s="5" t="s">
        <v>312</v>
      </c>
    </row>
    <row r="1069" spans="1:223" x14ac:dyDescent="0.4">
      <c r="A1069" s="5">
        <v>2744</v>
      </c>
      <c r="B1069" s="5">
        <v>1</v>
      </c>
      <c r="C1069" s="5">
        <v>1</v>
      </c>
      <c r="D1069" s="5" t="s">
        <v>297</v>
      </c>
      <c r="E1069" s="5" t="s">
        <v>245</v>
      </c>
      <c r="F1069" s="5" t="s">
        <v>254</v>
      </c>
      <c r="G1069" s="5" t="s">
        <v>240</v>
      </c>
      <c r="H1069" s="6" t="s">
        <v>5242</v>
      </c>
      <c r="I1069" s="5" t="s">
        <v>295</v>
      </c>
      <c r="J1069" s="8">
        <f>367</f>
        <v>367</v>
      </c>
      <c r="K1069" s="5" t="s">
        <v>308</v>
      </c>
      <c r="L1069" s="7">
        <f>1</f>
        <v>1</v>
      </c>
      <c r="M1069" s="7">
        <f>1</f>
        <v>1</v>
      </c>
      <c r="N1069" s="5" t="s">
        <v>242</v>
      </c>
      <c r="O1069" s="5">
        <v>1</v>
      </c>
      <c r="P1069" s="5" t="s">
        <v>294</v>
      </c>
      <c r="Q1069" s="5" t="s">
        <v>266</v>
      </c>
      <c r="R1069" s="5" t="s">
        <v>240</v>
      </c>
      <c r="S1069" s="5" t="s">
        <v>240</v>
      </c>
      <c r="T1069" s="5" t="s">
        <v>296</v>
      </c>
      <c r="U1069" s="5" t="s">
        <v>244</v>
      </c>
      <c r="V1069" s="5" t="s">
        <v>240</v>
      </c>
      <c r="Y1069" s="5" t="s">
        <v>240</v>
      </c>
      <c r="Z1069" s="6" t="s">
        <v>298</v>
      </c>
      <c r="AB1069" s="6" t="s">
        <v>240</v>
      </c>
      <c r="AE1069" s="6" t="s">
        <v>299</v>
      </c>
      <c r="AF1069" s="5" t="s">
        <v>248</v>
      </c>
      <c r="AG1069" s="5" t="s">
        <v>249</v>
      </c>
      <c r="AW1069" s="5" t="s">
        <v>251</v>
      </c>
      <c r="AX1069" s="5" t="s">
        <v>240</v>
      </c>
      <c r="AY1069" s="5" t="s">
        <v>253</v>
      </c>
      <c r="AZ1069" s="5" t="s">
        <v>240</v>
      </c>
      <c r="BA1069" s="5" t="s">
        <v>255</v>
      </c>
      <c r="BB1069" s="5" t="s">
        <v>240</v>
      </c>
      <c r="BD1069" s="5" t="s">
        <v>240</v>
      </c>
      <c r="BF1069" s="5" t="s">
        <v>301</v>
      </c>
      <c r="BG1069" s="6" t="s">
        <v>299</v>
      </c>
      <c r="BH1069" s="5" t="s">
        <v>302</v>
      </c>
      <c r="BI1069" s="5" t="s">
        <v>303</v>
      </c>
      <c r="BJ1069" s="5" t="s">
        <v>240</v>
      </c>
      <c r="BK1069" s="8">
        <f>0</f>
        <v>0</v>
      </c>
      <c r="BL1069" s="7">
        <f>0</f>
        <v>0</v>
      </c>
      <c r="BM1069" s="5" t="s">
        <v>258</v>
      </c>
      <c r="BN1069" s="5" t="s">
        <v>259</v>
      </c>
      <c r="CB1069" s="5" t="s">
        <v>240</v>
      </c>
      <c r="CC1069" s="5" t="s">
        <v>240</v>
      </c>
      <c r="CG1069" s="5" t="s">
        <v>304</v>
      </c>
      <c r="CH1069" s="5" t="s">
        <v>305</v>
      </c>
      <c r="CI1069" s="5" t="s">
        <v>240</v>
      </c>
      <c r="CL1069" s="6" t="s">
        <v>261</v>
      </c>
      <c r="CM1069" s="5" t="s">
        <v>240</v>
      </c>
      <c r="CN1069" s="5" t="s">
        <v>263</v>
      </c>
      <c r="CO1069" s="5" t="s">
        <v>240</v>
      </c>
      <c r="CP1069" s="5" t="s">
        <v>240</v>
      </c>
      <c r="CQ1069" s="5">
        <v>0</v>
      </c>
      <c r="CR1069" s="5" t="s">
        <v>306</v>
      </c>
      <c r="CS1069" s="5" t="s">
        <v>307</v>
      </c>
      <c r="CT1069" s="5" t="s">
        <v>307</v>
      </c>
      <c r="CU1069" s="5" t="s">
        <v>260</v>
      </c>
      <c r="CX1069" s="7">
        <f>1</f>
        <v>1</v>
      </c>
      <c r="CY1069" s="7">
        <f>0</f>
        <v>0</v>
      </c>
      <c r="DA1069" s="7">
        <f>0</f>
        <v>0</v>
      </c>
      <c r="DC1069" s="5" t="s">
        <v>812</v>
      </c>
      <c r="DD1069" s="5" t="s">
        <v>240</v>
      </c>
      <c r="DF1069" s="5" t="s">
        <v>812</v>
      </c>
      <c r="DG1069" s="7">
        <f>2238</f>
        <v>2238</v>
      </c>
      <c r="DI1069" s="5" t="s">
        <v>240</v>
      </c>
      <c r="DJ1069" s="5" t="s">
        <v>240</v>
      </c>
      <c r="DK1069" s="5" t="s">
        <v>240</v>
      </c>
      <c r="DL1069" s="5" t="s">
        <v>240</v>
      </c>
      <c r="DP1069" s="5" t="s">
        <v>240</v>
      </c>
      <c r="DQ1069" s="5" t="s">
        <v>240</v>
      </c>
      <c r="DR1069" s="5" t="s">
        <v>240</v>
      </c>
      <c r="DS1069" s="5" t="s">
        <v>240</v>
      </c>
      <c r="DV1069" s="5" t="s">
        <v>813</v>
      </c>
      <c r="DW1069" s="5" t="s">
        <v>2272</v>
      </c>
      <c r="HO1069" s="5" t="s">
        <v>312</v>
      </c>
    </row>
    <row r="1070" spans="1:223" x14ac:dyDescent="0.4">
      <c r="A1070" s="5">
        <v>2745</v>
      </c>
      <c r="B1070" s="5">
        <v>1</v>
      </c>
      <c r="C1070" s="5">
        <v>1</v>
      </c>
      <c r="D1070" s="5" t="s">
        <v>297</v>
      </c>
      <c r="E1070" s="5" t="s">
        <v>245</v>
      </c>
      <c r="F1070" s="5" t="s">
        <v>254</v>
      </c>
      <c r="G1070" s="5" t="s">
        <v>240</v>
      </c>
      <c r="H1070" s="6" t="s">
        <v>5241</v>
      </c>
      <c r="I1070" s="5" t="s">
        <v>295</v>
      </c>
      <c r="J1070" s="8">
        <f>321</f>
        <v>321</v>
      </c>
      <c r="K1070" s="5" t="s">
        <v>308</v>
      </c>
      <c r="L1070" s="7">
        <f>1</f>
        <v>1</v>
      </c>
      <c r="M1070" s="7">
        <f>1</f>
        <v>1</v>
      </c>
      <c r="N1070" s="5" t="s">
        <v>242</v>
      </c>
      <c r="O1070" s="5">
        <v>1</v>
      </c>
      <c r="P1070" s="5" t="s">
        <v>294</v>
      </c>
      <c r="Q1070" s="5" t="s">
        <v>266</v>
      </c>
      <c r="R1070" s="5" t="s">
        <v>240</v>
      </c>
      <c r="S1070" s="5" t="s">
        <v>240</v>
      </c>
      <c r="T1070" s="5" t="s">
        <v>296</v>
      </c>
      <c r="U1070" s="5" t="s">
        <v>244</v>
      </c>
      <c r="V1070" s="5" t="s">
        <v>240</v>
      </c>
      <c r="Y1070" s="5" t="s">
        <v>240</v>
      </c>
      <c r="Z1070" s="6" t="s">
        <v>298</v>
      </c>
      <c r="AB1070" s="6" t="s">
        <v>240</v>
      </c>
      <c r="AE1070" s="6" t="s">
        <v>299</v>
      </c>
      <c r="AF1070" s="5" t="s">
        <v>248</v>
      </c>
      <c r="AG1070" s="5" t="s">
        <v>249</v>
      </c>
      <c r="AW1070" s="5" t="s">
        <v>251</v>
      </c>
      <c r="AX1070" s="5" t="s">
        <v>240</v>
      </c>
      <c r="AY1070" s="5" t="s">
        <v>253</v>
      </c>
      <c r="AZ1070" s="5" t="s">
        <v>240</v>
      </c>
      <c r="BA1070" s="5" t="s">
        <v>255</v>
      </c>
      <c r="BB1070" s="5" t="s">
        <v>240</v>
      </c>
      <c r="BD1070" s="5" t="s">
        <v>240</v>
      </c>
      <c r="BF1070" s="5" t="s">
        <v>301</v>
      </c>
      <c r="BG1070" s="6" t="s">
        <v>299</v>
      </c>
      <c r="BH1070" s="5" t="s">
        <v>302</v>
      </c>
      <c r="BI1070" s="5" t="s">
        <v>303</v>
      </c>
      <c r="BJ1070" s="5" t="s">
        <v>240</v>
      </c>
      <c r="BK1070" s="8">
        <f>0</f>
        <v>0</v>
      </c>
      <c r="BL1070" s="7">
        <f>0</f>
        <v>0</v>
      </c>
      <c r="BM1070" s="5" t="s">
        <v>258</v>
      </c>
      <c r="BN1070" s="5" t="s">
        <v>259</v>
      </c>
      <c r="CB1070" s="5" t="s">
        <v>240</v>
      </c>
      <c r="CC1070" s="5" t="s">
        <v>240</v>
      </c>
      <c r="CG1070" s="5" t="s">
        <v>304</v>
      </c>
      <c r="CH1070" s="5" t="s">
        <v>305</v>
      </c>
      <c r="CI1070" s="5" t="s">
        <v>240</v>
      </c>
      <c r="CL1070" s="6" t="s">
        <v>261</v>
      </c>
      <c r="CM1070" s="5" t="s">
        <v>240</v>
      </c>
      <c r="CN1070" s="5" t="s">
        <v>263</v>
      </c>
      <c r="CO1070" s="5" t="s">
        <v>240</v>
      </c>
      <c r="CP1070" s="5" t="s">
        <v>240</v>
      </c>
      <c r="CQ1070" s="5">
        <v>0</v>
      </c>
      <c r="CR1070" s="5" t="s">
        <v>306</v>
      </c>
      <c r="CS1070" s="5" t="s">
        <v>307</v>
      </c>
      <c r="CT1070" s="5" t="s">
        <v>307</v>
      </c>
      <c r="CU1070" s="5" t="s">
        <v>260</v>
      </c>
      <c r="CX1070" s="7">
        <f>1</f>
        <v>1</v>
      </c>
      <c r="CY1070" s="7">
        <f>0</f>
        <v>0</v>
      </c>
      <c r="DA1070" s="7">
        <f>0</f>
        <v>0</v>
      </c>
      <c r="DC1070" s="5" t="s">
        <v>812</v>
      </c>
      <c r="DD1070" s="5" t="s">
        <v>240</v>
      </c>
      <c r="DF1070" s="5" t="s">
        <v>812</v>
      </c>
      <c r="DG1070" s="7">
        <f>996</f>
        <v>996</v>
      </c>
      <c r="DI1070" s="5" t="s">
        <v>240</v>
      </c>
      <c r="DJ1070" s="5" t="s">
        <v>240</v>
      </c>
      <c r="DK1070" s="5" t="s">
        <v>240</v>
      </c>
      <c r="DL1070" s="5" t="s">
        <v>240</v>
      </c>
      <c r="DP1070" s="5" t="s">
        <v>240</v>
      </c>
      <c r="DQ1070" s="5" t="s">
        <v>240</v>
      </c>
      <c r="DR1070" s="5" t="s">
        <v>240</v>
      </c>
      <c r="DS1070" s="5" t="s">
        <v>240</v>
      </c>
      <c r="DV1070" s="5" t="s">
        <v>813</v>
      </c>
      <c r="DW1070" s="5" t="s">
        <v>2274</v>
      </c>
      <c r="HO1070" s="5" t="s">
        <v>312</v>
      </c>
    </row>
    <row r="1071" spans="1:223" x14ac:dyDescent="0.4">
      <c r="A1071" s="5">
        <v>2746</v>
      </c>
      <c r="B1071" s="5">
        <v>1</v>
      </c>
      <c r="C1071" s="5">
        <v>1</v>
      </c>
      <c r="D1071" s="5" t="s">
        <v>297</v>
      </c>
      <c r="E1071" s="5" t="s">
        <v>245</v>
      </c>
      <c r="F1071" s="5" t="s">
        <v>254</v>
      </c>
      <c r="G1071" s="5" t="s">
        <v>240</v>
      </c>
      <c r="H1071" s="6" t="s">
        <v>5240</v>
      </c>
      <c r="I1071" s="5" t="s">
        <v>295</v>
      </c>
      <c r="J1071" s="8">
        <f>455</f>
        <v>455</v>
      </c>
      <c r="K1071" s="5" t="s">
        <v>308</v>
      </c>
      <c r="L1071" s="7">
        <f>1</f>
        <v>1</v>
      </c>
      <c r="M1071" s="7">
        <f>1</f>
        <v>1</v>
      </c>
      <c r="N1071" s="5" t="s">
        <v>242</v>
      </c>
      <c r="O1071" s="5">
        <v>1</v>
      </c>
      <c r="P1071" s="5" t="s">
        <v>294</v>
      </c>
      <c r="Q1071" s="5" t="s">
        <v>266</v>
      </c>
      <c r="R1071" s="5" t="s">
        <v>240</v>
      </c>
      <c r="S1071" s="5" t="s">
        <v>240</v>
      </c>
      <c r="T1071" s="5" t="s">
        <v>296</v>
      </c>
      <c r="U1071" s="5" t="s">
        <v>244</v>
      </c>
      <c r="V1071" s="5" t="s">
        <v>240</v>
      </c>
      <c r="Y1071" s="5" t="s">
        <v>240</v>
      </c>
      <c r="Z1071" s="6" t="s">
        <v>298</v>
      </c>
      <c r="AB1071" s="6" t="s">
        <v>240</v>
      </c>
      <c r="AE1071" s="6" t="s">
        <v>299</v>
      </c>
      <c r="AF1071" s="5" t="s">
        <v>248</v>
      </c>
      <c r="AG1071" s="5" t="s">
        <v>249</v>
      </c>
      <c r="AW1071" s="5" t="s">
        <v>251</v>
      </c>
      <c r="AX1071" s="5" t="s">
        <v>240</v>
      </c>
      <c r="AY1071" s="5" t="s">
        <v>253</v>
      </c>
      <c r="AZ1071" s="5" t="s">
        <v>240</v>
      </c>
      <c r="BA1071" s="5" t="s">
        <v>255</v>
      </c>
      <c r="BB1071" s="5" t="s">
        <v>240</v>
      </c>
      <c r="BD1071" s="5" t="s">
        <v>240</v>
      </c>
      <c r="BF1071" s="5" t="s">
        <v>301</v>
      </c>
      <c r="BG1071" s="6" t="s">
        <v>299</v>
      </c>
      <c r="BH1071" s="5" t="s">
        <v>302</v>
      </c>
      <c r="BI1071" s="5" t="s">
        <v>303</v>
      </c>
      <c r="BJ1071" s="5" t="s">
        <v>240</v>
      </c>
      <c r="BK1071" s="8">
        <f>0</f>
        <v>0</v>
      </c>
      <c r="BL1071" s="7">
        <f>0</f>
        <v>0</v>
      </c>
      <c r="BM1071" s="5" t="s">
        <v>258</v>
      </c>
      <c r="BN1071" s="5" t="s">
        <v>259</v>
      </c>
      <c r="CB1071" s="5" t="s">
        <v>240</v>
      </c>
      <c r="CC1071" s="5" t="s">
        <v>240</v>
      </c>
      <c r="CG1071" s="5" t="s">
        <v>304</v>
      </c>
      <c r="CH1071" s="5" t="s">
        <v>305</v>
      </c>
      <c r="CI1071" s="5" t="s">
        <v>240</v>
      </c>
      <c r="CL1071" s="6" t="s">
        <v>261</v>
      </c>
      <c r="CM1071" s="5" t="s">
        <v>240</v>
      </c>
      <c r="CN1071" s="5" t="s">
        <v>263</v>
      </c>
      <c r="CO1071" s="5" t="s">
        <v>240</v>
      </c>
      <c r="CP1071" s="5" t="s">
        <v>240</v>
      </c>
      <c r="CQ1071" s="5">
        <v>0</v>
      </c>
      <c r="CR1071" s="5" t="s">
        <v>306</v>
      </c>
      <c r="CS1071" s="5" t="s">
        <v>307</v>
      </c>
      <c r="CT1071" s="5" t="s">
        <v>307</v>
      </c>
      <c r="CU1071" s="5" t="s">
        <v>260</v>
      </c>
      <c r="CX1071" s="7">
        <f>1</f>
        <v>1</v>
      </c>
      <c r="CY1071" s="7">
        <f>0</f>
        <v>0</v>
      </c>
      <c r="DA1071" s="7">
        <f>0</f>
        <v>0</v>
      </c>
      <c r="DC1071" s="5" t="s">
        <v>812</v>
      </c>
      <c r="DD1071" s="5" t="s">
        <v>240</v>
      </c>
      <c r="DF1071" s="5" t="s">
        <v>812</v>
      </c>
      <c r="DG1071" s="7">
        <f>981</f>
        <v>981</v>
      </c>
      <c r="DI1071" s="5" t="s">
        <v>240</v>
      </c>
      <c r="DJ1071" s="5" t="s">
        <v>240</v>
      </c>
      <c r="DK1071" s="5" t="s">
        <v>240</v>
      </c>
      <c r="DL1071" s="5" t="s">
        <v>240</v>
      </c>
      <c r="DP1071" s="5" t="s">
        <v>240</v>
      </c>
      <c r="DQ1071" s="5" t="s">
        <v>240</v>
      </c>
      <c r="DR1071" s="5" t="s">
        <v>240</v>
      </c>
      <c r="DS1071" s="5" t="s">
        <v>240</v>
      </c>
      <c r="DV1071" s="5" t="s">
        <v>813</v>
      </c>
      <c r="DW1071" s="5" t="s">
        <v>2276</v>
      </c>
      <c r="HO1071" s="5" t="s">
        <v>312</v>
      </c>
    </row>
    <row r="1072" spans="1:223" x14ac:dyDescent="0.4">
      <c r="A1072" s="5">
        <v>2747</v>
      </c>
      <c r="B1072" s="5">
        <v>1</v>
      </c>
      <c r="C1072" s="5">
        <v>1</v>
      </c>
      <c r="D1072" s="5" t="s">
        <v>297</v>
      </c>
      <c r="E1072" s="5" t="s">
        <v>245</v>
      </c>
      <c r="F1072" s="5" t="s">
        <v>254</v>
      </c>
      <c r="G1072" s="5" t="s">
        <v>240</v>
      </c>
      <c r="H1072" s="6" t="s">
        <v>6201</v>
      </c>
      <c r="I1072" s="5" t="s">
        <v>295</v>
      </c>
      <c r="J1072" s="8">
        <f>730</f>
        <v>730</v>
      </c>
      <c r="K1072" s="5" t="s">
        <v>308</v>
      </c>
      <c r="L1072" s="7">
        <f>1</f>
        <v>1</v>
      </c>
      <c r="M1072" s="7">
        <f>1</f>
        <v>1</v>
      </c>
      <c r="N1072" s="5" t="s">
        <v>242</v>
      </c>
      <c r="O1072" s="5">
        <v>1</v>
      </c>
      <c r="P1072" s="5" t="s">
        <v>294</v>
      </c>
      <c r="Q1072" s="5" t="s">
        <v>266</v>
      </c>
      <c r="R1072" s="5" t="s">
        <v>240</v>
      </c>
      <c r="S1072" s="5" t="s">
        <v>240</v>
      </c>
      <c r="T1072" s="5" t="s">
        <v>296</v>
      </c>
      <c r="U1072" s="5" t="s">
        <v>244</v>
      </c>
      <c r="V1072" s="5" t="s">
        <v>240</v>
      </c>
      <c r="Y1072" s="5" t="s">
        <v>240</v>
      </c>
      <c r="Z1072" s="6" t="s">
        <v>298</v>
      </c>
      <c r="AB1072" s="6" t="s">
        <v>240</v>
      </c>
      <c r="AE1072" s="6" t="s">
        <v>299</v>
      </c>
      <c r="AF1072" s="5" t="s">
        <v>248</v>
      </c>
      <c r="AG1072" s="5" t="s">
        <v>249</v>
      </c>
      <c r="AW1072" s="5" t="s">
        <v>251</v>
      </c>
      <c r="AX1072" s="5" t="s">
        <v>240</v>
      </c>
      <c r="AY1072" s="5" t="s">
        <v>253</v>
      </c>
      <c r="AZ1072" s="5" t="s">
        <v>240</v>
      </c>
      <c r="BA1072" s="5" t="s">
        <v>255</v>
      </c>
      <c r="BB1072" s="5" t="s">
        <v>240</v>
      </c>
      <c r="BD1072" s="5" t="s">
        <v>240</v>
      </c>
      <c r="BF1072" s="5" t="s">
        <v>301</v>
      </c>
      <c r="BG1072" s="6" t="s">
        <v>299</v>
      </c>
      <c r="BH1072" s="5" t="s">
        <v>302</v>
      </c>
      <c r="BI1072" s="5" t="s">
        <v>303</v>
      </c>
      <c r="BJ1072" s="5" t="s">
        <v>240</v>
      </c>
      <c r="BK1072" s="8">
        <f>0</f>
        <v>0</v>
      </c>
      <c r="BL1072" s="7">
        <f>0</f>
        <v>0</v>
      </c>
      <c r="BM1072" s="5" t="s">
        <v>258</v>
      </c>
      <c r="BN1072" s="5" t="s">
        <v>259</v>
      </c>
      <c r="CB1072" s="5" t="s">
        <v>240</v>
      </c>
      <c r="CC1072" s="5" t="s">
        <v>240</v>
      </c>
      <c r="CG1072" s="5" t="s">
        <v>304</v>
      </c>
      <c r="CH1072" s="5" t="s">
        <v>305</v>
      </c>
      <c r="CI1072" s="5" t="s">
        <v>240</v>
      </c>
      <c r="CL1072" s="6" t="s">
        <v>261</v>
      </c>
      <c r="CM1072" s="5" t="s">
        <v>240</v>
      </c>
      <c r="CN1072" s="5" t="s">
        <v>263</v>
      </c>
      <c r="CO1072" s="5" t="s">
        <v>240</v>
      </c>
      <c r="CP1072" s="5" t="s">
        <v>240</v>
      </c>
      <c r="CQ1072" s="5">
        <v>0</v>
      </c>
      <c r="CR1072" s="5" t="s">
        <v>306</v>
      </c>
      <c r="CS1072" s="5" t="s">
        <v>307</v>
      </c>
      <c r="CT1072" s="5" t="s">
        <v>307</v>
      </c>
      <c r="CU1072" s="5" t="s">
        <v>260</v>
      </c>
      <c r="CX1072" s="7">
        <f>1</f>
        <v>1</v>
      </c>
      <c r="CY1072" s="7">
        <f>0</f>
        <v>0</v>
      </c>
      <c r="DA1072" s="7">
        <f>0</f>
        <v>0</v>
      </c>
      <c r="DC1072" s="5" t="s">
        <v>812</v>
      </c>
      <c r="DD1072" s="5" t="s">
        <v>240</v>
      </c>
      <c r="DF1072" s="5" t="s">
        <v>812</v>
      </c>
      <c r="DG1072" s="7">
        <f>940</f>
        <v>940</v>
      </c>
      <c r="DI1072" s="5" t="s">
        <v>240</v>
      </c>
      <c r="DJ1072" s="5" t="s">
        <v>240</v>
      </c>
      <c r="DK1072" s="5" t="s">
        <v>240</v>
      </c>
      <c r="DL1072" s="5" t="s">
        <v>240</v>
      </c>
      <c r="DP1072" s="5" t="s">
        <v>240</v>
      </c>
      <c r="DQ1072" s="5" t="s">
        <v>240</v>
      </c>
      <c r="DR1072" s="5" t="s">
        <v>240</v>
      </c>
      <c r="DS1072" s="5" t="s">
        <v>240</v>
      </c>
      <c r="DV1072" s="5" t="s">
        <v>813</v>
      </c>
      <c r="DW1072" s="5" t="s">
        <v>2278</v>
      </c>
      <c r="HO1072" s="5" t="s">
        <v>312</v>
      </c>
    </row>
    <row r="1073" spans="1:223" x14ac:dyDescent="0.4">
      <c r="A1073" s="5">
        <v>2748</v>
      </c>
      <c r="B1073" s="5">
        <v>1</v>
      </c>
      <c r="C1073" s="5">
        <v>1</v>
      </c>
      <c r="D1073" s="5" t="s">
        <v>297</v>
      </c>
      <c r="E1073" s="5" t="s">
        <v>245</v>
      </c>
      <c r="F1073" s="5" t="s">
        <v>254</v>
      </c>
      <c r="G1073" s="5" t="s">
        <v>240</v>
      </c>
      <c r="H1073" s="6" t="s">
        <v>5238</v>
      </c>
      <c r="I1073" s="5" t="s">
        <v>295</v>
      </c>
      <c r="J1073" s="8">
        <f>43</f>
        <v>43</v>
      </c>
      <c r="K1073" s="5" t="s">
        <v>308</v>
      </c>
      <c r="L1073" s="7">
        <f>1</f>
        <v>1</v>
      </c>
      <c r="M1073" s="7">
        <f>1</f>
        <v>1</v>
      </c>
      <c r="N1073" s="5" t="s">
        <v>242</v>
      </c>
      <c r="O1073" s="5">
        <v>1</v>
      </c>
      <c r="P1073" s="5" t="s">
        <v>294</v>
      </c>
      <c r="Q1073" s="5" t="s">
        <v>266</v>
      </c>
      <c r="R1073" s="5" t="s">
        <v>240</v>
      </c>
      <c r="S1073" s="5" t="s">
        <v>240</v>
      </c>
      <c r="T1073" s="5" t="s">
        <v>296</v>
      </c>
      <c r="U1073" s="5" t="s">
        <v>244</v>
      </c>
      <c r="V1073" s="5" t="s">
        <v>240</v>
      </c>
      <c r="Y1073" s="5" t="s">
        <v>240</v>
      </c>
      <c r="Z1073" s="6" t="s">
        <v>298</v>
      </c>
      <c r="AB1073" s="6" t="s">
        <v>240</v>
      </c>
      <c r="AE1073" s="6" t="s">
        <v>299</v>
      </c>
      <c r="AF1073" s="5" t="s">
        <v>248</v>
      </c>
      <c r="AG1073" s="5" t="s">
        <v>249</v>
      </c>
      <c r="AW1073" s="5" t="s">
        <v>251</v>
      </c>
      <c r="AX1073" s="5" t="s">
        <v>240</v>
      </c>
      <c r="AY1073" s="5" t="s">
        <v>253</v>
      </c>
      <c r="AZ1073" s="5" t="s">
        <v>240</v>
      </c>
      <c r="BA1073" s="5" t="s">
        <v>255</v>
      </c>
      <c r="BB1073" s="5" t="s">
        <v>240</v>
      </c>
      <c r="BD1073" s="5" t="s">
        <v>240</v>
      </c>
      <c r="BF1073" s="5" t="s">
        <v>301</v>
      </c>
      <c r="BG1073" s="6" t="s">
        <v>299</v>
      </c>
      <c r="BH1073" s="5" t="s">
        <v>302</v>
      </c>
      <c r="BI1073" s="5" t="s">
        <v>303</v>
      </c>
      <c r="BJ1073" s="5" t="s">
        <v>240</v>
      </c>
      <c r="BK1073" s="8">
        <f>0</f>
        <v>0</v>
      </c>
      <c r="BL1073" s="7">
        <f>0</f>
        <v>0</v>
      </c>
      <c r="BM1073" s="5" t="s">
        <v>258</v>
      </c>
      <c r="BN1073" s="5" t="s">
        <v>259</v>
      </c>
      <c r="CB1073" s="5" t="s">
        <v>240</v>
      </c>
      <c r="CC1073" s="5" t="s">
        <v>240</v>
      </c>
      <c r="CG1073" s="5" t="s">
        <v>304</v>
      </c>
      <c r="CH1073" s="5" t="s">
        <v>305</v>
      </c>
      <c r="CI1073" s="5" t="s">
        <v>240</v>
      </c>
      <c r="CL1073" s="6" t="s">
        <v>261</v>
      </c>
      <c r="CM1073" s="5" t="s">
        <v>240</v>
      </c>
      <c r="CN1073" s="5" t="s">
        <v>263</v>
      </c>
      <c r="CO1073" s="5" t="s">
        <v>240</v>
      </c>
      <c r="CP1073" s="5" t="s">
        <v>240</v>
      </c>
      <c r="CQ1073" s="5">
        <v>0</v>
      </c>
      <c r="CR1073" s="5" t="s">
        <v>306</v>
      </c>
      <c r="CS1073" s="5" t="s">
        <v>307</v>
      </c>
      <c r="CT1073" s="5" t="s">
        <v>307</v>
      </c>
      <c r="CU1073" s="5" t="s">
        <v>260</v>
      </c>
      <c r="CX1073" s="7">
        <f>1</f>
        <v>1</v>
      </c>
      <c r="CY1073" s="7">
        <f>0</f>
        <v>0</v>
      </c>
      <c r="DA1073" s="7">
        <f>0</f>
        <v>0</v>
      </c>
      <c r="DC1073" s="5" t="s">
        <v>812</v>
      </c>
      <c r="DD1073" s="5" t="s">
        <v>240</v>
      </c>
      <c r="DF1073" s="5" t="s">
        <v>812</v>
      </c>
      <c r="DG1073" s="7">
        <f>2010</f>
        <v>2010</v>
      </c>
      <c r="DI1073" s="5" t="s">
        <v>240</v>
      </c>
      <c r="DJ1073" s="5" t="s">
        <v>240</v>
      </c>
      <c r="DK1073" s="5" t="s">
        <v>240</v>
      </c>
      <c r="DL1073" s="5" t="s">
        <v>240</v>
      </c>
      <c r="DP1073" s="5" t="s">
        <v>240</v>
      </c>
      <c r="DQ1073" s="5" t="s">
        <v>240</v>
      </c>
      <c r="DR1073" s="5" t="s">
        <v>240</v>
      </c>
      <c r="DS1073" s="5" t="s">
        <v>240</v>
      </c>
      <c r="DV1073" s="5" t="s">
        <v>813</v>
      </c>
      <c r="DW1073" s="5" t="s">
        <v>2280</v>
      </c>
      <c r="HO1073" s="5" t="s">
        <v>312</v>
      </c>
    </row>
    <row r="1074" spans="1:223" x14ac:dyDescent="0.4">
      <c r="A1074" s="5">
        <v>2749</v>
      </c>
      <c r="B1074" s="5">
        <v>1</v>
      </c>
      <c r="C1074" s="5">
        <v>1</v>
      </c>
      <c r="D1074" s="5" t="s">
        <v>297</v>
      </c>
      <c r="E1074" s="5" t="s">
        <v>245</v>
      </c>
      <c r="F1074" s="5" t="s">
        <v>254</v>
      </c>
      <c r="G1074" s="5" t="s">
        <v>240</v>
      </c>
      <c r="H1074" s="6" t="s">
        <v>5237</v>
      </c>
      <c r="I1074" s="5" t="s">
        <v>295</v>
      </c>
      <c r="J1074" s="8">
        <f>583</f>
        <v>583</v>
      </c>
      <c r="K1074" s="5" t="s">
        <v>308</v>
      </c>
      <c r="L1074" s="7">
        <f>1</f>
        <v>1</v>
      </c>
      <c r="M1074" s="7">
        <f>1</f>
        <v>1</v>
      </c>
      <c r="N1074" s="5" t="s">
        <v>242</v>
      </c>
      <c r="O1074" s="5">
        <v>1</v>
      </c>
      <c r="P1074" s="5" t="s">
        <v>294</v>
      </c>
      <c r="Q1074" s="5" t="s">
        <v>266</v>
      </c>
      <c r="R1074" s="5" t="s">
        <v>240</v>
      </c>
      <c r="S1074" s="5" t="s">
        <v>240</v>
      </c>
      <c r="T1074" s="5" t="s">
        <v>296</v>
      </c>
      <c r="U1074" s="5" t="s">
        <v>244</v>
      </c>
      <c r="V1074" s="5" t="s">
        <v>240</v>
      </c>
      <c r="Y1074" s="5" t="s">
        <v>240</v>
      </c>
      <c r="Z1074" s="6" t="s">
        <v>298</v>
      </c>
      <c r="AB1074" s="6" t="s">
        <v>240</v>
      </c>
      <c r="AE1074" s="6" t="s">
        <v>299</v>
      </c>
      <c r="AF1074" s="5" t="s">
        <v>248</v>
      </c>
      <c r="AG1074" s="5" t="s">
        <v>249</v>
      </c>
      <c r="AW1074" s="5" t="s">
        <v>251</v>
      </c>
      <c r="AX1074" s="5" t="s">
        <v>240</v>
      </c>
      <c r="AY1074" s="5" t="s">
        <v>253</v>
      </c>
      <c r="AZ1074" s="5" t="s">
        <v>240</v>
      </c>
      <c r="BA1074" s="5" t="s">
        <v>255</v>
      </c>
      <c r="BB1074" s="5" t="s">
        <v>240</v>
      </c>
      <c r="BD1074" s="5" t="s">
        <v>240</v>
      </c>
      <c r="BF1074" s="5" t="s">
        <v>301</v>
      </c>
      <c r="BG1074" s="6" t="s">
        <v>299</v>
      </c>
      <c r="BH1074" s="5" t="s">
        <v>302</v>
      </c>
      <c r="BI1074" s="5" t="s">
        <v>303</v>
      </c>
      <c r="BJ1074" s="5" t="s">
        <v>240</v>
      </c>
      <c r="BK1074" s="8">
        <f>0</f>
        <v>0</v>
      </c>
      <c r="BL1074" s="7">
        <f>0</f>
        <v>0</v>
      </c>
      <c r="BM1074" s="5" t="s">
        <v>258</v>
      </c>
      <c r="BN1074" s="5" t="s">
        <v>259</v>
      </c>
      <c r="CB1074" s="5" t="s">
        <v>240</v>
      </c>
      <c r="CC1074" s="5" t="s">
        <v>240</v>
      </c>
      <c r="CG1074" s="5" t="s">
        <v>304</v>
      </c>
      <c r="CH1074" s="5" t="s">
        <v>305</v>
      </c>
      <c r="CI1074" s="5" t="s">
        <v>240</v>
      </c>
      <c r="CL1074" s="6" t="s">
        <v>261</v>
      </c>
      <c r="CM1074" s="5" t="s">
        <v>240</v>
      </c>
      <c r="CN1074" s="5" t="s">
        <v>263</v>
      </c>
      <c r="CO1074" s="5" t="s">
        <v>240</v>
      </c>
      <c r="CP1074" s="5" t="s">
        <v>240</v>
      </c>
      <c r="CQ1074" s="5">
        <v>0</v>
      </c>
      <c r="CR1074" s="5" t="s">
        <v>306</v>
      </c>
      <c r="CS1074" s="5" t="s">
        <v>307</v>
      </c>
      <c r="CT1074" s="5" t="s">
        <v>307</v>
      </c>
      <c r="CU1074" s="5" t="s">
        <v>260</v>
      </c>
      <c r="CX1074" s="7">
        <f>1</f>
        <v>1</v>
      </c>
      <c r="CY1074" s="7">
        <f>0</f>
        <v>0</v>
      </c>
      <c r="DA1074" s="7">
        <f>0</f>
        <v>0</v>
      </c>
      <c r="DC1074" s="5" t="s">
        <v>812</v>
      </c>
      <c r="DD1074" s="5" t="s">
        <v>240</v>
      </c>
      <c r="DF1074" s="5" t="s">
        <v>812</v>
      </c>
      <c r="DG1074" s="7">
        <f>31</f>
        <v>31</v>
      </c>
      <c r="DI1074" s="5" t="s">
        <v>240</v>
      </c>
      <c r="DJ1074" s="5" t="s">
        <v>240</v>
      </c>
      <c r="DK1074" s="5" t="s">
        <v>240</v>
      </c>
      <c r="DL1074" s="5" t="s">
        <v>240</v>
      </c>
      <c r="DP1074" s="5" t="s">
        <v>240</v>
      </c>
      <c r="DQ1074" s="5" t="s">
        <v>240</v>
      </c>
      <c r="DR1074" s="5" t="s">
        <v>240</v>
      </c>
      <c r="DS1074" s="5" t="s">
        <v>240</v>
      </c>
      <c r="DV1074" s="5" t="s">
        <v>813</v>
      </c>
      <c r="DW1074" s="5" t="s">
        <v>2282</v>
      </c>
      <c r="HO1074" s="5" t="s">
        <v>312</v>
      </c>
    </row>
    <row r="1075" spans="1:223" x14ac:dyDescent="0.4">
      <c r="A1075" s="5">
        <v>2750</v>
      </c>
      <c r="B1075" s="5">
        <v>1</v>
      </c>
      <c r="C1075" s="5">
        <v>1</v>
      </c>
      <c r="D1075" s="5" t="s">
        <v>297</v>
      </c>
      <c r="E1075" s="5" t="s">
        <v>245</v>
      </c>
      <c r="F1075" s="5" t="s">
        <v>254</v>
      </c>
      <c r="G1075" s="5" t="s">
        <v>240</v>
      </c>
      <c r="H1075" s="6" t="s">
        <v>5236</v>
      </c>
      <c r="I1075" s="5" t="s">
        <v>295</v>
      </c>
      <c r="J1075" s="8">
        <f>730</f>
        <v>730</v>
      </c>
      <c r="K1075" s="5" t="s">
        <v>308</v>
      </c>
      <c r="L1075" s="7">
        <f>1</f>
        <v>1</v>
      </c>
      <c r="M1075" s="7">
        <f>1</f>
        <v>1</v>
      </c>
      <c r="N1075" s="5" t="s">
        <v>242</v>
      </c>
      <c r="O1075" s="5">
        <v>1</v>
      </c>
      <c r="P1075" s="5" t="s">
        <v>294</v>
      </c>
      <c r="Q1075" s="5" t="s">
        <v>266</v>
      </c>
      <c r="R1075" s="5" t="s">
        <v>240</v>
      </c>
      <c r="S1075" s="5" t="s">
        <v>240</v>
      </c>
      <c r="T1075" s="5" t="s">
        <v>296</v>
      </c>
      <c r="U1075" s="5" t="s">
        <v>244</v>
      </c>
      <c r="V1075" s="5" t="s">
        <v>240</v>
      </c>
      <c r="Y1075" s="5" t="s">
        <v>240</v>
      </c>
      <c r="Z1075" s="6" t="s">
        <v>298</v>
      </c>
      <c r="AB1075" s="6" t="s">
        <v>240</v>
      </c>
      <c r="AE1075" s="6" t="s">
        <v>299</v>
      </c>
      <c r="AF1075" s="5" t="s">
        <v>248</v>
      </c>
      <c r="AG1075" s="5" t="s">
        <v>249</v>
      </c>
      <c r="AW1075" s="5" t="s">
        <v>251</v>
      </c>
      <c r="AX1075" s="5" t="s">
        <v>240</v>
      </c>
      <c r="AY1075" s="5" t="s">
        <v>253</v>
      </c>
      <c r="AZ1075" s="5" t="s">
        <v>240</v>
      </c>
      <c r="BA1075" s="5" t="s">
        <v>255</v>
      </c>
      <c r="BB1075" s="5" t="s">
        <v>240</v>
      </c>
      <c r="BD1075" s="5" t="s">
        <v>240</v>
      </c>
      <c r="BF1075" s="5" t="s">
        <v>301</v>
      </c>
      <c r="BG1075" s="6" t="s">
        <v>299</v>
      </c>
      <c r="BH1075" s="5" t="s">
        <v>302</v>
      </c>
      <c r="BI1075" s="5" t="s">
        <v>303</v>
      </c>
      <c r="BJ1075" s="5" t="s">
        <v>240</v>
      </c>
      <c r="BK1075" s="8">
        <f>0</f>
        <v>0</v>
      </c>
      <c r="BL1075" s="7">
        <f>0</f>
        <v>0</v>
      </c>
      <c r="BM1075" s="5" t="s">
        <v>258</v>
      </c>
      <c r="BN1075" s="5" t="s">
        <v>259</v>
      </c>
      <c r="CB1075" s="5" t="s">
        <v>240</v>
      </c>
      <c r="CC1075" s="5" t="s">
        <v>240</v>
      </c>
      <c r="CG1075" s="5" t="s">
        <v>304</v>
      </c>
      <c r="CH1075" s="5" t="s">
        <v>305</v>
      </c>
      <c r="CI1075" s="5" t="s">
        <v>240</v>
      </c>
      <c r="CL1075" s="6" t="s">
        <v>261</v>
      </c>
      <c r="CM1075" s="5" t="s">
        <v>240</v>
      </c>
      <c r="CN1075" s="5" t="s">
        <v>263</v>
      </c>
      <c r="CO1075" s="5" t="s">
        <v>240</v>
      </c>
      <c r="CP1075" s="5" t="s">
        <v>240</v>
      </c>
      <c r="CQ1075" s="5">
        <v>0</v>
      </c>
      <c r="CR1075" s="5" t="s">
        <v>306</v>
      </c>
      <c r="CS1075" s="5" t="s">
        <v>307</v>
      </c>
      <c r="CT1075" s="5" t="s">
        <v>307</v>
      </c>
      <c r="CU1075" s="5" t="s">
        <v>260</v>
      </c>
      <c r="CX1075" s="7">
        <f>1</f>
        <v>1</v>
      </c>
      <c r="CY1075" s="7">
        <f>0</f>
        <v>0</v>
      </c>
      <c r="DA1075" s="7">
        <f>0</f>
        <v>0</v>
      </c>
      <c r="DC1075" s="5" t="s">
        <v>812</v>
      </c>
      <c r="DD1075" s="5" t="s">
        <v>240</v>
      </c>
      <c r="DF1075" s="5" t="s">
        <v>812</v>
      </c>
      <c r="DG1075" s="7">
        <f>58</f>
        <v>58</v>
      </c>
      <c r="DI1075" s="5" t="s">
        <v>240</v>
      </c>
      <c r="DJ1075" s="5" t="s">
        <v>240</v>
      </c>
      <c r="DK1075" s="5" t="s">
        <v>240</v>
      </c>
      <c r="DL1075" s="5" t="s">
        <v>240</v>
      </c>
      <c r="DP1075" s="5" t="s">
        <v>240</v>
      </c>
      <c r="DQ1075" s="5" t="s">
        <v>240</v>
      </c>
      <c r="DR1075" s="5" t="s">
        <v>240</v>
      </c>
      <c r="DS1075" s="5" t="s">
        <v>240</v>
      </c>
      <c r="DV1075" s="5" t="s">
        <v>813</v>
      </c>
      <c r="DW1075" s="5" t="s">
        <v>2284</v>
      </c>
      <c r="HO1075" s="5" t="s">
        <v>312</v>
      </c>
    </row>
    <row r="1076" spans="1:223" x14ac:dyDescent="0.4">
      <c r="A1076" s="5">
        <v>2751</v>
      </c>
      <c r="B1076" s="5">
        <v>1</v>
      </c>
      <c r="C1076" s="5">
        <v>1</v>
      </c>
      <c r="D1076" s="5" t="s">
        <v>297</v>
      </c>
      <c r="E1076" s="5" t="s">
        <v>245</v>
      </c>
      <c r="F1076" s="5" t="s">
        <v>254</v>
      </c>
      <c r="G1076" s="5" t="s">
        <v>240</v>
      </c>
      <c r="H1076" s="6" t="s">
        <v>5235</v>
      </c>
      <c r="I1076" s="5" t="s">
        <v>295</v>
      </c>
      <c r="J1076" s="8">
        <f>5151</f>
        <v>5151</v>
      </c>
      <c r="K1076" s="5" t="s">
        <v>308</v>
      </c>
      <c r="L1076" s="7">
        <f>1</f>
        <v>1</v>
      </c>
      <c r="M1076" s="7">
        <f>1</f>
        <v>1</v>
      </c>
      <c r="N1076" s="5" t="s">
        <v>242</v>
      </c>
      <c r="O1076" s="5">
        <v>1</v>
      </c>
      <c r="P1076" s="5" t="s">
        <v>294</v>
      </c>
      <c r="Q1076" s="5" t="s">
        <v>266</v>
      </c>
      <c r="R1076" s="5" t="s">
        <v>240</v>
      </c>
      <c r="S1076" s="5" t="s">
        <v>240</v>
      </c>
      <c r="T1076" s="5" t="s">
        <v>296</v>
      </c>
      <c r="U1076" s="5" t="s">
        <v>244</v>
      </c>
      <c r="V1076" s="5" t="s">
        <v>240</v>
      </c>
      <c r="Y1076" s="5" t="s">
        <v>240</v>
      </c>
      <c r="Z1076" s="6" t="s">
        <v>298</v>
      </c>
      <c r="AB1076" s="6" t="s">
        <v>240</v>
      </c>
      <c r="AE1076" s="6" t="s">
        <v>299</v>
      </c>
      <c r="AF1076" s="5" t="s">
        <v>248</v>
      </c>
      <c r="AG1076" s="5" t="s">
        <v>249</v>
      </c>
      <c r="AW1076" s="5" t="s">
        <v>251</v>
      </c>
      <c r="AX1076" s="5" t="s">
        <v>240</v>
      </c>
      <c r="AY1076" s="5" t="s">
        <v>253</v>
      </c>
      <c r="AZ1076" s="5" t="s">
        <v>240</v>
      </c>
      <c r="BA1076" s="5" t="s">
        <v>255</v>
      </c>
      <c r="BB1076" s="5" t="s">
        <v>240</v>
      </c>
      <c r="BD1076" s="5" t="s">
        <v>240</v>
      </c>
      <c r="BF1076" s="5" t="s">
        <v>301</v>
      </c>
      <c r="BG1076" s="6" t="s">
        <v>299</v>
      </c>
      <c r="BH1076" s="5" t="s">
        <v>302</v>
      </c>
      <c r="BI1076" s="5" t="s">
        <v>303</v>
      </c>
      <c r="BJ1076" s="5" t="s">
        <v>240</v>
      </c>
      <c r="BK1076" s="8">
        <f>0</f>
        <v>0</v>
      </c>
      <c r="BL1076" s="7">
        <f>0</f>
        <v>0</v>
      </c>
      <c r="BM1076" s="5" t="s">
        <v>258</v>
      </c>
      <c r="BN1076" s="5" t="s">
        <v>259</v>
      </c>
      <c r="CB1076" s="5" t="s">
        <v>240</v>
      </c>
      <c r="CC1076" s="5" t="s">
        <v>240</v>
      </c>
      <c r="CG1076" s="5" t="s">
        <v>304</v>
      </c>
      <c r="CH1076" s="5" t="s">
        <v>305</v>
      </c>
      <c r="CI1076" s="5" t="s">
        <v>240</v>
      </c>
      <c r="CL1076" s="6" t="s">
        <v>261</v>
      </c>
      <c r="CM1076" s="5" t="s">
        <v>240</v>
      </c>
      <c r="CN1076" s="5" t="s">
        <v>263</v>
      </c>
      <c r="CO1076" s="5" t="s">
        <v>240</v>
      </c>
      <c r="CP1076" s="5" t="s">
        <v>240</v>
      </c>
      <c r="CQ1076" s="5">
        <v>0</v>
      </c>
      <c r="CR1076" s="5" t="s">
        <v>306</v>
      </c>
      <c r="CS1076" s="5" t="s">
        <v>307</v>
      </c>
      <c r="CT1076" s="5" t="s">
        <v>307</v>
      </c>
      <c r="CU1076" s="5" t="s">
        <v>260</v>
      </c>
      <c r="CX1076" s="7">
        <f>1</f>
        <v>1</v>
      </c>
      <c r="CY1076" s="7">
        <f>0</f>
        <v>0</v>
      </c>
      <c r="DA1076" s="7">
        <f>0</f>
        <v>0</v>
      </c>
      <c r="DC1076" s="5" t="s">
        <v>812</v>
      </c>
      <c r="DD1076" s="5" t="s">
        <v>240</v>
      </c>
      <c r="DF1076" s="5" t="s">
        <v>812</v>
      </c>
      <c r="DG1076" s="7">
        <f>149</f>
        <v>149</v>
      </c>
      <c r="DI1076" s="5" t="s">
        <v>240</v>
      </c>
      <c r="DJ1076" s="5" t="s">
        <v>240</v>
      </c>
      <c r="DK1076" s="5" t="s">
        <v>240</v>
      </c>
      <c r="DL1076" s="5" t="s">
        <v>240</v>
      </c>
      <c r="DP1076" s="5" t="s">
        <v>240</v>
      </c>
      <c r="DQ1076" s="5" t="s">
        <v>240</v>
      </c>
      <c r="DR1076" s="5" t="s">
        <v>240</v>
      </c>
      <c r="DS1076" s="5" t="s">
        <v>240</v>
      </c>
      <c r="DV1076" s="5" t="s">
        <v>813</v>
      </c>
      <c r="DW1076" s="5" t="s">
        <v>2286</v>
      </c>
      <c r="HO1076" s="5" t="s">
        <v>312</v>
      </c>
    </row>
    <row r="1077" spans="1:223" x14ac:dyDescent="0.4">
      <c r="A1077" s="5">
        <v>2752</v>
      </c>
      <c r="B1077" s="5">
        <v>1</v>
      </c>
      <c r="C1077" s="5">
        <v>1</v>
      </c>
      <c r="D1077" s="5" t="s">
        <v>297</v>
      </c>
      <c r="E1077" s="5" t="s">
        <v>245</v>
      </c>
      <c r="F1077" s="5" t="s">
        <v>254</v>
      </c>
      <c r="G1077" s="5" t="s">
        <v>240</v>
      </c>
      <c r="H1077" s="6" t="s">
        <v>5234</v>
      </c>
      <c r="I1077" s="5" t="s">
        <v>295</v>
      </c>
      <c r="J1077" s="8">
        <f>549</f>
        <v>549</v>
      </c>
      <c r="K1077" s="5" t="s">
        <v>308</v>
      </c>
      <c r="L1077" s="7">
        <f>1</f>
        <v>1</v>
      </c>
      <c r="M1077" s="7">
        <f>1</f>
        <v>1</v>
      </c>
      <c r="N1077" s="5" t="s">
        <v>242</v>
      </c>
      <c r="O1077" s="5">
        <v>1</v>
      </c>
      <c r="P1077" s="5" t="s">
        <v>294</v>
      </c>
      <c r="Q1077" s="5" t="s">
        <v>266</v>
      </c>
      <c r="R1077" s="5" t="s">
        <v>240</v>
      </c>
      <c r="S1077" s="5" t="s">
        <v>240</v>
      </c>
      <c r="T1077" s="5" t="s">
        <v>296</v>
      </c>
      <c r="U1077" s="5" t="s">
        <v>244</v>
      </c>
      <c r="V1077" s="5" t="s">
        <v>240</v>
      </c>
      <c r="Y1077" s="5" t="s">
        <v>240</v>
      </c>
      <c r="Z1077" s="6" t="s">
        <v>298</v>
      </c>
      <c r="AB1077" s="6" t="s">
        <v>240</v>
      </c>
      <c r="AE1077" s="6" t="s">
        <v>299</v>
      </c>
      <c r="AF1077" s="5" t="s">
        <v>248</v>
      </c>
      <c r="AG1077" s="5" t="s">
        <v>249</v>
      </c>
      <c r="AW1077" s="5" t="s">
        <v>251</v>
      </c>
      <c r="AX1077" s="5" t="s">
        <v>240</v>
      </c>
      <c r="AY1077" s="5" t="s">
        <v>253</v>
      </c>
      <c r="AZ1077" s="5" t="s">
        <v>240</v>
      </c>
      <c r="BA1077" s="5" t="s">
        <v>255</v>
      </c>
      <c r="BB1077" s="5" t="s">
        <v>240</v>
      </c>
      <c r="BD1077" s="5" t="s">
        <v>240</v>
      </c>
      <c r="BF1077" s="5" t="s">
        <v>301</v>
      </c>
      <c r="BG1077" s="6" t="s">
        <v>299</v>
      </c>
      <c r="BH1077" s="5" t="s">
        <v>302</v>
      </c>
      <c r="BI1077" s="5" t="s">
        <v>303</v>
      </c>
      <c r="BJ1077" s="5" t="s">
        <v>240</v>
      </c>
      <c r="BK1077" s="8">
        <f>0</f>
        <v>0</v>
      </c>
      <c r="BL1077" s="7">
        <f>0</f>
        <v>0</v>
      </c>
      <c r="BM1077" s="5" t="s">
        <v>258</v>
      </c>
      <c r="BN1077" s="5" t="s">
        <v>259</v>
      </c>
      <c r="CB1077" s="5" t="s">
        <v>240</v>
      </c>
      <c r="CC1077" s="5" t="s">
        <v>240</v>
      </c>
      <c r="CG1077" s="5" t="s">
        <v>304</v>
      </c>
      <c r="CH1077" s="5" t="s">
        <v>305</v>
      </c>
      <c r="CI1077" s="5" t="s">
        <v>240</v>
      </c>
      <c r="CL1077" s="6" t="s">
        <v>261</v>
      </c>
      <c r="CM1077" s="5" t="s">
        <v>240</v>
      </c>
      <c r="CN1077" s="5" t="s">
        <v>263</v>
      </c>
      <c r="CO1077" s="5" t="s">
        <v>240</v>
      </c>
      <c r="CP1077" s="5" t="s">
        <v>240</v>
      </c>
      <c r="CQ1077" s="5">
        <v>0</v>
      </c>
      <c r="CR1077" s="5" t="s">
        <v>306</v>
      </c>
      <c r="CS1077" s="5" t="s">
        <v>307</v>
      </c>
      <c r="CT1077" s="5" t="s">
        <v>307</v>
      </c>
      <c r="CU1077" s="5" t="s">
        <v>260</v>
      </c>
      <c r="CX1077" s="7">
        <f>1</f>
        <v>1</v>
      </c>
      <c r="CY1077" s="7">
        <f>0</f>
        <v>0</v>
      </c>
      <c r="DA1077" s="7">
        <f>0</f>
        <v>0</v>
      </c>
      <c r="DC1077" s="5" t="s">
        <v>812</v>
      </c>
      <c r="DD1077" s="5" t="s">
        <v>240</v>
      </c>
      <c r="DF1077" s="5" t="s">
        <v>812</v>
      </c>
      <c r="DG1077" s="7">
        <f>966</f>
        <v>966</v>
      </c>
      <c r="DI1077" s="5" t="s">
        <v>240</v>
      </c>
      <c r="DJ1077" s="5" t="s">
        <v>240</v>
      </c>
      <c r="DK1077" s="5" t="s">
        <v>240</v>
      </c>
      <c r="DL1077" s="5" t="s">
        <v>240</v>
      </c>
      <c r="DP1077" s="5" t="s">
        <v>240</v>
      </c>
      <c r="DQ1077" s="5" t="s">
        <v>240</v>
      </c>
      <c r="DR1077" s="5" t="s">
        <v>240</v>
      </c>
      <c r="DS1077" s="5" t="s">
        <v>240</v>
      </c>
      <c r="DV1077" s="5" t="s">
        <v>813</v>
      </c>
      <c r="DW1077" s="5" t="s">
        <v>2288</v>
      </c>
      <c r="HO1077" s="5" t="s">
        <v>312</v>
      </c>
    </row>
    <row r="1078" spans="1:223" x14ac:dyDescent="0.4">
      <c r="A1078" s="5">
        <v>2753</v>
      </c>
      <c r="B1078" s="5">
        <v>1</v>
      </c>
      <c r="C1078" s="5">
        <v>1</v>
      </c>
      <c r="D1078" s="5" t="s">
        <v>297</v>
      </c>
      <c r="E1078" s="5" t="s">
        <v>245</v>
      </c>
      <c r="F1078" s="5" t="s">
        <v>254</v>
      </c>
      <c r="G1078" s="5" t="s">
        <v>240</v>
      </c>
      <c r="H1078" s="6" t="s">
        <v>5233</v>
      </c>
      <c r="I1078" s="5" t="s">
        <v>295</v>
      </c>
      <c r="J1078" s="8">
        <f>995</f>
        <v>995</v>
      </c>
      <c r="K1078" s="5" t="s">
        <v>308</v>
      </c>
      <c r="L1078" s="7">
        <f>1</f>
        <v>1</v>
      </c>
      <c r="M1078" s="7">
        <f>1</f>
        <v>1</v>
      </c>
      <c r="N1078" s="5" t="s">
        <v>242</v>
      </c>
      <c r="O1078" s="5">
        <v>1</v>
      </c>
      <c r="P1078" s="5" t="s">
        <v>294</v>
      </c>
      <c r="Q1078" s="5" t="s">
        <v>266</v>
      </c>
      <c r="R1078" s="5" t="s">
        <v>240</v>
      </c>
      <c r="S1078" s="5" t="s">
        <v>240</v>
      </c>
      <c r="T1078" s="5" t="s">
        <v>296</v>
      </c>
      <c r="U1078" s="5" t="s">
        <v>244</v>
      </c>
      <c r="V1078" s="5" t="s">
        <v>240</v>
      </c>
      <c r="Y1078" s="5" t="s">
        <v>240</v>
      </c>
      <c r="Z1078" s="6" t="s">
        <v>298</v>
      </c>
      <c r="AB1078" s="6" t="s">
        <v>240</v>
      </c>
      <c r="AE1078" s="6" t="s">
        <v>299</v>
      </c>
      <c r="AF1078" s="5" t="s">
        <v>248</v>
      </c>
      <c r="AG1078" s="5" t="s">
        <v>249</v>
      </c>
      <c r="AW1078" s="5" t="s">
        <v>251</v>
      </c>
      <c r="AX1078" s="5" t="s">
        <v>240</v>
      </c>
      <c r="AY1078" s="5" t="s">
        <v>253</v>
      </c>
      <c r="AZ1078" s="5" t="s">
        <v>240</v>
      </c>
      <c r="BA1078" s="5" t="s">
        <v>255</v>
      </c>
      <c r="BB1078" s="5" t="s">
        <v>240</v>
      </c>
      <c r="BD1078" s="5" t="s">
        <v>240</v>
      </c>
      <c r="BF1078" s="5" t="s">
        <v>301</v>
      </c>
      <c r="BG1078" s="6" t="s">
        <v>299</v>
      </c>
      <c r="BH1078" s="5" t="s">
        <v>302</v>
      </c>
      <c r="BI1078" s="5" t="s">
        <v>303</v>
      </c>
      <c r="BJ1078" s="5" t="s">
        <v>240</v>
      </c>
      <c r="BK1078" s="8">
        <f>0</f>
        <v>0</v>
      </c>
      <c r="BL1078" s="7">
        <f>0</f>
        <v>0</v>
      </c>
      <c r="BM1078" s="5" t="s">
        <v>258</v>
      </c>
      <c r="BN1078" s="5" t="s">
        <v>259</v>
      </c>
      <c r="CB1078" s="5" t="s">
        <v>240</v>
      </c>
      <c r="CC1078" s="5" t="s">
        <v>240</v>
      </c>
      <c r="CG1078" s="5" t="s">
        <v>304</v>
      </c>
      <c r="CH1078" s="5" t="s">
        <v>305</v>
      </c>
      <c r="CI1078" s="5" t="s">
        <v>240</v>
      </c>
      <c r="CL1078" s="6" t="s">
        <v>261</v>
      </c>
      <c r="CM1078" s="5" t="s">
        <v>240</v>
      </c>
      <c r="CN1078" s="5" t="s">
        <v>263</v>
      </c>
      <c r="CO1078" s="5" t="s">
        <v>240</v>
      </c>
      <c r="CP1078" s="5" t="s">
        <v>240</v>
      </c>
      <c r="CQ1078" s="5">
        <v>0</v>
      </c>
      <c r="CR1078" s="5" t="s">
        <v>306</v>
      </c>
      <c r="CS1078" s="5" t="s">
        <v>307</v>
      </c>
      <c r="CT1078" s="5" t="s">
        <v>307</v>
      </c>
      <c r="CU1078" s="5" t="s">
        <v>260</v>
      </c>
      <c r="CX1078" s="7">
        <f>1</f>
        <v>1</v>
      </c>
      <c r="CY1078" s="7">
        <f>0</f>
        <v>0</v>
      </c>
      <c r="DA1078" s="7">
        <f>0</f>
        <v>0</v>
      </c>
      <c r="DC1078" s="5" t="s">
        <v>812</v>
      </c>
      <c r="DD1078" s="5" t="s">
        <v>240</v>
      </c>
      <c r="DF1078" s="5" t="s">
        <v>812</v>
      </c>
      <c r="DG1078" s="7">
        <f>362</f>
        <v>362</v>
      </c>
      <c r="DI1078" s="5" t="s">
        <v>240</v>
      </c>
      <c r="DJ1078" s="5" t="s">
        <v>240</v>
      </c>
      <c r="DK1078" s="5" t="s">
        <v>240</v>
      </c>
      <c r="DL1078" s="5" t="s">
        <v>240</v>
      </c>
      <c r="DP1078" s="5" t="s">
        <v>240</v>
      </c>
      <c r="DQ1078" s="5" t="s">
        <v>240</v>
      </c>
      <c r="DR1078" s="5" t="s">
        <v>240</v>
      </c>
      <c r="DS1078" s="5" t="s">
        <v>240</v>
      </c>
      <c r="DV1078" s="5" t="s">
        <v>813</v>
      </c>
      <c r="DW1078" s="5" t="s">
        <v>2290</v>
      </c>
      <c r="HO1078" s="5" t="s">
        <v>312</v>
      </c>
    </row>
    <row r="1079" spans="1:223" x14ac:dyDescent="0.4">
      <c r="A1079" s="5">
        <v>2754</v>
      </c>
      <c r="B1079" s="5">
        <v>1</v>
      </c>
      <c r="C1079" s="5">
        <v>1</v>
      </c>
      <c r="D1079" s="5" t="s">
        <v>297</v>
      </c>
      <c r="E1079" s="5" t="s">
        <v>245</v>
      </c>
      <c r="F1079" s="5" t="s">
        <v>254</v>
      </c>
      <c r="G1079" s="5" t="s">
        <v>240</v>
      </c>
      <c r="H1079" s="6" t="s">
        <v>5232</v>
      </c>
      <c r="I1079" s="5" t="s">
        <v>295</v>
      </c>
      <c r="J1079" s="8">
        <f>472</f>
        <v>472</v>
      </c>
      <c r="K1079" s="5" t="s">
        <v>308</v>
      </c>
      <c r="L1079" s="7">
        <f>1</f>
        <v>1</v>
      </c>
      <c r="M1079" s="7">
        <f>1</f>
        <v>1</v>
      </c>
      <c r="N1079" s="5" t="s">
        <v>242</v>
      </c>
      <c r="O1079" s="5">
        <v>1</v>
      </c>
      <c r="P1079" s="5" t="s">
        <v>294</v>
      </c>
      <c r="Q1079" s="5" t="s">
        <v>266</v>
      </c>
      <c r="R1079" s="5" t="s">
        <v>240</v>
      </c>
      <c r="S1079" s="5" t="s">
        <v>240</v>
      </c>
      <c r="T1079" s="5" t="s">
        <v>296</v>
      </c>
      <c r="U1079" s="5" t="s">
        <v>244</v>
      </c>
      <c r="V1079" s="5" t="s">
        <v>240</v>
      </c>
      <c r="Y1079" s="5" t="s">
        <v>240</v>
      </c>
      <c r="Z1079" s="6" t="s">
        <v>298</v>
      </c>
      <c r="AB1079" s="6" t="s">
        <v>240</v>
      </c>
      <c r="AE1079" s="6" t="s">
        <v>299</v>
      </c>
      <c r="AF1079" s="5" t="s">
        <v>248</v>
      </c>
      <c r="AG1079" s="5" t="s">
        <v>249</v>
      </c>
      <c r="AW1079" s="5" t="s">
        <v>251</v>
      </c>
      <c r="AX1079" s="5" t="s">
        <v>240</v>
      </c>
      <c r="AY1079" s="5" t="s">
        <v>253</v>
      </c>
      <c r="AZ1079" s="5" t="s">
        <v>240</v>
      </c>
      <c r="BA1079" s="5" t="s">
        <v>255</v>
      </c>
      <c r="BB1079" s="5" t="s">
        <v>240</v>
      </c>
      <c r="BD1079" s="5" t="s">
        <v>240</v>
      </c>
      <c r="BF1079" s="5" t="s">
        <v>301</v>
      </c>
      <c r="BG1079" s="6" t="s">
        <v>299</v>
      </c>
      <c r="BH1079" s="5" t="s">
        <v>302</v>
      </c>
      <c r="BI1079" s="5" t="s">
        <v>303</v>
      </c>
      <c r="BJ1079" s="5" t="s">
        <v>240</v>
      </c>
      <c r="BK1079" s="8">
        <f>0</f>
        <v>0</v>
      </c>
      <c r="BL1079" s="7">
        <f>0</f>
        <v>0</v>
      </c>
      <c r="BM1079" s="5" t="s">
        <v>258</v>
      </c>
      <c r="BN1079" s="5" t="s">
        <v>259</v>
      </c>
      <c r="CB1079" s="5" t="s">
        <v>240</v>
      </c>
      <c r="CC1079" s="5" t="s">
        <v>240</v>
      </c>
      <c r="CG1079" s="5" t="s">
        <v>304</v>
      </c>
      <c r="CH1079" s="5" t="s">
        <v>305</v>
      </c>
      <c r="CI1079" s="5" t="s">
        <v>240</v>
      </c>
      <c r="CL1079" s="6" t="s">
        <v>261</v>
      </c>
      <c r="CM1079" s="5" t="s">
        <v>240</v>
      </c>
      <c r="CN1079" s="5" t="s">
        <v>263</v>
      </c>
      <c r="CO1079" s="5" t="s">
        <v>240</v>
      </c>
      <c r="CP1079" s="5" t="s">
        <v>240</v>
      </c>
      <c r="CQ1079" s="5">
        <v>0</v>
      </c>
      <c r="CR1079" s="5" t="s">
        <v>306</v>
      </c>
      <c r="CS1079" s="5" t="s">
        <v>307</v>
      </c>
      <c r="CT1079" s="5" t="s">
        <v>307</v>
      </c>
      <c r="CU1079" s="5" t="s">
        <v>260</v>
      </c>
      <c r="CX1079" s="7">
        <f>1</f>
        <v>1</v>
      </c>
      <c r="CY1079" s="7">
        <f>0</f>
        <v>0</v>
      </c>
      <c r="DA1079" s="7">
        <f>0</f>
        <v>0</v>
      </c>
      <c r="DC1079" s="5" t="s">
        <v>812</v>
      </c>
      <c r="DD1079" s="5" t="s">
        <v>240</v>
      </c>
      <c r="DF1079" s="5" t="s">
        <v>812</v>
      </c>
      <c r="DG1079" s="7">
        <f>383</f>
        <v>383</v>
      </c>
      <c r="DI1079" s="5" t="s">
        <v>240</v>
      </c>
      <c r="DJ1079" s="5" t="s">
        <v>240</v>
      </c>
      <c r="DK1079" s="5" t="s">
        <v>240</v>
      </c>
      <c r="DL1079" s="5" t="s">
        <v>240</v>
      </c>
      <c r="DP1079" s="5" t="s">
        <v>240</v>
      </c>
      <c r="DQ1079" s="5" t="s">
        <v>240</v>
      </c>
      <c r="DR1079" s="5" t="s">
        <v>240</v>
      </c>
      <c r="DS1079" s="5" t="s">
        <v>240</v>
      </c>
      <c r="DV1079" s="5" t="s">
        <v>813</v>
      </c>
      <c r="DW1079" s="5" t="s">
        <v>2292</v>
      </c>
      <c r="HO1079" s="5" t="s">
        <v>312</v>
      </c>
    </row>
    <row r="1080" spans="1:223" x14ac:dyDescent="0.4">
      <c r="A1080" s="5">
        <v>2755</v>
      </c>
      <c r="B1080" s="5">
        <v>1</v>
      </c>
      <c r="C1080" s="5">
        <v>1</v>
      </c>
      <c r="D1080" s="5" t="s">
        <v>297</v>
      </c>
      <c r="E1080" s="5" t="s">
        <v>245</v>
      </c>
      <c r="F1080" s="5" t="s">
        <v>254</v>
      </c>
      <c r="G1080" s="5" t="s">
        <v>240</v>
      </c>
      <c r="H1080" s="6" t="s">
        <v>6197</v>
      </c>
      <c r="I1080" s="5" t="s">
        <v>295</v>
      </c>
      <c r="J1080" s="8">
        <f>4385</f>
        <v>4385</v>
      </c>
      <c r="K1080" s="5" t="s">
        <v>308</v>
      </c>
      <c r="L1080" s="7">
        <f>1</f>
        <v>1</v>
      </c>
      <c r="M1080" s="7">
        <f>1</f>
        <v>1</v>
      </c>
      <c r="N1080" s="5" t="s">
        <v>242</v>
      </c>
      <c r="O1080" s="5">
        <v>1</v>
      </c>
      <c r="P1080" s="5" t="s">
        <v>294</v>
      </c>
      <c r="Q1080" s="5" t="s">
        <v>266</v>
      </c>
      <c r="R1080" s="5" t="s">
        <v>240</v>
      </c>
      <c r="S1080" s="5" t="s">
        <v>240</v>
      </c>
      <c r="T1080" s="5" t="s">
        <v>296</v>
      </c>
      <c r="U1080" s="5" t="s">
        <v>244</v>
      </c>
      <c r="V1080" s="5" t="s">
        <v>240</v>
      </c>
      <c r="Y1080" s="5" t="s">
        <v>240</v>
      </c>
      <c r="Z1080" s="6" t="s">
        <v>298</v>
      </c>
      <c r="AB1080" s="6" t="s">
        <v>240</v>
      </c>
      <c r="AE1080" s="6" t="s">
        <v>299</v>
      </c>
      <c r="AF1080" s="5" t="s">
        <v>248</v>
      </c>
      <c r="AG1080" s="5" t="s">
        <v>249</v>
      </c>
      <c r="AW1080" s="5" t="s">
        <v>251</v>
      </c>
      <c r="AX1080" s="5" t="s">
        <v>240</v>
      </c>
      <c r="AY1080" s="5" t="s">
        <v>253</v>
      </c>
      <c r="AZ1080" s="5" t="s">
        <v>240</v>
      </c>
      <c r="BA1080" s="5" t="s">
        <v>255</v>
      </c>
      <c r="BB1080" s="5" t="s">
        <v>240</v>
      </c>
      <c r="BD1080" s="5" t="s">
        <v>240</v>
      </c>
      <c r="BF1080" s="5" t="s">
        <v>301</v>
      </c>
      <c r="BG1080" s="6" t="s">
        <v>299</v>
      </c>
      <c r="BH1080" s="5" t="s">
        <v>302</v>
      </c>
      <c r="BI1080" s="5" t="s">
        <v>303</v>
      </c>
      <c r="BJ1080" s="5" t="s">
        <v>240</v>
      </c>
      <c r="BK1080" s="8">
        <f>0</f>
        <v>0</v>
      </c>
      <c r="BL1080" s="7">
        <f>0</f>
        <v>0</v>
      </c>
      <c r="BM1080" s="5" t="s">
        <v>258</v>
      </c>
      <c r="BN1080" s="5" t="s">
        <v>259</v>
      </c>
      <c r="CB1080" s="5" t="s">
        <v>240</v>
      </c>
      <c r="CC1080" s="5" t="s">
        <v>240</v>
      </c>
      <c r="CG1080" s="5" t="s">
        <v>304</v>
      </c>
      <c r="CH1080" s="5" t="s">
        <v>305</v>
      </c>
      <c r="CI1080" s="5" t="s">
        <v>240</v>
      </c>
      <c r="CL1080" s="6" t="s">
        <v>261</v>
      </c>
      <c r="CM1080" s="5" t="s">
        <v>240</v>
      </c>
      <c r="CN1080" s="5" t="s">
        <v>263</v>
      </c>
      <c r="CO1080" s="5" t="s">
        <v>240</v>
      </c>
      <c r="CP1080" s="5" t="s">
        <v>240</v>
      </c>
      <c r="CQ1080" s="5">
        <v>0</v>
      </c>
      <c r="CR1080" s="5" t="s">
        <v>306</v>
      </c>
      <c r="CS1080" s="5" t="s">
        <v>307</v>
      </c>
      <c r="CT1080" s="5" t="s">
        <v>307</v>
      </c>
      <c r="CU1080" s="5" t="s">
        <v>260</v>
      </c>
      <c r="CX1080" s="7">
        <f>1</f>
        <v>1</v>
      </c>
      <c r="CY1080" s="7">
        <f>0</f>
        <v>0</v>
      </c>
      <c r="DA1080" s="7">
        <f>0</f>
        <v>0</v>
      </c>
      <c r="DC1080" s="5" t="s">
        <v>812</v>
      </c>
      <c r="DD1080" s="5" t="s">
        <v>240</v>
      </c>
      <c r="DF1080" s="5" t="s">
        <v>812</v>
      </c>
      <c r="DG1080" s="7">
        <f>305</f>
        <v>305</v>
      </c>
      <c r="DI1080" s="5" t="s">
        <v>240</v>
      </c>
      <c r="DJ1080" s="5" t="s">
        <v>240</v>
      </c>
      <c r="DK1080" s="5" t="s">
        <v>240</v>
      </c>
      <c r="DL1080" s="5" t="s">
        <v>240</v>
      </c>
      <c r="DP1080" s="5" t="s">
        <v>240</v>
      </c>
      <c r="DQ1080" s="5" t="s">
        <v>240</v>
      </c>
      <c r="DR1080" s="5" t="s">
        <v>240</v>
      </c>
      <c r="DS1080" s="5" t="s">
        <v>240</v>
      </c>
      <c r="DV1080" s="5" t="s">
        <v>813</v>
      </c>
      <c r="DW1080" s="5" t="s">
        <v>2294</v>
      </c>
      <c r="HO1080" s="5" t="s">
        <v>312</v>
      </c>
    </row>
    <row r="1081" spans="1:223" x14ac:dyDescent="0.4">
      <c r="A1081" s="5">
        <v>2756</v>
      </c>
      <c r="B1081" s="5">
        <v>1</v>
      </c>
      <c r="C1081" s="5">
        <v>1</v>
      </c>
      <c r="D1081" s="5" t="s">
        <v>297</v>
      </c>
      <c r="E1081" s="5" t="s">
        <v>245</v>
      </c>
      <c r="F1081" s="5" t="s">
        <v>254</v>
      </c>
      <c r="G1081" s="5" t="s">
        <v>240</v>
      </c>
      <c r="H1081" s="6" t="s">
        <v>5230</v>
      </c>
      <c r="I1081" s="5" t="s">
        <v>295</v>
      </c>
      <c r="J1081" s="8">
        <f>338</f>
        <v>338</v>
      </c>
      <c r="K1081" s="5" t="s">
        <v>308</v>
      </c>
      <c r="L1081" s="7">
        <f>1</f>
        <v>1</v>
      </c>
      <c r="M1081" s="7">
        <f>1</f>
        <v>1</v>
      </c>
      <c r="N1081" s="5" t="s">
        <v>242</v>
      </c>
      <c r="O1081" s="5">
        <v>1</v>
      </c>
      <c r="P1081" s="5" t="s">
        <v>294</v>
      </c>
      <c r="Q1081" s="5" t="s">
        <v>266</v>
      </c>
      <c r="R1081" s="5" t="s">
        <v>240</v>
      </c>
      <c r="S1081" s="5" t="s">
        <v>240</v>
      </c>
      <c r="T1081" s="5" t="s">
        <v>296</v>
      </c>
      <c r="U1081" s="5" t="s">
        <v>244</v>
      </c>
      <c r="V1081" s="5" t="s">
        <v>240</v>
      </c>
      <c r="Y1081" s="5" t="s">
        <v>240</v>
      </c>
      <c r="Z1081" s="6" t="s">
        <v>298</v>
      </c>
      <c r="AB1081" s="6" t="s">
        <v>240</v>
      </c>
      <c r="AE1081" s="6" t="s">
        <v>299</v>
      </c>
      <c r="AF1081" s="5" t="s">
        <v>248</v>
      </c>
      <c r="AG1081" s="5" t="s">
        <v>249</v>
      </c>
      <c r="AW1081" s="5" t="s">
        <v>251</v>
      </c>
      <c r="AX1081" s="5" t="s">
        <v>240</v>
      </c>
      <c r="AY1081" s="5" t="s">
        <v>253</v>
      </c>
      <c r="AZ1081" s="5" t="s">
        <v>240</v>
      </c>
      <c r="BA1081" s="5" t="s">
        <v>255</v>
      </c>
      <c r="BB1081" s="5" t="s">
        <v>240</v>
      </c>
      <c r="BD1081" s="5" t="s">
        <v>240</v>
      </c>
      <c r="BF1081" s="5" t="s">
        <v>301</v>
      </c>
      <c r="BG1081" s="6" t="s">
        <v>299</v>
      </c>
      <c r="BH1081" s="5" t="s">
        <v>302</v>
      </c>
      <c r="BI1081" s="5" t="s">
        <v>303</v>
      </c>
      <c r="BJ1081" s="5" t="s">
        <v>240</v>
      </c>
      <c r="BK1081" s="8">
        <f>0</f>
        <v>0</v>
      </c>
      <c r="BL1081" s="7">
        <f>0</f>
        <v>0</v>
      </c>
      <c r="BM1081" s="5" t="s">
        <v>258</v>
      </c>
      <c r="BN1081" s="5" t="s">
        <v>259</v>
      </c>
      <c r="CB1081" s="5" t="s">
        <v>240</v>
      </c>
      <c r="CC1081" s="5" t="s">
        <v>240</v>
      </c>
      <c r="CG1081" s="5" t="s">
        <v>304</v>
      </c>
      <c r="CH1081" s="5" t="s">
        <v>305</v>
      </c>
      <c r="CI1081" s="5" t="s">
        <v>240</v>
      </c>
      <c r="CL1081" s="6" t="s">
        <v>261</v>
      </c>
      <c r="CM1081" s="5" t="s">
        <v>240</v>
      </c>
      <c r="CN1081" s="5" t="s">
        <v>263</v>
      </c>
      <c r="CO1081" s="5" t="s">
        <v>240</v>
      </c>
      <c r="CP1081" s="5" t="s">
        <v>240</v>
      </c>
      <c r="CQ1081" s="5">
        <v>0</v>
      </c>
      <c r="CR1081" s="5" t="s">
        <v>306</v>
      </c>
      <c r="CS1081" s="5" t="s">
        <v>307</v>
      </c>
      <c r="CT1081" s="5" t="s">
        <v>307</v>
      </c>
      <c r="CU1081" s="5" t="s">
        <v>260</v>
      </c>
      <c r="CX1081" s="7">
        <f>1</f>
        <v>1</v>
      </c>
      <c r="CY1081" s="7">
        <f>0</f>
        <v>0</v>
      </c>
      <c r="DA1081" s="7">
        <f>0</f>
        <v>0</v>
      </c>
      <c r="DC1081" s="5" t="s">
        <v>812</v>
      </c>
      <c r="DD1081" s="5" t="s">
        <v>240</v>
      </c>
      <c r="DF1081" s="5" t="s">
        <v>812</v>
      </c>
      <c r="DG1081" s="7">
        <f>2614</f>
        <v>2614</v>
      </c>
      <c r="DI1081" s="5" t="s">
        <v>240</v>
      </c>
      <c r="DJ1081" s="5" t="s">
        <v>240</v>
      </c>
      <c r="DK1081" s="5" t="s">
        <v>240</v>
      </c>
      <c r="DL1081" s="5" t="s">
        <v>240</v>
      </c>
      <c r="DP1081" s="5" t="s">
        <v>240</v>
      </c>
      <c r="DQ1081" s="5" t="s">
        <v>240</v>
      </c>
      <c r="DR1081" s="5" t="s">
        <v>240</v>
      </c>
      <c r="DS1081" s="5" t="s">
        <v>240</v>
      </c>
      <c r="DV1081" s="5" t="s">
        <v>813</v>
      </c>
      <c r="DW1081" s="5" t="s">
        <v>2296</v>
      </c>
      <c r="HO1081" s="5" t="s">
        <v>312</v>
      </c>
    </row>
    <row r="1082" spans="1:223" x14ac:dyDescent="0.4">
      <c r="A1082" s="5">
        <v>2757</v>
      </c>
      <c r="B1082" s="5">
        <v>1</v>
      </c>
      <c r="C1082" s="5">
        <v>1</v>
      </c>
      <c r="D1082" s="5" t="s">
        <v>297</v>
      </c>
      <c r="E1082" s="5" t="s">
        <v>245</v>
      </c>
      <c r="F1082" s="5" t="s">
        <v>254</v>
      </c>
      <c r="G1082" s="5" t="s">
        <v>240</v>
      </c>
      <c r="H1082" s="6" t="s">
        <v>5229</v>
      </c>
      <c r="I1082" s="5" t="s">
        <v>295</v>
      </c>
      <c r="J1082" s="8">
        <f>1850</f>
        <v>1850</v>
      </c>
      <c r="K1082" s="5" t="s">
        <v>308</v>
      </c>
      <c r="L1082" s="7">
        <f>1</f>
        <v>1</v>
      </c>
      <c r="M1082" s="7">
        <f>1</f>
        <v>1</v>
      </c>
      <c r="N1082" s="5" t="s">
        <v>242</v>
      </c>
      <c r="O1082" s="5">
        <v>1</v>
      </c>
      <c r="P1082" s="5" t="s">
        <v>294</v>
      </c>
      <c r="Q1082" s="5" t="s">
        <v>266</v>
      </c>
      <c r="R1082" s="5" t="s">
        <v>240</v>
      </c>
      <c r="S1082" s="5" t="s">
        <v>240</v>
      </c>
      <c r="T1082" s="5" t="s">
        <v>296</v>
      </c>
      <c r="U1082" s="5" t="s">
        <v>244</v>
      </c>
      <c r="V1082" s="5" t="s">
        <v>240</v>
      </c>
      <c r="Y1082" s="5" t="s">
        <v>240</v>
      </c>
      <c r="Z1082" s="6" t="s">
        <v>298</v>
      </c>
      <c r="AB1082" s="6" t="s">
        <v>240</v>
      </c>
      <c r="AE1082" s="6" t="s">
        <v>299</v>
      </c>
      <c r="AF1082" s="5" t="s">
        <v>248</v>
      </c>
      <c r="AG1082" s="5" t="s">
        <v>249</v>
      </c>
      <c r="AW1082" s="5" t="s">
        <v>251</v>
      </c>
      <c r="AX1082" s="5" t="s">
        <v>240</v>
      </c>
      <c r="AY1082" s="5" t="s">
        <v>253</v>
      </c>
      <c r="AZ1082" s="5" t="s">
        <v>240</v>
      </c>
      <c r="BA1082" s="5" t="s">
        <v>255</v>
      </c>
      <c r="BB1082" s="5" t="s">
        <v>240</v>
      </c>
      <c r="BD1082" s="5" t="s">
        <v>240</v>
      </c>
      <c r="BF1082" s="5" t="s">
        <v>301</v>
      </c>
      <c r="BG1082" s="6" t="s">
        <v>299</v>
      </c>
      <c r="BH1082" s="5" t="s">
        <v>302</v>
      </c>
      <c r="BI1082" s="5" t="s">
        <v>303</v>
      </c>
      <c r="BJ1082" s="5" t="s">
        <v>240</v>
      </c>
      <c r="BK1082" s="8">
        <f>0</f>
        <v>0</v>
      </c>
      <c r="BL1082" s="7">
        <f>0</f>
        <v>0</v>
      </c>
      <c r="BM1082" s="5" t="s">
        <v>258</v>
      </c>
      <c r="BN1082" s="5" t="s">
        <v>259</v>
      </c>
      <c r="CB1082" s="5" t="s">
        <v>240</v>
      </c>
      <c r="CC1082" s="5" t="s">
        <v>240</v>
      </c>
      <c r="CG1082" s="5" t="s">
        <v>304</v>
      </c>
      <c r="CH1082" s="5" t="s">
        <v>305</v>
      </c>
      <c r="CI1082" s="5" t="s">
        <v>240</v>
      </c>
      <c r="CL1082" s="6" t="s">
        <v>261</v>
      </c>
      <c r="CM1082" s="5" t="s">
        <v>240</v>
      </c>
      <c r="CN1082" s="5" t="s">
        <v>263</v>
      </c>
      <c r="CO1082" s="5" t="s">
        <v>240</v>
      </c>
      <c r="CP1082" s="5" t="s">
        <v>240</v>
      </c>
      <c r="CQ1082" s="5">
        <v>0</v>
      </c>
      <c r="CR1082" s="5" t="s">
        <v>306</v>
      </c>
      <c r="CS1082" s="5" t="s">
        <v>307</v>
      </c>
      <c r="CT1082" s="5" t="s">
        <v>307</v>
      </c>
      <c r="CU1082" s="5" t="s">
        <v>260</v>
      </c>
      <c r="CX1082" s="7">
        <f>1</f>
        <v>1</v>
      </c>
      <c r="CY1082" s="7">
        <f>0</f>
        <v>0</v>
      </c>
      <c r="DA1082" s="7">
        <f>0</f>
        <v>0</v>
      </c>
      <c r="DC1082" s="5" t="s">
        <v>812</v>
      </c>
      <c r="DD1082" s="5" t="s">
        <v>240</v>
      </c>
      <c r="DF1082" s="5" t="s">
        <v>812</v>
      </c>
      <c r="DG1082" s="7">
        <f>1200</f>
        <v>1200</v>
      </c>
      <c r="DI1082" s="5" t="s">
        <v>240</v>
      </c>
      <c r="DJ1082" s="5" t="s">
        <v>240</v>
      </c>
      <c r="DK1082" s="5" t="s">
        <v>240</v>
      </c>
      <c r="DL1082" s="5" t="s">
        <v>240</v>
      </c>
      <c r="DP1082" s="5" t="s">
        <v>240</v>
      </c>
      <c r="DQ1082" s="5" t="s">
        <v>240</v>
      </c>
      <c r="DR1082" s="5" t="s">
        <v>240</v>
      </c>
      <c r="DS1082" s="5" t="s">
        <v>240</v>
      </c>
      <c r="DV1082" s="5" t="s">
        <v>813</v>
      </c>
      <c r="DW1082" s="5" t="s">
        <v>2298</v>
      </c>
      <c r="HO1082" s="5" t="s">
        <v>312</v>
      </c>
    </row>
    <row r="1083" spans="1:223" x14ac:dyDescent="0.4">
      <c r="A1083" s="5">
        <v>2758</v>
      </c>
      <c r="B1083" s="5">
        <v>1</v>
      </c>
      <c r="C1083" s="5">
        <v>1</v>
      </c>
      <c r="D1083" s="5" t="s">
        <v>297</v>
      </c>
      <c r="E1083" s="5" t="s">
        <v>245</v>
      </c>
      <c r="F1083" s="5" t="s">
        <v>254</v>
      </c>
      <c r="G1083" s="5" t="s">
        <v>240</v>
      </c>
      <c r="H1083" s="6" t="s">
        <v>5228</v>
      </c>
      <c r="I1083" s="5" t="s">
        <v>295</v>
      </c>
      <c r="J1083" s="8">
        <f>384</f>
        <v>384</v>
      </c>
      <c r="K1083" s="5" t="s">
        <v>308</v>
      </c>
      <c r="L1083" s="7">
        <f>1</f>
        <v>1</v>
      </c>
      <c r="M1083" s="7">
        <f>1</f>
        <v>1</v>
      </c>
      <c r="N1083" s="5" t="s">
        <v>242</v>
      </c>
      <c r="O1083" s="5">
        <v>1</v>
      </c>
      <c r="P1083" s="5" t="s">
        <v>294</v>
      </c>
      <c r="Q1083" s="5" t="s">
        <v>266</v>
      </c>
      <c r="R1083" s="5" t="s">
        <v>240</v>
      </c>
      <c r="S1083" s="5" t="s">
        <v>240</v>
      </c>
      <c r="T1083" s="5" t="s">
        <v>296</v>
      </c>
      <c r="U1083" s="5" t="s">
        <v>244</v>
      </c>
      <c r="V1083" s="5" t="s">
        <v>240</v>
      </c>
      <c r="Y1083" s="5" t="s">
        <v>240</v>
      </c>
      <c r="Z1083" s="6" t="s">
        <v>298</v>
      </c>
      <c r="AB1083" s="6" t="s">
        <v>240</v>
      </c>
      <c r="AE1083" s="6" t="s">
        <v>299</v>
      </c>
      <c r="AF1083" s="5" t="s">
        <v>248</v>
      </c>
      <c r="AG1083" s="5" t="s">
        <v>249</v>
      </c>
      <c r="AW1083" s="5" t="s">
        <v>251</v>
      </c>
      <c r="AX1083" s="5" t="s">
        <v>240</v>
      </c>
      <c r="AY1083" s="5" t="s">
        <v>253</v>
      </c>
      <c r="AZ1083" s="5" t="s">
        <v>240</v>
      </c>
      <c r="BA1083" s="5" t="s">
        <v>255</v>
      </c>
      <c r="BB1083" s="5" t="s">
        <v>240</v>
      </c>
      <c r="BD1083" s="5" t="s">
        <v>240</v>
      </c>
      <c r="BF1083" s="5" t="s">
        <v>301</v>
      </c>
      <c r="BG1083" s="6" t="s">
        <v>299</v>
      </c>
      <c r="BH1083" s="5" t="s">
        <v>302</v>
      </c>
      <c r="BI1083" s="5" t="s">
        <v>303</v>
      </c>
      <c r="BJ1083" s="5" t="s">
        <v>240</v>
      </c>
      <c r="BK1083" s="8">
        <f>0</f>
        <v>0</v>
      </c>
      <c r="BL1083" s="7">
        <f>0</f>
        <v>0</v>
      </c>
      <c r="BM1083" s="5" t="s">
        <v>258</v>
      </c>
      <c r="BN1083" s="5" t="s">
        <v>259</v>
      </c>
      <c r="CB1083" s="5" t="s">
        <v>240</v>
      </c>
      <c r="CC1083" s="5" t="s">
        <v>240</v>
      </c>
      <c r="CG1083" s="5" t="s">
        <v>304</v>
      </c>
      <c r="CH1083" s="5" t="s">
        <v>305</v>
      </c>
      <c r="CI1083" s="5" t="s">
        <v>240</v>
      </c>
      <c r="CL1083" s="6" t="s">
        <v>261</v>
      </c>
      <c r="CM1083" s="5" t="s">
        <v>240</v>
      </c>
      <c r="CN1083" s="5" t="s">
        <v>263</v>
      </c>
      <c r="CO1083" s="5" t="s">
        <v>240</v>
      </c>
      <c r="CP1083" s="5" t="s">
        <v>240</v>
      </c>
      <c r="CQ1083" s="5">
        <v>0</v>
      </c>
      <c r="CR1083" s="5" t="s">
        <v>306</v>
      </c>
      <c r="CS1083" s="5" t="s">
        <v>307</v>
      </c>
      <c r="CT1083" s="5" t="s">
        <v>307</v>
      </c>
      <c r="CU1083" s="5" t="s">
        <v>260</v>
      </c>
      <c r="CX1083" s="7">
        <f>1</f>
        <v>1</v>
      </c>
      <c r="CY1083" s="7">
        <f>0</f>
        <v>0</v>
      </c>
      <c r="DA1083" s="7">
        <f>0</f>
        <v>0</v>
      </c>
      <c r="DC1083" s="5" t="s">
        <v>812</v>
      </c>
      <c r="DD1083" s="5" t="s">
        <v>240</v>
      </c>
      <c r="DF1083" s="5" t="s">
        <v>812</v>
      </c>
      <c r="DG1083" s="7">
        <f>2153</f>
        <v>2153</v>
      </c>
      <c r="DI1083" s="5" t="s">
        <v>240</v>
      </c>
      <c r="DJ1083" s="5" t="s">
        <v>240</v>
      </c>
      <c r="DK1083" s="5" t="s">
        <v>240</v>
      </c>
      <c r="DL1083" s="5" t="s">
        <v>240</v>
      </c>
      <c r="DP1083" s="5" t="s">
        <v>240</v>
      </c>
      <c r="DQ1083" s="5" t="s">
        <v>240</v>
      </c>
      <c r="DR1083" s="5" t="s">
        <v>240</v>
      </c>
      <c r="DS1083" s="5" t="s">
        <v>240</v>
      </c>
      <c r="DV1083" s="5" t="s">
        <v>813</v>
      </c>
      <c r="DW1083" s="5" t="s">
        <v>2300</v>
      </c>
      <c r="HO1083" s="5" t="s">
        <v>312</v>
      </c>
    </row>
    <row r="1084" spans="1:223" x14ac:dyDescent="0.4">
      <c r="A1084" s="5">
        <v>2759</v>
      </c>
      <c r="B1084" s="5">
        <v>1</v>
      </c>
      <c r="C1084" s="5">
        <v>1</v>
      </c>
      <c r="D1084" s="5" t="s">
        <v>297</v>
      </c>
      <c r="E1084" s="5" t="s">
        <v>245</v>
      </c>
      <c r="F1084" s="5" t="s">
        <v>254</v>
      </c>
      <c r="G1084" s="5" t="s">
        <v>240</v>
      </c>
      <c r="H1084" s="6" t="s">
        <v>5227</v>
      </c>
      <c r="I1084" s="5" t="s">
        <v>295</v>
      </c>
      <c r="J1084" s="8">
        <f>4571</f>
        <v>4571</v>
      </c>
      <c r="K1084" s="5" t="s">
        <v>308</v>
      </c>
      <c r="L1084" s="7">
        <f>1</f>
        <v>1</v>
      </c>
      <c r="M1084" s="7">
        <f>1</f>
        <v>1</v>
      </c>
      <c r="N1084" s="5" t="s">
        <v>242</v>
      </c>
      <c r="O1084" s="5">
        <v>1</v>
      </c>
      <c r="P1084" s="5" t="s">
        <v>294</v>
      </c>
      <c r="Q1084" s="5" t="s">
        <v>266</v>
      </c>
      <c r="R1084" s="5" t="s">
        <v>240</v>
      </c>
      <c r="S1084" s="5" t="s">
        <v>240</v>
      </c>
      <c r="T1084" s="5" t="s">
        <v>296</v>
      </c>
      <c r="U1084" s="5" t="s">
        <v>244</v>
      </c>
      <c r="V1084" s="5" t="s">
        <v>240</v>
      </c>
      <c r="Y1084" s="5" t="s">
        <v>240</v>
      </c>
      <c r="Z1084" s="6" t="s">
        <v>298</v>
      </c>
      <c r="AB1084" s="6" t="s">
        <v>240</v>
      </c>
      <c r="AE1084" s="6" t="s">
        <v>299</v>
      </c>
      <c r="AF1084" s="5" t="s">
        <v>248</v>
      </c>
      <c r="AG1084" s="5" t="s">
        <v>249</v>
      </c>
      <c r="AW1084" s="5" t="s">
        <v>251</v>
      </c>
      <c r="AX1084" s="5" t="s">
        <v>240</v>
      </c>
      <c r="AY1084" s="5" t="s">
        <v>253</v>
      </c>
      <c r="AZ1084" s="5" t="s">
        <v>240</v>
      </c>
      <c r="BA1084" s="5" t="s">
        <v>255</v>
      </c>
      <c r="BB1084" s="5" t="s">
        <v>240</v>
      </c>
      <c r="BD1084" s="5" t="s">
        <v>240</v>
      </c>
      <c r="BF1084" s="5" t="s">
        <v>301</v>
      </c>
      <c r="BG1084" s="6" t="s">
        <v>299</v>
      </c>
      <c r="BH1084" s="5" t="s">
        <v>302</v>
      </c>
      <c r="BI1084" s="5" t="s">
        <v>303</v>
      </c>
      <c r="BJ1084" s="5" t="s">
        <v>240</v>
      </c>
      <c r="BK1084" s="8">
        <f>0</f>
        <v>0</v>
      </c>
      <c r="BL1084" s="7">
        <f>0</f>
        <v>0</v>
      </c>
      <c r="BM1084" s="5" t="s">
        <v>258</v>
      </c>
      <c r="BN1084" s="5" t="s">
        <v>259</v>
      </c>
      <c r="CB1084" s="5" t="s">
        <v>240</v>
      </c>
      <c r="CC1084" s="5" t="s">
        <v>240</v>
      </c>
      <c r="CG1084" s="5" t="s">
        <v>304</v>
      </c>
      <c r="CH1084" s="5" t="s">
        <v>305</v>
      </c>
      <c r="CI1084" s="5" t="s">
        <v>240</v>
      </c>
      <c r="CL1084" s="6" t="s">
        <v>261</v>
      </c>
      <c r="CM1084" s="5" t="s">
        <v>240</v>
      </c>
      <c r="CN1084" s="5" t="s">
        <v>263</v>
      </c>
      <c r="CO1084" s="5" t="s">
        <v>240</v>
      </c>
      <c r="CP1084" s="5" t="s">
        <v>240</v>
      </c>
      <c r="CQ1084" s="5">
        <v>0</v>
      </c>
      <c r="CR1084" s="5" t="s">
        <v>306</v>
      </c>
      <c r="CS1084" s="5" t="s">
        <v>307</v>
      </c>
      <c r="CT1084" s="5" t="s">
        <v>307</v>
      </c>
      <c r="CU1084" s="5" t="s">
        <v>260</v>
      </c>
      <c r="CX1084" s="7">
        <f>1</f>
        <v>1</v>
      </c>
      <c r="CY1084" s="7">
        <f>0</f>
        <v>0</v>
      </c>
      <c r="DA1084" s="7">
        <f>0</f>
        <v>0</v>
      </c>
      <c r="DC1084" s="5" t="s">
        <v>812</v>
      </c>
      <c r="DD1084" s="5" t="s">
        <v>240</v>
      </c>
      <c r="DF1084" s="5" t="s">
        <v>812</v>
      </c>
      <c r="DG1084" s="7">
        <f>33</f>
        <v>33</v>
      </c>
      <c r="DI1084" s="5" t="s">
        <v>240</v>
      </c>
      <c r="DJ1084" s="5" t="s">
        <v>240</v>
      </c>
      <c r="DK1084" s="5" t="s">
        <v>240</v>
      </c>
      <c r="DL1084" s="5" t="s">
        <v>240</v>
      </c>
      <c r="DP1084" s="5" t="s">
        <v>240</v>
      </c>
      <c r="DQ1084" s="5" t="s">
        <v>240</v>
      </c>
      <c r="DR1084" s="5" t="s">
        <v>240</v>
      </c>
      <c r="DS1084" s="5" t="s">
        <v>240</v>
      </c>
      <c r="DV1084" s="5" t="s">
        <v>813</v>
      </c>
      <c r="DW1084" s="5" t="s">
        <v>2302</v>
      </c>
      <c r="HO1084" s="5" t="s">
        <v>312</v>
      </c>
    </row>
    <row r="1085" spans="1:223" x14ac:dyDescent="0.4">
      <c r="A1085" s="5">
        <v>2760</v>
      </c>
      <c r="B1085" s="5">
        <v>1</v>
      </c>
      <c r="C1085" s="5">
        <v>1</v>
      </c>
      <c r="D1085" s="5" t="s">
        <v>297</v>
      </c>
      <c r="E1085" s="5" t="s">
        <v>245</v>
      </c>
      <c r="F1085" s="5" t="s">
        <v>254</v>
      </c>
      <c r="G1085" s="5" t="s">
        <v>240</v>
      </c>
      <c r="H1085" s="6" t="s">
        <v>5226</v>
      </c>
      <c r="I1085" s="5" t="s">
        <v>295</v>
      </c>
      <c r="J1085" s="8">
        <f>3019</f>
        <v>3019</v>
      </c>
      <c r="K1085" s="5" t="s">
        <v>308</v>
      </c>
      <c r="L1085" s="7">
        <f>1</f>
        <v>1</v>
      </c>
      <c r="M1085" s="7">
        <f>1</f>
        <v>1</v>
      </c>
      <c r="N1085" s="5" t="s">
        <v>242</v>
      </c>
      <c r="O1085" s="5">
        <v>1</v>
      </c>
      <c r="P1085" s="5" t="s">
        <v>294</v>
      </c>
      <c r="Q1085" s="5" t="s">
        <v>266</v>
      </c>
      <c r="R1085" s="5" t="s">
        <v>240</v>
      </c>
      <c r="S1085" s="5" t="s">
        <v>240</v>
      </c>
      <c r="T1085" s="5" t="s">
        <v>296</v>
      </c>
      <c r="U1085" s="5" t="s">
        <v>244</v>
      </c>
      <c r="V1085" s="5" t="s">
        <v>240</v>
      </c>
      <c r="Y1085" s="5" t="s">
        <v>240</v>
      </c>
      <c r="Z1085" s="6" t="s">
        <v>298</v>
      </c>
      <c r="AB1085" s="6" t="s">
        <v>240</v>
      </c>
      <c r="AE1085" s="6" t="s">
        <v>299</v>
      </c>
      <c r="AF1085" s="5" t="s">
        <v>248</v>
      </c>
      <c r="AG1085" s="5" t="s">
        <v>249</v>
      </c>
      <c r="AW1085" s="5" t="s">
        <v>251</v>
      </c>
      <c r="AX1085" s="5" t="s">
        <v>240</v>
      </c>
      <c r="AY1085" s="5" t="s">
        <v>253</v>
      </c>
      <c r="AZ1085" s="5" t="s">
        <v>240</v>
      </c>
      <c r="BA1085" s="5" t="s">
        <v>255</v>
      </c>
      <c r="BB1085" s="5" t="s">
        <v>240</v>
      </c>
      <c r="BD1085" s="5" t="s">
        <v>240</v>
      </c>
      <c r="BF1085" s="5" t="s">
        <v>301</v>
      </c>
      <c r="BG1085" s="6" t="s">
        <v>299</v>
      </c>
      <c r="BH1085" s="5" t="s">
        <v>302</v>
      </c>
      <c r="BI1085" s="5" t="s">
        <v>303</v>
      </c>
      <c r="BJ1085" s="5" t="s">
        <v>240</v>
      </c>
      <c r="BK1085" s="8">
        <f>0</f>
        <v>0</v>
      </c>
      <c r="BL1085" s="7">
        <f>0</f>
        <v>0</v>
      </c>
      <c r="BM1085" s="5" t="s">
        <v>258</v>
      </c>
      <c r="BN1085" s="5" t="s">
        <v>259</v>
      </c>
      <c r="CB1085" s="5" t="s">
        <v>240</v>
      </c>
      <c r="CC1085" s="5" t="s">
        <v>240</v>
      </c>
      <c r="CG1085" s="5" t="s">
        <v>304</v>
      </c>
      <c r="CH1085" s="5" t="s">
        <v>305</v>
      </c>
      <c r="CI1085" s="5" t="s">
        <v>240</v>
      </c>
      <c r="CL1085" s="6" t="s">
        <v>261</v>
      </c>
      <c r="CM1085" s="5" t="s">
        <v>240</v>
      </c>
      <c r="CN1085" s="5" t="s">
        <v>263</v>
      </c>
      <c r="CO1085" s="5" t="s">
        <v>240</v>
      </c>
      <c r="CP1085" s="5" t="s">
        <v>240</v>
      </c>
      <c r="CQ1085" s="5">
        <v>0</v>
      </c>
      <c r="CR1085" s="5" t="s">
        <v>306</v>
      </c>
      <c r="CS1085" s="5" t="s">
        <v>307</v>
      </c>
      <c r="CT1085" s="5" t="s">
        <v>307</v>
      </c>
      <c r="CU1085" s="5" t="s">
        <v>260</v>
      </c>
      <c r="CX1085" s="7">
        <f>1</f>
        <v>1</v>
      </c>
      <c r="CY1085" s="7">
        <f>0</f>
        <v>0</v>
      </c>
      <c r="DA1085" s="7">
        <f>0</f>
        <v>0</v>
      </c>
      <c r="DC1085" s="5" t="s">
        <v>812</v>
      </c>
      <c r="DD1085" s="5" t="s">
        <v>240</v>
      </c>
      <c r="DF1085" s="5" t="s">
        <v>812</v>
      </c>
      <c r="DG1085" s="7">
        <f>6.86</f>
        <v>6.86</v>
      </c>
      <c r="DI1085" s="5" t="s">
        <v>240</v>
      </c>
      <c r="DJ1085" s="5" t="s">
        <v>240</v>
      </c>
      <c r="DK1085" s="5" t="s">
        <v>240</v>
      </c>
      <c r="DL1085" s="5" t="s">
        <v>240</v>
      </c>
      <c r="DP1085" s="5" t="s">
        <v>240</v>
      </c>
      <c r="DQ1085" s="5" t="s">
        <v>240</v>
      </c>
      <c r="DR1085" s="5" t="s">
        <v>240</v>
      </c>
      <c r="DS1085" s="5" t="s">
        <v>240</v>
      </c>
      <c r="DV1085" s="5" t="s">
        <v>813</v>
      </c>
      <c r="DW1085" s="5" t="s">
        <v>2304</v>
      </c>
      <c r="HO1085" s="5" t="s">
        <v>312</v>
      </c>
    </row>
    <row r="1086" spans="1:223" x14ac:dyDescent="0.4">
      <c r="A1086" s="5">
        <v>2761</v>
      </c>
      <c r="B1086" s="5">
        <v>1</v>
      </c>
      <c r="C1086" s="5">
        <v>1</v>
      </c>
      <c r="D1086" s="5" t="s">
        <v>297</v>
      </c>
      <c r="E1086" s="5" t="s">
        <v>245</v>
      </c>
      <c r="F1086" s="5" t="s">
        <v>254</v>
      </c>
      <c r="G1086" s="5" t="s">
        <v>240</v>
      </c>
      <c r="H1086" s="6" t="s">
        <v>5225</v>
      </c>
      <c r="I1086" s="5" t="s">
        <v>295</v>
      </c>
      <c r="J1086" s="8">
        <f>2977</f>
        <v>2977</v>
      </c>
      <c r="K1086" s="5" t="s">
        <v>308</v>
      </c>
      <c r="L1086" s="7">
        <f>1</f>
        <v>1</v>
      </c>
      <c r="M1086" s="7">
        <f>1</f>
        <v>1</v>
      </c>
      <c r="N1086" s="5" t="s">
        <v>242</v>
      </c>
      <c r="O1086" s="5">
        <v>1</v>
      </c>
      <c r="P1086" s="5" t="s">
        <v>294</v>
      </c>
      <c r="Q1086" s="5" t="s">
        <v>266</v>
      </c>
      <c r="R1086" s="5" t="s">
        <v>240</v>
      </c>
      <c r="S1086" s="5" t="s">
        <v>240</v>
      </c>
      <c r="T1086" s="5" t="s">
        <v>296</v>
      </c>
      <c r="U1086" s="5" t="s">
        <v>244</v>
      </c>
      <c r="V1086" s="5" t="s">
        <v>240</v>
      </c>
      <c r="Y1086" s="5" t="s">
        <v>240</v>
      </c>
      <c r="Z1086" s="6" t="s">
        <v>298</v>
      </c>
      <c r="AB1086" s="6" t="s">
        <v>240</v>
      </c>
      <c r="AE1086" s="6" t="s">
        <v>299</v>
      </c>
      <c r="AF1086" s="5" t="s">
        <v>248</v>
      </c>
      <c r="AG1086" s="5" t="s">
        <v>249</v>
      </c>
      <c r="AW1086" s="5" t="s">
        <v>251</v>
      </c>
      <c r="AX1086" s="5" t="s">
        <v>240</v>
      </c>
      <c r="AY1086" s="5" t="s">
        <v>253</v>
      </c>
      <c r="AZ1086" s="5" t="s">
        <v>240</v>
      </c>
      <c r="BA1086" s="5" t="s">
        <v>255</v>
      </c>
      <c r="BB1086" s="5" t="s">
        <v>240</v>
      </c>
      <c r="BD1086" s="5" t="s">
        <v>240</v>
      </c>
      <c r="BF1086" s="5" t="s">
        <v>301</v>
      </c>
      <c r="BG1086" s="6" t="s">
        <v>299</v>
      </c>
      <c r="BH1086" s="5" t="s">
        <v>302</v>
      </c>
      <c r="BI1086" s="5" t="s">
        <v>303</v>
      </c>
      <c r="BJ1086" s="5" t="s">
        <v>240</v>
      </c>
      <c r="BK1086" s="8">
        <f>0</f>
        <v>0</v>
      </c>
      <c r="BL1086" s="7">
        <f>0</f>
        <v>0</v>
      </c>
      <c r="BM1086" s="5" t="s">
        <v>258</v>
      </c>
      <c r="BN1086" s="5" t="s">
        <v>259</v>
      </c>
      <c r="CB1086" s="5" t="s">
        <v>240</v>
      </c>
      <c r="CC1086" s="5" t="s">
        <v>240</v>
      </c>
      <c r="CG1086" s="5" t="s">
        <v>304</v>
      </c>
      <c r="CH1086" s="5" t="s">
        <v>305</v>
      </c>
      <c r="CI1086" s="5" t="s">
        <v>240</v>
      </c>
      <c r="CL1086" s="6" t="s">
        <v>261</v>
      </c>
      <c r="CM1086" s="5" t="s">
        <v>240</v>
      </c>
      <c r="CN1086" s="5" t="s">
        <v>263</v>
      </c>
      <c r="CO1086" s="5" t="s">
        <v>240</v>
      </c>
      <c r="CP1086" s="5" t="s">
        <v>240</v>
      </c>
      <c r="CQ1086" s="5">
        <v>0</v>
      </c>
      <c r="CR1086" s="5" t="s">
        <v>306</v>
      </c>
      <c r="CS1086" s="5" t="s">
        <v>307</v>
      </c>
      <c r="CT1086" s="5" t="s">
        <v>307</v>
      </c>
      <c r="CU1086" s="5" t="s">
        <v>260</v>
      </c>
      <c r="CX1086" s="7">
        <f>1</f>
        <v>1</v>
      </c>
      <c r="CY1086" s="7">
        <f>0</f>
        <v>0</v>
      </c>
      <c r="DA1086" s="7">
        <f>0</f>
        <v>0</v>
      </c>
      <c r="DC1086" s="5" t="s">
        <v>812</v>
      </c>
      <c r="DD1086" s="5" t="s">
        <v>240</v>
      </c>
      <c r="DF1086" s="5" t="s">
        <v>812</v>
      </c>
      <c r="DG1086" s="7">
        <f>1177</f>
        <v>1177</v>
      </c>
      <c r="DI1086" s="5" t="s">
        <v>240</v>
      </c>
      <c r="DJ1086" s="5" t="s">
        <v>240</v>
      </c>
      <c r="DK1086" s="5" t="s">
        <v>240</v>
      </c>
      <c r="DL1086" s="5" t="s">
        <v>240</v>
      </c>
      <c r="DP1086" s="5" t="s">
        <v>240</v>
      </c>
      <c r="DQ1086" s="5" t="s">
        <v>240</v>
      </c>
      <c r="DR1086" s="5" t="s">
        <v>240</v>
      </c>
      <c r="DS1086" s="5" t="s">
        <v>240</v>
      </c>
      <c r="DV1086" s="5" t="s">
        <v>813</v>
      </c>
      <c r="DW1086" s="5" t="s">
        <v>2306</v>
      </c>
      <c r="HO1086" s="5" t="s">
        <v>312</v>
      </c>
    </row>
    <row r="1087" spans="1:223" x14ac:dyDescent="0.4">
      <c r="A1087" s="5">
        <v>2762</v>
      </c>
      <c r="B1087" s="5">
        <v>1</v>
      </c>
      <c r="C1087" s="5">
        <v>1</v>
      </c>
      <c r="D1087" s="5" t="s">
        <v>297</v>
      </c>
      <c r="E1087" s="5" t="s">
        <v>245</v>
      </c>
      <c r="F1087" s="5" t="s">
        <v>254</v>
      </c>
      <c r="G1087" s="5" t="s">
        <v>240</v>
      </c>
      <c r="H1087" s="6" t="s">
        <v>5224</v>
      </c>
      <c r="I1087" s="5" t="s">
        <v>295</v>
      </c>
      <c r="J1087" s="8">
        <f>2940</f>
        <v>2940</v>
      </c>
      <c r="K1087" s="5" t="s">
        <v>308</v>
      </c>
      <c r="L1087" s="7">
        <f>1</f>
        <v>1</v>
      </c>
      <c r="M1087" s="7">
        <f>1</f>
        <v>1</v>
      </c>
      <c r="N1087" s="5" t="s">
        <v>242</v>
      </c>
      <c r="O1087" s="5">
        <v>1</v>
      </c>
      <c r="P1087" s="5" t="s">
        <v>294</v>
      </c>
      <c r="Q1087" s="5" t="s">
        <v>266</v>
      </c>
      <c r="R1087" s="5" t="s">
        <v>240</v>
      </c>
      <c r="S1087" s="5" t="s">
        <v>240</v>
      </c>
      <c r="T1087" s="5" t="s">
        <v>296</v>
      </c>
      <c r="U1087" s="5" t="s">
        <v>244</v>
      </c>
      <c r="V1087" s="5" t="s">
        <v>240</v>
      </c>
      <c r="Y1087" s="5" t="s">
        <v>240</v>
      </c>
      <c r="Z1087" s="6" t="s">
        <v>298</v>
      </c>
      <c r="AB1087" s="6" t="s">
        <v>240</v>
      </c>
      <c r="AE1087" s="6" t="s">
        <v>299</v>
      </c>
      <c r="AF1087" s="5" t="s">
        <v>248</v>
      </c>
      <c r="AG1087" s="5" t="s">
        <v>249</v>
      </c>
      <c r="AW1087" s="5" t="s">
        <v>251</v>
      </c>
      <c r="AX1087" s="5" t="s">
        <v>240</v>
      </c>
      <c r="AY1087" s="5" t="s">
        <v>253</v>
      </c>
      <c r="AZ1087" s="5" t="s">
        <v>240</v>
      </c>
      <c r="BA1087" s="5" t="s">
        <v>255</v>
      </c>
      <c r="BB1087" s="5" t="s">
        <v>240</v>
      </c>
      <c r="BD1087" s="5" t="s">
        <v>240</v>
      </c>
      <c r="BF1087" s="5" t="s">
        <v>301</v>
      </c>
      <c r="BG1087" s="6" t="s">
        <v>299</v>
      </c>
      <c r="BH1087" s="5" t="s">
        <v>302</v>
      </c>
      <c r="BI1087" s="5" t="s">
        <v>303</v>
      </c>
      <c r="BJ1087" s="5" t="s">
        <v>240</v>
      </c>
      <c r="BK1087" s="8">
        <f>0</f>
        <v>0</v>
      </c>
      <c r="BL1087" s="7">
        <f>0</f>
        <v>0</v>
      </c>
      <c r="BM1087" s="5" t="s">
        <v>258</v>
      </c>
      <c r="BN1087" s="5" t="s">
        <v>259</v>
      </c>
      <c r="CB1087" s="5" t="s">
        <v>240</v>
      </c>
      <c r="CC1087" s="5" t="s">
        <v>240</v>
      </c>
      <c r="CG1087" s="5" t="s">
        <v>304</v>
      </c>
      <c r="CH1087" s="5" t="s">
        <v>305</v>
      </c>
      <c r="CI1087" s="5" t="s">
        <v>240</v>
      </c>
      <c r="CL1087" s="6" t="s">
        <v>261</v>
      </c>
      <c r="CM1087" s="5" t="s">
        <v>240</v>
      </c>
      <c r="CN1087" s="5" t="s">
        <v>263</v>
      </c>
      <c r="CO1087" s="5" t="s">
        <v>240</v>
      </c>
      <c r="CP1087" s="5" t="s">
        <v>240</v>
      </c>
      <c r="CQ1087" s="5">
        <v>0</v>
      </c>
      <c r="CR1087" s="5" t="s">
        <v>306</v>
      </c>
      <c r="CS1087" s="5" t="s">
        <v>307</v>
      </c>
      <c r="CT1087" s="5" t="s">
        <v>307</v>
      </c>
      <c r="CU1087" s="5" t="s">
        <v>260</v>
      </c>
      <c r="CX1087" s="7">
        <f>1</f>
        <v>1</v>
      </c>
      <c r="CY1087" s="7">
        <f>0</f>
        <v>0</v>
      </c>
      <c r="DA1087" s="7">
        <f>0</f>
        <v>0</v>
      </c>
      <c r="DC1087" s="5" t="s">
        <v>812</v>
      </c>
      <c r="DD1087" s="5" t="s">
        <v>240</v>
      </c>
      <c r="DF1087" s="5" t="s">
        <v>812</v>
      </c>
      <c r="DG1087" s="7">
        <f>2242</f>
        <v>2242</v>
      </c>
      <c r="DI1087" s="5" t="s">
        <v>240</v>
      </c>
      <c r="DJ1087" s="5" t="s">
        <v>240</v>
      </c>
      <c r="DK1087" s="5" t="s">
        <v>240</v>
      </c>
      <c r="DL1087" s="5" t="s">
        <v>240</v>
      </c>
      <c r="DP1087" s="5" t="s">
        <v>240</v>
      </c>
      <c r="DQ1087" s="5" t="s">
        <v>240</v>
      </c>
      <c r="DR1087" s="5" t="s">
        <v>240</v>
      </c>
      <c r="DS1087" s="5" t="s">
        <v>240</v>
      </c>
      <c r="DV1087" s="5" t="s">
        <v>813</v>
      </c>
      <c r="DW1087" s="5" t="s">
        <v>2308</v>
      </c>
      <c r="HO1087" s="5" t="s">
        <v>312</v>
      </c>
    </row>
    <row r="1088" spans="1:223" x14ac:dyDescent="0.4">
      <c r="A1088" s="5">
        <v>2763</v>
      </c>
      <c r="B1088" s="5">
        <v>1</v>
      </c>
      <c r="C1088" s="5">
        <v>1</v>
      </c>
      <c r="D1088" s="5" t="s">
        <v>297</v>
      </c>
      <c r="E1088" s="5" t="s">
        <v>245</v>
      </c>
      <c r="F1088" s="5" t="s">
        <v>254</v>
      </c>
      <c r="G1088" s="5" t="s">
        <v>240</v>
      </c>
      <c r="H1088" s="6" t="s">
        <v>6193</v>
      </c>
      <c r="I1088" s="5" t="s">
        <v>295</v>
      </c>
      <c r="J1088" s="8">
        <f>11409</f>
        <v>11409</v>
      </c>
      <c r="K1088" s="5" t="s">
        <v>308</v>
      </c>
      <c r="L1088" s="7">
        <f>1</f>
        <v>1</v>
      </c>
      <c r="M1088" s="7">
        <f>1</f>
        <v>1</v>
      </c>
      <c r="N1088" s="5" t="s">
        <v>242</v>
      </c>
      <c r="O1088" s="5">
        <v>1</v>
      </c>
      <c r="P1088" s="5" t="s">
        <v>294</v>
      </c>
      <c r="Q1088" s="5" t="s">
        <v>266</v>
      </c>
      <c r="R1088" s="5" t="s">
        <v>240</v>
      </c>
      <c r="S1088" s="5" t="s">
        <v>240</v>
      </c>
      <c r="T1088" s="5" t="s">
        <v>296</v>
      </c>
      <c r="U1088" s="5" t="s">
        <v>244</v>
      </c>
      <c r="V1088" s="5" t="s">
        <v>240</v>
      </c>
      <c r="Y1088" s="5" t="s">
        <v>240</v>
      </c>
      <c r="Z1088" s="6" t="s">
        <v>298</v>
      </c>
      <c r="AB1088" s="6" t="s">
        <v>240</v>
      </c>
      <c r="AE1088" s="6" t="s">
        <v>299</v>
      </c>
      <c r="AF1088" s="5" t="s">
        <v>248</v>
      </c>
      <c r="AG1088" s="5" t="s">
        <v>249</v>
      </c>
      <c r="AW1088" s="5" t="s">
        <v>251</v>
      </c>
      <c r="AX1088" s="5" t="s">
        <v>240</v>
      </c>
      <c r="AY1088" s="5" t="s">
        <v>253</v>
      </c>
      <c r="AZ1088" s="5" t="s">
        <v>240</v>
      </c>
      <c r="BA1088" s="5" t="s">
        <v>255</v>
      </c>
      <c r="BB1088" s="5" t="s">
        <v>240</v>
      </c>
      <c r="BD1088" s="5" t="s">
        <v>240</v>
      </c>
      <c r="BF1088" s="5" t="s">
        <v>301</v>
      </c>
      <c r="BG1088" s="6" t="s">
        <v>299</v>
      </c>
      <c r="BH1088" s="5" t="s">
        <v>302</v>
      </c>
      <c r="BI1088" s="5" t="s">
        <v>303</v>
      </c>
      <c r="BJ1088" s="5" t="s">
        <v>240</v>
      </c>
      <c r="BK1088" s="8">
        <f>0</f>
        <v>0</v>
      </c>
      <c r="BL1088" s="7">
        <f>0</f>
        <v>0</v>
      </c>
      <c r="BM1088" s="5" t="s">
        <v>258</v>
      </c>
      <c r="BN1088" s="5" t="s">
        <v>259</v>
      </c>
      <c r="CB1088" s="5" t="s">
        <v>240</v>
      </c>
      <c r="CC1088" s="5" t="s">
        <v>240</v>
      </c>
      <c r="CG1088" s="5" t="s">
        <v>304</v>
      </c>
      <c r="CH1088" s="5" t="s">
        <v>305</v>
      </c>
      <c r="CI1088" s="5" t="s">
        <v>240</v>
      </c>
      <c r="CL1088" s="6" t="s">
        <v>261</v>
      </c>
      <c r="CM1088" s="5" t="s">
        <v>240</v>
      </c>
      <c r="CN1088" s="5" t="s">
        <v>263</v>
      </c>
      <c r="CO1088" s="5" t="s">
        <v>240</v>
      </c>
      <c r="CP1088" s="5" t="s">
        <v>240</v>
      </c>
      <c r="CQ1088" s="5">
        <v>0</v>
      </c>
      <c r="CR1088" s="5" t="s">
        <v>306</v>
      </c>
      <c r="CS1088" s="5" t="s">
        <v>307</v>
      </c>
      <c r="CT1088" s="5" t="s">
        <v>307</v>
      </c>
      <c r="CU1088" s="5" t="s">
        <v>260</v>
      </c>
      <c r="CX1088" s="7">
        <f>1</f>
        <v>1</v>
      </c>
      <c r="CY1088" s="7">
        <f>0</f>
        <v>0</v>
      </c>
      <c r="DA1088" s="7">
        <f>0</f>
        <v>0</v>
      </c>
      <c r="DC1088" s="5" t="s">
        <v>812</v>
      </c>
      <c r="DD1088" s="5" t="s">
        <v>240</v>
      </c>
      <c r="DF1088" s="5" t="s">
        <v>812</v>
      </c>
      <c r="DG1088" s="7">
        <f>867</f>
        <v>867</v>
      </c>
      <c r="DI1088" s="5" t="s">
        <v>240</v>
      </c>
      <c r="DJ1088" s="5" t="s">
        <v>240</v>
      </c>
      <c r="DK1088" s="5" t="s">
        <v>240</v>
      </c>
      <c r="DL1088" s="5" t="s">
        <v>240</v>
      </c>
      <c r="DP1088" s="5" t="s">
        <v>240</v>
      </c>
      <c r="DQ1088" s="5" t="s">
        <v>240</v>
      </c>
      <c r="DR1088" s="5" t="s">
        <v>240</v>
      </c>
      <c r="DS1088" s="5" t="s">
        <v>240</v>
      </c>
      <c r="DV1088" s="5" t="s">
        <v>813</v>
      </c>
      <c r="DW1088" s="5" t="s">
        <v>2310</v>
      </c>
      <c r="HO1088" s="5" t="s">
        <v>312</v>
      </c>
    </row>
    <row r="1089" spans="1:223" x14ac:dyDescent="0.4">
      <c r="A1089" s="5">
        <v>2764</v>
      </c>
      <c r="B1089" s="5">
        <v>1</v>
      </c>
      <c r="C1089" s="5">
        <v>1</v>
      </c>
      <c r="D1089" s="5" t="s">
        <v>297</v>
      </c>
      <c r="E1089" s="5" t="s">
        <v>245</v>
      </c>
      <c r="F1089" s="5" t="s">
        <v>254</v>
      </c>
      <c r="G1089" s="5" t="s">
        <v>240</v>
      </c>
      <c r="H1089" s="6" t="s">
        <v>5221</v>
      </c>
      <c r="I1089" s="5" t="s">
        <v>295</v>
      </c>
      <c r="J1089" s="8">
        <f>3358</f>
        <v>3358</v>
      </c>
      <c r="K1089" s="5" t="s">
        <v>308</v>
      </c>
      <c r="L1089" s="7">
        <f>1</f>
        <v>1</v>
      </c>
      <c r="M1089" s="7">
        <f>1</f>
        <v>1</v>
      </c>
      <c r="N1089" s="5" t="s">
        <v>242</v>
      </c>
      <c r="O1089" s="5">
        <v>1</v>
      </c>
      <c r="P1089" s="5" t="s">
        <v>294</v>
      </c>
      <c r="Q1089" s="5" t="s">
        <v>266</v>
      </c>
      <c r="R1089" s="5" t="s">
        <v>240</v>
      </c>
      <c r="S1089" s="5" t="s">
        <v>240</v>
      </c>
      <c r="T1089" s="5" t="s">
        <v>296</v>
      </c>
      <c r="U1089" s="5" t="s">
        <v>244</v>
      </c>
      <c r="V1089" s="5" t="s">
        <v>240</v>
      </c>
      <c r="Y1089" s="5" t="s">
        <v>240</v>
      </c>
      <c r="Z1089" s="6" t="s">
        <v>298</v>
      </c>
      <c r="AB1089" s="6" t="s">
        <v>240</v>
      </c>
      <c r="AE1089" s="6" t="s">
        <v>299</v>
      </c>
      <c r="AF1089" s="5" t="s">
        <v>248</v>
      </c>
      <c r="AG1089" s="5" t="s">
        <v>249</v>
      </c>
      <c r="AW1089" s="5" t="s">
        <v>251</v>
      </c>
      <c r="AX1089" s="5" t="s">
        <v>240</v>
      </c>
      <c r="AY1089" s="5" t="s">
        <v>253</v>
      </c>
      <c r="AZ1089" s="5" t="s">
        <v>240</v>
      </c>
      <c r="BA1089" s="5" t="s">
        <v>255</v>
      </c>
      <c r="BB1089" s="5" t="s">
        <v>240</v>
      </c>
      <c r="BD1089" s="5" t="s">
        <v>240</v>
      </c>
      <c r="BF1089" s="5" t="s">
        <v>301</v>
      </c>
      <c r="BG1089" s="6" t="s">
        <v>299</v>
      </c>
      <c r="BH1089" s="5" t="s">
        <v>302</v>
      </c>
      <c r="BI1089" s="5" t="s">
        <v>303</v>
      </c>
      <c r="BJ1089" s="5" t="s">
        <v>240</v>
      </c>
      <c r="BK1089" s="8">
        <f>0</f>
        <v>0</v>
      </c>
      <c r="BL1089" s="7">
        <f>0</f>
        <v>0</v>
      </c>
      <c r="BM1089" s="5" t="s">
        <v>258</v>
      </c>
      <c r="BN1089" s="5" t="s">
        <v>259</v>
      </c>
      <c r="CB1089" s="5" t="s">
        <v>240</v>
      </c>
      <c r="CC1089" s="5" t="s">
        <v>240</v>
      </c>
      <c r="CG1089" s="5" t="s">
        <v>304</v>
      </c>
      <c r="CH1089" s="5" t="s">
        <v>305</v>
      </c>
      <c r="CI1089" s="5" t="s">
        <v>240</v>
      </c>
      <c r="CL1089" s="6" t="s">
        <v>261</v>
      </c>
      <c r="CM1089" s="5" t="s">
        <v>240</v>
      </c>
      <c r="CN1089" s="5" t="s">
        <v>263</v>
      </c>
      <c r="CO1089" s="5" t="s">
        <v>240</v>
      </c>
      <c r="CP1089" s="5" t="s">
        <v>240</v>
      </c>
      <c r="CQ1089" s="5">
        <v>0</v>
      </c>
      <c r="CR1089" s="5" t="s">
        <v>306</v>
      </c>
      <c r="CS1089" s="5" t="s">
        <v>307</v>
      </c>
      <c r="CT1089" s="5" t="s">
        <v>307</v>
      </c>
      <c r="CU1089" s="5" t="s">
        <v>260</v>
      </c>
      <c r="CX1089" s="7">
        <f>1</f>
        <v>1</v>
      </c>
      <c r="CY1089" s="7">
        <f>0</f>
        <v>0</v>
      </c>
      <c r="DA1089" s="7">
        <f>0</f>
        <v>0</v>
      </c>
      <c r="DC1089" s="5" t="s">
        <v>812</v>
      </c>
      <c r="DD1089" s="5" t="s">
        <v>240</v>
      </c>
      <c r="DF1089" s="5" t="s">
        <v>812</v>
      </c>
      <c r="DG1089" s="7">
        <f>199</f>
        <v>199</v>
      </c>
      <c r="DI1089" s="5" t="s">
        <v>240</v>
      </c>
      <c r="DJ1089" s="5" t="s">
        <v>240</v>
      </c>
      <c r="DK1089" s="5" t="s">
        <v>240</v>
      </c>
      <c r="DL1089" s="5" t="s">
        <v>240</v>
      </c>
      <c r="DP1089" s="5" t="s">
        <v>240</v>
      </c>
      <c r="DQ1089" s="5" t="s">
        <v>240</v>
      </c>
      <c r="DR1089" s="5" t="s">
        <v>240</v>
      </c>
      <c r="DS1089" s="5" t="s">
        <v>240</v>
      </c>
      <c r="DV1089" s="5" t="s">
        <v>813</v>
      </c>
      <c r="DW1089" s="5" t="s">
        <v>2312</v>
      </c>
      <c r="HO1089" s="5" t="s">
        <v>312</v>
      </c>
    </row>
    <row r="1090" spans="1:223" x14ac:dyDescent="0.4">
      <c r="A1090" s="5">
        <v>2765</v>
      </c>
      <c r="B1090" s="5">
        <v>1</v>
      </c>
      <c r="C1090" s="5">
        <v>1</v>
      </c>
      <c r="D1090" s="5" t="s">
        <v>297</v>
      </c>
      <c r="E1090" s="5" t="s">
        <v>245</v>
      </c>
      <c r="F1090" s="5" t="s">
        <v>254</v>
      </c>
      <c r="G1090" s="5" t="s">
        <v>240</v>
      </c>
      <c r="H1090" s="6" t="s">
        <v>5220</v>
      </c>
      <c r="I1090" s="5" t="s">
        <v>295</v>
      </c>
      <c r="J1090" s="8">
        <f>825</f>
        <v>825</v>
      </c>
      <c r="K1090" s="5" t="s">
        <v>308</v>
      </c>
      <c r="L1090" s="7">
        <f>1</f>
        <v>1</v>
      </c>
      <c r="M1090" s="7">
        <f>1</f>
        <v>1</v>
      </c>
      <c r="N1090" s="5" t="s">
        <v>242</v>
      </c>
      <c r="O1090" s="5">
        <v>1</v>
      </c>
      <c r="P1090" s="5" t="s">
        <v>294</v>
      </c>
      <c r="Q1090" s="5" t="s">
        <v>266</v>
      </c>
      <c r="R1090" s="5" t="s">
        <v>240</v>
      </c>
      <c r="S1090" s="5" t="s">
        <v>240</v>
      </c>
      <c r="T1090" s="5" t="s">
        <v>296</v>
      </c>
      <c r="U1090" s="5" t="s">
        <v>244</v>
      </c>
      <c r="V1090" s="5" t="s">
        <v>240</v>
      </c>
      <c r="Y1090" s="5" t="s">
        <v>240</v>
      </c>
      <c r="Z1090" s="6" t="s">
        <v>298</v>
      </c>
      <c r="AB1090" s="6" t="s">
        <v>240</v>
      </c>
      <c r="AE1090" s="6" t="s">
        <v>299</v>
      </c>
      <c r="AF1090" s="5" t="s">
        <v>248</v>
      </c>
      <c r="AG1090" s="5" t="s">
        <v>249</v>
      </c>
      <c r="AW1090" s="5" t="s">
        <v>251</v>
      </c>
      <c r="AX1090" s="5" t="s">
        <v>240</v>
      </c>
      <c r="AY1090" s="5" t="s">
        <v>253</v>
      </c>
      <c r="AZ1090" s="5" t="s">
        <v>240</v>
      </c>
      <c r="BA1090" s="5" t="s">
        <v>255</v>
      </c>
      <c r="BB1090" s="5" t="s">
        <v>240</v>
      </c>
      <c r="BD1090" s="5" t="s">
        <v>240</v>
      </c>
      <c r="BF1090" s="5" t="s">
        <v>301</v>
      </c>
      <c r="BG1090" s="6" t="s">
        <v>299</v>
      </c>
      <c r="BH1090" s="5" t="s">
        <v>302</v>
      </c>
      <c r="BI1090" s="5" t="s">
        <v>303</v>
      </c>
      <c r="BJ1090" s="5" t="s">
        <v>240</v>
      </c>
      <c r="BK1090" s="8">
        <f>0</f>
        <v>0</v>
      </c>
      <c r="BL1090" s="7">
        <f>0</f>
        <v>0</v>
      </c>
      <c r="BM1090" s="5" t="s">
        <v>258</v>
      </c>
      <c r="BN1090" s="5" t="s">
        <v>259</v>
      </c>
      <c r="CB1090" s="5" t="s">
        <v>240</v>
      </c>
      <c r="CC1090" s="5" t="s">
        <v>240</v>
      </c>
      <c r="CG1090" s="5" t="s">
        <v>304</v>
      </c>
      <c r="CH1090" s="5" t="s">
        <v>305</v>
      </c>
      <c r="CI1090" s="5" t="s">
        <v>240</v>
      </c>
      <c r="CL1090" s="6" t="s">
        <v>261</v>
      </c>
      <c r="CM1090" s="5" t="s">
        <v>240</v>
      </c>
      <c r="CN1090" s="5" t="s">
        <v>263</v>
      </c>
      <c r="CO1090" s="5" t="s">
        <v>240</v>
      </c>
      <c r="CP1090" s="5" t="s">
        <v>240</v>
      </c>
      <c r="CQ1090" s="5">
        <v>0</v>
      </c>
      <c r="CR1090" s="5" t="s">
        <v>306</v>
      </c>
      <c r="CS1090" s="5" t="s">
        <v>307</v>
      </c>
      <c r="CT1090" s="5" t="s">
        <v>307</v>
      </c>
      <c r="CU1090" s="5" t="s">
        <v>260</v>
      </c>
      <c r="CX1090" s="7">
        <f>1</f>
        <v>1</v>
      </c>
      <c r="CY1090" s="7">
        <f>0</f>
        <v>0</v>
      </c>
      <c r="DA1090" s="7">
        <f>0</f>
        <v>0</v>
      </c>
      <c r="DC1090" s="5" t="s">
        <v>812</v>
      </c>
      <c r="DD1090" s="5" t="s">
        <v>240</v>
      </c>
      <c r="DF1090" s="5" t="s">
        <v>812</v>
      </c>
      <c r="DG1090" s="7">
        <f>2771</f>
        <v>2771</v>
      </c>
      <c r="DI1090" s="5" t="s">
        <v>240</v>
      </c>
      <c r="DJ1090" s="5" t="s">
        <v>240</v>
      </c>
      <c r="DK1090" s="5" t="s">
        <v>240</v>
      </c>
      <c r="DL1090" s="5" t="s">
        <v>240</v>
      </c>
      <c r="DP1090" s="5" t="s">
        <v>240</v>
      </c>
      <c r="DQ1090" s="5" t="s">
        <v>240</v>
      </c>
      <c r="DR1090" s="5" t="s">
        <v>240</v>
      </c>
      <c r="DS1090" s="5" t="s">
        <v>240</v>
      </c>
      <c r="DV1090" s="5" t="s">
        <v>813</v>
      </c>
      <c r="DW1090" s="5" t="s">
        <v>2314</v>
      </c>
      <c r="HO1090" s="5" t="s">
        <v>312</v>
      </c>
    </row>
    <row r="1091" spans="1:223" x14ac:dyDescent="0.4">
      <c r="A1091" s="5">
        <v>2766</v>
      </c>
      <c r="B1091" s="5">
        <v>1</v>
      </c>
      <c r="C1091" s="5">
        <v>1</v>
      </c>
      <c r="D1091" s="5" t="s">
        <v>297</v>
      </c>
      <c r="E1091" s="5" t="s">
        <v>245</v>
      </c>
      <c r="F1091" s="5" t="s">
        <v>254</v>
      </c>
      <c r="G1091" s="5" t="s">
        <v>240</v>
      </c>
      <c r="H1091" s="6" t="s">
        <v>5219</v>
      </c>
      <c r="I1091" s="5" t="s">
        <v>295</v>
      </c>
      <c r="J1091" s="8">
        <f>926</f>
        <v>926</v>
      </c>
      <c r="K1091" s="5" t="s">
        <v>308</v>
      </c>
      <c r="L1091" s="7">
        <f>1</f>
        <v>1</v>
      </c>
      <c r="M1091" s="7">
        <f>1</f>
        <v>1</v>
      </c>
      <c r="N1091" s="5" t="s">
        <v>242</v>
      </c>
      <c r="O1091" s="5">
        <v>1</v>
      </c>
      <c r="P1091" s="5" t="s">
        <v>294</v>
      </c>
      <c r="Q1091" s="5" t="s">
        <v>266</v>
      </c>
      <c r="R1091" s="5" t="s">
        <v>240</v>
      </c>
      <c r="S1091" s="5" t="s">
        <v>240</v>
      </c>
      <c r="T1091" s="5" t="s">
        <v>296</v>
      </c>
      <c r="U1091" s="5" t="s">
        <v>244</v>
      </c>
      <c r="V1091" s="5" t="s">
        <v>240</v>
      </c>
      <c r="Y1091" s="5" t="s">
        <v>240</v>
      </c>
      <c r="Z1091" s="6" t="s">
        <v>298</v>
      </c>
      <c r="AB1091" s="6" t="s">
        <v>240</v>
      </c>
      <c r="AE1091" s="6" t="s">
        <v>299</v>
      </c>
      <c r="AF1091" s="5" t="s">
        <v>248</v>
      </c>
      <c r="AG1091" s="5" t="s">
        <v>249</v>
      </c>
      <c r="AW1091" s="5" t="s">
        <v>251</v>
      </c>
      <c r="AX1091" s="5" t="s">
        <v>240</v>
      </c>
      <c r="AY1091" s="5" t="s">
        <v>253</v>
      </c>
      <c r="AZ1091" s="5" t="s">
        <v>240</v>
      </c>
      <c r="BA1091" s="5" t="s">
        <v>255</v>
      </c>
      <c r="BB1091" s="5" t="s">
        <v>240</v>
      </c>
      <c r="BD1091" s="5" t="s">
        <v>240</v>
      </c>
      <c r="BF1091" s="5" t="s">
        <v>301</v>
      </c>
      <c r="BG1091" s="6" t="s">
        <v>299</v>
      </c>
      <c r="BH1091" s="5" t="s">
        <v>302</v>
      </c>
      <c r="BI1091" s="5" t="s">
        <v>303</v>
      </c>
      <c r="BJ1091" s="5" t="s">
        <v>240</v>
      </c>
      <c r="BK1091" s="8">
        <f>0</f>
        <v>0</v>
      </c>
      <c r="BL1091" s="7">
        <f>0</f>
        <v>0</v>
      </c>
      <c r="BM1091" s="5" t="s">
        <v>258</v>
      </c>
      <c r="BN1091" s="5" t="s">
        <v>259</v>
      </c>
      <c r="CB1091" s="5" t="s">
        <v>240</v>
      </c>
      <c r="CC1091" s="5" t="s">
        <v>240</v>
      </c>
      <c r="CG1091" s="5" t="s">
        <v>304</v>
      </c>
      <c r="CH1091" s="5" t="s">
        <v>305</v>
      </c>
      <c r="CI1091" s="5" t="s">
        <v>240</v>
      </c>
      <c r="CL1091" s="6" t="s">
        <v>261</v>
      </c>
      <c r="CM1091" s="5" t="s">
        <v>240</v>
      </c>
      <c r="CN1091" s="5" t="s">
        <v>263</v>
      </c>
      <c r="CO1091" s="5" t="s">
        <v>240</v>
      </c>
      <c r="CP1091" s="5" t="s">
        <v>240</v>
      </c>
      <c r="CQ1091" s="5">
        <v>0</v>
      </c>
      <c r="CR1091" s="5" t="s">
        <v>306</v>
      </c>
      <c r="CS1091" s="5" t="s">
        <v>307</v>
      </c>
      <c r="CT1091" s="5" t="s">
        <v>307</v>
      </c>
      <c r="CU1091" s="5" t="s">
        <v>260</v>
      </c>
      <c r="CX1091" s="7">
        <f>1</f>
        <v>1</v>
      </c>
      <c r="CY1091" s="7">
        <f>0</f>
        <v>0</v>
      </c>
      <c r="DA1091" s="7">
        <f>0</f>
        <v>0</v>
      </c>
      <c r="DC1091" s="5" t="s">
        <v>812</v>
      </c>
      <c r="DD1091" s="5" t="s">
        <v>240</v>
      </c>
      <c r="DF1091" s="5" t="s">
        <v>812</v>
      </c>
      <c r="DG1091" s="7">
        <f>836</f>
        <v>836</v>
      </c>
      <c r="DI1091" s="5" t="s">
        <v>240</v>
      </c>
      <c r="DJ1091" s="5" t="s">
        <v>240</v>
      </c>
      <c r="DK1091" s="5" t="s">
        <v>240</v>
      </c>
      <c r="DL1091" s="5" t="s">
        <v>240</v>
      </c>
      <c r="DP1091" s="5" t="s">
        <v>240</v>
      </c>
      <c r="DQ1091" s="5" t="s">
        <v>240</v>
      </c>
      <c r="DR1091" s="5" t="s">
        <v>240</v>
      </c>
      <c r="DS1091" s="5" t="s">
        <v>240</v>
      </c>
      <c r="DV1091" s="5" t="s">
        <v>813</v>
      </c>
      <c r="DW1091" s="5" t="s">
        <v>2316</v>
      </c>
      <c r="HO1091" s="5" t="s">
        <v>312</v>
      </c>
    </row>
    <row r="1092" spans="1:223" x14ac:dyDescent="0.4">
      <c r="A1092" s="5">
        <v>2767</v>
      </c>
      <c r="B1092" s="5">
        <v>1</v>
      </c>
      <c r="C1092" s="5">
        <v>1</v>
      </c>
      <c r="D1092" s="5" t="s">
        <v>297</v>
      </c>
      <c r="E1092" s="5" t="s">
        <v>245</v>
      </c>
      <c r="F1092" s="5" t="s">
        <v>254</v>
      </c>
      <c r="G1092" s="5" t="s">
        <v>240</v>
      </c>
      <c r="H1092" s="6" t="s">
        <v>5218</v>
      </c>
      <c r="I1092" s="5" t="s">
        <v>295</v>
      </c>
      <c r="J1092" s="8">
        <f>1982</f>
        <v>1982</v>
      </c>
      <c r="K1092" s="5" t="s">
        <v>308</v>
      </c>
      <c r="L1092" s="7">
        <f>1</f>
        <v>1</v>
      </c>
      <c r="M1092" s="7">
        <f>1</f>
        <v>1</v>
      </c>
      <c r="N1092" s="5" t="s">
        <v>242</v>
      </c>
      <c r="O1092" s="5">
        <v>1</v>
      </c>
      <c r="P1092" s="5" t="s">
        <v>294</v>
      </c>
      <c r="Q1092" s="5" t="s">
        <v>266</v>
      </c>
      <c r="R1092" s="5" t="s">
        <v>240</v>
      </c>
      <c r="S1092" s="5" t="s">
        <v>240</v>
      </c>
      <c r="T1092" s="5" t="s">
        <v>296</v>
      </c>
      <c r="U1092" s="5" t="s">
        <v>244</v>
      </c>
      <c r="V1092" s="5" t="s">
        <v>240</v>
      </c>
      <c r="Y1092" s="5" t="s">
        <v>240</v>
      </c>
      <c r="Z1092" s="6" t="s">
        <v>298</v>
      </c>
      <c r="AB1092" s="6" t="s">
        <v>240</v>
      </c>
      <c r="AE1092" s="6" t="s">
        <v>299</v>
      </c>
      <c r="AF1092" s="5" t="s">
        <v>248</v>
      </c>
      <c r="AG1092" s="5" t="s">
        <v>249</v>
      </c>
      <c r="AW1092" s="5" t="s">
        <v>251</v>
      </c>
      <c r="AX1092" s="5" t="s">
        <v>240</v>
      </c>
      <c r="AY1092" s="5" t="s">
        <v>253</v>
      </c>
      <c r="AZ1092" s="5" t="s">
        <v>240</v>
      </c>
      <c r="BA1092" s="5" t="s">
        <v>255</v>
      </c>
      <c r="BB1092" s="5" t="s">
        <v>240</v>
      </c>
      <c r="BD1092" s="5" t="s">
        <v>240</v>
      </c>
      <c r="BF1092" s="5" t="s">
        <v>301</v>
      </c>
      <c r="BG1092" s="6" t="s">
        <v>299</v>
      </c>
      <c r="BH1092" s="5" t="s">
        <v>302</v>
      </c>
      <c r="BI1092" s="5" t="s">
        <v>303</v>
      </c>
      <c r="BJ1092" s="5" t="s">
        <v>240</v>
      </c>
      <c r="BK1092" s="8">
        <f>0</f>
        <v>0</v>
      </c>
      <c r="BL1092" s="7">
        <f>0</f>
        <v>0</v>
      </c>
      <c r="BM1092" s="5" t="s">
        <v>258</v>
      </c>
      <c r="BN1092" s="5" t="s">
        <v>259</v>
      </c>
      <c r="CB1092" s="5" t="s">
        <v>240</v>
      </c>
      <c r="CC1092" s="5" t="s">
        <v>240</v>
      </c>
      <c r="CG1092" s="5" t="s">
        <v>304</v>
      </c>
      <c r="CH1092" s="5" t="s">
        <v>305</v>
      </c>
      <c r="CI1092" s="5" t="s">
        <v>240</v>
      </c>
      <c r="CL1092" s="6" t="s">
        <v>261</v>
      </c>
      <c r="CM1092" s="5" t="s">
        <v>240</v>
      </c>
      <c r="CN1092" s="5" t="s">
        <v>263</v>
      </c>
      <c r="CO1092" s="5" t="s">
        <v>240</v>
      </c>
      <c r="CP1092" s="5" t="s">
        <v>240</v>
      </c>
      <c r="CQ1092" s="5">
        <v>0</v>
      </c>
      <c r="CR1092" s="5" t="s">
        <v>306</v>
      </c>
      <c r="CS1092" s="5" t="s">
        <v>307</v>
      </c>
      <c r="CT1092" s="5" t="s">
        <v>307</v>
      </c>
      <c r="CU1092" s="5" t="s">
        <v>260</v>
      </c>
      <c r="CX1092" s="7">
        <f>1</f>
        <v>1</v>
      </c>
      <c r="CY1092" s="7">
        <f>0</f>
        <v>0</v>
      </c>
      <c r="DA1092" s="7">
        <f>0</f>
        <v>0</v>
      </c>
      <c r="DC1092" s="5" t="s">
        <v>812</v>
      </c>
      <c r="DD1092" s="5" t="s">
        <v>240</v>
      </c>
      <c r="DF1092" s="5" t="s">
        <v>812</v>
      </c>
      <c r="DG1092" s="7">
        <f>1107</f>
        <v>1107</v>
      </c>
      <c r="DI1092" s="5" t="s">
        <v>240</v>
      </c>
      <c r="DJ1092" s="5" t="s">
        <v>240</v>
      </c>
      <c r="DK1092" s="5" t="s">
        <v>240</v>
      </c>
      <c r="DL1092" s="5" t="s">
        <v>240</v>
      </c>
      <c r="DP1092" s="5" t="s">
        <v>240</v>
      </c>
      <c r="DQ1092" s="5" t="s">
        <v>240</v>
      </c>
      <c r="DR1092" s="5" t="s">
        <v>240</v>
      </c>
      <c r="DS1092" s="5" t="s">
        <v>240</v>
      </c>
      <c r="DV1092" s="5" t="s">
        <v>813</v>
      </c>
      <c r="DW1092" s="5" t="s">
        <v>2318</v>
      </c>
      <c r="HO1092" s="5" t="s">
        <v>312</v>
      </c>
    </row>
    <row r="1093" spans="1:223" x14ac:dyDescent="0.4">
      <c r="A1093" s="5">
        <v>2768</v>
      </c>
      <c r="B1093" s="5">
        <v>1</v>
      </c>
      <c r="C1093" s="5">
        <v>1</v>
      </c>
      <c r="D1093" s="5" t="s">
        <v>297</v>
      </c>
      <c r="E1093" s="5" t="s">
        <v>245</v>
      </c>
      <c r="F1093" s="5" t="s">
        <v>254</v>
      </c>
      <c r="G1093" s="5" t="s">
        <v>240</v>
      </c>
      <c r="H1093" s="6" t="s">
        <v>5217</v>
      </c>
      <c r="I1093" s="5" t="s">
        <v>295</v>
      </c>
      <c r="J1093" s="8">
        <f>6199</f>
        <v>6199</v>
      </c>
      <c r="K1093" s="5" t="s">
        <v>308</v>
      </c>
      <c r="L1093" s="7">
        <f>1</f>
        <v>1</v>
      </c>
      <c r="M1093" s="7">
        <f>1</f>
        <v>1</v>
      </c>
      <c r="N1093" s="5" t="s">
        <v>242</v>
      </c>
      <c r="O1093" s="5">
        <v>1</v>
      </c>
      <c r="P1093" s="5" t="s">
        <v>294</v>
      </c>
      <c r="Q1093" s="5" t="s">
        <v>266</v>
      </c>
      <c r="R1093" s="5" t="s">
        <v>240</v>
      </c>
      <c r="S1093" s="5" t="s">
        <v>240</v>
      </c>
      <c r="T1093" s="5" t="s">
        <v>296</v>
      </c>
      <c r="U1093" s="5" t="s">
        <v>244</v>
      </c>
      <c r="V1093" s="5" t="s">
        <v>240</v>
      </c>
      <c r="Y1093" s="5" t="s">
        <v>240</v>
      </c>
      <c r="Z1093" s="6" t="s">
        <v>298</v>
      </c>
      <c r="AB1093" s="6" t="s">
        <v>240</v>
      </c>
      <c r="AE1093" s="6" t="s">
        <v>299</v>
      </c>
      <c r="AF1093" s="5" t="s">
        <v>248</v>
      </c>
      <c r="AG1093" s="5" t="s">
        <v>249</v>
      </c>
      <c r="AW1093" s="5" t="s">
        <v>251</v>
      </c>
      <c r="AX1093" s="5" t="s">
        <v>240</v>
      </c>
      <c r="AY1093" s="5" t="s">
        <v>253</v>
      </c>
      <c r="AZ1093" s="5" t="s">
        <v>240</v>
      </c>
      <c r="BA1093" s="5" t="s">
        <v>255</v>
      </c>
      <c r="BB1093" s="5" t="s">
        <v>240</v>
      </c>
      <c r="BD1093" s="5" t="s">
        <v>240</v>
      </c>
      <c r="BF1093" s="5" t="s">
        <v>301</v>
      </c>
      <c r="BG1093" s="6" t="s">
        <v>299</v>
      </c>
      <c r="BH1093" s="5" t="s">
        <v>302</v>
      </c>
      <c r="BI1093" s="5" t="s">
        <v>303</v>
      </c>
      <c r="BJ1093" s="5" t="s">
        <v>240</v>
      </c>
      <c r="BK1093" s="8">
        <f>0</f>
        <v>0</v>
      </c>
      <c r="BL1093" s="7">
        <f>0</f>
        <v>0</v>
      </c>
      <c r="BM1093" s="5" t="s">
        <v>258</v>
      </c>
      <c r="BN1093" s="5" t="s">
        <v>259</v>
      </c>
      <c r="CB1093" s="5" t="s">
        <v>240</v>
      </c>
      <c r="CC1093" s="5" t="s">
        <v>240</v>
      </c>
      <c r="CG1093" s="5" t="s">
        <v>304</v>
      </c>
      <c r="CH1093" s="5" t="s">
        <v>305</v>
      </c>
      <c r="CI1093" s="5" t="s">
        <v>240</v>
      </c>
      <c r="CL1093" s="6" t="s">
        <v>261</v>
      </c>
      <c r="CM1093" s="5" t="s">
        <v>240</v>
      </c>
      <c r="CN1093" s="5" t="s">
        <v>263</v>
      </c>
      <c r="CO1093" s="5" t="s">
        <v>240</v>
      </c>
      <c r="CP1093" s="5" t="s">
        <v>240</v>
      </c>
      <c r="CQ1093" s="5">
        <v>0</v>
      </c>
      <c r="CR1093" s="5" t="s">
        <v>306</v>
      </c>
      <c r="CS1093" s="5" t="s">
        <v>307</v>
      </c>
      <c r="CT1093" s="5" t="s">
        <v>307</v>
      </c>
      <c r="CU1093" s="5" t="s">
        <v>260</v>
      </c>
      <c r="CX1093" s="7">
        <f>1</f>
        <v>1</v>
      </c>
      <c r="CY1093" s="7">
        <f>0</f>
        <v>0</v>
      </c>
      <c r="DA1093" s="7">
        <f>0</f>
        <v>0</v>
      </c>
      <c r="DC1093" s="5" t="s">
        <v>812</v>
      </c>
      <c r="DD1093" s="5" t="s">
        <v>240</v>
      </c>
      <c r="DF1093" s="5" t="s">
        <v>812</v>
      </c>
      <c r="DG1093" s="7">
        <f>1373</f>
        <v>1373</v>
      </c>
      <c r="DI1093" s="5" t="s">
        <v>240</v>
      </c>
      <c r="DJ1093" s="5" t="s">
        <v>240</v>
      </c>
      <c r="DK1093" s="5" t="s">
        <v>240</v>
      </c>
      <c r="DL1093" s="5" t="s">
        <v>240</v>
      </c>
      <c r="DP1093" s="5" t="s">
        <v>240</v>
      </c>
      <c r="DQ1093" s="5" t="s">
        <v>240</v>
      </c>
      <c r="DR1093" s="5" t="s">
        <v>240</v>
      </c>
      <c r="DS1093" s="5" t="s">
        <v>240</v>
      </c>
      <c r="DV1093" s="5" t="s">
        <v>813</v>
      </c>
      <c r="DW1093" s="5" t="s">
        <v>2320</v>
      </c>
      <c r="HO1093" s="5" t="s">
        <v>312</v>
      </c>
    </row>
    <row r="1094" spans="1:223" x14ac:dyDescent="0.4">
      <c r="A1094" s="5">
        <v>2769</v>
      </c>
      <c r="B1094" s="5">
        <v>1</v>
      </c>
      <c r="C1094" s="5">
        <v>1</v>
      </c>
      <c r="D1094" s="5" t="s">
        <v>297</v>
      </c>
      <c r="E1094" s="5" t="s">
        <v>245</v>
      </c>
      <c r="F1094" s="5" t="s">
        <v>254</v>
      </c>
      <c r="G1094" s="5" t="s">
        <v>240</v>
      </c>
      <c r="H1094" s="6" t="s">
        <v>5216</v>
      </c>
      <c r="I1094" s="5" t="s">
        <v>295</v>
      </c>
      <c r="J1094" s="8">
        <f>2967</f>
        <v>2967</v>
      </c>
      <c r="K1094" s="5" t="s">
        <v>308</v>
      </c>
      <c r="L1094" s="7">
        <f>1</f>
        <v>1</v>
      </c>
      <c r="M1094" s="7">
        <f>1</f>
        <v>1</v>
      </c>
      <c r="N1094" s="5" t="s">
        <v>242</v>
      </c>
      <c r="O1094" s="5">
        <v>1</v>
      </c>
      <c r="P1094" s="5" t="s">
        <v>294</v>
      </c>
      <c r="Q1094" s="5" t="s">
        <v>266</v>
      </c>
      <c r="R1094" s="5" t="s">
        <v>240</v>
      </c>
      <c r="S1094" s="5" t="s">
        <v>240</v>
      </c>
      <c r="T1094" s="5" t="s">
        <v>296</v>
      </c>
      <c r="U1094" s="5" t="s">
        <v>244</v>
      </c>
      <c r="V1094" s="5" t="s">
        <v>240</v>
      </c>
      <c r="Y1094" s="5" t="s">
        <v>240</v>
      </c>
      <c r="Z1094" s="6" t="s">
        <v>298</v>
      </c>
      <c r="AB1094" s="6" t="s">
        <v>240</v>
      </c>
      <c r="AE1094" s="6" t="s">
        <v>299</v>
      </c>
      <c r="AF1094" s="5" t="s">
        <v>248</v>
      </c>
      <c r="AG1094" s="5" t="s">
        <v>249</v>
      </c>
      <c r="AW1094" s="5" t="s">
        <v>251</v>
      </c>
      <c r="AX1094" s="5" t="s">
        <v>240</v>
      </c>
      <c r="AY1094" s="5" t="s">
        <v>253</v>
      </c>
      <c r="AZ1094" s="5" t="s">
        <v>240</v>
      </c>
      <c r="BA1094" s="5" t="s">
        <v>255</v>
      </c>
      <c r="BB1094" s="5" t="s">
        <v>240</v>
      </c>
      <c r="BD1094" s="5" t="s">
        <v>240</v>
      </c>
      <c r="BF1094" s="5" t="s">
        <v>301</v>
      </c>
      <c r="BG1094" s="6" t="s">
        <v>299</v>
      </c>
      <c r="BH1094" s="5" t="s">
        <v>302</v>
      </c>
      <c r="BI1094" s="5" t="s">
        <v>303</v>
      </c>
      <c r="BJ1094" s="5" t="s">
        <v>240</v>
      </c>
      <c r="BK1094" s="8">
        <f>0</f>
        <v>0</v>
      </c>
      <c r="BL1094" s="7">
        <f>0</f>
        <v>0</v>
      </c>
      <c r="BM1094" s="5" t="s">
        <v>258</v>
      </c>
      <c r="BN1094" s="5" t="s">
        <v>259</v>
      </c>
      <c r="CB1094" s="5" t="s">
        <v>240</v>
      </c>
      <c r="CC1094" s="5" t="s">
        <v>240</v>
      </c>
      <c r="CG1094" s="5" t="s">
        <v>304</v>
      </c>
      <c r="CH1094" s="5" t="s">
        <v>305</v>
      </c>
      <c r="CI1094" s="5" t="s">
        <v>240</v>
      </c>
      <c r="CL1094" s="6" t="s">
        <v>261</v>
      </c>
      <c r="CM1094" s="5" t="s">
        <v>240</v>
      </c>
      <c r="CN1094" s="5" t="s">
        <v>263</v>
      </c>
      <c r="CO1094" s="5" t="s">
        <v>240</v>
      </c>
      <c r="CP1094" s="5" t="s">
        <v>240</v>
      </c>
      <c r="CQ1094" s="5">
        <v>0</v>
      </c>
      <c r="CR1094" s="5" t="s">
        <v>306</v>
      </c>
      <c r="CS1094" s="5" t="s">
        <v>307</v>
      </c>
      <c r="CT1094" s="5" t="s">
        <v>307</v>
      </c>
      <c r="CU1094" s="5" t="s">
        <v>260</v>
      </c>
      <c r="CX1094" s="7">
        <f>1</f>
        <v>1</v>
      </c>
      <c r="CY1094" s="7">
        <f>0</f>
        <v>0</v>
      </c>
      <c r="DA1094" s="7">
        <f>0</f>
        <v>0</v>
      </c>
      <c r="DC1094" s="5" t="s">
        <v>812</v>
      </c>
      <c r="DD1094" s="5" t="s">
        <v>240</v>
      </c>
      <c r="DF1094" s="5" t="s">
        <v>812</v>
      </c>
      <c r="DG1094" s="7">
        <f>2871</f>
        <v>2871</v>
      </c>
      <c r="DI1094" s="5" t="s">
        <v>240</v>
      </c>
      <c r="DJ1094" s="5" t="s">
        <v>240</v>
      </c>
      <c r="DK1094" s="5" t="s">
        <v>240</v>
      </c>
      <c r="DL1094" s="5" t="s">
        <v>240</v>
      </c>
      <c r="DP1094" s="5" t="s">
        <v>240</v>
      </c>
      <c r="DQ1094" s="5" t="s">
        <v>240</v>
      </c>
      <c r="DR1094" s="5" t="s">
        <v>240</v>
      </c>
      <c r="DS1094" s="5" t="s">
        <v>240</v>
      </c>
      <c r="DV1094" s="5" t="s">
        <v>813</v>
      </c>
      <c r="DW1094" s="5" t="s">
        <v>2322</v>
      </c>
      <c r="HO1094" s="5" t="s">
        <v>312</v>
      </c>
    </row>
    <row r="1095" spans="1:223" x14ac:dyDescent="0.4">
      <c r="A1095" s="5">
        <v>2770</v>
      </c>
      <c r="B1095" s="5">
        <v>1</v>
      </c>
      <c r="C1095" s="5">
        <v>1</v>
      </c>
      <c r="D1095" s="5" t="s">
        <v>297</v>
      </c>
      <c r="E1095" s="5" t="s">
        <v>245</v>
      </c>
      <c r="F1095" s="5" t="s">
        <v>254</v>
      </c>
      <c r="G1095" s="5" t="s">
        <v>240</v>
      </c>
      <c r="H1095" s="6" t="s">
        <v>5215</v>
      </c>
      <c r="I1095" s="5" t="s">
        <v>295</v>
      </c>
      <c r="J1095" s="8">
        <f>1560</f>
        <v>1560</v>
      </c>
      <c r="K1095" s="5" t="s">
        <v>308</v>
      </c>
      <c r="L1095" s="7">
        <f>1</f>
        <v>1</v>
      </c>
      <c r="M1095" s="7">
        <f>1</f>
        <v>1</v>
      </c>
      <c r="N1095" s="5" t="s">
        <v>242</v>
      </c>
      <c r="O1095" s="5">
        <v>1</v>
      </c>
      <c r="P1095" s="5" t="s">
        <v>294</v>
      </c>
      <c r="Q1095" s="5" t="s">
        <v>266</v>
      </c>
      <c r="R1095" s="5" t="s">
        <v>240</v>
      </c>
      <c r="S1095" s="5" t="s">
        <v>240</v>
      </c>
      <c r="T1095" s="5" t="s">
        <v>296</v>
      </c>
      <c r="U1095" s="5" t="s">
        <v>244</v>
      </c>
      <c r="V1095" s="5" t="s">
        <v>240</v>
      </c>
      <c r="Y1095" s="5" t="s">
        <v>240</v>
      </c>
      <c r="Z1095" s="6" t="s">
        <v>298</v>
      </c>
      <c r="AB1095" s="6" t="s">
        <v>240</v>
      </c>
      <c r="AE1095" s="6" t="s">
        <v>299</v>
      </c>
      <c r="AF1095" s="5" t="s">
        <v>248</v>
      </c>
      <c r="AG1095" s="5" t="s">
        <v>249</v>
      </c>
      <c r="AW1095" s="5" t="s">
        <v>251</v>
      </c>
      <c r="AX1095" s="5" t="s">
        <v>240</v>
      </c>
      <c r="AY1095" s="5" t="s">
        <v>253</v>
      </c>
      <c r="AZ1095" s="5" t="s">
        <v>240</v>
      </c>
      <c r="BA1095" s="5" t="s">
        <v>255</v>
      </c>
      <c r="BB1095" s="5" t="s">
        <v>240</v>
      </c>
      <c r="BD1095" s="5" t="s">
        <v>240</v>
      </c>
      <c r="BF1095" s="5" t="s">
        <v>301</v>
      </c>
      <c r="BG1095" s="6" t="s">
        <v>299</v>
      </c>
      <c r="BH1095" s="5" t="s">
        <v>302</v>
      </c>
      <c r="BI1095" s="5" t="s">
        <v>303</v>
      </c>
      <c r="BJ1095" s="5" t="s">
        <v>240</v>
      </c>
      <c r="BK1095" s="8">
        <f>0</f>
        <v>0</v>
      </c>
      <c r="BL1095" s="7">
        <f>0</f>
        <v>0</v>
      </c>
      <c r="BM1095" s="5" t="s">
        <v>258</v>
      </c>
      <c r="BN1095" s="5" t="s">
        <v>259</v>
      </c>
      <c r="CB1095" s="5" t="s">
        <v>240</v>
      </c>
      <c r="CC1095" s="5" t="s">
        <v>240</v>
      </c>
      <c r="CG1095" s="5" t="s">
        <v>304</v>
      </c>
      <c r="CH1095" s="5" t="s">
        <v>305</v>
      </c>
      <c r="CI1095" s="5" t="s">
        <v>240</v>
      </c>
      <c r="CL1095" s="6" t="s">
        <v>261</v>
      </c>
      <c r="CM1095" s="5" t="s">
        <v>240</v>
      </c>
      <c r="CN1095" s="5" t="s">
        <v>263</v>
      </c>
      <c r="CO1095" s="5" t="s">
        <v>240</v>
      </c>
      <c r="CP1095" s="5" t="s">
        <v>240</v>
      </c>
      <c r="CQ1095" s="5">
        <v>0</v>
      </c>
      <c r="CR1095" s="5" t="s">
        <v>306</v>
      </c>
      <c r="CS1095" s="5" t="s">
        <v>307</v>
      </c>
      <c r="CT1095" s="5" t="s">
        <v>307</v>
      </c>
      <c r="CU1095" s="5" t="s">
        <v>260</v>
      </c>
      <c r="CX1095" s="7">
        <f>1</f>
        <v>1</v>
      </c>
      <c r="CY1095" s="7">
        <f>0</f>
        <v>0</v>
      </c>
      <c r="DA1095" s="7">
        <f>0</f>
        <v>0</v>
      </c>
      <c r="DC1095" s="5" t="s">
        <v>812</v>
      </c>
      <c r="DD1095" s="5" t="s">
        <v>240</v>
      </c>
      <c r="DF1095" s="5" t="s">
        <v>812</v>
      </c>
      <c r="DG1095" s="7">
        <f>926</f>
        <v>926</v>
      </c>
      <c r="DI1095" s="5" t="s">
        <v>240</v>
      </c>
      <c r="DJ1095" s="5" t="s">
        <v>240</v>
      </c>
      <c r="DK1095" s="5" t="s">
        <v>240</v>
      </c>
      <c r="DL1095" s="5" t="s">
        <v>240</v>
      </c>
      <c r="DP1095" s="5" t="s">
        <v>240</v>
      </c>
      <c r="DQ1095" s="5" t="s">
        <v>240</v>
      </c>
      <c r="DR1095" s="5" t="s">
        <v>240</v>
      </c>
      <c r="DS1095" s="5" t="s">
        <v>240</v>
      </c>
      <c r="DV1095" s="5" t="s">
        <v>813</v>
      </c>
      <c r="DW1095" s="5" t="s">
        <v>2324</v>
      </c>
      <c r="HO1095" s="5" t="s">
        <v>312</v>
      </c>
    </row>
    <row r="1096" spans="1:223" x14ac:dyDescent="0.4">
      <c r="A1096" s="5">
        <v>2771</v>
      </c>
      <c r="B1096" s="5">
        <v>1</v>
      </c>
      <c r="C1096" s="5">
        <v>1</v>
      </c>
      <c r="D1096" s="5" t="s">
        <v>297</v>
      </c>
      <c r="E1096" s="5" t="s">
        <v>245</v>
      </c>
      <c r="F1096" s="5" t="s">
        <v>254</v>
      </c>
      <c r="G1096" s="5" t="s">
        <v>240</v>
      </c>
      <c r="H1096" s="6" t="s">
        <v>5214</v>
      </c>
      <c r="I1096" s="5" t="s">
        <v>295</v>
      </c>
      <c r="J1096" s="8">
        <f>6076</f>
        <v>6076</v>
      </c>
      <c r="K1096" s="5" t="s">
        <v>308</v>
      </c>
      <c r="L1096" s="7">
        <f>1</f>
        <v>1</v>
      </c>
      <c r="M1096" s="7">
        <f>1</f>
        <v>1</v>
      </c>
      <c r="N1096" s="5" t="s">
        <v>242</v>
      </c>
      <c r="O1096" s="5">
        <v>1</v>
      </c>
      <c r="P1096" s="5" t="s">
        <v>294</v>
      </c>
      <c r="Q1096" s="5" t="s">
        <v>266</v>
      </c>
      <c r="R1096" s="5" t="s">
        <v>240</v>
      </c>
      <c r="S1096" s="5" t="s">
        <v>240</v>
      </c>
      <c r="T1096" s="5" t="s">
        <v>296</v>
      </c>
      <c r="U1096" s="5" t="s">
        <v>244</v>
      </c>
      <c r="V1096" s="5" t="s">
        <v>240</v>
      </c>
      <c r="Y1096" s="5" t="s">
        <v>240</v>
      </c>
      <c r="Z1096" s="6" t="s">
        <v>298</v>
      </c>
      <c r="AB1096" s="6" t="s">
        <v>240</v>
      </c>
      <c r="AE1096" s="6" t="s">
        <v>299</v>
      </c>
      <c r="AF1096" s="5" t="s">
        <v>248</v>
      </c>
      <c r="AG1096" s="5" t="s">
        <v>249</v>
      </c>
      <c r="AW1096" s="5" t="s">
        <v>251</v>
      </c>
      <c r="AX1096" s="5" t="s">
        <v>240</v>
      </c>
      <c r="AY1096" s="5" t="s">
        <v>253</v>
      </c>
      <c r="AZ1096" s="5" t="s">
        <v>240</v>
      </c>
      <c r="BA1096" s="5" t="s">
        <v>255</v>
      </c>
      <c r="BB1096" s="5" t="s">
        <v>240</v>
      </c>
      <c r="BD1096" s="5" t="s">
        <v>240</v>
      </c>
      <c r="BF1096" s="5" t="s">
        <v>301</v>
      </c>
      <c r="BG1096" s="6" t="s">
        <v>299</v>
      </c>
      <c r="BH1096" s="5" t="s">
        <v>302</v>
      </c>
      <c r="BI1096" s="5" t="s">
        <v>303</v>
      </c>
      <c r="BJ1096" s="5" t="s">
        <v>240</v>
      </c>
      <c r="BK1096" s="8">
        <f>0</f>
        <v>0</v>
      </c>
      <c r="BL1096" s="7">
        <f>0</f>
        <v>0</v>
      </c>
      <c r="BM1096" s="5" t="s">
        <v>258</v>
      </c>
      <c r="BN1096" s="5" t="s">
        <v>259</v>
      </c>
      <c r="CB1096" s="5" t="s">
        <v>240</v>
      </c>
      <c r="CC1096" s="5" t="s">
        <v>240</v>
      </c>
      <c r="CG1096" s="5" t="s">
        <v>304</v>
      </c>
      <c r="CH1096" s="5" t="s">
        <v>305</v>
      </c>
      <c r="CI1096" s="5" t="s">
        <v>240</v>
      </c>
      <c r="CL1096" s="6" t="s">
        <v>261</v>
      </c>
      <c r="CM1096" s="5" t="s">
        <v>240</v>
      </c>
      <c r="CN1096" s="5" t="s">
        <v>263</v>
      </c>
      <c r="CO1096" s="5" t="s">
        <v>240</v>
      </c>
      <c r="CP1096" s="5" t="s">
        <v>240</v>
      </c>
      <c r="CQ1096" s="5">
        <v>0</v>
      </c>
      <c r="CR1096" s="5" t="s">
        <v>306</v>
      </c>
      <c r="CS1096" s="5" t="s">
        <v>307</v>
      </c>
      <c r="CT1096" s="5" t="s">
        <v>307</v>
      </c>
      <c r="CU1096" s="5" t="s">
        <v>260</v>
      </c>
      <c r="CX1096" s="7">
        <f>1</f>
        <v>1</v>
      </c>
      <c r="CY1096" s="7">
        <f>0</f>
        <v>0</v>
      </c>
      <c r="DA1096" s="7">
        <f>0</f>
        <v>0</v>
      </c>
      <c r="DC1096" s="5" t="s">
        <v>812</v>
      </c>
      <c r="DD1096" s="5" t="s">
        <v>240</v>
      </c>
      <c r="DF1096" s="5" t="s">
        <v>812</v>
      </c>
      <c r="DG1096" s="7">
        <f>504</f>
        <v>504</v>
      </c>
      <c r="DI1096" s="5" t="s">
        <v>240</v>
      </c>
      <c r="DJ1096" s="5" t="s">
        <v>240</v>
      </c>
      <c r="DK1096" s="5" t="s">
        <v>240</v>
      </c>
      <c r="DL1096" s="5" t="s">
        <v>240</v>
      </c>
      <c r="DP1096" s="5" t="s">
        <v>240</v>
      </c>
      <c r="DQ1096" s="5" t="s">
        <v>240</v>
      </c>
      <c r="DR1096" s="5" t="s">
        <v>240</v>
      </c>
      <c r="DS1096" s="5" t="s">
        <v>240</v>
      </c>
      <c r="DV1096" s="5" t="s">
        <v>813</v>
      </c>
      <c r="DW1096" s="5" t="s">
        <v>2326</v>
      </c>
      <c r="HO1096" s="5" t="s">
        <v>312</v>
      </c>
    </row>
    <row r="1097" spans="1:223" x14ac:dyDescent="0.4">
      <c r="A1097" s="5">
        <v>2772</v>
      </c>
      <c r="B1097" s="5">
        <v>1</v>
      </c>
      <c r="C1097" s="5">
        <v>1</v>
      </c>
      <c r="D1097" s="5" t="s">
        <v>297</v>
      </c>
      <c r="E1097" s="5" t="s">
        <v>245</v>
      </c>
      <c r="F1097" s="5" t="s">
        <v>254</v>
      </c>
      <c r="G1097" s="5" t="s">
        <v>240</v>
      </c>
      <c r="H1097" s="6" t="s">
        <v>5213</v>
      </c>
      <c r="I1097" s="5" t="s">
        <v>295</v>
      </c>
      <c r="J1097" s="8">
        <f>3517</f>
        <v>3517</v>
      </c>
      <c r="K1097" s="5" t="s">
        <v>308</v>
      </c>
      <c r="L1097" s="7">
        <f>1</f>
        <v>1</v>
      </c>
      <c r="M1097" s="7">
        <f>1</f>
        <v>1</v>
      </c>
      <c r="N1097" s="5" t="s">
        <v>242</v>
      </c>
      <c r="O1097" s="5">
        <v>1</v>
      </c>
      <c r="P1097" s="5" t="s">
        <v>294</v>
      </c>
      <c r="Q1097" s="5" t="s">
        <v>266</v>
      </c>
      <c r="R1097" s="5" t="s">
        <v>240</v>
      </c>
      <c r="S1097" s="5" t="s">
        <v>240</v>
      </c>
      <c r="T1097" s="5" t="s">
        <v>296</v>
      </c>
      <c r="U1097" s="5" t="s">
        <v>244</v>
      </c>
      <c r="V1097" s="5" t="s">
        <v>240</v>
      </c>
      <c r="Y1097" s="5" t="s">
        <v>240</v>
      </c>
      <c r="Z1097" s="6" t="s">
        <v>298</v>
      </c>
      <c r="AB1097" s="6" t="s">
        <v>240</v>
      </c>
      <c r="AE1097" s="6" t="s">
        <v>299</v>
      </c>
      <c r="AF1097" s="5" t="s">
        <v>248</v>
      </c>
      <c r="AG1097" s="5" t="s">
        <v>249</v>
      </c>
      <c r="AW1097" s="5" t="s">
        <v>251</v>
      </c>
      <c r="AX1097" s="5" t="s">
        <v>240</v>
      </c>
      <c r="AY1097" s="5" t="s">
        <v>253</v>
      </c>
      <c r="AZ1097" s="5" t="s">
        <v>240</v>
      </c>
      <c r="BA1097" s="5" t="s">
        <v>255</v>
      </c>
      <c r="BB1097" s="5" t="s">
        <v>240</v>
      </c>
      <c r="BD1097" s="5" t="s">
        <v>240</v>
      </c>
      <c r="BF1097" s="5" t="s">
        <v>301</v>
      </c>
      <c r="BG1097" s="6" t="s">
        <v>299</v>
      </c>
      <c r="BH1097" s="5" t="s">
        <v>302</v>
      </c>
      <c r="BI1097" s="5" t="s">
        <v>303</v>
      </c>
      <c r="BJ1097" s="5" t="s">
        <v>240</v>
      </c>
      <c r="BK1097" s="8">
        <f>0</f>
        <v>0</v>
      </c>
      <c r="BL1097" s="7">
        <f>0</f>
        <v>0</v>
      </c>
      <c r="BM1097" s="5" t="s">
        <v>258</v>
      </c>
      <c r="BN1097" s="5" t="s">
        <v>259</v>
      </c>
      <c r="CB1097" s="5" t="s">
        <v>240</v>
      </c>
      <c r="CC1097" s="5" t="s">
        <v>240</v>
      </c>
      <c r="CG1097" s="5" t="s">
        <v>304</v>
      </c>
      <c r="CH1097" s="5" t="s">
        <v>305</v>
      </c>
      <c r="CI1097" s="5" t="s">
        <v>240</v>
      </c>
      <c r="CL1097" s="6" t="s">
        <v>261</v>
      </c>
      <c r="CM1097" s="5" t="s">
        <v>240</v>
      </c>
      <c r="CN1097" s="5" t="s">
        <v>263</v>
      </c>
      <c r="CO1097" s="5" t="s">
        <v>240</v>
      </c>
      <c r="CP1097" s="5" t="s">
        <v>240</v>
      </c>
      <c r="CQ1097" s="5">
        <v>0</v>
      </c>
      <c r="CR1097" s="5" t="s">
        <v>306</v>
      </c>
      <c r="CS1097" s="5" t="s">
        <v>307</v>
      </c>
      <c r="CT1097" s="5" t="s">
        <v>307</v>
      </c>
      <c r="CU1097" s="5" t="s">
        <v>260</v>
      </c>
      <c r="CX1097" s="7">
        <f>1</f>
        <v>1</v>
      </c>
      <c r="CY1097" s="7">
        <f>0</f>
        <v>0</v>
      </c>
      <c r="DA1097" s="7">
        <f>0</f>
        <v>0</v>
      </c>
      <c r="DC1097" s="5" t="s">
        <v>812</v>
      </c>
      <c r="DD1097" s="5" t="s">
        <v>240</v>
      </c>
      <c r="DF1097" s="5" t="s">
        <v>812</v>
      </c>
      <c r="DG1097" s="7">
        <f>3424</f>
        <v>3424</v>
      </c>
      <c r="DI1097" s="5" t="s">
        <v>240</v>
      </c>
      <c r="DJ1097" s="5" t="s">
        <v>240</v>
      </c>
      <c r="DK1097" s="5" t="s">
        <v>240</v>
      </c>
      <c r="DL1097" s="5" t="s">
        <v>240</v>
      </c>
      <c r="DP1097" s="5" t="s">
        <v>240</v>
      </c>
      <c r="DQ1097" s="5" t="s">
        <v>240</v>
      </c>
      <c r="DR1097" s="5" t="s">
        <v>240</v>
      </c>
      <c r="DS1097" s="5" t="s">
        <v>240</v>
      </c>
      <c r="DV1097" s="5" t="s">
        <v>813</v>
      </c>
      <c r="DW1097" s="5" t="s">
        <v>2328</v>
      </c>
      <c r="HO1097" s="5" t="s">
        <v>312</v>
      </c>
    </row>
    <row r="1098" spans="1:223" x14ac:dyDescent="0.4">
      <c r="A1098" s="5">
        <v>2773</v>
      </c>
      <c r="B1098" s="5">
        <v>1</v>
      </c>
      <c r="C1098" s="5">
        <v>1</v>
      </c>
      <c r="D1098" s="5" t="s">
        <v>297</v>
      </c>
      <c r="E1098" s="5" t="s">
        <v>245</v>
      </c>
      <c r="F1098" s="5" t="s">
        <v>254</v>
      </c>
      <c r="G1098" s="5" t="s">
        <v>240</v>
      </c>
      <c r="H1098" s="6" t="s">
        <v>5212</v>
      </c>
      <c r="I1098" s="5" t="s">
        <v>295</v>
      </c>
      <c r="J1098" s="8">
        <f>1721</f>
        <v>1721</v>
      </c>
      <c r="K1098" s="5" t="s">
        <v>308</v>
      </c>
      <c r="L1098" s="7">
        <f>1</f>
        <v>1</v>
      </c>
      <c r="M1098" s="7">
        <f>1</f>
        <v>1</v>
      </c>
      <c r="N1098" s="5" t="s">
        <v>242</v>
      </c>
      <c r="O1098" s="5">
        <v>1</v>
      </c>
      <c r="P1098" s="5" t="s">
        <v>294</v>
      </c>
      <c r="Q1098" s="5" t="s">
        <v>266</v>
      </c>
      <c r="R1098" s="5" t="s">
        <v>240</v>
      </c>
      <c r="S1098" s="5" t="s">
        <v>240</v>
      </c>
      <c r="T1098" s="5" t="s">
        <v>296</v>
      </c>
      <c r="U1098" s="5" t="s">
        <v>244</v>
      </c>
      <c r="V1098" s="5" t="s">
        <v>240</v>
      </c>
      <c r="Y1098" s="5" t="s">
        <v>240</v>
      </c>
      <c r="Z1098" s="6" t="s">
        <v>298</v>
      </c>
      <c r="AB1098" s="6" t="s">
        <v>240</v>
      </c>
      <c r="AE1098" s="6" t="s">
        <v>299</v>
      </c>
      <c r="AF1098" s="5" t="s">
        <v>248</v>
      </c>
      <c r="AG1098" s="5" t="s">
        <v>249</v>
      </c>
      <c r="AW1098" s="5" t="s">
        <v>251</v>
      </c>
      <c r="AX1098" s="5" t="s">
        <v>240</v>
      </c>
      <c r="AY1098" s="5" t="s">
        <v>253</v>
      </c>
      <c r="AZ1098" s="5" t="s">
        <v>240</v>
      </c>
      <c r="BA1098" s="5" t="s">
        <v>255</v>
      </c>
      <c r="BB1098" s="5" t="s">
        <v>240</v>
      </c>
      <c r="BD1098" s="5" t="s">
        <v>240</v>
      </c>
      <c r="BF1098" s="5" t="s">
        <v>301</v>
      </c>
      <c r="BG1098" s="6" t="s">
        <v>299</v>
      </c>
      <c r="BH1098" s="5" t="s">
        <v>302</v>
      </c>
      <c r="BI1098" s="5" t="s">
        <v>303</v>
      </c>
      <c r="BJ1098" s="5" t="s">
        <v>240</v>
      </c>
      <c r="BK1098" s="8">
        <f>0</f>
        <v>0</v>
      </c>
      <c r="BL1098" s="7">
        <f>0</f>
        <v>0</v>
      </c>
      <c r="BM1098" s="5" t="s">
        <v>258</v>
      </c>
      <c r="BN1098" s="5" t="s">
        <v>259</v>
      </c>
      <c r="CB1098" s="5" t="s">
        <v>240</v>
      </c>
      <c r="CC1098" s="5" t="s">
        <v>240</v>
      </c>
      <c r="CG1098" s="5" t="s">
        <v>304</v>
      </c>
      <c r="CH1098" s="5" t="s">
        <v>305</v>
      </c>
      <c r="CI1098" s="5" t="s">
        <v>240</v>
      </c>
      <c r="CL1098" s="6" t="s">
        <v>261</v>
      </c>
      <c r="CM1098" s="5" t="s">
        <v>240</v>
      </c>
      <c r="CN1098" s="5" t="s">
        <v>263</v>
      </c>
      <c r="CO1098" s="5" t="s">
        <v>240</v>
      </c>
      <c r="CP1098" s="5" t="s">
        <v>240</v>
      </c>
      <c r="CQ1098" s="5">
        <v>0</v>
      </c>
      <c r="CR1098" s="5" t="s">
        <v>306</v>
      </c>
      <c r="CS1098" s="5" t="s">
        <v>307</v>
      </c>
      <c r="CT1098" s="5" t="s">
        <v>307</v>
      </c>
      <c r="CU1098" s="5" t="s">
        <v>260</v>
      </c>
      <c r="CX1098" s="7">
        <f>1</f>
        <v>1</v>
      </c>
      <c r="CY1098" s="7">
        <f>0</f>
        <v>0</v>
      </c>
      <c r="DA1098" s="7">
        <f>0</f>
        <v>0</v>
      </c>
      <c r="DC1098" s="5" t="s">
        <v>812</v>
      </c>
      <c r="DD1098" s="5" t="s">
        <v>240</v>
      </c>
      <c r="DF1098" s="5" t="s">
        <v>812</v>
      </c>
      <c r="DG1098" s="7">
        <f>152</f>
        <v>152</v>
      </c>
      <c r="DI1098" s="5" t="s">
        <v>240</v>
      </c>
      <c r="DJ1098" s="5" t="s">
        <v>240</v>
      </c>
      <c r="DK1098" s="5" t="s">
        <v>240</v>
      </c>
      <c r="DL1098" s="5" t="s">
        <v>240</v>
      </c>
      <c r="DP1098" s="5" t="s">
        <v>240</v>
      </c>
      <c r="DQ1098" s="5" t="s">
        <v>240</v>
      </c>
      <c r="DR1098" s="5" t="s">
        <v>240</v>
      </c>
      <c r="DS1098" s="5" t="s">
        <v>240</v>
      </c>
      <c r="DV1098" s="5" t="s">
        <v>813</v>
      </c>
      <c r="DW1098" s="5" t="s">
        <v>2330</v>
      </c>
      <c r="HO1098" s="5" t="s">
        <v>312</v>
      </c>
    </row>
    <row r="1099" spans="1:223" x14ac:dyDescent="0.4">
      <c r="A1099" s="5">
        <v>2774</v>
      </c>
      <c r="B1099" s="5">
        <v>1</v>
      </c>
      <c r="C1099" s="5">
        <v>1</v>
      </c>
      <c r="D1099" s="5" t="s">
        <v>297</v>
      </c>
      <c r="E1099" s="5" t="s">
        <v>245</v>
      </c>
      <c r="F1099" s="5" t="s">
        <v>254</v>
      </c>
      <c r="G1099" s="5" t="s">
        <v>240</v>
      </c>
      <c r="H1099" s="6" t="s">
        <v>5211</v>
      </c>
      <c r="I1099" s="5" t="s">
        <v>295</v>
      </c>
      <c r="J1099" s="8">
        <f>1090</f>
        <v>1090</v>
      </c>
      <c r="K1099" s="5" t="s">
        <v>308</v>
      </c>
      <c r="L1099" s="7">
        <f>1</f>
        <v>1</v>
      </c>
      <c r="M1099" s="7">
        <f>1</f>
        <v>1</v>
      </c>
      <c r="N1099" s="5" t="s">
        <v>242</v>
      </c>
      <c r="O1099" s="5">
        <v>1</v>
      </c>
      <c r="P1099" s="5" t="s">
        <v>294</v>
      </c>
      <c r="Q1099" s="5" t="s">
        <v>266</v>
      </c>
      <c r="R1099" s="5" t="s">
        <v>240</v>
      </c>
      <c r="S1099" s="5" t="s">
        <v>240</v>
      </c>
      <c r="T1099" s="5" t="s">
        <v>296</v>
      </c>
      <c r="U1099" s="5" t="s">
        <v>244</v>
      </c>
      <c r="V1099" s="5" t="s">
        <v>240</v>
      </c>
      <c r="Y1099" s="5" t="s">
        <v>240</v>
      </c>
      <c r="Z1099" s="6" t="s">
        <v>298</v>
      </c>
      <c r="AB1099" s="6" t="s">
        <v>240</v>
      </c>
      <c r="AE1099" s="6" t="s">
        <v>299</v>
      </c>
      <c r="AF1099" s="5" t="s">
        <v>248</v>
      </c>
      <c r="AG1099" s="5" t="s">
        <v>249</v>
      </c>
      <c r="AW1099" s="5" t="s">
        <v>251</v>
      </c>
      <c r="AX1099" s="5" t="s">
        <v>240</v>
      </c>
      <c r="AY1099" s="5" t="s">
        <v>253</v>
      </c>
      <c r="AZ1099" s="5" t="s">
        <v>240</v>
      </c>
      <c r="BA1099" s="5" t="s">
        <v>255</v>
      </c>
      <c r="BB1099" s="5" t="s">
        <v>240</v>
      </c>
      <c r="BD1099" s="5" t="s">
        <v>240</v>
      </c>
      <c r="BF1099" s="5" t="s">
        <v>301</v>
      </c>
      <c r="BG1099" s="6" t="s">
        <v>299</v>
      </c>
      <c r="BH1099" s="5" t="s">
        <v>302</v>
      </c>
      <c r="BI1099" s="5" t="s">
        <v>303</v>
      </c>
      <c r="BJ1099" s="5" t="s">
        <v>240</v>
      </c>
      <c r="BK1099" s="8">
        <f>0</f>
        <v>0</v>
      </c>
      <c r="BL1099" s="7">
        <f>0</f>
        <v>0</v>
      </c>
      <c r="BM1099" s="5" t="s">
        <v>258</v>
      </c>
      <c r="BN1099" s="5" t="s">
        <v>259</v>
      </c>
      <c r="CB1099" s="5" t="s">
        <v>240</v>
      </c>
      <c r="CC1099" s="5" t="s">
        <v>240</v>
      </c>
      <c r="CG1099" s="5" t="s">
        <v>304</v>
      </c>
      <c r="CH1099" s="5" t="s">
        <v>305</v>
      </c>
      <c r="CI1099" s="5" t="s">
        <v>240</v>
      </c>
      <c r="CL1099" s="6" t="s">
        <v>261</v>
      </c>
      <c r="CM1099" s="5" t="s">
        <v>240</v>
      </c>
      <c r="CN1099" s="5" t="s">
        <v>263</v>
      </c>
      <c r="CO1099" s="5" t="s">
        <v>240</v>
      </c>
      <c r="CP1099" s="5" t="s">
        <v>240</v>
      </c>
      <c r="CQ1099" s="5">
        <v>0</v>
      </c>
      <c r="CR1099" s="5" t="s">
        <v>306</v>
      </c>
      <c r="CS1099" s="5" t="s">
        <v>307</v>
      </c>
      <c r="CT1099" s="5" t="s">
        <v>307</v>
      </c>
      <c r="CU1099" s="5" t="s">
        <v>260</v>
      </c>
      <c r="CX1099" s="7">
        <f>1</f>
        <v>1</v>
      </c>
      <c r="CY1099" s="7">
        <f>0</f>
        <v>0</v>
      </c>
      <c r="DA1099" s="7">
        <f>0</f>
        <v>0</v>
      </c>
      <c r="DC1099" s="5" t="s">
        <v>812</v>
      </c>
      <c r="DD1099" s="5" t="s">
        <v>240</v>
      </c>
      <c r="DF1099" s="5" t="s">
        <v>812</v>
      </c>
      <c r="DG1099" s="7">
        <f>151</f>
        <v>151</v>
      </c>
      <c r="DI1099" s="5" t="s">
        <v>240</v>
      </c>
      <c r="DJ1099" s="5" t="s">
        <v>240</v>
      </c>
      <c r="DK1099" s="5" t="s">
        <v>240</v>
      </c>
      <c r="DL1099" s="5" t="s">
        <v>240</v>
      </c>
      <c r="DP1099" s="5" t="s">
        <v>240</v>
      </c>
      <c r="DQ1099" s="5" t="s">
        <v>240</v>
      </c>
      <c r="DR1099" s="5" t="s">
        <v>240</v>
      </c>
      <c r="DS1099" s="5" t="s">
        <v>240</v>
      </c>
      <c r="DV1099" s="5" t="s">
        <v>813</v>
      </c>
      <c r="DW1099" s="5" t="s">
        <v>2332</v>
      </c>
      <c r="HO1099" s="5" t="s">
        <v>312</v>
      </c>
    </row>
    <row r="1100" spans="1:223" x14ac:dyDescent="0.4">
      <c r="A1100" s="5">
        <v>2775</v>
      </c>
      <c r="B1100" s="5">
        <v>1</v>
      </c>
      <c r="C1100" s="5">
        <v>1</v>
      </c>
      <c r="D1100" s="5" t="s">
        <v>297</v>
      </c>
      <c r="E1100" s="5" t="s">
        <v>245</v>
      </c>
      <c r="F1100" s="5" t="s">
        <v>254</v>
      </c>
      <c r="G1100" s="5" t="s">
        <v>240</v>
      </c>
      <c r="H1100" s="6" t="s">
        <v>5210</v>
      </c>
      <c r="I1100" s="5" t="s">
        <v>295</v>
      </c>
      <c r="J1100" s="8">
        <f>1474</f>
        <v>1474</v>
      </c>
      <c r="K1100" s="5" t="s">
        <v>308</v>
      </c>
      <c r="L1100" s="7">
        <f>1</f>
        <v>1</v>
      </c>
      <c r="M1100" s="7">
        <f>1</f>
        <v>1</v>
      </c>
      <c r="N1100" s="5" t="s">
        <v>242</v>
      </c>
      <c r="O1100" s="5">
        <v>1</v>
      </c>
      <c r="P1100" s="5" t="s">
        <v>294</v>
      </c>
      <c r="Q1100" s="5" t="s">
        <v>266</v>
      </c>
      <c r="R1100" s="5" t="s">
        <v>240</v>
      </c>
      <c r="S1100" s="5" t="s">
        <v>240</v>
      </c>
      <c r="T1100" s="5" t="s">
        <v>296</v>
      </c>
      <c r="U1100" s="5" t="s">
        <v>244</v>
      </c>
      <c r="V1100" s="5" t="s">
        <v>240</v>
      </c>
      <c r="Y1100" s="5" t="s">
        <v>240</v>
      </c>
      <c r="Z1100" s="6" t="s">
        <v>298</v>
      </c>
      <c r="AB1100" s="6" t="s">
        <v>240</v>
      </c>
      <c r="AE1100" s="6" t="s">
        <v>299</v>
      </c>
      <c r="AF1100" s="5" t="s">
        <v>248</v>
      </c>
      <c r="AG1100" s="5" t="s">
        <v>249</v>
      </c>
      <c r="AW1100" s="5" t="s">
        <v>251</v>
      </c>
      <c r="AX1100" s="5" t="s">
        <v>240</v>
      </c>
      <c r="AY1100" s="5" t="s">
        <v>253</v>
      </c>
      <c r="AZ1100" s="5" t="s">
        <v>240</v>
      </c>
      <c r="BA1100" s="5" t="s">
        <v>255</v>
      </c>
      <c r="BB1100" s="5" t="s">
        <v>240</v>
      </c>
      <c r="BD1100" s="5" t="s">
        <v>240</v>
      </c>
      <c r="BF1100" s="5" t="s">
        <v>301</v>
      </c>
      <c r="BG1100" s="6" t="s">
        <v>299</v>
      </c>
      <c r="BH1100" s="5" t="s">
        <v>302</v>
      </c>
      <c r="BI1100" s="5" t="s">
        <v>303</v>
      </c>
      <c r="BJ1100" s="5" t="s">
        <v>240</v>
      </c>
      <c r="BK1100" s="8">
        <f>0</f>
        <v>0</v>
      </c>
      <c r="BL1100" s="7">
        <f>0</f>
        <v>0</v>
      </c>
      <c r="BM1100" s="5" t="s">
        <v>258</v>
      </c>
      <c r="BN1100" s="5" t="s">
        <v>259</v>
      </c>
      <c r="CB1100" s="5" t="s">
        <v>240</v>
      </c>
      <c r="CC1100" s="5" t="s">
        <v>240</v>
      </c>
      <c r="CG1100" s="5" t="s">
        <v>304</v>
      </c>
      <c r="CH1100" s="5" t="s">
        <v>305</v>
      </c>
      <c r="CI1100" s="5" t="s">
        <v>240</v>
      </c>
      <c r="CL1100" s="6" t="s">
        <v>261</v>
      </c>
      <c r="CM1100" s="5" t="s">
        <v>240</v>
      </c>
      <c r="CN1100" s="5" t="s">
        <v>263</v>
      </c>
      <c r="CO1100" s="5" t="s">
        <v>240</v>
      </c>
      <c r="CP1100" s="5" t="s">
        <v>240</v>
      </c>
      <c r="CQ1100" s="5">
        <v>0</v>
      </c>
      <c r="CR1100" s="5" t="s">
        <v>306</v>
      </c>
      <c r="CS1100" s="5" t="s">
        <v>307</v>
      </c>
      <c r="CT1100" s="5" t="s">
        <v>307</v>
      </c>
      <c r="CU1100" s="5" t="s">
        <v>260</v>
      </c>
      <c r="CX1100" s="7">
        <f>1</f>
        <v>1</v>
      </c>
      <c r="CY1100" s="7">
        <f>0</f>
        <v>0</v>
      </c>
      <c r="DA1100" s="7">
        <f>0</f>
        <v>0</v>
      </c>
      <c r="DC1100" s="5" t="s">
        <v>812</v>
      </c>
      <c r="DD1100" s="5" t="s">
        <v>240</v>
      </c>
      <c r="DF1100" s="5" t="s">
        <v>812</v>
      </c>
      <c r="DG1100" s="7">
        <f>88</f>
        <v>88</v>
      </c>
      <c r="DI1100" s="5" t="s">
        <v>240</v>
      </c>
      <c r="DJ1100" s="5" t="s">
        <v>240</v>
      </c>
      <c r="DK1100" s="5" t="s">
        <v>240</v>
      </c>
      <c r="DL1100" s="5" t="s">
        <v>240</v>
      </c>
      <c r="DP1100" s="5" t="s">
        <v>240</v>
      </c>
      <c r="DQ1100" s="5" t="s">
        <v>240</v>
      </c>
      <c r="DR1100" s="5" t="s">
        <v>240</v>
      </c>
      <c r="DS1100" s="5" t="s">
        <v>240</v>
      </c>
      <c r="DV1100" s="5" t="s">
        <v>813</v>
      </c>
      <c r="DW1100" s="5" t="s">
        <v>2334</v>
      </c>
      <c r="HO1100" s="5" t="s">
        <v>312</v>
      </c>
    </row>
    <row r="1101" spans="1:223" x14ac:dyDescent="0.4">
      <c r="A1101" s="5">
        <v>2776</v>
      </c>
      <c r="B1101" s="5">
        <v>1</v>
      </c>
      <c r="C1101" s="5">
        <v>1</v>
      </c>
      <c r="D1101" s="5" t="s">
        <v>297</v>
      </c>
      <c r="E1101" s="5" t="s">
        <v>245</v>
      </c>
      <c r="F1101" s="5" t="s">
        <v>254</v>
      </c>
      <c r="G1101" s="5" t="s">
        <v>240</v>
      </c>
      <c r="H1101" s="6" t="s">
        <v>5209</v>
      </c>
      <c r="I1101" s="5" t="s">
        <v>295</v>
      </c>
      <c r="J1101" s="8">
        <f>3726</f>
        <v>3726</v>
      </c>
      <c r="K1101" s="5" t="s">
        <v>308</v>
      </c>
      <c r="L1101" s="7">
        <f>1</f>
        <v>1</v>
      </c>
      <c r="M1101" s="7">
        <f>1</f>
        <v>1</v>
      </c>
      <c r="N1101" s="5" t="s">
        <v>242</v>
      </c>
      <c r="O1101" s="5">
        <v>1</v>
      </c>
      <c r="P1101" s="5" t="s">
        <v>294</v>
      </c>
      <c r="Q1101" s="5" t="s">
        <v>266</v>
      </c>
      <c r="R1101" s="5" t="s">
        <v>240</v>
      </c>
      <c r="S1101" s="5" t="s">
        <v>240</v>
      </c>
      <c r="T1101" s="5" t="s">
        <v>296</v>
      </c>
      <c r="U1101" s="5" t="s">
        <v>244</v>
      </c>
      <c r="V1101" s="5" t="s">
        <v>240</v>
      </c>
      <c r="Y1101" s="5" t="s">
        <v>240</v>
      </c>
      <c r="Z1101" s="6" t="s">
        <v>298</v>
      </c>
      <c r="AB1101" s="6" t="s">
        <v>240</v>
      </c>
      <c r="AE1101" s="6" t="s">
        <v>299</v>
      </c>
      <c r="AF1101" s="5" t="s">
        <v>248</v>
      </c>
      <c r="AG1101" s="5" t="s">
        <v>249</v>
      </c>
      <c r="AW1101" s="5" t="s">
        <v>251</v>
      </c>
      <c r="AX1101" s="5" t="s">
        <v>240</v>
      </c>
      <c r="AY1101" s="5" t="s">
        <v>253</v>
      </c>
      <c r="AZ1101" s="5" t="s">
        <v>240</v>
      </c>
      <c r="BA1101" s="5" t="s">
        <v>255</v>
      </c>
      <c r="BB1101" s="5" t="s">
        <v>240</v>
      </c>
      <c r="BD1101" s="5" t="s">
        <v>240</v>
      </c>
      <c r="BF1101" s="5" t="s">
        <v>301</v>
      </c>
      <c r="BG1101" s="6" t="s">
        <v>299</v>
      </c>
      <c r="BH1101" s="5" t="s">
        <v>302</v>
      </c>
      <c r="BI1101" s="5" t="s">
        <v>303</v>
      </c>
      <c r="BJ1101" s="5" t="s">
        <v>240</v>
      </c>
      <c r="BK1101" s="8">
        <f>0</f>
        <v>0</v>
      </c>
      <c r="BL1101" s="7">
        <f>0</f>
        <v>0</v>
      </c>
      <c r="BM1101" s="5" t="s">
        <v>258</v>
      </c>
      <c r="BN1101" s="5" t="s">
        <v>259</v>
      </c>
      <c r="CB1101" s="5" t="s">
        <v>240</v>
      </c>
      <c r="CC1101" s="5" t="s">
        <v>240</v>
      </c>
      <c r="CG1101" s="5" t="s">
        <v>304</v>
      </c>
      <c r="CH1101" s="5" t="s">
        <v>305</v>
      </c>
      <c r="CI1101" s="5" t="s">
        <v>240</v>
      </c>
      <c r="CL1101" s="6" t="s">
        <v>261</v>
      </c>
      <c r="CM1101" s="5" t="s">
        <v>240</v>
      </c>
      <c r="CN1101" s="5" t="s">
        <v>263</v>
      </c>
      <c r="CO1101" s="5" t="s">
        <v>240</v>
      </c>
      <c r="CP1101" s="5" t="s">
        <v>240</v>
      </c>
      <c r="CQ1101" s="5">
        <v>0</v>
      </c>
      <c r="CR1101" s="5" t="s">
        <v>306</v>
      </c>
      <c r="CS1101" s="5" t="s">
        <v>307</v>
      </c>
      <c r="CT1101" s="5" t="s">
        <v>307</v>
      </c>
      <c r="CU1101" s="5" t="s">
        <v>260</v>
      </c>
      <c r="CX1101" s="7">
        <f>1</f>
        <v>1</v>
      </c>
      <c r="CY1101" s="7">
        <f>0</f>
        <v>0</v>
      </c>
      <c r="DA1101" s="7">
        <f>0</f>
        <v>0</v>
      </c>
      <c r="DC1101" s="5" t="s">
        <v>812</v>
      </c>
      <c r="DD1101" s="5" t="s">
        <v>240</v>
      </c>
      <c r="DF1101" s="5" t="s">
        <v>812</v>
      </c>
      <c r="DG1101" s="7">
        <f>388</f>
        <v>388</v>
      </c>
      <c r="DI1101" s="5" t="s">
        <v>240</v>
      </c>
      <c r="DJ1101" s="5" t="s">
        <v>240</v>
      </c>
      <c r="DK1101" s="5" t="s">
        <v>240</v>
      </c>
      <c r="DL1101" s="5" t="s">
        <v>240</v>
      </c>
      <c r="DP1101" s="5" t="s">
        <v>240</v>
      </c>
      <c r="DQ1101" s="5" t="s">
        <v>240</v>
      </c>
      <c r="DR1101" s="5" t="s">
        <v>240</v>
      </c>
      <c r="DS1101" s="5" t="s">
        <v>240</v>
      </c>
      <c r="DV1101" s="5" t="s">
        <v>813</v>
      </c>
      <c r="DW1101" s="5" t="s">
        <v>2336</v>
      </c>
      <c r="HO1101" s="5" t="s">
        <v>312</v>
      </c>
    </row>
    <row r="1102" spans="1:223" x14ac:dyDescent="0.4">
      <c r="A1102" s="5">
        <v>2777</v>
      </c>
      <c r="B1102" s="5">
        <v>1</v>
      </c>
      <c r="C1102" s="5">
        <v>1</v>
      </c>
      <c r="D1102" s="5" t="s">
        <v>297</v>
      </c>
      <c r="E1102" s="5" t="s">
        <v>245</v>
      </c>
      <c r="F1102" s="5" t="s">
        <v>254</v>
      </c>
      <c r="G1102" s="5" t="s">
        <v>240</v>
      </c>
      <c r="H1102" s="6" t="s">
        <v>5208</v>
      </c>
      <c r="I1102" s="5" t="s">
        <v>295</v>
      </c>
      <c r="J1102" s="8">
        <f>5795</f>
        <v>5795</v>
      </c>
      <c r="K1102" s="5" t="s">
        <v>308</v>
      </c>
      <c r="L1102" s="7">
        <f>1</f>
        <v>1</v>
      </c>
      <c r="M1102" s="7">
        <f>1</f>
        <v>1</v>
      </c>
      <c r="N1102" s="5" t="s">
        <v>242</v>
      </c>
      <c r="O1102" s="5">
        <v>1</v>
      </c>
      <c r="P1102" s="5" t="s">
        <v>294</v>
      </c>
      <c r="Q1102" s="5" t="s">
        <v>266</v>
      </c>
      <c r="R1102" s="5" t="s">
        <v>240</v>
      </c>
      <c r="S1102" s="5" t="s">
        <v>240</v>
      </c>
      <c r="T1102" s="5" t="s">
        <v>296</v>
      </c>
      <c r="U1102" s="5" t="s">
        <v>244</v>
      </c>
      <c r="V1102" s="5" t="s">
        <v>240</v>
      </c>
      <c r="Y1102" s="5" t="s">
        <v>240</v>
      </c>
      <c r="Z1102" s="6" t="s">
        <v>298</v>
      </c>
      <c r="AB1102" s="6" t="s">
        <v>240</v>
      </c>
      <c r="AE1102" s="6" t="s">
        <v>299</v>
      </c>
      <c r="AF1102" s="5" t="s">
        <v>248</v>
      </c>
      <c r="AG1102" s="5" t="s">
        <v>249</v>
      </c>
      <c r="AW1102" s="5" t="s">
        <v>251</v>
      </c>
      <c r="AX1102" s="5" t="s">
        <v>240</v>
      </c>
      <c r="AY1102" s="5" t="s">
        <v>253</v>
      </c>
      <c r="AZ1102" s="5" t="s">
        <v>240</v>
      </c>
      <c r="BA1102" s="5" t="s">
        <v>255</v>
      </c>
      <c r="BB1102" s="5" t="s">
        <v>240</v>
      </c>
      <c r="BD1102" s="5" t="s">
        <v>240</v>
      </c>
      <c r="BF1102" s="5" t="s">
        <v>301</v>
      </c>
      <c r="BG1102" s="6" t="s">
        <v>299</v>
      </c>
      <c r="BH1102" s="5" t="s">
        <v>302</v>
      </c>
      <c r="BI1102" s="5" t="s">
        <v>303</v>
      </c>
      <c r="BJ1102" s="5" t="s">
        <v>240</v>
      </c>
      <c r="BK1102" s="8">
        <f>0</f>
        <v>0</v>
      </c>
      <c r="BL1102" s="7">
        <f>0</f>
        <v>0</v>
      </c>
      <c r="BM1102" s="5" t="s">
        <v>258</v>
      </c>
      <c r="BN1102" s="5" t="s">
        <v>259</v>
      </c>
      <c r="CB1102" s="5" t="s">
        <v>240</v>
      </c>
      <c r="CC1102" s="5" t="s">
        <v>240</v>
      </c>
      <c r="CG1102" s="5" t="s">
        <v>304</v>
      </c>
      <c r="CH1102" s="5" t="s">
        <v>305</v>
      </c>
      <c r="CI1102" s="5" t="s">
        <v>240</v>
      </c>
      <c r="CL1102" s="6" t="s">
        <v>261</v>
      </c>
      <c r="CM1102" s="5" t="s">
        <v>240</v>
      </c>
      <c r="CN1102" s="5" t="s">
        <v>263</v>
      </c>
      <c r="CO1102" s="5" t="s">
        <v>240</v>
      </c>
      <c r="CP1102" s="5" t="s">
        <v>240</v>
      </c>
      <c r="CQ1102" s="5">
        <v>0</v>
      </c>
      <c r="CR1102" s="5" t="s">
        <v>306</v>
      </c>
      <c r="CS1102" s="5" t="s">
        <v>307</v>
      </c>
      <c r="CT1102" s="5" t="s">
        <v>307</v>
      </c>
      <c r="CU1102" s="5" t="s">
        <v>260</v>
      </c>
      <c r="CX1102" s="7">
        <f>1</f>
        <v>1</v>
      </c>
      <c r="CY1102" s="7">
        <f>0</f>
        <v>0</v>
      </c>
      <c r="DA1102" s="7">
        <f>0</f>
        <v>0</v>
      </c>
      <c r="DC1102" s="5" t="s">
        <v>812</v>
      </c>
      <c r="DD1102" s="5" t="s">
        <v>240</v>
      </c>
      <c r="DF1102" s="5" t="s">
        <v>812</v>
      </c>
      <c r="DG1102" s="7">
        <f>128</f>
        <v>128</v>
      </c>
      <c r="DI1102" s="5" t="s">
        <v>240</v>
      </c>
      <c r="DJ1102" s="5" t="s">
        <v>240</v>
      </c>
      <c r="DK1102" s="5" t="s">
        <v>240</v>
      </c>
      <c r="DL1102" s="5" t="s">
        <v>240</v>
      </c>
      <c r="DP1102" s="5" t="s">
        <v>240</v>
      </c>
      <c r="DQ1102" s="5" t="s">
        <v>240</v>
      </c>
      <c r="DR1102" s="5" t="s">
        <v>240</v>
      </c>
      <c r="DS1102" s="5" t="s">
        <v>240</v>
      </c>
      <c r="DV1102" s="5" t="s">
        <v>813</v>
      </c>
      <c r="DW1102" s="5" t="s">
        <v>2338</v>
      </c>
      <c r="HO1102" s="5" t="s">
        <v>312</v>
      </c>
    </row>
    <row r="1103" spans="1:223" x14ac:dyDescent="0.4">
      <c r="A1103" s="5">
        <v>2778</v>
      </c>
      <c r="B1103" s="5">
        <v>1</v>
      </c>
      <c r="C1103" s="5">
        <v>1</v>
      </c>
      <c r="D1103" s="5" t="s">
        <v>297</v>
      </c>
      <c r="E1103" s="5" t="s">
        <v>245</v>
      </c>
      <c r="F1103" s="5" t="s">
        <v>254</v>
      </c>
      <c r="G1103" s="5" t="s">
        <v>240</v>
      </c>
      <c r="H1103" s="6" t="s">
        <v>5207</v>
      </c>
      <c r="I1103" s="5" t="s">
        <v>295</v>
      </c>
      <c r="J1103" s="8">
        <f>2202</f>
        <v>2202</v>
      </c>
      <c r="K1103" s="5" t="s">
        <v>308</v>
      </c>
      <c r="L1103" s="7">
        <f>1</f>
        <v>1</v>
      </c>
      <c r="M1103" s="7">
        <f>1</f>
        <v>1</v>
      </c>
      <c r="N1103" s="5" t="s">
        <v>242</v>
      </c>
      <c r="O1103" s="5">
        <v>1</v>
      </c>
      <c r="P1103" s="5" t="s">
        <v>294</v>
      </c>
      <c r="Q1103" s="5" t="s">
        <v>266</v>
      </c>
      <c r="R1103" s="5" t="s">
        <v>240</v>
      </c>
      <c r="S1103" s="5" t="s">
        <v>240</v>
      </c>
      <c r="T1103" s="5" t="s">
        <v>296</v>
      </c>
      <c r="U1103" s="5" t="s">
        <v>244</v>
      </c>
      <c r="V1103" s="5" t="s">
        <v>240</v>
      </c>
      <c r="Y1103" s="5" t="s">
        <v>240</v>
      </c>
      <c r="Z1103" s="6" t="s">
        <v>298</v>
      </c>
      <c r="AB1103" s="6" t="s">
        <v>240</v>
      </c>
      <c r="AE1103" s="6" t="s">
        <v>299</v>
      </c>
      <c r="AF1103" s="5" t="s">
        <v>248</v>
      </c>
      <c r="AG1103" s="5" t="s">
        <v>249</v>
      </c>
      <c r="AW1103" s="5" t="s">
        <v>251</v>
      </c>
      <c r="AX1103" s="5" t="s">
        <v>240</v>
      </c>
      <c r="AY1103" s="5" t="s">
        <v>253</v>
      </c>
      <c r="AZ1103" s="5" t="s">
        <v>240</v>
      </c>
      <c r="BA1103" s="5" t="s">
        <v>255</v>
      </c>
      <c r="BB1103" s="5" t="s">
        <v>240</v>
      </c>
      <c r="BD1103" s="5" t="s">
        <v>240</v>
      </c>
      <c r="BF1103" s="5" t="s">
        <v>301</v>
      </c>
      <c r="BG1103" s="6" t="s">
        <v>299</v>
      </c>
      <c r="BH1103" s="5" t="s">
        <v>302</v>
      </c>
      <c r="BI1103" s="5" t="s">
        <v>303</v>
      </c>
      <c r="BJ1103" s="5" t="s">
        <v>240</v>
      </c>
      <c r="BK1103" s="8">
        <f>0</f>
        <v>0</v>
      </c>
      <c r="BL1103" s="7">
        <f>0</f>
        <v>0</v>
      </c>
      <c r="BM1103" s="5" t="s">
        <v>258</v>
      </c>
      <c r="BN1103" s="5" t="s">
        <v>259</v>
      </c>
      <c r="CB1103" s="5" t="s">
        <v>240</v>
      </c>
      <c r="CC1103" s="5" t="s">
        <v>240</v>
      </c>
      <c r="CG1103" s="5" t="s">
        <v>304</v>
      </c>
      <c r="CH1103" s="5" t="s">
        <v>305</v>
      </c>
      <c r="CI1103" s="5" t="s">
        <v>240</v>
      </c>
      <c r="CL1103" s="6" t="s">
        <v>261</v>
      </c>
      <c r="CM1103" s="5" t="s">
        <v>240</v>
      </c>
      <c r="CN1103" s="5" t="s">
        <v>263</v>
      </c>
      <c r="CO1103" s="5" t="s">
        <v>240</v>
      </c>
      <c r="CP1103" s="5" t="s">
        <v>240</v>
      </c>
      <c r="CQ1103" s="5">
        <v>0</v>
      </c>
      <c r="CR1103" s="5" t="s">
        <v>306</v>
      </c>
      <c r="CS1103" s="5" t="s">
        <v>307</v>
      </c>
      <c r="CT1103" s="5" t="s">
        <v>307</v>
      </c>
      <c r="CU1103" s="5" t="s">
        <v>260</v>
      </c>
      <c r="CX1103" s="7">
        <f>1</f>
        <v>1</v>
      </c>
      <c r="CY1103" s="7">
        <f>0</f>
        <v>0</v>
      </c>
      <c r="DA1103" s="7">
        <f>0</f>
        <v>0</v>
      </c>
      <c r="DC1103" s="5" t="s">
        <v>812</v>
      </c>
      <c r="DD1103" s="5" t="s">
        <v>240</v>
      </c>
      <c r="DF1103" s="5" t="s">
        <v>812</v>
      </c>
      <c r="DG1103" s="7">
        <f>228</f>
        <v>228</v>
      </c>
      <c r="DI1103" s="5" t="s">
        <v>240</v>
      </c>
      <c r="DJ1103" s="5" t="s">
        <v>240</v>
      </c>
      <c r="DK1103" s="5" t="s">
        <v>240</v>
      </c>
      <c r="DL1103" s="5" t="s">
        <v>240</v>
      </c>
      <c r="DP1103" s="5" t="s">
        <v>240</v>
      </c>
      <c r="DQ1103" s="5" t="s">
        <v>240</v>
      </c>
      <c r="DR1103" s="5" t="s">
        <v>240</v>
      </c>
      <c r="DS1103" s="5" t="s">
        <v>240</v>
      </c>
      <c r="DV1103" s="5" t="s">
        <v>813</v>
      </c>
      <c r="DW1103" s="5" t="s">
        <v>2102</v>
      </c>
      <c r="HO1103" s="5" t="s">
        <v>312</v>
      </c>
    </row>
    <row r="1104" spans="1:223" x14ac:dyDescent="0.4">
      <c r="A1104" s="5">
        <v>2779</v>
      </c>
      <c r="B1104" s="5">
        <v>1</v>
      </c>
      <c r="C1104" s="5">
        <v>1</v>
      </c>
      <c r="D1104" s="5" t="s">
        <v>297</v>
      </c>
      <c r="E1104" s="5" t="s">
        <v>245</v>
      </c>
      <c r="F1104" s="5" t="s">
        <v>254</v>
      </c>
      <c r="G1104" s="5" t="s">
        <v>240</v>
      </c>
      <c r="H1104" s="6" t="s">
        <v>776</v>
      </c>
      <c r="I1104" s="5" t="s">
        <v>295</v>
      </c>
      <c r="J1104" s="8">
        <f>1915</f>
        <v>1915</v>
      </c>
      <c r="K1104" s="5" t="s">
        <v>308</v>
      </c>
      <c r="L1104" s="7">
        <f>1</f>
        <v>1</v>
      </c>
      <c r="M1104" s="7">
        <f>1</f>
        <v>1</v>
      </c>
      <c r="N1104" s="5" t="s">
        <v>242</v>
      </c>
      <c r="O1104" s="5">
        <v>1</v>
      </c>
      <c r="P1104" s="5" t="s">
        <v>294</v>
      </c>
      <c r="Q1104" s="5" t="s">
        <v>266</v>
      </c>
      <c r="R1104" s="5" t="s">
        <v>240</v>
      </c>
      <c r="S1104" s="5" t="s">
        <v>240</v>
      </c>
      <c r="T1104" s="5" t="s">
        <v>296</v>
      </c>
      <c r="U1104" s="5" t="s">
        <v>244</v>
      </c>
      <c r="V1104" s="5" t="s">
        <v>240</v>
      </c>
      <c r="Y1104" s="5" t="s">
        <v>240</v>
      </c>
      <c r="Z1104" s="6" t="s">
        <v>298</v>
      </c>
      <c r="AB1104" s="6" t="s">
        <v>240</v>
      </c>
      <c r="AE1104" s="6" t="s">
        <v>299</v>
      </c>
      <c r="AF1104" s="5" t="s">
        <v>248</v>
      </c>
      <c r="AG1104" s="5" t="s">
        <v>249</v>
      </c>
      <c r="AW1104" s="5" t="s">
        <v>251</v>
      </c>
      <c r="AX1104" s="5" t="s">
        <v>240</v>
      </c>
      <c r="AY1104" s="5" t="s">
        <v>253</v>
      </c>
      <c r="AZ1104" s="5" t="s">
        <v>240</v>
      </c>
      <c r="BA1104" s="5" t="s">
        <v>255</v>
      </c>
      <c r="BB1104" s="5" t="s">
        <v>240</v>
      </c>
      <c r="BD1104" s="5" t="s">
        <v>240</v>
      </c>
      <c r="BF1104" s="5" t="s">
        <v>301</v>
      </c>
      <c r="BG1104" s="6" t="s">
        <v>299</v>
      </c>
      <c r="BH1104" s="5" t="s">
        <v>302</v>
      </c>
      <c r="BI1104" s="5" t="s">
        <v>303</v>
      </c>
      <c r="BJ1104" s="5" t="s">
        <v>240</v>
      </c>
      <c r="BK1104" s="8">
        <f>0</f>
        <v>0</v>
      </c>
      <c r="BL1104" s="7">
        <f>0</f>
        <v>0</v>
      </c>
      <c r="BM1104" s="5" t="s">
        <v>258</v>
      </c>
      <c r="BN1104" s="5" t="s">
        <v>259</v>
      </c>
      <c r="CB1104" s="5" t="s">
        <v>240</v>
      </c>
      <c r="CC1104" s="5" t="s">
        <v>240</v>
      </c>
      <c r="CG1104" s="5" t="s">
        <v>304</v>
      </c>
      <c r="CH1104" s="5" t="s">
        <v>305</v>
      </c>
      <c r="CI1104" s="5" t="s">
        <v>240</v>
      </c>
      <c r="CL1104" s="6" t="s">
        <v>261</v>
      </c>
      <c r="CM1104" s="5" t="s">
        <v>240</v>
      </c>
      <c r="CN1104" s="5" t="s">
        <v>263</v>
      </c>
      <c r="CO1104" s="5" t="s">
        <v>240</v>
      </c>
      <c r="CP1104" s="5" t="s">
        <v>240</v>
      </c>
      <c r="CQ1104" s="5">
        <v>0</v>
      </c>
      <c r="CR1104" s="5" t="s">
        <v>306</v>
      </c>
      <c r="CS1104" s="5" t="s">
        <v>307</v>
      </c>
      <c r="CT1104" s="5" t="s">
        <v>307</v>
      </c>
      <c r="CU1104" s="5" t="s">
        <v>260</v>
      </c>
      <c r="CX1104" s="7">
        <f>1</f>
        <v>1</v>
      </c>
      <c r="CY1104" s="7">
        <f>0</f>
        <v>0</v>
      </c>
      <c r="DA1104" s="7">
        <f>0</f>
        <v>0</v>
      </c>
      <c r="DC1104" s="5" t="s">
        <v>812</v>
      </c>
      <c r="DD1104" s="5" t="s">
        <v>240</v>
      </c>
      <c r="DF1104" s="5" t="s">
        <v>812</v>
      </c>
      <c r="DG1104" s="7">
        <f>837</f>
        <v>837</v>
      </c>
      <c r="DI1104" s="5" t="s">
        <v>240</v>
      </c>
      <c r="DJ1104" s="5" t="s">
        <v>240</v>
      </c>
      <c r="DK1104" s="5" t="s">
        <v>240</v>
      </c>
      <c r="DL1104" s="5" t="s">
        <v>240</v>
      </c>
      <c r="DP1104" s="5" t="s">
        <v>240</v>
      </c>
      <c r="DQ1104" s="5" t="s">
        <v>240</v>
      </c>
      <c r="DR1104" s="5" t="s">
        <v>240</v>
      </c>
      <c r="DS1104" s="5" t="s">
        <v>240</v>
      </c>
      <c r="DV1104" s="5" t="s">
        <v>813</v>
      </c>
      <c r="DW1104" s="5" t="s">
        <v>2341</v>
      </c>
      <c r="HO1104" s="5" t="s">
        <v>312</v>
      </c>
    </row>
    <row r="1105" spans="1:223" x14ac:dyDescent="0.4">
      <c r="A1105" s="5">
        <v>2780</v>
      </c>
      <c r="B1105" s="5">
        <v>1</v>
      </c>
      <c r="C1105" s="5">
        <v>1</v>
      </c>
      <c r="D1105" s="5" t="s">
        <v>297</v>
      </c>
      <c r="E1105" s="5" t="s">
        <v>245</v>
      </c>
      <c r="F1105" s="5" t="s">
        <v>254</v>
      </c>
      <c r="G1105" s="5" t="s">
        <v>240</v>
      </c>
      <c r="H1105" s="6" t="s">
        <v>901</v>
      </c>
      <c r="I1105" s="5" t="s">
        <v>295</v>
      </c>
      <c r="J1105" s="8">
        <f>8092</f>
        <v>8092</v>
      </c>
      <c r="K1105" s="5" t="s">
        <v>308</v>
      </c>
      <c r="L1105" s="7">
        <f>1</f>
        <v>1</v>
      </c>
      <c r="M1105" s="7">
        <f>1</f>
        <v>1</v>
      </c>
      <c r="N1105" s="5" t="s">
        <v>242</v>
      </c>
      <c r="O1105" s="5">
        <v>1</v>
      </c>
      <c r="P1105" s="5" t="s">
        <v>294</v>
      </c>
      <c r="Q1105" s="5" t="s">
        <v>266</v>
      </c>
      <c r="R1105" s="5" t="s">
        <v>240</v>
      </c>
      <c r="S1105" s="5" t="s">
        <v>240</v>
      </c>
      <c r="T1105" s="5" t="s">
        <v>296</v>
      </c>
      <c r="U1105" s="5" t="s">
        <v>244</v>
      </c>
      <c r="V1105" s="5" t="s">
        <v>240</v>
      </c>
      <c r="Y1105" s="5" t="s">
        <v>240</v>
      </c>
      <c r="Z1105" s="6" t="s">
        <v>298</v>
      </c>
      <c r="AB1105" s="6" t="s">
        <v>240</v>
      </c>
      <c r="AE1105" s="6" t="s">
        <v>299</v>
      </c>
      <c r="AF1105" s="5" t="s">
        <v>248</v>
      </c>
      <c r="AG1105" s="5" t="s">
        <v>249</v>
      </c>
      <c r="AW1105" s="5" t="s">
        <v>251</v>
      </c>
      <c r="AX1105" s="5" t="s">
        <v>240</v>
      </c>
      <c r="AY1105" s="5" t="s">
        <v>253</v>
      </c>
      <c r="AZ1105" s="5" t="s">
        <v>240</v>
      </c>
      <c r="BA1105" s="5" t="s">
        <v>255</v>
      </c>
      <c r="BB1105" s="5" t="s">
        <v>240</v>
      </c>
      <c r="BD1105" s="5" t="s">
        <v>240</v>
      </c>
      <c r="BF1105" s="5" t="s">
        <v>301</v>
      </c>
      <c r="BG1105" s="6" t="s">
        <v>299</v>
      </c>
      <c r="BH1105" s="5" t="s">
        <v>302</v>
      </c>
      <c r="BI1105" s="5" t="s">
        <v>303</v>
      </c>
      <c r="BJ1105" s="5" t="s">
        <v>240</v>
      </c>
      <c r="BK1105" s="8">
        <f>0</f>
        <v>0</v>
      </c>
      <c r="BL1105" s="7">
        <f>0</f>
        <v>0</v>
      </c>
      <c r="BM1105" s="5" t="s">
        <v>258</v>
      </c>
      <c r="BN1105" s="5" t="s">
        <v>259</v>
      </c>
      <c r="CB1105" s="5" t="s">
        <v>240</v>
      </c>
      <c r="CC1105" s="5" t="s">
        <v>240</v>
      </c>
      <c r="CG1105" s="5" t="s">
        <v>304</v>
      </c>
      <c r="CH1105" s="5" t="s">
        <v>305</v>
      </c>
      <c r="CI1105" s="5" t="s">
        <v>240</v>
      </c>
      <c r="CL1105" s="6" t="s">
        <v>261</v>
      </c>
      <c r="CM1105" s="5" t="s">
        <v>240</v>
      </c>
      <c r="CN1105" s="5" t="s">
        <v>263</v>
      </c>
      <c r="CO1105" s="5" t="s">
        <v>240</v>
      </c>
      <c r="CP1105" s="5" t="s">
        <v>240</v>
      </c>
      <c r="CQ1105" s="5">
        <v>0</v>
      </c>
      <c r="CR1105" s="5" t="s">
        <v>306</v>
      </c>
      <c r="CS1105" s="5" t="s">
        <v>307</v>
      </c>
      <c r="CT1105" s="5" t="s">
        <v>307</v>
      </c>
      <c r="CU1105" s="5" t="s">
        <v>260</v>
      </c>
      <c r="CX1105" s="7">
        <f>1</f>
        <v>1</v>
      </c>
      <c r="CY1105" s="7">
        <f>0</f>
        <v>0</v>
      </c>
      <c r="DA1105" s="7">
        <f>0</f>
        <v>0</v>
      </c>
      <c r="DC1105" s="5" t="s">
        <v>812</v>
      </c>
      <c r="DD1105" s="5" t="s">
        <v>240</v>
      </c>
      <c r="DF1105" s="5" t="s">
        <v>812</v>
      </c>
      <c r="DG1105" s="7">
        <f>176</f>
        <v>176</v>
      </c>
      <c r="DI1105" s="5" t="s">
        <v>240</v>
      </c>
      <c r="DJ1105" s="5" t="s">
        <v>240</v>
      </c>
      <c r="DK1105" s="5" t="s">
        <v>240</v>
      </c>
      <c r="DL1105" s="5" t="s">
        <v>240</v>
      </c>
      <c r="DP1105" s="5" t="s">
        <v>240</v>
      </c>
      <c r="DQ1105" s="5" t="s">
        <v>240</v>
      </c>
      <c r="DR1105" s="5" t="s">
        <v>240</v>
      </c>
      <c r="DS1105" s="5" t="s">
        <v>240</v>
      </c>
      <c r="DV1105" s="5" t="s">
        <v>813</v>
      </c>
      <c r="DW1105" s="5" t="s">
        <v>2343</v>
      </c>
      <c r="HO1105" s="5" t="s">
        <v>312</v>
      </c>
    </row>
    <row r="1106" spans="1:223" x14ac:dyDescent="0.4">
      <c r="A1106" s="5">
        <v>2781</v>
      </c>
      <c r="B1106" s="5">
        <v>1</v>
      </c>
      <c r="C1106" s="5">
        <v>1</v>
      </c>
      <c r="D1106" s="5" t="s">
        <v>297</v>
      </c>
      <c r="E1106" s="5" t="s">
        <v>245</v>
      </c>
      <c r="F1106" s="5" t="s">
        <v>254</v>
      </c>
      <c r="G1106" s="5" t="s">
        <v>240</v>
      </c>
      <c r="H1106" s="6" t="s">
        <v>1007</v>
      </c>
      <c r="I1106" s="5" t="s">
        <v>295</v>
      </c>
      <c r="J1106" s="8">
        <f>3579</f>
        <v>3579</v>
      </c>
      <c r="K1106" s="5" t="s">
        <v>308</v>
      </c>
      <c r="L1106" s="7">
        <f>1</f>
        <v>1</v>
      </c>
      <c r="M1106" s="7">
        <f>1</f>
        <v>1</v>
      </c>
      <c r="N1106" s="5" t="s">
        <v>242</v>
      </c>
      <c r="O1106" s="5">
        <v>1</v>
      </c>
      <c r="P1106" s="5" t="s">
        <v>294</v>
      </c>
      <c r="Q1106" s="5" t="s">
        <v>266</v>
      </c>
      <c r="R1106" s="5" t="s">
        <v>240</v>
      </c>
      <c r="S1106" s="5" t="s">
        <v>240</v>
      </c>
      <c r="T1106" s="5" t="s">
        <v>296</v>
      </c>
      <c r="U1106" s="5" t="s">
        <v>244</v>
      </c>
      <c r="V1106" s="5" t="s">
        <v>240</v>
      </c>
      <c r="Y1106" s="5" t="s">
        <v>240</v>
      </c>
      <c r="Z1106" s="6" t="s">
        <v>298</v>
      </c>
      <c r="AB1106" s="6" t="s">
        <v>240</v>
      </c>
      <c r="AE1106" s="6" t="s">
        <v>299</v>
      </c>
      <c r="AF1106" s="5" t="s">
        <v>248</v>
      </c>
      <c r="AG1106" s="5" t="s">
        <v>249</v>
      </c>
      <c r="AW1106" s="5" t="s">
        <v>251</v>
      </c>
      <c r="AX1106" s="5" t="s">
        <v>240</v>
      </c>
      <c r="AY1106" s="5" t="s">
        <v>253</v>
      </c>
      <c r="AZ1106" s="5" t="s">
        <v>240</v>
      </c>
      <c r="BA1106" s="5" t="s">
        <v>255</v>
      </c>
      <c r="BB1106" s="5" t="s">
        <v>240</v>
      </c>
      <c r="BD1106" s="5" t="s">
        <v>240</v>
      </c>
      <c r="BF1106" s="5" t="s">
        <v>301</v>
      </c>
      <c r="BG1106" s="6" t="s">
        <v>299</v>
      </c>
      <c r="BH1106" s="5" t="s">
        <v>302</v>
      </c>
      <c r="BI1106" s="5" t="s">
        <v>303</v>
      </c>
      <c r="BJ1106" s="5" t="s">
        <v>240</v>
      </c>
      <c r="BK1106" s="8">
        <f>0</f>
        <v>0</v>
      </c>
      <c r="BL1106" s="7">
        <f>0</f>
        <v>0</v>
      </c>
      <c r="BM1106" s="5" t="s">
        <v>258</v>
      </c>
      <c r="BN1106" s="5" t="s">
        <v>259</v>
      </c>
      <c r="CB1106" s="5" t="s">
        <v>240</v>
      </c>
      <c r="CC1106" s="5" t="s">
        <v>240</v>
      </c>
      <c r="CG1106" s="5" t="s">
        <v>304</v>
      </c>
      <c r="CH1106" s="5" t="s">
        <v>305</v>
      </c>
      <c r="CI1106" s="5" t="s">
        <v>240</v>
      </c>
      <c r="CL1106" s="6" t="s">
        <v>261</v>
      </c>
      <c r="CM1106" s="5" t="s">
        <v>240</v>
      </c>
      <c r="CN1106" s="5" t="s">
        <v>263</v>
      </c>
      <c r="CO1106" s="5" t="s">
        <v>240</v>
      </c>
      <c r="CP1106" s="5" t="s">
        <v>240</v>
      </c>
      <c r="CQ1106" s="5">
        <v>0</v>
      </c>
      <c r="CR1106" s="5" t="s">
        <v>306</v>
      </c>
      <c r="CS1106" s="5" t="s">
        <v>307</v>
      </c>
      <c r="CT1106" s="5" t="s">
        <v>307</v>
      </c>
      <c r="CU1106" s="5" t="s">
        <v>260</v>
      </c>
      <c r="CX1106" s="7">
        <f>1</f>
        <v>1</v>
      </c>
      <c r="CY1106" s="7">
        <f>0</f>
        <v>0</v>
      </c>
      <c r="DA1106" s="7">
        <f>0</f>
        <v>0</v>
      </c>
      <c r="DC1106" s="5" t="s">
        <v>812</v>
      </c>
      <c r="DD1106" s="5" t="s">
        <v>240</v>
      </c>
      <c r="DF1106" s="5" t="s">
        <v>812</v>
      </c>
      <c r="DG1106" s="7">
        <f>159</f>
        <v>159</v>
      </c>
      <c r="DI1106" s="5" t="s">
        <v>240</v>
      </c>
      <c r="DJ1106" s="5" t="s">
        <v>240</v>
      </c>
      <c r="DK1106" s="5" t="s">
        <v>240</v>
      </c>
      <c r="DL1106" s="5" t="s">
        <v>240</v>
      </c>
      <c r="DP1106" s="5" t="s">
        <v>240</v>
      </c>
      <c r="DQ1106" s="5" t="s">
        <v>240</v>
      </c>
      <c r="DR1106" s="5" t="s">
        <v>240</v>
      </c>
      <c r="DS1106" s="5" t="s">
        <v>240</v>
      </c>
      <c r="DV1106" s="5" t="s">
        <v>813</v>
      </c>
      <c r="DW1106" s="5" t="s">
        <v>2345</v>
      </c>
      <c r="HO1106" s="5" t="s">
        <v>312</v>
      </c>
    </row>
    <row r="1107" spans="1:223" x14ac:dyDescent="0.4">
      <c r="A1107" s="5">
        <v>2782</v>
      </c>
      <c r="B1107" s="5">
        <v>1</v>
      </c>
      <c r="C1107" s="5">
        <v>1</v>
      </c>
      <c r="D1107" s="5" t="s">
        <v>297</v>
      </c>
      <c r="E1107" s="5" t="s">
        <v>245</v>
      </c>
      <c r="F1107" s="5" t="s">
        <v>254</v>
      </c>
      <c r="G1107" s="5" t="s">
        <v>240</v>
      </c>
      <c r="H1107" s="6" t="s">
        <v>1251</v>
      </c>
      <c r="I1107" s="5" t="s">
        <v>295</v>
      </c>
      <c r="J1107" s="8">
        <f>1717</f>
        <v>1717</v>
      </c>
      <c r="K1107" s="5" t="s">
        <v>308</v>
      </c>
      <c r="L1107" s="7">
        <f>1</f>
        <v>1</v>
      </c>
      <c r="M1107" s="7">
        <f>1</f>
        <v>1</v>
      </c>
      <c r="N1107" s="5" t="s">
        <v>242</v>
      </c>
      <c r="O1107" s="5">
        <v>1</v>
      </c>
      <c r="P1107" s="5" t="s">
        <v>294</v>
      </c>
      <c r="Q1107" s="5" t="s">
        <v>266</v>
      </c>
      <c r="R1107" s="5" t="s">
        <v>240</v>
      </c>
      <c r="S1107" s="5" t="s">
        <v>240</v>
      </c>
      <c r="T1107" s="5" t="s">
        <v>296</v>
      </c>
      <c r="U1107" s="5" t="s">
        <v>244</v>
      </c>
      <c r="V1107" s="5" t="s">
        <v>240</v>
      </c>
      <c r="Y1107" s="5" t="s">
        <v>240</v>
      </c>
      <c r="Z1107" s="6" t="s">
        <v>298</v>
      </c>
      <c r="AB1107" s="6" t="s">
        <v>240</v>
      </c>
      <c r="AE1107" s="6" t="s">
        <v>299</v>
      </c>
      <c r="AF1107" s="5" t="s">
        <v>248</v>
      </c>
      <c r="AG1107" s="5" t="s">
        <v>249</v>
      </c>
      <c r="AW1107" s="5" t="s">
        <v>251</v>
      </c>
      <c r="AX1107" s="5" t="s">
        <v>240</v>
      </c>
      <c r="AY1107" s="5" t="s">
        <v>253</v>
      </c>
      <c r="AZ1107" s="5" t="s">
        <v>240</v>
      </c>
      <c r="BA1107" s="5" t="s">
        <v>255</v>
      </c>
      <c r="BB1107" s="5" t="s">
        <v>240</v>
      </c>
      <c r="BD1107" s="5" t="s">
        <v>240</v>
      </c>
      <c r="BF1107" s="5" t="s">
        <v>301</v>
      </c>
      <c r="BG1107" s="6" t="s">
        <v>299</v>
      </c>
      <c r="BH1107" s="5" t="s">
        <v>302</v>
      </c>
      <c r="BI1107" s="5" t="s">
        <v>303</v>
      </c>
      <c r="BJ1107" s="5" t="s">
        <v>240</v>
      </c>
      <c r="BK1107" s="8">
        <f>0</f>
        <v>0</v>
      </c>
      <c r="BL1107" s="7">
        <f>0</f>
        <v>0</v>
      </c>
      <c r="BM1107" s="5" t="s">
        <v>258</v>
      </c>
      <c r="BN1107" s="5" t="s">
        <v>259</v>
      </c>
      <c r="CB1107" s="5" t="s">
        <v>240</v>
      </c>
      <c r="CC1107" s="5" t="s">
        <v>240</v>
      </c>
      <c r="CG1107" s="5" t="s">
        <v>304</v>
      </c>
      <c r="CH1107" s="5" t="s">
        <v>305</v>
      </c>
      <c r="CI1107" s="5" t="s">
        <v>240</v>
      </c>
      <c r="CL1107" s="6" t="s">
        <v>261</v>
      </c>
      <c r="CM1107" s="5" t="s">
        <v>240</v>
      </c>
      <c r="CN1107" s="5" t="s">
        <v>263</v>
      </c>
      <c r="CO1107" s="5" t="s">
        <v>240</v>
      </c>
      <c r="CP1107" s="5" t="s">
        <v>240</v>
      </c>
      <c r="CQ1107" s="5">
        <v>0</v>
      </c>
      <c r="CR1107" s="5" t="s">
        <v>306</v>
      </c>
      <c r="CS1107" s="5" t="s">
        <v>307</v>
      </c>
      <c r="CT1107" s="5" t="s">
        <v>307</v>
      </c>
      <c r="CU1107" s="5" t="s">
        <v>260</v>
      </c>
      <c r="CX1107" s="7">
        <f>1</f>
        <v>1</v>
      </c>
      <c r="CY1107" s="7">
        <f>0</f>
        <v>0</v>
      </c>
      <c r="DA1107" s="7">
        <f>0</f>
        <v>0</v>
      </c>
      <c r="DC1107" s="5" t="s">
        <v>812</v>
      </c>
      <c r="DD1107" s="5" t="s">
        <v>240</v>
      </c>
      <c r="DF1107" s="5" t="s">
        <v>812</v>
      </c>
      <c r="DG1107" s="7">
        <f>73</f>
        <v>73</v>
      </c>
      <c r="DI1107" s="5" t="s">
        <v>240</v>
      </c>
      <c r="DJ1107" s="5" t="s">
        <v>240</v>
      </c>
      <c r="DK1107" s="5" t="s">
        <v>240</v>
      </c>
      <c r="DL1107" s="5" t="s">
        <v>240</v>
      </c>
      <c r="DP1107" s="5" t="s">
        <v>240</v>
      </c>
      <c r="DQ1107" s="5" t="s">
        <v>240</v>
      </c>
      <c r="DR1107" s="5" t="s">
        <v>240</v>
      </c>
      <c r="DS1107" s="5" t="s">
        <v>240</v>
      </c>
      <c r="DV1107" s="5" t="s">
        <v>813</v>
      </c>
      <c r="DW1107" s="5" t="s">
        <v>2347</v>
      </c>
      <c r="HO1107" s="5" t="s">
        <v>312</v>
      </c>
    </row>
    <row r="1108" spans="1:223" x14ac:dyDescent="0.4">
      <c r="A1108" s="5">
        <v>2783</v>
      </c>
      <c r="B1108" s="5">
        <v>1</v>
      </c>
      <c r="C1108" s="5">
        <v>1</v>
      </c>
      <c r="D1108" s="5" t="s">
        <v>297</v>
      </c>
      <c r="E1108" s="5" t="s">
        <v>245</v>
      </c>
      <c r="F1108" s="5" t="s">
        <v>254</v>
      </c>
      <c r="G1108" s="5" t="s">
        <v>240</v>
      </c>
      <c r="H1108" s="6" t="s">
        <v>1467</v>
      </c>
      <c r="I1108" s="5" t="s">
        <v>295</v>
      </c>
      <c r="J1108" s="8">
        <f>735</f>
        <v>735</v>
      </c>
      <c r="K1108" s="5" t="s">
        <v>308</v>
      </c>
      <c r="L1108" s="7">
        <f>1</f>
        <v>1</v>
      </c>
      <c r="M1108" s="7">
        <f>1</f>
        <v>1</v>
      </c>
      <c r="N1108" s="5" t="s">
        <v>242</v>
      </c>
      <c r="O1108" s="5">
        <v>1</v>
      </c>
      <c r="P1108" s="5" t="s">
        <v>294</v>
      </c>
      <c r="Q1108" s="5" t="s">
        <v>266</v>
      </c>
      <c r="R1108" s="5" t="s">
        <v>240</v>
      </c>
      <c r="S1108" s="5" t="s">
        <v>240</v>
      </c>
      <c r="T1108" s="5" t="s">
        <v>296</v>
      </c>
      <c r="U1108" s="5" t="s">
        <v>244</v>
      </c>
      <c r="V1108" s="5" t="s">
        <v>240</v>
      </c>
      <c r="Y1108" s="5" t="s">
        <v>240</v>
      </c>
      <c r="Z1108" s="6" t="s">
        <v>298</v>
      </c>
      <c r="AB1108" s="6" t="s">
        <v>240</v>
      </c>
      <c r="AE1108" s="6" t="s">
        <v>299</v>
      </c>
      <c r="AF1108" s="5" t="s">
        <v>248</v>
      </c>
      <c r="AG1108" s="5" t="s">
        <v>249</v>
      </c>
      <c r="AW1108" s="5" t="s">
        <v>251</v>
      </c>
      <c r="AX1108" s="5" t="s">
        <v>240</v>
      </c>
      <c r="AY1108" s="5" t="s">
        <v>253</v>
      </c>
      <c r="AZ1108" s="5" t="s">
        <v>240</v>
      </c>
      <c r="BA1108" s="5" t="s">
        <v>255</v>
      </c>
      <c r="BB1108" s="5" t="s">
        <v>240</v>
      </c>
      <c r="BD1108" s="5" t="s">
        <v>240</v>
      </c>
      <c r="BF1108" s="5" t="s">
        <v>301</v>
      </c>
      <c r="BG1108" s="6" t="s">
        <v>299</v>
      </c>
      <c r="BH1108" s="5" t="s">
        <v>302</v>
      </c>
      <c r="BI1108" s="5" t="s">
        <v>303</v>
      </c>
      <c r="BJ1108" s="5" t="s">
        <v>240</v>
      </c>
      <c r="BK1108" s="8">
        <f>0</f>
        <v>0</v>
      </c>
      <c r="BL1108" s="7">
        <f>0</f>
        <v>0</v>
      </c>
      <c r="BM1108" s="5" t="s">
        <v>258</v>
      </c>
      <c r="BN1108" s="5" t="s">
        <v>259</v>
      </c>
      <c r="CB1108" s="5" t="s">
        <v>240</v>
      </c>
      <c r="CC1108" s="5" t="s">
        <v>240</v>
      </c>
      <c r="CG1108" s="5" t="s">
        <v>304</v>
      </c>
      <c r="CH1108" s="5" t="s">
        <v>305</v>
      </c>
      <c r="CI1108" s="5" t="s">
        <v>240</v>
      </c>
      <c r="CL1108" s="6" t="s">
        <v>261</v>
      </c>
      <c r="CM1108" s="5" t="s">
        <v>240</v>
      </c>
      <c r="CN1108" s="5" t="s">
        <v>263</v>
      </c>
      <c r="CO1108" s="5" t="s">
        <v>240</v>
      </c>
      <c r="CP1108" s="5" t="s">
        <v>240</v>
      </c>
      <c r="CQ1108" s="5">
        <v>0</v>
      </c>
      <c r="CR1108" s="5" t="s">
        <v>306</v>
      </c>
      <c r="CS1108" s="5" t="s">
        <v>307</v>
      </c>
      <c r="CT1108" s="5" t="s">
        <v>307</v>
      </c>
      <c r="CU1108" s="5" t="s">
        <v>260</v>
      </c>
      <c r="CX1108" s="7">
        <f>1</f>
        <v>1</v>
      </c>
      <c r="CY1108" s="7">
        <f>0</f>
        <v>0</v>
      </c>
      <c r="DA1108" s="7">
        <f>0</f>
        <v>0</v>
      </c>
      <c r="DC1108" s="5" t="s">
        <v>812</v>
      </c>
      <c r="DD1108" s="5" t="s">
        <v>240</v>
      </c>
      <c r="DF1108" s="5" t="s">
        <v>812</v>
      </c>
      <c r="DG1108" s="7">
        <f>80</f>
        <v>80</v>
      </c>
      <c r="DI1108" s="5" t="s">
        <v>240</v>
      </c>
      <c r="DJ1108" s="5" t="s">
        <v>240</v>
      </c>
      <c r="DK1108" s="5" t="s">
        <v>240</v>
      </c>
      <c r="DL1108" s="5" t="s">
        <v>240</v>
      </c>
      <c r="DP1108" s="5" t="s">
        <v>240</v>
      </c>
      <c r="DQ1108" s="5" t="s">
        <v>240</v>
      </c>
      <c r="DR1108" s="5" t="s">
        <v>240</v>
      </c>
      <c r="DS1108" s="5" t="s">
        <v>240</v>
      </c>
      <c r="DV1108" s="5" t="s">
        <v>813</v>
      </c>
      <c r="DW1108" s="5" t="s">
        <v>2106</v>
      </c>
      <c r="HO1108" s="5" t="s">
        <v>312</v>
      </c>
    </row>
    <row r="1109" spans="1:223" x14ac:dyDescent="0.4">
      <c r="A1109" s="5">
        <v>2784</v>
      </c>
      <c r="B1109" s="5">
        <v>1</v>
      </c>
      <c r="C1109" s="5">
        <v>1</v>
      </c>
      <c r="D1109" s="5" t="s">
        <v>297</v>
      </c>
      <c r="E1109" s="5" t="s">
        <v>245</v>
      </c>
      <c r="F1109" s="5" t="s">
        <v>254</v>
      </c>
      <c r="G1109" s="5" t="s">
        <v>240</v>
      </c>
      <c r="H1109" s="6" t="s">
        <v>1576</v>
      </c>
      <c r="I1109" s="5" t="s">
        <v>295</v>
      </c>
      <c r="J1109" s="8">
        <f>1007</f>
        <v>1007</v>
      </c>
      <c r="K1109" s="5" t="s">
        <v>308</v>
      </c>
      <c r="L1109" s="7">
        <f>1</f>
        <v>1</v>
      </c>
      <c r="M1109" s="7">
        <f>1</f>
        <v>1</v>
      </c>
      <c r="N1109" s="5" t="s">
        <v>242</v>
      </c>
      <c r="O1109" s="5">
        <v>1</v>
      </c>
      <c r="P1109" s="5" t="s">
        <v>294</v>
      </c>
      <c r="Q1109" s="5" t="s">
        <v>266</v>
      </c>
      <c r="R1109" s="5" t="s">
        <v>240</v>
      </c>
      <c r="S1109" s="5" t="s">
        <v>240</v>
      </c>
      <c r="T1109" s="5" t="s">
        <v>296</v>
      </c>
      <c r="U1109" s="5" t="s">
        <v>244</v>
      </c>
      <c r="V1109" s="5" t="s">
        <v>240</v>
      </c>
      <c r="Y1109" s="5" t="s">
        <v>240</v>
      </c>
      <c r="Z1109" s="6" t="s">
        <v>298</v>
      </c>
      <c r="AB1109" s="6" t="s">
        <v>240</v>
      </c>
      <c r="AE1109" s="6" t="s">
        <v>299</v>
      </c>
      <c r="AF1109" s="5" t="s">
        <v>248</v>
      </c>
      <c r="AG1109" s="5" t="s">
        <v>249</v>
      </c>
      <c r="AW1109" s="5" t="s">
        <v>251</v>
      </c>
      <c r="AX1109" s="5" t="s">
        <v>240</v>
      </c>
      <c r="AY1109" s="5" t="s">
        <v>253</v>
      </c>
      <c r="AZ1109" s="5" t="s">
        <v>240</v>
      </c>
      <c r="BA1109" s="5" t="s">
        <v>255</v>
      </c>
      <c r="BB1109" s="5" t="s">
        <v>240</v>
      </c>
      <c r="BD1109" s="5" t="s">
        <v>240</v>
      </c>
      <c r="BF1109" s="5" t="s">
        <v>301</v>
      </c>
      <c r="BG1109" s="6" t="s">
        <v>299</v>
      </c>
      <c r="BH1109" s="5" t="s">
        <v>302</v>
      </c>
      <c r="BI1109" s="5" t="s">
        <v>303</v>
      </c>
      <c r="BJ1109" s="5" t="s">
        <v>240</v>
      </c>
      <c r="BK1109" s="8">
        <f>0</f>
        <v>0</v>
      </c>
      <c r="BL1109" s="7">
        <f>0</f>
        <v>0</v>
      </c>
      <c r="BM1109" s="5" t="s">
        <v>258</v>
      </c>
      <c r="BN1109" s="5" t="s">
        <v>259</v>
      </c>
      <c r="CB1109" s="5" t="s">
        <v>240</v>
      </c>
      <c r="CC1109" s="5" t="s">
        <v>240</v>
      </c>
      <c r="CG1109" s="5" t="s">
        <v>304</v>
      </c>
      <c r="CH1109" s="5" t="s">
        <v>305</v>
      </c>
      <c r="CI1109" s="5" t="s">
        <v>240</v>
      </c>
      <c r="CL1109" s="6" t="s">
        <v>261</v>
      </c>
      <c r="CM1109" s="5" t="s">
        <v>240</v>
      </c>
      <c r="CN1109" s="5" t="s">
        <v>263</v>
      </c>
      <c r="CO1109" s="5" t="s">
        <v>240</v>
      </c>
      <c r="CP1109" s="5" t="s">
        <v>240</v>
      </c>
      <c r="CQ1109" s="5">
        <v>0</v>
      </c>
      <c r="CR1109" s="5" t="s">
        <v>306</v>
      </c>
      <c r="CS1109" s="5" t="s">
        <v>307</v>
      </c>
      <c r="CT1109" s="5" t="s">
        <v>307</v>
      </c>
      <c r="CU1109" s="5" t="s">
        <v>260</v>
      </c>
      <c r="CX1109" s="7">
        <f>1</f>
        <v>1</v>
      </c>
      <c r="CY1109" s="7">
        <f>0</f>
        <v>0</v>
      </c>
      <c r="DA1109" s="7">
        <f>0</f>
        <v>0</v>
      </c>
      <c r="DC1109" s="5" t="s">
        <v>812</v>
      </c>
      <c r="DD1109" s="5" t="s">
        <v>240</v>
      </c>
      <c r="DF1109" s="5" t="s">
        <v>812</v>
      </c>
      <c r="DG1109" s="7">
        <f>677</f>
        <v>677</v>
      </c>
      <c r="DI1109" s="5" t="s">
        <v>240</v>
      </c>
      <c r="DJ1109" s="5" t="s">
        <v>240</v>
      </c>
      <c r="DK1109" s="5" t="s">
        <v>240</v>
      </c>
      <c r="DL1109" s="5" t="s">
        <v>240</v>
      </c>
      <c r="DP1109" s="5" t="s">
        <v>240</v>
      </c>
      <c r="DQ1109" s="5" t="s">
        <v>240</v>
      </c>
      <c r="DR1109" s="5" t="s">
        <v>240</v>
      </c>
      <c r="DS1109" s="5" t="s">
        <v>240</v>
      </c>
      <c r="DV1109" s="5" t="s">
        <v>813</v>
      </c>
      <c r="DW1109" s="5" t="s">
        <v>2350</v>
      </c>
      <c r="HO1109" s="5" t="s">
        <v>312</v>
      </c>
    </row>
    <row r="1110" spans="1:223" x14ac:dyDescent="0.4">
      <c r="A1110" s="5">
        <v>2785</v>
      </c>
      <c r="B1110" s="5">
        <v>1</v>
      </c>
      <c r="C1110" s="5">
        <v>1</v>
      </c>
      <c r="D1110" s="5" t="s">
        <v>297</v>
      </c>
      <c r="E1110" s="5" t="s">
        <v>245</v>
      </c>
      <c r="F1110" s="5" t="s">
        <v>254</v>
      </c>
      <c r="G1110" s="5" t="s">
        <v>240</v>
      </c>
      <c r="H1110" s="6" t="s">
        <v>1583</v>
      </c>
      <c r="I1110" s="5" t="s">
        <v>295</v>
      </c>
      <c r="J1110" s="8">
        <f>1801</f>
        <v>1801</v>
      </c>
      <c r="K1110" s="5" t="s">
        <v>308</v>
      </c>
      <c r="L1110" s="7">
        <f>1</f>
        <v>1</v>
      </c>
      <c r="M1110" s="7">
        <f>1</f>
        <v>1</v>
      </c>
      <c r="N1110" s="5" t="s">
        <v>242</v>
      </c>
      <c r="O1110" s="5">
        <v>1</v>
      </c>
      <c r="P1110" s="5" t="s">
        <v>294</v>
      </c>
      <c r="Q1110" s="5" t="s">
        <v>266</v>
      </c>
      <c r="R1110" s="5" t="s">
        <v>240</v>
      </c>
      <c r="S1110" s="5" t="s">
        <v>240</v>
      </c>
      <c r="T1110" s="5" t="s">
        <v>296</v>
      </c>
      <c r="U1110" s="5" t="s">
        <v>244</v>
      </c>
      <c r="V1110" s="5" t="s">
        <v>240</v>
      </c>
      <c r="Y1110" s="5" t="s">
        <v>240</v>
      </c>
      <c r="Z1110" s="6" t="s">
        <v>298</v>
      </c>
      <c r="AB1110" s="6" t="s">
        <v>240</v>
      </c>
      <c r="AE1110" s="6" t="s">
        <v>299</v>
      </c>
      <c r="AF1110" s="5" t="s">
        <v>248</v>
      </c>
      <c r="AG1110" s="5" t="s">
        <v>249</v>
      </c>
      <c r="AW1110" s="5" t="s">
        <v>251</v>
      </c>
      <c r="AX1110" s="5" t="s">
        <v>240</v>
      </c>
      <c r="AY1110" s="5" t="s">
        <v>253</v>
      </c>
      <c r="AZ1110" s="5" t="s">
        <v>240</v>
      </c>
      <c r="BA1110" s="5" t="s">
        <v>255</v>
      </c>
      <c r="BB1110" s="5" t="s">
        <v>240</v>
      </c>
      <c r="BD1110" s="5" t="s">
        <v>240</v>
      </c>
      <c r="BF1110" s="5" t="s">
        <v>301</v>
      </c>
      <c r="BG1110" s="6" t="s">
        <v>299</v>
      </c>
      <c r="BH1110" s="5" t="s">
        <v>302</v>
      </c>
      <c r="BI1110" s="5" t="s">
        <v>303</v>
      </c>
      <c r="BJ1110" s="5" t="s">
        <v>240</v>
      </c>
      <c r="BK1110" s="8">
        <f>0</f>
        <v>0</v>
      </c>
      <c r="BL1110" s="7">
        <f>0</f>
        <v>0</v>
      </c>
      <c r="BM1110" s="5" t="s">
        <v>258</v>
      </c>
      <c r="BN1110" s="5" t="s">
        <v>259</v>
      </c>
      <c r="CB1110" s="5" t="s">
        <v>240</v>
      </c>
      <c r="CC1110" s="5" t="s">
        <v>240</v>
      </c>
      <c r="CG1110" s="5" t="s">
        <v>304</v>
      </c>
      <c r="CH1110" s="5" t="s">
        <v>305</v>
      </c>
      <c r="CI1110" s="5" t="s">
        <v>240</v>
      </c>
      <c r="CL1110" s="6" t="s">
        <v>261</v>
      </c>
      <c r="CM1110" s="5" t="s">
        <v>240</v>
      </c>
      <c r="CN1110" s="5" t="s">
        <v>263</v>
      </c>
      <c r="CO1110" s="5" t="s">
        <v>240</v>
      </c>
      <c r="CP1110" s="5" t="s">
        <v>240</v>
      </c>
      <c r="CQ1110" s="5">
        <v>0</v>
      </c>
      <c r="CR1110" s="5" t="s">
        <v>306</v>
      </c>
      <c r="CS1110" s="5" t="s">
        <v>307</v>
      </c>
      <c r="CT1110" s="5" t="s">
        <v>307</v>
      </c>
      <c r="CU1110" s="5" t="s">
        <v>260</v>
      </c>
      <c r="CX1110" s="7">
        <f>1</f>
        <v>1</v>
      </c>
      <c r="CY1110" s="7">
        <f>0</f>
        <v>0</v>
      </c>
      <c r="DA1110" s="7">
        <f>0</f>
        <v>0</v>
      </c>
      <c r="DC1110" s="5" t="s">
        <v>309</v>
      </c>
      <c r="DD1110" s="5" t="s">
        <v>240</v>
      </c>
      <c r="DF1110" s="5" t="s">
        <v>309</v>
      </c>
      <c r="DG1110" s="7">
        <f>211</f>
        <v>211</v>
      </c>
      <c r="DI1110" s="5" t="s">
        <v>240</v>
      </c>
      <c r="DJ1110" s="5" t="s">
        <v>240</v>
      </c>
      <c r="DK1110" s="5" t="s">
        <v>240</v>
      </c>
      <c r="DL1110" s="5" t="s">
        <v>240</v>
      </c>
      <c r="DP1110" s="5" t="s">
        <v>240</v>
      </c>
      <c r="DQ1110" s="5" t="s">
        <v>240</v>
      </c>
      <c r="DR1110" s="5" t="s">
        <v>240</v>
      </c>
      <c r="DS1110" s="5" t="s">
        <v>240</v>
      </c>
      <c r="DV1110" s="5" t="s">
        <v>310</v>
      </c>
      <c r="DW1110" s="5" t="s">
        <v>2139</v>
      </c>
      <c r="HO1110" s="5" t="s">
        <v>312</v>
      </c>
    </row>
    <row r="1111" spans="1:223" x14ac:dyDescent="0.4">
      <c r="A1111" s="5">
        <v>2786</v>
      </c>
      <c r="B1111" s="5">
        <v>1</v>
      </c>
      <c r="C1111" s="5">
        <v>1</v>
      </c>
      <c r="D1111" s="5" t="s">
        <v>297</v>
      </c>
      <c r="E1111" s="5" t="s">
        <v>245</v>
      </c>
      <c r="F1111" s="5" t="s">
        <v>254</v>
      </c>
      <c r="G1111" s="5" t="s">
        <v>240</v>
      </c>
      <c r="H1111" s="6" t="s">
        <v>1589</v>
      </c>
      <c r="I1111" s="5" t="s">
        <v>295</v>
      </c>
      <c r="J1111" s="8">
        <f>908</f>
        <v>908</v>
      </c>
      <c r="K1111" s="5" t="s">
        <v>308</v>
      </c>
      <c r="L1111" s="7">
        <f>1</f>
        <v>1</v>
      </c>
      <c r="M1111" s="7">
        <f>1</f>
        <v>1</v>
      </c>
      <c r="N1111" s="5" t="s">
        <v>242</v>
      </c>
      <c r="O1111" s="5">
        <v>1</v>
      </c>
      <c r="P1111" s="5" t="s">
        <v>294</v>
      </c>
      <c r="Q1111" s="5" t="s">
        <v>266</v>
      </c>
      <c r="R1111" s="5" t="s">
        <v>240</v>
      </c>
      <c r="S1111" s="5" t="s">
        <v>240</v>
      </c>
      <c r="T1111" s="5" t="s">
        <v>296</v>
      </c>
      <c r="U1111" s="5" t="s">
        <v>244</v>
      </c>
      <c r="V1111" s="5" t="s">
        <v>240</v>
      </c>
      <c r="Y1111" s="5" t="s">
        <v>240</v>
      </c>
      <c r="Z1111" s="6" t="s">
        <v>298</v>
      </c>
      <c r="AB1111" s="6" t="s">
        <v>240</v>
      </c>
      <c r="AE1111" s="6" t="s">
        <v>299</v>
      </c>
      <c r="AF1111" s="5" t="s">
        <v>248</v>
      </c>
      <c r="AG1111" s="5" t="s">
        <v>249</v>
      </c>
      <c r="AW1111" s="5" t="s">
        <v>251</v>
      </c>
      <c r="AX1111" s="5" t="s">
        <v>240</v>
      </c>
      <c r="AY1111" s="5" t="s">
        <v>253</v>
      </c>
      <c r="AZ1111" s="5" t="s">
        <v>240</v>
      </c>
      <c r="BA1111" s="5" t="s">
        <v>255</v>
      </c>
      <c r="BB1111" s="5" t="s">
        <v>240</v>
      </c>
      <c r="BD1111" s="5" t="s">
        <v>240</v>
      </c>
      <c r="BF1111" s="5" t="s">
        <v>301</v>
      </c>
      <c r="BG1111" s="6" t="s">
        <v>299</v>
      </c>
      <c r="BH1111" s="5" t="s">
        <v>302</v>
      </c>
      <c r="BI1111" s="5" t="s">
        <v>303</v>
      </c>
      <c r="BJ1111" s="5" t="s">
        <v>240</v>
      </c>
      <c r="BK1111" s="8">
        <f>0</f>
        <v>0</v>
      </c>
      <c r="BL1111" s="7">
        <f>0</f>
        <v>0</v>
      </c>
      <c r="BM1111" s="5" t="s">
        <v>258</v>
      </c>
      <c r="BN1111" s="5" t="s">
        <v>259</v>
      </c>
      <c r="CB1111" s="5" t="s">
        <v>240</v>
      </c>
      <c r="CC1111" s="5" t="s">
        <v>240</v>
      </c>
      <c r="CG1111" s="5" t="s">
        <v>304</v>
      </c>
      <c r="CH1111" s="5" t="s">
        <v>305</v>
      </c>
      <c r="CI1111" s="5" t="s">
        <v>240</v>
      </c>
      <c r="CL1111" s="6" t="s">
        <v>261</v>
      </c>
      <c r="CM1111" s="5" t="s">
        <v>240</v>
      </c>
      <c r="CN1111" s="5" t="s">
        <v>263</v>
      </c>
      <c r="CO1111" s="5" t="s">
        <v>240</v>
      </c>
      <c r="CP1111" s="5" t="s">
        <v>240</v>
      </c>
      <c r="CQ1111" s="5">
        <v>0</v>
      </c>
      <c r="CR1111" s="5" t="s">
        <v>306</v>
      </c>
      <c r="CS1111" s="5" t="s">
        <v>307</v>
      </c>
      <c r="CT1111" s="5" t="s">
        <v>307</v>
      </c>
      <c r="CU1111" s="5" t="s">
        <v>260</v>
      </c>
      <c r="CX1111" s="7">
        <f>1</f>
        <v>1</v>
      </c>
      <c r="CY1111" s="7">
        <f>0</f>
        <v>0</v>
      </c>
      <c r="DA1111" s="7">
        <f>0</f>
        <v>0</v>
      </c>
      <c r="DC1111" s="5" t="s">
        <v>812</v>
      </c>
      <c r="DD1111" s="5" t="s">
        <v>240</v>
      </c>
      <c r="DF1111" s="5" t="s">
        <v>812</v>
      </c>
      <c r="DG1111" s="7">
        <f>149</f>
        <v>149</v>
      </c>
      <c r="DI1111" s="5" t="s">
        <v>240</v>
      </c>
      <c r="DJ1111" s="5" t="s">
        <v>240</v>
      </c>
      <c r="DK1111" s="5" t="s">
        <v>240</v>
      </c>
      <c r="DL1111" s="5" t="s">
        <v>240</v>
      </c>
      <c r="DP1111" s="5" t="s">
        <v>240</v>
      </c>
      <c r="DQ1111" s="5" t="s">
        <v>240</v>
      </c>
      <c r="DR1111" s="5" t="s">
        <v>240</v>
      </c>
      <c r="DS1111" s="5" t="s">
        <v>240</v>
      </c>
      <c r="DV1111" s="5" t="s">
        <v>813</v>
      </c>
      <c r="DW1111" s="5" t="s">
        <v>2353</v>
      </c>
      <c r="HO1111" s="5" t="s">
        <v>312</v>
      </c>
    </row>
    <row r="1112" spans="1:223" x14ac:dyDescent="0.4">
      <c r="A1112" s="5">
        <v>2787</v>
      </c>
      <c r="B1112" s="5">
        <v>1</v>
      </c>
      <c r="C1112" s="5">
        <v>1</v>
      </c>
      <c r="D1112" s="5" t="s">
        <v>297</v>
      </c>
      <c r="E1112" s="5" t="s">
        <v>245</v>
      </c>
      <c r="F1112" s="5" t="s">
        <v>254</v>
      </c>
      <c r="G1112" s="5" t="s">
        <v>240</v>
      </c>
      <c r="H1112" s="6" t="s">
        <v>1600</v>
      </c>
      <c r="I1112" s="5" t="s">
        <v>295</v>
      </c>
      <c r="J1112" s="8">
        <f>1826</f>
        <v>1826</v>
      </c>
      <c r="K1112" s="5" t="s">
        <v>308</v>
      </c>
      <c r="L1112" s="7">
        <f>1</f>
        <v>1</v>
      </c>
      <c r="M1112" s="7">
        <f>1</f>
        <v>1</v>
      </c>
      <c r="N1112" s="5" t="s">
        <v>242</v>
      </c>
      <c r="O1112" s="5">
        <v>1</v>
      </c>
      <c r="P1112" s="5" t="s">
        <v>294</v>
      </c>
      <c r="Q1112" s="5" t="s">
        <v>266</v>
      </c>
      <c r="R1112" s="5" t="s">
        <v>240</v>
      </c>
      <c r="S1112" s="5" t="s">
        <v>240</v>
      </c>
      <c r="T1112" s="5" t="s">
        <v>296</v>
      </c>
      <c r="U1112" s="5" t="s">
        <v>244</v>
      </c>
      <c r="V1112" s="5" t="s">
        <v>240</v>
      </c>
      <c r="Y1112" s="5" t="s">
        <v>240</v>
      </c>
      <c r="Z1112" s="6" t="s">
        <v>298</v>
      </c>
      <c r="AB1112" s="6" t="s">
        <v>240</v>
      </c>
      <c r="AE1112" s="6" t="s">
        <v>299</v>
      </c>
      <c r="AF1112" s="5" t="s">
        <v>248</v>
      </c>
      <c r="AG1112" s="5" t="s">
        <v>249</v>
      </c>
      <c r="AW1112" s="5" t="s">
        <v>251</v>
      </c>
      <c r="AX1112" s="5" t="s">
        <v>240</v>
      </c>
      <c r="AY1112" s="5" t="s">
        <v>253</v>
      </c>
      <c r="AZ1112" s="5" t="s">
        <v>240</v>
      </c>
      <c r="BA1112" s="5" t="s">
        <v>255</v>
      </c>
      <c r="BB1112" s="5" t="s">
        <v>240</v>
      </c>
      <c r="BD1112" s="5" t="s">
        <v>240</v>
      </c>
      <c r="BF1112" s="5" t="s">
        <v>301</v>
      </c>
      <c r="BG1112" s="6" t="s">
        <v>299</v>
      </c>
      <c r="BH1112" s="5" t="s">
        <v>302</v>
      </c>
      <c r="BI1112" s="5" t="s">
        <v>303</v>
      </c>
      <c r="BJ1112" s="5" t="s">
        <v>240</v>
      </c>
      <c r="BK1112" s="8">
        <f>0</f>
        <v>0</v>
      </c>
      <c r="BL1112" s="7">
        <f>0</f>
        <v>0</v>
      </c>
      <c r="BM1112" s="5" t="s">
        <v>258</v>
      </c>
      <c r="BN1112" s="5" t="s">
        <v>259</v>
      </c>
      <c r="CB1112" s="5" t="s">
        <v>240</v>
      </c>
      <c r="CC1112" s="5" t="s">
        <v>240</v>
      </c>
      <c r="CG1112" s="5" t="s">
        <v>304</v>
      </c>
      <c r="CH1112" s="5" t="s">
        <v>305</v>
      </c>
      <c r="CI1112" s="5" t="s">
        <v>240</v>
      </c>
      <c r="CL1112" s="6" t="s">
        <v>261</v>
      </c>
      <c r="CM1112" s="5" t="s">
        <v>240</v>
      </c>
      <c r="CN1112" s="5" t="s">
        <v>263</v>
      </c>
      <c r="CO1112" s="5" t="s">
        <v>240</v>
      </c>
      <c r="CP1112" s="5" t="s">
        <v>240</v>
      </c>
      <c r="CQ1112" s="5">
        <v>0</v>
      </c>
      <c r="CR1112" s="5" t="s">
        <v>306</v>
      </c>
      <c r="CS1112" s="5" t="s">
        <v>307</v>
      </c>
      <c r="CT1112" s="5" t="s">
        <v>307</v>
      </c>
      <c r="CU1112" s="5" t="s">
        <v>260</v>
      </c>
      <c r="CX1112" s="7">
        <f>1</f>
        <v>1</v>
      </c>
      <c r="CY1112" s="7">
        <f>0</f>
        <v>0</v>
      </c>
      <c r="DA1112" s="7">
        <f>0</f>
        <v>0</v>
      </c>
      <c r="DC1112" s="5" t="s">
        <v>812</v>
      </c>
      <c r="DD1112" s="5" t="s">
        <v>240</v>
      </c>
      <c r="DF1112" s="5" t="s">
        <v>812</v>
      </c>
      <c r="DG1112" s="7">
        <f>808</f>
        <v>808</v>
      </c>
      <c r="DI1112" s="5" t="s">
        <v>240</v>
      </c>
      <c r="DJ1112" s="5" t="s">
        <v>240</v>
      </c>
      <c r="DK1112" s="5" t="s">
        <v>240</v>
      </c>
      <c r="DL1112" s="5" t="s">
        <v>240</v>
      </c>
      <c r="DP1112" s="5" t="s">
        <v>240</v>
      </c>
      <c r="DQ1112" s="5" t="s">
        <v>240</v>
      </c>
      <c r="DR1112" s="5" t="s">
        <v>240</v>
      </c>
      <c r="DS1112" s="5" t="s">
        <v>240</v>
      </c>
      <c r="DV1112" s="5" t="s">
        <v>813</v>
      </c>
      <c r="DW1112" s="5" t="s">
        <v>2355</v>
      </c>
      <c r="HO1112" s="5" t="s">
        <v>312</v>
      </c>
    </row>
    <row r="1113" spans="1:223" x14ac:dyDescent="0.4">
      <c r="A1113" s="5">
        <v>2788</v>
      </c>
      <c r="B1113" s="5">
        <v>1</v>
      </c>
      <c r="C1113" s="5">
        <v>1</v>
      </c>
      <c r="D1113" s="5" t="s">
        <v>297</v>
      </c>
      <c r="E1113" s="5" t="s">
        <v>245</v>
      </c>
      <c r="F1113" s="5" t="s">
        <v>254</v>
      </c>
      <c r="G1113" s="5" t="s">
        <v>240</v>
      </c>
      <c r="H1113" s="6" t="s">
        <v>1611</v>
      </c>
      <c r="I1113" s="5" t="s">
        <v>295</v>
      </c>
      <c r="J1113" s="8">
        <f>691</f>
        <v>691</v>
      </c>
      <c r="K1113" s="5" t="s">
        <v>308</v>
      </c>
      <c r="L1113" s="7">
        <f>1</f>
        <v>1</v>
      </c>
      <c r="M1113" s="7">
        <f>1</f>
        <v>1</v>
      </c>
      <c r="N1113" s="5" t="s">
        <v>242</v>
      </c>
      <c r="O1113" s="5">
        <v>1</v>
      </c>
      <c r="P1113" s="5" t="s">
        <v>294</v>
      </c>
      <c r="Q1113" s="5" t="s">
        <v>266</v>
      </c>
      <c r="R1113" s="5" t="s">
        <v>240</v>
      </c>
      <c r="S1113" s="5" t="s">
        <v>240</v>
      </c>
      <c r="T1113" s="5" t="s">
        <v>296</v>
      </c>
      <c r="U1113" s="5" t="s">
        <v>244</v>
      </c>
      <c r="V1113" s="5" t="s">
        <v>240</v>
      </c>
      <c r="Y1113" s="5" t="s">
        <v>240</v>
      </c>
      <c r="Z1113" s="6" t="s">
        <v>298</v>
      </c>
      <c r="AB1113" s="6" t="s">
        <v>240</v>
      </c>
      <c r="AE1113" s="6" t="s">
        <v>299</v>
      </c>
      <c r="AF1113" s="5" t="s">
        <v>248</v>
      </c>
      <c r="AG1113" s="5" t="s">
        <v>249</v>
      </c>
      <c r="AW1113" s="5" t="s">
        <v>251</v>
      </c>
      <c r="AX1113" s="5" t="s">
        <v>240</v>
      </c>
      <c r="AY1113" s="5" t="s">
        <v>253</v>
      </c>
      <c r="AZ1113" s="5" t="s">
        <v>240</v>
      </c>
      <c r="BA1113" s="5" t="s">
        <v>255</v>
      </c>
      <c r="BB1113" s="5" t="s">
        <v>240</v>
      </c>
      <c r="BD1113" s="5" t="s">
        <v>240</v>
      </c>
      <c r="BF1113" s="5" t="s">
        <v>301</v>
      </c>
      <c r="BG1113" s="6" t="s">
        <v>299</v>
      </c>
      <c r="BH1113" s="5" t="s">
        <v>302</v>
      </c>
      <c r="BI1113" s="5" t="s">
        <v>303</v>
      </c>
      <c r="BJ1113" s="5" t="s">
        <v>240</v>
      </c>
      <c r="BK1113" s="8">
        <f>0</f>
        <v>0</v>
      </c>
      <c r="BL1113" s="7">
        <f>0</f>
        <v>0</v>
      </c>
      <c r="BM1113" s="5" t="s">
        <v>258</v>
      </c>
      <c r="BN1113" s="5" t="s">
        <v>259</v>
      </c>
      <c r="CB1113" s="5" t="s">
        <v>240</v>
      </c>
      <c r="CC1113" s="5" t="s">
        <v>240</v>
      </c>
      <c r="CG1113" s="5" t="s">
        <v>304</v>
      </c>
      <c r="CH1113" s="5" t="s">
        <v>305</v>
      </c>
      <c r="CI1113" s="5" t="s">
        <v>240</v>
      </c>
      <c r="CL1113" s="6" t="s">
        <v>261</v>
      </c>
      <c r="CM1113" s="5" t="s">
        <v>240</v>
      </c>
      <c r="CN1113" s="5" t="s">
        <v>263</v>
      </c>
      <c r="CO1113" s="5" t="s">
        <v>240</v>
      </c>
      <c r="CP1113" s="5" t="s">
        <v>240</v>
      </c>
      <c r="CQ1113" s="5">
        <v>0</v>
      </c>
      <c r="CR1113" s="5" t="s">
        <v>306</v>
      </c>
      <c r="CS1113" s="5" t="s">
        <v>307</v>
      </c>
      <c r="CT1113" s="5" t="s">
        <v>307</v>
      </c>
      <c r="CU1113" s="5" t="s">
        <v>260</v>
      </c>
      <c r="CX1113" s="7">
        <f>1</f>
        <v>1</v>
      </c>
      <c r="CY1113" s="7">
        <f>0</f>
        <v>0</v>
      </c>
      <c r="DA1113" s="7">
        <f>0</f>
        <v>0</v>
      </c>
      <c r="DC1113" s="5" t="s">
        <v>812</v>
      </c>
      <c r="DD1113" s="5" t="s">
        <v>240</v>
      </c>
      <c r="DF1113" s="5" t="s">
        <v>812</v>
      </c>
      <c r="DG1113" s="7">
        <f>1532</f>
        <v>1532</v>
      </c>
      <c r="DI1113" s="5" t="s">
        <v>240</v>
      </c>
      <c r="DJ1113" s="5" t="s">
        <v>240</v>
      </c>
      <c r="DK1113" s="5" t="s">
        <v>240</v>
      </c>
      <c r="DL1113" s="5" t="s">
        <v>240</v>
      </c>
      <c r="DP1113" s="5" t="s">
        <v>240</v>
      </c>
      <c r="DQ1113" s="5" t="s">
        <v>240</v>
      </c>
      <c r="DR1113" s="5" t="s">
        <v>240</v>
      </c>
      <c r="DS1113" s="5" t="s">
        <v>240</v>
      </c>
      <c r="DV1113" s="5" t="s">
        <v>813</v>
      </c>
      <c r="DW1113" s="5" t="s">
        <v>2357</v>
      </c>
      <c r="HO1113" s="5" t="s">
        <v>312</v>
      </c>
    </row>
    <row r="1114" spans="1:223" x14ac:dyDescent="0.4">
      <c r="A1114" s="5">
        <v>2789</v>
      </c>
      <c r="B1114" s="5">
        <v>1</v>
      </c>
      <c r="C1114" s="5">
        <v>1</v>
      </c>
      <c r="D1114" s="5" t="s">
        <v>297</v>
      </c>
      <c r="E1114" s="5" t="s">
        <v>245</v>
      </c>
      <c r="F1114" s="5" t="s">
        <v>254</v>
      </c>
      <c r="G1114" s="5" t="s">
        <v>240</v>
      </c>
      <c r="H1114" s="6" t="s">
        <v>1616</v>
      </c>
      <c r="I1114" s="5" t="s">
        <v>295</v>
      </c>
      <c r="J1114" s="8">
        <f>600</f>
        <v>600</v>
      </c>
      <c r="K1114" s="5" t="s">
        <v>308</v>
      </c>
      <c r="L1114" s="7">
        <f>1</f>
        <v>1</v>
      </c>
      <c r="M1114" s="7">
        <f>1</f>
        <v>1</v>
      </c>
      <c r="N1114" s="5" t="s">
        <v>242</v>
      </c>
      <c r="O1114" s="5">
        <v>1</v>
      </c>
      <c r="P1114" s="5" t="s">
        <v>294</v>
      </c>
      <c r="Q1114" s="5" t="s">
        <v>266</v>
      </c>
      <c r="R1114" s="5" t="s">
        <v>240</v>
      </c>
      <c r="S1114" s="5" t="s">
        <v>240</v>
      </c>
      <c r="T1114" s="5" t="s">
        <v>296</v>
      </c>
      <c r="U1114" s="5" t="s">
        <v>244</v>
      </c>
      <c r="V1114" s="5" t="s">
        <v>240</v>
      </c>
      <c r="Y1114" s="5" t="s">
        <v>240</v>
      </c>
      <c r="Z1114" s="6" t="s">
        <v>298</v>
      </c>
      <c r="AB1114" s="6" t="s">
        <v>240</v>
      </c>
      <c r="AE1114" s="6" t="s">
        <v>299</v>
      </c>
      <c r="AF1114" s="5" t="s">
        <v>248</v>
      </c>
      <c r="AG1114" s="5" t="s">
        <v>249</v>
      </c>
      <c r="AW1114" s="5" t="s">
        <v>251</v>
      </c>
      <c r="AX1114" s="5" t="s">
        <v>240</v>
      </c>
      <c r="AY1114" s="5" t="s">
        <v>253</v>
      </c>
      <c r="AZ1114" s="5" t="s">
        <v>240</v>
      </c>
      <c r="BA1114" s="5" t="s">
        <v>255</v>
      </c>
      <c r="BB1114" s="5" t="s">
        <v>240</v>
      </c>
      <c r="BD1114" s="5" t="s">
        <v>240</v>
      </c>
      <c r="BF1114" s="5" t="s">
        <v>301</v>
      </c>
      <c r="BG1114" s="6" t="s">
        <v>299</v>
      </c>
      <c r="BH1114" s="5" t="s">
        <v>302</v>
      </c>
      <c r="BI1114" s="5" t="s">
        <v>303</v>
      </c>
      <c r="BJ1114" s="5" t="s">
        <v>240</v>
      </c>
      <c r="BK1114" s="8">
        <f>0</f>
        <v>0</v>
      </c>
      <c r="BL1114" s="7">
        <f>0</f>
        <v>0</v>
      </c>
      <c r="BM1114" s="5" t="s">
        <v>258</v>
      </c>
      <c r="BN1114" s="5" t="s">
        <v>259</v>
      </c>
      <c r="CB1114" s="5" t="s">
        <v>240</v>
      </c>
      <c r="CC1114" s="5" t="s">
        <v>240</v>
      </c>
      <c r="CG1114" s="5" t="s">
        <v>304</v>
      </c>
      <c r="CH1114" s="5" t="s">
        <v>305</v>
      </c>
      <c r="CI1114" s="5" t="s">
        <v>240</v>
      </c>
      <c r="CL1114" s="6" t="s">
        <v>261</v>
      </c>
      <c r="CM1114" s="5" t="s">
        <v>240</v>
      </c>
      <c r="CN1114" s="5" t="s">
        <v>263</v>
      </c>
      <c r="CO1114" s="5" t="s">
        <v>240</v>
      </c>
      <c r="CP1114" s="5" t="s">
        <v>240</v>
      </c>
      <c r="CQ1114" s="5">
        <v>0</v>
      </c>
      <c r="CR1114" s="5" t="s">
        <v>306</v>
      </c>
      <c r="CS1114" s="5" t="s">
        <v>307</v>
      </c>
      <c r="CT1114" s="5" t="s">
        <v>307</v>
      </c>
      <c r="CU1114" s="5" t="s">
        <v>260</v>
      </c>
      <c r="CX1114" s="7">
        <f>1</f>
        <v>1</v>
      </c>
      <c r="CY1114" s="7">
        <f>0</f>
        <v>0</v>
      </c>
      <c r="DA1114" s="7">
        <f>0</f>
        <v>0</v>
      </c>
      <c r="DC1114" s="5" t="s">
        <v>812</v>
      </c>
      <c r="DD1114" s="5" t="s">
        <v>240</v>
      </c>
      <c r="DF1114" s="5" t="s">
        <v>812</v>
      </c>
      <c r="DG1114" s="7">
        <f>86</f>
        <v>86</v>
      </c>
      <c r="DI1114" s="5" t="s">
        <v>240</v>
      </c>
      <c r="DJ1114" s="5" t="s">
        <v>240</v>
      </c>
      <c r="DK1114" s="5" t="s">
        <v>240</v>
      </c>
      <c r="DL1114" s="5" t="s">
        <v>240</v>
      </c>
      <c r="DP1114" s="5" t="s">
        <v>240</v>
      </c>
      <c r="DQ1114" s="5" t="s">
        <v>240</v>
      </c>
      <c r="DR1114" s="5" t="s">
        <v>240</v>
      </c>
      <c r="DS1114" s="5" t="s">
        <v>240</v>
      </c>
      <c r="DV1114" s="5" t="s">
        <v>813</v>
      </c>
      <c r="DW1114" s="5" t="s">
        <v>2359</v>
      </c>
      <c r="HO1114" s="5" t="s">
        <v>312</v>
      </c>
    </row>
    <row r="1115" spans="1:223" x14ac:dyDescent="0.4">
      <c r="A1115" s="5">
        <v>2790</v>
      </c>
      <c r="B1115" s="5">
        <v>1</v>
      </c>
      <c r="C1115" s="5">
        <v>1</v>
      </c>
      <c r="D1115" s="5" t="s">
        <v>297</v>
      </c>
      <c r="E1115" s="5" t="s">
        <v>245</v>
      </c>
      <c r="F1115" s="5" t="s">
        <v>254</v>
      </c>
      <c r="G1115" s="5" t="s">
        <v>240</v>
      </c>
      <c r="H1115" s="6" t="s">
        <v>1620</v>
      </c>
      <c r="I1115" s="5" t="s">
        <v>295</v>
      </c>
      <c r="J1115" s="8">
        <f>202</f>
        <v>202</v>
      </c>
      <c r="K1115" s="5" t="s">
        <v>308</v>
      </c>
      <c r="L1115" s="7">
        <f>1</f>
        <v>1</v>
      </c>
      <c r="M1115" s="7">
        <f>1</f>
        <v>1</v>
      </c>
      <c r="N1115" s="5" t="s">
        <v>242</v>
      </c>
      <c r="O1115" s="5">
        <v>1</v>
      </c>
      <c r="P1115" s="5" t="s">
        <v>294</v>
      </c>
      <c r="Q1115" s="5" t="s">
        <v>266</v>
      </c>
      <c r="R1115" s="5" t="s">
        <v>240</v>
      </c>
      <c r="S1115" s="5" t="s">
        <v>240</v>
      </c>
      <c r="T1115" s="5" t="s">
        <v>296</v>
      </c>
      <c r="U1115" s="5" t="s">
        <v>244</v>
      </c>
      <c r="V1115" s="5" t="s">
        <v>240</v>
      </c>
      <c r="Y1115" s="5" t="s">
        <v>240</v>
      </c>
      <c r="Z1115" s="6" t="s">
        <v>298</v>
      </c>
      <c r="AB1115" s="6" t="s">
        <v>240</v>
      </c>
      <c r="AE1115" s="6" t="s">
        <v>299</v>
      </c>
      <c r="AF1115" s="5" t="s">
        <v>248</v>
      </c>
      <c r="AG1115" s="5" t="s">
        <v>249</v>
      </c>
      <c r="AW1115" s="5" t="s">
        <v>251</v>
      </c>
      <c r="AX1115" s="5" t="s">
        <v>240</v>
      </c>
      <c r="AY1115" s="5" t="s">
        <v>253</v>
      </c>
      <c r="AZ1115" s="5" t="s">
        <v>240</v>
      </c>
      <c r="BA1115" s="5" t="s">
        <v>255</v>
      </c>
      <c r="BB1115" s="5" t="s">
        <v>240</v>
      </c>
      <c r="BD1115" s="5" t="s">
        <v>240</v>
      </c>
      <c r="BF1115" s="5" t="s">
        <v>301</v>
      </c>
      <c r="BG1115" s="6" t="s">
        <v>299</v>
      </c>
      <c r="BH1115" s="5" t="s">
        <v>302</v>
      </c>
      <c r="BI1115" s="5" t="s">
        <v>303</v>
      </c>
      <c r="BJ1115" s="5" t="s">
        <v>240</v>
      </c>
      <c r="BK1115" s="8">
        <f>0</f>
        <v>0</v>
      </c>
      <c r="BL1115" s="7">
        <f>0</f>
        <v>0</v>
      </c>
      <c r="BM1115" s="5" t="s">
        <v>258</v>
      </c>
      <c r="BN1115" s="5" t="s">
        <v>259</v>
      </c>
      <c r="CB1115" s="5" t="s">
        <v>240</v>
      </c>
      <c r="CC1115" s="5" t="s">
        <v>240</v>
      </c>
      <c r="CG1115" s="5" t="s">
        <v>304</v>
      </c>
      <c r="CH1115" s="5" t="s">
        <v>305</v>
      </c>
      <c r="CI1115" s="5" t="s">
        <v>240</v>
      </c>
      <c r="CL1115" s="6" t="s">
        <v>261</v>
      </c>
      <c r="CM1115" s="5" t="s">
        <v>240</v>
      </c>
      <c r="CN1115" s="5" t="s">
        <v>263</v>
      </c>
      <c r="CO1115" s="5" t="s">
        <v>240</v>
      </c>
      <c r="CP1115" s="5" t="s">
        <v>240</v>
      </c>
      <c r="CQ1115" s="5">
        <v>0</v>
      </c>
      <c r="CR1115" s="5" t="s">
        <v>306</v>
      </c>
      <c r="CS1115" s="5" t="s">
        <v>307</v>
      </c>
      <c r="CT1115" s="5" t="s">
        <v>307</v>
      </c>
      <c r="CU1115" s="5" t="s">
        <v>260</v>
      </c>
      <c r="CX1115" s="7">
        <f>1</f>
        <v>1</v>
      </c>
      <c r="CY1115" s="7">
        <f>0</f>
        <v>0</v>
      </c>
      <c r="DA1115" s="7">
        <f>0</f>
        <v>0</v>
      </c>
      <c r="DC1115" s="5" t="s">
        <v>812</v>
      </c>
      <c r="DD1115" s="5" t="s">
        <v>240</v>
      </c>
      <c r="DF1115" s="5" t="s">
        <v>812</v>
      </c>
      <c r="DG1115" s="7">
        <f>712</f>
        <v>712</v>
      </c>
      <c r="DI1115" s="5" t="s">
        <v>240</v>
      </c>
      <c r="DJ1115" s="5" t="s">
        <v>240</v>
      </c>
      <c r="DK1115" s="5" t="s">
        <v>240</v>
      </c>
      <c r="DL1115" s="5" t="s">
        <v>240</v>
      </c>
      <c r="DP1115" s="5" t="s">
        <v>240</v>
      </c>
      <c r="DQ1115" s="5" t="s">
        <v>240</v>
      </c>
      <c r="DR1115" s="5" t="s">
        <v>240</v>
      </c>
      <c r="DS1115" s="5" t="s">
        <v>240</v>
      </c>
      <c r="DV1115" s="5" t="s">
        <v>813</v>
      </c>
      <c r="DW1115" s="5" t="s">
        <v>2361</v>
      </c>
      <c r="HO1115" s="5" t="s">
        <v>312</v>
      </c>
    </row>
    <row r="1116" spans="1:223" x14ac:dyDescent="0.4">
      <c r="A1116" s="5">
        <v>2791</v>
      </c>
      <c r="B1116" s="5">
        <v>1</v>
      </c>
      <c r="C1116" s="5">
        <v>1</v>
      </c>
      <c r="D1116" s="5" t="s">
        <v>297</v>
      </c>
      <c r="E1116" s="5" t="s">
        <v>245</v>
      </c>
      <c r="F1116" s="5" t="s">
        <v>254</v>
      </c>
      <c r="G1116" s="5" t="s">
        <v>240</v>
      </c>
      <c r="H1116" s="6" t="s">
        <v>1638</v>
      </c>
      <c r="I1116" s="5" t="s">
        <v>295</v>
      </c>
      <c r="J1116" s="8">
        <f>9865</f>
        <v>9865</v>
      </c>
      <c r="K1116" s="5" t="s">
        <v>308</v>
      </c>
      <c r="L1116" s="7">
        <f>1</f>
        <v>1</v>
      </c>
      <c r="M1116" s="7">
        <f>1</f>
        <v>1</v>
      </c>
      <c r="N1116" s="5" t="s">
        <v>242</v>
      </c>
      <c r="O1116" s="5">
        <v>1</v>
      </c>
      <c r="P1116" s="5" t="s">
        <v>294</v>
      </c>
      <c r="Q1116" s="5" t="s">
        <v>266</v>
      </c>
      <c r="R1116" s="5" t="s">
        <v>240</v>
      </c>
      <c r="S1116" s="5" t="s">
        <v>240</v>
      </c>
      <c r="T1116" s="5" t="s">
        <v>296</v>
      </c>
      <c r="U1116" s="5" t="s">
        <v>244</v>
      </c>
      <c r="V1116" s="5" t="s">
        <v>240</v>
      </c>
      <c r="Y1116" s="5" t="s">
        <v>240</v>
      </c>
      <c r="Z1116" s="6" t="s">
        <v>298</v>
      </c>
      <c r="AB1116" s="6" t="s">
        <v>240</v>
      </c>
      <c r="AE1116" s="6" t="s">
        <v>299</v>
      </c>
      <c r="AF1116" s="5" t="s">
        <v>248</v>
      </c>
      <c r="AG1116" s="5" t="s">
        <v>249</v>
      </c>
      <c r="AW1116" s="5" t="s">
        <v>251</v>
      </c>
      <c r="AX1116" s="5" t="s">
        <v>240</v>
      </c>
      <c r="AY1116" s="5" t="s">
        <v>253</v>
      </c>
      <c r="AZ1116" s="5" t="s">
        <v>240</v>
      </c>
      <c r="BA1116" s="5" t="s">
        <v>255</v>
      </c>
      <c r="BB1116" s="5" t="s">
        <v>240</v>
      </c>
      <c r="BD1116" s="5" t="s">
        <v>240</v>
      </c>
      <c r="BF1116" s="5" t="s">
        <v>301</v>
      </c>
      <c r="BG1116" s="6" t="s">
        <v>299</v>
      </c>
      <c r="BH1116" s="5" t="s">
        <v>302</v>
      </c>
      <c r="BI1116" s="5" t="s">
        <v>303</v>
      </c>
      <c r="BJ1116" s="5" t="s">
        <v>240</v>
      </c>
      <c r="BK1116" s="8">
        <f>0</f>
        <v>0</v>
      </c>
      <c r="BL1116" s="7">
        <f>0</f>
        <v>0</v>
      </c>
      <c r="BM1116" s="5" t="s">
        <v>258</v>
      </c>
      <c r="BN1116" s="5" t="s">
        <v>259</v>
      </c>
      <c r="CB1116" s="5" t="s">
        <v>240</v>
      </c>
      <c r="CC1116" s="5" t="s">
        <v>240</v>
      </c>
      <c r="CG1116" s="5" t="s">
        <v>304</v>
      </c>
      <c r="CH1116" s="5" t="s">
        <v>305</v>
      </c>
      <c r="CI1116" s="5" t="s">
        <v>240</v>
      </c>
      <c r="CL1116" s="6" t="s">
        <v>261</v>
      </c>
      <c r="CM1116" s="5" t="s">
        <v>240</v>
      </c>
      <c r="CN1116" s="5" t="s">
        <v>263</v>
      </c>
      <c r="CO1116" s="5" t="s">
        <v>240</v>
      </c>
      <c r="CP1116" s="5" t="s">
        <v>240</v>
      </c>
      <c r="CQ1116" s="5">
        <v>0</v>
      </c>
      <c r="CR1116" s="5" t="s">
        <v>306</v>
      </c>
      <c r="CS1116" s="5" t="s">
        <v>307</v>
      </c>
      <c r="CT1116" s="5" t="s">
        <v>307</v>
      </c>
      <c r="CU1116" s="5" t="s">
        <v>260</v>
      </c>
      <c r="CX1116" s="7">
        <f>1</f>
        <v>1</v>
      </c>
      <c r="CY1116" s="7">
        <f>0</f>
        <v>0</v>
      </c>
      <c r="DA1116" s="7">
        <f>0</f>
        <v>0</v>
      </c>
      <c r="DC1116" s="5" t="s">
        <v>812</v>
      </c>
      <c r="DD1116" s="5" t="s">
        <v>240</v>
      </c>
      <c r="DF1116" s="5" t="s">
        <v>812</v>
      </c>
      <c r="DG1116" s="7">
        <f>876</f>
        <v>876</v>
      </c>
      <c r="DI1116" s="5" t="s">
        <v>240</v>
      </c>
      <c r="DJ1116" s="5" t="s">
        <v>240</v>
      </c>
      <c r="DK1116" s="5" t="s">
        <v>240</v>
      </c>
      <c r="DL1116" s="5" t="s">
        <v>240</v>
      </c>
      <c r="DP1116" s="5" t="s">
        <v>240</v>
      </c>
      <c r="DQ1116" s="5" t="s">
        <v>240</v>
      </c>
      <c r="DR1116" s="5" t="s">
        <v>240</v>
      </c>
      <c r="DS1116" s="5" t="s">
        <v>240</v>
      </c>
      <c r="DV1116" s="5" t="s">
        <v>813</v>
      </c>
      <c r="DW1116" s="5" t="s">
        <v>2363</v>
      </c>
      <c r="HO1116" s="5" t="s">
        <v>312</v>
      </c>
    </row>
    <row r="1117" spans="1:223" x14ac:dyDescent="0.4">
      <c r="A1117" s="5">
        <v>2792</v>
      </c>
      <c r="B1117" s="5">
        <v>1</v>
      </c>
      <c r="C1117" s="5">
        <v>1</v>
      </c>
      <c r="D1117" s="5" t="s">
        <v>297</v>
      </c>
      <c r="E1117" s="5" t="s">
        <v>245</v>
      </c>
      <c r="F1117" s="5" t="s">
        <v>254</v>
      </c>
      <c r="G1117" s="5" t="s">
        <v>240</v>
      </c>
      <c r="H1117" s="6" t="s">
        <v>1658</v>
      </c>
      <c r="I1117" s="5" t="s">
        <v>295</v>
      </c>
      <c r="J1117" s="8">
        <f>696</f>
        <v>696</v>
      </c>
      <c r="K1117" s="5" t="s">
        <v>308</v>
      </c>
      <c r="L1117" s="7">
        <f>1</f>
        <v>1</v>
      </c>
      <c r="M1117" s="7">
        <f>1</f>
        <v>1</v>
      </c>
      <c r="N1117" s="5" t="s">
        <v>242</v>
      </c>
      <c r="O1117" s="5">
        <v>1</v>
      </c>
      <c r="P1117" s="5" t="s">
        <v>294</v>
      </c>
      <c r="Q1117" s="5" t="s">
        <v>266</v>
      </c>
      <c r="R1117" s="5" t="s">
        <v>240</v>
      </c>
      <c r="S1117" s="5" t="s">
        <v>240</v>
      </c>
      <c r="T1117" s="5" t="s">
        <v>296</v>
      </c>
      <c r="U1117" s="5" t="s">
        <v>244</v>
      </c>
      <c r="V1117" s="5" t="s">
        <v>240</v>
      </c>
      <c r="Y1117" s="5" t="s">
        <v>240</v>
      </c>
      <c r="Z1117" s="6" t="s">
        <v>298</v>
      </c>
      <c r="AB1117" s="6" t="s">
        <v>240</v>
      </c>
      <c r="AE1117" s="6" t="s">
        <v>299</v>
      </c>
      <c r="AF1117" s="5" t="s">
        <v>248</v>
      </c>
      <c r="AG1117" s="5" t="s">
        <v>249</v>
      </c>
      <c r="AW1117" s="5" t="s">
        <v>251</v>
      </c>
      <c r="AX1117" s="5" t="s">
        <v>240</v>
      </c>
      <c r="AY1117" s="5" t="s">
        <v>253</v>
      </c>
      <c r="AZ1117" s="5" t="s">
        <v>240</v>
      </c>
      <c r="BA1117" s="5" t="s">
        <v>255</v>
      </c>
      <c r="BB1117" s="5" t="s">
        <v>240</v>
      </c>
      <c r="BD1117" s="5" t="s">
        <v>240</v>
      </c>
      <c r="BF1117" s="5" t="s">
        <v>301</v>
      </c>
      <c r="BG1117" s="6" t="s">
        <v>299</v>
      </c>
      <c r="BH1117" s="5" t="s">
        <v>302</v>
      </c>
      <c r="BI1117" s="5" t="s">
        <v>303</v>
      </c>
      <c r="BJ1117" s="5" t="s">
        <v>240</v>
      </c>
      <c r="BK1117" s="8">
        <f>0</f>
        <v>0</v>
      </c>
      <c r="BL1117" s="7">
        <f>0</f>
        <v>0</v>
      </c>
      <c r="BM1117" s="5" t="s">
        <v>258</v>
      </c>
      <c r="BN1117" s="5" t="s">
        <v>259</v>
      </c>
      <c r="CB1117" s="5" t="s">
        <v>240</v>
      </c>
      <c r="CC1117" s="5" t="s">
        <v>240</v>
      </c>
      <c r="CG1117" s="5" t="s">
        <v>304</v>
      </c>
      <c r="CH1117" s="5" t="s">
        <v>305</v>
      </c>
      <c r="CI1117" s="5" t="s">
        <v>240</v>
      </c>
      <c r="CL1117" s="6" t="s">
        <v>261</v>
      </c>
      <c r="CM1117" s="5" t="s">
        <v>240</v>
      </c>
      <c r="CN1117" s="5" t="s">
        <v>263</v>
      </c>
      <c r="CO1117" s="5" t="s">
        <v>240</v>
      </c>
      <c r="CP1117" s="5" t="s">
        <v>240</v>
      </c>
      <c r="CQ1117" s="5">
        <v>0</v>
      </c>
      <c r="CR1117" s="5" t="s">
        <v>306</v>
      </c>
      <c r="CS1117" s="5" t="s">
        <v>307</v>
      </c>
      <c r="CT1117" s="5" t="s">
        <v>307</v>
      </c>
      <c r="CU1117" s="5" t="s">
        <v>260</v>
      </c>
      <c r="CX1117" s="7">
        <f>1</f>
        <v>1</v>
      </c>
      <c r="CY1117" s="7">
        <f>0</f>
        <v>0</v>
      </c>
      <c r="DA1117" s="7">
        <f>0</f>
        <v>0</v>
      </c>
      <c r="DC1117" s="5" t="s">
        <v>812</v>
      </c>
      <c r="DD1117" s="5" t="s">
        <v>240</v>
      </c>
      <c r="DF1117" s="5" t="s">
        <v>812</v>
      </c>
      <c r="DG1117" s="7">
        <f>111</f>
        <v>111</v>
      </c>
      <c r="DI1117" s="5" t="s">
        <v>240</v>
      </c>
      <c r="DJ1117" s="5" t="s">
        <v>240</v>
      </c>
      <c r="DK1117" s="5" t="s">
        <v>240</v>
      </c>
      <c r="DL1117" s="5" t="s">
        <v>240</v>
      </c>
      <c r="DP1117" s="5" t="s">
        <v>240</v>
      </c>
      <c r="DQ1117" s="5" t="s">
        <v>240</v>
      </c>
      <c r="DR1117" s="5" t="s">
        <v>240</v>
      </c>
      <c r="DS1117" s="5" t="s">
        <v>240</v>
      </c>
      <c r="DV1117" s="5" t="s">
        <v>813</v>
      </c>
      <c r="DW1117" s="5" t="s">
        <v>2365</v>
      </c>
      <c r="HO1117" s="5" t="s">
        <v>312</v>
      </c>
    </row>
    <row r="1118" spans="1:223" x14ac:dyDescent="0.4">
      <c r="A1118" s="5">
        <v>2793</v>
      </c>
      <c r="B1118" s="5">
        <v>1</v>
      </c>
      <c r="C1118" s="5">
        <v>1</v>
      </c>
      <c r="D1118" s="5" t="s">
        <v>297</v>
      </c>
      <c r="E1118" s="5" t="s">
        <v>245</v>
      </c>
      <c r="F1118" s="5" t="s">
        <v>254</v>
      </c>
      <c r="G1118" s="5" t="s">
        <v>240</v>
      </c>
      <c r="H1118" s="6" t="s">
        <v>1780</v>
      </c>
      <c r="I1118" s="5" t="s">
        <v>295</v>
      </c>
      <c r="J1118" s="8">
        <f>3433</f>
        <v>3433</v>
      </c>
      <c r="K1118" s="5" t="s">
        <v>308</v>
      </c>
      <c r="L1118" s="7">
        <f>1</f>
        <v>1</v>
      </c>
      <c r="M1118" s="7">
        <f>1</f>
        <v>1</v>
      </c>
      <c r="N1118" s="5" t="s">
        <v>242</v>
      </c>
      <c r="O1118" s="5">
        <v>1</v>
      </c>
      <c r="P1118" s="5" t="s">
        <v>294</v>
      </c>
      <c r="Q1118" s="5" t="s">
        <v>266</v>
      </c>
      <c r="R1118" s="5" t="s">
        <v>240</v>
      </c>
      <c r="S1118" s="5" t="s">
        <v>240</v>
      </c>
      <c r="T1118" s="5" t="s">
        <v>296</v>
      </c>
      <c r="U1118" s="5" t="s">
        <v>244</v>
      </c>
      <c r="V1118" s="5" t="s">
        <v>240</v>
      </c>
      <c r="Y1118" s="5" t="s">
        <v>240</v>
      </c>
      <c r="Z1118" s="6" t="s">
        <v>298</v>
      </c>
      <c r="AB1118" s="6" t="s">
        <v>240</v>
      </c>
      <c r="AE1118" s="6" t="s">
        <v>299</v>
      </c>
      <c r="AF1118" s="5" t="s">
        <v>248</v>
      </c>
      <c r="AG1118" s="5" t="s">
        <v>249</v>
      </c>
      <c r="AW1118" s="5" t="s">
        <v>251</v>
      </c>
      <c r="AX1118" s="5" t="s">
        <v>240</v>
      </c>
      <c r="AY1118" s="5" t="s">
        <v>253</v>
      </c>
      <c r="AZ1118" s="5" t="s">
        <v>240</v>
      </c>
      <c r="BA1118" s="5" t="s">
        <v>255</v>
      </c>
      <c r="BB1118" s="5" t="s">
        <v>240</v>
      </c>
      <c r="BD1118" s="5" t="s">
        <v>240</v>
      </c>
      <c r="BF1118" s="5" t="s">
        <v>301</v>
      </c>
      <c r="BG1118" s="6" t="s">
        <v>299</v>
      </c>
      <c r="BH1118" s="5" t="s">
        <v>302</v>
      </c>
      <c r="BI1118" s="5" t="s">
        <v>303</v>
      </c>
      <c r="BJ1118" s="5" t="s">
        <v>240</v>
      </c>
      <c r="BK1118" s="8">
        <f>0</f>
        <v>0</v>
      </c>
      <c r="BL1118" s="7">
        <f>0</f>
        <v>0</v>
      </c>
      <c r="BM1118" s="5" t="s">
        <v>258</v>
      </c>
      <c r="BN1118" s="5" t="s">
        <v>259</v>
      </c>
      <c r="CB1118" s="5" t="s">
        <v>240</v>
      </c>
      <c r="CC1118" s="5" t="s">
        <v>240</v>
      </c>
      <c r="CG1118" s="5" t="s">
        <v>304</v>
      </c>
      <c r="CH1118" s="5" t="s">
        <v>305</v>
      </c>
      <c r="CI1118" s="5" t="s">
        <v>240</v>
      </c>
      <c r="CL1118" s="6" t="s">
        <v>261</v>
      </c>
      <c r="CM1118" s="5" t="s">
        <v>240</v>
      </c>
      <c r="CN1118" s="5" t="s">
        <v>263</v>
      </c>
      <c r="CO1118" s="5" t="s">
        <v>240</v>
      </c>
      <c r="CP1118" s="5" t="s">
        <v>240</v>
      </c>
      <c r="CQ1118" s="5">
        <v>0</v>
      </c>
      <c r="CR1118" s="5" t="s">
        <v>306</v>
      </c>
      <c r="CS1118" s="5" t="s">
        <v>307</v>
      </c>
      <c r="CT1118" s="5" t="s">
        <v>307</v>
      </c>
      <c r="CU1118" s="5" t="s">
        <v>260</v>
      </c>
      <c r="CX1118" s="7">
        <f>1</f>
        <v>1</v>
      </c>
      <c r="CY1118" s="7">
        <f>0</f>
        <v>0</v>
      </c>
      <c r="DA1118" s="7">
        <f>0</f>
        <v>0</v>
      </c>
      <c r="DC1118" s="5" t="s">
        <v>812</v>
      </c>
      <c r="DD1118" s="5" t="s">
        <v>240</v>
      </c>
      <c r="DF1118" s="5" t="s">
        <v>812</v>
      </c>
      <c r="DG1118" s="7">
        <f>17</f>
        <v>17</v>
      </c>
      <c r="DI1118" s="5" t="s">
        <v>240</v>
      </c>
      <c r="DJ1118" s="5" t="s">
        <v>240</v>
      </c>
      <c r="DK1118" s="5" t="s">
        <v>240</v>
      </c>
      <c r="DL1118" s="5" t="s">
        <v>240</v>
      </c>
      <c r="DP1118" s="5" t="s">
        <v>240</v>
      </c>
      <c r="DQ1118" s="5" t="s">
        <v>240</v>
      </c>
      <c r="DR1118" s="5" t="s">
        <v>240</v>
      </c>
      <c r="DS1118" s="5" t="s">
        <v>240</v>
      </c>
      <c r="DV1118" s="5" t="s">
        <v>813</v>
      </c>
      <c r="DW1118" s="5" t="s">
        <v>2367</v>
      </c>
      <c r="HO1118" s="5" t="s">
        <v>312</v>
      </c>
    </row>
    <row r="1119" spans="1:223" x14ac:dyDescent="0.4">
      <c r="A1119" s="5">
        <v>2794</v>
      </c>
      <c r="B1119" s="5">
        <v>1</v>
      </c>
      <c r="C1119" s="5">
        <v>1</v>
      </c>
      <c r="D1119" s="5" t="s">
        <v>297</v>
      </c>
      <c r="E1119" s="5" t="s">
        <v>245</v>
      </c>
      <c r="F1119" s="5" t="s">
        <v>254</v>
      </c>
      <c r="G1119" s="5" t="s">
        <v>240</v>
      </c>
      <c r="H1119" s="6" t="s">
        <v>1845</v>
      </c>
      <c r="I1119" s="5" t="s">
        <v>295</v>
      </c>
      <c r="J1119" s="8">
        <f>1899</f>
        <v>1899</v>
      </c>
      <c r="K1119" s="5" t="s">
        <v>308</v>
      </c>
      <c r="L1119" s="7">
        <f>1</f>
        <v>1</v>
      </c>
      <c r="M1119" s="7">
        <f>1</f>
        <v>1</v>
      </c>
      <c r="N1119" s="5" t="s">
        <v>242</v>
      </c>
      <c r="O1119" s="5">
        <v>1</v>
      </c>
      <c r="P1119" s="5" t="s">
        <v>294</v>
      </c>
      <c r="Q1119" s="5" t="s">
        <v>266</v>
      </c>
      <c r="R1119" s="5" t="s">
        <v>240</v>
      </c>
      <c r="S1119" s="5" t="s">
        <v>240</v>
      </c>
      <c r="T1119" s="5" t="s">
        <v>296</v>
      </c>
      <c r="U1119" s="5" t="s">
        <v>244</v>
      </c>
      <c r="V1119" s="5" t="s">
        <v>240</v>
      </c>
      <c r="Y1119" s="5" t="s">
        <v>240</v>
      </c>
      <c r="Z1119" s="6" t="s">
        <v>298</v>
      </c>
      <c r="AB1119" s="6" t="s">
        <v>240</v>
      </c>
      <c r="AE1119" s="6" t="s">
        <v>299</v>
      </c>
      <c r="AF1119" s="5" t="s">
        <v>248</v>
      </c>
      <c r="AG1119" s="5" t="s">
        <v>249</v>
      </c>
      <c r="AW1119" s="5" t="s">
        <v>251</v>
      </c>
      <c r="AX1119" s="5" t="s">
        <v>240</v>
      </c>
      <c r="AY1119" s="5" t="s">
        <v>253</v>
      </c>
      <c r="AZ1119" s="5" t="s">
        <v>240</v>
      </c>
      <c r="BA1119" s="5" t="s">
        <v>255</v>
      </c>
      <c r="BB1119" s="5" t="s">
        <v>240</v>
      </c>
      <c r="BD1119" s="5" t="s">
        <v>240</v>
      </c>
      <c r="BF1119" s="5" t="s">
        <v>301</v>
      </c>
      <c r="BG1119" s="6" t="s">
        <v>299</v>
      </c>
      <c r="BH1119" s="5" t="s">
        <v>302</v>
      </c>
      <c r="BI1119" s="5" t="s">
        <v>303</v>
      </c>
      <c r="BJ1119" s="5" t="s">
        <v>240</v>
      </c>
      <c r="BK1119" s="8">
        <f>0</f>
        <v>0</v>
      </c>
      <c r="BL1119" s="7">
        <f>0</f>
        <v>0</v>
      </c>
      <c r="BM1119" s="5" t="s">
        <v>258</v>
      </c>
      <c r="BN1119" s="5" t="s">
        <v>259</v>
      </c>
      <c r="CB1119" s="5" t="s">
        <v>240</v>
      </c>
      <c r="CC1119" s="5" t="s">
        <v>240</v>
      </c>
      <c r="CG1119" s="5" t="s">
        <v>304</v>
      </c>
      <c r="CH1119" s="5" t="s">
        <v>305</v>
      </c>
      <c r="CI1119" s="5" t="s">
        <v>240</v>
      </c>
      <c r="CL1119" s="6" t="s">
        <v>261</v>
      </c>
      <c r="CM1119" s="5" t="s">
        <v>240</v>
      </c>
      <c r="CN1119" s="5" t="s">
        <v>263</v>
      </c>
      <c r="CO1119" s="5" t="s">
        <v>240</v>
      </c>
      <c r="CP1119" s="5" t="s">
        <v>240</v>
      </c>
      <c r="CQ1119" s="5">
        <v>0</v>
      </c>
      <c r="CR1119" s="5" t="s">
        <v>306</v>
      </c>
      <c r="CS1119" s="5" t="s">
        <v>307</v>
      </c>
      <c r="CT1119" s="5" t="s">
        <v>307</v>
      </c>
      <c r="CU1119" s="5" t="s">
        <v>260</v>
      </c>
      <c r="CX1119" s="7">
        <f>1</f>
        <v>1</v>
      </c>
      <c r="CY1119" s="7">
        <f>0</f>
        <v>0</v>
      </c>
      <c r="DA1119" s="7">
        <f>0</f>
        <v>0</v>
      </c>
      <c r="DC1119" s="5" t="s">
        <v>812</v>
      </c>
      <c r="DD1119" s="5" t="s">
        <v>240</v>
      </c>
      <c r="DF1119" s="5" t="s">
        <v>812</v>
      </c>
      <c r="DG1119" s="7">
        <f>122</f>
        <v>122</v>
      </c>
      <c r="DI1119" s="5" t="s">
        <v>240</v>
      </c>
      <c r="DJ1119" s="5" t="s">
        <v>240</v>
      </c>
      <c r="DK1119" s="5" t="s">
        <v>240</v>
      </c>
      <c r="DL1119" s="5" t="s">
        <v>240</v>
      </c>
      <c r="DP1119" s="5" t="s">
        <v>240</v>
      </c>
      <c r="DQ1119" s="5" t="s">
        <v>240</v>
      </c>
      <c r="DR1119" s="5" t="s">
        <v>240</v>
      </c>
      <c r="DS1119" s="5" t="s">
        <v>240</v>
      </c>
      <c r="DV1119" s="5" t="s">
        <v>813</v>
      </c>
      <c r="DW1119" s="5" t="s">
        <v>2369</v>
      </c>
      <c r="HO1119" s="5" t="s">
        <v>312</v>
      </c>
    </row>
    <row r="1120" spans="1:223" x14ac:dyDescent="0.4">
      <c r="A1120" s="5">
        <v>2795</v>
      </c>
      <c r="B1120" s="5">
        <v>1</v>
      </c>
      <c r="C1120" s="5">
        <v>1</v>
      </c>
      <c r="D1120" s="5" t="s">
        <v>297</v>
      </c>
      <c r="E1120" s="5" t="s">
        <v>245</v>
      </c>
      <c r="F1120" s="5" t="s">
        <v>254</v>
      </c>
      <c r="G1120" s="5" t="s">
        <v>240</v>
      </c>
      <c r="H1120" s="6" t="s">
        <v>1979</v>
      </c>
      <c r="I1120" s="5" t="s">
        <v>295</v>
      </c>
      <c r="J1120" s="8">
        <f>3443</f>
        <v>3443</v>
      </c>
      <c r="K1120" s="5" t="s">
        <v>308</v>
      </c>
      <c r="L1120" s="7">
        <f>1</f>
        <v>1</v>
      </c>
      <c r="M1120" s="7">
        <f>1</f>
        <v>1</v>
      </c>
      <c r="N1120" s="5" t="s">
        <v>242</v>
      </c>
      <c r="O1120" s="5">
        <v>1</v>
      </c>
      <c r="P1120" s="5" t="s">
        <v>294</v>
      </c>
      <c r="Q1120" s="5" t="s">
        <v>266</v>
      </c>
      <c r="R1120" s="5" t="s">
        <v>240</v>
      </c>
      <c r="S1120" s="5" t="s">
        <v>240</v>
      </c>
      <c r="T1120" s="5" t="s">
        <v>296</v>
      </c>
      <c r="U1120" s="5" t="s">
        <v>244</v>
      </c>
      <c r="V1120" s="5" t="s">
        <v>240</v>
      </c>
      <c r="Y1120" s="5" t="s">
        <v>240</v>
      </c>
      <c r="Z1120" s="6" t="s">
        <v>298</v>
      </c>
      <c r="AB1120" s="6" t="s">
        <v>240</v>
      </c>
      <c r="AE1120" s="6" t="s">
        <v>299</v>
      </c>
      <c r="AF1120" s="5" t="s">
        <v>248</v>
      </c>
      <c r="AG1120" s="5" t="s">
        <v>249</v>
      </c>
      <c r="AW1120" s="5" t="s">
        <v>251</v>
      </c>
      <c r="AX1120" s="5" t="s">
        <v>240</v>
      </c>
      <c r="AY1120" s="5" t="s">
        <v>253</v>
      </c>
      <c r="AZ1120" s="5" t="s">
        <v>240</v>
      </c>
      <c r="BA1120" s="5" t="s">
        <v>255</v>
      </c>
      <c r="BB1120" s="5" t="s">
        <v>240</v>
      </c>
      <c r="BD1120" s="5" t="s">
        <v>240</v>
      </c>
      <c r="BF1120" s="5" t="s">
        <v>301</v>
      </c>
      <c r="BG1120" s="6" t="s">
        <v>299</v>
      </c>
      <c r="BH1120" s="5" t="s">
        <v>302</v>
      </c>
      <c r="BI1120" s="5" t="s">
        <v>303</v>
      </c>
      <c r="BJ1120" s="5" t="s">
        <v>240</v>
      </c>
      <c r="BK1120" s="8">
        <f>0</f>
        <v>0</v>
      </c>
      <c r="BL1120" s="7">
        <f>0</f>
        <v>0</v>
      </c>
      <c r="BM1120" s="5" t="s">
        <v>258</v>
      </c>
      <c r="BN1120" s="5" t="s">
        <v>259</v>
      </c>
      <c r="CB1120" s="5" t="s">
        <v>240</v>
      </c>
      <c r="CC1120" s="5" t="s">
        <v>240</v>
      </c>
      <c r="CG1120" s="5" t="s">
        <v>304</v>
      </c>
      <c r="CH1120" s="5" t="s">
        <v>305</v>
      </c>
      <c r="CI1120" s="5" t="s">
        <v>240</v>
      </c>
      <c r="CL1120" s="6" t="s">
        <v>261</v>
      </c>
      <c r="CM1120" s="5" t="s">
        <v>240</v>
      </c>
      <c r="CN1120" s="5" t="s">
        <v>263</v>
      </c>
      <c r="CO1120" s="5" t="s">
        <v>240</v>
      </c>
      <c r="CP1120" s="5" t="s">
        <v>240</v>
      </c>
      <c r="CQ1120" s="5">
        <v>0</v>
      </c>
      <c r="CR1120" s="5" t="s">
        <v>306</v>
      </c>
      <c r="CS1120" s="5" t="s">
        <v>307</v>
      </c>
      <c r="CT1120" s="5" t="s">
        <v>307</v>
      </c>
      <c r="CU1120" s="5" t="s">
        <v>260</v>
      </c>
      <c r="CX1120" s="7">
        <f>1</f>
        <v>1</v>
      </c>
      <c r="CY1120" s="7">
        <f>0</f>
        <v>0</v>
      </c>
      <c r="DA1120" s="7">
        <f>0</f>
        <v>0</v>
      </c>
      <c r="DC1120" s="5" t="s">
        <v>812</v>
      </c>
      <c r="DD1120" s="5" t="s">
        <v>240</v>
      </c>
      <c r="DF1120" s="5" t="s">
        <v>812</v>
      </c>
      <c r="DG1120" s="7">
        <f>201</f>
        <v>201</v>
      </c>
      <c r="DI1120" s="5" t="s">
        <v>240</v>
      </c>
      <c r="DJ1120" s="5" t="s">
        <v>240</v>
      </c>
      <c r="DK1120" s="5" t="s">
        <v>240</v>
      </c>
      <c r="DL1120" s="5" t="s">
        <v>240</v>
      </c>
      <c r="DP1120" s="5" t="s">
        <v>240</v>
      </c>
      <c r="DQ1120" s="5" t="s">
        <v>240</v>
      </c>
      <c r="DR1120" s="5" t="s">
        <v>240</v>
      </c>
      <c r="DS1120" s="5" t="s">
        <v>240</v>
      </c>
      <c r="DV1120" s="5" t="s">
        <v>813</v>
      </c>
      <c r="DW1120" s="5" t="s">
        <v>2371</v>
      </c>
      <c r="HO1120" s="5" t="s">
        <v>312</v>
      </c>
    </row>
    <row r="1121" spans="1:223" x14ac:dyDescent="0.4">
      <c r="A1121" s="5">
        <v>2796</v>
      </c>
      <c r="B1121" s="5">
        <v>1</v>
      </c>
      <c r="C1121" s="5">
        <v>1</v>
      </c>
      <c r="D1121" s="5" t="s">
        <v>297</v>
      </c>
      <c r="E1121" s="5" t="s">
        <v>245</v>
      </c>
      <c r="F1121" s="5" t="s">
        <v>254</v>
      </c>
      <c r="G1121" s="5" t="s">
        <v>240</v>
      </c>
      <c r="H1121" s="6" t="s">
        <v>2067</v>
      </c>
      <c r="I1121" s="5" t="s">
        <v>295</v>
      </c>
      <c r="J1121" s="8">
        <f>605</f>
        <v>605</v>
      </c>
      <c r="K1121" s="5" t="s">
        <v>308</v>
      </c>
      <c r="L1121" s="7">
        <f>1</f>
        <v>1</v>
      </c>
      <c r="M1121" s="7">
        <f>1</f>
        <v>1</v>
      </c>
      <c r="N1121" s="5" t="s">
        <v>242</v>
      </c>
      <c r="O1121" s="5">
        <v>1</v>
      </c>
      <c r="P1121" s="5" t="s">
        <v>294</v>
      </c>
      <c r="Q1121" s="5" t="s">
        <v>266</v>
      </c>
      <c r="R1121" s="5" t="s">
        <v>240</v>
      </c>
      <c r="S1121" s="5" t="s">
        <v>240</v>
      </c>
      <c r="T1121" s="5" t="s">
        <v>296</v>
      </c>
      <c r="U1121" s="5" t="s">
        <v>244</v>
      </c>
      <c r="V1121" s="5" t="s">
        <v>240</v>
      </c>
      <c r="Y1121" s="5" t="s">
        <v>240</v>
      </c>
      <c r="Z1121" s="6" t="s">
        <v>298</v>
      </c>
      <c r="AB1121" s="6" t="s">
        <v>240</v>
      </c>
      <c r="AE1121" s="6" t="s">
        <v>299</v>
      </c>
      <c r="AF1121" s="5" t="s">
        <v>248</v>
      </c>
      <c r="AG1121" s="5" t="s">
        <v>249</v>
      </c>
      <c r="AW1121" s="5" t="s">
        <v>251</v>
      </c>
      <c r="AX1121" s="5" t="s">
        <v>240</v>
      </c>
      <c r="AY1121" s="5" t="s">
        <v>253</v>
      </c>
      <c r="AZ1121" s="5" t="s">
        <v>240</v>
      </c>
      <c r="BA1121" s="5" t="s">
        <v>255</v>
      </c>
      <c r="BB1121" s="5" t="s">
        <v>240</v>
      </c>
      <c r="BD1121" s="5" t="s">
        <v>240</v>
      </c>
      <c r="BF1121" s="5" t="s">
        <v>301</v>
      </c>
      <c r="BG1121" s="6" t="s">
        <v>299</v>
      </c>
      <c r="BH1121" s="5" t="s">
        <v>302</v>
      </c>
      <c r="BI1121" s="5" t="s">
        <v>303</v>
      </c>
      <c r="BJ1121" s="5" t="s">
        <v>240</v>
      </c>
      <c r="BK1121" s="8">
        <f>0</f>
        <v>0</v>
      </c>
      <c r="BL1121" s="7">
        <f>0</f>
        <v>0</v>
      </c>
      <c r="BM1121" s="5" t="s">
        <v>258</v>
      </c>
      <c r="BN1121" s="5" t="s">
        <v>259</v>
      </c>
      <c r="CB1121" s="5" t="s">
        <v>240</v>
      </c>
      <c r="CC1121" s="5" t="s">
        <v>240</v>
      </c>
      <c r="CG1121" s="5" t="s">
        <v>304</v>
      </c>
      <c r="CH1121" s="5" t="s">
        <v>305</v>
      </c>
      <c r="CI1121" s="5" t="s">
        <v>240</v>
      </c>
      <c r="CL1121" s="6" t="s">
        <v>261</v>
      </c>
      <c r="CM1121" s="5" t="s">
        <v>240</v>
      </c>
      <c r="CN1121" s="5" t="s">
        <v>263</v>
      </c>
      <c r="CO1121" s="5" t="s">
        <v>240</v>
      </c>
      <c r="CP1121" s="5" t="s">
        <v>240</v>
      </c>
      <c r="CQ1121" s="5">
        <v>0</v>
      </c>
      <c r="CR1121" s="5" t="s">
        <v>306</v>
      </c>
      <c r="CS1121" s="5" t="s">
        <v>307</v>
      </c>
      <c r="CT1121" s="5" t="s">
        <v>307</v>
      </c>
      <c r="CU1121" s="5" t="s">
        <v>260</v>
      </c>
      <c r="CX1121" s="7">
        <f>1</f>
        <v>1</v>
      </c>
      <c r="CY1121" s="7">
        <f>0</f>
        <v>0</v>
      </c>
      <c r="DA1121" s="7">
        <f>0</f>
        <v>0</v>
      </c>
      <c r="DC1121" s="5" t="s">
        <v>812</v>
      </c>
      <c r="DD1121" s="5" t="s">
        <v>240</v>
      </c>
      <c r="DF1121" s="5" t="s">
        <v>812</v>
      </c>
      <c r="DG1121" s="7">
        <f>723</f>
        <v>723</v>
      </c>
      <c r="DI1121" s="5" t="s">
        <v>240</v>
      </c>
      <c r="DJ1121" s="5" t="s">
        <v>240</v>
      </c>
      <c r="DK1121" s="5" t="s">
        <v>240</v>
      </c>
      <c r="DL1121" s="5" t="s">
        <v>240</v>
      </c>
      <c r="DP1121" s="5" t="s">
        <v>240</v>
      </c>
      <c r="DQ1121" s="5" t="s">
        <v>240</v>
      </c>
      <c r="DR1121" s="5" t="s">
        <v>240</v>
      </c>
      <c r="DS1121" s="5" t="s">
        <v>240</v>
      </c>
      <c r="DV1121" s="5" t="s">
        <v>813</v>
      </c>
      <c r="DW1121" s="5" t="s">
        <v>2373</v>
      </c>
      <c r="HO1121" s="5" t="s">
        <v>312</v>
      </c>
    </row>
    <row r="1122" spans="1:223" x14ac:dyDescent="0.4">
      <c r="A1122" s="5">
        <v>2797</v>
      </c>
      <c r="B1122" s="5">
        <v>1</v>
      </c>
      <c r="C1122" s="5">
        <v>1</v>
      </c>
      <c r="D1122" s="5" t="s">
        <v>297</v>
      </c>
      <c r="E1122" s="5" t="s">
        <v>245</v>
      </c>
      <c r="F1122" s="5" t="s">
        <v>254</v>
      </c>
      <c r="G1122" s="5" t="s">
        <v>240</v>
      </c>
      <c r="H1122" s="6" t="s">
        <v>2137</v>
      </c>
      <c r="I1122" s="5" t="s">
        <v>295</v>
      </c>
      <c r="J1122" s="8">
        <f>255</f>
        <v>255</v>
      </c>
      <c r="K1122" s="5" t="s">
        <v>308</v>
      </c>
      <c r="L1122" s="7">
        <f>1</f>
        <v>1</v>
      </c>
      <c r="M1122" s="7">
        <f>1</f>
        <v>1</v>
      </c>
      <c r="N1122" s="5" t="s">
        <v>242</v>
      </c>
      <c r="O1122" s="5">
        <v>1</v>
      </c>
      <c r="P1122" s="5" t="s">
        <v>294</v>
      </c>
      <c r="Q1122" s="5" t="s">
        <v>266</v>
      </c>
      <c r="R1122" s="5" t="s">
        <v>240</v>
      </c>
      <c r="S1122" s="5" t="s">
        <v>240</v>
      </c>
      <c r="T1122" s="5" t="s">
        <v>296</v>
      </c>
      <c r="U1122" s="5" t="s">
        <v>244</v>
      </c>
      <c r="V1122" s="5" t="s">
        <v>240</v>
      </c>
      <c r="Y1122" s="5" t="s">
        <v>240</v>
      </c>
      <c r="Z1122" s="6" t="s">
        <v>298</v>
      </c>
      <c r="AB1122" s="6" t="s">
        <v>240</v>
      </c>
      <c r="AE1122" s="6" t="s">
        <v>299</v>
      </c>
      <c r="AF1122" s="5" t="s">
        <v>248</v>
      </c>
      <c r="AG1122" s="5" t="s">
        <v>249</v>
      </c>
      <c r="AW1122" s="5" t="s">
        <v>251</v>
      </c>
      <c r="AX1122" s="5" t="s">
        <v>240</v>
      </c>
      <c r="AY1122" s="5" t="s">
        <v>253</v>
      </c>
      <c r="AZ1122" s="5" t="s">
        <v>240</v>
      </c>
      <c r="BA1122" s="5" t="s">
        <v>255</v>
      </c>
      <c r="BB1122" s="5" t="s">
        <v>240</v>
      </c>
      <c r="BD1122" s="5" t="s">
        <v>240</v>
      </c>
      <c r="BF1122" s="5" t="s">
        <v>301</v>
      </c>
      <c r="BG1122" s="6" t="s">
        <v>299</v>
      </c>
      <c r="BH1122" s="5" t="s">
        <v>302</v>
      </c>
      <c r="BI1122" s="5" t="s">
        <v>303</v>
      </c>
      <c r="BJ1122" s="5" t="s">
        <v>240</v>
      </c>
      <c r="BK1122" s="8">
        <f>0</f>
        <v>0</v>
      </c>
      <c r="BL1122" s="7">
        <f>0</f>
        <v>0</v>
      </c>
      <c r="BM1122" s="5" t="s">
        <v>258</v>
      </c>
      <c r="BN1122" s="5" t="s">
        <v>259</v>
      </c>
      <c r="CB1122" s="5" t="s">
        <v>240</v>
      </c>
      <c r="CC1122" s="5" t="s">
        <v>240</v>
      </c>
      <c r="CG1122" s="5" t="s">
        <v>304</v>
      </c>
      <c r="CH1122" s="5" t="s">
        <v>305</v>
      </c>
      <c r="CI1122" s="5" t="s">
        <v>240</v>
      </c>
      <c r="CL1122" s="6" t="s">
        <v>261</v>
      </c>
      <c r="CM1122" s="5" t="s">
        <v>240</v>
      </c>
      <c r="CN1122" s="5" t="s">
        <v>263</v>
      </c>
      <c r="CO1122" s="5" t="s">
        <v>240</v>
      </c>
      <c r="CP1122" s="5" t="s">
        <v>240</v>
      </c>
      <c r="CQ1122" s="5">
        <v>0</v>
      </c>
      <c r="CR1122" s="5" t="s">
        <v>306</v>
      </c>
      <c r="CS1122" s="5" t="s">
        <v>307</v>
      </c>
      <c r="CT1122" s="5" t="s">
        <v>307</v>
      </c>
      <c r="CU1122" s="5" t="s">
        <v>260</v>
      </c>
      <c r="CX1122" s="7">
        <f>1</f>
        <v>1</v>
      </c>
      <c r="CY1122" s="7">
        <f>0</f>
        <v>0</v>
      </c>
      <c r="DA1122" s="7">
        <f>0</f>
        <v>0</v>
      </c>
      <c r="DC1122" s="5" t="s">
        <v>812</v>
      </c>
      <c r="DD1122" s="5" t="s">
        <v>240</v>
      </c>
      <c r="DF1122" s="5" t="s">
        <v>812</v>
      </c>
      <c r="DG1122" s="7">
        <f>822</f>
        <v>822</v>
      </c>
      <c r="DI1122" s="5" t="s">
        <v>240</v>
      </c>
      <c r="DJ1122" s="5" t="s">
        <v>240</v>
      </c>
      <c r="DK1122" s="5" t="s">
        <v>240</v>
      </c>
      <c r="DL1122" s="5" t="s">
        <v>240</v>
      </c>
      <c r="DP1122" s="5" t="s">
        <v>240</v>
      </c>
      <c r="DQ1122" s="5" t="s">
        <v>240</v>
      </c>
      <c r="DR1122" s="5" t="s">
        <v>240</v>
      </c>
      <c r="DS1122" s="5" t="s">
        <v>240</v>
      </c>
      <c r="DV1122" s="5" t="s">
        <v>813</v>
      </c>
      <c r="DW1122" s="5" t="s">
        <v>2375</v>
      </c>
      <c r="HO1122" s="5" t="s">
        <v>312</v>
      </c>
    </row>
    <row r="1123" spans="1:223" x14ac:dyDescent="0.4">
      <c r="A1123" s="5">
        <v>2798</v>
      </c>
      <c r="B1123" s="5">
        <v>1</v>
      </c>
      <c r="C1123" s="5">
        <v>1</v>
      </c>
      <c r="D1123" s="5" t="s">
        <v>297</v>
      </c>
      <c r="E1123" s="5" t="s">
        <v>245</v>
      </c>
      <c r="F1123" s="5" t="s">
        <v>254</v>
      </c>
      <c r="G1123" s="5" t="s">
        <v>240</v>
      </c>
      <c r="H1123" s="6" t="s">
        <v>2142</v>
      </c>
      <c r="I1123" s="5" t="s">
        <v>295</v>
      </c>
      <c r="J1123" s="8">
        <f>1532</f>
        <v>1532</v>
      </c>
      <c r="K1123" s="5" t="s">
        <v>308</v>
      </c>
      <c r="L1123" s="7">
        <f>1</f>
        <v>1</v>
      </c>
      <c r="M1123" s="7">
        <f>1</f>
        <v>1</v>
      </c>
      <c r="N1123" s="5" t="s">
        <v>242</v>
      </c>
      <c r="O1123" s="5">
        <v>1</v>
      </c>
      <c r="P1123" s="5" t="s">
        <v>294</v>
      </c>
      <c r="Q1123" s="5" t="s">
        <v>266</v>
      </c>
      <c r="R1123" s="5" t="s">
        <v>240</v>
      </c>
      <c r="S1123" s="5" t="s">
        <v>240</v>
      </c>
      <c r="T1123" s="5" t="s">
        <v>296</v>
      </c>
      <c r="U1123" s="5" t="s">
        <v>244</v>
      </c>
      <c r="V1123" s="5" t="s">
        <v>240</v>
      </c>
      <c r="Y1123" s="5" t="s">
        <v>240</v>
      </c>
      <c r="Z1123" s="6" t="s">
        <v>298</v>
      </c>
      <c r="AB1123" s="6" t="s">
        <v>240</v>
      </c>
      <c r="AE1123" s="6" t="s">
        <v>299</v>
      </c>
      <c r="AF1123" s="5" t="s">
        <v>248</v>
      </c>
      <c r="AG1123" s="5" t="s">
        <v>249</v>
      </c>
      <c r="AW1123" s="5" t="s">
        <v>251</v>
      </c>
      <c r="AX1123" s="5" t="s">
        <v>240</v>
      </c>
      <c r="AY1123" s="5" t="s">
        <v>253</v>
      </c>
      <c r="AZ1123" s="5" t="s">
        <v>240</v>
      </c>
      <c r="BA1123" s="5" t="s">
        <v>255</v>
      </c>
      <c r="BB1123" s="5" t="s">
        <v>240</v>
      </c>
      <c r="BD1123" s="5" t="s">
        <v>240</v>
      </c>
      <c r="BF1123" s="5" t="s">
        <v>301</v>
      </c>
      <c r="BG1123" s="6" t="s">
        <v>299</v>
      </c>
      <c r="BH1123" s="5" t="s">
        <v>302</v>
      </c>
      <c r="BI1123" s="5" t="s">
        <v>303</v>
      </c>
      <c r="BJ1123" s="5" t="s">
        <v>240</v>
      </c>
      <c r="BK1123" s="8">
        <f>0</f>
        <v>0</v>
      </c>
      <c r="BL1123" s="7">
        <f>0</f>
        <v>0</v>
      </c>
      <c r="BM1123" s="5" t="s">
        <v>258</v>
      </c>
      <c r="BN1123" s="5" t="s">
        <v>259</v>
      </c>
      <c r="CB1123" s="5" t="s">
        <v>240</v>
      </c>
      <c r="CC1123" s="5" t="s">
        <v>240</v>
      </c>
      <c r="CG1123" s="5" t="s">
        <v>304</v>
      </c>
      <c r="CH1123" s="5" t="s">
        <v>305</v>
      </c>
      <c r="CI1123" s="5" t="s">
        <v>240</v>
      </c>
      <c r="CL1123" s="6" t="s">
        <v>261</v>
      </c>
      <c r="CM1123" s="5" t="s">
        <v>240</v>
      </c>
      <c r="CN1123" s="5" t="s">
        <v>263</v>
      </c>
      <c r="CO1123" s="5" t="s">
        <v>240</v>
      </c>
      <c r="CP1123" s="5" t="s">
        <v>240</v>
      </c>
      <c r="CQ1123" s="5">
        <v>0</v>
      </c>
      <c r="CR1123" s="5" t="s">
        <v>306</v>
      </c>
      <c r="CS1123" s="5" t="s">
        <v>307</v>
      </c>
      <c r="CT1123" s="5" t="s">
        <v>307</v>
      </c>
      <c r="CU1123" s="5" t="s">
        <v>260</v>
      </c>
      <c r="CX1123" s="7">
        <f>1</f>
        <v>1</v>
      </c>
      <c r="CY1123" s="7">
        <f>0</f>
        <v>0</v>
      </c>
      <c r="DA1123" s="7">
        <f>0</f>
        <v>0</v>
      </c>
      <c r="DC1123" s="5" t="s">
        <v>812</v>
      </c>
      <c r="DD1123" s="5" t="s">
        <v>240</v>
      </c>
      <c r="DF1123" s="5" t="s">
        <v>812</v>
      </c>
      <c r="DG1123" s="7">
        <f>125</f>
        <v>125</v>
      </c>
      <c r="DI1123" s="5" t="s">
        <v>240</v>
      </c>
      <c r="DJ1123" s="5" t="s">
        <v>240</v>
      </c>
      <c r="DK1123" s="5" t="s">
        <v>240</v>
      </c>
      <c r="DL1123" s="5" t="s">
        <v>240</v>
      </c>
      <c r="DP1123" s="5" t="s">
        <v>240</v>
      </c>
      <c r="DQ1123" s="5" t="s">
        <v>240</v>
      </c>
      <c r="DR1123" s="5" t="s">
        <v>240</v>
      </c>
      <c r="DS1123" s="5" t="s">
        <v>240</v>
      </c>
      <c r="DV1123" s="5" t="s">
        <v>813</v>
      </c>
      <c r="DW1123" s="5" t="s">
        <v>2377</v>
      </c>
      <c r="HO1123" s="5" t="s">
        <v>312</v>
      </c>
    </row>
    <row r="1124" spans="1:223" x14ac:dyDescent="0.4">
      <c r="A1124" s="5">
        <v>2799</v>
      </c>
      <c r="B1124" s="5">
        <v>1</v>
      </c>
      <c r="C1124" s="5">
        <v>1</v>
      </c>
      <c r="D1124" s="5" t="s">
        <v>297</v>
      </c>
      <c r="E1124" s="5" t="s">
        <v>245</v>
      </c>
      <c r="F1124" s="5" t="s">
        <v>254</v>
      </c>
      <c r="G1124" s="5" t="s">
        <v>240</v>
      </c>
      <c r="H1124" s="6" t="s">
        <v>2148</v>
      </c>
      <c r="I1124" s="5" t="s">
        <v>295</v>
      </c>
      <c r="J1124" s="8">
        <f>3203</f>
        <v>3203</v>
      </c>
      <c r="K1124" s="5" t="s">
        <v>308</v>
      </c>
      <c r="L1124" s="7">
        <f>1</f>
        <v>1</v>
      </c>
      <c r="M1124" s="7">
        <f>1</f>
        <v>1</v>
      </c>
      <c r="N1124" s="5" t="s">
        <v>242</v>
      </c>
      <c r="O1124" s="5">
        <v>1</v>
      </c>
      <c r="P1124" s="5" t="s">
        <v>294</v>
      </c>
      <c r="Q1124" s="5" t="s">
        <v>266</v>
      </c>
      <c r="R1124" s="5" t="s">
        <v>240</v>
      </c>
      <c r="S1124" s="5" t="s">
        <v>240</v>
      </c>
      <c r="T1124" s="5" t="s">
        <v>296</v>
      </c>
      <c r="U1124" s="5" t="s">
        <v>244</v>
      </c>
      <c r="V1124" s="5" t="s">
        <v>240</v>
      </c>
      <c r="Y1124" s="5" t="s">
        <v>240</v>
      </c>
      <c r="Z1124" s="6" t="s">
        <v>298</v>
      </c>
      <c r="AB1124" s="6" t="s">
        <v>240</v>
      </c>
      <c r="AE1124" s="6" t="s">
        <v>299</v>
      </c>
      <c r="AF1124" s="5" t="s">
        <v>248</v>
      </c>
      <c r="AG1124" s="5" t="s">
        <v>249</v>
      </c>
      <c r="AW1124" s="5" t="s">
        <v>251</v>
      </c>
      <c r="AX1124" s="5" t="s">
        <v>240</v>
      </c>
      <c r="AY1124" s="5" t="s">
        <v>253</v>
      </c>
      <c r="AZ1124" s="5" t="s">
        <v>240</v>
      </c>
      <c r="BA1124" s="5" t="s">
        <v>255</v>
      </c>
      <c r="BB1124" s="5" t="s">
        <v>240</v>
      </c>
      <c r="BD1124" s="5" t="s">
        <v>240</v>
      </c>
      <c r="BF1124" s="5" t="s">
        <v>301</v>
      </c>
      <c r="BG1124" s="6" t="s">
        <v>299</v>
      </c>
      <c r="BH1124" s="5" t="s">
        <v>302</v>
      </c>
      <c r="BI1124" s="5" t="s">
        <v>303</v>
      </c>
      <c r="BJ1124" s="5" t="s">
        <v>240</v>
      </c>
      <c r="BK1124" s="8">
        <f>0</f>
        <v>0</v>
      </c>
      <c r="BL1124" s="7">
        <f>0</f>
        <v>0</v>
      </c>
      <c r="BM1124" s="5" t="s">
        <v>258</v>
      </c>
      <c r="BN1124" s="5" t="s">
        <v>259</v>
      </c>
      <c r="CB1124" s="5" t="s">
        <v>240</v>
      </c>
      <c r="CC1124" s="5" t="s">
        <v>240</v>
      </c>
      <c r="CG1124" s="5" t="s">
        <v>304</v>
      </c>
      <c r="CH1124" s="5" t="s">
        <v>305</v>
      </c>
      <c r="CI1124" s="5" t="s">
        <v>240</v>
      </c>
      <c r="CL1124" s="6" t="s">
        <v>261</v>
      </c>
      <c r="CM1124" s="5" t="s">
        <v>240</v>
      </c>
      <c r="CN1124" s="5" t="s">
        <v>263</v>
      </c>
      <c r="CO1124" s="5" t="s">
        <v>240</v>
      </c>
      <c r="CP1124" s="5" t="s">
        <v>240</v>
      </c>
      <c r="CQ1124" s="5">
        <v>0</v>
      </c>
      <c r="CR1124" s="5" t="s">
        <v>306</v>
      </c>
      <c r="CS1124" s="5" t="s">
        <v>307</v>
      </c>
      <c r="CT1124" s="5" t="s">
        <v>307</v>
      </c>
      <c r="CU1124" s="5" t="s">
        <v>260</v>
      </c>
      <c r="CX1124" s="7">
        <f>1</f>
        <v>1</v>
      </c>
      <c r="CY1124" s="7">
        <f>0</f>
        <v>0</v>
      </c>
      <c r="DA1124" s="7">
        <f>0</f>
        <v>0</v>
      </c>
      <c r="DC1124" s="5" t="s">
        <v>812</v>
      </c>
      <c r="DD1124" s="5" t="s">
        <v>240</v>
      </c>
      <c r="DF1124" s="5" t="s">
        <v>812</v>
      </c>
      <c r="DG1124" s="7">
        <f>654</f>
        <v>654</v>
      </c>
      <c r="DI1124" s="5" t="s">
        <v>240</v>
      </c>
      <c r="DJ1124" s="5" t="s">
        <v>240</v>
      </c>
      <c r="DK1124" s="5" t="s">
        <v>240</v>
      </c>
      <c r="DL1124" s="5" t="s">
        <v>240</v>
      </c>
      <c r="DP1124" s="5" t="s">
        <v>240</v>
      </c>
      <c r="DQ1124" s="5" t="s">
        <v>240</v>
      </c>
      <c r="DR1124" s="5" t="s">
        <v>240</v>
      </c>
      <c r="DS1124" s="5" t="s">
        <v>240</v>
      </c>
      <c r="DV1124" s="5" t="s">
        <v>813</v>
      </c>
      <c r="DW1124" s="5" t="s">
        <v>2379</v>
      </c>
      <c r="HO1124" s="5" t="s">
        <v>312</v>
      </c>
    </row>
    <row r="1125" spans="1:223" x14ac:dyDescent="0.4">
      <c r="A1125" s="5">
        <v>2800</v>
      </c>
      <c r="B1125" s="5">
        <v>1</v>
      </c>
      <c r="C1125" s="5">
        <v>1</v>
      </c>
      <c r="D1125" s="5" t="s">
        <v>297</v>
      </c>
      <c r="E1125" s="5" t="s">
        <v>245</v>
      </c>
      <c r="F1125" s="5" t="s">
        <v>254</v>
      </c>
      <c r="G1125" s="5" t="s">
        <v>240</v>
      </c>
      <c r="H1125" s="6" t="s">
        <v>2153</v>
      </c>
      <c r="I1125" s="5" t="s">
        <v>295</v>
      </c>
      <c r="J1125" s="8">
        <f>1208</f>
        <v>1208</v>
      </c>
      <c r="K1125" s="5" t="s">
        <v>308</v>
      </c>
      <c r="L1125" s="7">
        <f>1</f>
        <v>1</v>
      </c>
      <c r="M1125" s="7">
        <f>1</f>
        <v>1</v>
      </c>
      <c r="N1125" s="5" t="s">
        <v>242</v>
      </c>
      <c r="O1125" s="5">
        <v>1</v>
      </c>
      <c r="P1125" s="5" t="s">
        <v>294</v>
      </c>
      <c r="Q1125" s="5" t="s">
        <v>266</v>
      </c>
      <c r="R1125" s="5" t="s">
        <v>240</v>
      </c>
      <c r="S1125" s="5" t="s">
        <v>240</v>
      </c>
      <c r="T1125" s="5" t="s">
        <v>296</v>
      </c>
      <c r="U1125" s="5" t="s">
        <v>244</v>
      </c>
      <c r="V1125" s="5" t="s">
        <v>240</v>
      </c>
      <c r="Y1125" s="5" t="s">
        <v>240</v>
      </c>
      <c r="Z1125" s="6" t="s">
        <v>298</v>
      </c>
      <c r="AB1125" s="6" t="s">
        <v>240</v>
      </c>
      <c r="AE1125" s="6" t="s">
        <v>299</v>
      </c>
      <c r="AF1125" s="5" t="s">
        <v>248</v>
      </c>
      <c r="AG1125" s="5" t="s">
        <v>249</v>
      </c>
      <c r="AW1125" s="5" t="s">
        <v>251</v>
      </c>
      <c r="AX1125" s="5" t="s">
        <v>240</v>
      </c>
      <c r="AY1125" s="5" t="s">
        <v>253</v>
      </c>
      <c r="AZ1125" s="5" t="s">
        <v>240</v>
      </c>
      <c r="BA1125" s="5" t="s">
        <v>255</v>
      </c>
      <c r="BB1125" s="5" t="s">
        <v>240</v>
      </c>
      <c r="BD1125" s="5" t="s">
        <v>240</v>
      </c>
      <c r="BF1125" s="5" t="s">
        <v>301</v>
      </c>
      <c r="BG1125" s="6" t="s">
        <v>299</v>
      </c>
      <c r="BH1125" s="5" t="s">
        <v>302</v>
      </c>
      <c r="BI1125" s="5" t="s">
        <v>303</v>
      </c>
      <c r="BJ1125" s="5" t="s">
        <v>240</v>
      </c>
      <c r="BK1125" s="8">
        <f>0</f>
        <v>0</v>
      </c>
      <c r="BL1125" s="7">
        <f>0</f>
        <v>0</v>
      </c>
      <c r="BM1125" s="5" t="s">
        <v>258</v>
      </c>
      <c r="BN1125" s="5" t="s">
        <v>259</v>
      </c>
      <c r="CB1125" s="5" t="s">
        <v>240</v>
      </c>
      <c r="CC1125" s="5" t="s">
        <v>240</v>
      </c>
      <c r="CG1125" s="5" t="s">
        <v>304</v>
      </c>
      <c r="CH1125" s="5" t="s">
        <v>305</v>
      </c>
      <c r="CI1125" s="5" t="s">
        <v>240</v>
      </c>
      <c r="CL1125" s="6" t="s">
        <v>261</v>
      </c>
      <c r="CM1125" s="5" t="s">
        <v>240</v>
      </c>
      <c r="CN1125" s="5" t="s">
        <v>263</v>
      </c>
      <c r="CO1125" s="5" t="s">
        <v>240</v>
      </c>
      <c r="CP1125" s="5" t="s">
        <v>240</v>
      </c>
      <c r="CQ1125" s="5">
        <v>0</v>
      </c>
      <c r="CR1125" s="5" t="s">
        <v>306</v>
      </c>
      <c r="CS1125" s="5" t="s">
        <v>307</v>
      </c>
      <c r="CT1125" s="5" t="s">
        <v>307</v>
      </c>
      <c r="CU1125" s="5" t="s">
        <v>260</v>
      </c>
      <c r="CX1125" s="7">
        <f>1</f>
        <v>1</v>
      </c>
      <c r="CY1125" s="7">
        <f>0</f>
        <v>0</v>
      </c>
      <c r="DA1125" s="7">
        <f>0</f>
        <v>0</v>
      </c>
      <c r="DC1125" s="5" t="s">
        <v>812</v>
      </c>
      <c r="DD1125" s="5" t="s">
        <v>240</v>
      </c>
      <c r="DF1125" s="5" t="s">
        <v>812</v>
      </c>
      <c r="DG1125" s="7">
        <f>1273</f>
        <v>1273</v>
      </c>
      <c r="DI1125" s="5" t="s">
        <v>240</v>
      </c>
      <c r="DJ1125" s="5" t="s">
        <v>240</v>
      </c>
      <c r="DK1125" s="5" t="s">
        <v>240</v>
      </c>
      <c r="DL1125" s="5" t="s">
        <v>240</v>
      </c>
      <c r="DP1125" s="5" t="s">
        <v>240</v>
      </c>
      <c r="DQ1125" s="5" t="s">
        <v>240</v>
      </c>
      <c r="DR1125" s="5" t="s">
        <v>240</v>
      </c>
      <c r="DS1125" s="5" t="s">
        <v>240</v>
      </c>
      <c r="DV1125" s="5" t="s">
        <v>813</v>
      </c>
      <c r="DW1125" s="5" t="s">
        <v>2381</v>
      </c>
      <c r="HO1125" s="5" t="s">
        <v>312</v>
      </c>
    </row>
    <row r="1126" spans="1:223" x14ac:dyDescent="0.4">
      <c r="A1126" s="5">
        <v>2801</v>
      </c>
      <c r="B1126" s="5">
        <v>1</v>
      </c>
      <c r="C1126" s="5">
        <v>1</v>
      </c>
      <c r="D1126" s="5" t="s">
        <v>297</v>
      </c>
      <c r="E1126" s="5" t="s">
        <v>245</v>
      </c>
      <c r="F1126" s="5" t="s">
        <v>254</v>
      </c>
      <c r="G1126" s="5" t="s">
        <v>240</v>
      </c>
      <c r="H1126" s="6" t="s">
        <v>2351</v>
      </c>
      <c r="I1126" s="5" t="s">
        <v>295</v>
      </c>
      <c r="J1126" s="8">
        <f>211</f>
        <v>211</v>
      </c>
      <c r="K1126" s="5" t="s">
        <v>308</v>
      </c>
      <c r="L1126" s="7">
        <f>1</f>
        <v>1</v>
      </c>
      <c r="M1126" s="7">
        <f>1</f>
        <v>1</v>
      </c>
      <c r="N1126" s="5" t="s">
        <v>242</v>
      </c>
      <c r="O1126" s="5">
        <v>1</v>
      </c>
      <c r="P1126" s="5" t="s">
        <v>294</v>
      </c>
      <c r="Q1126" s="5" t="s">
        <v>266</v>
      </c>
      <c r="R1126" s="5" t="s">
        <v>240</v>
      </c>
      <c r="S1126" s="5" t="s">
        <v>240</v>
      </c>
      <c r="T1126" s="5" t="s">
        <v>296</v>
      </c>
      <c r="U1126" s="5" t="s">
        <v>244</v>
      </c>
      <c r="V1126" s="5" t="s">
        <v>240</v>
      </c>
      <c r="Y1126" s="5" t="s">
        <v>240</v>
      </c>
      <c r="Z1126" s="6" t="s">
        <v>298</v>
      </c>
      <c r="AB1126" s="6" t="s">
        <v>240</v>
      </c>
      <c r="AE1126" s="6" t="s">
        <v>299</v>
      </c>
      <c r="AF1126" s="5" t="s">
        <v>248</v>
      </c>
      <c r="AG1126" s="5" t="s">
        <v>249</v>
      </c>
      <c r="AW1126" s="5" t="s">
        <v>251</v>
      </c>
      <c r="AX1126" s="5" t="s">
        <v>240</v>
      </c>
      <c r="AY1126" s="5" t="s">
        <v>253</v>
      </c>
      <c r="AZ1126" s="5" t="s">
        <v>240</v>
      </c>
      <c r="BA1126" s="5" t="s">
        <v>255</v>
      </c>
      <c r="BB1126" s="5" t="s">
        <v>240</v>
      </c>
      <c r="BD1126" s="5" t="s">
        <v>240</v>
      </c>
      <c r="BF1126" s="5" t="s">
        <v>301</v>
      </c>
      <c r="BG1126" s="6" t="s">
        <v>299</v>
      </c>
      <c r="BH1126" s="5" t="s">
        <v>302</v>
      </c>
      <c r="BI1126" s="5" t="s">
        <v>303</v>
      </c>
      <c r="BJ1126" s="5" t="s">
        <v>240</v>
      </c>
      <c r="BK1126" s="8">
        <f>0</f>
        <v>0</v>
      </c>
      <c r="BL1126" s="7">
        <f>0</f>
        <v>0</v>
      </c>
      <c r="BM1126" s="5" t="s">
        <v>258</v>
      </c>
      <c r="BN1126" s="5" t="s">
        <v>259</v>
      </c>
      <c r="CB1126" s="5" t="s">
        <v>240</v>
      </c>
      <c r="CC1126" s="5" t="s">
        <v>240</v>
      </c>
      <c r="CG1126" s="5" t="s">
        <v>304</v>
      </c>
      <c r="CH1126" s="5" t="s">
        <v>305</v>
      </c>
      <c r="CI1126" s="5" t="s">
        <v>240</v>
      </c>
      <c r="CL1126" s="6" t="s">
        <v>261</v>
      </c>
      <c r="CM1126" s="5" t="s">
        <v>240</v>
      </c>
      <c r="CN1126" s="5" t="s">
        <v>263</v>
      </c>
      <c r="CO1126" s="5" t="s">
        <v>240</v>
      </c>
      <c r="CP1126" s="5" t="s">
        <v>240</v>
      </c>
      <c r="CQ1126" s="5">
        <v>0</v>
      </c>
      <c r="CR1126" s="5" t="s">
        <v>306</v>
      </c>
      <c r="CS1126" s="5" t="s">
        <v>307</v>
      </c>
      <c r="CT1126" s="5" t="s">
        <v>307</v>
      </c>
      <c r="CU1126" s="5" t="s">
        <v>260</v>
      </c>
      <c r="CX1126" s="7">
        <f>1</f>
        <v>1</v>
      </c>
      <c r="CY1126" s="7">
        <f>0</f>
        <v>0</v>
      </c>
      <c r="DA1126" s="7">
        <f>0</f>
        <v>0</v>
      </c>
      <c r="DC1126" s="5" t="s">
        <v>812</v>
      </c>
      <c r="DD1126" s="5" t="s">
        <v>240</v>
      </c>
      <c r="DF1126" s="5" t="s">
        <v>812</v>
      </c>
      <c r="DG1126" s="7">
        <f>532</f>
        <v>532</v>
      </c>
      <c r="DI1126" s="5" t="s">
        <v>240</v>
      </c>
      <c r="DJ1126" s="5" t="s">
        <v>240</v>
      </c>
      <c r="DK1126" s="5" t="s">
        <v>240</v>
      </c>
      <c r="DL1126" s="5" t="s">
        <v>240</v>
      </c>
      <c r="DP1126" s="5" t="s">
        <v>240</v>
      </c>
      <c r="DQ1126" s="5" t="s">
        <v>240</v>
      </c>
      <c r="DR1126" s="5" t="s">
        <v>240</v>
      </c>
      <c r="DS1126" s="5" t="s">
        <v>240</v>
      </c>
      <c r="DV1126" s="5" t="s">
        <v>813</v>
      </c>
      <c r="DW1126" s="5" t="s">
        <v>2383</v>
      </c>
      <c r="HO1126" s="5" t="s">
        <v>312</v>
      </c>
    </row>
    <row r="1127" spans="1:223" x14ac:dyDescent="0.4">
      <c r="A1127" s="5">
        <v>2802</v>
      </c>
      <c r="B1127" s="5">
        <v>1</v>
      </c>
      <c r="C1127" s="5">
        <v>1</v>
      </c>
      <c r="D1127" s="5" t="s">
        <v>297</v>
      </c>
      <c r="E1127" s="5" t="s">
        <v>245</v>
      </c>
      <c r="F1127" s="5" t="s">
        <v>254</v>
      </c>
      <c r="G1127" s="5" t="s">
        <v>240</v>
      </c>
      <c r="H1127" s="6" t="s">
        <v>2414</v>
      </c>
      <c r="I1127" s="5" t="s">
        <v>295</v>
      </c>
      <c r="J1127" s="8">
        <f>682</f>
        <v>682</v>
      </c>
      <c r="K1127" s="5" t="s">
        <v>308</v>
      </c>
      <c r="L1127" s="7">
        <f>1</f>
        <v>1</v>
      </c>
      <c r="M1127" s="7">
        <f>1</f>
        <v>1</v>
      </c>
      <c r="N1127" s="5" t="s">
        <v>242</v>
      </c>
      <c r="O1127" s="5">
        <v>1</v>
      </c>
      <c r="P1127" s="5" t="s">
        <v>294</v>
      </c>
      <c r="Q1127" s="5" t="s">
        <v>266</v>
      </c>
      <c r="R1127" s="5" t="s">
        <v>240</v>
      </c>
      <c r="S1127" s="5" t="s">
        <v>240</v>
      </c>
      <c r="T1127" s="5" t="s">
        <v>296</v>
      </c>
      <c r="U1127" s="5" t="s">
        <v>244</v>
      </c>
      <c r="V1127" s="5" t="s">
        <v>240</v>
      </c>
      <c r="Y1127" s="5" t="s">
        <v>240</v>
      </c>
      <c r="Z1127" s="6" t="s">
        <v>298</v>
      </c>
      <c r="AB1127" s="6" t="s">
        <v>240</v>
      </c>
      <c r="AE1127" s="6" t="s">
        <v>299</v>
      </c>
      <c r="AF1127" s="5" t="s">
        <v>248</v>
      </c>
      <c r="AG1127" s="5" t="s">
        <v>249</v>
      </c>
      <c r="AW1127" s="5" t="s">
        <v>251</v>
      </c>
      <c r="AX1127" s="5" t="s">
        <v>240</v>
      </c>
      <c r="AY1127" s="5" t="s">
        <v>253</v>
      </c>
      <c r="AZ1127" s="5" t="s">
        <v>240</v>
      </c>
      <c r="BA1127" s="5" t="s">
        <v>255</v>
      </c>
      <c r="BB1127" s="5" t="s">
        <v>240</v>
      </c>
      <c r="BD1127" s="5" t="s">
        <v>240</v>
      </c>
      <c r="BF1127" s="5" t="s">
        <v>301</v>
      </c>
      <c r="BG1127" s="6" t="s">
        <v>299</v>
      </c>
      <c r="BH1127" s="5" t="s">
        <v>302</v>
      </c>
      <c r="BI1127" s="5" t="s">
        <v>303</v>
      </c>
      <c r="BJ1127" s="5" t="s">
        <v>240</v>
      </c>
      <c r="BK1127" s="8">
        <f>0</f>
        <v>0</v>
      </c>
      <c r="BL1127" s="7">
        <f>0</f>
        <v>0</v>
      </c>
      <c r="BM1127" s="5" t="s">
        <v>258</v>
      </c>
      <c r="BN1127" s="5" t="s">
        <v>259</v>
      </c>
      <c r="CB1127" s="5" t="s">
        <v>240</v>
      </c>
      <c r="CC1127" s="5" t="s">
        <v>240</v>
      </c>
      <c r="CG1127" s="5" t="s">
        <v>304</v>
      </c>
      <c r="CH1127" s="5" t="s">
        <v>305</v>
      </c>
      <c r="CI1127" s="5" t="s">
        <v>240</v>
      </c>
      <c r="CL1127" s="6" t="s">
        <v>261</v>
      </c>
      <c r="CM1127" s="5" t="s">
        <v>240</v>
      </c>
      <c r="CN1127" s="5" t="s">
        <v>263</v>
      </c>
      <c r="CO1127" s="5" t="s">
        <v>240</v>
      </c>
      <c r="CP1127" s="5" t="s">
        <v>240</v>
      </c>
      <c r="CQ1127" s="5">
        <v>0</v>
      </c>
      <c r="CR1127" s="5" t="s">
        <v>306</v>
      </c>
      <c r="CS1127" s="5" t="s">
        <v>307</v>
      </c>
      <c r="CT1127" s="5" t="s">
        <v>307</v>
      </c>
      <c r="CU1127" s="5" t="s">
        <v>260</v>
      </c>
      <c r="CX1127" s="7">
        <f>1</f>
        <v>1</v>
      </c>
      <c r="CY1127" s="7">
        <f>0</f>
        <v>0</v>
      </c>
      <c r="DA1127" s="7">
        <f>0</f>
        <v>0</v>
      </c>
      <c r="DC1127" s="5" t="s">
        <v>812</v>
      </c>
      <c r="DD1127" s="5" t="s">
        <v>240</v>
      </c>
      <c r="DF1127" s="5" t="s">
        <v>812</v>
      </c>
      <c r="DG1127" s="7">
        <f>1005</f>
        <v>1005</v>
      </c>
      <c r="DI1127" s="5" t="s">
        <v>240</v>
      </c>
      <c r="DJ1127" s="5" t="s">
        <v>240</v>
      </c>
      <c r="DK1127" s="5" t="s">
        <v>240</v>
      </c>
      <c r="DL1127" s="5" t="s">
        <v>240</v>
      </c>
      <c r="DP1127" s="5" t="s">
        <v>240</v>
      </c>
      <c r="DQ1127" s="5" t="s">
        <v>240</v>
      </c>
      <c r="DR1127" s="5" t="s">
        <v>240</v>
      </c>
      <c r="DS1127" s="5" t="s">
        <v>240</v>
      </c>
      <c r="DV1127" s="5" t="s">
        <v>813</v>
      </c>
      <c r="DW1127" s="5" t="s">
        <v>2385</v>
      </c>
      <c r="HO1127" s="5" t="s">
        <v>312</v>
      </c>
    </row>
    <row r="1128" spans="1:223" x14ac:dyDescent="0.4">
      <c r="A1128" s="5">
        <v>2803</v>
      </c>
      <c r="B1128" s="5">
        <v>1</v>
      </c>
      <c r="C1128" s="5">
        <v>1</v>
      </c>
      <c r="D1128" s="5" t="s">
        <v>297</v>
      </c>
      <c r="E1128" s="5" t="s">
        <v>245</v>
      </c>
      <c r="F1128" s="5" t="s">
        <v>254</v>
      </c>
      <c r="G1128" s="5" t="s">
        <v>240</v>
      </c>
      <c r="H1128" s="6" t="s">
        <v>2927</v>
      </c>
      <c r="I1128" s="5" t="s">
        <v>295</v>
      </c>
      <c r="J1128" s="8">
        <f>228</f>
        <v>228</v>
      </c>
      <c r="K1128" s="5" t="s">
        <v>308</v>
      </c>
      <c r="L1128" s="7">
        <f>1</f>
        <v>1</v>
      </c>
      <c r="M1128" s="7">
        <f>1</f>
        <v>1</v>
      </c>
      <c r="N1128" s="5" t="s">
        <v>242</v>
      </c>
      <c r="O1128" s="5">
        <v>1</v>
      </c>
      <c r="P1128" s="5" t="s">
        <v>294</v>
      </c>
      <c r="Q1128" s="5" t="s">
        <v>266</v>
      </c>
      <c r="R1128" s="5" t="s">
        <v>240</v>
      </c>
      <c r="S1128" s="5" t="s">
        <v>240</v>
      </c>
      <c r="T1128" s="5" t="s">
        <v>296</v>
      </c>
      <c r="U1128" s="5" t="s">
        <v>244</v>
      </c>
      <c r="V1128" s="5" t="s">
        <v>240</v>
      </c>
      <c r="Y1128" s="5" t="s">
        <v>240</v>
      </c>
      <c r="Z1128" s="6" t="s">
        <v>298</v>
      </c>
      <c r="AB1128" s="6" t="s">
        <v>240</v>
      </c>
      <c r="AE1128" s="6" t="s">
        <v>299</v>
      </c>
      <c r="AF1128" s="5" t="s">
        <v>248</v>
      </c>
      <c r="AG1128" s="5" t="s">
        <v>249</v>
      </c>
      <c r="AW1128" s="5" t="s">
        <v>251</v>
      </c>
      <c r="AX1128" s="5" t="s">
        <v>240</v>
      </c>
      <c r="AY1128" s="5" t="s">
        <v>253</v>
      </c>
      <c r="AZ1128" s="5" t="s">
        <v>240</v>
      </c>
      <c r="BA1128" s="5" t="s">
        <v>255</v>
      </c>
      <c r="BB1128" s="5" t="s">
        <v>240</v>
      </c>
      <c r="BD1128" s="5" t="s">
        <v>240</v>
      </c>
      <c r="BF1128" s="5" t="s">
        <v>301</v>
      </c>
      <c r="BG1128" s="6" t="s">
        <v>299</v>
      </c>
      <c r="BH1128" s="5" t="s">
        <v>302</v>
      </c>
      <c r="BI1128" s="5" t="s">
        <v>303</v>
      </c>
      <c r="BJ1128" s="5" t="s">
        <v>240</v>
      </c>
      <c r="BK1128" s="8">
        <f>0</f>
        <v>0</v>
      </c>
      <c r="BL1128" s="7">
        <f>0</f>
        <v>0</v>
      </c>
      <c r="BM1128" s="5" t="s">
        <v>258</v>
      </c>
      <c r="BN1128" s="5" t="s">
        <v>259</v>
      </c>
      <c r="CB1128" s="5" t="s">
        <v>240</v>
      </c>
      <c r="CC1128" s="5" t="s">
        <v>240</v>
      </c>
      <c r="CG1128" s="5" t="s">
        <v>304</v>
      </c>
      <c r="CH1128" s="5" t="s">
        <v>305</v>
      </c>
      <c r="CI1128" s="5" t="s">
        <v>240</v>
      </c>
      <c r="CL1128" s="6" t="s">
        <v>261</v>
      </c>
      <c r="CM1128" s="5" t="s">
        <v>240</v>
      </c>
      <c r="CN1128" s="5" t="s">
        <v>263</v>
      </c>
      <c r="CO1128" s="5" t="s">
        <v>240</v>
      </c>
      <c r="CP1128" s="5" t="s">
        <v>240</v>
      </c>
      <c r="CQ1128" s="5">
        <v>0</v>
      </c>
      <c r="CR1128" s="5" t="s">
        <v>306</v>
      </c>
      <c r="CS1128" s="5" t="s">
        <v>307</v>
      </c>
      <c r="CT1128" s="5" t="s">
        <v>307</v>
      </c>
      <c r="CU1128" s="5" t="s">
        <v>260</v>
      </c>
      <c r="CX1128" s="7">
        <f>1</f>
        <v>1</v>
      </c>
      <c r="CY1128" s="7">
        <f>0</f>
        <v>0</v>
      </c>
      <c r="DA1128" s="7">
        <f>0</f>
        <v>0</v>
      </c>
      <c r="DC1128" s="5" t="s">
        <v>812</v>
      </c>
      <c r="DD1128" s="5" t="s">
        <v>240</v>
      </c>
      <c r="DF1128" s="5" t="s">
        <v>812</v>
      </c>
      <c r="DG1128" s="7">
        <f>1068</f>
        <v>1068</v>
      </c>
      <c r="DI1128" s="5" t="s">
        <v>240</v>
      </c>
      <c r="DJ1128" s="5" t="s">
        <v>240</v>
      </c>
      <c r="DK1128" s="5" t="s">
        <v>240</v>
      </c>
      <c r="DL1128" s="5" t="s">
        <v>240</v>
      </c>
      <c r="DP1128" s="5" t="s">
        <v>240</v>
      </c>
      <c r="DQ1128" s="5" t="s">
        <v>240</v>
      </c>
      <c r="DR1128" s="5" t="s">
        <v>240</v>
      </c>
      <c r="DS1128" s="5" t="s">
        <v>240</v>
      </c>
      <c r="DV1128" s="5" t="s">
        <v>813</v>
      </c>
      <c r="DW1128" s="5" t="s">
        <v>2387</v>
      </c>
      <c r="HO1128" s="5" t="s">
        <v>312</v>
      </c>
    </row>
    <row r="1129" spans="1:223" x14ac:dyDescent="0.4">
      <c r="A1129" s="5">
        <v>2804</v>
      </c>
      <c r="B1129" s="5">
        <v>1</v>
      </c>
      <c r="C1129" s="5">
        <v>1</v>
      </c>
      <c r="D1129" s="5" t="s">
        <v>297</v>
      </c>
      <c r="E1129" s="5" t="s">
        <v>245</v>
      </c>
      <c r="F1129" s="5" t="s">
        <v>254</v>
      </c>
      <c r="G1129" s="5" t="s">
        <v>240</v>
      </c>
      <c r="H1129" s="6" t="s">
        <v>3054</v>
      </c>
      <c r="I1129" s="5" t="s">
        <v>295</v>
      </c>
      <c r="J1129" s="8">
        <f>46</f>
        <v>46</v>
      </c>
      <c r="K1129" s="5" t="s">
        <v>308</v>
      </c>
      <c r="L1129" s="7">
        <f>1</f>
        <v>1</v>
      </c>
      <c r="M1129" s="7">
        <f>1</f>
        <v>1</v>
      </c>
      <c r="N1129" s="5" t="s">
        <v>242</v>
      </c>
      <c r="O1129" s="5">
        <v>1</v>
      </c>
      <c r="P1129" s="5" t="s">
        <v>294</v>
      </c>
      <c r="Q1129" s="5" t="s">
        <v>266</v>
      </c>
      <c r="R1129" s="5" t="s">
        <v>240</v>
      </c>
      <c r="S1129" s="5" t="s">
        <v>240</v>
      </c>
      <c r="T1129" s="5" t="s">
        <v>296</v>
      </c>
      <c r="U1129" s="5" t="s">
        <v>244</v>
      </c>
      <c r="V1129" s="5" t="s">
        <v>240</v>
      </c>
      <c r="Y1129" s="5" t="s">
        <v>240</v>
      </c>
      <c r="Z1129" s="6" t="s">
        <v>298</v>
      </c>
      <c r="AB1129" s="6" t="s">
        <v>240</v>
      </c>
      <c r="AE1129" s="6" t="s">
        <v>299</v>
      </c>
      <c r="AF1129" s="5" t="s">
        <v>248</v>
      </c>
      <c r="AG1129" s="5" t="s">
        <v>249</v>
      </c>
      <c r="AW1129" s="5" t="s">
        <v>251</v>
      </c>
      <c r="AX1129" s="5" t="s">
        <v>240</v>
      </c>
      <c r="AY1129" s="5" t="s">
        <v>253</v>
      </c>
      <c r="AZ1129" s="5" t="s">
        <v>240</v>
      </c>
      <c r="BA1129" s="5" t="s">
        <v>255</v>
      </c>
      <c r="BB1129" s="5" t="s">
        <v>240</v>
      </c>
      <c r="BD1129" s="5" t="s">
        <v>240</v>
      </c>
      <c r="BF1129" s="5" t="s">
        <v>301</v>
      </c>
      <c r="BG1129" s="6" t="s">
        <v>299</v>
      </c>
      <c r="BH1129" s="5" t="s">
        <v>302</v>
      </c>
      <c r="BI1129" s="5" t="s">
        <v>303</v>
      </c>
      <c r="BJ1129" s="5" t="s">
        <v>240</v>
      </c>
      <c r="BK1129" s="8">
        <f>0</f>
        <v>0</v>
      </c>
      <c r="BL1129" s="7">
        <f>0</f>
        <v>0</v>
      </c>
      <c r="BM1129" s="5" t="s">
        <v>258</v>
      </c>
      <c r="BN1129" s="5" t="s">
        <v>259</v>
      </c>
      <c r="CB1129" s="5" t="s">
        <v>240</v>
      </c>
      <c r="CC1129" s="5" t="s">
        <v>240</v>
      </c>
      <c r="CG1129" s="5" t="s">
        <v>304</v>
      </c>
      <c r="CH1129" s="5" t="s">
        <v>305</v>
      </c>
      <c r="CI1129" s="5" t="s">
        <v>240</v>
      </c>
      <c r="CL1129" s="6" t="s">
        <v>261</v>
      </c>
      <c r="CM1129" s="5" t="s">
        <v>240</v>
      </c>
      <c r="CN1129" s="5" t="s">
        <v>263</v>
      </c>
      <c r="CO1129" s="5" t="s">
        <v>240</v>
      </c>
      <c r="CP1129" s="5" t="s">
        <v>240</v>
      </c>
      <c r="CQ1129" s="5">
        <v>0</v>
      </c>
      <c r="CR1129" s="5" t="s">
        <v>306</v>
      </c>
      <c r="CS1129" s="5" t="s">
        <v>307</v>
      </c>
      <c r="CT1129" s="5" t="s">
        <v>307</v>
      </c>
      <c r="CU1129" s="5" t="s">
        <v>260</v>
      </c>
      <c r="CX1129" s="7">
        <f>1</f>
        <v>1</v>
      </c>
      <c r="CY1129" s="7">
        <f>0</f>
        <v>0</v>
      </c>
      <c r="DA1129" s="7">
        <f>0</f>
        <v>0</v>
      </c>
      <c r="DC1129" s="5" t="s">
        <v>812</v>
      </c>
      <c r="DD1129" s="5" t="s">
        <v>240</v>
      </c>
      <c r="DF1129" s="5" t="s">
        <v>812</v>
      </c>
      <c r="DG1129" s="7">
        <f>1692</f>
        <v>1692</v>
      </c>
      <c r="DI1129" s="5" t="s">
        <v>240</v>
      </c>
      <c r="DJ1129" s="5" t="s">
        <v>240</v>
      </c>
      <c r="DK1129" s="5" t="s">
        <v>240</v>
      </c>
      <c r="DL1129" s="5" t="s">
        <v>240</v>
      </c>
      <c r="DP1129" s="5" t="s">
        <v>240</v>
      </c>
      <c r="DQ1129" s="5" t="s">
        <v>240</v>
      </c>
      <c r="DR1129" s="5" t="s">
        <v>240</v>
      </c>
      <c r="DS1129" s="5" t="s">
        <v>240</v>
      </c>
      <c r="DV1129" s="5" t="s">
        <v>813</v>
      </c>
      <c r="DW1129" s="5" t="s">
        <v>2389</v>
      </c>
      <c r="HO1129" s="5" t="s">
        <v>312</v>
      </c>
    </row>
    <row r="1130" spans="1:223" x14ac:dyDescent="0.4">
      <c r="A1130" s="5">
        <v>2805</v>
      </c>
      <c r="B1130" s="5">
        <v>1</v>
      </c>
      <c r="C1130" s="5">
        <v>1</v>
      </c>
      <c r="D1130" s="5" t="s">
        <v>297</v>
      </c>
      <c r="E1130" s="5" t="s">
        <v>245</v>
      </c>
      <c r="F1130" s="5" t="s">
        <v>254</v>
      </c>
      <c r="G1130" s="5" t="s">
        <v>240</v>
      </c>
      <c r="H1130" s="6" t="s">
        <v>3176</v>
      </c>
      <c r="I1130" s="5" t="s">
        <v>295</v>
      </c>
      <c r="J1130" s="8">
        <f>60</f>
        <v>60</v>
      </c>
      <c r="K1130" s="5" t="s">
        <v>308</v>
      </c>
      <c r="L1130" s="7">
        <f>1</f>
        <v>1</v>
      </c>
      <c r="M1130" s="7">
        <f>1</f>
        <v>1</v>
      </c>
      <c r="N1130" s="5" t="s">
        <v>242</v>
      </c>
      <c r="O1130" s="5">
        <v>1</v>
      </c>
      <c r="P1130" s="5" t="s">
        <v>294</v>
      </c>
      <c r="Q1130" s="5" t="s">
        <v>266</v>
      </c>
      <c r="R1130" s="5" t="s">
        <v>240</v>
      </c>
      <c r="S1130" s="5" t="s">
        <v>240</v>
      </c>
      <c r="T1130" s="5" t="s">
        <v>296</v>
      </c>
      <c r="U1130" s="5" t="s">
        <v>244</v>
      </c>
      <c r="V1130" s="5" t="s">
        <v>240</v>
      </c>
      <c r="Y1130" s="5" t="s">
        <v>240</v>
      </c>
      <c r="Z1130" s="6" t="s">
        <v>298</v>
      </c>
      <c r="AB1130" s="6" t="s">
        <v>240</v>
      </c>
      <c r="AE1130" s="6" t="s">
        <v>299</v>
      </c>
      <c r="AF1130" s="5" t="s">
        <v>248</v>
      </c>
      <c r="AG1130" s="5" t="s">
        <v>249</v>
      </c>
      <c r="AW1130" s="5" t="s">
        <v>251</v>
      </c>
      <c r="AX1130" s="5" t="s">
        <v>240</v>
      </c>
      <c r="AY1130" s="5" t="s">
        <v>253</v>
      </c>
      <c r="AZ1130" s="5" t="s">
        <v>240</v>
      </c>
      <c r="BA1130" s="5" t="s">
        <v>255</v>
      </c>
      <c r="BB1130" s="5" t="s">
        <v>240</v>
      </c>
      <c r="BD1130" s="5" t="s">
        <v>240</v>
      </c>
      <c r="BF1130" s="5" t="s">
        <v>301</v>
      </c>
      <c r="BG1130" s="6" t="s">
        <v>299</v>
      </c>
      <c r="BH1130" s="5" t="s">
        <v>302</v>
      </c>
      <c r="BI1130" s="5" t="s">
        <v>303</v>
      </c>
      <c r="BJ1130" s="5" t="s">
        <v>240</v>
      </c>
      <c r="BK1130" s="8">
        <f>0</f>
        <v>0</v>
      </c>
      <c r="BL1130" s="7">
        <f>0</f>
        <v>0</v>
      </c>
      <c r="BM1130" s="5" t="s">
        <v>258</v>
      </c>
      <c r="BN1130" s="5" t="s">
        <v>259</v>
      </c>
      <c r="CB1130" s="5" t="s">
        <v>240</v>
      </c>
      <c r="CC1130" s="5" t="s">
        <v>240</v>
      </c>
      <c r="CG1130" s="5" t="s">
        <v>304</v>
      </c>
      <c r="CH1130" s="5" t="s">
        <v>305</v>
      </c>
      <c r="CI1130" s="5" t="s">
        <v>240</v>
      </c>
      <c r="CL1130" s="6" t="s">
        <v>261</v>
      </c>
      <c r="CM1130" s="5" t="s">
        <v>240</v>
      </c>
      <c r="CN1130" s="5" t="s">
        <v>263</v>
      </c>
      <c r="CO1130" s="5" t="s">
        <v>240</v>
      </c>
      <c r="CP1130" s="5" t="s">
        <v>240</v>
      </c>
      <c r="CQ1130" s="5">
        <v>0</v>
      </c>
      <c r="CR1130" s="5" t="s">
        <v>306</v>
      </c>
      <c r="CS1130" s="5" t="s">
        <v>307</v>
      </c>
      <c r="CT1130" s="5" t="s">
        <v>307</v>
      </c>
      <c r="CU1130" s="5" t="s">
        <v>260</v>
      </c>
      <c r="CX1130" s="7">
        <f>1</f>
        <v>1</v>
      </c>
      <c r="CY1130" s="7">
        <f>0</f>
        <v>0</v>
      </c>
      <c r="DA1130" s="7">
        <f>0</f>
        <v>0</v>
      </c>
      <c r="DC1130" s="5" t="s">
        <v>812</v>
      </c>
      <c r="DD1130" s="5" t="s">
        <v>240</v>
      </c>
      <c r="DF1130" s="5" t="s">
        <v>812</v>
      </c>
      <c r="DG1130" s="7">
        <f>513</f>
        <v>513</v>
      </c>
      <c r="DI1130" s="5" t="s">
        <v>240</v>
      </c>
      <c r="DJ1130" s="5" t="s">
        <v>240</v>
      </c>
      <c r="DK1130" s="5" t="s">
        <v>240</v>
      </c>
      <c r="DL1130" s="5" t="s">
        <v>240</v>
      </c>
      <c r="DP1130" s="5" t="s">
        <v>240</v>
      </c>
      <c r="DQ1130" s="5" t="s">
        <v>240</v>
      </c>
      <c r="DR1130" s="5" t="s">
        <v>240</v>
      </c>
      <c r="DS1130" s="5" t="s">
        <v>240</v>
      </c>
      <c r="DV1130" s="5" t="s">
        <v>813</v>
      </c>
      <c r="DW1130" s="5" t="s">
        <v>2391</v>
      </c>
      <c r="HO1130" s="5" t="s">
        <v>312</v>
      </c>
    </row>
    <row r="1131" spans="1:223" x14ac:dyDescent="0.4">
      <c r="A1131" s="5">
        <v>2806</v>
      </c>
      <c r="B1131" s="5">
        <v>1</v>
      </c>
      <c r="C1131" s="5">
        <v>1</v>
      </c>
      <c r="D1131" s="5" t="s">
        <v>297</v>
      </c>
      <c r="E1131" s="5" t="s">
        <v>245</v>
      </c>
      <c r="F1131" s="5" t="s">
        <v>254</v>
      </c>
      <c r="G1131" s="5" t="s">
        <v>240</v>
      </c>
      <c r="H1131" s="6" t="s">
        <v>3191</v>
      </c>
      <c r="I1131" s="5" t="s">
        <v>295</v>
      </c>
      <c r="J1131" s="8">
        <f>10744</f>
        <v>10744</v>
      </c>
      <c r="K1131" s="5" t="s">
        <v>308</v>
      </c>
      <c r="L1131" s="7">
        <f>1</f>
        <v>1</v>
      </c>
      <c r="M1131" s="7">
        <f>1</f>
        <v>1</v>
      </c>
      <c r="N1131" s="5" t="s">
        <v>242</v>
      </c>
      <c r="O1131" s="5">
        <v>1</v>
      </c>
      <c r="P1131" s="5" t="s">
        <v>294</v>
      </c>
      <c r="Q1131" s="5" t="s">
        <v>266</v>
      </c>
      <c r="R1131" s="5" t="s">
        <v>240</v>
      </c>
      <c r="S1131" s="5" t="s">
        <v>240</v>
      </c>
      <c r="T1131" s="5" t="s">
        <v>296</v>
      </c>
      <c r="U1131" s="5" t="s">
        <v>244</v>
      </c>
      <c r="V1131" s="5" t="s">
        <v>240</v>
      </c>
      <c r="Y1131" s="5" t="s">
        <v>240</v>
      </c>
      <c r="Z1131" s="6" t="s">
        <v>298</v>
      </c>
      <c r="AB1131" s="6" t="s">
        <v>240</v>
      </c>
      <c r="AE1131" s="6" t="s">
        <v>299</v>
      </c>
      <c r="AF1131" s="5" t="s">
        <v>248</v>
      </c>
      <c r="AG1131" s="5" t="s">
        <v>249</v>
      </c>
      <c r="AW1131" s="5" t="s">
        <v>251</v>
      </c>
      <c r="AX1131" s="5" t="s">
        <v>240</v>
      </c>
      <c r="AY1131" s="5" t="s">
        <v>253</v>
      </c>
      <c r="AZ1131" s="5" t="s">
        <v>240</v>
      </c>
      <c r="BA1131" s="5" t="s">
        <v>255</v>
      </c>
      <c r="BB1131" s="5" t="s">
        <v>240</v>
      </c>
      <c r="BD1131" s="5" t="s">
        <v>240</v>
      </c>
      <c r="BF1131" s="5" t="s">
        <v>301</v>
      </c>
      <c r="BG1131" s="6" t="s">
        <v>299</v>
      </c>
      <c r="BH1131" s="5" t="s">
        <v>302</v>
      </c>
      <c r="BI1131" s="5" t="s">
        <v>303</v>
      </c>
      <c r="BJ1131" s="5" t="s">
        <v>240</v>
      </c>
      <c r="BK1131" s="8">
        <f>0</f>
        <v>0</v>
      </c>
      <c r="BL1131" s="7">
        <f>0</f>
        <v>0</v>
      </c>
      <c r="BM1131" s="5" t="s">
        <v>258</v>
      </c>
      <c r="BN1131" s="5" t="s">
        <v>259</v>
      </c>
      <c r="CB1131" s="5" t="s">
        <v>240</v>
      </c>
      <c r="CC1131" s="5" t="s">
        <v>240</v>
      </c>
      <c r="CG1131" s="5" t="s">
        <v>304</v>
      </c>
      <c r="CH1131" s="5" t="s">
        <v>305</v>
      </c>
      <c r="CI1131" s="5" t="s">
        <v>240</v>
      </c>
      <c r="CL1131" s="6" t="s">
        <v>261</v>
      </c>
      <c r="CM1131" s="5" t="s">
        <v>240</v>
      </c>
      <c r="CN1131" s="5" t="s">
        <v>263</v>
      </c>
      <c r="CO1131" s="5" t="s">
        <v>240</v>
      </c>
      <c r="CP1131" s="5" t="s">
        <v>240</v>
      </c>
      <c r="CQ1131" s="5">
        <v>0</v>
      </c>
      <c r="CR1131" s="5" t="s">
        <v>306</v>
      </c>
      <c r="CS1131" s="5" t="s">
        <v>307</v>
      </c>
      <c r="CT1131" s="5" t="s">
        <v>307</v>
      </c>
      <c r="CU1131" s="5" t="s">
        <v>260</v>
      </c>
      <c r="CX1131" s="7">
        <f>1</f>
        <v>1</v>
      </c>
      <c r="CY1131" s="7">
        <f>0</f>
        <v>0</v>
      </c>
      <c r="DA1131" s="7">
        <f>0</f>
        <v>0</v>
      </c>
      <c r="DC1131" s="5" t="s">
        <v>812</v>
      </c>
      <c r="DD1131" s="5" t="s">
        <v>240</v>
      </c>
      <c r="DF1131" s="5" t="s">
        <v>812</v>
      </c>
      <c r="DG1131" s="7">
        <f>366</f>
        <v>366</v>
      </c>
      <c r="DI1131" s="5" t="s">
        <v>240</v>
      </c>
      <c r="DJ1131" s="5" t="s">
        <v>240</v>
      </c>
      <c r="DK1131" s="5" t="s">
        <v>240</v>
      </c>
      <c r="DL1131" s="5" t="s">
        <v>240</v>
      </c>
      <c r="DP1131" s="5" t="s">
        <v>240</v>
      </c>
      <c r="DQ1131" s="5" t="s">
        <v>240</v>
      </c>
      <c r="DR1131" s="5" t="s">
        <v>240</v>
      </c>
      <c r="DS1131" s="5" t="s">
        <v>240</v>
      </c>
      <c r="DV1131" s="5" t="s">
        <v>813</v>
      </c>
      <c r="DW1131" s="5" t="s">
        <v>2393</v>
      </c>
      <c r="HO1131" s="5" t="s">
        <v>312</v>
      </c>
    </row>
    <row r="1132" spans="1:223" x14ac:dyDescent="0.4">
      <c r="A1132" s="5">
        <v>2807</v>
      </c>
      <c r="B1132" s="5">
        <v>1</v>
      </c>
      <c r="C1132" s="5">
        <v>1</v>
      </c>
      <c r="D1132" s="5" t="s">
        <v>297</v>
      </c>
      <c r="E1132" s="5" t="s">
        <v>245</v>
      </c>
      <c r="F1132" s="5" t="s">
        <v>254</v>
      </c>
      <c r="G1132" s="5" t="s">
        <v>240</v>
      </c>
      <c r="H1132" s="6" t="s">
        <v>3233</v>
      </c>
      <c r="I1132" s="5" t="s">
        <v>295</v>
      </c>
      <c r="J1132" s="8">
        <f>1733</f>
        <v>1733</v>
      </c>
      <c r="K1132" s="5" t="s">
        <v>308</v>
      </c>
      <c r="L1132" s="7">
        <f>1</f>
        <v>1</v>
      </c>
      <c r="M1132" s="7">
        <f>1</f>
        <v>1</v>
      </c>
      <c r="N1132" s="5" t="s">
        <v>242</v>
      </c>
      <c r="O1132" s="5">
        <v>1</v>
      </c>
      <c r="P1132" s="5" t="s">
        <v>294</v>
      </c>
      <c r="Q1132" s="5" t="s">
        <v>266</v>
      </c>
      <c r="R1132" s="5" t="s">
        <v>240</v>
      </c>
      <c r="S1132" s="5" t="s">
        <v>240</v>
      </c>
      <c r="T1132" s="5" t="s">
        <v>296</v>
      </c>
      <c r="U1132" s="5" t="s">
        <v>244</v>
      </c>
      <c r="V1132" s="5" t="s">
        <v>240</v>
      </c>
      <c r="Y1132" s="5" t="s">
        <v>240</v>
      </c>
      <c r="Z1132" s="6" t="s">
        <v>298</v>
      </c>
      <c r="AB1132" s="6" t="s">
        <v>240</v>
      </c>
      <c r="AE1132" s="6" t="s">
        <v>299</v>
      </c>
      <c r="AF1132" s="5" t="s">
        <v>248</v>
      </c>
      <c r="AG1132" s="5" t="s">
        <v>249</v>
      </c>
      <c r="AW1132" s="5" t="s">
        <v>251</v>
      </c>
      <c r="AX1132" s="5" t="s">
        <v>240</v>
      </c>
      <c r="AY1132" s="5" t="s">
        <v>253</v>
      </c>
      <c r="AZ1132" s="5" t="s">
        <v>240</v>
      </c>
      <c r="BA1132" s="5" t="s">
        <v>255</v>
      </c>
      <c r="BB1132" s="5" t="s">
        <v>240</v>
      </c>
      <c r="BD1132" s="5" t="s">
        <v>240</v>
      </c>
      <c r="BF1132" s="5" t="s">
        <v>301</v>
      </c>
      <c r="BG1132" s="6" t="s">
        <v>299</v>
      </c>
      <c r="BH1132" s="5" t="s">
        <v>302</v>
      </c>
      <c r="BI1132" s="5" t="s">
        <v>303</v>
      </c>
      <c r="BJ1132" s="5" t="s">
        <v>240</v>
      </c>
      <c r="BK1132" s="8">
        <f>0</f>
        <v>0</v>
      </c>
      <c r="BL1132" s="7">
        <f>0</f>
        <v>0</v>
      </c>
      <c r="BM1132" s="5" t="s">
        <v>258</v>
      </c>
      <c r="BN1132" s="5" t="s">
        <v>259</v>
      </c>
      <c r="CB1132" s="5" t="s">
        <v>240</v>
      </c>
      <c r="CC1132" s="5" t="s">
        <v>240</v>
      </c>
      <c r="CG1132" s="5" t="s">
        <v>304</v>
      </c>
      <c r="CH1132" s="5" t="s">
        <v>305</v>
      </c>
      <c r="CI1132" s="5" t="s">
        <v>240</v>
      </c>
      <c r="CL1132" s="6" t="s">
        <v>261</v>
      </c>
      <c r="CM1132" s="5" t="s">
        <v>240</v>
      </c>
      <c r="CN1132" s="5" t="s">
        <v>263</v>
      </c>
      <c r="CO1132" s="5" t="s">
        <v>240</v>
      </c>
      <c r="CP1132" s="5" t="s">
        <v>240</v>
      </c>
      <c r="CQ1132" s="5">
        <v>0</v>
      </c>
      <c r="CR1132" s="5" t="s">
        <v>306</v>
      </c>
      <c r="CS1132" s="5" t="s">
        <v>307</v>
      </c>
      <c r="CT1132" s="5" t="s">
        <v>307</v>
      </c>
      <c r="CU1132" s="5" t="s">
        <v>260</v>
      </c>
      <c r="CX1132" s="7">
        <f>1</f>
        <v>1</v>
      </c>
      <c r="CY1132" s="7">
        <f>0</f>
        <v>0</v>
      </c>
      <c r="DA1132" s="7">
        <f>0</f>
        <v>0</v>
      </c>
      <c r="DC1132" s="5" t="s">
        <v>812</v>
      </c>
      <c r="DD1132" s="5" t="s">
        <v>240</v>
      </c>
      <c r="DF1132" s="5" t="s">
        <v>812</v>
      </c>
      <c r="DG1132" s="7">
        <f>179</f>
        <v>179</v>
      </c>
      <c r="DI1132" s="5" t="s">
        <v>240</v>
      </c>
      <c r="DJ1132" s="5" t="s">
        <v>240</v>
      </c>
      <c r="DK1132" s="5" t="s">
        <v>240</v>
      </c>
      <c r="DL1132" s="5" t="s">
        <v>240</v>
      </c>
      <c r="DP1132" s="5" t="s">
        <v>240</v>
      </c>
      <c r="DQ1132" s="5" t="s">
        <v>240</v>
      </c>
      <c r="DR1132" s="5" t="s">
        <v>240</v>
      </c>
      <c r="DS1132" s="5" t="s">
        <v>240</v>
      </c>
      <c r="DV1132" s="5" t="s">
        <v>813</v>
      </c>
      <c r="DW1132" s="5" t="s">
        <v>2395</v>
      </c>
      <c r="HO1132" s="5" t="s">
        <v>312</v>
      </c>
    </row>
    <row r="1133" spans="1:223" x14ac:dyDescent="0.4">
      <c r="A1133" s="5">
        <v>2808</v>
      </c>
      <c r="B1133" s="5">
        <v>1</v>
      </c>
      <c r="C1133" s="5">
        <v>1</v>
      </c>
      <c r="D1133" s="5" t="s">
        <v>297</v>
      </c>
      <c r="E1133" s="5" t="s">
        <v>245</v>
      </c>
      <c r="F1133" s="5" t="s">
        <v>254</v>
      </c>
      <c r="G1133" s="5" t="s">
        <v>240</v>
      </c>
      <c r="H1133" s="6" t="s">
        <v>3272</v>
      </c>
      <c r="I1133" s="5" t="s">
        <v>295</v>
      </c>
      <c r="J1133" s="8">
        <f>1656</f>
        <v>1656</v>
      </c>
      <c r="K1133" s="5" t="s">
        <v>308</v>
      </c>
      <c r="L1133" s="7">
        <f>1</f>
        <v>1</v>
      </c>
      <c r="M1133" s="7">
        <f>1</f>
        <v>1</v>
      </c>
      <c r="N1133" s="5" t="s">
        <v>242</v>
      </c>
      <c r="O1133" s="5">
        <v>1</v>
      </c>
      <c r="P1133" s="5" t="s">
        <v>294</v>
      </c>
      <c r="Q1133" s="5" t="s">
        <v>266</v>
      </c>
      <c r="R1133" s="5" t="s">
        <v>240</v>
      </c>
      <c r="S1133" s="5" t="s">
        <v>240</v>
      </c>
      <c r="T1133" s="5" t="s">
        <v>296</v>
      </c>
      <c r="U1133" s="5" t="s">
        <v>244</v>
      </c>
      <c r="V1133" s="5" t="s">
        <v>240</v>
      </c>
      <c r="Y1133" s="5" t="s">
        <v>240</v>
      </c>
      <c r="Z1133" s="6" t="s">
        <v>298</v>
      </c>
      <c r="AB1133" s="6" t="s">
        <v>240</v>
      </c>
      <c r="AE1133" s="6" t="s">
        <v>299</v>
      </c>
      <c r="AF1133" s="5" t="s">
        <v>248</v>
      </c>
      <c r="AG1133" s="5" t="s">
        <v>249</v>
      </c>
      <c r="AW1133" s="5" t="s">
        <v>251</v>
      </c>
      <c r="AX1133" s="5" t="s">
        <v>240</v>
      </c>
      <c r="AY1133" s="5" t="s">
        <v>253</v>
      </c>
      <c r="AZ1133" s="5" t="s">
        <v>240</v>
      </c>
      <c r="BA1133" s="5" t="s">
        <v>255</v>
      </c>
      <c r="BB1133" s="5" t="s">
        <v>240</v>
      </c>
      <c r="BD1133" s="5" t="s">
        <v>240</v>
      </c>
      <c r="BF1133" s="5" t="s">
        <v>301</v>
      </c>
      <c r="BG1133" s="6" t="s">
        <v>299</v>
      </c>
      <c r="BH1133" s="5" t="s">
        <v>302</v>
      </c>
      <c r="BI1133" s="5" t="s">
        <v>303</v>
      </c>
      <c r="BJ1133" s="5" t="s">
        <v>240</v>
      </c>
      <c r="BK1133" s="8">
        <f>0</f>
        <v>0</v>
      </c>
      <c r="BL1133" s="7">
        <f>0</f>
        <v>0</v>
      </c>
      <c r="BM1133" s="5" t="s">
        <v>258</v>
      </c>
      <c r="BN1133" s="5" t="s">
        <v>259</v>
      </c>
      <c r="CB1133" s="5" t="s">
        <v>240</v>
      </c>
      <c r="CC1133" s="5" t="s">
        <v>240</v>
      </c>
      <c r="CG1133" s="5" t="s">
        <v>304</v>
      </c>
      <c r="CH1133" s="5" t="s">
        <v>305</v>
      </c>
      <c r="CI1133" s="5" t="s">
        <v>240</v>
      </c>
      <c r="CL1133" s="6" t="s">
        <v>261</v>
      </c>
      <c r="CM1133" s="5" t="s">
        <v>240</v>
      </c>
      <c r="CN1133" s="5" t="s">
        <v>263</v>
      </c>
      <c r="CO1133" s="5" t="s">
        <v>240</v>
      </c>
      <c r="CP1133" s="5" t="s">
        <v>240</v>
      </c>
      <c r="CQ1133" s="5">
        <v>0</v>
      </c>
      <c r="CR1133" s="5" t="s">
        <v>306</v>
      </c>
      <c r="CS1133" s="5" t="s">
        <v>307</v>
      </c>
      <c r="CT1133" s="5" t="s">
        <v>307</v>
      </c>
      <c r="CU1133" s="5" t="s">
        <v>260</v>
      </c>
      <c r="CX1133" s="7">
        <f>1</f>
        <v>1</v>
      </c>
      <c r="CY1133" s="7">
        <f>0</f>
        <v>0</v>
      </c>
      <c r="DA1133" s="7">
        <f>0</f>
        <v>0</v>
      </c>
      <c r="DC1133" s="5" t="s">
        <v>812</v>
      </c>
      <c r="DD1133" s="5" t="s">
        <v>240</v>
      </c>
      <c r="DF1133" s="5" t="s">
        <v>812</v>
      </c>
      <c r="DG1133" s="7">
        <f>384</f>
        <v>384</v>
      </c>
      <c r="DI1133" s="5" t="s">
        <v>240</v>
      </c>
      <c r="DJ1133" s="5" t="s">
        <v>240</v>
      </c>
      <c r="DK1133" s="5" t="s">
        <v>240</v>
      </c>
      <c r="DL1133" s="5" t="s">
        <v>240</v>
      </c>
      <c r="DP1133" s="5" t="s">
        <v>240</v>
      </c>
      <c r="DQ1133" s="5" t="s">
        <v>240</v>
      </c>
      <c r="DR1133" s="5" t="s">
        <v>240</v>
      </c>
      <c r="DS1133" s="5" t="s">
        <v>240</v>
      </c>
      <c r="DV1133" s="5" t="s">
        <v>813</v>
      </c>
      <c r="DW1133" s="5" t="s">
        <v>2397</v>
      </c>
      <c r="HO1133" s="5" t="s">
        <v>312</v>
      </c>
    </row>
    <row r="1134" spans="1:223" x14ac:dyDescent="0.4">
      <c r="A1134" s="5">
        <v>2809</v>
      </c>
      <c r="B1134" s="5">
        <v>1</v>
      </c>
      <c r="C1134" s="5">
        <v>1</v>
      </c>
      <c r="D1134" s="5" t="s">
        <v>297</v>
      </c>
      <c r="E1134" s="5" t="s">
        <v>245</v>
      </c>
      <c r="F1134" s="5" t="s">
        <v>254</v>
      </c>
      <c r="G1134" s="5" t="s">
        <v>240</v>
      </c>
      <c r="H1134" s="6" t="s">
        <v>3304</v>
      </c>
      <c r="I1134" s="5" t="s">
        <v>295</v>
      </c>
      <c r="J1134" s="8">
        <f>303</f>
        <v>303</v>
      </c>
      <c r="K1134" s="5" t="s">
        <v>308</v>
      </c>
      <c r="L1134" s="7">
        <f>1</f>
        <v>1</v>
      </c>
      <c r="M1134" s="7">
        <f>1</f>
        <v>1</v>
      </c>
      <c r="N1134" s="5" t="s">
        <v>242</v>
      </c>
      <c r="O1134" s="5">
        <v>1</v>
      </c>
      <c r="P1134" s="5" t="s">
        <v>294</v>
      </c>
      <c r="Q1134" s="5" t="s">
        <v>266</v>
      </c>
      <c r="R1134" s="5" t="s">
        <v>240</v>
      </c>
      <c r="S1134" s="5" t="s">
        <v>240</v>
      </c>
      <c r="T1134" s="5" t="s">
        <v>296</v>
      </c>
      <c r="U1134" s="5" t="s">
        <v>244</v>
      </c>
      <c r="V1134" s="5" t="s">
        <v>240</v>
      </c>
      <c r="Y1134" s="5" t="s">
        <v>240</v>
      </c>
      <c r="Z1134" s="6" t="s">
        <v>298</v>
      </c>
      <c r="AB1134" s="6" t="s">
        <v>240</v>
      </c>
      <c r="AE1134" s="6" t="s">
        <v>299</v>
      </c>
      <c r="AF1134" s="5" t="s">
        <v>248</v>
      </c>
      <c r="AG1134" s="5" t="s">
        <v>249</v>
      </c>
      <c r="AW1134" s="5" t="s">
        <v>251</v>
      </c>
      <c r="AX1134" s="5" t="s">
        <v>240</v>
      </c>
      <c r="AY1134" s="5" t="s">
        <v>253</v>
      </c>
      <c r="AZ1134" s="5" t="s">
        <v>240</v>
      </c>
      <c r="BA1134" s="5" t="s">
        <v>255</v>
      </c>
      <c r="BB1134" s="5" t="s">
        <v>240</v>
      </c>
      <c r="BD1134" s="5" t="s">
        <v>240</v>
      </c>
      <c r="BF1134" s="5" t="s">
        <v>301</v>
      </c>
      <c r="BG1134" s="6" t="s">
        <v>299</v>
      </c>
      <c r="BH1134" s="5" t="s">
        <v>302</v>
      </c>
      <c r="BI1134" s="5" t="s">
        <v>303</v>
      </c>
      <c r="BJ1134" s="5" t="s">
        <v>240</v>
      </c>
      <c r="BK1134" s="8">
        <f>0</f>
        <v>0</v>
      </c>
      <c r="BL1134" s="7">
        <f>0</f>
        <v>0</v>
      </c>
      <c r="BM1134" s="5" t="s">
        <v>258</v>
      </c>
      <c r="BN1134" s="5" t="s">
        <v>259</v>
      </c>
      <c r="CB1134" s="5" t="s">
        <v>240</v>
      </c>
      <c r="CC1134" s="5" t="s">
        <v>240</v>
      </c>
      <c r="CG1134" s="5" t="s">
        <v>304</v>
      </c>
      <c r="CH1134" s="5" t="s">
        <v>305</v>
      </c>
      <c r="CI1134" s="5" t="s">
        <v>240</v>
      </c>
      <c r="CL1134" s="6" t="s">
        <v>261</v>
      </c>
      <c r="CM1134" s="5" t="s">
        <v>240</v>
      </c>
      <c r="CN1134" s="5" t="s">
        <v>263</v>
      </c>
      <c r="CO1134" s="5" t="s">
        <v>240</v>
      </c>
      <c r="CP1134" s="5" t="s">
        <v>240</v>
      </c>
      <c r="CQ1134" s="5">
        <v>0</v>
      </c>
      <c r="CR1134" s="5" t="s">
        <v>306</v>
      </c>
      <c r="CS1134" s="5" t="s">
        <v>307</v>
      </c>
      <c r="CT1134" s="5" t="s">
        <v>307</v>
      </c>
      <c r="CU1134" s="5" t="s">
        <v>260</v>
      </c>
      <c r="CX1134" s="7">
        <f>1</f>
        <v>1</v>
      </c>
      <c r="CY1134" s="7">
        <f>0</f>
        <v>0</v>
      </c>
      <c r="DA1134" s="7">
        <f>0</f>
        <v>0</v>
      </c>
      <c r="DC1134" s="5" t="s">
        <v>812</v>
      </c>
      <c r="DD1134" s="5" t="s">
        <v>240</v>
      </c>
      <c r="DF1134" s="5" t="s">
        <v>812</v>
      </c>
      <c r="DG1134" s="7">
        <f>477</f>
        <v>477</v>
      </c>
      <c r="DI1134" s="5" t="s">
        <v>240</v>
      </c>
      <c r="DJ1134" s="5" t="s">
        <v>240</v>
      </c>
      <c r="DK1134" s="5" t="s">
        <v>240</v>
      </c>
      <c r="DL1134" s="5" t="s">
        <v>240</v>
      </c>
      <c r="DP1134" s="5" t="s">
        <v>240</v>
      </c>
      <c r="DQ1134" s="5" t="s">
        <v>240</v>
      </c>
      <c r="DR1134" s="5" t="s">
        <v>240</v>
      </c>
      <c r="DS1134" s="5" t="s">
        <v>240</v>
      </c>
      <c r="DV1134" s="5" t="s">
        <v>813</v>
      </c>
      <c r="DW1134" s="5" t="s">
        <v>2399</v>
      </c>
      <c r="HO1134" s="5" t="s">
        <v>312</v>
      </c>
    </row>
    <row r="1135" spans="1:223" x14ac:dyDescent="0.4">
      <c r="A1135" s="5">
        <v>2810</v>
      </c>
      <c r="B1135" s="5">
        <v>1</v>
      </c>
      <c r="C1135" s="5">
        <v>1</v>
      </c>
      <c r="D1135" s="5" t="s">
        <v>297</v>
      </c>
      <c r="E1135" s="5" t="s">
        <v>245</v>
      </c>
      <c r="F1135" s="5" t="s">
        <v>254</v>
      </c>
      <c r="G1135" s="5" t="s">
        <v>240</v>
      </c>
      <c r="H1135" s="6" t="s">
        <v>3343</v>
      </c>
      <c r="I1135" s="5" t="s">
        <v>295</v>
      </c>
      <c r="J1135" s="8">
        <f>12221</f>
        <v>12221</v>
      </c>
      <c r="K1135" s="5" t="s">
        <v>308</v>
      </c>
      <c r="L1135" s="7">
        <f>1</f>
        <v>1</v>
      </c>
      <c r="M1135" s="7">
        <f>1</f>
        <v>1</v>
      </c>
      <c r="N1135" s="5" t="s">
        <v>242</v>
      </c>
      <c r="O1135" s="5">
        <v>1</v>
      </c>
      <c r="P1135" s="5" t="s">
        <v>294</v>
      </c>
      <c r="Q1135" s="5" t="s">
        <v>266</v>
      </c>
      <c r="R1135" s="5" t="s">
        <v>240</v>
      </c>
      <c r="S1135" s="5" t="s">
        <v>240</v>
      </c>
      <c r="T1135" s="5" t="s">
        <v>296</v>
      </c>
      <c r="U1135" s="5" t="s">
        <v>244</v>
      </c>
      <c r="V1135" s="5" t="s">
        <v>240</v>
      </c>
      <c r="Y1135" s="5" t="s">
        <v>240</v>
      </c>
      <c r="Z1135" s="6" t="s">
        <v>298</v>
      </c>
      <c r="AB1135" s="6" t="s">
        <v>240</v>
      </c>
      <c r="AE1135" s="6" t="s">
        <v>299</v>
      </c>
      <c r="AF1135" s="5" t="s">
        <v>248</v>
      </c>
      <c r="AG1135" s="5" t="s">
        <v>249</v>
      </c>
      <c r="AW1135" s="5" t="s">
        <v>251</v>
      </c>
      <c r="AX1135" s="5" t="s">
        <v>240</v>
      </c>
      <c r="AY1135" s="5" t="s">
        <v>253</v>
      </c>
      <c r="AZ1135" s="5" t="s">
        <v>240</v>
      </c>
      <c r="BA1135" s="5" t="s">
        <v>255</v>
      </c>
      <c r="BB1135" s="5" t="s">
        <v>240</v>
      </c>
      <c r="BD1135" s="5" t="s">
        <v>240</v>
      </c>
      <c r="BF1135" s="5" t="s">
        <v>301</v>
      </c>
      <c r="BG1135" s="6" t="s">
        <v>299</v>
      </c>
      <c r="BH1135" s="5" t="s">
        <v>302</v>
      </c>
      <c r="BI1135" s="5" t="s">
        <v>303</v>
      </c>
      <c r="BJ1135" s="5" t="s">
        <v>240</v>
      </c>
      <c r="BK1135" s="8">
        <f>0</f>
        <v>0</v>
      </c>
      <c r="BL1135" s="7">
        <f>0</f>
        <v>0</v>
      </c>
      <c r="BM1135" s="5" t="s">
        <v>258</v>
      </c>
      <c r="BN1135" s="5" t="s">
        <v>259</v>
      </c>
      <c r="CB1135" s="5" t="s">
        <v>240</v>
      </c>
      <c r="CC1135" s="5" t="s">
        <v>240</v>
      </c>
      <c r="CG1135" s="5" t="s">
        <v>304</v>
      </c>
      <c r="CH1135" s="5" t="s">
        <v>305</v>
      </c>
      <c r="CI1135" s="5" t="s">
        <v>240</v>
      </c>
      <c r="CL1135" s="6" t="s">
        <v>261</v>
      </c>
      <c r="CM1135" s="5" t="s">
        <v>240</v>
      </c>
      <c r="CN1135" s="5" t="s">
        <v>263</v>
      </c>
      <c r="CO1135" s="5" t="s">
        <v>240</v>
      </c>
      <c r="CP1135" s="5" t="s">
        <v>240</v>
      </c>
      <c r="CQ1135" s="5">
        <v>0</v>
      </c>
      <c r="CR1135" s="5" t="s">
        <v>306</v>
      </c>
      <c r="CS1135" s="5" t="s">
        <v>307</v>
      </c>
      <c r="CT1135" s="5" t="s">
        <v>307</v>
      </c>
      <c r="CU1135" s="5" t="s">
        <v>260</v>
      </c>
      <c r="CX1135" s="7">
        <f>1</f>
        <v>1</v>
      </c>
      <c r="CY1135" s="7">
        <f>0</f>
        <v>0</v>
      </c>
      <c r="DA1135" s="7">
        <f>0</f>
        <v>0</v>
      </c>
      <c r="DC1135" s="5" t="s">
        <v>812</v>
      </c>
      <c r="DD1135" s="5" t="s">
        <v>240</v>
      </c>
      <c r="DF1135" s="5" t="s">
        <v>812</v>
      </c>
      <c r="DG1135" s="7">
        <f>196</f>
        <v>196</v>
      </c>
      <c r="DI1135" s="5" t="s">
        <v>240</v>
      </c>
      <c r="DJ1135" s="5" t="s">
        <v>240</v>
      </c>
      <c r="DK1135" s="5" t="s">
        <v>240</v>
      </c>
      <c r="DL1135" s="5" t="s">
        <v>240</v>
      </c>
      <c r="DP1135" s="5" t="s">
        <v>240</v>
      </c>
      <c r="DQ1135" s="5" t="s">
        <v>240</v>
      </c>
      <c r="DR1135" s="5" t="s">
        <v>240</v>
      </c>
      <c r="DS1135" s="5" t="s">
        <v>240</v>
      </c>
      <c r="DV1135" s="5" t="s">
        <v>813</v>
      </c>
      <c r="DW1135" s="5" t="s">
        <v>2401</v>
      </c>
      <c r="HO1135" s="5" t="s">
        <v>312</v>
      </c>
    </row>
    <row r="1136" spans="1:223" x14ac:dyDescent="0.4">
      <c r="A1136" s="5">
        <v>2811</v>
      </c>
      <c r="B1136" s="5">
        <v>1</v>
      </c>
      <c r="C1136" s="5">
        <v>1</v>
      </c>
      <c r="D1136" s="5" t="s">
        <v>297</v>
      </c>
      <c r="E1136" s="5" t="s">
        <v>245</v>
      </c>
      <c r="F1136" s="5" t="s">
        <v>254</v>
      </c>
      <c r="G1136" s="5" t="s">
        <v>240</v>
      </c>
      <c r="H1136" s="6" t="s">
        <v>3483</v>
      </c>
      <c r="I1136" s="5" t="s">
        <v>295</v>
      </c>
      <c r="J1136" s="8">
        <f>1929</f>
        <v>1929</v>
      </c>
      <c r="K1136" s="5" t="s">
        <v>308</v>
      </c>
      <c r="L1136" s="7">
        <f>1</f>
        <v>1</v>
      </c>
      <c r="M1136" s="7">
        <f>1</f>
        <v>1</v>
      </c>
      <c r="N1136" s="5" t="s">
        <v>242</v>
      </c>
      <c r="O1136" s="5">
        <v>1</v>
      </c>
      <c r="P1136" s="5" t="s">
        <v>294</v>
      </c>
      <c r="Q1136" s="5" t="s">
        <v>266</v>
      </c>
      <c r="R1136" s="5" t="s">
        <v>240</v>
      </c>
      <c r="S1136" s="5" t="s">
        <v>240</v>
      </c>
      <c r="T1136" s="5" t="s">
        <v>296</v>
      </c>
      <c r="U1136" s="5" t="s">
        <v>244</v>
      </c>
      <c r="V1136" s="5" t="s">
        <v>240</v>
      </c>
      <c r="Y1136" s="5" t="s">
        <v>240</v>
      </c>
      <c r="Z1136" s="6" t="s">
        <v>298</v>
      </c>
      <c r="AB1136" s="6" t="s">
        <v>240</v>
      </c>
      <c r="AE1136" s="6" t="s">
        <v>299</v>
      </c>
      <c r="AF1136" s="5" t="s">
        <v>248</v>
      </c>
      <c r="AG1136" s="5" t="s">
        <v>249</v>
      </c>
      <c r="AW1136" s="5" t="s">
        <v>251</v>
      </c>
      <c r="AX1136" s="5" t="s">
        <v>240</v>
      </c>
      <c r="AY1136" s="5" t="s">
        <v>253</v>
      </c>
      <c r="AZ1136" s="5" t="s">
        <v>240</v>
      </c>
      <c r="BA1136" s="5" t="s">
        <v>255</v>
      </c>
      <c r="BB1136" s="5" t="s">
        <v>240</v>
      </c>
      <c r="BD1136" s="5" t="s">
        <v>240</v>
      </c>
      <c r="BF1136" s="5" t="s">
        <v>301</v>
      </c>
      <c r="BG1136" s="6" t="s">
        <v>299</v>
      </c>
      <c r="BH1136" s="5" t="s">
        <v>302</v>
      </c>
      <c r="BI1136" s="5" t="s">
        <v>303</v>
      </c>
      <c r="BJ1136" s="5" t="s">
        <v>240</v>
      </c>
      <c r="BK1136" s="8">
        <f>0</f>
        <v>0</v>
      </c>
      <c r="BL1136" s="7">
        <f>0</f>
        <v>0</v>
      </c>
      <c r="BM1136" s="5" t="s">
        <v>258</v>
      </c>
      <c r="BN1136" s="5" t="s">
        <v>259</v>
      </c>
      <c r="CB1136" s="5" t="s">
        <v>240</v>
      </c>
      <c r="CC1136" s="5" t="s">
        <v>240</v>
      </c>
      <c r="CG1136" s="5" t="s">
        <v>304</v>
      </c>
      <c r="CH1136" s="5" t="s">
        <v>305</v>
      </c>
      <c r="CI1136" s="5" t="s">
        <v>240</v>
      </c>
      <c r="CL1136" s="6" t="s">
        <v>261</v>
      </c>
      <c r="CM1136" s="5" t="s">
        <v>240</v>
      </c>
      <c r="CN1136" s="5" t="s">
        <v>263</v>
      </c>
      <c r="CO1136" s="5" t="s">
        <v>240</v>
      </c>
      <c r="CP1136" s="5" t="s">
        <v>240</v>
      </c>
      <c r="CQ1136" s="5">
        <v>0</v>
      </c>
      <c r="CR1136" s="5" t="s">
        <v>306</v>
      </c>
      <c r="CS1136" s="5" t="s">
        <v>307</v>
      </c>
      <c r="CT1136" s="5" t="s">
        <v>307</v>
      </c>
      <c r="CU1136" s="5" t="s">
        <v>260</v>
      </c>
      <c r="CX1136" s="7">
        <f>1</f>
        <v>1</v>
      </c>
      <c r="CY1136" s="7">
        <f>0</f>
        <v>0</v>
      </c>
      <c r="DA1136" s="7">
        <f>0</f>
        <v>0</v>
      </c>
      <c r="DC1136" s="5" t="s">
        <v>812</v>
      </c>
      <c r="DD1136" s="5" t="s">
        <v>240</v>
      </c>
      <c r="DF1136" s="5" t="s">
        <v>812</v>
      </c>
      <c r="DG1136" s="7">
        <f>863</f>
        <v>863</v>
      </c>
      <c r="DI1136" s="5" t="s">
        <v>240</v>
      </c>
      <c r="DJ1136" s="5" t="s">
        <v>240</v>
      </c>
      <c r="DK1136" s="5" t="s">
        <v>240</v>
      </c>
      <c r="DL1136" s="5" t="s">
        <v>240</v>
      </c>
      <c r="DP1136" s="5" t="s">
        <v>240</v>
      </c>
      <c r="DQ1136" s="5" t="s">
        <v>240</v>
      </c>
      <c r="DR1136" s="5" t="s">
        <v>240</v>
      </c>
      <c r="DS1136" s="5" t="s">
        <v>240</v>
      </c>
      <c r="DV1136" s="5" t="s">
        <v>813</v>
      </c>
      <c r="DW1136" s="5" t="s">
        <v>2403</v>
      </c>
      <c r="HO1136" s="5" t="s">
        <v>312</v>
      </c>
    </row>
    <row r="1137" spans="1:223" x14ac:dyDescent="0.4">
      <c r="A1137" s="5">
        <v>2812</v>
      </c>
      <c r="B1137" s="5">
        <v>1</v>
      </c>
      <c r="C1137" s="5">
        <v>1</v>
      </c>
      <c r="D1137" s="5" t="s">
        <v>297</v>
      </c>
      <c r="E1137" s="5" t="s">
        <v>245</v>
      </c>
      <c r="F1137" s="5" t="s">
        <v>254</v>
      </c>
      <c r="G1137" s="5" t="s">
        <v>240</v>
      </c>
      <c r="H1137" s="6" t="s">
        <v>3498</v>
      </c>
      <c r="I1137" s="5" t="s">
        <v>295</v>
      </c>
      <c r="J1137" s="8">
        <f>2832</f>
        <v>2832</v>
      </c>
      <c r="K1137" s="5" t="s">
        <v>308</v>
      </c>
      <c r="L1137" s="7">
        <f>1</f>
        <v>1</v>
      </c>
      <c r="M1137" s="7">
        <f>1</f>
        <v>1</v>
      </c>
      <c r="N1137" s="5" t="s">
        <v>242</v>
      </c>
      <c r="O1137" s="5">
        <v>1</v>
      </c>
      <c r="P1137" s="5" t="s">
        <v>294</v>
      </c>
      <c r="Q1137" s="5" t="s">
        <v>266</v>
      </c>
      <c r="R1137" s="5" t="s">
        <v>240</v>
      </c>
      <c r="S1137" s="5" t="s">
        <v>240</v>
      </c>
      <c r="T1137" s="5" t="s">
        <v>296</v>
      </c>
      <c r="U1137" s="5" t="s">
        <v>244</v>
      </c>
      <c r="V1137" s="5" t="s">
        <v>240</v>
      </c>
      <c r="Y1137" s="5" t="s">
        <v>240</v>
      </c>
      <c r="Z1137" s="6" t="s">
        <v>298</v>
      </c>
      <c r="AB1137" s="6" t="s">
        <v>240</v>
      </c>
      <c r="AE1137" s="6" t="s">
        <v>299</v>
      </c>
      <c r="AF1137" s="5" t="s">
        <v>248</v>
      </c>
      <c r="AG1137" s="5" t="s">
        <v>249</v>
      </c>
      <c r="AW1137" s="5" t="s">
        <v>251</v>
      </c>
      <c r="AX1137" s="5" t="s">
        <v>240</v>
      </c>
      <c r="AY1137" s="5" t="s">
        <v>253</v>
      </c>
      <c r="AZ1137" s="5" t="s">
        <v>240</v>
      </c>
      <c r="BA1137" s="5" t="s">
        <v>255</v>
      </c>
      <c r="BB1137" s="5" t="s">
        <v>240</v>
      </c>
      <c r="BD1137" s="5" t="s">
        <v>240</v>
      </c>
      <c r="BF1137" s="5" t="s">
        <v>301</v>
      </c>
      <c r="BG1137" s="6" t="s">
        <v>299</v>
      </c>
      <c r="BH1137" s="5" t="s">
        <v>302</v>
      </c>
      <c r="BI1137" s="5" t="s">
        <v>303</v>
      </c>
      <c r="BJ1137" s="5" t="s">
        <v>240</v>
      </c>
      <c r="BK1137" s="8">
        <f>0</f>
        <v>0</v>
      </c>
      <c r="BL1137" s="7">
        <f>0</f>
        <v>0</v>
      </c>
      <c r="BM1137" s="5" t="s">
        <v>258</v>
      </c>
      <c r="BN1137" s="5" t="s">
        <v>259</v>
      </c>
      <c r="CB1137" s="5" t="s">
        <v>240</v>
      </c>
      <c r="CC1137" s="5" t="s">
        <v>240</v>
      </c>
      <c r="CG1137" s="5" t="s">
        <v>304</v>
      </c>
      <c r="CH1137" s="5" t="s">
        <v>305</v>
      </c>
      <c r="CI1137" s="5" t="s">
        <v>240</v>
      </c>
      <c r="CL1137" s="6" t="s">
        <v>261</v>
      </c>
      <c r="CM1137" s="5" t="s">
        <v>240</v>
      </c>
      <c r="CN1137" s="5" t="s">
        <v>263</v>
      </c>
      <c r="CO1137" s="5" t="s">
        <v>240</v>
      </c>
      <c r="CP1137" s="5" t="s">
        <v>240</v>
      </c>
      <c r="CQ1137" s="5">
        <v>0</v>
      </c>
      <c r="CR1137" s="5" t="s">
        <v>306</v>
      </c>
      <c r="CS1137" s="5" t="s">
        <v>307</v>
      </c>
      <c r="CT1137" s="5" t="s">
        <v>307</v>
      </c>
      <c r="CU1137" s="5" t="s">
        <v>260</v>
      </c>
      <c r="CX1137" s="7">
        <f>1</f>
        <v>1</v>
      </c>
      <c r="CY1137" s="7">
        <f>0</f>
        <v>0</v>
      </c>
      <c r="DA1137" s="7">
        <f>0</f>
        <v>0</v>
      </c>
      <c r="DC1137" s="5" t="s">
        <v>812</v>
      </c>
      <c r="DD1137" s="5" t="s">
        <v>240</v>
      </c>
      <c r="DF1137" s="5" t="s">
        <v>812</v>
      </c>
      <c r="DG1137" s="7">
        <f>794</f>
        <v>794</v>
      </c>
      <c r="DI1137" s="5" t="s">
        <v>240</v>
      </c>
      <c r="DJ1137" s="5" t="s">
        <v>240</v>
      </c>
      <c r="DK1137" s="5" t="s">
        <v>240</v>
      </c>
      <c r="DL1137" s="5" t="s">
        <v>240</v>
      </c>
      <c r="DP1137" s="5" t="s">
        <v>240</v>
      </c>
      <c r="DQ1137" s="5" t="s">
        <v>240</v>
      </c>
      <c r="DR1137" s="5" t="s">
        <v>240</v>
      </c>
      <c r="DS1137" s="5" t="s">
        <v>240</v>
      </c>
      <c r="DV1137" s="5" t="s">
        <v>813</v>
      </c>
      <c r="DW1137" s="5" t="s">
        <v>2405</v>
      </c>
      <c r="HO1137" s="5" t="s">
        <v>312</v>
      </c>
    </row>
    <row r="1138" spans="1:223" x14ac:dyDescent="0.4">
      <c r="A1138" s="5">
        <v>2813</v>
      </c>
      <c r="B1138" s="5">
        <v>1</v>
      </c>
      <c r="C1138" s="5">
        <v>1</v>
      </c>
      <c r="D1138" s="5" t="s">
        <v>297</v>
      </c>
      <c r="E1138" s="5" t="s">
        <v>245</v>
      </c>
      <c r="F1138" s="5" t="s">
        <v>254</v>
      </c>
      <c r="G1138" s="5" t="s">
        <v>240</v>
      </c>
      <c r="H1138" s="6" t="s">
        <v>3520</v>
      </c>
      <c r="I1138" s="5" t="s">
        <v>295</v>
      </c>
      <c r="J1138" s="8">
        <f>3020</f>
        <v>3020</v>
      </c>
      <c r="K1138" s="5" t="s">
        <v>308</v>
      </c>
      <c r="L1138" s="7">
        <f>1</f>
        <v>1</v>
      </c>
      <c r="M1138" s="7">
        <f>1</f>
        <v>1</v>
      </c>
      <c r="N1138" s="5" t="s">
        <v>242</v>
      </c>
      <c r="O1138" s="5">
        <v>1</v>
      </c>
      <c r="P1138" s="5" t="s">
        <v>294</v>
      </c>
      <c r="Q1138" s="5" t="s">
        <v>266</v>
      </c>
      <c r="R1138" s="5" t="s">
        <v>240</v>
      </c>
      <c r="S1138" s="5" t="s">
        <v>240</v>
      </c>
      <c r="T1138" s="5" t="s">
        <v>296</v>
      </c>
      <c r="U1138" s="5" t="s">
        <v>244</v>
      </c>
      <c r="V1138" s="5" t="s">
        <v>240</v>
      </c>
      <c r="Y1138" s="5" t="s">
        <v>240</v>
      </c>
      <c r="Z1138" s="6" t="s">
        <v>298</v>
      </c>
      <c r="AB1138" s="6" t="s">
        <v>240</v>
      </c>
      <c r="AE1138" s="6" t="s">
        <v>299</v>
      </c>
      <c r="AF1138" s="5" t="s">
        <v>248</v>
      </c>
      <c r="AG1138" s="5" t="s">
        <v>249</v>
      </c>
      <c r="AW1138" s="5" t="s">
        <v>251</v>
      </c>
      <c r="AX1138" s="5" t="s">
        <v>240</v>
      </c>
      <c r="AY1138" s="5" t="s">
        <v>253</v>
      </c>
      <c r="AZ1138" s="5" t="s">
        <v>240</v>
      </c>
      <c r="BA1138" s="5" t="s">
        <v>255</v>
      </c>
      <c r="BB1138" s="5" t="s">
        <v>240</v>
      </c>
      <c r="BD1138" s="5" t="s">
        <v>240</v>
      </c>
      <c r="BF1138" s="5" t="s">
        <v>301</v>
      </c>
      <c r="BG1138" s="6" t="s">
        <v>299</v>
      </c>
      <c r="BH1138" s="5" t="s">
        <v>302</v>
      </c>
      <c r="BI1138" s="5" t="s">
        <v>303</v>
      </c>
      <c r="BJ1138" s="5" t="s">
        <v>240</v>
      </c>
      <c r="BK1138" s="8">
        <f>0</f>
        <v>0</v>
      </c>
      <c r="BL1138" s="7">
        <f>0</f>
        <v>0</v>
      </c>
      <c r="BM1138" s="5" t="s">
        <v>258</v>
      </c>
      <c r="BN1138" s="5" t="s">
        <v>259</v>
      </c>
      <c r="CB1138" s="5" t="s">
        <v>240</v>
      </c>
      <c r="CC1138" s="5" t="s">
        <v>240</v>
      </c>
      <c r="CG1138" s="5" t="s">
        <v>304</v>
      </c>
      <c r="CH1138" s="5" t="s">
        <v>305</v>
      </c>
      <c r="CI1138" s="5" t="s">
        <v>240</v>
      </c>
      <c r="CL1138" s="6" t="s">
        <v>261</v>
      </c>
      <c r="CM1138" s="5" t="s">
        <v>240</v>
      </c>
      <c r="CN1138" s="5" t="s">
        <v>263</v>
      </c>
      <c r="CO1138" s="5" t="s">
        <v>240</v>
      </c>
      <c r="CP1138" s="5" t="s">
        <v>240</v>
      </c>
      <c r="CQ1138" s="5">
        <v>0</v>
      </c>
      <c r="CR1138" s="5" t="s">
        <v>306</v>
      </c>
      <c r="CS1138" s="5" t="s">
        <v>307</v>
      </c>
      <c r="CT1138" s="5" t="s">
        <v>307</v>
      </c>
      <c r="CU1138" s="5" t="s">
        <v>260</v>
      </c>
      <c r="CX1138" s="7">
        <f>1</f>
        <v>1</v>
      </c>
      <c r="CY1138" s="7">
        <f>0</f>
        <v>0</v>
      </c>
      <c r="DA1138" s="7">
        <f>0</f>
        <v>0</v>
      </c>
      <c r="DC1138" s="5" t="s">
        <v>812</v>
      </c>
      <c r="DD1138" s="5" t="s">
        <v>240</v>
      </c>
      <c r="DF1138" s="5" t="s">
        <v>812</v>
      </c>
      <c r="DG1138" s="7">
        <f>170</f>
        <v>170</v>
      </c>
      <c r="DI1138" s="5" t="s">
        <v>240</v>
      </c>
      <c r="DJ1138" s="5" t="s">
        <v>240</v>
      </c>
      <c r="DK1138" s="5" t="s">
        <v>240</v>
      </c>
      <c r="DL1138" s="5" t="s">
        <v>240</v>
      </c>
      <c r="DP1138" s="5" t="s">
        <v>240</v>
      </c>
      <c r="DQ1138" s="5" t="s">
        <v>240</v>
      </c>
      <c r="DR1138" s="5" t="s">
        <v>240</v>
      </c>
      <c r="DS1138" s="5" t="s">
        <v>240</v>
      </c>
      <c r="DV1138" s="5" t="s">
        <v>813</v>
      </c>
      <c r="DW1138" s="5" t="s">
        <v>2407</v>
      </c>
      <c r="HO1138" s="5" t="s">
        <v>312</v>
      </c>
    </row>
    <row r="1139" spans="1:223" x14ac:dyDescent="0.4">
      <c r="A1139" s="5">
        <v>2814</v>
      </c>
      <c r="B1139" s="5">
        <v>1</v>
      </c>
      <c r="C1139" s="5">
        <v>1</v>
      </c>
      <c r="D1139" s="5" t="s">
        <v>297</v>
      </c>
      <c r="E1139" s="5" t="s">
        <v>245</v>
      </c>
      <c r="F1139" s="5" t="s">
        <v>254</v>
      </c>
      <c r="G1139" s="5" t="s">
        <v>240</v>
      </c>
      <c r="H1139" s="6" t="s">
        <v>3631</v>
      </c>
      <c r="I1139" s="5" t="s">
        <v>295</v>
      </c>
      <c r="J1139" s="8">
        <f>574</f>
        <v>574</v>
      </c>
      <c r="K1139" s="5" t="s">
        <v>308</v>
      </c>
      <c r="L1139" s="7">
        <f>1</f>
        <v>1</v>
      </c>
      <c r="M1139" s="7">
        <f>1</f>
        <v>1</v>
      </c>
      <c r="N1139" s="5" t="s">
        <v>242</v>
      </c>
      <c r="O1139" s="5">
        <v>1</v>
      </c>
      <c r="P1139" s="5" t="s">
        <v>294</v>
      </c>
      <c r="Q1139" s="5" t="s">
        <v>266</v>
      </c>
      <c r="R1139" s="5" t="s">
        <v>240</v>
      </c>
      <c r="S1139" s="5" t="s">
        <v>240</v>
      </c>
      <c r="T1139" s="5" t="s">
        <v>296</v>
      </c>
      <c r="U1139" s="5" t="s">
        <v>244</v>
      </c>
      <c r="V1139" s="5" t="s">
        <v>240</v>
      </c>
      <c r="Y1139" s="5" t="s">
        <v>240</v>
      </c>
      <c r="Z1139" s="6" t="s">
        <v>298</v>
      </c>
      <c r="AB1139" s="6" t="s">
        <v>240</v>
      </c>
      <c r="AE1139" s="6" t="s">
        <v>299</v>
      </c>
      <c r="AF1139" s="5" t="s">
        <v>248</v>
      </c>
      <c r="AG1139" s="5" t="s">
        <v>249</v>
      </c>
      <c r="AW1139" s="5" t="s">
        <v>251</v>
      </c>
      <c r="AX1139" s="5" t="s">
        <v>240</v>
      </c>
      <c r="AY1139" s="5" t="s">
        <v>253</v>
      </c>
      <c r="AZ1139" s="5" t="s">
        <v>240</v>
      </c>
      <c r="BA1139" s="5" t="s">
        <v>255</v>
      </c>
      <c r="BB1139" s="5" t="s">
        <v>240</v>
      </c>
      <c r="BD1139" s="5" t="s">
        <v>240</v>
      </c>
      <c r="BF1139" s="5" t="s">
        <v>301</v>
      </c>
      <c r="BG1139" s="6" t="s">
        <v>299</v>
      </c>
      <c r="BH1139" s="5" t="s">
        <v>302</v>
      </c>
      <c r="BI1139" s="5" t="s">
        <v>303</v>
      </c>
      <c r="BJ1139" s="5" t="s">
        <v>240</v>
      </c>
      <c r="BK1139" s="8">
        <f>0</f>
        <v>0</v>
      </c>
      <c r="BL1139" s="7">
        <f>0</f>
        <v>0</v>
      </c>
      <c r="BM1139" s="5" t="s">
        <v>258</v>
      </c>
      <c r="BN1139" s="5" t="s">
        <v>259</v>
      </c>
      <c r="CB1139" s="5" t="s">
        <v>240</v>
      </c>
      <c r="CC1139" s="5" t="s">
        <v>240</v>
      </c>
      <c r="CG1139" s="5" t="s">
        <v>304</v>
      </c>
      <c r="CH1139" s="5" t="s">
        <v>305</v>
      </c>
      <c r="CI1139" s="5" t="s">
        <v>240</v>
      </c>
      <c r="CL1139" s="6" t="s">
        <v>261</v>
      </c>
      <c r="CM1139" s="5" t="s">
        <v>240</v>
      </c>
      <c r="CN1139" s="5" t="s">
        <v>263</v>
      </c>
      <c r="CO1139" s="5" t="s">
        <v>240</v>
      </c>
      <c r="CP1139" s="5" t="s">
        <v>240</v>
      </c>
      <c r="CQ1139" s="5">
        <v>0</v>
      </c>
      <c r="CR1139" s="5" t="s">
        <v>306</v>
      </c>
      <c r="CS1139" s="5" t="s">
        <v>307</v>
      </c>
      <c r="CT1139" s="5" t="s">
        <v>307</v>
      </c>
      <c r="CU1139" s="5" t="s">
        <v>260</v>
      </c>
      <c r="CX1139" s="7">
        <f>1</f>
        <v>1</v>
      </c>
      <c r="CY1139" s="7">
        <f>0</f>
        <v>0</v>
      </c>
      <c r="DA1139" s="7">
        <f>0</f>
        <v>0</v>
      </c>
      <c r="DC1139" s="5" t="s">
        <v>812</v>
      </c>
      <c r="DD1139" s="5" t="s">
        <v>240</v>
      </c>
      <c r="DF1139" s="5" t="s">
        <v>812</v>
      </c>
      <c r="DG1139" s="7">
        <f>2774</f>
        <v>2774</v>
      </c>
      <c r="DI1139" s="5" t="s">
        <v>240</v>
      </c>
      <c r="DJ1139" s="5" t="s">
        <v>240</v>
      </c>
      <c r="DK1139" s="5" t="s">
        <v>240</v>
      </c>
      <c r="DL1139" s="5" t="s">
        <v>240</v>
      </c>
      <c r="DP1139" s="5" t="s">
        <v>240</v>
      </c>
      <c r="DQ1139" s="5" t="s">
        <v>240</v>
      </c>
      <c r="DR1139" s="5" t="s">
        <v>240</v>
      </c>
      <c r="DS1139" s="5" t="s">
        <v>240</v>
      </c>
      <c r="DV1139" s="5" t="s">
        <v>813</v>
      </c>
      <c r="DW1139" s="5" t="s">
        <v>2409</v>
      </c>
      <c r="HO1139" s="5" t="s">
        <v>312</v>
      </c>
    </row>
    <row r="1140" spans="1:223" x14ac:dyDescent="0.4">
      <c r="A1140" s="5">
        <v>2815</v>
      </c>
      <c r="B1140" s="5">
        <v>1</v>
      </c>
      <c r="C1140" s="5">
        <v>1</v>
      </c>
      <c r="D1140" s="5" t="s">
        <v>297</v>
      </c>
      <c r="E1140" s="5" t="s">
        <v>245</v>
      </c>
      <c r="F1140" s="5" t="s">
        <v>254</v>
      </c>
      <c r="G1140" s="5" t="s">
        <v>240</v>
      </c>
      <c r="H1140" s="6" t="s">
        <v>3695</v>
      </c>
      <c r="I1140" s="5" t="s">
        <v>295</v>
      </c>
      <c r="J1140" s="8">
        <f>2572</f>
        <v>2572</v>
      </c>
      <c r="K1140" s="5" t="s">
        <v>308</v>
      </c>
      <c r="L1140" s="7">
        <f>1</f>
        <v>1</v>
      </c>
      <c r="M1140" s="7">
        <f>1</f>
        <v>1</v>
      </c>
      <c r="N1140" s="5" t="s">
        <v>242</v>
      </c>
      <c r="O1140" s="5">
        <v>1</v>
      </c>
      <c r="P1140" s="5" t="s">
        <v>294</v>
      </c>
      <c r="Q1140" s="5" t="s">
        <v>266</v>
      </c>
      <c r="R1140" s="5" t="s">
        <v>240</v>
      </c>
      <c r="S1140" s="5" t="s">
        <v>240</v>
      </c>
      <c r="T1140" s="5" t="s">
        <v>296</v>
      </c>
      <c r="U1140" s="5" t="s">
        <v>244</v>
      </c>
      <c r="V1140" s="5" t="s">
        <v>240</v>
      </c>
      <c r="Y1140" s="5" t="s">
        <v>240</v>
      </c>
      <c r="Z1140" s="6" t="s">
        <v>298</v>
      </c>
      <c r="AB1140" s="6" t="s">
        <v>240</v>
      </c>
      <c r="AE1140" s="6" t="s">
        <v>299</v>
      </c>
      <c r="AF1140" s="5" t="s">
        <v>248</v>
      </c>
      <c r="AG1140" s="5" t="s">
        <v>249</v>
      </c>
      <c r="AW1140" s="5" t="s">
        <v>251</v>
      </c>
      <c r="AX1140" s="5" t="s">
        <v>240</v>
      </c>
      <c r="AY1140" s="5" t="s">
        <v>253</v>
      </c>
      <c r="AZ1140" s="5" t="s">
        <v>240</v>
      </c>
      <c r="BA1140" s="5" t="s">
        <v>255</v>
      </c>
      <c r="BB1140" s="5" t="s">
        <v>240</v>
      </c>
      <c r="BD1140" s="5" t="s">
        <v>240</v>
      </c>
      <c r="BF1140" s="5" t="s">
        <v>301</v>
      </c>
      <c r="BG1140" s="6" t="s">
        <v>299</v>
      </c>
      <c r="BH1140" s="5" t="s">
        <v>302</v>
      </c>
      <c r="BI1140" s="5" t="s">
        <v>303</v>
      </c>
      <c r="BJ1140" s="5" t="s">
        <v>240</v>
      </c>
      <c r="BK1140" s="8">
        <f>0</f>
        <v>0</v>
      </c>
      <c r="BL1140" s="7">
        <f>0</f>
        <v>0</v>
      </c>
      <c r="BM1140" s="5" t="s">
        <v>258</v>
      </c>
      <c r="BN1140" s="5" t="s">
        <v>259</v>
      </c>
      <c r="CB1140" s="5" t="s">
        <v>240</v>
      </c>
      <c r="CC1140" s="5" t="s">
        <v>240</v>
      </c>
      <c r="CG1140" s="5" t="s">
        <v>304</v>
      </c>
      <c r="CH1140" s="5" t="s">
        <v>305</v>
      </c>
      <c r="CI1140" s="5" t="s">
        <v>240</v>
      </c>
      <c r="CL1140" s="6" t="s">
        <v>261</v>
      </c>
      <c r="CM1140" s="5" t="s">
        <v>240</v>
      </c>
      <c r="CN1140" s="5" t="s">
        <v>263</v>
      </c>
      <c r="CO1140" s="5" t="s">
        <v>240</v>
      </c>
      <c r="CP1140" s="5" t="s">
        <v>240</v>
      </c>
      <c r="CQ1140" s="5">
        <v>0</v>
      </c>
      <c r="CR1140" s="5" t="s">
        <v>306</v>
      </c>
      <c r="CS1140" s="5" t="s">
        <v>307</v>
      </c>
      <c r="CT1140" s="5" t="s">
        <v>307</v>
      </c>
      <c r="CU1140" s="5" t="s">
        <v>260</v>
      </c>
      <c r="CX1140" s="7">
        <f>1</f>
        <v>1</v>
      </c>
      <c r="CY1140" s="7">
        <f>0</f>
        <v>0</v>
      </c>
      <c r="DA1140" s="7">
        <f>0</f>
        <v>0</v>
      </c>
      <c r="DC1140" s="5" t="s">
        <v>812</v>
      </c>
      <c r="DD1140" s="5" t="s">
        <v>240</v>
      </c>
      <c r="DF1140" s="5" t="s">
        <v>812</v>
      </c>
      <c r="DG1140" s="7">
        <f>2934</f>
        <v>2934</v>
      </c>
      <c r="DI1140" s="5" t="s">
        <v>240</v>
      </c>
      <c r="DJ1140" s="5" t="s">
        <v>240</v>
      </c>
      <c r="DK1140" s="5" t="s">
        <v>240</v>
      </c>
      <c r="DL1140" s="5" t="s">
        <v>240</v>
      </c>
      <c r="DP1140" s="5" t="s">
        <v>240</v>
      </c>
      <c r="DQ1140" s="5" t="s">
        <v>240</v>
      </c>
      <c r="DR1140" s="5" t="s">
        <v>240</v>
      </c>
      <c r="DS1140" s="5" t="s">
        <v>240</v>
      </c>
      <c r="DV1140" s="5" t="s">
        <v>813</v>
      </c>
      <c r="DW1140" s="5" t="s">
        <v>2411</v>
      </c>
      <c r="HO1140" s="5" t="s">
        <v>312</v>
      </c>
    </row>
    <row r="1141" spans="1:223" x14ac:dyDescent="0.4">
      <c r="A1141" s="5">
        <v>2816</v>
      </c>
      <c r="B1141" s="5">
        <v>1</v>
      </c>
      <c r="C1141" s="5">
        <v>1</v>
      </c>
      <c r="D1141" s="5" t="s">
        <v>297</v>
      </c>
      <c r="E1141" s="5" t="s">
        <v>245</v>
      </c>
      <c r="F1141" s="5" t="s">
        <v>254</v>
      </c>
      <c r="G1141" s="5" t="s">
        <v>240</v>
      </c>
      <c r="H1141" s="6" t="s">
        <v>3714</v>
      </c>
      <c r="I1141" s="5" t="s">
        <v>295</v>
      </c>
      <c r="J1141" s="8">
        <f>563</f>
        <v>563</v>
      </c>
      <c r="K1141" s="5" t="s">
        <v>308</v>
      </c>
      <c r="L1141" s="7">
        <f>1</f>
        <v>1</v>
      </c>
      <c r="M1141" s="7">
        <f>1</f>
        <v>1</v>
      </c>
      <c r="N1141" s="5" t="s">
        <v>242</v>
      </c>
      <c r="O1141" s="5">
        <v>1</v>
      </c>
      <c r="P1141" s="5" t="s">
        <v>294</v>
      </c>
      <c r="Q1141" s="5" t="s">
        <v>266</v>
      </c>
      <c r="R1141" s="5" t="s">
        <v>240</v>
      </c>
      <c r="S1141" s="5" t="s">
        <v>240</v>
      </c>
      <c r="T1141" s="5" t="s">
        <v>296</v>
      </c>
      <c r="U1141" s="5" t="s">
        <v>244</v>
      </c>
      <c r="V1141" s="5" t="s">
        <v>240</v>
      </c>
      <c r="Y1141" s="5" t="s">
        <v>240</v>
      </c>
      <c r="Z1141" s="6" t="s">
        <v>298</v>
      </c>
      <c r="AB1141" s="6" t="s">
        <v>240</v>
      </c>
      <c r="AE1141" s="6" t="s">
        <v>299</v>
      </c>
      <c r="AF1141" s="5" t="s">
        <v>248</v>
      </c>
      <c r="AG1141" s="5" t="s">
        <v>249</v>
      </c>
      <c r="AW1141" s="5" t="s">
        <v>251</v>
      </c>
      <c r="AX1141" s="5" t="s">
        <v>240</v>
      </c>
      <c r="AY1141" s="5" t="s">
        <v>253</v>
      </c>
      <c r="AZ1141" s="5" t="s">
        <v>240</v>
      </c>
      <c r="BA1141" s="5" t="s">
        <v>255</v>
      </c>
      <c r="BB1141" s="5" t="s">
        <v>240</v>
      </c>
      <c r="BD1141" s="5" t="s">
        <v>240</v>
      </c>
      <c r="BF1141" s="5" t="s">
        <v>301</v>
      </c>
      <c r="BG1141" s="6" t="s">
        <v>299</v>
      </c>
      <c r="BH1141" s="5" t="s">
        <v>302</v>
      </c>
      <c r="BI1141" s="5" t="s">
        <v>303</v>
      </c>
      <c r="BJ1141" s="5" t="s">
        <v>240</v>
      </c>
      <c r="BK1141" s="8">
        <f>0</f>
        <v>0</v>
      </c>
      <c r="BL1141" s="7">
        <f>0</f>
        <v>0</v>
      </c>
      <c r="BM1141" s="5" t="s">
        <v>258</v>
      </c>
      <c r="BN1141" s="5" t="s">
        <v>259</v>
      </c>
      <c r="CB1141" s="5" t="s">
        <v>240</v>
      </c>
      <c r="CC1141" s="5" t="s">
        <v>240</v>
      </c>
      <c r="CG1141" s="5" t="s">
        <v>304</v>
      </c>
      <c r="CH1141" s="5" t="s">
        <v>305</v>
      </c>
      <c r="CI1141" s="5" t="s">
        <v>240</v>
      </c>
      <c r="CL1141" s="6" t="s">
        <v>261</v>
      </c>
      <c r="CM1141" s="5" t="s">
        <v>240</v>
      </c>
      <c r="CN1141" s="5" t="s">
        <v>263</v>
      </c>
      <c r="CO1141" s="5" t="s">
        <v>240</v>
      </c>
      <c r="CP1141" s="5" t="s">
        <v>240</v>
      </c>
      <c r="CQ1141" s="5">
        <v>0</v>
      </c>
      <c r="CR1141" s="5" t="s">
        <v>306</v>
      </c>
      <c r="CS1141" s="5" t="s">
        <v>307</v>
      </c>
      <c r="CT1141" s="5" t="s">
        <v>307</v>
      </c>
      <c r="CU1141" s="5" t="s">
        <v>260</v>
      </c>
      <c r="CX1141" s="7">
        <f>1</f>
        <v>1</v>
      </c>
      <c r="CY1141" s="7">
        <f>0</f>
        <v>0</v>
      </c>
      <c r="DA1141" s="7">
        <f>0</f>
        <v>0</v>
      </c>
      <c r="DC1141" s="5" t="s">
        <v>812</v>
      </c>
      <c r="DD1141" s="5" t="s">
        <v>240</v>
      </c>
      <c r="DF1141" s="5" t="s">
        <v>812</v>
      </c>
      <c r="DG1141" s="7">
        <f>514</f>
        <v>514</v>
      </c>
      <c r="DI1141" s="5" t="s">
        <v>240</v>
      </c>
      <c r="DJ1141" s="5" t="s">
        <v>240</v>
      </c>
      <c r="DK1141" s="5" t="s">
        <v>240</v>
      </c>
      <c r="DL1141" s="5" t="s">
        <v>240</v>
      </c>
      <c r="DP1141" s="5" t="s">
        <v>240</v>
      </c>
      <c r="DQ1141" s="5" t="s">
        <v>240</v>
      </c>
      <c r="DR1141" s="5" t="s">
        <v>240</v>
      </c>
      <c r="DS1141" s="5" t="s">
        <v>240</v>
      </c>
      <c r="DV1141" s="5" t="s">
        <v>813</v>
      </c>
      <c r="DW1141" s="5" t="s">
        <v>2413</v>
      </c>
      <c r="HO1141" s="5" t="s">
        <v>312</v>
      </c>
    </row>
    <row r="1142" spans="1:223" x14ac:dyDescent="0.4">
      <c r="A1142" s="5">
        <v>2817</v>
      </c>
      <c r="B1142" s="5">
        <v>1</v>
      </c>
      <c r="C1142" s="5">
        <v>1</v>
      </c>
      <c r="D1142" s="5" t="s">
        <v>297</v>
      </c>
      <c r="E1142" s="5" t="s">
        <v>245</v>
      </c>
      <c r="F1142" s="5" t="s">
        <v>254</v>
      </c>
      <c r="G1142" s="5" t="s">
        <v>240</v>
      </c>
      <c r="H1142" s="6" t="s">
        <v>3746</v>
      </c>
      <c r="I1142" s="5" t="s">
        <v>295</v>
      </c>
      <c r="J1142" s="8">
        <f>13783</f>
        <v>13783</v>
      </c>
      <c r="K1142" s="5" t="s">
        <v>308</v>
      </c>
      <c r="L1142" s="7">
        <f>1</f>
        <v>1</v>
      </c>
      <c r="M1142" s="7">
        <f>1</f>
        <v>1</v>
      </c>
      <c r="N1142" s="5" t="s">
        <v>242</v>
      </c>
      <c r="O1142" s="5">
        <v>1</v>
      </c>
      <c r="P1142" s="5" t="s">
        <v>294</v>
      </c>
      <c r="Q1142" s="5" t="s">
        <v>266</v>
      </c>
      <c r="R1142" s="5" t="s">
        <v>240</v>
      </c>
      <c r="S1142" s="5" t="s">
        <v>240</v>
      </c>
      <c r="T1142" s="5" t="s">
        <v>296</v>
      </c>
      <c r="U1142" s="5" t="s">
        <v>244</v>
      </c>
      <c r="V1142" s="5" t="s">
        <v>240</v>
      </c>
      <c r="Y1142" s="5" t="s">
        <v>240</v>
      </c>
      <c r="Z1142" s="6" t="s">
        <v>298</v>
      </c>
      <c r="AB1142" s="6" t="s">
        <v>240</v>
      </c>
      <c r="AE1142" s="6" t="s">
        <v>299</v>
      </c>
      <c r="AF1142" s="5" t="s">
        <v>248</v>
      </c>
      <c r="AG1142" s="5" t="s">
        <v>249</v>
      </c>
      <c r="AW1142" s="5" t="s">
        <v>251</v>
      </c>
      <c r="AX1142" s="5" t="s">
        <v>240</v>
      </c>
      <c r="AY1142" s="5" t="s">
        <v>253</v>
      </c>
      <c r="AZ1142" s="5" t="s">
        <v>240</v>
      </c>
      <c r="BA1142" s="5" t="s">
        <v>255</v>
      </c>
      <c r="BB1142" s="5" t="s">
        <v>240</v>
      </c>
      <c r="BD1142" s="5" t="s">
        <v>240</v>
      </c>
      <c r="BF1142" s="5" t="s">
        <v>301</v>
      </c>
      <c r="BG1142" s="6" t="s">
        <v>299</v>
      </c>
      <c r="BH1142" s="5" t="s">
        <v>302</v>
      </c>
      <c r="BI1142" s="5" t="s">
        <v>303</v>
      </c>
      <c r="BJ1142" s="5" t="s">
        <v>240</v>
      </c>
      <c r="BK1142" s="8">
        <f>0</f>
        <v>0</v>
      </c>
      <c r="BL1142" s="7">
        <f>0</f>
        <v>0</v>
      </c>
      <c r="BM1142" s="5" t="s">
        <v>258</v>
      </c>
      <c r="BN1142" s="5" t="s">
        <v>259</v>
      </c>
      <c r="CB1142" s="5" t="s">
        <v>240</v>
      </c>
      <c r="CC1142" s="5" t="s">
        <v>240</v>
      </c>
      <c r="CG1142" s="5" t="s">
        <v>304</v>
      </c>
      <c r="CH1142" s="5" t="s">
        <v>305</v>
      </c>
      <c r="CI1142" s="5" t="s">
        <v>240</v>
      </c>
      <c r="CL1142" s="6" t="s">
        <v>261</v>
      </c>
      <c r="CM1142" s="5" t="s">
        <v>240</v>
      </c>
      <c r="CN1142" s="5" t="s">
        <v>263</v>
      </c>
      <c r="CO1142" s="5" t="s">
        <v>240</v>
      </c>
      <c r="CP1142" s="5" t="s">
        <v>240</v>
      </c>
      <c r="CQ1142" s="5">
        <v>0</v>
      </c>
      <c r="CR1142" s="5" t="s">
        <v>306</v>
      </c>
      <c r="CS1142" s="5" t="s">
        <v>307</v>
      </c>
      <c r="CT1142" s="5" t="s">
        <v>307</v>
      </c>
      <c r="CU1142" s="5" t="s">
        <v>260</v>
      </c>
      <c r="CX1142" s="7">
        <f>1</f>
        <v>1</v>
      </c>
      <c r="CY1142" s="7">
        <f>0</f>
        <v>0</v>
      </c>
      <c r="DA1142" s="7">
        <f>0</f>
        <v>0</v>
      </c>
      <c r="DC1142" s="5" t="s">
        <v>309</v>
      </c>
      <c r="DD1142" s="5" t="s">
        <v>240</v>
      </c>
      <c r="DF1142" s="5" t="s">
        <v>309</v>
      </c>
      <c r="DG1142" s="7">
        <f>682</f>
        <v>682</v>
      </c>
      <c r="DI1142" s="5" t="s">
        <v>240</v>
      </c>
      <c r="DJ1142" s="5" t="s">
        <v>240</v>
      </c>
      <c r="DK1142" s="5" t="s">
        <v>240</v>
      </c>
      <c r="DL1142" s="5" t="s">
        <v>240</v>
      </c>
      <c r="DP1142" s="5" t="s">
        <v>240</v>
      </c>
      <c r="DQ1142" s="5" t="s">
        <v>240</v>
      </c>
      <c r="DR1142" s="5" t="s">
        <v>240</v>
      </c>
      <c r="DS1142" s="5" t="s">
        <v>240</v>
      </c>
      <c r="DV1142" s="5" t="s">
        <v>310</v>
      </c>
      <c r="DW1142" s="5" t="s">
        <v>2141</v>
      </c>
      <c r="HO1142" s="5" t="s">
        <v>312</v>
      </c>
    </row>
    <row r="1143" spans="1:223" x14ac:dyDescent="0.4">
      <c r="A1143" s="5">
        <v>2818</v>
      </c>
      <c r="B1143" s="5">
        <v>1</v>
      </c>
      <c r="C1143" s="5">
        <v>1</v>
      </c>
      <c r="D1143" s="5" t="s">
        <v>297</v>
      </c>
      <c r="E1143" s="5" t="s">
        <v>245</v>
      </c>
      <c r="F1143" s="5" t="s">
        <v>254</v>
      </c>
      <c r="G1143" s="5" t="s">
        <v>240</v>
      </c>
      <c r="H1143" s="6" t="s">
        <v>3851</v>
      </c>
      <c r="I1143" s="5" t="s">
        <v>295</v>
      </c>
      <c r="J1143" s="8">
        <f>4021</f>
        <v>4021</v>
      </c>
      <c r="K1143" s="5" t="s">
        <v>308</v>
      </c>
      <c r="L1143" s="7">
        <f>1</f>
        <v>1</v>
      </c>
      <c r="M1143" s="7">
        <f>1</f>
        <v>1</v>
      </c>
      <c r="N1143" s="5" t="s">
        <v>242</v>
      </c>
      <c r="O1143" s="5">
        <v>1</v>
      </c>
      <c r="P1143" s="5" t="s">
        <v>294</v>
      </c>
      <c r="Q1143" s="5" t="s">
        <v>266</v>
      </c>
      <c r="R1143" s="5" t="s">
        <v>240</v>
      </c>
      <c r="S1143" s="5" t="s">
        <v>240</v>
      </c>
      <c r="T1143" s="5" t="s">
        <v>296</v>
      </c>
      <c r="U1143" s="5" t="s">
        <v>244</v>
      </c>
      <c r="V1143" s="5" t="s">
        <v>240</v>
      </c>
      <c r="Y1143" s="5" t="s">
        <v>240</v>
      </c>
      <c r="Z1143" s="6" t="s">
        <v>298</v>
      </c>
      <c r="AB1143" s="6" t="s">
        <v>240</v>
      </c>
      <c r="AE1143" s="6" t="s">
        <v>299</v>
      </c>
      <c r="AF1143" s="5" t="s">
        <v>248</v>
      </c>
      <c r="AG1143" s="5" t="s">
        <v>249</v>
      </c>
      <c r="AW1143" s="5" t="s">
        <v>251</v>
      </c>
      <c r="AX1143" s="5" t="s">
        <v>240</v>
      </c>
      <c r="AY1143" s="5" t="s">
        <v>253</v>
      </c>
      <c r="AZ1143" s="5" t="s">
        <v>240</v>
      </c>
      <c r="BA1143" s="5" t="s">
        <v>255</v>
      </c>
      <c r="BB1143" s="5" t="s">
        <v>240</v>
      </c>
      <c r="BD1143" s="5" t="s">
        <v>240</v>
      </c>
      <c r="BF1143" s="5" t="s">
        <v>301</v>
      </c>
      <c r="BG1143" s="6" t="s">
        <v>299</v>
      </c>
      <c r="BH1143" s="5" t="s">
        <v>302</v>
      </c>
      <c r="BI1143" s="5" t="s">
        <v>303</v>
      </c>
      <c r="BJ1143" s="5" t="s">
        <v>240</v>
      </c>
      <c r="BK1143" s="8">
        <f>0</f>
        <v>0</v>
      </c>
      <c r="BL1143" s="7">
        <f>0</f>
        <v>0</v>
      </c>
      <c r="BM1143" s="5" t="s">
        <v>258</v>
      </c>
      <c r="BN1143" s="5" t="s">
        <v>259</v>
      </c>
      <c r="CB1143" s="5" t="s">
        <v>240</v>
      </c>
      <c r="CC1143" s="5" t="s">
        <v>240</v>
      </c>
      <c r="CG1143" s="5" t="s">
        <v>304</v>
      </c>
      <c r="CH1143" s="5" t="s">
        <v>305</v>
      </c>
      <c r="CI1143" s="5" t="s">
        <v>240</v>
      </c>
      <c r="CL1143" s="6" t="s">
        <v>261</v>
      </c>
      <c r="CM1143" s="5" t="s">
        <v>240</v>
      </c>
      <c r="CN1143" s="5" t="s">
        <v>263</v>
      </c>
      <c r="CO1143" s="5" t="s">
        <v>240</v>
      </c>
      <c r="CP1143" s="5" t="s">
        <v>240</v>
      </c>
      <c r="CQ1143" s="5">
        <v>0</v>
      </c>
      <c r="CR1143" s="5" t="s">
        <v>306</v>
      </c>
      <c r="CS1143" s="5" t="s">
        <v>307</v>
      </c>
      <c r="CT1143" s="5" t="s">
        <v>307</v>
      </c>
      <c r="CU1143" s="5" t="s">
        <v>260</v>
      </c>
      <c r="CX1143" s="7">
        <f>1</f>
        <v>1</v>
      </c>
      <c r="CY1143" s="7">
        <f>0</f>
        <v>0</v>
      </c>
      <c r="DA1143" s="7">
        <f>0</f>
        <v>0</v>
      </c>
      <c r="DC1143" s="5" t="s">
        <v>812</v>
      </c>
      <c r="DD1143" s="5" t="s">
        <v>240</v>
      </c>
      <c r="DF1143" s="5" t="s">
        <v>812</v>
      </c>
      <c r="DG1143" s="7">
        <f>249</f>
        <v>249</v>
      </c>
      <c r="DI1143" s="5" t="s">
        <v>240</v>
      </c>
      <c r="DJ1143" s="5" t="s">
        <v>240</v>
      </c>
      <c r="DK1143" s="5" t="s">
        <v>240</v>
      </c>
      <c r="DL1143" s="5" t="s">
        <v>240</v>
      </c>
      <c r="DP1143" s="5" t="s">
        <v>240</v>
      </c>
      <c r="DQ1143" s="5" t="s">
        <v>240</v>
      </c>
      <c r="DR1143" s="5" t="s">
        <v>240</v>
      </c>
      <c r="DS1143" s="5" t="s">
        <v>240</v>
      </c>
      <c r="DV1143" s="5" t="s">
        <v>813</v>
      </c>
      <c r="DW1143" s="5" t="s">
        <v>2416</v>
      </c>
      <c r="HO1143" s="5" t="s">
        <v>312</v>
      </c>
    </row>
    <row r="1144" spans="1:223" x14ac:dyDescent="0.4">
      <c r="A1144" s="5">
        <v>2819</v>
      </c>
      <c r="B1144" s="5">
        <v>1</v>
      </c>
      <c r="C1144" s="5">
        <v>1</v>
      </c>
      <c r="D1144" s="5" t="s">
        <v>297</v>
      </c>
      <c r="E1144" s="5" t="s">
        <v>245</v>
      </c>
      <c r="F1144" s="5" t="s">
        <v>254</v>
      </c>
      <c r="G1144" s="5" t="s">
        <v>240</v>
      </c>
      <c r="H1144" s="6" t="s">
        <v>3859</v>
      </c>
      <c r="I1144" s="5" t="s">
        <v>295</v>
      </c>
      <c r="J1144" s="8">
        <f>2298</f>
        <v>2298</v>
      </c>
      <c r="K1144" s="5" t="s">
        <v>308</v>
      </c>
      <c r="L1144" s="7">
        <f>1</f>
        <v>1</v>
      </c>
      <c r="M1144" s="7">
        <f>1</f>
        <v>1</v>
      </c>
      <c r="N1144" s="5" t="s">
        <v>242</v>
      </c>
      <c r="O1144" s="5">
        <v>1</v>
      </c>
      <c r="P1144" s="5" t="s">
        <v>294</v>
      </c>
      <c r="Q1144" s="5" t="s">
        <v>266</v>
      </c>
      <c r="R1144" s="5" t="s">
        <v>240</v>
      </c>
      <c r="S1144" s="5" t="s">
        <v>240</v>
      </c>
      <c r="T1144" s="5" t="s">
        <v>296</v>
      </c>
      <c r="U1144" s="5" t="s">
        <v>244</v>
      </c>
      <c r="V1144" s="5" t="s">
        <v>240</v>
      </c>
      <c r="Y1144" s="5" t="s">
        <v>240</v>
      </c>
      <c r="Z1144" s="6" t="s">
        <v>298</v>
      </c>
      <c r="AB1144" s="6" t="s">
        <v>240</v>
      </c>
      <c r="AE1144" s="6" t="s">
        <v>299</v>
      </c>
      <c r="AF1144" s="5" t="s">
        <v>248</v>
      </c>
      <c r="AG1144" s="5" t="s">
        <v>249</v>
      </c>
      <c r="AW1144" s="5" t="s">
        <v>251</v>
      </c>
      <c r="AX1144" s="5" t="s">
        <v>240</v>
      </c>
      <c r="AY1144" s="5" t="s">
        <v>253</v>
      </c>
      <c r="AZ1144" s="5" t="s">
        <v>240</v>
      </c>
      <c r="BA1144" s="5" t="s">
        <v>255</v>
      </c>
      <c r="BB1144" s="5" t="s">
        <v>240</v>
      </c>
      <c r="BD1144" s="5" t="s">
        <v>240</v>
      </c>
      <c r="BF1144" s="5" t="s">
        <v>301</v>
      </c>
      <c r="BG1144" s="6" t="s">
        <v>299</v>
      </c>
      <c r="BH1144" s="5" t="s">
        <v>302</v>
      </c>
      <c r="BI1144" s="5" t="s">
        <v>303</v>
      </c>
      <c r="BJ1144" s="5" t="s">
        <v>240</v>
      </c>
      <c r="BK1144" s="8">
        <f>0</f>
        <v>0</v>
      </c>
      <c r="BL1144" s="7">
        <f>0</f>
        <v>0</v>
      </c>
      <c r="BM1144" s="5" t="s">
        <v>258</v>
      </c>
      <c r="BN1144" s="5" t="s">
        <v>259</v>
      </c>
      <c r="CB1144" s="5" t="s">
        <v>240</v>
      </c>
      <c r="CC1144" s="5" t="s">
        <v>240</v>
      </c>
      <c r="CG1144" s="5" t="s">
        <v>304</v>
      </c>
      <c r="CH1144" s="5" t="s">
        <v>305</v>
      </c>
      <c r="CI1144" s="5" t="s">
        <v>240</v>
      </c>
      <c r="CL1144" s="6" t="s">
        <v>261</v>
      </c>
      <c r="CM1144" s="5" t="s">
        <v>240</v>
      </c>
      <c r="CN1144" s="5" t="s">
        <v>263</v>
      </c>
      <c r="CO1144" s="5" t="s">
        <v>240</v>
      </c>
      <c r="CP1144" s="5" t="s">
        <v>240</v>
      </c>
      <c r="CQ1144" s="5">
        <v>0</v>
      </c>
      <c r="CR1144" s="5" t="s">
        <v>306</v>
      </c>
      <c r="CS1144" s="5" t="s">
        <v>307</v>
      </c>
      <c r="CT1144" s="5" t="s">
        <v>307</v>
      </c>
      <c r="CU1144" s="5" t="s">
        <v>260</v>
      </c>
      <c r="CX1144" s="7">
        <f>1</f>
        <v>1</v>
      </c>
      <c r="CY1144" s="7">
        <f>0</f>
        <v>0</v>
      </c>
      <c r="DA1144" s="7">
        <f>0</f>
        <v>0</v>
      </c>
      <c r="DC1144" s="5" t="s">
        <v>812</v>
      </c>
      <c r="DD1144" s="5" t="s">
        <v>240</v>
      </c>
      <c r="DF1144" s="5" t="s">
        <v>812</v>
      </c>
      <c r="DG1144" s="7">
        <f>977</f>
        <v>977</v>
      </c>
      <c r="DI1144" s="5" t="s">
        <v>240</v>
      </c>
      <c r="DJ1144" s="5" t="s">
        <v>240</v>
      </c>
      <c r="DK1144" s="5" t="s">
        <v>240</v>
      </c>
      <c r="DL1144" s="5" t="s">
        <v>240</v>
      </c>
      <c r="DP1144" s="5" t="s">
        <v>240</v>
      </c>
      <c r="DQ1144" s="5" t="s">
        <v>240</v>
      </c>
      <c r="DR1144" s="5" t="s">
        <v>240</v>
      </c>
      <c r="DS1144" s="5" t="s">
        <v>240</v>
      </c>
      <c r="DV1144" s="5" t="s">
        <v>813</v>
      </c>
      <c r="DW1144" s="5" t="s">
        <v>2418</v>
      </c>
      <c r="HO1144" s="5" t="s">
        <v>312</v>
      </c>
    </row>
    <row r="1145" spans="1:223" x14ac:dyDescent="0.4">
      <c r="A1145" s="5">
        <v>2820</v>
      </c>
      <c r="B1145" s="5">
        <v>1</v>
      </c>
      <c r="C1145" s="5">
        <v>1</v>
      </c>
      <c r="D1145" s="5" t="s">
        <v>297</v>
      </c>
      <c r="E1145" s="5" t="s">
        <v>245</v>
      </c>
      <c r="F1145" s="5" t="s">
        <v>254</v>
      </c>
      <c r="G1145" s="5" t="s">
        <v>240</v>
      </c>
      <c r="H1145" s="6" t="s">
        <v>3864</v>
      </c>
      <c r="I1145" s="5" t="s">
        <v>295</v>
      </c>
      <c r="J1145" s="8">
        <f>443</f>
        <v>443</v>
      </c>
      <c r="K1145" s="5" t="s">
        <v>308</v>
      </c>
      <c r="L1145" s="7">
        <f>1</f>
        <v>1</v>
      </c>
      <c r="M1145" s="7">
        <f>1</f>
        <v>1</v>
      </c>
      <c r="N1145" s="5" t="s">
        <v>242</v>
      </c>
      <c r="O1145" s="5">
        <v>1</v>
      </c>
      <c r="P1145" s="5" t="s">
        <v>294</v>
      </c>
      <c r="Q1145" s="5" t="s">
        <v>266</v>
      </c>
      <c r="R1145" s="5" t="s">
        <v>240</v>
      </c>
      <c r="S1145" s="5" t="s">
        <v>240</v>
      </c>
      <c r="T1145" s="5" t="s">
        <v>296</v>
      </c>
      <c r="U1145" s="5" t="s">
        <v>244</v>
      </c>
      <c r="V1145" s="5" t="s">
        <v>240</v>
      </c>
      <c r="Y1145" s="5" t="s">
        <v>240</v>
      </c>
      <c r="Z1145" s="6" t="s">
        <v>298</v>
      </c>
      <c r="AB1145" s="6" t="s">
        <v>240</v>
      </c>
      <c r="AE1145" s="6" t="s">
        <v>299</v>
      </c>
      <c r="AF1145" s="5" t="s">
        <v>248</v>
      </c>
      <c r="AG1145" s="5" t="s">
        <v>249</v>
      </c>
      <c r="AW1145" s="5" t="s">
        <v>251</v>
      </c>
      <c r="AX1145" s="5" t="s">
        <v>240</v>
      </c>
      <c r="AY1145" s="5" t="s">
        <v>253</v>
      </c>
      <c r="AZ1145" s="5" t="s">
        <v>240</v>
      </c>
      <c r="BA1145" s="5" t="s">
        <v>255</v>
      </c>
      <c r="BB1145" s="5" t="s">
        <v>240</v>
      </c>
      <c r="BD1145" s="5" t="s">
        <v>240</v>
      </c>
      <c r="BF1145" s="5" t="s">
        <v>301</v>
      </c>
      <c r="BG1145" s="6" t="s">
        <v>299</v>
      </c>
      <c r="BH1145" s="5" t="s">
        <v>302</v>
      </c>
      <c r="BI1145" s="5" t="s">
        <v>303</v>
      </c>
      <c r="BJ1145" s="5" t="s">
        <v>240</v>
      </c>
      <c r="BK1145" s="8">
        <f>0</f>
        <v>0</v>
      </c>
      <c r="BL1145" s="7">
        <f>0</f>
        <v>0</v>
      </c>
      <c r="BM1145" s="5" t="s">
        <v>258</v>
      </c>
      <c r="BN1145" s="5" t="s">
        <v>259</v>
      </c>
      <c r="CB1145" s="5" t="s">
        <v>240</v>
      </c>
      <c r="CC1145" s="5" t="s">
        <v>240</v>
      </c>
      <c r="CG1145" s="5" t="s">
        <v>304</v>
      </c>
      <c r="CH1145" s="5" t="s">
        <v>305</v>
      </c>
      <c r="CI1145" s="5" t="s">
        <v>240</v>
      </c>
      <c r="CL1145" s="6" t="s">
        <v>261</v>
      </c>
      <c r="CM1145" s="5" t="s">
        <v>240</v>
      </c>
      <c r="CN1145" s="5" t="s">
        <v>263</v>
      </c>
      <c r="CO1145" s="5" t="s">
        <v>240</v>
      </c>
      <c r="CP1145" s="5" t="s">
        <v>240</v>
      </c>
      <c r="CQ1145" s="5">
        <v>0</v>
      </c>
      <c r="CR1145" s="5" t="s">
        <v>306</v>
      </c>
      <c r="CS1145" s="5" t="s">
        <v>307</v>
      </c>
      <c r="CT1145" s="5" t="s">
        <v>307</v>
      </c>
      <c r="CU1145" s="5" t="s">
        <v>260</v>
      </c>
      <c r="CX1145" s="7">
        <f>1</f>
        <v>1</v>
      </c>
      <c r="CY1145" s="7">
        <f>0</f>
        <v>0</v>
      </c>
      <c r="DA1145" s="7">
        <f>0</f>
        <v>0</v>
      </c>
      <c r="DC1145" s="5" t="s">
        <v>812</v>
      </c>
      <c r="DD1145" s="5" t="s">
        <v>240</v>
      </c>
      <c r="DF1145" s="5" t="s">
        <v>812</v>
      </c>
      <c r="DG1145" s="7">
        <f>2217</f>
        <v>2217</v>
      </c>
      <c r="DI1145" s="5" t="s">
        <v>240</v>
      </c>
      <c r="DJ1145" s="5" t="s">
        <v>240</v>
      </c>
      <c r="DK1145" s="5" t="s">
        <v>240</v>
      </c>
      <c r="DL1145" s="5" t="s">
        <v>240</v>
      </c>
      <c r="DP1145" s="5" t="s">
        <v>240</v>
      </c>
      <c r="DQ1145" s="5" t="s">
        <v>240</v>
      </c>
      <c r="DR1145" s="5" t="s">
        <v>240</v>
      </c>
      <c r="DS1145" s="5" t="s">
        <v>240</v>
      </c>
      <c r="DV1145" s="5" t="s">
        <v>813</v>
      </c>
      <c r="DW1145" s="5" t="s">
        <v>2420</v>
      </c>
      <c r="HO1145" s="5" t="s">
        <v>312</v>
      </c>
    </row>
    <row r="1146" spans="1:223" x14ac:dyDescent="0.4">
      <c r="A1146" s="5">
        <v>2821</v>
      </c>
      <c r="B1146" s="5">
        <v>1</v>
      </c>
      <c r="C1146" s="5">
        <v>1</v>
      </c>
      <c r="D1146" s="5" t="s">
        <v>297</v>
      </c>
      <c r="E1146" s="5" t="s">
        <v>245</v>
      </c>
      <c r="F1146" s="5" t="s">
        <v>254</v>
      </c>
      <c r="G1146" s="5" t="s">
        <v>240</v>
      </c>
      <c r="H1146" s="6" t="s">
        <v>3868</v>
      </c>
      <c r="I1146" s="5" t="s">
        <v>295</v>
      </c>
      <c r="J1146" s="8">
        <f>2182</f>
        <v>2182</v>
      </c>
      <c r="K1146" s="5" t="s">
        <v>308</v>
      </c>
      <c r="L1146" s="7">
        <f>1</f>
        <v>1</v>
      </c>
      <c r="M1146" s="7">
        <f>1</f>
        <v>1</v>
      </c>
      <c r="N1146" s="5" t="s">
        <v>242</v>
      </c>
      <c r="O1146" s="5">
        <v>1</v>
      </c>
      <c r="P1146" s="5" t="s">
        <v>294</v>
      </c>
      <c r="Q1146" s="5" t="s">
        <v>266</v>
      </c>
      <c r="R1146" s="5" t="s">
        <v>240</v>
      </c>
      <c r="S1146" s="5" t="s">
        <v>240</v>
      </c>
      <c r="T1146" s="5" t="s">
        <v>296</v>
      </c>
      <c r="U1146" s="5" t="s">
        <v>244</v>
      </c>
      <c r="V1146" s="5" t="s">
        <v>240</v>
      </c>
      <c r="Y1146" s="5" t="s">
        <v>240</v>
      </c>
      <c r="Z1146" s="6" t="s">
        <v>298</v>
      </c>
      <c r="AB1146" s="6" t="s">
        <v>240</v>
      </c>
      <c r="AE1146" s="6" t="s">
        <v>299</v>
      </c>
      <c r="AF1146" s="5" t="s">
        <v>248</v>
      </c>
      <c r="AG1146" s="5" t="s">
        <v>249</v>
      </c>
      <c r="AW1146" s="5" t="s">
        <v>251</v>
      </c>
      <c r="AX1146" s="5" t="s">
        <v>240</v>
      </c>
      <c r="AY1146" s="5" t="s">
        <v>253</v>
      </c>
      <c r="AZ1146" s="5" t="s">
        <v>240</v>
      </c>
      <c r="BA1146" s="5" t="s">
        <v>255</v>
      </c>
      <c r="BB1146" s="5" t="s">
        <v>240</v>
      </c>
      <c r="BD1146" s="5" t="s">
        <v>240</v>
      </c>
      <c r="BF1146" s="5" t="s">
        <v>301</v>
      </c>
      <c r="BG1146" s="6" t="s">
        <v>299</v>
      </c>
      <c r="BH1146" s="5" t="s">
        <v>302</v>
      </c>
      <c r="BI1146" s="5" t="s">
        <v>303</v>
      </c>
      <c r="BJ1146" s="5" t="s">
        <v>240</v>
      </c>
      <c r="BK1146" s="8">
        <f>0</f>
        <v>0</v>
      </c>
      <c r="BL1146" s="7">
        <f>0</f>
        <v>0</v>
      </c>
      <c r="BM1146" s="5" t="s">
        <v>258</v>
      </c>
      <c r="BN1146" s="5" t="s">
        <v>259</v>
      </c>
      <c r="CB1146" s="5" t="s">
        <v>240</v>
      </c>
      <c r="CC1146" s="5" t="s">
        <v>240</v>
      </c>
      <c r="CG1146" s="5" t="s">
        <v>304</v>
      </c>
      <c r="CH1146" s="5" t="s">
        <v>305</v>
      </c>
      <c r="CI1146" s="5" t="s">
        <v>240</v>
      </c>
      <c r="CL1146" s="6" t="s">
        <v>261</v>
      </c>
      <c r="CM1146" s="5" t="s">
        <v>240</v>
      </c>
      <c r="CN1146" s="5" t="s">
        <v>263</v>
      </c>
      <c r="CO1146" s="5" t="s">
        <v>240</v>
      </c>
      <c r="CP1146" s="5" t="s">
        <v>240</v>
      </c>
      <c r="CQ1146" s="5">
        <v>0</v>
      </c>
      <c r="CR1146" s="5" t="s">
        <v>306</v>
      </c>
      <c r="CS1146" s="5" t="s">
        <v>307</v>
      </c>
      <c r="CT1146" s="5" t="s">
        <v>307</v>
      </c>
      <c r="CU1146" s="5" t="s">
        <v>260</v>
      </c>
      <c r="CX1146" s="7">
        <f>1</f>
        <v>1</v>
      </c>
      <c r="CY1146" s="7">
        <f>0</f>
        <v>0</v>
      </c>
      <c r="DA1146" s="7">
        <f>0</f>
        <v>0</v>
      </c>
      <c r="DC1146" s="5" t="s">
        <v>812</v>
      </c>
      <c r="DD1146" s="5" t="s">
        <v>240</v>
      </c>
      <c r="DF1146" s="5" t="s">
        <v>812</v>
      </c>
      <c r="DG1146" s="7">
        <f>1191</f>
        <v>1191</v>
      </c>
      <c r="DI1146" s="5" t="s">
        <v>240</v>
      </c>
      <c r="DJ1146" s="5" t="s">
        <v>240</v>
      </c>
      <c r="DK1146" s="5" t="s">
        <v>240</v>
      </c>
      <c r="DL1146" s="5" t="s">
        <v>240</v>
      </c>
      <c r="DP1146" s="5" t="s">
        <v>240</v>
      </c>
      <c r="DQ1146" s="5" t="s">
        <v>240</v>
      </c>
      <c r="DR1146" s="5" t="s">
        <v>240</v>
      </c>
      <c r="DS1146" s="5" t="s">
        <v>240</v>
      </c>
      <c r="DV1146" s="5" t="s">
        <v>813</v>
      </c>
      <c r="DW1146" s="5" t="s">
        <v>2422</v>
      </c>
      <c r="HO1146" s="5" t="s">
        <v>312</v>
      </c>
    </row>
    <row r="1147" spans="1:223" x14ac:dyDescent="0.4">
      <c r="A1147" s="5">
        <v>2822</v>
      </c>
      <c r="B1147" s="5">
        <v>1</v>
      </c>
      <c r="C1147" s="5">
        <v>1</v>
      </c>
      <c r="D1147" s="5" t="s">
        <v>297</v>
      </c>
      <c r="E1147" s="5" t="s">
        <v>245</v>
      </c>
      <c r="F1147" s="5" t="s">
        <v>254</v>
      </c>
      <c r="G1147" s="5" t="s">
        <v>240</v>
      </c>
      <c r="H1147" s="6" t="s">
        <v>3869</v>
      </c>
      <c r="I1147" s="5" t="s">
        <v>295</v>
      </c>
      <c r="J1147" s="8">
        <f>2573</f>
        <v>2573</v>
      </c>
      <c r="K1147" s="5" t="s">
        <v>308</v>
      </c>
      <c r="L1147" s="7">
        <f>1</f>
        <v>1</v>
      </c>
      <c r="M1147" s="7">
        <f>1</f>
        <v>1</v>
      </c>
      <c r="N1147" s="5" t="s">
        <v>242</v>
      </c>
      <c r="O1147" s="5">
        <v>1</v>
      </c>
      <c r="P1147" s="5" t="s">
        <v>294</v>
      </c>
      <c r="Q1147" s="5" t="s">
        <v>266</v>
      </c>
      <c r="R1147" s="5" t="s">
        <v>240</v>
      </c>
      <c r="S1147" s="5" t="s">
        <v>240</v>
      </c>
      <c r="T1147" s="5" t="s">
        <v>296</v>
      </c>
      <c r="U1147" s="5" t="s">
        <v>244</v>
      </c>
      <c r="V1147" s="5" t="s">
        <v>240</v>
      </c>
      <c r="Y1147" s="5" t="s">
        <v>240</v>
      </c>
      <c r="Z1147" s="6" t="s">
        <v>298</v>
      </c>
      <c r="AB1147" s="6" t="s">
        <v>240</v>
      </c>
      <c r="AE1147" s="6" t="s">
        <v>299</v>
      </c>
      <c r="AF1147" s="5" t="s">
        <v>248</v>
      </c>
      <c r="AG1147" s="5" t="s">
        <v>249</v>
      </c>
      <c r="AW1147" s="5" t="s">
        <v>251</v>
      </c>
      <c r="AX1147" s="5" t="s">
        <v>240</v>
      </c>
      <c r="AY1147" s="5" t="s">
        <v>253</v>
      </c>
      <c r="AZ1147" s="5" t="s">
        <v>240</v>
      </c>
      <c r="BA1147" s="5" t="s">
        <v>255</v>
      </c>
      <c r="BB1147" s="5" t="s">
        <v>240</v>
      </c>
      <c r="BD1147" s="5" t="s">
        <v>240</v>
      </c>
      <c r="BF1147" s="5" t="s">
        <v>301</v>
      </c>
      <c r="BG1147" s="6" t="s">
        <v>299</v>
      </c>
      <c r="BH1147" s="5" t="s">
        <v>302</v>
      </c>
      <c r="BI1147" s="5" t="s">
        <v>303</v>
      </c>
      <c r="BJ1147" s="5" t="s">
        <v>240</v>
      </c>
      <c r="BK1147" s="8">
        <f>0</f>
        <v>0</v>
      </c>
      <c r="BL1147" s="7">
        <f>0</f>
        <v>0</v>
      </c>
      <c r="BM1147" s="5" t="s">
        <v>258</v>
      </c>
      <c r="BN1147" s="5" t="s">
        <v>259</v>
      </c>
      <c r="CB1147" s="5" t="s">
        <v>240</v>
      </c>
      <c r="CC1147" s="5" t="s">
        <v>240</v>
      </c>
      <c r="CG1147" s="5" t="s">
        <v>304</v>
      </c>
      <c r="CH1147" s="5" t="s">
        <v>305</v>
      </c>
      <c r="CI1147" s="5" t="s">
        <v>240</v>
      </c>
      <c r="CL1147" s="6" t="s">
        <v>261</v>
      </c>
      <c r="CM1147" s="5" t="s">
        <v>240</v>
      </c>
      <c r="CN1147" s="5" t="s">
        <v>263</v>
      </c>
      <c r="CO1147" s="5" t="s">
        <v>240</v>
      </c>
      <c r="CP1147" s="5" t="s">
        <v>240</v>
      </c>
      <c r="CQ1147" s="5">
        <v>0</v>
      </c>
      <c r="CR1147" s="5" t="s">
        <v>306</v>
      </c>
      <c r="CS1147" s="5" t="s">
        <v>307</v>
      </c>
      <c r="CT1147" s="5" t="s">
        <v>307</v>
      </c>
      <c r="CU1147" s="5" t="s">
        <v>260</v>
      </c>
      <c r="CX1147" s="7">
        <f>1</f>
        <v>1</v>
      </c>
      <c r="CY1147" s="7">
        <f>0</f>
        <v>0</v>
      </c>
      <c r="DA1147" s="7">
        <f>0</f>
        <v>0</v>
      </c>
      <c r="DC1147" s="5" t="s">
        <v>812</v>
      </c>
      <c r="DD1147" s="5" t="s">
        <v>240</v>
      </c>
      <c r="DF1147" s="5" t="s">
        <v>812</v>
      </c>
      <c r="DG1147" s="7">
        <f>1076</f>
        <v>1076</v>
      </c>
      <c r="DI1147" s="5" t="s">
        <v>240</v>
      </c>
      <c r="DJ1147" s="5" t="s">
        <v>240</v>
      </c>
      <c r="DK1147" s="5" t="s">
        <v>240</v>
      </c>
      <c r="DL1147" s="5" t="s">
        <v>240</v>
      </c>
      <c r="DP1147" s="5" t="s">
        <v>240</v>
      </c>
      <c r="DQ1147" s="5" t="s">
        <v>240</v>
      </c>
      <c r="DR1147" s="5" t="s">
        <v>240</v>
      </c>
      <c r="DS1147" s="5" t="s">
        <v>240</v>
      </c>
      <c r="DV1147" s="5" t="s">
        <v>813</v>
      </c>
      <c r="DW1147" s="5" t="s">
        <v>2424</v>
      </c>
      <c r="HO1147" s="5" t="s">
        <v>312</v>
      </c>
    </row>
    <row r="1148" spans="1:223" x14ac:dyDescent="0.4">
      <c r="A1148" s="5">
        <v>2823</v>
      </c>
      <c r="B1148" s="5">
        <v>1</v>
      </c>
      <c r="C1148" s="5">
        <v>1</v>
      </c>
      <c r="D1148" s="5" t="s">
        <v>297</v>
      </c>
      <c r="E1148" s="5" t="s">
        <v>245</v>
      </c>
      <c r="F1148" s="5" t="s">
        <v>254</v>
      </c>
      <c r="G1148" s="5" t="s">
        <v>240</v>
      </c>
      <c r="H1148" s="6" t="s">
        <v>3874</v>
      </c>
      <c r="I1148" s="5" t="s">
        <v>295</v>
      </c>
      <c r="J1148" s="8">
        <f>919</f>
        <v>919</v>
      </c>
      <c r="K1148" s="5" t="s">
        <v>308</v>
      </c>
      <c r="L1148" s="7">
        <f>1</f>
        <v>1</v>
      </c>
      <c r="M1148" s="7">
        <f>1</f>
        <v>1</v>
      </c>
      <c r="N1148" s="5" t="s">
        <v>242</v>
      </c>
      <c r="O1148" s="5">
        <v>1</v>
      </c>
      <c r="P1148" s="5" t="s">
        <v>294</v>
      </c>
      <c r="Q1148" s="5" t="s">
        <v>266</v>
      </c>
      <c r="R1148" s="5" t="s">
        <v>240</v>
      </c>
      <c r="S1148" s="5" t="s">
        <v>240</v>
      </c>
      <c r="T1148" s="5" t="s">
        <v>296</v>
      </c>
      <c r="U1148" s="5" t="s">
        <v>244</v>
      </c>
      <c r="V1148" s="5" t="s">
        <v>240</v>
      </c>
      <c r="Y1148" s="5" t="s">
        <v>240</v>
      </c>
      <c r="Z1148" s="6" t="s">
        <v>298</v>
      </c>
      <c r="AB1148" s="6" t="s">
        <v>240</v>
      </c>
      <c r="AE1148" s="6" t="s">
        <v>299</v>
      </c>
      <c r="AF1148" s="5" t="s">
        <v>248</v>
      </c>
      <c r="AG1148" s="5" t="s">
        <v>249</v>
      </c>
      <c r="AW1148" s="5" t="s">
        <v>251</v>
      </c>
      <c r="AX1148" s="5" t="s">
        <v>240</v>
      </c>
      <c r="AY1148" s="5" t="s">
        <v>253</v>
      </c>
      <c r="AZ1148" s="5" t="s">
        <v>240</v>
      </c>
      <c r="BA1148" s="5" t="s">
        <v>255</v>
      </c>
      <c r="BB1148" s="5" t="s">
        <v>240</v>
      </c>
      <c r="BD1148" s="5" t="s">
        <v>240</v>
      </c>
      <c r="BF1148" s="5" t="s">
        <v>301</v>
      </c>
      <c r="BG1148" s="6" t="s">
        <v>299</v>
      </c>
      <c r="BH1148" s="5" t="s">
        <v>302</v>
      </c>
      <c r="BI1148" s="5" t="s">
        <v>303</v>
      </c>
      <c r="BJ1148" s="5" t="s">
        <v>240</v>
      </c>
      <c r="BK1148" s="8">
        <f>0</f>
        <v>0</v>
      </c>
      <c r="BL1148" s="7">
        <f>0</f>
        <v>0</v>
      </c>
      <c r="BM1148" s="5" t="s">
        <v>258</v>
      </c>
      <c r="BN1148" s="5" t="s">
        <v>259</v>
      </c>
      <c r="CB1148" s="5" t="s">
        <v>240</v>
      </c>
      <c r="CC1148" s="5" t="s">
        <v>240</v>
      </c>
      <c r="CG1148" s="5" t="s">
        <v>304</v>
      </c>
      <c r="CH1148" s="5" t="s">
        <v>305</v>
      </c>
      <c r="CI1148" s="5" t="s">
        <v>240</v>
      </c>
      <c r="CL1148" s="6" t="s">
        <v>261</v>
      </c>
      <c r="CM1148" s="5" t="s">
        <v>240</v>
      </c>
      <c r="CN1148" s="5" t="s">
        <v>263</v>
      </c>
      <c r="CO1148" s="5" t="s">
        <v>240</v>
      </c>
      <c r="CP1148" s="5" t="s">
        <v>240</v>
      </c>
      <c r="CQ1148" s="5">
        <v>0</v>
      </c>
      <c r="CR1148" s="5" t="s">
        <v>306</v>
      </c>
      <c r="CS1148" s="5" t="s">
        <v>307</v>
      </c>
      <c r="CT1148" s="5" t="s">
        <v>307</v>
      </c>
      <c r="CU1148" s="5" t="s">
        <v>260</v>
      </c>
      <c r="CX1148" s="7">
        <f>1</f>
        <v>1</v>
      </c>
      <c r="CY1148" s="7">
        <f>0</f>
        <v>0</v>
      </c>
      <c r="DA1148" s="7">
        <f>0</f>
        <v>0</v>
      </c>
      <c r="DC1148" s="5" t="s">
        <v>812</v>
      </c>
      <c r="DD1148" s="5" t="s">
        <v>240</v>
      </c>
      <c r="DF1148" s="5" t="s">
        <v>812</v>
      </c>
      <c r="DG1148" s="7">
        <f>254</f>
        <v>254</v>
      </c>
      <c r="DI1148" s="5" t="s">
        <v>240</v>
      </c>
      <c r="DJ1148" s="5" t="s">
        <v>240</v>
      </c>
      <c r="DK1148" s="5" t="s">
        <v>240</v>
      </c>
      <c r="DL1148" s="5" t="s">
        <v>240</v>
      </c>
      <c r="DP1148" s="5" t="s">
        <v>240</v>
      </c>
      <c r="DQ1148" s="5" t="s">
        <v>240</v>
      </c>
      <c r="DR1148" s="5" t="s">
        <v>240</v>
      </c>
      <c r="DS1148" s="5" t="s">
        <v>240</v>
      </c>
      <c r="DV1148" s="5" t="s">
        <v>813</v>
      </c>
      <c r="DW1148" s="5" t="s">
        <v>2426</v>
      </c>
      <c r="HO1148" s="5" t="s">
        <v>312</v>
      </c>
    </row>
    <row r="1149" spans="1:223" x14ac:dyDescent="0.4">
      <c r="A1149" s="5">
        <v>2824</v>
      </c>
      <c r="B1149" s="5">
        <v>1</v>
      </c>
      <c r="C1149" s="5">
        <v>1</v>
      </c>
      <c r="D1149" s="5" t="s">
        <v>297</v>
      </c>
      <c r="E1149" s="5" t="s">
        <v>245</v>
      </c>
      <c r="F1149" s="5" t="s">
        <v>254</v>
      </c>
      <c r="G1149" s="5" t="s">
        <v>240</v>
      </c>
      <c r="H1149" s="6" t="s">
        <v>3875</v>
      </c>
      <c r="I1149" s="5" t="s">
        <v>295</v>
      </c>
      <c r="J1149" s="8">
        <f>5649</f>
        <v>5649</v>
      </c>
      <c r="K1149" s="5" t="s">
        <v>308</v>
      </c>
      <c r="L1149" s="7">
        <f>1</f>
        <v>1</v>
      </c>
      <c r="M1149" s="7">
        <f>1</f>
        <v>1</v>
      </c>
      <c r="N1149" s="5" t="s">
        <v>242</v>
      </c>
      <c r="O1149" s="5">
        <v>1</v>
      </c>
      <c r="P1149" s="5" t="s">
        <v>294</v>
      </c>
      <c r="Q1149" s="5" t="s">
        <v>266</v>
      </c>
      <c r="R1149" s="5" t="s">
        <v>240</v>
      </c>
      <c r="S1149" s="5" t="s">
        <v>240</v>
      </c>
      <c r="T1149" s="5" t="s">
        <v>296</v>
      </c>
      <c r="U1149" s="5" t="s">
        <v>244</v>
      </c>
      <c r="V1149" s="5" t="s">
        <v>240</v>
      </c>
      <c r="Y1149" s="5" t="s">
        <v>240</v>
      </c>
      <c r="Z1149" s="6" t="s">
        <v>298</v>
      </c>
      <c r="AB1149" s="6" t="s">
        <v>240</v>
      </c>
      <c r="AE1149" s="6" t="s">
        <v>299</v>
      </c>
      <c r="AF1149" s="5" t="s">
        <v>248</v>
      </c>
      <c r="AG1149" s="5" t="s">
        <v>249</v>
      </c>
      <c r="AW1149" s="5" t="s">
        <v>251</v>
      </c>
      <c r="AX1149" s="5" t="s">
        <v>240</v>
      </c>
      <c r="AY1149" s="5" t="s">
        <v>253</v>
      </c>
      <c r="AZ1149" s="5" t="s">
        <v>240</v>
      </c>
      <c r="BA1149" s="5" t="s">
        <v>255</v>
      </c>
      <c r="BB1149" s="5" t="s">
        <v>240</v>
      </c>
      <c r="BD1149" s="5" t="s">
        <v>240</v>
      </c>
      <c r="BF1149" s="5" t="s">
        <v>301</v>
      </c>
      <c r="BG1149" s="6" t="s">
        <v>299</v>
      </c>
      <c r="BH1149" s="5" t="s">
        <v>302</v>
      </c>
      <c r="BI1149" s="5" t="s">
        <v>303</v>
      </c>
      <c r="BJ1149" s="5" t="s">
        <v>240</v>
      </c>
      <c r="BK1149" s="8">
        <f>0</f>
        <v>0</v>
      </c>
      <c r="BL1149" s="7">
        <f>0</f>
        <v>0</v>
      </c>
      <c r="BM1149" s="5" t="s">
        <v>258</v>
      </c>
      <c r="BN1149" s="5" t="s">
        <v>259</v>
      </c>
      <c r="CB1149" s="5" t="s">
        <v>240</v>
      </c>
      <c r="CC1149" s="5" t="s">
        <v>240</v>
      </c>
      <c r="CG1149" s="5" t="s">
        <v>304</v>
      </c>
      <c r="CH1149" s="5" t="s">
        <v>305</v>
      </c>
      <c r="CI1149" s="5" t="s">
        <v>240</v>
      </c>
      <c r="CL1149" s="6" t="s">
        <v>261</v>
      </c>
      <c r="CM1149" s="5" t="s">
        <v>240</v>
      </c>
      <c r="CN1149" s="5" t="s">
        <v>263</v>
      </c>
      <c r="CO1149" s="5" t="s">
        <v>240</v>
      </c>
      <c r="CP1149" s="5" t="s">
        <v>240</v>
      </c>
      <c r="CQ1149" s="5">
        <v>0</v>
      </c>
      <c r="CR1149" s="5" t="s">
        <v>306</v>
      </c>
      <c r="CS1149" s="5" t="s">
        <v>307</v>
      </c>
      <c r="CT1149" s="5" t="s">
        <v>307</v>
      </c>
      <c r="CU1149" s="5" t="s">
        <v>260</v>
      </c>
      <c r="CX1149" s="7">
        <f>1</f>
        <v>1</v>
      </c>
      <c r="CY1149" s="7">
        <f>0</f>
        <v>0</v>
      </c>
      <c r="DA1149" s="7">
        <f>0</f>
        <v>0</v>
      </c>
      <c r="DC1149" s="5" t="s">
        <v>812</v>
      </c>
      <c r="DD1149" s="5" t="s">
        <v>240</v>
      </c>
      <c r="DF1149" s="5" t="s">
        <v>812</v>
      </c>
      <c r="DG1149" s="7">
        <f>2783</f>
        <v>2783</v>
      </c>
      <c r="DI1149" s="5" t="s">
        <v>240</v>
      </c>
      <c r="DJ1149" s="5" t="s">
        <v>240</v>
      </c>
      <c r="DK1149" s="5" t="s">
        <v>240</v>
      </c>
      <c r="DL1149" s="5" t="s">
        <v>240</v>
      </c>
      <c r="DP1149" s="5" t="s">
        <v>240</v>
      </c>
      <c r="DQ1149" s="5" t="s">
        <v>240</v>
      </c>
      <c r="DR1149" s="5" t="s">
        <v>240</v>
      </c>
      <c r="DS1149" s="5" t="s">
        <v>240</v>
      </c>
      <c r="DV1149" s="5" t="s">
        <v>813</v>
      </c>
      <c r="DW1149" s="5" t="s">
        <v>2428</v>
      </c>
      <c r="HO1149" s="5" t="s">
        <v>312</v>
      </c>
    </row>
    <row r="1150" spans="1:223" x14ac:dyDescent="0.4">
      <c r="A1150" s="5">
        <v>2825</v>
      </c>
      <c r="B1150" s="5">
        <v>1</v>
      </c>
      <c r="C1150" s="5">
        <v>1</v>
      </c>
      <c r="D1150" s="5" t="s">
        <v>297</v>
      </c>
      <c r="E1150" s="5" t="s">
        <v>245</v>
      </c>
      <c r="F1150" s="5" t="s">
        <v>254</v>
      </c>
      <c r="G1150" s="5" t="s">
        <v>240</v>
      </c>
      <c r="H1150" s="6" t="s">
        <v>3877</v>
      </c>
      <c r="I1150" s="5" t="s">
        <v>295</v>
      </c>
      <c r="J1150" s="8">
        <f>3537</f>
        <v>3537</v>
      </c>
      <c r="K1150" s="5" t="s">
        <v>308</v>
      </c>
      <c r="L1150" s="7">
        <f>1</f>
        <v>1</v>
      </c>
      <c r="M1150" s="7">
        <f>1</f>
        <v>1</v>
      </c>
      <c r="N1150" s="5" t="s">
        <v>242</v>
      </c>
      <c r="O1150" s="5">
        <v>1</v>
      </c>
      <c r="P1150" s="5" t="s">
        <v>294</v>
      </c>
      <c r="Q1150" s="5" t="s">
        <v>266</v>
      </c>
      <c r="R1150" s="5" t="s">
        <v>240</v>
      </c>
      <c r="S1150" s="5" t="s">
        <v>240</v>
      </c>
      <c r="T1150" s="5" t="s">
        <v>296</v>
      </c>
      <c r="U1150" s="5" t="s">
        <v>244</v>
      </c>
      <c r="V1150" s="5" t="s">
        <v>240</v>
      </c>
      <c r="Y1150" s="5" t="s">
        <v>240</v>
      </c>
      <c r="Z1150" s="6" t="s">
        <v>298</v>
      </c>
      <c r="AB1150" s="6" t="s">
        <v>240</v>
      </c>
      <c r="AE1150" s="6" t="s">
        <v>299</v>
      </c>
      <c r="AF1150" s="5" t="s">
        <v>248</v>
      </c>
      <c r="AG1150" s="5" t="s">
        <v>249</v>
      </c>
      <c r="AW1150" s="5" t="s">
        <v>251</v>
      </c>
      <c r="AX1150" s="5" t="s">
        <v>240</v>
      </c>
      <c r="AY1150" s="5" t="s">
        <v>253</v>
      </c>
      <c r="AZ1150" s="5" t="s">
        <v>240</v>
      </c>
      <c r="BA1150" s="5" t="s">
        <v>255</v>
      </c>
      <c r="BB1150" s="5" t="s">
        <v>240</v>
      </c>
      <c r="BD1150" s="5" t="s">
        <v>240</v>
      </c>
      <c r="BF1150" s="5" t="s">
        <v>301</v>
      </c>
      <c r="BG1150" s="6" t="s">
        <v>299</v>
      </c>
      <c r="BH1150" s="5" t="s">
        <v>302</v>
      </c>
      <c r="BI1150" s="5" t="s">
        <v>303</v>
      </c>
      <c r="BJ1150" s="5" t="s">
        <v>240</v>
      </c>
      <c r="BK1150" s="8">
        <f>0</f>
        <v>0</v>
      </c>
      <c r="BL1150" s="7">
        <f>0</f>
        <v>0</v>
      </c>
      <c r="BM1150" s="5" t="s">
        <v>258</v>
      </c>
      <c r="BN1150" s="5" t="s">
        <v>259</v>
      </c>
      <c r="CB1150" s="5" t="s">
        <v>240</v>
      </c>
      <c r="CC1150" s="5" t="s">
        <v>240</v>
      </c>
      <c r="CG1150" s="5" t="s">
        <v>304</v>
      </c>
      <c r="CH1150" s="5" t="s">
        <v>305</v>
      </c>
      <c r="CI1150" s="5" t="s">
        <v>240</v>
      </c>
      <c r="CL1150" s="6" t="s">
        <v>261</v>
      </c>
      <c r="CM1150" s="5" t="s">
        <v>240</v>
      </c>
      <c r="CN1150" s="5" t="s">
        <v>263</v>
      </c>
      <c r="CO1150" s="5" t="s">
        <v>240</v>
      </c>
      <c r="CP1150" s="5" t="s">
        <v>240</v>
      </c>
      <c r="CQ1150" s="5">
        <v>0</v>
      </c>
      <c r="CR1150" s="5" t="s">
        <v>306</v>
      </c>
      <c r="CS1150" s="5" t="s">
        <v>307</v>
      </c>
      <c r="CT1150" s="5" t="s">
        <v>307</v>
      </c>
      <c r="CU1150" s="5" t="s">
        <v>260</v>
      </c>
      <c r="CX1150" s="7">
        <f>1</f>
        <v>1</v>
      </c>
      <c r="CY1150" s="7">
        <f>0</f>
        <v>0</v>
      </c>
      <c r="DA1150" s="7">
        <f>0</f>
        <v>0</v>
      </c>
      <c r="DC1150" s="5" t="s">
        <v>812</v>
      </c>
      <c r="DD1150" s="5" t="s">
        <v>240</v>
      </c>
      <c r="DF1150" s="5" t="s">
        <v>812</v>
      </c>
      <c r="DG1150" s="7">
        <f>531</f>
        <v>531</v>
      </c>
      <c r="DI1150" s="5" t="s">
        <v>240</v>
      </c>
      <c r="DJ1150" s="5" t="s">
        <v>240</v>
      </c>
      <c r="DK1150" s="5" t="s">
        <v>240</v>
      </c>
      <c r="DL1150" s="5" t="s">
        <v>240</v>
      </c>
      <c r="DP1150" s="5" t="s">
        <v>240</v>
      </c>
      <c r="DQ1150" s="5" t="s">
        <v>240</v>
      </c>
      <c r="DR1150" s="5" t="s">
        <v>240</v>
      </c>
      <c r="DS1150" s="5" t="s">
        <v>240</v>
      </c>
      <c r="DV1150" s="5" t="s">
        <v>813</v>
      </c>
      <c r="DW1150" s="5" t="s">
        <v>2430</v>
      </c>
      <c r="HO1150" s="5" t="s">
        <v>312</v>
      </c>
    </row>
    <row r="1151" spans="1:223" x14ac:dyDescent="0.4">
      <c r="A1151" s="5">
        <v>2826</v>
      </c>
      <c r="B1151" s="5">
        <v>1</v>
      </c>
      <c r="C1151" s="5">
        <v>1</v>
      </c>
      <c r="D1151" s="5" t="s">
        <v>297</v>
      </c>
      <c r="E1151" s="5" t="s">
        <v>245</v>
      </c>
      <c r="F1151" s="5" t="s">
        <v>254</v>
      </c>
      <c r="G1151" s="5" t="s">
        <v>240</v>
      </c>
      <c r="H1151" s="6" t="s">
        <v>3878</v>
      </c>
      <c r="I1151" s="5" t="s">
        <v>295</v>
      </c>
      <c r="J1151" s="8">
        <f>3403</f>
        <v>3403</v>
      </c>
      <c r="K1151" s="5" t="s">
        <v>308</v>
      </c>
      <c r="L1151" s="7">
        <f>1</f>
        <v>1</v>
      </c>
      <c r="M1151" s="7">
        <f>1</f>
        <v>1</v>
      </c>
      <c r="N1151" s="5" t="s">
        <v>242</v>
      </c>
      <c r="O1151" s="5">
        <v>1</v>
      </c>
      <c r="P1151" s="5" t="s">
        <v>294</v>
      </c>
      <c r="Q1151" s="5" t="s">
        <v>266</v>
      </c>
      <c r="R1151" s="5" t="s">
        <v>240</v>
      </c>
      <c r="S1151" s="5" t="s">
        <v>240</v>
      </c>
      <c r="T1151" s="5" t="s">
        <v>296</v>
      </c>
      <c r="U1151" s="5" t="s">
        <v>244</v>
      </c>
      <c r="V1151" s="5" t="s">
        <v>240</v>
      </c>
      <c r="Y1151" s="5" t="s">
        <v>240</v>
      </c>
      <c r="Z1151" s="6" t="s">
        <v>298</v>
      </c>
      <c r="AB1151" s="6" t="s">
        <v>240</v>
      </c>
      <c r="AE1151" s="6" t="s">
        <v>299</v>
      </c>
      <c r="AF1151" s="5" t="s">
        <v>248</v>
      </c>
      <c r="AG1151" s="5" t="s">
        <v>249</v>
      </c>
      <c r="AW1151" s="5" t="s">
        <v>251</v>
      </c>
      <c r="AX1151" s="5" t="s">
        <v>240</v>
      </c>
      <c r="AY1151" s="5" t="s">
        <v>253</v>
      </c>
      <c r="AZ1151" s="5" t="s">
        <v>240</v>
      </c>
      <c r="BA1151" s="5" t="s">
        <v>255</v>
      </c>
      <c r="BB1151" s="5" t="s">
        <v>240</v>
      </c>
      <c r="BD1151" s="5" t="s">
        <v>240</v>
      </c>
      <c r="BF1151" s="5" t="s">
        <v>301</v>
      </c>
      <c r="BG1151" s="6" t="s">
        <v>299</v>
      </c>
      <c r="BH1151" s="5" t="s">
        <v>302</v>
      </c>
      <c r="BI1151" s="5" t="s">
        <v>303</v>
      </c>
      <c r="BJ1151" s="5" t="s">
        <v>240</v>
      </c>
      <c r="BK1151" s="8">
        <f>0</f>
        <v>0</v>
      </c>
      <c r="BL1151" s="7">
        <f>0</f>
        <v>0</v>
      </c>
      <c r="BM1151" s="5" t="s">
        <v>258</v>
      </c>
      <c r="BN1151" s="5" t="s">
        <v>259</v>
      </c>
      <c r="CB1151" s="5" t="s">
        <v>240</v>
      </c>
      <c r="CC1151" s="5" t="s">
        <v>240</v>
      </c>
      <c r="CG1151" s="5" t="s">
        <v>304</v>
      </c>
      <c r="CH1151" s="5" t="s">
        <v>305</v>
      </c>
      <c r="CI1151" s="5" t="s">
        <v>240</v>
      </c>
      <c r="CL1151" s="6" t="s">
        <v>261</v>
      </c>
      <c r="CM1151" s="5" t="s">
        <v>240</v>
      </c>
      <c r="CN1151" s="5" t="s">
        <v>263</v>
      </c>
      <c r="CO1151" s="5" t="s">
        <v>240</v>
      </c>
      <c r="CP1151" s="5" t="s">
        <v>240</v>
      </c>
      <c r="CQ1151" s="5">
        <v>0</v>
      </c>
      <c r="CR1151" s="5" t="s">
        <v>306</v>
      </c>
      <c r="CS1151" s="5" t="s">
        <v>307</v>
      </c>
      <c r="CT1151" s="5" t="s">
        <v>307</v>
      </c>
      <c r="CU1151" s="5" t="s">
        <v>260</v>
      </c>
      <c r="CX1151" s="7">
        <f>1</f>
        <v>1</v>
      </c>
      <c r="CY1151" s="7">
        <f>0</f>
        <v>0</v>
      </c>
      <c r="DA1151" s="7">
        <f>0</f>
        <v>0</v>
      </c>
      <c r="DC1151" s="5" t="s">
        <v>812</v>
      </c>
      <c r="DD1151" s="5" t="s">
        <v>240</v>
      </c>
      <c r="DF1151" s="5" t="s">
        <v>812</v>
      </c>
      <c r="DG1151" s="7">
        <f>2578</f>
        <v>2578</v>
      </c>
      <c r="DI1151" s="5" t="s">
        <v>240</v>
      </c>
      <c r="DJ1151" s="5" t="s">
        <v>240</v>
      </c>
      <c r="DK1151" s="5" t="s">
        <v>240</v>
      </c>
      <c r="DL1151" s="5" t="s">
        <v>240</v>
      </c>
      <c r="DP1151" s="5" t="s">
        <v>240</v>
      </c>
      <c r="DQ1151" s="5" t="s">
        <v>240</v>
      </c>
      <c r="DR1151" s="5" t="s">
        <v>240</v>
      </c>
      <c r="DS1151" s="5" t="s">
        <v>240</v>
      </c>
      <c r="DV1151" s="5" t="s">
        <v>813</v>
      </c>
      <c r="DW1151" s="5" t="s">
        <v>2432</v>
      </c>
      <c r="HO1151" s="5" t="s">
        <v>312</v>
      </c>
    </row>
    <row r="1152" spans="1:223" x14ac:dyDescent="0.4">
      <c r="A1152" s="5">
        <v>2827</v>
      </c>
      <c r="B1152" s="5">
        <v>1</v>
      </c>
      <c r="C1152" s="5">
        <v>1</v>
      </c>
      <c r="D1152" s="5" t="s">
        <v>297</v>
      </c>
      <c r="E1152" s="5" t="s">
        <v>245</v>
      </c>
      <c r="F1152" s="5" t="s">
        <v>254</v>
      </c>
      <c r="G1152" s="5" t="s">
        <v>240</v>
      </c>
      <c r="H1152" s="6" t="s">
        <v>3886</v>
      </c>
      <c r="I1152" s="5" t="s">
        <v>295</v>
      </c>
      <c r="J1152" s="8">
        <f>399</f>
        <v>399</v>
      </c>
      <c r="K1152" s="5" t="s">
        <v>308</v>
      </c>
      <c r="L1152" s="7">
        <f>1</f>
        <v>1</v>
      </c>
      <c r="M1152" s="7">
        <f>1</f>
        <v>1</v>
      </c>
      <c r="N1152" s="5" t="s">
        <v>242</v>
      </c>
      <c r="O1152" s="5">
        <v>1</v>
      </c>
      <c r="P1152" s="5" t="s">
        <v>294</v>
      </c>
      <c r="Q1152" s="5" t="s">
        <v>266</v>
      </c>
      <c r="R1152" s="5" t="s">
        <v>240</v>
      </c>
      <c r="S1152" s="5" t="s">
        <v>240</v>
      </c>
      <c r="T1152" s="5" t="s">
        <v>296</v>
      </c>
      <c r="U1152" s="5" t="s">
        <v>244</v>
      </c>
      <c r="V1152" s="5" t="s">
        <v>240</v>
      </c>
      <c r="Y1152" s="5" t="s">
        <v>240</v>
      </c>
      <c r="Z1152" s="6" t="s">
        <v>298</v>
      </c>
      <c r="AB1152" s="6" t="s">
        <v>240</v>
      </c>
      <c r="AE1152" s="6" t="s">
        <v>299</v>
      </c>
      <c r="AF1152" s="5" t="s">
        <v>248</v>
      </c>
      <c r="AG1152" s="5" t="s">
        <v>249</v>
      </c>
      <c r="AW1152" s="5" t="s">
        <v>251</v>
      </c>
      <c r="AX1152" s="5" t="s">
        <v>240</v>
      </c>
      <c r="AY1152" s="5" t="s">
        <v>253</v>
      </c>
      <c r="AZ1152" s="5" t="s">
        <v>240</v>
      </c>
      <c r="BA1152" s="5" t="s">
        <v>255</v>
      </c>
      <c r="BB1152" s="5" t="s">
        <v>240</v>
      </c>
      <c r="BD1152" s="5" t="s">
        <v>240</v>
      </c>
      <c r="BF1152" s="5" t="s">
        <v>301</v>
      </c>
      <c r="BG1152" s="6" t="s">
        <v>299</v>
      </c>
      <c r="BH1152" s="5" t="s">
        <v>302</v>
      </c>
      <c r="BI1152" s="5" t="s">
        <v>303</v>
      </c>
      <c r="BJ1152" s="5" t="s">
        <v>240</v>
      </c>
      <c r="BK1152" s="8">
        <f>0</f>
        <v>0</v>
      </c>
      <c r="BL1152" s="7">
        <f>0</f>
        <v>0</v>
      </c>
      <c r="BM1152" s="5" t="s">
        <v>258</v>
      </c>
      <c r="BN1152" s="5" t="s">
        <v>259</v>
      </c>
      <c r="CB1152" s="5" t="s">
        <v>240</v>
      </c>
      <c r="CC1152" s="5" t="s">
        <v>240</v>
      </c>
      <c r="CG1152" s="5" t="s">
        <v>304</v>
      </c>
      <c r="CH1152" s="5" t="s">
        <v>305</v>
      </c>
      <c r="CI1152" s="5" t="s">
        <v>240</v>
      </c>
      <c r="CL1152" s="6" t="s">
        <v>261</v>
      </c>
      <c r="CM1152" s="5" t="s">
        <v>240</v>
      </c>
      <c r="CN1152" s="5" t="s">
        <v>263</v>
      </c>
      <c r="CO1152" s="5" t="s">
        <v>240</v>
      </c>
      <c r="CP1152" s="5" t="s">
        <v>240</v>
      </c>
      <c r="CQ1152" s="5">
        <v>0</v>
      </c>
      <c r="CR1152" s="5" t="s">
        <v>306</v>
      </c>
      <c r="CS1152" s="5" t="s">
        <v>307</v>
      </c>
      <c r="CT1152" s="5" t="s">
        <v>307</v>
      </c>
      <c r="CU1152" s="5" t="s">
        <v>260</v>
      </c>
      <c r="CX1152" s="7">
        <f>1</f>
        <v>1</v>
      </c>
      <c r="CY1152" s="7">
        <f>0</f>
        <v>0</v>
      </c>
      <c r="DA1152" s="7">
        <f>0</f>
        <v>0</v>
      </c>
      <c r="DC1152" s="5" t="s">
        <v>812</v>
      </c>
      <c r="DD1152" s="5" t="s">
        <v>240</v>
      </c>
      <c r="DF1152" s="5" t="s">
        <v>812</v>
      </c>
      <c r="DG1152" s="7">
        <f>486</f>
        <v>486</v>
      </c>
      <c r="DI1152" s="5" t="s">
        <v>240</v>
      </c>
      <c r="DJ1152" s="5" t="s">
        <v>240</v>
      </c>
      <c r="DK1152" s="5" t="s">
        <v>240</v>
      </c>
      <c r="DL1152" s="5" t="s">
        <v>240</v>
      </c>
      <c r="DP1152" s="5" t="s">
        <v>240</v>
      </c>
      <c r="DQ1152" s="5" t="s">
        <v>240</v>
      </c>
      <c r="DR1152" s="5" t="s">
        <v>240</v>
      </c>
      <c r="DS1152" s="5" t="s">
        <v>240</v>
      </c>
      <c r="DV1152" s="5" t="s">
        <v>813</v>
      </c>
      <c r="DW1152" s="5" t="s">
        <v>2434</v>
      </c>
      <c r="HO1152" s="5" t="s">
        <v>312</v>
      </c>
    </row>
    <row r="1153" spans="1:223" x14ac:dyDescent="0.4">
      <c r="A1153" s="5">
        <v>2828</v>
      </c>
      <c r="B1153" s="5">
        <v>1</v>
      </c>
      <c r="C1153" s="5">
        <v>1</v>
      </c>
      <c r="D1153" s="5" t="s">
        <v>297</v>
      </c>
      <c r="E1153" s="5" t="s">
        <v>245</v>
      </c>
      <c r="F1153" s="5" t="s">
        <v>254</v>
      </c>
      <c r="G1153" s="5" t="s">
        <v>240</v>
      </c>
      <c r="H1153" s="6" t="s">
        <v>3889</v>
      </c>
      <c r="I1153" s="5" t="s">
        <v>295</v>
      </c>
      <c r="J1153" s="8">
        <f>2997</f>
        <v>2997</v>
      </c>
      <c r="K1153" s="5" t="s">
        <v>308</v>
      </c>
      <c r="L1153" s="7">
        <f>1</f>
        <v>1</v>
      </c>
      <c r="M1153" s="7">
        <f>1</f>
        <v>1</v>
      </c>
      <c r="N1153" s="5" t="s">
        <v>242</v>
      </c>
      <c r="O1153" s="5">
        <v>1</v>
      </c>
      <c r="P1153" s="5" t="s">
        <v>294</v>
      </c>
      <c r="Q1153" s="5" t="s">
        <v>266</v>
      </c>
      <c r="R1153" s="5" t="s">
        <v>240</v>
      </c>
      <c r="S1153" s="5" t="s">
        <v>240</v>
      </c>
      <c r="T1153" s="5" t="s">
        <v>296</v>
      </c>
      <c r="U1153" s="5" t="s">
        <v>244</v>
      </c>
      <c r="V1153" s="5" t="s">
        <v>240</v>
      </c>
      <c r="Y1153" s="5" t="s">
        <v>240</v>
      </c>
      <c r="Z1153" s="6" t="s">
        <v>298</v>
      </c>
      <c r="AB1153" s="6" t="s">
        <v>240</v>
      </c>
      <c r="AE1153" s="6" t="s">
        <v>299</v>
      </c>
      <c r="AF1153" s="5" t="s">
        <v>248</v>
      </c>
      <c r="AG1153" s="5" t="s">
        <v>249</v>
      </c>
      <c r="AW1153" s="5" t="s">
        <v>251</v>
      </c>
      <c r="AX1153" s="5" t="s">
        <v>240</v>
      </c>
      <c r="AY1153" s="5" t="s">
        <v>253</v>
      </c>
      <c r="AZ1153" s="5" t="s">
        <v>240</v>
      </c>
      <c r="BA1153" s="5" t="s">
        <v>255</v>
      </c>
      <c r="BB1153" s="5" t="s">
        <v>240</v>
      </c>
      <c r="BD1153" s="5" t="s">
        <v>240</v>
      </c>
      <c r="BF1153" s="5" t="s">
        <v>301</v>
      </c>
      <c r="BG1153" s="6" t="s">
        <v>299</v>
      </c>
      <c r="BH1153" s="5" t="s">
        <v>302</v>
      </c>
      <c r="BI1153" s="5" t="s">
        <v>303</v>
      </c>
      <c r="BJ1153" s="5" t="s">
        <v>240</v>
      </c>
      <c r="BK1153" s="8">
        <f>0</f>
        <v>0</v>
      </c>
      <c r="BL1153" s="7">
        <f>0</f>
        <v>0</v>
      </c>
      <c r="BM1153" s="5" t="s">
        <v>258</v>
      </c>
      <c r="BN1153" s="5" t="s">
        <v>259</v>
      </c>
      <c r="CB1153" s="5" t="s">
        <v>240</v>
      </c>
      <c r="CC1153" s="5" t="s">
        <v>240</v>
      </c>
      <c r="CG1153" s="5" t="s">
        <v>304</v>
      </c>
      <c r="CH1153" s="5" t="s">
        <v>305</v>
      </c>
      <c r="CI1153" s="5" t="s">
        <v>240</v>
      </c>
      <c r="CL1153" s="6" t="s">
        <v>261</v>
      </c>
      <c r="CM1153" s="5" t="s">
        <v>240</v>
      </c>
      <c r="CN1153" s="5" t="s">
        <v>263</v>
      </c>
      <c r="CO1153" s="5" t="s">
        <v>240</v>
      </c>
      <c r="CP1153" s="5" t="s">
        <v>240</v>
      </c>
      <c r="CQ1153" s="5">
        <v>0</v>
      </c>
      <c r="CR1153" s="5" t="s">
        <v>306</v>
      </c>
      <c r="CS1153" s="5" t="s">
        <v>307</v>
      </c>
      <c r="CT1153" s="5" t="s">
        <v>307</v>
      </c>
      <c r="CU1153" s="5" t="s">
        <v>260</v>
      </c>
      <c r="CX1153" s="7">
        <f>1</f>
        <v>1</v>
      </c>
      <c r="CY1153" s="7">
        <f>0</f>
        <v>0</v>
      </c>
      <c r="DA1153" s="7">
        <f>0</f>
        <v>0</v>
      </c>
      <c r="DC1153" s="5" t="s">
        <v>812</v>
      </c>
      <c r="DD1153" s="5" t="s">
        <v>240</v>
      </c>
      <c r="DF1153" s="5" t="s">
        <v>812</v>
      </c>
      <c r="DG1153" s="7">
        <f>239</f>
        <v>239</v>
      </c>
      <c r="DI1153" s="5" t="s">
        <v>240</v>
      </c>
      <c r="DJ1153" s="5" t="s">
        <v>240</v>
      </c>
      <c r="DK1153" s="5" t="s">
        <v>240</v>
      </c>
      <c r="DL1153" s="5" t="s">
        <v>240</v>
      </c>
      <c r="DP1153" s="5" t="s">
        <v>240</v>
      </c>
      <c r="DQ1153" s="5" t="s">
        <v>240</v>
      </c>
      <c r="DR1153" s="5" t="s">
        <v>240</v>
      </c>
      <c r="DS1153" s="5" t="s">
        <v>240</v>
      </c>
      <c r="DV1153" s="5" t="s">
        <v>813</v>
      </c>
      <c r="DW1153" s="5" t="s">
        <v>2436</v>
      </c>
      <c r="HO1153" s="5" t="s">
        <v>312</v>
      </c>
    </row>
    <row r="1154" spans="1:223" x14ac:dyDescent="0.4">
      <c r="A1154" s="5">
        <v>2829</v>
      </c>
      <c r="B1154" s="5">
        <v>1</v>
      </c>
      <c r="C1154" s="5">
        <v>1</v>
      </c>
      <c r="D1154" s="5" t="s">
        <v>297</v>
      </c>
      <c r="E1154" s="5" t="s">
        <v>245</v>
      </c>
      <c r="F1154" s="5" t="s">
        <v>254</v>
      </c>
      <c r="G1154" s="5" t="s">
        <v>240</v>
      </c>
      <c r="H1154" s="6" t="s">
        <v>3891</v>
      </c>
      <c r="I1154" s="5" t="s">
        <v>295</v>
      </c>
      <c r="J1154" s="8">
        <f>585</f>
        <v>585</v>
      </c>
      <c r="K1154" s="5" t="s">
        <v>308</v>
      </c>
      <c r="L1154" s="7">
        <f>1</f>
        <v>1</v>
      </c>
      <c r="M1154" s="7">
        <f>1</f>
        <v>1</v>
      </c>
      <c r="N1154" s="5" t="s">
        <v>242</v>
      </c>
      <c r="O1154" s="5">
        <v>1</v>
      </c>
      <c r="P1154" s="5" t="s">
        <v>294</v>
      </c>
      <c r="Q1154" s="5" t="s">
        <v>266</v>
      </c>
      <c r="R1154" s="5" t="s">
        <v>240</v>
      </c>
      <c r="S1154" s="5" t="s">
        <v>240</v>
      </c>
      <c r="T1154" s="5" t="s">
        <v>296</v>
      </c>
      <c r="U1154" s="5" t="s">
        <v>244</v>
      </c>
      <c r="V1154" s="5" t="s">
        <v>240</v>
      </c>
      <c r="Y1154" s="5" t="s">
        <v>240</v>
      </c>
      <c r="Z1154" s="6" t="s">
        <v>298</v>
      </c>
      <c r="AB1154" s="6" t="s">
        <v>240</v>
      </c>
      <c r="AE1154" s="6" t="s">
        <v>299</v>
      </c>
      <c r="AF1154" s="5" t="s">
        <v>248</v>
      </c>
      <c r="AG1154" s="5" t="s">
        <v>249</v>
      </c>
      <c r="AW1154" s="5" t="s">
        <v>251</v>
      </c>
      <c r="AX1154" s="5" t="s">
        <v>240</v>
      </c>
      <c r="AY1154" s="5" t="s">
        <v>253</v>
      </c>
      <c r="AZ1154" s="5" t="s">
        <v>240</v>
      </c>
      <c r="BA1154" s="5" t="s">
        <v>255</v>
      </c>
      <c r="BB1154" s="5" t="s">
        <v>240</v>
      </c>
      <c r="BD1154" s="5" t="s">
        <v>240</v>
      </c>
      <c r="BF1154" s="5" t="s">
        <v>301</v>
      </c>
      <c r="BG1154" s="6" t="s">
        <v>299</v>
      </c>
      <c r="BH1154" s="5" t="s">
        <v>302</v>
      </c>
      <c r="BI1154" s="5" t="s">
        <v>303</v>
      </c>
      <c r="BJ1154" s="5" t="s">
        <v>240</v>
      </c>
      <c r="BK1154" s="8">
        <f>0</f>
        <v>0</v>
      </c>
      <c r="BL1154" s="7">
        <f>0</f>
        <v>0</v>
      </c>
      <c r="BM1154" s="5" t="s">
        <v>258</v>
      </c>
      <c r="BN1154" s="5" t="s">
        <v>259</v>
      </c>
      <c r="CB1154" s="5" t="s">
        <v>240</v>
      </c>
      <c r="CC1154" s="5" t="s">
        <v>240</v>
      </c>
      <c r="CG1154" s="5" t="s">
        <v>304</v>
      </c>
      <c r="CH1154" s="5" t="s">
        <v>305</v>
      </c>
      <c r="CI1154" s="5" t="s">
        <v>240</v>
      </c>
      <c r="CL1154" s="6" t="s">
        <v>261</v>
      </c>
      <c r="CM1154" s="5" t="s">
        <v>240</v>
      </c>
      <c r="CN1154" s="5" t="s">
        <v>263</v>
      </c>
      <c r="CO1154" s="5" t="s">
        <v>240</v>
      </c>
      <c r="CP1154" s="5" t="s">
        <v>240</v>
      </c>
      <c r="CQ1154" s="5">
        <v>0</v>
      </c>
      <c r="CR1154" s="5" t="s">
        <v>306</v>
      </c>
      <c r="CS1154" s="5" t="s">
        <v>307</v>
      </c>
      <c r="CT1154" s="5" t="s">
        <v>307</v>
      </c>
      <c r="CU1154" s="5" t="s">
        <v>260</v>
      </c>
      <c r="CX1154" s="7">
        <f>1</f>
        <v>1</v>
      </c>
      <c r="CY1154" s="7">
        <f>0</f>
        <v>0</v>
      </c>
      <c r="DA1154" s="7">
        <f>0</f>
        <v>0</v>
      </c>
      <c r="DC1154" s="5" t="s">
        <v>812</v>
      </c>
      <c r="DD1154" s="5" t="s">
        <v>240</v>
      </c>
      <c r="DF1154" s="5" t="s">
        <v>812</v>
      </c>
      <c r="DG1154" s="7">
        <f>1939</f>
        <v>1939</v>
      </c>
      <c r="DI1154" s="5" t="s">
        <v>240</v>
      </c>
      <c r="DJ1154" s="5" t="s">
        <v>240</v>
      </c>
      <c r="DK1154" s="5" t="s">
        <v>240</v>
      </c>
      <c r="DL1154" s="5" t="s">
        <v>240</v>
      </c>
      <c r="DP1154" s="5" t="s">
        <v>240</v>
      </c>
      <c r="DQ1154" s="5" t="s">
        <v>240</v>
      </c>
      <c r="DR1154" s="5" t="s">
        <v>240</v>
      </c>
      <c r="DS1154" s="5" t="s">
        <v>240</v>
      </c>
      <c r="DV1154" s="5" t="s">
        <v>813</v>
      </c>
      <c r="DW1154" s="5" t="s">
        <v>2438</v>
      </c>
      <c r="HO1154" s="5" t="s">
        <v>312</v>
      </c>
    </row>
    <row r="1155" spans="1:223" x14ac:dyDescent="0.4">
      <c r="A1155" s="5">
        <v>2830</v>
      </c>
      <c r="B1155" s="5">
        <v>1</v>
      </c>
      <c r="C1155" s="5">
        <v>1</v>
      </c>
      <c r="D1155" s="5" t="s">
        <v>297</v>
      </c>
      <c r="E1155" s="5" t="s">
        <v>245</v>
      </c>
      <c r="F1155" s="5" t="s">
        <v>254</v>
      </c>
      <c r="G1155" s="5" t="s">
        <v>240</v>
      </c>
      <c r="H1155" s="6" t="s">
        <v>3892</v>
      </c>
      <c r="I1155" s="5" t="s">
        <v>295</v>
      </c>
      <c r="J1155" s="8">
        <f>2906</f>
        <v>2906</v>
      </c>
      <c r="K1155" s="5" t="s">
        <v>308</v>
      </c>
      <c r="L1155" s="7">
        <f>1</f>
        <v>1</v>
      </c>
      <c r="M1155" s="7">
        <f>1</f>
        <v>1</v>
      </c>
      <c r="N1155" s="5" t="s">
        <v>242</v>
      </c>
      <c r="O1155" s="5">
        <v>1</v>
      </c>
      <c r="P1155" s="5" t="s">
        <v>294</v>
      </c>
      <c r="Q1155" s="5" t="s">
        <v>266</v>
      </c>
      <c r="R1155" s="5" t="s">
        <v>240</v>
      </c>
      <c r="S1155" s="5" t="s">
        <v>240</v>
      </c>
      <c r="T1155" s="5" t="s">
        <v>296</v>
      </c>
      <c r="U1155" s="5" t="s">
        <v>244</v>
      </c>
      <c r="V1155" s="5" t="s">
        <v>240</v>
      </c>
      <c r="Y1155" s="5" t="s">
        <v>240</v>
      </c>
      <c r="Z1155" s="6" t="s">
        <v>298</v>
      </c>
      <c r="AB1155" s="6" t="s">
        <v>240</v>
      </c>
      <c r="AE1155" s="6" t="s">
        <v>299</v>
      </c>
      <c r="AF1155" s="5" t="s">
        <v>248</v>
      </c>
      <c r="AG1155" s="5" t="s">
        <v>249</v>
      </c>
      <c r="AW1155" s="5" t="s">
        <v>251</v>
      </c>
      <c r="AX1155" s="5" t="s">
        <v>240</v>
      </c>
      <c r="AY1155" s="5" t="s">
        <v>253</v>
      </c>
      <c r="AZ1155" s="5" t="s">
        <v>240</v>
      </c>
      <c r="BA1155" s="5" t="s">
        <v>255</v>
      </c>
      <c r="BB1155" s="5" t="s">
        <v>240</v>
      </c>
      <c r="BD1155" s="5" t="s">
        <v>240</v>
      </c>
      <c r="BF1155" s="5" t="s">
        <v>301</v>
      </c>
      <c r="BG1155" s="6" t="s">
        <v>299</v>
      </c>
      <c r="BH1155" s="5" t="s">
        <v>302</v>
      </c>
      <c r="BI1155" s="5" t="s">
        <v>303</v>
      </c>
      <c r="BJ1155" s="5" t="s">
        <v>240</v>
      </c>
      <c r="BK1155" s="8">
        <f>0</f>
        <v>0</v>
      </c>
      <c r="BL1155" s="7">
        <f>0</f>
        <v>0</v>
      </c>
      <c r="BM1155" s="5" t="s">
        <v>258</v>
      </c>
      <c r="BN1155" s="5" t="s">
        <v>259</v>
      </c>
      <c r="CB1155" s="5" t="s">
        <v>240</v>
      </c>
      <c r="CC1155" s="5" t="s">
        <v>240</v>
      </c>
      <c r="CG1155" s="5" t="s">
        <v>304</v>
      </c>
      <c r="CH1155" s="5" t="s">
        <v>305</v>
      </c>
      <c r="CI1155" s="5" t="s">
        <v>240</v>
      </c>
      <c r="CL1155" s="6" t="s">
        <v>261</v>
      </c>
      <c r="CM1155" s="5" t="s">
        <v>240</v>
      </c>
      <c r="CN1155" s="5" t="s">
        <v>263</v>
      </c>
      <c r="CO1155" s="5" t="s">
        <v>240</v>
      </c>
      <c r="CP1155" s="5" t="s">
        <v>240</v>
      </c>
      <c r="CQ1155" s="5">
        <v>0</v>
      </c>
      <c r="CR1155" s="5" t="s">
        <v>306</v>
      </c>
      <c r="CS1155" s="5" t="s">
        <v>307</v>
      </c>
      <c r="CT1155" s="5" t="s">
        <v>307</v>
      </c>
      <c r="CU1155" s="5" t="s">
        <v>260</v>
      </c>
      <c r="CX1155" s="7">
        <f>1</f>
        <v>1</v>
      </c>
      <c r="CY1155" s="7">
        <f>0</f>
        <v>0</v>
      </c>
      <c r="DA1155" s="7">
        <f>0</f>
        <v>0</v>
      </c>
      <c r="DC1155" s="5" t="s">
        <v>812</v>
      </c>
      <c r="DD1155" s="5" t="s">
        <v>240</v>
      </c>
      <c r="DF1155" s="5" t="s">
        <v>812</v>
      </c>
      <c r="DG1155" s="7">
        <f>1796</f>
        <v>1796</v>
      </c>
      <c r="DI1155" s="5" t="s">
        <v>240</v>
      </c>
      <c r="DJ1155" s="5" t="s">
        <v>240</v>
      </c>
      <c r="DK1155" s="5" t="s">
        <v>240</v>
      </c>
      <c r="DL1155" s="5" t="s">
        <v>240</v>
      </c>
      <c r="DP1155" s="5" t="s">
        <v>240</v>
      </c>
      <c r="DQ1155" s="5" t="s">
        <v>240</v>
      </c>
      <c r="DR1155" s="5" t="s">
        <v>240</v>
      </c>
      <c r="DS1155" s="5" t="s">
        <v>240</v>
      </c>
      <c r="DV1155" s="5" t="s">
        <v>813</v>
      </c>
      <c r="DW1155" s="5" t="s">
        <v>2440</v>
      </c>
      <c r="HO1155" s="5" t="s">
        <v>312</v>
      </c>
    </row>
    <row r="1156" spans="1:223" x14ac:dyDescent="0.4">
      <c r="A1156" s="5">
        <v>2831</v>
      </c>
      <c r="B1156" s="5">
        <v>1</v>
      </c>
      <c r="C1156" s="5">
        <v>1</v>
      </c>
      <c r="D1156" s="5" t="s">
        <v>297</v>
      </c>
      <c r="E1156" s="5" t="s">
        <v>245</v>
      </c>
      <c r="F1156" s="5" t="s">
        <v>254</v>
      </c>
      <c r="G1156" s="5" t="s">
        <v>240</v>
      </c>
      <c r="H1156" s="6" t="s">
        <v>3897</v>
      </c>
      <c r="I1156" s="5" t="s">
        <v>295</v>
      </c>
      <c r="J1156" s="8">
        <f>1448</f>
        <v>1448</v>
      </c>
      <c r="K1156" s="5" t="s">
        <v>308</v>
      </c>
      <c r="L1156" s="7">
        <f>1</f>
        <v>1</v>
      </c>
      <c r="M1156" s="7">
        <f>1</f>
        <v>1</v>
      </c>
      <c r="N1156" s="5" t="s">
        <v>242</v>
      </c>
      <c r="O1156" s="5">
        <v>1</v>
      </c>
      <c r="P1156" s="5" t="s">
        <v>294</v>
      </c>
      <c r="Q1156" s="5" t="s">
        <v>266</v>
      </c>
      <c r="R1156" s="5" t="s">
        <v>240</v>
      </c>
      <c r="S1156" s="5" t="s">
        <v>240</v>
      </c>
      <c r="T1156" s="5" t="s">
        <v>296</v>
      </c>
      <c r="U1156" s="5" t="s">
        <v>244</v>
      </c>
      <c r="V1156" s="5" t="s">
        <v>240</v>
      </c>
      <c r="Y1156" s="5" t="s">
        <v>240</v>
      </c>
      <c r="Z1156" s="6" t="s">
        <v>298</v>
      </c>
      <c r="AB1156" s="6" t="s">
        <v>240</v>
      </c>
      <c r="AE1156" s="6" t="s">
        <v>299</v>
      </c>
      <c r="AF1156" s="5" t="s">
        <v>248</v>
      </c>
      <c r="AG1156" s="5" t="s">
        <v>249</v>
      </c>
      <c r="AW1156" s="5" t="s">
        <v>251</v>
      </c>
      <c r="AX1156" s="5" t="s">
        <v>240</v>
      </c>
      <c r="AY1156" s="5" t="s">
        <v>253</v>
      </c>
      <c r="AZ1156" s="5" t="s">
        <v>240</v>
      </c>
      <c r="BA1156" s="5" t="s">
        <v>255</v>
      </c>
      <c r="BB1156" s="5" t="s">
        <v>240</v>
      </c>
      <c r="BD1156" s="5" t="s">
        <v>240</v>
      </c>
      <c r="BF1156" s="5" t="s">
        <v>301</v>
      </c>
      <c r="BG1156" s="6" t="s">
        <v>299</v>
      </c>
      <c r="BH1156" s="5" t="s">
        <v>302</v>
      </c>
      <c r="BI1156" s="5" t="s">
        <v>303</v>
      </c>
      <c r="BJ1156" s="5" t="s">
        <v>240</v>
      </c>
      <c r="BK1156" s="8">
        <f>0</f>
        <v>0</v>
      </c>
      <c r="BL1156" s="7">
        <f>0</f>
        <v>0</v>
      </c>
      <c r="BM1156" s="5" t="s">
        <v>258</v>
      </c>
      <c r="BN1156" s="5" t="s">
        <v>259</v>
      </c>
      <c r="CB1156" s="5" t="s">
        <v>240</v>
      </c>
      <c r="CC1156" s="5" t="s">
        <v>240</v>
      </c>
      <c r="CG1156" s="5" t="s">
        <v>304</v>
      </c>
      <c r="CH1156" s="5" t="s">
        <v>305</v>
      </c>
      <c r="CI1156" s="5" t="s">
        <v>240</v>
      </c>
      <c r="CL1156" s="6" t="s">
        <v>261</v>
      </c>
      <c r="CM1156" s="5" t="s">
        <v>240</v>
      </c>
      <c r="CN1156" s="5" t="s">
        <v>263</v>
      </c>
      <c r="CO1156" s="5" t="s">
        <v>240</v>
      </c>
      <c r="CP1156" s="5" t="s">
        <v>240</v>
      </c>
      <c r="CQ1156" s="5">
        <v>0</v>
      </c>
      <c r="CR1156" s="5" t="s">
        <v>306</v>
      </c>
      <c r="CS1156" s="5" t="s">
        <v>307</v>
      </c>
      <c r="CT1156" s="5" t="s">
        <v>307</v>
      </c>
      <c r="CU1156" s="5" t="s">
        <v>260</v>
      </c>
      <c r="CX1156" s="7">
        <f>1</f>
        <v>1</v>
      </c>
      <c r="CY1156" s="7">
        <f>0</f>
        <v>0</v>
      </c>
      <c r="DA1156" s="7">
        <f>0</f>
        <v>0</v>
      </c>
      <c r="DC1156" s="5" t="s">
        <v>812</v>
      </c>
      <c r="DD1156" s="5" t="s">
        <v>240</v>
      </c>
      <c r="DF1156" s="5" t="s">
        <v>812</v>
      </c>
      <c r="DG1156" s="7">
        <f>182</f>
        <v>182</v>
      </c>
      <c r="DI1156" s="5" t="s">
        <v>240</v>
      </c>
      <c r="DJ1156" s="5" t="s">
        <v>240</v>
      </c>
      <c r="DK1156" s="5" t="s">
        <v>240</v>
      </c>
      <c r="DL1156" s="5" t="s">
        <v>240</v>
      </c>
      <c r="DP1156" s="5" t="s">
        <v>240</v>
      </c>
      <c r="DQ1156" s="5" t="s">
        <v>240</v>
      </c>
      <c r="DR1156" s="5" t="s">
        <v>240</v>
      </c>
      <c r="DS1156" s="5" t="s">
        <v>240</v>
      </c>
      <c r="DV1156" s="5" t="s">
        <v>813</v>
      </c>
      <c r="DW1156" s="5" t="s">
        <v>2442</v>
      </c>
      <c r="HO1156" s="5" t="s">
        <v>312</v>
      </c>
    </row>
    <row r="1157" spans="1:223" x14ac:dyDescent="0.4">
      <c r="A1157" s="5">
        <v>2832</v>
      </c>
      <c r="B1157" s="5">
        <v>1</v>
      </c>
      <c r="C1157" s="5">
        <v>1</v>
      </c>
      <c r="D1157" s="5" t="s">
        <v>297</v>
      </c>
      <c r="E1157" s="5" t="s">
        <v>245</v>
      </c>
      <c r="F1157" s="5" t="s">
        <v>254</v>
      </c>
      <c r="G1157" s="5" t="s">
        <v>240</v>
      </c>
      <c r="H1157" s="6" t="s">
        <v>3898</v>
      </c>
      <c r="I1157" s="5" t="s">
        <v>295</v>
      </c>
      <c r="J1157" s="8">
        <f>899</f>
        <v>899</v>
      </c>
      <c r="K1157" s="5" t="s">
        <v>308</v>
      </c>
      <c r="L1157" s="7">
        <f>1</f>
        <v>1</v>
      </c>
      <c r="M1157" s="7">
        <f>1</f>
        <v>1</v>
      </c>
      <c r="N1157" s="5" t="s">
        <v>242</v>
      </c>
      <c r="O1157" s="5">
        <v>1</v>
      </c>
      <c r="P1157" s="5" t="s">
        <v>294</v>
      </c>
      <c r="Q1157" s="5" t="s">
        <v>266</v>
      </c>
      <c r="R1157" s="5" t="s">
        <v>240</v>
      </c>
      <c r="S1157" s="5" t="s">
        <v>240</v>
      </c>
      <c r="T1157" s="5" t="s">
        <v>296</v>
      </c>
      <c r="U1157" s="5" t="s">
        <v>244</v>
      </c>
      <c r="V1157" s="5" t="s">
        <v>240</v>
      </c>
      <c r="Y1157" s="5" t="s">
        <v>240</v>
      </c>
      <c r="Z1157" s="6" t="s">
        <v>298</v>
      </c>
      <c r="AB1157" s="6" t="s">
        <v>240</v>
      </c>
      <c r="AE1157" s="6" t="s">
        <v>299</v>
      </c>
      <c r="AF1157" s="5" t="s">
        <v>248</v>
      </c>
      <c r="AG1157" s="5" t="s">
        <v>249</v>
      </c>
      <c r="AW1157" s="5" t="s">
        <v>251</v>
      </c>
      <c r="AX1157" s="5" t="s">
        <v>240</v>
      </c>
      <c r="AY1157" s="5" t="s">
        <v>253</v>
      </c>
      <c r="AZ1157" s="5" t="s">
        <v>240</v>
      </c>
      <c r="BA1157" s="5" t="s">
        <v>255</v>
      </c>
      <c r="BB1157" s="5" t="s">
        <v>240</v>
      </c>
      <c r="BD1157" s="5" t="s">
        <v>240</v>
      </c>
      <c r="BF1157" s="5" t="s">
        <v>301</v>
      </c>
      <c r="BG1157" s="6" t="s">
        <v>299</v>
      </c>
      <c r="BH1157" s="5" t="s">
        <v>302</v>
      </c>
      <c r="BI1157" s="5" t="s">
        <v>303</v>
      </c>
      <c r="BJ1157" s="5" t="s">
        <v>240</v>
      </c>
      <c r="BK1157" s="8">
        <f>0</f>
        <v>0</v>
      </c>
      <c r="BL1157" s="7">
        <f>0</f>
        <v>0</v>
      </c>
      <c r="BM1157" s="5" t="s">
        <v>258</v>
      </c>
      <c r="BN1157" s="5" t="s">
        <v>259</v>
      </c>
      <c r="CB1157" s="5" t="s">
        <v>240</v>
      </c>
      <c r="CC1157" s="5" t="s">
        <v>240</v>
      </c>
      <c r="CG1157" s="5" t="s">
        <v>304</v>
      </c>
      <c r="CH1157" s="5" t="s">
        <v>305</v>
      </c>
      <c r="CI1157" s="5" t="s">
        <v>240</v>
      </c>
      <c r="CL1157" s="6" t="s">
        <v>261</v>
      </c>
      <c r="CM1157" s="5" t="s">
        <v>240</v>
      </c>
      <c r="CN1157" s="5" t="s">
        <v>263</v>
      </c>
      <c r="CO1157" s="5" t="s">
        <v>240</v>
      </c>
      <c r="CP1157" s="5" t="s">
        <v>240</v>
      </c>
      <c r="CQ1157" s="5">
        <v>0</v>
      </c>
      <c r="CR1157" s="5" t="s">
        <v>306</v>
      </c>
      <c r="CS1157" s="5" t="s">
        <v>307</v>
      </c>
      <c r="CT1157" s="5" t="s">
        <v>307</v>
      </c>
      <c r="CU1157" s="5" t="s">
        <v>260</v>
      </c>
      <c r="CX1157" s="7">
        <f>1</f>
        <v>1</v>
      </c>
      <c r="CY1157" s="7">
        <f>0</f>
        <v>0</v>
      </c>
      <c r="DA1157" s="7">
        <f>0</f>
        <v>0</v>
      </c>
      <c r="DC1157" s="5" t="s">
        <v>812</v>
      </c>
      <c r="DD1157" s="5" t="s">
        <v>240</v>
      </c>
      <c r="DF1157" s="5" t="s">
        <v>812</v>
      </c>
      <c r="DG1157" s="7">
        <f>288</f>
        <v>288</v>
      </c>
      <c r="DI1157" s="5" t="s">
        <v>240</v>
      </c>
      <c r="DJ1157" s="5" t="s">
        <v>240</v>
      </c>
      <c r="DK1157" s="5" t="s">
        <v>240</v>
      </c>
      <c r="DL1157" s="5" t="s">
        <v>240</v>
      </c>
      <c r="DP1157" s="5" t="s">
        <v>240</v>
      </c>
      <c r="DQ1157" s="5" t="s">
        <v>240</v>
      </c>
      <c r="DR1157" s="5" t="s">
        <v>240</v>
      </c>
      <c r="DS1157" s="5" t="s">
        <v>240</v>
      </c>
      <c r="DV1157" s="5" t="s">
        <v>813</v>
      </c>
      <c r="DW1157" s="5" t="s">
        <v>2444</v>
      </c>
      <c r="HO1157" s="5" t="s">
        <v>312</v>
      </c>
    </row>
    <row r="1158" spans="1:223" x14ac:dyDescent="0.4">
      <c r="A1158" s="5">
        <v>2833</v>
      </c>
      <c r="B1158" s="5">
        <v>1</v>
      </c>
      <c r="C1158" s="5">
        <v>1</v>
      </c>
      <c r="D1158" s="5" t="s">
        <v>297</v>
      </c>
      <c r="E1158" s="5" t="s">
        <v>245</v>
      </c>
      <c r="F1158" s="5" t="s">
        <v>254</v>
      </c>
      <c r="G1158" s="5" t="s">
        <v>240</v>
      </c>
      <c r="H1158" s="6" t="s">
        <v>3900</v>
      </c>
      <c r="I1158" s="5" t="s">
        <v>295</v>
      </c>
      <c r="J1158" s="8">
        <f>4605</f>
        <v>4605</v>
      </c>
      <c r="K1158" s="5" t="s">
        <v>308</v>
      </c>
      <c r="L1158" s="7">
        <f>1</f>
        <v>1</v>
      </c>
      <c r="M1158" s="7">
        <f>1</f>
        <v>1</v>
      </c>
      <c r="N1158" s="5" t="s">
        <v>242</v>
      </c>
      <c r="O1158" s="5">
        <v>1</v>
      </c>
      <c r="P1158" s="5" t="s">
        <v>294</v>
      </c>
      <c r="Q1158" s="5" t="s">
        <v>266</v>
      </c>
      <c r="R1158" s="5" t="s">
        <v>240</v>
      </c>
      <c r="S1158" s="5" t="s">
        <v>240</v>
      </c>
      <c r="T1158" s="5" t="s">
        <v>296</v>
      </c>
      <c r="U1158" s="5" t="s">
        <v>244</v>
      </c>
      <c r="V1158" s="5" t="s">
        <v>240</v>
      </c>
      <c r="Y1158" s="5" t="s">
        <v>240</v>
      </c>
      <c r="Z1158" s="6" t="s">
        <v>298</v>
      </c>
      <c r="AB1158" s="6" t="s">
        <v>240</v>
      </c>
      <c r="AE1158" s="6" t="s">
        <v>299</v>
      </c>
      <c r="AF1158" s="5" t="s">
        <v>248</v>
      </c>
      <c r="AG1158" s="5" t="s">
        <v>249</v>
      </c>
      <c r="AW1158" s="5" t="s">
        <v>251</v>
      </c>
      <c r="AX1158" s="5" t="s">
        <v>240</v>
      </c>
      <c r="AY1158" s="5" t="s">
        <v>253</v>
      </c>
      <c r="AZ1158" s="5" t="s">
        <v>240</v>
      </c>
      <c r="BA1158" s="5" t="s">
        <v>255</v>
      </c>
      <c r="BB1158" s="5" t="s">
        <v>240</v>
      </c>
      <c r="BD1158" s="5" t="s">
        <v>240</v>
      </c>
      <c r="BF1158" s="5" t="s">
        <v>301</v>
      </c>
      <c r="BG1158" s="6" t="s">
        <v>299</v>
      </c>
      <c r="BH1158" s="5" t="s">
        <v>302</v>
      </c>
      <c r="BI1158" s="5" t="s">
        <v>303</v>
      </c>
      <c r="BJ1158" s="5" t="s">
        <v>240</v>
      </c>
      <c r="BK1158" s="8">
        <f>0</f>
        <v>0</v>
      </c>
      <c r="BL1158" s="7">
        <f>0</f>
        <v>0</v>
      </c>
      <c r="BM1158" s="5" t="s">
        <v>258</v>
      </c>
      <c r="BN1158" s="5" t="s">
        <v>259</v>
      </c>
      <c r="CB1158" s="5" t="s">
        <v>240</v>
      </c>
      <c r="CC1158" s="5" t="s">
        <v>240</v>
      </c>
      <c r="CG1158" s="5" t="s">
        <v>304</v>
      </c>
      <c r="CH1158" s="5" t="s">
        <v>305</v>
      </c>
      <c r="CI1158" s="5" t="s">
        <v>240</v>
      </c>
      <c r="CL1158" s="6" t="s">
        <v>261</v>
      </c>
      <c r="CM1158" s="5" t="s">
        <v>240</v>
      </c>
      <c r="CN1158" s="5" t="s">
        <v>263</v>
      </c>
      <c r="CO1158" s="5" t="s">
        <v>240</v>
      </c>
      <c r="CP1158" s="5" t="s">
        <v>240</v>
      </c>
      <c r="CQ1158" s="5">
        <v>0</v>
      </c>
      <c r="CR1158" s="5" t="s">
        <v>306</v>
      </c>
      <c r="CS1158" s="5" t="s">
        <v>307</v>
      </c>
      <c r="CT1158" s="5" t="s">
        <v>307</v>
      </c>
      <c r="CU1158" s="5" t="s">
        <v>260</v>
      </c>
      <c r="CX1158" s="7">
        <f>1</f>
        <v>1</v>
      </c>
      <c r="CY1158" s="7">
        <f>0</f>
        <v>0</v>
      </c>
      <c r="DA1158" s="7">
        <f>0</f>
        <v>0</v>
      </c>
      <c r="DC1158" s="5" t="s">
        <v>812</v>
      </c>
      <c r="DD1158" s="5" t="s">
        <v>240</v>
      </c>
      <c r="DF1158" s="5" t="s">
        <v>812</v>
      </c>
      <c r="DG1158" s="7">
        <f>555</f>
        <v>555</v>
      </c>
      <c r="DI1158" s="5" t="s">
        <v>240</v>
      </c>
      <c r="DJ1158" s="5" t="s">
        <v>240</v>
      </c>
      <c r="DK1158" s="5" t="s">
        <v>240</v>
      </c>
      <c r="DL1158" s="5" t="s">
        <v>240</v>
      </c>
      <c r="DP1158" s="5" t="s">
        <v>240</v>
      </c>
      <c r="DQ1158" s="5" t="s">
        <v>240</v>
      </c>
      <c r="DR1158" s="5" t="s">
        <v>240</v>
      </c>
      <c r="DS1158" s="5" t="s">
        <v>240</v>
      </c>
      <c r="DV1158" s="5" t="s">
        <v>813</v>
      </c>
      <c r="DW1158" s="5" t="s">
        <v>2446</v>
      </c>
      <c r="HO1158" s="5" t="s">
        <v>312</v>
      </c>
    </row>
    <row r="1159" spans="1:223" x14ac:dyDescent="0.4">
      <c r="A1159" s="5">
        <v>2834</v>
      </c>
      <c r="B1159" s="5">
        <v>1</v>
      </c>
      <c r="C1159" s="5">
        <v>1</v>
      </c>
      <c r="D1159" s="5" t="s">
        <v>297</v>
      </c>
      <c r="E1159" s="5" t="s">
        <v>245</v>
      </c>
      <c r="F1159" s="5" t="s">
        <v>254</v>
      </c>
      <c r="G1159" s="5" t="s">
        <v>240</v>
      </c>
      <c r="H1159" s="6" t="s">
        <v>3901</v>
      </c>
      <c r="I1159" s="5" t="s">
        <v>295</v>
      </c>
      <c r="J1159" s="8">
        <f>2769</f>
        <v>2769</v>
      </c>
      <c r="K1159" s="5" t="s">
        <v>308</v>
      </c>
      <c r="L1159" s="7">
        <f>1</f>
        <v>1</v>
      </c>
      <c r="M1159" s="7">
        <f>1</f>
        <v>1</v>
      </c>
      <c r="N1159" s="5" t="s">
        <v>242</v>
      </c>
      <c r="O1159" s="5">
        <v>1</v>
      </c>
      <c r="P1159" s="5" t="s">
        <v>294</v>
      </c>
      <c r="Q1159" s="5" t="s">
        <v>266</v>
      </c>
      <c r="R1159" s="5" t="s">
        <v>240</v>
      </c>
      <c r="S1159" s="5" t="s">
        <v>240</v>
      </c>
      <c r="T1159" s="5" t="s">
        <v>296</v>
      </c>
      <c r="U1159" s="5" t="s">
        <v>244</v>
      </c>
      <c r="V1159" s="5" t="s">
        <v>240</v>
      </c>
      <c r="Y1159" s="5" t="s">
        <v>240</v>
      </c>
      <c r="Z1159" s="6" t="s">
        <v>298</v>
      </c>
      <c r="AB1159" s="6" t="s">
        <v>240</v>
      </c>
      <c r="AE1159" s="6" t="s">
        <v>299</v>
      </c>
      <c r="AF1159" s="5" t="s">
        <v>248</v>
      </c>
      <c r="AG1159" s="5" t="s">
        <v>249</v>
      </c>
      <c r="AW1159" s="5" t="s">
        <v>251</v>
      </c>
      <c r="AX1159" s="5" t="s">
        <v>240</v>
      </c>
      <c r="AY1159" s="5" t="s">
        <v>253</v>
      </c>
      <c r="AZ1159" s="5" t="s">
        <v>240</v>
      </c>
      <c r="BA1159" s="5" t="s">
        <v>255</v>
      </c>
      <c r="BB1159" s="5" t="s">
        <v>240</v>
      </c>
      <c r="BD1159" s="5" t="s">
        <v>240</v>
      </c>
      <c r="BF1159" s="5" t="s">
        <v>301</v>
      </c>
      <c r="BG1159" s="6" t="s">
        <v>299</v>
      </c>
      <c r="BH1159" s="5" t="s">
        <v>302</v>
      </c>
      <c r="BI1159" s="5" t="s">
        <v>303</v>
      </c>
      <c r="BJ1159" s="5" t="s">
        <v>240</v>
      </c>
      <c r="BK1159" s="8">
        <f>0</f>
        <v>0</v>
      </c>
      <c r="BL1159" s="7">
        <f>0</f>
        <v>0</v>
      </c>
      <c r="BM1159" s="5" t="s">
        <v>258</v>
      </c>
      <c r="BN1159" s="5" t="s">
        <v>259</v>
      </c>
      <c r="CB1159" s="5" t="s">
        <v>240</v>
      </c>
      <c r="CC1159" s="5" t="s">
        <v>240</v>
      </c>
      <c r="CG1159" s="5" t="s">
        <v>304</v>
      </c>
      <c r="CH1159" s="5" t="s">
        <v>305</v>
      </c>
      <c r="CI1159" s="5" t="s">
        <v>240</v>
      </c>
      <c r="CL1159" s="6" t="s">
        <v>261</v>
      </c>
      <c r="CM1159" s="5" t="s">
        <v>240</v>
      </c>
      <c r="CN1159" s="5" t="s">
        <v>263</v>
      </c>
      <c r="CO1159" s="5" t="s">
        <v>240</v>
      </c>
      <c r="CP1159" s="5" t="s">
        <v>240</v>
      </c>
      <c r="CQ1159" s="5">
        <v>0</v>
      </c>
      <c r="CR1159" s="5" t="s">
        <v>306</v>
      </c>
      <c r="CS1159" s="5" t="s">
        <v>307</v>
      </c>
      <c r="CT1159" s="5" t="s">
        <v>307</v>
      </c>
      <c r="CU1159" s="5" t="s">
        <v>260</v>
      </c>
      <c r="CX1159" s="7">
        <f>1</f>
        <v>1</v>
      </c>
      <c r="CY1159" s="7">
        <f>0</f>
        <v>0</v>
      </c>
      <c r="DA1159" s="7">
        <f>0</f>
        <v>0</v>
      </c>
      <c r="DC1159" s="5" t="s">
        <v>812</v>
      </c>
      <c r="DD1159" s="5" t="s">
        <v>240</v>
      </c>
      <c r="DF1159" s="5" t="s">
        <v>812</v>
      </c>
      <c r="DG1159" s="7">
        <f>291</f>
        <v>291</v>
      </c>
      <c r="DI1159" s="5" t="s">
        <v>240</v>
      </c>
      <c r="DJ1159" s="5" t="s">
        <v>240</v>
      </c>
      <c r="DK1159" s="5" t="s">
        <v>240</v>
      </c>
      <c r="DL1159" s="5" t="s">
        <v>240</v>
      </c>
      <c r="DP1159" s="5" t="s">
        <v>240</v>
      </c>
      <c r="DQ1159" s="5" t="s">
        <v>240</v>
      </c>
      <c r="DR1159" s="5" t="s">
        <v>240</v>
      </c>
      <c r="DS1159" s="5" t="s">
        <v>240</v>
      </c>
      <c r="DV1159" s="5" t="s">
        <v>813</v>
      </c>
      <c r="DW1159" s="5" t="s">
        <v>2448</v>
      </c>
      <c r="HO1159" s="5" t="s">
        <v>312</v>
      </c>
    </row>
    <row r="1160" spans="1:223" x14ac:dyDescent="0.4">
      <c r="A1160" s="5">
        <v>2835</v>
      </c>
      <c r="B1160" s="5">
        <v>1</v>
      </c>
      <c r="C1160" s="5">
        <v>1</v>
      </c>
      <c r="D1160" s="5" t="s">
        <v>297</v>
      </c>
      <c r="E1160" s="5" t="s">
        <v>245</v>
      </c>
      <c r="F1160" s="5" t="s">
        <v>254</v>
      </c>
      <c r="G1160" s="5" t="s">
        <v>240</v>
      </c>
      <c r="H1160" s="6" t="s">
        <v>3909</v>
      </c>
      <c r="I1160" s="5" t="s">
        <v>295</v>
      </c>
      <c r="J1160" s="8">
        <f>1804</f>
        <v>1804</v>
      </c>
      <c r="K1160" s="5" t="s">
        <v>308</v>
      </c>
      <c r="L1160" s="7">
        <f>1</f>
        <v>1</v>
      </c>
      <c r="M1160" s="7">
        <f>1</f>
        <v>1</v>
      </c>
      <c r="N1160" s="5" t="s">
        <v>242</v>
      </c>
      <c r="O1160" s="5">
        <v>1</v>
      </c>
      <c r="P1160" s="5" t="s">
        <v>294</v>
      </c>
      <c r="Q1160" s="5" t="s">
        <v>266</v>
      </c>
      <c r="R1160" s="5" t="s">
        <v>240</v>
      </c>
      <c r="S1160" s="5" t="s">
        <v>240</v>
      </c>
      <c r="T1160" s="5" t="s">
        <v>296</v>
      </c>
      <c r="U1160" s="5" t="s">
        <v>244</v>
      </c>
      <c r="V1160" s="5" t="s">
        <v>240</v>
      </c>
      <c r="Y1160" s="5" t="s">
        <v>240</v>
      </c>
      <c r="Z1160" s="6" t="s">
        <v>298</v>
      </c>
      <c r="AB1160" s="6" t="s">
        <v>240</v>
      </c>
      <c r="AE1160" s="6" t="s">
        <v>299</v>
      </c>
      <c r="AF1160" s="5" t="s">
        <v>248</v>
      </c>
      <c r="AG1160" s="5" t="s">
        <v>249</v>
      </c>
      <c r="AW1160" s="5" t="s">
        <v>251</v>
      </c>
      <c r="AX1160" s="5" t="s">
        <v>240</v>
      </c>
      <c r="AY1160" s="5" t="s">
        <v>253</v>
      </c>
      <c r="AZ1160" s="5" t="s">
        <v>240</v>
      </c>
      <c r="BA1160" s="5" t="s">
        <v>255</v>
      </c>
      <c r="BB1160" s="5" t="s">
        <v>240</v>
      </c>
      <c r="BD1160" s="5" t="s">
        <v>240</v>
      </c>
      <c r="BF1160" s="5" t="s">
        <v>301</v>
      </c>
      <c r="BG1160" s="6" t="s">
        <v>299</v>
      </c>
      <c r="BH1160" s="5" t="s">
        <v>302</v>
      </c>
      <c r="BI1160" s="5" t="s">
        <v>303</v>
      </c>
      <c r="BJ1160" s="5" t="s">
        <v>240</v>
      </c>
      <c r="BK1160" s="8">
        <f>0</f>
        <v>0</v>
      </c>
      <c r="BL1160" s="7">
        <f>0</f>
        <v>0</v>
      </c>
      <c r="BM1160" s="5" t="s">
        <v>258</v>
      </c>
      <c r="BN1160" s="5" t="s">
        <v>259</v>
      </c>
      <c r="CB1160" s="5" t="s">
        <v>240</v>
      </c>
      <c r="CC1160" s="5" t="s">
        <v>240</v>
      </c>
      <c r="CG1160" s="5" t="s">
        <v>304</v>
      </c>
      <c r="CH1160" s="5" t="s">
        <v>305</v>
      </c>
      <c r="CI1160" s="5" t="s">
        <v>240</v>
      </c>
      <c r="CL1160" s="6" t="s">
        <v>261</v>
      </c>
      <c r="CM1160" s="5" t="s">
        <v>240</v>
      </c>
      <c r="CN1160" s="5" t="s">
        <v>263</v>
      </c>
      <c r="CO1160" s="5" t="s">
        <v>240</v>
      </c>
      <c r="CP1160" s="5" t="s">
        <v>240</v>
      </c>
      <c r="CQ1160" s="5">
        <v>0</v>
      </c>
      <c r="CR1160" s="5" t="s">
        <v>306</v>
      </c>
      <c r="CS1160" s="5" t="s">
        <v>307</v>
      </c>
      <c r="CT1160" s="5" t="s">
        <v>307</v>
      </c>
      <c r="CU1160" s="5" t="s">
        <v>260</v>
      </c>
      <c r="CX1160" s="7">
        <f>1</f>
        <v>1</v>
      </c>
      <c r="CY1160" s="7">
        <f>0</f>
        <v>0</v>
      </c>
      <c r="DA1160" s="7">
        <f>0</f>
        <v>0</v>
      </c>
      <c r="DC1160" s="5" t="s">
        <v>812</v>
      </c>
      <c r="DD1160" s="5" t="s">
        <v>240</v>
      </c>
      <c r="DF1160" s="5" t="s">
        <v>812</v>
      </c>
      <c r="DG1160" s="7">
        <f>625</f>
        <v>625</v>
      </c>
      <c r="DI1160" s="5" t="s">
        <v>240</v>
      </c>
      <c r="DJ1160" s="5" t="s">
        <v>240</v>
      </c>
      <c r="DK1160" s="5" t="s">
        <v>240</v>
      </c>
      <c r="DL1160" s="5" t="s">
        <v>240</v>
      </c>
      <c r="DP1160" s="5" t="s">
        <v>240</v>
      </c>
      <c r="DQ1160" s="5" t="s">
        <v>240</v>
      </c>
      <c r="DR1160" s="5" t="s">
        <v>240</v>
      </c>
      <c r="DS1160" s="5" t="s">
        <v>240</v>
      </c>
      <c r="DV1160" s="5" t="s">
        <v>813</v>
      </c>
      <c r="DW1160" s="5" t="s">
        <v>2450</v>
      </c>
      <c r="HO1160" s="5" t="s">
        <v>312</v>
      </c>
    </row>
    <row r="1161" spans="1:223" x14ac:dyDescent="0.4">
      <c r="A1161" s="5">
        <v>2836</v>
      </c>
      <c r="B1161" s="5">
        <v>1</v>
      </c>
      <c r="C1161" s="5">
        <v>1</v>
      </c>
      <c r="D1161" s="5" t="s">
        <v>297</v>
      </c>
      <c r="E1161" s="5" t="s">
        <v>245</v>
      </c>
      <c r="F1161" s="5" t="s">
        <v>254</v>
      </c>
      <c r="G1161" s="5" t="s">
        <v>240</v>
      </c>
      <c r="H1161" s="6" t="s">
        <v>3910</v>
      </c>
      <c r="I1161" s="5" t="s">
        <v>295</v>
      </c>
      <c r="J1161" s="8">
        <f>2168</f>
        <v>2168</v>
      </c>
      <c r="K1161" s="5" t="s">
        <v>308</v>
      </c>
      <c r="L1161" s="7">
        <f>1</f>
        <v>1</v>
      </c>
      <c r="M1161" s="7">
        <f>1</f>
        <v>1</v>
      </c>
      <c r="N1161" s="5" t="s">
        <v>242</v>
      </c>
      <c r="O1161" s="5">
        <v>1</v>
      </c>
      <c r="P1161" s="5" t="s">
        <v>294</v>
      </c>
      <c r="Q1161" s="5" t="s">
        <v>266</v>
      </c>
      <c r="R1161" s="5" t="s">
        <v>240</v>
      </c>
      <c r="S1161" s="5" t="s">
        <v>240</v>
      </c>
      <c r="T1161" s="5" t="s">
        <v>296</v>
      </c>
      <c r="U1161" s="5" t="s">
        <v>244</v>
      </c>
      <c r="V1161" s="5" t="s">
        <v>240</v>
      </c>
      <c r="Y1161" s="5" t="s">
        <v>240</v>
      </c>
      <c r="Z1161" s="6" t="s">
        <v>298</v>
      </c>
      <c r="AB1161" s="6" t="s">
        <v>240</v>
      </c>
      <c r="AE1161" s="6" t="s">
        <v>299</v>
      </c>
      <c r="AF1161" s="5" t="s">
        <v>248</v>
      </c>
      <c r="AG1161" s="5" t="s">
        <v>249</v>
      </c>
      <c r="AW1161" s="5" t="s">
        <v>251</v>
      </c>
      <c r="AX1161" s="5" t="s">
        <v>240</v>
      </c>
      <c r="AY1161" s="5" t="s">
        <v>253</v>
      </c>
      <c r="AZ1161" s="5" t="s">
        <v>240</v>
      </c>
      <c r="BA1161" s="5" t="s">
        <v>255</v>
      </c>
      <c r="BB1161" s="5" t="s">
        <v>240</v>
      </c>
      <c r="BD1161" s="5" t="s">
        <v>240</v>
      </c>
      <c r="BF1161" s="5" t="s">
        <v>301</v>
      </c>
      <c r="BG1161" s="6" t="s">
        <v>299</v>
      </c>
      <c r="BH1161" s="5" t="s">
        <v>302</v>
      </c>
      <c r="BI1161" s="5" t="s">
        <v>303</v>
      </c>
      <c r="BJ1161" s="5" t="s">
        <v>240</v>
      </c>
      <c r="BK1161" s="8">
        <f>0</f>
        <v>0</v>
      </c>
      <c r="BL1161" s="7">
        <f>0</f>
        <v>0</v>
      </c>
      <c r="BM1161" s="5" t="s">
        <v>258</v>
      </c>
      <c r="BN1161" s="5" t="s">
        <v>259</v>
      </c>
      <c r="CB1161" s="5" t="s">
        <v>240</v>
      </c>
      <c r="CC1161" s="5" t="s">
        <v>240</v>
      </c>
      <c r="CG1161" s="5" t="s">
        <v>304</v>
      </c>
      <c r="CH1161" s="5" t="s">
        <v>305</v>
      </c>
      <c r="CI1161" s="5" t="s">
        <v>240</v>
      </c>
      <c r="CL1161" s="6" t="s">
        <v>261</v>
      </c>
      <c r="CM1161" s="5" t="s">
        <v>240</v>
      </c>
      <c r="CN1161" s="5" t="s">
        <v>263</v>
      </c>
      <c r="CO1161" s="5" t="s">
        <v>240</v>
      </c>
      <c r="CP1161" s="5" t="s">
        <v>240</v>
      </c>
      <c r="CQ1161" s="5">
        <v>0</v>
      </c>
      <c r="CR1161" s="5" t="s">
        <v>306</v>
      </c>
      <c r="CS1161" s="5" t="s">
        <v>307</v>
      </c>
      <c r="CT1161" s="5" t="s">
        <v>307</v>
      </c>
      <c r="CU1161" s="5" t="s">
        <v>260</v>
      </c>
      <c r="CX1161" s="7">
        <f>1</f>
        <v>1</v>
      </c>
      <c r="CY1161" s="7">
        <f>0</f>
        <v>0</v>
      </c>
      <c r="DA1161" s="7">
        <f>0</f>
        <v>0</v>
      </c>
      <c r="DC1161" s="5" t="s">
        <v>812</v>
      </c>
      <c r="DD1161" s="5" t="s">
        <v>240</v>
      </c>
      <c r="DF1161" s="5" t="s">
        <v>812</v>
      </c>
      <c r="DG1161" s="7">
        <f>465</f>
        <v>465</v>
      </c>
      <c r="DI1161" s="5" t="s">
        <v>240</v>
      </c>
      <c r="DJ1161" s="5" t="s">
        <v>240</v>
      </c>
      <c r="DK1161" s="5" t="s">
        <v>240</v>
      </c>
      <c r="DL1161" s="5" t="s">
        <v>240</v>
      </c>
      <c r="DP1161" s="5" t="s">
        <v>240</v>
      </c>
      <c r="DQ1161" s="5" t="s">
        <v>240</v>
      </c>
      <c r="DR1161" s="5" t="s">
        <v>240</v>
      </c>
      <c r="DS1161" s="5" t="s">
        <v>240</v>
      </c>
      <c r="DV1161" s="5" t="s">
        <v>813</v>
      </c>
      <c r="DW1161" s="5" t="s">
        <v>2452</v>
      </c>
      <c r="HO1161" s="5" t="s">
        <v>312</v>
      </c>
    </row>
    <row r="1162" spans="1:223" x14ac:dyDescent="0.4">
      <c r="A1162" s="5">
        <v>2837</v>
      </c>
      <c r="B1162" s="5">
        <v>1</v>
      </c>
      <c r="C1162" s="5">
        <v>1</v>
      </c>
      <c r="D1162" s="5" t="s">
        <v>297</v>
      </c>
      <c r="E1162" s="5" t="s">
        <v>245</v>
      </c>
      <c r="F1162" s="5" t="s">
        <v>254</v>
      </c>
      <c r="G1162" s="5" t="s">
        <v>240</v>
      </c>
      <c r="H1162" s="6" t="s">
        <v>3912</v>
      </c>
      <c r="I1162" s="5" t="s">
        <v>295</v>
      </c>
      <c r="J1162" s="8">
        <f>1823</f>
        <v>1823</v>
      </c>
      <c r="K1162" s="5" t="s">
        <v>308</v>
      </c>
      <c r="L1162" s="7">
        <f>1</f>
        <v>1</v>
      </c>
      <c r="M1162" s="7">
        <f>1</f>
        <v>1</v>
      </c>
      <c r="N1162" s="5" t="s">
        <v>242</v>
      </c>
      <c r="O1162" s="5">
        <v>1</v>
      </c>
      <c r="P1162" s="5" t="s">
        <v>294</v>
      </c>
      <c r="Q1162" s="5" t="s">
        <v>266</v>
      </c>
      <c r="R1162" s="5" t="s">
        <v>240</v>
      </c>
      <c r="S1162" s="5" t="s">
        <v>240</v>
      </c>
      <c r="T1162" s="5" t="s">
        <v>296</v>
      </c>
      <c r="U1162" s="5" t="s">
        <v>244</v>
      </c>
      <c r="V1162" s="5" t="s">
        <v>240</v>
      </c>
      <c r="Y1162" s="5" t="s">
        <v>240</v>
      </c>
      <c r="Z1162" s="6" t="s">
        <v>298</v>
      </c>
      <c r="AB1162" s="6" t="s">
        <v>240</v>
      </c>
      <c r="AE1162" s="6" t="s">
        <v>299</v>
      </c>
      <c r="AF1162" s="5" t="s">
        <v>248</v>
      </c>
      <c r="AG1162" s="5" t="s">
        <v>249</v>
      </c>
      <c r="AW1162" s="5" t="s">
        <v>251</v>
      </c>
      <c r="AX1162" s="5" t="s">
        <v>240</v>
      </c>
      <c r="AY1162" s="5" t="s">
        <v>253</v>
      </c>
      <c r="AZ1162" s="5" t="s">
        <v>240</v>
      </c>
      <c r="BA1162" s="5" t="s">
        <v>255</v>
      </c>
      <c r="BB1162" s="5" t="s">
        <v>240</v>
      </c>
      <c r="BD1162" s="5" t="s">
        <v>240</v>
      </c>
      <c r="BF1162" s="5" t="s">
        <v>301</v>
      </c>
      <c r="BG1162" s="6" t="s">
        <v>299</v>
      </c>
      <c r="BH1162" s="5" t="s">
        <v>302</v>
      </c>
      <c r="BI1162" s="5" t="s">
        <v>303</v>
      </c>
      <c r="BJ1162" s="5" t="s">
        <v>240</v>
      </c>
      <c r="BK1162" s="8">
        <f>0</f>
        <v>0</v>
      </c>
      <c r="BL1162" s="7">
        <f>0</f>
        <v>0</v>
      </c>
      <c r="BM1162" s="5" t="s">
        <v>258</v>
      </c>
      <c r="BN1162" s="5" t="s">
        <v>259</v>
      </c>
      <c r="CB1162" s="5" t="s">
        <v>240</v>
      </c>
      <c r="CC1162" s="5" t="s">
        <v>240</v>
      </c>
      <c r="CG1162" s="5" t="s">
        <v>304</v>
      </c>
      <c r="CH1162" s="5" t="s">
        <v>305</v>
      </c>
      <c r="CI1162" s="5" t="s">
        <v>240</v>
      </c>
      <c r="CL1162" s="6" t="s">
        <v>261</v>
      </c>
      <c r="CM1162" s="5" t="s">
        <v>240</v>
      </c>
      <c r="CN1162" s="5" t="s">
        <v>263</v>
      </c>
      <c r="CO1162" s="5" t="s">
        <v>240</v>
      </c>
      <c r="CP1162" s="5" t="s">
        <v>240</v>
      </c>
      <c r="CQ1162" s="5">
        <v>0</v>
      </c>
      <c r="CR1162" s="5" t="s">
        <v>306</v>
      </c>
      <c r="CS1162" s="5" t="s">
        <v>307</v>
      </c>
      <c r="CT1162" s="5" t="s">
        <v>307</v>
      </c>
      <c r="CU1162" s="5" t="s">
        <v>260</v>
      </c>
      <c r="CX1162" s="7">
        <f>1</f>
        <v>1</v>
      </c>
      <c r="CY1162" s="7">
        <f>0</f>
        <v>0</v>
      </c>
      <c r="DA1162" s="7">
        <f>0</f>
        <v>0</v>
      </c>
      <c r="DC1162" s="5" t="s">
        <v>812</v>
      </c>
      <c r="DD1162" s="5" t="s">
        <v>240</v>
      </c>
      <c r="DF1162" s="5" t="s">
        <v>812</v>
      </c>
      <c r="DG1162" s="7">
        <f>402</f>
        <v>402</v>
      </c>
      <c r="DI1162" s="5" t="s">
        <v>240</v>
      </c>
      <c r="DJ1162" s="5" t="s">
        <v>240</v>
      </c>
      <c r="DK1162" s="5" t="s">
        <v>240</v>
      </c>
      <c r="DL1162" s="5" t="s">
        <v>240</v>
      </c>
      <c r="DP1162" s="5" t="s">
        <v>240</v>
      </c>
      <c r="DQ1162" s="5" t="s">
        <v>240</v>
      </c>
      <c r="DR1162" s="5" t="s">
        <v>240</v>
      </c>
      <c r="DS1162" s="5" t="s">
        <v>240</v>
      </c>
      <c r="DV1162" s="5" t="s">
        <v>813</v>
      </c>
      <c r="DW1162" s="5" t="s">
        <v>2454</v>
      </c>
      <c r="HO1162" s="5" t="s">
        <v>312</v>
      </c>
    </row>
    <row r="1163" spans="1:223" x14ac:dyDescent="0.4">
      <c r="A1163" s="5">
        <v>2838</v>
      </c>
      <c r="B1163" s="5">
        <v>1</v>
      </c>
      <c r="C1163" s="5">
        <v>1</v>
      </c>
      <c r="D1163" s="5" t="s">
        <v>297</v>
      </c>
      <c r="E1163" s="5" t="s">
        <v>245</v>
      </c>
      <c r="F1163" s="5" t="s">
        <v>254</v>
      </c>
      <c r="G1163" s="5" t="s">
        <v>240</v>
      </c>
      <c r="H1163" s="6" t="s">
        <v>3913</v>
      </c>
      <c r="I1163" s="5" t="s">
        <v>295</v>
      </c>
      <c r="J1163" s="8">
        <f>662</f>
        <v>662</v>
      </c>
      <c r="K1163" s="5" t="s">
        <v>308</v>
      </c>
      <c r="L1163" s="7">
        <f>1</f>
        <v>1</v>
      </c>
      <c r="M1163" s="7">
        <f>1</f>
        <v>1</v>
      </c>
      <c r="N1163" s="5" t="s">
        <v>242</v>
      </c>
      <c r="O1163" s="5">
        <v>1</v>
      </c>
      <c r="P1163" s="5" t="s">
        <v>294</v>
      </c>
      <c r="Q1163" s="5" t="s">
        <v>266</v>
      </c>
      <c r="R1163" s="5" t="s">
        <v>240</v>
      </c>
      <c r="S1163" s="5" t="s">
        <v>240</v>
      </c>
      <c r="T1163" s="5" t="s">
        <v>296</v>
      </c>
      <c r="U1163" s="5" t="s">
        <v>244</v>
      </c>
      <c r="V1163" s="5" t="s">
        <v>240</v>
      </c>
      <c r="Y1163" s="5" t="s">
        <v>240</v>
      </c>
      <c r="Z1163" s="6" t="s">
        <v>298</v>
      </c>
      <c r="AB1163" s="6" t="s">
        <v>240</v>
      </c>
      <c r="AE1163" s="6" t="s">
        <v>299</v>
      </c>
      <c r="AF1163" s="5" t="s">
        <v>248</v>
      </c>
      <c r="AG1163" s="5" t="s">
        <v>249</v>
      </c>
      <c r="AW1163" s="5" t="s">
        <v>251</v>
      </c>
      <c r="AX1163" s="5" t="s">
        <v>240</v>
      </c>
      <c r="AY1163" s="5" t="s">
        <v>253</v>
      </c>
      <c r="AZ1163" s="5" t="s">
        <v>240</v>
      </c>
      <c r="BA1163" s="5" t="s">
        <v>255</v>
      </c>
      <c r="BB1163" s="5" t="s">
        <v>240</v>
      </c>
      <c r="BD1163" s="5" t="s">
        <v>240</v>
      </c>
      <c r="BF1163" s="5" t="s">
        <v>301</v>
      </c>
      <c r="BG1163" s="6" t="s">
        <v>299</v>
      </c>
      <c r="BH1163" s="5" t="s">
        <v>302</v>
      </c>
      <c r="BI1163" s="5" t="s">
        <v>303</v>
      </c>
      <c r="BJ1163" s="5" t="s">
        <v>240</v>
      </c>
      <c r="BK1163" s="8">
        <f>0</f>
        <v>0</v>
      </c>
      <c r="BL1163" s="7">
        <f>0</f>
        <v>0</v>
      </c>
      <c r="BM1163" s="5" t="s">
        <v>258</v>
      </c>
      <c r="BN1163" s="5" t="s">
        <v>259</v>
      </c>
      <c r="CB1163" s="5" t="s">
        <v>240</v>
      </c>
      <c r="CC1163" s="5" t="s">
        <v>240</v>
      </c>
      <c r="CG1163" s="5" t="s">
        <v>304</v>
      </c>
      <c r="CH1163" s="5" t="s">
        <v>305</v>
      </c>
      <c r="CI1163" s="5" t="s">
        <v>240</v>
      </c>
      <c r="CL1163" s="6" t="s">
        <v>261</v>
      </c>
      <c r="CM1163" s="5" t="s">
        <v>240</v>
      </c>
      <c r="CN1163" s="5" t="s">
        <v>263</v>
      </c>
      <c r="CO1163" s="5" t="s">
        <v>240</v>
      </c>
      <c r="CP1163" s="5" t="s">
        <v>240</v>
      </c>
      <c r="CQ1163" s="5">
        <v>0</v>
      </c>
      <c r="CR1163" s="5" t="s">
        <v>306</v>
      </c>
      <c r="CS1163" s="5" t="s">
        <v>307</v>
      </c>
      <c r="CT1163" s="5" t="s">
        <v>307</v>
      </c>
      <c r="CU1163" s="5" t="s">
        <v>260</v>
      </c>
      <c r="CX1163" s="7">
        <f>1</f>
        <v>1</v>
      </c>
      <c r="CY1163" s="7">
        <f>0</f>
        <v>0</v>
      </c>
      <c r="DA1163" s="7">
        <f>0</f>
        <v>0</v>
      </c>
      <c r="DC1163" s="5" t="s">
        <v>812</v>
      </c>
      <c r="DD1163" s="5" t="s">
        <v>240</v>
      </c>
      <c r="DF1163" s="5" t="s">
        <v>812</v>
      </c>
      <c r="DG1163" s="7">
        <f>385</f>
        <v>385</v>
      </c>
      <c r="DI1163" s="5" t="s">
        <v>240</v>
      </c>
      <c r="DJ1163" s="5" t="s">
        <v>240</v>
      </c>
      <c r="DK1163" s="5" t="s">
        <v>240</v>
      </c>
      <c r="DL1163" s="5" t="s">
        <v>240</v>
      </c>
      <c r="DP1163" s="5" t="s">
        <v>240</v>
      </c>
      <c r="DQ1163" s="5" t="s">
        <v>240</v>
      </c>
      <c r="DR1163" s="5" t="s">
        <v>240</v>
      </c>
      <c r="DS1163" s="5" t="s">
        <v>240</v>
      </c>
      <c r="DV1163" s="5" t="s">
        <v>813</v>
      </c>
      <c r="DW1163" s="5" t="s">
        <v>2456</v>
      </c>
      <c r="HO1163" s="5" t="s">
        <v>312</v>
      </c>
    </row>
    <row r="1164" spans="1:223" x14ac:dyDescent="0.4">
      <c r="A1164" s="5">
        <v>2839</v>
      </c>
      <c r="B1164" s="5">
        <v>1</v>
      </c>
      <c r="C1164" s="5">
        <v>1</v>
      </c>
      <c r="D1164" s="5" t="s">
        <v>297</v>
      </c>
      <c r="E1164" s="5" t="s">
        <v>245</v>
      </c>
      <c r="F1164" s="5" t="s">
        <v>254</v>
      </c>
      <c r="G1164" s="5" t="s">
        <v>240</v>
      </c>
      <c r="H1164" s="6" t="s">
        <v>3917</v>
      </c>
      <c r="I1164" s="5" t="s">
        <v>295</v>
      </c>
      <c r="J1164" s="8">
        <f>1664</f>
        <v>1664</v>
      </c>
      <c r="K1164" s="5" t="s">
        <v>308</v>
      </c>
      <c r="L1164" s="7">
        <f>1</f>
        <v>1</v>
      </c>
      <c r="M1164" s="7">
        <f>1</f>
        <v>1</v>
      </c>
      <c r="N1164" s="5" t="s">
        <v>242</v>
      </c>
      <c r="O1164" s="5">
        <v>1</v>
      </c>
      <c r="P1164" s="5" t="s">
        <v>294</v>
      </c>
      <c r="Q1164" s="5" t="s">
        <v>266</v>
      </c>
      <c r="R1164" s="5" t="s">
        <v>240</v>
      </c>
      <c r="S1164" s="5" t="s">
        <v>240</v>
      </c>
      <c r="T1164" s="5" t="s">
        <v>296</v>
      </c>
      <c r="U1164" s="5" t="s">
        <v>244</v>
      </c>
      <c r="V1164" s="5" t="s">
        <v>240</v>
      </c>
      <c r="Y1164" s="5" t="s">
        <v>240</v>
      </c>
      <c r="Z1164" s="6" t="s">
        <v>298</v>
      </c>
      <c r="AB1164" s="6" t="s">
        <v>240</v>
      </c>
      <c r="AE1164" s="6" t="s">
        <v>299</v>
      </c>
      <c r="AF1164" s="5" t="s">
        <v>248</v>
      </c>
      <c r="AG1164" s="5" t="s">
        <v>249</v>
      </c>
      <c r="AW1164" s="5" t="s">
        <v>251</v>
      </c>
      <c r="AX1164" s="5" t="s">
        <v>240</v>
      </c>
      <c r="AY1164" s="5" t="s">
        <v>253</v>
      </c>
      <c r="AZ1164" s="5" t="s">
        <v>240</v>
      </c>
      <c r="BA1164" s="5" t="s">
        <v>255</v>
      </c>
      <c r="BB1164" s="5" t="s">
        <v>240</v>
      </c>
      <c r="BD1164" s="5" t="s">
        <v>240</v>
      </c>
      <c r="BF1164" s="5" t="s">
        <v>301</v>
      </c>
      <c r="BG1164" s="6" t="s">
        <v>299</v>
      </c>
      <c r="BH1164" s="5" t="s">
        <v>302</v>
      </c>
      <c r="BI1164" s="5" t="s">
        <v>303</v>
      </c>
      <c r="BJ1164" s="5" t="s">
        <v>240</v>
      </c>
      <c r="BK1164" s="8">
        <f>0</f>
        <v>0</v>
      </c>
      <c r="BL1164" s="7">
        <f>0</f>
        <v>0</v>
      </c>
      <c r="BM1164" s="5" t="s">
        <v>258</v>
      </c>
      <c r="BN1164" s="5" t="s">
        <v>259</v>
      </c>
      <c r="CB1164" s="5" t="s">
        <v>240</v>
      </c>
      <c r="CC1164" s="5" t="s">
        <v>240</v>
      </c>
      <c r="CG1164" s="5" t="s">
        <v>304</v>
      </c>
      <c r="CH1164" s="5" t="s">
        <v>305</v>
      </c>
      <c r="CI1164" s="5" t="s">
        <v>240</v>
      </c>
      <c r="CL1164" s="6" t="s">
        <v>261</v>
      </c>
      <c r="CM1164" s="5" t="s">
        <v>240</v>
      </c>
      <c r="CN1164" s="5" t="s">
        <v>263</v>
      </c>
      <c r="CO1164" s="5" t="s">
        <v>240</v>
      </c>
      <c r="CP1164" s="5" t="s">
        <v>240</v>
      </c>
      <c r="CQ1164" s="5">
        <v>0</v>
      </c>
      <c r="CR1164" s="5" t="s">
        <v>306</v>
      </c>
      <c r="CS1164" s="5" t="s">
        <v>307</v>
      </c>
      <c r="CT1164" s="5" t="s">
        <v>307</v>
      </c>
      <c r="CU1164" s="5" t="s">
        <v>260</v>
      </c>
      <c r="CX1164" s="7">
        <f>1</f>
        <v>1</v>
      </c>
      <c r="CY1164" s="7">
        <f>0</f>
        <v>0</v>
      </c>
      <c r="DA1164" s="7">
        <f>0</f>
        <v>0</v>
      </c>
      <c r="DC1164" s="5" t="s">
        <v>812</v>
      </c>
      <c r="DD1164" s="5" t="s">
        <v>240</v>
      </c>
      <c r="DF1164" s="5" t="s">
        <v>812</v>
      </c>
      <c r="DG1164" s="7">
        <f>176</f>
        <v>176</v>
      </c>
      <c r="DI1164" s="5" t="s">
        <v>240</v>
      </c>
      <c r="DJ1164" s="5" t="s">
        <v>240</v>
      </c>
      <c r="DK1164" s="5" t="s">
        <v>240</v>
      </c>
      <c r="DL1164" s="5" t="s">
        <v>240</v>
      </c>
      <c r="DP1164" s="5" t="s">
        <v>240</v>
      </c>
      <c r="DQ1164" s="5" t="s">
        <v>240</v>
      </c>
      <c r="DR1164" s="5" t="s">
        <v>240</v>
      </c>
      <c r="DS1164" s="5" t="s">
        <v>240</v>
      </c>
      <c r="DV1164" s="5" t="s">
        <v>813</v>
      </c>
      <c r="DW1164" s="5" t="s">
        <v>2458</v>
      </c>
      <c r="HO1164" s="5" t="s">
        <v>312</v>
      </c>
    </row>
    <row r="1165" spans="1:223" x14ac:dyDescent="0.4">
      <c r="A1165" s="5">
        <v>2840</v>
      </c>
      <c r="B1165" s="5">
        <v>1</v>
      </c>
      <c r="C1165" s="5">
        <v>1</v>
      </c>
      <c r="D1165" s="5" t="s">
        <v>297</v>
      </c>
      <c r="E1165" s="5" t="s">
        <v>245</v>
      </c>
      <c r="F1165" s="5" t="s">
        <v>254</v>
      </c>
      <c r="G1165" s="5" t="s">
        <v>240</v>
      </c>
      <c r="H1165" s="6" t="s">
        <v>3918</v>
      </c>
      <c r="I1165" s="5" t="s">
        <v>295</v>
      </c>
      <c r="J1165" s="8">
        <f>44</f>
        <v>44</v>
      </c>
      <c r="K1165" s="5" t="s">
        <v>308</v>
      </c>
      <c r="L1165" s="7">
        <f>1</f>
        <v>1</v>
      </c>
      <c r="M1165" s="7">
        <f>1</f>
        <v>1</v>
      </c>
      <c r="N1165" s="5" t="s">
        <v>242</v>
      </c>
      <c r="O1165" s="5">
        <v>1</v>
      </c>
      <c r="P1165" s="5" t="s">
        <v>294</v>
      </c>
      <c r="Q1165" s="5" t="s">
        <v>266</v>
      </c>
      <c r="R1165" s="5" t="s">
        <v>240</v>
      </c>
      <c r="S1165" s="5" t="s">
        <v>240</v>
      </c>
      <c r="T1165" s="5" t="s">
        <v>296</v>
      </c>
      <c r="U1165" s="5" t="s">
        <v>244</v>
      </c>
      <c r="V1165" s="5" t="s">
        <v>240</v>
      </c>
      <c r="Y1165" s="5" t="s">
        <v>240</v>
      </c>
      <c r="Z1165" s="6" t="s">
        <v>298</v>
      </c>
      <c r="AB1165" s="6" t="s">
        <v>240</v>
      </c>
      <c r="AE1165" s="6" t="s">
        <v>299</v>
      </c>
      <c r="AF1165" s="5" t="s">
        <v>248</v>
      </c>
      <c r="AG1165" s="5" t="s">
        <v>249</v>
      </c>
      <c r="AW1165" s="5" t="s">
        <v>251</v>
      </c>
      <c r="AX1165" s="5" t="s">
        <v>240</v>
      </c>
      <c r="AY1165" s="5" t="s">
        <v>253</v>
      </c>
      <c r="AZ1165" s="5" t="s">
        <v>240</v>
      </c>
      <c r="BA1165" s="5" t="s">
        <v>255</v>
      </c>
      <c r="BB1165" s="5" t="s">
        <v>240</v>
      </c>
      <c r="BD1165" s="5" t="s">
        <v>240</v>
      </c>
      <c r="BF1165" s="5" t="s">
        <v>301</v>
      </c>
      <c r="BG1165" s="6" t="s">
        <v>299</v>
      </c>
      <c r="BH1165" s="5" t="s">
        <v>302</v>
      </c>
      <c r="BI1165" s="5" t="s">
        <v>303</v>
      </c>
      <c r="BJ1165" s="5" t="s">
        <v>240</v>
      </c>
      <c r="BK1165" s="8">
        <f>0</f>
        <v>0</v>
      </c>
      <c r="BL1165" s="7">
        <f>0</f>
        <v>0</v>
      </c>
      <c r="BM1165" s="5" t="s">
        <v>258</v>
      </c>
      <c r="BN1165" s="5" t="s">
        <v>259</v>
      </c>
      <c r="CB1165" s="5" t="s">
        <v>240</v>
      </c>
      <c r="CC1165" s="5" t="s">
        <v>240</v>
      </c>
      <c r="CG1165" s="5" t="s">
        <v>304</v>
      </c>
      <c r="CH1165" s="5" t="s">
        <v>305</v>
      </c>
      <c r="CI1165" s="5" t="s">
        <v>240</v>
      </c>
      <c r="CL1165" s="6" t="s">
        <v>261</v>
      </c>
      <c r="CM1165" s="5" t="s">
        <v>240</v>
      </c>
      <c r="CN1165" s="5" t="s">
        <v>263</v>
      </c>
      <c r="CO1165" s="5" t="s">
        <v>240</v>
      </c>
      <c r="CP1165" s="5" t="s">
        <v>240</v>
      </c>
      <c r="CQ1165" s="5">
        <v>0</v>
      </c>
      <c r="CR1165" s="5" t="s">
        <v>306</v>
      </c>
      <c r="CS1165" s="5" t="s">
        <v>307</v>
      </c>
      <c r="CT1165" s="5" t="s">
        <v>307</v>
      </c>
      <c r="CU1165" s="5" t="s">
        <v>260</v>
      </c>
      <c r="CX1165" s="7">
        <f>1</f>
        <v>1</v>
      </c>
      <c r="CY1165" s="7">
        <f>0</f>
        <v>0</v>
      </c>
      <c r="DA1165" s="7">
        <f>0</f>
        <v>0</v>
      </c>
      <c r="DC1165" s="5" t="s">
        <v>812</v>
      </c>
      <c r="DD1165" s="5" t="s">
        <v>240</v>
      </c>
      <c r="DF1165" s="5" t="s">
        <v>812</v>
      </c>
      <c r="DG1165" s="7">
        <f>119</f>
        <v>119</v>
      </c>
      <c r="DI1165" s="5" t="s">
        <v>240</v>
      </c>
      <c r="DJ1165" s="5" t="s">
        <v>240</v>
      </c>
      <c r="DK1165" s="5" t="s">
        <v>240</v>
      </c>
      <c r="DL1165" s="5" t="s">
        <v>240</v>
      </c>
      <c r="DP1165" s="5" t="s">
        <v>240</v>
      </c>
      <c r="DQ1165" s="5" t="s">
        <v>240</v>
      </c>
      <c r="DR1165" s="5" t="s">
        <v>240</v>
      </c>
      <c r="DS1165" s="5" t="s">
        <v>240</v>
      </c>
      <c r="DV1165" s="5" t="s">
        <v>813</v>
      </c>
      <c r="DW1165" s="5" t="s">
        <v>2460</v>
      </c>
      <c r="HO1165" s="5" t="s">
        <v>312</v>
      </c>
    </row>
    <row r="1166" spans="1:223" x14ac:dyDescent="0.4">
      <c r="A1166" s="5">
        <v>2841</v>
      </c>
      <c r="B1166" s="5">
        <v>1</v>
      </c>
      <c r="C1166" s="5">
        <v>1</v>
      </c>
      <c r="D1166" s="5" t="s">
        <v>297</v>
      </c>
      <c r="E1166" s="5" t="s">
        <v>245</v>
      </c>
      <c r="F1166" s="5" t="s">
        <v>254</v>
      </c>
      <c r="G1166" s="5" t="s">
        <v>240</v>
      </c>
      <c r="H1166" s="6" t="s">
        <v>3921</v>
      </c>
      <c r="I1166" s="5" t="s">
        <v>295</v>
      </c>
      <c r="J1166" s="8">
        <f>7407</f>
        <v>7407</v>
      </c>
      <c r="K1166" s="5" t="s">
        <v>308</v>
      </c>
      <c r="L1166" s="7">
        <f>1</f>
        <v>1</v>
      </c>
      <c r="M1166" s="7">
        <f>1</f>
        <v>1</v>
      </c>
      <c r="N1166" s="5" t="s">
        <v>242</v>
      </c>
      <c r="O1166" s="5">
        <v>1</v>
      </c>
      <c r="P1166" s="5" t="s">
        <v>294</v>
      </c>
      <c r="Q1166" s="5" t="s">
        <v>266</v>
      </c>
      <c r="R1166" s="5" t="s">
        <v>240</v>
      </c>
      <c r="S1166" s="5" t="s">
        <v>240</v>
      </c>
      <c r="T1166" s="5" t="s">
        <v>296</v>
      </c>
      <c r="U1166" s="5" t="s">
        <v>244</v>
      </c>
      <c r="V1166" s="5" t="s">
        <v>240</v>
      </c>
      <c r="Y1166" s="5" t="s">
        <v>240</v>
      </c>
      <c r="Z1166" s="6" t="s">
        <v>298</v>
      </c>
      <c r="AB1166" s="6" t="s">
        <v>240</v>
      </c>
      <c r="AE1166" s="6" t="s">
        <v>299</v>
      </c>
      <c r="AF1166" s="5" t="s">
        <v>248</v>
      </c>
      <c r="AG1166" s="5" t="s">
        <v>249</v>
      </c>
      <c r="AW1166" s="5" t="s">
        <v>251</v>
      </c>
      <c r="AX1166" s="5" t="s">
        <v>240</v>
      </c>
      <c r="AY1166" s="5" t="s">
        <v>253</v>
      </c>
      <c r="AZ1166" s="5" t="s">
        <v>240</v>
      </c>
      <c r="BA1166" s="5" t="s">
        <v>255</v>
      </c>
      <c r="BB1166" s="5" t="s">
        <v>240</v>
      </c>
      <c r="BD1166" s="5" t="s">
        <v>240</v>
      </c>
      <c r="BF1166" s="5" t="s">
        <v>301</v>
      </c>
      <c r="BG1166" s="6" t="s">
        <v>299</v>
      </c>
      <c r="BH1166" s="5" t="s">
        <v>302</v>
      </c>
      <c r="BI1166" s="5" t="s">
        <v>303</v>
      </c>
      <c r="BJ1166" s="5" t="s">
        <v>240</v>
      </c>
      <c r="BK1166" s="8">
        <f>0</f>
        <v>0</v>
      </c>
      <c r="BL1166" s="7">
        <f>0</f>
        <v>0</v>
      </c>
      <c r="BM1166" s="5" t="s">
        <v>258</v>
      </c>
      <c r="BN1166" s="5" t="s">
        <v>259</v>
      </c>
      <c r="CB1166" s="5" t="s">
        <v>240</v>
      </c>
      <c r="CC1166" s="5" t="s">
        <v>240</v>
      </c>
      <c r="CG1166" s="5" t="s">
        <v>304</v>
      </c>
      <c r="CH1166" s="5" t="s">
        <v>305</v>
      </c>
      <c r="CI1166" s="5" t="s">
        <v>240</v>
      </c>
      <c r="CL1166" s="6" t="s">
        <v>261</v>
      </c>
      <c r="CM1166" s="5" t="s">
        <v>240</v>
      </c>
      <c r="CN1166" s="5" t="s">
        <v>263</v>
      </c>
      <c r="CO1166" s="5" t="s">
        <v>240</v>
      </c>
      <c r="CP1166" s="5" t="s">
        <v>240</v>
      </c>
      <c r="CQ1166" s="5">
        <v>0</v>
      </c>
      <c r="CR1166" s="5" t="s">
        <v>306</v>
      </c>
      <c r="CS1166" s="5" t="s">
        <v>307</v>
      </c>
      <c r="CT1166" s="5" t="s">
        <v>307</v>
      </c>
      <c r="CU1166" s="5" t="s">
        <v>260</v>
      </c>
      <c r="CX1166" s="7">
        <f>1</f>
        <v>1</v>
      </c>
      <c r="CY1166" s="7">
        <f>0</f>
        <v>0</v>
      </c>
      <c r="DA1166" s="7">
        <f>0</f>
        <v>0</v>
      </c>
      <c r="DC1166" s="5" t="s">
        <v>812</v>
      </c>
      <c r="DD1166" s="5" t="s">
        <v>240</v>
      </c>
      <c r="DF1166" s="5" t="s">
        <v>812</v>
      </c>
      <c r="DG1166" s="7">
        <f>180</f>
        <v>180</v>
      </c>
      <c r="DI1166" s="5" t="s">
        <v>240</v>
      </c>
      <c r="DJ1166" s="5" t="s">
        <v>240</v>
      </c>
      <c r="DK1166" s="5" t="s">
        <v>240</v>
      </c>
      <c r="DL1166" s="5" t="s">
        <v>240</v>
      </c>
      <c r="DP1166" s="5" t="s">
        <v>240</v>
      </c>
      <c r="DQ1166" s="5" t="s">
        <v>240</v>
      </c>
      <c r="DR1166" s="5" t="s">
        <v>240</v>
      </c>
      <c r="DS1166" s="5" t="s">
        <v>240</v>
      </c>
      <c r="DV1166" s="5" t="s">
        <v>813</v>
      </c>
      <c r="DW1166" s="5" t="s">
        <v>1596</v>
      </c>
      <c r="HO1166" s="5" t="s">
        <v>312</v>
      </c>
    </row>
    <row r="1167" spans="1:223" x14ac:dyDescent="0.4">
      <c r="A1167" s="5">
        <v>2842</v>
      </c>
      <c r="B1167" s="5">
        <v>1</v>
      </c>
      <c r="C1167" s="5">
        <v>1</v>
      </c>
      <c r="D1167" s="5" t="s">
        <v>297</v>
      </c>
      <c r="E1167" s="5" t="s">
        <v>245</v>
      </c>
      <c r="F1167" s="5" t="s">
        <v>254</v>
      </c>
      <c r="G1167" s="5" t="s">
        <v>240</v>
      </c>
      <c r="H1167" s="6" t="s">
        <v>2070</v>
      </c>
      <c r="I1167" s="5" t="s">
        <v>295</v>
      </c>
      <c r="J1167" s="8">
        <f>624</f>
        <v>624</v>
      </c>
      <c r="K1167" s="5" t="s">
        <v>308</v>
      </c>
      <c r="L1167" s="7">
        <f>1</f>
        <v>1</v>
      </c>
      <c r="M1167" s="7">
        <f>1</f>
        <v>1</v>
      </c>
      <c r="N1167" s="5" t="s">
        <v>242</v>
      </c>
      <c r="O1167" s="5">
        <v>1</v>
      </c>
      <c r="P1167" s="5" t="s">
        <v>294</v>
      </c>
      <c r="Q1167" s="5" t="s">
        <v>266</v>
      </c>
      <c r="R1167" s="5" t="s">
        <v>240</v>
      </c>
      <c r="S1167" s="5" t="s">
        <v>240</v>
      </c>
      <c r="T1167" s="5" t="s">
        <v>296</v>
      </c>
      <c r="U1167" s="5" t="s">
        <v>244</v>
      </c>
      <c r="V1167" s="5" t="s">
        <v>240</v>
      </c>
      <c r="Y1167" s="5" t="s">
        <v>240</v>
      </c>
      <c r="Z1167" s="6" t="s">
        <v>298</v>
      </c>
      <c r="AB1167" s="6" t="s">
        <v>240</v>
      </c>
      <c r="AE1167" s="6" t="s">
        <v>299</v>
      </c>
      <c r="AF1167" s="5" t="s">
        <v>248</v>
      </c>
      <c r="AG1167" s="5" t="s">
        <v>249</v>
      </c>
      <c r="AW1167" s="5" t="s">
        <v>251</v>
      </c>
      <c r="AX1167" s="5" t="s">
        <v>240</v>
      </c>
      <c r="AY1167" s="5" t="s">
        <v>253</v>
      </c>
      <c r="AZ1167" s="5" t="s">
        <v>240</v>
      </c>
      <c r="BA1167" s="5" t="s">
        <v>255</v>
      </c>
      <c r="BB1167" s="5" t="s">
        <v>240</v>
      </c>
      <c r="BD1167" s="5" t="s">
        <v>240</v>
      </c>
      <c r="BF1167" s="5" t="s">
        <v>301</v>
      </c>
      <c r="BG1167" s="6" t="s">
        <v>299</v>
      </c>
      <c r="BH1167" s="5" t="s">
        <v>302</v>
      </c>
      <c r="BI1167" s="5" t="s">
        <v>303</v>
      </c>
      <c r="BJ1167" s="5" t="s">
        <v>240</v>
      </c>
      <c r="BK1167" s="8">
        <f>0</f>
        <v>0</v>
      </c>
      <c r="BL1167" s="7">
        <f>0</f>
        <v>0</v>
      </c>
      <c r="BM1167" s="5" t="s">
        <v>258</v>
      </c>
      <c r="BN1167" s="5" t="s">
        <v>259</v>
      </c>
      <c r="CB1167" s="5" t="s">
        <v>240</v>
      </c>
      <c r="CC1167" s="5" t="s">
        <v>240</v>
      </c>
      <c r="CG1167" s="5" t="s">
        <v>304</v>
      </c>
      <c r="CH1167" s="5" t="s">
        <v>305</v>
      </c>
      <c r="CI1167" s="5" t="s">
        <v>240</v>
      </c>
      <c r="CL1167" s="6" t="s">
        <v>261</v>
      </c>
      <c r="CM1167" s="5" t="s">
        <v>240</v>
      </c>
      <c r="CN1167" s="5" t="s">
        <v>263</v>
      </c>
      <c r="CO1167" s="5" t="s">
        <v>240</v>
      </c>
      <c r="CP1167" s="5" t="s">
        <v>240</v>
      </c>
      <c r="CQ1167" s="5">
        <v>0</v>
      </c>
      <c r="CR1167" s="5" t="s">
        <v>306</v>
      </c>
      <c r="CS1167" s="5" t="s">
        <v>307</v>
      </c>
      <c r="CT1167" s="5" t="s">
        <v>307</v>
      </c>
      <c r="CU1167" s="5" t="s">
        <v>260</v>
      </c>
      <c r="CX1167" s="7">
        <f>1</f>
        <v>1</v>
      </c>
      <c r="CY1167" s="7">
        <f>0</f>
        <v>0</v>
      </c>
      <c r="DA1167" s="7">
        <f>0</f>
        <v>0</v>
      </c>
      <c r="DC1167" s="5" t="s">
        <v>812</v>
      </c>
      <c r="DD1167" s="5" t="s">
        <v>240</v>
      </c>
      <c r="DF1167" s="5" t="s">
        <v>812</v>
      </c>
      <c r="DG1167" s="7">
        <f>345</f>
        <v>345</v>
      </c>
      <c r="DI1167" s="5" t="s">
        <v>240</v>
      </c>
      <c r="DJ1167" s="5" t="s">
        <v>240</v>
      </c>
      <c r="DK1167" s="5" t="s">
        <v>240</v>
      </c>
      <c r="DL1167" s="5" t="s">
        <v>240</v>
      </c>
      <c r="DP1167" s="5" t="s">
        <v>240</v>
      </c>
      <c r="DQ1167" s="5" t="s">
        <v>240</v>
      </c>
      <c r="DR1167" s="5" t="s">
        <v>240</v>
      </c>
      <c r="DS1167" s="5" t="s">
        <v>240</v>
      </c>
      <c r="DV1167" s="5" t="s">
        <v>813</v>
      </c>
      <c r="DW1167" s="5" t="s">
        <v>2463</v>
      </c>
      <c r="HO1167" s="5" t="s">
        <v>312</v>
      </c>
    </row>
    <row r="1168" spans="1:223" x14ac:dyDescent="0.4">
      <c r="A1168" s="5">
        <v>2843</v>
      </c>
      <c r="B1168" s="5">
        <v>1</v>
      </c>
      <c r="C1168" s="5">
        <v>1</v>
      </c>
      <c r="D1168" s="5" t="s">
        <v>297</v>
      </c>
      <c r="E1168" s="5" t="s">
        <v>245</v>
      </c>
      <c r="F1168" s="5" t="s">
        <v>254</v>
      </c>
      <c r="G1168" s="5" t="s">
        <v>240</v>
      </c>
      <c r="H1168" s="6" t="s">
        <v>3922</v>
      </c>
      <c r="I1168" s="5" t="s">
        <v>295</v>
      </c>
      <c r="J1168" s="8">
        <f>5587</f>
        <v>5587</v>
      </c>
      <c r="K1168" s="5" t="s">
        <v>308</v>
      </c>
      <c r="L1168" s="7">
        <f>1</f>
        <v>1</v>
      </c>
      <c r="M1168" s="7">
        <f>1</f>
        <v>1</v>
      </c>
      <c r="N1168" s="5" t="s">
        <v>242</v>
      </c>
      <c r="O1168" s="5">
        <v>1</v>
      </c>
      <c r="P1168" s="5" t="s">
        <v>294</v>
      </c>
      <c r="Q1168" s="5" t="s">
        <v>266</v>
      </c>
      <c r="R1168" s="5" t="s">
        <v>240</v>
      </c>
      <c r="S1168" s="5" t="s">
        <v>240</v>
      </c>
      <c r="T1168" s="5" t="s">
        <v>296</v>
      </c>
      <c r="U1168" s="5" t="s">
        <v>244</v>
      </c>
      <c r="V1168" s="5" t="s">
        <v>240</v>
      </c>
      <c r="Y1168" s="5" t="s">
        <v>240</v>
      </c>
      <c r="Z1168" s="6" t="s">
        <v>298</v>
      </c>
      <c r="AB1168" s="6" t="s">
        <v>240</v>
      </c>
      <c r="AE1168" s="6" t="s">
        <v>299</v>
      </c>
      <c r="AF1168" s="5" t="s">
        <v>248</v>
      </c>
      <c r="AG1168" s="5" t="s">
        <v>249</v>
      </c>
      <c r="AW1168" s="5" t="s">
        <v>251</v>
      </c>
      <c r="AX1168" s="5" t="s">
        <v>240</v>
      </c>
      <c r="AY1168" s="5" t="s">
        <v>253</v>
      </c>
      <c r="AZ1168" s="5" t="s">
        <v>240</v>
      </c>
      <c r="BA1168" s="5" t="s">
        <v>255</v>
      </c>
      <c r="BB1168" s="5" t="s">
        <v>240</v>
      </c>
      <c r="BD1168" s="5" t="s">
        <v>240</v>
      </c>
      <c r="BF1168" s="5" t="s">
        <v>301</v>
      </c>
      <c r="BG1168" s="6" t="s">
        <v>299</v>
      </c>
      <c r="BH1168" s="5" t="s">
        <v>302</v>
      </c>
      <c r="BI1168" s="5" t="s">
        <v>303</v>
      </c>
      <c r="BJ1168" s="5" t="s">
        <v>240</v>
      </c>
      <c r="BK1168" s="8">
        <f>0</f>
        <v>0</v>
      </c>
      <c r="BL1168" s="7">
        <f>0</f>
        <v>0</v>
      </c>
      <c r="BM1168" s="5" t="s">
        <v>258</v>
      </c>
      <c r="BN1168" s="5" t="s">
        <v>259</v>
      </c>
      <c r="CB1168" s="5" t="s">
        <v>240</v>
      </c>
      <c r="CC1168" s="5" t="s">
        <v>240</v>
      </c>
      <c r="CG1168" s="5" t="s">
        <v>304</v>
      </c>
      <c r="CH1168" s="5" t="s">
        <v>305</v>
      </c>
      <c r="CI1168" s="5" t="s">
        <v>240</v>
      </c>
      <c r="CL1168" s="6" t="s">
        <v>261</v>
      </c>
      <c r="CM1168" s="5" t="s">
        <v>240</v>
      </c>
      <c r="CN1168" s="5" t="s">
        <v>263</v>
      </c>
      <c r="CO1168" s="5" t="s">
        <v>240</v>
      </c>
      <c r="CP1168" s="5" t="s">
        <v>240</v>
      </c>
      <c r="CQ1168" s="5">
        <v>0</v>
      </c>
      <c r="CR1168" s="5" t="s">
        <v>306</v>
      </c>
      <c r="CS1168" s="5" t="s">
        <v>307</v>
      </c>
      <c r="CT1168" s="5" t="s">
        <v>307</v>
      </c>
      <c r="CU1168" s="5" t="s">
        <v>260</v>
      </c>
      <c r="CX1168" s="7">
        <f>1</f>
        <v>1</v>
      </c>
      <c r="CY1168" s="7">
        <f>0</f>
        <v>0</v>
      </c>
      <c r="DA1168" s="7">
        <f>0</f>
        <v>0</v>
      </c>
      <c r="DC1168" s="5" t="s">
        <v>812</v>
      </c>
      <c r="DD1168" s="5" t="s">
        <v>240</v>
      </c>
      <c r="DF1168" s="5" t="s">
        <v>812</v>
      </c>
      <c r="DG1168" s="7">
        <f>1385</f>
        <v>1385</v>
      </c>
      <c r="DI1168" s="5" t="s">
        <v>240</v>
      </c>
      <c r="DJ1168" s="5" t="s">
        <v>240</v>
      </c>
      <c r="DK1168" s="5" t="s">
        <v>240</v>
      </c>
      <c r="DL1168" s="5" t="s">
        <v>240</v>
      </c>
      <c r="DP1168" s="5" t="s">
        <v>240</v>
      </c>
      <c r="DQ1168" s="5" t="s">
        <v>240</v>
      </c>
      <c r="DR1168" s="5" t="s">
        <v>240</v>
      </c>
      <c r="DS1168" s="5" t="s">
        <v>240</v>
      </c>
      <c r="DV1168" s="5" t="s">
        <v>813</v>
      </c>
      <c r="DW1168" s="5" t="s">
        <v>2465</v>
      </c>
      <c r="HO1168" s="5" t="s">
        <v>312</v>
      </c>
    </row>
    <row r="1169" spans="1:223" x14ac:dyDescent="0.4">
      <c r="A1169" s="5">
        <v>2844</v>
      </c>
      <c r="B1169" s="5">
        <v>1</v>
      </c>
      <c r="C1169" s="5">
        <v>1</v>
      </c>
      <c r="D1169" s="5" t="s">
        <v>297</v>
      </c>
      <c r="E1169" s="5" t="s">
        <v>245</v>
      </c>
      <c r="F1169" s="5" t="s">
        <v>254</v>
      </c>
      <c r="G1169" s="5" t="s">
        <v>240</v>
      </c>
      <c r="H1169" s="6" t="s">
        <v>3935</v>
      </c>
      <c r="I1169" s="5" t="s">
        <v>295</v>
      </c>
      <c r="J1169" s="8">
        <f>1853</f>
        <v>1853</v>
      </c>
      <c r="K1169" s="5" t="s">
        <v>308</v>
      </c>
      <c r="L1169" s="7">
        <f>1</f>
        <v>1</v>
      </c>
      <c r="M1169" s="7">
        <f>1</f>
        <v>1</v>
      </c>
      <c r="N1169" s="5" t="s">
        <v>242</v>
      </c>
      <c r="O1169" s="5">
        <v>1</v>
      </c>
      <c r="P1169" s="5" t="s">
        <v>294</v>
      </c>
      <c r="Q1169" s="5" t="s">
        <v>266</v>
      </c>
      <c r="R1169" s="5" t="s">
        <v>240</v>
      </c>
      <c r="S1169" s="5" t="s">
        <v>240</v>
      </c>
      <c r="T1169" s="5" t="s">
        <v>296</v>
      </c>
      <c r="U1169" s="5" t="s">
        <v>244</v>
      </c>
      <c r="V1169" s="5" t="s">
        <v>240</v>
      </c>
      <c r="Y1169" s="5" t="s">
        <v>240</v>
      </c>
      <c r="Z1169" s="6" t="s">
        <v>298</v>
      </c>
      <c r="AB1169" s="6" t="s">
        <v>240</v>
      </c>
      <c r="AE1169" s="6" t="s">
        <v>299</v>
      </c>
      <c r="AF1169" s="5" t="s">
        <v>248</v>
      </c>
      <c r="AG1169" s="5" t="s">
        <v>249</v>
      </c>
      <c r="AW1169" s="5" t="s">
        <v>251</v>
      </c>
      <c r="AX1169" s="5" t="s">
        <v>240</v>
      </c>
      <c r="AY1169" s="5" t="s">
        <v>253</v>
      </c>
      <c r="AZ1169" s="5" t="s">
        <v>240</v>
      </c>
      <c r="BA1169" s="5" t="s">
        <v>255</v>
      </c>
      <c r="BB1169" s="5" t="s">
        <v>240</v>
      </c>
      <c r="BD1169" s="5" t="s">
        <v>240</v>
      </c>
      <c r="BF1169" s="5" t="s">
        <v>301</v>
      </c>
      <c r="BG1169" s="6" t="s">
        <v>299</v>
      </c>
      <c r="BH1169" s="5" t="s">
        <v>302</v>
      </c>
      <c r="BI1169" s="5" t="s">
        <v>303</v>
      </c>
      <c r="BJ1169" s="5" t="s">
        <v>240</v>
      </c>
      <c r="BK1169" s="8">
        <f>0</f>
        <v>0</v>
      </c>
      <c r="BL1169" s="7">
        <f>0</f>
        <v>0</v>
      </c>
      <c r="BM1169" s="5" t="s">
        <v>258</v>
      </c>
      <c r="BN1169" s="5" t="s">
        <v>259</v>
      </c>
      <c r="CB1169" s="5" t="s">
        <v>240</v>
      </c>
      <c r="CC1169" s="5" t="s">
        <v>240</v>
      </c>
      <c r="CG1169" s="5" t="s">
        <v>304</v>
      </c>
      <c r="CH1169" s="5" t="s">
        <v>305</v>
      </c>
      <c r="CI1169" s="5" t="s">
        <v>240</v>
      </c>
      <c r="CL1169" s="6" t="s">
        <v>261</v>
      </c>
      <c r="CM1169" s="5" t="s">
        <v>240</v>
      </c>
      <c r="CN1169" s="5" t="s">
        <v>263</v>
      </c>
      <c r="CO1169" s="5" t="s">
        <v>240</v>
      </c>
      <c r="CP1169" s="5" t="s">
        <v>240</v>
      </c>
      <c r="CQ1169" s="5">
        <v>0</v>
      </c>
      <c r="CR1169" s="5" t="s">
        <v>306</v>
      </c>
      <c r="CS1169" s="5" t="s">
        <v>307</v>
      </c>
      <c r="CT1169" s="5" t="s">
        <v>307</v>
      </c>
      <c r="CU1169" s="5" t="s">
        <v>260</v>
      </c>
      <c r="CX1169" s="7">
        <f>1</f>
        <v>1</v>
      </c>
      <c r="CY1169" s="7">
        <f>0</f>
        <v>0</v>
      </c>
      <c r="DA1169" s="7">
        <f>0</f>
        <v>0</v>
      </c>
      <c r="DC1169" s="5" t="s">
        <v>812</v>
      </c>
      <c r="DD1169" s="5" t="s">
        <v>240</v>
      </c>
      <c r="DF1169" s="5" t="s">
        <v>812</v>
      </c>
      <c r="DG1169" s="7">
        <f>903</f>
        <v>903</v>
      </c>
      <c r="DI1169" s="5" t="s">
        <v>240</v>
      </c>
      <c r="DJ1169" s="5" t="s">
        <v>240</v>
      </c>
      <c r="DK1169" s="5" t="s">
        <v>240</v>
      </c>
      <c r="DL1169" s="5" t="s">
        <v>240</v>
      </c>
      <c r="DP1169" s="5" t="s">
        <v>240</v>
      </c>
      <c r="DQ1169" s="5" t="s">
        <v>240</v>
      </c>
      <c r="DR1169" s="5" t="s">
        <v>240</v>
      </c>
      <c r="DS1169" s="5" t="s">
        <v>240</v>
      </c>
      <c r="DV1169" s="5" t="s">
        <v>813</v>
      </c>
      <c r="DW1169" s="5" t="s">
        <v>2467</v>
      </c>
      <c r="HO1169" s="5" t="s">
        <v>312</v>
      </c>
    </row>
    <row r="1170" spans="1:223" x14ac:dyDescent="0.4">
      <c r="A1170" s="5">
        <v>2845</v>
      </c>
      <c r="B1170" s="5">
        <v>1</v>
      </c>
      <c r="C1170" s="5">
        <v>1</v>
      </c>
      <c r="D1170" s="5" t="s">
        <v>297</v>
      </c>
      <c r="E1170" s="5" t="s">
        <v>245</v>
      </c>
      <c r="F1170" s="5" t="s">
        <v>254</v>
      </c>
      <c r="G1170" s="5" t="s">
        <v>240</v>
      </c>
      <c r="H1170" s="6" t="s">
        <v>3938</v>
      </c>
      <c r="I1170" s="5" t="s">
        <v>295</v>
      </c>
      <c r="J1170" s="8">
        <f>1802</f>
        <v>1802</v>
      </c>
      <c r="K1170" s="5" t="s">
        <v>308</v>
      </c>
      <c r="L1170" s="7">
        <f>1</f>
        <v>1</v>
      </c>
      <c r="M1170" s="7">
        <f>1</f>
        <v>1</v>
      </c>
      <c r="N1170" s="5" t="s">
        <v>242</v>
      </c>
      <c r="O1170" s="5">
        <v>1</v>
      </c>
      <c r="P1170" s="5" t="s">
        <v>294</v>
      </c>
      <c r="Q1170" s="5" t="s">
        <v>266</v>
      </c>
      <c r="R1170" s="5" t="s">
        <v>240</v>
      </c>
      <c r="S1170" s="5" t="s">
        <v>240</v>
      </c>
      <c r="T1170" s="5" t="s">
        <v>296</v>
      </c>
      <c r="U1170" s="5" t="s">
        <v>244</v>
      </c>
      <c r="V1170" s="5" t="s">
        <v>240</v>
      </c>
      <c r="Y1170" s="5" t="s">
        <v>240</v>
      </c>
      <c r="Z1170" s="6" t="s">
        <v>298</v>
      </c>
      <c r="AB1170" s="6" t="s">
        <v>240</v>
      </c>
      <c r="AE1170" s="6" t="s">
        <v>299</v>
      </c>
      <c r="AF1170" s="5" t="s">
        <v>248</v>
      </c>
      <c r="AG1170" s="5" t="s">
        <v>249</v>
      </c>
      <c r="AW1170" s="5" t="s">
        <v>251</v>
      </c>
      <c r="AX1170" s="5" t="s">
        <v>240</v>
      </c>
      <c r="AY1170" s="5" t="s">
        <v>253</v>
      </c>
      <c r="AZ1170" s="5" t="s">
        <v>240</v>
      </c>
      <c r="BA1170" s="5" t="s">
        <v>255</v>
      </c>
      <c r="BB1170" s="5" t="s">
        <v>240</v>
      </c>
      <c r="BD1170" s="5" t="s">
        <v>240</v>
      </c>
      <c r="BF1170" s="5" t="s">
        <v>301</v>
      </c>
      <c r="BG1170" s="6" t="s">
        <v>299</v>
      </c>
      <c r="BH1170" s="5" t="s">
        <v>302</v>
      </c>
      <c r="BI1170" s="5" t="s">
        <v>303</v>
      </c>
      <c r="BJ1170" s="5" t="s">
        <v>240</v>
      </c>
      <c r="BK1170" s="8">
        <f>0</f>
        <v>0</v>
      </c>
      <c r="BL1170" s="7">
        <f>0</f>
        <v>0</v>
      </c>
      <c r="BM1170" s="5" t="s">
        <v>258</v>
      </c>
      <c r="BN1170" s="5" t="s">
        <v>259</v>
      </c>
      <c r="CB1170" s="5" t="s">
        <v>240</v>
      </c>
      <c r="CC1170" s="5" t="s">
        <v>240</v>
      </c>
      <c r="CG1170" s="5" t="s">
        <v>304</v>
      </c>
      <c r="CH1170" s="5" t="s">
        <v>305</v>
      </c>
      <c r="CI1170" s="5" t="s">
        <v>240</v>
      </c>
      <c r="CL1170" s="6" t="s">
        <v>261</v>
      </c>
      <c r="CM1170" s="5" t="s">
        <v>240</v>
      </c>
      <c r="CN1170" s="5" t="s">
        <v>263</v>
      </c>
      <c r="CO1170" s="5" t="s">
        <v>240</v>
      </c>
      <c r="CP1170" s="5" t="s">
        <v>240</v>
      </c>
      <c r="CQ1170" s="5">
        <v>0</v>
      </c>
      <c r="CR1170" s="5" t="s">
        <v>306</v>
      </c>
      <c r="CS1170" s="5" t="s">
        <v>307</v>
      </c>
      <c r="CT1170" s="5" t="s">
        <v>307</v>
      </c>
      <c r="CU1170" s="5" t="s">
        <v>260</v>
      </c>
      <c r="CX1170" s="7">
        <f>1</f>
        <v>1</v>
      </c>
      <c r="CY1170" s="7">
        <f>0</f>
        <v>0</v>
      </c>
      <c r="DA1170" s="7">
        <f>0</f>
        <v>0</v>
      </c>
      <c r="DC1170" s="5" t="s">
        <v>812</v>
      </c>
      <c r="DD1170" s="5" t="s">
        <v>240</v>
      </c>
      <c r="DF1170" s="5" t="s">
        <v>812</v>
      </c>
      <c r="DG1170" s="7">
        <f>196</f>
        <v>196</v>
      </c>
      <c r="DI1170" s="5" t="s">
        <v>240</v>
      </c>
      <c r="DJ1170" s="5" t="s">
        <v>240</v>
      </c>
      <c r="DK1170" s="5" t="s">
        <v>240</v>
      </c>
      <c r="DL1170" s="5" t="s">
        <v>240</v>
      </c>
      <c r="DP1170" s="5" t="s">
        <v>240</v>
      </c>
      <c r="DQ1170" s="5" t="s">
        <v>240</v>
      </c>
      <c r="DR1170" s="5" t="s">
        <v>240</v>
      </c>
      <c r="DS1170" s="5" t="s">
        <v>240</v>
      </c>
      <c r="DV1170" s="5" t="s">
        <v>813</v>
      </c>
      <c r="DW1170" s="5" t="s">
        <v>2469</v>
      </c>
      <c r="HO1170" s="5" t="s">
        <v>312</v>
      </c>
    </row>
    <row r="1171" spans="1:223" x14ac:dyDescent="0.4">
      <c r="A1171" s="5">
        <v>2846</v>
      </c>
      <c r="B1171" s="5">
        <v>1</v>
      </c>
      <c r="C1171" s="5">
        <v>1</v>
      </c>
      <c r="D1171" s="5" t="s">
        <v>297</v>
      </c>
      <c r="E1171" s="5" t="s">
        <v>245</v>
      </c>
      <c r="F1171" s="5" t="s">
        <v>254</v>
      </c>
      <c r="G1171" s="5" t="s">
        <v>240</v>
      </c>
      <c r="H1171" s="6" t="s">
        <v>3940</v>
      </c>
      <c r="I1171" s="5" t="s">
        <v>295</v>
      </c>
      <c r="J1171" s="8">
        <f>371</f>
        <v>371</v>
      </c>
      <c r="K1171" s="5" t="s">
        <v>308</v>
      </c>
      <c r="L1171" s="7">
        <f>1</f>
        <v>1</v>
      </c>
      <c r="M1171" s="7">
        <f>1</f>
        <v>1</v>
      </c>
      <c r="N1171" s="5" t="s">
        <v>242</v>
      </c>
      <c r="O1171" s="5">
        <v>1</v>
      </c>
      <c r="P1171" s="5" t="s">
        <v>294</v>
      </c>
      <c r="Q1171" s="5" t="s">
        <v>266</v>
      </c>
      <c r="R1171" s="5" t="s">
        <v>240</v>
      </c>
      <c r="S1171" s="5" t="s">
        <v>240</v>
      </c>
      <c r="T1171" s="5" t="s">
        <v>296</v>
      </c>
      <c r="U1171" s="5" t="s">
        <v>244</v>
      </c>
      <c r="V1171" s="5" t="s">
        <v>240</v>
      </c>
      <c r="Y1171" s="5" t="s">
        <v>240</v>
      </c>
      <c r="Z1171" s="6" t="s">
        <v>298</v>
      </c>
      <c r="AB1171" s="6" t="s">
        <v>240</v>
      </c>
      <c r="AE1171" s="6" t="s">
        <v>299</v>
      </c>
      <c r="AF1171" s="5" t="s">
        <v>248</v>
      </c>
      <c r="AG1171" s="5" t="s">
        <v>249</v>
      </c>
      <c r="AW1171" s="5" t="s">
        <v>251</v>
      </c>
      <c r="AX1171" s="5" t="s">
        <v>240</v>
      </c>
      <c r="AY1171" s="5" t="s">
        <v>253</v>
      </c>
      <c r="AZ1171" s="5" t="s">
        <v>240</v>
      </c>
      <c r="BA1171" s="5" t="s">
        <v>255</v>
      </c>
      <c r="BB1171" s="5" t="s">
        <v>240</v>
      </c>
      <c r="BD1171" s="5" t="s">
        <v>240</v>
      </c>
      <c r="BF1171" s="5" t="s">
        <v>301</v>
      </c>
      <c r="BG1171" s="6" t="s">
        <v>299</v>
      </c>
      <c r="BH1171" s="5" t="s">
        <v>302</v>
      </c>
      <c r="BI1171" s="5" t="s">
        <v>303</v>
      </c>
      <c r="BJ1171" s="5" t="s">
        <v>240</v>
      </c>
      <c r="BK1171" s="8">
        <f>0</f>
        <v>0</v>
      </c>
      <c r="BL1171" s="7">
        <f>0</f>
        <v>0</v>
      </c>
      <c r="BM1171" s="5" t="s">
        <v>258</v>
      </c>
      <c r="BN1171" s="5" t="s">
        <v>259</v>
      </c>
      <c r="CB1171" s="5" t="s">
        <v>240</v>
      </c>
      <c r="CC1171" s="5" t="s">
        <v>240</v>
      </c>
      <c r="CG1171" s="5" t="s">
        <v>304</v>
      </c>
      <c r="CH1171" s="5" t="s">
        <v>305</v>
      </c>
      <c r="CI1171" s="5" t="s">
        <v>240</v>
      </c>
      <c r="CL1171" s="6" t="s">
        <v>261</v>
      </c>
      <c r="CM1171" s="5" t="s">
        <v>240</v>
      </c>
      <c r="CN1171" s="5" t="s">
        <v>263</v>
      </c>
      <c r="CO1171" s="5" t="s">
        <v>240</v>
      </c>
      <c r="CP1171" s="5" t="s">
        <v>240</v>
      </c>
      <c r="CQ1171" s="5">
        <v>0</v>
      </c>
      <c r="CR1171" s="5" t="s">
        <v>306</v>
      </c>
      <c r="CS1171" s="5" t="s">
        <v>307</v>
      </c>
      <c r="CT1171" s="5" t="s">
        <v>307</v>
      </c>
      <c r="CU1171" s="5" t="s">
        <v>260</v>
      </c>
      <c r="CX1171" s="7">
        <f>1</f>
        <v>1</v>
      </c>
      <c r="CY1171" s="7">
        <f>0</f>
        <v>0</v>
      </c>
      <c r="DA1171" s="7">
        <f>0</f>
        <v>0</v>
      </c>
      <c r="DC1171" s="5" t="s">
        <v>812</v>
      </c>
      <c r="DD1171" s="5" t="s">
        <v>240</v>
      </c>
      <c r="DF1171" s="5" t="s">
        <v>812</v>
      </c>
      <c r="DG1171" s="7">
        <f>1418</f>
        <v>1418</v>
      </c>
      <c r="DI1171" s="5" t="s">
        <v>240</v>
      </c>
      <c r="DJ1171" s="5" t="s">
        <v>240</v>
      </c>
      <c r="DK1171" s="5" t="s">
        <v>240</v>
      </c>
      <c r="DL1171" s="5" t="s">
        <v>240</v>
      </c>
      <c r="DP1171" s="5" t="s">
        <v>240</v>
      </c>
      <c r="DQ1171" s="5" t="s">
        <v>240</v>
      </c>
      <c r="DR1171" s="5" t="s">
        <v>240</v>
      </c>
      <c r="DS1171" s="5" t="s">
        <v>240</v>
      </c>
      <c r="DV1171" s="5" t="s">
        <v>813</v>
      </c>
      <c r="DW1171" s="5" t="s">
        <v>2471</v>
      </c>
      <c r="HO1171" s="5" t="s">
        <v>312</v>
      </c>
    </row>
    <row r="1172" spans="1:223" x14ac:dyDescent="0.4">
      <c r="A1172" s="5">
        <v>2847</v>
      </c>
      <c r="B1172" s="5">
        <v>1</v>
      </c>
      <c r="C1172" s="5">
        <v>1</v>
      </c>
      <c r="D1172" s="5" t="s">
        <v>297</v>
      </c>
      <c r="E1172" s="5" t="s">
        <v>245</v>
      </c>
      <c r="F1172" s="5" t="s">
        <v>254</v>
      </c>
      <c r="G1172" s="5" t="s">
        <v>240</v>
      </c>
      <c r="H1172" s="6" t="s">
        <v>3941</v>
      </c>
      <c r="I1172" s="5" t="s">
        <v>295</v>
      </c>
      <c r="J1172" s="8">
        <f>2234</f>
        <v>2234</v>
      </c>
      <c r="K1172" s="5" t="s">
        <v>308</v>
      </c>
      <c r="L1172" s="7">
        <f>1</f>
        <v>1</v>
      </c>
      <c r="M1172" s="7">
        <f>1</f>
        <v>1</v>
      </c>
      <c r="N1172" s="5" t="s">
        <v>242</v>
      </c>
      <c r="O1172" s="5">
        <v>1</v>
      </c>
      <c r="P1172" s="5" t="s">
        <v>294</v>
      </c>
      <c r="Q1172" s="5" t="s">
        <v>266</v>
      </c>
      <c r="R1172" s="5" t="s">
        <v>240</v>
      </c>
      <c r="S1172" s="5" t="s">
        <v>240</v>
      </c>
      <c r="T1172" s="5" t="s">
        <v>296</v>
      </c>
      <c r="U1172" s="5" t="s">
        <v>244</v>
      </c>
      <c r="V1172" s="5" t="s">
        <v>240</v>
      </c>
      <c r="Y1172" s="5" t="s">
        <v>240</v>
      </c>
      <c r="Z1172" s="6" t="s">
        <v>298</v>
      </c>
      <c r="AB1172" s="6" t="s">
        <v>240</v>
      </c>
      <c r="AE1172" s="6" t="s">
        <v>299</v>
      </c>
      <c r="AF1172" s="5" t="s">
        <v>248</v>
      </c>
      <c r="AG1172" s="5" t="s">
        <v>249</v>
      </c>
      <c r="AW1172" s="5" t="s">
        <v>251</v>
      </c>
      <c r="AX1172" s="5" t="s">
        <v>240</v>
      </c>
      <c r="AY1172" s="5" t="s">
        <v>253</v>
      </c>
      <c r="AZ1172" s="5" t="s">
        <v>240</v>
      </c>
      <c r="BA1172" s="5" t="s">
        <v>255</v>
      </c>
      <c r="BB1172" s="5" t="s">
        <v>240</v>
      </c>
      <c r="BD1172" s="5" t="s">
        <v>240</v>
      </c>
      <c r="BF1172" s="5" t="s">
        <v>301</v>
      </c>
      <c r="BG1172" s="6" t="s">
        <v>299</v>
      </c>
      <c r="BH1172" s="5" t="s">
        <v>302</v>
      </c>
      <c r="BI1172" s="5" t="s">
        <v>303</v>
      </c>
      <c r="BJ1172" s="5" t="s">
        <v>240</v>
      </c>
      <c r="BK1172" s="8">
        <f>0</f>
        <v>0</v>
      </c>
      <c r="BL1172" s="7">
        <f>0</f>
        <v>0</v>
      </c>
      <c r="BM1172" s="5" t="s">
        <v>258</v>
      </c>
      <c r="BN1172" s="5" t="s">
        <v>259</v>
      </c>
      <c r="CB1172" s="5" t="s">
        <v>240</v>
      </c>
      <c r="CC1172" s="5" t="s">
        <v>240</v>
      </c>
      <c r="CG1172" s="5" t="s">
        <v>304</v>
      </c>
      <c r="CH1172" s="5" t="s">
        <v>305</v>
      </c>
      <c r="CI1172" s="5" t="s">
        <v>240</v>
      </c>
      <c r="CL1172" s="6" t="s">
        <v>261</v>
      </c>
      <c r="CM1172" s="5" t="s">
        <v>240</v>
      </c>
      <c r="CN1172" s="5" t="s">
        <v>263</v>
      </c>
      <c r="CO1172" s="5" t="s">
        <v>240</v>
      </c>
      <c r="CP1172" s="5" t="s">
        <v>240</v>
      </c>
      <c r="CQ1172" s="5">
        <v>0</v>
      </c>
      <c r="CR1172" s="5" t="s">
        <v>306</v>
      </c>
      <c r="CS1172" s="5" t="s">
        <v>307</v>
      </c>
      <c r="CT1172" s="5" t="s">
        <v>307</v>
      </c>
      <c r="CU1172" s="5" t="s">
        <v>260</v>
      </c>
      <c r="CX1172" s="7">
        <f>1</f>
        <v>1</v>
      </c>
      <c r="CY1172" s="7">
        <f>0</f>
        <v>0</v>
      </c>
      <c r="DA1172" s="7">
        <f>0</f>
        <v>0</v>
      </c>
      <c r="DC1172" s="5" t="s">
        <v>812</v>
      </c>
      <c r="DD1172" s="5" t="s">
        <v>240</v>
      </c>
      <c r="DF1172" s="5" t="s">
        <v>812</v>
      </c>
      <c r="DG1172" s="7">
        <f>1993</f>
        <v>1993</v>
      </c>
      <c r="DI1172" s="5" t="s">
        <v>240</v>
      </c>
      <c r="DJ1172" s="5" t="s">
        <v>240</v>
      </c>
      <c r="DK1172" s="5" t="s">
        <v>240</v>
      </c>
      <c r="DL1172" s="5" t="s">
        <v>240</v>
      </c>
      <c r="DP1172" s="5" t="s">
        <v>240</v>
      </c>
      <c r="DQ1172" s="5" t="s">
        <v>240</v>
      </c>
      <c r="DR1172" s="5" t="s">
        <v>240</v>
      </c>
      <c r="DS1172" s="5" t="s">
        <v>240</v>
      </c>
      <c r="DV1172" s="5" t="s">
        <v>813</v>
      </c>
      <c r="DW1172" s="5" t="s">
        <v>2473</v>
      </c>
      <c r="HO1172" s="5" t="s">
        <v>312</v>
      </c>
    </row>
    <row r="1173" spans="1:223" x14ac:dyDescent="0.4">
      <c r="A1173" s="5">
        <v>2848</v>
      </c>
      <c r="B1173" s="5">
        <v>1</v>
      </c>
      <c r="C1173" s="5">
        <v>1</v>
      </c>
      <c r="D1173" s="5" t="s">
        <v>297</v>
      </c>
      <c r="E1173" s="5" t="s">
        <v>245</v>
      </c>
      <c r="F1173" s="5" t="s">
        <v>254</v>
      </c>
      <c r="G1173" s="5" t="s">
        <v>240</v>
      </c>
      <c r="H1173" s="6" t="s">
        <v>3943</v>
      </c>
      <c r="I1173" s="5" t="s">
        <v>295</v>
      </c>
      <c r="J1173" s="8">
        <f>441</f>
        <v>441</v>
      </c>
      <c r="K1173" s="5" t="s">
        <v>308</v>
      </c>
      <c r="L1173" s="7">
        <f>1</f>
        <v>1</v>
      </c>
      <c r="M1173" s="7">
        <f>1</f>
        <v>1</v>
      </c>
      <c r="N1173" s="5" t="s">
        <v>242</v>
      </c>
      <c r="O1173" s="5">
        <v>1</v>
      </c>
      <c r="P1173" s="5" t="s">
        <v>294</v>
      </c>
      <c r="Q1173" s="5" t="s">
        <v>266</v>
      </c>
      <c r="R1173" s="5" t="s">
        <v>240</v>
      </c>
      <c r="S1173" s="5" t="s">
        <v>240</v>
      </c>
      <c r="T1173" s="5" t="s">
        <v>296</v>
      </c>
      <c r="U1173" s="5" t="s">
        <v>244</v>
      </c>
      <c r="V1173" s="5" t="s">
        <v>240</v>
      </c>
      <c r="Y1173" s="5" t="s">
        <v>240</v>
      </c>
      <c r="Z1173" s="6" t="s">
        <v>298</v>
      </c>
      <c r="AB1173" s="6" t="s">
        <v>240</v>
      </c>
      <c r="AE1173" s="6" t="s">
        <v>299</v>
      </c>
      <c r="AF1173" s="5" t="s">
        <v>248</v>
      </c>
      <c r="AG1173" s="5" t="s">
        <v>249</v>
      </c>
      <c r="AW1173" s="5" t="s">
        <v>251</v>
      </c>
      <c r="AX1173" s="5" t="s">
        <v>240</v>
      </c>
      <c r="AY1173" s="5" t="s">
        <v>253</v>
      </c>
      <c r="AZ1173" s="5" t="s">
        <v>240</v>
      </c>
      <c r="BA1173" s="5" t="s">
        <v>255</v>
      </c>
      <c r="BB1173" s="5" t="s">
        <v>240</v>
      </c>
      <c r="BD1173" s="5" t="s">
        <v>240</v>
      </c>
      <c r="BF1173" s="5" t="s">
        <v>301</v>
      </c>
      <c r="BG1173" s="6" t="s">
        <v>299</v>
      </c>
      <c r="BH1173" s="5" t="s">
        <v>302</v>
      </c>
      <c r="BI1173" s="5" t="s">
        <v>303</v>
      </c>
      <c r="BJ1173" s="5" t="s">
        <v>240</v>
      </c>
      <c r="BK1173" s="8">
        <f>0</f>
        <v>0</v>
      </c>
      <c r="BL1173" s="7">
        <f>0</f>
        <v>0</v>
      </c>
      <c r="BM1173" s="5" t="s">
        <v>258</v>
      </c>
      <c r="BN1173" s="5" t="s">
        <v>259</v>
      </c>
      <c r="CB1173" s="5" t="s">
        <v>240</v>
      </c>
      <c r="CC1173" s="5" t="s">
        <v>240</v>
      </c>
      <c r="CG1173" s="5" t="s">
        <v>304</v>
      </c>
      <c r="CH1173" s="5" t="s">
        <v>305</v>
      </c>
      <c r="CI1173" s="5" t="s">
        <v>240</v>
      </c>
      <c r="CL1173" s="6" t="s">
        <v>261</v>
      </c>
      <c r="CM1173" s="5" t="s">
        <v>240</v>
      </c>
      <c r="CN1173" s="5" t="s">
        <v>263</v>
      </c>
      <c r="CO1173" s="5" t="s">
        <v>240</v>
      </c>
      <c r="CP1173" s="5" t="s">
        <v>240</v>
      </c>
      <c r="CQ1173" s="5">
        <v>0</v>
      </c>
      <c r="CR1173" s="5" t="s">
        <v>306</v>
      </c>
      <c r="CS1173" s="5" t="s">
        <v>307</v>
      </c>
      <c r="CT1173" s="5" t="s">
        <v>307</v>
      </c>
      <c r="CU1173" s="5" t="s">
        <v>260</v>
      </c>
      <c r="CX1173" s="7">
        <f>1</f>
        <v>1</v>
      </c>
      <c r="CY1173" s="7">
        <f>0</f>
        <v>0</v>
      </c>
      <c r="DA1173" s="7">
        <f>0</f>
        <v>0</v>
      </c>
      <c r="DC1173" s="5" t="s">
        <v>812</v>
      </c>
      <c r="DD1173" s="5" t="s">
        <v>240</v>
      </c>
      <c r="DF1173" s="5" t="s">
        <v>812</v>
      </c>
      <c r="DG1173" s="7">
        <f>3040</f>
        <v>3040</v>
      </c>
      <c r="DI1173" s="5" t="s">
        <v>240</v>
      </c>
      <c r="DJ1173" s="5" t="s">
        <v>240</v>
      </c>
      <c r="DK1173" s="5" t="s">
        <v>240</v>
      </c>
      <c r="DL1173" s="5" t="s">
        <v>240</v>
      </c>
      <c r="DP1173" s="5" t="s">
        <v>240</v>
      </c>
      <c r="DQ1173" s="5" t="s">
        <v>240</v>
      </c>
      <c r="DR1173" s="5" t="s">
        <v>240</v>
      </c>
      <c r="DS1173" s="5" t="s">
        <v>240</v>
      </c>
      <c r="DV1173" s="5" t="s">
        <v>813</v>
      </c>
      <c r="DW1173" s="5" t="s">
        <v>2475</v>
      </c>
      <c r="HO1173" s="5" t="s">
        <v>312</v>
      </c>
    </row>
    <row r="1174" spans="1:223" x14ac:dyDescent="0.4">
      <c r="A1174" s="5">
        <v>2849</v>
      </c>
      <c r="B1174" s="5">
        <v>1</v>
      </c>
      <c r="C1174" s="5">
        <v>1</v>
      </c>
      <c r="D1174" s="5" t="s">
        <v>297</v>
      </c>
      <c r="E1174" s="5" t="s">
        <v>245</v>
      </c>
      <c r="F1174" s="5" t="s">
        <v>254</v>
      </c>
      <c r="G1174" s="5" t="s">
        <v>240</v>
      </c>
      <c r="H1174" s="6" t="s">
        <v>3946</v>
      </c>
      <c r="I1174" s="5" t="s">
        <v>295</v>
      </c>
      <c r="J1174" s="8">
        <f>1913</f>
        <v>1913</v>
      </c>
      <c r="K1174" s="5" t="s">
        <v>308</v>
      </c>
      <c r="L1174" s="7">
        <f>1</f>
        <v>1</v>
      </c>
      <c r="M1174" s="7">
        <f>1</f>
        <v>1</v>
      </c>
      <c r="N1174" s="5" t="s">
        <v>242</v>
      </c>
      <c r="O1174" s="5">
        <v>1</v>
      </c>
      <c r="P1174" s="5" t="s">
        <v>294</v>
      </c>
      <c r="Q1174" s="5" t="s">
        <v>266</v>
      </c>
      <c r="R1174" s="5" t="s">
        <v>240</v>
      </c>
      <c r="S1174" s="5" t="s">
        <v>240</v>
      </c>
      <c r="T1174" s="5" t="s">
        <v>296</v>
      </c>
      <c r="U1174" s="5" t="s">
        <v>244</v>
      </c>
      <c r="V1174" s="5" t="s">
        <v>240</v>
      </c>
      <c r="Y1174" s="5" t="s">
        <v>240</v>
      </c>
      <c r="Z1174" s="6" t="s">
        <v>298</v>
      </c>
      <c r="AB1174" s="6" t="s">
        <v>240</v>
      </c>
      <c r="AE1174" s="6" t="s">
        <v>299</v>
      </c>
      <c r="AF1174" s="5" t="s">
        <v>248</v>
      </c>
      <c r="AG1174" s="5" t="s">
        <v>249</v>
      </c>
      <c r="AW1174" s="5" t="s">
        <v>251</v>
      </c>
      <c r="AX1174" s="5" t="s">
        <v>240</v>
      </c>
      <c r="AY1174" s="5" t="s">
        <v>253</v>
      </c>
      <c r="AZ1174" s="5" t="s">
        <v>240</v>
      </c>
      <c r="BA1174" s="5" t="s">
        <v>255</v>
      </c>
      <c r="BB1174" s="5" t="s">
        <v>240</v>
      </c>
      <c r="BD1174" s="5" t="s">
        <v>240</v>
      </c>
      <c r="BF1174" s="5" t="s">
        <v>301</v>
      </c>
      <c r="BG1174" s="6" t="s">
        <v>299</v>
      </c>
      <c r="BH1174" s="5" t="s">
        <v>302</v>
      </c>
      <c r="BI1174" s="5" t="s">
        <v>303</v>
      </c>
      <c r="BJ1174" s="5" t="s">
        <v>240</v>
      </c>
      <c r="BK1174" s="8">
        <f>0</f>
        <v>0</v>
      </c>
      <c r="BL1174" s="7">
        <f>0</f>
        <v>0</v>
      </c>
      <c r="BM1174" s="5" t="s">
        <v>258</v>
      </c>
      <c r="BN1174" s="5" t="s">
        <v>259</v>
      </c>
      <c r="CB1174" s="5" t="s">
        <v>240</v>
      </c>
      <c r="CC1174" s="5" t="s">
        <v>240</v>
      </c>
      <c r="CG1174" s="5" t="s">
        <v>304</v>
      </c>
      <c r="CH1174" s="5" t="s">
        <v>305</v>
      </c>
      <c r="CI1174" s="5" t="s">
        <v>240</v>
      </c>
      <c r="CL1174" s="6" t="s">
        <v>261</v>
      </c>
      <c r="CM1174" s="5" t="s">
        <v>240</v>
      </c>
      <c r="CN1174" s="5" t="s">
        <v>263</v>
      </c>
      <c r="CO1174" s="5" t="s">
        <v>240</v>
      </c>
      <c r="CP1174" s="5" t="s">
        <v>240</v>
      </c>
      <c r="CQ1174" s="5">
        <v>0</v>
      </c>
      <c r="CR1174" s="5" t="s">
        <v>306</v>
      </c>
      <c r="CS1174" s="5" t="s">
        <v>307</v>
      </c>
      <c r="CT1174" s="5" t="s">
        <v>307</v>
      </c>
      <c r="CU1174" s="5" t="s">
        <v>260</v>
      </c>
      <c r="CX1174" s="7">
        <f>1</f>
        <v>1</v>
      </c>
      <c r="CY1174" s="7">
        <f>0</f>
        <v>0</v>
      </c>
      <c r="DA1174" s="7">
        <f>0</f>
        <v>0</v>
      </c>
      <c r="DC1174" s="5" t="s">
        <v>812</v>
      </c>
      <c r="DD1174" s="5" t="s">
        <v>240</v>
      </c>
      <c r="DF1174" s="5" t="s">
        <v>812</v>
      </c>
      <c r="DG1174" s="7">
        <f>233</f>
        <v>233</v>
      </c>
      <c r="DI1174" s="5" t="s">
        <v>240</v>
      </c>
      <c r="DJ1174" s="5" t="s">
        <v>240</v>
      </c>
      <c r="DK1174" s="5" t="s">
        <v>240</v>
      </c>
      <c r="DL1174" s="5" t="s">
        <v>240</v>
      </c>
      <c r="DP1174" s="5" t="s">
        <v>240</v>
      </c>
      <c r="DQ1174" s="5" t="s">
        <v>240</v>
      </c>
      <c r="DR1174" s="5" t="s">
        <v>240</v>
      </c>
      <c r="DS1174" s="5" t="s">
        <v>240</v>
      </c>
      <c r="DV1174" s="5" t="s">
        <v>813</v>
      </c>
      <c r="DW1174" s="5" t="s">
        <v>2477</v>
      </c>
      <c r="HO1174" s="5" t="s">
        <v>312</v>
      </c>
    </row>
    <row r="1175" spans="1:223" x14ac:dyDescent="0.4">
      <c r="A1175" s="5">
        <v>2850</v>
      </c>
      <c r="B1175" s="5">
        <v>1</v>
      </c>
      <c r="C1175" s="5">
        <v>1</v>
      </c>
      <c r="D1175" s="5" t="s">
        <v>297</v>
      </c>
      <c r="E1175" s="5" t="s">
        <v>245</v>
      </c>
      <c r="F1175" s="5" t="s">
        <v>254</v>
      </c>
      <c r="G1175" s="5" t="s">
        <v>240</v>
      </c>
      <c r="H1175" s="6" t="s">
        <v>3948</v>
      </c>
      <c r="I1175" s="5" t="s">
        <v>295</v>
      </c>
      <c r="J1175" s="8">
        <f>2955</f>
        <v>2955</v>
      </c>
      <c r="K1175" s="5" t="s">
        <v>308</v>
      </c>
      <c r="L1175" s="7">
        <f>1</f>
        <v>1</v>
      </c>
      <c r="M1175" s="7">
        <f>1</f>
        <v>1</v>
      </c>
      <c r="N1175" s="5" t="s">
        <v>242</v>
      </c>
      <c r="O1175" s="5">
        <v>1</v>
      </c>
      <c r="P1175" s="5" t="s">
        <v>294</v>
      </c>
      <c r="Q1175" s="5" t="s">
        <v>266</v>
      </c>
      <c r="R1175" s="5" t="s">
        <v>240</v>
      </c>
      <c r="S1175" s="5" t="s">
        <v>240</v>
      </c>
      <c r="T1175" s="5" t="s">
        <v>296</v>
      </c>
      <c r="U1175" s="5" t="s">
        <v>244</v>
      </c>
      <c r="V1175" s="5" t="s">
        <v>240</v>
      </c>
      <c r="Y1175" s="5" t="s">
        <v>240</v>
      </c>
      <c r="Z1175" s="6" t="s">
        <v>298</v>
      </c>
      <c r="AB1175" s="6" t="s">
        <v>240</v>
      </c>
      <c r="AE1175" s="6" t="s">
        <v>299</v>
      </c>
      <c r="AF1175" s="5" t="s">
        <v>248</v>
      </c>
      <c r="AG1175" s="5" t="s">
        <v>249</v>
      </c>
      <c r="AW1175" s="5" t="s">
        <v>251</v>
      </c>
      <c r="AX1175" s="5" t="s">
        <v>240</v>
      </c>
      <c r="AY1175" s="5" t="s">
        <v>253</v>
      </c>
      <c r="AZ1175" s="5" t="s">
        <v>240</v>
      </c>
      <c r="BA1175" s="5" t="s">
        <v>255</v>
      </c>
      <c r="BB1175" s="5" t="s">
        <v>240</v>
      </c>
      <c r="BD1175" s="5" t="s">
        <v>240</v>
      </c>
      <c r="BF1175" s="5" t="s">
        <v>301</v>
      </c>
      <c r="BG1175" s="6" t="s">
        <v>299</v>
      </c>
      <c r="BH1175" s="5" t="s">
        <v>302</v>
      </c>
      <c r="BI1175" s="5" t="s">
        <v>303</v>
      </c>
      <c r="BJ1175" s="5" t="s">
        <v>240</v>
      </c>
      <c r="BK1175" s="8">
        <f>0</f>
        <v>0</v>
      </c>
      <c r="BL1175" s="7">
        <f>0</f>
        <v>0</v>
      </c>
      <c r="BM1175" s="5" t="s">
        <v>258</v>
      </c>
      <c r="BN1175" s="5" t="s">
        <v>259</v>
      </c>
      <c r="CB1175" s="5" t="s">
        <v>240</v>
      </c>
      <c r="CC1175" s="5" t="s">
        <v>240</v>
      </c>
      <c r="CG1175" s="5" t="s">
        <v>304</v>
      </c>
      <c r="CH1175" s="5" t="s">
        <v>305</v>
      </c>
      <c r="CI1175" s="5" t="s">
        <v>240</v>
      </c>
      <c r="CL1175" s="6" t="s">
        <v>261</v>
      </c>
      <c r="CM1175" s="5" t="s">
        <v>240</v>
      </c>
      <c r="CN1175" s="5" t="s">
        <v>263</v>
      </c>
      <c r="CO1175" s="5" t="s">
        <v>240</v>
      </c>
      <c r="CP1175" s="5" t="s">
        <v>240</v>
      </c>
      <c r="CQ1175" s="5">
        <v>0</v>
      </c>
      <c r="CR1175" s="5" t="s">
        <v>306</v>
      </c>
      <c r="CS1175" s="5" t="s">
        <v>307</v>
      </c>
      <c r="CT1175" s="5" t="s">
        <v>307</v>
      </c>
      <c r="CU1175" s="5" t="s">
        <v>260</v>
      </c>
      <c r="CX1175" s="7">
        <f>1</f>
        <v>1</v>
      </c>
      <c r="CY1175" s="7">
        <f>0</f>
        <v>0</v>
      </c>
      <c r="DA1175" s="7">
        <f>0</f>
        <v>0</v>
      </c>
      <c r="DC1175" s="5" t="s">
        <v>812</v>
      </c>
      <c r="DD1175" s="5" t="s">
        <v>240</v>
      </c>
      <c r="DF1175" s="5" t="s">
        <v>812</v>
      </c>
      <c r="DG1175" s="7">
        <f>406</f>
        <v>406</v>
      </c>
      <c r="DI1175" s="5" t="s">
        <v>240</v>
      </c>
      <c r="DJ1175" s="5" t="s">
        <v>240</v>
      </c>
      <c r="DK1175" s="5" t="s">
        <v>240</v>
      </c>
      <c r="DL1175" s="5" t="s">
        <v>240</v>
      </c>
      <c r="DP1175" s="5" t="s">
        <v>240</v>
      </c>
      <c r="DQ1175" s="5" t="s">
        <v>240</v>
      </c>
      <c r="DR1175" s="5" t="s">
        <v>240</v>
      </c>
      <c r="DS1175" s="5" t="s">
        <v>240</v>
      </c>
      <c r="DV1175" s="5" t="s">
        <v>813</v>
      </c>
      <c r="DW1175" s="5" t="s">
        <v>2479</v>
      </c>
      <c r="HO1175" s="5" t="s">
        <v>312</v>
      </c>
    </row>
    <row r="1176" spans="1:223" x14ac:dyDescent="0.4">
      <c r="A1176" s="5">
        <v>2851</v>
      </c>
      <c r="B1176" s="5">
        <v>1</v>
      </c>
      <c r="C1176" s="5">
        <v>1</v>
      </c>
      <c r="D1176" s="5" t="s">
        <v>297</v>
      </c>
      <c r="E1176" s="5" t="s">
        <v>245</v>
      </c>
      <c r="F1176" s="5" t="s">
        <v>254</v>
      </c>
      <c r="G1176" s="5" t="s">
        <v>240</v>
      </c>
      <c r="H1176" s="6" t="s">
        <v>3949</v>
      </c>
      <c r="I1176" s="5" t="s">
        <v>295</v>
      </c>
      <c r="J1176" s="8">
        <f>951</f>
        <v>951</v>
      </c>
      <c r="K1176" s="5" t="s">
        <v>308</v>
      </c>
      <c r="L1176" s="7">
        <f>1</f>
        <v>1</v>
      </c>
      <c r="M1176" s="7">
        <f>1</f>
        <v>1</v>
      </c>
      <c r="N1176" s="5" t="s">
        <v>242</v>
      </c>
      <c r="O1176" s="5">
        <v>1</v>
      </c>
      <c r="P1176" s="5" t="s">
        <v>294</v>
      </c>
      <c r="Q1176" s="5" t="s">
        <v>266</v>
      </c>
      <c r="R1176" s="5" t="s">
        <v>240</v>
      </c>
      <c r="S1176" s="5" t="s">
        <v>240</v>
      </c>
      <c r="T1176" s="5" t="s">
        <v>296</v>
      </c>
      <c r="U1176" s="5" t="s">
        <v>244</v>
      </c>
      <c r="V1176" s="5" t="s">
        <v>240</v>
      </c>
      <c r="Y1176" s="5" t="s">
        <v>240</v>
      </c>
      <c r="Z1176" s="6" t="s">
        <v>298</v>
      </c>
      <c r="AB1176" s="6" t="s">
        <v>240</v>
      </c>
      <c r="AE1176" s="6" t="s">
        <v>299</v>
      </c>
      <c r="AF1176" s="5" t="s">
        <v>248</v>
      </c>
      <c r="AG1176" s="5" t="s">
        <v>249</v>
      </c>
      <c r="AW1176" s="5" t="s">
        <v>251</v>
      </c>
      <c r="AX1176" s="5" t="s">
        <v>240</v>
      </c>
      <c r="AY1176" s="5" t="s">
        <v>253</v>
      </c>
      <c r="AZ1176" s="5" t="s">
        <v>240</v>
      </c>
      <c r="BA1176" s="5" t="s">
        <v>255</v>
      </c>
      <c r="BB1176" s="5" t="s">
        <v>240</v>
      </c>
      <c r="BD1176" s="5" t="s">
        <v>240</v>
      </c>
      <c r="BF1176" s="5" t="s">
        <v>301</v>
      </c>
      <c r="BG1176" s="6" t="s">
        <v>299</v>
      </c>
      <c r="BH1176" s="5" t="s">
        <v>302</v>
      </c>
      <c r="BI1176" s="5" t="s">
        <v>303</v>
      </c>
      <c r="BJ1176" s="5" t="s">
        <v>240</v>
      </c>
      <c r="BK1176" s="8">
        <f>0</f>
        <v>0</v>
      </c>
      <c r="BL1176" s="7">
        <f>0</f>
        <v>0</v>
      </c>
      <c r="BM1176" s="5" t="s">
        <v>258</v>
      </c>
      <c r="BN1176" s="5" t="s">
        <v>259</v>
      </c>
      <c r="CB1176" s="5" t="s">
        <v>240</v>
      </c>
      <c r="CC1176" s="5" t="s">
        <v>240</v>
      </c>
      <c r="CG1176" s="5" t="s">
        <v>304</v>
      </c>
      <c r="CH1176" s="5" t="s">
        <v>305</v>
      </c>
      <c r="CI1176" s="5" t="s">
        <v>240</v>
      </c>
      <c r="CL1176" s="6" t="s">
        <v>261</v>
      </c>
      <c r="CM1176" s="5" t="s">
        <v>240</v>
      </c>
      <c r="CN1176" s="5" t="s">
        <v>263</v>
      </c>
      <c r="CO1176" s="5" t="s">
        <v>240</v>
      </c>
      <c r="CP1176" s="5" t="s">
        <v>240</v>
      </c>
      <c r="CQ1176" s="5">
        <v>0</v>
      </c>
      <c r="CR1176" s="5" t="s">
        <v>306</v>
      </c>
      <c r="CS1176" s="5" t="s">
        <v>307</v>
      </c>
      <c r="CT1176" s="5" t="s">
        <v>307</v>
      </c>
      <c r="CU1176" s="5" t="s">
        <v>260</v>
      </c>
      <c r="CX1176" s="7">
        <f>1</f>
        <v>1</v>
      </c>
      <c r="CY1176" s="7">
        <f>0</f>
        <v>0</v>
      </c>
      <c r="DA1176" s="7">
        <f>0</f>
        <v>0</v>
      </c>
      <c r="DC1176" s="5" t="s">
        <v>812</v>
      </c>
      <c r="DD1176" s="5" t="s">
        <v>240</v>
      </c>
      <c r="DF1176" s="5" t="s">
        <v>812</v>
      </c>
      <c r="DG1176" s="7">
        <f>336</f>
        <v>336</v>
      </c>
      <c r="DI1176" s="5" t="s">
        <v>240</v>
      </c>
      <c r="DJ1176" s="5" t="s">
        <v>240</v>
      </c>
      <c r="DK1176" s="5" t="s">
        <v>240</v>
      </c>
      <c r="DL1176" s="5" t="s">
        <v>240</v>
      </c>
      <c r="DP1176" s="5" t="s">
        <v>240</v>
      </c>
      <c r="DQ1176" s="5" t="s">
        <v>240</v>
      </c>
      <c r="DR1176" s="5" t="s">
        <v>240</v>
      </c>
      <c r="DS1176" s="5" t="s">
        <v>240</v>
      </c>
      <c r="DV1176" s="5" t="s">
        <v>813</v>
      </c>
      <c r="DW1176" s="5" t="s">
        <v>2481</v>
      </c>
      <c r="HO1176" s="5" t="s">
        <v>312</v>
      </c>
    </row>
    <row r="1177" spans="1:223" x14ac:dyDescent="0.4">
      <c r="A1177" s="5">
        <v>2852</v>
      </c>
      <c r="B1177" s="5">
        <v>1</v>
      </c>
      <c r="C1177" s="5">
        <v>1</v>
      </c>
      <c r="D1177" s="5" t="s">
        <v>297</v>
      </c>
      <c r="E1177" s="5" t="s">
        <v>245</v>
      </c>
      <c r="F1177" s="5" t="s">
        <v>254</v>
      </c>
      <c r="G1177" s="5" t="s">
        <v>240</v>
      </c>
      <c r="H1177" s="6" t="s">
        <v>3953</v>
      </c>
      <c r="I1177" s="5" t="s">
        <v>295</v>
      </c>
      <c r="J1177" s="8">
        <f>8746</f>
        <v>8746</v>
      </c>
      <c r="K1177" s="5" t="s">
        <v>308</v>
      </c>
      <c r="L1177" s="7">
        <f>1</f>
        <v>1</v>
      </c>
      <c r="M1177" s="7">
        <f>1</f>
        <v>1</v>
      </c>
      <c r="N1177" s="5" t="s">
        <v>242</v>
      </c>
      <c r="O1177" s="5">
        <v>1</v>
      </c>
      <c r="P1177" s="5" t="s">
        <v>294</v>
      </c>
      <c r="Q1177" s="5" t="s">
        <v>266</v>
      </c>
      <c r="R1177" s="5" t="s">
        <v>240</v>
      </c>
      <c r="S1177" s="5" t="s">
        <v>240</v>
      </c>
      <c r="T1177" s="5" t="s">
        <v>296</v>
      </c>
      <c r="U1177" s="5" t="s">
        <v>244</v>
      </c>
      <c r="V1177" s="5" t="s">
        <v>240</v>
      </c>
      <c r="Y1177" s="5" t="s">
        <v>240</v>
      </c>
      <c r="Z1177" s="6" t="s">
        <v>298</v>
      </c>
      <c r="AB1177" s="6" t="s">
        <v>240</v>
      </c>
      <c r="AE1177" s="6" t="s">
        <v>299</v>
      </c>
      <c r="AF1177" s="5" t="s">
        <v>248</v>
      </c>
      <c r="AG1177" s="5" t="s">
        <v>249</v>
      </c>
      <c r="AW1177" s="5" t="s">
        <v>251</v>
      </c>
      <c r="AX1177" s="5" t="s">
        <v>240</v>
      </c>
      <c r="AY1177" s="5" t="s">
        <v>253</v>
      </c>
      <c r="AZ1177" s="5" t="s">
        <v>240</v>
      </c>
      <c r="BA1177" s="5" t="s">
        <v>255</v>
      </c>
      <c r="BB1177" s="5" t="s">
        <v>240</v>
      </c>
      <c r="BD1177" s="5" t="s">
        <v>240</v>
      </c>
      <c r="BF1177" s="5" t="s">
        <v>301</v>
      </c>
      <c r="BG1177" s="6" t="s">
        <v>299</v>
      </c>
      <c r="BH1177" s="5" t="s">
        <v>302</v>
      </c>
      <c r="BI1177" s="5" t="s">
        <v>303</v>
      </c>
      <c r="BJ1177" s="5" t="s">
        <v>240</v>
      </c>
      <c r="BK1177" s="8">
        <f>0</f>
        <v>0</v>
      </c>
      <c r="BL1177" s="7">
        <f>0</f>
        <v>0</v>
      </c>
      <c r="BM1177" s="5" t="s">
        <v>258</v>
      </c>
      <c r="BN1177" s="5" t="s">
        <v>259</v>
      </c>
      <c r="CB1177" s="5" t="s">
        <v>240</v>
      </c>
      <c r="CC1177" s="5" t="s">
        <v>240</v>
      </c>
      <c r="CG1177" s="5" t="s">
        <v>304</v>
      </c>
      <c r="CH1177" s="5" t="s">
        <v>305</v>
      </c>
      <c r="CI1177" s="5" t="s">
        <v>240</v>
      </c>
      <c r="CL1177" s="6" t="s">
        <v>261</v>
      </c>
      <c r="CM1177" s="5" t="s">
        <v>240</v>
      </c>
      <c r="CN1177" s="5" t="s">
        <v>263</v>
      </c>
      <c r="CO1177" s="5" t="s">
        <v>240</v>
      </c>
      <c r="CP1177" s="5" t="s">
        <v>240</v>
      </c>
      <c r="CQ1177" s="5">
        <v>0</v>
      </c>
      <c r="CR1177" s="5" t="s">
        <v>306</v>
      </c>
      <c r="CS1177" s="5" t="s">
        <v>307</v>
      </c>
      <c r="CT1177" s="5" t="s">
        <v>307</v>
      </c>
      <c r="CU1177" s="5" t="s">
        <v>260</v>
      </c>
      <c r="CX1177" s="7">
        <f>1</f>
        <v>1</v>
      </c>
      <c r="CY1177" s="7">
        <f>0</f>
        <v>0</v>
      </c>
      <c r="DA1177" s="7">
        <f>0</f>
        <v>0</v>
      </c>
      <c r="DC1177" s="5" t="s">
        <v>812</v>
      </c>
      <c r="DD1177" s="5" t="s">
        <v>240</v>
      </c>
      <c r="DF1177" s="5" t="s">
        <v>812</v>
      </c>
      <c r="DG1177" s="7">
        <f>208</f>
        <v>208</v>
      </c>
      <c r="DI1177" s="5" t="s">
        <v>240</v>
      </c>
      <c r="DJ1177" s="5" t="s">
        <v>240</v>
      </c>
      <c r="DK1177" s="5" t="s">
        <v>240</v>
      </c>
      <c r="DL1177" s="5" t="s">
        <v>240</v>
      </c>
      <c r="DP1177" s="5" t="s">
        <v>240</v>
      </c>
      <c r="DQ1177" s="5" t="s">
        <v>240</v>
      </c>
      <c r="DR1177" s="5" t="s">
        <v>240</v>
      </c>
      <c r="DS1177" s="5" t="s">
        <v>240</v>
      </c>
      <c r="DV1177" s="5" t="s">
        <v>813</v>
      </c>
      <c r="DW1177" s="5" t="s">
        <v>2483</v>
      </c>
      <c r="HO1177" s="5" t="s">
        <v>312</v>
      </c>
    </row>
    <row r="1178" spans="1:223" x14ac:dyDescent="0.4">
      <c r="A1178" s="5">
        <v>2853</v>
      </c>
      <c r="B1178" s="5">
        <v>1</v>
      </c>
      <c r="C1178" s="5">
        <v>1</v>
      </c>
      <c r="D1178" s="5" t="s">
        <v>297</v>
      </c>
      <c r="E1178" s="5" t="s">
        <v>245</v>
      </c>
      <c r="F1178" s="5" t="s">
        <v>254</v>
      </c>
      <c r="G1178" s="5" t="s">
        <v>240</v>
      </c>
      <c r="H1178" s="6" t="s">
        <v>3954</v>
      </c>
      <c r="I1178" s="5" t="s">
        <v>295</v>
      </c>
      <c r="J1178" s="8">
        <f>3558</f>
        <v>3558</v>
      </c>
      <c r="K1178" s="5" t="s">
        <v>308</v>
      </c>
      <c r="L1178" s="7">
        <f>1</f>
        <v>1</v>
      </c>
      <c r="M1178" s="7">
        <f>1</f>
        <v>1</v>
      </c>
      <c r="N1178" s="5" t="s">
        <v>242</v>
      </c>
      <c r="O1178" s="5">
        <v>1</v>
      </c>
      <c r="P1178" s="5" t="s">
        <v>294</v>
      </c>
      <c r="Q1178" s="5" t="s">
        <v>266</v>
      </c>
      <c r="R1178" s="5" t="s">
        <v>240</v>
      </c>
      <c r="S1178" s="5" t="s">
        <v>240</v>
      </c>
      <c r="T1178" s="5" t="s">
        <v>296</v>
      </c>
      <c r="U1178" s="5" t="s">
        <v>244</v>
      </c>
      <c r="V1178" s="5" t="s">
        <v>240</v>
      </c>
      <c r="Y1178" s="5" t="s">
        <v>240</v>
      </c>
      <c r="Z1178" s="6" t="s">
        <v>298</v>
      </c>
      <c r="AB1178" s="6" t="s">
        <v>240</v>
      </c>
      <c r="AE1178" s="6" t="s">
        <v>299</v>
      </c>
      <c r="AF1178" s="5" t="s">
        <v>248</v>
      </c>
      <c r="AG1178" s="5" t="s">
        <v>249</v>
      </c>
      <c r="AW1178" s="5" t="s">
        <v>251</v>
      </c>
      <c r="AX1178" s="5" t="s">
        <v>240</v>
      </c>
      <c r="AY1178" s="5" t="s">
        <v>253</v>
      </c>
      <c r="AZ1178" s="5" t="s">
        <v>240</v>
      </c>
      <c r="BA1178" s="5" t="s">
        <v>255</v>
      </c>
      <c r="BB1178" s="5" t="s">
        <v>240</v>
      </c>
      <c r="BD1178" s="5" t="s">
        <v>240</v>
      </c>
      <c r="BF1178" s="5" t="s">
        <v>301</v>
      </c>
      <c r="BG1178" s="6" t="s">
        <v>299</v>
      </c>
      <c r="BH1178" s="5" t="s">
        <v>302</v>
      </c>
      <c r="BI1178" s="5" t="s">
        <v>303</v>
      </c>
      <c r="BJ1178" s="5" t="s">
        <v>240</v>
      </c>
      <c r="BK1178" s="8">
        <f>0</f>
        <v>0</v>
      </c>
      <c r="BL1178" s="7">
        <f>0</f>
        <v>0</v>
      </c>
      <c r="BM1178" s="5" t="s">
        <v>258</v>
      </c>
      <c r="BN1178" s="5" t="s">
        <v>259</v>
      </c>
      <c r="CB1178" s="5" t="s">
        <v>240</v>
      </c>
      <c r="CC1178" s="5" t="s">
        <v>240</v>
      </c>
      <c r="CG1178" s="5" t="s">
        <v>304</v>
      </c>
      <c r="CH1178" s="5" t="s">
        <v>305</v>
      </c>
      <c r="CI1178" s="5" t="s">
        <v>240</v>
      </c>
      <c r="CL1178" s="6" t="s">
        <v>261</v>
      </c>
      <c r="CM1178" s="5" t="s">
        <v>240</v>
      </c>
      <c r="CN1178" s="5" t="s">
        <v>263</v>
      </c>
      <c r="CO1178" s="5" t="s">
        <v>240</v>
      </c>
      <c r="CP1178" s="5" t="s">
        <v>240</v>
      </c>
      <c r="CQ1178" s="5">
        <v>0</v>
      </c>
      <c r="CR1178" s="5" t="s">
        <v>306</v>
      </c>
      <c r="CS1178" s="5" t="s">
        <v>307</v>
      </c>
      <c r="CT1178" s="5" t="s">
        <v>307</v>
      </c>
      <c r="CU1178" s="5" t="s">
        <v>260</v>
      </c>
      <c r="CX1178" s="7">
        <f>1</f>
        <v>1</v>
      </c>
      <c r="CY1178" s="7">
        <f>0</f>
        <v>0</v>
      </c>
      <c r="DA1178" s="7">
        <f>0</f>
        <v>0</v>
      </c>
      <c r="DC1178" s="5" t="s">
        <v>812</v>
      </c>
      <c r="DD1178" s="5" t="s">
        <v>240</v>
      </c>
      <c r="DF1178" s="5" t="s">
        <v>812</v>
      </c>
      <c r="DG1178" s="7">
        <f>1637</f>
        <v>1637</v>
      </c>
      <c r="DI1178" s="5" t="s">
        <v>240</v>
      </c>
      <c r="DJ1178" s="5" t="s">
        <v>240</v>
      </c>
      <c r="DK1178" s="5" t="s">
        <v>240</v>
      </c>
      <c r="DL1178" s="5" t="s">
        <v>240</v>
      </c>
      <c r="DP1178" s="5" t="s">
        <v>240</v>
      </c>
      <c r="DQ1178" s="5" t="s">
        <v>240</v>
      </c>
      <c r="DR1178" s="5" t="s">
        <v>240</v>
      </c>
      <c r="DS1178" s="5" t="s">
        <v>240</v>
      </c>
      <c r="DV1178" s="5" t="s">
        <v>813</v>
      </c>
      <c r="DW1178" s="5" t="s">
        <v>1895</v>
      </c>
      <c r="HO1178" s="5" t="s">
        <v>312</v>
      </c>
    </row>
    <row r="1179" spans="1:223" x14ac:dyDescent="0.4">
      <c r="A1179" s="5">
        <v>2854</v>
      </c>
      <c r="B1179" s="5">
        <v>1</v>
      </c>
      <c r="C1179" s="5">
        <v>1</v>
      </c>
      <c r="D1179" s="5" t="s">
        <v>297</v>
      </c>
      <c r="E1179" s="5" t="s">
        <v>245</v>
      </c>
      <c r="F1179" s="5" t="s">
        <v>254</v>
      </c>
      <c r="G1179" s="5" t="s">
        <v>240</v>
      </c>
      <c r="H1179" s="6" t="s">
        <v>3959</v>
      </c>
      <c r="I1179" s="5" t="s">
        <v>295</v>
      </c>
      <c r="J1179" s="8">
        <f>2760</f>
        <v>2760</v>
      </c>
      <c r="K1179" s="5" t="s">
        <v>308</v>
      </c>
      <c r="L1179" s="7">
        <f>1</f>
        <v>1</v>
      </c>
      <c r="M1179" s="7">
        <f>1</f>
        <v>1</v>
      </c>
      <c r="N1179" s="5" t="s">
        <v>242</v>
      </c>
      <c r="O1179" s="5">
        <v>1</v>
      </c>
      <c r="P1179" s="5" t="s">
        <v>294</v>
      </c>
      <c r="Q1179" s="5" t="s">
        <v>266</v>
      </c>
      <c r="R1179" s="5" t="s">
        <v>240</v>
      </c>
      <c r="S1179" s="5" t="s">
        <v>240</v>
      </c>
      <c r="T1179" s="5" t="s">
        <v>296</v>
      </c>
      <c r="U1179" s="5" t="s">
        <v>244</v>
      </c>
      <c r="V1179" s="5" t="s">
        <v>240</v>
      </c>
      <c r="Y1179" s="5" t="s">
        <v>240</v>
      </c>
      <c r="Z1179" s="6" t="s">
        <v>298</v>
      </c>
      <c r="AB1179" s="6" t="s">
        <v>240</v>
      </c>
      <c r="AE1179" s="6" t="s">
        <v>299</v>
      </c>
      <c r="AF1179" s="5" t="s">
        <v>248</v>
      </c>
      <c r="AG1179" s="5" t="s">
        <v>249</v>
      </c>
      <c r="AW1179" s="5" t="s">
        <v>251</v>
      </c>
      <c r="AX1179" s="5" t="s">
        <v>240</v>
      </c>
      <c r="AY1179" s="5" t="s">
        <v>253</v>
      </c>
      <c r="AZ1179" s="5" t="s">
        <v>240</v>
      </c>
      <c r="BA1179" s="5" t="s">
        <v>255</v>
      </c>
      <c r="BB1179" s="5" t="s">
        <v>240</v>
      </c>
      <c r="BD1179" s="5" t="s">
        <v>240</v>
      </c>
      <c r="BF1179" s="5" t="s">
        <v>301</v>
      </c>
      <c r="BG1179" s="6" t="s">
        <v>299</v>
      </c>
      <c r="BH1179" s="5" t="s">
        <v>302</v>
      </c>
      <c r="BI1179" s="5" t="s">
        <v>303</v>
      </c>
      <c r="BJ1179" s="5" t="s">
        <v>240</v>
      </c>
      <c r="BK1179" s="8">
        <f>0</f>
        <v>0</v>
      </c>
      <c r="BL1179" s="7">
        <f>0</f>
        <v>0</v>
      </c>
      <c r="BM1179" s="5" t="s">
        <v>258</v>
      </c>
      <c r="BN1179" s="5" t="s">
        <v>259</v>
      </c>
      <c r="CB1179" s="5" t="s">
        <v>240</v>
      </c>
      <c r="CC1179" s="5" t="s">
        <v>240</v>
      </c>
      <c r="CG1179" s="5" t="s">
        <v>304</v>
      </c>
      <c r="CH1179" s="5" t="s">
        <v>305</v>
      </c>
      <c r="CI1179" s="5" t="s">
        <v>240</v>
      </c>
      <c r="CL1179" s="6" t="s">
        <v>261</v>
      </c>
      <c r="CM1179" s="5" t="s">
        <v>240</v>
      </c>
      <c r="CN1179" s="5" t="s">
        <v>263</v>
      </c>
      <c r="CO1179" s="5" t="s">
        <v>240</v>
      </c>
      <c r="CP1179" s="5" t="s">
        <v>240</v>
      </c>
      <c r="CQ1179" s="5">
        <v>0</v>
      </c>
      <c r="CR1179" s="5" t="s">
        <v>306</v>
      </c>
      <c r="CS1179" s="5" t="s">
        <v>307</v>
      </c>
      <c r="CT1179" s="5" t="s">
        <v>307</v>
      </c>
      <c r="CU1179" s="5" t="s">
        <v>260</v>
      </c>
      <c r="CX1179" s="7">
        <f>1</f>
        <v>1</v>
      </c>
      <c r="CY1179" s="7">
        <f>0</f>
        <v>0</v>
      </c>
      <c r="DA1179" s="7">
        <f>0</f>
        <v>0</v>
      </c>
      <c r="DC1179" s="5" t="s">
        <v>812</v>
      </c>
      <c r="DD1179" s="5" t="s">
        <v>240</v>
      </c>
      <c r="DF1179" s="5" t="s">
        <v>812</v>
      </c>
      <c r="DG1179" s="7">
        <f>339</f>
        <v>339</v>
      </c>
      <c r="DI1179" s="5" t="s">
        <v>240</v>
      </c>
      <c r="DJ1179" s="5" t="s">
        <v>240</v>
      </c>
      <c r="DK1179" s="5" t="s">
        <v>240</v>
      </c>
      <c r="DL1179" s="5" t="s">
        <v>240</v>
      </c>
      <c r="DP1179" s="5" t="s">
        <v>240</v>
      </c>
      <c r="DQ1179" s="5" t="s">
        <v>240</v>
      </c>
      <c r="DR1179" s="5" t="s">
        <v>240</v>
      </c>
      <c r="DS1179" s="5" t="s">
        <v>240</v>
      </c>
      <c r="DV1179" s="5" t="s">
        <v>813</v>
      </c>
      <c r="DW1179" s="5" t="s">
        <v>486</v>
      </c>
      <c r="HO1179" s="5" t="s">
        <v>312</v>
      </c>
    </row>
    <row r="1180" spans="1:223" x14ac:dyDescent="0.4">
      <c r="A1180" s="5">
        <v>2855</v>
      </c>
      <c r="B1180" s="5">
        <v>1</v>
      </c>
      <c r="C1180" s="5">
        <v>1</v>
      </c>
      <c r="D1180" s="5" t="s">
        <v>297</v>
      </c>
      <c r="E1180" s="5" t="s">
        <v>245</v>
      </c>
      <c r="F1180" s="5" t="s">
        <v>254</v>
      </c>
      <c r="G1180" s="5" t="s">
        <v>240</v>
      </c>
      <c r="H1180" s="6" t="s">
        <v>3962</v>
      </c>
      <c r="I1180" s="5" t="s">
        <v>295</v>
      </c>
      <c r="J1180" s="8">
        <f>1812</f>
        <v>1812</v>
      </c>
      <c r="K1180" s="5" t="s">
        <v>308</v>
      </c>
      <c r="L1180" s="7">
        <f>1</f>
        <v>1</v>
      </c>
      <c r="M1180" s="7">
        <f>1</f>
        <v>1</v>
      </c>
      <c r="N1180" s="5" t="s">
        <v>242</v>
      </c>
      <c r="O1180" s="5">
        <v>1</v>
      </c>
      <c r="P1180" s="5" t="s">
        <v>294</v>
      </c>
      <c r="Q1180" s="5" t="s">
        <v>266</v>
      </c>
      <c r="R1180" s="5" t="s">
        <v>240</v>
      </c>
      <c r="S1180" s="5" t="s">
        <v>240</v>
      </c>
      <c r="T1180" s="5" t="s">
        <v>296</v>
      </c>
      <c r="U1180" s="5" t="s">
        <v>244</v>
      </c>
      <c r="V1180" s="5" t="s">
        <v>240</v>
      </c>
      <c r="Y1180" s="5" t="s">
        <v>240</v>
      </c>
      <c r="Z1180" s="6" t="s">
        <v>298</v>
      </c>
      <c r="AB1180" s="6" t="s">
        <v>240</v>
      </c>
      <c r="AE1180" s="6" t="s">
        <v>299</v>
      </c>
      <c r="AF1180" s="5" t="s">
        <v>248</v>
      </c>
      <c r="AG1180" s="5" t="s">
        <v>249</v>
      </c>
      <c r="AW1180" s="5" t="s">
        <v>251</v>
      </c>
      <c r="AX1180" s="5" t="s">
        <v>240</v>
      </c>
      <c r="AY1180" s="5" t="s">
        <v>253</v>
      </c>
      <c r="AZ1180" s="5" t="s">
        <v>240</v>
      </c>
      <c r="BA1180" s="5" t="s">
        <v>255</v>
      </c>
      <c r="BB1180" s="5" t="s">
        <v>240</v>
      </c>
      <c r="BD1180" s="5" t="s">
        <v>240</v>
      </c>
      <c r="BF1180" s="5" t="s">
        <v>301</v>
      </c>
      <c r="BG1180" s="6" t="s">
        <v>299</v>
      </c>
      <c r="BH1180" s="5" t="s">
        <v>302</v>
      </c>
      <c r="BI1180" s="5" t="s">
        <v>303</v>
      </c>
      <c r="BJ1180" s="5" t="s">
        <v>240</v>
      </c>
      <c r="BK1180" s="8">
        <f>0</f>
        <v>0</v>
      </c>
      <c r="BL1180" s="7">
        <f>0</f>
        <v>0</v>
      </c>
      <c r="BM1180" s="5" t="s">
        <v>258</v>
      </c>
      <c r="BN1180" s="5" t="s">
        <v>259</v>
      </c>
      <c r="CB1180" s="5" t="s">
        <v>240</v>
      </c>
      <c r="CC1180" s="5" t="s">
        <v>240</v>
      </c>
      <c r="CG1180" s="5" t="s">
        <v>304</v>
      </c>
      <c r="CH1180" s="5" t="s">
        <v>305</v>
      </c>
      <c r="CI1180" s="5" t="s">
        <v>240</v>
      </c>
      <c r="CL1180" s="6" t="s">
        <v>261</v>
      </c>
      <c r="CM1180" s="5" t="s">
        <v>240</v>
      </c>
      <c r="CN1180" s="5" t="s">
        <v>263</v>
      </c>
      <c r="CO1180" s="5" t="s">
        <v>240</v>
      </c>
      <c r="CP1180" s="5" t="s">
        <v>240</v>
      </c>
      <c r="CQ1180" s="5">
        <v>0</v>
      </c>
      <c r="CR1180" s="5" t="s">
        <v>306</v>
      </c>
      <c r="CS1180" s="5" t="s">
        <v>307</v>
      </c>
      <c r="CT1180" s="5" t="s">
        <v>307</v>
      </c>
      <c r="CU1180" s="5" t="s">
        <v>260</v>
      </c>
      <c r="CX1180" s="7">
        <f>1</f>
        <v>1</v>
      </c>
      <c r="CY1180" s="7">
        <f>0</f>
        <v>0</v>
      </c>
      <c r="DA1180" s="7">
        <f>0</f>
        <v>0</v>
      </c>
      <c r="DC1180" s="5" t="s">
        <v>812</v>
      </c>
      <c r="DD1180" s="5" t="s">
        <v>240</v>
      </c>
      <c r="DF1180" s="5" t="s">
        <v>812</v>
      </c>
      <c r="DG1180" s="7">
        <f>291</f>
        <v>291</v>
      </c>
      <c r="DI1180" s="5" t="s">
        <v>240</v>
      </c>
      <c r="DJ1180" s="5" t="s">
        <v>240</v>
      </c>
      <c r="DK1180" s="5" t="s">
        <v>240</v>
      </c>
      <c r="DL1180" s="5" t="s">
        <v>240</v>
      </c>
      <c r="DP1180" s="5" t="s">
        <v>240</v>
      </c>
      <c r="DQ1180" s="5" t="s">
        <v>240</v>
      </c>
      <c r="DR1180" s="5" t="s">
        <v>240</v>
      </c>
      <c r="DS1180" s="5" t="s">
        <v>240</v>
      </c>
      <c r="DV1180" s="5" t="s">
        <v>813</v>
      </c>
      <c r="DW1180" s="5" t="s">
        <v>451</v>
      </c>
      <c r="HO1180" s="5" t="s">
        <v>312</v>
      </c>
    </row>
    <row r="1181" spans="1:223" x14ac:dyDescent="0.4">
      <c r="A1181" s="5">
        <v>2856</v>
      </c>
      <c r="B1181" s="5">
        <v>1</v>
      </c>
      <c r="C1181" s="5">
        <v>1</v>
      </c>
      <c r="D1181" s="5" t="s">
        <v>297</v>
      </c>
      <c r="E1181" s="5" t="s">
        <v>245</v>
      </c>
      <c r="F1181" s="5" t="s">
        <v>254</v>
      </c>
      <c r="G1181" s="5" t="s">
        <v>240</v>
      </c>
      <c r="H1181" s="6" t="s">
        <v>3965</v>
      </c>
      <c r="I1181" s="5" t="s">
        <v>295</v>
      </c>
      <c r="J1181" s="8">
        <f>2744</f>
        <v>2744</v>
      </c>
      <c r="K1181" s="5" t="s">
        <v>308</v>
      </c>
      <c r="L1181" s="7">
        <f>1</f>
        <v>1</v>
      </c>
      <c r="M1181" s="7">
        <f>1</f>
        <v>1</v>
      </c>
      <c r="N1181" s="5" t="s">
        <v>242</v>
      </c>
      <c r="O1181" s="5">
        <v>1</v>
      </c>
      <c r="P1181" s="5" t="s">
        <v>294</v>
      </c>
      <c r="Q1181" s="5" t="s">
        <v>266</v>
      </c>
      <c r="R1181" s="5" t="s">
        <v>240</v>
      </c>
      <c r="S1181" s="5" t="s">
        <v>240</v>
      </c>
      <c r="T1181" s="5" t="s">
        <v>296</v>
      </c>
      <c r="U1181" s="5" t="s">
        <v>244</v>
      </c>
      <c r="V1181" s="5" t="s">
        <v>240</v>
      </c>
      <c r="Y1181" s="5" t="s">
        <v>240</v>
      </c>
      <c r="Z1181" s="6" t="s">
        <v>298</v>
      </c>
      <c r="AB1181" s="6" t="s">
        <v>240</v>
      </c>
      <c r="AE1181" s="6" t="s">
        <v>299</v>
      </c>
      <c r="AF1181" s="5" t="s">
        <v>248</v>
      </c>
      <c r="AG1181" s="5" t="s">
        <v>249</v>
      </c>
      <c r="AW1181" s="5" t="s">
        <v>251</v>
      </c>
      <c r="AX1181" s="5" t="s">
        <v>240</v>
      </c>
      <c r="AY1181" s="5" t="s">
        <v>253</v>
      </c>
      <c r="AZ1181" s="5" t="s">
        <v>240</v>
      </c>
      <c r="BA1181" s="5" t="s">
        <v>255</v>
      </c>
      <c r="BB1181" s="5" t="s">
        <v>240</v>
      </c>
      <c r="BD1181" s="5" t="s">
        <v>240</v>
      </c>
      <c r="BF1181" s="5" t="s">
        <v>301</v>
      </c>
      <c r="BG1181" s="6" t="s">
        <v>299</v>
      </c>
      <c r="BH1181" s="5" t="s">
        <v>302</v>
      </c>
      <c r="BI1181" s="5" t="s">
        <v>303</v>
      </c>
      <c r="BJ1181" s="5" t="s">
        <v>240</v>
      </c>
      <c r="BK1181" s="8">
        <f>0</f>
        <v>0</v>
      </c>
      <c r="BL1181" s="7">
        <f>0</f>
        <v>0</v>
      </c>
      <c r="BM1181" s="5" t="s">
        <v>258</v>
      </c>
      <c r="BN1181" s="5" t="s">
        <v>259</v>
      </c>
      <c r="CB1181" s="5" t="s">
        <v>240</v>
      </c>
      <c r="CC1181" s="5" t="s">
        <v>240</v>
      </c>
      <c r="CG1181" s="5" t="s">
        <v>304</v>
      </c>
      <c r="CH1181" s="5" t="s">
        <v>305</v>
      </c>
      <c r="CI1181" s="5" t="s">
        <v>240</v>
      </c>
      <c r="CL1181" s="6" t="s">
        <v>261</v>
      </c>
      <c r="CM1181" s="5" t="s">
        <v>240</v>
      </c>
      <c r="CN1181" s="5" t="s">
        <v>263</v>
      </c>
      <c r="CO1181" s="5" t="s">
        <v>240</v>
      </c>
      <c r="CP1181" s="5" t="s">
        <v>240</v>
      </c>
      <c r="CQ1181" s="5">
        <v>0</v>
      </c>
      <c r="CR1181" s="5" t="s">
        <v>306</v>
      </c>
      <c r="CS1181" s="5" t="s">
        <v>307</v>
      </c>
      <c r="CT1181" s="5" t="s">
        <v>307</v>
      </c>
      <c r="CU1181" s="5" t="s">
        <v>260</v>
      </c>
      <c r="CX1181" s="7">
        <f>1</f>
        <v>1</v>
      </c>
      <c r="CY1181" s="7">
        <f>0</f>
        <v>0</v>
      </c>
      <c r="DA1181" s="7">
        <f>0</f>
        <v>0</v>
      </c>
      <c r="DC1181" s="5" t="s">
        <v>812</v>
      </c>
      <c r="DD1181" s="5" t="s">
        <v>240</v>
      </c>
      <c r="DF1181" s="5" t="s">
        <v>812</v>
      </c>
      <c r="DG1181" s="7">
        <f>1667</f>
        <v>1667</v>
      </c>
      <c r="DI1181" s="5" t="s">
        <v>240</v>
      </c>
      <c r="DJ1181" s="5" t="s">
        <v>240</v>
      </c>
      <c r="DK1181" s="5" t="s">
        <v>240</v>
      </c>
      <c r="DL1181" s="5" t="s">
        <v>240</v>
      </c>
      <c r="DP1181" s="5" t="s">
        <v>240</v>
      </c>
      <c r="DQ1181" s="5" t="s">
        <v>240</v>
      </c>
      <c r="DR1181" s="5" t="s">
        <v>240</v>
      </c>
      <c r="DS1181" s="5" t="s">
        <v>240</v>
      </c>
      <c r="DV1181" s="5" t="s">
        <v>813</v>
      </c>
      <c r="DW1181" s="5" t="s">
        <v>2488</v>
      </c>
      <c r="HO1181" s="5" t="s">
        <v>312</v>
      </c>
    </row>
    <row r="1182" spans="1:223" x14ac:dyDescent="0.4">
      <c r="A1182" s="5">
        <v>2857</v>
      </c>
      <c r="B1182" s="5">
        <v>1</v>
      </c>
      <c r="C1182" s="5">
        <v>1</v>
      </c>
      <c r="D1182" s="5" t="s">
        <v>297</v>
      </c>
      <c r="E1182" s="5" t="s">
        <v>245</v>
      </c>
      <c r="F1182" s="5" t="s">
        <v>254</v>
      </c>
      <c r="G1182" s="5" t="s">
        <v>240</v>
      </c>
      <c r="H1182" s="6" t="s">
        <v>3968</v>
      </c>
      <c r="I1182" s="5" t="s">
        <v>295</v>
      </c>
      <c r="J1182" s="8">
        <f>2356</f>
        <v>2356</v>
      </c>
      <c r="K1182" s="5" t="s">
        <v>308</v>
      </c>
      <c r="L1182" s="7">
        <f>1</f>
        <v>1</v>
      </c>
      <c r="M1182" s="7">
        <f>1</f>
        <v>1</v>
      </c>
      <c r="N1182" s="5" t="s">
        <v>242</v>
      </c>
      <c r="O1182" s="5">
        <v>1</v>
      </c>
      <c r="P1182" s="5" t="s">
        <v>294</v>
      </c>
      <c r="Q1182" s="5" t="s">
        <v>266</v>
      </c>
      <c r="R1182" s="5" t="s">
        <v>240</v>
      </c>
      <c r="S1182" s="5" t="s">
        <v>240</v>
      </c>
      <c r="T1182" s="5" t="s">
        <v>296</v>
      </c>
      <c r="U1182" s="5" t="s">
        <v>244</v>
      </c>
      <c r="V1182" s="5" t="s">
        <v>240</v>
      </c>
      <c r="Y1182" s="5" t="s">
        <v>240</v>
      </c>
      <c r="Z1182" s="6" t="s">
        <v>298</v>
      </c>
      <c r="AB1182" s="6" t="s">
        <v>240</v>
      </c>
      <c r="AE1182" s="6" t="s">
        <v>299</v>
      </c>
      <c r="AF1182" s="5" t="s">
        <v>248</v>
      </c>
      <c r="AG1182" s="5" t="s">
        <v>249</v>
      </c>
      <c r="AW1182" s="5" t="s">
        <v>251</v>
      </c>
      <c r="AX1182" s="5" t="s">
        <v>240</v>
      </c>
      <c r="AY1182" s="5" t="s">
        <v>253</v>
      </c>
      <c r="AZ1182" s="5" t="s">
        <v>240</v>
      </c>
      <c r="BA1182" s="5" t="s">
        <v>255</v>
      </c>
      <c r="BB1182" s="5" t="s">
        <v>240</v>
      </c>
      <c r="BD1182" s="5" t="s">
        <v>240</v>
      </c>
      <c r="BF1182" s="5" t="s">
        <v>301</v>
      </c>
      <c r="BG1182" s="6" t="s">
        <v>299</v>
      </c>
      <c r="BH1182" s="5" t="s">
        <v>302</v>
      </c>
      <c r="BI1182" s="5" t="s">
        <v>303</v>
      </c>
      <c r="BJ1182" s="5" t="s">
        <v>240</v>
      </c>
      <c r="BK1182" s="8">
        <f>0</f>
        <v>0</v>
      </c>
      <c r="BL1182" s="7">
        <f>0</f>
        <v>0</v>
      </c>
      <c r="BM1182" s="5" t="s">
        <v>258</v>
      </c>
      <c r="BN1182" s="5" t="s">
        <v>259</v>
      </c>
      <c r="CB1182" s="5" t="s">
        <v>240</v>
      </c>
      <c r="CC1182" s="5" t="s">
        <v>240</v>
      </c>
      <c r="CG1182" s="5" t="s">
        <v>304</v>
      </c>
      <c r="CH1182" s="5" t="s">
        <v>305</v>
      </c>
      <c r="CI1182" s="5" t="s">
        <v>240</v>
      </c>
      <c r="CL1182" s="6" t="s">
        <v>261</v>
      </c>
      <c r="CM1182" s="5" t="s">
        <v>240</v>
      </c>
      <c r="CN1182" s="5" t="s">
        <v>263</v>
      </c>
      <c r="CO1182" s="5" t="s">
        <v>240</v>
      </c>
      <c r="CP1182" s="5" t="s">
        <v>240</v>
      </c>
      <c r="CQ1182" s="5">
        <v>0</v>
      </c>
      <c r="CR1182" s="5" t="s">
        <v>306</v>
      </c>
      <c r="CS1182" s="5" t="s">
        <v>307</v>
      </c>
      <c r="CT1182" s="5" t="s">
        <v>307</v>
      </c>
      <c r="CU1182" s="5" t="s">
        <v>260</v>
      </c>
      <c r="CX1182" s="7">
        <f>1</f>
        <v>1</v>
      </c>
      <c r="CY1182" s="7">
        <f>0</f>
        <v>0</v>
      </c>
      <c r="DA1182" s="7">
        <f>0</f>
        <v>0</v>
      </c>
      <c r="DC1182" s="5" t="s">
        <v>812</v>
      </c>
      <c r="DD1182" s="5" t="s">
        <v>240</v>
      </c>
      <c r="DF1182" s="5" t="s">
        <v>812</v>
      </c>
      <c r="DG1182" s="7">
        <f>467</f>
        <v>467</v>
      </c>
      <c r="DI1182" s="5" t="s">
        <v>240</v>
      </c>
      <c r="DJ1182" s="5" t="s">
        <v>240</v>
      </c>
      <c r="DK1182" s="5" t="s">
        <v>240</v>
      </c>
      <c r="DL1182" s="5" t="s">
        <v>240</v>
      </c>
      <c r="DP1182" s="5" t="s">
        <v>240</v>
      </c>
      <c r="DQ1182" s="5" t="s">
        <v>240</v>
      </c>
      <c r="DR1182" s="5" t="s">
        <v>240</v>
      </c>
      <c r="DS1182" s="5" t="s">
        <v>240</v>
      </c>
      <c r="DV1182" s="5" t="s">
        <v>813</v>
      </c>
      <c r="DW1182" s="5" t="s">
        <v>2490</v>
      </c>
      <c r="HO1182" s="5" t="s">
        <v>312</v>
      </c>
    </row>
    <row r="1183" spans="1:223" x14ac:dyDescent="0.4">
      <c r="A1183" s="5">
        <v>2858</v>
      </c>
      <c r="B1183" s="5">
        <v>1</v>
      </c>
      <c r="C1183" s="5">
        <v>1</v>
      </c>
      <c r="D1183" s="5" t="s">
        <v>297</v>
      </c>
      <c r="E1183" s="5" t="s">
        <v>245</v>
      </c>
      <c r="F1183" s="5" t="s">
        <v>254</v>
      </c>
      <c r="G1183" s="5" t="s">
        <v>240</v>
      </c>
      <c r="H1183" s="6" t="s">
        <v>3969</v>
      </c>
      <c r="I1183" s="5" t="s">
        <v>295</v>
      </c>
      <c r="J1183" s="8">
        <f>2508</f>
        <v>2508</v>
      </c>
      <c r="K1183" s="5" t="s">
        <v>308</v>
      </c>
      <c r="L1183" s="7">
        <f>1</f>
        <v>1</v>
      </c>
      <c r="M1183" s="7">
        <f>1</f>
        <v>1</v>
      </c>
      <c r="N1183" s="5" t="s">
        <v>242</v>
      </c>
      <c r="O1183" s="5">
        <v>1</v>
      </c>
      <c r="P1183" s="5" t="s">
        <v>294</v>
      </c>
      <c r="Q1183" s="5" t="s">
        <v>266</v>
      </c>
      <c r="R1183" s="5" t="s">
        <v>240</v>
      </c>
      <c r="S1183" s="5" t="s">
        <v>240</v>
      </c>
      <c r="T1183" s="5" t="s">
        <v>296</v>
      </c>
      <c r="U1183" s="5" t="s">
        <v>244</v>
      </c>
      <c r="V1183" s="5" t="s">
        <v>240</v>
      </c>
      <c r="Y1183" s="5" t="s">
        <v>240</v>
      </c>
      <c r="Z1183" s="6" t="s">
        <v>298</v>
      </c>
      <c r="AB1183" s="6" t="s">
        <v>240</v>
      </c>
      <c r="AE1183" s="6" t="s">
        <v>299</v>
      </c>
      <c r="AF1183" s="5" t="s">
        <v>248</v>
      </c>
      <c r="AG1183" s="5" t="s">
        <v>249</v>
      </c>
      <c r="AW1183" s="5" t="s">
        <v>251</v>
      </c>
      <c r="AX1183" s="5" t="s">
        <v>240</v>
      </c>
      <c r="AY1183" s="5" t="s">
        <v>253</v>
      </c>
      <c r="AZ1183" s="5" t="s">
        <v>240</v>
      </c>
      <c r="BA1183" s="5" t="s">
        <v>255</v>
      </c>
      <c r="BB1183" s="5" t="s">
        <v>240</v>
      </c>
      <c r="BD1183" s="5" t="s">
        <v>240</v>
      </c>
      <c r="BF1183" s="5" t="s">
        <v>301</v>
      </c>
      <c r="BG1183" s="6" t="s">
        <v>299</v>
      </c>
      <c r="BH1183" s="5" t="s">
        <v>302</v>
      </c>
      <c r="BI1183" s="5" t="s">
        <v>303</v>
      </c>
      <c r="BJ1183" s="5" t="s">
        <v>240</v>
      </c>
      <c r="BK1183" s="8">
        <f>0</f>
        <v>0</v>
      </c>
      <c r="BL1183" s="7">
        <f>0</f>
        <v>0</v>
      </c>
      <c r="BM1183" s="5" t="s">
        <v>258</v>
      </c>
      <c r="BN1183" s="5" t="s">
        <v>259</v>
      </c>
      <c r="CB1183" s="5" t="s">
        <v>240</v>
      </c>
      <c r="CC1183" s="5" t="s">
        <v>240</v>
      </c>
      <c r="CG1183" s="5" t="s">
        <v>304</v>
      </c>
      <c r="CH1183" s="5" t="s">
        <v>305</v>
      </c>
      <c r="CI1183" s="5" t="s">
        <v>240</v>
      </c>
      <c r="CL1183" s="6" t="s">
        <v>261</v>
      </c>
      <c r="CM1183" s="5" t="s">
        <v>240</v>
      </c>
      <c r="CN1183" s="5" t="s">
        <v>263</v>
      </c>
      <c r="CO1183" s="5" t="s">
        <v>240</v>
      </c>
      <c r="CP1183" s="5" t="s">
        <v>240</v>
      </c>
      <c r="CQ1183" s="5">
        <v>0</v>
      </c>
      <c r="CR1183" s="5" t="s">
        <v>306</v>
      </c>
      <c r="CS1183" s="5" t="s">
        <v>307</v>
      </c>
      <c r="CT1183" s="5" t="s">
        <v>307</v>
      </c>
      <c r="CU1183" s="5" t="s">
        <v>260</v>
      </c>
      <c r="CX1183" s="7">
        <f>1</f>
        <v>1</v>
      </c>
      <c r="CY1183" s="7">
        <f>0</f>
        <v>0</v>
      </c>
      <c r="DA1183" s="7">
        <f>0</f>
        <v>0</v>
      </c>
      <c r="DC1183" s="5" t="s">
        <v>812</v>
      </c>
      <c r="DD1183" s="5" t="s">
        <v>240</v>
      </c>
      <c r="DF1183" s="5" t="s">
        <v>812</v>
      </c>
      <c r="DG1183" s="7">
        <f>541</f>
        <v>541</v>
      </c>
      <c r="DI1183" s="5" t="s">
        <v>240</v>
      </c>
      <c r="DJ1183" s="5" t="s">
        <v>240</v>
      </c>
      <c r="DK1183" s="5" t="s">
        <v>240</v>
      </c>
      <c r="DL1183" s="5" t="s">
        <v>240</v>
      </c>
      <c r="DP1183" s="5" t="s">
        <v>240</v>
      </c>
      <c r="DQ1183" s="5" t="s">
        <v>240</v>
      </c>
      <c r="DR1183" s="5" t="s">
        <v>240</v>
      </c>
      <c r="DS1183" s="5" t="s">
        <v>240</v>
      </c>
      <c r="DV1183" s="5" t="s">
        <v>813</v>
      </c>
      <c r="DW1183" s="5" t="s">
        <v>2492</v>
      </c>
      <c r="HO1183" s="5" t="s">
        <v>312</v>
      </c>
    </row>
    <row r="1184" spans="1:223" x14ac:dyDescent="0.4">
      <c r="A1184" s="5">
        <v>2859</v>
      </c>
      <c r="B1184" s="5">
        <v>1</v>
      </c>
      <c r="C1184" s="5">
        <v>1</v>
      </c>
      <c r="D1184" s="5" t="s">
        <v>297</v>
      </c>
      <c r="E1184" s="5" t="s">
        <v>245</v>
      </c>
      <c r="F1184" s="5" t="s">
        <v>254</v>
      </c>
      <c r="G1184" s="5" t="s">
        <v>240</v>
      </c>
      <c r="H1184" s="6" t="s">
        <v>4034</v>
      </c>
      <c r="I1184" s="5" t="s">
        <v>295</v>
      </c>
      <c r="J1184" s="8">
        <f>531</f>
        <v>531</v>
      </c>
      <c r="K1184" s="5" t="s">
        <v>308</v>
      </c>
      <c r="L1184" s="7">
        <f>1</f>
        <v>1</v>
      </c>
      <c r="M1184" s="7">
        <f>1</f>
        <v>1</v>
      </c>
      <c r="N1184" s="5" t="s">
        <v>242</v>
      </c>
      <c r="O1184" s="5">
        <v>1</v>
      </c>
      <c r="P1184" s="5" t="s">
        <v>294</v>
      </c>
      <c r="Q1184" s="5" t="s">
        <v>266</v>
      </c>
      <c r="R1184" s="5" t="s">
        <v>240</v>
      </c>
      <c r="S1184" s="5" t="s">
        <v>240</v>
      </c>
      <c r="T1184" s="5" t="s">
        <v>296</v>
      </c>
      <c r="U1184" s="5" t="s">
        <v>244</v>
      </c>
      <c r="V1184" s="5" t="s">
        <v>240</v>
      </c>
      <c r="Y1184" s="5" t="s">
        <v>240</v>
      </c>
      <c r="Z1184" s="6" t="s">
        <v>298</v>
      </c>
      <c r="AB1184" s="6" t="s">
        <v>240</v>
      </c>
      <c r="AE1184" s="6" t="s">
        <v>299</v>
      </c>
      <c r="AF1184" s="5" t="s">
        <v>248</v>
      </c>
      <c r="AG1184" s="5" t="s">
        <v>249</v>
      </c>
      <c r="AW1184" s="5" t="s">
        <v>251</v>
      </c>
      <c r="AX1184" s="5" t="s">
        <v>240</v>
      </c>
      <c r="AY1184" s="5" t="s">
        <v>253</v>
      </c>
      <c r="AZ1184" s="5" t="s">
        <v>240</v>
      </c>
      <c r="BA1184" s="5" t="s">
        <v>255</v>
      </c>
      <c r="BB1184" s="5" t="s">
        <v>240</v>
      </c>
      <c r="BD1184" s="5" t="s">
        <v>240</v>
      </c>
      <c r="BF1184" s="5" t="s">
        <v>301</v>
      </c>
      <c r="BG1184" s="6" t="s">
        <v>299</v>
      </c>
      <c r="BH1184" s="5" t="s">
        <v>302</v>
      </c>
      <c r="BI1184" s="5" t="s">
        <v>303</v>
      </c>
      <c r="BJ1184" s="5" t="s">
        <v>240</v>
      </c>
      <c r="BK1184" s="8">
        <f>0</f>
        <v>0</v>
      </c>
      <c r="BL1184" s="7">
        <f>0</f>
        <v>0</v>
      </c>
      <c r="BM1184" s="5" t="s">
        <v>258</v>
      </c>
      <c r="BN1184" s="5" t="s">
        <v>259</v>
      </c>
      <c r="CB1184" s="5" t="s">
        <v>240</v>
      </c>
      <c r="CC1184" s="5" t="s">
        <v>240</v>
      </c>
      <c r="CG1184" s="5" t="s">
        <v>304</v>
      </c>
      <c r="CH1184" s="5" t="s">
        <v>305</v>
      </c>
      <c r="CI1184" s="5" t="s">
        <v>240</v>
      </c>
      <c r="CL1184" s="6" t="s">
        <v>261</v>
      </c>
      <c r="CM1184" s="5" t="s">
        <v>240</v>
      </c>
      <c r="CN1184" s="5" t="s">
        <v>263</v>
      </c>
      <c r="CO1184" s="5" t="s">
        <v>240</v>
      </c>
      <c r="CP1184" s="5" t="s">
        <v>240</v>
      </c>
      <c r="CQ1184" s="5">
        <v>0</v>
      </c>
      <c r="CR1184" s="5" t="s">
        <v>306</v>
      </c>
      <c r="CS1184" s="5" t="s">
        <v>307</v>
      </c>
      <c r="CT1184" s="5" t="s">
        <v>307</v>
      </c>
      <c r="CU1184" s="5" t="s">
        <v>260</v>
      </c>
      <c r="CX1184" s="7">
        <f>1</f>
        <v>1</v>
      </c>
      <c r="CY1184" s="7">
        <f>0</f>
        <v>0</v>
      </c>
      <c r="DA1184" s="7">
        <f>0</f>
        <v>0</v>
      </c>
      <c r="DC1184" s="5" t="s">
        <v>812</v>
      </c>
      <c r="DD1184" s="5" t="s">
        <v>240</v>
      </c>
      <c r="DF1184" s="5" t="s">
        <v>812</v>
      </c>
      <c r="DG1184" s="7">
        <f>1146</f>
        <v>1146</v>
      </c>
      <c r="DI1184" s="5" t="s">
        <v>240</v>
      </c>
      <c r="DJ1184" s="5" t="s">
        <v>240</v>
      </c>
      <c r="DK1184" s="5" t="s">
        <v>240</v>
      </c>
      <c r="DL1184" s="5" t="s">
        <v>240</v>
      </c>
      <c r="DP1184" s="5" t="s">
        <v>240</v>
      </c>
      <c r="DQ1184" s="5" t="s">
        <v>240</v>
      </c>
      <c r="DR1184" s="5" t="s">
        <v>240</v>
      </c>
      <c r="DS1184" s="5" t="s">
        <v>240</v>
      </c>
      <c r="DV1184" s="5" t="s">
        <v>813</v>
      </c>
      <c r="DW1184" s="5" t="s">
        <v>2494</v>
      </c>
      <c r="HO1184" s="5" t="s">
        <v>312</v>
      </c>
    </row>
    <row r="1185" spans="1:223" x14ac:dyDescent="0.4">
      <c r="A1185" s="5">
        <v>2860</v>
      </c>
      <c r="B1185" s="5">
        <v>1</v>
      </c>
      <c r="C1185" s="5">
        <v>1</v>
      </c>
      <c r="D1185" s="5" t="s">
        <v>297</v>
      </c>
      <c r="E1185" s="5" t="s">
        <v>245</v>
      </c>
      <c r="F1185" s="5" t="s">
        <v>254</v>
      </c>
      <c r="G1185" s="5" t="s">
        <v>240</v>
      </c>
      <c r="H1185" s="6" t="s">
        <v>4457</v>
      </c>
      <c r="I1185" s="5" t="s">
        <v>295</v>
      </c>
      <c r="J1185" s="8">
        <f>1961</f>
        <v>1961</v>
      </c>
      <c r="K1185" s="5" t="s">
        <v>308</v>
      </c>
      <c r="L1185" s="7">
        <f>1</f>
        <v>1</v>
      </c>
      <c r="M1185" s="7">
        <f>1</f>
        <v>1</v>
      </c>
      <c r="N1185" s="5" t="s">
        <v>242</v>
      </c>
      <c r="O1185" s="5">
        <v>1</v>
      </c>
      <c r="P1185" s="5" t="s">
        <v>294</v>
      </c>
      <c r="Q1185" s="5" t="s">
        <v>266</v>
      </c>
      <c r="R1185" s="5" t="s">
        <v>240</v>
      </c>
      <c r="S1185" s="5" t="s">
        <v>240</v>
      </c>
      <c r="T1185" s="5" t="s">
        <v>296</v>
      </c>
      <c r="U1185" s="5" t="s">
        <v>244</v>
      </c>
      <c r="V1185" s="5" t="s">
        <v>240</v>
      </c>
      <c r="Y1185" s="5" t="s">
        <v>240</v>
      </c>
      <c r="Z1185" s="6" t="s">
        <v>298</v>
      </c>
      <c r="AB1185" s="6" t="s">
        <v>240</v>
      </c>
      <c r="AE1185" s="6" t="s">
        <v>299</v>
      </c>
      <c r="AF1185" s="5" t="s">
        <v>248</v>
      </c>
      <c r="AG1185" s="5" t="s">
        <v>249</v>
      </c>
      <c r="AW1185" s="5" t="s">
        <v>251</v>
      </c>
      <c r="AX1185" s="5" t="s">
        <v>240</v>
      </c>
      <c r="AY1185" s="5" t="s">
        <v>253</v>
      </c>
      <c r="AZ1185" s="5" t="s">
        <v>240</v>
      </c>
      <c r="BA1185" s="5" t="s">
        <v>255</v>
      </c>
      <c r="BB1185" s="5" t="s">
        <v>240</v>
      </c>
      <c r="BD1185" s="5" t="s">
        <v>240</v>
      </c>
      <c r="BF1185" s="5" t="s">
        <v>301</v>
      </c>
      <c r="BG1185" s="6" t="s">
        <v>299</v>
      </c>
      <c r="BH1185" s="5" t="s">
        <v>302</v>
      </c>
      <c r="BI1185" s="5" t="s">
        <v>303</v>
      </c>
      <c r="BJ1185" s="5" t="s">
        <v>240</v>
      </c>
      <c r="BK1185" s="8">
        <f>0</f>
        <v>0</v>
      </c>
      <c r="BL1185" s="7">
        <f>0</f>
        <v>0</v>
      </c>
      <c r="BM1185" s="5" t="s">
        <v>258</v>
      </c>
      <c r="BN1185" s="5" t="s">
        <v>259</v>
      </c>
      <c r="CB1185" s="5" t="s">
        <v>240</v>
      </c>
      <c r="CC1185" s="5" t="s">
        <v>240</v>
      </c>
      <c r="CG1185" s="5" t="s">
        <v>304</v>
      </c>
      <c r="CH1185" s="5" t="s">
        <v>305</v>
      </c>
      <c r="CI1185" s="5" t="s">
        <v>240</v>
      </c>
      <c r="CL1185" s="6" t="s">
        <v>261</v>
      </c>
      <c r="CM1185" s="5" t="s">
        <v>240</v>
      </c>
      <c r="CN1185" s="5" t="s">
        <v>263</v>
      </c>
      <c r="CO1185" s="5" t="s">
        <v>240</v>
      </c>
      <c r="CP1185" s="5" t="s">
        <v>240</v>
      </c>
      <c r="CQ1185" s="5">
        <v>0</v>
      </c>
      <c r="CR1185" s="5" t="s">
        <v>306</v>
      </c>
      <c r="CS1185" s="5" t="s">
        <v>307</v>
      </c>
      <c r="CT1185" s="5" t="s">
        <v>307</v>
      </c>
      <c r="CU1185" s="5" t="s">
        <v>260</v>
      </c>
      <c r="CX1185" s="7">
        <f>1</f>
        <v>1</v>
      </c>
      <c r="CY1185" s="7">
        <f>0</f>
        <v>0</v>
      </c>
      <c r="DA1185" s="7">
        <f>0</f>
        <v>0</v>
      </c>
      <c r="DC1185" s="5" t="s">
        <v>812</v>
      </c>
      <c r="DD1185" s="5" t="s">
        <v>240</v>
      </c>
      <c r="DF1185" s="5" t="s">
        <v>812</v>
      </c>
      <c r="DG1185" s="7">
        <f>752</f>
        <v>752</v>
      </c>
      <c r="DI1185" s="5" t="s">
        <v>240</v>
      </c>
      <c r="DJ1185" s="5" t="s">
        <v>240</v>
      </c>
      <c r="DK1185" s="5" t="s">
        <v>240</v>
      </c>
      <c r="DL1185" s="5" t="s">
        <v>240</v>
      </c>
      <c r="DP1185" s="5" t="s">
        <v>240</v>
      </c>
      <c r="DQ1185" s="5" t="s">
        <v>240</v>
      </c>
      <c r="DR1185" s="5" t="s">
        <v>240</v>
      </c>
      <c r="DS1185" s="5" t="s">
        <v>240</v>
      </c>
      <c r="DV1185" s="5" t="s">
        <v>813</v>
      </c>
      <c r="DW1185" s="5" t="s">
        <v>2496</v>
      </c>
      <c r="HO1185" s="5" t="s">
        <v>312</v>
      </c>
    </row>
    <row r="1186" spans="1:223" x14ac:dyDescent="0.4">
      <c r="A1186" s="5">
        <v>2861</v>
      </c>
      <c r="B1186" s="5">
        <v>1</v>
      </c>
      <c r="C1186" s="5">
        <v>1</v>
      </c>
      <c r="D1186" s="5" t="s">
        <v>297</v>
      </c>
      <c r="E1186" s="5" t="s">
        <v>245</v>
      </c>
      <c r="F1186" s="5" t="s">
        <v>254</v>
      </c>
      <c r="G1186" s="5" t="s">
        <v>240</v>
      </c>
      <c r="H1186" s="6" t="s">
        <v>4461</v>
      </c>
      <c r="I1186" s="5" t="s">
        <v>295</v>
      </c>
      <c r="J1186" s="8">
        <f>38</f>
        <v>38</v>
      </c>
      <c r="K1186" s="5" t="s">
        <v>308</v>
      </c>
      <c r="L1186" s="7">
        <f>1</f>
        <v>1</v>
      </c>
      <c r="M1186" s="7">
        <f>1</f>
        <v>1</v>
      </c>
      <c r="N1186" s="5" t="s">
        <v>242</v>
      </c>
      <c r="O1186" s="5">
        <v>1</v>
      </c>
      <c r="P1186" s="5" t="s">
        <v>294</v>
      </c>
      <c r="Q1186" s="5" t="s">
        <v>266</v>
      </c>
      <c r="R1186" s="5" t="s">
        <v>240</v>
      </c>
      <c r="S1186" s="5" t="s">
        <v>240</v>
      </c>
      <c r="T1186" s="5" t="s">
        <v>296</v>
      </c>
      <c r="U1186" s="5" t="s">
        <v>244</v>
      </c>
      <c r="V1186" s="5" t="s">
        <v>240</v>
      </c>
      <c r="Y1186" s="5" t="s">
        <v>240</v>
      </c>
      <c r="Z1186" s="6" t="s">
        <v>298</v>
      </c>
      <c r="AB1186" s="6" t="s">
        <v>240</v>
      </c>
      <c r="AE1186" s="6" t="s">
        <v>299</v>
      </c>
      <c r="AF1186" s="5" t="s">
        <v>248</v>
      </c>
      <c r="AG1186" s="5" t="s">
        <v>249</v>
      </c>
      <c r="AW1186" s="5" t="s">
        <v>251</v>
      </c>
      <c r="AX1186" s="5" t="s">
        <v>240</v>
      </c>
      <c r="AY1186" s="5" t="s">
        <v>253</v>
      </c>
      <c r="AZ1186" s="5" t="s">
        <v>240</v>
      </c>
      <c r="BA1186" s="5" t="s">
        <v>255</v>
      </c>
      <c r="BB1186" s="5" t="s">
        <v>240</v>
      </c>
      <c r="BD1186" s="5" t="s">
        <v>240</v>
      </c>
      <c r="BF1186" s="5" t="s">
        <v>301</v>
      </c>
      <c r="BG1186" s="6" t="s">
        <v>299</v>
      </c>
      <c r="BH1186" s="5" t="s">
        <v>302</v>
      </c>
      <c r="BI1186" s="5" t="s">
        <v>303</v>
      </c>
      <c r="BJ1186" s="5" t="s">
        <v>240</v>
      </c>
      <c r="BK1186" s="8">
        <f>0</f>
        <v>0</v>
      </c>
      <c r="BL1186" s="7">
        <f>0</f>
        <v>0</v>
      </c>
      <c r="BM1186" s="5" t="s">
        <v>258</v>
      </c>
      <c r="BN1186" s="5" t="s">
        <v>259</v>
      </c>
      <c r="CB1186" s="5" t="s">
        <v>240</v>
      </c>
      <c r="CC1186" s="5" t="s">
        <v>240</v>
      </c>
      <c r="CG1186" s="5" t="s">
        <v>304</v>
      </c>
      <c r="CH1186" s="5" t="s">
        <v>305</v>
      </c>
      <c r="CI1186" s="5" t="s">
        <v>240</v>
      </c>
      <c r="CL1186" s="6" t="s">
        <v>261</v>
      </c>
      <c r="CM1186" s="5" t="s">
        <v>240</v>
      </c>
      <c r="CN1186" s="5" t="s">
        <v>263</v>
      </c>
      <c r="CO1186" s="5" t="s">
        <v>240</v>
      </c>
      <c r="CP1186" s="5" t="s">
        <v>240</v>
      </c>
      <c r="CQ1186" s="5">
        <v>0</v>
      </c>
      <c r="CR1186" s="5" t="s">
        <v>306</v>
      </c>
      <c r="CS1186" s="5" t="s">
        <v>307</v>
      </c>
      <c r="CT1186" s="5" t="s">
        <v>307</v>
      </c>
      <c r="CU1186" s="5" t="s">
        <v>260</v>
      </c>
      <c r="CX1186" s="7">
        <f>1</f>
        <v>1</v>
      </c>
      <c r="CY1186" s="7">
        <f>0</f>
        <v>0</v>
      </c>
      <c r="DA1186" s="7">
        <f>0</f>
        <v>0</v>
      </c>
      <c r="DC1186" s="5" t="s">
        <v>812</v>
      </c>
      <c r="DD1186" s="5" t="s">
        <v>240</v>
      </c>
      <c r="DF1186" s="5" t="s">
        <v>812</v>
      </c>
      <c r="DG1186" s="7">
        <f>574</f>
        <v>574</v>
      </c>
      <c r="DI1186" s="5" t="s">
        <v>240</v>
      </c>
      <c r="DJ1186" s="5" t="s">
        <v>240</v>
      </c>
      <c r="DK1186" s="5" t="s">
        <v>240</v>
      </c>
      <c r="DL1186" s="5" t="s">
        <v>240</v>
      </c>
      <c r="DP1186" s="5" t="s">
        <v>240</v>
      </c>
      <c r="DQ1186" s="5" t="s">
        <v>240</v>
      </c>
      <c r="DR1186" s="5" t="s">
        <v>240</v>
      </c>
      <c r="DS1186" s="5" t="s">
        <v>240</v>
      </c>
      <c r="DV1186" s="5" t="s">
        <v>813</v>
      </c>
      <c r="DW1186" s="5" t="s">
        <v>2498</v>
      </c>
      <c r="HO1186" s="5" t="s">
        <v>312</v>
      </c>
    </row>
    <row r="1187" spans="1:223" x14ac:dyDescent="0.4">
      <c r="A1187" s="5">
        <v>2862</v>
      </c>
      <c r="B1187" s="5">
        <v>1</v>
      </c>
      <c r="C1187" s="5">
        <v>1</v>
      </c>
      <c r="D1187" s="5" t="s">
        <v>297</v>
      </c>
      <c r="E1187" s="5" t="s">
        <v>245</v>
      </c>
      <c r="F1187" s="5" t="s">
        <v>254</v>
      </c>
      <c r="G1187" s="5" t="s">
        <v>240</v>
      </c>
      <c r="H1187" s="6" t="s">
        <v>5042</v>
      </c>
      <c r="I1187" s="5" t="s">
        <v>295</v>
      </c>
      <c r="J1187" s="8">
        <f>2784</f>
        <v>2784</v>
      </c>
      <c r="K1187" s="5" t="s">
        <v>308</v>
      </c>
      <c r="L1187" s="7">
        <f>1</f>
        <v>1</v>
      </c>
      <c r="M1187" s="7">
        <f>1</f>
        <v>1</v>
      </c>
      <c r="N1187" s="5" t="s">
        <v>242</v>
      </c>
      <c r="O1187" s="5">
        <v>1</v>
      </c>
      <c r="P1187" s="5" t="s">
        <v>294</v>
      </c>
      <c r="Q1187" s="5" t="s">
        <v>266</v>
      </c>
      <c r="R1187" s="5" t="s">
        <v>240</v>
      </c>
      <c r="S1187" s="5" t="s">
        <v>240</v>
      </c>
      <c r="T1187" s="5" t="s">
        <v>296</v>
      </c>
      <c r="U1187" s="5" t="s">
        <v>244</v>
      </c>
      <c r="V1187" s="5" t="s">
        <v>240</v>
      </c>
      <c r="Y1187" s="5" t="s">
        <v>240</v>
      </c>
      <c r="Z1187" s="6" t="s">
        <v>298</v>
      </c>
      <c r="AB1187" s="6" t="s">
        <v>240</v>
      </c>
      <c r="AE1187" s="6" t="s">
        <v>299</v>
      </c>
      <c r="AF1187" s="5" t="s">
        <v>248</v>
      </c>
      <c r="AG1187" s="5" t="s">
        <v>249</v>
      </c>
      <c r="AW1187" s="5" t="s">
        <v>251</v>
      </c>
      <c r="AX1187" s="5" t="s">
        <v>240</v>
      </c>
      <c r="AY1187" s="5" t="s">
        <v>253</v>
      </c>
      <c r="AZ1187" s="5" t="s">
        <v>240</v>
      </c>
      <c r="BA1187" s="5" t="s">
        <v>255</v>
      </c>
      <c r="BB1187" s="5" t="s">
        <v>240</v>
      </c>
      <c r="BD1187" s="5" t="s">
        <v>240</v>
      </c>
      <c r="BF1187" s="5" t="s">
        <v>301</v>
      </c>
      <c r="BG1187" s="6" t="s">
        <v>299</v>
      </c>
      <c r="BH1187" s="5" t="s">
        <v>302</v>
      </c>
      <c r="BI1187" s="5" t="s">
        <v>303</v>
      </c>
      <c r="BJ1187" s="5" t="s">
        <v>240</v>
      </c>
      <c r="BK1187" s="8">
        <f>0</f>
        <v>0</v>
      </c>
      <c r="BL1187" s="7">
        <f>0</f>
        <v>0</v>
      </c>
      <c r="BM1187" s="5" t="s">
        <v>258</v>
      </c>
      <c r="BN1187" s="5" t="s">
        <v>259</v>
      </c>
      <c r="CB1187" s="5" t="s">
        <v>240</v>
      </c>
      <c r="CC1187" s="5" t="s">
        <v>240</v>
      </c>
      <c r="CG1187" s="5" t="s">
        <v>304</v>
      </c>
      <c r="CH1187" s="5" t="s">
        <v>305</v>
      </c>
      <c r="CI1187" s="5" t="s">
        <v>240</v>
      </c>
      <c r="CL1187" s="6" t="s">
        <v>261</v>
      </c>
      <c r="CM1187" s="5" t="s">
        <v>240</v>
      </c>
      <c r="CN1187" s="5" t="s">
        <v>263</v>
      </c>
      <c r="CO1187" s="5" t="s">
        <v>240</v>
      </c>
      <c r="CP1187" s="5" t="s">
        <v>240</v>
      </c>
      <c r="CQ1187" s="5">
        <v>0</v>
      </c>
      <c r="CR1187" s="5" t="s">
        <v>306</v>
      </c>
      <c r="CS1187" s="5" t="s">
        <v>307</v>
      </c>
      <c r="CT1187" s="5" t="s">
        <v>307</v>
      </c>
      <c r="CU1187" s="5" t="s">
        <v>260</v>
      </c>
      <c r="CX1187" s="7">
        <f>1</f>
        <v>1</v>
      </c>
      <c r="CY1187" s="7">
        <f>0</f>
        <v>0</v>
      </c>
      <c r="DA1187" s="7">
        <f>0</f>
        <v>0</v>
      </c>
      <c r="DC1187" s="5" t="s">
        <v>812</v>
      </c>
      <c r="DD1187" s="5" t="s">
        <v>240</v>
      </c>
      <c r="DF1187" s="5" t="s">
        <v>812</v>
      </c>
      <c r="DG1187" s="7">
        <f>366</f>
        <v>366</v>
      </c>
      <c r="DI1187" s="5" t="s">
        <v>240</v>
      </c>
      <c r="DJ1187" s="5" t="s">
        <v>240</v>
      </c>
      <c r="DK1187" s="5" t="s">
        <v>240</v>
      </c>
      <c r="DL1187" s="5" t="s">
        <v>240</v>
      </c>
      <c r="DP1187" s="5" t="s">
        <v>240</v>
      </c>
      <c r="DQ1187" s="5" t="s">
        <v>240</v>
      </c>
      <c r="DR1187" s="5" t="s">
        <v>240</v>
      </c>
      <c r="DS1187" s="5" t="s">
        <v>240</v>
      </c>
      <c r="DV1187" s="5" t="s">
        <v>813</v>
      </c>
      <c r="DW1187" s="5" t="s">
        <v>2500</v>
      </c>
      <c r="HO1187" s="5" t="s">
        <v>312</v>
      </c>
    </row>
    <row r="1188" spans="1:223" x14ac:dyDescent="0.4">
      <c r="A1188" s="5">
        <v>2863</v>
      </c>
      <c r="B1188" s="5">
        <v>1</v>
      </c>
      <c r="C1188" s="5">
        <v>1</v>
      </c>
      <c r="D1188" s="5" t="s">
        <v>297</v>
      </c>
      <c r="E1188" s="5" t="s">
        <v>245</v>
      </c>
      <c r="F1188" s="5" t="s">
        <v>254</v>
      </c>
      <c r="G1188" s="5" t="s">
        <v>240</v>
      </c>
      <c r="H1188" s="6" t="s">
        <v>5044</v>
      </c>
      <c r="I1188" s="5" t="s">
        <v>295</v>
      </c>
      <c r="J1188" s="8">
        <f>3681</f>
        <v>3681</v>
      </c>
      <c r="K1188" s="5" t="s">
        <v>308</v>
      </c>
      <c r="L1188" s="7">
        <f>1</f>
        <v>1</v>
      </c>
      <c r="M1188" s="7">
        <f>1</f>
        <v>1</v>
      </c>
      <c r="N1188" s="5" t="s">
        <v>242</v>
      </c>
      <c r="O1188" s="5">
        <v>1</v>
      </c>
      <c r="P1188" s="5" t="s">
        <v>294</v>
      </c>
      <c r="Q1188" s="5" t="s">
        <v>266</v>
      </c>
      <c r="R1188" s="5" t="s">
        <v>240</v>
      </c>
      <c r="S1188" s="5" t="s">
        <v>240</v>
      </c>
      <c r="T1188" s="5" t="s">
        <v>296</v>
      </c>
      <c r="U1188" s="5" t="s">
        <v>244</v>
      </c>
      <c r="V1188" s="5" t="s">
        <v>240</v>
      </c>
      <c r="Y1188" s="5" t="s">
        <v>240</v>
      </c>
      <c r="Z1188" s="6" t="s">
        <v>298</v>
      </c>
      <c r="AB1188" s="6" t="s">
        <v>240</v>
      </c>
      <c r="AE1188" s="6" t="s">
        <v>299</v>
      </c>
      <c r="AF1188" s="5" t="s">
        <v>248</v>
      </c>
      <c r="AG1188" s="5" t="s">
        <v>249</v>
      </c>
      <c r="AW1188" s="5" t="s">
        <v>251</v>
      </c>
      <c r="AX1188" s="5" t="s">
        <v>240</v>
      </c>
      <c r="AY1188" s="5" t="s">
        <v>253</v>
      </c>
      <c r="AZ1188" s="5" t="s">
        <v>240</v>
      </c>
      <c r="BA1188" s="5" t="s">
        <v>255</v>
      </c>
      <c r="BB1188" s="5" t="s">
        <v>240</v>
      </c>
      <c r="BD1188" s="5" t="s">
        <v>240</v>
      </c>
      <c r="BF1188" s="5" t="s">
        <v>301</v>
      </c>
      <c r="BG1188" s="6" t="s">
        <v>299</v>
      </c>
      <c r="BH1188" s="5" t="s">
        <v>302</v>
      </c>
      <c r="BI1188" s="5" t="s">
        <v>303</v>
      </c>
      <c r="BJ1188" s="5" t="s">
        <v>240</v>
      </c>
      <c r="BK1188" s="8">
        <f>0</f>
        <v>0</v>
      </c>
      <c r="BL1188" s="7">
        <f>0</f>
        <v>0</v>
      </c>
      <c r="BM1188" s="5" t="s">
        <v>258</v>
      </c>
      <c r="BN1188" s="5" t="s">
        <v>259</v>
      </c>
      <c r="CB1188" s="5" t="s">
        <v>240</v>
      </c>
      <c r="CC1188" s="5" t="s">
        <v>240</v>
      </c>
      <c r="CG1188" s="5" t="s">
        <v>304</v>
      </c>
      <c r="CH1188" s="5" t="s">
        <v>305</v>
      </c>
      <c r="CI1188" s="5" t="s">
        <v>240</v>
      </c>
      <c r="CL1188" s="6" t="s">
        <v>261</v>
      </c>
      <c r="CM1188" s="5" t="s">
        <v>240</v>
      </c>
      <c r="CN1188" s="5" t="s">
        <v>263</v>
      </c>
      <c r="CO1188" s="5" t="s">
        <v>240</v>
      </c>
      <c r="CP1188" s="5" t="s">
        <v>240</v>
      </c>
      <c r="CQ1188" s="5">
        <v>0</v>
      </c>
      <c r="CR1188" s="5" t="s">
        <v>306</v>
      </c>
      <c r="CS1188" s="5" t="s">
        <v>307</v>
      </c>
      <c r="CT1188" s="5" t="s">
        <v>307</v>
      </c>
      <c r="CU1188" s="5" t="s">
        <v>260</v>
      </c>
      <c r="CX1188" s="7">
        <f>1</f>
        <v>1</v>
      </c>
      <c r="CY1188" s="7">
        <f>0</f>
        <v>0</v>
      </c>
      <c r="DA1188" s="7">
        <f>0</f>
        <v>0</v>
      </c>
      <c r="DC1188" s="5" t="s">
        <v>812</v>
      </c>
      <c r="DD1188" s="5" t="s">
        <v>240</v>
      </c>
      <c r="DF1188" s="5" t="s">
        <v>812</v>
      </c>
      <c r="DG1188" s="7">
        <f>258</f>
        <v>258</v>
      </c>
      <c r="DI1188" s="5" t="s">
        <v>240</v>
      </c>
      <c r="DJ1188" s="5" t="s">
        <v>240</v>
      </c>
      <c r="DK1188" s="5" t="s">
        <v>240</v>
      </c>
      <c r="DL1188" s="5" t="s">
        <v>240</v>
      </c>
      <c r="DP1188" s="5" t="s">
        <v>240</v>
      </c>
      <c r="DQ1188" s="5" t="s">
        <v>240</v>
      </c>
      <c r="DR1188" s="5" t="s">
        <v>240</v>
      </c>
      <c r="DS1188" s="5" t="s">
        <v>240</v>
      </c>
      <c r="DV1188" s="5" t="s">
        <v>813</v>
      </c>
      <c r="DW1188" s="5" t="s">
        <v>2502</v>
      </c>
      <c r="HO1188" s="5" t="s">
        <v>312</v>
      </c>
    </row>
    <row r="1189" spans="1:223" x14ac:dyDescent="0.4">
      <c r="A1189" s="5">
        <v>2864</v>
      </c>
      <c r="B1189" s="5">
        <v>1</v>
      </c>
      <c r="C1189" s="5">
        <v>1</v>
      </c>
      <c r="D1189" s="5" t="s">
        <v>297</v>
      </c>
      <c r="E1189" s="5" t="s">
        <v>245</v>
      </c>
      <c r="F1189" s="5" t="s">
        <v>254</v>
      </c>
      <c r="G1189" s="5" t="s">
        <v>240</v>
      </c>
      <c r="H1189" s="6" t="s">
        <v>5048</v>
      </c>
      <c r="I1189" s="5" t="s">
        <v>295</v>
      </c>
      <c r="J1189" s="8">
        <f>2076</f>
        <v>2076</v>
      </c>
      <c r="K1189" s="5" t="s">
        <v>308</v>
      </c>
      <c r="L1189" s="7">
        <f>1</f>
        <v>1</v>
      </c>
      <c r="M1189" s="7">
        <f>1</f>
        <v>1</v>
      </c>
      <c r="N1189" s="5" t="s">
        <v>242</v>
      </c>
      <c r="O1189" s="5">
        <v>1</v>
      </c>
      <c r="P1189" s="5" t="s">
        <v>294</v>
      </c>
      <c r="Q1189" s="5" t="s">
        <v>266</v>
      </c>
      <c r="R1189" s="5" t="s">
        <v>240</v>
      </c>
      <c r="S1189" s="5" t="s">
        <v>240</v>
      </c>
      <c r="T1189" s="5" t="s">
        <v>296</v>
      </c>
      <c r="U1189" s="5" t="s">
        <v>244</v>
      </c>
      <c r="V1189" s="5" t="s">
        <v>240</v>
      </c>
      <c r="Y1189" s="5" t="s">
        <v>240</v>
      </c>
      <c r="Z1189" s="6" t="s">
        <v>298</v>
      </c>
      <c r="AB1189" s="6" t="s">
        <v>240</v>
      </c>
      <c r="AE1189" s="6" t="s">
        <v>299</v>
      </c>
      <c r="AF1189" s="5" t="s">
        <v>248</v>
      </c>
      <c r="AG1189" s="5" t="s">
        <v>249</v>
      </c>
      <c r="AW1189" s="5" t="s">
        <v>251</v>
      </c>
      <c r="AX1189" s="5" t="s">
        <v>240</v>
      </c>
      <c r="AY1189" s="5" t="s">
        <v>253</v>
      </c>
      <c r="AZ1189" s="5" t="s">
        <v>240</v>
      </c>
      <c r="BA1189" s="5" t="s">
        <v>255</v>
      </c>
      <c r="BB1189" s="5" t="s">
        <v>240</v>
      </c>
      <c r="BD1189" s="5" t="s">
        <v>240</v>
      </c>
      <c r="BF1189" s="5" t="s">
        <v>301</v>
      </c>
      <c r="BG1189" s="6" t="s">
        <v>299</v>
      </c>
      <c r="BH1189" s="5" t="s">
        <v>302</v>
      </c>
      <c r="BI1189" s="5" t="s">
        <v>303</v>
      </c>
      <c r="BJ1189" s="5" t="s">
        <v>240</v>
      </c>
      <c r="BK1189" s="8">
        <f>0</f>
        <v>0</v>
      </c>
      <c r="BL1189" s="7">
        <f>0</f>
        <v>0</v>
      </c>
      <c r="BM1189" s="5" t="s">
        <v>258</v>
      </c>
      <c r="BN1189" s="5" t="s">
        <v>259</v>
      </c>
      <c r="CB1189" s="5" t="s">
        <v>240</v>
      </c>
      <c r="CC1189" s="5" t="s">
        <v>240</v>
      </c>
      <c r="CG1189" s="5" t="s">
        <v>304</v>
      </c>
      <c r="CH1189" s="5" t="s">
        <v>305</v>
      </c>
      <c r="CI1189" s="5" t="s">
        <v>240</v>
      </c>
      <c r="CL1189" s="6" t="s">
        <v>261</v>
      </c>
      <c r="CM1189" s="5" t="s">
        <v>240</v>
      </c>
      <c r="CN1189" s="5" t="s">
        <v>263</v>
      </c>
      <c r="CO1189" s="5" t="s">
        <v>240</v>
      </c>
      <c r="CP1189" s="5" t="s">
        <v>240</v>
      </c>
      <c r="CQ1189" s="5">
        <v>0</v>
      </c>
      <c r="CR1189" s="5" t="s">
        <v>306</v>
      </c>
      <c r="CS1189" s="5" t="s">
        <v>307</v>
      </c>
      <c r="CT1189" s="5" t="s">
        <v>307</v>
      </c>
      <c r="CU1189" s="5" t="s">
        <v>260</v>
      </c>
      <c r="CX1189" s="7">
        <f>1</f>
        <v>1</v>
      </c>
      <c r="CY1189" s="7">
        <f>0</f>
        <v>0</v>
      </c>
      <c r="DA1189" s="7">
        <f>0</f>
        <v>0</v>
      </c>
      <c r="DC1189" s="5" t="s">
        <v>812</v>
      </c>
      <c r="DD1189" s="5" t="s">
        <v>240</v>
      </c>
      <c r="DF1189" s="5" t="s">
        <v>812</v>
      </c>
      <c r="DG1189" s="7">
        <f>624</f>
        <v>624</v>
      </c>
      <c r="DI1189" s="5" t="s">
        <v>240</v>
      </c>
      <c r="DJ1189" s="5" t="s">
        <v>240</v>
      </c>
      <c r="DK1189" s="5" t="s">
        <v>240</v>
      </c>
      <c r="DL1189" s="5" t="s">
        <v>240</v>
      </c>
      <c r="DP1189" s="5" t="s">
        <v>240</v>
      </c>
      <c r="DQ1189" s="5" t="s">
        <v>240</v>
      </c>
      <c r="DR1189" s="5" t="s">
        <v>240</v>
      </c>
      <c r="DS1189" s="5" t="s">
        <v>240</v>
      </c>
      <c r="DV1189" s="5" t="s">
        <v>813</v>
      </c>
      <c r="DW1189" s="5" t="s">
        <v>2504</v>
      </c>
      <c r="HO1189" s="5" t="s">
        <v>312</v>
      </c>
    </row>
    <row r="1190" spans="1:223" x14ac:dyDescent="0.4">
      <c r="A1190" s="5">
        <v>2865</v>
      </c>
      <c r="B1190" s="5">
        <v>1</v>
      </c>
      <c r="C1190" s="5">
        <v>1</v>
      </c>
      <c r="D1190" s="5" t="s">
        <v>297</v>
      </c>
      <c r="E1190" s="5" t="s">
        <v>245</v>
      </c>
      <c r="F1190" s="5" t="s">
        <v>254</v>
      </c>
      <c r="G1190" s="5" t="s">
        <v>240</v>
      </c>
      <c r="H1190" s="6" t="s">
        <v>5050</v>
      </c>
      <c r="I1190" s="5" t="s">
        <v>295</v>
      </c>
      <c r="J1190" s="8">
        <f>474</f>
        <v>474</v>
      </c>
      <c r="K1190" s="5" t="s">
        <v>308</v>
      </c>
      <c r="L1190" s="7">
        <f>1</f>
        <v>1</v>
      </c>
      <c r="M1190" s="7">
        <f>1</f>
        <v>1</v>
      </c>
      <c r="N1190" s="5" t="s">
        <v>242</v>
      </c>
      <c r="O1190" s="5">
        <v>1</v>
      </c>
      <c r="P1190" s="5" t="s">
        <v>294</v>
      </c>
      <c r="Q1190" s="5" t="s">
        <v>266</v>
      </c>
      <c r="R1190" s="5" t="s">
        <v>240</v>
      </c>
      <c r="S1190" s="5" t="s">
        <v>240</v>
      </c>
      <c r="T1190" s="5" t="s">
        <v>296</v>
      </c>
      <c r="U1190" s="5" t="s">
        <v>244</v>
      </c>
      <c r="V1190" s="5" t="s">
        <v>240</v>
      </c>
      <c r="Y1190" s="5" t="s">
        <v>240</v>
      </c>
      <c r="Z1190" s="6" t="s">
        <v>298</v>
      </c>
      <c r="AB1190" s="6" t="s">
        <v>240</v>
      </c>
      <c r="AE1190" s="6" t="s">
        <v>299</v>
      </c>
      <c r="AF1190" s="5" t="s">
        <v>248</v>
      </c>
      <c r="AG1190" s="5" t="s">
        <v>249</v>
      </c>
      <c r="AW1190" s="5" t="s">
        <v>251</v>
      </c>
      <c r="AX1190" s="5" t="s">
        <v>240</v>
      </c>
      <c r="AY1190" s="5" t="s">
        <v>253</v>
      </c>
      <c r="AZ1190" s="5" t="s">
        <v>240</v>
      </c>
      <c r="BA1190" s="5" t="s">
        <v>255</v>
      </c>
      <c r="BB1190" s="5" t="s">
        <v>240</v>
      </c>
      <c r="BD1190" s="5" t="s">
        <v>240</v>
      </c>
      <c r="BF1190" s="5" t="s">
        <v>301</v>
      </c>
      <c r="BG1190" s="6" t="s">
        <v>299</v>
      </c>
      <c r="BH1190" s="5" t="s">
        <v>302</v>
      </c>
      <c r="BI1190" s="5" t="s">
        <v>303</v>
      </c>
      <c r="BJ1190" s="5" t="s">
        <v>240</v>
      </c>
      <c r="BK1190" s="8">
        <f>0</f>
        <v>0</v>
      </c>
      <c r="BL1190" s="7">
        <f>0</f>
        <v>0</v>
      </c>
      <c r="BM1190" s="5" t="s">
        <v>258</v>
      </c>
      <c r="BN1190" s="5" t="s">
        <v>259</v>
      </c>
      <c r="CB1190" s="5" t="s">
        <v>240</v>
      </c>
      <c r="CC1190" s="5" t="s">
        <v>240</v>
      </c>
      <c r="CG1190" s="5" t="s">
        <v>304</v>
      </c>
      <c r="CH1190" s="5" t="s">
        <v>305</v>
      </c>
      <c r="CI1190" s="5" t="s">
        <v>240</v>
      </c>
      <c r="CL1190" s="6" t="s">
        <v>261</v>
      </c>
      <c r="CM1190" s="5" t="s">
        <v>240</v>
      </c>
      <c r="CN1190" s="5" t="s">
        <v>263</v>
      </c>
      <c r="CO1190" s="5" t="s">
        <v>240</v>
      </c>
      <c r="CP1190" s="5" t="s">
        <v>240</v>
      </c>
      <c r="CQ1190" s="5">
        <v>0</v>
      </c>
      <c r="CR1190" s="5" t="s">
        <v>306</v>
      </c>
      <c r="CS1190" s="5" t="s">
        <v>307</v>
      </c>
      <c r="CT1190" s="5" t="s">
        <v>307</v>
      </c>
      <c r="CU1190" s="5" t="s">
        <v>260</v>
      </c>
      <c r="CX1190" s="7">
        <f>1</f>
        <v>1</v>
      </c>
      <c r="CY1190" s="7">
        <f>0</f>
        <v>0</v>
      </c>
      <c r="DA1190" s="7">
        <f>0</f>
        <v>0</v>
      </c>
      <c r="DC1190" s="5" t="s">
        <v>812</v>
      </c>
      <c r="DD1190" s="5" t="s">
        <v>240</v>
      </c>
      <c r="DF1190" s="5" t="s">
        <v>812</v>
      </c>
      <c r="DG1190" s="7">
        <f>463</f>
        <v>463</v>
      </c>
      <c r="DI1190" s="5" t="s">
        <v>240</v>
      </c>
      <c r="DJ1190" s="5" t="s">
        <v>240</v>
      </c>
      <c r="DK1190" s="5" t="s">
        <v>240</v>
      </c>
      <c r="DL1190" s="5" t="s">
        <v>240</v>
      </c>
      <c r="DP1190" s="5" t="s">
        <v>240</v>
      </c>
      <c r="DQ1190" s="5" t="s">
        <v>240</v>
      </c>
      <c r="DR1190" s="5" t="s">
        <v>240</v>
      </c>
      <c r="DS1190" s="5" t="s">
        <v>240</v>
      </c>
      <c r="DV1190" s="5" t="s">
        <v>813</v>
      </c>
      <c r="DW1190" s="5" t="s">
        <v>2506</v>
      </c>
      <c r="HO1190" s="5" t="s">
        <v>312</v>
      </c>
    </row>
    <row r="1191" spans="1:223" x14ac:dyDescent="0.4">
      <c r="A1191" s="5">
        <v>2866</v>
      </c>
      <c r="B1191" s="5">
        <v>1</v>
      </c>
      <c r="C1191" s="5">
        <v>1</v>
      </c>
      <c r="D1191" s="5" t="s">
        <v>297</v>
      </c>
      <c r="E1191" s="5" t="s">
        <v>245</v>
      </c>
      <c r="F1191" s="5" t="s">
        <v>254</v>
      </c>
      <c r="G1191" s="5" t="s">
        <v>240</v>
      </c>
      <c r="H1191" s="6" t="s">
        <v>5051</v>
      </c>
      <c r="I1191" s="5" t="s">
        <v>295</v>
      </c>
      <c r="J1191" s="8">
        <f>1677</f>
        <v>1677</v>
      </c>
      <c r="K1191" s="5" t="s">
        <v>308</v>
      </c>
      <c r="L1191" s="7">
        <f>1</f>
        <v>1</v>
      </c>
      <c r="M1191" s="7">
        <f>1</f>
        <v>1</v>
      </c>
      <c r="N1191" s="5" t="s">
        <v>242</v>
      </c>
      <c r="O1191" s="5">
        <v>1</v>
      </c>
      <c r="P1191" s="5" t="s">
        <v>294</v>
      </c>
      <c r="Q1191" s="5" t="s">
        <v>266</v>
      </c>
      <c r="R1191" s="5" t="s">
        <v>240</v>
      </c>
      <c r="S1191" s="5" t="s">
        <v>240</v>
      </c>
      <c r="T1191" s="5" t="s">
        <v>296</v>
      </c>
      <c r="U1191" s="5" t="s">
        <v>244</v>
      </c>
      <c r="V1191" s="5" t="s">
        <v>240</v>
      </c>
      <c r="Y1191" s="5" t="s">
        <v>240</v>
      </c>
      <c r="Z1191" s="6" t="s">
        <v>298</v>
      </c>
      <c r="AB1191" s="6" t="s">
        <v>240</v>
      </c>
      <c r="AE1191" s="6" t="s">
        <v>299</v>
      </c>
      <c r="AF1191" s="5" t="s">
        <v>248</v>
      </c>
      <c r="AG1191" s="5" t="s">
        <v>249</v>
      </c>
      <c r="AW1191" s="5" t="s">
        <v>251</v>
      </c>
      <c r="AX1191" s="5" t="s">
        <v>240</v>
      </c>
      <c r="AY1191" s="5" t="s">
        <v>253</v>
      </c>
      <c r="AZ1191" s="5" t="s">
        <v>240</v>
      </c>
      <c r="BA1191" s="5" t="s">
        <v>255</v>
      </c>
      <c r="BB1191" s="5" t="s">
        <v>240</v>
      </c>
      <c r="BD1191" s="5" t="s">
        <v>240</v>
      </c>
      <c r="BF1191" s="5" t="s">
        <v>301</v>
      </c>
      <c r="BG1191" s="6" t="s">
        <v>299</v>
      </c>
      <c r="BH1191" s="5" t="s">
        <v>302</v>
      </c>
      <c r="BI1191" s="5" t="s">
        <v>303</v>
      </c>
      <c r="BJ1191" s="5" t="s">
        <v>240</v>
      </c>
      <c r="BK1191" s="8">
        <f>0</f>
        <v>0</v>
      </c>
      <c r="BL1191" s="7">
        <f>0</f>
        <v>0</v>
      </c>
      <c r="BM1191" s="5" t="s">
        <v>258</v>
      </c>
      <c r="BN1191" s="5" t="s">
        <v>259</v>
      </c>
      <c r="CB1191" s="5" t="s">
        <v>240</v>
      </c>
      <c r="CC1191" s="5" t="s">
        <v>240</v>
      </c>
      <c r="CG1191" s="5" t="s">
        <v>304</v>
      </c>
      <c r="CH1191" s="5" t="s">
        <v>305</v>
      </c>
      <c r="CI1191" s="5" t="s">
        <v>240</v>
      </c>
      <c r="CL1191" s="6" t="s">
        <v>261</v>
      </c>
      <c r="CM1191" s="5" t="s">
        <v>240</v>
      </c>
      <c r="CN1191" s="5" t="s">
        <v>263</v>
      </c>
      <c r="CO1191" s="5" t="s">
        <v>240</v>
      </c>
      <c r="CP1191" s="5" t="s">
        <v>240</v>
      </c>
      <c r="CQ1191" s="5">
        <v>0</v>
      </c>
      <c r="CR1191" s="5" t="s">
        <v>306</v>
      </c>
      <c r="CS1191" s="5" t="s">
        <v>307</v>
      </c>
      <c r="CT1191" s="5" t="s">
        <v>307</v>
      </c>
      <c r="CU1191" s="5" t="s">
        <v>260</v>
      </c>
      <c r="CX1191" s="7">
        <f>1</f>
        <v>1</v>
      </c>
      <c r="CY1191" s="7">
        <f>0</f>
        <v>0</v>
      </c>
      <c r="DA1191" s="7">
        <f>0</f>
        <v>0</v>
      </c>
      <c r="DC1191" s="5" t="s">
        <v>812</v>
      </c>
      <c r="DD1191" s="5" t="s">
        <v>240</v>
      </c>
      <c r="DF1191" s="5" t="s">
        <v>812</v>
      </c>
      <c r="DG1191" s="7">
        <f>941</f>
        <v>941</v>
      </c>
      <c r="DI1191" s="5" t="s">
        <v>240</v>
      </c>
      <c r="DJ1191" s="5" t="s">
        <v>240</v>
      </c>
      <c r="DK1191" s="5" t="s">
        <v>240</v>
      </c>
      <c r="DL1191" s="5" t="s">
        <v>240</v>
      </c>
      <c r="DP1191" s="5" t="s">
        <v>240</v>
      </c>
      <c r="DQ1191" s="5" t="s">
        <v>240</v>
      </c>
      <c r="DR1191" s="5" t="s">
        <v>240</v>
      </c>
      <c r="DS1191" s="5" t="s">
        <v>240</v>
      </c>
      <c r="DV1191" s="5" t="s">
        <v>813</v>
      </c>
      <c r="DW1191" s="5" t="s">
        <v>2508</v>
      </c>
      <c r="HO1191" s="5" t="s">
        <v>312</v>
      </c>
    </row>
    <row r="1192" spans="1:223" x14ac:dyDescent="0.4">
      <c r="A1192" s="5">
        <v>2867</v>
      </c>
      <c r="B1192" s="5">
        <v>1</v>
      </c>
      <c r="C1192" s="5">
        <v>1</v>
      </c>
      <c r="D1192" s="5" t="s">
        <v>297</v>
      </c>
      <c r="E1192" s="5" t="s">
        <v>245</v>
      </c>
      <c r="F1192" s="5" t="s">
        <v>254</v>
      </c>
      <c r="G1192" s="5" t="s">
        <v>240</v>
      </c>
      <c r="H1192" s="6" t="s">
        <v>5039</v>
      </c>
      <c r="I1192" s="5" t="s">
        <v>295</v>
      </c>
      <c r="J1192" s="8">
        <f>1675</f>
        <v>1675</v>
      </c>
      <c r="K1192" s="5" t="s">
        <v>308</v>
      </c>
      <c r="L1192" s="7">
        <f>1</f>
        <v>1</v>
      </c>
      <c r="M1192" s="7">
        <f>1</f>
        <v>1</v>
      </c>
      <c r="N1192" s="5" t="s">
        <v>242</v>
      </c>
      <c r="O1192" s="5">
        <v>1</v>
      </c>
      <c r="P1192" s="5" t="s">
        <v>294</v>
      </c>
      <c r="Q1192" s="5" t="s">
        <v>266</v>
      </c>
      <c r="R1192" s="5" t="s">
        <v>240</v>
      </c>
      <c r="S1192" s="5" t="s">
        <v>240</v>
      </c>
      <c r="T1192" s="5" t="s">
        <v>296</v>
      </c>
      <c r="U1192" s="5" t="s">
        <v>244</v>
      </c>
      <c r="V1192" s="5" t="s">
        <v>240</v>
      </c>
      <c r="Y1192" s="5" t="s">
        <v>240</v>
      </c>
      <c r="Z1192" s="6" t="s">
        <v>298</v>
      </c>
      <c r="AB1192" s="6" t="s">
        <v>240</v>
      </c>
      <c r="AE1192" s="6" t="s">
        <v>299</v>
      </c>
      <c r="AF1192" s="5" t="s">
        <v>248</v>
      </c>
      <c r="AG1192" s="5" t="s">
        <v>249</v>
      </c>
      <c r="AW1192" s="5" t="s">
        <v>251</v>
      </c>
      <c r="AX1192" s="5" t="s">
        <v>240</v>
      </c>
      <c r="AY1192" s="5" t="s">
        <v>253</v>
      </c>
      <c r="AZ1192" s="5" t="s">
        <v>240</v>
      </c>
      <c r="BA1192" s="5" t="s">
        <v>255</v>
      </c>
      <c r="BB1192" s="5" t="s">
        <v>240</v>
      </c>
      <c r="BD1192" s="5" t="s">
        <v>240</v>
      </c>
      <c r="BF1192" s="5" t="s">
        <v>301</v>
      </c>
      <c r="BG1192" s="6" t="s">
        <v>299</v>
      </c>
      <c r="BH1192" s="5" t="s">
        <v>302</v>
      </c>
      <c r="BI1192" s="5" t="s">
        <v>303</v>
      </c>
      <c r="BJ1192" s="5" t="s">
        <v>240</v>
      </c>
      <c r="BK1192" s="8">
        <f>0</f>
        <v>0</v>
      </c>
      <c r="BL1192" s="7">
        <f>0</f>
        <v>0</v>
      </c>
      <c r="BM1192" s="5" t="s">
        <v>258</v>
      </c>
      <c r="BN1192" s="5" t="s">
        <v>259</v>
      </c>
      <c r="CB1192" s="5" t="s">
        <v>240</v>
      </c>
      <c r="CC1192" s="5" t="s">
        <v>240</v>
      </c>
      <c r="CG1192" s="5" t="s">
        <v>304</v>
      </c>
      <c r="CH1192" s="5" t="s">
        <v>305</v>
      </c>
      <c r="CI1192" s="5" t="s">
        <v>240</v>
      </c>
      <c r="CL1192" s="6" t="s">
        <v>261</v>
      </c>
      <c r="CM1192" s="5" t="s">
        <v>240</v>
      </c>
      <c r="CN1192" s="5" t="s">
        <v>263</v>
      </c>
      <c r="CO1192" s="5" t="s">
        <v>240</v>
      </c>
      <c r="CP1192" s="5" t="s">
        <v>240</v>
      </c>
      <c r="CQ1192" s="5">
        <v>0</v>
      </c>
      <c r="CR1192" s="5" t="s">
        <v>306</v>
      </c>
      <c r="CS1192" s="5" t="s">
        <v>307</v>
      </c>
      <c r="CT1192" s="5" t="s">
        <v>307</v>
      </c>
      <c r="CU1192" s="5" t="s">
        <v>260</v>
      </c>
      <c r="CX1192" s="7">
        <f>1</f>
        <v>1</v>
      </c>
      <c r="CY1192" s="7">
        <f>0</f>
        <v>0</v>
      </c>
      <c r="DA1192" s="7">
        <f>0</f>
        <v>0</v>
      </c>
      <c r="DC1192" s="5" t="s">
        <v>812</v>
      </c>
      <c r="DD1192" s="5" t="s">
        <v>240</v>
      </c>
      <c r="DF1192" s="5" t="s">
        <v>812</v>
      </c>
      <c r="DG1192" s="7">
        <f>1744</f>
        <v>1744</v>
      </c>
      <c r="DI1192" s="5" t="s">
        <v>240</v>
      </c>
      <c r="DJ1192" s="5" t="s">
        <v>240</v>
      </c>
      <c r="DK1192" s="5" t="s">
        <v>240</v>
      </c>
      <c r="DL1192" s="5" t="s">
        <v>240</v>
      </c>
      <c r="DP1192" s="5" t="s">
        <v>240</v>
      </c>
      <c r="DQ1192" s="5" t="s">
        <v>240</v>
      </c>
      <c r="DR1192" s="5" t="s">
        <v>240</v>
      </c>
      <c r="DS1192" s="5" t="s">
        <v>240</v>
      </c>
      <c r="DV1192" s="5" t="s">
        <v>813</v>
      </c>
      <c r="DW1192" s="5" t="s">
        <v>2510</v>
      </c>
      <c r="HO1192" s="5" t="s">
        <v>312</v>
      </c>
    </row>
    <row r="1193" spans="1:223" x14ac:dyDescent="0.4">
      <c r="A1193" s="5">
        <v>2868</v>
      </c>
      <c r="B1193" s="5">
        <v>1</v>
      </c>
      <c r="C1193" s="5">
        <v>1</v>
      </c>
      <c r="D1193" s="5" t="s">
        <v>297</v>
      </c>
      <c r="E1193" s="5" t="s">
        <v>245</v>
      </c>
      <c r="F1193" s="5" t="s">
        <v>254</v>
      </c>
      <c r="G1193" s="5" t="s">
        <v>240</v>
      </c>
      <c r="H1193" s="6" t="s">
        <v>5058</v>
      </c>
      <c r="I1193" s="5" t="s">
        <v>295</v>
      </c>
      <c r="J1193" s="8">
        <f>292</f>
        <v>292</v>
      </c>
      <c r="K1193" s="5" t="s">
        <v>308</v>
      </c>
      <c r="L1193" s="7">
        <f>1</f>
        <v>1</v>
      </c>
      <c r="M1193" s="7">
        <f>1</f>
        <v>1</v>
      </c>
      <c r="N1193" s="5" t="s">
        <v>242</v>
      </c>
      <c r="O1193" s="5">
        <v>1</v>
      </c>
      <c r="P1193" s="5" t="s">
        <v>294</v>
      </c>
      <c r="Q1193" s="5" t="s">
        <v>266</v>
      </c>
      <c r="R1193" s="5" t="s">
        <v>240</v>
      </c>
      <c r="S1193" s="5" t="s">
        <v>240</v>
      </c>
      <c r="T1193" s="5" t="s">
        <v>296</v>
      </c>
      <c r="U1193" s="5" t="s">
        <v>244</v>
      </c>
      <c r="V1193" s="5" t="s">
        <v>240</v>
      </c>
      <c r="Y1193" s="5" t="s">
        <v>240</v>
      </c>
      <c r="Z1193" s="6" t="s">
        <v>298</v>
      </c>
      <c r="AB1193" s="6" t="s">
        <v>240</v>
      </c>
      <c r="AE1193" s="6" t="s">
        <v>299</v>
      </c>
      <c r="AF1193" s="5" t="s">
        <v>248</v>
      </c>
      <c r="AG1193" s="5" t="s">
        <v>249</v>
      </c>
      <c r="AW1193" s="5" t="s">
        <v>251</v>
      </c>
      <c r="AX1193" s="5" t="s">
        <v>240</v>
      </c>
      <c r="AY1193" s="5" t="s">
        <v>253</v>
      </c>
      <c r="AZ1193" s="5" t="s">
        <v>240</v>
      </c>
      <c r="BA1193" s="5" t="s">
        <v>255</v>
      </c>
      <c r="BB1193" s="5" t="s">
        <v>240</v>
      </c>
      <c r="BD1193" s="5" t="s">
        <v>240</v>
      </c>
      <c r="BF1193" s="5" t="s">
        <v>301</v>
      </c>
      <c r="BG1193" s="6" t="s">
        <v>299</v>
      </c>
      <c r="BH1193" s="5" t="s">
        <v>302</v>
      </c>
      <c r="BI1193" s="5" t="s">
        <v>303</v>
      </c>
      <c r="BJ1193" s="5" t="s">
        <v>240</v>
      </c>
      <c r="BK1193" s="8">
        <f>0</f>
        <v>0</v>
      </c>
      <c r="BL1193" s="7">
        <f>0</f>
        <v>0</v>
      </c>
      <c r="BM1193" s="5" t="s">
        <v>258</v>
      </c>
      <c r="BN1193" s="5" t="s">
        <v>259</v>
      </c>
      <c r="CB1193" s="5" t="s">
        <v>240</v>
      </c>
      <c r="CC1193" s="5" t="s">
        <v>240</v>
      </c>
      <c r="CG1193" s="5" t="s">
        <v>304</v>
      </c>
      <c r="CH1193" s="5" t="s">
        <v>305</v>
      </c>
      <c r="CI1193" s="5" t="s">
        <v>240</v>
      </c>
      <c r="CL1193" s="6" t="s">
        <v>261</v>
      </c>
      <c r="CM1193" s="5" t="s">
        <v>240</v>
      </c>
      <c r="CN1193" s="5" t="s">
        <v>263</v>
      </c>
      <c r="CO1193" s="5" t="s">
        <v>240</v>
      </c>
      <c r="CP1193" s="5" t="s">
        <v>240</v>
      </c>
      <c r="CQ1193" s="5">
        <v>0</v>
      </c>
      <c r="CR1193" s="5" t="s">
        <v>306</v>
      </c>
      <c r="CS1193" s="5" t="s">
        <v>307</v>
      </c>
      <c r="CT1193" s="5" t="s">
        <v>307</v>
      </c>
      <c r="CU1193" s="5" t="s">
        <v>260</v>
      </c>
      <c r="CX1193" s="7">
        <f>1</f>
        <v>1</v>
      </c>
      <c r="CY1193" s="7">
        <f>0</f>
        <v>0</v>
      </c>
      <c r="DA1193" s="7">
        <f>0</f>
        <v>0</v>
      </c>
      <c r="DC1193" s="5" t="s">
        <v>812</v>
      </c>
      <c r="DD1193" s="5" t="s">
        <v>240</v>
      </c>
      <c r="DF1193" s="5" t="s">
        <v>812</v>
      </c>
      <c r="DG1193" s="7">
        <f>1191</f>
        <v>1191</v>
      </c>
      <c r="DI1193" s="5" t="s">
        <v>240</v>
      </c>
      <c r="DJ1193" s="5" t="s">
        <v>240</v>
      </c>
      <c r="DK1193" s="5" t="s">
        <v>240</v>
      </c>
      <c r="DL1193" s="5" t="s">
        <v>240</v>
      </c>
      <c r="DP1193" s="5" t="s">
        <v>240</v>
      </c>
      <c r="DQ1193" s="5" t="s">
        <v>240</v>
      </c>
      <c r="DR1193" s="5" t="s">
        <v>240</v>
      </c>
      <c r="DS1193" s="5" t="s">
        <v>240</v>
      </c>
      <c r="DV1193" s="5" t="s">
        <v>813</v>
      </c>
      <c r="DW1193" s="5" t="s">
        <v>2512</v>
      </c>
      <c r="HO1193" s="5" t="s">
        <v>312</v>
      </c>
    </row>
    <row r="1194" spans="1:223" x14ac:dyDescent="0.4">
      <c r="A1194" s="5">
        <v>2869</v>
      </c>
      <c r="B1194" s="5">
        <v>1</v>
      </c>
      <c r="C1194" s="5">
        <v>1</v>
      </c>
      <c r="D1194" s="5" t="s">
        <v>297</v>
      </c>
      <c r="E1194" s="5" t="s">
        <v>245</v>
      </c>
      <c r="F1194" s="5" t="s">
        <v>254</v>
      </c>
      <c r="G1194" s="5" t="s">
        <v>240</v>
      </c>
      <c r="H1194" s="6" t="s">
        <v>5036</v>
      </c>
      <c r="I1194" s="5" t="s">
        <v>295</v>
      </c>
      <c r="J1194" s="8">
        <f>3534</f>
        <v>3534</v>
      </c>
      <c r="K1194" s="5" t="s">
        <v>308</v>
      </c>
      <c r="L1194" s="7">
        <f>1</f>
        <v>1</v>
      </c>
      <c r="M1194" s="7">
        <f>1</f>
        <v>1</v>
      </c>
      <c r="N1194" s="5" t="s">
        <v>242</v>
      </c>
      <c r="O1194" s="5">
        <v>1</v>
      </c>
      <c r="P1194" s="5" t="s">
        <v>294</v>
      </c>
      <c r="Q1194" s="5" t="s">
        <v>266</v>
      </c>
      <c r="R1194" s="5" t="s">
        <v>240</v>
      </c>
      <c r="S1194" s="5" t="s">
        <v>240</v>
      </c>
      <c r="T1194" s="5" t="s">
        <v>296</v>
      </c>
      <c r="U1194" s="5" t="s">
        <v>244</v>
      </c>
      <c r="V1194" s="5" t="s">
        <v>240</v>
      </c>
      <c r="Y1194" s="5" t="s">
        <v>240</v>
      </c>
      <c r="Z1194" s="6" t="s">
        <v>298</v>
      </c>
      <c r="AB1194" s="6" t="s">
        <v>240</v>
      </c>
      <c r="AE1194" s="6" t="s">
        <v>299</v>
      </c>
      <c r="AF1194" s="5" t="s">
        <v>248</v>
      </c>
      <c r="AG1194" s="5" t="s">
        <v>249</v>
      </c>
      <c r="AW1194" s="5" t="s">
        <v>251</v>
      </c>
      <c r="AX1194" s="5" t="s">
        <v>240</v>
      </c>
      <c r="AY1194" s="5" t="s">
        <v>253</v>
      </c>
      <c r="AZ1194" s="5" t="s">
        <v>240</v>
      </c>
      <c r="BA1194" s="5" t="s">
        <v>255</v>
      </c>
      <c r="BB1194" s="5" t="s">
        <v>240</v>
      </c>
      <c r="BD1194" s="5" t="s">
        <v>240</v>
      </c>
      <c r="BF1194" s="5" t="s">
        <v>301</v>
      </c>
      <c r="BG1194" s="6" t="s">
        <v>299</v>
      </c>
      <c r="BH1194" s="5" t="s">
        <v>302</v>
      </c>
      <c r="BI1194" s="5" t="s">
        <v>303</v>
      </c>
      <c r="BJ1194" s="5" t="s">
        <v>240</v>
      </c>
      <c r="BK1194" s="8">
        <f>0</f>
        <v>0</v>
      </c>
      <c r="BL1194" s="7">
        <f>0</f>
        <v>0</v>
      </c>
      <c r="BM1194" s="5" t="s">
        <v>258</v>
      </c>
      <c r="BN1194" s="5" t="s">
        <v>259</v>
      </c>
      <c r="CB1194" s="5" t="s">
        <v>240</v>
      </c>
      <c r="CC1194" s="5" t="s">
        <v>240</v>
      </c>
      <c r="CG1194" s="5" t="s">
        <v>304</v>
      </c>
      <c r="CH1194" s="5" t="s">
        <v>305</v>
      </c>
      <c r="CI1194" s="5" t="s">
        <v>240</v>
      </c>
      <c r="CL1194" s="6" t="s">
        <v>261</v>
      </c>
      <c r="CM1194" s="5" t="s">
        <v>240</v>
      </c>
      <c r="CN1194" s="5" t="s">
        <v>263</v>
      </c>
      <c r="CO1194" s="5" t="s">
        <v>240</v>
      </c>
      <c r="CP1194" s="5" t="s">
        <v>240</v>
      </c>
      <c r="CQ1194" s="5">
        <v>0</v>
      </c>
      <c r="CR1194" s="5" t="s">
        <v>306</v>
      </c>
      <c r="CS1194" s="5" t="s">
        <v>307</v>
      </c>
      <c r="CT1194" s="5" t="s">
        <v>307</v>
      </c>
      <c r="CU1194" s="5" t="s">
        <v>260</v>
      </c>
      <c r="CX1194" s="7">
        <f>1</f>
        <v>1</v>
      </c>
      <c r="CY1194" s="7">
        <f>0</f>
        <v>0</v>
      </c>
      <c r="DA1194" s="7">
        <f>0</f>
        <v>0</v>
      </c>
      <c r="DC1194" s="5" t="s">
        <v>812</v>
      </c>
      <c r="DD1194" s="5" t="s">
        <v>240</v>
      </c>
      <c r="DF1194" s="5" t="s">
        <v>812</v>
      </c>
      <c r="DG1194" s="7">
        <f>470</f>
        <v>470</v>
      </c>
      <c r="DI1194" s="5" t="s">
        <v>240</v>
      </c>
      <c r="DJ1194" s="5" t="s">
        <v>240</v>
      </c>
      <c r="DK1194" s="5" t="s">
        <v>240</v>
      </c>
      <c r="DL1194" s="5" t="s">
        <v>240</v>
      </c>
      <c r="DP1194" s="5" t="s">
        <v>240</v>
      </c>
      <c r="DQ1194" s="5" t="s">
        <v>240</v>
      </c>
      <c r="DR1194" s="5" t="s">
        <v>240</v>
      </c>
      <c r="DS1194" s="5" t="s">
        <v>240</v>
      </c>
      <c r="DV1194" s="5" t="s">
        <v>813</v>
      </c>
      <c r="DW1194" s="5" t="s">
        <v>2514</v>
      </c>
      <c r="HO1194" s="5" t="s">
        <v>312</v>
      </c>
    </row>
    <row r="1195" spans="1:223" x14ac:dyDescent="0.4">
      <c r="A1195" s="5">
        <v>2870</v>
      </c>
      <c r="B1195" s="5">
        <v>1</v>
      </c>
      <c r="C1195" s="5">
        <v>1</v>
      </c>
      <c r="D1195" s="5" t="s">
        <v>297</v>
      </c>
      <c r="E1195" s="5" t="s">
        <v>245</v>
      </c>
      <c r="F1195" s="5" t="s">
        <v>254</v>
      </c>
      <c r="G1195" s="5" t="s">
        <v>240</v>
      </c>
      <c r="H1195" s="6" t="s">
        <v>5035</v>
      </c>
      <c r="I1195" s="5" t="s">
        <v>295</v>
      </c>
      <c r="J1195" s="8">
        <f>1731</f>
        <v>1731</v>
      </c>
      <c r="K1195" s="5" t="s">
        <v>308</v>
      </c>
      <c r="L1195" s="7">
        <f>1</f>
        <v>1</v>
      </c>
      <c r="M1195" s="7">
        <f>1</f>
        <v>1</v>
      </c>
      <c r="N1195" s="5" t="s">
        <v>242</v>
      </c>
      <c r="O1195" s="5">
        <v>1</v>
      </c>
      <c r="P1195" s="5" t="s">
        <v>294</v>
      </c>
      <c r="Q1195" s="5" t="s">
        <v>266</v>
      </c>
      <c r="R1195" s="5" t="s">
        <v>240</v>
      </c>
      <c r="S1195" s="5" t="s">
        <v>240</v>
      </c>
      <c r="T1195" s="5" t="s">
        <v>296</v>
      </c>
      <c r="U1195" s="5" t="s">
        <v>244</v>
      </c>
      <c r="V1195" s="5" t="s">
        <v>240</v>
      </c>
      <c r="Y1195" s="5" t="s">
        <v>240</v>
      </c>
      <c r="Z1195" s="6" t="s">
        <v>298</v>
      </c>
      <c r="AB1195" s="6" t="s">
        <v>240</v>
      </c>
      <c r="AE1195" s="6" t="s">
        <v>299</v>
      </c>
      <c r="AF1195" s="5" t="s">
        <v>248</v>
      </c>
      <c r="AG1195" s="5" t="s">
        <v>249</v>
      </c>
      <c r="AW1195" s="5" t="s">
        <v>251</v>
      </c>
      <c r="AX1195" s="5" t="s">
        <v>240</v>
      </c>
      <c r="AY1195" s="5" t="s">
        <v>253</v>
      </c>
      <c r="AZ1195" s="5" t="s">
        <v>240</v>
      </c>
      <c r="BA1195" s="5" t="s">
        <v>255</v>
      </c>
      <c r="BB1195" s="5" t="s">
        <v>240</v>
      </c>
      <c r="BD1195" s="5" t="s">
        <v>240</v>
      </c>
      <c r="BF1195" s="5" t="s">
        <v>301</v>
      </c>
      <c r="BG1195" s="6" t="s">
        <v>299</v>
      </c>
      <c r="BH1195" s="5" t="s">
        <v>302</v>
      </c>
      <c r="BI1195" s="5" t="s">
        <v>303</v>
      </c>
      <c r="BJ1195" s="5" t="s">
        <v>240</v>
      </c>
      <c r="BK1195" s="8">
        <f>0</f>
        <v>0</v>
      </c>
      <c r="BL1195" s="7">
        <f>0</f>
        <v>0</v>
      </c>
      <c r="BM1195" s="5" t="s">
        <v>258</v>
      </c>
      <c r="BN1195" s="5" t="s">
        <v>259</v>
      </c>
      <c r="CB1195" s="5" t="s">
        <v>240</v>
      </c>
      <c r="CC1195" s="5" t="s">
        <v>240</v>
      </c>
      <c r="CG1195" s="5" t="s">
        <v>304</v>
      </c>
      <c r="CH1195" s="5" t="s">
        <v>305</v>
      </c>
      <c r="CI1195" s="5" t="s">
        <v>240</v>
      </c>
      <c r="CL1195" s="6" t="s">
        <v>261</v>
      </c>
      <c r="CM1195" s="5" t="s">
        <v>240</v>
      </c>
      <c r="CN1195" s="5" t="s">
        <v>263</v>
      </c>
      <c r="CO1195" s="5" t="s">
        <v>240</v>
      </c>
      <c r="CP1195" s="5" t="s">
        <v>240</v>
      </c>
      <c r="CQ1195" s="5">
        <v>0</v>
      </c>
      <c r="CR1195" s="5" t="s">
        <v>306</v>
      </c>
      <c r="CS1195" s="5" t="s">
        <v>307</v>
      </c>
      <c r="CT1195" s="5" t="s">
        <v>307</v>
      </c>
      <c r="CU1195" s="5" t="s">
        <v>260</v>
      </c>
      <c r="CX1195" s="7">
        <f>1</f>
        <v>1</v>
      </c>
      <c r="CY1195" s="7">
        <f>0</f>
        <v>0</v>
      </c>
      <c r="DA1195" s="7">
        <f>0</f>
        <v>0</v>
      </c>
      <c r="DC1195" s="5" t="s">
        <v>812</v>
      </c>
      <c r="DD1195" s="5" t="s">
        <v>240</v>
      </c>
      <c r="DF1195" s="5" t="s">
        <v>812</v>
      </c>
      <c r="DG1195" s="7">
        <f>1701</f>
        <v>1701</v>
      </c>
      <c r="DI1195" s="5" t="s">
        <v>240</v>
      </c>
      <c r="DJ1195" s="5" t="s">
        <v>240</v>
      </c>
      <c r="DK1195" s="5" t="s">
        <v>240</v>
      </c>
      <c r="DL1195" s="5" t="s">
        <v>240</v>
      </c>
      <c r="DP1195" s="5" t="s">
        <v>240</v>
      </c>
      <c r="DQ1195" s="5" t="s">
        <v>240</v>
      </c>
      <c r="DR1195" s="5" t="s">
        <v>240</v>
      </c>
      <c r="DS1195" s="5" t="s">
        <v>240</v>
      </c>
      <c r="DV1195" s="5" t="s">
        <v>813</v>
      </c>
      <c r="DW1195" s="5" t="s">
        <v>2516</v>
      </c>
      <c r="HO1195" s="5" t="s">
        <v>312</v>
      </c>
    </row>
    <row r="1196" spans="1:223" x14ac:dyDescent="0.4">
      <c r="A1196" s="5">
        <v>2871</v>
      </c>
      <c r="B1196" s="5">
        <v>1</v>
      </c>
      <c r="C1196" s="5">
        <v>1</v>
      </c>
      <c r="D1196" s="5" t="s">
        <v>297</v>
      </c>
      <c r="E1196" s="5" t="s">
        <v>245</v>
      </c>
      <c r="F1196" s="5" t="s">
        <v>254</v>
      </c>
      <c r="G1196" s="5" t="s">
        <v>240</v>
      </c>
      <c r="H1196" s="6" t="s">
        <v>5034</v>
      </c>
      <c r="I1196" s="5" t="s">
        <v>295</v>
      </c>
      <c r="J1196" s="8">
        <f>1780</f>
        <v>1780</v>
      </c>
      <c r="K1196" s="5" t="s">
        <v>308</v>
      </c>
      <c r="L1196" s="7">
        <f>1</f>
        <v>1</v>
      </c>
      <c r="M1196" s="7">
        <f>1</f>
        <v>1</v>
      </c>
      <c r="N1196" s="5" t="s">
        <v>242</v>
      </c>
      <c r="O1196" s="5">
        <v>1</v>
      </c>
      <c r="P1196" s="5" t="s">
        <v>294</v>
      </c>
      <c r="Q1196" s="5" t="s">
        <v>266</v>
      </c>
      <c r="R1196" s="5" t="s">
        <v>240</v>
      </c>
      <c r="S1196" s="5" t="s">
        <v>240</v>
      </c>
      <c r="T1196" s="5" t="s">
        <v>296</v>
      </c>
      <c r="U1196" s="5" t="s">
        <v>244</v>
      </c>
      <c r="V1196" s="5" t="s">
        <v>240</v>
      </c>
      <c r="Y1196" s="5" t="s">
        <v>240</v>
      </c>
      <c r="Z1196" s="6" t="s">
        <v>298</v>
      </c>
      <c r="AB1196" s="6" t="s">
        <v>240</v>
      </c>
      <c r="AE1196" s="6" t="s">
        <v>299</v>
      </c>
      <c r="AF1196" s="5" t="s">
        <v>248</v>
      </c>
      <c r="AG1196" s="5" t="s">
        <v>249</v>
      </c>
      <c r="AW1196" s="5" t="s">
        <v>251</v>
      </c>
      <c r="AX1196" s="5" t="s">
        <v>240</v>
      </c>
      <c r="AY1196" s="5" t="s">
        <v>253</v>
      </c>
      <c r="AZ1196" s="5" t="s">
        <v>240</v>
      </c>
      <c r="BA1196" s="5" t="s">
        <v>255</v>
      </c>
      <c r="BB1196" s="5" t="s">
        <v>240</v>
      </c>
      <c r="BD1196" s="5" t="s">
        <v>240</v>
      </c>
      <c r="BF1196" s="5" t="s">
        <v>301</v>
      </c>
      <c r="BG1196" s="6" t="s">
        <v>299</v>
      </c>
      <c r="BH1196" s="5" t="s">
        <v>302</v>
      </c>
      <c r="BI1196" s="5" t="s">
        <v>303</v>
      </c>
      <c r="BJ1196" s="5" t="s">
        <v>240</v>
      </c>
      <c r="BK1196" s="8">
        <f>0</f>
        <v>0</v>
      </c>
      <c r="BL1196" s="7">
        <f>0</f>
        <v>0</v>
      </c>
      <c r="BM1196" s="5" t="s">
        <v>258</v>
      </c>
      <c r="BN1196" s="5" t="s">
        <v>259</v>
      </c>
      <c r="CB1196" s="5" t="s">
        <v>240</v>
      </c>
      <c r="CC1196" s="5" t="s">
        <v>240</v>
      </c>
      <c r="CG1196" s="5" t="s">
        <v>304</v>
      </c>
      <c r="CH1196" s="5" t="s">
        <v>305</v>
      </c>
      <c r="CI1196" s="5" t="s">
        <v>240</v>
      </c>
      <c r="CL1196" s="6" t="s">
        <v>261</v>
      </c>
      <c r="CM1196" s="5" t="s">
        <v>240</v>
      </c>
      <c r="CN1196" s="5" t="s">
        <v>263</v>
      </c>
      <c r="CO1196" s="5" t="s">
        <v>240</v>
      </c>
      <c r="CP1196" s="5" t="s">
        <v>240</v>
      </c>
      <c r="CQ1196" s="5">
        <v>0</v>
      </c>
      <c r="CR1196" s="5" t="s">
        <v>306</v>
      </c>
      <c r="CS1196" s="5" t="s">
        <v>307</v>
      </c>
      <c r="CT1196" s="5" t="s">
        <v>307</v>
      </c>
      <c r="CU1196" s="5" t="s">
        <v>260</v>
      </c>
      <c r="CX1196" s="7">
        <f>1</f>
        <v>1</v>
      </c>
      <c r="CY1196" s="7">
        <f>0</f>
        <v>0</v>
      </c>
      <c r="DA1196" s="7">
        <f>0</f>
        <v>0</v>
      </c>
      <c r="DC1196" s="5" t="s">
        <v>812</v>
      </c>
      <c r="DD1196" s="5" t="s">
        <v>240</v>
      </c>
      <c r="DF1196" s="5" t="s">
        <v>812</v>
      </c>
      <c r="DG1196" s="7">
        <f>428</f>
        <v>428</v>
      </c>
      <c r="DI1196" s="5" t="s">
        <v>240</v>
      </c>
      <c r="DJ1196" s="5" t="s">
        <v>240</v>
      </c>
      <c r="DK1196" s="5" t="s">
        <v>240</v>
      </c>
      <c r="DL1196" s="5" t="s">
        <v>240</v>
      </c>
      <c r="DP1196" s="5" t="s">
        <v>240</v>
      </c>
      <c r="DQ1196" s="5" t="s">
        <v>240</v>
      </c>
      <c r="DR1196" s="5" t="s">
        <v>240</v>
      </c>
      <c r="DS1196" s="5" t="s">
        <v>240</v>
      </c>
      <c r="DV1196" s="5" t="s">
        <v>813</v>
      </c>
      <c r="DW1196" s="5" t="s">
        <v>2518</v>
      </c>
      <c r="HO1196" s="5" t="s">
        <v>312</v>
      </c>
    </row>
    <row r="1197" spans="1:223" x14ac:dyDescent="0.4">
      <c r="A1197" s="5">
        <v>2872</v>
      </c>
      <c r="B1197" s="5">
        <v>1</v>
      </c>
      <c r="C1197" s="5">
        <v>1</v>
      </c>
      <c r="D1197" s="5" t="s">
        <v>297</v>
      </c>
      <c r="E1197" s="5" t="s">
        <v>245</v>
      </c>
      <c r="F1197" s="5" t="s">
        <v>254</v>
      </c>
      <c r="G1197" s="5" t="s">
        <v>240</v>
      </c>
      <c r="H1197" s="6" t="s">
        <v>5033</v>
      </c>
      <c r="I1197" s="5" t="s">
        <v>295</v>
      </c>
      <c r="J1197" s="8">
        <f>1242</f>
        <v>1242</v>
      </c>
      <c r="K1197" s="5" t="s">
        <v>308</v>
      </c>
      <c r="L1197" s="7">
        <f>1</f>
        <v>1</v>
      </c>
      <c r="M1197" s="7">
        <f>1</f>
        <v>1</v>
      </c>
      <c r="N1197" s="5" t="s">
        <v>242</v>
      </c>
      <c r="O1197" s="5">
        <v>1</v>
      </c>
      <c r="P1197" s="5" t="s">
        <v>294</v>
      </c>
      <c r="Q1197" s="5" t="s">
        <v>266</v>
      </c>
      <c r="R1197" s="5" t="s">
        <v>240</v>
      </c>
      <c r="S1197" s="5" t="s">
        <v>240</v>
      </c>
      <c r="T1197" s="5" t="s">
        <v>296</v>
      </c>
      <c r="U1197" s="5" t="s">
        <v>244</v>
      </c>
      <c r="V1197" s="5" t="s">
        <v>240</v>
      </c>
      <c r="Y1197" s="5" t="s">
        <v>240</v>
      </c>
      <c r="Z1197" s="6" t="s">
        <v>298</v>
      </c>
      <c r="AB1197" s="6" t="s">
        <v>240</v>
      </c>
      <c r="AE1197" s="6" t="s">
        <v>299</v>
      </c>
      <c r="AF1197" s="5" t="s">
        <v>248</v>
      </c>
      <c r="AG1197" s="5" t="s">
        <v>249</v>
      </c>
      <c r="AW1197" s="5" t="s">
        <v>251</v>
      </c>
      <c r="AX1197" s="5" t="s">
        <v>240</v>
      </c>
      <c r="AY1197" s="5" t="s">
        <v>253</v>
      </c>
      <c r="AZ1197" s="5" t="s">
        <v>240</v>
      </c>
      <c r="BA1197" s="5" t="s">
        <v>255</v>
      </c>
      <c r="BB1197" s="5" t="s">
        <v>240</v>
      </c>
      <c r="BD1197" s="5" t="s">
        <v>240</v>
      </c>
      <c r="BF1197" s="5" t="s">
        <v>301</v>
      </c>
      <c r="BG1197" s="6" t="s">
        <v>299</v>
      </c>
      <c r="BH1197" s="5" t="s">
        <v>302</v>
      </c>
      <c r="BI1197" s="5" t="s">
        <v>303</v>
      </c>
      <c r="BJ1197" s="5" t="s">
        <v>240</v>
      </c>
      <c r="BK1197" s="8">
        <f>0</f>
        <v>0</v>
      </c>
      <c r="BL1197" s="7">
        <f>0</f>
        <v>0</v>
      </c>
      <c r="BM1197" s="5" t="s">
        <v>258</v>
      </c>
      <c r="BN1197" s="5" t="s">
        <v>259</v>
      </c>
      <c r="CB1197" s="5" t="s">
        <v>240</v>
      </c>
      <c r="CC1197" s="5" t="s">
        <v>240</v>
      </c>
      <c r="CG1197" s="5" t="s">
        <v>304</v>
      </c>
      <c r="CH1197" s="5" t="s">
        <v>305</v>
      </c>
      <c r="CI1197" s="5" t="s">
        <v>240</v>
      </c>
      <c r="CL1197" s="6" t="s">
        <v>261</v>
      </c>
      <c r="CM1197" s="5" t="s">
        <v>240</v>
      </c>
      <c r="CN1197" s="5" t="s">
        <v>263</v>
      </c>
      <c r="CO1197" s="5" t="s">
        <v>240</v>
      </c>
      <c r="CP1197" s="5" t="s">
        <v>240</v>
      </c>
      <c r="CQ1197" s="5">
        <v>0</v>
      </c>
      <c r="CR1197" s="5" t="s">
        <v>306</v>
      </c>
      <c r="CS1197" s="5" t="s">
        <v>307</v>
      </c>
      <c r="CT1197" s="5" t="s">
        <v>307</v>
      </c>
      <c r="CU1197" s="5" t="s">
        <v>260</v>
      </c>
      <c r="CX1197" s="7">
        <f>1</f>
        <v>1</v>
      </c>
      <c r="CY1197" s="7">
        <f>0</f>
        <v>0</v>
      </c>
      <c r="DA1197" s="7">
        <f>0</f>
        <v>0</v>
      </c>
      <c r="DC1197" s="5" t="s">
        <v>812</v>
      </c>
      <c r="DD1197" s="5" t="s">
        <v>240</v>
      </c>
      <c r="DF1197" s="5" t="s">
        <v>812</v>
      </c>
      <c r="DG1197" s="7">
        <f>625</f>
        <v>625</v>
      </c>
      <c r="DI1197" s="5" t="s">
        <v>240</v>
      </c>
      <c r="DJ1197" s="5" t="s">
        <v>240</v>
      </c>
      <c r="DK1197" s="5" t="s">
        <v>240</v>
      </c>
      <c r="DL1197" s="5" t="s">
        <v>240</v>
      </c>
      <c r="DP1197" s="5" t="s">
        <v>240</v>
      </c>
      <c r="DQ1197" s="5" t="s">
        <v>240</v>
      </c>
      <c r="DR1197" s="5" t="s">
        <v>240</v>
      </c>
      <c r="DS1197" s="5" t="s">
        <v>240</v>
      </c>
      <c r="DV1197" s="5" t="s">
        <v>813</v>
      </c>
      <c r="DW1197" s="5" t="s">
        <v>2520</v>
      </c>
      <c r="HO1197" s="5" t="s">
        <v>312</v>
      </c>
    </row>
    <row r="1198" spans="1:223" x14ac:dyDescent="0.4">
      <c r="A1198" s="5">
        <v>2873</v>
      </c>
      <c r="B1198" s="5">
        <v>1</v>
      </c>
      <c r="C1198" s="5">
        <v>1</v>
      </c>
      <c r="D1198" s="5" t="s">
        <v>297</v>
      </c>
      <c r="E1198" s="5" t="s">
        <v>245</v>
      </c>
      <c r="F1198" s="5" t="s">
        <v>254</v>
      </c>
      <c r="G1198" s="5" t="s">
        <v>240</v>
      </c>
      <c r="H1198" s="6" t="s">
        <v>5032</v>
      </c>
      <c r="I1198" s="5" t="s">
        <v>295</v>
      </c>
      <c r="J1198" s="8">
        <f>4771</f>
        <v>4771</v>
      </c>
      <c r="K1198" s="5" t="s">
        <v>308</v>
      </c>
      <c r="L1198" s="7">
        <f>1</f>
        <v>1</v>
      </c>
      <c r="M1198" s="7">
        <f>1</f>
        <v>1</v>
      </c>
      <c r="N1198" s="5" t="s">
        <v>242</v>
      </c>
      <c r="O1198" s="5">
        <v>1</v>
      </c>
      <c r="P1198" s="5" t="s">
        <v>294</v>
      </c>
      <c r="Q1198" s="5" t="s">
        <v>266</v>
      </c>
      <c r="R1198" s="5" t="s">
        <v>240</v>
      </c>
      <c r="S1198" s="5" t="s">
        <v>240</v>
      </c>
      <c r="T1198" s="5" t="s">
        <v>296</v>
      </c>
      <c r="U1198" s="5" t="s">
        <v>244</v>
      </c>
      <c r="V1198" s="5" t="s">
        <v>240</v>
      </c>
      <c r="Y1198" s="5" t="s">
        <v>240</v>
      </c>
      <c r="Z1198" s="6" t="s">
        <v>298</v>
      </c>
      <c r="AB1198" s="6" t="s">
        <v>240</v>
      </c>
      <c r="AE1198" s="6" t="s">
        <v>299</v>
      </c>
      <c r="AF1198" s="5" t="s">
        <v>248</v>
      </c>
      <c r="AG1198" s="5" t="s">
        <v>249</v>
      </c>
      <c r="AW1198" s="5" t="s">
        <v>251</v>
      </c>
      <c r="AX1198" s="5" t="s">
        <v>240</v>
      </c>
      <c r="AY1198" s="5" t="s">
        <v>253</v>
      </c>
      <c r="AZ1198" s="5" t="s">
        <v>240</v>
      </c>
      <c r="BA1198" s="5" t="s">
        <v>255</v>
      </c>
      <c r="BB1198" s="5" t="s">
        <v>240</v>
      </c>
      <c r="BD1198" s="5" t="s">
        <v>240</v>
      </c>
      <c r="BF1198" s="5" t="s">
        <v>301</v>
      </c>
      <c r="BG1198" s="6" t="s">
        <v>299</v>
      </c>
      <c r="BH1198" s="5" t="s">
        <v>302</v>
      </c>
      <c r="BI1198" s="5" t="s">
        <v>303</v>
      </c>
      <c r="BJ1198" s="5" t="s">
        <v>240</v>
      </c>
      <c r="BK1198" s="8">
        <f>0</f>
        <v>0</v>
      </c>
      <c r="BL1198" s="7">
        <f>0</f>
        <v>0</v>
      </c>
      <c r="BM1198" s="5" t="s">
        <v>258</v>
      </c>
      <c r="BN1198" s="5" t="s">
        <v>259</v>
      </c>
      <c r="CB1198" s="5" t="s">
        <v>240</v>
      </c>
      <c r="CC1198" s="5" t="s">
        <v>240</v>
      </c>
      <c r="CG1198" s="5" t="s">
        <v>304</v>
      </c>
      <c r="CH1198" s="5" t="s">
        <v>305</v>
      </c>
      <c r="CI1198" s="5" t="s">
        <v>240</v>
      </c>
      <c r="CL1198" s="6" t="s">
        <v>261</v>
      </c>
      <c r="CM1198" s="5" t="s">
        <v>240</v>
      </c>
      <c r="CN1198" s="5" t="s">
        <v>263</v>
      </c>
      <c r="CO1198" s="5" t="s">
        <v>240</v>
      </c>
      <c r="CP1198" s="5" t="s">
        <v>240</v>
      </c>
      <c r="CQ1198" s="5">
        <v>0</v>
      </c>
      <c r="CR1198" s="5" t="s">
        <v>306</v>
      </c>
      <c r="CS1198" s="5" t="s">
        <v>307</v>
      </c>
      <c r="CT1198" s="5" t="s">
        <v>307</v>
      </c>
      <c r="CU1198" s="5" t="s">
        <v>260</v>
      </c>
      <c r="CX1198" s="7">
        <f>1</f>
        <v>1</v>
      </c>
      <c r="CY1198" s="7">
        <f>0</f>
        <v>0</v>
      </c>
      <c r="DA1198" s="7">
        <f>0</f>
        <v>0</v>
      </c>
      <c r="DC1198" s="5" t="s">
        <v>812</v>
      </c>
      <c r="DD1198" s="5" t="s">
        <v>240</v>
      </c>
      <c r="DF1198" s="5" t="s">
        <v>812</v>
      </c>
      <c r="DG1198" s="7">
        <f>641</f>
        <v>641</v>
      </c>
      <c r="DI1198" s="5" t="s">
        <v>240</v>
      </c>
      <c r="DJ1198" s="5" t="s">
        <v>240</v>
      </c>
      <c r="DK1198" s="5" t="s">
        <v>240</v>
      </c>
      <c r="DL1198" s="5" t="s">
        <v>240</v>
      </c>
      <c r="DP1198" s="5" t="s">
        <v>240</v>
      </c>
      <c r="DQ1198" s="5" t="s">
        <v>240</v>
      </c>
      <c r="DR1198" s="5" t="s">
        <v>240</v>
      </c>
      <c r="DS1198" s="5" t="s">
        <v>240</v>
      </c>
      <c r="DV1198" s="5" t="s">
        <v>813</v>
      </c>
      <c r="DW1198" s="5" t="s">
        <v>2522</v>
      </c>
      <c r="HO1198" s="5" t="s">
        <v>312</v>
      </c>
    </row>
    <row r="1199" spans="1:223" x14ac:dyDescent="0.4">
      <c r="A1199" s="5">
        <v>2874</v>
      </c>
      <c r="B1199" s="5">
        <v>1</v>
      </c>
      <c r="C1199" s="5">
        <v>1</v>
      </c>
      <c r="D1199" s="5" t="s">
        <v>297</v>
      </c>
      <c r="E1199" s="5" t="s">
        <v>245</v>
      </c>
      <c r="F1199" s="5" t="s">
        <v>254</v>
      </c>
      <c r="G1199" s="5" t="s">
        <v>240</v>
      </c>
      <c r="H1199" s="6" t="s">
        <v>5031</v>
      </c>
      <c r="I1199" s="5" t="s">
        <v>295</v>
      </c>
      <c r="J1199" s="8">
        <f>1702</f>
        <v>1702</v>
      </c>
      <c r="K1199" s="5" t="s">
        <v>308</v>
      </c>
      <c r="L1199" s="7">
        <f>1</f>
        <v>1</v>
      </c>
      <c r="M1199" s="7">
        <f>1</f>
        <v>1</v>
      </c>
      <c r="N1199" s="5" t="s">
        <v>242</v>
      </c>
      <c r="O1199" s="5">
        <v>1</v>
      </c>
      <c r="P1199" s="5" t="s">
        <v>294</v>
      </c>
      <c r="Q1199" s="5" t="s">
        <v>266</v>
      </c>
      <c r="R1199" s="5" t="s">
        <v>240</v>
      </c>
      <c r="S1199" s="5" t="s">
        <v>240</v>
      </c>
      <c r="T1199" s="5" t="s">
        <v>296</v>
      </c>
      <c r="U1199" s="5" t="s">
        <v>244</v>
      </c>
      <c r="V1199" s="5" t="s">
        <v>240</v>
      </c>
      <c r="Y1199" s="5" t="s">
        <v>240</v>
      </c>
      <c r="Z1199" s="6" t="s">
        <v>298</v>
      </c>
      <c r="AB1199" s="6" t="s">
        <v>240</v>
      </c>
      <c r="AE1199" s="6" t="s">
        <v>299</v>
      </c>
      <c r="AF1199" s="5" t="s">
        <v>248</v>
      </c>
      <c r="AG1199" s="5" t="s">
        <v>249</v>
      </c>
      <c r="AW1199" s="5" t="s">
        <v>251</v>
      </c>
      <c r="AX1199" s="5" t="s">
        <v>240</v>
      </c>
      <c r="AY1199" s="5" t="s">
        <v>253</v>
      </c>
      <c r="AZ1199" s="5" t="s">
        <v>240</v>
      </c>
      <c r="BA1199" s="5" t="s">
        <v>255</v>
      </c>
      <c r="BB1199" s="5" t="s">
        <v>240</v>
      </c>
      <c r="BD1199" s="5" t="s">
        <v>240</v>
      </c>
      <c r="BF1199" s="5" t="s">
        <v>301</v>
      </c>
      <c r="BG1199" s="6" t="s">
        <v>299</v>
      </c>
      <c r="BH1199" s="5" t="s">
        <v>302</v>
      </c>
      <c r="BI1199" s="5" t="s">
        <v>303</v>
      </c>
      <c r="BJ1199" s="5" t="s">
        <v>240</v>
      </c>
      <c r="BK1199" s="8">
        <f>0</f>
        <v>0</v>
      </c>
      <c r="BL1199" s="7">
        <f>0</f>
        <v>0</v>
      </c>
      <c r="BM1199" s="5" t="s">
        <v>258</v>
      </c>
      <c r="BN1199" s="5" t="s">
        <v>259</v>
      </c>
      <c r="CB1199" s="5" t="s">
        <v>240</v>
      </c>
      <c r="CC1199" s="5" t="s">
        <v>240</v>
      </c>
      <c r="CG1199" s="5" t="s">
        <v>304</v>
      </c>
      <c r="CH1199" s="5" t="s">
        <v>305</v>
      </c>
      <c r="CI1199" s="5" t="s">
        <v>240</v>
      </c>
      <c r="CL1199" s="6" t="s">
        <v>261</v>
      </c>
      <c r="CM1199" s="5" t="s">
        <v>240</v>
      </c>
      <c r="CN1199" s="5" t="s">
        <v>263</v>
      </c>
      <c r="CO1199" s="5" t="s">
        <v>240</v>
      </c>
      <c r="CP1199" s="5" t="s">
        <v>240</v>
      </c>
      <c r="CQ1199" s="5">
        <v>0</v>
      </c>
      <c r="CR1199" s="5" t="s">
        <v>306</v>
      </c>
      <c r="CS1199" s="5" t="s">
        <v>307</v>
      </c>
      <c r="CT1199" s="5" t="s">
        <v>307</v>
      </c>
      <c r="CU1199" s="5" t="s">
        <v>260</v>
      </c>
      <c r="CX1199" s="7">
        <f>1</f>
        <v>1</v>
      </c>
      <c r="CY1199" s="7">
        <f>0</f>
        <v>0</v>
      </c>
      <c r="DA1199" s="7">
        <f>0</f>
        <v>0</v>
      </c>
      <c r="DC1199" s="5" t="s">
        <v>812</v>
      </c>
      <c r="DD1199" s="5" t="s">
        <v>240</v>
      </c>
      <c r="DF1199" s="5" t="s">
        <v>812</v>
      </c>
      <c r="DG1199" s="7">
        <f>18</f>
        <v>18</v>
      </c>
      <c r="DI1199" s="5" t="s">
        <v>240</v>
      </c>
      <c r="DJ1199" s="5" t="s">
        <v>240</v>
      </c>
      <c r="DK1199" s="5" t="s">
        <v>240</v>
      </c>
      <c r="DL1199" s="5" t="s">
        <v>240</v>
      </c>
      <c r="DP1199" s="5" t="s">
        <v>240</v>
      </c>
      <c r="DQ1199" s="5" t="s">
        <v>240</v>
      </c>
      <c r="DR1199" s="5" t="s">
        <v>240</v>
      </c>
      <c r="DS1199" s="5" t="s">
        <v>240</v>
      </c>
      <c r="DV1199" s="5" t="s">
        <v>813</v>
      </c>
      <c r="DW1199" s="5" t="s">
        <v>2524</v>
      </c>
      <c r="HO1199" s="5" t="s">
        <v>312</v>
      </c>
    </row>
    <row r="1200" spans="1:223" x14ac:dyDescent="0.4">
      <c r="A1200" s="5">
        <v>2875</v>
      </c>
      <c r="B1200" s="5">
        <v>1</v>
      </c>
      <c r="C1200" s="5">
        <v>1</v>
      </c>
      <c r="D1200" s="5" t="s">
        <v>297</v>
      </c>
      <c r="E1200" s="5" t="s">
        <v>245</v>
      </c>
      <c r="F1200" s="5" t="s">
        <v>254</v>
      </c>
      <c r="G1200" s="5" t="s">
        <v>240</v>
      </c>
      <c r="H1200" s="6" t="s">
        <v>5030</v>
      </c>
      <c r="I1200" s="5" t="s">
        <v>295</v>
      </c>
      <c r="J1200" s="8">
        <f>1702</f>
        <v>1702</v>
      </c>
      <c r="K1200" s="5" t="s">
        <v>308</v>
      </c>
      <c r="L1200" s="7">
        <f>1</f>
        <v>1</v>
      </c>
      <c r="M1200" s="7">
        <f>1</f>
        <v>1</v>
      </c>
      <c r="N1200" s="5" t="s">
        <v>242</v>
      </c>
      <c r="O1200" s="5">
        <v>1</v>
      </c>
      <c r="P1200" s="5" t="s">
        <v>294</v>
      </c>
      <c r="Q1200" s="5" t="s">
        <v>266</v>
      </c>
      <c r="R1200" s="5" t="s">
        <v>240</v>
      </c>
      <c r="S1200" s="5" t="s">
        <v>240</v>
      </c>
      <c r="T1200" s="5" t="s">
        <v>296</v>
      </c>
      <c r="U1200" s="5" t="s">
        <v>244</v>
      </c>
      <c r="V1200" s="5" t="s">
        <v>240</v>
      </c>
      <c r="Y1200" s="5" t="s">
        <v>240</v>
      </c>
      <c r="Z1200" s="6" t="s">
        <v>298</v>
      </c>
      <c r="AB1200" s="6" t="s">
        <v>240</v>
      </c>
      <c r="AE1200" s="6" t="s">
        <v>299</v>
      </c>
      <c r="AF1200" s="5" t="s">
        <v>248</v>
      </c>
      <c r="AG1200" s="5" t="s">
        <v>249</v>
      </c>
      <c r="AW1200" s="5" t="s">
        <v>251</v>
      </c>
      <c r="AX1200" s="5" t="s">
        <v>240</v>
      </c>
      <c r="AY1200" s="5" t="s">
        <v>253</v>
      </c>
      <c r="AZ1200" s="5" t="s">
        <v>240</v>
      </c>
      <c r="BA1200" s="5" t="s">
        <v>255</v>
      </c>
      <c r="BB1200" s="5" t="s">
        <v>240</v>
      </c>
      <c r="BD1200" s="5" t="s">
        <v>240</v>
      </c>
      <c r="BF1200" s="5" t="s">
        <v>301</v>
      </c>
      <c r="BG1200" s="6" t="s">
        <v>299</v>
      </c>
      <c r="BH1200" s="5" t="s">
        <v>302</v>
      </c>
      <c r="BI1200" s="5" t="s">
        <v>303</v>
      </c>
      <c r="BJ1200" s="5" t="s">
        <v>240</v>
      </c>
      <c r="BK1200" s="8">
        <f>0</f>
        <v>0</v>
      </c>
      <c r="BL1200" s="7">
        <f>0</f>
        <v>0</v>
      </c>
      <c r="BM1200" s="5" t="s">
        <v>258</v>
      </c>
      <c r="BN1200" s="5" t="s">
        <v>259</v>
      </c>
      <c r="CB1200" s="5" t="s">
        <v>240</v>
      </c>
      <c r="CC1200" s="5" t="s">
        <v>240</v>
      </c>
      <c r="CG1200" s="5" t="s">
        <v>304</v>
      </c>
      <c r="CH1200" s="5" t="s">
        <v>305</v>
      </c>
      <c r="CI1200" s="5" t="s">
        <v>240</v>
      </c>
      <c r="CL1200" s="6" t="s">
        <v>261</v>
      </c>
      <c r="CM1200" s="5" t="s">
        <v>240</v>
      </c>
      <c r="CN1200" s="5" t="s">
        <v>263</v>
      </c>
      <c r="CO1200" s="5" t="s">
        <v>240</v>
      </c>
      <c r="CP1200" s="5" t="s">
        <v>240</v>
      </c>
      <c r="CQ1200" s="5">
        <v>0</v>
      </c>
      <c r="CR1200" s="5" t="s">
        <v>306</v>
      </c>
      <c r="CS1200" s="5" t="s">
        <v>307</v>
      </c>
      <c r="CT1200" s="5" t="s">
        <v>307</v>
      </c>
      <c r="CU1200" s="5" t="s">
        <v>260</v>
      </c>
      <c r="CX1200" s="7">
        <f>1</f>
        <v>1</v>
      </c>
      <c r="CY1200" s="7">
        <f>0</f>
        <v>0</v>
      </c>
      <c r="DA1200" s="7">
        <f>0</f>
        <v>0</v>
      </c>
      <c r="DC1200" s="5" t="s">
        <v>812</v>
      </c>
      <c r="DD1200" s="5" t="s">
        <v>240</v>
      </c>
      <c r="DF1200" s="5" t="s">
        <v>812</v>
      </c>
      <c r="DG1200" s="7">
        <f>1173</f>
        <v>1173</v>
      </c>
      <c r="DI1200" s="5" t="s">
        <v>240</v>
      </c>
      <c r="DJ1200" s="5" t="s">
        <v>240</v>
      </c>
      <c r="DK1200" s="5" t="s">
        <v>240</v>
      </c>
      <c r="DL1200" s="5" t="s">
        <v>240</v>
      </c>
      <c r="DP1200" s="5" t="s">
        <v>240</v>
      </c>
      <c r="DQ1200" s="5" t="s">
        <v>240</v>
      </c>
      <c r="DR1200" s="5" t="s">
        <v>240</v>
      </c>
      <c r="DS1200" s="5" t="s">
        <v>240</v>
      </c>
      <c r="DV1200" s="5" t="s">
        <v>813</v>
      </c>
      <c r="DW1200" s="5" t="s">
        <v>2526</v>
      </c>
      <c r="HO1200" s="5" t="s">
        <v>312</v>
      </c>
    </row>
    <row r="1201" spans="1:223" x14ac:dyDescent="0.4">
      <c r="A1201" s="5">
        <v>2876</v>
      </c>
      <c r="B1201" s="5">
        <v>1</v>
      </c>
      <c r="C1201" s="5">
        <v>1</v>
      </c>
      <c r="D1201" s="5" t="s">
        <v>297</v>
      </c>
      <c r="E1201" s="5" t="s">
        <v>245</v>
      </c>
      <c r="F1201" s="5" t="s">
        <v>254</v>
      </c>
      <c r="G1201" s="5" t="s">
        <v>240</v>
      </c>
      <c r="H1201" s="6" t="s">
        <v>5079</v>
      </c>
      <c r="I1201" s="5" t="s">
        <v>295</v>
      </c>
      <c r="J1201" s="8">
        <f>1728</f>
        <v>1728</v>
      </c>
      <c r="K1201" s="5" t="s">
        <v>308</v>
      </c>
      <c r="L1201" s="7">
        <f>1</f>
        <v>1</v>
      </c>
      <c r="M1201" s="7">
        <f>1</f>
        <v>1</v>
      </c>
      <c r="N1201" s="5" t="s">
        <v>242</v>
      </c>
      <c r="O1201" s="5">
        <v>1</v>
      </c>
      <c r="P1201" s="5" t="s">
        <v>294</v>
      </c>
      <c r="Q1201" s="5" t="s">
        <v>266</v>
      </c>
      <c r="R1201" s="5" t="s">
        <v>240</v>
      </c>
      <c r="S1201" s="5" t="s">
        <v>240</v>
      </c>
      <c r="T1201" s="5" t="s">
        <v>296</v>
      </c>
      <c r="U1201" s="5" t="s">
        <v>244</v>
      </c>
      <c r="V1201" s="5" t="s">
        <v>240</v>
      </c>
      <c r="Y1201" s="5" t="s">
        <v>240</v>
      </c>
      <c r="Z1201" s="6" t="s">
        <v>298</v>
      </c>
      <c r="AB1201" s="6" t="s">
        <v>240</v>
      </c>
      <c r="AE1201" s="6" t="s">
        <v>299</v>
      </c>
      <c r="AF1201" s="5" t="s">
        <v>248</v>
      </c>
      <c r="AG1201" s="5" t="s">
        <v>249</v>
      </c>
      <c r="AW1201" s="5" t="s">
        <v>251</v>
      </c>
      <c r="AX1201" s="5" t="s">
        <v>240</v>
      </c>
      <c r="AY1201" s="5" t="s">
        <v>253</v>
      </c>
      <c r="AZ1201" s="5" t="s">
        <v>240</v>
      </c>
      <c r="BA1201" s="5" t="s">
        <v>255</v>
      </c>
      <c r="BB1201" s="5" t="s">
        <v>240</v>
      </c>
      <c r="BD1201" s="5" t="s">
        <v>240</v>
      </c>
      <c r="BF1201" s="5" t="s">
        <v>301</v>
      </c>
      <c r="BG1201" s="6" t="s">
        <v>299</v>
      </c>
      <c r="BH1201" s="5" t="s">
        <v>302</v>
      </c>
      <c r="BI1201" s="5" t="s">
        <v>303</v>
      </c>
      <c r="BJ1201" s="5" t="s">
        <v>240</v>
      </c>
      <c r="BK1201" s="8">
        <f>0</f>
        <v>0</v>
      </c>
      <c r="BL1201" s="7">
        <f>0</f>
        <v>0</v>
      </c>
      <c r="BM1201" s="5" t="s">
        <v>258</v>
      </c>
      <c r="BN1201" s="5" t="s">
        <v>259</v>
      </c>
      <c r="CB1201" s="5" t="s">
        <v>240</v>
      </c>
      <c r="CC1201" s="5" t="s">
        <v>240</v>
      </c>
      <c r="CG1201" s="5" t="s">
        <v>304</v>
      </c>
      <c r="CH1201" s="5" t="s">
        <v>305</v>
      </c>
      <c r="CI1201" s="5" t="s">
        <v>240</v>
      </c>
      <c r="CL1201" s="6" t="s">
        <v>261</v>
      </c>
      <c r="CM1201" s="5" t="s">
        <v>240</v>
      </c>
      <c r="CN1201" s="5" t="s">
        <v>263</v>
      </c>
      <c r="CO1201" s="5" t="s">
        <v>240</v>
      </c>
      <c r="CP1201" s="5" t="s">
        <v>240</v>
      </c>
      <c r="CQ1201" s="5">
        <v>0</v>
      </c>
      <c r="CR1201" s="5" t="s">
        <v>306</v>
      </c>
      <c r="CS1201" s="5" t="s">
        <v>307</v>
      </c>
      <c r="CT1201" s="5" t="s">
        <v>307</v>
      </c>
      <c r="CU1201" s="5" t="s">
        <v>260</v>
      </c>
      <c r="CX1201" s="7">
        <f>1</f>
        <v>1</v>
      </c>
      <c r="CY1201" s="7">
        <f>0</f>
        <v>0</v>
      </c>
      <c r="DA1201" s="7">
        <f>0</f>
        <v>0</v>
      </c>
      <c r="DC1201" s="5" t="s">
        <v>812</v>
      </c>
      <c r="DD1201" s="5" t="s">
        <v>240</v>
      </c>
      <c r="DF1201" s="5" t="s">
        <v>812</v>
      </c>
      <c r="DG1201" s="7">
        <f>3161</f>
        <v>3161</v>
      </c>
      <c r="DI1201" s="5" t="s">
        <v>240</v>
      </c>
      <c r="DJ1201" s="5" t="s">
        <v>240</v>
      </c>
      <c r="DK1201" s="5" t="s">
        <v>240</v>
      </c>
      <c r="DL1201" s="5" t="s">
        <v>240</v>
      </c>
      <c r="DP1201" s="5" t="s">
        <v>240</v>
      </c>
      <c r="DQ1201" s="5" t="s">
        <v>240</v>
      </c>
      <c r="DR1201" s="5" t="s">
        <v>240</v>
      </c>
      <c r="DS1201" s="5" t="s">
        <v>240</v>
      </c>
      <c r="DV1201" s="5" t="s">
        <v>813</v>
      </c>
      <c r="DW1201" s="5" t="s">
        <v>2528</v>
      </c>
      <c r="HO1201" s="5" t="s">
        <v>312</v>
      </c>
    </row>
    <row r="1202" spans="1:223" x14ac:dyDescent="0.4">
      <c r="A1202" s="5">
        <v>2877</v>
      </c>
      <c r="B1202" s="5">
        <v>1</v>
      </c>
      <c r="C1202" s="5">
        <v>1</v>
      </c>
      <c r="D1202" s="5" t="s">
        <v>297</v>
      </c>
      <c r="E1202" s="5" t="s">
        <v>245</v>
      </c>
      <c r="F1202" s="5" t="s">
        <v>254</v>
      </c>
      <c r="G1202" s="5" t="s">
        <v>240</v>
      </c>
      <c r="H1202" s="6" t="s">
        <v>5027</v>
      </c>
      <c r="I1202" s="5" t="s">
        <v>295</v>
      </c>
      <c r="J1202" s="8">
        <f>4620</f>
        <v>4620</v>
      </c>
      <c r="K1202" s="5" t="s">
        <v>308</v>
      </c>
      <c r="L1202" s="7">
        <f>1</f>
        <v>1</v>
      </c>
      <c r="M1202" s="7">
        <f>1</f>
        <v>1</v>
      </c>
      <c r="N1202" s="5" t="s">
        <v>242</v>
      </c>
      <c r="O1202" s="5">
        <v>1</v>
      </c>
      <c r="P1202" s="5" t="s">
        <v>294</v>
      </c>
      <c r="Q1202" s="5" t="s">
        <v>266</v>
      </c>
      <c r="R1202" s="5" t="s">
        <v>240</v>
      </c>
      <c r="S1202" s="5" t="s">
        <v>240</v>
      </c>
      <c r="T1202" s="5" t="s">
        <v>296</v>
      </c>
      <c r="U1202" s="5" t="s">
        <v>244</v>
      </c>
      <c r="V1202" s="5" t="s">
        <v>240</v>
      </c>
      <c r="Y1202" s="5" t="s">
        <v>240</v>
      </c>
      <c r="Z1202" s="6" t="s">
        <v>298</v>
      </c>
      <c r="AB1202" s="6" t="s">
        <v>240</v>
      </c>
      <c r="AE1202" s="6" t="s">
        <v>299</v>
      </c>
      <c r="AF1202" s="5" t="s">
        <v>248</v>
      </c>
      <c r="AG1202" s="5" t="s">
        <v>249</v>
      </c>
      <c r="AW1202" s="5" t="s">
        <v>251</v>
      </c>
      <c r="AX1202" s="5" t="s">
        <v>240</v>
      </c>
      <c r="AY1202" s="5" t="s">
        <v>253</v>
      </c>
      <c r="AZ1202" s="5" t="s">
        <v>240</v>
      </c>
      <c r="BA1202" s="5" t="s">
        <v>255</v>
      </c>
      <c r="BB1202" s="5" t="s">
        <v>240</v>
      </c>
      <c r="BD1202" s="5" t="s">
        <v>240</v>
      </c>
      <c r="BF1202" s="5" t="s">
        <v>301</v>
      </c>
      <c r="BG1202" s="6" t="s">
        <v>299</v>
      </c>
      <c r="BH1202" s="5" t="s">
        <v>302</v>
      </c>
      <c r="BI1202" s="5" t="s">
        <v>303</v>
      </c>
      <c r="BJ1202" s="5" t="s">
        <v>240</v>
      </c>
      <c r="BK1202" s="8">
        <f>0</f>
        <v>0</v>
      </c>
      <c r="BL1202" s="7">
        <f>0</f>
        <v>0</v>
      </c>
      <c r="BM1202" s="5" t="s">
        <v>258</v>
      </c>
      <c r="BN1202" s="5" t="s">
        <v>259</v>
      </c>
      <c r="CB1202" s="5" t="s">
        <v>240</v>
      </c>
      <c r="CC1202" s="5" t="s">
        <v>240</v>
      </c>
      <c r="CG1202" s="5" t="s">
        <v>304</v>
      </c>
      <c r="CH1202" s="5" t="s">
        <v>305</v>
      </c>
      <c r="CI1202" s="5" t="s">
        <v>240</v>
      </c>
      <c r="CL1202" s="6" t="s">
        <v>261</v>
      </c>
      <c r="CM1202" s="5" t="s">
        <v>240</v>
      </c>
      <c r="CN1202" s="5" t="s">
        <v>263</v>
      </c>
      <c r="CO1202" s="5" t="s">
        <v>240</v>
      </c>
      <c r="CP1202" s="5" t="s">
        <v>240</v>
      </c>
      <c r="CQ1202" s="5">
        <v>0</v>
      </c>
      <c r="CR1202" s="5" t="s">
        <v>306</v>
      </c>
      <c r="CS1202" s="5" t="s">
        <v>307</v>
      </c>
      <c r="CT1202" s="5" t="s">
        <v>307</v>
      </c>
      <c r="CU1202" s="5" t="s">
        <v>260</v>
      </c>
      <c r="CX1202" s="7">
        <f>1</f>
        <v>1</v>
      </c>
      <c r="CY1202" s="7">
        <f>0</f>
        <v>0</v>
      </c>
      <c r="DA1202" s="7">
        <f>0</f>
        <v>0</v>
      </c>
      <c r="DC1202" s="5" t="s">
        <v>812</v>
      </c>
      <c r="DD1202" s="5" t="s">
        <v>240</v>
      </c>
      <c r="DF1202" s="5" t="s">
        <v>812</v>
      </c>
      <c r="DG1202" s="7">
        <f>80</f>
        <v>80</v>
      </c>
      <c r="DI1202" s="5" t="s">
        <v>240</v>
      </c>
      <c r="DJ1202" s="5" t="s">
        <v>240</v>
      </c>
      <c r="DK1202" s="5" t="s">
        <v>240</v>
      </c>
      <c r="DL1202" s="5" t="s">
        <v>240</v>
      </c>
      <c r="DP1202" s="5" t="s">
        <v>240</v>
      </c>
      <c r="DQ1202" s="5" t="s">
        <v>240</v>
      </c>
      <c r="DR1202" s="5" t="s">
        <v>240</v>
      </c>
      <c r="DS1202" s="5" t="s">
        <v>240</v>
      </c>
      <c r="DV1202" s="5" t="s">
        <v>813</v>
      </c>
      <c r="DW1202" s="5" t="s">
        <v>2530</v>
      </c>
      <c r="HO1202" s="5" t="s">
        <v>312</v>
      </c>
    </row>
    <row r="1203" spans="1:223" x14ac:dyDescent="0.4">
      <c r="A1203" s="5">
        <v>2878</v>
      </c>
      <c r="B1203" s="5">
        <v>1</v>
      </c>
      <c r="C1203" s="5">
        <v>1</v>
      </c>
      <c r="D1203" s="5" t="s">
        <v>297</v>
      </c>
      <c r="E1203" s="5" t="s">
        <v>245</v>
      </c>
      <c r="F1203" s="5" t="s">
        <v>254</v>
      </c>
      <c r="G1203" s="5" t="s">
        <v>240</v>
      </c>
      <c r="H1203" s="6" t="s">
        <v>5026</v>
      </c>
      <c r="I1203" s="5" t="s">
        <v>295</v>
      </c>
      <c r="J1203" s="8">
        <f>1669</f>
        <v>1669</v>
      </c>
      <c r="K1203" s="5" t="s">
        <v>308</v>
      </c>
      <c r="L1203" s="7">
        <f>1</f>
        <v>1</v>
      </c>
      <c r="M1203" s="7">
        <f>1</f>
        <v>1</v>
      </c>
      <c r="N1203" s="5" t="s">
        <v>242</v>
      </c>
      <c r="O1203" s="5">
        <v>1</v>
      </c>
      <c r="P1203" s="5" t="s">
        <v>294</v>
      </c>
      <c r="Q1203" s="5" t="s">
        <v>266</v>
      </c>
      <c r="R1203" s="5" t="s">
        <v>240</v>
      </c>
      <c r="S1203" s="5" t="s">
        <v>240</v>
      </c>
      <c r="T1203" s="5" t="s">
        <v>296</v>
      </c>
      <c r="U1203" s="5" t="s">
        <v>244</v>
      </c>
      <c r="V1203" s="5" t="s">
        <v>240</v>
      </c>
      <c r="Y1203" s="5" t="s">
        <v>240</v>
      </c>
      <c r="Z1203" s="6" t="s">
        <v>298</v>
      </c>
      <c r="AB1203" s="6" t="s">
        <v>240</v>
      </c>
      <c r="AE1203" s="6" t="s">
        <v>299</v>
      </c>
      <c r="AF1203" s="5" t="s">
        <v>248</v>
      </c>
      <c r="AG1203" s="5" t="s">
        <v>249</v>
      </c>
      <c r="AW1203" s="5" t="s">
        <v>251</v>
      </c>
      <c r="AX1203" s="5" t="s">
        <v>240</v>
      </c>
      <c r="AY1203" s="5" t="s">
        <v>253</v>
      </c>
      <c r="AZ1203" s="5" t="s">
        <v>240</v>
      </c>
      <c r="BA1203" s="5" t="s">
        <v>255</v>
      </c>
      <c r="BB1203" s="5" t="s">
        <v>240</v>
      </c>
      <c r="BD1203" s="5" t="s">
        <v>240</v>
      </c>
      <c r="BF1203" s="5" t="s">
        <v>301</v>
      </c>
      <c r="BG1203" s="6" t="s">
        <v>299</v>
      </c>
      <c r="BH1203" s="5" t="s">
        <v>302</v>
      </c>
      <c r="BI1203" s="5" t="s">
        <v>303</v>
      </c>
      <c r="BJ1203" s="5" t="s">
        <v>240</v>
      </c>
      <c r="BK1203" s="8">
        <f>0</f>
        <v>0</v>
      </c>
      <c r="BL1203" s="7">
        <f>0</f>
        <v>0</v>
      </c>
      <c r="BM1203" s="5" t="s">
        <v>258</v>
      </c>
      <c r="BN1203" s="5" t="s">
        <v>259</v>
      </c>
      <c r="CB1203" s="5" t="s">
        <v>240</v>
      </c>
      <c r="CC1203" s="5" t="s">
        <v>240</v>
      </c>
      <c r="CG1203" s="5" t="s">
        <v>304</v>
      </c>
      <c r="CH1203" s="5" t="s">
        <v>305</v>
      </c>
      <c r="CI1203" s="5" t="s">
        <v>240</v>
      </c>
      <c r="CL1203" s="6" t="s">
        <v>261</v>
      </c>
      <c r="CM1203" s="5" t="s">
        <v>240</v>
      </c>
      <c r="CN1203" s="5" t="s">
        <v>263</v>
      </c>
      <c r="CO1203" s="5" t="s">
        <v>240</v>
      </c>
      <c r="CP1203" s="5" t="s">
        <v>240</v>
      </c>
      <c r="CQ1203" s="5">
        <v>0</v>
      </c>
      <c r="CR1203" s="5" t="s">
        <v>306</v>
      </c>
      <c r="CS1203" s="5" t="s">
        <v>307</v>
      </c>
      <c r="CT1203" s="5" t="s">
        <v>307</v>
      </c>
      <c r="CU1203" s="5" t="s">
        <v>260</v>
      </c>
      <c r="CX1203" s="7">
        <f>1</f>
        <v>1</v>
      </c>
      <c r="CY1203" s="7">
        <f>0</f>
        <v>0</v>
      </c>
      <c r="DA1203" s="7">
        <f>0</f>
        <v>0</v>
      </c>
      <c r="DC1203" s="5" t="s">
        <v>812</v>
      </c>
      <c r="DD1203" s="5" t="s">
        <v>240</v>
      </c>
      <c r="DF1203" s="5" t="s">
        <v>812</v>
      </c>
      <c r="DG1203" s="7">
        <f>154</f>
        <v>154</v>
      </c>
      <c r="DI1203" s="5" t="s">
        <v>240</v>
      </c>
      <c r="DJ1203" s="5" t="s">
        <v>240</v>
      </c>
      <c r="DK1203" s="5" t="s">
        <v>240</v>
      </c>
      <c r="DL1203" s="5" t="s">
        <v>240</v>
      </c>
      <c r="DP1203" s="5" t="s">
        <v>240</v>
      </c>
      <c r="DQ1203" s="5" t="s">
        <v>240</v>
      </c>
      <c r="DR1203" s="5" t="s">
        <v>240</v>
      </c>
      <c r="DS1203" s="5" t="s">
        <v>240</v>
      </c>
      <c r="DV1203" s="5" t="s">
        <v>813</v>
      </c>
      <c r="DW1203" s="5" t="s">
        <v>2532</v>
      </c>
      <c r="HO1203" s="5" t="s">
        <v>312</v>
      </c>
    </row>
    <row r="1204" spans="1:223" x14ac:dyDescent="0.4">
      <c r="A1204" s="5">
        <v>2879</v>
      </c>
      <c r="B1204" s="5">
        <v>1</v>
      </c>
      <c r="C1204" s="5">
        <v>1</v>
      </c>
      <c r="D1204" s="5" t="s">
        <v>297</v>
      </c>
      <c r="E1204" s="5" t="s">
        <v>245</v>
      </c>
      <c r="F1204" s="5" t="s">
        <v>254</v>
      </c>
      <c r="G1204" s="5" t="s">
        <v>240</v>
      </c>
      <c r="H1204" s="6" t="s">
        <v>5025</v>
      </c>
      <c r="I1204" s="5" t="s">
        <v>295</v>
      </c>
      <c r="J1204" s="8">
        <f>1728</f>
        <v>1728</v>
      </c>
      <c r="K1204" s="5" t="s">
        <v>308</v>
      </c>
      <c r="L1204" s="7">
        <f>1</f>
        <v>1</v>
      </c>
      <c r="M1204" s="7">
        <f>1</f>
        <v>1</v>
      </c>
      <c r="N1204" s="5" t="s">
        <v>242</v>
      </c>
      <c r="O1204" s="5">
        <v>1</v>
      </c>
      <c r="P1204" s="5" t="s">
        <v>294</v>
      </c>
      <c r="Q1204" s="5" t="s">
        <v>266</v>
      </c>
      <c r="R1204" s="5" t="s">
        <v>240</v>
      </c>
      <c r="S1204" s="5" t="s">
        <v>240</v>
      </c>
      <c r="T1204" s="5" t="s">
        <v>296</v>
      </c>
      <c r="U1204" s="5" t="s">
        <v>244</v>
      </c>
      <c r="V1204" s="5" t="s">
        <v>240</v>
      </c>
      <c r="Y1204" s="5" t="s">
        <v>240</v>
      </c>
      <c r="Z1204" s="6" t="s">
        <v>298</v>
      </c>
      <c r="AB1204" s="6" t="s">
        <v>240</v>
      </c>
      <c r="AE1204" s="6" t="s">
        <v>299</v>
      </c>
      <c r="AF1204" s="5" t="s">
        <v>248</v>
      </c>
      <c r="AG1204" s="5" t="s">
        <v>249</v>
      </c>
      <c r="AW1204" s="5" t="s">
        <v>251</v>
      </c>
      <c r="AX1204" s="5" t="s">
        <v>240</v>
      </c>
      <c r="AY1204" s="5" t="s">
        <v>253</v>
      </c>
      <c r="AZ1204" s="5" t="s">
        <v>240</v>
      </c>
      <c r="BA1204" s="5" t="s">
        <v>255</v>
      </c>
      <c r="BB1204" s="5" t="s">
        <v>240</v>
      </c>
      <c r="BD1204" s="5" t="s">
        <v>240</v>
      </c>
      <c r="BF1204" s="5" t="s">
        <v>301</v>
      </c>
      <c r="BG1204" s="6" t="s">
        <v>299</v>
      </c>
      <c r="BH1204" s="5" t="s">
        <v>302</v>
      </c>
      <c r="BI1204" s="5" t="s">
        <v>303</v>
      </c>
      <c r="BJ1204" s="5" t="s">
        <v>240</v>
      </c>
      <c r="BK1204" s="8">
        <f>0</f>
        <v>0</v>
      </c>
      <c r="BL1204" s="7">
        <f>0</f>
        <v>0</v>
      </c>
      <c r="BM1204" s="5" t="s">
        <v>258</v>
      </c>
      <c r="BN1204" s="5" t="s">
        <v>259</v>
      </c>
      <c r="CB1204" s="5" t="s">
        <v>240</v>
      </c>
      <c r="CC1204" s="5" t="s">
        <v>240</v>
      </c>
      <c r="CG1204" s="5" t="s">
        <v>304</v>
      </c>
      <c r="CH1204" s="5" t="s">
        <v>305</v>
      </c>
      <c r="CI1204" s="5" t="s">
        <v>240</v>
      </c>
      <c r="CL1204" s="6" t="s">
        <v>261</v>
      </c>
      <c r="CM1204" s="5" t="s">
        <v>240</v>
      </c>
      <c r="CN1204" s="5" t="s">
        <v>263</v>
      </c>
      <c r="CO1204" s="5" t="s">
        <v>240</v>
      </c>
      <c r="CP1204" s="5" t="s">
        <v>240</v>
      </c>
      <c r="CQ1204" s="5">
        <v>0</v>
      </c>
      <c r="CR1204" s="5" t="s">
        <v>306</v>
      </c>
      <c r="CS1204" s="5" t="s">
        <v>307</v>
      </c>
      <c r="CT1204" s="5" t="s">
        <v>307</v>
      </c>
      <c r="CU1204" s="5" t="s">
        <v>260</v>
      </c>
      <c r="CX1204" s="7">
        <f>1</f>
        <v>1</v>
      </c>
      <c r="CY1204" s="7">
        <f>0</f>
        <v>0</v>
      </c>
      <c r="DA1204" s="7">
        <f>0</f>
        <v>0</v>
      </c>
      <c r="DC1204" s="5" t="s">
        <v>812</v>
      </c>
      <c r="DD1204" s="5" t="s">
        <v>240</v>
      </c>
      <c r="DF1204" s="5" t="s">
        <v>812</v>
      </c>
      <c r="DG1204" s="7">
        <f>502</f>
        <v>502</v>
      </c>
      <c r="DI1204" s="5" t="s">
        <v>240</v>
      </c>
      <c r="DJ1204" s="5" t="s">
        <v>240</v>
      </c>
      <c r="DK1204" s="5" t="s">
        <v>240</v>
      </c>
      <c r="DL1204" s="5" t="s">
        <v>240</v>
      </c>
      <c r="DP1204" s="5" t="s">
        <v>240</v>
      </c>
      <c r="DQ1204" s="5" t="s">
        <v>240</v>
      </c>
      <c r="DR1204" s="5" t="s">
        <v>240</v>
      </c>
      <c r="DS1204" s="5" t="s">
        <v>240</v>
      </c>
      <c r="DV1204" s="5" t="s">
        <v>813</v>
      </c>
      <c r="DW1204" s="5" t="s">
        <v>2534</v>
      </c>
      <c r="HO1204" s="5" t="s">
        <v>312</v>
      </c>
    </row>
    <row r="1205" spans="1:223" x14ac:dyDescent="0.4">
      <c r="A1205" s="5">
        <v>2880</v>
      </c>
      <c r="B1205" s="5">
        <v>1</v>
      </c>
      <c r="C1205" s="5">
        <v>1</v>
      </c>
      <c r="D1205" s="5" t="s">
        <v>297</v>
      </c>
      <c r="E1205" s="5" t="s">
        <v>245</v>
      </c>
      <c r="F1205" s="5" t="s">
        <v>254</v>
      </c>
      <c r="G1205" s="5" t="s">
        <v>240</v>
      </c>
      <c r="H1205" s="6" t="s">
        <v>5024</v>
      </c>
      <c r="I1205" s="5" t="s">
        <v>295</v>
      </c>
      <c r="J1205" s="8">
        <f>1701</f>
        <v>1701</v>
      </c>
      <c r="K1205" s="5" t="s">
        <v>308</v>
      </c>
      <c r="L1205" s="7">
        <f>1</f>
        <v>1</v>
      </c>
      <c r="M1205" s="7">
        <f>1</f>
        <v>1</v>
      </c>
      <c r="N1205" s="5" t="s">
        <v>242</v>
      </c>
      <c r="O1205" s="5">
        <v>1</v>
      </c>
      <c r="P1205" s="5" t="s">
        <v>294</v>
      </c>
      <c r="Q1205" s="5" t="s">
        <v>266</v>
      </c>
      <c r="R1205" s="5" t="s">
        <v>240</v>
      </c>
      <c r="S1205" s="5" t="s">
        <v>240</v>
      </c>
      <c r="T1205" s="5" t="s">
        <v>296</v>
      </c>
      <c r="U1205" s="5" t="s">
        <v>244</v>
      </c>
      <c r="V1205" s="5" t="s">
        <v>240</v>
      </c>
      <c r="Y1205" s="5" t="s">
        <v>240</v>
      </c>
      <c r="Z1205" s="6" t="s">
        <v>298</v>
      </c>
      <c r="AB1205" s="6" t="s">
        <v>240</v>
      </c>
      <c r="AE1205" s="6" t="s">
        <v>299</v>
      </c>
      <c r="AF1205" s="5" t="s">
        <v>248</v>
      </c>
      <c r="AG1205" s="5" t="s">
        <v>249</v>
      </c>
      <c r="AW1205" s="5" t="s">
        <v>251</v>
      </c>
      <c r="AX1205" s="5" t="s">
        <v>240</v>
      </c>
      <c r="AY1205" s="5" t="s">
        <v>253</v>
      </c>
      <c r="AZ1205" s="5" t="s">
        <v>240</v>
      </c>
      <c r="BA1205" s="5" t="s">
        <v>255</v>
      </c>
      <c r="BB1205" s="5" t="s">
        <v>240</v>
      </c>
      <c r="BD1205" s="5" t="s">
        <v>240</v>
      </c>
      <c r="BF1205" s="5" t="s">
        <v>301</v>
      </c>
      <c r="BG1205" s="6" t="s">
        <v>299</v>
      </c>
      <c r="BH1205" s="5" t="s">
        <v>302</v>
      </c>
      <c r="BI1205" s="5" t="s">
        <v>303</v>
      </c>
      <c r="BJ1205" s="5" t="s">
        <v>240</v>
      </c>
      <c r="BK1205" s="8">
        <f>0</f>
        <v>0</v>
      </c>
      <c r="BL1205" s="7">
        <f>0</f>
        <v>0</v>
      </c>
      <c r="BM1205" s="5" t="s">
        <v>258</v>
      </c>
      <c r="BN1205" s="5" t="s">
        <v>259</v>
      </c>
      <c r="CB1205" s="5" t="s">
        <v>240</v>
      </c>
      <c r="CC1205" s="5" t="s">
        <v>240</v>
      </c>
      <c r="CG1205" s="5" t="s">
        <v>304</v>
      </c>
      <c r="CH1205" s="5" t="s">
        <v>305</v>
      </c>
      <c r="CI1205" s="5" t="s">
        <v>240</v>
      </c>
      <c r="CL1205" s="6" t="s">
        <v>261</v>
      </c>
      <c r="CM1205" s="5" t="s">
        <v>240</v>
      </c>
      <c r="CN1205" s="5" t="s">
        <v>263</v>
      </c>
      <c r="CO1205" s="5" t="s">
        <v>240</v>
      </c>
      <c r="CP1205" s="5" t="s">
        <v>240</v>
      </c>
      <c r="CQ1205" s="5">
        <v>0</v>
      </c>
      <c r="CR1205" s="5" t="s">
        <v>306</v>
      </c>
      <c r="CS1205" s="5" t="s">
        <v>307</v>
      </c>
      <c r="CT1205" s="5" t="s">
        <v>307</v>
      </c>
      <c r="CU1205" s="5" t="s">
        <v>260</v>
      </c>
      <c r="CX1205" s="7">
        <f>1</f>
        <v>1</v>
      </c>
      <c r="CY1205" s="7">
        <f>0</f>
        <v>0</v>
      </c>
      <c r="DA1205" s="7">
        <f>0</f>
        <v>0</v>
      </c>
      <c r="DC1205" s="5" t="s">
        <v>812</v>
      </c>
      <c r="DD1205" s="5" t="s">
        <v>240</v>
      </c>
      <c r="DF1205" s="5" t="s">
        <v>812</v>
      </c>
      <c r="DG1205" s="7">
        <f>936</f>
        <v>936</v>
      </c>
      <c r="DI1205" s="5" t="s">
        <v>240</v>
      </c>
      <c r="DJ1205" s="5" t="s">
        <v>240</v>
      </c>
      <c r="DK1205" s="5" t="s">
        <v>240</v>
      </c>
      <c r="DL1205" s="5" t="s">
        <v>240</v>
      </c>
      <c r="DP1205" s="5" t="s">
        <v>240</v>
      </c>
      <c r="DQ1205" s="5" t="s">
        <v>240</v>
      </c>
      <c r="DR1205" s="5" t="s">
        <v>240</v>
      </c>
      <c r="DS1205" s="5" t="s">
        <v>240</v>
      </c>
      <c r="DV1205" s="5" t="s">
        <v>813</v>
      </c>
      <c r="DW1205" s="5" t="s">
        <v>2536</v>
      </c>
      <c r="HO1205" s="5" t="s">
        <v>312</v>
      </c>
    </row>
    <row r="1206" spans="1:223" x14ac:dyDescent="0.4">
      <c r="A1206" s="5">
        <v>2881</v>
      </c>
      <c r="B1206" s="5">
        <v>1</v>
      </c>
      <c r="C1206" s="5">
        <v>1</v>
      </c>
      <c r="D1206" s="5" t="s">
        <v>297</v>
      </c>
      <c r="E1206" s="5" t="s">
        <v>245</v>
      </c>
      <c r="F1206" s="5" t="s">
        <v>254</v>
      </c>
      <c r="G1206" s="5" t="s">
        <v>240</v>
      </c>
      <c r="H1206" s="6" t="s">
        <v>5023</v>
      </c>
      <c r="I1206" s="5" t="s">
        <v>295</v>
      </c>
      <c r="J1206" s="8">
        <f>4250</f>
        <v>4250</v>
      </c>
      <c r="K1206" s="5" t="s">
        <v>308</v>
      </c>
      <c r="L1206" s="7">
        <f>1</f>
        <v>1</v>
      </c>
      <c r="M1206" s="7">
        <f>1</f>
        <v>1</v>
      </c>
      <c r="N1206" s="5" t="s">
        <v>242</v>
      </c>
      <c r="O1206" s="5">
        <v>1</v>
      </c>
      <c r="P1206" s="5" t="s">
        <v>294</v>
      </c>
      <c r="Q1206" s="5" t="s">
        <v>266</v>
      </c>
      <c r="R1206" s="5" t="s">
        <v>240</v>
      </c>
      <c r="S1206" s="5" t="s">
        <v>240</v>
      </c>
      <c r="T1206" s="5" t="s">
        <v>296</v>
      </c>
      <c r="U1206" s="5" t="s">
        <v>244</v>
      </c>
      <c r="V1206" s="5" t="s">
        <v>240</v>
      </c>
      <c r="Y1206" s="5" t="s">
        <v>240</v>
      </c>
      <c r="Z1206" s="6" t="s">
        <v>298</v>
      </c>
      <c r="AB1206" s="6" t="s">
        <v>240</v>
      </c>
      <c r="AE1206" s="6" t="s">
        <v>299</v>
      </c>
      <c r="AF1206" s="5" t="s">
        <v>248</v>
      </c>
      <c r="AG1206" s="5" t="s">
        <v>249</v>
      </c>
      <c r="AW1206" s="5" t="s">
        <v>251</v>
      </c>
      <c r="AX1206" s="5" t="s">
        <v>240</v>
      </c>
      <c r="AY1206" s="5" t="s">
        <v>253</v>
      </c>
      <c r="AZ1206" s="5" t="s">
        <v>240</v>
      </c>
      <c r="BA1206" s="5" t="s">
        <v>255</v>
      </c>
      <c r="BB1206" s="5" t="s">
        <v>240</v>
      </c>
      <c r="BD1206" s="5" t="s">
        <v>240</v>
      </c>
      <c r="BF1206" s="5" t="s">
        <v>301</v>
      </c>
      <c r="BG1206" s="6" t="s">
        <v>299</v>
      </c>
      <c r="BH1206" s="5" t="s">
        <v>302</v>
      </c>
      <c r="BI1206" s="5" t="s">
        <v>303</v>
      </c>
      <c r="BJ1206" s="5" t="s">
        <v>240</v>
      </c>
      <c r="BK1206" s="8">
        <f>0</f>
        <v>0</v>
      </c>
      <c r="BL1206" s="7">
        <f>0</f>
        <v>0</v>
      </c>
      <c r="BM1206" s="5" t="s">
        <v>258</v>
      </c>
      <c r="BN1206" s="5" t="s">
        <v>259</v>
      </c>
      <c r="CB1206" s="5" t="s">
        <v>240</v>
      </c>
      <c r="CC1206" s="5" t="s">
        <v>240</v>
      </c>
      <c r="CG1206" s="5" t="s">
        <v>304</v>
      </c>
      <c r="CH1206" s="5" t="s">
        <v>305</v>
      </c>
      <c r="CI1206" s="5" t="s">
        <v>240</v>
      </c>
      <c r="CL1206" s="6" t="s">
        <v>261</v>
      </c>
      <c r="CM1206" s="5" t="s">
        <v>240</v>
      </c>
      <c r="CN1206" s="5" t="s">
        <v>263</v>
      </c>
      <c r="CO1206" s="5" t="s">
        <v>240</v>
      </c>
      <c r="CP1206" s="5" t="s">
        <v>240</v>
      </c>
      <c r="CQ1206" s="5">
        <v>0</v>
      </c>
      <c r="CR1206" s="5" t="s">
        <v>306</v>
      </c>
      <c r="CS1206" s="5" t="s">
        <v>307</v>
      </c>
      <c r="CT1206" s="5" t="s">
        <v>307</v>
      </c>
      <c r="CU1206" s="5" t="s">
        <v>260</v>
      </c>
      <c r="CX1206" s="7">
        <f>1</f>
        <v>1</v>
      </c>
      <c r="CY1206" s="7">
        <f>0</f>
        <v>0</v>
      </c>
      <c r="DA1206" s="7">
        <f>0</f>
        <v>0</v>
      </c>
      <c r="DC1206" s="5" t="s">
        <v>812</v>
      </c>
      <c r="DD1206" s="5" t="s">
        <v>240</v>
      </c>
      <c r="DF1206" s="5" t="s">
        <v>812</v>
      </c>
      <c r="DG1206" s="7">
        <f>1033</f>
        <v>1033</v>
      </c>
      <c r="DI1206" s="5" t="s">
        <v>240</v>
      </c>
      <c r="DJ1206" s="5" t="s">
        <v>240</v>
      </c>
      <c r="DK1206" s="5" t="s">
        <v>240</v>
      </c>
      <c r="DL1206" s="5" t="s">
        <v>240</v>
      </c>
      <c r="DP1206" s="5" t="s">
        <v>240</v>
      </c>
      <c r="DQ1206" s="5" t="s">
        <v>240</v>
      </c>
      <c r="DR1206" s="5" t="s">
        <v>240</v>
      </c>
      <c r="DS1206" s="5" t="s">
        <v>240</v>
      </c>
      <c r="DV1206" s="5" t="s">
        <v>813</v>
      </c>
      <c r="DW1206" s="5" t="s">
        <v>2538</v>
      </c>
      <c r="HO1206" s="5" t="s">
        <v>312</v>
      </c>
    </row>
    <row r="1207" spans="1:223" x14ac:dyDescent="0.4">
      <c r="A1207" s="5">
        <v>2882</v>
      </c>
      <c r="B1207" s="5">
        <v>1</v>
      </c>
      <c r="C1207" s="5">
        <v>1</v>
      </c>
      <c r="D1207" s="5" t="s">
        <v>297</v>
      </c>
      <c r="E1207" s="5" t="s">
        <v>245</v>
      </c>
      <c r="F1207" s="5" t="s">
        <v>254</v>
      </c>
      <c r="G1207" s="5" t="s">
        <v>240</v>
      </c>
      <c r="H1207" s="6" t="s">
        <v>5022</v>
      </c>
      <c r="I1207" s="5" t="s">
        <v>295</v>
      </c>
      <c r="J1207" s="8">
        <f>2795</f>
        <v>2795</v>
      </c>
      <c r="K1207" s="5" t="s">
        <v>308</v>
      </c>
      <c r="L1207" s="7">
        <f>1</f>
        <v>1</v>
      </c>
      <c r="M1207" s="7">
        <f>1</f>
        <v>1</v>
      </c>
      <c r="N1207" s="5" t="s">
        <v>242</v>
      </c>
      <c r="O1207" s="5">
        <v>1</v>
      </c>
      <c r="P1207" s="5" t="s">
        <v>294</v>
      </c>
      <c r="Q1207" s="5" t="s">
        <v>266</v>
      </c>
      <c r="R1207" s="5" t="s">
        <v>240</v>
      </c>
      <c r="S1207" s="5" t="s">
        <v>240</v>
      </c>
      <c r="T1207" s="5" t="s">
        <v>296</v>
      </c>
      <c r="U1207" s="5" t="s">
        <v>244</v>
      </c>
      <c r="V1207" s="5" t="s">
        <v>240</v>
      </c>
      <c r="Y1207" s="5" t="s">
        <v>240</v>
      </c>
      <c r="Z1207" s="6" t="s">
        <v>298</v>
      </c>
      <c r="AB1207" s="6" t="s">
        <v>240</v>
      </c>
      <c r="AE1207" s="6" t="s">
        <v>299</v>
      </c>
      <c r="AF1207" s="5" t="s">
        <v>248</v>
      </c>
      <c r="AG1207" s="5" t="s">
        <v>249</v>
      </c>
      <c r="AW1207" s="5" t="s">
        <v>251</v>
      </c>
      <c r="AX1207" s="5" t="s">
        <v>240</v>
      </c>
      <c r="AY1207" s="5" t="s">
        <v>253</v>
      </c>
      <c r="AZ1207" s="5" t="s">
        <v>240</v>
      </c>
      <c r="BA1207" s="5" t="s">
        <v>255</v>
      </c>
      <c r="BB1207" s="5" t="s">
        <v>240</v>
      </c>
      <c r="BD1207" s="5" t="s">
        <v>240</v>
      </c>
      <c r="BF1207" s="5" t="s">
        <v>301</v>
      </c>
      <c r="BG1207" s="6" t="s">
        <v>299</v>
      </c>
      <c r="BH1207" s="5" t="s">
        <v>302</v>
      </c>
      <c r="BI1207" s="5" t="s">
        <v>303</v>
      </c>
      <c r="BJ1207" s="5" t="s">
        <v>240</v>
      </c>
      <c r="BK1207" s="8">
        <f>0</f>
        <v>0</v>
      </c>
      <c r="BL1207" s="7">
        <f>0</f>
        <v>0</v>
      </c>
      <c r="BM1207" s="5" t="s">
        <v>258</v>
      </c>
      <c r="BN1207" s="5" t="s">
        <v>259</v>
      </c>
      <c r="CB1207" s="5" t="s">
        <v>240</v>
      </c>
      <c r="CC1207" s="5" t="s">
        <v>240</v>
      </c>
      <c r="CG1207" s="5" t="s">
        <v>304</v>
      </c>
      <c r="CH1207" s="5" t="s">
        <v>305</v>
      </c>
      <c r="CI1207" s="5" t="s">
        <v>240</v>
      </c>
      <c r="CL1207" s="6" t="s">
        <v>261</v>
      </c>
      <c r="CM1207" s="5" t="s">
        <v>240</v>
      </c>
      <c r="CN1207" s="5" t="s">
        <v>263</v>
      </c>
      <c r="CO1207" s="5" t="s">
        <v>240</v>
      </c>
      <c r="CP1207" s="5" t="s">
        <v>240</v>
      </c>
      <c r="CQ1207" s="5">
        <v>0</v>
      </c>
      <c r="CR1207" s="5" t="s">
        <v>306</v>
      </c>
      <c r="CS1207" s="5" t="s">
        <v>307</v>
      </c>
      <c r="CT1207" s="5" t="s">
        <v>307</v>
      </c>
      <c r="CU1207" s="5" t="s">
        <v>260</v>
      </c>
      <c r="CX1207" s="7">
        <f>1</f>
        <v>1</v>
      </c>
      <c r="CY1207" s="7">
        <f>0</f>
        <v>0</v>
      </c>
      <c r="DA1207" s="7">
        <f>0</f>
        <v>0</v>
      </c>
      <c r="DC1207" s="5" t="s">
        <v>812</v>
      </c>
      <c r="DD1207" s="5" t="s">
        <v>240</v>
      </c>
      <c r="DF1207" s="5" t="s">
        <v>812</v>
      </c>
      <c r="DG1207" s="7">
        <f>58</f>
        <v>58</v>
      </c>
      <c r="DI1207" s="5" t="s">
        <v>240</v>
      </c>
      <c r="DJ1207" s="5" t="s">
        <v>240</v>
      </c>
      <c r="DK1207" s="5" t="s">
        <v>240</v>
      </c>
      <c r="DL1207" s="5" t="s">
        <v>240</v>
      </c>
      <c r="DP1207" s="5" t="s">
        <v>240</v>
      </c>
      <c r="DQ1207" s="5" t="s">
        <v>240</v>
      </c>
      <c r="DR1207" s="5" t="s">
        <v>240</v>
      </c>
      <c r="DS1207" s="5" t="s">
        <v>240</v>
      </c>
      <c r="DV1207" s="5" t="s">
        <v>813</v>
      </c>
      <c r="DW1207" s="5" t="s">
        <v>2540</v>
      </c>
      <c r="HO1207" s="5" t="s">
        <v>312</v>
      </c>
    </row>
    <row r="1208" spans="1:223" x14ac:dyDescent="0.4">
      <c r="A1208" s="5">
        <v>2883</v>
      </c>
      <c r="B1208" s="5">
        <v>1</v>
      </c>
      <c r="C1208" s="5">
        <v>1</v>
      </c>
      <c r="D1208" s="5" t="s">
        <v>297</v>
      </c>
      <c r="E1208" s="5" t="s">
        <v>245</v>
      </c>
      <c r="F1208" s="5" t="s">
        <v>254</v>
      </c>
      <c r="G1208" s="5" t="s">
        <v>240</v>
      </c>
      <c r="H1208" s="6" t="s">
        <v>5021</v>
      </c>
      <c r="I1208" s="5" t="s">
        <v>295</v>
      </c>
      <c r="J1208" s="8">
        <f>1301</f>
        <v>1301</v>
      </c>
      <c r="K1208" s="5" t="s">
        <v>308</v>
      </c>
      <c r="L1208" s="7">
        <f>1</f>
        <v>1</v>
      </c>
      <c r="M1208" s="7">
        <f>1</f>
        <v>1</v>
      </c>
      <c r="N1208" s="5" t="s">
        <v>242</v>
      </c>
      <c r="O1208" s="5">
        <v>1</v>
      </c>
      <c r="P1208" s="5" t="s">
        <v>294</v>
      </c>
      <c r="Q1208" s="5" t="s">
        <v>266</v>
      </c>
      <c r="R1208" s="5" t="s">
        <v>240</v>
      </c>
      <c r="S1208" s="5" t="s">
        <v>240</v>
      </c>
      <c r="T1208" s="5" t="s">
        <v>296</v>
      </c>
      <c r="U1208" s="5" t="s">
        <v>244</v>
      </c>
      <c r="V1208" s="5" t="s">
        <v>240</v>
      </c>
      <c r="Y1208" s="5" t="s">
        <v>240</v>
      </c>
      <c r="Z1208" s="6" t="s">
        <v>298</v>
      </c>
      <c r="AB1208" s="6" t="s">
        <v>240</v>
      </c>
      <c r="AE1208" s="6" t="s">
        <v>299</v>
      </c>
      <c r="AF1208" s="5" t="s">
        <v>248</v>
      </c>
      <c r="AG1208" s="5" t="s">
        <v>249</v>
      </c>
      <c r="AW1208" s="5" t="s">
        <v>251</v>
      </c>
      <c r="AX1208" s="5" t="s">
        <v>240</v>
      </c>
      <c r="AY1208" s="5" t="s">
        <v>253</v>
      </c>
      <c r="AZ1208" s="5" t="s">
        <v>240</v>
      </c>
      <c r="BA1208" s="5" t="s">
        <v>255</v>
      </c>
      <c r="BB1208" s="5" t="s">
        <v>240</v>
      </c>
      <c r="BD1208" s="5" t="s">
        <v>240</v>
      </c>
      <c r="BF1208" s="5" t="s">
        <v>301</v>
      </c>
      <c r="BG1208" s="6" t="s">
        <v>299</v>
      </c>
      <c r="BH1208" s="5" t="s">
        <v>302</v>
      </c>
      <c r="BI1208" s="5" t="s">
        <v>303</v>
      </c>
      <c r="BJ1208" s="5" t="s">
        <v>240</v>
      </c>
      <c r="BK1208" s="8">
        <f>0</f>
        <v>0</v>
      </c>
      <c r="BL1208" s="7">
        <f>0</f>
        <v>0</v>
      </c>
      <c r="BM1208" s="5" t="s">
        <v>258</v>
      </c>
      <c r="BN1208" s="5" t="s">
        <v>259</v>
      </c>
      <c r="CB1208" s="5" t="s">
        <v>240</v>
      </c>
      <c r="CC1208" s="5" t="s">
        <v>240</v>
      </c>
      <c r="CG1208" s="5" t="s">
        <v>304</v>
      </c>
      <c r="CH1208" s="5" t="s">
        <v>305</v>
      </c>
      <c r="CI1208" s="5" t="s">
        <v>240</v>
      </c>
      <c r="CL1208" s="6" t="s">
        <v>261</v>
      </c>
      <c r="CM1208" s="5" t="s">
        <v>240</v>
      </c>
      <c r="CN1208" s="5" t="s">
        <v>263</v>
      </c>
      <c r="CO1208" s="5" t="s">
        <v>240</v>
      </c>
      <c r="CP1208" s="5" t="s">
        <v>240</v>
      </c>
      <c r="CQ1208" s="5">
        <v>0</v>
      </c>
      <c r="CR1208" s="5" t="s">
        <v>306</v>
      </c>
      <c r="CS1208" s="5" t="s">
        <v>307</v>
      </c>
      <c r="CT1208" s="5" t="s">
        <v>307</v>
      </c>
      <c r="CU1208" s="5" t="s">
        <v>260</v>
      </c>
      <c r="CX1208" s="7">
        <f>1</f>
        <v>1</v>
      </c>
      <c r="CY1208" s="7">
        <f>0</f>
        <v>0</v>
      </c>
      <c r="DA1208" s="7">
        <f>0</f>
        <v>0</v>
      </c>
      <c r="DC1208" s="5" t="s">
        <v>812</v>
      </c>
      <c r="DD1208" s="5" t="s">
        <v>240</v>
      </c>
      <c r="DF1208" s="5" t="s">
        <v>812</v>
      </c>
      <c r="DG1208" s="7">
        <f>1021</f>
        <v>1021</v>
      </c>
      <c r="DI1208" s="5" t="s">
        <v>240</v>
      </c>
      <c r="DJ1208" s="5" t="s">
        <v>240</v>
      </c>
      <c r="DK1208" s="5" t="s">
        <v>240</v>
      </c>
      <c r="DL1208" s="5" t="s">
        <v>240</v>
      </c>
      <c r="DP1208" s="5" t="s">
        <v>240</v>
      </c>
      <c r="DQ1208" s="5" t="s">
        <v>240</v>
      </c>
      <c r="DR1208" s="5" t="s">
        <v>240</v>
      </c>
      <c r="DS1208" s="5" t="s">
        <v>240</v>
      </c>
      <c r="DV1208" s="5" t="s">
        <v>813</v>
      </c>
      <c r="DW1208" s="5" t="s">
        <v>2542</v>
      </c>
      <c r="HO1208" s="5" t="s">
        <v>312</v>
      </c>
    </row>
    <row r="1209" spans="1:223" x14ac:dyDescent="0.4">
      <c r="A1209" s="5">
        <v>2884</v>
      </c>
      <c r="B1209" s="5">
        <v>1</v>
      </c>
      <c r="C1209" s="5">
        <v>1</v>
      </c>
      <c r="D1209" s="5" t="s">
        <v>297</v>
      </c>
      <c r="E1209" s="5" t="s">
        <v>245</v>
      </c>
      <c r="F1209" s="5" t="s">
        <v>254</v>
      </c>
      <c r="G1209" s="5" t="s">
        <v>240</v>
      </c>
      <c r="H1209" s="6" t="s">
        <v>5092</v>
      </c>
      <c r="I1209" s="5" t="s">
        <v>295</v>
      </c>
      <c r="J1209" s="8">
        <f>1640</f>
        <v>1640</v>
      </c>
      <c r="K1209" s="5" t="s">
        <v>308</v>
      </c>
      <c r="L1209" s="7">
        <f>1</f>
        <v>1</v>
      </c>
      <c r="M1209" s="7">
        <f>1</f>
        <v>1</v>
      </c>
      <c r="N1209" s="5" t="s">
        <v>242</v>
      </c>
      <c r="O1209" s="5">
        <v>1</v>
      </c>
      <c r="P1209" s="5" t="s">
        <v>294</v>
      </c>
      <c r="Q1209" s="5" t="s">
        <v>266</v>
      </c>
      <c r="R1209" s="5" t="s">
        <v>240</v>
      </c>
      <c r="S1209" s="5" t="s">
        <v>240</v>
      </c>
      <c r="T1209" s="5" t="s">
        <v>296</v>
      </c>
      <c r="U1209" s="5" t="s">
        <v>244</v>
      </c>
      <c r="V1209" s="5" t="s">
        <v>240</v>
      </c>
      <c r="Y1209" s="5" t="s">
        <v>240</v>
      </c>
      <c r="Z1209" s="6" t="s">
        <v>298</v>
      </c>
      <c r="AB1209" s="6" t="s">
        <v>240</v>
      </c>
      <c r="AE1209" s="6" t="s">
        <v>299</v>
      </c>
      <c r="AF1209" s="5" t="s">
        <v>248</v>
      </c>
      <c r="AG1209" s="5" t="s">
        <v>249</v>
      </c>
      <c r="AW1209" s="5" t="s">
        <v>251</v>
      </c>
      <c r="AX1209" s="5" t="s">
        <v>240</v>
      </c>
      <c r="AY1209" s="5" t="s">
        <v>253</v>
      </c>
      <c r="AZ1209" s="5" t="s">
        <v>240</v>
      </c>
      <c r="BA1209" s="5" t="s">
        <v>255</v>
      </c>
      <c r="BB1209" s="5" t="s">
        <v>240</v>
      </c>
      <c r="BD1209" s="5" t="s">
        <v>240</v>
      </c>
      <c r="BF1209" s="5" t="s">
        <v>301</v>
      </c>
      <c r="BG1209" s="6" t="s">
        <v>299</v>
      </c>
      <c r="BH1209" s="5" t="s">
        <v>302</v>
      </c>
      <c r="BI1209" s="5" t="s">
        <v>303</v>
      </c>
      <c r="BJ1209" s="5" t="s">
        <v>240</v>
      </c>
      <c r="BK1209" s="8">
        <f>0</f>
        <v>0</v>
      </c>
      <c r="BL1209" s="7">
        <f>0</f>
        <v>0</v>
      </c>
      <c r="BM1209" s="5" t="s">
        <v>258</v>
      </c>
      <c r="BN1209" s="5" t="s">
        <v>259</v>
      </c>
      <c r="CB1209" s="5" t="s">
        <v>240</v>
      </c>
      <c r="CC1209" s="5" t="s">
        <v>240</v>
      </c>
      <c r="CG1209" s="5" t="s">
        <v>304</v>
      </c>
      <c r="CH1209" s="5" t="s">
        <v>305</v>
      </c>
      <c r="CI1209" s="5" t="s">
        <v>240</v>
      </c>
      <c r="CL1209" s="6" t="s">
        <v>261</v>
      </c>
      <c r="CM1209" s="5" t="s">
        <v>240</v>
      </c>
      <c r="CN1209" s="5" t="s">
        <v>263</v>
      </c>
      <c r="CO1209" s="5" t="s">
        <v>240</v>
      </c>
      <c r="CP1209" s="5" t="s">
        <v>240</v>
      </c>
      <c r="CQ1209" s="5">
        <v>0</v>
      </c>
      <c r="CR1209" s="5" t="s">
        <v>306</v>
      </c>
      <c r="CS1209" s="5" t="s">
        <v>307</v>
      </c>
      <c r="CT1209" s="5" t="s">
        <v>307</v>
      </c>
      <c r="CU1209" s="5" t="s">
        <v>260</v>
      </c>
      <c r="CX1209" s="7">
        <f>1</f>
        <v>1</v>
      </c>
      <c r="CY1209" s="7">
        <f>0</f>
        <v>0</v>
      </c>
      <c r="DA1209" s="7">
        <f>0</f>
        <v>0</v>
      </c>
      <c r="DC1209" s="5" t="s">
        <v>812</v>
      </c>
      <c r="DD1209" s="5" t="s">
        <v>240</v>
      </c>
      <c r="DF1209" s="5" t="s">
        <v>812</v>
      </c>
      <c r="DG1209" s="7">
        <f>718</f>
        <v>718</v>
      </c>
      <c r="DI1209" s="5" t="s">
        <v>240</v>
      </c>
      <c r="DJ1209" s="5" t="s">
        <v>240</v>
      </c>
      <c r="DK1209" s="5" t="s">
        <v>240</v>
      </c>
      <c r="DL1209" s="5" t="s">
        <v>240</v>
      </c>
      <c r="DP1209" s="5" t="s">
        <v>240</v>
      </c>
      <c r="DQ1209" s="5" t="s">
        <v>240</v>
      </c>
      <c r="DR1209" s="5" t="s">
        <v>240</v>
      </c>
      <c r="DS1209" s="5" t="s">
        <v>240</v>
      </c>
      <c r="DV1209" s="5" t="s">
        <v>813</v>
      </c>
      <c r="DW1209" s="5" t="s">
        <v>2544</v>
      </c>
      <c r="HO1209" s="5" t="s">
        <v>312</v>
      </c>
    </row>
    <row r="1210" spans="1:223" x14ac:dyDescent="0.4">
      <c r="A1210" s="5">
        <v>2885</v>
      </c>
      <c r="B1210" s="5">
        <v>1</v>
      </c>
      <c r="C1210" s="5">
        <v>1</v>
      </c>
      <c r="D1210" s="5" t="s">
        <v>297</v>
      </c>
      <c r="E1210" s="5" t="s">
        <v>245</v>
      </c>
      <c r="F1210" s="5" t="s">
        <v>254</v>
      </c>
      <c r="G1210" s="5" t="s">
        <v>240</v>
      </c>
      <c r="H1210" s="6" t="s">
        <v>5018</v>
      </c>
      <c r="I1210" s="5" t="s">
        <v>295</v>
      </c>
      <c r="J1210" s="8">
        <f>810</f>
        <v>810</v>
      </c>
      <c r="K1210" s="5" t="s">
        <v>308</v>
      </c>
      <c r="L1210" s="7">
        <f>1</f>
        <v>1</v>
      </c>
      <c r="M1210" s="7">
        <f>1</f>
        <v>1</v>
      </c>
      <c r="N1210" s="5" t="s">
        <v>242</v>
      </c>
      <c r="O1210" s="5">
        <v>1</v>
      </c>
      <c r="P1210" s="5" t="s">
        <v>294</v>
      </c>
      <c r="Q1210" s="5" t="s">
        <v>266</v>
      </c>
      <c r="R1210" s="5" t="s">
        <v>240</v>
      </c>
      <c r="S1210" s="5" t="s">
        <v>240</v>
      </c>
      <c r="T1210" s="5" t="s">
        <v>296</v>
      </c>
      <c r="U1210" s="5" t="s">
        <v>244</v>
      </c>
      <c r="V1210" s="5" t="s">
        <v>240</v>
      </c>
      <c r="Y1210" s="5" t="s">
        <v>240</v>
      </c>
      <c r="Z1210" s="6" t="s">
        <v>298</v>
      </c>
      <c r="AB1210" s="6" t="s">
        <v>240</v>
      </c>
      <c r="AE1210" s="6" t="s">
        <v>299</v>
      </c>
      <c r="AF1210" s="5" t="s">
        <v>248</v>
      </c>
      <c r="AG1210" s="5" t="s">
        <v>249</v>
      </c>
      <c r="AW1210" s="5" t="s">
        <v>251</v>
      </c>
      <c r="AX1210" s="5" t="s">
        <v>240</v>
      </c>
      <c r="AY1210" s="5" t="s">
        <v>253</v>
      </c>
      <c r="AZ1210" s="5" t="s">
        <v>240</v>
      </c>
      <c r="BA1210" s="5" t="s">
        <v>255</v>
      </c>
      <c r="BB1210" s="5" t="s">
        <v>240</v>
      </c>
      <c r="BD1210" s="5" t="s">
        <v>240</v>
      </c>
      <c r="BF1210" s="5" t="s">
        <v>301</v>
      </c>
      <c r="BG1210" s="6" t="s">
        <v>299</v>
      </c>
      <c r="BH1210" s="5" t="s">
        <v>302</v>
      </c>
      <c r="BI1210" s="5" t="s">
        <v>303</v>
      </c>
      <c r="BJ1210" s="5" t="s">
        <v>240</v>
      </c>
      <c r="BK1210" s="8">
        <f>0</f>
        <v>0</v>
      </c>
      <c r="BL1210" s="7">
        <f>0</f>
        <v>0</v>
      </c>
      <c r="BM1210" s="5" t="s">
        <v>258</v>
      </c>
      <c r="BN1210" s="5" t="s">
        <v>259</v>
      </c>
      <c r="CB1210" s="5" t="s">
        <v>240</v>
      </c>
      <c r="CC1210" s="5" t="s">
        <v>240</v>
      </c>
      <c r="CG1210" s="5" t="s">
        <v>304</v>
      </c>
      <c r="CH1210" s="5" t="s">
        <v>305</v>
      </c>
      <c r="CI1210" s="5" t="s">
        <v>240</v>
      </c>
      <c r="CL1210" s="6" t="s">
        <v>261</v>
      </c>
      <c r="CM1210" s="5" t="s">
        <v>240</v>
      </c>
      <c r="CN1210" s="5" t="s">
        <v>263</v>
      </c>
      <c r="CO1210" s="5" t="s">
        <v>240</v>
      </c>
      <c r="CP1210" s="5" t="s">
        <v>240</v>
      </c>
      <c r="CQ1210" s="5">
        <v>0</v>
      </c>
      <c r="CR1210" s="5" t="s">
        <v>306</v>
      </c>
      <c r="CS1210" s="5" t="s">
        <v>307</v>
      </c>
      <c r="CT1210" s="5" t="s">
        <v>307</v>
      </c>
      <c r="CU1210" s="5" t="s">
        <v>260</v>
      </c>
      <c r="CX1210" s="7">
        <f>1</f>
        <v>1</v>
      </c>
      <c r="CY1210" s="7">
        <f>0</f>
        <v>0</v>
      </c>
      <c r="DA1210" s="7">
        <f>0</f>
        <v>0</v>
      </c>
      <c r="DC1210" s="5" t="s">
        <v>812</v>
      </c>
      <c r="DD1210" s="5" t="s">
        <v>240</v>
      </c>
      <c r="DF1210" s="5" t="s">
        <v>812</v>
      </c>
      <c r="DG1210" s="7">
        <f>316</f>
        <v>316</v>
      </c>
      <c r="DI1210" s="5" t="s">
        <v>240</v>
      </c>
      <c r="DJ1210" s="5" t="s">
        <v>240</v>
      </c>
      <c r="DK1210" s="5" t="s">
        <v>240</v>
      </c>
      <c r="DL1210" s="5" t="s">
        <v>240</v>
      </c>
      <c r="DP1210" s="5" t="s">
        <v>240</v>
      </c>
      <c r="DQ1210" s="5" t="s">
        <v>240</v>
      </c>
      <c r="DR1210" s="5" t="s">
        <v>240</v>
      </c>
      <c r="DS1210" s="5" t="s">
        <v>240</v>
      </c>
      <c r="DV1210" s="5" t="s">
        <v>813</v>
      </c>
      <c r="DW1210" s="5" t="s">
        <v>2546</v>
      </c>
      <c r="HO1210" s="5" t="s">
        <v>312</v>
      </c>
    </row>
    <row r="1211" spans="1:223" x14ac:dyDescent="0.4">
      <c r="A1211" s="5">
        <v>2886</v>
      </c>
      <c r="B1211" s="5">
        <v>1</v>
      </c>
      <c r="C1211" s="5">
        <v>1</v>
      </c>
      <c r="D1211" s="5" t="s">
        <v>297</v>
      </c>
      <c r="E1211" s="5" t="s">
        <v>245</v>
      </c>
      <c r="F1211" s="5" t="s">
        <v>254</v>
      </c>
      <c r="G1211" s="5" t="s">
        <v>240</v>
      </c>
      <c r="H1211" s="6" t="s">
        <v>5017</v>
      </c>
      <c r="I1211" s="5" t="s">
        <v>295</v>
      </c>
      <c r="J1211" s="8">
        <f>5918</f>
        <v>5918</v>
      </c>
      <c r="K1211" s="5" t="s">
        <v>308</v>
      </c>
      <c r="L1211" s="7">
        <f>1</f>
        <v>1</v>
      </c>
      <c r="M1211" s="7">
        <f>1</f>
        <v>1</v>
      </c>
      <c r="N1211" s="5" t="s">
        <v>242</v>
      </c>
      <c r="O1211" s="5">
        <v>1</v>
      </c>
      <c r="P1211" s="5" t="s">
        <v>294</v>
      </c>
      <c r="Q1211" s="5" t="s">
        <v>266</v>
      </c>
      <c r="R1211" s="5" t="s">
        <v>240</v>
      </c>
      <c r="S1211" s="5" t="s">
        <v>240</v>
      </c>
      <c r="T1211" s="5" t="s">
        <v>296</v>
      </c>
      <c r="U1211" s="5" t="s">
        <v>244</v>
      </c>
      <c r="V1211" s="5" t="s">
        <v>240</v>
      </c>
      <c r="Y1211" s="5" t="s">
        <v>240</v>
      </c>
      <c r="Z1211" s="6" t="s">
        <v>298</v>
      </c>
      <c r="AB1211" s="6" t="s">
        <v>240</v>
      </c>
      <c r="AE1211" s="6" t="s">
        <v>299</v>
      </c>
      <c r="AF1211" s="5" t="s">
        <v>248</v>
      </c>
      <c r="AG1211" s="5" t="s">
        <v>249</v>
      </c>
      <c r="AW1211" s="5" t="s">
        <v>251</v>
      </c>
      <c r="AX1211" s="5" t="s">
        <v>240</v>
      </c>
      <c r="AY1211" s="5" t="s">
        <v>253</v>
      </c>
      <c r="AZ1211" s="5" t="s">
        <v>240</v>
      </c>
      <c r="BA1211" s="5" t="s">
        <v>255</v>
      </c>
      <c r="BB1211" s="5" t="s">
        <v>240</v>
      </c>
      <c r="BD1211" s="5" t="s">
        <v>240</v>
      </c>
      <c r="BF1211" s="5" t="s">
        <v>301</v>
      </c>
      <c r="BG1211" s="6" t="s">
        <v>299</v>
      </c>
      <c r="BH1211" s="5" t="s">
        <v>302</v>
      </c>
      <c r="BI1211" s="5" t="s">
        <v>303</v>
      </c>
      <c r="BJ1211" s="5" t="s">
        <v>240</v>
      </c>
      <c r="BK1211" s="8">
        <f>0</f>
        <v>0</v>
      </c>
      <c r="BL1211" s="7">
        <f>0</f>
        <v>0</v>
      </c>
      <c r="BM1211" s="5" t="s">
        <v>258</v>
      </c>
      <c r="BN1211" s="5" t="s">
        <v>259</v>
      </c>
      <c r="CB1211" s="5" t="s">
        <v>240</v>
      </c>
      <c r="CC1211" s="5" t="s">
        <v>240</v>
      </c>
      <c r="CG1211" s="5" t="s">
        <v>304</v>
      </c>
      <c r="CH1211" s="5" t="s">
        <v>305</v>
      </c>
      <c r="CI1211" s="5" t="s">
        <v>240</v>
      </c>
      <c r="CL1211" s="6" t="s">
        <v>261</v>
      </c>
      <c r="CM1211" s="5" t="s">
        <v>240</v>
      </c>
      <c r="CN1211" s="5" t="s">
        <v>263</v>
      </c>
      <c r="CO1211" s="5" t="s">
        <v>240</v>
      </c>
      <c r="CP1211" s="5" t="s">
        <v>240</v>
      </c>
      <c r="CQ1211" s="5">
        <v>0</v>
      </c>
      <c r="CR1211" s="5" t="s">
        <v>306</v>
      </c>
      <c r="CS1211" s="5" t="s">
        <v>307</v>
      </c>
      <c r="CT1211" s="5" t="s">
        <v>307</v>
      </c>
      <c r="CU1211" s="5" t="s">
        <v>260</v>
      </c>
      <c r="CX1211" s="7">
        <f>1</f>
        <v>1</v>
      </c>
      <c r="CY1211" s="7">
        <f>0</f>
        <v>0</v>
      </c>
      <c r="DA1211" s="7">
        <f>0</f>
        <v>0</v>
      </c>
      <c r="DC1211" s="5" t="s">
        <v>812</v>
      </c>
      <c r="DD1211" s="5" t="s">
        <v>240</v>
      </c>
      <c r="DF1211" s="5" t="s">
        <v>812</v>
      </c>
      <c r="DG1211" s="7">
        <f>422</f>
        <v>422</v>
      </c>
      <c r="DI1211" s="5" t="s">
        <v>240</v>
      </c>
      <c r="DJ1211" s="5" t="s">
        <v>240</v>
      </c>
      <c r="DK1211" s="5" t="s">
        <v>240</v>
      </c>
      <c r="DL1211" s="5" t="s">
        <v>240</v>
      </c>
      <c r="DP1211" s="5" t="s">
        <v>240</v>
      </c>
      <c r="DQ1211" s="5" t="s">
        <v>240</v>
      </c>
      <c r="DR1211" s="5" t="s">
        <v>240</v>
      </c>
      <c r="DS1211" s="5" t="s">
        <v>240</v>
      </c>
      <c r="DV1211" s="5" t="s">
        <v>813</v>
      </c>
      <c r="DW1211" s="5" t="s">
        <v>2548</v>
      </c>
      <c r="HO1211" s="5" t="s">
        <v>312</v>
      </c>
    </row>
    <row r="1212" spans="1:223" x14ac:dyDescent="0.4">
      <c r="A1212" s="5">
        <v>2887</v>
      </c>
      <c r="B1212" s="5">
        <v>1</v>
      </c>
      <c r="C1212" s="5">
        <v>1</v>
      </c>
      <c r="D1212" s="5" t="s">
        <v>297</v>
      </c>
      <c r="E1212" s="5" t="s">
        <v>245</v>
      </c>
      <c r="F1212" s="5" t="s">
        <v>254</v>
      </c>
      <c r="G1212" s="5" t="s">
        <v>240</v>
      </c>
      <c r="H1212" s="6" t="s">
        <v>5016</v>
      </c>
      <c r="I1212" s="5" t="s">
        <v>295</v>
      </c>
      <c r="J1212" s="8">
        <f>70</f>
        <v>70</v>
      </c>
      <c r="K1212" s="5" t="s">
        <v>308</v>
      </c>
      <c r="L1212" s="7">
        <f>1</f>
        <v>1</v>
      </c>
      <c r="M1212" s="7">
        <f>1</f>
        <v>1</v>
      </c>
      <c r="N1212" s="5" t="s">
        <v>242</v>
      </c>
      <c r="O1212" s="5">
        <v>1</v>
      </c>
      <c r="P1212" s="5" t="s">
        <v>294</v>
      </c>
      <c r="Q1212" s="5" t="s">
        <v>266</v>
      </c>
      <c r="R1212" s="5" t="s">
        <v>240</v>
      </c>
      <c r="S1212" s="5" t="s">
        <v>240</v>
      </c>
      <c r="T1212" s="5" t="s">
        <v>296</v>
      </c>
      <c r="U1212" s="5" t="s">
        <v>244</v>
      </c>
      <c r="V1212" s="5" t="s">
        <v>240</v>
      </c>
      <c r="Y1212" s="5" t="s">
        <v>240</v>
      </c>
      <c r="Z1212" s="6" t="s">
        <v>298</v>
      </c>
      <c r="AB1212" s="6" t="s">
        <v>240</v>
      </c>
      <c r="AE1212" s="6" t="s">
        <v>299</v>
      </c>
      <c r="AF1212" s="5" t="s">
        <v>248</v>
      </c>
      <c r="AG1212" s="5" t="s">
        <v>249</v>
      </c>
      <c r="AW1212" s="5" t="s">
        <v>251</v>
      </c>
      <c r="AX1212" s="5" t="s">
        <v>240</v>
      </c>
      <c r="AY1212" s="5" t="s">
        <v>253</v>
      </c>
      <c r="AZ1212" s="5" t="s">
        <v>240</v>
      </c>
      <c r="BA1212" s="5" t="s">
        <v>255</v>
      </c>
      <c r="BB1212" s="5" t="s">
        <v>240</v>
      </c>
      <c r="BD1212" s="5" t="s">
        <v>240</v>
      </c>
      <c r="BF1212" s="5" t="s">
        <v>301</v>
      </c>
      <c r="BG1212" s="6" t="s">
        <v>299</v>
      </c>
      <c r="BH1212" s="5" t="s">
        <v>302</v>
      </c>
      <c r="BI1212" s="5" t="s">
        <v>303</v>
      </c>
      <c r="BJ1212" s="5" t="s">
        <v>240</v>
      </c>
      <c r="BK1212" s="8">
        <f>0</f>
        <v>0</v>
      </c>
      <c r="BL1212" s="7">
        <f>0</f>
        <v>0</v>
      </c>
      <c r="BM1212" s="5" t="s">
        <v>258</v>
      </c>
      <c r="BN1212" s="5" t="s">
        <v>259</v>
      </c>
      <c r="CB1212" s="5" t="s">
        <v>240</v>
      </c>
      <c r="CC1212" s="5" t="s">
        <v>240</v>
      </c>
      <c r="CG1212" s="5" t="s">
        <v>304</v>
      </c>
      <c r="CH1212" s="5" t="s">
        <v>305</v>
      </c>
      <c r="CI1212" s="5" t="s">
        <v>240</v>
      </c>
      <c r="CL1212" s="6" t="s">
        <v>261</v>
      </c>
      <c r="CM1212" s="5" t="s">
        <v>240</v>
      </c>
      <c r="CN1212" s="5" t="s">
        <v>263</v>
      </c>
      <c r="CO1212" s="5" t="s">
        <v>240</v>
      </c>
      <c r="CP1212" s="5" t="s">
        <v>240</v>
      </c>
      <c r="CQ1212" s="5">
        <v>0</v>
      </c>
      <c r="CR1212" s="5" t="s">
        <v>306</v>
      </c>
      <c r="CS1212" s="5" t="s">
        <v>307</v>
      </c>
      <c r="CT1212" s="5" t="s">
        <v>307</v>
      </c>
      <c r="CU1212" s="5" t="s">
        <v>260</v>
      </c>
      <c r="CX1212" s="7">
        <f>1</f>
        <v>1</v>
      </c>
      <c r="CY1212" s="7">
        <f>0</f>
        <v>0</v>
      </c>
      <c r="DA1212" s="7">
        <f>0</f>
        <v>0</v>
      </c>
      <c r="DC1212" s="5" t="s">
        <v>812</v>
      </c>
      <c r="DD1212" s="5" t="s">
        <v>240</v>
      </c>
      <c r="DF1212" s="5" t="s">
        <v>812</v>
      </c>
      <c r="DG1212" s="7">
        <f>957</f>
        <v>957</v>
      </c>
      <c r="DI1212" s="5" t="s">
        <v>240</v>
      </c>
      <c r="DJ1212" s="5" t="s">
        <v>240</v>
      </c>
      <c r="DK1212" s="5" t="s">
        <v>240</v>
      </c>
      <c r="DL1212" s="5" t="s">
        <v>240</v>
      </c>
      <c r="DP1212" s="5" t="s">
        <v>240</v>
      </c>
      <c r="DQ1212" s="5" t="s">
        <v>240</v>
      </c>
      <c r="DR1212" s="5" t="s">
        <v>240</v>
      </c>
      <c r="DS1212" s="5" t="s">
        <v>240</v>
      </c>
      <c r="DV1212" s="5" t="s">
        <v>813</v>
      </c>
      <c r="DW1212" s="5" t="s">
        <v>2550</v>
      </c>
      <c r="HO1212" s="5" t="s">
        <v>312</v>
      </c>
    </row>
    <row r="1213" spans="1:223" x14ac:dyDescent="0.4">
      <c r="A1213" s="5">
        <v>2888</v>
      </c>
      <c r="B1213" s="5">
        <v>1</v>
      </c>
      <c r="C1213" s="5">
        <v>1</v>
      </c>
      <c r="D1213" s="5" t="s">
        <v>297</v>
      </c>
      <c r="E1213" s="5" t="s">
        <v>245</v>
      </c>
      <c r="F1213" s="5" t="s">
        <v>254</v>
      </c>
      <c r="G1213" s="5" t="s">
        <v>240</v>
      </c>
      <c r="H1213" s="6" t="s">
        <v>5015</v>
      </c>
      <c r="I1213" s="5" t="s">
        <v>295</v>
      </c>
      <c r="J1213" s="8">
        <f>2192</f>
        <v>2192</v>
      </c>
      <c r="K1213" s="5" t="s">
        <v>308</v>
      </c>
      <c r="L1213" s="7">
        <f>1</f>
        <v>1</v>
      </c>
      <c r="M1213" s="7">
        <f>1</f>
        <v>1</v>
      </c>
      <c r="N1213" s="5" t="s">
        <v>242</v>
      </c>
      <c r="O1213" s="5">
        <v>1</v>
      </c>
      <c r="P1213" s="5" t="s">
        <v>294</v>
      </c>
      <c r="Q1213" s="5" t="s">
        <v>266</v>
      </c>
      <c r="R1213" s="5" t="s">
        <v>240</v>
      </c>
      <c r="S1213" s="5" t="s">
        <v>240</v>
      </c>
      <c r="T1213" s="5" t="s">
        <v>296</v>
      </c>
      <c r="U1213" s="5" t="s">
        <v>244</v>
      </c>
      <c r="V1213" s="5" t="s">
        <v>240</v>
      </c>
      <c r="Y1213" s="5" t="s">
        <v>240</v>
      </c>
      <c r="Z1213" s="6" t="s">
        <v>298</v>
      </c>
      <c r="AB1213" s="6" t="s">
        <v>240</v>
      </c>
      <c r="AE1213" s="6" t="s">
        <v>299</v>
      </c>
      <c r="AF1213" s="5" t="s">
        <v>248</v>
      </c>
      <c r="AG1213" s="5" t="s">
        <v>249</v>
      </c>
      <c r="AW1213" s="5" t="s">
        <v>251</v>
      </c>
      <c r="AX1213" s="5" t="s">
        <v>240</v>
      </c>
      <c r="AY1213" s="5" t="s">
        <v>253</v>
      </c>
      <c r="AZ1213" s="5" t="s">
        <v>240</v>
      </c>
      <c r="BA1213" s="5" t="s">
        <v>255</v>
      </c>
      <c r="BB1213" s="5" t="s">
        <v>240</v>
      </c>
      <c r="BD1213" s="5" t="s">
        <v>240</v>
      </c>
      <c r="BF1213" s="5" t="s">
        <v>301</v>
      </c>
      <c r="BG1213" s="6" t="s">
        <v>299</v>
      </c>
      <c r="BH1213" s="5" t="s">
        <v>302</v>
      </c>
      <c r="BI1213" s="5" t="s">
        <v>303</v>
      </c>
      <c r="BJ1213" s="5" t="s">
        <v>240</v>
      </c>
      <c r="BK1213" s="8">
        <f>0</f>
        <v>0</v>
      </c>
      <c r="BL1213" s="7">
        <f>0</f>
        <v>0</v>
      </c>
      <c r="BM1213" s="5" t="s">
        <v>258</v>
      </c>
      <c r="BN1213" s="5" t="s">
        <v>259</v>
      </c>
      <c r="CB1213" s="5" t="s">
        <v>240</v>
      </c>
      <c r="CC1213" s="5" t="s">
        <v>240</v>
      </c>
      <c r="CG1213" s="5" t="s">
        <v>304</v>
      </c>
      <c r="CH1213" s="5" t="s">
        <v>305</v>
      </c>
      <c r="CI1213" s="5" t="s">
        <v>240</v>
      </c>
      <c r="CL1213" s="6" t="s">
        <v>261</v>
      </c>
      <c r="CM1213" s="5" t="s">
        <v>240</v>
      </c>
      <c r="CN1213" s="5" t="s">
        <v>263</v>
      </c>
      <c r="CO1213" s="5" t="s">
        <v>240</v>
      </c>
      <c r="CP1213" s="5" t="s">
        <v>240</v>
      </c>
      <c r="CQ1213" s="5">
        <v>0</v>
      </c>
      <c r="CR1213" s="5" t="s">
        <v>306</v>
      </c>
      <c r="CS1213" s="5" t="s">
        <v>307</v>
      </c>
      <c r="CT1213" s="5" t="s">
        <v>307</v>
      </c>
      <c r="CU1213" s="5" t="s">
        <v>260</v>
      </c>
      <c r="CX1213" s="7">
        <f>1</f>
        <v>1</v>
      </c>
      <c r="CY1213" s="7">
        <f>0</f>
        <v>0</v>
      </c>
      <c r="DA1213" s="7">
        <f>0</f>
        <v>0</v>
      </c>
      <c r="DC1213" s="5" t="s">
        <v>812</v>
      </c>
      <c r="DD1213" s="5" t="s">
        <v>240</v>
      </c>
      <c r="DF1213" s="5" t="s">
        <v>812</v>
      </c>
      <c r="DG1213" s="7">
        <f>983</f>
        <v>983</v>
      </c>
      <c r="DI1213" s="5" t="s">
        <v>240</v>
      </c>
      <c r="DJ1213" s="5" t="s">
        <v>240</v>
      </c>
      <c r="DK1213" s="5" t="s">
        <v>240</v>
      </c>
      <c r="DL1213" s="5" t="s">
        <v>240</v>
      </c>
      <c r="DP1213" s="5" t="s">
        <v>240</v>
      </c>
      <c r="DQ1213" s="5" t="s">
        <v>240</v>
      </c>
      <c r="DR1213" s="5" t="s">
        <v>240</v>
      </c>
      <c r="DS1213" s="5" t="s">
        <v>240</v>
      </c>
      <c r="DV1213" s="5" t="s">
        <v>813</v>
      </c>
      <c r="DW1213" s="5" t="s">
        <v>2552</v>
      </c>
      <c r="HO1213" s="5" t="s">
        <v>312</v>
      </c>
    </row>
    <row r="1214" spans="1:223" x14ac:dyDescent="0.4">
      <c r="A1214" s="5">
        <v>2889</v>
      </c>
      <c r="B1214" s="5">
        <v>1</v>
      </c>
      <c r="C1214" s="5">
        <v>1</v>
      </c>
      <c r="D1214" s="5" t="s">
        <v>297</v>
      </c>
      <c r="E1214" s="5" t="s">
        <v>245</v>
      </c>
      <c r="F1214" s="5" t="s">
        <v>254</v>
      </c>
      <c r="G1214" s="5" t="s">
        <v>240</v>
      </c>
      <c r="H1214" s="6" t="s">
        <v>5014</v>
      </c>
      <c r="I1214" s="5" t="s">
        <v>295</v>
      </c>
      <c r="J1214" s="8">
        <f>72</f>
        <v>72</v>
      </c>
      <c r="K1214" s="5" t="s">
        <v>308</v>
      </c>
      <c r="L1214" s="7">
        <f>1</f>
        <v>1</v>
      </c>
      <c r="M1214" s="7">
        <f>1</f>
        <v>1</v>
      </c>
      <c r="N1214" s="5" t="s">
        <v>242</v>
      </c>
      <c r="O1214" s="5">
        <v>1</v>
      </c>
      <c r="P1214" s="5" t="s">
        <v>294</v>
      </c>
      <c r="Q1214" s="5" t="s">
        <v>266</v>
      </c>
      <c r="R1214" s="5" t="s">
        <v>240</v>
      </c>
      <c r="S1214" s="5" t="s">
        <v>240</v>
      </c>
      <c r="T1214" s="5" t="s">
        <v>296</v>
      </c>
      <c r="U1214" s="5" t="s">
        <v>244</v>
      </c>
      <c r="V1214" s="5" t="s">
        <v>240</v>
      </c>
      <c r="Y1214" s="5" t="s">
        <v>240</v>
      </c>
      <c r="Z1214" s="6" t="s">
        <v>298</v>
      </c>
      <c r="AB1214" s="6" t="s">
        <v>240</v>
      </c>
      <c r="AE1214" s="6" t="s">
        <v>299</v>
      </c>
      <c r="AF1214" s="5" t="s">
        <v>248</v>
      </c>
      <c r="AG1214" s="5" t="s">
        <v>249</v>
      </c>
      <c r="AW1214" s="5" t="s">
        <v>251</v>
      </c>
      <c r="AX1214" s="5" t="s">
        <v>240</v>
      </c>
      <c r="AY1214" s="5" t="s">
        <v>253</v>
      </c>
      <c r="AZ1214" s="5" t="s">
        <v>240</v>
      </c>
      <c r="BA1214" s="5" t="s">
        <v>255</v>
      </c>
      <c r="BB1214" s="5" t="s">
        <v>240</v>
      </c>
      <c r="BD1214" s="5" t="s">
        <v>240</v>
      </c>
      <c r="BF1214" s="5" t="s">
        <v>301</v>
      </c>
      <c r="BG1214" s="6" t="s">
        <v>299</v>
      </c>
      <c r="BH1214" s="5" t="s">
        <v>302</v>
      </c>
      <c r="BI1214" s="5" t="s">
        <v>303</v>
      </c>
      <c r="BJ1214" s="5" t="s">
        <v>240</v>
      </c>
      <c r="BK1214" s="8">
        <f>0</f>
        <v>0</v>
      </c>
      <c r="BL1214" s="7">
        <f>0</f>
        <v>0</v>
      </c>
      <c r="BM1214" s="5" t="s">
        <v>258</v>
      </c>
      <c r="BN1214" s="5" t="s">
        <v>259</v>
      </c>
      <c r="CB1214" s="5" t="s">
        <v>240</v>
      </c>
      <c r="CC1214" s="5" t="s">
        <v>240</v>
      </c>
      <c r="CG1214" s="5" t="s">
        <v>304</v>
      </c>
      <c r="CH1214" s="5" t="s">
        <v>305</v>
      </c>
      <c r="CI1214" s="5" t="s">
        <v>240</v>
      </c>
      <c r="CL1214" s="6" t="s">
        <v>261</v>
      </c>
      <c r="CM1214" s="5" t="s">
        <v>240</v>
      </c>
      <c r="CN1214" s="5" t="s">
        <v>263</v>
      </c>
      <c r="CO1214" s="5" t="s">
        <v>240</v>
      </c>
      <c r="CP1214" s="5" t="s">
        <v>240</v>
      </c>
      <c r="CQ1214" s="5">
        <v>0</v>
      </c>
      <c r="CR1214" s="5" t="s">
        <v>306</v>
      </c>
      <c r="CS1214" s="5" t="s">
        <v>307</v>
      </c>
      <c r="CT1214" s="5" t="s">
        <v>307</v>
      </c>
      <c r="CU1214" s="5" t="s">
        <v>260</v>
      </c>
      <c r="CX1214" s="7">
        <f>1</f>
        <v>1</v>
      </c>
      <c r="CY1214" s="7">
        <f>0</f>
        <v>0</v>
      </c>
      <c r="DA1214" s="7">
        <f>0</f>
        <v>0</v>
      </c>
      <c r="DC1214" s="5" t="s">
        <v>812</v>
      </c>
      <c r="DD1214" s="5" t="s">
        <v>240</v>
      </c>
      <c r="DF1214" s="5" t="s">
        <v>812</v>
      </c>
      <c r="DG1214" s="7">
        <f>453</f>
        <v>453</v>
      </c>
      <c r="DI1214" s="5" t="s">
        <v>240</v>
      </c>
      <c r="DJ1214" s="5" t="s">
        <v>240</v>
      </c>
      <c r="DK1214" s="5" t="s">
        <v>240</v>
      </c>
      <c r="DL1214" s="5" t="s">
        <v>240</v>
      </c>
      <c r="DP1214" s="5" t="s">
        <v>240</v>
      </c>
      <c r="DQ1214" s="5" t="s">
        <v>240</v>
      </c>
      <c r="DR1214" s="5" t="s">
        <v>240</v>
      </c>
      <c r="DS1214" s="5" t="s">
        <v>240</v>
      </c>
      <c r="DV1214" s="5" t="s">
        <v>813</v>
      </c>
      <c r="DW1214" s="5" t="s">
        <v>2554</v>
      </c>
      <c r="HO1214" s="5" t="s">
        <v>312</v>
      </c>
    </row>
    <row r="1215" spans="1:223" x14ac:dyDescent="0.4">
      <c r="A1215" s="5">
        <v>2890</v>
      </c>
      <c r="B1215" s="5">
        <v>1</v>
      </c>
      <c r="C1215" s="5">
        <v>1</v>
      </c>
      <c r="D1215" s="5" t="s">
        <v>297</v>
      </c>
      <c r="E1215" s="5" t="s">
        <v>245</v>
      </c>
      <c r="F1215" s="5" t="s">
        <v>254</v>
      </c>
      <c r="G1215" s="5" t="s">
        <v>240</v>
      </c>
      <c r="H1215" s="6" t="s">
        <v>2107</v>
      </c>
      <c r="I1215" s="5" t="s">
        <v>295</v>
      </c>
      <c r="J1215" s="8">
        <f>98</f>
        <v>98</v>
      </c>
      <c r="K1215" s="5" t="s">
        <v>308</v>
      </c>
      <c r="L1215" s="7">
        <f>1</f>
        <v>1</v>
      </c>
      <c r="M1215" s="7">
        <f>1</f>
        <v>1</v>
      </c>
      <c r="N1215" s="5" t="s">
        <v>242</v>
      </c>
      <c r="O1215" s="5">
        <v>1</v>
      </c>
      <c r="P1215" s="5" t="s">
        <v>294</v>
      </c>
      <c r="Q1215" s="5" t="s">
        <v>266</v>
      </c>
      <c r="R1215" s="5" t="s">
        <v>240</v>
      </c>
      <c r="S1215" s="5" t="s">
        <v>240</v>
      </c>
      <c r="T1215" s="5" t="s">
        <v>296</v>
      </c>
      <c r="U1215" s="5" t="s">
        <v>244</v>
      </c>
      <c r="V1215" s="5" t="s">
        <v>240</v>
      </c>
      <c r="Y1215" s="5" t="s">
        <v>240</v>
      </c>
      <c r="Z1215" s="6" t="s">
        <v>298</v>
      </c>
      <c r="AB1215" s="6" t="s">
        <v>240</v>
      </c>
      <c r="AE1215" s="6" t="s">
        <v>299</v>
      </c>
      <c r="AF1215" s="5" t="s">
        <v>248</v>
      </c>
      <c r="AG1215" s="5" t="s">
        <v>249</v>
      </c>
      <c r="AW1215" s="5" t="s">
        <v>251</v>
      </c>
      <c r="AX1215" s="5" t="s">
        <v>240</v>
      </c>
      <c r="AY1215" s="5" t="s">
        <v>253</v>
      </c>
      <c r="AZ1215" s="5" t="s">
        <v>240</v>
      </c>
      <c r="BA1215" s="5" t="s">
        <v>255</v>
      </c>
      <c r="BB1215" s="5" t="s">
        <v>240</v>
      </c>
      <c r="BD1215" s="5" t="s">
        <v>240</v>
      </c>
      <c r="BF1215" s="5" t="s">
        <v>301</v>
      </c>
      <c r="BG1215" s="6" t="s">
        <v>299</v>
      </c>
      <c r="BH1215" s="5" t="s">
        <v>302</v>
      </c>
      <c r="BI1215" s="5" t="s">
        <v>303</v>
      </c>
      <c r="BJ1215" s="5" t="s">
        <v>240</v>
      </c>
      <c r="BK1215" s="8">
        <f>0</f>
        <v>0</v>
      </c>
      <c r="BL1215" s="7">
        <f>0</f>
        <v>0</v>
      </c>
      <c r="BM1215" s="5" t="s">
        <v>258</v>
      </c>
      <c r="BN1215" s="5" t="s">
        <v>259</v>
      </c>
      <c r="CB1215" s="5" t="s">
        <v>240</v>
      </c>
      <c r="CC1215" s="5" t="s">
        <v>240</v>
      </c>
      <c r="CG1215" s="5" t="s">
        <v>304</v>
      </c>
      <c r="CH1215" s="5" t="s">
        <v>305</v>
      </c>
      <c r="CI1215" s="5" t="s">
        <v>240</v>
      </c>
      <c r="CL1215" s="6" t="s">
        <v>261</v>
      </c>
      <c r="CM1215" s="5" t="s">
        <v>240</v>
      </c>
      <c r="CN1215" s="5" t="s">
        <v>263</v>
      </c>
      <c r="CO1215" s="5" t="s">
        <v>240</v>
      </c>
      <c r="CP1215" s="5" t="s">
        <v>240</v>
      </c>
      <c r="CQ1215" s="5">
        <v>0</v>
      </c>
      <c r="CR1215" s="5" t="s">
        <v>306</v>
      </c>
      <c r="CS1215" s="5" t="s">
        <v>307</v>
      </c>
      <c r="CT1215" s="5" t="s">
        <v>307</v>
      </c>
      <c r="CU1215" s="5" t="s">
        <v>260</v>
      </c>
      <c r="CX1215" s="7">
        <f>1</f>
        <v>1</v>
      </c>
      <c r="CY1215" s="7">
        <f>0</f>
        <v>0</v>
      </c>
      <c r="DA1215" s="7">
        <f>0</f>
        <v>0</v>
      </c>
      <c r="DC1215" s="5" t="s">
        <v>812</v>
      </c>
      <c r="DD1215" s="5" t="s">
        <v>240</v>
      </c>
      <c r="DF1215" s="5" t="s">
        <v>812</v>
      </c>
      <c r="DG1215" s="7">
        <f>189</f>
        <v>189</v>
      </c>
      <c r="DI1215" s="5" t="s">
        <v>240</v>
      </c>
      <c r="DJ1215" s="5" t="s">
        <v>240</v>
      </c>
      <c r="DK1215" s="5" t="s">
        <v>240</v>
      </c>
      <c r="DL1215" s="5" t="s">
        <v>240</v>
      </c>
      <c r="DP1215" s="5" t="s">
        <v>240</v>
      </c>
      <c r="DQ1215" s="5" t="s">
        <v>240</v>
      </c>
      <c r="DR1215" s="5" t="s">
        <v>240</v>
      </c>
      <c r="DS1215" s="5" t="s">
        <v>240</v>
      </c>
      <c r="DV1215" s="5" t="s">
        <v>813</v>
      </c>
      <c r="DW1215" s="5" t="s">
        <v>2556</v>
      </c>
      <c r="HO1215" s="5" t="s">
        <v>312</v>
      </c>
    </row>
    <row r="1216" spans="1:223" x14ac:dyDescent="0.4">
      <c r="A1216" s="5">
        <v>2891</v>
      </c>
      <c r="B1216" s="5">
        <v>1</v>
      </c>
      <c r="C1216" s="5">
        <v>1</v>
      </c>
      <c r="D1216" s="5" t="s">
        <v>297</v>
      </c>
      <c r="E1216" s="5" t="s">
        <v>245</v>
      </c>
      <c r="F1216" s="5" t="s">
        <v>254</v>
      </c>
      <c r="G1216" s="5" t="s">
        <v>240</v>
      </c>
      <c r="H1216" s="6" t="s">
        <v>5013</v>
      </c>
      <c r="I1216" s="5" t="s">
        <v>295</v>
      </c>
      <c r="J1216" s="8">
        <f>1188</f>
        <v>1188</v>
      </c>
      <c r="K1216" s="5" t="s">
        <v>308</v>
      </c>
      <c r="L1216" s="7">
        <f>1</f>
        <v>1</v>
      </c>
      <c r="M1216" s="7">
        <f>1</f>
        <v>1</v>
      </c>
      <c r="N1216" s="5" t="s">
        <v>242</v>
      </c>
      <c r="O1216" s="5">
        <v>1</v>
      </c>
      <c r="P1216" s="5" t="s">
        <v>294</v>
      </c>
      <c r="Q1216" s="5" t="s">
        <v>266</v>
      </c>
      <c r="R1216" s="5" t="s">
        <v>240</v>
      </c>
      <c r="S1216" s="5" t="s">
        <v>240</v>
      </c>
      <c r="T1216" s="5" t="s">
        <v>296</v>
      </c>
      <c r="U1216" s="5" t="s">
        <v>244</v>
      </c>
      <c r="V1216" s="5" t="s">
        <v>240</v>
      </c>
      <c r="Y1216" s="5" t="s">
        <v>240</v>
      </c>
      <c r="Z1216" s="6" t="s">
        <v>298</v>
      </c>
      <c r="AB1216" s="6" t="s">
        <v>240</v>
      </c>
      <c r="AE1216" s="6" t="s">
        <v>299</v>
      </c>
      <c r="AF1216" s="5" t="s">
        <v>248</v>
      </c>
      <c r="AG1216" s="5" t="s">
        <v>249</v>
      </c>
      <c r="AW1216" s="5" t="s">
        <v>251</v>
      </c>
      <c r="AX1216" s="5" t="s">
        <v>240</v>
      </c>
      <c r="AY1216" s="5" t="s">
        <v>253</v>
      </c>
      <c r="AZ1216" s="5" t="s">
        <v>240</v>
      </c>
      <c r="BA1216" s="5" t="s">
        <v>255</v>
      </c>
      <c r="BB1216" s="5" t="s">
        <v>240</v>
      </c>
      <c r="BD1216" s="5" t="s">
        <v>240</v>
      </c>
      <c r="BF1216" s="5" t="s">
        <v>301</v>
      </c>
      <c r="BG1216" s="6" t="s">
        <v>299</v>
      </c>
      <c r="BH1216" s="5" t="s">
        <v>302</v>
      </c>
      <c r="BI1216" s="5" t="s">
        <v>303</v>
      </c>
      <c r="BJ1216" s="5" t="s">
        <v>240</v>
      </c>
      <c r="BK1216" s="8">
        <f>0</f>
        <v>0</v>
      </c>
      <c r="BL1216" s="7">
        <f>0</f>
        <v>0</v>
      </c>
      <c r="BM1216" s="5" t="s">
        <v>258</v>
      </c>
      <c r="BN1216" s="5" t="s">
        <v>259</v>
      </c>
      <c r="CB1216" s="5" t="s">
        <v>240</v>
      </c>
      <c r="CC1216" s="5" t="s">
        <v>240</v>
      </c>
      <c r="CG1216" s="5" t="s">
        <v>304</v>
      </c>
      <c r="CH1216" s="5" t="s">
        <v>305</v>
      </c>
      <c r="CI1216" s="5" t="s">
        <v>240</v>
      </c>
      <c r="CL1216" s="6" t="s">
        <v>261</v>
      </c>
      <c r="CM1216" s="5" t="s">
        <v>240</v>
      </c>
      <c r="CN1216" s="5" t="s">
        <v>263</v>
      </c>
      <c r="CO1216" s="5" t="s">
        <v>240</v>
      </c>
      <c r="CP1216" s="5" t="s">
        <v>240</v>
      </c>
      <c r="CQ1216" s="5">
        <v>0</v>
      </c>
      <c r="CR1216" s="5" t="s">
        <v>306</v>
      </c>
      <c r="CS1216" s="5" t="s">
        <v>307</v>
      </c>
      <c r="CT1216" s="5" t="s">
        <v>307</v>
      </c>
      <c r="CU1216" s="5" t="s">
        <v>260</v>
      </c>
      <c r="CX1216" s="7">
        <f>1</f>
        <v>1</v>
      </c>
      <c r="CY1216" s="7">
        <f>0</f>
        <v>0</v>
      </c>
      <c r="DA1216" s="7">
        <f>0</f>
        <v>0</v>
      </c>
      <c r="DC1216" s="5" t="s">
        <v>812</v>
      </c>
      <c r="DD1216" s="5" t="s">
        <v>240</v>
      </c>
      <c r="DF1216" s="5" t="s">
        <v>812</v>
      </c>
      <c r="DG1216" s="7">
        <f>97</f>
        <v>97</v>
      </c>
      <c r="DI1216" s="5" t="s">
        <v>240</v>
      </c>
      <c r="DJ1216" s="5" t="s">
        <v>240</v>
      </c>
      <c r="DK1216" s="5" t="s">
        <v>240</v>
      </c>
      <c r="DL1216" s="5" t="s">
        <v>240</v>
      </c>
      <c r="DP1216" s="5" t="s">
        <v>240</v>
      </c>
      <c r="DQ1216" s="5" t="s">
        <v>240</v>
      </c>
      <c r="DR1216" s="5" t="s">
        <v>240</v>
      </c>
      <c r="DS1216" s="5" t="s">
        <v>240</v>
      </c>
      <c r="DV1216" s="5" t="s">
        <v>813</v>
      </c>
      <c r="DW1216" s="5" t="s">
        <v>2558</v>
      </c>
      <c r="HO1216" s="5" t="s">
        <v>312</v>
      </c>
    </row>
    <row r="1217" spans="1:223" x14ac:dyDescent="0.4">
      <c r="A1217" s="5">
        <v>2892</v>
      </c>
      <c r="B1217" s="5">
        <v>1</v>
      </c>
      <c r="C1217" s="5">
        <v>1</v>
      </c>
      <c r="D1217" s="5" t="s">
        <v>297</v>
      </c>
      <c r="E1217" s="5" t="s">
        <v>245</v>
      </c>
      <c r="F1217" s="5" t="s">
        <v>254</v>
      </c>
      <c r="G1217" s="5" t="s">
        <v>240</v>
      </c>
      <c r="H1217" s="6" t="s">
        <v>5012</v>
      </c>
      <c r="I1217" s="5" t="s">
        <v>295</v>
      </c>
      <c r="J1217" s="8">
        <f>5044</f>
        <v>5044</v>
      </c>
      <c r="K1217" s="5" t="s">
        <v>308</v>
      </c>
      <c r="L1217" s="7">
        <f>1</f>
        <v>1</v>
      </c>
      <c r="M1217" s="7">
        <f>1</f>
        <v>1</v>
      </c>
      <c r="N1217" s="5" t="s">
        <v>242</v>
      </c>
      <c r="O1217" s="5">
        <v>1</v>
      </c>
      <c r="P1217" s="5" t="s">
        <v>294</v>
      </c>
      <c r="Q1217" s="5" t="s">
        <v>266</v>
      </c>
      <c r="R1217" s="5" t="s">
        <v>240</v>
      </c>
      <c r="S1217" s="5" t="s">
        <v>240</v>
      </c>
      <c r="T1217" s="5" t="s">
        <v>296</v>
      </c>
      <c r="U1217" s="5" t="s">
        <v>244</v>
      </c>
      <c r="V1217" s="5" t="s">
        <v>240</v>
      </c>
      <c r="Y1217" s="5" t="s">
        <v>240</v>
      </c>
      <c r="Z1217" s="6" t="s">
        <v>298</v>
      </c>
      <c r="AB1217" s="6" t="s">
        <v>240</v>
      </c>
      <c r="AE1217" s="6" t="s">
        <v>299</v>
      </c>
      <c r="AF1217" s="5" t="s">
        <v>248</v>
      </c>
      <c r="AG1217" s="5" t="s">
        <v>249</v>
      </c>
      <c r="AW1217" s="5" t="s">
        <v>251</v>
      </c>
      <c r="AX1217" s="5" t="s">
        <v>240</v>
      </c>
      <c r="AY1217" s="5" t="s">
        <v>253</v>
      </c>
      <c r="AZ1217" s="5" t="s">
        <v>240</v>
      </c>
      <c r="BA1217" s="5" t="s">
        <v>255</v>
      </c>
      <c r="BB1217" s="5" t="s">
        <v>240</v>
      </c>
      <c r="BD1217" s="5" t="s">
        <v>240</v>
      </c>
      <c r="BF1217" s="5" t="s">
        <v>301</v>
      </c>
      <c r="BG1217" s="6" t="s">
        <v>299</v>
      </c>
      <c r="BH1217" s="5" t="s">
        <v>302</v>
      </c>
      <c r="BI1217" s="5" t="s">
        <v>303</v>
      </c>
      <c r="BJ1217" s="5" t="s">
        <v>240</v>
      </c>
      <c r="BK1217" s="8">
        <f>0</f>
        <v>0</v>
      </c>
      <c r="BL1217" s="7">
        <f>0</f>
        <v>0</v>
      </c>
      <c r="BM1217" s="5" t="s">
        <v>258</v>
      </c>
      <c r="BN1217" s="5" t="s">
        <v>259</v>
      </c>
      <c r="CB1217" s="5" t="s">
        <v>240</v>
      </c>
      <c r="CC1217" s="5" t="s">
        <v>240</v>
      </c>
      <c r="CG1217" s="5" t="s">
        <v>304</v>
      </c>
      <c r="CH1217" s="5" t="s">
        <v>305</v>
      </c>
      <c r="CI1217" s="5" t="s">
        <v>240</v>
      </c>
      <c r="CL1217" s="6" t="s">
        <v>261</v>
      </c>
      <c r="CM1217" s="5" t="s">
        <v>240</v>
      </c>
      <c r="CN1217" s="5" t="s">
        <v>263</v>
      </c>
      <c r="CO1217" s="5" t="s">
        <v>240</v>
      </c>
      <c r="CP1217" s="5" t="s">
        <v>240</v>
      </c>
      <c r="CQ1217" s="5">
        <v>0</v>
      </c>
      <c r="CR1217" s="5" t="s">
        <v>306</v>
      </c>
      <c r="CS1217" s="5" t="s">
        <v>307</v>
      </c>
      <c r="CT1217" s="5" t="s">
        <v>307</v>
      </c>
      <c r="CU1217" s="5" t="s">
        <v>260</v>
      </c>
      <c r="CX1217" s="7">
        <f>1</f>
        <v>1</v>
      </c>
      <c r="CY1217" s="7">
        <f>0</f>
        <v>0</v>
      </c>
      <c r="DA1217" s="7">
        <f>0</f>
        <v>0</v>
      </c>
      <c r="DC1217" s="5" t="s">
        <v>812</v>
      </c>
      <c r="DD1217" s="5" t="s">
        <v>240</v>
      </c>
      <c r="DF1217" s="5" t="s">
        <v>812</v>
      </c>
      <c r="DG1217" s="7">
        <f>232</f>
        <v>232</v>
      </c>
      <c r="DI1217" s="5" t="s">
        <v>240</v>
      </c>
      <c r="DJ1217" s="5" t="s">
        <v>240</v>
      </c>
      <c r="DK1217" s="5" t="s">
        <v>240</v>
      </c>
      <c r="DL1217" s="5" t="s">
        <v>240</v>
      </c>
      <c r="DP1217" s="5" t="s">
        <v>240</v>
      </c>
      <c r="DQ1217" s="5" t="s">
        <v>240</v>
      </c>
      <c r="DR1217" s="5" t="s">
        <v>240</v>
      </c>
      <c r="DS1217" s="5" t="s">
        <v>240</v>
      </c>
      <c r="DV1217" s="5" t="s">
        <v>813</v>
      </c>
      <c r="DW1217" s="5" t="s">
        <v>2560</v>
      </c>
      <c r="HO1217" s="5" t="s">
        <v>312</v>
      </c>
    </row>
    <row r="1218" spans="1:223" x14ac:dyDescent="0.4">
      <c r="A1218" s="5">
        <v>2893</v>
      </c>
      <c r="B1218" s="5">
        <v>1</v>
      </c>
      <c r="C1218" s="5">
        <v>1</v>
      </c>
      <c r="D1218" s="5" t="s">
        <v>297</v>
      </c>
      <c r="E1218" s="5" t="s">
        <v>245</v>
      </c>
      <c r="F1218" s="5" t="s">
        <v>254</v>
      </c>
      <c r="G1218" s="5" t="s">
        <v>240</v>
      </c>
      <c r="H1218" s="6" t="s">
        <v>5109</v>
      </c>
      <c r="I1218" s="5" t="s">
        <v>295</v>
      </c>
      <c r="J1218" s="8">
        <f>1682</f>
        <v>1682</v>
      </c>
      <c r="K1218" s="5" t="s">
        <v>308</v>
      </c>
      <c r="L1218" s="7">
        <f>1</f>
        <v>1</v>
      </c>
      <c r="M1218" s="7">
        <f>1</f>
        <v>1</v>
      </c>
      <c r="N1218" s="5" t="s">
        <v>242</v>
      </c>
      <c r="O1218" s="5">
        <v>1</v>
      </c>
      <c r="P1218" s="5" t="s">
        <v>294</v>
      </c>
      <c r="Q1218" s="5" t="s">
        <v>266</v>
      </c>
      <c r="R1218" s="5" t="s">
        <v>240</v>
      </c>
      <c r="S1218" s="5" t="s">
        <v>240</v>
      </c>
      <c r="T1218" s="5" t="s">
        <v>296</v>
      </c>
      <c r="U1218" s="5" t="s">
        <v>244</v>
      </c>
      <c r="V1218" s="5" t="s">
        <v>240</v>
      </c>
      <c r="Y1218" s="5" t="s">
        <v>240</v>
      </c>
      <c r="Z1218" s="6" t="s">
        <v>298</v>
      </c>
      <c r="AB1218" s="6" t="s">
        <v>240</v>
      </c>
      <c r="AE1218" s="6" t="s">
        <v>299</v>
      </c>
      <c r="AF1218" s="5" t="s">
        <v>248</v>
      </c>
      <c r="AG1218" s="5" t="s">
        <v>249</v>
      </c>
      <c r="AW1218" s="5" t="s">
        <v>251</v>
      </c>
      <c r="AX1218" s="5" t="s">
        <v>240</v>
      </c>
      <c r="AY1218" s="5" t="s">
        <v>253</v>
      </c>
      <c r="AZ1218" s="5" t="s">
        <v>240</v>
      </c>
      <c r="BA1218" s="5" t="s">
        <v>255</v>
      </c>
      <c r="BB1218" s="5" t="s">
        <v>240</v>
      </c>
      <c r="BD1218" s="5" t="s">
        <v>240</v>
      </c>
      <c r="BF1218" s="5" t="s">
        <v>301</v>
      </c>
      <c r="BG1218" s="6" t="s">
        <v>299</v>
      </c>
      <c r="BH1218" s="5" t="s">
        <v>302</v>
      </c>
      <c r="BI1218" s="5" t="s">
        <v>303</v>
      </c>
      <c r="BJ1218" s="5" t="s">
        <v>240</v>
      </c>
      <c r="BK1218" s="8">
        <f>0</f>
        <v>0</v>
      </c>
      <c r="BL1218" s="7">
        <f>0</f>
        <v>0</v>
      </c>
      <c r="BM1218" s="5" t="s">
        <v>258</v>
      </c>
      <c r="BN1218" s="5" t="s">
        <v>259</v>
      </c>
      <c r="CB1218" s="5" t="s">
        <v>240</v>
      </c>
      <c r="CC1218" s="5" t="s">
        <v>240</v>
      </c>
      <c r="CG1218" s="5" t="s">
        <v>304</v>
      </c>
      <c r="CH1218" s="5" t="s">
        <v>305</v>
      </c>
      <c r="CI1218" s="5" t="s">
        <v>240</v>
      </c>
      <c r="CL1218" s="6" t="s">
        <v>261</v>
      </c>
      <c r="CM1218" s="5" t="s">
        <v>240</v>
      </c>
      <c r="CN1218" s="5" t="s">
        <v>263</v>
      </c>
      <c r="CO1218" s="5" t="s">
        <v>240</v>
      </c>
      <c r="CP1218" s="5" t="s">
        <v>240</v>
      </c>
      <c r="CQ1218" s="5">
        <v>0</v>
      </c>
      <c r="CR1218" s="5" t="s">
        <v>306</v>
      </c>
      <c r="CS1218" s="5" t="s">
        <v>307</v>
      </c>
      <c r="CT1218" s="5" t="s">
        <v>307</v>
      </c>
      <c r="CU1218" s="5" t="s">
        <v>260</v>
      </c>
      <c r="CX1218" s="7">
        <f>1</f>
        <v>1</v>
      </c>
      <c r="CY1218" s="7">
        <f>0</f>
        <v>0</v>
      </c>
      <c r="DA1218" s="7">
        <f>0</f>
        <v>0</v>
      </c>
      <c r="DC1218" s="5" t="s">
        <v>812</v>
      </c>
      <c r="DD1218" s="5" t="s">
        <v>240</v>
      </c>
      <c r="DF1218" s="5" t="s">
        <v>812</v>
      </c>
      <c r="DG1218" s="7">
        <f>1857</f>
        <v>1857</v>
      </c>
      <c r="DI1218" s="5" t="s">
        <v>240</v>
      </c>
      <c r="DJ1218" s="5" t="s">
        <v>240</v>
      </c>
      <c r="DK1218" s="5" t="s">
        <v>240</v>
      </c>
      <c r="DL1218" s="5" t="s">
        <v>240</v>
      </c>
      <c r="DP1218" s="5" t="s">
        <v>240</v>
      </c>
      <c r="DQ1218" s="5" t="s">
        <v>240</v>
      </c>
      <c r="DR1218" s="5" t="s">
        <v>240</v>
      </c>
      <c r="DS1218" s="5" t="s">
        <v>240</v>
      </c>
      <c r="DV1218" s="5" t="s">
        <v>813</v>
      </c>
      <c r="DW1218" s="5" t="s">
        <v>2562</v>
      </c>
      <c r="HO1218" s="5" t="s">
        <v>312</v>
      </c>
    </row>
    <row r="1219" spans="1:223" x14ac:dyDescent="0.4">
      <c r="A1219" s="5">
        <v>2894</v>
      </c>
      <c r="B1219" s="5">
        <v>1</v>
      </c>
      <c r="C1219" s="5">
        <v>1</v>
      </c>
      <c r="D1219" s="5" t="s">
        <v>297</v>
      </c>
      <c r="E1219" s="5" t="s">
        <v>245</v>
      </c>
      <c r="F1219" s="5" t="s">
        <v>254</v>
      </c>
      <c r="G1219" s="5" t="s">
        <v>240</v>
      </c>
      <c r="H1219" s="6" t="s">
        <v>5009</v>
      </c>
      <c r="I1219" s="5" t="s">
        <v>295</v>
      </c>
      <c r="J1219" s="8">
        <f>1622</f>
        <v>1622</v>
      </c>
      <c r="K1219" s="5" t="s">
        <v>308</v>
      </c>
      <c r="L1219" s="7">
        <f>1</f>
        <v>1</v>
      </c>
      <c r="M1219" s="7">
        <f>1</f>
        <v>1</v>
      </c>
      <c r="N1219" s="5" t="s">
        <v>242</v>
      </c>
      <c r="O1219" s="5">
        <v>1</v>
      </c>
      <c r="P1219" s="5" t="s">
        <v>294</v>
      </c>
      <c r="Q1219" s="5" t="s">
        <v>266</v>
      </c>
      <c r="R1219" s="5" t="s">
        <v>240</v>
      </c>
      <c r="S1219" s="5" t="s">
        <v>240</v>
      </c>
      <c r="T1219" s="5" t="s">
        <v>296</v>
      </c>
      <c r="U1219" s="5" t="s">
        <v>244</v>
      </c>
      <c r="V1219" s="5" t="s">
        <v>240</v>
      </c>
      <c r="Y1219" s="5" t="s">
        <v>240</v>
      </c>
      <c r="Z1219" s="6" t="s">
        <v>298</v>
      </c>
      <c r="AB1219" s="6" t="s">
        <v>240</v>
      </c>
      <c r="AE1219" s="6" t="s">
        <v>299</v>
      </c>
      <c r="AF1219" s="5" t="s">
        <v>248</v>
      </c>
      <c r="AG1219" s="5" t="s">
        <v>249</v>
      </c>
      <c r="AW1219" s="5" t="s">
        <v>251</v>
      </c>
      <c r="AX1219" s="5" t="s">
        <v>240</v>
      </c>
      <c r="AY1219" s="5" t="s">
        <v>253</v>
      </c>
      <c r="AZ1219" s="5" t="s">
        <v>240</v>
      </c>
      <c r="BA1219" s="5" t="s">
        <v>255</v>
      </c>
      <c r="BB1219" s="5" t="s">
        <v>240</v>
      </c>
      <c r="BD1219" s="5" t="s">
        <v>240</v>
      </c>
      <c r="BF1219" s="5" t="s">
        <v>301</v>
      </c>
      <c r="BG1219" s="6" t="s">
        <v>299</v>
      </c>
      <c r="BH1219" s="5" t="s">
        <v>302</v>
      </c>
      <c r="BI1219" s="5" t="s">
        <v>303</v>
      </c>
      <c r="BJ1219" s="5" t="s">
        <v>240</v>
      </c>
      <c r="BK1219" s="8">
        <f>0</f>
        <v>0</v>
      </c>
      <c r="BL1219" s="7">
        <f>0</f>
        <v>0</v>
      </c>
      <c r="BM1219" s="5" t="s">
        <v>258</v>
      </c>
      <c r="BN1219" s="5" t="s">
        <v>259</v>
      </c>
      <c r="CB1219" s="5" t="s">
        <v>240</v>
      </c>
      <c r="CC1219" s="5" t="s">
        <v>240</v>
      </c>
      <c r="CG1219" s="5" t="s">
        <v>304</v>
      </c>
      <c r="CH1219" s="5" t="s">
        <v>305</v>
      </c>
      <c r="CI1219" s="5" t="s">
        <v>240</v>
      </c>
      <c r="CL1219" s="6" t="s">
        <v>261</v>
      </c>
      <c r="CM1219" s="5" t="s">
        <v>240</v>
      </c>
      <c r="CN1219" s="5" t="s">
        <v>263</v>
      </c>
      <c r="CO1219" s="5" t="s">
        <v>240</v>
      </c>
      <c r="CP1219" s="5" t="s">
        <v>240</v>
      </c>
      <c r="CQ1219" s="5">
        <v>0</v>
      </c>
      <c r="CR1219" s="5" t="s">
        <v>306</v>
      </c>
      <c r="CS1219" s="5" t="s">
        <v>307</v>
      </c>
      <c r="CT1219" s="5" t="s">
        <v>307</v>
      </c>
      <c r="CU1219" s="5" t="s">
        <v>260</v>
      </c>
      <c r="CX1219" s="7">
        <f>1</f>
        <v>1</v>
      </c>
      <c r="CY1219" s="7">
        <f>0</f>
        <v>0</v>
      </c>
      <c r="DA1219" s="7">
        <f>0</f>
        <v>0</v>
      </c>
      <c r="DC1219" s="5" t="s">
        <v>812</v>
      </c>
      <c r="DD1219" s="5" t="s">
        <v>240</v>
      </c>
      <c r="DF1219" s="5" t="s">
        <v>812</v>
      </c>
      <c r="DG1219" s="7">
        <f>206</f>
        <v>206</v>
      </c>
      <c r="DI1219" s="5" t="s">
        <v>240</v>
      </c>
      <c r="DJ1219" s="5" t="s">
        <v>240</v>
      </c>
      <c r="DK1219" s="5" t="s">
        <v>240</v>
      </c>
      <c r="DL1219" s="5" t="s">
        <v>240</v>
      </c>
      <c r="DP1219" s="5" t="s">
        <v>240</v>
      </c>
      <c r="DQ1219" s="5" t="s">
        <v>240</v>
      </c>
      <c r="DR1219" s="5" t="s">
        <v>240</v>
      </c>
      <c r="DS1219" s="5" t="s">
        <v>240</v>
      </c>
      <c r="DV1219" s="5" t="s">
        <v>813</v>
      </c>
      <c r="DW1219" s="5" t="s">
        <v>2564</v>
      </c>
      <c r="HO1219" s="5" t="s">
        <v>312</v>
      </c>
    </row>
    <row r="1220" spans="1:223" x14ac:dyDescent="0.4">
      <c r="A1220" s="5">
        <v>2895</v>
      </c>
      <c r="B1220" s="5">
        <v>1</v>
      </c>
      <c r="C1220" s="5">
        <v>1</v>
      </c>
      <c r="D1220" s="5" t="s">
        <v>297</v>
      </c>
      <c r="E1220" s="5" t="s">
        <v>245</v>
      </c>
      <c r="F1220" s="5" t="s">
        <v>254</v>
      </c>
      <c r="G1220" s="5" t="s">
        <v>240</v>
      </c>
      <c r="H1220" s="6" t="s">
        <v>5008</v>
      </c>
      <c r="I1220" s="5" t="s">
        <v>295</v>
      </c>
      <c r="J1220" s="8">
        <f>3500</f>
        <v>3500</v>
      </c>
      <c r="K1220" s="5" t="s">
        <v>308</v>
      </c>
      <c r="L1220" s="7">
        <f>1</f>
        <v>1</v>
      </c>
      <c r="M1220" s="7">
        <f>1</f>
        <v>1</v>
      </c>
      <c r="N1220" s="5" t="s">
        <v>242</v>
      </c>
      <c r="O1220" s="5">
        <v>1</v>
      </c>
      <c r="P1220" s="5" t="s">
        <v>294</v>
      </c>
      <c r="Q1220" s="5" t="s">
        <v>266</v>
      </c>
      <c r="R1220" s="5" t="s">
        <v>240</v>
      </c>
      <c r="S1220" s="5" t="s">
        <v>240</v>
      </c>
      <c r="T1220" s="5" t="s">
        <v>296</v>
      </c>
      <c r="U1220" s="5" t="s">
        <v>244</v>
      </c>
      <c r="V1220" s="5" t="s">
        <v>240</v>
      </c>
      <c r="Y1220" s="5" t="s">
        <v>240</v>
      </c>
      <c r="Z1220" s="6" t="s">
        <v>298</v>
      </c>
      <c r="AB1220" s="6" t="s">
        <v>240</v>
      </c>
      <c r="AE1220" s="6" t="s">
        <v>299</v>
      </c>
      <c r="AF1220" s="5" t="s">
        <v>248</v>
      </c>
      <c r="AG1220" s="5" t="s">
        <v>249</v>
      </c>
      <c r="AW1220" s="5" t="s">
        <v>251</v>
      </c>
      <c r="AX1220" s="5" t="s">
        <v>240</v>
      </c>
      <c r="AY1220" s="5" t="s">
        <v>253</v>
      </c>
      <c r="AZ1220" s="5" t="s">
        <v>240</v>
      </c>
      <c r="BA1220" s="5" t="s">
        <v>255</v>
      </c>
      <c r="BB1220" s="5" t="s">
        <v>240</v>
      </c>
      <c r="BD1220" s="5" t="s">
        <v>240</v>
      </c>
      <c r="BF1220" s="5" t="s">
        <v>301</v>
      </c>
      <c r="BG1220" s="6" t="s">
        <v>299</v>
      </c>
      <c r="BH1220" s="5" t="s">
        <v>302</v>
      </c>
      <c r="BI1220" s="5" t="s">
        <v>303</v>
      </c>
      <c r="BJ1220" s="5" t="s">
        <v>240</v>
      </c>
      <c r="BK1220" s="8">
        <f>0</f>
        <v>0</v>
      </c>
      <c r="BL1220" s="7">
        <f>0</f>
        <v>0</v>
      </c>
      <c r="BM1220" s="5" t="s">
        <v>258</v>
      </c>
      <c r="BN1220" s="5" t="s">
        <v>259</v>
      </c>
      <c r="CB1220" s="5" t="s">
        <v>240</v>
      </c>
      <c r="CC1220" s="5" t="s">
        <v>240</v>
      </c>
      <c r="CG1220" s="5" t="s">
        <v>304</v>
      </c>
      <c r="CH1220" s="5" t="s">
        <v>305</v>
      </c>
      <c r="CI1220" s="5" t="s">
        <v>240</v>
      </c>
      <c r="CL1220" s="6" t="s">
        <v>261</v>
      </c>
      <c r="CM1220" s="5" t="s">
        <v>240</v>
      </c>
      <c r="CN1220" s="5" t="s">
        <v>263</v>
      </c>
      <c r="CO1220" s="5" t="s">
        <v>240</v>
      </c>
      <c r="CP1220" s="5" t="s">
        <v>240</v>
      </c>
      <c r="CQ1220" s="5">
        <v>0</v>
      </c>
      <c r="CR1220" s="5" t="s">
        <v>306</v>
      </c>
      <c r="CS1220" s="5" t="s">
        <v>307</v>
      </c>
      <c r="CT1220" s="5" t="s">
        <v>307</v>
      </c>
      <c r="CU1220" s="5" t="s">
        <v>260</v>
      </c>
      <c r="CX1220" s="7">
        <f>1</f>
        <v>1</v>
      </c>
      <c r="CY1220" s="7">
        <f>0</f>
        <v>0</v>
      </c>
      <c r="DA1220" s="7">
        <f>0</f>
        <v>0</v>
      </c>
      <c r="DC1220" s="5" t="s">
        <v>812</v>
      </c>
      <c r="DD1220" s="5" t="s">
        <v>240</v>
      </c>
      <c r="DF1220" s="5" t="s">
        <v>812</v>
      </c>
      <c r="DG1220" s="7">
        <f>130</f>
        <v>130</v>
      </c>
      <c r="DI1220" s="5" t="s">
        <v>240</v>
      </c>
      <c r="DJ1220" s="5" t="s">
        <v>240</v>
      </c>
      <c r="DK1220" s="5" t="s">
        <v>240</v>
      </c>
      <c r="DL1220" s="5" t="s">
        <v>240</v>
      </c>
      <c r="DP1220" s="5" t="s">
        <v>240</v>
      </c>
      <c r="DQ1220" s="5" t="s">
        <v>240</v>
      </c>
      <c r="DR1220" s="5" t="s">
        <v>240</v>
      </c>
      <c r="DS1220" s="5" t="s">
        <v>240</v>
      </c>
      <c r="DV1220" s="5" t="s">
        <v>813</v>
      </c>
      <c r="DW1220" s="5" t="s">
        <v>2566</v>
      </c>
      <c r="HO1220" s="5" t="s">
        <v>312</v>
      </c>
    </row>
    <row r="1221" spans="1:223" x14ac:dyDescent="0.4">
      <c r="A1221" s="5">
        <v>2896</v>
      </c>
      <c r="B1221" s="5">
        <v>1</v>
      </c>
      <c r="C1221" s="5">
        <v>1</v>
      </c>
      <c r="D1221" s="5" t="s">
        <v>297</v>
      </c>
      <c r="E1221" s="5" t="s">
        <v>245</v>
      </c>
      <c r="F1221" s="5" t="s">
        <v>254</v>
      </c>
      <c r="G1221" s="5" t="s">
        <v>240</v>
      </c>
      <c r="H1221" s="6" t="s">
        <v>5007</v>
      </c>
      <c r="I1221" s="5" t="s">
        <v>295</v>
      </c>
      <c r="J1221" s="8">
        <f>1729</f>
        <v>1729</v>
      </c>
      <c r="K1221" s="5" t="s">
        <v>308</v>
      </c>
      <c r="L1221" s="7">
        <f>1</f>
        <v>1</v>
      </c>
      <c r="M1221" s="7">
        <f>1</f>
        <v>1</v>
      </c>
      <c r="N1221" s="5" t="s">
        <v>242</v>
      </c>
      <c r="O1221" s="5">
        <v>1</v>
      </c>
      <c r="P1221" s="5" t="s">
        <v>294</v>
      </c>
      <c r="Q1221" s="5" t="s">
        <v>266</v>
      </c>
      <c r="R1221" s="5" t="s">
        <v>240</v>
      </c>
      <c r="S1221" s="5" t="s">
        <v>240</v>
      </c>
      <c r="T1221" s="5" t="s">
        <v>296</v>
      </c>
      <c r="U1221" s="5" t="s">
        <v>244</v>
      </c>
      <c r="V1221" s="5" t="s">
        <v>240</v>
      </c>
      <c r="Y1221" s="5" t="s">
        <v>240</v>
      </c>
      <c r="Z1221" s="6" t="s">
        <v>298</v>
      </c>
      <c r="AB1221" s="6" t="s">
        <v>240</v>
      </c>
      <c r="AE1221" s="6" t="s">
        <v>299</v>
      </c>
      <c r="AF1221" s="5" t="s">
        <v>248</v>
      </c>
      <c r="AG1221" s="5" t="s">
        <v>249</v>
      </c>
      <c r="AW1221" s="5" t="s">
        <v>251</v>
      </c>
      <c r="AX1221" s="5" t="s">
        <v>240</v>
      </c>
      <c r="AY1221" s="5" t="s">
        <v>253</v>
      </c>
      <c r="AZ1221" s="5" t="s">
        <v>240</v>
      </c>
      <c r="BA1221" s="5" t="s">
        <v>255</v>
      </c>
      <c r="BB1221" s="5" t="s">
        <v>240</v>
      </c>
      <c r="BD1221" s="5" t="s">
        <v>240</v>
      </c>
      <c r="BF1221" s="5" t="s">
        <v>301</v>
      </c>
      <c r="BG1221" s="6" t="s">
        <v>299</v>
      </c>
      <c r="BH1221" s="5" t="s">
        <v>302</v>
      </c>
      <c r="BI1221" s="5" t="s">
        <v>303</v>
      </c>
      <c r="BJ1221" s="5" t="s">
        <v>240</v>
      </c>
      <c r="BK1221" s="8">
        <f>0</f>
        <v>0</v>
      </c>
      <c r="BL1221" s="7">
        <f>0</f>
        <v>0</v>
      </c>
      <c r="BM1221" s="5" t="s">
        <v>258</v>
      </c>
      <c r="BN1221" s="5" t="s">
        <v>259</v>
      </c>
      <c r="CB1221" s="5" t="s">
        <v>240</v>
      </c>
      <c r="CC1221" s="5" t="s">
        <v>240</v>
      </c>
      <c r="CG1221" s="5" t="s">
        <v>304</v>
      </c>
      <c r="CH1221" s="5" t="s">
        <v>305</v>
      </c>
      <c r="CI1221" s="5" t="s">
        <v>240</v>
      </c>
      <c r="CL1221" s="6" t="s">
        <v>261</v>
      </c>
      <c r="CM1221" s="5" t="s">
        <v>240</v>
      </c>
      <c r="CN1221" s="5" t="s">
        <v>263</v>
      </c>
      <c r="CO1221" s="5" t="s">
        <v>240</v>
      </c>
      <c r="CP1221" s="5" t="s">
        <v>240</v>
      </c>
      <c r="CQ1221" s="5">
        <v>0</v>
      </c>
      <c r="CR1221" s="5" t="s">
        <v>306</v>
      </c>
      <c r="CS1221" s="5" t="s">
        <v>307</v>
      </c>
      <c r="CT1221" s="5" t="s">
        <v>307</v>
      </c>
      <c r="CU1221" s="5" t="s">
        <v>260</v>
      </c>
      <c r="CX1221" s="7">
        <f>1</f>
        <v>1</v>
      </c>
      <c r="CY1221" s="7">
        <f>0</f>
        <v>0</v>
      </c>
      <c r="DA1221" s="7">
        <f>0</f>
        <v>0</v>
      </c>
      <c r="DC1221" s="5" t="s">
        <v>812</v>
      </c>
      <c r="DD1221" s="5" t="s">
        <v>240</v>
      </c>
      <c r="DF1221" s="5" t="s">
        <v>812</v>
      </c>
      <c r="DG1221" s="7">
        <f>17</f>
        <v>17</v>
      </c>
      <c r="DI1221" s="5" t="s">
        <v>240</v>
      </c>
      <c r="DJ1221" s="5" t="s">
        <v>240</v>
      </c>
      <c r="DK1221" s="5" t="s">
        <v>240</v>
      </c>
      <c r="DL1221" s="5" t="s">
        <v>240</v>
      </c>
      <c r="DP1221" s="5" t="s">
        <v>240</v>
      </c>
      <c r="DQ1221" s="5" t="s">
        <v>240</v>
      </c>
      <c r="DR1221" s="5" t="s">
        <v>240</v>
      </c>
      <c r="DS1221" s="5" t="s">
        <v>240</v>
      </c>
      <c r="DV1221" s="5" t="s">
        <v>813</v>
      </c>
      <c r="DW1221" s="5" t="s">
        <v>2568</v>
      </c>
      <c r="HO1221" s="5" t="s">
        <v>312</v>
      </c>
    </row>
    <row r="1222" spans="1:223" x14ac:dyDescent="0.4">
      <c r="A1222" s="5">
        <v>2897</v>
      </c>
      <c r="B1222" s="5">
        <v>1</v>
      </c>
      <c r="C1222" s="5">
        <v>1</v>
      </c>
      <c r="D1222" s="5" t="s">
        <v>297</v>
      </c>
      <c r="E1222" s="5" t="s">
        <v>245</v>
      </c>
      <c r="F1222" s="5" t="s">
        <v>254</v>
      </c>
      <c r="G1222" s="5" t="s">
        <v>240</v>
      </c>
      <c r="H1222" s="6" t="s">
        <v>5006</v>
      </c>
      <c r="I1222" s="5" t="s">
        <v>295</v>
      </c>
      <c r="J1222" s="8">
        <f>697</f>
        <v>697</v>
      </c>
      <c r="K1222" s="5" t="s">
        <v>308</v>
      </c>
      <c r="L1222" s="7">
        <f>1</f>
        <v>1</v>
      </c>
      <c r="M1222" s="7">
        <f>1</f>
        <v>1</v>
      </c>
      <c r="N1222" s="5" t="s">
        <v>242</v>
      </c>
      <c r="O1222" s="5">
        <v>1</v>
      </c>
      <c r="P1222" s="5" t="s">
        <v>294</v>
      </c>
      <c r="Q1222" s="5" t="s">
        <v>266</v>
      </c>
      <c r="R1222" s="5" t="s">
        <v>240</v>
      </c>
      <c r="S1222" s="5" t="s">
        <v>240</v>
      </c>
      <c r="T1222" s="5" t="s">
        <v>296</v>
      </c>
      <c r="U1222" s="5" t="s">
        <v>244</v>
      </c>
      <c r="V1222" s="5" t="s">
        <v>240</v>
      </c>
      <c r="Y1222" s="5" t="s">
        <v>240</v>
      </c>
      <c r="Z1222" s="6" t="s">
        <v>298</v>
      </c>
      <c r="AB1222" s="6" t="s">
        <v>240</v>
      </c>
      <c r="AE1222" s="6" t="s">
        <v>299</v>
      </c>
      <c r="AF1222" s="5" t="s">
        <v>248</v>
      </c>
      <c r="AG1222" s="5" t="s">
        <v>249</v>
      </c>
      <c r="AW1222" s="5" t="s">
        <v>251</v>
      </c>
      <c r="AX1222" s="5" t="s">
        <v>240</v>
      </c>
      <c r="AY1222" s="5" t="s">
        <v>253</v>
      </c>
      <c r="AZ1222" s="5" t="s">
        <v>240</v>
      </c>
      <c r="BA1222" s="5" t="s">
        <v>255</v>
      </c>
      <c r="BB1222" s="5" t="s">
        <v>240</v>
      </c>
      <c r="BD1222" s="5" t="s">
        <v>240</v>
      </c>
      <c r="BF1222" s="5" t="s">
        <v>301</v>
      </c>
      <c r="BG1222" s="6" t="s">
        <v>299</v>
      </c>
      <c r="BH1222" s="5" t="s">
        <v>302</v>
      </c>
      <c r="BI1222" s="5" t="s">
        <v>303</v>
      </c>
      <c r="BJ1222" s="5" t="s">
        <v>240</v>
      </c>
      <c r="BK1222" s="8">
        <f>0</f>
        <v>0</v>
      </c>
      <c r="BL1222" s="7">
        <f>0</f>
        <v>0</v>
      </c>
      <c r="BM1222" s="5" t="s">
        <v>258</v>
      </c>
      <c r="BN1222" s="5" t="s">
        <v>259</v>
      </c>
      <c r="CB1222" s="5" t="s">
        <v>240</v>
      </c>
      <c r="CC1222" s="5" t="s">
        <v>240</v>
      </c>
      <c r="CG1222" s="5" t="s">
        <v>304</v>
      </c>
      <c r="CH1222" s="5" t="s">
        <v>305</v>
      </c>
      <c r="CI1222" s="5" t="s">
        <v>240</v>
      </c>
      <c r="CL1222" s="6" t="s">
        <v>261</v>
      </c>
      <c r="CM1222" s="5" t="s">
        <v>240</v>
      </c>
      <c r="CN1222" s="5" t="s">
        <v>263</v>
      </c>
      <c r="CO1222" s="5" t="s">
        <v>240</v>
      </c>
      <c r="CP1222" s="5" t="s">
        <v>240</v>
      </c>
      <c r="CQ1222" s="5">
        <v>0</v>
      </c>
      <c r="CR1222" s="5" t="s">
        <v>306</v>
      </c>
      <c r="CS1222" s="5" t="s">
        <v>307</v>
      </c>
      <c r="CT1222" s="5" t="s">
        <v>307</v>
      </c>
      <c r="CU1222" s="5" t="s">
        <v>260</v>
      </c>
      <c r="CX1222" s="7">
        <f>1</f>
        <v>1</v>
      </c>
      <c r="CY1222" s="7">
        <f>0</f>
        <v>0</v>
      </c>
      <c r="DA1222" s="7">
        <f>0</f>
        <v>0</v>
      </c>
      <c r="DC1222" s="5" t="s">
        <v>812</v>
      </c>
      <c r="DD1222" s="5" t="s">
        <v>240</v>
      </c>
      <c r="DF1222" s="5" t="s">
        <v>812</v>
      </c>
      <c r="DG1222" s="7">
        <f>219</f>
        <v>219</v>
      </c>
      <c r="DI1222" s="5" t="s">
        <v>240</v>
      </c>
      <c r="DJ1222" s="5" t="s">
        <v>240</v>
      </c>
      <c r="DK1222" s="5" t="s">
        <v>240</v>
      </c>
      <c r="DL1222" s="5" t="s">
        <v>240</v>
      </c>
      <c r="DP1222" s="5" t="s">
        <v>240</v>
      </c>
      <c r="DQ1222" s="5" t="s">
        <v>240</v>
      </c>
      <c r="DR1222" s="5" t="s">
        <v>240</v>
      </c>
      <c r="DS1222" s="5" t="s">
        <v>240</v>
      </c>
      <c r="DV1222" s="5" t="s">
        <v>813</v>
      </c>
      <c r="DW1222" s="5" t="s">
        <v>2570</v>
      </c>
      <c r="HO1222" s="5" t="s">
        <v>312</v>
      </c>
    </row>
    <row r="1223" spans="1:223" x14ac:dyDescent="0.4">
      <c r="A1223" s="5">
        <v>2898</v>
      </c>
      <c r="B1223" s="5">
        <v>1</v>
      </c>
      <c r="C1223" s="5">
        <v>1</v>
      </c>
      <c r="D1223" s="5" t="s">
        <v>297</v>
      </c>
      <c r="E1223" s="5" t="s">
        <v>245</v>
      </c>
      <c r="F1223" s="5" t="s">
        <v>254</v>
      </c>
      <c r="G1223" s="5" t="s">
        <v>240</v>
      </c>
      <c r="H1223" s="6" t="s">
        <v>5005</v>
      </c>
      <c r="I1223" s="5" t="s">
        <v>295</v>
      </c>
      <c r="J1223" s="8">
        <f>882</f>
        <v>882</v>
      </c>
      <c r="K1223" s="5" t="s">
        <v>308</v>
      </c>
      <c r="L1223" s="7">
        <f>1</f>
        <v>1</v>
      </c>
      <c r="M1223" s="7">
        <f>1</f>
        <v>1</v>
      </c>
      <c r="N1223" s="5" t="s">
        <v>242</v>
      </c>
      <c r="O1223" s="5">
        <v>1</v>
      </c>
      <c r="P1223" s="5" t="s">
        <v>294</v>
      </c>
      <c r="Q1223" s="5" t="s">
        <v>266</v>
      </c>
      <c r="R1223" s="5" t="s">
        <v>240</v>
      </c>
      <c r="S1223" s="5" t="s">
        <v>240</v>
      </c>
      <c r="T1223" s="5" t="s">
        <v>296</v>
      </c>
      <c r="U1223" s="5" t="s">
        <v>244</v>
      </c>
      <c r="V1223" s="5" t="s">
        <v>240</v>
      </c>
      <c r="Y1223" s="5" t="s">
        <v>240</v>
      </c>
      <c r="Z1223" s="6" t="s">
        <v>298</v>
      </c>
      <c r="AB1223" s="6" t="s">
        <v>240</v>
      </c>
      <c r="AE1223" s="6" t="s">
        <v>299</v>
      </c>
      <c r="AF1223" s="5" t="s">
        <v>248</v>
      </c>
      <c r="AG1223" s="5" t="s">
        <v>249</v>
      </c>
      <c r="AW1223" s="5" t="s">
        <v>251</v>
      </c>
      <c r="AX1223" s="5" t="s">
        <v>240</v>
      </c>
      <c r="AY1223" s="5" t="s">
        <v>253</v>
      </c>
      <c r="AZ1223" s="5" t="s">
        <v>240</v>
      </c>
      <c r="BA1223" s="5" t="s">
        <v>255</v>
      </c>
      <c r="BB1223" s="5" t="s">
        <v>240</v>
      </c>
      <c r="BD1223" s="5" t="s">
        <v>240</v>
      </c>
      <c r="BF1223" s="5" t="s">
        <v>301</v>
      </c>
      <c r="BG1223" s="6" t="s">
        <v>299</v>
      </c>
      <c r="BH1223" s="5" t="s">
        <v>302</v>
      </c>
      <c r="BI1223" s="5" t="s">
        <v>303</v>
      </c>
      <c r="BJ1223" s="5" t="s">
        <v>240</v>
      </c>
      <c r="BK1223" s="8">
        <f>0</f>
        <v>0</v>
      </c>
      <c r="BL1223" s="7">
        <f>0</f>
        <v>0</v>
      </c>
      <c r="BM1223" s="5" t="s">
        <v>258</v>
      </c>
      <c r="BN1223" s="5" t="s">
        <v>259</v>
      </c>
      <c r="CB1223" s="5" t="s">
        <v>240</v>
      </c>
      <c r="CC1223" s="5" t="s">
        <v>240</v>
      </c>
      <c r="CG1223" s="5" t="s">
        <v>304</v>
      </c>
      <c r="CH1223" s="5" t="s">
        <v>305</v>
      </c>
      <c r="CI1223" s="5" t="s">
        <v>240</v>
      </c>
      <c r="CL1223" s="6" t="s">
        <v>261</v>
      </c>
      <c r="CM1223" s="5" t="s">
        <v>240</v>
      </c>
      <c r="CN1223" s="5" t="s">
        <v>263</v>
      </c>
      <c r="CO1223" s="5" t="s">
        <v>240</v>
      </c>
      <c r="CP1223" s="5" t="s">
        <v>240</v>
      </c>
      <c r="CQ1223" s="5">
        <v>0</v>
      </c>
      <c r="CR1223" s="5" t="s">
        <v>306</v>
      </c>
      <c r="CS1223" s="5" t="s">
        <v>307</v>
      </c>
      <c r="CT1223" s="5" t="s">
        <v>307</v>
      </c>
      <c r="CU1223" s="5" t="s">
        <v>260</v>
      </c>
      <c r="CX1223" s="7">
        <f>1</f>
        <v>1</v>
      </c>
      <c r="CY1223" s="7">
        <f>0</f>
        <v>0</v>
      </c>
      <c r="DA1223" s="7">
        <f>0</f>
        <v>0</v>
      </c>
      <c r="DC1223" s="5" t="s">
        <v>812</v>
      </c>
      <c r="DD1223" s="5" t="s">
        <v>240</v>
      </c>
      <c r="DF1223" s="5" t="s">
        <v>812</v>
      </c>
      <c r="DG1223" s="7">
        <f>119</f>
        <v>119</v>
      </c>
      <c r="DI1223" s="5" t="s">
        <v>240</v>
      </c>
      <c r="DJ1223" s="5" t="s">
        <v>240</v>
      </c>
      <c r="DK1223" s="5" t="s">
        <v>240</v>
      </c>
      <c r="DL1223" s="5" t="s">
        <v>240</v>
      </c>
      <c r="DP1223" s="5" t="s">
        <v>240</v>
      </c>
      <c r="DQ1223" s="5" t="s">
        <v>240</v>
      </c>
      <c r="DR1223" s="5" t="s">
        <v>240</v>
      </c>
      <c r="DS1223" s="5" t="s">
        <v>240</v>
      </c>
      <c r="DV1223" s="5" t="s">
        <v>813</v>
      </c>
      <c r="DW1223" s="5" t="s">
        <v>2572</v>
      </c>
      <c r="HO1223" s="5" t="s">
        <v>312</v>
      </c>
    </row>
    <row r="1224" spans="1:223" x14ac:dyDescent="0.4">
      <c r="A1224" s="5">
        <v>2899</v>
      </c>
      <c r="B1224" s="5">
        <v>1</v>
      </c>
      <c r="C1224" s="5">
        <v>1</v>
      </c>
      <c r="D1224" s="5" t="s">
        <v>297</v>
      </c>
      <c r="E1224" s="5" t="s">
        <v>245</v>
      </c>
      <c r="F1224" s="5" t="s">
        <v>254</v>
      </c>
      <c r="G1224" s="5" t="s">
        <v>240</v>
      </c>
      <c r="H1224" s="6" t="s">
        <v>5004</v>
      </c>
      <c r="I1224" s="5" t="s">
        <v>295</v>
      </c>
      <c r="J1224" s="8">
        <f>8229</f>
        <v>8229</v>
      </c>
      <c r="K1224" s="5" t="s">
        <v>308</v>
      </c>
      <c r="L1224" s="7">
        <f>1</f>
        <v>1</v>
      </c>
      <c r="M1224" s="7">
        <f>1</f>
        <v>1</v>
      </c>
      <c r="N1224" s="5" t="s">
        <v>242</v>
      </c>
      <c r="O1224" s="5">
        <v>1</v>
      </c>
      <c r="P1224" s="5" t="s">
        <v>294</v>
      </c>
      <c r="Q1224" s="5" t="s">
        <v>266</v>
      </c>
      <c r="R1224" s="5" t="s">
        <v>240</v>
      </c>
      <c r="S1224" s="5" t="s">
        <v>240</v>
      </c>
      <c r="T1224" s="5" t="s">
        <v>296</v>
      </c>
      <c r="U1224" s="5" t="s">
        <v>244</v>
      </c>
      <c r="V1224" s="5" t="s">
        <v>240</v>
      </c>
      <c r="Y1224" s="5" t="s">
        <v>240</v>
      </c>
      <c r="Z1224" s="6" t="s">
        <v>298</v>
      </c>
      <c r="AB1224" s="6" t="s">
        <v>240</v>
      </c>
      <c r="AE1224" s="6" t="s">
        <v>299</v>
      </c>
      <c r="AF1224" s="5" t="s">
        <v>248</v>
      </c>
      <c r="AG1224" s="5" t="s">
        <v>249</v>
      </c>
      <c r="AW1224" s="5" t="s">
        <v>251</v>
      </c>
      <c r="AX1224" s="5" t="s">
        <v>240</v>
      </c>
      <c r="AY1224" s="5" t="s">
        <v>253</v>
      </c>
      <c r="AZ1224" s="5" t="s">
        <v>240</v>
      </c>
      <c r="BA1224" s="5" t="s">
        <v>255</v>
      </c>
      <c r="BB1224" s="5" t="s">
        <v>240</v>
      </c>
      <c r="BD1224" s="5" t="s">
        <v>240</v>
      </c>
      <c r="BF1224" s="5" t="s">
        <v>301</v>
      </c>
      <c r="BG1224" s="6" t="s">
        <v>299</v>
      </c>
      <c r="BH1224" s="5" t="s">
        <v>302</v>
      </c>
      <c r="BI1224" s="5" t="s">
        <v>303</v>
      </c>
      <c r="BJ1224" s="5" t="s">
        <v>240</v>
      </c>
      <c r="BK1224" s="8">
        <f>0</f>
        <v>0</v>
      </c>
      <c r="BL1224" s="7">
        <f>0</f>
        <v>0</v>
      </c>
      <c r="BM1224" s="5" t="s">
        <v>258</v>
      </c>
      <c r="BN1224" s="5" t="s">
        <v>259</v>
      </c>
      <c r="CB1224" s="5" t="s">
        <v>240</v>
      </c>
      <c r="CC1224" s="5" t="s">
        <v>240</v>
      </c>
      <c r="CG1224" s="5" t="s">
        <v>304</v>
      </c>
      <c r="CH1224" s="5" t="s">
        <v>305</v>
      </c>
      <c r="CI1224" s="5" t="s">
        <v>240</v>
      </c>
      <c r="CL1224" s="6" t="s">
        <v>261</v>
      </c>
      <c r="CM1224" s="5" t="s">
        <v>240</v>
      </c>
      <c r="CN1224" s="5" t="s">
        <v>263</v>
      </c>
      <c r="CO1224" s="5" t="s">
        <v>240</v>
      </c>
      <c r="CP1224" s="5" t="s">
        <v>240</v>
      </c>
      <c r="CQ1224" s="5">
        <v>0</v>
      </c>
      <c r="CR1224" s="5" t="s">
        <v>306</v>
      </c>
      <c r="CS1224" s="5" t="s">
        <v>307</v>
      </c>
      <c r="CT1224" s="5" t="s">
        <v>307</v>
      </c>
      <c r="CU1224" s="5" t="s">
        <v>260</v>
      </c>
      <c r="CX1224" s="7">
        <f>1</f>
        <v>1</v>
      </c>
      <c r="CY1224" s="7">
        <f>0</f>
        <v>0</v>
      </c>
      <c r="DA1224" s="7">
        <f>0</f>
        <v>0</v>
      </c>
      <c r="DC1224" s="5" t="s">
        <v>812</v>
      </c>
      <c r="DD1224" s="5" t="s">
        <v>240</v>
      </c>
      <c r="DF1224" s="5" t="s">
        <v>812</v>
      </c>
      <c r="DG1224" s="7">
        <f>169</f>
        <v>169</v>
      </c>
      <c r="DI1224" s="5" t="s">
        <v>240</v>
      </c>
      <c r="DJ1224" s="5" t="s">
        <v>240</v>
      </c>
      <c r="DK1224" s="5" t="s">
        <v>240</v>
      </c>
      <c r="DL1224" s="5" t="s">
        <v>240</v>
      </c>
      <c r="DP1224" s="5" t="s">
        <v>240</v>
      </c>
      <c r="DQ1224" s="5" t="s">
        <v>240</v>
      </c>
      <c r="DR1224" s="5" t="s">
        <v>240</v>
      </c>
      <c r="DS1224" s="5" t="s">
        <v>240</v>
      </c>
      <c r="DV1224" s="5" t="s">
        <v>813</v>
      </c>
      <c r="DW1224" s="5" t="s">
        <v>2574</v>
      </c>
      <c r="HO1224" s="5" t="s">
        <v>312</v>
      </c>
    </row>
    <row r="1225" spans="1:223" x14ac:dyDescent="0.4">
      <c r="A1225" s="5">
        <v>2900</v>
      </c>
      <c r="B1225" s="5">
        <v>1</v>
      </c>
      <c r="C1225" s="5">
        <v>1</v>
      </c>
      <c r="D1225" s="5" t="s">
        <v>297</v>
      </c>
      <c r="E1225" s="5" t="s">
        <v>245</v>
      </c>
      <c r="F1225" s="5" t="s">
        <v>254</v>
      </c>
      <c r="G1225" s="5" t="s">
        <v>240</v>
      </c>
      <c r="H1225" s="6" t="s">
        <v>5003</v>
      </c>
      <c r="I1225" s="5" t="s">
        <v>295</v>
      </c>
      <c r="J1225" s="8">
        <f>2865</f>
        <v>2865</v>
      </c>
      <c r="K1225" s="5" t="s">
        <v>308</v>
      </c>
      <c r="L1225" s="7">
        <f>1</f>
        <v>1</v>
      </c>
      <c r="M1225" s="7">
        <f>1</f>
        <v>1</v>
      </c>
      <c r="N1225" s="5" t="s">
        <v>242</v>
      </c>
      <c r="O1225" s="5">
        <v>1</v>
      </c>
      <c r="P1225" s="5" t="s">
        <v>294</v>
      </c>
      <c r="Q1225" s="5" t="s">
        <v>266</v>
      </c>
      <c r="R1225" s="5" t="s">
        <v>240</v>
      </c>
      <c r="S1225" s="5" t="s">
        <v>240</v>
      </c>
      <c r="T1225" s="5" t="s">
        <v>296</v>
      </c>
      <c r="U1225" s="5" t="s">
        <v>244</v>
      </c>
      <c r="V1225" s="5" t="s">
        <v>240</v>
      </c>
      <c r="Y1225" s="5" t="s">
        <v>240</v>
      </c>
      <c r="Z1225" s="6" t="s">
        <v>298</v>
      </c>
      <c r="AB1225" s="6" t="s">
        <v>240</v>
      </c>
      <c r="AE1225" s="6" t="s">
        <v>299</v>
      </c>
      <c r="AF1225" s="5" t="s">
        <v>248</v>
      </c>
      <c r="AG1225" s="5" t="s">
        <v>249</v>
      </c>
      <c r="AW1225" s="5" t="s">
        <v>251</v>
      </c>
      <c r="AX1225" s="5" t="s">
        <v>240</v>
      </c>
      <c r="AY1225" s="5" t="s">
        <v>253</v>
      </c>
      <c r="AZ1225" s="5" t="s">
        <v>240</v>
      </c>
      <c r="BA1225" s="5" t="s">
        <v>255</v>
      </c>
      <c r="BB1225" s="5" t="s">
        <v>240</v>
      </c>
      <c r="BD1225" s="5" t="s">
        <v>240</v>
      </c>
      <c r="BF1225" s="5" t="s">
        <v>301</v>
      </c>
      <c r="BG1225" s="6" t="s">
        <v>299</v>
      </c>
      <c r="BH1225" s="5" t="s">
        <v>302</v>
      </c>
      <c r="BI1225" s="5" t="s">
        <v>303</v>
      </c>
      <c r="BJ1225" s="5" t="s">
        <v>240</v>
      </c>
      <c r="BK1225" s="8">
        <f>0</f>
        <v>0</v>
      </c>
      <c r="BL1225" s="7">
        <f>0</f>
        <v>0</v>
      </c>
      <c r="BM1225" s="5" t="s">
        <v>258</v>
      </c>
      <c r="BN1225" s="5" t="s">
        <v>259</v>
      </c>
      <c r="CB1225" s="5" t="s">
        <v>240</v>
      </c>
      <c r="CC1225" s="5" t="s">
        <v>240</v>
      </c>
      <c r="CG1225" s="5" t="s">
        <v>304</v>
      </c>
      <c r="CH1225" s="5" t="s">
        <v>305</v>
      </c>
      <c r="CI1225" s="5" t="s">
        <v>240</v>
      </c>
      <c r="CL1225" s="6" t="s">
        <v>261</v>
      </c>
      <c r="CM1225" s="5" t="s">
        <v>240</v>
      </c>
      <c r="CN1225" s="5" t="s">
        <v>263</v>
      </c>
      <c r="CO1225" s="5" t="s">
        <v>240</v>
      </c>
      <c r="CP1225" s="5" t="s">
        <v>240</v>
      </c>
      <c r="CQ1225" s="5">
        <v>0</v>
      </c>
      <c r="CR1225" s="5" t="s">
        <v>306</v>
      </c>
      <c r="CS1225" s="5" t="s">
        <v>307</v>
      </c>
      <c r="CT1225" s="5" t="s">
        <v>307</v>
      </c>
      <c r="CU1225" s="5" t="s">
        <v>260</v>
      </c>
      <c r="CX1225" s="7">
        <f>1</f>
        <v>1</v>
      </c>
      <c r="CY1225" s="7">
        <f>0</f>
        <v>0</v>
      </c>
      <c r="DA1225" s="7">
        <f>0</f>
        <v>0</v>
      </c>
      <c r="DC1225" s="5" t="s">
        <v>812</v>
      </c>
      <c r="DD1225" s="5" t="s">
        <v>240</v>
      </c>
      <c r="DF1225" s="5" t="s">
        <v>812</v>
      </c>
      <c r="DG1225" s="7">
        <f>132</f>
        <v>132</v>
      </c>
      <c r="DI1225" s="5" t="s">
        <v>240</v>
      </c>
      <c r="DJ1225" s="5" t="s">
        <v>240</v>
      </c>
      <c r="DK1225" s="5" t="s">
        <v>240</v>
      </c>
      <c r="DL1225" s="5" t="s">
        <v>240</v>
      </c>
      <c r="DP1225" s="5" t="s">
        <v>240</v>
      </c>
      <c r="DQ1225" s="5" t="s">
        <v>240</v>
      </c>
      <c r="DR1225" s="5" t="s">
        <v>240</v>
      </c>
      <c r="DS1225" s="5" t="s">
        <v>240</v>
      </c>
      <c r="DV1225" s="5" t="s">
        <v>813</v>
      </c>
      <c r="DW1225" s="5" t="s">
        <v>2576</v>
      </c>
      <c r="HO1225" s="5" t="s">
        <v>312</v>
      </c>
    </row>
    <row r="1226" spans="1:223" x14ac:dyDescent="0.4">
      <c r="A1226" s="5">
        <v>2901</v>
      </c>
      <c r="B1226" s="5">
        <v>1</v>
      </c>
      <c r="C1226" s="5">
        <v>1</v>
      </c>
      <c r="D1226" s="5" t="s">
        <v>297</v>
      </c>
      <c r="E1226" s="5" t="s">
        <v>245</v>
      </c>
      <c r="F1226" s="5" t="s">
        <v>254</v>
      </c>
      <c r="G1226" s="5" t="s">
        <v>240</v>
      </c>
      <c r="H1226" s="6" t="s">
        <v>5002</v>
      </c>
      <c r="I1226" s="5" t="s">
        <v>295</v>
      </c>
      <c r="J1226" s="8">
        <f>1538</f>
        <v>1538</v>
      </c>
      <c r="K1226" s="5" t="s">
        <v>308</v>
      </c>
      <c r="L1226" s="7">
        <f>1</f>
        <v>1</v>
      </c>
      <c r="M1226" s="7">
        <f>1</f>
        <v>1</v>
      </c>
      <c r="N1226" s="5" t="s">
        <v>242</v>
      </c>
      <c r="O1226" s="5">
        <v>1</v>
      </c>
      <c r="P1226" s="5" t="s">
        <v>294</v>
      </c>
      <c r="Q1226" s="5" t="s">
        <v>266</v>
      </c>
      <c r="R1226" s="5" t="s">
        <v>240</v>
      </c>
      <c r="S1226" s="5" t="s">
        <v>240</v>
      </c>
      <c r="T1226" s="5" t="s">
        <v>296</v>
      </c>
      <c r="U1226" s="5" t="s">
        <v>244</v>
      </c>
      <c r="V1226" s="5" t="s">
        <v>240</v>
      </c>
      <c r="Y1226" s="5" t="s">
        <v>240</v>
      </c>
      <c r="Z1226" s="6" t="s">
        <v>298</v>
      </c>
      <c r="AB1226" s="6" t="s">
        <v>240</v>
      </c>
      <c r="AE1226" s="6" t="s">
        <v>299</v>
      </c>
      <c r="AF1226" s="5" t="s">
        <v>248</v>
      </c>
      <c r="AG1226" s="5" t="s">
        <v>249</v>
      </c>
      <c r="AW1226" s="5" t="s">
        <v>251</v>
      </c>
      <c r="AX1226" s="5" t="s">
        <v>240</v>
      </c>
      <c r="AY1226" s="5" t="s">
        <v>253</v>
      </c>
      <c r="AZ1226" s="5" t="s">
        <v>240</v>
      </c>
      <c r="BA1226" s="5" t="s">
        <v>255</v>
      </c>
      <c r="BB1226" s="5" t="s">
        <v>240</v>
      </c>
      <c r="BD1226" s="5" t="s">
        <v>240</v>
      </c>
      <c r="BF1226" s="5" t="s">
        <v>301</v>
      </c>
      <c r="BG1226" s="6" t="s">
        <v>299</v>
      </c>
      <c r="BH1226" s="5" t="s">
        <v>302</v>
      </c>
      <c r="BI1226" s="5" t="s">
        <v>303</v>
      </c>
      <c r="BJ1226" s="5" t="s">
        <v>240</v>
      </c>
      <c r="BK1226" s="8">
        <f>0</f>
        <v>0</v>
      </c>
      <c r="BL1226" s="7">
        <f>0</f>
        <v>0</v>
      </c>
      <c r="BM1226" s="5" t="s">
        <v>258</v>
      </c>
      <c r="BN1226" s="5" t="s">
        <v>259</v>
      </c>
      <c r="CB1226" s="5" t="s">
        <v>240</v>
      </c>
      <c r="CC1226" s="5" t="s">
        <v>240</v>
      </c>
      <c r="CG1226" s="5" t="s">
        <v>304</v>
      </c>
      <c r="CH1226" s="5" t="s">
        <v>305</v>
      </c>
      <c r="CI1226" s="5" t="s">
        <v>240</v>
      </c>
      <c r="CL1226" s="6" t="s">
        <v>261</v>
      </c>
      <c r="CM1226" s="5" t="s">
        <v>240</v>
      </c>
      <c r="CN1226" s="5" t="s">
        <v>263</v>
      </c>
      <c r="CO1226" s="5" t="s">
        <v>240</v>
      </c>
      <c r="CP1226" s="5" t="s">
        <v>240</v>
      </c>
      <c r="CQ1226" s="5">
        <v>0</v>
      </c>
      <c r="CR1226" s="5" t="s">
        <v>306</v>
      </c>
      <c r="CS1226" s="5" t="s">
        <v>307</v>
      </c>
      <c r="CT1226" s="5" t="s">
        <v>307</v>
      </c>
      <c r="CU1226" s="5" t="s">
        <v>260</v>
      </c>
      <c r="CX1226" s="7">
        <f>1</f>
        <v>1</v>
      </c>
      <c r="CY1226" s="7">
        <f>0</f>
        <v>0</v>
      </c>
      <c r="DA1226" s="7">
        <f>0</f>
        <v>0</v>
      </c>
      <c r="DC1226" s="5" t="s">
        <v>812</v>
      </c>
      <c r="DD1226" s="5" t="s">
        <v>240</v>
      </c>
      <c r="DF1226" s="5" t="s">
        <v>812</v>
      </c>
      <c r="DG1226" s="7">
        <f>41</f>
        <v>41</v>
      </c>
      <c r="DI1226" s="5" t="s">
        <v>240</v>
      </c>
      <c r="DJ1226" s="5" t="s">
        <v>240</v>
      </c>
      <c r="DK1226" s="5" t="s">
        <v>240</v>
      </c>
      <c r="DL1226" s="5" t="s">
        <v>240</v>
      </c>
      <c r="DP1226" s="5" t="s">
        <v>240</v>
      </c>
      <c r="DQ1226" s="5" t="s">
        <v>240</v>
      </c>
      <c r="DR1226" s="5" t="s">
        <v>240</v>
      </c>
      <c r="DS1226" s="5" t="s">
        <v>240</v>
      </c>
      <c r="DV1226" s="5" t="s">
        <v>813</v>
      </c>
      <c r="DW1226" s="5" t="s">
        <v>2578</v>
      </c>
      <c r="HO1226" s="5" t="s">
        <v>312</v>
      </c>
    </row>
    <row r="1227" spans="1:223" x14ac:dyDescent="0.4">
      <c r="A1227" s="5">
        <v>2902</v>
      </c>
      <c r="B1227" s="5">
        <v>1</v>
      </c>
      <c r="C1227" s="5">
        <v>1</v>
      </c>
      <c r="D1227" s="5" t="s">
        <v>297</v>
      </c>
      <c r="E1227" s="5" t="s">
        <v>245</v>
      </c>
      <c r="F1227" s="5" t="s">
        <v>254</v>
      </c>
      <c r="G1227" s="5" t="s">
        <v>240</v>
      </c>
      <c r="H1227" s="6" t="s">
        <v>5001</v>
      </c>
      <c r="I1227" s="5" t="s">
        <v>295</v>
      </c>
      <c r="J1227" s="8">
        <f>2606</f>
        <v>2606</v>
      </c>
      <c r="K1227" s="5" t="s">
        <v>308</v>
      </c>
      <c r="L1227" s="7">
        <f>1</f>
        <v>1</v>
      </c>
      <c r="M1227" s="7">
        <f>1</f>
        <v>1</v>
      </c>
      <c r="N1227" s="5" t="s">
        <v>242</v>
      </c>
      <c r="O1227" s="5">
        <v>1</v>
      </c>
      <c r="P1227" s="5" t="s">
        <v>294</v>
      </c>
      <c r="Q1227" s="5" t="s">
        <v>266</v>
      </c>
      <c r="R1227" s="5" t="s">
        <v>240</v>
      </c>
      <c r="S1227" s="5" t="s">
        <v>240</v>
      </c>
      <c r="T1227" s="5" t="s">
        <v>296</v>
      </c>
      <c r="U1227" s="5" t="s">
        <v>244</v>
      </c>
      <c r="V1227" s="5" t="s">
        <v>240</v>
      </c>
      <c r="Y1227" s="5" t="s">
        <v>240</v>
      </c>
      <c r="Z1227" s="6" t="s">
        <v>298</v>
      </c>
      <c r="AB1227" s="6" t="s">
        <v>240</v>
      </c>
      <c r="AE1227" s="6" t="s">
        <v>299</v>
      </c>
      <c r="AF1227" s="5" t="s">
        <v>248</v>
      </c>
      <c r="AG1227" s="5" t="s">
        <v>249</v>
      </c>
      <c r="AW1227" s="5" t="s">
        <v>251</v>
      </c>
      <c r="AX1227" s="5" t="s">
        <v>240</v>
      </c>
      <c r="AY1227" s="5" t="s">
        <v>253</v>
      </c>
      <c r="AZ1227" s="5" t="s">
        <v>240</v>
      </c>
      <c r="BA1227" s="5" t="s">
        <v>255</v>
      </c>
      <c r="BB1227" s="5" t="s">
        <v>240</v>
      </c>
      <c r="BD1227" s="5" t="s">
        <v>240</v>
      </c>
      <c r="BF1227" s="5" t="s">
        <v>301</v>
      </c>
      <c r="BG1227" s="6" t="s">
        <v>299</v>
      </c>
      <c r="BH1227" s="5" t="s">
        <v>302</v>
      </c>
      <c r="BI1227" s="5" t="s">
        <v>303</v>
      </c>
      <c r="BJ1227" s="5" t="s">
        <v>240</v>
      </c>
      <c r="BK1227" s="8">
        <f>0</f>
        <v>0</v>
      </c>
      <c r="BL1227" s="7">
        <f>0</f>
        <v>0</v>
      </c>
      <c r="BM1227" s="5" t="s">
        <v>258</v>
      </c>
      <c r="BN1227" s="5" t="s">
        <v>259</v>
      </c>
      <c r="CB1227" s="5" t="s">
        <v>240</v>
      </c>
      <c r="CC1227" s="5" t="s">
        <v>240</v>
      </c>
      <c r="CG1227" s="5" t="s">
        <v>304</v>
      </c>
      <c r="CH1227" s="5" t="s">
        <v>305</v>
      </c>
      <c r="CI1227" s="5" t="s">
        <v>240</v>
      </c>
      <c r="CL1227" s="6" t="s">
        <v>261</v>
      </c>
      <c r="CM1227" s="5" t="s">
        <v>240</v>
      </c>
      <c r="CN1227" s="5" t="s">
        <v>263</v>
      </c>
      <c r="CO1227" s="5" t="s">
        <v>240</v>
      </c>
      <c r="CP1227" s="5" t="s">
        <v>240</v>
      </c>
      <c r="CQ1227" s="5">
        <v>0</v>
      </c>
      <c r="CR1227" s="5" t="s">
        <v>306</v>
      </c>
      <c r="CS1227" s="5" t="s">
        <v>307</v>
      </c>
      <c r="CT1227" s="5" t="s">
        <v>307</v>
      </c>
      <c r="CU1227" s="5" t="s">
        <v>260</v>
      </c>
      <c r="CX1227" s="7">
        <f>1</f>
        <v>1</v>
      </c>
      <c r="CY1227" s="7">
        <f>0</f>
        <v>0</v>
      </c>
      <c r="DA1227" s="7">
        <f>0</f>
        <v>0</v>
      </c>
      <c r="DC1227" s="5" t="s">
        <v>812</v>
      </c>
      <c r="DD1227" s="5" t="s">
        <v>240</v>
      </c>
      <c r="DF1227" s="5" t="s">
        <v>812</v>
      </c>
      <c r="DG1227" s="7">
        <f>2292</f>
        <v>2292</v>
      </c>
      <c r="DI1227" s="5" t="s">
        <v>240</v>
      </c>
      <c r="DJ1227" s="5" t="s">
        <v>240</v>
      </c>
      <c r="DK1227" s="5" t="s">
        <v>240</v>
      </c>
      <c r="DL1227" s="5" t="s">
        <v>240</v>
      </c>
      <c r="DP1227" s="5" t="s">
        <v>240</v>
      </c>
      <c r="DQ1227" s="5" t="s">
        <v>240</v>
      </c>
      <c r="DR1227" s="5" t="s">
        <v>240</v>
      </c>
      <c r="DS1227" s="5" t="s">
        <v>240</v>
      </c>
      <c r="DV1227" s="5" t="s">
        <v>813</v>
      </c>
      <c r="DW1227" s="5" t="s">
        <v>2580</v>
      </c>
      <c r="HO1227" s="5" t="s">
        <v>312</v>
      </c>
    </row>
    <row r="1228" spans="1:223" x14ac:dyDescent="0.4">
      <c r="A1228" s="5">
        <v>2903</v>
      </c>
      <c r="B1228" s="5">
        <v>1</v>
      </c>
      <c r="C1228" s="5">
        <v>1</v>
      </c>
      <c r="D1228" s="5" t="s">
        <v>297</v>
      </c>
      <c r="E1228" s="5" t="s">
        <v>245</v>
      </c>
      <c r="F1228" s="5" t="s">
        <v>254</v>
      </c>
      <c r="G1228" s="5" t="s">
        <v>240</v>
      </c>
      <c r="H1228" s="6" t="s">
        <v>5000</v>
      </c>
      <c r="I1228" s="5" t="s">
        <v>295</v>
      </c>
      <c r="J1228" s="8">
        <f>452</f>
        <v>452</v>
      </c>
      <c r="K1228" s="5" t="s">
        <v>308</v>
      </c>
      <c r="L1228" s="7">
        <f>1</f>
        <v>1</v>
      </c>
      <c r="M1228" s="7">
        <f>1</f>
        <v>1</v>
      </c>
      <c r="N1228" s="5" t="s">
        <v>242</v>
      </c>
      <c r="O1228" s="5">
        <v>1</v>
      </c>
      <c r="P1228" s="5" t="s">
        <v>294</v>
      </c>
      <c r="Q1228" s="5" t="s">
        <v>266</v>
      </c>
      <c r="R1228" s="5" t="s">
        <v>240</v>
      </c>
      <c r="S1228" s="5" t="s">
        <v>240</v>
      </c>
      <c r="T1228" s="5" t="s">
        <v>296</v>
      </c>
      <c r="U1228" s="5" t="s">
        <v>244</v>
      </c>
      <c r="V1228" s="5" t="s">
        <v>240</v>
      </c>
      <c r="Y1228" s="5" t="s">
        <v>240</v>
      </c>
      <c r="Z1228" s="6" t="s">
        <v>298</v>
      </c>
      <c r="AB1228" s="6" t="s">
        <v>240</v>
      </c>
      <c r="AE1228" s="6" t="s">
        <v>299</v>
      </c>
      <c r="AF1228" s="5" t="s">
        <v>248</v>
      </c>
      <c r="AG1228" s="5" t="s">
        <v>249</v>
      </c>
      <c r="AW1228" s="5" t="s">
        <v>251</v>
      </c>
      <c r="AX1228" s="5" t="s">
        <v>240</v>
      </c>
      <c r="AY1228" s="5" t="s">
        <v>253</v>
      </c>
      <c r="AZ1228" s="5" t="s">
        <v>240</v>
      </c>
      <c r="BA1228" s="5" t="s">
        <v>255</v>
      </c>
      <c r="BB1228" s="5" t="s">
        <v>240</v>
      </c>
      <c r="BD1228" s="5" t="s">
        <v>240</v>
      </c>
      <c r="BF1228" s="5" t="s">
        <v>301</v>
      </c>
      <c r="BG1228" s="6" t="s">
        <v>299</v>
      </c>
      <c r="BH1228" s="5" t="s">
        <v>302</v>
      </c>
      <c r="BI1228" s="5" t="s">
        <v>303</v>
      </c>
      <c r="BJ1228" s="5" t="s">
        <v>240</v>
      </c>
      <c r="BK1228" s="8">
        <f>0</f>
        <v>0</v>
      </c>
      <c r="BL1228" s="7">
        <f>0</f>
        <v>0</v>
      </c>
      <c r="BM1228" s="5" t="s">
        <v>258</v>
      </c>
      <c r="BN1228" s="5" t="s">
        <v>259</v>
      </c>
      <c r="CB1228" s="5" t="s">
        <v>240</v>
      </c>
      <c r="CC1228" s="5" t="s">
        <v>240</v>
      </c>
      <c r="CG1228" s="5" t="s">
        <v>304</v>
      </c>
      <c r="CH1228" s="5" t="s">
        <v>305</v>
      </c>
      <c r="CI1228" s="5" t="s">
        <v>240</v>
      </c>
      <c r="CL1228" s="6" t="s">
        <v>261</v>
      </c>
      <c r="CM1228" s="5" t="s">
        <v>240</v>
      </c>
      <c r="CN1228" s="5" t="s">
        <v>263</v>
      </c>
      <c r="CO1228" s="5" t="s">
        <v>240</v>
      </c>
      <c r="CP1228" s="5" t="s">
        <v>240</v>
      </c>
      <c r="CQ1228" s="5">
        <v>0</v>
      </c>
      <c r="CR1228" s="5" t="s">
        <v>306</v>
      </c>
      <c r="CS1228" s="5" t="s">
        <v>307</v>
      </c>
      <c r="CT1228" s="5" t="s">
        <v>307</v>
      </c>
      <c r="CU1228" s="5" t="s">
        <v>260</v>
      </c>
      <c r="CX1228" s="7">
        <f>1</f>
        <v>1</v>
      </c>
      <c r="CY1228" s="7">
        <f>0</f>
        <v>0</v>
      </c>
      <c r="DA1228" s="7">
        <f>0</f>
        <v>0</v>
      </c>
      <c r="DC1228" s="5" t="s">
        <v>812</v>
      </c>
      <c r="DD1228" s="5" t="s">
        <v>240</v>
      </c>
      <c r="DF1228" s="5" t="s">
        <v>812</v>
      </c>
      <c r="DG1228" s="7">
        <f>178</f>
        <v>178</v>
      </c>
      <c r="DI1228" s="5" t="s">
        <v>240</v>
      </c>
      <c r="DJ1228" s="5" t="s">
        <v>240</v>
      </c>
      <c r="DK1228" s="5" t="s">
        <v>240</v>
      </c>
      <c r="DL1228" s="5" t="s">
        <v>240</v>
      </c>
      <c r="DP1228" s="5" t="s">
        <v>240</v>
      </c>
      <c r="DQ1228" s="5" t="s">
        <v>240</v>
      </c>
      <c r="DR1228" s="5" t="s">
        <v>240</v>
      </c>
      <c r="DS1228" s="5" t="s">
        <v>240</v>
      </c>
      <c r="DV1228" s="5" t="s">
        <v>813</v>
      </c>
      <c r="DW1228" s="5" t="s">
        <v>2582</v>
      </c>
      <c r="HO1228" s="5" t="s">
        <v>312</v>
      </c>
    </row>
    <row r="1229" spans="1:223" x14ac:dyDescent="0.4">
      <c r="A1229" s="5">
        <v>2904</v>
      </c>
      <c r="B1229" s="5">
        <v>1</v>
      </c>
      <c r="C1229" s="5">
        <v>1</v>
      </c>
      <c r="D1229" s="5" t="s">
        <v>297</v>
      </c>
      <c r="E1229" s="5" t="s">
        <v>245</v>
      </c>
      <c r="F1229" s="5" t="s">
        <v>254</v>
      </c>
      <c r="G1229" s="5" t="s">
        <v>240</v>
      </c>
      <c r="H1229" s="6" t="s">
        <v>4999</v>
      </c>
      <c r="I1229" s="5" t="s">
        <v>295</v>
      </c>
      <c r="J1229" s="8">
        <f>1507</f>
        <v>1507</v>
      </c>
      <c r="K1229" s="5" t="s">
        <v>308</v>
      </c>
      <c r="L1229" s="7">
        <f>1</f>
        <v>1</v>
      </c>
      <c r="M1229" s="7">
        <f>1</f>
        <v>1</v>
      </c>
      <c r="N1229" s="5" t="s">
        <v>242</v>
      </c>
      <c r="O1229" s="5">
        <v>1</v>
      </c>
      <c r="P1229" s="5" t="s">
        <v>294</v>
      </c>
      <c r="Q1229" s="5" t="s">
        <v>266</v>
      </c>
      <c r="R1229" s="5" t="s">
        <v>240</v>
      </c>
      <c r="S1229" s="5" t="s">
        <v>240</v>
      </c>
      <c r="T1229" s="5" t="s">
        <v>296</v>
      </c>
      <c r="U1229" s="5" t="s">
        <v>244</v>
      </c>
      <c r="V1229" s="5" t="s">
        <v>240</v>
      </c>
      <c r="Y1229" s="5" t="s">
        <v>240</v>
      </c>
      <c r="Z1229" s="6" t="s">
        <v>298</v>
      </c>
      <c r="AB1229" s="6" t="s">
        <v>240</v>
      </c>
      <c r="AE1229" s="6" t="s">
        <v>299</v>
      </c>
      <c r="AF1229" s="5" t="s">
        <v>248</v>
      </c>
      <c r="AG1229" s="5" t="s">
        <v>249</v>
      </c>
      <c r="AW1229" s="5" t="s">
        <v>251</v>
      </c>
      <c r="AX1229" s="5" t="s">
        <v>240</v>
      </c>
      <c r="AY1229" s="5" t="s">
        <v>253</v>
      </c>
      <c r="AZ1229" s="5" t="s">
        <v>240</v>
      </c>
      <c r="BA1229" s="5" t="s">
        <v>255</v>
      </c>
      <c r="BB1229" s="5" t="s">
        <v>240</v>
      </c>
      <c r="BD1229" s="5" t="s">
        <v>240</v>
      </c>
      <c r="BF1229" s="5" t="s">
        <v>301</v>
      </c>
      <c r="BG1229" s="6" t="s">
        <v>299</v>
      </c>
      <c r="BH1229" s="5" t="s">
        <v>302</v>
      </c>
      <c r="BI1229" s="5" t="s">
        <v>303</v>
      </c>
      <c r="BJ1229" s="5" t="s">
        <v>240</v>
      </c>
      <c r="BK1229" s="8">
        <f>0</f>
        <v>0</v>
      </c>
      <c r="BL1229" s="7">
        <f>0</f>
        <v>0</v>
      </c>
      <c r="BM1229" s="5" t="s">
        <v>258</v>
      </c>
      <c r="BN1229" s="5" t="s">
        <v>259</v>
      </c>
      <c r="CB1229" s="5" t="s">
        <v>240</v>
      </c>
      <c r="CC1229" s="5" t="s">
        <v>240</v>
      </c>
      <c r="CG1229" s="5" t="s">
        <v>304</v>
      </c>
      <c r="CH1229" s="5" t="s">
        <v>305</v>
      </c>
      <c r="CI1229" s="5" t="s">
        <v>240</v>
      </c>
      <c r="CL1229" s="6" t="s">
        <v>261</v>
      </c>
      <c r="CM1229" s="5" t="s">
        <v>240</v>
      </c>
      <c r="CN1229" s="5" t="s">
        <v>263</v>
      </c>
      <c r="CO1229" s="5" t="s">
        <v>240</v>
      </c>
      <c r="CP1229" s="5" t="s">
        <v>240</v>
      </c>
      <c r="CQ1229" s="5">
        <v>0</v>
      </c>
      <c r="CR1229" s="5" t="s">
        <v>306</v>
      </c>
      <c r="CS1229" s="5" t="s">
        <v>307</v>
      </c>
      <c r="CT1229" s="5" t="s">
        <v>307</v>
      </c>
      <c r="CU1229" s="5" t="s">
        <v>260</v>
      </c>
      <c r="CX1229" s="7">
        <f>1</f>
        <v>1</v>
      </c>
      <c r="CY1229" s="7">
        <f>0</f>
        <v>0</v>
      </c>
      <c r="DA1229" s="7">
        <f>0</f>
        <v>0</v>
      </c>
      <c r="DC1229" s="5" t="s">
        <v>812</v>
      </c>
      <c r="DD1229" s="5" t="s">
        <v>240</v>
      </c>
      <c r="DF1229" s="5" t="s">
        <v>812</v>
      </c>
      <c r="DG1229" s="7">
        <f>278</f>
        <v>278</v>
      </c>
      <c r="DI1229" s="5" t="s">
        <v>240</v>
      </c>
      <c r="DJ1229" s="5" t="s">
        <v>240</v>
      </c>
      <c r="DK1229" s="5" t="s">
        <v>240</v>
      </c>
      <c r="DL1229" s="5" t="s">
        <v>240</v>
      </c>
      <c r="DP1229" s="5" t="s">
        <v>240</v>
      </c>
      <c r="DQ1229" s="5" t="s">
        <v>240</v>
      </c>
      <c r="DR1229" s="5" t="s">
        <v>240</v>
      </c>
      <c r="DS1229" s="5" t="s">
        <v>240</v>
      </c>
      <c r="DV1229" s="5" t="s">
        <v>813</v>
      </c>
      <c r="DW1229" s="5" t="s">
        <v>2584</v>
      </c>
      <c r="HO1229" s="5" t="s">
        <v>312</v>
      </c>
    </row>
    <row r="1230" spans="1:223" x14ac:dyDescent="0.4">
      <c r="A1230" s="5">
        <v>2905</v>
      </c>
      <c r="B1230" s="5">
        <v>1</v>
      </c>
      <c r="C1230" s="5">
        <v>1</v>
      </c>
      <c r="D1230" s="5" t="s">
        <v>297</v>
      </c>
      <c r="E1230" s="5" t="s">
        <v>245</v>
      </c>
      <c r="F1230" s="5" t="s">
        <v>254</v>
      </c>
      <c r="G1230" s="5" t="s">
        <v>240</v>
      </c>
      <c r="H1230" s="6" t="s">
        <v>5131</v>
      </c>
      <c r="I1230" s="5" t="s">
        <v>295</v>
      </c>
      <c r="J1230" s="8">
        <f>3128</f>
        <v>3128</v>
      </c>
      <c r="K1230" s="5" t="s">
        <v>308</v>
      </c>
      <c r="L1230" s="7">
        <f>1</f>
        <v>1</v>
      </c>
      <c r="M1230" s="7">
        <f>1</f>
        <v>1</v>
      </c>
      <c r="N1230" s="5" t="s">
        <v>242</v>
      </c>
      <c r="O1230" s="5">
        <v>1</v>
      </c>
      <c r="P1230" s="5" t="s">
        <v>294</v>
      </c>
      <c r="Q1230" s="5" t="s">
        <v>266</v>
      </c>
      <c r="R1230" s="5" t="s">
        <v>240</v>
      </c>
      <c r="S1230" s="5" t="s">
        <v>240</v>
      </c>
      <c r="T1230" s="5" t="s">
        <v>296</v>
      </c>
      <c r="U1230" s="5" t="s">
        <v>244</v>
      </c>
      <c r="V1230" s="5" t="s">
        <v>240</v>
      </c>
      <c r="Y1230" s="5" t="s">
        <v>240</v>
      </c>
      <c r="Z1230" s="6" t="s">
        <v>298</v>
      </c>
      <c r="AB1230" s="6" t="s">
        <v>240</v>
      </c>
      <c r="AE1230" s="6" t="s">
        <v>299</v>
      </c>
      <c r="AF1230" s="5" t="s">
        <v>248</v>
      </c>
      <c r="AG1230" s="5" t="s">
        <v>249</v>
      </c>
      <c r="AW1230" s="5" t="s">
        <v>251</v>
      </c>
      <c r="AX1230" s="5" t="s">
        <v>240</v>
      </c>
      <c r="AY1230" s="5" t="s">
        <v>253</v>
      </c>
      <c r="AZ1230" s="5" t="s">
        <v>240</v>
      </c>
      <c r="BA1230" s="5" t="s">
        <v>255</v>
      </c>
      <c r="BB1230" s="5" t="s">
        <v>240</v>
      </c>
      <c r="BD1230" s="5" t="s">
        <v>240</v>
      </c>
      <c r="BF1230" s="5" t="s">
        <v>301</v>
      </c>
      <c r="BG1230" s="6" t="s">
        <v>299</v>
      </c>
      <c r="BH1230" s="5" t="s">
        <v>302</v>
      </c>
      <c r="BI1230" s="5" t="s">
        <v>303</v>
      </c>
      <c r="BJ1230" s="5" t="s">
        <v>240</v>
      </c>
      <c r="BK1230" s="8">
        <f>0</f>
        <v>0</v>
      </c>
      <c r="BL1230" s="7">
        <f>0</f>
        <v>0</v>
      </c>
      <c r="BM1230" s="5" t="s">
        <v>258</v>
      </c>
      <c r="BN1230" s="5" t="s">
        <v>259</v>
      </c>
      <c r="CB1230" s="5" t="s">
        <v>240</v>
      </c>
      <c r="CC1230" s="5" t="s">
        <v>240</v>
      </c>
      <c r="CG1230" s="5" t="s">
        <v>304</v>
      </c>
      <c r="CH1230" s="5" t="s">
        <v>305</v>
      </c>
      <c r="CI1230" s="5" t="s">
        <v>240</v>
      </c>
      <c r="CL1230" s="6" t="s">
        <v>261</v>
      </c>
      <c r="CM1230" s="5" t="s">
        <v>240</v>
      </c>
      <c r="CN1230" s="5" t="s">
        <v>263</v>
      </c>
      <c r="CO1230" s="5" t="s">
        <v>240</v>
      </c>
      <c r="CP1230" s="5" t="s">
        <v>240</v>
      </c>
      <c r="CQ1230" s="5">
        <v>0</v>
      </c>
      <c r="CR1230" s="5" t="s">
        <v>306</v>
      </c>
      <c r="CS1230" s="5" t="s">
        <v>307</v>
      </c>
      <c r="CT1230" s="5" t="s">
        <v>307</v>
      </c>
      <c r="CU1230" s="5" t="s">
        <v>260</v>
      </c>
      <c r="CX1230" s="7">
        <f>1</f>
        <v>1</v>
      </c>
      <c r="CY1230" s="7">
        <f>0</f>
        <v>0</v>
      </c>
      <c r="DA1230" s="7">
        <f>0</f>
        <v>0</v>
      </c>
      <c r="DC1230" s="5" t="s">
        <v>812</v>
      </c>
      <c r="DD1230" s="5" t="s">
        <v>240</v>
      </c>
      <c r="DF1230" s="5" t="s">
        <v>812</v>
      </c>
      <c r="DG1230" s="7">
        <f>138</f>
        <v>138</v>
      </c>
      <c r="DI1230" s="5" t="s">
        <v>240</v>
      </c>
      <c r="DJ1230" s="5" t="s">
        <v>240</v>
      </c>
      <c r="DK1230" s="5" t="s">
        <v>240</v>
      </c>
      <c r="DL1230" s="5" t="s">
        <v>240</v>
      </c>
      <c r="DP1230" s="5" t="s">
        <v>240</v>
      </c>
      <c r="DQ1230" s="5" t="s">
        <v>240</v>
      </c>
      <c r="DR1230" s="5" t="s">
        <v>240</v>
      </c>
      <c r="DS1230" s="5" t="s">
        <v>240</v>
      </c>
      <c r="DV1230" s="5" t="s">
        <v>813</v>
      </c>
      <c r="DW1230" s="5" t="s">
        <v>2586</v>
      </c>
      <c r="HO1230" s="5" t="s">
        <v>312</v>
      </c>
    </row>
    <row r="1231" spans="1:223" x14ac:dyDescent="0.4">
      <c r="A1231" s="5">
        <v>2906</v>
      </c>
      <c r="B1231" s="5">
        <v>1</v>
      </c>
      <c r="C1231" s="5">
        <v>1</v>
      </c>
      <c r="D1231" s="5" t="s">
        <v>297</v>
      </c>
      <c r="E1231" s="5" t="s">
        <v>245</v>
      </c>
      <c r="F1231" s="5" t="s">
        <v>254</v>
      </c>
      <c r="G1231" s="5" t="s">
        <v>240</v>
      </c>
      <c r="H1231" s="6" t="s">
        <v>4996</v>
      </c>
      <c r="I1231" s="5" t="s">
        <v>295</v>
      </c>
      <c r="J1231" s="8">
        <f>777</f>
        <v>777</v>
      </c>
      <c r="K1231" s="5" t="s">
        <v>308</v>
      </c>
      <c r="L1231" s="7">
        <f>1</f>
        <v>1</v>
      </c>
      <c r="M1231" s="7">
        <f>1</f>
        <v>1</v>
      </c>
      <c r="N1231" s="5" t="s">
        <v>242</v>
      </c>
      <c r="O1231" s="5">
        <v>1</v>
      </c>
      <c r="P1231" s="5" t="s">
        <v>294</v>
      </c>
      <c r="Q1231" s="5" t="s">
        <v>266</v>
      </c>
      <c r="R1231" s="5" t="s">
        <v>240</v>
      </c>
      <c r="S1231" s="5" t="s">
        <v>240</v>
      </c>
      <c r="T1231" s="5" t="s">
        <v>296</v>
      </c>
      <c r="U1231" s="5" t="s">
        <v>244</v>
      </c>
      <c r="V1231" s="5" t="s">
        <v>240</v>
      </c>
      <c r="Y1231" s="5" t="s">
        <v>240</v>
      </c>
      <c r="Z1231" s="6" t="s">
        <v>298</v>
      </c>
      <c r="AB1231" s="6" t="s">
        <v>240</v>
      </c>
      <c r="AE1231" s="6" t="s">
        <v>299</v>
      </c>
      <c r="AF1231" s="5" t="s">
        <v>248</v>
      </c>
      <c r="AG1231" s="5" t="s">
        <v>249</v>
      </c>
      <c r="AW1231" s="5" t="s">
        <v>251</v>
      </c>
      <c r="AX1231" s="5" t="s">
        <v>240</v>
      </c>
      <c r="AY1231" s="5" t="s">
        <v>253</v>
      </c>
      <c r="AZ1231" s="5" t="s">
        <v>240</v>
      </c>
      <c r="BA1231" s="5" t="s">
        <v>255</v>
      </c>
      <c r="BB1231" s="5" t="s">
        <v>240</v>
      </c>
      <c r="BD1231" s="5" t="s">
        <v>240</v>
      </c>
      <c r="BF1231" s="5" t="s">
        <v>301</v>
      </c>
      <c r="BG1231" s="6" t="s">
        <v>299</v>
      </c>
      <c r="BH1231" s="5" t="s">
        <v>302</v>
      </c>
      <c r="BI1231" s="5" t="s">
        <v>303</v>
      </c>
      <c r="BJ1231" s="5" t="s">
        <v>240</v>
      </c>
      <c r="BK1231" s="8">
        <f>0</f>
        <v>0</v>
      </c>
      <c r="BL1231" s="7">
        <f>0</f>
        <v>0</v>
      </c>
      <c r="BM1231" s="5" t="s">
        <v>258</v>
      </c>
      <c r="BN1231" s="5" t="s">
        <v>259</v>
      </c>
      <c r="CB1231" s="5" t="s">
        <v>240</v>
      </c>
      <c r="CC1231" s="5" t="s">
        <v>240</v>
      </c>
      <c r="CG1231" s="5" t="s">
        <v>304</v>
      </c>
      <c r="CH1231" s="5" t="s">
        <v>305</v>
      </c>
      <c r="CI1231" s="5" t="s">
        <v>240</v>
      </c>
      <c r="CL1231" s="6" t="s">
        <v>261</v>
      </c>
      <c r="CM1231" s="5" t="s">
        <v>240</v>
      </c>
      <c r="CN1231" s="5" t="s">
        <v>263</v>
      </c>
      <c r="CO1231" s="5" t="s">
        <v>240</v>
      </c>
      <c r="CP1231" s="5" t="s">
        <v>240</v>
      </c>
      <c r="CQ1231" s="5">
        <v>0</v>
      </c>
      <c r="CR1231" s="5" t="s">
        <v>306</v>
      </c>
      <c r="CS1231" s="5" t="s">
        <v>307</v>
      </c>
      <c r="CT1231" s="5" t="s">
        <v>307</v>
      </c>
      <c r="CU1231" s="5" t="s">
        <v>260</v>
      </c>
      <c r="CX1231" s="7">
        <f>1</f>
        <v>1</v>
      </c>
      <c r="CY1231" s="7">
        <f>0</f>
        <v>0</v>
      </c>
      <c r="DA1231" s="7">
        <f>0</f>
        <v>0</v>
      </c>
      <c r="DC1231" s="5" t="s">
        <v>812</v>
      </c>
      <c r="DD1231" s="5" t="s">
        <v>240</v>
      </c>
      <c r="DF1231" s="5" t="s">
        <v>812</v>
      </c>
      <c r="DG1231" s="7">
        <f>500</f>
        <v>500</v>
      </c>
      <c r="DI1231" s="5" t="s">
        <v>240</v>
      </c>
      <c r="DJ1231" s="5" t="s">
        <v>240</v>
      </c>
      <c r="DK1231" s="5" t="s">
        <v>240</v>
      </c>
      <c r="DL1231" s="5" t="s">
        <v>240</v>
      </c>
      <c r="DP1231" s="5" t="s">
        <v>240</v>
      </c>
      <c r="DQ1231" s="5" t="s">
        <v>240</v>
      </c>
      <c r="DR1231" s="5" t="s">
        <v>240</v>
      </c>
      <c r="DS1231" s="5" t="s">
        <v>240</v>
      </c>
      <c r="DV1231" s="5" t="s">
        <v>813</v>
      </c>
      <c r="DW1231" s="5" t="s">
        <v>2588</v>
      </c>
      <c r="HO1231" s="5" t="s">
        <v>312</v>
      </c>
    </row>
    <row r="1232" spans="1:223" x14ac:dyDescent="0.4">
      <c r="A1232" s="5">
        <v>2907</v>
      </c>
      <c r="B1232" s="5">
        <v>1</v>
      </c>
      <c r="C1232" s="5">
        <v>1</v>
      </c>
      <c r="D1232" s="5" t="s">
        <v>297</v>
      </c>
      <c r="E1232" s="5" t="s">
        <v>245</v>
      </c>
      <c r="F1232" s="5" t="s">
        <v>254</v>
      </c>
      <c r="G1232" s="5" t="s">
        <v>240</v>
      </c>
      <c r="H1232" s="6" t="s">
        <v>5132</v>
      </c>
      <c r="I1232" s="5" t="s">
        <v>295</v>
      </c>
      <c r="J1232" s="8">
        <f>2734</f>
        <v>2734</v>
      </c>
      <c r="K1232" s="5" t="s">
        <v>308</v>
      </c>
      <c r="L1232" s="7">
        <f>1</f>
        <v>1</v>
      </c>
      <c r="M1232" s="7">
        <f>1</f>
        <v>1</v>
      </c>
      <c r="N1232" s="5" t="s">
        <v>242</v>
      </c>
      <c r="O1232" s="5">
        <v>1</v>
      </c>
      <c r="P1232" s="5" t="s">
        <v>294</v>
      </c>
      <c r="Q1232" s="5" t="s">
        <v>266</v>
      </c>
      <c r="R1232" s="5" t="s">
        <v>240</v>
      </c>
      <c r="S1232" s="5" t="s">
        <v>240</v>
      </c>
      <c r="T1232" s="5" t="s">
        <v>296</v>
      </c>
      <c r="U1232" s="5" t="s">
        <v>244</v>
      </c>
      <c r="V1232" s="5" t="s">
        <v>240</v>
      </c>
      <c r="Y1232" s="5" t="s">
        <v>240</v>
      </c>
      <c r="Z1232" s="6" t="s">
        <v>298</v>
      </c>
      <c r="AB1232" s="6" t="s">
        <v>240</v>
      </c>
      <c r="AE1232" s="6" t="s">
        <v>299</v>
      </c>
      <c r="AF1232" s="5" t="s">
        <v>248</v>
      </c>
      <c r="AG1232" s="5" t="s">
        <v>249</v>
      </c>
      <c r="AW1232" s="5" t="s">
        <v>251</v>
      </c>
      <c r="AX1232" s="5" t="s">
        <v>240</v>
      </c>
      <c r="AY1232" s="5" t="s">
        <v>253</v>
      </c>
      <c r="AZ1232" s="5" t="s">
        <v>240</v>
      </c>
      <c r="BA1232" s="5" t="s">
        <v>255</v>
      </c>
      <c r="BB1232" s="5" t="s">
        <v>240</v>
      </c>
      <c r="BD1232" s="5" t="s">
        <v>240</v>
      </c>
      <c r="BF1232" s="5" t="s">
        <v>301</v>
      </c>
      <c r="BG1232" s="6" t="s">
        <v>299</v>
      </c>
      <c r="BH1232" s="5" t="s">
        <v>302</v>
      </c>
      <c r="BI1232" s="5" t="s">
        <v>303</v>
      </c>
      <c r="BJ1232" s="5" t="s">
        <v>240</v>
      </c>
      <c r="BK1232" s="8">
        <f>0</f>
        <v>0</v>
      </c>
      <c r="BL1232" s="7">
        <f>0</f>
        <v>0</v>
      </c>
      <c r="BM1232" s="5" t="s">
        <v>258</v>
      </c>
      <c r="BN1232" s="5" t="s">
        <v>259</v>
      </c>
      <c r="CB1232" s="5" t="s">
        <v>240</v>
      </c>
      <c r="CC1232" s="5" t="s">
        <v>240</v>
      </c>
      <c r="CG1232" s="5" t="s">
        <v>304</v>
      </c>
      <c r="CH1232" s="5" t="s">
        <v>305</v>
      </c>
      <c r="CI1232" s="5" t="s">
        <v>240</v>
      </c>
      <c r="CL1232" s="6" t="s">
        <v>261</v>
      </c>
      <c r="CM1232" s="5" t="s">
        <v>240</v>
      </c>
      <c r="CN1232" s="5" t="s">
        <v>263</v>
      </c>
      <c r="CO1232" s="5" t="s">
        <v>240</v>
      </c>
      <c r="CP1232" s="5" t="s">
        <v>240</v>
      </c>
      <c r="CQ1232" s="5">
        <v>0</v>
      </c>
      <c r="CR1232" s="5" t="s">
        <v>306</v>
      </c>
      <c r="CS1232" s="5" t="s">
        <v>307</v>
      </c>
      <c r="CT1232" s="5" t="s">
        <v>307</v>
      </c>
      <c r="CU1232" s="5" t="s">
        <v>260</v>
      </c>
      <c r="CX1232" s="7">
        <f>1</f>
        <v>1</v>
      </c>
      <c r="CY1232" s="7">
        <f>0</f>
        <v>0</v>
      </c>
      <c r="DA1232" s="7">
        <f>0</f>
        <v>0</v>
      </c>
      <c r="DC1232" s="5" t="s">
        <v>812</v>
      </c>
      <c r="DD1232" s="5" t="s">
        <v>240</v>
      </c>
      <c r="DF1232" s="5" t="s">
        <v>812</v>
      </c>
      <c r="DG1232" s="7">
        <f>472</f>
        <v>472</v>
      </c>
      <c r="DI1232" s="5" t="s">
        <v>240</v>
      </c>
      <c r="DJ1232" s="5" t="s">
        <v>240</v>
      </c>
      <c r="DK1232" s="5" t="s">
        <v>240</v>
      </c>
      <c r="DL1232" s="5" t="s">
        <v>240</v>
      </c>
      <c r="DP1232" s="5" t="s">
        <v>240</v>
      </c>
      <c r="DQ1232" s="5" t="s">
        <v>240</v>
      </c>
      <c r="DR1232" s="5" t="s">
        <v>240</v>
      </c>
      <c r="DS1232" s="5" t="s">
        <v>240</v>
      </c>
      <c r="DV1232" s="5" t="s">
        <v>813</v>
      </c>
      <c r="DW1232" s="5" t="s">
        <v>2590</v>
      </c>
      <c r="HO1232" s="5" t="s">
        <v>312</v>
      </c>
    </row>
    <row r="1233" spans="1:223" x14ac:dyDescent="0.4">
      <c r="A1233" s="5">
        <v>2908</v>
      </c>
      <c r="B1233" s="5">
        <v>1</v>
      </c>
      <c r="C1233" s="5">
        <v>1</v>
      </c>
      <c r="D1233" s="5" t="s">
        <v>297</v>
      </c>
      <c r="E1233" s="5" t="s">
        <v>245</v>
      </c>
      <c r="F1233" s="5" t="s">
        <v>254</v>
      </c>
      <c r="G1233" s="5" t="s">
        <v>240</v>
      </c>
      <c r="H1233" s="6" t="s">
        <v>4994</v>
      </c>
      <c r="I1233" s="5" t="s">
        <v>295</v>
      </c>
      <c r="J1233" s="8">
        <f>1732</f>
        <v>1732</v>
      </c>
      <c r="K1233" s="5" t="s">
        <v>308</v>
      </c>
      <c r="L1233" s="7">
        <f>1</f>
        <v>1</v>
      </c>
      <c r="M1233" s="7">
        <f>1</f>
        <v>1</v>
      </c>
      <c r="N1233" s="5" t="s">
        <v>242</v>
      </c>
      <c r="O1233" s="5">
        <v>1</v>
      </c>
      <c r="P1233" s="5" t="s">
        <v>294</v>
      </c>
      <c r="Q1233" s="5" t="s">
        <v>266</v>
      </c>
      <c r="R1233" s="5" t="s">
        <v>240</v>
      </c>
      <c r="S1233" s="5" t="s">
        <v>240</v>
      </c>
      <c r="T1233" s="5" t="s">
        <v>296</v>
      </c>
      <c r="U1233" s="5" t="s">
        <v>244</v>
      </c>
      <c r="V1233" s="5" t="s">
        <v>240</v>
      </c>
      <c r="Y1233" s="5" t="s">
        <v>240</v>
      </c>
      <c r="Z1233" s="6" t="s">
        <v>298</v>
      </c>
      <c r="AB1233" s="6" t="s">
        <v>240</v>
      </c>
      <c r="AE1233" s="6" t="s">
        <v>299</v>
      </c>
      <c r="AF1233" s="5" t="s">
        <v>248</v>
      </c>
      <c r="AG1233" s="5" t="s">
        <v>249</v>
      </c>
      <c r="AW1233" s="5" t="s">
        <v>251</v>
      </c>
      <c r="AX1233" s="5" t="s">
        <v>240</v>
      </c>
      <c r="AY1233" s="5" t="s">
        <v>253</v>
      </c>
      <c r="AZ1233" s="5" t="s">
        <v>240</v>
      </c>
      <c r="BA1233" s="5" t="s">
        <v>255</v>
      </c>
      <c r="BB1233" s="5" t="s">
        <v>240</v>
      </c>
      <c r="BD1233" s="5" t="s">
        <v>240</v>
      </c>
      <c r="BF1233" s="5" t="s">
        <v>301</v>
      </c>
      <c r="BG1233" s="6" t="s">
        <v>299</v>
      </c>
      <c r="BH1233" s="5" t="s">
        <v>302</v>
      </c>
      <c r="BI1233" s="5" t="s">
        <v>303</v>
      </c>
      <c r="BJ1233" s="5" t="s">
        <v>240</v>
      </c>
      <c r="BK1233" s="8">
        <f>0</f>
        <v>0</v>
      </c>
      <c r="BL1233" s="7">
        <f>0</f>
        <v>0</v>
      </c>
      <c r="BM1233" s="5" t="s">
        <v>258</v>
      </c>
      <c r="BN1233" s="5" t="s">
        <v>259</v>
      </c>
      <c r="CB1233" s="5" t="s">
        <v>240</v>
      </c>
      <c r="CC1233" s="5" t="s">
        <v>240</v>
      </c>
      <c r="CG1233" s="5" t="s">
        <v>304</v>
      </c>
      <c r="CH1233" s="5" t="s">
        <v>305</v>
      </c>
      <c r="CI1233" s="5" t="s">
        <v>240</v>
      </c>
      <c r="CL1233" s="6" t="s">
        <v>261</v>
      </c>
      <c r="CM1233" s="5" t="s">
        <v>240</v>
      </c>
      <c r="CN1233" s="5" t="s">
        <v>263</v>
      </c>
      <c r="CO1233" s="5" t="s">
        <v>240</v>
      </c>
      <c r="CP1233" s="5" t="s">
        <v>240</v>
      </c>
      <c r="CQ1233" s="5">
        <v>0</v>
      </c>
      <c r="CR1233" s="5" t="s">
        <v>306</v>
      </c>
      <c r="CS1233" s="5" t="s">
        <v>307</v>
      </c>
      <c r="CT1233" s="5" t="s">
        <v>307</v>
      </c>
      <c r="CU1233" s="5" t="s">
        <v>260</v>
      </c>
      <c r="CX1233" s="7">
        <f>1</f>
        <v>1</v>
      </c>
      <c r="CY1233" s="7">
        <f>0</f>
        <v>0</v>
      </c>
      <c r="DA1233" s="7">
        <f>0</f>
        <v>0</v>
      </c>
      <c r="DC1233" s="5" t="s">
        <v>812</v>
      </c>
      <c r="DD1233" s="5" t="s">
        <v>240</v>
      </c>
      <c r="DF1233" s="5" t="s">
        <v>812</v>
      </c>
      <c r="DG1233" s="7">
        <f>79</f>
        <v>79</v>
      </c>
      <c r="DI1233" s="5" t="s">
        <v>240</v>
      </c>
      <c r="DJ1233" s="5" t="s">
        <v>240</v>
      </c>
      <c r="DK1233" s="5" t="s">
        <v>240</v>
      </c>
      <c r="DL1233" s="5" t="s">
        <v>240</v>
      </c>
      <c r="DP1233" s="5" t="s">
        <v>240</v>
      </c>
      <c r="DQ1233" s="5" t="s">
        <v>240</v>
      </c>
      <c r="DR1233" s="5" t="s">
        <v>240</v>
      </c>
      <c r="DS1233" s="5" t="s">
        <v>240</v>
      </c>
      <c r="DV1233" s="5" t="s">
        <v>813</v>
      </c>
      <c r="DW1233" s="5" t="s">
        <v>2592</v>
      </c>
      <c r="HO1233" s="5" t="s">
        <v>312</v>
      </c>
    </row>
    <row r="1234" spans="1:223" x14ac:dyDescent="0.4">
      <c r="A1234" s="5">
        <v>2909</v>
      </c>
      <c r="B1234" s="5">
        <v>1</v>
      </c>
      <c r="C1234" s="5">
        <v>1</v>
      </c>
      <c r="D1234" s="5" t="s">
        <v>297</v>
      </c>
      <c r="E1234" s="5" t="s">
        <v>245</v>
      </c>
      <c r="F1234" s="5" t="s">
        <v>254</v>
      </c>
      <c r="G1234" s="5" t="s">
        <v>240</v>
      </c>
      <c r="H1234" s="6" t="s">
        <v>5145</v>
      </c>
      <c r="I1234" s="5" t="s">
        <v>295</v>
      </c>
      <c r="J1234" s="8">
        <f>1997</f>
        <v>1997</v>
      </c>
      <c r="K1234" s="5" t="s">
        <v>308</v>
      </c>
      <c r="L1234" s="7">
        <f>1</f>
        <v>1</v>
      </c>
      <c r="M1234" s="7">
        <f>1</f>
        <v>1</v>
      </c>
      <c r="N1234" s="5" t="s">
        <v>242</v>
      </c>
      <c r="O1234" s="5">
        <v>1</v>
      </c>
      <c r="P1234" s="5" t="s">
        <v>294</v>
      </c>
      <c r="Q1234" s="5" t="s">
        <v>266</v>
      </c>
      <c r="R1234" s="5" t="s">
        <v>240</v>
      </c>
      <c r="S1234" s="5" t="s">
        <v>240</v>
      </c>
      <c r="T1234" s="5" t="s">
        <v>296</v>
      </c>
      <c r="U1234" s="5" t="s">
        <v>244</v>
      </c>
      <c r="V1234" s="5" t="s">
        <v>240</v>
      </c>
      <c r="Y1234" s="5" t="s">
        <v>240</v>
      </c>
      <c r="Z1234" s="6" t="s">
        <v>298</v>
      </c>
      <c r="AB1234" s="6" t="s">
        <v>240</v>
      </c>
      <c r="AE1234" s="6" t="s">
        <v>299</v>
      </c>
      <c r="AF1234" s="5" t="s">
        <v>248</v>
      </c>
      <c r="AG1234" s="5" t="s">
        <v>249</v>
      </c>
      <c r="AW1234" s="5" t="s">
        <v>251</v>
      </c>
      <c r="AX1234" s="5" t="s">
        <v>240</v>
      </c>
      <c r="AY1234" s="5" t="s">
        <v>253</v>
      </c>
      <c r="AZ1234" s="5" t="s">
        <v>240</v>
      </c>
      <c r="BA1234" s="5" t="s">
        <v>255</v>
      </c>
      <c r="BB1234" s="5" t="s">
        <v>240</v>
      </c>
      <c r="BD1234" s="5" t="s">
        <v>240</v>
      </c>
      <c r="BF1234" s="5" t="s">
        <v>301</v>
      </c>
      <c r="BG1234" s="6" t="s">
        <v>299</v>
      </c>
      <c r="BH1234" s="5" t="s">
        <v>302</v>
      </c>
      <c r="BI1234" s="5" t="s">
        <v>303</v>
      </c>
      <c r="BJ1234" s="5" t="s">
        <v>240</v>
      </c>
      <c r="BK1234" s="8">
        <f>0</f>
        <v>0</v>
      </c>
      <c r="BL1234" s="7">
        <f>0</f>
        <v>0</v>
      </c>
      <c r="BM1234" s="5" t="s">
        <v>258</v>
      </c>
      <c r="BN1234" s="5" t="s">
        <v>259</v>
      </c>
      <c r="CB1234" s="5" t="s">
        <v>240</v>
      </c>
      <c r="CC1234" s="5" t="s">
        <v>240</v>
      </c>
      <c r="CG1234" s="5" t="s">
        <v>304</v>
      </c>
      <c r="CH1234" s="5" t="s">
        <v>305</v>
      </c>
      <c r="CI1234" s="5" t="s">
        <v>240</v>
      </c>
      <c r="CL1234" s="6" t="s">
        <v>261</v>
      </c>
      <c r="CM1234" s="5" t="s">
        <v>240</v>
      </c>
      <c r="CN1234" s="5" t="s">
        <v>263</v>
      </c>
      <c r="CO1234" s="5" t="s">
        <v>240</v>
      </c>
      <c r="CP1234" s="5" t="s">
        <v>240</v>
      </c>
      <c r="CQ1234" s="5">
        <v>0</v>
      </c>
      <c r="CR1234" s="5" t="s">
        <v>306</v>
      </c>
      <c r="CS1234" s="5" t="s">
        <v>307</v>
      </c>
      <c r="CT1234" s="5" t="s">
        <v>307</v>
      </c>
      <c r="CU1234" s="5" t="s">
        <v>260</v>
      </c>
      <c r="CX1234" s="7">
        <f>1</f>
        <v>1</v>
      </c>
      <c r="CY1234" s="7">
        <f>0</f>
        <v>0</v>
      </c>
      <c r="DA1234" s="7">
        <f>0</f>
        <v>0</v>
      </c>
      <c r="DC1234" s="5" t="s">
        <v>812</v>
      </c>
      <c r="DD1234" s="5" t="s">
        <v>240</v>
      </c>
      <c r="DF1234" s="5" t="s">
        <v>812</v>
      </c>
      <c r="DG1234" s="7">
        <f>271</f>
        <v>271</v>
      </c>
      <c r="DI1234" s="5" t="s">
        <v>240</v>
      </c>
      <c r="DJ1234" s="5" t="s">
        <v>240</v>
      </c>
      <c r="DK1234" s="5" t="s">
        <v>240</v>
      </c>
      <c r="DL1234" s="5" t="s">
        <v>240</v>
      </c>
      <c r="DP1234" s="5" t="s">
        <v>240</v>
      </c>
      <c r="DQ1234" s="5" t="s">
        <v>240</v>
      </c>
      <c r="DR1234" s="5" t="s">
        <v>240</v>
      </c>
      <c r="DS1234" s="5" t="s">
        <v>240</v>
      </c>
      <c r="DV1234" s="5" t="s">
        <v>813</v>
      </c>
      <c r="DW1234" s="5" t="s">
        <v>2594</v>
      </c>
      <c r="HO1234" s="5" t="s">
        <v>312</v>
      </c>
    </row>
    <row r="1235" spans="1:223" x14ac:dyDescent="0.4">
      <c r="A1235" s="5">
        <v>2910</v>
      </c>
      <c r="B1235" s="5">
        <v>1</v>
      </c>
      <c r="C1235" s="5">
        <v>1</v>
      </c>
      <c r="D1235" s="5" t="s">
        <v>297</v>
      </c>
      <c r="E1235" s="5" t="s">
        <v>245</v>
      </c>
      <c r="F1235" s="5" t="s">
        <v>254</v>
      </c>
      <c r="G1235" s="5" t="s">
        <v>240</v>
      </c>
      <c r="H1235" s="6" t="s">
        <v>5146</v>
      </c>
      <c r="I1235" s="5" t="s">
        <v>295</v>
      </c>
      <c r="J1235" s="8">
        <f>5057</f>
        <v>5057</v>
      </c>
      <c r="K1235" s="5" t="s">
        <v>308</v>
      </c>
      <c r="L1235" s="7">
        <f>1</f>
        <v>1</v>
      </c>
      <c r="M1235" s="7">
        <f>1</f>
        <v>1</v>
      </c>
      <c r="N1235" s="5" t="s">
        <v>242</v>
      </c>
      <c r="O1235" s="5">
        <v>1</v>
      </c>
      <c r="P1235" s="5" t="s">
        <v>294</v>
      </c>
      <c r="Q1235" s="5" t="s">
        <v>266</v>
      </c>
      <c r="R1235" s="5" t="s">
        <v>240</v>
      </c>
      <c r="S1235" s="5" t="s">
        <v>240</v>
      </c>
      <c r="T1235" s="5" t="s">
        <v>296</v>
      </c>
      <c r="U1235" s="5" t="s">
        <v>244</v>
      </c>
      <c r="V1235" s="5" t="s">
        <v>240</v>
      </c>
      <c r="Y1235" s="5" t="s">
        <v>240</v>
      </c>
      <c r="Z1235" s="6" t="s">
        <v>298</v>
      </c>
      <c r="AB1235" s="6" t="s">
        <v>240</v>
      </c>
      <c r="AE1235" s="6" t="s">
        <v>299</v>
      </c>
      <c r="AF1235" s="5" t="s">
        <v>248</v>
      </c>
      <c r="AG1235" s="5" t="s">
        <v>249</v>
      </c>
      <c r="AW1235" s="5" t="s">
        <v>251</v>
      </c>
      <c r="AX1235" s="5" t="s">
        <v>240</v>
      </c>
      <c r="AY1235" s="5" t="s">
        <v>253</v>
      </c>
      <c r="AZ1235" s="5" t="s">
        <v>240</v>
      </c>
      <c r="BA1235" s="5" t="s">
        <v>255</v>
      </c>
      <c r="BB1235" s="5" t="s">
        <v>240</v>
      </c>
      <c r="BD1235" s="5" t="s">
        <v>240</v>
      </c>
      <c r="BF1235" s="5" t="s">
        <v>301</v>
      </c>
      <c r="BG1235" s="6" t="s">
        <v>299</v>
      </c>
      <c r="BH1235" s="5" t="s">
        <v>302</v>
      </c>
      <c r="BI1235" s="5" t="s">
        <v>303</v>
      </c>
      <c r="BJ1235" s="5" t="s">
        <v>240</v>
      </c>
      <c r="BK1235" s="8">
        <f>0</f>
        <v>0</v>
      </c>
      <c r="BL1235" s="7">
        <f>0</f>
        <v>0</v>
      </c>
      <c r="BM1235" s="5" t="s">
        <v>258</v>
      </c>
      <c r="BN1235" s="5" t="s">
        <v>259</v>
      </c>
      <c r="CB1235" s="5" t="s">
        <v>240</v>
      </c>
      <c r="CC1235" s="5" t="s">
        <v>240</v>
      </c>
      <c r="CG1235" s="5" t="s">
        <v>304</v>
      </c>
      <c r="CH1235" s="5" t="s">
        <v>305</v>
      </c>
      <c r="CI1235" s="5" t="s">
        <v>240</v>
      </c>
      <c r="CL1235" s="6" t="s">
        <v>261</v>
      </c>
      <c r="CM1235" s="5" t="s">
        <v>240</v>
      </c>
      <c r="CN1235" s="5" t="s">
        <v>263</v>
      </c>
      <c r="CO1235" s="5" t="s">
        <v>240</v>
      </c>
      <c r="CP1235" s="5" t="s">
        <v>240</v>
      </c>
      <c r="CQ1235" s="5">
        <v>0</v>
      </c>
      <c r="CR1235" s="5" t="s">
        <v>306</v>
      </c>
      <c r="CS1235" s="5" t="s">
        <v>307</v>
      </c>
      <c r="CT1235" s="5" t="s">
        <v>307</v>
      </c>
      <c r="CU1235" s="5" t="s">
        <v>260</v>
      </c>
      <c r="CX1235" s="7">
        <f>1</f>
        <v>1</v>
      </c>
      <c r="CY1235" s="7">
        <f>0</f>
        <v>0</v>
      </c>
      <c r="DA1235" s="7">
        <f>0</f>
        <v>0</v>
      </c>
      <c r="DC1235" s="5" t="s">
        <v>812</v>
      </c>
      <c r="DD1235" s="5" t="s">
        <v>240</v>
      </c>
      <c r="DF1235" s="5" t="s">
        <v>812</v>
      </c>
      <c r="DG1235" s="7">
        <f>697</f>
        <v>697</v>
      </c>
      <c r="DI1235" s="5" t="s">
        <v>240</v>
      </c>
      <c r="DJ1235" s="5" t="s">
        <v>240</v>
      </c>
      <c r="DK1235" s="5" t="s">
        <v>240</v>
      </c>
      <c r="DL1235" s="5" t="s">
        <v>240</v>
      </c>
      <c r="DP1235" s="5" t="s">
        <v>240</v>
      </c>
      <c r="DQ1235" s="5" t="s">
        <v>240</v>
      </c>
      <c r="DR1235" s="5" t="s">
        <v>240</v>
      </c>
      <c r="DS1235" s="5" t="s">
        <v>240</v>
      </c>
      <c r="DV1235" s="5" t="s">
        <v>813</v>
      </c>
      <c r="DW1235" s="5" t="s">
        <v>2596</v>
      </c>
      <c r="HO1235" s="5" t="s">
        <v>312</v>
      </c>
    </row>
    <row r="1236" spans="1:223" x14ac:dyDescent="0.4">
      <c r="A1236" s="5">
        <v>2911</v>
      </c>
      <c r="B1236" s="5">
        <v>1</v>
      </c>
      <c r="C1236" s="5">
        <v>1</v>
      </c>
      <c r="D1236" s="5" t="s">
        <v>297</v>
      </c>
      <c r="E1236" s="5" t="s">
        <v>245</v>
      </c>
      <c r="F1236" s="5" t="s">
        <v>254</v>
      </c>
      <c r="G1236" s="5" t="s">
        <v>240</v>
      </c>
      <c r="H1236" s="6" t="s">
        <v>5147</v>
      </c>
      <c r="I1236" s="5" t="s">
        <v>295</v>
      </c>
      <c r="J1236" s="8">
        <f>1352</f>
        <v>1352</v>
      </c>
      <c r="K1236" s="5" t="s">
        <v>308</v>
      </c>
      <c r="L1236" s="7">
        <f>1</f>
        <v>1</v>
      </c>
      <c r="M1236" s="7">
        <f>1</f>
        <v>1</v>
      </c>
      <c r="N1236" s="5" t="s">
        <v>242</v>
      </c>
      <c r="O1236" s="5">
        <v>1</v>
      </c>
      <c r="P1236" s="5" t="s">
        <v>294</v>
      </c>
      <c r="Q1236" s="5" t="s">
        <v>266</v>
      </c>
      <c r="R1236" s="5" t="s">
        <v>240</v>
      </c>
      <c r="S1236" s="5" t="s">
        <v>240</v>
      </c>
      <c r="T1236" s="5" t="s">
        <v>296</v>
      </c>
      <c r="U1236" s="5" t="s">
        <v>244</v>
      </c>
      <c r="V1236" s="5" t="s">
        <v>240</v>
      </c>
      <c r="Y1236" s="5" t="s">
        <v>240</v>
      </c>
      <c r="Z1236" s="6" t="s">
        <v>298</v>
      </c>
      <c r="AB1236" s="6" t="s">
        <v>240</v>
      </c>
      <c r="AE1236" s="6" t="s">
        <v>299</v>
      </c>
      <c r="AF1236" s="5" t="s">
        <v>248</v>
      </c>
      <c r="AG1236" s="5" t="s">
        <v>249</v>
      </c>
      <c r="AW1236" s="5" t="s">
        <v>251</v>
      </c>
      <c r="AX1236" s="5" t="s">
        <v>240</v>
      </c>
      <c r="AY1236" s="5" t="s">
        <v>253</v>
      </c>
      <c r="AZ1236" s="5" t="s">
        <v>240</v>
      </c>
      <c r="BA1236" s="5" t="s">
        <v>255</v>
      </c>
      <c r="BB1236" s="5" t="s">
        <v>240</v>
      </c>
      <c r="BD1236" s="5" t="s">
        <v>240</v>
      </c>
      <c r="BF1236" s="5" t="s">
        <v>301</v>
      </c>
      <c r="BG1236" s="6" t="s">
        <v>299</v>
      </c>
      <c r="BH1236" s="5" t="s">
        <v>302</v>
      </c>
      <c r="BI1236" s="5" t="s">
        <v>303</v>
      </c>
      <c r="BJ1236" s="5" t="s">
        <v>240</v>
      </c>
      <c r="BK1236" s="8">
        <f>0</f>
        <v>0</v>
      </c>
      <c r="BL1236" s="7">
        <f>0</f>
        <v>0</v>
      </c>
      <c r="BM1236" s="5" t="s">
        <v>258</v>
      </c>
      <c r="BN1236" s="5" t="s">
        <v>259</v>
      </c>
      <c r="CB1236" s="5" t="s">
        <v>240</v>
      </c>
      <c r="CC1236" s="5" t="s">
        <v>240</v>
      </c>
      <c r="CG1236" s="5" t="s">
        <v>304</v>
      </c>
      <c r="CH1236" s="5" t="s">
        <v>305</v>
      </c>
      <c r="CI1236" s="5" t="s">
        <v>240</v>
      </c>
      <c r="CL1236" s="6" t="s">
        <v>261</v>
      </c>
      <c r="CM1236" s="5" t="s">
        <v>240</v>
      </c>
      <c r="CN1236" s="5" t="s">
        <v>263</v>
      </c>
      <c r="CO1236" s="5" t="s">
        <v>240</v>
      </c>
      <c r="CP1236" s="5" t="s">
        <v>240</v>
      </c>
      <c r="CQ1236" s="5">
        <v>0</v>
      </c>
      <c r="CR1236" s="5" t="s">
        <v>306</v>
      </c>
      <c r="CS1236" s="5" t="s">
        <v>307</v>
      </c>
      <c r="CT1236" s="5" t="s">
        <v>307</v>
      </c>
      <c r="CU1236" s="5" t="s">
        <v>260</v>
      </c>
      <c r="CX1236" s="7">
        <f>1</f>
        <v>1</v>
      </c>
      <c r="CY1236" s="7">
        <f>0</f>
        <v>0</v>
      </c>
      <c r="DA1236" s="7">
        <f>0</f>
        <v>0</v>
      </c>
      <c r="DC1236" s="5" t="s">
        <v>812</v>
      </c>
      <c r="DD1236" s="5" t="s">
        <v>240</v>
      </c>
      <c r="DF1236" s="5" t="s">
        <v>812</v>
      </c>
      <c r="DG1236" s="7">
        <f>84</f>
        <v>84</v>
      </c>
      <c r="DI1236" s="5" t="s">
        <v>240</v>
      </c>
      <c r="DJ1236" s="5" t="s">
        <v>240</v>
      </c>
      <c r="DK1236" s="5" t="s">
        <v>240</v>
      </c>
      <c r="DL1236" s="5" t="s">
        <v>240</v>
      </c>
      <c r="DP1236" s="5" t="s">
        <v>240</v>
      </c>
      <c r="DQ1236" s="5" t="s">
        <v>240</v>
      </c>
      <c r="DR1236" s="5" t="s">
        <v>240</v>
      </c>
      <c r="DS1236" s="5" t="s">
        <v>240</v>
      </c>
      <c r="DV1236" s="5" t="s">
        <v>813</v>
      </c>
      <c r="DW1236" s="5" t="s">
        <v>2598</v>
      </c>
      <c r="HO1236" s="5" t="s">
        <v>312</v>
      </c>
    </row>
    <row r="1237" spans="1:223" x14ac:dyDescent="0.4">
      <c r="A1237" s="5">
        <v>2912</v>
      </c>
      <c r="B1237" s="5">
        <v>1</v>
      </c>
      <c r="C1237" s="5">
        <v>1</v>
      </c>
      <c r="D1237" s="5" t="s">
        <v>297</v>
      </c>
      <c r="E1237" s="5" t="s">
        <v>245</v>
      </c>
      <c r="F1237" s="5" t="s">
        <v>254</v>
      </c>
      <c r="G1237" s="5" t="s">
        <v>240</v>
      </c>
      <c r="H1237" s="6" t="s">
        <v>4989</v>
      </c>
      <c r="I1237" s="5" t="s">
        <v>295</v>
      </c>
      <c r="J1237" s="8">
        <f>634</f>
        <v>634</v>
      </c>
      <c r="K1237" s="5" t="s">
        <v>308</v>
      </c>
      <c r="L1237" s="7">
        <f>1</f>
        <v>1</v>
      </c>
      <c r="M1237" s="7">
        <f>1</f>
        <v>1</v>
      </c>
      <c r="N1237" s="5" t="s">
        <v>242</v>
      </c>
      <c r="O1237" s="5">
        <v>1</v>
      </c>
      <c r="P1237" s="5" t="s">
        <v>294</v>
      </c>
      <c r="Q1237" s="5" t="s">
        <v>266</v>
      </c>
      <c r="R1237" s="5" t="s">
        <v>240</v>
      </c>
      <c r="S1237" s="5" t="s">
        <v>240</v>
      </c>
      <c r="T1237" s="5" t="s">
        <v>296</v>
      </c>
      <c r="U1237" s="5" t="s">
        <v>244</v>
      </c>
      <c r="V1237" s="5" t="s">
        <v>240</v>
      </c>
      <c r="Y1237" s="5" t="s">
        <v>240</v>
      </c>
      <c r="Z1237" s="6" t="s">
        <v>298</v>
      </c>
      <c r="AB1237" s="6" t="s">
        <v>240</v>
      </c>
      <c r="AE1237" s="6" t="s">
        <v>299</v>
      </c>
      <c r="AF1237" s="5" t="s">
        <v>248</v>
      </c>
      <c r="AG1237" s="5" t="s">
        <v>249</v>
      </c>
      <c r="AW1237" s="5" t="s">
        <v>251</v>
      </c>
      <c r="AX1237" s="5" t="s">
        <v>240</v>
      </c>
      <c r="AY1237" s="5" t="s">
        <v>253</v>
      </c>
      <c r="AZ1237" s="5" t="s">
        <v>240</v>
      </c>
      <c r="BA1237" s="5" t="s">
        <v>255</v>
      </c>
      <c r="BB1237" s="5" t="s">
        <v>240</v>
      </c>
      <c r="BD1237" s="5" t="s">
        <v>240</v>
      </c>
      <c r="BF1237" s="5" t="s">
        <v>301</v>
      </c>
      <c r="BG1237" s="6" t="s">
        <v>299</v>
      </c>
      <c r="BH1237" s="5" t="s">
        <v>302</v>
      </c>
      <c r="BI1237" s="5" t="s">
        <v>303</v>
      </c>
      <c r="BJ1237" s="5" t="s">
        <v>240</v>
      </c>
      <c r="BK1237" s="8">
        <f>0</f>
        <v>0</v>
      </c>
      <c r="BL1237" s="7">
        <f>0</f>
        <v>0</v>
      </c>
      <c r="BM1237" s="5" t="s">
        <v>258</v>
      </c>
      <c r="BN1237" s="5" t="s">
        <v>259</v>
      </c>
      <c r="CB1237" s="5" t="s">
        <v>240</v>
      </c>
      <c r="CC1237" s="5" t="s">
        <v>240</v>
      </c>
      <c r="CG1237" s="5" t="s">
        <v>304</v>
      </c>
      <c r="CH1237" s="5" t="s">
        <v>305</v>
      </c>
      <c r="CI1237" s="5" t="s">
        <v>240</v>
      </c>
      <c r="CL1237" s="6" t="s">
        <v>261</v>
      </c>
      <c r="CM1237" s="5" t="s">
        <v>240</v>
      </c>
      <c r="CN1237" s="5" t="s">
        <v>263</v>
      </c>
      <c r="CO1237" s="5" t="s">
        <v>240</v>
      </c>
      <c r="CP1237" s="5" t="s">
        <v>240</v>
      </c>
      <c r="CQ1237" s="5">
        <v>0</v>
      </c>
      <c r="CR1237" s="5" t="s">
        <v>306</v>
      </c>
      <c r="CS1237" s="5" t="s">
        <v>307</v>
      </c>
      <c r="CT1237" s="5" t="s">
        <v>307</v>
      </c>
      <c r="CU1237" s="5" t="s">
        <v>260</v>
      </c>
      <c r="CX1237" s="7">
        <f>1</f>
        <v>1</v>
      </c>
      <c r="CY1237" s="7">
        <f>0</f>
        <v>0</v>
      </c>
      <c r="DA1237" s="7">
        <f>0</f>
        <v>0</v>
      </c>
      <c r="DC1237" s="5" t="s">
        <v>812</v>
      </c>
      <c r="DD1237" s="5" t="s">
        <v>240</v>
      </c>
      <c r="DF1237" s="5" t="s">
        <v>812</v>
      </c>
      <c r="DG1237" s="7">
        <f>1350</f>
        <v>1350</v>
      </c>
      <c r="DI1237" s="5" t="s">
        <v>240</v>
      </c>
      <c r="DJ1237" s="5" t="s">
        <v>240</v>
      </c>
      <c r="DK1237" s="5" t="s">
        <v>240</v>
      </c>
      <c r="DL1237" s="5" t="s">
        <v>240</v>
      </c>
      <c r="DP1237" s="5" t="s">
        <v>240</v>
      </c>
      <c r="DQ1237" s="5" t="s">
        <v>240</v>
      </c>
      <c r="DR1237" s="5" t="s">
        <v>240</v>
      </c>
      <c r="DS1237" s="5" t="s">
        <v>240</v>
      </c>
      <c r="DV1237" s="5" t="s">
        <v>813</v>
      </c>
      <c r="DW1237" s="5" t="s">
        <v>2600</v>
      </c>
      <c r="HO1237" s="5" t="s">
        <v>312</v>
      </c>
    </row>
    <row r="1238" spans="1:223" x14ac:dyDescent="0.4">
      <c r="A1238" s="5">
        <v>2913</v>
      </c>
      <c r="B1238" s="5">
        <v>1</v>
      </c>
      <c r="C1238" s="5">
        <v>1</v>
      </c>
      <c r="D1238" s="5" t="s">
        <v>297</v>
      </c>
      <c r="E1238" s="5" t="s">
        <v>245</v>
      </c>
      <c r="F1238" s="5" t="s">
        <v>254</v>
      </c>
      <c r="G1238" s="5" t="s">
        <v>240</v>
      </c>
      <c r="H1238" s="6" t="s">
        <v>5148</v>
      </c>
      <c r="I1238" s="5" t="s">
        <v>295</v>
      </c>
      <c r="J1238" s="8">
        <f>36</f>
        <v>36</v>
      </c>
      <c r="K1238" s="5" t="s">
        <v>308</v>
      </c>
      <c r="L1238" s="7">
        <f>1</f>
        <v>1</v>
      </c>
      <c r="M1238" s="7">
        <f>1</f>
        <v>1</v>
      </c>
      <c r="N1238" s="5" t="s">
        <v>242</v>
      </c>
      <c r="O1238" s="5">
        <v>1</v>
      </c>
      <c r="P1238" s="5" t="s">
        <v>294</v>
      </c>
      <c r="Q1238" s="5" t="s">
        <v>266</v>
      </c>
      <c r="R1238" s="5" t="s">
        <v>240</v>
      </c>
      <c r="S1238" s="5" t="s">
        <v>240</v>
      </c>
      <c r="T1238" s="5" t="s">
        <v>296</v>
      </c>
      <c r="U1238" s="5" t="s">
        <v>244</v>
      </c>
      <c r="V1238" s="5" t="s">
        <v>240</v>
      </c>
      <c r="Y1238" s="5" t="s">
        <v>240</v>
      </c>
      <c r="Z1238" s="6" t="s">
        <v>298</v>
      </c>
      <c r="AB1238" s="6" t="s">
        <v>240</v>
      </c>
      <c r="AE1238" s="6" t="s">
        <v>299</v>
      </c>
      <c r="AF1238" s="5" t="s">
        <v>248</v>
      </c>
      <c r="AG1238" s="5" t="s">
        <v>249</v>
      </c>
      <c r="AW1238" s="5" t="s">
        <v>251</v>
      </c>
      <c r="AX1238" s="5" t="s">
        <v>240</v>
      </c>
      <c r="AY1238" s="5" t="s">
        <v>253</v>
      </c>
      <c r="AZ1238" s="5" t="s">
        <v>240</v>
      </c>
      <c r="BA1238" s="5" t="s">
        <v>255</v>
      </c>
      <c r="BB1238" s="5" t="s">
        <v>240</v>
      </c>
      <c r="BD1238" s="5" t="s">
        <v>240</v>
      </c>
      <c r="BF1238" s="5" t="s">
        <v>301</v>
      </c>
      <c r="BG1238" s="6" t="s">
        <v>299</v>
      </c>
      <c r="BH1238" s="5" t="s">
        <v>302</v>
      </c>
      <c r="BI1238" s="5" t="s">
        <v>303</v>
      </c>
      <c r="BJ1238" s="5" t="s">
        <v>240</v>
      </c>
      <c r="BK1238" s="8">
        <f>0</f>
        <v>0</v>
      </c>
      <c r="BL1238" s="7">
        <f>0</f>
        <v>0</v>
      </c>
      <c r="BM1238" s="5" t="s">
        <v>258</v>
      </c>
      <c r="BN1238" s="5" t="s">
        <v>259</v>
      </c>
      <c r="CB1238" s="5" t="s">
        <v>240</v>
      </c>
      <c r="CC1238" s="5" t="s">
        <v>240</v>
      </c>
      <c r="CG1238" s="5" t="s">
        <v>304</v>
      </c>
      <c r="CH1238" s="5" t="s">
        <v>305</v>
      </c>
      <c r="CI1238" s="5" t="s">
        <v>240</v>
      </c>
      <c r="CL1238" s="6" t="s">
        <v>261</v>
      </c>
      <c r="CM1238" s="5" t="s">
        <v>240</v>
      </c>
      <c r="CN1238" s="5" t="s">
        <v>263</v>
      </c>
      <c r="CO1238" s="5" t="s">
        <v>240</v>
      </c>
      <c r="CP1238" s="5" t="s">
        <v>240</v>
      </c>
      <c r="CQ1238" s="5">
        <v>0</v>
      </c>
      <c r="CR1238" s="5" t="s">
        <v>306</v>
      </c>
      <c r="CS1238" s="5" t="s">
        <v>307</v>
      </c>
      <c r="CT1238" s="5" t="s">
        <v>307</v>
      </c>
      <c r="CU1238" s="5" t="s">
        <v>260</v>
      </c>
      <c r="CX1238" s="7">
        <f>1</f>
        <v>1</v>
      </c>
      <c r="CY1238" s="7">
        <f>0</f>
        <v>0</v>
      </c>
      <c r="DA1238" s="7">
        <f>0</f>
        <v>0</v>
      </c>
      <c r="DC1238" s="5" t="s">
        <v>812</v>
      </c>
      <c r="DD1238" s="5" t="s">
        <v>240</v>
      </c>
      <c r="DF1238" s="5" t="s">
        <v>812</v>
      </c>
      <c r="DG1238" s="7">
        <f>357</f>
        <v>357</v>
      </c>
      <c r="DI1238" s="5" t="s">
        <v>240</v>
      </c>
      <c r="DJ1238" s="5" t="s">
        <v>240</v>
      </c>
      <c r="DK1238" s="5" t="s">
        <v>240</v>
      </c>
      <c r="DL1238" s="5" t="s">
        <v>240</v>
      </c>
      <c r="DP1238" s="5" t="s">
        <v>240</v>
      </c>
      <c r="DQ1238" s="5" t="s">
        <v>240</v>
      </c>
      <c r="DR1238" s="5" t="s">
        <v>240</v>
      </c>
      <c r="DS1238" s="5" t="s">
        <v>240</v>
      </c>
      <c r="DV1238" s="5" t="s">
        <v>813</v>
      </c>
      <c r="DW1238" s="5" t="s">
        <v>2602</v>
      </c>
      <c r="HO1238" s="5" t="s">
        <v>312</v>
      </c>
    </row>
    <row r="1239" spans="1:223" x14ac:dyDescent="0.4">
      <c r="A1239" s="5">
        <v>2914</v>
      </c>
      <c r="B1239" s="5">
        <v>1</v>
      </c>
      <c r="C1239" s="5">
        <v>1</v>
      </c>
      <c r="D1239" s="5" t="s">
        <v>297</v>
      </c>
      <c r="E1239" s="5" t="s">
        <v>245</v>
      </c>
      <c r="F1239" s="5" t="s">
        <v>254</v>
      </c>
      <c r="G1239" s="5" t="s">
        <v>240</v>
      </c>
      <c r="H1239" s="6" t="s">
        <v>5149</v>
      </c>
      <c r="I1239" s="5" t="s">
        <v>295</v>
      </c>
      <c r="J1239" s="8">
        <f>433</f>
        <v>433</v>
      </c>
      <c r="K1239" s="5" t="s">
        <v>308</v>
      </c>
      <c r="L1239" s="7">
        <f>1</f>
        <v>1</v>
      </c>
      <c r="M1239" s="7">
        <f>1</f>
        <v>1</v>
      </c>
      <c r="N1239" s="5" t="s">
        <v>242</v>
      </c>
      <c r="O1239" s="5">
        <v>1</v>
      </c>
      <c r="P1239" s="5" t="s">
        <v>294</v>
      </c>
      <c r="Q1239" s="5" t="s">
        <v>266</v>
      </c>
      <c r="R1239" s="5" t="s">
        <v>240</v>
      </c>
      <c r="S1239" s="5" t="s">
        <v>240</v>
      </c>
      <c r="T1239" s="5" t="s">
        <v>296</v>
      </c>
      <c r="U1239" s="5" t="s">
        <v>244</v>
      </c>
      <c r="V1239" s="5" t="s">
        <v>240</v>
      </c>
      <c r="Y1239" s="5" t="s">
        <v>240</v>
      </c>
      <c r="Z1239" s="6" t="s">
        <v>298</v>
      </c>
      <c r="AB1239" s="6" t="s">
        <v>240</v>
      </c>
      <c r="AE1239" s="6" t="s">
        <v>299</v>
      </c>
      <c r="AF1239" s="5" t="s">
        <v>248</v>
      </c>
      <c r="AG1239" s="5" t="s">
        <v>249</v>
      </c>
      <c r="AW1239" s="5" t="s">
        <v>251</v>
      </c>
      <c r="AX1239" s="5" t="s">
        <v>240</v>
      </c>
      <c r="AY1239" s="5" t="s">
        <v>253</v>
      </c>
      <c r="AZ1239" s="5" t="s">
        <v>240</v>
      </c>
      <c r="BA1239" s="5" t="s">
        <v>255</v>
      </c>
      <c r="BB1239" s="5" t="s">
        <v>240</v>
      </c>
      <c r="BD1239" s="5" t="s">
        <v>240</v>
      </c>
      <c r="BF1239" s="5" t="s">
        <v>301</v>
      </c>
      <c r="BG1239" s="6" t="s">
        <v>299</v>
      </c>
      <c r="BH1239" s="5" t="s">
        <v>302</v>
      </c>
      <c r="BI1239" s="5" t="s">
        <v>303</v>
      </c>
      <c r="BJ1239" s="5" t="s">
        <v>240</v>
      </c>
      <c r="BK1239" s="8">
        <f>0</f>
        <v>0</v>
      </c>
      <c r="BL1239" s="7">
        <f>0</f>
        <v>0</v>
      </c>
      <c r="BM1239" s="5" t="s">
        <v>258</v>
      </c>
      <c r="BN1239" s="5" t="s">
        <v>259</v>
      </c>
      <c r="CB1239" s="5" t="s">
        <v>240</v>
      </c>
      <c r="CC1239" s="5" t="s">
        <v>240</v>
      </c>
      <c r="CG1239" s="5" t="s">
        <v>304</v>
      </c>
      <c r="CH1239" s="5" t="s">
        <v>305</v>
      </c>
      <c r="CI1239" s="5" t="s">
        <v>240</v>
      </c>
      <c r="CL1239" s="6" t="s">
        <v>261</v>
      </c>
      <c r="CM1239" s="5" t="s">
        <v>240</v>
      </c>
      <c r="CN1239" s="5" t="s">
        <v>263</v>
      </c>
      <c r="CO1239" s="5" t="s">
        <v>240</v>
      </c>
      <c r="CP1239" s="5" t="s">
        <v>240</v>
      </c>
      <c r="CQ1239" s="5">
        <v>0</v>
      </c>
      <c r="CR1239" s="5" t="s">
        <v>306</v>
      </c>
      <c r="CS1239" s="5" t="s">
        <v>307</v>
      </c>
      <c r="CT1239" s="5" t="s">
        <v>307</v>
      </c>
      <c r="CU1239" s="5" t="s">
        <v>260</v>
      </c>
      <c r="CX1239" s="7">
        <f>1</f>
        <v>1</v>
      </c>
      <c r="CY1239" s="7">
        <f>0</f>
        <v>0</v>
      </c>
      <c r="DA1239" s="7">
        <f>0</f>
        <v>0</v>
      </c>
      <c r="DC1239" s="5" t="s">
        <v>812</v>
      </c>
      <c r="DD1239" s="5" t="s">
        <v>240</v>
      </c>
      <c r="DF1239" s="5" t="s">
        <v>812</v>
      </c>
      <c r="DG1239" s="7">
        <f>2000</f>
        <v>2000</v>
      </c>
      <c r="DI1239" s="5" t="s">
        <v>240</v>
      </c>
      <c r="DJ1239" s="5" t="s">
        <v>240</v>
      </c>
      <c r="DK1239" s="5" t="s">
        <v>240</v>
      </c>
      <c r="DL1239" s="5" t="s">
        <v>240</v>
      </c>
      <c r="DP1239" s="5" t="s">
        <v>240</v>
      </c>
      <c r="DQ1239" s="5" t="s">
        <v>240</v>
      </c>
      <c r="DR1239" s="5" t="s">
        <v>240</v>
      </c>
      <c r="DS1239" s="5" t="s">
        <v>240</v>
      </c>
      <c r="DV1239" s="5" t="s">
        <v>813</v>
      </c>
      <c r="DW1239" s="5" t="s">
        <v>2604</v>
      </c>
      <c r="HO1239" s="5" t="s">
        <v>312</v>
      </c>
    </row>
    <row r="1240" spans="1:223" x14ac:dyDescent="0.4">
      <c r="A1240" s="5">
        <v>2915</v>
      </c>
      <c r="B1240" s="5">
        <v>1</v>
      </c>
      <c r="C1240" s="5">
        <v>1</v>
      </c>
      <c r="D1240" s="5" t="s">
        <v>297</v>
      </c>
      <c r="E1240" s="5" t="s">
        <v>245</v>
      </c>
      <c r="F1240" s="5" t="s">
        <v>254</v>
      </c>
      <c r="G1240" s="5" t="s">
        <v>240</v>
      </c>
      <c r="H1240" s="6" t="s">
        <v>5150</v>
      </c>
      <c r="I1240" s="5" t="s">
        <v>295</v>
      </c>
      <c r="J1240" s="8">
        <f>1861</f>
        <v>1861</v>
      </c>
      <c r="K1240" s="5" t="s">
        <v>308</v>
      </c>
      <c r="L1240" s="7">
        <f>1</f>
        <v>1</v>
      </c>
      <c r="M1240" s="7">
        <f>1</f>
        <v>1</v>
      </c>
      <c r="N1240" s="5" t="s">
        <v>242</v>
      </c>
      <c r="O1240" s="5">
        <v>1</v>
      </c>
      <c r="P1240" s="5" t="s">
        <v>294</v>
      </c>
      <c r="Q1240" s="5" t="s">
        <v>266</v>
      </c>
      <c r="R1240" s="5" t="s">
        <v>240</v>
      </c>
      <c r="S1240" s="5" t="s">
        <v>240</v>
      </c>
      <c r="T1240" s="5" t="s">
        <v>296</v>
      </c>
      <c r="U1240" s="5" t="s">
        <v>244</v>
      </c>
      <c r="V1240" s="5" t="s">
        <v>240</v>
      </c>
      <c r="Y1240" s="5" t="s">
        <v>240</v>
      </c>
      <c r="Z1240" s="6" t="s">
        <v>298</v>
      </c>
      <c r="AB1240" s="6" t="s">
        <v>240</v>
      </c>
      <c r="AE1240" s="6" t="s">
        <v>299</v>
      </c>
      <c r="AF1240" s="5" t="s">
        <v>248</v>
      </c>
      <c r="AG1240" s="5" t="s">
        <v>249</v>
      </c>
      <c r="AW1240" s="5" t="s">
        <v>251</v>
      </c>
      <c r="AX1240" s="5" t="s">
        <v>240</v>
      </c>
      <c r="AY1240" s="5" t="s">
        <v>253</v>
      </c>
      <c r="AZ1240" s="5" t="s">
        <v>240</v>
      </c>
      <c r="BA1240" s="5" t="s">
        <v>255</v>
      </c>
      <c r="BB1240" s="5" t="s">
        <v>240</v>
      </c>
      <c r="BD1240" s="5" t="s">
        <v>240</v>
      </c>
      <c r="BF1240" s="5" t="s">
        <v>301</v>
      </c>
      <c r="BG1240" s="6" t="s">
        <v>299</v>
      </c>
      <c r="BH1240" s="5" t="s">
        <v>302</v>
      </c>
      <c r="BI1240" s="5" t="s">
        <v>303</v>
      </c>
      <c r="BJ1240" s="5" t="s">
        <v>240</v>
      </c>
      <c r="BK1240" s="8">
        <f>0</f>
        <v>0</v>
      </c>
      <c r="BL1240" s="7">
        <f>0</f>
        <v>0</v>
      </c>
      <c r="BM1240" s="5" t="s">
        <v>258</v>
      </c>
      <c r="BN1240" s="5" t="s">
        <v>259</v>
      </c>
      <c r="CB1240" s="5" t="s">
        <v>240</v>
      </c>
      <c r="CC1240" s="5" t="s">
        <v>240</v>
      </c>
      <c r="CG1240" s="5" t="s">
        <v>304</v>
      </c>
      <c r="CH1240" s="5" t="s">
        <v>305</v>
      </c>
      <c r="CI1240" s="5" t="s">
        <v>240</v>
      </c>
      <c r="CL1240" s="6" t="s">
        <v>261</v>
      </c>
      <c r="CM1240" s="5" t="s">
        <v>240</v>
      </c>
      <c r="CN1240" s="5" t="s">
        <v>263</v>
      </c>
      <c r="CO1240" s="5" t="s">
        <v>240</v>
      </c>
      <c r="CP1240" s="5" t="s">
        <v>240</v>
      </c>
      <c r="CQ1240" s="5">
        <v>0</v>
      </c>
      <c r="CR1240" s="5" t="s">
        <v>306</v>
      </c>
      <c r="CS1240" s="5" t="s">
        <v>307</v>
      </c>
      <c r="CT1240" s="5" t="s">
        <v>307</v>
      </c>
      <c r="CU1240" s="5" t="s">
        <v>260</v>
      </c>
      <c r="CX1240" s="7">
        <f>1</f>
        <v>1</v>
      </c>
      <c r="CY1240" s="7">
        <f>0</f>
        <v>0</v>
      </c>
      <c r="DA1240" s="7">
        <f>0</f>
        <v>0</v>
      </c>
      <c r="DC1240" s="5" t="s">
        <v>812</v>
      </c>
      <c r="DD1240" s="5" t="s">
        <v>240</v>
      </c>
      <c r="DF1240" s="5" t="s">
        <v>812</v>
      </c>
      <c r="DG1240" s="7">
        <f>1207</f>
        <v>1207</v>
      </c>
      <c r="DI1240" s="5" t="s">
        <v>240</v>
      </c>
      <c r="DJ1240" s="5" t="s">
        <v>240</v>
      </c>
      <c r="DK1240" s="5" t="s">
        <v>240</v>
      </c>
      <c r="DL1240" s="5" t="s">
        <v>240</v>
      </c>
      <c r="DP1240" s="5" t="s">
        <v>240</v>
      </c>
      <c r="DQ1240" s="5" t="s">
        <v>240</v>
      </c>
      <c r="DR1240" s="5" t="s">
        <v>240</v>
      </c>
      <c r="DS1240" s="5" t="s">
        <v>240</v>
      </c>
      <c r="DV1240" s="5" t="s">
        <v>813</v>
      </c>
      <c r="DW1240" s="5" t="s">
        <v>2606</v>
      </c>
      <c r="HO1240" s="5" t="s">
        <v>312</v>
      </c>
    </row>
    <row r="1241" spans="1:223" x14ac:dyDescent="0.4">
      <c r="A1241" s="5">
        <v>2916</v>
      </c>
      <c r="B1241" s="5">
        <v>1</v>
      </c>
      <c r="C1241" s="5">
        <v>1</v>
      </c>
      <c r="D1241" s="5" t="s">
        <v>297</v>
      </c>
      <c r="E1241" s="5" t="s">
        <v>245</v>
      </c>
      <c r="F1241" s="5" t="s">
        <v>254</v>
      </c>
      <c r="G1241" s="5" t="s">
        <v>240</v>
      </c>
      <c r="H1241" s="6" t="s">
        <v>4985</v>
      </c>
      <c r="I1241" s="5" t="s">
        <v>295</v>
      </c>
      <c r="J1241" s="8">
        <f>741</f>
        <v>741</v>
      </c>
      <c r="K1241" s="5" t="s">
        <v>308</v>
      </c>
      <c r="L1241" s="7">
        <f>1</f>
        <v>1</v>
      </c>
      <c r="M1241" s="7">
        <f>1</f>
        <v>1</v>
      </c>
      <c r="N1241" s="5" t="s">
        <v>242</v>
      </c>
      <c r="O1241" s="5">
        <v>1</v>
      </c>
      <c r="P1241" s="5" t="s">
        <v>294</v>
      </c>
      <c r="Q1241" s="5" t="s">
        <v>266</v>
      </c>
      <c r="R1241" s="5" t="s">
        <v>240</v>
      </c>
      <c r="S1241" s="5" t="s">
        <v>240</v>
      </c>
      <c r="T1241" s="5" t="s">
        <v>296</v>
      </c>
      <c r="U1241" s="5" t="s">
        <v>244</v>
      </c>
      <c r="V1241" s="5" t="s">
        <v>240</v>
      </c>
      <c r="Y1241" s="5" t="s">
        <v>240</v>
      </c>
      <c r="Z1241" s="6" t="s">
        <v>298</v>
      </c>
      <c r="AB1241" s="6" t="s">
        <v>240</v>
      </c>
      <c r="AE1241" s="6" t="s">
        <v>299</v>
      </c>
      <c r="AF1241" s="5" t="s">
        <v>248</v>
      </c>
      <c r="AG1241" s="5" t="s">
        <v>249</v>
      </c>
      <c r="AW1241" s="5" t="s">
        <v>251</v>
      </c>
      <c r="AX1241" s="5" t="s">
        <v>240</v>
      </c>
      <c r="AY1241" s="5" t="s">
        <v>253</v>
      </c>
      <c r="AZ1241" s="5" t="s">
        <v>240</v>
      </c>
      <c r="BA1241" s="5" t="s">
        <v>255</v>
      </c>
      <c r="BB1241" s="5" t="s">
        <v>240</v>
      </c>
      <c r="BD1241" s="5" t="s">
        <v>240</v>
      </c>
      <c r="BF1241" s="5" t="s">
        <v>301</v>
      </c>
      <c r="BG1241" s="6" t="s">
        <v>299</v>
      </c>
      <c r="BH1241" s="5" t="s">
        <v>302</v>
      </c>
      <c r="BI1241" s="5" t="s">
        <v>303</v>
      </c>
      <c r="BJ1241" s="5" t="s">
        <v>240</v>
      </c>
      <c r="BK1241" s="8">
        <f>0</f>
        <v>0</v>
      </c>
      <c r="BL1241" s="7">
        <f>0</f>
        <v>0</v>
      </c>
      <c r="BM1241" s="5" t="s">
        <v>258</v>
      </c>
      <c r="BN1241" s="5" t="s">
        <v>259</v>
      </c>
      <c r="CB1241" s="5" t="s">
        <v>240</v>
      </c>
      <c r="CC1241" s="5" t="s">
        <v>240</v>
      </c>
      <c r="CG1241" s="5" t="s">
        <v>304</v>
      </c>
      <c r="CH1241" s="5" t="s">
        <v>305</v>
      </c>
      <c r="CI1241" s="5" t="s">
        <v>240</v>
      </c>
      <c r="CL1241" s="6" t="s">
        <v>261</v>
      </c>
      <c r="CM1241" s="5" t="s">
        <v>240</v>
      </c>
      <c r="CN1241" s="5" t="s">
        <v>263</v>
      </c>
      <c r="CO1241" s="5" t="s">
        <v>240</v>
      </c>
      <c r="CP1241" s="5" t="s">
        <v>240</v>
      </c>
      <c r="CQ1241" s="5">
        <v>0</v>
      </c>
      <c r="CR1241" s="5" t="s">
        <v>306</v>
      </c>
      <c r="CS1241" s="5" t="s">
        <v>307</v>
      </c>
      <c r="CT1241" s="5" t="s">
        <v>307</v>
      </c>
      <c r="CU1241" s="5" t="s">
        <v>260</v>
      </c>
      <c r="CX1241" s="7">
        <f>1</f>
        <v>1</v>
      </c>
      <c r="CY1241" s="7">
        <f>0</f>
        <v>0</v>
      </c>
      <c r="DA1241" s="7">
        <f>0</f>
        <v>0</v>
      </c>
      <c r="DC1241" s="5" t="s">
        <v>812</v>
      </c>
      <c r="DD1241" s="5" t="s">
        <v>240</v>
      </c>
      <c r="DF1241" s="5" t="s">
        <v>812</v>
      </c>
      <c r="DG1241" s="7">
        <f>1759</f>
        <v>1759</v>
      </c>
      <c r="DI1241" s="5" t="s">
        <v>240</v>
      </c>
      <c r="DJ1241" s="5" t="s">
        <v>240</v>
      </c>
      <c r="DK1241" s="5" t="s">
        <v>240</v>
      </c>
      <c r="DL1241" s="5" t="s">
        <v>240</v>
      </c>
      <c r="DP1241" s="5" t="s">
        <v>240</v>
      </c>
      <c r="DQ1241" s="5" t="s">
        <v>240</v>
      </c>
      <c r="DR1241" s="5" t="s">
        <v>240</v>
      </c>
      <c r="DS1241" s="5" t="s">
        <v>240</v>
      </c>
      <c r="DV1241" s="5" t="s">
        <v>813</v>
      </c>
      <c r="DW1241" s="5" t="s">
        <v>2608</v>
      </c>
      <c r="HO1241" s="5" t="s">
        <v>312</v>
      </c>
    </row>
    <row r="1242" spans="1:223" x14ac:dyDescent="0.4">
      <c r="A1242" s="5">
        <v>2917</v>
      </c>
      <c r="B1242" s="5">
        <v>1</v>
      </c>
      <c r="C1242" s="5">
        <v>1</v>
      </c>
      <c r="D1242" s="5" t="s">
        <v>297</v>
      </c>
      <c r="E1242" s="5" t="s">
        <v>245</v>
      </c>
      <c r="F1242" s="5" t="s">
        <v>254</v>
      </c>
      <c r="G1242" s="5" t="s">
        <v>240</v>
      </c>
      <c r="H1242" s="6" t="s">
        <v>5153</v>
      </c>
      <c r="I1242" s="5" t="s">
        <v>295</v>
      </c>
      <c r="J1242" s="8">
        <f>1065</f>
        <v>1065</v>
      </c>
      <c r="K1242" s="5" t="s">
        <v>308</v>
      </c>
      <c r="L1242" s="7">
        <f>1</f>
        <v>1</v>
      </c>
      <c r="M1242" s="7">
        <f>1</f>
        <v>1</v>
      </c>
      <c r="N1242" s="5" t="s">
        <v>242</v>
      </c>
      <c r="O1242" s="5">
        <v>1</v>
      </c>
      <c r="P1242" s="5" t="s">
        <v>294</v>
      </c>
      <c r="Q1242" s="5" t="s">
        <v>266</v>
      </c>
      <c r="R1242" s="5" t="s">
        <v>240</v>
      </c>
      <c r="S1242" s="5" t="s">
        <v>240</v>
      </c>
      <c r="T1242" s="5" t="s">
        <v>296</v>
      </c>
      <c r="U1242" s="5" t="s">
        <v>244</v>
      </c>
      <c r="V1242" s="5" t="s">
        <v>240</v>
      </c>
      <c r="Y1242" s="5" t="s">
        <v>240</v>
      </c>
      <c r="Z1242" s="6" t="s">
        <v>298</v>
      </c>
      <c r="AB1242" s="6" t="s">
        <v>240</v>
      </c>
      <c r="AE1242" s="6" t="s">
        <v>299</v>
      </c>
      <c r="AF1242" s="5" t="s">
        <v>248</v>
      </c>
      <c r="AG1242" s="5" t="s">
        <v>249</v>
      </c>
      <c r="AW1242" s="5" t="s">
        <v>251</v>
      </c>
      <c r="AX1242" s="5" t="s">
        <v>240</v>
      </c>
      <c r="AY1242" s="5" t="s">
        <v>253</v>
      </c>
      <c r="AZ1242" s="5" t="s">
        <v>240</v>
      </c>
      <c r="BA1242" s="5" t="s">
        <v>255</v>
      </c>
      <c r="BB1242" s="5" t="s">
        <v>240</v>
      </c>
      <c r="BD1242" s="5" t="s">
        <v>240</v>
      </c>
      <c r="BF1242" s="5" t="s">
        <v>301</v>
      </c>
      <c r="BG1242" s="6" t="s">
        <v>299</v>
      </c>
      <c r="BH1242" s="5" t="s">
        <v>302</v>
      </c>
      <c r="BI1242" s="5" t="s">
        <v>303</v>
      </c>
      <c r="BJ1242" s="5" t="s">
        <v>240</v>
      </c>
      <c r="BK1242" s="8">
        <f>0</f>
        <v>0</v>
      </c>
      <c r="BL1242" s="7">
        <f>0</f>
        <v>0</v>
      </c>
      <c r="BM1242" s="5" t="s">
        <v>258</v>
      </c>
      <c r="BN1242" s="5" t="s">
        <v>259</v>
      </c>
      <c r="CB1242" s="5" t="s">
        <v>240</v>
      </c>
      <c r="CC1242" s="5" t="s">
        <v>240</v>
      </c>
      <c r="CG1242" s="5" t="s">
        <v>304</v>
      </c>
      <c r="CH1242" s="5" t="s">
        <v>305</v>
      </c>
      <c r="CI1242" s="5" t="s">
        <v>240</v>
      </c>
      <c r="CL1242" s="6" t="s">
        <v>261</v>
      </c>
      <c r="CM1242" s="5" t="s">
        <v>240</v>
      </c>
      <c r="CN1242" s="5" t="s">
        <v>263</v>
      </c>
      <c r="CO1242" s="5" t="s">
        <v>240</v>
      </c>
      <c r="CP1242" s="5" t="s">
        <v>240</v>
      </c>
      <c r="CQ1242" s="5">
        <v>0</v>
      </c>
      <c r="CR1242" s="5" t="s">
        <v>306</v>
      </c>
      <c r="CS1242" s="5" t="s">
        <v>307</v>
      </c>
      <c r="CT1242" s="5" t="s">
        <v>307</v>
      </c>
      <c r="CU1242" s="5" t="s">
        <v>260</v>
      </c>
      <c r="CX1242" s="7">
        <f>1</f>
        <v>1</v>
      </c>
      <c r="CY1242" s="7">
        <f>0</f>
        <v>0</v>
      </c>
      <c r="DA1242" s="7">
        <f>0</f>
        <v>0</v>
      </c>
      <c r="DC1242" s="5" t="s">
        <v>812</v>
      </c>
      <c r="DD1242" s="5" t="s">
        <v>240</v>
      </c>
      <c r="DF1242" s="5" t="s">
        <v>812</v>
      </c>
      <c r="DG1242" s="7">
        <f>1816</f>
        <v>1816</v>
      </c>
      <c r="DI1242" s="5" t="s">
        <v>240</v>
      </c>
      <c r="DJ1242" s="5" t="s">
        <v>240</v>
      </c>
      <c r="DK1242" s="5" t="s">
        <v>240</v>
      </c>
      <c r="DL1242" s="5" t="s">
        <v>240</v>
      </c>
      <c r="DP1242" s="5" t="s">
        <v>240</v>
      </c>
      <c r="DQ1242" s="5" t="s">
        <v>240</v>
      </c>
      <c r="DR1242" s="5" t="s">
        <v>240</v>
      </c>
      <c r="DS1242" s="5" t="s">
        <v>240</v>
      </c>
      <c r="DV1242" s="5" t="s">
        <v>813</v>
      </c>
      <c r="DW1242" s="5" t="s">
        <v>2610</v>
      </c>
      <c r="HO1242" s="5" t="s">
        <v>312</v>
      </c>
    </row>
    <row r="1243" spans="1:223" x14ac:dyDescent="0.4">
      <c r="A1243" s="5">
        <v>2918</v>
      </c>
      <c r="B1243" s="5">
        <v>1</v>
      </c>
      <c r="C1243" s="5">
        <v>1</v>
      </c>
      <c r="D1243" s="5" t="s">
        <v>297</v>
      </c>
      <c r="E1243" s="5" t="s">
        <v>245</v>
      </c>
      <c r="F1243" s="5" t="s">
        <v>254</v>
      </c>
      <c r="G1243" s="5" t="s">
        <v>240</v>
      </c>
      <c r="H1243" s="6" t="s">
        <v>5154</v>
      </c>
      <c r="I1243" s="5" t="s">
        <v>295</v>
      </c>
      <c r="J1243" s="8">
        <f>1569</f>
        <v>1569</v>
      </c>
      <c r="K1243" s="5" t="s">
        <v>308</v>
      </c>
      <c r="L1243" s="7">
        <f>1</f>
        <v>1</v>
      </c>
      <c r="M1243" s="7">
        <f>1</f>
        <v>1</v>
      </c>
      <c r="N1243" s="5" t="s">
        <v>242</v>
      </c>
      <c r="O1243" s="5">
        <v>1</v>
      </c>
      <c r="P1243" s="5" t="s">
        <v>294</v>
      </c>
      <c r="Q1243" s="5" t="s">
        <v>266</v>
      </c>
      <c r="R1243" s="5" t="s">
        <v>240</v>
      </c>
      <c r="S1243" s="5" t="s">
        <v>240</v>
      </c>
      <c r="T1243" s="5" t="s">
        <v>296</v>
      </c>
      <c r="U1243" s="5" t="s">
        <v>244</v>
      </c>
      <c r="V1243" s="5" t="s">
        <v>240</v>
      </c>
      <c r="Y1243" s="5" t="s">
        <v>240</v>
      </c>
      <c r="Z1243" s="6" t="s">
        <v>298</v>
      </c>
      <c r="AB1243" s="6" t="s">
        <v>240</v>
      </c>
      <c r="AE1243" s="6" t="s">
        <v>299</v>
      </c>
      <c r="AF1243" s="5" t="s">
        <v>248</v>
      </c>
      <c r="AG1243" s="5" t="s">
        <v>249</v>
      </c>
      <c r="AW1243" s="5" t="s">
        <v>251</v>
      </c>
      <c r="AX1243" s="5" t="s">
        <v>240</v>
      </c>
      <c r="AY1243" s="5" t="s">
        <v>253</v>
      </c>
      <c r="AZ1243" s="5" t="s">
        <v>240</v>
      </c>
      <c r="BA1243" s="5" t="s">
        <v>255</v>
      </c>
      <c r="BB1243" s="5" t="s">
        <v>240</v>
      </c>
      <c r="BD1243" s="5" t="s">
        <v>240</v>
      </c>
      <c r="BF1243" s="5" t="s">
        <v>301</v>
      </c>
      <c r="BG1243" s="6" t="s">
        <v>299</v>
      </c>
      <c r="BH1243" s="5" t="s">
        <v>302</v>
      </c>
      <c r="BI1243" s="5" t="s">
        <v>303</v>
      </c>
      <c r="BJ1243" s="5" t="s">
        <v>240</v>
      </c>
      <c r="BK1243" s="8">
        <f>0</f>
        <v>0</v>
      </c>
      <c r="BL1243" s="7">
        <f>0</f>
        <v>0</v>
      </c>
      <c r="BM1243" s="5" t="s">
        <v>258</v>
      </c>
      <c r="BN1243" s="5" t="s">
        <v>259</v>
      </c>
      <c r="CB1243" s="5" t="s">
        <v>240</v>
      </c>
      <c r="CC1243" s="5" t="s">
        <v>240</v>
      </c>
      <c r="CG1243" s="5" t="s">
        <v>304</v>
      </c>
      <c r="CH1243" s="5" t="s">
        <v>305</v>
      </c>
      <c r="CI1243" s="5" t="s">
        <v>240</v>
      </c>
      <c r="CL1243" s="6" t="s">
        <v>261</v>
      </c>
      <c r="CM1243" s="5" t="s">
        <v>240</v>
      </c>
      <c r="CN1243" s="5" t="s">
        <v>263</v>
      </c>
      <c r="CO1243" s="5" t="s">
        <v>240</v>
      </c>
      <c r="CP1243" s="5" t="s">
        <v>240</v>
      </c>
      <c r="CQ1243" s="5">
        <v>0</v>
      </c>
      <c r="CR1243" s="5" t="s">
        <v>306</v>
      </c>
      <c r="CS1243" s="5" t="s">
        <v>307</v>
      </c>
      <c r="CT1243" s="5" t="s">
        <v>307</v>
      </c>
      <c r="CU1243" s="5" t="s">
        <v>260</v>
      </c>
      <c r="CX1243" s="7">
        <f>1</f>
        <v>1</v>
      </c>
      <c r="CY1243" s="7">
        <f>0</f>
        <v>0</v>
      </c>
      <c r="DA1243" s="7">
        <f>0</f>
        <v>0</v>
      </c>
      <c r="DC1243" s="5" t="s">
        <v>812</v>
      </c>
      <c r="DD1243" s="5" t="s">
        <v>240</v>
      </c>
      <c r="DF1243" s="5" t="s">
        <v>812</v>
      </c>
      <c r="DG1243" s="7">
        <f>1883</f>
        <v>1883</v>
      </c>
      <c r="DI1243" s="5" t="s">
        <v>240</v>
      </c>
      <c r="DJ1243" s="5" t="s">
        <v>240</v>
      </c>
      <c r="DK1243" s="5" t="s">
        <v>240</v>
      </c>
      <c r="DL1243" s="5" t="s">
        <v>240</v>
      </c>
      <c r="DP1243" s="5" t="s">
        <v>240</v>
      </c>
      <c r="DQ1243" s="5" t="s">
        <v>240</v>
      </c>
      <c r="DR1243" s="5" t="s">
        <v>240</v>
      </c>
      <c r="DS1243" s="5" t="s">
        <v>240</v>
      </c>
      <c r="DV1243" s="5" t="s">
        <v>813</v>
      </c>
      <c r="DW1243" s="5" t="s">
        <v>2612</v>
      </c>
      <c r="HO1243" s="5" t="s">
        <v>312</v>
      </c>
    </row>
    <row r="1244" spans="1:223" x14ac:dyDescent="0.4">
      <c r="A1244" s="5">
        <v>2919</v>
      </c>
      <c r="B1244" s="5">
        <v>1</v>
      </c>
      <c r="C1244" s="5">
        <v>1</v>
      </c>
      <c r="D1244" s="5" t="s">
        <v>297</v>
      </c>
      <c r="E1244" s="5" t="s">
        <v>245</v>
      </c>
      <c r="F1244" s="5" t="s">
        <v>254</v>
      </c>
      <c r="G1244" s="5" t="s">
        <v>240</v>
      </c>
      <c r="H1244" s="6" t="s">
        <v>5155</v>
      </c>
      <c r="I1244" s="5" t="s">
        <v>295</v>
      </c>
      <c r="J1244" s="8">
        <f>787</f>
        <v>787</v>
      </c>
      <c r="K1244" s="5" t="s">
        <v>308</v>
      </c>
      <c r="L1244" s="7">
        <f>1</f>
        <v>1</v>
      </c>
      <c r="M1244" s="7">
        <f>1</f>
        <v>1</v>
      </c>
      <c r="N1244" s="5" t="s">
        <v>242</v>
      </c>
      <c r="O1244" s="5">
        <v>1</v>
      </c>
      <c r="P1244" s="5" t="s">
        <v>294</v>
      </c>
      <c r="Q1244" s="5" t="s">
        <v>266</v>
      </c>
      <c r="R1244" s="5" t="s">
        <v>240</v>
      </c>
      <c r="S1244" s="5" t="s">
        <v>240</v>
      </c>
      <c r="T1244" s="5" t="s">
        <v>296</v>
      </c>
      <c r="U1244" s="5" t="s">
        <v>244</v>
      </c>
      <c r="V1244" s="5" t="s">
        <v>240</v>
      </c>
      <c r="Y1244" s="5" t="s">
        <v>240</v>
      </c>
      <c r="Z1244" s="6" t="s">
        <v>298</v>
      </c>
      <c r="AB1244" s="6" t="s">
        <v>240</v>
      </c>
      <c r="AE1244" s="6" t="s">
        <v>299</v>
      </c>
      <c r="AF1244" s="5" t="s">
        <v>248</v>
      </c>
      <c r="AG1244" s="5" t="s">
        <v>249</v>
      </c>
      <c r="AW1244" s="5" t="s">
        <v>251</v>
      </c>
      <c r="AX1244" s="5" t="s">
        <v>240</v>
      </c>
      <c r="AY1244" s="5" t="s">
        <v>253</v>
      </c>
      <c r="AZ1244" s="5" t="s">
        <v>240</v>
      </c>
      <c r="BA1244" s="5" t="s">
        <v>255</v>
      </c>
      <c r="BB1244" s="5" t="s">
        <v>240</v>
      </c>
      <c r="BD1244" s="5" t="s">
        <v>240</v>
      </c>
      <c r="BF1244" s="5" t="s">
        <v>301</v>
      </c>
      <c r="BG1244" s="6" t="s">
        <v>299</v>
      </c>
      <c r="BH1244" s="5" t="s">
        <v>302</v>
      </c>
      <c r="BI1244" s="5" t="s">
        <v>303</v>
      </c>
      <c r="BJ1244" s="5" t="s">
        <v>240</v>
      </c>
      <c r="BK1244" s="8">
        <f>0</f>
        <v>0</v>
      </c>
      <c r="BL1244" s="7">
        <f>0</f>
        <v>0</v>
      </c>
      <c r="BM1244" s="5" t="s">
        <v>258</v>
      </c>
      <c r="BN1244" s="5" t="s">
        <v>259</v>
      </c>
      <c r="CB1244" s="5" t="s">
        <v>240</v>
      </c>
      <c r="CC1244" s="5" t="s">
        <v>240</v>
      </c>
      <c r="CG1244" s="5" t="s">
        <v>304</v>
      </c>
      <c r="CH1244" s="5" t="s">
        <v>305</v>
      </c>
      <c r="CI1244" s="5" t="s">
        <v>240</v>
      </c>
      <c r="CL1244" s="6" t="s">
        <v>261</v>
      </c>
      <c r="CM1244" s="5" t="s">
        <v>240</v>
      </c>
      <c r="CN1244" s="5" t="s">
        <v>263</v>
      </c>
      <c r="CO1244" s="5" t="s">
        <v>240</v>
      </c>
      <c r="CP1244" s="5" t="s">
        <v>240</v>
      </c>
      <c r="CQ1244" s="5">
        <v>0</v>
      </c>
      <c r="CR1244" s="5" t="s">
        <v>306</v>
      </c>
      <c r="CS1244" s="5" t="s">
        <v>307</v>
      </c>
      <c r="CT1244" s="5" t="s">
        <v>307</v>
      </c>
      <c r="CU1244" s="5" t="s">
        <v>260</v>
      </c>
      <c r="CX1244" s="7">
        <f>1</f>
        <v>1</v>
      </c>
      <c r="CY1244" s="7">
        <f>0</f>
        <v>0</v>
      </c>
      <c r="DA1244" s="7">
        <f>0</f>
        <v>0</v>
      </c>
      <c r="DC1244" s="5" t="s">
        <v>812</v>
      </c>
      <c r="DD1244" s="5" t="s">
        <v>240</v>
      </c>
      <c r="DF1244" s="5" t="s">
        <v>812</v>
      </c>
      <c r="DG1244" s="7">
        <f>1307</f>
        <v>1307</v>
      </c>
      <c r="DI1244" s="5" t="s">
        <v>240</v>
      </c>
      <c r="DJ1244" s="5" t="s">
        <v>240</v>
      </c>
      <c r="DK1244" s="5" t="s">
        <v>240</v>
      </c>
      <c r="DL1244" s="5" t="s">
        <v>240</v>
      </c>
      <c r="DP1244" s="5" t="s">
        <v>240</v>
      </c>
      <c r="DQ1244" s="5" t="s">
        <v>240</v>
      </c>
      <c r="DR1244" s="5" t="s">
        <v>240</v>
      </c>
      <c r="DS1244" s="5" t="s">
        <v>240</v>
      </c>
      <c r="DV1244" s="5" t="s">
        <v>813</v>
      </c>
      <c r="DW1244" s="5" t="s">
        <v>2614</v>
      </c>
      <c r="HO1244" s="5" t="s">
        <v>312</v>
      </c>
    </row>
    <row r="1245" spans="1:223" x14ac:dyDescent="0.4">
      <c r="A1245" s="5">
        <v>2920</v>
      </c>
      <c r="B1245" s="5">
        <v>1</v>
      </c>
      <c r="C1245" s="5">
        <v>1</v>
      </c>
      <c r="D1245" s="5" t="s">
        <v>297</v>
      </c>
      <c r="E1245" s="5" t="s">
        <v>245</v>
      </c>
      <c r="F1245" s="5" t="s">
        <v>254</v>
      </c>
      <c r="G1245" s="5" t="s">
        <v>240</v>
      </c>
      <c r="H1245" s="6" t="s">
        <v>4980</v>
      </c>
      <c r="I1245" s="5" t="s">
        <v>295</v>
      </c>
      <c r="J1245" s="8">
        <f>1056</f>
        <v>1056</v>
      </c>
      <c r="K1245" s="5" t="s">
        <v>308</v>
      </c>
      <c r="L1245" s="7">
        <f>1</f>
        <v>1</v>
      </c>
      <c r="M1245" s="7">
        <f>1</f>
        <v>1</v>
      </c>
      <c r="N1245" s="5" t="s">
        <v>242</v>
      </c>
      <c r="O1245" s="5">
        <v>1</v>
      </c>
      <c r="P1245" s="5" t="s">
        <v>294</v>
      </c>
      <c r="Q1245" s="5" t="s">
        <v>266</v>
      </c>
      <c r="R1245" s="5" t="s">
        <v>240</v>
      </c>
      <c r="S1245" s="5" t="s">
        <v>240</v>
      </c>
      <c r="T1245" s="5" t="s">
        <v>296</v>
      </c>
      <c r="U1245" s="5" t="s">
        <v>244</v>
      </c>
      <c r="V1245" s="5" t="s">
        <v>240</v>
      </c>
      <c r="Y1245" s="5" t="s">
        <v>240</v>
      </c>
      <c r="Z1245" s="6" t="s">
        <v>298</v>
      </c>
      <c r="AB1245" s="6" t="s">
        <v>240</v>
      </c>
      <c r="AE1245" s="6" t="s">
        <v>299</v>
      </c>
      <c r="AF1245" s="5" t="s">
        <v>248</v>
      </c>
      <c r="AG1245" s="5" t="s">
        <v>249</v>
      </c>
      <c r="AW1245" s="5" t="s">
        <v>251</v>
      </c>
      <c r="AX1245" s="5" t="s">
        <v>240</v>
      </c>
      <c r="AY1245" s="5" t="s">
        <v>253</v>
      </c>
      <c r="AZ1245" s="5" t="s">
        <v>240</v>
      </c>
      <c r="BA1245" s="5" t="s">
        <v>255</v>
      </c>
      <c r="BB1245" s="5" t="s">
        <v>240</v>
      </c>
      <c r="BD1245" s="5" t="s">
        <v>240</v>
      </c>
      <c r="BF1245" s="5" t="s">
        <v>301</v>
      </c>
      <c r="BG1245" s="6" t="s">
        <v>299</v>
      </c>
      <c r="BH1245" s="5" t="s">
        <v>302</v>
      </c>
      <c r="BI1245" s="5" t="s">
        <v>303</v>
      </c>
      <c r="BJ1245" s="5" t="s">
        <v>240</v>
      </c>
      <c r="BK1245" s="8">
        <f>0</f>
        <v>0</v>
      </c>
      <c r="BL1245" s="7">
        <f>0</f>
        <v>0</v>
      </c>
      <c r="BM1245" s="5" t="s">
        <v>258</v>
      </c>
      <c r="BN1245" s="5" t="s">
        <v>259</v>
      </c>
      <c r="CB1245" s="5" t="s">
        <v>240</v>
      </c>
      <c r="CC1245" s="5" t="s">
        <v>240</v>
      </c>
      <c r="CG1245" s="5" t="s">
        <v>304</v>
      </c>
      <c r="CH1245" s="5" t="s">
        <v>305</v>
      </c>
      <c r="CI1245" s="5" t="s">
        <v>240</v>
      </c>
      <c r="CL1245" s="6" t="s">
        <v>261</v>
      </c>
      <c r="CM1245" s="5" t="s">
        <v>240</v>
      </c>
      <c r="CN1245" s="5" t="s">
        <v>263</v>
      </c>
      <c r="CO1245" s="5" t="s">
        <v>240</v>
      </c>
      <c r="CP1245" s="5" t="s">
        <v>240</v>
      </c>
      <c r="CQ1245" s="5">
        <v>0</v>
      </c>
      <c r="CR1245" s="5" t="s">
        <v>306</v>
      </c>
      <c r="CS1245" s="5" t="s">
        <v>307</v>
      </c>
      <c r="CT1245" s="5" t="s">
        <v>307</v>
      </c>
      <c r="CU1245" s="5" t="s">
        <v>260</v>
      </c>
      <c r="CX1245" s="7">
        <f>1</f>
        <v>1</v>
      </c>
      <c r="CY1245" s="7">
        <f>0</f>
        <v>0</v>
      </c>
      <c r="DA1245" s="7">
        <f>0</f>
        <v>0</v>
      </c>
      <c r="DC1245" s="5" t="s">
        <v>812</v>
      </c>
      <c r="DD1245" s="5" t="s">
        <v>240</v>
      </c>
      <c r="DF1245" s="5" t="s">
        <v>812</v>
      </c>
      <c r="DG1245" s="7">
        <f>3185</f>
        <v>3185</v>
      </c>
      <c r="DI1245" s="5" t="s">
        <v>240</v>
      </c>
      <c r="DJ1245" s="5" t="s">
        <v>240</v>
      </c>
      <c r="DK1245" s="5" t="s">
        <v>240</v>
      </c>
      <c r="DL1245" s="5" t="s">
        <v>240</v>
      </c>
      <c r="DP1245" s="5" t="s">
        <v>240</v>
      </c>
      <c r="DQ1245" s="5" t="s">
        <v>240</v>
      </c>
      <c r="DR1245" s="5" t="s">
        <v>240</v>
      </c>
      <c r="DS1245" s="5" t="s">
        <v>240</v>
      </c>
      <c r="DV1245" s="5" t="s">
        <v>813</v>
      </c>
      <c r="DW1245" s="5" t="s">
        <v>2616</v>
      </c>
      <c r="HO1245" s="5" t="s">
        <v>312</v>
      </c>
    </row>
    <row r="1246" spans="1:223" x14ac:dyDescent="0.4">
      <c r="A1246" s="5">
        <v>2921</v>
      </c>
      <c r="B1246" s="5">
        <v>1</v>
      </c>
      <c r="C1246" s="5">
        <v>1</v>
      </c>
      <c r="D1246" s="5" t="s">
        <v>297</v>
      </c>
      <c r="E1246" s="5" t="s">
        <v>245</v>
      </c>
      <c r="F1246" s="5" t="s">
        <v>254</v>
      </c>
      <c r="G1246" s="5" t="s">
        <v>240</v>
      </c>
      <c r="H1246" s="6" t="s">
        <v>5158</v>
      </c>
      <c r="I1246" s="5" t="s">
        <v>295</v>
      </c>
      <c r="J1246" s="8">
        <f>501</f>
        <v>501</v>
      </c>
      <c r="K1246" s="5" t="s">
        <v>308</v>
      </c>
      <c r="L1246" s="7">
        <f>1</f>
        <v>1</v>
      </c>
      <c r="M1246" s="7">
        <f>1</f>
        <v>1</v>
      </c>
      <c r="N1246" s="5" t="s">
        <v>242</v>
      </c>
      <c r="O1246" s="5">
        <v>1</v>
      </c>
      <c r="P1246" s="5" t="s">
        <v>294</v>
      </c>
      <c r="Q1246" s="5" t="s">
        <v>266</v>
      </c>
      <c r="R1246" s="5" t="s">
        <v>240</v>
      </c>
      <c r="S1246" s="5" t="s">
        <v>240</v>
      </c>
      <c r="T1246" s="5" t="s">
        <v>296</v>
      </c>
      <c r="U1246" s="5" t="s">
        <v>244</v>
      </c>
      <c r="V1246" s="5" t="s">
        <v>240</v>
      </c>
      <c r="Y1246" s="5" t="s">
        <v>240</v>
      </c>
      <c r="Z1246" s="6" t="s">
        <v>298</v>
      </c>
      <c r="AB1246" s="6" t="s">
        <v>240</v>
      </c>
      <c r="AE1246" s="6" t="s">
        <v>299</v>
      </c>
      <c r="AF1246" s="5" t="s">
        <v>248</v>
      </c>
      <c r="AG1246" s="5" t="s">
        <v>249</v>
      </c>
      <c r="AW1246" s="5" t="s">
        <v>251</v>
      </c>
      <c r="AX1246" s="5" t="s">
        <v>240</v>
      </c>
      <c r="AY1246" s="5" t="s">
        <v>253</v>
      </c>
      <c r="AZ1246" s="5" t="s">
        <v>240</v>
      </c>
      <c r="BA1246" s="5" t="s">
        <v>255</v>
      </c>
      <c r="BB1246" s="5" t="s">
        <v>240</v>
      </c>
      <c r="BD1246" s="5" t="s">
        <v>240</v>
      </c>
      <c r="BF1246" s="5" t="s">
        <v>301</v>
      </c>
      <c r="BG1246" s="6" t="s">
        <v>299</v>
      </c>
      <c r="BH1246" s="5" t="s">
        <v>302</v>
      </c>
      <c r="BI1246" s="5" t="s">
        <v>303</v>
      </c>
      <c r="BJ1246" s="5" t="s">
        <v>240</v>
      </c>
      <c r="BK1246" s="8">
        <f>0</f>
        <v>0</v>
      </c>
      <c r="BL1246" s="7">
        <f>0</f>
        <v>0</v>
      </c>
      <c r="BM1246" s="5" t="s">
        <v>258</v>
      </c>
      <c r="BN1246" s="5" t="s">
        <v>259</v>
      </c>
      <c r="CB1246" s="5" t="s">
        <v>240</v>
      </c>
      <c r="CC1246" s="5" t="s">
        <v>240</v>
      </c>
      <c r="CG1246" s="5" t="s">
        <v>304</v>
      </c>
      <c r="CH1246" s="5" t="s">
        <v>305</v>
      </c>
      <c r="CI1246" s="5" t="s">
        <v>240</v>
      </c>
      <c r="CL1246" s="6" t="s">
        <v>261</v>
      </c>
      <c r="CM1246" s="5" t="s">
        <v>240</v>
      </c>
      <c r="CN1246" s="5" t="s">
        <v>263</v>
      </c>
      <c r="CO1246" s="5" t="s">
        <v>240</v>
      </c>
      <c r="CP1246" s="5" t="s">
        <v>240</v>
      </c>
      <c r="CQ1246" s="5">
        <v>0</v>
      </c>
      <c r="CR1246" s="5" t="s">
        <v>306</v>
      </c>
      <c r="CS1246" s="5" t="s">
        <v>307</v>
      </c>
      <c r="CT1246" s="5" t="s">
        <v>307</v>
      </c>
      <c r="CU1246" s="5" t="s">
        <v>260</v>
      </c>
      <c r="CX1246" s="7">
        <f>1</f>
        <v>1</v>
      </c>
      <c r="CY1246" s="7">
        <f>0</f>
        <v>0</v>
      </c>
      <c r="DA1246" s="7">
        <f>0</f>
        <v>0</v>
      </c>
      <c r="DC1246" s="5" t="s">
        <v>812</v>
      </c>
      <c r="DD1246" s="5" t="s">
        <v>240</v>
      </c>
      <c r="DF1246" s="5" t="s">
        <v>812</v>
      </c>
      <c r="DG1246" s="7">
        <f>156</f>
        <v>156</v>
      </c>
      <c r="DI1246" s="5" t="s">
        <v>240</v>
      </c>
      <c r="DJ1246" s="5" t="s">
        <v>240</v>
      </c>
      <c r="DK1246" s="5" t="s">
        <v>240</v>
      </c>
      <c r="DL1246" s="5" t="s">
        <v>240</v>
      </c>
      <c r="DP1246" s="5" t="s">
        <v>240</v>
      </c>
      <c r="DQ1246" s="5" t="s">
        <v>240</v>
      </c>
      <c r="DR1246" s="5" t="s">
        <v>240</v>
      </c>
      <c r="DS1246" s="5" t="s">
        <v>240</v>
      </c>
      <c r="DV1246" s="5" t="s">
        <v>813</v>
      </c>
      <c r="DW1246" s="5" t="s">
        <v>2618</v>
      </c>
      <c r="HO1246" s="5" t="s">
        <v>312</v>
      </c>
    </row>
    <row r="1247" spans="1:223" x14ac:dyDescent="0.4">
      <c r="A1247" s="5">
        <v>2922</v>
      </c>
      <c r="B1247" s="5">
        <v>1</v>
      </c>
      <c r="C1247" s="5">
        <v>1</v>
      </c>
      <c r="D1247" s="5" t="s">
        <v>297</v>
      </c>
      <c r="E1247" s="5" t="s">
        <v>245</v>
      </c>
      <c r="F1247" s="5" t="s">
        <v>254</v>
      </c>
      <c r="G1247" s="5" t="s">
        <v>240</v>
      </c>
      <c r="H1247" s="6" t="s">
        <v>4977</v>
      </c>
      <c r="I1247" s="5" t="s">
        <v>295</v>
      </c>
      <c r="J1247" s="8">
        <f>2149</f>
        <v>2149</v>
      </c>
      <c r="K1247" s="5" t="s">
        <v>308</v>
      </c>
      <c r="L1247" s="7">
        <f>1</f>
        <v>1</v>
      </c>
      <c r="M1247" s="7">
        <f>1</f>
        <v>1</v>
      </c>
      <c r="N1247" s="5" t="s">
        <v>242</v>
      </c>
      <c r="O1247" s="5">
        <v>1</v>
      </c>
      <c r="P1247" s="5" t="s">
        <v>294</v>
      </c>
      <c r="Q1247" s="5" t="s">
        <v>266</v>
      </c>
      <c r="R1247" s="5" t="s">
        <v>240</v>
      </c>
      <c r="S1247" s="5" t="s">
        <v>240</v>
      </c>
      <c r="T1247" s="5" t="s">
        <v>296</v>
      </c>
      <c r="U1247" s="5" t="s">
        <v>244</v>
      </c>
      <c r="V1247" s="5" t="s">
        <v>240</v>
      </c>
      <c r="Y1247" s="5" t="s">
        <v>240</v>
      </c>
      <c r="Z1247" s="6" t="s">
        <v>298</v>
      </c>
      <c r="AB1247" s="6" t="s">
        <v>240</v>
      </c>
      <c r="AE1247" s="6" t="s">
        <v>299</v>
      </c>
      <c r="AF1247" s="5" t="s">
        <v>248</v>
      </c>
      <c r="AG1247" s="5" t="s">
        <v>249</v>
      </c>
      <c r="AW1247" s="5" t="s">
        <v>251</v>
      </c>
      <c r="AX1247" s="5" t="s">
        <v>240</v>
      </c>
      <c r="AY1247" s="5" t="s">
        <v>253</v>
      </c>
      <c r="AZ1247" s="5" t="s">
        <v>240</v>
      </c>
      <c r="BA1247" s="5" t="s">
        <v>255</v>
      </c>
      <c r="BB1247" s="5" t="s">
        <v>240</v>
      </c>
      <c r="BD1247" s="5" t="s">
        <v>240</v>
      </c>
      <c r="BF1247" s="5" t="s">
        <v>301</v>
      </c>
      <c r="BG1247" s="6" t="s">
        <v>299</v>
      </c>
      <c r="BH1247" s="5" t="s">
        <v>302</v>
      </c>
      <c r="BI1247" s="5" t="s">
        <v>303</v>
      </c>
      <c r="BJ1247" s="5" t="s">
        <v>240</v>
      </c>
      <c r="BK1247" s="8">
        <f>0</f>
        <v>0</v>
      </c>
      <c r="BL1247" s="7">
        <f>0</f>
        <v>0</v>
      </c>
      <c r="BM1247" s="5" t="s">
        <v>258</v>
      </c>
      <c r="BN1247" s="5" t="s">
        <v>259</v>
      </c>
      <c r="CB1247" s="5" t="s">
        <v>240</v>
      </c>
      <c r="CC1247" s="5" t="s">
        <v>240</v>
      </c>
      <c r="CG1247" s="5" t="s">
        <v>304</v>
      </c>
      <c r="CH1247" s="5" t="s">
        <v>305</v>
      </c>
      <c r="CI1247" s="5" t="s">
        <v>240</v>
      </c>
      <c r="CL1247" s="6" t="s">
        <v>261</v>
      </c>
      <c r="CM1247" s="5" t="s">
        <v>240</v>
      </c>
      <c r="CN1247" s="5" t="s">
        <v>263</v>
      </c>
      <c r="CO1247" s="5" t="s">
        <v>240</v>
      </c>
      <c r="CP1247" s="5" t="s">
        <v>240</v>
      </c>
      <c r="CQ1247" s="5">
        <v>0</v>
      </c>
      <c r="CR1247" s="5" t="s">
        <v>306</v>
      </c>
      <c r="CS1247" s="5" t="s">
        <v>307</v>
      </c>
      <c r="CT1247" s="5" t="s">
        <v>307</v>
      </c>
      <c r="CU1247" s="5" t="s">
        <v>260</v>
      </c>
      <c r="CX1247" s="7">
        <f>1</f>
        <v>1</v>
      </c>
      <c r="CY1247" s="7">
        <f>0</f>
        <v>0</v>
      </c>
      <c r="DA1247" s="7">
        <f>0</f>
        <v>0</v>
      </c>
      <c r="DC1247" s="5" t="s">
        <v>812</v>
      </c>
      <c r="DD1247" s="5" t="s">
        <v>240</v>
      </c>
      <c r="DF1247" s="5" t="s">
        <v>812</v>
      </c>
      <c r="DG1247" s="7">
        <f>894</f>
        <v>894</v>
      </c>
      <c r="DI1247" s="5" t="s">
        <v>240</v>
      </c>
      <c r="DJ1247" s="5" t="s">
        <v>240</v>
      </c>
      <c r="DK1247" s="5" t="s">
        <v>240</v>
      </c>
      <c r="DL1247" s="5" t="s">
        <v>240</v>
      </c>
      <c r="DP1247" s="5" t="s">
        <v>240</v>
      </c>
      <c r="DQ1247" s="5" t="s">
        <v>240</v>
      </c>
      <c r="DR1247" s="5" t="s">
        <v>240</v>
      </c>
      <c r="DS1247" s="5" t="s">
        <v>240</v>
      </c>
      <c r="DV1247" s="5" t="s">
        <v>813</v>
      </c>
      <c r="DW1247" s="5" t="s">
        <v>2620</v>
      </c>
      <c r="HO1247" s="5" t="s">
        <v>312</v>
      </c>
    </row>
    <row r="1248" spans="1:223" x14ac:dyDescent="0.4">
      <c r="A1248" s="5">
        <v>2923</v>
      </c>
      <c r="B1248" s="5">
        <v>1</v>
      </c>
      <c r="C1248" s="5">
        <v>1</v>
      </c>
      <c r="D1248" s="5" t="s">
        <v>297</v>
      </c>
      <c r="E1248" s="5" t="s">
        <v>245</v>
      </c>
      <c r="F1248" s="5" t="s">
        <v>254</v>
      </c>
      <c r="G1248" s="5" t="s">
        <v>240</v>
      </c>
      <c r="H1248" s="6" t="s">
        <v>4976</v>
      </c>
      <c r="I1248" s="5" t="s">
        <v>295</v>
      </c>
      <c r="J1248" s="8">
        <f>1092</f>
        <v>1092</v>
      </c>
      <c r="K1248" s="5" t="s">
        <v>308</v>
      </c>
      <c r="L1248" s="7">
        <f>1</f>
        <v>1</v>
      </c>
      <c r="M1248" s="7">
        <f>1</f>
        <v>1</v>
      </c>
      <c r="N1248" s="5" t="s">
        <v>242</v>
      </c>
      <c r="O1248" s="5">
        <v>1</v>
      </c>
      <c r="P1248" s="5" t="s">
        <v>294</v>
      </c>
      <c r="Q1248" s="5" t="s">
        <v>266</v>
      </c>
      <c r="R1248" s="5" t="s">
        <v>240</v>
      </c>
      <c r="S1248" s="5" t="s">
        <v>240</v>
      </c>
      <c r="T1248" s="5" t="s">
        <v>296</v>
      </c>
      <c r="U1248" s="5" t="s">
        <v>244</v>
      </c>
      <c r="V1248" s="5" t="s">
        <v>240</v>
      </c>
      <c r="Y1248" s="5" t="s">
        <v>240</v>
      </c>
      <c r="Z1248" s="6" t="s">
        <v>298</v>
      </c>
      <c r="AB1248" s="6" t="s">
        <v>240</v>
      </c>
      <c r="AE1248" s="6" t="s">
        <v>299</v>
      </c>
      <c r="AF1248" s="5" t="s">
        <v>248</v>
      </c>
      <c r="AG1248" s="5" t="s">
        <v>249</v>
      </c>
      <c r="AW1248" s="5" t="s">
        <v>251</v>
      </c>
      <c r="AX1248" s="5" t="s">
        <v>240</v>
      </c>
      <c r="AY1248" s="5" t="s">
        <v>253</v>
      </c>
      <c r="AZ1248" s="5" t="s">
        <v>240</v>
      </c>
      <c r="BA1248" s="5" t="s">
        <v>255</v>
      </c>
      <c r="BB1248" s="5" t="s">
        <v>240</v>
      </c>
      <c r="BD1248" s="5" t="s">
        <v>240</v>
      </c>
      <c r="BF1248" s="5" t="s">
        <v>301</v>
      </c>
      <c r="BG1248" s="6" t="s">
        <v>299</v>
      </c>
      <c r="BH1248" s="5" t="s">
        <v>302</v>
      </c>
      <c r="BI1248" s="5" t="s">
        <v>303</v>
      </c>
      <c r="BJ1248" s="5" t="s">
        <v>240</v>
      </c>
      <c r="BK1248" s="8">
        <f>0</f>
        <v>0</v>
      </c>
      <c r="BL1248" s="7">
        <f>0</f>
        <v>0</v>
      </c>
      <c r="BM1248" s="5" t="s">
        <v>258</v>
      </c>
      <c r="BN1248" s="5" t="s">
        <v>259</v>
      </c>
      <c r="CB1248" s="5" t="s">
        <v>240</v>
      </c>
      <c r="CC1248" s="5" t="s">
        <v>240</v>
      </c>
      <c r="CG1248" s="5" t="s">
        <v>304</v>
      </c>
      <c r="CH1248" s="5" t="s">
        <v>305</v>
      </c>
      <c r="CI1248" s="5" t="s">
        <v>240</v>
      </c>
      <c r="CL1248" s="6" t="s">
        <v>261</v>
      </c>
      <c r="CM1248" s="5" t="s">
        <v>240</v>
      </c>
      <c r="CN1248" s="5" t="s">
        <v>263</v>
      </c>
      <c r="CO1248" s="5" t="s">
        <v>240</v>
      </c>
      <c r="CP1248" s="5" t="s">
        <v>240</v>
      </c>
      <c r="CQ1248" s="5">
        <v>0</v>
      </c>
      <c r="CR1248" s="5" t="s">
        <v>306</v>
      </c>
      <c r="CS1248" s="5" t="s">
        <v>307</v>
      </c>
      <c r="CT1248" s="5" t="s">
        <v>307</v>
      </c>
      <c r="CU1248" s="5" t="s">
        <v>260</v>
      </c>
      <c r="CX1248" s="7">
        <f>1</f>
        <v>1</v>
      </c>
      <c r="CY1248" s="7">
        <f>0</f>
        <v>0</v>
      </c>
      <c r="DA1248" s="7">
        <f>0</f>
        <v>0</v>
      </c>
      <c r="DC1248" s="5" t="s">
        <v>812</v>
      </c>
      <c r="DD1248" s="5" t="s">
        <v>240</v>
      </c>
      <c r="DF1248" s="5" t="s">
        <v>812</v>
      </c>
      <c r="DG1248" s="7">
        <f>2904</f>
        <v>2904</v>
      </c>
      <c r="DI1248" s="5" t="s">
        <v>240</v>
      </c>
      <c r="DJ1248" s="5" t="s">
        <v>240</v>
      </c>
      <c r="DK1248" s="5" t="s">
        <v>240</v>
      </c>
      <c r="DL1248" s="5" t="s">
        <v>240</v>
      </c>
      <c r="DP1248" s="5" t="s">
        <v>240</v>
      </c>
      <c r="DQ1248" s="5" t="s">
        <v>240</v>
      </c>
      <c r="DR1248" s="5" t="s">
        <v>240</v>
      </c>
      <c r="DS1248" s="5" t="s">
        <v>240</v>
      </c>
      <c r="DV1248" s="5" t="s">
        <v>813</v>
      </c>
      <c r="DW1248" s="5" t="s">
        <v>2622</v>
      </c>
      <c r="HO1248" s="5" t="s">
        <v>312</v>
      </c>
    </row>
    <row r="1249" spans="1:223" x14ac:dyDescent="0.4">
      <c r="A1249" s="5">
        <v>2924</v>
      </c>
      <c r="B1249" s="5">
        <v>1</v>
      </c>
      <c r="C1249" s="5">
        <v>1</v>
      </c>
      <c r="D1249" s="5" t="s">
        <v>297</v>
      </c>
      <c r="E1249" s="5" t="s">
        <v>245</v>
      </c>
      <c r="F1249" s="5" t="s">
        <v>254</v>
      </c>
      <c r="G1249" s="5" t="s">
        <v>240</v>
      </c>
      <c r="H1249" s="6" t="s">
        <v>4975</v>
      </c>
      <c r="I1249" s="5" t="s">
        <v>295</v>
      </c>
      <c r="J1249" s="8">
        <f>6011</f>
        <v>6011</v>
      </c>
      <c r="K1249" s="5" t="s">
        <v>308</v>
      </c>
      <c r="L1249" s="7">
        <f>1</f>
        <v>1</v>
      </c>
      <c r="M1249" s="7">
        <f>1</f>
        <v>1</v>
      </c>
      <c r="N1249" s="5" t="s">
        <v>242</v>
      </c>
      <c r="O1249" s="5">
        <v>1</v>
      </c>
      <c r="P1249" s="5" t="s">
        <v>294</v>
      </c>
      <c r="Q1249" s="5" t="s">
        <v>266</v>
      </c>
      <c r="R1249" s="5" t="s">
        <v>240</v>
      </c>
      <c r="S1249" s="5" t="s">
        <v>240</v>
      </c>
      <c r="T1249" s="5" t="s">
        <v>296</v>
      </c>
      <c r="U1249" s="5" t="s">
        <v>244</v>
      </c>
      <c r="V1249" s="5" t="s">
        <v>240</v>
      </c>
      <c r="Y1249" s="5" t="s">
        <v>240</v>
      </c>
      <c r="Z1249" s="6" t="s">
        <v>298</v>
      </c>
      <c r="AB1249" s="6" t="s">
        <v>240</v>
      </c>
      <c r="AE1249" s="6" t="s">
        <v>299</v>
      </c>
      <c r="AF1249" s="5" t="s">
        <v>248</v>
      </c>
      <c r="AG1249" s="5" t="s">
        <v>249</v>
      </c>
      <c r="AW1249" s="5" t="s">
        <v>251</v>
      </c>
      <c r="AX1249" s="5" t="s">
        <v>240</v>
      </c>
      <c r="AY1249" s="5" t="s">
        <v>253</v>
      </c>
      <c r="AZ1249" s="5" t="s">
        <v>240</v>
      </c>
      <c r="BA1249" s="5" t="s">
        <v>255</v>
      </c>
      <c r="BB1249" s="5" t="s">
        <v>240</v>
      </c>
      <c r="BD1249" s="5" t="s">
        <v>240</v>
      </c>
      <c r="BF1249" s="5" t="s">
        <v>301</v>
      </c>
      <c r="BG1249" s="6" t="s">
        <v>299</v>
      </c>
      <c r="BH1249" s="5" t="s">
        <v>302</v>
      </c>
      <c r="BI1249" s="5" t="s">
        <v>303</v>
      </c>
      <c r="BJ1249" s="5" t="s">
        <v>240</v>
      </c>
      <c r="BK1249" s="8">
        <f>0</f>
        <v>0</v>
      </c>
      <c r="BL1249" s="7">
        <f>0</f>
        <v>0</v>
      </c>
      <c r="BM1249" s="5" t="s">
        <v>258</v>
      </c>
      <c r="BN1249" s="5" t="s">
        <v>259</v>
      </c>
      <c r="CB1249" s="5" t="s">
        <v>240</v>
      </c>
      <c r="CC1249" s="5" t="s">
        <v>240</v>
      </c>
      <c r="CG1249" s="5" t="s">
        <v>304</v>
      </c>
      <c r="CH1249" s="5" t="s">
        <v>305</v>
      </c>
      <c r="CI1249" s="5" t="s">
        <v>240</v>
      </c>
      <c r="CL1249" s="6" t="s">
        <v>261</v>
      </c>
      <c r="CM1249" s="5" t="s">
        <v>240</v>
      </c>
      <c r="CN1249" s="5" t="s">
        <v>263</v>
      </c>
      <c r="CO1249" s="5" t="s">
        <v>240</v>
      </c>
      <c r="CP1249" s="5" t="s">
        <v>240</v>
      </c>
      <c r="CQ1249" s="5">
        <v>0</v>
      </c>
      <c r="CR1249" s="5" t="s">
        <v>306</v>
      </c>
      <c r="CS1249" s="5" t="s">
        <v>307</v>
      </c>
      <c r="CT1249" s="5" t="s">
        <v>307</v>
      </c>
      <c r="CU1249" s="5" t="s">
        <v>260</v>
      </c>
      <c r="CX1249" s="7">
        <f>1</f>
        <v>1</v>
      </c>
      <c r="CY1249" s="7">
        <f>0</f>
        <v>0</v>
      </c>
      <c r="DA1249" s="7">
        <f>0</f>
        <v>0</v>
      </c>
      <c r="DC1249" s="5" t="s">
        <v>812</v>
      </c>
      <c r="DD1249" s="5" t="s">
        <v>240</v>
      </c>
      <c r="DF1249" s="5" t="s">
        <v>812</v>
      </c>
      <c r="DG1249" s="7">
        <f>538</f>
        <v>538</v>
      </c>
      <c r="DI1249" s="5" t="s">
        <v>240</v>
      </c>
      <c r="DJ1249" s="5" t="s">
        <v>240</v>
      </c>
      <c r="DK1249" s="5" t="s">
        <v>240</v>
      </c>
      <c r="DL1249" s="5" t="s">
        <v>240</v>
      </c>
      <c r="DP1249" s="5" t="s">
        <v>240</v>
      </c>
      <c r="DQ1249" s="5" t="s">
        <v>240</v>
      </c>
      <c r="DR1249" s="5" t="s">
        <v>240</v>
      </c>
      <c r="DS1249" s="5" t="s">
        <v>240</v>
      </c>
      <c r="DV1249" s="5" t="s">
        <v>813</v>
      </c>
      <c r="DW1249" s="5" t="s">
        <v>2624</v>
      </c>
      <c r="HO1249" s="5" t="s">
        <v>312</v>
      </c>
    </row>
    <row r="1250" spans="1:223" x14ac:dyDescent="0.4">
      <c r="A1250" s="5">
        <v>2925</v>
      </c>
      <c r="B1250" s="5">
        <v>1</v>
      </c>
      <c r="C1250" s="5">
        <v>1</v>
      </c>
      <c r="D1250" s="5" t="s">
        <v>297</v>
      </c>
      <c r="E1250" s="5" t="s">
        <v>245</v>
      </c>
      <c r="F1250" s="5" t="s">
        <v>254</v>
      </c>
      <c r="G1250" s="5" t="s">
        <v>240</v>
      </c>
      <c r="H1250" s="6" t="s">
        <v>5169</v>
      </c>
      <c r="I1250" s="5" t="s">
        <v>295</v>
      </c>
      <c r="J1250" s="8">
        <f>933</f>
        <v>933</v>
      </c>
      <c r="K1250" s="5" t="s">
        <v>308</v>
      </c>
      <c r="L1250" s="7">
        <f>1</f>
        <v>1</v>
      </c>
      <c r="M1250" s="7">
        <f>1</f>
        <v>1</v>
      </c>
      <c r="N1250" s="5" t="s">
        <v>242</v>
      </c>
      <c r="O1250" s="5">
        <v>1</v>
      </c>
      <c r="P1250" s="5" t="s">
        <v>294</v>
      </c>
      <c r="Q1250" s="5" t="s">
        <v>266</v>
      </c>
      <c r="R1250" s="5" t="s">
        <v>240</v>
      </c>
      <c r="S1250" s="5" t="s">
        <v>240</v>
      </c>
      <c r="T1250" s="5" t="s">
        <v>296</v>
      </c>
      <c r="U1250" s="5" t="s">
        <v>244</v>
      </c>
      <c r="V1250" s="5" t="s">
        <v>240</v>
      </c>
      <c r="Y1250" s="5" t="s">
        <v>240</v>
      </c>
      <c r="Z1250" s="6" t="s">
        <v>298</v>
      </c>
      <c r="AB1250" s="6" t="s">
        <v>240</v>
      </c>
      <c r="AE1250" s="6" t="s">
        <v>299</v>
      </c>
      <c r="AF1250" s="5" t="s">
        <v>248</v>
      </c>
      <c r="AG1250" s="5" t="s">
        <v>249</v>
      </c>
      <c r="AW1250" s="5" t="s">
        <v>251</v>
      </c>
      <c r="AX1250" s="5" t="s">
        <v>240</v>
      </c>
      <c r="AY1250" s="5" t="s">
        <v>253</v>
      </c>
      <c r="AZ1250" s="5" t="s">
        <v>240</v>
      </c>
      <c r="BA1250" s="5" t="s">
        <v>255</v>
      </c>
      <c r="BB1250" s="5" t="s">
        <v>240</v>
      </c>
      <c r="BD1250" s="5" t="s">
        <v>240</v>
      </c>
      <c r="BF1250" s="5" t="s">
        <v>301</v>
      </c>
      <c r="BG1250" s="6" t="s">
        <v>299</v>
      </c>
      <c r="BH1250" s="5" t="s">
        <v>302</v>
      </c>
      <c r="BI1250" s="5" t="s">
        <v>303</v>
      </c>
      <c r="BJ1250" s="5" t="s">
        <v>240</v>
      </c>
      <c r="BK1250" s="8">
        <f>0</f>
        <v>0</v>
      </c>
      <c r="BL1250" s="7">
        <f>0</f>
        <v>0</v>
      </c>
      <c r="BM1250" s="5" t="s">
        <v>258</v>
      </c>
      <c r="BN1250" s="5" t="s">
        <v>259</v>
      </c>
      <c r="CB1250" s="5" t="s">
        <v>240</v>
      </c>
      <c r="CC1250" s="5" t="s">
        <v>240</v>
      </c>
      <c r="CG1250" s="5" t="s">
        <v>304</v>
      </c>
      <c r="CH1250" s="5" t="s">
        <v>305</v>
      </c>
      <c r="CI1250" s="5" t="s">
        <v>240</v>
      </c>
      <c r="CL1250" s="6" t="s">
        <v>261</v>
      </c>
      <c r="CM1250" s="5" t="s">
        <v>240</v>
      </c>
      <c r="CN1250" s="5" t="s">
        <v>263</v>
      </c>
      <c r="CO1250" s="5" t="s">
        <v>240</v>
      </c>
      <c r="CP1250" s="5" t="s">
        <v>240</v>
      </c>
      <c r="CQ1250" s="5">
        <v>0</v>
      </c>
      <c r="CR1250" s="5" t="s">
        <v>306</v>
      </c>
      <c r="CS1250" s="5" t="s">
        <v>307</v>
      </c>
      <c r="CT1250" s="5" t="s">
        <v>307</v>
      </c>
      <c r="CU1250" s="5" t="s">
        <v>260</v>
      </c>
      <c r="CX1250" s="7">
        <f>1</f>
        <v>1</v>
      </c>
      <c r="CY1250" s="7">
        <f>0</f>
        <v>0</v>
      </c>
      <c r="DA1250" s="7">
        <f>0</f>
        <v>0</v>
      </c>
      <c r="DC1250" s="5" t="s">
        <v>812</v>
      </c>
      <c r="DD1250" s="5" t="s">
        <v>240</v>
      </c>
      <c r="DF1250" s="5" t="s">
        <v>812</v>
      </c>
      <c r="DG1250" s="7">
        <f>446</f>
        <v>446</v>
      </c>
      <c r="DI1250" s="5" t="s">
        <v>240</v>
      </c>
      <c r="DJ1250" s="5" t="s">
        <v>240</v>
      </c>
      <c r="DK1250" s="5" t="s">
        <v>240</v>
      </c>
      <c r="DL1250" s="5" t="s">
        <v>240</v>
      </c>
      <c r="DP1250" s="5" t="s">
        <v>240</v>
      </c>
      <c r="DQ1250" s="5" t="s">
        <v>240</v>
      </c>
      <c r="DR1250" s="5" t="s">
        <v>240</v>
      </c>
      <c r="DS1250" s="5" t="s">
        <v>240</v>
      </c>
      <c r="DV1250" s="5" t="s">
        <v>813</v>
      </c>
      <c r="DW1250" s="5" t="s">
        <v>2626</v>
      </c>
      <c r="HO1250" s="5" t="s">
        <v>312</v>
      </c>
    </row>
    <row r="1251" spans="1:223" x14ac:dyDescent="0.4">
      <c r="A1251" s="5">
        <v>2926</v>
      </c>
      <c r="B1251" s="5">
        <v>1</v>
      </c>
      <c r="C1251" s="5">
        <v>1</v>
      </c>
      <c r="D1251" s="5" t="s">
        <v>297</v>
      </c>
      <c r="E1251" s="5" t="s">
        <v>245</v>
      </c>
      <c r="F1251" s="5" t="s">
        <v>254</v>
      </c>
      <c r="G1251" s="5" t="s">
        <v>240</v>
      </c>
      <c r="H1251" s="6" t="s">
        <v>4972</v>
      </c>
      <c r="I1251" s="5" t="s">
        <v>295</v>
      </c>
      <c r="J1251" s="8">
        <f>1942</f>
        <v>1942</v>
      </c>
      <c r="K1251" s="5" t="s">
        <v>308</v>
      </c>
      <c r="L1251" s="7">
        <f>1</f>
        <v>1</v>
      </c>
      <c r="M1251" s="7">
        <f>1</f>
        <v>1</v>
      </c>
      <c r="N1251" s="5" t="s">
        <v>242</v>
      </c>
      <c r="O1251" s="5">
        <v>1</v>
      </c>
      <c r="P1251" s="5" t="s">
        <v>294</v>
      </c>
      <c r="Q1251" s="5" t="s">
        <v>266</v>
      </c>
      <c r="R1251" s="5" t="s">
        <v>240</v>
      </c>
      <c r="S1251" s="5" t="s">
        <v>240</v>
      </c>
      <c r="T1251" s="5" t="s">
        <v>296</v>
      </c>
      <c r="U1251" s="5" t="s">
        <v>244</v>
      </c>
      <c r="V1251" s="5" t="s">
        <v>240</v>
      </c>
      <c r="Y1251" s="5" t="s">
        <v>240</v>
      </c>
      <c r="Z1251" s="6" t="s">
        <v>298</v>
      </c>
      <c r="AB1251" s="6" t="s">
        <v>240</v>
      </c>
      <c r="AE1251" s="6" t="s">
        <v>299</v>
      </c>
      <c r="AF1251" s="5" t="s">
        <v>248</v>
      </c>
      <c r="AG1251" s="5" t="s">
        <v>249</v>
      </c>
      <c r="AW1251" s="5" t="s">
        <v>251</v>
      </c>
      <c r="AX1251" s="5" t="s">
        <v>240</v>
      </c>
      <c r="AY1251" s="5" t="s">
        <v>253</v>
      </c>
      <c r="AZ1251" s="5" t="s">
        <v>240</v>
      </c>
      <c r="BA1251" s="5" t="s">
        <v>255</v>
      </c>
      <c r="BB1251" s="5" t="s">
        <v>240</v>
      </c>
      <c r="BD1251" s="5" t="s">
        <v>240</v>
      </c>
      <c r="BF1251" s="5" t="s">
        <v>301</v>
      </c>
      <c r="BG1251" s="6" t="s">
        <v>299</v>
      </c>
      <c r="BH1251" s="5" t="s">
        <v>302</v>
      </c>
      <c r="BI1251" s="5" t="s">
        <v>303</v>
      </c>
      <c r="BJ1251" s="5" t="s">
        <v>240</v>
      </c>
      <c r="BK1251" s="8">
        <f>0</f>
        <v>0</v>
      </c>
      <c r="BL1251" s="7">
        <f>0</f>
        <v>0</v>
      </c>
      <c r="BM1251" s="5" t="s">
        <v>258</v>
      </c>
      <c r="BN1251" s="5" t="s">
        <v>259</v>
      </c>
      <c r="CB1251" s="5" t="s">
        <v>240</v>
      </c>
      <c r="CC1251" s="5" t="s">
        <v>240</v>
      </c>
      <c r="CG1251" s="5" t="s">
        <v>304</v>
      </c>
      <c r="CH1251" s="5" t="s">
        <v>305</v>
      </c>
      <c r="CI1251" s="5" t="s">
        <v>240</v>
      </c>
      <c r="CL1251" s="6" t="s">
        <v>261</v>
      </c>
      <c r="CM1251" s="5" t="s">
        <v>240</v>
      </c>
      <c r="CN1251" s="5" t="s">
        <v>263</v>
      </c>
      <c r="CO1251" s="5" t="s">
        <v>240</v>
      </c>
      <c r="CP1251" s="5" t="s">
        <v>240</v>
      </c>
      <c r="CQ1251" s="5">
        <v>0</v>
      </c>
      <c r="CR1251" s="5" t="s">
        <v>306</v>
      </c>
      <c r="CS1251" s="5" t="s">
        <v>307</v>
      </c>
      <c r="CT1251" s="5" t="s">
        <v>307</v>
      </c>
      <c r="CU1251" s="5" t="s">
        <v>260</v>
      </c>
      <c r="CX1251" s="7">
        <f>1</f>
        <v>1</v>
      </c>
      <c r="CY1251" s="7">
        <f>0</f>
        <v>0</v>
      </c>
      <c r="DA1251" s="7">
        <f>0</f>
        <v>0</v>
      </c>
      <c r="DC1251" s="5" t="s">
        <v>812</v>
      </c>
      <c r="DD1251" s="5" t="s">
        <v>240</v>
      </c>
      <c r="DF1251" s="5" t="s">
        <v>812</v>
      </c>
      <c r="DG1251" s="7">
        <f>2528</f>
        <v>2528</v>
      </c>
      <c r="DI1251" s="5" t="s">
        <v>240</v>
      </c>
      <c r="DJ1251" s="5" t="s">
        <v>240</v>
      </c>
      <c r="DK1251" s="5" t="s">
        <v>240</v>
      </c>
      <c r="DL1251" s="5" t="s">
        <v>240</v>
      </c>
      <c r="DP1251" s="5" t="s">
        <v>240</v>
      </c>
      <c r="DQ1251" s="5" t="s">
        <v>240</v>
      </c>
      <c r="DR1251" s="5" t="s">
        <v>240</v>
      </c>
      <c r="DS1251" s="5" t="s">
        <v>240</v>
      </c>
      <c r="DV1251" s="5" t="s">
        <v>813</v>
      </c>
      <c r="DW1251" s="5" t="s">
        <v>2628</v>
      </c>
      <c r="HO1251" s="5" t="s">
        <v>312</v>
      </c>
    </row>
    <row r="1252" spans="1:223" x14ac:dyDescent="0.4">
      <c r="A1252" s="5">
        <v>2927</v>
      </c>
      <c r="B1252" s="5">
        <v>1</v>
      </c>
      <c r="C1252" s="5">
        <v>1</v>
      </c>
      <c r="D1252" s="5" t="s">
        <v>297</v>
      </c>
      <c r="E1252" s="5" t="s">
        <v>245</v>
      </c>
      <c r="F1252" s="5" t="s">
        <v>254</v>
      </c>
      <c r="G1252" s="5" t="s">
        <v>240</v>
      </c>
      <c r="H1252" s="6" t="s">
        <v>4970</v>
      </c>
      <c r="I1252" s="5" t="s">
        <v>295</v>
      </c>
      <c r="J1252" s="8">
        <f>2220</f>
        <v>2220</v>
      </c>
      <c r="K1252" s="5" t="s">
        <v>308</v>
      </c>
      <c r="L1252" s="7">
        <f>1</f>
        <v>1</v>
      </c>
      <c r="M1252" s="7">
        <f>1</f>
        <v>1</v>
      </c>
      <c r="N1252" s="5" t="s">
        <v>242</v>
      </c>
      <c r="O1252" s="5">
        <v>1</v>
      </c>
      <c r="P1252" s="5" t="s">
        <v>294</v>
      </c>
      <c r="Q1252" s="5" t="s">
        <v>266</v>
      </c>
      <c r="R1252" s="5" t="s">
        <v>240</v>
      </c>
      <c r="S1252" s="5" t="s">
        <v>240</v>
      </c>
      <c r="T1252" s="5" t="s">
        <v>296</v>
      </c>
      <c r="U1252" s="5" t="s">
        <v>244</v>
      </c>
      <c r="V1252" s="5" t="s">
        <v>240</v>
      </c>
      <c r="Y1252" s="5" t="s">
        <v>240</v>
      </c>
      <c r="Z1252" s="6" t="s">
        <v>298</v>
      </c>
      <c r="AB1252" s="6" t="s">
        <v>240</v>
      </c>
      <c r="AE1252" s="6" t="s">
        <v>299</v>
      </c>
      <c r="AF1252" s="5" t="s">
        <v>248</v>
      </c>
      <c r="AG1252" s="5" t="s">
        <v>249</v>
      </c>
      <c r="AW1252" s="5" t="s">
        <v>251</v>
      </c>
      <c r="AX1252" s="5" t="s">
        <v>240</v>
      </c>
      <c r="AY1252" s="5" t="s">
        <v>253</v>
      </c>
      <c r="AZ1252" s="5" t="s">
        <v>240</v>
      </c>
      <c r="BA1252" s="5" t="s">
        <v>255</v>
      </c>
      <c r="BB1252" s="5" t="s">
        <v>240</v>
      </c>
      <c r="BD1252" s="5" t="s">
        <v>240</v>
      </c>
      <c r="BF1252" s="5" t="s">
        <v>301</v>
      </c>
      <c r="BG1252" s="6" t="s">
        <v>299</v>
      </c>
      <c r="BH1252" s="5" t="s">
        <v>302</v>
      </c>
      <c r="BI1252" s="5" t="s">
        <v>303</v>
      </c>
      <c r="BJ1252" s="5" t="s">
        <v>240</v>
      </c>
      <c r="BK1252" s="8">
        <f>0</f>
        <v>0</v>
      </c>
      <c r="BL1252" s="7">
        <f>0</f>
        <v>0</v>
      </c>
      <c r="BM1252" s="5" t="s">
        <v>258</v>
      </c>
      <c r="BN1252" s="5" t="s">
        <v>259</v>
      </c>
      <c r="CB1252" s="5" t="s">
        <v>240</v>
      </c>
      <c r="CC1252" s="5" t="s">
        <v>240</v>
      </c>
      <c r="CG1252" s="5" t="s">
        <v>304</v>
      </c>
      <c r="CH1252" s="5" t="s">
        <v>305</v>
      </c>
      <c r="CI1252" s="5" t="s">
        <v>240</v>
      </c>
      <c r="CL1252" s="6" t="s">
        <v>261</v>
      </c>
      <c r="CM1252" s="5" t="s">
        <v>240</v>
      </c>
      <c r="CN1252" s="5" t="s">
        <v>263</v>
      </c>
      <c r="CO1252" s="5" t="s">
        <v>240</v>
      </c>
      <c r="CP1252" s="5" t="s">
        <v>240</v>
      </c>
      <c r="CQ1252" s="5">
        <v>0</v>
      </c>
      <c r="CR1252" s="5" t="s">
        <v>306</v>
      </c>
      <c r="CS1252" s="5" t="s">
        <v>307</v>
      </c>
      <c r="CT1252" s="5" t="s">
        <v>307</v>
      </c>
      <c r="CU1252" s="5" t="s">
        <v>260</v>
      </c>
      <c r="CX1252" s="7">
        <f>1</f>
        <v>1</v>
      </c>
      <c r="CY1252" s="7">
        <f>0</f>
        <v>0</v>
      </c>
      <c r="DA1252" s="7">
        <f>0</f>
        <v>0</v>
      </c>
      <c r="DC1252" s="5" t="s">
        <v>812</v>
      </c>
      <c r="DD1252" s="5" t="s">
        <v>240</v>
      </c>
      <c r="DF1252" s="5" t="s">
        <v>812</v>
      </c>
      <c r="DG1252" s="7">
        <f>2737</f>
        <v>2737</v>
      </c>
      <c r="DI1252" s="5" t="s">
        <v>240</v>
      </c>
      <c r="DJ1252" s="5" t="s">
        <v>240</v>
      </c>
      <c r="DK1252" s="5" t="s">
        <v>240</v>
      </c>
      <c r="DL1252" s="5" t="s">
        <v>240</v>
      </c>
      <c r="DP1252" s="5" t="s">
        <v>240</v>
      </c>
      <c r="DQ1252" s="5" t="s">
        <v>240</v>
      </c>
      <c r="DR1252" s="5" t="s">
        <v>240</v>
      </c>
      <c r="DS1252" s="5" t="s">
        <v>240</v>
      </c>
      <c r="DV1252" s="5" t="s">
        <v>813</v>
      </c>
      <c r="DW1252" s="5" t="s">
        <v>2630</v>
      </c>
      <c r="HO1252" s="5" t="s">
        <v>312</v>
      </c>
    </row>
    <row r="1253" spans="1:223" x14ac:dyDescent="0.4">
      <c r="A1253" s="5">
        <v>2928</v>
      </c>
      <c r="B1253" s="5">
        <v>1</v>
      </c>
      <c r="C1253" s="5">
        <v>1</v>
      </c>
      <c r="D1253" s="5" t="s">
        <v>297</v>
      </c>
      <c r="E1253" s="5" t="s">
        <v>245</v>
      </c>
      <c r="F1253" s="5" t="s">
        <v>254</v>
      </c>
      <c r="G1253" s="5" t="s">
        <v>240</v>
      </c>
      <c r="H1253" s="6" t="s">
        <v>4969</v>
      </c>
      <c r="I1253" s="5" t="s">
        <v>295</v>
      </c>
      <c r="J1253" s="8">
        <f>2763</f>
        <v>2763</v>
      </c>
      <c r="K1253" s="5" t="s">
        <v>308</v>
      </c>
      <c r="L1253" s="7">
        <f>1</f>
        <v>1</v>
      </c>
      <c r="M1253" s="7">
        <f>1</f>
        <v>1</v>
      </c>
      <c r="N1253" s="5" t="s">
        <v>242</v>
      </c>
      <c r="O1253" s="5">
        <v>1</v>
      </c>
      <c r="P1253" s="5" t="s">
        <v>294</v>
      </c>
      <c r="Q1253" s="5" t="s">
        <v>266</v>
      </c>
      <c r="R1253" s="5" t="s">
        <v>240</v>
      </c>
      <c r="S1253" s="5" t="s">
        <v>240</v>
      </c>
      <c r="T1253" s="5" t="s">
        <v>296</v>
      </c>
      <c r="U1253" s="5" t="s">
        <v>244</v>
      </c>
      <c r="V1253" s="5" t="s">
        <v>240</v>
      </c>
      <c r="Y1253" s="5" t="s">
        <v>240</v>
      </c>
      <c r="Z1253" s="6" t="s">
        <v>298</v>
      </c>
      <c r="AB1253" s="6" t="s">
        <v>240</v>
      </c>
      <c r="AE1253" s="6" t="s">
        <v>299</v>
      </c>
      <c r="AF1253" s="5" t="s">
        <v>248</v>
      </c>
      <c r="AG1253" s="5" t="s">
        <v>249</v>
      </c>
      <c r="AW1253" s="5" t="s">
        <v>251</v>
      </c>
      <c r="AX1253" s="5" t="s">
        <v>240</v>
      </c>
      <c r="AY1253" s="5" t="s">
        <v>253</v>
      </c>
      <c r="AZ1253" s="5" t="s">
        <v>240</v>
      </c>
      <c r="BA1253" s="5" t="s">
        <v>255</v>
      </c>
      <c r="BB1253" s="5" t="s">
        <v>240</v>
      </c>
      <c r="BD1253" s="5" t="s">
        <v>240</v>
      </c>
      <c r="BF1253" s="5" t="s">
        <v>301</v>
      </c>
      <c r="BG1253" s="6" t="s">
        <v>299</v>
      </c>
      <c r="BH1253" s="5" t="s">
        <v>302</v>
      </c>
      <c r="BI1253" s="5" t="s">
        <v>303</v>
      </c>
      <c r="BJ1253" s="5" t="s">
        <v>240</v>
      </c>
      <c r="BK1253" s="8">
        <f>0</f>
        <v>0</v>
      </c>
      <c r="BL1253" s="7">
        <f>0</f>
        <v>0</v>
      </c>
      <c r="BM1253" s="5" t="s">
        <v>258</v>
      </c>
      <c r="BN1253" s="5" t="s">
        <v>259</v>
      </c>
      <c r="CB1253" s="5" t="s">
        <v>240</v>
      </c>
      <c r="CC1253" s="5" t="s">
        <v>240</v>
      </c>
      <c r="CG1253" s="5" t="s">
        <v>304</v>
      </c>
      <c r="CH1253" s="5" t="s">
        <v>305</v>
      </c>
      <c r="CI1253" s="5" t="s">
        <v>240</v>
      </c>
      <c r="CL1253" s="6" t="s">
        <v>261</v>
      </c>
      <c r="CM1253" s="5" t="s">
        <v>240</v>
      </c>
      <c r="CN1253" s="5" t="s">
        <v>263</v>
      </c>
      <c r="CO1253" s="5" t="s">
        <v>240</v>
      </c>
      <c r="CP1253" s="5" t="s">
        <v>240</v>
      </c>
      <c r="CQ1253" s="5">
        <v>0</v>
      </c>
      <c r="CR1253" s="5" t="s">
        <v>306</v>
      </c>
      <c r="CS1253" s="5" t="s">
        <v>307</v>
      </c>
      <c r="CT1253" s="5" t="s">
        <v>307</v>
      </c>
      <c r="CU1253" s="5" t="s">
        <v>260</v>
      </c>
      <c r="CX1253" s="7">
        <f>1</f>
        <v>1</v>
      </c>
      <c r="CY1253" s="7">
        <f>0</f>
        <v>0</v>
      </c>
      <c r="DA1253" s="7">
        <f>0</f>
        <v>0</v>
      </c>
      <c r="DC1253" s="5" t="s">
        <v>812</v>
      </c>
      <c r="DD1253" s="5" t="s">
        <v>240</v>
      </c>
      <c r="DF1253" s="5" t="s">
        <v>812</v>
      </c>
      <c r="DG1253" s="7">
        <f>1968</f>
        <v>1968</v>
      </c>
      <c r="DI1253" s="5" t="s">
        <v>240</v>
      </c>
      <c r="DJ1253" s="5" t="s">
        <v>240</v>
      </c>
      <c r="DK1253" s="5" t="s">
        <v>240</v>
      </c>
      <c r="DL1253" s="5" t="s">
        <v>240</v>
      </c>
      <c r="DP1253" s="5" t="s">
        <v>240</v>
      </c>
      <c r="DQ1253" s="5" t="s">
        <v>240</v>
      </c>
      <c r="DR1253" s="5" t="s">
        <v>240</v>
      </c>
      <c r="DS1253" s="5" t="s">
        <v>240</v>
      </c>
      <c r="DV1253" s="5" t="s">
        <v>813</v>
      </c>
      <c r="DW1253" s="5" t="s">
        <v>2632</v>
      </c>
      <c r="HO1253" s="5" t="s">
        <v>312</v>
      </c>
    </row>
    <row r="1254" spans="1:223" x14ac:dyDescent="0.4">
      <c r="A1254" s="5">
        <v>2929</v>
      </c>
      <c r="B1254" s="5">
        <v>1</v>
      </c>
      <c r="C1254" s="5">
        <v>1</v>
      </c>
      <c r="D1254" s="5" t="s">
        <v>297</v>
      </c>
      <c r="E1254" s="5" t="s">
        <v>245</v>
      </c>
      <c r="F1254" s="5" t="s">
        <v>254</v>
      </c>
      <c r="G1254" s="5" t="s">
        <v>240</v>
      </c>
      <c r="H1254" s="6" t="s">
        <v>4967</v>
      </c>
      <c r="I1254" s="5" t="s">
        <v>295</v>
      </c>
      <c r="J1254" s="8">
        <f>1198</f>
        <v>1198</v>
      </c>
      <c r="K1254" s="5" t="s">
        <v>308</v>
      </c>
      <c r="L1254" s="7">
        <f>1</f>
        <v>1</v>
      </c>
      <c r="M1254" s="7">
        <f>1</f>
        <v>1</v>
      </c>
      <c r="N1254" s="5" t="s">
        <v>242</v>
      </c>
      <c r="O1254" s="5">
        <v>1</v>
      </c>
      <c r="P1254" s="5" t="s">
        <v>294</v>
      </c>
      <c r="Q1254" s="5" t="s">
        <v>266</v>
      </c>
      <c r="R1254" s="5" t="s">
        <v>240</v>
      </c>
      <c r="S1254" s="5" t="s">
        <v>240</v>
      </c>
      <c r="T1254" s="5" t="s">
        <v>296</v>
      </c>
      <c r="U1254" s="5" t="s">
        <v>244</v>
      </c>
      <c r="V1254" s="5" t="s">
        <v>240</v>
      </c>
      <c r="Y1254" s="5" t="s">
        <v>240</v>
      </c>
      <c r="Z1254" s="6" t="s">
        <v>298</v>
      </c>
      <c r="AB1254" s="6" t="s">
        <v>240</v>
      </c>
      <c r="AE1254" s="6" t="s">
        <v>299</v>
      </c>
      <c r="AF1254" s="5" t="s">
        <v>248</v>
      </c>
      <c r="AG1254" s="5" t="s">
        <v>249</v>
      </c>
      <c r="AW1254" s="5" t="s">
        <v>251</v>
      </c>
      <c r="AX1254" s="5" t="s">
        <v>240</v>
      </c>
      <c r="AY1254" s="5" t="s">
        <v>253</v>
      </c>
      <c r="AZ1254" s="5" t="s">
        <v>240</v>
      </c>
      <c r="BA1254" s="5" t="s">
        <v>255</v>
      </c>
      <c r="BB1254" s="5" t="s">
        <v>240</v>
      </c>
      <c r="BD1254" s="5" t="s">
        <v>240</v>
      </c>
      <c r="BF1254" s="5" t="s">
        <v>301</v>
      </c>
      <c r="BG1254" s="6" t="s">
        <v>299</v>
      </c>
      <c r="BH1254" s="5" t="s">
        <v>302</v>
      </c>
      <c r="BI1254" s="5" t="s">
        <v>303</v>
      </c>
      <c r="BJ1254" s="5" t="s">
        <v>240</v>
      </c>
      <c r="BK1254" s="8">
        <f>0</f>
        <v>0</v>
      </c>
      <c r="BL1254" s="7">
        <f>0</f>
        <v>0</v>
      </c>
      <c r="BM1254" s="5" t="s">
        <v>258</v>
      </c>
      <c r="BN1254" s="5" t="s">
        <v>259</v>
      </c>
      <c r="CB1254" s="5" t="s">
        <v>240</v>
      </c>
      <c r="CC1254" s="5" t="s">
        <v>240</v>
      </c>
      <c r="CG1254" s="5" t="s">
        <v>304</v>
      </c>
      <c r="CH1254" s="5" t="s">
        <v>305</v>
      </c>
      <c r="CI1254" s="5" t="s">
        <v>240</v>
      </c>
      <c r="CL1254" s="6" t="s">
        <v>261</v>
      </c>
      <c r="CM1254" s="5" t="s">
        <v>240</v>
      </c>
      <c r="CN1254" s="5" t="s">
        <v>263</v>
      </c>
      <c r="CO1254" s="5" t="s">
        <v>240</v>
      </c>
      <c r="CP1254" s="5" t="s">
        <v>240</v>
      </c>
      <c r="CQ1254" s="5">
        <v>0</v>
      </c>
      <c r="CR1254" s="5" t="s">
        <v>306</v>
      </c>
      <c r="CS1254" s="5" t="s">
        <v>307</v>
      </c>
      <c r="CT1254" s="5" t="s">
        <v>307</v>
      </c>
      <c r="CU1254" s="5" t="s">
        <v>260</v>
      </c>
      <c r="CX1254" s="7">
        <f>1</f>
        <v>1</v>
      </c>
      <c r="CY1254" s="7">
        <f>0</f>
        <v>0</v>
      </c>
      <c r="DA1254" s="7">
        <f>0</f>
        <v>0</v>
      </c>
      <c r="DC1254" s="5" t="s">
        <v>812</v>
      </c>
      <c r="DD1254" s="5" t="s">
        <v>240</v>
      </c>
      <c r="DF1254" s="5" t="s">
        <v>812</v>
      </c>
      <c r="DG1254" s="7">
        <f>604</f>
        <v>604</v>
      </c>
      <c r="DI1254" s="5" t="s">
        <v>240</v>
      </c>
      <c r="DJ1254" s="5" t="s">
        <v>240</v>
      </c>
      <c r="DK1254" s="5" t="s">
        <v>240</v>
      </c>
      <c r="DL1254" s="5" t="s">
        <v>240</v>
      </c>
      <c r="DP1254" s="5" t="s">
        <v>240</v>
      </c>
      <c r="DQ1254" s="5" t="s">
        <v>240</v>
      </c>
      <c r="DR1254" s="5" t="s">
        <v>240</v>
      </c>
      <c r="DS1254" s="5" t="s">
        <v>240</v>
      </c>
      <c r="DV1254" s="5" t="s">
        <v>813</v>
      </c>
      <c r="DW1254" s="5" t="s">
        <v>2634</v>
      </c>
      <c r="HO1254" s="5" t="s">
        <v>312</v>
      </c>
    </row>
    <row r="1255" spans="1:223" x14ac:dyDescent="0.4">
      <c r="A1255" s="5">
        <v>2930</v>
      </c>
      <c r="B1255" s="5">
        <v>1</v>
      </c>
      <c r="C1255" s="5">
        <v>1</v>
      </c>
      <c r="D1255" s="5" t="s">
        <v>297</v>
      </c>
      <c r="E1255" s="5" t="s">
        <v>245</v>
      </c>
      <c r="F1255" s="5" t="s">
        <v>254</v>
      </c>
      <c r="G1255" s="5" t="s">
        <v>240</v>
      </c>
      <c r="H1255" s="6" t="s">
        <v>4966</v>
      </c>
      <c r="I1255" s="5" t="s">
        <v>295</v>
      </c>
      <c r="J1255" s="8">
        <f>92</f>
        <v>92</v>
      </c>
      <c r="K1255" s="5" t="s">
        <v>308</v>
      </c>
      <c r="L1255" s="7">
        <f>1</f>
        <v>1</v>
      </c>
      <c r="M1255" s="7">
        <f>1</f>
        <v>1</v>
      </c>
      <c r="N1255" s="5" t="s">
        <v>242</v>
      </c>
      <c r="O1255" s="5">
        <v>1</v>
      </c>
      <c r="P1255" s="5" t="s">
        <v>294</v>
      </c>
      <c r="Q1255" s="5" t="s">
        <v>266</v>
      </c>
      <c r="R1255" s="5" t="s">
        <v>240</v>
      </c>
      <c r="S1255" s="5" t="s">
        <v>240</v>
      </c>
      <c r="T1255" s="5" t="s">
        <v>296</v>
      </c>
      <c r="U1255" s="5" t="s">
        <v>244</v>
      </c>
      <c r="V1255" s="5" t="s">
        <v>240</v>
      </c>
      <c r="Y1255" s="5" t="s">
        <v>240</v>
      </c>
      <c r="Z1255" s="6" t="s">
        <v>298</v>
      </c>
      <c r="AB1255" s="6" t="s">
        <v>240</v>
      </c>
      <c r="AE1255" s="6" t="s">
        <v>299</v>
      </c>
      <c r="AF1255" s="5" t="s">
        <v>248</v>
      </c>
      <c r="AG1255" s="5" t="s">
        <v>249</v>
      </c>
      <c r="AW1255" s="5" t="s">
        <v>251</v>
      </c>
      <c r="AX1255" s="5" t="s">
        <v>240</v>
      </c>
      <c r="AY1255" s="5" t="s">
        <v>253</v>
      </c>
      <c r="AZ1255" s="5" t="s">
        <v>240</v>
      </c>
      <c r="BA1255" s="5" t="s">
        <v>255</v>
      </c>
      <c r="BB1255" s="5" t="s">
        <v>240</v>
      </c>
      <c r="BD1255" s="5" t="s">
        <v>240</v>
      </c>
      <c r="BF1255" s="5" t="s">
        <v>301</v>
      </c>
      <c r="BG1255" s="6" t="s">
        <v>299</v>
      </c>
      <c r="BH1255" s="5" t="s">
        <v>302</v>
      </c>
      <c r="BI1255" s="5" t="s">
        <v>303</v>
      </c>
      <c r="BJ1255" s="5" t="s">
        <v>240</v>
      </c>
      <c r="BK1255" s="8">
        <f>0</f>
        <v>0</v>
      </c>
      <c r="BL1255" s="7">
        <f>0</f>
        <v>0</v>
      </c>
      <c r="BM1255" s="5" t="s">
        <v>258</v>
      </c>
      <c r="BN1255" s="5" t="s">
        <v>259</v>
      </c>
      <c r="CB1255" s="5" t="s">
        <v>240</v>
      </c>
      <c r="CC1255" s="5" t="s">
        <v>240</v>
      </c>
      <c r="CG1255" s="5" t="s">
        <v>304</v>
      </c>
      <c r="CH1255" s="5" t="s">
        <v>305</v>
      </c>
      <c r="CI1255" s="5" t="s">
        <v>240</v>
      </c>
      <c r="CL1255" s="6" t="s">
        <v>261</v>
      </c>
      <c r="CM1255" s="5" t="s">
        <v>240</v>
      </c>
      <c r="CN1255" s="5" t="s">
        <v>263</v>
      </c>
      <c r="CO1255" s="5" t="s">
        <v>240</v>
      </c>
      <c r="CP1255" s="5" t="s">
        <v>240</v>
      </c>
      <c r="CQ1255" s="5">
        <v>0</v>
      </c>
      <c r="CR1255" s="5" t="s">
        <v>306</v>
      </c>
      <c r="CS1255" s="5" t="s">
        <v>307</v>
      </c>
      <c r="CT1255" s="5" t="s">
        <v>307</v>
      </c>
      <c r="CU1255" s="5" t="s">
        <v>260</v>
      </c>
      <c r="CX1255" s="7">
        <f>1</f>
        <v>1</v>
      </c>
      <c r="CY1255" s="7">
        <f>0</f>
        <v>0</v>
      </c>
      <c r="DA1255" s="7">
        <f>0</f>
        <v>0</v>
      </c>
      <c r="DC1255" s="5" t="s">
        <v>812</v>
      </c>
      <c r="DD1255" s="5" t="s">
        <v>240</v>
      </c>
      <c r="DF1255" s="5" t="s">
        <v>812</v>
      </c>
      <c r="DG1255" s="7">
        <f>32</f>
        <v>32</v>
      </c>
      <c r="DI1255" s="5" t="s">
        <v>240</v>
      </c>
      <c r="DJ1255" s="5" t="s">
        <v>240</v>
      </c>
      <c r="DK1255" s="5" t="s">
        <v>240</v>
      </c>
      <c r="DL1255" s="5" t="s">
        <v>240</v>
      </c>
      <c r="DP1255" s="5" t="s">
        <v>240</v>
      </c>
      <c r="DQ1255" s="5" t="s">
        <v>240</v>
      </c>
      <c r="DR1255" s="5" t="s">
        <v>240</v>
      </c>
      <c r="DS1255" s="5" t="s">
        <v>240</v>
      </c>
      <c r="DV1255" s="5" t="s">
        <v>813</v>
      </c>
      <c r="DW1255" s="5" t="s">
        <v>2636</v>
      </c>
      <c r="HO1255" s="5" t="s">
        <v>312</v>
      </c>
    </row>
    <row r="1256" spans="1:223" x14ac:dyDescent="0.4">
      <c r="A1256" s="5">
        <v>2931</v>
      </c>
      <c r="B1256" s="5">
        <v>1</v>
      </c>
      <c r="C1256" s="5">
        <v>1</v>
      </c>
      <c r="D1256" s="5" t="s">
        <v>297</v>
      </c>
      <c r="E1256" s="5" t="s">
        <v>245</v>
      </c>
      <c r="F1256" s="5" t="s">
        <v>254</v>
      </c>
      <c r="G1256" s="5" t="s">
        <v>240</v>
      </c>
      <c r="H1256" s="6" t="s">
        <v>4965</v>
      </c>
      <c r="I1256" s="5" t="s">
        <v>295</v>
      </c>
      <c r="J1256" s="8">
        <f>343</f>
        <v>343</v>
      </c>
      <c r="K1256" s="5" t="s">
        <v>308</v>
      </c>
      <c r="L1256" s="7">
        <f>1</f>
        <v>1</v>
      </c>
      <c r="M1256" s="7">
        <f>1</f>
        <v>1</v>
      </c>
      <c r="N1256" s="5" t="s">
        <v>242</v>
      </c>
      <c r="O1256" s="5">
        <v>1</v>
      </c>
      <c r="P1256" s="5" t="s">
        <v>294</v>
      </c>
      <c r="Q1256" s="5" t="s">
        <v>266</v>
      </c>
      <c r="R1256" s="5" t="s">
        <v>240</v>
      </c>
      <c r="S1256" s="5" t="s">
        <v>240</v>
      </c>
      <c r="T1256" s="5" t="s">
        <v>296</v>
      </c>
      <c r="U1256" s="5" t="s">
        <v>244</v>
      </c>
      <c r="V1256" s="5" t="s">
        <v>240</v>
      </c>
      <c r="Y1256" s="5" t="s">
        <v>240</v>
      </c>
      <c r="Z1256" s="6" t="s">
        <v>298</v>
      </c>
      <c r="AB1256" s="6" t="s">
        <v>240</v>
      </c>
      <c r="AE1256" s="6" t="s">
        <v>299</v>
      </c>
      <c r="AF1256" s="5" t="s">
        <v>248</v>
      </c>
      <c r="AG1256" s="5" t="s">
        <v>249</v>
      </c>
      <c r="AW1256" s="5" t="s">
        <v>251</v>
      </c>
      <c r="AX1256" s="5" t="s">
        <v>240</v>
      </c>
      <c r="AY1256" s="5" t="s">
        <v>253</v>
      </c>
      <c r="AZ1256" s="5" t="s">
        <v>240</v>
      </c>
      <c r="BA1256" s="5" t="s">
        <v>255</v>
      </c>
      <c r="BB1256" s="5" t="s">
        <v>240</v>
      </c>
      <c r="BD1256" s="5" t="s">
        <v>240</v>
      </c>
      <c r="BF1256" s="5" t="s">
        <v>301</v>
      </c>
      <c r="BG1256" s="6" t="s">
        <v>299</v>
      </c>
      <c r="BH1256" s="5" t="s">
        <v>302</v>
      </c>
      <c r="BI1256" s="5" t="s">
        <v>303</v>
      </c>
      <c r="BJ1256" s="5" t="s">
        <v>240</v>
      </c>
      <c r="BK1256" s="8">
        <f>0</f>
        <v>0</v>
      </c>
      <c r="BL1256" s="7">
        <f>0</f>
        <v>0</v>
      </c>
      <c r="BM1256" s="5" t="s">
        <v>258</v>
      </c>
      <c r="BN1256" s="5" t="s">
        <v>259</v>
      </c>
      <c r="CB1256" s="5" t="s">
        <v>240</v>
      </c>
      <c r="CC1256" s="5" t="s">
        <v>240</v>
      </c>
      <c r="CG1256" s="5" t="s">
        <v>304</v>
      </c>
      <c r="CH1256" s="5" t="s">
        <v>305</v>
      </c>
      <c r="CI1256" s="5" t="s">
        <v>240</v>
      </c>
      <c r="CL1256" s="6" t="s">
        <v>261</v>
      </c>
      <c r="CM1256" s="5" t="s">
        <v>240</v>
      </c>
      <c r="CN1256" s="5" t="s">
        <v>263</v>
      </c>
      <c r="CO1256" s="5" t="s">
        <v>240</v>
      </c>
      <c r="CP1256" s="5" t="s">
        <v>240</v>
      </c>
      <c r="CQ1256" s="5">
        <v>0</v>
      </c>
      <c r="CR1256" s="5" t="s">
        <v>306</v>
      </c>
      <c r="CS1256" s="5" t="s">
        <v>307</v>
      </c>
      <c r="CT1256" s="5" t="s">
        <v>307</v>
      </c>
      <c r="CU1256" s="5" t="s">
        <v>260</v>
      </c>
      <c r="CX1256" s="7">
        <f>1</f>
        <v>1</v>
      </c>
      <c r="CY1256" s="7">
        <f>0</f>
        <v>0</v>
      </c>
      <c r="DA1256" s="7">
        <f>0</f>
        <v>0</v>
      </c>
      <c r="DC1256" s="5" t="s">
        <v>812</v>
      </c>
      <c r="DD1256" s="5" t="s">
        <v>240</v>
      </c>
      <c r="DF1256" s="5" t="s">
        <v>812</v>
      </c>
      <c r="DG1256" s="7">
        <f>299</f>
        <v>299</v>
      </c>
      <c r="DI1256" s="5" t="s">
        <v>240</v>
      </c>
      <c r="DJ1256" s="5" t="s">
        <v>240</v>
      </c>
      <c r="DK1256" s="5" t="s">
        <v>240</v>
      </c>
      <c r="DL1256" s="5" t="s">
        <v>240</v>
      </c>
      <c r="DP1256" s="5" t="s">
        <v>240</v>
      </c>
      <c r="DQ1256" s="5" t="s">
        <v>240</v>
      </c>
      <c r="DR1256" s="5" t="s">
        <v>240</v>
      </c>
      <c r="DS1256" s="5" t="s">
        <v>240</v>
      </c>
      <c r="DV1256" s="5" t="s">
        <v>813</v>
      </c>
      <c r="DW1256" s="5" t="s">
        <v>2638</v>
      </c>
      <c r="HO1256" s="5" t="s">
        <v>312</v>
      </c>
    </row>
    <row r="1257" spans="1:223" x14ac:dyDescent="0.4">
      <c r="A1257" s="5">
        <v>2932</v>
      </c>
      <c r="B1257" s="5">
        <v>1</v>
      </c>
      <c r="C1257" s="5">
        <v>1</v>
      </c>
      <c r="D1257" s="5" t="s">
        <v>297</v>
      </c>
      <c r="E1257" s="5" t="s">
        <v>245</v>
      </c>
      <c r="F1257" s="5" t="s">
        <v>254</v>
      </c>
      <c r="G1257" s="5" t="s">
        <v>240</v>
      </c>
      <c r="H1257" s="6" t="s">
        <v>4964</v>
      </c>
      <c r="I1257" s="5" t="s">
        <v>295</v>
      </c>
      <c r="J1257" s="8">
        <f>3891</f>
        <v>3891</v>
      </c>
      <c r="K1257" s="5" t="s">
        <v>308</v>
      </c>
      <c r="L1257" s="7">
        <f>1</f>
        <v>1</v>
      </c>
      <c r="M1257" s="7">
        <f>1</f>
        <v>1</v>
      </c>
      <c r="N1257" s="5" t="s">
        <v>242</v>
      </c>
      <c r="O1257" s="5">
        <v>1</v>
      </c>
      <c r="P1257" s="5" t="s">
        <v>294</v>
      </c>
      <c r="Q1257" s="5" t="s">
        <v>266</v>
      </c>
      <c r="R1257" s="5" t="s">
        <v>240</v>
      </c>
      <c r="S1257" s="5" t="s">
        <v>240</v>
      </c>
      <c r="T1257" s="5" t="s">
        <v>296</v>
      </c>
      <c r="U1257" s="5" t="s">
        <v>244</v>
      </c>
      <c r="V1257" s="5" t="s">
        <v>240</v>
      </c>
      <c r="Y1257" s="5" t="s">
        <v>240</v>
      </c>
      <c r="Z1257" s="6" t="s">
        <v>298</v>
      </c>
      <c r="AB1257" s="6" t="s">
        <v>240</v>
      </c>
      <c r="AE1257" s="6" t="s">
        <v>299</v>
      </c>
      <c r="AF1257" s="5" t="s">
        <v>248</v>
      </c>
      <c r="AG1257" s="5" t="s">
        <v>249</v>
      </c>
      <c r="AW1257" s="5" t="s">
        <v>251</v>
      </c>
      <c r="AX1257" s="5" t="s">
        <v>240</v>
      </c>
      <c r="AY1257" s="5" t="s">
        <v>253</v>
      </c>
      <c r="AZ1257" s="5" t="s">
        <v>240</v>
      </c>
      <c r="BA1257" s="5" t="s">
        <v>255</v>
      </c>
      <c r="BB1257" s="5" t="s">
        <v>240</v>
      </c>
      <c r="BD1257" s="5" t="s">
        <v>240</v>
      </c>
      <c r="BF1257" s="5" t="s">
        <v>301</v>
      </c>
      <c r="BG1257" s="6" t="s">
        <v>299</v>
      </c>
      <c r="BH1257" s="5" t="s">
        <v>302</v>
      </c>
      <c r="BI1257" s="5" t="s">
        <v>303</v>
      </c>
      <c r="BJ1257" s="5" t="s">
        <v>240</v>
      </c>
      <c r="BK1257" s="8">
        <f>0</f>
        <v>0</v>
      </c>
      <c r="BL1257" s="7">
        <f>0</f>
        <v>0</v>
      </c>
      <c r="BM1257" s="5" t="s">
        <v>258</v>
      </c>
      <c r="BN1257" s="5" t="s">
        <v>259</v>
      </c>
      <c r="CB1257" s="5" t="s">
        <v>240</v>
      </c>
      <c r="CC1257" s="5" t="s">
        <v>240</v>
      </c>
      <c r="CG1257" s="5" t="s">
        <v>304</v>
      </c>
      <c r="CH1257" s="5" t="s">
        <v>305</v>
      </c>
      <c r="CI1257" s="5" t="s">
        <v>240</v>
      </c>
      <c r="CL1257" s="6" t="s">
        <v>261</v>
      </c>
      <c r="CM1257" s="5" t="s">
        <v>240</v>
      </c>
      <c r="CN1257" s="5" t="s">
        <v>263</v>
      </c>
      <c r="CO1257" s="5" t="s">
        <v>240</v>
      </c>
      <c r="CP1257" s="5" t="s">
        <v>240</v>
      </c>
      <c r="CQ1257" s="5">
        <v>0</v>
      </c>
      <c r="CR1257" s="5" t="s">
        <v>306</v>
      </c>
      <c r="CS1257" s="5" t="s">
        <v>307</v>
      </c>
      <c r="CT1257" s="5" t="s">
        <v>307</v>
      </c>
      <c r="CU1257" s="5" t="s">
        <v>260</v>
      </c>
      <c r="CX1257" s="7">
        <f>1</f>
        <v>1</v>
      </c>
      <c r="CY1257" s="7">
        <f>0</f>
        <v>0</v>
      </c>
      <c r="DA1257" s="7">
        <f>0</f>
        <v>0</v>
      </c>
      <c r="DC1257" s="5" t="s">
        <v>812</v>
      </c>
      <c r="DD1257" s="5" t="s">
        <v>240</v>
      </c>
      <c r="DF1257" s="5" t="s">
        <v>812</v>
      </c>
      <c r="DG1257" s="7">
        <f>759</f>
        <v>759</v>
      </c>
      <c r="DI1257" s="5" t="s">
        <v>240</v>
      </c>
      <c r="DJ1257" s="5" t="s">
        <v>240</v>
      </c>
      <c r="DK1257" s="5" t="s">
        <v>240</v>
      </c>
      <c r="DL1257" s="5" t="s">
        <v>240</v>
      </c>
      <c r="DP1257" s="5" t="s">
        <v>240</v>
      </c>
      <c r="DQ1257" s="5" t="s">
        <v>240</v>
      </c>
      <c r="DR1257" s="5" t="s">
        <v>240</v>
      </c>
      <c r="DS1257" s="5" t="s">
        <v>240</v>
      </c>
      <c r="DV1257" s="5" t="s">
        <v>813</v>
      </c>
      <c r="DW1257" s="5" t="s">
        <v>2640</v>
      </c>
      <c r="HO1257" s="5" t="s">
        <v>312</v>
      </c>
    </row>
    <row r="1258" spans="1:223" x14ac:dyDescent="0.4">
      <c r="A1258" s="5">
        <v>2933</v>
      </c>
      <c r="B1258" s="5">
        <v>1</v>
      </c>
      <c r="C1258" s="5">
        <v>1</v>
      </c>
      <c r="D1258" s="5" t="s">
        <v>297</v>
      </c>
      <c r="E1258" s="5" t="s">
        <v>245</v>
      </c>
      <c r="F1258" s="5" t="s">
        <v>254</v>
      </c>
      <c r="G1258" s="5" t="s">
        <v>240</v>
      </c>
      <c r="H1258" s="6" t="s">
        <v>4962</v>
      </c>
      <c r="I1258" s="5" t="s">
        <v>295</v>
      </c>
      <c r="J1258" s="8">
        <f>1675</f>
        <v>1675</v>
      </c>
      <c r="K1258" s="5" t="s">
        <v>308</v>
      </c>
      <c r="L1258" s="7">
        <f>1</f>
        <v>1</v>
      </c>
      <c r="M1258" s="7">
        <f>1</f>
        <v>1</v>
      </c>
      <c r="N1258" s="5" t="s">
        <v>242</v>
      </c>
      <c r="O1258" s="5">
        <v>1</v>
      </c>
      <c r="P1258" s="5" t="s">
        <v>294</v>
      </c>
      <c r="Q1258" s="5" t="s">
        <v>266</v>
      </c>
      <c r="R1258" s="5" t="s">
        <v>240</v>
      </c>
      <c r="S1258" s="5" t="s">
        <v>240</v>
      </c>
      <c r="T1258" s="5" t="s">
        <v>296</v>
      </c>
      <c r="U1258" s="5" t="s">
        <v>244</v>
      </c>
      <c r="V1258" s="5" t="s">
        <v>240</v>
      </c>
      <c r="Y1258" s="5" t="s">
        <v>240</v>
      </c>
      <c r="Z1258" s="6" t="s">
        <v>298</v>
      </c>
      <c r="AB1258" s="6" t="s">
        <v>240</v>
      </c>
      <c r="AE1258" s="6" t="s">
        <v>299</v>
      </c>
      <c r="AF1258" s="5" t="s">
        <v>248</v>
      </c>
      <c r="AG1258" s="5" t="s">
        <v>249</v>
      </c>
      <c r="AW1258" s="5" t="s">
        <v>251</v>
      </c>
      <c r="AX1258" s="5" t="s">
        <v>240</v>
      </c>
      <c r="AY1258" s="5" t="s">
        <v>253</v>
      </c>
      <c r="AZ1258" s="5" t="s">
        <v>240</v>
      </c>
      <c r="BA1258" s="5" t="s">
        <v>255</v>
      </c>
      <c r="BB1258" s="5" t="s">
        <v>240</v>
      </c>
      <c r="BD1258" s="5" t="s">
        <v>240</v>
      </c>
      <c r="BF1258" s="5" t="s">
        <v>301</v>
      </c>
      <c r="BG1258" s="6" t="s">
        <v>299</v>
      </c>
      <c r="BH1258" s="5" t="s">
        <v>302</v>
      </c>
      <c r="BI1258" s="5" t="s">
        <v>303</v>
      </c>
      <c r="BJ1258" s="5" t="s">
        <v>240</v>
      </c>
      <c r="BK1258" s="8">
        <f>0</f>
        <v>0</v>
      </c>
      <c r="BL1258" s="7">
        <f>0</f>
        <v>0</v>
      </c>
      <c r="BM1258" s="5" t="s">
        <v>258</v>
      </c>
      <c r="BN1258" s="5" t="s">
        <v>259</v>
      </c>
      <c r="CB1258" s="5" t="s">
        <v>240</v>
      </c>
      <c r="CC1258" s="5" t="s">
        <v>240</v>
      </c>
      <c r="CG1258" s="5" t="s">
        <v>304</v>
      </c>
      <c r="CH1258" s="5" t="s">
        <v>305</v>
      </c>
      <c r="CI1258" s="5" t="s">
        <v>240</v>
      </c>
      <c r="CL1258" s="6" t="s">
        <v>261</v>
      </c>
      <c r="CM1258" s="5" t="s">
        <v>240</v>
      </c>
      <c r="CN1258" s="5" t="s">
        <v>263</v>
      </c>
      <c r="CO1258" s="5" t="s">
        <v>240</v>
      </c>
      <c r="CP1258" s="5" t="s">
        <v>240</v>
      </c>
      <c r="CQ1258" s="5">
        <v>0</v>
      </c>
      <c r="CR1258" s="5" t="s">
        <v>306</v>
      </c>
      <c r="CS1258" s="5" t="s">
        <v>307</v>
      </c>
      <c r="CT1258" s="5" t="s">
        <v>307</v>
      </c>
      <c r="CU1258" s="5" t="s">
        <v>260</v>
      </c>
      <c r="CX1258" s="7">
        <f>1</f>
        <v>1</v>
      </c>
      <c r="CY1258" s="7">
        <f>0</f>
        <v>0</v>
      </c>
      <c r="DA1258" s="7">
        <f>0</f>
        <v>0</v>
      </c>
      <c r="DC1258" s="5" t="s">
        <v>812</v>
      </c>
      <c r="DD1258" s="5" t="s">
        <v>240</v>
      </c>
      <c r="DF1258" s="5" t="s">
        <v>812</v>
      </c>
      <c r="DG1258" s="7">
        <f>575</f>
        <v>575</v>
      </c>
      <c r="DI1258" s="5" t="s">
        <v>240</v>
      </c>
      <c r="DJ1258" s="5" t="s">
        <v>240</v>
      </c>
      <c r="DK1258" s="5" t="s">
        <v>240</v>
      </c>
      <c r="DL1258" s="5" t="s">
        <v>240</v>
      </c>
      <c r="DP1258" s="5" t="s">
        <v>240</v>
      </c>
      <c r="DQ1258" s="5" t="s">
        <v>240</v>
      </c>
      <c r="DR1258" s="5" t="s">
        <v>240</v>
      </c>
      <c r="DS1258" s="5" t="s">
        <v>240</v>
      </c>
      <c r="DV1258" s="5" t="s">
        <v>813</v>
      </c>
      <c r="DW1258" s="5" t="s">
        <v>2642</v>
      </c>
      <c r="HO1258" s="5" t="s">
        <v>312</v>
      </c>
    </row>
    <row r="1259" spans="1:223" x14ac:dyDescent="0.4">
      <c r="A1259" s="5">
        <v>2934</v>
      </c>
      <c r="B1259" s="5">
        <v>1</v>
      </c>
      <c r="C1259" s="5">
        <v>1</v>
      </c>
      <c r="D1259" s="5" t="s">
        <v>297</v>
      </c>
      <c r="E1259" s="5" t="s">
        <v>245</v>
      </c>
      <c r="F1259" s="5" t="s">
        <v>254</v>
      </c>
      <c r="G1259" s="5" t="s">
        <v>240</v>
      </c>
      <c r="H1259" s="6" t="s">
        <v>4961</v>
      </c>
      <c r="I1259" s="5" t="s">
        <v>295</v>
      </c>
      <c r="J1259" s="8">
        <f>2427</f>
        <v>2427</v>
      </c>
      <c r="K1259" s="5" t="s">
        <v>308</v>
      </c>
      <c r="L1259" s="7">
        <f>1</f>
        <v>1</v>
      </c>
      <c r="M1259" s="7">
        <f>1</f>
        <v>1</v>
      </c>
      <c r="N1259" s="5" t="s">
        <v>242</v>
      </c>
      <c r="O1259" s="5">
        <v>1</v>
      </c>
      <c r="P1259" s="5" t="s">
        <v>294</v>
      </c>
      <c r="Q1259" s="5" t="s">
        <v>266</v>
      </c>
      <c r="R1259" s="5" t="s">
        <v>240</v>
      </c>
      <c r="S1259" s="5" t="s">
        <v>240</v>
      </c>
      <c r="T1259" s="5" t="s">
        <v>296</v>
      </c>
      <c r="U1259" s="5" t="s">
        <v>244</v>
      </c>
      <c r="V1259" s="5" t="s">
        <v>240</v>
      </c>
      <c r="Y1259" s="5" t="s">
        <v>240</v>
      </c>
      <c r="Z1259" s="6" t="s">
        <v>298</v>
      </c>
      <c r="AB1259" s="6" t="s">
        <v>240</v>
      </c>
      <c r="AE1259" s="6" t="s">
        <v>299</v>
      </c>
      <c r="AF1259" s="5" t="s">
        <v>248</v>
      </c>
      <c r="AG1259" s="5" t="s">
        <v>249</v>
      </c>
      <c r="AW1259" s="5" t="s">
        <v>251</v>
      </c>
      <c r="AX1259" s="5" t="s">
        <v>240</v>
      </c>
      <c r="AY1259" s="5" t="s">
        <v>253</v>
      </c>
      <c r="AZ1259" s="5" t="s">
        <v>240</v>
      </c>
      <c r="BA1259" s="5" t="s">
        <v>255</v>
      </c>
      <c r="BB1259" s="5" t="s">
        <v>240</v>
      </c>
      <c r="BD1259" s="5" t="s">
        <v>240</v>
      </c>
      <c r="BF1259" s="5" t="s">
        <v>301</v>
      </c>
      <c r="BG1259" s="6" t="s">
        <v>299</v>
      </c>
      <c r="BH1259" s="5" t="s">
        <v>302</v>
      </c>
      <c r="BI1259" s="5" t="s">
        <v>303</v>
      </c>
      <c r="BJ1259" s="5" t="s">
        <v>240</v>
      </c>
      <c r="BK1259" s="8">
        <f>0</f>
        <v>0</v>
      </c>
      <c r="BL1259" s="7">
        <f>0</f>
        <v>0</v>
      </c>
      <c r="BM1259" s="5" t="s">
        <v>258</v>
      </c>
      <c r="BN1259" s="5" t="s">
        <v>259</v>
      </c>
      <c r="CB1259" s="5" t="s">
        <v>240</v>
      </c>
      <c r="CC1259" s="5" t="s">
        <v>240</v>
      </c>
      <c r="CG1259" s="5" t="s">
        <v>304</v>
      </c>
      <c r="CH1259" s="5" t="s">
        <v>305</v>
      </c>
      <c r="CI1259" s="5" t="s">
        <v>240</v>
      </c>
      <c r="CL1259" s="6" t="s">
        <v>261</v>
      </c>
      <c r="CM1259" s="5" t="s">
        <v>240</v>
      </c>
      <c r="CN1259" s="5" t="s">
        <v>263</v>
      </c>
      <c r="CO1259" s="5" t="s">
        <v>240</v>
      </c>
      <c r="CP1259" s="5" t="s">
        <v>240</v>
      </c>
      <c r="CQ1259" s="5">
        <v>0</v>
      </c>
      <c r="CR1259" s="5" t="s">
        <v>306</v>
      </c>
      <c r="CS1259" s="5" t="s">
        <v>307</v>
      </c>
      <c r="CT1259" s="5" t="s">
        <v>307</v>
      </c>
      <c r="CU1259" s="5" t="s">
        <v>260</v>
      </c>
      <c r="CX1259" s="7">
        <f>1</f>
        <v>1</v>
      </c>
      <c r="CY1259" s="7">
        <f>0</f>
        <v>0</v>
      </c>
      <c r="DA1259" s="7">
        <f>0</f>
        <v>0</v>
      </c>
      <c r="DC1259" s="5" t="s">
        <v>812</v>
      </c>
      <c r="DD1259" s="5" t="s">
        <v>240</v>
      </c>
      <c r="DF1259" s="5" t="s">
        <v>812</v>
      </c>
      <c r="DG1259" s="7">
        <f>185</f>
        <v>185</v>
      </c>
      <c r="DI1259" s="5" t="s">
        <v>240</v>
      </c>
      <c r="DJ1259" s="5" t="s">
        <v>240</v>
      </c>
      <c r="DK1259" s="5" t="s">
        <v>240</v>
      </c>
      <c r="DL1259" s="5" t="s">
        <v>240</v>
      </c>
      <c r="DP1259" s="5" t="s">
        <v>240</v>
      </c>
      <c r="DQ1259" s="5" t="s">
        <v>240</v>
      </c>
      <c r="DR1259" s="5" t="s">
        <v>240</v>
      </c>
      <c r="DS1259" s="5" t="s">
        <v>240</v>
      </c>
      <c r="DV1259" s="5" t="s">
        <v>813</v>
      </c>
      <c r="DW1259" s="5" t="s">
        <v>2644</v>
      </c>
      <c r="HO1259" s="5" t="s">
        <v>312</v>
      </c>
    </row>
    <row r="1260" spans="1:223" x14ac:dyDescent="0.4">
      <c r="A1260" s="5">
        <v>2935</v>
      </c>
      <c r="B1260" s="5">
        <v>1</v>
      </c>
      <c r="C1260" s="5">
        <v>1</v>
      </c>
      <c r="D1260" s="5" t="s">
        <v>297</v>
      </c>
      <c r="E1260" s="5" t="s">
        <v>245</v>
      </c>
      <c r="F1260" s="5" t="s">
        <v>254</v>
      </c>
      <c r="G1260" s="5" t="s">
        <v>240</v>
      </c>
      <c r="H1260" s="6" t="s">
        <v>4960</v>
      </c>
      <c r="I1260" s="5" t="s">
        <v>295</v>
      </c>
      <c r="J1260" s="8">
        <f>1043</f>
        <v>1043</v>
      </c>
      <c r="K1260" s="5" t="s">
        <v>308</v>
      </c>
      <c r="L1260" s="7">
        <f>1</f>
        <v>1</v>
      </c>
      <c r="M1260" s="7">
        <f>1</f>
        <v>1</v>
      </c>
      <c r="N1260" s="5" t="s">
        <v>242</v>
      </c>
      <c r="O1260" s="5">
        <v>1</v>
      </c>
      <c r="P1260" s="5" t="s">
        <v>294</v>
      </c>
      <c r="Q1260" s="5" t="s">
        <v>266</v>
      </c>
      <c r="R1260" s="5" t="s">
        <v>240</v>
      </c>
      <c r="S1260" s="5" t="s">
        <v>240</v>
      </c>
      <c r="T1260" s="5" t="s">
        <v>296</v>
      </c>
      <c r="U1260" s="5" t="s">
        <v>244</v>
      </c>
      <c r="V1260" s="5" t="s">
        <v>240</v>
      </c>
      <c r="Y1260" s="5" t="s">
        <v>240</v>
      </c>
      <c r="Z1260" s="6" t="s">
        <v>298</v>
      </c>
      <c r="AB1260" s="6" t="s">
        <v>240</v>
      </c>
      <c r="AE1260" s="6" t="s">
        <v>299</v>
      </c>
      <c r="AF1260" s="5" t="s">
        <v>248</v>
      </c>
      <c r="AG1260" s="5" t="s">
        <v>249</v>
      </c>
      <c r="AW1260" s="5" t="s">
        <v>251</v>
      </c>
      <c r="AX1260" s="5" t="s">
        <v>240</v>
      </c>
      <c r="AY1260" s="5" t="s">
        <v>253</v>
      </c>
      <c r="AZ1260" s="5" t="s">
        <v>240</v>
      </c>
      <c r="BA1260" s="5" t="s">
        <v>255</v>
      </c>
      <c r="BB1260" s="5" t="s">
        <v>240</v>
      </c>
      <c r="BD1260" s="5" t="s">
        <v>240</v>
      </c>
      <c r="BF1260" s="5" t="s">
        <v>301</v>
      </c>
      <c r="BG1260" s="6" t="s">
        <v>299</v>
      </c>
      <c r="BH1260" s="5" t="s">
        <v>302</v>
      </c>
      <c r="BI1260" s="5" t="s">
        <v>303</v>
      </c>
      <c r="BJ1260" s="5" t="s">
        <v>240</v>
      </c>
      <c r="BK1260" s="8">
        <f>0</f>
        <v>0</v>
      </c>
      <c r="BL1260" s="7">
        <f>0</f>
        <v>0</v>
      </c>
      <c r="BM1260" s="5" t="s">
        <v>258</v>
      </c>
      <c r="BN1260" s="5" t="s">
        <v>259</v>
      </c>
      <c r="CB1260" s="5" t="s">
        <v>240</v>
      </c>
      <c r="CC1260" s="5" t="s">
        <v>240</v>
      </c>
      <c r="CG1260" s="5" t="s">
        <v>304</v>
      </c>
      <c r="CH1260" s="5" t="s">
        <v>305</v>
      </c>
      <c r="CI1260" s="5" t="s">
        <v>240</v>
      </c>
      <c r="CL1260" s="6" t="s">
        <v>261</v>
      </c>
      <c r="CM1260" s="5" t="s">
        <v>240</v>
      </c>
      <c r="CN1260" s="5" t="s">
        <v>263</v>
      </c>
      <c r="CO1260" s="5" t="s">
        <v>240</v>
      </c>
      <c r="CP1260" s="5" t="s">
        <v>240</v>
      </c>
      <c r="CQ1260" s="5">
        <v>0</v>
      </c>
      <c r="CR1260" s="5" t="s">
        <v>306</v>
      </c>
      <c r="CS1260" s="5" t="s">
        <v>307</v>
      </c>
      <c r="CT1260" s="5" t="s">
        <v>307</v>
      </c>
      <c r="CU1260" s="5" t="s">
        <v>260</v>
      </c>
      <c r="CX1260" s="7">
        <f>1</f>
        <v>1</v>
      </c>
      <c r="CY1260" s="7">
        <f>0</f>
        <v>0</v>
      </c>
      <c r="DA1260" s="7">
        <f>0</f>
        <v>0</v>
      </c>
      <c r="DC1260" s="5" t="s">
        <v>812</v>
      </c>
      <c r="DD1260" s="5" t="s">
        <v>240</v>
      </c>
      <c r="DF1260" s="5" t="s">
        <v>812</v>
      </c>
      <c r="DG1260" s="7">
        <f>1727</f>
        <v>1727</v>
      </c>
      <c r="DI1260" s="5" t="s">
        <v>240</v>
      </c>
      <c r="DJ1260" s="5" t="s">
        <v>240</v>
      </c>
      <c r="DK1260" s="5" t="s">
        <v>240</v>
      </c>
      <c r="DL1260" s="5" t="s">
        <v>240</v>
      </c>
      <c r="DP1260" s="5" t="s">
        <v>240</v>
      </c>
      <c r="DQ1260" s="5" t="s">
        <v>240</v>
      </c>
      <c r="DR1260" s="5" t="s">
        <v>240</v>
      </c>
      <c r="DS1260" s="5" t="s">
        <v>240</v>
      </c>
      <c r="DV1260" s="5" t="s">
        <v>813</v>
      </c>
      <c r="DW1260" s="5" t="s">
        <v>2646</v>
      </c>
      <c r="HO1260" s="5" t="s">
        <v>312</v>
      </c>
    </row>
    <row r="1261" spans="1:223" x14ac:dyDescent="0.4">
      <c r="A1261" s="5">
        <v>2936</v>
      </c>
      <c r="B1261" s="5">
        <v>1</v>
      </c>
      <c r="C1261" s="5">
        <v>1</v>
      </c>
      <c r="D1261" s="5" t="s">
        <v>297</v>
      </c>
      <c r="E1261" s="5" t="s">
        <v>245</v>
      </c>
      <c r="F1261" s="5" t="s">
        <v>254</v>
      </c>
      <c r="G1261" s="5" t="s">
        <v>240</v>
      </c>
      <c r="H1261" s="6" t="s">
        <v>4959</v>
      </c>
      <c r="I1261" s="5" t="s">
        <v>295</v>
      </c>
      <c r="J1261" s="8">
        <f>177</f>
        <v>177</v>
      </c>
      <c r="K1261" s="5" t="s">
        <v>308</v>
      </c>
      <c r="L1261" s="7">
        <f>1</f>
        <v>1</v>
      </c>
      <c r="M1261" s="7">
        <f>1</f>
        <v>1</v>
      </c>
      <c r="N1261" s="5" t="s">
        <v>242</v>
      </c>
      <c r="O1261" s="5">
        <v>1</v>
      </c>
      <c r="P1261" s="5" t="s">
        <v>294</v>
      </c>
      <c r="Q1261" s="5" t="s">
        <v>266</v>
      </c>
      <c r="R1261" s="5" t="s">
        <v>240</v>
      </c>
      <c r="S1261" s="5" t="s">
        <v>240</v>
      </c>
      <c r="T1261" s="5" t="s">
        <v>296</v>
      </c>
      <c r="U1261" s="5" t="s">
        <v>244</v>
      </c>
      <c r="V1261" s="5" t="s">
        <v>240</v>
      </c>
      <c r="Y1261" s="5" t="s">
        <v>240</v>
      </c>
      <c r="Z1261" s="6" t="s">
        <v>298</v>
      </c>
      <c r="AB1261" s="6" t="s">
        <v>240</v>
      </c>
      <c r="AE1261" s="6" t="s">
        <v>299</v>
      </c>
      <c r="AF1261" s="5" t="s">
        <v>248</v>
      </c>
      <c r="AG1261" s="5" t="s">
        <v>249</v>
      </c>
      <c r="AW1261" s="5" t="s">
        <v>251</v>
      </c>
      <c r="AX1261" s="5" t="s">
        <v>240</v>
      </c>
      <c r="AY1261" s="5" t="s">
        <v>253</v>
      </c>
      <c r="AZ1261" s="5" t="s">
        <v>240</v>
      </c>
      <c r="BA1261" s="5" t="s">
        <v>255</v>
      </c>
      <c r="BB1261" s="5" t="s">
        <v>240</v>
      </c>
      <c r="BD1261" s="5" t="s">
        <v>240</v>
      </c>
      <c r="BF1261" s="5" t="s">
        <v>301</v>
      </c>
      <c r="BG1261" s="6" t="s">
        <v>299</v>
      </c>
      <c r="BH1261" s="5" t="s">
        <v>302</v>
      </c>
      <c r="BI1261" s="5" t="s">
        <v>303</v>
      </c>
      <c r="BJ1261" s="5" t="s">
        <v>240</v>
      </c>
      <c r="BK1261" s="8">
        <f>0</f>
        <v>0</v>
      </c>
      <c r="BL1261" s="7">
        <f>0</f>
        <v>0</v>
      </c>
      <c r="BM1261" s="5" t="s">
        <v>258</v>
      </c>
      <c r="BN1261" s="5" t="s">
        <v>259</v>
      </c>
      <c r="CB1261" s="5" t="s">
        <v>240</v>
      </c>
      <c r="CC1261" s="5" t="s">
        <v>240</v>
      </c>
      <c r="CG1261" s="5" t="s">
        <v>304</v>
      </c>
      <c r="CH1261" s="5" t="s">
        <v>305</v>
      </c>
      <c r="CI1261" s="5" t="s">
        <v>240</v>
      </c>
      <c r="CL1261" s="6" t="s">
        <v>261</v>
      </c>
      <c r="CM1261" s="5" t="s">
        <v>240</v>
      </c>
      <c r="CN1261" s="5" t="s">
        <v>263</v>
      </c>
      <c r="CO1261" s="5" t="s">
        <v>240</v>
      </c>
      <c r="CP1261" s="5" t="s">
        <v>240</v>
      </c>
      <c r="CQ1261" s="5">
        <v>0</v>
      </c>
      <c r="CR1261" s="5" t="s">
        <v>306</v>
      </c>
      <c r="CS1261" s="5" t="s">
        <v>307</v>
      </c>
      <c r="CT1261" s="5" t="s">
        <v>307</v>
      </c>
      <c r="CU1261" s="5" t="s">
        <v>260</v>
      </c>
      <c r="CX1261" s="7">
        <f>1</f>
        <v>1</v>
      </c>
      <c r="CY1261" s="7">
        <f>0</f>
        <v>0</v>
      </c>
      <c r="DA1261" s="7">
        <f>0</f>
        <v>0</v>
      </c>
      <c r="DC1261" s="5" t="s">
        <v>812</v>
      </c>
      <c r="DD1261" s="5" t="s">
        <v>240</v>
      </c>
      <c r="DF1261" s="5" t="s">
        <v>812</v>
      </c>
      <c r="DG1261" s="7">
        <f>322</f>
        <v>322</v>
      </c>
      <c r="DI1261" s="5" t="s">
        <v>240</v>
      </c>
      <c r="DJ1261" s="5" t="s">
        <v>240</v>
      </c>
      <c r="DK1261" s="5" t="s">
        <v>240</v>
      </c>
      <c r="DL1261" s="5" t="s">
        <v>240</v>
      </c>
      <c r="DP1261" s="5" t="s">
        <v>240</v>
      </c>
      <c r="DQ1261" s="5" t="s">
        <v>240</v>
      </c>
      <c r="DR1261" s="5" t="s">
        <v>240</v>
      </c>
      <c r="DS1261" s="5" t="s">
        <v>240</v>
      </c>
      <c r="DV1261" s="5" t="s">
        <v>813</v>
      </c>
      <c r="DW1261" s="5" t="s">
        <v>2648</v>
      </c>
      <c r="HO1261" s="5" t="s">
        <v>312</v>
      </c>
    </row>
    <row r="1262" spans="1:223" x14ac:dyDescent="0.4">
      <c r="A1262" s="5">
        <v>2937</v>
      </c>
      <c r="B1262" s="5">
        <v>1</v>
      </c>
      <c r="C1262" s="5">
        <v>1</v>
      </c>
      <c r="D1262" s="5" t="s">
        <v>297</v>
      </c>
      <c r="E1262" s="5" t="s">
        <v>245</v>
      </c>
      <c r="F1262" s="5" t="s">
        <v>254</v>
      </c>
      <c r="G1262" s="5" t="s">
        <v>240</v>
      </c>
      <c r="H1262" s="6" t="s">
        <v>4957</v>
      </c>
      <c r="I1262" s="5" t="s">
        <v>295</v>
      </c>
      <c r="J1262" s="8">
        <f>182</f>
        <v>182</v>
      </c>
      <c r="K1262" s="5" t="s">
        <v>308</v>
      </c>
      <c r="L1262" s="7">
        <f>1</f>
        <v>1</v>
      </c>
      <c r="M1262" s="7">
        <f>1</f>
        <v>1</v>
      </c>
      <c r="N1262" s="5" t="s">
        <v>242</v>
      </c>
      <c r="O1262" s="5">
        <v>1</v>
      </c>
      <c r="P1262" s="5" t="s">
        <v>294</v>
      </c>
      <c r="Q1262" s="5" t="s">
        <v>266</v>
      </c>
      <c r="R1262" s="5" t="s">
        <v>240</v>
      </c>
      <c r="S1262" s="5" t="s">
        <v>240</v>
      </c>
      <c r="T1262" s="5" t="s">
        <v>296</v>
      </c>
      <c r="U1262" s="5" t="s">
        <v>244</v>
      </c>
      <c r="V1262" s="5" t="s">
        <v>240</v>
      </c>
      <c r="Y1262" s="5" t="s">
        <v>240</v>
      </c>
      <c r="Z1262" s="6" t="s">
        <v>298</v>
      </c>
      <c r="AB1262" s="6" t="s">
        <v>240</v>
      </c>
      <c r="AE1262" s="6" t="s">
        <v>299</v>
      </c>
      <c r="AF1262" s="5" t="s">
        <v>248</v>
      </c>
      <c r="AG1262" s="5" t="s">
        <v>249</v>
      </c>
      <c r="AW1262" s="5" t="s">
        <v>251</v>
      </c>
      <c r="AX1262" s="5" t="s">
        <v>240</v>
      </c>
      <c r="AY1262" s="5" t="s">
        <v>253</v>
      </c>
      <c r="AZ1262" s="5" t="s">
        <v>240</v>
      </c>
      <c r="BA1262" s="5" t="s">
        <v>255</v>
      </c>
      <c r="BB1262" s="5" t="s">
        <v>240</v>
      </c>
      <c r="BD1262" s="5" t="s">
        <v>240</v>
      </c>
      <c r="BF1262" s="5" t="s">
        <v>301</v>
      </c>
      <c r="BG1262" s="6" t="s">
        <v>299</v>
      </c>
      <c r="BH1262" s="5" t="s">
        <v>302</v>
      </c>
      <c r="BI1262" s="5" t="s">
        <v>303</v>
      </c>
      <c r="BJ1262" s="5" t="s">
        <v>240</v>
      </c>
      <c r="BK1262" s="8">
        <f>0</f>
        <v>0</v>
      </c>
      <c r="BL1262" s="7">
        <f>0</f>
        <v>0</v>
      </c>
      <c r="BM1262" s="5" t="s">
        <v>258</v>
      </c>
      <c r="BN1262" s="5" t="s">
        <v>259</v>
      </c>
      <c r="CB1262" s="5" t="s">
        <v>240</v>
      </c>
      <c r="CC1262" s="5" t="s">
        <v>240</v>
      </c>
      <c r="CG1262" s="5" t="s">
        <v>304</v>
      </c>
      <c r="CH1262" s="5" t="s">
        <v>305</v>
      </c>
      <c r="CI1262" s="5" t="s">
        <v>240</v>
      </c>
      <c r="CL1262" s="6" t="s">
        <v>261</v>
      </c>
      <c r="CM1262" s="5" t="s">
        <v>240</v>
      </c>
      <c r="CN1262" s="5" t="s">
        <v>263</v>
      </c>
      <c r="CO1262" s="5" t="s">
        <v>240</v>
      </c>
      <c r="CP1262" s="5" t="s">
        <v>240</v>
      </c>
      <c r="CQ1262" s="5">
        <v>0</v>
      </c>
      <c r="CR1262" s="5" t="s">
        <v>306</v>
      </c>
      <c r="CS1262" s="5" t="s">
        <v>307</v>
      </c>
      <c r="CT1262" s="5" t="s">
        <v>307</v>
      </c>
      <c r="CU1262" s="5" t="s">
        <v>260</v>
      </c>
      <c r="CX1262" s="7">
        <f>1</f>
        <v>1</v>
      </c>
      <c r="CY1262" s="7">
        <f>0</f>
        <v>0</v>
      </c>
      <c r="DA1262" s="7">
        <f>0</f>
        <v>0</v>
      </c>
      <c r="DC1262" s="5" t="s">
        <v>812</v>
      </c>
      <c r="DD1262" s="5" t="s">
        <v>240</v>
      </c>
      <c r="DF1262" s="5" t="s">
        <v>812</v>
      </c>
      <c r="DG1262" s="7">
        <f>826</f>
        <v>826</v>
      </c>
      <c r="DI1262" s="5" t="s">
        <v>240</v>
      </c>
      <c r="DJ1262" s="5" t="s">
        <v>240</v>
      </c>
      <c r="DK1262" s="5" t="s">
        <v>240</v>
      </c>
      <c r="DL1262" s="5" t="s">
        <v>240</v>
      </c>
      <c r="DP1262" s="5" t="s">
        <v>240</v>
      </c>
      <c r="DQ1262" s="5" t="s">
        <v>240</v>
      </c>
      <c r="DR1262" s="5" t="s">
        <v>240</v>
      </c>
      <c r="DS1262" s="5" t="s">
        <v>240</v>
      </c>
      <c r="DV1262" s="5" t="s">
        <v>813</v>
      </c>
      <c r="DW1262" s="5" t="s">
        <v>2650</v>
      </c>
      <c r="HO1262" s="5" t="s">
        <v>312</v>
      </c>
    </row>
    <row r="1263" spans="1:223" x14ac:dyDescent="0.4">
      <c r="A1263" s="5">
        <v>2938</v>
      </c>
      <c r="B1263" s="5">
        <v>1</v>
      </c>
      <c r="C1263" s="5">
        <v>1</v>
      </c>
      <c r="D1263" s="5" t="s">
        <v>297</v>
      </c>
      <c r="E1263" s="5" t="s">
        <v>245</v>
      </c>
      <c r="F1263" s="5" t="s">
        <v>254</v>
      </c>
      <c r="G1263" s="5" t="s">
        <v>240</v>
      </c>
      <c r="H1263" s="6" t="s">
        <v>4956</v>
      </c>
      <c r="I1263" s="5" t="s">
        <v>295</v>
      </c>
      <c r="J1263" s="8">
        <f>2417</f>
        <v>2417</v>
      </c>
      <c r="K1263" s="5" t="s">
        <v>308</v>
      </c>
      <c r="L1263" s="7">
        <f>1</f>
        <v>1</v>
      </c>
      <c r="M1263" s="7">
        <f>1</f>
        <v>1</v>
      </c>
      <c r="N1263" s="5" t="s">
        <v>242</v>
      </c>
      <c r="O1263" s="5">
        <v>1</v>
      </c>
      <c r="P1263" s="5" t="s">
        <v>294</v>
      </c>
      <c r="Q1263" s="5" t="s">
        <v>266</v>
      </c>
      <c r="R1263" s="5" t="s">
        <v>240</v>
      </c>
      <c r="S1263" s="5" t="s">
        <v>240</v>
      </c>
      <c r="T1263" s="5" t="s">
        <v>296</v>
      </c>
      <c r="U1263" s="5" t="s">
        <v>244</v>
      </c>
      <c r="V1263" s="5" t="s">
        <v>240</v>
      </c>
      <c r="Y1263" s="5" t="s">
        <v>240</v>
      </c>
      <c r="Z1263" s="6" t="s">
        <v>298</v>
      </c>
      <c r="AB1263" s="6" t="s">
        <v>240</v>
      </c>
      <c r="AE1263" s="6" t="s">
        <v>299</v>
      </c>
      <c r="AF1263" s="5" t="s">
        <v>248</v>
      </c>
      <c r="AG1263" s="5" t="s">
        <v>249</v>
      </c>
      <c r="AW1263" s="5" t="s">
        <v>251</v>
      </c>
      <c r="AX1263" s="5" t="s">
        <v>240</v>
      </c>
      <c r="AY1263" s="5" t="s">
        <v>253</v>
      </c>
      <c r="AZ1263" s="5" t="s">
        <v>240</v>
      </c>
      <c r="BA1263" s="5" t="s">
        <v>255</v>
      </c>
      <c r="BB1263" s="5" t="s">
        <v>240</v>
      </c>
      <c r="BD1263" s="5" t="s">
        <v>240</v>
      </c>
      <c r="BF1263" s="5" t="s">
        <v>301</v>
      </c>
      <c r="BG1263" s="6" t="s">
        <v>299</v>
      </c>
      <c r="BH1263" s="5" t="s">
        <v>302</v>
      </c>
      <c r="BI1263" s="5" t="s">
        <v>303</v>
      </c>
      <c r="BJ1263" s="5" t="s">
        <v>240</v>
      </c>
      <c r="BK1263" s="8">
        <f>0</f>
        <v>0</v>
      </c>
      <c r="BL1263" s="7">
        <f>0</f>
        <v>0</v>
      </c>
      <c r="BM1263" s="5" t="s">
        <v>258</v>
      </c>
      <c r="BN1263" s="5" t="s">
        <v>259</v>
      </c>
      <c r="CB1263" s="5" t="s">
        <v>240</v>
      </c>
      <c r="CC1263" s="5" t="s">
        <v>240</v>
      </c>
      <c r="CG1263" s="5" t="s">
        <v>304</v>
      </c>
      <c r="CH1263" s="5" t="s">
        <v>305</v>
      </c>
      <c r="CI1263" s="5" t="s">
        <v>240</v>
      </c>
      <c r="CL1263" s="6" t="s">
        <v>261</v>
      </c>
      <c r="CM1263" s="5" t="s">
        <v>240</v>
      </c>
      <c r="CN1263" s="5" t="s">
        <v>263</v>
      </c>
      <c r="CO1263" s="5" t="s">
        <v>240</v>
      </c>
      <c r="CP1263" s="5" t="s">
        <v>240</v>
      </c>
      <c r="CQ1263" s="5">
        <v>0</v>
      </c>
      <c r="CR1263" s="5" t="s">
        <v>306</v>
      </c>
      <c r="CS1263" s="5" t="s">
        <v>307</v>
      </c>
      <c r="CT1263" s="5" t="s">
        <v>307</v>
      </c>
      <c r="CU1263" s="5" t="s">
        <v>260</v>
      </c>
      <c r="CX1263" s="7">
        <f>1</f>
        <v>1</v>
      </c>
      <c r="CY1263" s="7">
        <f>0</f>
        <v>0</v>
      </c>
      <c r="DA1263" s="7">
        <f>0</f>
        <v>0</v>
      </c>
      <c r="DC1263" s="5" t="s">
        <v>812</v>
      </c>
      <c r="DD1263" s="5" t="s">
        <v>240</v>
      </c>
      <c r="DF1263" s="5" t="s">
        <v>812</v>
      </c>
      <c r="DG1263" s="7">
        <f>257</f>
        <v>257</v>
      </c>
      <c r="DI1263" s="5" t="s">
        <v>240</v>
      </c>
      <c r="DJ1263" s="5" t="s">
        <v>240</v>
      </c>
      <c r="DK1263" s="5" t="s">
        <v>240</v>
      </c>
      <c r="DL1263" s="5" t="s">
        <v>240</v>
      </c>
      <c r="DP1263" s="5" t="s">
        <v>240</v>
      </c>
      <c r="DQ1263" s="5" t="s">
        <v>240</v>
      </c>
      <c r="DR1263" s="5" t="s">
        <v>240</v>
      </c>
      <c r="DS1263" s="5" t="s">
        <v>240</v>
      </c>
      <c r="DV1263" s="5" t="s">
        <v>813</v>
      </c>
      <c r="DW1263" s="5" t="s">
        <v>2652</v>
      </c>
      <c r="HO1263" s="5" t="s">
        <v>312</v>
      </c>
    </row>
    <row r="1264" spans="1:223" x14ac:dyDescent="0.4">
      <c r="A1264" s="5">
        <v>2939</v>
      </c>
      <c r="B1264" s="5">
        <v>1</v>
      </c>
      <c r="C1264" s="5">
        <v>1</v>
      </c>
      <c r="D1264" s="5" t="s">
        <v>297</v>
      </c>
      <c r="E1264" s="5" t="s">
        <v>245</v>
      </c>
      <c r="F1264" s="5" t="s">
        <v>254</v>
      </c>
      <c r="G1264" s="5" t="s">
        <v>240</v>
      </c>
      <c r="H1264" s="6" t="s">
        <v>4955</v>
      </c>
      <c r="I1264" s="5" t="s">
        <v>295</v>
      </c>
      <c r="J1264" s="8">
        <f>1686</f>
        <v>1686</v>
      </c>
      <c r="K1264" s="5" t="s">
        <v>308</v>
      </c>
      <c r="L1264" s="7">
        <f>1</f>
        <v>1</v>
      </c>
      <c r="M1264" s="7">
        <f>1</f>
        <v>1</v>
      </c>
      <c r="N1264" s="5" t="s">
        <v>242</v>
      </c>
      <c r="O1264" s="5">
        <v>1</v>
      </c>
      <c r="P1264" s="5" t="s">
        <v>294</v>
      </c>
      <c r="Q1264" s="5" t="s">
        <v>266</v>
      </c>
      <c r="R1264" s="5" t="s">
        <v>240</v>
      </c>
      <c r="S1264" s="5" t="s">
        <v>240</v>
      </c>
      <c r="T1264" s="5" t="s">
        <v>296</v>
      </c>
      <c r="U1264" s="5" t="s">
        <v>244</v>
      </c>
      <c r="V1264" s="5" t="s">
        <v>240</v>
      </c>
      <c r="Y1264" s="5" t="s">
        <v>240</v>
      </c>
      <c r="Z1264" s="6" t="s">
        <v>298</v>
      </c>
      <c r="AB1264" s="6" t="s">
        <v>240</v>
      </c>
      <c r="AE1264" s="6" t="s">
        <v>299</v>
      </c>
      <c r="AF1264" s="5" t="s">
        <v>248</v>
      </c>
      <c r="AG1264" s="5" t="s">
        <v>249</v>
      </c>
      <c r="AW1264" s="5" t="s">
        <v>251</v>
      </c>
      <c r="AX1264" s="5" t="s">
        <v>240</v>
      </c>
      <c r="AY1264" s="5" t="s">
        <v>253</v>
      </c>
      <c r="AZ1264" s="5" t="s">
        <v>240</v>
      </c>
      <c r="BA1264" s="5" t="s">
        <v>255</v>
      </c>
      <c r="BB1264" s="5" t="s">
        <v>240</v>
      </c>
      <c r="BD1264" s="5" t="s">
        <v>240</v>
      </c>
      <c r="BF1264" s="5" t="s">
        <v>301</v>
      </c>
      <c r="BG1264" s="6" t="s">
        <v>299</v>
      </c>
      <c r="BH1264" s="5" t="s">
        <v>302</v>
      </c>
      <c r="BI1264" s="5" t="s">
        <v>303</v>
      </c>
      <c r="BJ1264" s="5" t="s">
        <v>240</v>
      </c>
      <c r="BK1264" s="8">
        <f>0</f>
        <v>0</v>
      </c>
      <c r="BL1264" s="7">
        <f>0</f>
        <v>0</v>
      </c>
      <c r="BM1264" s="5" t="s">
        <v>258</v>
      </c>
      <c r="BN1264" s="5" t="s">
        <v>259</v>
      </c>
      <c r="CB1264" s="5" t="s">
        <v>240</v>
      </c>
      <c r="CC1264" s="5" t="s">
        <v>240</v>
      </c>
      <c r="CG1264" s="5" t="s">
        <v>304</v>
      </c>
      <c r="CH1264" s="5" t="s">
        <v>305</v>
      </c>
      <c r="CI1264" s="5" t="s">
        <v>240</v>
      </c>
      <c r="CL1264" s="6" t="s">
        <v>261</v>
      </c>
      <c r="CM1264" s="5" t="s">
        <v>240</v>
      </c>
      <c r="CN1264" s="5" t="s">
        <v>263</v>
      </c>
      <c r="CO1264" s="5" t="s">
        <v>240</v>
      </c>
      <c r="CP1264" s="5" t="s">
        <v>240</v>
      </c>
      <c r="CQ1264" s="5">
        <v>0</v>
      </c>
      <c r="CR1264" s="5" t="s">
        <v>306</v>
      </c>
      <c r="CS1264" s="5" t="s">
        <v>307</v>
      </c>
      <c r="CT1264" s="5" t="s">
        <v>307</v>
      </c>
      <c r="CU1264" s="5" t="s">
        <v>260</v>
      </c>
      <c r="CX1264" s="7">
        <f>1</f>
        <v>1</v>
      </c>
      <c r="CY1264" s="7">
        <f>0</f>
        <v>0</v>
      </c>
      <c r="DA1264" s="7">
        <f>0</f>
        <v>0</v>
      </c>
      <c r="DC1264" s="5" t="s">
        <v>812</v>
      </c>
      <c r="DD1264" s="5" t="s">
        <v>240</v>
      </c>
      <c r="DF1264" s="5" t="s">
        <v>812</v>
      </c>
      <c r="DG1264" s="7">
        <f>1666</f>
        <v>1666</v>
      </c>
      <c r="DI1264" s="5" t="s">
        <v>240</v>
      </c>
      <c r="DJ1264" s="5" t="s">
        <v>240</v>
      </c>
      <c r="DK1264" s="5" t="s">
        <v>240</v>
      </c>
      <c r="DL1264" s="5" t="s">
        <v>240</v>
      </c>
      <c r="DP1264" s="5" t="s">
        <v>240</v>
      </c>
      <c r="DQ1264" s="5" t="s">
        <v>240</v>
      </c>
      <c r="DR1264" s="5" t="s">
        <v>240</v>
      </c>
      <c r="DS1264" s="5" t="s">
        <v>240</v>
      </c>
      <c r="DV1264" s="5" t="s">
        <v>813</v>
      </c>
      <c r="DW1264" s="5" t="s">
        <v>2654</v>
      </c>
      <c r="HO1264" s="5" t="s">
        <v>312</v>
      </c>
    </row>
    <row r="1265" spans="1:223" x14ac:dyDescent="0.4">
      <c r="A1265" s="5">
        <v>2940</v>
      </c>
      <c r="B1265" s="5">
        <v>1</v>
      </c>
      <c r="C1265" s="5">
        <v>1</v>
      </c>
      <c r="D1265" s="5" t="s">
        <v>297</v>
      </c>
      <c r="E1265" s="5" t="s">
        <v>245</v>
      </c>
      <c r="F1265" s="5" t="s">
        <v>254</v>
      </c>
      <c r="G1265" s="5" t="s">
        <v>240</v>
      </c>
      <c r="H1265" s="6" t="s">
        <v>4954</v>
      </c>
      <c r="I1265" s="5" t="s">
        <v>295</v>
      </c>
      <c r="J1265" s="8">
        <f>138</f>
        <v>138</v>
      </c>
      <c r="K1265" s="5" t="s">
        <v>308</v>
      </c>
      <c r="L1265" s="7">
        <f>1</f>
        <v>1</v>
      </c>
      <c r="M1265" s="7">
        <f>1</f>
        <v>1</v>
      </c>
      <c r="N1265" s="5" t="s">
        <v>242</v>
      </c>
      <c r="O1265" s="5">
        <v>1</v>
      </c>
      <c r="P1265" s="5" t="s">
        <v>294</v>
      </c>
      <c r="Q1265" s="5" t="s">
        <v>266</v>
      </c>
      <c r="R1265" s="5" t="s">
        <v>240</v>
      </c>
      <c r="S1265" s="5" t="s">
        <v>240</v>
      </c>
      <c r="T1265" s="5" t="s">
        <v>296</v>
      </c>
      <c r="U1265" s="5" t="s">
        <v>244</v>
      </c>
      <c r="V1265" s="5" t="s">
        <v>240</v>
      </c>
      <c r="Y1265" s="5" t="s">
        <v>240</v>
      </c>
      <c r="Z1265" s="6" t="s">
        <v>298</v>
      </c>
      <c r="AB1265" s="6" t="s">
        <v>240</v>
      </c>
      <c r="AE1265" s="6" t="s">
        <v>299</v>
      </c>
      <c r="AF1265" s="5" t="s">
        <v>248</v>
      </c>
      <c r="AG1265" s="5" t="s">
        <v>249</v>
      </c>
      <c r="AW1265" s="5" t="s">
        <v>251</v>
      </c>
      <c r="AX1265" s="5" t="s">
        <v>240</v>
      </c>
      <c r="AY1265" s="5" t="s">
        <v>253</v>
      </c>
      <c r="AZ1265" s="5" t="s">
        <v>240</v>
      </c>
      <c r="BA1265" s="5" t="s">
        <v>255</v>
      </c>
      <c r="BB1265" s="5" t="s">
        <v>240</v>
      </c>
      <c r="BD1265" s="5" t="s">
        <v>240</v>
      </c>
      <c r="BF1265" s="5" t="s">
        <v>301</v>
      </c>
      <c r="BG1265" s="6" t="s">
        <v>299</v>
      </c>
      <c r="BH1265" s="5" t="s">
        <v>302</v>
      </c>
      <c r="BI1265" s="5" t="s">
        <v>303</v>
      </c>
      <c r="BJ1265" s="5" t="s">
        <v>240</v>
      </c>
      <c r="BK1265" s="8">
        <f>0</f>
        <v>0</v>
      </c>
      <c r="BL1265" s="7">
        <f>0</f>
        <v>0</v>
      </c>
      <c r="BM1265" s="5" t="s">
        <v>258</v>
      </c>
      <c r="BN1265" s="5" t="s">
        <v>259</v>
      </c>
      <c r="CB1265" s="5" t="s">
        <v>240</v>
      </c>
      <c r="CC1265" s="5" t="s">
        <v>240</v>
      </c>
      <c r="CG1265" s="5" t="s">
        <v>304</v>
      </c>
      <c r="CH1265" s="5" t="s">
        <v>305</v>
      </c>
      <c r="CI1265" s="5" t="s">
        <v>240</v>
      </c>
      <c r="CL1265" s="6" t="s">
        <v>261</v>
      </c>
      <c r="CM1265" s="5" t="s">
        <v>240</v>
      </c>
      <c r="CN1265" s="5" t="s">
        <v>263</v>
      </c>
      <c r="CO1265" s="5" t="s">
        <v>240</v>
      </c>
      <c r="CP1265" s="5" t="s">
        <v>240</v>
      </c>
      <c r="CQ1265" s="5">
        <v>0</v>
      </c>
      <c r="CR1265" s="5" t="s">
        <v>306</v>
      </c>
      <c r="CS1265" s="5" t="s">
        <v>307</v>
      </c>
      <c r="CT1265" s="5" t="s">
        <v>307</v>
      </c>
      <c r="CU1265" s="5" t="s">
        <v>260</v>
      </c>
      <c r="CX1265" s="7">
        <f>1</f>
        <v>1</v>
      </c>
      <c r="CY1265" s="7">
        <f>0</f>
        <v>0</v>
      </c>
      <c r="DA1265" s="7">
        <f>0</f>
        <v>0</v>
      </c>
      <c r="DC1265" s="5" t="s">
        <v>812</v>
      </c>
      <c r="DD1265" s="5" t="s">
        <v>240</v>
      </c>
      <c r="DF1265" s="5" t="s">
        <v>812</v>
      </c>
      <c r="DG1265" s="7">
        <f>119</f>
        <v>119</v>
      </c>
      <c r="DI1265" s="5" t="s">
        <v>240</v>
      </c>
      <c r="DJ1265" s="5" t="s">
        <v>240</v>
      </c>
      <c r="DK1265" s="5" t="s">
        <v>240</v>
      </c>
      <c r="DL1265" s="5" t="s">
        <v>240</v>
      </c>
      <c r="DP1265" s="5" t="s">
        <v>240</v>
      </c>
      <c r="DQ1265" s="5" t="s">
        <v>240</v>
      </c>
      <c r="DR1265" s="5" t="s">
        <v>240</v>
      </c>
      <c r="DS1265" s="5" t="s">
        <v>240</v>
      </c>
      <c r="DV1265" s="5" t="s">
        <v>813</v>
      </c>
      <c r="DW1265" s="5" t="s">
        <v>2656</v>
      </c>
      <c r="HO1265" s="5" t="s">
        <v>312</v>
      </c>
    </row>
    <row r="1266" spans="1:223" x14ac:dyDescent="0.4">
      <c r="A1266" s="5">
        <v>2941</v>
      </c>
      <c r="B1266" s="5">
        <v>1</v>
      </c>
      <c r="C1266" s="5">
        <v>1</v>
      </c>
      <c r="D1266" s="5" t="s">
        <v>297</v>
      </c>
      <c r="E1266" s="5" t="s">
        <v>245</v>
      </c>
      <c r="F1266" s="5" t="s">
        <v>254</v>
      </c>
      <c r="G1266" s="5" t="s">
        <v>240</v>
      </c>
      <c r="H1266" s="6" t="s">
        <v>5204</v>
      </c>
      <c r="I1266" s="5" t="s">
        <v>295</v>
      </c>
      <c r="J1266" s="8">
        <f>71</f>
        <v>71</v>
      </c>
      <c r="K1266" s="5" t="s">
        <v>308</v>
      </c>
      <c r="L1266" s="7">
        <f>1</f>
        <v>1</v>
      </c>
      <c r="M1266" s="7">
        <f>1</f>
        <v>1</v>
      </c>
      <c r="N1266" s="5" t="s">
        <v>242</v>
      </c>
      <c r="O1266" s="5">
        <v>1</v>
      </c>
      <c r="P1266" s="5" t="s">
        <v>294</v>
      </c>
      <c r="Q1266" s="5" t="s">
        <v>266</v>
      </c>
      <c r="R1266" s="5" t="s">
        <v>240</v>
      </c>
      <c r="S1266" s="5" t="s">
        <v>240</v>
      </c>
      <c r="T1266" s="5" t="s">
        <v>296</v>
      </c>
      <c r="U1266" s="5" t="s">
        <v>244</v>
      </c>
      <c r="V1266" s="5" t="s">
        <v>240</v>
      </c>
      <c r="Y1266" s="5" t="s">
        <v>240</v>
      </c>
      <c r="Z1266" s="6" t="s">
        <v>298</v>
      </c>
      <c r="AB1266" s="6" t="s">
        <v>240</v>
      </c>
      <c r="AE1266" s="6" t="s">
        <v>299</v>
      </c>
      <c r="AF1266" s="5" t="s">
        <v>248</v>
      </c>
      <c r="AG1266" s="5" t="s">
        <v>249</v>
      </c>
      <c r="AW1266" s="5" t="s">
        <v>251</v>
      </c>
      <c r="AX1266" s="5" t="s">
        <v>240</v>
      </c>
      <c r="AY1266" s="5" t="s">
        <v>253</v>
      </c>
      <c r="AZ1266" s="5" t="s">
        <v>240</v>
      </c>
      <c r="BA1266" s="5" t="s">
        <v>255</v>
      </c>
      <c r="BB1266" s="5" t="s">
        <v>240</v>
      </c>
      <c r="BD1266" s="5" t="s">
        <v>240</v>
      </c>
      <c r="BF1266" s="5" t="s">
        <v>301</v>
      </c>
      <c r="BG1266" s="6" t="s">
        <v>299</v>
      </c>
      <c r="BH1266" s="5" t="s">
        <v>302</v>
      </c>
      <c r="BI1266" s="5" t="s">
        <v>303</v>
      </c>
      <c r="BJ1266" s="5" t="s">
        <v>240</v>
      </c>
      <c r="BK1266" s="8">
        <f>0</f>
        <v>0</v>
      </c>
      <c r="BL1266" s="7">
        <f>0</f>
        <v>0</v>
      </c>
      <c r="BM1266" s="5" t="s">
        <v>258</v>
      </c>
      <c r="BN1266" s="5" t="s">
        <v>259</v>
      </c>
      <c r="CB1266" s="5" t="s">
        <v>240</v>
      </c>
      <c r="CC1266" s="5" t="s">
        <v>240</v>
      </c>
      <c r="CG1266" s="5" t="s">
        <v>304</v>
      </c>
      <c r="CH1266" s="5" t="s">
        <v>305</v>
      </c>
      <c r="CI1266" s="5" t="s">
        <v>240</v>
      </c>
      <c r="CL1266" s="6" t="s">
        <v>261</v>
      </c>
      <c r="CM1266" s="5" t="s">
        <v>240</v>
      </c>
      <c r="CN1266" s="5" t="s">
        <v>263</v>
      </c>
      <c r="CO1266" s="5" t="s">
        <v>240</v>
      </c>
      <c r="CP1266" s="5" t="s">
        <v>240</v>
      </c>
      <c r="CQ1266" s="5">
        <v>0</v>
      </c>
      <c r="CR1266" s="5" t="s">
        <v>306</v>
      </c>
      <c r="CS1266" s="5" t="s">
        <v>307</v>
      </c>
      <c r="CT1266" s="5" t="s">
        <v>307</v>
      </c>
      <c r="CU1266" s="5" t="s">
        <v>260</v>
      </c>
      <c r="CX1266" s="7">
        <f>1</f>
        <v>1</v>
      </c>
      <c r="CY1266" s="7">
        <f>0</f>
        <v>0</v>
      </c>
      <c r="DA1266" s="7">
        <f>0</f>
        <v>0</v>
      </c>
      <c r="DC1266" s="5" t="s">
        <v>812</v>
      </c>
      <c r="DD1266" s="5" t="s">
        <v>240</v>
      </c>
      <c r="DF1266" s="5" t="s">
        <v>812</v>
      </c>
      <c r="DG1266" s="7">
        <f>918</f>
        <v>918</v>
      </c>
      <c r="DI1266" s="5" t="s">
        <v>240</v>
      </c>
      <c r="DJ1266" s="5" t="s">
        <v>240</v>
      </c>
      <c r="DK1266" s="5" t="s">
        <v>240</v>
      </c>
      <c r="DL1266" s="5" t="s">
        <v>240</v>
      </c>
      <c r="DP1266" s="5" t="s">
        <v>240</v>
      </c>
      <c r="DQ1266" s="5" t="s">
        <v>240</v>
      </c>
      <c r="DR1266" s="5" t="s">
        <v>240</v>
      </c>
      <c r="DS1266" s="5" t="s">
        <v>240</v>
      </c>
      <c r="DV1266" s="5" t="s">
        <v>813</v>
      </c>
      <c r="DW1266" s="5" t="s">
        <v>2658</v>
      </c>
      <c r="HO1266" s="5" t="s">
        <v>312</v>
      </c>
    </row>
    <row r="1267" spans="1:223" x14ac:dyDescent="0.4">
      <c r="A1267" s="5">
        <v>2942</v>
      </c>
      <c r="B1267" s="5">
        <v>1</v>
      </c>
      <c r="C1267" s="5">
        <v>1</v>
      </c>
      <c r="D1267" s="5" t="s">
        <v>297</v>
      </c>
      <c r="E1267" s="5" t="s">
        <v>245</v>
      </c>
      <c r="F1267" s="5" t="s">
        <v>254</v>
      </c>
      <c r="G1267" s="5" t="s">
        <v>240</v>
      </c>
      <c r="H1267" s="6" t="s">
        <v>4952</v>
      </c>
      <c r="I1267" s="5" t="s">
        <v>295</v>
      </c>
      <c r="J1267" s="8">
        <f>514</f>
        <v>514</v>
      </c>
      <c r="K1267" s="5" t="s">
        <v>308</v>
      </c>
      <c r="L1267" s="7">
        <f>1</f>
        <v>1</v>
      </c>
      <c r="M1267" s="7">
        <f>1</f>
        <v>1</v>
      </c>
      <c r="N1267" s="5" t="s">
        <v>242</v>
      </c>
      <c r="O1267" s="5">
        <v>1</v>
      </c>
      <c r="P1267" s="5" t="s">
        <v>294</v>
      </c>
      <c r="Q1267" s="5" t="s">
        <v>266</v>
      </c>
      <c r="R1267" s="5" t="s">
        <v>240</v>
      </c>
      <c r="S1267" s="5" t="s">
        <v>240</v>
      </c>
      <c r="T1267" s="5" t="s">
        <v>296</v>
      </c>
      <c r="U1267" s="5" t="s">
        <v>244</v>
      </c>
      <c r="V1267" s="5" t="s">
        <v>240</v>
      </c>
      <c r="Y1267" s="5" t="s">
        <v>240</v>
      </c>
      <c r="Z1267" s="6" t="s">
        <v>298</v>
      </c>
      <c r="AB1267" s="6" t="s">
        <v>240</v>
      </c>
      <c r="AE1267" s="6" t="s">
        <v>299</v>
      </c>
      <c r="AF1267" s="5" t="s">
        <v>248</v>
      </c>
      <c r="AG1267" s="5" t="s">
        <v>249</v>
      </c>
      <c r="AW1267" s="5" t="s">
        <v>251</v>
      </c>
      <c r="AX1267" s="5" t="s">
        <v>240</v>
      </c>
      <c r="AY1267" s="5" t="s">
        <v>253</v>
      </c>
      <c r="AZ1267" s="5" t="s">
        <v>240</v>
      </c>
      <c r="BA1267" s="5" t="s">
        <v>255</v>
      </c>
      <c r="BB1267" s="5" t="s">
        <v>240</v>
      </c>
      <c r="BD1267" s="5" t="s">
        <v>240</v>
      </c>
      <c r="BF1267" s="5" t="s">
        <v>301</v>
      </c>
      <c r="BG1267" s="6" t="s">
        <v>299</v>
      </c>
      <c r="BH1267" s="5" t="s">
        <v>302</v>
      </c>
      <c r="BI1267" s="5" t="s">
        <v>303</v>
      </c>
      <c r="BJ1267" s="5" t="s">
        <v>240</v>
      </c>
      <c r="BK1267" s="8">
        <f>0</f>
        <v>0</v>
      </c>
      <c r="BL1267" s="7">
        <f>0</f>
        <v>0</v>
      </c>
      <c r="BM1267" s="5" t="s">
        <v>258</v>
      </c>
      <c r="BN1267" s="5" t="s">
        <v>259</v>
      </c>
      <c r="CB1267" s="5" t="s">
        <v>240</v>
      </c>
      <c r="CC1267" s="5" t="s">
        <v>240</v>
      </c>
      <c r="CG1267" s="5" t="s">
        <v>304</v>
      </c>
      <c r="CH1267" s="5" t="s">
        <v>305</v>
      </c>
      <c r="CI1267" s="5" t="s">
        <v>240</v>
      </c>
      <c r="CL1267" s="6" t="s">
        <v>261</v>
      </c>
      <c r="CM1267" s="5" t="s">
        <v>240</v>
      </c>
      <c r="CN1267" s="5" t="s">
        <v>263</v>
      </c>
      <c r="CO1267" s="5" t="s">
        <v>240</v>
      </c>
      <c r="CP1267" s="5" t="s">
        <v>240</v>
      </c>
      <c r="CQ1267" s="5">
        <v>0</v>
      </c>
      <c r="CR1267" s="5" t="s">
        <v>306</v>
      </c>
      <c r="CS1267" s="5" t="s">
        <v>307</v>
      </c>
      <c r="CT1267" s="5" t="s">
        <v>307</v>
      </c>
      <c r="CU1267" s="5" t="s">
        <v>260</v>
      </c>
      <c r="CX1267" s="7">
        <f>1</f>
        <v>1</v>
      </c>
      <c r="CY1267" s="7">
        <f>0</f>
        <v>0</v>
      </c>
      <c r="DA1267" s="7">
        <f>0</f>
        <v>0</v>
      </c>
      <c r="DC1267" s="5" t="s">
        <v>812</v>
      </c>
      <c r="DD1267" s="5" t="s">
        <v>240</v>
      </c>
      <c r="DF1267" s="5" t="s">
        <v>812</v>
      </c>
      <c r="DG1267" s="7">
        <f>94</f>
        <v>94</v>
      </c>
      <c r="DI1267" s="5" t="s">
        <v>240</v>
      </c>
      <c r="DJ1267" s="5" t="s">
        <v>240</v>
      </c>
      <c r="DK1267" s="5" t="s">
        <v>240</v>
      </c>
      <c r="DL1267" s="5" t="s">
        <v>240</v>
      </c>
      <c r="DP1267" s="5" t="s">
        <v>240</v>
      </c>
      <c r="DQ1267" s="5" t="s">
        <v>240</v>
      </c>
      <c r="DR1267" s="5" t="s">
        <v>240</v>
      </c>
      <c r="DS1267" s="5" t="s">
        <v>240</v>
      </c>
      <c r="DV1267" s="5" t="s">
        <v>813</v>
      </c>
      <c r="DW1267" s="5" t="s">
        <v>2660</v>
      </c>
      <c r="HO1267" s="5" t="s">
        <v>312</v>
      </c>
    </row>
    <row r="1268" spans="1:223" x14ac:dyDescent="0.4">
      <c r="A1268" s="5">
        <v>2943</v>
      </c>
      <c r="B1268" s="5">
        <v>1</v>
      </c>
      <c r="C1268" s="5">
        <v>1</v>
      </c>
      <c r="D1268" s="5" t="s">
        <v>297</v>
      </c>
      <c r="E1268" s="5" t="s">
        <v>245</v>
      </c>
      <c r="F1268" s="5" t="s">
        <v>254</v>
      </c>
      <c r="G1268" s="5" t="s">
        <v>240</v>
      </c>
      <c r="H1268" s="6" t="s">
        <v>4951</v>
      </c>
      <c r="I1268" s="5" t="s">
        <v>295</v>
      </c>
      <c r="J1268" s="8">
        <f>1328</f>
        <v>1328</v>
      </c>
      <c r="K1268" s="5" t="s">
        <v>308</v>
      </c>
      <c r="L1268" s="7">
        <f>1</f>
        <v>1</v>
      </c>
      <c r="M1268" s="7">
        <f>1</f>
        <v>1</v>
      </c>
      <c r="N1268" s="5" t="s">
        <v>242</v>
      </c>
      <c r="O1268" s="5">
        <v>1</v>
      </c>
      <c r="P1268" s="5" t="s">
        <v>294</v>
      </c>
      <c r="Q1268" s="5" t="s">
        <v>266</v>
      </c>
      <c r="R1268" s="5" t="s">
        <v>240</v>
      </c>
      <c r="S1268" s="5" t="s">
        <v>240</v>
      </c>
      <c r="T1268" s="5" t="s">
        <v>296</v>
      </c>
      <c r="U1268" s="5" t="s">
        <v>244</v>
      </c>
      <c r="V1268" s="5" t="s">
        <v>240</v>
      </c>
      <c r="Y1268" s="5" t="s">
        <v>240</v>
      </c>
      <c r="Z1268" s="6" t="s">
        <v>298</v>
      </c>
      <c r="AB1268" s="6" t="s">
        <v>240</v>
      </c>
      <c r="AE1268" s="6" t="s">
        <v>299</v>
      </c>
      <c r="AF1268" s="5" t="s">
        <v>248</v>
      </c>
      <c r="AG1268" s="5" t="s">
        <v>249</v>
      </c>
      <c r="AW1268" s="5" t="s">
        <v>251</v>
      </c>
      <c r="AX1268" s="5" t="s">
        <v>240</v>
      </c>
      <c r="AY1268" s="5" t="s">
        <v>253</v>
      </c>
      <c r="AZ1268" s="5" t="s">
        <v>240</v>
      </c>
      <c r="BA1268" s="5" t="s">
        <v>255</v>
      </c>
      <c r="BB1268" s="5" t="s">
        <v>240</v>
      </c>
      <c r="BD1268" s="5" t="s">
        <v>240</v>
      </c>
      <c r="BF1268" s="5" t="s">
        <v>301</v>
      </c>
      <c r="BG1268" s="6" t="s">
        <v>299</v>
      </c>
      <c r="BH1268" s="5" t="s">
        <v>302</v>
      </c>
      <c r="BI1268" s="5" t="s">
        <v>303</v>
      </c>
      <c r="BJ1268" s="5" t="s">
        <v>240</v>
      </c>
      <c r="BK1268" s="8">
        <f>0</f>
        <v>0</v>
      </c>
      <c r="BL1268" s="7">
        <f>0</f>
        <v>0</v>
      </c>
      <c r="BM1268" s="5" t="s">
        <v>258</v>
      </c>
      <c r="BN1268" s="5" t="s">
        <v>259</v>
      </c>
      <c r="CB1268" s="5" t="s">
        <v>240</v>
      </c>
      <c r="CC1268" s="5" t="s">
        <v>240</v>
      </c>
      <c r="CG1268" s="5" t="s">
        <v>304</v>
      </c>
      <c r="CH1268" s="5" t="s">
        <v>305</v>
      </c>
      <c r="CI1268" s="5" t="s">
        <v>240</v>
      </c>
      <c r="CL1268" s="6" t="s">
        <v>261</v>
      </c>
      <c r="CM1268" s="5" t="s">
        <v>240</v>
      </c>
      <c r="CN1268" s="5" t="s">
        <v>263</v>
      </c>
      <c r="CO1268" s="5" t="s">
        <v>240</v>
      </c>
      <c r="CP1268" s="5" t="s">
        <v>240</v>
      </c>
      <c r="CQ1268" s="5">
        <v>0</v>
      </c>
      <c r="CR1268" s="5" t="s">
        <v>306</v>
      </c>
      <c r="CS1268" s="5" t="s">
        <v>307</v>
      </c>
      <c r="CT1268" s="5" t="s">
        <v>307</v>
      </c>
      <c r="CU1268" s="5" t="s">
        <v>260</v>
      </c>
      <c r="CX1268" s="7">
        <f>1</f>
        <v>1</v>
      </c>
      <c r="CY1268" s="7">
        <f>0</f>
        <v>0</v>
      </c>
      <c r="DA1268" s="7">
        <f>0</f>
        <v>0</v>
      </c>
      <c r="DC1268" s="5" t="s">
        <v>812</v>
      </c>
      <c r="DD1268" s="5" t="s">
        <v>240</v>
      </c>
      <c r="DF1268" s="5" t="s">
        <v>812</v>
      </c>
      <c r="DG1268" s="7">
        <f>319</f>
        <v>319</v>
      </c>
      <c r="DI1268" s="5" t="s">
        <v>240</v>
      </c>
      <c r="DJ1268" s="5" t="s">
        <v>240</v>
      </c>
      <c r="DK1268" s="5" t="s">
        <v>240</v>
      </c>
      <c r="DL1268" s="5" t="s">
        <v>240</v>
      </c>
      <c r="DP1268" s="5" t="s">
        <v>240</v>
      </c>
      <c r="DQ1268" s="5" t="s">
        <v>240</v>
      </c>
      <c r="DR1268" s="5" t="s">
        <v>240</v>
      </c>
      <c r="DS1268" s="5" t="s">
        <v>240</v>
      </c>
      <c r="DV1268" s="5" t="s">
        <v>813</v>
      </c>
      <c r="DW1268" s="5" t="s">
        <v>2662</v>
      </c>
      <c r="HO1268" s="5" t="s">
        <v>312</v>
      </c>
    </row>
    <row r="1269" spans="1:223" x14ac:dyDescent="0.4">
      <c r="A1269" s="5">
        <v>2944</v>
      </c>
      <c r="B1269" s="5">
        <v>1</v>
      </c>
      <c r="C1269" s="5">
        <v>1</v>
      </c>
      <c r="D1269" s="5" t="s">
        <v>297</v>
      </c>
      <c r="E1269" s="5" t="s">
        <v>245</v>
      </c>
      <c r="F1269" s="5" t="s">
        <v>254</v>
      </c>
      <c r="G1269" s="5" t="s">
        <v>240</v>
      </c>
      <c r="H1269" s="6" t="s">
        <v>4950</v>
      </c>
      <c r="I1269" s="5" t="s">
        <v>295</v>
      </c>
      <c r="J1269" s="8">
        <f>214</f>
        <v>214</v>
      </c>
      <c r="K1269" s="5" t="s">
        <v>308</v>
      </c>
      <c r="L1269" s="7">
        <f>1</f>
        <v>1</v>
      </c>
      <c r="M1269" s="7">
        <f>1</f>
        <v>1</v>
      </c>
      <c r="N1269" s="5" t="s">
        <v>242</v>
      </c>
      <c r="O1269" s="5">
        <v>1</v>
      </c>
      <c r="P1269" s="5" t="s">
        <v>294</v>
      </c>
      <c r="Q1269" s="5" t="s">
        <v>266</v>
      </c>
      <c r="R1269" s="5" t="s">
        <v>240</v>
      </c>
      <c r="S1269" s="5" t="s">
        <v>240</v>
      </c>
      <c r="T1269" s="5" t="s">
        <v>296</v>
      </c>
      <c r="U1269" s="5" t="s">
        <v>244</v>
      </c>
      <c r="V1269" s="5" t="s">
        <v>240</v>
      </c>
      <c r="Y1269" s="5" t="s">
        <v>240</v>
      </c>
      <c r="Z1269" s="6" t="s">
        <v>298</v>
      </c>
      <c r="AB1269" s="6" t="s">
        <v>240</v>
      </c>
      <c r="AE1269" s="6" t="s">
        <v>299</v>
      </c>
      <c r="AF1269" s="5" t="s">
        <v>248</v>
      </c>
      <c r="AG1269" s="5" t="s">
        <v>249</v>
      </c>
      <c r="AW1269" s="5" t="s">
        <v>251</v>
      </c>
      <c r="AX1269" s="5" t="s">
        <v>240</v>
      </c>
      <c r="AY1269" s="5" t="s">
        <v>253</v>
      </c>
      <c r="AZ1269" s="5" t="s">
        <v>240</v>
      </c>
      <c r="BA1269" s="5" t="s">
        <v>255</v>
      </c>
      <c r="BB1269" s="5" t="s">
        <v>240</v>
      </c>
      <c r="BD1269" s="5" t="s">
        <v>240</v>
      </c>
      <c r="BF1269" s="5" t="s">
        <v>301</v>
      </c>
      <c r="BG1269" s="6" t="s">
        <v>299</v>
      </c>
      <c r="BH1269" s="5" t="s">
        <v>302</v>
      </c>
      <c r="BI1269" s="5" t="s">
        <v>303</v>
      </c>
      <c r="BJ1269" s="5" t="s">
        <v>240</v>
      </c>
      <c r="BK1269" s="8">
        <f>0</f>
        <v>0</v>
      </c>
      <c r="BL1269" s="7">
        <f>0</f>
        <v>0</v>
      </c>
      <c r="BM1269" s="5" t="s">
        <v>258</v>
      </c>
      <c r="BN1269" s="5" t="s">
        <v>259</v>
      </c>
      <c r="CB1269" s="5" t="s">
        <v>240</v>
      </c>
      <c r="CC1269" s="5" t="s">
        <v>240</v>
      </c>
      <c r="CG1269" s="5" t="s">
        <v>304</v>
      </c>
      <c r="CH1269" s="5" t="s">
        <v>305</v>
      </c>
      <c r="CI1269" s="5" t="s">
        <v>240</v>
      </c>
      <c r="CL1269" s="6" t="s">
        <v>261</v>
      </c>
      <c r="CM1269" s="5" t="s">
        <v>240</v>
      </c>
      <c r="CN1269" s="5" t="s">
        <v>263</v>
      </c>
      <c r="CO1269" s="5" t="s">
        <v>240</v>
      </c>
      <c r="CP1269" s="5" t="s">
        <v>240</v>
      </c>
      <c r="CQ1269" s="5">
        <v>0</v>
      </c>
      <c r="CR1269" s="5" t="s">
        <v>306</v>
      </c>
      <c r="CS1269" s="5" t="s">
        <v>307</v>
      </c>
      <c r="CT1269" s="5" t="s">
        <v>307</v>
      </c>
      <c r="CU1269" s="5" t="s">
        <v>260</v>
      </c>
      <c r="CX1269" s="7">
        <f>1</f>
        <v>1</v>
      </c>
      <c r="CY1269" s="7">
        <f>0</f>
        <v>0</v>
      </c>
      <c r="DA1269" s="7">
        <f>0</f>
        <v>0</v>
      </c>
      <c r="DC1269" s="5" t="s">
        <v>812</v>
      </c>
      <c r="DD1269" s="5" t="s">
        <v>240</v>
      </c>
      <c r="DF1269" s="5" t="s">
        <v>812</v>
      </c>
      <c r="DG1269" s="7">
        <f>245</f>
        <v>245</v>
      </c>
      <c r="DI1269" s="5" t="s">
        <v>240</v>
      </c>
      <c r="DJ1269" s="5" t="s">
        <v>240</v>
      </c>
      <c r="DK1269" s="5" t="s">
        <v>240</v>
      </c>
      <c r="DL1269" s="5" t="s">
        <v>240</v>
      </c>
      <c r="DP1269" s="5" t="s">
        <v>240</v>
      </c>
      <c r="DQ1269" s="5" t="s">
        <v>240</v>
      </c>
      <c r="DR1269" s="5" t="s">
        <v>240</v>
      </c>
      <c r="DS1269" s="5" t="s">
        <v>240</v>
      </c>
      <c r="DV1269" s="5" t="s">
        <v>813</v>
      </c>
      <c r="DW1269" s="5" t="s">
        <v>2664</v>
      </c>
      <c r="HO1269" s="5" t="s">
        <v>312</v>
      </c>
    </row>
    <row r="1270" spans="1:223" x14ac:dyDescent="0.4">
      <c r="A1270" s="5">
        <v>2945</v>
      </c>
      <c r="B1270" s="5">
        <v>1</v>
      </c>
      <c r="C1270" s="5">
        <v>1</v>
      </c>
      <c r="D1270" s="5" t="s">
        <v>297</v>
      </c>
      <c r="E1270" s="5" t="s">
        <v>245</v>
      </c>
      <c r="F1270" s="5" t="s">
        <v>254</v>
      </c>
      <c r="G1270" s="5" t="s">
        <v>240</v>
      </c>
      <c r="H1270" s="6" t="s">
        <v>4949</v>
      </c>
      <c r="I1270" s="5" t="s">
        <v>295</v>
      </c>
      <c r="J1270" s="8">
        <f>19</f>
        <v>19</v>
      </c>
      <c r="K1270" s="5" t="s">
        <v>308</v>
      </c>
      <c r="L1270" s="7">
        <f>1</f>
        <v>1</v>
      </c>
      <c r="M1270" s="7">
        <f>1</f>
        <v>1</v>
      </c>
      <c r="N1270" s="5" t="s">
        <v>242</v>
      </c>
      <c r="O1270" s="5">
        <v>1</v>
      </c>
      <c r="P1270" s="5" t="s">
        <v>294</v>
      </c>
      <c r="Q1270" s="5" t="s">
        <v>266</v>
      </c>
      <c r="R1270" s="5" t="s">
        <v>240</v>
      </c>
      <c r="S1270" s="5" t="s">
        <v>240</v>
      </c>
      <c r="T1270" s="5" t="s">
        <v>243</v>
      </c>
      <c r="U1270" s="5" t="s">
        <v>240</v>
      </c>
      <c r="V1270" s="5" t="s">
        <v>240</v>
      </c>
      <c r="Y1270" s="5" t="s">
        <v>240</v>
      </c>
      <c r="Z1270" s="6" t="s">
        <v>2666</v>
      </c>
      <c r="AB1270" s="6" t="s">
        <v>240</v>
      </c>
      <c r="AE1270" s="6" t="s">
        <v>2667</v>
      </c>
      <c r="AF1270" s="5" t="s">
        <v>248</v>
      </c>
      <c r="AG1270" s="5" t="s">
        <v>260</v>
      </c>
      <c r="AW1270" s="5" t="s">
        <v>251</v>
      </c>
      <c r="AX1270" s="5" t="s">
        <v>240</v>
      </c>
      <c r="AY1270" s="5" t="s">
        <v>253</v>
      </c>
      <c r="AZ1270" s="5" t="s">
        <v>240</v>
      </c>
      <c r="BA1270" s="5" t="s">
        <v>255</v>
      </c>
      <c r="BB1270" s="5" t="s">
        <v>240</v>
      </c>
      <c r="BD1270" s="5" t="s">
        <v>240</v>
      </c>
      <c r="BF1270" s="5" t="s">
        <v>447</v>
      </c>
      <c r="BG1270" s="6" t="s">
        <v>2666</v>
      </c>
      <c r="BH1270" s="5" t="s">
        <v>302</v>
      </c>
      <c r="BI1270" s="5" t="s">
        <v>448</v>
      </c>
      <c r="BJ1270" s="5" t="s">
        <v>240</v>
      </c>
      <c r="BK1270" s="8">
        <f>0</f>
        <v>0</v>
      </c>
      <c r="BL1270" s="7">
        <f>0</f>
        <v>0</v>
      </c>
      <c r="BM1270" s="5" t="s">
        <v>258</v>
      </c>
      <c r="BN1270" s="5" t="s">
        <v>259</v>
      </c>
      <c r="CB1270" s="5" t="s">
        <v>240</v>
      </c>
      <c r="CC1270" s="5" t="s">
        <v>240</v>
      </c>
      <c r="CG1270" s="5" t="s">
        <v>449</v>
      </c>
      <c r="CH1270" s="5" t="s">
        <v>305</v>
      </c>
      <c r="CI1270" s="5" t="s">
        <v>240</v>
      </c>
      <c r="CL1270" s="6" t="s">
        <v>261</v>
      </c>
      <c r="CM1270" s="5" t="s">
        <v>240</v>
      </c>
      <c r="CN1270" s="5" t="s">
        <v>263</v>
      </c>
      <c r="CO1270" s="5" t="s">
        <v>240</v>
      </c>
      <c r="CP1270" s="5" t="s">
        <v>240</v>
      </c>
      <c r="CQ1270" s="5">
        <v>0</v>
      </c>
      <c r="CR1270" s="5" t="s">
        <v>306</v>
      </c>
      <c r="CS1270" s="5" t="s">
        <v>307</v>
      </c>
      <c r="CT1270" s="5" t="s">
        <v>307</v>
      </c>
      <c r="CU1270" s="5" t="s">
        <v>260</v>
      </c>
      <c r="CX1270" s="7">
        <f>6180610</f>
        <v>6180610</v>
      </c>
      <c r="CY1270" s="7">
        <f>0</f>
        <v>0</v>
      </c>
      <c r="DA1270" s="7">
        <f>0</f>
        <v>0</v>
      </c>
      <c r="DC1270" s="5" t="s">
        <v>450</v>
      </c>
      <c r="DD1270" s="5" t="s">
        <v>240</v>
      </c>
      <c r="DF1270" s="5" t="s">
        <v>450</v>
      </c>
      <c r="DG1270" s="7">
        <f>0</f>
        <v>0</v>
      </c>
      <c r="DI1270" s="5" t="s">
        <v>240</v>
      </c>
      <c r="DJ1270" s="5" t="s">
        <v>240</v>
      </c>
      <c r="DK1270" s="5" t="s">
        <v>240</v>
      </c>
      <c r="DL1270" s="5" t="s">
        <v>240</v>
      </c>
      <c r="DP1270" s="5" t="s">
        <v>240</v>
      </c>
      <c r="DQ1270" s="5" t="s">
        <v>240</v>
      </c>
      <c r="DR1270" s="5" t="s">
        <v>240</v>
      </c>
      <c r="DS1270" s="5" t="s">
        <v>240</v>
      </c>
      <c r="DV1270" s="5" t="s">
        <v>310</v>
      </c>
      <c r="DW1270" s="5" t="s">
        <v>2483</v>
      </c>
      <c r="HO1270" s="5" t="s">
        <v>312</v>
      </c>
    </row>
    <row r="1271" spans="1:223" x14ac:dyDescent="0.4">
      <c r="A1271" s="5">
        <v>2946</v>
      </c>
      <c r="B1271" s="5">
        <v>1</v>
      </c>
      <c r="C1271" s="5">
        <v>1</v>
      </c>
      <c r="D1271" s="5" t="s">
        <v>297</v>
      </c>
      <c r="E1271" s="5" t="s">
        <v>245</v>
      </c>
      <c r="F1271" s="5" t="s">
        <v>254</v>
      </c>
      <c r="G1271" s="5" t="s">
        <v>240</v>
      </c>
      <c r="H1271" s="6" t="s">
        <v>4948</v>
      </c>
      <c r="I1271" s="5" t="s">
        <v>295</v>
      </c>
      <c r="J1271" s="8">
        <f>911</f>
        <v>911</v>
      </c>
      <c r="K1271" s="5" t="s">
        <v>308</v>
      </c>
      <c r="L1271" s="7">
        <f>1</f>
        <v>1</v>
      </c>
      <c r="M1271" s="7">
        <f>1</f>
        <v>1</v>
      </c>
      <c r="N1271" s="5" t="s">
        <v>242</v>
      </c>
      <c r="O1271" s="5">
        <v>1</v>
      </c>
      <c r="P1271" s="5" t="s">
        <v>294</v>
      </c>
      <c r="Q1271" s="5" t="s">
        <v>266</v>
      </c>
      <c r="R1271" s="5" t="s">
        <v>240</v>
      </c>
      <c r="S1271" s="5" t="s">
        <v>240</v>
      </c>
      <c r="T1271" s="5" t="s">
        <v>296</v>
      </c>
      <c r="U1271" s="5" t="s">
        <v>244</v>
      </c>
      <c r="V1271" s="5" t="s">
        <v>240</v>
      </c>
      <c r="Y1271" s="5" t="s">
        <v>240</v>
      </c>
      <c r="Z1271" s="6" t="s">
        <v>298</v>
      </c>
      <c r="AB1271" s="6" t="s">
        <v>240</v>
      </c>
      <c r="AE1271" s="6" t="s">
        <v>299</v>
      </c>
      <c r="AF1271" s="5" t="s">
        <v>248</v>
      </c>
      <c r="AG1271" s="5" t="s">
        <v>249</v>
      </c>
      <c r="AW1271" s="5" t="s">
        <v>251</v>
      </c>
      <c r="AX1271" s="5" t="s">
        <v>240</v>
      </c>
      <c r="AY1271" s="5" t="s">
        <v>253</v>
      </c>
      <c r="AZ1271" s="5" t="s">
        <v>240</v>
      </c>
      <c r="BA1271" s="5" t="s">
        <v>255</v>
      </c>
      <c r="BB1271" s="5" t="s">
        <v>240</v>
      </c>
      <c r="BD1271" s="5" t="s">
        <v>240</v>
      </c>
      <c r="BF1271" s="5" t="s">
        <v>301</v>
      </c>
      <c r="BG1271" s="6" t="s">
        <v>299</v>
      </c>
      <c r="BH1271" s="5" t="s">
        <v>302</v>
      </c>
      <c r="BI1271" s="5" t="s">
        <v>303</v>
      </c>
      <c r="BJ1271" s="5" t="s">
        <v>240</v>
      </c>
      <c r="BK1271" s="8">
        <f>0</f>
        <v>0</v>
      </c>
      <c r="BL1271" s="7">
        <f>0</f>
        <v>0</v>
      </c>
      <c r="BM1271" s="5" t="s">
        <v>258</v>
      </c>
      <c r="BN1271" s="5" t="s">
        <v>259</v>
      </c>
      <c r="CB1271" s="5" t="s">
        <v>240</v>
      </c>
      <c r="CC1271" s="5" t="s">
        <v>240</v>
      </c>
      <c r="CG1271" s="5" t="s">
        <v>304</v>
      </c>
      <c r="CH1271" s="5" t="s">
        <v>305</v>
      </c>
      <c r="CI1271" s="5" t="s">
        <v>240</v>
      </c>
      <c r="CL1271" s="6" t="s">
        <v>261</v>
      </c>
      <c r="CM1271" s="5" t="s">
        <v>240</v>
      </c>
      <c r="CN1271" s="5" t="s">
        <v>263</v>
      </c>
      <c r="CO1271" s="5" t="s">
        <v>240</v>
      </c>
      <c r="CP1271" s="5" t="s">
        <v>240</v>
      </c>
      <c r="CQ1271" s="5">
        <v>0</v>
      </c>
      <c r="CR1271" s="5" t="s">
        <v>306</v>
      </c>
      <c r="CS1271" s="5" t="s">
        <v>307</v>
      </c>
      <c r="CT1271" s="5" t="s">
        <v>307</v>
      </c>
      <c r="CU1271" s="5" t="s">
        <v>260</v>
      </c>
      <c r="CX1271" s="7">
        <f>1</f>
        <v>1</v>
      </c>
      <c r="CY1271" s="7">
        <f>0</f>
        <v>0</v>
      </c>
      <c r="DA1271" s="7">
        <f>0</f>
        <v>0</v>
      </c>
      <c r="DC1271" s="5" t="s">
        <v>812</v>
      </c>
      <c r="DD1271" s="5" t="s">
        <v>240</v>
      </c>
      <c r="DF1271" s="5" t="s">
        <v>812</v>
      </c>
      <c r="DG1271" s="7">
        <f>987</f>
        <v>987</v>
      </c>
      <c r="DI1271" s="5" t="s">
        <v>240</v>
      </c>
      <c r="DJ1271" s="5" t="s">
        <v>240</v>
      </c>
      <c r="DK1271" s="5" t="s">
        <v>240</v>
      </c>
      <c r="DL1271" s="5" t="s">
        <v>240</v>
      </c>
      <c r="DP1271" s="5" t="s">
        <v>240</v>
      </c>
      <c r="DQ1271" s="5" t="s">
        <v>240</v>
      </c>
      <c r="DR1271" s="5" t="s">
        <v>240</v>
      </c>
      <c r="DS1271" s="5" t="s">
        <v>240</v>
      </c>
      <c r="DV1271" s="5" t="s">
        <v>813</v>
      </c>
      <c r="DW1271" s="5" t="s">
        <v>2670</v>
      </c>
      <c r="HO1271" s="5" t="s">
        <v>312</v>
      </c>
    </row>
    <row r="1272" spans="1:223" x14ac:dyDescent="0.4">
      <c r="A1272" s="5">
        <v>2947</v>
      </c>
      <c r="B1272" s="5">
        <v>1</v>
      </c>
      <c r="C1272" s="5">
        <v>1</v>
      </c>
      <c r="D1272" s="5" t="s">
        <v>297</v>
      </c>
      <c r="E1272" s="5" t="s">
        <v>245</v>
      </c>
      <c r="F1272" s="5" t="s">
        <v>254</v>
      </c>
      <c r="G1272" s="5" t="s">
        <v>240</v>
      </c>
      <c r="H1272" s="6" t="s">
        <v>4947</v>
      </c>
      <c r="I1272" s="5" t="s">
        <v>295</v>
      </c>
      <c r="J1272" s="8">
        <f>3224</f>
        <v>3224</v>
      </c>
      <c r="K1272" s="5" t="s">
        <v>308</v>
      </c>
      <c r="L1272" s="7">
        <f>1</f>
        <v>1</v>
      </c>
      <c r="M1272" s="7">
        <f>1</f>
        <v>1</v>
      </c>
      <c r="N1272" s="5" t="s">
        <v>242</v>
      </c>
      <c r="O1272" s="5">
        <v>1</v>
      </c>
      <c r="P1272" s="5" t="s">
        <v>294</v>
      </c>
      <c r="Q1272" s="5" t="s">
        <v>266</v>
      </c>
      <c r="R1272" s="5" t="s">
        <v>240</v>
      </c>
      <c r="S1272" s="5" t="s">
        <v>240</v>
      </c>
      <c r="T1272" s="5" t="s">
        <v>296</v>
      </c>
      <c r="U1272" s="5" t="s">
        <v>244</v>
      </c>
      <c r="V1272" s="5" t="s">
        <v>240</v>
      </c>
      <c r="Y1272" s="5" t="s">
        <v>240</v>
      </c>
      <c r="Z1272" s="6" t="s">
        <v>298</v>
      </c>
      <c r="AB1272" s="6" t="s">
        <v>240</v>
      </c>
      <c r="AE1272" s="6" t="s">
        <v>299</v>
      </c>
      <c r="AF1272" s="5" t="s">
        <v>248</v>
      </c>
      <c r="AG1272" s="5" t="s">
        <v>249</v>
      </c>
      <c r="AW1272" s="5" t="s">
        <v>251</v>
      </c>
      <c r="AX1272" s="5" t="s">
        <v>240</v>
      </c>
      <c r="AY1272" s="5" t="s">
        <v>253</v>
      </c>
      <c r="AZ1272" s="5" t="s">
        <v>240</v>
      </c>
      <c r="BA1272" s="5" t="s">
        <v>255</v>
      </c>
      <c r="BB1272" s="5" t="s">
        <v>240</v>
      </c>
      <c r="BD1272" s="5" t="s">
        <v>240</v>
      </c>
      <c r="BF1272" s="5" t="s">
        <v>301</v>
      </c>
      <c r="BG1272" s="6" t="s">
        <v>299</v>
      </c>
      <c r="BH1272" s="5" t="s">
        <v>302</v>
      </c>
      <c r="BI1272" s="5" t="s">
        <v>303</v>
      </c>
      <c r="BJ1272" s="5" t="s">
        <v>240</v>
      </c>
      <c r="BK1272" s="8">
        <f>0</f>
        <v>0</v>
      </c>
      <c r="BL1272" s="7">
        <f>0</f>
        <v>0</v>
      </c>
      <c r="BM1272" s="5" t="s">
        <v>258</v>
      </c>
      <c r="BN1272" s="5" t="s">
        <v>259</v>
      </c>
      <c r="CB1272" s="5" t="s">
        <v>240</v>
      </c>
      <c r="CC1272" s="5" t="s">
        <v>240</v>
      </c>
      <c r="CG1272" s="5" t="s">
        <v>304</v>
      </c>
      <c r="CH1272" s="5" t="s">
        <v>305</v>
      </c>
      <c r="CI1272" s="5" t="s">
        <v>240</v>
      </c>
      <c r="CL1272" s="6" t="s">
        <v>261</v>
      </c>
      <c r="CM1272" s="5" t="s">
        <v>240</v>
      </c>
      <c r="CN1272" s="5" t="s">
        <v>263</v>
      </c>
      <c r="CO1272" s="5" t="s">
        <v>240</v>
      </c>
      <c r="CP1272" s="5" t="s">
        <v>240</v>
      </c>
      <c r="CQ1272" s="5">
        <v>0</v>
      </c>
      <c r="CR1272" s="5" t="s">
        <v>306</v>
      </c>
      <c r="CS1272" s="5" t="s">
        <v>307</v>
      </c>
      <c r="CT1272" s="5" t="s">
        <v>307</v>
      </c>
      <c r="CU1272" s="5" t="s">
        <v>260</v>
      </c>
      <c r="CX1272" s="7">
        <f>1</f>
        <v>1</v>
      </c>
      <c r="CY1272" s="7">
        <f>0</f>
        <v>0</v>
      </c>
      <c r="DA1272" s="7">
        <f>0</f>
        <v>0</v>
      </c>
      <c r="DC1272" s="5" t="s">
        <v>812</v>
      </c>
      <c r="DD1272" s="5" t="s">
        <v>240</v>
      </c>
      <c r="DF1272" s="5" t="s">
        <v>812</v>
      </c>
      <c r="DG1272" s="7">
        <f>442</f>
        <v>442</v>
      </c>
      <c r="DI1272" s="5" t="s">
        <v>240</v>
      </c>
      <c r="DJ1272" s="5" t="s">
        <v>240</v>
      </c>
      <c r="DK1272" s="5" t="s">
        <v>240</v>
      </c>
      <c r="DL1272" s="5" t="s">
        <v>240</v>
      </c>
      <c r="DP1272" s="5" t="s">
        <v>240</v>
      </c>
      <c r="DQ1272" s="5" t="s">
        <v>240</v>
      </c>
      <c r="DR1272" s="5" t="s">
        <v>240</v>
      </c>
      <c r="DS1272" s="5" t="s">
        <v>240</v>
      </c>
      <c r="DV1272" s="5" t="s">
        <v>813</v>
      </c>
      <c r="DW1272" s="5" t="s">
        <v>2672</v>
      </c>
      <c r="HO1272" s="5" t="s">
        <v>312</v>
      </c>
    </row>
    <row r="1273" spans="1:223" x14ac:dyDescent="0.4">
      <c r="A1273" s="5">
        <v>2948</v>
      </c>
      <c r="B1273" s="5">
        <v>1</v>
      </c>
      <c r="C1273" s="5">
        <v>1</v>
      </c>
      <c r="D1273" s="5" t="s">
        <v>297</v>
      </c>
      <c r="E1273" s="5" t="s">
        <v>245</v>
      </c>
      <c r="F1273" s="5" t="s">
        <v>254</v>
      </c>
      <c r="G1273" s="5" t="s">
        <v>240</v>
      </c>
      <c r="H1273" s="6" t="s">
        <v>4946</v>
      </c>
      <c r="I1273" s="5" t="s">
        <v>295</v>
      </c>
      <c r="J1273" s="8">
        <f>369</f>
        <v>369</v>
      </c>
      <c r="K1273" s="5" t="s">
        <v>308</v>
      </c>
      <c r="L1273" s="7">
        <f>1</f>
        <v>1</v>
      </c>
      <c r="M1273" s="7">
        <f>1</f>
        <v>1</v>
      </c>
      <c r="N1273" s="5" t="s">
        <v>242</v>
      </c>
      <c r="O1273" s="5">
        <v>1</v>
      </c>
      <c r="P1273" s="5" t="s">
        <v>294</v>
      </c>
      <c r="Q1273" s="5" t="s">
        <v>266</v>
      </c>
      <c r="R1273" s="5" t="s">
        <v>240</v>
      </c>
      <c r="S1273" s="5" t="s">
        <v>240</v>
      </c>
      <c r="T1273" s="5" t="s">
        <v>296</v>
      </c>
      <c r="U1273" s="5" t="s">
        <v>244</v>
      </c>
      <c r="V1273" s="5" t="s">
        <v>240</v>
      </c>
      <c r="Y1273" s="5" t="s">
        <v>240</v>
      </c>
      <c r="Z1273" s="6" t="s">
        <v>298</v>
      </c>
      <c r="AB1273" s="6" t="s">
        <v>240</v>
      </c>
      <c r="AE1273" s="6" t="s">
        <v>299</v>
      </c>
      <c r="AF1273" s="5" t="s">
        <v>248</v>
      </c>
      <c r="AG1273" s="5" t="s">
        <v>249</v>
      </c>
      <c r="AW1273" s="5" t="s">
        <v>251</v>
      </c>
      <c r="AX1273" s="5" t="s">
        <v>240</v>
      </c>
      <c r="AY1273" s="5" t="s">
        <v>253</v>
      </c>
      <c r="AZ1273" s="5" t="s">
        <v>240</v>
      </c>
      <c r="BA1273" s="5" t="s">
        <v>255</v>
      </c>
      <c r="BB1273" s="5" t="s">
        <v>240</v>
      </c>
      <c r="BD1273" s="5" t="s">
        <v>240</v>
      </c>
      <c r="BF1273" s="5" t="s">
        <v>301</v>
      </c>
      <c r="BG1273" s="6" t="s">
        <v>299</v>
      </c>
      <c r="BH1273" s="5" t="s">
        <v>302</v>
      </c>
      <c r="BI1273" s="5" t="s">
        <v>303</v>
      </c>
      <c r="BJ1273" s="5" t="s">
        <v>240</v>
      </c>
      <c r="BK1273" s="8">
        <f>0</f>
        <v>0</v>
      </c>
      <c r="BL1273" s="7">
        <f>0</f>
        <v>0</v>
      </c>
      <c r="BM1273" s="5" t="s">
        <v>258</v>
      </c>
      <c r="BN1273" s="5" t="s">
        <v>259</v>
      </c>
      <c r="CB1273" s="5" t="s">
        <v>240</v>
      </c>
      <c r="CC1273" s="5" t="s">
        <v>240</v>
      </c>
      <c r="CG1273" s="5" t="s">
        <v>304</v>
      </c>
      <c r="CH1273" s="5" t="s">
        <v>305</v>
      </c>
      <c r="CI1273" s="5" t="s">
        <v>240</v>
      </c>
      <c r="CL1273" s="6" t="s">
        <v>261</v>
      </c>
      <c r="CM1273" s="5" t="s">
        <v>240</v>
      </c>
      <c r="CN1273" s="5" t="s">
        <v>263</v>
      </c>
      <c r="CO1273" s="5" t="s">
        <v>240</v>
      </c>
      <c r="CP1273" s="5" t="s">
        <v>240</v>
      </c>
      <c r="CQ1273" s="5">
        <v>0</v>
      </c>
      <c r="CR1273" s="5" t="s">
        <v>306</v>
      </c>
      <c r="CS1273" s="5" t="s">
        <v>307</v>
      </c>
      <c r="CT1273" s="5" t="s">
        <v>307</v>
      </c>
      <c r="CU1273" s="5" t="s">
        <v>260</v>
      </c>
      <c r="CX1273" s="7">
        <f>1</f>
        <v>1</v>
      </c>
      <c r="CY1273" s="7">
        <f>0</f>
        <v>0</v>
      </c>
      <c r="DA1273" s="7">
        <f>0</f>
        <v>0</v>
      </c>
      <c r="DC1273" s="5" t="s">
        <v>812</v>
      </c>
      <c r="DD1273" s="5" t="s">
        <v>240</v>
      </c>
      <c r="DF1273" s="5" t="s">
        <v>812</v>
      </c>
      <c r="DG1273" s="7">
        <f>465</f>
        <v>465</v>
      </c>
      <c r="DI1273" s="5" t="s">
        <v>240</v>
      </c>
      <c r="DJ1273" s="5" t="s">
        <v>240</v>
      </c>
      <c r="DK1273" s="5" t="s">
        <v>240</v>
      </c>
      <c r="DL1273" s="5" t="s">
        <v>240</v>
      </c>
      <c r="DP1273" s="5" t="s">
        <v>240</v>
      </c>
      <c r="DQ1273" s="5" t="s">
        <v>240</v>
      </c>
      <c r="DR1273" s="5" t="s">
        <v>240</v>
      </c>
      <c r="DS1273" s="5" t="s">
        <v>240</v>
      </c>
      <c r="DV1273" s="5" t="s">
        <v>813</v>
      </c>
      <c r="DW1273" s="5" t="s">
        <v>2674</v>
      </c>
      <c r="HO1273" s="5" t="s">
        <v>312</v>
      </c>
    </row>
    <row r="1274" spans="1:223" x14ac:dyDescent="0.4">
      <c r="A1274" s="5">
        <v>2949</v>
      </c>
      <c r="B1274" s="5">
        <v>1</v>
      </c>
      <c r="C1274" s="5">
        <v>1</v>
      </c>
      <c r="D1274" s="5" t="s">
        <v>297</v>
      </c>
      <c r="E1274" s="5" t="s">
        <v>245</v>
      </c>
      <c r="F1274" s="5" t="s">
        <v>254</v>
      </c>
      <c r="G1274" s="5" t="s">
        <v>240</v>
      </c>
      <c r="H1274" s="6" t="s">
        <v>6007</v>
      </c>
      <c r="I1274" s="5" t="s">
        <v>295</v>
      </c>
      <c r="J1274" s="8">
        <f>226</f>
        <v>226</v>
      </c>
      <c r="K1274" s="5" t="s">
        <v>308</v>
      </c>
      <c r="L1274" s="7">
        <f>1</f>
        <v>1</v>
      </c>
      <c r="M1274" s="7">
        <f>1</f>
        <v>1</v>
      </c>
      <c r="N1274" s="5" t="s">
        <v>242</v>
      </c>
      <c r="O1274" s="5">
        <v>1</v>
      </c>
      <c r="P1274" s="5" t="s">
        <v>294</v>
      </c>
      <c r="Q1274" s="5" t="s">
        <v>266</v>
      </c>
      <c r="R1274" s="5" t="s">
        <v>240</v>
      </c>
      <c r="S1274" s="5" t="s">
        <v>240</v>
      </c>
      <c r="T1274" s="5" t="s">
        <v>296</v>
      </c>
      <c r="U1274" s="5" t="s">
        <v>244</v>
      </c>
      <c r="V1274" s="5" t="s">
        <v>240</v>
      </c>
      <c r="Y1274" s="5" t="s">
        <v>240</v>
      </c>
      <c r="Z1274" s="6" t="s">
        <v>298</v>
      </c>
      <c r="AB1274" s="6" t="s">
        <v>240</v>
      </c>
      <c r="AE1274" s="6" t="s">
        <v>299</v>
      </c>
      <c r="AF1274" s="5" t="s">
        <v>248</v>
      </c>
      <c r="AG1274" s="5" t="s">
        <v>249</v>
      </c>
      <c r="AW1274" s="5" t="s">
        <v>251</v>
      </c>
      <c r="AX1274" s="5" t="s">
        <v>240</v>
      </c>
      <c r="AY1274" s="5" t="s">
        <v>253</v>
      </c>
      <c r="AZ1274" s="5" t="s">
        <v>240</v>
      </c>
      <c r="BA1274" s="5" t="s">
        <v>255</v>
      </c>
      <c r="BB1274" s="5" t="s">
        <v>240</v>
      </c>
      <c r="BD1274" s="5" t="s">
        <v>240</v>
      </c>
      <c r="BF1274" s="5" t="s">
        <v>301</v>
      </c>
      <c r="BG1274" s="6" t="s">
        <v>299</v>
      </c>
      <c r="BH1274" s="5" t="s">
        <v>302</v>
      </c>
      <c r="BI1274" s="5" t="s">
        <v>303</v>
      </c>
      <c r="BJ1274" s="5" t="s">
        <v>240</v>
      </c>
      <c r="BK1274" s="8">
        <f>0</f>
        <v>0</v>
      </c>
      <c r="BL1274" s="7">
        <f>0</f>
        <v>0</v>
      </c>
      <c r="BM1274" s="5" t="s">
        <v>258</v>
      </c>
      <c r="BN1274" s="5" t="s">
        <v>259</v>
      </c>
      <c r="CB1274" s="5" t="s">
        <v>240</v>
      </c>
      <c r="CC1274" s="5" t="s">
        <v>240</v>
      </c>
      <c r="CG1274" s="5" t="s">
        <v>304</v>
      </c>
      <c r="CH1274" s="5" t="s">
        <v>305</v>
      </c>
      <c r="CI1274" s="5" t="s">
        <v>240</v>
      </c>
      <c r="CL1274" s="6" t="s">
        <v>261</v>
      </c>
      <c r="CM1274" s="5" t="s">
        <v>240</v>
      </c>
      <c r="CN1274" s="5" t="s">
        <v>263</v>
      </c>
      <c r="CO1274" s="5" t="s">
        <v>240</v>
      </c>
      <c r="CP1274" s="5" t="s">
        <v>240</v>
      </c>
      <c r="CQ1274" s="5">
        <v>0</v>
      </c>
      <c r="CR1274" s="5" t="s">
        <v>306</v>
      </c>
      <c r="CS1274" s="5" t="s">
        <v>307</v>
      </c>
      <c r="CT1274" s="5" t="s">
        <v>307</v>
      </c>
      <c r="CU1274" s="5" t="s">
        <v>260</v>
      </c>
      <c r="CX1274" s="7">
        <f>1</f>
        <v>1</v>
      </c>
      <c r="CY1274" s="7">
        <f>0</f>
        <v>0</v>
      </c>
      <c r="DA1274" s="7">
        <f>0</f>
        <v>0</v>
      </c>
      <c r="DC1274" s="5" t="s">
        <v>812</v>
      </c>
      <c r="DD1274" s="5" t="s">
        <v>240</v>
      </c>
      <c r="DF1274" s="5" t="s">
        <v>812</v>
      </c>
      <c r="DG1274" s="7">
        <f>1547</f>
        <v>1547</v>
      </c>
      <c r="DI1274" s="5" t="s">
        <v>240</v>
      </c>
      <c r="DJ1274" s="5" t="s">
        <v>240</v>
      </c>
      <c r="DK1274" s="5" t="s">
        <v>240</v>
      </c>
      <c r="DL1274" s="5" t="s">
        <v>240</v>
      </c>
      <c r="DP1274" s="5" t="s">
        <v>240</v>
      </c>
      <c r="DQ1274" s="5" t="s">
        <v>240</v>
      </c>
      <c r="DR1274" s="5" t="s">
        <v>240</v>
      </c>
      <c r="DS1274" s="5" t="s">
        <v>240</v>
      </c>
      <c r="DV1274" s="5" t="s">
        <v>813</v>
      </c>
      <c r="DW1274" s="5" t="s">
        <v>2676</v>
      </c>
      <c r="HO1274" s="5" t="s">
        <v>312</v>
      </c>
    </row>
    <row r="1275" spans="1:223" x14ac:dyDescent="0.4">
      <c r="A1275" s="5">
        <v>2950</v>
      </c>
      <c r="B1275" s="5">
        <v>1</v>
      </c>
      <c r="C1275" s="5">
        <v>1</v>
      </c>
      <c r="D1275" s="5" t="s">
        <v>297</v>
      </c>
      <c r="E1275" s="5" t="s">
        <v>245</v>
      </c>
      <c r="F1275" s="5" t="s">
        <v>254</v>
      </c>
      <c r="G1275" s="5" t="s">
        <v>240</v>
      </c>
      <c r="H1275" s="6" t="s">
        <v>4943</v>
      </c>
      <c r="I1275" s="5" t="s">
        <v>295</v>
      </c>
      <c r="J1275" s="8">
        <f>1085</f>
        <v>1085</v>
      </c>
      <c r="K1275" s="5" t="s">
        <v>308</v>
      </c>
      <c r="L1275" s="7">
        <f>1</f>
        <v>1</v>
      </c>
      <c r="M1275" s="7">
        <f>1</f>
        <v>1</v>
      </c>
      <c r="N1275" s="5" t="s">
        <v>242</v>
      </c>
      <c r="O1275" s="5">
        <v>1</v>
      </c>
      <c r="P1275" s="5" t="s">
        <v>294</v>
      </c>
      <c r="Q1275" s="5" t="s">
        <v>266</v>
      </c>
      <c r="R1275" s="5" t="s">
        <v>240</v>
      </c>
      <c r="S1275" s="5" t="s">
        <v>240</v>
      </c>
      <c r="T1275" s="5" t="s">
        <v>296</v>
      </c>
      <c r="U1275" s="5" t="s">
        <v>244</v>
      </c>
      <c r="V1275" s="5" t="s">
        <v>240</v>
      </c>
      <c r="Y1275" s="5" t="s">
        <v>240</v>
      </c>
      <c r="Z1275" s="6" t="s">
        <v>298</v>
      </c>
      <c r="AB1275" s="6" t="s">
        <v>240</v>
      </c>
      <c r="AE1275" s="6" t="s">
        <v>299</v>
      </c>
      <c r="AF1275" s="5" t="s">
        <v>248</v>
      </c>
      <c r="AG1275" s="5" t="s">
        <v>249</v>
      </c>
      <c r="AW1275" s="5" t="s">
        <v>251</v>
      </c>
      <c r="AX1275" s="5" t="s">
        <v>240</v>
      </c>
      <c r="AY1275" s="5" t="s">
        <v>253</v>
      </c>
      <c r="AZ1275" s="5" t="s">
        <v>240</v>
      </c>
      <c r="BA1275" s="5" t="s">
        <v>255</v>
      </c>
      <c r="BB1275" s="5" t="s">
        <v>240</v>
      </c>
      <c r="BD1275" s="5" t="s">
        <v>240</v>
      </c>
      <c r="BF1275" s="5" t="s">
        <v>301</v>
      </c>
      <c r="BG1275" s="6" t="s">
        <v>299</v>
      </c>
      <c r="BH1275" s="5" t="s">
        <v>302</v>
      </c>
      <c r="BI1275" s="5" t="s">
        <v>303</v>
      </c>
      <c r="BJ1275" s="5" t="s">
        <v>240</v>
      </c>
      <c r="BK1275" s="8">
        <f>0</f>
        <v>0</v>
      </c>
      <c r="BL1275" s="7">
        <f>0</f>
        <v>0</v>
      </c>
      <c r="BM1275" s="5" t="s">
        <v>258</v>
      </c>
      <c r="BN1275" s="5" t="s">
        <v>259</v>
      </c>
      <c r="CB1275" s="5" t="s">
        <v>240</v>
      </c>
      <c r="CC1275" s="5" t="s">
        <v>240</v>
      </c>
      <c r="CG1275" s="5" t="s">
        <v>304</v>
      </c>
      <c r="CH1275" s="5" t="s">
        <v>305</v>
      </c>
      <c r="CI1275" s="5" t="s">
        <v>240</v>
      </c>
      <c r="CL1275" s="6" t="s">
        <v>261</v>
      </c>
      <c r="CM1275" s="5" t="s">
        <v>240</v>
      </c>
      <c r="CN1275" s="5" t="s">
        <v>263</v>
      </c>
      <c r="CO1275" s="5" t="s">
        <v>240</v>
      </c>
      <c r="CP1275" s="5" t="s">
        <v>240</v>
      </c>
      <c r="CQ1275" s="5">
        <v>0</v>
      </c>
      <c r="CR1275" s="5" t="s">
        <v>306</v>
      </c>
      <c r="CS1275" s="5" t="s">
        <v>307</v>
      </c>
      <c r="CT1275" s="5" t="s">
        <v>307</v>
      </c>
      <c r="CU1275" s="5" t="s">
        <v>260</v>
      </c>
      <c r="CX1275" s="7">
        <f>1</f>
        <v>1</v>
      </c>
      <c r="CY1275" s="7">
        <f>0</f>
        <v>0</v>
      </c>
      <c r="DA1275" s="7">
        <f>0</f>
        <v>0</v>
      </c>
      <c r="DC1275" s="5" t="s">
        <v>812</v>
      </c>
      <c r="DD1275" s="5" t="s">
        <v>240</v>
      </c>
      <c r="DF1275" s="5" t="s">
        <v>812</v>
      </c>
      <c r="DG1275" s="7">
        <f>235</f>
        <v>235</v>
      </c>
      <c r="DI1275" s="5" t="s">
        <v>240</v>
      </c>
      <c r="DJ1275" s="5" t="s">
        <v>240</v>
      </c>
      <c r="DK1275" s="5" t="s">
        <v>240</v>
      </c>
      <c r="DL1275" s="5" t="s">
        <v>240</v>
      </c>
      <c r="DP1275" s="5" t="s">
        <v>240</v>
      </c>
      <c r="DQ1275" s="5" t="s">
        <v>240</v>
      </c>
      <c r="DR1275" s="5" t="s">
        <v>240</v>
      </c>
      <c r="DS1275" s="5" t="s">
        <v>240</v>
      </c>
      <c r="DV1275" s="5" t="s">
        <v>813</v>
      </c>
      <c r="DW1275" s="5" t="s">
        <v>2678</v>
      </c>
      <c r="HO1275" s="5" t="s">
        <v>312</v>
      </c>
    </row>
    <row r="1276" spans="1:223" x14ac:dyDescent="0.4">
      <c r="A1276" s="5">
        <v>2951</v>
      </c>
      <c r="B1276" s="5">
        <v>1</v>
      </c>
      <c r="C1276" s="5">
        <v>1</v>
      </c>
      <c r="D1276" s="5" t="s">
        <v>297</v>
      </c>
      <c r="E1276" s="5" t="s">
        <v>245</v>
      </c>
      <c r="F1276" s="5" t="s">
        <v>254</v>
      </c>
      <c r="G1276" s="5" t="s">
        <v>240</v>
      </c>
      <c r="H1276" s="6" t="s">
        <v>4942</v>
      </c>
      <c r="I1276" s="5" t="s">
        <v>295</v>
      </c>
      <c r="J1276" s="8">
        <f>1817</f>
        <v>1817</v>
      </c>
      <c r="K1276" s="5" t="s">
        <v>308</v>
      </c>
      <c r="L1276" s="7">
        <f>1</f>
        <v>1</v>
      </c>
      <c r="M1276" s="7">
        <f>1</f>
        <v>1</v>
      </c>
      <c r="N1276" s="5" t="s">
        <v>242</v>
      </c>
      <c r="O1276" s="5">
        <v>1</v>
      </c>
      <c r="P1276" s="5" t="s">
        <v>294</v>
      </c>
      <c r="Q1276" s="5" t="s">
        <v>266</v>
      </c>
      <c r="R1276" s="5" t="s">
        <v>240</v>
      </c>
      <c r="S1276" s="5" t="s">
        <v>240</v>
      </c>
      <c r="T1276" s="5" t="s">
        <v>296</v>
      </c>
      <c r="U1276" s="5" t="s">
        <v>244</v>
      </c>
      <c r="V1276" s="5" t="s">
        <v>240</v>
      </c>
      <c r="Y1276" s="5" t="s">
        <v>240</v>
      </c>
      <c r="Z1276" s="6" t="s">
        <v>298</v>
      </c>
      <c r="AB1276" s="6" t="s">
        <v>240</v>
      </c>
      <c r="AE1276" s="6" t="s">
        <v>299</v>
      </c>
      <c r="AF1276" s="5" t="s">
        <v>248</v>
      </c>
      <c r="AG1276" s="5" t="s">
        <v>249</v>
      </c>
      <c r="AW1276" s="5" t="s">
        <v>251</v>
      </c>
      <c r="AX1276" s="5" t="s">
        <v>240</v>
      </c>
      <c r="AY1276" s="5" t="s">
        <v>253</v>
      </c>
      <c r="AZ1276" s="5" t="s">
        <v>240</v>
      </c>
      <c r="BA1276" s="5" t="s">
        <v>255</v>
      </c>
      <c r="BB1276" s="5" t="s">
        <v>240</v>
      </c>
      <c r="BD1276" s="5" t="s">
        <v>240</v>
      </c>
      <c r="BF1276" s="5" t="s">
        <v>301</v>
      </c>
      <c r="BG1276" s="6" t="s">
        <v>299</v>
      </c>
      <c r="BH1276" s="5" t="s">
        <v>302</v>
      </c>
      <c r="BI1276" s="5" t="s">
        <v>303</v>
      </c>
      <c r="BJ1276" s="5" t="s">
        <v>240</v>
      </c>
      <c r="BK1276" s="8">
        <f>0</f>
        <v>0</v>
      </c>
      <c r="BL1276" s="7">
        <f>0</f>
        <v>0</v>
      </c>
      <c r="BM1276" s="5" t="s">
        <v>258</v>
      </c>
      <c r="BN1276" s="5" t="s">
        <v>259</v>
      </c>
      <c r="CB1276" s="5" t="s">
        <v>240</v>
      </c>
      <c r="CC1276" s="5" t="s">
        <v>240</v>
      </c>
      <c r="CG1276" s="5" t="s">
        <v>304</v>
      </c>
      <c r="CH1276" s="5" t="s">
        <v>305</v>
      </c>
      <c r="CI1276" s="5" t="s">
        <v>240</v>
      </c>
      <c r="CL1276" s="6" t="s">
        <v>261</v>
      </c>
      <c r="CM1276" s="5" t="s">
        <v>240</v>
      </c>
      <c r="CN1276" s="5" t="s">
        <v>263</v>
      </c>
      <c r="CO1276" s="5" t="s">
        <v>240</v>
      </c>
      <c r="CP1276" s="5" t="s">
        <v>240</v>
      </c>
      <c r="CQ1276" s="5">
        <v>0</v>
      </c>
      <c r="CR1276" s="5" t="s">
        <v>306</v>
      </c>
      <c r="CS1276" s="5" t="s">
        <v>307</v>
      </c>
      <c r="CT1276" s="5" t="s">
        <v>307</v>
      </c>
      <c r="CU1276" s="5" t="s">
        <v>260</v>
      </c>
      <c r="CX1276" s="7">
        <f>1</f>
        <v>1</v>
      </c>
      <c r="CY1276" s="7">
        <f>0</f>
        <v>0</v>
      </c>
      <c r="DA1276" s="7">
        <f>0</f>
        <v>0</v>
      </c>
      <c r="DC1276" s="5" t="s">
        <v>812</v>
      </c>
      <c r="DD1276" s="5" t="s">
        <v>240</v>
      </c>
      <c r="DF1276" s="5" t="s">
        <v>812</v>
      </c>
      <c r="DG1276" s="7">
        <f>32</f>
        <v>32</v>
      </c>
      <c r="DI1276" s="5" t="s">
        <v>240</v>
      </c>
      <c r="DJ1276" s="5" t="s">
        <v>240</v>
      </c>
      <c r="DK1276" s="5" t="s">
        <v>240</v>
      </c>
      <c r="DL1276" s="5" t="s">
        <v>240</v>
      </c>
      <c r="DP1276" s="5" t="s">
        <v>240</v>
      </c>
      <c r="DQ1276" s="5" t="s">
        <v>240</v>
      </c>
      <c r="DR1276" s="5" t="s">
        <v>240</v>
      </c>
      <c r="DS1276" s="5" t="s">
        <v>240</v>
      </c>
      <c r="DV1276" s="5" t="s">
        <v>813</v>
      </c>
      <c r="DW1276" s="5" t="s">
        <v>2680</v>
      </c>
      <c r="HO1276" s="5" t="s">
        <v>312</v>
      </c>
    </row>
    <row r="1277" spans="1:223" x14ac:dyDescent="0.4">
      <c r="A1277" s="5">
        <v>2952</v>
      </c>
      <c r="B1277" s="5">
        <v>1</v>
      </c>
      <c r="C1277" s="5">
        <v>1</v>
      </c>
      <c r="D1277" s="5" t="s">
        <v>297</v>
      </c>
      <c r="E1277" s="5" t="s">
        <v>245</v>
      </c>
      <c r="F1277" s="5" t="s">
        <v>254</v>
      </c>
      <c r="G1277" s="5" t="s">
        <v>240</v>
      </c>
      <c r="H1277" s="6" t="s">
        <v>4941</v>
      </c>
      <c r="I1277" s="5" t="s">
        <v>295</v>
      </c>
      <c r="J1277" s="8">
        <f>901</f>
        <v>901</v>
      </c>
      <c r="K1277" s="5" t="s">
        <v>308</v>
      </c>
      <c r="L1277" s="7">
        <f>1</f>
        <v>1</v>
      </c>
      <c r="M1277" s="7">
        <f>1</f>
        <v>1</v>
      </c>
      <c r="N1277" s="5" t="s">
        <v>242</v>
      </c>
      <c r="O1277" s="5">
        <v>1</v>
      </c>
      <c r="P1277" s="5" t="s">
        <v>294</v>
      </c>
      <c r="Q1277" s="5" t="s">
        <v>266</v>
      </c>
      <c r="R1277" s="5" t="s">
        <v>240</v>
      </c>
      <c r="S1277" s="5" t="s">
        <v>240</v>
      </c>
      <c r="T1277" s="5" t="s">
        <v>296</v>
      </c>
      <c r="U1277" s="5" t="s">
        <v>244</v>
      </c>
      <c r="V1277" s="5" t="s">
        <v>240</v>
      </c>
      <c r="Y1277" s="5" t="s">
        <v>240</v>
      </c>
      <c r="Z1277" s="6" t="s">
        <v>298</v>
      </c>
      <c r="AB1277" s="6" t="s">
        <v>240</v>
      </c>
      <c r="AE1277" s="6" t="s">
        <v>299</v>
      </c>
      <c r="AF1277" s="5" t="s">
        <v>248</v>
      </c>
      <c r="AG1277" s="5" t="s">
        <v>249</v>
      </c>
      <c r="AW1277" s="5" t="s">
        <v>251</v>
      </c>
      <c r="AX1277" s="5" t="s">
        <v>240</v>
      </c>
      <c r="AY1277" s="5" t="s">
        <v>253</v>
      </c>
      <c r="AZ1277" s="5" t="s">
        <v>240</v>
      </c>
      <c r="BA1277" s="5" t="s">
        <v>255</v>
      </c>
      <c r="BB1277" s="5" t="s">
        <v>240</v>
      </c>
      <c r="BD1277" s="5" t="s">
        <v>240</v>
      </c>
      <c r="BF1277" s="5" t="s">
        <v>301</v>
      </c>
      <c r="BG1277" s="6" t="s">
        <v>299</v>
      </c>
      <c r="BH1277" s="5" t="s">
        <v>302</v>
      </c>
      <c r="BI1277" s="5" t="s">
        <v>303</v>
      </c>
      <c r="BJ1277" s="5" t="s">
        <v>240</v>
      </c>
      <c r="BK1277" s="8">
        <f>0</f>
        <v>0</v>
      </c>
      <c r="BL1277" s="7">
        <f>0</f>
        <v>0</v>
      </c>
      <c r="BM1277" s="5" t="s">
        <v>258</v>
      </c>
      <c r="BN1277" s="5" t="s">
        <v>259</v>
      </c>
      <c r="CB1277" s="5" t="s">
        <v>240</v>
      </c>
      <c r="CC1277" s="5" t="s">
        <v>240</v>
      </c>
      <c r="CG1277" s="5" t="s">
        <v>304</v>
      </c>
      <c r="CH1277" s="5" t="s">
        <v>305</v>
      </c>
      <c r="CI1277" s="5" t="s">
        <v>240</v>
      </c>
      <c r="CL1277" s="6" t="s">
        <v>261</v>
      </c>
      <c r="CM1277" s="5" t="s">
        <v>240</v>
      </c>
      <c r="CN1277" s="5" t="s">
        <v>263</v>
      </c>
      <c r="CO1277" s="5" t="s">
        <v>240</v>
      </c>
      <c r="CP1277" s="5" t="s">
        <v>240</v>
      </c>
      <c r="CQ1277" s="5">
        <v>0</v>
      </c>
      <c r="CR1277" s="5" t="s">
        <v>306</v>
      </c>
      <c r="CS1277" s="5" t="s">
        <v>307</v>
      </c>
      <c r="CT1277" s="5" t="s">
        <v>307</v>
      </c>
      <c r="CU1277" s="5" t="s">
        <v>260</v>
      </c>
      <c r="CX1277" s="7">
        <f>1</f>
        <v>1</v>
      </c>
      <c r="CY1277" s="7">
        <f>0</f>
        <v>0</v>
      </c>
      <c r="DA1277" s="7">
        <f>0</f>
        <v>0</v>
      </c>
      <c r="DC1277" s="5" t="s">
        <v>812</v>
      </c>
      <c r="DD1277" s="5" t="s">
        <v>240</v>
      </c>
      <c r="DF1277" s="5" t="s">
        <v>812</v>
      </c>
      <c r="DG1277" s="7">
        <f>165</f>
        <v>165</v>
      </c>
      <c r="DI1277" s="5" t="s">
        <v>240</v>
      </c>
      <c r="DJ1277" s="5" t="s">
        <v>240</v>
      </c>
      <c r="DK1277" s="5" t="s">
        <v>240</v>
      </c>
      <c r="DL1277" s="5" t="s">
        <v>240</v>
      </c>
      <c r="DP1277" s="5" t="s">
        <v>240</v>
      </c>
      <c r="DQ1277" s="5" t="s">
        <v>240</v>
      </c>
      <c r="DR1277" s="5" t="s">
        <v>240</v>
      </c>
      <c r="DS1277" s="5" t="s">
        <v>240</v>
      </c>
      <c r="DV1277" s="5" t="s">
        <v>813</v>
      </c>
      <c r="DW1277" s="5" t="s">
        <v>2682</v>
      </c>
      <c r="HO1277" s="5" t="s">
        <v>312</v>
      </c>
    </row>
    <row r="1278" spans="1:223" x14ac:dyDescent="0.4">
      <c r="A1278" s="5">
        <v>2953</v>
      </c>
      <c r="B1278" s="5">
        <v>1</v>
      </c>
      <c r="C1278" s="5">
        <v>1</v>
      </c>
      <c r="D1278" s="5" t="s">
        <v>297</v>
      </c>
      <c r="E1278" s="5" t="s">
        <v>245</v>
      </c>
      <c r="F1278" s="5" t="s">
        <v>254</v>
      </c>
      <c r="G1278" s="5" t="s">
        <v>240</v>
      </c>
      <c r="H1278" s="6" t="s">
        <v>4940</v>
      </c>
      <c r="I1278" s="5" t="s">
        <v>295</v>
      </c>
      <c r="J1278" s="8">
        <f>2753</f>
        <v>2753</v>
      </c>
      <c r="K1278" s="5" t="s">
        <v>308</v>
      </c>
      <c r="L1278" s="7">
        <f>1</f>
        <v>1</v>
      </c>
      <c r="M1278" s="7">
        <f>1</f>
        <v>1</v>
      </c>
      <c r="N1278" s="5" t="s">
        <v>242</v>
      </c>
      <c r="O1278" s="5">
        <v>1</v>
      </c>
      <c r="P1278" s="5" t="s">
        <v>294</v>
      </c>
      <c r="Q1278" s="5" t="s">
        <v>266</v>
      </c>
      <c r="R1278" s="5" t="s">
        <v>240</v>
      </c>
      <c r="S1278" s="5" t="s">
        <v>240</v>
      </c>
      <c r="T1278" s="5" t="s">
        <v>296</v>
      </c>
      <c r="U1278" s="5" t="s">
        <v>244</v>
      </c>
      <c r="V1278" s="5" t="s">
        <v>240</v>
      </c>
      <c r="Y1278" s="5" t="s">
        <v>240</v>
      </c>
      <c r="Z1278" s="6" t="s">
        <v>298</v>
      </c>
      <c r="AB1278" s="6" t="s">
        <v>240</v>
      </c>
      <c r="AE1278" s="6" t="s">
        <v>299</v>
      </c>
      <c r="AF1278" s="5" t="s">
        <v>248</v>
      </c>
      <c r="AG1278" s="5" t="s">
        <v>249</v>
      </c>
      <c r="AW1278" s="5" t="s">
        <v>251</v>
      </c>
      <c r="AX1278" s="5" t="s">
        <v>240</v>
      </c>
      <c r="AY1278" s="5" t="s">
        <v>253</v>
      </c>
      <c r="AZ1278" s="5" t="s">
        <v>240</v>
      </c>
      <c r="BA1278" s="5" t="s">
        <v>255</v>
      </c>
      <c r="BB1278" s="5" t="s">
        <v>240</v>
      </c>
      <c r="BD1278" s="5" t="s">
        <v>240</v>
      </c>
      <c r="BF1278" s="5" t="s">
        <v>301</v>
      </c>
      <c r="BG1278" s="6" t="s">
        <v>299</v>
      </c>
      <c r="BH1278" s="5" t="s">
        <v>302</v>
      </c>
      <c r="BI1278" s="5" t="s">
        <v>303</v>
      </c>
      <c r="BJ1278" s="5" t="s">
        <v>240</v>
      </c>
      <c r="BK1278" s="8">
        <f>0</f>
        <v>0</v>
      </c>
      <c r="BL1278" s="7">
        <f>0</f>
        <v>0</v>
      </c>
      <c r="BM1278" s="5" t="s">
        <v>258</v>
      </c>
      <c r="BN1278" s="5" t="s">
        <v>259</v>
      </c>
      <c r="CB1278" s="5" t="s">
        <v>240</v>
      </c>
      <c r="CC1278" s="5" t="s">
        <v>240</v>
      </c>
      <c r="CG1278" s="5" t="s">
        <v>304</v>
      </c>
      <c r="CH1278" s="5" t="s">
        <v>305</v>
      </c>
      <c r="CI1278" s="5" t="s">
        <v>240</v>
      </c>
      <c r="CL1278" s="6" t="s">
        <v>261</v>
      </c>
      <c r="CM1278" s="5" t="s">
        <v>240</v>
      </c>
      <c r="CN1278" s="5" t="s">
        <v>263</v>
      </c>
      <c r="CO1278" s="5" t="s">
        <v>240</v>
      </c>
      <c r="CP1278" s="5" t="s">
        <v>240</v>
      </c>
      <c r="CQ1278" s="5">
        <v>0</v>
      </c>
      <c r="CR1278" s="5" t="s">
        <v>306</v>
      </c>
      <c r="CS1278" s="5" t="s">
        <v>307</v>
      </c>
      <c r="CT1278" s="5" t="s">
        <v>307</v>
      </c>
      <c r="CU1278" s="5" t="s">
        <v>260</v>
      </c>
      <c r="CX1278" s="7">
        <f>1</f>
        <v>1</v>
      </c>
      <c r="CY1278" s="7">
        <f>0</f>
        <v>0</v>
      </c>
      <c r="DA1278" s="7">
        <f>0</f>
        <v>0</v>
      </c>
      <c r="DC1278" s="5" t="s">
        <v>812</v>
      </c>
      <c r="DD1278" s="5" t="s">
        <v>240</v>
      </c>
      <c r="DF1278" s="5" t="s">
        <v>812</v>
      </c>
      <c r="DG1278" s="7">
        <f>174</f>
        <v>174</v>
      </c>
      <c r="DI1278" s="5" t="s">
        <v>240</v>
      </c>
      <c r="DJ1278" s="5" t="s">
        <v>240</v>
      </c>
      <c r="DK1278" s="5" t="s">
        <v>240</v>
      </c>
      <c r="DL1278" s="5" t="s">
        <v>240</v>
      </c>
      <c r="DP1278" s="5" t="s">
        <v>240</v>
      </c>
      <c r="DQ1278" s="5" t="s">
        <v>240</v>
      </c>
      <c r="DR1278" s="5" t="s">
        <v>240</v>
      </c>
      <c r="DS1278" s="5" t="s">
        <v>240</v>
      </c>
      <c r="DV1278" s="5" t="s">
        <v>813</v>
      </c>
      <c r="DW1278" s="5" t="s">
        <v>2684</v>
      </c>
      <c r="HO1278" s="5" t="s">
        <v>312</v>
      </c>
    </row>
    <row r="1279" spans="1:223" x14ac:dyDescent="0.4">
      <c r="A1279" s="5">
        <v>2954</v>
      </c>
      <c r="B1279" s="5">
        <v>1</v>
      </c>
      <c r="C1279" s="5">
        <v>1</v>
      </c>
      <c r="D1279" s="5" t="s">
        <v>297</v>
      </c>
      <c r="E1279" s="5" t="s">
        <v>245</v>
      </c>
      <c r="F1279" s="5" t="s">
        <v>254</v>
      </c>
      <c r="G1279" s="5" t="s">
        <v>240</v>
      </c>
      <c r="H1279" s="6" t="s">
        <v>4939</v>
      </c>
      <c r="I1279" s="5" t="s">
        <v>295</v>
      </c>
      <c r="J1279" s="8">
        <f>1428</f>
        <v>1428</v>
      </c>
      <c r="K1279" s="5" t="s">
        <v>308</v>
      </c>
      <c r="L1279" s="7">
        <f>1</f>
        <v>1</v>
      </c>
      <c r="M1279" s="7">
        <f>1</f>
        <v>1</v>
      </c>
      <c r="N1279" s="5" t="s">
        <v>242</v>
      </c>
      <c r="O1279" s="5">
        <v>1</v>
      </c>
      <c r="P1279" s="5" t="s">
        <v>294</v>
      </c>
      <c r="Q1279" s="5" t="s">
        <v>266</v>
      </c>
      <c r="R1279" s="5" t="s">
        <v>240</v>
      </c>
      <c r="S1279" s="5" t="s">
        <v>240</v>
      </c>
      <c r="T1279" s="5" t="s">
        <v>296</v>
      </c>
      <c r="U1279" s="5" t="s">
        <v>244</v>
      </c>
      <c r="V1279" s="5" t="s">
        <v>240</v>
      </c>
      <c r="Y1279" s="5" t="s">
        <v>240</v>
      </c>
      <c r="Z1279" s="6" t="s">
        <v>298</v>
      </c>
      <c r="AB1279" s="6" t="s">
        <v>240</v>
      </c>
      <c r="AE1279" s="6" t="s">
        <v>299</v>
      </c>
      <c r="AF1279" s="5" t="s">
        <v>248</v>
      </c>
      <c r="AG1279" s="5" t="s">
        <v>249</v>
      </c>
      <c r="AW1279" s="5" t="s">
        <v>251</v>
      </c>
      <c r="AX1279" s="5" t="s">
        <v>240</v>
      </c>
      <c r="AY1279" s="5" t="s">
        <v>253</v>
      </c>
      <c r="AZ1279" s="5" t="s">
        <v>240</v>
      </c>
      <c r="BA1279" s="5" t="s">
        <v>255</v>
      </c>
      <c r="BB1279" s="5" t="s">
        <v>240</v>
      </c>
      <c r="BD1279" s="5" t="s">
        <v>240</v>
      </c>
      <c r="BF1279" s="5" t="s">
        <v>301</v>
      </c>
      <c r="BG1279" s="6" t="s">
        <v>299</v>
      </c>
      <c r="BH1279" s="5" t="s">
        <v>302</v>
      </c>
      <c r="BI1279" s="5" t="s">
        <v>303</v>
      </c>
      <c r="BJ1279" s="5" t="s">
        <v>240</v>
      </c>
      <c r="BK1279" s="8">
        <f>0</f>
        <v>0</v>
      </c>
      <c r="BL1279" s="7">
        <f>0</f>
        <v>0</v>
      </c>
      <c r="BM1279" s="5" t="s">
        <v>258</v>
      </c>
      <c r="BN1279" s="5" t="s">
        <v>259</v>
      </c>
      <c r="CB1279" s="5" t="s">
        <v>240</v>
      </c>
      <c r="CC1279" s="5" t="s">
        <v>240</v>
      </c>
      <c r="CG1279" s="5" t="s">
        <v>304</v>
      </c>
      <c r="CH1279" s="5" t="s">
        <v>305</v>
      </c>
      <c r="CI1279" s="5" t="s">
        <v>240</v>
      </c>
      <c r="CL1279" s="6" t="s">
        <v>261</v>
      </c>
      <c r="CM1279" s="5" t="s">
        <v>240</v>
      </c>
      <c r="CN1279" s="5" t="s">
        <v>263</v>
      </c>
      <c r="CO1279" s="5" t="s">
        <v>240</v>
      </c>
      <c r="CP1279" s="5" t="s">
        <v>240</v>
      </c>
      <c r="CQ1279" s="5">
        <v>0</v>
      </c>
      <c r="CR1279" s="5" t="s">
        <v>306</v>
      </c>
      <c r="CS1279" s="5" t="s">
        <v>307</v>
      </c>
      <c r="CT1279" s="5" t="s">
        <v>307</v>
      </c>
      <c r="CU1279" s="5" t="s">
        <v>260</v>
      </c>
      <c r="CX1279" s="7">
        <f>1</f>
        <v>1</v>
      </c>
      <c r="CY1279" s="7">
        <f>0</f>
        <v>0</v>
      </c>
      <c r="DA1279" s="7">
        <f>0</f>
        <v>0</v>
      </c>
      <c r="DC1279" s="5" t="s">
        <v>812</v>
      </c>
      <c r="DD1279" s="5" t="s">
        <v>240</v>
      </c>
      <c r="DF1279" s="5" t="s">
        <v>812</v>
      </c>
      <c r="DG1279" s="7">
        <f>627</f>
        <v>627</v>
      </c>
      <c r="DI1279" s="5" t="s">
        <v>240</v>
      </c>
      <c r="DJ1279" s="5" t="s">
        <v>240</v>
      </c>
      <c r="DK1279" s="5" t="s">
        <v>240</v>
      </c>
      <c r="DL1279" s="5" t="s">
        <v>240</v>
      </c>
      <c r="DP1279" s="5" t="s">
        <v>240</v>
      </c>
      <c r="DQ1279" s="5" t="s">
        <v>240</v>
      </c>
      <c r="DR1279" s="5" t="s">
        <v>240</v>
      </c>
      <c r="DS1279" s="5" t="s">
        <v>240</v>
      </c>
      <c r="DV1279" s="5" t="s">
        <v>813</v>
      </c>
      <c r="DW1279" s="5" t="s">
        <v>2686</v>
      </c>
      <c r="HO1279" s="5" t="s">
        <v>312</v>
      </c>
    </row>
    <row r="1280" spans="1:223" x14ac:dyDescent="0.4">
      <c r="A1280" s="5">
        <v>2955</v>
      </c>
      <c r="B1280" s="5">
        <v>1</v>
      </c>
      <c r="C1280" s="5">
        <v>1</v>
      </c>
      <c r="D1280" s="5" t="s">
        <v>297</v>
      </c>
      <c r="E1280" s="5" t="s">
        <v>245</v>
      </c>
      <c r="F1280" s="5" t="s">
        <v>254</v>
      </c>
      <c r="G1280" s="5" t="s">
        <v>240</v>
      </c>
      <c r="H1280" s="6" t="s">
        <v>4938</v>
      </c>
      <c r="I1280" s="5" t="s">
        <v>295</v>
      </c>
      <c r="J1280" s="8">
        <f>169</f>
        <v>169</v>
      </c>
      <c r="K1280" s="5" t="s">
        <v>308</v>
      </c>
      <c r="L1280" s="7">
        <f>1</f>
        <v>1</v>
      </c>
      <c r="M1280" s="7">
        <f>1</f>
        <v>1</v>
      </c>
      <c r="N1280" s="5" t="s">
        <v>242</v>
      </c>
      <c r="O1280" s="5">
        <v>1</v>
      </c>
      <c r="P1280" s="5" t="s">
        <v>294</v>
      </c>
      <c r="Q1280" s="5" t="s">
        <v>266</v>
      </c>
      <c r="R1280" s="5" t="s">
        <v>240</v>
      </c>
      <c r="S1280" s="5" t="s">
        <v>240</v>
      </c>
      <c r="T1280" s="5" t="s">
        <v>296</v>
      </c>
      <c r="U1280" s="5" t="s">
        <v>244</v>
      </c>
      <c r="V1280" s="5" t="s">
        <v>240</v>
      </c>
      <c r="Y1280" s="5" t="s">
        <v>240</v>
      </c>
      <c r="Z1280" s="6" t="s">
        <v>298</v>
      </c>
      <c r="AB1280" s="6" t="s">
        <v>240</v>
      </c>
      <c r="AE1280" s="6" t="s">
        <v>299</v>
      </c>
      <c r="AF1280" s="5" t="s">
        <v>248</v>
      </c>
      <c r="AG1280" s="5" t="s">
        <v>249</v>
      </c>
      <c r="AW1280" s="5" t="s">
        <v>251</v>
      </c>
      <c r="AX1280" s="5" t="s">
        <v>240</v>
      </c>
      <c r="AY1280" s="5" t="s">
        <v>253</v>
      </c>
      <c r="AZ1280" s="5" t="s">
        <v>240</v>
      </c>
      <c r="BA1280" s="5" t="s">
        <v>255</v>
      </c>
      <c r="BB1280" s="5" t="s">
        <v>240</v>
      </c>
      <c r="BD1280" s="5" t="s">
        <v>240</v>
      </c>
      <c r="BF1280" s="5" t="s">
        <v>301</v>
      </c>
      <c r="BG1280" s="6" t="s">
        <v>299</v>
      </c>
      <c r="BH1280" s="5" t="s">
        <v>302</v>
      </c>
      <c r="BI1280" s="5" t="s">
        <v>303</v>
      </c>
      <c r="BJ1280" s="5" t="s">
        <v>240</v>
      </c>
      <c r="BK1280" s="8">
        <f>0</f>
        <v>0</v>
      </c>
      <c r="BL1280" s="7">
        <f>0</f>
        <v>0</v>
      </c>
      <c r="BM1280" s="5" t="s">
        <v>258</v>
      </c>
      <c r="BN1280" s="5" t="s">
        <v>259</v>
      </c>
      <c r="CB1280" s="5" t="s">
        <v>240</v>
      </c>
      <c r="CC1280" s="5" t="s">
        <v>240</v>
      </c>
      <c r="CG1280" s="5" t="s">
        <v>304</v>
      </c>
      <c r="CH1280" s="5" t="s">
        <v>305</v>
      </c>
      <c r="CI1280" s="5" t="s">
        <v>240</v>
      </c>
      <c r="CL1280" s="6" t="s">
        <v>261</v>
      </c>
      <c r="CM1280" s="5" t="s">
        <v>240</v>
      </c>
      <c r="CN1280" s="5" t="s">
        <v>263</v>
      </c>
      <c r="CO1280" s="5" t="s">
        <v>240</v>
      </c>
      <c r="CP1280" s="5" t="s">
        <v>240</v>
      </c>
      <c r="CQ1280" s="5">
        <v>0</v>
      </c>
      <c r="CR1280" s="5" t="s">
        <v>306</v>
      </c>
      <c r="CS1280" s="5" t="s">
        <v>307</v>
      </c>
      <c r="CT1280" s="5" t="s">
        <v>307</v>
      </c>
      <c r="CU1280" s="5" t="s">
        <v>260</v>
      </c>
      <c r="CX1280" s="7">
        <f>1</f>
        <v>1</v>
      </c>
      <c r="CY1280" s="7">
        <f>0</f>
        <v>0</v>
      </c>
      <c r="DA1280" s="7">
        <f>0</f>
        <v>0</v>
      </c>
      <c r="DC1280" s="5" t="s">
        <v>812</v>
      </c>
      <c r="DD1280" s="5" t="s">
        <v>240</v>
      </c>
      <c r="DF1280" s="5" t="s">
        <v>812</v>
      </c>
      <c r="DG1280" s="7">
        <f>623</f>
        <v>623</v>
      </c>
      <c r="DI1280" s="5" t="s">
        <v>240</v>
      </c>
      <c r="DJ1280" s="5" t="s">
        <v>240</v>
      </c>
      <c r="DK1280" s="5" t="s">
        <v>240</v>
      </c>
      <c r="DL1280" s="5" t="s">
        <v>240</v>
      </c>
      <c r="DP1280" s="5" t="s">
        <v>240</v>
      </c>
      <c r="DQ1280" s="5" t="s">
        <v>240</v>
      </c>
      <c r="DR1280" s="5" t="s">
        <v>240</v>
      </c>
      <c r="DS1280" s="5" t="s">
        <v>240</v>
      </c>
      <c r="DV1280" s="5" t="s">
        <v>813</v>
      </c>
      <c r="DW1280" s="5" t="s">
        <v>2688</v>
      </c>
      <c r="HO1280" s="5" t="s">
        <v>312</v>
      </c>
    </row>
    <row r="1281" spans="1:223" x14ac:dyDescent="0.4">
      <c r="A1281" s="5">
        <v>2956</v>
      </c>
      <c r="B1281" s="5">
        <v>1</v>
      </c>
      <c r="C1281" s="5">
        <v>1</v>
      </c>
      <c r="D1281" s="5" t="s">
        <v>297</v>
      </c>
      <c r="E1281" s="5" t="s">
        <v>245</v>
      </c>
      <c r="F1281" s="5" t="s">
        <v>254</v>
      </c>
      <c r="G1281" s="5" t="s">
        <v>240</v>
      </c>
      <c r="H1281" s="6" t="s">
        <v>4937</v>
      </c>
      <c r="I1281" s="5" t="s">
        <v>295</v>
      </c>
      <c r="J1281" s="8">
        <f>773</f>
        <v>773</v>
      </c>
      <c r="K1281" s="5" t="s">
        <v>308</v>
      </c>
      <c r="L1281" s="7">
        <f>1</f>
        <v>1</v>
      </c>
      <c r="M1281" s="7">
        <f>1</f>
        <v>1</v>
      </c>
      <c r="N1281" s="5" t="s">
        <v>242</v>
      </c>
      <c r="O1281" s="5">
        <v>1</v>
      </c>
      <c r="P1281" s="5" t="s">
        <v>294</v>
      </c>
      <c r="Q1281" s="5" t="s">
        <v>266</v>
      </c>
      <c r="R1281" s="5" t="s">
        <v>240</v>
      </c>
      <c r="S1281" s="5" t="s">
        <v>240</v>
      </c>
      <c r="T1281" s="5" t="s">
        <v>296</v>
      </c>
      <c r="U1281" s="5" t="s">
        <v>244</v>
      </c>
      <c r="V1281" s="5" t="s">
        <v>240</v>
      </c>
      <c r="Y1281" s="5" t="s">
        <v>240</v>
      </c>
      <c r="Z1281" s="6" t="s">
        <v>298</v>
      </c>
      <c r="AB1281" s="6" t="s">
        <v>240</v>
      </c>
      <c r="AE1281" s="6" t="s">
        <v>299</v>
      </c>
      <c r="AF1281" s="5" t="s">
        <v>248</v>
      </c>
      <c r="AG1281" s="5" t="s">
        <v>249</v>
      </c>
      <c r="AW1281" s="5" t="s">
        <v>251</v>
      </c>
      <c r="AX1281" s="5" t="s">
        <v>240</v>
      </c>
      <c r="AY1281" s="5" t="s">
        <v>253</v>
      </c>
      <c r="AZ1281" s="5" t="s">
        <v>240</v>
      </c>
      <c r="BA1281" s="5" t="s">
        <v>255</v>
      </c>
      <c r="BB1281" s="5" t="s">
        <v>240</v>
      </c>
      <c r="BD1281" s="5" t="s">
        <v>240</v>
      </c>
      <c r="BF1281" s="5" t="s">
        <v>301</v>
      </c>
      <c r="BG1281" s="6" t="s">
        <v>299</v>
      </c>
      <c r="BH1281" s="5" t="s">
        <v>302</v>
      </c>
      <c r="BI1281" s="5" t="s">
        <v>303</v>
      </c>
      <c r="BJ1281" s="5" t="s">
        <v>240</v>
      </c>
      <c r="BK1281" s="8">
        <f>0</f>
        <v>0</v>
      </c>
      <c r="BL1281" s="7">
        <f>0</f>
        <v>0</v>
      </c>
      <c r="BM1281" s="5" t="s">
        <v>258</v>
      </c>
      <c r="BN1281" s="5" t="s">
        <v>259</v>
      </c>
      <c r="CB1281" s="5" t="s">
        <v>240</v>
      </c>
      <c r="CC1281" s="5" t="s">
        <v>240</v>
      </c>
      <c r="CG1281" s="5" t="s">
        <v>304</v>
      </c>
      <c r="CH1281" s="5" t="s">
        <v>305</v>
      </c>
      <c r="CI1281" s="5" t="s">
        <v>240</v>
      </c>
      <c r="CL1281" s="6" t="s">
        <v>261</v>
      </c>
      <c r="CM1281" s="5" t="s">
        <v>240</v>
      </c>
      <c r="CN1281" s="5" t="s">
        <v>263</v>
      </c>
      <c r="CO1281" s="5" t="s">
        <v>240</v>
      </c>
      <c r="CP1281" s="5" t="s">
        <v>240</v>
      </c>
      <c r="CQ1281" s="5">
        <v>0</v>
      </c>
      <c r="CR1281" s="5" t="s">
        <v>306</v>
      </c>
      <c r="CS1281" s="5" t="s">
        <v>307</v>
      </c>
      <c r="CT1281" s="5" t="s">
        <v>307</v>
      </c>
      <c r="CU1281" s="5" t="s">
        <v>260</v>
      </c>
      <c r="CX1281" s="7">
        <f>1</f>
        <v>1</v>
      </c>
      <c r="CY1281" s="7">
        <f>0</f>
        <v>0</v>
      </c>
      <c r="DA1281" s="7">
        <f>0</f>
        <v>0</v>
      </c>
      <c r="DC1281" s="5" t="s">
        <v>812</v>
      </c>
      <c r="DD1281" s="5" t="s">
        <v>240</v>
      </c>
      <c r="DF1281" s="5" t="s">
        <v>812</v>
      </c>
      <c r="DG1281" s="7">
        <f>536</f>
        <v>536</v>
      </c>
      <c r="DI1281" s="5" t="s">
        <v>240</v>
      </c>
      <c r="DJ1281" s="5" t="s">
        <v>240</v>
      </c>
      <c r="DK1281" s="5" t="s">
        <v>240</v>
      </c>
      <c r="DL1281" s="5" t="s">
        <v>240</v>
      </c>
      <c r="DP1281" s="5" t="s">
        <v>240</v>
      </c>
      <c r="DQ1281" s="5" t="s">
        <v>240</v>
      </c>
      <c r="DR1281" s="5" t="s">
        <v>240</v>
      </c>
      <c r="DS1281" s="5" t="s">
        <v>240</v>
      </c>
      <c r="DV1281" s="5" t="s">
        <v>813</v>
      </c>
      <c r="DW1281" s="5" t="s">
        <v>2690</v>
      </c>
      <c r="HO1281" s="5" t="s">
        <v>312</v>
      </c>
    </row>
    <row r="1282" spans="1:223" x14ac:dyDescent="0.4">
      <c r="A1282" s="5">
        <v>2957</v>
      </c>
      <c r="B1282" s="5">
        <v>1</v>
      </c>
      <c r="C1282" s="5">
        <v>1</v>
      </c>
      <c r="D1282" s="5" t="s">
        <v>297</v>
      </c>
      <c r="E1282" s="5" t="s">
        <v>245</v>
      </c>
      <c r="F1282" s="5" t="s">
        <v>254</v>
      </c>
      <c r="G1282" s="5" t="s">
        <v>240</v>
      </c>
      <c r="H1282" s="6" t="s">
        <v>6017</v>
      </c>
      <c r="I1282" s="5" t="s">
        <v>295</v>
      </c>
      <c r="J1282" s="8">
        <f>2262</f>
        <v>2262</v>
      </c>
      <c r="K1282" s="5" t="s">
        <v>308</v>
      </c>
      <c r="L1282" s="7">
        <f>1</f>
        <v>1</v>
      </c>
      <c r="M1282" s="7">
        <f>1</f>
        <v>1</v>
      </c>
      <c r="N1282" s="5" t="s">
        <v>242</v>
      </c>
      <c r="O1282" s="5">
        <v>1</v>
      </c>
      <c r="P1282" s="5" t="s">
        <v>294</v>
      </c>
      <c r="Q1282" s="5" t="s">
        <v>266</v>
      </c>
      <c r="R1282" s="5" t="s">
        <v>240</v>
      </c>
      <c r="S1282" s="5" t="s">
        <v>240</v>
      </c>
      <c r="T1282" s="5" t="s">
        <v>296</v>
      </c>
      <c r="U1282" s="5" t="s">
        <v>244</v>
      </c>
      <c r="V1282" s="5" t="s">
        <v>240</v>
      </c>
      <c r="Y1282" s="5" t="s">
        <v>240</v>
      </c>
      <c r="Z1282" s="6" t="s">
        <v>298</v>
      </c>
      <c r="AB1282" s="6" t="s">
        <v>240</v>
      </c>
      <c r="AE1282" s="6" t="s">
        <v>299</v>
      </c>
      <c r="AF1282" s="5" t="s">
        <v>248</v>
      </c>
      <c r="AG1282" s="5" t="s">
        <v>249</v>
      </c>
      <c r="AW1282" s="5" t="s">
        <v>251</v>
      </c>
      <c r="AX1282" s="5" t="s">
        <v>240</v>
      </c>
      <c r="AY1282" s="5" t="s">
        <v>253</v>
      </c>
      <c r="AZ1282" s="5" t="s">
        <v>240</v>
      </c>
      <c r="BA1282" s="5" t="s">
        <v>255</v>
      </c>
      <c r="BB1282" s="5" t="s">
        <v>240</v>
      </c>
      <c r="BD1282" s="5" t="s">
        <v>240</v>
      </c>
      <c r="BF1282" s="5" t="s">
        <v>301</v>
      </c>
      <c r="BG1282" s="6" t="s">
        <v>299</v>
      </c>
      <c r="BH1282" s="5" t="s">
        <v>302</v>
      </c>
      <c r="BI1282" s="5" t="s">
        <v>303</v>
      </c>
      <c r="BJ1282" s="5" t="s">
        <v>240</v>
      </c>
      <c r="BK1282" s="8">
        <f>0</f>
        <v>0</v>
      </c>
      <c r="BL1282" s="7">
        <f>0</f>
        <v>0</v>
      </c>
      <c r="BM1282" s="5" t="s">
        <v>258</v>
      </c>
      <c r="BN1282" s="5" t="s">
        <v>259</v>
      </c>
      <c r="CB1282" s="5" t="s">
        <v>240</v>
      </c>
      <c r="CC1282" s="5" t="s">
        <v>240</v>
      </c>
      <c r="CG1282" s="5" t="s">
        <v>304</v>
      </c>
      <c r="CH1282" s="5" t="s">
        <v>305</v>
      </c>
      <c r="CI1282" s="5" t="s">
        <v>240</v>
      </c>
      <c r="CL1282" s="6" t="s">
        <v>261</v>
      </c>
      <c r="CM1282" s="5" t="s">
        <v>240</v>
      </c>
      <c r="CN1282" s="5" t="s">
        <v>263</v>
      </c>
      <c r="CO1282" s="5" t="s">
        <v>240</v>
      </c>
      <c r="CP1282" s="5" t="s">
        <v>240</v>
      </c>
      <c r="CQ1282" s="5">
        <v>0</v>
      </c>
      <c r="CR1282" s="5" t="s">
        <v>306</v>
      </c>
      <c r="CS1282" s="5" t="s">
        <v>307</v>
      </c>
      <c r="CT1282" s="5" t="s">
        <v>307</v>
      </c>
      <c r="CU1282" s="5" t="s">
        <v>260</v>
      </c>
      <c r="CX1282" s="7">
        <f>1</f>
        <v>1</v>
      </c>
      <c r="CY1282" s="7">
        <f>0</f>
        <v>0</v>
      </c>
      <c r="DA1282" s="7">
        <f>0</f>
        <v>0</v>
      </c>
      <c r="DC1282" s="5" t="s">
        <v>812</v>
      </c>
      <c r="DD1282" s="5" t="s">
        <v>240</v>
      </c>
      <c r="DF1282" s="5" t="s">
        <v>812</v>
      </c>
      <c r="DG1282" s="7">
        <f>2013</f>
        <v>2013</v>
      </c>
      <c r="DI1282" s="5" t="s">
        <v>240</v>
      </c>
      <c r="DJ1282" s="5" t="s">
        <v>240</v>
      </c>
      <c r="DK1282" s="5" t="s">
        <v>240</v>
      </c>
      <c r="DL1282" s="5" t="s">
        <v>240</v>
      </c>
      <c r="DP1282" s="5" t="s">
        <v>240</v>
      </c>
      <c r="DQ1282" s="5" t="s">
        <v>240</v>
      </c>
      <c r="DR1282" s="5" t="s">
        <v>240</v>
      </c>
      <c r="DS1282" s="5" t="s">
        <v>240</v>
      </c>
      <c r="DV1282" s="5" t="s">
        <v>813</v>
      </c>
      <c r="DW1282" s="5" t="s">
        <v>2692</v>
      </c>
      <c r="HO1282" s="5" t="s">
        <v>312</v>
      </c>
    </row>
    <row r="1283" spans="1:223" x14ac:dyDescent="0.4">
      <c r="A1283" s="5">
        <v>2958</v>
      </c>
      <c r="B1283" s="5">
        <v>1</v>
      </c>
      <c r="C1283" s="5">
        <v>1</v>
      </c>
      <c r="D1283" s="5" t="s">
        <v>297</v>
      </c>
      <c r="E1283" s="5" t="s">
        <v>245</v>
      </c>
      <c r="F1283" s="5" t="s">
        <v>254</v>
      </c>
      <c r="G1283" s="5" t="s">
        <v>240</v>
      </c>
      <c r="H1283" s="6" t="s">
        <v>5991</v>
      </c>
      <c r="I1283" s="5" t="s">
        <v>295</v>
      </c>
      <c r="J1283" s="8">
        <f>1956</f>
        <v>1956</v>
      </c>
      <c r="K1283" s="5" t="s">
        <v>308</v>
      </c>
      <c r="L1283" s="7">
        <f>1</f>
        <v>1</v>
      </c>
      <c r="M1283" s="7">
        <f>1</f>
        <v>1</v>
      </c>
      <c r="N1283" s="5" t="s">
        <v>242</v>
      </c>
      <c r="O1283" s="5">
        <v>1</v>
      </c>
      <c r="P1283" s="5" t="s">
        <v>294</v>
      </c>
      <c r="Q1283" s="5" t="s">
        <v>266</v>
      </c>
      <c r="R1283" s="5" t="s">
        <v>240</v>
      </c>
      <c r="S1283" s="5" t="s">
        <v>240</v>
      </c>
      <c r="T1283" s="5" t="s">
        <v>296</v>
      </c>
      <c r="U1283" s="5" t="s">
        <v>244</v>
      </c>
      <c r="V1283" s="5" t="s">
        <v>240</v>
      </c>
      <c r="Y1283" s="5" t="s">
        <v>240</v>
      </c>
      <c r="Z1283" s="6" t="s">
        <v>298</v>
      </c>
      <c r="AB1283" s="6" t="s">
        <v>240</v>
      </c>
      <c r="AE1283" s="6" t="s">
        <v>299</v>
      </c>
      <c r="AF1283" s="5" t="s">
        <v>248</v>
      </c>
      <c r="AG1283" s="5" t="s">
        <v>249</v>
      </c>
      <c r="AW1283" s="5" t="s">
        <v>251</v>
      </c>
      <c r="AX1283" s="5" t="s">
        <v>240</v>
      </c>
      <c r="AY1283" s="5" t="s">
        <v>253</v>
      </c>
      <c r="AZ1283" s="5" t="s">
        <v>240</v>
      </c>
      <c r="BA1283" s="5" t="s">
        <v>255</v>
      </c>
      <c r="BB1283" s="5" t="s">
        <v>240</v>
      </c>
      <c r="BD1283" s="5" t="s">
        <v>240</v>
      </c>
      <c r="BF1283" s="5" t="s">
        <v>301</v>
      </c>
      <c r="BG1283" s="6" t="s">
        <v>299</v>
      </c>
      <c r="BH1283" s="5" t="s">
        <v>302</v>
      </c>
      <c r="BI1283" s="5" t="s">
        <v>303</v>
      </c>
      <c r="BJ1283" s="5" t="s">
        <v>240</v>
      </c>
      <c r="BK1283" s="8">
        <f>0</f>
        <v>0</v>
      </c>
      <c r="BL1283" s="7">
        <f>0</f>
        <v>0</v>
      </c>
      <c r="BM1283" s="5" t="s">
        <v>258</v>
      </c>
      <c r="BN1283" s="5" t="s">
        <v>259</v>
      </c>
      <c r="CB1283" s="5" t="s">
        <v>240</v>
      </c>
      <c r="CC1283" s="5" t="s">
        <v>240</v>
      </c>
      <c r="CG1283" s="5" t="s">
        <v>304</v>
      </c>
      <c r="CH1283" s="5" t="s">
        <v>305</v>
      </c>
      <c r="CI1283" s="5" t="s">
        <v>240</v>
      </c>
      <c r="CL1283" s="6" t="s">
        <v>261</v>
      </c>
      <c r="CM1283" s="5" t="s">
        <v>240</v>
      </c>
      <c r="CN1283" s="5" t="s">
        <v>263</v>
      </c>
      <c r="CO1283" s="5" t="s">
        <v>240</v>
      </c>
      <c r="CP1283" s="5" t="s">
        <v>240</v>
      </c>
      <c r="CQ1283" s="5">
        <v>0</v>
      </c>
      <c r="CR1283" s="5" t="s">
        <v>306</v>
      </c>
      <c r="CS1283" s="5" t="s">
        <v>307</v>
      </c>
      <c r="CT1283" s="5" t="s">
        <v>307</v>
      </c>
      <c r="CU1283" s="5" t="s">
        <v>260</v>
      </c>
      <c r="CX1283" s="7">
        <f>1</f>
        <v>1</v>
      </c>
      <c r="CY1283" s="7">
        <f>0</f>
        <v>0</v>
      </c>
      <c r="DA1283" s="7">
        <f>0</f>
        <v>0</v>
      </c>
      <c r="DC1283" s="5" t="s">
        <v>812</v>
      </c>
      <c r="DD1283" s="5" t="s">
        <v>240</v>
      </c>
      <c r="DF1283" s="5" t="s">
        <v>812</v>
      </c>
      <c r="DG1283" s="7">
        <f>142</f>
        <v>142</v>
      </c>
      <c r="DI1283" s="5" t="s">
        <v>240</v>
      </c>
      <c r="DJ1283" s="5" t="s">
        <v>240</v>
      </c>
      <c r="DK1283" s="5" t="s">
        <v>240</v>
      </c>
      <c r="DL1283" s="5" t="s">
        <v>240</v>
      </c>
      <c r="DP1283" s="5" t="s">
        <v>240</v>
      </c>
      <c r="DQ1283" s="5" t="s">
        <v>240</v>
      </c>
      <c r="DR1283" s="5" t="s">
        <v>240</v>
      </c>
      <c r="DS1283" s="5" t="s">
        <v>240</v>
      </c>
      <c r="DV1283" s="5" t="s">
        <v>813</v>
      </c>
      <c r="DW1283" s="5" t="s">
        <v>2694</v>
      </c>
      <c r="HO1283" s="5" t="s">
        <v>312</v>
      </c>
    </row>
    <row r="1284" spans="1:223" x14ac:dyDescent="0.4">
      <c r="A1284" s="5">
        <v>2959</v>
      </c>
      <c r="B1284" s="5">
        <v>1</v>
      </c>
      <c r="C1284" s="5">
        <v>1</v>
      </c>
      <c r="D1284" s="5" t="s">
        <v>297</v>
      </c>
      <c r="E1284" s="5" t="s">
        <v>245</v>
      </c>
      <c r="F1284" s="5" t="s">
        <v>254</v>
      </c>
      <c r="G1284" s="5" t="s">
        <v>240</v>
      </c>
      <c r="H1284" s="6" t="s">
        <v>5990</v>
      </c>
      <c r="I1284" s="5" t="s">
        <v>295</v>
      </c>
      <c r="J1284" s="8">
        <f>335</f>
        <v>335</v>
      </c>
      <c r="K1284" s="5" t="s">
        <v>308</v>
      </c>
      <c r="L1284" s="7">
        <f>1</f>
        <v>1</v>
      </c>
      <c r="M1284" s="7">
        <f>1</f>
        <v>1</v>
      </c>
      <c r="N1284" s="5" t="s">
        <v>242</v>
      </c>
      <c r="O1284" s="5">
        <v>1</v>
      </c>
      <c r="P1284" s="5" t="s">
        <v>294</v>
      </c>
      <c r="Q1284" s="5" t="s">
        <v>266</v>
      </c>
      <c r="R1284" s="5" t="s">
        <v>240</v>
      </c>
      <c r="S1284" s="5" t="s">
        <v>240</v>
      </c>
      <c r="T1284" s="5" t="s">
        <v>296</v>
      </c>
      <c r="U1284" s="5" t="s">
        <v>244</v>
      </c>
      <c r="V1284" s="5" t="s">
        <v>240</v>
      </c>
      <c r="Y1284" s="5" t="s">
        <v>240</v>
      </c>
      <c r="Z1284" s="6" t="s">
        <v>298</v>
      </c>
      <c r="AB1284" s="6" t="s">
        <v>240</v>
      </c>
      <c r="AE1284" s="6" t="s">
        <v>299</v>
      </c>
      <c r="AF1284" s="5" t="s">
        <v>248</v>
      </c>
      <c r="AG1284" s="5" t="s">
        <v>249</v>
      </c>
      <c r="AW1284" s="5" t="s">
        <v>251</v>
      </c>
      <c r="AX1284" s="5" t="s">
        <v>240</v>
      </c>
      <c r="AY1284" s="5" t="s">
        <v>253</v>
      </c>
      <c r="AZ1284" s="5" t="s">
        <v>240</v>
      </c>
      <c r="BA1284" s="5" t="s">
        <v>255</v>
      </c>
      <c r="BB1284" s="5" t="s">
        <v>240</v>
      </c>
      <c r="BD1284" s="5" t="s">
        <v>240</v>
      </c>
      <c r="BF1284" s="5" t="s">
        <v>301</v>
      </c>
      <c r="BG1284" s="6" t="s">
        <v>299</v>
      </c>
      <c r="BH1284" s="5" t="s">
        <v>302</v>
      </c>
      <c r="BI1284" s="5" t="s">
        <v>303</v>
      </c>
      <c r="BJ1284" s="5" t="s">
        <v>240</v>
      </c>
      <c r="BK1284" s="8">
        <f>0</f>
        <v>0</v>
      </c>
      <c r="BL1284" s="7">
        <f>0</f>
        <v>0</v>
      </c>
      <c r="BM1284" s="5" t="s">
        <v>258</v>
      </c>
      <c r="BN1284" s="5" t="s">
        <v>259</v>
      </c>
      <c r="CB1284" s="5" t="s">
        <v>240</v>
      </c>
      <c r="CC1284" s="5" t="s">
        <v>240</v>
      </c>
      <c r="CG1284" s="5" t="s">
        <v>304</v>
      </c>
      <c r="CH1284" s="5" t="s">
        <v>305</v>
      </c>
      <c r="CI1284" s="5" t="s">
        <v>240</v>
      </c>
      <c r="CL1284" s="6" t="s">
        <v>261</v>
      </c>
      <c r="CM1284" s="5" t="s">
        <v>240</v>
      </c>
      <c r="CN1284" s="5" t="s">
        <v>263</v>
      </c>
      <c r="CO1284" s="5" t="s">
        <v>240</v>
      </c>
      <c r="CP1284" s="5" t="s">
        <v>240</v>
      </c>
      <c r="CQ1284" s="5">
        <v>0</v>
      </c>
      <c r="CR1284" s="5" t="s">
        <v>306</v>
      </c>
      <c r="CS1284" s="5" t="s">
        <v>307</v>
      </c>
      <c r="CT1284" s="5" t="s">
        <v>307</v>
      </c>
      <c r="CU1284" s="5" t="s">
        <v>260</v>
      </c>
      <c r="CX1284" s="7">
        <f>1</f>
        <v>1</v>
      </c>
      <c r="CY1284" s="7">
        <f>0</f>
        <v>0</v>
      </c>
      <c r="DA1284" s="7">
        <f>0</f>
        <v>0</v>
      </c>
      <c r="DC1284" s="5" t="s">
        <v>812</v>
      </c>
      <c r="DD1284" s="5" t="s">
        <v>240</v>
      </c>
      <c r="DF1284" s="5" t="s">
        <v>812</v>
      </c>
      <c r="DG1284" s="7">
        <f>413</f>
        <v>413</v>
      </c>
      <c r="DI1284" s="5" t="s">
        <v>240</v>
      </c>
      <c r="DJ1284" s="5" t="s">
        <v>240</v>
      </c>
      <c r="DK1284" s="5" t="s">
        <v>240</v>
      </c>
      <c r="DL1284" s="5" t="s">
        <v>240</v>
      </c>
      <c r="DP1284" s="5" t="s">
        <v>240</v>
      </c>
      <c r="DQ1284" s="5" t="s">
        <v>240</v>
      </c>
      <c r="DR1284" s="5" t="s">
        <v>240</v>
      </c>
      <c r="DS1284" s="5" t="s">
        <v>240</v>
      </c>
      <c r="DV1284" s="5" t="s">
        <v>813</v>
      </c>
      <c r="DW1284" s="5" t="s">
        <v>2696</v>
      </c>
      <c r="HO1284" s="5" t="s">
        <v>312</v>
      </c>
    </row>
    <row r="1285" spans="1:223" x14ac:dyDescent="0.4">
      <c r="A1285" s="5">
        <v>2960</v>
      </c>
      <c r="B1285" s="5">
        <v>1</v>
      </c>
      <c r="C1285" s="5">
        <v>1</v>
      </c>
      <c r="D1285" s="5" t="s">
        <v>297</v>
      </c>
      <c r="E1285" s="5" t="s">
        <v>245</v>
      </c>
      <c r="F1285" s="5" t="s">
        <v>254</v>
      </c>
      <c r="G1285" s="5" t="s">
        <v>240</v>
      </c>
      <c r="H1285" s="6" t="s">
        <v>4932</v>
      </c>
      <c r="I1285" s="5" t="s">
        <v>295</v>
      </c>
      <c r="J1285" s="8">
        <f>2499</f>
        <v>2499</v>
      </c>
      <c r="K1285" s="5" t="s">
        <v>308</v>
      </c>
      <c r="L1285" s="7">
        <f>1</f>
        <v>1</v>
      </c>
      <c r="M1285" s="7">
        <f>1</f>
        <v>1</v>
      </c>
      <c r="N1285" s="5" t="s">
        <v>242</v>
      </c>
      <c r="O1285" s="5">
        <v>1</v>
      </c>
      <c r="P1285" s="5" t="s">
        <v>294</v>
      </c>
      <c r="Q1285" s="5" t="s">
        <v>266</v>
      </c>
      <c r="R1285" s="5" t="s">
        <v>240</v>
      </c>
      <c r="S1285" s="5" t="s">
        <v>240</v>
      </c>
      <c r="T1285" s="5" t="s">
        <v>296</v>
      </c>
      <c r="U1285" s="5" t="s">
        <v>244</v>
      </c>
      <c r="V1285" s="5" t="s">
        <v>240</v>
      </c>
      <c r="Y1285" s="5" t="s">
        <v>240</v>
      </c>
      <c r="Z1285" s="6" t="s">
        <v>298</v>
      </c>
      <c r="AB1285" s="6" t="s">
        <v>240</v>
      </c>
      <c r="AE1285" s="6" t="s">
        <v>299</v>
      </c>
      <c r="AF1285" s="5" t="s">
        <v>248</v>
      </c>
      <c r="AG1285" s="5" t="s">
        <v>249</v>
      </c>
      <c r="AW1285" s="5" t="s">
        <v>251</v>
      </c>
      <c r="AX1285" s="5" t="s">
        <v>240</v>
      </c>
      <c r="AY1285" s="5" t="s">
        <v>253</v>
      </c>
      <c r="AZ1285" s="5" t="s">
        <v>240</v>
      </c>
      <c r="BA1285" s="5" t="s">
        <v>255</v>
      </c>
      <c r="BB1285" s="5" t="s">
        <v>240</v>
      </c>
      <c r="BD1285" s="5" t="s">
        <v>240</v>
      </c>
      <c r="BF1285" s="5" t="s">
        <v>301</v>
      </c>
      <c r="BG1285" s="6" t="s">
        <v>299</v>
      </c>
      <c r="BH1285" s="5" t="s">
        <v>302</v>
      </c>
      <c r="BI1285" s="5" t="s">
        <v>303</v>
      </c>
      <c r="BJ1285" s="5" t="s">
        <v>240</v>
      </c>
      <c r="BK1285" s="8">
        <f>0</f>
        <v>0</v>
      </c>
      <c r="BL1285" s="7">
        <f>0</f>
        <v>0</v>
      </c>
      <c r="BM1285" s="5" t="s">
        <v>258</v>
      </c>
      <c r="BN1285" s="5" t="s">
        <v>259</v>
      </c>
      <c r="CB1285" s="5" t="s">
        <v>240</v>
      </c>
      <c r="CC1285" s="5" t="s">
        <v>240</v>
      </c>
      <c r="CG1285" s="5" t="s">
        <v>304</v>
      </c>
      <c r="CH1285" s="5" t="s">
        <v>305</v>
      </c>
      <c r="CI1285" s="5" t="s">
        <v>240</v>
      </c>
      <c r="CL1285" s="6" t="s">
        <v>261</v>
      </c>
      <c r="CM1285" s="5" t="s">
        <v>240</v>
      </c>
      <c r="CN1285" s="5" t="s">
        <v>263</v>
      </c>
      <c r="CO1285" s="5" t="s">
        <v>240</v>
      </c>
      <c r="CP1285" s="5" t="s">
        <v>240</v>
      </c>
      <c r="CQ1285" s="5">
        <v>0</v>
      </c>
      <c r="CR1285" s="5" t="s">
        <v>306</v>
      </c>
      <c r="CS1285" s="5" t="s">
        <v>307</v>
      </c>
      <c r="CT1285" s="5" t="s">
        <v>307</v>
      </c>
      <c r="CU1285" s="5" t="s">
        <v>260</v>
      </c>
      <c r="CX1285" s="7">
        <f>1</f>
        <v>1</v>
      </c>
      <c r="CY1285" s="7">
        <f>0</f>
        <v>0</v>
      </c>
      <c r="DA1285" s="7">
        <f>0</f>
        <v>0</v>
      </c>
      <c r="DC1285" s="5" t="s">
        <v>812</v>
      </c>
      <c r="DD1285" s="5" t="s">
        <v>240</v>
      </c>
      <c r="DF1285" s="5" t="s">
        <v>812</v>
      </c>
      <c r="DG1285" s="7">
        <f>168</f>
        <v>168</v>
      </c>
      <c r="DI1285" s="5" t="s">
        <v>240</v>
      </c>
      <c r="DJ1285" s="5" t="s">
        <v>240</v>
      </c>
      <c r="DK1285" s="5" t="s">
        <v>240</v>
      </c>
      <c r="DL1285" s="5" t="s">
        <v>240</v>
      </c>
      <c r="DP1285" s="5" t="s">
        <v>240</v>
      </c>
      <c r="DQ1285" s="5" t="s">
        <v>240</v>
      </c>
      <c r="DR1285" s="5" t="s">
        <v>240</v>
      </c>
      <c r="DS1285" s="5" t="s">
        <v>240</v>
      </c>
      <c r="DV1285" s="5" t="s">
        <v>813</v>
      </c>
      <c r="DW1285" s="5" t="s">
        <v>2698</v>
      </c>
      <c r="HO1285" s="5" t="s">
        <v>312</v>
      </c>
    </row>
    <row r="1286" spans="1:223" x14ac:dyDescent="0.4">
      <c r="A1286" s="5">
        <v>2961</v>
      </c>
      <c r="B1286" s="5">
        <v>1</v>
      </c>
      <c r="C1286" s="5">
        <v>1</v>
      </c>
      <c r="D1286" s="5" t="s">
        <v>297</v>
      </c>
      <c r="E1286" s="5" t="s">
        <v>245</v>
      </c>
      <c r="F1286" s="5" t="s">
        <v>254</v>
      </c>
      <c r="G1286" s="5" t="s">
        <v>240</v>
      </c>
      <c r="H1286" s="6" t="s">
        <v>5989</v>
      </c>
      <c r="I1286" s="5" t="s">
        <v>295</v>
      </c>
      <c r="J1286" s="8">
        <f>1261</f>
        <v>1261</v>
      </c>
      <c r="K1286" s="5" t="s">
        <v>308</v>
      </c>
      <c r="L1286" s="7">
        <f>1</f>
        <v>1</v>
      </c>
      <c r="M1286" s="7">
        <f>1</f>
        <v>1</v>
      </c>
      <c r="N1286" s="5" t="s">
        <v>242</v>
      </c>
      <c r="O1286" s="5">
        <v>1</v>
      </c>
      <c r="P1286" s="5" t="s">
        <v>294</v>
      </c>
      <c r="Q1286" s="5" t="s">
        <v>266</v>
      </c>
      <c r="R1286" s="5" t="s">
        <v>240</v>
      </c>
      <c r="S1286" s="5" t="s">
        <v>240</v>
      </c>
      <c r="T1286" s="5" t="s">
        <v>296</v>
      </c>
      <c r="U1286" s="5" t="s">
        <v>244</v>
      </c>
      <c r="V1286" s="5" t="s">
        <v>240</v>
      </c>
      <c r="Y1286" s="5" t="s">
        <v>240</v>
      </c>
      <c r="Z1286" s="6" t="s">
        <v>298</v>
      </c>
      <c r="AB1286" s="6" t="s">
        <v>240</v>
      </c>
      <c r="AE1286" s="6" t="s">
        <v>299</v>
      </c>
      <c r="AF1286" s="5" t="s">
        <v>248</v>
      </c>
      <c r="AG1286" s="5" t="s">
        <v>249</v>
      </c>
      <c r="AW1286" s="5" t="s">
        <v>251</v>
      </c>
      <c r="AX1286" s="5" t="s">
        <v>240</v>
      </c>
      <c r="AY1286" s="5" t="s">
        <v>253</v>
      </c>
      <c r="AZ1286" s="5" t="s">
        <v>240</v>
      </c>
      <c r="BA1286" s="5" t="s">
        <v>255</v>
      </c>
      <c r="BB1286" s="5" t="s">
        <v>240</v>
      </c>
      <c r="BD1286" s="5" t="s">
        <v>240</v>
      </c>
      <c r="BF1286" s="5" t="s">
        <v>301</v>
      </c>
      <c r="BG1286" s="6" t="s">
        <v>299</v>
      </c>
      <c r="BH1286" s="5" t="s">
        <v>302</v>
      </c>
      <c r="BI1286" s="5" t="s">
        <v>303</v>
      </c>
      <c r="BJ1286" s="5" t="s">
        <v>240</v>
      </c>
      <c r="BK1286" s="8">
        <f>0</f>
        <v>0</v>
      </c>
      <c r="BL1286" s="7">
        <f>0</f>
        <v>0</v>
      </c>
      <c r="BM1286" s="5" t="s">
        <v>258</v>
      </c>
      <c r="BN1286" s="5" t="s">
        <v>259</v>
      </c>
      <c r="CB1286" s="5" t="s">
        <v>240</v>
      </c>
      <c r="CC1286" s="5" t="s">
        <v>240</v>
      </c>
      <c r="CG1286" s="5" t="s">
        <v>304</v>
      </c>
      <c r="CH1286" s="5" t="s">
        <v>305</v>
      </c>
      <c r="CI1286" s="5" t="s">
        <v>240</v>
      </c>
      <c r="CL1286" s="6" t="s">
        <v>261</v>
      </c>
      <c r="CM1286" s="5" t="s">
        <v>240</v>
      </c>
      <c r="CN1286" s="5" t="s">
        <v>263</v>
      </c>
      <c r="CO1286" s="5" t="s">
        <v>240</v>
      </c>
      <c r="CP1286" s="5" t="s">
        <v>240</v>
      </c>
      <c r="CQ1286" s="5">
        <v>0</v>
      </c>
      <c r="CR1286" s="5" t="s">
        <v>306</v>
      </c>
      <c r="CS1286" s="5" t="s">
        <v>307</v>
      </c>
      <c r="CT1286" s="5" t="s">
        <v>307</v>
      </c>
      <c r="CU1286" s="5" t="s">
        <v>260</v>
      </c>
      <c r="CX1286" s="7">
        <f>1</f>
        <v>1</v>
      </c>
      <c r="CY1286" s="7">
        <f>0</f>
        <v>0</v>
      </c>
      <c r="DA1286" s="7">
        <f>0</f>
        <v>0</v>
      </c>
      <c r="DC1286" s="5" t="s">
        <v>812</v>
      </c>
      <c r="DD1286" s="5" t="s">
        <v>240</v>
      </c>
      <c r="DF1286" s="5" t="s">
        <v>812</v>
      </c>
      <c r="DG1286" s="7">
        <f>681</f>
        <v>681</v>
      </c>
      <c r="DI1286" s="5" t="s">
        <v>240</v>
      </c>
      <c r="DJ1286" s="5" t="s">
        <v>240</v>
      </c>
      <c r="DK1286" s="5" t="s">
        <v>240</v>
      </c>
      <c r="DL1286" s="5" t="s">
        <v>240</v>
      </c>
      <c r="DP1286" s="5" t="s">
        <v>240</v>
      </c>
      <c r="DQ1286" s="5" t="s">
        <v>240</v>
      </c>
      <c r="DR1286" s="5" t="s">
        <v>240</v>
      </c>
      <c r="DS1286" s="5" t="s">
        <v>240</v>
      </c>
      <c r="DV1286" s="5" t="s">
        <v>813</v>
      </c>
      <c r="DW1286" s="5" t="s">
        <v>2700</v>
      </c>
      <c r="HO1286" s="5" t="s">
        <v>312</v>
      </c>
    </row>
    <row r="1287" spans="1:223" x14ac:dyDescent="0.4">
      <c r="A1287" s="5">
        <v>2962</v>
      </c>
      <c r="B1287" s="5">
        <v>1</v>
      </c>
      <c r="C1287" s="5">
        <v>1</v>
      </c>
      <c r="D1287" s="5" t="s">
        <v>297</v>
      </c>
      <c r="E1287" s="5" t="s">
        <v>245</v>
      </c>
      <c r="F1287" s="5" t="s">
        <v>254</v>
      </c>
      <c r="G1287" s="5" t="s">
        <v>240</v>
      </c>
      <c r="H1287" s="6" t="s">
        <v>4930</v>
      </c>
      <c r="I1287" s="5" t="s">
        <v>295</v>
      </c>
      <c r="J1287" s="8">
        <f>244</f>
        <v>244</v>
      </c>
      <c r="K1287" s="5" t="s">
        <v>308</v>
      </c>
      <c r="L1287" s="7">
        <f>1</f>
        <v>1</v>
      </c>
      <c r="M1287" s="7">
        <f>1</f>
        <v>1</v>
      </c>
      <c r="N1287" s="5" t="s">
        <v>242</v>
      </c>
      <c r="O1287" s="5">
        <v>1</v>
      </c>
      <c r="P1287" s="5" t="s">
        <v>294</v>
      </c>
      <c r="Q1287" s="5" t="s">
        <v>266</v>
      </c>
      <c r="R1287" s="5" t="s">
        <v>240</v>
      </c>
      <c r="S1287" s="5" t="s">
        <v>240</v>
      </c>
      <c r="T1287" s="5" t="s">
        <v>296</v>
      </c>
      <c r="U1287" s="5" t="s">
        <v>244</v>
      </c>
      <c r="V1287" s="5" t="s">
        <v>240</v>
      </c>
      <c r="Y1287" s="5" t="s">
        <v>240</v>
      </c>
      <c r="Z1287" s="6" t="s">
        <v>298</v>
      </c>
      <c r="AB1287" s="6" t="s">
        <v>240</v>
      </c>
      <c r="AE1287" s="6" t="s">
        <v>299</v>
      </c>
      <c r="AF1287" s="5" t="s">
        <v>248</v>
      </c>
      <c r="AG1287" s="5" t="s">
        <v>249</v>
      </c>
      <c r="AW1287" s="5" t="s">
        <v>251</v>
      </c>
      <c r="AX1287" s="5" t="s">
        <v>240</v>
      </c>
      <c r="AY1287" s="5" t="s">
        <v>253</v>
      </c>
      <c r="AZ1287" s="5" t="s">
        <v>240</v>
      </c>
      <c r="BA1287" s="5" t="s">
        <v>255</v>
      </c>
      <c r="BB1287" s="5" t="s">
        <v>240</v>
      </c>
      <c r="BD1287" s="5" t="s">
        <v>240</v>
      </c>
      <c r="BF1287" s="5" t="s">
        <v>301</v>
      </c>
      <c r="BG1287" s="6" t="s">
        <v>299</v>
      </c>
      <c r="BH1287" s="5" t="s">
        <v>302</v>
      </c>
      <c r="BI1287" s="5" t="s">
        <v>303</v>
      </c>
      <c r="BJ1287" s="5" t="s">
        <v>240</v>
      </c>
      <c r="BK1287" s="8">
        <f>0</f>
        <v>0</v>
      </c>
      <c r="BL1287" s="7">
        <f>0</f>
        <v>0</v>
      </c>
      <c r="BM1287" s="5" t="s">
        <v>258</v>
      </c>
      <c r="BN1287" s="5" t="s">
        <v>259</v>
      </c>
      <c r="CB1287" s="5" t="s">
        <v>240</v>
      </c>
      <c r="CC1287" s="5" t="s">
        <v>240</v>
      </c>
      <c r="CG1287" s="5" t="s">
        <v>304</v>
      </c>
      <c r="CH1287" s="5" t="s">
        <v>305</v>
      </c>
      <c r="CI1287" s="5" t="s">
        <v>240</v>
      </c>
      <c r="CL1287" s="6" t="s">
        <v>261</v>
      </c>
      <c r="CM1287" s="5" t="s">
        <v>240</v>
      </c>
      <c r="CN1287" s="5" t="s">
        <v>263</v>
      </c>
      <c r="CO1287" s="5" t="s">
        <v>240</v>
      </c>
      <c r="CP1287" s="5" t="s">
        <v>240</v>
      </c>
      <c r="CQ1287" s="5">
        <v>0</v>
      </c>
      <c r="CR1287" s="5" t="s">
        <v>306</v>
      </c>
      <c r="CS1287" s="5" t="s">
        <v>307</v>
      </c>
      <c r="CT1287" s="5" t="s">
        <v>307</v>
      </c>
      <c r="CU1287" s="5" t="s">
        <v>260</v>
      </c>
      <c r="CX1287" s="7">
        <f>1</f>
        <v>1</v>
      </c>
      <c r="CY1287" s="7">
        <f>0</f>
        <v>0</v>
      </c>
      <c r="DA1287" s="7">
        <f>0</f>
        <v>0</v>
      </c>
      <c r="DC1287" s="5" t="s">
        <v>812</v>
      </c>
      <c r="DD1287" s="5" t="s">
        <v>240</v>
      </c>
      <c r="DF1287" s="5" t="s">
        <v>812</v>
      </c>
      <c r="DG1287" s="7">
        <f>1893</f>
        <v>1893</v>
      </c>
      <c r="DI1287" s="5" t="s">
        <v>240</v>
      </c>
      <c r="DJ1287" s="5" t="s">
        <v>240</v>
      </c>
      <c r="DK1287" s="5" t="s">
        <v>240</v>
      </c>
      <c r="DL1287" s="5" t="s">
        <v>240</v>
      </c>
      <c r="DP1287" s="5" t="s">
        <v>240</v>
      </c>
      <c r="DQ1287" s="5" t="s">
        <v>240</v>
      </c>
      <c r="DR1287" s="5" t="s">
        <v>240</v>
      </c>
      <c r="DS1287" s="5" t="s">
        <v>240</v>
      </c>
      <c r="DV1287" s="5" t="s">
        <v>813</v>
      </c>
      <c r="DW1287" s="5" t="s">
        <v>2702</v>
      </c>
      <c r="HO1287" s="5" t="s">
        <v>312</v>
      </c>
    </row>
    <row r="1288" spans="1:223" x14ac:dyDescent="0.4">
      <c r="A1288" s="5">
        <v>2963</v>
      </c>
      <c r="B1288" s="5">
        <v>1</v>
      </c>
      <c r="C1288" s="5">
        <v>1</v>
      </c>
      <c r="D1288" s="5" t="s">
        <v>297</v>
      </c>
      <c r="E1288" s="5" t="s">
        <v>245</v>
      </c>
      <c r="F1288" s="5" t="s">
        <v>254</v>
      </c>
      <c r="G1288" s="5" t="s">
        <v>240</v>
      </c>
      <c r="H1288" s="6" t="s">
        <v>5988</v>
      </c>
      <c r="I1288" s="5" t="s">
        <v>295</v>
      </c>
      <c r="J1288" s="8">
        <f>5141</f>
        <v>5141</v>
      </c>
      <c r="K1288" s="5" t="s">
        <v>308</v>
      </c>
      <c r="L1288" s="7">
        <f>1</f>
        <v>1</v>
      </c>
      <c r="M1288" s="7">
        <f>1</f>
        <v>1</v>
      </c>
      <c r="N1288" s="5" t="s">
        <v>242</v>
      </c>
      <c r="O1288" s="5">
        <v>1</v>
      </c>
      <c r="P1288" s="5" t="s">
        <v>294</v>
      </c>
      <c r="Q1288" s="5" t="s">
        <v>266</v>
      </c>
      <c r="R1288" s="5" t="s">
        <v>240</v>
      </c>
      <c r="S1288" s="5" t="s">
        <v>240</v>
      </c>
      <c r="T1288" s="5" t="s">
        <v>296</v>
      </c>
      <c r="U1288" s="5" t="s">
        <v>244</v>
      </c>
      <c r="V1288" s="5" t="s">
        <v>240</v>
      </c>
      <c r="Y1288" s="5" t="s">
        <v>240</v>
      </c>
      <c r="Z1288" s="6" t="s">
        <v>298</v>
      </c>
      <c r="AB1288" s="6" t="s">
        <v>240</v>
      </c>
      <c r="AE1288" s="6" t="s">
        <v>299</v>
      </c>
      <c r="AF1288" s="5" t="s">
        <v>248</v>
      </c>
      <c r="AG1288" s="5" t="s">
        <v>249</v>
      </c>
      <c r="AW1288" s="5" t="s">
        <v>251</v>
      </c>
      <c r="AX1288" s="5" t="s">
        <v>240</v>
      </c>
      <c r="AY1288" s="5" t="s">
        <v>253</v>
      </c>
      <c r="AZ1288" s="5" t="s">
        <v>240</v>
      </c>
      <c r="BA1288" s="5" t="s">
        <v>255</v>
      </c>
      <c r="BB1288" s="5" t="s">
        <v>240</v>
      </c>
      <c r="BD1288" s="5" t="s">
        <v>240</v>
      </c>
      <c r="BF1288" s="5" t="s">
        <v>301</v>
      </c>
      <c r="BG1288" s="6" t="s">
        <v>299</v>
      </c>
      <c r="BH1288" s="5" t="s">
        <v>302</v>
      </c>
      <c r="BI1288" s="5" t="s">
        <v>303</v>
      </c>
      <c r="BJ1288" s="5" t="s">
        <v>240</v>
      </c>
      <c r="BK1288" s="8">
        <f>0</f>
        <v>0</v>
      </c>
      <c r="BL1288" s="7">
        <f>0</f>
        <v>0</v>
      </c>
      <c r="BM1288" s="5" t="s">
        <v>258</v>
      </c>
      <c r="BN1288" s="5" t="s">
        <v>259</v>
      </c>
      <c r="CB1288" s="5" t="s">
        <v>240</v>
      </c>
      <c r="CC1288" s="5" t="s">
        <v>240</v>
      </c>
      <c r="CG1288" s="5" t="s">
        <v>304</v>
      </c>
      <c r="CH1288" s="5" t="s">
        <v>305</v>
      </c>
      <c r="CI1288" s="5" t="s">
        <v>240</v>
      </c>
      <c r="CL1288" s="6" t="s">
        <v>261</v>
      </c>
      <c r="CM1288" s="5" t="s">
        <v>240</v>
      </c>
      <c r="CN1288" s="5" t="s">
        <v>263</v>
      </c>
      <c r="CO1288" s="5" t="s">
        <v>240</v>
      </c>
      <c r="CP1288" s="5" t="s">
        <v>240</v>
      </c>
      <c r="CQ1288" s="5">
        <v>0</v>
      </c>
      <c r="CR1288" s="5" t="s">
        <v>306</v>
      </c>
      <c r="CS1288" s="5" t="s">
        <v>307</v>
      </c>
      <c r="CT1288" s="5" t="s">
        <v>307</v>
      </c>
      <c r="CU1288" s="5" t="s">
        <v>260</v>
      </c>
      <c r="CX1288" s="7">
        <f>1</f>
        <v>1</v>
      </c>
      <c r="CY1288" s="7">
        <f>0</f>
        <v>0</v>
      </c>
      <c r="DA1288" s="7">
        <f>0</f>
        <v>0</v>
      </c>
      <c r="DC1288" s="5" t="s">
        <v>812</v>
      </c>
      <c r="DD1288" s="5" t="s">
        <v>240</v>
      </c>
      <c r="DF1288" s="5" t="s">
        <v>812</v>
      </c>
      <c r="DG1288" s="7">
        <f>245</f>
        <v>245</v>
      </c>
      <c r="DI1288" s="5" t="s">
        <v>240</v>
      </c>
      <c r="DJ1288" s="5" t="s">
        <v>240</v>
      </c>
      <c r="DK1288" s="5" t="s">
        <v>240</v>
      </c>
      <c r="DL1288" s="5" t="s">
        <v>240</v>
      </c>
      <c r="DP1288" s="5" t="s">
        <v>240</v>
      </c>
      <c r="DQ1288" s="5" t="s">
        <v>240</v>
      </c>
      <c r="DR1288" s="5" t="s">
        <v>240</v>
      </c>
      <c r="DS1288" s="5" t="s">
        <v>240</v>
      </c>
      <c r="DV1288" s="5" t="s">
        <v>813</v>
      </c>
      <c r="DW1288" s="5" t="s">
        <v>2704</v>
      </c>
      <c r="HO1288" s="5" t="s">
        <v>312</v>
      </c>
    </row>
    <row r="1289" spans="1:223" x14ac:dyDescent="0.4">
      <c r="A1289" s="5">
        <v>2964</v>
      </c>
      <c r="B1289" s="5">
        <v>1</v>
      </c>
      <c r="C1289" s="5">
        <v>1</v>
      </c>
      <c r="D1289" s="5" t="s">
        <v>297</v>
      </c>
      <c r="E1289" s="5" t="s">
        <v>245</v>
      </c>
      <c r="F1289" s="5" t="s">
        <v>254</v>
      </c>
      <c r="G1289" s="5" t="s">
        <v>240</v>
      </c>
      <c r="H1289" s="6" t="s">
        <v>4928</v>
      </c>
      <c r="I1289" s="5" t="s">
        <v>295</v>
      </c>
      <c r="J1289" s="8">
        <f>1209</f>
        <v>1209</v>
      </c>
      <c r="K1289" s="5" t="s">
        <v>308</v>
      </c>
      <c r="L1289" s="7">
        <f>1</f>
        <v>1</v>
      </c>
      <c r="M1289" s="7">
        <f>1</f>
        <v>1</v>
      </c>
      <c r="N1289" s="5" t="s">
        <v>242</v>
      </c>
      <c r="O1289" s="5">
        <v>1</v>
      </c>
      <c r="P1289" s="5" t="s">
        <v>294</v>
      </c>
      <c r="Q1289" s="5" t="s">
        <v>266</v>
      </c>
      <c r="R1289" s="5" t="s">
        <v>240</v>
      </c>
      <c r="S1289" s="5" t="s">
        <v>240</v>
      </c>
      <c r="T1289" s="5" t="s">
        <v>296</v>
      </c>
      <c r="U1289" s="5" t="s">
        <v>244</v>
      </c>
      <c r="V1289" s="5" t="s">
        <v>240</v>
      </c>
      <c r="Y1289" s="5" t="s">
        <v>240</v>
      </c>
      <c r="Z1289" s="6" t="s">
        <v>298</v>
      </c>
      <c r="AB1289" s="6" t="s">
        <v>240</v>
      </c>
      <c r="AE1289" s="6" t="s">
        <v>299</v>
      </c>
      <c r="AF1289" s="5" t="s">
        <v>248</v>
      </c>
      <c r="AG1289" s="5" t="s">
        <v>249</v>
      </c>
      <c r="AW1289" s="5" t="s">
        <v>251</v>
      </c>
      <c r="AX1289" s="5" t="s">
        <v>240</v>
      </c>
      <c r="AY1289" s="5" t="s">
        <v>253</v>
      </c>
      <c r="AZ1289" s="5" t="s">
        <v>240</v>
      </c>
      <c r="BA1289" s="5" t="s">
        <v>255</v>
      </c>
      <c r="BB1289" s="5" t="s">
        <v>240</v>
      </c>
      <c r="BD1289" s="5" t="s">
        <v>240</v>
      </c>
      <c r="BF1289" s="5" t="s">
        <v>301</v>
      </c>
      <c r="BG1289" s="6" t="s">
        <v>299</v>
      </c>
      <c r="BH1289" s="5" t="s">
        <v>302</v>
      </c>
      <c r="BI1289" s="5" t="s">
        <v>303</v>
      </c>
      <c r="BJ1289" s="5" t="s">
        <v>240</v>
      </c>
      <c r="BK1289" s="8">
        <f>0</f>
        <v>0</v>
      </c>
      <c r="BL1289" s="7">
        <f>0</f>
        <v>0</v>
      </c>
      <c r="BM1289" s="5" t="s">
        <v>258</v>
      </c>
      <c r="BN1289" s="5" t="s">
        <v>259</v>
      </c>
      <c r="CB1289" s="5" t="s">
        <v>240</v>
      </c>
      <c r="CC1289" s="5" t="s">
        <v>240</v>
      </c>
      <c r="CG1289" s="5" t="s">
        <v>304</v>
      </c>
      <c r="CH1289" s="5" t="s">
        <v>305</v>
      </c>
      <c r="CI1289" s="5" t="s">
        <v>240</v>
      </c>
      <c r="CL1289" s="6" t="s">
        <v>261</v>
      </c>
      <c r="CM1289" s="5" t="s">
        <v>240</v>
      </c>
      <c r="CN1289" s="5" t="s">
        <v>263</v>
      </c>
      <c r="CO1289" s="5" t="s">
        <v>240</v>
      </c>
      <c r="CP1289" s="5" t="s">
        <v>240</v>
      </c>
      <c r="CQ1289" s="5">
        <v>0</v>
      </c>
      <c r="CR1289" s="5" t="s">
        <v>306</v>
      </c>
      <c r="CS1289" s="5" t="s">
        <v>307</v>
      </c>
      <c r="CT1289" s="5" t="s">
        <v>307</v>
      </c>
      <c r="CU1289" s="5" t="s">
        <v>260</v>
      </c>
      <c r="CX1289" s="7">
        <f>1</f>
        <v>1</v>
      </c>
      <c r="CY1289" s="7">
        <f>0</f>
        <v>0</v>
      </c>
      <c r="DA1289" s="7">
        <f>0</f>
        <v>0</v>
      </c>
      <c r="DC1289" s="5" t="s">
        <v>812</v>
      </c>
      <c r="DD1289" s="5" t="s">
        <v>240</v>
      </c>
      <c r="DF1289" s="5" t="s">
        <v>812</v>
      </c>
      <c r="DG1289" s="7">
        <f>2611</f>
        <v>2611</v>
      </c>
      <c r="DI1289" s="5" t="s">
        <v>240</v>
      </c>
      <c r="DJ1289" s="5" t="s">
        <v>240</v>
      </c>
      <c r="DK1289" s="5" t="s">
        <v>240</v>
      </c>
      <c r="DL1289" s="5" t="s">
        <v>240</v>
      </c>
      <c r="DP1289" s="5" t="s">
        <v>240</v>
      </c>
      <c r="DQ1289" s="5" t="s">
        <v>240</v>
      </c>
      <c r="DR1289" s="5" t="s">
        <v>240</v>
      </c>
      <c r="DS1289" s="5" t="s">
        <v>240</v>
      </c>
      <c r="DV1289" s="5" t="s">
        <v>813</v>
      </c>
      <c r="DW1289" s="5" t="s">
        <v>2706</v>
      </c>
      <c r="HO1289" s="5" t="s">
        <v>312</v>
      </c>
    </row>
    <row r="1290" spans="1:223" x14ac:dyDescent="0.4">
      <c r="A1290" s="5">
        <v>2965</v>
      </c>
      <c r="B1290" s="5">
        <v>1</v>
      </c>
      <c r="C1290" s="5">
        <v>1</v>
      </c>
      <c r="D1290" s="5" t="s">
        <v>297</v>
      </c>
      <c r="E1290" s="5" t="s">
        <v>245</v>
      </c>
      <c r="F1290" s="5" t="s">
        <v>254</v>
      </c>
      <c r="G1290" s="5" t="s">
        <v>240</v>
      </c>
      <c r="H1290" s="6" t="s">
        <v>5987</v>
      </c>
      <c r="I1290" s="5" t="s">
        <v>295</v>
      </c>
      <c r="J1290" s="8">
        <f>5894</f>
        <v>5894</v>
      </c>
      <c r="K1290" s="5" t="s">
        <v>308</v>
      </c>
      <c r="L1290" s="7">
        <f>1</f>
        <v>1</v>
      </c>
      <c r="M1290" s="7">
        <f>1</f>
        <v>1</v>
      </c>
      <c r="N1290" s="5" t="s">
        <v>242</v>
      </c>
      <c r="O1290" s="5">
        <v>1</v>
      </c>
      <c r="P1290" s="5" t="s">
        <v>294</v>
      </c>
      <c r="Q1290" s="5" t="s">
        <v>266</v>
      </c>
      <c r="R1290" s="5" t="s">
        <v>240</v>
      </c>
      <c r="S1290" s="5" t="s">
        <v>240</v>
      </c>
      <c r="T1290" s="5" t="s">
        <v>296</v>
      </c>
      <c r="U1290" s="5" t="s">
        <v>244</v>
      </c>
      <c r="V1290" s="5" t="s">
        <v>240</v>
      </c>
      <c r="Y1290" s="5" t="s">
        <v>240</v>
      </c>
      <c r="Z1290" s="6" t="s">
        <v>298</v>
      </c>
      <c r="AB1290" s="6" t="s">
        <v>240</v>
      </c>
      <c r="AE1290" s="6" t="s">
        <v>299</v>
      </c>
      <c r="AF1290" s="5" t="s">
        <v>248</v>
      </c>
      <c r="AG1290" s="5" t="s">
        <v>249</v>
      </c>
      <c r="AW1290" s="5" t="s">
        <v>251</v>
      </c>
      <c r="AX1290" s="5" t="s">
        <v>240</v>
      </c>
      <c r="AY1290" s="5" t="s">
        <v>253</v>
      </c>
      <c r="AZ1290" s="5" t="s">
        <v>240</v>
      </c>
      <c r="BA1290" s="5" t="s">
        <v>255</v>
      </c>
      <c r="BB1290" s="5" t="s">
        <v>240</v>
      </c>
      <c r="BD1290" s="5" t="s">
        <v>240</v>
      </c>
      <c r="BF1290" s="5" t="s">
        <v>301</v>
      </c>
      <c r="BG1290" s="6" t="s">
        <v>299</v>
      </c>
      <c r="BH1290" s="5" t="s">
        <v>302</v>
      </c>
      <c r="BI1290" s="5" t="s">
        <v>303</v>
      </c>
      <c r="BJ1290" s="5" t="s">
        <v>240</v>
      </c>
      <c r="BK1290" s="8">
        <f>0</f>
        <v>0</v>
      </c>
      <c r="BL1290" s="7">
        <f>0</f>
        <v>0</v>
      </c>
      <c r="BM1290" s="5" t="s">
        <v>258</v>
      </c>
      <c r="BN1290" s="5" t="s">
        <v>259</v>
      </c>
      <c r="CB1290" s="5" t="s">
        <v>240</v>
      </c>
      <c r="CC1290" s="5" t="s">
        <v>240</v>
      </c>
      <c r="CG1290" s="5" t="s">
        <v>304</v>
      </c>
      <c r="CH1290" s="5" t="s">
        <v>305</v>
      </c>
      <c r="CI1290" s="5" t="s">
        <v>240</v>
      </c>
      <c r="CL1290" s="6" t="s">
        <v>261</v>
      </c>
      <c r="CM1290" s="5" t="s">
        <v>240</v>
      </c>
      <c r="CN1290" s="5" t="s">
        <v>263</v>
      </c>
      <c r="CO1290" s="5" t="s">
        <v>240</v>
      </c>
      <c r="CP1290" s="5" t="s">
        <v>240</v>
      </c>
      <c r="CQ1290" s="5">
        <v>0</v>
      </c>
      <c r="CR1290" s="5" t="s">
        <v>306</v>
      </c>
      <c r="CS1290" s="5" t="s">
        <v>307</v>
      </c>
      <c r="CT1290" s="5" t="s">
        <v>307</v>
      </c>
      <c r="CU1290" s="5" t="s">
        <v>260</v>
      </c>
      <c r="CX1290" s="7">
        <f>1</f>
        <v>1</v>
      </c>
      <c r="CY1290" s="7">
        <f>0</f>
        <v>0</v>
      </c>
      <c r="DA1290" s="7">
        <f>0</f>
        <v>0</v>
      </c>
      <c r="DC1290" s="5" t="s">
        <v>812</v>
      </c>
      <c r="DD1290" s="5" t="s">
        <v>240</v>
      </c>
      <c r="DF1290" s="5" t="s">
        <v>812</v>
      </c>
      <c r="DG1290" s="7">
        <f>1168</f>
        <v>1168</v>
      </c>
      <c r="DI1290" s="5" t="s">
        <v>240</v>
      </c>
      <c r="DJ1290" s="5" t="s">
        <v>240</v>
      </c>
      <c r="DK1290" s="5" t="s">
        <v>240</v>
      </c>
      <c r="DL1290" s="5" t="s">
        <v>240</v>
      </c>
      <c r="DP1290" s="5" t="s">
        <v>240</v>
      </c>
      <c r="DQ1290" s="5" t="s">
        <v>240</v>
      </c>
      <c r="DR1290" s="5" t="s">
        <v>240</v>
      </c>
      <c r="DS1290" s="5" t="s">
        <v>240</v>
      </c>
      <c r="DV1290" s="5" t="s">
        <v>813</v>
      </c>
      <c r="DW1290" s="5" t="s">
        <v>2708</v>
      </c>
      <c r="HO1290" s="5" t="s">
        <v>312</v>
      </c>
    </row>
    <row r="1291" spans="1:223" x14ac:dyDescent="0.4">
      <c r="A1291" s="5">
        <v>2966</v>
      </c>
      <c r="B1291" s="5">
        <v>1</v>
      </c>
      <c r="C1291" s="5">
        <v>1</v>
      </c>
      <c r="D1291" s="5" t="s">
        <v>297</v>
      </c>
      <c r="E1291" s="5" t="s">
        <v>245</v>
      </c>
      <c r="F1291" s="5" t="s">
        <v>254</v>
      </c>
      <c r="G1291" s="5" t="s">
        <v>240</v>
      </c>
      <c r="H1291" s="6" t="s">
        <v>4925</v>
      </c>
      <c r="I1291" s="5" t="s">
        <v>295</v>
      </c>
      <c r="J1291" s="8">
        <f>841</f>
        <v>841</v>
      </c>
      <c r="K1291" s="5" t="s">
        <v>308</v>
      </c>
      <c r="L1291" s="7">
        <f>1</f>
        <v>1</v>
      </c>
      <c r="M1291" s="7">
        <f>1</f>
        <v>1</v>
      </c>
      <c r="N1291" s="5" t="s">
        <v>242</v>
      </c>
      <c r="O1291" s="5">
        <v>1</v>
      </c>
      <c r="P1291" s="5" t="s">
        <v>294</v>
      </c>
      <c r="Q1291" s="5" t="s">
        <v>266</v>
      </c>
      <c r="R1291" s="5" t="s">
        <v>240</v>
      </c>
      <c r="S1291" s="5" t="s">
        <v>240</v>
      </c>
      <c r="T1291" s="5" t="s">
        <v>296</v>
      </c>
      <c r="U1291" s="5" t="s">
        <v>244</v>
      </c>
      <c r="V1291" s="5" t="s">
        <v>240</v>
      </c>
      <c r="Y1291" s="5" t="s">
        <v>240</v>
      </c>
      <c r="Z1291" s="6" t="s">
        <v>298</v>
      </c>
      <c r="AB1291" s="6" t="s">
        <v>240</v>
      </c>
      <c r="AE1291" s="6" t="s">
        <v>299</v>
      </c>
      <c r="AF1291" s="5" t="s">
        <v>248</v>
      </c>
      <c r="AG1291" s="5" t="s">
        <v>249</v>
      </c>
      <c r="AW1291" s="5" t="s">
        <v>251</v>
      </c>
      <c r="AX1291" s="5" t="s">
        <v>240</v>
      </c>
      <c r="AY1291" s="5" t="s">
        <v>253</v>
      </c>
      <c r="AZ1291" s="5" t="s">
        <v>240</v>
      </c>
      <c r="BA1291" s="5" t="s">
        <v>255</v>
      </c>
      <c r="BB1291" s="5" t="s">
        <v>240</v>
      </c>
      <c r="BD1291" s="5" t="s">
        <v>240</v>
      </c>
      <c r="BF1291" s="5" t="s">
        <v>301</v>
      </c>
      <c r="BG1291" s="6" t="s">
        <v>299</v>
      </c>
      <c r="BH1291" s="5" t="s">
        <v>302</v>
      </c>
      <c r="BI1291" s="5" t="s">
        <v>303</v>
      </c>
      <c r="BJ1291" s="5" t="s">
        <v>240</v>
      </c>
      <c r="BK1291" s="8">
        <f>0</f>
        <v>0</v>
      </c>
      <c r="BL1291" s="7">
        <f>0</f>
        <v>0</v>
      </c>
      <c r="BM1291" s="5" t="s">
        <v>258</v>
      </c>
      <c r="BN1291" s="5" t="s">
        <v>259</v>
      </c>
      <c r="CB1291" s="5" t="s">
        <v>240</v>
      </c>
      <c r="CC1291" s="5" t="s">
        <v>240</v>
      </c>
      <c r="CG1291" s="5" t="s">
        <v>304</v>
      </c>
      <c r="CH1291" s="5" t="s">
        <v>305</v>
      </c>
      <c r="CI1291" s="5" t="s">
        <v>240</v>
      </c>
      <c r="CL1291" s="6" t="s">
        <v>261</v>
      </c>
      <c r="CM1291" s="5" t="s">
        <v>240</v>
      </c>
      <c r="CN1291" s="5" t="s">
        <v>263</v>
      </c>
      <c r="CO1291" s="5" t="s">
        <v>240</v>
      </c>
      <c r="CP1291" s="5" t="s">
        <v>240</v>
      </c>
      <c r="CQ1291" s="5">
        <v>0</v>
      </c>
      <c r="CR1291" s="5" t="s">
        <v>306</v>
      </c>
      <c r="CS1291" s="5" t="s">
        <v>307</v>
      </c>
      <c r="CT1291" s="5" t="s">
        <v>307</v>
      </c>
      <c r="CU1291" s="5" t="s">
        <v>260</v>
      </c>
      <c r="CX1291" s="7">
        <f>1</f>
        <v>1</v>
      </c>
      <c r="CY1291" s="7">
        <f>0</f>
        <v>0</v>
      </c>
      <c r="DA1291" s="7">
        <f>0</f>
        <v>0</v>
      </c>
      <c r="DC1291" s="5" t="s">
        <v>812</v>
      </c>
      <c r="DD1291" s="5" t="s">
        <v>240</v>
      </c>
      <c r="DF1291" s="5" t="s">
        <v>812</v>
      </c>
      <c r="DG1291" s="7">
        <f>2177</f>
        <v>2177</v>
      </c>
      <c r="DI1291" s="5" t="s">
        <v>240</v>
      </c>
      <c r="DJ1291" s="5" t="s">
        <v>240</v>
      </c>
      <c r="DK1291" s="5" t="s">
        <v>240</v>
      </c>
      <c r="DL1291" s="5" t="s">
        <v>240</v>
      </c>
      <c r="DP1291" s="5" t="s">
        <v>240</v>
      </c>
      <c r="DQ1291" s="5" t="s">
        <v>240</v>
      </c>
      <c r="DR1291" s="5" t="s">
        <v>240</v>
      </c>
      <c r="DS1291" s="5" t="s">
        <v>240</v>
      </c>
      <c r="DV1291" s="5" t="s">
        <v>813</v>
      </c>
      <c r="DW1291" s="5" t="s">
        <v>2710</v>
      </c>
      <c r="HO1291" s="5" t="s">
        <v>312</v>
      </c>
    </row>
    <row r="1292" spans="1:223" x14ac:dyDescent="0.4">
      <c r="A1292" s="5">
        <v>2967</v>
      </c>
      <c r="B1292" s="5">
        <v>1</v>
      </c>
      <c r="C1292" s="5">
        <v>1</v>
      </c>
      <c r="D1292" s="5" t="s">
        <v>297</v>
      </c>
      <c r="E1292" s="5" t="s">
        <v>245</v>
      </c>
      <c r="F1292" s="5" t="s">
        <v>254</v>
      </c>
      <c r="G1292" s="5" t="s">
        <v>240</v>
      </c>
      <c r="H1292" s="6" t="s">
        <v>5986</v>
      </c>
      <c r="I1292" s="5" t="s">
        <v>295</v>
      </c>
      <c r="J1292" s="8">
        <f>760</f>
        <v>760</v>
      </c>
      <c r="K1292" s="5" t="s">
        <v>308</v>
      </c>
      <c r="L1292" s="7">
        <f>1</f>
        <v>1</v>
      </c>
      <c r="M1292" s="7">
        <f>1</f>
        <v>1</v>
      </c>
      <c r="N1292" s="5" t="s">
        <v>242</v>
      </c>
      <c r="O1292" s="5">
        <v>1</v>
      </c>
      <c r="P1292" s="5" t="s">
        <v>294</v>
      </c>
      <c r="Q1292" s="5" t="s">
        <v>266</v>
      </c>
      <c r="R1292" s="5" t="s">
        <v>240</v>
      </c>
      <c r="S1292" s="5" t="s">
        <v>240</v>
      </c>
      <c r="T1292" s="5" t="s">
        <v>296</v>
      </c>
      <c r="U1292" s="5" t="s">
        <v>244</v>
      </c>
      <c r="V1292" s="5" t="s">
        <v>240</v>
      </c>
      <c r="Y1292" s="5" t="s">
        <v>240</v>
      </c>
      <c r="Z1292" s="6" t="s">
        <v>298</v>
      </c>
      <c r="AB1292" s="6" t="s">
        <v>240</v>
      </c>
      <c r="AE1292" s="6" t="s">
        <v>299</v>
      </c>
      <c r="AF1292" s="5" t="s">
        <v>248</v>
      </c>
      <c r="AG1292" s="5" t="s">
        <v>249</v>
      </c>
      <c r="AW1292" s="5" t="s">
        <v>251</v>
      </c>
      <c r="AX1292" s="5" t="s">
        <v>240</v>
      </c>
      <c r="AY1292" s="5" t="s">
        <v>253</v>
      </c>
      <c r="AZ1292" s="5" t="s">
        <v>240</v>
      </c>
      <c r="BA1292" s="5" t="s">
        <v>255</v>
      </c>
      <c r="BB1292" s="5" t="s">
        <v>240</v>
      </c>
      <c r="BD1292" s="5" t="s">
        <v>240</v>
      </c>
      <c r="BF1292" s="5" t="s">
        <v>301</v>
      </c>
      <c r="BG1292" s="6" t="s">
        <v>299</v>
      </c>
      <c r="BH1292" s="5" t="s">
        <v>302</v>
      </c>
      <c r="BI1292" s="5" t="s">
        <v>303</v>
      </c>
      <c r="BJ1292" s="5" t="s">
        <v>240</v>
      </c>
      <c r="BK1292" s="8">
        <f>0</f>
        <v>0</v>
      </c>
      <c r="BL1292" s="7">
        <f>0</f>
        <v>0</v>
      </c>
      <c r="BM1292" s="5" t="s">
        <v>258</v>
      </c>
      <c r="BN1292" s="5" t="s">
        <v>259</v>
      </c>
      <c r="CB1292" s="5" t="s">
        <v>240</v>
      </c>
      <c r="CC1292" s="5" t="s">
        <v>240</v>
      </c>
      <c r="CG1292" s="5" t="s">
        <v>304</v>
      </c>
      <c r="CH1292" s="5" t="s">
        <v>305</v>
      </c>
      <c r="CI1292" s="5" t="s">
        <v>240</v>
      </c>
      <c r="CL1292" s="6" t="s">
        <v>261</v>
      </c>
      <c r="CM1292" s="5" t="s">
        <v>240</v>
      </c>
      <c r="CN1292" s="5" t="s">
        <v>263</v>
      </c>
      <c r="CO1292" s="5" t="s">
        <v>240</v>
      </c>
      <c r="CP1292" s="5" t="s">
        <v>240</v>
      </c>
      <c r="CQ1292" s="5">
        <v>0</v>
      </c>
      <c r="CR1292" s="5" t="s">
        <v>306</v>
      </c>
      <c r="CS1292" s="5" t="s">
        <v>307</v>
      </c>
      <c r="CT1292" s="5" t="s">
        <v>307</v>
      </c>
      <c r="CU1292" s="5" t="s">
        <v>260</v>
      </c>
      <c r="CX1292" s="7">
        <f>1</f>
        <v>1</v>
      </c>
      <c r="CY1292" s="7">
        <f>0</f>
        <v>0</v>
      </c>
      <c r="DA1292" s="7">
        <f>0</f>
        <v>0</v>
      </c>
      <c r="DC1292" s="5" t="s">
        <v>812</v>
      </c>
      <c r="DD1292" s="5" t="s">
        <v>240</v>
      </c>
      <c r="DF1292" s="5" t="s">
        <v>812</v>
      </c>
      <c r="DG1292" s="7">
        <f>2042</f>
        <v>2042</v>
      </c>
      <c r="DI1292" s="5" t="s">
        <v>240</v>
      </c>
      <c r="DJ1292" s="5" t="s">
        <v>240</v>
      </c>
      <c r="DK1292" s="5" t="s">
        <v>240</v>
      </c>
      <c r="DL1292" s="5" t="s">
        <v>240</v>
      </c>
      <c r="DP1292" s="5" t="s">
        <v>240</v>
      </c>
      <c r="DQ1292" s="5" t="s">
        <v>240</v>
      </c>
      <c r="DR1292" s="5" t="s">
        <v>240</v>
      </c>
      <c r="DS1292" s="5" t="s">
        <v>240</v>
      </c>
      <c r="DV1292" s="5" t="s">
        <v>813</v>
      </c>
      <c r="DW1292" s="5" t="s">
        <v>2712</v>
      </c>
      <c r="HO1292" s="5" t="s">
        <v>312</v>
      </c>
    </row>
    <row r="1293" spans="1:223" x14ac:dyDescent="0.4">
      <c r="A1293" s="5">
        <v>2968</v>
      </c>
      <c r="B1293" s="5">
        <v>1</v>
      </c>
      <c r="C1293" s="5">
        <v>1</v>
      </c>
      <c r="D1293" s="5" t="s">
        <v>297</v>
      </c>
      <c r="E1293" s="5" t="s">
        <v>245</v>
      </c>
      <c r="F1293" s="5" t="s">
        <v>254</v>
      </c>
      <c r="G1293" s="5" t="s">
        <v>240</v>
      </c>
      <c r="H1293" s="6" t="s">
        <v>4923</v>
      </c>
      <c r="I1293" s="5" t="s">
        <v>295</v>
      </c>
      <c r="J1293" s="8">
        <f>1023</f>
        <v>1023</v>
      </c>
      <c r="K1293" s="5" t="s">
        <v>308</v>
      </c>
      <c r="L1293" s="7">
        <f>1</f>
        <v>1</v>
      </c>
      <c r="M1293" s="7">
        <f>1</f>
        <v>1</v>
      </c>
      <c r="N1293" s="5" t="s">
        <v>242</v>
      </c>
      <c r="O1293" s="5">
        <v>1</v>
      </c>
      <c r="P1293" s="5" t="s">
        <v>294</v>
      </c>
      <c r="Q1293" s="5" t="s">
        <v>266</v>
      </c>
      <c r="R1293" s="5" t="s">
        <v>240</v>
      </c>
      <c r="S1293" s="5" t="s">
        <v>240</v>
      </c>
      <c r="T1293" s="5" t="s">
        <v>296</v>
      </c>
      <c r="U1293" s="5" t="s">
        <v>244</v>
      </c>
      <c r="V1293" s="5" t="s">
        <v>240</v>
      </c>
      <c r="Y1293" s="5" t="s">
        <v>240</v>
      </c>
      <c r="Z1293" s="6" t="s">
        <v>298</v>
      </c>
      <c r="AB1293" s="6" t="s">
        <v>240</v>
      </c>
      <c r="AE1293" s="6" t="s">
        <v>299</v>
      </c>
      <c r="AF1293" s="5" t="s">
        <v>248</v>
      </c>
      <c r="AG1293" s="5" t="s">
        <v>249</v>
      </c>
      <c r="AW1293" s="5" t="s">
        <v>251</v>
      </c>
      <c r="AX1293" s="5" t="s">
        <v>240</v>
      </c>
      <c r="AY1293" s="5" t="s">
        <v>253</v>
      </c>
      <c r="AZ1293" s="5" t="s">
        <v>240</v>
      </c>
      <c r="BA1293" s="5" t="s">
        <v>255</v>
      </c>
      <c r="BB1293" s="5" t="s">
        <v>240</v>
      </c>
      <c r="BD1293" s="5" t="s">
        <v>240</v>
      </c>
      <c r="BF1293" s="5" t="s">
        <v>301</v>
      </c>
      <c r="BG1293" s="6" t="s">
        <v>299</v>
      </c>
      <c r="BH1293" s="5" t="s">
        <v>302</v>
      </c>
      <c r="BI1293" s="5" t="s">
        <v>303</v>
      </c>
      <c r="BJ1293" s="5" t="s">
        <v>240</v>
      </c>
      <c r="BK1293" s="8">
        <f>0</f>
        <v>0</v>
      </c>
      <c r="BL1293" s="7">
        <f>0</f>
        <v>0</v>
      </c>
      <c r="BM1293" s="5" t="s">
        <v>258</v>
      </c>
      <c r="BN1293" s="5" t="s">
        <v>259</v>
      </c>
      <c r="CB1293" s="5" t="s">
        <v>240</v>
      </c>
      <c r="CC1293" s="5" t="s">
        <v>240</v>
      </c>
      <c r="CG1293" s="5" t="s">
        <v>304</v>
      </c>
      <c r="CH1293" s="5" t="s">
        <v>305</v>
      </c>
      <c r="CI1293" s="5" t="s">
        <v>240</v>
      </c>
      <c r="CL1293" s="6" t="s">
        <v>261</v>
      </c>
      <c r="CM1293" s="5" t="s">
        <v>240</v>
      </c>
      <c r="CN1293" s="5" t="s">
        <v>263</v>
      </c>
      <c r="CO1293" s="5" t="s">
        <v>240</v>
      </c>
      <c r="CP1293" s="5" t="s">
        <v>240</v>
      </c>
      <c r="CQ1293" s="5">
        <v>0</v>
      </c>
      <c r="CR1293" s="5" t="s">
        <v>306</v>
      </c>
      <c r="CS1293" s="5" t="s">
        <v>307</v>
      </c>
      <c r="CT1293" s="5" t="s">
        <v>307</v>
      </c>
      <c r="CU1293" s="5" t="s">
        <v>260</v>
      </c>
      <c r="CX1293" s="7">
        <f>1</f>
        <v>1</v>
      </c>
      <c r="CY1293" s="7">
        <f>0</f>
        <v>0</v>
      </c>
      <c r="DA1293" s="7">
        <f>0</f>
        <v>0</v>
      </c>
      <c r="DC1293" s="5" t="s">
        <v>812</v>
      </c>
      <c r="DD1293" s="5" t="s">
        <v>240</v>
      </c>
      <c r="DF1293" s="5" t="s">
        <v>812</v>
      </c>
      <c r="DG1293" s="7">
        <f>1049</f>
        <v>1049</v>
      </c>
      <c r="DI1293" s="5" t="s">
        <v>240</v>
      </c>
      <c r="DJ1293" s="5" t="s">
        <v>240</v>
      </c>
      <c r="DK1293" s="5" t="s">
        <v>240</v>
      </c>
      <c r="DL1293" s="5" t="s">
        <v>240</v>
      </c>
      <c r="DP1293" s="5" t="s">
        <v>240</v>
      </c>
      <c r="DQ1293" s="5" t="s">
        <v>240</v>
      </c>
      <c r="DR1293" s="5" t="s">
        <v>240</v>
      </c>
      <c r="DS1293" s="5" t="s">
        <v>240</v>
      </c>
      <c r="DV1293" s="5" t="s">
        <v>813</v>
      </c>
      <c r="DW1293" s="5" t="s">
        <v>2714</v>
      </c>
      <c r="HO1293" s="5" t="s">
        <v>312</v>
      </c>
    </row>
    <row r="1294" spans="1:223" x14ac:dyDescent="0.4">
      <c r="A1294" s="5">
        <v>2969</v>
      </c>
      <c r="B1294" s="5">
        <v>1</v>
      </c>
      <c r="C1294" s="5">
        <v>1</v>
      </c>
      <c r="D1294" s="5" t="s">
        <v>297</v>
      </c>
      <c r="E1294" s="5" t="s">
        <v>245</v>
      </c>
      <c r="F1294" s="5" t="s">
        <v>254</v>
      </c>
      <c r="G1294" s="5" t="s">
        <v>240</v>
      </c>
      <c r="H1294" s="6" t="s">
        <v>4922</v>
      </c>
      <c r="I1294" s="5" t="s">
        <v>295</v>
      </c>
      <c r="J1294" s="8">
        <f>1059</f>
        <v>1059</v>
      </c>
      <c r="K1294" s="5" t="s">
        <v>308</v>
      </c>
      <c r="L1294" s="7">
        <f>1</f>
        <v>1</v>
      </c>
      <c r="M1294" s="7">
        <f>1</f>
        <v>1</v>
      </c>
      <c r="N1294" s="5" t="s">
        <v>242</v>
      </c>
      <c r="O1294" s="5">
        <v>1</v>
      </c>
      <c r="P1294" s="5" t="s">
        <v>294</v>
      </c>
      <c r="Q1294" s="5" t="s">
        <v>266</v>
      </c>
      <c r="R1294" s="5" t="s">
        <v>240</v>
      </c>
      <c r="S1294" s="5" t="s">
        <v>240</v>
      </c>
      <c r="T1294" s="5" t="s">
        <v>296</v>
      </c>
      <c r="U1294" s="5" t="s">
        <v>244</v>
      </c>
      <c r="V1294" s="5" t="s">
        <v>240</v>
      </c>
      <c r="Y1294" s="5" t="s">
        <v>240</v>
      </c>
      <c r="Z1294" s="6" t="s">
        <v>298</v>
      </c>
      <c r="AB1294" s="6" t="s">
        <v>240</v>
      </c>
      <c r="AE1294" s="6" t="s">
        <v>299</v>
      </c>
      <c r="AF1294" s="5" t="s">
        <v>248</v>
      </c>
      <c r="AG1294" s="5" t="s">
        <v>249</v>
      </c>
      <c r="AW1294" s="5" t="s">
        <v>251</v>
      </c>
      <c r="AX1294" s="5" t="s">
        <v>240</v>
      </c>
      <c r="AY1294" s="5" t="s">
        <v>253</v>
      </c>
      <c r="AZ1294" s="5" t="s">
        <v>240</v>
      </c>
      <c r="BA1294" s="5" t="s">
        <v>255</v>
      </c>
      <c r="BB1294" s="5" t="s">
        <v>240</v>
      </c>
      <c r="BD1294" s="5" t="s">
        <v>240</v>
      </c>
      <c r="BF1294" s="5" t="s">
        <v>301</v>
      </c>
      <c r="BG1294" s="6" t="s">
        <v>299</v>
      </c>
      <c r="BH1294" s="5" t="s">
        <v>302</v>
      </c>
      <c r="BI1294" s="5" t="s">
        <v>303</v>
      </c>
      <c r="BJ1294" s="5" t="s">
        <v>240</v>
      </c>
      <c r="BK1294" s="8">
        <f>0</f>
        <v>0</v>
      </c>
      <c r="BL1294" s="7">
        <f>0</f>
        <v>0</v>
      </c>
      <c r="BM1294" s="5" t="s">
        <v>258</v>
      </c>
      <c r="BN1294" s="5" t="s">
        <v>259</v>
      </c>
      <c r="CB1294" s="5" t="s">
        <v>240</v>
      </c>
      <c r="CC1294" s="5" t="s">
        <v>240</v>
      </c>
      <c r="CG1294" s="5" t="s">
        <v>304</v>
      </c>
      <c r="CH1294" s="5" t="s">
        <v>305</v>
      </c>
      <c r="CI1294" s="5" t="s">
        <v>240</v>
      </c>
      <c r="CL1294" s="6" t="s">
        <v>261</v>
      </c>
      <c r="CM1294" s="5" t="s">
        <v>240</v>
      </c>
      <c r="CN1294" s="5" t="s">
        <v>263</v>
      </c>
      <c r="CO1294" s="5" t="s">
        <v>240</v>
      </c>
      <c r="CP1294" s="5" t="s">
        <v>240</v>
      </c>
      <c r="CQ1294" s="5">
        <v>0</v>
      </c>
      <c r="CR1294" s="5" t="s">
        <v>306</v>
      </c>
      <c r="CS1294" s="5" t="s">
        <v>307</v>
      </c>
      <c r="CT1294" s="5" t="s">
        <v>307</v>
      </c>
      <c r="CU1294" s="5" t="s">
        <v>260</v>
      </c>
      <c r="CX1294" s="7">
        <f>1</f>
        <v>1</v>
      </c>
      <c r="CY1294" s="7">
        <f>0</f>
        <v>0</v>
      </c>
      <c r="DA1294" s="7">
        <f>0</f>
        <v>0</v>
      </c>
      <c r="DC1294" s="5" t="s">
        <v>812</v>
      </c>
      <c r="DD1294" s="5" t="s">
        <v>240</v>
      </c>
      <c r="DF1294" s="5" t="s">
        <v>812</v>
      </c>
      <c r="DG1294" s="7">
        <f>1410</f>
        <v>1410</v>
      </c>
      <c r="DI1294" s="5" t="s">
        <v>240</v>
      </c>
      <c r="DJ1294" s="5" t="s">
        <v>240</v>
      </c>
      <c r="DK1294" s="5" t="s">
        <v>240</v>
      </c>
      <c r="DL1294" s="5" t="s">
        <v>240</v>
      </c>
      <c r="DP1294" s="5" t="s">
        <v>240</v>
      </c>
      <c r="DQ1294" s="5" t="s">
        <v>240</v>
      </c>
      <c r="DR1294" s="5" t="s">
        <v>240</v>
      </c>
      <c r="DS1294" s="5" t="s">
        <v>240</v>
      </c>
      <c r="DV1294" s="5" t="s">
        <v>813</v>
      </c>
      <c r="DW1294" s="5" t="s">
        <v>2716</v>
      </c>
      <c r="HO1294" s="5" t="s">
        <v>312</v>
      </c>
    </row>
    <row r="1295" spans="1:223" x14ac:dyDescent="0.4">
      <c r="A1295" s="5">
        <v>2970</v>
      </c>
      <c r="B1295" s="5">
        <v>1</v>
      </c>
      <c r="C1295" s="5">
        <v>1</v>
      </c>
      <c r="D1295" s="5" t="s">
        <v>297</v>
      </c>
      <c r="E1295" s="5" t="s">
        <v>245</v>
      </c>
      <c r="F1295" s="5" t="s">
        <v>254</v>
      </c>
      <c r="G1295" s="5" t="s">
        <v>240</v>
      </c>
      <c r="H1295" s="6" t="s">
        <v>4921</v>
      </c>
      <c r="I1295" s="5" t="s">
        <v>295</v>
      </c>
      <c r="J1295" s="8">
        <f>633</f>
        <v>633</v>
      </c>
      <c r="K1295" s="5" t="s">
        <v>308</v>
      </c>
      <c r="L1295" s="7">
        <f>1</f>
        <v>1</v>
      </c>
      <c r="M1295" s="7">
        <f>1</f>
        <v>1</v>
      </c>
      <c r="N1295" s="5" t="s">
        <v>242</v>
      </c>
      <c r="O1295" s="5">
        <v>1</v>
      </c>
      <c r="P1295" s="5" t="s">
        <v>294</v>
      </c>
      <c r="Q1295" s="5" t="s">
        <v>266</v>
      </c>
      <c r="R1295" s="5" t="s">
        <v>240</v>
      </c>
      <c r="S1295" s="5" t="s">
        <v>240</v>
      </c>
      <c r="T1295" s="5" t="s">
        <v>296</v>
      </c>
      <c r="U1295" s="5" t="s">
        <v>244</v>
      </c>
      <c r="V1295" s="5" t="s">
        <v>240</v>
      </c>
      <c r="Y1295" s="5" t="s">
        <v>240</v>
      </c>
      <c r="Z1295" s="6" t="s">
        <v>298</v>
      </c>
      <c r="AB1295" s="6" t="s">
        <v>240</v>
      </c>
      <c r="AE1295" s="6" t="s">
        <v>299</v>
      </c>
      <c r="AF1295" s="5" t="s">
        <v>248</v>
      </c>
      <c r="AG1295" s="5" t="s">
        <v>249</v>
      </c>
      <c r="AW1295" s="5" t="s">
        <v>251</v>
      </c>
      <c r="AX1295" s="5" t="s">
        <v>240</v>
      </c>
      <c r="AY1295" s="5" t="s">
        <v>253</v>
      </c>
      <c r="AZ1295" s="5" t="s">
        <v>240</v>
      </c>
      <c r="BA1295" s="5" t="s">
        <v>255</v>
      </c>
      <c r="BB1295" s="5" t="s">
        <v>240</v>
      </c>
      <c r="BD1295" s="5" t="s">
        <v>240</v>
      </c>
      <c r="BF1295" s="5" t="s">
        <v>301</v>
      </c>
      <c r="BG1295" s="6" t="s">
        <v>299</v>
      </c>
      <c r="BH1295" s="5" t="s">
        <v>302</v>
      </c>
      <c r="BI1295" s="5" t="s">
        <v>303</v>
      </c>
      <c r="BJ1295" s="5" t="s">
        <v>240</v>
      </c>
      <c r="BK1295" s="8">
        <f>0</f>
        <v>0</v>
      </c>
      <c r="BL1295" s="7">
        <f>0</f>
        <v>0</v>
      </c>
      <c r="BM1295" s="5" t="s">
        <v>258</v>
      </c>
      <c r="BN1295" s="5" t="s">
        <v>259</v>
      </c>
      <c r="CB1295" s="5" t="s">
        <v>240</v>
      </c>
      <c r="CC1295" s="5" t="s">
        <v>240</v>
      </c>
      <c r="CG1295" s="5" t="s">
        <v>304</v>
      </c>
      <c r="CH1295" s="5" t="s">
        <v>305</v>
      </c>
      <c r="CI1295" s="5" t="s">
        <v>240</v>
      </c>
      <c r="CL1295" s="6" t="s">
        <v>261</v>
      </c>
      <c r="CM1295" s="5" t="s">
        <v>240</v>
      </c>
      <c r="CN1295" s="5" t="s">
        <v>263</v>
      </c>
      <c r="CO1295" s="5" t="s">
        <v>240</v>
      </c>
      <c r="CP1295" s="5" t="s">
        <v>240</v>
      </c>
      <c r="CQ1295" s="5">
        <v>0</v>
      </c>
      <c r="CR1295" s="5" t="s">
        <v>306</v>
      </c>
      <c r="CS1295" s="5" t="s">
        <v>307</v>
      </c>
      <c r="CT1295" s="5" t="s">
        <v>307</v>
      </c>
      <c r="CU1295" s="5" t="s">
        <v>260</v>
      </c>
      <c r="CX1295" s="7">
        <f>1</f>
        <v>1</v>
      </c>
      <c r="CY1295" s="7">
        <f>0</f>
        <v>0</v>
      </c>
      <c r="DA1295" s="7">
        <f>0</f>
        <v>0</v>
      </c>
      <c r="DC1295" s="5" t="s">
        <v>812</v>
      </c>
      <c r="DD1295" s="5" t="s">
        <v>240</v>
      </c>
      <c r="DF1295" s="5" t="s">
        <v>812</v>
      </c>
      <c r="DG1295" s="7">
        <f>1512</f>
        <v>1512</v>
      </c>
      <c r="DI1295" s="5" t="s">
        <v>240</v>
      </c>
      <c r="DJ1295" s="5" t="s">
        <v>240</v>
      </c>
      <c r="DK1295" s="5" t="s">
        <v>240</v>
      </c>
      <c r="DL1295" s="5" t="s">
        <v>240</v>
      </c>
      <c r="DP1295" s="5" t="s">
        <v>240</v>
      </c>
      <c r="DQ1295" s="5" t="s">
        <v>240</v>
      </c>
      <c r="DR1295" s="5" t="s">
        <v>240</v>
      </c>
      <c r="DS1295" s="5" t="s">
        <v>240</v>
      </c>
      <c r="DV1295" s="5" t="s">
        <v>813</v>
      </c>
      <c r="DW1295" s="5" t="s">
        <v>2718</v>
      </c>
      <c r="HO1295" s="5" t="s">
        <v>312</v>
      </c>
    </row>
    <row r="1296" spans="1:223" x14ac:dyDescent="0.4">
      <c r="A1296" s="5">
        <v>2971</v>
      </c>
      <c r="B1296" s="5">
        <v>1</v>
      </c>
      <c r="C1296" s="5">
        <v>1</v>
      </c>
      <c r="D1296" s="5" t="s">
        <v>297</v>
      </c>
      <c r="E1296" s="5" t="s">
        <v>245</v>
      </c>
      <c r="F1296" s="5" t="s">
        <v>254</v>
      </c>
      <c r="G1296" s="5" t="s">
        <v>240</v>
      </c>
      <c r="H1296" s="6" t="s">
        <v>4920</v>
      </c>
      <c r="I1296" s="5" t="s">
        <v>295</v>
      </c>
      <c r="J1296" s="8">
        <f>337</f>
        <v>337</v>
      </c>
      <c r="K1296" s="5" t="s">
        <v>308</v>
      </c>
      <c r="L1296" s="7">
        <f>1</f>
        <v>1</v>
      </c>
      <c r="M1296" s="7">
        <f>1</f>
        <v>1</v>
      </c>
      <c r="N1296" s="5" t="s">
        <v>242</v>
      </c>
      <c r="O1296" s="5">
        <v>1</v>
      </c>
      <c r="P1296" s="5" t="s">
        <v>294</v>
      </c>
      <c r="Q1296" s="5" t="s">
        <v>266</v>
      </c>
      <c r="R1296" s="5" t="s">
        <v>240</v>
      </c>
      <c r="S1296" s="5" t="s">
        <v>240</v>
      </c>
      <c r="T1296" s="5" t="s">
        <v>296</v>
      </c>
      <c r="U1296" s="5" t="s">
        <v>244</v>
      </c>
      <c r="V1296" s="5" t="s">
        <v>240</v>
      </c>
      <c r="Y1296" s="5" t="s">
        <v>240</v>
      </c>
      <c r="Z1296" s="6" t="s">
        <v>298</v>
      </c>
      <c r="AB1296" s="6" t="s">
        <v>240</v>
      </c>
      <c r="AE1296" s="6" t="s">
        <v>299</v>
      </c>
      <c r="AF1296" s="5" t="s">
        <v>248</v>
      </c>
      <c r="AG1296" s="5" t="s">
        <v>249</v>
      </c>
      <c r="AW1296" s="5" t="s">
        <v>251</v>
      </c>
      <c r="AX1296" s="5" t="s">
        <v>240</v>
      </c>
      <c r="AY1296" s="5" t="s">
        <v>253</v>
      </c>
      <c r="AZ1296" s="5" t="s">
        <v>240</v>
      </c>
      <c r="BA1296" s="5" t="s">
        <v>255</v>
      </c>
      <c r="BB1296" s="5" t="s">
        <v>240</v>
      </c>
      <c r="BD1296" s="5" t="s">
        <v>240</v>
      </c>
      <c r="BF1296" s="5" t="s">
        <v>301</v>
      </c>
      <c r="BG1296" s="6" t="s">
        <v>299</v>
      </c>
      <c r="BH1296" s="5" t="s">
        <v>302</v>
      </c>
      <c r="BI1296" s="5" t="s">
        <v>303</v>
      </c>
      <c r="BJ1296" s="5" t="s">
        <v>240</v>
      </c>
      <c r="BK1296" s="8">
        <f>0</f>
        <v>0</v>
      </c>
      <c r="BL1296" s="7">
        <f>0</f>
        <v>0</v>
      </c>
      <c r="BM1296" s="5" t="s">
        <v>258</v>
      </c>
      <c r="BN1296" s="5" t="s">
        <v>259</v>
      </c>
      <c r="CB1296" s="5" t="s">
        <v>240</v>
      </c>
      <c r="CC1296" s="5" t="s">
        <v>240</v>
      </c>
      <c r="CG1296" s="5" t="s">
        <v>304</v>
      </c>
      <c r="CH1296" s="5" t="s">
        <v>305</v>
      </c>
      <c r="CI1296" s="5" t="s">
        <v>240</v>
      </c>
      <c r="CL1296" s="6" t="s">
        <v>261</v>
      </c>
      <c r="CM1296" s="5" t="s">
        <v>240</v>
      </c>
      <c r="CN1296" s="5" t="s">
        <v>263</v>
      </c>
      <c r="CO1296" s="5" t="s">
        <v>240</v>
      </c>
      <c r="CP1296" s="5" t="s">
        <v>240</v>
      </c>
      <c r="CQ1296" s="5">
        <v>0</v>
      </c>
      <c r="CR1296" s="5" t="s">
        <v>306</v>
      </c>
      <c r="CS1296" s="5" t="s">
        <v>307</v>
      </c>
      <c r="CT1296" s="5" t="s">
        <v>307</v>
      </c>
      <c r="CU1296" s="5" t="s">
        <v>260</v>
      </c>
      <c r="CX1296" s="7">
        <f>1</f>
        <v>1</v>
      </c>
      <c r="CY1296" s="7">
        <f>0</f>
        <v>0</v>
      </c>
      <c r="DA1296" s="7">
        <f>0</f>
        <v>0</v>
      </c>
      <c r="DC1296" s="5" t="s">
        <v>812</v>
      </c>
      <c r="DD1296" s="5" t="s">
        <v>240</v>
      </c>
      <c r="DF1296" s="5" t="s">
        <v>812</v>
      </c>
      <c r="DG1296" s="7">
        <f>1917</f>
        <v>1917</v>
      </c>
      <c r="DI1296" s="5" t="s">
        <v>240</v>
      </c>
      <c r="DJ1296" s="5" t="s">
        <v>240</v>
      </c>
      <c r="DK1296" s="5" t="s">
        <v>240</v>
      </c>
      <c r="DL1296" s="5" t="s">
        <v>240</v>
      </c>
      <c r="DP1296" s="5" t="s">
        <v>240</v>
      </c>
      <c r="DQ1296" s="5" t="s">
        <v>240</v>
      </c>
      <c r="DR1296" s="5" t="s">
        <v>240</v>
      </c>
      <c r="DS1296" s="5" t="s">
        <v>240</v>
      </c>
      <c r="DV1296" s="5" t="s">
        <v>813</v>
      </c>
      <c r="DW1296" s="5" t="s">
        <v>2720</v>
      </c>
      <c r="HO1296" s="5" t="s">
        <v>312</v>
      </c>
    </row>
    <row r="1297" spans="1:223" x14ac:dyDescent="0.4">
      <c r="A1297" s="5">
        <v>2972</v>
      </c>
      <c r="B1297" s="5">
        <v>1</v>
      </c>
      <c r="C1297" s="5">
        <v>1</v>
      </c>
      <c r="D1297" s="5" t="s">
        <v>297</v>
      </c>
      <c r="E1297" s="5" t="s">
        <v>245</v>
      </c>
      <c r="F1297" s="5" t="s">
        <v>254</v>
      </c>
      <c r="G1297" s="5" t="s">
        <v>240</v>
      </c>
      <c r="H1297" s="6" t="s">
        <v>4919</v>
      </c>
      <c r="I1297" s="5" t="s">
        <v>295</v>
      </c>
      <c r="J1297" s="8">
        <f>9994</f>
        <v>9994</v>
      </c>
      <c r="K1297" s="5" t="s">
        <v>308</v>
      </c>
      <c r="L1297" s="7">
        <f>1</f>
        <v>1</v>
      </c>
      <c r="M1297" s="7">
        <f>1</f>
        <v>1</v>
      </c>
      <c r="N1297" s="5" t="s">
        <v>242</v>
      </c>
      <c r="O1297" s="5">
        <v>1</v>
      </c>
      <c r="P1297" s="5" t="s">
        <v>294</v>
      </c>
      <c r="Q1297" s="5" t="s">
        <v>266</v>
      </c>
      <c r="R1297" s="5" t="s">
        <v>240</v>
      </c>
      <c r="S1297" s="5" t="s">
        <v>240</v>
      </c>
      <c r="T1297" s="5" t="s">
        <v>296</v>
      </c>
      <c r="U1297" s="5" t="s">
        <v>244</v>
      </c>
      <c r="V1297" s="5" t="s">
        <v>240</v>
      </c>
      <c r="Y1297" s="5" t="s">
        <v>240</v>
      </c>
      <c r="Z1297" s="6" t="s">
        <v>298</v>
      </c>
      <c r="AB1297" s="6" t="s">
        <v>240</v>
      </c>
      <c r="AE1297" s="6" t="s">
        <v>299</v>
      </c>
      <c r="AF1297" s="5" t="s">
        <v>248</v>
      </c>
      <c r="AG1297" s="5" t="s">
        <v>249</v>
      </c>
      <c r="AW1297" s="5" t="s">
        <v>251</v>
      </c>
      <c r="AX1297" s="5" t="s">
        <v>240</v>
      </c>
      <c r="AY1297" s="5" t="s">
        <v>253</v>
      </c>
      <c r="AZ1297" s="5" t="s">
        <v>240</v>
      </c>
      <c r="BA1297" s="5" t="s">
        <v>255</v>
      </c>
      <c r="BB1297" s="5" t="s">
        <v>240</v>
      </c>
      <c r="BD1297" s="5" t="s">
        <v>240</v>
      </c>
      <c r="BF1297" s="5" t="s">
        <v>301</v>
      </c>
      <c r="BG1297" s="6" t="s">
        <v>299</v>
      </c>
      <c r="BH1297" s="5" t="s">
        <v>302</v>
      </c>
      <c r="BI1297" s="5" t="s">
        <v>303</v>
      </c>
      <c r="BJ1297" s="5" t="s">
        <v>240</v>
      </c>
      <c r="BK1297" s="8">
        <f>0</f>
        <v>0</v>
      </c>
      <c r="BL1297" s="7">
        <f>0</f>
        <v>0</v>
      </c>
      <c r="BM1297" s="5" t="s">
        <v>258</v>
      </c>
      <c r="BN1297" s="5" t="s">
        <v>259</v>
      </c>
      <c r="CB1297" s="5" t="s">
        <v>240</v>
      </c>
      <c r="CC1297" s="5" t="s">
        <v>240</v>
      </c>
      <c r="CG1297" s="5" t="s">
        <v>304</v>
      </c>
      <c r="CH1297" s="5" t="s">
        <v>305</v>
      </c>
      <c r="CI1297" s="5" t="s">
        <v>240</v>
      </c>
      <c r="CL1297" s="6" t="s">
        <v>261</v>
      </c>
      <c r="CM1297" s="5" t="s">
        <v>240</v>
      </c>
      <c r="CN1297" s="5" t="s">
        <v>263</v>
      </c>
      <c r="CO1297" s="5" t="s">
        <v>240</v>
      </c>
      <c r="CP1297" s="5" t="s">
        <v>240</v>
      </c>
      <c r="CQ1297" s="5">
        <v>0</v>
      </c>
      <c r="CR1297" s="5" t="s">
        <v>306</v>
      </c>
      <c r="CS1297" s="5" t="s">
        <v>307</v>
      </c>
      <c r="CT1297" s="5" t="s">
        <v>307</v>
      </c>
      <c r="CU1297" s="5" t="s">
        <v>260</v>
      </c>
      <c r="CX1297" s="7">
        <f>1</f>
        <v>1</v>
      </c>
      <c r="CY1297" s="7">
        <f>0</f>
        <v>0</v>
      </c>
      <c r="DA1297" s="7">
        <f>0</f>
        <v>0</v>
      </c>
      <c r="DC1297" s="5" t="s">
        <v>812</v>
      </c>
      <c r="DD1297" s="5" t="s">
        <v>240</v>
      </c>
      <c r="DF1297" s="5" t="s">
        <v>812</v>
      </c>
      <c r="DG1297" s="7">
        <f>2290</f>
        <v>2290</v>
      </c>
      <c r="DI1297" s="5" t="s">
        <v>240</v>
      </c>
      <c r="DJ1297" s="5" t="s">
        <v>240</v>
      </c>
      <c r="DK1297" s="5" t="s">
        <v>240</v>
      </c>
      <c r="DL1297" s="5" t="s">
        <v>240</v>
      </c>
      <c r="DP1297" s="5" t="s">
        <v>240</v>
      </c>
      <c r="DQ1297" s="5" t="s">
        <v>240</v>
      </c>
      <c r="DR1297" s="5" t="s">
        <v>240</v>
      </c>
      <c r="DS1297" s="5" t="s">
        <v>240</v>
      </c>
      <c r="DV1297" s="5" t="s">
        <v>813</v>
      </c>
      <c r="DW1297" s="5" t="s">
        <v>2722</v>
      </c>
      <c r="HO1297" s="5" t="s">
        <v>312</v>
      </c>
    </row>
    <row r="1298" spans="1:223" x14ac:dyDescent="0.4">
      <c r="A1298" s="5">
        <v>2973</v>
      </c>
      <c r="B1298" s="5">
        <v>1</v>
      </c>
      <c r="C1298" s="5">
        <v>1</v>
      </c>
      <c r="D1298" s="5" t="s">
        <v>297</v>
      </c>
      <c r="E1298" s="5" t="s">
        <v>245</v>
      </c>
      <c r="F1298" s="5" t="s">
        <v>254</v>
      </c>
      <c r="G1298" s="5" t="s">
        <v>240</v>
      </c>
      <c r="H1298" s="6" t="s">
        <v>5980</v>
      </c>
      <c r="I1298" s="5" t="s">
        <v>295</v>
      </c>
      <c r="J1298" s="8">
        <f>1975</f>
        <v>1975</v>
      </c>
      <c r="K1298" s="5" t="s">
        <v>308</v>
      </c>
      <c r="L1298" s="7">
        <f>1</f>
        <v>1</v>
      </c>
      <c r="M1298" s="7">
        <f>1</f>
        <v>1</v>
      </c>
      <c r="N1298" s="5" t="s">
        <v>242</v>
      </c>
      <c r="O1298" s="5">
        <v>1</v>
      </c>
      <c r="P1298" s="5" t="s">
        <v>294</v>
      </c>
      <c r="Q1298" s="5" t="s">
        <v>266</v>
      </c>
      <c r="R1298" s="5" t="s">
        <v>240</v>
      </c>
      <c r="S1298" s="5" t="s">
        <v>240</v>
      </c>
      <c r="T1298" s="5" t="s">
        <v>296</v>
      </c>
      <c r="U1298" s="5" t="s">
        <v>244</v>
      </c>
      <c r="V1298" s="5" t="s">
        <v>240</v>
      </c>
      <c r="Y1298" s="5" t="s">
        <v>240</v>
      </c>
      <c r="Z1298" s="6" t="s">
        <v>298</v>
      </c>
      <c r="AB1298" s="6" t="s">
        <v>240</v>
      </c>
      <c r="AE1298" s="6" t="s">
        <v>299</v>
      </c>
      <c r="AF1298" s="5" t="s">
        <v>248</v>
      </c>
      <c r="AG1298" s="5" t="s">
        <v>249</v>
      </c>
      <c r="AW1298" s="5" t="s">
        <v>251</v>
      </c>
      <c r="AX1298" s="5" t="s">
        <v>240</v>
      </c>
      <c r="AY1298" s="5" t="s">
        <v>253</v>
      </c>
      <c r="AZ1298" s="5" t="s">
        <v>240</v>
      </c>
      <c r="BA1298" s="5" t="s">
        <v>255</v>
      </c>
      <c r="BB1298" s="5" t="s">
        <v>240</v>
      </c>
      <c r="BD1298" s="5" t="s">
        <v>240</v>
      </c>
      <c r="BF1298" s="5" t="s">
        <v>301</v>
      </c>
      <c r="BG1298" s="6" t="s">
        <v>299</v>
      </c>
      <c r="BH1298" s="5" t="s">
        <v>302</v>
      </c>
      <c r="BI1298" s="5" t="s">
        <v>303</v>
      </c>
      <c r="BJ1298" s="5" t="s">
        <v>240</v>
      </c>
      <c r="BK1298" s="8">
        <f>0</f>
        <v>0</v>
      </c>
      <c r="BL1298" s="7">
        <f>0</f>
        <v>0</v>
      </c>
      <c r="BM1298" s="5" t="s">
        <v>258</v>
      </c>
      <c r="BN1298" s="5" t="s">
        <v>259</v>
      </c>
      <c r="CB1298" s="5" t="s">
        <v>240</v>
      </c>
      <c r="CC1298" s="5" t="s">
        <v>240</v>
      </c>
      <c r="CG1298" s="5" t="s">
        <v>304</v>
      </c>
      <c r="CH1298" s="5" t="s">
        <v>305</v>
      </c>
      <c r="CI1298" s="5" t="s">
        <v>240</v>
      </c>
      <c r="CL1298" s="6" t="s">
        <v>261</v>
      </c>
      <c r="CM1298" s="5" t="s">
        <v>240</v>
      </c>
      <c r="CN1298" s="5" t="s">
        <v>263</v>
      </c>
      <c r="CO1298" s="5" t="s">
        <v>240</v>
      </c>
      <c r="CP1298" s="5" t="s">
        <v>240</v>
      </c>
      <c r="CQ1298" s="5">
        <v>0</v>
      </c>
      <c r="CR1298" s="5" t="s">
        <v>306</v>
      </c>
      <c r="CS1298" s="5" t="s">
        <v>307</v>
      </c>
      <c r="CT1298" s="5" t="s">
        <v>307</v>
      </c>
      <c r="CU1298" s="5" t="s">
        <v>260</v>
      </c>
      <c r="CX1298" s="7">
        <f>1</f>
        <v>1</v>
      </c>
      <c r="CY1298" s="7">
        <f>0</f>
        <v>0</v>
      </c>
      <c r="DA1298" s="7">
        <f>0</f>
        <v>0</v>
      </c>
      <c r="DC1298" s="5" t="s">
        <v>812</v>
      </c>
      <c r="DD1298" s="5" t="s">
        <v>240</v>
      </c>
      <c r="DF1298" s="5" t="s">
        <v>812</v>
      </c>
      <c r="DG1298" s="7">
        <f>474</f>
        <v>474</v>
      </c>
      <c r="DI1298" s="5" t="s">
        <v>240</v>
      </c>
      <c r="DJ1298" s="5" t="s">
        <v>240</v>
      </c>
      <c r="DK1298" s="5" t="s">
        <v>240</v>
      </c>
      <c r="DL1298" s="5" t="s">
        <v>240</v>
      </c>
      <c r="DP1298" s="5" t="s">
        <v>240</v>
      </c>
      <c r="DQ1298" s="5" t="s">
        <v>240</v>
      </c>
      <c r="DR1298" s="5" t="s">
        <v>240</v>
      </c>
      <c r="DS1298" s="5" t="s">
        <v>240</v>
      </c>
      <c r="DV1298" s="5" t="s">
        <v>813</v>
      </c>
      <c r="DW1298" s="5" t="s">
        <v>2724</v>
      </c>
      <c r="HO1298" s="5" t="s">
        <v>312</v>
      </c>
    </row>
    <row r="1299" spans="1:223" x14ac:dyDescent="0.4">
      <c r="A1299" s="5">
        <v>2974</v>
      </c>
      <c r="B1299" s="5">
        <v>1</v>
      </c>
      <c r="C1299" s="5">
        <v>1</v>
      </c>
      <c r="D1299" s="5" t="s">
        <v>297</v>
      </c>
      <c r="E1299" s="5" t="s">
        <v>245</v>
      </c>
      <c r="F1299" s="5" t="s">
        <v>254</v>
      </c>
      <c r="G1299" s="5" t="s">
        <v>240</v>
      </c>
      <c r="H1299" s="6" t="s">
        <v>4917</v>
      </c>
      <c r="I1299" s="5" t="s">
        <v>295</v>
      </c>
      <c r="J1299" s="8">
        <f>2590</f>
        <v>2590</v>
      </c>
      <c r="K1299" s="5" t="s">
        <v>308</v>
      </c>
      <c r="L1299" s="7">
        <f>1</f>
        <v>1</v>
      </c>
      <c r="M1299" s="7">
        <f>1</f>
        <v>1</v>
      </c>
      <c r="N1299" s="5" t="s">
        <v>242</v>
      </c>
      <c r="O1299" s="5">
        <v>1</v>
      </c>
      <c r="P1299" s="5" t="s">
        <v>294</v>
      </c>
      <c r="Q1299" s="5" t="s">
        <v>266</v>
      </c>
      <c r="R1299" s="5" t="s">
        <v>240</v>
      </c>
      <c r="S1299" s="5" t="s">
        <v>240</v>
      </c>
      <c r="T1299" s="5" t="s">
        <v>296</v>
      </c>
      <c r="U1299" s="5" t="s">
        <v>244</v>
      </c>
      <c r="V1299" s="5" t="s">
        <v>240</v>
      </c>
      <c r="Y1299" s="5" t="s">
        <v>240</v>
      </c>
      <c r="Z1299" s="6" t="s">
        <v>298</v>
      </c>
      <c r="AB1299" s="6" t="s">
        <v>240</v>
      </c>
      <c r="AE1299" s="6" t="s">
        <v>299</v>
      </c>
      <c r="AF1299" s="5" t="s">
        <v>248</v>
      </c>
      <c r="AG1299" s="5" t="s">
        <v>249</v>
      </c>
      <c r="AW1299" s="5" t="s">
        <v>251</v>
      </c>
      <c r="AX1299" s="5" t="s">
        <v>240</v>
      </c>
      <c r="AY1299" s="5" t="s">
        <v>253</v>
      </c>
      <c r="AZ1299" s="5" t="s">
        <v>240</v>
      </c>
      <c r="BA1299" s="5" t="s">
        <v>255</v>
      </c>
      <c r="BB1299" s="5" t="s">
        <v>240</v>
      </c>
      <c r="BD1299" s="5" t="s">
        <v>240</v>
      </c>
      <c r="BF1299" s="5" t="s">
        <v>301</v>
      </c>
      <c r="BG1299" s="6" t="s">
        <v>299</v>
      </c>
      <c r="BH1299" s="5" t="s">
        <v>302</v>
      </c>
      <c r="BI1299" s="5" t="s">
        <v>303</v>
      </c>
      <c r="BJ1299" s="5" t="s">
        <v>240</v>
      </c>
      <c r="BK1299" s="8">
        <f>0</f>
        <v>0</v>
      </c>
      <c r="BL1299" s="7">
        <f>0</f>
        <v>0</v>
      </c>
      <c r="BM1299" s="5" t="s">
        <v>258</v>
      </c>
      <c r="BN1299" s="5" t="s">
        <v>259</v>
      </c>
      <c r="CB1299" s="5" t="s">
        <v>240</v>
      </c>
      <c r="CC1299" s="5" t="s">
        <v>240</v>
      </c>
      <c r="CG1299" s="5" t="s">
        <v>304</v>
      </c>
      <c r="CH1299" s="5" t="s">
        <v>305</v>
      </c>
      <c r="CI1299" s="5" t="s">
        <v>240</v>
      </c>
      <c r="CL1299" s="6" t="s">
        <v>261</v>
      </c>
      <c r="CM1299" s="5" t="s">
        <v>240</v>
      </c>
      <c r="CN1299" s="5" t="s">
        <v>263</v>
      </c>
      <c r="CO1299" s="5" t="s">
        <v>240</v>
      </c>
      <c r="CP1299" s="5" t="s">
        <v>240</v>
      </c>
      <c r="CQ1299" s="5">
        <v>0</v>
      </c>
      <c r="CR1299" s="5" t="s">
        <v>306</v>
      </c>
      <c r="CS1299" s="5" t="s">
        <v>307</v>
      </c>
      <c r="CT1299" s="5" t="s">
        <v>307</v>
      </c>
      <c r="CU1299" s="5" t="s">
        <v>260</v>
      </c>
      <c r="CX1299" s="7">
        <f>1</f>
        <v>1</v>
      </c>
      <c r="CY1299" s="7">
        <f>0</f>
        <v>0</v>
      </c>
      <c r="DA1299" s="7">
        <f>0</f>
        <v>0</v>
      </c>
      <c r="DC1299" s="5" t="s">
        <v>812</v>
      </c>
      <c r="DD1299" s="5" t="s">
        <v>240</v>
      </c>
      <c r="DF1299" s="5" t="s">
        <v>812</v>
      </c>
      <c r="DG1299" s="7">
        <f>334</f>
        <v>334</v>
      </c>
      <c r="DI1299" s="5" t="s">
        <v>240</v>
      </c>
      <c r="DJ1299" s="5" t="s">
        <v>240</v>
      </c>
      <c r="DK1299" s="5" t="s">
        <v>240</v>
      </c>
      <c r="DL1299" s="5" t="s">
        <v>240</v>
      </c>
      <c r="DP1299" s="5" t="s">
        <v>240</v>
      </c>
      <c r="DQ1299" s="5" t="s">
        <v>240</v>
      </c>
      <c r="DR1299" s="5" t="s">
        <v>240</v>
      </c>
      <c r="DS1299" s="5" t="s">
        <v>240</v>
      </c>
      <c r="DV1299" s="5" t="s">
        <v>813</v>
      </c>
      <c r="DW1299" s="5" t="s">
        <v>2726</v>
      </c>
      <c r="HO1299" s="5" t="s">
        <v>312</v>
      </c>
    </row>
    <row r="1300" spans="1:223" x14ac:dyDescent="0.4">
      <c r="A1300" s="5">
        <v>2975</v>
      </c>
      <c r="B1300" s="5">
        <v>1</v>
      </c>
      <c r="C1300" s="5">
        <v>1</v>
      </c>
      <c r="D1300" s="5" t="s">
        <v>297</v>
      </c>
      <c r="E1300" s="5" t="s">
        <v>245</v>
      </c>
      <c r="F1300" s="5" t="s">
        <v>254</v>
      </c>
      <c r="G1300" s="5" t="s">
        <v>240</v>
      </c>
      <c r="H1300" s="6" t="s">
        <v>5979</v>
      </c>
      <c r="I1300" s="5" t="s">
        <v>295</v>
      </c>
      <c r="J1300" s="8">
        <f>2746</f>
        <v>2746</v>
      </c>
      <c r="K1300" s="5" t="s">
        <v>308</v>
      </c>
      <c r="L1300" s="7">
        <f>1</f>
        <v>1</v>
      </c>
      <c r="M1300" s="7">
        <f>1</f>
        <v>1</v>
      </c>
      <c r="N1300" s="5" t="s">
        <v>242</v>
      </c>
      <c r="O1300" s="5">
        <v>1</v>
      </c>
      <c r="P1300" s="5" t="s">
        <v>294</v>
      </c>
      <c r="Q1300" s="5" t="s">
        <v>266</v>
      </c>
      <c r="R1300" s="5" t="s">
        <v>240</v>
      </c>
      <c r="S1300" s="5" t="s">
        <v>240</v>
      </c>
      <c r="T1300" s="5" t="s">
        <v>296</v>
      </c>
      <c r="U1300" s="5" t="s">
        <v>244</v>
      </c>
      <c r="V1300" s="5" t="s">
        <v>240</v>
      </c>
      <c r="Y1300" s="5" t="s">
        <v>240</v>
      </c>
      <c r="Z1300" s="6" t="s">
        <v>298</v>
      </c>
      <c r="AB1300" s="6" t="s">
        <v>240</v>
      </c>
      <c r="AE1300" s="6" t="s">
        <v>299</v>
      </c>
      <c r="AF1300" s="5" t="s">
        <v>248</v>
      </c>
      <c r="AG1300" s="5" t="s">
        <v>249</v>
      </c>
      <c r="AW1300" s="5" t="s">
        <v>251</v>
      </c>
      <c r="AX1300" s="5" t="s">
        <v>240</v>
      </c>
      <c r="AY1300" s="5" t="s">
        <v>253</v>
      </c>
      <c r="AZ1300" s="5" t="s">
        <v>240</v>
      </c>
      <c r="BA1300" s="5" t="s">
        <v>255</v>
      </c>
      <c r="BB1300" s="5" t="s">
        <v>240</v>
      </c>
      <c r="BD1300" s="5" t="s">
        <v>240</v>
      </c>
      <c r="BF1300" s="5" t="s">
        <v>301</v>
      </c>
      <c r="BG1300" s="6" t="s">
        <v>299</v>
      </c>
      <c r="BH1300" s="5" t="s">
        <v>302</v>
      </c>
      <c r="BI1300" s="5" t="s">
        <v>303</v>
      </c>
      <c r="BJ1300" s="5" t="s">
        <v>240</v>
      </c>
      <c r="BK1300" s="8">
        <f>0</f>
        <v>0</v>
      </c>
      <c r="BL1300" s="7">
        <f>0</f>
        <v>0</v>
      </c>
      <c r="BM1300" s="5" t="s">
        <v>258</v>
      </c>
      <c r="BN1300" s="5" t="s">
        <v>259</v>
      </c>
      <c r="CB1300" s="5" t="s">
        <v>240</v>
      </c>
      <c r="CC1300" s="5" t="s">
        <v>240</v>
      </c>
      <c r="CG1300" s="5" t="s">
        <v>304</v>
      </c>
      <c r="CH1300" s="5" t="s">
        <v>305</v>
      </c>
      <c r="CI1300" s="5" t="s">
        <v>240</v>
      </c>
      <c r="CL1300" s="6" t="s">
        <v>261</v>
      </c>
      <c r="CM1300" s="5" t="s">
        <v>240</v>
      </c>
      <c r="CN1300" s="5" t="s">
        <v>263</v>
      </c>
      <c r="CO1300" s="5" t="s">
        <v>240</v>
      </c>
      <c r="CP1300" s="5" t="s">
        <v>240</v>
      </c>
      <c r="CQ1300" s="5">
        <v>0</v>
      </c>
      <c r="CR1300" s="5" t="s">
        <v>306</v>
      </c>
      <c r="CS1300" s="5" t="s">
        <v>307</v>
      </c>
      <c r="CT1300" s="5" t="s">
        <v>307</v>
      </c>
      <c r="CU1300" s="5" t="s">
        <v>260</v>
      </c>
      <c r="CX1300" s="7">
        <f>1</f>
        <v>1</v>
      </c>
      <c r="CY1300" s="7">
        <f>0</f>
        <v>0</v>
      </c>
      <c r="DA1300" s="7">
        <f>0</f>
        <v>0</v>
      </c>
      <c r="DC1300" s="5" t="s">
        <v>812</v>
      </c>
      <c r="DD1300" s="5" t="s">
        <v>240</v>
      </c>
      <c r="DF1300" s="5" t="s">
        <v>812</v>
      </c>
      <c r="DG1300" s="7">
        <f>169</f>
        <v>169</v>
      </c>
      <c r="DI1300" s="5" t="s">
        <v>240</v>
      </c>
      <c r="DJ1300" s="5" t="s">
        <v>240</v>
      </c>
      <c r="DK1300" s="5" t="s">
        <v>240</v>
      </c>
      <c r="DL1300" s="5" t="s">
        <v>240</v>
      </c>
      <c r="DP1300" s="5" t="s">
        <v>240</v>
      </c>
      <c r="DQ1300" s="5" t="s">
        <v>240</v>
      </c>
      <c r="DR1300" s="5" t="s">
        <v>240</v>
      </c>
      <c r="DS1300" s="5" t="s">
        <v>240</v>
      </c>
      <c r="DV1300" s="5" t="s">
        <v>813</v>
      </c>
      <c r="DW1300" s="5" t="s">
        <v>2728</v>
      </c>
      <c r="HO1300" s="5" t="s">
        <v>312</v>
      </c>
    </row>
    <row r="1301" spans="1:223" x14ac:dyDescent="0.4">
      <c r="A1301" s="5">
        <v>2976</v>
      </c>
      <c r="B1301" s="5">
        <v>1</v>
      </c>
      <c r="C1301" s="5">
        <v>1</v>
      </c>
      <c r="D1301" s="5" t="s">
        <v>297</v>
      </c>
      <c r="E1301" s="5" t="s">
        <v>245</v>
      </c>
      <c r="F1301" s="5" t="s">
        <v>254</v>
      </c>
      <c r="G1301" s="5" t="s">
        <v>240</v>
      </c>
      <c r="H1301" s="6" t="s">
        <v>4915</v>
      </c>
      <c r="I1301" s="5" t="s">
        <v>295</v>
      </c>
      <c r="J1301" s="8">
        <f>322</f>
        <v>322</v>
      </c>
      <c r="K1301" s="5" t="s">
        <v>308</v>
      </c>
      <c r="L1301" s="7">
        <f>1</f>
        <v>1</v>
      </c>
      <c r="M1301" s="7">
        <f>1</f>
        <v>1</v>
      </c>
      <c r="N1301" s="5" t="s">
        <v>242</v>
      </c>
      <c r="O1301" s="5">
        <v>1</v>
      </c>
      <c r="P1301" s="5" t="s">
        <v>294</v>
      </c>
      <c r="Q1301" s="5" t="s">
        <v>266</v>
      </c>
      <c r="R1301" s="5" t="s">
        <v>240</v>
      </c>
      <c r="S1301" s="5" t="s">
        <v>240</v>
      </c>
      <c r="T1301" s="5" t="s">
        <v>296</v>
      </c>
      <c r="U1301" s="5" t="s">
        <v>244</v>
      </c>
      <c r="V1301" s="5" t="s">
        <v>240</v>
      </c>
      <c r="Y1301" s="5" t="s">
        <v>240</v>
      </c>
      <c r="Z1301" s="6" t="s">
        <v>298</v>
      </c>
      <c r="AB1301" s="6" t="s">
        <v>240</v>
      </c>
      <c r="AE1301" s="6" t="s">
        <v>299</v>
      </c>
      <c r="AF1301" s="5" t="s">
        <v>248</v>
      </c>
      <c r="AG1301" s="5" t="s">
        <v>249</v>
      </c>
      <c r="AW1301" s="5" t="s">
        <v>251</v>
      </c>
      <c r="AX1301" s="5" t="s">
        <v>240</v>
      </c>
      <c r="AY1301" s="5" t="s">
        <v>253</v>
      </c>
      <c r="AZ1301" s="5" t="s">
        <v>240</v>
      </c>
      <c r="BA1301" s="5" t="s">
        <v>255</v>
      </c>
      <c r="BB1301" s="5" t="s">
        <v>240</v>
      </c>
      <c r="BD1301" s="5" t="s">
        <v>240</v>
      </c>
      <c r="BF1301" s="5" t="s">
        <v>301</v>
      </c>
      <c r="BG1301" s="6" t="s">
        <v>299</v>
      </c>
      <c r="BH1301" s="5" t="s">
        <v>302</v>
      </c>
      <c r="BI1301" s="5" t="s">
        <v>303</v>
      </c>
      <c r="BJ1301" s="5" t="s">
        <v>240</v>
      </c>
      <c r="BK1301" s="8">
        <f>0</f>
        <v>0</v>
      </c>
      <c r="BL1301" s="7">
        <f>0</f>
        <v>0</v>
      </c>
      <c r="BM1301" s="5" t="s">
        <v>258</v>
      </c>
      <c r="BN1301" s="5" t="s">
        <v>259</v>
      </c>
      <c r="CB1301" s="5" t="s">
        <v>240</v>
      </c>
      <c r="CC1301" s="5" t="s">
        <v>240</v>
      </c>
      <c r="CG1301" s="5" t="s">
        <v>304</v>
      </c>
      <c r="CH1301" s="5" t="s">
        <v>305</v>
      </c>
      <c r="CI1301" s="5" t="s">
        <v>240</v>
      </c>
      <c r="CL1301" s="6" t="s">
        <v>261</v>
      </c>
      <c r="CM1301" s="5" t="s">
        <v>240</v>
      </c>
      <c r="CN1301" s="5" t="s">
        <v>263</v>
      </c>
      <c r="CO1301" s="5" t="s">
        <v>240</v>
      </c>
      <c r="CP1301" s="5" t="s">
        <v>240</v>
      </c>
      <c r="CQ1301" s="5">
        <v>0</v>
      </c>
      <c r="CR1301" s="5" t="s">
        <v>306</v>
      </c>
      <c r="CS1301" s="5" t="s">
        <v>307</v>
      </c>
      <c r="CT1301" s="5" t="s">
        <v>307</v>
      </c>
      <c r="CU1301" s="5" t="s">
        <v>260</v>
      </c>
      <c r="CX1301" s="7">
        <f>1</f>
        <v>1</v>
      </c>
      <c r="CY1301" s="7">
        <f>0</f>
        <v>0</v>
      </c>
      <c r="DA1301" s="7">
        <f>0</f>
        <v>0</v>
      </c>
      <c r="DC1301" s="5" t="s">
        <v>812</v>
      </c>
      <c r="DD1301" s="5" t="s">
        <v>240</v>
      </c>
      <c r="DF1301" s="5" t="s">
        <v>812</v>
      </c>
      <c r="DG1301" s="7">
        <f>638</f>
        <v>638</v>
      </c>
      <c r="DI1301" s="5" t="s">
        <v>240</v>
      </c>
      <c r="DJ1301" s="5" t="s">
        <v>240</v>
      </c>
      <c r="DK1301" s="5" t="s">
        <v>240</v>
      </c>
      <c r="DL1301" s="5" t="s">
        <v>240</v>
      </c>
      <c r="DP1301" s="5" t="s">
        <v>240</v>
      </c>
      <c r="DQ1301" s="5" t="s">
        <v>240</v>
      </c>
      <c r="DR1301" s="5" t="s">
        <v>240</v>
      </c>
      <c r="DS1301" s="5" t="s">
        <v>240</v>
      </c>
      <c r="DV1301" s="5" t="s">
        <v>813</v>
      </c>
      <c r="DW1301" s="5" t="s">
        <v>2730</v>
      </c>
      <c r="HO1301" s="5" t="s">
        <v>312</v>
      </c>
    </row>
    <row r="1302" spans="1:223" x14ac:dyDescent="0.4">
      <c r="A1302" s="5">
        <v>2977</v>
      </c>
      <c r="B1302" s="5">
        <v>1</v>
      </c>
      <c r="C1302" s="5">
        <v>1</v>
      </c>
      <c r="D1302" s="5" t="s">
        <v>297</v>
      </c>
      <c r="E1302" s="5" t="s">
        <v>245</v>
      </c>
      <c r="F1302" s="5" t="s">
        <v>254</v>
      </c>
      <c r="G1302" s="5" t="s">
        <v>240</v>
      </c>
      <c r="H1302" s="6" t="s">
        <v>5978</v>
      </c>
      <c r="I1302" s="5" t="s">
        <v>295</v>
      </c>
      <c r="J1302" s="8">
        <f>1884</f>
        <v>1884</v>
      </c>
      <c r="K1302" s="5" t="s">
        <v>308</v>
      </c>
      <c r="L1302" s="7">
        <f>1</f>
        <v>1</v>
      </c>
      <c r="M1302" s="7">
        <f>1</f>
        <v>1</v>
      </c>
      <c r="N1302" s="5" t="s">
        <v>242</v>
      </c>
      <c r="O1302" s="5">
        <v>1</v>
      </c>
      <c r="P1302" s="5" t="s">
        <v>294</v>
      </c>
      <c r="Q1302" s="5" t="s">
        <v>613</v>
      </c>
      <c r="R1302" s="5" t="s">
        <v>240</v>
      </c>
      <c r="S1302" s="5" t="s">
        <v>240</v>
      </c>
      <c r="T1302" s="5" t="s">
        <v>243</v>
      </c>
      <c r="U1302" s="5" t="s">
        <v>244</v>
      </c>
      <c r="V1302" s="5" t="s">
        <v>240</v>
      </c>
      <c r="Y1302" s="5" t="s">
        <v>240</v>
      </c>
      <c r="Z1302" s="6" t="s">
        <v>298</v>
      </c>
      <c r="AB1302" s="6" t="s">
        <v>240</v>
      </c>
      <c r="AE1302" s="6" t="s">
        <v>299</v>
      </c>
      <c r="AF1302" s="5" t="s">
        <v>248</v>
      </c>
      <c r="AG1302" s="5" t="s">
        <v>249</v>
      </c>
      <c r="AW1302" s="5" t="s">
        <v>251</v>
      </c>
      <c r="AX1302" s="5" t="s">
        <v>240</v>
      </c>
      <c r="AY1302" s="5" t="s">
        <v>253</v>
      </c>
      <c r="AZ1302" s="5" t="s">
        <v>240</v>
      </c>
      <c r="BA1302" s="5" t="s">
        <v>255</v>
      </c>
      <c r="BB1302" s="5" t="s">
        <v>240</v>
      </c>
      <c r="BD1302" s="5" t="s">
        <v>842</v>
      </c>
      <c r="BF1302" s="5" t="s">
        <v>301</v>
      </c>
      <c r="BG1302" s="6" t="s">
        <v>299</v>
      </c>
      <c r="BH1302" s="5" t="s">
        <v>302</v>
      </c>
      <c r="BI1302" s="5" t="s">
        <v>2735</v>
      </c>
      <c r="BJ1302" s="5" t="s">
        <v>240</v>
      </c>
      <c r="BK1302" s="8">
        <f>0</f>
        <v>0</v>
      </c>
      <c r="BL1302" s="7">
        <f>0</f>
        <v>0</v>
      </c>
      <c r="BM1302" s="5" t="s">
        <v>258</v>
      </c>
      <c r="BN1302" s="5" t="s">
        <v>259</v>
      </c>
      <c r="CB1302" s="5" t="s">
        <v>240</v>
      </c>
      <c r="CC1302" s="5" t="s">
        <v>240</v>
      </c>
      <c r="CG1302" s="5" t="s">
        <v>617</v>
      </c>
      <c r="CH1302" s="5" t="s">
        <v>305</v>
      </c>
      <c r="CI1302" s="5" t="s">
        <v>240</v>
      </c>
      <c r="CL1302" s="6" t="s">
        <v>261</v>
      </c>
      <c r="CM1302" s="5" t="s">
        <v>240</v>
      </c>
      <c r="CN1302" s="5" t="s">
        <v>263</v>
      </c>
      <c r="CO1302" s="5" t="s">
        <v>240</v>
      </c>
      <c r="CP1302" s="5" t="s">
        <v>240</v>
      </c>
      <c r="CQ1302" s="5">
        <v>0</v>
      </c>
      <c r="CR1302" s="5" t="s">
        <v>306</v>
      </c>
      <c r="CS1302" s="5" t="s">
        <v>307</v>
      </c>
      <c r="CT1302" s="5" t="s">
        <v>307</v>
      </c>
      <c r="CU1302" s="5" t="s">
        <v>260</v>
      </c>
      <c r="CX1302" s="7">
        <f>2097893</f>
        <v>2097893</v>
      </c>
      <c r="CY1302" s="7">
        <f>0</f>
        <v>0</v>
      </c>
      <c r="DA1302" s="7">
        <f>0</f>
        <v>0</v>
      </c>
      <c r="DC1302" s="5" t="s">
        <v>689</v>
      </c>
      <c r="DD1302" s="5" t="s">
        <v>240</v>
      </c>
      <c r="DF1302" s="5" t="s">
        <v>689</v>
      </c>
      <c r="DG1302" s="7">
        <f>947.13</f>
        <v>947.13</v>
      </c>
      <c r="DH1302" s="6" t="s">
        <v>2736</v>
      </c>
      <c r="DI1302" s="5" t="s">
        <v>618</v>
      </c>
      <c r="DJ1302" s="5" t="s">
        <v>240</v>
      </c>
      <c r="DK1302" s="5" t="s">
        <v>240</v>
      </c>
      <c r="DL1302" s="5" t="s">
        <v>240</v>
      </c>
      <c r="DP1302" s="5" t="s">
        <v>240</v>
      </c>
      <c r="DQ1302" s="5" t="s">
        <v>240</v>
      </c>
      <c r="DR1302" s="5" t="s">
        <v>240</v>
      </c>
      <c r="DS1302" s="5" t="s">
        <v>240</v>
      </c>
      <c r="DV1302" s="5" t="s">
        <v>2737</v>
      </c>
      <c r="DW1302" s="5" t="s">
        <v>312</v>
      </c>
      <c r="HO1302" s="5" t="s">
        <v>621</v>
      </c>
    </row>
    <row r="1303" spans="1:223" x14ac:dyDescent="0.4">
      <c r="A1303" s="5">
        <v>2978</v>
      </c>
      <c r="B1303" s="5">
        <v>1</v>
      </c>
      <c r="C1303" s="5">
        <v>1</v>
      </c>
      <c r="D1303" s="5" t="s">
        <v>297</v>
      </c>
      <c r="E1303" s="5" t="s">
        <v>245</v>
      </c>
      <c r="F1303" s="5" t="s">
        <v>254</v>
      </c>
      <c r="G1303" s="5" t="s">
        <v>240</v>
      </c>
      <c r="H1303" s="6" t="s">
        <v>4913</v>
      </c>
      <c r="I1303" s="5" t="s">
        <v>295</v>
      </c>
      <c r="J1303" s="8">
        <f>1921</f>
        <v>1921</v>
      </c>
      <c r="K1303" s="5" t="s">
        <v>308</v>
      </c>
      <c r="L1303" s="7">
        <f>1</f>
        <v>1</v>
      </c>
      <c r="M1303" s="7">
        <f>1</f>
        <v>1</v>
      </c>
      <c r="N1303" s="5" t="s">
        <v>242</v>
      </c>
      <c r="O1303" s="5">
        <v>1</v>
      </c>
      <c r="P1303" s="5" t="s">
        <v>294</v>
      </c>
      <c r="Q1303" s="5" t="s">
        <v>266</v>
      </c>
      <c r="R1303" s="5" t="s">
        <v>240</v>
      </c>
      <c r="S1303" s="5" t="s">
        <v>240</v>
      </c>
      <c r="T1303" s="5" t="s">
        <v>296</v>
      </c>
      <c r="U1303" s="5" t="s">
        <v>244</v>
      </c>
      <c r="V1303" s="5" t="s">
        <v>240</v>
      </c>
      <c r="Y1303" s="5" t="s">
        <v>240</v>
      </c>
      <c r="Z1303" s="6" t="s">
        <v>298</v>
      </c>
      <c r="AB1303" s="6" t="s">
        <v>240</v>
      </c>
      <c r="AE1303" s="6" t="s">
        <v>299</v>
      </c>
      <c r="AF1303" s="5" t="s">
        <v>248</v>
      </c>
      <c r="AG1303" s="5" t="s">
        <v>249</v>
      </c>
      <c r="AW1303" s="5" t="s">
        <v>251</v>
      </c>
      <c r="AX1303" s="5" t="s">
        <v>240</v>
      </c>
      <c r="AY1303" s="5" t="s">
        <v>253</v>
      </c>
      <c r="AZ1303" s="5" t="s">
        <v>240</v>
      </c>
      <c r="BA1303" s="5" t="s">
        <v>255</v>
      </c>
      <c r="BB1303" s="5" t="s">
        <v>240</v>
      </c>
      <c r="BD1303" s="5" t="s">
        <v>240</v>
      </c>
      <c r="BF1303" s="5" t="s">
        <v>301</v>
      </c>
      <c r="BG1303" s="6" t="s">
        <v>299</v>
      </c>
      <c r="BH1303" s="5" t="s">
        <v>302</v>
      </c>
      <c r="BI1303" s="5" t="s">
        <v>303</v>
      </c>
      <c r="BJ1303" s="5" t="s">
        <v>240</v>
      </c>
      <c r="BK1303" s="8">
        <f>0</f>
        <v>0</v>
      </c>
      <c r="BL1303" s="7">
        <f>0</f>
        <v>0</v>
      </c>
      <c r="BM1303" s="5" t="s">
        <v>258</v>
      </c>
      <c r="BN1303" s="5" t="s">
        <v>259</v>
      </c>
      <c r="CB1303" s="5" t="s">
        <v>240</v>
      </c>
      <c r="CC1303" s="5" t="s">
        <v>240</v>
      </c>
      <c r="CG1303" s="5" t="s">
        <v>304</v>
      </c>
      <c r="CH1303" s="5" t="s">
        <v>305</v>
      </c>
      <c r="CI1303" s="5" t="s">
        <v>240</v>
      </c>
      <c r="CL1303" s="6" t="s">
        <v>261</v>
      </c>
      <c r="CM1303" s="5" t="s">
        <v>240</v>
      </c>
      <c r="CN1303" s="5" t="s">
        <v>263</v>
      </c>
      <c r="CO1303" s="5" t="s">
        <v>240</v>
      </c>
      <c r="CP1303" s="5" t="s">
        <v>240</v>
      </c>
      <c r="CQ1303" s="5">
        <v>0</v>
      </c>
      <c r="CR1303" s="5" t="s">
        <v>306</v>
      </c>
      <c r="CS1303" s="5" t="s">
        <v>307</v>
      </c>
      <c r="CT1303" s="5" t="s">
        <v>307</v>
      </c>
      <c r="CU1303" s="5" t="s">
        <v>260</v>
      </c>
      <c r="CX1303" s="7">
        <f>1</f>
        <v>1</v>
      </c>
      <c r="CY1303" s="7">
        <f>0</f>
        <v>0</v>
      </c>
      <c r="DA1303" s="7">
        <f>0</f>
        <v>0</v>
      </c>
      <c r="DC1303" s="5" t="s">
        <v>812</v>
      </c>
      <c r="DD1303" s="5" t="s">
        <v>240</v>
      </c>
      <c r="DF1303" s="5" t="s">
        <v>812</v>
      </c>
      <c r="DG1303" s="7">
        <f>434</f>
        <v>434</v>
      </c>
      <c r="DI1303" s="5" t="s">
        <v>240</v>
      </c>
      <c r="DJ1303" s="5" t="s">
        <v>240</v>
      </c>
      <c r="DK1303" s="5" t="s">
        <v>240</v>
      </c>
      <c r="DL1303" s="5" t="s">
        <v>240</v>
      </c>
      <c r="DP1303" s="5" t="s">
        <v>240</v>
      </c>
      <c r="DQ1303" s="5" t="s">
        <v>240</v>
      </c>
      <c r="DR1303" s="5" t="s">
        <v>240</v>
      </c>
      <c r="DS1303" s="5" t="s">
        <v>240</v>
      </c>
      <c r="DV1303" s="5" t="s">
        <v>813</v>
      </c>
      <c r="DW1303" s="5" t="s">
        <v>2739</v>
      </c>
      <c r="HO1303" s="5" t="s">
        <v>312</v>
      </c>
    </row>
    <row r="1304" spans="1:223" x14ac:dyDescent="0.4">
      <c r="A1304" s="5">
        <v>2979</v>
      </c>
      <c r="B1304" s="5">
        <v>1</v>
      </c>
      <c r="C1304" s="5">
        <v>1</v>
      </c>
      <c r="D1304" s="5" t="s">
        <v>297</v>
      </c>
      <c r="E1304" s="5" t="s">
        <v>245</v>
      </c>
      <c r="F1304" s="5" t="s">
        <v>254</v>
      </c>
      <c r="G1304" s="5" t="s">
        <v>240</v>
      </c>
      <c r="H1304" s="6" t="s">
        <v>4912</v>
      </c>
      <c r="I1304" s="5" t="s">
        <v>295</v>
      </c>
      <c r="J1304" s="8">
        <f>4303</f>
        <v>4303</v>
      </c>
      <c r="K1304" s="5" t="s">
        <v>308</v>
      </c>
      <c r="L1304" s="7">
        <f>1</f>
        <v>1</v>
      </c>
      <c r="M1304" s="7">
        <f>1</f>
        <v>1</v>
      </c>
      <c r="N1304" s="5" t="s">
        <v>242</v>
      </c>
      <c r="O1304" s="5">
        <v>1</v>
      </c>
      <c r="P1304" s="5" t="s">
        <v>294</v>
      </c>
      <c r="Q1304" s="5" t="s">
        <v>266</v>
      </c>
      <c r="R1304" s="5" t="s">
        <v>240</v>
      </c>
      <c r="S1304" s="5" t="s">
        <v>240</v>
      </c>
      <c r="T1304" s="5" t="s">
        <v>296</v>
      </c>
      <c r="U1304" s="5" t="s">
        <v>244</v>
      </c>
      <c r="V1304" s="5" t="s">
        <v>240</v>
      </c>
      <c r="Y1304" s="5" t="s">
        <v>240</v>
      </c>
      <c r="Z1304" s="6" t="s">
        <v>298</v>
      </c>
      <c r="AB1304" s="6" t="s">
        <v>240</v>
      </c>
      <c r="AE1304" s="6" t="s">
        <v>299</v>
      </c>
      <c r="AF1304" s="5" t="s">
        <v>248</v>
      </c>
      <c r="AG1304" s="5" t="s">
        <v>249</v>
      </c>
      <c r="AW1304" s="5" t="s">
        <v>251</v>
      </c>
      <c r="AX1304" s="5" t="s">
        <v>240</v>
      </c>
      <c r="AY1304" s="5" t="s">
        <v>253</v>
      </c>
      <c r="AZ1304" s="5" t="s">
        <v>240</v>
      </c>
      <c r="BA1304" s="5" t="s">
        <v>255</v>
      </c>
      <c r="BB1304" s="5" t="s">
        <v>240</v>
      </c>
      <c r="BD1304" s="5" t="s">
        <v>240</v>
      </c>
      <c r="BF1304" s="5" t="s">
        <v>301</v>
      </c>
      <c r="BG1304" s="6" t="s">
        <v>299</v>
      </c>
      <c r="BH1304" s="5" t="s">
        <v>302</v>
      </c>
      <c r="BI1304" s="5" t="s">
        <v>303</v>
      </c>
      <c r="BJ1304" s="5" t="s">
        <v>240</v>
      </c>
      <c r="BK1304" s="8">
        <f>0</f>
        <v>0</v>
      </c>
      <c r="BL1304" s="7">
        <f>0</f>
        <v>0</v>
      </c>
      <c r="BM1304" s="5" t="s">
        <v>258</v>
      </c>
      <c r="BN1304" s="5" t="s">
        <v>259</v>
      </c>
      <c r="CB1304" s="5" t="s">
        <v>240</v>
      </c>
      <c r="CC1304" s="5" t="s">
        <v>240</v>
      </c>
      <c r="CG1304" s="5" t="s">
        <v>304</v>
      </c>
      <c r="CH1304" s="5" t="s">
        <v>305</v>
      </c>
      <c r="CI1304" s="5" t="s">
        <v>240</v>
      </c>
      <c r="CL1304" s="6" t="s">
        <v>261</v>
      </c>
      <c r="CM1304" s="5" t="s">
        <v>240</v>
      </c>
      <c r="CN1304" s="5" t="s">
        <v>263</v>
      </c>
      <c r="CO1304" s="5" t="s">
        <v>240</v>
      </c>
      <c r="CP1304" s="5" t="s">
        <v>240</v>
      </c>
      <c r="CQ1304" s="5">
        <v>0</v>
      </c>
      <c r="CR1304" s="5" t="s">
        <v>306</v>
      </c>
      <c r="CS1304" s="5" t="s">
        <v>307</v>
      </c>
      <c r="CT1304" s="5" t="s">
        <v>307</v>
      </c>
      <c r="CU1304" s="5" t="s">
        <v>260</v>
      </c>
      <c r="CX1304" s="7">
        <f>1</f>
        <v>1</v>
      </c>
      <c r="CY1304" s="7">
        <f>0</f>
        <v>0</v>
      </c>
      <c r="DA1304" s="7">
        <f>0</f>
        <v>0</v>
      </c>
      <c r="DC1304" s="5" t="s">
        <v>812</v>
      </c>
      <c r="DD1304" s="5" t="s">
        <v>240</v>
      </c>
      <c r="DF1304" s="5" t="s">
        <v>812</v>
      </c>
      <c r="DG1304" s="7">
        <f>231</f>
        <v>231</v>
      </c>
      <c r="DI1304" s="5" t="s">
        <v>240</v>
      </c>
      <c r="DJ1304" s="5" t="s">
        <v>240</v>
      </c>
      <c r="DK1304" s="5" t="s">
        <v>240</v>
      </c>
      <c r="DL1304" s="5" t="s">
        <v>240</v>
      </c>
      <c r="DP1304" s="5" t="s">
        <v>240</v>
      </c>
      <c r="DQ1304" s="5" t="s">
        <v>240</v>
      </c>
      <c r="DR1304" s="5" t="s">
        <v>240</v>
      </c>
      <c r="DS1304" s="5" t="s">
        <v>240</v>
      </c>
      <c r="DV1304" s="5" t="s">
        <v>813</v>
      </c>
      <c r="DW1304" s="5" t="s">
        <v>2741</v>
      </c>
      <c r="HO1304" s="5" t="s">
        <v>312</v>
      </c>
    </row>
    <row r="1305" spans="1:223" x14ac:dyDescent="0.4">
      <c r="A1305" s="5">
        <v>2980</v>
      </c>
      <c r="B1305" s="5">
        <v>1</v>
      </c>
      <c r="C1305" s="5">
        <v>1</v>
      </c>
      <c r="D1305" s="5" t="s">
        <v>297</v>
      </c>
      <c r="E1305" s="5" t="s">
        <v>245</v>
      </c>
      <c r="F1305" s="5" t="s">
        <v>254</v>
      </c>
      <c r="G1305" s="5" t="s">
        <v>240</v>
      </c>
      <c r="H1305" s="6" t="s">
        <v>4911</v>
      </c>
      <c r="I1305" s="5" t="s">
        <v>295</v>
      </c>
      <c r="J1305" s="8">
        <f>5119</f>
        <v>5119</v>
      </c>
      <c r="K1305" s="5" t="s">
        <v>308</v>
      </c>
      <c r="L1305" s="7">
        <f>1</f>
        <v>1</v>
      </c>
      <c r="M1305" s="7">
        <f>1</f>
        <v>1</v>
      </c>
      <c r="N1305" s="5" t="s">
        <v>242</v>
      </c>
      <c r="O1305" s="5">
        <v>1</v>
      </c>
      <c r="P1305" s="5" t="s">
        <v>294</v>
      </c>
      <c r="Q1305" s="5" t="s">
        <v>266</v>
      </c>
      <c r="R1305" s="5" t="s">
        <v>240</v>
      </c>
      <c r="S1305" s="5" t="s">
        <v>240</v>
      </c>
      <c r="T1305" s="5" t="s">
        <v>296</v>
      </c>
      <c r="U1305" s="5" t="s">
        <v>244</v>
      </c>
      <c r="V1305" s="5" t="s">
        <v>240</v>
      </c>
      <c r="Y1305" s="5" t="s">
        <v>240</v>
      </c>
      <c r="Z1305" s="6" t="s">
        <v>298</v>
      </c>
      <c r="AB1305" s="6" t="s">
        <v>240</v>
      </c>
      <c r="AE1305" s="6" t="s">
        <v>299</v>
      </c>
      <c r="AF1305" s="5" t="s">
        <v>248</v>
      </c>
      <c r="AG1305" s="5" t="s">
        <v>249</v>
      </c>
      <c r="AW1305" s="5" t="s">
        <v>251</v>
      </c>
      <c r="AX1305" s="5" t="s">
        <v>240</v>
      </c>
      <c r="AY1305" s="5" t="s">
        <v>253</v>
      </c>
      <c r="AZ1305" s="5" t="s">
        <v>240</v>
      </c>
      <c r="BA1305" s="5" t="s">
        <v>255</v>
      </c>
      <c r="BB1305" s="5" t="s">
        <v>240</v>
      </c>
      <c r="BD1305" s="5" t="s">
        <v>240</v>
      </c>
      <c r="BF1305" s="5" t="s">
        <v>301</v>
      </c>
      <c r="BG1305" s="6" t="s">
        <v>299</v>
      </c>
      <c r="BH1305" s="5" t="s">
        <v>302</v>
      </c>
      <c r="BI1305" s="5" t="s">
        <v>303</v>
      </c>
      <c r="BJ1305" s="5" t="s">
        <v>240</v>
      </c>
      <c r="BK1305" s="8">
        <f>0</f>
        <v>0</v>
      </c>
      <c r="BL1305" s="7">
        <f>0</f>
        <v>0</v>
      </c>
      <c r="BM1305" s="5" t="s">
        <v>258</v>
      </c>
      <c r="BN1305" s="5" t="s">
        <v>259</v>
      </c>
      <c r="CB1305" s="5" t="s">
        <v>240</v>
      </c>
      <c r="CC1305" s="5" t="s">
        <v>240</v>
      </c>
      <c r="CG1305" s="5" t="s">
        <v>304</v>
      </c>
      <c r="CH1305" s="5" t="s">
        <v>305</v>
      </c>
      <c r="CI1305" s="5" t="s">
        <v>240</v>
      </c>
      <c r="CL1305" s="6" t="s">
        <v>261</v>
      </c>
      <c r="CM1305" s="5" t="s">
        <v>240</v>
      </c>
      <c r="CN1305" s="5" t="s">
        <v>263</v>
      </c>
      <c r="CO1305" s="5" t="s">
        <v>240</v>
      </c>
      <c r="CP1305" s="5" t="s">
        <v>240</v>
      </c>
      <c r="CQ1305" s="5">
        <v>0</v>
      </c>
      <c r="CR1305" s="5" t="s">
        <v>306</v>
      </c>
      <c r="CS1305" s="5" t="s">
        <v>307</v>
      </c>
      <c r="CT1305" s="5" t="s">
        <v>307</v>
      </c>
      <c r="CU1305" s="5" t="s">
        <v>260</v>
      </c>
      <c r="CX1305" s="7">
        <f>1</f>
        <v>1</v>
      </c>
      <c r="CY1305" s="7">
        <f>0</f>
        <v>0</v>
      </c>
      <c r="DA1305" s="7">
        <f>0</f>
        <v>0</v>
      </c>
      <c r="DC1305" s="5" t="s">
        <v>812</v>
      </c>
      <c r="DD1305" s="5" t="s">
        <v>240</v>
      </c>
      <c r="DF1305" s="5" t="s">
        <v>812</v>
      </c>
      <c r="DG1305" s="7">
        <f>886</f>
        <v>886</v>
      </c>
      <c r="DI1305" s="5" t="s">
        <v>240</v>
      </c>
      <c r="DJ1305" s="5" t="s">
        <v>240</v>
      </c>
      <c r="DK1305" s="5" t="s">
        <v>240</v>
      </c>
      <c r="DL1305" s="5" t="s">
        <v>240</v>
      </c>
      <c r="DP1305" s="5" t="s">
        <v>240</v>
      </c>
      <c r="DQ1305" s="5" t="s">
        <v>240</v>
      </c>
      <c r="DR1305" s="5" t="s">
        <v>240</v>
      </c>
      <c r="DS1305" s="5" t="s">
        <v>240</v>
      </c>
      <c r="DV1305" s="5" t="s">
        <v>813</v>
      </c>
      <c r="DW1305" s="5" t="s">
        <v>2743</v>
      </c>
      <c r="HO1305" s="5" t="s">
        <v>312</v>
      </c>
    </row>
    <row r="1306" spans="1:223" x14ac:dyDescent="0.4">
      <c r="A1306" s="5">
        <v>2981</v>
      </c>
      <c r="B1306" s="5">
        <v>1</v>
      </c>
      <c r="C1306" s="5">
        <v>1</v>
      </c>
      <c r="D1306" s="5" t="s">
        <v>297</v>
      </c>
      <c r="E1306" s="5" t="s">
        <v>245</v>
      </c>
      <c r="F1306" s="5" t="s">
        <v>254</v>
      </c>
      <c r="G1306" s="5" t="s">
        <v>240</v>
      </c>
      <c r="H1306" s="6" t="s">
        <v>6042</v>
      </c>
      <c r="I1306" s="5" t="s">
        <v>295</v>
      </c>
      <c r="J1306" s="8">
        <f>3520</f>
        <v>3520</v>
      </c>
      <c r="K1306" s="5" t="s">
        <v>308</v>
      </c>
      <c r="L1306" s="7">
        <f>1</f>
        <v>1</v>
      </c>
      <c r="M1306" s="7">
        <f>1</f>
        <v>1</v>
      </c>
      <c r="N1306" s="5" t="s">
        <v>242</v>
      </c>
      <c r="O1306" s="5">
        <v>1</v>
      </c>
      <c r="P1306" s="5" t="s">
        <v>294</v>
      </c>
      <c r="Q1306" s="5" t="s">
        <v>266</v>
      </c>
      <c r="R1306" s="5" t="s">
        <v>240</v>
      </c>
      <c r="S1306" s="5" t="s">
        <v>240</v>
      </c>
      <c r="T1306" s="5" t="s">
        <v>296</v>
      </c>
      <c r="U1306" s="5" t="s">
        <v>244</v>
      </c>
      <c r="V1306" s="5" t="s">
        <v>240</v>
      </c>
      <c r="Y1306" s="5" t="s">
        <v>240</v>
      </c>
      <c r="Z1306" s="6" t="s">
        <v>298</v>
      </c>
      <c r="AB1306" s="6" t="s">
        <v>240</v>
      </c>
      <c r="AE1306" s="6" t="s">
        <v>299</v>
      </c>
      <c r="AF1306" s="5" t="s">
        <v>248</v>
      </c>
      <c r="AG1306" s="5" t="s">
        <v>249</v>
      </c>
      <c r="AW1306" s="5" t="s">
        <v>251</v>
      </c>
      <c r="AX1306" s="5" t="s">
        <v>240</v>
      </c>
      <c r="AY1306" s="5" t="s">
        <v>253</v>
      </c>
      <c r="AZ1306" s="5" t="s">
        <v>240</v>
      </c>
      <c r="BA1306" s="5" t="s">
        <v>255</v>
      </c>
      <c r="BB1306" s="5" t="s">
        <v>240</v>
      </c>
      <c r="BD1306" s="5" t="s">
        <v>240</v>
      </c>
      <c r="BF1306" s="5" t="s">
        <v>301</v>
      </c>
      <c r="BG1306" s="6" t="s">
        <v>299</v>
      </c>
      <c r="BH1306" s="5" t="s">
        <v>302</v>
      </c>
      <c r="BI1306" s="5" t="s">
        <v>303</v>
      </c>
      <c r="BJ1306" s="5" t="s">
        <v>240</v>
      </c>
      <c r="BK1306" s="8">
        <f>0</f>
        <v>0</v>
      </c>
      <c r="BL1306" s="7">
        <f>0</f>
        <v>0</v>
      </c>
      <c r="BM1306" s="5" t="s">
        <v>258</v>
      </c>
      <c r="BN1306" s="5" t="s">
        <v>259</v>
      </c>
      <c r="CB1306" s="5" t="s">
        <v>240</v>
      </c>
      <c r="CC1306" s="5" t="s">
        <v>240</v>
      </c>
      <c r="CG1306" s="5" t="s">
        <v>304</v>
      </c>
      <c r="CH1306" s="5" t="s">
        <v>305</v>
      </c>
      <c r="CI1306" s="5" t="s">
        <v>240</v>
      </c>
      <c r="CL1306" s="6" t="s">
        <v>261</v>
      </c>
      <c r="CM1306" s="5" t="s">
        <v>240</v>
      </c>
      <c r="CN1306" s="5" t="s">
        <v>263</v>
      </c>
      <c r="CO1306" s="5" t="s">
        <v>240</v>
      </c>
      <c r="CP1306" s="5" t="s">
        <v>240</v>
      </c>
      <c r="CQ1306" s="5">
        <v>0</v>
      </c>
      <c r="CR1306" s="5" t="s">
        <v>306</v>
      </c>
      <c r="CS1306" s="5" t="s">
        <v>307</v>
      </c>
      <c r="CT1306" s="5" t="s">
        <v>307</v>
      </c>
      <c r="CU1306" s="5" t="s">
        <v>260</v>
      </c>
      <c r="CX1306" s="7">
        <f>1</f>
        <v>1</v>
      </c>
      <c r="CY1306" s="7">
        <f>0</f>
        <v>0</v>
      </c>
      <c r="DA1306" s="7">
        <f>0</f>
        <v>0</v>
      </c>
      <c r="DC1306" s="5" t="s">
        <v>812</v>
      </c>
      <c r="DD1306" s="5" t="s">
        <v>240</v>
      </c>
      <c r="DF1306" s="5" t="s">
        <v>812</v>
      </c>
      <c r="DG1306" s="7">
        <f>1269</f>
        <v>1269</v>
      </c>
      <c r="DI1306" s="5" t="s">
        <v>240</v>
      </c>
      <c r="DJ1306" s="5" t="s">
        <v>240</v>
      </c>
      <c r="DK1306" s="5" t="s">
        <v>240</v>
      </c>
      <c r="DL1306" s="5" t="s">
        <v>240</v>
      </c>
      <c r="DP1306" s="5" t="s">
        <v>240</v>
      </c>
      <c r="DQ1306" s="5" t="s">
        <v>240</v>
      </c>
      <c r="DR1306" s="5" t="s">
        <v>240</v>
      </c>
      <c r="DS1306" s="5" t="s">
        <v>240</v>
      </c>
      <c r="DV1306" s="5" t="s">
        <v>813</v>
      </c>
      <c r="DW1306" s="5" t="s">
        <v>2745</v>
      </c>
      <c r="HO1306" s="5" t="s">
        <v>312</v>
      </c>
    </row>
    <row r="1307" spans="1:223" x14ac:dyDescent="0.4">
      <c r="A1307" s="5">
        <v>2982</v>
      </c>
      <c r="B1307" s="5">
        <v>1</v>
      </c>
      <c r="C1307" s="5">
        <v>1</v>
      </c>
      <c r="D1307" s="5" t="s">
        <v>297</v>
      </c>
      <c r="E1307" s="5" t="s">
        <v>245</v>
      </c>
      <c r="F1307" s="5" t="s">
        <v>254</v>
      </c>
      <c r="G1307" s="5" t="s">
        <v>240</v>
      </c>
      <c r="H1307" s="6" t="s">
        <v>5975</v>
      </c>
      <c r="I1307" s="5" t="s">
        <v>295</v>
      </c>
      <c r="J1307" s="8">
        <f>415</f>
        <v>415</v>
      </c>
      <c r="K1307" s="5" t="s">
        <v>308</v>
      </c>
      <c r="L1307" s="7">
        <f>1</f>
        <v>1</v>
      </c>
      <c r="M1307" s="7">
        <f>1</f>
        <v>1</v>
      </c>
      <c r="N1307" s="5" t="s">
        <v>242</v>
      </c>
      <c r="O1307" s="5">
        <v>1</v>
      </c>
      <c r="P1307" s="5" t="s">
        <v>294</v>
      </c>
      <c r="Q1307" s="5" t="s">
        <v>266</v>
      </c>
      <c r="R1307" s="5" t="s">
        <v>240</v>
      </c>
      <c r="S1307" s="5" t="s">
        <v>240</v>
      </c>
      <c r="T1307" s="5" t="s">
        <v>296</v>
      </c>
      <c r="U1307" s="5" t="s">
        <v>244</v>
      </c>
      <c r="V1307" s="5" t="s">
        <v>240</v>
      </c>
      <c r="Y1307" s="5" t="s">
        <v>240</v>
      </c>
      <c r="Z1307" s="6" t="s">
        <v>298</v>
      </c>
      <c r="AB1307" s="6" t="s">
        <v>240</v>
      </c>
      <c r="AE1307" s="6" t="s">
        <v>299</v>
      </c>
      <c r="AF1307" s="5" t="s">
        <v>248</v>
      </c>
      <c r="AG1307" s="5" t="s">
        <v>249</v>
      </c>
      <c r="AW1307" s="5" t="s">
        <v>251</v>
      </c>
      <c r="AX1307" s="5" t="s">
        <v>240</v>
      </c>
      <c r="AY1307" s="5" t="s">
        <v>253</v>
      </c>
      <c r="AZ1307" s="5" t="s">
        <v>240</v>
      </c>
      <c r="BA1307" s="5" t="s">
        <v>255</v>
      </c>
      <c r="BB1307" s="5" t="s">
        <v>240</v>
      </c>
      <c r="BD1307" s="5" t="s">
        <v>240</v>
      </c>
      <c r="BF1307" s="5" t="s">
        <v>301</v>
      </c>
      <c r="BG1307" s="6" t="s">
        <v>299</v>
      </c>
      <c r="BH1307" s="5" t="s">
        <v>302</v>
      </c>
      <c r="BI1307" s="5" t="s">
        <v>303</v>
      </c>
      <c r="BJ1307" s="5" t="s">
        <v>240</v>
      </c>
      <c r="BK1307" s="8">
        <f>0</f>
        <v>0</v>
      </c>
      <c r="BL1307" s="7">
        <f>0</f>
        <v>0</v>
      </c>
      <c r="BM1307" s="5" t="s">
        <v>258</v>
      </c>
      <c r="BN1307" s="5" t="s">
        <v>259</v>
      </c>
      <c r="CB1307" s="5" t="s">
        <v>240</v>
      </c>
      <c r="CC1307" s="5" t="s">
        <v>240</v>
      </c>
      <c r="CG1307" s="5" t="s">
        <v>304</v>
      </c>
      <c r="CH1307" s="5" t="s">
        <v>305</v>
      </c>
      <c r="CI1307" s="5" t="s">
        <v>240</v>
      </c>
      <c r="CL1307" s="6" t="s">
        <v>261</v>
      </c>
      <c r="CM1307" s="5" t="s">
        <v>240</v>
      </c>
      <c r="CN1307" s="5" t="s">
        <v>263</v>
      </c>
      <c r="CO1307" s="5" t="s">
        <v>240</v>
      </c>
      <c r="CP1307" s="5" t="s">
        <v>240</v>
      </c>
      <c r="CQ1307" s="5">
        <v>0</v>
      </c>
      <c r="CR1307" s="5" t="s">
        <v>306</v>
      </c>
      <c r="CS1307" s="5" t="s">
        <v>307</v>
      </c>
      <c r="CT1307" s="5" t="s">
        <v>307</v>
      </c>
      <c r="CU1307" s="5" t="s">
        <v>260</v>
      </c>
      <c r="CX1307" s="7">
        <f>1</f>
        <v>1</v>
      </c>
      <c r="CY1307" s="7">
        <f>0</f>
        <v>0</v>
      </c>
      <c r="DA1307" s="7">
        <f>0</f>
        <v>0</v>
      </c>
      <c r="DC1307" s="5" t="s">
        <v>812</v>
      </c>
      <c r="DD1307" s="5" t="s">
        <v>240</v>
      </c>
      <c r="DF1307" s="5" t="s">
        <v>812</v>
      </c>
      <c r="DG1307" s="7">
        <f>555</f>
        <v>555</v>
      </c>
      <c r="DI1307" s="5" t="s">
        <v>240</v>
      </c>
      <c r="DJ1307" s="5" t="s">
        <v>240</v>
      </c>
      <c r="DK1307" s="5" t="s">
        <v>240</v>
      </c>
      <c r="DL1307" s="5" t="s">
        <v>240</v>
      </c>
      <c r="DP1307" s="5" t="s">
        <v>240</v>
      </c>
      <c r="DQ1307" s="5" t="s">
        <v>240</v>
      </c>
      <c r="DR1307" s="5" t="s">
        <v>240</v>
      </c>
      <c r="DS1307" s="5" t="s">
        <v>240</v>
      </c>
      <c r="DV1307" s="5" t="s">
        <v>813</v>
      </c>
      <c r="DW1307" s="5" t="s">
        <v>2747</v>
      </c>
      <c r="HO1307" s="5" t="s">
        <v>312</v>
      </c>
    </row>
    <row r="1308" spans="1:223" x14ac:dyDescent="0.4">
      <c r="A1308" s="5">
        <v>2983</v>
      </c>
      <c r="B1308" s="5">
        <v>1</v>
      </c>
      <c r="C1308" s="5">
        <v>1</v>
      </c>
      <c r="D1308" s="5" t="s">
        <v>297</v>
      </c>
      <c r="E1308" s="5" t="s">
        <v>245</v>
      </c>
      <c r="F1308" s="5" t="s">
        <v>254</v>
      </c>
      <c r="G1308" s="5" t="s">
        <v>240</v>
      </c>
      <c r="H1308" s="6" t="s">
        <v>5974</v>
      </c>
      <c r="I1308" s="5" t="s">
        <v>295</v>
      </c>
      <c r="J1308" s="8">
        <f>197</f>
        <v>197</v>
      </c>
      <c r="K1308" s="5" t="s">
        <v>308</v>
      </c>
      <c r="L1308" s="7">
        <f>1</f>
        <v>1</v>
      </c>
      <c r="M1308" s="7">
        <f>1</f>
        <v>1</v>
      </c>
      <c r="N1308" s="5" t="s">
        <v>242</v>
      </c>
      <c r="O1308" s="5">
        <v>1</v>
      </c>
      <c r="P1308" s="5" t="s">
        <v>294</v>
      </c>
      <c r="Q1308" s="5" t="s">
        <v>266</v>
      </c>
      <c r="R1308" s="5" t="s">
        <v>240</v>
      </c>
      <c r="S1308" s="5" t="s">
        <v>240</v>
      </c>
      <c r="T1308" s="5" t="s">
        <v>296</v>
      </c>
      <c r="U1308" s="5" t="s">
        <v>244</v>
      </c>
      <c r="V1308" s="5" t="s">
        <v>240</v>
      </c>
      <c r="Y1308" s="5" t="s">
        <v>240</v>
      </c>
      <c r="Z1308" s="6" t="s">
        <v>298</v>
      </c>
      <c r="AB1308" s="6" t="s">
        <v>240</v>
      </c>
      <c r="AE1308" s="6" t="s">
        <v>299</v>
      </c>
      <c r="AF1308" s="5" t="s">
        <v>248</v>
      </c>
      <c r="AG1308" s="5" t="s">
        <v>249</v>
      </c>
      <c r="AW1308" s="5" t="s">
        <v>251</v>
      </c>
      <c r="AX1308" s="5" t="s">
        <v>240</v>
      </c>
      <c r="AY1308" s="5" t="s">
        <v>253</v>
      </c>
      <c r="AZ1308" s="5" t="s">
        <v>240</v>
      </c>
      <c r="BA1308" s="5" t="s">
        <v>255</v>
      </c>
      <c r="BB1308" s="5" t="s">
        <v>240</v>
      </c>
      <c r="BD1308" s="5" t="s">
        <v>240</v>
      </c>
      <c r="BF1308" s="5" t="s">
        <v>301</v>
      </c>
      <c r="BG1308" s="6" t="s">
        <v>299</v>
      </c>
      <c r="BH1308" s="5" t="s">
        <v>302</v>
      </c>
      <c r="BI1308" s="5" t="s">
        <v>303</v>
      </c>
      <c r="BJ1308" s="5" t="s">
        <v>240</v>
      </c>
      <c r="BK1308" s="8">
        <f>0</f>
        <v>0</v>
      </c>
      <c r="BL1308" s="7">
        <f>0</f>
        <v>0</v>
      </c>
      <c r="BM1308" s="5" t="s">
        <v>258</v>
      </c>
      <c r="BN1308" s="5" t="s">
        <v>259</v>
      </c>
      <c r="CB1308" s="5" t="s">
        <v>240</v>
      </c>
      <c r="CC1308" s="5" t="s">
        <v>240</v>
      </c>
      <c r="CG1308" s="5" t="s">
        <v>304</v>
      </c>
      <c r="CH1308" s="5" t="s">
        <v>305</v>
      </c>
      <c r="CI1308" s="5" t="s">
        <v>240</v>
      </c>
      <c r="CL1308" s="6" t="s">
        <v>261</v>
      </c>
      <c r="CM1308" s="5" t="s">
        <v>240</v>
      </c>
      <c r="CN1308" s="5" t="s">
        <v>263</v>
      </c>
      <c r="CO1308" s="5" t="s">
        <v>240</v>
      </c>
      <c r="CP1308" s="5" t="s">
        <v>240</v>
      </c>
      <c r="CQ1308" s="5">
        <v>0</v>
      </c>
      <c r="CR1308" s="5" t="s">
        <v>306</v>
      </c>
      <c r="CS1308" s="5" t="s">
        <v>307</v>
      </c>
      <c r="CT1308" s="5" t="s">
        <v>307</v>
      </c>
      <c r="CU1308" s="5" t="s">
        <v>260</v>
      </c>
      <c r="CX1308" s="7">
        <f>1</f>
        <v>1</v>
      </c>
      <c r="CY1308" s="7">
        <f>0</f>
        <v>0</v>
      </c>
      <c r="DA1308" s="7">
        <f>0</f>
        <v>0</v>
      </c>
      <c r="DC1308" s="5" t="s">
        <v>812</v>
      </c>
      <c r="DD1308" s="5" t="s">
        <v>240</v>
      </c>
      <c r="DF1308" s="5" t="s">
        <v>812</v>
      </c>
      <c r="DG1308" s="7">
        <f>280</f>
        <v>280</v>
      </c>
      <c r="DI1308" s="5" t="s">
        <v>240</v>
      </c>
      <c r="DJ1308" s="5" t="s">
        <v>240</v>
      </c>
      <c r="DK1308" s="5" t="s">
        <v>240</v>
      </c>
      <c r="DL1308" s="5" t="s">
        <v>240</v>
      </c>
      <c r="DP1308" s="5" t="s">
        <v>240</v>
      </c>
      <c r="DQ1308" s="5" t="s">
        <v>240</v>
      </c>
      <c r="DR1308" s="5" t="s">
        <v>240</v>
      </c>
      <c r="DS1308" s="5" t="s">
        <v>240</v>
      </c>
      <c r="DV1308" s="5" t="s">
        <v>813</v>
      </c>
      <c r="DW1308" s="5" t="s">
        <v>2749</v>
      </c>
      <c r="HO1308" s="5" t="s">
        <v>312</v>
      </c>
    </row>
    <row r="1309" spans="1:223" x14ac:dyDescent="0.4">
      <c r="A1309" s="5">
        <v>2984</v>
      </c>
      <c r="B1309" s="5">
        <v>1</v>
      </c>
      <c r="C1309" s="5">
        <v>1</v>
      </c>
      <c r="D1309" s="5" t="s">
        <v>297</v>
      </c>
      <c r="E1309" s="5" t="s">
        <v>245</v>
      </c>
      <c r="F1309" s="5" t="s">
        <v>254</v>
      </c>
      <c r="G1309" s="5" t="s">
        <v>240</v>
      </c>
      <c r="H1309" s="6" t="s">
        <v>4906</v>
      </c>
      <c r="I1309" s="5" t="s">
        <v>295</v>
      </c>
      <c r="J1309" s="8">
        <f>701</f>
        <v>701</v>
      </c>
      <c r="K1309" s="5" t="s">
        <v>308</v>
      </c>
      <c r="L1309" s="7">
        <f>1</f>
        <v>1</v>
      </c>
      <c r="M1309" s="7">
        <f>1</f>
        <v>1</v>
      </c>
      <c r="N1309" s="5" t="s">
        <v>242</v>
      </c>
      <c r="O1309" s="5">
        <v>1</v>
      </c>
      <c r="P1309" s="5" t="s">
        <v>294</v>
      </c>
      <c r="Q1309" s="5" t="s">
        <v>266</v>
      </c>
      <c r="R1309" s="5" t="s">
        <v>240</v>
      </c>
      <c r="S1309" s="5" t="s">
        <v>240</v>
      </c>
      <c r="T1309" s="5" t="s">
        <v>296</v>
      </c>
      <c r="U1309" s="5" t="s">
        <v>244</v>
      </c>
      <c r="V1309" s="5" t="s">
        <v>240</v>
      </c>
      <c r="Y1309" s="5" t="s">
        <v>240</v>
      </c>
      <c r="Z1309" s="6" t="s">
        <v>298</v>
      </c>
      <c r="AB1309" s="6" t="s">
        <v>240</v>
      </c>
      <c r="AE1309" s="6" t="s">
        <v>299</v>
      </c>
      <c r="AF1309" s="5" t="s">
        <v>248</v>
      </c>
      <c r="AG1309" s="5" t="s">
        <v>249</v>
      </c>
      <c r="AW1309" s="5" t="s">
        <v>251</v>
      </c>
      <c r="AX1309" s="5" t="s">
        <v>240</v>
      </c>
      <c r="AY1309" s="5" t="s">
        <v>253</v>
      </c>
      <c r="AZ1309" s="5" t="s">
        <v>240</v>
      </c>
      <c r="BA1309" s="5" t="s">
        <v>255</v>
      </c>
      <c r="BB1309" s="5" t="s">
        <v>240</v>
      </c>
      <c r="BD1309" s="5" t="s">
        <v>240</v>
      </c>
      <c r="BF1309" s="5" t="s">
        <v>301</v>
      </c>
      <c r="BG1309" s="6" t="s">
        <v>299</v>
      </c>
      <c r="BH1309" s="5" t="s">
        <v>302</v>
      </c>
      <c r="BI1309" s="5" t="s">
        <v>303</v>
      </c>
      <c r="BJ1309" s="5" t="s">
        <v>240</v>
      </c>
      <c r="BK1309" s="8">
        <f>0</f>
        <v>0</v>
      </c>
      <c r="BL1309" s="7">
        <f>0</f>
        <v>0</v>
      </c>
      <c r="BM1309" s="5" t="s">
        <v>258</v>
      </c>
      <c r="BN1309" s="5" t="s">
        <v>259</v>
      </c>
      <c r="CB1309" s="5" t="s">
        <v>240</v>
      </c>
      <c r="CC1309" s="5" t="s">
        <v>240</v>
      </c>
      <c r="CG1309" s="5" t="s">
        <v>304</v>
      </c>
      <c r="CH1309" s="5" t="s">
        <v>305</v>
      </c>
      <c r="CI1309" s="5" t="s">
        <v>240</v>
      </c>
      <c r="CL1309" s="6" t="s">
        <v>261</v>
      </c>
      <c r="CM1309" s="5" t="s">
        <v>240</v>
      </c>
      <c r="CN1309" s="5" t="s">
        <v>263</v>
      </c>
      <c r="CO1309" s="5" t="s">
        <v>240</v>
      </c>
      <c r="CP1309" s="5" t="s">
        <v>240</v>
      </c>
      <c r="CQ1309" s="5">
        <v>0</v>
      </c>
      <c r="CR1309" s="5" t="s">
        <v>306</v>
      </c>
      <c r="CS1309" s="5" t="s">
        <v>307</v>
      </c>
      <c r="CT1309" s="5" t="s">
        <v>307</v>
      </c>
      <c r="CU1309" s="5" t="s">
        <v>260</v>
      </c>
      <c r="CX1309" s="7">
        <f>1</f>
        <v>1</v>
      </c>
      <c r="CY1309" s="7">
        <f>0</f>
        <v>0</v>
      </c>
      <c r="DA1309" s="7">
        <f>0</f>
        <v>0</v>
      </c>
      <c r="DC1309" s="5" t="s">
        <v>812</v>
      </c>
      <c r="DD1309" s="5" t="s">
        <v>240</v>
      </c>
      <c r="DF1309" s="5" t="s">
        <v>812</v>
      </c>
      <c r="DG1309" s="7">
        <f>681</f>
        <v>681</v>
      </c>
      <c r="DI1309" s="5" t="s">
        <v>240</v>
      </c>
      <c r="DJ1309" s="5" t="s">
        <v>240</v>
      </c>
      <c r="DK1309" s="5" t="s">
        <v>240</v>
      </c>
      <c r="DL1309" s="5" t="s">
        <v>240</v>
      </c>
      <c r="DP1309" s="5" t="s">
        <v>240</v>
      </c>
      <c r="DQ1309" s="5" t="s">
        <v>240</v>
      </c>
      <c r="DR1309" s="5" t="s">
        <v>240</v>
      </c>
      <c r="DS1309" s="5" t="s">
        <v>240</v>
      </c>
      <c r="DV1309" s="5" t="s">
        <v>813</v>
      </c>
      <c r="DW1309" s="5" t="s">
        <v>2751</v>
      </c>
      <c r="HO1309" s="5" t="s">
        <v>312</v>
      </c>
    </row>
    <row r="1310" spans="1:223" x14ac:dyDescent="0.4">
      <c r="A1310" s="5">
        <v>2985</v>
      </c>
      <c r="B1310" s="5">
        <v>1</v>
      </c>
      <c r="C1310" s="5">
        <v>1</v>
      </c>
      <c r="D1310" s="5" t="s">
        <v>297</v>
      </c>
      <c r="E1310" s="5" t="s">
        <v>245</v>
      </c>
      <c r="F1310" s="5" t="s">
        <v>254</v>
      </c>
      <c r="G1310" s="5" t="s">
        <v>240</v>
      </c>
      <c r="H1310" s="6" t="s">
        <v>5973</v>
      </c>
      <c r="I1310" s="5" t="s">
        <v>295</v>
      </c>
      <c r="J1310" s="8">
        <f>4109</f>
        <v>4109</v>
      </c>
      <c r="K1310" s="5" t="s">
        <v>308</v>
      </c>
      <c r="L1310" s="7">
        <f>1</f>
        <v>1</v>
      </c>
      <c r="M1310" s="7">
        <f>1</f>
        <v>1</v>
      </c>
      <c r="N1310" s="5" t="s">
        <v>242</v>
      </c>
      <c r="O1310" s="5">
        <v>1</v>
      </c>
      <c r="P1310" s="5" t="s">
        <v>294</v>
      </c>
      <c r="Q1310" s="5" t="s">
        <v>266</v>
      </c>
      <c r="R1310" s="5" t="s">
        <v>240</v>
      </c>
      <c r="S1310" s="5" t="s">
        <v>240</v>
      </c>
      <c r="T1310" s="5" t="s">
        <v>296</v>
      </c>
      <c r="U1310" s="5" t="s">
        <v>244</v>
      </c>
      <c r="V1310" s="5" t="s">
        <v>240</v>
      </c>
      <c r="Y1310" s="5" t="s">
        <v>240</v>
      </c>
      <c r="Z1310" s="6" t="s">
        <v>298</v>
      </c>
      <c r="AB1310" s="6" t="s">
        <v>240</v>
      </c>
      <c r="AE1310" s="6" t="s">
        <v>299</v>
      </c>
      <c r="AF1310" s="5" t="s">
        <v>248</v>
      </c>
      <c r="AG1310" s="5" t="s">
        <v>249</v>
      </c>
      <c r="AW1310" s="5" t="s">
        <v>251</v>
      </c>
      <c r="AX1310" s="5" t="s">
        <v>240</v>
      </c>
      <c r="AY1310" s="5" t="s">
        <v>253</v>
      </c>
      <c r="AZ1310" s="5" t="s">
        <v>240</v>
      </c>
      <c r="BA1310" s="5" t="s">
        <v>255</v>
      </c>
      <c r="BB1310" s="5" t="s">
        <v>240</v>
      </c>
      <c r="BD1310" s="5" t="s">
        <v>240</v>
      </c>
      <c r="BF1310" s="5" t="s">
        <v>301</v>
      </c>
      <c r="BG1310" s="6" t="s">
        <v>299</v>
      </c>
      <c r="BH1310" s="5" t="s">
        <v>302</v>
      </c>
      <c r="BI1310" s="5" t="s">
        <v>303</v>
      </c>
      <c r="BJ1310" s="5" t="s">
        <v>240</v>
      </c>
      <c r="BK1310" s="8">
        <f>0</f>
        <v>0</v>
      </c>
      <c r="BL1310" s="7">
        <f>0</f>
        <v>0</v>
      </c>
      <c r="BM1310" s="5" t="s">
        <v>258</v>
      </c>
      <c r="BN1310" s="5" t="s">
        <v>259</v>
      </c>
      <c r="CB1310" s="5" t="s">
        <v>240</v>
      </c>
      <c r="CC1310" s="5" t="s">
        <v>240</v>
      </c>
      <c r="CG1310" s="5" t="s">
        <v>304</v>
      </c>
      <c r="CH1310" s="5" t="s">
        <v>305</v>
      </c>
      <c r="CI1310" s="5" t="s">
        <v>240</v>
      </c>
      <c r="CL1310" s="6" t="s">
        <v>261</v>
      </c>
      <c r="CM1310" s="5" t="s">
        <v>240</v>
      </c>
      <c r="CN1310" s="5" t="s">
        <v>263</v>
      </c>
      <c r="CO1310" s="5" t="s">
        <v>240</v>
      </c>
      <c r="CP1310" s="5" t="s">
        <v>240</v>
      </c>
      <c r="CQ1310" s="5">
        <v>0</v>
      </c>
      <c r="CR1310" s="5" t="s">
        <v>306</v>
      </c>
      <c r="CS1310" s="5" t="s">
        <v>307</v>
      </c>
      <c r="CT1310" s="5" t="s">
        <v>307</v>
      </c>
      <c r="CU1310" s="5" t="s">
        <v>260</v>
      </c>
      <c r="CX1310" s="7">
        <f>1</f>
        <v>1</v>
      </c>
      <c r="CY1310" s="7">
        <f>0</f>
        <v>0</v>
      </c>
      <c r="DA1310" s="7">
        <f>0</f>
        <v>0</v>
      </c>
      <c r="DC1310" s="5" t="s">
        <v>812</v>
      </c>
      <c r="DD1310" s="5" t="s">
        <v>240</v>
      </c>
      <c r="DF1310" s="5" t="s">
        <v>812</v>
      </c>
      <c r="DG1310" s="7">
        <f>305</f>
        <v>305</v>
      </c>
      <c r="DI1310" s="5" t="s">
        <v>240</v>
      </c>
      <c r="DJ1310" s="5" t="s">
        <v>240</v>
      </c>
      <c r="DK1310" s="5" t="s">
        <v>240</v>
      </c>
      <c r="DL1310" s="5" t="s">
        <v>240</v>
      </c>
      <c r="DP1310" s="5" t="s">
        <v>240</v>
      </c>
      <c r="DQ1310" s="5" t="s">
        <v>240</v>
      </c>
      <c r="DR1310" s="5" t="s">
        <v>240</v>
      </c>
      <c r="DS1310" s="5" t="s">
        <v>240</v>
      </c>
      <c r="DV1310" s="5" t="s">
        <v>813</v>
      </c>
      <c r="DW1310" s="5" t="s">
        <v>2753</v>
      </c>
      <c r="HO1310" s="5" t="s">
        <v>312</v>
      </c>
    </row>
    <row r="1311" spans="1:223" x14ac:dyDescent="0.4">
      <c r="A1311" s="5">
        <v>2986</v>
      </c>
      <c r="B1311" s="5">
        <v>1</v>
      </c>
      <c r="C1311" s="5">
        <v>1</v>
      </c>
      <c r="D1311" s="5" t="s">
        <v>297</v>
      </c>
      <c r="E1311" s="5" t="s">
        <v>245</v>
      </c>
      <c r="F1311" s="5" t="s">
        <v>254</v>
      </c>
      <c r="G1311" s="5" t="s">
        <v>240</v>
      </c>
      <c r="H1311" s="6" t="s">
        <v>4904</v>
      </c>
      <c r="I1311" s="5" t="s">
        <v>295</v>
      </c>
      <c r="J1311" s="8">
        <f>505</f>
        <v>505</v>
      </c>
      <c r="K1311" s="5" t="s">
        <v>308</v>
      </c>
      <c r="L1311" s="7">
        <f>1</f>
        <v>1</v>
      </c>
      <c r="M1311" s="7">
        <f>1</f>
        <v>1</v>
      </c>
      <c r="N1311" s="5" t="s">
        <v>242</v>
      </c>
      <c r="O1311" s="5">
        <v>1</v>
      </c>
      <c r="P1311" s="5" t="s">
        <v>294</v>
      </c>
      <c r="Q1311" s="5" t="s">
        <v>266</v>
      </c>
      <c r="R1311" s="5" t="s">
        <v>240</v>
      </c>
      <c r="S1311" s="5" t="s">
        <v>240</v>
      </c>
      <c r="T1311" s="5" t="s">
        <v>296</v>
      </c>
      <c r="U1311" s="5" t="s">
        <v>244</v>
      </c>
      <c r="V1311" s="5" t="s">
        <v>240</v>
      </c>
      <c r="Y1311" s="5" t="s">
        <v>240</v>
      </c>
      <c r="Z1311" s="6" t="s">
        <v>298</v>
      </c>
      <c r="AB1311" s="6" t="s">
        <v>240</v>
      </c>
      <c r="AE1311" s="6" t="s">
        <v>299</v>
      </c>
      <c r="AF1311" s="5" t="s">
        <v>248</v>
      </c>
      <c r="AG1311" s="5" t="s">
        <v>249</v>
      </c>
      <c r="AW1311" s="5" t="s">
        <v>251</v>
      </c>
      <c r="AX1311" s="5" t="s">
        <v>240</v>
      </c>
      <c r="AY1311" s="5" t="s">
        <v>253</v>
      </c>
      <c r="AZ1311" s="5" t="s">
        <v>240</v>
      </c>
      <c r="BA1311" s="5" t="s">
        <v>255</v>
      </c>
      <c r="BB1311" s="5" t="s">
        <v>240</v>
      </c>
      <c r="BD1311" s="5" t="s">
        <v>240</v>
      </c>
      <c r="BF1311" s="5" t="s">
        <v>301</v>
      </c>
      <c r="BG1311" s="6" t="s">
        <v>299</v>
      </c>
      <c r="BH1311" s="5" t="s">
        <v>302</v>
      </c>
      <c r="BI1311" s="5" t="s">
        <v>303</v>
      </c>
      <c r="BJ1311" s="5" t="s">
        <v>240</v>
      </c>
      <c r="BK1311" s="8">
        <f>0</f>
        <v>0</v>
      </c>
      <c r="BL1311" s="7">
        <f>0</f>
        <v>0</v>
      </c>
      <c r="BM1311" s="5" t="s">
        <v>258</v>
      </c>
      <c r="BN1311" s="5" t="s">
        <v>259</v>
      </c>
      <c r="CB1311" s="5" t="s">
        <v>240</v>
      </c>
      <c r="CC1311" s="5" t="s">
        <v>240</v>
      </c>
      <c r="CG1311" s="5" t="s">
        <v>304</v>
      </c>
      <c r="CH1311" s="5" t="s">
        <v>305</v>
      </c>
      <c r="CI1311" s="5" t="s">
        <v>240</v>
      </c>
      <c r="CL1311" s="6" t="s">
        <v>261</v>
      </c>
      <c r="CM1311" s="5" t="s">
        <v>240</v>
      </c>
      <c r="CN1311" s="5" t="s">
        <v>263</v>
      </c>
      <c r="CO1311" s="5" t="s">
        <v>240</v>
      </c>
      <c r="CP1311" s="5" t="s">
        <v>240</v>
      </c>
      <c r="CQ1311" s="5">
        <v>0</v>
      </c>
      <c r="CR1311" s="5" t="s">
        <v>306</v>
      </c>
      <c r="CS1311" s="5" t="s">
        <v>307</v>
      </c>
      <c r="CT1311" s="5" t="s">
        <v>307</v>
      </c>
      <c r="CU1311" s="5" t="s">
        <v>260</v>
      </c>
      <c r="CX1311" s="7">
        <f>1</f>
        <v>1</v>
      </c>
      <c r="CY1311" s="7">
        <f>0</f>
        <v>0</v>
      </c>
      <c r="DA1311" s="7">
        <f>0</f>
        <v>0</v>
      </c>
      <c r="DC1311" s="5" t="s">
        <v>812</v>
      </c>
      <c r="DD1311" s="5" t="s">
        <v>240</v>
      </c>
      <c r="DF1311" s="5" t="s">
        <v>812</v>
      </c>
      <c r="DG1311" s="7">
        <f>1451</f>
        <v>1451</v>
      </c>
      <c r="DI1311" s="5" t="s">
        <v>240</v>
      </c>
      <c r="DJ1311" s="5" t="s">
        <v>240</v>
      </c>
      <c r="DK1311" s="5" t="s">
        <v>240</v>
      </c>
      <c r="DL1311" s="5" t="s">
        <v>240</v>
      </c>
      <c r="DP1311" s="5" t="s">
        <v>240</v>
      </c>
      <c r="DQ1311" s="5" t="s">
        <v>240</v>
      </c>
      <c r="DR1311" s="5" t="s">
        <v>240</v>
      </c>
      <c r="DS1311" s="5" t="s">
        <v>240</v>
      </c>
      <c r="DV1311" s="5" t="s">
        <v>813</v>
      </c>
      <c r="DW1311" s="5" t="s">
        <v>2755</v>
      </c>
      <c r="HO1311" s="5" t="s">
        <v>312</v>
      </c>
    </row>
    <row r="1312" spans="1:223" x14ac:dyDescent="0.4">
      <c r="A1312" s="5">
        <v>2987</v>
      </c>
      <c r="B1312" s="5">
        <v>1</v>
      </c>
      <c r="C1312" s="5">
        <v>1</v>
      </c>
      <c r="D1312" s="5" t="s">
        <v>297</v>
      </c>
      <c r="E1312" s="5" t="s">
        <v>245</v>
      </c>
      <c r="F1312" s="5" t="s">
        <v>254</v>
      </c>
      <c r="G1312" s="5" t="s">
        <v>240</v>
      </c>
      <c r="H1312" s="6" t="s">
        <v>5972</v>
      </c>
      <c r="I1312" s="5" t="s">
        <v>295</v>
      </c>
      <c r="J1312" s="8">
        <f>2388</f>
        <v>2388</v>
      </c>
      <c r="K1312" s="5" t="s">
        <v>308</v>
      </c>
      <c r="L1312" s="7">
        <f>1</f>
        <v>1</v>
      </c>
      <c r="M1312" s="7">
        <f>1</f>
        <v>1</v>
      </c>
      <c r="N1312" s="5" t="s">
        <v>242</v>
      </c>
      <c r="O1312" s="5">
        <v>1</v>
      </c>
      <c r="P1312" s="5" t="s">
        <v>294</v>
      </c>
      <c r="Q1312" s="5" t="s">
        <v>266</v>
      </c>
      <c r="R1312" s="5" t="s">
        <v>240</v>
      </c>
      <c r="S1312" s="5" t="s">
        <v>240</v>
      </c>
      <c r="T1312" s="5" t="s">
        <v>296</v>
      </c>
      <c r="U1312" s="5" t="s">
        <v>244</v>
      </c>
      <c r="V1312" s="5" t="s">
        <v>240</v>
      </c>
      <c r="Y1312" s="5" t="s">
        <v>240</v>
      </c>
      <c r="Z1312" s="6" t="s">
        <v>298</v>
      </c>
      <c r="AB1312" s="6" t="s">
        <v>240</v>
      </c>
      <c r="AE1312" s="6" t="s">
        <v>299</v>
      </c>
      <c r="AF1312" s="5" t="s">
        <v>248</v>
      </c>
      <c r="AG1312" s="5" t="s">
        <v>249</v>
      </c>
      <c r="AW1312" s="5" t="s">
        <v>251</v>
      </c>
      <c r="AX1312" s="5" t="s">
        <v>240</v>
      </c>
      <c r="AY1312" s="5" t="s">
        <v>253</v>
      </c>
      <c r="AZ1312" s="5" t="s">
        <v>240</v>
      </c>
      <c r="BA1312" s="5" t="s">
        <v>255</v>
      </c>
      <c r="BB1312" s="5" t="s">
        <v>240</v>
      </c>
      <c r="BD1312" s="5" t="s">
        <v>240</v>
      </c>
      <c r="BF1312" s="5" t="s">
        <v>301</v>
      </c>
      <c r="BG1312" s="6" t="s">
        <v>299</v>
      </c>
      <c r="BH1312" s="5" t="s">
        <v>302</v>
      </c>
      <c r="BI1312" s="5" t="s">
        <v>303</v>
      </c>
      <c r="BJ1312" s="5" t="s">
        <v>240</v>
      </c>
      <c r="BK1312" s="8">
        <f>0</f>
        <v>0</v>
      </c>
      <c r="BL1312" s="7">
        <f>0</f>
        <v>0</v>
      </c>
      <c r="BM1312" s="5" t="s">
        <v>258</v>
      </c>
      <c r="BN1312" s="5" t="s">
        <v>259</v>
      </c>
      <c r="CB1312" s="5" t="s">
        <v>240</v>
      </c>
      <c r="CC1312" s="5" t="s">
        <v>240</v>
      </c>
      <c r="CG1312" s="5" t="s">
        <v>304</v>
      </c>
      <c r="CH1312" s="5" t="s">
        <v>305</v>
      </c>
      <c r="CI1312" s="5" t="s">
        <v>240</v>
      </c>
      <c r="CL1312" s="6" t="s">
        <v>261</v>
      </c>
      <c r="CM1312" s="5" t="s">
        <v>240</v>
      </c>
      <c r="CN1312" s="5" t="s">
        <v>263</v>
      </c>
      <c r="CO1312" s="5" t="s">
        <v>240</v>
      </c>
      <c r="CP1312" s="5" t="s">
        <v>240</v>
      </c>
      <c r="CQ1312" s="5">
        <v>0</v>
      </c>
      <c r="CR1312" s="5" t="s">
        <v>306</v>
      </c>
      <c r="CS1312" s="5" t="s">
        <v>307</v>
      </c>
      <c r="CT1312" s="5" t="s">
        <v>307</v>
      </c>
      <c r="CU1312" s="5" t="s">
        <v>260</v>
      </c>
      <c r="CX1312" s="7">
        <f>1</f>
        <v>1</v>
      </c>
      <c r="CY1312" s="7">
        <f>0</f>
        <v>0</v>
      </c>
      <c r="DA1312" s="7">
        <f>0</f>
        <v>0</v>
      </c>
      <c r="DC1312" s="5" t="s">
        <v>812</v>
      </c>
      <c r="DD1312" s="5" t="s">
        <v>240</v>
      </c>
      <c r="DF1312" s="5" t="s">
        <v>812</v>
      </c>
      <c r="DG1312" s="7">
        <f>832</f>
        <v>832</v>
      </c>
      <c r="DI1312" s="5" t="s">
        <v>240</v>
      </c>
      <c r="DJ1312" s="5" t="s">
        <v>240</v>
      </c>
      <c r="DK1312" s="5" t="s">
        <v>240</v>
      </c>
      <c r="DL1312" s="5" t="s">
        <v>240</v>
      </c>
      <c r="DP1312" s="5" t="s">
        <v>240</v>
      </c>
      <c r="DQ1312" s="5" t="s">
        <v>240</v>
      </c>
      <c r="DR1312" s="5" t="s">
        <v>240</v>
      </c>
      <c r="DS1312" s="5" t="s">
        <v>240</v>
      </c>
      <c r="DV1312" s="5" t="s">
        <v>813</v>
      </c>
      <c r="DW1312" s="5" t="s">
        <v>2757</v>
      </c>
      <c r="HO1312" s="5" t="s">
        <v>312</v>
      </c>
    </row>
    <row r="1313" spans="1:223" x14ac:dyDescent="0.4">
      <c r="A1313" s="5">
        <v>2988</v>
      </c>
      <c r="B1313" s="5">
        <v>1</v>
      </c>
      <c r="C1313" s="5">
        <v>1</v>
      </c>
      <c r="D1313" s="5" t="s">
        <v>297</v>
      </c>
      <c r="E1313" s="5" t="s">
        <v>245</v>
      </c>
      <c r="F1313" s="5" t="s">
        <v>254</v>
      </c>
      <c r="G1313" s="5" t="s">
        <v>240</v>
      </c>
      <c r="H1313" s="6" t="s">
        <v>4902</v>
      </c>
      <c r="I1313" s="5" t="s">
        <v>295</v>
      </c>
      <c r="J1313" s="8">
        <f>1478</f>
        <v>1478</v>
      </c>
      <c r="K1313" s="5" t="s">
        <v>308</v>
      </c>
      <c r="L1313" s="7">
        <f>1</f>
        <v>1</v>
      </c>
      <c r="M1313" s="7">
        <f>1</f>
        <v>1</v>
      </c>
      <c r="N1313" s="5" t="s">
        <v>242</v>
      </c>
      <c r="O1313" s="5">
        <v>1</v>
      </c>
      <c r="P1313" s="5" t="s">
        <v>294</v>
      </c>
      <c r="Q1313" s="5" t="s">
        <v>266</v>
      </c>
      <c r="R1313" s="5" t="s">
        <v>240</v>
      </c>
      <c r="S1313" s="5" t="s">
        <v>240</v>
      </c>
      <c r="T1313" s="5" t="s">
        <v>296</v>
      </c>
      <c r="U1313" s="5" t="s">
        <v>244</v>
      </c>
      <c r="V1313" s="5" t="s">
        <v>240</v>
      </c>
      <c r="Y1313" s="5" t="s">
        <v>240</v>
      </c>
      <c r="Z1313" s="6" t="s">
        <v>298</v>
      </c>
      <c r="AB1313" s="6" t="s">
        <v>240</v>
      </c>
      <c r="AE1313" s="6" t="s">
        <v>299</v>
      </c>
      <c r="AF1313" s="5" t="s">
        <v>248</v>
      </c>
      <c r="AG1313" s="5" t="s">
        <v>249</v>
      </c>
      <c r="AW1313" s="5" t="s">
        <v>251</v>
      </c>
      <c r="AX1313" s="5" t="s">
        <v>240</v>
      </c>
      <c r="AY1313" s="5" t="s">
        <v>253</v>
      </c>
      <c r="AZ1313" s="5" t="s">
        <v>240</v>
      </c>
      <c r="BA1313" s="5" t="s">
        <v>255</v>
      </c>
      <c r="BB1313" s="5" t="s">
        <v>240</v>
      </c>
      <c r="BD1313" s="5" t="s">
        <v>240</v>
      </c>
      <c r="BF1313" s="5" t="s">
        <v>301</v>
      </c>
      <c r="BG1313" s="6" t="s">
        <v>299</v>
      </c>
      <c r="BH1313" s="5" t="s">
        <v>302</v>
      </c>
      <c r="BI1313" s="5" t="s">
        <v>303</v>
      </c>
      <c r="BJ1313" s="5" t="s">
        <v>240</v>
      </c>
      <c r="BK1313" s="8">
        <f>0</f>
        <v>0</v>
      </c>
      <c r="BL1313" s="7">
        <f>0</f>
        <v>0</v>
      </c>
      <c r="BM1313" s="5" t="s">
        <v>258</v>
      </c>
      <c r="BN1313" s="5" t="s">
        <v>259</v>
      </c>
      <c r="CB1313" s="5" t="s">
        <v>240</v>
      </c>
      <c r="CC1313" s="5" t="s">
        <v>240</v>
      </c>
      <c r="CG1313" s="5" t="s">
        <v>304</v>
      </c>
      <c r="CH1313" s="5" t="s">
        <v>305</v>
      </c>
      <c r="CI1313" s="5" t="s">
        <v>240</v>
      </c>
      <c r="CL1313" s="6" t="s">
        <v>261</v>
      </c>
      <c r="CM1313" s="5" t="s">
        <v>240</v>
      </c>
      <c r="CN1313" s="5" t="s">
        <v>263</v>
      </c>
      <c r="CO1313" s="5" t="s">
        <v>240</v>
      </c>
      <c r="CP1313" s="5" t="s">
        <v>240</v>
      </c>
      <c r="CQ1313" s="5">
        <v>0</v>
      </c>
      <c r="CR1313" s="5" t="s">
        <v>306</v>
      </c>
      <c r="CS1313" s="5" t="s">
        <v>307</v>
      </c>
      <c r="CT1313" s="5" t="s">
        <v>307</v>
      </c>
      <c r="CU1313" s="5" t="s">
        <v>260</v>
      </c>
      <c r="CX1313" s="7">
        <f>1</f>
        <v>1</v>
      </c>
      <c r="CY1313" s="7">
        <f>0</f>
        <v>0</v>
      </c>
      <c r="DA1313" s="7">
        <f>0</f>
        <v>0</v>
      </c>
      <c r="DC1313" s="5" t="s">
        <v>812</v>
      </c>
      <c r="DD1313" s="5" t="s">
        <v>240</v>
      </c>
      <c r="DF1313" s="5" t="s">
        <v>812</v>
      </c>
      <c r="DG1313" s="7">
        <f>361</f>
        <v>361</v>
      </c>
      <c r="DI1313" s="5" t="s">
        <v>240</v>
      </c>
      <c r="DJ1313" s="5" t="s">
        <v>240</v>
      </c>
      <c r="DK1313" s="5" t="s">
        <v>240</v>
      </c>
      <c r="DL1313" s="5" t="s">
        <v>240</v>
      </c>
      <c r="DP1313" s="5" t="s">
        <v>240</v>
      </c>
      <c r="DQ1313" s="5" t="s">
        <v>240</v>
      </c>
      <c r="DR1313" s="5" t="s">
        <v>240</v>
      </c>
      <c r="DS1313" s="5" t="s">
        <v>240</v>
      </c>
      <c r="DV1313" s="5" t="s">
        <v>813</v>
      </c>
      <c r="DW1313" s="5" t="s">
        <v>2759</v>
      </c>
      <c r="HO1313" s="5" t="s">
        <v>312</v>
      </c>
    </row>
    <row r="1314" spans="1:223" x14ac:dyDescent="0.4">
      <c r="A1314" s="5">
        <v>2989</v>
      </c>
      <c r="B1314" s="5">
        <v>1</v>
      </c>
      <c r="C1314" s="5">
        <v>1</v>
      </c>
      <c r="D1314" s="5" t="s">
        <v>297</v>
      </c>
      <c r="E1314" s="5" t="s">
        <v>245</v>
      </c>
      <c r="F1314" s="5" t="s">
        <v>254</v>
      </c>
      <c r="G1314" s="5" t="s">
        <v>240</v>
      </c>
      <c r="H1314" s="6" t="s">
        <v>6052</v>
      </c>
      <c r="I1314" s="5" t="s">
        <v>295</v>
      </c>
      <c r="J1314" s="8">
        <f>5594</f>
        <v>5594</v>
      </c>
      <c r="K1314" s="5" t="s">
        <v>308</v>
      </c>
      <c r="L1314" s="7">
        <f>1</f>
        <v>1</v>
      </c>
      <c r="M1314" s="7">
        <f>1</f>
        <v>1</v>
      </c>
      <c r="N1314" s="5" t="s">
        <v>242</v>
      </c>
      <c r="O1314" s="5">
        <v>1</v>
      </c>
      <c r="P1314" s="5" t="s">
        <v>294</v>
      </c>
      <c r="Q1314" s="5" t="s">
        <v>266</v>
      </c>
      <c r="R1314" s="5" t="s">
        <v>240</v>
      </c>
      <c r="S1314" s="5" t="s">
        <v>240</v>
      </c>
      <c r="T1314" s="5" t="s">
        <v>296</v>
      </c>
      <c r="U1314" s="5" t="s">
        <v>244</v>
      </c>
      <c r="V1314" s="5" t="s">
        <v>240</v>
      </c>
      <c r="Y1314" s="5" t="s">
        <v>240</v>
      </c>
      <c r="Z1314" s="6" t="s">
        <v>298</v>
      </c>
      <c r="AB1314" s="6" t="s">
        <v>240</v>
      </c>
      <c r="AE1314" s="6" t="s">
        <v>299</v>
      </c>
      <c r="AF1314" s="5" t="s">
        <v>248</v>
      </c>
      <c r="AG1314" s="5" t="s">
        <v>249</v>
      </c>
      <c r="AW1314" s="5" t="s">
        <v>251</v>
      </c>
      <c r="AX1314" s="5" t="s">
        <v>240</v>
      </c>
      <c r="AY1314" s="5" t="s">
        <v>253</v>
      </c>
      <c r="AZ1314" s="5" t="s">
        <v>240</v>
      </c>
      <c r="BA1314" s="5" t="s">
        <v>255</v>
      </c>
      <c r="BB1314" s="5" t="s">
        <v>240</v>
      </c>
      <c r="BD1314" s="5" t="s">
        <v>240</v>
      </c>
      <c r="BF1314" s="5" t="s">
        <v>301</v>
      </c>
      <c r="BG1314" s="6" t="s">
        <v>299</v>
      </c>
      <c r="BH1314" s="5" t="s">
        <v>302</v>
      </c>
      <c r="BI1314" s="5" t="s">
        <v>303</v>
      </c>
      <c r="BJ1314" s="5" t="s">
        <v>240</v>
      </c>
      <c r="BK1314" s="8">
        <f>0</f>
        <v>0</v>
      </c>
      <c r="BL1314" s="7">
        <f>0</f>
        <v>0</v>
      </c>
      <c r="BM1314" s="5" t="s">
        <v>258</v>
      </c>
      <c r="BN1314" s="5" t="s">
        <v>259</v>
      </c>
      <c r="CB1314" s="5" t="s">
        <v>240</v>
      </c>
      <c r="CC1314" s="5" t="s">
        <v>240</v>
      </c>
      <c r="CG1314" s="5" t="s">
        <v>304</v>
      </c>
      <c r="CH1314" s="5" t="s">
        <v>305</v>
      </c>
      <c r="CI1314" s="5" t="s">
        <v>240</v>
      </c>
      <c r="CL1314" s="6" t="s">
        <v>261</v>
      </c>
      <c r="CM1314" s="5" t="s">
        <v>240</v>
      </c>
      <c r="CN1314" s="5" t="s">
        <v>263</v>
      </c>
      <c r="CO1314" s="5" t="s">
        <v>240</v>
      </c>
      <c r="CP1314" s="5" t="s">
        <v>240</v>
      </c>
      <c r="CQ1314" s="5">
        <v>0</v>
      </c>
      <c r="CR1314" s="5" t="s">
        <v>306</v>
      </c>
      <c r="CS1314" s="5" t="s">
        <v>307</v>
      </c>
      <c r="CT1314" s="5" t="s">
        <v>307</v>
      </c>
      <c r="CU1314" s="5" t="s">
        <v>260</v>
      </c>
      <c r="CX1314" s="7">
        <f>1</f>
        <v>1</v>
      </c>
      <c r="CY1314" s="7">
        <f>0</f>
        <v>0</v>
      </c>
      <c r="DA1314" s="7">
        <f>0</f>
        <v>0</v>
      </c>
      <c r="DC1314" s="5" t="s">
        <v>812</v>
      </c>
      <c r="DD1314" s="5" t="s">
        <v>240</v>
      </c>
      <c r="DF1314" s="5" t="s">
        <v>812</v>
      </c>
      <c r="DG1314" s="7">
        <f>260</f>
        <v>260</v>
      </c>
      <c r="DI1314" s="5" t="s">
        <v>240</v>
      </c>
      <c r="DJ1314" s="5" t="s">
        <v>240</v>
      </c>
      <c r="DK1314" s="5" t="s">
        <v>240</v>
      </c>
      <c r="DL1314" s="5" t="s">
        <v>240</v>
      </c>
      <c r="DP1314" s="5" t="s">
        <v>240</v>
      </c>
      <c r="DQ1314" s="5" t="s">
        <v>240</v>
      </c>
      <c r="DR1314" s="5" t="s">
        <v>240</v>
      </c>
      <c r="DS1314" s="5" t="s">
        <v>240</v>
      </c>
      <c r="DV1314" s="5" t="s">
        <v>813</v>
      </c>
      <c r="DW1314" s="5" t="s">
        <v>2761</v>
      </c>
      <c r="HO1314" s="5" t="s">
        <v>312</v>
      </c>
    </row>
    <row r="1315" spans="1:223" x14ac:dyDescent="0.4">
      <c r="A1315" s="5">
        <v>2990</v>
      </c>
      <c r="B1315" s="5">
        <v>1</v>
      </c>
      <c r="C1315" s="5">
        <v>1</v>
      </c>
      <c r="D1315" s="5" t="s">
        <v>297</v>
      </c>
      <c r="E1315" s="5" t="s">
        <v>245</v>
      </c>
      <c r="F1315" s="5" t="s">
        <v>254</v>
      </c>
      <c r="G1315" s="5" t="s">
        <v>240</v>
      </c>
      <c r="H1315" s="6" t="s">
        <v>5971</v>
      </c>
      <c r="I1315" s="5" t="s">
        <v>295</v>
      </c>
      <c r="J1315" s="8">
        <f>106</f>
        <v>106</v>
      </c>
      <c r="K1315" s="5" t="s">
        <v>308</v>
      </c>
      <c r="L1315" s="7">
        <f>1</f>
        <v>1</v>
      </c>
      <c r="M1315" s="7">
        <f>1</f>
        <v>1</v>
      </c>
      <c r="N1315" s="5" t="s">
        <v>242</v>
      </c>
      <c r="O1315" s="5">
        <v>1</v>
      </c>
      <c r="P1315" s="5" t="s">
        <v>294</v>
      </c>
      <c r="Q1315" s="5" t="s">
        <v>266</v>
      </c>
      <c r="R1315" s="5" t="s">
        <v>240</v>
      </c>
      <c r="S1315" s="5" t="s">
        <v>240</v>
      </c>
      <c r="T1315" s="5" t="s">
        <v>296</v>
      </c>
      <c r="U1315" s="5" t="s">
        <v>244</v>
      </c>
      <c r="V1315" s="5" t="s">
        <v>240</v>
      </c>
      <c r="Y1315" s="5" t="s">
        <v>240</v>
      </c>
      <c r="Z1315" s="6" t="s">
        <v>298</v>
      </c>
      <c r="AB1315" s="6" t="s">
        <v>240</v>
      </c>
      <c r="AE1315" s="6" t="s">
        <v>299</v>
      </c>
      <c r="AF1315" s="5" t="s">
        <v>248</v>
      </c>
      <c r="AG1315" s="5" t="s">
        <v>249</v>
      </c>
      <c r="AW1315" s="5" t="s">
        <v>251</v>
      </c>
      <c r="AX1315" s="5" t="s">
        <v>240</v>
      </c>
      <c r="AY1315" s="5" t="s">
        <v>253</v>
      </c>
      <c r="AZ1315" s="5" t="s">
        <v>240</v>
      </c>
      <c r="BA1315" s="5" t="s">
        <v>255</v>
      </c>
      <c r="BB1315" s="5" t="s">
        <v>240</v>
      </c>
      <c r="BD1315" s="5" t="s">
        <v>240</v>
      </c>
      <c r="BF1315" s="5" t="s">
        <v>301</v>
      </c>
      <c r="BG1315" s="6" t="s">
        <v>299</v>
      </c>
      <c r="BH1315" s="5" t="s">
        <v>302</v>
      </c>
      <c r="BI1315" s="5" t="s">
        <v>303</v>
      </c>
      <c r="BJ1315" s="5" t="s">
        <v>240</v>
      </c>
      <c r="BK1315" s="8">
        <f>0</f>
        <v>0</v>
      </c>
      <c r="BL1315" s="7">
        <f>0</f>
        <v>0</v>
      </c>
      <c r="BM1315" s="5" t="s">
        <v>258</v>
      </c>
      <c r="BN1315" s="5" t="s">
        <v>259</v>
      </c>
      <c r="CB1315" s="5" t="s">
        <v>240</v>
      </c>
      <c r="CC1315" s="5" t="s">
        <v>240</v>
      </c>
      <c r="CG1315" s="5" t="s">
        <v>304</v>
      </c>
      <c r="CH1315" s="5" t="s">
        <v>305</v>
      </c>
      <c r="CI1315" s="5" t="s">
        <v>240</v>
      </c>
      <c r="CL1315" s="6" t="s">
        <v>261</v>
      </c>
      <c r="CM1315" s="5" t="s">
        <v>240</v>
      </c>
      <c r="CN1315" s="5" t="s">
        <v>263</v>
      </c>
      <c r="CO1315" s="5" t="s">
        <v>240</v>
      </c>
      <c r="CP1315" s="5" t="s">
        <v>240</v>
      </c>
      <c r="CQ1315" s="5">
        <v>0</v>
      </c>
      <c r="CR1315" s="5" t="s">
        <v>306</v>
      </c>
      <c r="CS1315" s="5" t="s">
        <v>307</v>
      </c>
      <c r="CT1315" s="5" t="s">
        <v>307</v>
      </c>
      <c r="CU1315" s="5" t="s">
        <v>260</v>
      </c>
      <c r="CX1315" s="7">
        <f>1</f>
        <v>1</v>
      </c>
      <c r="CY1315" s="7">
        <f>0</f>
        <v>0</v>
      </c>
      <c r="DA1315" s="7">
        <f>0</f>
        <v>0</v>
      </c>
      <c r="DC1315" s="5" t="s">
        <v>812</v>
      </c>
      <c r="DD1315" s="5" t="s">
        <v>240</v>
      </c>
      <c r="DF1315" s="5" t="s">
        <v>812</v>
      </c>
      <c r="DG1315" s="7">
        <f>260</f>
        <v>260</v>
      </c>
      <c r="DI1315" s="5" t="s">
        <v>240</v>
      </c>
      <c r="DJ1315" s="5" t="s">
        <v>240</v>
      </c>
      <c r="DK1315" s="5" t="s">
        <v>240</v>
      </c>
      <c r="DL1315" s="5" t="s">
        <v>240</v>
      </c>
      <c r="DP1315" s="5" t="s">
        <v>240</v>
      </c>
      <c r="DQ1315" s="5" t="s">
        <v>240</v>
      </c>
      <c r="DR1315" s="5" t="s">
        <v>240</v>
      </c>
      <c r="DS1315" s="5" t="s">
        <v>240</v>
      </c>
      <c r="DV1315" s="5" t="s">
        <v>813</v>
      </c>
      <c r="DW1315" s="5" t="s">
        <v>2763</v>
      </c>
      <c r="HO1315" s="5" t="s">
        <v>312</v>
      </c>
    </row>
    <row r="1316" spans="1:223" x14ac:dyDescent="0.4">
      <c r="A1316" s="5">
        <v>2991</v>
      </c>
      <c r="B1316" s="5">
        <v>1</v>
      </c>
      <c r="C1316" s="5">
        <v>1</v>
      </c>
      <c r="D1316" s="5" t="s">
        <v>297</v>
      </c>
      <c r="E1316" s="5" t="s">
        <v>245</v>
      </c>
      <c r="F1316" s="5" t="s">
        <v>254</v>
      </c>
      <c r="G1316" s="5" t="s">
        <v>240</v>
      </c>
      <c r="H1316" s="6" t="s">
        <v>5970</v>
      </c>
      <c r="I1316" s="5" t="s">
        <v>295</v>
      </c>
      <c r="J1316" s="8">
        <f>681</f>
        <v>681</v>
      </c>
      <c r="K1316" s="5" t="s">
        <v>308</v>
      </c>
      <c r="L1316" s="7">
        <f>1</f>
        <v>1</v>
      </c>
      <c r="M1316" s="7">
        <f>1</f>
        <v>1</v>
      </c>
      <c r="N1316" s="5" t="s">
        <v>242</v>
      </c>
      <c r="O1316" s="5">
        <v>1</v>
      </c>
      <c r="P1316" s="5" t="s">
        <v>294</v>
      </c>
      <c r="Q1316" s="5" t="s">
        <v>266</v>
      </c>
      <c r="R1316" s="5" t="s">
        <v>240</v>
      </c>
      <c r="S1316" s="5" t="s">
        <v>240</v>
      </c>
      <c r="T1316" s="5" t="s">
        <v>296</v>
      </c>
      <c r="U1316" s="5" t="s">
        <v>244</v>
      </c>
      <c r="V1316" s="5" t="s">
        <v>240</v>
      </c>
      <c r="Y1316" s="5" t="s">
        <v>240</v>
      </c>
      <c r="Z1316" s="6" t="s">
        <v>298</v>
      </c>
      <c r="AB1316" s="6" t="s">
        <v>240</v>
      </c>
      <c r="AE1316" s="6" t="s">
        <v>299</v>
      </c>
      <c r="AF1316" s="5" t="s">
        <v>248</v>
      </c>
      <c r="AG1316" s="5" t="s">
        <v>249</v>
      </c>
      <c r="AW1316" s="5" t="s">
        <v>251</v>
      </c>
      <c r="AX1316" s="5" t="s">
        <v>240</v>
      </c>
      <c r="AY1316" s="5" t="s">
        <v>253</v>
      </c>
      <c r="AZ1316" s="5" t="s">
        <v>240</v>
      </c>
      <c r="BA1316" s="5" t="s">
        <v>255</v>
      </c>
      <c r="BB1316" s="5" t="s">
        <v>240</v>
      </c>
      <c r="BD1316" s="5" t="s">
        <v>240</v>
      </c>
      <c r="BF1316" s="5" t="s">
        <v>301</v>
      </c>
      <c r="BG1316" s="6" t="s">
        <v>299</v>
      </c>
      <c r="BH1316" s="5" t="s">
        <v>302</v>
      </c>
      <c r="BI1316" s="5" t="s">
        <v>303</v>
      </c>
      <c r="BJ1316" s="5" t="s">
        <v>240</v>
      </c>
      <c r="BK1316" s="8">
        <f>0</f>
        <v>0</v>
      </c>
      <c r="BL1316" s="7">
        <f>0</f>
        <v>0</v>
      </c>
      <c r="BM1316" s="5" t="s">
        <v>258</v>
      </c>
      <c r="BN1316" s="5" t="s">
        <v>259</v>
      </c>
      <c r="CB1316" s="5" t="s">
        <v>240</v>
      </c>
      <c r="CC1316" s="5" t="s">
        <v>240</v>
      </c>
      <c r="CG1316" s="5" t="s">
        <v>304</v>
      </c>
      <c r="CH1316" s="5" t="s">
        <v>305</v>
      </c>
      <c r="CI1316" s="5" t="s">
        <v>240</v>
      </c>
      <c r="CL1316" s="6" t="s">
        <v>261</v>
      </c>
      <c r="CM1316" s="5" t="s">
        <v>240</v>
      </c>
      <c r="CN1316" s="5" t="s">
        <v>263</v>
      </c>
      <c r="CO1316" s="5" t="s">
        <v>240</v>
      </c>
      <c r="CP1316" s="5" t="s">
        <v>240</v>
      </c>
      <c r="CQ1316" s="5">
        <v>0</v>
      </c>
      <c r="CR1316" s="5" t="s">
        <v>306</v>
      </c>
      <c r="CS1316" s="5" t="s">
        <v>307</v>
      </c>
      <c r="CT1316" s="5" t="s">
        <v>307</v>
      </c>
      <c r="CU1316" s="5" t="s">
        <v>260</v>
      </c>
      <c r="CX1316" s="7">
        <f>1</f>
        <v>1</v>
      </c>
      <c r="CY1316" s="7">
        <f>0</f>
        <v>0</v>
      </c>
      <c r="DA1316" s="7">
        <f>0</f>
        <v>0</v>
      </c>
      <c r="DC1316" s="5" t="s">
        <v>812</v>
      </c>
      <c r="DD1316" s="5" t="s">
        <v>240</v>
      </c>
      <c r="DF1316" s="5" t="s">
        <v>812</v>
      </c>
      <c r="DG1316" s="7">
        <f>579</f>
        <v>579</v>
      </c>
      <c r="DI1316" s="5" t="s">
        <v>240</v>
      </c>
      <c r="DJ1316" s="5" t="s">
        <v>240</v>
      </c>
      <c r="DK1316" s="5" t="s">
        <v>240</v>
      </c>
      <c r="DL1316" s="5" t="s">
        <v>240</v>
      </c>
      <c r="DP1316" s="5" t="s">
        <v>240</v>
      </c>
      <c r="DQ1316" s="5" t="s">
        <v>240</v>
      </c>
      <c r="DR1316" s="5" t="s">
        <v>240</v>
      </c>
      <c r="DS1316" s="5" t="s">
        <v>240</v>
      </c>
      <c r="DV1316" s="5" t="s">
        <v>813</v>
      </c>
      <c r="DW1316" s="5" t="s">
        <v>2765</v>
      </c>
      <c r="HO1316" s="5" t="s">
        <v>312</v>
      </c>
    </row>
    <row r="1317" spans="1:223" x14ac:dyDescent="0.4">
      <c r="A1317" s="5">
        <v>2992</v>
      </c>
      <c r="B1317" s="5">
        <v>1</v>
      </c>
      <c r="C1317" s="5">
        <v>1</v>
      </c>
      <c r="D1317" s="5" t="s">
        <v>297</v>
      </c>
      <c r="E1317" s="5" t="s">
        <v>245</v>
      </c>
      <c r="F1317" s="5" t="s">
        <v>254</v>
      </c>
      <c r="G1317" s="5" t="s">
        <v>240</v>
      </c>
      <c r="H1317" s="6" t="s">
        <v>4895</v>
      </c>
      <c r="I1317" s="5" t="s">
        <v>295</v>
      </c>
      <c r="J1317" s="8">
        <f>1301</f>
        <v>1301</v>
      </c>
      <c r="K1317" s="5" t="s">
        <v>308</v>
      </c>
      <c r="L1317" s="7">
        <f>1</f>
        <v>1</v>
      </c>
      <c r="M1317" s="7">
        <f>1</f>
        <v>1</v>
      </c>
      <c r="N1317" s="5" t="s">
        <v>242</v>
      </c>
      <c r="O1317" s="5">
        <v>1</v>
      </c>
      <c r="P1317" s="5" t="s">
        <v>294</v>
      </c>
      <c r="Q1317" s="5" t="s">
        <v>266</v>
      </c>
      <c r="R1317" s="5" t="s">
        <v>240</v>
      </c>
      <c r="S1317" s="5" t="s">
        <v>240</v>
      </c>
      <c r="T1317" s="5" t="s">
        <v>296</v>
      </c>
      <c r="U1317" s="5" t="s">
        <v>244</v>
      </c>
      <c r="V1317" s="5" t="s">
        <v>240</v>
      </c>
      <c r="Y1317" s="5" t="s">
        <v>240</v>
      </c>
      <c r="Z1317" s="6" t="s">
        <v>298</v>
      </c>
      <c r="AB1317" s="6" t="s">
        <v>240</v>
      </c>
      <c r="AE1317" s="6" t="s">
        <v>299</v>
      </c>
      <c r="AF1317" s="5" t="s">
        <v>248</v>
      </c>
      <c r="AG1317" s="5" t="s">
        <v>249</v>
      </c>
      <c r="AW1317" s="5" t="s">
        <v>251</v>
      </c>
      <c r="AX1317" s="5" t="s">
        <v>240</v>
      </c>
      <c r="AY1317" s="5" t="s">
        <v>253</v>
      </c>
      <c r="AZ1317" s="5" t="s">
        <v>240</v>
      </c>
      <c r="BA1317" s="5" t="s">
        <v>255</v>
      </c>
      <c r="BB1317" s="5" t="s">
        <v>240</v>
      </c>
      <c r="BD1317" s="5" t="s">
        <v>240</v>
      </c>
      <c r="BF1317" s="5" t="s">
        <v>301</v>
      </c>
      <c r="BG1317" s="6" t="s">
        <v>299</v>
      </c>
      <c r="BH1317" s="5" t="s">
        <v>302</v>
      </c>
      <c r="BI1317" s="5" t="s">
        <v>303</v>
      </c>
      <c r="BJ1317" s="5" t="s">
        <v>240</v>
      </c>
      <c r="BK1317" s="8">
        <f>0</f>
        <v>0</v>
      </c>
      <c r="BL1317" s="7">
        <f>0</f>
        <v>0</v>
      </c>
      <c r="BM1317" s="5" t="s">
        <v>258</v>
      </c>
      <c r="BN1317" s="5" t="s">
        <v>259</v>
      </c>
      <c r="CB1317" s="5" t="s">
        <v>240</v>
      </c>
      <c r="CC1317" s="5" t="s">
        <v>240</v>
      </c>
      <c r="CG1317" s="5" t="s">
        <v>304</v>
      </c>
      <c r="CH1317" s="5" t="s">
        <v>305</v>
      </c>
      <c r="CI1317" s="5" t="s">
        <v>240</v>
      </c>
      <c r="CL1317" s="6" t="s">
        <v>261</v>
      </c>
      <c r="CM1317" s="5" t="s">
        <v>240</v>
      </c>
      <c r="CN1317" s="5" t="s">
        <v>263</v>
      </c>
      <c r="CO1317" s="5" t="s">
        <v>240</v>
      </c>
      <c r="CP1317" s="5" t="s">
        <v>240</v>
      </c>
      <c r="CQ1317" s="5">
        <v>0</v>
      </c>
      <c r="CR1317" s="5" t="s">
        <v>306</v>
      </c>
      <c r="CS1317" s="5" t="s">
        <v>307</v>
      </c>
      <c r="CT1317" s="5" t="s">
        <v>307</v>
      </c>
      <c r="CU1317" s="5" t="s">
        <v>260</v>
      </c>
      <c r="CX1317" s="7">
        <f>1</f>
        <v>1</v>
      </c>
      <c r="CY1317" s="7">
        <f>0</f>
        <v>0</v>
      </c>
      <c r="DA1317" s="7">
        <f>0</f>
        <v>0</v>
      </c>
      <c r="DC1317" s="5" t="s">
        <v>812</v>
      </c>
      <c r="DD1317" s="5" t="s">
        <v>240</v>
      </c>
      <c r="DF1317" s="5" t="s">
        <v>812</v>
      </c>
      <c r="DG1317" s="7">
        <f>355</f>
        <v>355</v>
      </c>
      <c r="DI1317" s="5" t="s">
        <v>240</v>
      </c>
      <c r="DJ1317" s="5" t="s">
        <v>240</v>
      </c>
      <c r="DK1317" s="5" t="s">
        <v>240</v>
      </c>
      <c r="DL1317" s="5" t="s">
        <v>240</v>
      </c>
      <c r="DP1317" s="5" t="s">
        <v>240</v>
      </c>
      <c r="DQ1317" s="5" t="s">
        <v>240</v>
      </c>
      <c r="DR1317" s="5" t="s">
        <v>240</v>
      </c>
      <c r="DS1317" s="5" t="s">
        <v>240</v>
      </c>
      <c r="DV1317" s="5" t="s">
        <v>813</v>
      </c>
      <c r="DW1317" s="5" t="s">
        <v>2767</v>
      </c>
      <c r="HO1317" s="5" t="s">
        <v>312</v>
      </c>
    </row>
    <row r="1318" spans="1:223" x14ac:dyDescent="0.4">
      <c r="A1318" s="5">
        <v>2993</v>
      </c>
      <c r="B1318" s="5">
        <v>1</v>
      </c>
      <c r="C1318" s="5">
        <v>1</v>
      </c>
      <c r="D1318" s="5" t="s">
        <v>297</v>
      </c>
      <c r="E1318" s="5" t="s">
        <v>245</v>
      </c>
      <c r="F1318" s="5" t="s">
        <v>254</v>
      </c>
      <c r="G1318" s="5" t="s">
        <v>240</v>
      </c>
      <c r="H1318" s="6" t="s">
        <v>5969</v>
      </c>
      <c r="I1318" s="5" t="s">
        <v>295</v>
      </c>
      <c r="J1318" s="8">
        <f>150</f>
        <v>150</v>
      </c>
      <c r="K1318" s="5" t="s">
        <v>308</v>
      </c>
      <c r="L1318" s="7">
        <f>1</f>
        <v>1</v>
      </c>
      <c r="M1318" s="7">
        <f>1</f>
        <v>1</v>
      </c>
      <c r="N1318" s="5" t="s">
        <v>242</v>
      </c>
      <c r="O1318" s="5">
        <v>1</v>
      </c>
      <c r="P1318" s="5" t="s">
        <v>294</v>
      </c>
      <c r="Q1318" s="5" t="s">
        <v>266</v>
      </c>
      <c r="R1318" s="5" t="s">
        <v>240</v>
      </c>
      <c r="S1318" s="5" t="s">
        <v>240</v>
      </c>
      <c r="T1318" s="5" t="s">
        <v>296</v>
      </c>
      <c r="U1318" s="5" t="s">
        <v>244</v>
      </c>
      <c r="V1318" s="5" t="s">
        <v>240</v>
      </c>
      <c r="Y1318" s="5" t="s">
        <v>240</v>
      </c>
      <c r="Z1318" s="6" t="s">
        <v>298</v>
      </c>
      <c r="AB1318" s="6" t="s">
        <v>240</v>
      </c>
      <c r="AE1318" s="6" t="s">
        <v>299</v>
      </c>
      <c r="AF1318" s="5" t="s">
        <v>248</v>
      </c>
      <c r="AG1318" s="5" t="s">
        <v>249</v>
      </c>
      <c r="AW1318" s="5" t="s">
        <v>251</v>
      </c>
      <c r="AX1318" s="5" t="s">
        <v>240</v>
      </c>
      <c r="AY1318" s="5" t="s">
        <v>253</v>
      </c>
      <c r="AZ1318" s="5" t="s">
        <v>240</v>
      </c>
      <c r="BA1318" s="5" t="s">
        <v>255</v>
      </c>
      <c r="BB1318" s="5" t="s">
        <v>240</v>
      </c>
      <c r="BD1318" s="5" t="s">
        <v>240</v>
      </c>
      <c r="BF1318" s="5" t="s">
        <v>301</v>
      </c>
      <c r="BG1318" s="6" t="s">
        <v>299</v>
      </c>
      <c r="BH1318" s="5" t="s">
        <v>302</v>
      </c>
      <c r="BI1318" s="5" t="s">
        <v>303</v>
      </c>
      <c r="BJ1318" s="5" t="s">
        <v>240</v>
      </c>
      <c r="BK1318" s="8">
        <f>0</f>
        <v>0</v>
      </c>
      <c r="BL1318" s="7">
        <f>0</f>
        <v>0</v>
      </c>
      <c r="BM1318" s="5" t="s">
        <v>258</v>
      </c>
      <c r="BN1318" s="5" t="s">
        <v>259</v>
      </c>
      <c r="CB1318" s="5" t="s">
        <v>240</v>
      </c>
      <c r="CC1318" s="5" t="s">
        <v>240</v>
      </c>
      <c r="CG1318" s="5" t="s">
        <v>304</v>
      </c>
      <c r="CH1318" s="5" t="s">
        <v>305</v>
      </c>
      <c r="CI1318" s="5" t="s">
        <v>240</v>
      </c>
      <c r="CL1318" s="6" t="s">
        <v>261</v>
      </c>
      <c r="CM1318" s="5" t="s">
        <v>240</v>
      </c>
      <c r="CN1318" s="5" t="s">
        <v>263</v>
      </c>
      <c r="CO1318" s="5" t="s">
        <v>240</v>
      </c>
      <c r="CP1318" s="5" t="s">
        <v>240</v>
      </c>
      <c r="CQ1318" s="5">
        <v>0</v>
      </c>
      <c r="CR1318" s="5" t="s">
        <v>306</v>
      </c>
      <c r="CS1318" s="5" t="s">
        <v>307</v>
      </c>
      <c r="CT1318" s="5" t="s">
        <v>307</v>
      </c>
      <c r="CU1318" s="5" t="s">
        <v>260</v>
      </c>
      <c r="CX1318" s="7">
        <f>1</f>
        <v>1</v>
      </c>
      <c r="CY1318" s="7">
        <f>0</f>
        <v>0</v>
      </c>
      <c r="DA1318" s="7">
        <f>0</f>
        <v>0</v>
      </c>
      <c r="DC1318" s="5" t="s">
        <v>812</v>
      </c>
      <c r="DD1318" s="5" t="s">
        <v>240</v>
      </c>
      <c r="DF1318" s="5" t="s">
        <v>812</v>
      </c>
      <c r="DG1318" s="7">
        <f>394</f>
        <v>394</v>
      </c>
      <c r="DI1318" s="5" t="s">
        <v>240</v>
      </c>
      <c r="DJ1318" s="5" t="s">
        <v>240</v>
      </c>
      <c r="DK1318" s="5" t="s">
        <v>240</v>
      </c>
      <c r="DL1318" s="5" t="s">
        <v>240</v>
      </c>
      <c r="DP1318" s="5" t="s">
        <v>240</v>
      </c>
      <c r="DQ1318" s="5" t="s">
        <v>240</v>
      </c>
      <c r="DR1318" s="5" t="s">
        <v>240</v>
      </c>
      <c r="DS1318" s="5" t="s">
        <v>240</v>
      </c>
      <c r="DV1318" s="5" t="s">
        <v>813</v>
      </c>
      <c r="DW1318" s="5" t="s">
        <v>2769</v>
      </c>
      <c r="HO1318" s="5" t="s">
        <v>312</v>
      </c>
    </row>
    <row r="1319" spans="1:223" x14ac:dyDescent="0.4">
      <c r="A1319" s="5">
        <v>2994</v>
      </c>
      <c r="B1319" s="5">
        <v>1</v>
      </c>
      <c r="C1319" s="5">
        <v>1</v>
      </c>
      <c r="D1319" s="5" t="s">
        <v>297</v>
      </c>
      <c r="E1319" s="5" t="s">
        <v>245</v>
      </c>
      <c r="F1319" s="5" t="s">
        <v>254</v>
      </c>
      <c r="G1319" s="5" t="s">
        <v>240</v>
      </c>
      <c r="H1319" s="6" t="s">
        <v>4893</v>
      </c>
      <c r="I1319" s="5" t="s">
        <v>295</v>
      </c>
      <c r="J1319" s="8">
        <f>81</f>
        <v>81</v>
      </c>
      <c r="K1319" s="5" t="s">
        <v>308</v>
      </c>
      <c r="L1319" s="7">
        <f>1</f>
        <v>1</v>
      </c>
      <c r="M1319" s="7">
        <f>1</f>
        <v>1</v>
      </c>
      <c r="N1319" s="5" t="s">
        <v>242</v>
      </c>
      <c r="O1319" s="5">
        <v>1</v>
      </c>
      <c r="P1319" s="5" t="s">
        <v>294</v>
      </c>
      <c r="Q1319" s="5" t="s">
        <v>266</v>
      </c>
      <c r="R1319" s="5" t="s">
        <v>240</v>
      </c>
      <c r="S1319" s="5" t="s">
        <v>240</v>
      </c>
      <c r="T1319" s="5" t="s">
        <v>296</v>
      </c>
      <c r="U1319" s="5" t="s">
        <v>244</v>
      </c>
      <c r="V1319" s="5" t="s">
        <v>240</v>
      </c>
      <c r="Y1319" s="5" t="s">
        <v>240</v>
      </c>
      <c r="Z1319" s="6" t="s">
        <v>298</v>
      </c>
      <c r="AB1319" s="6" t="s">
        <v>240</v>
      </c>
      <c r="AE1319" s="6" t="s">
        <v>299</v>
      </c>
      <c r="AF1319" s="5" t="s">
        <v>248</v>
      </c>
      <c r="AG1319" s="5" t="s">
        <v>249</v>
      </c>
      <c r="AW1319" s="5" t="s">
        <v>251</v>
      </c>
      <c r="AX1319" s="5" t="s">
        <v>240</v>
      </c>
      <c r="AY1319" s="5" t="s">
        <v>253</v>
      </c>
      <c r="AZ1319" s="5" t="s">
        <v>240</v>
      </c>
      <c r="BA1319" s="5" t="s">
        <v>255</v>
      </c>
      <c r="BB1319" s="5" t="s">
        <v>240</v>
      </c>
      <c r="BD1319" s="5" t="s">
        <v>240</v>
      </c>
      <c r="BF1319" s="5" t="s">
        <v>301</v>
      </c>
      <c r="BG1319" s="6" t="s">
        <v>299</v>
      </c>
      <c r="BH1319" s="5" t="s">
        <v>302</v>
      </c>
      <c r="BI1319" s="5" t="s">
        <v>303</v>
      </c>
      <c r="BJ1319" s="5" t="s">
        <v>240</v>
      </c>
      <c r="BK1319" s="8">
        <f>0</f>
        <v>0</v>
      </c>
      <c r="BL1319" s="7">
        <f>0</f>
        <v>0</v>
      </c>
      <c r="BM1319" s="5" t="s">
        <v>258</v>
      </c>
      <c r="BN1319" s="5" t="s">
        <v>259</v>
      </c>
      <c r="CB1319" s="5" t="s">
        <v>240</v>
      </c>
      <c r="CC1319" s="5" t="s">
        <v>240</v>
      </c>
      <c r="CG1319" s="5" t="s">
        <v>304</v>
      </c>
      <c r="CH1319" s="5" t="s">
        <v>305</v>
      </c>
      <c r="CI1319" s="5" t="s">
        <v>240</v>
      </c>
      <c r="CL1319" s="6" t="s">
        <v>261</v>
      </c>
      <c r="CM1319" s="5" t="s">
        <v>240</v>
      </c>
      <c r="CN1319" s="5" t="s">
        <v>263</v>
      </c>
      <c r="CO1319" s="5" t="s">
        <v>240</v>
      </c>
      <c r="CP1319" s="5" t="s">
        <v>240</v>
      </c>
      <c r="CQ1319" s="5">
        <v>0</v>
      </c>
      <c r="CR1319" s="5" t="s">
        <v>306</v>
      </c>
      <c r="CS1319" s="5" t="s">
        <v>307</v>
      </c>
      <c r="CT1319" s="5" t="s">
        <v>307</v>
      </c>
      <c r="CU1319" s="5" t="s">
        <v>260</v>
      </c>
      <c r="CX1319" s="7">
        <f>1</f>
        <v>1</v>
      </c>
      <c r="CY1319" s="7">
        <f>0</f>
        <v>0</v>
      </c>
      <c r="DA1319" s="7">
        <f>0</f>
        <v>0</v>
      </c>
      <c r="DC1319" s="5" t="s">
        <v>812</v>
      </c>
      <c r="DD1319" s="5" t="s">
        <v>240</v>
      </c>
      <c r="DF1319" s="5" t="s">
        <v>812</v>
      </c>
      <c r="DG1319" s="7">
        <f>298</f>
        <v>298</v>
      </c>
      <c r="DI1319" s="5" t="s">
        <v>240</v>
      </c>
      <c r="DJ1319" s="5" t="s">
        <v>240</v>
      </c>
      <c r="DK1319" s="5" t="s">
        <v>240</v>
      </c>
      <c r="DL1319" s="5" t="s">
        <v>240</v>
      </c>
      <c r="DP1319" s="5" t="s">
        <v>240</v>
      </c>
      <c r="DQ1319" s="5" t="s">
        <v>240</v>
      </c>
      <c r="DR1319" s="5" t="s">
        <v>240</v>
      </c>
      <c r="DS1319" s="5" t="s">
        <v>240</v>
      </c>
      <c r="DV1319" s="5" t="s">
        <v>813</v>
      </c>
      <c r="DW1319" s="5" t="s">
        <v>2771</v>
      </c>
      <c r="HO1319" s="5" t="s">
        <v>312</v>
      </c>
    </row>
    <row r="1320" spans="1:223" x14ac:dyDescent="0.4">
      <c r="A1320" s="5">
        <v>2995</v>
      </c>
      <c r="B1320" s="5">
        <v>1</v>
      </c>
      <c r="C1320" s="5">
        <v>1</v>
      </c>
      <c r="D1320" s="5" t="s">
        <v>297</v>
      </c>
      <c r="E1320" s="5" t="s">
        <v>245</v>
      </c>
      <c r="F1320" s="5" t="s">
        <v>254</v>
      </c>
      <c r="G1320" s="5" t="s">
        <v>240</v>
      </c>
      <c r="H1320" s="6" t="s">
        <v>4892</v>
      </c>
      <c r="I1320" s="5" t="s">
        <v>295</v>
      </c>
      <c r="J1320" s="8">
        <f>787</f>
        <v>787</v>
      </c>
      <c r="K1320" s="5" t="s">
        <v>308</v>
      </c>
      <c r="L1320" s="7">
        <f>1</f>
        <v>1</v>
      </c>
      <c r="M1320" s="7">
        <f>1</f>
        <v>1</v>
      </c>
      <c r="N1320" s="5" t="s">
        <v>242</v>
      </c>
      <c r="O1320" s="5">
        <v>1</v>
      </c>
      <c r="P1320" s="5" t="s">
        <v>294</v>
      </c>
      <c r="Q1320" s="5" t="s">
        <v>266</v>
      </c>
      <c r="R1320" s="5" t="s">
        <v>240</v>
      </c>
      <c r="S1320" s="5" t="s">
        <v>240</v>
      </c>
      <c r="T1320" s="5" t="s">
        <v>296</v>
      </c>
      <c r="U1320" s="5" t="s">
        <v>244</v>
      </c>
      <c r="V1320" s="5" t="s">
        <v>240</v>
      </c>
      <c r="Y1320" s="5" t="s">
        <v>240</v>
      </c>
      <c r="Z1320" s="6" t="s">
        <v>298</v>
      </c>
      <c r="AB1320" s="6" t="s">
        <v>240</v>
      </c>
      <c r="AE1320" s="6" t="s">
        <v>299</v>
      </c>
      <c r="AF1320" s="5" t="s">
        <v>248</v>
      </c>
      <c r="AG1320" s="5" t="s">
        <v>249</v>
      </c>
      <c r="AW1320" s="5" t="s">
        <v>251</v>
      </c>
      <c r="AX1320" s="5" t="s">
        <v>240</v>
      </c>
      <c r="AY1320" s="5" t="s">
        <v>253</v>
      </c>
      <c r="AZ1320" s="5" t="s">
        <v>240</v>
      </c>
      <c r="BA1320" s="5" t="s">
        <v>255</v>
      </c>
      <c r="BB1320" s="5" t="s">
        <v>240</v>
      </c>
      <c r="BD1320" s="5" t="s">
        <v>240</v>
      </c>
      <c r="BF1320" s="5" t="s">
        <v>301</v>
      </c>
      <c r="BG1320" s="6" t="s">
        <v>299</v>
      </c>
      <c r="BH1320" s="5" t="s">
        <v>302</v>
      </c>
      <c r="BI1320" s="5" t="s">
        <v>303</v>
      </c>
      <c r="BJ1320" s="5" t="s">
        <v>240</v>
      </c>
      <c r="BK1320" s="8">
        <f>0</f>
        <v>0</v>
      </c>
      <c r="BL1320" s="7">
        <f>0</f>
        <v>0</v>
      </c>
      <c r="BM1320" s="5" t="s">
        <v>258</v>
      </c>
      <c r="BN1320" s="5" t="s">
        <v>259</v>
      </c>
      <c r="CB1320" s="5" t="s">
        <v>240</v>
      </c>
      <c r="CC1320" s="5" t="s">
        <v>240</v>
      </c>
      <c r="CG1320" s="5" t="s">
        <v>304</v>
      </c>
      <c r="CH1320" s="5" t="s">
        <v>305</v>
      </c>
      <c r="CI1320" s="5" t="s">
        <v>240</v>
      </c>
      <c r="CL1320" s="6" t="s">
        <v>261</v>
      </c>
      <c r="CM1320" s="5" t="s">
        <v>240</v>
      </c>
      <c r="CN1320" s="5" t="s">
        <v>263</v>
      </c>
      <c r="CO1320" s="5" t="s">
        <v>240</v>
      </c>
      <c r="CP1320" s="5" t="s">
        <v>240</v>
      </c>
      <c r="CQ1320" s="5">
        <v>0</v>
      </c>
      <c r="CR1320" s="5" t="s">
        <v>306</v>
      </c>
      <c r="CS1320" s="5" t="s">
        <v>307</v>
      </c>
      <c r="CT1320" s="5" t="s">
        <v>307</v>
      </c>
      <c r="CU1320" s="5" t="s">
        <v>260</v>
      </c>
      <c r="CX1320" s="7">
        <f>1</f>
        <v>1</v>
      </c>
      <c r="CY1320" s="7">
        <f>0</f>
        <v>0</v>
      </c>
      <c r="DA1320" s="7">
        <f>0</f>
        <v>0</v>
      </c>
      <c r="DC1320" s="5" t="s">
        <v>812</v>
      </c>
      <c r="DD1320" s="5" t="s">
        <v>240</v>
      </c>
      <c r="DF1320" s="5" t="s">
        <v>812</v>
      </c>
      <c r="DG1320" s="7">
        <f>492</f>
        <v>492</v>
      </c>
      <c r="DI1320" s="5" t="s">
        <v>240</v>
      </c>
      <c r="DJ1320" s="5" t="s">
        <v>240</v>
      </c>
      <c r="DK1320" s="5" t="s">
        <v>240</v>
      </c>
      <c r="DL1320" s="5" t="s">
        <v>240</v>
      </c>
      <c r="DP1320" s="5" t="s">
        <v>240</v>
      </c>
      <c r="DQ1320" s="5" t="s">
        <v>240</v>
      </c>
      <c r="DR1320" s="5" t="s">
        <v>240</v>
      </c>
      <c r="DS1320" s="5" t="s">
        <v>240</v>
      </c>
      <c r="DV1320" s="5" t="s">
        <v>813</v>
      </c>
      <c r="DW1320" s="5" t="s">
        <v>2773</v>
      </c>
      <c r="HO1320" s="5" t="s">
        <v>312</v>
      </c>
    </row>
    <row r="1321" spans="1:223" x14ac:dyDescent="0.4">
      <c r="A1321" s="5">
        <v>2996</v>
      </c>
      <c r="B1321" s="5">
        <v>1</v>
      </c>
      <c r="C1321" s="5">
        <v>1</v>
      </c>
      <c r="D1321" s="5" t="s">
        <v>297</v>
      </c>
      <c r="E1321" s="5" t="s">
        <v>245</v>
      </c>
      <c r="F1321" s="5" t="s">
        <v>254</v>
      </c>
      <c r="G1321" s="5" t="s">
        <v>240</v>
      </c>
      <c r="H1321" s="6" t="s">
        <v>4891</v>
      </c>
      <c r="I1321" s="5" t="s">
        <v>295</v>
      </c>
      <c r="J1321" s="8">
        <f>2490</f>
        <v>2490</v>
      </c>
      <c r="K1321" s="5" t="s">
        <v>308</v>
      </c>
      <c r="L1321" s="7">
        <f>1</f>
        <v>1</v>
      </c>
      <c r="M1321" s="7">
        <f>1</f>
        <v>1</v>
      </c>
      <c r="N1321" s="5" t="s">
        <v>242</v>
      </c>
      <c r="O1321" s="5">
        <v>1</v>
      </c>
      <c r="P1321" s="5" t="s">
        <v>294</v>
      </c>
      <c r="Q1321" s="5" t="s">
        <v>266</v>
      </c>
      <c r="R1321" s="5" t="s">
        <v>240</v>
      </c>
      <c r="S1321" s="5" t="s">
        <v>240</v>
      </c>
      <c r="T1321" s="5" t="s">
        <v>296</v>
      </c>
      <c r="U1321" s="5" t="s">
        <v>244</v>
      </c>
      <c r="V1321" s="5" t="s">
        <v>240</v>
      </c>
      <c r="Y1321" s="5" t="s">
        <v>240</v>
      </c>
      <c r="Z1321" s="6" t="s">
        <v>298</v>
      </c>
      <c r="AB1321" s="6" t="s">
        <v>240</v>
      </c>
      <c r="AE1321" s="6" t="s">
        <v>299</v>
      </c>
      <c r="AF1321" s="5" t="s">
        <v>248</v>
      </c>
      <c r="AG1321" s="5" t="s">
        <v>249</v>
      </c>
      <c r="AW1321" s="5" t="s">
        <v>251</v>
      </c>
      <c r="AX1321" s="5" t="s">
        <v>240</v>
      </c>
      <c r="AY1321" s="5" t="s">
        <v>253</v>
      </c>
      <c r="AZ1321" s="5" t="s">
        <v>240</v>
      </c>
      <c r="BA1321" s="5" t="s">
        <v>255</v>
      </c>
      <c r="BB1321" s="5" t="s">
        <v>240</v>
      </c>
      <c r="BD1321" s="5" t="s">
        <v>240</v>
      </c>
      <c r="BF1321" s="5" t="s">
        <v>301</v>
      </c>
      <c r="BG1321" s="6" t="s">
        <v>299</v>
      </c>
      <c r="BH1321" s="5" t="s">
        <v>302</v>
      </c>
      <c r="BI1321" s="5" t="s">
        <v>303</v>
      </c>
      <c r="BJ1321" s="5" t="s">
        <v>240</v>
      </c>
      <c r="BK1321" s="8">
        <f>0</f>
        <v>0</v>
      </c>
      <c r="BL1321" s="7">
        <f>0</f>
        <v>0</v>
      </c>
      <c r="BM1321" s="5" t="s">
        <v>258</v>
      </c>
      <c r="BN1321" s="5" t="s">
        <v>259</v>
      </c>
      <c r="CB1321" s="5" t="s">
        <v>240</v>
      </c>
      <c r="CC1321" s="5" t="s">
        <v>240</v>
      </c>
      <c r="CG1321" s="5" t="s">
        <v>304</v>
      </c>
      <c r="CH1321" s="5" t="s">
        <v>305</v>
      </c>
      <c r="CI1321" s="5" t="s">
        <v>240</v>
      </c>
      <c r="CL1321" s="6" t="s">
        <v>261</v>
      </c>
      <c r="CM1321" s="5" t="s">
        <v>240</v>
      </c>
      <c r="CN1321" s="5" t="s">
        <v>263</v>
      </c>
      <c r="CO1321" s="5" t="s">
        <v>240</v>
      </c>
      <c r="CP1321" s="5" t="s">
        <v>240</v>
      </c>
      <c r="CQ1321" s="5">
        <v>0</v>
      </c>
      <c r="CR1321" s="5" t="s">
        <v>306</v>
      </c>
      <c r="CS1321" s="5" t="s">
        <v>307</v>
      </c>
      <c r="CT1321" s="5" t="s">
        <v>307</v>
      </c>
      <c r="CU1321" s="5" t="s">
        <v>260</v>
      </c>
      <c r="CX1321" s="7">
        <f>1</f>
        <v>1</v>
      </c>
      <c r="CY1321" s="7">
        <f>0</f>
        <v>0</v>
      </c>
      <c r="DA1321" s="7">
        <f>0</f>
        <v>0</v>
      </c>
      <c r="DC1321" s="5" t="s">
        <v>812</v>
      </c>
      <c r="DD1321" s="5" t="s">
        <v>240</v>
      </c>
      <c r="DF1321" s="5" t="s">
        <v>812</v>
      </c>
      <c r="DG1321" s="7">
        <f>168</f>
        <v>168</v>
      </c>
      <c r="DI1321" s="5" t="s">
        <v>240</v>
      </c>
      <c r="DJ1321" s="5" t="s">
        <v>240</v>
      </c>
      <c r="DK1321" s="5" t="s">
        <v>240</v>
      </c>
      <c r="DL1321" s="5" t="s">
        <v>240</v>
      </c>
      <c r="DP1321" s="5" t="s">
        <v>240</v>
      </c>
      <c r="DQ1321" s="5" t="s">
        <v>240</v>
      </c>
      <c r="DR1321" s="5" t="s">
        <v>240</v>
      </c>
      <c r="DS1321" s="5" t="s">
        <v>240</v>
      </c>
      <c r="DV1321" s="5" t="s">
        <v>813</v>
      </c>
      <c r="DW1321" s="5" t="s">
        <v>2775</v>
      </c>
      <c r="HO1321" s="5" t="s">
        <v>312</v>
      </c>
    </row>
    <row r="1322" spans="1:223" x14ac:dyDescent="0.4">
      <c r="A1322" s="5">
        <v>2997</v>
      </c>
      <c r="B1322" s="5">
        <v>1</v>
      </c>
      <c r="C1322" s="5">
        <v>1</v>
      </c>
      <c r="D1322" s="5" t="s">
        <v>297</v>
      </c>
      <c r="E1322" s="5" t="s">
        <v>245</v>
      </c>
      <c r="F1322" s="5" t="s">
        <v>254</v>
      </c>
      <c r="G1322" s="5" t="s">
        <v>240</v>
      </c>
      <c r="H1322" s="6" t="s">
        <v>4890</v>
      </c>
      <c r="I1322" s="5" t="s">
        <v>295</v>
      </c>
      <c r="J1322" s="8">
        <f>284</f>
        <v>284</v>
      </c>
      <c r="K1322" s="5" t="s">
        <v>308</v>
      </c>
      <c r="L1322" s="7">
        <f>1</f>
        <v>1</v>
      </c>
      <c r="M1322" s="7">
        <f>1</f>
        <v>1</v>
      </c>
      <c r="N1322" s="5" t="s">
        <v>242</v>
      </c>
      <c r="O1322" s="5">
        <v>1</v>
      </c>
      <c r="P1322" s="5" t="s">
        <v>294</v>
      </c>
      <c r="Q1322" s="5" t="s">
        <v>266</v>
      </c>
      <c r="R1322" s="5" t="s">
        <v>240</v>
      </c>
      <c r="S1322" s="5" t="s">
        <v>240</v>
      </c>
      <c r="T1322" s="5" t="s">
        <v>296</v>
      </c>
      <c r="U1322" s="5" t="s">
        <v>244</v>
      </c>
      <c r="V1322" s="5" t="s">
        <v>240</v>
      </c>
      <c r="Y1322" s="5" t="s">
        <v>240</v>
      </c>
      <c r="Z1322" s="6" t="s">
        <v>298</v>
      </c>
      <c r="AB1322" s="6" t="s">
        <v>240</v>
      </c>
      <c r="AE1322" s="6" t="s">
        <v>299</v>
      </c>
      <c r="AF1322" s="5" t="s">
        <v>248</v>
      </c>
      <c r="AG1322" s="5" t="s">
        <v>249</v>
      </c>
      <c r="AW1322" s="5" t="s">
        <v>251</v>
      </c>
      <c r="AX1322" s="5" t="s">
        <v>240</v>
      </c>
      <c r="AY1322" s="5" t="s">
        <v>253</v>
      </c>
      <c r="AZ1322" s="5" t="s">
        <v>240</v>
      </c>
      <c r="BA1322" s="5" t="s">
        <v>255</v>
      </c>
      <c r="BB1322" s="5" t="s">
        <v>240</v>
      </c>
      <c r="BD1322" s="5" t="s">
        <v>240</v>
      </c>
      <c r="BF1322" s="5" t="s">
        <v>301</v>
      </c>
      <c r="BG1322" s="6" t="s">
        <v>299</v>
      </c>
      <c r="BH1322" s="5" t="s">
        <v>302</v>
      </c>
      <c r="BI1322" s="5" t="s">
        <v>303</v>
      </c>
      <c r="BJ1322" s="5" t="s">
        <v>240</v>
      </c>
      <c r="BK1322" s="8">
        <f>0</f>
        <v>0</v>
      </c>
      <c r="BL1322" s="7">
        <f>0</f>
        <v>0</v>
      </c>
      <c r="BM1322" s="5" t="s">
        <v>258</v>
      </c>
      <c r="BN1322" s="5" t="s">
        <v>259</v>
      </c>
      <c r="CB1322" s="5" t="s">
        <v>240</v>
      </c>
      <c r="CC1322" s="5" t="s">
        <v>240</v>
      </c>
      <c r="CG1322" s="5" t="s">
        <v>304</v>
      </c>
      <c r="CH1322" s="5" t="s">
        <v>305</v>
      </c>
      <c r="CI1322" s="5" t="s">
        <v>240</v>
      </c>
      <c r="CL1322" s="6" t="s">
        <v>261</v>
      </c>
      <c r="CM1322" s="5" t="s">
        <v>240</v>
      </c>
      <c r="CN1322" s="5" t="s">
        <v>263</v>
      </c>
      <c r="CO1322" s="5" t="s">
        <v>240</v>
      </c>
      <c r="CP1322" s="5" t="s">
        <v>240</v>
      </c>
      <c r="CQ1322" s="5">
        <v>0</v>
      </c>
      <c r="CR1322" s="5" t="s">
        <v>306</v>
      </c>
      <c r="CS1322" s="5" t="s">
        <v>307</v>
      </c>
      <c r="CT1322" s="5" t="s">
        <v>307</v>
      </c>
      <c r="CU1322" s="5" t="s">
        <v>260</v>
      </c>
      <c r="CX1322" s="7">
        <f>1</f>
        <v>1</v>
      </c>
      <c r="CY1322" s="7">
        <f>0</f>
        <v>0</v>
      </c>
      <c r="DA1322" s="7">
        <f>0</f>
        <v>0</v>
      </c>
      <c r="DC1322" s="5" t="s">
        <v>812</v>
      </c>
      <c r="DD1322" s="5" t="s">
        <v>240</v>
      </c>
      <c r="DF1322" s="5" t="s">
        <v>812</v>
      </c>
      <c r="DG1322" s="7">
        <f>225</f>
        <v>225</v>
      </c>
      <c r="DI1322" s="5" t="s">
        <v>240</v>
      </c>
      <c r="DJ1322" s="5" t="s">
        <v>240</v>
      </c>
      <c r="DK1322" s="5" t="s">
        <v>240</v>
      </c>
      <c r="DL1322" s="5" t="s">
        <v>240</v>
      </c>
      <c r="DP1322" s="5" t="s">
        <v>240</v>
      </c>
      <c r="DQ1322" s="5" t="s">
        <v>240</v>
      </c>
      <c r="DR1322" s="5" t="s">
        <v>240</v>
      </c>
      <c r="DS1322" s="5" t="s">
        <v>240</v>
      </c>
      <c r="DV1322" s="5" t="s">
        <v>813</v>
      </c>
      <c r="DW1322" s="5" t="s">
        <v>2777</v>
      </c>
      <c r="HO1322" s="5" t="s">
        <v>312</v>
      </c>
    </row>
    <row r="1323" spans="1:223" x14ac:dyDescent="0.4">
      <c r="A1323" s="5">
        <v>2998</v>
      </c>
      <c r="B1323" s="5">
        <v>1</v>
      </c>
      <c r="C1323" s="5">
        <v>1</v>
      </c>
      <c r="D1323" s="5" t="s">
        <v>297</v>
      </c>
      <c r="E1323" s="5" t="s">
        <v>245</v>
      </c>
      <c r="F1323" s="5" t="s">
        <v>254</v>
      </c>
      <c r="G1323" s="5" t="s">
        <v>240</v>
      </c>
      <c r="H1323" s="6" t="s">
        <v>4889</v>
      </c>
      <c r="I1323" s="5" t="s">
        <v>295</v>
      </c>
      <c r="J1323" s="8">
        <f>958</f>
        <v>958</v>
      </c>
      <c r="K1323" s="5" t="s">
        <v>308</v>
      </c>
      <c r="L1323" s="7">
        <f>1</f>
        <v>1</v>
      </c>
      <c r="M1323" s="7">
        <f>1</f>
        <v>1</v>
      </c>
      <c r="N1323" s="5" t="s">
        <v>242</v>
      </c>
      <c r="O1323" s="5">
        <v>1</v>
      </c>
      <c r="P1323" s="5" t="s">
        <v>294</v>
      </c>
      <c r="Q1323" s="5" t="s">
        <v>266</v>
      </c>
      <c r="R1323" s="5" t="s">
        <v>240</v>
      </c>
      <c r="S1323" s="5" t="s">
        <v>240</v>
      </c>
      <c r="T1323" s="5" t="s">
        <v>296</v>
      </c>
      <c r="U1323" s="5" t="s">
        <v>244</v>
      </c>
      <c r="V1323" s="5" t="s">
        <v>240</v>
      </c>
      <c r="Y1323" s="5" t="s">
        <v>240</v>
      </c>
      <c r="Z1323" s="6" t="s">
        <v>298</v>
      </c>
      <c r="AB1323" s="6" t="s">
        <v>240</v>
      </c>
      <c r="AE1323" s="6" t="s">
        <v>299</v>
      </c>
      <c r="AF1323" s="5" t="s">
        <v>248</v>
      </c>
      <c r="AG1323" s="5" t="s">
        <v>249</v>
      </c>
      <c r="AW1323" s="5" t="s">
        <v>251</v>
      </c>
      <c r="AX1323" s="5" t="s">
        <v>240</v>
      </c>
      <c r="AY1323" s="5" t="s">
        <v>253</v>
      </c>
      <c r="AZ1323" s="5" t="s">
        <v>240</v>
      </c>
      <c r="BA1323" s="5" t="s">
        <v>255</v>
      </c>
      <c r="BB1323" s="5" t="s">
        <v>240</v>
      </c>
      <c r="BD1323" s="5" t="s">
        <v>240</v>
      </c>
      <c r="BF1323" s="5" t="s">
        <v>301</v>
      </c>
      <c r="BG1323" s="6" t="s">
        <v>299</v>
      </c>
      <c r="BH1323" s="5" t="s">
        <v>302</v>
      </c>
      <c r="BI1323" s="5" t="s">
        <v>303</v>
      </c>
      <c r="BJ1323" s="5" t="s">
        <v>240</v>
      </c>
      <c r="BK1323" s="8">
        <f>0</f>
        <v>0</v>
      </c>
      <c r="BL1323" s="7">
        <f>0</f>
        <v>0</v>
      </c>
      <c r="BM1323" s="5" t="s">
        <v>258</v>
      </c>
      <c r="BN1323" s="5" t="s">
        <v>259</v>
      </c>
      <c r="CB1323" s="5" t="s">
        <v>240</v>
      </c>
      <c r="CC1323" s="5" t="s">
        <v>240</v>
      </c>
      <c r="CG1323" s="5" t="s">
        <v>304</v>
      </c>
      <c r="CH1323" s="5" t="s">
        <v>305</v>
      </c>
      <c r="CI1323" s="5" t="s">
        <v>240</v>
      </c>
      <c r="CL1323" s="6" t="s">
        <v>261</v>
      </c>
      <c r="CM1323" s="5" t="s">
        <v>240</v>
      </c>
      <c r="CN1323" s="5" t="s">
        <v>263</v>
      </c>
      <c r="CO1323" s="5" t="s">
        <v>240</v>
      </c>
      <c r="CP1323" s="5" t="s">
        <v>240</v>
      </c>
      <c r="CQ1323" s="5">
        <v>0</v>
      </c>
      <c r="CR1323" s="5" t="s">
        <v>306</v>
      </c>
      <c r="CS1323" s="5" t="s">
        <v>307</v>
      </c>
      <c r="CT1323" s="5" t="s">
        <v>307</v>
      </c>
      <c r="CU1323" s="5" t="s">
        <v>260</v>
      </c>
      <c r="CX1323" s="7">
        <f>1</f>
        <v>1</v>
      </c>
      <c r="CY1323" s="7">
        <f>0</f>
        <v>0</v>
      </c>
      <c r="DA1323" s="7">
        <f>0</f>
        <v>0</v>
      </c>
      <c r="DC1323" s="5" t="s">
        <v>812</v>
      </c>
      <c r="DD1323" s="5" t="s">
        <v>240</v>
      </c>
      <c r="DF1323" s="5" t="s">
        <v>812</v>
      </c>
      <c r="DG1323" s="7">
        <f>223</f>
        <v>223</v>
      </c>
      <c r="DI1323" s="5" t="s">
        <v>240</v>
      </c>
      <c r="DJ1323" s="5" t="s">
        <v>240</v>
      </c>
      <c r="DK1323" s="5" t="s">
        <v>240</v>
      </c>
      <c r="DL1323" s="5" t="s">
        <v>240</v>
      </c>
      <c r="DP1323" s="5" t="s">
        <v>240</v>
      </c>
      <c r="DQ1323" s="5" t="s">
        <v>240</v>
      </c>
      <c r="DR1323" s="5" t="s">
        <v>240</v>
      </c>
      <c r="DS1323" s="5" t="s">
        <v>240</v>
      </c>
      <c r="DV1323" s="5" t="s">
        <v>813</v>
      </c>
      <c r="DW1323" s="5" t="s">
        <v>2779</v>
      </c>
      <c r="HO1323" s="5" t="s">
        <v>312</v>
      </c>
    </row>
    <row r="1324" spans="1:223" x14ac:dyDescent="0.4">
      <c r="A1324" s="5">
        <v>2999</v>
      </c>
      <c r="B1324" s="5">
        <v>1</v>
      </c>
      <c r="C1324" s="5">
        <v>1</v>
      </c>
      <c r="D1324" s="5" t="s">
        <v>297</v>
      </c>
      <c r="E1324" s="5" t="s">
        <v>245</v>
      </c>
      <c r="F1324" s="5" t="s">
        <v>254</v>
      </c>
      <c r="G1324" s="5" t="s">
        <v>240</v>
      </c>
      <c r="H1324" s="6" t="s">
        <v>4888</v>
      </c>
      <c r="I1324" s="5" t="s">
        <v>295</v>
      </c>
      <c r="J1324" s="8">
        <f>1565</f>
        <v>1565</v>
      </c>
      <c r="K1324" s="5" t="s">
        <v>308</v>
      </c>
      <c r="L1324" s="7">
        <f>1</f>
        <v>1</v>
      </c>
      <c r="M1324" s="7">
        <f>1</f>
        <v>1</v>
      </c>
      <c r="N1324" s="5" t="s">
        <v>242</v>
      </c>
      <c r="O1324" s="5">
        <v>1</v>
      </c>
      <c r="P1324" s="5" t="s">
        <v>294</v>
      </c>
      <c r="Q1324" s="5" t="s">
        <v>266</v>
      </c>
      <c r="R1324" s="5" t="s">
        <v>240</v>
      </c>
      <c r="S1324" s="5" t="s">
        <v>240</v>
      </c>
      <c r="T1324" s="5" t="s">
        <v>296</v>
      </c>
      <c r="U1324" s="5" t="s">
        <v>244</v>
      </c>
      <c r="V1324" s="5" t="s">
        <v>240</v>
      </c>
      <c r="Y1324" s="5" t="s">
        <v>240</v>
      </c>
      <c r="Z1324" s="6" t="s">
        <v>298</v>
      </c>
      <c r="AB1324" s="6" t="s">
        <v>240</v>
      </c>
      <c r="AE1324" s="6" t="s">
        <v>299</v>
      </c>
      <c r="AF1324" s="5" t="s">
        <v>248</v>
      </c>
      <c r="AG1324" s="5" t="s">
        <v>249</v>
      </c>
      <c r="AW1324" s="5" t="s">
        <v>251</v>
      </c>
      <c r="AX1324" s="5" t="s">
        <v>240</v>
      </c>
      <c r="AY1324" s="5" t="s">
        <v>253</v>
      </c>
      <c r="AZ1324" s="5" t="s">
        <v>240</v>
      </c>
      <c r="BA1324" s="5" t="s">
        <v>255</v>
      </c>
      <c r="BB1324" s="5" t="s">
        <v>240</v>
      </c>
      <c r="BD1324" s="5" t="s">
        <v>240</v>
      </c>
      <c r="BF1324" s="5" t="s">
        <v>301</v>
      </c>
      <c r="BG1324" s="6" t="s">
        <v>299</v>
      </c>
      <c r="BH1324" s="5" t="s">
        <v>302</v>
      </c>
      <c r="BI1324" s="5" t="s">
        <v>303</v>
      </c>
      <c r="BJ1324" s="5" t="s">
        <v>240</v>
      </c>
      <c r="BK1324" s="8">
        <f>0</f>
        <v>0</v>
      </c>
      <c r="BL1324" s="7">
        <f>0</f>
        <v>0</v>
      </c>
      <c r="BM1324" s="5" t="s">
        <v>258</v>
      </c>
      <c r="BN1324" s="5" t="s">
        <v>259</v>
      </c>
      <c r="CB1324" s="5" t="s">
        <v>240</v>
      </c>
      <c r="CC1324" s="5" t="s">
        <v>240</v>
      </c>
      <c r="CG1324" s="5" t="s">
        <v>304</v>
      </c>
      <c r="CH1324" s="5" t="s">
        <v>305</v>
      </c>
      <c r="CI1324" s="5" t="s">
        <v>240</v>
      </c>
      <c r="CL1324" s="6" t="s">
        <v>261</v>
      </c>
      <c r="CM1324" s="5" t="s">
        <v>240</v>
      </c>
      <c r="CN1324" s="5" t="s">
        <v>263</v>
      </c>
      <c r="CO1324" s="5" t="s">
        <v>240</v>
      </c>
      <c r="CP1324" s="5" t="s">
        <v>240</v>
      </c>
      <c r="CQ1324" s="5">
        <v>0</v>
      </c>
      <c r="CR1324" s="5" t="s">
        <v>306</v>
      </c>
      <c r="CS1324" s="5" t="s">
        <v>307</v>
      </c>
      <c r="CT1324" s="5" t="s">
        <v>307</v>
      </c>
      <c r="CU1324" s="5" t="s">
        <v>260</v>
      </c>
      <c r="CX1324" s="7">
        <f>1</f>
        <v>1</v>
      </c>
      <c r="CY1324" s="7">
        <f>0</f>
        <v>0</v>
      </c>
      <c r="DA1324" s="7">
        <f>0</f>
        <v>0</v>
      </c>
      <c r="DC1324" s="5" t="s">
        <v>812</v>
      </c>
      <c r="DD1324" s="5" t="s">
        <v>240</v>
      </c>
      <c r="DF1324" s="5" t="s">
        <v>812</v>
      </c>
      <c r="DG1324" s="7">
        <f>230</f>
        <v>230</v>
      </c>
      <c r="DI1324" s="5" t="s">
        <v>240</v>
      </c>
      <c r="DJ1324" s="5" t="s">
        <v>240</v>
      </c>
      <c r="DK1324" s="5" t="s">
        <v>240</v>
      </c>
      <c r="DL1324" s="5" t="s">
        <v>240</v>
      </c>
      <c r="DP1324" s="5" t="s">
        <v>240</v>
      </c>
      <c r="DQ1324" s="5" t="s">
        <v>240</v>
      </c>
      <c r="DR1324" s="5" t="s">
        <v>240</v>
      </c>
      <c r="DS1324" s="5" t="s">
        <v>240</v>
      </c>
      <c r="DV1324" s="5" t="s">
        <v>813</v>
      </c>
      <c r="DW1324" s="5" t="s">
        <v>2781</v>
      </c>
      <c r="HO1324" s="5" t="s">
        <v>312</v>
      </c>
    </row>
    <row r="1325" spans="1:223" x14ac:dyDescent="0.4">
      <c r="A1325" s="5">
        <v>3000</v>
      </c>
      <c r="B1325" s="5">
        <v>1</v>
      </c>
      <c r="C1325" s="5">
        <v>1</v>
      </c>
      <c r="D1325" s="5" t="s">
        <v>297</v>
      </c>
      <c r="E1325" s="5" t="s">
        <v>245</v>
      </c>
      <c r="F1325" s="5" t="s">
        <v>254</v>
      </c>
      <c r="G1325" s="5" t="s">
        <v>240</v>
      </c>
      <c r="H1325" s="6" t="s">
        <v>4887</v>
      </c>
      <c r="I1325" s="5" t="s">
        <v>295</v>
      </c>
      <c r="J1325" s="8">
        <f>169</f>
        <v>169</v>
      </c>
      <c r="K1325" s="5" t="s">
        <v>308</v>
      </c>
      <c r="L1325" s="7">
        <f>1</f>
        <v>1</v>
      </c>
      <c r="M1325" s="7">
        <f>1</f>
        <v>1</v>
      </c>
      <c r="N1325" s="5" t="s">
        <v>242</v>
      </c>
      <c r="O1325" s="5">
        <v>1</v>
      </c>
      <c r="P1325" s="5" t="s">
        <v>294</v>
      </c>
      <c r="Q1325" s="5" t="s">
        <v>266</v>
      </c>
      <c r="R1325" s="5" t="s">
        <v>240</v>
      </c>
      <c r="S1325" s="5" t="s">
        <v>240</v>
      </c>
      <c r="T1325" s="5" t="s">
        <v>296</v>
      </c>
      <c r="U1325" s="5" t="s">
        <v>244</v>
      </c>
      <c r="V1325" s="5" t="s">
        <v>240</v>
      </c>
      <c r="Y1325" s="5" t="s">
        <v>240</v>
      </c>
      <c r="Z1325" s="6" t="s">
        <v>298</v>
      </c>
      <c r="AB1325" s="6" t="s">
        <v>240</v>
      </c>
      <c r="AE1325" s="6" t="s">
        <v>299</v>
      </c>
      <c r="AF1325" s="5" t="s">
        <v>248</v>
      </c>
      <c r="AG1325" s="5" t="s">
        <v>249</v>
      </c>
      <c r="AW1325" s="5" t="s">
        <v>251</v>
      </c>
      <c r="AX1325" s="5" t="s">
        <v>240</v>
      </c>
      <c r="AY1325" s="5" t="s">
        <v>253</v>
      </c>
      <c r="AZ1325" s="5" t="s">
        <v>240</v>
      </c>
      <c r="BA1325" s="5" t="s">
        <v>255</v>
      </c>
      <c r="BB1325" s="5" t="s">
        <v>240</v>
      </c>
      <c r="BD1325" s="5" t="s">
        <v>240</v>
      </c>
      <c r="BF1325" s="5" t="s">
        <v>301</v>
      </c>
      <c r="BG1325" s="6" t="s">
        <v>299</v>
      </c>
      <c r="BH1325" s="5" t="s">
        <v>302</v>
      </c>
      <c r="BI1325" s="5" t="s">
        <v>303</v>
      </c>
      <c r="BJ1325" s="5" t="s">
        <v>240</v>
      </c>
      <c r="BK1325" s="8">
        <f>0</f>
        <v>0</v>
      </c>
      <c r="BL1325" s="7">
        <f>0</f>
        <v>0</v>
      </c>
      <c r="BM1325" s="5" t="s">
        <v>258</v>
      </c>
      <c r="BN1325" s="5" t="s">
        <v>259</v>
      </c>
      <c r="CB1325" s="5" t="s">
        <v>240</v>
      </c>
      <c r="CC1325" s="5" t="s">
        <v>240</v>
      </c>
      <c r="CG1325" s="5" t="s">
        <v>304</v>
      </c>
      <c r="CH1325" s="5" t="s">
        <v>305</v>
      </c>
      <c r="CI1325" s="5" t="s">
        <v>240</v>
      </c>
      <c r="CL1325" s="6" t="s">
        <v>261</v>
      </c>
      <c r="CM1325" s="5" t="s">
        <v>240</v>
      </c>
      <c r="CN1325" s="5" t="s">
        <v>263</v>
      </c>
      <c r="CO1325" s="5" t="s">
        <v>240</v>
      </c>
      <c r="CP1325" s="5" t="s">
        <v>240</v>
      </c>
      <c r="CQ1325" s="5">
        <v>0</v>
      </c>
      <c r="CR1325" s="5" t="s">
        <v>306</v>
      </c>
      <c r="CS1325" s="5" t="s">
        <v>307</v>
      </c>
      <c r="CT1325" s="5" t="s">
        <v>307</v>
      </c>
      <c r="CU1325" s="5" t="s">
        <v>260</v>
      </c>
      <c r="CX1325" s="7">
        <f>1</f>
        <v>1</v>
      </c>
      <c r="CY1325" s="7">
        <f>0</f>
        <v>0</v>
      </c>
      <c r="DA1325" s="7">
        <f>0</f>
        <v>0</v>
      </c>
      <c r="DC1325" s="5" t="s">
        <v>812</v>
      </c>
      <c r="DD1325" s="5" t="s">
        <v>240</v>
      </c>
      <c r="DF1325" s="5" t="s">
        <v>812</v>
      </c>
      <c r="DG1325" s="7">
        <f>70</f>
        <v>70</v>
      </c>
      <c r="DI1325" s="5" t="s">
        <v>240</v>
      </c>
      <c r="DJ1325" s="5" t="s">
        <v>240</v>
      </c>
      <c r="DK1325" s="5" t="s">
        <v>240</v>
      </c>
      <c r="DL1325" s="5" t="s">
        <v>240</v>
      </c>
      <c r="DP1325" s="5" t="s">
        <v>240</v>
      </c>
      <c r="DQ1325" s="5" t="s">
        <v>240</v>
      </c>
      <c r="DR1325" s="5" t="s">
        <v>240</v>
      </c>
      <c r="DS1325" s="5" t="s">
        <v>240</v>
      </c>
      <c r="DV1325" s="5" t="s">
        <v>813</v>
      </c>
      <c r="DW1325" s="5" t="s">
        <v>2783</v>
      </c>
      <c r="HO1325" s="5" t="s">
        <v>312</v>
      </c>
    </row>
    <row r="1326" spans="1:223" x14ac:dyDescent="0.4">
      <c r="A1326" s="5">
        <v>3001</v>
      </c>
      <c r="B1326" s="5">
        <v>1</v>
      </c>
      <c r="C1326" s="5">
        <v>1</v>
      </c>
      <c r="D1326" s="5" t="s">
        <v>297</v>
      </c>
      <c r="E1326" s="5" t="s">
        <v>245</v>
      </c>
      <c r="F1326" s="5" t="s">
        <v>254</v>
      </c>
      <c r="G1326" s="5" t="s">
        <v>240</v>
      </c>
      <c r="H1326" s="6" t="s">
        <v>4886</v>
      </c>
      <c r="I1326" s="5" t="s">
        <v>295</v>
      </c>
      <c r="J1326" s="8">
        <f>95</f>
        <v>95</v>
      </c>
      <c r="K1326" s="5" t="s">
        <v>308</v>
      </c>
      <c r="L1326" s="7">
        <f>1</f>
        <v>1</v>
      </c>
      <c r="M1326" s="7">
        <f>1</f>
        <v>1</v>
      </c>
      <c r="N1326" s="5" t="s">
        <v>242</v>
      </c>
      <c r="O1326" s="5">
        <v>1</v>
      </c>
      <c r="P1326" s="5" t="s">
        <v>294</v>
      </c>
      <c r="Q1326" s="5" t="s">
        <v>266</v>
      </c>
      <c r="R1326" s="5" t="s">
        <v>240</v>
      </c>
      <c r="S1326" s="5" t="s">
        <v>240</v>
      </c>
      <c r="T1326" s="5" t="s">
        <v>296</v>
      </c>
      <c r="U1326" s="5" t="s">
        <v>244</v>
      </c>
      <c r="V1326" s="5" t="s">
        <v>240</v>
      </c>
      <c r="Y1326" s="5" t="s">
        <v>240</v>
      </c>
      <c r="Z1326" s="6" t="s">
        <v>298</v>
      </c>
      <c r="AB1326" s="6" t="s">
        <v>240</v>
      </c>
      <c r="AE1326" s="6" t="s">
        <v>299</v>
      </c>
      <c r="AF1326" s="5" t="s">
        <v>248</v>
      </c>
      <c r="AG1326" s="5" t="s">
        <v>249</v>
      </c>
      <c r="AW1326" s="5" t="s">
        <v>251</v>
      </c>
      <c r="AX1326" s="5" t="s">
        <v>240</v>
      </c>
      <c r="AY1326" s="5" t="s">
        <v>253</v>
      </c>
      <c r="AZ1326" s="5" t="s">
        <v>240</v>
      </c>
      <c r="BA1326" s="5" t="s">
        <v>255</v>
      </c>
      <c r="BB1326" s="5" t="s">
        <v>240</v>
      </c>
      <c r="BD1326" s="5" t="s">
        <v>240</v>
      </c>
      <c r="BF1326" s="5" t="s">
        <v>301</v>
      </c>
      <c r="BG1326" s="6" t="s">
        <v>299</v>
      </c>
      <c r="BH1326" s="5" t="s">
        <v>302</v>
      </c>
      <c r="BI1326" s="5" t="s">
        <v>303</v>
      </c>
      <c r="BJ1326" s="5" t="s">
        <v>240</v>
      </c>
      <c r="BK1326" s="8">
        <f>0</f>
        <v>0</v>
      </c>
      <c r="BL1326" s="7">
        <f>0</f>
        <v>0</v>
      </c>
      <c r="BM1326" s="5" t="s">
        <v>258</v>
      </c>
      <c r="BN1326" s="5" t="s">
        <v>259</v>
      </c>
      <c r="CB1326" s="5" t="s">
        <v>240</v>
      </c>
      <c r="CC1326" s="5" t="s">
        <v>240</v>
      </c>
      <c r="CG1326" s="5" t="s">
        <v>304</v>
      </c>
      <c r="CH1326" s="5" t="s">
        <v>305</v>
      </c>
      <c r="CI1326" s="5" t="s">
        <v>240</v>
      </c>
      <c r="CL1326" s="6" t="s">
        <v>261</v>
      </c>
      <c r="CM1326" s="5" t="s">
        <v>240</v>
      </c>
      <c r="CN1326" s="5" t="s">
        <v>263</v>
      </c>
      <c r="CO1326" s="5" t="s">
        <v>240</v>
      </c>
      <c r="CP1326" s="5" t="s">
        <v>240</v>
      </c>
      <c r="CQ1326" s="5">
        <v>0</v>
      </c>
      <c r="CR1326" s="5" t="s">
        <v>306</v>
      </c>
      <c r="CS1326" s="5" t="s">
        <v>307</v>
      </c>
      <c r="CT1326" s="5" t="s">
        <v>307</v>
      </c>
      <c r="CU1326" s="5" t="s">
        <v>260</v>
      </c>
      <c r="CX1326" s="7">
        <f>1</f>
        <v>1</v>
      </c>
      <c r="CY1326" s="7">
        <f>0</f>
        <v>0</v>
      </c>
      <c r="DA1326" s="7">
        <f>0</f>
        <v>0</v>
      </c>
      <c r="DC1326" s="5" t="s">
        <v>812</v>
      </c>
      <c r="DD1326" s="5" t="s">
        <v>240</v>
      </c>
      <c r="DF1326" s="5" t="s">
        <v>812</v>
      </c>
      <c r="DG1326" s="7">
        <f>2627</f>
        <v>2627</v>
      </c>
      <c r="DI1326" s="5" t="s">
        <v>240</v>
      </c>
      <c r="DJ1326" s="5" t="s">
        <v>240</v>
      </c>
      <c r="DK1326" s="5" t="s">
        <v>240</v>
      </c>
      <c r="DL1326" s="5" t="s">
        <v>240</v>
      </c>
      <c r="DP1326" s="5" t="s">
        <v>240</v>
      </c>
      <c r="DQ1326" s="5" t="s">
        <v>240</v>
      </c>
      <c r="DR1326" s="5" t="s">
        <v>240</v>
      </c>
      <c r="DS1326" s="5" t="s">
        <v>240</v>
      </c>
      <c r="DV1326" s="5" t="s">
        <v>813</v>
      </c>
      <c r="DW1326" s="5" t="s">
        <v>2785</v>
      </c>
      <c r="HO1326" s="5" t="s">
        <v>312</v>
      </c>
    </row>
    <row r="1327" spans="1:223" x14ac:dyDescent="0.4">
      <c r="A1327" s="5">
        <v>3002</v>
      </c>
      <c r="B1327" s="5">
        <v>1</v>
      </c>
      <c r="C1327" s="5">
        <v>1</v>
      </c>
      <c r="D1327" s="5" t="s">
        <v>297</v>
      </c>
      <c r="E1327" s="5" t="s">
        <v>245</v>
      </c>
      <c r="F1327" s="5" t="s">
        <v>254</v>
      </c>
      <c r="G1327" s="5" t="s">
        <v>240</v>
      </c>
      <c r="H1327" s="6" t="s">
        <v>4885</v>
      </c>
      <c r="I1327" s="5" t="s">
        <v>295</v>
      </c>
      <c r="J1327" s="8">
        <f>1206</f>
        <v>1206</v>
      </c>
      <c r="K1327" s="5" t="s">
        <v>308</v>
      </c>
      <c r="L1327" s="7">
        <f>1</f>
        <v>1</v>
      </c>
      <c r="M1327" s="7">
        <f>1</f>
        <v>1</v>
      </c>
      <c r="N1327" s="5" t="s">
        <v>242</v>
      </c>
      <c r="O1327" s="5">
        <v>1</v>
      </c>
      <c r="P1327" s="5" t="s">
        <v>294</v>
      </c>
      <c r="Q1327" s="5" t="s">
        <v>266</v>
      </c>
      <c r="R1327" s="5" t="s">
        <v>240</v>
      </c>
      <c r="S1327" s="5" t="s">
        <v>240</v>
      </c>
      <c r="T1327" s="5" t="s">
        <v>296</v>
      </c>
      <c r="U1327" s="5" t="s">
        <v>244</v>
      </c>
      <c r="V1327" s="5" t="s">
        <v>240</v>
      </c>
      <c r="Y1327" s="5" t="s">
        <v>240</v>
      </c>
      <c r="Z1327" s="6" t="s">
        <v>298</v>
      </c>
      <c r="AB1327" s="6" t="s">
        <v>240</v>
      </c>
      <c r="AE1327" s="6" t="s">
        <v>299</v>
      </c>
      <c r="AF1327" s="5" t="s">
        <v>248</v>
      </c>
      <c r="AG1327" s="5" t="s">
        <v>249</v>
      </c>
      <c r="AW1327" s="5" t="s">
        <v>251</v>
      </c>
      <c r="AX1327" s="5" t="s">
        <v>240</v>
      </c>
      <c r="AY1327" s="5" t="s">
        <v>253</v>
      </c>
      <c r="AZ1327" s="5" t="s">
        <v>240</v>
      </c>
      <c r="BA1327" s="5" t="s">
        <v>255</v>
      </c>
      <c r="BB1327" s="5" t="s">
        <v>240</v>
      </c>
      <c r="BD1327" s="5" t="s">
        <v>240</v>
      </c>
      <c r="BF1327" s="5" t="s">
        <v>301</v>
      </c>
      <c r="BG1327" s="6" t="s">
        <v>299</v>
      </c>
      <c r="BH1327" s="5" t="s">
        <v>302</v>
      </c>
      <c r="BI1327" s="5" t="s">
        <v>303</v>
      </c>
      <c r="BJ1327" s="5" t="s">
        <v>240</v>
      </c>
      <c r="BK1327" s="8">
        <f>0</f>
        <v>0</v>
      </c>
      <c r="BL1327" s="7">
        <f>0</f>
        <v>0</v>
      </c>
      <c r="BM1327" s="5" t="s">
        <v>258</v>
      </c>
      <c r="BN1327" s="5" t="s">
        <v>259</v>
      </c>
      <c r="CB1327" s="5" t="s">
        <v>240</v>
      </c>
      <c r="CC1327" s="5" t="s">
        <v>240</v>
      </c>
      <c r="CG1327" s="5" t="s">
        <v>304</v>
      </c>
      <c r="CH1327" s="5" t="s">
        <v>305</v>
      </c>
      <c r="CI1327" s="5" t="s">
        <v>240</v>
      </c>
      <c r="CL1327" s="6" t="s">
        <v>261</v>
      </c>
      <c r="CM1327" s="5" t="s">
        <v>240</v>
      </c>
      <c r="CN1327" s="5" t="s">
        <v>263</v>
      </c>
      <c r="CO1327" s="5" t="s">
        <v>240</v>
      </c>
      <c r="CP1327" s="5" t="s">
        <v>240</v>
      </c>
      <c r="CQ1327" s="5">
        <v>0</v>
      </c>
      <c r="CR1327" s="5" t="s">
        <v>306</v>
      </c>
      <c r="CS1327" s="5" t="s">
        <v>307</v>
      </c>
      <c r="CT1327" s="5" t="s">
        <v>307</v>
      </c>
      <c r="CU1327" s="5" t="s">
        <v>260</v>
      </c>
      <c r="CX1327" s="7">
        <f>1</f>
        <v>1</v>
      </c>
      <c r="CY1327" s="7">
        <f>0</f>
        <v>0</v>
      </c>
      <c r="DA1327" s="7">
        <f>0</f>
        <v>0</v>
      </c>
      <c r="DC1327" s="5" t="s">
        <v>812</v>
      </c>
      <c r="DD1327" s="5" t="s">
        <v>240</v>
      </c>
      <c r="DF1327" s="5" t="s">
        <v>812</v>
      </c>
      <c r="DG1327" s="7">
        <f>3331</f>
        <v>3331</v>
      </c>
      <c r="DI1327" s="5" t="s">
        <v>240</v>
      </c>
      <c r="DJ1327" s="5" t="s">
        <v>240</v>
      </c>
      <c r="DK1327" s="5" t="s">
        <v>240</v>
      </c>
      <c r="DL1327" s="5" t="s">
        <v>240</v>
      </c>
      <c r="DP1327" s="5" t="s">
        <v>240</v>
      </c>
      <c r="DQ1327" s="5" t="s">
        <v>240</v>
      </c>
      <c r="DR1327" s="5" t="s">
        <v>240</v>
      </c>
      <c r="DS1327" s="5" t="s">
        <v>240</v>
      </c>
      <c r="DV1327" s="5" t="s">
        <v>813</v>
      </c>
      <c r="DW1327" s="5" t="s">
        <v>2787</v>
      </c>
      <c r="HO1327" s="5" t="s">
        <v>312</v>
      </c>
    </row>
    <row r="1328" spans="1:223" x14ac:dyDescent="0.4">
      <c r="A1328" s="5">
        <v>3003</v>
      </c>
      <c r="B1328" s="5">
        <v>1</v>
      </c>
      <c r="C1328" s="5">
        <v>1</v>
      </c>
      <c r="D1328" s="5" t="s">
        <v>297</v>
      </c>
      <c r="E1328" s="5" t="s">
        <v>245</v>
      </c>
      <c r="F1328" s="5" t="s">
        <v>254</v>
      </c>
      <c r="G1328" s="5" t="s">
        <v>240</v>
      </c>
      <c r="H1328" s="6" t="s">
        <v>4884</v>
      </c>
      <c r="I1328" s="5" t="s">
        <v>295</v>
      </c>
      <c r="J1328" s="8">
        <f>2286</f>
        <v>2286</v>
      </c>
      <c r="K1328" s="5" t="s">
        <v>308</v>
      </c>
      <c r="L1328" s="7">
        <f>1</f>
        <v>1</v>
      </c>
      <c r="M1328" s="7">
        <f>1</f>
        <v>1</v>
      </c>
      <c r="N1328" s="5" t="s">
        <v>242</v>
      </c>
      <c r="O1328" s="5">
        <v>1</v>
      </c>
      <c r="P1328" s="5" t="s">
        <v>294</v>
      </c>
      <c r="Q1328" s="5" t="s">
        <v>266</v>
      </c>
      <c r="R1328" s="5" t="s">
        <v>240</v>
      </c>
      <c r="S1328" s="5" t="s">
        <v>240</v>
      </c>
      <c r="T1328" s="5" t="s">
        <v>296</v>
      </c>
      <c r="U1328" s="5" t="s">
        <v>244</v>
      </c>
      <c r="V1328" s="5" t="s">
        <v>240</v>
      </c>
      <c r="Y1328" s="5" t="s">
        <v>240</v>
      </c>
      <c r="Z1328" s="6" t="s">
        <v>298</v>
      </c>
      <c r="AB1328" s="6" t="s">
        <v>240</v>
      </c>
      <c r="AE1328" s="6" t="s">
        <v>299</v>
      </c>
      <c r="AF1328" s="5" t="s">
        <v>248</v>
      </c>
      <c r="AG1328" s="5" t="s">
        <v>249</v>
      </c>
      <c r="AW1328" s="5" t="s">
        <v>251</v>
      </c>
      <c r="AX1328" s="5" t="s">
        <v>240</v>
      </c>
      <c r="AY1328" s="5" t="s">
        <v>253</v>
      </c>
      <c r="AZ1328" s="5" t="s">
        <v>240</v>
      </c>
      <c r="BA1328" s="5" t="s">
        <v>255</v>
      </c>
      <c r="BB1328" s="5" t="s">
        <v>240</v>
      </c>
      <c r="BD1328" s="5" t="s">
        <v>240</v>
      </c>
      <c r="BF1328" s="5" t="s">
        <v>301</v>
      </c>
      <c r="BG1328" s="6" t="s">
        <v>299</v>
      </c>
      <c r="BH1328" s="5" t="s">
        <v>302</v>
      </c>
      <c r="BI1328" s="5" t="s">
        <v>303</v>
      </c>
      <c r="BJ1328" s="5" t="s">
        <v>240</v>
      </c>
      <c r="BK1328" s="8">
        <f>0</f>
        <v>0</v>
      </c>
      <c r="BL1328" s="7">
        <f>0</f>
        <v>0</v>
      </c>
      <c r="BM1328" s="5" t="s">
        <v>258</v>
      </c>
      <c r="BN1328" s="5" t="s">
        <v>259</v>
      </c>
      <c r="CB1328" s="5" t="s">
        <v>240</v>
      </c>
      <c r="CC1328" s="5" t="s">
        <v>240</v>
      </c>
      <c r="CG1328" s="5" t="s">
        <v>304</v>
      </c>
      <c r="CH1328" s="5" t="s">
        <v>305</v>
      </c>
      <c r="CI1328" s="5" t="s">
        <v>240</v>
      </c>
      <c r="CL1328" s="6" t="s">
        <v>261</v>
      </c>
      <c r="CM1328" s="5" t="s">
        <v>240</v>
      </c>
      <c r="CN1328" s="5" t="s">
        <v>263</v>
      </c>
      <c r="CO1328" s="5" t="s">
        <v>240</v>
      </c>
      <c r="CP1328" s="5" t="s">
        <v>240</v>
      </c>
      <c r="CQ1328" s="5">
        <v>0</v>
      </c>
      <c r="CR1328" s="5" t="s">
        <v>306</v>
      </c>
      <c r="CS1328" s="5" t="s">
        <v>307</v>
      </c>
      <c r="CT1328" s="5" t="s">
        <v>307</v>
      </c>
      <c r="CU1328" s="5" t="s">
        <v>260</v>
      </c>
      <c r="CX1328" s="7">
        <f>1</f>
        <v>1</v>
      </c>
      <c r="CY1328" s="7">
        <f>0</f>
        <v>0</v>
      </c>
      <c r="DA1328" s="7">
        <f>0</f>
        <v>0</v>
      </c>
      <c r="DC1328" s="5" t="s">
        <v>812</v>
      </c>
      <c r="DD1328" s="5" t="s">
        <v>240</v>
      </c>
      <c r="DF1328" s="5" t="s">
        <v>812</v>
      </c>
      <c r="DG1328" s="7">
        <f>12</f>
        <v>12</v>
      </c>
      <c r="DI1328" s="5" t="s">
        <v>240</v>
      </c>
      <c r="DJ1328" s="5" t="s">
        <v>240</v>
      </c>
      <c r="DK1328" s="5" t="s">
        <v>240</v>
      </c>
      <c r="DL1328" s="5" t="s">
        <v>240</v>
      </c>
      <c r="DP1328" s="5" t="s">
        <v>240</v>
      </c>
      <c r="DQ1328" s="5" t="s">
        <v>240</v>
      </c>
      <c r="DR1328" s="5" t="s">
        <v>240</v>
      </c>
      <c r="DS1328" s="5" t="s">
        <v>240</v>
      </c>
      <c r="DV1328" s="5" t="s">
        <v>813</v>
      </c>
      <c r="DW1328" s="5" t="s">
        <v>2789</v>
      </c>
      <c r="HO1328" s="5" t="s">
        <v>312</v>
      </c>
    </row>
    <row r="1329" spans="1:223" x14ac:dyDescent="0.4">
      <c r="A1329" s="5">
        <v>3004</v>
      </c>
      <c r="B1329" s="5">
        <v>1</v>
      </c>
      <c r="C1329" s="5">
        <v>1</v>
      </c>
      <c r="D1329" s="5" t="s">
        <v>297</v>
      </c>
      <c r="E1329" s="5" t="s">
        <v>245</v>
      </c>
      <c r="F1329" s="5" t="s">
        <v>254</v>
      </c>
      <c r="G1329" s="5" t="s">
        <v>240</v>
      </c>
      <c r="H1329" s="6" t="s">
        <v>4883</v>
      </c>
      <c r="I1329" s="5" t="s">
        <v>295</v>
      </c>
      <c r="J1329" s="8">
        <f>976</f>
        <v>976</v>
      </c>
      <c r="K1329" s="5" t="s">
        <v>308</v>
      </c>
      <c r="L1329" s="7">
        <f>1</f>
        <v>1</v>
      </c>
      <c r="M1329" s="7">
        <f>1</f>
        <v>1</v>
      </c>
      <c r="N1329" s="5" t="s">
        <v>242</v>
      </c>
      <c r="O1329" s="5">
        <v>1</v>
      </c>
      <c r="P1329" s="5" t="s">
        <v>294</v>
      </c>
      <c r="Q1329" s="5" t="s">
        <v>266</v>
      </c>
      <c r="R1329" s="5" t="s">
        <v>240</v>
      </c>
      <c r="S1329" s="5" t="s">
        <v>240</v>
      </c>
      <c r="T1329" s="5" t="s">
        <v>296</v>
      </c>
      <c r="U1329" s="5" t="s">
        <v>244</v>
      </c>
      <c r="V1329" s="5" t="s">
        <v>240</v>
      </c>
      <c r="Y1329" s="5" t="s">
        <v>240</v>
      </c>
      <c r="Z1329" s="6" t="s">
        <v>298</v>
      </c>
      <c r="AB1329" s="6" t="s">
        <v>240</v>
      </c>
      <c r="AE1329" s="6" t="s">
        <v>299</v>
      </c>
      <c r="AF1329" s="5" t="s">
        <v>248</v>
      </c>
      <c r="AG1329" s="5" t="s">
        <v>249</v>
      </c>
      <c r="AW1329" s="5" t="s">
        <v>251</v>
      </c>
      <c r="AX1329" s="5" t="s">
        <v>240</v>
      </c>
      <c r="AY1329" s="5" t="s">
        <v>253</v>
      </c>
      <c r="AZ1329" s="5" t="s">
        <v>240</v>
      </c>
      <c r="BA1329" s="5" t="s">
        <v>255</v>
      </c>
      <c r="BB1329" s="5" t="s">
        <v>240</v>
      </c>
      <c r="BD1329" s="5" t="s">
        <v>240</v>
      </c>
      <c r="BF1329" s="5" t="s">
        <v>301</v>
      </c>
      <c r="BG1329" s="6" t="s">
        <v>299</v>
      </c>
      <c r="BH1329" s="5" t="s">
        <v>302</v>
      </c>
      <c r="BI1329" s="5" t="s">
        <v>303</v>
      </c>
      <c r="BJ1329" s="5" t="s">
        <v>240</v>
      </c>
      <c r="BK1329" s="8">
        <f>0</f>
        <v>0</v>
      </c>
      <c r="BL1329" s="7">
        <f>0</f>
        <v>0</v>
      </c>
      <c r="BM1329" s="5" t="s">
        <v>258</v>
      </c>
      <c r="BN1329" s="5" t="s">
        <v>259</v>
      </c>
      <c r="CB1329" s="5" t="s">
        <v>240</v>
      </c>
      <c r="CC1329" s="5" t="s">
        <v>240</v>
      </c>
      <c r="CG1329" s="5" t="s">
        <v>304</v>
      </c>
      <c r="CH1329" s="5" t="s">
        <v>305</v>
      </c>
      <c r="CI1329" s="5" t="s">
        <v>240</v>
      </c>
      <c r="CL1329" s="6" t="s">
        <v>261</v>
      </c>
      <c r="CM1329" s="5" t="s">
        <v>240</v>
      </c>
      <c r="CN1329" s="5" t="s">
        <v>263</v>
      </c>
      <c r="CO1329" s="5" t="s">
        <v>240</v>
      </c>
      <c r="CP1329" s="5" t="s">
        <v>240</v>
      </c>
      <c r="CQ1329" s="5">
        <v>0</v>
      </c>
      <c r="CR1329" s="5" t="s">
        <v>306</v>
      </c>
      <c r="CS1329" s="5" t="s">
        <v>307</v>
      </c>
      <c r="CT1329" s="5" t="s">
        <v>307</v>
      </c>
      <c r="CU1329" s="5" t="s">
        <v>260</v>
      </c>
      <c r="CX1329" s="7">
        <f>1</f>
        <v>1</v>
      </c>
      <c r="CY1329" s="7">
        <f>0</f>
        <v>0</v>
      </c>
      <c r="DA1329" s="7">
        <f>0</f>
        <v>0</v>
      </c>
      <c r="DC1329" s="5" t="s">
        <v>812</v>
      </c>
      <c r="DD1329" s="5" t="s">
        <v>240</v>
      </c>
      <c r="DF1329" s="5" t="s">
        <v>812</v>
      </c>
      <c r="DG1329" s="7">
        <f>80</f>
        <v>80</v>
      </c>
      <c r="DI1329" s="5" t="s">
        <v>240</v>
      </c>
      <c r="DJ1329" s="5" t="s">
        <v>240</v>
      </c>
      <c r="DK1329" s="5" t="s">
        <v>240</v>
      </c>
      <c r="DL1329" s="5" t="s">
        <v>240</v>
      </c>
      <c r="DP1329" s="5" t="s">
        <v>240</v>
      </c>
      <c r="DQ1329" s="5" t="s">
        <v>240</v>
      </c>
      <c r="DR1329" s="5" t="s">
        <v>240</v>
      </c>
      <c r="DS1329" s="5" t="s">
        <v>240</v>
      </c>
      <c r="DV1329" s="5" t="s">
        <v>813</v>
      </c>
      <c r="DW1329" s="5" t="s">
        <v>2791</v>
      </c>
      <c r="HO1329" s="5" t="s">
        <v>312</v>
      </c>
    </row>
    <row r="1330" spans="1:223" x14ac:dyDescent="0.4">
      <c r="A1330" s="5">
        <v>3005</v>
      </c>
      <c r="B1330" s="5">
        <v>1</v>
      </c>
      <c r="C1330" s="5">
        <v>1</v>
      </c>
      <c r="D1330" s="5" t="s">
        <v>297</v>
      </c>
      <c r="E1330" s="5" t="s">
        <v>245</v>
      </c>
      <c r="F1330" s="5" t="s">
        <v>254</v>
      </c>
      <c r="G1330" s="5" t="s">
        <v>240</v>
      </c>
      <c r="H1330" s="6" t="s">
        <v>5958</v>
      </c>
      <c r="I1330" s="5" t="s">
        <v>295</v>
      </c>
      <c r="J1330" s="8">
        <f>2701</f>
        <v>2701</v>
      </c>
      <c r="K1330" s="5" t="s">
        <v>308</v>
      </c>
      <c r="L1330" s="7">
        <f>1</f>
        <v>1</v>
      </c>
      <c r="M1330" s="7">
        <f>1</f>
        <v>1</v>
      </c>
      <c r="N1330" s="5" t="s">
        <v>242</v>
      </c>
      <c r="O1330" s="5">
        <v>1</v>
      </c>
      <c r="P1330" s="5" t="s">
        <v>294</v>
      </c>
      <c r="Q1330" s="5" t="s">
        <v>266</v>
      </c>
      <c r="R1330" s="5" t="s">
        <v>240</v>
      </c>
      <c r="S1330" s="5" t="s">
        <v>240</v>
      </c>
      <c r="T1330" s="5" t="s">
        <v>296</v>
      </c>
      <c r="U1330" s="5" t="s">
        <v>244</v>
      </c>
      <c r="V1330" s="5" t="s">
        <v>240</v>
      </c>
      <c r="Y1330" s="5" t="s">
        <v>240</v>
      </c>
      <c r="Z1330" s="6" t="s">
        <v>298</v>
      </c>
      <c r="AB1330" s="6" t="s">
        <v>240</v>
      </c>
      <c r="AE1330" s="6" t="s">
        <v>299</v>
      </c>
      <c r="AF1330" s="5" t="s">
        <v>248</v>
      </c>
      <c r="AG1330" s="5" t="s">
        <v>249</v>
      </c>
      <c r="AW1330" s="5" t="s">
        <v>251</v>
      </c>
      <c r="AX1330" s="5" t="s">
        <v>240</v>
      </c>
      <c r="AY1330" s="5" t="s">
        <v>253</v>
      </c>
      <c r="AZ1330" s="5" t="s">
        <v>240</v>
      </c>
      <c r="BA1330" s="5" t="s">
        <v>255</v>
      </c>
      <c r="BB1330" s="5" t="s">
        <v>240</v>
      </c>
      <c r="BD1330" s="5" t="s">
        <v>240</v>
      </c>
      <c r="BF1330" s="5" t="s">
        <v>301</v>
      </c>
      <c r="BG1330" s="6" t="s">
        <v>299</v>
      </c>
      <c r="BH1330" s="5" t="s">
        <v>302</v>
      </c>
      <c r="BI1330" s="5" t="s">
        <v>303</v>
      </c>
      <c r="BJ1330" s="5" t="s">
        <v>240</v>
      </c>
      <c r="BK1330" s="8">
        <f>0</f>
        <v>0</v>
      </c>
      <c r="BL1330" s="7">
        <f>0</f>
        <v>0</v>
      </c>
      <c r="BM1330" s="5" t="s">
        <v>258</v>
      </c>
      <c r="BN1330" s="5" t="s">
        <v>259</v>
      </c>
      <c r="CB1330" s="5" t="s">
        <v>240</v>
      </c>
      <c r="CC1330" s="5" t="s">
        <v>240</v>
      </c>
      <c r="CG1330" s="5" t="s">
        <v>304</v>
      </c>
      <c r="CH1330" s="5" t="s">
        <v>305</v>
      </c>
      <c r="CI1330" s="5" t="s">
        <v>240</v>
      </c>
      <c r="CL1330" s="6" t="s">
        <v>261</v>
      </c>
      <c r="CM1330" s="5" t="s">
        <v>240</v>
      </c>
      <c r="CN1330" s="5" t="s">
        <v>263</v>
      </c>
      <c r="CO1330" s="5" t="s">
        <v>240</v>
      </c>
      <c r="CP1330" s="5" t="s">
        <v>240</v>
      </c>
      <c r="CQ1330" s="5">
        <v>0</v>
      </c>
      <c r="CR1330" s="5" t="s">
        <v>306</v>
      </c>
      <c r="CS1330" s="5" t="s">
        <v>307</v>
      </c>
      <c r="CT1330" s="5" t="s">
        <v>307</v>
      </c>
      <c r="CU1330" s="5" t="s">
        <v>260</v>
      </c>
      <c r="CX1330" s="7">
        <f>1</f>
        <v>1</v>
      </c>
      <c r="CY1330" s="7">
        <f>0</f>
        <v>0</v>
      </c>
      <c r="DA1330" s="7">
        <f>0</f>
        <v>0</v>
      </c>
      <c r="DC1330" s="5" t="s">
        <v>812</v>
      </c>
      <c r="DD1330" s="5" t="s">
        <v>240</v>
      </c>
      <c r="DF1330" s="5" t="s">
        <v>812</v>
      </c>
      <c r="DG1330" s="7">
        <f>3316</f>
        <v>3316</v>
      </c>
      <c r="DI1330" s="5" t="s">
        <v>240</v>
      </c>
      <c r="DJ1330" s="5" t="s">
        <v>240</v>
      </c>
      <c r="DK1330" s="5" t="s">
        <v>240</v>
      </c>
      <c r="DL1330" s="5" t="s">
        <v>240</v>
      </c>
      <c r="DP1330" s="5" t="s">
        <v>240</v>
      </c>
      <c r="DQ1330" s="5" t="s">
        <v>240</v>
      </c>
      <c r="DR1330" s="5" t="s">
        <v>240</v>
      </c>
      <c r="DS1330" s="5" t="s">
        <v>240</v>
      </c>
      <c r="DV1330" s="5" t="s">
        <v>813</v>
      </c>
      <c r="DW1330" s="5" t="s">
        <v>2793</v>
      </c>
      <c r="HO1330" s="5" t="s">
        <v>312</v>
      </c>
    </row>
    <row r="1331" spans="1:223" x14ac:dyDescent="0.4">
      <c r="A1331" s="5">
        <v>3006</v>
      </c>
      <c r="B1331" s="5">
        <v>1</v>
      </c>
      <c r="C1331" s="5">
        <v>1</v>
      </c>
      <c r="D1331" s="5" t="s">
        <v>297</v>
      </c>
      <c r="E1331" s="5" t="s">
        <v>245</v>
      </c>
      <c r="F1331" s="5" t="s">
        <v>254</v>
      </c>
      <c r="G1331" s="5" t="s">
        <v>240</v>
      </c>
      <c r="H1331" s="6" t="s">
        <v>4881</v>
      </c>
      <c r="I1331" s="5" t="s">
        <v>295</v>
      </c>
      <c r="J1331" s="8">
        <f>1448</f>
        <v>1448</v>
      </c>
      <c r="K1331" s="5" t="s">
        <v>308</v>
      </c>
      <c r="L1331" s="7">
        <f>1</f>
        <v>1</v>
      </c>
      <c r="M1331" s="7">
        <f>1</f>
        <v>1</v>
      </c>
      <c r="N1331" s="5" t="s">
        <v>242</v>
      </c>
      <c r="O1331" s="5">
        <v>1</v>
      </c>
      <c r="P1331" s="5" t="s">
        <v>294</v>
      </c>
      <c r="Q1331" s="5" t="s">
        <v>266</v>
      </c>
      <c r="R1331" s="5" t="s">
        <v>240</v>
      </c>
      <c r="S1331" s="5" t="s">
        <v>240</v>
      </c>
      <c r="T1331" s="5" t="s">
        <v>296</v>
      </c>
      <c r="U1331" s="5" t="s">
        <v>244</v>
      </c>
      <c r="V1331" s="5" t="s">
        <v>240</v>
      </c>
      <c r="Y1331" s="5" t="s">
        <v>240</v>
      </c>
      <c r="Z1331" s="6" t="s">
        <v>298</v>
      </c>
      <c r="AB1331" s="6" t="s">
        <v>240</v>
      </c>
      <c r="AE1331" s="6" t="s">
        <v>299</v>
      </c>
      <c r="AF1331" s="5" t="s">
        <v>248</v>
      </c>
      <c r="AG1331" s="5" t="s">
        <v>249</v>
      </c>
      <c r="AW1331" s="5" t="s">
        <v>251</v>
      </c>
      <c r="AX1331" s="5" t="s">
        <v>240</v>
      </c>
      <c r="AY1331" s="5" t="s">
        <v>253</v>
      </c>
      <c r="AZ1331" s="5" t="s">
        <v>240</v>
      </c>
      <c r="BA1331" s="5" t="s">
        <v>255</v>
      </c>
      <c r="BB1331" s="5" t="s">
        <v>240</v>
      </c>
      <c r="BD1331" s="5" t="s">
        <v>240</v>
      </c>
      <c r="BF1331" s="5" t="s">
        <v>301</v>
      </c>
      <c r="BG1331" s="6" t="s">
        <v>299</v>
      </c>
      <c r="BH1331" s="5" t="s">
        <v>302</v>
      </c>
      <c r="BI1331" s="5" t="s">
        <v>303</v>
      </c>
      <c r="BJ1331" s="5" t="s">
        <v>240</v>
      </c>
      <c r="BK1331" s="8">
        <f>0</f>
        <v>0</v>
      </c>
      <c r="BL1331" s="7">
        <f>0</f>
        <v>0</v>
      </c>
      <c r="BM1331" s="5" t="s">
        <v>258</v>
      </c>
      <c r="BN1331" s="5" t="s">
        <v>259</v>
      </c>
      <c r="CB1331" s="5" t="s">
        <v>240</v>
      </c>
      <c r="CC1331" s="5" t="s">
        <v>240</v>
      </c>
      <c r="CG1331" s="5" t="s">
        <v>304</v>
      </c>
      <c r="CH1331" s="5" t="s">
        <v>305</v>
      </c>
      <c r="CI1331" s="5" t="s">
        <v>240</v>
      </c>
      <c r="CL1331" s="6" t="s">
        <v>261</v>
      </c>
      <c r="CM1331" s="5" t="s">
        <v>240</v>
      </c>
      <c r="CN1331" s="5" t="s">
        <v>263</v>
      </c>
      <c r="CO1331" s="5" t="s">
        <v>240</v>
      </c>
      <c r="CP1331" s="5" t="s">
        <v>240</v>
      </c>
      <c r="CQ1331" s="5">
        <v>0</v>
      </c>
      <c r="CR1331" s="5" t="s">
        <v>306</v>
      </c>
      <c r="CS1331" s="5" t="s">
        <v>307</v>
      </c>
      <c r="CT1331" s="5" t="s">
        <v>307</v>
      </c>
      <c r="CU1331" s="5" t="s">
        <v>260</v>
      </c>
      <c r="CX1331" s="7">
        <f>1</f>
        <v>1</v>
      </c>
      <c r="CY1331" s="7">
        <f>0</f>
        <v>0</v>
      </c>
      <c r="DA1331" s="7">
        <f>0</f>
        <v>0</v>
      </c>
      <c r="DC1331" s="5" t="s">
        <v>812</v>
      </c>
      <c r="DD1331" s="5" t="s">
        <v>240</v>
      </c>
      <c r="DF1331" s="5" t="s">
        <v>812</v>
      </c>
      <c r="DG1331" s="7">
        <f>3085</f>
        <v>3085</v>
      </c>
      <c r="DI1331" s="5" t="s">
        <v>240</v>
      </c>
      <c r="DJ1331" s="5" t="s">
        <v>240</v>
      </c>
      <c r="DK1331" s="5" t="s">
        <v>240</v>
      </c>
      <c r="DL1331" s="5" t="s">
        <v>240</v>
      </c>
      <c r="DP1331" s="5" t="s">
        <v>240</v>
      </c>
      <c r="DQ1331" s="5" t="s">
        <v>240</v>
      </c>
      <c r="DR1331" s="5" t="s">
        <v>240</v>
      </c>
      <c r="DS1331" s="5" t="s">
        <v>240</v>
      </c>
      <c r="DV1331" s="5" t="s">
        <v>813</v>
      </c>
      <c r="DW1331" s="5" t="s">
        <v>2795</v>
      </c>
      <c r="HO1331" s="5" t="s">
        <v>312</v>
      </c>
    </row>
    <row r="1332" spans="1:223" x14ac:dyDescent="0.4">
      <c r="A1332" s="5">
        <v>3007</v>
      </c>
      <c r="B1332" s="5">
        <v>1</v>
      </c>
      <c r="C1332" s="5">
        <v>1</v>
      </c>
      <c r="D1332" s="5" t="s">
        <v>297</v>
      </c>
      <c r="E1332" s="5" t="s">
        <v>245</v>
      </c>
      <c r="F1332" s="5" t="s">
        <v>254</v>
      </c>
      <c r="G1332" s="5" t="s">
        <v>240</v>
      </c>
      <c r="H1332" s="6" t="s">
        <v>4880</v>
      </c>
      <c r="I1332" s="5" t="s">
        <v>295</v>
      </c>
      <c r="J1332" s="8">
        <f>1463</f>
        <v>1463</v>
      </c>
      <c r="K1332" s="5" t="s">
        <v>308</v>
      </c>
      <c r="L1332" s="7">
        <f>1</f>
        <v>1</v>
      </c>
      <c r="M1332" s="7">
        <f>1</f>
        <v>1</v>
      </c>
      <c r="N1332" s="5" t="s">
        <v>242</v>
      </c>
      <c r="O1332" s="5">
        <v>1</v>
      </c>
      <c r="P1332" s="5" t="s">
        <v>294</v>
      </c>
      <c r="Q1332" s="5" t="s">
        <v>266</v>
      </c>
      <c r="R1332" s="5" t="s">
        <v>240</v>
      </c>
      <c r="S1332" s="5" t="s">
        <v>240</v>
      </c>
      <c r="T1332" s="5" t="s">
        <v>296</v>
      </c>
      <c r="U1332" s="5" t="s">
        <v>244</v>
      </c>
      <c r="V1332" s="5" t="s">
        <v>240</v>
      </c>
      <c r="Y1332" s="5" t="s">
        <v>240</v>
      </c>
      <c r="Z1332" s="6" t="s">
        <v>298</v>
      </c>
      <c r="AB1332" s="6" t="s">
        <v>240</v>
      </c>
      <c r="AE1332" s="6" t="s">
        <v>299</v>
      </c>
      <c r="AF1332" s="5" t="s">
        <v>248</v>
      </c>
      <c r="AG1332" s="5" t="s">
        <v>249</v>
      </c>
      <c r="AW1332" s="5" t="s">
        <v>251</v>
      </c>
      <c r="AX1332" s="5" t="s">
        <v>240</v>
      </c>
      <c r="AY1332" s="5" t="s">
        <v>253</v>
      </c>
      <c r="AZ1332" s="5" t="s">
        <v>240</v>
      </c>
      <c r="BA1332" s="5" t="s">
        <v>255</v>
      </c>
      <c r="BB1332" s="5" t="s">
        <v>240</v>
      </c>
      <c r="BD1332" s="5" t="s">
        <v>240</v>
      </c>
      <c r="BF1332" s="5" t="s">
        <v>301</v>
      </c>
      <c r="BG1332" s="6" t="s">
        <v>299</v>
      </c>
      <c r="BH1332" s="5" t="s">
        <v>302</v>
      </c>
      <c r="BI1332" s="5" t="s">
        <v>303</v>
      </c>
      <c r="BJ1332" s="5" t="s">
        <v>240</v>
      </c>
      <c r="BK1332" s="8">
        <f>0</f>
        <v>0</v>
      </c>
      <c r="BL1332" s="7">
        <f>0</f>
        <v>0</v>
      </c>
      <c r="BM1332" s="5" t="s">
        <v>258</v>
      </c>
      <c r="BN1332" s="5" t="s">
        <v>259</v>
      </c>
      <c r="CB1332" s="5" t="s">
        <v>240</v>
      </c>
      <c r="CC1332" s="5" t="s">
        <v>240</v>
      </c>
      <c r="CG1332" s="5" t="s">
        <v>304</v>
      </c>
      <c r="CH1332" s="5" t="s">
        <v>305</v>
      </c>
      <c r="CI1332" s="5" t="s">
        <v>240</v>
      </c>
      <c r="CL1332" s="6" t="s">
        <v>261</v>
      </c>
      <c r="CM1332" s="5" t="s">
        <v>240</v>
      </c>
      <c r="CN1332" s="5" t="s">
        <v>263</v>
      </c>
      <c r="CO1332" s="5" t="s">
        <v>240</v>
      </c>
      <c r="CP1332" s="5" t="s">
        <v>240</v>
      </c>
      <c r="CQ1332" s="5">
        <v>0</v>
      </c>
      <c r="CR1332" s="5" t="s">
        <v>306</v>
      </c>
      <c r="CS1332" s="5" t="s">
        <v>307</v>
      </c>
      <c r="CT1332" s="5" t="s">
        <v>307</v>
      </c>
      <c r="CU1332" s="5" t="s">
        <v>260</v>
      </c>
      <c r="CX1332" s="7">
        <f>1</f>
        <v>1</v>
      </c>
      <c r="CY1332" s="7">
        <f>0</f>
        <v>0</v>
      </c>
      <c r="DA1332" s="7">
        <f>0</f>
        <v>0</v>
      </c>
      <c r="DC1332" s="5" t="s">
        <v>812</v>
      </c>
      <c r="DD1332" s="5" t="s">
        <v>240</v>
      </c>
      <c r="DF1332" s="5" t="s">
        <v>812</v>
      </c>
      <c r="DG1332" s="7">
        <f>3020</f>
        <v>3020</v>
      </c>
      <c r="DI1332" s="5" t="s">
        <v>240</v>
      </c>
      <c r="DJ1332" s="5" t="s">
        <v>240</v>
      </c>
      <c r="DK1332" s="5" t="s">
        <v>240</v>
      </c>
      <c r="DL1332" s="5" t="s">
        <v>240</v>
      </c>
      <c r="DP1332" s="5" t="s">
        <v>240</v>
      </c>
      <c r="DQ1332" s="5" t="s">
        <v>240</v>
      </c>
      <c r="DR1332" s="5" t="s">
        <v>240</v>
      </c>
      <c r="DS1332" s="5" t="s">
        <v>240</v>
      </c>
      <c r="DV1332" s="5" t="s">
        <v>813</v>
      </c>
      <c r="DW1332" s="5" t="s">
        <v>2797</v>
      </c>
      <c r="HO1332" s="5" t="s">
        <v>312</v>
      </c>
    </row>
    <row r="1333" spans="1:223" x14ac:dyDescent="0.4">
      <c r="A1333" s="5">
        <v>3008</v>
      </c>
      <c r="B1333" s="5">
        <v>1</v>
      </c>
      <c r="C1333" s="5">
        <v>1</v>
      </c>
      <c r="D1333" s="5" t="s">
        <v>297</v>
      </c>
      <c r="E1333" s="5" t="s">
        <v>245</v>
      </c>
      <c r="F1333" s="5" t="s">
        <v>254</v>
      </c>
      <c r="G1333" s="5" t="s">
        <v>240</v>
      </c>
      <c r="H1333" s="6" t="s">
        <v>4879</v>
      </c>
      <c r="I1333" s="5" t="s">
        <v>295</v>
      </c>
      <c r="J1333" s="8">
        <f>519</f>
        <v>519</v>
      </c>
      <c r="K1333" s="5" t="s">
        <v>308</v>
      </c>
      <c r="L1333" s="7">
        <f>1</f>
        <v>1</v>
      </c>
      <c r="M1333" s="7">
        <f>1</f>
        <v>1</v>
      </c>
      <c r="N1333" s="5" t="s">
        <v>242</v>
      </c>
      <c r="O1333" s="5">
        <v>1</v>
      </c>
      <c r="P1333" s="5" t="s">
        <v>294</v>
      </c>
      <c r="Q1333" s="5" t="s">
        <v>266</v>
      </c>
      <c r="R1333" s="5" t="s">
        <v>240</v>
      </c>
      <c r="S1333" s="5" t="s">
        <v>240</v>
      </c>
      <c r="T1333" s="5" t="s">
        <v>296</v>
      </c>
      <c r="U1333" s="5" t="s">
        <v>244</v>
      </c>
      <c r="V1333" s="5" t="s">
        <v>240</v>
      </c>
      <c r="Y1333" s="5" t="s">
        <v>240</v>
      </c>
      <c r="Z1333" s="6" t="s">
        <v>298</v>
      </c>
      <c r="AB1333" s="6" t="s">
        <v>240</v>
      </c>
      <c r="AE1333" s="6" t="s">
        <v>299</v>
      </c>
      <c r="AF1333" s="5" t="s">
        <v>248</v>
      </c>
      <c r="AG1333" s="5" t="s">
        <v>249</v>
      </c>
      <c r="AW1333" s="5" t="s">
        <v>251</v>
      </c>
      <c r="AX1333" s="5" t="s">
        <v>240</v>
      </c>
      <c r="AY1333" s="5" t="s">
        <v>253</v>
      </c>
      <c r="AZ1333" s="5" t="s">
        <v>240</v>
      </c>
      <c r="BA1333" s="5" t="s">
        <v>255</v>
      </c>
      <c r="BB1333" s="5" t="s">
        <v>240</v>
      </c>
      <c r="BD1333" s="5" t="s">
        <v>240</v>
      </c>
      <c r="BF1333" s="5" t="s">
        <v>301</v>
      </c>
      <c r="BG1333" s="6" t="s">
        <v>299</v>
      </c>
      <c r="BH1333" s="5" t="s">
        <v>302</v>
      </c>
      <c r="BI1333" s="5" t="s">
        <v>303</v>
      </c>
      <c r="BJ1333" s="5" t="s">
        <v>240</v>
      </c>
      <c r="BK1333" s="8">
        <f>0</f>
        <v>0</v>
      </c>
      <c r="BL1333" s="7">
        <f>0</f>
        <v>0</v>
      </c>
      <c r="BM1333" s="5" t="s">
        <v>258</v>
      </c>
      <c r="BN1333" s="5" t="s">
        <v>259</v>
      </c>
      <c r="CB1333" s="5" t="s">
        <v>240</v>
      </c>
      <c r="CC1333" s="5" t="s">
        <v>240</v>
      </c>
      <c r="CG1333" s="5" t="s">
        <v>304</v>
      </c>
      <c r="CH1333" s="5" t="s">
        <v>305</v>
      </c>
      <c r="CI1333" s="5" t="s">
        <v>240</v>
      </c>
      <c r="CL1333" s="6" t="s">
        <v>261</v>
      </c>
      <c r="CM1333" s="5" t="s">
        <v>240</v>
      </c>
      <c r="CN1333" s="5" t="s">
        <v>263</v>
      </c>
      <c r="CO1333" s="5" t="s">
        <v>240</v>
      </c>
      <c r="CP1333" s="5" t="s">
        <v>240</v>
      </c>
      <c r="CQ1333" s="5">
        <v>0</v>
      </c>
      <c r="CR1333" s="5" t="s">
        <v>306</v>
      </c>
      <c r="CS1333" s="5" t="s">
        <v>307</v>
      </c>
      <c r="CT1333" s="5" t="s">
        <v>307</v>
      </c>
      <c r="CU1333" s="5" t="s">
        <v>260</v>
      </c>
      <c r="CX1333" s="7">
        <f>1</f>
        <v>1</v>
      </c>
      <c r="CY1333" s="7">
        <f>0</f>
        <v>0</v>
      </c>
      <c r="DA1333" s="7">
        <f>0</f>
        <v>0</v>
      </c>
      <c r="DC1333" s="5" t="s">
        <v>812</v>
      </c>
      <c r="DD1333" s="5" t="s">
        <v>240</v>
      </c>
      <c r="DF1333" s="5" t="s">
        <v>812</v>
      </c>
      <c r="DG1333" s="7">
        <f>2738</f>
        <v>2738</v>
      </c>
      <c r="DI1333" s="5" t="s">
        <v>240</v>
      </c>
      <c r="DJ1333" s="5" t="s">
        <v>240</v>
      </c>
      <c r="DK1333" s="5" t="s">
        <v>240</v>
      </c>
      <c r="DL1333" s="5" t="s">
        <v>240</v>
      </c>
      <c r="DP1333" s="5" t="s">
        <v>240</v>
      </c>
      <c r="DQ1333" s="5" t="s">
        <v>240</v>
      </c>
      <c r="DR1333" s="5" t="s">
        <v>240</v>
      </c>
      <c r="DS1333" s="5" t="s">
        <v>240</v>
      </c>
      <c r="DV1333" s="5" t="s">
        <v>813</v>
      </c>
      <c r="DW1333" s="5" t="s">
        <v>2799</v>
      </c>
      <c r="HO1333" s="5" t="s">
        <v>312</v>
      </c>
    </row>
    <row r="1334" spans="1:223" x14ac:dyDescent="0.4">
      <c r="A1334" s="5">
        <v>3009</v>
      </c>
      <c r="B1334" s="5">
        <v>1</v>
      </c>
      <c r="C1334" s="5">
        <v>1</v>
      </c>
      <c r="D1334" s="5" t="s">
        <v>297</v>
      </c>
      <c r="E1334" s="5" t="s">
        <v>245</v>
      </c>
      <c r="F1334" s="5" t="s">
        <v>254</v>
      </c>
      <c r="G1334" s="5" t="s">
        <v>240</v>
      </c>
      <c r="H1334" s="6" t="s">
        <v>4878</v>
      </c>
      <c r="I1334" s="5" t="s">
        <v>295</v>
      </c>
      <c r="J1334" s="8">
        <f>412</f>
        <v>412</v>
      </c>
      <c r="K1334" s="5" t="s">
        <v>308</v>
      </c>
      <c r="L1334" s="7">
        <f>1</f>
        <v>1</v>
      </c>
      <c r="M1334" s="7">
        <f>1</f>
        <v>1</v>
      </c>
      <c r="N1334" s="5" t="s">
        <v>242</v>
      </c>
      <c r="O1334" s="5">
        <v>1</v>
      </c>
      <c r="P1334" s="5" t="s">
        <v>294</v>
      </c>
      <c r="Q1334" s="5" t="s">
        <v>266</v>
      </c>
      <c r="R1334" s="5" t="s">
        <v>240</v>
      </c>
      <c r="S1334" s="5" t="s">
        <v>240</v>
      </c>
      <c r="T1334" s="5" t="s">
        <v>296</v>
      </c>
      <c r="U1334" s="5" t="s">
        <v>244</v>
      </c>
      <c r="V1334" s="5" t="s">
        <v>240</v>
      </c>
      <c r="Y1334" s="5" t="s">
        <v>240</v>
      </c>
      <c r="Z1334" s="6" t="s">
        <v>298</v>
      </c>
      <c r="AB1334" s="6" t="s">
        <v>240</v>
      </c>
      <c r="AE1334" s="6" t="s">
        <v>299</v>
      </c>
      <c r="AF1334" s="5" t="s">
        <v>248</v>
      </c>
      <c r="AG1334" s="5" t="s">
        <v>249</v>
      </c>
      <c r="AW1334" s="5" t="s">
        <v>251</v>
      </c>
      <c r="AX1334" s="5" t="s">
        <v>240</v>
      </c>
      <c r="AY1334" s="5" t="s">
        <v>253</v>
      </c>
      <c r="AZ1334" s="5" t="s">
        <v>240</v>
      </c>
      <c r="BA1334" s="5" t="s">
        <v>255</v>
      </c>
      <c r="BB1334" s="5" t="s">
        <v>240</v>
      </c>
      <c r="BD1334" s="5" t="s">
        <v>240</v>
      </c>
      <c r="BF1334" s="5" t="s">
        <v>301</v>
      </c>
      <c r="BG1334" s="6" t="s">
        <v>299</v>
      </c>
      <c r="BH1334" s="5" t="s">
        <v>302</v>
      </c>
      <c r="BI1334" s="5" t="s">
        <v>303</v>
      </c>
      <c r="BJ1334" s="5" t="s">
        <v>240</v>
      </c>
      <c r="BK1334" s="8">
        <f>0</f>
        <v>0</v>
      </c>
      <c r="BL1334" s="7">
        <f>0</f>
        <v>0</v>
      </c>
      <c r="BM1334" s="5" t="s">
        <v>258</v>
      </c>
      <c r="BN1334" s="5" t="s">
        <v>259</v>
      </c>
      <c r="CB1334" s="5" t="s">
        <v>240</v>
      </c>
      <c r="CC1334" s="5" t="s">
        <v>240</v>
      </c>
      <c r="CG1334" s="5" t="s">
        <v>304</v>
      </c>
      <c r="CH1334" s="5" t="s">
        <v>305</v>
      </c>
      <c r="CI1334" s="5" t="s">
        <v>240</v>
      </c>
      <c r="CL1334" s="6" t="s">
        <v>261</v>
      </c>
      <c r="CM1334" s="5" t="s">
        <v>240</v>
      </c>
      <c r="CN1334" s="5" t="s">
        <v>263</v>
      </c>
      <c r="CO1334" s="5" t="s">
        <v>240</v>
      </c>
      <c r="CP1334" s="5" t="s">
        <v>240</v>
      </c>
      <c r="CQ1334" s="5">
        <v>0</v>
      </c>
      <c r="CR1334" s="5" t="s">
        <v>306</v>
      </c>
      <c r="CS1334" s="5" t="s">
        <v>307</v>
      </c>
      <c r="CT1334" s="5" t="s">
        <v>307</v>
      </c>
      <c r="CU1334" s="5" t="s">
        <v>260</v>
      </c>
      <c r="CX1334" s="7">
        <f>1</f>
        <v>1</v>
      </c>
      <c r="CY1334" s="7">
        <f>0</f>
        <v>0</v>
      </c>
      <c r="DA1334" s="7">
        <f>0</f>
        <v>0</v>
      </c>
      <c r="DC1334" s="5" t="s">
        <v>812</v>
      </c>
      <c r="DD1334" s="5" t="s">
        <v>240</v>
      </c>
      <c r="DF1334" s="5" t="s">
        <v>812</v>
      </c>
      <c r="DG1334" s="7">
        <f>1827</f>
        <v>1827</v>
      </c>
      <c r="DI1334" s="5" t="s">
        <v>240</v>
      </c>
      <c r="DJ1334" s="5" t="s">
        <v>240</v>
      </c>
      <c r="DK1334" s="5" t="s">
        <v>240</v>
      </c>
      <c r="DL1334" s="5" t="s">
        <v>240</v>
      </c>
      <c r="DP1334" s="5" t="s">
        <v>240</v>
      </c>
      <c r="DQ1334" s="5" t="s">
        <v>240</v>
      </c>
      <c r="DR1334" s="5" t="s">
        <v>240</v>
      </c>
      <c r="DS1334" s="5" t="s">
        <v>240</v>
      </c>
      <c r="DV1334" s="5" t="s">
        <v>813</v>
      </c>
      <c r="DW1334" s="5" t="s">
        <v>2801</v>
      </c>
      <c r="HO1334" s="5" t="s">
        <v>312</v>
      </c>
    </row>
    <row r="1335" spans="1:223" x14ac:dyDescent="0.4">
      <c r="A1335" s="5">
        <v>3010</v>
      </c>
      <c r="B1335" s="5">
        <v>1</v>
      </c>
      <c r="C1335" s="5">
        <v>1</v>
      </c>
      <c r="D1335" s="5" t="s">
        <v>297</v>
      </c>
      <c r="E1335" s="5" t="s">
        <v>245</v>
      </c>
      <c r="F1335" s="5" t="s">
        <v>254</v>
      </c>
      <c r="G1335" s="5" t="s">
        <v>240</v>
      </c>
      <c r="H1335" s="6" t="s">
        <v>4877</v>
      </c>
      <c r="I1335" s="5" t="s">
        <v>295</v>
      </c>
      <c r="J1335" s="8">
        <f>388</f>
        <v>388</v>
      </c>
      <c r="K1335" s="5" t="s">
        <v>308</v>
      </c>
      <c r="L1335" s="7">
        <f>1</f>
        <v>1</v>
      </c>
      <c r="M1335" s="7">
        <f>1</f>
        <v>1</v>
      </c>
      <c r="N1335" s="5" t="s">
        <v>242</v>
      </c>
      <c r="O1335" s="5">
        <v>1</v>
      </c>
      <c r="P1335" s="5" t="s">
        <v>294</v>
      </c>
      <c r="Q1335" s="5" t="s">
        <v>266</v>
      </c>
      <c r="R1335" s="5" t="s">
        <v>240</v>
      </c>
      <c r="S1335" s="5" t="s">
        <v>240</v>
      </c>
      <c r="T1335" s="5" t="s">
        <v>296</v>
      </c>
      <c r="U1335" s="5" t="s">
        <v>244</v>
      </c>
      <c r="V1335" s="5" t="s">
        <v>240</v>
      </c>
      <c r="Y1335" s="5" t="s">
        <v>240</v>
      </c>
      <c r="Z1335" s="6" t="s">
        <v>298</v>
      </c>
      <c r="AB1335" s="6" t="s">
        <v>240</v>
      </c>
      <c r="AE1335" s="6" t="s">
        <v>299</v>
      </c>
      <c r="AF1335" s="5" t="s">
        <v>248</v>
      </c>
      <c r="AG1335" s="5" t="s">
        <v>249</v>
      </c>
      <c r="AW1335" s="5" t="s">
        <v>251</v>
      </c>
      <c r="AX1335" s="5" t="s">
        <v>240</v>
      </c>
      <c r="AY1335" s="5" t="s">
        <v>253</v>
      </c>
      <c r="AZ1335" s="5" t="s">
        <v>240</v>
      </c>
      <c r="BA1335" s="5" t="s">
        <v>255</v>
      </c>
      <c r="BB1335" s="5" t="s">
        <v>240</v>
      </c>
      <c r="BD1335" s="5" t="s">
        <v>240</v>
      </c>
      <c r="BF1335" s="5" t="s">
        <v>301</v>
      </c>
      <c r="BG1335" s="6" t="s">
        <v>299</v>
      </c>
      <c r="BH1335" s="5" t="s">
        <v>302</v>
      </c>
      <c r="BI1335" s="5" t="s">
        <v>303</v>
      </c>
      <c r="BJ1335" s="5" t="s">
        <v>240</v>
      </c>
      <c r="BK1335" s="8">
        <f>0</f>
        <v>0</v>
      </c>
      <c r="BL1335" s="7">
        <f>0</f>
        <v>0</v>
      </c>
      <c r="BM1335" s="5" t="s">
        <v>258</v>
      </c>
      <c r="BN1335" s="5" t="s">
        <v>259</v>
      </c>
      <c r="CB1335" s="5" t="s">
        <v>240</v>
      </c>
      <c r="CC1335" s="5" t="s">
        <v>240</v>
      </c>
      <c r="CG1335" s="5" t="s">
        <v>304</v>
      </c>
      <c r="CH1335" s="5" t="s">
        <v>305</v>
      </c>
      <c r="CI1335" s="5" t="s">
        <v>240</v>
      </c>
      <c r="CL1335" s="6" t="s">
        <v>261</v>
      </c>
      <c r="CM1335" s="5" t="s">
        <v>240</v>
      </c>
      <c r="CN1335" s="5" t="s">
        <v>263</v>
      </c>
      <c r="CO1335" s="5" t="s">
        <v>240</v>
      </c>
      <c r="CP1335" s="5" t="s">
        <v>240</v>
      </c>
      <c r="CQ1335" s="5">
        <v>0</v>
      </c>
      <c r="CR1335" s="5" t="s">
        <v>306</v>
      </c>
      <c r="CS1335" s="5" t="s">
        <v>307</v>
      </c>
      <c r="CT1335" s="5" t="s">
        <v>307</v>
      </c>
      <c r="CU1335" s="5" t="s">
        <v>260</v>
      </c>
      <c r="CX1335" s="7">
        <f>1</f>
        <v>1</v>
      </c>
      <c r="CY1335" s="7">
        <f>0</f>
        <v>0</v>
      </c>
      <c r="DA1335" s="7">
        <f>0</f>
        <v>0</v>
      </c>
      <c r="DC1335" s="5" t="s">
        <v>812</v>
      </c>
      <c r="DD1335" s="5" t="s">
        <v>240</v>
      </c>
      <c r="DF1335" s="5" t="s">
        <v>812</v>
      </c>
      <c r="DG1335" s="7">
        <f>2252</f>
        <v>2252</v>
      </c>
      <c r="DI1335" s="5" t="s">
        <v>240</v>
      </c>
      <c r="DJ1335" s="5" t="s">
        <v>240</v>
      </c>
      <c r="DK1335" s="5" t="s">
        <v>240</v>
      </c>
      <c r="DL1335" s="5" t="s">
        <v>240</v>
      </c>
      <c r="DP1335" s="5" t="s">
        <v>240</v>
      </c>
      <c r="DQ1335" s="5" t="s">
        <v>240</v>
      </c>
      <c r="DR1335" s="5" t="s">
        <v>240</v>
      </c>
      <c r="DS1335" s="5" t="s">
        <v>240</v>
      </c>
      <c r="DV1335" s="5" t="s">
        <v>813</v>
      </c>
      <c r="DW1335" s="5" t="s">
        <v>2803</v>
      </c>
      <c r="HO1335" s="5" t="s">
        <v>312</v>
      </c>
    </row>
    <row r="1336" spans="1:223" x14ac:dyDescent="0.4">
      <c r="A1336" s="5">
        <v>3011</v>
      </c>
      <c r="B1336" s="5">
        <v>1</v>
      </c>
      <c r="C1336" s="5">
        <v>1</v>
      </c>
      <c r="D1336" s="5" t="s">
        <v>297</v>
      </c>
      <c r="E1336" s="5" t="s">
        <v>245</v>
      </c>
      <c r="F1336" s="5" t="s">
        <v>254</v>
      </c>
      <c r="G1336" s="5" t="s">
        <v>240</v>
      </c>
      <c r="H1336" s="6" t="s">
        <v>4876</v>
      </c>
      <c r="I1336" s="5" t="s">
        <v>295</v>
      </c>
      <c r="J1336" s="8">
        <f>5345</f>
        <v>5345</v>
      </c>
      <c r="K1336" s="5" t="s">
        <v>308</v>
      </c>
      <c r="L1336" s="7">
        <f>1</f>
        <v>1</v>
      </c>
      <c r="M1336" s="7">
        <f>1</f>
        <v>1</v>
      </c>
      <c r="N1336" s="5" t="s">
        <v>242</v>
      </c>
      <c r="O1336" s="5">
        <v>1</v>
      </c>
      <c r="P1336" s="5" t="s">
        <v>294</v>
      </c>
      <c r="Q1336" s="5" t="s">
        <v>266</v>
      </c>
      <c r="R1336" s="5" t="s">
        <v>240</v>
      </c>
      <c r="S1336" s="5" t="s">
        <v>240</v>
      </c>
      <c r="T1336" s="5" t="s">
        <v>296</v>
      </c>
      <c r="U1336" s="5" t="s">
        <v>244</v>
      </c>
      <c r="V1336" s="5" t="s">
        <v>240</v>
      </c>
      <c r="Y1336" s="5" t="s">
        <v>240</v>
      </c>
      <c r="Z1336" s="6" t="s">
        <v>298</v>
      </c>
      <c r="AB1336" s="6" t="s">
        <v>240</v>
      </c>
      <c r="AE1336" s="6" t="s">
        <v>299</v>
      </c>
      <c r="AF1336" s="5" t="s">
        <v>248</v>
      </c>
      <c r="AG1336" s="5" t="s">
        <v>249</v>
      </c>
      <c r="AW1336" s="5" t="s">
        <v>251</v>
      </c>
      <c r="AX1336" s="5" t="s">
        <v>240</v>
      </c>
      <c r="AY1336" s="5" t="s">
        <v>253</v>
      </c>
      <c r="AZ1336" s="5" t="s">
        <v>240</v>
      </c>
      <c r="BA1336" s="5" t="s">
        <v>255</v>
      </c>
      <c r="BB1336" s="5" t="s">
        <v>240</v>
      </c>
      <c r="BD1336" s="5" t="s">
        <v>240</v>
      </c>
      <c r="BF1336" s="5" t="s">
        <v>301</v>
      </c>
      <c r="BG1336" s="6" t="s">
        <v>299</v>
      </c>
      <c r="BH1336" s="5" t="s">
        <v>302</v>
      </c>
      <c r="BI1336" s="5" t="s">
        <v>303</v>
      </c>
      <c r="BJ1336" s="5" t="s">
        <v>240</v>
      </c>
      <c r="BK1336" s="8">
        <f>0</f>
        <v>0</v>
      </c>
      <c r="BL1336" s="7">
        <f>0</f>
        <v>0</v>
      </c>
      <c r="BM1336" s="5" t="s">
        <v>258</v>
      </c>
      <c r="BN1336" s="5" t="s">
        <v>259</v>
      </c>
      <c r="CB1336" s="5" t="s">
        <v>240</v>
      </c>
      <c r="CC1336" s="5" t="s">
        <v>240</v>
      </c>
      <c r="CG1336" s="5" t="s">
        <v>304</v>
      </c>
      <c r="CH1336" s="5" t="s">
        <v>305</v>
      </c>
      <c r="CI1336" s="5" t="s">
        <v>240</v>
      </c>
      <c r="CL1336" s="6" t="s">
        <v>261</v>
      </c>
      <c r="CM1336" s="5" t="s">
        <v>240</v>
      </c>
      <c r="CN1336" s="5" t="s">
        <v>263</v>
      </c>
      <c r="CO1336" s="5" t="s">
        <v>240</v>
      </c>
      <c r="CP1336" s="5" t="s">
        <v>240</v>
      </c>
      <c r="CQ1336" s="5">
        <v>0</v>
      </c>
      <c r="CR1336" s="5" t="s">
        <v>306</v>
      </c>
      <c r="CS1336" s="5" t="s">
        <v>307</v>
      </c>
      <c r="CT1336" s="5" t="s">
        <v>307</v>
      </c>
      <c r="CU1336" s="5" t="s">
        <v>260</v>
      </c>
      <c r="CX1336" s="7">
        <f>1</f>
        <v>1</v>
      </c>
      <c r="CY1336" s="7">
        <f>0</f>
        <v>0</v>
      </c>
      <c r="DA1336" s="7">
        <f>0</f>
        <v>0</v>
      </c>
      <c r="DC1336" s="5" t="s">
        <v>812</v>
      </c>
      <c r="DD1336" s="5" t="s">
        <v>240</v>
      </c>
      <c r="DF1336" s="5" t="s">
        <v>812</v>
      </c>
      <c r="DG1336" s="7">
        <f>1394</f>
        <v>1394</v>
      </c>
      <c r="DI1336" s="5" t="s">
        <v>240</v>
      </c>
      <c r="DJ1336" s="5" t="s">
        <v>240</v>
      </c>
      <c r="DK1336" s="5" t="s">
        <v>240</v>
      </c>
      <c r="DL1336" s="5" t="s">
        <v>240</v>
      </c>
      <c r="DP1336" s="5" t="s">
        <v>240</v>
      </c>
      <c r="DQ1336" s="5" t="s">
        <v>240</v>
      </c>
      <c r="DR1336" s="5" t="s">
        <v>240</v>
      </c>
      <c r="DS1336" s="5" t="s">
        <v>240</v>
      </c>
      <c r="DV1336" s="5" t="s">
        <v>813</v>
      </c>
      <c r="DW1336" s="5" t="s">
        <v>2805</v>
      </c>
      <c r="HO1336" s="5" t="s">
        <v>312</v>
      </c>
    </row>
    <row r="1337" spans="1:223" x14ac:dyDescent="0.4">
      <c r="A1337" s="5">
        <v>3012</v>
      </c>
      <c r="B1337" s="5">
        <v>1</v>
      </c>
      <c r="C1337" s="5">
        <v>1</v>
      </c>
      <c r="D1337" s="5" t="s">
        <v>297</v>
      </c>
      <c r="E1337" s="5" t="s">
        <v>245</v>
      </c>
      <c r="F1337" s="5" t="s">
        <v>254</v>
      </c>
      <c r="G1337" s="5" t="s">
        <v>240</v>
      </c>
      <c r="H1337" s="6" t="s">
        <v>4875</v>
      </c>
      <c r="I1337" s="5" t="s">
        <v>295</v>
      </c>
      <c r="J1337" s="8">
        <f>1979</f>
        <v>1979</v>
      </c>
      <c r="K1337" s="5" t="s">
        <v>308</v>
      </c>
      <c r="L1337" s="7">
        <f>1</f>
        <v>1</v>
      </c>
      <c r="M1337" s="7">
        <f>1</f>
        <v>1</v>
      </c>
      <c r="N1337" s="5" t="s">
        <v>242</v>
      </c>
      <c r="O1337" s="5">
        <v>1</v>
      </c>
      <c r="P1337" s="5" t="s">
        <v>294</v>
      </c>
      <c r="Q1337" s="5" t="s">
        <v>266</v>
      </c>
      <c r="R1337" s="5" t="s">
        <v>240</v>
      </c>
      <c r="S1337" s="5" t="s">
        <v>240</v>
      </c>
      <c r="T1337" s="5" t="s">
        <v>296</v>
      </c>
      <c r="U1337" s="5" t="s">
        <v>244</v>
      </c>
      <c r="V1337" s="5" t="s">
        <v>240</v>
      </c>
      <c r="Y1337" s="5" t="s">
        <v>240</v>
      </c>
      <c r="Z1337" s="6" t="s">
        <v>298</v>
      </c>
      <c r="AB1337" s="6" t="s">
        <v>240</v>
      </c>
      <c r="AE1337" s="6" t="s">
        <v>299</v>
      </c>
      <c r="AF1337" s="5" t="s">
        <v>248</v>
      </c>
      <c r="AG1337" s="5" t="s">
        <v>249</v>
      </c>
      <c r="AW1337" s="5" t="s">
        <v>251</v>
      </c>
      <c r="AX1337" s="5" t="s">
        <v>240</v>
      </c>
      <c r="AY1337" s="5" t="s">
        <v>253</v>
      </c>
      <c r="AZ1337" s="5" t="s">
        <v>240</v>
      </c>
      <c r="BA1337" s="5" t="s">
        <v>255</v>
      </c>
      <c r="BB1337" s="5" t="s">
        <v>240</v>
      </c>
      <c r="BD1337" s="5" t="s">
        <v>240</v>
      </c>
      <c r="BF1337" s="5" t="s">
        <v>301</v>
      </c>
      <c r="BG1337" s="6" t="s">
        <v>299</v>
      </c>
      <c r="BH1337" s="5" t="s">
        <v>302</v>
      </c>
      <c r="BI1337" s="5" t="s">
        <v>303</v>
      </c>
      <c r="BJ1337" s="5" t="s">
        <v>240</v>
      </c>
      <c r="BK1337" s="8">
        <f>0</f>
        <v>0</v>
      </c>
      <c r="BL1337" s="7">
        <f>0</f>
        <v>0</v>
      </c>
      <c r="BM1337" s="5" t="s">
        <v>258</v>
      </c>
      <c r="BN1337" s="5" t="s">
        <v>259</v>
      </c>
      <c r="CB1337" s="5" t="s">
        <v>240</v>
      </c>
      <c r="CC1337" s="5" t="s">
        <v>240</v>
      </c>
      <c r="CG1337" s="5" t="s">
        <v>304</v>
      </c>
      <c r="CH1337" s="5" t="s">
        <v>305</v>
      </c>
      <c r="CI1337" s="5" t="s">
        <v>240</v>
      </c>
      <c r="CL1337" s="6" t="s">
        <v>261</v>
      </c>
      <c r="CM1337" s="5" t="s">
        <v>240</v>
      </c>
      <c r="CN1337" s="5" t="s">
        <v>263</v>
      </c>
      <c r="CO1337" s="5" t="s">
        <v>240</v>
      </c>
      <c r="CP1337" s="5" t="s">
        <v>240</v>
      </c>
      <c r="CQ1337" s="5">
        <v>0</v>
      </c>
      <c r="CR1337" s="5" t="s">
        <v>306</v>
      </c>
      <c r="CS1337" s="5" t="s">
        <v>307</v>
      </c>
      <c r="CT1337" s="5" t="s">
        <v>307</v>
      </c>
      <c r="CU1337" s="5" t="s">
        <v>260</v>
      </c>
      <c r="CX1337" s="7">
        <f>1</f>
        <v>1</v>
      </c>
      <c r="CY1337" s="7">
        <f>0</f>
        <v>0</v>
      </c>
      <c r="DA1337" s="7">
        <f>0</f>
        <v>0</v>
      </c>
      <c r="DC1337" s="5" t="s">
        <v>812</v>
      </c>
      <c r="DD1337" s="5" t="s">
        <v>240</v>
      </c>
      <c r="DF1337" s="5" t="s">
        <v>812</v>
      </c>
      <c r="DG1337" s="7">
        <f>1369</f>
        <v>1369</v>
      </c>
      <c r="DI1337" s="5" t="s">
        <v>240</v>
      </c>
      <c r="DJ1337" s="5" t="s">
        <v>240</v>
      </c>
      <c r="DK1337" s="5" t="s">
        <v>240</v>
      </c>
      <c r="DL1337" s="5" t="s">
        <v>240</v>
      </c>
      <c r="DP1337" s="5" t="s">
        <v>240</v>
      </c>
      <c r="DQ1337" s="5" t="s">
        <v>240</v>
      </c>
      <c r="DR1337" s="5" t="s">
        <v>240</v>
      </c>
      <c r="DS1337" s="5" t="s">
        <v>240</v>
      </c>
      <c r="DV1337" s="5" t="s">
        <v>813</v>
      </c>
      <c r="DW1337" s="5" t="s">
        <v>2807</v>
      </c>
      <c r="HO1337" s="5" t="s">
        <v>312</v>
      </c>
    </row>
    <row r="1338" spans="1:223" x14ac:dyDescent="0.4">
      <c r="A1338" s="5">
        <v>3013</v>
      </c>
      <c r="B1338" s="5">
        <v>1</v>
      </c>
      <c r="C1338" s="5">
        <v>1</v>
      </c>
      <c r="D1338" s="5" t="s">
        <v>297</v>
      </c>
      <c r="E1338" s="5" t="s">
        <v>245</v>
      </c>
      <c r="F1338" s="5" t="s">
        <v>254</v>
      </c>
      <c r="G1338" s="5" t="s">
        <v>240</v>
      </c>
      <c r="H1338" s="6" t="s">
        <v>5951</v>
      </c>
      <c r="I1338" s="5" t="s">
        <v>295</v>
      </c>
      <c r="J1338" s="8">
        <f>5161</f>
        <v>5161</v>
      </c>
      <c r="K1338" s="5" t="s">
        <v>308</v>
      </c>
      <c r="L1338" s="7">
        <f>1</f>
        <v>1</v>
      </c>
      <c r="M1338" s="7">
        <f>1</f>
        <v>1</v>
      </c>
      <c r="N1338" s="5" t="s">
        <v>242</v>
      </c>
      <c r="O1338" s="5">
        <v>1</v>
      </c>
      <c r="P1338" s="5" t="s">
        <v>294</v>
      </c>
      <c r="Q1338" s="5" t="s">
        <v>266</v>
      </c>
      <c r="R1338" s="5" t="s">
        <v>240</v>
      </c>
      <c r="S1338" s="5" t="s">
        <v>240</v>
      </c>
      <c r="T1338" s="5" t="s">
        <v>296</v>
      </c>
      <c r="U1338" s="5" t="s">
        <v>244</v>
      </c>
      <c r="V1338" s="5" t="s">
        <v>240</v>
      </c>
      <c r="Y1338" s="5" t="s">
        <v>240</v>
      </c>
      <c r="Z1338" s="6" t="s">
        <v>298</v>
      </c>
      <c r="AB1338" s="6" t="s">
        <v>240</v>
      </c>
      <c r="AE1338" s="6" t="s">
        <v>299</v>
      </c>
      <c r="AF1338" s="5" t="s">
        <v>248</v>
      </c>
      <c r="AG1338" s="5" t="s">
        <v>249</v>
      </c>
      <c r="AW1338" s="5" t="s">
        <v>251</v>
      </c>
      <c r="AX1338" s="5" t="s">
        <v>240</v>
      </c>
      <c r="AY1338" s="5" t="s">
        <v>253</v>
      </c>
      <c r="AZ1338" s="5" t="s">
        <v>240</v>
      </c>
      <c r="BA1338" s="5" t="s">
        <v>255</v>
      </c>
      <c r="BB1338" s="5" t="s">
        <v>240</v>
      </c>
      <c r="BD1338" s="5" t="s">
        <v>240</v>
      </c>
      <c r="BF1338" s="5" t="s">
        <v>301</v>
      </c>
      <c r="BG1338" s="6" t="s">
        <v>299</v>
      </c>
      <c r="BH1338" s="5" t="s">
        <v>302</v>
      </c>
      <c r="BI1338" s="5" t="s">
        <v>303</v>
      </c>
      <c r="BJ1338" s="5" t="s">
        <v>240</v>
      </c>
      <c r="BK1338" s="8">
        <f>0</f>
        <v>0</v>
      </c>
      <c r="BL1338" s="7">
        <f>0</f>
        <v>0</v>
      </c>
      <c r="BM1338" s="5" t="s">
        <v>258</v>
      </c>
      <c r="BN1338" s="5" t="s">
        <v>259</v>
      </c>
      <c r="CB1338" s="5" t="s">
        <v>240</v>
      </c>
      <c r="CC1338" s="5" t="s">
        <v>240</v>
      </c>
      <c r="CG1338" s="5" t="s">
        <v>304</v>
      </c>
      <c r="CH1338" s="5" t="s">
        <v>305</v>
      </c>
      <c r="CI1338" s="5" t="s">
        <v>240</v>
      </c>
      <c r="CL1338" s="6" t="s">
        <v>261</v>
      </c>
      <c r="CM1338" s="5" t="s">
        <v>240</v>
      </c>
      <c r="CN1338" s="5" t="s">
        <v>263</v>
      </c>
      <c r="CO1338" s="5" t="s">
        <v>240</v>
      </c>
      <c r="CP1338" s="5" t="s">
        <v>240</v>
      </c>
      <c r="CQ1338" s="5">
        <v>0</v>
      </c>
      <c r="CR1338" s="5" t="s">
        <v>306</v>
      </c>
      <c r="CS1338" s="5" t="s">
        <v>307</v>
      </c>
      <c r="CT1338" s="5" t="s">
        <v>307</v>
      </c>
      <c r="CU1338" s="5" t="s">
        <v>260</v>
      </c>
      <c r="CX1338" s="7">
        <f>1</f>
        <v>1</v>
      </c>
      <c r="CY1338" s="7">
        <f>0</f>
        <v>0</v>
      </c>
      <c r="DA1338" s="7">
        <f>0</f>
        <v>0</v>
      </c>
      <c r="DC1338" s="5" t="s">
        <v>812</v>
      </c>
      <c r="DD1338" s="5" t="s">
        <v>240</v>
      </c>
      <c r="DF1338" s="5" t="s">
        <v>812</v>
      </c>
      <c r="DG1338" s="7">
        <f>976</f>
        <v>976</v>
      </c>
      <c r="DI1338" s="5" t="s">
        <v>240</v>
      </c>
      <c r="DJ1338" s="5" t="s">
        <v>240</v>
      </c>
      <c r="DK1338" s="5" t="s">
        <v>240</v>
      </c>
      <c r="DL1338" s="5" t="s">
        <v>240</v>
      </c>
      <c r="DP1338" s="5" t="s">
        <v>240</v>
      </c>
      <c r="DQ1338" s="5" t="s">
        <v>240</v>
      </c>
      <c r="DR1338" s="5" t="s">
        <v>240</v>
      </c>
      <c r="DS1338" s="5" t="s">
        <v>240</v>
      </c>
      <c r="DV1338" s="5" t="s">
        <v>813</v>
      </c>
      <c r="DW1338" s="5" t="s">
        <v>2809</v>
      </c>
      <c r="HO1338" s="5" t="s">
        <v>312</v>
      </c>
    </row>
    <row r="1339" spans="1:223" x14ac:dyDescent="0.4">
      <c r="A1339" s="5">
        <v>3014</v>
      </c>
      <c r="B1339" s="5">
        <v>1</v>
      </c>
      <c r="C1339" s="5">
        <v>1</v>
      </c>
      <c r="D1339" s="5" t="s">
        <v>297</v>
      </c>
      <c r="E1339" s="5" t="s">
        <v>245</v>
      </c>
      <c r="F1339" s="5" t="s">
        <v>254</v>
      </c>
      <c r="G1339" s="5" t="s">
        <v>240</v>
      </c>
      <c r="H1339" s="6" t="s">
        <v>4872</v>
      </c>
      <c r="I1339" s="5" t="s">
        <v>295</v>
      </c>
      <c r="J1339" s="8">
        <f>1355</f>
        <v>1355</v>
      </c>
      <c r="K1339" s="5" t="s">
        <v>308</v>
      </c>
      <c r="L1339" s="7">
        <f>1</f>
        <v>1</v>
      </c>
      <c r="M1339" s="7">
        <f>1</f>
        <v>1</v>
      </c>
      <c r="N1339" s="5" t="s">
        <v>242</v>
      </c>
      <c r="O1339" s="5">
        <v>1</v>
      </c>
      <c r="P1339" s="5" t="s">
        <v>294</v>
      </c>
      <c r="Q1339" s="5" t="s">
        <v>266</v>
      </c>
      <c r="R1339" s="5" t="s">
        <v>240</v>
      </c>
      <c r="S1339" s="5" t="s">
        <v>240</v>
      </c>
      <c r="T1339" s="5" t="s">
        <v>296</v>
      </c>
      <c r="U1339" s="5" t="s">
        <v>244</v>
      </c>
      <c r="V1339" s="5" t="s">
        <v>240</v>
      </c>
      <c r="Y1339" s="5" t="s">
        <v>240</v>
      </c>
      <c r="Z1339" s="6" t="s">
        <v>298</v>
      </c>
      <c r="AB1339" s="6" t="s">
        <v>240</v>
      </c>
      <c r="AE1339" s="6" t="s">
        <v>299</v>
      </c>
      <c r="AF1339" s="5" t="s">
        <v>248</v>
      </c>
      <c r="AG1339" s="5" t="s">
        <v>249</v>
      </c>
      <c r="AW1339" s="5" t="s">
        <v>251</v>
      </c>
      <c r="AX1339" s="5" t="s">
        <v>240</v>
      </c>
      <c r="AY1339" s="5" t="s">
        <v>253</v>
      </c>
      <c r="AZ1339" s="5" t="s">
        <v>240</v>
      </c>
      <c r="BA1339" s="5" t="s">
        <v>255</v>
      </c>
      <c r="BB1339" s="5" t="s">
        <v>240</v>
      </c>
      <c r="BD1339" s="5" t="s">
        <v>240</v>
      </c>
      <c r="BF1339" s="5" t="s">
        <v>301</v>
      </c>
      <c r="BG1339" s="6" t="s">
        <v>299</v>
      </c>
      <c r="BH1339" s="5" t="s">
        <v>302</v>
      </c>
      <c r="BI1339" s="5" t="s">
        <v>303</v>
      </c>
      <c r="BJ1339" s="5" t="s">
        <v>240</v>
      </c>
      <c r="BK1339" s="8">
        <f>0</f>
        <v>0</v>
      </c>
      <c r="BL1339" s="7">
        <f>0</f>
        <v>0</v>
      </c>
      <c r="BM1339" s="5" t="s">
        <v>258</v>
      </c>
      <c r="BN1339" s="5" t="s">
        <v>259</v>
      </c>
      <c r="CB1339" s="5" t="s">
        <v>240</v>
      </c>
      <c r="CC1339" s="5" t="s">
        <v>240</v>
      </c>
      <c r="CG1339" s="5" t="s">
        <v>304</v>
      </c>
      <c r="CH1339" s="5" t="s">
        <v>305</v>
      </c>
      <c r="CI1339" s="5" t="s">
        <v>240</v>
      </c>
      <c r="CL1339" s="6" t="s">
        <v>261</v>
      </c>
      <c r="CM1339" s="5" t="s">
        <v>240</v>
      </c>
      <c r="CN1339" s="5" t="s">
        <v>263</v>
      </c>
      <c r="CO1339" s="5" t="s">
        <v>240</v>
      </c>
      <c r="CP1339" s="5" t="s">
        <v>240</v>
      </c>
      <c r="CQ1339" s="5">
        <v>0</v>
      </c>
      <c r="CR1339" s="5" t="s">
        <v>306</v>
      </c>
      <c r="CS1339" s="5" t="s">
        <v>307</v>
      </c>
      <c r="CT1339" s="5" t="s">
        <v>307</v>
      </c>
      <c r="CU1339" s="5" t="s">
        <v>260</v>
      </c>
      <c r="CX1339" s="7">
        <f>1</f>
        <v>1</v>
      </c>
      <c r="CY1339" s="7">
        <f>0</f>
        <v>0</v>
      </c>
      <c r="DA1339" s="7">
        <f>0</f>
        <v>0</v>
      </c>
      <c r="DC1339" s="5" t="s">
        <v>812</v>
      </c>
      <c r="DD1339" s="5" t="s">
        <v>240</v>
      </c>
      <c r="DF1339" s="5" t="s">
        <v>812</v>
      </c>
      <c r="DG1339" s="7">
        <f>2560</f>
        <v>2560</v>
      </c>
      <c r="DI1339" s="5" t="s">
        <v>240</v>
      </c>
      <c r="DJ1339" s="5" t="s">
        <v>240</v>
      </c>
      <c r="DK1339" s="5" t="s">
        <v>240</v>
      </c>
      <c r="DL1339" s="5" t="s">
        <v>240</v>
      </c>
      <c r="DP1339" s="5" t="s">
        <v>240</v>
      </c>
      <c r="DQ1339" s="5" t="s">
        <v>240</v>
      </c>
      <c r="DR1339" s="5" t="s">
        <v>240</v>
      </c>
      <c r="DS1339" s="5" t="s">
        <v>240</v>
      </c>
      <c r="DV1339" s="5" t="s">
        <v>813</v>
      </c>
      <c r="DW1339" s="5" t="s">
        <v>2811</v>
      </c>
      <c r="HO1339" s="5" t="s">
        <v>312</v>
      </c>
    </row>
    <row r="1340" spans="1:223" x14ac:dyDescent="0.4">
      <c r="A1340" s="5">
        <v>3015</v>
      </c>
      <c r="B1340" s="5">
        <v>1</v>
      </c>
      <c r="C1340" s="5">
        <v>1</v>
      </c>
      <c r="D1340" s="5" t="s">
        <v>297</v>
      </c>
      <c r="E1340" s="5" t="s">
        <v>245</v>
      </c>
      <c r="F1340" s="5" t="s">
        <v>254</v>
      </c>
      <c r="G1340" s="5" t="s">
        <v>240</v>
      </c>
      <c r="H1340" s="6" t="s">
        <v>4871</v>
      </c>
      <c r="I1340" s="5" t="s">
        <v>295</v>
      </c>
      <c r="J1340" s="8">
        <f>3543</f>
        <v>3543</v>
      </c>
      <c r="K1340" s="5" t="s">
        <v>308</v>
      </c>
      <c r="L1340" s="7">
        <f>1</f>
        <v>1</v>
      </c>
      <c r="M1340" s="7">
        <f>1</f>
        <v>1</v>
      </c>
      <c r="N1340" s="5" t="s">
        <v>242</v>
      </c>
      <c r="O1340" s="5">
        <v>1</v>
      </c>
      <c r="P1340" s="5" t="s">
        <v>294</v>
      </c>
      <c r="Q1340" s="5" t="s">
        <v>266</v>
      </c>
      <c r="R1340" s="5" t="s">
        <v>240</v>
      </c>
      <c r="S1340" s="5" t="s">
        <v>240</v>
      </c>
      <c r="T1340" s="5" t="s">
        <v>296</v>
      </c>
      <c r="U1340" s="5" t="s">
        <v>244</v>
      </c>
      <c r="V1340" s="5" t="s">
        <v>240</v>
      </c>
      <c r="Y1340" s="5" t="s">
        <v>240</v>
      </c>
      <c r="Z1340" s="6" t="s">
        <v>298</v>
      </c>
      <c r="AB1340" s="6" t="s">
        <v>240</v>
      </c>
      <c r="AE1340" s="6" t="s">
        <v>299</v>
      </c>
      <c r="AF1340" s="5" t="s">
        <v>248</v>
      </c>
      <c r="AG1340" s="5" t="s">
        <v>249</v>
      </c>
      <c r="AW1340" s="5" t="s">
        <v>251</v>
      </c>
      <c r="AX1340" s="5" t="s">
        <v>240</v>
      </c>
      <c r="AY1340" s="5" t="s">
        <v>253</v>
      </c>
      <c r="AZ1340" s="5" t="s">
        <v>240</v>
      </c>
      <c r="BA1340" s="5" t="s">
        <v>255</v>
      </c>
      <c r="BB1340" s="5" t="s">
        <v>240</v>
      </c>
      <c r="BD1340" s="5" t="s">
        <v>240</v>
      </c>
      <c r="BF1340" s="5" t="s">
        <v>301</v>
      </c>
      <c r="BG1340" s="6" t="s">
        <v>299</v>
      </c>
      <c r="BH1340" s="5" t="s">
        <v>302</v>
      </c>
      <c r="BI1340" s="5" t="s">
        <v>303</v>
      </c>
      <c r="BJ1340" s="5" t="s">
        <v>240</v>
      </c>
      <c r="BK1340" s="8">
        <f>0</f>
        <v>0</v>
      </c>
      <c r="BL1340" s="7">
        <f>0</f>
        <v>0</v>
      </c>
      <c r="BM1340" s="5" t="s">
        <v>258</v>
      </c>
      <c r="BN1340" s="5" t="s">
        <v>259</v>
      </c>
      <c r="CB1340" s="5" t="s">
        <v>240</v>
      </c>
      <c r="CC1340" s="5" t="s">
        <v>240</v>
      </c>
      <c r="CG1340" s="5" t="s">
        <v>304</v>
      </c>
      <c r="CH1340" s="5" t="s">
        <v>305</v>
      </c>
      <c r="CI1340" s="5" t="s">
        <v>240</v>
      </c>
      <c r="CL1340" s="6" t="s">
        <v>261</v>
      </c>
      <c r="CM1340" s="5" t="s">
        <v>240</v>
      </c>
      <c r="CN1340" s="5" t="s">
        <v>263</v>
      </c>
      <c r="CO1340" s="5" t="s">
        <v>240</v>
      </c>
      <c r="CP1340" s="5" t="s">
        <v>240</v>
      </c>
      <c r="CQ1340" s="5">
        <v>0</v>
      </c>
      <c r="CR1340" s="5" t="s">
        <v>306</v>
      </c>
      <c r="CS1340" s="5" t="s">
        <v>307</v>
      </c>
      <c r="CT1340" s="5" t="s">
        <v>307</v>
      </c>
      <c r="CU1340" s="5" t="s">
        <v>260</v>
      </c>
      <c r="CX1340" s="7">
        <f>1</f>
        <v>1</v>
      </c>
      <c r="CY1340" s="7">
        <f>0</f>
        <v>0</v>
      </c>
      <c r="DA1340" s="7">
        <f>0</f>
        <v>0</v>
      </c>
      <c r="DC1340" s="5" t="s">
        <v>812</v>
      </c>
      <c r="DD1340" s="5" t="s">
        <v>240</v>
      </c>
      <c r="DF1340" s="5" t="s">
        <v>812</v>
      </c>
      <c r="DG1340" s="7">
        <f>914</f>
        <v>914</v>
      </c>
      <c r="DI1340" s="5" t="s">
        <v>240</v>
      </c>
      <c r="DJ1340" s="5" t="s">
        <v>240</v>
      </c>
      <c r="DK1340" s="5" t="s">
        <v>240</v>
      </c>
      <c r="DL1340" s="5" t="s">
        <v>240</v>
      </c>
      <c r="DP1340" s="5" t="s">
        <v>240</v>
      </c>
      <c r="DQ1340" s="5" t="s">
        <v>240</v>
      </c>
      <c r="DR1340" s="5" t="s">
        <v>240</v>
      </c>
      <c r="DS1340" s="5" t="s">
        <v>240</v>
      </c>
      <c r="DV1340" s="5" t="s">
        <v>813</v>
      </c>
      <c r="DW1340" s="5" t="s">
        <v>2813</v>
      </c>
      <c r="HO1340" s="5" t="s">
        <v>312</v>
      </c>
    </row>
    <row r="1341" spans="1:223" x14ac:dyDescent="0.4">
      <c r="A1341" s="5">
        <v>3016</v>
      </c>
      <c r="B1341" s="5">
        <v>1</v>
      </c>
      <c r="C1341" s="5">
        <v>1</v>
      </c>
      <c r="D1341" s="5" t="s">
        <v>297</v>
      </c>
      <c r="E1341" s="5" t="s">
        <v>245</v>
      </c>
      <c r="F1341" s="5" t="s">
        <v>254</v>
      </c>
      <c r="G1341" s="5" t="s">
        <v>240</v>
      </c>
      <c r="H1341" s="6" t="s">
        <v>4870</v>
      </c>
      <c r="I1341" s="5" t="s">
        <v>295</v>
      </c>
      <c r="J1341" s="8">
        <f>724</f>
        <v>724</v>
      </c>
      <c r="K1341" s="5" t="s">
        <v>308</v>
      </c>
      <c r="L1341" s="7">
        <f>1</f>
        <v>1</v>
      </c>
      <c r="M1341" s="7">
        <f>1</f>
        <v>1</v>
      </c>
      <c r="N1341" s="5" t="s">
        <v>242</v>
      </c>
      <c r="O1341" s="5">
        <v>1</v>
      </c>
      <c r="P1341" s="5" t="s">
        <v>294</v>
      </c>
      <c r="Q1341" s="5" t="s">
        <v>266</v>
      </c>
      <c r="R1341" s="5" t="s">
        <v>240</v>
      </c>
      <c r="S1341" s="5" t="s">
        <v>240</v>
      </c>
      <c r="T1341" s="5" t="s">
        <v>296</v>
      </c>
      <c r="U1341" s="5" t="s">
        <v>244</v>
      </c>
      <c r="V1341" s="5" t="s">
        <v>240</v>
      </c>
      <c r="Y1341" s="5" t="s">
        <v>240</v>
      </c>
      <c r="Z1341" s="6" t="s">
        <v>298</v>
      </c>
      <c r="AB1341" s="6" t="s">
        <v>240</v>
      </c>
      <c r="AE1341" s="6" t="s">
        <v>299</v>
      </c>
      <c r="AF1341" s="5" t="s">
        <v>248</v>
      </c>
      <c r="AG1341" s="5" t="s">
        <v>249</v>
      </c>
      <c r="AW1341" s="5" t="s">
        <v>251</v>
      </c>
      <c r="AX1341" s="5" t="s">
        <v>240</v>
      </c>
      <c r="AY1341" s="5" t="s">
        <v>253</v>
      </c>
      <c r="AZ1341" s="5" t="s">
        <v>240</v>
      </c>
      <c r="BA1341" s="5" t="s">
        <v>255</v>
      </c>
      <c r="BB1341" s="5" t="s">
        <v>240</v>
      </c>
      <c r="BD1341" s="5" t="s">
        <v>240</v>
      </c>
      <c r="BF1341" s="5" t="s">
        <v>301</v>
      </c>
      <c r="BG1341" s="6" t="s">
        <v>299</v>
      </c>
      <c r="BH1341" s="5" t="s">
        <v>302</v>
      </c>
      <c r="BI1341" s="5" t="s">
        <v>303</v>
      </c>
      <c r="BJ1341" s="5" t="s">
        <v>240</v>
      </c>
      <c r="BK1341" s="8">
        <f>0</f>
        <v>0</v>
      </c>
      <c r="BL1341" s="7">
        <f>0</f>
        <v>0</v>
      </c>
      <c r="BM1341" s="5" t="s">
        <v>258</v>
      </c>
      <c r="BN1341" s="5" t="s">
        <v>259</v>
      </c>
      <c r="CB1341" s="5" t="s">
        <v>240</v>
      </c>
      <c r="CC1341" s="5" t="s">
        <v>240</v>
      </c>
      <c r="CG1341" s="5" t="s">
        <v>304</v>
      </c>
      <c r="CH1341" s="5" t="s">
        <v>305</v>
      </c>
      <c r="CI1341" s="5" t="s">
        <v>240</v>
      </c>
      <c r="CL1341" s="6" t="s">
        <v>261</v>
      </c>
      <c r="CM1341" s="5" t="s">
        <v>240</v>
      </c>
      <c r="CN1341" s="5" t="s">
        <v>263</v>
      </c>
      <c r="CO1341" s="5" t="s">
        <v>240</v>
      </c>
      <c r="CP1341" s="5" t="s">
        <v>240</v>
      </c>
      <c r="CQ1341" s="5">
        <v>0</v>
      </c>
      <c r="CR1341" s="5" t="s">
        <v>306</v>
      </c>
      <c r="CS1341" s="5" t="s">
        <v>307</v>
      </c>
      <c r="CT1341" s="5" t="s">
        <v>307</v>
      </c>
      <c r="CU1341" s="5" t="s">
        <v>260</v>
      </c>
      <c r="CX1341" s="7">
        <f>1</f>
        <v>1</v>
      </c>
      <c r="CY1341" s="7">
        <f>0</f>
        <v>0</v>
      </c>
      <c r="DA1341" s="7">
        <f>0</f>
        <v>0</v>
      </c>
      <c r="DC1341" s="5" t="s">
        <v>812</v>
      </c>
      <c r="DD1341" s="5" t="s">
        <v>240</v>
      </c>
      <c r="DF1341" s="5" t="s">
        <v>812</v>
      </c>
      <c r="DG1341" s="7">
        <f>192</f>
        <v>192</v>
      </c>
      <c r="DI1341" s="5" t="s">
        <v>240</v>
      </c>
      <c r="DJ1341" s="5" t="s">
        <v>240</v>
      </c>
      <c r="DK1341" s="5" t="s">
        <v>240</v>
      </c>
      <c r="DL1341" s="5" t="s">
        <v>240</v>
      </c>
      <c r="DP1341" s="5" t="s">
        <v>240</v>
      </c>
      <c r="DQ1341" s="5" t="s">
        <v>240</v>
      </c>
      <c r="DR1341" s="5" t="s">
        <v>240</v>
      </c>
      <c r="DS1341" s="5" t="s">
        <v>240</v>
      </c>
      <c r="DV1341" s="5" t="s">
        <v>813</v>
      </c>
      <c r="DW1341" s="5" t="s">
        <v>2815</v>
      </c>
      <c r="HO1341" s="5" t="s">
        <v>312</v>
      </c>
    </row>
    <row r="1342" spans="1:223" x14ac:dyDescent="0.4">
      <c r="A1342" s="5">
        <v>3017</v>
      </c>
      <c r="B1342" s="5">
        <v>1</v>
      </c>
      <c r="C1342" s="5">
        <v>1</v>
      </c>
      <c r="D1342" s="5" t="s">
        <v>297</v>
      </c>
      <c r="E1342" s="5" t="s">
        <v>245</v>
      </c>
      <c r="F1342" s="5" t="s">
        <v>254</v>
      </c>
      <c r="G1342" s="5" t="s">
        <v>240</v>
      </c>
      <c r="H1342" s="6" t="s">
        <v>4868</v>
      </c>
      <c r="I1342" s="5" t="s">
        <v>295</v>
      </c>
      <c r="J1342" s="8">
        <f>662</f>
        <v>662</v>
      </c>
      <c r="K1342" s="5" t="s">
        <v>308</v>
      </c>
      <c r="L1342" s="7">
        <f>1</f>
        <v>1</v>
      </c>
      <c r="M1342" s="7">
        <f>1</f>
        <v>1</v>
      </c>
      <c r="N1342" s="5" t="s">
        <v>242</v>
      </c>
      <c r="O1342" s="5">
        <v>1</v>
      </c>
      <c r="P1342" s="5" t="s">
        <v>294</v>
      </c>
      <c r="Q1342" s="5" t="s">
        <v>266</v>
      </c>
      <c r="R1342" s="5" t="s">
        <v>240</v>
      </c>
      <c r="S1342" s="5" t="s">
        <v>240</v>
      </c>
      <c r="T1342" s="5" t="s">
        <v>296</v>
      </c>
      <c r="U1342" s="5" t="s">
        <v>244</v>
      </c>
      <c r="V1342" s="5" t="s">
        <v>240</v>
      </c>
      <c r="Y1342" s="5" t="s">
        <v>240</v>
      </c>
      <c r="Z1342" s="6" t="s">
        <v>298</v>
      </c>
      <c r="AB1342" s="6" t="s">
        <v>240</v>
      </c>
      <c r="AE1342" s="6" t="s">
        <v>299</v>
      </c>
      <c r="AF1342" s="5" t="s">
        <v>248</v>
      </c>
      <c r="AG1342" s="5" t="s">
        <v>249</v>
      </c>
      <c r="AW1342" s="5" t="s">
        <v>251</v>
      </c>
      <c r="AX1342" s="5" t="s">
        <v>240</v>
      </c>
      <c r="AY1342" s="5" t="s">
        <v>253</v>
      </c>
      <c r="AZ1342" s="5" t="s">
        <v>240</v>
      </c>
      <c r="BA1342" s="5" t="s">
        <v>255</v>
      </c>
      <c r="BB1342" s="5" t="s">
        <v>240</v>
      </c>
      <c r="BD1342" s="5" t="s">
        <v>240</v>
      </c>
      <c r="BF1342" s="5" t="s">
        <v>301</v>
      </c>
      <c r="BG1342" s="6" t="s">
        <v>299</v>
      </c>
      <c r="BH1342" s="5" t="s">
        <v>302</v>
      </c>
      <c r="BI1342" s="5" t="s">
        <v>303</v>
      </c>
      <c r="BJ1342" s="5" t="s">
        <v>240</v>
      </c>
      <c r="BK1342" s="8">
        <f>0</f>
        <v>0</v>
      </c>
      <c r="BL1342" s="7">
        <f>0</f>
        <v>0</v>
      </c>
      <c r="BM1342" s="5" t="s">
        <v>258</v>
      </c>
      <c r="BN1342" s="5" t="s">
        <v>259</v>
      </c>
      <c r="CB1342" s="5" t="s">
        <v>240</v>
      </c>
      <c r="CC1342" s="5" t="s">
        <v>240</v>
      </c>
      <c r="CG1342" s="5" t="s">
        <v>304</v>
      </c>
      <c r="CH1342" s="5" t="s">
        <v>305</v>
      </c>
      <c r="CI1342" s="5" t="s">
        <v>240</v>
      </c>
      <c r="CL1342" s="6" t="s">
        <v>261</v>
      </c>
      <c r="CM1342" s="5" t="s">
        <v>240</v>
      </c>
      <c r="CN1342" s="5" t="s">
        <v>263</v>
      </c>
      <c r="CO1342" s="5" t="s">
        <v>240</v>
      </c>
      <c r="CP1342" s="5" t="s">
        <v>240</v>
      </c>
      <c r="CQ1342" s="5">
        <v>0</v>
      </c>
      <c r="CR1342" s="5" t="s">
        <v>306</v>
      </c>
      <c r="CS1342" s="5" t="s">
        <v>307</v>
      </c>
      <c r="CT1342" s="5" t="s">
        <v>307</v>
      </c>
      <c r="CU1342" s="5" t="s">
        <v>260</v>
      </c>
      <c r="CX1342" s="7">
        <f>1</f>
        <v>1</v>
      </c>
      <c r="CY1342" s="7">
        <f>0</f>
        <v>0</v>
      </c>
      <c r="DA1342" s="7">
        <f>0</f>
        <v>0</v>
      </c>
      <c r="DC1342" s="5" t="s">
        <v>812</v>
      </c>
      <c r="DD1342" s="5" t="s">
        <v>240</v>
      </c>
      <c r="DF1342" s="5" t="s">
        <v>812</v>
      </c>
      <c r="DG1342" s="7">
        <f>2452</f>
        <v>2452</v>
      </c>
      <c r="DI1342" s="5" t="s">
        <v>240</v>
      </c>
      <c r="DJ1342" s="5" t="s">
        <v>240</v>
      </c>
      <c r="DK1342" s="5" t="s">
        <v>240</v>
      </c>
      <c r="DL1342" s="5" t="s">
        <v>240</v>
      </c>
      <c r="DP1342" s="5" t="s">
        <v>240</v>
      </c>
      <c r="DQ1342" s="5" t="s">
        <v>240</v>
      </c>
      <c r="DR1342" s="5" t="s">
        <v>240</v>
      </c>
      <c r="DS1342" s="5" t="s">
        <v>240</v>
      </c>
      <c r="DV1342" s="5" t="s">
        <v>813</v>
      </c>
      <c r="DW1342" s="5" t="s">
        <v>2817</v>
      </c>
      <c r="HO1342" s="5" t="s">
        <v>312</v>
      </c>
    </row>
    <row r="1343" spans="1:223" x14ac:dyDescent="0.4">
      <c r="A1343" s="5">
        <v>3018</v>
      </c>
      <c r="B1343" s="5">
        <v>1</v>
      </c>
      <c r="C1343" s="5">
        <v>1</v>
      </c>
      <c r="D1343" s="5" t="s">
        <v>297</v>
      </c>
      <c r="E1343" s="5" t="s">
        <v>245</v>
      </c>
      <c r="F1343" s="5" t="s">
        <v>254</v>
      </c>
      <c r="G1343" s="5" t="s">
        <v>240</v>
      </c>
      <c r="H1343" s="6" t="s">
        <v>4867</v>
      </c>
      <c r="I1343" s="5" t="s">
        <v>295</v>
      </c>
      <c r="J1343" s="8">
        <f>2265</f>
        <v>2265</v>
      </c>
      <c r="K1343" s="5" t="s">
        <v>308</v>
      </c>
      <c r="L1343" s="7">
        <f>1</f>
        <v>1</v>
      </c>
      <c r="M1343" s="7">
        <f>1</f>
        <v>1</v>
      </c>
      <c r="N1343" s="5" t="s">
        <v>242</v>
      </c>
      <c r="O1343" s="5">
        <v>1</v>
      </c>
      <c r="P1343" s="5" t="s">
        <v>294</v>
      </c>
      <c r="Q1343" s="5" t="s">
        <v>266</v>
      </c>
      <c r="R1343" s="5" t="s">
        <v>240</v>
      </c>
      <c r="S1343" s="5" t="s">
        <v>240</v>
      </c>
      <c r="T1343" s="5" t="s">
        <v>296</v>
      </c>
      <c r="U1343" s="5" t="s">
        <v>244</v>
      </c>
      <c r="V1343" s="5" t="s">
        <v>240</v>
      </c>
      <c r="Y1343" s="5" t="s">
        <v>240</v>
      </c>
      <c r="Z1343" s="6" t="s">
        <v>298</v>
      </c>
      <c r="AB1343" s="6" t="s">
        <v>240</v>
      </c>
      <c r="AE1343" s="6" t="s">
        <v>299</v>
      </c>
      <c r="AF1343" s="5" t="s">
        <v>248</v>
      </c>
      <c r="AG1343" s="5" t="s">
        <v>249</v>
      </c>
      <c r="AW1343" s="5" t="s">
        <v>251</v>
      </c>
      <c r="AX1343" s="5" t="s">
        <v>240</v>
      </c>
      <c r="AY1343" s="5" t="s">
        <v>253</v>
      </c>
      <c r="AZ1343" s="5" t="s">
        <v>240</v>
      </c>
      <c r="BA1343" s="5" t="s">
        <v>255</v>
      </c>
      <c r="BB1343" s="5" t="s">
        <v>240</v>
      </c>
      <c r="BD1343" s="5" t="s">
        <v>240</v>
      </c>
      <c r="BF1343" s="5" t="s">
        <v>301</v>
      </c>
      <c r="BG1343" s="6" t="s">
        <v>299</v>
      </c>
      <c r="BH1343" s="5" t="s">
        <v>302</v>
      </c>
      <c r="BI1343" s="5" t="s">
        <v>303</v>
      </c>
      <c r="BJ1343" s="5" t="s">
        <v>240</v>
      </c>
      <c r="BK1343" s="8">
        <f>0</f>
        <v>0</v>
      </c>
      <c r="BL1343" s="7">
        <f>0</f>
        <v>0</v>
      </c>
      <c r="BM1343" s="5" t="s">
        <v>258</v>
      </c>
      <c r="BN1343" s="5" t="s">
        <v>259</v>
      </c>
      <c r="CB1343" s="5" t="s">
        <v>240</v>
      </c>
      <c r="CC1343" s="5" t="s">
        <v>240</v>
      </c>
      <c r="CG1343" s="5" t="s">
        <v>304</v>
      </c>
      <c r="CH1343" s="5" t="s">
        <v>305</v>
      </c>
      <c r="CI1343" s="5" t="s">
        <v>240</v>
      </c>
      <c r="CL1343" s="6" t="s">
        <v>261</v>
      </c>
      <c r="CM1343" s="5" t="s">
        <v>240</v>
      </c>
      <c r="CN1343" s="5" t="s">
        <v>263</v>
      </c>
      <c r="CO1343" s="5" t="s">
        <v>240</v>
      </c>
      <c r="CP1343" s="5" t="s">
        <v>240</v>
      </c>
      <c r="CQ1343" s="5">
        <v>0</v>
      </c>
      <c r="CR1343" s="5" t="s">
        <v>306</v>
      </c>
      <c r="CS1343" s="5" t="s">
        <v>307</v>
      </c>
      <c r="CT1343" s="5" t="s">
        <v>307</v>
      </c>
      <c r="CU1343" s="5" t="s">
        <v>260</v>
      </c>
      <c r="CX1343" s="7">
        <f>1</f>
        <v>1</v>
      </c>
      <c r="CY1343" s="7">
        <f>0</f>
        <v>0</v>
      </c>
      <c r="DA1343" s="7">
        <f>0</f>
        <v>0</v>
      </c>
      <c r="DC1343" s="5" t="s">
        <v>812</v>
      </c>
      <c r="DD1343" s="5" t="s">
        <v>240</v>
      </c>
      <c r="DF1343" s="5" t="s">
        <v>812</v>
      </c>
      <c r="DG1343" s="7">
        <f>323</f>
        <v>323</v>
      </c>
      <c r="DI1343" s="5" t="s">
        <v>240</v>
      </c>
      <c r="DJ1343" s="5" t="s">
        <v>240</v>
      </c>
      <c r="DK1343" s="5" t="s">
        <v>240</v>
      </c>
      <c r="DL1343" s="5" t="s">
        <v>240</v>
      </c>
      <c r="DP1343" s="5" t="s">
        <v>240</v>
      </c>
      <c r="DQ1343" s="5" t="s">
        <v>240</v>
      </c>
      <c r="DR1343" s="5" t="s">
        <v>240</v>
      </c>
      <c r="DS1343" s="5" t="s">
        <v>240</v>
      </c>
      <c r="DV1343" s="5" t="s">
        <v>813</v>
      </c>
      <c r="DW1343" s="5" t="s">
        <v>2819</v>
      </c>
      <c r="HO1343" s="5" t="s">
        <v>312</v>
      </c>
    </row>
    <row r="1344" spans="1:223" x14ac:dyDescent="0.4">
      <c r="A1344" s="5">
        <v>3019</v>
      </c>
      <c r="B1344" s="5">
        <v>1</v>
      </c>
      <c r="C1344" s="5">
        <v>1</v>
      </c>
      <c r="D1344" s="5" t="s">
        <v>297</v>
      </c>
      <c r="E1344" s="5" t="s">
        <v>245</v>
      </c>
      <c r="F1344" s="5" t="s">
        <v>254</v>
      </c>
      <c r="G1344" s="5" t="s">
        <v>240</v>
      </c>
      <c r="H1344" s="6" t="s">
        <v>4866</v>
      </c>
      <c r="I1344" s="5" t="s">
        <v>295</v>
      </c>
      <c r="J1344" s="8">
        <f>218</f>
        <v>218</v>
      </c>
      <c r="K1344" s="5" t="s">
        <v>308</v>
      </c>
      <c r="L1344" s="7">
        <f>1</f>
        <v>1</v>
      </c>
      <c r="M1344" s="7">
        <f>1</f>
        <v>1</v>
      </c>
      <c r="N1344" s="5" t="s">
        <v>242</v>
      </c>
      <c r="O1344" s="5">
        <v>1</v>
      </c>
      <c r="P1344" s="5" t="s">
        <v>294</v>
      </c>
      <c r="Q1344" s="5" t="s">
        <v>266</v>
      </c>
      <c r="R1344" s="5" t="s">
        <v>240</v>
      </c>
      <c r="S1344" s="5" t="s">
        <v>240</v>
      </c>
      <c r="T1344" s="5" t="s">
        <v>296</v>
      </c>
      <c r="U1344" s="5" t="s">
        <v>244</v>
      </c>
      <c r="V1344" s="5" t="s">
        <v>240</v>
      </c>
      <c r="Y1344" s="5" t="s">
        <v>240</v>
      </c>
      <c r="Z1344" s="6" t="s">
        <v>298</v>
      </c>
      <c r="AB1344" s="6" t="s">
        <v>240</v>
      </c>
      <c r="AE1344" s="6" t="s">
        <v>299</v>
      </c>
      <c r="AF1344" s="5" t="s">
        <v>248</v>
      </c>
      <c r="AG1344" s="5" t="s">
        <v>249</v>
      </c>
      <c r="AW1344" s="5" t="s">
        <v>251</v>
      </c>
      <c r="AX1344" s="5" t="s">
        <v>240</v>
      </c>
      <c r="AY1344" s="5" t="s">
        <v>253</v>
      </c>
      <c r="AZ1344" s="5" t="s">
        <v>240</v>
      </c>
      <c r="BA1344" s="5" t="s">
        <v>255</v>
      </c>
      <c r="BB1344" s="5" t="s">
        <v>240</v>
      </c>
      <c r="BD1344" s="5" t="s">
        <v>240</v>
      </c>
      <c r="BF1344" s="5" t="s">
        <v>301</v>
      </c>
      <c r="BG1344" s="6" t="s">
        <v>299</v>
      </c>
      <c r="BH1344" s="5" t="s">
        <v>302</v>
      </c>
      <c r="BI1344" s="5" t="s">
        <v>303</v>
      </c>
      <c r="BJ1344" s="5" t="s">
        <v>240</v>
      </c>
      <c r="BK1344" s="8">
        <f>0</f>
        <v>0</v>
      </c>
      <c r="BL1344" s="7">
        <f>0</f>
        <v>0</v>
      </c>
      <c r="BM1344" s="5" t="s">
        <v>258</v>
      </c>
      <c r="BN1344" s="5" t="s">
        <v>259</v>
      </c>
      <c r="CB1344" s="5" t="s">
        <v>240</v>
      </c>
      <c r="CC1344" s="5" t="s">
        <v>240</v>
      </c>
      <c r="CG1344" s="5" t="s">
        <v>304</v>
      </c>
      <c r="CH1344" s="5" t="s">
        <v>305</v>
      </c>
      <c r="CI1344" s="5" t="s">
        <v>240</v>
      </c>
      <c r="CL1344" s="6" t="s">
        <v>261</v>
      </c>
      <c r="CM1344" s="5" t="s">
        <v>240</v>
      </c>
      <c r="CN1344" s="5" t="s">
        <v>263</v>
      </c>
      <c r="CO1344" s="5" t="s">
        <v>240</v>
      </c>
      <c r="CP1344" s="5" t="s">
        <v>240</v>
      </c>
      <c r="CQ1344" s="5">
        <v>0</v>
      </c>
      <c r="CR1344" s="5" t="s">
        <v>306</v>
      </c>
      <c r="CS1344" s="5" t="s">
        <v>307</v>
      </c>
      <c r="CT1344" s="5" t="s">
        <v>307</v>
      </c>
      <c r="CU1344" s="5" t="s">
        <v>260</v>
      </c>
      <c r="CX1344" s="7">
        <f>1</f>
        <v>1</v>
      </c>
      <c r="CY1344" s="7">
        <f>0</f>
        <v>0</v>
      </c>
      <c r="DA1344" s="7">
        <f>0</f>
        <v>0</v>
      </c>
      <c r="DC1344" s="5" t="s">
        <v>812</v>
      </c>
      <c r="DD1344" s="5" t="s">
        <v>240</v>
      </c>
      <c r="DF1344" s="5" t="s">
        <v>812</v>
      </c>
      <c r="DG1344" s="7">
        <f>2301</f>
        <v>2301</v>
      </c>
      <c r="DI1344" s="5" t="s">
        <v>240</v>
      </c>
      <c r="DJ1344" s="5" t="s">
        <v>240</v>
      </c>
      <c r="DK1344" s="5" t="s">
        <v>240</v>
      </c>
      <c r="DL1344" s="5" t="s">
        <v>240</v>
      </c>
      <c r="DP1344" s="5" t="s">
        <v>240</v>
      </c>
      <c r="DQ1344" s="5" t="s">
        <v>240</v>
      </c>
      <c r="DR1344" s="5" t="s">
        <v>240</v>
      </c>
      <c r="DS1344" s="5" t="s">
        <v>240</v>
      </c>
      <c r="DV1344" s="5" t="s">
        <v>813</v>
      </c>
      <c r="DW1344" s="5" t="s">
        <v>2821</v>
      </c>
      <c r="HO1344" s="5" t="s">
        <v>312</v>
      </c>
    </row>
    <row r="1345" spans="1:223" x14ac:dyDescent="0.4">
      <c r="A1345" s="5">
        <v>3020</v>
      </c>
      <c r="B1345" s="5">
        <v>1</v>
      </c>
      <c r="C1345" s="5">
        <v>1</v>
      </c>
      <c r="D1345" s="5" t="s">
        <v>297</v>
      </c>
      <c r="E1345" s="5" t="s">
        <v>245</v>
      </c>
      <c r="F1345" s="5" t="s">
        <v>254</v>
      </c>
      <c r="G1345" s="5" t="s">
        <v>240</v>
      </c>
      <c r="H1345" s="6" t="s">
        <v>4865</v>
      </c>
      <c r="I1345" s="5" t="s">
        <v>295</v>
      </c>
      <c r="J1345" s="8">
        <f>232</f>
        <v>232</v>
      </c>
      <c r="K1345" s="5" t="s">
        <v>308</v>
      </c>
      <c r="L1345" s="7">
        <f>1</f>
        <v>1</v>
      </c>
      <c r="M1345" s="7">
        <f>1</f>
        <v>1</v>
      </c>
      <c r="N1345" s="5" t="s">
        <v>242</v>
      </c>
      <c r="O1345" s="5">
        <v>1</v>
      </c>
      <c r="P1345" s="5" t="s">
        <v>294</v>
      </c>
      <c r="Q1345" s="5" t="s">
        <v>266</v>
      </c>
      <c r="R1345" s="5" t="s">
        <v>240</v>
      </c>
      <c r="S1345" s="5" t="s">
        <v>240</v>
      </c>
      <c r="T1345" s="5" t="s">
        <v>296</v>
      </c>
      <c r="U1345" s="5" t="s">
        <v>244</v>
      </c>
      <c r="V1345" s="5" t="s">
        <v>240</v>
      </c>
      <c r="Y1345" s="5" t="s">
        <v>240</v>
      </c>
      <c r="Z1345" s="6" t="s">
        <v>298</v>
      </c>
      <c r="AB1345" s="6" t="s">
        <v>240</v>
      </c>
      <c r="AE1345" s="6" t="s">
        <v>299</v>
      </c>
      <c r="AF1345" s="5" t="s">
        <v>248</v>
      </c>
      <c r="AG1345" s="5" t="s">
        <v>249</v>
      </c>
      <c r="AW1345" s="5" t="s">
        <v>251</v>
      </c>
      <c r="AX1345" s="5" t="s">
        <v>240</v>
      </c>
      <c r="AY1345" s="5" t="s">
        <v>253</v>
      </c>
      <c r="AZ1345" s="5" t="s">
        <v>240</v>
      </c>
      <c r="BA1345" s="5" t="s">
        <v>255</v>
      </c>
      <c r="BB1345" s="5" t="s">
        <v>240</v>
      </c>
      <c r="BD1345" s="5" t="s">
        <v>240</v>
      </c>
      <c r="BF1345" s="5" t="s">
        <v>301</v>
      </c>
      <c r="BG1345" s="6" t="s">
        <v>299</v>
      </c>
      <c r="BH1345" s="5" t="s">
        <v>302</v>
      </c>
      <c r="BI1345" s="5" t="s">
        <v>303</v>
      </c>
      <c r="BJ1345" s="5" t="s">
        <v>240</v>
      </c>
      <c r="BK1345" s="8">
        <f>0</f>
        <v>0</v>
      </c>
      <c r="BL1345" s="7">
        <f>0</f>
        <v>0</v>
      </c>
      <c r="BM1345" s="5" t="s">
        <v>258</v>
      </c>
      <c r="BN1345" s="5" t="s">
        <v>259</v>
      </c>
      <c r="CB1345" s="5" t="s">
        <v>240</v>
      </c>
      <c r="CC1345" s="5" t="s">
        <v>240</v>
      </c>
      <c r="CG1345" s="5" t="s">
        <v>304</v>
      </c>
      <c r="CH1345" s="5" t="s">
        <v>305</v>
      </c>
      <c r="CI1345" s="5" t="s">
        <v>240</v>
      </c>
      <c r="CL1345" s="6" t="s">
        <v>261</v>
      </c>
      <c r="CM1345" s="5" t="s">
        <v>240</v>
      </c>
      <c r="CN1345" s="5" t="s">
        <v>263</v>
      </c>
      <c r="CO1345" s="5" t="s">
        <v>240</v>
      </c>
      <c r="CP1345" s="5" t="s">
        <v>240</v>
      </c>
      <c r="CQ1345" s="5">
        <v>0</v>
      </c>
      <c r="CR1345" s="5" t="s">
        <v>306</v>
      </c>
      <c r="CS1345" s="5" t="s">
        <v>307</v>
      </c>
      <c r="CT1345" s="5" t="s">
        <v>307</v>
      </c>
      <c r="CU1345" s="5" t="s">
        <v>260</v>
      </c>
      <c r="CX1345" s="7">
        <f>1</f>
        <v>1</v>
      </c>
      <c r="CY1345" s="7">
        <f>0</f>
        <v>0</v>
      </c>
      <c r="DA1345" s="7">
        <f>0</f>
        <v>0</v>
      </c>
      <c r="DC1345" s="5" t="s">
        <v>812</v>
      </c>
      <c r="DD1345" s="5" t="s">
        <v>240</v>
      </c>
      <c r="DF1345" s="5" t="s">
        <v>812</v>
      </c>
      <c r="DG1345" s="7">
        <f>1256</f>
        <v>1256</v>
      </c>
      <c r="DI1345" s="5" t="s">
        <v>240</v>
      </c>
      <c r="DJ1345" s="5" t="s">
        <v>240</v>
      </c>
      <c r="DK1345" s="5" t="s">
        <v>240</v>
      </c>
      <c r="DL1345" s="5" t="s">
        <v>240</v>
      </c>
      <c r="DP1345" s="5" t="s">
        <v>240</v>
      </c>
      <c r="DQ1345" s="5" t="s">
        <v>240</v>
      </c>
      <c r="DR1345" s="5" t="s">
        <v>240</v>
      </c>
      <c r="DS1345" s="5" t="s">
        <v>240</v>
      </c>
      <c r="DV1345" s="5" t="s">
        <v>813</v>
      </c>
      <c r="DW1345" s="5" t="s">
        <v>2823</v>
      </c>
      <c r="HO1345" s="5" t="s">
        <v>312</v>
      </c>
    </row>
    <row r="1346" spans="1:223" x14ac:dyDescent="0.4">
      <c r="A1346" s="5">
        <v>3021</v>
      </c>
      <c r="B1346" s="5">
        <v>1</v>
      </c>
      <c r="C1346" s="5">
        <v>1</v>
      </c>
      <c r="D1346" s="5" t="s">
        <v>297</v>
      </c>
      <c r="E1346" s="5" t="s">
        <v>245</v>
      </c>
      <c r="F1346" s="5" t="s">
        <v>254</v>
      </c>
      <c r="G1346" s="5" t="s">
        <v>240</v>
      </c>
      <c r="H1346" s="6" t="s">
        <v>5944</v>
      </c>
      <c r="I1346" s="5" t="s">
        <v>295</v>
      </c>
      <c r="J1346" s="8">
        <f>881</f>
        <v>881</v>
      </c>
      <c r="K1346" s="5" t="s">
        <v>308</v>
      </c>
      <c r="L1346" s="7">
        <f>1</f>
        <v>1</v>
      </c>
      <c r="M1346" s="7">
        <f>1</f>
        <v>1</v>
      </c>
      <c r="N1346" s="5" t="s">
        <v>242</v>
      </c>
      <c r="O1346" s="5">
        <v>1</v>
      </c>
      <c r="P1346" s="5" t="s">
        <v>294</v>
      </c>
      <c r="Q1346" s="5" t="s">
        <v>266</v>
      </c>
      <c r="R1346" s="5" t="s">
        <v>240</v>
      </c>
      <c r="S1346" s="5" t="s">
        <v>240</v>
      </c>
      <c r="T1346" s="5" t="s">
        <v>296</v>
      </c>
      <c r="U1346" s="5" t="s">
        <v>244</v>
      </c>
      <c r="V1346" s="5" t="s">
        <v>240</v>
      </c>
      <c r="Y1346" s="5" t="s">
        <v>240</v>
      </c>
      <c r="Z1346" s="6" t="s">
        <v>298</v>
      </c>
      <c r="AB1346" s="6" t="s">
        <v>240</v>
      </c>
      <c r="AE1346" s="6" t="s">
        <v>299</v>
      </c>
      <c r="AF1346" s="5" t="s">
        <v>248</v>
      </c>
      <c r="AG1346" s="5" t="s">
        <v>249</v>
      </c>
      <c r="AW1346" s="5" t="s">
        <v>251</v>
      </c>
      <c r="AX1346" s="5" t="s">
        <v>240</v>
      </c>
      <c r="AY1346" s="5" t="s">
        <v>253</v>
      </c>
      <c r="AZ1346" s="5" t="s">
        <v>240</v>
      </c>
      <c r="BA1346" s="5" t="s">
        <v>255</v>
      </c>
      <c r="BB1346" s="5" t="s">
        <v>240</v>
      </c>
      <c r="BD1346" s="5" t="s">
        <v>240</v>
      </c>
      <c r="BF1346" s="5" t="s">
        <v>301</v>
      </c>
      <c r="BG1346" s="6" t="s">
        <v>299</v>
      </c>
      <c r="BH1346" s="5" t="s">
        <v>302</v>
      </c>
      <c r="BI1346" s="5" t="s">
        <v>303</v>
      </c>
      <c r="BJ1346" s="5" t="s">
        <v>240</v>
      </c>
      <c r="BK1346" s="8">
        <f>0</f>
        <v>0</v>
      </c>
      <c r="BL1346" s="7">
        <f>0</f>
        <v>0</v>
      </c>
      <c r="BM1346" s="5" t="s">
        <v>258</v>
      </c>
      <c r="BN1346" s="5" t="s">
        <v>259</v>
      </c>
      <c r="CB1346" s="5" t="s">
        <v>240</v>
      </c>
      <c r="CC1346" s="5" t="s">
        <v>240</v>
      </c>
      <c r="CG1346" s="5" t="s">
        <v>304</v>
      </c>
      <c r="CH1346" s="5" t="s">
        <v>305</v>
      </c>
      <c r="CI1346" s="5" t="s">
        <v>240</v>
      </c>
      <c r="CL1346" s="6" t="s">
        <v>261</v>
      </c>
      <c r="CM1346" s="5" t="s">
        <v>240</v>
      </c>
      <c r="CN1346" s="5" t="s">
        <v>263</v>
      </c>
      <c r="CO1346" s="5" t="s">
        <v>240</v>
      </c>
      <c r="CP1346" s="5" t="s">
        <v>240</v>
      </c>
      <c r="CQ1346" s="5">
        <v>0</v>
      </c>
      <c r="CR1346" s="5" t="s">
        <v>306</v>
      </c>
      <c r="CS1346" s="5" t="s">
        <v>307</v>
      </c>
      <c r="CT1346" s="5" t="s">
        <v>307</v>
      </c>
      <c r="CU1346" s="5" t="s">
        <v>260</v>
      </c>
      <c r="CX1346" s="7">
        <f>1</f>
        <v>1</v>
      </c>
      <c r="CY1346" s="7">
        <f>0</f>
        <v>0</v>
      </c>
      <c r="DA1346" s="7">
        <f>0</f>
        <v>0</v>
      </c>
      <c r="DC1346" s="5" t="s">
        <v>812</v>
      </c>
      <c r="DD1346" s="5" t="s">
        <v>240</v>
      </c>
      <c r="DF1346" s="5" t="s">
        <v>812</v>
      </c>
      <c r="DG1346" s="7">
        <f>2504</f>
        <v>2504</v>
      </c>
      <c r="DI1346" s="5" t="s">
        <v>240</v>
      </c>
      <c r="DJ1346" s="5" t="s">
        <v>240</v>
      </c>
      <c r="DK1346" s="5" t="s">
        <v>240</v>
      </c>
      <c r="DL1346" s="5" t="s">
        <v>240</v>
      </c>
      <c r="DP1346" s="5" t="s">
        <v>240</v>
      </c>
      <c r="DQ1346" s="5" t="s">
        <v>240</v>
      </c>
      <c r="DR1346" s="5" t="s">
        <v>240</v>
      </c>
      <c r="DS1346" s="5" t="s">
        <v>240</v>
      </c>
      <c r="DV1346" s="5" t="s">
        <v>813</v>
      </c>
      <c r="DW1346" s="5" t="s">
        <v>2825</v>
      </c>
      <c r="HO1346" s="5" t="s">
        <v>312</v>
      </c>
    </row>
    <row r="1347" spans="1:223" x14ac:dyDescent="0.4">
      <c r="A1347" s="5">
        <v>3022</v>
      </c>
      <c r="B1347" s="5">
        <v>1</v>
      </c>
      <c r="C1347" s="5">
        <v>1</v>
      </c>
      <c r="D1347" s="5" t="s">
        <v>297</v>
      </c>
      <c r="E1347" s="5" t="s">
        <v>245</v>
      </c>
      <c r="F1347" s="5" t="s">
        <v>254</v>
      </c>
      <c r="G1347" s="5" t="s">
        <v>240</v>
      </c>
      <c r="H1347" s="6" t="s">
        <v>4862</v>
      </c>
      <c r="I1347" s="5" t="s">
        <v>295</v>
      </c>
      <c r="J1347" s="8">
        <f>3064</f>
        <v>3064</v>
      </c>
      <c r="K1347" s="5" t="s">
        <v>308</v>
      </c>
      <c r="L1347" s="7">
        <f>1</f>
        <v>1</v>
      </c>
      <c r="M1347" s="7">
        <f>1</f>
        <v>1</v>
      </c>
      <c r="N1347" s="5" t="s">
        <v>242</v>
      </c>
      <c r="O1347" s="5">
        <v>1</v>
      </c>
      <c r="P1347" s="5" t="s">
        <v>294</v>
      </c>
      <c r="Q1347" s="5" t="s">
        <v>266</v>
      </c>
      <c r="R1347" s="5" t="s">
        <v>240</v>
      </c>
      <c r="S1347" s="5" t="s">
        <v>240</v>
      </c>
      <c r="T1347" s="5" t="s">
        <v>296</v>
      </c>
      <c r="U1347" s="5" t="s">
        <v>244</v>
      </c>
      <c r="V1347" s="5" t="s">
        <v>240</v>
      </c>
      <c r="Y1347" s="5" t="s">
        <v>240</v>
      </c>
      <c r="Z1347" s="6" t="s">
        <v>298</v>
      </c>
      <c r="AB1347" s="6" t="s">
        <v>240</v>
      </c>
      <c r="AE1347" s="6" t="s">
        <v>299</v>
      </c>
      <c r="AF1347" s="5" t="s">
        <v>248</v>
      </c>
      <c r="AG1347" s="5" t="s">
        <v>249</v>
      </c>
      <c r="AW1347" s="5" t="s">
        <v>251</v>
      </c>
      <c r="AX1347" s="5" t="s">
        <v>240</v>
      </c>
      <c r="AY1347" s="5" t="s">
        <v>253</v>
      </c>
      <c r="AZ1347" s="5" t="s">
        <v>240</v>
      </c>
      <c r="BA1347" s="5" t="s">
        <v>255</v>
      </c>
      <c r="BB1347" s="5" t="s">
        <v>240</v>
      </c>
      <c r="BD1347" s="5" t="s">
        <v>240</v>
      </c>
      <c r="BF1347" s="5" t="s">
        <v>301</v>
      </c>
      <c r="BG1347" s="6" t="s">
        <v>299</v>
      </c>
      <c r="BH1347" s="5" t="s">
        <v>302</v>
      </c>
      <c r="BI1347" s="5" t="s">
        <v>303</v>
      </c>
      <c r="BJ1347" s="5" t="s">
        <v>240</v>
      </c>
      <c r="BK1347" s="8">
        <f>0</f>
        <v>0</v>
      </c>
      <c r="BL1347" s="7">
        <f>0</f>
        <v>0</v>
      </c>
      <c r="BM1347" s="5" t="s">
        <v>258</v>
      </c>
      <c r="BN1347" s="5" t="s">
        <v>259</v>
      </c>
      <c r="CB1347" s="5" t="s">
        <v>240</v>
      </c>
      <c r="CC1347" s="5" t="s">
        <v>240</v>
      </c>
      <c r="CG1347" s="5" t="s">
        <v>304</v>
      </c>
      <c r="CH1347" s="5" t="s">
        <v>305</v>
      </c>
      <c r="CI1347" s="5" t="s">
        <v>240</v>
      </c>
      <c r="CL1347" s="6" t="s">
        <v>261</v>
      </c>
      <c r="CM1347" s="5" t="s">
        <v>240</v>
      </c>
      <c r="CN1347" s="5" t="s">
        <v>263</v>
      </c>
      <c r="CO1347" s="5" t="s">
        <v>240</v>
      </c>
      <c r="CP1347" s="5" t="s">
        <v>240</v>
      </c>
      <c r="CQ1347" s="5">
        <v>0</v>
      </c>
      <c r="CR1347" s="5" t="s">
        <v>306</v>
      </c>
      <c r="CS1347" s="5" t="s">
        <v>307</v>
      </c>
      <c r="CT1347" s="5" t="s">
        <v>307</v>
      </c>
      <c r="CU1347" s="5" t="s">
        <v>260</v>
      </c>
      <c r="CX1347" s="7">
        <f>1</f>
        <v>1</v>
      </c>
      <c r="CY1347" s="7">
        <f>0</f>
        <v>0</v>
      </c>
      <c r="DA1347" s="7">
        <f>0</f>
        <v>0</v>
      </c>
      <c r="DC1347" s="5" t="s">
        <v>812</v>
      </c>
      <c r="DD1347" s="5" t="s">
        <v>240</v>
      </c>
      <c r="DF1347" s="5" t="s">
        <v>812</v>
      </c>
      <c r="DG1347" s="7">
        <f>1267</f>
        <v>1267</v>
      </c>
      <c r="DI1347" s="5" t="s">
        <v>240</v>
      </c>
      <c r="DJ1347" s="5" t="s">
        <v>240</v>
      </c>
      <c r="DK1347" s="5" t="s">
        <v>240</v>
      </c>
      <c r="DL1347" s="5" t="s">
        <v>240</v>
      </c>
      <c r="DP1347" s="5" t="s">
        <v>240</v>
      </c>
      <c r="DQ1347" s="5" t="s">
        <v>240</v>
      </c>
      <c r="DR1347" s="5" t="s">
        <v>240</v>
      </c>
      <c r="DS1347" s="5" t="s">
        <v>240</v>
      </c>
      <c r="DV1347" s="5" t="s">
        <v>813</v>
      </c>
      <c r="DW1347" s="5" t="s">
        <v>2827</v>
      </c>
      <c r="HO1347" s="5" t="s">
        <v>312</v>
      </c>
    </row>
    <row r="1348" spans="1:223" x14ac:dyDescent="0.4">
      <c r="A1348" s="5">
        <v>3023</v>
      </c>
      <c r="B1348" s="5">
        <v>1</v>
      </c>
      <c r="C1348" s="5">
        <v>1</v>
      </c>
      <c r="D1348" s="5" t="s">
        <v>297</v>
      </c>
      <c r="E1348" s="5" t="s">
        <v>245</v>
      </c>
      <c r="F1348" s="5" t="s">
        <v>254</v>
      </c>
      <c r="G1348" s="5" t="s">
        <v>240</v>
      </c>
      <c r="H1348" s="6" t="s">
        <v>4860</v>
      </c>
      <c r="I1348" s="5" t="s">
        <v>295</v>
      </c>
      <c r="J1348" s="8">
        <f>2418</f>
        <v>2418</v>
      </c>
      <c r="K1348" s="5" t="s">
        <v>308</v>
      </c>
      <c r="L1348" s="7">
        <f>1</f>
        <v>1</v>
      </c>
      <c r="M1348" s="7">
        <f>1</f>
        <v>1</v>
      </c>
      <c r="N1348" s="5" t="s">
        <v>242</v>
      </c>
      <c r="O1348" s="5">
        <v>1</v>
      </c>
      <c r="P1348" s="5" t="s">
        <v>294</v>
      </c>
      <c r="Q1348" s="5" t="s">
        <v>266</v>
      </c>
      <c r="R1348" s="5" t="s">
        <v>240</v>
      </c>
      <c r="S1348" s="5" t="s">
        <v>240</v>
      </c>
      <c r="T1348" s="5" t="s">
        <v>296</v>
      </c>
      <c r="U1348" s="5" t="s">
        <v>244</v>
      </c>
      <c r="V1348" s="5" t="s">
        <v>240</v>
      </c>
      <c r="Y1348" s="5" t="s">
        <v>240</v>
      </c>
      <c r="Z1348" s="6" t="s">
        <v>298</v>
      </c>
      <c r="AB1348" s="6" t="s">
        <v>240</v>
      </c>
      <c r="AE1348" s="6" t="s">
        <v>299</v>
      </c>
      <c r="AF1348" s="5" t="s">
        <v>248</v>
      </c>
      <c r="AG1348" s="5" t="s">
        <v>249</v>
      </c>
      <c r="AW1348" s="5" t="s">
        <v>251</v>
      </c>
      <c r="AX1348" s="5" t="s">
        <v>240</v>
      </c>
      <c r="AY1348" s="5" t="s">
        <v>253</v>
      </c>
      <c r="AZ1348" s="5" t="s">
        <v>240</v>
      </c>
      <c r="BA1348" s="5" t="s">
        <v>255</v>
      </c>
      <c r="BB1348" s="5" t="s">
        <v>240</v>
      </c>
      <c r="BD1348" s="5" t="s">
        <v>240</v>
      </c>
      <c r="BF1348" s="5" t="s">
        <v>301</v>
      </c>
      <c r="BG1348" s="6" t="s">
        <v>299</v>
      </c>
      <c r="BH1348" s="5" t="s">
        <v>302</v>
      </c>
      <c r="BI1348" s="5" t="s">
        <v>303</v>
      </c>
      <c r="BJ1348" s="5" t="s">
        <v>240</v>
      </c>
      <c r="BK1348" s="8">
        <f>0</f>
        <v>0</v>
      </c>
      <c r="BL1348" s="7">
        <f>0</f>
        <v>0</v>
      </c>
      <c r="BM1348" s="5" t="s">
        <v>258</v>
      </c>
      <c r="BN1348" s="5" t="s">
        <v>259</v>
      </c>
      <c r="CB1348" s="5" t="s">
        <v>240</v>
      </c>
      <c r="CC1348" s="5" t="s">
        <v>240</v>
      </c>
      <c r="CG1348" s="5" t="s">
        <v>304</v>
      </c>
      <c r="CH1348" s="5" t="s">
        <v>305</v>
      </c>
      <c r="CI1348" s="5" t="s">
        <v>240</v>
      </c>
      <c r="CL1348" s="6" t="s">
        <v>261</v>
      </c>
      <c r="CM1348" s="5" t="s">
        <v>240</v>
      </c>
      <c r="CN1348" s="5" t="s">
        <v>263</v>
      </c>
      <c r="CO1348" s="5" t="s">
        <v>240</v>
      </c>
      <c r="CP1348" s="5" t="s">
        <v>240</v>
      </c>
      <c r="CQ1348" s="5">
        <v>0</v>
      </c>
      <c r="CR1348" s="5" t="s">
        <v>306</v>
      </c>
      <c r="CS1348" s="5" t="s">
        <v>307</v>
      </c>
      <c r="CT1348" s="5" t="s">
        <v>307</v>
      </c>
      <c r="CU1348" s="5" t="s">
        <v>260</v>
      </c>
      <c r="CX1348" s="7">
        <f>1</f>
        <v>1</v>
      </c>
      <c r="CY1348" s="7">
        <f>0</f>
        <v>0</v>
      </c>
      <c r="DA1348" s="7">
        <f>0</f>
        <v>0</v>
      </c>
      <c r="DC1348" s="5" t="s">
        <v>812</v>
      </c>
      <c r="DD1348" s="5" t="s">
        <v>240</v>
      </c>
      <c r="DF1348" s="5" t="s">
        <v>812</v>
      </c>
      <c r="DG1348" s="7">
        <f>372</f>
        <v>372</v>
      </c>
      <c r="DI1348" s="5" t="s">
        <v>240</v>
      </c>
      <c r="DJ1348" s="5" t="s">
        <v>240</v>
      </c>
      <c r="DK1348" s="5" t="s">
        <v>240</v>
      </c>
      <c r="DL1348" s="5" t="s">
        <v>240</v>
      </c>
      <c r="DP1348" s="5" t="s">
        <v>240</v>
      </c>
      <c r="DQ1348" s="5" t="s">
        <v>240</v>
      </c>
      <c r="DR1348" s="5" t="s">
        <v>240</v>
      </c>
      <c r="DS1348" s="5" t="s">
        <v>240</v>
      </c>
      <c r="DV1348" s="5" t="s">
        <v>813</v>
      </c>
      <c r="DW1348" s="5" t="s">
        <v>2829</v>
      </c>
      <c r="HO1348" s="5" t="s">
        <v>312</v>
      </c>
    </row>
    <row r="1349" spans="1:223" x14ac:dyDescent="0.4">
      <c r="A1349" s="5">
        <v>3024</v>
      </c>
      <c r="B1349" s="5">
        <v>1</v>
      </c>
      <c r="C1349" s="5">
        <v>1</v>
      </c>
      <c r="D1349" s="5" t="s">
        <v>297</v>
      </c>
      <c r="E1349" s="5" t="s">
        <v>245</v>
      </c>
      <c r="F1349" s="5" t="s">
        <v>254</v>
      </c>
      <c r="G1349" s="5" t="s">
        <v>240</v>
      </c>
      <c r="H1349" s="6" t="s">
        <v>4859</v>
      </c>
      <c r="I1349" s="5" t="s">
        <v>295</v>
      </c>
      <c r="J1349" s="8">
        <f>3871</f>
        <v>3871</v>
      </c>
      <c r="K1349" s="5" t="s">
        <v>308</v>
      </c>
      <c r="L1349" s="7">
        <f>1</f>
        <v>1</v>
      </c>
      <c r="M1349" s="7">
        <f>1</f>
        <v>1</v>
      </c>
      <c r="N1349" s="5" t="s">
        <v>242</v>
      </c>
      <c r="O1349" s="5">
        <v>1</v>
      </c>
      <c r="P1349" s="5" t="s">
        <v>294</v>
      </c>
      <c r="Q1349" s="5" t="s">
        <v>266</v>
      </c>
      <c r="R1349" s="5" t="s">
        <v>240</v>
      </c>
      <c r="S1349" s="5" t="s">
        <v>240</v>
      </c>
      <c r="T1349" s="5" t="s">
        <v>296</v>
      </c>
      <c r="U1349" s="5" t="s">
        <v>244</v>
      </c>
      <c r="V1349" s="5" t="s">
        <v>240</v>
      </c>
      <c r="Y1349" s="5" t="s">
        <v>240</v>
      </c>
      <c r="Z1349" s="6" t="s">
        <v>298</v>
      </c>
      <c r="AB1349" s="6" t="s">
        <v>240</v>
      </c>
      <c r="AE1349" s="6" t="s">
        <v>299</v>
      </c>
      <c r="AF1349" s="5" t="s">
        <v>248</v>
      </c>
      <c r="AG1349" s="5" t="s">
        <v>249</v>
      </c>
      <c r="AW1349" s="5" t="s">
        <v>251</v>
      </c>
      <c r="AX1349" s="5" t="s">
        <v>240</v>
      </c>
      <c r="AY1349" s="5" t="s">
        <v>253</v>
      </c>
      <c r="AZ1349" s="5" t="s">
        <v>240</v>
      </c>
      <c r="BA1349" s="5" t="s">
        <v>255</v>
      </c>
      <c r="BB1349" s="5" t="s">
        <v>240</v>
      </c>
      <c r="BD1349" s="5" t="s">
        <v>240</v>
      </c>
      <c r="BF1349" s="5" t="s">
        <v>301</v>
      </c>
      <c r="BG1349" s="6" t="s">
        <v>299</v>
      </c>
      <c r="BH1349" s="5" t="s">
        <v>302</v>
      </c>
      <c r="BI1349" s="5" t="s">
        <v>303</v>
      </c>
      <c r="BJ1349" s="5" t="s">
        <v>240</v>
      </c>
      <c r="BK1349" s="8">
        <f>0</f>
        <v>0</v>
      </c>
      <c r="BL1349" s="7">
        <f>0</f>
        <v>0</v>
      </c>
      <c r="BM1349" s="5" t="s">
        <v>258</v>
      </c>
      <c r="BN1349" s="5" t="s">
        <v>259</v>
      </c>
      <c r="CB1349" s="5" t="s">
        <v>240</v>
      </c>
      <c r="CC1349" s="5" t="s">
        <v>240</v>
      </c>
      <c r="CG1349" s="5" t="s">
        <v>304</v>
      </c>
      <c r="CH1349" s="5" t="s">
        <v>305</v>
      </c>
      <c r="CI1349" s="5" t="s">
        <v>240</v>
      </c>
      <c r="CL1349" s="6" t="s">
        <v>261</v>
      </c>
      <c r="CM1349" s="5" t="s">
        <v>240</v>
      </c>
      <c r="CN1349" s="5" t="s">
        <v>263</v>
      </c>
      <c r="CO1349" s="5" t="s">
        <v>240</v>
      </c>
      <c r="CP1349" s="5" t="s">
        <v>240</v>
      </c>
      <c r="CQ1349" s="5">
        <v>0</v>
      </c>
      <c r="CR1349" s="5" t="s">
        <v>306</v>
      </c>
      <c r="CS1349" s="5" t="s">
        <v>307</v>
      </c>
      <c r="CT1349" s="5" t="s">
        <v>307</v>
      </c>
      <c r="CU1349" s="5" t="s">
        <v>260</v>
      </c>
      <c r="CX1349" s="7">
        <f>1</f>
        <v>1</v>
      </c>
      <c r="CY1349" s="7">
        <f>0</f>
        <v>0</v>
      </c>
      <c r="DA1349" s="7">
        <f>0</f>
        <v>0</v>
      </c>
      <c r="DC1349" s="5" t="s">
        <v>812</v>
      </c>
      <c r="DD1349" s="5" t="s">
        <v>240</v>
      </c>
      <c r="DF1349" s="5" t="s">
        <v>812</v>
      </c>
      <c r="DG1349" s="7">
        <f>3178</f>
        <v>3178</v>
      </c>
      <c r="DI1349" s="5" t="s">
        <v>240</v>
      </c>
      <c r="DJ1349" s="5" t="s">
        <v>240</v>
      </c>
      <c r="DK1349" s="5" t="s">
        <v>240</v>
      </c>
      <c r="DL1349" s="5" t="s">
        <v>240</v>
      </c>
      <c r="DP1349" s="5" t="s">
        <v>240</v>
      </c>
      <c r="DQ1349" s="5" t="s">
        <v>240</v>
      </c>
      <c r="DR1349" s="5" t="s">
        <v>240</v>
      </c>
      <c r="DS1349" s="5" t="s">
        <v>240</v>
      </c>
      <c r="DV1349" s="5" t="s">
        <v>813</v>
      </c>
      <c r="DW1349" s="5" t="s">
        <v>2831</v>
      </c>
      <c r="HO1349" s="5" t="s">
        <v>312</v>
      </c>
    </row>
    <row r="1350" spans="1:223" x14ac:dyDescent="0.4">
      <c r="A1350" s="5">
        <v>3025</v>
      </c>
      <c r="B1350" s="5">
        <v>1</v>
      </c>
      <c r="C1350" s="5">
        <v>1</v>
      </c>
      <c r="D1350" s="5" t="s">
        <v>297</v>
      </c>
      <c r="E1350" s="5" t="s">
        <v>245</v>
      </c>
      <c r="F1350" s="5" t="s">
        <v>254</v>
      </c>
      <c r="G1350" s="5" t="s">
        <v>240</v>
      </c>
      <c r="H1350" s="6" t="s">
        <v>4857</v>
      </c>
      <c r="I1350" s="5" t="s">
        <v>295</v>
      </c>
      <c r="J1350" s="8">
        <f>4265</f>
        <v>4265</v>
      </c>
      <c r="K1350" s="5" t="s">
        <v>308</v>
      </c>
      <c r="L1350" s="7">
        <f>1</f>
        <v>1</v>
      </c>
      <c r="M1350" s="7">
        <f>1</f>
        <v>1</v>
      </c>
      <c r="N1350" s="5" t="s">
        <v>242</v>
      </c>
      <c r="O1350" s="5">
        <v>1</v>
      </c>
      <c r="P1350" s="5" t="s">
        <v>294</v>
      </c>
      <c r="Q1350" s="5" t="s">
        <v>266</v>
      </c>
      <c r="R1350" s="5" t="s">
        <v>240</v>
      </c>
      <c r="S1350" s="5" t="s">
        <v>240</v>
      </c>
      <c r="T1350" s="5" t="s">
        <v>296</v>
      </c>
      <c r="U1350" s="5" t="s">
        <v>244</v>
      </c>
      <c r="V1350" s="5" t="s">
        <v>240</v>
      </c>
      <c r="Y1350" s="5" t="s">
        <v>240</v>
      </c>
      <c r="Z1350" s="6" t="s">
        <v>298</v>
      </c>
      <c r="AB1350" s="6" t="s">
        <v>240</v>
      </c>
      <c r="AE1350" s="6" t="s">
        <v>299</v>
      </c>
      <c r="AF1350" s="5" t="s">
        <v>248</v>
      </c>
      <c r="AG1350" s="5" t="s">
        <v>249</v>
      </c>
      <c r="AW1350" s="5" t="s">
        <v>251</v>
      </c>
      <c r="AX1350" s="5" t="s">
        <v>240</v>
      </c>
      <c r="AY1350" s="5" t="s">
        <v>253</v>
      </c>
      <c r="AZ1350" s="5" t="s">
        <v>240</v>
      </c>
      <c r="BA1350" s="5" t="s">
        <v>255</v>
      </c>
      <c r="BB1350" s="5" t="s">
        <v>240</v>
      </c>
      <c r="BD1350" s="5" t="s">
        <v>240</v>
      </c>
      <c r="BF1350" s="5" t="s">
        <v>301</v>
      </c>
      <c r="BG1350" s="6" t="s">
        <v>299</v>
      </c>
      <c r="BH1350" s="5" t="s">
        <v>302</v>
      </c>
      <c r="BI1350" s="5" t="s">
        <v>303</v>
      </c>
      <c r="BJ1350" s="5" t="s">
        <v>240</v>
      </c>
      <c r="BK1350" s="8">
        <f>0</f>
        <v>0</v>
      </c>
      <c r="BL1350" s="7">
        <f>0</f>
        <v>0</v>
      </c>
      <c r="BM1350" s="5" t="s">
        <v>258</v>
      </c>
      <c r="BN1350" s="5" t="s">
        <v>259</v>
      </c>
      <c r="CB1350" s="5" t="s">
        <v>240</v>
      </c>
      <c r="CC1350" s="5" t="s">
        <v>240</v>
      </c>
      <c r="CG1350" s="5" t="s">
        <v>304</v>
      </c>
      <c r="CH1350" s="5" t="s">
        <v>305</v>
      </c>
      <c r="CI1350" s="5" t="s">
        <v>240</v>
      </c>
      <c r="CL1350" s="6" t="s">
        <v>261</v>
      </c>
      <c r="CM1350" s="5" t="s">
        <v>240</v>
      </c>
      <c r="CN1350" s="5" t="s">
        <v>263</v>
      </c>
      <c r="CO1350" s="5" t="s">
        <v>240</v>
      </c>
      <c r="CP1350" s="5" t="s">
        <v>240</v>
      </c>
      <c r="CQ1350" s="5">
        <v>0</v>
      </c>
      <c r="CR1350" s="5" t="s">
        <v>306</v>
      </c>
      <c r="CS1350" s="5" t="s">
        <v>307</v>
      </c>
      <c r="CT1350" s="5" t="s">
        <v>307</v>
      </c>
      <c r="CU1350" s="5" t="s">
        <v>260</v>
      </c>
      <c r="CX1350" s="7">
        <f>1</f>
        <v>1</v>
      </c>
      <c r="CY1350" s="7">
        <f>0</f>
        <v>0</v>
      </c>
      <c r="DA1350" s="7">
        <f>0</f>
        <v>0</v>
      </c>
      <c r="DC1350" s="5" t="s">
        <v>812</v>
      </c>
      <c r="DD1350" s="5" t="s">
        <v>240</v>
      </c>
      <c r="DF1350" s="5" t="s">
        <v>812</v>
      </c>
      <c r="DG1350" s="7">
        <f>2473</f>
        <v>2473</v>
      </c>
      <c r="DI1350" s="5" t="s">
        <v>240</v>
      </c>
      <c r="DJ1350" s="5" t="s">
        <v>240</v>
      </c>
      <c r="DK1350" s="5" t="s">
        <v>240</v>
      </c>
      <c r="DL1350" s="5" t="s">
        <v>240</v>
      </c>
      <c r="DP1350" s="5" t="s">
        <v>240</v>
      </c>
      <c r="DQ1350" s="5" t="s">
        <v>240</v>
      </c>
      <c r="DR1350" s="5" t="s">
        <v>240</v>
      </c>
      <c r="DS1350" s="5" t="s">
        <v>240</v>
      </c>
      <c r="DV1350" s="5" t="s">
        <v>813</v>
      </c>
      <c r="DW1350" s="5" t="s">
        <v>2833</v>
      </c>
      <c r="HO1350" s="5" t="s">
        <v>312</v>
      </c>
    </row>
    <row r="1351" spans="1:223" x14ac:dyDescent="0.4">
      <c r="A1351" s="5">
        <v>3026</v>
      </c>
      <c r="B1351" s="5">
        <v>1</v>
      </c>
      <c r="C1351" s="5">
        <v>1</v>
      </c>
      <c r="D1351" s="5" t="s">
        <v>297</v>
      </c>
      <c r="E1351" s="5" t="s">
        <v>245</v>
      </c>
      <c r="F1351" s="5" t="s">
        <v>254</v>
      </c>
      <c r="G1351" s="5" t="s">
        <v>240</v>
      </c>
      <c r="H1351" s="6" t="s">
        <v>4856</v>
      </c>
      <c r="I1351" s="5" t="s">
        <v>295</v>
      </c>
      <c r="J1351" s="8">
        <f>6420</f>
        <v>6420</v>
      </c>
      <c r="K1351" s="5" t="s">
        <v>308</v>
      </c>
      <c r="L1351" s="7">
        <f>1</f>
        <v>1</v>
      </c>
      <c r="M1351" s="7">
        <f>1</f>
        <v>1</v>
      </c>
      <c r="N1351" s="5" t="s">
        <v>242</v>
      </c>
      <c r="O1351" s="5">
        <v>1</v>
      </c>
      <c r="P1351" s="5" t="s">
        <v>294</v>
      </c>
      <c r="Q1351" s="5" t="s">
        <v>266</v>
      </c>
      <c r="R1351" s="5" t="s">
        <v>240</v>
      </c>
      <c r="S1351" s="5" t="s">
        <v>240</v>
      </c>
      <c r="T1351" s="5" t="s">
        <v>296</v>
      </c>
      <c r="U1351" s="5" t="s">
        <v>244</v>
      </c>
      <c r="V1351" s="5" t="s">
        <v>240</v>
      </c>
      <c r="Y1351" s="5" t="s">
        <v>240</v>
      </c>
      <c r="Z1351" s="6" t="s">
        <v>298</v>
      </c>
      <c r="AB1351" s="6" t="s">
        <v>240</v>
      </c>
      <c r="AE1351" s="6" t="s">
        <v>299</v>
      </c>
      <c r="AF1351" s="5" t="s">
        <v>248</v>
      </c>
      <c r="AG1351" s="5" t="s">
        <v>249</v>
      </c>
      <c r="AW1351" s="5" t="s">
        <v>251</v>
      </c>
      <c r="AX1351" s="5" t="s">
        <v>240</v>
      </c>
      <c r="AY1351" s="5" t="s">
        <v>253</v>
      </c>
      <c r="AZ1351" s="5" t="s">
        <v>240</v>
      </c>
      <c r="BA1351" s="5" t="s">
        <v>255</v>
      </c>
      <c r="BB1351" s="5" t="s">
        <v>240</v>
      </c>
      <c r="BD1351" s="5" t="s">
        <v>240</v>
      </c>
      <c r="BF1351" s="5" t="s">
        <v>301</v>
      </c>
      <c r="BG1351" s="6" t="s">
        <v>299</v>
      </c>
      <c r="BH1351" s="5" t="s">
        <v>302</v>
      </c>
      <c r="BI1351" s="5" t="s">
        <v>303</v>
      </c>
      <c r="BJ1351" s="5" t="s">
        <v>240</v>
      </c>
      <c r="BK1351" s="8">
        <f>0</f>
        <v>0</v>
      </c>
      <c r="BL1351" s="7">
        <f>0</f>
        <v>0</v>
      </c>
      <c r="BM1351" s="5" t="s">
        <v>258</v>
      </c>
      <c r="BN1351" s="5" t="s">
        <v>259</v>
      </c>
      <c r="CB1351" s="5" t="s">
        <v>240</v>
      </c>
      <c r="CC1351" s="5" t="s">
        <v>240</v>
      </c>
      <c r="CG1351" s="5" t="s">
        <v>304</v>
      </c>
      <c r="CH1351" s="5" t="s">
        <v>305</v>
      </c>
      <c r="CI1351" s="5" t="s">
        <v>240</v>
      </c>
      <c r="CL1351" s="6" t="s">
        <v>261</v>
      </c>
      <c r="CM1351" s="5" t="s">
        <v>240</v>
      </c>
      <c r="CN1351" s="5" t="s">
        <v>263</v>
      </c>
      <c r="CO1351" s="5" t="s">
        <v>240</v>
      </c>
      <c r="CP1351" s="5" t="s">
        <v>240</v>
      </c>
      <c r="CQ1351" s="5">
        <v>0</v>
      </c>
      <c r="CR1351" s="5" t="s">
        <v>306</v>
      </c>
      <c r="CS1351" s="5" t="s">
        <v>307</v>
      </c>
      <c r="CT1351" s="5" t="s">
        <v>307</v>
      </c>
      <c r="CU1351" s="5" t="s">
        <v>260</v>
      </c>
      <c r="CX1351" s="7">
        <f>1</f>
        <v>1</v>
      </c>
      <c r="CY1351" s="7">
        <f>0</f>
        <v>0</v>
      </c>
      <c r="DA1351" s="7">
        <f>0</f>
        <v>0</v>
      </c>
      <c r="DC1351" s="5" t="s">
        <v>812</v>
      </c>
      <c r="DD1351" s="5" t="s">
        <v>240</v>
      </c>
      <c r="DF1351" s="5" t="s">
        <v>812</v>
      </c>
      <c r="DG1351" s="7">
        <f>3163</f>
        <v>3163</v>
      </c>
      <c r="DI1351" s="5" t="s">
        <v>240</v>
      </c>
      <c r="DJ1351" s="5" t="s">
        <v>240</v>
      </c>
      <c r="DK1351" s="5" t="s">
        <v>240</v>
      </c>
      <c r="DL1351" s="5" t="s">
        <v>240</v>
      </c>
      <c r="DP1351" s="5" t="s">
        <v>240</v>
      </c>
      <c r="DQ1351" s="5" t="s">
        <v>240</v>
      </c>
      <c r="DR1351" s="5" t="s">
        <v>240</v>
      </c>
      <c r="DS1351" s="5" t="s">
        <v>240</v>
      </c>
      <c r="DV1351" s="5" t="s">
        <v>813</v>
      </c>
      <c r="DW1351" s="5" t="s">
        <v>2835</v>
      </c>
      <c r="HO1351" s="5" t="s">
        <v>312</v>
      </c>
    </row>
    <row r="1352" spans="1:223" x14ac:dyDescent="0.4">
      <c r="A1352" s="5">
        <v>3027</v>
      </c>
      <c r="B1352" s="5">
        <v>1</v>
      </c>
      <c r="C1352" s="5">
        <v>1</v>
      </c>
      <c r="D1352" s="5" t="s">
        <v>297</v>
      </c>
      <c r="E1352" s="5" t="s">
        <v>245</v>
      </c>
      <c r="F1352" s="5" t="s">
        <v>254</v>
      </c>
      <c r="G1352" s="5" t="s">
        <v>240</v>
      </c>
      <c r="H1352" s="6" t="s">
        <v>4855</v>
      </c>
      <c r="I1352" s="5" t="s">
        <v>295</v>
      </c>
      <c r="J1352" s="8">
        <f>1432</f>
        <v>1432</v>
      </c>
      <c r="K1352" s="5" t="s">
        <v>308</v>
      </c>
      <c r="L1352" s="7">
        <f>1</f>
        <v>1</v>
      </c>
      <c r="M1352" s="7">
        <f>1</f>
        <v>1</v>
      </c>
      <c r="N1352" s="5" t="s">
        <v>242</v>
      </c>
      <c r="O1352" s="5">
        <v>1</v>
      </c>
      <c r="P1352" s="5" t="s">
        <v>294</v>
      </c>
      <c r="Q1352" s="5" t="s">
        <v>266</v>
      </c>
      <c r="R1352" s="5" t="s">
        <v>240</v>
      </c>
      <c r="S1352" s="5" t="s">
        <v>240</v>
      </c>
      <c r="T1352" s="5" t="s">
        <v>296</v>
      </c>
      <c r="U1352" s="5" t="s">
        <v>244</v>
      </c>
      <c r="V1352" s="5" t="s">
        <v>240</v>
      </c>
      <c r="Y1352" s="5" t="s">
        <v>240</v>
      </c>
      <c r="Z1352" s="6" t="s">
        <v>298</v>
      </c>
      <c r="AB1352" s="6" t="s">
        <v>240</v>
      </c>
      <c r="AE1352" s="6" t="s">
        <v>299</v>
      </c>
      <c r="AF1352" s="5" t="s">
        <v>248</v>
      </c>
      <c r="AG1352" s="5" t="s">
        <v>249</v>
      </c>
      <c r="AW1352" s="5" t="s">
        <v>251</v>
      </c>
      <c r="AX1352" s="5" t="s">
        <v>240</v>
      </c>
      <c r="AY1352" s="5" t="s">
        <v>253</v>
      </c>
      <c r="AZ1352" s="5" t="s">
        <v>240</v>
      </c>
      <c r="BA1352" s="5" t="s">
        <v>255</v>
      </c>
      <c r="BB1352" s="5" t="s">
        <v>240</v>
      </c>
      <c r="BD1352" s="5" t="s">
        <v>240</v>
      </c>
      <c r="BF1352" s="5" t="s">
        <v>301</v>
      </c>
      <c r="BG1352" s="6" t="s">
        <v>299</v>
      </c>
      <c r="BH1352" s="5" t="s">
        <v>302</v>
      </c>
      <c r="BI1352" s="5" t="s">
        <v>303</v>
      </c>
      <c r="BJ1352" s="5" t="s">
        <v>240</v>
      </c>
      <c r="BK1352" s="8">
        <f>0</f>
        <v>0</v>
      </c>
      <c r="BL1352" s="7">
        <f>0</f>
        <v>0</v>
      </c>
      <c r="BM1352" s="5" t="s">
        <v>258</v>
      </c>
      <c r="BN1352" s="5" t="s">
        <v>259</v>
      </c>
      <c r="CB1352" s="5" t="s">
        <v>240</v>
      </c>
      <c r="CC1352" s="5" t="s">
        <v>240</v>
      </c>
      <c r="CG1352" s="5" t="s">
        <v>304</v>
      </c>
      <c r="CH1352" s="5" t="s">
        <v>305</v>
      </c>
      <c r="CI1352" s="5" t="s">
        <v>240</v>
      </c>
      <c r="CL1352" s="6" t="s">
        <v>261</v>
      </c>
      <c r="CM1352" s="5" t="s">
        <v>240</v>
      </c>
      <c r="CN1352" s="5" t="s">
        <v>263</v>
      </c>
      <c r="CO1352" s="5" t="s">
        <v>240</v>
      </c>
      <c r="CP1352" s="5" t="s">
        <v>240</v>
      </c>
      <c r="CQ1352" s="5">
        <v>0</v>
      </c>
      <c r="CR1352" s="5" t="s">
        <v>306</v>
      </c>
      <c r="CS1352" s="5" t="s">
        <v>307</v>
      </c>
      <c r="CT1352" s="5" t="s">
        <v>307</v>
      </c>
      <c r="CU1352" s="5" t="s">
        <v>260</v>
      </c>
      <c r="CX1352" s="7">
        <f>1</f>
        <v>1</v>
      </c>
      <c r="CY1352" s="7">
        <f>0</f>
        <v>0</v>
      </c>
      <c r="DA1352" s="7">
        <f>0</f>
        <v>0</v>
      </c>
      <c r="DC1352" s="5" t="s">
        <v>812</v>
      </c>
      <c r="DD1352" s="5" t="s">
        <v>240</v>
      </c>
      <c r="DF1352" s="5" t="s">
        <v>812</v>
      </c>
      <c r="DG1352" s="7">
        <f>2644</f>
        <v>2644</v>
      </c>
      <c r="DI1352" s="5" t="s">
        <v>240</v>
      </c>
      <c r="DJ1352" s="5" t="s">
        <v>240</v>
      </c>
      <c r="DK1352" s="5" t="s">
        <v>240</v>
      </c>
      <c r="DL1352" s="5" t="s">
        <v>240</v>
      </c>
      <c r="DP1352" s="5" t="s">
        <v>240</v>
      </c>
      <c r="DQ1352" s="5" t="s">
        <v>240</v>
      </c>
      <c r="DR1352" s="5" t="s">
        <v>240</v>
      </c>
      <c r="DS1352" s="5" t="s">
        <v>240</v>
      </c>
      <c r="DV1352" s="5" t="s">
        <v>813</v>
      </c>
      <c r="DW1352" s="5" t="s">
        <v>2837</v>
      </c>
      <c r="HO1352" s="5" t="s">
        <v>312</v>
      </c>
    </row>
    <row r="1353" spans="1:223" x14ac:dyDescent="0.4">
      <c r="A1353" s="5">
        <v>3028</v>
      </c>
      <c r="B1353" s="5">
        <v>1</v>
      </c>
      <c r="C1353" s="5">
        <v>1</v>
      </c>
      <c r="D1353" s="5" t="s">
        <v>297</v>
      </c>
      <c r="E1353" s="5" t="s">
        <v>245</v>
      </c>
      <c r="F1353" s="5" t="s">
        <v>254</v>
      </c>
      <c r="G1353" s="5" t="s">
        <v>240</v>
      </c>
      <c r="H1353" s="6" t="s">
        <v>4854</v>
      </c>
      <c r="I1353" s="5" t="s">
        <v>295</v>
      </c>
      <c r="J1353" s="8">
        <f>2056</f>
        <v>2056</v>
      </c>
      <c r="K1353" s="5" t="s">
        <v>308</v>
      </c>
      <c r="L1353" s="7">
        <f>1</f>
        <v>1</v>
      </c>
      <c r="M1353" s="7">
        <f>1</f>
        <v>1</v>
      </c>
      <c r="N1353" s="5" t="s">
        <v>242</v>
      </c>
      <c r="O1353" s="5">
        <v>1</v>
      </c>
      <c r="P1353" s="5" t="s">
        <v>294</v>
      </c>
      <c r="Q1353" s="5" t="s">
        <v>266</v>
      </c>
      <c r="R1353" s="5" t="s">
        <v>240</v>
      </c>
      <c r="S1353" s="5" t="s">
        <v>240</v>
      </c>
      <c r="T1353" s="5" t="s">
        <v>296</v>
      </c>
      <c r="U1353" s="5" t="s">
        <v>244</v>
      </c>
      <c r="V1353" s="5" t="s">
        <v>240</v>
      </c>
      <c r="Y1353" s="5" t="s">
        <v>240</v>
      </c>
      <c r="Z1353" s="6" t="s">
        <v>298</v>
      </c>
      <c r="AB1353" s="6" t="s">
        <v>240</v>
      </c>
      <c r="AE1353" s="6" t="s">
        <v>299</v>
      </c>
      <c r="AF1353" s="5" t="s">
        <v>248</v>
      </c>
      <c r="AG1353" s="5" t="s">
        <v>249</v>
      </c>
      <c r="AW1353" s="5" t="s">
        <v>251</v>
      </c>
      <c r="AX1353" s="5" t="s">
        <v>240</v>
      </c>
      <c r="AY1353" s="5" t="s">
        <v>253</v>
      </c>
      <c r="AZ1353" s="5" t="s">
        <v>240</v>
      </c>
      <c r="BA1353" s="5" t="s">
        <v>255</v>
      </c>
      <c r="BB1353" s="5" t="s">
        <v>240</v>
      </c>
      <c r="BD1353" s="5" t="s">
        <v>240</v>
      </c>
      <c r="BF1353" s="5" t="s">
        <v>301</v>
      </c>
      <c r="BG1353" s="6" t="s">
        <v>299</v>
      </c>
      <c r="BH1353" s="5" t="s">
        <v>302</v>
      </c>
      <c r="BI1353" s="5" t="s">
        <v>303</v>
      </c>
      <c r="BJ1353" s="5" t="s">
        <v>240</v>
      </c>
      <c r="BK1353" s="8">
        <f>0</f>
        <v>0</v>
      </c>
      <c r="BL1353" s="7">
        <f>0</f>
        <v>0</v>
      </c>
      <c r="BM1353" s="5" t="s">
        <v>258</v>
      </c>
      <c r="BN1353" s="5" t="s">
        <v>259</v>
      </c>
      <c r="CB1353" s="5" t="s">
        <v>240</v>
      </c>
      <c r="CC1353" s="5" t="s">
        <v>240</v>
      </c>
      <c r="CG1353" s="5" t="s">
        <v>304</v>
      </c>
      <c r="CH1353" s="5" t="s">
        <v>305</v>
      </c>
      <c r="CI1353" s="5" t="s">
        <v>240</v>
      </c>
      <c r="CL1353" s="6" t="s">
        <v>261</v>
      </c>
      <c r="CM1353" s="5" t="s">
        <v>240</v>
      </c>
      <c r="CN1353" s="5" t="s">
        <v>263</v>
      </c>
      <c r="CO1353" s="5" t="s">
        <v>240</v>
      </c>
      <c r="CP1353" s="5" t="s">
        <v>240</v>
      </c>
      <c r="CQ1353" s="5">
        <v>0</v>
      </c>
      <c r="CR1353" s="5" t="s">
        <v>306</v>
      </c>
      <c r="CS1353" s="5" t="s">
        <v>307</v>
      </c>
      <c r="CT1353" s="5" t="s">
        <v>307</v>
      </c>
      <c r="CU1353" s="5" t="s">
        <v>260</v>
      </c>
      <c r="CX1353" s="7">
        <f>1</f>
        <v>1</v>
      </c>
      <c r="CY1353" s="7">
        <f>0</f>
        <v>0</v>
      </c>
      <c r="DA1353" s="7">
        <f>0</f>
        <v>0</v>
      </c>
      <c r="DC1353" s="5" t="s">
        <v>812</v>
      </c>
      <c r="DD1353" s="5" t="s">
        <v>240</v>
      </c>
      <c r="DF1353" s="5" t="s">
        <v>812</v>
      </c>
      <c r="DG1353" s="7">
        <f>258</f>
        <v>258</v>
      </c>
      <c r="DI1353" s="5" t="s">
        <v>240</v>
      </c>
      <c r="DJ1353" s="5" t="s">
        <v>240</v>
      </c>
      <c r="DK1353" s="5" t="s">
        <v>240</v>
      </c>
      <c r="DL1353" s="5" t="s">
        <v>240</v>
      </c>
      <c r="DP1353" s="5" t="s">
        <v>240</v>
      </c>
      <c r="DQ1353" s="5" t="s">
        <v>240</v>
      </c>
      <c r="DR1353" s="5" t="s">
        <v>240</v>
      </c>
      <c r="DS1353" s="5" t="s">
        <v>240</v>
      </c>
      <c r="DV1353" s="5" t="s">
        <v>813</v>
      </c>
      <c r="DW1353" s="5" t="s">
        <v>2839</v>
      </c>
      <c r="HO1353" s="5" t="s">
        <v>312</v>
      </c>
    </row>
    <row r="1354" spans="1:223" x14ac:dyDescent="0.4">
      <c r="A1354" s="5">
        <v>3029</v>
      </c>
      <c r="B1354" s="5">
        <v>1</v>
      </c>
      <c r="C1354" s="5">
        <v>1</v>
      </c>
      <c r="D1354" s="5" t="s">
        <v>297</v>
      </c>
      <c r="E1354" s="5" t="s">
        <v>245</v>
      </c>
      <c r="F1354" s="5" t="s">
        <v>254</v>
      </c>
      <c r="G1354" s="5" t="s">
        <v>240</v>
      </c>
      <c r="H1354" s="6" t="s">
        <v>4852</v>
      </c>
      <c r="I1354" s="5" t="s">
        <v>295</v>
      </c>
      <c r="J1354" s="8">
        <f>2113</f>
        <v>2113</v>
      </c>
      <c r="K1354" s="5" t="s">
        <v>308</v>
      </c>
      <c r="L1354" s="7">
        <f>1</f>
        <v>1</v>
      </c>
      <c r="M1354" s="7">
        <f>1</f>
        <v>1</v>
      </c>
      <c r="N1354" s="5" t="s">
        <v>242</v>
      </c>
      <c r="O1354" s="5">
        <v>1</v>
      </c>
      <c r="P1354" s="5" t="s">
        <v>294</v>
      </c>
      <c r="Q1354" s="5" t="s">
        <v>266</v>
      </c>
      <c r="R1354" s="5" t="s">
        <v>240</v>
      </c>
      <c r="S1354" s="5" t="s">
        <v>240</v>
      </c>
      <c r="T1354" s="5" t="s">
        <v>296</v>
      </c>
      <c r="U1354" s="5" t="s">
        <v>244</v>
      </c>
      <c r="V1354" s="5" t="s">
        <v>240</v>
      </c>
      <c r="Y1354" s="5" t="s">
        <v>240</v>
      </c>
      <c r="Z1354" s="6" t="s">
        <v>298</v>
      </c>
      <c r="AB1354" s="6" t="s">
        <v>240</v>
      </c>
      <c r="AE1354" s="6" t="s">
        <v>299</v>
      </c>
      <c r="AF1354" s="5" t="s">
        <v>248</v>
      </c>
      <c r="AG1354" s="5" t="s">
        <v>249</v>
      </c>
      <c r="AW1354" s="5" t="s">
        <v>251</v>
      </c>
      <c r="AX1354" s="5" t="s">
        <v>240</v>
      </c>
      <c r="AY1354" s="5" t="s">
        <v>253</v>
      </c>
      <c r="AZ1354" s="5" t="s">
        <v>240</v>
      </c>
      <c r="BA1354" s="5" t="s">
        <v>255</v>
      </c>
      <c r="BB1354" s="5" t="s">
        <v>240</v>
      </c>
      <c r="BD1354" s="5" t="s">
        <v>240</v>
      </c>
      <c r="BF1354" s="5" t="s">
        <v>301</v>
      </c>
      <c r="BG1354" s="6" t="s">
        <v>299</v>
      </c>
      <c r="BH1354" s="5" t="s">
        <v>302</v>
      </c>
      <c r="BI1354" s="5" t="s">
        <v>303</v>
      </c>
      <c r="BJ1354" s="5" t="s">
        <v>240</v>
      </c>
      <c r="BK1354" s="8">
        <f>0</f>
        <v>0</v>
      </c>
      <c r="BL1354" s="7">
        <f>0</f>
        <v>0</v>
      </c>
      <c r="BM1354" s="5" t="s">
        <v>258</v>
      </c>
      <c r="BN1354" s="5" t="s">
        <v>259</v>
      </c>
      <c r="CB1354" s="5" t="s">
        <v>240</v>
      </c>
      <c r="CC1354" s="5" t="s">
        <v>240</v>
      </c>
      <c r="CG1354" s="5" t="s">
        <v>304</v>
      </c>
      <c r="CH1354" s="5" t="s">
        <v>305</v>
      </c>
      <c r="CI1354" s="5" t="s">
        <v>240</v>
      </c>
      <c r="CL1354" s="6" t="s">
        <v>261</v>
      </c>
      <c r="CM1354" s="5" t="s">
        <v>240</v>
      </c>
      <c r="CN1354" s="5" t="s">
        <v>263</v>
      </c>
      <c r="CO1354" s="5" t="s">
        <v>240</v>
      </c>
      <c r="CP1354" s="5" t="s">
        <v>240</v>
      </c>
      <c r="CQ1354" s="5">
        <v>0</v>
      </c>
      <c r="CR1354" s="5" t="s">
        <v>306</v>
      </c>
      <c r="CS1354" s="5" t="s">
        <v>307</v>
      </c>
      <c r="CT1354" s="5" t="s">
        <v>307</v>
      </c>
      <c r="CU1354" s="5" t="s">
        <v>260</v>
      </c>
      <c r="CX1354" s="7">
        <f>1</f>
        <v>1</v>
      </c>
      <c r="CY1354" s="7">
        <f>0</f>
        <v>0</v>
      </c>
      <c r="DA1354" s="7">
        <f>0</f>
        <v>0</v>
      </c>
      <c r="DC1354" s="5" t="s">
        <v>812</v>
      </c>
      <c r="DD1354" s="5" t="s">
        <v>240</v>
      </c>
      <c r="DF1354" s="5" t="s">
        <v>812</v>
      </c>
      <c r="DG1354" s="7">
        <f>187</f>
        <v>187</v>
      </c>
      <c r="DI1354" s="5" t="s">
        <v>240</v>
      </c>
      <c r="DJ1354" s="5" t="s">
        <v>240</v>
      </c>
      <c r="DK1354" s="5" t="s">
        <v>240</v>
      </c>
      <c r="DL1354" s="5" t="s">
        <v>240</v>
      </c>
      <c r="DP1354" s="5" t="s">
        <v>240</v>
      </c>
      <c r="DQ1354" s="5" t="s">
        <v>240</v>
      </c>
      <c r="DR1354" s="5" t="s">
        <v>240</v>
      </c>
      <c r="DS1354" s="5" t="s">
        <v>240</v>
      </c>
      <c r="DV1354" s="5" t="s">
        <v>813</v>
      </c>
      <c r="DW1354" s="5" t="s">
        <v>2841</v>
      </c>
      <c r="HO1354" s="5" t="s">
        <v>312</v>
      </c>
    </row>
    <row r="1355" spans="1:223" x14ac:dyDescent="0.4">
      <c r="A1355" s="5">
        <v>3030</v>
      </c>
      <c r="B1355" s="5">
        <v>1</v>
      </c>
      <c r="C1355" s="5">
        <v>1</v>
      </c>
      <c r="D1355" s="5" t="s">
        <v>297</v>
      </c>
      <c r="E1355" s="5" t="s">
        <v>245</v>
      </c>
      <c r="F1355" s="5" t="s">
        <v>254</v>
      </c>
      <c r="G1355" s="5" t="s">
        <v>240</v>
      </c>
      <c r="H1355" s="6" t="s">
        <v>4851</v>
      </c>
      <c r="I1355" s="5" t="s">
        <v>295</v>
      </c>
      <c r="J1355" s="8">
        <f>1891</f>
        <v>1891</v>
      </c>
      <c r="K1355" s="5" t="s">
        <v>308</v>
      </c>
      <c r="L1355" s="7">
        <f>1</f>
        <v>1</v>
      </c>
      <c r="M1355" s="7">
        <f>1</f>
        <v>1</v>
      </c>
      <c r="N1355" s="5" t="s">
        <v>242</v>
      </c>
      <c r="O1355" s="5">
        <v>1</v>
      </c>
      <c r="P1355" s="5" t="s">
        <v>294</v>
      </c>
      <c r="Q1355" s="5" t="s">
        <v>266</v>
      </c>
      <c r="R1355" s="5" t="s">
        <v>240</v>
      </c>
      <c r="S1355" s="5" t="s">
        <v>240</v>
      </c>
      <c r="T1355" s="5" t="s">
        <v>296</v>
      </c>
      <c r="U1355" s="5" t="s">
        <v>244</v>
      </c>
      <c r="V1355" s="5" t="s">
        <v>240</v>
      </c>
      <c r="Y1355" s="5" t="s">
        <v>240</v>
      </c>
      <c r="Z1355" s="6" t="s">
        <v>298</v>
      </c>
      <c r="AB1355" s="6" t="s">
        <v>240</v>
      </c>
      <c r="AE1355" s="6" t="s">
        <v>299</v>
      </c>
      <c r="AF1355" s="5" t="s">
        <v>248</v>
      </c>
      <c r="AG1355" s="5" t="s">
        <v>249</v>
      </c>
      <c r="AW1355" s="5" t="s">
        <v>251</v>
      </c>
      <c r="AX1355" s="5" t="s">
        <v>240</v>
      </c>
      <c r="AY1355" s="5" t="s">
        <v>253</v>
      </c>
      <c r="AZ1355" s="5" t="s">
        <v>240</v>
      </c>
      <c r="BA1355" s="5" t="s">
        <v>255</v>
      </c>
      <c r="BB1355" s="5" t="s">
        <v>240</v>
      </c>
      <c r="BD1355" s="5" t="s">
        <v>240</v>
      </c>
      <c r="BF1355" s="5" t="s">
        <v>301</v>
      </c>
      <c r="BG1355" s="6" t="s">
        <v>299</v>
      </c>
      <c r="BH1355" s="5" t="s">
        <v>302</v>
      </c>
      <c r="BI1355" s="5" t="s">
        <v>303</v>
      </c>
      <c r="BJ1355" s="5" t="s">
        <v>240</v>
      </c>
      <c r="BK1355" s="8">
        <f>0</f>
        <v>0</v>
      </c>
      <c r="BL1355" s="7">
        <f>0</f>
        <v>0</v>
      </c>
      <c r="BM1355" s="5" t="s">
        <v>258</v>
      </c>
      <c r="BN1355" s="5" t="s">
        <v>259</v>
      </c>
      <c r="CB1355" s="5" t="s">
        <v>240</v>
      </c>
      <c r="CC1355" s="5" t="s">
        <v>240</v>
      </c>
      <c r="CG1355" s="5" t="s">
        <v>304</v>
      </c>
      <c r="CH1355" s="5" t="s">
        <v>305</v>
      </c>
      <c r="CI1355" s="5" t="s">
        <v>240</v>
      </c>
      <c r="CL1355" s="6" t="s">
        <v>261</v>
      </c>
      <c r="CM1355" s="5" t="s">
        <v>240</v>
      </c>
      <c r="CN1355" s="5" t="s">
        <v>263</v>
      </c>
      <c r="CO1355" s="5" t="s">
        <v>240</v>
      </c>
      <c r="CP1355" s="5" t="s">
        <v>240</v>
      </c>
      <c r="CQ1355" s="5">
        <v>0</v>
      </c>
      <c r="CR1355" s="5" t="s">
        <v>306</v>
      </c>
      <c r="CS1355" s="5" t="s">
        <v>307</v>
      </c>
      <c r="CT1355" s="5" t="s">
        <v>307</v>
      </c>
      <c r="CU1355" s="5" t="s">
        <v>260</v>
      </c>
      <c r="CX1355" s="7">
        <f>1</f>
        <v>1</v>
      </c>
      <c r="CY1355" s="7">
        <f>0</f>
        <v>0</v>
      </c>
      <c r="DA1355" s="7">
        <f>0</f>
        <v>0</v>
      </c>
      <c r="DC1355" s="5" t="s">
        <v>812</v>
      </c>
      <c r="DD1355" s="5" t="s">
        <v>240</v>
      </c>
      <c r="DF1355" s="5" t="s">
        <v>812</v>
      </c>
      <c r="DG1355" s="7">
        <f>174</f>
        <v>174</v>
      </c>
      <c r="DI1355" s="5" t="s">
        <v>240</v>
      </c>
      <c r="DJ1355" s="5" t="s">
        <v>240</v>
      </c>
      <c r="DK1355" s="5" t="s">
        <v>240</v>
      </c>
      <c r="DL1355" s="5" t="s">
        <v>240</v>
      </c>
      <c r="DP1355" s="5" t="s">
        <v>240</v>
      </c>
      <c r="DQ1355" s="5" t="s">
        <v>240</v>
      </c>
      <c r="DR1355" s="5" t="s">
        <v>240</v>
      </c>
      <c r="DS1355" s="5" t="s">
        <v>240</v>
      </c>
      <c r="DV1355" s="5" t="s">
        <v>813</v>
      </c>
      <c r="DW1355" s="5" t="s">
        <v>2843</v>
      </c>
      <c r="HO1355" s="5" t="s">
        <v>312</v>
      </c>
    </row>
    <row r="1356" spans="1:223" x14ac:dyDescent="0.4">
      <c r="A1356" s="5">
        <v>3031</v>
      </c>
      <c r="B1356" s="5">
        <v>1</v>
      </c>
      <c r="C1356" s="5">
        <v>1</v>
      </c>
      <c r="D1356" s="5" t="s">
        <v>297</v>
      </c>
      <c r="E1356" s="5" t="s">
        <v>245</v>
      </c>
      <c r="F1356" s="5" t="s">
        <v>254</v>
      </c>
      <c r="G1356" s="5" t="s">
        <v>240</v>
      </c>
      <c r="H1356" s="6" t="s">
        <v>4849</v>
      </c>
      <c r="I1356" s="5" t="s">
        <v>295</v>
      </c>
      <c r="J1356" s="8">
        <f>2642</f>
        <v>2642</v>
      </c>
      <c r="K1356" s="5" t="s">
        <v>308</v>
      </c>
      <c r="L1356" s="7">
        <f>1</f>
        <v>1</v>
      </c>
      <c r="M1356" s="7">
        <f>1</f>
        <v>1</v>
      </c>
      <c r="N1356" s="5" t="s">
        <v>242</v>
      </c>
      <c r="O1356" s="5">
        <v>1</v>
      </c>
      <c r="P1356" s="5" t="s">
        <v>294</v>
      </c>
      <c r="Q1356" s="5" t="s">
        <v>266</v>
      </c>
      <c r="R1356" s="5" t="s">
        <v>240</v>
      </c>
      <c r="S1356" s="5" t="s">
        <v>240</v>
      </c>
      <c r="T1356" s="5" t="s">
        <v>296</v>
      </c>
      <c r="U1356" s="5" t="s">
        <v>244</v>
      </c>
      <c r="V1356" s="5" t="s">
        <v>240</v>
      </c>
      <c r="Y1356" s="5" t="s">
        <v>240</v>
      </c>
      <c r="Z1356" s="6" t="s">
        <v>298</v>
      </c>
      <c r="AB1356" s="6" t="s">
        <v>240</v>
      </c>
      <c r="AE1356" s="6" t="s">
        <v>299</v>
      </c>
      <c r="AF1356" s="5" t="s">
        <v>248</v>
      </c>
      <c r="AG1356" s="5" t="s">
        <v>249</v>
      </c>
      <c r="AW1356" s="5" t="s">
        <v>251</v>
      </c>
      <c r="AX1356" s="5" t="s">
        <v>240</v>
      </c>
      <c r="AY1356" s="5" t="s">
        <v>253</v>
      </c>
      <c r="AZ1356" s="5" t="s">
        <v>240</v>
      </c>
      <c r="BA1356" s="5" t="s">
        <v>255</v>
      </c>
      <c r="BB1356" s="5" t="s">
        <v>240</v>
      </c>
      <c r="BD1356" s="5" t="s">
        <v>240</v>
      </c>
      <c r="BF1356" s="5" t="s">
        <v>301</v>
      </c>
      <c r="BG1356" s="6" t="s">
        <v>299</v>
      </c>
      <c r="BH1356" s="5" t="s">
        <v>302</v>
      </c>
      <c r="BI1356" s="5" t="s">
        <v>303</v>
      </c>
      <c r="BJ1356" s="5" t="s">
        <v>240</v>
      </c>
      <c r="BK1356" s="8">
        <f>0</f>
        <v>0</v>
      </c>
      <c r="BL1356" s="7">
        <f>0</f>
        <v>0</v>
      </c>
      <c r="BM1356" s="5" t="s">
        <v>258</v>
      </c>
      <c r="BN1356" s="5" t="s">
        <v>259</v>
      </c>
      <c r="CB1356" s="5" t="s">
        <v>240</v>
      </c>
      <c r="CC1356" s="5" t="s">
        <v>240</v>
      </c>
      <c r="CG1356" s="5" t="s">
        <v>304</v>
      </c>
      <c r="CH1356" s="5" t="s">
        <v>305</v>
      </c>
      <c r="CI1356" s="5" t="s">
        <v>240</v>
      </c>
      <c r="CL1356" s="6" t="s">
        <v>261</v>
      </c>
      <c r="CM1356" s="5" t="s">
        <v>240</v>
      </c>
      <c r="CN1356" s="5" t="s">
        <v>263</v>
      </c>
      <c r="CO1356" s="5" t="s">
        <v>240</v>
      </c>
      <c r="CP1356" s="5" t="s">
        <v>240</v>
      </c>
      <c r="CQ1356" s="5">
        <v>0</v>
      </c>
      <c r="CR1356" s="5" t="s">
        <v>306</v>
      </c>
      <c r="CS1356" s="5" t="s">
        <v>307</v>
      </c>
      <c r="CT1356" s="5" t="s">
        <v>307</v>
      </c>
      <c r="CU1356" s="5" t="s">
        <v>260</v>
      </c>
      <c r="CX1356" s="7">
        <f>1</f>
        <v>1</v>
      </c>
      <c r="CY1356" s="7">
        <f>0</f>
        <v>0</v>
      </c>
      <c r="DA1356" s="7">
        <f>0</f>
        <v>0</v>
      </c>
      <c r="DC1356" s="5" t="s">
        <v>812</v>
      </c>
      <c r="DD1356" s="5" t="s">
        <v>240</v>
      </c>
      <c r="DF1356" s="5" t="s">
        <v>812</v>
      </c>
      <c r="DG1356" s="7">
        <f>156</f>
        <v>156</v>
      </c>
      <c r="DI1356" s="5" t="s">
        <v>240</v>
      </c>
      <c r="DJ1356" s="5" t="s">
        <v>240</v>
      </c>
      <c r="DK1356" s="5" t="s">
        <v>240</v>
      </c>
      <c r="DL1356" s="5" t="s">
        <v>240</v>
      </c>
      <c r="DP1356" s="5" t="s">
        <v>240</v>
      </c>
      <c r="DQ1356" s="5" t="s">
        <v>240</v>
      </c>
      <c r="DR1356" s="5" t="s">
        <v>240</v>
      </c>
      <c r="DS1356" s="5" t="s">
        <v>240</v>
      </c>
      <c r="DV1356" s="5" t="s">
        <v>813</v>
      </c>
      <c r="DW1356" s="5" t="s">
        <v>2845</v>
      </c>
      <c r="HO1356" s="5" t="s">
        <v>312</v>
      </c>
    </row>
    <row r="1357" spans="1:223" x14ac:dyDescent="0.4">
      <c r="A1357" s="5">
        <v>3032</v>
      </c>
      <c r="B1357" s="5">
        <v>1</v>
      </c>
      <c r="C1357" s="5">
        <v>1</v>
      </c>
      <c r="D1357" s="5" t="s">
        <v>297</v>
      </c>
      <c r="E1357" s="5" t="s">
        <v>245</v>
      </c>
      <c r="F1357" s="5" t="s">
        <v>254</v>
      </c>
      <c r="G1357" s="5" t="s">
        <v>240</v>
      </c>
      <c r="H1357" s="6" t="s">
        <v>4848</v>
      </c>
      <c r="I1357" s="5" t="s">
        <v>295</v>
      </c>
      <c r="J1357" s="8">
        <f>598</f>
        <v>598</v>
      </c>
      <c r="K1357" s="5" t="s">
        <v>308</v>
      </c>
      <c r="L1357" s="7">
        <f>1</f>
        <v>1</v>
      </c>
      <c r="M1357" s="7">
        <f>1</f>
        <v>1</v>
      </c>
      <c r="N1357" s="5" t="s">
        <v>242</v>
      </c>
      <c r="O1357" s="5">
        <v>1</v>
      </c>
      <c r="P1357" s="5" t="s">
        <v>294</v>
      </c>
      <c r="Q1357" s="5" t="s">
        <v>266</v>
      </c>
      <c r="R1357" s="5" t="s">
        <v>240</v>
      </c>
      <c r="S1357" s="5" t="s">
        <v>240</v>
      </c>
      <c r="T1357" s="5" t="s">
        <v>296</v>
      </c>
      <c r="U1357" s="5" t="s">
        <v>244</v>
      </c>
      <c r="V1357" s="5" t="s">
        <v>240</v>
      </c>
      <c r="Y1357" s="5" t="s">
        <v>240</v>
      </c>
      <c r="Z1357" s="6" t="s">
        <v>298</v>
      </c>
      <c r="AB1357" s="6" t="s">
        <v>240</v>
      </c>
      <c r="AE1357" s="6" t="s">
        <v>299</v>
      </c>
      <c r="AF1357" s="5" t="s">
        <v>248</v>
      </c>
      <c r="AG1357" s="5" t="s">
        <v>249</v>
      </c>
      <c r="AW1357" s="5" t="s">
        <v>251</v>
      </c>
      <c r="AX1357" s="5" t="s">
        <v>240</v>
      </c>
      <c r="AY1357" s="5" t="s">
        <v>253</v>
      </c>
      <c r="AZ1357" s="5" t="s">
        <v>240</v>
      </c>
      <c r="BA1357" s="5" t="s">
        <v>255</v>
      </c>
      <c r="BB1357" s="5" t="s">
        <v>240</v>
      </c>
      <c r="BD1357" s="5" t="s">
        <v>240</v>
      </c>
      <c r="BF1357" s="5" t="s">
        <v>301</v>
      </c>
      <c r="BG1357" s="6" t="s">
        <v>299</v>
      </c>
      <c r="BH1357" s="5" t="s">
        <v>302</v>
      </c>
      <c r="BI1357" s="5" t="s">
        <v>303</v>
      </c>
      <c r="BJ1357" s="5" t="s">
        <v>240</v>
      </c>
      <c r="BK1357" s="8">
        <f>0</f>
        <v>0</v>
      </c>
      <c r="BL1357" s="7">
        <f>0</f>
        <v>0</v>
      </c>
      <c r="BM1357" s="5" t="s">
        <v>258</v>
      </c>
      <c r="BN1357" s="5" t="s">
        <v>259</v>
      </c>
      <c r="CB1357" s="5" t="s">
        <v>240</v>
      </c>
      <c r="CC1357" s="5" t="s">
        <v>240</v>
      </c>
      <c r="CG1357" s="5" t="s">
        <v>304</v>
      </c>
      <c r="CH1357" s="5" t="s">
        <v>305</v>
      </c>
      <c r="CI1357" s="5" t="s">
        <v>240</v>
      </c>
      <c r="CL1357" s="6" t="s">
        <v>261</v>
      </c>
      <c r="CM1357" s="5" t="s">
        <v>240</v>
      </c>
      <c r="CN1357" s="5" t="s">
        <v>263</v>
      </c>
      <c r="CO1357" s="5" t="s">
        <v>240</v>
      </c>
      <c r="CP1357" s="5" t="s">
        <v>240</v>
      </c>
      <c r="CQ1357" s="5">
        <v>0</v>
      </c>
      <c r="CR1357" s="5" t="s">
        <v>306</v>
      </c>
      <c r="CS1357" s="5" t="s">
        <v>307</v>
      </c>
      <c r="CT1357" s="5" t="s">
        <v>307</v>
      </c>
      <c r="CU1357" s="5" t="s">
        <v>260</v>
      </c>
      <c r="CX1357" s="7">
        <f>1</f>
        <v>1</v>
      </c>
      <c r="CY1357" s="7">
        <f>0</f>
        <v>0</v>
      </c>
      <c r="DA1357" s="7">
        <f>0</f>
        <v>0</v>
      </c>
      <c r="DC1357" s="5" t="s">
        <v>812</v>
      </c>
      <c r="DD1357" s="5" t="s">
        <v>240</v>
      </c>
      <c r="DF1357" s="5" t="s">
        <v>812</v>
      </c>
      <c r="DG1357" s="7">
        <f>3399</f>
        <v>3399</v>
      </c>
      <c r="DI1357" s="5" t="s">
        <v>240</v>
      </c>
      <c r="DJ1357" s="5" t="s">
        <v>240</v>
      </c>
      <c r="DK1357" s="5" t="s">
        <v>240</v>
      </c>
      <c r="DL1357" s="5" t="s">
        <v>240</v>
      </c>
      <c r="DP1357" s="5" t="s">
        <v>240</v>
      </c>
      <c r="DQ1357" s="5" t="s">
        <v>240</v>
      </c>
      <c r="DR1357" s="5" t="s">
        <v>240</v>
      </c>
      <c r="DS1357" s="5" t="s">
        <v>240</v>
      </c>
      <c r="DV1357" s="5" t="s">
        <v>813</v>
      </c>
      <c r="DW1357" s="5" t="s">
        <v>2847</v>
      </c>
      <c r="HO1357" s="5" t="s">
        <v>312</v>
      </c>
    </row>
    <row r="1358" spans="1:223" x14ac:dyDescent="0.4">
      <c r="A1358" s="5">
        <v>3033</v>
      </c>
      <c r="B1358" s="5">
        <v>1</v>
      </c>
      <c r="C1358" s="5">
        <v>1</v>
      </c>
      <c r="D1358" s="5" t="s">
        <v>297</v>
      </c>
      <c r="E1358" s="5" t="s">
        <v>245</v>
      </c>
      <c r="F1358" s="5" t="s">
        <v>254</v>
      </c>
      <c r="G1358" s="5" t="s">
        <v>240</v>
      </c>
      <c r="H1358" s="6" t="s">
        <v>4846</v>
      </c>
      <c r="I1358" s="5" t="s">
        <v>295</v>
      </c>
      <c r="J1358" s="8">
        <f>1142</f>
        <v>1142</v>
      </c>
      <c r="K1358" s="5" t="s">
        <v>308</v>
      </c>
      <c r="L1358" s="7">
        <f>1</f>
        <v>1</v>
      </c>
      <c r="M1358" s="7">
        <f>1</f>
        <v>1</v>
      </c>
      <c r="N1358" s="5" t="s">
        <v>242</v>
      </c>
      <c r="O1358" s="5">
        <v>1</v>
      </c>
      <c r="P1358" s="5" t="s">
        <v>294</v>
      </c>
      <c r="Q1358" s="5" t="s">
        <v>266</v>
      </c>
      <c r="R1358" s="5" t="s">
        <v>240</v>
      </c>
      <c r="S1358" s="5" t="s">
        <v>240</v>
      </c>
      <c r="T1358" s="5" t="s">
        <v>296</v>
      </c>
      <c r="U1358" s="5" t="s">
        <v>244</v>
      </c>
      <c r="V1358" s="5" t="s">
        <v>240</v>
      </c>
      <c r="Y1358" s="5" t="s">
        <v>240</v>
      </c>
      <c r="Z1358" s="6" t="s">
        <v>298</v>
      </c>
      <c r="AB1358" s="6" t="s">
        <v>240</v>
      </c>
      <c r="AE1358" s="6" t="s">
        <v>299</v>
      </c>
      <c r="AF1358" s="5" t="s">
        <v>248</v>
      </c>
      <c r="AG1358" s="5" t="s">
        <v>249</v>
      </c>
      <c r="AW1358" s="5" t="s">
        <v>251</v>
      </c>
      <c r="AX1358" s="5" t="s">
        <v>240</v>
      </c>
      <c r="AY1358" s="5" t="s">
        <v>253</v>
      </c>
      <c r="AZ1358" s="5" t="s">
        <v>240</v>
      </c>
      <c r="BA1358" s="5" t="s">
        <v>255</v>
      </c>
      <c r="BB1358" s="5" t="s">
        <v>240</v>
      </c>
      <c r="BD1358" s="5" t="s">
        <v>240</v>
      </c>
      <c r="BF1358" s="5" t="s">
        <v>301</v>
      </c>
      <c r="BG1358" s="6" t="s">
        <v>299</v>
      </c>
      <c r="BH1358" s="5" t="s">
        <v>302</v>
      </c>
      <c r="BI1358" s="5" t="s">
        <v>303</v>
      </c>
      <c r="BJ1358" s="5" t="s">
        <v>240</v>
      </c>
      <c r="BK1358" s="8">
        <f>0</f>
        <v>0</v>
      </c>
      <c r="BL1358" s="7">
        <f>0</f>
        <v>0</v>
      </c>
      <c r="BM1358" s="5" t="s">
        <v>258</v>
      </c>
      <c r="BN1358" s="5" t="s">
        <v>259</v>
      </c>
      <c r="CB1358" s="5" t="s">
        <v>240</v>
      </c>
      <c r="CC1358" s="5" t="s">
        <v>240</v>
      </c>
      <c r="CG1358" s="5" t="s">
        <v>304</v>
      </c>
      <c r="CH1358" s="5" t="s">
        <v>305</v>
      </c>
      <c r="CI1358" s="5" t="s">
        <v>240</v>
      </c>
      <c r="CL1358" s="6" t="s">
        <v>261</v>
      </c>
      <c r="CM1358" s="5" t="s">
        <v>240</v>
      </c>
      <c r="CN1358" s="5" t="s">
        <v>263</v>
      </c>
      <c r="CO1358" s="5" t="s">
        <v>240</v>
      </c>
      <c r="CP1358" s="5" t="s">
        <v>240</v>
      </c>
      <c r="CQ1358" s="5">
        <v>0</v>
      </c>
      <c r="CR1358" s="5" t="s">
        <v>306</v>
      </c>
      <c r="CS1358" s="5" t="s">
        <v>307</v>
      </c>
      <c r="CT1358" s="5" t="s">
        <v>307</v>
      </c>
      <c r="CU1358" s="5" t="s">
        <v>260</v>
      </c>
      <c r="CX1358" s="7">
        <f>1</f>
        <v>1</v>
      </c>
      <c r="CY1358" s="7">
        <f>0</f>
        <v>0</v>
      </c>
      <c r="DA1358" s="7">
        <f>0</f>
        <v>0</v>
      </c>
      <c r="DC1358" s="5" t="s">
        <v>812</v>
      </c>
      <c r="DD1358" s="5" t="s">
        <v>240</v>
      </c>
      <c r="DF1358" s="5" t="s">
        <v>812</v>
      </c>
      <c r="DG1358" s="7">
        <f>2556</f>
        <v>2556</v>
      </c>
      <c r="DI1358" s="5" t="s">
        <v>240</v>
      </c>
      <c r="DJ1358" s="5" t="s">
        <v>240</v>
      </c>
      <c r="DK1358" s="5" t="s">
        <v>240</v>
      </c>
      <c r="DL1358" s="5" t="s">
        <v>240</v>
      </c>
      <c r="DP1358" s="5" t="s">
        <v>240</v>
      </c>
      <c r="DQ1358" s="5" t="s">
        <v>240</v>
      </c>
      <c r="DR1358" s="5" t="s">
        <v>240</v>
      </c>
      <c r="DS1358" s="5" t="s">
        <v>240</v>
      </c>
      <c r="DV1358" s="5" t="s">
        <v>813</v>
      </c>
      <c r="DW1358" s="5" t="s">
        <v>2849</v>
      </c>
      <c r="HO1358" s="5" t="s">
        <v>312</v>
      </c>
    </row>
    <row r="1359" spans="1:223" x14ac:dyDescent="0.4">
      <c r="A1359" s="5">
        <v>3034</v>
      </c>
      <c r="B1359" s="5">
        <v>1</v>
      </c>
      <c r="C1359" s="5">
        <v>1</v>
      </c>
      <c r="D1359" s="5" t="s">
        <v>297</v>
      </c>
      <c r="E1359" s="5" t="s">
        <v>245</v>
      </c>
      <c r="F1359" s="5" t="s">
        <v>254</v>
      </c>
      <c r="G1359" s="5" t="s">
        <v>240</v>
      </c>
      <c r="H1359" s="6" t="s">
        <v>4845</v>
      </c>
      <c r="I1359" s="5" t="s">
        <v>295</v>
      </c>
      <c r="J1359" s="8">
        <f>2476</f>
        <v>2476</v>
      </c>
      <c r="K1359" s="5" t="s">
        <v>308</v>
      </c>
      <c r="L1359" s="7">
        <f>1</f>
        <v>1</v>
      </c>
      <c r="M1359" s="7">
        <f>1</f>
        <v>1</v>
      </c>
      <c r="N1359" s="5" t="s">
        <v>242</v>
      </c>
      <c r="O1359" s="5">
        <v>1</v>
      </c>
      <c r="P1359" s="5" t="s">
        <v>294</v>
      </c>
      <c r="Q1359" s="5" t="s">
        <v>266</v>
      </c>
      <c r="R1359" s="5" t="s">
        <v>240</v>
      </c>
      <c r="S1359" s="5" t="s">
        <v>240</v>
      </c>
      <c r="T1359" s="5" t="s">
        <v>296</v>
      </c>
      <c r="U1359" s="5" t="s">
        <v>244</v>
      </c>
      <c r="V1359" s="5" t="s">
        <v>240</v>
      </c>
      <c r="Y1359" s="5" t="s">
        <v>240</v>
      </c>
      <c r="Z1359" s="6" t="s">
        <v>298</v>
      </c>
      <c r="AB1359" s="6" t="s">
        <v>240</v>
      </c>
      <c r="AE1359" s="6" t="s">
        <v>299</v>
      </c>
      <c r="AF1359" s="5" t="s">
        <v>248</v>
      </c>
      <c r="AG1359" s="5" t="s">
        <v>249</v>
      </c>
      <c r="AW1359" s="5" t="s">
        <v>251</v>
      </c>
      <c r="AX1359" s="5" t="s">
        <v>240</v>
      </c>
      <c r="AY1359" s="5" t="s">
        <v>253</v>
      </c>
      <c r="AZ1359" s="5" t="s">
        <v>240</v>
      </c>
      <c r="BA1359" s="5" t="s">
        <v>255</v>
      </c>
      <c r="BB1359" s="5" t="s">
        <v>240</v>
      </c>
      <c r="BD1359" s="5" t="s">
        <v>240</v>
      </c>
      <c r="BF1359" s="5" t="s">
        <v>301</v>
      </c>
      <c r="BG1359" s="6" t="s">
        <v>299</v>
      </c>
      <c r="BH1359" s="5" t="s">
        <v>302</v>
      </c>
      <c r="BI1359" s="5" t="s">
        <v>303</v>
      </c>
      <c r="BJ1359" s="5" t="s">
        <v>240</v>
      </c>
      <c r="BK1359" s="8">
        <f>0</f>
        <v>0</v>
      </c>
      <c r="BL1359" s="7">
        <f>0</f>
        <v>0</v>
      </c>
      <c r="BM1359" s="5" t="s">
        <v>258</v>
      </c>
      <c r="BN1359" s="5" t="s">
        <v>259</v>
      </c>
      <c r="CB1359" s="5" t="s">
        <v>240</v>
      </c>
      <c r="CC1359" s="5" t="s">
        <v>240</v>
      </c>
      <c r="CG1359" s="5" t="s">
        <v>304</v>
      </c>
      <c r="CH1359" s="5" t="s">
        <v>305</v>
      </c>
      <c r="CI1359" s="5" t="s">
        <v>240</v>
      </c>
      <c r="CL1359" s="6" t="s">
        <v>261</v>
      </c>
      <c r="CM1359" s="5" t="s">
        <v>240</v>
      </c>
      <c r="CN1359" s="5" t="s">
        <v>263</v>
      </c>
      <c r="CO1359" s="5" t="s">
        <v>240</v>
      </c>
      <c r="CP1359" s="5" t="s">
        <v>240</v>
      </c>
      <c r="CQ1359" s="5">
        <v>0</v>
      </c>
      <c r="CR1359" s="5" t="s">
        <v>306</v>
      </c>
      <c r="CS1359" s="5" t="s">
        <v>307</v>
      </c>
      <c r="CT1359" s="5" t="s">
        <v>307</v>
      </c>
      <c r="CU1359" s="5" t="s">
        <v>260</v>
      </c>
      <c r="CX1359" s="7">
        <f>1</f>
        <v>1</v>
      </c>
      <c r="CY1359" s="7">
        <f>0</f>
        <v>0</v>
      </c>
      <c r="DA1359" s="7">
        <f>0</f>
        <v>0</v>
      </c>
      <c r="DC1359" s="5" t="s">
        <v>812</v>
      </c>
      <c r="DD1359" s="5" t="s">
        <v>240</v>
      </c>
      <c r="DF1359" s="5" t="s">
        <v>812</v>
      </c>
      <c r="DG1359" s="7">
        <f>1372</f>
        <v>1372</v>
      </c>
      <c r="DI1359" s="5" t="s">
        <v>240</v>
      </c>
      <c r="DJ1359" s="5" t="s">
        <v>240</v>
      </c>
      <c r="DK1359" s="5" t="s">
        <v>240</v>
      </c>
      <c r="DL1359" s="5" t="s">
        <v>240</v>
      </c>
      <c r="DP1359" s="5" t="s">
        <v>240</v>
      </c>
      <c r="DQ1359" s="5" t="s">
        <v>240</v>
      </c>
      <c r="DR1359" s="5" t="s">
        <v>240</v>
      </c>
      <c r="DS1359" s="5" t="s">
        <v>240</v>
      </c>
      <c r="DV1359" s="5" t="s">
        <v>813</v>
      </c>
      <c r="DW1359" s="5" t="s">
        <v>2851</v>
      </c>
      <c r="HO1359" s="5" t="s">
        <v>312</v>
      </c>
    </row>
    <row r="1360" spans="1:223" x14ac:dyDescent="0.4">
      <c r="A1360" s="5">
        <v>3035</v>
      </c>
      <c r="B1360" s="5">
        <v>1</v>
      </c>
      <c r="C1360" s="5">
        <v>1</v>
      </c>
      <c r="D1360" s="5" t="s">
        <v>297</v>
      </c>
      <c r="E1360" s="5" t="s">
        <v>245</v>
      </c>
      <c r="F1360" s="5" t="s">
        <v>254</v>
      </c>
      <c r="G1360" s="5" t="s">
        <v>240</v>
      </c>
      <c r="H1360" s="6" t="s">
        <v>4844</v>
      </c>
      <c r="I1360" s="5" t="s">
        <v>295</v>
      </c>
      <c r="J1360" s="8">
        <f>2822</f>
        <v>2822</v>
      </c>
      <c r="K1360" s="5" t="s">
        <v>308</v>
      </c>
      <c r="L1360" s="7">
        <f>1</f>
        <v>1</v>
      </c>
      <c r="M1360" s="7">
        <f>1</f>
        <v>1</v>
      </c>
      <c r="N1360" s="5" t="s">
        <v>242</v>
      </c>
      <c r="O1360" s="5">
        <v>1</v>
      </c>
      <c r="P1360" s="5" t="s">
        <v>294</v>
      </c>
      <c r="Q1360" s="5" t="s">
        <v>266</v>
      </c>
      <c r="R1360" s="5" t="s">
        <v>240</v>
      </c>
      <c r="S1360" s="5" t="s">
        <v>240</v>
      </c>
      <c r="T1360" s="5" t="s">
        <v>296</v>
      </c>
      <c r="U1360" s="5" t="s">
        <v>244</v>
      </c>
      <c r="V1360" s="5" t="s">
        <v>240</v>
      </c>
      <c r="Y1360" s="5" t="s">
        <v>240</v>
      </c>
      <c r="Z1360" s="6" t="s">
        <v>298</v>
      </c>
      <c r="AB1360" s="6" t="s">
        <v>240</v>
      </c>
      <c r="AE1360" s="6" t="s">
        <v>299</v>
      </c>
      <c r="AF1360" s="5" t="s">
        <v>248</v>
      </c>
      <c r="AG1360" s="5" t="s">
        <v>249</v>
      </c>
      <c r="AW1360" s="5" t="s">
        <v>251</v>
      </c>
      <c r="AX1360" s="5" t="s">
        <v>240</v>
      </c>
      <c r="AY1360" s="5" t="s">
        <v>253</v>
      </c>
      <c r="AZ1360" s="5" t="s">
        <v>240</v>
      </c>
      <c r="BA1360" s="5" t="s">
        <v>255</v>
      </c>
      <c r="BB1360" s="5" t="s">
        <v>240</v>
      </c>
      <c r="BD1360" s="5" t="s">
        <v>240</v>
      </c>
      <c r="BF1360" s="5" t="s">
        <v>301</v>
      </c>
      <c r="BG1360" s="6" t="s">
        <v>299</v>
      </c>
      <c r="BH1360" s="5" t="s">
        <v>302</v>
      </c>
      <c r="BI1360" s="5" t="s">
        <v>303</v>
      </c>
      <c r="BJ1360" s="5" t="s">
        <v>240</v>
      </c>
      <c r="BK1360" s="8">
        <f>0</f>
        <v>0</v>
      </c>
      <c r="BL1360" s="7">
        <f>0</f>
        <v>0</v>
      </c>
      <c r="BM1360" s="5" t="s">
        <v>258</v>
      </c>
      <c r="BN1360" s="5" t="s">
        <v>259</v>
      </c>
      <c r="CB1360" s="5" t="s">
        <v>240</v>
      </c>
      <c r="CC1360" s="5" t="s">
        <v>240</v>
      </c>
      <c r="CG1360" s="5" t="s">
        <v>304</v>
      </c>
      <c r="CH1360" s="5" t="s">
        <v>305</v>
      </c>
      <c r="CI1360" s="5" t="s">
        <v>240</v>
      </c>
      <c r="CL1360" s="6" t="s">
        <v>261</v>
      </c>
      <c r="CM1360" s="5" t="s">
        <v>240</v>
      </c>
      <c r="CN1360" s="5" t="s">
        <v>263</v>
      </c>
      <c r="CO1360" s="5" t="s">
        <v>240</v>
      </c>
      <c r="CP1360" s="5" t="s">
        <v>240</v>
      </c>
      <c r="CQ1360" s="5">
        <v>0</v>
      </c>
      <c r="CR1360" s="5" t="s">
        <v>306</v>
      </c>
      <c r="CS1360" s="5" t="s">
        <v>307</v>
      </c>
      <c r="CT1360" s="5" t="s">
        <v>307</v>
      </c>
      <c r="CU1360" s="5" t="s">
        <v>260</v>
      </c>
      <c r="CX1360" s="7">
        <f>1</f>
        <v>1</v>
      </c>
      <c r="CY1360" s="7">
        <f>0</f>
        <v>0</v>
      </c>
      <c r="DA1360" s="7">
        <f>0</f>
        <v>0</v>
      </c>
      <c r="DC1360" s="5" t="s">
        <v>812</v>
      </c>
      <c r="DD1360" s="5" t="s">
        <v>240</v>
      </c>
      <c r="DF1360" s="5" t="s">
        <v>812</v>
      </c>
      <c r="DG1360" s="7">
        <f>1029</f>
        <v>1029</v>
      </c>
      <c r="DI1360" s="5" t="s">
        <v>240</v>
      </c>
      <c r="DJ1360" s="5" t="s">
        <v>240</v>
      </c>
      <c r="DK1360" s="5" t="s">
        <v>240</v>
      </c>
      <c r="DL1360" s="5" t="s">
        <v>240</v>
      </c>
      <c r="DP1360" s="5" t="s">
        <v>240</v>
      </c>
      <c r="DQ1360" s="5" t="s">
        <v>240</v>
      </c>
      <c r="DR1360" s="5" t="s">
        <v>240</v>
      </c>
      <c r="DS1360" s="5" t="s">
        <v>240</v>
      </c>
      <c r="DV1360" s="5" t="s">
        <v>813</v>
      </c>
      <c r="DW1360" s="5" t="s">
        <v>2853</v>
      </c>
      <c r="HO1360" s="5" t="s">
        <v>312</v>
      </c>
    </row>
    <row r="1361" spans="1:240" x14ac:dyDescent="0.4">
      <c r="A1361" s="5">
        <v>3036</v>
      </c>
      <c r="B1361" s="5">
        <v>1</v>
      </c>
      <c r="C1361" s="5">
        <v>1</v>
      </c>
      <c r="D1361" s="5" t="s">
        <v>297</v>
      </c>
      <c r="E1361" s="5" t="s">
        <v>245</v>
      </c>
      <c r="F1361" s="5" t="s">
        <v>254</v>
      </c>
      <c r="G1361" s="5" t="s">
        <v>240</v>
      </c>
      <c r="H1361" s="6" t="s">
        <v>4843</v>
      </c>
      <c r="I1361" s="5" t="s">
        <v>295</v>
      </c>
      <c r="J1361" s="8">
        <f>2504</f>
        <v>2504</v>
      </c>
      <c r="K1361" s="5" t="s">
        <v>308</v>
      </c>
      <c r="L1361" s="7">
        <f>1</f>
        <v>1</v>
      </c>
      <c r="M1361" s="7">
        <f>1</f>
        <v>1</v>
      </c>
      <c r="N1361" s="5" t="s">
        <v>242</v>
      </c>
      <c r="O1361" s="5">
        <v>1</v>
      </c>
      <c r="P1361" s="5" t="s">
        <v>294</v>
      </c>
      <c r="Q1361" s="5" t="s">
        <v>266</v>
      </c>
      <c r="R1361" s="5" t="s">
        <v>240</v>
      </c>
      <c r="S1361" s="5" t="s">
        <v>240</v>
      </c>
      <c r="T1361" s="5" t="s">
        <v>296</v>
      </c>
      <c r="U1361" s="5" t="s">
        <v>244</v>
      </c>
      <c r="V1361" s="5" t="s">
        <v>240</v>
      </c>
      <c r="Y1361" s="5" t="s">
        <v>240</v>
      </c>
      <c r="Z1361" s="6" t="s">
        <v>298</v>
      </c>
      <c r="AB1361" s="6" t="s">
        <v>240</v>
      </c>
      <c r="AE1361" s="6" t="s">
        <v>299</v>
      </c>
      <c r="AF1361" s="5" t="s">
        <v>248</v>
      </c>
      <c r="AG1361" s="5" t="s">
        <v>249</v>
      </c>
      <c r="AW1361" s="5" t="s">
        <v>251</v>
      </c>
      <c r="AX1361" s="5" t="s">
        <v>240</v>
      </c>
      <c r="AY1361" s="5" t="s">
        <v>253</v>
      </c>
      <c r="AZ1361" s="5" t="s">
        <v>240</v>
      </c>
      <c r="BA1361" s="5" t="s">
        <v>255</v>
      </c>
      <c r="BB1361" s="5" t="s">
        <v>240</v>
      </c>
      <c r="BD1361" s="5" t="s">
        <v>240</v>
      </c>
      <c r="BF1361" s="5" t="s">
        <v>301</v>
      </c>
      <c r="BG1361" s="6" t="s">
        <v>299</v>
      </c>
      <c r="BH1361" s="5" t="s">
        <v>302</v>
      </c>
      <c r="BI1361" s="5" t="s">
        <v>303</v>
      </c>
      <c r="BJ1361" s="5" t="s">
        <v>240</v>
      </c>
      <c r="BK1361" s="8">
        <f>0</f>
        <v>0</v>
      </c>
      <c r="BL1361" s="7">
        <f>0</f>
        <v>0</v>
      </c>
      <c r="BM1361" s="5" t="s">
        <v>258</v>
      </c>
      <c r="BN1361" s="5" t="s">
        <v>259</v>
      </c>
      <c r="CB1361" s="5" t="s">
        <v>240</v>
      </c>
      <c r="CC1361" s="5" t="s">
        <v>240</v>
      </c>
      <c r="CG1361" s="5" t="s">
        <v>304</v>
      </c>
      <c r="CH1361" s="5" t="s">
        <v>305</v>
      </c>
      <c r="CI1361" s="5" t="s">
        <v>240</v>
      </c>
      <c r="CL1361" s="6" t="s">
        <v>261</v>
      </c>
      <c r="CM1361" s="5" t="s">
        <v>240</v>
      </c>
      <c r="CN1361" s="5" t="s">
        <v>263</v>
      </c>
      <c r="CO1361" s="5" t="s">
        <v>240</v>
      </c>
      <c r="CP1361" s="5" t="s">
        <v>240</v>
      </c>
      <c r="CQ1361" s="5">
        <v>0</v>
      </c>
      <c r="CR1361" s="5" t="s">
        <v>306</v>
      </c>
      <c r="CS1361" s="5" t="s">
        <v>307</v>
      </c>
      <c r="CT1361" s="5" t="s">
        <v>307</v>
      </c>
      <c r="CU1361" s="5" t="s">
        <v>260</v>
      </c>
      <c r="CX1361" s="7">
        <f>1</f>
        <v>1</v>
      </c>
      <c r="CY1361" s="7">
        <f>0</f>
        <v>0</v>
      </c>
      <c r="DA1361" s="7">
        <f>0</f>
        <v>0</v>
      </c>
      <c r="DC1361" s="5" t="s">
        <v>812</v>
      </c>
      <c r="DD1361" s="5" t="s">
        <v>240</v>
      </c>
      <c r="DF1361" s="5" t="s">
        <v>812</v>
      </c>
      <c r="DG1361" s="7">
        <f>164</f>
        <v>164</v>
      </c>
      <c r="DI1361" s="5" t="s">
        <v>240</v>
      </c>
      <c r="DJ1361" s="5" t="s">
        <v>240</v>
      </c>
      <c r="DK1361" s="5" t="s">
        <v>240</v>
      </c>
      <c r="DL1361" s="5" t="s">
        <v>240</v>
      </c>
      <c r="DP1361" s="5" t="s">
        <v>240</v>
      </c>
      <c r="DQ1361" s="5" t="s">
        <v>240</v>
      </c>
      <c r="DR1361" s="5" t="s">
        <v>240</v>
      </c>
      <c r="DS1361" s="5" t="s">
        <v>240</v>
      </c>
      <c r="DV1361" s="5" t="s">
        <v>813</v>
      </c>
      <c r="DW1361" s="5" t="s">
        <v>2855</v>
      </c>
      <c r="HO1361" s="5" t="s">
        <v>312</v>
      </c>
    </row>
    <row r="1362" spans="1:240" x14ac:dyDescent="0.4">
      <c r="A1362" s="5">
        <v>3037</v>
      </c>
      <c r="B1362" s="5">
        <v>1</v>
      </c>
      <c r="C1362" s="5">
        <v>1</v>
      </c>
      <c r="D1362" s="5" t="s">
        <v>297</v>
      </c>
      <c r="E1362" s="5" t="s">
        <v>245</v>
      </c>
      <c r="F1362" s="5" t="s">
        <v>254</v>
      </c>
      <c r="G1362" s="5" t="s">
        <v>240</v>
      </c>
      <c r="H1362" s="6" t="s">
        <v>5929</v>
      </c>
      <c r="I1362" s="5" t="s">
        <v>295</v>
      </c>
      <c r="J1362" s="8">
        <f>742</f>
        <v>742</v>
      </c>
      <c r="K1362" s="5" t="s">
        <v>308</v>
      </c>
      <c r="L1362" s="7">
        <f>1</f>
        <v>1</v>
      </c>
      <c r="M1362" s="7">
        <f>1</f>
        <v>1</v>
      </c>
      <c r="N1362" s="5" t="s">
        <v>242</v>
      </c>
      <c r="O1362" s="5">
        <v>1</v>
      </c>
      <c r="P1362" s="5" t="s">
        <v>294</v>
      </c>
      <c r="Q1362" s="5" t="s">
        <v>266</v>
      </c>
      <c r="R1362" s="5" t="s">
        <v>240</v>
      </c>
      <c r="S1362" s="5" t="s">
        <v>240</v>
      </c>
      <c r="T1362" s="5" t="s">
        <v>296</v>
      </c>
      <c r="U1362" s="5" t="s">
        <v>244</v>
      </c>
      <c r="V1362" s="5" t="s">
        <v>240</v>
      </c>
      <c r="Y1362" s="5" t="s">
        <v>240</v>
      </c>
      <c r="Z1362" s="6" t="s">
        <v>298</v>
      </c>
      <c r="AB1362" s="6" t="s">
        <v>240</v>
      </c>
      <c r="AE1362" s="6" t="s">
        <v>299</v>
      </c>
      <c r="AF1362" s="5" t="s">
        <v>248</v>
      </c>
      <c r="AG1362" s="5" t="s">
        <v>249</v>
      </c>
      <c r="AW1362" s="5" t="s">
        <v>251</v>
      </c>
      <c r="AX1362" s="5" t="s">
        <v>240</v>
      </c>
      <c r="AY1362" s="5" t="s">
        <v>253</v>
      </c>
      <c r="AZ1362" s="5" t="s">
        <v>240</v>
      </c>
      <c r="BA1362" s="5" t="s">
        <v>255</v>
      </c>
      <c r="BB1362" s="5" t="s">
        <v>240</v>
      </c>
      <c r="BD1362" s="5" t="s">
        <v>240</v>
      </c>
      <c r="BF1362" s="5" t="s">
        <v>301</v>
      </c>
      <c r="BG1362" s="6" t="s">
        <v>299</v>
      </c>
      <c r="BH1362" s="5" t="s">
        <v>302</v>
      </c>
      <c r="BI1362" s="5" t="s">
        <v>303</v>
      </c>
      <c r="BJ1362" s="5" t="s">
        <v>240</v>
      </c>
      <c r="BK1362" s="8">
        <f>0</f>
        <v>0</v>
      </c>
      <c r="BL1362" s="7">
        <f>0</f>
        <v>0</v>
      </c>
      <c r="BM1362" s="5" t="s">
        <v>258</v>
      </c>
      <c r="BN1362" s="5" t="s">
        <v>259</v>
      </c>
      <c r="CB1362" s="5" t="s">
        <v>240</v>
      </c>
      <c r="CC1362" s="5" t="s">
        <v>240</v>
      </c>
      <c r="CG1362" s="5" t="s">
        <v>304</v>
      </c>
      <c r="CH1362" s="5" t="s">
        <v>305</v>
      </c>
      <c r="CI1362" s="5" t="s">
        <v>240</v>
      </c>
      <c r="CL1362" s="6" t="s">
        <v>261</v>
      </c>
      <c r="CM1362" s="5" t="s">
        <v>240</v>
      </c>
      <c r="CN1362" s="5" t="s">
        <v>263</v>
      </c>
      <c r="CO1362" s="5" t="s">
        <v>240</v>
      </c>
      <c r="CP1362" s="5" t="s">
        <v>240</v>
      </c>
      <c r="CQ1362" s="5">
        <v>0</v>
      </c>
      <c r="CR1362" s="5" t="s">
        <v>306</v>
      </c>
      <c r="CS1362" s="5" t="s">
        <v>307</v>
      </c>
      <c r="CT1362" s="5" t="s">
        <v>307</v>
      </c>
      <c r="CU1362" s="5" t="s">
        <v>260</v>
      </c>
      <c r="CX1362" s="7">
        <f>1</f>
        <v>1</v>
      </c>
      <c r="CY1362" s="7">
        <f>0</f>
        <v>0</v>
      </c>
      <c r="DA1362" s="7">
        <f>0</f>
        <v>0</v>
      </c>
      <c r="DC1362" s="5" t="s">
        <v>812</v>
      </c>
      <c r="DD1362" s="5" t="s">
        <v>240</v>
      </c>
      <c r="DF1362" s="5" t="s">
        <v>812</v>
      </c>
      <c r="DG1362" s="7">
        <f>2555</f>
        <v>2555</v>
      </c>
      <c r="DI1362" s="5" t="s">
        <v>240</v>
      </c>
      <c r="DJ1362" s="5" t="s">
        <v>240</v>
      </c>
      <c r="DK1362" s="5" t="s">
        <v>240</v>
      </c>
      <c r="DL1362" s="5" t="s">
        <v>240</v>
      </c>
      <c r="DP1362" s="5" t="s">
        <v>240</v>
      </c>
      <c r="DQ1362" s="5" t="s">
        <v>240</v>
      </c>
      <c r="DR1362" s="5" t="s">
        <v>240</v>
      </c>
      <c r="DS1362" s="5" t="s">
        <v>240</v>
      </c>
      <c r="DV1362" s="5" t="s">
        <v>813</v>
      </c>
      <c r="DW1362" s="5" t="s">
        <v>2857</v>
      </c>
      <c r="HO1362" s="5" t="s">
        <v>312</v>
      </c>
    </row>
    <row r="1363" spans="1:240" x14ac:dyDescent="0.4">
      <c r="A1363" s="5">
        <v>3038</v>
      </c>
      <c r="B1363" s="5">
        <v>1</v>
      </c>
      <c r="C1363" s="5">
        <v>1</v>
      </c>
      <c r="D1363" s="5" t="s">
        <v>297</v>
      </c>
      <c r="E1363" s="5" t="s">
        <v>245</v>
      </c>
      <c r="F1363" s="5" t="s">
        <v>254</v>
      </c>
      <c r="G1363" s="5" t="s">
        <v>240</v>
      </c>
      <c r="H1363" s="6" t="s">
        <v>4840</v>
      </c>
      <c r="I1363" s="5" t="s">
        <v>295</v>
      </c>
      <c r="J1363" s="8">
        <f>8361</f>
        <v>8361</v>
      </c>
      <c r="K1363" s="5" t="s">
        <v>308</v>
      </c>
      <c r="L1363" s="7">
        <f>1</f>
        <v>1</v>
      </c>
      <c r="M1363" s="7">
        <f>1</f>
        <v>1</v>
      </c>
      <c r="N1363" s="5" t="s">
        <v>242</v>
      </c>
      <c r="O1363" s="5">
        <v>1</v>
      </c>
      <c r="P1363" s="5" t="s">
        <v>294</v>
      </c>
      <c r="Q1363" s="5" t="s">
        <v>266</v>
      </c>
      <c r="R1363" s="5" t="s">
        <v>240</v>
      </c>
      <c r="S1363" s="5" t="s">
        <v>240</v>
      </c>
      <c r="T1363" s="5" t="s">
        <v>296</v>
      </c>
      <c r="U1363" s="5" t="s">
        <v>244</v>
      </c>
      <c r="V1363" s="5" t="s">
        <v>240</v>
      </c>
      <c r="Y1363" s="5" t="s">
        <v>240</v>
      </c>
      <c r="Z1363" s="6" t="s">
        <v>298</v>
      </c>
      <c r="AB1363" s="6" t="s">
        <v>240</v>
      </c>
      <c r="AE1363" s="6" t="s">
        <v>299</v>
      </c>
      <c r="AF1363" s="5" t="s">
        <v>248</v>
      </c>
      <c r="AG1363" s="5" t="s">
        <v>249</v>
      </c>
      <c r="AW1363" s="5" t="s">
        <v>251</v>
      </c>
      <c r="AX1363" s="5" t="s">
        <v>240</v>
      </c>
      <c r="AY1363" s="5" t="s">
        <v>253</v>
      </c>
      <c r="AZ1363" s="5" t="s">
        <v>240</v>
      </c>
      <c r="BA1363" s="5" t="s">
        <v>255</v>
      </c>
      <c r="BB1363" s="5" t="s">
        <v>240</v>
      </c>
      <c r="BD1363" s="5" t="s">
        <v>240</v>
      </c>
      <c r="BF1363" s="5" t="s">
        <v>301</v>
      </c>
      <c r="BG1363" s="6" t="s">
        <v>299</v>
      </c>
      <c r="BH1363" s="5" t="s">
        <v>302</v>
      </c>
      <c r="BI1363" s="5" t="s">
        <v>303</v>
      </c>
      <c r="BJ1363" s="5" t="s">
        <v>240</v>
      </c>
      <c r="BK1363" s="8">
        <f>0</f>
        <v>0</v>
      </c>
      <c r="BL1363" s="7">
        <f>0</f>
        <v>0</v>
      </c>
      <c r="BM1363" s="5" t="s">
        <v>258</v>
      </c>
      <c r="BN1363" s="5" t="s">
        <v>259</v>
      </c>
      <c r="CB1363" s="5" t="s">
        <v>240</v>
      </c>
      <c r="CC1363" s="5" t="s">
        <v>240</v>
      </c>
      <c r="CG1363" s="5" t="s">
        <v>304</v>
      </c>
      <c r="CH1363" s="5" t="s">
        <v>305</v>
      </c>
      <c r="CI1363" s="5" t="s">
        <v>240</v>
      </c>
      <c r="CL1363" s="6" t="s">
        <v>261</v>
      </c>
      <c r="CM1363" s="5" t="s">
        <v>240</v>
      </c>
      <c r="CN1363" s="5" t="s">
        <v>263</v>
      </c>
      <c r="CO1363" s="5" t="s">
        <v>240</v>
      </c>
      <c r="CP1363" s="5" t="s">
        <v>240</v>
      </c>
      <c r="CQ1363" s="5">
        <v>0</v>
      </c>
      <c r="CR1363" s="5" t="s">
        <v>306</v>
      </c>
      <c r="CS1363" s="5" t="s">
        <v>307</v>
      </c>
      <c r="CT1363" s="5" t="s">
        <v>307</v>
      </c>
      <c r="CU1363" s="5" t="s">
        <v>260</v>
      </c>
      <c r="CX1363" s="7">
        <f>1</f>
        <v>1</v>
      </c>
      <c r="CY1363" s="7">
        <f>0</f>
        <v>0</v>
      </c>
      <c r="DA1363" s="7">
        <f>0</f>
        <v>0</v>
      </c>
      <c r="DC1363" s="5" t="s">
        <v>812</v>
      </c>
      <c r="DD1363" s="5" t="s">
        <v>240</v>
      </c>
      <c r="DF1363" s="5" t="s">
        <v>812</v>
      </c>
      <c r="DG1363" s="7">
        <f>4056</f>
        <v>4056</v>
      </c>
      <c r="DI1363" s="5" t="s">
        <v>240</v>
      </c>
      <c r="DJ1363" s="5" t="s">
        <v>240</v>
      </c>
      <c r="DK1363" s="5" t="s">
        <v>240</v>
      </c>
      <c r="DL1363" s="5" t="s">
        <v>240</v>
      </c>
      <c r="DP1363" s="5" t="s">
        <v>240</v>
      </c>
      <c r="DQ1363" s="5" t="s">
        <v>240</v>
      </c>
      <c r="DR1363" s="5" t="s">
        <v>240</v>
      </c>
      <c r="DS1363" s="5" t="s">
        <v>240</v>
      </c>
      <c r="DV1363" s="5" t="s">
        <v>813</v>
      </c>
      <c r="DW1363" s="5" t="s">
        <v>2859</v>
      </c>
      <c r="HO1363" s="5" t="s">
        <v>312</v>
      </c>
    </row>
    <row r="1364" spans="1:240" x14ac:dyDescent="0.4">
      <c r="A1364" s="5">
        <v>3039</v>
      </c>
      <c r="B1364" s="5">
        <v>1</v>
      </c>
      <c r="C1364" s="5">
        <v>1</v>
      </c>
      <c r="D1364" s="5" t="s">
        <v>297</v>
      </c>
      <c r="E1364" s="5" t="s">
        <v>245</v>
      </c>
      <c r="F1364" s="5" t="s">
        <v>254</v>
      </c>
      <c r="G1364" s="5" t="s">
        <v>240</v>
      </c>
      <c r="H1364" s="6" t="s">
        <v>4838</v>
      </c>
      <c r="I1364" s="5" t="s">
        <v>295</v>
      </c>
      <c r="J1364" s="8">
        <f>1886</f>
        <v>1886</v>
      </c>
      <c r="K1364" s="5" t="s">
        <v>308</v>
      </c>
      <c r="L1364" s="7">
        <f>1</f>
        <v>1</v>
      </c>
      <c r="M1364" s="7">
        <f>1</f>
        <v>1</v>
      </c>
      <c r="N1364" s="5" t="s">
        <v>242</v>
      </c>
      <c r="O1364" s="5">
        <v>1</v>
      </c>
      <c r="P1364" s="5" t="s">
        <v>294</v>
      </c>
      <c r="Q1364" s="5" t="s">
        <v>266</v>
      </c>
      <c r="R1364" s="5" t="s">
        <v>240</v>
      </c>
      <c r="S1364" s="5" t="s">
        <v>240</v>
      </c>
      <c r="T1364" s="5" t="s">
        <v>296</v>
      </c>
      <c r="U1364" s="5" t="s">
        <v>244</v>
      </c>
      <c r="V1364" s="5" t="s">
        <v>240</v>
      </c>
      <c r="Y1364" s="5" t="s">
        <v>240</v>
      </c>
      <c r="Z1364" s="6" t="s">
        <v>298</v>
      </c>
      <c r="AB1364" s="6" t="s">
        <v>240</v>
      </c>
      <c r="AE1364" s="6" t="s">
        <v>299</v>
      </c>
      <c r="AF1364" s="5" t="s">
        <v>248</v>
      </c>
      <c r="AG1364" s="5" t="s">
        <v>249</v>
      </c>
      <c r="AW1364" s="5" t="s">
        <v>251</v>
      </c>
      <c r="AX1364" s="5" t="s">
        <v>240</v>
      </c>
      <c r="AY1364" s="5" t="s">
        <v>253</v>
      </c>
      <c r="AZ1364" s="5" t="s">
        <v>240</v>
      </c>
      <c r="BA1364" s="5" t="s">
        <v>255</v>
      </c>
      <c r="BB1364" s="5" t="s">
        <v>240</v>
      </c>
      <c r="BD1364" s="5" t="s">
        <v>240</v>
      </c>
      <c r="BF1364" s="5" t="s">
        <v>301</v>
      </c>
      <c r="BG1364" s="6" t="s">
        <v>299</v>
      </c>
      <c r="BH1364" s="5" t="s">
        <v>302</v>
      </c>
      <c r="BI1364" s="5" t="s">
        <v>303</v>
      </c>
      <c r="BJ1364" s="5" t="s">
        <v>240</v>
      </c>
      <c r="BK1364" s="8">
        <f>0</f>
        <v>0</v>
      </c>
      <c r="BL1364" s="7">
        <f>0</f>
        <v>0</v>
      </c>
      <c r="BM1364" s="5" t="s">
        <v>258</v>
      </c>
      <c r="BN1364" s="5" t="s">
        <v>259</v>
      </c>
      <c r="CB1364" s="5" t="s">
        <v>240</v>
      </c>
      <c r="CC1364" s="5" t="s">
        <v>240</v>
      </c>
      <c r="CG1364" s="5" t="s">
        <v>304</v>
      </c>
      <c r="CH1364" s="5" t="s">
        <v>305</v>
      </c>
      <c r="CI1364" s="5" t="s">
        <v>240</v>
      </c>
      <c r="CL1364" s="6" t="s">
        <v>261</v>
      </c>
      <c r="CM1364" s="5" t="s">
        <v>240</v>
      </c>
      <c r="CN1364" s="5" t="s">
        <v>263</v>
      </c>
      <c r="CO1364" s="5" t="s">
        <v>240</v>
      </c>
      <c r="CP1364" s="5" t="s">
        <v>240</v>
      </c>
      <c r="CQ1364" s="5">
        <v>0</v>
      </c>
      <c r="CR1364" s="5" t="s">
        <v>306</v>
      </c>
      <c r="CS1364" s="5" t="s">
        <v>307</v>
      </c>
      <c r="CT1364" s="5" t="s">
        <v>307</v>
      </c>
      <c r="CU1364" s="5" t="s">
        <v>260</v>
      </c>
      <c r="CX1364" s="7">
        <f>1</f>
        <v>1</v>
      </c>
      <c r="CY1364" s="7">
        <f>0</f>
        <v>0</v>
      </c>
      <c r="DA1364" s="7">
        <f>0</f>
        <v>0</v>
      </c>
      <c r="DC1364" s="5" t="s">
        <v>812</v>
      </c>
      <c r="DD1364" s="5" t="s">
        <v>240</v>
      </c>
      <c r="DF1364" s="5" t="s">
        <v>812</v>
      </c>
      <c r="DG1364" s="7">
        <f>1465</f>
        <v>1465</v>
      </c>
      <c r="DI1364" s="5" t="s">
        <v>240</v>
      </c>
      <c r="DJ1364" s="5" t="s">
        <v>240</v>
      </c>
      <c r="DK1364" s="5" t="s">
        <v>240</v>
      </c>
      <c r="DL1364" s="5" t="s">
        <v>240</v>
      </c>
      <c r="DP1364" s="5" t="s">
        <v>240</v>
      </c>
      <c r="DQ1364" s="5" t="s">
        <v>240</v>
      </c>
      <c r="DR1364" s="5" t="s">
        <v>240</v>
      </c>
      <c r="DS1364" s="5" t="s">
        <v>240</v>
      </c>
      <c r="DV1364" s="5" t="s">
        <v>813</v>
      </c>
      <c r="DW1364" s="5" t="s">
        <v>2861</v>
      </c>
      <c r="HO1364" s="5" t="s">
        <v>312</v>
      </c>
    </row>
    <row r="1365" spans="1:240" x14ac:dyDescent="0.4">
      <c r="A1365" s="5">
        <v>3040</v>
      </c>
      <c r="B1365" s="5">
        <v>1</v>
      </c>
      <c r="C1365" s="5">
        <v>1</v>
      </c>
      <c r="D1365" s="5" t="s">
        <v>297</v>
      </c>
      <c r="E1365" s="5" t="s">
        <v>245</v>
      </c>
      <c r="F1365" s="5" t="s">
        <v>254</v>
      </c>
      <c r="G1365" s="5" t="s">
        <v>240</v>
      </c>
      <c r="H1365" s="6" t="s">
        <v>4837</v>
      </c>
      <c r="I1365" s="5" t="s">
        <v>295</v>
      </c>
      <c r="J1365" s="8">
        <f>2832</f>
        <v>2832</v>
      </c>
      <c r="K1365" s="5" t="s">
        <v>308</v>
      </c>
      <c r="L1365" s="7">
        <f>1</f>
        <v>1</v>
      </c>
      <c r="M1365" s="7">
        <f>1</f>
        <v>1</v>
      </c>
      <c r="N1365" s="5" t="s">
        <v>242</v>
      </c>
      <c r="O1365" s="5">
        <v>1</v>
      </c>
      <c r="P1365" s="5" t="s">
        <v>294</v>
      </c>
      <c r="Q1365" s="5" t="s">
        <v>266</v>
      </c>
      <c r="R1365" s="5" t="s">
        <v>240</v>
      </c>
      <c r="S1365" s="5" t="s">
        <v>240</v>
      </c>
      <c r="T1365" s="5" t="s">
        <v>296</v>
      </c>
      <c r="U1365" s="5" t="s">
        <v>244</v>
      </c>
      <c r="V1365" s="5" t="s">
        <v>240</v>
      </c>
      <c r="Y1365" s="5" t="s">
        <v>240</v>
      </c>
      <c r="Z1365" s="6" t="s">
        <v>298</v>
      </c>
      <c r="AB1365" s="6" t="s">
        <v>240</v>
      </c>
      <c r="AE1365" s="6" t="s">
        <v>299</v>
      </c>
      <c r="AF1365" s="5" t="s">
        <v>248</v>
      </c>
      <c r="AG1365" s="5" t="s">
        <v>249</v>
      </c>
      <c r="AW1365" s="5" t="s">
        <v>251</v>
      </c>
      <c r="AX1365" s="5" t="s">
        <v>240</v>
      </c>
      <c r="AY1365" s="5" t="s">
        <v>253</v>
      </c>
      <c r="AZ1365" s="5" t="s">
        <v>240</v>
      </c>
      <c r="BA1365" s="5" t="s">
        <v>255</v>
      </c>
      <c r="BB1365" s="5" t="s">
        <v>240</v>
      </c>
      <c r="BD1365" s="5" t="s">
        <v>240</v>
      </c>
      <c r="BF1365" s="5" t="s">
        <v>301</v>
      </c>
      <c r="BG1365" s="6" t="s">
        <v>299</v>
      </c>
      <c r="BH1365" s="5" t="s">
        <v>302</v>
      </c>
      <c r="BI1365" s="5" t="s">
        <v>303</v>
      </c>
      <c r="BJ1365" s="5" t="s">
        <v>240</v>
      </c>
      <c r="BK1365" s="8">
        <f>0</f>
        <v>0</v>
      </c>
      <c r="BL1365" s="7">
        <f>0</f>
        <v>0</v>
      </c>
      <c r="BM1365" s="5" t="s">
        <v>258</v>
      </c>
      <c r="BN1365" s="5" t="s">
        <v>259</v>
      </c>
      <c r="CB1365" s="5" t="s">
        <v>240</v>
      </c>
      <c r="CC1365" s="5" t="s">
        <v>240</v>
      </c>
      <c r="CG1365" s="5" t="s">
        <v>304</v>
      </c>
      <c r="CH1365" s="5" t="s">
        <v>305</v>
      </c>
      <c r="CI1365" s="5" t="s">
        <v>240</v>
      </c>
      <c r="CL1365" s="6" t="s">
        <v>261</v>
      </c>
      <c r="CM1365" s="5" t="s">
        <v>240</v>
      </c>
      <c r="CN1365" s="5" t="s">
        <v>263</v>
      </c>
      <c r="CO1365" s="5" t="s">
        <v>240</v>
      </c>
      <c r="CP1365" s="5" t="s">
        <v>240</v>
      </c>
      <c r="CQ1365" s="5">
        <v>0</v>
      </c>
      <c r="CR1365" s="5" t="s">
        <v>306</v>
      </c>
      <c r="CS1365" s="5" t="s">
        <v>307</v>
      </c>
      <c r="CT1365" s="5" t="s">
        <v>307</v>
      </c>
      <c r="CU1365" s="5" t="s">
        <v>260</v>
      </c>
      <c r="CX1365" s="7">
        <f>1</f>
        <v>1</v>
      </c>
      <c r="CY1365" s="7">
        <f>0</f>
        <v>0</v>
      </c>
      <c r="DA1365" s="7">
        <f>0</f>
        <v>0</v>
      </c>
      <c r="DC1365" s="5" t="s">
        <v>812</v>
      </c>
      <c r="DD1365" s="5" t="s">
        <v>240</v>
      </c>
      <c r="DF1365" s="5" t="s">
        <v>812</v>
      </c>
      <c r="DG1365" s="7">
        <f>1533</f>
        <v>1533</v>
      </c>
      <c r="DI1365" s="5" t="s">
        <v>240</v>
      </c>
      <c r="DJ1365" s="5" t="s">
        <v>240</v>
      </c>
      <c r="DK1365" s="5" t="s">
        <v>240</v>
      </c>
      <c r="DL1365" s="5" t="s">
        <v>240</v>
      </c>
      <c r="DP1365" s="5" t="s">
        <v>240</v>
      </c>
      <c r="DQ1365" s="5" t="s">
        <v>240</v>
      </c>
      <c r="DR1365" s="5" t="s">
        <v>240</v>
      </c>
      <c r="DS1365" s="5" t="s">
        <v>240</v>
      </c>
      <c r="DV1365" s="5" t="s">
        <v>813</v>
      </c>
      <c r="DW1365" s="5" t="s">
        <v>2863</v>
      </c>
      <c r="HO1365" s="5" t="s">
        <v>312</v>
      </c>
    </row>
    <row r="1366" spans="1:240" x14ac:dyDescent="0.4">
      <c r="A1366" s="5">
        <v>3041</v>
      </c>
      <c r="B1366" s="5">
        <v>1</v>
      </c>
      <c r="C1366" s="5">
        <v>1</v>
      </c>
      <c r="D1366" s="5" t="s">
        <v>297</v>
      </c>
      <c r="E1366" s="5" t="s">
        <v>245</v>
      </c>
      <c r="F1366" s="5" t="s">
        <v>254</v>
      </c>
      <c r="G1366" s="5" t="s">
        <v>240</v>
      </c>
      <c r="H1366" s="6" t="s">
        <v>4835</v>
      </c>
      <c r="I1366" s="5" t="s">
        <v>295</v>
      </c>
      <c r="J1366" s="8">
        <f>2345</f>
        <v>2345</v>
      </c>
      <c r="K1366" s="5" t="s">
        <v>308</v>
      </c>
      <c r="L1366" s="7">
        <f>1</f>
        <v>1</v>
      </c>
      <c r="M1366" s="7">
        <f>1</f>
        <v>1</v>
      </c>
      <c r="N1366" s="5" t="s">
        <v>242</v>
      </c>
      <c r="O1366" s="5">
        <v>1</v>
      </c>
      <c r="P1366" s="5" t="s">
        <v>294</v>
      </c>
      <c r="Q1366" s="5" t="s">
        <v>613</v>
      </c>
      <c r="R1366" s="5" t="s">
        <v>240</v>
      </c>
      <c r="S1366" s="5" t="s">
        <v>240</v>
      </c>
      <c r="T1366" s="5" t="s">
        <v>243</v>
      </c>
      <c r="U1366" s="5" t="s">
        <v>724</v>
      </c>
      <c r="V1366" s="5" t="s">
        <v>240</v>
      </c>
      <c r="W1366" s="5" t="s">
        <v>240</v>
      </c>
      <c r="X1366" s="5" t="s">
        <v>240</v>
      </c>
      <c r="Y1366" s="5" t="s">
        <v>240</v>
      </c>
      <c r="Z1366" s="6" t="s">
        <v>298</v>
      </c>
      <c r="AA1366" s="6" t="s">
        <v>240</v>
      </c>
      <c r="AB1366" s="6" t="s">
        <v>240</v>
      </c>
      <c r="AC1366" s="5" t="s">
        <v>240</v>
      </c>
      <c r="AD1366" s="6" t="s">
        <v>240</v>
      </c>
      <c r="AE1366" s="6" t="s">
        <v>299</v>
      </c>
      <c r="AF1366" s="5" t="s">
        <v>727</v>
      </c>
      <c r="AG1366" s="5" t="s">
        <v>260</v>
      </c>
      <c r="AH1366" s="5" t="s">
        <v>240</v>
      </c>
      <c r="AI1366" s="5" t="s">
        <v>240</v>
      </c>
      <c r="AJ1366" s="5" t="s">
        <v>240</v>
      </c>
      <c r="AK1366" s="5" t="s">
        <v>240</v>
      </c>
      <c r="AL1366" s="5" t="s">
        <v>240</v>
      </c>
      <c r="AM1366" s="5" t="s">
        <v>240</v>
      </c>
      <c r="AN1366" s="5" t="s">
        <v>240</v>
      </c>
      <c r="AO1366" s="5" t="s">
        <v>240</v>
      </c>
      <c r="AP1366" s="6" t="s">
        <v>240</v>
      </c>
      <c r="AQ1366" s="6" t="s">
        <v>240</v>
      </c>
      <c r="AR1366" s="6" t="s">
        <v>240</v>
      </c>
      <c r="AS1366" s="6" t="s">
        <v>240</v>
      </c>
      <c r="AT1366" s="5" t="s">
        <v>240</v>
      </c>
      <c r="AU1366" s="5" t="s">
        <v>729</v>
      </c>
      <c r="AV1366" s="5" t="s">
        <v>729</v>
      </c>
      <c r="AW1366" s="5" t="s">
        <v>251</v>
      </c>
      <c r="AX1366" s="5" t="s">
        <v>252</v>
      </c>
      <c r="AY1366" s="5" t="s">
        <v>253</v>
      </c>
      <c r="AZ1366" s="5" t="s">
        <v>240</v>
      </c>
      <c r="BA1366" s="5" t="s">
        <v>255</v>
      </c>
      <c r="BB1366" s="5" t="s">
        <v>731</v>
      </c>
      <c r="BD1366" s="5" t="s">
        <v>240</v>
      </c>
      <c r="BF1366" s="5" t="s">
        <v>732</v>
      </c>
      <c r="BG1366" s="6" t="s">
        <v>733</v>
      </c>
      <c r="BH1366" s="5" t="s">
        <v>734</v>
      </c>
      <c r="BI1366" s="5" t="s">
        <v>734</v>
      </c>
      <c r="BJ1366" s="5" t="s">
        <v>240</v>
      </c>
      <c r="BK1366" s="8">
        <f>88.6</f>
        <v>88.6</v>
      </c>
      <c r="BL1366" s="7">
        <f>0</f>
        <v>0</v>
      </c>
      <c r="BM1366" s="5" t="s">
        <v>258</v>
      </c>
      <c r="BN1366" s="5" t="s">
        <v>259</v>
      </c>
      <c r="BO1366" s="5" t="s">
        <v>240</v>
      </c>
      <c r="BP1366" s="5" t="s">
        <v>240</v>
      </c>
      <c r="BQ1366" s="5" t="s">
        <v>240</v>
      </c>
      <c r="BR1366" s="5" t="s">
        <v>240</v>
      </c>
      <c r="BS1366" s="5" t="s">
        <v>240</v>
      </c>
      <c r="BT1366" s="5" t="s">
        <v>240</v>
      </c>
      <c r="BU1366" s="5" t="s">
        <v>240</v>
      </c>
      <c r="BV1366" s="5" t="s">
        <v>240</v>
      </c>
      <c r="BW1366" s="6" t="s">
        <v>240</v>
      </c>
      <c r="BX1366" s="5" t="s">
        <v>240</v>
      </c>
      <c r="BY1366" s="5" t="s">
        <v>240</v>
      </c>
      <c r="BZ1366" s="5" t="s">
        <v>240</v>
      </c>
      <c r="CA1366" s="5" t="s">
        <v>259</v>
      </c>
      <c r="CB1366" s="5" t="s">
        <v>240</v>
      </c>
      <c r="CC1366" s="5" t="s">
        <v>240</v>
      </c>
      <c r="CD1366" s="5" t="s">
        <v>240</v>
      </c>
      <c r="CE1366" s="5" t="s">
        <v>240</v>
      </c>
      <c r="CF1366" s="5" t="s">
        <v>240</v>
      </c>
      <c r="CG1366" s="5" t="s">
        <v>617</v>
      </c>
      <c r="CH1366" s="5" t="s">
        <v>305</v>
      </c>
      <c r="CI1366" s="5" t="s">
        <v>240</v>
      </c>
      <c r="CL1366" s="6" t="s">
        <v>261</v>
      </c>
      <c r="CM1366" s="5" t="s">
        <v>262</v>
      </c>
      <c r="CN1366" s="5" t="s">
        <v>263</v>
      </c>
      <c r="CO1366" s="5" t="s">
        <v>264</v>
      </c>
      <c r="CP1366" s="5" t="s">
        <v>240</v>
      </c>
      <c r="CQ1366" s="5">
        <v>0</v>
      </c>
      <c r="CR1366" s="5" t="s">
        <v>735</v>
      </c>
      <c r="CS1366" s="5" t="s">
        <v>307</v>
      </c>
      <c r="CT1366" s="5" t="s">
        <v>307</v>
      </c>
      <c r="CU1366" s="5" t="s">
        <v>260</v>
      </c>
      <c r="CV1366" s="5" t="s">
        <v>240</v>
      </c>
      <c r="CW1366" s="8">
        <f>0</f>
        <v>0</v>
      </c>
      <c r="CX1366" s="7">
        <f>0</f>
        <v>0</v>
      </c>
      <c r="CY1366" s="7">
        <f>0</f>
        <v>0</v>
      </c>
      <c r="DA1366" s="7">
        <f>974</f>
        <v>974</v>
      </c>
      <c r="DB1366" s="7" t="s">
        <v>240</v>
      </c>
      <c r="DC1366" s="5" t="s">
        <v>240</v>
      </c>
      <c r="DD1366" s="5" t="s">
        <v>240</v>
      </c>
      <c r="DE1366" s="5" t="s">
        <v>240</v>
      </c>
      <c r="DF1366" s="5" t="s">
        <v>450</v>
      </c>
      <c r="DG1366" s="7">
        <f>0</f>
        <v>0</v>
      </c>
      <c r="DI1366" s="5" t="s">
        <v>737</v>
      </c>
      <c r="DJ1366" s="5" t="s">
        <v>240</v>
      </c>
      <c r="DK1366" s="5" t="s">
        <v>240</v>
      </c>
      <c r="DL1366" s="5" t="s">
        <v>240</v>
      </c>
      <c r="DM1366" s="5" t="s">
        <v>240</v>
      </c>
      <c r="DN1366" s="5" t="s">
        <v>240</v>
      </c>
      <c r="DO1366" s="7" t="s">
        <v>240</v>
      </c>
      <c r="DP1366" s="5" t="s">
        <v>240</v>
      </c>
      <c r="DQ1366" s="5" t="s">
        <v>240</v>
      </c>
      <c r="DR1366" s="5" t="s">
        <v>731</v>
      </c>
      <c r="DS1366" s="5" t="s">
        <v>731</v>
      </c>
      <c r="DT1366" s="5" t="s">
        <v>240</v>
      </c>
      <c r="DU1366" s="5" t="s">
        <v>240</v>
      </c>
      <c r="DV1366" s="5" t="s">
        <v>738</v>
      </c>
      <c r="DW1366" s="5" t="s">
        <v>610</v>
      </c>
      <c r="DX1366" s="5" t="s">
        <v>240</v>
      </c>
      <c r="DY1366" s="5" t="s">
        <v>240</v>
      </c>
      <c r="DZ1366" s="5" t="s">
        <v>240</v>
      </c>
      <c r="EA1366" s="5" t="s">
        <v>240</v>
      </c>
      <c r="EB1366" s="5" t="s">
        <v>240</v>
      </c>
      <c r="EC1366" s="5" t="s">
        <v>240</v>
      </c>
      <c r="ED1366" s="5" t="s">
        <v>240</v>
      </c>
      <c r="EE1366" s="5" t="s">
        <v>240</v>
      </c>
      <c r="EF1366" s="5" t="s">
        <v>240</v>
      </c>
      <c r="EG1366" s="5" t="s">
        <v>240</v>
      </c>
      <c r="EH1366" s="5" t="s">
        <v>240</v>
      </c>
      <c r="EI1366" s="5" t="s">
        <v>240</v>
      </c>
      <c r="EJ1366" s="5" t="s">
        <v>240</v>
      </c>
      <c r="EK1366" s="5" t="s">
        <v>240</v>
      </c>
      <c r="EL1366" s="5" t="s">
        <v>240</v>
      </c>
      <c r="EM1366" s="5" t="s">
        <v>240</v>
      </c>
      <c r="EN1366" s="5" t="s">
        <v>240</v>
      </c>
      <c r="EO1366" s="5" t="s">
        <v>240</v>
      </c>
      <c r="EP1366" s="5" t="s">
        <v>240</v>
      </c>
      <c r="EQ1366" s="5" t="s">
        <v>240</v>
      </c>
      <c r="ER1366" s="5" t="s">
        <v>240</v>
      </c>
      <c r="ES1366" s="5" t="s">
        <v>240</v>
      </c>
      <c r="ET1366" s="5" t="s">
        <v>240</v>
      </c>
      <c r="EU1366" s="5" t="s">
        <v>240</v>
      </c>
      <c r="EV1366" s="5" t="s">
        <v>240</v>
      </c>
      <c r="EW1366" s="5" t="s">
        <v>240</v>
      </c>
      <c r="EX1366" s="5" t="s">
        <v>240</v>
      </c>
      <c r="EY1366" s="5" t="s">
        <v>240</v>
      </c>
      <c r="EZ1366" s="5" t="s">
        <v>240</v>
      </c>
      <c r="FA1366" s="5" t="s">
        <v>240</v>
      </c>
      <c r="FB1366" s="5" t="s">
        <v>240</v>
      </c>
      <c r="FC1366" s="5" t="s">
        <v>240</v>
      </c>
      <c r="FD1366" s="5" t="s">
        <v>240</v>
      </c>
      <c r="FE1366" s="5" t="s">
        <v>240</v>
      </c>
      <c r="FF1366" s="5" t="s">
        <v>240</v>
      </c>
      <c r="FG1366" s="5" t="s">
        <v>240</v>
      </c>
      <c r="FH1366" s="5" t="s">
        <v>240</v>
      </c>
      <c r="FI1366" s="5" t="s">
        <v>240</v>
      </c>
      <c r="FJ1366" s="5" t="s">
        <v>240</v>
      </c>
      <c r="FK1366" s="5" t="s">
        <v>240</v>
      </c>
      <c r="FL1366" s="5" t="s">
        <v>240</v>
      </c>
      <c r="FM1366" s="5" t="s">
        <v>240</v>
      </c>
      <c r="FN1366" s="5" t="s">
        <v>240</v>
      </c>
      <c r="FO1366" s="5" t="s">
        <v>240</v>
      </c>
      <c r="FP1366" s="5" t="s">
        <v>240</v>
      </c>
      <c r="FQ1366" s="5" t="s">
        <v>240</v>
      </c>
      <c r="FR1366" s="5" t="s">
        <v>240</v>
      </c>
      <c r="FS1366" s="5" t="s">
        <v>240</v>
      </c>
      <c r="FT1366" s="5" t="s">
        <v>240</v>
      </c>
      <c r="FU1366" s="5" t="s">
        <v>240</v>
      </c>
      <c r="FV1366" s="5" t="s">
        <v>240</v>
      </c>
      <c r="FW1366" s="5" t="s">
        <v>240</v>
      </c>
      <c r="FX1366" s="5" t="s">
        <v>240</v>
      </c>
      <c r="FY1366" s="5" t="s">
        <v>240</v>
      </c>
      <c r="FZ1366" s="5" t="s">
        <v>240</v>
      </c>
      <c r="GA1366" s="5" t="s">
        <v>240</v>
      </c>
      <c r="GB1366" s="5" t="s">
        <v>240</v>
      </c>
      <c r="GC1366" s="5" t="s">
        <v>240</v>
      </c>
      <c r="GD1366" s="5" t="s">
        <v>240</v>
      </c>
      <c r="GE1366" s="5" t="s">
        <v>240</v>
      </c>
      <c r="GF1366" s="5" t="s">
        <v>240</v>
      </c>
      <c r="GG1366" s="5" t="s">
        <v>240</v>
      </c>
      <c r="GH1366" s="5" t="s">
        <v>240</v>
      </c>
      <c r="GI1366" s="5" t="s">
        <v>240</v>
      </c>
      <c r="GJ1366" s="5" t="s">
        <v>240</v>
      </c>
      <c r="GK1366" s="5" t="s">
        <v>240</v>
      </c>
      <c r="GL1366" s="5" t="s">
        <v>240</v>
      </c>
      <c r="GM1366" s="5" t="s">
        <v>240</v>
      </c>
      <c r="GN1366" s="5" t="s">
        <v>240</v>
      </c>
      <c r="GO1366" s="5" t="s">
        <v>240</v>
      </c>
      <c r="GP1366" s="5" t="s">
        <v>240</v>
      </c>
      <c r="GQ1366" s="5" t="s">
        <v>240</v>
      </c>
      <c r="GR1366" s="5" t="s">
        <v>240</v>
      </c>
      <c r="GS1366" s="5" t="s">
        <v>240</v>
      </c>
      <c r="GT1366" s="5" t="s">
        <v>240</v>
      </c>
      <c r="GU1366" s="5" t="s">
        <v>240</v>
      </c>
      <c r="GV1366" s="5" t="s">
        <v>240</v>
      </c>
      <c r="GW1366" s="5" t="s">
        <v>240</v>
      </c>
      <c r="GX1366" s="5" t="s">
        <v>240</v>
      </c>
      <c r="GY1366" s="5" t="s">
        <v>240</v>
      </c>
      <c r="GZ1366" s="5" t="s">
        <v>240</v>
      </c>
      <c r="HA1366" s="5" t="s">
        <v>240</v>
      </c>
      <c r="HB1366" s="5" t="s">
        <v>240</v>
      </c>
      <c r="HC1366" s="5" t="s">
        <v>240</v>
      </c>
      <c r="HD1366" s="5" t="s">
        <v>240</v>
      </c>
      <c r="HE1366" s="5" t="s">
        <v>240</v>
      </c>
      <c r="HF1366" s="5" t="s">
        <v>240</v>
      </c>
      <c r="HG1366" s="5" t="s">
        <v>240</v>
      </c>
      <c r="HH1366" s="5" t="s">
        <v>240</v>
      </c>
      <c r="HI1366" s="5" t="s">
        <v>240</v>
      </c>
      <c r="HJ1366" s="5" t="s">
        <v>240</v>
      </c>
      <c r="HK1366" s="5" t="s">
        <v>240</v>
      </c>
      <c r="HL1366" s="5" t="s">
        <v>240</v>
      </c>
      <c r="HM1366" s="5" t="s">
        <v>240</v>
      </c>
      <c r="HN1366" s="5" t="s">
        <v>240</v>
      </c>
      <c r="HO1366" s="5" t="s">
        <v>620</v>
      </c>
      <c r="HP1366" s="5" t="s">
        <v>240</v>
      </c>
      <c r="HQ1366" s="5" t="s">
        <v>240</v>
      </c>
      <c r="HR1366" s="5" t="s">
        <v>240</v>
      </c>
      <c r="HS1366" s="5" t="s">
        <v>240</v>
      </c>
      <c r="HT1366" s="5" t="s">
        <v>240</v>
      </c>
      <c r="HU1366" s="5" t="s">
        <v>240</v>
      </c>
      <c r="HV1366" s="5" t="s">
        <v>240</v>
      </c>
      <c r="HW1366" s="5" t="s">
        <v>240</v>
      </c>
      <c r="HX1366" s="5" t="s">
        <v>240</v>
      </c>
      <c r="HY1366" s="5" t="s">
        <v>240</v>
      </c>
      <c r="HZ1366" s="5" t="s">
        <v>240</v>
      </c>
      <c r="IA1366" s="5" t="s">
        <v>240</v>
      </c>
      <c r="IB1366" s="5" t="s">
        <v>240</v>
      </c>
      <c r="IC1366" s="5" t="s">
        <v>240</v>
      </c>
      <c r="ID1366" s="5" t="s">
        <v>240</v>
      </c>
      <c r="IE1366" s="5" t="s">
        <v>240</v>
      </c>
      <c r="IF1366" s="5" t="s">
        <v>240</v>
      </c>
    </row>
    <row r="1367" spans="1:240" x14ac:dyDescent="0.4">
      <c r="A1367" s="5">
        <v>3042</v>
      </c>
      <c r="B1367" s="5">
        <v>1</v>
      </c>
      <c r="C1367" s="5">
        <v>1</v>
      </c>
      <c r="D1367" s="5" t="s">
        <v>297</v>
      </c>
      <c r="E1367" s="5" t="s">
        <v>245</v>
      </c>
      <c r="F1367" s="5" t="s">
        <v>254</v>
      </c>
      <c r="G1367" s="5" t="s">
        <v>240</v>
      </c>
      <c r="H1367" s="6" t="s">
        <v>4834</v>
      </c>
      <c r="I1367" s="5" t="s">
        <v>295</v>
      </c>
      <c r="J1367" s="8">
        <f>1989</f>
        <v>1989</v>
      </c>
      <c r="K1367" s="5" t="s">
        <v>308</v>
      </c>
      <c r="L1367" s="7">
        <f>1</f>
        <v>1</v>
      </c>
      <c r="M1367" s="7">
        <f>1</f>
        <v>1</v>
      </c>
      <c r="N1367" s="5" t="s">
        <v>242</v>
      </c>
      <c r="O1367" s="5">
        <v>1</v>
      </c>
      <c r="P1367" s="5" t="s">
        <v>294</v>
      </c>
      <c r="Q1367" s="5" t="s">
        <v>266</v>
      </c>
      <c r="R1367" s="5" t="s">
        <v>240</v>
      </c>
      <c r="S1367" s="5" t="s">
        <v>240</v>
      </c>
      <c r="T1367" s="5" t="s">
        <v>296</v>
      </c>
      <c r="U1367" s="5" t="s">
        <v>244</v>
      </c>
      <c r="V1367" s="5" t="s">
        <v>240</v>
      </c>
      <c r="Y1367" s="5" t="s">
        <v>240</v>
      </c>
      <c r="Z1367" s="6" t="s">
        <v>298</v>
      </c>
      <c r="AB1367" s="6" t="s">
        <v>240</v>
      </c>
      <c r="AE1367" s="6" t="s">
        <v>299</v>
      </c>
      <c r="AF1367" s="5" t="s">
        <v>248</v>
      </c>
      <c r="AG1367" s="5" t="s">
        <v>249</v>
      </c>
      <c r="AW1367" s="5" t="s">
        <v>251</v>
      </c>
      <c r="AX1367" s="5" t="s">
        <v>240</v>
      </c>
      <c r="AY1367" s="5" t="s">
        <v>253</v>
      </c>
      <c r="AZ1367" s="5" t="s">
        <v>240</v>
      </c>
      <c r="BA1367" s="5" t="s">
        <v>255</v>
      </c>
      <c r="BB1367" s="5" t="s">
        <v>240</v>
      </c>
      <c r="BD1367" s="5" t="s">
        <v>240</v>
      </c>
      <c r="BF1367" s="5" t="s">
        <v>301</v>
      </c>
      <c r="BG1367" s="6" t="s">
        <v>299</v>
      </c>
      <c r="BH1367" s="5" t="s">
        <v>302</v>
      </c>
      <c r="BI1367" s="5" t="s">
        <v>303</v>
      </c>
      <c r="BJ1367" s="5" t="s">
        <v>240</v>
      </c>
      <c r="BK1367" s="8">
        <f>0</f>
        <v>0</v>
      </c>
      <c r="BL1367" s="7">
        <f>0</f>
        <v>0</v>
      </c>
      <c r="BM1367" s="5" t="s">
        <v>258</v>
      </c>
      <c r="BN1367" s="5" t="s">
        <v>259</v>
      </c>
      <c r="CB1367" s="5" t="s">
        <v>240</v>
      </c>
      <c r="CC1367" s="5" t="s">
        <v>240</v>
      </c>
      <c r="CG1367" s="5" t="s">
        <v>304</v>
      </c>
      <c r="CH1367" s="5" t="s">
        <v>305</v>
      </c>
      <c r="CI1367" s="5" t="s">
        <v>240</v>
      </c>
      <c r="CL1367" s="6" t="s">
        <v>261</v>
      </c>
      <c r="CM1367" s="5" t="s">
        <v>240</v>
      </c>
      <c r="CN1367" s="5" t="s">
        <v>263</v>
      </c>
      <c r="CO1367" s="5" t="s">
        <v>240</v>
      </c>
      <c r="CP1367" s="5" t="s">
        <v>240</v>
      </c>
      <c r="CQ1367" s="5">
        <v>0</v>
      </c>
      <c r="CR1367" s="5" t="s">
        <v>306</v>
      </c>
      <c r="CS1367" s="5" t="s">
        <v>307</v>
      </c>
      <c r="CT1367" s="5" t="s">
        <v>307</v>
      </c>
      <c r="CU1367" s="5" t="s">
        <v>260</v>
      </c>
      <c r="CX1367" s="7">
        <f>1</f>
        <v>1</v>
      </c>
      <c r="CY1367" s="7">
        <f>0</f>
        <v>0</v>
      </c>
      <c r="DA1367" s="7">
        <f>0</f>
        <v>0</v>
      </c>
      <c r="DC1367" s="5" t="s">
        <v>812</v>
      </c>
      <c r="DD1367" s="5" t="s">
        <v>240</v>
      </c>
      <c r="DF1367" s="5" t="s">
        <v>812</v>
      </c>
      <c r="DG1367" s="7">
        <f>978</f>
        <v>978</v>
      </c>
      <c r="DI1367" s="5" t="s">
        <v>240</v>
      </c>
      <c r="DJ1367" s="5" t="s">
        <v>240</v>
      </c>
      <c r="DK1367" s="5" t="s">
        <v>240</v>
      </c>
      <c r="DL1367" s="5" t="s">
        <v>240</v>
      </c>
      <c r="DP1367" s="5" t="s">
        <v>240</v>
      </c>
      <c r="DQ1367" s="5" t="s">
        <v>240</v>
      </c>
      <c r="DR1367" s="5" t="s">
        <v>240</v>
      </c>
      <c r="DS1367" s="5" t="s">
        <v>240</v>
      </c>
      <c r="DV1367" s="5" t="s">
        <v>813</v>
      </c>
      <c r="DW1367" s="5" t="s">
        <v>2866</v>
      </c>
      <c r="HO1367" s="5" t="s">
        <v>312</v>
      </c>
    </row>
    <row r="1368" spans="1:240" x14ac:dyDescent="0.4">
      <c r="A1368" s="5">
        <v>3043</v>
      </c>
      <c r="B1368" s="5">
        <v>1</v>
      </c>
      <c r="C1368" s="5">
        <v>1</v>
      </c>
      <c r="D1368" s="5" t="s">
        <v>297</v>
      </c>
      <c r="E1368" s="5" t="s">
        <v>245</v>
      </c>
      <c r="F1368" s="5" t="s">
        <v>254</v>
      </c>
      <c r="G1368" s="5" t="s">
        <v>240</v>
      </c>
      <c r="H1368" s="6" t="s">
        <v>4833</v>
      </c>
      <c r="I1368" s="5" t="s">
        <v>295</v>
      </c>
      <c r="J1368" s="8">
        <f>219</f>
        <v>219</v>
      </c>
      <c r="K1368" s="5" t="s">
        <v>308</v>
      </c>
      <c r="L1368" s="7">
        <f>1</f>
        <v>1</v>
      </c>
      <c r="M1368" s="7">
        <f>1</f>
        <v>1</v>
      </c>
      <c r="N1368" s="5" t="s">
        <v>242</v>
      </c>
      <c r="O1368" s="5">
        <v>1</v>
      </c>
      <c r="P1368" s="5" t="s">
        <v>294</v>
      </c>
      <c r="Q1368" s="5" t="s">
        <v>266</v>
      </c>
      <c r="R1368" s="5" t="s">
        <v>240</v>
      </c>
      <c r="S1368" s="5" t="s">
        <v>240</v>
      </c>
      <c r="T1368" s="5" t="s">
        <v>296</v>
      </c>
      <c r="U1368" s="5" t="s">
        <v>244</v>
      </c>
      <c r="V1368" s="5" t="s">
        <v>240</v>
      </c>
      <c r="Y1368" s="5" t="s">
        <v>240</v>
      </c>
      <c r="Z1368" s="6" t="s">
        <v>298</v>
      </c>
      <c r="AB1368" s="6" t="s">
        <v>240</v>
      </c>
      <c r="AE1368" s="6" t="s">
        <v>299</v>
      </c>
      <c r="AF1368" s="5" t="s">
        <v>248</v>
      </c>
      <c r="AG1368" s="5" t="s">
        <v>249</v>
      </c>
      <c r="AW1368" s="5" t="s">
        <v>251</v>
      </c>
      <c r="AX1368" s="5" t="s">
        <v>240</v>
      </c>
      <c r="AY1368" s="5" t="s">
        <v>253</v>
      </c>
      <c r="AZ1368" s="5" t="s">
        <v>240</v>
      </c>
      <c r="BA1368" s="5" t="s">
        <v>255</v>
      </c>
      <c r="BB1368" s="5" t="s">
        <v>240</v>
      </c>
      <c r="BD1368" s="5" t="s">
        <v>240</v>
      </c>
      <c r="BF1368" s="5" t="s">
        <v>301</v>
      </c>
      <c r="BG1368" s="6" t="s">
        <v>299</v>
      </c>
      <c r="BH1368" s="5" t="s">
        <v>302</v>
      </c>
      <c r="BI1368" s="5" t="s">
        <v>303</v>
      </c>
      <c r="BJ1368" s="5" t="s">
        <v>240</v>
      </c>
      <c r="BK1368" s="8">
        <f>0</f>
        <v>0</v>
      </c>
      <c r="BL1368" s="7">
        <f>0</f>
        <v>0</v>
      </c>
      <c r="BM1368" s="5" t="s">
        <v>258</v>
      </c>
      <c r="BN1368" s="5" t="s">
        <v>259</v>
      </c>
      <c r="CB1368" s="5" t="s">
        <v>240</v>
      </c>
      <c r="CC1368" s="5" t="s">
        <v>240</v>
      </c>
      <c r="CG1368" s="5" t="s">
        <v>304</v>
      </c>
      <c r="CH1368" s="5" t="s">
        <v>305</v>
      </c>
      <c r="CI1368" s="5" t="s">
        <v>240</v>
      </c>
      <c r="CL1368" s="6" t="s">
        <v>261</v>
      </c>
      <c r="CM1368" s="5" t="s">
        <v>240</v>
      </c>
      <c r="CN1368" s="5" t="s">
        <v>263</v>
      </c>
      <c r="CO1368" s="5" t="s">
        <v>240</v>
      </c>
      <c r="CP1368" s="5" t="s">
        <v>240</v>
      </c>
      <c r="CQ1368" s="5">
        <v>0</v>
      </c>
      <c r="CR1368" s="5" t="s">
        <v>306</v>
      </c>
      <c r="CS1368" s="5" t="s">
        <v>307</v>
      </c>
      <c r="CT1368" s="5" t="s">
        <v>307</v>
      </c>
      <c r="CU1368" s="5" t="s">
        <v>260</v>
      </c>
      <c r="CX1368" s="7">
        <f>1</f>
        <v>1</v>
      </c>
      <c r="CY1368" s="7">
        <f>0</f>
        <v>0</v>
      </c>
      <c r="DA1368" s="7">
        <f>0</f>
        <v>0</v>
      </c>
      <c r="DC1368" s="5" t="s">
        <v>812</v>
      </c>
      <c r="DD1368" s="5" t="s">
        <v>240</v>
      </c>
      <c r="DF1368" s="5" t="s">
        <v>812</v>
      </c>
      <c r="DG1368" s="7">
        <f>41</f>
        <v>41</v>
      </c>
      <c r="DI1368" s="5" t="s">
        <v>240</v>
      </c>
      <c r="DJ1368" s="5" t="s">
        <v>240</v>
      </c>
      <c r="DK1368" s="5" t="s">
        <v>240</v>
      </c>
      <c r="DL1368" s="5" t="s">
        <v>240</v>
      </c>
      <c r="DP1368" s="5" t="s">
        <v>240</v>
      </c>
      <c r="DQ1368" s="5" t="s">
        <v>240</v>
      </c>
      <c r="DR1368" s="5" t="s">
        <v>240</v>
      </c>
      <c r="DS1368" s="5" t="s">
        <v>240</v>
      </c>
      <c r="DV1368" s="5" t="s">
        <v>813</v>
      </c>
      <c r="DW1368" s="5" t="s">
        <v>2868</v>
      </c>
      <c r="HO1368" s="5" t="s">
        <v>312</v>
      </c>
    </row>
    <row r="1369" spans="1:240" x14ac:dyDescent="0.4">
      <c r="A1369" s="5">
        <v>3044</v>
      </c>
      <c r="B1369" s="5">
        <v>1</v>
      </c>
      <c r="C1369" s="5">
        <v>1</v>
      </c>
      <c r="D1369" s="5" t="s">
        <v>297</v>
      </c>
      <c r="E1369" s="5" t="s">
        <v>245</v>
      </c>
      <c r="F1369" s="5" t="s">
        <v>254</v>
      </c>
      <c r="G1369" s="5" t="s">
        <v>240</v>
      </c>
      <c r="H1369" s="6" t="s">
        <v>4832</v>
      </c>
      <c r="I1369" s="5" t="s">
        <v>295</v>
      </c>
      <c r="J1369" s="8">
        <f>7676</f>
        <v>7676</v>
      </c>
      <c r="K1369" s="5" t="s">
        <v>308</v>
      </c>
      <c r="L1369" s="7">
        <f>1</f>
        <v>1</v>
      </c>
      <c r="M1369" s="7">
        <f>1</f>
        <v>1</v>
      </c>
      <c r="N1369" s="5" t="s">
        <v>242</v>
      </c>
      <c r="O1369" s="5">
        <v>1</v>
      </c>
      <c r="P1369" s="5" t="s">
        <v>294</v>
      </c>
      <c r="Q1369" s="5" t="s">
        <v>266</v>
      </c>
      <c r="R1369" s="5" t="s">
        <v>240</v>
      </c>
      <c r="S1369" s="5" t="s">
        <v>240</v>
      </c>
      <c r="T1369" s="5" t="s">
        <v>296</v>
      </c>
      <c r="U1369" s="5" t="s">
        <v>244</v>
      </c>
      <c r="V1369" s="5" t="s">
        <v>240</v>
      </c>
      <c r="Y1369" s="5" t="s">
        <v>240</v>
      </c>
      <c r="Z1369" s="6" t="s">
        <v>298</v>
      </c>
      <c r="AB1369" s="6" t="s">
        <v>240</v>
      </c>
      <c r="AE1369" s="6" t="s">
        <v>299</v>
      </c>
      <c r="AF1369" s="5" t="s">
        <v>248</v>
      </c>
      <c r="AG1369" s="5" t="s">
        <v>249</v>
      </c>
      <c r="AW1369" s="5" t="s">
        <v>251</v>
      </c>
      <c r="AX1369" s="5" t="s">
        <v>240</v>
      </c>
      <c r="AY1369" s="5" t="s">
        <v>253</v>
      </c>
      <c r="AZ1369" s="5" t="s">
        <v>240</v>
      </c>
      <c r="BA1369" s="5" t="s">
        <v>255</v>
      </c>
      <c r="BB1369" s="5" t="s">
        <v>240</v>
      </c>
      <c r="BD1369" s="5" t="s">
        <v>240</v>
      </c>
      <c r="BF1369" s="5" t="s">
        <v>301</v>
      </c>
      <c r="BG1369" s="6" t="s">
        <v>299</v>
      </c>
      <c r="BH1369" s="5" t="s">
        <v>302</v>
      </c>
      <c r="BI1369" s="5" t="s">
        <v>303</v>
      </c>
      <c r="BJ1369" s="5" t="s">
        <v>240</v>
      </c>
      <c r="BK1369" s="8">
        <f>0</f>
        <v>0</v>
      </c>
      <c r="BL1369" s="7">
        <f>0</f>
        <v>0</v>
      </c>
      <c r="BM1369" s="5" t="s">
        <v>258</v>
      </c>
      <c r="BN1369" s="5" t="s">
        <v>259</v>
      </c>
      <c r="CB1369" s="5" t="s">
        <v>240</v>
      </c>
      <c r="CC1369" s="5" t="s">
        <v>240</v>
      </c>
      <c r="CG1369" s="5" t="s">
        <v>304</v>
      </c>
      <c r="CH1369" s="5" t="s">
        <v>305</v>
      </c>
      <c r="CI1369" s="5" t="s">
        <v>240</v>
      </c>
      <c r="CL1369" s="6" t="s">
        <v>261</v>
      </c>
      <c r="CM1369" s="5" t="s">
        <v>240</v>
      </c>
      <c r="CN1369" s="5" t="s">
        <v>263</v>
      </c>
      <c r="CO1369" s="5" t="s">
        <v>240</v>
      </c>
      <c r="CP1369" s="5" t="s">
        <v>240</v>
      </c>
      <c r="CQ1369" s="5">
        <v>0</v>
      </c>
      <c r="CR1369" s="5" t="s">
        <v>306</v>
      </c>
      <c r="CS1369" s="5" t="s">
        <v>307</v>
      </c>
      <c r="CT1369" s="5" t="s">
        <v>307</v>
      </c>
      <c r="CU1369" s="5" t="s">
        <v>260</v>
      </c>
      <c r="CX1369" s="7">
        <f>1</f>
        <v>1</v>
      </c>
      <c r="CY1369" s="7">
        <f>0</f>
        <v>0</v>
      </c>
      <c r="DA1369" s="7">
        <f>0</f>
        <v>0</v>
      </c>
      <c r="DC1369" s="5" t="s">
        <v>812</v>
      </c>
      <c r="DD1369" s="5" t="s">
        <v>240</v>
      </c>
      <c r="DF1369" s="5" t="s">
        <v>812</v>
      </c>
      <c r="DG1369" s="7">
        <f>979</f>
        <v>979</v>
      </c>
      <c r="DI1369" s="5" t="s">
        <v>240</v>
      </c>
      <c r="DJ1369" s="5" t="s">
        <v>240</v>
      </c>
      <c r="DK1369" s="5" t="s">
        <v>240</v>
      </c>
      <c r="DL1369" s="5" t="s">
        <v>240</v>
      </c>
      <c r="DP1369" s="5" t="s">
        <v>240</v>
      </c>
      <c r="DQ1369" s="5" t="s">
        <v>240</v>
      </c>
      <c r="DR1369" s="5" t="s">
        <v>240</v>
      </c>
      <c r="DS1369" s="5" t="s">
        <v>240</v>
      </c>
      <c r="DV1369" s="5" t="s">
        <v>813</v>
      </c>
      <c r="DW1369" s="5" t="s">
        <v>2870</v>
      </c>
      <c r="HO1369" s="5" t="s">
        <v>312</v>
      </c>
    </row>
    <row r="1370" spans="1:240" x14ac:dyDescent="0.4">
      <c r="A1370" s="5">
        <v>3045</v>
      </c>
      <c r="B1370" s="5">
        <v>1</v>
      </c>
      <c r="C1370" s="5">
        <v>1</v>
      </c>
      <c r="D1370" s="5" t="s">
        <v>297</v>
      </c>
      <c r="E1370" s="5" t="s">
        <v>245</v>
      </c>
      <c r="F1370" s="5" t="s">
        <v>254</v>
      </c>
      <c r="G1370" s="5" t="s">
        <v>240</v>
      </c>
      <c r="H1370" s="6" t="s">
        <v>5922</v>
      </c>
      <c r="I1370" s="5" t="s">
        <v>295</v>
      </c>
      <c r="J1370" s="8">
        <f>526</f>
        <v>526</v>
      </c>
      <c r="K1370" s="5" t="s">
        <v>308</v>
      </c>
      <c r="L1370" s="7">
        <f>1</f>
        <v>1</v>
      </c>
      <c r="M1370" s="7">
        <f>1</f>
        <v>1</v>
      </c>
      <c r="N1370" s="5" t="s">
        <v>242</v>
      </c>
      <c r="O1370" s="5">
        <v>1</v>
      </c>
      <c r="P1370" s="5" t="s">
        <v>294</v>
      </c>
      <c r="Q1370" s="5" t="s">
        <v>266</v>
      </c>
      <c r="R1370" s="5" t="s">
        <v>240</v>
      </c>
      <c r="S1370" s="5" t="s">
        <v>240</v>
      </c>
      <c r="T1370" s="5" t="s">
        <v>296</v>
      </c>
      <c r="U1370" s="5" t="s">
        <v>244</v>
      </c>
      <c r="V1370" s="5" t="s">
        <v>240</v>
      </c>
      <c r="Y1370" s="5" t="s">
        <v>240</v>
      </c>
      <c r="Z1370" s="6" t="s">
        <v>298</v>
      </c>
      <c r="AB1370" s="6" t="s">
        <v>240</v>
      </c>
      <c r="AE1370" s="6" t="s">
        <v>299</v>
      </c>
      <c r="AF1370" s="5" t="s">
        <v>248</v>
      </c>
      <c r="AG1370" s="5" t="s">
        <v>249</v>
      </c>
      <c r="AW1370" s="5" t="s">
        <v>251</v>
      </c>
      <c r="AX1370" s="5" t="s">
        <v>240</v>
      </c>
      <c r="AY1370" s="5" t="s">
        <v>253</v>
      </c>
      <c r="AZ1370" s="5" t="s">
        <v>240</v>
      </c>
      <c r="BA1370" s="5" t="s">
        <v>255</v>
      </c>
      <c r="BB1370" s="5" t="s">
        <v>240</v>
      </c>
      <c r="BD1370" s="5" t="s">
        <v>240</v>
      </c>
      <c r="BF1370" s="5" t="s">
        <v>301</v>
      </c>
      <c r="BG1370" s="6" t="s">
        <v>299</v>
      </c>
      <c r="BH1370" s="5" t="s">
        <v>302</v>
      </c>
      <c r="BI1370" s="5" t="s">
        <v>303</v>
      </c>
      <c r="BJ1370" s="5" t="s">
        <v>240</v>
      </c>
      <c r="BK1370" s="8">
        <f>0</f>
        <v>0</v>
      </c>
      <c r="BL1370" s="7">
        <f>0</f>
        <v>0</v>
      </c>
      <c r="BM1370" s="5" t="s">
        <v>258</v>
      </c>
      <c r="BN1370" s="5" t="s">
        <v>259</v>
      </c>
      <c r="CB1370" s="5" t="s">
        <v>240</v>
      </c>
      <c r="CC1370" s="5" t="s">
        <v>240</v>
      </c>
      <c r="CG1370" s="5" t="s">
        <v>304</v>
      </c>
      <c r="CH1370" s="5" t="s">
        <v>305</v>
      </c>
      <c r="CI1370" s="5" t="s">
        <v>240</v>
      </c>
      <c r="CL1370" s="6" t="s">
        <v>261</v>
      </c>
      <c r="CM1370" s="5" t="s">
        <v>240</v>
      </c>
      <c r="CN1370" s="5" t="s">
        <v>263</v>
      </c>
      <c r="CO1370" s="5" t="s">
        <v>240</v>
      </c>
      <c r="CP1370" s="5" t="s">
        <v>240</v>
      </c>
      <c r="CQ1370" s="5">
        <v>0</v>
      </c>
      <c r="CR1370" s="5" t="s">
        <v>306</v>
      </c>
      <c r="CS1370" s="5" t="s">
        <v>307</v>
      </c>
      <c r="CT1370" s="5" t="s">
        <v>307</v>
      </c>
      <c r="CU1370" s="5" t="s">
        <v>260</v>
      </c>
      <c r="CX1370" s="7">
        <f>1</f>
        <v>1</v>
      </c>
      <c r="CY1370" s="7">
        <f>0</f>
        <v>0</v>
      </c>
      <c r="DA1370" s="7">
        <f>0</f>
        <v>0</v>
      </c>
      <c r="DC1370" s="5" t="s">
        <v>812</v>
      </c>
      <c r="DD1370" s="5" t="s">
        <v>240</v>
      </c>
      <c r="DF1370" s="5" t="s">
        <v>812</v>
      </c>
      <c r="DG1370" s="7">
        <f>1510</f>
        <v>1510</v>
      </c>
      <c r="DI1370" s="5" t="s">
        <v>240</v>
      </c>
      <c r="DJ1370" s="5" t="s">
        <v>240</v>
      </c>
      <c r="DK1370" s="5" t="s">
        <v>240</v>
      </c>
      <c r="DL1370" s="5" t="s">
        <v>240</v>
      </c>
      <c r="DP1370" s="5" t="s">
        <v>240</v>
      </c>
      <c r="DQ1370" s="5" t="s">
        <v>240</v>
      </c>
      <c r="DR1370" s="5" t="s">
        <v>240</v>
      </c>
      <c r="DS1370" s="5" t="s">
        <v>240</v>
      </c>
      <c r="DV1370" s="5" t="s">
        <v>813</v>
      </c>
      <c r="DW1370" s="5" t="s">
        <v>2872</v>
      </c>
      <c r="HO1370" s="5" t="s">
        <v>312</v>
      </c>
    </row>
    <row r="1371" spans="1:240" x14ac:dyDescent="0.4">
      <c r="A1371" s="5">
        <v>3046</v>
      </c>
      <c r="B1371" s="5">
        <v>1</v>
      </c>
      <c r="C1371" s="5">
        <v>1</v>
      </c>
      <c r="D1371" s="5" t="s">
        <v>297</v>
      </c>
      <c r="E1371" s="5" t="s">
        <v>245</v>
      </c>
      <c r="F1371" s="5" t="s">
        <v>254</v>
      </c>
      <c r="G1371" s="5" t="s">
        <v>240</v>
      </c>
      <c r="H1371" s="6" t="s">
        <v>4829</v>
      </c>
      <c r="I1371" s="5" t="s">
        <v>295</v>
      </c>
      <c r="J1371" s="8">
        <f>177</f>
        <v>177</v>
      </c>
      <c r="K1371" s="5" t="s">
        <v>308</v>
      </c>
      <c r="L1371" s="7">
        <f>1</f>
        <v>1</v>
      </c>
      <c r="M1371" s="7">
        <f>1</f>
        <v>1</v>
      </c>
      <c r="N1371" s="5" t="s">
        <v>242</v>
      </c>
      <c r="O1371" s="5">
        <v>1</v>
      </c>
      <c r="P1371" s="5" t="s">
        <v>294</v>
      </c>
      <c r="Q1371" s="5" t="s">
        <v>266</v>
      </c>
      <c r="R1371" s="5" t="s">
        <v>240</v>
      </c>
      <c r="S1371" s="5" t="s">
        <v>240</v>
      </c>
      <c r="T1371" s="5" t="s">
        <v>296</v>
      </c>
      <c r="U1371" s="5" t="s">
        <v>244</v>
      </c>
      <c r="V1371" s="5" t="s">
        <v>240</v>
      </c>
      <c r="Y1371" s="5" t="s">
        <v>240</v>
      </c>
      <c r="Z1371" s="6" t="s">
        <v>298</v>
      </c>
      <c r="AB1371" s="6" t="s">
        <v>240</v>
      </c>
      <c r="AE1371" s="6" t="s">
        <v>299</v>
      </c>
      <c r="AF1371" s="5" t="s">
        <v>248</v>
      </c>
      <c r="AG1371" s="5" t="s">
        <v>249</v>
      </c>
      <c r="AW1371" s="5" t="s">
        <v>251</v>
      </c>
      <c r="AX1371" s="5" t="s">
        <v>240</v>
      </c>
      <c r="AY1371" s="5" t="s">
        <v>253</v>
      </c>
      <c r="AZ1371" s="5" t="s">
        <v>240</v>
      </c>
      <c r="BA1371" s="5" t="s">
        <v>255</v>
      </c>
      <c r="BB1371" s="5" t="s">
        <v>240</v>
      </c>
      <c r="BD1371" s="5" t="s">
        <v>240</v>
      </c>
      <c r="BF1371" s="5" t="s">
        <v>301</v>
      </c>
      <c r="BG1371" s="6" t="s">
        <v>299</v>
      </c>
      <c r="BH1371" s="5" t="s">
        <v>302</v>
      </c>
      <c r="BI1371" s="5" t="s">
        <v>303</v>
      </c>
      <c r="BJ1371" s="5" t="s">
        <v>240</v>
      </c>
      <c r="BK1371" s="8">
        <f>0</f>
        <v>0</v>
      </c>
      <c r="BL1371" s="7">
        <f>0</f>
        <v>0</v>
      </c>
      <c r="BM1371" s="5" t="s">
        <v>258</v>
      </c>
      <c r="BN1371" s="5" t="s">
        <v>259</v>
      </c>
      <c r="CB1371" s="5" t="s">
        <v>240</v>
      </c>
      <c r="CC1371" s="5" t="s">
        <v>240</v>
      </c>
      <c r="CG1371" s="5" t="s">
        <v>304</v>
      </c>
      <c r="CH1371" s="5" t="s">
        <v>305</v>
      </c>
      <c r="CI1371" s="5" t="s">
        <v>240</v>
      </c>
      <c r="CL1371" s="6" t="s">
        <v>261</v>
      </c>
      <c r="CM1371" s="5" t="s">
        <v>240</v>
      </c>
      <c r="CN1371" s="5" t="s">
        <v>263</v>
      </c>
      <c r="CO1371" s="5" t="s">
        <v>240</v>
      </c>
      <c r="CP1371" s="5" t="s">
        <v>240</v>
      </c>
      <c r="CQ1371" s="5">
        <v>0</v>
      </c>
      <c r="CR1371" s="5" t="s">
        <v>306</v>
      </c>
      <c r="CS1371" s="5" t="s">
        <v>307</v>
      </c>
      <c r="CT1371" s="5" t="s">
        <v>307</v>
      </c>
      <c r="CU1371" s="5" t="s">
        <v>260</v>
      </c>
      <c r="CX1371" s="7">
        <f>1</f>
        <v>1</v>
      </c>
      <c r="CY1371" s="7">
        <f>0</f>
        <v>0</v>
      </c>
      <c r="DA1371" s="7">
        <f>0</f>
        <v>0</v>
      </c>
      <c r="DC1371" s="5" t="s">
        <v>812</v>
      </c>
      <c r="DD1371" s="5" t="s">
        <v>240</v>
      </c>
      <c r="DF1371" s="5" t="s">
        <v>812</v>
      </c>
      <c r="DG1371" s="7">
        <f>1643</f>
        <v>1643</v>
      </c>
      <c r="DI1371" s="5" t="s">
        <v>240</v>
      </c>
      <c r="DJ1371" s="5" t="s">
        <v>240</v>
      </c>
      <c r="DK1371" s="5" t="s">
        <v>240</v>
      </c>
      <c r="DL1371" s="5" t="s">
        <v>240</v>
      </c>
      <c r="DP1371" s="5" t="s">
        <v>240</v>
      </c>
      <c r="DQ1371" s="5" t="s">
        <v>240</v>
      </c>
      <c r="DR1371" s="5" t="s">
        <v>240</v>
      </c>
      <c r="DS1371" s="5" t="s">
        <v>240</v>
      </c>
      <c r="DV1371" s="5" t="s">
        <v>813</v>
      </c>
      <c r="DW1371" s="5" t="s">
        <v>2874</v>
      </c>
      <c r="HO1371" s="5" t="s">
        <v>312</v>
      </c>
    </row>
    <row r="1372" spans="1:240" x14ac:dyDescent="0.4">
      <c r="A1372" s="5">
        <v>3047</v>
      </c>
      <c r="B1372" s="5">
        <v>1</v>
      </c>
      <c r="C1372" s="5">
        <v>1</v>
      </c>
      <c r="D1372" s="5" t="s">
        <v>297</v>
      </c>
      <c r="E1372" s="5" t="s">
        <v>245</v>
      </c>
      <c r="F1372" s="5" t="s">
        <v>254</v>
      </c>
      <c r="G1372" s="5" t="s">
        <v>240</v>
      </c>
      <c r="H1372" s="6" t="s">
        <v>4828</v>
      </c>
      <c r="I1372" s="5" t="s">
        <v>295</v>
      </c>
      <c r="J1372" s="8">
        <f>244</f>
        <v>244</v>
      </c>
      <c r="K1372" s="5" t="s">
        <v>308</v>
      </c>
      <c r="L1372" s="7">
        <f>1</f>
        <v>1</v>
      </c>
      <c r="M1372" s="7">
        <f>1</f>
        <v>1</v>
      </c>
      <c r="N1372" s="5" t="s">
        <v>242</v>
      </c>
      <c r="O1372" s="5">
        <v>1</v>
      </c>
      <c r="P1372" s="5" t="s">
        <v>294</v>
      </c>
      <c r="Q1372" s="5" t="s">
        <v>266</v>
      </c>
      <c r="R1372" s="5" t="s">
        <v>240</v>
      </c>
      <c r="S1372" s="5" t="s">
        <v>240</v>
      </c>
      <c r="T1372" s="5" t="s">
        <v>296</v>
      </c>
      <c r="U1372" s="5" t="s">
        <v>244</v>
      </c>
      <c r="V1372" s="5" t="s">
        <v>240</v>
      </c>
      <c r="Y1372" s="5" t="s">
        <v>240</v>
      </c>
      <c r="Z1372" s="6" t="s">
        <v>298</v>
      </c>
      <c r="AB1372" s="6" t="s">
        <v>240</v>
      </c>
      <c r="AE1372" s="6" t="s">
        <v>299</v>
      </c>
      <c r="AF1372" s="5" t="s">
        <v>248</v>
      </c>
      <c r="AG1372" s="5" t="s">
        <v>249</v>
      </c>
      <c r="AW1372" s="5" t="s">
        <v>251</v>
      </c>
      <c r="AX1372" s="5" t="s">
        <v>240</v>
      </c>
      <c r="AY1372" s="5" t="s">
        <v>253</v>
      </c>
      <c r="AZ1372" s="5" t="s">
        <v>240</v>
      </c>
      <c r="BA1372" s="5" t="s">
        <v>255</v>
      </c>
      <c r="BB1372" s="5" t="s">
        <v>240</v>
      </c>
      <c r="BD1372" s="5" t="s">
        <v>240</v>
      </c>
      <c r="BF1372" s="5" t="s">
        <v>301</v>
      </c>
      <c r="BG1372" s="6" t="s">
        <v>299</v>
      </c>
      <c r="BH1372" s="5" t="s">
        <v>302</v>
      </c>
      <c r="BI1372" s="5" t="s">
        <v>303</v>
      </c>
      <c r="BJ1372" s="5" t="s">
        <v>240</v>
      </c>
      <c r="BK1372" s="8">
        <f>0</f>
        <v>0</v>
      </c>
      <c r="BL1372" s="7">
        <f>0</f>
        <v>0</v>
      </c>
      <c r="BM1372" s="5" t="s">
        <v>258</v>
      </c>
      <c r="BN1372" s="5" t="s">
        <v>259</v>
      </c>
      <c r="CB1372" s="5" t="s">
        <v>240</v>
      </c>
      <c r="CC1372" s="5" t="s">
        <v>240</v>
      </c>
      <c r="CG1372" s="5" t="s">
        <v>304</v>
      </c>
      <c r="CH1372" s="5" t="s">
        <v>305</v>
      </c>
      <c r="CI1372" s="5" t="s">
        <v>240</v>
      </c>
      <c r="CL1372" s="6" t="s">
        <v>261</v>
      </c>
      <c r="CM1372" s="5" t="s">
        <v>240</v>
      </c>
      <c r="CN1372" s="5" t="s">
        <v>263</v>
      </c>
      <c r="CO1372" s="5" t="s">
        <v>240</v>
      </c>
      <c r="CP1372" s="5" t="s">
        <v>240</v>
      </c>
      <c r="CQ1372" s="5">
        <v>0</v>
      </c>
      <c r="CR1372" s="5" t="s">
        <v>306</v>
      </c>
      <c r="CS1372" s="5" t="s">
        <v>307</v>
      </c>
      <c r="CT1372" s="5" t="s">
        <v>307</v>
      </c>
      <c r="CU1372" s="5" t="s">
        <v>260</v>
      </c>
      <c r="CX1372" s="7">
        <f>1</f>
        <v>1</v>
      </c>
      <c r="CY1372" s="7">
        <f>0</f>
        <v>0</v>
      </c>
      <c r="DA1372" s="7">
        <f>0</f>
        <v>0</v>
      </c>
      <c r="DC1372" s="5" t="s">
        <v>812</v>
      </c>
      <c r="DD1372" s="5" t="s">
        <v>240</v>
      </c>
      <c r="DF1372" s="5" t="s">
        <v>812</v>
      </c>
      <c r="DG1372" s="7">
        <f>1902</f>
        <v>1902</v>
      </c>
      <c r="DI1372" s="5" t="s">
        <v>240</v>
      </c>
      <c r="DJ1372" s="5" t="s">
        <v>240</v>
      </c>
      <c r="DK1372" s="5" t="s">
        <v>240</v>
      </c>
      <c r="DL1372" s="5" t="s">
        <v>240</v>
      </c>
      <c r="DP1372" s="5" t="s">
        <v>240</v>
      </c>
      <c r="DQ1372" s="5" t="s">
        <v>240</v>
      </c>
      <c r="DR1372" s="5" t="s">
        <v>240</v>
      </c>
      <c r="DS1372" s="5" t="s">
        <v>240</v>
      </c>
      <c r="DV1372" s="5" t="s">
        <v>813</v>
      </c>
      <c r="DW1372" s="5" t="s">
        <v>2876</v>
      </c>
      <c r="HO1372" s="5" t="s">
        <v>312</v>
      </c>
    </row>
    <row r="1373" spans="1:240" x14ac:dyDescent="0.4">
      <c r="A1373" s="5">
        <v>3048</v>
      </c>
      <c r="B1373" s="5">
        <v>1</v>
      </c>
      <c r="C1373" s="5">
        <v>1</v>
      </c>
      <c r="D1373" s="5" t="s">
        <v>297</v>
      </c>
      <c r="E1373" s="5" t="s">
        <v>245</v>
      </c>
      <c r="F1373" s="5" t="s">
        <v>254</v>
      </c>
      <c r="G1373" s="5" t="s">
        <v>240</v>
      </c>
      <c r="H1373" s="6" t="s">
        <v>4827</v>
      </c>
      <c r="I1373" s="5" t="s">
        <v>295</v>
      </c>
      <c r="J1373" s="8">
        <f>2978</f>
        <v>2978</v>
      </c>
      <c r="K1373" s="5" t="s">
        <v>308</v>
      </c>
      <c r="L1373" s="7">
        <f>1</f>
        <v>1</v>
      </c>
      <c r="M1373" s="7">
        <f>1</f>
        <v>1</v>
      </c>
      <c r="N1373" s="5" t="s">
        <v>242</v>
      </c>
      <c r="O1373" s="5">
        <v>1</v>
      </c>
      <c r="P1373" s="5" t="s">
        <v>294</v>
      </c>
      <c r="Q1373" s="5" t="s">
        <v>266</v>
      </c>
      <c r="R1373" s="5" t="s">
        <v>240</v>
      </c>
      <c r="S1373" s="5" t="s">
        <v>240</v>
      </c>
      <c r="T1373" s="5" t="s">
        <v>296</v>
      </c>
      <c r="U1373" s="5" t="s">
        <v>244</v>
      </c>
      <c r="V1373" s="5" t="s">
        <v>240</v>
      </c>
      <c r="Y1373" s="5" t="s">
        <v>240</v>
      </c>
      <c r="Z1373" s="6" t="s">
        <v>298</v>
      </c>
      <c r="AB1373" s="6" t="s">
        <v>240</v>
      </c>
      <c r="AE1373" s="6" t="s">
        <v>299</v>
      </c>
      <c r="AF1373" s="5" t="s">
        <v>248</v>
      </c>
      <c r="AG1373" s="5" t="s">
        <v>249</v>
      </c>
      <c r="AW1373" s="5" t="s">
        <v>251</v>
      </c>
      <c r="AX1373" s="5" t="s">
        <v>240</v>
      </c>
      <c r="AY1373" s="5" t="s">
        <v>253</v>
      </c>
      <c r="AZ1373" s="5" t="s">
        <v>240</v>
      </c>
      <c r="BA1373" s="5" t="s">
        <v>255</v>
      </c>
      <c r="BB1373" s="5" t="s">
        <v>240</v>
      </c>
      <c r="BD1373" s="5" t="s">
        <v>240</v>
      </c>
      <c r="BF1373" s="5" t="s">
        <v>301</v>
      </c>
      <c r="BG1373" s="6" t="s">
        <v>299</v>
      </c>
      <c r="BH1373" s="5" t="s">
        <v>302</v>
      </c>
      <c r="BI1373" s="5" t="s">
        <v>303</v>
      </c>
      <c r="BJ1373" s="5" t="s">
        <v>240</v>
      </c>
      <c r="BK1373" s="8">
        <f>0</f>
        <v>0</v>
      </c>
      <c r="BL1373" s="7">
        <f>0</f>
        <v>0</v>
      </c>
      <c r="BM1373" s="5" t="s">
        <v>258</v>
      </c>
      <c r="BN1373" s="5" t="s">
        <v>259</v>
      </c>
      <c r="CB1373" s="5" t="s">
        <v>240</v>
      </c>
      <c r="CC1373" s="5" t="s">
        <v>240</v>
      </c>
      <c r="CG1373" s="5" t="s">
        <v>304</v>
      </c>
      <c r="CH1373" s="5" t="s">
        <v>305</v>
      </c>
      <c r="CI1373" s="5" t="s">
        <v>240</v>
      </c>
      <c r="CL1373" s="6" t="s">
        <v>261</v>
      </c>
      <c r="CM1373" s="5" t="s">
        <v>240</v>
      </c>
      <c r="CN1373" s="5" t="s">
        <v>263</v>
      </c>
      <c r="CO1373" s="5" t="s">
        <v>240</v>
      </c>
      <c r="CP1373" s="5" t="s">
        <v>240</v>
      </c>
      <c r="CQ1373" s="5">
        <v>0</v>
      </c>
      <c r="CR1373" s="5" t="s">
        <v>306</v>
      </c>
      <c r="CS1373" s="5" t="s">
        <v>307</v>
      </c>
      <c r="CT1373" s="5" t="s">
        <v>307</v>
      </c>
      <c r="CU1373" s="5" t="s">
        <v>260</v>
      </c>
      <c r="CX1373" s="7">
        <f>1</f>
        <v>1</v>
      </c>
      <c r="CY1373" s="7">
        <f>0</f>
        <v>0</v>
      </c>
      <c r="DA1373" s="7">
        <f>0</f>
        <v>0</v>
      </c>
      <c r="DC1373" s="5" t="s">
        <v>812</v>
      </c>
      <c r="DD1373" s="5" t="s">
        <v>240</v>
      </c>
      <c r="DF1373" s="5" t="s">
        <v>812</v>
      </c>
      <c r="DG1373" s="7">
        <f>626</f>
        <v>626</v>
      </c>
      <c r="DI1373" s="5" t="s">
        <v>240</v>
      </c>
      <c r="DJ1373" s="5" t="s">
        <v>240</v>
      </c>
      <c r="DK1373" s="5" t="s">
        <v>240</v>
      </c>
      <c r="DL1373" s="5" t="s">
        <v>240</v>
      </c>
      <c r="DP1373" s="5" t="s">
        <v>240</v>
      </c>
      <c r="DQ1373" s="5" t="s">
        <v>240</v>
      </c>
      <c r="DR1373" s="5" t="s">
        <v>240</v>
      </c>
      <c r="DS1373" s="5" t="s">
        <v>240</v>
      </c>
      <c r="DV1373" s="5" t="s">
        <v>813</v>
      </c>
      <c r="DW1373" s="5" t="s">
        <v>2878</v>
      </c>
      <c r="HO1373" s="5" t="s">
        <v>312</v>
      </c>
    </row>
    <row r="1374" spans="1:240" x14ac:dyDescent="0.4">
      <c r="A1374" s="5">
        <v>3049</v>
      </c>
      <c r="B1374" s="5">
        <v>1</v>
      </c>
      <c r="C1374" s="5">
        <v>1</v>
      </c>
      <c r="D1374" s="5" t="s">
        <v>297</v>
      </c>
      <c r="E1374" s="5" t="s">
        <v>245</v>
      </c>
      <c r="F1374" s="5" t="s">
        <v>254</v>
      </c>
      <c r="G1374" s="5" t="s">
        <v>240</v>
      </c>
      <c r="H1374" s="6" t="s">
        <v>4826</v>
      </c>
      <c r="I1374" s="5" t="s">
        <v>295</v>
      </c>
      <c r="J1374" s="8">
        <f>662</f>
        <v>662</v>
      </c>
      <c r="K1374" s="5" t="s">
        <v>308</v>
      </c>
      <c r="L1374" s="7">
        <f>1</f>
        <v>1</v>
      </c>
      <c r="M1374" s="7">
        <f>1</f>
        <v>1</v>
      </c>
      <c r="N1374" s="5" t="s">
        <v>242</v>
      </c>
      <c r="O1374" s="5">
        <v>1</v>
      </c>
      <c r="P1374" s="5" t="s">
        <v>294</v>
      </c>
      <c r="Q1374" s="5" t="s">
        <v>266</v>
      </c>
      <c r="R1374" s="5" t="s">
        <v>240</v>
      </c>
      <c r="S1374" s="5" t="s">
        <v>240</v>
      </c>
      <c r="T1374" s="5" t="s">
        <v>296</v>
      </c>
      <c r="U1374" s="5" t="s">
        <v>244</v>
      </c>
      <c r="V1374" s="5" t="s">
        <v>240</v>
      </c>
      <c r="Y1374" s="5" t="s">
        <v>240</v>
      </c>
      <c r="Z1374" s="6" t="s">
        <v>298</v>
      </c>
      <c r="AB1374" s="6" t="s">
        <v>240</v>
      </c>
      <c r="AE1374" s="6" t="s">
        <v>299</v>
      </c>
      <c r="AF1374" s="5" t="s">
        <v>248</v>
      </c>
      <c r="AG1374" s="5" t="s">
        <v>249</v>
      </c>
      <c r="AW1374" s="5" t="s">
        <v>251</v>
      </c>
      <c r="AX1374" s="5" t="s">
        <v>240</v>
      </c>
      <c r="AY1374" s="5" t="s">
        <v>253</v>
      </c>
      <c r="AZ1374" s="5" t="s">
        <v>240</v>
      </c>
      <c r="BA1374" s="5" t="s">
        <v>255</v>
      </c>
      <c r="BB1374" s="5" t="s">
        <v>240</v>
      </c>
      <c r="BD1374" s="5" t="s">
        <v>240</v>
      </c>
      <c r="BF1374" s="5" t="s">
        <v>301</v>
      </c>
      <c r="BG1374" s="6" t="s">
        <v>299</v>
      </c>
      <c r="BH1374" s="5" t="s">
        <v>302</v>
      </c>
      <c r="BI1374" s="5" t="s">
        <v>303</v>
      </c>
      <c r="BJ1374" s="5" t="s">
        <v>240</v>
      </c>
      <c r="BK1374" s="8">
        <f>0</f>
        <v>0</v>
      </c>
      <c r="BL1374" s="7">
        <f>0</f>
        <v>0</v>
      </c>
      <c r="BM1374" s="5" t="s">
        <v>258</v>
      </c>
      <c r="BN1374" s="5" t="s">
        <v>259</v>
      </c>
      <c r="CB1374" s="5" t="s">
        <v>240</v>
      </c>
      <c r="CC1374" s="5" t="s">
        <v>240</v>
      </c>
      <c r="CG1374" s="5" t="s">
        <v>304</v>
      </c>
      <c r="CH1374" s="5" t="s">
        <v>305</v>
      </c>
      <c r="CI1374" s="5" t="s">
        <v>240</v>
      </c>
      <c r="CL1374" s="6" t="s">
        <v>261</v>
      </c>
      <c r="CM1374" s="5" t="s">
        <v>240</v>
      </c>
      <c r="CN1374" s="5" t="s">
        <v>263</v>
      </c>
      <c r="CO1374" s="5" t="s">
        <v>240</v>
      </c>
      <c r="CP1374" s="5" t="s">
        <v>240</v>
      </c>
      <c r="CQ1374" s="5">
        <v>0</v>
      </c>
      <c r="CR1374" s="5" t="s">
        <v>306</v>
      </c>
      <c r="CS1374" s="5" t="s">
        <v>307</v>
      </c>
      <c r="CT1374" s="5" t="s">
        <v>307</v>
      </c>
      <c r="CU1374" s="5" t="s">
        <v>260</v>
      </c>
      <c r="CX1374" s="7">
        <f>1</f>
        <v>1</v>
      </c>
      <c r="CY1374" s="7">
        <f>0</f>
        <v>0</v>
      </c>
      <c r="DA1374" s="7">
        <f>0</f>
        <v>0</v>
      </c>
      <c r="DC1374" s="5" t="s">
        <v>812</v>
      </c>
      <c r="DD1374" s="5" t="s">
        <v>240</v>
      </c>
      <c r="DF1374" s="5" t="s">
        <v>812</v>
      </c>
      <c r="DG1374" s="7">
        <f>1842</f>
        <v>1842</v>
      </c>
      <c r="DI1374" s="5" t="s">
        <v>240</v>
      </c>
      <c r="DJ1374" s="5" t="s">
        <v>240</v>
      </c>
      <c r="DK1374" s="5" t="s">
        <v>240</v>
      </c>
      <c r="DL1374" s="5" t="s">
        <v>240</v>
      </c>
      <c r="DP1374" s="5" t="s">
        <v>240</v>
      </c>
      <c r="DQ1374" s="5" t="s">
        <v>240</v>
      </c>
      <c r="DR1374" s="5" t="s">
        <v>240</v>
      </c>
      <c r="DS1374" s="5" t="s">
        <v>240</v>
      </c>
      <c r="DV1374" s="5" t="s">
        <v>813</v>
      </c>
      <c r="DW1374" s="5" t="s">
        <v>2880</v>
      </c>
      <c r="HO1374" s="5" t="s">
        <v>312</v>
      </c>
    </row>
    <row r="1375" spans="1:240" x14ac:dyDescent="0.4">
      <c r="A1375" s="5">
        <v>3050</v>
      </c>
      <c r="B1375" s="5">
        <v>1</v>
      </c>
      <c r="C1375" s="5">
        <v>1</v>
      </c>
      <c r="D1375" s="5" t="s">
        <v>297</v>
      </c>
      <c r="E1375" s="5" t="s">
        <v>245</v>
      </c>
      <c r="F1375" s="5" t="s">
        <v>254</v>
      </c>
      <c r="G1375" s="5" t="s">
        <v>240</v>
      </c>
      <c r="H1375" s="6" t="s">
        <v>4825</v>
      </c>
      <c r="I1375" s="5" t="s">
        <v>295</v>
      </c>
      <c r="J1375" s="8">
        <f>2253</f>
        <v>2253</v>
      </c>
      <c r="K1375" s="5" t="s">
        <v>308</v>
      </c>
      <c r="L1375" s="7">
        <f>1</f>
        <v>1</v>
      </c>
      <c r="M1375" s="7">
        <f>1</f>
        <v>1</v>
      </c>
      <c r="N1375" s="5" t="s">
        <v>242</v>
      </c>
      <c r="O1375" s="5">
        <v>1</v>
      </c>
      <c r="P1375" s="5" t="s">
        <v>294</v>
      </c>
      <c r="Q1375" s="5" t="s">
        <v>266</v>
      </c>
      <c r="R1375" s="5" t="s">
        <v>240</v>
      </c>
      <c r="S1375" s="5" t="s">
        <v>240</v>
      </c>
      <c r="T1375" s="5" t="s">
        <v>296</v>
      </c>
      <c r="U1375" s="5" t="s">
        <v>244</v>
      </c>
      <c r="V1375" s="5" t="s">
        <v>240</v>
      </c>
      <c r="Y1375" s="5" t="s">
        <v>240</v>
      </c>
      <c r="Z1375" s="6" t="s">
        <v>298</v>
      </c>
      <c r="AB1375" s="6" t="s">
        <v>240</v>
      </c>
      <c r="AE1375" s="6" t="s">
        <v>299</v>
      </c>
      <c r="AF1375" s="5" t="s">
        <v>248</v>
      </c>
      <c r="AG1375" s="5" t="s">
        <v>249</v>
      </c>
      <c r="AW1375" s="5" t="s">
        <v>251</v>
      </c>
      <c r="AX1375" s="5" t="s">
        <v>240</v>
      </c>
      <c r="AY1375" s="5" t="s">
        <v>253</v>
      </c>
      <c r="AZ1375" s="5" t="s">
        <v>240</v>
      </c>
      <c r="BA1375" s="5" t="s">
        <v>255</v>
      </c>
      <c r="BB1375" s="5" t="s">
        <v>240</v>
      </c>
      <c r="BD1375" s="5" t="s">
        <v>240</v>
      </c>
      <c r="BF1375" s="5" t="s">
        <v>301</v>
      </c>
      <c r="BG1375" s="6" t="s">
        <v>299</v>
      </c>
      <c r="BH1375" s="5" t="s">
        <v>302</v>
      </c>
      <c r="BI1375" s="5" t="s">
        <v>303</v>
      </c>
      <c r="BJ1375" s="5" t="s">
        <v>240</v>
      </c>
      <c r="BK1375" s="8">
        <f>0</f>
        <v>0</v>
      </c>
      <c r="BL1375" s="7">
        <f>0</f>
        <v>0</v>
      </c>
      <c r="BM1375" s="5" t="s">
        <v>258</v>
      </c>
      <c r="BN1375" s="5" t="s">
        <v>259</v>
      </c>
      <c r="CB1375" s="5" t="s">
        <v>240</v>
      </c>
      <c r="CC1375" s="5" t="s">
        <v>240</v>
      </c>
      <c r="CG1375" s="5" t="s">
        <v>304</v>
      </c>
      <c r="CH1375" s="5" t="s">
        <v>305</v>
      </c>
      <c r="CI1375" s="5" t="s">
        <v>240</v>
      </c>
      <c r="CL1375" s="6" t="s">
        <v>261</v>
      </c>
      <c r="CM1375" s="5" t="s">
        <v>240</v>
      </c>
      <c r="CN1375" s="5" t="s">
        <v>263</v>
      </c>
      <c r="CO1375" s="5" t="s">
        <v>240</v>
      </c>
      <c r="CP1375" s="5" t="s">
        <v>240</v>
      </c>
      <c r="CQ1375" s="5">
        <v>0</v>
      </c>
      <c r="CR1375" s="5" t="s">
        <v>306</v>
      </c>
      <c r="CS1375" s="5" t="s">
        <v>307</v>
      </c>
      <c r="CT1375" s="5" t="s">
        <v>307</v>
      </c>
      <c r="CU1375" s="5" t="s">
        <v>260</v>
      </c>
      <c r="CX1375" s="7">
        <f>1</f>
        <v>1</v>
      </c>
      <c r="CY1375" s="7">
        <f>0</f>
        <v>0</v>
      </c>
      <c r="DA1375" s="7">
        <f>0</f>
        <v>0</v>
      </c>
      <c r="DC1375" s="5" t="s">
        <v>812</v>
      </c>
      <c r="DD1375" s="5" t="s">
        <v>240</v>
      </c>
      <c r="DF1375" s="5" t="s">
        <v>812</v>
      </c>
      <c r="DG1375" s="7">
        <f>1878</f>
        <v>1878</v>
      </c>
      <c r="DI1375" s="5" t="s">
        <v>240</v>
      </c>
      <c r="DJ1375" s="5" t="s">
        <v>240</v>
      </c>
      <c r="DK1375" s="5" t="s">
        <v>240</v>
      </c>
      <c r="DL1375" s="5" t="s">
        <v>240</v>
      </c>
      <c r="DP1375" s="5" t="s">
        <v>240</v>
      </c>
      <c r="DQ1375" s="5" t="s">
        <v>240</v>
      </c>
      <c r="DR1375" s="5" t="s">
        <v>240</v>
      </c>
      <c r="DS1375" s="5" t="s">
        <v>240</v>
      </c>
      <c r="DV1375" s="5" t="s">
        <v>813</v>
      </c>
      <c r="DW1375" s="5" t="s">
        <v>2882</v>
      </c>
      <c r="HO1375" s="5" t="s">
        <v>312</v>
      </c>
    </row>
    <row r="1376" spans="1:240" x14ac:dyDescent="0.4">
      <c r="A1376" s="5">
        <v>3051</v>
      </c>
      <c r="B1376" s="5">
        <v>1</v>
      </c>
      <c r="C1376" s="5">
        <v>1</v>
      </c>
      <c r="D1376" s="5" t="s">
        <v>297</v>
      </c>
      <c r="E1376" s="5" t="s">
        <v>245</v>
      </c>
      <c r="F1376" s="5" t="s">
        <v>254</v>
      </c>
      <c r="G1376" s="5" t="s">
        <v>240</v>
      </c>
      <c r="H1376" s="6" t="s">
        <v>4824</v>
      </c>
      <c r="I1376" s="5" t="s">
        <v>295</v>
      </c>
      <c r="J1376" s="8">
        <f>1617</f>
        <v>1617</v>
      </c>
      <c r="K1376" s="5" t="s">
        <v>308</v>
      </c>
      <c r="L1376" s="7">
        <f>1</f>
        <v>1</v>
      </c>
      <c r="M1376" s="7">
        <f>1</f>
        <v>1</v>
      </c>
      <c r="N1376" s="5" t="s">
        <v>242</v>
      </c>
      <c r="O1376" s="5">
        <v>1</v>
      </c>
      <c r="P1376" s="5" t="s">
        <v>294</v>
      </c>
      <c r="Q1376" s="5" t="s">
        <v>266</v>
      </c>
      <c r="R1376" s="5" t="s">
        <v>240</v>
      </c>
      <c r="S1376" s="5" t="s">
        <v>240</v>
      </c>
      <c r="T1376" s="5" t="s">
        <v>296</v>
      </c>
      <c r="U1376" s="5" t="s">
        <v>244</v>
      </c>
      <c r="V1376" s="5" t="s">
        <v>240</v>
      </c>
      <c r="Y1376" s="5" t="s">
        <v>240</v>
      </c>
      <c r="Z1376" s="6" t="s">
        <v>298</v>
      </c>
      <c r="AB1376" s="6" t="s">
        <v>240</v>
      </c>
      <c r="AE1376" s="6" t="s">
        <v>299</v>
      </c>
      <c r="AF1376" s="5" t="s">
        <v>248</v>
      </c>
      <c r="AG1376" s="5" t="s">
        <v>249</v>
      </c>
      <c r="AW1376" s="5" t="s">
        <v>251</v>
      </c>
      <c r="AX1376" s="5" t="s">
        <v>240</v>
      </c>
      <c r="AY1376" s="5" t="s">
        <v>253</v>
      </c>
      <c r="AZ1376" s="5" t="s">
        <v>240</v>
      </c>
      <c r="BA1376" s="5" t="s">
        <v>255</v>
      </c>
      <c r="BB1376" s="5" t="s">
        <v>240</v>
      </c>
      <c r="BD1376" s="5" t="s">
        <v>240</v>
      </c>
      <c r="BF1376" s="5" t="s">
        <v>301</v>
      </c>
      <c r="BG1376" s="6" t="s">
        <v>299</v>
      </c>
      <c r="BH1376" s="5" t="s">
        <v>302</v>
      </c>
      <c r="BI1376" s="5" t="s">
        <v>303</v>
      </c>
      <c r="BJ1376" s="5" t="s">
        <v>240</v>
      </c>
      <c r="BK1376" s="8">
        <f>0</f>
        <v>0</v>
      </c>
      <c r="BL1376" s="7">
        <f>0</f>
        <v>0</v>
      </c>
      <c r="BM1376" s="5" t="s">
        <v>258</v>
      </c>
      <c r="BN1376" s="5" t="s">
        <v>259</v>
      </c>
      <c r="CB1376" s="5" t="s">
        <v>240</v>
      </c>
      <c r="CC1376" s="5" t="s">
        <v>240</v>
      </c>
      <c r="CG1376" s="5" t="s">
        <v>304</v>
      </c>
      <c r="CH1376" s="5" t="s">
        <v>305</v>
      </c>
      <c r="CI1376" s="5" t="s">
        <v>240</v>
      </c>
      <c r="CL1376" s="6" t="s">
        <v>261</v>
      </c>
      <c r="CM1376" s="5" t="s">
        <v>240</v>
      </c>
      <c r="CN1376" s="5" t="s">
        <v>263</v>
      </c>
      <c r="CO1376" s="5" t="s">
        <v>240</v>
      </c>
      <c r="CP1376" s="5" t="s">
        <v>240</v>
      </c>
      <c r="CQ1376" s="5">
        <v>0</v>
      </c>
      <c r="CR1376" s="5" t="s">
        <v>306</v>
      </c>
      <c r="CS1376" s="5" t="s">
        <v>307</v>
      </c>
      <c r="CT1376" s="5" t="s">
        <v>307</v>
      </c>
      <c r="CU1376" s="5" t="s">
        <v>260</v>
      </c>
      <c r="CX1376" s="7">
        <f>1</f>
        <v>1</v>
      </c>
      <c r="CY1376" s="7">
        <f>0</f>
        <v>0</v>
      </c>
      <c r="DA1376" s="7">
        <f>0</f>
        <v>0</v>
      </c>
      <c r="DC1376" s="5" t="s">
        <v>812</v>
      </c>
      <c r="DD1376" s="5" t="s">
        <v>240</v>
      </c>
      <c r="DF1376" s="5" t="s">
        <v>812</v>
      </c>
      <c r="DG1376" s="7">
        <f>884</f>
        <v>884</v>
      </c>
      <c r="DI1376" s="5" t="s">
        <v>240</v>
      </c>
      <c r="DJ1376" s="5" t="s">
        <v>240</v>
      </c>
      <c r="DK1376" s="5" t="s">
        <v>240</v>
      </c>
      <c r="DL1376" s="5" t="s">
        <v>240</v>
      </c>
      <c r="DP1376" s="5" t="s">
        <v>240</v>
      </c>
      <c r="DQ1376" s="5" t="s">
        <v>240</v>
      </c>
      <c r="DR1376" s="5" t="s">
        <v>240</v>
      </c>
      <c r="DS1376" s="5" t="s">
        <v>240</v>
      </c>
      <c r="DV1376" s="5" t="s">
        <v>813</v>
      </c>
      <c r="DW1376" s="5" t="s">
        <v>2884</v>
      </c>
      <c r="HO1376" s="5" t="s">
        <v>312</v>
      </c>
    </row>
    <row r="1377" spans="1:223" x14ac:dyDescent="0.4">
      <c r="A1377" s="5">
        <v>3052</v>
      </c>
      <c r="B1377" s="5">
        <v>1</v>
      </c>
      <c r="C1377" s="5">
        <v>1</v>
      </c>
      <c r="D1377" s="5" t="s">
        <v>297</v>
      </c>
      <c r="E1377" s="5" t="s">
        <v>245</v>
      </c>
      <c r="F1377" s="5" t="s">
        <v>254</v>
      </c>
      <c r="G1377" s="5" t="s">
        <v>240</v>
      </c>
      <c r="H1377" s="6" t="s">
        <v>4823</v>
      </c>
      <c r="I1377" s="5" t="s">
        <v>295</v>
      </c>
      <c r="J1377" s="8">
        <f>159</f>
        <v>159</v>
      </c>
      <c r="K1377" s="5" t="s">
        <v>308</v>
      </c>
      <c r="L1377" s="7">
        <f>1</f>
        <v>1</v>
      </c>
      <c r="M1377" s="7">
        <f>1</f>
        <v>1</v>
      </c>
      <c r="N1377" s="5" t="s">
        <v>242</v>
      </c>
      <c r="O1377" s="5">
        <v>1</v>
      </c>
      <c r="P1377" s="5" t="s">
        <v>294</v>
      </c>
      <c r="Q1377" s="5" t="s">
        <v>266</v>
      </c>
      <c r="R1377" s="5" t="s">
        <v>240</v>
      </c>
      <c r="S1377" s="5" t="s">
        <v>240</v>
      </c>
      <c r="T1377" s="5" t="s">
        <v>296</v>
      </c>
      <c r="U1377" s="5" t="s">
        <v>244</v>
      </c>
      <c r="V1377" s="5" t="s">
        <v>240</v>
      </c>
      <c r="Y1377" s="5" t="s">
        <v>240</v>
      </c>
      <c r="Z1377" s="6" t="s">
        <v>298</v>
      </c>
      <c r="AB1377" s="6" t="s">
        <v>240</v>
      </c>
      <c r="AE1377" s="6" t="s">
        <v>299</v>
      </c>
      <c r="AF1377" s="5" t="s">
        <v>248</v>
      </c>
      <c r="AG1377" s="5" t="s">
        <v>249</v>
      </c>
      <c r="AW1377" s="5" t="s">
        <v>251</v>
      </c>
      <c r="AX1377" s="5" t="s">
        <v>240</v>
      </c>
      <c r="AY1377" s="5" t="s">
        <v>253</v>
      </c>
      <c r="AZ1377" s="5" t="s">
        <v>240</v>
      </c>
      <c r="BA1377" s="5" t="s">
        <v>255</v>
      </c>
      <c r="BB1377" s="5" t="s">
        <v>240</v>
      </c>
      <c r="BD1377" s="5" t="s">
        <v>240</v>
      </c>
      <c r="BF1377" s="5" t="s">
        <v>301</v>
      </c>
      <c r="BG1377" s="6" t="s">
        <v>299</v>
      </c>
      <c r="BH1377" s="5" t="s">
        <v>302</v>
      </c>
      <c r="BI1377" s="5" t="s">
        <v>303</v>
      </c>
      <c r="BJ1377" s="5" t="s">
        <v>240</v>
      </c>
      <c r="BK1377" s="8">
        <f>0</f>
        <v>0</v>
      </c>
      <c r="BL1377" s="7">
        <f>0</f>
        <v>0</v>
      </c>
      <c r="BM1377" s="5" t="s">
        <v>258</v>
      </c>
      <c r="BN1377" s="5" t="s">
        <v>259</v>
      </c>
      <c r="CB1377" s="5" t="s">
        <v>240</v>
      </c>
      <c r="CC1377" s="5" t="s">
        <v>240</v>
      </c>
      <c r="CG1377" s="5" t="s">
        <v>304</v>
      </c>
      <c r="CH1377" s="5" t="s">
        <v>305</v>
      </c>
      <c r="CI1377" s="5" t="s">
        <v>240</v>
      </c>
      <c r="CL1377" s="6" t="s">
        <v>261</v>
      </c>
      <c r="CM1377" s="5" t="s">
        <v>240</v>
      </c>
      <c r="CN1377" s="5" t="s">
        <v>263</v>
      </c>
      <c r="CO1377" s="5" t="s">
        <v>240</v>
      </c>
      <c r="CP1377" s="5" t="s">
        <v>240</v>
      </c>
      <c r="CQ1377" s="5">
        <v>0</v>
      </c>
      <c r="CR1377" s="5" t="s">
        <v>306</v>
      </c>
      <c r="CS1377" s="5" t="s">
        <v>307</v>
      </c>
      <c r="CT1377" s="5" t="s">
        <v>307</v>
      </c>
      <c r="CU1377" s="5" t="s">
        <v>260</v>
      </c>
      <c r="CX1377" s="7">
        <f>1</f>
        <v>1</v>
      </c>
      <c r="CY1377" s="7">
        <f>0</f>
        <v>0</v>
      </c>
      <c r="DA1377" s="7">
        <f>0</f>
        <v>0</v>
      </c>
      <c r="DC1377" s="5" t="s">
        <v>812</v>
      </c>
      <c r="DD1377" s="5" t="s">
        <v>240</v>
      </c>
      <c r="DF1377" s="5" t="s">
        <v>812</v>
      </c>
      <c r="DG1377" s="7">
        <f>1871</f>
        <v>1871</v>
      </c>
      <c r="DI1377" s="5" t="s">
        <v>240</v>
      </c>
      <c r="DJ1377" s="5" t="s">
        <v>240</v>
      </c>
      <c r="DK1377" s="5" t="s">
        <v>240</v>
      </c>
      <c r="DL1377" s="5" t="s">
        <v>240</v>
      </c>
      <c r="DP1377" s="5" t="s">
        <v>240</v>
      </c>
      <c r="DQ1377" s="5" t="s">
        <v>240</v>
      </c>
      <c r="DR1377" s="5" t="s">
        <v>240</v>
      </c>
      <c r="DS1377" s="5" t="s">
        <v>240</v>
      </c>
      <c r="DV1377" s="5" t="s">
        <v>813</v>
      </c>
      <c r="DW1377" s="5" t="s">
        <v>2886</v>
      </c>
      <c r="HO1377" s="5" t="s">
        <v>312</v>
      </c>
    </row>
    <row r="1378" spans="1:223" x14ac:dyDescent="0.4">
      <c r="A1378" s="5">
        <v>3053</v>
      </c>
      <c r="B1378" s="5">
        <v>1</v>
      </c>
      <c r="C1378" s="5">
        <v>1</v>
      </c>
      <c r="D1378" s="5" t="s">
        <v>297</v>
      </c>
      <c r="E1378" s="5" t="s">
        <v>245</v>
      </c>
      <c r="F1378" s="5" t="s">
        <v>254</v>
      </c>
      <c r="G1378" s="5" t="s">
        <v>240</v>
      </c>
      <c r="H1378" s="6" t="s">
        <v>5915</v>
      </c>
      <c r="I1378" s="5" t="s">
        <v>295</v>
      </c>
      <c r="J1378" s="8">
        <f>1559</f>
        <v>1559</v>
      </c>
      <c r="K1378" s="5" t="s">
        <v>308</v>
      </c>
      <c r="L1378" s="7">
        <f>1</f>
        <v>1</v>
      </c>
      <c r="M1378" s="7">
        <f>1</f>
        <v>1</v>
      </c>
      <c r="N1378" s="5" t="s">
        <v>242</v>
      </c>
      <c r="O1378" s="5">
        <v>1</v>
      </c>
      <c r="P1378" s="5" t="s">
        <v>294</v>
      </c>
      <c r="Q1378" s="5" t="s">
        <v>266</v>
      </c>
      <c r="R1378" s="5" t="s">
        <v>240</v>
      </c>
      <c r="S1378" s="5" t="s">
        <v>240</v>
      </c>
      <c r="T1378" s="5" t="s">
        <v>296</v>
      </c>
      <c r="U1378" s="5" t="s">
        <v>244</v>
      </c>
      <c r="V1378" s="5" t="s">
        <v>240</v>
      </c>
      <c r="Y1378" s="5" t="s">
        <v>240</v>
      </c>
      <c r="Z1378" s="6" t="s">
        <v>298</v>
      </c>
      <c r="AB1378" s="6" t="s">
        <v>240</v>
      </c>
      <c r="AE1378" s="6" t="s">
        <v>299</v>
      </c>
      <c r="AF1378" s="5" t="s">
        <v>248</v>
      </c>
      <c r="AG1378" s="5" t="s">
        <v>249</v>
      </c>
      <c r="AW1378" s="5" t="s">
        <v>251</v>
      </c>
      <c r="AX1378" s="5" t="s">
        <v>240</v>
      </c>
      <c r="AY1378" s="5" t="s">
        <v>253</v>
      </c>
      <c r="AZ1378" s="5" t="s">
        <v>240</v>
      </c>
      <c r="BA1378" s="5" t="s">
        <v>255</v>
      </c>
      <c r="BB1378" s="5" t="s">
        <v>240</v>
      </c>
      <c r="BD1378" s="5" t="s">
        <v>240</v>
      </c>
      <c r="BF1378" s="5" t="s">
        <v>301</v>
      </c>
      <c r="BG1378" s="6" t="s">
        <v>299</v>
      </c>
      <c r="BH1378" s="5" t="s">
        <v>302</v>
      </c>
      <c r="BI1378" s="5" t="s">
        <v>303</v>
      </c>
      <c r="BJ1378" s="5" t="s">
        <v>240</v>
      </c>
      <c r="BK1378" s="8">
        <f>0</f>
        <v>0</v>
      </c>
      <c r="BL1378" s="7">
        <f>0</f>
        <v>0</v>
      </c>
      <c r="BM1378" s="5" t="s">
        <v>258</v>
      </c>
      <c r="BN1378" s="5" t="s">
        <v>259</v>
      </c>
      <c r="CB1378" s="5" t="s">
        <v>240</v>
      </c>
      <c r="CC1378" s="5" t="s">
        <v>240</v>
      </c>
      <c r="CG1378" s="5" t="s">
        <v>304</v>
      </c>
      <c r="CH1378" s="5" t="s">
        <v>305</v>
      </c>
      <c r="CI1378" s="5" t="s">
        <v>240</v>
      </c>
      <c r="CL1378" s="6" t="s">
        <v>261</v>
      </c>
      <c r="CM1378" s="5" t="s">
        <v>240</v>
      </c>
      <c r="CN1378" s="5" t="s">
        <v>263</v>
      </c>
      <c r="CO1378" s="5" t="s">
        <v>240</v>
      </c>
      <c r="CP1378" s="5" t="s">
        <v>240</v>
      </c>
      <c r="CQ1378" s="5">
        <v>0</v>
      </c>
      <c r="CR1378" s="5" t="s">
        <v>306</v>
      </c>
      <c r="CS1378" s="5" t="s">
        <v>307</v>
      </c>
      <c r="CT1378" s="5" t="s">
        <v>307</v>
      </c>
      <c r="CU1378" s="5" t="s">
        <v>260</v>
      </c>
      <c r="CX1378" s="7">
        <f>1</f>
        <v>1</v>
      </c>
      <c r="CY1378" s="7">
        <f>0</f>
        <v>0</v>
      </c>
      <c r="DA1378" s="7">
        <f>0</f>
        <v>0</v>
      </c>
      <c r="DC1378" s="5" t="s">
        <v>812</v>
      </c>
      <c r="DD1378" s="5" t="s">
        <v>240</v>
      </c>
      <c r="DF1378" s="5" t="s">
        <v>812</v>
      </c>
      <c r="DG1378" s="7">
        <f>1308</f>
        <v>1308</v>
      </c>
      <c r="DI1378" s="5" t="s">
        <v>240</v>
      </c>
      <c r="DJ1378" s="5" t="s">
        <v>240</v>
      </c>
      <c r="DK1378" s="5" t="s">
        <v>240</v>
      </c>
      <c r="DL1378" s="5" t="s">
        <v>240</v>
      </c>
      <c r="DP1378" s="5" t="s">
        <v>240</v>
      </c>
      <c r="DQ1378" s="5" t="s">
        <v>240</v>
      </c>
      <c r="DR1378" s="5" t="s">
        <v>240</v>
      </c>
      <c r="DS1378" s="5" t="s">
        <v>240</v>
      </c>
      <c r="DV1378" s="5" t="s">
        <v>813</v>
      </c>
      <c r="DW1378" s="5" t="s">
        <v>2888</v>
      </c>
      <c r="HO1378" s="5" t="s">
        <v>312</v>
      </c>
    </row>
    <row r="1379" spans="1:223" x14ac:dyDescent="0.4">
      <c r="A1379" s="5">
        <v>3054</v>
      </c>
      <c r="B1379" s="5">
        <v>1</v>
      </c>
      <c r="C1379" s="5">
        <v>1</v>
      </c>
      <c r="D1379" s="5" t="s">
        <v>297</v>
      </c>
      <c r="E1379" s="5" t="s">
        <v>245</v>
      </c>
      <c r="F1379" s="5" t="s">
        <v>254</v>
      </c>
      <c r="G1379" s="5" t="s">
        <v>240</v>
      </c>
      <c r="H1379" s="6" t="s">
        <v>4820</v>
      </c>
      <c r="I1379" s="5" t="s">
        <v>295</v>
      </c>
      <c r="J1379" s="8">
        <f>275</f>
        <v>275</v>
      </c>
      <c r="K1379" s="5" t="s">
        <v>308</v>
      </c>
      <c r="L1379" s="7">
        <f>1</f>
        <v>1</v>
      </c>
      <c r="M1379" s="7">
        <f>1</f>
        <v>1</v>
      </c>
      <c r="N1379" s="5" t="s">
        <v>242</v>
      </c>
      <c r="O1379" s="5">
        <v>1</v>
      </c>
      <c r="P1379" s="5" t="s">
        <v>294</v>
      </c>
      <c r="Q1379" s="5" t="s">
        <v>266</v>
      </c>
      <c r="R1379" s="5" t="s">
        <v>240</v>
      </c>
      <c r="S1379" s="5" t="s">
        <v>240</v>
      </c>
      <c r="T1379" s="5" t="s">
        <v>296</v>
      </c>
      <c r="U1379" s="5" t="s">
        <v>244</v>
      </c>
      <c r="V1379" s="5" t="s">
        <v>240</v>
      </c>
      <c r="Y1379" s="5" t="s">
        <v>240</v>
      </c>
      <c r="Z1379" s="6" t="s">
        <v>298</v>
      </c>
      <c r="AB1379" s="6" t="s">
        <v>240</v>
      </c>
      <c r="AE1379" s="6" t="s">
        <v>299</v>
      </c>
      <c r="AF1379" s="5" t="s">
        <v>248</v>
      </c>
      <c r="AG1379" s="5" t="s">
        <v>249</v>
      </c>
      <c r="AW1379" s="5" t="s">
        <v>251</v>
      </c>
      <c r="AX1379" s="5" t="s">
        <v>240</v>
      </c>
      <c r="AY1379" s="5" t="s">
        <v>253</v>
      </c>
      <c r="AZ1379" s="5" t="s">
        <v>240</v>
      </c>
      <c r="BA1379" s="5" t="s">
        <v>255</v>
      </c>
      <c r="BB1379" s="5" t="s">
        <v>240</v>
      </c>
      <c r="BD1379" s="5" t="s">
        <v>240</v>
      </c>
      <c r="BF1379" s="5" t="s">
        <v>301</v>
      </c>
      <c r="BG1379" s="6" t="s">
        <v>299</v>
      </c>
      <c r="BH1379" s="5" t="s">
        <v>302</v>
      </c>
      <c r="BI1379" s="5" t="s">
        <v>303</v>
      </c>
      <c r="BJ1379" s="5" t="s">
        <v>240</v>
      </c>
      <c r="BK1379" s="8">
        <f>0</f>
        <v>0</v>
      </c>
      <c r="BL1379" s="7">
        <f>0</f>
        <v>0</v>
      </c>
      <c r="BM1379" s="5" t="s">
        <v>258</v>
      </c>
      <c r="BN1379" s="5" t="s">
        <v>259</v>
      </c>
      <c r="CB1379" s="5" t="s">
        <v>240</v>
      </c>
      <c r="CC1379" s="5" t="s">
        <v>240</v>
      </c>
      <c r="CG1379" s="5" t="s">
        <v>304</v>
      </c>
      <c r="CH1379" s="5" t="s">
        <v>305</v>
      </c>
      <c r="CI1379" s="5" t="s">
        <v>240</v>
      </c>
      <c r="CL1379" s="6" t="s">
        <v>261</v>
      </c>
      <c r="CM1379" s="5" t="s">
        <v>240</v>
      </c>
      <c r="CN1379" s="5" t="s">
        <v>263</v>
      </c>
      <c r="CO1379" s="5" t="s">
        <v>240</v>
      </c>
      <c r="CP1379" s="5" t="s">
        <v>240</v>
      </c>
      <c r="CQ1379" s="5">
        <v>0</v>
      </c>
      <c r="CR1379" s="5" t="s">
        <v>306</v>
      </c>
      <c r="CS1379" s="5" t="s">
        <v>307</v>
      </c>
      <c r="CT1379" s="5" t="s">
        <v>307</v>
      </c>
      <c r="CU1379" s="5" t="s">
        <v>260</v>
      </c>
      <c r="CX1379" s="7">
        <f>1</f>
        <v>1</v>
      </c>
      <c r="CY1379" s="7">
        <f>0</f>
        <v>0</v>
      </c>
      <c r="DA1379" s="7">
        <f>0</f>
        <v>0</v>
      </c>
      <c r="DC1379" s="5" t="s">
        <v>812</v>
      </c>
      <c r="DD1379" s="5" t="s">
        <v>240</v>
      </c>
      <c r="DF1379" s="5" t="s">
        <v>812</v>
      </c>
      <c r="DG1379" s="7">
        <f>1243</f>
        <v>1243</v>
      </c>
      <c r="DI1379" s="5" t="s">
        <v>240</v>
      </c>
      <c r="DJ1379" s="5" t="s">
        <v>240</v>
      </c>
      <c r="DK1379" s="5" t="s">
        <v>240</v>
      </c>
      <c r="DL1379" s="5" t="s">
        <v>240</v>
      </c>
      <c r="DP1379" s="5" t="s">
        <v>240</v>
      </c>
      <c r="DQ1379" s="5" t="s">
        <v>240</v>
      </c>
      <c r="DR1379" s="5" t="s">
        <v>240</v>
      </c>
      <c r="DS1379" s="5" t="s">
        <v>240</v>
      </c>
      <c r="DV1379" s="5" t="s">
        <v>813</v>
      </c>
      <c r="DW1379" s="5" t="s">
        <v>2890</v>
      </c>
      <c r="HO1379" s="5" t="s">
        <v>312</v>
      </c>
    </row>
    <row r="1380" spans="1:223" x14ac:dyDescent="0.4">
      <c r="A1380" s="5">
        <v>3055</v>
      </c>
      <c r="B1380" s="5">
        <v>1</v>
      </c>
      <c r="C1380" s="5">
        <v>1</v>
      </c>
      <c r="D1380" s="5" t="s">
        <v>297</v>
      </c>
      <c r="E1380" s="5" t="s">
        <v>245</v>
      </c>
      <c r="F1380" s="5" t="s">
        <v>254</v>
      </c>
      <c r="G1380" s="5" t="s">
        <v>240</v>
      </c>
      <c r="H1380" s="6" t="s">
        <v>4819</v>
      </c>
      <c r="I1380" s="5" t="s">
        <v>295</v>
      </c>
      <c r="J1380" s="8">
        <f>1382</f>
        <v>1382</v>
      </c>
      <c r="K1380" s="5" t="s">
        <v>308</v>
      </c>
      <c r="L1380" s="7">
        <f>1</f>
        <v>1</v>
      </c>
      <c r="M1380" s="7">
        <f>1</f>
        <v>1</v>
      </c>
      <c r="N1380" s="5" t="s">
        <v>242</v>
      </c>
      <c r="O1380" s="5">
        <v>1</v>
      </c>
      <c r="P1380" s="5" t="s">
        <v>294</v>
      </c>
      <c r="Q1380" s="5" t="s">
        <v>266</v>
      </c>
      <c r="R1380" s="5" t="s">
        <v>240</v>
      </c>
      <c r="S1380" s="5" t="s">
        <v>240</v>
      </c>
      <c r="T1380" s="5" t="s">
        <v>296</v>
      </c>
      <c r="U1380" s="5" t="s">
        <v>244</v>
      </c>
      <c r="V1380" s="5" t="s">
        <v>240</v>
      </c>
      <c r="Y1380" s="5" t="s">
        <v>240</v>
      </c>
      <c r="Z1380" s="6" t="s">
        <v>298</v>
      </c>
      <c r="AB1380" s="6" t="s">
        <v>240</v>
      </c>
      <c r="AE1380" s="6" t="s">
        <v>299</v>
      </c>
      <c r="AF1380" s="5" t="s">
        <v>248</v>
      </c>
      <c r="AG1380" s="5" t="s">
        <v>249</v>
      </c>
      <c r="AW1380" s="5" t="s">
        <v>251</v>
      </c>
      <c r="AX1380" s="5" t="s">
        <v>240</v>
      </c>
      <c r="AY1380" s="5" t="s">
        <v>253</v>
      </c>
      <c r="AZ1380" s="5" t="s">
        <v>240</v>
      </c>
      <c r="BA1380" s="5" t="s">
        <v>255</v>
      </c>
      <c r="BB1380" s="5" t="s">
        <v>240</v>
      </c>
      <c r="BD1380" s="5" t="s">
        <v>240</v>
      </c>
      <c r="BF1380" s="5" t="s">
        <v>301</v>
      </c>
      <c r="BG1380" s="6" t="s">
        <v>299</v>
      </c>
      <c r="BH1380" s="5" t="s">
        <v>302</v>
      </c>
      <c r="BI1380" s="5" t="s">
        <v>303</v>
      </c>
      <c r="BJ1380" s="5" t="s">
        <v>240</v>
      </c>
      <c r="BK1380" s="8">
        <f>0</f>
        <v>0</v>
      </c>
      <c r="BL1380" s="7">
        <f>0</f>
        <v>0</v>
      </c>
      <c r="BM1380" s="5" t="s">
        <v>258</v>
      </c>
      <c r="BN1380" s="5" t="s">
        <v>259</v>
      </c>
      <c r="CB1380" s="5" t="s">
        <v>240</v>
      </c>
      <c r="CC1380" s="5" t="s">
        <v>240</v>
      </c>
      <c r="CG1380" s="5" t="s">
        <v>304</v>
      </c>
      <c r="CH1380" s="5" t="s">
        <v>305</v>
      </c>
      <c r="CI1380" s="5" t="s">
        <v>240</v>
      </c>
      <c r="CL1380" s="6" t="s">
        <v>261</v>
      </c>
      <c r="CM1380" s="5" t="s">
        <v>240</v>
      </c>
      <c r="CN1380" s="5" t="s">
        <v>263</v>
      </c>
      <c r="CO1380" s="5" t="s">
        <v>240</v>
      </c>
      <c r="CP1380" s="5" t="s">
        <v>240</v>
      </c>
      <c r="CQ1380" s="5">
        <v>0</v>
      </c>
      <c r="CR1380" s="5" t="s">
        <v>306</v>
      </c>
      <c r="CS1380" s="5" t="s">
        <v>307</v>
      </c>
      <c r="CT1380" s="5" t="s">
        <v>307</v>
      </c>
      <c r="CU1380" s="5" t="s">
        <v>260</v>
      </c>
      <c r="CX1380" s="7">
        <f>1</f>
        <v>1</v>
      </c>
      <c r="CY1380" s="7">
        <f>0</f>
        <v>0</v>
      </c>
      <c r="DA1380" s="7">
        <f>0</f>
        <v>0</v>
      </c>
      <c r="DC1380" s="5" t="s">
        <v>812</v>
      </c>
      <c r="DD1380" s="5" t="s">
        <v>240</v>
      </c>
      <c r="DF1380" s="5" t="s">
        <v>812</v>
      </c>
      <c r="DG1380" s="7">
        <f>120</f>
        <v>120</v>
      </c>
      <c r="DI1380" s="5" t="s">
        <v>240</v>
      </c>
      <c r="DJ1380" s="5" t="s">
        <v>240</v>
      </c>
      <c r="DK1380" s="5" t="s">
        <v>240</v>
      </c>
      <c r="DL1380" s="5" t="s">
        <v>240</v>
      </c>
      <c r="DP1380" s="5" t="s">
        <v>240</v>
      </c>
      <c r="DQ1380" s="5" t="s">
        <v>240</v>
      </c>
      <c r="DR1380" s="5" t="s">
        <v>240</v>
      </c>
      <c r="DS1380" s="5" t="s">
        <v>240</v>
      </c>
      <c r="DV1380" s="5" t="s">
        <v>813</v>
      </c>
      <c r="DW1380" s="5" t="s">
        <v>2892</v>
      </c>
      <c r="HO1380" s="5" t="s">
        <v>312</v>
      </c>
    </row>
    <row r="1381" spans="1:223" x14ac:dyDescent="0.4">
      <c r="A1381" s="5">
        <v>3056</v>
      </c>
      <c r="B1381" s="5">
        <v>1</v>
      </c>
      <c r="C1381" s="5">
        <v>1</v>
      </c>
      <c r="D1381" s="5" t="s">
        <v>297</v>
      </c>
      <c r="E1381" s="5" t="s">
        <v>245</v>
      </c>
      <c r="F1381" s="5" t="s">
        <v>254</v>
      </c>
      <c r="G1381" s="5" t="s">
        <v>240</v>
      </c>
      <c r="H1381" s="6" t="s">
        <v>4818</v>
      </c>
      <c r="I1381" s="5" t="s">
        <v>295</v>
      </c>
      <c r="J1381" s="8">
        <f>848</f>
        <v>848</v>
      </c>
      <c r="K1381" s="5" t="s">
        <v>308</v>
      </c>
      <c r="L1381" s="7">
        <f>1</f>
        <v>1</v>
      </c>
      <c r="M1381" s="7">
        <f>1</f>
        <v>1</v>
      </c>
      <c r="N1381" s="5" t="s">
        <v>242</v>
      </c>
      <c r="O1381" s="5">
        <v>1</v>
      </c>
      <c r="P1381" s="5" t="s">
        <v>294</v>
      </c>
      <c r="Q1381" s="5" t="s">
        <v>266</v>
      </c>
      <c r="R1381" s="5" t="s">
        <v>240</v>
      </c>
      <c r="S1381" s="5" t="s">
        <v>240</v>
      </c>
      <c r="T1381" s="5" t="s">
        <v>296</v>
      </c>
      <c r="U1381" s="5" t="s">
        <v>244</v>
      </c>
      <c r="V1381" s="5" t="s">
        <v>240</v>
      </c>
      <c r="Y1381" s="5" t="s">
        <v>240</v>
      </c>
      <c r="Z1381" s="6" t="s">
        <v>298</v>
      </c>
      <c r="AB1381" s="6" t="s">
        <v>240</v>
      </c>
      <c r="AE1381" s="6" t="s">
        <v>299</v>
      </c>
      <c r="AF1381" s="5" t="s">
        <v>248</v>
      </c>
      <c r="AG1381" s="5" t="s">
        <v>249</v>
      </c>
      <c r="AW1381" s="5" t="s">
        <v>251</v>
      </c>
      <c r="AX1381" s="5" t="s">
        <v>240</v>
      </c>
      <c r="AY1381" s="5" t="s">
        <v>253</v>
      </c>
      <c r="AZ1381" s="5" t="s">
        <v>240</v>
      </c>
      <c r="BA1381" s="5" t="s">
        <v>255</v>
      </c>
      <c r="BB1381" s="5" t="s">
        <v>240</v>
      </c>
      <c r="BD1381" s="5" t="s">
        <v>240</v>
      </c>
      <c r="BF1381" s="5" t="s">
        <v>301</v>
      </c>
      <c r="BG1381" s="6" t="s">
        <v>299</v>
      </c>
      <c r="BH1381" s="5" t="s">
        <v>302</v>
      </c>
      <c r="BI1381" s="5" t="s">
        <v>303</v>
      </c>
      <c r="BJ1381" s="5" t="s">
        <v>240</v>
      </c>
      <c r="BK1381" s="8">
        <f>0</f>
        <v>0</v>
      </c>
      <c r="BL1381" s="7">
        <f>0</f>
        <v>0</v>
      </c>
      <c r="BM1381" s="5" t="s">
        <v>258</v>
      </c>
      <c r="BN1381" s="5" t="s">
        <v>259</v>
      </c>
      <c r="CB1381" s="5" t="s">
        <v>240</v>
      </c>
      <c r="CC1381" s="5" t="s">
        <v>240</v>
      </c>
      <c r="CG1381" s="5" t="s">
        <v>304</v>
      </c>
      <c r="CH1381" s="5" t="s">
        <v>305</v>
      </c>
      <c r="CI1381" s="5" t="s">
        <v>240</v>
      </c>
      <c r="CL1381" s="6" t="s">
        <v>261</v>
      </c>
      <c r="CM1381" s="5" t="s">
        <v>240</v>
      </c>
      <c r="CN1381" s="5" t="s">
        <v>263</v>
      </c>
      <c r="CO1381" s="5" t="s">
        <v>240</v>
      </c>
      <c r="CP1381" s="5" t="s">
        <v>240</v>
      </c>
      <c r="CQ1381" s="5">
        <v>0</v>
      </c>
      <c r="CR1381" s="5" t="s">
        <v>306</v>
      </c>
      <c r="CS1381" s="5" t="s">
        <v>307</v>
      </c>
      <c r="CT1381" s="5" t="s">
        <v>307</v>
      </c>
      <c r="CU1381" s="5" t="s">
        <v>260</v>
      </c>
      <c r="CX1381" s="7">
        <f>1</f>
        <v>1</v>
      </c>
      <c r="CY1381" s="7">
        <f>0</f>
        <v>0</v>
      </c>
      <c r="DA1381" s="7">
        <f>0</f>
        <v>0</v>
      </c>
      <c r="DC1381" s="5" t="s">
        <v>812</v>
      </c>
      <c r="DD1381" s="5" t="s">
        <v>240</v>
      </c>
      <c r="DF1381" s="5" t="s">
        <v>812</v>
      </c>
      <c r="DG1381" s="7">
        <f>177</f>
        <v>177</v>
      </c>
      <c r="DI1381" s="5" t="s">
        <v>240</v>
      </c>
      <c r="DJ1381" s="5" t="s">
        <v>240</v>
      </c>
      <c r="DK1381" s="5" t="s">
        <v>240</v>
      </c>
      <c r="DL1381" s="5" t="s">
        <v>240</v>
      </c>
      <c r="DP1381" s="5" t="s">
        <v>240</v>
      </c>
      <c r="DQ1381" s="5" t="s">
        <v>240</v>
      </c>
      <c r="DR1381" s="5" t="s">
        <v>240</v>
      </c>
      <c r="DS1381" s="5" t="s">
        <v>240</v>
      </c>
      <c r="DV1381" s="5" t="s">
        <v>813</v>
      </c>
      <c r="DW1381" s="5" t="s">
        <v>2894</v>
      </c>
      <c r="HO1381" s="5" t="s">
        <v>312</v>
      </c>
    </row>
    <row r="1382" spans="1:223" x14ac:dyDescent="0.4">
      <c r="A1382" s="5">
        <v>3057</v>
      </c>
      <c r="B1382" s="5">
        <v>1</v>
      </c>
      <c r="C1382" s="5">
        <v>1</v>
      </c>
      <c r="D1382" s="5" t="s">
        <v>297</v>
      </c>
      <c r="E1382" s="5" t="s">
        <v>245</v>
      </c>
      <c r="F1382" s="5" t="s">
        <v>254</v>
      </c>
      <c r="G1382" s="5" t="s">
        <v>240</v>
      </c>
      <c r="H1382" s="6" t="s">
        <v>4817</v>
      </c>
      <c r="I1382" s="5" t="s">
        <v>295</v>
      </c>
      <c r="J1382" s="8">
        <f>2586</f>
        <v>2586</v>
      </c>
      <c r="K1382" s="5" t="s">
        <v>308</v>
      </c>
      <c r="L1382" s="7">
        <f>1</f>
        <v>1</v>
      </c>
      <c r="M1382" s="7">
        <f>1</f>
        <v>1</v>
      </c>
      <c r="N1382" s="5" t="s">
        <v>242</v>
      </c>
      <c r="O1382" s="5">
        <v>1</v>
      </c>
      <c r="P1382" s="5" t="s">
        <v>294</v>
      </c>
      <c r="Q1382" s="5" t="s">
        <v>266</v>
      </c>
      <c r="R1382" s="5" t="s">
        <v>240</v>
      </c>
      <c r="S1382" s="5" t="s">
        <v>240</v>
      </c>
      <c r="T1382" s="5" t="s">
        <v>296</v>
      </c>
      <c r="U1382" s="5" t="s">
        <v>244</v>
      </c>
      <c r="V1382" s="5" t="s">
        <v>240</v>
      </c>
      <c r="Y1382" s="5" t="s">
        <v>240</v>
      </c>
      <c r="Z1382" s="6" t="s">
        <v>298</v>
      </c>
      <c r="AB1382" s="6" t="s">
        <v>240</v>
      </c>
      <c r="AE1382" s="6" t="s">
        <v>299</v>
      </c>
      <c r="AF1382" s="5" t="s">
        <v>248</v>
      </c>
      <c r="AG1382" s="5" t="s">
        <v>249</v>
      </c>
      <c r="AW1382" s="5" t="s">
        <v>251</v>
      </c>
      <c r="AX1382" s="5" t="s">
        <v>240</v>
      </c>
      <c r="AY1382" s="5" t="s">
        <v>253</v>
      </c>
      <c r="AZ1382" s="5" t="s">
        <v>240</v>
      </c>
      <c r="BA1382" s="5" t="s">
        <v>255</v>
      </c>
      <c r="BB1382" s="5" t="s">
        <v>240</v>
      </c>
      <c r="BD1382" s="5" t="s">
        <v>240</v>
      </c>
      <c r="BF1382" s="5" t="s">
        <v>301</v>
      </c>
      <c r="BG1382" s="6" t="s">
        <v>299</v>
      </c>
      <c r="BH1382" s="5" t="s">
        <v>302</v>
      </c>
      <c r="BI1382" s="5" t="s">
        <v>303</v>
      </c>
      <c r="BJ1382" s="5" t="s">
        <v>240</v>
      </c>
      <c r="BK1382" s="8">
        <f>0</f>
        <v>0</v>
      </c>
      <c r="BL1382" s="7">
        <f>0</f>
        <v>0</v>
      </c>
      <c r="BM1382" s="5" t="s">
        <v>258</v>
      </c>
      <c r="BN1382" s="5" t="s">
        <v>259</v>
      </c>
      <c r="CB1382" s="5" t="s">
        <v>240</v>
      </c>
      <c r="CC1382" s="5" t="s">
        <v>240</v>
      </c>
      <c r="CG1382" s="5" t="s">
        <v>304</v>
      </c>
      <c r="CH1382" s="5" t="s">
        <v>305</v>
      </c>
      <c r="CI1382" s="5" t="s">
        <v>240</v>
      </c>
      <c r="CL1382" s="6" t="s">
        <v>261</v>
      </c>
      <c r="CM1382" s="5" t="s">
        <v>240</v>
      </c>
      <c r="CN1382" s="5" t="s">
        <v>263</v>
      </c>
      <c r="CO1382" s="5" t="s">
        <v>240</v>
      </c>
      <c r="CP1382" s="5" t="s">
        <v>240</v>
      </c>
      <c r="CQ1382" s="5">
        <v>0</v>
      </c>
      <c r="CR1382" s="5" t="s">
        <v>306</v>
      </c>
      <c r="CS1382" s="5" t="s">
        <v>307</v>
      </c>
      <c r="CT1382" s="5" t="s">
        <v>307</v>
      </c>
      <c r="CU1382" s="5" t="s">
        <v>260</v>
      </c>
      <c r="CX1382" s="7">
        <f>1</f>
        <v>1</v>
      </c>
      <c r="CY1382" s="7">
        <f>0</f>
        <v>0</v>
      </c>
      <c r="DA1382" s="7">
        <f>0</f>
        <v>0</v>
      </c>
      <c r="DC1382" s="5" t="s">
        <v>812</v>
      </c>
      <c r="DD1382" s="5" t="s">
        <v>240</v>
      </c>
      <c r="DF1382" s="5" t="s">
        <v>812</v>
      </c>
      <c r="DG1382" s="7">
        <f>1641</f>
        <v>1641</v>
      </c>
      <c r="DI1382" s="5" t="s">
        <v>240</v>
      </c>
      <c r="DJ1382" s="5" t="s">
        <v>240</v>
      </c>
      <c r="DK1382" s="5" t="s">
        <v>240</v>
      </c>
      <c r="DL1382" s="5" t="s">
        <v>240</v>
      </c>
      <c r="DP1382" s="5" t="s">
        <v>240</v>
      </c>
      <c r="DQ1382" s="5" t="s">
        <v>240</v>
      </c>
      <c r="DR1382" s="5" t="s">
        <v>240</v>
      </c>
      <c r="DS1382" s="5" t="s">
        <v>240</v>
      </c>
      <c r="DV1382" s="5" t="s">
        <v>813</v>
      </c>
      <c r="DW1382" s="5" t="s">
        <v>2896</v>
      </c>
      <c r="HO1382" s="5" t="s">
        <v>312</v>
      </c>
    </row>
    <row r="1383" spans="1:223" x14ac:dyDescent="0.4">
      <c r="A1383" s="5">
        <v>3058</v>
      </c>
      <c r="B1383" s="5">
        <v>1</v>
      </c>
      <c r="C1383" s="5">
        <v>1</v>
      </c>
      <c r="D1383" s="5" t="s">
        <v>297</v>
      </c>
      <c r="E1383" s="5" t="s">
        <v>245</v>
      </c>
      <c r="F1383" s="5" t="s">
        <v>254</v>
      </c>
      <c r="G1383" s="5" t="s">
        <v>240</v>
      </c>
      <c r="H1383" s="6" t="s">
        <v>4816</v>
      </c>
      <c r="I1383" s="5" t="s">
        <v>295</v>
      </c>
      <c r="J1383" s="8">
        <f>643</f>
        <v>643</v>
      </c>
      <c r="K1383" s="5" t="s">
        <v>308</v>
      </c>
      <c r="L1383" s="7">
        <f>1</f>
        <v>1</v>
      </c>
      <c r="M1383" s="7">
        <f>1</f>
        <v>1</v>
      </c>
      <c r="N1383" s="5" t="s">
        <v>242</v>
      </c>
      <c r="O1383" s="5">
        <v>1</v>
      </c>
      <c r="P1383" s="5" t="s">
        <v>294</v>
      </c>
      <c r="Q1383" s="5" t="s">
        <v>266</v>
      </c>
      <c r="R1383" s="5" t="s">
        <v>240</v>
      </c>
      <c r="S1383" s="5" t="s">
        <v>240</v>
      </c>
      <c r="T1383" s="5" t="s">
        <v>296</v>
      </c>
      <c r="U1383" s="5" t="s">
        <v>244</v>
      </c>
      <c r="V1383" s="5" t="s">
        <v>240</v>
      </c>
      <c r="Y1383" s="5" t="s">
        <v>240</v>
      </c>
      <c r="Z1383" s="6" t="s">
        <v>298</v>
      </c>
      <c r="AB1383" s="6" t="s">
        <v>240</v>
      </c>
      <c r="AE1383" s="6" t="s">
        <v>299</v>
      </c>
      <c r="AF1383" s="5" t="s">
        <v>248</v>
      </c>
      <c r="AG1383" s="5" t="s">
        <v>249</v>
      </c>
      <c r="AW1383" s="5" t="s">
        <v>251</v>
      </c>
      <c r="AX1383" s="5" t="s">
        <v>240</v>
      </c>
      <c r="AY1383" s="5" t="s">
        <v>253</v>
      </c>
      <c r="AZ1383" s="5" t="s">
        <v>240</v>
      </c>
      <c r="BA1383" s="5" t="s">
        <v>255</v>
      </c>
      <c r="BB1383" s="5" t="s">
        <v>240</v>
      </c>
      <c r="BD1383" s="5" t="s">
        <v>240</v>
      </c>
      <c r="BF1383" s="5" t="s">
        <v>301</v>
      </c>
      <c r="BG1383" s="6" t="s">
        <v>299</v>
      </c>
      <c r="BH1383" s="5" t="s">
        <v>302</v>
      </c>
      <c r="BI1383" s="5" t="s">
        <v>303</v>
      </c>
      <c r="BJ1383" s="5" t="s">
        <v>240</v>
      </c>
      <c r="BK1383" s="8">
        <f>0</f>
        <v>0</v>
      </c>
      <c r="BL1383" s="7">
        <f>0</f>
        <v>0</v>
      </c>
      <c r="BM1383" s="5" t="s">
        <v>258</v>
      </c>
      <c r="BN1383" s="5" t="s">
        <v>259</v>
      </c>
      <c r="CB1383" s="5" t="s">
        <v>240</v>
      </c>
      <c r="CC1383" s="5" t="s">
        <v>240</v>
      </c>
      <c r="CG1383" s="5" t="s">
        <v>304</v>
      </c>
      <c r="CH1383" s="5" t="s">
        <v>305</v>
      </c>
      <c r="CI1383" s="5" t="s">
        <v>240</v>
      </c>
      <c r="CL1383" s="6" t="s">
        <v>261</v>
      </c>
      <c r="CM1383" s="5" t="s">
        <v>240</v>
      </c>
      <c r="CN1383" s="5" t="s">
        <v>263</v>
      </c>
      <c r="CO1383" s="5" t="s">
        <v>240</v>
      </c>
      <c r="CP1383" s="5" t="s">
        <v>240</v>
      </c>
      <c r="CQ1383" s="5">
        <v>0</v>
      </c>
      <c r="CR1383" s="5" t="s">
        <v>306</v>
      </c>
      <c r="CS1383" s="5" t="s">
        <v>307</v>
      </c>
      <c r="CT1383" s="5" t="s">
        <v>307</v>
      </c>
      <c r="CU1383" s="5" t="s">
        <v>260</v>
      </c>
      <c r="CX1383" s="7">
        <f>1</f>
        <v>1</v>
      </c>
      <c r="CY1383" s="7">
        <f>0</f>
        <v>0</v>
      </c>
      <c r="DA1383" s="7">
        <f>0</f>
        <v>0</v>
      </c>
      <c r="DC1383" s="5" t="s">
        <v>812</v>
      </c>
      <c r="DD1383" s="5" t="s">
        <v>240</v>
      </c>
      <c r="DF1383" s="5" t="s">
        <v>812</v>
      </c>
      <c r="DG1383" s="7">
        <f>529</f>
        <v>529</v>
      </c>
      <c r="DI1383" s="5" t="s">
        <v>240</v>
      </c>
      <c r="DJ1383" s="5" t="s">
        <v>240</v>
      </c>
      <c r="DK1383" s="5" t="s">
        <v>240</v>
      </c>
      <c r="DL1383" s="5" t="s">
        <v>240</v>
      </c>
      <c r="DP1383" s="5" t="s">
        <v>240</v>
      </c>
      <c r="DQ1383" s="5" t="s">
        <v>240</v>
      </c>
      <c r="DR1383" s="5" t="s">
        <v>240</v>
      </c>
      <c r="DS1383" s="5" t="s">
        <v>240</v>
      </c>
      <c r="DV1383" s="5" t="s">
        <v>813</v>
      </c>
      <c r="DW1383" s="5" t="s">
        <v>2898</v>
      </c>
      <c r="HO1383" s="5" t="s">
        <v>312</v>
      </c>
    </row>
    <row r="1384" spans="1:223" x14ac:dyDescent="0.4">
      <c r="A1384" s="5">
        <v>3059</v>
      </c>
      <c r="B1384" s="5">
        <v>1</v>
      </c>
      <c r="C1384" s="5">
        <v>1</v>
      </c>
      <c r="D1384" s="5" t="s">
        <v>297</v>
      </c>
      <c r="E1384" s="5" t="s">
        <v>245</v>
      </c>
      <c r="F1384" s="5" t="s">
        <v>254</v>
      </c>
      <c r="G1384" s="5" t="s">
        <v>240</v>
      </c>
      <c r="H1384" s="6" t="s">
        <v>4815</v>
      </c>
      <c r="I1384" s="5" t="s">
        <v>295</v>
      </c>
      <c r="J1384" s="8">
        <f>1394</f>
        <v>1394</v>
      </c>
      <c r="K1384" s="5" t="s">
        <v>308</v>
      </c>
      <c r="L1384" s="7">
        <f>1</f>
        <v>1</v>
      </c>
      <c r="M1384" s="7">
        <f>1</f>
        <v>1</v>
      </c>
      <c r="N1384" s="5" t="s">
        <v>242</v>
      </c>
      <c r="O1384" s="5">
        <v>1</v>
      </c>
      <c r="P1384" s="5" t="s">
        <v>294</v>
      </c>
      <c r="Q1384" s="5" t="s">
        <v>266</v>
      </c>
      <c r="R1384" s="5" t="s">
        <v>240</v>
      </c>
      <c r="S1384" s="5" t="s">
        <v>240</v>
      </c>
      <c r="T1384" s="5" t="s">
        <v>296</v>
      </c>
      <c r="U1384" s="5" t="s">
        <v>244</v>
      </c>
      <c r="V1384" s="5" t="s">
        <v>240</v>
      </c>
      <c r="Y1384" s="5" t="s">
        <v>240</v>
      </c>
      <c r="Z1384" s="6" t="s">
        <v>298</v>
      </c>
      <c r="AB1384" s="6" t="s">
        <v>240</v>
      </c>
      <c r="AE1384" s="6" t="s">
        <v>299</v>
      </c>
      <c r="AF1384" s="5" t="s">
        <v>248</v>
      </c>
      <c r="AG1384" s="5" t="s">
        <v>249</v>
      </c>
      <c r="AW1384" s="5" t="s">
        <v>251</v>
      </c>
      <c r="AX1384" s="5" t="s">
        <v>240</v>
      </c>
      <c r="AY1384" s="5" t="s">
        <v>253</v>
      </c>
      <c r="AZ1384" s="5" t="s">
        <v>240</v>
      </c>
      <c r="BA1384" s="5" t="s">
        <v>255</v>
      </c>
      <c r="BB1384" s="5" t="s">
        <v>240</v>
      </c>
      <c r="BD1384" s="5" t="s">
        <v>240</v>
      </c>
      <c r="BF1384" s="5" t="s">
        <v>301</v>
      </c>
      <c r="BG1384" s="6" t="s">
        <v>299</v>
      </c>
      <c r="BH1384" s="5" t="s">
        <v>302</v>
      </c>
      <c r="BI1384" s="5" t="s">
        <v>303</v>
      </c>
      <c r="BJ1384" s="5" t="s">
        <v>240</v>
      </c>
      <c r="BK1384" s="8">
        <f>0</f>
        <v>0</v>
      </c>
      <c r="BL1384" s="7">
        <f>0</f>
        <v>0</v>
      </c>
      <c r="BM1384" s="5" t="s">
        <v>258</v>
      </c>
      <c r="BN1384" s="5" t="s">
        <v>259</v>
      </c>
      <c r="CB1384" s="5" t="s">
        <v>240</v>
      </c>
      <c r="CC1384" s="5" t="s">
        <v>240</v>
      </c>
      <c r="CG1384" s="5" t="s">
        <v>304</v>
      </c>
      <c r="CH1384" s="5" t="s">
        <v>305</v>
      </c>
      <c r="CI1384" s="5" t="s">
        <v>240</v>
      </c>
      <c r="CL1384" s="6" t="s">
        <v>261</v>
      </c>
      <c r="CM1384" s="5" t="s">
        <v>240</v>
      </c>
      <c r="CN1384" s="5" t="s">
        <v>263</v>
      </c>
      <c r="CO1384" s="5" t="s">
        <v>240</v>
      </c>
      <c r="CP1384" s="5" t="s">
        <v>240</v>
      </c>
      <c r="CQ1384" s="5">
        <v>0</v>
      </c>
      <c r="CR1384" s="5" t="s">
        <v>306</v>
      </c>
      <c r="CS1384" s="5" t="s">
        <v>307</v>
      </c>
      <c r="CT1384" s="5" t="s">
        <v>307</v>
      </c>
      <c r="CU1384" s="5" t="s">
        <v>260</v>
      </c>
      <c r="CX1384" s="7">
        <f>1</f>
        <v>1</v>
      </c>
      <c r="CY1384" s="7">
        <f>0</f>
        <v>0</v>
      </c>
      <c r="DA1384" s="7">
        <f>0</f>
        <v>0</v>
      </c>
      <c r="DC1384" s="5" t="s">
        <v>812</v>
      </c>
      <c r="DD1384" s="5" t="s">
        <v>240</v>
      </c>
      <c r="DF1384" s="5" t="s">
        <v>812</v>
      </c>
      <c r="DG1384" s="7">
        <f>1333</f>
        <v>1333</v>
      </c>
      <c r="DI1384" s="5" t="s">
        <v>240</v>
      </c>
      <c r="DJ1384" s="5" t="s">
        <v>240</v>
      </c>
      <c r="DK1384" s="5" t="s">
        <v>240</v>
      </c>
      <c r="DL1384" s="5" t="s">
        <v>240</v>
      </c>
      <c r="DP1384" s="5" t="s">
        <v>240</v>
      </c>
      <c r="DQ1384" s="5" t="s">
        <v>240</v>
      </c>
      <c r="DR1384" s="5" t="s">
        <v>240</v>
      </c>
      <c r="DS1384" s="5" t="s">
        <v>240</v>
      </c>
      <c r="DV1384" s="5" t="s">
        <v>813</v>
      </c>
      <c r="DW1384" s="5" t="s">
        <v>2900</v>
      </c>
      <c r="HO1384" s="5" t="s">
        <v>312</v>
      </c>
    </row>
    <row r="1385" spans="1:223" x14ac:dyDescent="0.4">
      <c r="A1385" s="5">
        <v>3060</v>
      </c>
      <c r="B1385" s="5">
        <v>1</v>
      </c>
      <c r="C1385" s="5">
        <v>1</v>
      </c>
      <c r="D1385" s="5" t="s">
        <v>297</v>
      </c>
      <c r="E1385" s="5" t="s">
        <v>245</v>
      </c>
      <c r="F1385" s="5" t="s">
        <v>254</v>
      </c>
      <c r="G1385" s="5" t="s">
        <v>240</v>
      </c>
      <c r="H1385" s="6" t="s">
        <v>4814</v>
      </c>
      <c r="I1385" s="5" t="s">
        <v>295</v>
      </c>
      <c r="J1385" s="8">
        <f>558</f>
        <v>558</v>
      </c>
      <c r="K1385" s="5" t="s">
        <v>308</v>
      </c>
      <c r="L1385" s="7">
        <f>1</f>
        <v>1</v>
      </c>
      <c r="M1385" s="7">
        <f>1</f>
        <v>1</v>
      </c>
      <c r="N1385" s="5" t="s">
        <v>242</v>
      </c>
      <c r="O1385" s="5">
        <v>1</v>
      </c>
      <c r="P1385" s="5" t="s">
        <v>294</v>
      </c>
      <c r="Q1385" s="5" t="s">
        <v>266</v>
      </c>
      <c r="R1385" s="5" t="s">
        <v>240</v>
      </c>
      <c r="S1385" s="5" t="s">
        <v>240</v>
      </c>
      <c r="T1385" s="5" t="s">
        <v>296</v>
      </c>
      <c r="U1385" s="5" t="s">
        <v>244</v>
      </c>
      <c r="V1385" s="5" t="s">
        <v>240</v>
      </c>
      <c r="Y1385" s="5" t="s">
        <v>240</v>
      </c>
      <c r="Z1385" s="6" t="s">
        <v>298</v>
      </c>
      <c r="AB1385" s="6" t="s">
        <v>240</v>
      </c>
      <c r="AE1385" s="6" t="s">
        <v>299</v>
      </c>
      <c r="AF1385" s="5" t="s">
        <v>248</v>
      </c>
      <c r="AG1385" s="5" t="s">
        <v>249</v>
      </c>
      <c r="AW1385" s="5" t="s">
        <v>251</v>
      </c>
      <c r="AX1385" s="5" t="s">
        <v>240</v>
      </c>
      <c r="AY1385" s="5" t="s">
        <v>253</v>
      </c>
      <c r="AZ1385" s="5" t="s">
        <v>240</v>
      </c>
      <c r="BA1385" s="5" t="s">
        <v>255</v>
      </c>
      <c r="BB1385" s="5" t="s">
        <v>240</v>
      </c>
      <c r="BD1385" s="5" t="s">
        <v>240</v>
      </c>
      <c r="BF1385" s="5" t="s">
        <v>301</v>
      </c>
      <c r="BG1385" s="6" t="s">
        <v>299</v>
      </c>
      <c r="BH1385" s="5" t="s">
        <v>302</v>
      </c>
      <c r="BI1385" s="5" t="s">
        <v>303</v>
      </c>
      <c r="BJ1385" s="5" t="s">
        <v>240</v>
      </c>
      <c r="BK1385" s="8">
        <f>0</f>
        <v>0</v>
      </c>
      <c r="BL1385" s="7">
        <f>0</f>
        <v>0</v>
      </c>
      <c r="BM1385" s="5" t="s">
        <v>258</v>
      </c>
      <c r="BN1385" s="5" t="s">
        <v>259</v>
      </c>
      <c r="CB1385" s="5" t="s">
        <v>240</v>
      </c>
      <c r="CC1385" s="5" t="s">
        <v>240</v>
      </c>
      <c r="CG1385" s="5" t="s">
        <v>304</v>
      </c>
      <c r="CH1385" s="5" t="s">
        <v>305</v>
      </c>
      <c r="CI1385" s="5" t="s">
        <v>240</v>
      </c>
      <c r="CL1385" s="6" t="s">
        <v>261</v>
      </c>
      <c r="CM1385" s="5" t="s">
        <v>240</v>
      </c>
      <c r="CN1385" s="5" t="s">
        <v>263</v>
      </c>
      <c r="CO1385" s="5" t="s">
        <v>240</v>
      </c>
      <c r="CP1385" s="5" t="s">
        <v>240</v>
      </c>
      <c r="CQ1385" s="5">
        <v>0</v>
      </c>
      <c r="CR1385" s="5" t="s">
        <v>306</v>
      </c>
      <c r="CS1385" s="5" t="s">
        <v>307</v>
      </c>
      <c r="CT1385" s="5" t="s">
        <v>307</v>
      </c>
      <c r="CU1385" s="5" t="s">
        <v>260</v>
      </c>
      <c r="CX1385" s="7">
        <f>1</f>
        <v>1</v>
      </c>
      <c r="CY1385" s="7">
        <f>0</f>
        <v>0</v>
      </c>
      <c r="DA1385" s="7">
        <f>0</f>
        <v>0</v>
      </c>
      <c r="DC1385" s="5" t="s">
        <v>812</v>
      </c>
      <c r="DD1385" s="5" t="s">
        <v>240</v>
      </c>
      <c r="DF1385" s="5" t="s">
        <v>812</v>
      </c>
      <c r="DG1385" s="7">
        <f>1869</f>
        <v>1869</v>
      </c>
      <c r="DI1385" s="5" t="s">
        <v>240</v>
      </c>
      <c r="DJ1385" s="5" t="s">
        <v>240</v>
      </c>
      <c r="DK1385" s="5" t="s">
        <v>240</v>
      </c>
      <c r="DL1385" s="5" t="s">
        <v>240</v>
      </c>
      <c r="DP1385" s="5" t="s">
        <v>240</v>
      </c>
      <c r="DQ1385" s="5" t="s">
        <v>240</v>
      </c>
      <c r="DR1385" s="5" t="s">
        <v>240</v>
      </c>
      <c r="DS1385" s="5" t="s">
        <v>240</v>
      </c>
      <c r="DV1385" s="5" t="s">
        <v>813</v>
      </c>
      <c r="DW1385" s="5" t="s">
        <v>2902</v>
      </c>
      <c r="HO1385" s="5" t="s">
        <v>312</v>
      </c>
    </row>
    <row r="1386" spans="1:223" x14ac:dyDescent="0.4">
      <c r="A1386" s="5">
        <v>3061</v>
      </c>
      <c r="B1386" s="5">
        <v>1</v>
      </c>
      <c r="C1386" s="5">
        <v>1</v>
      </c>
      <c r="D1386" s="5" t="s">
        <v>297</v>
      </c>
      <c r="E1386" s="5" t="s">
        <v>245</v>
      </c>
      <c r="F1386" s="5" t="s">
        <v>254</v>
      </c>
      <c r="G1386" s="5" t="s">
        <v>240</v>
      </c>
      <c r="H1386" s="6" t="s">
        <v>4813</v>
      </c>
      <c r="I1386" s="5" t="s">
        <v>295</v>
      </c>
      <c r="J1386" s="8">
        <f>1456</f>
        <v>1456</v>
      </c>
      <c r="K1386" s="5" t="s">
        <v>308</v>
      </c>
      <c r="L1386" s="7">
        <f>1</f>
        <v>1</v>
      </c>
      <c r="M1386" s="7">
        <f>1</f>
        <v>1</v>
      </c>
      <c r="N1386" s="5" t="s">
        <v>242</v>
      </c>
      <c r="O1386" s="5">
        <v>1</v>
      </c>
      <c r="P1386" s="5" t="s">
        <v>294</v>
      </c>
      <c r="Q1386" s="5" t="s">
        <v>266</v>
      </c>
      <c r="R1386" s="5" t="s">
        <v>240</v>
      </c>
      <c r="S1386" s="5" t="s">
        <v>240</v>
      </c>
      <c r="T1386" s="5" t="s">
        <v>296</v>
      </c>
      <c r="U1386" s="5" t="s">
        <v>244</v>
      </c>
      <c r="V1386" s="5" t="s">
        <v>240</v>
      </c>
      <c r="Y1386" s="5" t="s">
        <v>240</v>
      </c>
      <c r="Z1386" s="6" t="s">
        <v>298</v>
      </c>
      <c r="AB1386" s="6" t="s">
        <v>240</v>
      </c>
      <c r="AE1386" s="6" t="s">
        <v>299</v>
      </c>
      <c r="AF1386" s="5" t="s">
        <v>248</v>
      </c>
      <c r="AG1386" s="5" t="s">
        <v>249</v>
      </c>
      <c r="AW1386" s="5" t="s">
        <v>251</v>
      </c>
      <c r="AX1386" s="5" t="s">
        <v>240</v>
      </c>
      <c r="AY1386" s="5" t="s">
        <v>253</v>
      </c>
      <c r="AZ1386" s="5" t="s">
        <v>240</v>
      </c>
      <c r="BA1386" s="5" t="s">
        <v>255</v>
      </c>
      <c r="BB1386" s="5" t="s">
        <v>240</v>
      </c>
      <c r="BD1386" s="5" t="s">
        <v>240</v>
      </c>
      <c r="BF1386" s="5" t="s">
        <v>301</v>
      </c>
      <c r="BG1386" s="6" t="s">
        <v>299</v>
      </c>
      <c r="BH1386" s="5" t="s">
        <v>302</v>
      </c>
      <c r="BI1386" s="5" t="s">
        <v>303</v>
      </c>
      <c r="BJ1386" s="5" t="s">
        <v>240</v>
      </c>
      <c r="BK1386" s="8">
        <f>0</f>
        <v>0</v>
      </c>
      <c r="BL1386" s="7">
        <f>0</f>
        <v>0</v>
      </c>
      <c r="BM1386" s="5" t="s">
        <v>258</v>
      </c>
      <c r="BN1386" s="5" t="s">
        <v>259</v>
      </c>
      <c r="CB1386" s="5" t="s">
        <v>240</v>
      </c>
      <c r="CC1386" s="5" t="s">
        <v>240</v>
      </c>
      <c r="CG1386" s="5" t="s">
        <v>304</v>
      </c>
      <c r="CH1386" s="5" t="s">
        <v>305</v>
      </c>
      <c r="CI1386" s="5" t="s">
        <v>240</v>
      </c>
      <c r="CL1386" s="6" t="s">
        <v>261</v>
      </c>
      <c r="CM1386" s="5" t="s">
        <v>240</v>
      </c>
      <c r="CN1386" s="5" t="s">
        <v>263</v>
      </c>
      <c r="CO1386" s="5" t="s">
        <v>240</v>
      </c>
      <c r="CP1386" s="5" t="s">
        <v>240</v>
      </c>
      <c r="CQ1386" s="5">
        <v>0</v>
      </c>
      <c r="CR1386" s="5" t="s">
        <v>306</v>
      </c>
      <c r="CS1386" s="5" t="s">
        <v>307</v>
      </c>
      <c r="CT1386" s="5" t="s">
        <v>307</v>
      </c>
      <c r="CU1386" s="5" t="s">
        <v>260</v>
      </c>
      <c r="CX1386" s="7">
        <f>1</f>
        <v>1</v>
      </c>
      <c r="CY1386" s="7">
        <f>0</f>
        <v>0</v>
      </c>
      <c r="DA1386" s="7">
        <f>0</f>
        <v>0</v>
      </c>
      <c r="DC1386" s="5" t="s">
        <v>812</v>
      </c>
      <c r="DD1386" s="5" t="s">
        <v>240</v>
      </c>
      <c r="DF1386" s="5" t="s">
        <v>812</v>
      </c>
      <c r="DG1386" s="7">
        <f>635</f>
        <v>635</v>
      </c>
      <c r="DI1386" s="5" t="s">
        <v>240</v>
      </c>
      <c r="DJ1386" s="5" t="s">
        <v>240</v>
      </c>
      <c r="DK1386" s="5" t="s">
        <v>240</v>
      </c>
      <c r="DL1386" s="5" t="s">
        <v>240</v>
      </c>
      <c r="DP1386" s="5" t="s">
        <v>240</v>
      </c>
      <c r="DQ1386" s="5" t="s">
        <v>240</v>
      </c>
      <c r="DR1386" s="5" t="s">
        <v>240</v>
      </c>
      <c r="DS1386" s="5" t="s">
        <v>240</v>
      </c>
      <c r="DV1386" s="5" t="s">
        <v>813</v>
      </c>
      <c r="DW1386" s="5" t="s">
        <v>2904</v>
      </c>
      <c r="HO1386" s="5" t="s">
        <v>312</v>
      </c>
    </row>
    <row r="1387" spans="1:223" x14ac:dyDescent="0.4">
      <c r="A1387" s="5">
        <v>3062</v>
      </c>
      <c r="B1387" s="5">
        <v>1</v>
      </c>
      <c r="C1387" s="5">
        <v>1</v>
      </c>
      <c r="D1387" s="5" t="s">
        <v>297</v>
      </c>
      <c r="E1387" s="5" t="s">
        <v>245</v>
      </c>
      <c r="F1387" s="5" t="s">
        <v>254</v>
      </c>
      <c r="G1387" s="5" t="s">
        <v>240</v>
      </c>
      <c r="H1387" s="6" t="s">
        <v>4812</v>
      </c>
      <c r="I1387" s="5" t="s">
        <v>295</v>
      </c>
      <c r="J1387" s="8">
        <f>592</f>
        <v>592</v>
      </c>
      <c r="K1387" s="5" t="s">
        <v>308</v>
      </c>
      <c r="L1387" s="7">
        <f>1</f>
        <v>1</v>
      </c>
      <c r="M1387" s="7">
        <f>1</f>
        <v>1</v>
      </c>
      <c r="N1387" s="5" t="s">
        <v>242</v>
      </c>
      <c r="O1387" s="5">
        <v>1</v>
      </c>
      <c r="P1387" s="5" t="s">
        <v>294</v>
      </c>
      <c r="Q1387" s="5" t="s">
        <v>266</v>
      </c>
      <c r="R1387" s="5" t="s">
        <v>240</v>
      </c>
      <c r="S1387" s="5" t="s">
        <v>240</v>
      </c>
      <c r="T1387" s="5" t="s">
        <v>296</v>
      </c>
      <c r="U1387" s="5" t="s">
        <v>244</v>
      </c>
      <c r="V1387" s="5" t="s">
        <v>240</v>
      </c>
      <c r="Y1387" s="5" t="s">
        <v>240</v>
      </c>
      <c r="Z1387" s="6" t="s">
        <v>298</v>
      </c>
      <c r="AB1387" s="6" t="s">
        <v>240</v>
      </c>
      <c r="AE1387" s="6" t="s">
        <v>299</v>
      </c>
      <c r="AF1387" s="5" t="s">
        <v>248</v>
      </c>
      <c r="AG1387" s="5" t="s">
        <v>249</v>
      </c>
      <c r="AW1387" s="5" t="s">
        <v>251</v>
      </c>
      <c r="AX1387" s="5" t="s">
        <v>240</v>
      </c>
      <c r="AY1387" s="5" t="s">
        <v>253</v>
      </c>
      <c r="AZ1387" s="5" t="s">
        <v>240</v>
      </c>
      <c r="BA1387" s="5" t="s">
        <v>255</v>
      </c>
      <c r="BB1387" s="5" t="s">
        <v>240</v>
      </c>
      <c r="BD1387" s="5" t="s">
        <v>240</v>
      </c>
      <c r="BF1387" s="5" t="s">
        <v>301</v>
      </c>
      <c r="BG1387" s="6" t="s">
        <v>299</v>
      </c>
      <c r="BH1387" s="5" t="s">
        <v>302</v>
      </c>
      <c r="BI1387" s="5" t="s">
        <v>303</v>
      </c>
      <c r="BJ1387" s="5" t="s">
        <v>240</v>
      </c>
      <c r="BK1387" s="8">
        <f>0</f>
        <v>0</v>
      </c>
      <c r="BL1387" s="7">
        <f>0</f>
        <v>0</v>
      </c>
      <c r="BM1387" s="5" t="s">
        <v>258</v>
      </c>
      <c r="BN1387" s="5" t="s">
        <v>259</v>
      </c>
      <c r="CB1387" s="5" t="s">
        <v>240</v>
      </c>
      <c r="CC1387" s="5" t="s">
        <v>240</v>
      </c>
      <c r="CG1387" s="5" t="s">
        <v>304</v>
      </c>
      <c r="CH1387" s="5" t="s">
        <v>305</v>
      </c>
      <c r="CI1387" s="5" t="s">
        <v>240</v>
      </c>
      <c r="CL1387" s="6" t="s">
        <v>261</v>
      </c>
      <c r="CM1387" s="5" t="s">
        <v>240</v>
      </c>
      <c r="CN1387" s="5" t="s">
        <v>263</v>
      </c>
      <c r="CO1387" s="5" t="s">
        <v>240</v>
      </c>
      <c r="CP1387" s="5" t="s">
        <v>240</v>
      </c>
      <c r="CQ1387" s="5">
        <v>0</v>
      </c>
      <c r="CR1387" s="5" t="s">
        <v>306</v>
      </c>
      <c r="CS1387" s="5" t="s">
        <v>307</v>
      </c>
      <c r="CT1387" s="5" t="s">
        <v>307</v>
      </c>
      <c r="CU1387" s="5" t="s">
        <v>260</v>
      </c>
      <c r="CX1387" s="7">
        <f>1</f>
        <v>1</v>
      </c>
      <c r="CY1387" s="7">
        <f>0</f>
        <v>0</v>
      </c>
      <c r="DA1387" s="7">
        <f>0</f>
        <v>0</v>
      </c>
      <c r="DC1387" s="5" t="s">
        <v>812</v>
      </c>
      <c r="DD1387" s="5" t="s">
        <v>240</v>
      </c>
      <c r="DF1387" s="5" t="s">
        <v>812</v>
      </c>
      <c r="DG1387" s="7">
        <f>250</f>
        <v>250</v>
      </c>
      <c r="DI1387" s="5" t="s">
        <v>240</v>
      </c>
      <c r="DJ1387" s="5" t="s">
        <v>240</v>
      </c>
      <c r="DK1387" s="5" t="s">
        <v>240</v>
      </c>
      <c r="DL1387" s="5" t="s">
        <v>240</v>
      </c>
      <c r="DP1387" s="5" t="s">
        <v>240</v>
      </c>
      <c r="DQ1387" s="5" t="s">
        <v>240</v>
      </c>
      <c r="DR1387" s="5" t="s">
        <v>240</v>
      </c>
      <c r="DS1387" s="5" t="s">
        <v>240</v>
      </c>
      <c r="DV1387" s="5" t="s">
        <v>813</v>
      </c>
      <c r="DW1387" s="5" t="s">
        <v>2906</v>
      </c>
      <c r="HO1387" s="5" t="s">
        <v>312</v>
      </c>
    </row>
    <row r="1388" spans="1:223" x14ac:dyDescent="0.4">
      <c r="A1388" s="5">
        <v>3063</v>
      </c>
      <c r="B1388" s="5">
        <v>1</v>
      </c>
      <c r="C1388" s="5">
        <v>1</v>
      </c>
      <c r="D1388" s="5" t="s">
        <v>297</v>
      </c>
      <c r="E1388" s="5" t="s">
        <v>245</v>
      </c>
      <c r="F1388" s="5" t="s">
        <v>254</v>
      </c>
      <c r="G1388" s="5" t="s">
        <v>240</v>
      </c>
      <c r="H1388" s="6" t="s">
        <v>4811</v>
      </c>
      <c r="I1388" s="5" t="s">
        <v>295</v>
      </c>
      <c r="J1388" s="8">
        <f>259</f>
        <v>259</v>
      </c>
      <c r="K1388" s="5" t="s">
        <v>308</v>
      </c>
      <c r="L1388" s="7">
        <f>1</f>
        <v>1</v>
      </c>
      <c r="M1388" s="7">
        <f>1</f>
        <v>1</v>
      </c>
      <c r="N1388" s="5" t="s">
        <v>242</v>
      </c>
      <c r="O1388" s="5">
        <v>1</v>
      </c>
      <c r="P1388" s="5" t="s">
        <v>294</v>
      </c>
      <c r="Q1388" s="5" t="s">
        <v>266</v>
      </c>
      <c r="R1388" s="5" t="s">
        <v>240</v>
      </c>
      <c r="S1388" s="5" t="s">
        <v>240</v>
      </c>
      <c r="T1388" s="5" t="s">
        <v>296</v>
      </c>
      <c r="U1388" s="5" t="s">
        <v>244</v>
      </c>
      <c r="V1388" s="5" t="s">
        <v>240</v>
      </c>
      <c r="Y1388" s="5" t="s">
        <v>240</v>
      </c>
      <c r="Z1388" s="6" t="s">
        <v>298</v>
      </c>
      <c r="AB1388" s="6" t="s">
        <v>240</v>
      </c>
      <c r="AE1388" s="6" t="s">
        <v>299</v>
      </c>
      <c r="AF1388" s="5" t="s">
        <v>248</v>
      </c>
      <c r="AG1388" s="5" t="s">
        <v>249</v>
      </c>
      <c r="AW1388" s="5" t="s">
        <v>251</v>
      </c>
      <c r="AX1388" s="5" t="s">
        <v>240</v>
      </c>
      <c r="AY1388" s="5" t="s">
        <v>253</v>
      </c>
      <c r="AZ1388" s="5" t="s">
        <v>240</v>
      </c>
      <c r="BA1388" s="5" t="s">
        <v>255</v>
      </c>
      <c r="BB1388" s="5" t="s">
        <v>240</v>
      </c>
      <c r="BD1388" s="5" t="s">
        <v>240</v>
      </c>
      <c r="BF1388" s="5" t="s">
        <v>301</v>
      </c>
      <c r="BG1388" s="6" t="s">
        <v>299</v>
      </c>
      <c r="BH1388" s="5" t="s">
        <v>302</v>
      </c>
      <c r="BI1388" s="5" t="s">
        <v>303</v>
      </c>
      <c r="BJ1388" s="5" t="s">
        <v>240</v>
      </c>
      <c r="BK1388" s="8">
        <f>0</f>
        <v>0</v>
      </c>
      <c r="BL1388" s="7">
        <f>0</f>
        <v>0</v>
      </c>
      <c r="BM1388" s="5" t="s">
        <v>258</v>
      </c>
      <c r="BN1388" s="5" t="s">
        <v>259</v>
      </c>
      <c r="CB1388" s="5" t="s">
        <v>240</v>
      </c>
      <c r="CC1388" s="5" t="s">
        <v>240</v>
      </c>
      <c r="CG1388" s="5" t="s">
        <v>304</v>
      </c>
      <c r="CH1388" s="5" t="s">
        <v>305</v>
      </c>
      <c r="CI1388" s="5" t="s">
        <v>240</v>
      </c>
      <c r="CL1388" s="6" t="s">
        <v>261</v>
      </c>
      <c r="CM1388" s="5" t="s">
        <v>240</v>
      </c>
      <c r="CN1388" s="5" t="s">
        <v>263</v>
      </c>
      <c r="CO1388" s="5" t="s">
        <v>240</v>
      </c>
      <c r="CP1388" s="5" t="s">
        <v>240</v>
      </c>
      <c r="CQ1388" s="5">
        <v>0</v>
      </c>
      <c r="CR1388" s="5" t="s">
        <v>306</v>
      </c>
      <c r="CS1388" s="5" t="s">
        <v>307</v>
      </c>
      <c r="CT1388" s="5" t="s">
        <v>307</v>
      </c>
      <c r="CU1388" s="5" t="s">
        <v>260</v>
      </c>
      <c r="CX1388" s="7">
        <f>1</f>
        <v>1</v>
      </c>
      <c r="CY1388" s="7">
        <f>0</f>
        <v>0</v>
      </c>
      <c r="DA1388" s="7">
        <f>0</f>
        <v>0</v>
      </c>
      <c r="DC1388" s="5" t="s">
        <v>812</v>
      </c>
      <c r="DD1388" s="5" t="s">
        <v>240</v>
      </c>
      <c r="DF1388" s="5" t="s">
        <v>812</v>
      </c>
      <c r="DG1388" s="7">
        <f>28</f>
        <v>28</v>
      </c>
      <c r="DI1388" s="5" t="s">
        <v>240</v>
      </c>
      <c r="DJ1388" s="5" t="s">
        <v>240</v>
      </c>
      <c r="DK1388" s="5" t="s">
        <v>240</v>
      </c>
      <c r="DL1388" s="5" t="s">
        <v>240</v>
      </c>
      <c r="DP1388" s="5" t="s">
        <v>240</v>
      </c>
      <c r="DQ1388" s="5" t="s">
        <v>240</v>
      </c>
      <c r="DR1388" s="5" t="s">
        <v>240</v>
      </c>
      <c r="DS1388" s="5" t="s">
        <v>240</v>
      </c>
      <c r="DV1388" s="5" t="s">
        <v>813</v>
      </c>
      <c r="DW1388" s="5" t="s">
        <v>2908</v>
      </c>
      <c r="HO1388" s="5" t="s">
        <v>312</v>
      </c>
    </row>
    <row r="1389" spans="1:223" x14ac:dyDescent="0.4">
      <c r="A1389" s="5">
        <v>3064</v>
      </c>
      <c r="B1389" s="5">
        <v>1</v>
      </c>
      <c r="C1389" s="5">
        <v>1</v>
      </c>
      <c r="D1389" s="5" t="s">
        <v>297</v>
      </c>
      <c r="E1389" s="5" t="s">
        <v>245</v>
      </c>
      <c r="F1389" s="5" t="s">
        <v>254</v>
      </c>
      <c r="G1389" s="5" t="s">
        <v>240</v>
      </c>
      <c r="H1389" s="6" t="s">
        <v>4810</v>
      </c>
      <c r="I1389" s="5" t="s">
        <v>295</v>
      </c>
      <c r="J1389" s="8">
        <f>2081</f>
        <v>2081</v>
      </c>
      <c r="K1389" s="5" t="s">
        <v>308</v>
      </c>
      <c r="L1389" s="7">
        <f>1</f>
        <v>1</v>
      </c>
      <c r="M1389" s="7">
        <f>1</f>
        <v>1</v>
      </c>
      <c r="N1389" s="5" t="s">
        <v>242</v>
      </c>
      <c r="O1389" s="5">
        <v>1</v>
      </c>
      <c r="P1389" s="5" t="s">
        <v>294</v>
      </c>
      <c r="Q1389" s="5" t="s">
        <v>266</v>
      </c>
      <c r="R1389" s="5" t="s">
        <v>240</v>
      </c>
      <c r="S1389" s="5" t="s">
        <v>240</v>
      </c>
      <c r="T1389" s="5" t="s">
        <v>296</v>
      </c>
      <c r="U1389" s="5" t="s">
        <v>244</v>
      </c>
      <c r="V1389" s="5" t="s">
        <v>240</v>
      </c>
      <c r="Y1389" s="5" t="s">
        <v>240</v>
      </c>
      <c r="Z1389" s="6" t="s">
        <v>298</v>
      </c>
      <c r="AB1389" s="6" t="s">
        <v>240</v>
      </c>
      <c r="AE1389" s="6" t="s">
        <v>299</v>
      </c>
      <c r="AF1389" s="5" t="s">
        <v>248</v>
      </c>
      <c r="AG1389" s="5" t="s">
        <v>249</v>
      </c>
      <c r="AW1389" s="5" t="s">
        <v>251</v>
      </c>
      <c r="AX1389" s="5" t="s">
        <v>240</v>
      </c>
      <c r="AY1389" s="5" t="s">
        <v>253</v>
      </c>
      <c r="AZ1389" s="5" t="s">
        <v>240</v>
      </c>
      <c r="BA1389" s="5" t="s">
        <v>255</v>
      </c>
      <c r="BB1389" s="5" t="s">
        <v>240</v>
      </c>
      <c r="BD1389" s="5" t="s">
        <v>240</v>
      </c>
      <c r="BF1389" s="5" t="s">
        <v>301</v>
      </c>
      <c r="BG1389" s="6" t="s">
        <v>299</v>
      </c>
      <c r="BH1389" s="5" t="s">
        <v>302</v>
      </c>
      <c r="BI1389" s="5" t="s">
        <v>303</v>
      </c>
      <c r="BJ1389" s="5" t="s">
        <v>240</v>
      </c>
      <c r="BK1389" s="8">
        <f>0</f>
        <v>0</v>
      </c>
      <c r="BL1389" s="7">
        <f>0</f>
        <v>0</v>
      </c>
      <c r="BM1389" s="5" t="s">
        <v>258</v>
      </c>
      <c r="BN1389" s="5" t="s">
        <v>259</v>
      </c>
      <c r="CB1389" s="5" t="s">
        <v>240</v>
      </c>
      <c r="CC1389" s="5" t="s">
        <v>240</v>
      </c>
      <c r="CG1389" s="5" t="s">
        <v>304</v>
      </c>
      <c r="CH1389" s="5" t="s">
        <v>305</v>
      </c>
      <c r="CI1389" s="5" t="s">
        <v>240</v>
      </c>
      <c r="CL1389" s="6" t="s">
        <v>261</v>
      </c>
      <c r="CM1389" s="5" t="s">
        <v>240</v>
      </c>
      <c r="CN1389" s="5" t="s">
        <v>263</v>
      </c>
      <c r="CO1389" s="5" t="s">
        <v>240</v>
      </c>
      <c r="CP1389" s="5" t="s">
        <v>240</v>
      </c>
      <c r="CQ1389" s="5">
        <v>0</v>
      </c>
      <c r="CR1389" s="5" t="s">
        <v>306</v>
      </c>
      <c r="CS1389" s="5" t="s">
        <v>307</v>
      </c>
      <c r="CT1389" s="5" t="s">
        <v>307</v>
      </c>
      <c r="CU1389" s="5" t="s">
        <v>260</v>
      </c>
      <c r="CX1389" s="7">
        <f>1</f>
        <v>1</v>
      </c>
      <c r="CY1389" s="7">
        <f>0</f>
        <v>0</v>
      </c>
      <c r="DA1389" s="7">
        <f>0</f>
        <v>0</v>
      </c>
      <c r="DC1389" s="5" t="s">
        <v>812</v>
      </c>
      <c r="DD1389" s="5" t="s">
        <v>240</v>
      </c>
      <c r="DF1389" s="5" t="s">
        <v>812</v>
      </c>
      <c r="DG1389" s="7">
        <f>1847</f>
        <v>1847</v>
      </c>
      <c r="DI1389" s="5" t="s">
        <v>240</v>
      </c>
      <c r="DJ1389" s="5" t="s">
        <v>240</v>
      </c>
      <c r="DK1389" s="5" t="s">
        <v>240</v>
      </c>
      <c r="DL1389" s="5" t="s">
        <v>240</v>
      </c>
      <c r="DP1389" s="5" t="s">
        <v>240</v>
      </c>
      <c r="DQ1389" s="5" t="s">
        <v>240</v>
      </c>
      <c r="DR1389" s="5" t="s">
        <v>240</v>
      </c>
      <c r="DS1389" s="5" t="s">
        <v>240</v>
      </c>
      <c r="DV1389" s="5" t="s">
        <v>813</v>
      </c>
      <c r="DW1389" s="5" t="s">
        <v>2910</v>
      </c>
      <c r="HO1389" s="5" t="s">
        <v>312</v>
      </c>
    </row>
    <row r="1390" spans="1:223" x14ac:dyDescent="0.4">
      <c r="A1390" s="5">
        <v>3065</v>
      </c>
      <c r="B1390" s="5">
        <v>1</v>
      </c>
      <c r="C1390" s="5">
        <v>1</v>
      </c>
      <c r="D1390" s="5" t="s">
        <v>297</v>
      </c>
      <c r="E1390" s="5" t="s">
        <v>245</v>
      </c>
      <c r="F1390" s="5" t="s">
        <v>254</v>
      </c>
      <c r="G1390" s="5" t="s">
        <v>240</v>
      </c>
      <c r="H1390" s="6" t="s">
        <v>4809</v>
      </c>
      <c r="I1390" s="5" t="s">
        <v>295</v>
      </c>
      <c r="J1390" s="8">
        <f>1174</f>
        <v>1174</v>
      </c>
      <c r="K1390" s="5" t="s">
        <v>308</v>
      </c>
      <c r="L1390" s="7">
        <f>1</f>
        <v>1</v>
      </c>
      <c r="M1390" s="7">
        <f>1</f>
        <v>1</v>
      </c>
      <c r="N1390" s="5" t="s">
        <v>242</v>
      </c>
      <c r="O1390" s="5">
        <v>1</v>
      </c>
      <c r="P1390" s="5" t="s">
        <v>294</v>
      </c>
      <c r="Q1390" s="5" t="s">
        <v>266</v>
      </c>
      <c r="R1390" s="5" t="s">
        <v>240</v>
      </c>
      <c r="S1390" s="5" t="s">
        <v>240</v>
      </c>
      <c r="T1390" s="5" t="s">
        <v>296</v>
      </c>
      <c r="U1390" s="5" t="s">
        <v>244</v>
      </c>
      <c r="V1390" s="5" t="s">
        <v>240</v>
      </c>
      <c r="Y1390" s="5" t="s">
        <v>240</v>
      </c>
      <c r="Z1390" s="6" t="s">
        <v>298</v>
      </c>
      <c r="AB1390" s="6" t="s">
        <v>240</v>
      </c>
      <c r="AE1390" s="6" t="s">
        <v>299</v>
      </c>
      <c r="AF1390" s="5" t="s">
        <v>248</v>
      </c>
      <c r="AG1390" s="5" t="s">
        <v>249</v>
      </c>
      <c r="AW1390" s="5" t="s">
        <v>251</v>
      </c>
      <c r="AX1390" s="5" t="s">
        <v>240</v>
      </c>
      <c r="AY1390" s="5" t="s">
        <v>253</v>
      </c>
      <c r="AZ1390" s="5" t="s">
        <v>240</v>
      </c>
      <c r="BA1390" s="5" t="s">
        <v>255</v>
      </c>
      <c r="BB1390" s="5" t="s">
        <v>240</v>
      </c>
      <c r="BD1390" s="5" t="s">
        <v>240</v>
      </c>
      <c r="BF1390" s="5" t="s">
        <v>301</v>
      </c>
      <c r="BG1390" s="6" t="s">
        <v>299</v>
      </c>
      <c r="BH1390" s="5" t="s">
        <v>302</v>
      </c>
      <c r="BI1390" s="5" t="s">
        <v>303</v>
      </c>
      <c r="BJ1390" s="5" t="s">
        <v>240</v>
      </c>
      <c r="BK1390" s="8">
        <f>0</f>
        <v>0</v>
      </c>
      <c r="BL1390" s="7">
        <f>0</f>
        <v>0</v>
      </c>
      <c r="BM1390" s="5" t="s">
        <v>258</v>
      </c>
      <c r="BN1390" s="5" t="s">
        <v>259</v>
      </c>
      <c r="CB1390" s="5" t="s">
        <v>240</v>
      </c>
      <c r="CC1390" s="5" t="s">
        <v>240</v>
      </c>
      <c r="CG1390" s="5" t="s">
        <v>304</v>
      </c>
      <c r="CH1390" s="5" t="s">
        <v>305</v>
      </c>
      <c r="CI1390" s="5" t="s">
        <v>240</v>
      </c>
      <c r="CL1390" s="6" t="s">
        <v>261</v>
      </c>
      <c r="CM1390" s="5" t="s">
        <v>240</v>
      </c>
      <c r="CN1390" s="5" t="s">
        <v>263</v>
      </c>
      <c r="CO1390" s="5" t="s">
        <v>240</v>
      </c>
      <c r="CP1390" s="5" t="s">
        <v>240</v>
      </c>
      <c r="CQ1390" s="5">
        <v>0</v>
      </c>
      <c r="CR1390" s="5" t="s">
        <v>306</v>
      </c>
      <c r="CS1390" s="5" t="s">
        <v>307</v>
      </c>
      <c r="CT1390" s="5" t="s">
        <v>307</v>
      </c>
      <c r="CU1390" s="5" t="s">
        <v>260</v>
      </c>
      <c r="CX1390" s="7">
        <f>1</f>
        <v>1</v>
      </c>
      <c r="CY1390" s="7">
        <f>0</f>
        <v>0</v>
      </c>
      <c r="DA1390" s="7">
        <f>0</f>
        <v>0</v>
      </c>
      <c r="DC1390" s="5" t="s">
        <v>812</v>
      </c>
      <c r="DD1390" s="5" t="s">
        <v>240</v>
      </c>
      <c r="DF1390" s="5" t="s">
        <v>812</v>
      </c>
      <c r="DG1390" s="7">
        <f>336</f>
        <v>336</v>
      </c>
      <c r="DI1390" s="5" t="s">
        <v>240</v>
      </c>
      <c r="DJ1390" s="5" t="s">
        <v>240</v>
      </c>
      <c r="DK1390" s="5" t="s">
        <v>240</v>
      </c>
      <c r="DL1390" s="5" t="s">
        <v>240</v>
      </c>
      <c r="DP1390" s="5" t="s">
        <v>240</v>
      </c>
      <c r="DQ1390" s="5" t="s">
        <v>240</v>
      </c>
      <c r="DR1390" s="5" t="s">
        <v>240</v>
      </c>
      <c r="DS1390" s="5" t="s">
        <v>240</v>
      </c>
      <c r="DV1390" s="5" t="s">
        <v>813</v>
      </c>
      <c r="DW1390" s="5" t="s">
        <v>2912</v>
      </c>
      <c r="HO1390" s="5" t="s">
        <v>312</v>
      </c>
    </row>
    <row r="1391" spans="1:223" x14ac:dyDescent="0.4">
      <c r="A1391" s="5">
        <v>3066</v>
      </c>
      <c r="B1391" s="5">
        <v>1</v>
      </c>
      <c r="C1391" s="5">
        <v>1</v>
      </c>
      <c r="D1391" s="5" t="s">
        <v>297</v>
      </c>
      <c r="E1391" s="5" t="s">
        <v>245</v>
      </c>
      <c r="F1391" s="5" t="s">
        <v>254</v>
      </c>
      <c r="G1391" s="5" t="s">
        <v>240</v>
      </c>
      <c r="H1391" s="6" t="s">
        <v>4808</v>
      </c>
      <c r="I1391" s="5" t="s">
        <v>295</v>
      </c>
      <c r="J1391" s="8">
        <f>1175</f>
        <v>1175</v>
      </c>
      <c r="K1391" s="5" t="s">
        <v>308</v>
      </c>
      <c r="L1391" s="7">
        <f>1</f>
        <v>1</v>
      </c>
      <c r="M1391" s="7">
        <f>1</f>
        <v>1</v>
      </c>
      <c r="N1391" s="5" t="s">
        <v>242</v>
      </c>
      <c r="O1391" s="5">
        <v>1</v>
      </c>
      <c r="P1391" s="5" t="s">
        <v>294</v>
      </c>
      <c r="Q1391" s="5" t="s">
        <v>266</v>
      </c>
      <c r="R1391" s="5" t="s">
        <v>240</v>
      </c>
      <c r="S1391" s="5" t="s">
        <v>240</v>
      </c>
      <c r="T1391" s="5" t="s">
        <v>296</v>
      </c>
      <c r="U1391" s="5" t="s">
        <v>244</v>
      </c>
      <c r="V1391" s="5" t="s">
        <v>240</v>
      </c>
      <c r="Y1391" s="5" t="s">
        <v>240</v>
      </c>
      <c r="Z1391" s="6" t="s">
        <v>298</v>
      </c>
      <c r="AB1391" s="6" t="s">
        <v>240</v>
      </c>
      <c r="AE1391" s="6" t="s">
        <v>299</v>
      </c>
      <c r="AF1391" s="5" t="s">
        <v>248</v>
      </c>
      <c r="AG1391" s="5" t="s">
        <v>249</v>
      </c>
      <c r="AW1391" s="5" t="s">
        <v>251</v>
      </c>
      <c r="AX1391" s="5" t="s">
        <v>240</v>
      </c>
      <c r="AY1391" s="5" t="s">
        <v>253</v>
      </c>
      <c r="AZ1391" s="5" t="s">
        <v>240</v>
      </c>
      <c r="BA1391" s="5" t="s">
        <v>255</v>
      </c>
      <c r="BB1391" s="5" t="s">
        <v>240</v>
      </c>
      <c r="BD1391" s="5" t="s">
        <v>240</v>
      </c>
      <c r="BF1391" s="5" t="s">
        <v>301</v>
      </c>
      <c r="BG1391" s="6" t="s">
        <v>299</v>
      </c>
      <c r="BH1391" s="5" t="s">
        <v>302</v>
      </c>
      <c r="BI1391" s="5" t="s">
        <v>303</v>
      </c>
      <c r="BJ1391" s="5" t="s">
        <v>240</v>
      </c>
      <c r="BK1391" s="8">
        <f>0</f>
        <v>0</v>
      </c>
      <c r="BL1391" s="7">
        <f>0</f>
        <v>0</v>
      </c>
      <c r="BM1391" s="5" t="s">
        <v>258</v>
      </c>
      <c r="BN1391" s="5" t="s">
        <v>259</v>
      </c>
      <c r="CB1391" s="5" t="s">
        <v>240</v>
      </c>
      <c r="CC1391" s="5" t="s">
        <v>240</v>
      </c>
      <c r="CG1391" s="5" t="s">
        <v>304</v>
      </c>
      <c r="CH1391" s="5" t="s">
        <v>305</v>
      </c>
      <c r="CI1391" s="5" t="s">
        <v>240</v>
      </c>
      <c r="CL1391" s="6" t="s">
        <v>261</v>
      </c>
      <c r="CM1391" s="5" t="s">
        <v>240</v>
      </c>
      <c r="CN1391" s="5" t="s">
        <v>263</v>
      </c>
      <c r="CO1391" s="5" t="s">
        <v>240</v>
      </c>
      <c r="CP1391" s="5" t="s">
        <v>240</v>
      </c>
      <c r="CQ1391" s="5">
        <v>0</v>
      </c>
      <c r="CR1391" s="5" t="s">
        <v>306</v>
      </c>
      <c r="CS1391" s="5" t="s">
        <v>307</v>
      </c>
      <c r="CT1391" s="5" t="s">
        <v>307</v>
      </c>
      <c r="CU1391" s="5" t="s">
        <v>260</v>
      </c>
      <c r="CX1391" s="7">
        <f>1</f>
        <v>1</v>
      </c>
      <c r="CY1391" s="7">
        <f>0</f>
        <v>0</v>
      </c>
      <c r="DA1391" s="7">
        <f>0</f>
        <v>0</v>
      </c>
      <c r="DC1391" s="5" t="s">
        <v>812</v>
      </c>
      <c r="DD1391" s="5" t="s">
        <v>240</v>
      </c>
      <c r="DF1391" s="5" t="s">
        <v>812</v>
      </c>
      <c r="DG1391" s="7">
        <f>1865</f>
        <v>1865</v>
      </c>
      <c r="DI1391" s="5" t="s">
        <v>240</v>
      </c>
      <c r="DJ1391" s="5" t="s">
        <v>240</v>
      </c>
      <c r="DK1391" s="5" t="s">
        <v>240</v>
      </c>
      <c r="DL1391" s="5" t="s">
        <v>240</v>
      </c>
      <c r="DP1391" s="5" t="s">
        <v>240</v>
      </c>
      <c r="DQ1391" s="5" t="s">
        <v>240</v>
      </c>
      <c r="DR1391" s="5" t="s">
        <v>240</v>
      </c>
      <c r="DS1391" s="5" t="s">
        <v>240</v>
      </c>
      <c r="DV1391" s="5" t="s">
        <v>813</v>
      </c>
      <c r="DW1391" s="5" t="s">
        <v>2914</v>
      </c>
      <c r="HO1391" s="5" t="s">
        <v>312</v>
      </c>
    </row>
    <row r="1392" spans="1:223" x14ac:dyDescent="0.4">
      <c r="A1392" s="5">
        <v>3067</v>
      </c>
      <c r="B1392" s="5">
        <v>1</v>
      </c>
      <c r="C1392" s="5">
        <v>1</v>
      </c>
      <c r="D1392" s="5" t="s">
        <v>297</v>
      </c>
      <c r="E1392" s="5" t="s">
        <v>245</v>
      </c>
      <c r="F1392" s="5" t="s">
        <v>254</v>
      </c>
      <c r="G1392" s="5" t="s">
        <v>240</v>
      </c>
      <c r="H1392" s="6" t="s">
        <v>4807</v>
      </c>
      <c r="I1392" s="5" t="s">
        <v>295</v>
      </c>
      <c r="J1392" s="8">
        <f>444</f>
        <v>444</v>
      </c>
      <c r="K1392" s="5" t="s">
        <v>308</v>
      </c>
      <c r="L1392" s="7">
        <f>1</f>
        <v>1</v>
      </c>
      <c r="M1392" s="7">
        <f>1</f>
        <v>1</v>
      </c>
      <c r="N1392" s="5" t="s">
        <v>242</v>
      </c>
      <c r="O1392" s="5">
        <v>1</v>
      </c>
      <c r="P1392" s="5" t="s">
        <v>294</v>
      </c>
      <c r="Q1392" s="5" t="s">
        <v>266</v>
      </c>
      <c r="R1392" s="5" t="s">
        <v>240</v>
      </c>
      <c r="S1392" s="5" t="s">
        <v>240</v>
      </c>
      <c r="T1392" s="5" t="s">
        <v>296</v>
      </c>
      <c r="U1392" s="5" t="s">
        <v>244</v>
      </c>
      <c r="V1392" s="5" t="s">
        <v>240</v>
      </c>
      <c r="Y1392" s="5" t="s">
        <v>240</v>
      </c>
      <c r="Z1392" s="6" t="s">
        <v>298</v>
      </c>
      <c r="AB1392" s="6" t="s">
        <v>240</v>
      </c>
      <c r="AE1392" s="6" t="s">
        <v>299</v>
      </c>
      <c r="AF1392" s="5" t="s">
        <v>248</v>
      </c>
      <c r="AG1392" s="5" t="s">
        <v>249</v>
      </c>
      <c r="AW1392" s="5" t="s">
        <v>251</v>
      </c>
      <c r="AX1392" s="5" t="s">
        <v>240</v>
      </c>
      <c r="AY1392" s="5" t="s">
        <v>253</v>
      </c>
      <c r="AZ1392" s="5" t="s">
        <v>240</v>
      </c>
      <c r="BA1392" s="5" t="s">
        <v>255</v>
      </c>
      <c r="BB1392" s="5" t="s">
        <v>240</v>
      </c>
      <c r="BD1392" s="5" t="s">
        <v>240</v>
      </c>
      <c r="BF1392" s="5" t="s">
        <v>301</v>
      </c>
      <c r="BG1392" s="6" t="s">
        <v>299</v>
      </c>
      <c r="BH1392" s="5" t="s">
        <v>302</v>
      </c>
      <c r="BI1392" s="5" t="s">
        <v>303</v>
      </c>
      <c r="BJ1392" s="5" t="s">
        <v>240</v>
      </c>
      <c r="BK1392" s="8">
        <f>0</f>
        <v>0</v>
      </c>
      <c r="BL1392" s="7">
        <f>0</f>
        <v>0</v>
      </c>
      <c r="BM1392" s="5" t="s">
        <v>258</v>
      </c>
      <c r="BN1392" s="5" t="s">
        <v>259</v>
      </c>
      <c r="CB1392" s="5" t="s">
        <v>240</v>
      </c>
      <c r="CC1392" s="5" t="s">
        <v>240</v>
      </c>
      <c r="CG1392" s="5" t="s">
        <v>304</v>
      </c>
      <c r="CH1392" s="5" t="s">
        <v>305</v>
      </c>
      <c r="CI1392" s="5" t="s">
        <v>240</v>
      </c>
      <c r="CL1392" s="6" t="s">
        <v>261</v>
      </c>
      <c r="CM1392" s="5" t="s">
        <v>240</v>
      </c>
      <c r="CN1392" s="5" t="s">
        <v>263</v>
      </c>
      <c r="CO1392" s="5" t="s">
        <v>240</v>
      </c>
      <c r="CP1392" s="5" t="s">
        <v>240</v>
      </c>
      <c r="CQ1392" s="5">
        <v>0</v>
      </c>
      <c r="CR1392" s="5" t="s">
        <v>306</v>
      </c>
      <c r="CS1392" s="5" t="s">
        <v>307</v>
      </c>
      <c r="CT1392" s="5" t="s">
        <v>307</v>
      </c>
      <c r="CU1392" s="5" t="s">
        <v>260</v>
      </c>
      <c r="CX1392" s="7">
        <f>1</f>
        <v>1</v>
      </c>
      <c r="CY1392" s="7">
        <f>0</f>
        <v>0</v>
      </c>
      <c r="DA1392" s="7">
        <f>0</f>
        <v>0</v>
      </c>
      <c r="DC1392" s="5" t="s">
        <v>812</v>
      </c>
      <c r="DD1392" s="5" t="s">
        <v>240</v>
      </c>
      <c r="DF1392" s="5" t="s">
        <v>812</v>
      </c>
      <c r="DG1392" s="7">
        <f>1167</f>
        <v>1167</v>
      </c>
      <c r="DI1392" s="5" t="s">
        <v>240</v>
      </c>
      <c r="DJ1392" s="5" t="s">
        <v>240</v>
      </c>
      <c r="DK1392" s="5" t="s">
        <v>240</v>
      </c>
      <c r="DL1392" s="5" t="s">
        <v>240</v>
      </c>
      <c r="DP1392" s="5" t="s">
        <v>240</v>
      </c>
      <c r="DQ1392" s="5" t="s">
        <v>240</v>
      </c>
      <c r="DR1392" s="5" t="s">
        <v>240</v>
      </c>
      <c r="DS1392" s="5" t="s">
        <v>240</v>
      </c>
      <c r="DV1392" s="5" t="s">
        <v>813</v>
      </c>
      <c r="DW1392" s="5" t="s">
        <v>2916</v>
      </c>
      <c r="HO1392" s="5" t="s">
        <v>312</v>
      </c>
    </row>
    <row r="1393" spans="1:223" x14ac:dyDescent="0.4">
      <c r="A1393" s="5">
        <v>3068</v>
      </c>
      <c r="B1393" s="5">
        <v>1</v>
      </c>
      <c r="C1393" s="5">
        <v>1</v>
      </c>
      <c r="D1393" s="5" t="s">
        <v>297</v>
      </c>
      <c r="E1393" s="5" t="s">
        <v>245</v>
      </c>
      <c r="F1393" s="5" t="s">
        <v>254</v>
      </c>
      <c r="G1393" s="5" t="s">
        <v>240</v>
      </c>
      <c r="H1393" s="6" t="s">
        <v>4806</v>
      </c>
      <c r="I1393" s="5" t="s">
        <v>295</v>
      </c>
      <c r="J1393" s="8">
        <f>2230</f>
        <v>2230</v>
      </c>
      <c r="K1393" s="5" t="s">
        <v>308</v>
      </c>
      <c r="L1393" s="7">
        <f>1</f>
        <v>1</v>
      </c>
      <c r="M1393" s="7">
        <f>1</f>
        <v>1</v>
      </c>
      <c r="N1393" s="5" t="s">
        <v>242</v>
      </c>
      <c r="O1393" s="5">
        <v>1</v>
      </c>
      <c r="P1393" s="5" t="s">
        <v>294</v>
      </c>
      <c r="Q1393" s="5" t="s">
        <v>266</v>
      </c>
      <c r="R1393" s="5" t="s">
        <v>240</v>
      </c>
      <c r="S1393" s="5" t="s">
        <v>240</v>
      </c>
      <c r="T1393" s="5" t="s">
        <v>296</v>
      </c>
      <c r="U1393" s="5" t="s">
        <v>244</v>
      </c>
      <c r="V1393" s="5" t="s">
        <v>240</v>
      </c>
      <c r="Y1393" s="5" t="s">
        <v>240</v>
      </c>
      <c r="Z1393" s="6" t="s">
        <v>298</v>
      </c>
      <c r="AB1393" s="6" t="s">
        <v>240</v>
      </c>
      <c r="AE1393" s="6" t="s">
        <v>299</v>
      </c>
      <c r="AF1393" s="5" t="s">
        <v>248</v>
      </c>
      <c r="AG1393" s="5" t="s">
        <v>249</v>
      </c>
      <c r="AW1393" s="5" t="s">
        <v>251</v>
      </c>
      <c r="AX1393" s="5" t="s">
        <v>240</v>
      </c>
      <c r="AY1393" s="5" t="s">
        <v>253</v>
      </c>
      <c r="AZ1393" s="5" t="s">
        <v>240</v>
      </c>
      <c r="BA1393" s="5" t="s">
        <v>255</v>
      </c>
      <c r="BB1393" s="5" t="s">
        <v>240</v>
      </c>
      <c r="BD1393" s="5" t="s">
        <v>240</v>
      </c>
      <c r="BF1393" s="5" t="s">
        <v>301</v>
      </c>
      <c r="BG1393" s="6" t="s">
        <v>299</v>
      </c>
      <c r="BH1393" s="5" t="s">
        <v>302</v>
      </c>
      <c r="BI1393" s="5" t="s">
        <v>303</v>
      </c>
      <c r="BJ1393" s="5" t="s">
        <v>240</v>
      </c>
      <c r="BK1393" s="8">
        <f>0</f>
        <v>0</v>
      </c>
      <c r="BL1393" s="7">
        <f>0</f>
        <v>0</v>
      </c>
      <c r="BM1393" s="5" t="s">
        <v>258</v>
      </c>
      <c r="BN1393" s="5" t="s">
        <v>259</v>
      </c>
      <c r="CB1393" s="5" t="s">
        <v>240</v>
      </c>
      <c r="CC1393" s="5" t="s">
        <v>240</v>
      </c>
      <c r="CG1393" s="5" t="s">
        <v>304</v>
      </c>
      <c r="CH1393" s="5" t="s">
        <v>305</v>
      </c>
      <c r="CI1393" s="5" t="s">
        <v>240</v>
      </c>
      <c r="CL1393" s="6" t="s">
        <v>261</v>
      </c>
      <c r="CM1393" s="5" t="s">
        <v>240</v>
      </c>
      <c r="CN1393" s="5" t="s">
        <v>263</v>
      </c>
      <c r="CO1393" s="5" t="s">
        <v>240</v>
      </c>
      <c r="CP1393" s="5" t="s">
        <v>240</v>
      </c>
      <c r="CQ1393" s="5">
        <v>0</v>
      </c>
      <c r="CR1393" s="5" t="s">
        <v>306</v>
      </c>
      <c r="CS1393" s="5" t="s">
        <v>307</v>
      </c>
      <c r="CT1393" s="5" t="s">
        <v>307</v>
      </c>
      <c r="CU1393" s="5" t="s">
        <v>260</v>
      </c>
      <c r="CX1393" s="7">
        <f>1</f>
        <v>1</v>
      </c>
      <c r="CY1393" s="7">
        <f>0</f>
        <v>0</v>
      </c>
      <c r="DA1393" s="7">
        <f>0</f>
        <v>0</v>
      </c>
      <c r="DC1393" s="5" t="s">
        <v>812</v>
      </c>
      <c r="DD1393" s="5" t="s">
        <v>240</v>
      </c>
      <c r="DF1393" s="5" t="s">
        <v>812</v>
      </c>
      <c r="DG1393" s="7">
        <f>3691</f>
        <v>3691</v>
      </c>
      <c r="DI1393" s="5" t="s">
        <v>240</v>
      </c>
      <c r="DJ1393" s="5" t="s">
        <v>240</v>
      </c>
      <c r="DK1393" s="5" t="s">
        <v>240</v>
      </c>
      <c r="DL1393" s="5" t="s">
        <v>240</v>
      </c>
      <c r="DP1393" s="5" t="s">
        <v>240</v>
      </c>
      <c r="DQ1393" s="5" t="s">
        <v>240</v>
      </c>
      <c r="DR1393" s="5" t="s">
        <v>240</v>
      </c>
      <c r="DS1393" s="5" t="s">
        <v>240</v>
      </c>
      <c r="DV1393" s="5" t="s">
        <v>813</v>
      </c>
      <c r="DW1393" s="5" t="s">
        <v>2918</v>
      </c>
      <c r="HO1393" s="5" t="s">
        <v>312</v>
      </c>
    </row>
    <row r="1394" spans="1:223" x14ac:dyDescent="0.4">
      <c r="A1394" s="5">
        <v>3069</v>
      </c>
      <c r="B1394" s="5">
        <v>1</v>
      </c>
      <c r="C1394" s="5">
        <v>1</v>
      </c>
      <c r="D1394" s="5" t="s">
        <v>297</v>
      </c>
      <c r="E1394" s="5" t="s">
        <v>245</v>
      </c>
      <c r="F1394" s="5" t="s">
        <v>254</v>
      </c>
      <c r="G1394" s="5" t="s">
        <v>240</v>
      </c>
      <c r="H1394" s="6" t="s">
        <v>5900</v>
      </c>
      <c r="I1394" s="5" t="s">
        <v>295</v>
      </c>
      <c r="J1394" s="8">
        <f>238</f>
        <v>238</v>
      </c>
      <c r="K1394" s="5" t="s">
        <v>308</v>
      </c>
      <c r="L1394" s="7">
        <f>1</f>
        <v>1</v>
      </c>
      <c r="M1394" s="7">
        <f>1</f>
        <v>1</v>
      </c>
      <c r="N1394" s="5" t="s">
        <v>242</v>
      </c>
      <c r="O1394" s="5">
        <v>1</v>
      </c>
      <c r="P1394" s="5" t="s">
        <v>294</v>
      </c>
      <c r="Q1394" s="5" t="s">
        <v>266</v>
      </c>
      <c r="R1394" s="5" t="s">
        <v>240</v>
      </c>
      <c r="S1394" s="5" t="s">
        <v>240</v>
      </c>
      <c r="T1394" s="5" t="s">
        <v>296</v>
      </c>
      <c r="U1394" s="5" t="s">
        <v>244</v>
      </c>
      <c r="V1394" s="5" t="s">
        <v>240</v>
      </c>
      <c r="Y1394" s="5" t="s">
        <v>240</v>
      </c>
      <c r="Z1394" s="6" t="s">
        <v>298</v>
      </c>
      <c r="AB1394" s="6" t="s">
        <v>240</v>
      </c>
      <c r="AE1394" s="6" t="s">
        <v>299</v>
      </c>
      <c r="AF1394" s="5" t="s">
        <v>248</v>
      </c>
      <c r="AG1394" s="5" t="s">
        <v>249</v>
      </c>
      <c r="AW1394" s="5" t="s">
        <v>251</v>
      </c>
      <c r="AX1394" s="5" t="s">
        <v>240</v>
      </c>
      <c r="AY1394" s="5" t="s">
        <v>253</v>
      </c>
      <c r="AZ1394" s="5" t="s">
        <v>240</v>
      </c>
      <c r="BA1394" s="5" t="s">
        <v>255</v>
      </c>
      <c r="BB1394" s="5" t="s">
        <v>240</v>
      </c>
      <c r="BD1394" s="5" t="s">
        <v>240</v>
      </c>
      <c r="BF1394" s="5" t="s">
        <v>301</v>
      </c>
      <c r="BG1394" s="6" t="s">
        <v>299</v>
      </c>
      <c r="BH1394" s="5" t="s">
        <v>302</v>
      </c>
      <c r="BI1394" s="5" t="s">
        <v>303</v>
      </c>
      <c r="BJ1394" s="5" t="s">
        <v>240</v>
      </c>
      <c r="BK1394" s="8">
        <f>0</f>
        <v>0</v>
      </c>
      <c r="BL1394" s="7">
        <f>0</f>
        <v>0</v>
      </c>
      <c r="BM1394" s="5" t="s">
        <v>258</v>
      </c>
      <c r="BN1394" s="5" t="s">
        <v>259</v>
      </c>
      <c r="CB1394" s="5" t="s">
        <v>240</v>
      </c>
      <c r="CC1394" s="5" t="s">
        <v>240</v>
      </c>
      <c r="CG1394" s="5" t="s">
        <v>304</v>
      </c>
      <c r="CH1394" s="5" t="s">
        <v>305</v>
      </c>
      <c r="CI1394" s="5" t="s">
        <v>240</v>
      </c>
      <c r="CL1394" s="6" t="s">
        <v>261</v>
      </c>
      <c r="CM1394" s="5" t="s">
        <v>240</v>
      </c>
      <c r="CN1394" s="5" t="s">
        <v>263</v>
      </c>
      <c r="CO1394" s="5" t="s">
        <v>240</v>
      </c>
      <c r="CP1394" s="5" t="s">
        <v>240</v>
      </c>
      <c r="CQ1394" s="5">
        <v>0</v>
      </c>
      <c r="CR1394" s="5" t="s">
        <v>306</v>
      </c>
      <c r="CS1394" s="5" t="s">
        <v>307</v>
      </c>
      <c r="CT1394" s="5" t="s">
        <v>307</v>
      </c>
      <c r="CU1394" s="5" t="s">
        <v>260</v>
      </c>
      <c r="CX1394" s="7">
        <f>1</f>
        <v>1</v>
      </c>
      <c r="CY1394" s="7">
        <f>0</f>
        <v>0</v>
      </c>
      <c r="DA1394" s="7">
        <f>0</f>
        <v>0</v>
      </c>
      <c r="DC1394" s="5" t="s">
        <v>812</v>
      </c>
      <c r="DD1394" s="5" t="s">
        <v>240</v>
      </c>
      <c r="DF1394" s="5" t="s">
        <v>812</v>
      </c>
      <c r="DG1394" s="7">
        <f>3638</f>
        <v>3638</v>
      </c>
      <c r="DI1394" s="5" t="s">
        <v>240</v>
      </c>
      <c r="DJ1394" s="5" t="s">
        <v>240</v>
      </c>
      <c r="DK1394" s="5" t="s">
        <v>240</v>
      </c>
      <c r="DL1394" s="5" t="s">
        <v>240</v>
      </c>
      <c r="DP1394" s="5" t="s">
        <v>240</v>
      </c>
      <c r="DQ1394" s="5" t="s">
        <v>240</v>
      </c>
      <c r="DR1394" s="5" t="s">
        <v>240</v>
      </c>
      <c r="DS1394" s="5" t="s">
        <v>240</v>
      </c>
      <c r="DV1394" s="5" t="s">
        <v>813</v>
      </c>
      <c r="DW1394" s="5" t="s">
        <v>2920</v>
      </c>
      <c r="HO1394" s="5" t="s">
        <v>312</v>
      </c>
    </row>
    <row r="1395" spans="1:223" x14ac:dyDescent="0.4">
      <c r="A1395" s="5">
        <v>3070</v>
      </c>
      <c r="B1395" s="5">
        <v>1</v>
      </c>
      <c r="C1395" s="5">
        <v>1</v>
      </c>
      <c r="D1395" s="5" t="s">
        <v>297</v>
      </c>
      <c r="E1395" s="5" t="s">
        <v>245</v>
      </c>
      <c r="F1395" s="5" t="s">
        <v>254</v>
      </c>
      <c r="G1395" s="5" t="s">
        <v>240</v>
      </c>
      <c r="H1395" s="6" t="s">
        <v>4803</v>
      </c>
      <c r="I1395" s="5" t="s">
        <v>295</v>
      </c>
      <c r="J1395" s="8">
        <f>2678</f>
        <v>2678</v>
      </c>
      <c r="K1395" s="5" t="s">
        <v>308</v>
      </c>
      <c r="L1395" s="7">
        <f>1</f>
        <v>1</v>
      </c>
      <c r="M1395" s="7">
        <f>1</f>
        <v>1</v>
      </c>
      <c r="N1395" s="5" t="s">
        <v>242</v>
      </c>
      <c r="O1395" s="5">
        <v>1</v>
      </c>
      <c r="P1395" s="5" t="s">
        <v>294</v>
      </c>
      <c r="Q1395" s="5" t="s">
        <v>266</v>
      </c>
      <c r="R1395" s="5" t="s">
        <v>240</v>
      </c>
      <c r="S1395" s="5" t="s">
        <v>240</v>
      </c>
      <c r="T1395" s="5" t="s">
        <v>296</v>
      </c>
      <c r="U1395" s="5" t="s">
        <v>244</v>
      </c>
      <c r="V1395" s="5" t="s">
        <v>240</v>
      </c>
      <c r="Y1395" s="5" t="s">
        <v>240</v>
      </c>
      <c r="Z1395" s="6" t="s">
        <v>298</v>
      </c>
      <c r="AB1395" s="6" t="s">
        <v>240</v>
      </c>
      <c r="AE1395" s="6" t="s">
        <v>299</v>
      </c>
      <c r="AF1395" s="5" t="s">
        <v>248</v>
      </c>
      <c r="AG1395" s="5" t="s">
        <v>249</v>
      </c>
      <c r="AW1395" s="5" t="s">
        <v>251</v>
      </c>
      <c r="AX1395" s="5" t="s">
        <v>240</v>
      </c>
      <c r="AY1395" s="5" t="s">
        <v>253</v>
      </c>
      <c r="AZ1395" s="5" t="s">
        <v>240</v>
      </c>
      <c r="BA1395" s="5" t="s">
        <v>255</v>
      </c>
      <c r="BB1395" s="5" t="s">
        <v>240</v>
      </c>
      <c r="BD1395" s="5" t="s">
        <v>240</v>
      </c>
      <c r="BF1395" s="5" t="s">
        <v>301</v>
      </c>
      <c r="BG1395" s="6" t="s">
        <v>299</v>
      </c>
      <c r="BH1395" s="5" t="s">
        <v>302</v>
      </c>
      <c r="BI1395" s="5" t="s">
        <v>303</v>
      </c>
      <c r="BJ1395" s="5" t="s">
        <v>240</v>
      </c>
      <c r="BK1395" s="8">
        <f>0</f>
        <v>0</v>
      </c>
      <c r="BL1395" s="7">
        <f>0</f>
        <v>0</v>
      </c>
      <c r="BM1395" s="5" t="s">
        <v>258</v>
      </c>
      <c r="BN1395" s="5" t="s">
        <v>259</v>
      </c>
      <c r="CB1395" s="5" t="s">
        <v>240</v>
      </c>
      <c r="CC1395" s="5" t="s">
        <v>240</v>
      </c>
      <c r="CG1395" s="5" t="s">
        <v>304</v>
      </c>
      <c r="CH1395" s="5" t="s">
        <v>305</v>
      </c>
      <c r="CI1395" s="5" t="s">
        <v>240</v>
      </c>
      <c r="CL1395" s="6" t="s">
        <v>261</v>
      </c>
      <c r="CM1395" s="5" t="s">
        <v>240</v>
      </c>
      <c r="CN1395" s="5" t="s">
        <v>263</v>
      </c>
      <c r="CO1395" s="5" t="s">
        <v>240</v>
      </c>
      <c r="CP1395" s="5" t="s">
        <v>240</v>
      </c>
      <c r="CQ1395" s="5">
        <v>0</v>
      </c>
      <c r="CR1395" s="5" t="s">
        <v>306</v>
      </c>
      <c r="CS1395" s="5" t="s">
        <v>307</v>
      </c>
      <c r="CT1395" s="5" t="s">
        <v>307</v>
      </c>
      <c r="CU1395" s="5" t="s">
        <v>260</v>
      </c>
      <c r="CX1395" s="7">
        <f>1</f>
        <v>1</v>
      </c>
      <c r="CY1395" s="7">
        <f>0</f>
        <v>0</v>
      </c>
      <c r="DA1395" s="7">
        <f>0</f>
        <v>0</v>
      </c>
      <c r="DC1395" s="5" t="s">
        <v>812</v>
      </c>
      <c r="DD1395" s="5" t="s">
        <v>240</v>
      </c>
      <c r="DF1395" s="5" t="s">
        <v>812</v>
      </c>
      <c r="DG1395" s="7">
        <f>89</f>
        <v>89</v>
      </c>
      <c r="DI1395" s="5" t="s">
        <v>240</v>
      </c>
      <c r="DJ1395" s="5" t="s">
        <v>240</v>
      </c>
      <c r="DK1395" s="5" t="s">
        <v>240</v>
      </c>
      <c r="DL1395" s="5" t="s">
        <v>240</v>
      </c>
      <c r="DP1395" s="5" t="s">
        <v>240</v>
      </c>
      <c r="DQ1395" s="5" t="s">
        <v>240</v>
      </c>
      <c r="DR1395" s="5" t="s">
        <v>240</v>
      </c>
      <c r="DS1395" s="5" t="s">
        <v>240</v>
      </c>
      <c r="DV1395" s="5" t="s">
        <v>813</v>
      </c>
      <c r="DW1395" s="5" t="s">
        <v>2922</v>
      </c>
      <c r="HO1395" s="5" t="s">
        <v>312</v>
      </c>
    </row>
    <row r="1396" spans="1:223" x14ac:dyDescent="0.4">
      <c r="A1396" s="5">
        <v>3071</v>
      </c>
      <c r="B1396" s="5">
        <v>1</v>
      </c>
      <c r="C1396" s="5">
        <v>1</v>
      </c>
      <c r="D1396" s="5" t="s">
        <v>297</v>
      </c>
      <c r="E1396" s="5" t="s">
        <v>245</v>
      </c>
      <c r="F1396" s="5" t="s">
        <v>254</v>
      </c>
      <c r="G1396" s="5" t="s">
        <v>240</v>
      </c>
      <c r="H1396" s="6" t="s">
        <v>4802</v>
      </c>
      <c r="I1396" s="5" t="s">
        <v>295</v>
      </c>
      <c r="J1396" s="8">
        <f>2848</f>
        <v>2848</v>
      </c>
      <c r="K1396" s="5" t="s">
        <v>308</v>
      </c>
      <c r="L1396" s="7">
        <f>1</f>
        <v>1</v>
      </c>
      <c r="M1396" s="7">
        <f>1</f>
        <v>1</v>
      </c>
      <c r="N1396" s="5" t="s">
        <v>242</v>
      </c>
      <c r="O1396" s="5">
        <v>1</v>
      </c>
      <c r="P1396" s="5" t="s">
        <v>294</v>
      </c>
      <c r="Q1396" s="5" t="s">
        <v>266</v>
      </c>
      <c r="R1396" s="5" t="s">
        <v>240</v>
      </c>
      <c r="S1396" s="5" t="s">
        <v>240</v>
      </c>
      <c r="T1396" s="5" t="s">
        <v>296</v>
      </c>
      <c r="U1396" s="5" t="s">
        <v>244</v>
      </c>
      <c r="V1396" s="5" t="s">
        <v>240</v>
      </c>
      <c r="Y1396" s="5" t="s">
        <v>240</v>
      </c>
      <c r="Z1396" s="6" t="s">
        <v>298</v>
      </c>
      <c r="AB1396" s="6" t="s">
        <v>240</v>
      </c>
      <c r="AE1396" s="6" t="s">
        <v>299</v>
      </c>
      <c r="AF1396" s="5" t="s">
        <v>248</v>
      </c>
      <c r="AG1396" s="5" t="s">
        <v>249</v>
      </c>
      <c r="AW1396" s="5" t="s">
        <v>251</v>
      </c>
      <c r="AX1396" s="5" t="s">
        <v>240</v>
      </c>
      <c r="AY1396" s="5" t="s">
        <v>253</v>
      </c>
      <c r="AZ1396" s="5" t="s">
        <v>240</v>
      </c>
      <c r="BA1396" s="5" t="s">
        <v>255</v>
      </c>
      <c r="BB1396" s="5" t="s">
        <v>240</v>
      </c>
      <c r="BD1396" s="5" t="s">
        <v>240</v>
      </c>
      <c r="BF1396" s="5" t="s">
        <v>301</v>
      </c>
      <c r="BG1396" s="6" t="s">
        <v>299</v>
      </c>
      <c r="BH1396" s="5" t="s">
        <v>302</v>
      </c>
      <c r="BI1396" s="5" t="s">
        <v>303</v>
      </c>
      <c r="BJ1396" s="5" t="s">
        <v>240</v>
      </c>
      <c r="BK1396" s="8">
        <f>0</f>
        <v>0</v>
      </c>
      <c r="BL1396" s="7">
        <f>0</f>
        <v>0</v>
      </c>
      <c r="BM1396" s="5" t="s">
        <v>258</v>
      </c>
      <c r="BN1396" s="5" t="s">
        <v>259</v>
      </c>
      <c r="CB1396" s="5" t="s">
        <v>240</v>
      </c>
      <c r="CC1396" s="5" t="s">
        <v>240</v>
      </c>
      <c r="CG1396" s="5" t="s">
        <v>304</v>
      </c>
      <c r="CH1396" s="5" t="s">
        <v>305</v>
      </c>
      <c r="CI1396" s="5" t="s">
        <v>240</v>
      </c>
      <c r="CL1396" s="6" t="s">
        <v>261</v>
      </c>
      <c r="CM1396" s="5" t="s">
        <v>240</v>
      </c>
      <c r="CN1396" s="5" t="s">
        <v>263</v>
      </c>
      <c r="CO1396" s="5" t="s">
        <v>240</v>
      </c>
      <c r="CP1396" s="5" t="s">
        <v>240</v>
      </c>
      <c r="CQ1396" s="5">
        <v>0</v>
      </c>
      <c r="CR1396" s="5" t="s">
        <v>306</v>
      </c>
      <c r="CS1396" s="5" t="s">
        <v>307</v>
      </c>
      <c r="CT1396" s="5" t="s">
        <v>307</v>
      </c>
      <c r="CU1396" s="5" t="s">
        <v>260</v>
      </c>
      <c r="CX1396" s="7">
        <f>1</f>
        <v>1</v>
      </c>
      <c r="CY1396" s="7">
        <f>0</f>
        <v>0</v>
      </c>
      <c r="DA1396" s="7">
        <f>0</f>
        <v>0</v>
      </c>
      <c r="DC1396" s="5" t="s">
        <v>812</v>
      </c>
      <c r="DD1396" s="5" t="s">
        <v>240</v>
      </c>
      <c r="DF1396" s="5" t="s">
        <v>812</v>
      </c>
      <c r="DG1396" s="7">
        <f>152</f>
        <v>152</v>
      </c>
      <c r="DI1396" s="5" t="s">
        <v>240</v>
      </c>
      <c r="DJ1396" s="5" t="s">
        <v>240</v>
      </c>
      <c r="DK1396" s="5" t="s">
        <v>240</v>
      </c>
      <c r="DL1396" s="5" t="s">
        <v>240</v>
      </c>
      <c r="DP1396" s="5" t="s">
        <v>240</v>
      </c>
      <c r="DQ1396" s="5" t="s">
        <v>240</v>
      </c>
      <c r="DR1396" s="5" t="s">
        <v>240</v>
      </c>
      <c r="DS1396" s="5" t="s">
        <v>240</v>
      </c>
      <c r="DV1396" s="5" t="s">
        <v>813</v>
      </c>
      <c r="DW1396" s="5" t="s">
        <v>2924</v>
      </c>
      <c r="HO1396" s="5" t="s">
        <v>312</v>
      </c>
    </row>
    <row r="1397" spans="1:223" x14ac:dyDescent="0.4">
      <c r="A1397" s="5">
        <v>3072</v>
      </c>
      <c r="B1397" s="5">
        <v>1</v>
      </c>
      <c r="C1397" s="5">
        <v>1</v>
      </c>
      <c r="D1397" s="5" t="s">
        <v>297</v>
      </c>
      <c r="E1397" s="5" t="s">
        <v>245</v>
      </c>
      <c r="F1397" s="5" t="s">
        <v>254</v>
      </c>
      <c r="G1397" s="5" t="s">
        <v>240</v>
      </c>
      <c r="H1397" s="6" t="s">
        <v>4801</v>
      </c>
      <c r="I1397" s="5" t="s">
        <v>295</v>
      </c>
      <c r="J1397" s="8">
        <f>1039</f>
        <v>1039</v>
      </c>
      <c r="K1397" s="5" t="s">
        <v>308</v>
      </c>
      <c r="L1397" s="7">
        <f>1</f>
        <v>1</v>
      </c>
      <c r="M1397" s="7">
        <f>1</f>
        <v>1</v>
      </c>
      <c r="N1397" s="5" t="s">
        <v>242</v>
      </c>
      <c r="O1397" s="5">
        <v>1</v>
      </c>
      <c r="P1397" s="5" t="s">
        <v>294</v>
      </c>
      <c r="Q1397" s="5" t="s">
        <v>266</v>
      </c>
      <c r="R1397" s="5" t="s">
        <v>240</v>
      </c>
      <c r="S1397" s="5" t="s">
        <v>240</v>
      </c>
      <c r="T1397" s="5" t="s">
        <v>296</v>
      </c>
      <c r="U1397" s="5" t="s">
        <v>244</v>
      </c>
      <c r="V1397" s="5" t="s">
        <v>240</v>
      </c>
      <c r="Y1397" s="5" t="s">
        <v>240</v>
      </c>
      <c r="Z1397" s="6" t="s">
        <v>298</v>
      </c>
      <c r="AB1397" s="6" t="s">
        <v>240</v>
      </c>
      <c r="AE1397" s="6" t="s">
        <v>299</v>
      </c>
      <c r="AF1397" s="5" t="s">
        <v>248</v>
      </c>
      <c r="AG1397" s="5" t="s">
        <v>249</v>
      </c>
      <c r="AW1397" s="5" t="s">
        <v>251</v>
      </c>
      <c r="AX1397" s="5" t="s">
        <v>240</v>
      </c>
      <c r="AY1397" s="5" t="s">
        <v>253</v>
      </c>
      <c r="AZ1397" s="5" t="s">
        <v>240</v>
      </c>
      <c r="BA1397" s="5" t="s">
        <v>255</v>
      </c>
      <c r="BB1397" s="5" t="s">
        <v>240</v>
      </c>
      <c r="BD1397" s="5" t="s">
        <v>240</v>
      </c>
      <c r="BF1397" s="5" t="s">
        <v>301</v>
      </c>
      <c r="BG1397" s="6" t="s">
        <v>299</v>
      </c>
      <c r="BH1397" s="5" t="s">
        <v>302</v>
      </c>
      <c r="BI1397" s="5" t="s">
        <v>303</v>
      </c>
      <c r="BJ1397" s="5" t="s">
        <v>240</v>
      </c>
      <c r="BK1397" s="8">
        <f>0</f>
        <v>0</v>
      </c>
      <c r="BL1397" s="7">
        <f>0</f>
        <v>0</v>
      </c>
      <c r="BM1397" s="5" t="s">
        <v>258</v>
      </c>
      <c r="BN1397" s="5" t="s">
        <v>259</v>
      </c>
      <c r="CB1397" s="5" t="s">
        <v>240</v>
      </c>
      <c r="CC1397" s="5" t="s">
        <v>240</v>
      </c>
      <c r="CG1397" s="5" t="s">
        <v>304</v>
      </c>
      <c r="CH1397" s="5" t="s">
        <v>305</v>
      </c>
      <c r="CI1397" s="5" t="s">
        <v>240</v>
      </c>
      <c r="CL1397" s="6" t="s">
        <v>261</v>
      </c>
      <c r="CM1397" s="5" t="s">
        <v>240</v>
      </c>
      <c r="CN1397" s="5" t="s">
        <v>263</v>
      </c>
      <c r="CO1397" s="5" t="s">
        <v>240</v>
      </c>
      <c r="CP1397" s="5" t="s">
        <v>240</v>
      </c>
      <c r="CQ1397" s="5">
        <v>0</v>
      </c>
      <c r="CR1397" s="5" t="s">
        <v>306</v>
      </c>
      <c r="CS1397" s="5" t="s">
        <v>307</v>
      </c>
      <c r="CT1397" s="5" t="s">
        <v>307</v>
      </c>
      <c r="CU1397" s="5" t="s">
        <v>260</v>
      </c>
      <c r="CX1397" s="7">
        <f>1</f>
        <v>1</v>
      </c>
      <c r="CY1397" s="7">
        <f>0</f>
        <v>0</v>
      </c>
      <c r="DA1397" s="7">
        <f>0</f>
        <v>0</v>
      </c>
      <c r="DC1397" s="5" t="s">
        <v>812</v>
      </c>
      <c r="DD1397" s="5" t="s">
        <v>240</v>
      </c>
      <c r="DF1397" s="5" t="s">
        <v>812</v>
      </c>
      <c r="DG1397" s="7">
        <f>1174</f>
        <v>1174</v>
      </c>
      <c r="DI1397" s="5" t="s">
        <v>240</v>
      </c>
      <c r="DJ1397" s="5" t="s">
        <v>240</v>
      </c>
      <c r="DK1397" s="5" t="s">
        <v>240</v>
      </c>
      <c r="DL1397" s="5" t="s">
        <v>240</v>
      </c>
      <c r="DP1397" s="5" t="s">
        <v>240</v>
      </c>
      <c r="DQ1397" s="5" t="s">
        <v>240</v>
      </c>
      <c r="DR1397" s="5" t="s">
        <v>240</v>
      </c>
      <c r="DS1397" s="5" t="s">
        <v>240</v>
      </c>
      <c r="DV1397" s="5" t="s">
        <v>813</v>
      </c>
      <c r="DW1397" s="5" t="s">
        <v>2926</v>
      </c>
      <c r="HO1397" s="5" t="s">
        <v>312</v>
      </c>
    </row>
    <row r="1398" spans="1:223" x14ac:dyDescent="0.4">
      <c r="A1398" s="5">
        <v>3073</v>
      </c>
      <c r="B1398" s="5">
        <v>1</v>
      </c>
      <c r="C1398" s="5">
        <v>1</v>
      </c>
      <c r="D1398" s="5" t="s">
        <v>297</v>
      </c>
      <c r="E1398" s="5" t="s">
        <v>245</v>
      </c>
      <c r="F1398" s="5" t="s">
        <v>254</v>
      </c>
      <c r="G1398" s="5" t="s">
        <v>240</v>
      </c>
      <c r="H1398" s="6" t="s">
        <v>4800</v>
      </c>
      <c r="I1398" s="5" t="s">
        <v>809</v>
      </c>
      <c r="J1398" s="8">
        <f>1754</f>
        <v>1754</v>
      </c>
      <c r="K1398" s="5" t="s">
        <v>308</v>
      </c>
      <c r="L1398" s="7">
        <f>1</f>
        <v>1</v>
      </c>
      <c r="M1398" s="7">
        <f>1</f>
        <v>1</v>
      </c>
      <c r="N1398" s="5" t="s">
        <v>242</v>
      </c>
      <c r="O1398" s="5">
        <v>1</v>
      </c>
      <c r="P1398" s="5" t="s">
        <v>294</v>
      </c>
      <c r="Q1398" s="5" t="s">
        <v>266</v>
      </c>
      <c r="R1398" s="5" t="s">
        <v>240</v>
      </c>
      <c r="S1398" s="5" t="s">
        <v>240</v>
      </c>
      <c r="T1398" s="5" t="s">
        <v>296</v>
      </c>
      <c r="U1398" s="5" t="s">
        <v>244</v>
      </c>
      <c r="V1398" s="5" t="s">
        <v>240</v>
      </c>
      <c r="Y1398" s="5" t="s">
        <v>240</v>
      </c>
      <c r="Z1398" s="6" t="s">
        <v>298</v>
      </c>
      <c r="AB1398" s="6" t="s">
        <v>240</v>
      </c>
      <c r="AE1398" s="6" t="s">
        <v>299</v>
      </c>
      <c r="AF1398" s="5" t="s">
        <v>248</v>
      </c>
      <c r="AG1398" s="5" t="s">
        <v>249</v>
      </c>
      <c r="AW1398" s="5" t="s">
        <v>251</v>
      </c>
      <c r="AX1398" s="5" t="s">
        <v>240</v>
      </c>
      <c r="AY1398" s="5" t="s">
        <v>253</v>
      </c>
      <c r="AZ1398" s="5" t="s">
        <v>240</v>
      </c>
      <c r="BA1398" s="5" t="s">
        <v>255</v>
      </c>
      <c r="BB1398" s="5" t="s">
        <v>240</v>
      </c>
      <c r="BD1398" s="5" t="s">
        <v>240</v>
      </c>
      <c r="BF1398" s="5" t="s">
        <v>301</v>
      </c>
      <c r="BG1398" s="6" t="s">
        <v>299</v>
      </c>
      <c r="BH1398" s="5" t="s">
        <v>302</v>
      </c>
      <c r="BI1398" s="5" t="s">
        <v>303</v>
      </c>
      <c r="BJ1398" s="5" t="s">
        <v>240</v>
      </c>
      <c r="BK1398" s="8">
        <f>0</f>
        <v>0</v>
      </c>
      <c r="BL1398" s="7">
        <f>0</f>
        <v>0</v>
      </c>
      <c r="BM1398" s="5" t="s">
        <v>258</v>
      </c>
      <c r="BN1398" s="5" t="s">
        <v>259</v>
      </c>
      <c r="CB1398" s="5" t="s">
        <v>240</v>
      </c>
      <c r="CC1398" s="5" t="s">
        <v>240</v>
      </c>
      <c r="CG1398" s="5" t="s">
        <v>304</v>
      </c>
      <c r="CH1398" s="5" t="s">
        <v>305</v>
      </c>
      <c r="CI1398" s="5" t="s">
        <v>240</v>
      </c>
      <c r="CL1398" s="6" t="s">
        <v>261</v>
      </c>
      <c r="CM1398" s="5" t="s">
        <v>240</v>
      </c>
      <c r="CN1398" s="5" t="s">
        <v>263</v>
      </c>
      <c r="CO1398" s="5" t="s">
        <v>240</v>
      </c>
      <c r="CP1398" s="5" t="s">
        <v>240</v>
      </c>
      <c r="CQ1398" s="5">
        <v>0</v>
      </c>
      <c r="CR1398" s="5" t="s">
        <v>306</v>
      </c>
      <c r="CS1398" s="5" t="s">
        <v>307</v>
      </c>
      <c r="CT1398" s="5" t="s">
        <v>307</v>
      </c>
      <c r="CU1398" s="5" t="s">
        <v>260</v>
      </c>
      <c r="CX1398" s="7">
        <f>1</f>
        <v>1</v>
      </c>
      <c r="CY1398" s="7">
        <f>0</f>
        <v>0</v>
      </c>
      <c r="DA1398" s="7">
        <f>0</f>
        <v>0</v>
      </c>
      <c r="DC1398" s="5" t="s">
        <v>309</v>
      </c>
      <c r="DD1398" s="5" t="s">
        <v>240</v>
      </c>
      <c r="DF1398" s="5" t="s">
        <v>309</v>
      </c>
      <c r="DG1398" s="7">
        <f>228</f>
        <v>228</v>
      </c>
      <c r="DI1398" s="5" t="s">
        <v>240</v>
      </c>
      <c r="DJ1398" s="5" t="s">
        <v>240</v>
      </c>
      <c r="DK1398" s="5" t="s">
        <v>240</v>
      </c>
      <c r="DL1398" s="5" t="s">
        <v>240</v>
      </c>
      <c r="DP1398" s="5" t="s">
        <v>240</v>
      </c>
      <c r="DQ1398" s="5" t="s">
        <v>240</v>
      </c>
      <c r="DR1398" s="5" t="s">
        <v>240</v>
      </c>
      <c r="DS1398" s="5" t="s">
        <v>240</v>
      </c>
      <c r="DV1398" s="5" t="s">
        <v>310</v>
      </c>
      <c r="DW1398" s="5" t="s">
        <v>2144</v>
      </c>
      <c r="HO1398" s="5" t="s">
        <v>312</v>
      </c>
    </row>
    <row r="1399" spans="1:223" x14ac:dyDescent="0.4">
      <c r="A1399" s="5">
        <v>3074</v>
      </c>
      <c r="B1399" s="5">
        <v>1</v>
      </c>
      <c r="C1399" s="5">
        <v>1</v>
      </c>
      <c r="D1399" s="5" t="s">
        <v>297</v>
      </c>
      <c r="E1399" s="5" t="s">
        <v>245</v>
      </c>
      <c r="F1399" s="5" t="s">
        <v>254</v>
      </c>
      <c r="G1399" s="5" t="s">
        <v>240</v>
      </c>
      <c r="H1399" s="6" t="s">
        <v>4799</v>
      </c>
      <c r="I1399" s="5" t="s">
        <v>295</v>
      </c>
      <c r="J1399" s="8">
        <f>5775</f>
        <v>5775</v>
      </c>
      <c r="K1399" s="5" t="s">
        <v>308</v>
      </c>
      <c r="L1399" s="7">
        <f>1</f>
        <v>1</v>
      </c>
      <c r="M1399" s="7">
        <f>1</f>
        <v>1</v>
      </c>
      <c r="N1399" s="5" t="s">
        <v>242</v>
      </c>
      <c r="O1399" s="5">
        <v>1</v>
      </c>
      <c r="P1399" s="5" t="s">
        <v>294</v>
      </c>
      <c r="Q1399" s="5" t="s">
        <v>266</v>
      </c>
      <c r="R1399" s="5" t="s">
        <v>240</v>
      </c>
      <c r="S1399" s="5" t="s">
        <v>240</v>
      </c>
      <c r="T1399" s="5" t="s">
        <v>296</v>
      </c>
      <c r="U1399" s="5" t="s">
        <v>244</v>
      </c>
      <c r="V1399" s="5" t="s">
        <v>240</v>
      </c>
      <c r="Y1399" s="5" t="s">
        <v>240</v>
      </c>
      <c r="Z1399" s="6" t="s">
        <v>298</v>
      </c>
      <c r="AB1399" s="6" t="s">
        <v>240</v>
      </c>
      <c r="AE1399" s="6" t="s">
        <v>299</v>
      </c>
      <c r="AF1399" s="5" t="s">
        <v>248</v>
      </c>
      <c r="AG1399" s="5" t="s">
        <v>249</v>
      </c>
      <c r="AW1399" s="5" t="s">
        <v>251</v>
      </c>
      <c r="AX1399" s="5" t="s">
        <v>240</v>
      </c>
      <c r="AY1399" s="5" t="s">
        <v>253</v>
      </c>
      <c r="AZ1399" s="5" t="s">
        <v>240</v>
      </c>
      <c r="BA1399" s="5" t="s">
        <v>255</v>
      </c>
      <c r="BB1399" s="5" t="s">
        <v>240</v>
      </c>
      <c r="BD1399" s="5" t="s">
        <v>240</v>
      </c>
      <c r="BF1399" s="5" t="s">
        <v>301</v>
      </c>
      <c r="BG1399" s="6" t="s">
        <v>299</v>
      </c>
      <c r="BH1399" s="5" t="s">
        <v>302</v>
      </c>
      <c r="BI1399" s="5" t="s">
        <v>303</v>
      </c>
      <c r="BJ1399" s="5" t="s">
        <v>240</v>
      </c>
      <c r="BK1399" s="8">
        <f>0</f>
        <v>0</v>
      </c>
      <c r="BL1399" s="7">
        <f>0</f>
        <v>0</v>
      </c>
      <c r="BM1399" s="5" t="s">
        <v>258</v>
      </c>
      <c r="BN1399" s="5" t="s">
        <v>259</v>
      </c>
      <c r="CB1399" s="5" t="s">
        <v>240</v>
      </c>
      <c r="CC1399" s="5" t="s">
        <v>240</v>
      </c>
      <c r="CG1399" s="5" t="s">
        <v>304</v>
      </c>
      <c r="CH1399" s="5" t="s">
        <v>305</v>
      </c>
      <c r="CI1399" s="5" t="s">
        <v>240</v>
      </c>
      <c r="CL1399" s="6" t="s">
        <v>261</v>
      </c>
      <c r="CM1399" s="5" t="s">
        <v>240</v>
      </c>
      <c r="CN1399" s="5" t="s">
        <v>263</v>
      </c>
      <c r="CO1399" s="5" t="s">
        <v>240</v>
      </c>
      <c r="CP1399" s="5" t="s">
        <v>240</v>
      </c>
      <c r="CQ1399" s="5">
        <v>0</v>
      </c>
      <c r="CR1399" s="5" t="s">
        <v>306</v>
      </c>
      <c r="CS1399" s="5" t="s">
        <v>307</v>
      </c>
      <c r="CT1399" s="5" t="s">
        <v>307</v>
      </c>
      <c r="CU1399" s="5" t="s">
        <v>260</v>
      </c>
      <c r="CX1399" s="7">
        <f>1</f>
        <v>1</v>
      </c>
      <c r="CY1399" s="7">
        <f>0</f>
        <v>0</v>
      </c>
      <c r="DA1399" s="7">
        <f>0</f>
        <v>0</v>
      </c>
      <c r="DC1399" s="5" t="s">
        <v>812</v>
      </c>
      <c r="DD1399" s="5" t="s">
        <v>240</v>
      </c>
      <c r="DF1399" s="5" t="s">
        <v>812</v>
      </c>
      <c r="DG1399" s="7">
        <f>2146</f>
        <v>2146</v>
      </c>
      <c r="DI1399" s="5" t="s">
        <v>240</v>
      </c>
      <c r="DJ1399" s="5" t="s">
        <v>240</v>
      </c>
      <c r="DK1399" s="5" t="s">
        <v>240</v>
      </c>
      <c r="DL1399" s="5" t="s">
        <v>240</v>
      </c>
      <c r="DP1399" s="5" t="s">
        <v>240</v>
      </c>
      <c r="DQ1399" s="5" t="s">
        <v>240</v>
      </c>
      <c r="DR1399" s="5" t="s">
        <v>240</v>
      </c>
      <c r="DS1399" s="5" t="s">
        <v>240</v>
      </c>
      <c r="DV1399" s="5" t="s">
        <v>813</v>
      </c>
      <c r="DW1399" s="5" t="s">
        <v>2929</v>
      </c>
      <c r="HO1399" s="5" t="s">
        <v>312</v>
      </c>
    </row>
    <row r="1400" spans="1:223" x14ac:dyDescent="0.4">
      <c r="A1400" s="5">
        <v>3075</v>
      </c>
      <c r="B1400" s="5">
        <v>1</v>
      </c>
      <c r="C1400" s="5">
        <v>1</v>
      </c>
      <c r="D1400" s="5" t="s">
        <v>297</v>
      </c>
      <c r="E1400" s="5" t="s">
        <v>245</v>
      </c>
      <c r="F1400" s="5" t="s">
        <v>254</v>
      </c>
      <c r="G1400" s="5" t="s">
        <v>240</v>
      </c>
      <c r="H1400" s="6" t="s">
        <v>4798</v>
      </c>
      <c r="I1400" s="5" t="s">
        <v>295</v>
      </c>
      <c r="J1400" s="8">
        <f>1511</f>
        <v>1511</v>
      </c>
      <c r="K1400" s="5" t="s">
        <v>308</v>
      </c>
      <c r="L1400" s="7">
        <f>1</f>
        <v>1</v>
      </c>
      <c r="M1400" s="7">
        <f>1</f>
        <v>1</v>
      </c>
      <c r="N1400" s="5" t="s">
        <v>242</v>
      </c>
      <c r="O1400" s="5">
        <v>1</v>
      </c>
      <c r="P1400" s="5" t="s">
        <v>294</v>
      </c>
      <c r="Q1400" s="5" t="s">
        <v>266</v>
      </c>
      <c r="R1400" s="5" t="s">
        <v>240</v>
      </c>
      <c r="S1400" s="5" t="s">
        <v>240</v>
      </c>
      <c r="T1400" s="5" t="s">
        <v>296</v>
      </c>
      <c r="U1400" s="5" t="s">
        <v>244</v>
      </c>
      <c r="V1400" s="5" t="s">
        <v>240</v>
      </c>
      <c r="Y1400" s="5" t="s">
        <v>240</v>
      </c>
      <c r="Z1400" s="6" t="s">
        <v>298</v>
      </c>
      <c r="AB1400" s="6" t="s">
        <v>240</v>
      </c>
      <c r="AE1400" s="6" t="s">
        <v>299</v>
      </c>
      <c r="AF1400" s="5" t="s">
        <v>248</v>
      </c>
      <c r="AG1400" s="5" t="s">
        <v>249</v>
      </c>
      <c r="AW1400" s="5" t="s">
        <v>251</v>
      </c>
      <c r="AX1400" s="5" t="s">
        <v>240</v>
      </c>
      <c r="AY1400" s="5" t="s">
        <v>253</v>
      </c>
      <c r="AZ1400" s="5" t="s">
        <v>240</v>
      </c>
      <c r="BA1400" s="5" t="s">
        <v>255</v>
      </c>
      <c r="BB1400" s="5" t="s">
        <v>240</v>
      </c>
      <c r="BD1400" s="5" t="s">
        <v>240</v>
      </c>
      <c r="BF1400" s="5" t="s">
        <v>301</v>
      </c>
      <c r="BG1400" s="6" t="s">
        <v>299</v>
      </c>
      <c r="BH1400" s="5" t="s">
        <v>302</v>
      </c>
      <c r="BI1400" s="5" t="s">
        <v>303</v>
      </c>
      <c r="BJ1400" s="5" t="s">
        <v>240</v>
      </c>
      <c r="BK1400" s="8">
        <f>0</f>
        <v>0</v>
      </c>
      <c r="BL1400" s="7">
        <f>0</f>
        <v>0</v>
      </c>
      <c r="BM1400" s="5" t="s">
        <v>258</v>
      </c>
      <c r="BN1400" s="5" t="s">
        <v>259</v>
      </c>
      <c r="CB1400" s="5" t="s">
        <v>240</v>
      </c>
      <c r="CC1400" s="5" t="s">
        <v>240</v>
      </c>
      <c r="CG1400" s="5" t="s">
        <v>304</v>
      </c>
      <c r="CH1400" s="5" t="s">
        <v>305</v>
      </c>
      <c r="CI1400" s="5" t="s">
        <v>240</v>
      </c>
      <c r="CL1400" s="6" t="s">
        <v>261</v>
      </c>
      <c r="CM1400" s="5" t="s">
        <v>240</v>
      </c>
      <c r="CN1400" s="5" t="s">
        <v>263</v>
      </c>
      <c r="CO1400" s="5" t="s">
        <v>240</v>
      </c>
      <c r="CP1400" s="5" t="s">
        <v>240</v>
      </c>
      <c r="CQ1400" s="5">
        <v>0</v>
      </c>
      <c r="CR1400" s="5" t="s">
        <v>306</v>
      </c>
      <c r="CS1400" s="5" t="s">
        <v>307</v>
      </c>
      <c r="CT1400" s="5" t="s">
        <v>307</v>
      </c>
      <c r="CU1400" s="5" t="s">
        <v>260</v>
      </c>
      <c r="CX1400" s="7">
        <f>1</f>
        <v>1</v>
      </c>
      <c r="CY1400" s="7">
        <f>0</f>
        <v>0</v>
      </c>
      <c r="DA1400" s="7">
        <f>0</f>
        <v>0</v>
      </c>
      <c r="DC1400" s="5" t="s">
        <v>812</v>
      </c>
      <c r="DD1400" s="5" t="s">
        <v>240</v>
      </c>
      <c r="DF1400" s="5" t="s">
        <v>812</v>
      </c>
      <c r="DG1400" s="7">
        <f>126</f>
        <v>126</v>
      </c>
      <c r="DI1400" s="5" t="s">
        <v>240</v>
      </c>
      <c r="DJ1400" s="5" t="s">
        <v>240</v>
      </c>
      <c r="DK1400" s="5" t="s">
        <v>240</v>
      </c>
      <c r="DL1400" s="5" t="s">
        <v>240</v>
      </c>
      <c r="DP1400" s="5" t="s">
        <v>240</v>
      </c>
      <c r="DQ1400" s="5" t="s">
        <v>240</v>
      </c>
      <c r="DR1400" s="5" t="s">
        <v>240</v>
      </c>
      <c r="DS1400" s="5" t="s">
        <v>240</v>
      </c>
      <c r="DV1400" s="5" t="s">
        <v>813</v>
      </c>
      <c r="DW1400" s="5" t="s">
        <v>2931</v>
      </c>
      <c r="HO1400" s="5" t="s">
        <v>312</v>
      </c>
    </row>
    <row r="1401" spans="1:223" x14ac:dyDescent="0.4">
      <c r="A1401" s="5">
        <v>3076</v>
      </c>
      <c r="B1401" s="5">
        <v>1</v>
      </c>
      <c r="C1401" s="5">
        <v>1</v>
      </c>
      <c r="D1401" s="5" t="s">
        <v>297</v>
      </c>
      <c r="E1401" s="5" t="s">
        <v>245</v>
      </c>
      <c r="F1401" s="5" t="s">
        <v>254</v>
      </c>
      <c r="G1401" s="5" t="s">
        <v>240</v>
      </c>
      <c r="H1401" s="6" t="s">
        <v>4797</v>
      </c>
      <c r="I1401" s="5" t="s">
        <v>295</v>
      </c>
      <c r="J1401" s="8">
        <f>255</f>
        <v>255</v>
      </c>
      <c r="K1401" s="5" t="s">
        <v>308</v>
      </c>
      <c r="L1401" s="7">
        <f>1</f>
        <v>1</v>
      </c>
      <c r="M1401" s="7">
        <f>1</f>
        <v>1</v>
      </c>
      <c r="N1401" s="5" t="s">
        <v>242</v>
      </c>
      <c r="O1401" s="5">
        <v>1</v>
      </c>
      <c r="P1401" s="5" t="s">
        <v>294</v>
      </c>
      <c r="Q1401" s="5" t="s">
        <v>266</v>
      </c>
      <c r="R1401" s="5" t="s">
        <v>240</v>
      </c>
      <c r="S1401" s="5" t="s">
        <v>240</v>
      </c>
      <c r="T1401" s="5" t="s">
        <v>296</v>
      </c>
      <c r="U1401" s="5" t="s">
        <v>244</v>
      </c>
      <c r="V1401" s="5" t="s">
        <v>240</v>
      </c>
      <c r="Y1401" s="5" t="s">
        <v>240</v>
      </c>
      <c r="Z1401" s="6" t="s">
        <v>298</v>
      </c>
      <c r="AB1401" s="6" t="s">
        <v>240</v>
      </c>
      <c r="AE1401" s="6" t="s">
        <v>299</v>
      </c>
      <c r="AF1401" s="5" t="s">
        <v>248</v>
      </c>
      <c r="AG1401" s="5" t="s">
        <v>249</v>
      </c>
      <c r="AW1401" s="5" t="s">
        <v>251</v>
      </c>
      <c r="AX1401" s="5" t="s">
        <v>240</v>
      </c>
      <c r="AY1401" s="5" t="s">
        <v>253</v>
      </c>
      <c r="AZ1401" s="5" t="s">
        <v>240</v>
      </c>
      <c r="BA1401" s="5" t="s">
        <v>255</v>
      </c>
      <c r="BB1401" s="5" t="s">
        <v>240</v>
      </c>
      <c r="BD1401" s="5" t="s">
        <v>240</v>
      </c>
      <c r="BF1401" s="5" t="s">
        <v>301</v>
      </c>
      <c r="BG1401" s="6" t="s">
        <v>299</v>
      </c>
      <c r="BH1401" s="5" t="s">
        <v>302</v>
      </c>
      <c r="BI1401" s="5" t="s">
        <v>303</v>
      </c>
      <c r="BJ1401" s="5" t="s">
        <v>240</v>
      </c>
      <c r="BK1401" s="8">
        <f>0</f>
        <v>0</v>
      </c>
      <c r="BL1401" s="7">
        <f>0</f>
        <v>0</v>
      </c>
      <c r="BM1401" s="5" t="s">
        <v>258</v>
      </c>
      <c r="BN1401" s="5" t="s">
        <v>259</v>
      </c>
      <c r="CB1401" s="5" t="s">
        <v>240</v>
      </c>
      <c r="CC1401" s="5" t="s">
        <v>240</v>
      </c>
      <c r="CG1401" s="5" t="s">
        <v>304</v>
      </c>
      <c r="CH1401" s="5" t="s">
        <v>305</v>
      </c>
      <c r="CI1401" s="5" t="s">
        <v>240</v>
      </c>
      <c r="CL1401" s="6" t="s">
        <v>261</v>
      </c>
      <c r="CM1401" s="5" t="s">
        <v>240</v>
      </c>
      <c r="CN1401" s="5" t="s">
        <v>263</v>
      </c>
      <c r="CO1401" s="5" t="s">
        <v>240</v>
      </c>
      <c r="CP1401" s="5" t="s">
        <v>240</v>
      </c>
      <c r="CQ1401" s="5">
        <v>0</v>
      </c>
      <c r="CR1401" s="5" t="s">
        <v>306</v>
      </c>
      <c r="CS1401" s="5" t="s">
        <v>307</v>
      </c>
      <c r="CT1401" s="5" t="s">
        <v>307</v>
      </c>
      <c r="CU1401" s="5" t="s">
        <v>260</v>
      </c>
      <c r="CX1401" s="7">
        <f>1</f>
        <v>1</v>
      </c>
      <c r="CY1401" s="7">
        <f>0</f>
        <v>0</v>
      </c>
      <c r="DA1401" s="7">
        <f>0</f>
        <v>0</v>
      </c>
      <c r="DC1401" s="5" t="s">
        <v>812</v>
      </c>
      <c r="DD1401" s="5" t="s">
        <v>240</v>
      </c>
      <c r="DF1401" s="5" t="s">
        <v>812</v>
      </c>
      <c r="DG1401" s="7">
        <f>75</f>
        <v>75</v>
      </c>
      <c r="DI1401" s="5" t="s">
        <v>240</v>
      </c>
      <c r="DJ1401" s="5" t="s">
        <v>240</v>
      </c>
      <c r="DK1401" s="5" t="s">
        <v>240</v>
      </c>
      <c r="DL1401" s="5" t="s">
        <v>240</v>
      </c>
      <c r="DP1401" s="5" t="s">
        <v>240</v>
      </c>
      <c r="DQ1401" s="5" t="s">
        <v>240</v>
      </c>
      <c r="DR1401" s="5" t="s">
        <v>240</v>
      </c>
      <c r="DS1401" s="5" t="s">
        <v>240</v>
      </c>
      <c r="DV1401" s="5" t="s">
        <v>813</v>
      </c>
      <c r="DW1401" s="5" t="s">
        <v>2933</v>
      </c>
      <c r="HO1401" s="5" t="s">
        <v>312</v>
      </c>
    </row>
    <row r="1402" spans="1:223" x14ac:dyDescent="0.4">
      <c r="A1402" s="5">
        <v>3077</v>
      </c>
      <c r="B1402" s="5">
        <v>1</v>
      </c>
      <c r="C1402" s="5">
        <v>1</v>
      </c>
      <c r="D1402" s="5" t="s">
        <v>297</v>
      </c>
      <c r="E1402" s="5" t="s">
        <v>245</v>
      </c>
      <c r="F1402" s="5" t="s">
        <v>254</v>
      </c>
      <c r="G1402" s="5" t="s">
        <v>240</v>
      </c>
      <c r="H1402" s="6" t="s">
        <v>4796</v>
      </c>
      <c r="I1402" s="5" t="s">
        <v>295</v>
      </c>
      <c r="J1402" s="8">
        <f>677</f>
        <v>677</v>
      </c>
      <c r="K1402" s="5" t="s">
        <v>308</v>
      </c>
      <c r="L1402" s="7">
        <f>1</f>
        <v>1</v>
      </c>
      <c r="M1402" s="7">
        <f>1</f>
        <v>1</v>
      </c>
      <c r="N1402" s="5" t="s">
        <v>242</v>
      </c>
      <c r="O1402" s="5">
        <v>1</v>
      </c>
      <c r="P1402" s="5" t="s">
        <v>294</v>
      </c>
      <c r="Q1402" s="5" t="s">
        <v>266</v>
      </c>
      <c r="R1402" s="5" t="s">
        <v>240</v>
      </c>
      <c r="S1402" s="5" t="s">
        <v>240</v>
      </c>
      <c r="T1402" s="5" t="s">
        <v>296</v>
      </c>
      <c r="U1402" s="5" t="s">
        <v>244</v>
      </c>
      <c r="V1402" s="5" t="s">
        <v>240</v>
      </c>
      <c r="Y1402" s="5" t="s">
        <v>240</v>
      </c>
      <c r="Z1402" s="6" t="s">
        <v>298</v>
      </c>
      <c r="AB1402" s="6" t="s">
        <v>240</v>
      </c>
      <c r="AE1402" s="6" t="s">
        <v>299</v>
      </c>
      <c r="AF1402" s="5" t="s">
        <v>248</v>
      </c>
      <c r="AG1402" s="5" t="s">
        <v>249</v>
      </c>
      <c r="AW1402" s="5" t="s">
        <v>251</v>
      </c>
      <c r="AX1402" s="5" t="s">
        <v>240</v>
      </c>
      <c r="AY1402" s="5" t="s">
        <v>253</v>
      </c>
      <c r="AZ1402" s="5" t="s">
        <v>240</v>
      </c>
      <c r="BA1402" s="5" t="s">
        <v>255</v>
      </c>
      <c r="BB1402" s="5" t="s">
        <v>240</v>
      </c>
      <c r="BD1402" s="5" t="s">
        <v>240</v>
      </c>
      <c r="BF1402" s="5" t="s">
        <v>301</v>
      </c>
      <c r="BG1402" s="6" t="s">
        <v>299</v>
      </c>
      <c r="BH1402" s="5" t="s">
        <v>302</v>
      </c>
      <c r="BI1402" s="5" t="s">
        <v>303</v>
      </c>
      <c r="BJ1402" s="5" t="s">
        <v>240</v>
      </c>
      <c r="BK1402" s="8">
        <f>0</f>
        <v>0</v>
      </c>
      <c r="BL1402" s="7">
        <f>0</f>
        <v>0</v>
      </c>
      <c r="BM1402" s="5" t="s">
        <v>258</v>
      </c>
      <c r="BN1402" s="5" t="s">
        <v>259</v>
      </c>
      <c r="CB1402" s="5" t="s">
        <v>240</v>
      </c>
      <c r="CC1402" s="5" t="s">
        <v>240</v>
      </c>
      <c r="CG1402" s="5" t="s">
        <v>304</v>
      </c>
      <c r="CH1402" s="5" t="s">
        <v>305</v>
      </c>
      <c r="CI1402" s="5" t="s">
        <v>240</v>
      </c>
      <c r="CL1402" s="6" t="s">
        <v>261</v>
      </c>
      <c r="CM1402" s="5" t="s">
        <v>240</v>
      </c>
      <c r="CN1402" s="5" t="s">
        <v>263</v>
      </c>
      <c r="CO1402" s="5" t="s">
        <v>240</v>
      </c>
      <c r="CP1402" s="5" t="s">
        <v>240</v>
      </c>
      <c r="CQ1402" s="5">
        <v>0</v>
      </c>
      <c r="CR1402" s="5" t="s">
        <v>306</v>
      </c>
      <c r="CS1402" s="5" t="s">
        <v>307</v>
      </c>
      <c r="CT1402" s="5" t="s">
        <v>307</v>
      </c>
      <c r="CU1402" s="5" t="s">
        <v>260</v>
      </c>
      <c r="CX1402" s="7">
        <f>1</f>
        <v>1</v>
      </c>
      <c r="CY1402" s="7">
        <f>0</f>
        <v>0</v>
      </c>
      <c r="DA1402" s="7">
        <f>0</f>
        <v>0</v>
      </c>
      <c r="DC1402" s="5" t="s">
        <v>812</v>
      </c>
      <c r="DD1402" s="5" t="s">
        <v>240</v>
      </c>
      <c r="DF1402" s="5" t="s">
        <v>812</v>
      </c>
      <c r="DG1402" s="7">
        <f>1058</f>
        <v>1058</v>
      </c>
      <c r="DI1402" s="5" t="s">
        <v>240</v>
      </c>
      <c r="DJ1402" s="5" t="s">
        <v>240</v>
      </c>
      <c r="DK1402" s="5" t="s">
        <v>240</v>
      </c>
      <c r="DL1402" s="5" t="s">
        <v>240</v>
      </c>
      <c r="DP1402" s="5" t="s">
        <v>240</v>
      </c>
      <c r="DQ1402" s="5" t="s">
        <v>240</v>
      </c>
      <c r="DR1402" s="5" t="s">
        <v>240</v>
      </c>
      <c r="DS1402" s="5" t="s">
        <v>240</v>
      </c>
      <c r="DV1402" s="5" t="s">
        <v>813</v>
      </c>
      <c r="DW1402" s="5" t="s">
        <v>2935</v>
      </c>
      <c r="HO1402" s="5" t="s">
        <v>312</v>
      </c>
    </row>
    <row r="1403" spans="1:223" x14ac:dyDescent="0.4">
      <c r="A1403" s="5">
        <v>3078</v>
      </c>
      <c r="B1403" s="5">
        <v>1</v>
      </c>
      <c r="C1403" s="5">
        <v>1</v>
      </c>
      <c r="D1403" s="5" t="s">
        <v>297</v>
      </c>
      <c r="E1403" s="5" t="s">
        <v>245</v>
      </c>
      <c r="F1403" s="5" t="s">
        <v>254</v>
      </c>
      <c r="G1403" s="5" t="s">
        <v>240</v>
      </c>
      <c r="H1403" s="6" t="s">
        <v>4795</v>
      </c>
      <c r="I1403" s="5" t="s">
        <v>295</v>
      </c>
      <c r="J1403" s="8">
        <f>1549</f>
        <v>1549</v>
      </c>
      <c r="K1403" s="5" t="s">
        <v>308</v>
      </c>
      <c r="L1403" s="7">
        <f>1</f>
        <v>1</v>
      </c>
      <c r="M1403" s="7">
        <f>1</f>
        <v>1</v>
      </c>
      <c r="N1403" s="5" t="s">
        <v>242</v>
      </c>
      <c r="O1403" s="5">
        <v>1</v>
      </c>
      <c r="P1403" s="5" t="s">
        <v>294</v>
      </c>
      <c r="Q1403" s="5" t="s">
        <v>266</v>
      </c>
      <c r="R1403" s="5" t="s">
        <v>240</v>
      </c>
      <c r="S1403" s="5" t="s">
        <v>240</v>
      </c>
      <c r="T1403" s="5" t="s">
        <v>296</v>
      </c>
      <c r="U1403" s="5" t="s">
        <v>244</v>
      </c>
      <c r="V1403" s="5" t="s">
        <v>240</v>
      </c>
      <c r="Y1403" s="5" t="s">
        <v>240</v>
      </c>
      <c r="Z1403" s="6" t="s">
        <v>298</v>
      </c>
      <c r="AB1403" s="6" t="s">
        <v>240</v>
      </c>
      <c r="AE1403" s="6" t="s">
        <v>299</v>
      </c>
      <c r="AF1403" s="5" t="s">
        <v>248</v>
      </c>
      <c r="AG1403" s="5" t="s">
        <v>249</v>
      </c>
      <c r="AW1403" s="5" t="s">
        <v>251</v>
      </c>
      <c r="AX1403" s="5" t="s">
        <v>240</v>
      </c>
      <c r="AY1403" s="5" t="s">
        <v>253</v>
      </c>
      <c r="AZ1403" s="5" t="s">
        <v>240</v>
      </c>
      <c r="BA1403" s="5" t="s">
        <v>255</v>
      </c>
      <c r="BB1403" s="5" t="s">
        <v>240</v>
      </c>
      <c r="BD1403" s="5" t="s">
        <v>240</v>
      </c>
      <c r="BF1403" s="5" t="s">
        <v>301</v>
      </c>
      <c r="BG1403" s="6" t="s">
        <v>299</v>
      </c>
      <c r="BH1403" s="5" t="s">
        <v>302</v>
      </c>
      <c r="BI1403" s="5" t="s">
        <v>303</v>
      </c>
      <c r="BJ1403" s="5" t="s">
        <v>240</v>
      </c>
      <c r="BK1403" s="8">
        <f>0</f>
        <v>0</v>
      </c>
      <c r="BL1403" s="7">
        <f>0</f>
        <v>0</v>
      </c>
      <c r="BM1403" s="5" t="s">
        <v>258</v>
      </c>
      <c r="BN1403" s="5" t="s">
        <v>259</v>
      </c>
      <c r="CB1403" s="5" t="s">
        <v>240</v>
      </c>
      <c r="CC1403" s="5" t="s">
        <v>240</v>
      </c>
      <c r="CG1403" s="5" t="s">
        <v>304</v>
      </c>
      <c r="CH1403" s="5" t="s">
        <v>305</v>
      </c>
      <c r="CI1403" s="5" t="s">
        <v>240</v>
      </c>
      <c r="CL1403" s="6" t="s">
        <v>261</v>
      </c>
      <c r="CM1403" s="5" t="s">
        <v>240</v>
      </c>
      <c r="CN1403" s="5" t="s">
        <v>263</v>
      </c>
      <c r="CO1403" s="5" t="s">
        <v>240</v>
      </c>
      <c r="CP1403" s="5" t="s">
        <v>240</v>
      </c>
      <c r="CQ1403" s="5">
        <v>0</v>
      </c>
      <c r="CR1403" s="5" t="s">
        <v>306</v>
      </c>
      <c r="CS1403" s="5" t="s">
        <v>307</v>
      </c>
      <c r="CT1403" s="5" t="s">
        <v>307</v>
      </c>
      <c r="CU1403" s="5" t="s">
        <v>260</v>
      </c>
      <c r="CX1403" s="7">
        <f>1</f>
        <v>1</v>
      </c>
      <c r="CY1403" s="7">
        <f>0</f>
        <v>0</v>
      </c>
      <c r="DA1403" s="7">
        <f>0</f>
        <v>0</v>
      </c>
      <c r="DC1403" s="5" t="s">
        <v>812</v>
      </c>
      <c r="DD1403" s="5" t="s">
        <v>240</v>
      </c>
      <c r="DF1403" s="5" t="s">
        <v>812</v>
      </c>
      <c r="DG1403" s="7">
        <f>3728</f>
        <v>3728</v>
      </c>
      <c r="DI1403" s="5" t="s">
        <v>240</v>
      </c>
      <c r="DJ1403" s="5" t="s">
        <v>240</v>
      </c>
      <c r="DK1403" s="5" t="s">
        <v>240</v>
      </c>
      <c r="DL1403" s="5" t="s">
        <v>240</v>
      </c>
      <c r="DP1403" s="5" t="s">
        <v>240</v>
      </c>
      <c r="DQ1403" s="5" t="s">
        <v>240</v>
      </c>
      <c r="DR1403" s="5" t="s">
        <v>240</v>
      </c>
      <c r="DS1403" s="5" t="s">
        <v>240</v>
      </c>
      <c r="DV1403" s="5" t="s">
        <v>813</v>
      </c>
      <c r="DW1403" s="5" t="s">
        <v>2937</v>
      </c>
      <c r="HO1403" s="5" t="s">
        <v>312</v>
      </c>
    </row>
    <row r="1404" spans="1:223" x14ac:dyDescent="0.4">
      <c r="A1404" s="5">
        <v>3079</v>
      </c>
      <c r="B1404" s="5">
        <v>1</v>
      </c>
      <c r="C1404" s="5">
        <v>1</v>
      </c>
      <c r="D1404" s="5" t="s">
        <v>297</v>
      </c>
      <c r="E1404" s="5" t="s">
        <v>245</v>
      </c>
      <c r="F1404" s="5" t="s">
        <v>254</v>
      </c>
      <c r="G1404" s="5" t="s">
        <v>240</v>
      </c>
      <c r="H1404" s="6" t="s">
        <v>4794</v>
      </c>
      <c r="I1404" s="5" t="s">
        <v>295</v>
      </c>
      <c r="J1404" s="8">
        <f>410</f>
        <v>410</v>
      </c>
      <c r="K1404" s="5" t="s">
        <v>308</v>
      </c>
      <c r="L1404" s="7">
        <f>1</f>
        <v>1</v>
      </c>
      <c r="M1404" s="7">
        <f>1</f>
        <v>1</v>
      </c>
      <c r="N1404" s="5" t="s">
        <v>242</v>
      </c>
      <c r="O1404" s="5">
        <v>1</v>
      </c>
      <c r="P1404" s="5" t="s">
        <v>294</v>
      </c>
      <c r="Q1404" s="5" t="s">
        <v>266</v>
      </c>
      <c r="R1404" s="5" t="s">
        <v>240</v>
      </c>
      <c r="S1404" s="5" t="s">
        <v>240</v>
      </c>
      <c r="T1404" s="5" t="s">
        <v>296</v>
      </c>
      <c r="U1404" s="5" t="s">
        <v>244</v>
      </c>
      <c r="V1404" s="5" t="s">
        <v>240</v>
      </c>
      <c r="Y1404" s="5" t="s">
        <v>240</v>
      </c>
      <c r="Z1404" s="6" t="s">
        <v>298</v>
      </c>
      <c r="AB1404" s="6" t="s">
        <v>240</v>
      </c>
      <c r="AE1404" s="6" t="s">
        <v>299</v>
      </c>
      <c r="AF1404" s="5" t="s">
        <v>248</v>
      </c>
      <c r="AG1404" s="5" t="s">
        <v>249</v>
      </c>
      <c r="AW1404" s="5" t="s">
        <v>251</v>
      </c>
      <c r="AX1404" s="5" t="s">
        <v>240</v>
      </c>
      <c r="AY1404" s="5" t="s">
        <v>253</v>
      </c>
      <c r="AZ1404" s="5" t="s">
        <v>240</v>
      </c>
      <c r="BA1404" s="5" t="s">
        <v>255</v>
      </c>
      <c r="BB1404" s="5" t="s">
        <v>240</v>
      </c>
      <c r="BD1404" s="5" t="s">
        <v>240</v>
      </c>
      <c r="BF1404" s="5" t="s">
        <v>301</v>
      </c>
      <c r="BG1404" s="6" t="s">
        <v>299</v>
      </c>
      <c r="BH1404" s="5" t="s">
        <v>302</v>
      </c>
      <c r="BI1404" s="5" t="s">
        <v>303</v>
      </c>
      <c r="BJ1404" s="5" t="s">
        <v>240</v>
      </c>
      <c r="BK1404" s="8">
        <f>0</f>
        <v>0</v>
      </c>
      <c r="BL1404" s="7">
        <f>0</f>
        <v>0</v>
      </c>
      <c r="BM1404" s="5" t="s">
        <v>258</v>
      </c>
      <c r="BN1404" s="5" t="s">
        <v>259</v>
      </c>
      <c r="CB1404" s="5" t="s">
        <v>240</v>
      </c>
      <c r="CC1404" s="5" t="s">
        <v>240</v>
      </c>
      <c r="CG1404" s="5" t="s">
        <v>304</v>
      </c>
      <c r="CH1404" s="5" t="s">
        <v>305</v>
      </c>
      <c r="CI1404" s="5" t="s">
        <v>240</v>
      </c>
      <c r="CL1404" s="6" t="s">
        <v>261</v>
      </c>
      <c r="CM1404" s="5" t="s">
        <v>240</v>
      </c>
      <c r="CN1404" s="5" t="s">
        <v>263</v>
      </c>
      <c r="CO1404" s="5" t="s">
        <v>240</v>
      </c>
      <c r="CP1404" s="5" t="s">
        <v>240</v>
      </c>
      <c r="CQ1404" s="5">
        <v>0</v>
      </c>
      <c r="CR1404" s="5" t="s">
        <v>306</v>
      </c>
      <c r="CS1404" s="5" t="s">
        <v>307</v>
      </c>
      <c r="CT1404" s="5" t="s">
        <v>307</v>
      </c>
      <c r="CU1404" s="5" t="s">
        <v>260</v>
      </c>
      <c r="CX1404" s="7">
        <f>1</f>
        <v>1</v>
      </c>
      <c r="CY1404" s="7">
        <f>0</f>
        <v>0</v>
      </c>
      <c r="DA1404" s="7">
        <f>0</f>
        <v>0</v>
      </c>
      <c r="DC1404" s="5" t="s">
        <v>812</v>
      </c>
      <c r="DD1404" s="5" t="s">
        <v>240</v>
      </c>
      <c r="DF1404" s="5" t="s">
        <v>812</v>
      </c>
      <c r="DG1404" s="7">
        <f>105</f>
        <v>105</v>
      </c>
      <c r="DI1404" s="5" t="s">
        <v>240</v>
      </c>
      <c r="DJ1404" s="5" t="s">
        <v>240</v>
      </c>
      <c r="DK1404" s="5" t="s">
        <v>240</v>
      </c>
      <c r="DL1404" s="5" t="s">
        <v>240</v>
      </c>
      <c r="DP1404" s="5" t="s">
        <v>240</v>
      </c>
      <c r="DQ1404" s="5" t="s">
        <v>240</v>
      </c>
      <c r="DR1404" s="5" t="s">
        <v>240</v>
      </c>
      <c r="DS1404" s="5" t="s">
        <v>240</v>
      </c>
      <c r="DV1404" s="5" t="s">
        <v>813</v>
      </c>
      <c r="DW1404" s="5" t="s">
        <v>2939</v>
      </c>
      <c r="HO1404" s="5" t="s">
        <v>312</v>
      </c>
    </row>
    <row r="1405" spans="1:223" x14ac:dyDescent="0.4">
      <c r="A1405" s="5">
        <v>3080</v>
      </c>
      <c r="B1405" s="5">
        <v>1</v>
      </c>
      <c r="C1405" s="5">
        <v>1</v>
      </c>
      <c r="D1405" s="5" t="s">
        <v>297</v>
      </c>
      <c r="E1405" s="5" t="s">
        <v>245</v>
      </c>
      <c r="F1405" s="5" t="s">
        <v>254</v>
      </c>
      <c r="G1405" s="5" t="s">
        <v>240</v>
      </c>
      <c r="H1405" s="6" t="s">
        <v>4793</v>
      </c>
      <c r="I1405" s="5" t="s">
        <v>295</v>
      </c>
      <c r="J1405" s="8">
        <f>973</f>
        <v>973</v>
      </c>
      <c r="K1405" s="5" t="s">
        <v>308</v>
      </c>
      <c r="L1405" s="7">
        <f>1</f>
        <v>1</v>
      </c>
      <c r="M1405" s="7">
        <f>1</f>
        <v>1</v>
      </c>
      <c r="N1405" s="5" t="s">
        <v>242</v>
      </c>
      <c r="O1405" s="5">
        <v>1</v>
      </c>
      <c r="P1405" s="5" t="s">
        <v>294</v>
      </c>
      <c r="Q1405" s="5" t="s">
        <v>266</v>
      </c>
      <c r="R1405" s="5" t="s">
        <v>240</v>
      </c>
      <c r="S1405" s="5" t="s">
        <v>240</v>
      </c>
      <c r="T1405" s="5" t="s">
        <v>296</v>
      </c>
      <c r="U1405" s="5" t="s">
        <v>244</v>
      </c>
      <c r="V1405" s="5" t="s">
        <v>240</v>
      </c>
      <c r="Y1405" s="5" t="s">
        <v>240</v>
      </c>
      <c r="Z1405" s="6" t="s">
        <v>298</v>
      </c>
      <c r="AB1405" s="6" t="s">
        <v>240</v>
      </c>
      <c r="AE1405" s="6" t="s">
        <v>299</v>
      </c>
      <c r="AF1405" s="5" t="s">
        <v>248</v>
      </c>
      <c r="AG1405" s="5" t="s">
        <v>249</v>
      </c>
      <c r="AW1405" s="5" t="s">
        <v>251</v>
      </c>
      <c r="AX1405" s="5" t="s">
        <v>240</v>
      </c>
      <c r="AY1405" s="5" t="s">
        <v>253</v>
      </c>
      <c r="AZ1405" s="5" t="s">
        <v>240</v>
      </c>
      <c r="BA1405" s="5" t="s">
        <v>255</v>
      </c>
      <c r="BB1405" s="5" t="s">
        <v>240</v>
      </c>
      <c r="BD1405" s="5" t="s">
        <v>240</v>
      </c>
      <c r="BF1405" s="5" t="s">
        <v>301</v>
      </c>
      <c r="BG1405" s="6" t="s">
        <v>299</v>
      </c>
      <c r="BH1405" s="5" t="s">
        <v>302</v>
      </c>
      <c r="BI1405" s="5" t="s">
        <v>303</v>
      </c>
      <c r="BJ1405" s="5" t="s">
        <v>240</v>
      </c>
      <c r="BK1405" s="8">
        <f>0</f>
        <v>0</v>
      </c>
      <c r="BL1405" s="7">
        <f>0</f>
        <v>0</v>
      </c>
      <c r="BM1405" s="5" t="s">
        <v>258</v>
      </c>
      <c r="BN1405" s="5" t="s">
        <v>259</v>
      </c>
      <c r="CB1405" s="5" t="s">
        <v>240</v>
      </c>
      <c r="CC1405" s="5" t="s">
        <v>240</v>
      </c>
      <c r="CG1405" s="5" t="s">
        <v>304</v>
      </c>
      <c r="CH1405" s="5" t="s">
        <v>305</v>
      </c>
      <c r="CI1405" s="5" t="s">
        <v>240</v>
      </c>
      <c r="CL1405" s="6" t="s">
        <v>261</v>
      </c>
      <c r="CM1405" s="5" t="s">
        <v>240</v>
      </c>
      <c r="CN1405" s="5" t="s">
        <v>263</v>
      </c>
      <c r="CO1405" s="5" t="s">
        <v>240</v>
      </c>
      <c r="CP1405" s="5" t="s">
        <v>240</v>
      </c>
      <c r="CQ1405" s="5">
        <v>0</v>
      </c>
      <c r="CR1405" s="5" t="s">
        <v>306</v>
      </c>
      <c r="CS1405" s="5" t="s">
        <v>307</v>
      </c>
      <c r="CT1405" s="5" t="s">
        <v>307</v>
      </c>
      <c r="CU1405" s="5" t="s">
        <v>260</v>
      </c>
      <c r="CX1405" s="7">
        <f>1</f>
        <v>1</v>
      </c>
      <c r="CY1405" s="7">
        <f>0</f>
        <v>0</v>
      </c>
      <c r="DA1405" s="7">
        <f>0</f>
        <v>0</v>
      </c>
      <c r="DC1405" s="5" t="s">
        <v>812</v>
      </c>
      <c r="DD1405" s="5" t="s">
        <v>240</v>
      </c>
      <c r="DF1405" s="5" t="s">
        <v>812</v>
      </c>
      <c r="DG1405" s="7">
        <f>296</f>
        <v>296</v>
      </c>
      <c r="DI1405" s="5" t="s">
        <v>240</v>
      </c>
      <c r="DJ1405" s="5" t="s">
        <v>240</v>
      </c>
      <c r="DK1405" s="5" t="s">
        <v>240</v>
      </c>
      <c r="DL1405" s="5" t="s">
        <v>240</v>
      </c>
      <c r="DP1405" s="5" t="s">
        <v>240</v>
      </c>
      <c r="DQ1405" s="5" t="s">
        <v>240</v>
      </c>
      <c r="DR1405" s="5" t="s">
        <v>240</v>
      </c>
      <c r="DS1405" s="5" t="s">
        <v>240</v>
      </c>
      <c r="DV1405" s="5" t="s">
        <v>813</v>
      </c>
      <c r="DW1405" s="5" t="s">
        <v>2941</v>
      </c>
      <c r="HO1405" s="5" t="s">
        <v>312</v>
      </c>
    </row>
    <row r="1406" spans="1:223" x14ac:dyDescent="0.4">
      <c r="A1406" s="5">
        <v>3081</v>
      </c>
      <c r="B1406" s="5">
        <v>1</v>
      </c>
      <c r="C1406" s="5">
        <v>1</v>
      </c>
      <c r="D1406" s="5" t="s">
        <v>297</v>
      </c>
      <c r="E1406" s="5" t="s">
        <v>245</v>
      </c>
      <c r="F1406" s="5" t="s">
        <v>254</v>
      </c>
      <c r="G1406" s="5" t="s">
        <v>240</v>
      </c>
      <c r="H1406" s="6" t="s">
        <v>4792</v>
      </c>
      <c r="I1406" s="5" t="s">
        <v>295</v>
      </c>
      <c r="J1406" s="8">
        <f>1016</f>
        <v>1016</v>
      </c>
      <c r="K1406" s="5" t="s">
        <v>308</v>
      </c>
      <c r="L1406" s="7">
        <f>1</f>
        <v>1</v>
      </c>
      <c r="M1406" s="7">
        <f>1</f>
        <v>1</v>
      </c>
      <c r="N1406" s="5" t="s">
        <v>242</v>
      </c>
      <c r="O1406" s="5">
        <v>1</v>
      </c>
      <c r="P1406" s="5" t="s">
        <v>294</v>
      </c>
      <c r="Q1406" s="5" t="s">
        <v>266</v>
      </c>
      <c r="R1406" s="5" t="s">
        <v>240</v>
      </c>
      <c r="S1406" s="5" t="s">
        <v>240</v>
      </c>
      <c r="T1406" s="5" t="s">
        <v>296</v>
      </c>
      <c r="U1406" s="5" t="s">
        <v>244</v>
      </c>
      <c r="V1406" s="5" t="s">
        <v>240</v>
      </c>
      <c r="Y1406" s="5" t="s">
        <v>240</v>
      </c>
      <c r="Z1406" s="6" t="s">
        <v>298</v>
      </c>
      <c r="AB1406" s="6" t="s">
        <v>240</v>
      </c>
      <c r="AE1406" s="6" t="s">
        <v>299</v>
      </c>
      <c r="AF1406" s="5" t="s">
        <v>248</v>
      </c>
      <c r="AG1406" s="5" t="s">
        <v>249</v>
      </c>
      <c r="AW1406" s="5" t="s">
        <v>251</v>
      </c>
      <c r="AX1406" s="5" t="s">
        <v>240</v>
      </c>
      <c r="AY1406" s="5" t="s">
        <v>253</v>
      </c>
      <c r="AZ1406" s="5" t="s">
        <v>240</v>
      </c>
      <c r="BA1406" s="5" t="s">
        <v>255</v>
      </c>
      <c r="BB1406" s="5" t="s">
        <v>240</v>
      </c>
      <c r="BD1406" s="5" t="s">
        <v>240</v>
      </c>
      <c r="BF1406" s="5" t="s">
        <v>301</v>
      </c>
      <c r="BG1406" s="6" t="s">
        <v>299</v>
      </c>
      <c r="BH1406" s="5" t="s">
        <v>302</v>
      </c>
      <c r="BI1406" s="5" t="s">
        <v>303</v>
      </c>
      <c r="BJ1406" s="5" t="s">
        <v>240</v>
      </c>
      <c r="BK1406" s="8">
        <f>0</f>
        <v>0</v>
      </c>
      <c r="BL1406" s="7">
        <f>0</f>
        <v>0</v>
      </c>
      <c r="BM1406" s="5" t="s">
        <v>258</v>
      </c>
      <c r="BN1406" s="5" t="s">
        <v>259</v>
      </c>
      <c r="CB1406" s="5" t="s">
        <v>240</v>
      </c>
      <c r="CC1406" s="5" t="s">
        <v>240</v>
      </c>
      <c r="CG1406" s="5" t="s">
        <v>304</v>
      </c>
      <c r="CH1406" s="5" t="s">
        <v>305</v>
      </c>
      <c r="CI1406" s="5" t="s">
        <v>240</v>
      </c>
      <c r="CL1406" s="6" t="s">
        <v>261</v>
      </c>
      <c r="CM1406" s="5" t="s">
        <v>240</v>
      </c>
      <c r="CN1406" s="5" t="s">
        <v>263</v>
      </c>
      <c r="CO1406" s="5" t="s">
        <v>240</v>
      </c>
      <c r="CP1406" s="5" t="s">
        <v>240</v>
      </c>
      <c r="CQ1406" s="5">
        <v>0</v>
      </c>
      <c r="CR1406" s="5" t="s">
        <v>306</v>
      </c>
      <c r="CS1406" s="5" t="s">
        <v>307</v>
      </c>
      <c r="CT1406" s="5" t="s">
        <v>307</v>
      </c>
      <c r="CU1406" s="5" t="s">
        <v>260</v>
      </c>
      <c r="CX1406" s="7">
        <f>1</f>
        <v>1</v>
      </c>
      <c r="CY1406" s="7">
        <f>0</f>
        <v>0</v>
      </c>
      <c r="DA1406" s="7">
        <f>0</f>
        <v>0</v>
      </c>
      <c r="DC1406" s="5" t="s">
        <v>812</v>
      </c>
      <c r="DD1406" s="5" t="s">
        <v>240</v>
      </c>
      <c r="DF1406" s="5" t="s">
        <v>812</v>
      </c>
      <c r="DG1406" s="7">
        <f>906</f>
        <v>906</v>
      </c>
      <c r="DI1406" s="5" t="s">
        <v>240</v>
      </c>
      <c r="DJ1406" s="5" t="s">
        <v>240</v>
      </c>
      <c r="DK1406" s="5" t="s">
        <v>240</v>
      </c>
      <c r="DL1406" s="5" t="s">
        <v>240</v>
      </c>
      <c r="DP1406" s="5" t="s">
        <v>240</v>
      </c>
      <c r="DQ1406" s="5" t="s">
        <v>240</v>
      </c>
      <c r="DR1406" s="5" t="s">
        <v>240</v>
      </c>
      <c r="DS1406" s="5" t="s">
        <v>240</v>
      </c>
      <c r="DV1406" s="5" t="s">
        <v>813</v>
      </c>
      <c r="DW1406" s="5" t="s">
        <v>2943</v>
      </c>
      <c r="HO1406" s="5" t="s">
        <v>312</v>
      </c>
    </row>
    <row r="1407" spans="1:223" x14ac:dyDescent="0.4">
      <c r="A1407" s="5">
        <v>3082</v>
      </c>
      <c r="B1407" s="5">
        <v>1</v>
      </c>
      <c r="C1407" s="5">
        <v>1</v>
      </c>
      <c r="D1407" s="5" t="s">
        <v>297</v>
      </c>
      <c r="E1407" s="5" t="s">
        <v>245</v>
      </c>
      <c r="F1407" s="5" t="s">
        <v>254</v>
      </c>
      <c r="G1407" s="5" t="s">
        <v>240</v>
      </c>
      <c r="H1407" s="6" t="s">
        <v>4791</v>
      </c>
      <c r="I1407" s="5" t="s">
        <v>295</v>
      </c>
      <c r="J1407" s="8">
        <f>1769</f>
        <v>1769</v>
      </c>
      <c r="K1407" s="5" t="s">
        <v>308</v>
      </c>
      <c r="L1407" s="7">
        <f>1</f>
        <v>1</v>
      </c>
      <c r="M1407" s="7">
        <f>1</f>
        <v>1</v>
      </c>
      <c r="N1407" s="5" t="s">
        <v>242</v>
      </c>
      <c r="O1407" s="5">
        <v>1</v>
      </c>
      <c r="P1407" s="5" t="s">
        <v>294</v>
      </c>
      <c r="Q1407" s="5" t="s">
        <v>266</v>
      </c>
      <c r="R1407" s="5" t="s">
        <v>240</v>
      </c>
      <c r="S1407" s="5" t="s">
        <v>240</v>
      </c>
      <c r="T1407" s="5" t="s">
        <v>296</v>
      </c>
      <c r="U1407" s="5" t="s">
        <v>244</v>
      </c>
      <c r="V1407" s="5" t="s">
        <v>240</v>
      </c>
      <c r="Y1407" s="5" t="s">
        <v>240</v>
      </c>
      <c r="Z1407" s="6" t="s">
        <v>298</v>
      </c>
      <c r="AB1407" s="6" t="s">
        <v>240</v>
      </c>
      <c r="AE1407" s="6" t="s">
        <v>299</v>
      </c>
      <c r="AF1407" s="5" t="s">
        <v>248</v>
      </c>
      <c r="AG1407" s="5" t="s">
        <v>249</v>
      </c>
      <c r="AW1407" s="5" t="s">
        <v>251</v>
      </c>
      <c r="AX1407" s="5" t="s">
        <v>240</v>
      </c>
      <c r="AY1407" s="5" t="s">
        <v>253</v>
      </c>
      <c r="AZ1407" s="5" t="s">
        <v>240</v>
      </c>
      <c r="BA1407" s="5" t="s">
        <v>255</v>
      </c>
      <c r="BB1407" s="5" t="s">
        <v>240</v>
      </c>
      <c r="BD1407" s="5" t="s">
        <v>240</v>
      </c>
      <c r="BF1407" s="5" t="s">
        <v>301</v>
      </c>
      <c r="BG1407" s="6" t="s">
        <v>299</v>
      </c>
      <c r="BH1407" s="5" t="s">
        <v>302</v>
      </c>
      <c r="BI1407" s="5" t="s">
        <v>303</v>
      </c>
      <c r="BJ1407" s="5" t="s">
        <v>240</v>
      </c>
      <c r="BK1407" s="8">
        <f>0</f>
        <v>0</v>
      </c>
      <c r="BL1407" s="7">
        <f>0</f>
        <v>0</v>
      </c>
      <c r="BM1407" s="5" t="s">
        <v>258</v>
      </c>
      <c r="BN1407" s="5" t="s">
        <v>259</v>
      </c>
      <c r="CB1407" s="5" t="s">
        <v>240</v>
      </c>
      <c r="CC1407" s="5" t="s">
        <v>240</v>
      </c>
      <c r="CG1407" s="5" t="s">
        <v>304</v>
      </c>
      <c r="CH1407" s="5" t="s">
        <v>305</v>
      </c>
      <c r="CI1407" s="5" t="s">
        <v>240</v>
      </c>
      <c r="CL1407" s="6" t="s">
        <v>261</v>
      </c>
      <c r="CM1407" s="5" t="s">
        <v>240</v>
      </c>
      <c r="CN1407" s="5" t="s">
        <v>263</v>
      </c>
      <c r="CO1407" s="5" t="s">
        <v>240</v>
      </c>
      <c r="CP1407" s="5" t="s">
        <v>240</v>
      </c>
      <c r="CQ1407" s="5">
        <v>0</v>
      </c>
      <c r="CR1407" s="5" t="s">
        <v>306</v>
      </c>
      <c r="CS1407" s="5" t="s">
        <v>307</v>
      </c>
      <c r="CT1407" s="5" t="s">
        <v>307</v>
      </c>
      <c r="CU1407" s="5" t="s">
        <v>260</v>
      </c>
      <c r="CX1407" s="7">
        <f>1</f>
        <v>1</v>
      </c>
      <c r="CY1407" s="7">
        <f>0</f>
        <v>0</v>
      </c>
      <c r="DA1407" s="7">
        <f>0</f>
        <v>0</v>
      </c>
      <c r="DC1407" s="5" t="s">
        <v>812</v>
      </c>
      <c r="DD1407" s="5" t="s">
        <v>240</v>
      </c>
      <c r="DF1407" s="5" t="s">
        <v>812</v>
      </c>
      <c r="DG1407" s="7">
        <f>98</f>
        <v>98</v>
      </c>
      <c r="DI1407" s="5" t="s">
        <v>240</v>
      </c>
      <c r="DJ1407" s="5" t="s">
        <v>240</v>
      </c>
      <c r="DK1407" s="5" t="s">
        <v>240</v>
      </c>
      <c r="DL1407" s="5" t="s">
        <v>240</v>
      </c>
      <c r="DP1407" s="5" t="s">
        <v>240</v>
      </c>
      <c r="DQ1407" s="5" t="s">
        <v>240</v>
      </c>
      <c r="DR1407" s="5" t="s">
        <v>240</v>
      </c>
      <c r="DS1407" s="5" t="s">
        <v>240</v>
      </c>
      <c r="DV1407" s="5" t="s">
        <v>813</v>
      </c>
      <c r="DW1407" s="5" t="s">
        <v>2945</v>
      </c>
      <c r="HO1407" s="5" t="s">
        <v>312</v>
      </c>
    </row>
    <row r="1408" spans="1:223" x14ac:dyDescent="0.4">
      <c r="A1408" s="5">
        <v>3083</v>
      </c>
      <c r="B1408" s="5">
        <v>1</v>
      </c>
      <c r="C1408" s="5">
        <v>1</v>
      </c>
      <c r="D1408" s="5" t="s">
        <v>297</v>
      </c>
      <c r="E1408" s="5" t="s">
        <v>245</v>
      </c>
      <c r="F1408" s="5" t="s">
        <v>254</v>
      </c>
      <c r="G1408" s="5" t="s">
        <v>240</v>
      </c>
      <c r="H1408" s="6" t="s">
        <v>4790</v>
      </c>
      <c r="I1408" s="5" t="s">
        <v>295</v>
      </c>
      <c r="J1408" s="8">
        <f>772</f>
        <v>772</v>
      </c>
      <c r="K1408" s="5" t="s">
        <v>308</v>
      </c>
      <c r="L1408" s="7">
        <f>1</f>
        <v>1</v>
      </c>
      <c r="M1408" s="7">
        <f>1</f>
        <v>1</v>
      </c>
      <c r="N1408" s="5" t="s">
        <v>242</v>
      </c>
      <c r="O1408" s="5">
        <v>1</v>
      </c>
      <c r="P1408" s="5" t="s">
        <v>294</v>
      </c>
      <c r="Q1408" s="5" t="s">
        <v>266</v>
      </c>
      <c r="R1408" s="5" t="s">
        <v>240</v>
      </c>
      <c r="S1408" s="5" t="s">
        <v>240</v>
      </c>
      <c r="T1408" s="5" t="s">
        <v>296</v>
      </c>
      <c r="U1408" s="5" t="s">
        <v>244</v>
      </c>
      <c r="V1408" s="5" t="s">
        <v>240</v>
      </c>
      <c r="Y1408" s="5" t="s">
        <v>240</v>
      </c>
      <c r="Z1408" s="6" t="s">
        <v>298</v>
      </c>
      <c r="AB1408" s="6" t="s">
        <v>240</v>
      </c>
      <c r="AE1408" s="6" t="s">
        <v>299</v>
      </c>
      <c r="AF1408" s="5" t="s">
        <v>248</v>
      </c>
      <c r="AG1408" s="5" t="s">
        <v>249</v>
      </c>
      <c r="AW1408" s="5" t="s">
        <v>251</v>
      </c>
      <c r="AX1408" s="5" t="s">
        <v>240</v>
      </c>
      <c r="AY1408" s="5" t="s">
        <v>253</v>
      </c>
      <c r="AZ1408" s="5" t="s">
        <v>240</v>
      </c>
      <c r="BA1408" s="5" t="s">
        <v>255</v>
      </c>
      <c r="BB1408" s="5" t="s">
        <v>240</v>
      </c>
      <c r="BD1408" s="5" t="s">
        <v>240</v>
      </c>
      <c r="BF1408" s="5" t="s">
        <v>301</v>
      </c>
      <c r="BG1408" s="6" t="s">
        <v>299</v>
      </c>
      <c r="BH1408" s="5" t="s">
        <v>302</v>
      </c>
      <c r="BI1408" s="5" t="s">
        <v>303</v>
      </c>
      <c r="BJ1408" s="5" t="s">
        <v>240</v>
      </c>
      <c r="BK1408" s="8">
        <f>0</f>
        <v>0</v>
      </c>
      <c r="BL1408" s="7">
        <f>0</f>
        <v>0</v>
      </c>
      <c r="BM1408" s="5" t="s">
        <v>258</v>
      </c>
      <c r="BN1408" s="5" t="s">
        <v>259</v>
      </c>
      <c r="CB1408" s="5" t="s">
        <v>240</v>
      </c>
      <c r="CC1408" s="5" t="s">
        <v>240</v>
      </c>
      <c r="CG1408" s="5" t="s">
        <v>304</v>
      </c>
      <c r="CH1408" s="5" t="s">
        <v>305</v>
      </c>
      <c r="CI1408" s="5" t="s">
        <v>240</v>
      </c>
      <c r="CL1408" s="6" t="s">
        <v>261</v>
      </c>
      <c r="CM1408" s="5" t="s">
        <v>240</v>
      </c>
      <c r="CN1408" s="5" t="s">
        <v>263</v>
      </c>
      <c r="CO1408" s="5" t="s">
        <v>240</v>
      </c>
      <c r="CP1408" s="5" t="s">
        <v>240</v>
      </c>
      <c r="CQ1408" s="5">
        <v>0</v>
      </c>
      <c r="CR1408" s="5" t="s">
        <v>306</v>
      </c>
      <c r="CS1408" s="5" t="s">
        <v>307</v>
      </c>
      <c r="CT1408" s="5" t="s">
        <v>307</v>
      </c>
      <c r="CU1408" s="5" t="s">
        <v>260</v>
      </c>
      <c r="CX1408" s="7">
        <f>1</f>
        <v>1</v>
      </c>
      <c r="CY1408" s="7">
        <f>0</f>
        <v>0</v>
      </c>
      <c r="DA1408" s="7">
        <f>0</f>
        <v>0</v>
      </c>
      <c r="DC1408" s="5" t="s">
        <v>812</v>
      </c>
      <c r="DD1408" s="5" t="s">
        <v>240</v>
      </c>
      <c r="DF1408" s="5" t="s">
        <v>812</v>
      </c>
      <c r="DG1408" s="7">
        <f>99</f>
        <v>99</v>
      </c>
      <c r="DI1408" s="5" t="s">
        <v>240</v>
      </c>
      <c r="DJ1408" s="5" t="s">
        <v>240</v>
      </c>
      <c r="DK1408" s="5" t="s">
        <v>240</v>
      </c>
      <c r="DL1408" s="5" t="s">
        <v>240</v>
      </c>
      <c r="DP1408" s="5" t="s">
        <v>240</v>
      </c>
      <c r="DQ1408" s="5" t="s">
        <v>240</v>
      </c>
      <c r="DR1408" s="5" t="s">
        <v>240</v>
      </c>
      <c r="DS1408" s="5" t="s">
        <v>240</v>
      </c>
      <c r="DV1408" s="5" t="s">
        <v>813</v>
      </c>
      <c r="DW1408" s="5" t="s">
        <v>2947</v>
      </c>
      <c r="HO1408" s="5" t="s">
        <v>312</v>
      </c>
    </row>
    <row r="1409" spans="1:223" x14ac:dyDescent="0.4">
      <c r="A1409" s="5">
        <v>3084</v>
      </c>
      <c r="B1409" s="5">
        <v>1</v>
      </c>
      <c r="C1409" s="5">
        <v>1</v>
      </c>
      <c r="D1409" s="5" t="s">
        <v>297</v>
      </c>
      <c r="E1409" s="5" t="s">
        <v>245</v>
      </c>
      <c r="F1409" s="5" t="s">
        <v>254</v>
      </c>
      <c r="G1409" s="5" t="s">
        <v>240</v>
      </c>
      <c r="H1409" s="6" t="s">
        <v>4789</v>
      </c>
      <c r="I1409" s="5" t="s">
        <v>295</v>
      </c>
      <c r="J1409" s="8">
        <f>2084</f>
        <v>2084</v>
      </c>
      <c r="K1409" s="5" t="s">
        <v>308</v>
      </c>
      <c r="L1409" s="7">
        <f>1</f>
        <v>1</v>
      </c>
      <c r="M1409" s="7">
        <f>1</f>
        <v>1</v>
      </c>
      <c r="N1409" s="5" t="s">
        <v>242</v>
      </c>
      <c r="O1409" s="5">
        <v>1</v>
      </c>
      <c r="P1409" s="5" t="s">
        <v>294</v>
      </c>
      <c r="Q1409" s="5" t="s">
        <v>266</v>
      </c>
      <c r="R1409" s="5" t="s">
        <v>240</v>
      </c>
      <c r="S1409" s="5" t="s">
        <v>240</v>
      </c>
      <c r="T1409" s="5" t="s">
        <v>296</v>
      </c>
      <c r="U1409" s="5" t="s">
        <v>244</v>
      </c>
      <c r="V1409" s="5" t="s">
        <v>240</v>
      </c>
      <c r="Y1409" s="5" t="s">
        <v>240</v>
      </c>
      <c r="Z1409" s="6" t="s">
        <v>298</v>
      </c>
      <c r="AB1409" s="6" t="s">
        <v>240</v>
      </c>
      <c r="AE1409" s="6" t="s">
        <v>299</v>
      </c>
      <c r="AF1409" s="5" t="s">
        <v>248</v>
      </c>
      <c r="AG1409" s="5" t="s">
        <v>249</v>
      </c>
      <c r="AW1409" s="5" t="s">
        <v>251</v>
      </c>
      <c r="AX1409" s="5" t="s">
        <v>240</v>
      </c>
      <c r="AY1409" s="5" t="s">
        <v>253</v>
      </c>
      <c r="AZ1409" s="5" t="s">
        <v>240</v>
      </c>
      <c r="BA1409" s="5" t="s">
        <v>255</v>
      </c>
      <c r="BB1409" s="5" t="s">
        <v>240</v>
      </c>
      <c r="BD1409" s="5" t="s">
        <v>240</v>
      </c>
      <c r="BF1409" s="5" t="s">
        <v>301</v>
      </c>
      <c r="BG1409" s="6" t="s">
        <v>299</v>
      </c>
      <c r="BH1409" s="5" t="s">
        <v>302</v>
      </c>
      <c r="BI1409" s="5" t="s">
        <v>303</v>
      </c>
      <c r="BJ1409" s="5" t="s">
        <v>240</v>
      </c>
      <c r="BK1409" s="8">
        <f>0</f>
        <v>0</v>
      </c>
      <c r="BL1409" s="7">
        <f>0</f>
        <v>0</v>
      </c>
      <c r="BM1409" s="5" t="s">
        <v>258</v>
      </c>
      <c r="BN1409" s="5" t="s">
        <v>259</v>
      </c>
      <c r="CB1409" s="5" t="s">
        <v>240</v>
      </c>
      <c r="CC1409" s="5" t="s">
        <v>240</v>
      </c>
      <c r="CG1409" s="5" t="s">
        <v>304</v>
      </c>
      <c r="CH1409" s="5" t="s">
        <v>305</v>
      </c>
      <c r="CI1409" s="5" t="s">
        <v>240</v>
      </c>
      <c r="CL1409" s="6" t="s">
        <v>261</v>
      </c>
      <c r="CM1409" s="5" t="s">
        <v>240</v>
      </c>
      <c r="CN1409" s="5" t="s">
        <v>263</v>
      </c>
      <c r="CO1409" s="5" t="s">
        <v>240</v>
      </c>
      <c r="CP1409" s="5" t="s">
        <v>240</v>
      </c>
      <c r="CQ1409" s="5">
        <v>0</v>
      </c>
      <c r="CR1409" s="5" t="s">
        <v>306</v>
      </c>
      <c r="CS1409" s="5" t="s">
        <v>307</v>
      </c>
      <c r="CT1409" s="5" t="s">
        <v>307</v>
      </c>
      <c r="CU1409" s="5" t="s">
        <v>260</v>
      </c>
      <c r="CX1409" s="7">
        <f>1</f>
        <v>1</v>
      </c>
      <c r="CY1409" s="7">
        <f>0</f>
        <v>0</v>
      </c>
      <c r="DA1409" s="7">
        <f>0</f>
        <v>0</v>
      </c>
      <c r="DC1409" s="5" t="s">
        <v>812</v>
      </c>
      <c r="DD1409" s="5" t="s">
        <v>240</v>
      </c>
      <c r="DF1409" s="5" t="s">
        <v>812</v>
      </c>
      <c r="DG1409" s="7">
        <f>332</f>
        <v>332</v>
      </c>
      <c r="DI1409" s="5" t="s">
        <v>240</v>
      </c>
      <c r="DJ1409" s="5" t="s">
        <v>240</v>
      </c>
      <c r="DK1409" s="5" t="s">
        <v>240</v>
      </c>
      <c r="DL1409" s="5" t="s">
        <v>240</v>
      </c>
      <c r="DP1409" s="5" t="s">
        <v>240</v>
      </c>
      <c r="DQ1409" s="5" t="s">
        <v>240</v>
      </c>
      <c r="DR1409" s="5" t="s">
        <v>240</v>
      </c>
      <c r="DS1409" s="5" t="s">
        <v>240</v>
      </c>
      <c r="DV1409" s="5" t="s">
        <v>813</v>
      </c>
      <c r="DW1409" s="5" t="s">
        <v>2949</v>
      </c>
      <c r="HO1409" s="5" t="s">
        <v>312</v>
      </c>
    </row>
    <row r="1410" spans="1:223" x14ac:dyDescent="0.4">
      <c r="A1410" s="5">
        <v>3085</v>
      </c>
      <c r="B1410" s="5">
        <v>1</v>
      </c>
      <c r="C1410" s="5">
        <v>1</v>
      </c>
      <c r="D1410" s="5" t="s">
        <v>297</v>
      </c>
      <c r="E1410" s="5" t="s">
        <v>245</v>
      </c>
      <c r="F1410" s="5" t="s">
        <v>254</v>
      </c>
      <c r="G1410" s="5" t="s">
        <v>240</v>
      </c>
      <c r="H1410" s="6" t="s">
        <v>4787</v>
      </c>
      <c r="I1410" s="5" t="s">
        <v>295</v>
      </c>
      <c r="J1410" s="8">
        <f>556</f>
        <v>556</v>
      </c>
      <c r="K1410" s="5" t="s">
        <v>308</v>
      </c>
      <c r="L1410" s="7">
        <f>1</f>
        <v>1</v>
      </c>
      <c r="M1410" s="7">
        <f>1</f>
        <v>1</v>
      </c>
      <c r="N1410" s="5" t="s">
        <v>242</v>
      </c>
      <c r="O1410" s="5">
        <v>1</v>
      </c>
      <c r="P1410" s="5" t="s">
        <v>294</v>
      </c>
      <c r="Q1410" s="5" t="s">
        <v>266</v>
      </c>
      <c r="R1410" s="5" t="s">
        <v>240</v>
      </c>
      <c r="S1410" s="5" t="s">
        <v>240</v>
      </c>
      <c r="T1410" s="5" t="s">
        <v>296</v>
      </c>
      <c r="U1410" s="5" t="s">
        <v>244</v>
      </c>
      <c r="V1410" s="5" t="s">
        <v>240</v>
      </c>
      <c r="Y1410" s="5" t="s">
        <v>240</v>
      </c>
      <c r="Z1410" s="6" t="s">
        <v>298</v>
      </c>
      <c r="AB1410" s="6" t="s">
        <v>240</v>
      </c>
      <c r="AE1410" s="6" t="s">
        <v>299</v>
      </c>
      <c r="AF1410" s="5" t="s">
        <v>248</v>
      </c>
      <c r="AG1410" s="5" t="s">
        <v>249</v>
      </c>
      <c r="AW1410" s="5" t="s">
        <v>251</v>
      </c>
      <c r="AX1410" s="5" t="s">
        <v>240</v>
      </c>
      <c r="AY1410" s="5" t="s">
        <v>253</v>
      </c>
      <c r="AZ1410" s="5" t="s">
        <v>240</v>
      </c>
      <c r="BA1410" s="5" t="s">
        <v>255</v>
      </c>
      <c r="BB1410" s="5" t="s">
        <v>240</v>
      </c>
      <c r="BD1410" s="5" t="s">
        <v>240</v>
      </c>
      <c r="BF1410" s="5" t="s">
        <v>301</v>
      </c>
      <c r="BG1410" s="6" t="s">
        <v>299</v>
      </c>
      <c r="BH1410" s="5" t="s">
        <v>302</v>
      </c>
      <c r="BI1410" s="5" t="s">
        <v>303</v>
      </c>
      <c r="BJ1410" s="5" t="s">
        <v>240</v>
      </c>
      <c r="BK1410" s="8">
        <f>0</f>
        <v>0</v>
      </c>
      <c r="BL1410" s="7">
        <f>0</f>
        <v>0</v>
      </c>
      <c r="BM1410" s="5" t="s">
        <v>258</v>
      </c>
      <c r="BN1410" s="5" t="s">
        <v>259</v>
      </c>
      <c r="CB1410" s="5" t="s">
        <v>240</v>
      </c>
      <c r="CC1410" s="5" t="s">
        <v>240</v>
      </c>
      <c r="CG1410" s="5" t="s">
        <v>304</v>
      </c>
      <c r="CH1410" s="5" t="s">
        <v>305</v>
      </c>
      <c r="CI1410" s="5" t="s">
        <v>240</v>
      </c>
      <c r="CL1410" s="6" t="s">
        <v>261</v>
      </c>
      <c r="CM1410" s="5" t="s">
        <v>240</v>
      </c>
      <c r="CN1410" s="5" t="s">
        <v>263</v>
      </c>
      <c r="CO1410" s="5" t="s">
        <v>240</v>
      </c>
      <c r="CP1410" s="5" t="s">
        <v>240</v>
      </c>
      <c r="CQ1410" s="5">
        <v>0</v>
      </c>
      <c r="CR1410" s="5" t="s">
        <v>306</v>
      </c>
      <c r="CS1410" s="5" t="s">
        <v>307</v>
      </c>
      <c r="CT1410" s="5" t="s">
        <v>307</v>
      </c>
      <c r="CU1410" s="5" t="s">
        <v>260</v>
      </c>
      <c r="CX1410" s="7">
        <f>1</f>
        <v>1</v>
      </c>
      <c r="CY1410" s="7">
        <f>0</f>
        <v>0</v>
      </c>
      <c r="DA1410" s="7">
        <f>0</f>
        <v>0</v>
      </c>
      <c r="DC1410" s="5" t="s">
        <v>812</v>
      </c>
      <c r="DD1410" s="5" t="s">
        <v>240</v>
      </c>
      <c r="DF1410" s="5" t="s">
        <v>812</v>
      </c>
      <c r="DG1410" s="7">
        <f>688</f>
        <v>688</v>
      </c>
      <c r="DI1410" s="5" t="s">
        <v>240</v>
      </c>
      <c r="DJ1410" s="5" t="s">
        <v>240</v>
      </c>
      <c r="DK1410" s="5" t="s">
        <v>240</v>
      </c>
      <c r="DL1410" s="5" t="s">
        <v>240</v>
      </c>
      <c r="DP1410" s="5" t="s">
        <v>240</v>
      </c>
      <c r="DQ1410" s="5" t="s">
        <v>240</v>
      </c>
      <c r="DR1410" s="5" t="s">
        <v>240</v>
      </c>
      <c r="DS1410" s="5" t="s">
        <v>240</v>
      </c>
      <c r="DV1410" s="5" t="s">
        <v>813</v>
      </c>
      <c r="DW1410" s="5" t="s">
        <v>2951</v>
      </c>
      <c r="HO1410" s="5" t="s">
        <v>312</v>
      </c>
    </row>
    <row r="1411" spans="1:223" x14ac:dyDescent="0.4">
      <c r="A1411" s="5">
        <v>3086</v>
      </c>
      <c r="B1411" s="5">
        <v>1</v>
      </c>
      <c r="C1411" s="5">
        <v>1</v>
      </c>
      <c r="D1411" s="5" t="s">
        <v>297</v>
      </c>
      <c r="E1411" s="5" t="s">
        <v>245</v>
      </c>
      <c r="F1411" s="5" t="s">
        <v>254</v>
      </c>
      <c r="G1411" s="5" t="s">
        <v>240</v>
      </c>
      <c r="H1411" s="6" t="s">
        <v>4786</v>
      </c>
      <c r="I1411" s="5" t="s">
        <v>295</v>
      </c>
      <c r="J1411" s="8">
        <f>1301</f>
        <v>1301</v>
      </c>
      <c r="K1411" s="5" t="s">
        <v>308</v>
      </c>
      <c r="L1411" s="7">
        <f>1</f>
        <v>1</v>
      </c>
      <c r="M1411" s="7">
        <f>1</f>
        <v>1</v>
      </c>
      <c r="N1411" s="5" t="s">
        <v>242</v>
      </c>
      <c r="O1411" s="5">
        <v>1</v>
      </c>
      <c r="P1411" s="5" t="s">
        <v>294</v>
      </c>
      <c r="Q1411" s="5" t="s">
        <v>266</v>
      </c>
      <c r="R1411" s="5" t="s">
        <v>240</v>
      </c>
      <c r="S1411" s="5" t="s">
        <v>240</v>
      </c>
      <c r="T1411" s="5" t="s">
        <v>296</v>
      </c>
      <c r="U1411" s="5" t="s">
        <v>244</v>
      </c>
      <c r="V1411" s="5" t="s">
        <v>240</v>
      </c>
      <c r="Y1411" s="5" t="s">
        <v>240</v>
      </c>
      <c r="Z1411" s="6" t="s">
        <v>298</v>
      </c>
      <c r="AB1411" s="6" t="s">
        <v>240</v>
      </c>
      <c r="AE1411" s="6" t="s">
        <v>299</v>
      </c>
      <c r="AF1411" s="5" t="s">
        <v>248</v>
      </c>
      <c r="AG1411" s="5" t="s">
        <v>249</v>
      </c>
      <c r="AW1411" s="5" t="s">
        <v>251</v>
      </c>
      <c r="AX1411" s="5" t="s">
        <v>240</v>
      </c>
      <c r="AY1411" s="5" t="s">
        <v>253</v>
      </c>
      <c r="AZ1411" s="5" t="s">
        <v>240</v>
      </c>
      <c r="BA1411" s="5" t="s">
        <v>255</v>
      </c>
      <c r="BB1411" s="5" t="s">
        <v>240</v>
      </c>
      <c r="BD1411" s="5" t="s">
        <v>240</v>
      </c>
      <c r="BF1411" s="5" t="s">
        <v>301</v>
      </c>
      <c r="BG1411" s="6" t="s">
        <v>299</v>
      </c>
      <c r="BH1411" s="5" t="s">
        <v>302</v>
      </c>
      <c r="BI1411" s="5" t="s">
        <v>303</v>
      </c>
      <c r="BJ1411" s="5" t="s">
        <v>240</v>
      </c>
      <c r="BK1411" s="8">
        <f>0</f>
        <v>0</v>
      </c>
      <c r="BL1411" s="7">
        <f>0</f>
        <v>0</v>
      </c>
      <c r="BM1411" s="5" t="s">
        <v>258</v>
      </c>
      <c r="BN1411" s="5" t="s">
        <v>259</v>
      </c>
      <c r="CB1411" s="5" t="s">
        <v>240</v>
      </c>
      <c r="CC1411" s="5" t="s">
        <v>240</v>
      </c>
      <c r="CG1411" s="5" t="s">
        <v>304</v>
      </c>
      <c r="CH1411" s="5" t="s">
        <v>305</v>
      </c>
      <c r="CI1411" s="5" t="s">
        <v>240</v>
      </c>
      <c r="CL1411" s="6" t="s">
        <v>261</v>
      </c>
      <c r="CM1411" s="5" t="s">
        <v>240</v>
      </c>
      <c r="CN1411" s="5" t="s">
        <v>263</v>
      </c>
      <c r="CO1411" s="5" t="s">
        <v>240</v>
      </c>
      <c r="CP1411" s="5" t="s">
        <v>240</v>
      </c>
      <c r="CQ1411" s="5">
        <v>0</v>
      </c>
      <c r="CR1411" s="5" t="s">
        <v>306</v>
      </c>
      <c r="CS1411" s="5" t="s">
        <v>307</v>
      </c>
      <c r="CT1411" s="5" t="s">
        <v>307</v>
      </c>
      <c r="CU1411" s="5" t="s">
        <v>260</v>
      </c>
      <c r="CX1411" s="7">
        <f>1</f>
        <v>1</v>
      </c>
      <c r="CY1411" s="7">
        <f>0</f>
        <v>0</v>
      </c>
      <c r="DA1411" s="7">
        <f>0</f>
        <v>0</v>
      </c>
      <c r="DC1411" s="5" t="s">
        <v>812</v>
      </c>
      <c r="DD1411" s="5" t="s">
        <v>240</v>
      </c>
      <c r="DF1411" s="5" t="s">
        <v>812</v>
      </c>
      <c r="DG1411" s="7">
        <f>1528</f>
        <v>1528</v>
      </c>
      <c r="DI1411" s="5" t="s">
        <v>240</v>
      </c>
      <c r="DJ1411" s="5" t="s">
        <v>240</v>
      </c>
      <c r="DK1411" s="5" t="s">
        <v>240</v>
      </c>
      <c r="DL1411" s="5" t="s">
        <v>240</v>
      </c>
      <c r="DP1411" s="5" t="s">
        <v>240</v>
      </c>
      <c r="DQ1411" s="5" t="s">
        <v>240</v>
      </c>
      <c r="DR1411" s="5" t="s">
        <v>240</v>
      </c>
      <c r="DS1411" s="5" t="s">
        <v>240</v>
      </c>
      <c r="DV1411" s="5" t="s">
        <v>813</v>
      </c>
      <c r="DW1411" s="5" t="s">
        <v>2953</v>
      </c>
      <c r="HO1411" s="5" t="s">
        <v>312</v>
      </c>
    </row>
    <row r="1412" spans="1:223" x14ac:dyDescent="0.4">
      <c r="A1412" s="5">
        <v>3087</v>
      </c>
      <c r="B1412" s="5">
        <v>1</v>
      </c>
      <c r="C1412" s="5">
        <v>1</v>
      </c>
      <c r="D1412" s="5" t="s">
        <v>297</v>
      </c>
      <c r="E1412" s="5" t="s">
        <v>245</v>
      </c>
      <c r="F1412" s="5" t="s">
        <v>254</v>
      </c>
      <c r="G1412" s="5" t="s">
        <v>240</v>
      </c>
      <c r="H1412" s="6" t="s">
        <v>4785</v>
      </c>
      <c r="I1412" s="5" t="s">
        <v>295</v>
      </c>
      <c r="J1412" s="8">
        <f>222</f>
        <v>222</v>
      </c>
      <c r="K1412" s="5" t="s">
        <v>308</v>
      </c>
      <c r="L1412" s="7">
        <f>1</f>
        <v>1</v>
      </c>
      <c r="M1412" s="7">
        <f>1</f>
        <v>1</v>
      </c>
      <c r="N1412" s="5" t="s">
        <v>242</v>
      </c>
      <c r="O1412" s="5">
        <v>1</v>
      </c>
      <c r="P1412" s="5" t="s">
        <v>294</v>
      </c>
      <c r="Q1412" s="5" t="s">
        <v>266</v>
      </c>
      <c r="R1412" s="5" t="s">
        <v>240</v>
      </c>
      <c r="S1412" s="5" t="s">
        <v>240</v>
      </c>
      <c r="T1412" s="5" t="s">
        <v>296</v>
      </c>
      <c r="U1412" s="5" t="s">
        <v>244</v>
      </c>
      <c r="V1412" s="5" t="s">
        <v>240</v>
      </c>
      <c r="Y1412" s="5" t="s">
        <v>240</v>
      </c>
      <c r="Z1412" s="6" t="s">
        <v>298</v>
      </c>
      <c r="AB1412" s="6" t="s">
        <v>240</v>
      </c>
      <c r="AE1412" s="6" t="s">
        <v>299</v>
      </c>
      <c r="AF1412" s="5" t="s">
        <v>248</v>
      </c>
      <c r="AG1412" s="5" t="s">
        <v>249</v>
      </c>
      <c r="AW1412" s="5" t="s">
        <v>251</v>
      </c>
      <c r="AX1412" s="5" t="s">
        <v>240</v>
      </c>
      <c r="AY1412" s="5" t="s">
        <v>253</v>
      </c>
      <c r="AZ1412" s="5" t="s">
        <v>240</v>
      </c>
      <c r="BA1412" s="5" t="s">
        <v>255</v>
      </c>
      <c r="BB1412" s="5" t="s">
        <v>240</v>
      </c>
      <c r="BD1412" s="5" t="s">
        <v>240</v>
      </c>
      <c r="BF1412" s="5" t="s">
        <v>301</v>
      </c>
      <c r="BG1412" s="6" t="s">
        <v>299</v>
      </c>
      <c r="BH1412" s="5" t="s">
        <v>302</v>
      </c>
      <c r="BI1412" s="5" t="s">
        <v>303</v>
      </c>
      <c r="BJ1412" s="5" t="s">
        <v>240</v>
      </c>
      <c r="BK1412" s="8">
        <f>0</f>
        <v>0</v>
      </c>
      <c r="BL1412" s="7">
        <f>0</f>
        <v>0</v>
      </c>
      <c r="BM1412" s="5" t="s">
        <v>258</v>
      </c>
      <c r="BN1412" s="5" t="s">
        <v>259</v>
      </c>
      <c r="CB1412" s="5" t="s">
        <v>240</v>
      </c>
      <c r="CC1412" s="5" t="s">
        <v>240</v>
      </c>
      <c r="CG1412" s="5" t="s">
        <v>304</v>
      </c>
      <c r="CH1412" s="5" t="s">
        <v>305</v>
      </c>
      <c r="CI1412" s="5" t="s">
        <v>240</v>
      </c>
      <c r="CL1412" s="6" t="s">
        <v>261</v>
      </c>
      <c r="CM1412" s="5" t="s">
        <v>240</v>
      </c>
      <c r="CN1412" s="5" t="s">
        <v>263</v>
      </c>
      <c r="CO1412" s="5" t="s">
        <v>240</v>
      </c>
      <c r="CP1412" s="5" t="s">
        <v>240</v>
      </c>
      <c r="CQ1412" s="5">
        <v>0</v>
      </c>
      <c r="CR1412" s="5" t="s">
        <v>306</v>
      </c>
      <c r="CS1412" s="5" t="s">
        <v>307</v>
      </c>
      <c r="CT1412" s="5" t="s">
        <v>307</v>
      </c>
      <c r="CU1412" s="5" t="s">
        <v>260</v>
      </c>
      <c r="CX1412" s="7">
        <f>1</f>
        <v>1</v>
      </c>
      <c r="CY1412" s="7">
        <f>0</f>
        <v>0</v>
      </c>
      <c r="DA1412" s="7">
        <f>0</f>
        <v>0</v>
      </c>
      <c r="DC1412" s="5" t="s">
        <v>812</v>
      </c>
      <c r="DD1412" s="5" t="s">
        <v>240</v>
      </c>
      <c r="DF1412" s="5" t="s">
        <v>812</v>
      </c>
      <c r="DG1412" s="7">
        <f>1091</f>
        <v>1091</v>
      </c>
      <c r="DI1412" s="5" t="s">
        <v>240</v>
      </c>
      <c r="DJ1412" s="5" t="s">
        <v>240</v>
      </c>
      <c r="DK1412" s="5" t="s">
        <v>240</v>
      </c>
      <c r="DL1412" s="5" t="s">
        <v>240</v>
      </c>
      <c r="DP1412" s="5" t="s">
        <v>240</v>
      </c>
      <c r="DQ1412" s="5" t="s">
        <v>240</v>
      </c>
      <c r="DR1412" s="5" t="s">
        <v>240</v>
      </c>
      <c r="DS1412" s="5" t="s">
        <v>240</v>
      </c>
      <c r="DV1412" s="5" t="s">
        <v>813</v>
      </c>
      <c r="DW1412" s="5" t="s">
        <v>2955</v>
      </c>
      <c r="HO1412" s="5" t="s">
        <v>312</v>
      </c>
    </row>
    <row r="1413" spans="1:223" x14ac:dyDescent="0.4">
      <c r="A1413" s="5">
        <v>3088</v>
      </c>
      <c r="B1413" s="5">
        <v>1</v>
      </c>
      <c r="C1413" s="5">
        <v>1</v>
      </c>
      <c r="D1413" s="5" t="s">
        <v>297</v>
      </c>
      <c r="E1413" s="5" t="s">
        <v>245</v>
      </c>
      <c r="F1413" s="5" t="s">
        <v>254</v>
      </c>
      <c r="G1413" s="5" t="s">
        <v>240</v>
      </c>
      <c r="H1413" s="6" t="s">
        <v>4784</v>
      </c>
      <c r="I1413" s="5" t="s">
        <v>295</v>
      </c>
      <c r="J1413" s="8">
        <f>3026</f>
        <v>3026</v>
      </c>
      <c r="K1413" s="5" t="s">
        <v>308</v>
      </c>
      <c r="L1413" s="7">
        <f>1</f>
        <v>1</v>
      </c>
      <c r="M1413" s="7">
        <f>1</f>
        <v>1</v>
      </c>
      <c r="N1413" s="5" t="s">
        <v>242</v>
      </c>
      <c r="O1413" s="5">
        <v>1</v>
      </c>
      <c r="P1413" s="5" t="s">
        <v>294</v>
      </c>
      <c r="Q1413" s="5" t="s">
        <v>266</v>
      </c>
      <c r="R1413" s="5" t="s">
        <v>240</v>
      </c>
      <c r="S1413" s="5" t="s">
        <v>240</v>
      </c>
      <c r="T1413" s="5" t="s">
        <v>296</v>
      </c>
      <c r="U1413" s="5" t="s">
        <v>244</v>
      </c>
      <c r="V1413" s="5" t="s">
        <v>240</v>
      </c>
      <c r="Y1413" s="5" t="s">
        <v>240</v>
      </c>
      <c r="Z1413" s="6" t="s">
        <v>298</v>
      </c>
      <c r="AB1413" s="6" t="s">
        <v>240</v>
      </c>
      <c r="AE1413" s="6" t="s">
        <v>299</v>
      </c>
      <c r="AF1413" s="5" t="s">
        <v>248</v>
      </c>
      <c r="AG1413" s="5" t="s">
        <v>249</v>
      </c>
      <c r="AW1413" s="5" t="s">
        <v>251</v>
      </c>
      <c r="AX1413" s="5" t="s">
        <v>240</v>
      </c>
      <c r="AY1413" s="5" t="s">
        <v>253</v>
      </c>
      <c r="AZ1413" s="5" t="s">
        <v>240</v>
      </c>
      <c r="BA1413" s="5" t="s">
        <v>255</v>
      </c>
      <c r="BB1413" s="5" t="s">
        <v>240</v>
      </c>
      <c r="BD1413" s="5" t="s">
        <v>240</v>
      </c>
      <c r="BF1413" s="5" t="s">
        <v>301</v>
      </c>
      <c r="BG1413" s="6" t="s">
        <v>299</v>
      </c>
      <c r="BH1413" s="5" t="s">
        <v>302</v>
      </c>
      <c r="BI1413" s="5" t="s">
        <v>303</v>
      </c>
      <c r="BJ1413" s="5" t="s">
        <v>240</v>
      </c>
      <c r="BK1413" s="8">
        <f>0</f>
        <v>0</v>
      </c>
      <c r="BL1413" s="7">
        <f>0</f>
        <v>0</v>
      </c>
      <c r="BM1413" s="5" t="s">
        <v>258</v>
      </c>
      <c r="BN1413" s="5" t="s">
        <v>259</v>
      </c>
      <c r="CB1413" s="5" t="s">
        <v>240</v>
      </c>
      <c r="CC1413" s="5" t="s">
        <v>240</v>
      </c>
      <c r="CG1413" s="5" t="s">
        <v>304</v>
      </c>
      <c r="CH1413" s="5" t="s">
        <v>305</v>
      </c>
      <c r="CI1413" s="5" t="s">
        <v>240</v>
      </c>
      <c r="CL1413" s="6" t="s">
        <v>261</v>
      </c>
      <c r="CM1413" s="5" t="s">
        <v>240</v>
      </c>
      <c r="CN1413" s="5" t="s">
        <v>263</v>
      </c>
      <c r="CO1413" s="5" t="s">
        <v>240</v>
      </c>
      <c r="CP1413" s="5" t="s">
        <v>240</v>
      </c>
      <c r="CQ1413" s="5">
        <v>0</v>
      </c>
      <c r="CR1413" s="5" t="s">
        <v>306</v>
      </c>
      <c r="CS1413" s="5" t="s">
        <v>307</v>
      </c>
      <c r="CT1413" s="5" t="s">
        <v>307</v>
      </c>
      <c r="CU1413" s="5" t="s">
        <v>260</v>
      </c>
      <c r="CX1413" s="7">
        <f>1</f>
        <v>1</v>
      </c>
      <c r="CY1413" s="7">
        <f>0</f>
        <v>0</v>
      </c>
      <c r="DA1413" s="7">
        <f>0</f>
        <v>0</v>
      </c>
      <c r="DC1413" s="5" t="s">
        <v>812</v>
      </c>
      <c r="DD1413" s="5" t="s">
        <v>240</v>
      </c>
      <c r="DF1413" s="5" t="s">
        <v>812</v>
      </c>
      <c r="DG1413" s="7">
        <f>239</f>
        <v>239</v>
      </c>
      <c r="DI1413" s="5" t="s">
        <v>240</v>
      </c>
      <c r="DJ1413" s="5" t="s">
        <v>240</v>
      </c>
      <c r="DK1413" s="5" t="s">
        <v>240</v>
      </c>
      <c r="DL1413" s="5" t="s">
        <v>240</v>
      </c>
      <c r="DP1413" s="5" t="s">
        <v>240</v>
      </c>
      <c r="DQ1413" s="5" t="s">
        <v>240</v>
      </c>
      <c r="DR1413" s="5" t="s">
        <v>240</v>
      </c>
      <c r="DS1413" s="5" t="s">
        <v>240</v>
      </c>
      <c r="DV1413" s="5" t="s">
        <v>813</v>
      </c>
      <c r="DW1413" s="5" t="s">
        <v>2957</v>
      </c>
      <c r="HO1413" s="5" t="s">
        <v>312</v>
      </c>
    </row>
    <row r="1414" spans="1:223" x14ac:dyDescent="0.4">
      <c r="A1414" s="5">
        <v>3089</v>
      </c>
      <c r="B1414" s="5">
        <v>1</v>
      </c>
      <c r="C1414" s="5">
        <v>1</v>
      </c>
      <c r="D1414" s="5" t="s">
        <v>297</v>
      </c>
      <c r="E1414" s="5" t="s">
        <v>245</v>
      </c>
      <c r="F1414" s="5" t="s">
        <v>254</v>
      </c>
      <c r="G1414" s="5" t="s">
        <v>240</v>
      </c>
      <c r="H1414" s="6" t="s">
        <v>4783</v>
      </c>
      <c r="I1414" s="5" t="s">
        <v>295</v>
      </c>
      <c r="J1414" s="8">
        <f>1766</f>
        <v>1766</v>
      </c>
      <c r="K1414" s="5" t="s">
        <v>308</v>
      </c>
      <c r="L1414" s="7">
        <f>1</f>
        <v>1</v>
      </c>
      <c r="M1414" s="7">
        <f>1</f>
        <v>1</v>
      </c>
      <c r="N1414" s="5" t="s">
        <v>242</v>
      </c>
      <c r="O1414" s="5">
        <v>1</v>
      </c>
      <c r="P1414" s="5" t="s">
        <v>294</v>
      </c>
      <c r="Q1414" s="5" t="s">
        <v>266</v>
      </c>
      <c r="R1414" s="5" t="s">
        <v>240</v>
      </c>
      <c r="S1414" s="5" t="s">
        <v>240</v>
      </c>
      <c r="T1414" s="5" t="s">
        <v>296</v>
      </c>
      <c r="U1414" s="5" t="s">
        <v>244</v>
      </c>
      <c r="V1414" s="5" t="s">
        <v>240</v>
      </c>
      <c r="Y1414" s="5" t="s">
        <v>240</v>
      </c>
      <c r="Z1414" s="6" t="s">
        <v>298</v>
      </c>
      <c r="AB1414" s="6" t="s">
        <v>240</v>
      </c>
      <c r="AE1414" s="6" t="s">
        <v>299</v>
      </c>
      <c r="AF1414" s="5" t="s">
        <v>248</v>
      </c>
      <c r="AG1414" s="5" t="s">
        <v>249</v>
      </c>
      <c r="AW1414" s="5" t="s">
        <v>251</v>
      </c>
      <c r="AX1414" s="5" t="s">
        <v>240</v>
      </c>
      <c r="AY1414" s="5" t="s">
        <v>253</v>
      </c>
      <c r="AZ1414" s="5" t="s">
        <v>240</v>
      </c>
      <c r="BA1414" s="5" t="s">
        <v>255</v>
      </c>
      <c r="BB1414" s="5" t="s">
        <v>240</v>
      </c>
      <c r="BD1414" s="5" t="s">
        <v>240</v>
      </c>
      <c r="BF1414" s="5" t="s">
        <v>301</v>
      </c>
      <c r="BG1414" s="6" t="s">
        <v>299</v>
      </c>
      <c r="BH1414" s="5" t="s">
        <v>302</v>
      </c>
      <c r="BI1414" s="5" t="s">
        <v>303</v>
      </c>
      <c r="BJ1414" s="5" t="s">
        <v>240</v>
      </c>
      <c r="BK1414" s="8">
        <f>0</f>
        <v>0</v>
      </c>
      <c r="BL1414" s="7">
        <f>0</f>
        <v>0</v>
      </c>
      <c r="BM1414" s="5" t="s">
        <v>258</v>
      </c>
      <c r="BN1414" s="5" t="s">
        <v>259</v>
      </c>
      <c r="CB1414" s="5" t="s">
        <v>240</v>
      </c>
      <c r="CC1414" s="5" t="s">
        <v>240</v>
      </c>
      <c r="CG1414" s="5" t="s">
        <v>304</v>
      </c>
      <c r="CH1414" s="5" t="s">
        <v>305</v>
      </c>
      <c r="CI1414" s="5" t="s">
        <v>240</v>
      </c>
      <c r="CL1414" s="6" t="s">
        <v>261</v>
      </c>
      <c r="CM1414" s="5" t="s">
        <v>240</v>
      </c>
      <c r="CN1414" s="5" t="s">
        <v>263</v>
      </c>
      <c r="CO1414" s="5" t="s">
        <v>240</v>
      </c>
      <c r="CP1414" s="5" t="s">
        <v>240</v>
      </c>
      <c r="CQ1414" s="5">
        <v>0</v>
      </c>
      <c r="CR1414" s="5" t="s">
        <v>306</v>
      </c>
      <c r="CS1414" s="5" t="s">
        <v>307</v>
      </c>
      <c r="CT1414" s="5" t="s">
        <v>307</v>
      </c>
      <c r="CU1414" s="5" t="s">
        <v>260</v>
      </c>
      <c r="CX1414" s="7">
        <f>1</f>
        <v>1</v>
      </c>
      <c r="CY1414" s="7">
        <f>0</f>
        <v>0</v>
      </c>
      <c r="DA1414" s="7">
        <f>0</f>
        <v>0</v>
      </c>
      <c r="DC1414" s="5" t="s">
        <v>812</v>
      </c>
      <c r="DD1414" s="5" t="s">
        <v>240</v>
      </c>
      <c r="DF1414" s="5" t="s">
        <v>812</v>
      </c>
      <c r="DG1414" s="7">
        <f>1852</f>
        <v>1852</v>
      </c>
      <c r="DI1414" s="5" t="s">
        <v>240</v>
      </c>
      <c r="DJ1414" s="5" t="s">
        <v>240</v>
      </c>
      <c r="DK1414" s="5" t="s">
        <v>240</v>
      </c>
      <c r="DL1414" s="5" t="s">
        <v>240</v>
      </c>
      <c r="DP1414" s="5" t="s">
        <v>240</v>
      </c>
      <c r="DQ1414" s="5" t="s">
        <v>240</v>
      </c>
      <c r="DR1414" s="5" t="s">
        <v>240</v>
      </c>
      <c r="DS1414" s="5" t="s">
        <v>240</v>
      </c>
      <c r="DV1414" s="5" t="s">
        <v>813</v>
      </c>
      <c r="DW1414" s="5" t="s">
        <v>2959</v>
      </c>
      <c r="HO1414" s="5" t="s">
        <v>312</v>
      </c>
    </row>
    <row r="1415" spans="1:223" x14ac:dyDescent="0.4">
      <c r="A1415" s="5">
        <v>3090</v>
      </c>
      <c r="B1415" s="5">
        <v>1</v>
      </c>
      <c r="C1415" s="5">
        <v>1</v>
      </c>
      <c r="D1415" s="5" t="s">
        <v>297</v>
      </c>
      <c r="E1415" s="5" t="s">
        <v>245</v>
      </c>
      <c r="F1415" s="5" t="s">
        <v>254</v>
      </c>
      <c r="G1415" s="5" t="s">
        <v>240</v>
      </c>
      <c r="H1415" s="6" t="s">
        <v>4782</v>
      </c>
      <c r="I1415" s="5" t="s">
        <v>295</v>
      </c>
      <c r="J1415" s="8">
        <f>1074</f>
        <v>1074</v>
      </c>
      <c r="K1415" s="5" t="s">
        <v>308</v>
      </c>
      <c r="L1415" s="7">
        <f>1</f>
        <v>1</v>
      </c>
      <c r="M1415" s="7">
        <f>1</f>
        <v>1</v>
      </c>
      <c r="N1415" s="5" t="s">
        <v>242</v>
      </c>
      <c r="O1415" s="5">
        <v>1</v>
      </c>
      <c r="P1415" s="5" t="s">
        <v>294</v>
      </c>
      <c r="Q1415" s="5" t="s">
        <v>266</v>
      </c>
      <c r="R1415" s="5" t="s">
        <v>240</v>
      </c>
      <c r="S1415" s="5" t="s">
        <v>240</v>
      </c>
      <c r="T1415" s="5" t="s">
        <v>296</v>
      </c>
      <c r="U1415" s="5" t="s">
        <v>244</v>
      </c>
      <c r="V1415" s="5" t="s">
        <v>240</v>
      </c>
      <c r="Y1415" s="5" t="s">
        <v>240</v>
      </c>
      <c r="Z1415" s="6" t="s">
        <v>298</v>
      </c>
      <c r="AB1415" s="6" t="s">
        <v>240</v>
      </c>
      <c r="AE1415" s="6" t="s">
        <v>299</v>
      </c>
      <c r="AF1415" s="5" t="s">
        <v>248</v>
      </c>
      <c r="AG1415" s="5" t="s">
        <v>249</v>
      </c>
      <c r="AW1415" s="5" t="s">
        <v>251</v>
      </c>
      <c r="AX1415" s="5" t="s">
        <v>240</v>
      </c>
      <c r="AY1415" s="5" t="s">
        <v>253</v>
      </c>
      <c r="AZ1415" s="5" t="s">
        <v>240</v>
      </c>
      <c r="BA1415" s="5" t="s">
        <v>255</v>
      </c>
      <c r="BB1415" s="5" t="s">
        <v>240</v>
      </c>
      <c r="BD1415" s="5" t="s">
        <v>240</v>
      </c>
      <c r="BF1415" s="5" t="s">
        <v>301</v>
      </c>
      <c r="BG1415" s="6" t="s">
        <v>299</v>
      </c>
      <c r="BH1415" s="5" t="s">
        <v>302</v>
      </c>
      <c r="BI1415" s="5" t="s">
        <v>303</v>
      </c>
      <c r="BJ1415" s="5" t="s">
        <v>240</v>
      </c>
      <c r="BK1415" s="8">
        <f>0</f>
        <v>0</v>
      </c>
      <c r="BL1415" s="7">
        <f>0</f>
        <v>0</v>
      </c>
      <c r="BM1415" s="5" t="s">
        <v>258</v>
      </c>
      <c r="BN1415" s="5" t="s">
        <v>259</v>
      </c>
      <c r="CB1415" s="5" t="s">
        <v>240</v>
      </c>
      <c r="CC1415" s="5" t="s">
        <v>240</v>
      </c>
      <c r="CG1415" s="5" t="s">
        <v>304</v>
      </c>
      <c r="CH1415" s="5" t="s">
        <v>305</v>
      </c>
      <c r="CI1415" s="5" t="s">
        <v>240</v>
      </c>
      <c r="CL1415" s="6" t="s">
        <v>261</v>
      </c>
      <c r="CM1415" s="5" t="s">
        <v>240</v>
      </c>
      <c r="CN1415" s="5" t="s">
        <v>263</v>
      </c>
      <c r="CO1415" s="5" t="s">
        <v>240</v>
      </c>
      <c r="CP1415" s="5" t="s">
        <v>240</v>
      </c>
      <c r="CQ1415" s="5">
        <v>0</v>
      </c>
      <c r="CR1415" s="5" t="s">
        <v>306</v>
      </c>
      <c r="CS1415" s="5" t="s">
        <v>307</v>
      </c>
      <c r="CT1415" s="5" t="s">
        <v>307</v>
      </c>
      <c r="CU1415" s="5" t="s">
        <v>260</v>
      </c>
      <c r="CX1415" s="7">
        <f>1</f>
        <v>1</v>
      </c>
      <c r="CY1415" s="7">
        <f>0</f>
        <v>0</v>
      </c>
      <c r="DA1415" s="7">
        <f>0</f>
        <v>0</v>
      </c>
      <c r="DC1415" s="5" t="s">
        <v>812</v>
      </c>
      <c r="DD1415" s="5" t="s">
        <v>240</v>
      </c>
      <c r="DF1415" s="5" t="s">
        <v>812</v>
      </c>
      <c r="DG1415" s="7">
        <f>61</f>
        <v>61</v>
      </c>
      <c r="DI1415" s="5" t="s">
        <v>240</v>
      </c>
      <c r="DJ1415" s="5" t="s">
        <v>240</v>
      </c>
      <c r="DK1415" s="5" t="s">
        <v>240</v>
      </c>
      <c r="DL1415" s="5" t="s">
        <v>240</v>
      </c>
      <c r="DP1415" s="5" t="s">
        <v>240</v>
      </c>
      <c r="DQ1415" s="5" t="s">
        <v>240</v>
      </c>
      <c r="DR1415" s="5" t="s">
        <v>240</v>
      </c>
      <c r="DS1415" s="5" t="s">
        <v>240</v>
      </c>
      <c r="DV1415" s="5" t="s">
        <v>813</v>
      </c>
      <c r="DW1415" s="5" t="s">
        <v>2961</v>
      </c>
      <c r="HO1415" s="5" t="s">
        <v>312</v>
      </c>
    </row>
    <row r="1416" spans="1:223" x14ac:dyDescent="0.4">
      <c r="A1416" s="5">
        <v>3091</v>
      </c>
      <c r="B1416" s="5">
        <v>1</v>
      </c>
      <c r="C1416" s="5">
        <v>1</v>
      </c>
      <c r="D1416" s="5" t="s">
        <v>297</v>
      </c>
      <c r="E1416" s="5" t="s">
        <v>245</v>
      </c>
      <c r="F1416" s="5" t="s">
        <v>254</v>
      </c>
      <c r="G1416" s="5" t="s">
        <v>240</v>
      </c>
      <c r="H1416" s="6" t="s">
        <v>4781</v>
      </c>
      <c r="I1416" s="5" t="s">
        <v>295</v>
      </c>
      <c r="J1416" s="8">
        <f>935</f>
        <v>935</v>
      </c>
      <c r="K1416" s="5" t="s">
        <v>308</v>
      </c>
      <c r="L1416" s="7">
        <f>1</f>
        <v>1</v>
      </c>
      <c r="M1416" s="7">
        <f>1</f>
        <v>1</v>
      </c>
      <c r="N1416" s="5" t="s">
        <v>242</v>
      </c>
      <c r="O1416" s="5">
        <v>1</v>
      </c>
      <c r="P1416" s="5" t="s">
        <v>294</v>
      </c>
      <c r="Q1416" s="5" t="s">
        <v>266</v>
      </c>
      <c r="R1416" s="5" t="s">
        <v>240</v>
      </c>
      <c r="S1416" s="5" t="s">
        <v>240</v>
      </c>
      <c r="T1416" s="5" t="s">
        <v>296</v>
      </c>
      <c r="U1416" s="5" t="s">
        <v>244</v>
      </c>
      <c r="V1416" s="5" t="s">
        <v>240</v>
      </c>
      <c r="Y1416" s="5" t="s">
        <v>240</v>
      </c>
      <c r="Z1416" s="6" t="s">
        <v>298</v>
      </c>
      <c r="AB1416" s="6" t="s">
        <v>240</v>
      </c>
      <c r="AE1416" s="6" t="s">
        <v>299</v>
      </c>
      <c r="AF1416" s="5" t="s">
        <v>248</v>
      </c>
      <c r="AG1416" s="5" t="s">
        <v>249</v>
      </c>
      <c r="AW1416" s="5" t="s">
        <v>251</v>
      </c>
      <c r="AX1416" s="5" t="s">
        <v>240</v>
      </c>
      <c r="AY1416" s="5" t="s">
        <v>253</v>
      </c>
      <c r="AZ1416" s="5" t="s">
        <v>240</v>
      </c>
      <c r="BA1416" s="5" t="s">
        <v>255</v>
      </c>
      <c r="BB1416" s="5" t="s">
        <v>240</v>
      </c>
      <c r="BD1416" s="5" t="s">
        <v>240</v>
      </c>
      <c r="BF1416" s="5" t="s">
        <v>301</v>
      </c>
      <c r="BG1416" s="6" t="s">
        <v>299</v>
      </c>
      <c r="BH1416" s="5" t="s">
        <v>302</v>
      </c>
      <c r="BI1416" s="5" t="s">
        <v>303</v>
      </c>
      <c r="BJ1416" s="5" t="s">
        <v>240</v>
      </c>
      <c r="BK1416" s="8">
        <f>0</f>
        <v>0</v>
      </c>
      <c r="BL1416" s="7">
        <f>0</f>
        <v>0</v>
      </c>
      <c r="BM1416" s="5" t="s">
        <v>258</v>
      </c>
      <c r="BN1416" s="5" t="s">
        <v>259</v>
      </c>
      <c r="CB1416" s="5" t="s">
        <v>240</v>
      </c>
      <c r="CC1416" s="5" t="s">
        <v>240</v>
      </c>
      <c r="CG1416" s="5" t="s">
        <v>304</v>
      </c>
      <c r="CH1416" s="5" t="s">
        <v>305</v>
      </c>
      <c r="CI1416" s="5" t="s">
        <v>240</v>
      </c>
      <c r="CL1416" s="6" t="s">
        <v>261</v>
      </c>
      <c r="CM1416" s="5" t="s">
        <v>240</v>
      </c>
      <c r="CN1416" s="5" t="s">
        <v>263</v>
      </c>
      <c r="CO1416" s="5" t="s">
        <v>240</v>
      </c>
      <c r="CP1416" s="5" t="s">
        <v>240</v>
      </c>
      <c r="CQ1416" s="5">
        <v>0</v>
      </c>
      <c r="CR1416" s="5" t="s">
        <v>306</v>
      </c>
      <c r="CS1416" s="5" t="s">
        <v>307</v>
      </c>
      <c r="CT1416" s="5" t="s">
        <v>307</v>
      </c>
      <c r="CU1416" s="5" t="s">
        <v>260</v>
      </c>
      <c r="CX1416" s="7">
        <f>1</f>
        <v>1</v>
      </c>
      <c r="CY1416" s="7">
        <f>0</f>
        <v>0</v>
      </c>
      <c r="DA1416" s="7">
        <f>0</f>
        <v>0</v>
      </c>
      <c r="DC1416" s="5" t="s">
        <v>812</v>
      </c>
      <c r="DD1416" s="5" t="s">
        <v>240</v>
      </c>
      <c r="DF1416" s="5" t="s">
        <v>812</v>
      </c>
      <c r="DG1416" s="7">
        <f>715</f>
        <v>715</v>
      </c>
      <c r="DI1416" s="5" t="s">
        <v>240</v>
      </c>
      <c r="DJ1416" s="5" t="s">
        <v>240</v>
      </c>
      <c r="DK1416" s="5" t="s">
        <v>240</v>
      </c>
      <c r="DL1416" s="5" t="s">
        <v>240</v>
      </c>
      <c r="DP1416" s="5" t="s">
        <v>240</v>
      </c>
      <c r="DQ1416" s="5" t="s">
        <v>240</v>
      </c>
      <c r="DR1416" s="5" t="s">
        <v>240</v>
      </c>
      <c r="DS1416" s="5" t="s">
        <v>240</v>
      </c>
      <c r="DV1416" s="5" t="s">
        <v>813</v>
      </c>
      <c r="DW1416" s="5" t="s">
        <v>2963</v>
      </c>
      <c r="HO1416" s="5" t="s">
        <v>312</v>
      </c>
    </row>
    <row r="1417" spans="1:223" x14ac:dyDescent="0.4">
      <c r="A1417" s="5">
        <v>3092</v>
      </c>
      <c r="B1417" s="5">
        <v>1</v>
      </c>
      <c r="C1417" s="5">
        <v>1</v>
      </c>
      <c r="D1417" s="5" t="s">
        <v>297</v>
      </c>
      <c r="E1417" s="5" t="s">
        <v>245</v>
      </c>
      <c r="F1417" s="5" t="s">
        <v>254</v>
      </c>
      <c r="G1417" s="5" t="s">
        <v>240</v>
      </c>
      <c r="H1417" s="6" t="s">
        <v>4780</v>
      </c>
      <c r="I1417" s="5" t="s">
        <v>295</v>
      </c>
      <c r="J1417" s="8">
        <f>3157</f>
        <v>3157</v>
      </c>
      <c r="K1417" s="5" t="s">
        <v>308</v>
      </c>
      <c r="L1417" s="7">
        <f>1</f>
        <v>1</v>
      </c>
      <c r="M1417" s="7">
        <f>1</f>
        <v>1</v>
      </c>
      <c r="N1417" s="5" t="s">
        <v>242</v>
      </c>
      <c r="O1417" s="5">
        <v>1</v>
      </c>
      <c r="P1417" s="5" t="s">
        <v>294</v>
      </c>
      <c r="Q1417" s="5" t="s">
        <v>266</v>
      </c>
      <c r="R1417" s="5" t="s">
        <v>240</v>
      </c>
      <c r="S1417" s="5" t="s">
        <v>240</v>
      </c>
      <c r="T1417" s="5" t="s">
        <v>296</v>
      </c>
      <c r="U1417" s="5" t="s">
        <v>244</v>
      </c>
      <c r="V1417" s="5" t="s">
        <v>240</v>
      </c>
      <c r="Y1417" s="5" t="s">
        <v>240</v>
      </c>
      <c r="Z1417" s="6" t="s">
        <v>298</v>
      </c>
      <c r="AB1417" s="6" t="s">
        <v>240</v>
      </c>
      <c r="AE1417" s="6" t="s">
        <v>299</v>
      </c>
      <c r="AF1417" s="5" t="s">
        <v>248</v>
      </c>
      <c r="AG1417" s="5" t="s">
        <v>249</v>
      </c>
      <c r="AW1417" s="5" t="s">
        <v>251</v>
      </c>
      <c r="AX1417" s="5" t="s">
        <v>240</v>
      </c>
      <c r="AY1417" s="5" t="s">
        <v>253</v>
      </c>
      <c r="AZ1417" s="5" t="s">
        <v>240</v>
      </c>
      <c r="BA1417" s="5" t="s">
        <v>255</v>
      </c>
      <c r="BB1417" s="5" t="s">
        <v>240</v>
      </c>
      <c r="BD1417" s="5" t="s">
        <v>240</v>
      </c>
      <c r="BF1417" s="5" t="s">
        <v>301</v>
      </c>
      <c r="BG1417" s="6" t="s">
        <v>299</v>
      </c>
      <c r="BH1417" s="5" t="s">
        <v>302</v>
      </c>
      <c r="BI1417" s="5" t="s">
        <v>303</v>
      </c>
      <c r="BJ1417" s="5" t="s">
        <v>240</v>
      </c>
      <c r="BK1417" s="8">
        <f>0</f>
        <v>0</v>
      </c>
      <c r="BL1417" s="7">
        <f>0</f>
        <v>0</v>
      </c>
      <c r="BM1417" s="5" t="s">
        <v>258</v>
      </c>
      <c r="BN1417" s="5" t="s">
        <v>259</v>
      </c>
      <c r="CB1417" s="5" t="s">
        <v>240</v>
      </c>
      <c r="CC1417" s="5" t="s">
        <v>240</v>
      </c>
      <c r="CG1417" s="5" t="s">
        <v>304</v>
      </c>
      <c r="CH1417" s="5" t="s">
        <v>305</v>
      </c>
      <c r="CI1417" s="5" t="s">
        <v>240</v>
      </c>
      <c r="CL1417" s="6" t="s">
        <v>261</v>
      </c>
      <c r="CM1417" s="5" t="s">
        <v>240</v>
      </c>
      <c r="CN1417" s="5" t="s">
        <v>263</v>
      </c>
      <c r="CO1417" s="5" t="s">
        <v>240</v>
      </c>
      <c r="CP1417" s="5" t="s">
        <v>240</v>
      </c>
      <c r="CQ1417" s="5">
        <v>0</v>
      </c>
      <c r="CR1417" s="5" t="s">
        <v>306</v>
      </c>
      <c r="CS1417" s="5" t="s">
        <v>307</v>
      </c>
      <c r="CT1417" s="5" t="s">
        <v>307</v>
      </c>
      <c r="CU1417" s="5" t="s">
        <v>260</v>
      </c>
      <c r="CX1417" s="7">
        <f>1</f>
        <v>1</v>
      </c>
      <c r="CY1417" s="7">
        <f>0</f>
        <v>0</v>
      </c>
      <c r="DA1417" s="7">
        <f>0</f>
        <v>0</v>
      </c>
      <c r="DC1417" s="5" t="s">
        <v>812</v>
      </c>
      <c r="DD1417" s="5" t="s">
        <v>240</v>
      </c>
      <c r="DF1417" s="5" t="s">
        <v>812</v>
      </c>
      <c r="DG1417" s="7">
        <f>147</f>
        <v>147</v>
      </c>
      <c r="DI1417" s="5" t="s">
        <v>240</v>
      </c>
      <c r="DJ1417" s="5" t="s">
        <v>240</v>
      </c>
      <c r="DK1417" s="5" t="s">
        <v>240</v>
      </c>
      <c r="DL1417" s="5" t="s">
        <v>240</v>
      </c>
      <c r="DP1417" s="5" t="s">
        <v>240</v>
      </c>
      <c r="DQ1417" s="5" t="s">
        <v>240</v>
      </c>
      <c r="DR1417" s="5" t="s">
        <v>240</v>
      </c>
      <c r="DS1417" s="5" t="s">
        <v>240</v>
      </c>
      <c r="DV1417" s="5" t="s">
        <v>813</v>
      </c>
      <c r="DW1417" s="5" t="s">
        <v>2965</v>
      </c>
      <c r="HO1417" s="5" t="s">
        <v>312</v>
      </c>
    </row>
    <row r="1418" spans="1:223" x14ac:dyDescent="0.4">
      <c r="A1418" s="5">
        <v>3093</v>
      </c>
      <c r="B1418" s="5">
        <v>1</v>
      </c>
      <c r="C1418" s="5">
        <v>1</v>
      </c>
      <c r="D1418" s="5" t="s">
        <v>297</v>
      </c>
      <c r="E1418" s="5" t="s">
        <v>245</v>
      </c>
      <c r="F1418" s="5" t="s">
        <v>254</v>
      </c>
      <c r="G1418" s="5" t="s">
        <v>240</v>
      </c>
      <c r="H1418" s="6" t="s">
        <v>4779</v>
      </c>
      <c r="I1418" s="5" t="s">
        <v>295</v>
      </c>
      <c r="J1418" s="8">
        <f>472</f>
        <v>472</v>
      </c>
      <c r="K1418" s="5" t="s">
        <v>308</v>
      </c>
      <c r="L1418" s="7">
        <f>1</f>
        <v>1</v>
      </c>
      <c r="M1418" s="7">
        <f>1</f>
        <v>1</v>
      </c>
      <c r="N1418" s="5" t="s">
        <v>242</v>
      </c>
      <c r="O1418" s="5">
        <v>1</v>
      </c>
      <c r="P1418" s="5" t="s">
        <v>294</v>
      </c>
      <c r="Q1418" s="5" t="s">
        <v>266</v>
      </c>
      <c r="R1418" s="5" t="s">
        <v>240</v>
      </c>
      <c r="S1418" s="5" t="s">
        <v>240</v>
      </c>
      <c r="T1418" s="5" t="s">
        <v>296</v>
      </c>
      <c r="U1418" s="5" t="s">
        <v>244</v>
      </c>
      <c r="V1418" s="5" t="s">
        <v>240</v>
      </c>
      <c r="Y1418" s="5" t="s">
        <v>240</v>
      </c>
      <c r="Z1418" s="6" t="s">
        <v>298</v>
      </c>
      <c r="AB1418" s="6" t="s">
        <v>240</v>
      </c>
      <c r="AE1418" s="6" t="s">
        <v>299</v>
      </c>
      <c r="AF1418" s="5" t="s">
        <v>248</v>
      </c>
      <c r="AG1418" s="5" t="s">
        <v>249</v>
      </c>
      <c r="AW1418" s="5" t="s">
        <v>251</v>
      </c>
      <c r="AX1418" s="5" t="s">
        <v>240</v>
      </c>
      <c r="AY1418" s="5" t="s">
        <v>253</v>
      </c>
      <c r="AZ1418" s="5" t="s">
        <v>240</v>
      </c>
      <c r="BA1418" s="5" t="s">
        <v>255</v>
      </c>
      <c r="BB1418" s="5" t="s">
        <v>240</v>
      </c>
      <c r="BD1418" s="5" t="s">
        <v>240</v>
      </c>
      <c r="BF1418" s="5" t="s">
        <v>301</v>
      </c>
      <c r="BG1418" s="6" t="s">
        <v>299</v>
      </c>
      <c r="BH1418" s="5" t="s">
        <v>302</v>
      </c>
      <c r="BI1418" s="5" t="s">
        <v>303</v>
      </c>
      <c r="BJ1418" s="5" t="s">
        <v>240</v>
      </c>
      <c r="BK1418" s="8">
        <f>0</f>
        <v>0</v>
      </c>
      <c r="BL1418" s="7">
        <f>0</f>
        <v>0</v>
      </c>
      <c r="BM1418" s="5" t="s">
        <v>258</v>
      </c>
      <c r="BN1418" s="5" t="s">
        <v>259</v>
      </c>
      <c r="CB1418" s="5" t="s">
        <v>240</v>
      </c>
      <c r="CC1418" s="5" t="s">
        <v>240</v>
      </c>
      <c r="CG1418" s="5" t="s">
        <v>304</v>
      </c>
      <c r="CH1418" s="5" t="s">
        <v>305</v>
      </c>
      <c r="CI1418" s="5" t="s">
        <v>240</v>
      </c>
      <c r="CL1418" s="6" t="s">
        <v>261</v>
      </c>
      <c r="CM1418" s="5" t="s">
        <v>240</v>
      </c>
      <c r="CN1418" s="5" t="s">
        <v>263</v>
      </c>
      <c r="CO1418" s="5" t="s">
        <v>240</v>
      </c>
      <c r="CP1418" s="5" t="s">
        <v>240</v>
      </c>
      <c r="CQ1418" s="5">
        <v>0</v>
      </c>
      <c r="CR1418" s="5" t="s">
        <v>306</v>
      </c>
      <c r="CS1418" s="5" t="s">
        <v>307</v>
      </c>
      <c r="CT1418" s="5" t="s">
        <v>307</v>
      </c>
      <c r="CU1418" s="5" t="s">
        <v>260</v>
      </c>
      <c r="CX1418" s="7">
        <f>1</f>
        <v>1</v>
      </c>
      <c r="CY1418" s="7">
        <f>0</f>
        <v>0</v>
      </c>
      <c r="DA1418" s="7">
        <f>0</f>
        <v>0</v>
      </c>
      <c r="DC1418" s="5" t="s">
        <v>812</v>
      </c>
      <c r="DD1418" s="5" t="s">
        <v>240</v>
      </c>
      <c r="DF1418" s="5" t="s">
        <v>812</v>
      </c>
      <c r="DG1418" s="7">
        <f>692</f>
        <v>692</v>
      </c>
      <c r="DI1418" s="5" t="s">
        <v>240</v>
      </c>
      <c r="DJ1418" s="5" t="s">
        <v>240</v>
      </c>
      <c r="DK1418" s="5" t="s">
        <v>240</v>
      </c>
      <c r="DL1418" s="5" t="s">
        <v>240</v>
      </c>
      <c r="DP1418" s="5" t="s">
        <v>240</v>
      </c>
      <c r="DQ1418" s="5" t="s">
        <v>240</v>
      </c>
      <c r="DR1418" s="5" t="s">
        <v>240</v>
      </c>
      <c r="DS1418" s="5" t="s">
        <v>240</v>
      </c>
      <c r="DV1418" s="5" t="s">
        <v>813</v>
      </c>
      <c r="DW1418" s="5" t="s">
        <v>2967</v>
      </c>
      <c r="HO1418" s="5" t="s">
        <v>312</v>
      </c>
    </row>
    <row r="1419" spans="1:223" x14ac:dyDescent="0.4">
      <c r="A1419" s="5">
        <v>3094</v>
      </c>
      <c r="B1419" s="5">
        <v>1</v>
      </c>
      <c r="C1419" s="5">
        <v>1</v>
      </c>
      <c r="D1419" s="5" t="s">
        <v>297</v>
      </c>
      <c r="E1419" s="5" t="s">
        <v>245</v>
      </c>
      <c r="F1419" s="5" t="s">
        <v>254</v>
      </c>
      <c r="G1419" s="5" t="s">
        <v>240</v>
      </c>
      <c r="H1419" s="6" t="s">
        <v>4778</v>
      </c>
      <c r="I1419" s="5" t="s">
        <v>295</v>
      </c>
      <c r="J1419" s="8">
        <f>3123</f>
        <v>3123</v>
      </c>
      <c r="K1419" s="5" t="s">
        <v>308</v>
      </c>
      <c r="L1419" s="7">
        <f>1</f>
        <v>1</v>
      </c>
      <c r="M1419" s="7">
        <f>1</f>
        <v>1</v>
      </c>
      <c r="N1419" s="5" t="s">
        <v>242</v>
      </c>
      <c r="O1419" s="5">
        <v>1</v>
      </c>
      <c r="P1419" s="5" t="s">
        <v>294</v>
      </c>
      <c r="Q1419" s="5" t="s">
        <v>266</v>
      </c>
      <c r="R1419" s="5" t="s">
        <v>240</v>
      </c>
      <c r="S1419" s="5" t="s">
        <v>240</v>
      </c>
      <c r="T1419" s="5" t="s">
        <v>296</v>
      </c>
      <c r="U1419" s="5" t="s">
        <v>244</v>
      </c>
      <c r="V1419" s="5" t="s">
        <v>240</v>
      </c>
      <c r="Y1419" s="5" t="s">
        <v>240</v>
      </c>
      <c r="Z1419" s="6" t="s">
        <v>298</v>
      </c>
      <c r="AB1419" s="6" t="s">
        <v>240</v>
      </c>
      <c r="AE1419" s="6" t="s">
        <v>299</v>
      </c>
      <c r="AF1419" s="5" t="s">
        <v>248</v>
      </c>
      <c r="AG1419" s="5" t="s">
        <v>249</v>
      </c>
      <c r="AW1419" s="5" t="s">
        <v>251</v>
      </c>
      <c r="AX1419" s="5" t="s">
        <v>240</v>
      </c>
      <c r="AY1419" s="5" t="s">
        <v>253</v>
      </c>
      <c r="AZ1419" s="5" t="s">
        <v>240</v>
      </c>
      <c r="BA1419" s="5" t="s">
        <v>255</v>
      </c>
      <c r="BB1419" s="5" t="s">
        <v>240</v>
      </c>
      <c r="BD1419" s="5" t="s">
        <v>240</v>
      </c>
      <c r="BF1419" s="5" t="s">
        <v>301</v>
      </c>
      <c r="BG1419" s="6" t="s">
        <v>299</v>
      </c>
      <c r="BH1419" s="5" t="s">
        <v>302</v>
      </c>
      <c r="BI1419" s="5" t="s">
        <v>303</v>
      </c>
      <c r="BJ1419" s="5" t="s">
        <v>240</v>
      </c>
      <c r="BK1419" s="8">
        <f>0</f>
        <v>0</v>
      </c>
      <c r="BL1419" s="7">
        <f>0</f>
        <v>0</v>
      </c>
      <c r="BM1419" s="5" t="s">
        <v>258</v>
      </c>
      <c r="BN1419" s="5" t="s">
        <v>259</v>
      </c>
      <c r="CB1419" s="5" t="s">
        <v>240</v>
      </c>
      <c r="CC1419" s="5" t="s">
        <v>240</v>
      </c>
      <c r="CG1419" s="5" t="s">
        <v>304</v>
      </c>
      <c r="CH1419" s="5" t="s">
        <v>305</v>
      </c>
      <c r="CI1419" s="5" t="s">
        <v>240</v>
      </c>
      <c r="CL1419" s="6" t="s">
        <v>261</v>
      </c>
      <c r="CM1419" s="5" t="s">
        <v>240</v>
      </c>
      <c r="CN1419" s="5" t="s">
        <v>263</v>
      </c>
      <c r="CO1419" s="5" t="s">
        <v>240</v>
      </c>
      <c r="CP1419" s="5" t="s">
        <v>240</v>
      </c>
      <c r="CQ1419" s="5">
        <v>0</v>
      </c>
      <c r="CR1419" s="5" t="s">
        <v>306</v>
      </c>
      <c r="CS1419" s="5" t="s">
        <v>307</v>
      </c>
      <c r="CT1419" s="5" t="s">
        <v>307</v>
      </c>
      <c r="CU1419" s="5" t="s">
        <v>260</v>
      </c>
      <c r="CX1419" s="7">
        <f>1</f>
        <v>1</v>
      </c>
      <c r="CY1419" s="7">
        <f>0</f>
        <v>0</v>
      </c>
      <c r="DA1419" s="7">
        <f>0</f>
        <v>0</v>
      </c>
      <c r="DC1419" s="5" t="s">
        <v>812</v>
      </c>
      <c r="DD1419" s="5" t="s">
        <v>240</v>
      </c>
      <c r="DF1419" s="5" t="s">
        <v>812</v>
      </c>
      <c r="DG1419" s="7">
        <f>53</f>
        <v>53</v>
      </c>
      <c r="DI1419" s="5" t="s">
        <v>240</v>
      </c>
      <c r="DJ1419" s="5" t="s">
        <v>240</v>
      </c>
      <c r="DK1419" s="5" t="s">
        <v>240</v>
      </c>
      <c r="DL1419" s="5" t="s">
        <v>240</v>
      </c>
      <c r="DP1419" s="5" t="s">
        <v>240</v>
      </c>
      <c r="DQ1419" s="5" t="s">
        <v>240</v>
      </c>
      <c r="DR1419" s="5" t="s">
        <v>240</v>
      </c>
      <c r="DS1419" s="5" t="s">
        <v>240</v>
      </c>
      <c r="DV1419" s="5" t="s">
        <v>813</v>
      </c>
      <c r="DW1419" s="5" t="s">
        <v>2969</v>
      </c>
      <c r="HO1419" s="5" t="s">
        <v>312</v>
      </c>
    </row>
    <row r="1420" spans="1:223" x14ac:dyDescent="0.4">
      <c r="A1420" s="5">
        <v>3095</v>
      </c>
      <c r="B1420" s="5">
        <v>1</v>
      </c>
      <c r="C1420" s="5">
        <v>1</v>
      </c>
      <c r="D1420" s="5" t="s">
        <v>297</v>
      </c>
      <c r="E1420" s="5" t="s">
        <v>245</v>
      </c>
      <c r="F1420" s="5" t="s">
        <v>254</v>
      </c>
      <c r="G1420" s="5" t="s">
        <v>240</v>
      </c>
      <c r="H1420" s="6" t="s">
        <v>4777</v>
      </c>
      <c r="I1420" s="5" t="s">
        <v>295</v>
      </c>
      <c r="J1420" s="8">
        <f>1444</f>
        <v>1444</v>
      </c>
      <c r="K1420" s="5" t="s">
        <v>308</v>
      </c>
      <c r="L1420" s="7">
        <f>1</f>
        <v>1</v>
      </c>
      <c r="M1420" s="7">
        <f>1</f>
        <v>1</v>
      </c>
      <c r="N1420" s="5" t="s">
        <v>242</v>
      </c>
      <c r="O1420" s="5">
        <v>1</v>
      </c>
      <c r="P1420" s="5" t="s">
        <v>294</v>
      </c>
      <c r="Q1420" s="5" t="s">
        <v>266</v>
      </c>
      <c r="R1420" s="5" t="s">
        <v>240</v>
      </c>
      <c r="S1420" s="5" t="s">
        <v>240</v>
      </c>
      <c r="T1420" s="5" t="s">
        <v>296</v>
      </c>
      <c r="U1420" s="5" t="s">
        <v>244</v>
      </c>
      <c r="V1420" s="5" t="s">
        <v>240</v>
      </c>
      <c r="Y1420" s="5" t="s">
        <v>240</v>
      </c>
      <c r="Z1420" s="6" t="s">
        <v>298</v>
      </c>
      <c r="AB1420" s="6" t="s">
        <v>240</v>
      </c>
      <c r="AE1420" s="6" t="s">
        <v>299</v>
      </c>
      <c r="AF1420" s="5" t="s">
        <v>248</v>
      </c>
      <c r="AG1420" s="5" t="s">
        <v>249</v>
      </c>
      <c r="AW1420" s="5" t="s">
        <v>251</v>
      </c>
      <c r="AX1420" s="5" t="s">
        <v>240</v>
      </c>
      <c r="AY1420" s="5" t="s">
        <v>253</v>
      </c>
      <c r="AZ1420" s="5" t="s">
        <v>240</v>
      </c>
      <c r="BA1420" s="5" t="s">
        <v>255</v>
      </c>
      <c r="BB1420" s="5" t="s">
        <v>240</v>
      </c>
      <c r="BD1420" s="5" t="s">
        <v>240</v>
      </c>
      <c r="BF1420" s="5" t="s">
        <v>301</v>
      </c>
      <c r="BG1420" s="6" t="s">
        <v>299</v>
      </c>
      <c r="BH1420" s="5" t="s">
        <v>302</v>
      </c>
      <c r="BI1420" s="5" t="s">
        <v>303</v>
      </c>
      <c r="BJ1420" s="5" t="s">
        <v>240</v>
      </c>
      <c r="BK1420" s="8">
        <f>0</f>
        <v>0</v>
      </c>
      <c r="BL1420" s="7">
        <f>0</f>
        <v>0</v>
      </c>
      <c r="BM1420" s="5" t="s">
        <v>258</v>
      </c>
      <c r="BN1420" s="5" t="s">
        <v>259</v>
      </c>
      <c r="CB1420" s="5" t="s">
        <v>240</v>
      </c>
      <c r="CC1420" s="5" t="s">
        <v>240</v>
      </c>
      <c r="CG1420" s="5" t="s">
        <v>304</v>
      </c>
      <c r="CH1420" s="5" t="s">
        <v>305</v>
      </c>
      <c r="CI1420" s="5" t="s">
        <v>240</v>
      </c>
      <c r="CL1420" s="6" t="s">
        <v>261</v>
      </c>
      <c r="CM1420" s="5" t="s">
        <v>240</v>
      </c>
      <c r="CN1420" s="5" t="s">
        <v>263</v>
      </c>
      <c r="CO1420" s="5" t="s">
        <v>240</v>
      </c>
      <c r="CP1420" s="5" t="s">
        <v>240</v>
      </c>
      <c r="CQ1420" s="5">
        <v>0</v>
      </c>
      <c r="CR1420" s="5" t="s">
        <v>306</v>
      </c>
      <c r="CS1420" s="5" t="s">
        <v>307</v>
      </c>
      <c r="CT1420" s="5" t="s">
        <v>307</v>
      </c>
      <c r="CU1420" s="5" t="s">
        <v>260</v>
      </c>
      <c r="CX1420" s="7">
        <f>1</f>
        <v>1</v>
      </c>
      <c r="CY1420" s="7">
        <f>0</f>
        <v>0</v>
      </c>
      <c r="DA1420" s="7">
        <f>0</f>
        <v>0</v>
      </c>
      <c r="DC1420" s="5" t="s">
        <v>812</v>
      </c>
      <c r="DD1420" s="5" t="s">
        <v>240</v>
      </c>
      <c r="DF1420" s="5" t="s">
        <v>812</v>
      </c>
      <c r="DG1420" s="7">
        <f>369</f>
        <v>369</v>
      </c>
      <c r="DI1420" s="5" t="s">
        <v>240</v>
      </c>
      <c r="DJ1420" s="5" t="s">
        <v>240</v>
      </c>
      <c r="DK1420" s="5" t="s">
        <v>240</v>
      </c>
      <c r="DL1420" s="5" t="s">
        <v>240</v>
      </c>
      <c r="DP1420" s="5" t="s">
        <v>240</v>
      </c>
      <c r="DQ1420" s="5" t="s">
        <v>240</v>
      </c>
      <c r="DR1420" s="5" t="s">
        <v>240</v>
      </c>
      <c r="DS1420" s="5" t="s">
        <v>240</v>
      </c>
      <c r="DV1420" s="5" t="s">
        <v>813</v>
      </c>
      <c r="DW1420" s="5" t="s">
        <v>2971</v>
      </c>
      <c r="HO1420" s="5" t="s">
        <v>312</v>
      </c>
    </row>
    <row r="1421" spans="1:223" x14ac:dyDescent="0.4">
      <c r="A1421" s="5">
        <v>3096</v>
      </c>
      <c r="B1421" s="5">
        <v>1</v>
      </c>
      <c r="C1421" s="5">
        <v>1</v>
      </c>
      <c r="D1421" s="5" t="s">
        <v>297</v>
      </c>
      <c r="E1421" s="5" t="s">
        <v>245</v>
      </c>
      <c r="F1421" s="5" t="s">
        <v>254</v>
      </c>
      <c r="G1421" s="5" t="s">
        <v>240</v>
      </c>
      <c r="H1421" s="6" t="s">
        <v>4776</v>
      </c>
      <c r="I1421" s="5" t="s">
        <v>295</v>
      </c>
      <c r="J1421" s="8">
        <f>3153</f>
        <v>3153</v>
      </c>
      <c r="K1421" s="5" t="s">
        <v>308</v>
      </c>
      <c r="L1421" s="7">
        <f>1</f>
        <v>1</v>
      </c>
      <c r="M1421" s="7">
        <f>1</f>
        <v>1</v>
      </c>
      <c r="N1421" s="5" t="s">
        <v>242</v>
      </c>
      <c r="O1421" s="5">
        <v>1</v>
      </c>
      <c r="P1421" s="5" t="s">
        <v>294</v>
      </c>
      <c r="Q1421" s="5" t="s">
        <v>266</v>
      </c>
      <c r="R1421" s="5" t="s">
        <v>240</v>
      </c>
      <c r="S1421" s="5" t="s">
        <v>240</v>
      </c>
      <c r="T1421" s="5" t="s">
        <v>296</v>
      </c>
      <c r="U1421" s="5" t="s">
        <v>244</v>
      </c>
      <c r="V1421" s="5" t="s">
        <v>240</v>
      </c>
      <c r="Y1421" s="5" t="s">
        <v>240</v>
      </c>
      <c r="Z1421" s="6" t="s">
        <v>298</v>
      </c>
      <c r="AB1421" s="6" t="s">
        <v>240</v>
      </c>
      <c r="AE1421" s="6" t="s">
        <v>299</v>
      </c>
      <c r="AF1421" s="5" t="s">
        <v>248</v>
      </c>
      <c r="AG1421" s="5" t="s">
        <v>249</v>
      </c>
      <c r="AW1421" s="5" t="s">
        <v>251</v>
      </c>
      <c r="AX1421" s="5" t="s">
        <v>240</v>
      </c>
      <c r="AY1421" s="5" t="s">
        <v>253</v>
      </c>
      <c r="AZ1421" s="5" t="s">
        <v>240</v>
      </c>
      <c r="BA1421" s="5" t="s">
        <v>255</v>
      </c>
      <c r="BB1421" s="5" t="s">
        <v>240</v>
      </c>
      <c r="BD1421" s="5" t="s">
        <v>240</v>
      </c>
      <c r="BF1421" s="5" t="s">
        <v>301</v>
      </c>
      <c r="BG1421" s="6" t="s">
        <v>299</v>
      </c>
      <c r="BH1421" s="5" t="s">
        <v>302</v>
      </c>
      <c r="BI1421" s="5" t="s">
        <v>303</v>
      </c>
      <c r="BJ1421" s="5" t="s">
        <v>240</v>
      </c>
      <c r="BK1421" s="8">
        <f>0</f>
        <v>0</v>
      </c>
      <c r="BL1421" s="7">
        <f>0</f>
        <v>0</v>
      </c>
      <c r="BM1421" s="5" t="s">
        <v>258</v>
      </c>
      <c r="BN1421" s="5" t="s">
        <v>259</v>
      </c>
      <c r="CB1421" s="5" t="s">
        <v>240</v>
      </c>
      <c r="CC1421" s="5" t="s">
        <v>240</v>
      </c>
      <c r="CG1421" s="5" t="s">
        <v>304</v>
      </c>
      <c r="CH1421" s="5" t="s">
        <v>305</v>
      </c>
      <c r="CI1421" s="5" t="s">
        <v>240</v>
      </c>
      <c r="CL1421" s="6" t="s">
        <v>261</v>
      </c>
      <c r="CM1421" s="5" t="s">
        <v>240</v>
      </c>
      <c r="CN1421" s="5" t="s">
        <v>263</v>
      </c>
      <c r="CO1421" s="5" t="s">
        <v>240</v>
      </c>
      <c r="CP1421" s="5" t="s">
        <v>240</v>
      </c>
      <c r="CQ1421" s="5">
        <v>0</v>
      </c>
      <c r="CR1421" s="5" t="s">
        <v>306</v>
      </c>
      <c r="CS1421" s="5" t="s">
        <v>307</v>
      </c>
      <c r="CT1421" s="5" t="s">
        <v>307</v>
      </c>
      <c r="CU1421" s="5" t="s">
        <v>260</v>
      </c>
      <c r="CX1421" s="7">
        <f>1</f>
        <v>1</v>
      </c>
      <c r="CY1421" s="7">
        <f>0</f>
        <v>0</v>
      </c>
      <c r="DA1421" s="7">
        <f>0</f>
        <v>0</v>
      </c>
      <c r="DC1421" s="5" t="s">
        <v>812</v>
      </c>
      <c r="DD1421" s="5" t="s">
        <v>240</v>
      </c>
      <c r="DF1421" s="5" t="s">
        <v>812</v>
      </c>
      <c r="DG1421" s="7">
        <f>142</f>
        <v>142</v>
      </c>
      <c r="DI1421" s="5" t="s">
        <v>240</v>
      </c>
      <c r="DJ1421" s="5" t="s">
        <v>240</v>
      </c>
      <c r="DK1421" s="5" t="s">
        <v>240</v>
      </c>
      <c r="DL1421" s="5" t="s">
        <v>240</v>
      </c>
      <c r="DP1421" s="5" t="s">
        <v>240</v>
      </c>
      <c r="DQ1421" s="5" t="s">
        <v>240</v>
      </c>
      <c r="DR1421" s="5" t="s">
        <v>240</v>
      </c>
      <c r="DS1421" s="5" t="s">
        <v>240</v>
      </c>
      <c r="DV1421" s="5" t="s">
        <v>813</v>
      </c>
      <c r="DW1421" s="5" t="s">
        <v>2973</v>
      </c>
      <c r="HO1421" s="5" t="s">
        <v>312</v>
      </c>
    </row>
    <row r="1422" spans="1:223" x14ac:dyDescent="0.4">
      <c r="A1422" s="5">
        <v>3097</v>
      </c>
      <c r="B1422" s="5">
        <v>1</v>
      </c>
      <c r="C1422" s="5">
        <v>1</v>
      </c>
      <c r="D1422" s="5" t="s">
        <v>297</v>
      </c>
      <c r="E1422" s="5" t="s">
        <v>245</v>
      </c>
      <c r="F1422" s="5" t="s">
        <v>254</v>
      </c>
      <c r="G1422" s="5" t="s">
        <v>240</v>
      </c>
      <c r="H1422" s="6" t="s">
        <v>4775</v>
      </c>
      <c r="I1422" s="5" t="s">
        <v>295</v>
      </c>
      <c r="J1422" s="8">
        <f>2086</f>
        <v>2086</v>
      </c>
      <c r="K1422" s="5" t="s">
        <v>308</v>
      </c>
      <c r="L1422" s="7">
        <f>1</f>
        <v>1</v>
      </c>
      <c r="M1422" s="7">
        <f>1</f>
        <v>1</v>
      </c>
      <c r="N1422" s="5" t="s">
        <v>242</v>
      </c>
      <c r="O1422" s="5">
        <v>1</v>
      </c>
      <c r="P1422" s="5" t="s">
        <v>294</v>
      </c>
      <c r="Q1422" s="5" t="s">
        <v>266</v>
      </c>
      <c r="R1422" s="5" t="s">
        <v>240</v>
      </c>
      <c r="S1422" s="5" t="s">
        <v>240</v>
      </c>
      <c r="T1422" s="5" t="s">
        <v>296</v>
      </c>
      <c r="U1422" s="5" t="s">
        <v>244</v>
      </c>
      <c r="V1422" s="5" t="s">
        <v>240</v>
      </c>
      <c r="Y1422" s="5" t="s">
        <v>240</v>
      </c>
      <c r="Z1422" s="6" t="s">
        <v>298</v>
      </c>
      <c r="AB1422" s="6" t="s">
        <v>240</v>
      </c>
      <c r="AE1422" s="6" t="s">
        <v>299</v>
      </c>
      <c r="AF1422" s="5" t="s">
        <v>248</v>
      </c>
      <c r="AG1422" s="5" t="s">
        <v>249</v>
      </c>
      <c r="AW1422" s="5" t="s">
        <v>251</v>
      </c>
      <c r="AX1422" s="5" t="s">
        <v>240</v>
      </c>
      <c r="AY1422" s="5" t="s">
        <v>253</v>
      </c>
      <c r="AZ1422" s="5" t="s">
        <v>240</v>
      </c>
      <c r="BA1422" s="5" t="s">
        <v>255</v>
      </c>
      <c r="BB1422" s="5" t="s">
        <v>240</v>
      </c>
      <c r="BD1422" s="5" t="s">
        <v>240</v>
      </c>
      <c r="BF1422" s="5" t="s">
        <v>301</v>
      </c>
      <c r="BG1422" s="6" t="s">
        <v>299</v>
      </c>
      <c r="BH1422" s="5" t="s">
        <v>302</v>
      </c>
      <c r="BI1422" s="5" t="s">
        <v>303</v>
      </c>
      <c r="BJ1422" s="5" t="s">
        <v>240</v>
      </c>
      <c r="BK1422" s="8">
        <f>0</f>
        <v>0</v>
      </c>
      <c r="BL1422" s="7">
        <f>0</f>
        <v>0</v>
      </c>
      <c r="BM1422" s="5" t="s">
        <v>258</v>
      </c>
      <c r="BN1422" s="5" t="s">
        <v>259</v>
      </c>
      <c r="CB1422" s="5" t="s">
        <v>240</v>
      </c>
      <c r="CC1422" s="5" t="s">
        <v>240</v>
      </c>
      <c r="CG1422" s="5" t="s">
        <v>304</v>
      </c>
      <c r="CH1422" s="5" t="s">
        <v>305</v>
      </c>
      <c r="CI1422" s="5" t="s">
        <v>240</v>
      </c>
      <c r="CL1422" s="6" t="s">
        <v>261</v>
      </c>
      <c r="CM1422" s="5" t="s">
        <v>240</v>
      </c>
      <c r="CN1422" s="5" t="s">
        <v>263</v>
      </c>
      <c r="CO1422" s="5" t="s">
        <v>240</v>
      </c>
      <c r="CP1422" s="5" t="s">
        <v>240</v>
      </c>
      <c r="CQ1422" s="5">
        <v>0</v>
      </c>
      <c r="CR1422" s="5" t="s">
        <v>306</v>
      </c>
      <c r="CS1422" s="5" t="s">
        <v>307</v>
      </c>
      <c r="CT1422" s="5" t="s">
        <v>307</v>
      </c>
      <c r="CU1422" s="5" t="s">
        <v>260</v>
      </c>
      <c r="CX1422" s="7">
        <f>1</f>
        <v>1</v>
      </c>
      <c r="CY1422" s="7">
        <f>0</f>
        <v>0</v>
      </c>
      <c r="DA1422" s="7">
        <f>0</f>
        <v>0</v>
      </c>
      <c r="DC1422" s="5" t="s">
        <v>812</v>
      </c>
      <c r="DD1422" s="5" t="s">
        <v>240</v>
      </c>
      <c r="DF1422" s="5" t="s">
        <v>812</v>
      </c>
      <c r="DG1422" s="7">
        <f>293</f>
        <v>293</v>
      </c>
      <c r="DI1422" s="5" t="s">
        <v>240</v>
      </c>
      <c r="DJ1422" s="5" t="s">
        <v>240</v>
      </c>
      <c r="DK1422" s="5" t="s">
        <v>240</v>
      </c>
      <c r="DL1422" s="5" t="s">
        <v>240</v>
      </c>
      <c r="DP1422" s="5" t="s">
        <v>240</v>
      </c>
      <c r="DQ1422" s="5" t="s">
        <v>240</v>
      </c>
      <c r="DR1422" s="5" t="s">
        <v>240</v>
      </c>
      <c r="DS1422" s="5" t="s">
        <v>240</v>
      </c>
      <c r="DV1422" s="5" t="s">
        <v>813</v>
      </c>
      <c r="DW1422" s="5" t="s">
        <v>2975</v>
      </c>
      <c r="HO1422" s="5" t="s">
        <v>312</v>
      </c>
    </row>
    <row r="1423" spans="1:223" x14ac:dyDescent="0.4">
      <c r="A1423" s="5">
        <v>3098</v>
      </c>
      <c r="B1423" s="5">
        <v>1</v>
      </c>
      <c r="C1423" s="5">
        <v>1</v>
      </c>
      <c r="D1423" s="5" t="s">
        <v>297</v>
      </c>
      <c r="E1423" s="5" t="s">
        <v>245</v>
      </c>
      <c r="F1423" s="5" t="s">
        <v>254</v>
      </c>
      <c r="G1423" s="5" t="s">
        <v>240</v>
      </c>
      <c r="H1423" s="6" t="s">
        <v>4774</v>
      </c>
      <c r="I1423" s="5" t="s">
        <v>295</v>
      </c>
      <c r="J1423" s="8">
        <f>1599</f>
        <v>1599</v>
      </c>
      <c r="K1423" s="5" t="s">
        <v>308</v>
      </c>
      <c r="L1423" s="7">
        <f>1</f>
        <v>1</v>
      </c>
      <c r="M1423" s="7">
        <f>1</f>
        <v>1</v>
      </c>
      <c r="N1423" s="5" t="s">
        <v>242</v>
      </c>
      <c r="O1423" s="5">
        <v>1</v>
      </c>
      <c r="P1423" s="5" t="s">
        <v>294</v>
      </c>
      <c r="Q1423" s="5" t="s">
        <v>266</v>
      </c>
      <c r="R1423" s="5" t="s">
        <v>240</v>
      </c>
      <c r="S1423" s="5" t="s">
        <v>240</v>
      </c>
      <c r="T1423" s="5" t="s">
        <v>296</v>
      </c>
      <c r="U1423" s="5" t="s">
        <v>244</v>
      </c>
      <c r="V1423" s="5" t="s">
        <v>240</v>
      </c>
      <c r="Y1423" s="5" t="s">
        <v>240</v>
      </c>
      <c r="Z1423" s="6" t="s">
        <v>298</v>
      </c>
      <c r="AB1423" s="6" t="s">
        <v>240</v>
      </c>
      <c r="AE1423" s="6" t="s">
        <v>299</v>
      </c>
      <c r="AF1423" s="5" t="s">
        <v>248</v>
      </c>
      <c r="AG1423" s="5" t="s">
        <v>249</v>
      </c>
      <c r="AW1423" s="5" t="s">
        <v>251</v>
      </c>
      <c r="AX1423" s="5" t="s">
        <v>240</v>
      </c>
      <c r="AY1423" s="5" t="s">
        <v>253</v>
      </c>
      <c r="AZ1423" s="5" t="s">
        <v>240</v>
      </c>
      <c r="BA1423" s="5" t="s">
        <v>255</v>
      </c>
      <c r="BB1423" s="5" t="s">
        <v>240</v>
      </c>
      <c r="BD1423" s="5" t="s">
        <v>240</v>
      </c>
      <c r="BF1423" s="5" t="s">
        <v>301</v>
      </c>
      <c r="BG1423" s="6" t="s">
        <v>299</v>
      </c>
      <c r="BH1423" s="5" t="s">
        <v>302</v>
      </c>
      <c r="BI1423" s="5" t="s">
        <v>303</v>
      </c>
      <c r="BJ1423" s="5" t="s">
        <v>240</v>
      </c>
      <c r="BK1423" s="8">
        <f>0</f>
        <v>0</v>
      </c>
      <c r="BL1423" s="7">
        <f>0</f>
        <v>0</v>
      </c>
      <c r="BM1423" s="5" t="s">
        <v>258</v>
      </c>
      <c r="BN1423" s="5" t="s">
        <v>259</v>
      </c>
      <c r="CB1423" s="5" t="s">
        <v>240</v>
      </c>
      <c r="CC1423" s="5" t="s">
        <v>240</v>
      </c>
      <c r="CG1423" s="5" t="s">
        <v>304</v>
      </c>
      <c r="CH1423" s="5" t="s">
        <v>305</v>
      </c>
      <c r="CI1423" s="5" t="s">
        <v>240</v>
      </c>
      <c r="CL1423" s="6" t="s">
        <v>261</v>
      </c>
      <c r="CM1423" s="5" t="s">
        <v>240</v>
      </c>
      <c r="CN1423" s="5" t="s">
        <v>263</v>
      </c>
      <c r="CO1423" s="5" t="s">
        <v>240</v>
      </c>
      <c r="CP1423" s="5" t="s">
        <v>240</v>
      </c>
      <c r="CQ1423" s="5">
        <v>0</v>
      </c>
      <c r="CR1423" s="5" t="s">
        <v>306</v>
      </c>
      <c r="CS1423" s="5" t="s">
        <v>307</v>
      </c>
      <c r="CT1423" s="5" t="s">
        <v>307</v>
      </c>
      <c r="CU1423" s="5" t="s">
        <v>260</v>
      </c>
      <c r="CX1423" s="7">
        <f>1</f>
        <v>1</v>
      </c>
      <c r="CY1423" s="7">
        <f>0</f>
        <v>0</v>
      </c>
      <c r="DA1423" s="7">
        <f>0</f>
        <v>0</v>
      </c>
      <c r="DC1423" s="5" t="s">
        <v>812</v>
      </c>
      <c r="DD1423" s="5" t="s">
        <v>240</v>
      </c>
      <c r="DF1423" s="5" t="s">
        <v>812</v>
      </c>
      <c r="DG1423" s="7">
        <f>216</f>
        <v>216</v>
      </c>
      <c r="DI1423" s="5" t="s">
        <v>240</v>
      </c>
      <c r="DJ1423" s="5" t="s">
        <v>240</v>
      </c>
      <c r="DK1423" s="5" t="s">
        <v>240</v>
      </c>
      <c r="DL1423" s="5" t="s">
        <v>240</v>
      </c>
      <c r="DP1423" s="5" t="s">
        <v>240</v>
      </c>
      <c r="DQ1423" s="5" t="s">
        <v>240</v>
      </c>
      <c r="DR1423" s="5" t="s">
        <v>240</v>
      </c>
      <c r="DS1423" s="5" t="s">
        <v>240</v>
      </c>
      <c r="DV1423" s="5" t="s">
        <v>813</v>
      </c>
      <c r="DW1423" s="5" t="s">
        <v>2977</v>
      </c>
      <c r="HO1423" s="5" t="s">
        <v>312</v>
      </c>
    </row>
    <row r="1424" spans="1:223" x14ac:dyDescent="0.4">
      <c r="A1424" s="5">
        <v>3099</v>
      </c>
      <c r="B1424" s="5">
        <v>1</v>
      </c>
      <c r="C1424" s="5">
        <v>1</v>
      </c>
      <c r="D1424" s="5" t="s">
        <v>297</v>
      </c>
      <c r="E1424" s="5" t="s">
        <v>245</v>
      </c>
      <c r="F1424" s="5" t="s">
        <v>254</v>
      </c>
      <c r="G1424" s="5" t="s">
        <v>240</v>
      </c>
      <c r="H1424" s="6" t="s">
        <v>4773</v>
      </c>
      <c r="I1424" s="5" t="s">
        <v>295</v>
      </c>
      <c r="J1424" s="8">
        <f>1041</f>
        <v>1041</v>
      </c>
      <c r="K1424" s="5" t="s">
        <v>308</v>
      </c>
      <c r="L1424" s="7">
        <f>1</f>
        <v>1</v>
      </c>
      <c r="M1424" s="7">
        <f>1</f>
        <v>1</v>
      </c>
      <c r="N1424" s="5" t="s">
        <v>242</v>
      </c>
      <c r="O1424" s="5">
        <v>1</v>
      </c>
      <c r="P1424" s="5" t="s">
        <v>294</v>
      </c>
      <c r="Q1424" s="5" t="s">
        <v>266</v>
      </c>
      <c r="R1424" s="5" t="s">
        <v>240</v>
      </c>
      <c r="S1424" s="5" t="s">
        <v>240</v>
      </c>
      <c r="T1424" s="5" t="s">
        <v>296</v>
      </c>
      <c r="U1424" s="5" t="s">
        <v>244</v>
      </c>
      <c r="V1424" s="5" t="s">
        <v>240</v>
      </c>
      <c r="Y1424" s="5" t="s">
        <v>240</v>
      </c>
      <c r="Z1424" s="6" t="s">
        <v>298</v>
      </c>
      <c r="AB1424" s="6" t="s">
        <v>240</v>
      </c>
      <c r="AE1424" s="6" t="s">
        <v>299</v>
      </c>
      <c r="AF1424" s="5" t="s">
        <v>248</v>
      </c>
      <c r="AG1424" s="5" t="s">
        <v>249</v>
      </c>
      <c r="AW1424" s="5" t="s">
        <v>251</v>
      </c>
      <c r="AX1424" s="5" t="s">
        <v>240</v>
      </c>
      <c r="AY1424" s="5" t="s">
        <v>253</v>
      </c>
      <c r="AZ1424" s="5" t="s">
        <v>240</v>
      </c>
      <c r="BA1424" s="5" t="s">
        <v>255</v>
      </c>
      <c r="BB1424" s="5" t="s">
        <v>240</v>
      </c>
      <c r="BD1424" s="5" t="s">
        <v>240</v>
      </c>
      <c r="BF1424" s="5" t="s">
        <v>301</v>
      </c>
      <c r="BG1424" s="6" t="s">
        <v>299</v>
      </c>
      <c r="BH1424" s="5" t="s">
        <v>302</v>
      </c>
      <c r="BI1424" s="5" t="s">
        <v>303</v>
      </c>
      <c r="BJ1424" s="5" t="s">
        <v>240</v>
      </c>
      <c r="BK1424" s="8">
        <f>0</f>
        <v>0</v>
      </c>
      <c r="BL1424" s="7">
        <f>0</f>
        <v>0</v>
      </c>
      <c r="BM1424" s="5" t="s">
        <v>258</v>
      </c>
      <c r="BN1424" s="5" t="s">
        <v>259</v>
      </c>
      <c r="CB1424" s="5" t="s">
        <v>240</v>
      </c>
      <c r="CC1424" s="5" t="s">
        <v>240</v>
      </c>
      <c r="CG1424" s="5" t="s">
        <v>304</v>
      </c>
      <c r="CH1424" s="5" t="s">
        <v>305</v>
      </c>
      <c r="CI1424" s="5" t="s">
        <v>240</v>
      </c>
      <c r="CL1424" s="6" t="s">
        <v>261</v>
      </c>
      <c r="CM1424" s="5" t="s">
        <v>240</v>
      </c>
      <c r="CN1424" s="5" t="s">
        <v>263</v>
      </c>
      <c r="CO1424" s="5" t="s">
        <v>240</v>
      </c>
      <c r="CP1424" s="5" t="s">
        <v>240</v>
      </c>
      <c r="CQ1424" s="5">
        <v>0</v>
      </c>
      <c r="CR1424" s="5" t="s">
        <v>306</v>
      </c>
      <c r="CS1424" s="5" t="s">
        <v>307</v>
      </c>
      <c r="CT1424" s="5" t="s">
        <v>307</v>
      </c>
      <c r="CU1424" s="5" t="s">
        <v>260</v>
      </c>
      <c r="CX1424" s="7">
        <f>1</f>
        <v>1</v>
      </c>
      <c r="CY1424" s="7">
        <f>0</f>
        <v>0</v>
      </c>
      <c r="DA1424" s="7">
        <f>0</f>
        <v>0</v>
      </c>
      <c r="DC1424" s="5" t="s">
        <v>812</v>
      </c>
      <c r="DD1424" s="5" t="s">
        <v>240</v>
      </c>
      <c r="DF1424" s="5" t="s">
        <v>812</v>
      </c>
      <c r="DG1424" s="7">
        <f>1477</f>
        <v>1477</v>
      </c>
      <c r="DI1424" s="5" t="s">
        <v>240</v>
      </c>
      <c r="DJ1424" s="5" t="s">
        <v>240</v>
      </c>
      <c r="DK1424" s="5" t="s">
        <v>240</v>
      </c>
      <c r="DL1424" s="5" t="s">
        <v>240</v>
      </c>
      <c r="DP1424" s="5" t="s">
        <v>240</v>
      </c>
      <c r="DQ1424" s="5" t="s">
        <v>240</v>
      </c>
      <c r="DR1424" s="5" t="s">
        <v>240</v>
      </c>
      <c r="DS1424" s="5" t="s">
        <v>240</v>
      </c>
      <c r="DV1424" s="5" t="s">
        <v>813</v>
      </c>
      <c r="DW1424" s="5" t="s">
        <v>2979</v>
      </c>
      <c r="HO1424" s="5" t="s">
        <v>312</v>
      </c>
    </row>
    <row r="1425" spans="1:223" x14ac:dyDescent="0.4">
      <c r="A1425" s="5">
        <v>3100</v>
      </c>
      <c r="B1425" s="5">
        <v>1</v>
      </c>
      <c r="C1425" s="5">
        <v>1</v>
      </c>
      <c r="D1425" s="5" t="s">
        <v>297</v>
      </c>
      <c r="E1425" s="5" t="s">
        <v>245</v>
      </c>
      <c r="F1425" s="5" t="s">
        <v>254</v>
      </c>
      <c r="G1425" s="5" t="s">
        <v>240</v>
      </c>
      <c r="H1425" s="6" t="s">
        <v>4772</v>
      </c>
      <c r="I1425" s="5" t="s">
        <v>295</v>
      </c>
      <c r="J1425" s="8">
        <f>212</f>
        <v>212</v>
      </c>
      <c r="K1425" s="5" t="s">
        <v>308</v>
      </c>
      <c r="L1425" s="7">
        <f>1</f>
        <v>1</v>
      </c>
      <c r="M1425" s="7">
        <f>1</f>
        <v>1</v>
      </c>
      <c r="N1425" s="5" t="s">
        <v>242</v>
      </c>
      <c r="O1425" s="5">
        <v>1</v>
      </c>
      <c r="P1425" s="5" t="s">
        <v>294</v>
      </c>
      <c r="Q1425" s="5" t="s">
        <v>266</v>
      </c>
      <c r="R1425" s="5" t="s">
        <v>240</v>
      </c>
      <c r="S1425" s="5" t="s">
        <v>240</v>
      </c>
      <c r="T1425" s="5" t="s">
        <v>296</v>
      </c>
      <c r="U1425" s="5" t="s">
        <v>244</v>
      </c>
      <c r="V1425" s="5" t="s">
        <v>240</v>
      </c>
      <c r="Y1425" s="5" t="s">
        <v>240</v>
      </c>
      <c r="Z1425" s="6" t="s">
        <v>298</v>
      </c>
      <c r="AB1425" s="6" t="s">
        <v>240</v>
      </c>
      <c r="AE1425" s="6" t="s">
        <v>299</v>
      </c>
      <c r="AF1425" s="5" t="s">
        <v>248</v>
      </c>
      <c r="AG1425" s="5" t="s">
        <v>249</v>
      </c>
      <c r="AW1425" s="5" t="s">
        <v>251</v>
      </c>
      <c r="AX1425" s="5" t="s">
        <v>240</v>
      </c>
      <c r="AY1425" s="5" t="s">
        <v>253</v>
      </c>
      <c r="AZ1425" s="5" t="s">
        <v>240</v>
      </c>
      <c r="BA1425" s="5" t="s">
        <v>255</v>
      </c>
      <c r="BB1425" s="5" t="s">
        <v>240</v>
      </c>
      <c r="BD1425" s="5" t="s">
        <v>240</v>
      </c>
      <c r="BF1425" s="5" t="s">
        <v>301</v>
      </c>
      <c r="BG1425" s="6" t="s">
        <v>299</v>
      </c>
      <c r="BH1425" s="5" t="s">
        <v>302</v>
      </c>
      <c r="BI1425" s="5" t="s">
        <v>303</v>
      </c>
      <c r="BJ1425" s="5" t="s">
        <v>240</v>
      </c>
      <c r="BK1425" s="8">
        <f>0</f>
        <v>0</v>
      </c>
      <c r="BL1425" s="7">
        <f>0</f>
        <v>0</v>
      </c>
      <c r="BM1425" s="5" t="s">
        <v>258</v>
      </c>
      <c r="BN1425" s="5" t="s">
        <v>259</v>
      </c>
      <c r="CB1425" s="5" t="s">
        <v>240</v>
      </c>
      <c r="CC1425" s="5" t="s">
        <v>240</v>
      </c>
      <c r="CG1425" s="5" t="s">
        <v>304</v>
      </c>
      <c r="CH1425" s="5" t="s">
        <v>305</v>
      </c>
      <c r="CI1425" s="5" t="s">
        <v>240</v>
      </c>
      <c r="CL1425" s="6" t="s">
        <v>261</v>
      </c>
      <c r="CM1425" s="5" t="s">
        <v>240</v>
      </c>
      <c r="CN1425" s="5" t="s">
        <v>263</v>
      </c>
      <c r="CO1425" s="5" t="s">
        <v>240</v>
      </c>
      <c r="CP1425" s="5" t="s">
        <v>240</v>
      </c>
      <c r="CQ1425" s="5">
        <v>0</v>
      </c>
      <c r="CR1425" s="5" t="s">
        <v>306</v>
      </c>
      <c r="CS1425" s="5" t="s">
        <v>307</v>
      </c>
      <c r="CT1425" s="5" t="s">
        <v>307</v>
      </c>
      <c r="CU1425" s="5" t="s">
        <v>260</v>
      </c>
      <c r="CX1425" s="7">
        <f>1</f>
        <v>1</v>
      </c>
      <c r="CY1425" s="7">
        <f>0</f>
        <v>0</v>
      </c>
      <c r="DA1425" s="7">
        <f>0</f>
        <v>0</v>
      </c>
      <c r="DC1425" s="5" t="s">
        <v>812</v>
      </c>
      <c r="DD1425" s="5" t="s">
        <v>240</v>
      </c>
      <c r="DF1425" s="5" t="s">
        <v>812</v>
      </c>
      <c r="DG1425" s="7">
        <f>1506</f>
        <v>1506</v>
      </c>
      <c r="DI1425" s="5" t="s">
        <v>240</v>
      </c>
      <c r="DJ1425" s="5" t="s">
        <v>240</v>
      </c>
      <c r="DK1425" s="5" t="s">
        <v>240</v>
      </c>
      <c r="DL1425" s="5" t="s">
        <v>240</v>
      </c>
      <c r="DP1425" s="5" t="s">
        <v>240</v>
      </c>
      <c r="DQ1425" s="5" t="s">
        <v>240</v>
      </c>
      <c r="DR1425" s="5" t="s">
        <v>240</v>
      </c>
      <c r="DS1425" s="5" t="s">
        <v>240</v>
      </c>
      <c r="DV1425" s="5" t="s">
        <v>813</v>
      </c>
      <c r="DW1425" s="5" t="s">
        <v>2981</v>
      </c>
      <c r="HO1425" s="5" t="s">
        <v>312</v>
      </c>
    </row>
    <row r="1426" spans="1:223" x14ac:dyDescent="0.4">
      <c r="A1426" s="5">
        <v>3101</v>
      </c>
      <c r="B1426" s="5">
        <v>1</v>
      </c>
      <c r="C1426" s="5">
        <v>1</v>
      </c>
      <c r="D1426" s="5" t="s">
        <v>297</v>
      </c>
      <c r="E1426" s="5" t="s">
        <v>245</v>
      </c>
      <c r="F1426" s="5" t="s">
        <v>254</v>
      </c>
      <c r="G1426" s="5" t="s">
        <v>240</v>
      </c>
      <c r="H1426" s="6" t="s">
        <v>5869</v>
      </c>
      <c r="I1426" s="5" t="s">
        <v>295</v>
      </c>
      <c r="J1426" s="8">
        <f>1596</f>
        <v>1596</v>
      </c>
      <c r="K1426" s="5" t="s">
        <v>308</v>
      </c>
      <c r="L1426" s="7">
        <f>1</f>
        <v>1</v>
      </c>
      <c r="M1426" s="7">
        <f>1</f>
        <v>1</v>
      </c>
      <c r="N1426" s="5" t="s">
        <v>242</v>
      </c>
      <c r="O1426" s="5">
        <v>1</v>
      </c>
      <c r="P1426" s="5" t="s">
        <v>294</v>
      </c>
      <c r="Q1426" s="5" t="s">
        <v>266</v>
      </c>
      <c r="R1426" s="5" t="s">
        <v>240</v>
      </c>
      <c r="S1426" s="5" t="s">
        <v>240</v>
      </c>
      <c r="T1426" s="5" t="s">
        <v>296</v>
      </c>
      <c r="U1426" s="5" t="s">
        <v>244</v>
      </c>
      <c r="V1426" s="5" t="s">
        <v>240</v>
      </c>
      <c r="Y1426" s="5" t="s">
        <v>240</v>
      </c>
      <c r="Z1426" s="6" t="s">
        <v>298</v>
      </c>
      <c r="AB1426" s="6" t="s">
        <v>240</v>
      </c>
      <c r="AE1426" s="6" t="s">
        <v>299</v>
      </c>
      <c r="AF1426" s="5" t="s">
        <v>248</v>
      </c>
      <c r="AG1426" s="5" t="s">
        <v>249</v>
      </c>
      <c r="AW1426" s="5" t="s">
        <v>251</v>
      </c>
      <c r="AX1426" s="5" t="s">
        <v>240</v>
      </c>
      <c r="AY1426" s="5" t="s">
        <v>253</v>
      </c>
      <c r="AZ1426" s="5" t="s">
        <v>240</v>
      </c>
      <c r="BA1426" s="5" t="s">
        <v>255</v>
      </c>
      <c r="BB1426" s="5" t="s">
        <v>240</v>
      </c>
      <c r="BD1426" s="5" t="s">
        <v>240</v>
      </c>
      <c r="BF1426" s="5" t="s">
        <v>301</v>
      </c>
      <c r="BG1426" s="6" t="s">
        <v>299</v>
      </c>
      <c r="BH1426" s="5" t="s">
        <v>302</v>
      </c>
      <c r="BI1426" s="5" t="s">
        <v>303</v>
      </c>
      <c r="BJ1426" s="5" t="s">
        <v>240</v>
      </c>
      <c r="BK1426" s="8">
        <f>0</f>
        <v>0</v>
      </c>
      <c r="BL1426" s="7">
        <f>0</f>
        <v>0</v>
      </c>
      <c r="BM1426" s="5" t="s">
        <v>258</v>
      </c>
      <c r="BN1426" s="5" t="s">
        <v>259</v>
      </c>
      <c r="CB1426" s="5" t="s">
        <v>240</v>
      </c>
      <c r="CC1426" s="5" t="s">
        <v>240</v>
      </c>
      <c r="CG1426" s="5" t="s">
        <v>304</v>
      </c>
      <c r="CH1426" s="5" t="s">
        <v>305</v>
      </c>
      <c r="CI1426" s="5" t="s">
        <v>240</v>
      </c>
      <c r="CL1426" s="6" t="s">
        <v>261</v>
      </c>
      <c r="CM1426" s="5" t="s">
        <v>240</v>
      </c>
      <c r="CN1426" s="5" t="s">
        <v>263</v>
      </c>
      <c r="CO1426" s="5" t="s">
        <v>240</v>
      </c>
      <c r="CP1426" s="5" t="s">
        <v>240</v>
      </c>
      <c r="CQ1426" s="5">
        <v>0</v>
      </c>
      <c r="CR1426" s="5" t="s">
        <v>306</v>
      </c>
      <c r="CS1426" s="5" t="s">
        <v>307</v>
      </c>
      <c r="CT1426" s="5" t="s">
        <v>307</v>
      </c>
      <c r="CU1426" s="5" t="s">
        <v>260</v>
      </c>
      <c r="CX1426" s="7">
        <f>1</f>
        <v>1</v>
      </c>
      <c r="CY1426" s="7">
        <f>0</f>
        <v>0</v>
      </c>
      <c r="DA1426" s="7">
        <f>0</f>
        <v>0</v>
      </c>
      <c r="DC1426" s="5" t="s">
        <v>812</v>
      </c>
      <c r="DD1426" s="5" t="s">
        <v>240</v>
      </c>
      <c r="DF1426" s="5" t="s">
        <v>812</v>
      </c>
      <c r="DG1426" s="7">
        <f>417</f>
        <v>417</v>
      </c>
      <c r="DI1426" s="5" t="s">
        <v>240</v>
      </c>
      <c r="DJ1426" s="5" t="s">
        <v>240</v>
      </c>
      <c r="DK1426" s="5" t="s">
        <v>240</v>
      </c>
      <c r="DL1426" s="5" t="s">
        <v>240</v>
      </c>
      <c r="DP1426" s="5" t="s">
        <v>240</v>
      </c>
      <c r="DQ1426" s="5" t="s">
        <v>240</v>
      </c>
      <c r="DR1426" s="5" t="s">
        <v>240</v>
      </c>
      <c r="DS1426" s="5" t="s">
        <v>240</v>
      </c>
      <c r="DV1426" s="5" t="s">
        <v>813</v>
      </c>
      <c r="DW1426" s="5" t="s">
        <v>2983</v>
      </c>
      <c r="HO1426" s="5" t="s">
        <v>312</v>
      </c>
    </row>
    <row r="1427" spans="1:223" x14ac:dyDescent="0.4">
      <c r="A1427" s="5">
        <v>3102</v>
      </c>
      <c r="B1427" s="5">
        <v>1</v>
      </c>
      <c r="C1427" s="5">
        <v>1</v>
      </c>
      <c r="D1427" s="5" t="s">
        <v>297</v>
      </c>
      <c r="E1427" s="5" t="s">
        <v>245</v>
      </c>
      <c r="F1427" s="5" t="s">
        <v>254</v>
      </c>
      <c r="G1427" s="5" t="s">
        <v>240</v>
      </c>
      <c r="H1427" s="6" t="s">
        <v>4770</v>
      </c>
      <c r="I1427" s="5" t="s">
        <v>295</v>
      </c>
      <c r="J1427" s="8">
        <f>73</f>
        <v>73</v>
      </c>
      <c r="K1427" s="5" t="s">
        <v>308</v>
      </c>
      <c r="L1427" s="7">
        <f>1</f>
        <v>1</v>
      </c>
      <c r="M1427" s="7">
        <f>1</f>
        <v>1</v>
      </c>
      <c r="N1427" s="5" t="s">
        <v>242</v>
      </c>
      <c r="O1427" s="5">
        <v>1</v>
      </c>
      <c r="P1427" s="5" t="s">
        <v>294</v>
      </c>
      <c r="Q1427" s="5" t="s">
        <v>266</v>
      </c>
      <c r="R1427" s="5" t="s">
        <v>240</v>
      </c>
      <c r="S1427" s="5" t="s">
        <v>240</v>
      </c>
      <c r="T1427" s="5" t="s">
        <v>296</v>
      </c>
      <c r="U1427" s="5" t="s">
        <v>244</v>
      </c>
      <c r="V1427" s="5" t="s">
        <v>240</v>
      </c>
      <c r="Y1427" s="5" t="s">
        <v>240</v>
      </c>
      <c r="Z1427" s="6" t="s">
        <v>298</v>
      </c>
      <c r="AB1427" s="6" t="s">
        <v>240</v>
      </c>
      <c r="AE1427" s="6" t="s">
        <v>299</v>
      </c>
      <c r="AF1427" s="5" t="s">
        <v>248</v>
      </c>
      <c r="AG1427" s="5" t="s">
        <v>249</v>
      </c>
      <c r="AW1427" s="5" t="s">
        <v>251</v>
      </c>
      <c r="AX1427" s="5" t="s">
        <v>240</v>
      </c>
      <c r="AY1427" s="5" t="s">
        <v>253</v>
      </c>
      <c r="AZ1427" s="5" t="s">
        <v>240</v>
      </c>
      <c r="BA1427" s="5" t="s">
        <v>255</v>
      </c>
      <c r="BB1427" s="5" t="s">
        <v>240</v>
      </c>
      <c r="BD1427" s="5" t="s">
        <v>240</v>
      </c>
      <c r="BF1427" s="5" t="s">
        <v>301</v>
      </c>
      <c r="BG1427" s="6" t="s">
        <v>299</v>
      </c>
      <c r="BH1427" s="5" t="s">
        <v>302</v>
      </c>
      <c r="BI1427" s="5" t="s">
        <v>303</v>
      </c>
      <c r="BJ1427" s="5" t="s">
        <v>240</v>
      </c>
      <c r="BK1427" s="8">
        <f>0</f>
        <v>0</v>
      </c>
      <c r="BL1427" s="7">
        <f>0</f>
        <v>0</v>
      </c>
      <c r="BM1427" s="5" t="s">
        <v>258</v>
      </c>
      <c r="BN1427" s="5" t="s">
        <v>259</v>
      </c>
      <c r="CB1427" s="5" t="s">
        <v>240</v>
      </c>
      <c r="CC1427" s="5" t="s">
        <v>240</v>
      </c>
      <c r="CG1427" s="5" t="s">
        <v>304</v>
      </c>
      <c r="CH1427" s="5" t="s">
        <v>305</v>
      </c>
      <c r="CI1427" s="5" t="s">
        <v>240</v>
      </c>
      <c r="CL1427" s="6" t="s">
        <v>261</v>
      </c>
      <c r="CM1427" s="5" t="s">
        <v>240</v>
      </c>
      <c r="CN1427" s="5" t="s">
        <v>263</v>
      </c>
      <c r="CO1427" s="5" t="s">
        <v>240</v>
      </c>
      <c r="CP1427" s="5" t="s">
        <v>240</v>
      </c>
      <c r="CQ1427" s="5">
        <v>0</v>
      </c>
      <c r="CR1427" s="5" t="s">
        <v>306</v>
      </c>
      <c r="CS1427" s="5" t="s">
        <v>307</v>
      </c>
      <c r="CT1427" s="5" t="s">
        <v>307</v>
      </c>
      <c r="CU1427" s="5" t="s">
        <v>260</v>
      </c>
      <c r="CX1427" s="7">
        <f>1</f>
        <v>1</v>
      </c>
      <c r="CY1427" s="7">
        <f>0</f>
        <v>0</v>
      </c>
      <c r="DA1427" s="7">
        <f>0</f>
        <v>0</v>
      </c>
      <c r="DC1427" s="5" t="s">
        <v>812</v>
      </c>
      <c r="DD1427" s="5" t="s">
        <v>240</v>
      </c>
      <c r="DF1427" s="5" t="s">
        <v>812</v>
      </c>
      <c r="DG1427" s="7">
        <f>1012</f>
        <v>1012</v>
      </c>
      <c r="DI1427" s="5" t="s">
        <v>240</v>
      </c>
      <c r="DJ1427" s="5" t="s">
        <v>240</v>
      </c>
      <c r="DK1427" s="5" t="s">
        <v>240</v>
      </c>
      <c r="DL1427" s="5" t="s">
        <v>240</v>
      </c>
      <c r="DP1427" s="5" t="s">
        <v>240</v>
      </c>
      <c r="DQ1427" s="5" t="s">
        <v>240</v>
      </c>
      <c r="DR1427" s="5" t="s">
        <v>240</v>
      </c>
      <c r="DS1427" s="5" t="s">
        <v>240</v>
      </c>
      <c r="DV1427" s="5" t="s">
        <v>813</v>
      </c>
      <c r="DW1427" s="5" t="s">
        <v>2985</v>
      </c>
      <c r="HO1427" s="5" t="s">
        <v>312</v>
      </c>
    </row>
    <row r="1428" spans="1:223" x14ac:dyDescent="0.4">
      <c r="A1428" s="5">
        <v>3103</v>
      </c>
      <c r="B1428" s="5">
        <v>1</v>
      </c>
      <c r="C1428" s="5">
        <v>1</v>
      </c>
      <c r="D1428" s="5" t="s">
        <v>297</v>
      </c>
      <c r="E1428" s="5" t="s">
        <v>245</v>
      </c>
      <c r="F1428" s="5" t="s">
        <v>254</v>
      </c>
      <c r="G1428" s="5" t="s">
        <v>240</v>
      </c>
      <c r="H1428" s="6" t="s">
        <v>4769</v>
      </c>
      <c r="I1428" s="5" t="s">
        <v>295</v>
      </c>
      <c r="J1428" s="8">
        <f>3656</f>
        <v>3656</v>
      </c>
      <c r="K1428" s="5" t="s">
        <v>308</v>
      </c>
      <c r="L1428" s="7">
        <f>1</f>
        <v>1</v>
      </c>
      <c r="M1428" s="7">
        <f>1</f>
        <v>1</v>
      </c>
      <c r="N1428" s="5" t="s">
        <v>242</v>
      </c>
      <c r="O1428" s="5">
        <v>1</v>
      </c>
      <c r="P1428" s="5" t="s">
        <v>294</v>
      </c>
      <c r="Q1428" s="5" t="s">
        <v>266</v>
      </c>
      <c r="R1428" s="5" t="s">
        <v>240</v>
      </c>
      <c r="S1428" s="5" t="s">
        <v>240</v>
      </c>
      <c r="T1428" s="5" t="s">
        <v>296</v>
      </c>
      <c r="U1428" s="5" t="s">
        <v>244</v>
      </c>
      <c r="V1428" s="5" t="s">
        <v>240</v>
      </c>
      <c r="Y1428" s="5" t="s">
        <v>240</v>
      </c>
      <c r="Z1428" s="6" t="s">
        <v>298</v>
      </c>
      <c r="AB1428" s="6" t="s">
        <v>240</v>
      </c>
      <c r="AE1428" s="6" t="s">
        <v>299</v>
      </c>
      <c r="AF1428" s="5" t="s">
        <v>248</v>
      </c>
      <c r="AG1428" s="5" t="s">
        <v>249</v>
      </c>
      <c r="AW1428" s="5" t="s">
        <v>251</v>
      </c>
      <c r="AX1428" s="5" t="s">
        <v>240</v>
      </c>
      <c r="AY1428" s="5" t="s">
        <v>253</v>
      </c>
      <c r="AZ1428" s="5" t="s">
        <v>240</v>
      </c>
      <c r="BA1428" s="5" t="s">
        <v>255</v>
      </c>
      <c r="BB1428" s="5" t="s">
        <v>240</v>
      </c>
      <c r="BD1428" s="5" t="s">
        <v>240</v>
      </c>
      <c r="BF1428" s="5" t="s">
        <v>301</v>
      </c>
      <c r="BG1428" s="6" t="s">
        <v>299</v>
      </c>
      <c r="BH1428" s="5" t="s">
        <v>302</v>
      </c>
      <c r="BI1428" s="5" t="s">
        <v>303</v>
      </c>
      <c r="BJ1428" s="5" t="s">
        <v>240</v>
      </c>
      <c r="BK1428" s="8">
        <f>0</f>
        <v>0</v>
      </c>
      <c r="BL1428" s="7">
        <f>0</f>
        <v>0</v>
      </c>
      <c r="BM1428" s="5" t="s">
        <v>258</v>
      </c>
      <c r="BN1428" s="5" t="s">
        <v>259</v>
      </c>
      <c r="CB1428" s="5" t="s">
        <v>240</v>
      </c>
      <c r="CC1428" s="5" t="s">
        <v>240</v>
      </c>
      <c r="CG1428" s="5" t="s">
        <v>304</v>
      </c>
      <c r="CH1428" s="5" t="s">
        <v>305</v>
      </c>
      <c r="CI1428" s="5" t="s">
        <v>240</v>
      </c>
      <c r="CL1428" s="6" t="s">
        <v>261</v>
      </c>
      <c r="CM1428" s="5" t="s">
        <v>240</v>
      </c>
      <c r="CN1428" s="5" t="s">
        <v>263</v>
      </c>
      <c r="CO1428" s="5" t="s">
        <v>240</v>
      </c>
      <c r="CP1428" s="5" t="s">
        <v>240</v>
      </c>
      <c r="CQ1428" s="5">
        <v>0</v>
      </c>
      <c r="CR1428" s="5" t="s">
        <v>306</v>
      </c>
      <c r="CS1428" s="5" t="s">
        <v>307</v>
      </c>
      <c r="CT1428" s="5" t="s">
        <v>307</v>
      </c>
      <c r="CU1428" s="5" t="s">
        <v>260</v>
      </c>
      <c r="CX1428" s="7">
        <f>1</f>
        <v>1</v>
      </c>
      <c r="CY1428" s="7">
        <f>0</f>
        <v>0</v>
      </c>
      <c r="DA1428" s="7">
        <f>0</f>
        <v>0</v>
      </c>
      <c r="DC1428" s="5" t="s">
        <v>812</v>
      </c>
      <c r="DD1428" s="5" t="s">
        <v>240</v>
      </c>
      <c r="DF1428" s="5" t="s">
        <v>812</v>
      </c>
      <c r="DG1428" s="7">
        <f>1278</f>
        <v>1278</v>
      </c>
      <c r="DI1428" s="5" t="s">
        <v>240</v>
      </c>
      <c r="DJ1428" s="5" t="s">
        <v>240</v>
      </c>
      <c r="DK1428" s="5" t="s">
        <v>240</v>
      </c>
      <c r="DL1428" s="5" t="s">
        <v>240</v>
      </c>
      <c r="DP1428" s="5" t="s">
        <v>240</v>
      </c>
      <c r="DQ1428" s="5" t="s">
        <v>240</v>
      </c>
      <c r="DR1428" s="5" t="s">
        <v>240</v>
      </c>
      <c r="DS1428" s="5" t="s">
        <v>240</v>
      </c>
      <c r="DV1428" s="5" t="s">
        <v>813</v>
      </c>
      <c r="DW1428" s="5" t="s">
        <v>2987</v>
      </c>
      <c r="HO1428" s="5" t="s">
        <v>312</v>
      </c>
    </row>
    <row r="1429" spans="1:223" x14ac:dyDescent="0.4">
      <c r="A1429" s="5">
        <v>3104</v>
      </c>
      <c r="B1429" s="5">
        <v>1</v>
      </c>
      <c r="C1429" s="5">
        <v>1</v>
      </c>
      <c r="D1429" s="5" t="s">
        <v>297</v>
      </c>
      <c r="E1429" s="5" t="s">
        <v>245</v>
      </c>
      <c r="F1429" s="5" t="s">
        <v>254</v>
      </c>
      <c r="G1429" s="5" t="s">
        <v>240</v>
      </c>
      <c r="H1429" s="6" t="s">
        <v>4768</v>
      </c>
      <c r="I1429" s="5" t="s">
        <v>295</v>
      </c>
      <c r="J1429" s="8">
        <f>37</f>
        <v>37</v>
      </c>
      <c r="K1429" s="5" t="s">
        <v>308</v>
      </c>
      <c r="L1429" s="7">
        <f>1</f>
        <v>1</v>
      </c>
      <c r="M1429" s="7">
        <f>1</f>
        <v>1</v>
      </c>
      <c r="N1429" s="5" t="s">
        <v>242</v>
      </c>
      <c r="O1429" s="5">
        <v>1</v>
      </c>
      <c r="P1429" s="5" t="s">
        <v>294</v>
      </c>
      <c r="Q1429" s="5" t="s">
        <v>266</v>
      </c>
      <c r="R1429" s="5" t="s">
        <v>240</v>
      </c>
      <c r="S1429" s="5" t="s">
        <v>240</v>
      </c>
      <c r="T1429" s="5" t="s">
        <v>296</v>
      </c>
      <c r="U1429" s="5" t="s">
        <v>244</v>
      </c>
      <c r="V1429" s="5" t="s">
        <v>240</v>
      </c>
      <c r="Y1429" s="5" t="s">
        <v>240</v>
      </c>
      <c r="Z1429" s="6" t="s">
        <v>298</v>
      </c>
      <c r="AB1429" s="6" t="s">
        <v>240</v>
      </c>
      <c r="AE1429" s="6" t="s">
        <v>299</v>
      </c>
      <c r="AF1429" s="5" t="s">
        <v>248</v>
      </c>
      <c r="AG1429" s="5" t="s">
        <v>249</v>
      </c>
      <c r="AW1429" s="5" t="s">
        <v>251</v>
      </c>
      <c r="AX1429" s="5" t="s">
        <v>240</v>
      </c>
      <c r="AY1429" s="5" t="s">
        <v>253</v>
      </c>
      <c r="AZ1429" s="5" t="s">
        <v>240</v>
      </c>
      <c r="BA1429" s="5" t="s">
        <v>255</v>
      </c>
      <c r="BB1429" s="5" t="s">
        <v>240</v>
      </c>
      <c r="BD1429" s="5" t="s">
        <v>240</v>
      </c>
      <c r="BF1429" s="5" t="s">
        <v>301</v>
      </c>
      <c r="BG1429" s="6" t="s">
        <v>299</v>
      </c>
      <c r="BH1429" s="5" t="s">
        <v>302</v>
      </c>
      <c r="BI1429" s="5" t="s">
        <v>303</v>
      </c>
      <c r="BJ1429" s="5" t="s">
        <v>240</v>
      </c>
      <c r="BK1429" s="8">
        <f>0</f>
        <v>0</v>
      </c>
      <c r="BL1429" s="7">
        <f>0</f>
        <v>0</v>
      </c>
      <c r="BM1429" s="5" t="s">
        <v>258</v>
      </c>
      <c r="BN1429" s="5" t="s">
        <v>259</v>
      </c>
      <c r="CB1429" s="5" t="s">
        <v>240</v>
      </c>
      <c r="CC1429" s="5" t="s">
        <v>240</v>
      </c>
      <c r="CG1429" s="5" t="s">
        <v>304</v>
      </c>
      <c r="CH1429" s="5" t="s">
        <v>305</v>
      </c>
      <c r="CI1429" s="5" t="s">
        <v>240</v>
      </c>
      <c r="CL1429" s="6" t="s">
        <v>261</v>
      </c>
      <c r="CM1429" s="5" t="s">
        <v>240</v>
      </c>
      <c r="CN1429" s="5" t="s">
        <v>263</v>
      </c>
      <c r="CO1429" s="5" t="s">
        <v>240</v>
      </c>
      <c r="CP1429" s="5" t="s">
        <v>240</v>
      </c>
      <c r="CQ1429" s="5">
        <v>0</v>
      </c>
      <c r="CR1429" s="5" t="s">
        <v>306</v>
      </c>
      <c r="CS1429" s="5" t="s">
        <v>307</v>
      </c>
      <c r="CT1429" s="5" t="s">
        <v>307</v>
      </c>
      <c r="CU1429" s="5" t="s">
        <v>260</v>
      </c>
      <c r="CX1429" s="7">
        <f>1</f>
        <v>1</v>
      </c>
      <c r="CY1429" s="7">
        <f>0</f>
        <v>0</v>
      </c>
      <c r="DA1429" s="7">
        <f>0</f>
        <v>0</v>
      </c>
      <c r="DC1429" s="5" t="s">
        <v>812</v>
      </c>
      <c r="DD1429" s="5" t="s">
        <v>240</v>
      </c>
      <c r="DF1429" s="5" t="s">
        <v>812</v>
      </c>
      <c r="DG1429" s="7">
        <f>1558</f>
        <v>1558</v>
      </c>
      <c r="DI1429" s="5" t="s">
        <v>240</v>
      </c>
      <c r="DJ1429" s="5" t="s">
        <v>240</v>
      </c>
      <c r="DK1429" s="5" t="s">
        <v>240</v>
      </c>
      <c r="DL1429" s="5" t="s">
        <v>240</v>
      </c>
      <c r="DP1429" s="5" t="s">
        <v>240</v>
      </c>
      <c r="DQ1429" s="5" t="s">
        <v>240</v>
      </c>
      <c r="DR1429" s="5" t="s">
        <v>240</v>
      </c>
      <c r="DS1429" s="5" t="s">
        <v>240</v>
      </c>
      <c r="DV1429" s="5" t="s">
        <v>813</v>
      </c>
      <c r="DW1429" s="5" t="s">
        <v>2989</v>
      </c>
      <c r="HO1429" s="5" t="s">
        <v>312</v>
      </c>
    </row>
    <row r="1430" spans="1:223" x14ac:dyDescent="0.4">
      <c r="A1430" s="5">
        <v>3105</v>
      </c>
      <c r="B1430" s="5">
        <v>1</v>
      </c>
      <c r="C1430" s="5">
        <v>1</v>
      </c>
      <c r="D1430" s="5" t="s">
        <v>297</v>
      </c>
      <c r="E1430" s="5" t="s">
        <v>245</v>
      </c>
      <c r="F1430" s="5" t="s">
        <v>254</v>
      </c>
      <c r="G1430" s="5" t="s">
        <v>240</v>
      </c>
      <c r="H1430" s="6" t="s">
        <v>4767</v>
      </c>
      <c r="I1430" s="5" t="s">
        <v>295</v>
      </c>
      <c r="J1430" s="8">
        <f>104</f>
        <v>104</v>
      </c>
      <c r="K1430" s="5" t="s">
        <v>308</v>
      </c>
      <c r="L1430" s="7">
        <f>1</f>
        <v>1</v>
      </c>
      <c r="M1430" s="7">
        <f>1</f>
        <v>1</v>
      </c>
      <c r="N1430" s="5" t="s">
        <v>242</v>
      </c>
      <c r="O1430" s="5">
        <v>1</v>
      </c>
      <c r="P1430" s="5" t="s">
        <v>294</v>
      </c>
      <c r="Q1430" s="5" t="s">
        <v>266</v>
      </c>
      <c r="R1430" s="5" t="s">
        <v>240</v>
      </c>
      <c r="S1430" s="5" t="s">
        <v>240</v>
      </c>
      <c r="T1430" s="5" t="s">
        <v>296</v>
      </c>
      <c r="U1430" s="5" t="s">
        <v>244</v>
      </c>
      <c r="V1430" s="5" t="s">
        <v>240</v>
      </c>
      <c r="Y1430" s="5" t="s">
        <v>240</v>
      </c>
      <c r="Z1430" s="6" t="s">
        <v>298</v>
      </c>
      <c r="AB1430" s="6" t="s">
        <v>240</v>
      </c>
      <c r="AE1430" s="6" t="s">
        <v>299</v>
      </c>
      <c r="AF1430" s="5" t="s">
        <v>248</v>
      </c>
      <c r="AG1430" s="5" t="s">
        <v>249</v>
      </c>
      <c r="AW1430" s="5" t="s">
        <v>251</v>
      </c>
      <c r="AX1430" s="5" t="s">
        <v>240</v>
      </c>
      <c r="AY1430" s="5" t="s">
        <v>253</v>
      </c>
      <c r="AZ1430" s="5" t="s">
        <v>240</v>
      </c>
      <c r="BA1430" s="5" t="s">
        <v>255</v>
      </c>
      <c r="BB1430" s="5" t="s">
        <v>240</v>
      </c>
      <c r="BD1430" s="5" t="s">
        <v>240</v>
      </c>
      <c r="BF1430" s="5" t="s">
        <v>301</v>
      </c>
      <c r="BG1430" s="6" t="s">
        <v>299</v>
      </c>
      <c r="BH1430" s="5" t="s">
        <v>302</v>
      </c>
      <c r="BI1430" s="5" t="s">
        <v>303</v>
      </c>
      <c r="BJ1430" s="5" t="s">
        <v>240</v>
      </c>
      <c r="BK1430" s="8">
        <f>0</f>
        <v>0</v>
      </c>
      <c r="BL1430" s="7">
        <f>0</f>
        <v>0</v>
      </c>
      <c r="BM1430" s="5" t="s">
        <v>258</v>
      </c>
      <c r="BN1430" s="5" t="s">
        <v>259</v>
      </c>
      <c r="CB1430" s="5" t="s">
        <v>240</v>
      </c>
      <c r="CC1430" s="5" t="s">
        <v>240</v>
      </c>
      <c r="CG1430" s="5" t="s">
        <v>304</v>
      </c>
      <c r="CH1430" s="5" t="s">
        <v>305</v>
      </c>
      <c r="CI1430" s="5" t="s">
        <v>240</v>
      </c>
      <c r="CL1430" s="6" t="s">
        <v>261</v>
      </c>
      <c r="CM1430" s="5" t="s">
        <v>240</v>
      </c>
      <c r="CN1430" s="5" t="s">
        <v>263</v>
      </c>
      <c r="CO1430" s="5" t="s">
        <v>240</v>
      </c>
      <c r="CP1430" s="5" t="s">
        <v>240</v>
      </c>
      <c r="CQ1430" s="5">
        <v>0</v>
      </c>
      <c r="CR1430" s="5" t="s">
        <v>306</v>
      </c>
      <c r="CS1430" s="5" t="s">
        <v>307</v>
      </c>
      <c r="CT1430" s="5" t="s">
        <v>307</v>
      </c>
      <c r="CU1430" s="5" t="s">
        <v>260</v>
      </c>
      <c r="CX1430" s="7">
        <f>1</f>
        <v>1</v>
      </c>
      <c r="CY1430" s="7">
        <f>0</f>
        <v>0</v>
      </c>
      <c r="DA1430" s="7">
        <f>0</f>
        <v>0</v>
      </c>
      <c r="DC1430" s="5" t="s">
        <v>812</v>
      </c>
      <c r="DD1430" s="5" t="s">
        <v>240</v>
      </c>
      <c r="DF1430" s="5" t="s">
        <v>812</v>
      </c>
      <c r="DG1430" s="7">
        <f>1028</f>
        <v>1028</v>
      </c>
      <c r="DI1430" s="5" t="s">
        <v>240</v>
      </c>
      <c r="DJ1430" s="5" t="s">
        <v>240</v>
      </c>
      <c r="DK1430" s="5" t="s">
        <v>240</v>
      </c>
      <c r="DL1430" s="5" t="s">
        <v>240</v>
      </c>
      <c r="DP1430" s="5" t="s">
        <v>240</v>
      </c>
      <c r="DQ1430" s="5" t="s">
        <v>240</v>
      </c>
      <c r="DR1430" s="5" t="s">
        <v>240</v>
      </c>
      <c r="DS1430" s="5" t="s">
        <v>240</v>
      </c>
      <c r="DV1430" s="5" t="s">
        <v>813</v>
      </c>
      <c r="DW1430" s="5" t="s">
        <v>2991</v>
      </c>
      <c r="HO1430" s="5" t="s">
        <v>312</v>
      </c>
    </row>
    <row r="1431" spans="1:223" x14ac:dyDescent="0.4">
      <c r="A1431" s="5">
        <v>3106</v>
      </c>
      <c r="B1431" s="5">
        <v>1</v>
      </c>
      <c r="C1431" s="5">
        <v>1</v>
      </c>
      <c r="D1431" s="5" t="s">
        <v>297</v>
      </c>
      <c r="E1431" s="5" t="s">
        <v>245</v>
      </c>
      <c r="F1431" s="5" t="s">
        <v>254</v>
      </c>
      <c r="G1431" s="5" t="s">
        <v>240</v>
      </c>
      <c r="H1431" s="6" t="s">
        <v>4766</v>
      </c>
      <c r="I1431" s="5" t="s">
        <v>295</v>
      </c>
      <c r="J1431" s="8">
        <f>925</f>
        <v>925</v>
      </c>
      <c r="K1431" s="5" t="s">
        <v>308</v>
      </c>
      <c r="L1431" s="7">
        <f>1</f>
        <v>1</v>
      </c>
      <c r="M1431" s="7">
        <f>1</f>
        <v>1</v>
      </c>
      <c r="N1431" s="5" t="s">
        <v>242</v>
      </c>
      <c r="O1431" s="5">
        <v>1</v>
      </c>
      <c r="P1431" s="5" t="s">
        <v>294</v>
      </c>
      <c r="Q1431" s="5" t="s">
        <v>266</v>
      </c>
      <c r="R1431" s="5" t="s">
        <v>240</v>
      </c>
      <c r="S1431" s="5" t="s">
        <v>240</v>
      </c>
      <c r="T1431" s="5" t="s">
        <v>296</v>
      </c>
      <c r="U1431" s="5" t="s">
        <v>244</v>
      </c>
      <c r="V1431" s="5" t="s">
        <v>240</v>
      </c>
      <c r="Y1431" s="5" t="s">
        <v>240</v>
      </c>
      <c r="Z1431" s="6" t="s">
        <v>298</v>
      </c>
      <c r="AB1431" s="6" t="s">
        <v>240</v>
      </c>
      <c r="AE1431" s="6" t="s">
        <v>299</v>
      </c>
      <c r="AF1431" s="5" t="s">
        <v>248</v>
      </c>
      <c r="AG1431" s="5" t="s">
        <v>249</v>
      </c>
      <c r="AW1431" s="5" t="s">
        <v>251</v>
      </c>
      <c r="AX1431" s="5" t="s">
        <v>240</v>
      </c>
      <c r="AY1431" s="5" t="s">
        <v>253</v>
      </c>
      <c r="AZ1431" s="5" t="s">
        <v>240</v>
      </c>
      <c r="BA1431" s="5" t="s">
        <v>255</v>
      </c>
      <c r="BB1431" s="5" t="s">
        <v>240</v>
      </c>
      <c r="BD1431" s="5" t="s">
        <v>240</v>
      </c>
      <c r="BF1431" s="5" t="s">
        <v>301</v>
      </c>
      <c r="BG1431" s="6" t="s">
        <v>299</v>
      </c>
      <c r="BH1431" s="5" t="s">
        <v>302</v>
      </c>
      <c r="BI1431" s="5" t="s">
        <v>303</v>
      </c>
      <c r="BJ1431" s="5" t="s">
        <v>240</v>
      </c>
      <c r="BK1431" s="8">
        <f>0</f>
        <v>0</v>
      </c>
      <c r="BL1431" s="7">
        <f>0</f>
        <v>0</v>
      </c>
      <c r="BM1431" s="5" t="s">
        <v>258</v>
      </c>
      <c r="BN1431" s="5" t="s">
        <v>259</v>
      </c>
      <c r="CB1431" s="5" t="s">
        <v>240</v>
      </c>
      <c r="CC1431" s="5" t="s">
        <v>240</v>
      </c>
      <c r="CG1431" s="5" t="s">
        <v>304</v>
      </c>
      <c r="CH1431" s="5" t="s">
        <v>305</v>
      </c>
      <c r="CI1431" s="5" t="s">
        <v>240</v>
      </c>
      <c r="CL1431" s="6" t="s">
        <v>261</v>
      </c>
      <c r="CM1431" s="5" t="s">
        <v>240</v>
      </c>
      <c r="CN1431" s="5" t="s">
        <v>263</v>
      </c>
      <c r="CO1431" s="5" t="s">
        <v>240</v>
      </c>
      <c r="CP1431" s="5" t="s">
        <v>240</v>
      </c>
      <c r="CQ1431" s="5">
        <v>0</v>
      </c>
      <c r="CR1431" s="5" t="s">
        <v>306</v>
      </c>
      <c r="CS1431" s="5" t="s">
        <v>307</v>
      </c>
      <c r="CT1431" s="5" t="s">
        <v>307</v>
      </c>
      <c r="CU1431" s="5" t="s">
        <v>260</v>
      </c>
      <c r="CX1431" s="7">
        <f>1</f>
        <v>1</v>
      </c>
      <c r="CY1431" s="7">
        <f>0</f>
        <v>0</v>
      </c>
      <c r="DA1431" s="7">
        <f>0</f>
        <v>0</v>
      </c>
      <c r="DC1431" s="5" t="s">
        <v>812</v>
      </c>
      <c r="DD1431" s="5" t="s">
        <v>240</v>
      </c>
      <c r="DF1431" s="5" t="s">
        <v>812</v>
      </c>
      <c r="DG1431" s="7">
        <f>1008</f>
        <v>1008</v>
      </c>
      <c r="DI1431" s="5" t="s">
        <v>240</v>
      </c>
      <c r="DJ1431" s="5" t="s">
        <v>240</v>
      </c>
      <c r="DK1431" s="5" t="s">
        <v>240</v>
      </c>
      <c r="DL1431" s="5" t="s">
        <v>240</v>
      </c>
      <c r="DP1431" s="5" t="s">
        <v>240</v>
      </c>
      <c r="DQ1431" s="5" t="s">
        <v>240</v>
      </c>
      <c r="DR1431" s="5" t="s">
        <v>240</v>
      </c>
      <c r="DS1431" s="5" t="s">
        <v>240</v>
      </c>
      <c r="DV1431" s="5" t="s">
        <v>813</v>
      </c>
      <c r="DW1431" s="5" t="s">
        <v>2993</v>
      </c>
      <c r="HO1431" s="5" t="s">
        <v>312</v>
      </c>
    </row>
    <row r="1432" spans="1:223" x14ac:dyDescent="0.4">
      <c r="A1432" s="5">
        <v>3107</v>
      </c>
      <c r="B1432" s="5">
        <v>1</v>
      </c>
      <c r="C1432" s="5">
        <v>1</v>
      </c>
      <c r="D1432" s="5" t="s">
        <v>297</v>
      </c>
      <c r="E1432" s="5" t="s">
        <v>245</v>
      </c>
      <c r="F1432" s="5" t="s">
        <v>254</v>
      </c>
      <c r="G1432" s="5" t="s">
        <v>240</v>
      </c>
      <c r="H1432" s="6" t="s">
        <v>4765</v>
      </c>
      <c r="I1432" s="5" t="s">
        <v>295</v>
      </c>
      <c r="J1432" s="8">
        <f>1511</f>
        <v>1511</v>
      </c>
      <c r="K1432" s="5" t="s">
        <v>308</v>
      </c>
      <c r="L1432" s="7">
        <f>1</f>
        <v>1</v>
      </c>
      <c r="M1432" s="7">
        <f>1</f>
        <v>1</v>
      </c>
      <c r="N1432" s="5" t="s">
        <v>242</v>
      </c>
      <c r="O1432" s="5">
        <v>1</v>
      </c>
      <c r="P1432" s="5" t="s">
        <v>294</v>
      </c>
      <c r="Q1432" s="5" t="s">
        <v>266</v>
      </c>
      <c r="R1432" s="5" t="s">
        <v>240</v>
      </c>
      <c r="S1432" s="5" t="s">
        <v>240</v>
      </c>
      <c r="T1432" s="5" t="s">
        <v>296</v>
      </c>
      <c r="U1432" s="5" t="s">
        <v>244</v>
      </c>
      <c r="V1432" s="5" t="s">
        <v>240</v>
      </c>
      <c r="Y1432" s="5" t="s">
        <v>240</v>
      </c>
      <c r="Z1432" s="6" t="s">
        <v>298</v>
      </c>
      <c r="AB1432" s="6" t="s">
        <v>240</v>
      </c>
      <c r="AE1432" s="6" t="s">
        <v>299</v>
      </c>
      <c r="AF1432" s="5" t="s">
        <v>248</v>
      </c>
      <c r="AG1432" s="5" t="s">
        <v>249</v>
      </c>
      <c r="AW1432" s="5" t="s">
        <v>251</v>
      </c>
      <c r="AX1432" s="5" t="s">
        <v>240</v>
      </c>
      <c r="AY1432" s="5" t="s">
        <v>253</v>
      </c>
      <c r="AZ1432" s="5" t="s">
        <v>240</v>
      </c>
      <c r="BA1432" s="5" t="s">
        <v>255</v>
      </c>
      <c r="BB1432" s="5" t="s">
        <v>240</v>
      </c>
      <c r="BD1432" s="5" t="s">
        <v>240</v>
      </c>
      <c r="BF1432" s="5" t="s">
        <v>301</v>
      </c>
      <c r="BG1432" s="6" t="s">
        <v>299</v>
      </c>
      <c r="BH1432" s="5" t="s">
        <v>302</v>
      </c>
      <c r="BI1432" s="5" t="s">
        <v>303</v>
      </c>
      <c r="BJ1432" s="5" t="s">
        <v>240</v>
      </c>
      <c r="BK1432" s="8">
        <f>0</f>
        <v>0</v>
      </c>
      <c r="BL1432" s="7">
        <f>0</f>
        <v>0</v>
      </c>
      <c r="BM1432" s="5" t="s">
        <v>258</v>
      </c>
      <c r="BN1432" s="5" t="s">
        <v>259</v>
      </c>
      <c r="CB1432" s="5" t="s">
        <v>240</v>
      </c>
      <c r="CC1432" s="5" t="s">
        <v>240</v>
      </c>
      <c r="CG1432" s="5" t="s">
        <v>304</v>
      </c>
      <c r="CH1432" s="5" t="s">
        <v>305</v>
      </c>
      <c r="CI1432" s="5" t="s">
        <v>240</v>
      </c>
      <c r="CL1432" s="6" t="s">
        <v>261</v>
      </c>
      <c r="CM1432" s="5" t="s">
        <v>240</v>
      </c>
      <c r="CN1432" s="5" t="s">
        <v>263</v>
      </c>
      <c r="CO1432" s="5" t="s">
        <v>240</v>
      </c>
      <c r="CP1432" s="5" t="s">
        <v>240</v>
      </c>
      <c r="CQ1432" s="5">
        <v>0</v>
      </c>
      <c r="CR1432" s="5" t="s">
        <v>306</v>
      </c>
      <c r="CS1432" s="5" t="s">
        <v>307</v>
      </c>
      <c r="CT1432" s="5" t="s">
        <v>307</v>
      </c>
      <c r="CU1432" s="5" t="s">
        <v>260</v>
      </c>
      <c r="CX1432" s="7">
        <f>1</f>
        <v>1</v>
      </c>
      <c r="CY1432" s="7">
        <f>0</f>
        <v>0</v>
      </c>
      <c r="DA1432" s="7">
        <f>0</f>
        <v>0</v>
      </c>
      <c r="DC1432" s="5" t="s">
        <v>812</v>
      </c>
      <c r="DD1432" s="5" t="s">
        <v>240</v>
      </c>
      <c r="DF1432" s="5" t="s">
        <v>812</v>
      </c>
      <c r="DG1432" s="7">
        <f>1056</f>
        <v>1056</v>
      </c>
      <c r="DI1432" s="5" t="s">
        <v>240</v>
      </c>
      <c r="DJ1432" s="5" t="s">
        <v>240</v>
      </c>
      <c r="DK1432" s="5" t="s">
        <v>240</v>
      </c>
      <c r="DL1432" s="5" t="s">
        <v>240</v>
      </c>
      <c r="DP1432" s="5" t="s">
        <v>240</v>
      </c>
      <c r="DQ1432" s="5" t="s">
        <v>240</v>
      </c>
      <c r="DR1432" s="5" t="s">
        <v>240</v>
      </c>
      <c r="DS1432" s="5" t="s">
        <v>240</v>
      </c>
      <c r="DV1432" s="5" t="s">
        <v>813</v>
      </c>
      <c r="DW1432" s="5" t="s">
        <v>2995</v>
      </c>
      <c r="HO1432" s="5" t="s">
        <v>312</v>
      </c>
    </row>
    <row r="1433" spans="1:223" x14ac:dyDescent="0.4">
      <c r="A1433" s="5">
        <v>3108</v>
      </c>
      <c r="B1433" s="5">
        <v>1</v>
      </c>
      <c r="C1433" s="5">
        <v>1</v>
      </c>
      <c r="D1433" s="5" t="s">
        <v>297</v>
      </c>
      <c r="E1433" s="5" t="s">
        <v>245</v>
      </c>
      <c r="F1433" s="5" t="s">
        <v>254</v>
      </c>
      <c r="G1433" s="5" t="s">
        <v>240</v>
      </c>
      <c r="H1433" s="6" t="s">
        <v>4764</v>
      </c>
      <c r="I1433" s="5" t="s">
        <v>295</v>
      </c>
      <c r="J1433" s="8">
        <f>1364</f>
        <v>1364</v>
      </c>
      <c r="K1433" s="5" t="s">
        <v>308</v>
      </c>
      <c r="L1433" s="7">
        <f>1</f>
        <v>1</v>
      </c>
      <c r="M1433" s="7">
        <f>1</f>
        <v>1</v>
      </c>
      <c r="N1433" s="5" t="s">
        <v>242</v>
      </c>
      <c r="O1433" s="5">
        <v>1</v>
      </c>
      <c r="P1433" s="5" t="s">
        <v>294</v>
      </c>
      <c r="Q1433" s="5" t="s">
        <v>266</v>
      </c>
      <c r="R1433" s="5" t="s">
        <v>240</v>
      </c>
      <c r="S1433" s="5" t="s">
        <v>240</v>
      </c>
      <c r="T1433" s="5" t="s">
        <v>296</v>
      </c>
      <c r="U1433" s="5" t="s">
        <v>244</v>
      </c>
      <c r="V1433" s="5" t="s">
        <v>240</v>
      </c>
      <c r="Y1433" s="5" t="s">
        <v>240</v>
      </c>
      <c r="Z1433" s="6" t="s">
        <v>298</v>
      </c>
      <c r="AB1433" s="6" t="s">
        <v>240</v>
      </c>
      <c r="AE1433" s="6" t="s">
        <v>299</v>
      </c>
      <c r="AF1433" s="5" t="s">
        <v>248</v>
      </c>
      <c r="AG1433" s="5" t="s">
        <v>249</v>
      </c>
      <c r="AW1433" s="5" t="s">
        <v>251</v>
      </c>
      <c r="AX1433" s="5" t="s">
        <v>240</v>
      </c>
      <c r="AY1433" s="5" t="s">
        <v>253</v>
      </c>
      <c r="AZ1433" s="5" t="s">
        <v>240</v>
      </c>
      <c r="BA1433" s="5" t="s">
        <v>255</v>
      </c>
      <c r="BB1433" s="5" t="s">
        <v>240</v>
      </c>
      <c r="BD1433" s="5" t="s">
        <v>240</v>
      </c>
      <c r="BF1433" s="5" t="s">
        <v>301</v>
      </c>
      <c r="BG1433" s="6" t="s">
        <v>299</v>
      </c>
      <c r="BH1433" s="5" t="s">
        <v>302</v>
      </c>
      <c r="BI1433" s="5" t="s">
        <v>303</v>
      </c>
      <c r="BJ1433" s="5" t="s">
        <v>240</v>
      </c>
      <c r="BK1433" s="8">
        <f>0</f>
        <v>0</v>
      </c>
      <c r="BL1433" s="7">
        <f>0</f>
        <v>0</v>
      </c>
      <c r="BM1433" s="5" t="s">
        <v>258</v>
      </c>
      <c r="BN1433" s="5" t="s">
        <v>259</v>
      </c>
      <c r="CB1433" s="5" t="s">
        <v>240</v>
      </c>
      <c r="CC1433" s="5" t="s">
        <v>240</v>
      </c>
      <c r="CG1433" s="5" t="s">
        <v>304</v>
      </c>
      <c r="CH1433" s="5" t="s">
        <v>305</v>
      </c>
      <c r="CI1433" s="5" t="s">
        <v>240</v>
      </c>
      <c r="CL1433" s="6" t="s">
        <v>261</v>
      </c>
      <c r="CM1433" s="5" t="s">
        <v>240</v>
      </c>
      <c r="CN1433" s="5" t="s">
        <v>263</v>
      </c>
      <c r="CO1433" s="5" t="s">
        <v>240</v>
      </c>
      <c r="CP1433" s="5" t="s">
        <v>240</v>
      </c>
      <c r="CQ1433" s="5">
        <v>0</v>
      </c>
      <c r="CR1433" s="5" t="s">
        <v>306</v>
      </c>
      <c r="CS1433" s="5" t="s">
        <v>307</v>
      </c>
      <c r="CT1433" s="5" t="s">
        <v>307</v>
      </c>
      <c r="CU1433" s="5" t="s">
        <v>260</v>
      </c>
      <c r="CX1433" s="7">
        <f>1</f>
        <v>1</v>
      </c>
      <c r="CY1433" s="7">
        <f>0</f>
        <v>0</v>
      </c>
      <c r="DA1433" s="7">
        <f>0</f>
        <v>0</v>
      </c>
      <c r="DC1433" s="5" t="s">
        <v>812</v>
      </c>
      <c r="DD1433" s="5" t="s">
        <v>240</v>
      </c>
      <c r="DF1433" s="5" t="s">
        <v>812</v>
      </c>
      <c r="DG1433" s="7">
        <f>167</f>
        <v>167</v>
      </c>
      <c r="DI1433" s="5" t="s">
        <v>240</v>
      </c>
      <c r="DJ1433" s="5" t="s">
        <v>240</v>
      </c>
      <c r="DK1433" s="5" t="s">
        <v>240</v>
      </c>
      <c r="DL1433" s="5" t="s">
        <v>240</v>
      </c>
      <c r="DP1433" s="5" t="s">
        <v>240</v>
      </c>
      <c r="DQ1433" s="5" t="s">
        <v>240</v>
      </c>
      <c r="DR1433" s="5" t="s">
        <v>240</v>
      </c>
      <c r="DS1433" s="5" t="s">
        <v>240</v>
      </c>
      <c r="DV1433" s="5" t="s">
        <v>813</v>
      </c>
      <c r="DW1433" s="5" t="s">
        <v>2997</v>
      </c>
      <c r="HO1433" s="5" t="s">
        <v>312</v>
      </c>
    </row>
    <row r="1434" spans="1:223" x14ac:dyDescent="0.4">
      <c r="A1434" s="5">
        <v>3109</v>
      </c>
      <c r="B1434" s="5">
        <v>1</v>
      </c>
      <c r="C1434" s="5">
        <v>1</v>
      </c>
      <c r="D1434" s="5" t="s">
        <v>297</v>
      </c>
      <c r="E1434" s="5" t="s">
        <v>245</v>
      </c>
      <c r="F1434" s="5" t="s">
        <v>254</v>
      </c>
      <c r="G1434" s="5" t="s">
        <v>240</v>
      </c>
      <c r="H1434" s="6" t="s">
        <v>4763</v>
      </c>
      <c r="I1434" s="5" t="s">
        <v>295</v>
      </c>
      <c r="J1434" s="8">
        <f>358</f>
        <v>358</v>
      </c>
      <c r="K1434" s="5" t="s">
        <v>308</v>
      </c>
      <c r="L1434" s="7">
        <f>1</f>
        <v>1</v>
      </c>
      <c r="M1434" s="7">
        <f>1</f>
        <v>1</v>
      </c>
      <c r="N1434" s="5" t="s">
        <v>242</v>
      </c>
      <c r="O1434" s="5">
        <v>1</v>
      </c>
      <c r="P1434" s="5" t="s">
        <v>294</v>
      </c>
      <c r="Q1434" s="5" t="s">
        <v>266</v>
      </c>
      <c r="R1434" s="5" t="s">
        <v>240</v>
      </c>
      <c r="S1434" s="5" t="s">
        <v>240</v>
      </c>
      <c r="T1434" s="5" t="s">
        <v>296</v>
      </c>
      <c r="U1434" s="5" t="s">
        <v>244</v>
      </c>
      <c r="V1434" s="5" t="s">
        <v>240</v>
      </c>
      <c r="Y1434" s="5" t="s">
        <v>240</v>
      </c>
      <c r="Z1434" s="6" t="s">
        <v>298</v>
      </c>
      <c r="AB1434" s="6" t="s">
        <v>240</v>
      </c>
      <c r="AE1434" s="6" t="s">
        <v>299</v>
      </c>
      <c r="AF1434" s="5" t="s">
        <v>248</v>
      </c>
      <c r="AG1434" s="5" t="s">
        <v>249</v>
      </c>
      <c r="AW1434" s="5" t="s">
        <v>251</v>
      </c>
      <c r="AX1434" s="5" t="s">
        <v>240</v>
      </c>
      <c r="AY1434" s="5" t="s">
        <v>253</v>
      </c>
      <c r="AZ1434" s="5" t="s">
        <v>240</v>
      </c>
      <c r="BA1434" s="5" t="s">
        <v>255</v>
      </c>
      <c r="BB1434" s="5" t="s">
        <v>240</v>
      </c>
      <c r="BD1434" s="5" t="s">
        <v>240</v>
      </c>
      <c r="BF1434" s="5" t="s">
        <v>301</v>
      </c>
      <c r="BG1434" s="6" t="s">
        <v>299</v>
      </c>
      <c r="BH1434" s="5" t="s">
        <v>302</v>
      </c>
      <c r="BI1434" s="5" t="s">
        <v>303</v>
      </c>
      <c r="BJ1434" s="5" t="s">
        <v>240</v>
      </c>
      <c r="BK1434" s="8">
        <f>0</f>
        <v>0</v>
      </c>
      <c r="BL1434" s="7">
        <f>0</f>
        <v>0</v>
      </c>
      <c r="BM1434" s="5" t="s">
        <v>258</v>
      </c>
      <c r="BN1434" s="5" t="s">
        <v>259</v>
      </c>
      <c r="CB1434" s="5" t="s">
        <v>240</v>
      </c>
      <c r="CC1434" s="5" t="s">
        <v>240</v>
      </c>
      <c r="CG1434" s="5" t="s">
        <v>304</v>
      </c>
      <c r="CH1434" s="5" t="s">
        <v>305</v>
      </c>
      <c r="CI1434" s="5" t="s">
        <v>240</v>
      </c>
      <c r="CL1434" s="6" t="s">
        <v>261</v>
      </c>
      <c r="CM1434" s="5" t="s">
        <v>240</v>
      </c>
      <c r="CN1434" s="5" t="s">
        <v>263</v>
      </c>
      <c r="CO1434" s="5" t="s">
        <v>240</v>
      </c>
      <c r="CP1434" s="5" t="s">
        <v>240</v>
      </c>
      <c r="CQ1434" s="5">
        <v>0</v>
      </c>
      <c r="CR1434" s="5" t="s">
        <v>306</v>
      </c>
      <c r="CS1434" s="5" t="s">
        <v>307</v>
      </c>
      <c r="CT1434" s="5" t="s">
        <v>307</v>
      </c>
      <c r="CU1434" s="5" t="s">
        <v>260</v>
      </c>
      <c r="CX1434" s="7">
        <f>1</f>
        <v>1</v>
      </c>
      <c r="CY1434" s="7">
        <f>0</f>
        <v>0</v>
      </c>
      <c r="DA1434" s="7">
        <f>0</f>
        <v>0</v>
      </c>
      <c r="DC1434" s="5" t="s">
        <v>812</v>
      </c>
      <c r="DD1434" s="5" t="s">
        <v>240</v>
      </c>
      <c r="DF1434" s="5" t="s">
        <v>812</v>
      </c>
      <c r="DG1434" s="7">
        <f>232</f>
        <v>232</v>
      </c>
      <c r="DI1434" s="5" t="s">
        <v>240</v>
      </c>
      <c r="DJ1434" s="5" t="s">
        <v>240</v>
      </c>
      <c r="DK1434" s="5" t="s">
        <v>240</v>
      </c>
      <c r="DL1434" s="5" t="s">
        <v>240</v>
      </c>
      <c r="DP1434" s="5" t="s">
        <v>240</v>
      </c>
      <c r="DQ1434" s="5" t="s">
        <v>240</v>
      </c>
      <c r="DR1434" s="5" t="s">
        <v>240</v>
      </c>
      <c r="DS1434" s="5" t="s">
        <v>240</v>
      </c>
      <c r="DV1434" s="5" t="s">
        <v>813</v>
      </c>
      <c r="DW1434" s="5" t="s">
        <v>2999</v>
      </c>
      <c r="HO1434" s="5" t="s">
        <v>312</v>
      </c>
    </row>
    <row r="1435" spans="1:223" x14ac:dyDescent="0.4">
      <c r="A1435" s="5">
        <v>3110</v>
      </c>
      <c r="B1435" s="5">
        <v>1</v>
      </c>
      <c r="C1435" s="5">
        <v>1</v>
      </c>
      <c r="D1435" s="5" t="s">
        <v>297</v>
      </c>
      <c r="E1435" s="5" t="s">
        <v>245</v>
      </c>
      <c r="F1435" s="5" t="s">
        <v>254</v>
      </c>
      <c r="G1435" s="5" t="s">
        <v>240</v>
      </c>
      <c r="H1435" s="6" t="s">
        <v>4762</v>
      </c>
      <c r="I1435" s="5" t="s">
        <v>295</v>
      </c>
      <c r="J1435" s="8">
        <f>1704</f>
        <v>1704</v>
      </c>
      <c r="K1435" s="5" t="s">
        <v>308</v>
      </c>
      <c r="L1435" s="7">
        <f>1</f>
        <v>1</v>
      </c>
      <c r="M1435" s="7">
        <f>1</f>
        <v>1</v>
      </c>
      <c r="N1435" s="5" t="s">
        <v>242</v>
      </c>
      <c r="O1435" s="5">
        <v>1</v>
      </c>
      <c r="P1435" s="5" t="s">
        <v>294</v>
      </c>
      <c r="Q1435" s="5" t="s">
        <v>266</v>
      </c>
      <c r="R1435" s="5" t="s">
        <v>240</v>
      </c>
      <c r="S1435" s="5" t="s">
        <v>240</v>
      </c>
      <c r="T1435" s="5" t="s">
        <v>296</v>
      </c>
      <c r="U1435" s="5" t="s">
        <v>244</v>
      </c>
      <c r="V1435" s="5" t="s">
        <v>240</v>
      </c>
      <c r="Y1435" s="5" t="s">
        <v>240</v>
      </c>
      <c r="Z1435" s="6" t="s">
        <v>298</v>
      </c>
      <c r="AB1435" s="6" t="s">
        <v>240</v>
      </c>
      <c r="AE1435" s="6" t="s">
        <v>299</v>
      </c>
      <c r="AF1435" s="5" t="s">
        <v>248</v>
      </c>
      <c r="AG1435" s="5" t="s">
        <v>249</v>
      </c>
      <c r="AW1435" s="5" t="s">
        <v>251</v>
      </c>
      <c r="AX1435" s="5" t="s">
        <v>240</v>
      </c>
      <c r="AY1435" s="5" t="s">
        <v>253</v>
      </c>
      <c r="AZ1435" s="5" t="s">
        <v>240</v>
      </c>
      <c r="BA1435" s="5" t="s">
        <v>255</v>
      </c>
      <c r="BB1435" s="5" t="s">
        <v>240</v>
      </c>
      <c r="BD1435" s="5" t="s">
        <v>240</v>
      </c>
      <c r="BF1435" s="5" t="s">
        <v>301</v>
      </c>
      <c r="BG1435" s="6" t="s">
        <v>299</v>
      </c>
      <c r="BH1435" s="5" t="s">
        <v>302</v>
      </c>
      <c r="BI1435" s="5" t="s">
        <v>303</v>
      </c>
      <c r="BJ1435" s="5" t="s">
        <v>240</v>
      </c>
      <c r="BK1435" s="8">
        <f>0</f>
        <v>0</v>
      </c>
      <c r="BL1435" s="7">
        <f>0</f>
        <v>0</v>
      </c>
      <c r="BM1435" s="5" t="s">
        <v>258</v>
      </c>
      <c r="BN1435" s="5" t="s">
        <v>259</v>
      </c>
      <c r="CB1435" s="5" t="s">
        <v>240</v>
      </c>
      <c r="CC1435" s="5" t="s">
        <v>240</v>
      </c>
      <c r="CG1435" s="5" t="s">
        <v>304</v>
      </c>
      <c r="CH1435" s="5" t="s">
        <v>305</v>
      </c>
      <c r="CI1435" s="5" t="s">
        <v>240</v>
      </c>
      <c r="CL1435" s="6" t="s">
        <v>261</v>
      </c>
      <c r="CM1435" s="5" t="s">
        <v>240</v>
      </c>
      <c r="CN1435" s="5" t="s">
        <v>263</v>
      </c>
      <c r="CO1435" s="5" t="s">
        <v>240</v>
      </c>
      <c r="CP1435" s="5" t="s">
        <v>240</v>
      </c>
      <c r="CQ1435" s="5">
        <v>0</v>
      </c>
      <c r="CR1435" s="5" t="s">
        <v>306</v>
      </c>
      <c r="CS1435" s="5" t="s">
        <v>307</v>
      </c>
      <c r="CT1435" s="5" t="s">
        <v>307</v>
      </c>
      <c r="CU1435" s="5" t="s">
        <v>260</v>
      </c>
      <c r="CX1435" s="7">
        <f>1</f>
        <v>1</v>
      </c>
      <c r="CY1435" s="7">
        <f>0</f>
        <v>0</v>
      </c>
      <c r="DA1435" s="7">
        <f>0</f>
        <v>0</v>
      </c>
      <c r="DC1435" s="5" t="s">
        <v>812</v>
      </c>
      <c r="DD1435" s="5" t="s">
        <v>240</v>
      </c>
      <c r="DF1435" s="5" t="s">
        <v>812</v>
      </c>
      <c r="DG1435" s="7">
        <f>52</f>
        <v>52</v>
      </c>
      <c r="DI1435" s="5" t="s">
        <v>240</v>
      </c>
      <c r="DJ1435" s="5" t="s">
        <v>240</v>
      </c>
      <c r="DK1435" s="5" t="s">
        <v>240</v>
      </c>
      <c r="DL1435" s="5" t="s">
        <v>240</v>
      </c>
      <c r="DP1435" s="5" t="s">
        <v>240</v>
      </c>
      <c r="DQ1435" s="5" t="s">
        <v>240</v>
      </c>
      <c r="DR1435" s="5" t="s">
        <v>240</v>
      </c>
      <c r="DS1435" s="5" t="s">
        <v>240</v>
      </c>
      <c r="DV1435" s="5" t="s">
        <v>813</v>
      </c>
      <c r="DW1435" s="5" t="s">
        <v>3001</v>
      </c>
      <c r="HO1435" s="5" t="s">
        <v>312</v>
      </c>
    </row>
    <row r="1436" spans="1:223" x14ac:dyDescent="0.4">
      <c r="A1436" s="5">
        <v>3111</v>
      </c>
      <c r="B1436" s="5">
        <v>1</v>
      </c>
      <c r="C1436" s="5">
        <v>1</v>
      </c>
      <c r="D1436" s="5" t="s">
        <v>297</v>
      </c>
      <c r="E1436" s="5" t="s">
        <v>245</v>
      </c>
      <c r="F1436" s="5" t="s">
        <v>254</v>
      </c>
      <c r="G1436" s="5" t="s">
        <v>240</v>
      </c>
      <c r="H1436" s="6" t="s">
        <v>4761</v>
      </c>
      <c r="I1436" s="5" t="s">
        <v>295</v>
      </c>
      <c r="J1436" s="8">
        <f>58</f>
        <v>58</v>
      </c>
      <c r="K1436" s="5" t="s">
        <v>308</v>
      </c>
      <c r="L1436" s="7">
        <f>1</f>
        <v>1</v>
      </c>
      <c r="M1436" s="7">
        <f>1</f>
        <v>1</v>
      </c>
      <c r="N1436" s="5" t="s">
        <v>242</v>
      </c>
      <c r="O1436" s="5">
        <v>1</v>
      </c>
      <c r="P1436" s="5" t="s">
        <v>294</v>
      </c>
      <c r="Q1436" s="5" t="s">
        <v>266</v>
      </c>
      <c r="R1436" s="5" t="s">
        <v>240</v>
      </c>
      <c r="S1436" s="5" t="s">
        <v>240</v>
      </c>
      <c r="T1436" s="5" t="s">
        <v>296</v>
      </c>
      <c r="U1436" s="5" t="s">
        <v>244</v>
      </c>
      <c r="V1436" s="5" t="s">
        <v>240</v>
      </c>
      <c r="Y1436" s="5" t="s">
        <v>240</v>
      </c>
      <c r="Z1436" s="6" t="s">
        <v>298</v>
      </c>
      <c r="AB1436" s="6" t="s">
        <v>240</v>
      </c>
      <c r="AE1436" s="6" t="s">
        <v>299</v>
      </c>
      <c r="AF1436" s="5" t="s">
        <v>248</v>
      </c>
      <c r="AG1436" s="5" t="s">
        <v>249</v>
      </c>
      <c r="AW1436" s="5" t="s">
        <v>251</v>
      </c>
      <c r="AX1436" s="5" t="s">
        <v>240</v>
      </c>
      <c r="AY1436" s="5" t="s">
        <v>253</v>
      </c>
      <c r="AZ1436" s="5" t="s">
        <v>240</v>
      </c>
      <c r="BA1436" s="5" t="s">
        <v>255</v>
      </c>
      <c r="BB1436" s="5" t="s">
        <v>240</v>
      </c>
      <c r="BD1436" s="5" t="s">
        <v>240</v>
      </c>
      <c r="BF1436" s="5" t="s">
        <v>301</v>
      </c>
      <c r="BG1436" s="6" t="s">
        <v>299</v>
      </c>
      <c r="BH1436" s="5" t="s">
        <v>302</v>
      </c>
      <c r="BI1436" s="5" t="s">
        <v>303</v>
      </c>
      <c r="BJ1436" s="5" t="s">
        <v>240</v>
      </c>
      <c r="BK1436" s="8">
        <f>0</f>
        <v>0</v>
      </c>
      <c r="BL1436" s="7">
        <f>0</f>
        <v>0</v>
      </c>
      <c r="BM1436" s="5" t="s">
        <v>258</v>
      </c>
      <c r="BN1436" s="5" t="s">
        <v>259</v>
      </c>
      <c r="CB1436" s="5" t="s">
        <v>240</v>
      </c>
      <c r="CC1436" s="5" t="s">
        <v>240</v>
      </c>
      <c r="CG1436" s="5" t="s">
        <v>304</v>
      </c>
      <c r="CH1436" s="5" t="s">
        <v>305</v>
      </c>
      <c r="CI1436" s="5" t="s">
        <v>240</v>
      </c>
      <c r="CL1436" s="6" t="s">
        <v>261</v>
      </c>
      <c r="CM1436" s="5" t="s">
        <v>240</v>
      </c>
      <c r="CN1436" s="5" t="s">
        <v>263</v>
      </c>
      <c r="CO1436" s="5" t="s">
        <v>240</v>
      </c>
      <c r="CP1436" s="5" t="s">
        <v>240</v>
      </c>
      <c r="CQ1436" s="5">
        <v>0</v>
      </c>
      <c r="CR1436" s="5" t="s">
        <v>306</v>
      </c>
      <c r="CS1436" s="5" t="s">
        <v>307</v>
      </c>
      <c r="CT1436" s="5" t="s">
        <v>307</v>
      </c>
      <c r="CU1436" s="5" t="s">
        <v>260</v>
      </c>
      <c r="CX1436" s="7">
        <f>1</f>
        <v>1</v>
      </c>
      <c r="CY1436" s="7">
        <f>0</f>
        <v>0</v>
      </c>
      <c r="DA1436" s="7">
        <f>0</f>
        <v>0</v>
      </c>
      <c r="DC1436" s="5" t="s">
        <v>812</v>
      </c>
      <c r="DD1436" s="5" t="s">
        <v>240</v>
      </c>
      <c r="DF1436" s="5" t="s">
        <v>812</v>
      </c>
      <c r="DG1436" s="7">
        <f>257</f>
        <v>257</v>
      </c>
      <c r="DI1436" s="5" t="s">
        <v>240</v>
      </c>
      <c r="DJ1436" s="5" t="s">
        <v>240</v>
      </c>
      <c r="DK1436" s="5" t="s">
        <v>240</v>
      </c>
      <c r="DL1436" s="5" t="s">
        <v>240</v>
      </c>
      <c r="DP1436" s="5" t="s">
        <v>240</v>
      </c>
      <c r="DQ1436" s="5" t="s">
        <v>240</v>
      </c>
      <c r="DR1436" s="5" t="s">
        <v>240</v>
      </c>
      <c r="DS1436" s="5" t="s">
        <v>240</v>
      </c>
      <c r="DV1436" s="5" t="s">
        <v>813</v>
      </c>
      <c r="DW1436" s="5" t="s">
        <v>3003</v>
      </c>
      <c r="HO1436" s="5" t="s">
        <v>312</v>
      </c>
    </row>
    <row r="1437" spans="1:223" x14ac:dyDescent="0.4">
      <c r="A1437" s="5">
        <v>3112</v>
      </c>
      <c r="B1437" s="5">
        <v>1</v>
      </c>
      <c r="C1437" s="5">
        <v>1</v>
      </c>
      <c r="D1437" s="5" t="s">
        <v>297</v>
      </c>
      <c r="E1437" s="5" t="s">
        <v>245</v>
      </c>
      <c r="F1437" s="5" t="s">
        <v>254</v>
      </c>
      <c r="G1437" s="5" t="s">
        <v>240</v>
      </c>
      <c r="H1437" s="6" t="s">
        <v>4760</v>
      </c>
      <c r="I1437" s="5" t="s">
        <v>295</v>
      </c>
      <c r="J1437" s="8">
        <f>1437</f>
        <v>1437</v>
      </c>
      <c r="K1437" s="5" t="s">
        <v>308</v>
      </c>
      <c r="L1437" s="7">
        <f>1</f>
        <v>1</v>
      </c>
      <c r="M1437" s="7">
        <f>1</f>
        <v>1</v>
      </c>
      <c r="N1437" s="5" t="s">
        <v>242</v>
      </c>
      <c r="O1437" s="5">
        <v>1</v>
      </c>
      <c r="P1437" s="5" t="s">
        <v>294</v>
      </c>
      <c r="Q1437" s="5" t="s">
        <v>266</v>
      </c>
      <c r="R1437" s="5" t="s">
        <v>240</v>
      </c>
      <c r="S1437" s="5" t="s">
        <v>240</v>
      </c>
      <c r="T1437" s="5" t="s">
        <v>296</v>
      </c>
      <c r="U1437" s="5" t="s">
        <v>244</v>
      </c>
      <c r="V1437" s="5" t="s">
        <v>240</v>
      </c>
      <c r="Y1437" s="5" t="s">
        <v>240</v>
      </c>
      <c r="Z1437" s="6" t="s">
        <v>298</v>
      </c>
      <c r="AB1437" s="6" t="s">
        <v>240</v>
      </c>
      <c r="AE1437" s="6" t="s">
        <v>299</v>
      </c>
      <c r="AF1437" s="5" t="s">
        <v>248</v>
      </c>
      <c r="AG1437" s="5" t="s">
        <v>249</v>
      </c>
      <c r="AW1437" s="5" t="s">
        <v>251</v>
      </c>
      <c r="AX1437" s="5" t="s">
        <v>240</v>
      </c>
      <c r="AY1437" s="5" t="s">
        <v>253</v>
      </c>
      <c r="AZ1437" s="5" t="s">
        <v>240</v>
      </c>
      <c r="BA1437" s="5" t="s">
        <v>255</v>
      </c>
      <c r="BB1437" s="5" t="s">
        <v>240</v>
      </c>
      <c r="BD1437" s="5" t="s">
        <v>240</v>
      </c>
      <c r="BF1437" s="5" t="s">
        <v>301</v>
      </c>
      <c r="BG1437" s="6" t="s">
        <v>299</v>
      </c>
      <c r="BH1437" s="5" t="s">
        <v>302</v>
      </c>
      <c r="BI1437" s="5" t="s">
        <v>303</v>
      </c>
      <c r="BJ1437" s="5" t="s">
        <v>240</v>
      </c>
      <c r="BK1437" s="8">
        <f>0</f>
        <v>0</v>
      </c>
      <c r="BL1437" s="7">
        <f>0</f>
        <v>0</v>
      </c>
      <c r="BM1437" s="5" t="s">
        <v>258</v>
      </c>
      <c r="BN1437" s="5" t="s">
        <v>259</v>
      </c>
      <c r="CB1437" s="5" t="s">
        <v>240</v>
      </c>
      <c r="CC1437" s="5" t="s">
        <v>240</v>
      </c>
      <c r="CG1437" s="5" t="s">
        <v>304</v>
      </c>
      <c r="CH1437" s="5" t="s">
        <v>305</v>
      </c>
      <c r="CI1437" s="5" t="s">
        <v>240</v>
      </c>
      <c r="CL1437" s="6" t="s">
        <v>261</v>
      </c>
      <c r="CM1437" s="5" t="s">
        <v>240</v>
      </c>
      <c r="CN1437" s="5" t="s">
        <v>263</v>
      </c>
      <c r="CO1437" s="5" t="s">
        <v>240</v>
      </c>
      <c r="CP1437" s="5" t="s">
        <v>240</v>
      </c>
      <c r="CQ1437" s="5">
        <v>0</v>
      </c>
      <c r="CR1437" s="5" t="s">
        <v>306</v>
      </c>
      <c r="CS1437" s="5" t="s">
        <v>307</v>
      </c>
      <c r="CT1437" s="5" t="s">
        <v>307</v>
      </c>
      <c r="CU1437" s="5" t="s">
        <v>260</v>
      </c>
      <c r="CX1437" s="7">
        <f>1</f>
        <v>1</v>
      </c>
      <c r="CY1437" s="7">
        <f>0</f>
        <v>0</v>
      </c>
      <c r="DA1437" s="7">
        <f>0</f>
        <v>0</v>
      </c>
      <c r="DC1437" s="5" t="s">
        <v>812</v>
      </c>
      <c r="DD1437" s="5" t="s">
        <v>240</v>
      </c>
      <c r="DF1437" s="5" t="s">
        <v>812</v>
      </c>
      <c r="DG1437" s="7">
        <f>324</f>
        <v>324</v>
      </c>
      <c r="DI1437" s="5" t="s">
        <v>240</v>
      </c>
      <c r="DJ1437" s="5" t="s">
        <v>240</v>
      </c>
      <c r="DK1437" s="5" t="s">
        <v>240</v>
      </c>
      <c r="DL1437" s="5" t="s">
        <v>240</v>
      </c>
      <c r="DP1437" s="5" t="s">
        <v>240</v>
      </c>
      <c r="DQ1437" s="5" t="s">
        <v>240</v>
      </c>
      <c r="DR1437" s="5" t="s">
        <v>240</v>
      </c>
      <c r="DS1437" s="5" t="s">
        <v>240</v>
      </c>
      <c r="DV1437" s="5" t="s">
        <v>813</v>
      </c>
      <c r="DW1437" s="5" t="s">
        <v>3005</v>
      </c>
      <c r="HO1437" s="5" t="s">
        <v>312</v>
      </c>
    </row>
    <row r="1438" spans="1:223" x14ac:dyDescent="0.4">
      <c r="A1438" s="5">
        <v>3113</v>
      </c>
      <c r="B1438" s="5">
        <v>1</v>
      </c>
      <c r="C1438" s="5">
        <v>1</v>
      </c>
      <c r="D1438" s="5" t="s">
        <v>297</v>
      </c>
      <c r="E1438" s="5" t="s">
        <v>245</v>
      </c>
      <c r="F1438" s="5" t="s">
        <v>254</v>
      </c>
      <c r="G1438" s="5" t="s">
        <v>240</v>
      </c>
      <c r="H1438" s="6" t="s">
        <v>4759</v>
      </c>
      <c r="I1438" s="5" t="s">
        <v>295</v>
      </c>
      <c r="J1438" s="8">
        <f>1690</f>
        <v>1690</v>
      </c>
      <c r="K1438" s="5" t="s">
        <v>308</v>
      </c>
      <c r="L1438" s="7">
        <f>1</f>
        <v>1</v>
      </c>
      <c r="M1438" s="7">
        <f>1</f>
        <v>1</v>
      </c>
      <c r="N1438" s="5" t="s">
        <v>242</v>
      </c>
      <c r="O1438" s="5">
        <v>1</v>
      </c>
      <c r="P1438" s="5" t="s">
        <v>294</v>
      </c>
      <c r="Q1438" s="5" t="s">
        <v>266</v>
      </c>
      <c r="R1438" s="5" t="s">
        <v>240</v>
      </c>
      <c r="S1438" s="5" t="s">
        <v>240</v>
      </c>
      <c r="T1438" s="5" t="s">
        <v>296</v>
      </c>
      <c r="U1438" s="5" t="s">
        <v>244</v>
      </c>
      <c r="V1438" s="5" t="s">
        <v>240</v>
      </c>
      <c r="Y1438" s="5" t="s">
        <v>240</v>
      </c>
      <c r="Z1438" s="6" t="s">
        <v>298</v>
      </c>
      <c r="AB1438" s="6" t="s">
        <v>240</v>
      </c>
      <c r="AE1438" s="6" t="s">
        <v>299</v>
      </c>
      <c r="AF1438" s="5" t="s">
        <v>248</v>
      </c>
      <c r="AG1438" s="5" t="s">
        <v>249</v>
      </c>
      <c r="AW1438" s="5" t="s">
        <v>251</v>
      </c>
      <c r="AX1438" s="5" t="s">
        <v>240</v>
      </c>
      <c r="AY1438" s="5" t="s">
        <v>253</v>
      </c>
      <c r="AZ1438" s="5" t="s">
        <v>240</v>
      </c>
      <c r="BA1438" s="5" t="s">
        <v>255</v>
      </c>
      <c r="BB1438" s="5" t="s">
        <v>240</v>
      </c>
      <c r="BD1438" s="5" t="s">
        <v>240</v>
      </c>
      <c r="BF1438" s="5" t="s">
        <v>301</v>
      </c>
      <c r="BG1438" s="6" t="s">
        <v>299</v>
      </c>
      <c r="BH1438" s="5" t="s">
        <v>302</v>
      </c>
      <c r="BI1438" s="5" t="s">
        <v>303</v>
      </c>
      <c r="BJ1438" s="5" t="s">
        <v>240</v>
      </c>
      <c r="BK1438" s="8">
        <f>0</f>
        <v>0</v>
      </c>
      <c r="BL1438" s="7">
        <f>0</f>
        <v>0</v>
      </c>
      <c r="BM1438" s="5" t="s">
        <v>258</v>
      </c>
      <c r="BN1438" s="5" t="s">
        <v>259</v>
      </c>
      <c r="CB1438" s="5" t="s">
        <v>240</v>
      </c>
      <c r="CC1438" s="5" t="s">
        <v>240</v>
      </c>
      <c r="CG1438" s="5" t="s">
        <v>304</v>
      </c>
      <c r="CH1438" s="5" t="s">
        <v>305</v>
      </c>
      <c r="CI1438" s="5" t="s">
        <v>240</v>
      </c>
      <c r="CL1438" s="6" t="s">
        <v>261</v>
      </c>
      <c r="CM1438" s="5" t="s">
        <v>240</v>
      </c>
      <c r="CN1438" s="5" t="s">
        <v>263</v>
      </c>
      <c r="CO1438" s="5" t="s">
        <v>240</v>
      </c>
      <c r="CP1438" s="5" t="s">
        <v>240</v>
      </c>
      <c r="CQ1438" s="5">
        <v>0</v>
      </c>
      <c r="CR1438" s="5" t="s">
        <v>306</v>
      </c>
      <c r="CS1438" s="5" t="s">
        <v>307</v>
      </c>
      <c r="CT1438" s="5" t="s">
        <v>307</v>
      </c>
      <c r="CU1438" s="5" t="s">
        <v>260</v>
      </c>
      <c r="CX1438" s="7">
        <f>1</f>
        <v>1</v>
      </c>
      <c r="CY1438" s="7">
        <f>0</f>
        <v>0</v>
      </c>
      <c r="DA1438" s="7">
        <f>0</f>
        <v>0</v>
      </c>
      <c r="DC1438" s="5" t="s">
        <v>812</v>
      </c>
      <c r="DD1438" s="5" t="s">
        <v>240</v>
      </c>
      <c r="DF1438" s="5" t="s">
        <v>812</v>
      </c>
      <c r="DG1438" s="7">
        <f>690</f>
        <v>690</v>
      </c>
      <c r="DI1438" s="5" t="s">
        <v>240</v>
      </c>
      <c r="DJ1438" s="5" t="s">
        <v>240</v>
      </c>
      <c r="DK1438" s="5" t="s">
        <v>240</v>
      </c>
      <c r="DL1438" s="5" t="s">
        <v>240</v>
      </c>
      <c r="DP1438" s="5" t="s">
        <v>240</v>
      </c>
      <c r="DQ1438" s="5" t="s">
        <v>240</v>
      </c>
      <c r="DR1438" s="5" t="s">
        <v>240</v>
      </c>
      <c r="DS1438" s="5" t="s">
        <v>240</v>
      </c>
      <c r="DV1438" s="5" t="s">
        <v>813</v>
      </c>
      <c r="DW1438" s="5" t="s">
        <v>3007</v>
      </c>
      <c r="HO1438" s="5" t="s">
        <v>312</v>
      </c>
    </row>
    <row r="1439" spans="1:223" x14ac:dyDescent="0.4">
      <c r="A1439" s="5">
        <v>3114</v>
      </c>
      <c r="B1439" s="5">
        <v>1</v>
      </c>
      <c r="C1439" s="5">
        <v>1</v>
      </c>
      <c r="D1439" s="5" t="s">
        <v>297</v>
      </c>
      <c r="E1439" s="5" t="s">
        <v>245</v>
      </c>
      <c r="F1439" s="5" t="s">
        <v>254</v>
      </c>
      <c r="G1439" s="5" t="s">
        <v>240</v>
      </c>
      <c r="H1439" s="6" t="s">
        <v>4758</v>
      </c>
      <c r="I1439" s="5" t="s">
        <v>295</v>
      </c>
      <c r="J1439" s="8">
        <f>363</f>
        <v>363</v>
      </c>
      <c r="K1439" s="5" t="s">
        <v>308</v>
      </c>
      <c r="L1439" s="7">
        <f>1</f>
        <v>1</v>
      </c>
      <c r="M1439" s="7">
        <f>1</f>
        <v>1</v>
      </c>
      <c r="N1439" s="5" t="s">
        <v>242</v>
      </c>
      <c r="O1439" s="5">
        <v>1</v>
      </c>
      <c r="P1439" s="5" t="s">
        <v>294</v>
      </c>
      <c r="Q1439" s="5" t="s">
        <v>266</v>
      </c>
      <c r="R1439" s="5" t="s">
        <v>240</v>
      </c>
      <c r="S1439" s="5" t="s">
        <v>240</v>
      </c>
      <c r="T1439" s="5" t="s">
        <v>296</v>
      </c>
      <c r="U1439" s="5" t="s">
        <v>244</v>
      </c>
      <c r="V1439" s="5" t="s">
        <v>240</v>
      </c>
      <c r="Y1439" s="5" t="s">
        <v>240</v>
      </c>
      <c r="Z1439" s="6" t="s">
        <v>298</v>
      </c>
      <c r="AB1439" s="6" t="s">
        <v>240</v>
      </c>
      <c r="AE1439" s="6" t="s">
        <v>299</v>
      </c>
      <c r="AF1439" s="5" t="s">
        <v>248</v>
      </c>
      <c r="AG1439" s="5" t="s">
        <v>249</v>
      </c>
      <c r="AW1439" s="5" t="s">
        <v>251</v>
      </c>
      <c r="AX1439" s="5" t="s">
        <v>240</v>
      </c>
      <c r="AY1439" s="5" t="s">
        <v>253</v>
      </c>
      <c r="AZ1439" s="5" t="s">
        <v>240</v>
      </c>
      <c r="BA1439" s="5" t="s">
        <v>255</v>
      </c>
      <c r="BB1439" s="5" t="s">
        <v>240</v>
      </c>
      <c r="BD1439" s="5" t="s">
        <v>240</v>
      </c>
      <c r="BF1439" s="5" t="s">
        <v>301</v>
      </c>
      <c r="BG1439" s="6" t="s">
        <v>299</v>
      </c>
      <c r="BH1439" s="5" t="s">
        <v>302</v>
      </c>
      <c r="BI1439" s="5" t="s">
        <v>303</v>
      </c>
      <c r="BJ1439" s="5" t="s">
        <v>240</v>
      </c>
      <c r="BK1439" s="8">
        <f>0</f>
        <v>0</v>
      </c>
      <c r="BL1439" s="7">
        <f>0</f>
        <v>0</v>
      </c>
      <c r="BM1439" s="5" t="s">
        <v>258</v>
      </c>
      <c r="BN1439" s="5" t="s">
        <v>259</v>
      </c>
      <c r="CB1439" s="5" t="s">
        <v>240</v>
      </c>
      <c r="CC1439" s="5" t="s">
        <v>240</v>
      </c>
      <c r="CG1439" s="5" t="s">
        <v>304</v>
      </c>
      <c r="CH1439" s="5" t="s">
        <v>305</v>
      </c>
      <c r="CI1439" s="5" t="s">
        <v>240</v>
      </c>
      <c r="CL1439" s="6" t="s">
        <v>261</v>
      </c>
      <c r="CM1439" s="5" t="s">
        <v>240</v>
      </c>
      <c r="CN1439" s="5" t="s">
        <v>263</v>
      </c>
      <c r="CO1439" s="5" t="s">
        <v>240</v>
      </c>
      <c r="CP1439" s="5" t="s">
        <v>240</v>
      </c>
      <c r="CQ1439" s="5">
        <v>0</v>
      </c>
      <c r="CR1439" s="5" t="s">
        <v>306</v>
      </c>
      <c r="CS1439" s="5" t="s">
        <v>307</v>
      </c>
      <c r="CT1439" s="5" t="s">
        <v>307</v>
      </c>
      <c r="CU1439" s="5" t="s">
        <v>260</v>
      </c>
      <c r="CX1439" s="7">
        <f>1</f>
        <v>1</v>
      </c>
      <c r="CY1439" s="7">
        <f>0</f>
        <v>0</v>
      </c>
      <c r="DA1439" s="7">
        <f>0</f>
        <v>0</v>
      </c>
      <c r="DC1439" s="5" t="s">
        <v>812</v>
      </c>
      <c r="DD1439" s="5" t="s">
        <v>240</v>
      </c>
      <c r="DF1439" s="5" t="s">
        <v>812</v>
      </c>
      <c r="DG1439" s="7">
        <f>1266</f>
        <v>1266</v>
      </c>
      <c r="DI1439" s="5" t="s">
        <v>240</v>
      </c>
      <c r="DJ1439" s="5" t="s">
        <v>240</v>
      </c>
      <c r="DK1439" s="5" t="s">
        <v>240</v>
      </c>
      <c r="DL1439" s="5" t="s">
        <v>240</v>
      </c>
      <c r="DP1439" s="5" t="s">
        <v>240</v>
      </c>
      <c r="DQ1439" s="5" t="s">
        <v>240</v>
      </c>
      <c r="DR1439" s="5" t="s">
        <v>240</v>
      </c>
      <c r="DS1439" s="5" t="s">
        <v>240</v>
      </c>
      <c r="DV1439" s="5" t="s">
        <v>813</v>
      </c>
      <c r="DW1439" s="5" t="s">
        <v>3009</v>
      </c>
      <c r="HO1439" s="5" t="s">
        <v>312</v>
      </c>
    </row>
    <row r="1440" spans="1:223" x14ac:dyDescent="0.4">
      <c r="A1440" s="5">
        <v>3115</v>
      </c>
      <c r="B1440" s="5">
        <v>1</v>
      </c>
      <c r="C1440" s="5">
        <v>1</v>
      </c>
      <c r="D1440" s="5" t="s">
        <v>297</v>
      </c>
      <c r="E1440" s="5" t="s">
        <v>245</v>
      </c>
      <c r="F1440" s="5" t="s">
        <v>254</v>
      </c>
      <c r="G1440" s="5" t="s">
        <v>240</v>
      </c>
      <c r="H1440" s="6" t="s">
        <v>4757</v>
      </c>
      <c r="I1440" s="5" t="s">
        <v>295</v>
      </c>
      <c r="J1440" s="8">
        <f>182</f>
        <v>182</v>
      </c>
      <c r="K1440" s="5" t="s">
        <v>308</v>
      </c>
      <c r="L1440" s="7">
        <f>1</f>
        <v>1</v>
      </c>
      <c r="M1440" s="7">
        <f>1</f>
        <v>1</v>
      </c>
      <c r="N1440" s="5" t="s">
        <v>242</v>
      </c>
      <c r="O1440" s="5">
        <v>1</v>
      </c>
      <c r="P1440" s="5" t="s">
        <v>294</v>
      </c>
      <c r="Q1440" s="5" t="s">
        <v>266</v>
      </c>
      <c r="R1440" s="5" t="s">
        <v>240</v>
      </c>
      <c r="S1440" s="5" t="s">
        <v>240</v>
      </c>
      <c r="T1440" s="5" t="s">
        <v>296</v>
      </c>
      <c r="U1440" s="5" t="s">
        <v>244</v>
      </c>
      <c r="V1440" s="5" t="s">
        <v>240</v>
      </c>
      <c r="Y1440" s="5" t="s">
        <v>240</v>
      </c>
      <c r="Z1440" s="6" t="s">
        <v>298</v>
      </c>
      <c r="AB1440" s="6" t="s">
        <v>240</v>
      </c>
      <c r="AE1440" s="6" t="s">
        <v>299</v>
      </c>
      <c r="AF1440" s="5" t="s">
        <v>248</v>
      </c>
      <c r="AG1440" s="5" t="s">
        <v>249</v>
      </c>
      <c r="AW1440" s="5" t="s">
        <v>251</v>
      </c>
      <c r="AX1440" s="5" t="s">
        <v>240</v>
      </c>
      <c r="AY1440" s="5" t="s">
        <v>253</v>
      </c>
      <c r="AZ1440" s="5" t="s">
        <v>240</v>
      </c>
      <c r="BA1440" s="5" t="s">
        <v>255</v>
      </c>
      <c r="BB1440" s="5" t="s">
        <v>240</v>
      </c>
      <c r="BD1440" s="5" t="s">
        <v>240</v>
      </c>
      <c r="BF1440" s="5" t="s">
        <v>301</v>
      </c>
      <c r="BG1440" s="6" t="s">
        <v>299</v>
      </c>
      <c r="BH1440" s="5" t="s">
        <v>302</v>
      </c>
      <c r="BI1440" s="5" t="s">
        <v>303</v>
      </c>
      <c r="BJ1440" s="5" t="s">
        <v>240</v>
      </c>
      <c r="BK1440" s="8">
        <f>0</f>
        <v>0</v>
      </c>
      <c r="BL1440" s="7">
        <f>0</f>
        <v>0</v>
      </c>
      <c r="BM1440" s="5" t="s">
        <v>258</v>
      </c>
      <c r="BN1440" s="5" t="s">
        <v>259</v>
      </c>
      <c r="CB1440" s="5" t="s">
        <v>240</v>
      </c>
      <c r="CC1440" s="5" t="s">
        <v>240</v>
      </c>
      <c r="CG1440" s="5" t="s">
        <v>304</v>
      </c>
      <c r="CH1440" s="5" t="s">
        <v>305</v>
      </c>
      <c r="CI1440" s="5" t="s">
        <v>240</v>
      </c>
      <c r="CL1440" s="6" t="s">
        <v>261</v>
      </c>
      <c r="CM1440" s="5" t="s">
        <v>240</v>
      </c>
      <c r="CN1440" s="5" t="s">
        <v>263</v>
      </c>
      <c r="CO1440" s="5" t="s">
        <v>240</v>
      </c>
      <c r="CP1440" s="5" t="s">
        <v>240</v>
      </c>
      <c r="CQ1440" s="5">
        <v>0</v>
      </c>
      <c r="CR1440" s="5" t="s">
        <v>306</v>
      </c>
      <c r="CS1440" s="5" t="s">
        <v>307</v>
      </c>
      <c r="CT1440" s="5" t="s">
        <v>307</v>
      </c>
      <c r="CU1440" s="5" t="s">
        <v>260</v>
      </c>
      <c r="CX1440" s="7">
        <f>1</f>
        <v>1</v>
      </c>
      <c r="CY1440" s="7">
        <f>0</f>
        <v>0</v>
      </c>
      <c r="DA1440" s="7">
        <f>0</f>
        <v>0</v>
      </c>
      <c r="DC1440" s="5" t="s">
        <v>812</v>
      </c>
      <c r="DD1440" s="5" t="s">
        <v>240</v>
      </c>
      <c r="DF1440" s="5" t="s">
        <v>812</v>
      </c>
      <c r="DG1440" s="7">
        <f>1591</f>
        <v>1591</v>
      </c>
      <c r="DI1440" s="5" t="s">
        <v>240</v>
      </c>
      <c r="DJ1440" s="5" t="s">
        <v>240</v>
      </c>
      <c r="DK1440" s="5" t="s">
        <v>240</v>
      </c>
      <c r="DL1440" s="5" t="s">
        <v>240</v>
      </c>
      <c r="DP1440" s="5" t="s">
        <v>240</v>
      </c>
      <c r="DQ1440" s="5" t="s">
        <v>240</v>
      </c>
      <c r="DR1440" s="5" t="s">
        <v>240</v>
      </c>
      <c r="DS1440" s="5" t="s">
        <v>240</v>
      </c>
      <c r="DV1440" s="5" t="s">
        <v>813</v>
      </c>
      <c r="DW1440" s="5" t="s">
        <v>3011</v>
      </c>
      <c r="HO1440" s="5" t="s">
        <v>312</v>
      </c>
    </row>
    <row r="1441" spans="1:223" x14ac:dyDescent="0.4">
      <c r="A1441" s="5">
        <v>3116</v>
      </c>
      <c r="B1441" s="5">
        <v>1</v>
      </c>
      <c r="C1441" s="5">
        <v>1</v>
      </c>
      <c r="D1441" s="5" t="s">
        <v>297</v>
      </c>
      <c r="E1441" s="5" t="s">
        <v>245</v>
      </c>
      <c r="F1441" s="5" t="s">
        <v>254</v>
      </c>
      <c r="G1441" s="5" t="s">
        <v>240</v>
      </c>
      <c r="H1441" s="6" t="s">
        <v>4756</v>
      </c>
      <c r="I1441" s="5" t="s">
        <v>295</v>
      </c>
      <c r="J1441" s="8">
        <f>1214</f>
        <v>1214</v>
      </c>
      <c r="K1441" s="5" t="s">
        <v>308</v>
      </c>
      <c r="L1441" s="7">
        <f>1</f>
        <v>1</v>
      </c>
      <c r="M1441" s="7">
        <f>1</f>
        <v>1</v>
      </c>
      <c r="N1441" s="5" t="s">
        <v>242</v>
      </c>
      <c r="O1441" s="5">
        <v>1</v>
      </c>
      <c r="P1441" s="5" t="s">
        <v>294</v>
      </c>
      <c r="Q1441" s="5" t="s">
        <v>266</v>
      </c>
      <c r="R1441" s="5" t="s">
        <v>240</v>
      </c>
      <c r="S1441" s="5" t="s">
        <v>240</v>
      </c>
      <c r="T1441" s="5" t="s">
        <v>296</v>
      </c>
      <c r="U1441" s="5" t="s">
        <v>244</v>
      </c>
      <c r="V1441" s="5" t="s">
        <v>240</v>
      </c>
      <c r="Y1441" s="5" t="s">
        <v>240</v>
      </c>
      <c r="Z1441" s="6" t="s">
        <v>298</v>
      </c>
      <c r="AB1441" s="6" t="s">
        <v>240</v>
      </c>
      <c r="AE1441" s="6" t="s">
        <v>299</v>
      </c>
      <c r="AF1441" s="5" t="s">
        <v>248</v>
      </c>
      <c r="AG1441" s="5" t="s">
        <v>249</v>
      </c>
      <c r="AW1441" s="5" t="s">
        <v>251</v>
      </c>
      <c r="AX1441" s="5" t="s">
        <v>240</v>
      </c>
      <c r="AY1441" s="5" t="s">
        <v>253</v>
      </c>
      <c r="AZ1441" s="5" t="s">
        <v>240</v>
      </c>
      <c r="BA1441" s="5" t="s">
        <v>255</v>
      </c>
      <c r="BB1441" s="5" t="s">
        <v>240</v>
      </c>
      <c r="BD1441" s="5" t="s">
        <v>240</v>
      </c>
      <c r="BF1441" s="5" t="s">
        <v>301</v>
      </c>
      <c r="BG1441" s="6" t="s">
        <v>299</v>
      </c>
      <c r="BH1441" s="5" t="s">
        <v>302</v>
      </c>
      <c r="BI1441" s="5" t="s">
        <v>303</v>
      </c>
      <c r="BJ1441" s="5" t="s">
        <v>240</v>
      </c>
      <c r="BK1441" s="8">
        <f>0</f>
        <v>0</v>
      </c>
      <c r="BL1441" s="7">
        <f>0</f>
        <v>0</v>
      </c>
      <c r="BM1441" s="5" t="s">
        <v>258</v>
      </c>
      <c r="BN1441" s="5" t="s">
        <v>259</v>
      </c>
      <c r="CB1441" s="5" t="s">
        <v>240</v>
      </c>
      <c r="CC1441" s="5" t="s">
        <v>240</v>
      </c>
      <c r="CG1441" s="5" t="s">
        <v>304</v>
      </c>
      <c r="CH1441" s="5" t="s">
        <v>305</v>
      </c>
      <c r="CI1441" s="5" t="s">
        <v>240</v>
      </c>
      <c r="CL1441" s="6" t="s">
        <v>261</v>
      </c>
      <c r="CM1441" s="5" t="s">
        <v>240</v>
      </c>
      <c r="CN1441" s="5" t="s">
        <v>263</v>
      </c>
      <c r="CO1441" s="5" t="s">
        <v>240</v>
      </c>
      <c r="CP1441" s="5" t="s">
        <v>240</v>
      </c>
      <c r="CQ1441" s="5">
        <v>0</v>
      </c>
      <c r="CR1441" s="5" t="s">
        <v>306</v>
      </c>
      <c r="CS1441" s="5" t="s">
        <v>307</v>
      </c>
      <c r="CT1441" s="5" t="s">
        <v>307</v>
      </c>
      <c r="CU1441" s="5" t="s">
        <v>260</v>
      </c>
      <c r="CX1441" s="7">
        <f>1</f>
        <v>1</v>
      </c>
      <c r="CY1441" s="7">
        <f>0</f>
        <v>0</v>
      </c>
      <c r="DA1441" s="7">
        <f>0</f>
        <v>0</v>
      </c>
      <c r="DC1441" s="5" t="s">
        <v>812</v>
      </c>
      <c r="DD1441" s="5" t="s">
        <v>240</v>
      </c>
      <c r="DF1441" s="5" t="s">
        <v>812</v>
      </c>
      <c r="DG1441" s="7">
        <f>132</f>
        <v>132</v>
      </c>
      <c r="DI1441" s="5" t="s">
        <v>240</v>
      </c>
      <c r="DJ1441" s="5" t="s">
        <v>240</v>
      </c>
      <c r="DK1441" s="5" t="s">
        <v>240</v>
      </c>
      <c r="DL1441" s="5" t="s">
        <v>240</v>
      </c>
      <c r="DP1441" s="5" t="s">
        <v>240</v>
      </c>
      <c r="DQ1441" s="5" t="s">
        <v>240</v>
      </c>
      <c r="DR1441" s="5" t="s">
        <v>240</v>
      </c>
      <c r="DS1441" s="5" t="s">
        <v>240</v>
      </c>
      <c r="DV1441" s="5" t="s">
        <v>813</v>
      </c>
      <c r="DW1441" s="5" t="s">
        <v>3013</v>
      </c>
      <c r="HO1441" s="5" t="s">
        <v>312</v>
      </c>
    </row>
    <row r="1442" spans="1:223" x14ac:dyDescent="0.4">
      <c r="A1442" s="5">
        <v>3117</v>
      </c>
      <c r="B1442" s="5">
        <v>1</v>
      </c>
      <c r="C1442" s="5">
        <v>1</v>
      </c>
      <c r="D1442" s="5" t="s">
        <v>297</v>
      </c>
      <c r="E1442" s="5" t="s">
        <v>245</v>
      </c>
      <c r="F1442" s="5" t="s">
        <v>254</v>
      </c>
      <c r="G1442" s="5" t="s">
        <v>240</v>
      </c>
      <c r="H1442" s="6" t="s">
        <v>5852</v>
      </c>
      <c r="I1442" s="5" t="s">
        <v>295</v>
      </c>
      <c r="J1442" s="8">
        <f>158</f>
        <v>158</v>
      </c>
      <c r="K1442" s="5" t="s">
        <v>308</v>
      </c>
      <c r="L1442" s="7">
        <f>1</f>
        <v>1</v>
      </c>
      <c r="M1442" s="7">
        <f>1</f>
        <v>1</v>
      </c>
      <c r="N1442" s="5" t="s">
        <v>242</v>
      </c>
      <c r="O1442" s="5">
        <v>1</v>
      </c>
      <c r="P1442" s="5" t="s">
        <v>294</v>
      </c>
      <c r="Q1442" s="5" t="s">
        <v>266</v>
      </c>
      <c r="R1442" s="5" t="s">
        <v>240</v>
      </c>
      <c r="S1442" s="5" t="s">
        <v>240</v>
      </c>
      <c r="T1442" s="5" t="s">
        <v>296</v>
      </c>
      <c r="U1442" s="5" t="s">
        <v>244</v>
      </c>
      <c r="V1442" s="5" t="s">
        <v>240</v>
      </c>
      <c r="Y1442" s="5" t="s">
        <v>240</v>
      </c>
      <c r="Z1442" s="6" t="s">
        <v>298</v>
      </c>
      <c r="AB1442" s="6" t="s">
        <v>240</v>
      </c>
      <c r="AE1442" s="6" t="s">
        <v>299</v>
      </c>
      <c r="AF1442" s="5" t="s">
        <v>248</v>
      </c>
      <c r="AG1442" s="5" t="s">
        <v>249</v>
      </c>
      <c r="AW1442" s="5" t="s">
        <v>251</v>
      </c>
      <c r="AX1442" s="5" t="s">
        <v>240</v>
      </c>
      <c r="AY1442" s="5" t="s">
        <v>253</v>
      </c>
      <c r="AZ1442" s="5" t="s">
        <v>240</v>
      </c>
      <c r="BA1442" s="5" t="s">
        <v>255</v>
      </c>
      <c r="BB1442" s="5" t="s">
        <v>240</v>
      </c>
      <c r="BD1442" s="5" t="s">
        <v>240</v>
      </c>
      <c r="BF1442" s="5" t="s">
        <v>301</v>
      </c>
      <c r="BG1442" s="6" t="s">
        <v>299</v>
      </c>
      <c r="BH1442" s="5" t="s">
        <v>302</v>
      </c>
      <c r="BI1442" s="5" t="s">
        <v>303</v>
      </c>
      <c r="BJ1442" s="5" t="s">
        <v>240</v>
      </c>
      <c r="BK1442" s="8">
        <f>0</f>
        <v>0</v>
      </c>
      <c r="BL1442" s="7">
        <f>0</f>
        <v>0</v>
      </c>
      <c r="BM1442" s="5" t="s">
        <v>258</v>
      </c>
      <c r="BN1442" s="5" t="s">
        <v>259</v>
      </c>
      <c r="CB1442" s="5" t="s">
        <v>240</v>
      </c>
      <c r="CC1442" s="5" t="s">
        <v>240</v>
      </c>
      <c r="CG1442" s="5" t="s">
        <v>304</v>
      </c>
      <c r="CH1442" s="5" t="s">
        <v>305</v>
      </c>
      <c r="CI1442" s="5" t="s">
        <v>240</v>
      </c>
      <c r="CL1442" s="6" t="s">
        <v>261</v>
      </c>
      <c r="CM1442" s="5" t="s">
        <v>240</v>
      </c>
      <c r="CN1442" s="5" t="s">
        <v>263</v>
      </c>
      <c r="CO1442" s="5" t="s">
        <v>240</v>
      </c>
      <c r="CP1442" s="5" t="s">
        <v>240</v>
      </c>
      <c r="CQ1442" s="5">
        <v>0</v>
      </c>
      <c r="CR1442" s="5" t="s">
        <v>306</v>
      </c>
      <c r="CS1442" s="5" t="s">
        <v>307</v>
      </c>
      <c r="CT1442" s="5" t="s">
        <v>307</v>
      </c>
      <c r="CU1442" s="5" t="s">
        <v>260</v>
      </c>
      <c r="CX1442" s="7">
        <f>1</f>
        <v>1</v>
      </c>
      <c r="CY1442" s="7">
        <f>0</f>
        <v>0</v>
      </c>
      <c r="DA1442" s="7">
        <f>0</f>
        <v>0</v>
      </c>
      <c r="DC1442" s="5" t="s">
        <v>812</v>
      </c>
      <c r="DD1442" s="5" t="s">
        <v>240</v>
      </c>
      <c r="DF1442" s="5" t="s">
        <v>812</v>
      </c>
      <c r="DG1442" s="7">
        <f>382</f>
        <v>382</v>
      </c>
      <c r="DI1442" s="5" t="s">
        <v>240</v>
      </c>
      <c r="DJ1442" s="5" t="s">
        <v>240</v>
      </c>
      <c r="DK1442" s="5" t="s">
        <v>240</v>
      </c>
      <c r="DL1442" s="5" t="s">
        <v>240</v>
      </c>
      <c r="DP1442" s="5" t="s">
        <v>240</v>
      </c>
      <c r="DQ1442" s="5" t="s">
        <v>240</v>
      </c>
      <c r="DR1442" s="5" t="s">
        <v>240</v>
      </c>
      <c r="DS1442" s="5" t="s">
        <v>240</v>
      </c>
      <c r="DV1442" s="5" t="s">
        <v>813</v>
      </c>
      <c r="DW1442" s="5" t="s">
        <v>3015</v>
      </c>
      <c r="HO1442" s="5" t="s">
        <v>312</v>
      </c>
    </row>
    <row r="1443" spans="1:223" x14ac:dyDescent="0.4">
      <c r="A1443" s="5">
        <v>3118</v>
      </c>
      <c r="B1443" s="5">
        <v>1</v>
      </c>
      <c r="C1443" s="5">
        <v>1</v>
      </c>
      <c r="D1443" s="5" t="s">
        <v>297</v>
      </c>
      <c r="E1443" s="5" t="s">
        <v>245</v>
      </c>
      <c r="F1443" s="5" t="s">
        <v>254</v>
      </c>
      <c r="G1443" s="5" t="s">
        <v>240</v>
      </c>
      <c r="H1443" s="6" t="s">
        <v>4754</v>
      </c>
      <c r="I1443" s="5" t="s">
        <v>295</v>
      </c>
      <c r="J1443" s="8">
        <f>384</f>
        <v>384</v>
      </c>
      <c r="K1443" s="5" t="s">
        <v>308</v>
      </c>
      <c r="L1443" s="7">
        <f>1</f>
        <v>1</v>
      </c>
      <c r="M1443" s="7">
        <f>1</f>
        <v>1</v>
      </c>
      <c r="N1443" s="5" t="s">
        <v>242</v>
      </c>
      <c r="O1443" s="5">
        <v>1</v>
      </c>
      <c r="P1443" s="5" t="s">
        <v>294</v>
      </c>
      <c r="Q1443" s="5" t="s">
        <v>266</v>
      </c>
      <c r="R1443" s="5" t="s">
        <v>240</v>
      </c>
      <c r="S1443" s="5" t="s">
        <v>240</v>
      </c>
      <c r="T1443" s="5" t="s">
        <v>296</v>
      </c>
      <c r="U1443" s="5" t="s">
        <v>244</v>
      </c>
      <c r="V1443" s="5" t="s">
        <v>240</v>
      </c>
      <c r="Y1443" s="5" t="s">
        <v>240</v>
      </c>
      <c r="Z1443" s="6" t="s">
        <v>298</v>
      </c>
      <c r="AB1443" s="6" t="s">
        <v>240</v>
      </c>
      <c r="AE1443" s="6" t="s">
        <v>299</v>
      </c>
      <c r="AF1443" s="5" t="s">
        <v>248</v>
      </c>
      <c r="AG1443" s="5" t="s">
        <v>249</v>
      </c>
      <c r="AW1443" s="5" t="s">
        <v>251</v>
      </c>
      <c r="AX1443" s="5" t="s">
        <v>240</v>
      </c>
      <c r="AY1443" s="5" t="s">
        <v>253</v>
      </c>
      <c r="AZ1443" s="5" t="s">
        <v>240</v>
      </c>
      <c r="BA1443" s="5" t="s">
        <v>255</v>
      </c>
      <c r="BB1443" s="5" t="s">
        <v>240</v>
      </c>
      <c r="BD1443" s="5" t="s">
        <v>240</v>
      </c>
      <c r="BF1443" s="5" t="s">
        <v>301</v>
      </c>
      <c r="BG1443" s="6" t="s">
        <v>299</v>
      </c>
      <c r="BH1443" s="5" t="s">
        <v>302</v>
      </c>
      <c r="BI1443" s="5" t="s">
        <v>303</v>
      </c>
      <c r="BJ1443" s="5" t="s">
        <v>240</v>
      </c>
      <c r="BK1443" s="8">
        <f>0</f>
        <v>0</v>
      </c>
      <c r="BL1443" s="7">
        <f>0</f>
        <v>0</v>
      </c>
      <c r="BM1443" s="5" t="s">
        <v>258</v>
      </c>
      <c r="BN1443" s="5" t="s">
        <v>259</v>
      </c>
      <c r="CB1443" s="5" t="s">
        <v>240</v>
      </c>
      <c r="CC1443" s="5" t="s">
        <v>240</v>
      </c>
      <c r="CG1443" s="5" t="s">
        <v>304</v>
      </c>
      <c r="CH1443" s="5" t="s">
        <v>305</v>
      </c>
      <c r="CI1443" s="5" t="s">
        <v>240</v>
      </c>
      <c r="CL1443" s="6" t="s">
        <v>261</v>
      </c>
      <c r="CM1443" s="5" t="s">
        <v>240</v>
      </c>
      <c r="CN1443" s="5" t="s">
        <v>263</v>
      </c>
      <c r="CO1443" s="5" t="s">
        <v>240</v>
      </c>
      <c r="CP1443" s="5" t="s">
        <v>240</v>
      </c>
      <c r="CQ1443" s="5">
        <v>0</v>
      </c>
      <c r="CR1443" s="5" t="s">
        <v>306</v>
      </c>
      <c r="CS1443" s="5" t="s">
        <v>307</v>
      </c>
      <c r="CT1443" s="5" t="s">
        <v>307</v>
      </c>
      <c r="CU1443" s="5" t="s">
        <v>260</v>
      </c>
      <c r="CX1443" s="7">
        <f>1</f>
        <v>1</v>
      </c>
      <c r="CY1443" s="7">
        <f>0</f>
        <v>0</v>
      </c>
      <c r="DA1443" s="7">
        <f>0</f>
        <v>0</v>
      </c>
      <c r="DC1443" s="5" t="s">
        <v>812</v>
      </c>
      <c r="DD1443" s="5" t="s">
        <v>240</v>
      </c>
      <c r="DF1443" s="5" t="s">
        <v>812</v>
      </c>
      <c r="DG1443" s="7">
        <f>720</f>
        <v>720</v>
      </c>
      <c r="DI1443" s="5" t="s">
        <v>240</v>
      </c>
      <c r="DJ1443" s="5" t="s">
        <v>240</v>
      </c>
      <c r="DK1443" s="5" t="s">
        <v>240</v>
      </c>
      <c r="DL1443" s="5" t="s">
        <v>240</v>
      </c>
      <c r="DP1443" s="5" t="s">
        <v>240</v>
      </c>
      <c r="DQ1443" s="5" t="s">
        <v>240</v>
      </c>
      <c r="DR1443" s="5" t="s">
        <v>240</v>
      </c>
      <c r="DS1443" s="5" t="s">
        <v>240</v>
      </c>
      <c r="DV1443" s="5" t="s">
        <v>813</v>
      </c>
      <c r="DW1443" s="5" t="s">
        <v>3017</v>
      </c>
      <c r="HO1443" s="5" t="s">
        <v>312</v>
      </c>
    </row>
    <row r="1444" spans="1:223" x14ac:dyDescent="0.4">
      <c r="A1444" s="5">
        <v>3119</v>
      </c>
      <c r="B1444" s="5">
        <v>1</v>
      </c>
      <c r="C1444" s="5">
        <v>1</v>
      </c>
      <c r="D1444" s="5" t="s">
        <v>297</v>
      </c>
      <c r="E1444" s="5" t="s">
        <v>245</v>
      </c>
      <c r="F1444" s="5" t="s">
        <v>254</v>
      </c>
      <c r="G1444" s="5" t="s">
        <v>240</v>
      </c>
      <c r="H1444" s="6" t="s">
        <v>4752</v>
      </c>
      <c r="I1444" s="5" t="s">
        <v>295</v>
      </c>
      <c r="J1444" s="8">
        <f>1310</f>
        <v>1310</v>
      </c>
      <c r="K1444" s="5" t="s">
        <v>308</v>
      </c>
      <c r="L1444" s="7">
        <f>1</f>
        <v>1</v>
      </c>
      <c r="M1444" s="7">
        <f>1</f>
        <v>1</v>
      </c>
      <c r="N1444" s="5" t="s">
        <v>242</v>
      </c>
      <c r="O1444" s="5">
        <v>1</v>
      </c>
      <c r="P1444" s="5" t="s">
        <v>294</v>
      </c>
      <c r="Q1444" s="5" t="s">
        <v>266</v>
      </c>
      <c r="R1444" s="5" t="s">
        <v>240</v>
      </c>
      <c r="S1444" s="5" t="s">
        <v>240</v>
      </c>
      <c r="T1444" s="5" t="s">
        <v>296</v>
      </c>
      <c r="U1444" s="5" t="s">
        <v>244</v>
      </c>
      <c r="V1444" s="5" t="s">
        <v>240</v>
      </c>
      <c r="Y1444" s="5" t="s">
        <v>240</v>
      </c>
      <c r="Z1444" s="6" t="s">
        <v>298</v>
      </c>
      <c r="AB1444" s="6" t="s">
        <v>240</v>
      </c>
      <c r="AE1444" s="6" t="s">
        <v>299</v>
      </c>
      <c r="AF1444" s="5" t="s">
        <v>248</v>
      </c>
      <c r="AG1444" s="5" t="s">
        <v>249</v>
      </c>
      <c r="AW1444" s="5" t="s">
        <v>251</v>
      </c>
      <c r="AX1444" s="5" t="s">
        <v>240</v>
      </c>
      <c r="AY1444" s="5" t="s">
        <v>253</v>
      </c>
      <c r="AZ1444" s="5" t="s">
        <v>240</v>
      </c>
      <c r="BA1444" s="5" t="s">
        <v>255</v>
      </c>
      <c r="BB1444" s="5" t="s">
        <v>240</v>
      </c>
      <c r="BD1444" s="5" t="s">
        <v>240</v>
      </c>
      <c r="BF1444" s="5" t="s">
        <v>301</v>
      </c>
      <c r="BG1444" s="6" t="s">
        <v>299</v>
      </c>
      <c r="BH1444" s="5" t="s">
        <v>302</v>
      </c>
      <c r="BI1444" s="5" t="s">
        <v>303</v>
      </c>
      <c r="BJ1444" s="5" t="s">
        <v>240</v>
      </c>
      <c r="BK1444" s="8">
        <f>0</f>
        <v>0</v>
      </c>
      <c r="BL1444" s="7">
        <f>0</f>
        <v>0</v>
      </c>
      <c r="BM1444" s="5" t="s">
        <v>258</v>
      </c>
      <c r="BN1444" s="5" t="s">
        <v>259</v>
      </c>
      <c r="CB1444" s="5" t="s">
        <v>240</v>
      </c>
      <c r="CC1444" s="5" t="s">
        <v>240</v>
      </c>
      <c r="CG1444" s="5" t="s">
        <v>304</v>
      </c>
      <c r="CH1444" s="5" t="s">
        <v>305</v>
      </c>
      <c r="CI1444" s="5" t="s">
        <v>240</v>
      </c>
      <c r="CL1444" s="6" t="s">
        <v>261</v>
      </c>
      <c r="CM1444" s="5" t="s">
        <v>240</v>
      </c>
      <c r="CN1444" s="5" t="s">
        <v>263</v>
      </c>
      <c r="CO1444" s="5" t="s">
        <v>240</v>
      </c>
      <c r="CP1444" s="5" t="s">
        <v>240</v>
      </c>
      <c r="CQ1444" s="5">
        <v>0</v>
      </c>
      <c r="CR1444" s="5" t="s">
        <v>306</v>
      </c>
      <c r="CS1444" s="5" t="s">
        <v>307</v>
      </c>
      <c r="CT1444" s="5" t="s">
        <v>307</v>
      </c>
      <c r="CU1444" s="5" t="s">
        <v>260</v>
      </c>
      <c r="CX1444" s="7">
        <f>1</f>
        <v>1</v>
      </c>
      <c r="CY1444" s="7">
        <f>0</f>
        <v>0</v>
      </c>
      <c r="DA1444" s="7">
        <f>0</f>
        <v>0</v>
      </c>
      <c r="DC1444" s="5" t="s">
        <v>812</v>
      </c>
      <c r="DD1444" s="5" t="s">
        <v>240</v>
      </c>
      <c r="DF1444" s="5" t="s">
        <v>812</v>
      </c>
      <c r="DG1444" s="7">
        <f>1661</f>
        <v>1661</v>
      </c>
      <c r="DI1444" s="5" t="s">
        <v>240</v>
      </c>
      <c r="DJ1444" s="5" t="s">
        <v>240</v>
      </c>
      <c r="DK1444" s="5" t="s">
        <v>240</v>
      </c>
      <c r="DL1444" s="5" t="s">
        <v>240</v>
      </c>
      <c r="DP1444" s="5" t="s">
        <v>240</v>
      </c>
      <c r="DQ1444" s="5" t="s">
        <v>240</v>
      </c>
      <c r="DR1444" s="5" t="s">
        <v>240</v>
      </c>
      <c r="DS1444" s="5" t="s">
        <v>240</v>
      </c>
      <c r="DV1444" s="5" t="s">
        <v>813</v>
      </c>
      <c r="DW1444" s="5" t="s">
        <v>3019</v>
      </c>
      <c r="HO1444" s="5" t="s">
        <v>312</v>
      </c>
    </row>
    <row r="1445" spans="1:223" x14ac:dyDescent="0.4">
      <c r="A1445" s="5">
        <v>3120</v>
      </c>
      <c r="B1445" s="5">
        <v>1</v>
      </c>
      <c r="C1445" s="5">
        <v>1</v>
      </c>
      <c r="D1445" s="5" t="s">
        <v>297</v>
      </c>
      <c r="E1445" s="5" t="s">
        <v>245</v>
      </c>
      <c r="F1445" s="5" t="s">
        <v>254</v>
      </c>
      <c r="G1445" s="5" t="s">
        <v>240</v>
      </c>
      <c r="H1445" s="6" t="s">
        <v>4751</v>
      </c>
      <c r="I1445" s="5" t="s">
        <v>295</v>
      </c>
      <c r="J1445" s="8">
        <f>260</f>
        <v>260</v>
      </c>
      <c r="K1445" s="5" t="s">
        <v>308</v>
      </c>
      <c r="L1445" s="7">
        <f>1</f>
        <v>1</v>
      </c>
      <c r="M1445" s="7">
        <f>1</f>
        <v>1</v>
      </c>
      <c r="N1445" s="5" t="s">
        <v>242</v>
      </c>
      <c r="O1445" s="5">
        <v>1</v>
      </c>
      <c r="P1445" s="5" t="s">
        <v>294</v>
      </c>
      <c r="Q1445" s="5" t="s">
        <v>266</v>
      </c>
      <c r="R1445" s="5" t="s">
        <v>240</v>
      </c>
      <c r="S1445" s="5" t="s">
        <v>240</v>
      </c>
      <c r="T1445" s="5" t="s">
        <v>296</v>
      </c>
      <c r="U1445" s="5" t="s">
        <v>244</v>
      </c>
      <c r="V1445" s="5" t="s">
        <v>240</v>
      </c>
      <c r="Y1445" s="5" t="s">
        <v>240</v>
      </c>
      <c r="Z1445" s="6" t="s">
        <v>298</v>
      </c>
      <c r="AB1445" s="6" t="s">
        <v>240</v>
      </c>
      <c r="AE1445" s="6" t="s">
        <v>299</v>
      </c>
      <c r="AF1445" s="5" t="s">
        <v>248</v>
      </c>
      <c r="AG1445" s="5" t="s">
        <v>249</v>
      </c>
      <c r="AW1445" s="5" t="s">
        <v>251</v>
      </c>
      <c r="AX1445" s="5" t="s">
        <v>240</v>
      </c>
      <c r="AY1445" s="5" t="s">
        <v>253</v>
      </c>
      <c r="AZ1445" s="5" t="s">
        <v>240</v>
      </c>
      <c r="BA1445" s="5" t="s">
        <v>255</v>
      </c>
      <c r="BB1445" s="5" t="s">
        <v>240</v>
      </c>
      <c r="BD1445" s="5" t="s">
        <v>240</v>
      </c>
      <c r="BF1445" s="5" t="s">
        <v>301</v>
      </c>
      <c r="BG1445" s="6" t="s">
        <v>299</v>
      </c>
      <c r="BH1445" s="5" t="s">
        <v>302</v>
      </c>
      <c r="BI1445" s="5" t="s">
        <v>303</v>
      </c>
      <c r="BJ1445" s="5" t="s">
        <v>240</v>
      </c>
      <c r="BK1445" s="8">
        <f>0</f>
        <v>0</v>
      </c>
      <c r="BL1445" s="7">
        <f>0</f>
        <v>0</v>
      </c>
      <c r="BM1445" s="5" t="s">
        <v>258</v>
      </c>
      <c r="BN1445" s="5" t="s">
        <v>259</v>
      </c>
      <c r="CB1445" s="5" t="s">
        <v>240</v>
      </c>
      <c r="CC1445" s="5" t="s">
        <v>240</v>
      </c>
      <c r="CG1445" s="5" t="s">
        <v>304</v>
      </c>
      <c r="CH1445" s="5" t="s">
        <v>305</v>
      </c>
      <c r="CI1445" s="5" t="s">
        <v>240</v>
      </c>
      <c r="CL1445" s="6" t="s">
        <v>261</v>
      </c>
      <c r="CM1445" s="5" t="s">
        <v>240</v>
      </c>
      <c r="CN1445" s="5" t="s">
        <v>263</v>
      </c>
      <c r="CO1445" s="5" t="s">
        <v>240</v>
      </c>
      <c r="CP1445" s="5" t="s">
        <v>240</v>
      </c>
      <c r="CQ1445" s="5">
        <v>0</v>
      </c>
      <c r="CR1445" s="5" t="s">
        <v>306</v>
      </c>
      <c r="CS1445" s="5" t="s">
        <v>307</v>
      </c>
      <c r="CT1445" s="5" t="s">
        <v>307</v>
      </c>
      <c r="CU1445" s="5" t="s">
        <v>260</v>
      </c>
      <c r="CX1445" s="7">
        <f>1</f>
        <v>1</v>
      </c>
      <c r="CY1445" s="7">
        <f>0</f>
        <v>0</v>
      </c>
      <c r="DA1445" s="7">
        <f>0</f>
        <v>0</v>
      </c>
      <c r="DC1445" s="5" t="s">
        <v>812</v>
      </c>
      <c r="DD1445" s="5" t="s">
        <v>240</v>
      </c>
      <c r="DF1445" s="5" t="s">
        <v>812</v>
      </c>
      <c r="DG1445" s="7">
        <f>503</f>
        <v>503</v>
      </c>
      <c r="DI1445" s="5" t="s">
        <v>240</v>
      </c>
      <c r="DJ1445" s="5" t="s">
        <v>240</v>
      </c>
      <c r="DK1445" s="5" t="s">
        <v>240</v>
      </c>
      <c r="DL1445" s="5" t="s">
        <v>240</v>
      </c>
      <c r="DP1445" s="5" t="s">
        <v>240</v>
      </c>
      <c r="DQ1445" s="5" t="s">
        <v>240</v>
      </c>
      <c r="DR1445" s="5" t="s">
        <v>240</v>
      </c>
      <c r="DS1445" s="5" t="s">
        <v>240</v>
      </c>
      <c r="DV1445" s="5" t="s">
        <v>813</v>
      </c>
      <c r="DW1445" s="5" t="s">
        <v>3021</v>
      </c>
      <c r="HO1445" s="5" t="s">
        <v>312</v>
      </c>
    </row>
    <row r="1446" spans="1:223" x14ac:dyDescent="0.4">
      <c r="A1446" s="5">
        <v>3121</v>
      </c>
      <c r="B1446" s="5">
        <v>1</v>
      </c>
      <c r="C1446" s="5">
        <v>1</v>
      </c>
      <c r="D1446" s="5" t="s">
        <v>297</v>
      </c>
      <c r="E1446" s="5" t="s">
        <v>245</v>
      </c>
      <c r="F1446" s="5" t="s">
        <v>254</v>
      </c>
      <c r="G1446" s="5" t="s">
        <v>240</v>
      </c>
      <c r="H1446" s="6" t="s">
        <v>4749</v>
      </c>
      <c r="I1446" s="5" t="s">
        <v>295</v>
      </c>
      <c r="J1446" s="8">
        <f>889</f>
        <v>889</v>
      </c>
      <c r="K1446" s="5" t="s">
        <v>308</v>
      </c>
      <c r="L1446" s="7">
        <f>1</f>
        <v>1</v>
      </c>
      <c r="M1446" s="7">
        <f>1</f>
        <v>1</v>
      </c>
      <c r="N1446" s="5" t="s">
        <v>242</v>
      </c>
      <c r="O1446" s="5">
        <v>1</v>
      </c>
      <c r="P1446" s="5" t="s">
        <v>294</v>
      </c>
      <c r="Q1446" s="5" t="s">
        <v>266</v>
      </c>
      <c r="R1446" s="5" t="s">
        <v>240</v>
      </c>
      <c r="S1446" s="5" t="s">
        <v>240</v>
      </c>
      <c r="T1446" s="5" t="s">
        <v>296</v>
      </c>
      <c r="U1446" s="5" t="s">
        <v>244</v>
      </c>
      <c r="V1446" s="5" t="s">
        <v>240</v>
      </c>
      <c r="Y1446" s="5" t="s">
        <v>240</v>
      </c>
      <c r="Z1446" s="6" t="s">
        <v>298</v>
      </c>
      <c r="AB1446" s="6" t="s">
        <v>240</v>
      </c>
      <c r="AE1446" s="6" t="s">
        <v>299</v>
      </c>
      <c r="AF1446" s="5" t="s">
        <v>248</v>
      </c>
      <c r="AG1446" s="5" t="s">
        <v>249</v>
      </c>
      <c r="AW1446" s="5" t="s">
        <v>251</v>
      </c>
      <c r="AX1446" s="5" t="s">
        <v>240</v>
      </c>
      <c r="AY1446" s="5" t="s">
        <v>253</v>
      </c>
      <c r="AZ1446" s="5" t="s">
        <v>240</v>
      </c>
      <c r="BA1446" s="5" t="s">
        <v>255</v>
      </c>
      <c r="BB1446" s="5" t="s">
        <v>240</v>
      </c>
      <c r="BD1446" s="5" t="s">
        <v>240</v>
      </c>
      <c r="BF1446" s="5" t="s">
        <v>301</v>
      </c>
      <c r="BG1446" s="6" t="s">
        <v>299</v>
      </c>
      <c r="BH1446" s="5" t="s">
        <v>302</v>
      </c>
      <c r="BI1446" s="5" t="s">
        <v>303</v>
      </c>
      <c r="BJ1446" s="5" t="s">
        <v>240</v>
      </c>
      <c r="BK1446" s="8">
        <f>0</f>
        <v>0</v>
      </c>
      <c r="BL1446" s="7">
        <f>0</f>
        <v>0</v>
      </c>
      <c r="BM1446" s="5" t="s">
        <v>258</v>
      </c>
      <c r="BN1446" s="5" t="s">
        <v>259</v>
      </c>
      <c r="CB1446" s="5" t="s">
        <v>240</v>
      </c>
      <c r="CC1446" s="5" t="s">
        <v>240</v>
      </c>
      <c r="CG1446" s="5" t="s">
        <v>304</v>
      </c>
      <c r="CH1446" s="5" t="s">
        <v>305</v>
      </c>
      <c r="CI1446" s="5" t="s">
        <v>240</v>
      </c>
      <c r="CL1446" s="6" t="s">
        <v>261</v>
      </c>
      <c r="CM1446" s="5" t="s">
        <v>240</v>
      </c>
      <c r="CN1446" s="5" t="s">
        <v>263</v>
      </c>
      <c r="CO1446" s="5" t="s">
        <v>240</v>
      </c>
      <c r="CP1446" s="5" t="s">
        <v>240</v>
      </c>
      <c r="CQ1446" s="5">
        <v>0</v>
      </c>
      <c r="CR1446" s="5" t="s">
        <v>306</v>
      </c>
      <c r="CS1446" s="5" t="s">
        <v>307</v>
      </c>
      <c r="CT1446" s="5" t="s">
        <v>307</v>
      </c>
      <c r="CU1446" s="5" t="s">
        <v>260</v>
      </c>
      <c r="CX1446" s="7">
        <f>1</f>
        <v>1</v>
      </c>
      <c r="CY1446" s="7">
        <f>0</f>
        <v>0</v>
      </c>
      <c r="DA1446" s="7">
        <f>0</f>
        <v>0</v>
      </c>
      <c r="DC1446" s="5" t="s">
        <v>812</v>
      </c>
      <c r="DD1446" s="5" t="s">
        <v>240</v>
      </c>
      <c r="DF1446" s="5" t="s">
        <v>812</v>
      </c>
      <c r="DG1446" s="7">
        <f>825</f>
        <v>825</v>
      </c>
      <c r="DI1446" s="5" t="s">
        <v>240</v>
      </c>
      <c r="DJ1446" s="5" t="s">
        <v>240</v>
      </c>
      <c r="DK1446" s="5" t="s">
        <v>240</v>
      </c>
      <c r="DL1446" s="5" t="s">
        <v>240</v>
      </c>
      <c r="DP1446" s="5" t="s">
        <v>240</v>
      </c>
      <c r="DQ1446" s="5" t="s">
        <v>240</v>
      </c>
      <c r="DR1446" s="5" t="s">
        <v>240</v>
      </c>
      <c r="DS1446" s="5" t="s">
        <v>240</v>
      </c>
      <c r="DV1446" s="5" t="s">
        <v>813</v>
      </c>
      <c r="DW1446" s="5" t="s">
        <v>3023</v>
      </c>
      <c r="HO1446" s="5" t="s">
        <v>312</v>
      </c>
    </row>
    <row r="1447" spans="1:223" x14ac:dyDescent="0.4">
      <c r="A1447" s="5">
        <v>3122</v>
      </c>
      <c r="B1447" s="5">
        <v>1</v>
      </c>
      <c r="C1447" s="5">
        <v>1</v>
      </c>
      <c r="D1447" s="5" t="s">
        <v>297</v>
      </c>
      <c r="E1447" s="5" t="s">
        <v>245</v>
      </c>
      <c r="F1447" s="5" t="s">
        <v>254</v>
      </c>
      <c r="G1447" s="5" t="s">
        <v>240</v>
      </c>
      <c r="H1447" s="6" t="s">
        <v>4748</v>
      </c>
      <c r="I1447" s="5" t="s">
        <v>295</v>
      </c>
      <c r="J1447" s="8">
        <f>2172</f>
        <v>2172</v>
      </c>
      <c r="K1447" s="5" t="s">
        <v>308</v>
      </c>
      <c r="L1447" s="7">
        <f>1</f>
        <v>1</v>
      </c>
      <c r="M1447" s="7">
        <f>1</f>
        <v>1</v>
      </c>
      <c r="N1447" s="5" t="s">
        <v>242</v>
      </c>
      <c r="O1447" s="5">
        <v>1</v>
      </c>
      <c r="P1447" s="5" t="s">
        <v>294</v>
      </c>
      <c r="Q1447" s="5" t="s">
        <v>266</v>
      </c>
      <c r="R1447" s="5" t="s">
        <v>240</v>
      </c>
      <c r="S1447" s="5" t="s">
        <v>240</v>
      </c>
      <c r="T1447" s="5" t="s">
        <v>296</v>
      </c>
      <c r="U1447" s="5" t="s">
        <v>244</v>
      </c>
      <c r="V1447" s="5" t="s">
        <v>240</v>
      </c>
      <c r="Y1447" s="5" t="s">
        <v>240</v>
      </c>
      <c r="Z1447" s="6" t="s">
        <v>298</v>
      </c>
      <c r="AB1447" s="6" t="s">
        <v>240</v>
      </c>
      <c r="AE1447" s="6" t="s">
        <v>299</v>
      </c>
      <c r="AF1447" s="5" t="s">
        <v>248</v>
      </c>
      <c r="AG1447" s="5" t="s">
        <v>249</v>
      </c>
      <c r="AW1447" s="5" t="s">
        <v>251</v>
      </c>
      <c r="AX1447" s="5" t="s">
        <v>240</v>
      </c>
      <c r="AY1447" s="5" t="s">
        <v>253</v>
      </c>
      <c r="AZ1447" s="5" t="s">
        <v>240</v>
      </c>
      <c r="BA1447" s="5" t="s">
        <v>255</v>
      </c>
      <c r="BB1447" s="5" t="s">
        <v>240</v>
      </c>
      <c r="BD1447" s="5" t="s">
        <v>240</v>
      </c>
      <c r="BF1447" s="5" t="s">
        <v>301</v>
      </c>
      <c r="BG1447" s="6" t="s">
        <v>299</v>
      </c>
      <c r="BH1447" s="5" t="s">
        <v>302</v>
      </c>
      <c r="BI1447" s="5" t="s">
        <v>303</v>
      </c>
      <c r="BJ1447" s="5" t="s">
        <v>240</v>
      </c>
      <c r="BK1447" s="8">
        <f>0</f>
        <v>0</v>
      </c>
      <c r="BL1447" s="7">
        <f>0</f>
        <v>0</v>
      </c>
      <c r="BM1447" s="5" t="s">
        <v>258</v>
      </c>
      <c r="BN1447" s="5" t="s">
        <v>259</v>
      </c>
      <c r="CB1447" s="5" t="s">
        <v>240</v>
      </c>
      <c r="CC1447" s="5" t="s">
        <v>240</v>
      </c>
      <c r="CG1447" s="5" t="s">
        <v>304</v>
      </c>
      <c r="CH1447" s="5" t="s">
        <v>305</v>
      </c>
      <c r="CI1447" s="5" t="s">
        <v>240</v>
      </c>
      <c r="CL1447" s="6" t="s">
        <v>261</v>
      </c>
      <c r="CM1447" s="5" t="s">
        <v>240</v>
      </c>
      <c r="CN1447" s="5" t="s">
        <v>263</v>
      </c>
      <c r="CO1447" s="5" t="s">
        <v>240</v>
      </c>
      <c r="CP1447" s="5" t="s">
        <v>240</v>
      </c>
      <c r="CQ1447" s="5">
        <v>0</v>
      </c>
      <c r="CR1447" s="5" t="s">
        <v>306</v>
      </c>
      <c r="CS1447" s="5" t="s">
        <v>307</v>
      </c>
      <c r="CT1447" s="5" t="s">
        <v>307</v>
      </c>
      <c r="CU1447" s="5" t="s">
        <v>260</v>
      </c>
      <c r="CX1447" s="7">
        <f>1</f>
        <v>1</v>
      </c>
      <c r="CY1447" s="7">
        <f>0</f>
        <v>0</v>
      </c>
      <c r="DA1447" s="7">
        <f>0</f>
        <v>0</v>
      </c>
      <c r="DC1447" s="5" t="s">
        <v>812</v>
      </c>
      <c r="DD1447" s="5" t="s">
        <v>240</v>
      </c>
      <c r="DF1447" s="5" t="s">
        <v>812</v>
      </c>
      <c r="DG1447" s="7">
        <f>572</f>
        <v>572</v>
      </c>
      <c r="DI1447" s="5" t="s">
        <v>240</v>
      </c>
      <c r="DJ1447" s="5" t="s">
        <v>240</v>
      </c>
      <c r="DK1447" s="5" t="s">
        <v>240</v>
      </c>
      <c r="DL1447" s="5" t="s">
        <v>240</v>
      </c>
      <c r="DP1447" s="5" t="s">
        <v>240</v>
      </c>
      <c r="DQ1447" s="5" t="s">
        <v>240</v>
      </c>
      <c r="DR1447" s="5" t="s">
        <v>240</v>
      </c>
      <c r="DS1447" s="5" t="s">
        <v>240</v>
      </c>
      <c r="DV1447" s="5" t="s">
        <v>813</v>
      </c>
      <c r="DW1447" s="5" t="s">
        <v>3025</v>
      </c>
      <c r="HO1447" s="5" t="s">
        <v>312</v>
      </c>
    </row>
    <row r="1448" spans="1:223" x14ac:dyDescent="0.4">
      <c r="A1448" s="5">
        <v>3123</v>
      </c>
      <c r="B1448" s="5">
        <v>1</v>
      </c>
      <c r="C1448" s="5">
        <v>1</v>
      </c>
      <c r="D1448" s="5" t="s">
        <v>297</v>
      </c>
      <c r="E1448" s="5" t="s">
        <v>245</v>
      </c>
      <c r="F1448" s="5" t="s">
        <v>254</v>
      </c>
      <c r="G1448" s="5" t="s">
        <v>240</v>
      </c>
      <c r="H1448" s="6" t="s">
        <v>4747</v>
      </c>
      <c r="I1448" s="5" t="s">
        <v>295</v>
      </c>
      <c r="J1448" s="8">
        <f>357</f>
        <v>357</v>
      </c>
      <c r="K1448" s="5" t="s">
        <v>308</v>
      </c>
      <c r="L1448" s="7">
        <f>1</f>
        <v>1</v>
      </c>
      <c r="M1448" s="7">
        <f>1</f>
        <v>1</v>
      </c>
      <c r="N1448" s="5" t="s">
        <v>242</v>
      </c>
      <c r="O1448" s="5">
        <v>1</v>
      </c>
      <c r="P1448" s="5" t="s">
        <v>294</v>
      </c>
      <c r="Q1448" s="5" t="s">
        <v>266</v>
      </c>
      <c r="R1448" s="5" t="s">
        <v>240</v>
      </c>
      <c r="S1448" s="5" t="s">
        <v>240</v>
      </c>
      <c r="T1448" s="5" t="s">
        <v>296</v>
      </c>
      <c r="U1448" s="5" t="s">
        <v>244</v>
      </c>
      <c r="V1448" s="5" t="s">
        <v>240</v>
      </c>
      <c r="Y1448" s="5" t="s">
        <v>240</v>
      </c>
      <c r="Z1448" s="6" t="s">
        <v>298</v>
      </c>
      <c r="AB1448" s="6" t="s">
        <v>240</v>
      </c>
      <c r="AE1448" s="6" t="s">
        <v>299</v>
      </c>
      <c r="AF1448" s="5" t="s">
        <v>248</v>
      </c>
      <c r="AG1448" s="5" t="s">
        <v>249</v>
      </c>
      <c r="AW1448" s="5" t="s">
        <v>251</v>
      </c>
      <c r="AX1448" s="5" t="s">
        <v>240</v>
      </c>
      <c r="AY1448" s="5" t="s">
        <v>253</v>
      </c>
      <c r="AZ1448" s="5" t="s">
        <v>240</v>
      </c>
      <c r="BA1448" s="5" t="s">
        <v>255</v>
      </c>
      <c r="BB1448" s="5" t="s">
        <v>240</v>
      </c>
      <c r="BD1448" s="5" t="s">
        <v>240</v>
      </c>
      <c r="BF1448" s="5" t="s">
        <v>301</v>
      </c>
      <c r="BG1448" s="6" t="s">
        <v>299</v>
      </c>
      <c r="BH1448" s="5" t="s">
        <v>302</v>
      </c>
      <c r="BI1448" s="5" t="s">
        <v>303</v>
      </c>
      <c r="BJ1448" s="5" t="s">
        <v>240</v>
      </c>
      <c r="BK1448" s="8">
        <f>0</f>
        <v>0</v>
      </c>
      <c r="BL1448" s="7">
        <f>0</f>
        <v>0</v>
      </c>
      <c r="BM1448" s="5" t="s">
        <v>258</v>
      </c>
      <c r="BN1448" s="5" t="s">
        <v>259</v>
      </c>
      <c r="CB1448" s="5" t="s">
        <v>240</v>
      </c>
      <c r="CC1448" s="5" t="s">
        <v>240</v>
      </c>
      <c r="CG1448" s="5" t="s">
        <v>304</v>
      </c>
      <c r="CH1448" s="5" t="s">
        <v>305</v>
      </c>
      <c r="CI1448" s="5" t="s">
        <v>240</v>
      </c>
      <c r="CL1448" s="6" t="s">
        <v>261</v>
      </c>
      <c r="CM1448" s="5" t="s">
        <v>240</v>
      </c>
      <c r="CN1448" s="5" t="s">
        <v>263</v>
      </c>
      <c r="CO1448" s="5" t="s">
        <v>240</v>
      </c>
      <c r="CP1448" s="5" t="s">
        <v>240</v>
      </c>
      <c r="CQ1448" s="5">
        <v>0</v>
      </c>
      <c r="CR1448" s="5" t="s">
        <v>306</v>
      </c>
      <c r="CS1448" s="5" t="s">
        <v>307</v>
      </c>
      <c r="CT1448" s="5" t="s">
        <v>307</v>
      </c>
      <c r="CU1448" s="5" t="s">
        <v>260</v>
      </c>
      <c r="CX1448" s="7">
        <f>1</f>
        <v>1</v>
      </c>
      <c r="CY1448" s="7">
        <f>0</f>
        <v>0</v>
      </c>
      <c r="DA1448" s="7">
        <f>0</f>
        <v>0</v>
      </c>
      <c r="DC1448" s="5" t="s">
        <v>812</v>
      </c>
      <c r="DD1448" s="5" t="s">
        <v>240</v>
      </c>
      <c r="DF1448" s="5" t="s">
        <v>812</v>
      </c>
      <c r="DG1448" s="7">
        <f>1438</f>
        <v>1438</v>
      </c>
      <c r="DI1448" s="5" t="s">
        <v>240</v>
      </c>
      <c r="DJ1448" s="5" t="s">
        <v>240</v>
      </c>
      <c r="DK1448" s="5" t="s">
        <v>240</v>
      </c>
      <c r="DL1448" s="5" t="s">
        <v>240</v>
      </c>
      <c r="DP1448" s="5" t="s">
        <v>240</v>
      </c>
      <c r="DQ1448" s="5" t="s">
        <v>240</v>
      </c>
      <c r="DR1448" s="5" t="s">
        <v>240</v>
      </c>
      <c r="DS1448" s="5" t="s">
        <v>240</v>
      </c>
      <c r="DV1448" s="5" t="s">
        <v>813</v>
      </c>
      <c r="DW1448" s="5" t="s">
        <v>3027</v>
      </c>
      <c r="HO1448" s="5" t="s">
        <v>312</v>
      </c>
    </row>
    <row r="1449" spans="1:223" x14ac:dyDescent="0.4">
      <c r="A1449" s="5">
        <v>3124</v>
      </c>
      <c r="B1449" s="5">
        <v>1</v>
      </c>
      <c r="C1449" s="5">
        <v>1</v>
      </c>
      <c r="D1449" s="5" t="s">
        <v>297</v>
      </c>
      <c r="E1449" s="5" t="s">
        <v>245</v>
      </c>
      <c r="F1449" s="5" t="s">
        <v>254</v>
      </c>
      <c r="G1449" s="5" t="s">
        <v>240</v>
      </c>
      <c r="H1449" s="6" t="s">
        <v>4746</v>
      </c>
      <c r="I1449" s="5" t="s">
        <v>295</v>
      </c>
      <c r="J1449" s="8">
        <f>1250</f>
        <v>1250</v>
      </c>
      <c r="K1449" s="5" t="s">
        <v>308</v>
      </c>
      <c r="L1449" s="7">
        <f>1</f>
        <v>1</v>
      </c>
      <c r="M1449" s="7">
        <f>1</f>
        <v>1</v>
      </c>
      <c r="N1449" s="5" t="s">
        <v>242</v>
      </c>
      <c r="O1449" s="5">
        <v>1</v>
      </c>
      <c r="P1449" s="5" t="s">
        <v>294</v>
      </c>
      <c r="Q1449" s="5" t="s">
        <v>266</v>
      </c>
      <c r="R1449" s="5" t="s">
        <v>240</v>
      </c>
      <c r="S1449" s="5" t="s">
        <v>240</v>
      </c>
      <c r="T1449" s="5" t="s">
        <v>296</v>
      </c>
      <c r="U1449" s="5" t="s">
        <v>244</v>
      </c>
      <c r="V1449" s="5" t="s">
        <v>240</v>
      </c>
      <c r="Y1449" s="5" t="s">
        <v>240</v>
      </c>
      <c r="Z1449" s="6" t="s">
        <v>298</v>
      </c>
      <c r="AB1449" s="6" t="s">
        <v>240</v>
      </c>
      <c r="AE1449" s="6" t="s">
        <v>299</v>
      </c>
      <c r="AF1449" s="5" t="s">
        <v>248</v>
      </c>
      <c r="AG1449" s="5" t="s">
        <v>249</v>
      </c>
      <c r="AW1449" s="5" t="s">
        <v>251</v>
      </c>
      <c r="AX1449" s="5" t="s">
        <v>240</v>
      </c>
      <c r="AY1449" s="5" t="s">
        <v>253</v>
      </c>
      <c r="AZ1449" s="5" t="s">
        <v>240</v>
      </c>
      <c r="BA1449" s="5" t="s">
        <v>255</v>
      </c>
      <c r="BB1449" s="5" t="s">
        <v>240</v>
      </c>
      <c r="BD1449" s="5" t="s">
        <v>240</v>
      </c>
      <c r="BF1449" s="5" t="s">
        <v>301</v>
      </c>
      <c r="BG1449" s="6" t="s">
        <v>299</v>
      </c>
      <c r="BH1449" s="5" t="s">
        <v>302</v>
      </c>
      <c r="BI1449" s="5" t="s">
        <v>303</v>
      </c>
      <c r="BJ1449" s="5" t="s">
        <v>240</v>
      </c>
      <c r="BK1449" s="8">
        <f>0</f>
        <v>0</v>
      </c>
      <c r="BL1449" s="7">
        <f>0</f>
        <v>0</v>
      </c>
      <c r="BM1449" s="5" t="s">
        <v>258</v>
      </c>
      <c r="BN1449" s="5" t="s">
        <v>259</v>
      </c>
      <c r="CB1449" s="5" t="s">
        <v>240</v>
      </c>
      <c r="CC1449" s="5" t="s">
        <v>240</v>
      </c>
      <c r="CG1449" s="5" t="s">
        <v>304</v>
      </c>
      <c r="CH1449" s="5" t="s">
        <v>305</v>
      </c>
      <c r="CI1449" s="5" t="s">
        <v>240</v>
      </c>
      <c r="CL1449" s="6" t="s">
        <v>261</v>
      </c>
      <c r="CM1449" s="5" t="s">
        <v>240</v>
      </c>
      <c r="CN1449" s="5" t="s">
        <v>263</v>
      </c>
      <c r="CO1449" s="5" t="s">
        <v>240</v>
      </c>
      <c r="CP1449" s="5" t="s">
        <v>240</v>
      </c>
      <c r="CQ1449" s="5">
        <v>0</v>
      </c>
      <c r="CR1449" s="5" t="s">
        <v>306</v>
      </c>
      <c r="CS1449" s="5" t="s">
        <v>307</v>
      </c>
      <c r="CT1449" s="5" t="s">
        <v>307</v>
      </c>
      <c r="CU1449" s="5" t="s">
        <v>260</v>
      </c>
      <c r="CX1449" s="7">
        <f>1</f>
        <v>1</v>
      </c>
      <c r="CY1449" s="7">
        <f>0</f>
        <v>0</v>
      </c>
      <c r="DA1449" s="7">
        <f>0</f>
        <v>0</v>
      </c>
      <c r="DC1449" s="5" t="s">
        <v>812</v>
      </c>
      <c r="DD1449" s="5" t="s">
        <v>240</v>
      </c>
      <c r="DF1449" s="5" t="s">
        <v>812</v>
      </c>
      <c r="DG1449" s="7">
        <f>147</f>
        <v>147</v>
      </c>
      <c r="DI1449" s="5" t="s">
        <v>240</v>
      </c>
      <c r="DJ1449" s="5" t="s">
        <v>240</v>
      </c>
      <c r="DK1449" s="5" t="s">
        <v>240</v>
      </c>
      <c r="DL1449" s="5" t="s">
        <v>240</v>
      </c>
      <c r="DP1449" s="5" t="s">
        <v>240</v>
      </c>
      <c r="DQ1449" s="5" t="s">
        <v>240</v>
      </c>
      <c r="DR1449" s="5" t="s">
        <v>240</v>
      </c>
      <c r="DS1449" s="5" t="s">
        <v>240</v>
      </c>
      <c r="DV1449" s="5" t="s">
        <v>813</v>
      </c>
      <c r="DW1449" s="5" t="s">
        <v>3029</v>
      </c>
      <c r="HO1449" s="5" t="s">
        <v>312</v>
      </c>
    </row>
    <row r="1450" spans="1:223" x14ac:dyDescent="0.4">
      <c r="A1450" s="5">
        <v>3125</v>
      </c>
      <c r="B1450" s="5">
        <v>1</v>
      </c>
      <c r="C1450" s="5">
        <v>1</v>
      </c>
      <c r="D1450" s="5" t="s">
        <v>297</v>
      </c>
      <c r="E1450" s="5" t="s">
        <v>245</v>
      </c>
      <c r="F1450" s="5" t="s">
        <v>254</v>
      </c>
      <c r="G1450" s="5" t="s">
        <v>240</v>
      </c>
      <c r="H1450" s="6" t="s">
        <v>4744</v>
      </c>
      <c r="I1450" s="5" t="s">
        <v>295</v>
      </c>
      <c r="J1450" s="8">
        <f>4257</f>
        <v>4257</v>
      </c>
      <c r="K1450" s="5" t="s">
        <v>308</v>
      </c>
      <c r="L1450" s="7">
        <f>1</f>
        <v>1</v>
      </c>
      <c r="M1450" s="7">
        <f>1</f>
        <v>1</v>
      </c>
      <c r="N1450" s="5" t="s">
        <v>242</v>
      </c>
      <c r="O1450" s="5">
        <v>1</v>
      </c>
      <c r="P1450" s="5" t="s">
        <v>294</v>
      </c>
      <c r="Q1450" s="5" t="s">
        <v>266</v>
      </c>
      <c r="R1450" s="5" t="s">
        <v>240</v>
      </c>
      <c r="S1450" s="5" t="s">
        <v>240</v>
      </c>
      <c r="T1450" s="5" t="s">
        <v>296</v>
      </c>
      <c r="U1450" s="5" t="s">
        <v>244</v>
      </c>
      <c r="V1450" s="5" t="s">
        <v>240</v>
      </c>
      <c r="Y1450" s="5" t="s">
        <v>240</v>
      </c>
      <c r="Z1450" s="6" t="s">
        <v>298</v>
      </c>
      <c r="AB1450" s="6" t="s">
        <v>240</v>
      </c>
      <c r="AE1450" s="6" t="s">
        <v>299</v>
      </c>
      <c r="AF1450" s="5" t="s">
        <v>248</v>
      </c>
      <c r="AG1450" s="5" t="s">
        <v>249</v>
      </c>
      <c r="AW1450" s="5" t="s">
        <v>251</v>
      </c>
      <c r="AX1450" s="5" t="s">
        <v>240</v>
      </c>
      <c r="AY1450" s="5" t="s">
        <v>253</v>
      </c>
      <c r="AZ1450" s="5" t="s">
        <v>240</v>
      </c>
      <c r="BA1450" s="5" t="s">
        <v>255</v>
      </c>
      <c r="BB1450" s="5" t="s">
        <v>240</v>
      </c>
      <c r="BD1450" s="5" t="s">
        <v>240</v>
      </c>
      <c r="BF1450" s="5" t="s">
        <v>301</v>
      </c>
      <c r="BG1450" s="6" t="s">
        <v>299</v>
      </c>
      <c r="BH1450" s="5" t="s">
        <v>302</v>
      </c>
      <c r="BI1450" s="5" t="s">
        <v>303</v>
      </c>
      <c r="BJ1450" s="5" t="s">
        <v>240</v>
      </c>
      <c r="BK1450" s="8">
        <f>0</f>
        <v>0</v>
      </c>
      <c r="BL1450" s="7">
        <f>0</f>
        <v>0</v>
      </c>
      <c r="BM1450" s="5" t="s">
        <v>258</v>
      </c>
      <c r="BN1450" s="5" t="s">
        <v>259</v>
      </c>
      <c r="CB1450" s="5" t="s">
        <v>240</v>
      </c>
      <c r="CC1450" s="5" t="s">
        <v>240</v>
      </c>
      <c r="CG1450" s="5" t="s">
        <v>304</v>
      </c>
      <c r="CH1450" s="5" t="s">
        <v>305</v>
      </c>
      <c r="CI1450" s="5" t="s">
        <v>240</v>
      </c>
      <c r="CL1450" s="6" t="s">
        <v>261</v>
      </c>
      <c r="CM1450" s="5" t="s">
        <v>240</v>
      </c>
      <c r="CN1450" s="5" t="s">
        <v>263</v>
      </c>
      <c r="CO1450" s="5" t="s">
        <v>240</v>
      </c>
      <c r="CP1450" s="5" t="s">
        <v>240</v>
      </c>
      <c r="CQ1450" s="5">
        <v>0</v>
      </c>
      <c r="CR1450" s="5" t="s">
        <v>306</v>
      </c>
      <c r="CS1450" s="5" t="s">
        <v>307</v>
      </c>
      <c r="CT1450" s="5" t="s">
        <v>307</v>
      </c>
      <c r="CU1450" s="5" t="s">
        <v>260</v>
      </c>
      <c r="CX1450" s="7">
        <f>1</f>
        <v>1</v>
      </c>
      <c r="CY1450" s="7">
        <f>0</f>
        <v>0</v>
      </c>
      <c r="DA1450" s="7">
        <f>0</f>
        <v>0</v>
      </c>
      <c r="DC1450" s="5" t="s">
        <v>812</v>
      </c>
      <c r="DD1450" s="5" t="s">
        <v>240</v>
      </c>
      <c r="DF1450" s="5" t="s">
        <v>812</v>
      </c>
      <c r="DG1450" s="7">
        <f>275</f>
        <v>275</v>
      </c>
      <c r="DI1450" s="5" t="s">
        <v>240</v>
      </c>
      <c r="DJ1450" s="5" t="s">
        <v>240</v>
      </c>
      <c r="DK1450" s="5" t="s">
        <v>240</v>
      </c>
      <c r="DL1450" s="5" t="s">
        <v>240</v>
      </c>
      <c r="DP1450" s="5" t="s">
        <v>240</v>
      </c>
      <c r="DQ1450" s="5" t="s">
        <v>240</v>
      </c>
      <c r="DR1450" s="5" t="s">
        <v>240</v>
      </c>
      <c r="DS1450" s="5" t="s">
        <v>240</v>
      </c>
      <c r="DV1450" s="5" t="s">
        <v>813</v>
      </c>
      <c r="DW1450" s="5" t="s">
        <v>3031</v>
      </c>
      <c r="HO1450" s="5" t="s">
        <v>312</v>
      </c>
    </row>
    <row r="1451" spans="1:223" x14ac:dyDescent="0.4">
      <c r="A1451" s="5">
        <v>3126</v>
      </c>
      <c r="B1451" s="5">
        <v>1</v>
      </c>
      <c r="C1451" s="5">
        <v>1</v>
      </c>
      <c r="D1451" s="5" t="s">
        <v>297</v>
      </c>
      <c r="E1451" s="5" t="s">
        <v>245</v>
      </c>
      <c r="F1451" s="5" t="s">
        <v>254</v>
      </c>
      <c r="G1451" s="5" t="s">
        <v>240</v>
      </c>
      <c r="H1451" s="6" t="s">
        <v>4743</v>
      </c>
      <c r="I1451" s="5" t="s">
        <v>295</v>
      </c>
      <c r="J1451" s="8">
        <f>3590</f>
        <v>3590</v>
      </c>
      <c r="K1451" s="5" t="s">
        <v>308</v>
      </c>
      <c r="L1451" s="7">
        <f>1</f>
        <v>1</v>
      </c>
      <c r="M1451" s="7">
        <f>1</f>
        <v>1</v>
      </c>
      <c r="N1451" s="5" t="s">
        <v>242</v>
      </c>
      <c r="O1451" s="5">
        <v>1</v>
      </c>
      <c r="P1451" s="5" t="s">
        <v>294</v>
      </c>
      <c r="Q1451" s="5" t="s">
        <v>266</v>
      </c>
      <c r="R1451" s="5" t="s">
        <v>240</v>
      </c>
      <c r="S1451" s="5" t="s">
        <v>240</v>
      </c>
      <c r="T1451" s="5" t="s">
        <v>296</v>
      </c>
      <c r="U1451" s="5" t="s">
        <v>244</v>
      </c>
      <c r="V1451" s="5" t="s">
        <v>240</v>
      </c>
      <c r="Y1451" s="5" t="s">
        <v>240</v>
      </c>
      <c r="Z1451" s="6" t="s">
        <v>298</v>
      </c>
      <c r="AB1451" s="6" t="s">
        <v>240</v>
      </c>
      <c r="AE1451" s="6" t="s">
        <v>299</v>
      </c>
      <c r="AF1451" s="5" t="s">
        <v>248</v>
      </c>
      <c r="AG1451" s="5" t="s">
        <v>249</v>
      </c>
      <c r="AW1451" s="5" t="s">
        <v>251</v>
      </c>
      <c r="AX1451" s="5" t="s">
        <v>240</v>
      </c>
      <c r="AY1451" s="5" t="s">
        <v>253</v>
      </c>
      <c r="AZ1451" s="5" t="s">
        <v>240</v>
      </c>
      <c r="BA1451" s="5" t="s">
        <v>255</v>
      </c>
      <c r="BB1451" s="5" t="s">
        <v>240</v>
      </c>
      <c r="BD1451" s="5" t="s">
        <v>240</v>
      </c>
      <c r="BF1451" s="5" t="s">
        <v>301</v>
      </c>
      <c r="BG1451" s="6" t="s">
        <v>299</v>
      </c>
      <c r="BH1451" s="5" t="s">
        <v>302</v>
      </c>
      <c r="BI1451" s="5" t="s">
        <v>303</v>
      </c>
      <c r="BJ1451" s="5" t="s">
        <v>240</v>
      </c>
      <c r="BK1451" s="8">
        <f>0</f>
        <v>0</v>
      </c>
      <c r="BL1451" s="7">
        <f>0</f>
        <v>0</v>
      </c>
      <c r="BM1451" s="5" t="s">
        <v>258</v>
      </c>
      <c r="BN1451" s="5" t="s">
        <v>259</v>
      </c>
      <c r="CB1451" s="5" t="s">
        <v>240</v>
      </c>
      <c r="CC1451" s="5" t="s">
        <v>240</v>
      </c>
      <c r="CG1451" s="5" t="s">
        <v>304</v>
      </c>
      <c r="CH1451" s="5" t="s">
        <v>305</v>
      </c>
      <c r="CI1451" s="5" t="s">
        <v>240</v>
      </c>
      <c r="CL1451" s="6" t="s">
        <v>261</v>
      </c>
      <c r="CM1451" s="5" t="s">
        <v>240</v>
      </c>
      <c r="CN1451" s="5" t="s">
        <v>263</v>
      </c>
      <c r="CO1451" s="5" t="s">
        <v>240</v>
      </c>
      <c r="CP1451" s="5" t="s">
        <v>240</v>
      </c>
      <c r="CQ1451" s="5">
        <v>0</v>
      </c>
      <c r="CR1451" s="5" t="s">
        <v>306</v>
      </c>
      <c r="CS1451" s="5" t="s">
        <v>307</v>
      </c>
      <c r="CT1451" s="5" t="s">
        <v>307</v>
      </c>
      <c r="CU1451" s="5" t="s">
        <v>260</v>
      </c>
      <c r="CX1451" s="7">
        <f>1</f>
        <v>1</v>
      </c>
      <c r="CY1451" s="7">
        <f>0</f>
        <v>0</v>
      </c>
      <c r="DA1451" s="7">
        <f>0</f>
        <v>0</v>
      </c>
      <c r="DC1451" s="5" t="s">
        <v>812</v>
      </c>
      <c r="DD1451" s="5" t="s">
        <v>240</v>
      </c>
      <c r="DF1451" s="5" t="s">
        <v>812</v>
      </c>
      <c r="DG1451" s="7">
        <f>512</f>
        <v>512</v>
      </c>
      <c r="DI1451" s="5" t="s">
        <v>240</v>
      </c>
      <c r="DJ1451" s="5" t="s">
        <v>240</v>
      </c>
      <c r="DK1451" s="5" t="s">
        <v>240</v>
      </c>
      <c r="DL1451" s="5" t="s">
        <v>240</v>
      </c>
      <c r="DP1451" s="5" t="s">
        <v>240</v>
      </c>
      <c r="DQ1451" s="5" t="s">
        <v>240</v>
      </c>
      <c r="DR1451" s="5" t="s">
        <v>240</v>
      </c>
      <c r="DS1451" s="5" t="s">
        <v>240</v>
      </c>
      <c r="DV1451" s="5" t="s">
        <v>813</v>
      </c>
      <c r="DW1451" s="5" t="s">
        <v>3033</v>
      </c>
      <c r="HO1451" s="5" t="s">
        <v>312</v>
      </c>
    </row>
    <row r="1452" spans="1:223" x14ac:dyDescent="0.4">
      <c r="A1452" s="5">
        <v>3127</v>
      </c>
      <c r="B1452" s="5">
        <v>1</v>
      </c>
      <c r="C1452" s="5">
        <v>1</v>
      </c>
      <c r="D1452" s="5" t="s">
        <v>297</v>
      </c>
      <c r="E1452" s="5" t="s">
        <v>245</v>
      </c>
      <c r="F1452" s="5" t="s">
        <v>254</v>
      </c>
      <c r="G1452" s="5" t="s">
        <v>240</v>
      </c>
      <c r="H1452" s="6" t="s">
        <v>4742</v>
      </c>
      <c r="I1452" s="5" t="s">
        <v>295</v>
      </c>
      <c r="J1452" s="8">
        <f>325</f>
        <v>325</v>
      </c>
      <c r="K1452" s="5" t="s">
        <v>308</v>
      </c>
      <c r="L1452" s="7">
        <f>1</f>
        <v>1</v>
      </c>
      <c r="M1452" s="7">
        <f>1</f>
        <v>1</v>
      </c>
      <c r="N1452" s="5" t="s">
        <v>242</v>
      </c>
      <c r="O1452" s="5">
        <v>1</v>
      </c>
      <c r="P1452" s="5" t="s">
        <v>294</v>
      </c>
      <c r="Q1452" s="5" t="s">
        <v>266</v>
      </c>
      <c r="R1452" s="5" t="s">
        <v>240</v>
      </c>
      <c r="S1452" s="5" t="s">
        <v>240</v>
      </c>
      <c r="T1452" s="5" t="s">
        <v>296</v>
      </c>
      <c r="U1452" s="5" t="s">
        <v>244</v>
      </c>
      <c r="V1452" s="5" t="s">
        <v>240</v>
      </c>
      <c r="Y1452" s="5" t="s">
        <v>240</v>
      </c>
      <c r="Z1452" s="6" t="s">
        <v>298</v>
      </c>
      <c r="AB1452" s="6" t="s">
        <v>240</v>
      </c>
      <c r="AE1452" s="6" t="s">
        <v>299</v>
      </c>
      <c r="AF1452" s="5" t="s">
        <v>248</v>
      </c>
      <c r="AG1452" s="5" t="s">
        <v>249</v>
      </c>
      <c r="AW1452" s="5" t="s">
        <v>251</v>
      </c>
      <c r="AX1452" s="5" t="s">
        <v>240</v>
      </c>
      <c r="AY1452" s="5" t="s">
        <v>253</v>
      </c>
      <c r="AZ1452" s="5" t="s">
        <v>240</v>
      </c>
      <c r="BA1452" s="5" t="s">
        <v>255</v>
      </c>
      <c r="BB1452" s="5" t="s">
        <v>240</v>
      </c>
      <c r="BD1452" s="5" t="s">
        <v>240</v>
      </c>
      <c r="BF1452" s="5" t="s">
        <v>301</v>
      </c>
      <c r="BG1452" s="6" t="s">
        <v>299</v>
      </c>
      <c r="BH1452" s="5" t="s">
        <v>302</v>
      </c>
      <c r="BI1452" s="5" t="s">
        <v>303</v>
      </c>
      <c r="BJ1452" s="5" t="s">
        <v>240</v>
      </c>
      <c r="BK1452" s="8">
        <f>0</f>
        <v>0</v>
      </c>
      <c r="BL1452" s="7">
        <f>0</f>
        <v>0</v>
      </c>
      <c r="BM1452" s="5" t="s">
        <v>258</v>
      </c>
      <c r="BN1452" s="5" t="s">
        <v>259</v>
      </c>
      <c r="CB1452" s="5" t="s">
        <v>240</v>
      </c>
      <c r="CC1452" s="5" t="s">
        <v>240</v>
      </c>
      <c r="CG1452" s="5" t="s">
        <v>304</v>
      </c>
      <c r="CH1452" s="5" t="s">
        <v>305</v>
      </c>
      <c r="CI1452" s="5" t="s">
        <v>240</v>
      </c>
      <c r="CL1452" s="6" t="s">
        <v>261</v>
      </c>
      <c r="CM1452" s="5" t="s">
        <v>240</v>
      </c>
      <c r="CN1452" s="5" t="s">
        <v>263</v>
      </c>
      <c r="CO1452" s="5" t="s">
        <v>240</v>
      </c>
      <c r="CP1452" s="5" t="s">
        <v>240</v>
      </c>
      <c r="CQ1452" s="5">
        <v>0</v>
      </c>
      <c r="CR1452" s="5" t="s">
        <v>306</v>
      </c>
      <c r="CS1452" s="5" t="s">
        <v>307</v>
      </c>
      <c r="CT1452" s="5" t="s">
        <v>307</v>
      </c>
      <c r="CU1452" s="5" t="s">
        <v>260</v>
      </c>
      <c r="CX1452" s="7">
        <f>1</f>
        <v>1</v>
      </c>
      <c r="CY1452" s="7">
        <f>0</f>
        <v>0</v>
      </c>
      <c r="DA1452" s="7">
        <f>0</f>
        <v>0</v>
      </c>
      <c r="DC1452" s="5" t="s">
        <v>812</v>
      </c>
      <c r="DD1452" s="5" t="s">
        <v>240</v>
      </c>
      <c r="DF1452" s="5" t="s">
        <v>812</v>
      </c>
      <c r="DG1452" s="7">
        <f>171</f>
        <v>171</v>
      </c>
      <c r="DI1452" s="5" t="s">
        <v>240</v>
      </c>
      <c r="DJ1452" s="5" t="s">
        <v>240</v>
      </c>
      <c r="DK1452" s="5" t="s">
        <v>240</v>
      </c>
      <c r="DL1452" s="5" t="s">
        <v>240</v>
      </c>
      <c r="DP1452" s="5" t="s">
        <v>240</v>
      </c>
      <c r="DQ1452" s="5" t="s">
        <v>240</v>
      </c>
      <c r="DR1452" s="5" t="s">
        <v>240</v>
      </c>
      <c r="DS1452" s="5" t="s">
        <v>240</v>
      </c>
      <c r="DV1452" s="5" t="s">
        <v>813</v>
      </c>
      <c r="DW1452" s="5" t="s">
        <v>3035</v>
      </c>
      <c r="HO1452" s="5" t="s">
        <v>312</v>
      </c>
    </row>
    <row r="1453" spans="1:223" x14ac:dyDescent="0.4">
      <c r="A1453" s="5">
        <v>3128</v>
      </c>
      <c r="B1453" s="5">
        <v>1</v>
      </c>
      <c r="C1453" s="5">
        <v>1</v>
      </c>
      <c r="D1453" s="5" t="s">
        <v>297</v>
      </c>
      <c r="E1453" s="5" t="s">
        <v>245</v>
      </c>
      <c r="F1453" s="5" t="s">
        <v>254</v>
      </c>
      <c r="G1453" s="5" t="s">
        <v>240</v>
      </c>
      <c r="H1453" s="6" t="s">
        <v>4741</v>
      </c>
      <c r="I1453" s="5" t="s">
        <v>295</v>
      </c>
      <c r="J1453" s="8">
        <f>458</f>
        <v>458</v>
      </c>
      <c r="K1453" s="5" t="s">
        <v>308</v>
      </c>
      <c r="L1453" s="7">
        <f>1</f>
        <v>1</v>
      </c>
      <c r="M1453" s="7">
        <f>1</f>
        <v>1</v>
      </c>
      <c r="N1453" s="5" t="s">
        <v>242</v>
      </c>
      <c r="O1453" s="5">
        <v>1</v>
      </c>
      <c r="P1453" s="5" t="s">
        <v>294</v>
      </c>
      <c r="Q1453" s="5" t="s">
        <v>266</v>
      </c>
      <c r="R1453" s="5" t="s">
        <v>240</v>
      </c>
      <c r="S1453" s="5" t="s">
        <v>240</v>
      </c>
      <c r="T1453" s="5" t="s">
        <v>296</v>
      </c>
      <c r="U1453" s="5" t="s">
        <v>244</v>
      </c>
      <c r="V1453" s="5" t="s">
        <v>240</v>
      </c>
      <c r="Y1453" s="5" t="s">
        <v>240</v>
      </c>
      <c r="Z1453" s="6" t="s">
        <v>298</v>
      </c>
      <c r="AB1453" s="6" t="s">
        <v>240</v>
      </c>
      <c r="AE1453" s="6" t="s">
        <v>299</v>
      </c>
      <c r="AF1453" s="5" t="s">
        <v>248</v>
      </c>
      <c r="AG1453" s="5" t="s">
        <v>249</v>
      </c>
      <c r="AW1453" s="5" t="s">
        <v>251</v>
      </c>
      <c r="AX1453" s="5" t="s">
        <v>240</v>
      </c>
      <c r="AY1453" s="5" t="s">
        <v>253</v>
      </c>
      <c r="AZ1453" s="5" t="s">
        <v>240</v>
      </c>
      <c r="BA1453" s="5" t="s">
        <v>255</v>
      </c>
      <c r="BB1453" s="5" t="s">
        <v>240</v>
      </c>
      <c r="BD1453" s="5" t="s">
        <v>240</v>
      </c>
      <c r="BF1453" s="5" t="s">
        <v>301</v>
      </c>
      <c r="BG1453" s="6" t="s">
        <v>299</v>
      </c>
      <c r="BH1453" s="5" t="s">
        <v>302</v>
      </c>
      <c r="BI1453" s="5" t="s">
        <v>303</v>
      </c>
      <c r="BJ1453" s="5" t="s">
        <v>240</v>
      </c>
      <c r="BK1453" s="8">
        <f>0</f>
        <v>0</v>
      </c>
      <c r="BL1453" s="7">
        <f>0</f>
        <v>0</v>
      </c>
      <c r="BM1453" s="5" t="s">
        <v>258</v>
      </c>
      <c r="BN1453" s="5" t="s">
        <v>259</v>
      </c>
      <c r="CB1453" s="5" t="s">
        <v>240</v>
      </c>
      <c r="CC1453" s="5" t="s">
        <v>240</v>
      </c>
      <c r="CG1453" s="5" t="s">
        <v>304</v>
      </c>
      <c r="CH1453" s="5" t="s">
        <v>305</v>
      </c>
      <c r="CI1453" s="5" t="s">
        <v>240</v>
      </c>
      <c r="CL1453" s="6" t="s">
        <v>261</v>
      </c>
      <c r="CM1453" s="5" t="s">
        <v>240</v>
      </c>
      <c r="CN1453" s="5" t="s">
        <v>263</v>
      </c>
      <c r="CO1453" s="5" t="s">
        <v>240</v>
      </c>
      <c r="CP1453" s="5" t="s">
        <v>240</v>
      </c>
      <c r="CQ1453" s="5">
        <v>0</v>
      </c>
      <c r="CR1453" s="5" t="s">
        <v>306</v>
      </c>
      <c r="CS1453" s="5" t="s">
        <v>307</v>
      </c>
      <c r="CT1453" s="5" t="s">
        <v>307</v>
      </c>
      <c r="CU1453" s="5" t="s">
        <v>260</v>
      </c>
      <c r="CX1453" s="7">
        <f>1</f>
        <v>1</v>
      </c>
      <c r="CY1453" s="7">
        <f>0</f>
        <v>0</v>
      </c>
      <c r="DA1453" s="7">
        <f>0</f>
        <v>0</v>
      </c>
      <c r="DC1453" s="5" t="s">
        <v>812</v>
      </c>
      <c r="DD1453" s="5" t="s">
        <v>240</v>
      </c>
      <c r="DF1453" s="5" t="s">
        <v>812</v>
      </c>
      <c r="DG1453" s="7">
        <f>105</f>
        <v>105</v>
      </c>
      <c r="DI1453" s="5" t="s">
        <v>240</v>
      </c>
      <c r="DJ1453" s="5" t="s">
        <v>240</v>
      </c>
      <c r="DK1453" s="5" t="s">
        <v>240</v>
      </c>
      <c r="DL1453" s="5" t="s">
        <v>240</v>
      </c>
      <c r="DP1453" s="5" t="s">
        <v>240</v>
      </c>
      <c r="DQ1453" s="5" t="s">
        <v>240</v>
      </c>
      <c r="DR1453" s="5" t="s">
        <v>240</v>
      </c>
      <c r="DS1453" s="5" t="s">
        <v>240</v>
      </c>
      <c r="DV1453" s="5" t="s">
        <v>813</v>
      </c>
      <c r="DW1453" s="5" t="s">
        <v>3037</v>
      </c>
      <c r="HO1453" s="5" t="s">
        <v>312</v>
      </c>
    </row>
    <row r="1454" spans="1:223" x14ac:dyDescent="0.4">
      <c r="A1454" s="5">
        <v>3129</v>
      </c>
      <c r="B1454" s="5">
        <v>1</v>
      </c>
      <c r="C1454" s="5">
        <v>1</v>
      </c>
      <c r="D1454" s="5" t="s">
        <v>297</v>
      </c>
      <c r="E1454" s="5" t="s">
        <v>245</v>
      </c>
      <c r="F1454" s="5" t="s">
        <v>254</v>
      </c>
      <c r="G1454" s="5" t="s">
        <v>240</v>
      </c>
      <c r="H1454" s="6" t="s">
        <v>4739</v>
      </c>
      <c r="I1454" s="5" t="s">
        <v>295</v>
      </c>
      <c r="J1454" s="8">
        <f>2497</f>
        <v>2497</v>
      </c>
      <c r="K1454" s="5" t="s">
        <v>308</v>
      </c>
      <c r="L1454" s="7">
        <f>1</f>
        <v>1</v>
      </c>
      <c r="M1454" s="7">
        <f>1</f>
        <v>1</v>
      </c>
      <c r="N1454" s="5" t="s">
        <v>242</v>
      </c>
      <c r="O1454" s="5">
        <v>1</v>
      </c>
      <c r="P1454" s="5" t="s">
        <v>294</v>
      </c>
      <c r="Q1454" s="5" t="s">
        <v>266</v>
      </c>
      <c r="R1454" s="5" t="s">
        <v>240</v>
      </c>
      <c r="S1454" s="5" t="s">
        <v>240</v>
      </c>
      <c r="T1454" s="5" t="s">
        <v>296</v>
      </c>
      <c r="U1454" s="5" t="s">
        <v>244</v>
      </c>
      <c r="V1454" s="5" t="s">
        <v>240</v>
      </c>
      <c r="Y1454" s="5" t="s">
        <v>240</v>
      </c>
      <c r="Z1454" s="6" t="s">
        <v>298</v>
      </c>
      <c r="AB1454" s="6" t="s">
        <v>240</v>
      </c>
      <c r="AE1454" s="6" t="s">
        <v>299</v>
      </c>
      <c r="AF1454" s="5" t="s">
        <v>248</v>
      </c>
      <c r="AG1454" s="5" t="s">
        <v>249</v>
      </c>
      <c r="AW1454" s="5" t="s">
        <v>251</v>
      </c>
      <c r="AX1454" s="5" t="s">
        <v>240</v>
      </c>
      <c r="AY1454" s="5" t="s">
        <v>253</v>
      </c>
      <c r="AZ1454" s="5" t="s">
        <v>240</v>
      </c>
      <c r="BA1454" s="5" t="s">
        <v>255</v>
      </c>
      <c r="BB1454" s="5" t="s">
        <v>240</v>
      </c>
      <c r="BD1454" s="5" t="s">
        <v>240</v>
      </c>
      <c r="BF1454" s="5" t="s">
        <v>301</v>
      </c>
      <c r="BG1454" s="6" t="s">
        <v>299</v>
      </c>
      <c r="BH1454" s="5" t="s">
        <v>302</v>
      </c>
      <c r="BI1454" s="5" t="s">
        <v>303</v>
      </c>
      <c r="BJ1454" s="5" t="s">
        <v>240</v>
      </c>
      <c r="BK1454" s="8">
        <f>0</f>
        <v>0</v>
      </c>
      <c r="BL1454" s="7">
        <f>0</f>
        <v>0</v>
      </c>
      <c r="BM1454" s="5" t="s">
        <v>258</v>
      </c>
      <c r="BN1454" s="5" t="s">
        <v>259</v>
      </c>
      <c r="CB1454" s="5" t="s">
        <v>240</v>
      </c>
      <c r="CC1454" s="5" t="s">
        <v>240</v>
      </c>
      <c r="CG1454" s="5" t="s">
        <v>304</v>
      </c>
      <c r="CH1454" s="5" t="s">
        <v>305</v>
      </c>
      <c r="CI1454" s="5" t="s">
        <v>240</v>
      </c>
      <c r="CL1454" s="6" t="s">
        <v>261</v>
      </c>
      <c r="CM1454" s="5" t="s">
        <v>240</v>
      </c>
      <c r="CN1454" s="5" t="s">
        <v>263</v>
      </c>
      <c r="CO1454" s="5" t="s">
        <v>240</v>
      </c>
      <c r="CP1454" s="5" t="s">
        <v>240</v>
      </c>
      <c r="CQ1454" s="5">
        <v>0</v>
      </c>
      <c r="CR1454" s="5" t="s">
        <v>306</v>
      </c>
      <c r="CS1454" s="5" t="s">
        <v>307</v>
      </c>
      <c r="CT1454" s="5" t="s">
        <v>307</v>
      </c>
      <c r="CU1454" s="5" t="s">
        <v>260</v>
      </c>
      <c r="CX1454" s="7">
        <f>1</f>
        <v>1</v>
      </c>
      <c r="CY1454" s="7">
        <f>0</f>
        <v>0</v>
      </c>
      <c r="DA1454" s="7">
        <f>0</f>
        <v>0</v>
      </c>
      <c r="DC1454" s="5" t="s">
        <v>812</v>
      </c>
      <c r="DD1454" s="5" t="s">
        <v>240</v>
      </c>
      <c r="DF1454" s="5" t="s">
        <v>812</v>
      </c>
      <c r="DG1454" s="7">
        <f>91</f>
        <v>91</v>
      </c>
      <c r="DI1454" s="5" t="s">
        <v>240</v>
      </c>
      <c r="DJ1454" s="5" t="s">
        <v>240</v>
      </c>
      <c r="DK1454" s="5" t="s">
        <v>240</v>
      </c>
      <c r="DL1454" s="5" t="s">
        <v>240</v>
      </c>
      <c r="DP1454" s="5" t="s">
        <v>240</v>
      </c>
      <c r="DQ1454" s="5" t="s">
        <v>240</v>
      </c>
      <c r="DR1454" s="5" t="s">
        <v>240</v>
      </c>
      <c r="DS1454" s="5" t="s">
        <v>240</v>
      </c>
      <c r="DV1454" s="5" t="s">
        <v>813</v>
      </c>
      <c r="DW1454" s="5" t="s">
        <v>3039</v>
      </c>
      <c r="HO1454" s="5" t="s">
        <v>312</v>
      </c>
    </row>
    <row r="1455" spans="1:223" x14ac:dyDescent="0.4">
      <c r="A1455" s="5">
        <v>3130</v>
      </c>
      <c r="B1455" s="5">
        <v>1</v>
      </c>
      <c r="C1455" s="5">
        <v>1</v>
      </c>
      <c r="D1455" s="5" t="s">
        <v>297</v>
      </c>
      <c r="E1455" s="5" t="s">
        <v>245</v>
      </c>
      <c r="F1455" s="5" t="s">
        <v>254</v>
      </c>
      <c r="G1455" s="5" t="s">
        <v>240</v>
      </c>
      <c r="H1455" s="6" t="s">
        <v>4738</v>
      </c>
      <c r="I1455" s="5" t="s">
        <v>295</v>
      </c>
      <c r="J1455" s="8">
        <f>4426</f>
        <v>4426</v>
      </c>
      <c r="K1455" s="5" t="s">
        <v>308</v>
      </c>
      <c r="L1455" s="7">
        <f>1</f>
        <v>1</v>
      </c>
      <c r="M1455" s="7">
        <f>1</f>
        <v>1</v>
      </c>
      <c r="N1455" s="5" t="s">
        <v>242</v>
      </c>
      <c r="O1455" s="5">
        <v>1</v>
      </c>
      <c r="P1455" s="5" t="s">
        <v>294</v>
      </c>
      <c r="Q1455" s="5" t="s">
        <v>266</v>
      </c>
      <c r="R1455" s="5" t="s">
        <v>240</v>
      </c>
      <c r="S1455" s="5" t="s">
        <v>240</v>
      </c>
      <c r="T1455" s="5" t="s">
        <v>296</v>
      </c>
      <c r="U1455" s="5" t="s">
        <v>244</v>
      </c>
      <c r="V1455" s="5" t="s">
        <v>240</v>
      </c>
      <c r="Y1455" s="5" t="s">
        <v>240</v>
      </c>
      <c r="Z1455" s="6" t="s">
        <v>298</v>
      </c>
      <c r="AB1455" s="6" t="s">
        <v>240</v>
      </c>
      <c r="AE1455" s="6" t="s">
        <v>299</v>
      </c>
      <c r="AF1455" s="5" t="s">
        <v>248</v>
      </c>
      <c r="AG1455" s="5" t="s">
        <v>249</v>
      </c>
      <c r="AW1455" s="5" t="s">
        <v>251</v>
      </c>
      <c r="AX1455" s="5" t="s">
        <v>240</v>
      </c>
      <c r="AY1455" s="5" t="s">
        <v>253</v>
      </c>
      <c r="AZ1455" s="5" t="s">
        <v>240</v>
      </c>
      <c r="BA1455" s="5" t="s">
        <v>255</v>
      </c>
      <c r="BB1455" s="5" t="s">
        <v>240</v>
      </c>
      <c r="BD1455" s="5" t="s">
        <v>240</v>
      </c>
      <c r="BF1455" s="5" t="s">
        <v>301</v>
      </c>
      <c r="BG1455" s="6" t="s">
        <v>299</v>
      </c>
      <c r="BH1455" s="5" t="s">
        <v>302</v>
      </c>
      <c r="BI1455" s="5" t="s">
        <v>303</v>
      </c>
      <c r="BJ1455" s="5" t="s">
        <v>240</v>
      </c>
      <c r="BK1455" s="8">
        <f>0</f>
        <v>0</v>
      </c>
      <c r="BL1455" s="7">
        <f>0</f>
        <v>0</v>
      </c>
      <c r="BM1455" s="5" t="s">
        <v>258</v>
      </c>
      <c r="BN1455" s="5" t="s">
        <v>259</v>
      </c>
      <c r="CB1455" s="5" t="s">
        <v>240</v>
      </c>
      <c r="CC1455" s="5" t="s">
        <v>240</v>
      </c>
      <c r="CG1455" s="5" t="s">
        <v>304</v>
      </c>
      <c r="CH1455" s="5" t="s">
        <v>305</v>
      </c>
      <c r="CI1455" s="5" t="s">
        <v>240</v>
      </c>
      <c r="CL1455" s="6" t="s">
        <v>261</v>
      </c>
      <c r="CM1455" s="5" t="s">
        <v>240</v>
      </c>
      <c r="CN1455" s="5" t="s">
        <v>263</v>
      </c>
      <c r="CO1455" s="5" t="s">
        <v>240</v>
      </c>
      <c r="CP1455" s="5" t="s">
        <v>240</v>
      </c>
      <c r="CQ1455" s="5">
        <v>0</v>
      </c>
      <c r="CR1455" s="5" t="s">
        <v>306</v>
      </c>
      <c r="CS1455" s="5" t="s">
        <v>307</v>
      </c>
      <c r="CT1455" s="5" t="s">
        <v>307</v>
      </c>
      <c r="CU1455" s="5" t="s">
        <v>260</v>
      </c>
      <c r="CX1455" s="7">
        <f>1</f>
        <v>1</v>
      </c>
      <c r="CY1455" s="7">
        <f>0</f>
        <v>0</v>
      </c>
      <c r="DA1455" s="7">
        <f>0</f>
        <v>0</v>
      </c>
      <c r="DC1455" s="5" t="s">
        <v>812</v>
      </c>
      <c r="DD1455" s="5" t="s">
        <v>240</v>
      </c>
      <c r="DF1455" s="5" t="s">
        <v>812</v>
      </c>
      <c r="DG1455" s="7">
        <f>383</f>
        <v>383</v>
      </c>
      <c r="DI1455" s="5" t="s">
        <v>240</v>
      </c>
      <c r="DJ1455" s="5" t="s">
        <v>240</v>
      </c>
      <c r="DK1455" s="5" t="s">
        <v>240</v>
      </c>
      <c r="DL1455" s="5" t="s">
        <v>240</v>
      </c>
      <c r="DP1455" s="5" t="s">
        <v>240</v>
      </c>
      <c r="DQ1455" s="5" t="s">
        <v>240</v>
      </c>
      <c r="DR1455" s="5" t="s">
        <v>240</v>
      </c>
      <c r="DS1455" s="5" t="s">
        <v>240</v>
      </c>
      <c r="DV1455" s="5" t="s">
        <v>813</v>
      </c>
      <c r="DW1455" s="5" t="s">
        <v>3041</v>
      </c>
      <c r="HO1455" s="5" t="s">
        <v>312</v>
      </c>
    </row>
    <row r="1456" spans="1:223" x14ac:dyDescent="0.4">
      <c r="A1456" s="5">
        <v>3131</v>
      </c>
      <c r="B1456" s="5">
        <v>1</v>
      </c>
      <c r="C1456" s="5">
        <v>1</v>
      </c>
      <c r="D1456" s="5" t="s">
        <v>297</v>
      </c>
      <c r="E1456" s="5" t="s">
        <v>245</v>
      </c>
      <c r="F1456" s="5" t="s">
        <v>254</v>
      </c>
      <c r="G1456" s="5" t="s">
        <v>240</v>
      </c>
      <c r="H1456" s="6" t="s">
        <v>4737</v>
      </c>
      <c r="I1456" s="5" t="s">
        <v>295</v>
      </c>
      <c r="J1456" s="8">
        <f>4257</f>
        <v>4257</v>
      </c>
      <c r="K1456" s="5" t="s">
        <v>308</v>
      </c>
      <c r="L1456" s="7">
        <f>1</f>
        <v>1</v>
      </c>
      <c r="M1456" s="7">
        <f>1</f>
        <v>1</v>
      </c>
      <c r="N1456" s="5" t="s">
        <v>242</v>
      </c>
      <c r="O1456" s="5">
        <v>1</v>
      </c>
      <c r="P1456" s="5" t="s">
        <v>294</v>
      </c>
      <c r="Q1456" s="5" t="s">
        <v>266</v>
      </c>
      <c r="R1456" s="5" t="s">
        <v>240</v>
      </c>
      <c r="S1456" s="5" t="s">
        <v>240</v>
      </c>
      <c r="T1456" s="5" t="s">
        <v>296</v>
      </c>
      <c r="U1456" s="5" t="s">
        <v>244</v>
      </c>
      <c r="V1456" s="5" t="s">
        <v>240</v>
      </c>
      <c r="Y1456" s="5" t="s">
        <v>240</v>
      </c>
      <c r="Z1456" s="6" t="s">
        <v>298</v>
      </c>
      <c r="AB1456" s="6" t="s">
        <v>240</v>
      </c>
      <c r="AE1456" s="6" t="s">
        <v>299</v>
      </c>
      <c r="AF1456" s="5" t="s">
        <v>248</v>
      </c>
      <c r="AG1456" s="5" t="s">
        <v>249</v>
      </c>
      <c r="AW1456" s="5" t="s">
        <v>251</v>
      </c>
      <c r="AX1456" s="5" t="s">
        <v>240</v>
      </c>
      <c r="AY1456" s="5" t="s">
        <v>253</v>
      </c>
      <c r="AZ1456" s="5" t="s">
        <v>240</v>
      </c>
      <c r="BA1456" s="5" t="s">
        <v>255</v>
      </c>
      <c r="BB1456" s="5" t="s">
        <v>240</v>
      </c>
      <c r="BD1456" s="5" t="s">
        <v>240</v>
      </c>
      <c r="BF1456" s="5" t="s">
        <v>301</v>
      </c>
      <c r="BG1456" s="6" t="s">
        <v>299</v>
      </c>
      <c r="BH1456" s="5" t="s">
        <v>302</v>
      </c>
      <c r="BI1456" s="5" t="s">
        <v>303</v>
      </c>
      <c r="BJ1456" s="5" t="s">
        <v>240</v>
      </c>
      <c r="BK1456" s="8">
        <f>0</f>
        <v>0</v>
      </c>
      <c r="BL1456" s="7">
        <f>0</f>
        <v>0</v>
      </c>
      <c r="BM1456" s="5" t="s">
        <v>258</v>
      </c>
      <c r="BN1456" s="5" t="s">
        <v>259</v>
      </c>
      <c r="CB1456" s="5" t="s">
        <v>240</v>
      </c>
      <c r="CC1456" s="5" t="s">
        <v>240</v>
      </c>
      <c r="CG1456" s="5" t="s">
        <v>304</v>
      </c>
      <c r="CH1456" s="5" t="s">
        <v>305</v>
      </c>
      <c r="CI1456" s="5" t="s">
        <v>240</v>
      </c>
      <c r="CL1456" s="6" t="s">
        <v>261</v>
      </c>
      <c r="CM1456" s="5" t="s">
        <v>240</v>
      </c>
      <c r="CN1456" s="5" t="s">
        <v>263</v>
      </c>
      <c r="CO1456" s="5" t="s">
        <v>240</v>
      </c>
      <c r="CP1456" s="5" t="s">
        <v>240</v>
      </c>
      <c r="CQ1456" s="5">
        <v>0</v>
      </c>
      <c r="CR1456" s="5" t="s">
        <v>306</v>
      </c>
      <c r="CS1456" s="5" t="s">
        <v>307</v>
      </c>
      <c r="CT1456" s="5" t="s">
        <v>307</v>
      </c>
      <c r="CU1456" s="5" t="s">
        <v>260</v>
      </c>
      <c r="CX1456" s="7">
        <f>1</f>
        <v>1</v>
      </c>
      <c r="CY1456" s="7">
        <f>0</f>
        <v>0</v>
      </c>
      <c r="DA1456" s="7">
        <f>0</f>
        <v>0</v>
      </c>
      <c r="DC1456" s="5" t="s">
        <v>812</v>
      </c>
      <c r="DD1456" s="5" t="s">
        <v>240</v>
      </c>
      <c r="DF1456" s="5" t="s">
        <v>812</v>
      </c>
      <c r="DG1456" s="7">
        <f>1223</f>
        <v>1223</v>
      </c>
      <c r="DI1456" s="5" t="s">
        <v>240</v>
      </c>
      <c r="DJ1456" s="5" t="s">
        <v>240</v>
      </c>
      <c r="DK1456" s="5" t="s">
        <v>240</v>
      </c>
      <c r="DL1456" s="5" t="s">
        <v>240</v>
      </c>
      <c r="DP1456" s="5" t="s">
        <v>240</v>
      </c>
      <c r="DQ1456" s="5" t="s">
        <v>240</v>
      </c>
      <c r="DR1456" s="5" t="s">
        <v>240</v>
      </c>
      <c r="DS1456" s="5" t="s">
        <v>240</v>
      </c>
      <c r="DV1456" s="5" t="s">
        <v>813</v>
      </c>
      <c r="DW1456" s="5" t="s">
        <v>3043</v>
      </c>
      <c r="HO1456" s="5" t="s">
        <v>312</v>
      </c>
    </row>
    <row r="1457" spans="1:223" x14ac:dyDescent="0.4">
      <c r="A1457" s="5">
        <v>3132</v>
      </c>
      <c r="B1457" s="5">
        <v>1</v>
      </c>
      <c r="C1457" s="5">
        <v>1</v>
      </c>
      <c r="D1457" s="5" t="s">
        <v>297</v>
      </c>
      <c r="E1457" s="5" t="s">
        <v>245</v>
      </c>
      <c r="F1457" s="5" t="s">
        <v>254</v>
      </c>
      <c r="G1457" s="5" t="s">
        <v>240</v>
      </c>
      <c r="H1457" s="6" t="s">
        <v>4736</v>
      </c>
      <c r="I1457" s="5" t="s">
        <v>295</v>
      </c>
      <c r="J1457" s="8">
        <f>195</f>
        <v>195</v>
      </c>
      <c r="K1457" s="5" t="s">
        <v>308</v>
      </c>
      <c r="L1457" s="7">
        <f>1</f>
        <v>1</v>
      </c>
      <c r="M1457" s="7">
        <f>1</f>
        <v>1</v>
      </c>
      <c r="N1457" s="5" t="s">
        <v>242</v>
      </c>
      <c r="O1457" s="5">
        <v>1</v>
      </c>
      <c r="P1457" s="5" t="s">
        <v>294</v>
      </c>
      <c r="Q1457" s="5" t="s">
        <v>266</v>
      </c>
      <c r="R1457" s="5" t="s">
        <v>240</v>
      </c>
      <c r="S1457" s="5" t="s">
        <v>240</v>
      </c>
      <c r="T1457" s="5" t="s">
        <v>296</v>
      </c>
      <c r="U1457" s="5" t="s">
        <v>244</v>
      </c>
      <c r="V1457" s="5" t="s">
        <v>240</v>
      </c>
      <c r="Y1457" s="5" t="s">
        <v>240</v>
      </c>
      <c r="Z1457" s="6" t="s">
        <v>298</v>
      </c>
      <c r="AB1457" s="6" t="s">
        <v>240</v>
      </c>
      <c r="AE1457" s="6" t="s">
        <v>299</v>
      </c>
      <c r="AF1457" s="5" t="s">
        <v>248</v>
      </c>
      <c r="AG1457" s="5" t="s">
        <v>249</v>
      </c>
      <c r="AW1457" s="5" t="s">
        <v>251</v>
      </c>
      <c r="AX1457" s="5" t="s">
        <v>240</v>
      </c>
      <c r="AY1457" s="5" t="s">
        <v>253</v>
      </c>
      <c r="AZ1457" s="5" t="s">
        <v>240</v>
      </c>
      <c r="BA1457" s="5" t="s">
        <v>255</v>
      </c>
      <c r="BB1457" s="5" t="s">
        <v>240</v>
      </c>
      <c r="BD1457" s="5" t="s">
        <v>240</v>
      </c>
      <c r="BF1457" s="5" t="s">
        <v>301</v>
      </c>
      <c r="BG1457" s="6" t="s">
        <v>299</v>
      </c>
      <c r="BH1457" s="5" t="s">
        <v>302</v>
      </c>
      <c r="BI1457" s="5" t="s">
        <v>303</v>
      </c>
      <c r="BJ1457" s="5" t="s">
        <v>240</v>
      </c>
      <c r="BK1457" s="8">
        <f>0</f>
        <v>0</v>
      </c>
      <c r="BL1457" s="7">
        <f>0</f>
        <v>0</v>
      </c>
      <c r="BM1457" s="5" t="s">
        <v>258</v>
      </c>
      <c r="BN1457" s="5" t="s">
        <v>259</v>
      </c>
      <c r="CB1457" s="5" t="s">
        <v>240</v>
      </c>
      <c r="CC1457" s="5" t="s">
        <v>240</v>
      </c>
      <c r="CG1457" s="5" t="s">
        <v>304</v>
      </c>
      <c r="CH1457" s="5" t="s">
        <v>305</v>
      </c>
      <c r="CI1457" s="5" t="s">
        <v>240</v>
      </c>
      <c r="CL1457" s="6" t="s">
        <v>261</v>
      </c>
      <c r="CM1457" s="5" t="s">
        <v>240</v>
      </c>
      <c r="CN1457" s="5" t="s">
        <v>263</v>
      </c>
      <c r="CO1457" s="5" t="s">
        <v>240</v>
      </c>
      <c r="CP1457" s="5" t="s">
        <v>240</v>
      </c>
      <c r="CQ1457" s="5">
        <v>0</v>
      </c>
      <c r="CR1457" s="5" t="s">
        <v>306</v>
      </c>
      <c r="CS1457" s="5" t="s">
        <v>307</v>
      </c>
      <c r="CT1457" s="5" t="s">
        <v>307</v>
      </c>
      <c r="CU1457" s="5" t="s">
        <v>260</v>
      </c>
      <c r="CX1457" s="7">
        <f>1</f>
        <v>1</v>
      </c>
      <c r="CY1457" s="7">
        <f>0</f>
        <v>0</v>
      </c>
      <c r="DA1457" s="7">
        <f>0</f>
        <v>0</v>
      </c>
      <c r="DC1457" s="5" t="s">
        <v>812</v>
      </c>
      <c r="DD1457" s="5" t="s">
        <v>240</v>
      </c>
      <c r="DF1457" s="5" t="s">
        <v>812</v>
      </c>
      <c r="DG1457" s="7">
        <f>1796</f>
        <v>1796</v>
      </c>
      <c r="DI1457" s="5" t="s">
        <v>240</v>
      </c>
      <c r="DJ1457" s="5" t="s">
        <v>240</v>
      </c>
      <c r="DK1457" s="5" t="s">
        <v>240</v>
      </c>
      <c r="DL1457" s="5" t="s">
        <v>240</v>
      </c>
      <c r="DP1457" s="5" t="s">
        <v>240</v>
      </c>
      <c r="DQ1457" s="5" t="s">
        <v>240</v>
      </c>
      <c r="DR1457" s="5" t="s">
        <v>240</v>
      </c>
      <c r="DS1457" s="5" t="s">
        <v>240</v>
      </c>
      <c r="DV1457" s="5" t="s">
        <v>813</v>
      </c>
      <c r="DW1457" s="5" t="s">
        <v>3045</v>
      </c>
      <c r="HO1457" s="5" t="s">
        <v>312</v>
      </c>
    </row>
    <row r="1458" spans="1:223" x14ac:dyDescent="0.4">
      <c r="A1458" s="5">
        <v>3133</v>
      </c>
      <c r="B1458" s="5">
        <v>1</v>
      </c>
      <c r="C1458" s="5">
        <v>1</v>
      </c>
      <c r="D1458" s="5" t="s">
        <v>297</v>
      </c>
      <c r="E1458" s="5" t="s">
        <v>245</v>
      </c>
      <c r="F1458" s="5" t="s">
        <v>254</v>
      </c>
      <c r="G1458" s="5" t="s">
        <v>240</v>
      </c>
      <c r="H1458" s="6" t="s">
        <v>5834</v>
      </c>
      <c r="I1458" s="5" t="s">
        <v>295</v>
      </c>
      <c r="J1458" s="8">
        <f>849</f>
        <v>849</v>
      </c>
      <c r="K1458" s="5" t="s">
        <v>308</v>
      </c>
      <c r="L1458" s="7">
        <f>1</f>
        <v>1</v>
      </c>
      <c r="M1458" s="7">
        <f>1</f>
        <v>1</v>
      </c>
      <c r="N1458" s="5" t="s">
        <v>242</v>
      </c>
      <c r="O1458" s="5">
        <v>1</v>
      </c>
      <c r="P1458" s="5" t="s">
        <v>294</v>
      </c>
      <c r="Q1458" s="5" t="s">
        <v>266</v>
      </c>
      <c r="R1458" s="5" t="s">
        <v>240</v>
      </c>
      <c r="S1458" s="5" t="s">
        <v>240</v>
      </c>
      <c r="T1458" s="5" t="s">
        <v>296</v>
      </c>
      <c r="U1458" s="5" t="s">
        <v>244</v>
      </c>
      <c r="V1458" s="5" t="s">
        <v>240</v>
      </c>
      <c r="Y1458" s="5" t="s">
        <v>240</v>
      </c>
      <c r="Z1458" s="6" t="s">
        <v>298</v>
      </c>
      <c r="AB1458" s="6" t="s">
        <v>240</v>
      </c>
      <c r="AE1458" s="6" t="s">
        <v>299</v>
      </c>
      <c r="AF1458" s="5" t="s">
        <v>248</v>
      </c>
      <c r="AG1458" s="5" t="s">
        <v>249</v>
      </c>
      <c r="AW1458" s="5" t="s">
        <v>251</v>
      </c>
      <c r="AX1458" s="5" t="s">
        <v>240</v>
      </c>
      <c r="AY1458" s="5" t="s">
        <v>253</v>
      </c>
      <c r="AZ1458" s="5" t="s">
        <v>240</v>
      </c>
      <c r="BA1458" s="5" t="s">
        <v>255</v>
      </c>
      <c r="BB1458" s="5" t="s">
        <v>240</v>
      </c>
      <c r="BD1458" s="5" t="s">
        <v>240</v>
      </c>
      <c r="BF1458" s="5" t="s">
        <v>301</v>
      </c>
      <c r="BG1458" s="6" t="s">
        <v>299</v>
      </c>
      <c r="BH1458" s="5" t="s">
        <v>302</v>
      </c>
      <c r="BI1458" s="5" t="s">
        <v>303</v>
      </c>
      <c r="BJ1458" s="5" t="s">
        <v>240</v>
      </c>
      <c r="BK1458" s="8">
        <f>0</f>
        <v>0</v>
      </c>
      <c r="BL1458" s="7">
        <f>0</f>
        <v>0</v>
      </c>
      <c r="BM1458" s="5" t="s">
        <v>258</v>
      </c>
      <c r="BN1458" s="5" t="s">
        <v>259</v>
      </c>
      <c r="CB1458" s="5" t="s">
        <v>240</v>
      </c>
      <c r="CC1458" s="5" t="s">
        <v>240</v>
      </c>
      <c r="CG1458" s="5" t="s">
        <v>304</v>
      </c>
      <c r="CH1458" s="5" t="s">
        <v>305</v>
      </c>
      <c r="CI1458" s="5" t="s">
        <v>240</v>
      </c>
      <c r="CL1458" s="6" t="s">
        <v>261</v>
      </c>
      <c r="CM1458" s="5" t="s">
        <v>240</v>
      </c>
      <c r="CN1458" s="5" t="s">
        <v>263</v>
      </c>
      <c r="CO1458" s="5" t="s">
        <v>240</v>
      </c>
      <c r="CP1458" s="5" t="s">
        <v>240</v>
      </c>
      <c r="CQ1458" s="5">
        <v>0</v>
      </c>
      <c r="CR1458" s="5" t="s">
        <v>306</v>
      </c>
      <c r="CS1458" s="5" t="s">
        <v>307</v>
      </c>
      <c r="CT1458" s="5" t="s">
        <v>307</v>
      </c>
      <c r="CU1458" s="5" t="s">
        <v>260</v>
      </c>
      <c r="CX1458" s="7">
        <f>1</f>
        <v>1</v>
      </c>
      <c r="CY1458" s="7">
        <f>0</f>
        <v>0</v>
      </c>
      <c r="DA1458" s="7">
        <f>0</f>
        <v>0</v>
      </c>
      <c r="DC1458" s="5" t="s">
        <v>812</v>
      </c>
      <c r="DD1458" s="5" t="s">
        <v>240</v>
      </c>
      <c r="DF1458" s="5" t="s">
        <v>812</v>
      </c>
      <c r="DG1458" s="7">
        <f>877</f>
        <v>877</v>
      </c>
      <c r="DI1458" s="5" t="s">
        <v>240</v>
      </c>
      <c r="DJ1458" s="5" t="s">
        <v>240</v>
      </c>
      <c r="DK1458" s="5" t="s">
        <v>240</v>
      </c>
      <c r="DL1458" s="5" t="s">
        <v>240</v>
      </c>
      <c r="DP1458" s="5" t="s">
        <v>240</v>
      </c>
      <c r="DQ1458" s="5" t="s">
        <v>240</v>
      </c>
      <c r="DR1458" s="5" t="s">
        <v>240</v>
      </c>
      <c r="DS1458" s="5" t="s">
        <v>240</v>
      </c>
      <c r="DV1458" s="5" t="s">
        <v>813</v>
      </c>
      <c r="DW1458" s="5" t="s">
        <v>3047</v>
      </c>
      <c r="HO1458" s="5" t="s">
        <v>312</v>
      </c>
    </row>
    <row r="1459" spans="1:223" x14ac:dyDescent="0.4">
      <c r="A1459" s="5">
        <v>3134</v>
      </c>
      <c r="B1459" s="5">
        <v>1</v>
      </c>
      <c r="C1459" s="5">
        <v>1</v>
      </c>
      <c r="D1459" s="5" t="s">
        <v>297</v>
      </c>
      <c r="E1459" s="5" t="s">
        <v>245</v>
      </c>
      <c r="F1459" s="5" t="s">
        <v>254</v>
      </c>
      <c r="G1459" s="5" t="s">
        <v>240</v>
      </c>
      <c r="H1459" s="6" t="s">
        <v>4733</v>
      </c>
      <c r="I1459" s="5" t="s">
        <v>295</v>
      </c>
      <c r="J1459" s="8">
        <f>7176</f>
        <v>7176</v>
      </c>
      <c r="K1459" s="5" t="s">
        <v>308</v>
      </c>
      <c r="L1459" s="7">
        <f>1</f>
        <v>1</v>
      </c>
      <c r="M1459" s="7">
        <f>1</f>
        <v>1</v>
      </c>
      <c r="N1459" s="5" t="s">
        <v>242</v>
      </c>
      <c r="O1459" s="5">
        <v>1</v>
      </c>
      <c r="P1459" s="5" t="s">
        <v>294</v>
      </c>
      <c r="Q1459" s="5" t="s">
        <v>266</v>
      </c>
      <c r="R1459" s="5" t="s">
        <v>240</v>
      </c>
      <c r="S1459" s="5" t="s">
        <v>240</v>
      </c>
      <c r="T1459" s="5" t="s">
        <v>296</v>
      </c>
      <c r="U1459" s="5" t="s">
        <v>244</v>
      </c>
      <c r="V1459" s="5" t="s">
        <v>240</v>
      </c>
      <c r="Y1459" s="5" t="s">
        <v>240</v>
      </c>
      <c r="Z1459" s="6" t="s">
        <v>298</v>
      </c>
      <c r="AB1459" s="6" t="s">
        <v>240</v>
      </c>
      <c r="AE1459" s="6" t="s">
        <v>299</v>
      </c>
      <c r="AF1459" s="5" t="s">
        <v>248</v>
      </c>
      <c r="AG1459" s="5" t="s">
        <v>249</v>
      </c>
      <c r="AW1459" s="5" t="s">
        <v>251</v>
      </c>
      <c r="AX1459" s="5" t="s">
        <v>240</v>
      </c>
      <c r="AY1459" s="5" t="s">
        <v>253</v>
      </c>
      <c r="AZ1459" s="5" t="s">
        <v>240</v>
      </c>
      <c r="BA1459" s="5" t="s">
        <v>255</v>
      </c>
      <c r="BB1459" s="5" t="s">
        <v>240</v>
      </c>
      <c r="BD1459" s="5" t="s">
        <v>240</v>
      </c>
      <c r="BF1459" s="5" t="s">
        <v>301</v>
      </c>
      <c r="BG1459" s="6" t="s">
        <v>299</v>
      </c>
      <c r="BH1459" s="5" t="s">
        <v>302</v>
      </c>
      <c r="BI1459" s="5" t="s">
        <v>303</v>
      </c>
      <c r="BJ1459" s="5" t="s">
        <v>240</v>
      </c>
      <c r="BK1459" s="8">
        <f>0</f>
        <v>0</v>
      </c>
      <c r="BL1459" s="7">
        <f>0</f>
        <v>0</v>
      </c>
      <c r="BM1459" s="5" t="s">
        <v>258</v>
      </c>
      <c r="BN1459" s="5" t="s">
        <v>259</v>
      </c>
      <c r="CB1459" s="5" t="s">
        <v>240</v>
      </c>
      <c r="CC1459" s="5" t="s">
        <v>240</v>
      </c>
      <c r="CG1459" s="5" t="s">
        <v>304</v>
      </c>
      <c r="CH1459" s="5" t="s">
        <v>305</v>
      </c>
      <c r="CI1459" s="5" t="s">
        <v>240</v>
      </c>
      <c r="CL1459" s="6" t="s">
        <v>261</v>
      </c>
      <c r="CM1459" s="5" t="s">
        <v>240</v>
      </c>
      <c r="CN1459" s="5" t="s">
        <v>263</v>
      </c>
      <c r="CO1459" s="5" t="s">
        <v>240</v>
      </c>
      <c r="CP1459" s="5" t="s">
        <v>240</v>
      </c>
      <c r="CQ1459" s="5">
        <v>0</v>
      </c>
      <c r="CR1459" s="5" t="s">
        <v>306</v>
      </c>
      <c r="CS1459" s="5" t="s">
        <v>307</v>
      </c>
      <c r="CT1459" s="5" t="s">
        <v>307</v>
      </c>
      <c r="CU1459" s="5" t="s">
        <v>260</v>
      </c>
      <c r="CX1459" s="7">
        <f>1</f>
        <v>1</v>
      </c>
      <c r="CY1459" s="7">
        <f>0</f>
        <v>0</v>
      </c>
      <c r="DA1459" s="7">
        <f>0</f>
        <v>0</v>
      </c>
      <c r="DC1459" s="5" t="s">
        <v>812</v>
      </c>
      <c r="DD1459" s="5" t="s">
        <v>240</v>
      </c>
      <c r="DF1459" s="5" t="s">
        <v>812</v>
      </c>
      <c r="DG1459" s="7">
        <f>3184</f>
        <v>3184</v>
      </c>
      <c r="DI1459" s="5" t="s">
        <v>240</v>
      </c>
      <c r="DJ1459" s="5" t="s">
        <v>240</v>
      </c>
      <c r="DK1459" s="5" t="s">
        <v>240</v>
      </c>
      <c r="DL1459" s="5" t="s">
        <v>240</v>
      </c>
      <c r="DP1459" s="5" t="s">
        <v>240</v>
      </c>
      <c r="DQ1459" s="5" t="s">
        <v>240</v>
      </c>
      <c r="DR1459" s="5" t="s">
        <v>240</v>
      </c>
      <c r="DS1459" s="5" t="s">
        <v>240</v>
      </c>
      <c r="DV1459" s="5" t="s">
        <v>813</v>
      </c>
      <c r="DW1459" s="5" t="s">
        <v>3049</v>
      </c>
      <c r="HO1459" s="5" t="s">
        <v>312</v>
      </c>
    </row>
    <row r="1460" spans="1:223" x14ac:dyDescent="0.4">
      <c r="A1460" s="5">
        <v>3135</v>
      </c>
      <c r="B1460" s="5">
        <v>1</v>
      </c>
      <c r="C1460" s="5">
        <v>1</v>
      </c>
      <c r="D1460" s="5" t="s">
        <v>297</v>
      </c>
      <c r="E1460" s="5" t="s">
        <v>245</v>
      </c>
      <c r="F1460" s="5" t="s">
        <v>254</v>
      </c>
      <c r="G1460" s="5" t="s">
        <v>240</v>
      </c>
      <c r="H1460" s="6" t="s">
        <v>4732</v>
      </c>
      <c r="I1460" s="5" t="s">
        <v>295</v>
      </c>
      <c r="J1460" s="8">
        <f>4279</f>
        <v>4279</v>
      </c>
      <c r="K1460" s="5" t="s">
        <v>308</v>
      </c>
      <c r="L1460" s="7">
        <f>1</f>
        <v>1</v>
      </c>
      <c r="M1460" s="7">
        <f>1</f>
        <v>1</v>
      </c>
      <c r="N1460" s="5" t="s">
        <v>242</v>
      </c>
      <c r="O1460" s="5">
        <v>1</v>
      </c>
      <c r="P1460" s="5" t="s">
        <v>294</v>
      </c>
      <c r="Q1460" s="5" t="s">
        <v>266</v>
      </c>
      <c r="R1460" s="5" t="s">
        <v>240</v>
      </c>
      <c r="S1460" s="5" t="s">
        <v>240</v>
      </c>
      <c r="T1460" s="5" t="s">
        <v>296</v>
      </c>
      <c r="U1460" s="5" t="s">
        <v>244</v>
      </c>
      <c r="V1460" s="5" t="s">
        <v>240</v>
      </c>
      <c r="Y1460" s="5" t="s">
        <v>240</v>
      </c>
      <c r="Z1460" s="6" t="s">
        <v>298</v>
      </c>
      <c r="AB1460" s="6" t="s">
        <v>240</v>
      </c>
      <c r="AE1460" s="6" t="s">
        <v>299</v>
      </c>
      <c r="AF1460" s="5" t="s">
        <v>248</v>
      </c>
      <c r="AG1460" s="5" t="s">
        <v>249</v>
      </c>
      <c r="AW1460" s="5" t="s">
        <v>251</v>
      </c>
      <c r="AX1460" s="5" t="s">
        <v>240</v>
      </c>
      <c r="AY1460" s="5" t="s">
        <v>253</v>
      </c>
      <c r="AZ1460" s="5" t="s">
        <v>240</v>
      </c>
      <c r="BA1460" s="5" t="s">
        <v>255</v>
      </c>
      <c r="BB1460" s="5" t="s">
        <v>240</v>
      </c>
      <c r="BD1460" s="5" t="s">
        <v>240</v>
      </c>
      <c r="BF1460" s="5" t="s">
        <v>301</v>
      </c>
      <c r="BG1460" s="6" t="s">
        <v>299</v>
      </c>
      <c r="BH1460" s="5" t="s">
        <v>302</v>
      </c>
      <c r="BI1460" s="5" t="s">
        <v>303</v>
      </c>
      <c r="BJ1460" s="5" t="s">
        <v>240</v>
      </c>
      <c r="BK1460" s="8">
        <f>0</f>
        <v>0</v>
      </c>
      <c r="BL1460" s="7">
        <f>0</f>
        <v>0</v>
      </c>
      <c r="BM1460" s="5" t="s">
        <v>258</v>
      </c>
      <c r="BN1460" s="5" t="s">
        <v>259</v>
      </c>
      <c r="CB1460" s="5" t="s">
        <v>240</v>
      </c>
      <c r="CC1460" s="5" t="s">
        <v>240</v>
      </c>
      <c r="CG1460" s="5" t="s">
        <v>304</v>
      </c>
      <c r="CH1460" s="5" t="s">
        <v>305</v>
      </c>
      <c r="CI1460" s="5" t="s">
        <v>240</v>
      </c>
      <c r="CL1460" s="6" t="s">
        <v>261</v>
      </c>
      <c r="CM1460" s="5" t="s">
        <v>240</v>
      </c>
      <c r="CN1460" s="5" t="s">
        <v>263</v>
      </c>
      <c r="CO1460" s="5" t="s">
        <v>240</v>
      </c>
      <c r="CP1460" s="5" t="s">
        <v>240</v>
      </c>
      <c r="CQ1460" s="5">
        <v>0</v>
      </c>
      <c r="CR1460" s="5" t="s">
        <v>306</v>
      </c>
      <c r="CS1460" s="5" t="s">
        <v>307</v>
      </c>
      <c r="CT1460" s="5" t="s">
        <v>307</v>
      </c>
      <c r="CU1460" s="5" t="s">
        <v>260</v>
      </c>
      <c r="CX1460" s="7">
        <f>1</f>
        <v>1</v>
      </c>
      <c r="CY1460" s="7">
        <f>0</f>
        <v>0</v>
      </c>
      <c r="DA1460" s="7">
        <f>0</f>
        <v>0</v>
      </c>
      <c r="DC1460" s="5" t="s">
        <v>812</v>
      </c>
      <c r="DD1460" s="5" t="s">
        <v>240</v>
      </c>
      <c r="DF1460" s="5" t="s">
        <v>812</v>
      </c>
      <c r="DG1460" s="7">
        <f>2600</f>
        <v>2600</v>
      </c>
      <c r="DI1460" s="5" t="s">
        <v>240</v>
      </c>
      <c r="DJ1460" s="5" t="s">
        <v>240</v>
      </c>
      <c r="DK1460" s="5" t="s">
        <v>240</v>
      </c>
      <c r="DL1460" s="5" t="s">
        <v>240</v>
      </c>
      <c r="DP1460" s="5" t="s">
        <v>240</v>
      </c>
      <c r="DQ1460" s="5" t="s">
        <v>240</v>
      </c>
      <c r="DR1460" s="5" t="s">
        <v>240</v>
      </c>
      <c r="DS1460" s="5" t="s">
        <v>240</v>
      </c>
      <c r="DV1460" s="5" t="s">
        <v>813</v>
      </c>
      <c r="DW1460" s="5" t="s">
        <v>3051</v>
      </c>
      <c r="HO1460" s="5" t="s">
        <v>312</v>
      </c>
    </row>
    <row r="1461" spans="1:223" x14ac:dyDescent="0.4">
      <c r="A1461" s="5">
        <v>3136</v>
      </c>
      <c r="B1461" s="5">
        <v>1</v>
      </c>
      <c r="C1461" s="5">
        <v>1</v>
      </c>
      <c r="D1461" s="5" t="s">
        <v>297</v>
      </c>
      <c r="E1461" s="5" t="s">
        <v>245</v>
      </c>
      <c r="F1461" s="5" t="s">
        <v>254</v>
      </c>
      <c r="G1461" s="5" t="s">
        <v>240</v>
      </c>
      <c r="H1461" s="6" t="s">
        <v>4731</v>
      </c>
      <c r="I1461" s="5" t="s">
        <v>295</v>
      </c>
      <c r="J1461" s="8">
        <f>2172</f>
        <v>2172</v>
      </c>
      <c r="K1461" s="5" t="s">
        <v>308</v>
      </c>
      <c r="L1461" s="7">
        <f>1</f>
        <v>1</v>
      </c>
      <c r="M1461" s="7">
        <f>1</f>
        <v>1</v>
      </c>
      <c r="N1461" s="5" t="s">
        <v>242</v>
      </c>
      <c r="O1461" s="5">
        <v>1</v>
      </c>
      <c r="P1461" s="5" t="s">
        <v>294</v>
      </c>
      <c r="Q1461" s="5" t="s">
        <v>266</v>
      </c>
      <c r="R1461" s="5" t="s">
        <v>240</v>
      </c>
      <c r="S1461" s="5" t="s">
        <v>240</v>
      </c>
      <c r="T1461" s="5" t="s">
        <v>296</v>
      </c>
      <c r="U1461" s="5" t="s">
        <v>244</v>
      </c>
      <c r="V1461" s="5" t="s">
        <v>240</v>
      </c>
      <c r="Y1461" s="5" t="s">
        <v>240</v>
      </c>
      <c r="Z1461" s="6" t="s">
        <v>298</v>
      </c>
      <c r="AB1461" s="6" t="s">
        <v>240</v>
      </c>
      <c r="AE1461" s="6" t="s">
        <v>299</v>
      </c>
      <c r="AF1461" s="5" t="s">
        <v>248</v>
      </c>
      <c r="AG1461" s="5" t="s">
        <v>249</v>
      </c>
      <c r="AW1461" s="5" t="s">
        <v>251</v>
      </c>
      <c r="AX1461" s="5" t="s">
        <v>240</v>
      </c>
      <c r="AY1461" s="5" t="s">
        <v>253</v>
      </c>
      <c r="AZ1461" s="5" t="s">
        <v>240</v>
      </c>
      <c r="BA1461" s="5" t="s">
        <v>255</v>
      </c>
      <c r="BB1461" s="5" t="s">
        <v>240</v>
      </c>
      <c r="BD1461" s="5" t="s">
        <v>240</v>
      </c>
      <c r="BF1461" s="5" t="s">
        <v>301</v>
      </c>
      <c r="BG1461" s="6" t="s">
        <v>299</v>
      </c>
      <c r="BH1461" s="5" t="s">
        <v>302</v>
      </c>
      <c r="BI1461" s="5" t="s">
        <v>303</v>
      </c>
      <c r="BJ1461" s="5" t="s">
        <v>240</v>
      </c>
      <c r="BK1461" s="8">
        <f>0</f>
        <v>0</v>
      </c>
      <c r="BL1461" s="7">
        <f>0</f>
        <v>0</v>
      </c>
      <c r="BM1461" s="5" t="s">
        <v>258</v>
      </c>
      <c r="BN1461" s="5" t="s">
        <v>259</v>
      </c>
      <c r="CB1461" s="5" t="s">
        <v>240</v>
      </c>
      <c r="CC1461" s="5" t="s">
        <v>240</v>
      </c>
      <c r="CG1461" s="5" t="s">
        <v>304</v>
      </c>
      <c r="CH1461" s="5" t="s">
        <v>305</v>
      </c>
      <c r="CI1461" s="5" t="s">
        <v>240</v>
      </c>
      <c r="CL1461" s="6" t="s">
        <v>261</v>
      </c>
      <c r="CM1461" s="5" t="s">
        <v>240</v>
      </c>
      <c r="CN1461" s="5" t="s">
        <v>263</v>
      </c>
      <c r="CO1461" s="5" t="s">
        <v>240</v>
      </c>
      <c r="CP1461" s="5" t="s">
        <v>240</v>
      </c>
      <c r="CQ1461" s="5">
        <v>0</v>
      </c>
      <c r="CR1461" s="5" t="s">
        <v>306</v>
      </c>
      <c r="CS1461" s="5" t="s">
        <v>307</v>
      </c>
      <c r="CT1461" s="5" t="s">
        <v>307</v>
      </c>
      <c r="CU1461" s="5" t="s">
        <v>260</v>
      </c>
      <c r="CX1461" s="7">
        <f>1</f>
        <v>1</v>
      </c>
      <c r="CY1461" s="7">
        <f>0</f>
        <v>0</v>
      </c>
      <c r="DA1461" s="7">
        <f>0</f>
        <v>0</v>
      </c>
      <c r="DC1461" s="5" t="s">
        <v>812</v>
      </c>
      <c r="DD1461" s="5" t="s">
        <v>240</v>
      </c>
      <c r="DF1461" s="5" t="s">
        <v>812</v>
      </c>
      <c r="DG1461" s="7">
        <f>368</f>
        <v>368</v>
      </c>
      <c r="DI1461" s="5" t="s">
        <v>240</v>
      </c>
      <c r="DJ1461" s="5" t="s">
        <v>240</v>
      </c>
      <c r="DK1461" s="5" t="s">
        <v>240</v>
      </c>
      <c r="DL1461" s="5" t="s">
        <v>240</v>
      </c>
      <c r="DP1461" s="5" t="s">
        <v>240</v>
      </c>
      <c r="DQ1461" s="5" t="s">
        <v>240</v>
      </c>
      <c r="DR1461" s="5" t="s">
        <v>240</v>
      </c>
      <c r="DS1461" s="5" t="s">
        <v>240</v>
      </c>
      <c r="DV1461" s="5" t="s">
        <v>813</v>
      </c>
      <c r="DW1461" s="5" t="s">
        <v>3053</v>
      </c>
      <c r="HO1461" s="5" t="s">
        <v>312</v>
      </c>
    </row>
    <row r="1462" spans="1:223" x14ac:dyDescent="0.4">
      <c r="A1462" s="5">
        <v>3137</v>
      </c>
      <c r="B1462" s="5">
        <v>1</v>
      </c>
      <c r="C1462" s="5">
        <v>1</v>
      </c>
      <c r="D1462" s="5" t="s">
        <v>297</v>
      </c>
      <c r="E1462" s="5" t="s">
        <v>245</v>
      </c>
      <c r="F1462" s="5" t="s">
        <v>254</v>
      </c>
      <c r="G1462" s="5" t="s">
        <v>240</v>
      </c>
      <c r="H1462" s="6" t="s">
        <v>4729</v>
      </c>
      <c r="I1462" s="5" t="s">
        <v>295</v>
      </c>
      <c r="J1462" s="8">
        <f>1005</f>
        <v>1005</v>
      </c>
      <c r="K1462" s="5" t="s">
        <v>308</v>
      </c>
      <c r="L1462" s="7">
        <f>1</f>
        <v>1</v>
      </c>
      <c r="M1462" s="7">
        <f>1</f>
        <v>1</v>
      </c>
      <c r="N1462" s="5" t="s">
        <v>242</v>
      </c>
      <c r="O1462" s="5">
        <v>1</v>
      </c>
      <c r="P1462" s="5" t="s">
        <v>294</v>
      </c>
      <c r="Q1462" s="5" t="s">
        <v>266</v>
      </c>
      <c r="R1462" s="5" t="s">
        <v>240</v>
      </c>
      <c r="S1462" s="5" t="s">
        <v>240</v>
      </c>
      <c r="T1462" s="5" t="s">
        <v>296</v>
      </c>
      <c r="U1462" s="5" t="s">
        <v>244</v>
      </c>
      <c r="V1462" s="5" t="s">
        <v>240</v>
      </c>
      <c r="Y1462" s="5" t="s">
        <v>240</v>
      </c>
      <c r="Z1462" s="6" t="s">
        <v>298</v>
      </c>
      <c r="AB1462" s="6" t="s">
        <v>240</v>
      </c>
      <c r="AE1462" s="6" t="s">
        <v>299</v>
      </c>
      <c r="AF1462" s="5" t="s">
        <v>248</v>
      </c>
      <c r="AG1462" s="5" t="s">
        <v>249</v>
      </c>
      <c r="AW1462" s="5" t="s">
        <v>251</v>
      </c>
      <c r="AX1462" s="5" t="s">
        <v>240</v>
      </c>
      <c r="AY1462" s="5" t="s">
        <v>253</v>
      </c>
      <c r="AZ1462" s="5" t="s">
        <v>240</v>
      </c>
      <c r="BA1462" s="5" t="s">
        <v>255</v>
      </c>
      <c r="BB1462" s="5" t="s">
        <v>240</v>
      </c>
      <c r="BD1462" s="5" t="s">
        <v>240</v>
      </c>
      <c r="BF1462" s="5" t="s">
        <v>301</v>
      </c>
      <c r="BG1462" s="6" t="s">
        <v>299</v>
      </c>
      <c r="BH1462" s="5" t="s">
        <v>302</v>
      </c>
      <c r="BI1462" s="5" t="s">
        <v>303</v>
      </c>
      <c r="BJ1462" s="5" t="s">
        <v>240</v>
      </c>
      <c r="BK1462" s="8">
        <f>0</f>
        <v>0</v>
      </c>
      <c r="BL1462" s="7">
        <f>0</f>
        <v>0</v>
      </c>
      <c r="BM1462" s="5" t="s">
        <v>258</v>
      </c>
      <c r="BN1462" s="5" t="s">
        <v>259</v>
      </c>
      <c r="CB1462" s="5" t="s">
        <v>240</v>
      </c>
      <c r="CC1462" s="5" t="s">
        <v>240</v>
      </c>
      <c r="CG1462" s="5" t="s">
        <v>304</v>
      </c>
      <c r="CH1462" s="5" t="s">
        <v>305</v>
      </c>
      <c r="CI1462" s="5" t="s">
        <v>240</v>
      </c>
      <c r="CL1462" s="6" t="s">
        <v>261</v>
      </c>
      <c r="CM1462" s="5" t="s">
        <v>240</v>
      </c>
      <c r="CN1462" s="5" t="s">
        <v>263</v>
      </c>
      <c r="CO1462" s="5" t="s">
        <v>240</v>
      </c>
      <c r="CP1462" s="5" t="s">
        <v>240</v>
      </c>
      <c r="CQ1462" s="5">
        <v>0</v>
      </c>
      <c r="CR1462" s="5" t="s">
        <v>306</v>
      </c>
      <c r="CS1462" s="5" t="s">
        <v>307</v>
      </c>
      <c r="CT1462" s="5" t="s">
        <v>307</v>
      </c>
      <c r="CU1462" s="5" t="s">
        <v>260</v>
      </c>
      <c r="CX1462" s="7">
        <f>1</f>
        <v>1</v>
      </c>
      <c r="CY1462" s="7">
        <f>0</f>
        <v>0</v>
      </c>
      <c r="DA1462" s="7">
        <f>0</f>
        <v>0</v>
      </c>
      <c r="DC1462" s="5" t="s">
        <v>309</v>
      </c>
      <c r="DD1462" s="5" t="s">
        <v>240</v>
      </c>
      <c r="DF1462" s="5" t="s">
        <v>309</v>
      </c>
      <c r="DG1462" s="7">
        <f>46</f>
        <v>46</v>
      </c>
      <c r="DI1462" s="5" t="s">
        <v>240</v>
      </c>
      <c r="DJ1462" s="5" t="s">
        <v>240</v>
      </c>
      <c r="DK1462" s="5" t="s">
        <v>240</v>
      </c>
      <c r="DL1462" s="5" t="s">
        <v>240</v>
      </c>
      <c r="DP1462" s="5" t="s">
        <v>240</v>
      </c>
      <c r="DQ1462" s="5" t="s">
        <v>240</v>
      </c>
      <c r="DR1462" s="5" t="s">
        <v>240</v>
      </c>
      <c r="DS1462" s="5" t="s">
        <v>240</v>
      </c>
      <c r="DV1462" s="5" t="s">
        <v>310</v>
      </c>
      <c r="DW1462" s="5" t="s">
        <v>2146</v>
      </c>
      <c r="HO1462" s="5" t="s">
        <v>312</v>
      </c>
    </row>
    <row r="1463" spans="1:223" x14ac:dyDescent="0.4">
      <c r="A1463" s="5">
        <v>3138</v>
      </c>
      <c r="B1463" s="5">
        <v>1</v>
      </c>
      <c r="C1463" s="5">
        <v>1</v>
      </c>
      <c r="D1463" s="5" t="s">
        <v>297</v>
      </c>
      <c r="E1463" s="5" t="s">
        <v>245</v>
      </c>
      <c r="F1463" s="5" t="s">
        <v>254</v>
      </c>
      <c r="G1463" s="5" t="s">
        <v>240</v>
      </c>
      <c r="H1463" s="6" t="s">
        <v>4728</v>
      </c>
      <c r="I1463" s="5" t="s">
        <v>295</v>
      </c>
      <c r="J1463" s="8">
        <f>1953</f>
        <v>1953</v>
      </c>
      <c r="K1463" s="5" t="s">
        <v>308</v>
      </c>
      <c r="L1463" s="7">
        <f>1</f>
        <v>1</v>
      </c>
      <c r="M1463" s="7">
        <f>1</f>
        <v>1</v>
      </c>
      <c r="N1463" s="5" t="s">
        <v>242</v>
      </c>
      <c r="O1463" s="5">
        <v>1</v>
      </c>
      <c r="P1463" s="5" t="s">
        <v>294</v>
      </c>
      <c r="Q1463" s="5" t="s">
        <v>266</v>
      </c>
      <c r="R1463" s="5" t="s">
        <v>240</v>
      </c>
      <c r="S1463" s="5" t="s">
        <v>240</v>
      </c>
      <c r="T1463" s="5" t="s">
        <v>296</v>
      </c>
      <c r="U1463" s="5" t="s">
        <v>244</v>
      </c>
      <c r="V1463" s="5" t="s">
        <v>240</v>
      </c>
      <c r="Y1463" s="5" t="s">
        <v>240</v>
      </c>
      <c r="Z1463" s="6" t="s">
        <v>298</v>
      </c>
      <c r="AB1463" s="6" t="s">
        <v>240</v>
      </c>
      <c r="AE1463" s="6" t="s">
        <v>299</v>
      </c>
      <c r="AF1463" s="5" t="s">
        <v>248</v>
      </c>
      <c r="AG1463" s="5" t="s">
        <v>249</v>
      </c>
      <c r="AW1463" s="5" t="s">
        <v>251</v>
      </c>
      <c r="AX1463" s="5" t="s">
        <v>240</v>
      </c>
      <c r="AY1463" s="5" t="s">
        <v>253</v>
      </c>
      <c r="AZ1463" s="5" t="s">
        <v>240</v>
      </c>
      <c r="BA1463" s="5" t="s">
        <v>255</v>
      </c>
      <c r="BB1463" s="5" t="s">
        <v>240</v>
      </c>
      <c r="BD1463" s="5" t="s">
        <v>240</v>
      </c>
      <c r="BF1463" s="5" t="s">
        <v>301</v>
      </c>
      <c r="BG1463" s="6" t="s">
        <v>299</v>
      </c>
      <c r="BH1463" s="5" t="s">
        <v>302</v>
      </c>
      <c r="BI1463" s="5" t="s">
        <v>303</v>
      </c>
      <c r="BJ1463" s="5" t="s">
        <v>240</v>
      </c>
      <c r="BK1463" s="8">
        <f>0</f>
        <v>0</v>
      </c>
      <c r="BL1463" s="7">
        <f>0</f>
        <v>0</v>
      </c>
      <c r="BM1463" s="5" t="s">
        <v>258</v>
      </c>
      <c r="BN1463" s="5" t="s">
        <v>259</v>
      </c>
      <c r="CB1463" s="5" t="s">
        <v>240</v>
      </c>
      <c r="CC1463" s="5" t="s">
        <v>240</v>
      </c>
      <c r="CG1463" s="5" t="s">
        <v>304</v>
      </c>
      <c r="CH1463" s="5" t="s">
        <v>305</v>
      </c>
      <c r="CI1463" s="5" t="s">
        <v>240</v>
      </c>
      <c r="CL1463" s="6" t="s">
        <v>261</v>
      </c>
      <c r="CM1463" s="5" t="s">
        <v>240</v>
      </c>
      <c r="CN1463" s="5" t="s">
        <v>263</v>
      </c>
      <c r="CO1463" s="5" t="s">
        <v>240</v>
      </c>
      <c r="CP1463" s="5" t="s">
        <v>240</v>
      </c>
      <c r="CQ1463" s="5">
        <v>0</v>
      </c>
      <c r="CR1463" s="5" t="s">
        <v>306</v>
      </c>
      <c r="CS1463" s="5" t="s">
        <v>307</v>
      </c>
      <c r="CT1463" s="5" t="s">
        <v>307</v>
      </c>
      <c r="CU1463" s="5" t="s">
        <v>260</v>
      </c>
      <c r="CX1463" s="7">
        <f>1</f>
        <v>1</v>
      </c>
      <c r="CY1463" s="7">
        <f>0</f>
        <v>0</v>
      </c>
      <c r="DA1463" s="7">
        <f>0</f>
        <v>0</v>
      </c>
      <c r="DC1463" s="5" t="s">
        <v>812</v>
      </c>
      <c r="DD1463" s="5" t="s">
        <v>240</v>
      </c>
      <c r="DF1463" s="5" t="s">
        <v>812</v>
      </c>
      <c r="DG1463" s="7">
        <f>394</f>
        <v>394</v>
      </c>
      <c r="DI1463" s="5" t="s">
        <v>240</v>
      </c>
      <c r="DJ1463" s="5" t="s">
        <v>240</v>
      </c>
      <c r="DK1463" s="5" t="s">
        <v>240</v>
      </c>
      <c r="DL1463" s="5" t="s">
        <v>240</v>
      </c>
      <c r="DP1463" s="5" t="s">
        <v>240</v>
      </c>
      <c r="DQ1463" s="5" t="s">
        <v>240</v>
      </c>
      <c r="DR1463" s="5" t="s">
        <v>240</v>
      </c>
      <c r="DS1463" s="5" t="s">
        <v>240</v>
      </c>
      <c r="DV1463" s="5" t="s">
        <v>813</v>
      </c>
      <c r="DW1463" s="5" t="s">
        <v>3056</v>
      </c>
      <c r="HO1463" s="5" t="s">
        <v>312</v>
      </c>
    </row>
    <row r="1464" spans="1:223" x14ac:dyDescent="0.4">
      <c r="A1464" s="5">
        <v>3139</v>
      </c>
      <c r="B1464" s="5">
        <v>1</v>
      </c>
      <c r="C1464" s="5">
        <v>1</v>
      </c>
      <c r="D1464" s="5" t="s">
        <v>297</v>
      </c>
      <c r="E1464" s="5" t="s">
        <v>245</v>
      </c>
      <c r="F1464" s="5" t="s">
        <v>254</v>
      </c>
      <c r="G1464" s="5" t="s">
        <v>240</v>
      </c>
      <c r="H1464" s="6" t="s">
        <v>4727</v>
      </c>
      <c r="I1464" s="5" t="s">
        <v>295</v>
      </c>
      <c r="J1464" s="8">
        <f>4512</f>
        <v>4512</v>
      </c>
      <c r="K1464" s="5" t="s">
        <v>308</v>
      </c>
      <c r="L1464" s="7">
        <f>1</f>
        <v>1</v>
      </c>
      <c r="M1464" s="7">
        <f>1</f>
        <v>1</v>
      </c>
      <c r="N1464" s="5" t="s">
        <v>242</v>
      </c>
      <c r="O1464" s="5">
        <v>1</v>
      </c>
      <c r="P1464" s="5" t="s">
        <v>294</v>
      </c>
      <c r="Q1464" s="5" t="s">
        <v>266</v>
      </c>
      <c r="R1464" s="5" t="s">
        <v>240</v>
      </c>
      <c r="S1464" s="5" t="s">
        <v>240</v>
      </c>
      <c r="T1464" s="5" t="s">
        <v>296</v>
      </c>
      <c r="U1464" s="5" t="s">
        <v>244</v>
      </c>
      <c r="V1464" s="5" t="s">
        <v>240</v>
      </c>
      <c r="Y1464" s="5" t="s">
        <v>240</v>
      </c>
      <c r="Z1464" s="6" t="s">
        <v>298</v>
      </c>
      <c r="AB1464" s="6" t="s">
        <v>240</v>
      </c>
      <c r="AE1464" s="6" t="s">
        <v>299</v>
      </c>
      <c r="AF1464" s="5" t="s">
        <v>248</v>
      </c>
      <c r="AG1464" s="5" t="s">
        <v>249</v>
      </c>
      <c r="AW1464" s="5" t="s">
        <v>251</v>
      </c>
      <c r="AX1464" s="5" t="s">
        <v>240</v>
      </c>
      <c r="AY1464" s="5" t="s">
        <v>253</v>
      </c>
      <c r="AZ1464" s="5" t="s">
        <v>240</v>
      </c>
      <c r="BA1464" s="5" t="s">
        <v>255</v>
      </c>
      <c r="BB1464" s="5" t="s">
        <v>240</v>
      </c>
      <c r="BD1464" s="5" t="s">
        <v>240</v>
      </c>
      <c r="BF1464" s="5" t="s">
        <v>301</v>
      </c>
      <c r="BG1464" s="6" t="s">
        <v>299</v>
      </c>
      <c r="BH1464" s="5" t="s">
        <v>302</v>
      </c>
      <c r="BI1464" s="5" t="s">
        <v>303</v>
      </c>
      <c r="BJ1464" s="5" t="s">
        <v>240</v>
      </c>
      <c r="BK1464" s="8">
        <f>0</f>
        <v>0</v>
      </c>
      <c r="BL1464" s="7">
        <f>0</f>
        <v>0</v>
      </c>
      <c r="BM1464" s="5" t="s">
        <v>258</v>
      </c>
      <c r="BN1464" s="5" t="s">
        <v>259</v>
      </c>
      <c r="CB1464" s="5" t="s">
        <v>240</v>
      </c>
      <c r="CC1464" s="5" t="s">
        <v>240</v>
      </c>
      <c r="CG1464" s="5" t="s">
        <v>304</v>
      </c>
      <c r="CH1464" s="5" t="s">
        <v>305</v>
      </c>
      <c r="CI1464" s="5" t="s">
        <v>240</v>
      </c>
      <c r="CL1464" s="6" t="s">
        <v>261</v>
      </c>
      <c r="CM1464" s="5" t="s">
        <v>240</v>
      </c>
      <c r="CN1464" s="5" t="s">
        <v>263</v>
      </c>
      <c r="CO1464" s="5" t="s">
        <v>240</v>
      </c>
      <c r="CP1464" s="5" t="s">
        <v>240</v>
      </c>
      <c r="CQ1464" s="5">
        <v>0</v>
      </c>
      <c r="CR1464" s="5" t="s">
        <v>306</v>
      </c>
      <c r="CS1464" s="5" t="s">
        <v>307</v>
      </c>
      <c r="CT1464" s="5" t="s">
        <v>307</v>
      </c>
      <c r="CU1464" s="5" t="s">
        <v>260</v>
      </c>
      <c r="CX1464" s="7">
        <f>1</f>
        <v>1</v>
      </c>
      <c r="CY1464" s="7">
        <f>0</f>
        <v>0</v>
      </c>
      <c r="DA1464" s="7">
        <f>0</f>
        <v>0</v>
      </c>
      <c r="DC1464" s="5" t="s">
        <v>812</v>
      </c>
      <c r="DD1464" s="5" t="s">
        <v>240</v>
      </c>
      <c r="DF1464" s="5" t="s">
        <v>812</v>
      </c>
      <c r="DG1464" s="7">
        <f>1618</f>
        <v>1618</v>
      </c>
      <c r="DI1464" s="5" t="s">
        <v>240</v>
      </c>
      <c r="DJ1464" s="5" t="s">
        <v>240</v>
      </c>
      <c r="DK1464" s="5" t="s">
        <v>240</v>
      </c>
      <c r="DL1464" s="5" t="s">
        <v>240</v>
      </c>
      <c r="DP1464" s="5" t="s">
        <v>240</v>
      </c>
      <c r="DQ1464" s="5" t="s">
        <v>240</v>
      </c>
      <c r="DR1464" s="5" t="s">
        <v>240</v>
      </c>
      <c r="DS1464" s="5" t="s">
        <v>240</v>
      </c>
      <c r="DV1464" s="5" t="s">
        <v>813</v>
      </c>
      <c r="DW1464" s="5" t="s">
        <v>3058</v>
      </c>
      <c r="HO1464" s="5" t="s">
        <v>312</v>
      </c>
    </row>
    <row r="1465" spans="1:223" x14ac:dyDescent="0.4">
      <c r="A1465" s="5">
        <v>3140</v>
      </c>
      <c r="B1465" s="5">
        <v>1</v>
      </c>
      <c r="C1465" s="5">
        <v>1</v>
      </c>
      <c r="D1465" s="5" t="s">
        <v>297</v>
      </c>
      <c r="E1465" s="5" t="s">
        <v>245</v>
      </c>
      <c r="F1465" s="5" t="s">
        <v>254</v>
      </c>
      <c r="G1465" s="5" t="s">
        <v>240</v>
      </c>
      <c r="H1465" s="6" t="s">
        <v>4726</v>
      </c>
      <c r="I1465" s="5" t="s">
        <v>295</v>
      </c>
      <c r="J1465" s="8">
        <f>5093</f>
        <v>5093</v>
      </c>
      <c r="K1465" s="5" t="s">
        <v>308</v>
      </c>
      <c r="L1465" s="7">
        <f>1</f>
        <v>1</v>
      </c>
      <c r="M1465" s="7">
        <f>1</f>
        <v>1</v>
      </c>
      <c r="N1465" s="5" t="s">
        <v>242</v>
      </c>
      <c r="O1465" s="5">
        <v>1</v>
      </c>
      <c r="P1465" s="5" t="s">
        <v>294</v>
      </c>
      <c r="Q1465" s="5" t="s">
        <v>266</v>
      </c>
      <c r="R1465" s="5" t="s">
        <v>240</v>
      </c>
      <c r="S1465" s="5" t="s">
        <v>240</v>
      </c>
      <c r="T1465" s="5" t="s">
        <v>296</v>
      </c>
      <c r="U1465" s="5" t="s">
        <v>244</v>
      </c>
      <c r="V1465" s="5" t="s">
        <v>240</v>
      </c>
      <c r="Y1465" s="5" t="s">
        <v>240</v>
      </c>
      <c r="Z1465" s="6" t="s">
        <v>298</v>
      </c>
      <c r="AB1465" s="6" t="s">
        <v>240</v>
      </c>
      <c r="AE1465" s="6" t="s">
        <v>299</v>
      </c>
      <c r="AF1465" s="5" t="s">
        <v>248</v>
      </c>
      <c r="AG1465" s="5" t="s">
        <v>249</v>
      </c>
      <c r="AW1465" s="5" t="s">
        <v>251</v>
      </c>
      <c r="AX1465" s="5" t="s">
        <v>240</v>
      </c>
      <c r="AY1465" s="5" t="s">
        <v>253</v>
      </c>
      <c r="AZ1465" s="5" t="s">
        <v>240</v>
      </c>
      <c r="BA1465" s="5" t="s">
        <v>255</v>
      </c>
      <c r="BB1465" s="5" t="s">
        <v>240</v>
      </c>
      <c r="BD1465" s="5" t="s">
        <v>240</v>
      </c>
      <c r="BF1465" s="5" t="s">
        <v>301</v>
      </c>
      <c r="BG1465" s="6" t="s">
        <v>299</v>
      </c>
      <c r="BH1465" s="5" t="s">
        <v>302</v>
      </c>
      <c r="BI1465" s="5" t="s">
        <v>303</v>
      </c>
      <c r="BJ1465" s="5" t="s">
        <v>240</v>
      </c>
      <c r="BK1465" s="8">
        <f>0</f>
        <v>0</v>
      </c>
      <c r="BL1465" s="7">
        <f>0</f>
        <v>0</v>
      </c>
      <c r="BM1465" s="5" t="s">
        <v>258</v>
      </c>
      <c r="BN1465" s="5" t="s">
        <v>259</v>
      </c>
      <c r="CB1465" s="5" t="s">
        <v>240</v>
      </c>
      <c r="CC1465" s="5" t="s">
        <v>240</v>
      </c>
      <c r="CG1465" s="5" t="s">
        <v>304</v>
      </c>
      <c r="CH1465" s="5" t="s">
        <v>305</v>
      </c>
      <c r="CI1465" s="5" t="s">
        <v>240</v>
      </c>
      <c r="CL1465" s="6" t="s">
        <v>261</v>
      </c>
      <c r="CM1465" s="5" t="s">
        <v>240</v>
      </c>
      <c r="CN1465" s="5" t="s">
        <v>263</v>
      </c>
      <c r="CO1465" s="5" t="s">
        <v>240</v>
      </c>
      <c r="CP1465" s="5" t="s">
        <v>240</v>
      </c>
      <c r="CQ1465" s="5">
        <v>0</v>
      </c>
      <c r="CR1465" s="5" t="s">
        <v>306</v>
      </c>
      <c r="CS1465" s="5" t="s">
        <v>307</v>
      </c>
      <c r="CT1465" s="5" t="s">
        <v>307</v>
      </c>
      <c r="CU1465" s="5" t="s">
        <v>260</v>
      </c>
      <c r="CX1465" s="7">
        <f>1</f>
        <v>1</v>
      </c>
      <c r="CY1465" s="7">
        <f>0</f>
        <v>0</v>
      </c>
      <c r="DA1465" s="7">
        <f>0</f>
        <v>0</v>
      </c>
      <c r="DC1465" s="5" t="s">
        <v>812</v>
      </c>
      <c r="DD1465" s="5" t="s">
        <v>240</v>
      </c>
      <c r="DF1465" s="5" t="s">
        <v>812</v>
      </c>
      <c r="DG1465" s="7">
        <f>848</f>
        <v>848</v>
      </c>
      <c r="DI1465" s="5" t="s">
        <v>240</v>
      </c>
      <c r="DJ1465" s="5" t="s">
        <v>240</v>
      </c>
      <c r="DK1465" s="5" t="s">
        <v>240</v>
      </c>
      <c r="DL1465" s="5" t="s">
        <v>240</v>
      </c>
      <c r="DP1465" s="5" t="s">
        <v>240</v>
      </c>
      <c r="DQ1465" s="5" t="s">
        <v>240</v>
      </c>
      <c r="DR1465" s="5" t="s">
        <v>240</v>
      </c>
      <c r="DS1465" s="5" t="s">
        <v>240</v>
      </c>
      <c r="DV1465" s="5" t="s">
        <v>813</v>
      </c>
      <c r="DW1465" s="5" t="s">
        <v>3060</v>
      </c>
      <c r="HO1465" s="5" t="s">
        <v>312</v>
      </c>
    </row>
    <row r="1466" spans="1:223" x14ac:dyDescent="0.4">
      <c r="A1466" s="5">
        <v>3141</v>
      </c>
      <c r="B1466" s="5">
        <v>1</v>
      </c>
      <c r="C1466" s="5">
        <v>1</v>
      </c>
      <c r="D1466" s="5" t="s">
        <v>297</v>
      </c>
      <c r="E1466" s="5" t="s">
        <v>245</v>
      </c>
      <c r="F1466" s="5" t="s">
        <v>254</v>
      </c>
      <c r="G1466" s="5" t="s">
        <v>240</v>
      </c>
      <c r="H1466" s="6" t="s">
        <v>4725</v>
      </c>
      <c r="I1466" s="5" t="s">
        <v>295</v>
      </c>
      <c r="J1466" s="8">
        <f>2150</f>
        <v>2150</v>
      </c>
      <c r="K1466" s="5" t="s">
        <v>308</v>
      </c>
      <c r="L1466" s="7">
        <f>1</f>
        <v>1</v>
      </c>
      <c r="M1466" s="7">
        <f>1</f>
        <v>1</v>
      </c>
      <c r="N1466" s="5" t="s">
        <v>242</v>
      </c>
      <c r="O1466" s="5">
        <v>1</v>
      </c>
      <c r="P1466" s="5" t="s">
        <v>294</v>
      </c>
      <c r="Q1466" s="5" t="s">
        <v>266</v>
      </c>
      <c r="R1466" s="5" t="s">
        <v>240</v>
      </c>
      <c r="S1466" s="5" t="s">
        <v>240</v>
      </c>
      <c r="T1466" s="5" t="s">
        <v>296</v>
      </c>
      <c r="U1466" s="5" t="s">
        <v>244</v>
      </c>
      <c r="V1466" s="5" t="s">
        <v>240</v>
      </c>
      <c r="Y1466" s="5" t="s">
        <v>240</v>
      </c>
      <c r="Z1466" s="6" t="s">
        <v>298</v>
      </c>
      <c r="AB1466" s="6" t="s">
        <v>240</v>
      </c>
      <c r="AE1466" s="6" t="s">
        <v>299</v>
      </c>
      <c r="AF1466" s="5" t="s">
        <v>248</v>
      </c>
      <c r="AG1466" s="5" t="s">
        <v>249</v>
      </c>
      <c r="AW1466" s="5" t="s">
        <v>251</v>
      </c>
      <c r="AX1466" s="5" t="s">
        <v>240</v>
      </c>
      <c r="AY1466" s="5" t="s">
        <v>253</v>
      </c>
      <c r="AZ1466" s="5" t="s">
        <v>240</v>
      </c>
      <c r="BA1466" s="5" t="s">
        <v>255</v>
      </c>
      <c r="BB1466" s="5" t="s">
        <v>240</v>
      </c>
      <c r="BD1466" s="5" t="s">
        <v>240</v>
      </c>
      <c r="BF1466" s="5" t="s">
        <v>301</v>
      </c>
      <c r="BG1466" s="6" t="s">
        <v>299</v>
      </c>
      <c r="BH1466" s="5" t="s">
        <v>302</v>
      </c>
      <c r="BI1466" s="5" t="s">
        <v>303</v>
      </c>
      <c r="BJ1466" s="5" t="s">
        <v>240</v>
      </c>
      <c r="BK1466" s="8">
        <f>0</f>
        <v>0</v>
      </c>
      <c r="BL1466" s="7">
        <f>0</f>
        <v>0</v>
      </c>
      <c r="BM1466" s="5" t="s">
        <v>258</v>
      </c>
      <c r="BN1466" s="5" t="s">
        <v>259</v>
      </c>
      <c r="CB1466" s="5" t="s">
        <v>240</v>
      </c>
      <c r="CC1466" s="5" t="s">
        <v>240</v>
      </c>
      <c r="CG1466" s="5" t="s">
        <v>304</v>
      </c>
      <c r="CH1466" s="5" t="s">
        <v>305</v>
      </c>
      <c r="CI1466" s="5" t="s">
        <v>240</v>
      </c>
      <c r="CL1466" s="6" t="s">
        <v>261</v>
      </c>
      <c r="CM1466" s="5" t="s">
        <v>240</v>
      </c>
      <c r="CN1466" s="5" t="s">
        <v>263</v>
      </c>
      <c r="CO1466" s="5" t="s">
        <v>240</v>
      </c>
      <c r="CP1466" s="5" t="s">
        <v>240</v>
      </c>
      <c r="CQ1466" s="5">
        <v>0</v>
      </c>
      <c r="CR1466" s="5" t="s">
        <v>306</v>
      </c>
      <c r="CS1466" s="5" t="s">
        <v>307</v>
      </c>
      <c r="CT1466" s="5" t="s">
        <v>307</v>
      </c>
      <c r="CU1466" s="5" t="s">
        <v>260</v>
      </c>
      <c r="CX1466" s="7">
        <f>1</f>
        <v>1</v>
      </c>
      <c r="CY1466" s="7">
        <f>0</f>
        <v>0</v>
      </c>
      <c r="DA1466" s="7">
        <f>0</f>
        <v>0</v>
      </c>
      <c r="DC1466" s="5" t="s">
        <v>812</v>
      </c>
      <c r="DD1466" s="5" t="s">
        <v>240</v>
      </c>
      <c r="DF1466" s="5" t="s">
        <v>812</v>
      </c>
      <c r="DG1466" s="7">
        <f>206</f>
        <v>206</v>
      </c>
      <c r="DI1466" s="5" t="s">
        <v>240</v>
      </c>
      <c r="DJ1466" s="5" t="s">
        <v>240</v>
      </c>
      <c r="DK1466" s="5" t="s">
        <v>240</v>
      </c>
      <c r="DL1466" s="5" t="s">
        <v>240</v>
      </c>
      <c r="DP1466" s="5" t="s">
        <v>240</v>
      </c>
      <c r="DQ1466" s="5" t="s">
        <v>240</v>
      </c>
      <c r="DR1466" s="5" t="s">
        <v>240</v>
      </c>
      <c r="DS1466" s="5" t="s">
        <v>240</v>
      </c>
      <c r="DV1466" s="5" t="s">
        <v>813</v>
      </c>
      <c r="DW1466" s="5" t="s">
        <v>3062</v>
      </c>
      <c r="HO1466" s="5" t="s">
        <v>312</v>
      </c>
    </row>
    <row r="1467" spans="1:223" x14ac:dyDescent="0.4">
      <c r="A1467" s="5">
        <v>3142</v>
      </c>
      <c r="B1467" s="5">
        <v>1</v>
      </c>
      <c r="C1467" s="5">
        <v>1</v>
      </c>
      <c r="D1467" s="5" t="s">
        <v>297</v>
      </c>
      <c r="E1467" s="5" t="s">
        <v>245</v>
      </c>
      <c r="F1467" s="5" t="s">
        <v>254</v>
      </c>
      <c r="G1467" s="5" t="s">
        <v>240</v>
      </c>
      <c r="H1467" s="6" t="s">
        <v>4724</v>
      </c>
      <c r="I1467" s="5" t="s">
        <v>295</v>
      </c>
      <c r="J1467" s="8">
        <f>1670</f>
        <v>1670</v>
      </c>
      <c r="K1467" s="5" t="s">
        <v>308</v>
      </c>
      <c r="L1467" s="7">
        <f>1</f>
        <v>1</v>
      </c>
      <c r="M1467" s="7">
        <f>1</f>
        <v>1</v>
      </c>
      <c r="N1467" s="5" t="s">
        <v>242</v>
      </c>
      <c r="O1467" s="5">
        <v>1</v>
      </c>
      <c r="P1467" s="5" t="s">
        <v>294</v>
      </c>
      <c r="Q1467" s="5" t="s">
        <v>266</v>
      </c>
      <c r="R1467" s="5" t="s">
        <v>240</v>
      </c>
      <c r="S1467" s="5" t="s">
        <v>240</v>
      </c>
      <c r="T1467" s="5" t="s">
        <v>296</v>
      </c>
      <c r="U1467" s="5" t="s">
        <v>244</v>
      </c>
      <c r="V1467" s="5" t="s">
        <v>240</v>
      </c>
      <c r="Y1467" s="5" t="s">
        <v>240</v>
      </c>
      <c r="Z1467" s="6" t="s">
        <v>298</v>
      </c>
      <c r="AB1467" s="6" t="s">
        <v>240</v>
      </c>
      <c r="AE1467" s="6" t="s">
        <v>299</v>
      </c>
      <c r="AF1467" s="5" t="s">
        <v>248</v>
      </c>
      <c r="AG1467" s="5" t="s">
        <v>249</v>
      </c>
      <c r="AW1467" s="5" t="s">
        <v>251</v>
      </c>
      <c r="AX1467" s="5" t="s">
        <v>240</v>
      </c>
      <c r="AY1467" s="5" t="s">
        <v>253</v>
      </c>
      <c r="AZ1467" s="5" t="s">
        <v>240</v>
      </c>
      <c r="BA1467" s="5" t="s">
        <v>255</v>
      </c>
      <c r="BB1467" s="5" t="s">
        <v>240</v>
      </c>
      <c r="BD1467" s="5" t="s">
        <v>240</v>
      </c>
      <c r="BF1467" s="5" t="s">
        <v>301</v>
      </c>
      <c r="BG1467" s="6" t="s">
        <v>299</v>
      </c>
      <c r="BH1467" s="5" t="s">
        <v>302</v>
      </c>
      <c r="BI1467" s="5" t="s">
        <v>303</v>
      </c>
      <c r="BJ1467" s="5" t="s">
        <v>240</v>
      </c>
      <c r="BK1467" s="8">
        <f>0</f>
        <v>0</v>
      </c>
      <c r="BL1467" s="7">
        <f>0</f>
        <v>0</v>
      </c>
      <c r="BM1467" s="5" t="s">
        <v>258</v>
      </c>
      <c r="BN1467" s="5" t="s">
        <v>259</v>
      </c>
      <c r="CB1467" s="5" t="s">
        <v>240</v>
      </c>
      <c r="CC1467" s="5" t="s">
        <v>240</v>
      </c>
      <c r="CG1467" s="5" t="s">
        <v>304</v>
      </c>
      <c r="CH1467" s="5" t="s">
        <v>305</v>
      </c>
      <c r="CI1467" s="5" t="s">
        <v>240</v>
      </c>
      <c r="CL1467" s="6" t="s">
        <v>261</v>
      </c>
      <c r="CM1467" s="5" t="s">
        <v>240</v>
      </c>
      <c r="CN1467" s="5" t="s">
        <v>263</v>
      </c>
      <c r="CO1467" s="5" t="s">
        <v>240</v>
      </c>
      <c r="CP1467" s="5" t="s">
        <v>240</v>
      </c>
      <c r="CQ1467" s="5">
        <v>0</v>
      </c>
      <c r="CR1467" s="5" t="s">
        <v>306</v>
      </c>
      <c r="CS1467" s="5" t="s">
        <v>307</v>
      </c>
      <c r="CT1467" s="5" t="s">
        <v>307</v>
      </c>
      <c r="CU1467" s="5" t="s">
        <v>260</v>
      </c>
      <c r="CX1467" s="7">
        <f>1</f>
        <v>1</v>
      </c>
      <c r="CY1467" s="7">
        <f>0</f>
        <v>0</v>
      </c>
      <c r="DA1467" s="7">
        <f>0</f>
        <v>0</v>
      </c>
      <c r="DC1467" s="5" t="s">
        <v>812</v>
      </c>
      <c r="DD1467" s="5" t="s">
        <v>240</v>
      </c>
      <c r="DF1467" s="5" t="s">
        <v>812</v>
      </c>
      <c r="DG1467" s="7">
        <f>1412</f>
        <v>1412</v>
      </c>
      <c r="DI1467" s="5" t="s">
        <v>240</v>
      </c>
      <c r="DJ1467" s="5" t="s">
        <v>240</v>
      </c>
      <c r="DK1467" s="5" t="s">
        <v>240</v>
      </c>
      <c r="DL1467" s="5" t="s">
        <v>240</v>
      </c>
      <c r="DP1467" s="5" t="s">
        <v>240</v>
      </c>
      <c r="DQ1467" s="5" t="s">
        <v>240</v>
      </c>
      <c r="DR1467" s="5" t="s">
        <v>240</v>
      </c>
      <c r="DS1467" s="5" t="s">
        <v>240</v>
      </c>
      <c r="DV1467" s="5" t="s">
        <v>813</v>
      </c>
      <c r="DW1467" s="5" t="s">
        <v>3064</v>
      </c>
      <c r="HO1467" s="5" t="s">
        <v>312</v>
      </c>
    </row>
    <row r="1468" spans="1:223" x14ac:dyDescent="0.4">
      <c r="A1468" s="5">
        <v>3143</v>
      </c>
      <c r="B1468" s="5">
        <v>1</v>
      </c>
      <c r="C1468" s="5">
        <v>1</v>
      </c>
      <c r="D1468" s="5" t="s">
        <v>297</v>
      </c>
      <c r="E1468" s="5" t="s">
        <v>245</v>
      </c>
      <c r="F1468" s="5" t="s">
        <v>254</v>
      </c>
      <c r="G1468" s="5" t="s">
        <v>240</v>
      </c>
      <c r="H1468" s="6" t="s">
        <v>4723</v>
      </c>
      <c r="I1468" s="5" t="s">
        <v>295</v>
      </c>
      <c r="J1468" s="8">
        <f>1630</f>
        <v>1630</v>
      </c>
      <c r="K1468" s="5" t="s">
        <v>308</v>
      </c>
      <c r="L1468" s="7">
        <f>1</f>
        <v>1</v>
      </c>
      <c r="M1468" s="7">
        <f>1</f>
        <v>1</v>
      </c>
      <c r="N1468" s="5" t="s">
        <v>242</v>
      </c>
      <c r="O1468" s="5">
        <v>1</v>
      </c>
      <c r="P1468" s="5" t="s">
        <v>294</v>
      </c>
      <c r="Q1468" s="5" t="s">
        <v>266</v>
      </c>
      <c r="R1468" s="5" t="s">
        <v>240</v>
      </c>
      <c r="S1468" s="5" t="s">
        <v>240</v>
      </c>
      <c r="T1468" s="5" t="s">
        <v>296</v>
      </c>
      <c r="U1468" s="5" t="s">
        <v>244</v>
      </c>
      <c r="V1468" s="5" t="s">
        <v>240</v>
      </c>
      <c r="Y1468" s="5" t="s">
        <v>240</v>
      </c>
      <c r="Z1468" s="6" t="s">
        <v>298</v>
      </c>
      <c r="AB1468" s="6" t="s">
        <v>240</v>
      </c>
      <c r="AE1468" s="6" t="s">
        <v>299</v>
      </c>
      <c r="AF1468" s="5" t="s">
        <v>248</v>
      </c>
      <c r="AG1468" s="5" t="s">
        <v>249</v>
      </c>
      <c r="AW1468" s="5" t="s">
        <v>251</v>
      </c>
      <c r="AX1468" s="5" t="s">
        <v>240</v>
      </c>
      <c r="AY1468" s="5" t="s">
        <v>253</v>
      </c>
      <c r="AZ1468" s="5" t="s">
        <v>240</v>
      </c>
      <c r="BA1468" s="5" t="s">
        <v>255</v>
      </c>
      <c r="BB1468" s="5" t="s">
        <v>240</v>
      </c>
      <c r="BD1468" s="5" t="s">
        <v>240</v>
      </c>
      <c r="BF1468" s="5" t="s">
        <v>301</v>
      </c>
      <c r="BG1468" s="6" t="s">
        <v>299</v>
      </c>
      <c r="BH1468" s="5" t="s">
        <v>302</v>
      </c>
      <c r="BI1468" s="5" t="s">
        <v>303</v>
      </c>
      <c r="BJ1468" s="5" t="s">
        <v>240</v>
      </c>
      <c r="BK1468" s="8">
        <f>0</f>
        <v>0</v>
      </c>
      <c r="BL1468" s="7">
        <f>0</f>
        <v>0</v>
      </c>
      <c r="BM1468" s="5" t="s">
        <v>258</v>
      </c>
      <c r="BN1468" s="5" t="s">
        <v>259</v>
      </c>
      <c r="CB1468" s="5" t="s">
        <v>240</v>
      </c>
      <c r="CC1468" s="5" t="s">
        <v>240</v>
      </c>
      <c r="CG1468" s="5" t="s">
        <v>304</v>
      </c>
      <c r="CH1468" s="5" t="s">
        <v>305</v>
      </c>
      <c r="CI1468" s="5" t="s">
        <v>240</v>
      </c>
      <c r="CL1468" s="6" t="s">
        <v>261</v>
      </c>
      <c r="CM1468" s="5" t="s">
        <v>240</v>
      </c>
      <c r="CN1468" s="5" t="s">
        <v>263</v>
      </c>
      <c r="CO1468" s="5" t="s">
        <v>240</v>
      </c>
      <c r="CP1468" s="5" t="s">
        <v>240</v>
      </c>
      <c r="CQ1468" s="5">
        <v>0</v>
      </c>
      <c r="CR1468" s="5" t="s">
        <v>306</v>
      </c>
      <c r="CS1468" s="5" t="s">
        <v>307</v>
      </c>
      <c r="CT1468" s="5" t="s">
        <v>307</v>
      </c>
      <c r="CU1468" s="5" t="s">
        <v>260</v>
      </c>
      <c r="CX1468" s="7">
        <f>1</f>
        <v>1</v>
      </c>
      <c r="CY1468" s="7">
        <f>0</f>
        <v>0</v>
      </c>
      <c r="DA1468" s="7">
        <f>0</f>
        <v>0</v>
      </c>
      <c r="DC1468" s="5" t="s">
        <v>812</v>
      </c>
      <c r="DD1468" s="5" t="s">
        <v>240</v>
      </c>
      <c r="DF1468" s="5" t="s">
        <v>812</v>
      </c>
      <c r="DG1468" s="7">
        <f>171</f>
        <v>171</v>
      </c>
      <c r="DI1468" s="5" t="s">
        <v>240</v>
      </c>
      <c r="DJ1468" s="5" t="s">
        <v>240</v>
      </c>
      <c r="DK1468" s="5" t="s">
        <v>240</v>
      </c>
      <c r="DL1468" s="5" t="s">
        <v>240</v>
      </c>
      <c r="DP1468" s="5" t="s">
        <v>240</v>
      </c>
      <c r="DQ1468" s="5" t="s">
        <v>240</v>
      </c>
      <c r="DR1468" s="5" t="s">
        <v>240</v>
      </c>
      <c r="DS1468" s="5" t="s">
        <v>240</v>
      </c>
      <c r="DV1468" s="5" t="s">
        <v>813</v>
      </c>
      <c r="DW1468" s="5" t="s">
        <v>3066</v>
      </c>
      <c r="HO1468" s="5" t="s">
        <v>312</v>
      </c>
    </row>
    <row r="1469" spans="1:223" x14ac:dyDescent="0.4">
      <c r="A1469" s="5">
        <v>3144</v>
      </c>
      <c r="B1469" s="5">
        <v>1</v>
      </c>
      <c r="C1469" s="5">
        <v>1</v>
      </c>
      <c r="D1469" s="5" t="s">
        <v>297</v>
      </c>
      <c r="E1469" s="5" t="s">
        <v>245</v>
      </c>
      <c r="F1469" s="5" t="s">
        <v>254</v>
      </c>
      <c r="G1469" s="5" t="s">
        <v>240</v>
      </c>
      <c r="H1469" s="6" t="s">
        <v>4722</v>
      </c>
      <c r="I1469" s="5" t="s">
        <v>295</v>
      </c>
      <c r="J1469" s="8">
        <f>4240</f>
        <v>4240</v>
      </c>
      <c r="K1469" s="5" t="s">
        <v>308</v>
      </c>
      <c r="L1469" s="7">
        <f>1</f>
        <v>1</v>
      </c>
      <c r="M1469" s="7">
        <f>1</f>
        <v>1</v>
      </c>
      <c r="N1469" s="5" t="s">
        <v>242</v>
      </c>
      <c r="O1469" s="5">
        <v>1</v>
      </c>
      <c r="P1469" s="5" t="s">
        <v>294</v>
      </c>
      <c r="Q1469" s="5" t="s">
        <v>266</v>
      </c>
      <c r="R1469" s="5" t="s">
        <v>240</v>
      </c>
      <c r="S1469" s="5" t="s">
        <v>240</v>
      </c>
      <c r="T1469" s="5" t="s">
        <v>296</v>
      </c>
      <c r="U1469" s="5" t="s">
        <v>244</v>
      </c>
      <c r="V1469" s="5" t="s">
        <v>240</v>
      </c>
      <c r="Y1469" s="5" t="s">
        <v>240</v>
      </c>
      <c r="Z1469" s="6" t="s">
        <v>298</v>
      </c>
      <c r="AB1469" s="6" t="s">
        <v>240</v>
      </c>
      <c r="AE1469" s="6" t="s">
        <v>299</v>
      </c>
      <c r="AF1469" s="5" t="s">
        <v>248</v>
      </c>
      <c r="AG1469" s="5" t="s">
        <v>249</v>
      </c>
      <c r="AW1469" s="5" t="s">
        <v>251</v>
      </c>
      <c r="AX1469" s="5" t="s">
        <v>240</v>
      </c>
      <c r="AY1469" s="5" t="s">
        <v>253</v>
      </c>
      <c r="AZ1469" s="5" t="s">
        <v>240</v>
      </c>
      <c r="BA1469" s="5" t="s">
        <v>255</v>
      </c>
      <c r="BB1469" s="5" t="s">
        <v>240</v>
      </c>
      <c r="BD1469" s="5" t="s">
        <v>240</v>
      </c>
      <c r="BF1469" s="5" t="s">
        <v>301</v>
      </c>
      <c r="BG1469" s="6" t="s">
        <v>299</v>
      </c>
      <c r="BH1469" s="5" t="s">
        <v>302</v>
      </c>
      <c r="BI1469" s="5" t="s">
        <v>303</v>
      </c>
      <c r="BJ1469" s="5" t="s">
        <v>240</v>
      </c>
      <c r="BK1469" s="8">
        <f>0</f>
        <v>0</v>
      </c>
      <c r="BL1469" s="7">
        <f>0</f>
        <v>0</v>
      </c>
      <c r="BM1469" s="5" t="s">
        <v>258</v>
      </c>
      <c r="BN1469" s="5" t="s">
        <v>259</v>
      </c>
      <c r="CB1469" s="5" t="s">
        <v>240</v>
      </c>
      <c r="CC1469" s="5" t="s">
        <v>240</v>
      </c>
      <c r="CG1469" s="5" t="s">
        <v>304</v>
      </c>
      <c r="CH1469" s="5" t="s">
        <v>305</v>
      </c>
      <c r="CI1469" s="5" t="s">
        <v>240</v>
      </c>
      <c r="CL1469" s="6" t="s">
        <v>261</v>
      </c>
      <c r="CM1469" s="5" t="s">
        <v>240</v>
      </c>
      <c r="CN1469" s="5" t="s">
        <v>263</v>
      </c>
      <c r="CO1469" s="5" t="s">
        <v>240</v>
      </c>
      <c r="CP1469" s="5" t="s">
        <v>240</v>
      </c>
      <c r="CQ1469" s="5">
        <v>0</v>
      </c>
      <c r="CR1469" s="5" t="s">
        <v>306</v>
      </c>
      <c r="CS1469" s="5" t="s">
        <v>307</v>
      </c>
      <c r="CT1469" s="5" t="s">
        <v>307</v>
      </c>
      <c r="CU1469" s="5" t="s">
        <v>260</v>
      </c>
      <c r="CX1469" s="7">
        <f>1</f>
        <v>1</v>
      </c>
      <c r="CY1469" s="7">
        <f>0</f>
        <v>0</v>
      </c>
      <c r="DA1469" s="7">
        <f>0</f>
        <v>0</v>
      </c>
      <c r="DC1469" s="5" t="s">
        <v>812</v>
      </c>
      <c r="DD1469" s="5" t="s">
        <v>240</v>
      </c>
      <c r="DF1469" s="5" t="s">
        <v>812</v>
      </c>
      <c r="DG1469" s="7">
        <f>1012</f>
        <v>1012</v>
      </c>
      <c r="DI1469" s="5" t="s">
        <v>240</v>
      </c>
      <c r="DJ1469" s="5" t="s">
        <v>240</v>
      </c>
      <c r="DK1469" s="5" t="s">
        <v>240</v>
      </c>
      <c r="DL1469" s="5" t="s">
        <v>240</v>
      </c>
      <c r="DP1469" s="5" t="s">
        <v>240</v>
      </c>
      <c r="DQ1469" s="5" t="s">
        <v>240</v>
      </c>
      <c r="DR1469" s="5" t="s">
        <v>240</v>
      </c>
      <c r="DS1469" s="5" t="s">
        <v>240</v>
      </c>
      <c r="DV1469" s="5" t="s">
        <v>813</v>
      </c>
      <c r="DW1469" s="5" t="s">
        <v>3068</v>
      </c>
      <c r="HO1469" s="5" t="s">
        <v>312</v>
      </c>
    </row>
    <row r="1470" spans="1:223" x14ac:dyDescent="0.4">
      <c r="A1470" s="5">
        <v>3145</v>
      </c>
      <c r="B1470" s="5">
        <v>1</v>
      </c>
      <c r="C1470" s="5">
        <v>1</v>
      </c>
      <c r="D1470" s="5" t="s">
        <v>297</v>
      </c>
      <c r="E1470" s="5" t="s">
        <v>245</v>
      </c>
      <c r="F1470" s="5" t="s">
        <v>254</v>
      </c>
      <c r="G1470" s="5" t="s">
        <v>240</v>
      </c>
      <c r="H1470" s="6" t="s">
        <v>4721</v>
      </c>
      <c r="I1470" s="5" t="s">
        <v>295</v>
      </c>
      <c r="J1470" s="8">
        <f>2228</f>
        <v>2228</v>
      </c>
      <c r="K1470" s="5" t="s">
        <v>308</v>
      </c>
      <c r="L1470" s="7">
        <f>1</f>
        <v>1</v>
      </c>
      <c r="M1470" s="7">
        <f>1</f>
        <v>1</v>
      </c>
      <c r="N1470" s="5" t="s">
        <v>242</v>
      </c>
      <c r="O1470" s="5">
        <v>1</v>
      </c>
      <c r="P1470" s="5" t="s">
        <v>294</v>
      </c>
      <c r="Q1470" s="5" t="s">
        <v>266</v>
      </c>
      <c r="R1470" s="5" t="s">
        <v>240</v>
      </c>
      <c r="S1470" s="5" t="s">
        <v>240</v>
      </c>
      <c r="T1470" s="5" t="s">
        <v>296</v>
      </c>
      <c r="U1470" s="5" t="s">
        <v>244</v>
      </c>
      <c r="V1470" s="5" t="s">
        <v>240</v>
      </c>
      <c r="Y1470" s="5" t="s">
        <v>240</v>
      </c>
      <c r="Z1470" s="6" t="s">
        <v>298</v>
      </c>
      <c r="AB1470" s="6" t="s">
        <v>240</v>
      </c>
      <c r="AE1470" s="6" t="s">
        <v>299</v>
      </c>
      <c r="AF1470" s="5" t="s">
        <v>248</v>
      </c>
      <c r="AG1470" s="5" t="s">
        <v>249</v>
      </c>
      <c r="AW1470" s="5" t="s">
        <v>251</v>
      </c>
      <c r="AX1470" s="5" t="s">
        <v>240</v>
      </c>
      <c r="AY1470" s="5" t="s">
        <v>253</v>
      </c>
      <c r="AZ1470" s="5" t="s">
        <v>240</v>
      </c>
      <c r="BA1470" s="5" t="s">
        <v>255</v>
      </c>
      <c r="BB1470" s="5" t="s">
        <v>240</v>
      </c>
      <c r="BD1470" s="5" t="s">
        <v>240</v>
      </c>
      <c r="BF1470" s="5" t="s">
        <v>301</v>
      </c>
      <c r="BG1470" s="6" t="s">
        <v>299</v>
      </c>
      <c r="BH1470" s="5" t="s">
        <v>302</v>
      </c>
      <c r="BI1470" s="5" t="s">
        <v>303</v>
      </c>
      <c r="BJ1470" s="5" t="s">
        <v>240</v>
      </c>
      <c r="BK1470" s="8">
        <f>0</f>
        <v>0</v>
      </c>
      <c r="BL1470" s="7">
        <f>0</f>
        <v>0</v>
      </c>
      <c r="BM1470" s="5" t="s">
        <v>258</v>
      </c>
      <c r="BN1470" s="5" t="s">
        <v>259</v>
      </c>
      <c r="CB1470" s="5" t="s">
        <v>240</v>
      </c>
      <c r="CC1470" s="5" t="s">
        <v>240</v>
      </c>
      <c r="CG1470" s="5" t="s">
        <v>304</v>
      </c>
      <c r="CH1470" s="5" t="s">
        <v>305</v>
      </c>
      <c r="CI1470" s="5" t="s">
        <v>240</v>
      </c>
      <c r="CL1470" s="6" t="s">
        <v>261</v>
      </c>
      <c r="CM1470" s="5" t="s">
        <v>240</v>
      </c>
      <c r="CN1470" s="5" t="s">
        <v>263</v>
      </c>
      <c r="CO1470" s="5" t="s">
        <v>240</v>
      </c>
      <c r="CP1470" s="5" t="s">
        <v>240</v>
      </c>
      <c r="CQ1470" s="5">
        <v>0</v>
      </c>
      <c r="CR1470" s="5" t="s">
        <v>306</v>
      </c>
      <c r="CS1470" s="5" t="s">
        <v>307</v>
      </c>
      <c r="CT1470" s="5" t="s">
        <v>307</v>
      </c>
      <c r="CU1470" s="5" t="s">
        <v>260</v>
      </c>
      <c r="CX1470" s="7">
        <f>1</f>
        <v>1</v>
      </c>
      <c r="CY1470" s="7">
        <f>0</f>
        <v>0</v>
      </c>
      <c r="DA1470" s="7">
        <f>0</f>
        <v>0</v>
      </c>
      <c r="DC1470" s="5" t="s">
        <v>812</v>
      </c>
      <c r="DD1470" s="5" t="s">
        <v>240</v>
      </c>
      <c r="DF1470" s="5" t="s">
        <v>812</v>
      </c>
      <c r="DG1470" s="7">
        <f>1880</f>
        <v>1880</v>
      </c>
      <c r="DI1470" s="5" t="s">
        <v>240</v>
      </c>
      <c r="DJ1470" s="5" t="s">
        <v>240</v>
      </c>
      <c r="DK1470" s="5" t="s">
        <v>240</v>
      </c>
      <c r="DL1470" s="5" t="s">
        <v>240</v>
      </c>
      <c r="DP1470" s="5" t="s">
        <v>240</v>
      </c>
      <c r="DQ1470" s="5" t="s">
        <v>240</v>
      </c>
      <c r="DR1470" s="5" t="s">
        <v>240</v>
      </c>
      <c r="DS1470" s="5" t="s">
        <v>240</v>
      </c>
      <c r="DV1470" s="5" t="s">
        <v>813</v>
      </c>
      <c r="DW1470" s="5" t="s">
        <v>3070</v>
      </c>
      <c r="HO1470" s="5" t="s">
        <v>312</v>
      </c>
    </row>
    <row r="1471" spans="1:223" x14ac:dyDescent="0.4">
      <c r="A1471" s="5">
        <v>3146</v>
      </c>
      <c r="B1471" s="5">
        <v>1</v>
      </c>
      <c r="C1471" s="5">
        <v>1</v>
      </c>
      <c r="D1471" s="5" t="s">
        <v>297</v>
      </c>
      <c r="E1471" s="5" t="s">
        <v>245</v>
      </c>
      <c r="F1471" s="5" t="s">
        <v>254</v>
      </c>
      <c r="G1471" s="5" t="s">
        <v>240</v>
      </c>
      <c r="H1471" s="6" t="s">
        <v>4720</v>
      </c>
      <c r="I1471" s="5" t="s">
        <v>295</v>
      </c>
      <c r="J1471" s="8">
        <f>5531</f>
        <v>5531</v>
      </c>
      <c r="K1471" s="5" t="s">
        <v>308</v>
      </c>
      <c r="L1471" s="7">
        <f>1</f>
        <v>1</v>
      </c>
      <c r="M1471" s="7">
        <f>1</f>
        <v>1</v>
      </c>
      <c r="N1471" s="5" t="s">
        <v>242</v>
      </c>
      <c r="O1471" s="5">
        <v>1</v>
      </c>
      <c r="P1471" s="5" t="s">
        <v>294</v>
      </c>
      <c r="Q1471" s="5" t="s">
        <v>266</v>
      </c>
      <c r="R1471" s="5" t="s">
        <v>240</v>
      </c>
      <c r="S1471" s="5" t="s">
        <v>240</v>
      </c>
      <c r="T1471" s="5" t="s">
        <v>296</v>
      </c>
      <c r="U1471" s="5" t="s">
        <v>244</v>
      </c>
      <c r="V1471" s="5" t="s">
        <v>240</v>
      </c>
      <c r="Y1471" s="5" t="s">
        <v>240</v>
      </c>
      <c r="Z1471" s="6" t="s">
        <v>298</v>
      </c>
      <c r="AB1471" s="6" t="s">
        <v>240</v>
      </c>
      <c r="AE1471" s="6" t="s">
        <v>299</v>
      </c>
      <c r="AF1471" s="5" t="s">
        <v>248</v>
      </c>
      <c r="AG1471" s="5" t="s">
        <v>249</v>
      </c>
      <c r="AW1471" s="5" t="s">
        <v>251</v>
      </c>
      <c r="AX1471" s="5" t="s">
        <v>240</v>
      </c>
      <c r="AY1471" s="5" t="s">
        <v>253</v>
      </c>
      <c r="AZ1471" s="5" t="s">
        <v>240</v>
      </c>
      <c r="BA1471" s="5" t="s">
        <v>255</v>
      </c>
      <c r="BB1471" s="5" t="s">
        <v>240</v>
      </c>
      <c r="BD1471" s="5" t="s">
        <v>240</v>
      </c>
      <c r="BF1471" s="5" t="s">
        <v>301</v>
      </c>
      <c r="BG1471" s="6" t="s">
        <v>299</v>
      </c>
      <c r="BH1471" s="5" t="s">
        <v>302</v>
      </c>
      <c r="BI1471" s="5" t="s">
        <v>303</v>
      </c>
      <c r="BJ1471" s="5" t="s">
        <v>240</v>
      </c>
      <c r="BK1471" s="8">
        <f>0</f>
        <v>0</v>
      </c>
      <c r="BL1471" s="7">
        <f>0</f>
        <v>0</v>
      </c>
      <c r="BM1471" s="5" t="s">
        <v>258</v>
      </c>
      <c r="BN1471" s="5" t="s">
        <v>259</v>
      </c>
      <c r="CB1471" s="5" t="s">
        <v>240</v>
      </c>
      <c r="CC1471" s="5" t="s">
        <v>240</v>
      </c>
      <c r="CG1471" s="5" t="s">
        <v>304</v>
      </c>
      <c r="CH1471" s="5" t="s">
        <v>305</v>
      </c>
      <c r="CI1471" s="5" t="s">
        <v>240</v>
      </c>
      <c r="CL1471" s="6" t="s">
        <v>261</v>
      </c>
      <c r="CM1471" s="5" t="s">
        <v>240</v>
      </c>
      <c r="CN1471" s="5" t="s">
        <v>263</v>
      </c>
      <c r="CO1471" s="5" t="s">
        <v>240</v>
      </c>
      <c r="CP1471" s="5" t="s">
        <v>240</v>
      </c>
      <c r="CQ1471" s="5">
        <v>0</v>
      </c>
      <c r="CR1471" s="5" t="s">
        <v>306</v>
      </c>
      <c r="CS1471" s="5" t="s">
        <v>307</v>
      </c>
      <c r="CT1471" s="5" t="s">
        <v>307</v>
      </c>
      <c r="CU1471" s="5" t="s">
        <v>260</v>
      </c>
      <c r="CX1471" s="7">
        <f>1</f>
        <v>1</v>
      </c>
      <c r="CY1471" s="7">
        <f>0</f>
        <v>0</v>
      </c>
      <c r="DA1471" s="7">
        <f>0</f>
        <v>0</v>
      </c>
      <c r="DC1471" s="5" t="s">
        <v>812</v>
      </c>
      <c r="DD1471" s="5" t="s">
        <v>240</v>
      </c>
      <c r="DF1471" s="5" t="s">
        <v>812</v>
      </c>
      <c r="DG1471" s="7">
        <f>95</f>
        <v>95</v>
      </c>
      <c r="DI1471" s="5" t="s">
        <v>240</v>
      </c>
      <c r="DJ1471" s="5" t="s">
        <v>240</v>
      </c>
      <c r="DK1471" s="5" t="s">
        <v>240</v>
      </c>
      <c r="DL1471" s="5" t="s">
        <v>240</v>
      </c>
      <c r="DP1471" s="5" t="s">
        <v>240</v>
      </c>
      <c r="DQ1471" s="5" t="s">
        <v>240</v>
      </c>
      <c r="DR1471" s="5" t="s">
        <v>240</v>
      </c>
      <c r="DS1471" s="5" t="s">
        <v>240</v>
      </c>
      <c r="DV1471" s="5" t="s">
        <v>813</v>
      </c>
      <c r="DW1471" s="5" t="s">
        <v>3072</v>
      </c>
      <c r="HO1471" s="5" t="s">
        <v>312</v>
      </c>
    </row>
    <row r="1472" spans="1:223" x14ac:dyDescent="0.4">
      <c r="A1472" s="5">
        <v>3147</v>
      </c>
      <c r="B1472" s="5">
        <v>1</v>
      </c>
      <c r="C1472" s="5">
        <v>1</v>
      </c>
      <c r="D1472" s="5" t="s">
        <v>297</v>
      </c>
      <c r="E1472" s="5" t="s">
        <v>245</v>
      </c>
      <c r="F1472" s="5" t="s">
        <v>254</v>
      </c>
      <c r="G1472" s="5" t="s">
        <v>240</v>
      </c>
      <c r="H1472" s="6" t="s">
        <v>4719</v>
      </c>
      <c r="I1472" s="5" t="s">
        <v>295</v>
      </c>
      <c r="J1472" s="8">
        <f>554</f>
        <v>554</v>
      </c>
      <c r="K1472" s="5" t="s">
        <v>308</v>
      </c>
      <c r="L1472" s="7">
        <f>1</f>
        <v>1</v>
      </c>
      <c r="M1472" s="7">
        <f>1</f>
        <v>1</v>
      </c>
      <c r="N1472" s="5" t="s">
        <v>242</v>
      </c>
      <c r="O1472" s="5">
        <v>1</v>
      </c>
      <c r="P1472" s="5" t="s">
        <v>294</v>
      </c>
      <c r="Q1472" s="5" t="s">
        <v>266</v>
      </c>
      <c r="R1472" s="5" t="s">
        <v>240</v>
      </c>
      <c r="S1472" s="5" t="s">
        <v>240</v>
      </c>
      <c r="T1472" s="5" t="s">
        <v>296</v>
      </c>
      <c r="U1472" s="5" t="s">
        <v>244</v>
      </c>
      <c r="V1472" s="5" t="s">
        <v>240</v>
      </c>
      <c r="Y1472" s="5" t="s">
        <v>240</v>
      </c>
      <c r="Z1472" s="6" t="s">
        <v>298</v>
      </c>
      <c r="AB1472" s="6" t="s">
        <v>240</v>
      </c>
      <c r="AE1472" s="6" t="s">
        <v>299</v>
      </c>
      <c r="AF1472" s="5" t="s">
        <v>248</v>
      </c>
      <c r="AG1472" s="5" t="s">
        <v>249</v>
      </c>
      <c r="AW1472" s="5" t="s">
        <v>251</v>
      </c>
      <c r="AX1472" s="5" t="s">
        <v>240</v>
      </c>
      <c r="AY1472" s="5" t="s">
        <v>253</v>
      </c>
      <c r="AZ1472" s="5" t="s">
        <v>240</v>
      </c>
      <c r="BA1472" s="5" t="s">
        <v>255</v>
      </c>
      <c r="BB1472" s="5" t="s">
        <v>240</v>
      </c>
      <c r="BD1472" s="5" t="s">
        <v>240</v>
      </c>
      <c r="BF1472" s="5" t="s">
        <v>301</v>
      </c>
      <c r="BG1472" s="6" t="s">
        <v>299</v>
      </c>
      <c r="BH1472" s="5" t="s">
        <v>302</v>
      </c>
      <c r="BI1472" s="5" t="s">
        <v>303</v>
      </c>
      <c r="BJ1472" s="5" t="s">
        <v>240</v>
      </c>
      <c r="BK1472" s="8">
        <f>0</f>
        <v>0</v>
      </c>
      <c r="BL1472" s="7">
        <f>0</f>
        <v>0</v>
      </c>
      <c r="BM1472" s="5" t="s">
        <v>258</v>
      </c>
      <c r="BN1472" s="5" t="s">
        <v>259</v>
      </c>
      <c r="CB1472" s="5" t="s">
        <v>240</v>
      </c>
      <c r="CC1472" s="5" t="s">
        <v>240</v>
      </c>
      <c r="CG1472" s="5" t="s">
        <v>304</v>
      </c>
      <c r="CH1472" s="5" t="s">
        <v>305</v>
      </c>
      <c r="CI1472" s="5" t="s">
        <v>240</v>
      </c>
      <c r="CL1472" s="6" t="s">
        <v>261</v>
      </c>
      <c r="CM1472" s="5" t="s">
        <v>240</v>
      </c>
      <c r="CN1472" s="5" t="s">
        <v>263</v>
      </c>
      <c r="CO1472" s="5" t="s">
        <v>240</v>
      </c>
      <c r="CP1472" s="5" t="s">
        <v>240</v>
      </c>
      <c r="CQ1472" s="5">
        <v>0</v>
      </c>
      <c r="CR1472" s="5" t="s">
        <v>306</v>
      </c>
      <c r="CS1472" s="5" t="s">
        <v>307</v>
      </c>
      <c r="CT1472" s="5" t="s">
        <v>307</v>
      </c>
      <c r="CU1472" s="5" t="s">
        <v>260</v>
      </c>
      <c r="CX1472" s="7">
        <f>1</f>
        <v>1</v>
      </c>
      <c r="CY1472" s="7">
        <f>0</f>
        <v>0</v>
      </c>
      <c r="DA1472" s="7">
        <f>0</f>
        <v>0</v>
      </c>
      <c r="DC1472" s="5" t="s">
        <v>812</v>
      </c>
      <c r="DD1472" s="5" t="s">
        <v>240</v>
      </c>
      <c r="DF1472" s="5" t="s">
        <v>812</v>
      </c>
      <c r="DG1472" s="7">
        <f>9.94</f>
        <v>9.94</v>
      </c>
      <c r="DI1472" s="5" t="s">
        <v>240</v>
      </c>
      <c r="DJ1472" s="5" t="s">
        <v>240</v>
      </c>
      <c r="DK1472" s="5" t="s">
        <v>240</v>
      </c>
      <c r="DL1472" s="5" t="s">
        <v>240</v>
      </c>
      <c r="DP1472" s="5" t="s">
        <v>240</v>
      </c>
      <c r="DQ1472" s="5" t="s">
        <v>240</v>
      </c>
      <c r="DR1472" s="5" t="s">
        <v>240</v>
      </c>
      <c r="DS1472" s="5" t="s">
        <v>240</v>
      </c>
      <c r="DV1472" s="5" t="s">
        <v>813</v>
      </c>
      <c r="DW1472" s="5" t="s">
        <v>3074</v>
      </c>
      <c r="HO1472" s="5" t="s">
        <v>312</v>
      </c>
    </row>
    <row r="1473" spans="1:223" x14ac:dyDescent="0.4">
      <c r="A1473" s="5">
        <v>3148</v>
      </c>
      <c r="B1473" s="5">
        <v>1</v>
      </c>
      <c r="C1473" s="5">
        <v>1</v>
      </c>
      <c r="D1473" s="5" t="s">
        <v>297</v>
      </c>
      <c r="E1473" s="5" t="s">
        <v>245</v>
      </c>
      <c r="F1473" s="5" t="s">
        <v>254</v>
      </c>
      <c r="G1473" s="5" t="s">
        <v>240</v>
      </c>
      <c r="H1473" s="6" t="s">
        <v>4718</v>
      </c>
      <c r="I1473" s="5" t="s">
        <v>295</v>
      </c>
      <c r="J1473" s="8">
        <f>2180</f>
        <v>2180</v>
      </c>
      <c r="K1473" s="5" t="s">
        <v>308</v>
      </c>
      <c r="L1473" s="7">
        <f>1</f>
        <v>1</v>
      </c>
      <c r="M1473" s="7">
        <f>1</f>
        <v>1</v>
      </c>
      <c r="N1473" s="5" t="s">
        <v>242</v>
      </c>
      <c r="O1473" s="5">
        <v>1</v>
      </c>
      <c r="P1473" s="5" t="s">
        <v>294</v>
      </c>
      <c r="Q1473" s="5" t="s">
        <v>266</v>
      </c>
      <c r="R1473" s="5" t="s">
        <v>240</v>
      </c>
      <c r="S1473" s="5" t="s">
        <v>240</v>
      </c>
      <c r="T1473" s="5" t="s">
        <v>296</v>
      </c>
      <c r="U1473" s="5" t="s">
        <v>244</v>
      </c>
      <c r="V1473" s="5" t="s">
        <v>240</v>
      </c>
      <c r="Y1473" s="5" t="s">
        <v>240</v>
      </c>
      <c r="Z1473" s="6" t="s">
        <v>298</v>
      </c>
      <c r="AB1473" s="6" t="s">
        <v>240</v>
      </c>
      <c r="AE1473" s="6" t="s">
        <v>299</v>
      </c>
      <c r="AF1473" s="5" t="s">
        <v>248</v>
      </c>
      <c r="AG1473" s="5" t="s">
        <v>249</v>
      </c>
      <c r="AW1473" s="5" t="s">
        <v>251</v>
      </c>
      <c r="AX1473" s="5" t="s">
        <v>240</v>
      </c>
      <c r="AY1473" s="5" t="s">
        <v>253</v>
      </c>
      <c r="AZ1473" s="5" t="s">
        <v>240</v>
      </c>
      <c r="BA1473" s="5" t="s">
        <v>255</v>
      </c>
      <c r="BB1473" s="5" t="s">
        <v>240</v>
      </c>
      <c r="BD1473" s="5" t="s">
        <v>240</v>
      </c>
      <c r="BF1473" s="5" t="s">
        <v>301</v>
      </c>
      <c r="BG1473" s="6" t="s">
        <v>299</v>
      </c>
      <c r="BH1473" s="5" t="s">
        <v>302</v>
      </c>
      <c r="BI1473" s="5" t="s">
        <v>303</v>
      </c>
      <c r="BJ1473" s="5" t="s">
        <v>240</v>
      </c>
      <c r="BK1473" s="8">
        <f>0</f>
        <v>0</v>
      </c>
      <c r="BL1473" s="7">
        <f>0</f>
        <v>0</v>
      </c>
      <c r="BM1473" s="5" t="s">
        <v>258</v>
      </c>
      <c r="BN1473" s="5" t="s">
        <v>259</v>
      </c>
      <c r="CB1473" s="5" t="s">
        <v>240</v>
      </c>
      <c r="CC1473" s="5" t="s">
        <v>240</v>
      </c>
      <c r="CG1473" s="5" t="s">
        <v>304</v>
      </c>
      <c r="CH1473" s="5" t="s">
        <v>305</v>
      </c>
      <c r="CI1473" s="5" t="s">
        <v>240</v>
      </c>
      <c r="CL1473" s="6" t="s">
        <v>261</v>
      </c>
      <c r="CM1473" s="5" t="s">
        <v>240</v>
      </c>
      <c r="CN1473" s="5" t="s">
        <v>263</v>
      </c>
      <c r="CO1473" s="5" t="s">
        <v>240</v>
      </c>
      <c r="CP1473" s="5" t="s">
        <v>240</v>
      </c>
      <c r="CQ1473" s="5">
        <v>0</v>
      </c>
      <c r="CR1473" s="5" t="s">
        <v>306</v>
      </c>
      <c r="CS1473" s="5" t="s">
        <v>307</v>
      </c>
      <c r="CT1473" s="5" t="s">
        <v>307</v>
      </c>
      <c r="CU1473" s="5" t="s">
        <v>260</v>
      </c>
      <c r="CX1473" s="7">
        <f>1</f>
        <v>1</v>
      </c>
      <c r="CY1473" s="7">
        <f>0</f>
        <v>0</v>
      </c>
      <c r="DA1473" s="7">
        <f>0</f>
        <v>0</v>
      </c>
      <c r="DC1473" s="5" t="s">
        <v>812</v>
      </c>
      <c r="DD1473" s="5" t="s">
        <v>240</v>
      </c>
      <c r="DF1473" s="5" t="s">
        <v>812</v>
      </c>
      <c r="DG1473" s="7">
        <f>2084</f>
        <v>2084</v>
      </c>
      <c r="DI1473" s="5" t="s">
        <v>240</v>
      </c>
      <c r="DJ1473" s="5" t="s">
        <v>240</v>
      </c>
      <c r="DK1473" s="5" t="s">
        <v>240</v>
      </c>
      <c r="DL1473" s="5" t="s">
        <v>240</v>
      </c>
      <c r="DP1473" s="5" t="s">
        <v>240</v>
      </c>
      <c r="DQ1473" s="5" t="s">
        <v>240</v>
      </c>
      <c r="DR1473" s="5" t="s">
        <v>240</v>
      </c>
      <c r="DS1473" s="5" t="s">
        <v>240</v>
      </c>
      <c r="DV1473" s="5" t="s">
        <v>813</v>
      </c>
      <c r="DW1473" s="5" t="s">
        <v>3076</v>
      </c>
      <c r="HO1473" s="5" t="s">
        <v>312</v>
      </c>
    </row>
    <row r="1474" spans="1:223" x14ac:dyDescent="0.4">
      <c r="A1474" s="5">
        <v>3149</v>
      </c>
      <c r="B1474" s="5">
        <v>1</v>
      </c>
      <c r="C1474" s="5">
        <v>1</v>
      </c>
      <c r="D1474" s="5" t="s">
        <v>297</v>
      </c>
      <c r="E1474" s="5" t="s">
        <v>245</v>
      </c>
      <c r="F1474" s="5" t="s">
        <v>254</v>
      </c>
      <c r="G1474" s="5" t="s">
        <v>240</v>
      </c>
      <c r="H1474" s="6" t="s">
        <v>4716</v>
      </c>
      <c r="I1474" s="5" t="s">
        <v>295</v>
      </c>
      <c r="J1474" s="8">
        <f>6989</f>
        <v>6989</v>
      </c>
      <c r="K1474" s="5" t="s">
        <v>308</v>
      </c>
      <c r="L1474" s="7">
        <f>1</f>
        <v>1</v>
      </c>
      <c r="M1474" s="7">
        <f>1</f>
        <v>1</v>
      </c>
      <c r="N1474" s="5" t="s">
        <v>242</v>
      </c>
      <c r="O1474" s="5">
        <v>1</v>
      </c>
      <c r="P1474" s="5" t="s">
        <v>294</v>
      </c>
      <c r="Q1474" s="5" t="s">
        <v>266</v>
      </c>
      <c r="R1474" s="5" t="s">
        <v>240</v>
      </c>
      <c r="S1474" s="5" t="s">
        <v>240</v>
      </c>
      <c r="T1474" s="5" t="s">
        <v>296</v>
      </c>
      <c r="U1474" s="5" t="s">
        <v>244</v>
      </c>
      <c r="V1474" s="5" t="s">
        <v>240</v>
      </c>
      <c r="Y1474" s="5" t="s">
        <v>240</v>
      </c>
      <c r="Z1474" s="6" t="s">
        <v>298</v>
      </c>
      <c r="AB1474" s="6" t="s">
        <v>240</v>
      </c>
      <c r="AE1474" s="6" t="s">
        <v>299</v>
      </c>
      <c r="AF1474" s="5" t="s">
        <v>248</v>
      </c>
      <c r="AG1474" s="5" t="s">
        <v>249</v>
      </c>
      <c r="AW1474" s="5" t="s">
        <v>251</v>
      </c>
      <c r="AX1474" s="5" t="s">
        <v>240</v>
      </c>
      <c r="AY1474" s="5" t="s">
        <v>253</v>
      </c>
      <c r="AZ1474" s="5" t="s">
        <v>240</v>
      </c>
      <c r="BA1474" s="5" t="s">
        <v>255</v>
      </c>
      <c r="BB1474" s="5" t="s">
        <v>240</v>
      </c>
      <c r="BD1474" s="5" t="s">
        <v>240</v>
      </c>
      <c r="BF1474" s="5" t="s">
        <v>301</v>
      </c>
      <c r="BG1474" s="6" t="s">
        <v>299</v>
      </c>
      <c r="BH1474" s="5" t="s">
        <v>302</v>
      </c>
      <c r="BI1474" s="5" t="s">
        <v>303</v>
      </c>
      <c r="BJ1474" s="5" t="s">
        <v>240</v>
      </c>
      <c r="BK1474" s="8">
        <f>0</f>
        <v>0</v>
      </c>
      <c r="BL1474" s="7">
        <f>0</f>
        <v>0</v>
      </c>
      <c r="BM1474" s="5" t="s">
        <v>258</v>
      </c>
      <c r="BN1474" s="5" t="s">
        <v>259</v>
      </c>
      <c r="CB1474" s="5" t="s">
        <v>240</v>
      </c>
      <c r="CC1474" s="5" t="s">
        <v>240</v>
      </c>
      <c r="CG1474" s="5" t="s">
        <v>304</v>
      </c>
      <c r="CH1474" s="5" t="s">
        <v>305</v>
      </c>
      <c r="CI1474" s="5" t="s">
        <v>240</v>
      </c>
      <c r="CL1474" s="6" t="s">
        <v>261</v>
      </c>
      <c r="CM1474" s="5" t="s">
        <v>240</v>
      </c>
      <c r="CN1474" s="5" t="s">
        <v>263</v>
      </c>
      <c r="CO1474" s="5" t="s">
        <v>240</v>
      </c>
      <c r="CP1474" s="5" t="s">
        <v>240</v>
      </c>
      <c r="CQ1474" s="5">
        <v>0</v>
      </c>
      <c r="CR1474" s="5" t="s">
        <v>306</v>
      </c>
      <c r="CS1474" s="5" t="s">
        <v>307</v>
      </c>
      <c r="CT1474" s="5" t="s">
        <v>307</v>
      </c>
      <c r="CU1474" s="5" t="s">
        <v>260</v>
      </c>
      <c r="CX1474" s="7">
        <f>1</f>
        <v>1</v>
      </c>
      <c r="CY1474" s="7">
        <f>0</f>
        <v>0</v>
      </c>
      <c r="DA1474" s="7">
        <f>0</f>
        <v>0</v>
      </c>
      <c r="DC1474" s="5" t="s">
        <v>812</v>
      </c>
      <c r="DD1474" s="5" t="s">
        <v>240</v>
      </c>
      <c r="DF1474" s="5" t="s">
        <v>812</v>
      </c>
      <c r="DG1474" s="7">
        <f>930</f>
        <v>930</v>
      </c>
      <c r="DI1474" s="5" t="s">
        <v>240</v>
      </c>
      <c r="DJ1474" s="5" t="s">
        <v>240</v>
      </c>
      <c r="DK1474" s="5" t="s">
        <v>240</v>
      </c>
      <c r="DL1474" s="5" t="s">
        <v>240</v>
      </c>
      <c r="DP1474" s="5" t="s">
        <v>240</v>
      </c>
      <c r="DQ1474" s="5" t="s">
        <v>240</v>
      </c>
      <c r="DR1474" s="5" t="s">
        <v>240</v>
      </c>
      <c r="DS1474" s="5" t="s">
        <v>240</v>
      </c>
      <c r="DV1474" s="5" t="s">
        <v>813</v>
      </c>
      <c r="DW1474" s="5" t="s">
        <v>3078</v>
      </c>
      <c r="HO1474" s="5" t="s">
        <v>312</v>
      </c>
    </row>
    <row r="1475" spans="1:223" x14ac:dyDescent="0.4">
      <c r="A1475" s="5">
        <v>3150</v>
      </c>
      <c r="B1475" s="5">
        <v>1</v>
      </c>
      <c r="C1475" s="5">
        <v>1</v>
      </c>
      <c r="D1475" s="5" t="s">
        <v>297</v>
      </c>
      <c r="E1475" s="5" t="s">
        <v>245</v>
      </c>
      <c r="F1475" s="5" t="s">
        <v>254</v>
      </c>
      <c r="G1475" s="5" t="s">
        <v>240</v>
      </c>
      <c r="H1475" s="6" t="s">
        <v>4715</v>
      </c>
      <c r="I1475" s="5" t="s">
        <v>295</v>
      </c>
      <c r="J1475" s="8">
        <f>2079</f>
        <v>2079</v>
      </c>
      <c r="K1475" s="5" t="s">
        <v>308</v>
      </c>
      <c r="L1475" s="7">
        <f>1</f>
        <v>1</v>
      </c>
      <c r="M1475" s="7">
        <f>1</f>
        <v>1</v>
      </c>
      <c r="N1475" s="5" t="s">
        <v>242</v>
      </c>
      <c r="O1475" s="5">
        <v>1</v>
      </c>
      <c r="P1475" s="5" t="s">
        <v>294</v>
      </c>
      <c r="Q1475" s="5" t="s">
        <v>266</v>
      </c>
      <c r="R1475" s="5" t="s">
        <v>240</v>
      </c>
      <c r="S1475" s="5" t="s">
        <v>240</v>
      </c>
      <c r="T1475" s="5" t="s">
        <v>296</v>
      </c>
      <c r="U1475" s="5" t="s">
        <v>244</v>
      </c>
      <c r="V1475" s="5" t="s">
        <v>240</v>
      </c>
      <c r="Y1475" s="5" t="s">
        <v>240</v>
      </c>
      <c r="Z1475" s="6" t="s">
        <v>298</v>
      </c>
      <c r="AB1475" s="6" t="s">
        <v>240</v>
      </c>
      <c r="AE1475" s="6" t="s">
        <v>299</v>
      </c>
      <c r="AF1475" s="5" t="s">
        <v>248</v>
      </c>
      <c r="AG1475" s="5" t="s">
        <v>249</v>
      </c>
      <c r="AW1475" s="5" t="s">
        <v>251</v>
      </c>
      <c r="AX1475" s="5" t="s">
        <v>240</v>
      </c>
      <c r="AY1475" s="5" t="s">
        <v>253</v>
      </c>
      <c r="AZ1475" s="5" t="s">
        <v>240</v>
      </c>
      <c r="BA1475" s="5" t="s">
        <v>255</v>
      </c>
      <c r="BB1475" s="5" t="s">
        <v>240</v>
      </c>
      <c r="BD1475" s="5" t="s">
        <v>240</v>
      </c>
      <c r="BF1475" s="5" t="s">
        <v>301</v>
      </c>
      <c r="BG1475" s="6" t="s">
        <v>299</v>
      </c>
      <c r="BH1475" s="5" t="s">
        <v>302</v>
      </c>
      <c r="BI1475" s="5" t="s">
        <v>303</v>
      </c>
      <c r="BJ1475" s="5" t="s">
        <v>240</v>
      </c>
      <c r="BK1475" s="8">
        <f>0</f>
        <v>0</v>
      </c>
      <c r="BL1475" s="7">
        <f>0</f>
        <v>0</v>
      </c>
      <c r="BM1475" s="5" t="s">
        <v>258</v>
      </c>
      <c r="BN1475" s="5" t="s">
        <v>259</v>
      </c>
      <c r="CB1475" s="5" t="s">
        <v>240</v>
      </c>
      <c r="CC1475" s="5" t="s">
        <v>240</v>
      </c>
      <c r="CG1475" s="5" t="s">
        <v>304</v>
      </c>
      <c r="CH1475" s="5" t="s">
        <v>305</v>
      </c>
      <c r="CI1475" s="5" t="s">
        <v>240</v>
      </c>
      <c r="CL1475" s="6" t="s">
        <v>261</v>
      </c>
      <c r="CM1475" s="5" t="s">
        <v>240</v>
      </c>
      <c r="CN1475" s="5" t="s">
        <v>263</v>
      </c>
      <c r="CO1475" s="5" t="s">
        <v>240</v>
      </c>
      <c r="CP1475" s="5" t="s">
        <v>240</v>
      </c>
      <c r="CQ1475" s="5">
        <v>0</v>
      </c>
      <c r="CR1475" s="5" t="s">
        <v>306</v>
      </c>
      <c r="CS1475" s="5" t="s">
        <v>307</v>
      </c>
      <c r="CT1475" s="5" t="s">
        <v>307</v>
      </c>
      <c r="CU1475" s="5" t="s">
        <v>260</v>
      </c>
      <c r="CX1475" s="7">
        <f>1</f>
        <v>1</v>
      </c>
      <c r="CY1475" s="7">
        <f>0</f>
        <v>0</v>
      </c>
      <c r="DA1475" s="7">
        <f>0</f>
        <v>0</v>
      </c>
      <c r="DC1475" s="5" t="s">
        <v>812</v>
      </c>
      <c r="DD1475" s="5" t="s">
        <v>240</v>
      </c>
      <c r="DF1475" s="5" t="s">
        <v>812</v>
      </c>
      <c r="DG1475" s="7">
        <f>269</f>
        <v>269</v>
      </c>
      <c r="DI1475" s="5" t="s">
        <v>240</v>
      </c>
      <c r="DJ1475" s="5" t="s">
        <v>240</v>
      </c>
      <c r="DK1475" s="5" t="s">
        <v>240</v>
      </c>
      <c r="DL1475" s="5" t="s">
        <v>240</v>
      </c>
      <c r="DP1475" s="5" t="s">
        <v>240</v>
      </c>
      <c r="DQ1475" s="5" t="s">
        <v>240</v>
      </c>
      <c r="DR1475" s="5" t="s">
        <v>240</v>
      </c>
      <c r="DS1475" s="5" t="s">
        <v>240</v>
      </c>
      <c r="DV1475" s="5" t="s">
        <v>813</v>
      </c>
      <c r="DW1475" s="5" t="s">
        <v>3080</v>
      </c>
      <c r="HO1475" s="5" t="s">
        <v>312</v>
      </c>
    </row>
    <row r="1476" spans="1:223" x14ac:dyDescent="0.4">
      <c r="A1476" s="5">
        <v>3151</v>
      </c>
      <c r="B1476" s="5">
        <v>1</v>
      </c>
      <c r="C1476" s="5">
        <v>1</v>
      </c>
      <c r="D1476" s="5" t="s">
        <v>297</v>
      </c>
      <c r="E1476" s="5" t="s">
        <v>245</v>
      </c>
      <c r="F1476" s="5" t="s">
        <v>254</v>
      </c>
      <c r="G1476" s="5" t="s">
        <v>240</v>
      </c>
      <c r="H1476" s="6" t="s">
        <v>4714</v>
      </c>
      <c r="I1476" s="5" t="s">
        <v>295</v>
      </c>
      <c r="J1476" s="8">
        <f>2203</f>
        <v>2203</v>
      </c>
      <c r="K1476" s="5" t="s">
        <v>308</v>
      </c>
      <c r="L1476" s="7">
        <f>1</f>
        <v>1</v>
      </c>
      <c r="M1476" s="7">
        <f>1</f>
        <v>1</v>
      </c>
      <c r="N1476" s="5" t="s">
        <v>242</v>
      </c>
      <c r="O1476" s="5">
        <v>1</v>
      </c>
      <c r="P1476" s="5" t="s">
        <v>294</v>
      </c>
      <c r="Q1476" s="5" t="s">
        <v>266</v>
      </c>
      <c r="R1476" s="5" t="s">
        <v>240</v>
      </c>
      <c r="S1476" s="5" t="s">
        <v>240</v>
      </c>
      <c r="T1476" s="5" t="s">
        <v>296</v>
      </c>
      <c r="U1476" s="5" t="s">
        <v>244</v>
      </c>
      <c r="V1476" s="5" t="s">
        <v>240</v>
      </c>
      <c r="Y1476" s="5" t="s">
        <v>240</v>
      </c>
      <c r="Z1476" s="6" t="s">
        <v>298</v>
      </c>
      <c r="AB1476" s="6" t="s">
        <v>240</v>
      </c>
      <c r="AE1476" s="6" t="s">
        <v>299</v>
      </c>
      <c r="AF1476" s="5" t="s">
        <v>248</v>
      </c>
      <c r="AG1476" s="5" t="s">
        <v>249</v>
      </c>
      <c r="AW1476" s="5" t="s">
        <v>251</v>
      </c>
      <c r="AX1476" s="5" t="s">
        <v>240</v>
      </c>
      <c r="AY1476" s="5" t="s">
        <v>253</v>
      </c>
      <c r="AZ1476" s="5" t="s">
        <v>240</v>
      </c>
      <c r="BA1476" s="5" t="s">
        <v>255</v>
      </c>
      <c r="BB1476" s="5" t="s">
        <v>240</v>
      </c>
      <c r="BD1476" s="5" t="s">
        <v>240</v>
      </c>
      <c r="BF1476" s="5" t="s">
        <v>301</v>
      </c>
      <c r="BG1476" s="6" t="s">
        <v>299</v>
      </c>
      <c r="BH1476" s="5" t="s">
        <v>302</v>
      </c>
      <c r="BI1476" s="5" t="s">
        <v>303</v>
      </c>
      <c r="BJ1476" s="5" t="s">
        <v>240</v>
      </c>
      <c r="BK1476" s="8">
        <f>0</f>
        <v>0</v>
      </c>
      <c r="BL1476" s="7">
        <f>0</f>
        <v>0</v>
      </c>
      <c r="BM1476" s="5" t="s">
        <v>258</v>
      </c>
      <c r="BN1476" s="5" t="s">
        <v>259</v>
      </c>
      <c r="CB1476" s="5" t="s">
        <v>240</v>
      </c>
      <c r="CC1476" s="5" t="s">
        <v>240</v>
      </c>
      <c r="CG1476" s="5" t="s">
        <v>304</v>
      </c>
      <c r="CH1476" s="5" t="s">
        <v>305</v>
      </c>
      <c r="CI1476" s="5" t="s">
        <v>240</v>
      </c>
      <c r="CL1476" s="6" t="s">
        <v>261</v>
      </c>
      <c r="CM1476" s="5" t="s">
        <v>240</v>
      </c>
      <c r="CN1476" s="5" t="s">
        <v>263</v>
      </c>
      <c r="CO1476" s="5" t="s">
        <v>240</v>
      </c>
      <c r="CP1476" s="5" t="s">
        <v>240</v>
      </c>
      <c r="CQ1476" s="5">
        <v>0</v>
      </c>
      <c r="CR1476" s="5" t="s">
        <v>306</v>
      </c>
      <c r="CS1476" s="5" t="s">
        <v>307</v>
      </c>
      <c r="CT1476" s="5" t="s">
        <v>307</v>
      </c>
      <c r="CU1476" s="5" t="s">
        <v>260</v>
      </c>
      <c r="CX1476" s="7">
        <f>1</f>
        <v>1</v>
      </c>
      <c r="CY1476" s="7">
        <f>0</f>
        <v>0</v>
      </c>
      <c r="DA1476" s="7">
        <f>0</f>
        <v>0</v>
      </c>
      <c r="DC1476" s="5" t="s">
        <v>812</v>
      </c>
      <c r="DD1476" s="5" t="s">
        <v>240</v>
      </c>
      <c r="DF1476" s="5" t="s">
        <v>812</v>
      </c>
      <c r="DG1476" s="7">
        <f>129</f>
        <v>129</v>
      </c>
      <c r="DI1476" s="5" t="s">
        <v>240</v>
      </c>
      <c r="DJ1476" s="5" t="s">
        <v>240</v>
      </c>
      <c r="DK1476" s="5" t="s">
        <v>240</v>
      </c>
      <c r="DL1476" s="5" t="s">
        <v>240</v>
      </c>
      <c r="DP1476" s="5" t="s">
        <v>240</v>
      </c>
      <c r="DQ1476" s="5" t="s">
        <v>240</v>
      </c>
      <c r="DR1476" s="5" t="s">
        <v>240</v>
      </c>
      <c r="DS1476" s="5" t="s">
        <v>240</v>
      </c>
      <c r="DV1476" s="5" t="s">
        <v>813</v>
      </c>
      <c r="DW1476" s="5" t="s">
        <v>3082</v>
      </c>
      <c r="HO1476" s="5" t="s">
        <v>312</v>
      </c>
    </row>
    <row r="1477" spans="1:223" x14ac:dyDescent="0.4">
      <c r="A1477" s="5">
        <v>3152</v>
      </c>
      <c r="B1477" s="5">
        <v>1</v>
      </c>
      <c r="C1477" s="5">
        <v>1</v>
      </c>
      <c r="D1477" s="5" t="s">
        <v>297</v>
      </c>
      <c r="E1477" s="5" t="s">
        <v>245</v>
      </c>
      <c r="F1477" s="5" t="s">
        <v>254</v>
      </c>
      <c r="G1477" s="5" t="s">
        <v>240</v>
      </c>
      <c r="H1477" s="6" t="s">
        <v>4713</v>
      </c>
      <c r="I1477" s="5" t="s">
        <v>295</v>
      </c>
      <c r="J1477" s="8">
        <f>1362</f>
        <v>1362</v>
      </c>
      <c r="K1477" s="5" t="s">
        <v>308</v>
      </c>
      <c r="L1477" s="7">
        <f>1</f>
        <v>1</v>
      </c>
      <c r="M1477" s="7">
        <f>1</f>
        <v>1</v>
      </c>
      <c r="N1477" s="5" t="s">
        <v>242</v>
      </c>
      <c r="O1477" s="5">
        <v>1</v>
      </c>
      <c r="P1477" s="5" t="s">
        <v>294</v>
      </c>
      <c r="Q1477" s="5" t="s">
        <v>266</v>
      </c>
      <c r="R1477" s="5" t="s">
        <v>240</v>
      </c>
      <c r="S1477" s="5" t="s">
        <v>240</v>
      </c>
      <c r="T1477" s="5" t="s">
        <v>296</v>
      </c>
      <c r="U1477" s="5" t="s">
        <v>244</v>
      </c>
      <c r="V1477" s="5" t="s">
        <v>240</v>
      </c>
      <c r="Y1477" s="5" t="s">
        <v>240</v>
      </c>
      <c r="Z1477" s="6" t="s">
        <v>298</v>
      </c>
      <c r="AB1477" s="6" t="s">
        <v>240</v>
      </c>
      <c r="AE1477" s="6" t="s">
        <v>299</v>
      </c>
      <c r="AF1477" s="5" t="s">
        <v>248</v>
      </c>
      <c r="AG1477" s="5" t="s">
        <v>249</v>
      </c>
      <c r="AW1477" s="5" t="s">
        <v>251</v>
      </c>
      <c r="AX1477" s="5" t="s">
        <v>240</v>
      </c>
      <c r="AY1477" s="5" t="s">
        <v>253</v>
      </c>
      <c r="AZ1477" s="5" t="s">
        <v>240</v>
      </c>
      <c r="BA1477" s="5" t="s">
        <v>255</v>
      </c>
      <c r="BB1477" s="5" t="s">
        <v>240</v>
      </c>
      <c r="BD1477" s="5" t="s">
        <v>240</v>
      </c>
      <c r="BF1477" s="5" t="s">
        <v>301</v>
      </c>
      <c r="BG1477" s="6" t="s">
        <v>299</v>
      </c>
      <c r="BH1477" s="5" t="s">
        <v>302</v>
      </c>
      <c r="BI1477" s="5" t="s">
        <v>303</v>
      </c>
      <c r="BJ1477" s="5" t="s">
        <v>240</v>
      </c>
      <c r="BK1477" s="8">
        <f>0</f>
        <v>0</v>
      </c>
      <c r="BL1477" s="7">
        <f>0</f>
        <v>0</v>
      </c>
      <c r="BM1477" s="5" t="s">
        <v>258</v>
      </c>
      <c r="BN1477" s="5" t="s">
        <v>259</v>
      </c>
      <c r="CB1477" s="5" t="s">
        <v>240</v>
      </c>
      <c r="CC1477" s="5" t="s">
        <v>240</v>
      </c>
      <c r="CG1477" s="5" t="s">
        <v>304</v>
      </c>
      <c r="CH1477" s="5" t="s">
        <v>305</v>
      </c>
      <c r="CI1477" s="5" t="s">
        <v>240</v>
      </c>
      <c r="CL1477" s="6" t="s">
        <v>261</v>
      </c>
      <c r="CM1477" s="5" t="s">
        <v>240</v>
      </c>
      <c r="CN1477" s="5" t="s">
        <v>263</v>
      </c>
      <c r="CO1477" s="5" t="s">
        <v>240</v>
      </c>
      <c r="CP1477" s="5" t="s">
        <v>240</v>
      </c>
      <c r="CQ1477" s="5">
        <v>0</v>
      </c>
      <c r="CR1477" s="5" t="s">
        <v>306</v>
      </c>
      <c r="CS1477" s="5" t="s">
        <v>307</v>
      </c>
      <c r="CT1477" s="5" t="s">
        <v>307</v>
      </c>
      <c r="CU1477" s="5" t="s">
        <v>260</v>
      </c>
      <c r="CX1477" s="7">
        <f>1</f>
        <v>1</v>
      </c>
      <c r="CY1477" s="7">
        <f>0</f>
        <v>0</v>
      </c>
      <c r="DA1477" s="7">
        <f>0</f>
        <v>0</v>
      </c>
      <c r="DC1477" s="5" t="s">
        <v>812</v>
      </c>
      <c r="DD1477" s="5" t="s">
        <v>240</v>
      </c>
      <c r="DF1477" s="5" t="s">
        <v>812</v>
      </c>
      <c r="DG1477" s="7">
        <f>188</f>
        <v>188</v>
      </c>
      <c r="DI1477" s="5" t="s">
        <v>240</v>
      </c>
      <c r="DJ1477" s="5" t="s">
        <v>240</v>
      </c>
      <c r="DK1477" s="5" t="s">
        <v>240</v>
      </c>
      <c r="DL1477" s="5" t="s">
        <v>240</v>
      </c>
      <c r="DP1477" s="5" t="s">
        <v>240</v>
      </c>
      <c r="DQ1477" s="5" t="s">
        <v>240</v>
      </c>
      <c r="DR1477" s="5" t="s">
        <v>240</v>
      </c>
      <c r="DS1477" s="5" t="s">
        <v>240</v>
      </c>
      <c r="DV1477" s="5" t="s">
        <v>813</v>
      </c>
      <c r="DW1477" s="5" t="s">
        <v>3084</v>
      </c>
      <c r="HO1477" s="5" t="s">
        <v>312</v>
      </c>
    </row>
    <row r="1478" spans="1:223" x14ac:dyDescent="0.4">
      <c r="A1478" s="5">
        <v>3153</v>
      </c>
      <c r="B1478" s="5">
        <v>1</v>
      </c>
      <c r="C1478" s="5">
        <v>1</v>
      </c>
      <c r="D1478" s="5" t="s">
        <v>297</v>
      </c>
      <c r="E1478" s="5" t="s">
        <v>245</v>
      </c>
      <c r="F1478" s="5" t="s">
        <v>254</v>
      </c>
      <c r="G1478" s="5" t="s">
        <v>240</v>
      </c>
      <c r="H1478" s="6" t="s">
        <v>4711</v>
      </c>
      <c r="I1478" s="5" t="s">
        <v>295</v>
      </c>
      <c r="J1478" s="8">
        <f>1804</f>
        <v>1804</v>
      </c>
      <c r="K1478" s="5" t="s">
        <v>308</v>
      </c>
      <c r="L1478" s="7">
        <f>1</f>
        <v>1</v>
      </c>
      <c r="M1478" s="7">
        <f>1</f>
        <v>1</v>
      </c>
      <c r="N1478" s="5" t="s">
        <v>242</v>
      </c>
      <c r="O1478" s="5">
        <v>1</v>
      </c>
      <c r="P1478" s="5" t="s">
        <v>294</v>
      </c>
      <c r="Q1478" s="5" t="s">
        <v>266</v>
      </c>
      <c r="R1478" s="5" t="s">
        <v>240</v>
      </c>
      <c r="S1478" s="5" t="s">
        <v>240</v>
      </c>
      <c r="T1478" s="5" t="s">
        <v>296</v>
      </c>
      <c r="U1478" s="5" t="s">
        <v>244</v>
      </c>
      <c r="V1478" s="5" t="s">
        <v>240</v>
      </c>
      <c r="Y1478" s="5" t="s">
        <v>240</v>
      </c>
      <c r="Z1478" s="6" t="s">
        <v>298</v>
      </c>
      <c r="AB1478" s="6" t="s">
        <v>240</v>
      </c>
      <c r="AE1478" s="6" t="s">
        <v>299</v>
      </c>
      <c r="AF1478" s="5" t="s">
        <v>248</v>
      </c>
      <c r="AG1478" s="5" t="s">
        <v>249</v>
      </c>
      <c r="AW1478" s="5" t="s">
        <v>251</v>
      </c>
      <c r="AX1478" s="5" t="s">
        <v>240</v>
      </c>
      <c r="AY1478" s="5" t="s">
        <v>253</v>
      </c>
      <c r="AZ1478" s="5" t="s">
        <v>240</v>
      </c>
      <c r="BA1478" s="5" t="s">
        <v>255</v>
      </c>
      <c r="BB1478" s="5" t="s">
        <v>240</v>
      </c>
      <c r="BD1478" s="5" t="s">
        <v>240</v>
      </c>
      <c r="BF1478" s="5" t="s">
        <v>301</v>
      </c>
      <c r="BG1478" s="6" t="s">
        <v>299</v>
      </c>
      <c r="BH1478" s="5" t="s">
        <v>302</v>
      </c>
      <c r="BI1478" s="5" t="s">
        <v>303</v>
      </c>
      <c r="BJ1478" s="5" t="s">
        <v>240</v>
      </c>
      <c r="BK1478" s="8">
        <f>0</f>
        <v>0</v>
      </c>
      <c r="BL1478" s="7">
        <f>0</f>
        <v>0</v>
      </c>
      <c r="BM1478" s="5" t="s">
        <v>258</v>
      </c>
      <c r="BN1478" s="5" t="s">
        <v>259</v>
      </c>
      <c r="CB1478" s="5" t="s">
        <v>240</v>
      </c>
      <c r="CC1478" s="5" t="s">
        <v>240</v>
      </c>
      <c r="CG1478" s="5" t="s">
        <v>304</v>
      </c>
      <c r="CH1478" s="5" t="s">
        <v>305</v>
      </c>
      <c r="CI1478" s="5" t="s">
        <v>240</v>
      </c>
      <c r="CL1478" s="6" t="s">
        <v>261</v>
      </c>
      <c r="CM1478" s="5" t="s">
        <v>240</v>
      </c>
      <c r="CN1478" s="5" t="s">
        <v>263</v>
      </c>
      <c r="CO1478" s="5" t="s">
        <v>240</v>
      </c>
      <c r="CP1478" s="5" t="s">
        <v>240</v>
      </c>
      <c r="CQ1478" s="5">
        <v>0</v>
      </c>
      <c r="CR1478" s="5" t="s">
        <v>306</v>
      </c>
      <c r="CS1478" s="5" t="s">
        <v>307</v>
      </c>
      <c r="CT1478" s="5" t="s">
        <v>307</v>
      </c>
      <c r="CU1478" s="5" t="s">
        <v>260</v>
      </c>
      <c r="CX1478" s="7">
        <f>1</f>
        <v>1</v>
      </c>
      <c r="CY1478" s="7">
        <f>0</f>
        <v>0</v>
      </c>
      <c r="DA1478" s="7">
        <f>0</f>
        <v>0</v>
      </c>
      <c r="DC1478" s="5" t="s">
        <v>812</v>
      </c>
      <c r="DD1478" s="5" t="s">
        <v>240</v>
      </c>
      <c r="DF1478" s="5" t="s">
        <v>812</v>
      </c>
      <c r="DG1478" s="7">
        <f>2098</f>
        <v>2098</v>
      </c>
      <c r="DI1478" s="5" t="s">
        <v>240</v>
      </c>
      <c r="DJ1478" s="5" t="s">
        <v>240</v>
      </c>
      <c r="DK1478" s="5" t="s">
        <v>240</v>
      </c>
      <c r="DL1478" s="5" t="s">
        <v>240</v>
      </c>
      <c r="DP1478" s="5" t="s">
        <v>240</v>
      </c>
      <c r="DQ1478" s="5" t="s">
        <v>240</v>
      </c>
      <c r="DR1478" s="5" t="s">
        <v>240</v>
      </c>
      <c r="DS1478" s="5" t="s">
        <v>240</v>
      </c>
      <c r="DV1478" s="5" t="s">
        <v>813</v>
      </c>
      <c r="DW1478" s="5" t="s">
        <v>3086</v>
      </c>
      <c r="HO1478" s="5" t="s">
        <v>312</v>
      </c>
    </row>
    <row r="1479" spans="1:223" x14ac:dyDescent="0.4">
      <c r="A1479" s="5">
        <v>3154</v>
      </c>
      <c r="B1479" s="5">
        <v>1</v>
      </c>
      <c r="C1479" s="5">
        <v>1</v>
      </c>
      <c r="D1479" s="5" t="s">
        <v>297</v>
      </c>
      <c r="E1479" s="5" t="s">
        <v>245</v>
      </c>
      <c r="F1479" s="5" t="s">
        <v>254</v>
      </c>
      <c r="G1479" s="5" t="s">
        <v>240</v>
      </c>
      <c r="H1479" s="6" t="s">
        <v>4710</v>
      </c>
      <c r="I1479" s="5" t="s">
        <v>295</v>
      </c>
      <c r="J1479" s="8">
        <f>271</f>
        <v>271</v>
      </c>
      <c r="K1479" s="5" t="s">
        <v>308</v>
      </c>
      <c r="L1479" s="7">
        <f>1</f>
        <v>1</v>
      </c>
      <c r="M1479" s="7">
        <f>1</f>
        <v>1</v>
      </c>
      <c r="N1479" s="5" t="s">
        <v>242</v>
      </c>
      <c r="O1479" s="5">
        <v>1</v>
      </c>
      <c r="P1479" s="5" t="s">
        <v>294</v>
      </c>
      <c r="Q1479" s="5" t="s">
        <v>266</v>
      </c>
      <c r="R1479" s="5" t="s">
        <v>240</v>
      </c>
      <c r="S1479" s="5" t="s">
        <v>240</v>
      </c>
      <c r="T1479" s="5" t="s">
        <v>296</v>
      </c>
      <c r="U1479" s="5" t="s">
        <v>244</v>
      </c>
      <c r="V1479" s="5" t="s">
        <v>240</v>
      </c>
      <c r="Y1479" s="5" t="s">
        <v>240</v>
      </c>
      <c r="Z1479" s="6" t="s">
        <v>298</v>
      </c>
      <c r="AB1479" s="6" t="s">
        <v>240</v>
      </c>
      <c r="AE1479" s="6" t="s">
        <v>299</v>
      </c>
      <c r="AF1479" s="5" t="s">
        <v>248</v>
      </c>
      <c r="AG1479" s="5" t="s">
        <v>249</v>
      </c>
      <c r="AW1479" s="5" t="s">
        <v>251</v>
      </c>
      <c r="AX1479" s="5" t="s">
        <v>240</v>
      </c>
      <c r="AY1479" s="5" t="s">
        <v>253</v>
      </c>
      <c r="AZ1479" s="5" t="s">
        <v>240</v>
      </c>
      <c r="BA1479" s="5" t="s">
        <v>255</v>
      </c>
      <c r="BB1479" s="5" t="s">
        <v>240</v>
      </c>
      <c r="BD1479" s="5" t="s">
        <v>240</v>
      </c>
      <c r="BF1479" s="5" t="s">
        <v>301</v>
      </c>
      <c r="BG1479" s="6" t="s">
        <v>299</v>
      </c>
      <c r="BH1479" s="5" t="s">
        <v>302</v>
      </c>
      <c r="BI1479" s="5" t="s">
        <v>303</v>
      </c>
      <c r="BJ1479" s="5" t="s">
        <v>240</v>
      </c>
      <c r="BK1479" s="8">
        <f>0</f>
        <v>0</v>
      </c>
      <c r="BL1479" s="7">
        <f>0</f>
        <v>0</v>
      </c>
      <c r="BM1479" s="5" t="s">
        <v>258</v>
      </c>
      <c r="BN1479" s="5" t="s">
        <v>259</v>
      </c>
      <c r="CB1479" s="5" t="s">
        <v>240</v>
      </c>
      <c r="CC1479" s="5" t="s">
        <v>240</v>
      </c>
      <c r="CG1479" s="5" t="s">
        <v>304</v>
      </c>
      <c r="CH1479" s="5" t="s">
        <v>305</v>
      </c>
      <c r="CI1479" s="5" t="s">
        <v>240</v>
      </c>
      <c r="CL1479" s="6" t="s">
        <v>261</v>
      </c>
      <c r="CM1479" s="5" t="s">
        <v>240</v>
      </c>
      <c r="CN1479" s="5" t="s">
        <v>263</v>
      </c>
      <c r="CO1479" s="5" t="s">
        <v>240</v>
      </c>
      <c r="CP1479" s="5" t="s">
        <v>240</v>
      </c>
      <c r="CQ1479" s="5">
        <v>0</v>
      </c>
      <c r="CR1479" s="5" t="s">
        <v>306</v>
      </c>
      <c r="CS1479" s="5" t="s">
        <v>307</v>
      </c>
      <c r="CT1479" s="5" t="s">
        <v>307</v>
      </c>
      <c r="CU1479" s="5" t="s">
        <v>260</v>
      </c>
      <c r="CX1479" s="7">
        <f>1</f>
        <v>1</v>
      </c>
      <c r="CY1479" s="7">
        <f>0</f>
        <v>0</v>
      </c>
      <c r="DA1479" s="7">
        <f>0</f>
        <v>0</v>
      </c>
      <c r="DC1479" s="5" t="s">
        <v>812</v>
      </c>
      <c r="DD1479" s="5" t="s">
        <v>240</v>
      </c>
      <c r="DF1479" s="5" t="s">
        <v>812</v>
      </c>
      <c r="DG1479" s="7">
        <f>333</f>
        <v>333</v>
      </c>
      <c r="DI1479" s="5" t="s">
        <v>240</v>
      </c>
      <c r="DJ1479" s="5" t="s">
        <v>240</v>
      </c>
      <c r="DK1479" s="5" t="s">
        <v>240</v>
      </c>
      <c r="DL1479" s="5" t="s">
        <v>240</v>
      </c>
      <c r="DP1479" s="5" t="s">
        <v>240</v>
      </c>
      <c r="DQ1479" s="5" t="s">
        <v>240</v>
      </c>
      <c r="DR1479" s="5" t="s">
        <v>240</v>
      </c>
      <c r="DS1479" s="5" t="s">
        <v>240</v>
      </c>
      <c r="DV1479" s="5" t="s">
        <v>813</v>
      </c>
      <c r="DW1479" s="5" t="s">
        <v>3088</v>
      </c>
      <c r="HO1479" s="5" t="s">
        <v>312</v>
      </c>
    </row>
    <row r="1480" spans="1:223" x14ac:dyDescent="0.4">
      <c r="A1480" s="5">
        <v>3155</v>
      </c>
      <c r="B1480" s="5">
        <v>1</v>
      </c>
      <c r="C1480" s="5">
        <v>1</v>
      </c>
      <c r="D1480" s="5" t="s">
        <v>297</v>
      </c>
      <c r="E1480" s="5" t="s">
        <v>245</v>
      </c>
      <c r="F1480" s="5" t="s">
        <v>254</v>
      </c>
      <c r="G1480" s="5" t="s">
        <v>240</v>
      </c>
      <c r="H1480" s="6" t="s">
        <v>4709</v>
      </c>
      <c r="I1480" s="5" t="s">
        <v>295</v>
      </c>
      <c r="J1480" s="8">
        <f>1495</f>
        <v>1495</v>
      </c>
      <c r="K1480" s="5" t="s">
        <v>308</v>
      </c>
      <c r="L1480" s="7">
        <f>1</f>
        <v>1</v>
      </c>
      <c r="M1480" s="7">
        <f>1</f>
        <v>1</v>
      </c>
      <c r="N1480" s="5" t="s">
        <v>242</v>
      </c>
      <c r="O1480" s="5">
        <v>1</v>
      </c>
      <c r="P1480" s="5" t="s">
        <v>294</v>
      </c>
      <c r="Q1480" s="5" t="s">
        <v>266</v>
      </c>
      <c r="R1480" s="5" t="s">
        <v>240</v>
      </c>
      <c r="S1480" s="5" t="s">
        <v>240</v>
      </c>
      <c r="T1480" s="5" t="s">
        <v>296</v>
      </c>
      <c r="U1480" s="5" t="s">
        <v>244</v>
      </c>
      <c r="V1480" s="5" t="s">
        <v>240</v>
      </c>
      <c r="Y1480" s="5" t="s">
        <v>240</v>
      </c>
      <c r="Z1480" s="6" t="s">
        <v>298</v>
      </c>
      <c r="AB1480" s="6" t="s">
        <v>240</v>
      </c>
      <c r="AE1480" s="6" t="s">
        <v>299</v>
      </c>
      <c r="AF1480" s="5" t="s">
        <v>248</v>
      </c>
      <c r="AG1480" s="5" t="s">
        <v>249</v>
      </c>
      <c r="AW1480" s="5" t="s">
        <v>251</v>
      </c>
      <c r="AX1480" s="5" t="s">
        <v>240</v>
      </c>
      <c r="AY1480" s="5" t="s">
        <v>253</v>
      </c>
      <c r="AZ1480" s="5" t="s">
        <v>240</v>
      </c>
      <c r="BA1480" s="5" t="s">
        <v>255</v>
      </c>
      <c r="BB1480" s="5" t="s">
        <v>240</v>
      </c>
      <c r="BD1480" s="5" t="s">
        <v>240</v>
      </c>
      <c r="BF1480" s="5" t="s">
        <v>301</v>
      </c>
      <c r="BG1480" s="6" t="s">
        <v>299</v>
      </c>
      <c r="BH1480" s="5" t="s">
        <v>302</v>
      </c>
      <c r="BI1480" s="5" t="s">
        <v>303</v>
      </c>
      <c r="BJ1480" s="5" t="s">
        <v>240</v>
      </c>
      <c r="BK1480" s="8">
        <f>0</f>
        <v>0</v>
      </c>
      <c r="BL1480" s="7">
        <f>0</f>
        <v>0</v>
      </c>
      <c r="BM1480" s="5" t="s">
        <v>258</v>
      </c>
      <c r="BN1480" s="5" t="s">
        <v>259</v>
      </c>
      <c r="CB1480" s="5" t="s">
        <v>240</v>
      </c>
      <c r="CC1480" s="5" t="s">
        <v>240</v>
      </c>
      <c r="CG1480" s="5" t="s">
        <v>304</v>
      </c>
      <c r="CH1480" s="5" t="s">
        <v>305</v>
      </c>
      <c r="CI1480" s="5" t="s">
        <v>240</v>
      </c>
      <c r="CL1480" s="6" t="s">
        <v>261</v>
      </c>
      <c r="CM1480" s="5" t="s">
        <v>240</v>
      </c>
      <c r="CN1480" s="5" t="s">
        <v>263</v>
      </c>
      <c r="CO1480" s="5" t="s">
        <v>240</v>
      </c>
      <c r="CP1480" s="5" t="s">
        <v>240</v>
      </c>
      <c r="CQ1480" s="5">
        <v>0</v>
      </c>
      <c r="CR1480" s="5" t="s">
        <v>306</v>
      </c>
      <c r="CS1480" s="5" t="s">
        <v>307</v>
      </c>
      <c r="CT1480" s="5" t="s">
        <v>307</v>
      </c>
      <c r="CU1480" s="5" t="s">
        <v>260</v>
      </c>
      <c r="CX1480" s="7">
        <f>1</f>
        <v>1</v>
      </c>
      <c r="CY1480" s="7">
        <f>0</f>
        <v>0</v>
      </c>
      <c r="DA1480" s="7">
        <f>0</f>
        <v>0</v>
      </c>
      <c r="DC1480" s="5" t="s">
        <v>812</v>
      </c>
      <c r="DD1480" s="5" t="s">
        <v>240</v>
      </c>
      <c r="DF1480" s="5" t="s">
        <v>812</v>
      </c>
      <c r="DG1480" s="7">
        <f>182</f>
        <v>182</v>
      </c>
      <c r="DI1480" s="5" t="s">
        <v>240</v>
      </c>
      <c r="DJ1480" s="5" t="s">
        <v>240</v>
      </c>
      <c r="DK1480" s="5" t="s">
        <v>240</v>
      </c>
      <c r="DL1480" s="5" t="s">
        <v>240</v>
      </c>
      <c r="DP1480" s="5" t="s">
        <v>240</v>
      </c>
      <c r="DQ1480" s="5" t="s">
        <v>240</v>
      </c>
      <c r="DR1480" s="5" t="s">
        <v>240</v>
      </c>
      <c r="DS1480" s="5" t="s">
        <v>240</v>
      </c>
      <c r="DV1480" s="5" t="s">
        <v>813</v>
      </c>
      <c r="DW1480" s="5" t="s">
        <v>3090</v>
      </c>
      <c r="HO1480" s="5" t="s">
        <v>312</v>
      </c>
    </row>
    <row r="1481" spans="1:223" x14ac:dyDescent="0.4">
      <c r="A1481" s="5">
        <v>3156</v>
      </c>
      <c r="B1481" s="5">
        <v>1</v>
      </c>
      <c r="C1481" s="5">
        <v>1</v>
      </c>
      <c r="D1481" s="5" t="s">
        <v>297</v>
      </c>
      <c r="E1481" s="5" t="s">
        <v>245</v>
      </c>
      <c r="F1481" s="5" t="s">
        <v>254</v>
      </c>
      <c r="G1481" s="5" t="s">
        <v>240</v>
      </c>
      <c r="H1481" s="6" t="s">
        <v>4708</v>
      </c>
      <c r="I1481" s="5" t="s">
        <v>295</v>
      </c>
      <c r="J1481" s="8">
        <f>964</f>
        <v>964</v>
      </c>
      <c r="K1481" s="5" t="s">
        <v>308</v>
      </c>
      <c r="L1481" s="7">
        <f>1</f>
        <v>1</v>
      </c>
      <c r="M1481" s="7">
        <f>1</f>
        <v>1</v>
      </c>
      <c r="N1481" s="5" t="s">
        <v>242</v>
      </c>
      <c r="O1481" s="5">
        <v>1</v>
      </c>
      <c r="P1481" s="5" t="s">
        <v>294</v>
      </c>
      <c r="Q1481" s="5" t="s">
        <v>266</v>
      </c>
      <c r="R1481" s="5" t="s">
        <v>240</v>
      </c>
      <c r="S1481" s="5" t="s">
        <v>240</v>
      </c>
      <c r="T1481" s="5" t="s">
        <v>296</v>
      </c>
      <c r="U1481" s="5" t="s">
        <v>244</v>
      </c>
      <c r="V1481" s="5" t="s">
        <v>240</v>
      </c>
      <c r="Y1481" s="5" t="s">
        <v>240</v>
      </c>
      <c r="Z1481" s="6" t="s">
        <v>298</v>
      </c>
      <c r="AB1481" s="6" t="s">
        <v>240</v>
      </c>
      <c r="AE1481" s="6" t="s">
        <v>299</v>
      </c>
      <c r="AF1481" s="5" t="s">
        <v>248</v>
      </c>
      <c r="AG1481" s="5" t="s">
        <v>249</v>
      </c>
      <c r="AW1481" s="5" t="s">
        <v>251</v>
      </c>
      <c r="AX1481" s="5" t="s">
        <v>240</v>
      </c>
      <c r="AY1481" s="5" t="s">
        <v>253</v>
      </c>
      <c r="AZ1481" s="5" t="s">
        <v>240</v>
      </c>
      <c r="BA1481" s="5" t="s">
        <v>255</v>
      </c>
      <c r="BB1481" s="5" t="s">
        <v>240</v>
      </c>
      <c r="BD1481" s="5" t="s">
        <v>240</v>
      </c>
      <c r="BF1481" s="5" t="s">
        <v>301</v>
      </c>
      <c r="BG1481" s="6" t="s">
        <v>299</v>
      </c>
      <c r="BH1481" s="5" t="s">
        <v>302</v>
      </c>
      <c r="BI1481" s="5" t="s">
        <v>303</v>
      </c>
      <c r="BJ1481" s="5" t="s">
        <v>240</v>
      </c>
      <c r="BK1481" s="8">
        <f>0</f>
        <v>0</v>
      </c>
      <c r="BL1481" s="7">
        <f>0</f>
        <v>0</v>
      </c>
      <c r="BM1481" s="5" t="s">
        <v>258</v>
      </c>
      <c r="BN1481" s="5" t="s">
        <v>259</v>
      </c>
      <c r="CB1481" s="5" t="s">
        <v>240</v>
      </c>
      <c r="CC1481" s="5" t="s">
        <v>240</v>
      </c>
      <c r="CG1481" s="5" t="s">
        <v>304</v>
      </c>
      <c r="CH1481" s="5" t="s">
        <v>305</v>
      </c>
      <c r="CI1481" s="5" t="s">
        <v>240</v>
      </c>
      <c r="CL1481" s="6" t="s">
        <v>261</v>
      </c>
      <c r="CM1481" s="5" t="s">
        <v>240</v>
      </c>
      <c r="CN1481" s="5" t="s">
        <v>263</v>
      </c>
      <c r="CO1481" s="5" t="s">
        <v>240</v>
      </c>
      <c r="CP1481" s="5" t="s">
        <v>240</v>
      </c>
      <c r="CQ1481" s="5">
        <v>0</v>
      </c>
      <c r="CR1481" s="5" t="s">
        <v>306</v>
      </c>
      <c r="CS1481" s="5" t="s">
        <v>307</v>
      </c>
      <c r="CT1481" s="5" t="s">
        <v>307</v>
      </c>
      <c r="CU1481" s="5" t="s">
        <v>260</v>
      </c>
      <c r="CX1481" s="7">
        <f>1</f>
        <v>1</v>
      </c>
      <c r="CY1481" s="7">
        <f>0</f>
        <v>0</v>
      </c>
      <c r="DA1481" s="7">
        <f>0</f>
        <v>0</v>
      </c>
      <c r="DC1481" s="5" t="s">
        <v>812</v>
      </c>
      <c r="DD1481" s="5" t="s">
        <v>240</v>
      </c>
      <c r="DF1481" s="5" t="s">
        <v>812</v>
      </c>
      <c r="DG1481" s="7">
        <f>1031</f>
        <v>1031</v>
      </c>
      <c r="DI1481" s="5" t="s">
        <v>240</v>
      </c>
      <c r="DJ1481" s="5" t="s">
        <v>240</v>
      </c>
      <c r="DK1481" s="5" t="s">
        <v>240</v>
      </c>
      <c r="DL1481" s="5" t="s">
        <v>240</v>
      </c>
      <c r="DP1481" s="5" t="s">
        <v>240</v>
      </c>
      <c r="DQ1481" s="5" t="s">
        <v>240</v>
      </c>
      <c r="DR1481" s="5" t="s">
        <v>240</v>
      </c>
      <c r="DS1481" s="5" t="s">
        <v>240</v>
      </c>
      <c r="DV1481" s="5" t="s">
        <v>813</v>
      </c>
      <c r="DW1481" s="5" t="s">
        <v>3092</v>
      </c>
      <c r="HO1481" s="5" t="s">
        <v>312</v>
      </c>
    </row>
    <row r="1482" spans="1:223" x14ac:dyDescent="0.4">
      <c r="A1482" s="5">
        <v>3157</v>
      </c>
      <c r="B1482" s="5">
        <v>1</v>
      </c>
      <c r="C1482" s="5">
        <v>1</v>
      </c>
      <c r="D1482" s="5" t="s">
        <v>297</v>
      </c>
      <c r="E1482" s="5" t="s">
        <v>245</v>
      </c>
      <c r="F1482" s="5" t="s">
        <v>254</v>
      </c>
      <c r="G1482" s="5" t="s">
        <v>240</v>
      </c>
      <c r="H1482" s="6" t="s">
        <v>4706</v>
      </c>
      <c r="I1482" s="5" t="s">
        <v>295</v>
      </c>
      <c r="J1482" s="8">
        <f>6575</f>
        <v>6575</v>
      </c>
      <c r="K1482" s="5" t="s">
        <v>308</v>
      </c>
      <c r="L1482" s="7">
        <f>1</f>
        <v>1</v>
      </c>
      <c r="M1482" s="7">
        <f>1</f>
        <v>1</v>
      </c>
      <c r="N1482" s="5" t="s">
        <v>242</v>
      </c>
      <c r="O1482" s="5">
        <v>1</v>
      </c>
      <c r="P1482" s="5" t="s">
        <v>294</v>
      </c>
      <c r="Q1482" s="5" t="s">
        <v>266</v>
      </c>
      <c r="R1482" s="5" t="s">
        <v>240</v>
      </c>
      <c r="S1482" s="5" t="s">
        <v>240</v>
      </c>
      <c r="T1482" s="5" t="s">
        <v>296</v>
      </c>
      <c r="U1482" s="5" t="s">
        <v>244</v>
      </c>
      <c r="V1482" s="5" t="s">
        <v>240</v>
      </c>
      <c r="Y1482" s="5" t="s">
        <v>240</v>
      </c>
      <c r="Z1482" s="6" t="s">
        <v>298</v>
      </c>
      <c r="AB1482" s="6" t="s">
        <v>240</v>
      </c>
      <c r="AE1482" s="6" t="s">
        <v>299</v>
      </c>
      <c r="AF1482" s="5" t="s">
        <v>248</v>
      </c>
      <c r="AG1482" s="5" t="s">
        <v>249</v>
      </c>
      <c r="AW1482" s="5" t="s">
        <v>251</v>
      </c>
      <c r="AX1482" s="5" t="s">
        <v>240</v>
      </c>
      <c r="AY1482" s="5" t="s">
        <v>253</v>
      </c>
      <c r="AZ1482" s="5" t="s">
        <v>240</v>
      </c>
      <c r="BA1482" s="5" t="s">
        <v>255</v>
      </c>
      <c r="BB1482" s="5" t="s">
        <v>240</v>
      </c>
      <c r="BD1482" s="5" t="s">
        <v>240</v>
      </c>
      <c r="BF1482" s="5" t="s">
        <v>301</v>
      </c>
      <c r="BG1482" s="6" t="s">
        <v>299</v>
      </c>
      <c r="BH1482" s="5" t="s">
        <v>302</v>
      </c>
      <c r="BI1482" s="5" t="s">
        <v>303</v>
      </c>
      <c r="BJ1482" s="5" t="s">
        <v>240</v>
      </c>
      <c r="BK1482" s="8">
        <f>0</f>
        <v>0</v>
      </c>
      <c r="BL1482" s="7">
        <f>0</f>
        <v>0</v>
      </c>
      <c r="BM1482" s="5" t="s">
        <v>258</v>
      </c>
      <c r="BN1482" s="5" t="s">
        <v>259</v>
      </c>
      <c r="CB1482" s="5" t="s">
        <v>240</v>
      </c>
      <c r="CC1482" s="5" t="s">
        <v>240</v>
      </c>
      <c r="CG1482" s="5" t="s">
        <v>304</v>
      </c>
      <c r="CH1482" s="5" t="s">
        <v>305</v>
      </c>
      <c r="CI1482" s="5" t="s">
        <v>240</v>
      </c>
      <c r="CL1482" s="6" t="s">
        <v>261</v>
      </c>
      <c r="CM1482" s="5" t="s">
        <v>240</v>
      </c>
      <c r="CN1482" s="5" t="s">
        <v>263</v>
      </c>
      <c r="CO1482" s="5" t="s">
        <v>240</v>
      </c>
      <c r="CP1482" s="5" t="s">
        <v>240</v>
      </c>
      <c r="CQ1482" s="5">
        <v>0</v>
      </c>
      <c r="CR1482" s="5" t="s">
        <v>306</v>
      </c>
      <c r="CS1482" s="5" t="s">
        <v>307</v>
      </c>
      <c r="CT1482" s="5" t="s">
        <v>307</v>
      </c>
      <c r="CU1482" s="5" t="s">
        <v>260</v>
      </c>
      <c r="CX1482" s="7">
        <f>1</f>
        <v>1</v>
      </c>
      <c r="CY1482" s="7">
        <f>0</f>
        <v>0</v>
      </c>
      <c r="DA1482" s="7">
        <f>0</f>
        <v>0</v>
      </c>
      <c r="DC1482" s="5" t="s">
        <v>812</v>
      </c>
      <c r="DD1482" s="5" t="s">
        <v>240</v>
      </c>
      <c r="DF1482" s="5" t="s">
        <v>812</v>
      </c>
      <c r="DG1482" s="7">
        <f>514</f>
        <v>514</v>
      </c>
      <c r="DI1482" s="5" t="s">
        <v>240</v>
      </c>
      <c r="DJ1482" s="5" t="s">
        <v>240</v>
      </c>
      <c r="DK1482" s="5" t="s">
        <v>240</v>
      </c>
      <c r="DL1482" s="5" t="s">
        <v>240</v>
      </c>
      <c r="DP1482" s="5" t="s">
        <v>240</v>
      </c>
      <c r="DQ1482" s="5" t="s">
        <v>240</v>
      </c>
      <c r="DR1482" s="5" t="s">
        <v>240</v>
      </c>
      <c r="DS1482" s="5" t="s">
        <v>240</v>
      </c>
      <c r="DV1482" s="5" t="s">
        <v>813</v>
      </c>
      <c r="DW1482" s="5" t="s">
        <v>3094</v>
      </c>
      <c r="HO1482" s="5" t="s">
        <v>312</v>
      </c>
    </row>
    <row r="1483" spans="1:223" x14ac:dyDescent="0.4">
      <c r="A1483" s="5">
        <v>3158</v>
      </c>
      <c r="B1483" s="5">
        <v>1</v>
      </c>
      <c r="C1483" s="5">
        <v>1</v>
      </c>
      <c r="D1483" s="5" t="s">
        <v>297</v>
      </c>
      <c r="E1483" s="5" t="s">
        <v>245</v>
      </c>
      <c r="F1483" s="5" t="s">
        <v>254</v>
      </c>
      <c r="G1483" s="5" t="s">
        <v>240</v>
      </c>
      <c r="H1483" s="6" t="s">
        <v>4705</v>
      </c>
      <c r="I1483" s="5" t="s">
        <v>295</v>
      </c>
      <c r="J1483" s="8">
        <f>4555</f>
        <v>4555</v>
      </c>
      <c r="K1483" s="5" t="s">
        <v>308</v>
      </c>
      <c r="L1483" s="7">
        <f>1</f>
        <v>1</v>
      </c>
      <c r="M1483" s="7">
        <f>1</f>
        <v>1</v>
      </c>
      <c r="N1483" s="5" t="s">
        <v>242</v>
      </c>
      <c r="O1483" s="5">
        <v>1</v>
      </c>
      <c r="P1483" s="5" t="s">
        <v>294</v>
      </c>
      <c r="Q1483" s="5" t="s">
        <v>266</v>
      </c>
      <c r="R1483" s="5" t="s">
        <v>240</v>
      </c>
      <c r="S1483" s="5" t="s">
        <v>240</v>
      </c>
      <c r="T1483" s="5" t="s">
        <v>296</v>
      </c>
      <c r="U1483" s="5" t="s">
        <v>244</v>
      </c>
      <c r="V1483" s="5" t="s">
        <v>240</v>
      </c>
      <c r="Y1483" s="5" t="s">
        <v>240</v>
      </c>
      <c r="Z1483" s="6" t="s">
        <v>298</v>
      </c>
      <c r="AB1483" s="6" t="s">
        <v>240</v>
      </c>
      <c r="AE1483" s="6" t="s">
        <v>299</v>
      </c>
      <c r="AF1483" s="5" t="s">
        <v>248</v>
      </c>
      <c r="AG1483" s="5" t="s">
        <v>249</v>
      </c>
      <c r="AW1483" s="5" t="s">
        <v>251</v>
      </c>
      <c r="AX1483" s="5" t="s">
        <v>240</v>
      </c>
      <c r="AY1483" s="5" t="s">
        <v>253</v>
      </c>
      <c r="AZ1483" s="5" t="s">
        <v>240</v>
      </c>
      <c r="BA1483" s="5" t="s">
        <v>255</v>
      </c>
      <c r="BB1483" s="5" t="s">
        <v>240</v>
      </c>
      <c r="BD1483" s="5" t="s">
        <v>240</v>
      </c>
      <c r="BF1483" s="5" t="s">
        <v>301</v>
      </c>
      <c r="BG1483" s="6" t="s">
        <v>299</v>
      </c>
      <c r="BH1483" s="5" t="s">
        <v>302</v>
      </c>
      <c r="BI1483" s="5" t="s">
        <v>303</v>
      </c>
      <c r="BJ1483" s="5" t="s">
        <v>240</v>
      </c>
      <c r="BK1483" s="8">
        <f>0</f>
        <v>0</v>
      </c>
      <c r="BL1483" s="7">
        <f>0</f>
        <v>0</v>
      </c>
      <c r="BM1483" s="5" t="s">
        <v>258</v>
      </c>
      <c r="BN1483" s="5" t="s">
        <v>259</v>
      </c>
      <c r="CB1483" s="5" t="s">
        <v>240</v>
      </c>
      <c r="CC1483" s="5" t="s">
        <v>240</v>
      </c>
      <c r="CG1483" s="5" t="s">
        <v>304</v>
      </c>
      <c r="CH1483" s="5" t="s">
        <v>305</v>
      </c>
      <c r="CI1483" s="5" t="s">
        <v>240</v>
      </c>
      <c r="CL1483" s="6" t="s">
        <v>261</v>
      </c>
      <c r="CM1483" s="5" t="s">
        <v>240</v>
      </c>
      <c r="CN1483" s="5" t="s">
        <v>263</v>
      </c>
      <c r="CO1483" s="5" t="s">
        <v>240</v>
      </c>
      <c r="CP1483" s="5" t="s">
        <v>240</v>
      </c>
      <c r="CQ1483" s="5">
        <v>0</v>
      </c>
      <c r="CR1483" s="5" t="s">
        <v>306</v>
      </c>
      <c r="CS1483" s="5" t="s">
        <v>307</v>
      </c>
      <c r="CT1483" s="5" t="s">
        <v>307</v>
      </c>
      <c r="CU1483" s="5" t="s">
        <v>260</v>
      </c>
      <c r="CX1483" s="7">
        <f>1</f>
        <v>1</v>
      </c>
      <c r="CY1483" s="7">
        <f>0</f>
        <v>0</v>
      </c>
      <c r="DA1483" s="7">
        <f>0</f>
        <v>0</v>
      </c>
      <c r="DC1483" s="5" t="s">
        <v>812</v>
      </c>
      <c r="DD1483" s="5" t="s">
        <v>240</v>
      </c>
      <c r="DF1483" s="5" t="s">
        <v>812</v>
      </c>
      <c r="DG1483" s="7">
        <f>1905</f>
        <v>1905</v>
      </c>
      <c r="DI1483" s="5" t="s">
        <v>240</v>
      </c>
      <c r="DJ1483" s="5" t="s">
        <v>240</v>
      </c>
      <c r="DK1483" s="5" t="s">
        <v>240</v>
      </c>
      <c r="DL1483" s="5" t="s">
        <v>240</v>
      </c>
      <c r="DP1483" s="5" t="s">
        <v>240</v>
      </c>
      <c r="DQ1483" s="5" t="s">
        <v>240</v>
      </c>
      <c r="DR1483" s="5" t="s">
        <v>240</v>
      </c>
      <c r="DS1483" s="5" t="s">
        <v>240</v>
      </c>
      <c r="DV1483" s="5" t="s">
        <v>813</v>
      </c>
      <c r="DW1483" s="5" t="s">
        <v>3096</v>
      </c>
      <c r="HO1483" s="5" t="s">
        <v>312</v>
      </c>
    </row>
    <row r="1484" spans="1:223" x14ac:dyDescent="0.4">
      <c r="A1484" s="5">
        <v>3159</v>
      </c>
      <c r="B1484" s="5">
        <v>1</v>
      </c>
      <c r="C1484" s="5">
        <v>1</v>
      </c>
      <c r="D1484" s="5" t="s">
        <v>297</v>
      </c>
      <c r="E1484" s="5" t="s">
        <v>245</v>
      </c>
      <c r="F1484" s="5" t="s">
        <v>254</v>
      </c>
      <c r="G1484" s="5" t="s">
        <v>240</v>
      </c>
      <c r="H1484" s="6" t="s">
        <v>4704</v>
      </c>
      <c r="I1484" s="5" t="s">
        <v>295</v>
      </c>
      <c r="J1484" s="8">
        <f>3017</f>
        <v>3017</v>
      </c>
      <c r="K1484" s="5" t="s">
        <v>308</v>
      </c>
      <c r="L1484" s="7">
        <f>1</f>
        <v>1</v>
      </c>
      <c r="M1484" s="7">
        <f>1</f>
        <v>1</v>
      </c>
      <c r="N1484" s="5" t="s">
        <v>242</v>
      </c>
      <c r="O1484" s="5">
        <v>1</v>
      </c>
      <c r="P1484" s="5" t="s">
        <v>294</v>
      </c>
      <c r="Q1484" s="5" t="s">
        <v>266</v>
      </c>
      <c r="R1484" s="5" t="s">
        <v>240</v>
      </c>
      <c r="S1484" s="5" t="s">
        <v>240</v>
      </c>
      <c r="T1484" s="5" t="s">
        <v>296</v>
      </c>
      <c r="U1484" s="5" t="s">
        <v>244</v>
      </c>
      <c r="V1484" s="5" t="s">
        <v>240</v>
      </c>
      <c r="Y1484" s="5" t="s">
        <v>240</v>
      </c>
      <c r="Z1484" s="6" t="s">
        <v>298</v>
      </c>
      <c r="AB1484" s="6" t="s">
        <v>240</v>
      </c>
      <c r="AE1484" s="6" t="s">
        <v>299</v>
      </c>
      <c r="AF1484" s="5" t="s">
        <v>248</v>
      </c>
      <c r="AG1484" s="5" t="s">
        <v>249</v>
      </c>
      <c r="AW1484" s="5" t="s">
        <v>251</v>
      </c>
      <c r="AX1484" s="5" t="s">
        <v>240</v>
      </c>
      <c r="AY1484" s="5" t="s">
        <v>253</v>
      </c>
      <c r="AZ1484" s="5" t="s">
        <v>240</v>
      </c>
      <c r="BA1484" s="5" t="s">
        <v>255</v>
      </c>
      <c r="BB1484" s="5" t="s">
        <v>240</v>
      </c>
      <c r="BD1484" s="5" t="s">
        <v>240</v>
      </c>
      <c r="BF1484" s="5" t="s">
        <v>301</v>
      </c>
      <c r="BG1484" s="6" t="s">
        <v>299</v>
      </c>
      <c r="BH1484" s="5" t="s">
        <v>302</v>
      </c>
      <c r="BI1484" s="5" t="s">
        <v>303</v>
      </c>
      <c r="BJ1484" s="5" t="s">
        <v>240</v>
      </c>
      <c r="BK1484" s="8">
        <f>0</f>
        <v>0</v>
      </c>
      <c r="BL1484" s="7">
        <f>0</f>
        <v>0</v>
      </c>
      <c r="BM1484" s="5" t="s">
        <v>258</v>
      </c>
      <c r="BN1484" s="5" t="s">
        <v>259</v>
      </c>
      <c r="CB1484" s="5" t="s">
        <v>240</v>
      </c>
      <c r="CC1484" s="5" t="s">
        <v>240</v>
      </c>
      <c r="CG1484" s="5" t="s">
        <v>304</v>
      </c>
      <c r="CH1484" s="5" t="s">
        <v>305</v>
      </c>
      <c r="CI1484" s="5" t="s">
        <v>240</v>
      </c>
      <c r="CL1484" s="6" t="s">
        <v>261</v>
      </c>
      <c r="CM1484" s="5" t="s">
        <v>240</v>
      </c>
      <c r="CN1484" s="5" t="s">
        <v>263</v>
      </c>
      <c r="CO1484" s="5" t="s">
        <v>240</v>
      </c>
      <c r="CP1484" s="5" t="s">
        <v>240</v>
      </c>
      <c r="CQ1484" s="5">
        <v>0</v>
      </c>
      <c r="CR1484" s="5" t="s">
        <v>306</v>
      </c>
      <c r="CS1484" s="5" t="s">
        <v>307</v>
      </c>
      <c r="CT1484" s="5" t="s">
        <v>307</v>
      </c>
      <c r="CU1484" s="5" t="s">
        <v>260</v>
      </c>
      <c r="CX1484" s="7">
        <f>1</f>
        <v>1</v>
      </c>
      <c r="CY1484" s="7">
        <f>0</f>
        <v>0</v>
      </c>
      <c r="DA1484" s="7">
        <f>0</f>
        <v>0</v>
      </c>
      <c r="DC1484" s="5" t="s">
        <v>812</v>
      </c>
      <c r="DD1484" s="5" t="s">
        <v>240</v>
      </c>
      <c r="DF1484" s="5" t="s">
        <v>812</v>
      </c>
      <c r="DG1484" s="7">
        <f>390</f>
        <v>390</v>
      </c>
      <c r="DI1484" s="5" t="s">
        <v>240</v>
      </c>
      <c r="DJ1484" s="5" t="s">
        <v>240</v>
      </c>
      <c r="DK1484" s="5" t="s">
        <v>240</v>
      </c>
      <c r="DL1484" s="5" t="s">
        <v>240</v>
      </c>
      <c r="DP1484" s="5" t="s">
        <v>240</v>
      </c>
      <c r="DQ1484" s="5" t="s">
        <v>240</v>
      </c>
      <c r="DR1484" s="5" t="s">
        <v>240</v>
      </c>
      <c r="DS1484" s="5" t="s">
        <v>240</v>
      </c>
      <c r="DV1484" s="5" t="s">
        <v>813</v>
      </c>
      <c r="DW1484" s="5" t="s">
        <v>3098</v>
      </c>
      <c r="HO1484" s="5" t="s">
        <v>312</v>
      </c>
    </row>
    <row r="1485" spans="1:223" x14ac:dyDescent="0.4">
      <c r="A1485" s="5">
        <v>3160</v>
      </c>
      <c r="B1485" s="5">
        <v>1</v>
      </c>
      <c r="C1485" s="5">
        <v>1</v>
      </c>
      <c r="D1485" s="5" t="s">
        <v>297</v>
      </c>
      <c r="E1485" s="5" t="s">
        <v>245</v>
      </c>
      <c r="F1485" s="5" t="s">
        <v>254</v>
      </c>
      <c r="G1485" s="5" t="s">
        <v>240</v>
      </c>
      <c r="H1485" s="6" t="s">
        <v>4703</v>
      </c>
      <c r="I1485" s="5" t="s">
        <v>295</v>
      </c>
      <c r="J1485" s="8">
        <f>2994</f>
        <v>2994</v>
      </c>
      <c r="K1485" s="5" t="s">
        <v>308</v>
      </c>
      <c r="L1485" s="7">
        <f>1</f>
        <v>1</v>
      </c>
      <c r="M1485" s="7">
        <f>1</f>
        <v>1</v>
      </c>
      <c r="N1485" s="5" t="s">
        <v>242</v>
      </c>
      <c r="O1485" s="5">
        <v>1</v>
      </c>
      <c r="P1485" s="5" t="s">
        <v>294</v>
      </c>
      <c r="Q1485" s="5" t="s">
        <v>266</v>
      </c>
      <c r="R1485" s="5" t="s">
        <v>240</v>
      </c>
      <c r="S1485" s="5" t="s">
        <v>240</v>
      </c>
      <c r="T1485" s="5" t="s">
        <v>296</v>
      </c>
      <c r="U1485" s="5" t="s">
        <v>244</v>
      </c>
      <c r="V1485" s="5" t="s">
        <v>240</v>
      </c>
      <c r="Y1485" s="5" t="s">
        <v>240</v>
      </c>
      <c r="Z1485" s="6" t="s">
        <v>298</v>
      </c>
      <c r="AB1485" s="6" t="s">
        <v>240</v>
      </c>
      <c r="AE1485" s="6" t="s">
        <v>299</v>
      </c>
      <c r="AF1485" s="5" t="s">
        <v>248</v>
      </c>
      <c r="AG1485" s="5" t="s">
        <v>249</v>
      </c>
      <c r="AW1485" s="5" t="s">
        <v>251</v>
      </c>
      <c r="AX1485" s="5" t="s">
        <v>240</v>
      </c>
      <c r="AY1485" s="5" t="s">
        <v>253</v>
      </c>
      <c r="AZ1485" s="5" t="s">
        <v>240</v>
      </c>
      <c r="BA1485" s="5" t="s">
        <v>255</v>
      </c>
      <c r="BB1485" s="5" t="s">
        <v>240</v>
      </c>
      <c r="BD1485" s="5" t="s">
        <v>240</v>
      </c>
      <c r="BF1485" s="5" t="s">
        <v>301</v>
      </c>
      <c r="BG1485" s="6" t="s">
        <v>299</v>
      </c>
      <c r="BH1485" s="5" t="s">
        <v>302</v>
      </c>
      <c r="BI1485" s="5" t="s">
        <v>303</v>
      </c>
      <c r="BJ1485" s="5" t="s">
        <v>240</v>
      </c>
      <c r="BK1485" s="8">
        <f>0</f>
        <v>0</v>
      </c>
      <c r="BL1485" s="7">
        <f>0</f>
        <v>0</v>
      </c>
      <c r="BM1485" s="5" t="s">
        <v>258</v>
      </c>
      <c r="BN1485" s="5" t="s">
        <v>259</v>
      </c>
      <c r="CB1485" s="5" t="s">
        <v>240</v>
      </c>
      <c r="CC1485" s="5" t="s">
        <v>240</v>
      </c>
      <c r="CG1485" s="5" t="s">
        <v>304</v>
      </c>
      <c r="CH1485" s="5" t="s">
        <v>305</v>
      </c>
      <c r="CI1485" s="5" t="s">
        <v>240</v>
      </c>
      <c r="CL1485" s="6" t="s">
        <v>261</v>
      </c>
      <c r="CM1485" s="5" t="s">
        <v>240</v>
      </c>
      <c r="CN1485" s="5" t="s">
        <v>263</v>
      </c>
      <c r="CO1485" s="5" t="s">
        <v>240</v>
      </c>
      <c r="CP1485" s="5" t="s">
        <v>240</v>
      </c>
      <c r="CQ1485" s="5">
        <v>0</v>
      </c>
      <c r="CR1485" s="5" t="s">
        <v>306</v>
      </c>
      <c r="CS1485" s="5" t="s">
        <v>307</v>
      </c>
      <c r="CT1485" s="5" t="s">
        <v>307</v>
      </c>
      <c r="CU1485" s="5" t="s">
        <v>260</v>
      </c>
      <c r="CX1485" s="7">
        <f>1</f>
        <v>1</v>
      </c>
      <c r="CY1485" s="7">
        <f>0</f>
        <v>0</v>
      </c>
      <c r="DA1485" s="7">
        <f>0</f>
        <v>0</v>
      </c>
      <c r="DC1485" s="5" t="s">
        <v>812</v>
      </c>
      <c r="DD1485" s="5" t="s">
        <v>240</v>
      </c>
      <c r="DF1485" s="5" t="s">
        <v>812</v>
      </c>
      <c r="DG1485" s="7">
        <f>489</f>
        <v>489</v>
      </c>
      <c r="DI1485" s="5" t="s">
        <v>240</v>
      </c>
      <c r="DJ1485" s="5" t="s">
        <v>240</v>
      </c>
      <c r="DK1485" s="5" t="s">
        <v>240</v>
      </c>
      <c r="DL1485" s="5" t="s">
        <v>240</v>
      </c>
      <c r="DP1485" s="5" t="s">
        <v>240</v>
      </c>
      <c r="DQ1485" s="5" t="s">
        <v>240</v>
      </c>
      <c r="DR1485" s="5" t="s">
        <v>240</v>
      </c>
      <c r="DS1485" s="5" t="s">
        <v>240</v>
      </c>
      <c r="DV1485" s="5" t="s">
        <v>813</v>
      </c>
      <c r="DW1485" s="5" t="s">
        <v>3100</v>
      </c>
      <c r="HO1485" s="5" t="s">
        <v>312</v>
      </c>
    </row>
    <row r="1486" spans="1:223" x14ac:dyDescent="0.4">
      <c r="A1486" s="5">
        <v>3161</v>
      </c>
      <c r="B1486" s="5">
        <v>1</v>
      </c>
      <c r="C1486" s="5">
        <v>1</v>
      </c>
      <c r="D1486" s="5" t="s">
        <v>297</v>
      </c>
      <c r="E1486" s="5" t="s">
        <v>245</v>
      </c>
      <c r="F1486" s="5" t="s">
        <v>254</v>
      </c>
      <c r="G1486" s="5" t="s">
        <v>240</v>
      </c>
      <c r="H1486" s="6" t="s">
        <v>4702</v>
      </c>
      <c r="I1486" s="5" t="s">
        <v>295</v>
      </c>
      <c r="J1486" s="8">
        <f>4496</f>
        <v>4496</v>
      </c>
      <c r="K1486" s="5" t="s">
        <v>308</v>
      </c>
      <c r="L1486" s="7">
        <f>1</f>
        <v>1</v>
      </c>
      <c r="M1486" s="7">
        <f>1</f>
        <v>1</v>
      </c>
      <c r="N1486" s="5" t="s">
        <v>242</v>
      </c>
      <c r="O1486" s="5">
        <v>1</v>
      </c>
      <c r="P1486" s="5" t="s">
        <v>294</v>
      </c>
      <c r="Q1486" s="5" t="s">
        <v>266</v>
      </c>
      <c r="R1486" s="5" t="s">
        <v>240</v>
      </c>
      <c r="S1486" s="5" t="s">
        <v>240</v>
      </c>
      <c r="T1486" s="5" t="s">
        <v>296</v>
      </c>
      <c r="U1486" s="5" t="s">
        <v>244</v>
      </c>
      <c r="V1486" s="5" t="s">
        <v>240</v>
      </c>
      <c r="Y1486" s="5" t="s">
        <v>240</v>
      </c>
      <c r="Z1486" s="6" t="s">
        <v>298</v>
      </c>
      <c r="AB1486" s="6" t="s">
        <v>240</v>
      </c>
      <c r="AE1486" s="6" t="s">
        <v>299</v>
      </c>
      <c r="AF1486" s="5" t="s">
        <v>248</v>
      </c>
      <c r="AG1486" s="5" t="s">
        <v>249</v>
      </c>
      <c r="AW1486" s="5" t="s">
        <v>251</v>
      </c>
      <c r="AX1486" s="5" t="s">
        <v>240</v>
      </c>
      <c r="AY1486" s="5" t="s">
        <v>253</v>
      </c>
      <c r="AZ1486" s="5" t="s">
        <v>240</v>
      </c>
      <c r="BA1486" s="5" t="s">
        <v>255</v>
      </c>
      <c r="BB1486" s="5" t="s">
        <v>240</v>
      </c>
      <c r="BD1486" s="5" t="s">
        <v>240</v>
      </c>
      <c r="BF1486" s="5" t="s">
        <v>301</v>
      </c>
      <c r="BG1486" s="6" t="s">
        <v>299</v>
      </c>
      <c r="BH1486" s="5" t="s">
        <v>302</v>
      </c>
      <c r="BI1486" s="5" t="s">
        <v>303</v>
      </c>
      <c r="BJ1486" s="5" t="s">
        <v>240</v>
      </c>
      <c r="BK1486" s="8">
        <f>0</f>
        <v>0</v>
      </c>
      <c r="BL1486" s="7">
        <f>0</f>
        <v>0</v>
      </c>
      <c r="BM1486" s="5" t="s">
        <v>258</v>
      </c>
      <c r="BN1486" s="5" t="s">
        <v>259</v>
      </c>
      <c r="CB1486" s="5" t="s">
        <v>240</v>
      </c>
      <c r="CC1486" s="5" t="s">
        <v>240</v>
      </c>
      <c r="CG1486" s="5" t="s">
        <v>304</v>
      </c>
      <c r="CH1486" s="5" t="s">
        <v>305</v>
      </c>
      <c r="CI1486" s="5" t="s">
        <v>240</v>
      </c>
      <c r="CL1486" s="6" t="s">
        <v>261</v>
      </c>
      <c r="CM1486" s="5" t="s">
        <v>240</v>
      </c>
      <c r="CN1486" s="5" t="s">
        <v>263</v>
      </c>
      <c r="CO1486" s="5" t="s">
        <v>240</v>
      </c>
      <c r="CP1486" s="5" t="s">
        <v>240</v>
      </c>
      <c r="CQ1486" s="5">
        <v>0</v>
      </c>
      <c r="CR1486" s="5" t="s">
        <v>306</v>
      </c>
      <c r="CS1486" s="5" t="s">
        <v>307</v>
      </c>
      <c r="CT1486" s="5" t="s">
        <v>307</v>
      </c>
      <c r="CU1486" s="5" t="s">
        <v>260</v>
      </c>
      <c r="CX1486" s="7">
        <f>1</f>
        <v>1</v>
      </c>
      <c r="CY1486" s="7">
        <f>0</f>
        <v>0</v>
      </c>
      <c r="DA1486" s="7">
        <f>0</f>
        <v>0</v>
      </c>
      <c r="DC1486" s="5" t="s">
        <v>812</v>
      </c>
      <c r="DD1486" s="5" t="s">
        <v>240</v>
      </c>
      <c r="DF1486" s="5" t="s">
        <v>812</v>
      </c>
      <c r="DG1486" s="7">
        <f>788</f>
        <v>788</v>
      </c>
      <c r="DI1486" s="5" t="s">
        <v>240</v>
      </c>
      <c r="DJ1486" s="5" t="s">
        <v>240</v>
      </c>
      <c r="DK1486" s="5" t="s">
        <v>240</v>
      </c>
      <c r="DL1486" s="5" t="s">
        <v>240</v>
      </c>
      <c r="DP1486" s="5" t="s">
        <v>240</v>
      </c>
      <c r="DQ1486" s="5" t="s">
        <v>240</v>
      </c>
      <c r="DR1486" s="5" t="s">
        <v>240</v>
      </c>
      <c r="DS1486" s="5" t="s">
        <v>240</v>
      </c>
      <c r="DV1486" s="5" t="s">
        <v>813</v>
      </c>
      <c r="DW1486" s="5" t="s">
        <v>3102</v>
      </c>
      <c r="HO1486" s="5" t="s">
        <v>312</v>
      </c>
    </row>
    <row r="1487" spans="1:223" x14ac:dyDescent="0.4">
      <c r="A1487" s="5">
        <v>3162</v>
      </c>
      <c r="B1487" s="5">
        <v>1</v>
      </c>
      <c r="C1487" s="5">
        <v>1</v>
      </c>
      <c r="D1487" s="5" t="s">
        <v>297</v>
      </c>
      <c r="E1487" s="5" t="s">
        <v>245</v>
      </c>
      <c r="F1487" s="5" t="s">
        <v>254</v>
      </c>
      <c r="G1487" s="5" t="s">
        <v>240</v>
      </c>
      <c r="H1487" s="6" t="s">
        <v>4701</v>
      </c>
      <c r="I1487" s="5" t="s">
        <v>295</v>
      </c>
      <c r="J1487" s="8">
        <f>3991</f>
        <v>3991</v>
      </c>
      <c r="K1487" s="5" t="s">
        <v>308</v>
      </c>
      <c r="L1487" s="7">
        <f>1</f>
        <v>1</v>
      </c>
      <c r="M1487" s="7">
        <f>1</f>
        <v>1</v>
      </c>
      <c r="N1487" s="5" t="s">
        <v>242</v>
      </c>
      <c r="O1487" s="5">
        <v>1</v>
      </c>
      <c r="P1487" s="5" t="s">
        <v>294</v>
      </c>
      <c r="Q1487" s="5" t="s">
        <v>266</v>
      </c>
      <c r="R1487" s="5" t="s">
        <v>240</v>
      </c>
      <c r="S1487" s="5" t="s">
        <v>240</v>
      </c>
      <c r="T1487" s="5" t="s">
        <v>296</v>
      </c>
      <c r="U1487" s="5" t="s">
        <v>244</v>
      </c>
      <c r="V1487" s="5" t="s">
        <v>240</v>
      </c>
      <c r="Y1487" s="5" t="s">
        <v>240</v>
      </c>
      <c r="Z1487" s="6" t="s">
        <v>298</v>
      </c>
      <c r="AB1487" s="6" t="s">
        <v>240</v>
      </c>
      <c r="AE1487" s="6" t="s">
        <v>299</v>
      </c>
      <c r="AF1487" s="5" t="s">
        <v>248</v>
      </c>
      <c r="AG1487" s="5" t="s">
        <v>249</v>
      </c>
      <c r="AW1487" s="5" t="s">
        <v>251</v>
      </c>
      <c r="AX1487" s="5" t="s">
        <v>240</v>
      </c>
      <c r="AY1487" s="5" t="s">
        <v>253</v>
      </c>
      <c r="AZ1487" s="5" t="s">
        <v>240</v>
      </c>
      <c r="BA1487" s="5" t="s">
        <v>255</v>
      </c>
      <c r="BB1487" s="5" t="s">
        <v>240</v>
      </c>
      <c r="BD1487" s="5" t="s">
        <v>240</v>
      </c>
      <c r="BF1487" s="5" t="s">
        <v>301</v>
      </c>
      <c r="BG1487" s="6" t="s">
        <v>299</v>
      </c>
      <c r="BH1487" s="5" t="s">
        <v>302</v>
      </c>
      <c r="BI1487" s="5" t="s">
        <v>303</v>
      </c>
      <c r="BJ1487" s="5" t="s">
        <v>240</v>
      </c>
      <c r="BK1487" s="8">
        <f>0</f>
        <v>0</v>
      </c>
      <c r="BL1487" s="7">
        <f>0</f>
        <v>0</v>
      </c>
      <c r="BM1487" s="5" t="s">
        <v>258</v>
      </c>
      <c r="BN1487" s="5" t="s">
        <v>259</v>
      </c>
      <c r="CB1487" s="5" t="s">
        <v>240</v>
      </c>
      <c r="CC1487" s="5" t="s">
        <v>240</v>
      </c>
      <c r="CG1487" s="5" t="s">
        <v>304</v>
      </c>
      <c r="CH1487" s="5" t="s">
        <v>305</v>
      </c>
      <c r="CI1487" s="5" t="s">
        <v>240</v>
      </c>
      <c r="CL1487" s="6" t="s">
        <v>261</v>
      </c>
      <c r="CM1487" s="5" t="s">
        <v>240</v>
      </c>
      <c r="CN1487" s="5" t="s">
        <v>263</v>
      </c>
      <c r="CO1487" s="5" t="s">
        <v>240</v>
      </c>
      <c r="CP1487" s="5" t="s">
        <v>240</v>
      </c>
      <c r="CQ1487" s="5">
        <v>0</v>
      </c>
      <c r="CR1487" s="5" t="s">
        <v>306</v>
      </c>
      <c r="CS1487" s="5" t="s">
        <v>307</v>
      </c>
      <c r="CT1487" s="5" t="s">
        <v>307</v>
      </c>
      <c r="CU1487" s="5" t="s">
        <v>260</v>
      </c>
      <c r="CX1487" s="7">
        <f>1</f>
        <v>1</v>
      </c>
      <c r="CY1487" s="7">
        <f>0</f>
        <v>0</v>
      </c>
      <c r="DA1487" s="7">
        <f>0</f>
        <v>0</v>
      </c>
      <c r="DC1487" s="5" t="s">
        <v>812</v>
      </c>
      <c r="DD1487" s="5" t="s">
        <v>240</v>
      </c>
      <c r="DF1487" s="5" t="s">
        <v>812</v>
      </c>
      <c r="DG1487" s="7">
        <f>181</f>
        <v>181</v>
      </c>
      <c r="DI1487" s="5" t="s">
        <v>240</v>
      </c>
      <c r="DJ1487" s="5" t="s">
        <v>240</v>
      </c>
      <c r="DK1487" s="5" t="s">
        <v>240</v>
      </c>
      <c r="DL1487" s="5" t="s">
        <v>240</v>
      </c>
      <c r="DP1487" s="5" t="s">
        <v>240</v>
      </c>
      <c r="DQ1487" s="5" t="s">
        <v>240</v>
      </c>
      <c r="DR1487" s="5" t="s">
        <v>240</v>
      </c>
      <c r="DS1487" s="5" t="s">
        <v>240</v>
      </c>
      <c r="DV1487" s="5" t="s">
        <v>813</v>
      </c>
      <c r="DW1487" s="5" t="s">
        <v>3104</v>
      </c>
      <c r="HO1487" s="5" t="s">
        <v>312</v>
      </c>
    </row>
    <row r="1488" spans="1:223" x14ac:dyDescent="0.4">
      <c r="A1488" s="5">
        <v>3163</v>
      </c>
      <c r="B1488" s="5">
        <v>1</v>
      </c>
      <c r="C1488" s="5">
        <v>1</v>
      </c>
      <c r="D1488" s="5" t="s">
        <v>297</v>
      </c>
      <c r="E1488" s="5" t="s">
        <v>245</v>
      </c>
      <c r="F1488" s="5" t="s">
        <v>254</v>
      </c>
      <c r="G1488" s="5" t="s">
        <v>240</v>
      </c>
      <c r="H1488" s="6" t="s">
        <v>4700</v>
      </c>
      <c r="I1488" s="5" t="s">
        <v>295</v>
      </c>
      <c r="J1488" s="8">
        <f>5697</f>
        <v>5697</v>
      </c>
      <c r="K1488" s="5" t="s">
        <v>308</v>
      </c>
      <c r="L1488" s="7">
        <f>1</f>
        <v>1</v>
      </c>
      <c r="M1488" s="7">
        <f>1</f>
        <v>1</v>
      </c>
      <c r="N1488" s="5" t="s">
        <v>242</v>
      </c>
      <c r="O1488" s="5">
        <v>1</v>
      </c>
      <c r="P1488" s="5" t="s">
        <v>294</v>
      </c>
      <c r="Q1488" s="5" t="s">
        <v>266</v>
      </c>
      <c r="R1488" s="5" t="s">
        <v>240</v>
      </c>
      <c r="S1488" s="5" t="s">
        <v>240</v>
      </c>
      <c r="T1488" s="5" t="s">
        <v>296</v>
      </c>
      <c r="U1488" s="5" t="s">
        <v>244</v>
      </c>
      <c r="V1488" s="5" t="s">
        <v>240</v>
      </c>
      <c r="Y1488" s="5" t="s">
        <v>240</v>
      </c>
      <c r="Z1488" s="6" t="s">
        <v>298</v>
      </c>
      <c r="AB1488" s="6" t="s">
        <v>240</v>
      </c>
      <c r="AE1488" s="6" t="s">
        <v>299</v>
      </c>
      <c r="AF1488" s="5" t="s">
        <v>248</v>
      </c>
      <c r="AG1488" s="5" t="s">
        <v>249</v>
      </c>
      <c r="AW1488" s="5" t="s">
        <v>251</v>
      </c>
      <c r="AX1488" s="5" t="s">
        <v>240</v>
      </c>
      <c r="AY1488" s="5" t="s">
        <v>253</v>
      </c>
      <c r="AZ1488" s="5" t="s">
        <v>240</v>
      </c>
      <c r="BA1488" s="5" t="s">
        <v>255</v>
      </c>
      <c r="BB1488" s="5" t="s">
        <v>240</v>
      </c>
      <c r="BD1488" s="5" t="s">
        <v>240</v>
      </c>
      <c r="BF1488" s="5" t="s">
        <v>301</v>
      </c>
      <c r="BG1488" s="6" t="s">
        <v>299</v>
      </c>
      <c r="BH1488" s="5" t="s">
        <v>302</v>
      </c>
      <c r="BI1488" s="5" t="s">
        <v>303</v>
      </c>
      <c r="BJ1488" s="5" t="s">
        <v>240</v>
      </c>
      <c r="BK1488" s="8">
        <f>0</f>
        <v>0</v>
      </c>
      <c r="BL1488" s="7">
        <f>0</f>
        <v>0</v>
      </c>
      <c r="BM1488" s="5" t="s">
        <v>258</v>
      </c>
      <c r="BN1488" s="5" t="s">
        <v>259</v>
      </c>
      <c r="CB1488" s="5" t="s">
        <v>240</v>
      </c>
      <c r="CC1488" s="5" t="s">
        <v>240</v>
      </c>
      <c r="CG1488" s="5" t="s">
        <v>304</v>
      </c>
      <c r="CH1488" s="5" t="s">
        <v>305</v>
      </c>
      <c r="CI1488" s="5" t="s">
        <v>240</v>
      </c>
      <c r="CL1488" s="6" t="s">
        <v>261</v>
      </c>
      <c r="CM1488" s="5" t="s">
        <v>240</v>
      </c>
      <c r="CN1488" s="5" t="s">
        <v>263</v>
      </c>
      <c r="CO1488" s="5" t="s">
        <v>240</v>
      </c>
      <c r="CP1488" s="5" t="s">
        <v>240</v>
      </c>
      <c r="CQ1488" s="5">
        <v>0</v>
      </c>
      <c r="CR1488" s="5" t="s">
        <v>306</v>
      </c>
      <c r="CS1488" s="5" t="s">
        <v>307</v>
      </c>
      <c r="CT1488" s="5" t="s">
        <v>307</v>
      </c>
      <c r="CU1488" s="5" t="s">
        <v>260</v>
      </c>
      <c r="CX1488" s="7">
        <f>1</f>
        <v>1</v>
      </c>
      <c r="CY1488" s="7">
        <f>0</f>
        <v>0</v>
      </c>
      <c r="DA1488" s="7">
        <f>0</f>
        <v>0</v>
      </c>
      <c r="DC1488" s="5" t="s">
        <v>812</v>
      </c>
      <c r="DD1488" s="5" t="s">
        <v>240</v>
      </c>
      <c r="DF1488" s="5" t="s">
        <v>812</v>
      </c>
      <c r="DG1488" s="7">
        <f>393</f>
        <v>393</v>
      </c>
      <c r="DI1488" s="5" t="s">
        <v>240</v>
      </c>
      <c r="DJ1488" s="5" t="s">
        <v>240</v>
      </c>
      <c r="DK1488" s="5" t="s">
        <v>240</v>
      </c>
      <c r="DL1488" s="5" t="s">
        <v>240</v>
      </c>
      <c r="DP1488" s="5" t="s">
        <v>240</v>
      </c>
      <c r="DQ1488" s="5" t="s">
        <v>240</v>
      </c>
      <c r="DR1488" s="5" t="s">
        <v>240</v>
      </c>
      <c r="DS1488" s="5" t="s">
        <v>240</v>
      </c>
      <c r="DV1488" s="5" t="s">
        <v>813</v>
      </c>
      <c r="DW1488" s="5" t="s">
        <v>3106</v>
      </c>
      <c r="HO1488" s="5" t="s">
        <v>312</v>
      </c>
    </row>
    <row r="1489" spans="1:223" x14ac:dyDescent="0.4">
      <c r="A1489" s="5">
        <v>3164</v>
      </c>
      <c r="B1489" s="5">
        <v>1</v>
      </c>
      <c r="C1489" s="5">
        <v>1</v>
      </c>
      <c r="D1489" s="5" t="s">
        <v>297</v>
      </c>
      <c r="E1489" s="5" t="s">
        <v>245</v>
      </c>
      <c r="F1489" s="5" t="s">
        <v>254</v>
      </c>
      <c r="G1489" s="5" t="s">
        <v>240</v>
      </c>
      <c r="H1489" s="6" t="s">
        <v>4699</v>
      </c>
      <c r="I1489" s="5" t="s">
        <v>295</v>
      </c>
      <c r="J1489" s="8">
        <f>900</f>
        <v>900</v>
      </c>
      <c r="K1489" s="5" t="s">
        <v>308</v>
      </c>
      <c r="L1489" s="7">
        <f>1</f>
        <v>1</v>
      </c>
      <c r="M1489" s="7">
        <f>1</f>
        <v>1</v>
      </c>
      <c r="N1489" s="5" t="s">
        <v>242</v>
      </c>
      <c r="O1489" s="5">
        <v>1</v>
      </c>
      <c r="P1489" s="5" t="s">
        <v>294</v>
      </c>
      <c r="Q1489" s="5" t="s">
        <v>266</v>
      </c>
      <c r="R1489" s="5" t="s">
        <v>240</v>
      </c>
      <c r="S1489" s="5" t="s">
        <v>240</v>
      </c>
      <c r="T1489" s="5" t="s">
        <v>296</v>
      </c>
      <c r="U1489" s="5" t="s">
        <v>244</v>
      </c>
      <c r="V1489" s="5" t="s">
        <v>240</v>
      </c>
      <c r="Y1489" s="5" t="s">
        <v>240</v>
      </c>
      <c r="Z1489" s="6" t="s">
        <v>298</v>
      </c>
      <c r="AB1489" s="6" t="s">
        <v>240</v>
      </c>
      <c r="AE1489" s="6" t="s">
        <v>299</v>
      </c>
      <c r="AF1489" s="5" t="s">
        <v>248</v>
      </c>
      <c r="AG1489" s="5" t="s">
        <v>249</v>
      </c>
      <c r="AW1489" s="5" t="s">
        <v>251</v>
      </c>
      <c r="AX1489" s="5" t="s">
        <v>240</v>
      </c>
      <c r="AY1489" s="5" t="s">
        <v>253</v>
      </c>
      <c r="AZ1489" s="5" t="s">
        <v>240</v>
      </c>
      <c r="BA1489" s="5" t="s">
        <v>255</v>
      </c>
      <c r="BB1489" s="5" t="s">
        <v>240</v>
      </c>
      <c r="BD1489" s="5" t="s">
        <v>240</v>
      </c>
      <c r="BF1489" s="5" t="s">
        <v>301</v>
      </c>
      <c r="BG1489" s="6" t="s">
        <v>299</v>
      </c>
      <c r="BH1489" s="5" t="s">
        <v>302</v>
      </c>
      <c r="BI1489" s="5" t="s">
        <v>303</v>
      </c>
      <c r="BJ1489" s="5" t="s">
        <v>240</v>
      </c>
      <c r="BK1489" s="8">
        <f>0</f>
        <v>0</v>
      </c>
      <c r="BL1489" s="7">
        <f>0</f>
        <v>0</v>
      </c>
      <c r="BM1489" s="5" t="s">
        <v>258</v>
      </c>
      <c r="BN1489" s="5" t="s">
        <v>259</v>
      </c>
      <c r="CB1489" s="5" t="s">
        <v>240</v>
      </c>
      <c r="CC1489" s="5" t="s">
        <v>240</v>
      </c>
      <c r="CG1489" s="5" t="s">
        <v>304</v>
      </c>
      <c r="CH1489" s="5" t="s">
        <v>305</v>
      </c>
      <c r="CI1489" s="5" t="s">
        <v>240</v>
      </c>
      <c r="CL1489" s="6" t="s">
        <v>261</v>
      </c>
      <c r="CM1489" s="5" t="s">
        <v>240</v>
      </c>
      <c r="CN1489" s="5" t="s">
        <v>263</v>
      </c>
      <c r="CO1489" s="5" t="s">
        <v>240</v>
      </c>
      <c r="CP1489" s="5" t="s">
        <v>240</v>
      </c>
      <c r="CQ1489" s="5">
        <v>0</v>
      </c>
      <c r="CR1489" s="5" t="s">
        <v>306</v>
      </c>
      <c r="CS1489" s="5" t="s">
        <v>307</v>
      </c>
      <c r="CT1489" s="5" t="s">
        <v>307</v>
      </c>
      <c r="CU1489" s="5" t="s">
        <v>260</v>
      </c>
      <c r="CX1489" s="7">
        <f>1</f>
        <v>1</v>
      </c>
      <c r="CY1489" s="7">
        <f>0</f>
        <v>0</v>
      </c>
      <c r="DA1489" s="7">
        <f>0</f>
        <v>0</v>
      </c>
      <c r="DC1489" s="5" t="s">
        <v>812</v>
      </c>
      <c r="DD1489" s="5" t="s">
        <v>240</v>
      </c>
      <c r="DF1489" s="5" t="s">
        <v>812</v>
      </c>
      <c r="DG1489" s="7">
        <f>1343</f>
        <v>1343</v>
      </c>
      <c r="DI1489" s="5" t="s">
        <v>240</v>
      </c>
      <c r="DJ1489" s="5" t="s">
        <v>240</v>
      </c>
      <c r="DK1489" s="5" t="s">
        <v>240</v>
      </c>
      <c r="DL1489" s="5" t="s">
        <v>240</v>
      </c>
      <c r="DP1489" s="5" t="s">
        <v>240</v>
      </c>
      <c r="DQ1489" s="5" t="s">
        <v>240</v>
      </c>
      <c r="DR1489" s="5" t="s">
        <v>240</v>
      </c>
      <c r="DS1489" s="5" t="s">
        <v>240</v>
      </c>
      <c r="DV1489" s="5" t="s">
        <v>813</v>
      </c>
      <c r="DW1489" s="5" t="s">
        <v>3108</v>
      </c>
      <c r="HO1489" s="5" t="s">
        <v>312</v>
      </c>
    </row>
    <row r="1490" spans="1:223" x14ac:dyDescent="0.4">
      <c r="A1490" s="5">
        <v>3165</v>
      </c>
      <c r="B1490" s="5">
        <v>1</v>
      </c>
      <c r="C1490" s="5">
        <v>1</v>
      </c>
      <c r="D1490" s="5" t="s">
        <v>297</v>
      </c>
      <c r="E1490" s="5" t="s">
        <v>245</v>
      </c>
      <c r="F1490" s="5" t="s">
        <v>254</v>
      </c>
      <c r="G1490" s="5" t="s">
        <v>240</v>
      </c>
      <c r="H1490" s="6" t="s">
        <v>5799</v>
      </c>
      <c r="I1490" s="5" t="s">
        <v>295</v>
      </c>
      <c r="J1490" s="8">
        <f>566</f>
        <v>566</v>
      </c>
      <c r="K1490" s="5" t="s">
        <v>308</v>
      </c>
      <c r="L1490" s="7">
        <f>1</f>
        <v>1</v>
      </c>
      <c r="M1490" s="7">
        <f>1</f>
        <v>1</v>
      </c>
      <c r="N1490" s="5" t="s">
        <v>242</v>
      </c>
      <c r="O1490" s="5">
        <v>1</v>
      </c>
      <c r="P1490" s="5" t="s">
        <v>294</v>
      </c>
      <c r="Q1490" s="5" t="s">
        <v>266</v>
      </c>
      <c r="R1490" s="5" t="s">
        <v>240</v>
      </c>
      <c r="S1490" s="5" t="s">
        <v>240</v>
      </c>
      <c r="T1490" s="5" t="s">
        <v>296</v>
      </c>
      <c r="U1490" s="5" t="s">
        <v>244</v>
      </c>
      <c r="V1490" s="5" t="s">
        <v>240</v>
      </c>
      <c r="Y1490" s="5" t="s">
        <v>240</v>
      </c>
      <c r="Z1490" s="6" t="s">
        <v>298</v>
      </c>
      <c r="AB1490" s="6" t="s">
        <v>240</v>
      </c>
      <c r="AE1490" s="6" t="s">
        <v>299</v>
      </c>
      <c r="AF1490" s="5" t="s">
        <v>248</v>
      </c>
      <c r="AG1490" s="5" t="s">
        <v>249</v>
      </c>
      <c r="AW1490" s="5" t="s">
        <v>251</v>
      </c>
      <c r="AX1490" s="5" t="s">
        <v>240</v>
      </c>
      <c r="AY1490" s="5" t="s">
        <v>253</v>
      </c>
      <c r="AZ1490" s="5" t="s">
        <v>240</v>
      </c>
      <c r="BA1490" s="5" t="s">
        <v>255</v>
      </c>
      <c r="BB1490" s="5" t="s">
        <v>240</v>
      </c>
      <c r="BD1490" s="5" t="s">
        <v>240</v>
      </c>
      <c r="BF1490" s="5" t="s">
        <v>301</v>
      </c>
      <c r="BG1490" s="6" t="s">
        <v>299</v>
      </c>
      <c r="BH1490" s="5" t="s">
        <v>302</v>
      </c>
      <c r="BI1490" s="5" t="s">
        <v>303</v>
      </c>
      <c r="BJ1490" s="5" t="s">
        <v>240</v>
      </c>
      <c r="BK1490" s="8">
        <f>0</f>
        <v>0</v>
      </c>
      <c r="BL1490" s="7">
        <f>0</f>
        <v>0</v>
      </c>
      <c r="BM1490" s="5" t="s">
        <v>258</v>
      </c>
      <c r="BN1490" s="5" t="s">
        <v>259</v>
      </c>
      <c r="CB1490" s="5" t="s">
        <v>240</v>
      </c>
      <c r="CC1490" s="5" t="s">
        <v>240</v>
      </c>
      <c r="CG1490" s="5" t="s">
        <v>304</v>
      </c>
      <c r="CH1490" s="5" t="s">
        <v>305</v>
      </c>
      <c r="CI1490" s="5" t="s">
        <v>240</v>
      </c>
      <c r="CL1490" s="6" t="s">
        <v>261</v>
      </c>
      <c r="CM1490" s="5" t="s">
        <v>240</v>
      </c>
      <c r="CN1490" s="5" t="s">
        <v>263</v>
      </c>
      <c r="CO1490" s="5" t="s">
        <v>240</v>
      </c>
      <c r="CP1490" s="5" t="s">
        <v>240</v>
      </c>
      <c r="CQ1490" s="5">
        <v>0</v>
      </c>
      <c r="CR1490" s="5" t="s">
        <v>306</v>
      </c>
      <c r="CS1490" s="5" t="s">
        <v>307</v>
      </c>
      <c r="CT1490" s="5" t="s">
        <v>307</v>
      </c>
      <c r="CU1490" s="5" t="s">
        <v>260</v>
      </c>
      <c r="CX1490" s="7">
        <f>1</f>
        <v>1</v>
      </c>
      <c r="CY1490" s="7">
        <f>0</f>
        <v>0</v>
      </c>
      <c r="DA1490" s="7">
        <f>0</f>
        <v>0</v>
      </c>
      <c r="DC1490" s="5" t="s">
        <v>812</v>
      </c>
      <c r="DD1490" s="5" t="s">
        <v>240</v>
      </c>
      <c r="DF1490" s="5" t="s">
        <v>812</v>
      </c>
      <c r="DG1490" s="7">
        <f>478</f>
        <v>478</v>
      </c>
      <c r="DI1490" s="5" t="s">
        <v>240</v>
      </c>
      <c r="DJ1490" s="5" t="s">
        <v>240</v>
      </c>
      <c r="DK1490" s="5" t="s">
        <v>240</v>
      </c>
      <c r="DL1490" s="5" t="s">
        <v>240</v>
      </c>
      <c r="DP1490" s="5" t="s">
        <v>240</v>
      </c>
      <c r="DQ1490" s="5" t="s">
        <v>240</v>
      </c>
      <c r="DR1490" s="5" t="s">
        <v>240</v>
      </c>
      <c r="DS1490" s="5" t="s">
        <v>240</v>
      </c>
      <c r="DV1490" s="5" t="s">
        <v>813</v>
      </c>
      <c r="DW1490" s="5" t="s">
        <v>3110</v>
      </c>
      <c r="HO1490" s="5" t="s">
        <v>312</v>
      </c>
    </row>
    <row r="1491" spans="1:223" x14ac:dyDescent="0.4">
      <c r="A1491" s="5">
        <v>3166</v>
      </c>
      <c r="B1491" s="5">
        <v>1</v>
      </c>
      <c r="C1491" s="5">
        <v>1</v>
      </c>
      <c r="D1491" s="5" t="s">
        <v>297</v>
      </c>
      <c r="E1491" s="5" t="s">
        <v>245</v>
      </c>
      <c r="F1491" s="5" t="s">
        <v>254</v>
      </c>
      <c r="G1491" s="5" t="s">
        <v>240</v>
      </c>
      <c r="H1491" s="6" t="s">
        <v>4697</v>
      </c>
      <c r="I1491" s="5" t="s">
        <v>295</v>
      </c>
      <c r="J1491" s="8">
        <f>4053</f>
        <v>4053</v>
      </c>
      <c r="K1491" s="5" t="s">
        <v>308</v>
      </c>
      <c r="L1491" s="7">
        <f>1</f>
        <v>1</v>
      </c>
      <c r="M1491" s="7">
        <f>1</f>
        <v>1</v>
      </c>
      <c r="N1491" s="5" t="s">
        <v>242</v>
      </c>
      <c r="O1491" s="5">
        <v>1</v>
      </c>
      <c r="P1491" s="5" t="s">
        <v>294</v>
      </c>
      <c r="Q1491" s="5" t="s">
        <v>266</v>
      </c>
      <c r="R1491" s="5" t="s">
        <v>240</v>
      </c>
      <c r="S1491" s="5" t="s">
        <v>240</v>
      </c>
      <c r="T1491" s="5" t="s">
        <v>296</v>
      </c>
      <c r="U1491" s="5" t="s">
        <v>244</v>
      </c>
      <c r="V1491" s="5" t="s">
        <v>240</v>
      </c>
      <c r="Y1491" s="5" t="s">
        <v>240</v>
      </c>
      <c r="Z1491" s="6" t="s">
        <v>298</v>
      </c>
      <c r="AB1491" s="6" t="s">
        <v>240</v>
      </c>
      <c r="AE1491" s="6" t="s">
        <v>299</v>
      </c>
      <c r="AF1491" s="5" t="s">
        <v>248</v>
      </c>
      <c r="AG1491" s="5" t="s">
        <v>249</v>
      </c>
      <c r="AW1491" s="5" t="s">
        <v>251</v>
      </c>
      <c r="AX1491" s="5" t="s">
        <v>240</v>
      </c>
      <c r="AY1491" s="5" t="s">
        <v>253</v>
      </c>
      <c r="AZ1491" s="5" t="s">
        <v>240</v>
      </c>
      <c r="BA1491" s="5" t="s">
        <v>255</v>
      </c>
      <c r="BB1491" s="5" t="s">
        <v>240</v>
      </c>
      <c r="BD1491" s="5" t="s">
        <v>240</v>
      </c>
      <c r="BF1491" s="5" t="s">
        <v>301</v>
      </c>
      <c r="BG1491" s="6" t="s">
        <v>299</v>
      </c>
      <c r="BH1491" s="5" t="s">
        <v>302</v>
      </c>
      <c r="BI1491" s="5" t="s">
        <v>303</v>
      </c>
      <c r="BJ1491" s="5" t="s">
        <v>240</v>
      </c>
      <c r="BK1491" s="8">
        <f>0</f>
        <v>0</v>
      </c>
      <c r="BL1491" s="7">
        <f>0</f>
        <v>0</v>
      </c>
      <c r="BM1491" s="5" t="s">
        <v>258</v>
      </c>
      <c r="BN1491" s="5" t="s">
        <v>259</v>
      </c>
      <c r="CB1491" s="5" t="s">
        <v>240</v>
      </c>
      <c r="CC1491" s="5" t="s">
        <v>240</v>
      </c>
      <c r="CG1491" s="5" t="s">
        <v>304</v>
      </c>
      <c r="CH1491" s="5" t="s">
        <v>305</v>
      </c>
      <c r="CI1491" s="5" t="s">
        <v>240</v>
      </c>
      <c r="CL1491" s="6" t="s">
        <v>261</v>
      </c>
      <c r="CM1491" s="5" t="s">
        <v>240</v>
      </c>
      <c r="CN1491" s="5" t="s">
        <v>263</v>
      </c>
      <c r="CO1491" s="5" t="s">
        <v>240</v>
      </c>
      <c r="CP1491" s="5" t="s">
        <v>240</v>
      </c>
      <c r="CQ1491" s="5">
        <v>0</v>
      </c>
      <c r="CR1491" s="5" t="s">
        <v>306</v>
      </c>
      <c r="CS1491" s="5" t="s">
        <v>307</v>
      </c>
      <c r="CT1491" s="5" t="s">
        <v>307</v>
      </c>
      <c r="CU1491" s="5" t="s">
        <v>260</v>
      </c>
      <c r="CX1491" s="7">
        <f>1</f>
        <v>1</v>
      </c>
      <c r="CY1491" s="7">
        <f>0</f>
        <v>0</v>
      </c>
      <c r="DA1491" s="7">
        <f>0</f>
        <v>0</v>
      </c>
      <c r="DC1491" s="5" t="s">
        <v>812</v>
      </c>
      <c r="DD1491" s="5" t="s">
        <v>240</v>
      </c>
      <c r="DF1491" s="5" t="s">
        <v>812</v>
      </c>
      <c r="DG1491" s="7">
        <f>743</f>
        <v>743</v>
      </c>
      <c r="DI1491" s="5" t="s">
        <v>240</v>
      </c>
      <c r="DJ1491" s="5" t="s">
        <v>240</v>
      </c>
      <c r="DK1491" s="5" t="s">
        <v>240</v>
      </c>
      <c r="DL1491" s="5" t="s">
        <v>240</v>
      </c>
      <c r="DP1491" s="5" t="s">
        <v>240</v>
      </c>
      <c r="DQ1491" s="5" t="s">
        <v>240</v>
      </c>
      <c r="DR1491" s="5" t="s">
        <v>240</v>
      </c>
      <c r="DS1491" s="5" t="s">
        <v>240</v>
      </c>
      <c r="DV1491" s="5" t="s">
        <v>813</v>
      </c>
      <c r="DW1491" s="5" t="s">
        <v>3112</v>
      </c>
      <c r="HO1491" s="5" t="s">
        <v>312</v>
      </c>
    </row>
    <row r="1492" spans="1:223" x14ac:dyDescent="0.4">
      <c r="A1492" s="5">
        <v>3167</v>
      </c>
      <c r="B1492" s="5">
        <v>1</v>
      </c>
      <c r="C1492" s="5">
        <v>1</v>
      </c>
      <c r="D1492" s="5" t="s">
        <v>297</v>
      </c>
      <c r="E1492" s="5" t="s">
        <v>245</v>
      </c>
      <c r="F1492" s="5" t="s">
        <v>254</v>
      </c>
      <c r="G1492" s="5" t="s">
        <v>240</v>
      </c>
      <c r="H1492" s="6" t="s">
        <v>4695</v>
      </c>
      <c r="I1492" s="5" t="s">
        <v>295</v>
      </c>
      <c r="J1492" s="8">
        <f>2923</f>
        <v>2923</v>
      </c>
      <c r="K1492" s="5" t="s">
        <v>308</v>
      </c>
      <c r="L1492" s="7">
        <f>1</f>
        <v>1</v>
      </c>
      <c r="M1492" s="7">
        <f>1</f>
        <v>1</v>
      </c>
      <c r="N1492" s="5" t="s">
        <v>242</v>
      </c>
      <c r="O1492" s="5">
        <v>1</v>
      </c>
      <c r="P1492" s="5" t="s">
        <v>294</v>
      </c>
      <c r="Q1492" s="5" t="s">
        <v>266</v>
      </c>
      <c r="R1492" s="5" t="s">
        <v>240</v>
      </c>
      <c r="S1492" s="5" t="s">
        <v>240</v>
      </c>
      <c r="T1492" s="5" t="s">
        <v>296</v>
      </c>
      <c r="U1492" s="5" t="s">
        <v>244</v>
      </c>
      <c r="V1492" s="5" t="s">
        <v>240</v>
      </c>
      <c r="Y1492" s="5" t="s">
        <v>240</v>
      </c>
      <c r="Z1492" s="6" t="s">
        <v>298</v>
      </c>
      <c r="AB1492" s="6" t="s">
        <v>240</v>
      </c>
      <c r="AE1492" s="6" t="s">
        <v>299</v>
      </c>
      <c r="AF1492" s="5" t="s">
        <v>248</v>
      </c>
      <c r="AG1492" s="5" t="s">
        <v>249</v>
      </c>
      <c r="AW1492" s="5" t="s">
        <v>251</v>
      </c>
      <c r="AX1492" s="5" t="s">
        <v>240</v>
      </c>
      <c r="AY1492" s="5" t="s">
        <v>253</v>
      </c>
      <c r="AZ1492" s="5" t="s">
        <v>240</v>
      </c>
      <c r="BA1492" s="5" t="s">
        <v>255</v>
      </c>
      <c r="BB1492" s="5" t="s">
        <v>240</v>
      </c>
      <c r="BD1492" s="5" t="s">
        <v>240</v>
      </c>
      <c r="BF1492" s="5" t="s">
        <v>301</v>
      </c>
      <c r="BG1492" s="6" t="s">
        <v>299</v>
      </c>
      <c r="BH1492" s="5" t="s">
        <v>302</v>
      </c>
      <c r="BI1492" s="5" t="s">
        <v>303</v>
      </c>
      <c r="BJ1492" s="5" t="s">
        <v>240</v>
      </c>
      <c r="BK1492" s="8">
        <f>0</f>
        <v>0</v>
      </c>
      <c r="BL1492" s="7">
        <f>0</f>
        <v>0</v>
      </c>
      <c r="BM1492" s="5" t="s">
        <v>258</v>
      </c>
      <c r="BN1492" s="5" t="s">
        <v>259</v>
      </c>
      <c r="CB1492" s="5" t="s">
        <v>240</v>
      </c>
      <c r="CC1492" s="5" t="s">
        <v>240</v>
      </c>
      <c r="CG1492" s="5" t="s">
        <v>304</v>
      </c>
      <c r="CH1492" s="5" t="s">
        <v>305</v>
      </c>
      <c r="CI1492" s="5" t="s">
        <v>240</v>
      </c>
      <c r="CL1492" s="6" t="s">
        <v>261</v>
      </c>
      <c r="CM1492" s="5" t="s">
        <v>240</v>
      </c>
      <c r="CN1492" s="5" t="s">
        <v>263</v>
      </c>
      <c r="CO1492" s="5" t="s">
        <v>240</v>
      </c>
      <c r="CP1492" s="5" t="s">
        <v>240</v>
      </c>
      <c r="CQ1492" s="5">
        <v>0</v>
      </c>
      <c r="CR1492" s="5" t="s">
        <v>306</v>
      </c>
      <c r="CS1492" s="5" t="s">
        <v>307</v>
      </c>
      <c r="CT1492" s="5" t="s">
        <v>307</v>
      </c>
      <c r="CU1492" s="5" t="s">
        <v>260</v>
      </c>
      <c r="CX1492" s="7">
        <f>1</f>
        <v>1</v>
      </c>
      <c r="CY1492" s="7">
        <f>0</f>
        <v>0</v>
      </c>
      <c r="DA1492" s="7">
        <f>0</f>
        <v>0</v>
      </c>
      <c r="DC1492" s="5" t="s">
        <v>812</v>
      </c>
      <c r="DD1492" s="5" t="s">
        <v>240</v>
      </c>
      <c r="DF1492" s="5" t="s">
        <v>812</v>
      </c>
      <c r="DG1492" s="7">
        <f>267</f>
        <v>267</v>
      </c>
      <c r="DI1492" s="5" t="s">
        <v>240</v>
      </c>
      <c r="DJ1492" s="5" t="s">
        <v>240</v>
      </c>
      <c r="DK1492" s="5" t="s">
        <v>240</v>
      </c>
      <c r="DL1492" s="5" t="s">
        <v>240</v>
      </c>
      <c r="DP1492" s="5" t="s">
        <v>240</v>
      </c>
      <c r="DQ1492" s="5" t="s">
        <v>240</v>
      </c>
      <c r="DR1492" s="5" t="s">
        <v>240</v>
      </c>
      <c r="DS1492" s="5" t="s">
        <v>240</v>
      </c>
      <c r="DV1492" s="5" t="s">
        <v>813</v>
      </c>
      <c r="DW1492" s="5" t="s">
        <v>3114</v>
      </c>
      <c r="HO1492" s="5" t="s">
        <v>312</v>
      </c>
    </row>
    <row r="1493" spans="1:223" x14ac:dyDescent="0.4">
      <c r="A1493" s="5">
        <v>3168</v>
      </c>
      <c r="B1493" s="5">
        <v>1</v>
      </c>
      <c r="C1493" s="5">
        <v>1</v>
      </c>
      <c r="D1493" s="5" t="s">
        <v>297</v>
      </c>
      <c r="E1493" s="5" t="s">
        <v>245</v>
      </c>
      <c r="F1493" s="5" t="s">
        <v>254</v>
      </c>
      <c r="G1493" s="5" t="s">
        <v>240</v>
      </c>
      <c r="H1493" s="6" t="s">
        <v>4694</v>
      </c>
      <c r="I1493" s="5" t="s">
        <v>295</v>
      </c>
      <c r="J1493" s="8">
        <f>5685</f>
        <v>5685</v>
      </c>
      <c r="K1493" s="5" t="s">
        <v>308</v>
      </c>
      <c r="L1493" s="7">
        <f>1</f>
        <v>1</v>
      </c>
      <c r="M1493" s="7">
        <f>1</f>
        <v>1</v>
      </c>
      <c r="N1493" s="5" t="s">
        <v>242</v>
      </c>
      <c r="O1493" s="5">
        <v>1</v>
      </c>
      <c r="P1493" s="5" t="s">
        <v>294</v>
      </c>
      <c r="Q1493" s="5" t="s">
        <v>266</v>
      </c>
      <c r="R1493" s="5" t="s">
        <v>240</v>
      </c>
      <c r="S1493" s="5" t="s">
        <v>240</v>
      </c>
      <c r="T1493" s="5" t="s">
        <v>296</v>
      </c>
      <c r="U1493" s="5" t="s">
        <v>244</v>
      </c>
      <c r="V1493" s="5" t="s">
        <v>240</v>
      </c>
      <c r="Y1493" s="5" t="s">
        <v>240</v>
      </c>
      <c r="Z1493" s="6" t="s">
        <v>298</v>
      </c>
      <c r="AB1493" s="6" t="s">
        <v>240</v>
      </c>
      <c r="AE1493" s="6" t="s">
        <v>299</v>
      </c>
      <c r="AF1493" s="5" t="s">
        <v>248</v>
      </c>
      <c r="AG1493" s="5" t="s">
        <v>249</v>
      </c>
      <c r="AW1493" s="5" t="s">
        <v>251</v>
      </c>
      <c r="AX1493" s="5" t="s">
        <v>240</v>
      </c>
      <c r="AY1493" s="5" t="s">
        <v>253</v>
      </c>
      <c r="AZ1493" s="5" t="s">
        <v>240</v>
      </c>
      <c r="BA1493" s="5" t="s">
        <v>255</v>
      </c>
      <c r="BB1493" s="5" t="s">
        <v>240</v>
      </c>
      <c r="BD1493" s="5" t="s">
        <v>240</v>
      </c>
      <c r="BF1493" s="5" t="s">
        <v>301</v>
      </c>
      <c r="BG1493" s="6" t="s">
        <v>299</v>
      </c>
      <c r="BH1493" s="5" t="s">
        <v>302</v>
      </c>
      <c r="BI1493" s="5" t="s">
        <v>303</v>
      </c>
      <c r="BJ1493" s="5" t="s">
        <v>240</v>
      </c>
      <c r="BK1493" s="8">
        <f>0</f>
        <v>0</v>
      </c>
      <c r="BL1493" s="7">
        <f>0</f>
        <v>0</v>
      </c>
      <c r="BM1493" s="5" t="s">
        <v>258</v>
      </c>
      <c r="BN1493" s="5" t="s">
        <v>259</v>
      </c>
      <c r="CB1493" s="5" t="s">
        <v>240</v>
      </c>
      <c r="CC1493" s="5" t="s">
        <v>240</v>
      </c>
      <c r="CG1493" s="5" t="s">
        <v>304</v>
      </c>
      <c r="CH1493" s="5" t="s">
        <v>305</v>
      </c>
      <c r="CI1493" s="5" t="s">
        <v>240</v>
      </c>
      <c r="CL1493" s="6" t="s">
        <v>261</v>
      </c>
      <c r="CM1493" s="5" t="s">
        <v>240</v>
      </c>
      <c r="CN1493" s="5" t="s">
        <v>263</v>
      </c>
      <c r="CO1493" s="5" t="s">
        <v>240</v>
      </c>
      <c r="CP1493" s="5" t="s">
        <v>240</v>
      </c>
      <c r="CQ1493" s="5">
        <v>0</v>
      </c>
      <c r="CR1493" s="5" t="s">
        <v>306</v>
      </c>
      <c r="CS1493" s="5" t="s">
        <v>307</v>
      </c>
      <c r="CT1493" s="5" t="s">
        <v>307</v>
      </c>
      <c r="CU1493" s="5" t="s">
        <v>260</v>
      </c>
      <c r="CX1493" s="7">
        <f>1</f>
        <v>1</v>
      </c>
      <c r="CY1493" s="7">
        <f>0</f>
        <v>0</v>
      </c>
      <c r="DA1493" s="7">
        <f>0</f>
        <v>0</v>
      </c>
      <c r="DC1493" s="5" t="s">
        <v>812</v>
      </c>
      <c r="DD1493" s="5" t="s">
        <v>240</v>
      </c>
      <c r="DF1493" s="5" t="s">
        <v>812</v>
      </c>
      <c r="DG1493" s="7">
        <f>381</f>
        <v>381</v>
      </c>
      <c r="DI1493" s="5" t="s">
        <v>240</v>
      </c>
      <c r="DJ1493" s="5" t="s">
        <v>240</v>
      </c>
      <c r="DK1493" s="5" t="s">
        <v>240</v>
      </c>
      <c r="DL1493" s="5" t="s">
        <v>240</v>
      </c>
      <c r="DP1493" s="5" t="s">
        <v>240</v>
      </c>
      <c r="DQ1493" s="5" t="s">
        <v>240</v>
      </c>
      <c r="DR1493" s="5" t="s">
        <v>240</v>
      </c>
      <c r="DS1493" s="5" t="s">
        <v>240</v>
      </c>
      <c r="DV1493" s="5" t="s">
        <v>813</v>
      </c>
      <c r="DW1493" s="5" t="s">
        <v>3116</v>
      </c>
      <c r="HO1493" s="5" t="s">
        <v>312</v>
      </c>
    </row>
    <row r="1494" spans="1:223" x14ac:dyDescent="0.4">
      <c r="A1494" s="5">
        <v>3169</v>
      </c>
      <c r="B1494" s="5">
        <v>1</v>
      </c>
      <c r="C1494" s="5">
        <v>1</v>
      </c>
      <c r="D1494" s="5" t="s">
        <v>297</v>
      </c>
      <c r="E1494" s="5" t="s">
        <v>245</v>
      </c>
      <c r="F1494" s="5" t="s">
        <v>254</v>
      </c>
      <c r="G1494" s="5" t="s">
        <v>240</v>
      </c>
      <c r="H1494" s="6" t="s">
        <v>4692</v>
      </c>
      <c r="I1494" s="5" t="s">
        <v>295</v>
      </c>
      <c r="J1494" s="8">
        <f>6030</f>
        <v>6030</v>
      </c>
      <c r="K1494" s="5" t="s">
        <v>308</v>
      </c>
      <c r="L1494" s="7">
        <f>1</f>
        <v>1</v>
      </c>
      <c r="M1494" s="7">
        <f>1</f>
        <v>1</v>
      </c>
      <c r="N1494" s="5" t="s">
        <v>242</v>
      </c>
      <c r="O1494" s="5">
        <v>1</v>
      </c>
      <c r="P1494" s="5" t="s">
        <v>294</v>
      </c>
      <c r="Q1494" s="5" t="s">
        <v>266</v>
      </c>
      <c r="R1494" s="5" t="s">
        <v>240</v>
      </c>
      <c r="S1494" s="5" t="s">
        <v>240</v>
      </c>
      <c r="T1494" s="5" t="s">
        <v>296</v>
      </c>
      <c r="U1494" s="5" t="s">
        <v>244</v>
      </c>
      <c r="V1494" s="5" t="s">
        <v>240</v>
      </c>
      <c r="Y1494" s="5" t="s">
        <v>240</v>
      </c>
      <c r="Z1494" s="6" t="s">
        <v>298</v>
      </c>
      <c r="AB1494" s="6" t="s">
        <v>240</v>
      </c>
      <c r="AE1494" s="6" t="s">
        <v>299</v>
      </c>
      <c r="AF1494" s="5" t="s">
        <v>248</v>
      </c>
      <c r="AG1494" s="5" t="s">
        <v>249</v>
      </c>
      <c r="AW1494" s="5" t="s">
        <v>251</v>
      </c>
      <c r="AX1494" s="5" t="s">
        <v>240</v>
      </c>
      <c r="AY1494" s="5" t="s">
        <v>253</v>
      </c>
      <c r="AZ1494" s="5" t="s">
        <v>240</v>
      </c>
      <c r="BA1494" s="5" t="s">
        <v>255</v>
      </c>
      <c r="BB1494" s="5" t="s">
        <v>240</v>
      </c>
      <c r="BD1494" s="5" t="s">
        <v>240</v>
      </c>
      <c r="BF1494" s="5" t="s">
        <v>301</v>
      </c>
      <c r="BG1494" s="6" t="s">
        <v>299</v>
      </c>
      <c r="BH1494" s="5" t="s">
        <v>302</v>
      </c>
      <c r="BI1494" s="5" t="s">
        <v>303</v>
      </c>
      <c r="BJ1494" s="5" t="s">
        <v>240</v>
      </c>
      <c r="BK1494" s="8">
        <f>0</f>
        <v>0</v>
      </c>
      <c r="BL1494" s="7">
        <f>0</f>
        <v>0</v>
      </c>
      <c r="BM1494" s="5" t="s">
        <v>258</v>
      </c>
      <c r="BN1494" s="5" t="s">
        <v>259</v>
      </c>
      <c r="CB1494" s="5" t="s">
        <v>240</v>
      </c>
      <c r="CC1494" s="5" t="s">
        <v>240</v>
      </c>
      <c r="CG1494" s="5" t="s">
        <v>304</v>
      </c>
      <c r="CH1494" s="5" t="s">
        <v>305</v>
      </c>
      <c r="CI1494" s="5" t="s">
        <v>240</v>
      </c>
      <c r="CL1494" s="6" t="s">
        <v>261</v>
      </c>
      <c r="CM1494" s="5" t="s">
        <v>240</v>
      </c>
      <c r="CN1494" s="5" t="s">
        <v>263</v>
      </c>
      <c r="CO1494" s="5" t="s">
        <v>240</v>
      </c>
      <c r="CP1494" s="5" t="s">
        <v>240</v>
      </c>
      <c r="CQ1494" s="5">
        <v>0</v>
      </c>
      <c r="CR1494" s="5" t="s">
        <v>306</v>
      </c>
      <c r="CS1494" s="5" t="s">
        <v>307</v>
      </c>
      <c r="CT1494" s="5" t="s">
        <v>307</v>
      </c>
      <c r="CU1494" s="5" t="s">
        <v>260</v>
      </c>
      <c r="CX1494" s="7">
        <f>1</f>
        <v>1</v>
      </c>
      <c r="CY1494" s="7">
        <f>0</f>
        <v>0</v>
      </c>
      <c r="DA1494" s="7">
        <f>0</f>
        <v>0</v>
      </c>
      <c r="DC1494" s="5" t="s">
        <v>812</v>
      </c>
      <c r="DD1494" s="5" t="s">
        <v>240</v>
      </c>
      <c r="DF1494" s="5" t="s">
        <v>812</v>
      </c>
      <c r="DG1494" s="7">
        <f>319</f>
        <v>319</v>
      </c>
      <c r="DI1494" s="5" t="s">
        <v>240</v>
      </c>
      <c r="DJ1494" s="5" t="s">
        <v>240</v>
      </c>
      <c r="DK1494" s="5" t="s">
        <v>240</v>
      </c>
      <c r="DL1494" s="5" t="s">
        <v>240</v>
      </c>
      <c r="DP1494" s="5" t="s">
        <v>240</v>
      </c>
      <c r="DQ1494" s="5" t="s">
        <v>240</v>
      </c>
      <c r="DR1494" s="5" t="s">
        <v>240</v>
      </c>
      <c r="DS1494" s="5" t="s">
        <v>240</v>
      </c>
      <c r="DV1494" s="5" t="s">
        <v>813</v>
      </c>
      <c r="DW1494" s="5" t="s">
        <v>3118</v>
      </c>
      <c r="HO1494" s="5" t="s">
        <v>312</v>
      </c>
    </row>
    <row r="1495" spans="1:223" x14ac:dyDescent="0.4">
      <c r="A1495" s="5">
        <v>3170</v>
      </c>
      <c r="B1495" s="5">
        <v>1</v>
      </c>
      <c r="C1495" s="5">
        <v>1</v>
      </c>
      <c r="D1495" s="5" t="s">
        <v>297</v>
      </c>
      <c r="E1495" s="5" t="s">
        <v>245</v>
      </c>
      <c r="F1495" s="5" t="s">
        <v>254</v>
      </c>
      <c r="G1495" s="5" t="s">
        <v>240</v>
      </c>
      <c r="H1495" s="6" t="s">
        <v>4691</v>
      </c>
      <c r="I1495" s="5" t="s">
        <v>295</v>
      </c>
      <c r="J1495" s="8">
        <f>2890</f>
        <v>2890</v>
      </c>
      <c r="K1495" s="5" t="s">
        <v>308</v>
      </c>
      <c r="L1495" s="7">
        <f>1</f>
        <v>1</v>
      </c>
      <c r="M1495" s="7">
        <f>1</f>
        <v>1</v>
      </c>
      <c r="N1495" s="5" t="s">
        <v>242</v>
      </c>
      <c r="O1495" s="5">
        <v>1</v>
      </c>
      <c r="P1495" s="5" t="s">
        <v>294</v>
      </c>
      <c r="Q1495" s="5" t="s">
        <v>266</v>
      </c>
      <c r="R1495" s="5" t="s">
        <v>240</v>
      </c>
      <c r="S1495" s="5" t="s">
        <v>240</v>
      </c>
      <c r="T1495" s="5" t="s">
        <v>296</v>
      </c>
      <c r="U1495" s="5" t="s">
        <v>244</v>
      </c>
      <c r="V1495" s="5" t="s">
        <v>240</v>
      </c>
      <c r="Y1495" s="5" t="s">
        <v>240</v>
      </c>
      <c r="Z1495" s="6" t="s">
        <v>298</v>
      </c>
      <c r="AB1495" s="6" t="s">
        <v>240</v>
      </c>
      <c r="AE1495" s="6" t="s">
        <v>299</v>
      </c>
      <c r="AF1495" s="5" t="s">
        <v>248</v>
      </c>
      <c r="AG1495" s="5" t="s">
        <v>249</v>
      </c>
      <c r="AW1495" s="5" t="s">
        <v>251</v>
      </c>
      <c r="AX1495" s="5" t="s">
        <v>240</v>
      </c>
      <c r="AY1495" s="5" t="s">
        <v>253</v>
      </c>
      <c r="AZ1495" s="5" t="s">
        <v>240</v>
      </c>
      <c r="BA1495" s="5" t="s">
        <v>255</v>
      </c>
      <c r="BB1495" s="5" t="s">
        <v>240</v>
      </c>
      <c r="BD1495" s="5" t="s">
        <v>240</v>
      </c>
      <c r="BF1495" s="5" t="s">
        <v>301</v>
      </c>
      <c r="BG1495" s="6" t="s">
        <v>299</v>
      </c>
      <c r="BH1495" s="5" t="s">
        <v>302</v>
      </c>
      <c r="BI1495" s="5" t="s">
        <v>303</v>
      </c>
      <c r="BJ1495" s="5" t="s">
        <v>240</v>
      </c>
      <c r="BK1495" s="8">
        <f>0</f>
        <v>0</v>
      </c>
      <c r="BL1495" s="7">
        <f>0</f>
        <v>0</v>
      </c>
      <c r="BM1495" s="5" t="s">
        <v>258</v>
      </c>
      <c r="BN1495" s="5" t="s">
        <v>259</v>
      </c>
      <c r="CB1495" s="5" t="s">
        <v>240</v>
      </c>
      <c r="CC1495" s="5" t="s">
        <v>240</v>
      </c>
      <c r="CG1495" s="5" t="s">
        <v>304</v>
      </c>
      <c r="CH1495" s="5" t="s">
        <v>305</v>
      </c>
      <c r="CI1495" s="5" t="s">
        <v>240</v>
      </c>
      <c r="CL1495" s="6" t="s">
        <v>261</v>
      </c>
      <c r="CM1495" s="5" t="s">
        <v>240</v>
      </c>
      <c r="CN1495" s="5" t="s">
        <v>263</v>
      </c>
      <c r="CO1495" s="5" t="s">
        <v>240</v>
      </c>
      <c r="CP1495" s="5" t="s">
        <v>240</v>
      </c>
      <c r="CQ1495" s="5">
        <v>0</v>
      </c>
      <c r="CR1495" s="5" t="s">
        <v>306</v>
      </c>
      <c r="CS1495" s="5" t="s">
        <v>307</v>
      </c>
      <c r="CT1495" s="5" t="s">
        <v>307</v>
      </c>
      <c r="CU1495" s="5" t="s">
        <v>260</v>
      </c>
      <c r="CX1495" s="7">
        <f>1</f>
        <v>1</v>
      </c>
      <c r="CY1495" s="7">
        <f>0</f>
        <v>0</v>
      </c>
      <c r="DA1495" s="7">
        <f>0</f>
        <v>0</v>
      </c>
      <c r="DC1495" s="5" t="s">
        <v>812</v>
      </c>
      <c r="DD1495" s="5" t="s">
        <v>240</v>
      </c>
      <c r="DF1495" s="5" t="s">
        <v>812</v>
      </c>
      <c r="DG1495" s="7">
        <f>268</f>
        <v>268</v>
      </c>
      <c r="DI1495" s="5" t="s">
        <v>240</v>
      </c>
      <c r="DJ1495" s="5" t="s">
        <v>240</v>
      </c>
      <c r="DK1495" s="5" t="s">
        <v>240</v>
      </c>
      <c r="DL1495" s="5" t="s">
        <v>240</v>
      </c>
      <c r="DP1495" s="5" t="s">
        <v>240</v>
      </c>
      <c r="DQ1495" s="5" t="s">
        <v>240</v>
      </c>
      <c r="DR1495" s="5" t="s">
        <v>240</v>
      </c>
      <c r="DS1495" s="5" t="s">
        <v>240</v>
      </c>
      <c r="DV1495" s="5" t="s">
        <v>813</v>
      </c>
      <c r="DW1495" s="5" t="s">
        <v>3120</v>
      </c>
      <c r="HO1495" s="5" t="s">
        <v>312</v>
      </c>
    </row>
    <row r="1496" spans="1:223" x14ac:dyDescent="0.4">
      <c r="A1496" s="5">
        <v>3171</v>
      </c>
      <c r="B1496" s="5">
        <v>1</v>
      </c>
      <c r="C1496" s="5">
        <v>1</v>
      </c>
      <c r="D1496" s="5" t="s">
        <v>297</v>
      </c>
      <c r="E1496" s="5" t="s">
        <v>245</v>
      </c>
      <c r="F1496" s="5" t="s">
        <v>254</v>
      </c>
      <c r="G1496" s="5" t="s">
        <v>240</v>
      </c>
      <c r="H1496" s="6" t="s">
        <v>4690</v>
      </c>
      <c r="I1496" s="5" t="s">
        <v>295</v>
      </c>
      <c r="J1496" s="8">
        <f>4097</f>
        <v>4097</v>
      </c>
      <c r="K1496" s="5" t="s">
        <v>308</v>
      </c>
      <c r="L1496" s="7">
        <f>1</f>
        <v>1</v>
      </c>
      <c r="M1496" s="7">
        <f>1</f>
        <v>1</v>
      </c>
      <c r="N1496" s="5" t="s">
        <v>242</v>
      </c>
      <c r="O1496" s="5">
        <v>1</v>
      </c>
      <c r="P1496" s="5" t="s">
        <v>294</v>
      </c>
      <c r="Q1496" s="5" t="s">
        <v>266</v>
      </c>
      <c r="R1496" s="5" t="s">
        <v>240</v>
      </c>
      <c r="S1496" s="5" t="s">
        <v>240</v>
      </c>
      <c r="T1496" s="5" t="s">
        <v>296</v>
      </c>
      <c r="U1496" s="5" t="s">
        <v>244</v>
      </c>
      <c r="V1496" s="5" t="s">
        <v>240</v>
      </c>
      <c r="Y1496" s="5" t="s">
        <v>240</v>
      </c>
      <c r="Z1496" s="6" t="s">
        <v>298</v>
      </c>
      <c r="AB1496" s="6" t="s">
        <v>240</v>
      </c>
      <c r="AE1496" s="6" t="s">
        <v>299</v>
      </c>
      <c r="AF1496" s="5" t="s">
        <v>248</v>
      </c>
      <c r="AG1496" s="5" t="s">
        <v>249</v>
      </c>
      <c r="AW1496" s="5" t="s">
        <v>251</v>
      </c>
      <c r="AX1496" s="5" t="s">
        <v>240</v>
      </c>
      <c r="AY1496" s="5" t="s">
        <v>253</v>
      </c>
      <c r="AZ1496" s="5" t="s">
        <v>240</v>
      </c>
      <c r="BA1496" s="5" t="s">
        <v>255</v>
      </c>
      <c r="BB1496" s="5" t="s">
        <v>240</v>
      </c>
      <c r="BD1496" s="5" t="s">
        <v>240</v>
      </c>
      <c r="BF1496" s="5" t="s">
        <v>301</v>
      </c>
      <c r="BG1496" s="6" t="s">
        <v>299</v>
      </c>
      <c r="BH1496" s="5" t="s">
        <v>302</v>
      </c>
      <c r="BI1496" s="5" t="s">
        <v>303</v>
      </c>
      <c r="BJ1496" s="5" t="s">
        <v>240</v>
      </c>
      <c r="BK1496" s="8">
        <f>0</f>
        <v>0</v>
      </c>
      <c r="BL1496" s="7">
        <f>0</f>
        <v>0</v>
      </c>
      <c r="BM1496" s="5" t="s">
        <v>258</v>
      </c>
      <c r="BN1496" s="5" t="s">
        <v>259</v>
      </c>
      <c r="CB1496" s="5" t="s">
        <v>240</v>
      </c>
      <c r="CC1496" s="5" t="s">
        <v>240</v>
      </c>
      <c r="CG1496" s="5" t="s">
        <v>304</v>
      </c>
      <c r="CH1496" s="5" t="s">
        <v>305</v>
      </c>
      <c r="CI1496" s="5" t="s">
        <v>240</v>
      </c>
      <c r="CL1496" s="6" t="s">
        <v>261</v>
      </c>
      <c r="CM1496" s="5" t="s">
        <v>240</v>
      </c>
      <c r="CN1496" s="5" t="s">
        <v>263</v>
      </c>
      <c r="CO1496" s="5" t="s">
        <v>240</v>
      </c>
      <c r="CP1496" s="5" t="s">
        <v>240</v>
      </c>
      <c r="CQ1496" s="5">
        <v>0</v>
      </c>
      <c r="CR1496" s="5" t="s">
        <v>306</v>
      </c>
      <c r="CS1496" s="5" t="s">
        <v>307</v>
      </c>
      <c r="CT1496" s="5" t="s">
        <v>307</v>
      </c>
      <c r="CU1496" s="5" t="s">
        <v>260</v>
      </c>
      <c r="CX1496" s="7">
        <f>1</f>
        <v>1</v>
      </c>
      <c r="CY1496" s="7">
        <f>0</f>
        <v>0</v>
      </c>
      <c r="DA1496" s="7">
        <f>0</f>
        <v>0</v>
      </c>
      <c r="DC1496" s="5" t="s">
        <v>812</v>
      </c>
      <c r="DD1496" s="5" t="s">
        <v>240</v>
      </c>
      <c r="DF1496" s="5" t="s">
        <v>812</v>
      </c>
      <c r="DG1496" s="7">
        <f>980</f>
        <v>980</v>
      </c>
      <c r="DI1496" s="5" t="s">
        <v>240</v>
      </c>
      <c r="DJ1496" s="5" t="s">
        <v>240</v>
      </c>
      <c r="DK1496" s="5" t="s">
        <v>240</v>
      </c>
      <c r="DL1496" s="5" t="s">
        <v>240</v>
      </c>
      <c r="DP1496" s="5" t="s">
        <v>240</v>
      </c>
      <c r="DQ1496" s="5" t="s">
        <v>240</v>
      </c>
      <c r="DR1496" s="5" t="s">
        <v>240</v>
      </c>
      <c r="DS1496" s="5" t="s">
        <v>240</v>
      </c>
      <c r="DV1496" s="5" t="s">
        <v>813</v>
      </c>
      <c r="DW1496" s="5" t="s">
        <v>3122</v>
      </c>
      <c r="HO1496" s="5" t="s">
        <v>312</v>
      </c>
    </row>
    <row r="1497" spans="1:223" x14ac:dyDescent="0.4">
      <c r="A1497" s="5">
        <v>3172</v>
      </c>
      <c r="B1497" s="5">
        <v>1</v>
      </c>
      <c r="C1497" s="5">
        <v>1</v>
      </c>
      <c r="D1497" s="5" t="s">
        <v>297</v>
      </c>
      <c r="E1497" s="5" t="s">
        <v>245</v>
      </c>
      <c r="F1497" s="5" t="s">
        <v>254</v>
      </c>
      <c r="G1497" s="5" t="s">
        <v>240</v>
      </c>
      <c r="H1497" s="6" t="s">
        <v>4689</v>
      </c>
      <c r="I1497" s="5" t="s">
        <v>295</v>
      </c>
      <c r="J1497" s="8">
        <f>2501</f>
        <v>2501</v>
      </c>
      <c r="K1497" s="5" t="s">
        <v>308</v>
      </c>
      <c r="L1497" s="7">
        <f>1</f>
        <v>1</v>
      </c>
      <c r="M1497" s="7">
        <f>1</f>
        <v>1</v>
      </c>
      <c r="N1497" s="5" t="s">
        <v>242</v>
      </c>
      <c r="O1497" s="5">
        <v>1</v>
      </c>
      <c r="P1497" s="5" t="s">
        <v>294</v>
      </c>
      <c r="Q1497" s="5" t="s">
        <v>266</v>
      </c>
      <c r="R1497" s="5" t="s">
        <v>240</v>
      </c>
      <c r="S1497" s="5" t="s">
        <v>240</v>
      </c>
      <c r="T1497" s="5" t="s">
        <v>296</v>
      </c>
      <c r="U1497" s="5" t="s">
        <v>244</v>
      </c>
      <c r="V1497" s="5" t="s">
        <v>240</v>
      </c>
      <c r="Y1497" s="5" t="s">
        <v>240</v>
      </c>
      <c r="Z1497" s="6" t="s">
        <v>298</v>
      </c>
      <c r="AB1497" s="6" t="s">
        <v>240</v>
      </c>
      <c r="AE1497" s="6" t="s">
        <v>299</v>
      </c>
      <c r="AF1497" s="5" t="s">
        <v>248</v>
      </c>
      <c r="AG1497" s="5" t="s">
        <v>249</v>
      </c>
      <c r="AW1497" s="5" t="s">
        <v>251</v>
      </c>
      <c r="AX1497" s="5" t="s">
        <v>240</v>
      </c>
      <c r="AY1497" s="5" t="s">
        <v>253</v>
      </c>
      <c r="AZ1497" s="5" t="s">
        <v>240</v>
      </c>
      <c r="BA1497" s="5" t="s">
        <v>255</v>
      </c>
      <c r="BB1497" s="5" t="s">
        <v>240</v>
      </c>
      <c r="BD1497" s="5" t="s">
        <v>240</v>
      </c>
      <c r="BF1497" s="5" t="s">
        <v>301</v>
      </c>
      <c r="BG1497" s="6" t="s">
        <v>299</v>
      </c>
      <c r="BH1497" s="5" t="s">
        <v>302</v>
      </c>
      <c r="BI1497" s="5" t="s">
        <v>303</v>
      </c>
      <c r="BJ1497" s="5" t="s">
        <v>240</v>
      </c>
      <c r="BK1497" s="8">
        <f>0</f>
        <v>0</v>
      </c>
      <c r="BL1497" s="7">
        <f>0</f>
        <v>0</v>
      </c>
      <c r="BM1497" s="5" t="s">
        <v>258</v>
      </c>
      <c r="BN1497" s="5" t="s">
        <v>259</v>
      </c>
      <c r="CB1497" s="5" t="s">
        <v>240</v>
      </c>
      <c r="CC1497" s="5" t="s">
        <v>240</v>
      </c>
      <c r="CG1497" s="5" t="s">
        <v>304</v>
      </c>
      <c r="CH1497" s="5" t="s">
        <v>305</v>
      </c>
      <c r="CI1497" s="5" t="s">
        <v>240</v>
      </c>
      <c r="CL1497" s="6" t="s">
        <v>261</v>
      </c>
      <c r="CM1497" s="5" t="s">
        <v>240</v>
      </c>
      <c r="CN1497" s="5" t="s">
        <v>263</v>
      </c>
      <c r="CO1497" s="5" t="s">
        <v>240</v>
      </c>
      <c r="CP1497" s="5" t="s">
        <v>240</v>
      </c>
      <c r="CQ1497" s="5">
        <v>0</v>
      </c>
      <c r="CR1497" s="5" t="s">
        <v>306</v>
      </c>
      <c r="CS1497" s="5" t="s">
        <v>307</v>
      </c>
      <c r="CT1497" s="5" t="s">
        <v>307</v>
      </c>
      <c r="CU1497" s="5" t="s">
        <v>260</v>
      </c>
      <c r="CX1497" s="7">
        <f>1</f>
        <v>1</v>
      </c>
      <c r="CY1497" s="7">
        <f>0</f>
        <v>0</v>
      </c>
      <c r="DA1497" s="7">
        <f>0</f>
        <v>0</v>
      </c>
      <c r="DC1497" s="5" t="s">
        <v>812</v>
      </c>
      <c r="DD1497" s="5" t="s">
        <v>240</v>
      </c>
      <c r="DF1497" s="5" t="s">
        <v>812</v>
      </c>
      <c r="DG1497" s="7">
        <f>548</f>
        <v>548</v>
      </c>
      <c r="DI1497" s="5" t="s">
        <v>240</v>
      </c>
      <c r="DJ1497" s="5" t="s">
        <v>240</v>
      </c>
      <c r="DK1497" s="5" t="s">
        <v>240</v>
      </c>
      <c r="DL1497" s="5" t="s">
        <v>240</v>
      </c>
      <c r="DP1497" s="5" t="s">
        <v>240</v>
      </c>
      <c r="DQ1497" s="5" t="s">
        <v>240</v>
      </c>
      <c r="DR1497" s="5" t="s">
        <v>240</v>
      </c>
      <c r="DS1497" s="5" t="s">
        <v>240</v>
      </c>
      <c r="DV1497" s="5" t="s">
        <v>813</v>
      </c>
      <c r="DW1497" s="5" t="s">
        <v>3124</v>
      </c>
      <c r="HO1497" s="5" t="s">
        <v>312</v>
      </c>
    </row>
    <row r="1498" spans="1:223" x14ac:dyDescent="0.4">
      <c r="A1498" s="5">
        <v>3173</v>
      </c>
      <c r="B1498" s="5">
        <v>1</v>
      </c>
      <c r="C1498" s="5">
        <v>1</v>
      </c>
      <c r="D1498" s="5" t="s">
        <v>297</v>
      </c>
      <c r="E1498" s="5" t="s">
        <v>245</v>
      </c>
      <c r="F1498" s="5" t="s">
        <v>254</v>
      </c>
      <c r="G1498" s="5" t="s">
        <v>240</v>
      </c>
      <c r="H1498" s="6" t="s">
        <v>4687</v>
      </c>
      <c r="I1498" s="5" t="s">
        <v>295</v>
      </c>
      <c r="J1498" s="8">
        <f>5214</f>
        <v>5214</v>
      </c>
      <c r="K1498" s="5" t="s">
        <v>308</v>
      </c>
      <c r="L1498" s="7">
        <f>1</f>
        <v>1</v>
      </c>
      <c r="M1498" s="7">
        <f>1</f>
        <v>1</v>
      </c>
      <c r="N1498" s="5" t="s">
        <v>242</v>
      </c>
      <c r="O1498" s="5">
        <v>1</v>
      </c>
      <c r="P1498" s="5" t="s">
        <v>294</v>
      </c>
      <c r="Q1498" s="5" t="s">
        <v>266</v>
      </c>
      <c r="R1498" s="5" t="s">
        <v>240</v>
      </c>
      <c r="S1498" s="5" t="s">
        <v>240</v>
      </c>
      <c r="T1498" s="5" t="s">
        <v>296</v>
      </c>
      <c r="U1498" s="5" t="s">
        <v>244</v>
      </c>
      <c r="V1498" s="5" t="s">
        <v>240</v>
      </c>
      <c r="Y1498" s="5" t="s">
        <v>240</v>
      </c>
      <c r="Z1498" s="6" t="s">
        <v>298</v>
      </c>
      <c r="AB1498" s="6" t="s">
        <v>240</v>
      </c>
      <c r="AE1498" s="6" t="s">
        <v>299</v>
      </c>
      <c r="AF1498" s="5" t="s">
        <v>248</v>
      </c>
      <c r="AG1498" s="5" t="s">
        <v>249</v>
      </c>
      <c r="AW1498" s="5" t="s">
        <v>251</v>
      </c>
      <c r="AX1498" s="5" t="s">
        <v>240</v>
      </c>
      <c r="AY1498" s="5" t="s">
        <v>253</v>
      </c>
      <c r="AZ1498" s="5" t="s">
        <v>240</v>
      </c>
      <c r="BA1498" s="5" t="s">
        <v>255</v>
      </c>
      <c r="BB1498" s="5" t="s">
        <v>240</v>
      </c>
      <c r="BD1498" s="5" t="s">
        <v>240</v>
      </c>
      <c r="BF1498" s="5" t="s">
        <v>301</v>
      </c>
      <c r="BG1498" s="6" t="s">
        <v>299</v>
      </c>
      <c r="BH1498" s="5" t="s">
        <v>302</v>
      </c>
      <c r="BI1498" s="5" t="s">
        <v>303</v>
      </c>
      <c r="BJ1498" s="5" t="s">
        <v>240</v>
      </c>
      <c r="BK1498" s="8">
        <f>0</f>
        <v>0</v>
      </c>
      <c r="BL1498" s="7">
        <f>0</f>
        <v>0</v>
      </c>
      <c r="BM1498" s="5" t="s">
        <v>258</v>
      </c>
      <c r="BN1498" s="5" t="s">
        <v>259</v>
      </c>
      <c r="CB1498" s="5" t="s">
        <v>240</v>
      </c>
      <c r="CC1498" s="5" t="s">
        <v>240</v>
      </c>
      <c r="CG1498" s="5" t="s">
        <v>304</v>
      </c>
      <c r="CH1498" s="5" t="s">
        <v>305</v>
      </c>
      <c r="CI1498" s="5" t="s">
        <v>240</v>
      </c>
      <c r="CL1498" s="6" t="s">
        <v>261</v>
      </c>
      <c r="CM1498" s="5" t="s">
        <v>240</v>
      </c>
      <c r="CN1498" s="5" t="s">
        <v>263</v>
      </c>
      <c r="CO1498" s="5" t="s">
        <v>240</v>
      </c>
      <c r="CP1498" s="5" t="s">
        <v>240</v>
      </c>
      <c r="CQ1498" s="5">
        <v>0</v>
      </c>
      <c r="CR1498" s="5" t="s">
        <v>306</v>
      </c>
      <c r="CS1498" s="5" t="s">
        <v>307</v>
      </c>
      <c r="CT1498" s="5" t="s">
        <v>307</v>
      </c>
      <c r="CU1498" s="5" t="s">
        <v>260</v>
      </c>
      <c r="CX1498" s="7">
        <f>1</f>
        <v>1</v>
      </c>
      <c r="CY1498" s="7">
        <f>0</f>
        <v>0</v>
      </c>
      <c r="DA1498" s="7">
        <f>0</f>
        <v>0</v>
      </c>
      <c r="DC1498" s="5" t="s">
        <v>812</v>
      </c>
      <c r="DD1498" s="5" t="s">
        <v>240</v>
      </c>
      <c r="DF1498" s="5" t="s">
        <v>812</v>
      </c>
      <c r="DG1498" s="7">
        <f>1285</f>
        <v>1285</v>
      </c>
      <c r="DI1498" s="5" t="s">
        <v>240</v>
      </c>
      <c r="DJ1498" s="5" t="s">
        <v>240</v>
      </c>
      <c r="DK1498" s="5" t="s">
        <v>240</v>
      </c>
      <c r="DL1498" s="5" t="s">
        <v>240</v>
      </c>
      <c r="DP1498" s="5" t="s">
        <v>240</v>
      </c>
      <c r="DQ1498" s="5" t="s">
        <v>240</v>
      </c>
      <c r="DR1498" s="5" t="s">
        <v>240</v>
      </c>
      <c r="DS1498" s="5" t="s">
        <v>240</v>
      </c>
      <c r="DV1498" s="5" t="s">
        <v>813</v>
      </c>
      <c r="DW1498" s="5" t="s">
        <v>3126</v>
      </c>
      <c r="HO1498" s="5" t="s">
        <v>312</v>
      </c>
    </row>
    <row r="1499" spans="1:223" x14ac:dyDescent="0.4">
      <c r="A1499" s="5">
        <v>3174</v>
      </c>
      <c r="B1499" s="5">
        <v>1</v>
      </c>
      <c r="C1499" s="5">
        <v>1</v>
      </c>
      <c r="D1499" s="5" t="s">
        <v>297</v>
      </c>
      <c r="E1499" s="5" t="s">
        <v>245</v>
      </c>
      <c r="F1499" s="5" t="s">
        <v>254</v>
      </c>
      <c r="G1499" s="5" t="s">
        <v>240</v>
      </c>
      <c r="H1499" s="6" t="s">
        <v>4686</v>
      </c>
      <c r="I1499" s="5" t="s">
        <v>295</v>
      </c>
      <c r="J1499" s="8">
        <f>2608</f>
        <v>2608</v>
      </c>
      <c r="K1499" s="5" t="s">
        <v>308</v>
      </c>
      <c r="L1499" s="7">
        <f>1</f>
        <v>1</v>
      </c>
      <c r="M1499" s="7">
        <f>1</f>
        <v>1</v>
      </c>
      <c r="N1499" s="5" t="s">
        <v>242</v>
      </c>
      <c r="O1499" s="5">
        <v>1</v>
      </c>
      <c r="P1499" s="5" t="s">
        <v>294</v>
      </c>
      <c r="Q1499" s="5" t="s">
        <v>266</v>
      </c>
      <c r="R1499" s="5" t="s">
        <v>240</v>
      </c>
      <c r="S1499" s="5" t="s">
        <v>240</v>
      </c>
      <c r="T1499" s="5" t="s">
        <v>296</v>
      </c>
      <c r="U1499" s="5" t="s">
        <v>244</v>
      </c>
      <c r="V1499" s="5" t="s">
        <v>240</v>
      </c>
      <c r="Y1499" s="5" t="s">
        <v>240</v>
      </c>
      <c r="Z1499" s="6" t="s">
        <v>298</v>
      </c>
      <c r="AB1499" s="6" t="s">
        <v>240</v>
      </c>
      <c r="AE1499" s="6" t="s">
        <v>299</v>
      </c>
      <c r="AF1499" s="5" t="s">
        <v>248</v>
      </c>
      <c r="AG1499" s="5" t="s">
        <v>249</v>
      </c>
      <c r="AW1499" s="5" t="s">
        <v>251</v>
      </c>
      <c r="AX1499" s="5" t="s">
        <v>240</v>
      </c>
      <c r="AY1499" s="5" t="s">
        <v>253</v>
      </c>
      <c r="AZ1499" s="5" t="s">
        <v>240</v>
      </c>
      <c r="BA1499" s="5" t="s">
        <v>255</v>
      </c>
      <c r="BB1499" s="5" t="s">
        <v>240</v>
      </c>
      <c r="BD1499" s="5" t="s">
        <v>240</v>
      </c>
      <c r="BF1499" s="5" t="s">
        <v>301</v>
      </c>
      <c r="BG1499" s="6" t="s">
        <v>299</v>
      </c>
      <c r="BH1499" s="5" t="s">
        <v>302</v>
      </c>
      <c r="BI1499" s="5" t="s">
        <v>303</v>
      </c>
      <c r="BJ1499" s="5" t="s">
        <v>240</v>
      </c>
      <c r="BK1499" s="8">
        <f>0</f>
        <v>0</v>
      </c>
      <c r="BL1499" s="7">
        <f>0</f>
        <v>0</v>
      </c>
      <c r="BM1499" s="5" t="s">
        <v>258</v>
      </c>
      <c r="BN1499" s="5" t="s">
        <v>259</v>
      </c>
      <c r="CB1499" s="5" t="s">
        <v>240</v>
      </c>
      <c r="CC1499" s="5" t="s">
        <v>240</v>
      </c>
      <c r="CG1499" s="5" t="s">
        <v>304</v>
      </c>
      <c r="CH1499" s="5" t="s">
        <v>305</v>
      </c>
      <c r="CI1499" s="5" t="s">
        <v>240</v>
      </c>
      <c r="CL1499" s="6" t="s">
        <v>261</v>
      </c>
      <c r="CM1499" s="5" t="s">
        <v>240</v>
      </c>
      <c r="CN1499" s="5" t="s">
        <v>263</v>
      </c>
      <c r="CO1499" s="5" t="s">
        <v>240</v>
      </c>
      <c r="CP1499" s="5" t="s">
        <v>240</v>
      </c>
      <c r="CQ1499" s="5">
        <v>0</v>
      </c>
      <c r="CR1499" s="5" t="s">
        <v>306</v>
      </c>
      <c r="CS1499" s="5" t="s">
        <v>307</v>
      </c>
      <c r="CT1499" s="5" t="s">
        <v>307</v>
      </c>
      <c r="CU1499" s="5" t="s">
        <v>260</v>
      </c>
      <c r="CX1499" s="7">
        <f>1</f>
        <v>1</v>
      </c>
      <c r="CY1499" s="7">
        <f>0</f>
        <v>0</v>
      </c>
      <c r="DA1499" s="7">
        <f>0</f>
        <v>0</v>
      </c>
      <c r="DC1499" s="5" t="s">
        <v>812</v>
      </c>
      <c r="DD1499" s="5" t="s">
        <v>240</v>
      </c>
      <c r="DF1499" s="5" t="s">
        <v>812</v>
      </c>
      <c r="DG1499" s="7">
        <f>1336</f>
        <v>1336</v>
      </c>
      <c r="DI1499" s="5" t="s">
        <v>240</v>
      </c>
      <c r="DJ1499" s="5" t="s">
        <v>240</v>
      </c>
      <c r="DK1499" s="5" t="s">
        <v>240</v>
      </c>
      <c r="DL1499" s="5" t="s">
        <v>240</v>
      </c>
      <c r="DP1499" s="5" t="s">
        <v>240</v>
      </c>
      <c r="DQ1499" s="5" t="s">
        <v>240</v>
      </c>
      <c r="DR1499" s="5" t="s">
        <v>240</v>
      </c>
      <c r="DS1499" s="5" t="s">
        <v>240</v>
      </c>
      <c r="DV1499" s="5" t="s">
        <v>813</v>
      </c>
      <c r="DW1499" s="5" t="s">
        <v>3128</v>
      </c>
      <c r="HO1499" s="5" t="s">
        <v>312</v>
      </c>
    </row>
    <row r="1500" spans="1:223" x14ac:dyDescent="0.4">
      <c r="A1500" s="5">
        <v>3175</v>
      </c>
      <c r="B1500" s="5">
        <v>1</v>
      </c>
      <c r="C1500" s="5">
        <v>1</v>
      </c>
      <c r="D1500" s="5" t="s">
        <v>297</v>
      </c>
      <c r="E1500" s="5" t="s">
        <v>245</v>
      </c>
      <c r="F1500" s="5" t="s">
        <v>254</v>
      </c>
      <c r="G1500" s="5" t="s">
        <v>240</v>
      </c>
      <c r="H1500" s="6" t="s">
        <v>4685</v>
      </c>
      <c r="I1500" s="5" t="s">
        <v>295</v>
      </c>
      <c r="J1500" s="8">
        <f>2791</f>
        <v>2791</v>
      </c>
      <c r="K1500" s="5" t="s">
        <v>308</v>
      </c>
      <c r="L1500" s="7">
        <f>1</f>
        <v>1</v>
      </c>
      <c r="M1500" s="7">
        <f>1</f>
        <v>1</v>
      </c>
      <c r="N1500" s="5" t="s">
        <v>242</v>
      </c>
      <c r="O1500" s="5">
        <v>1</v>
      </c>
      <c r="P1500" s="5" t="s">
        <v>294</v>
      </c>
      <c r="Q1500" s="5" t="s">
        <v>266</v>
      </c>
      <c r="R1500" s="5" t="s">
        <v>240</v>
      </c>
      <c r="S1500" s="5" t="s">
        <v>240</v>
      </c>
      <c r="T1500" s="5" t="s">
        <v>296</v>
      </c>
      <c r="U1500" s="5" t="s">
        <v>244</v>
      </c>
      <c r="V1500" s="5" t="s">
        <v>240</v>
      </c>
      <c r="Y1500" s="5" t="s">
        <v>240</v>
      </c>
      <c r="Z1500" s="6" t="s">
        <v>298</v>
      </c>
      <c r="AB1500" s="6" t="s">
        <v>240</v>
      </c>
      <c r="AE1500" s="6" t="s">
        <v>299</v>
      </c>
      <c r="AF1500" s="5" t="s">
        <v>248</v>
      </c>
      <c r="AG1500" s="5" t="s">
        <v>249</v>
      </c>
      <c r="AW1500" s="5" t="s">
        <v>251</v>
      </c>
      <c r="AX1500" s="5" t="s">
        <v>240</v>
      </c>
      <c r="AY1500" s="5" t="s">
        <v>253</v>
      </c>
      <c r="AZ1500" s="5" t="s">
        <v>240</v>
      </c>
      <c r="BA1500" s="5" t="s">
        <v>255</v>
      </c>
      <c r="BB1500" s="5" t="s">
        <v>240</v>
      </c>
      <c r="BD1500" s="5" t="s">
        <v>240</v>
      </c>
      <c r="BF1500" s="5" t="s">
        <v>301</v>
      </c>
      <c r="BG1500" s="6" t="s">
        <v>299</v>
      </c>
      <c r="BH1500" s="5" t="s">
        <v>302</v>
      </c>
      <c r="BI1500" s="5" t="s">
        <v>303</v>
      </c>
      <c r="BJ1500" s="5" t="s">
        <v>240</v>
      </c>
      <c r="BK1500" s="8">
        <f>0</f>
        <v>0</v>
      </c>
      <c r="BL1500" s="7">
        <f>0</f>
        <v>0</v>
      </c>
      <c r="BM1500" s="5" t="s">
        <v>258</v>
      </c>
      <c r="BN1500" s="5" t="s">
        <v>259</v>
      </c>
      <c r="CB1500" s="5" t="s">
        <v>240</v>
      </c>
      <c r="CC1500" s="5" t="s">
        <v>240</v>
      </c>
      <c r="CG1500" s="5" t="s">
        <v>304</v>
      </c>
      <c r="CH1500" s="5" t="s">
        <v>305</v>
      </c>
      <c r="CI1500" s="5" t="s">
        <v>240</v>
      </c>
      <c r="CL1500" s="6" t="s">
        <v>261</v>
      </c>
      <c r="CM1500" s="5" t="s">
        <v>240</v>
      </c>
      <c r="CN1500" s="5" t="s">
        <v>263</v>
      </c>
      <c r="CO1500" s="5" t="s">
        <v>240</v>
      </c>
      <c r="CP1500" s="5" t="s">
        <v>240</v>
      </c>
      <c r="CQ1500" s="5">
        <v>0</v>
      </c>
      <c r="CR1500" s="5" t="s">
        <v>306</v>
      </c>
      <c r="CS1500" s="5" t="s">
        <v>307</v>
      </c>
      <c r="CT1500" s="5" t="s">
        <v>307</v>
      </c>
      <c r="CU1500" s="5" t="s">
        <v>260</v>
      </c>
      <c r="CX1500" s="7">
        <f>1</f>
        <v>1</v>
      </c>
      <c r="CY1500" s="7">
        <f>0</f>
        <v>0</v>
      </c>
      <c r="DA1500" s="7">
        <f>0</f>
        <v>0</v>
      </c>
      <c r="DC1500" s="5" t="s">
        <v>812</v>
      </c>
      <c r="DD1500" s="5" t="s">
        <v>240</v>
      </c>
      <c r="DF1500" s="5" t="s">
        <v>812</v>
      </c>
      <c r="DG1500" s="7">
        <f>737</f>
        <v>737</v>
      </c>
      <c r="DI1500" s="5" t="s">
        <v>240</v>
      </c>
      <c r="DJ1500" s="5" t="s">
        <v>240</v>
      </c>
      <c r="DK1500" s="5" t="s">
        <v>240</v>
      </c>
      <c r="DL1500" s="5" t="s">
        <v>240</v>
      </c>
      <c r="DP1500" s="5" t="s">
        <v>240</v>
      </c>
      <c r="DQ1500" s="5" t="s">
        <v>240</v>
      </c>
      <c r="DR1500" s="5" t="s">
        <v>240</v>
      </c>
      <c r="DS1500" s="5" t="s">
        <v>240</v>
      </c>
      <c r="DV1500" s="5" t="s">
        <v>813</v>
      </c>
      <c r="DW1500" s="5" t="s">
        <v>3130</v>
      </c>
      <c r="HO1500" s="5" t="s">
        <v>312</v>
      </c>
    </row>
    <row r="1501" spans="1:223" x14ac:dyDescent="0.4">
      <c r="A1501" s="5">
        <v>3176</v>
      </c>
      <c r="B1501" s="5">
        <v>1</v>
      </c>
      <c r="C1501" s="5">
        <v>1</v>
      </c>
      <c r="D1501" s="5" t="s">
        <v>297</v>
      </c>
      <c r="E1501" s="5" t="s">
        <v>245</v>
      </c>
      <c r="F1501" s="5" t="s">
        <v>254</v>
      </c>
      <c r="G1501" s="5" t="s">
        <v>240</v>
      </c>
      <c r="H1501" s="6" t="s">
        <v>4684</v>
      </c>
      <c r="I1501" s="5" t="s">
        <v>295</v>
      </c>
      <c r="J1501" s="8">
        <f>6872</f>
        <v>6872</v>
      </c>
      <c r="K1501" s="5" t="s">
        <v>308</v>
      </c>
      <c r="L1501" s="7">
        <f>1</f>
        <v>1</v>
      </c>
      <c r="M1501" s="7">
        <f>1</f>
        <v>1</v>
      </c>
      <c r="N1501" s="5" t="s">
        <v>242</v>
      </c>
      <c r="O1501" s="5">
        <v>1</v>
      </c>
      <c r="P1501" s="5" t="s">
        <v>294</v>
      </c>
      <c r="Q1501" s="5" t="s">
        <v>266</v>
      </c>
      <c r="R1501" s="5" t="s">
        <v>240</v>
      </c>
      <c r="S1501" s="5" t="s">
        <v>240</v>
      </c>
      <c r="T1501" s="5" t="s">
        <v>296</v>
      </c>
      <c r="U1501" s="5" t="s">
        <v>244</v>
      </c>
      <c r="V1501" s="5" t="s">
        <v>240</v>
      </c>
      <c r="Y1501" s="5" t="s">
        <v>240</v>
      </c>
      <c r="Z1501" s="6" t="s">
        <v>298</v>
      </c>
      <c r="AB1501" s="6" t="s">
        <v>240</v>
      </c>
      <c r="AE1501" s="6" t="s">
        <v>299</v>
      </c>
      <c r="AF1501" s="5" t="s">
        <v>248</v>
      </c>
      <c r="AG1501" s="5" t="s">
        <v>249</v>
      </c>
      <c r="AW1501" s="5" t="s">
        <v>251</v>
      </c>
      <c r="AX1501" s="5" t="s">
        <v>240</v>
      </c>
      <c r="AY1501" s="5" t="s">
        <v>253</v>
      </c>
      <c r="AZ1501" s="5" t="s">
        <v>240</v>
      </c>
      <c r="BA1501" s="5" t="s">
        <v>255</v>
      </c>
      <c r="BB1501" s="5" t="s">
        <v>240</v>
      </c>
      <c r="BD1501" s="5" t="s">
        <v>240</v>
      </c>
      <c r="BF1501" s="5" t="s">
        <v>301</v>
      </c>
      <c r="BG1501" s="6" t="s">
        <v>299</v>
      </c>
      <c r="BH1501" s="5" t="s">
        <v>302</v>
      </c>
      <c r="BI1501" s="5" t="s">
        <v>303</v>
      </c>
      <c r="BJ1501" s="5" t="s">
        <v>240</v>
      </c>
      <c r="BK1501" s="8">
        <f>0</f>
        <v>0</v>
      </c>
      <c r="BL1501" s="7">
        <f>0</f>
        <v>0</v>
      </c>
      <c r="BM1501" s="5" t="s">
        <v>258</v>
      </c>
      <c r="BN1501" s="5" t="s">
        <v>259</v>
      </c>
      <c r="CB1501" s="5" t="s">
        <v>240</v>
      </c>
      <c r="CC1501" s="5" t="s">
        <v>240</v>
      </c>
      <c r="CG1501" s="5" t="s">
        <v>304</v>
      </c>
      <c r="CH1501" s="5" t="s">
        <v>305</v>
      </c>
      <c r="CI1501" s="5" t="s">
        <v>240</v>
      </c>
      <c r="CL1501" s="6" t="s">
        <v>261</v>
      </c>
      <c r="CM1501" s="5" t="s">
        <v>240</v>
      </c>
      <c r="CN1501" s="5" t="s">
        <v>263</v>
      </c>
      <c r="CO1501" s="5" t="s">
        <v>240</v>
      </c>
      <c r="CP1501" s="5" t="s">
        <v>240</v>
      </c>
      <c r="CQ1501" s="5">
        <v>0</v>
      </c>
      <c r="CR1501" s="5" t="s">
        <v>306</v>
      </c>
      <c r="CS1501" s="5" t="s">
        <v>307</v>
      </c>
      <c r="CT1501" s="5" t="s">
        <v>307</v>
      </c>
      <c r="CU1501" s="5" t="s">
        <v>260</v>
      </c>
      <c r="CX1501" s="7">
        <f>1</f>
        <v>1</v>
      </c>
      <c r="CY1501" s="7">
        <f>0</f>
        <v>0</v>
      </c>
      <c r="DA1501" s="7">
        <f>0</f>
        <v>0</v>
      </c>
      <c r="DC1501" s="5" t="s">
        <v>812</v>
      </c>
      <c r="DD1501" s="5" t="s">
        <v>240</v>
      </c>
      <c r="DF1501" s="5" t="s">
        <v>812</v>
      </c>
      <c r="DG1501" s="7">
        <f>952</f>
        <v>952</v>
      </c>
      <c r="DI1501" s="5" t="s">
        <v>240</v>
      </c>
      <c r="DJ1501" s="5" t="s">
        <v>240</v>
      </c>
      <c r="DK1501" s="5" t="s">
        <v>240</v>
      </c>
      <c r="DL1501" s="5" t="s">
        <v>240</v>
      </c>
      <c r="DP1501" s="5" t="s">
        <v>240</v>
      </c>
      <c r="DQ1501" s="5" t="s">
        <v>240</v>
      </c>
      <c r="DR1501" s="5" t="s">
        <v>240</v>
      </c>
      <c r="DS1501" s="5" t="s">
        <v>240</v>
      </c>
      <c r="DV1501" s="5" t="s">
        <v>813</v>
      </c>
      <c r="DW1501" s="5" t="s">
        <v>3132</v>
      </c>
      <c r="HO1501" s="5" t="s">
        <v>312</v>
      </c>
    </row>
    <row r="1502" spans="1:223" x14ac:dyDescent="0.4">
      <c r="A1502" s="5">
        <v>3177</v>
      </c>
      <c r="B1502" s="5">
        <v>1</v>
      </c>
      <c r="C1502" s="5">
        <v>1</v>
      </c>
      <c r="D1502" s="5" t="s">
        <v>297</v>
      </c>
      <c r="E1502" s="5" t="s">
        <v>245</v>
      </c>
      <c r="F1502" s="5" t="s">
        <v>254</v>
      </c>
      <c r="G1502" s="5" t="s">
        <v>240</v>
      </c>
      <c r="H1502" s="6" t="s">
        <v>4682</v>
      </c>
      <c r="I1502" s="5" t="s">
        <v>295</v>
      </c>
      <c r="J1502" s="8">
        <f>373</f>
        <v>373</v>
      </c>
      <c r="K1502" s="5" t="s">
        <v>308</v>
      </c>
      <c r="L1502" s="7">
        <f>1</f>
        <v>1</v>
      </c>
      <c r="M1502" s="7">
        <f>1</f>
        <v>1</v>
      </c>
      <c r="N1502" s="5" t="s">
        <v>242</v>
      </c>
      <c r="O1502" s="5">
        <v>1</v>
      </c>
      <c r="P1502" s="5" t="s">
        <v>294</v>
      </c>
      <c r="Q1502" s="5" t="s">
        <v>266</v>
      </c>
      <c r="R1502" s="5" t="s">
        <v>240</v>
      </c>
      <c r="S1502" s="5" t="s">
        <v>240</v>
      </c>
      <c r="T1502" s="5" t="s">
        <v>296</v>
      </c>
      <c r="U1502" s="5" t="s">
        <v>244</v>
      </c>
      <c r="V1502" s="5" t="s">
        <v>240</v>
      </c>
      <c r="Y1502" s="5" t="s">
        <v>240</v>
      </c>
      <c r="Z1502" s="6" t="s">
        <v>298</v>
      </c>
      <c r="AB1502" s="6" t="s">
        <v>240</v>
      </c>
      <c r="AE1502" s="6" t="s">
        <v>299</v>
      </c>
      <c r="AF1502" s="5" t="s">
        <v>248</v>
      </c>
      <c r="AG1502" s="5" t="s">
        <v>249</v>
      </c>
      <c r="AW1502" s="5" t="s">
        <v>251</v>
      </c>
      <c r="AX1502" s="5" t="s">
        <v>240</v>
      </c>
      <c r="AY1502" s="5" t="s">
        <v>253</v>
      </c>
      <c r="AZ1502" s="5" t="s">
        <v>240</v>
      </c>
      <c r="BA1502" s="5" t="s">
        <v>255</v>
      </c>
      <c r="BB1502" s="5" t="s">
        <v>240</v>
      </c>
      <c r="BD1502" s="5" t="s">
        <v>240</v>
      </c>
      <c r="BF1502" s="5" t="s">
        <v>301</v>
      </c>
      <c r="BG1502" s="6" t="s">
        <v>299</v>
      </c>
      <c r="BH1502" s="5" t="s">
        <v>302</v>
      </c>
      <c r="BI1502" s="5" t="s">
        <v>303</v>
      </c>
      <c r="BJ1502" s="5" t="s">
        <v>240</v>
      </c>
      <c r="BK1502" s="8">
        <f>0</f>
        <v>0</v>
      </c>
      <c r="BL1502" s="7">
        <f>0</f>
        <v>0</v>
      </c>
      <c r="BM1502" s="5" t="s">
        <v>258</v>
      </c>
      <c r="BN1502" s="5" t="s">
        <v>259</v>
      </c>
      <c r="CB1502" s="5" t="s">
        <v>240</v>
      </c>
      <c r="CC1502" s="5" t="s">
        <v>240</v>
      </c>
      <c r="CG1502" s="5" t="s">
        <v>304</v>
      </c>
      <c r="CH1502" s="5" t="s">
        <v>305</v>
      </c>
      <c r="CI1502" s="5" t="s">
        <v>240</v>
      </c>
      <c r="CL1502" s="6" t="s">
        <v>261</v>
      </c>
      <c r="CM1502" s="5" t="s">
        <v>240</v>
      </c>
      <c r="CN1502" s="5" t="s">
        <v>263</v>
      </c>
      <c r="CO1502" s="5" t="s">
        <v>240</v>
      </c>
      <c r="CP1502" s="5" t="s">
        <v>240</v>
      </c>
      <c r="CQ1502" s="5">
        <v>0</v>
      </c>
      <c r="CR1502" s="5" t="s">
        <v>306</v>
      </c>
      <c r="CS1502" s="5" t="s">
        <v>307</v>
      </c>
      <c r="CT1502" s="5" t="s">
        <v>307</v>
      </c>
      <c r="CU1502" s="5" t="s">
        <v>260</v>
      </c>
      <c r="CX1502" s="7">
        <f>1</f>
        <v>1</v>
      </c>
      <c r="CY1502" s="7">
        <f>0</f>
        <v>0</v>
      </c>
      <c r="DA1502" s="7">
        <f>0</f>
        <v>0</v>
      </c>
      <c r="DC1502" s="5" t="s">
        <v>812</v>
      </c>
      <c r="DD1502" s="5" t="s">
        <v>240</v>
      </c>
      <c r="DF1502" s="5" t="s">
        <v>812</v>
      </c>
      <c r="DG1502" s="7">
        <f>2234</f>
        <v>2234</v>
      </c>
      <c r="DI1502" s="5" t="s">
        <v>240</v>
      </c>
      <c r="DJ1502" s="5" t="s">
        <v>240</v>
      </c>
      <c r="DK1502" s="5" t="s">
        <v>240</v>
      </c>
      <c r="DL1502" s="5" t="s">
        <v>240</v>
      </c>
      <c r="DP1502" s="5" t="s">
        <v>240</v>
      </c>
      <c r="DQ1502" s="5" t="s">
        <v>240</v>
      </c>
      <c r="DR1502" s="5" t="s">
        <v>240</v>
      </c>
      <c r="DS1502" s="5" t="s">
        <v>240</v>
      </c>
      <c r="DV1502" s="5" t="s">
        <v>813</v>
      </c>
      <c r="DW1502" s="5" t="s">
        <v>3134</v>
      </c>
      <c r="HO1502" s="5" t="s">
        <v>312</v>
      </c>
    </row>
    <row r="1503" spans="1:223" x14ac:dyDescent="0.4">
      <c r="A1503" s="5">
        <v>3178</v>
      </c>
      <c r="B1503" s="5">
        <v>1</v>
      </c>
      <c r="C1503" s="5">
        <v>1</v>
      </c>
      <c r="D1503" s="5" t="s">
        <v>297</v>
      </c>
      <c r="E1503" s="5" t="s">
        <v>245</v>
      </c>
      <c r="F1503" s="5" t="s">
        <v>254</v>
      </c>
      <c r="G1503" s="5" t="s">
        <v>240</v>
      </c>
      <c r="H1503" s="6" t="s">
        <v>4681</v>
      </c>
      <c r="I1503" s="5" t="s">
        <v>295</v>
      </c>
      <c r="J1503" s="8">
        <f>5833</f>
        <v>5833</v>
      </c>
      <c r="K1503" s="5" t="s">
        <v>308</v>
      </c>
      <c r="L1503" s="7">
        <f>1</f>
        <v>1</v>
      </c>
      <c r="M1503" s="7">
        <f>1</f>
        <v>1</v>
      </c>
      <c r="N1503" s="5" t="s">
        <v>242</v>
      </c>
      <c r="O1503" s="5">
        <v>1</v>
      </c>
      <c r="P1503" s="5" t="s">
        <v>294</v>
      </c>
      <c r="Q1503" s="5" t="s">
        <v>266</v>
      </c>
      <c r="R1503" s="5" t="s">
        <v>240</v>
      </c>
      <c r="S1503" s="5" t="s">
        <v>240</v>
      </c>
      <c r="T1503" s="5" t="s">
        <v>296</v>
      </c>
      <c r="U1503" s="5" t="s">
        <v>244</v>
      </c>
      <c r="V1503" s="5" t="s">
        <v>240</v>
      </c>
      <c r="Y1503" s="5" t="s">
        <v>240</v>
      </c>
      <c r="Z1503" s="6" t="s">
        <v>298</v>
      </c>
      <c r="AB1503" s="6" t="s">
        <v>240</v>
      </c>
      <c r="AE1503" s="6" t="s">
        <v>299</v>
      </c>
      <c r="AF1503" s="5" t="s">
        <v>248</v>
      </c>
      <c r="AG1503" s="5" t="s">
        <v>249</v>
      </c>
      <c r="AW1503" s="5" t="s">
        <v>251</v>
      </c>
      <c r="AX1503" s="5" t="s">
        <v>240</v>
      </c>
      <c r="AY1503" s="5" t="s">
        <v>253</v>
      </c>
      <c r="AZ1503" s="5" t="s">
        <v>240</v>
      </c>
      <c r="BA1503" s="5" t="s">
        <v>255</v>
      </c>
      <c r="BB1503" s="5" t="s">
        <v>240</v>
      </c>
      <c r="BD1503" s="5" t="s">
        <v>240</v>
      </c>
      <c r="BF1503" s="5" t="s">
        <v>301</v>
      </c>
      <c r="BG1503" s="6" t="s">
        <v>299</v>
      </c>
      <c r="BH1503" s="5" t="s">
        <v>302</v>
      </c>
      <c r="BI1503" s="5" t="s">
        <v>303</v>
      </c>
      <c r="BJ1503" s="5" t="s">
        <v>240</v>
      </c>
      <c r="BK1503" s="8">
        <f>0</f>
        <v>0</v>
      </c>
      <c r="BL1503" s="7">
        <f>0</f>
        <v>0</v>
      </c>
      <c r="BM1503" s="5" t="s">
        <v>258</v>
      </c>
      <c r="BN1503" s="5" t="s">
        <v>259</v>
      </c>
      <c r="CB1503" s="5" t="s">
        <v>240</v>
      </c>
      <c r="CC1503" s="5" t="s">
        <v>240</v>
      </c>
      <c r="CG1503" s="5" t="s">
        <v>304</v>
      </c>
      <c r="CH1503" s="5" t="s">
        <v>305</v>
      </c>
      <c r="CI1503" s="5" t="s">
        <v>240</v>
      </c>
      <c r="CL1503" s="6" t="s">
        <v>261</v>
      </c>
      <c r="CM1503" s="5" t="s">
        <v>240</v>
      </c>
      <c r="CN1503" s="5" t="s">
        <v>263</v>
      </c>
      <c r="CO1503" s="5" t="s">
        <v>240</v>
      </c>
      <c r="CP1503" s="5" t="s">
        <v>240</v>
      </c>
      <c r="CQ1503" s="5">
        <v>0</v>
      </c>
      <c r="CR1503" s="5" t="s">
        <v>306</v>
      </c>
      <c r="CS1503" s="5" t="s">
        <v>307</v>
      </c>
      <c r="CT1503" s="5" t="s">
        <v>307</v>
      </c>
      <c r="CU1503" s="5" t="s">
        <v>260</v>
      </c>
      <c r="CX1503" s="7">
        <f>1</f>
        <v>1</v>
      </c>
      <c r="CY1503" s="7">
        <f>0</f>
        <v>0</v>
      </c>
      <c r="DA1503" s="7">
        <f>0</f>
        <v>0</v>
      </c>
      <c r="DC1503" s="5" t="s">
        <v>812</v>
      </c>
      <c r="DD1503" s="5" t="s">
        <v>240</v>
      </c>
      <c r="DF1503" s="5" t="s">
        <v>812</v>
      </c>
      <c r="DG1503" s="7">
        <f>1614</f>
        <v>1614</v>
      </c>
      <c r="DI1503" s="5" t="s">
        <v>240</v>
      </c>
      <c r="DJ1503" s="5" t="s">
        <v>240</v>
      </c>
      <c r="DK1503" s="5" t="s">
        <v>240</v>
      </c>
      <c r="DL1503" s="5" t="s">
        <v>240</v>
      </c>
      <c r="DP1503" s="5" t="s">
        <v>240</v>
      </c>
      <c r="DQ1503" s="5" t="s">
        <v>240</v>
      </c>
      <c r="DR1503" s="5" t="s">
        <v>240</v>
      </c>
      <c r="DS1503" s="5" t="s">
        <v>240</v>
      </c>
      <c r="DV1503" s="5" t="s">
        <v>813</v>
      </c>
      <c r="DW1503" s="5" t="s">
        <v>3136</v>
      </c>
      <c r="HO1503" s="5" t="s">
        <v>312</v>
      </c>
    </row>
    <row r="1504" spans="1:223" x14ac:dyDescent="0.4">
      <c r="A1504" s="5">
        <v>3179</v>
      </c>
      <c r="B1504" s="5">
        <v>1</v>
      </c>
      <c r="C1504" s="5">
        <v>1</v>
      </c>
      <c r="D1504" s="5" t="s">
        <v>297</v>
      </c>
      <c r="E1504" s="5" t="s">
        <v>245</v>
      </c>
      <c r="F1504" s="5" t="s">
        <v>254</v>
      </c>
      <c r="G1504" s="5" t="s">
        <v>240</v>
      </c>
      <c r="H1504" s="6" t="s">
        <v>4680</v>
      </c>
      <c r="I1504" s="5" t="s">
        <v>295</v>
      </c>
      <c r="J1504" s="8">
        <f>5366</f>
        <v>5366</v>
      </c>
      <c r="K1504" s="5" t="s">
        <v>308</v>
      </c>
      <c r="L1504" s="7">
        <f>1</f>
        <v>1</v>
      </c>
      <c r="M1504" s="7">
        <f>1</f>
        <v>1</v>
      </c>
      <c r="N1504" s="5" t="s">
        <v>242</v>
      </c>
      <c r="O1504" s="5">
        <v>1</v>
      </c>
      <c r="P1504" s="5" t="s">
        <v>294</v>
      </c>
      <c r="Q1504" s="5" t="s">
        <v>266</v>
      </c>
      <c r="R1504" s="5" t="s">
        <v>240</v>
      </c>
      <c r="S1504" s="5" t="s">
        <v>240</v>
      </c>
      <c r="T1504" s="5" t="s">
        <v>296</v>
      </c>
      <c r="U1504" s="5" t="s">
        <v>244</v>
      </c>
      <c r="V1504" s="5" t="s">
        <v>240</v>
      </c>
      <c r="Y1504" s="5" t="s">
        <v>240</v>
      </c>
      <c r="Z1504" s="6" t="s">
        <v>298</v>
      </c>
      <c r="AB1504" s="6" t="s">
        <v>240</v>
      </c>
      <c r="AE1504" s="6" t="s">
        <v>299</v>
      </c>
      <c r="AF1504" s="5" t="s">
        <v>248</v>
      </c>
      <c r="AG1504" s="5" t="s">
        <v>249</v>
      </c>
      <c r="AW1504" s="5" t="s">
        <v>251</v>
      </c>
      <c r="AX1504" s="5" t="s">
        <v>240</v>
      </c>
      <c r="AY1504" s="5" t="s">
        <v>253</v>
      </c>
      <c r="AZ1504" s="5" t="s">
        <v>240</v>
      </c>
      <c r="BA1504" s="5" t="s">
        <v>255</v>
      </c>
      <c r="BB1504" s="5" t="s">
        <v>240</v>
      </c>
      <c r="BD1504" s="5" t="s">
        <v>240</v>
      </c>
      <c r="BF1504" s="5" t="s">
        <v>301</v>
      </c>
      <c r="BG1504" s="6" t="s">
        <v>299</v>
      </c>
      <c r="BH1504" s="5" t="s">
        <v>302</v>
      </c>
      <c r="BI1504" s="5" t="s">
        <v>303</v>
      </c>
      <c r="BJ1504" s="5" t="s">
        <v>240</v>
      </c>
      <c r="BK1504" s="8">
        <f>0</f>
        <v>0</v>
      </c>
      <c r="BL1504" s="7">
        <f>0</f>
        <v>0</v>
      </c>
      <c r="BM1504" s="5" t="s">
        <v>258</v>
      </c>
      <c r="BN1504" s="5" t="s">
        <v>259</v>
      </c>
      <c r="CB1504" s="5" t="s">
        <v>240</v>
      </c>
      <c r="CC1504" s="5" t="s">
        <v>240</v>
      </c>
      <c r="CG1504" s="5" t="s">
        <v>304</v>
      </c>
      <c r="CH1504" s="5" t="s">
        <v>305</v>
      </c>
      <c r="CI1504" s="5" t="s">
        <v>240</v>
      </c>
      <c r="CL1504" s="6" t="s">
        <v>261</v>
      </c>
      <c r="CM1504" s="5" t="s">
        <v>240</v>
      </c>
      <c r="CN1504" s="5" t="s">
        <v>263</v>
      </c>
      <c r="CO1504" s="5" t="s">
        <v>240</v>
      </c>
      <c r="CP1504" s="5" t="s">
        <v>240</v>
      </c>
      <c r="CQ1504" s="5">
        <v>0</v>
      </c>
      <c r="CR1504" s="5" t="s">
        <v>306</v>
      </c>
      <c r="CS1504" s="5" t="s">
        <v>307</v>
      </c>
      <c r="CT1504" s="5" t="s">
        <v>307</v>
      </c>
      <c r="CU1504" s="5" t="s">
        <v>260</v>
      </c>
      <c r="CX1504" s="7">
        <f>1</f>
        <v>1</v>
      </c>
      <c r="CY1504" s="7">
        <f>0</f>
        <v>0</v>
      </c>
      <c r="DA1504" s="7">
        <f>0</f>
        <v>0</v>
      </c>
      <c r="DC1504" s="5" t="s">
        <v>812</v>
      </c>
      <c r="DD1504" s="5" t="s">
        <v>240</v>
      </c>
      <c r="DF1504" s="5" t="s">
        <v>812</v>
      </c>
      <c r="DG1504" s="7">
        <f>654</f>
        <v>654</v>
      </c>
      <c r="DI1504" s="5" t="s">
        <v>240</v>
      </c>
      <c r="DJ1504" s="5" t="s">
        <v>240</v>
      </c>
      <c r="DK1504" s="5" t="s">
        <v>240</v>
      </c>
      <c r="DL1504" s="5" t="s">
        <v>240</v>
      </c>
      <c r="DP1504" s="5" t="s">
        <v>240</v>
      </c>
      <c r="DQ1504" s="5" t="s">
        <v>240</v>
      </c>
      <c r="DR1504" s="5" t="s">
        <v>240</v>
      </c>
      <c r="DS1504" s="5" t="s">
        <v>240</v>
      </c>
      <c r="DV1504" s="5" t="s">
        <v>813</v>
      </c>
      <c r="DW1504" s="5" t="s">
        <v>3138</v>
      </c>
      <c r="HO1504" s="5" t="s">
        <v>312</v>
      </c>
    </row>
    <row r="1505" spans="1:240" x14ac:dyDescent="0.4">
      <c r="A1505" s="5">
        <v>3180</v>
      </c>
      <c r="B1505" s="5">
        <v>1</v>
      </c>
      <c r="C1505" s="5">
        <v>1</v>
      </c>
      <c r="D1505" s="5" t="s">
        <v>297</v>
      </c>
      <c r="E1505" s="5" t="s">
        <v>245</v>
      </c>
      <c r="F1505" s="5" t="s">
        <v>254</v>
      </c>
      <c r="G1505" s="5" t="s">
        <v>240</v>
      </c>
      <c r="H1505" s="6" t="s">
        <v>4679</v>
      </c>
      <c r="I1505" s="5" t="s">
        <v>295</v>
      </c>
      <c r="J1505" s="8">
        <f>1485</f>
        <v>1485</v>
      </c>
      <c r="K1505" s="5" t="s">
        <v>308</v>
      </c>
      <c r="L1505" s="7">
        <f>1</f>
        <v>1</v>
      </c>
      <c r="M1505" s="7">
        <f>1</f>
        <v>1</v>
      </c>
      <c r="N1505" s="5" t="s">
        <v>242</v>
      </c>
      <c r="O1505" s="5">
        <v>1</v>
      </c>
      <c r="P1505" s="5" t="s">
        <v>294</v>
      </c>
      <c r="Q1505" s="5" t="s">
        <v>266</v>
      </c>
      <c r="R1505" s="5" t="s">
        <v>240</v>
      </c>
      <c r="S1505" s="5" t="s">
        <v>240</v>
      </c>
      <c r="T1505" s="5" t="s">
        <v>296</v>
      </c>
      <c r="U1505" s="5" t="s">
        <v>244</v>
      </c>
      <c r="V1505" s="5" t="s">
        <v>240</v>
      </c>
      <c r="Y1505" s="5" t="s">
        <v>240</v>
      </c>
      <c r="Z1505" s="6" t="s">
        <v>298</v>
      </c>
      <c r="AB1505" s="6" t="s">
        <v>240</v>
      </c>
      <c r="AE1505" s="6" t="s">
        <v>299</v>
      </c>
      <c r="AF1505" s="5" t="s">
        <v>248</v>
      </c>
      <c r="AG1505" s="5" t="s">
        <v>249</v>
      </c>
      <c r="AW1505" s="5" t="s">
        <v>251</v>
      </c>
      <c r="AX1505" s="5" t="s">
        <v>240</v>
      </c>
      <c r="AY1505" s="5" t="s">
        <v>253</v>
      </c>
      <c r="AZ1505" s="5" t="s">
        <v>240</v>
      </c>
      <c r="BA1505" s="5" t="s">
        <v>255</v>
      </c>
      <c r="BB1505" s="5" t="s">
        <v>240</v>
      </c>
      <c r="BD1505" s="5" t="s">
        <v>240</v>
      </c>
      <c r="BF1505" s="5" t="s">
        <v>301</v>
      </c>
      <c r="BG1505" s="6" t="s">
        <v>299</v>
      </c>
      <c r="BH1505" s="5" t="s">
        <v>302</v>
      </c>
      <c r="BI1505" s="5" t="s">
        <v>303</v>
      </c>
      <c r="BJ1505" s="5" t="s">
        <v>240</v>
      </c>
      <c r="BK1505" s="8">
        <f>0</f>
        <v>0</v>
      </c>
      <c r="BL1505" s="7">
        <f>0</f>
        <v>0</v>
      </c>
      <c r="BM1505" s="5" t="s">
        <v>258</v>
      </c>
      <c r="BN1505" s="5" t="s">
        <v>259</v>
      </c>
      <c r="CB1505" s="5" t="s">
        <v>240</v>
      </c>
      <c r="CC1505" s="5" t="s">
        <v>240</v>
      </c>
      <c r="CG1505" s="5" t="s">
        <v>304</v>
      </c>
      <c r="CH1505" s="5" t="s">
        <v>305</v>
      </c>
      <c r="CI1505" s="5" t="s">
        <v>240</v>
      </c>
      <c r="CL1505" s="6" t="s">
        <v>261</v>
      </c>
      <c r="CM1505" s="5" t="s">
        <v>240</v>
      </c>
      <c r="CN1505" s="5" t="s">
        <v>263</v>
      </c>
      <c r="CO1505" s="5" t="s">
        <v>240</v>
      </c>
      <c r="CP1505" s="5" t="s">
        <v>240</v>
      </c>
      <c r="CQ1505" s="5">
        <v>0</v>
      </c>
      <c r="CR1505" s="5" t="s">
        <v>306</v>
      </c>
      <c r="CS1505" s="5" t="s">
        <v>307</v>
      </c>
      <c r="CT1505" s="5" t="s">
        <v>307</v>
      </c>
      <c r="CU1505" s="5" t="s">
        <v>260</v>
      </c>
      <c r="CX1505" s="7">
        <f>1</f>
        <v>1</v>
      </c>
      <c r="CY1505" s="7">
        <f>0</f>
        <v>0</v>
      </c>
      <c r="DA1505" s="7">
        <f>0</f>
        <v>0</v>
      </c>
      <c r="DC1505" s="5" t="s">
        <v>812</v>
      </c>
      <c r="DD1505" s="5" t="s">
        <v>240</v>
      </c>
      <c r="DF1505" s="5" t="s">
        <v>812</v>
      </c>
      <c r="DG1505" s="7">
        <f>1397</f>
        <v>1397</v>
      </c>
      <c r="DI1505" s="5" t="s">
        <v>240</v>
      </c>
      <c r="DJ1505" s="5" t="s">
        <v>240</v>
      </c>
      <c r="DK1505" s="5" t="s">
        <v>240</v>
      </c>
      <c r="DL1505" s="5" t="s">
        <v>240</v>
      </c>
      <c r="DP1505" s="5" t="s">
        <v>240</v>
      </c>
      <c r="DQ1505" s="5" t="s">
        <v>240</v>
      </c>
      <c r="DR1505" s="5" t="s">
        <v>240</v>
      </c>
      <c r="DS1505" s="5" t="s">
        <v>240</v>
      </c>
      <c r="DV1505" s="5" t="s">
        <v>813</v>
      </c>
      <c r="DW1505" s="5" t="s">
        <v>3140</v>
      </c>
      <c r="HO1505" s="5" t="s">
        <v>312</v>
      </c>
    </row>
    <row r="1506" spans="1:240" x14ac:dyDescent="0.4">
      <c r="A1506" s="5">
        <v>3181</v>
      </c>
      <c r="B1506" s="5">
        <v>1</v>
      </c>
      <c r="C1506" s="5">
        <v>1</v>
      </c>
      <c r="D1506" s="5" t="s">
        <v>297</v>
      </c>
      <c r="E1506" s="5" t="s">
        <v>245</v>
      </c>
      <c r="F1506" s="5" t="s">
        <v>254</v>
      </c>
      <c r="G1506" s="5" t="s">
        <v>240</v>
      </c>
      <c r="H1506" s="6" t="s">
        <v>5783</v>
      </c>
      <c r="I1506" s="5" t="s">
        <v>295</v>
      </c>
      <c r="J1506" s="8">
        <f>3606</f>
        <v>3606</v>
      </c>
      <c r="K1506" s="5" t="s">
        <v>308</v>
      </c>
      <c r="L1506" s="7">
        <f>1</f>
        <v>1</v>
      </c>
      <c r="M1506" s="7">
        <f>1</f>
        <v>1</v>
      </c>
      <c r="N1506" s="5" t="s">
        <v>242</v>
      </c>
      <c r="O1506" s="5">
        <v>1</v>
      </c>
      <c r="P1506" s="5" t="s">
        <v>294</v>
      </c>
      <c r="Q1506" s="5" t="s">
        <v>266</v>
      </c>
      <c r="R1506" s="5" t="s">
        <v>240</v>
      </c>
      <c r="S1506" s="5" t="s">
        <v>240</v>
      </c>
      <c r="T1506" s="5" t="s">
        <v>296</v>
      </c>
      <c r="U1506" s="5" t="s">
        <v>244</v>
      </c>
      <c r="V1506" s="5" t="s">
        <v>240</v>
      </c>
      <c r="Y1506" s="5" t="s">
        <v>240</v>
      </c>
      <c r="Z1506" s="6" t="s">
        <v>298</v>
      </c>
      <c r="AB1506" s="6" t="s">
        <v>240</v>
      </c>
      <c r="AE1506" s="6" t="s">
        <v>299</v>
      </c>
      <c r="AF1506" s="5" t="s">
        <v>248</v>
      </c>
      <c r="AG1506" s="5" t="s">
        <v>249</v>
      </c>
      <c r="AW1506" s="5" t="s">
        <v>251</v>
      </c>
      <c r="AX1506" s="5" t="s">
        <v>240</v>
      </c>
      <c r="AY1506" s="5" t="s">
        <v>253</v>
      </c>
      <c r="AZ1506" s="5" t="s">
        <v>240</v>
      </c>
      <c r="BA1506" s="5" t="s">
        <v>255</v>
      </c>
      <c r="BB1506" s="5" t="s">
        <v>240</v>
      </c>
      <c r="BD1506" s="5" t="s">
        <v>240</v>
      </c>
      <c r="BF1506" s="5" t="s">
        <v>301</v>
      </c>
      <c r="BG1506" s="6" t="s">
        <v>299</v>
      </c>
      <c r="BH1506" s="5" t="s">
        <v>302</v>
      </c>
      <c r="BI1506" s="5" t="s">
        <v>303</v>
      </c>
      <c r="BJ1506" s="5" t="s">
        <v>240</v>
      </c>
      <c r="BK1506" s="8">
        <f>0</f>
        <v>0</v>
      </c>
      <c r="BL1506" s="7">
        <f>0</f>
        <v>0</v>
      </c>
      <c r="BM1506" s="5" t="s">
        <v>258</v>
      </c>
      <c r="BN1506" s="5" t="s">
        <v>259</v>
      </c>
      <c r="CB1506" s="5" t="s">
        <v>240</v>
      </c>
      <c r="CC1506" s="5" t="s">
        <v>240</v>
      </c>
      <c r="CG1506" s="5" t="s">
        <v>304</v>
      </c>
      <c r="CH1506" s="5" t="s">
        <v>305</v>
      </c>
      <c r="CI1506" s="5" t="s">
        <v>240</v>
      </c>
      <c r="CL1506" s="6" t="s">
        <v>261</v>
      </c>
      <c r="CM1506" s="5" t="s">
        <v>240</v>
      </c>
      <c r="CN1506" s="5" t="s">
        <v>263</v>
      </c>
      <c r="CO1506" s="5" t="s">
        <v>240</v>
      </c>
      <c r="CP1506" s="5" t="s">
        <v>240</v>
      </c>
      <c r="CQ1506" s="5">
        <v>0</v>
      </c>
      <c r="CR1506" s="5" t="s">
        <v>306</v>
      </c>
      <c r="CS1506" s="5" t="s">
        <v>307</v>
      </c>
      <c r="CT1506" s="5" t="s">
        <v>307</v>
      </c>
      <c r="CU1506" s="5" t="s">
        <v>260</v>
      </c>
      <c r="CX1506" s="7">
        <f>1</f>
        <v>1</v>
      </c>
      <c r="CY1506" s="7">
        <f>0</f>
        <v>0</v>
      </c>
      <c r="DA1506" s="7">
        <f>0</f>
        <v>0</v>
      </c>
      <c r="DC1506" s="5" t="s">
        <v>812</v>
      </c>
      <c r="DD1506" s="5" t="s">
        <v>240</v>
      </c>
      <c r="DF1506" s="5" t="s">
        <v>812</v>
      </c>
      <c r="DG1506" s="7">
        <f>1453</f>
        <v>1453</v>
      </c>
      <c r="DI1506" s="5" t="s">
        <v>240</v>
      </c>
      <c r="DJ1506" s="5" t="s">
        <v>240</v>
      </c>
      <c r="DK1506" s="5" t="s">
        <v>240</v>
      </c>
      <c r="DL1506" s="5" t="s">
        <v>240</v>
      </c>
      <c r="DP1506" s="5" t="s">
        <v>240</v>
      </c>
      <c r="DQ1506" s="5" t="s">
        <v>240</v>
      </c>
      <c r="DR1506" s="5" t="s">
        <v>240</v>
      </c>
      <c r="DS1506" s="5" t="s">
        <v>240</v>
      </c>
      <c r="DV1506" s="5" t="s">
        <v>813</v>
      </c>
      <c r="DW1506" s="5" t="s">
        <v>3142</v>
      </c>
      <c r="HO1506" s="5" t="s">
        <v>312</v>
      </c>
    </row>
    <row r="1507" spans="1:240" x14ac:dyDescent="0.4">
      <c r="A1507" s="5">
        <v>3182</v>
      </c>
      <c r="B1507" s="5">
        <v>1</v>
      </c>
      <c r="C1507" s="5">
        <v>1</v>
      </c>
      <c r="D1507" s="5" t="s">
        <v>297</v>
      </c>
      <c r="E1507" s="5" t="s">
        <v>245</v>
      </c>
      <c r="F1507" s="5" t="s">
        <v>254</v>
      </c>
      <c r="G1507" s="5" t="s">
        <v>240</v>
      </c>
      <c r="H1507" s="6" t="s">
        <v>4676</v>
      </c>
      <c r="I1507" s="5" t="s">
        <v>295</v>
      </c>
      <c r="J1507" s="8">
        <f>2919</f>
        <v>2919</v>
      </c>
      <c r="K1507" s="5" t="s">
        <v>308</v>
      </c>
      <c r="L1507" s="7">
        <f>1</f>
        <v>1</v>
      </c>
      <c r="M1507" s="7">
        <f>1</f>
        <v>1</v>
      </c>
      <c r="N1507" s="5" t="s">
        <v>242</v>
      </c>
      <c r="O1507" s="5">
        <v>1</v>
      </c>
      <c r="P1507" s="5" t="s">
        <v>294</v>
      </c>
      <c r="Q1507" s="5" t="s">
        <v>266</v>
      </c>
      <c r="R1507" s="5" t="s">
        <v>240</v>
      </c>
      <c r="S1507" s="5" t="s">
        <v>240</v>
      </c>
      <c r="T1507" s="5" t="s">
        <v>296</v>
      </c>
      <c r="U1507" s="5" t="s">
        <v>244</v>
      </c>
      <c r="V1507" s="5" t="s">
        <v>240</v>
      </c>
      <c r="Y1507" s="5" t="s">
        <v>240</v>
      </c>
      <c r="Z1507" s="6" t="s">
        <v>298</v>
      </c>
      <c r="AB1507" s="6" t="s">
        <v>240</v>
      </c>
      <c r="AE1507" s="6" t="s">
        <v>299</v>
      </c>
      <c r="AF1507" s="5" t="s">
        <v>248</v>
      </c>
      <c r="AG1507" s="5" t="s">
        <v>249</v>
      </c>
      <c r="AW1507" s="5" t="s">
        <v>251</v>
      </c>
      <c r="AX1507" s="5" t="s">
        <v>240</v>
      </c>
      <c r="AY1507" s="5" t="s">
        <v>253</v>
      </c>
      <c r="AZ1507" s="5" t="s">
        <v>240</v>
      </c>
      <c r="BA1507" s="5" t="s">
        <v>255</v>
      </c>
      <c r="BB1507" s="5" t="s">
        <v>240</v>
      </c>
      <c r="BD1507" s="5" t="s">
        <v>240</v>
      </c>
      <c r="BF1507" s="5" t="s">
        <v>301</v>
      </c>
      <c r="BG1507" s="6" t="s">
        <v>299</v>
      </c>
      <c r="BH1507" s="5" t="s">
        <v>302</v>
      </c>
      <c r="BI1507" s="5" t="s">
        <v>303</v>
      </c>
      <c r="BJ1507" s="5" t="s">
        <v>240</v>
      </c>
      <c r="BK1507" s="8">
        <f>0</f>
        <v>0</v>
      </c>
      <c r="BL1507" s="7">
        <f>0</f>
        <v>0</v>
      </c>
      <c r="BM1507" s="5" t="s">
        <v>258</v>
      </c>
      <c r="BN1507" s="5" t="s">
        <v>259</v>
      </c>
      <c r="CB1507" s="5" t="s">
        <v>240</v>
      </c>
      <c r="CC1507" s="5" t="s">
        <v>240</v>
      </c>
      <c r="CG1507" s="5" t="s">
        <v>304</v>
      </c>
      <c r="CH1507" s="5" t="s">
        <v>305</v>
      </c>
      <c r="CI1507" s="5" t="s">
        <v>240</v>
      </c>
      <c r="CL1507" s="6" t="s">
        <v>261</v>
      </c>
      <c r="CM1507" s="5" t="s">
        <v>240</v>
      </c>
      <c r="CN1507" s="5" t="s">
        <v>263</v>
      </c>
      <c r="CO1507" s="5" t="s">
        <v>240</v>
      </c>
      <c r="CP1507" s="5" t="s">
        <v>240</v>
      </c>
      <c r="CQ1507" s="5">
        <v>0</v>
      </c>
      <c r="CR1507" s="5" t="s">
        <v>306</v>
      </c>
      <c r="CS1507" s="5" t="s">
        <v>307</v>
      </c>
      <c r="CT1507" s="5" t="s">
        <v>307</v>
      </c>
      <c r="CU1507" s="5" t="s">
        <v>260</v>
      </c>
      <c r="CX1507" s="7">
        <f>1</f>
        <v>1</v>
      </c>
      <c r="CY1507" s="7">
        <f>0</f>
        <v>0</v>
      </c>
      <c r="DA1507" s="7">
        <f>0</f>
        <v>0</v>
      </c>
      <c r="DC1507" s="5" t="s">
        <v>812</v>
      </c>
      <c r="DD1507" s="5" t="s">
        <v>240</v>
      </c>
      <c r="DF1507" s="5" t="s">
        <v>812</v>
      </c>
      <c r="DG1507" s="7">
        <f>833</f>
        <v>833</v>
      </c>
      <c r="DI1507" s="5" t="s">
        <v>240</v>
      </c>
      <c r="DJ1507" s="5" t="s">
        <v>240</v>
      </c>
      <c r="DK1507" s="5" t="s">
        <v>240</v>
      </c>
      <c r="DL1507" s="5" t="s">
        <v>240</v>
      </c>
      <c r="DP1507" s="5" t="s">
        <v>240</v>
      </c>
      <c r="DQ1507" s="5" t="s">
        <v>240</v>
      </c>
      <c r="DR1507" s="5" t="s">
        <v>240</v>
      </c>
      <c r="DS1507" s="5" t="s">
        <v>240</v>
      </c>
      <c r="DV1507" s="5" t="s">
        <v>813</v>
      </c>
      <c r="DW1507" s="5" t="s">
        <v>3144</v>
      </c>
      <c r="HO1507" s="5" t="s">
        <v>312</v>
      </c>
    </row>
    <row r="1508" spans="1:240" x14ac:dyDescent="0.4">
      <c r="A1508" s="5">
        <v>3183</v>
      </c>
      <c r="B1508" s="5">
        <v>1</v>
      </c>
      <c r="C1508" s="5">
        <v>1</v>
      </c>
      <c r="D1508" s="5" t="s">
        <v>297</v>
      </c>
      <c r="E1508" s="5" t="s">
        <v>245</v>
      </c>
      <c r="F1508" s="5" t="s">
        <v>254</v>
      </c>
      <c r="G1508" s="5" t="s">
        <v>240</v>
      </c>
      <c r="H1508" s="6" t="s">
        <v>5782</v>
      </c>
      <c r="I1508" s="5" t="s">
        <v>295</v>
      </c>
      <c r="J1508" s="8">
        <f>3253</f>
        <v>3253</v>
      </c>
      <c r="K1508" s="5" t="s">
        <v>308</v>
      </c>
      <c r="L1508" s="7">
        <f>1</f>
        <v>1</v>
      </c>
      <c r="M1508" s="7">
        <f>1</f>
        <v>1</v>
      </c>
      <c r="N1508" s="5" t="s">
        <v>242</v>
      </c>
      <c r="O1508" s="5">
        <v>1</v>
      </c>
      <c r="P1508" s="5" t="s">
        <v>294</v>
      </c>
      <c r="Q1508" s="5" t="s">
        <v>266</v>
      </c>
      <c r="R1508" s="5" t="s">
        <v>240</v>
      </c>
      <c r="S1508" s="5" t="s">
        <v>240</v>
      </c>
      <c r="T1508" s="5" t="s">
        <v>296</v>
      </c>
      <c r="U1508" s="5" t="s">
        <v>244</v>
      </c>
      <c r="V1508" s="5" t="s">
        <v>240</v>
      </c>
      <c r="Y1508" s="5" t="s">
        <v>240</v>
      </c>
      <c r="Z1508" s="6" t="s">
        <v>298</v>
      </c>
      <c r="AB1508" s="6" t="s">
        <v>240</v>
      </c>
      <c r="AE1508" s="6" t="s">
        <v>299</v>
      </c>
      <c r="AF1508" s="5" t="s">
        <v>248</v>
      </c>
      <c r="AG1508" s="5" t="s">
        <v>249</v>
      </c>
      <c r="AW1508" s="5" t="s">
        <v>251</v>
      </c>
      <c r="AX1508" s="5" t="s">
        <v>240</v>
      </c>
      <c r="AY1508" s="5" t="s">
        <v>253</v>
      </c>
      <c r="AZ1508" s="5" t="s">
        <v>240</v>
      </c>
      <c r="BA1508" s="5" t="s">
        <v>255</v>
      </c>
      <c r="BB1508" s="5" t="s">
        <v>240</v>
      </c>
      <c r="BD1508" s="5" t="s">
        <v>240</v>
      </c>
      <c r="BF1508" s="5" t="s">
        <v>301</v>
      </c>
      <c r="BG1508" s="6" t="s">
        <v>299</v>
      </c>
      <c r="BH1508" s="5" t="s">
        <v>302</v>
      </c>
      <c r="BI1508" s="5" t="s">
        <v>303</v>
      </c>
      <c r="BJ1508" s="5" t="s">
        <v>240</v>
      </c>
      <c r="BK1508" s="8">
        <f>0</f>
        <v>0</v>
      </c>
      <c r="BL1508" s="7">
        <f>0</f>
        <v>0</v>
      </c>
      <c r="BM1508" s="5" t="s">
        <v>258</v>
      </c>
      <c r="BN1508" s="5" t="s">
        <v>259</v>
      </c>
      <c r="CB1508" s="5" t="s">
        <v>240</v>
      </c>
      <c r="CC1508" s="5" t="s">
        <v>240</v>
      </c>
      <c r="CG1508" s="5" t="s">
        <v>304</v>
      </c>
      <c r="CH1508" s="5" t="s">
        <v>305</v>
      </c>
      <c r="CI1508" s="5" t="s">
        <v>240</v>
      </c>
      <c r="CL1508" s="6" t="s">
        <v>261</v>
      </c>
      <c r="CM1508" s="5" t="s">
        <v>240</v>
      </c>
      <c r="CN1508" s="5" t="s">
        <v>263</v>
      </c>
      <c r="CO1508" s="5" t="s">
        <v>240</v>
      </c>
      <c r="CP1508" s="5" t="s">
        <v>240</v>
      </c>
      <c r="CQ1508" s="5">
        <v>0</v>
      </c>
      <c r="CR1508" s="5" t="s">
        <v>306</v>
      </c>
      <c r="CS1508" s="5" t="s">
        <v>307</v>
      </c>
      <c r="CT1508" s="5" t="s">
        <v>307</v>
      </c>
      <c r="CU1508" s="5" t="s">
        <v>260</v>
      </c>
      <c r="CX1508" s="7">
        <f>1</f>
        <v>1</v>
      </c>
      <c r="CY1508" s="7">
        <f>0</f>
        <v>0</v>
      </c>
      <c r="DA1508" s="7">
        <f>0</f>
        <v>0</v>
      </c>
      <c r="DC1508" s="5" t="s">
        <v>812</v>
      </c>
      <c r="DD1508" s="5" t="s">
        <v>240</v>
      </c>
      <c r="DF1508" s="5" t="s">
        <v>812</v>
      </c>
      <c r="DG1508" s="7">
        <f>770</f>
        <v>770</v>
      </c>
      <c r="DI1508" s="5" t="s">
        <v>240</v>
      </c>
      <c r="DJ1508" s="5" t="s">
        <v>240</v>
      </c>
      <c r="DK1508" s="5" t="s">
        <v>240</v>
      </c>
      <c r="DL1508" s="5" t="s">
        <v>240</v>
      </c>
      <c r="DP1508" s="5" t="s">
        <v>240</v>
      </c>
      <c r="DQ1508" s="5" t="s">
        <v>240</v>
      </c>
      <c r="DR1508" s="5" t="s">
        <v>240</v>
      </c>
      <c r="DS1508" s="5" t="s">
        <v>240</v>
      </c>
      <c r="DV1508" s="5" t="s">
        <v>813</v>
      </c>
      <c r="DW1508" s="5" t="s">
        <v>3146</v>
      </c>
      <c r="HO1508" s="5" t="s">
        <v>312</v>
      </c>
    </row>
    <row r="1509" spans="1:240" x14ac:dyDescent="0.4">
      <c r="A1509" s="5">
        <v>3184</v>
      </c>
      <c r="B1509" s="5">
        <v>1</v>
      </c>
      <c r="C1509" s="5">
        <v>1</v>
      </c>
      <c r="D1509" s="5" t="s">
        <v>297</v>
      </c>
      <c r="E1509" s="5" t="s">
        <v>245</v>
      </c>
      <c r="F1509" s="5" t="s">
        <v>254</v>
      </c>
      <c r="G1509" s="5" t="s">
        <v>240</v>
      </c>
      <c r="H1509" s="6" t="s">
        <v>4673</v>
      </c>
      <c r="I1509" s="5" t="s">
        <v>295</v>
      </c>
      <c r="J1509" s="8">
        <f>3108</f>
        <v>3108</v>
      </c>
      <c r="K1509" s="5" t="s">
        <v>308</v>
      </c>
      <c r="L1509" s="7">
        <f>1</f>
        <v>1</v>
      </c>
      <c r="M1509" s="7">
        <f>1</f>
        <v>1</v>
      </c>
      <c r="N1509" s="5" t="s">
        <v>242</v>
      </c>
      <c r="O1509" s="5">
        <v>1</v>
      </c>
      <c r="P1509" s="5" t="s">
        <v>294</v>
      </c>
      <c r="Q1509" s="5" t="s">
        <v>266</v>
      </c>
      <c r="R1509" s="5" t="s">
        <v>240</v>
      </c>
      <c r="S1509" s="5" t="s">
        <v>240</v>
      </c>
      <c r="T1509" s="5" t="s">
        <v>296</v>
      </c>
      <c r="U1509" s="5" t="s">
        <v>244</v>
      </c>
      <c r="V1509" s="5" t="s">
        <v>240</v>
      </c>
      <c r="Y1509" s="5" t="s">
        <v>240</v>
      </c>
      <c r="Z1509" s="6" t="s">
        <v>298</v>
      </c>
      <c r="AB1509" s="6" t="s">
        <v>240</v>
      </c>
      <c r="AE1509" s="6" t="s">
        <v>299</v>
      </c>
      <c r="AF1509" s="5" t="s">
        <v>248</v>
      </c>
      <c r="AG1509" s="5" t="s">
        <v>249</v>
      </c>
      <c r="AW1509" s="5" t="s">
        <v>251</v>
      </c>
      <c r="AX1509" s="5" t="s">
        <v>240</v>
      </c>
      <c r="AY1509" s="5" t="s">
        <v>253</v>
      </c>
      <c r="AZ1509" s="5" t="s">
        <v>240</v>
      </c>
      <c r="BA1509" s="5" t="s">
        <v>255</v>
      </c>
      <c r="BB1509" s="5" t="s">
        <v>240</v>
      </c>
      <c r="BD1509" s="5" t="s">
        <v>240</v>
      </c>
      <c r="BF1509" s="5" t="s">
        <v>301</v>
      </c>
      <c r="BG1509" s="6" t="s">
        <v>299</v>
      </c>
      <c r="BH1509" s="5" t="s">
        <v>302</v>
      </c>
      <c r="BI1509" s="5" t="s">
        <v>303</v>
      </c>
      <c r="BJ1509" s="5" t="s">
        <v>240</v>
      </c>
      <c r="BK1509" s="8">
        <f>0</f>
        <v>0</v>
      </c>
      <c r="BL1509" s="7">
        <f>0</f>
        <v>0</v>
      </c>
      <c r="BM1509" s="5" t="s">
        <v>258</v>
      </c>
      <c r="BN1509" s="5" t="s">
        <v>259</v>
      </c>
      <c r="CB1509" s="5" t="s">
        <v>240</v>
      </c>
      <c r="CC1509" s="5" t="s">
        <v>240</v>
      </c>
      <c r="CG1509" s="5" t="s">
        <v>304</v>
      </c>
      <c r="CH1509" s="5" t="s">
        <v>305</v>
      </c>
      <c r="CI1509" s="5" t="s">
        <v>240</v>
      </c>
      <c r="CL1509" s="6" t="s">
        <v>261</v>
      </c>
      <c r="CM1509" s="5" t="s">
        <v>240</v>
      </c>
      <c r="CN1509" s="5" t="s">
        <v>263</v>
      </c>
      <c r="CO1509" s="5" t="s">
        <v>240</v>
      </c>
      <c r="CP1509" s="5" t="s">
        <v>240</v>
      </c>
      <c r="CQ1509" s="5">
        <v>0</v>
      </c>
      <c r="CR1509" s="5" t="s">
        <v>306</v>
      </c>
      <c r="CS1509" s="5" t="s">
        <v>307</v>
      </c>
      <c r="CT1509" s="5" t="s">
        <v>307</v>
      </c>
      <c r="CU1509" s="5" t="s">
        <v>260</v>
      </c>
      <c r="CX1509" s="7">
        <f>1</f>
        <v>1</v>
      </c>
      <c r="CY1509" s="7">
        <f>0</f>
        <v>0</v>
      </c>
      <c r="DA1509" s="7">
        <f>0</f>
        <v>0</v>
      </c>
      <c r="DC1509" s="5" t="s">
        <v>812</v>
      </c>
      <c r="DD1509" s="5" t="s">
        <v>240</v>
      </c>
      <c r="DF1509" s="5" t="s">
        <v>812</v>
      </c>
      <c r="DG1509" s="7">
        <f>234</f>
        <v>234</v>
      </c>
      <c r="DI1509" s="5" t="s">
        <v>240</v>
      </c>
      <c r="DJ1509" s="5" t="s">
        <v>240</v>
      </c>
      <c r="DK1509" s="5" t="s">
        <v>240</v>
      </c>
      <c r="DL1509" s="5" t="s">
        <v>240</v>
      </c>
      <c r="DP1509" s="5" t="s">
        <v>240</v>
      </c>
      <c r="DQ1509" s="5" t="s">
        <v>240</v>
      </c>
      <c r="DR1509" s="5" t="s">
        <v>240</v>
      </c>
      <c r="DS1509" s="5" t="s">
        <v>240</v>
      </c>
      <c r="DV1509" s="5" t="s">
        <v>813</v>
      </c>
      <c r="DW1509" s="5" t="s">
        <v>3148</v>
      </c>
      <c r="HO1509" s="5" t="s">
        <v>312</v>
      </c>
    </row>
    <row r="1510" spans="1:240" x14ac:dyDescent="0.4">
      <c r="A1510" s="5">
        <v>3185</v>
      </c>
      <c r="B1510" s="5">
        <v>1</v>
      </c>
      <c r="C1510" s="5">
        <v>1</v>
      </c>
      <c r="D1510" s="5" t="s">
        <v>297</v>
      </c>
      <c r="E1510" s="5" t="s">
        <v>245</v>
      </c>
      <c r="F1510" s="5" t="s">
        <v>254</v>
      </c>
      <c r="G1510" s="5" t="s">
        <v>240</v>
      </c>
      <c r="H1510" s="6" t="s">
        <v>5781</v>
      </c>
      <c r="I1510" s="5" t="s">
        <v>295</v>
      </c>
      <c r="J1510" s="8">
        <f>6187</f>
        <v>6187</v>
      </c>
      <c r="K1510" s="5" t="s">
        <v>308</v>
      </c>
      <c r="L1510" s="7">
        <f>1</f>
        <v>1</v>
      </c>
      <c r="M1510" s="7">
        <f>1</f>
        <v>1</v>
      </c>
      <c r="N1510" s="5" t="s">
        <v>242</v>
      </c>
      <c r="O1510" s="5">
        <v>1</v>
      </c>
      <c r="P1510" s="5" t="s">
        <v>294</v>
      </c>
      <c r="Q1510" s="5" t="s">
        <v>266</v>
      </c>
      <c r="R1510" s="5" t="s">
        <v>240</v>
      </c>
      <c r="S1510" s="5" t="s">
        <v>240</v>
      </c>
      <c r="T1510" s="5" t="s">
        <v>296</v>
      </c>
      <c r="U1510" s="5" t="s">
        <v>244</v>
      </c>
      <c r="V1510" s="5" t="s">
        <v>240</v>
      </c>
      <c r="Y1510" s="5" t="s">
        <v>240</v>
      </c>
      <c r="Z1510" s="6" t="s">
        <v>298</v>
      </c>
      <c r="AB1510" s="6" t="s">
        <v>240</v>
      </c>
      <c r="AE1510" s="6" t="s">
        <v>299</v>
      </c>
      <c r="AF1510" s="5" t="s">
        <v>248</v>
      </c>
      <c r="AG1510" s="5" t="s">
        <v>249</v>
      </c>
      <c r="AW1510" s="5" t="s">
        <v>251</v>
      </c>
      <c r="AX1510" s="5" t="s">
        <v>240</v>
      </c>
      <c r="AY1510" s="5" t="s">
        <v>253</v>
      </c>
      <c r="AZ1510" s="5" t="s">
        <v>240</v>
      </c>
      <c r="BA1510" s="5" t="s">
        <v>255</v>
      </c>
      <c r="BB1510" s="5" t="s">
        <v>240</v>
      </c>
      <c r="BD1510" s="5" t="s">
        <v>240</v>
      </c>
      <c r="BF1510" s="5" t="s">
        <v>301</v>
      </c>
      <c r="BG1510" s="6" t="s">
        <v>299</v>
      </c>
      <c r="BH1510" s="5" t="s">
        <v>302</v>
      </c>
      <c r="BI1510" s="5" t="s">
        <v>303</v>
      </c>
      <c r="BJ1510" s="5" t="s">
        <v>240</v>
      </c>
      <c r="BK1510" s="8">
        <f>0</f>
        <v>0</v>
      </c>
      <c r="BL1510" s="7">
        <f>0</f>
        <v>0</v>
      </c>
      <c r="BM1510" s="5" t="s">
        <v>258</v>
      </c>
      <c r="BN1510" s="5" t="s">
        <v>259</v>
      </c>
      <c r="CB1510" s="5" t="s">
        <v>240</v>
      </c>
      <c r="CC1510" s="5" t="s">
        <v>240</v>
      </c>
      <c r="CG1510" s="5" t="s">
        <v>304</v>
      </c>
      <c r="CH1510" s="5" t="s">
        <v>305</v>
      </c>
      <c r="CI1510" s="5" t="s">
        <v>240</v>
      </c>
      <c r="CL1510" s="6" t="s">
        <v>261</v>
      </c>
      <c r="CM1510" s="5" t="s">
        <v>240</v>
      </c>
      <c r="CN1510" s="5" t="s">
        <v>263</v>
      </c>
      <c r="CO1510" s="5" t="s">
        <v>240</v>
      </c>
      <c r="CP1510" s="5" t="s">
        <v>240</v>
      </c>
      <c r="CQ1510" s="5">
        <v>0</v>
      </c>
      <c r="CR1510" s="5" t="s">
        <v>306</v>
      </c>
      <c r="CS1510" s="5" t="s">
        <v>307</v>
      </c>
      <c r="CT1510" s="5" t="s">
        <v>307</v>
      </c>
      <c r="CU1510" s="5" t="s">
        <v>260</v>
      </c>
      <c r="CX1510" s="7">
        <f>1</f>
        <v>1</v>
      </c>
      <c r="CY1510" s="7">
        <f>0</f>
        <v>0</v>
      </c>
      <c r="DA1510" s="7">
        <f>0</f>
        <v>0</v>
      </c>
      <c r="DC1510" s="5" t="s">
        <v>812</v>
      </c>
      <c r="DD1510" s="5" t="s">
        <v>240</v>
      </c>
      <c r="DF1510" s="5" t="s">
        <v>812</v>
      </c>
      <c r="DG1510" s="7">
        <f>308</f>
        <v>308</v>
      </c>
      <c r="DI1510" s="5" t="s">
        <v>240</v>
      </c>
      <c r="DJ1510" s="5" t="s">
        <v>240</v>
      </c>
      <c r="DK1510" s="5" t="s">
        <v>240</v>
      </c>
      <c r="DL1510" s="5" t="s">
        <v>240</v>
      </c>
      <c r="DP1510" s="5" t="s">
        <v>240</v>
      </c>
      <c r="DQ1510" s="5" t="s">
        <v>240</v>
      </c>
      <c r="DR1510" s="5" t="s">
        <v>240</v>
      </c>
      <c r="DS1510" s="5" t="s">
        <v>240</v>
      </c>
      <c r="DV1510" s="5" t="s">
        <v>813</v>
      </c>
      <c r="DW1510" s="5" t="s">
        <v>3150</v>
      </c>
      <c r="HO1510" s="5" t="s">
        <v>312</v>
      </c>
    </row>
    <row r="1511" spans="1:240" x14ac:dyDescent="0.4">
      <c r="A1511" s="5">
        <v>3186</v>
      </c>
      <c r="B1511" s="5">
        <v>1</v>
      </c>
      <c r="C1511" s="5">
        <v>1</v>
      </c>
      <c r="D1511" s="5" t="s">
        <v>297</v>
      </c>
      <c r="E1511" s="5" t="s">
        <v>245</v>
      </c>
      <c r="F1511" s="5" t="s">
        <v>254</v>
      </c>
      <c r="G1511" s="5" t="s">
        <v>240</v>
      </c>
      <c r="H1511" s="6" t="s">
        <v>4670</v>
      </c>
      <c r="I1511" s="5" t="s">
        <v>295</v>
      </c>
      <c r="J1511" s="8">
        <f>3137</f>
        <v>3137</v>
      </c>
      <c r="K1511" s="5" t="s">
        <v>308</v>
      </c>
      <c r="L1511" s="7">
        <f>1</f>
        <v>1</v>
      </c>
      <c r="M1511" s="7">
        <f>1</f>
        <v>1</v>
      </c>
      <c r="N1511" s="5" t="s">
        <v>242</v>
      </c>
      <c r="O1511" s="5">
        <v>1</v>
      </c>
      <c r="P1511" s="5" t="s">
        <v>294</v>
      </c>
      <c r="Q1511" s="5" t="s">
        <v>266</v>
      </c>
      <c r="R1511" s="5" t="s">
        <v>240</v>
      </c>
      <c r="S1511" s="5" t="s">
        <v>240</v>
      </c>
      <c r="T1511" s="5" t="s">
        <v>296</v>
      </c>
      <c r="U1511" s="5" t="s">
        <v>244</v>
      </c>
      <c r="V1511" s="5" t="s">
        <v>240</v>
      </c>
      <c r="Y1511" s="5" t="s">
        <v>240</v>
      </c>
      <c r="Z1511" s="6" t="s">
        <v>298</v>
      </c>
      <c r="AB1511" s="6" t="s">
        <v>240</v>
      </c>
      <c r="AE1511" s="6" t="s">
        <v>299</v>
      </c>
      <c r="AF1511" s="5" t="s">
        <v>248</v>
      </c>
      <c r="AG1511" s="5" t="s">
        <v>249</v>
      </c>
      <c r="AW1511" s="5" t="s">
        <v>251</v>
      </c>
      <c r="AX1511" s="5" t="s">
        <v>240</v>
      </c>
      <c r="AY1511" s="5" t="s">
        <v>253</v>
      </c>
      <c r="AZ1511" s="5" t="s">
        <v>240</v>
      </c>
      <c r="BA1511" s="5" t="s">
        <v>255</v>
      </c>
      <c r="BB1511" s="5" t="s">
        <v>240</v>
      </c>
      <c r="BD1511" s="5" t="s">
        <v>240</v>
      </c>
      <c r="BF1511" s="5" t="s">
        <v>301</v>
      </c>
      <c r="BG1511" s="6" t="s">
        <v>299</v>
      </c>
      <c r="BH1511" s="5" t="s">
        <v>302</v>
      </c>
      <c r="BI1511" s="5" t="s">
        <v>303</v>
      </c>
      <c r="BJ1511" s="5" t="s">
        <v>240</v>
      </c>
      <c r="BK1511" s="8">
        <f>0</f>
        <v>0</v>
      </c>
      <c r="BL1511" s="7">
        <f>0</f>
        <v>0</v>
      </c>
      <c r="BM1511" s="5" t="s">
        <v>258</v>
      </c>
      <c r="BN1511" s="5" t="s">
        <v>259</v>
      </c>
      <c r="CB1511" s="5" t="s">
        <v>240</v>
      </c>
      <c r="CC1511" s="5" t="s">
        <v>240</v>
      </c>
      <c r="CG1511" s="5" t="s">
        <v>304</v>
      </c>
      <c r="CH1511" s="5" t="s">
        <v>305</v>
      </c>
      <c r="CI1511" s="5" t="s">
        <v>240</v>
      </c>
      <c r="CL1511" s="6" t="s">
        <v>261</v>
      </c>
      <c r="CM1511" s="5" t="s">
        <v>240</v>
      </c>
      <c r="CN1511" s="5" t="s">
        <v>263</v>
      </c>
      <c r="CO1511" s="5" t="s">
        <v>240</v>
      </c>
      <c r="CP1511" s="5" t="s">
        <v>240</v>
      </c>
      <c r="CQ1511" s="5">
        <v>0</v>
      </c>
      <c r="CR1511" s="5" t="s">
        <v>306</v>
      </c>
      <c r="CS1511" s="5" t="s">
        <v>307</v>
      </c>
      <c r="CT1511" s="5" t="s">
        <v>307</v>
      </c>
      <c r="CU1511" s="5" t="s">
        <v>260</v>
      </c>
      <c r="CX1511" s="7">
        <f>1</f>
        <v>1</v>
      </c>
      <c r="CY1511" s="7">
        <f>0</f>
        <v>0</v>
      </c>
      <c r="DA1511" s="7">
        <f>0</f>
        <v>0</v>
      </c>
      <c r="DC1511" s="5" t="s">
        <v>812</v>
      </c>
      <c r="DD1511" s="5" t="s">
        <v>240</v>
      </c>
      <c r="DF1511" s="5" t="s">
        <v>812</v>
      </c>
      <c r="DG1511" s="7">
        <f>2082</f>
        <v>2082</v>
      </c>
      <c r="DI1511" s="5" t="s">
        <v>240</v>
      </c>
      <c r="DJ1511" s="5" t="s">
        <v>240</v>
      </c>
      <c r="DK1511" s="5" t="s">
        <v>240</v>
      </c>
      <c r="DL1511" s="5" t="s">
        <v>240</v>
      </c>
      <c r="DP1511" s="5" t="s">
        <v>240</v>
      </c>
      <c r="DQ1511" s="5" t="s">
        <v>240</v>
      </c>
      <c r="DR1511" s="5" t="s">
        <v>240</v>
      </c>
      <c r="DS1511" s="5" t="s">
        <v>240</v>
      </c>
      <c r="DV1511" s="5" t="s">
        <v>813</v>
      </c>
      <c r="DW1511" s="5" t="s">
        <v>3152</v>
      </c>
      <c r="HO1511" s="5" t="s">
        <v>312</v>
      </c>
    </row>
    <row r="1512" spans="1:240" x14ac:dyDescent="0.4">
      <c r="A1512" s="5">
        <v>3187</v>
      </c>
      <c r="B1512" s="5">
        <v>1</v>
      </c>
      <c r="C1512" s="5">
        <v>1</v>
      </c>
      <c r="D1512" s="5" t="s">
        <v>297</v>
      </c>
      <c r="E1512" s="5" t="s">
        <v>245</v>
      </c>
      <c r="F1512" s="5" t="s">
        <v>254</v>
      </c>
      <c r="G1512" s="5" t="s">
        <v>240</v>
      </c>
      <c r="H1512" s="6" t="s">
        <v>4669</v>
      </c>
      <c r="I1512" s="5" t="s">
        <v>295</v>
      </c>
      <c r="J1512" s="8">
        <f>3145</f>
        <v>3145</v>
      </c>
      <c r="K1512" s="5" t="s">
        <v>308</v>
      </c>
      <c r="L1512" s="7">
        <f>1</f>
        <v>1</v>
      </c>
      <c r="M1512" s="7">
        <f>1</f>
        <v>1</v>
      </c>
      <c r="N1512" s="5" t="s">
        <v>242</v>
      </c>
      <c r="O1512" s="5">
        <v>1</v>
      </c>
      <c r="P1512" s="5" t="s">
        <v>294</v>
      </c>
      <c r="Q1512" s="5" t="s">
        <v>266</v>
      </c>
      <c r="R1512" s="5" t="s">
        <v>240</v>
      </c>
      <c r="S1512" s="5" t="s">
        <v>240</v>
      </c>
      <c r="T1512" s="5" t="s">
        <v>296</v>
      </c>
      <c r="U1512" s="5" t="s">
        <v>244</v>
      </c>
      <c r="V1512" s="5" t="s">
        <v>240</v>
      </c>
      <c r="Y1512" s="5" t="s">
        <v>240</v>
      </c>
      <c r="Z1512" s="6" t="s">
        <v>298</v>
      </c>
      <c r="AB1512" s="6" t="s">
        <v>240</v>
      </c>
      <c r="AE1512" s="6" t="s">
        <v>299</v>
      </c>
      <c r="AF1512" s="5" t="s">
        <v>248</v>
      </c>
      <c r="AG1512" s="5" t="s">
        <v>249</v>
      </c>
      <c r="AW1512" s="5" t="s">
        <v>251</v>
      </c>
      <c r="AX1512" s="5" t="s">
        <v>240</v>
      </c>
      <c r="AY1512" s="5" t="s">
        <v>253</v>
      </c>
      <c r="AZ1512" s="5" t="s">
        <v>240</v>
      </c>
      <c r="BA1512" s="5" t="s">
        <v>255</v>
      </c>
      <c r="BB1512" s="5" t="s">
        <v>240</v>
      </c>
      <c r="BD1512" s="5" t="s">
        <v>240</v>
      </c>
      <c r="BF1512" s="5" t="s">
        <v>301</v>
      </c>
      <c r="BG1512" s="6" t="s">
        <v>299</v>
      </c>
      <c r="BH1512" s="5" t="s">
        <v>302</v>
      </c>
      <c r="BI1512" s="5" t="s">
        <v>303</v>
      </c>
      <c r="BJ1512" s="5" t="s">
        <v>240</v>
      </c>
      <c r="BK1512" s="8">
        <f>0</f>
        <v>0</v>
      </c>
      <c r="BL1512" s="7">
        <f>0</f>
        <v>0</v>
      </c>
      <c r="BM1512" s="5" t="s">
        <v>258</v>
      </c>
      <c r="BN1512" s="5" t="s">
        <v>259</v>
      </c>
      <c r="CB1512" s="5" t="s">
        <v>240</v>
      </c>
      <c r="CC1512" s="5" t="s">
        <v>240</v>
      </c>
      <c r="CG1512" s="5" t="s">
        <v>304</v>
      </c>
      <c r="CH1512" s="5" t="s">
        <v>305</v>
      </c>
      <c r="CI1512" s="5" t="s">
        <v>240</v>
      </c>
      <c r="CL1512" s="6" t="s">
        <v>261</v>
      </c>
      <c r="CM1512" s="5" t="s">
        <v>240</v>
      </c>
      <c r="CN1512" s="5" t="s">
        <v>263</v>
      </c>
      <c r="CO1512" s="5" t="s">
        <v>240</v>
      </c>
      <c r="CP1512" s="5" t="s">
        <v>240</v>
      </c>
      <c r="CQ1512" s="5">
        <v>0</v>
      </c>
      <c r="CR1512" s="5" t="s">
        <v>306</v>
      </c>
      <c r="CS1512" s="5" t="s">
        <v>307</v>
      </c>
      <c r="CT1512" s="5" t="s">
        <v>307</v>
      </c>
      <c r="CU1512" s="5" t="s">
        <v>260</v>
      </c>
      <c r="CX1512" s="7">
        <f>1</f>
        <v>1</v>
      </c>
      <c r="CY1512" s="7">
        <f>0</f>
        <v>0</v>
      </c>
      <c r="DA1512" s="7">
        <f>0</f>
        <v>0</v>
      </c>
      <c r="DC1512" s="5" t="s">
        <v>812</v>
      </c>
      <c r="DD1512" s="5" t="s">
        <v>240</v>
      </c>
      <c r="DF1512" s="5" t="s">
        <v>812</v>
      </c>
      <c r="DG1512" s="7">
        <f>1966</f>
        <v>1966</v>
      </c>
      <c r="DI1512" s="5" t="s">
        <v>240</v>
      </c>
      <c r="DJ1512" s="5" t="s">
        <v>240</v>
      </c>
      <c r="DK1512" s="5" t="s">
        <v>240</v>
      </c>
      <c r="DL1512" s="5" t="s">
        <v>240</v>
      </c>
      <c r="DP1512" s="5" t="s">
        <v>240</v>
      </c>
      <c r="DQ1512" s="5" t="s">
        <v>240</v>
      </c>
      <c r="DR1512" s="5" t="s">
        <v>240</v>
      </c>
      <c r="DS1512" s="5" t="s">
        <v>240</v>
      </c>
      <c r="DV1512" s="5" t="s">
        <v>813</v>
      </c>
      <c r="DW1512" s="5" t="s">
        <v>3154</v>
      </c>
      <c r="HO1512" s="5" t="s">
        <v>312</v>
      </c>
    </row>
    <row r="1513" spans="1:240" x14ac:dyDescent="0.4">
      <c r="A1513" s="5">
        <v>3188</v>
      </c>
      <c r="B1513" s="5">
        <v>1</v>
      </c>
      <c r="C1513" s="5">
        <v>1</v>
      </c>
      <c r="D1513" s="5" t="s">
        <v>297</v>
      </c>
      <c r="E1513" s="5" t="s">
        <v>245</v>
      </c>
      <c r="F1513" s="5" t="s">
        <v>254</v>
      </c>
      <c r="G1513" s="5" t="s">
        <v>240</v>
      </c>
      <c r="H1513" s="6" t="s">
        <v>4668</v>
      </c>
      <c r="I1513" s="5" t="s">
        <v>295</v>
      </c>
      <c r="J1513" s="8">
        <f>3121</f>
        <v>3121</v>
      </c>
      <c r="K1513" s="5" t="s">
        <v>308</v>
      </c>
      <c r="L1513" s="7">
        <f>1</f>
        <v>1</v>
      </c>
      <c r="M1513" s="7">
        <f>1</f>
        <v>1</v>
      </c>
      <c r="N1513" s="5" t="s">
        <v>242</v>
      </c>
      <c r="O1513" s="5">
        <v>1</v>
      </c>
      <c r="P1513" s="5" t="s">
        <v>294</v>
      </c>
      <c r="Q1513" s="5" t="s">
        <v>266</v>
      </c>
      <c r="R1513" s="5" t="s">
        <v>240</v>
      </c>
      <c r="S1513" s="5" t="s">
        <v>240</v>
      </c>
      <c r="T1513" s="5" t="s">
        <v>296</v>
      </c>
      <c r="U1513" s="5" t="s">
        <v>244</v>
      </c>
      <c r="V1513" s="5" t="s">
        <v>240</v>
      </c>
      <c r="Y1513" s="5" t="s">
        <v>240</v>
      </c>
      <c r="Z1513" s="6" t="s">
        <v>298</v>
      </c>
      <c r="AB1513" s="6" t="s">
        <v>240</v>
      </c>
      <c r="AE1513" s="6" t="s">
        <v>299</v>
      </c>
      <c r="AF1513" s="5" t="s">
        <v>248</v>
      </c>
      <c r="AG1513" s="5" t="s">
        <v>249</v>
      </c>
      <c r="AW1513" s="5" t="s">
        <v>251</v>
      </c>
      <c r="AX1513" s="5" t="s">
        <v>240</v>
      </c>
      <c r="AY1513" s="5" t="s">
        <v>253</v>
      </c>
      <c r="AZ1513" s="5" t="s">
        <v>240</v>
      </c>
      <c r="BA1513" s="5" t="s">
        <v>255</v>
      </c>
      <c r="BB1513" s="5" t="s">
        <v>240</v>
      </c>
      <c r="BD1513" s="5" t="s">
        <v>240</v>
      </c>
      <c r="BF1513" s="5" t="s">
        <v>301</v>
      </c>
      <c r="BG1513" s="6" t="s">
        <v>299</v>
      </c>
      <c r="BH1513" s="5" t="s">
        <v>302</v>
      </c>
      <c r="BI1513" s="5" t="s">
        <v>303</v>
      </c>
      <c r="BJ1513" s="5" t="s">
        <v>240</v>
      </c>
      <c r="BK1513" s="8">
        <f>0</f>
        <v>0</v>
      </c>
      <c r="BL1513" s="7">
        <f>0</f>
        <v>0</v>
      </c>
      <c r="BM1513" s="5" t="s">
        <v>258</v>
      </c>
      <c r="BN1513" s="5" t="s">
        <v>259</v>
      </c>
      <c r="CB1513" s="5" t="s">
        <v>240</v>
      </c>
      <c r="CC1513" s="5" t="s">
        <v>240</v>
      </c>
      <c r="CG1513" s="5" t="s">
        <v>304</v>
      </c>
      <c r="CH1513" s="5" t="s">
        <v>305</v>
      </c>
      <c r="CI1513" s="5" t="s">
        <v>240</v>
      </c>
      <c r="CL1513" s="6" t="s">
        <v>261</v>
      </c>
      <c r="CM1513" s="5" t="s">
        <v>240</v>
      </c>
      <c r="CN1513" s="5" t="s">
        <v>263</v>
      </c>
      <c r="CO1513" s="5" t="s">
        <v>240</v>
      </c>
      <c r="CP1513" s="5" t="s">
        <v>240</v>
      </c>
      <c r="CQ1513" s="5">
        <v>0</v>
      </c>
      <c r="CR1513" s="5" t="s">
        <v>306</v>
      </c>
      <c r="CS1513" s="5" t="s">
        <v>307</v>
      </c>
      <c r="CT1513" s="5" t="s">
        <v>307</v>
      </c>
      <c r="CU1513" s="5" t="s">
        <v>260</v>
      </c>
      <c r="CX1513" s="7">
        <f>1</f>
        <v>1</v>
      </c>
      <c r="CY1513" s="7">
        <f>0</f>
        <v>0</v>
      </c>
      <c r="DA1513" s="7">
        <f>0</f>
        <v>0</v>
      </c>
      <c r="DC1513" s="5" t="s">
        <v>812</v>
      </c>
      <c r="DD1513" s="5" t="s">
        <v>240</v>
      </c>
      <c r="DF1513" s="5" t="s">
        <v>812</v>
      </c>
      <c r="DG1513" s="7">
        <f>632</f>
        <v>632</v>
      </c>
      <c r="DI1513" s="5" t="s">
        <v>240</v>
      </c>
      <c r="DJ1513" s="5" t="s">
        <v>240</v>
      </c>
      <c r="DK1513" s="5" t="s">
        <v>240</v>
      </c>
      <c r="DL1513" s="5" t="s">
        <v>240</v>
      </c>
      <c r="DP1513" s="5" t="s">
        <v>240</v>
      </c>
      <c r="DQ1513" s="5" t="s">
        <v>240</v>
      </c>
      <c r="DR1513" s="5" t="s">
        <v>240</v>
      </c>
      <c r="DS1513" s="5" t="s">
        <v>240</v>
      </c>
      <c r="DV1513" s="5" t="s">
        <v>813</v>
      </c>
      <c r="DW1513" s="5" t="s">
        <v>3156</v>
      </c>
      <c r="HO1513" s="5" t="s">
        <v>312</v>
      </c>
    </row>
    <row r="1514" spans="1:240" x14ac:dyDescent="0.4">
      <c r="A1514" s="5">
        <v>3189</v>
      </c>
      <c r="B1514" s="5">
        <v>1</v>
      </c>
      <c r="C1514" s="5">
        <v>1</v>
      </c>
      <c r="D1514" s="5" t="s">
        <v>297</v>
      </c>
      <c r="E1514" s="5" t="s">
        <v>245</v>
      </c>
      <c r="F1514" s="5" t="s">
        <v>254</v>
      </c>
      <c r="G1514" s="5" t="s">
        <v>240</v>
      </c>
      <c r="H1514" s="6" t="s">
        <v>4666</v>
      </c>
      <c r="I1514" s="5" t="s">
        <v>295</v>
      </c>
      <c r="J1514" s="8">
        <f>295</f>
        <v>295</v>
      </c>
      <c r="K1514" s="5" t="s">
        <v>308</v>
      </c>
      <c r="L1514" s="7">
        <f>1</f>
        <v>1</v>
      </c>
      <c r="M1514" s="7">
        <f>1</f>
        <v>1</v>
      </c>
      <c r="N1514" s="5" t="s">
        <v>242</v>
      </c>
      <c r="O1514" s="5">
        <v>1</v>
      </c>
      <c r="P1514" s="5" t="s">
        <v>294</v>
      </c>
      <c r="Q1514" s="5" t="s">
        <v>266</v>
      </c>
      <c r="R1514" s="5" t="s">
        <v>240</v>
      </c>
      <c r="S1514" s="5" t="s">
        <v>240</v>
      </c>
      <c r="T1514" s="5" t="s">
        <v>296</v>
      </c>
      <c r="U1514" s="5" t="s">
        <v>244</v>
      </c>
      <c r="V1514" s="5" t="s">
        <v>240</v>
      </c>
      <c r="Y1514" s="5" t="s">
        <v>240</v>
      </c>
      <c r="Z1514" s="6" t="s">
        <v>298</v>
      </c>
      <c r="AB1514" s="6" t="s">
        <v>240</v>
      </c>
      <c r="AE1514" s="6" t="s">
        <v>299</v>
      </c>
      <c r="AF1514" s="5" t="s">
        <v>248</v>
      </c>
      <c r="AG1514" s="5" t="s">
        <v>249</v>
      </c>
      <c r="AW1514" s="5" t="s">
        <v>251</v>
      </c>
      <c r="AX1514" s="5" t="s">
        <v>240</v>
      </c>
      <c r="AY1514" s="5" t="s">
        <v>253</v>
      </c>
      <c r="AZ1514" s="5" t="s">
        <v>240</v>
      </c>
      <c r="BA1514" s="5" t="s">
        <v>255</v>
      </c>
      <c r="BB1514" s="5" t="s">
        <v>240</v>
      </c>
      <c r="BD1514" s="5" t="s">
        <v>240</v>
      </c>
      <c r="BF1514" s="5" t="s">
        <v>301</v>
      </c>
      <c r="BG1514" s="6" t="s">
        <v>299</v>
      </c>
      <c r="BH1514" s="5" t="s">
        <v>302</v>
      </c>
      <c r="BI1514" s="5" t="s">
        <v>303</v>
      </c>
      <c r="BJ1514" s="5" t="s">
        <v>240</v>
      </c>
      <c r="BK1514" s="8">
        <f>0</f>
        <v>0</v>
      </c>
      <c r="BL1514" s="7">
        <f>0</f>
        <v>0</v>
      </c>
      <c r="BM1514" s="5" t="s">
        <v>258</v>
      </c>
      <c r="BN1514" s="5" t="s">
        <v>259</v>
      </c>
      <c r="CB1514" s="5" t="s">
        <v>240</v>
      </c>
      <c r="CC1514" s="5" t="s">
        <v>240</v>
      </c>
      <c r="CG1514" s="5" t="s">
        <v>304</v>
      </c>
      <c r="CH1514" s="5" t="s">
        <v>305</v>
      </c>
      <c r="CI1514" s="5" t="s">
        <v>240</v>
      </c>
      <c r="CL1514" s="6" t="s">
        <v>261</v>
      </c>
      <c r="CM1514" s="5" t="s">
        <v>240</v>
      </c>
      <c r="CN1514" s="5" t="s">
        <v>263</v>
      </c>
      <c r="CO1514" s="5" t="s">
        <v>240</v>
      </c>
      <c r="CP1514" s="5" t="s">
        <v>240</v>
      </c>
      <c r="CQ1514" s="5">
        <v>0</v>
      </c>
      <c r="CR1514" s="5" t="s">
        <v>306</v>
      </c>
      <c r="CS1514" s="5" t="s">
        <v>307</v>
      </c>
      <c r="CT1514" s="5" t="s">
        <v>307</v>
      </c>
      <c r="CU1514" s="5" t="s">
        <v>260</v>
      </c>
      <c r="CX1514" s="7">
        <f>1</f>
        <v>1</v>
      </c>
      <c r="CY1514" s="7">
        <f>0</f>
        <v>0</v>
      </c>
      <c r="DA1514" s="7">
        <f>0</f>
        <v>0</v>
      </c>
      <c r="DC1514" s="5" t="s">
        <v>812</v>
      </c>
      <c r="DD1514" s="5" t="s">
        <v>240</v>
      </c>
      <c r="DF1514" s="5" t="s">
        <v>812</v>
      </c>
      <c r="DG1514" s="7">
        <f>1455</f>
        <v>1455</v>
      </c>
      <c r="DI1514" s="5" t="s">
        <v>240</v>
      </c>
      <c r="DJ1514" s="5" t="s">
        <v>240</v>
      </c>
      <c r="DK1514" s="5" t="s">
        <v>240</v>
      </c>
      <c r="DL1514" s="5" t="s">
        <v>240</v>
      </c>
      <c r="DP1514" s="5" t="s">
        <v>240</v>
      </c>
      <c r="DQ1514" s="5" t="s">
        <v>240</v>
      </c>
      <c r="DR1514" s="5" t="s">
        <v>240</v>
      </c>
      <c r="DS1514" s="5" t="s">
        <v>240</v>
      </c>
      <c r="DV1514" s="5" t="s">
        <v>813</v>
      </c>
      <c r="DW1514" s="5" t="s">
        <v>3158</v>
      </c>
      <c r="HO1514" s="5" t="s">
        <v>312</v>
      </c>
    </row>
    <row r="1515" spans="1:240" x14ac:dyDescent="0.4">
      <c r="A1515" s="5">
        <v>3190</v>
      </c>
      <c r="B1515" s="5">
        <v>1</v>
      </c>
      <c r="C1515" s="5">
        <v>1</v>
      </c>
      <c r="D1515" s="5" t="s">
        <v>297</v>
      </c>
      <c r="E1515" s="5" t="s">
        <v>245</v>
      </c>
      <c r="F1515" s="5" t="s">
        <v>254</v>
      </c>
      <c r="G1515" s="5" t="s">
        <v>240</v>
      </c>
      <c r="H1515" s="6" t="s">
        <v>4665</v>
      </c>
      <c r="I1515" s="5" t="s">
        <v>295</v>
      </c>
      <c r="J1515" s="8">
        <f>2986</f>
        <v>2986</v>
      </c>
      <c r="K1515" s="5" t="s">
        <v>308</v>
      </c>
      <c r="L1515" s="7">
        <f>1</f>
        <v>1</v>
      </c>
      <c r="M1515" s="7">
        <f>1</f>
        <v>1</v>
      </c>
      <c r="N1515" s="5" t="s">
        <v>242</v>
      </c>
      <c r="O1515" s="5">
        <v>1</v>
      </c>
      <c r="P1515" s="5" t="s">
        <v>294</v>
      </c>
      <c r="Q1515" s="5" t="s">
        <v>266</v>
      </c>
      <c r="R1515" s="5" t="s">
        <v>240</v>
      </c>
      <c r="S1515" s="5" t="s">
        <v>240</v>
      </c>
      <c r="T1515" s="5" t="s">
        <v>296</v>
      </c>
      <c r="U1515" s="5" t="s">
        <v>244</v>
      </c>
      <c r="V1515" s="5" t="s">
        <v>240</v>
      </c>
      <c r="Y1515" s="5" t="s">
        <v>240</v>
      </c>
      <c r="Z1515" s="6" t="s">
        <v>298</v>
      </c>
      <c r="AB1515" s="6" t="s">
        <v>240</v>
      </c>
      <c r="AE1515" s="6" t="s">
        <v>299</v>
      </c>
      <c r="AF1515" s="5" t="s">
        <v>248</v>
      </c>
      <c r="AG1515" s="5" t="s">
        <v>249</v>
      </c>
      <c r="AW1515" s="5" t="s">
        <v>251</v>
      </c>
      <c r="AX1515" s="5" t="s">
        <v>240</v>
      </c>
      <c r="AY1515" s="5" t="s">
        <v>253</v>
      </c>
      <c r="AZ1515" s="5" t="s">
        <v>240</v>
      </c>
      <c r="BA1515" s="5" t="s">
        <v>255</v>
      </c>
      <c r="BB1515" s="5" t="s">
        <v>240</v>
      </c>
      <c r="BD1515" s="5" t="s">
        <v>240</v>
      </c>
      <c r="BF1515" s="5" t="s">
        <v>301</v>
      </c>
      <c r="BG1515" s="6" t="s">
        <v>299</v>
      </c>
      <c r="BH1515" s="5" t="s">
        <v>302</v>
      </c>
      <c r="BI1515" s="5" t="s">
        <v>303</v>
      </c>
      <c r="BJ1515" s="5" t="s">
        <v>240</v>
      </c>
      <c r="BK1515" s="8">
        <f>0</f>
        <v>0</v>
      </c>
      <c r="BL1515" s="7">
        <f>0</f>
        <v>0</v>
      </c>
      <c r="BM1515" s="5" t="s">
        <v>258</v>
      </c>
      <c r="BN1515" s="5" t="s">
        <v>259</v>
      </c>
      <c r="CB1515" s="5" t="s">
        <v>240</v>
      </c>
      <c r="CC1515" s="5" t="s">
        <v>240</v>
      </c>
      <c r="CG1515" s="5" t="s">
        <v>304</v>
      </c>
      <c r="CH1515" s="5" t="s">
        <v>305</v>
      </c>
      <c r="CI1515" s="5" t="s">
        <v>240</v>
      </c>
      <c r="CL1515" s="6" t="s">
        <v>261</v>
      </c>
      <c r="CM1515" s="5" t="s">
        <v>240</v>
      </c>
      <c r="CN1515" s="5" t="s">
        <v>263</v>
      </c>
      <c r="CO1515" s="5" t="s">
        <v>240</v>
      </c>
      <c r="CP1515" s="5" t="s">
        <v>240</v>
      </c>
      <c r="CQ1515" s="5">
        <v>0</v>
      </c>
      <c r="CR1515" s="5" t="s">
        <v>306</v>
      </c>
      <c r="CS1515" s="5" t="s">
        <v>307</v>
      </c>
      <c r="CT1515" s="5" t="s">
        <v>307</v>
      </c>
      <c r="CU1515" s="5" t="s">
        <v>260</v>
      </c>
      <c r="CX1515" s="7">
        <f>1</f>
        <v>1</v>
      </c>
      <c r="CY1515" s="7">
        <f>0</f>
        <v>0</v>
      </c>
      <c r="DA1515" s="7">
        <f>0</f>
        <v>0</v>
      </c>
      <c r="DC1515" s="5" t="s">
        <v>812</v>
      </c>
      <c r="DD1515" s="5" t="s">
        <v>240</v>
      </c>
      <c r="DF1515" s="5" t="s">
        <v>812</v>
      </c>
      <c r="DG1515" s="7">
        <f>122</f>
        <v>122</v>
      </c>
      <c r="DI1515" s="5" t="s">
        <v>240</v>
      </c>
      <c r="DJ1515" s="5" t="s">
        <v>240</v>
      </c>
      <c r="DK1515" s="5" t="s">
        <v>240</v>
      </c>
      <c r="DL1515" s="5" t="s">
        <v>240</v>
      </c>
      <c r="DP1515" s="5" t="s">
        <v>240</v>
      </c>
      <c r="DQ1515" s="5" t="s">
        <v>240</v>
      </c>
      <c r="DR1515" s="5" t="s">
        <v>240</v>
      </c>
      <c r="DS1515" s="5" t="s">
        <v>240</v>
      </c>
      <c r="DV1515" s="5" t="s">
        <v>813</v>
      </c>
      <c r="DW1515" s="5" t="s">
        <v>3160</v>
      </c>
      <c r="HO1515" s="5" t="s">
        <v>312</v>
      </c>
    </row>
    <row r="1516" spans="1:240" x14ac:dyDescent="0.4">
      <c r="A1516" s="5">
        <v>3191</v>
      </c>
      <c r="B1516" s="5">
        <v>1</v>
      </c>
      <c r="C1516" s="5">
        <v>1</v>
      </c>
      <c r="D1516" s="5" t="s">
        <v>297</v>
      </c>
      <c r="E1516" s="5" t="s">
        <v>245</v>
      </c>
      <c r="F1516" s="5" t="s">
        <v>254</v>
      </c>
      <c r="G1516" s="5" t="s">
        <v>240</v>
      </c>
      <c r="H1516" s="6" t="s">
        <v>4664</v>
      </c>
      <c r="I1516" s="5" t="s">
        <v>295</v>
      </c>
      <c r="J1516" s="8">
        <f>2931</f>
        <v>2931</v>
      </c>
      <c r="K1516" s="5" t="s">
        <v>308</v>
      </c>
      <c r="L1516" s="7">
        <f>1</f>
        <v>1</v>
      </c>
      <c r="M1516" s="7">
        <f>1</f>
        <v>1</v>
      </c>
      <c r="N1516" s="5" t="s">
        <v>242</v>
      </c>
      <c r="O1516" s="5">
        <v>1</v>
      </c>
      <c r="P1516" s="5" t="s">
        <v>294</v>
      </c>
      <c r="Q1516" s="5" t="s">
        <v>266</v>
      </c>
      <c r="R1516" s="5" t="s">
        <v>240</v>
      </c>
      <c r="S1516" s="5" t="s">
        <v>240</v>
      </c>
      <c r="T1516" s="5" t="s">
        <v>296</v>
      </c>
      <c r="U1516" s="5" t="s">
        <v>244</v>
      </c>
      <c r="V1516" s="5" t="s">
        <v>240</v>
      </c>
      <c r="Y1516" s="5" t="s">
        <v>240</v>
      </c>
      <c r="Z1516" s="6" t="s">
        <v>298</v>
      </c>
      <c r="AB1516" s="6" t="s">
        <v>240</v>
      </c>
      <c r="AE1516" s="6" t="s">
        <v>299</v>
      </c>
      <c r="AF1516" s="5" t="s">
        <v>248</v>
      </c>
      <c r="AG1516" s="5" t="s">
        <v>249</v>
      </c>
      <c r="AW1516" s="5" t="s">
        <v>251</v>
      </c>
      <c r="AX1516" s="5" t="s">
        <v>240</v>
      </c>
      <c r="AY1516" s="5" t="s">
        <v>253</v>
      </c>
      <c r="AZ1516" s="5" t="s">
        <v>240</v>
      </c>
      <c r="BA1516" s="5" t="s">
        <v>255</v>
      </c>
      <c r="BB1516" s="5" t="s">
        <v>240</v>
      </c>
      <c r="BD1516" s="5" t="s">
        <v>240</v>
      </c>
      <c r="BF1516" s="5" t="s">
        <v>301</v>
      </c>
      <c r="BG1516" s="6" t="s">
        <v>299</v>
      </c>
      <c r="BH1516" s="5" t="s">
        <v>302</v>
      </c>
      <c r="BI1516" s="5" t="s">
        <v>303</v>
      </c>
      <c r="BJ1516" s="5" t="s">
        <v>240</v>
      </c>
      <c r="BK1516" s="8">
        <f>0</f>
        <v>0</v>
      </c>
      <c r="BL1516" s="7">
        <f>0</f>
        <v>0</v>
      </c>
      <c r="BM1516" s="5" t="s">
        <v>258</v>
      </c>
      <c r="BN1516" s="5" t="s">
        <v>259</v>
      </c>
      <c r="CB1516" s="5" t="s">
        <v>240</v>
      </c>
      <c r="CC1516" s="5" t="s">
        <v>240</v>
      </c>
      <c r="CG1516" s="5" t="s">
        <v>304</v>
      </c>
      <c r="CH1516" s="5" t="s">
        <v>305</v>
      </c>
      <c r="CI1516" s="5" t="s">
        <v>240</v>
      </c>
      <c r="CL1516" s="6" t="s">
        <v>261</v>
      </c>
      <c r="CM1516" s="5" t="s">
        <v>240</v>
      </c>
      <c r="CN1516" s="5" t="s">
        <v>263</v>
      </c>
      <c r="CO1516" s="5" t="s">
        <v>240</v>
      </c>
      <c r="CP1516" s="5" t="s">
        <v>240</v>
      </c>
      <c r="CQ1516" s="5">
        <v>0</v>
      </c>
      <c r="CR1516" s="5" t="s">
        <v>306</v>
      </c>
      <c r="CS1516" s="5" t="s">
        <v>307</v>
      </c>
      <c r="CT1516" s="5" t="s">
        <v>307</v>
      </c>
      <c r="CU1516" s="5" t="s">
        <v>260</v>
      </c>
      <c r="CX1516" s="7">
        <f>1</f>
        <v>1</v>
      </c>
      <c r="CY1516" s="7">
        <f>0</f>
        <v>0</v>
      </c>
      <c r="DA1516" s="7">
        <f>0</f>
        <v>0</v>
      </c>
      <c r="DC1516" s="5" t="s">
        <v>812</v>
      </c>
      <c r="DD1516" s="5" t="s">
        <v>240</v>
      </c>
      <c r="DF1516" s="5" t="s">
        <v>812</v>
      </c>
      <c r="DG1516" s="7">
        <f>152</f>
        <v>152</v>
      </c>
      <c r="DI1516" s="5" t="s">
        <v>240</v>
      </c>
      <c r="DJ1516" s="5" t="s">
        <v>240</v>
      </c>
      <c r="DK1516" s="5" t="s">
        <v>240</v>
      </c>
      <c r="DL1516" s="5" t="s">
        <v>240</v>
      </c>
      <c r="DP1516" s="5" t="s">
        <v>240</v>
      </c>
      <c r="DQ1516" s="5" t="s">
        <v>240</v>
      </c>
      <c r="DR1516" s="5" t="s">
        <v>240</v>
      </c>
      <c r="DS1516" s="5" t="s">
        <v>240</v>
      </c>
      <c r="DV1516" s="5" t="s">
        <v>813</v>
      </c>
      <c r="DW1516" s="5" t="s">
        <v>3162</v>
      </c>
      <c r="HO1516" s="5" t="s">
        <v>312</v>
      </c>
    </row>
    <row r="1517" spans="1:240" x14ac:dyDescent="0.4">
      <c r="A1517" s="5">
        <v>3192</v>
      </c>
      <c r="B1517" s="5">
        <v>1</v>
      </c>
      <c r="C1517" s="5">
        <v>1</v>
      </c>
      <c r="D1517" s="5" t="s">
        <v>297</v>
      </c>
      <c r="E1517" s="5" t="s">
        <v>245</v>
      </c>
      <c r="F1517" s="5" t="s">
        <v>254</v>
      </c>
      <c r="G1517" s="5" t="s">
        <v>240</v>
      </c>
      <c r="H1517" s="6" t="s">
        <v>4663</v>
      </c>
      <c r="I1517" s="5" t="s">
        <v>295</v>
      </c>
      <c r="J1517" s="8">
        <f>2993</f>
        <v>2993</v>
      </c>
      <c r="K1517" s="5" t="s">
        <v>308</v>
      </c>
      <c r="L1517" s="7">
        <f>1</f>
        <v>1</v>
      </c>
      <c r="M1517" s="7">
        <f>1</f>
        <v>1</v>
      </c>
      <c r="N1517" s="5" t="s">
        <v>242</v>
      </c>
      <c r="O1517" s="5">
        <v>1</v>
      </c>
      <c r="P1517" s="5" t="s">
        <v>294</v>
      </c>
      <c r="Q1517" s="5" t="s">
        <v>266</v>
      </c>
      <c r="R1517" s="5" t="s">
        <v>240</v>
      </c>
      <c r="S1517" s="5" t="s">
        <v>240</v>
      </c>
      <c r="T1517" s="5" t="s">
        <v>296</v>
      </c>
      <c r="U1517" s="5" t="s">
        <v>244</v>
      </c>
      <c r="V1517" s="5" t="s">
        <v>240</v>
      </c>
      <c r="Y1517" s="5" t="s">
        <v>240</v>
      </c>
      <c r="Z1517" s="6" t="s">
        <v>298</v>
      </c>
      <c r="AB1517" s="6" t="s">
        <v>240</v>
      </c>
      <c r="AE1517" s="6" t="s">
        <v>299</v>
      </c>
      <c r="AF1517" s="5" t="s">
        <v>248</v>
      </c>
      <c r="AG1517" s="5" t="s">
        <v>249</v>
      </c>
      <c r="AW1517" s="5" t="s">
        <v>251</v>
      </c>
      <c r="AX1517" s="5" t="s">
        <v>240</v>
      </c>
      <c r="AY1517" s="5" t="s">
        <v>253</v>
      </c>
      <c r="AZ1517" s="5" t="s">
        <v>240</v>
      </c>
      <c r="BA1517" s="5" t="s">
        <v>255</v>
      </c>
      <c r="BB1517" s="5" t="s">
        <v>240</v>
      </c>
      <c r="BD1517" s="5" t="s">
        <v>240</v>
      </c>
      <c r="BF1517" s="5" t="s">
        <v>301</v>
      </c>
      <c r="BG1517" s="6" t="s">
        <v>299</v>
      </c>
      <c r="BH1517" s="5" t="s">
        <v>302</v>
      </c>
      <c r="BI1517" s="5" t="s">
        <v>303</v>
      </c>
      <c r="BJ1517" s="5" t="s">
        <v>240</v>
      </c>
      <c r="BK1517" s="8">
        <f>0</f>
        <v>0</v>
      </c>
      <c r="BL1517" s="7">
        <f>0</f>
        <v>0</v>
      </c>
      <c r="BM1517" s="5" t="s">
        <v>258</v>
      </c>
      <c r="BN1517" s="5" t="s">
        <v>259</v>
      </c>
      <c r="CB1517" s="5" t="s">
        <v>240</v>
      </c>
      <c r="CC1517" s="5" t="s">
        <v>240</v>
      </c>
      <c r="CG1517" s="5" t="s">
        <v>304</v>
      </c>
      <c r="CH1517" s="5" t="s">
        <v>305</v>
      </c>
      <c r="CI1517" s="5" t="s">
        <v>240</v>
      </c>
      <c r="CL1517" s="6" t="s">
        <v>261</v>
      </c>
      <c r="CM1517" s="5" t="s">
        <v>240</v>
      </c>
      <c r="CN1517" s="5" t="s">
        <v>263</v>
      </c>
      <c r="CO1517" s="5" t="s">
        <v>240</v>
      </c>
      <c r="CP1517" s="5" t="s">
        <v>240</v>
      </c>
      <c r="CQ1517" s="5">
        <v>0</v>
      </c>
      <c r="CR1517" s="5" t="s">
        <v>306</v>
      </c>
      <c r="CS1517" s="5" t="s">
        <v>307</v>
      </c>
      <c r="CT1517" s="5" t="s">
        <v>307</v>
      </c>
      <c r="CU1517" s="5" t="s">
        <v>260</v>
      </c>
      <c r="CX1517" s="7">
        <f>1</f>
        <v>1</v>
      </c>
      <c r="CY1517" s="7">
        <f>0</f>
        <v>0</v>
      </c>
      <c r="DA1517" s="7">
        <f>0</f>
        <v>0</v>
      </c>
      <c r="DC1517" s="5" t="s">
        <v>812</v>
      </c>
      <c r="DD1517" s="5" t="s">
        <v>240</v>
      </c>
      <c r="DF1517" s="5" t="s">
        <v>812</v>
      </c>
      <c r="DG1517" s="7">
        <f>517</f>
        <v>517</v>
      </c>
      <c r="DI1517" s="5" t="s">
        <v>240</v>
      </c>
      <c r="DJ1517" s="5" t="s">
        <v>240</v>
      </c>
      <c r="DK1517" s="5" t="s">
        <v>240</v>
      </c>
      <c r="DL1517" s="5" t="s">
        <v>240</v>
      </c>
      <c r="DP1517" s="5" t="s">
        <v>240</v>
      </c>
      <c r="DQ1517" s="5" t="s">
        <v>240</v>
      </c>
      <c r="DR1517" s="5" t="s">
        <v>240</v>
      </c>
      <c r="DS1517" s="5" t="s">
        <v>240</v>
      </c>
      <c r="DV1517" s="5" t="s">
        <v>813</v>
      </c>
      <c r="DW1517" s="5" t="s">
        <v>3164</v>
      </c>
      <c r="HO1517" s="5" t="s">
        <v>312</v>
      </c>
    </row>
    <row r="1518" spans="1:240" x14ac:dyDescent="0.4">
      <c r="A1518" s="5">
        <v>3193</v>
      </c>
      <c r="B1518" s="5">
        <v>1</v>
      </c>
      <c r="C1518" s="5">
        <v>1</v>
      </c>
      <c r="D1518" s="5" t="s">
        <v>297</v>
      </c>
      <c r="E1518" s="5" t="s">
        <v>245</v>
      </c>
      <c r="F1518" s="5" t="s">
        <v>254</v>
      </c>
      <c r="G1518" s="5" t="s">
        <v>240</v>
      </c>
      <c r="H1518" s="6" t="s">
        <v>4662</v>
      </c>
      <c r="I1518" s="5" t="s">
        <v>295</v>
      </c>
      <c r="J1518" s="8">
        <f>4549</f>
        <v>4549</v>
      </c>
      <c r="K1518" s="5" t="s">
        <v>308</v>
      </c>
      <c r="L1518" s="7">
        <f>1</f>
        <v>1</v>
      </c>
      <c r="M1518" s="7">
        <f>1</f>
        <v>1</v>
      </c>
      <c r="N1518" s="5" t="s">
        <v>242</v>
      </c>
      <c r="O1518" s="5">
        <v>1</v>
      </c>
      <c r="P1518" s="5" t="s">
        <v>294</v>
      </c>
      <c r="Q1518" s="5" t="s">
        <v>613</v>
      </c>
      <c r="R1518" s="5" t="s">
        <v>240</v>
      </c>
      <c r="S1518" s="5" t="s">
        <v>240</v>
      </c>
      <c r="T1518" s="5" t="s">
        <v>243</v>
      </c>
      <c r="U1518" s="5" t="s">
        <v>724</v>
      </c>
      <c r="V1518" s="5" t="s">
        <v>240</v>
      </c>
      <c r="W1518" s="5" t="s">
        <v>240</v>
      </c>
      <c r="X1518" s="5" t="s">
        <v>240</v>
      </c>
      <c r="Y1518" s="5" t="s">
        <v>240</v>
      </c>
      <c r="Z1518" s="6" t="s">
        <v>298</v>
      </c>
      <c r="AA1518" s="6" t="s">
        <v>240</v>
      </c>
      <c r="AB1518" s="6" t="s">
        <v>240</v>
      </c>
      <c r="AC1518" s="5" t="s">
        <v>240</v>
      </c>
      <c r="AD1518" s="6" t="s">
        <v>240</v>
      </c>
      <c r="AE1518" s="6" t="s">
        <v>299</v>
      </c>
      <c r="AF1518" s="5" t="s">
        <v>727</v>
      </c>
      <c r="AG1518" s="5" t="s">
        <v>260</v>
      </c>
      <c r="AH1518" s="5" t="s">
        <v>240</v>
      </c>
      <c r="AI1518" s="5" t="s">
        <v>240</v>
      </c>
      <c r="AJ1518" s="5" t="s">
        <v>240</v>
      </c>
      <c r="AK1518" s="5" t="s">
        <v>240</v>
      </c>
      <c r="AL1518" s="5" t="s">
        <v>240</v>
      </c>
      <c r="AM1518" s="5" t="s">
        <v>240</v>
      </c>
      <c r="AN1518" s="5" t="s">
        <v>240</v>
      </c>
      <c r="AO1518" s="5" t="s">
        <v>240</v>
      </c>
      <c r="AP1518" s="6" t="s">
        <v>240</v>
      </c>
      <c r="AQ1518" s="6" t="s">
        <v>240</v>
      </c>
      <c r="AR1518" s="6" t="s">
        <v>240</v>
      </c>
      <c r="AS1518" s="6" t="s">
        <v>240</v>
      </c>
      <c r="AT1518" s="5" t="s">
        <v>240</v>
      </c>
      <c r="AU1518" s="5" t="s">
        <v>729</v>
      </c>
      <c r="AV1518" s="5" t="s">
        <v>729</v>
      </c>
      <c r="AW1518" s="5" t="s">
        <v>251</v>
      </c>
      <c r="AX1518" s="5" t="s">
        <v>252</v>
      </c>
      <c r="AY1518" s="5" t="s">
        <v>253</v>
      </c>
      <c r="AZ1518" s="5" t="s">
        <v>240</v>
      </c>
      <c r="BA1518" s="5" t="s">
        <v>255</v>
      </c>
      <c r="BB1518" s="5" t="s">
        <v>731</v>
      </c>
      <c r="BD1518" s="5" t="s">
        <v>3167</v>
      </c>
      <c r="BF1518" s="5" t="s">
        <v>732</v>
      </c>
      <c r="BG1518" s="6" t="s">
        <v>733</v>
      </c>
      <c r="BH1518" s="5" t="s">
        <v>734</v>
      </c>
      <c r="BI1518" s="5" t="s">
        <v>734</v>
      </c>
      <c r="BJ1518" s="5" t="s">
        <v>240</v>
      </c>
      <c r="BK1518" s="8">
        <f>292</f>
        <v>292</v>
      </c>
      <c r="BL1518" s="7">
        <f>0</f>
        <v>0</v>
      </c>
      <c r="BM1518" s="5" t="s">
        <v>258</v>
      </c>
      <c r="BN1518" s="5" t="s">
        <v>259</v>
      </c>
      <c r="BO1518" s="5" t="s">
        <v>240</v>
      </c>
      <c r="BP1518" s="5" t="s">
        <v>240</v>
      </c>
      <c r="BQ1518" s="5" t="s">
        <v>240</v>
      </c>
      <c r="BR1518" s="5" t="s">
        <v>240</v>
      </c>
      <c r="BS1518" s="5" t="s">
        <v>240</v>
      </c>
      <c r="BT1518" s="5" t="s">
        <v>240</v>
      </c>
      <c r="BU1518" s="5" t="s">
        <v>240</v>
      </c>
      <c r="BV1518" s="5" t="s">
        <v>240</v>
      </c>
      <c r="BW1518" s="6" t="s">
        <v>240</v>
      </c>
      <c r="BX1518" s="5" t="s">
        <v>240</v>
      </c>
      <c r="BY1518" s="5" t="s">
        <v>240</v>
      </c>
      <c r="BZ1518" s="5" t="s">
        <v>240</v>
      </c>
      <c r="CA1518" s="5" t="s">
        <v>259</v>
      </c>
      <c r="CB1518" s="5" t="s">
        <v>240</v>
      </c>
      <c r="CC1518" s="5" t="s">
        <v>240</v>
      </c>
      <c r="CD1518" s="5" t="s">
        <v>240</v>
      </c>
      <c r="CE1518" s="5" t="s">
        <v>240</v>
      </c>
      <c r="CF1518" s="5" t="s">
        <v>240</v>
      </c>
      <c r="CG1518" s="5" t="s">
        <v>617</v>
      </c>
      <c r="CH1518" s="5" t="s">
        <v>305</v>
      </c>
      <c r="CI1518" s="5" t="s">
        <v>240</v>
      </c>
      <c r="CL1518" s="6" t="s">
        <v>261</v>
      </c>
      <c r="CM1518" s="5" t="s">
        <v>262</v>
      </c>
      <c r="CN1518" s="5" t="s">
        <v>263</v>
      </c>
      <c r="CO1518" s="5" t="s">
        <v>264</v>
      </c>
      <c r="CP1518" s="5" t="s">
        <v>240</v>
      </c>
      <c r="CQ1518" s="5">
        <v>0</v>
      </c>
      <c r="CR1518" s="5" t="s">
        <v>735</v>
      </c>
      <c r="CS1518" s="5" t="s">
        <v>307</v>
      </c>
      <c r="CT1518" s="5" t="s">
        <v>307</v>
      </c>
      <c r="CU1518" s="5" t="s">
        <v>260</v>
      </c>
      <c r="CV1518" s="5" t="s">
        <v>240</v>
      </c>
      <c r="CW1518" s="8">
        <f>0</f>
        <v>0</v>
      </c>
      <c r="CX1518" s="7">
        <f>0</f>
        <v>0</v>
      </c>
      <c r="CY1518" s="7">
        <f>0</f>
        <v>0</v>
      </c>
      <c r="DA1518" s="7">
        <f>3212</f>
        <v>3212</v>
      </c>
      <c r="DB1518" s="7" t="s">
        <v>240</v>
      </c>
      <c r="DC1518" s="5" t="s">
        <v>240</v>
      </c>
      <c r="DD1518" s="5" t="s">
        <v>240</v>
      </c>
      <c r="DE1518" s="5" t="s">
        <v>240</v>
      </c>
      <c r="DF1518" s="5" t="s">
        <v>450</v>
      </c>
      <c r="DG1518" s="7">
        <f>0</f>
        <v>0</v>
      </c>
      <c r="DH1518" s="6" t="s">
        <v>3168</v>
      </c>
      <c r="DI1518" s="5" t="s">
        <v>737</v>
      </c>
      <c r="DJ1518" s="5" t="s">
        <v>240</v>
      </c>
      <c r="DK1518" s="5" t="s">
        <v>240</v>
      </c>
      <c r="DL1518" s="5" t="s">
        <v>240</v>
      </c>
      <c r="DM1518" s="5" t="s">
        <v>240</v>
      </c>
      <c r="DN1518" s="5" t="s">
        <v>240</v>
      </c>
      <c r="DO1518" s="7" t="s">
        <v>240</v>
      </c>
      <c r="DP1518" s="5" t="s">
        <v>240</v>
      </c>
      <c r="DQ1518" s="5" t="s">
        <v>240</v>
      </c>
      <c r="DR1518" s="5" t="s">
        <v>731</v>
      </c>
      <c r="DS1518" s="5" t="s">
        <v>731</v>
      </c>
      <c r="DT1518" s="5" t="s">
        <v>240</v>
      </c>
      <c r="DU1518" s="5" t="s">
        <v>240</v>
      </c>
      <c r="DV1518" s="5" t="s">
        <v>3169</v>
      </c>
      <c r="DW1518" s="5" t="s">
        <v>312</v>
      </c>
      <c r="DX1518" s="5" t="s">
        <v>240</v>
      </c>
      <c r="DY1518" s="5" t="s">
        <v>240</v>
      </c>
      <c r="DZ1518" s="5" t="s">
        <v>240</v>
      </c>
      <c r="EA1518" s="5" t="s">
        <v>240</v>
      </c>
      <c r="EB1518" s="5" t="s">
        <v>240</v>
      </c>
      <c r="EC1518" s="5" t="s">
        <v>240</v>
      </c>
      <c r="ED1518" s="5" t="s">
        <v>240</v>
      </c>
      <c r="EE1518" s="5" t="s">
        <v>240</v>
      </c>
      <c r="EF1518" s="5" t="s">
        <v>240</v>
      </c>
      <c r="EG1518" s="5" t="s">
        <v>240</v>
      </c>
      <c r="EH1518" s="5" t="s">
        <v>240</v>
      </c>
      <c r="EI1518" s="5" t="s">
        <v>240</v>
      </c>
      <c r="EJ1518" s="5" t="s">
        <v>240</v>
      </c>
      <c r="EK1518" s="5" t="s">
        <v>240</v>
      </c>
      <c r="EL1518" s="5" t="s">
        <v>240</v>
      </c>
      <c r="EM1518" s="5" t="s">
        <v>240</v>
      </c>
      <c r="EN1518" s="5" t="s">
        <v>240</v>
      </c>
      <c r="EO1518" s="5" t="s">
        <v>240</v>
      </c>
      <c r="EP1518" s="5" t="s">
        <v>240</v>
      </c>
      <c r="EQ1518" s="5" t="s">
        <v>240</v>
      </c>
      <c r="ER1518" s="5" t="s">
        <v>240</v>
      </c>
      <c r="ES1518" s="5" t="s">
        <v>240</v>
      </c>
      <c r="ET1518" s="5" t="s">
        <v>240</v>
      </c>
      <c r="EU1518" s="5" t="s">
        <v>240</v>
      </c>
      <c r="EV1518" s="5" t="s">
        <v>240</v>
      </c>
      <c r="EW1518" s="5" t="s">
        <v>240</v>
      </c>
      <c r="EX1518" s="5" t="s">
        <v>240</v>
      </c>
      <c r="EY1518" s="5" t="s">
        <v>240</v>
      </c>
      <c r="EZ1518" s="5" t="s">
        <v>240</v>
      </c>
      <c r="FA1518" s="5" t="s">
        <v>240</v>
      </c>
      <c r="FB1518" s="5" t="s">
        <v>240</v>
      </c>
      <c r="FC1518" s="5" t="s">
        <v>240</v>
      </c>
      <c r="FD1518" s="5" t="s">
        <v>240</v>
      </c>
      <c r="FE1518" s="5" t="s">
        <v>240</v>
      </c>
      <c r="FF1518" s="5" t="s">
        <v>240</v>
      </c>
      <c r="FG1518" s="5" t="s">
        <v>240</v>
      </c>
      <c r="FH1518" s="5" t="s">
        <v>240</v>
      </c>
      <c r="FI1518" s="5" t="s">
        <v>240</v>
      </c>
      <c r="FJ1518" s="5" t="s">
        <v>240</v>
      </c>
      <c r="FK1518" s="5" t="s">
        <v>240</v>
      </c>
      <c r="FL1518" s="5" t="s">
        <v>240</v>
      </c>
      <c r="FM1518" s="5" t="s">
        <v>240</v>
      </c>
      <c r="FN1518" s="5" t="s">
        <v>240</v>
      </c>
      <c r="FO1518" s="5" t="s">
        <v>240</v>
      </c>
      <c r="FP1518" s="5" t="s">
        <v>240</v>
      </c>
      <c r="FQ1518" s="5" t="s">
        <v>240</v>
      </c>
      <c r="FR1518" s="5" t="s">
        <v>240</v>
      </c>
      <c r="FS1518" s="5" t="s">
        <v>240</v>
      </c>
      <c r="FT1518" s="5" t="s">
        <v>240</v>
      </c>
      <c r="FU1518" s="5" t="s">
        <v>240</v>
      </c>
      <c r="FV1518" s="5" t="s">
        <v>240</v>
      </c>
      <c r="FW1518" s="5" t="s">
        <v>240</v>
      </c>
      <c r="FX1518" s="5" t="s">
        <v>240</v>
      </c>
      <c r="FY1518" s="5" t="s">
        <v>240</v>
      </c>
      <c r="FZ1518" s="5" t="s">
        <v>240</v>
      </c>
      <c r="GA1518" s="5" t="s">
        <v>240</v>
      </c>
      <c r="GB1518" s="5" t="s">
        <v>240</v>
      </c>
      <c r="GC1518" s="5" t="s">
        <v>240</v>
      </c>
      <c r="GD1518" s="5" t="s">
        <v>240</v>
      </c>
      <c r="GE1518" s="5" t="s">
        <v>240</v>
      </c>
      <c r="GF1518" s="5" t="s">
        <v>240</v>
      </c>
      <c r="GG1518" s="5" t="s">
        <v>240</v>
      </c>
      <c r="GH1518" s="5" t="s">
        <v>240</v>
      </c>
      <c r="GI1518" s="5" t="s">
        <v>240</v>
      </c>
      <c r="GJ1518" s="5" t="s">
        <v>240</v>
      </c>
      <c r="GK1518" s="5" t="s">
        <v>240</v>
      </c>
      <c r="GL1518" s="5" t="s">
        <v>240</v>
      </c>
      <c r="GM1518" s="5" t="s">
        <v>240</v>
      </c>
      <c r="GN1518" s="5" t="s">
        <v>240</v>
      </c>
      <c r="GO1518" s="5" t="s">
        <v>240</v>
      </c>
      <c r="GP1518" s="5" t="s">
        <v>240</v>
      </c>
      <c r="GQ1518" s="5" t="s">
        <v>240</v>
      </c>
      <c r="GR1518" s="5" t="s">
        <v>240</v>
      </c>
      <c r="GS1518" s="5" t="s">
        <v>240</v>
      </c>
      <c r="GT1518" s="5" t="s">
        <v>240</v>
      </c>
      <c r="GU1518" s="5" t="s">
        <v>240</v>
      </c>
      <c r="GV1518" s="5" t="s">
        <v>240</v>
      </c>
      <c r="GW1518" s="5" t="s">
        <v>240</v>
      </c>
      <c r="GX1518" s="5" t="s">
        <v>240</v>
      </c>
      <c r="GY1518" s="5" t="s">
        <v>240</v>
      </c>
      <c r="GZ1518" s="5" t="s">
        <v>240</v>
      </c>
      <c r="HA1518" s="5" t="s">
        <v>240</v>
      </c>
      <c r="HB1518" s="5" t="s">
        <v>240</v>
      </c>
      <c r="HC1518" s="5" t="s">
        <v>240</v>
      </c>
      <c r="HD1518" s="5" t="s">
        <v>240</v>
      </c>
      <c r="HE1518" s="5" t="s">
        <v>240</v>
      </c>
      <c r="HF1518" s="5" t="s">
        <v>240</v>
      </c>
      <c r="HG1518" s="5" t="s">
        <v>240</v>
      </c>
      <c r="HH1518" s="5" t="s">
        <v>240</v>
      </c>
      <c r="HI1518" s="5" t="s">
        <v>240</v>
      </c>
      <c r="HJ1518" s="5" t="s">
        <v>240</v>
      </c>
      <c r="HK1518" s="5" t="s">
        <v>240</v>
      </c>
      <c r="HL1518" s="5" t="s">
        <v>240</v>
      </c>
      <c r="HM1518" s="5" t="s">
        <v>240</v>
      </c>
      <c r="HN1518" s="5" t="s">
        <v>240</v>
      </c>
      <c r="HO1518" s="5" t="s">
        <v>312</v>
      </c>
      <c r="HP1518" s="5" t="s">
        <v>240</v>
      </c>
      <c r="HQ1518" s="5" t="s">
        <v>240</v>
      </c>
      <c r="HR1518" s="5" t="s">
        <v>240</v>
      </c>
      <c r="HS1518" s="5" t="s">
        <v>240</v>
      </c>
      <c r="HT1518" s="5" t="s">
        <v>240</v>
      </c>
      <c r="HU1518" s="5" t="s">
        <v>240</v>
      </c>
      <c r="HV1518" s="5" t="s">
        <v>240</v>
      </c>
      <c r="HW1518" s="5" t="s">
        <v>240</v>
      </c>
      <c r="HX1518" s="5" t="s">
        <v>240</v>
      </c>
      <c r="HY1518" s="5" t="s">
        <v>240</v>
      </c>
      <c r="HZ1518" s="5" t="s">
        <v>240</v>
      </c>
      <c r="IA1518" s="5" t="s">
        <v>240</v>
      </c>
      <c r="IB1518" s="5" t="s">
        <v>240</v>
      </c>
      <c r="IC1518" s="5" t="s">
        <v>240</v>
      </c>
      <c r="ID1518" s="5" t="s">
        <v>240</v>
      </c>
      <c r="IE1518" s="5" t="s">
        <v>240</v>
      </c>
      <c r="IF1518" s="5" t="s">
        <v>240</v>
      </c>
    </row>
    <row r="1519" spans="1:240" x14ac:dyDescent="0.4">
      <c r="A1519" s="5">
        <v>3194</v>
      </c>
      <c r="B1519" s="5">
        <v>1</v>
      </c>
      <c r="C1519" s="5">
        <v>1</v>
      </c>
      <c r="D1519" s="5" t="s">
        <v>297</v>
      </c>
      <c r="E1519" s="5" t="s">
        <v>245</v>
      </c>
      <c r="F1519" s="5" t="s">
        <v>254</v>
      </c>
      <c r="G1519" s="5" t="s">
        <v>240</v>
      </c>
      <c r="H1519" s="6" t="s">
        <v>4661</v>
      </c>
      <c r="I1519" s="5" t="s">
        <v>295</v>
      </c>
      <c r="J1519" s="8">
        <f>1440</f>
        <v>1440</v>
      </c>
      <c r="K1519" s="5" t="s">
        <v>308</v>
      </c>
      <c r="L1519" s="7">
        <f>1</f>
        <v>1</v>
      </c>
      <c r="M1519" s="7">
        <f>1</f>
        <v>1</v>
      </c>
      <c r="N1519" s="5" t="s">
        <v>242</v>
      </c>
      <c r="O1519" s="5">
        <v>1</v>
      </c>
      <c r="P1519" s="5" t="s">
        <v>294</v>
      </c>
      <c r="Q1519" s="5" t="s">
        <v>266</v>
      </c>
      <c r="R1519" s="5" t="s">
        <v>240</v>
      </c>
      <c r="S1519" s="5" t="s">
        <v>240</v>
      </c>
      <c r="T1519" s="5" t="s">
        <v>296</v>
      </c>
      <c r="U1519" s="5" t="s">
        <v>244</v>
      </c>
      <c r="V1519" s="5" t="s">
        <v>240</v>
      </c>
      <c r="Y1519" s="5" t="s">
        <v>240</v>
      </c>
      <c r="Z1519" s="6" t="s">
        <v>298</v>
      </c>
      <c r="AB1519" s="6" t="s">
        <v>240</v>
      </c>
      <c r="AE1519" s="6" t="s">
        <v>299</v>
      </c>
      <c r="AF1519" s="5" t="s">
        <v>248</v>
      </c>
      <c r="AG1519" s="5" t="s">
        <v>249</v>
      </c>
      <c r="AW1519" s="5" t="s">
        <v>251</v>
      </c>
      <c r="AX1519" s="5" t="s">
        <v>240</v>
      </c>
      <c r="AY1519" s="5" t="s">
        <v>253</v>
      </c>
      <c r="AZ1519" s="5" t="s">
        <v>240</v>
      </c>
      <c r="BA1519" s="5" t="s">
        <v>255</v>
      </c>
      <c r="BB1519" s="5" t="s">
        <v>240</v>
      </c>
      <c r="BD1519" s="5" t="s">
        <v>240</v>
      </c>
      <c r="BF1519" s="5" t="s">
        <v>301</v>
      </c>
      <c r="BG1519" s="6" t="s">
        <v>299</v>
      </c>
      <c r="BH1519" s="5" t="s">
        <v>302</v>
      </c>
      <c r="BI1519" s="5" t="s">
        <v>303</v>
      </c>
      <c r="BJ1519" s="5" t="s">
        <v>240</v>
      </c>
      <c r="BK1519" s="8">
        <f>0</f>
        <v>0</v>
      </c>
      <c r="BL1519" s="7">
        <f>0</f>
        <v>0</v>
      </c>
      <c r="BM1519" s="5" t="s">
        <v>258</v>
      </c>
      <c r="BN1519" s="5" t="s">
        <v>259</v>
      </c>
      <c r="CB1519" s="5" t="s">
        <v>240</v>
      </c>
      <c r="CC1519" s="5" t="s">
        <v>240</v>
      </c>
      <c r="CG1519" s="5" t="s">
        <v>304</v>
      </c>
      <c r="CH1519" s="5" t="s">
        <v>305</v>
      </c>
      <c r="CI1519" s="5" t="s">
        <v>240</v>
      </c>
      <c r="CL1519" s="6" t="s">
        <v>261</v>
      </c>
      <c r="CM1519" s="5" t="s">
        <v>240</v>
      </c>
      <c r="CN1519" s="5" t="s">
        <v>263</v>
      </c>
      <c r="CO1519" s="5" t="s">
        <v>240</v>
      </c>
      <c r="CP1519" s="5" t="s">
        <v>240</v>
      </c>
      <c r="CQ1519" s="5">
        <v>0</v>
      </c>
      <c r="CR1519" s="5" t="s">
        <v>306</v>
      </c>
      <c r="CS1519" s="5" t="s">
        <v>307</v>
      </c>
      <c r="CT1519" s="5" t="s">
        <v>307</v>
      </c>
      <c r="CU1519" s="5" t="s">
        <v>260</v>
      </c>
      <c r="CX1519" s="7">
        <f>1</f>
        <v>1</v>
      </c>
      <c r="CY1519" s="7">
        <f>0</f>
        <v>0</v>
      </c>
      <c r="DA1519" s="7">
        <f>0</f>
        <v>0</v>
      </c>
      <c r="DC1519" s="5" t="s">
        <v>812</v>
      </c>
      <c r="DD1519" s="5" t="s">
        <v>240</v>
      </c>
      <c r="DF1519" s="5" t="s">
        <v>812</v>
      </c>
      <c r="DG1519" s="7">
        <f>126</f>
        <v>126</v>
      </c>
      <c r="DI1519" s="5" t="s">
        <v>240</v>
      </c>
      <c r="DJ1519" s="5" t="s">
        <v>240</v>
      </c>
      <c r="DK1519" s="5" t="s">
        <v>240</v>
      </c>
      <c r="DL1519" s="5" t="s">
        <v>240</v>
      </c>
      <c r="DP1519" s="5" t="s">
        <v>240</v>
      </c>
      <c r="DQ1519" s="5" t="s">
        <v>240</v>
      </c>
      <c r="DR1519" s="5" t="s">
        <v>240</v>
      </c>
      <c r="DS1519" s="5" t="s">
        <v>240</v>
      </c>
      <c r="DV1519" s="5" t="s">
        <v>813</v>
      </c>
      <c r="DW1519" s="5" t="s">
        <v>3171</v>
      </c>
      <c r="HO1519" s="5" t="s">
        <v>312</v>
      </c>
    </row>
    <row r="1520" spans="1:240" x14ac:dyDescent="0.4">
      <c r="A1520" s="5">
        <v>3195</v>
      </c>
      <c r="B1520" s="5">
        <v>1</v>
      </c>
      <c r="C1520" s="5">
        <v>1</v>
      </c>
      <c r="D1520" s="5" t="s">
        <v>297</v>
      </c>
      <c r="E1520" s="5" t="s">
        <v>245</v>
      </c>
      <c r="F1520" s="5" t="s">
        <v>254</v>
      </c>
      <c r="G1520" s="5" t="s">
        <v>240</v>
      </c>
      <c r="H1520" s="6" t="s">
        <v>4660</v>
      </c>
      <c r="I1520" s="5" t="s">
        <v>295</v>
      </c>
      <c r="J1520" s="8">
        <f>308</f>
        <v>308</v>
      </c>
      <c r="K1520" s="5" t="s">
        <v>308</v>
      </c>
      <c r="L1520" s="7">
        <f>1</f>
        <v>1</v>
      </c>
      <c r="M1520" s="7">
        <f>1</f>
        <v>1</v>
      </c>
      <c r="N1520" s="5" t="s">
        <v>242</v>
      </c>
      <c r="O1520" s="5">
        <v>1</v>
      </c>
      <c r="P1520" s="5" t="s">
        <v>294</v>
      </c>
      <c r="Q1520" s="5" t="s">
        <v>266</v>
      </c>
      <c r="R1520" s="5" t="s">
        <v>240</v>
      </c>
      <c r="S1520" s="5" t="s">
        <v>240</v>
      </c>
      <c r="T1520" s="5" t="s">
        <v>296</v>
      </c>
      <c r="U1520" s="5" t="s">
        <v>244</v>
      </c>
      <c r="V1520" s="5" t="s">
        <v>240</v>
      </c>
      <c r="Y1520" s="5" t="s">
        <v>240</v>
      </c>
      <c r="Z1520" s="6" t="s">
        <v>298</v>
      </c>
      <c r="AB1520" s="6" t="s">
        <v>240</v>
      </c>
      <c r="AE1520" s="6" t="s">
        <v>299</v>
      </c>
      <c r="AF1520" s="5" t="s">
        <v>248</v>
      </c>
      <c r="AG1520" s="5" t="s">
        <v>249</v>
      </c>
      <c r="AW1520" s="5" t="s">
        <v>251</v>
      </c>
      <c r="AX1520" s="5" t="s">
        <v>240</v>
      </c>
      <c r="AY1520" s="5" t="s">
        <v>253</v>
      </c>
      <c r="AZ1520" s="5" t="s">
        <v>240</v>
      </c>
      <c r="BA1520" s="5" t="s">
        <v>255</v>
      </c>
      <c r="BB1520" s="5" t="s">
        <v>240</v>
      </c>
      <c r="BD1520" s="5" t="s">
        <v>240</v>
      </c>
      <c r="BF1520" s="5" t="s">
        <v>301</v>
      </c>
      <c r="BG1520" s="6" t="s">
        <v>299</v>
      </c>
      <c r="BH1520" s="5" t="s">
        <v>302</v>
      </c>
      <c r="BI1520" s="5" t="s">
        <v>303</v>
      </c>
      <c r="BJ1520" s="5" t="s">
        <v>240</v>
      </c>
      <c r="BK1520" s="8">
        <f>0</f>
        <v>0</v>
      </c>
      <c r="BL1520" s="7">
        <f>0</f>
        <v>0</v>
      </c>
      <c r="BM1520" s="5" t="s">
        <v>258</v>
      </c>
      <c r="BN1520" s="5" t="s">
        <v>259</v>
      </c>
      <c r="CB1520" s="5" t="s">
        <v>240</v>
      </c>
      <c r="CC1520" s="5" t="s">
        <v>240</v>
      </c>
      <c r="CG1520" s="5" t="s">
        <v>304</v>
      </c>
      <c r="CH1520" s="5" t="s">
        <v>305</v>
      </c>
      <c r="CI1520" s="5" t="s">
        <v>240</v>
      </c>
      <c r="CL1520" s="6" t="s">
        <v>261</v>
      </c>
      <c r="CM1520" s="5" t="s">
        <v>240</v>
      </c>
      <c r="CN1520" s="5" t="s">
        <v>263</v>
      </c>
      <c r="CO1520" s="5" t="s">
        <v>240</v>
      </c>
      <c r="CP1520" s="5" t="s">
        <v>240</v>
      </c>
      <c r="CQ1520" s="5">
        <v>0</v>
      </c>
      <c r="CR1520" s="5" t="s">
        <v>306</v>
      </c>
      <c r="CS1520" s="5" t="s">
        <v>307</v>
      </c>
      <c r="CT1520" s="5" t="s">
        <v>307</v>
      </c>
      <c r="CU1520" s="5" t="s">
        <v>260</v>
      </c>
      <c r="CX1520" s="7">
        <f>1</f>
        <v>1</v>
      </c>
      <c r="CY1520" s="7">
        <f>0</f>
        <v>0</v>
      </c>
      <c r="DA1520" s="7">
        <f>0</f>
        <v>0</v>
      </c>
      <c r="DC1520" s="5" t="s">
        <v>812</v>
      </c>
      <c r="DD1520" s="5" t="s">
        <v>240</v>
      </c>
      <c r="DF1520" s="5" t="s">
        <v>812</v>
      </c>
      <c r="DG1520" s="7">
        <f>419</f>
        <v>419</v>
      </c>
      <c r="DI1520" s="5" t="s">
        <v>240</v>
      </c>
      <c r="DJ1520" s="5" t="s">
        <v>240</v>
      </c>
      <c r="DK1520" s="5" t="s">
        <v>240</v>
      </c>
      <c r="DL1520" s="5" t="s">
        <v>240</v>
      </c>
      <c r="DP1520" s="5" t="s">
        <v>240</v>
      </c>
      <c r="DQ1520" s="5" t="s">
        <v>240</v>
      </c>
      <c r="DR1520" s="5" t="s">
        <v>240</v>
      </c>
      <c r="DS1520" s="5" t="s">
        <v>240</v>
      </c>
      <c r="DV1520" s="5" t="s">
        <v>813</v>
      </c>
      <c r="DW1520" s="5" t="s">
        <v>3173</v>
      </c>
      <c r="HO1520" s="5" t="s">
        <v>312</v>
      </c>
    </row>
    <row r="1521" spans="1:223" x14ac:dyDescent="0.4">
      <c r="A1521" s="5">
        <v>3196</v>
      </c>
      <c r="B1521" s="5">
        <v>1</v>
      </c>
      <c r="C1521" s="5">
        <v>1</v>
      </c>
      <c r="D1521" s="5" t="s">
        <v>297</v>
      </c>
      <c r="E1521" s="5" t="s">
        <v>245</v>
      </c>
      <c r="F1521" s="5" t="s">
        <v>254</v>
      </c>
      <c r="G1521" s="5" t="s">
        <v>240</v>
      </c>
      <c r="H1521" s="6" t="s">
        <v>4659</v>
      </c>
      <c r="I1521" s="5" t="s">
        <v>295</v>
      </c>
      <c r="J1521" s="8">
        <f>724</f>
        <v>724</v>
      </c>
      <c r="K1521" s="5" t="s">
        <v>308</v>
      </c>
      <c r="L1521" s="7">
        <f>1</f>
        <v>1</v>
      </c>
      <c r="M1521" s="7">
        <f>1</f>
        <v>1</v>
      </c>
      <c r="N1521" s="5" t="s">
        <v>242</v>
      </c>
      <c r="O1521" s="5">
        <v>1</v>
      </c>
      <c r="P1521" s="5" t="s">
        <v>294</v>
      </c>
      <c r="Q1521" s="5" t="s">
        <v>266</v>
      </c>
      <c r="R1521" s="5" t="s">
        <v>240</v>
      </c>
      <c r="S1521" s="5" t="s">
        <v>240</v>
      </c>
      <c r="T1521" s="5" t="s">
        <v>296</v>
      </c>
      <c r="U1521" s="5" t="s">
        <v>244</v>
      </c>
      <c r="V1521" s="5" t="s">
        <v>240</v>
      </c>
      <c r="Y1521" s="5" t="s">
        <v>240</v>
      </c>
      <c r="Z1521" s="6" t="s">
        <v>298</v>
      </c>
      <c r="AB1521" s="6" t="s">
        <v>240</v>
      </c>
      <c r="AE1521" s="6" t="s">
        <v>299</v>
      </c>
      <c r="AF1521" s="5" t="s">
        <v>248</v>
      </c>
      <c r="AG1521" s="5" t="s">
        <v>249</v>
      </c>
      <c r="AW1521" s="5" t="s">
        <v>251</v>
      </c>
      <c r="AX1521" s="5" t="s">
        <v>240</v>
      </c>
      <c r="AY1521" s="5" t="s">
        <v>253</v>
      </c>
      <c r="AZ1521" s="5" t="s">
        <v>240</v>
      </c>
      <c r="BA1521" s="5" t="s">
        <v>255</v>
      </c>
      <c r="BB1521" s="5" t="s">
        <v>240</v>
      </c>
      <c r="BD1521" s="5" t="s">
        <v>240</v>
      </c>
      <c r="BF1521" s="5" t="s">
        <v>301</v>
      </c>
      <c r="BG1521" s="6" t="s">
        <v>299</v>
      </c>
      <c r="BH1521" s="5" t="s">
        <v>302</v>
      </c>
      <c r="BI1521" s="5" t="s">
        <v>303</v>
      </c>
      <c r="BJ1521" s="5" t="s">
        <v>240</v>
      </c>
      <c r="BK1521" s="8">
        <f>0</f>
        <v>0</v>
      </c>
      <c r="BL1521" s="7">
        <f>0</f>
        <v>0</v>
      </c>
      <c r="BM1521" s="5" t="s">
        <v>258</v>
      </c>
      <c r="BN1521" s="5" t="s">
        <v>259</v>
      </c>
      <c r="CB1521" s="5" t="s">
        <v>240</v>
      </c>
      <c r="CC1521" s="5" t="s">
        <v>240</v>
      </c>
      <c r="CG1521" s="5" t="s">
        <v>304</v>
      </c>
      <c r="CH1521" s="5" t="s">
        <v>305</v>
      </c>
      <c r="CI1521" s="5" t="s">
        <v>240</v>
      </c>
      <c r="CL1521" s="6" t="s">
        <v>261</v>
      </c>
      <c r="CM1521" s="5" t="s">
        <v>240</v>
      </c>
      <c r="CN1521" s="5" t="s">
        <v>263</v>
      </c>
      <c r="CO1521" s="5" t="s">
        <v>240</v>
      </c>
      <c r="CP1521" s="5" t="s">
        <v>240</v>
      </c>
      <c r="CQ1521" s="5">
        <v>0</v>
      </c>
      <c r="CR1521" s="5" t="s">
        <v>306</v>
      </c>
      <c r="CS1521" s="5" t="s">
        <v>307</v>
      </c>
      <c r="CT1521" s="5" t="s">
        <v>307</v>
      </c>
      <c r="CU1521" s="5" t="s">
        <v>260</v>
      </c>
      <c r="CX1521" s="7">
        <f>1</f>
        <v>1</v>
      </c>
      <c r="CY1521" s="7">
        <f>0</f>
        <v>0</v>
      </c>
      <c r="DA1521" s="7">
        <f>0</f>
        <v>0</v>
      </c>
      <c r="DC1521" s="5" t="s">
        <v>812</v>
      </c>
      <c r="DD1521" s="5" t="s">
        <v>240</v>
      </c>
      <c r="DF1521" s="5" t="s">
        <v>812</v>
      </c>
      <c r="DG1521" s="7">
        <f>651</f>
        <v>651</v>
      </c>
      <c r="DI1521" s="5" t="s">
        <v>240</v>
      </c>
      <c r="DJ1521" s="5" t="s">
        <v>240</v>
      </c>
      <c r="DK1521" s="5" t="s">
        <v>240</v>
      </c>
      <c r="DL1521" s="5" t="s">
        <v>240</v>
      </c>
      <c r="DP1521" s="5" t="s">
        <v>240</v>
      </c>
      <c r="DQ1521" s="5" t="s">
        <v>240</v>
      </c>
      <c r="DR1521" s="5" t="s">
        <v>240</v>
      </c>
      <c r="DS1521" s="5" t="s">
        <v>240</v>
      </c>
      <c r="DV1521" s="5" t="s">
        <v>813</v>
      </c>
      <c r="DW1521" s="5" t="s">
        <v>3175</v>
      </c>
      <c r="HO1521" s="5" t="s">
        <v>312</v>
      </c>
    </row>
    <row r="1522" spans="1:223" x14ac:dyDescent="0.4">
      <c r="A1522" s="5">
        <v>3197</v>
      </c>
      <c r="B1522" s="5">
        <v>1</v>
      </c>
      <c r="C1522" s="5">
        <v>1</v>
      </c>
      <c r="D1522" s="5" t="s">
        <v>297</v>
      </c>
      <c r="E1522" s="5" t="s">
        <v>245</v>
      </c>
      <c r="F1522" s="5" t="s">
        <v>254</v>
      </c>
      <c r="G1522" s="5" t="s">
        <v>240</v>
      </c>
      <c r="H1522" s="6" t="s">
        <v>5769</v>
      </c>
      <c r="I1522" s="5" t="s">
        <v>295</v>
      </c>
      <c r="J1522" s="8">
        <f>1460</f>
        <v>1460</v>
      </c>
      <c r="K1522" s="5" t="s">
        <v>308</v>
      </c>
      <c r="L1522" s="7">
        <f>1</f>
        <v>1</v>
      </c>
      <c r="M1522" s="7">
        <f>1</f>
        <v>1</v>
      </c>
      <c r="N1522" s="5" t="s">
        <v>242</v>
      </c>
      <c r="O1522" s="5">
        <v>1</v>
      </c>
      <c r="P1522" s="5" t="s">
        <v>294</v>
      </c>
      <c r="Q1522" s="5" t="s">
        <v>266</v>
      </c>
      <c r="R1522" s="5" t="s">
        <v>240</v>
      </c>
      <c r="S1522" s="5" t="s">
        <v>240</v>
      </c>
      <c r="T1522" s="5" t="s">
        <v>296</v>
      </c>
      <c r="U1522" s="5" t="s">
        <v>244</v>
      </c>
      <c r="V1522" s="5" t="s">
        <v>240</v>
      </c>
      <c r="Y1522" s="5" t="s">
        <v>240</v>
      </c>
      <c r="Z1522" s="6" t="s">
        <v>298</v>
      </c>
      <c r="AB1522" s="6" t="s">
        <v>240</v>
      </c>
      <c r="AE1522" s="6" t="s">
        <v>299</v>
      </c>
      <c r="AF1522" s="5" t="s">
        <v>248</v>
      </c>
      <c r="AG1522" s="5" t="s">
        <v>249</v>
      </c>
      <c r="AW1522" s="5" t="s">
        <v>251</v>
      </c>
      <c r="AX1522" s="5" t="s">
        <v>240</v>
      </c>
      <c r="AY1522" s="5" t="s">
        <v>253</v>
      </c>
      <c r="AZ1522" s="5" t="s">
        <v>240</v>
      </c>
      <c r="BA1522" s="5" t="s">
        <v>255</v>
      </c>
      <c r="BB1522" s="5" t="s">
        <v>240</v>
      </c>
      <c r="BD1522" s="5" t="s">
        <v>240</v>
      </c>
      <c r="BF1522" s="5" t="s">
        <v>301</v>
      </c>
      <c r="BG1522" s="6" t="s">
        <v>299</v>
      </c>
      <c r="BH1522" s="5" t="s">
        <v>302</v>
      </c>
      <c r="BI1522" s="5" t="s">
        <v>303</v>
      </c>
      <c r="BJ1522" s="5" t="s">
        <v>240</v>
      </c>
      <c r="BK1522" s="8">
        <f>0</f>
        <v>0</v>
      </c>
      <c r="BL1522" s="7">
        <f>0</f>
        <v>0</v>
      </c>
      <c r="BM1522" s="5" t="s">
        <v>258</v>
      </c>
      <c r="BN1522" s="5" t="s">
        <v>259</v>
      </c>
      <c r="CB1522" s="5" t="s">
        <v>240</v>
      </c>
      <c r="CC1522" s="5" t="s">
        <v>240</v>
      </c>
      <c r="CG1522" s="5" t="s">
        <v>304</v>
      </c>
      <c r="CH1522" s="5" t="s">
        <v>305</v>
      </c>
      <c r="CI1522" s="5" t="s">
        <v>240</v>
      </c>
      <c r="CL1522" s="6" t="s">
        <v>261</v>
      </c>
      <c r="CM1522" s="5" t="s">
        <v>240</v>
      </c>
      <c r="CN1522" s="5" t="s">
        <v>263</v>
      </c>
      <c r="CO1522" s="5" t="s">
        <v>240</v>
      </c>
      <c r="CP1522" s="5" t="s">
        <v>240</v>
      </c>
      <c r="CQ1522" s="5">
        <v>0</v>
      </c>
      <c r="CR1522" s="5" t="s">
        <v>306</v>
      </c>
      <c r="CS1522" s="5" t="s">
        <v>307</v>
      </c>
      <c r="CT1522" s="5" t="s">
        <v>307</v>
      </c>
      <c r="CU1522" s="5" t="s">
        <v>260</v>
      </c>
      <c r="CX1522" s="7">
        <f>1</f>
        <v>1</v>
      </c>
      <c r="CY1522" s="7">
        <f>0</f>
        <v>0</v>
      </c>
      <c r="DA1522" s="7">
        <f>0</f>
        <v>0</v>
      </c>
      <c r="DC1522" s="5" t="s">
        <v>309</v>
      </c>
      <c r="DD1522" s="5" t="s">
        <v>240</v>
      </c>
      <c r="DF1522" s="5" t="s">
        <v>309</v>
      </c>
      <c r="DG1522" s="7">
        <f>60</f>
        <v>60</v>
      </c>
      <c r="DI1522" s="5" t="s">
        <v>240</v>
      </c>
      <c r="DJ1522" s="5" t="s">
        <v>240</v>
      </c>
      <c r="DK1522" s="5" t="s">
        <v>240</v>
      </c>
      <c r="DL1522" s="5" t="s">
        <v>240</v>
      </c>
      <c r="DP1522" s="5" t="s">
        <v>240</v>
      </c>
      <c r="DQ1522" s="5" t="s">
        <v>240</v>
      </c>
      <c r="DR1522" s="5" t="s">
        <v>240</v>
      </c>
      <c r="DS1522" s="5" t="s">
        <v>240</v>
      </c>
      <c r="DV1522" s="5" t="s">
        <v>310</v>
      </c>
      <c r="DW1522" s="5" t="s">
        <v>2150</v>
      </c>
      <c r="HO1522" s="5" t="s">
        <v>312</v>
      </c>
    </row>
    <row r="1523" spans="1:223" x14ac:dyDescent="0.4">
      <c r="A1523" s="5">
        <v>3198</v>
      </c>
      <c r="B1523" s="5">
        <v>1</v>
      </c>
      <c r="C1523" s="5">
        <v>1</v>
      </c>
      <c r="D1523" s="5" t="s">
        <v>297</v>
      </c>
      <c r="E1523" s="5" t="s">
        <v>245</v>
      </c>
      <c r="F1523" s="5" t="s">
        <v>254</v>
      </c>
      <c r="G1523" s="5" t="s">
        <v>240</v>
      </c>
      <c r="H1523" s="6" t="s">
        <v>4656</v>
      </c>
      <c r="I1523" s="5" t="s">
        <v>295</v>
      </c>
      <c r="J1523" s="8">
        <f>1474</f>
        <v>1474</v>
      </c>
      <c r="K1523" s="5" t="s">
        <v>308</v>
      </c>
      <c r="L1523" s="7">
        <f>1</f>
        <v>1</v>
      </c>
      <c r="M1523" s="7">
        <f>1</f>
        <v>1</v>
      </c>
      <c r="N1523" s="5" t="s">
        <v>242</v>
      </c>
      <c r="O1523" s="5">
        <v>1</v>
      </c>
      <c r="P1523" s="5" t="s">
        <v>294</v>
      </c>
      <c r="Q1523" s="5" t="s">
        <v>266</v>
      </c>
      <c r="R1523" s="5" t="s">
        <v>240</v>
      </c>
      <c r="S1523" s="5" t="s">
        <v>240</v>
      </c>
      <c r="T1523" s="5" t="s">
        <v>296</v>
      </c>
      <c r="U1523" s="5" t="s">
        <v>244</v>
      </c>
      <c r="V1523" s="5" t="s">
        <v>240</v>
      </c>
      <c r="Y1523" s="5" t="s">
        <v>240</v>
      </c>
      <c r="Z1523" s="6" t="s">
        <v>298</v>
      </c>
      <c r="AB1523" s="6" t="s">
        <v>240</v>
      </c>
      <c r="AE1523" s="6" t="s">
        <v>299</v>
      </c>
      <c r="AF1523" s="5" t="s">
        <v>248</v>
      </c>
      <c r="AG1523" s="5" t="s">
        <v>249</v>
      </c>
      <c r="AW1523" s="5" t="s">
        <v>251</v>
      </c>
      <c r="AX1523" s="5" t="s">
        <v>240</v>
      </c>
      <c r="AY1523" s="5" t="s">
        <v>253</v>
      </c>
      <c r="AZ1523" s="5" t="s">
        <v>240</v>
      </c>
      <c r="BA1523" s="5" t="s">
        <v>255</v>
      </c>
      <c r="BB1523" s="5" t="s">
        <v>240</v>
      </c>
      <c r="BD1523" s="5" t="s">
        <v>240</v>
      </c>
      <c r="BF1523" s="5" t="s">
        <v>301</v>
      </c>
      <c r="BG1523" s="6" t="s">
        <v>299</v>
      </c>
      <c r="BH1523" s="5" t="s">
        <v>302</v>
      </c>
      <c r="BI1523" s="5" t="s">
        <v>303</v>
      </c>
      <c r="BJ1523" s="5" t="s">
        <v>240</v>
      </c>
      <c r="BK1523" s="8">
        <f>0</f>
        <v>0</v>
      </c>
      <c r="BL1523" s="7">
        <f>0</f>
        <v>0</v>
      </c>
      <c r="BM1523" s="5" t="s">
        <v>258</v>
      </c>
      <c r="BN1523" s="5" t="s">
        <v>259</v>
      </c>
      <c r="CB1523" s="5" t="s">
        <v>240</v>
      </c>
      <c r="CC1523" s="5" t="s">
        <v>240</v>
      </c>
      <c r="CG1523" s="5" t="s">
        <v>304</v>
      </c>
      <c r="CH1523" s="5" t="s">
        <v>305</v>
      </c>
      <c r="CI1523" s="5" t="s">
        <v>240</v>
      </c>
      <c r="CL1523" s="6" t="s">
        <v>261</v>
      </c>
      <c r="CM1523" s="5" t="s">
        <v>240</v>
      </c>
      <c r="CN1523" s="5" t="s">
        <v>263</v>
      </c>
      <c r="CO1523" s="5" t="s">
        <v>240</v>
      </c>
      <c r="CP1523" s="5" t="s">
        <v>240</v>
      </c>
      <c r="CQ1523" s="5">
        <v>0</v>
      </c>
      <c r="CR1523" s="5" t="s">
        <v>306</v>
      </c>
      <c r="CS1523" s="5" t="s">
        <v>307</v>
      </c>
      <c r="CT1523" s="5" t="s">
        <v>307</v>
      </c>
      <c r="CU1523" s="5" t="s">
        <v>260</v>
      </c>
      <c r="CX1523" s="7">
        <f>1</f>
        <v>1</v>
      </c>
      <c r="CY1523" s="7">
        <f>0</f>
        <v>0</v>
      </c>
      <c r="DA1523" s="7">
        <f>0</f>
        <v>0</v>
      </c>
      <c r="DC1523" s="5" t="s">
        <v>812</v>
      </c>
      <c r="DD1523" s="5" t="s">
        <v>240</v>
      </c>
      <c r="DF1523" s="5" t="s">
        <v>812</v>
      </c>
      <c r="DG1523" s="7">
        <f>335</f>
        <v>335</v>
      </c>
      <c r="DI1523" s="5" t="s">
        <v>240</v>
      </c>
      <c r="DJ1523" s="5" t="s">
        <v>240</v>
      </c>
      <c r="DK1523" s="5" t="s">
        <v>240</v>
      </c>
      <c r="DL1523" s="5" t="s">
        <v>240</v>
      </c>
      <c r="DP1523" s="5" t="s">
        <v>240</v>
      </c>
      <c r="DQ1523" s="5" t="s">
        <v>240</v>
      </c>
      <c r="DR1523" s="5" t="s">
        <v>240</v>
      </c>
      <c r="DS1523" s="5" t="s">
        <v>240</v>
      </c>
      <c r="DV1523" s="5" t="s">
        <v>813</v>
      </c>
      <c r="DW1523" s="5" t="s">
        <v>3178</v>
      </c>
      <c r="HO1523" s="5" t="s">
        <v>312</v>
      </c>
    </row>
    <row r="1524" spans="1:223" x14ac:dyDescent="0.4">
      <c r="A1524" s="5">
        <v>3199</v>
      </c>
      <c r="B1524" s="5">
        <v>1</v>
      </c>
      <c r="C1524" s="5">
        <v>1</v>
      </c>
      <c r="D1524" s="5" t="s">
        <v>297</v>
      </c>
      <c r="E1524" s="5" t="s">
        <v>245</v>
      </c>
      <c r="F1524" s="5" t="s">
        <v>254</v>
      </c>
      <c r="G1524" s="5" t="s">
        <v>240</v>
      </c>
      <c r="H1524" s="6" t="s">
        <v>4655</v>
      </c>
      <c r="I1524" s="5" t="s">
        <v>295</v>
      </c>
      <c r="J1524" s="8">
        <f>1314</f>
        <v>1314</v>
      </c>
      <c r="K1524" s="5" t="s">
        <v>308</v>
      </c>
      <c r="L1524" s="7">
        <f>1</f>
        <v>1</v>
      </c>
      <c r="M1524" s="7">
        <f>1</f>
        <v>1</v>
      </c>
      <c r="N1524" s="5" t="s">
        <v>242</v>
      </c>
      <c r="O1524" s="5">
        <v>1</v>
      </c>
      <c r="P1524" s="5" t="s">
        <v>294</v>
      </c>
      <c r="Q1524" s="5" t="s">
        <v>266</v>
      </c>
      <c r="R1524" s="5" t="s">
        <v>240</v>
      </c>
      <c r="S1524" s="5" t="s">
        <v>240</v>
      </c>
      <c r="T1524" s="5" t="s">
        <v>296</v>
      </c>
      <c r="U1524" s="5" t="s">
        <v>244</v>
      </c>
      <c r="V1524" s="5" t="s">
        <v>240</v>
      </c>
      <c r="Y1524" s="5" t="s">
        <v>240</v>
      </c>
      <c r="Z1524" s="6" t="s">
        <v>298</v>
      </c>
      <c r="AB1524" s="6" t="s">
        <v>240</v>
      </c>
      <c r="AE1524" s="6" t="s">
        <v>299</v>
      </c>
      <c r="AF1524" s="5" t="s">
        <v>248</v>
      </c>
      <c r="AG1524" s="5" t="s">
        <v>249</v>
      </c>
      <c r="AW1524" s="5" t="s">
        <v>251</v>
      </c>
      <c r="AX1524" s="5" t="s">
        <v>240</v>
      </c>
      <c r="AY1524" s="5" t="s">
        <v>253</v>
      </c>
      <c r="AZ1524" s="5" t="s">
        <v>240</v>
      </c>
      <c r="BA1524" s="5" t="s">
        <v>255</v>
      </c>
      <c r="BB1524" s="5" t="s">
        <v>240</v>
      </c>
      <c r="BD1524" s="5" t="s">
        <v>240</v>
      </c>
      <c r="BF1524" s="5" t="s">
        <v>301</v>
      </c>
      <c r="BG1524" s="6" t="s">
        <v>299</v>
      </c>
      <c r="BH1524" s="5" t="s">
        <v>302</v>
      </c>
      <c r="BI1524" s="5" t="s">
        <v>303</v>
      </c>
      <c r="BJ1524" s="5" t="s">
        <v>240</v>
      </c>
      <c r="BK1524" s="8">
        <f>0</f>
        <v>0</v>
      </c>
      <c r="BL1524" s="7">
        <f>0</f>
        <v>0</v>
      </c>
      <c r="BM1524" s="5" t="s">
        <v>258</v>
      </c>
      <c r="BN1524" s="5" t="s">
        <v>259</v>
      </c>
      <c r="CB1524" s="5" t="s">
        <v>240</v>
      </c>
      <c r="CC1524" s="5" t="s">
        <v>240</v>
      </c>
      <c r="CG1524" s="5" t="s">
        <v>304</v>
      </c>
      <c r="CH1524" s="5" t="s">
        <v>305</v>
      </c>
      <c r="CI1524" s="5" t="s">
        <v>240</v>
      </c>
      <c r="CL1524" s="6" t="s">
        <v>261</v>
      </c>
      <c r="CM1524" s="5" t="s">
        <v>240</v>
      </c>
      <c r="CN1524" s="5" t="s">
        <v>263</v>
      </c>
      <c r="CO1524" s="5" t="s">
        <v>240</v>
      </c>
      <c r="CP1524" s="5" t="s">
        <v>240</v>
      </c>
      <c r="CQ1524" s="5">
        <v>0</v>
      </c>
      <c r="CR1524" s="5" t="s">
        <v>306</v>
      </c>
      <c r="CS1524" s="5" t="s">
        <v>307</v>
      </c>
      <c r="CT1524" s="5" t="s">
        <v>307</v>
      </c>
      <c r="CU1524" s="5" t="s">
        <v>260</v>
      </c>
      <c r="CX1524" s="7">
        <f>1</f>
        <v>1</v>
      </c>
      <c r="CY1524" s="7">
        <f>0</f>
        <v>0</v>
      </c>
      <c r="DA1524" s="7">
        <f>0</f>
        <v>0</v>
      </c>
      <c r="DC1524" s="5" t="s">
        <v>812</v>
      </c>
      <c r="DD1524" s="5" t="s">
        <v>240</v>
      </c>
      <c r="DF1524" s="5" t="s">
        <v>812</v>
      </c>
      <c r="DG1524" s="7">
        <f>253</f>
        <v>253</v>
      </c>
      <c r="DI1524" s="5" t="s">
        <v>240</v>
      </c>
      <c r="DJ1524" s="5" t="s">
        <v>240</v>
      </c>
      <c r="DK1524" s="5" t="s">
        <v>240</v>
      </c>
      <c r="DL1524" s="5" t="s">
        <v>240</v>
      </c>
      <c r="DP1524" s="5" t="s">
        <v>240</v>
      </c>
      <c r="DQ1524" s="5" t="s">
        <v>240</v>
      </c>
      <c r="DR1524" s="5" t="s">
        <v>240</v>
      </c>
      <c r="DS1524" s="5" t="s">
        <v>240</v>
      </c>
      <c r="DV1524" s="5" t="s">
        <v>813</v>
      </c>
      <c r="DW1524" s="5" t="s">
        <v>3180</v>
      </c>
      <c r="HO1524" s="5" t="s">
        <v>312</v>
      </c>
    </row>
    <row r="1525" spans="1:223" x14ac:dyDescent="0.4">
      <c r="A1525" s="5">
        <v>3200</v>
      </c>
      <c r="B1525" s="5">
        <v>1</v>
      </c>
      <c r="C1525" s="5">
        <v>1</v>
      </c>
      <c r="D1525" s="5" t="s">
        <v>297</v>
      </c>
      <c r="E1525" s="5" t="s">
        <v>245</v>
      </c>
      <c r="F1525" s="5" t="s">
        <v>254</v>
      </c>
      <c r="G1525" s="5" t="s">
        <v>240</v>
      </c>
      <c r="H1525" s="6" t="s">
        <v>4654</v>
      </c>
      <c r="I1525" s="5" t="s">
        <v>295</v>
      </c>
      <c r="J1525" s="8">
        <f>852</f>
        <v>852</v>
      </c>
      <c r="K1525" s="5" t="s">
        <v>308</v>
      </c>
      <c r="L1525" s="7">
        <f>1</f>
        <v>1</v>
      </c>
      <c r="M1525" s="7">
        <f>1</f>
        <v>1</v>
      </c>
      <c r="N1525" s="5" t="s">
        <v>242</v>
      </c>
      <c r="O1525" s="5">
        <v>1</v>
      </c>
      <c r="P1525" s="5" t="s">
        <v>294</v>
      </c>
      <c r="Q1525" s="5" t="s">
        <v>266</v>
      </c>
      <c r="R1525" s="5" t="s">
        <v>240</v>
      </c>
      <c r="S1525" s="5" t="s">
        <v>240</v>
      </c>
      <c r="T1525" s="5" t="s">
        <v>296</v>
      </c>
      <c r="U1525" s="5" t="s">
        <v>244</v>
      </c>
      <c r="V1525" s="5" t="s">
        <v>240</v>
      </c>
      <c r="Y1525" s="5" t="s">
        <v>240</v>
      </c>
      <c r="Z1525" s="6" t="s">
        <v>298</v>
      </c>
      <c r="AB1525" s="6" t="s">
        <v>240</v>
      </c>
      <c r="AE1525" s="6" t="s">
        <v>299</v>
      </c>
      <c r="AF1525" s="5" t="s">
        <v>248</v>
      </c>
      <c r="AG1525" s="5" t="s">
        <v>249</v>
      </c>
      <c r="AW1525" s="5" t="s">
        <v>251</v>
      </c>
      <c r="AX1525" s="5" t="s">
        <v>240</v>
      </c>
      <c r="AY1525" s="5" t="s">
        <v>253</v>
      </c>
      <c r="AZ1525" s="5" t="s">
        <v>240</v>
      </c>
      <c r="BA1525" s="5" t="s">
        <v>255</v>
      </c>
      <c r="BB1525" s="5" t="s">
        <v>240</v>
      </c>
      <c r="BD1525" s="5" t="s">
        <v>240</v>
      </c>
      <c r="BF1525" s="5" t="s">
        <v>301</v>
      </c>
      <c r="BG1525" s="6" t="s">
        <v>299</v>
      </c>
      <c r="BH1525" s="5" t="s">
        <v>302</v>
      </c>
      <c r="BI1525" s="5" t="s">
        <v>303</v>
      </c>
      <c r="BJ1525" s="5" t="s">
        <v>240</v>
      </c>
      <c r="BK1525" s="8">
        <f>0</f>
        <v>0</v>
      </c>
      <c r="BL1525" s="7">
        <f>0</f>
        <v>0</v>
      </c>
      <c r="BM1525" s="5" t="s">
        <v>258</v>
      </c>
      <c r="BN1525" s="5" t="s">
        <v>259</v>
      </c>
      <c r="CB1525" s="5" t="s">
        <v>240</v>
      </c>
      <c r="CC1525" s="5" t="s">
        <v>240</v>
      </c>
      <c r="CG1525" s="5" t="s">
        <v>304</v>
      </c>
      <c r="CH1525" s="5" t="s">
        <v>305</v>
      </c>
      <c r="CI1525" s="5" t="s">
        <v>240</v>
      </c>
      <c r="CL1525" s="6" t="s">
        <v>261</v>
      </c>
      <c r="CM1525" s="5" t="s">
        <v>240</v>
      </c>
      <c r="CN1525" s="5" t="s">
        <v>263</v>
      </c>
      <c r="CO1525" s="5" t="s">
        <v>240</v>
      </c>
      <c r="CP1525" s="5" t="s">
        <v>240</v>
      </c>
      <c r="CQ1525" s="5">
        <v>0</v>
      </c>
      <c r="CR1525" s="5" t="s">
        <v>306</v>
      </c>
      <c r="CS1525" s="5" t="s">
        <v>307</v>
      </c>
      <c r="CT1525" s="5" t="s">
        <v>307</v>
      </c>
      <c r="CU1525" s="5" t="s">
        <v>260</v>
      </c>
      <c r="CX1525" s="7">
        <f>1</f>
        <v>1</v>
      </c>
      <c r="CY1525" s="7">
        <f>0</f>
        <v>0</v>
      </c>
      <c r="DA1525" s="7">
        <f>0</f>
        <v>0</v>
      </c>
      <c r="DC1525" s="5" t="s">
        <v>812</v>
      </c>
      <c r="DD1525" s="5" t="s">
        <v>240</v>
      </c>
      <c r="DF1525" s="5" t="s">
        <v>812</v>
      </c>
      <c r="DG1525" s="7">
        <f>300</f>
        <v>300</v>
      </c>
      <c r="DI1525" s="5" t="s">
        <v>240</v>
      </c>
      <c r="DJ1525" s="5" t="s">
        <v>240</v>
      </c>
      <c r="DK1525" s="5" t="s">
        <v>240</v>
      </c>
      <c r="DL1525" s="5" t="s">
        <v>240</v>
      </c>
      <c r="DP1525" s="5" t="s">
        <v>240</v>
      </c>
      <c r="DQ1525" s="5" t="s">
        <v>240</v>
      </c>
      <c r="DR1525" s="5" t="s">
        <v>240</v>
      </c>
      <c r="DS1525" s="5" t="s">
        <v>240</v>
      </c>
      <c r="DV1525" s="5" t="s">
        <v>813</v>
      </c>
      <c r="DW1525" s="5" t="s">
        <v>3182</v>
      </c>
      <c r="HO1525" s="5" t="s">
        <v>312</v>
      </c>
    </row>
    <row r="1526" spans="1:223" x14ac:dyDescent="0.4">
      <c r="A1526" s="5">
        <v>3201</v>
      </c>
      <c r="B1526" s="5">
        <v>1</v>
      </c>
      <c r="C1526" s="5">
        <v>1</v>
      </c>
      <c r="D1526" s="5" t="s">
        <v>297</v>
      </c>
      <c r="E1526" s="5" t="s">
        <v>245</v>
      </c>
      <c r="F1526" s="5" t="s">
        <v>254</v>
      </c>
      <c r="G1526" s="5" t="s">
        <v>240</v>
      </c>
      <c r="H1526" s="6" t="s">
        <v>4653</v>
      </c>
      <c r="I1526" s="5" t="s">
        <v>295</v>
      </c>
      <c r="J1526" s="8">
        <f>648</f>
        <v>648</v>
      </c>
      <c r="K1526" s="5" t="s">
        <v>308</v>
      </c>
      <c r="L1526" s="7">
        <f>1</f>
        <v>1</v>
      </c>
      <c r="M1526" s="7">
        <f>1</f>
        <v>1</v>
      </c>
      <c r="N1526" s="5" t="s">
        <v>242</v>
      </c>
      <c r="O1526" s="5">
        <v>1</v>
      </c>
      <c r="P1526" s="5" t="s">
        <v>294</v>
      </c>
      <c r="Q1526" s="5" t="s">
        <v>266</v>
      </c>
      <c r="R1526" s="5" t="s">
        <v>240</v>
      </c>
      <c r="S1526" s="5" t="s">
        <v>240</v>
      </c>
      <c r="T1526" s="5" t="s">
        <v>296</v>
      </c>
      <c r="U1526" s="5" t="s">
        <v>244</v>
      </c>
      <c r="V1526" s="5" t="s">
        <v>240</v>
      </c>
      <c r="Y1526" s="5" t="s">
        <v>240</v>
      </c>
      <c r="Z1526" s="6" t="s">
        <v>298</v>
      </c>
      <c r="AB1526" s="6" t="s">
        <v>240</v>
      </c>
      <c r="AE1526" s="6" t="s">
        <v>299</v>
      </c>
      <c r="AF1526" s="5" t="s">
        <v>248</v>
      </c>
      <c r="AG1526" s="5" t="s">
        <v>249</v>
      </c>
      <c r="AW1526" s="5" t="s">
        <v>251</v>
      </c>
      <c r="AX1526" s="5" t="s">
        <v>240</v>
      </c>
      <c r="AY1526" s="5" t="s">
        <v>253</v>
      </c>
      <c r="AZ1526" s="5" t="s">
        <v>240</v>
      </c>
      <c r="BA1526" s="5" t="s">
        <v>255</v>
      </c>
      <c r="BB1526" s="5" t="s">
        <v>240</v>
      </c>
      <c r="BD1526" s="5" t="s">
        <v>240</v>
      </c>
      <c r="BF1526" s="5" t="s">
        <v>301</v>
      </c>
      <c r="BG1526" s="6" t="s">
        <v>299</v>
      </c>
      <c r="BH1526" s="5" t="s">
        <v>302</v>
      </c>
      <c r="BI1526" s="5" t="s">
        <v>303</v>
      </c>
      <c r="BJ1526" s="5" t="s">
        <v>240</v>
      </c>
      <c r="BK1526" s="8">
        <f>0</f>
        <v>0</v>
      </c>
      <c r="BL1526" s="7">
        <f>0</f>
        <v>0</v>
      </c>
      <c r="BM1526" s="5" t="s">
        <v>258</v>
      </c>
      <c r="BN1526" s="5" t="s">
        <v>259</v>
      </c>
      <c r="CB1526" s="5" t="s">
        <v>240</v>
      </c>
      <c r="CC1526" s="5" t="s">
        <v>240</v>
      </c>
      <c r="CG1526" s="5" t="s">
        <v>304</v>
      </c>
      <c r="CH1526" s="5" t="s">
        <v>305</v>
      </c>
      <c r="CI1526" s="5" t="s">
        <v>240</v>
      </c>
      <c r="CL1526" s="6" t="s">
        <v>261</v>
      </c>
      <c r="CM1526" s="5" t="s">
        <v>240</v>
      </c>
      <c r="CN1526" s="5" t="s">
        <v>263</v>
      </c>
      <c r="CO1526" s="5" t="s">
        <v>240</v>
      </c>
      <c r="CP1526" s="5" t="s">
        <v>240</v>
      </c>
      <c r="CQ1526" s="5">
        <v>0</v>
      </c>
      <c r="CR1526" s="5" t="s">
        <v>306</v>
      </c>
      <c r="CS1526" s="5" t="s">
        <v>307</v>
      </c>
      <c r="CT1526" s="5" t="s">
        <v>307</v>
      </c>
      <c r="CU1526" s="5" t="s">
        <v>260</v>
      </c>
      <c r="CX1526" s="7">
        <f>1</f>
        <v>1</v>
      </c>
      <c r="CY1526" s="7">
        <f>0</f>
        <v>0</v>
      </c>
      <c r="DA1526" s="7">
        <f>0</f>
        <v>0</v>
      </c>
      <c r="DC1526" s="5" t="s">
        <v>812</v>
      </c>
      <c r="DD1526" s="5" t="s">
        <v>240</v>
      </c>
      <c r="DF1526" s="5" t="s">
        <v>812</v>
      </c>
      <c r="DG1526" s="7">
        <f>48</f>
        <v>48</v>
      </c>
      <c r="DI1526" s="5" t="s">
        <v>240</v>
      </c>
      <c r="DJ1526" s="5" t="s">
        <v>240</v>
      </c>
      <c r="DK1526" s="5" t="s">
        <v>240</v>
      </c>
      <c r="DL1526" s="5" t="s">
        <v>240</v>
      </c>
      <c r="DP1526" s="5" t="s">
        <v>240</v>
      </c>
      <c r="DQ1526" s="5" t="s">
        <v>240</v>
      </c>
      <c r="DR1526" s="5" t="s">
        <v>240</v>
      </c>
      <c r="DS1526" s="5" t="s">
        <v>240</v>
      </c>
      <c r="DV1526" s="5" t="s">
        <v>813</v>
      </c>
      <c r="DW1526" s="5" t="s">
        <v>3184</v>
      </c>
      <c r="HO1526" s="5" t="s">
        <v>312</v>
      </c>
    </row>
    <row r="1527" spans="1:223" x14ac:dyDescent="0.4">
      <c r="A1527" s="5">
        <v>3202</v>
      </c>
      <c r="B1527" s="5">
        <v>1</v>
      </c>
      <c r="C1527" s="5">
        <v>1</v>
      </c>
      <c r="D1527" s="5" t="s">
        <v>297</v>
      </c>
      <c r="E1527" s="5" t="s">
        <v>245</v>
      </c>
      <c r="F1527" s="5" t="s">
        <v>254</v>
      </c>
      <c r="G1527" s="5" t="s">
        <v>240</v>
      </c>
      <c r="H1527" s="6" t="s">
        <v>4652</v>
      </c>
      <c r="I1527" s="5" t="s">
        <v>295</v>
      </c>
      <c r="J1527" s="8">
        <f>2041</f>
        <v>2041</v>
      </c>
      <c r="K1527" s="5" t="s">
        <v>308</v>
      </c>
      <c r="L1527" s="7">
        <f>1</f>
        <v>1</v>
      </c>
      <c r="M1527" s="7">
        <f>1</f>
        <v>1</v>
      </c>
      <c r="N1527" s="5" t="s">
        <v>242</v>
      </c>
      <c r="O1527" s="5">
        <v>1</v>
      </c>
      <c r="P1527" s="5" t="s">
        <v>294</v>
      </c>
      <c r="Q1527" s="5" t="s">
        <v>266</v>
      </c>
      <c r="R1527" s="5" t="s">
        <v>240</v>
      </c>
      <c r="S1527" s="5" t="s">
        <v>240</v>
      </c>
      <c r="T1527" s="5" t="s">
        <v>296</v>
      </c>
      <c r="U1527" s="5" t="s">
        <v>244</v>
      </c>
      <c r="V1527" s="5" t="s">
        <v>240</v>
      </c>
      <c r="Y1527" s="5" t="s">
        <v>240</v>
      </c>
      <c r="Z1527" s="6" t="s">
        <v>298</v>
      </c>
      <c r="AB1527" s="6" t="s">
        <v>240</v>
      </c>
      <c r="AE1527" s="6" t="s">
        <v>299</v>
      </c>
      <c r="AF1527" s="5" t="s">
        <v>248</v>
      </c>
      <c r="AG1527" s="5" t="s">
        <v>249</v>
      </c>
      <c r="AW1527" s="5" t="s">
        <v>251</v>
      </c>
      <c r="AX1527" s="5" t="s">
        <v>240</v>
      </c>
      <c r="AY1527" s="5" t="s">
        <v>253</v>
      </c>
      <c r="AZ1527" s="5" t="s">
        <v>240</v>
      </c>
      <c r="BA1527" s="5" t="s">
        <v>255</v>
      </c>
      <c r="BB1527" s="5" t="s">
        <v>240</v>
      </c>
      <c r="BD1527" s="5" t="s">
        <v>240</v>
      </c>
      <c r="BF1527" s="5" t="s">
        <v>301</v>
      </c>
      <c r="BG1527" s="6" t="s">
        <v>299</v>
      </c>
      <c r="BH1527" s="5" t="s">
        <v>302</v>
      </c>
      <c r="BI1527" s="5" t="s">
        <v>303</v>
      </c>
      <c r="BJ1527" s="5" t="s">
        <v>240</v>
      </c>
      <c r="BK1527" s="8">
        <f>0</f>
        <v>0</v>
      </c>
      <c r="BL1527" s="7">
        <f>0</f>
        <v>0</v>
      </c>
      <c r="BM1527" s="5" t="s">
        <v>258</v>
      </c>
      <c r="BN1527" s="5" t="s">
        <v>259</v>
      </c>
      <c r="CB1527" s="5" t="s">
        <v>240</v>
      </c>
      <c r="CC1527" s="5" t="s">
        <v>240</v>
      </c>
      <c r="CG1527" s="5" t="s">
        <v>304</v>
      </c>
      <c r="CH1527" s="5" t="s">
        <v>305</v>
      </c>
      <c r="CI1527" s="5" t="s">
        <v>240</v>
      </c>
      <c r="CL1527" s="6" t="s">
        <v>261</v>
      </c>
      <c r="CM1527" s="5" t="s">
        <v>240</v>
      </c>
      <c r="CN1527" s="5" t="s">
        <v>263</v>
      </c>
      <c r="CO1527" s="5" t="s">
        <v>240</v>
      </c>
      <c r="CP1527" s="5" t="s">
        <v>240</v>
      </c>
      <c r="CQ1527" s="5">
        <v>0</v>
      </c>
      <c r="CR1527" s="5" t="s">
        <v>306</v>
      </c>
      <c r="CS1527" s="5" t="s">
        <v>307</v>
      </c>
      <c r="CT1527" s="5" t="s">
        <v>307</v>
      </c>
      <c r="CU1527" s="5" t="s">
        <v>260</v>
      </c>
      <c r="CX1527" s="7">
        <f>1</f>
        <v>1</v>
      </c>
      <c r="CY1527" s="7">
        <f>0</f>
        <v>0</v>
      </c>
      <c r="DA1527" s="7">
        <f>0</f>
        <v>0</v>
      </c>
      <c r="DC1527" s="5" t="s">
        <v>812</v>
      </c>
      <c r="DD1527" s="5" t="s">
        <v>240</v>
      </c>
      <c r="DF1527" s="5" t="s">
        <v>812</v>
      </c>
      <c r="DG1527" s="7">
        <f>2352</f>
        <v>2352</v>
      </c>
      <c r="DI1527" s="5" t="s">
        <v>240</v>
      </c>
      <c r="DJ1527" s="5" t="s">
        <v>240</v>
      </c>
      <c r="DK1527" s="5" t="s">
        <v>240</v>
      </c>
      <c r="DL1527" s="5" t="s">
        <v>240</v>
      </c>
      <c r="DP1527" s="5" t="s">
        <v>240</v>
      </c>
      <c r="DQ1527" s="5" t="s">
        <v>240</v>
      </c>
      <c r="DR1527" s="5" t="s">
        <v>240</v>
      </c>
      <c r="DS1527" s="5" t="s">
        <v>240</v>
      </c>
      <c r="DV1527" s="5" t="s">
        <v>813</v>
      </c>
      <c r="DW1527" s="5" t="s">
        <v>3186</v>
      </c>
      <c r="HO1527" s="5" t="s">
        <v>312</v>
      </c>
    </row>
    <row r="1528" spans="1:223" x14ac:dyDescent="0.4">
      <c r="A1528" s="5">
        <v>3203</v>
      </c>
      <c r="B1528" s="5">
        <v>1</v>
      </c>
      <c r="C1528" s="5">
        <v>1</v>
      </c>
      <c r="D1528" s="5" t="s">
        <v>297</v>
      </c>
      <c r="E1528" s="5" t="s">
        <v>245</v>
      </c>
      <c r="F1528" s="5" t="s">
        <v>254</v>
      </c>
      <c r="G1528" s="5" t="s">
        <v>240</v>
      </c>
      <c r="H1528" s="6" t="s">
        <v>4651</v>
      </c>
      <c r="I1528" s="5" t="s">
        <v>295</v>
      </c>
      <c r="J1528" s="8">
        <f>604</f>
        <v>604</v>
      </c>
      <c r="K1528" s="5" t="s">
        <v>308</v>
      </c>
      <c r="L1528" s="7">
        <f>1</f>
        <v>1</v>
      </c>
      <c r="M1528" s="7">
        <f>1</f>
        <v>1</v>
      </c>
      <c r="N1528" s="5" t="s">
        <v>242</v>
      </c>
      <c r="O1528" s="5">
        <v>1</v>
      </c>
      <c r="P1528" s="5" t="s">
        <v>294</v>
      </c>
      <c r="Q1528" s="5" t="s">
        <v>266</v>
      </c>
      <c r="R1528" s="5" t="s">
        <v>240</v>
      </c>
      <c r="S1528" s="5" t="s">
        <v>240</v>
      </c>
      <c r="T1528" s="5" t="s">
        <v>296</v>
      </c>
      <c r="U1528" s="5" t="s">
        <v>244</v>
      </c>
      <c r="V1528" s="5" t="s">
        <v>240</v>
      </c>
      <c r="Y1528" s="5" t="s">
        <v>240</v>
      </c>
      <c r="Z1528" s="6" t="s">
        <v>298</v>
      </c>
      <c r="AB1528" s="6" t="s">
        <v>240</v>
      </c>
      <c r="AE1528" s="6" t="s">
        <v>299</v>
      </c>
      <c r="AF1528" s="5" t="s">
        <v>248</v>
      </c>
      <c r="AG1528" s="5" t="s">
        <v>249</v>
      </c>
      <c r="AW1528" s="5" t="s">
        <v>251</v>
      </c>
      <c r="AX1528" s="5" t="s">
        <v>240</v>
      </c>
      <c r="AY1528" s="5" t="s">
        <v>253</v>
      </c>
      <c r="AZ1528" s="5" t="s">
        <v>240</v>
      </c>
      <c r="BA1528" s="5" t="s">
        <v>255</v>
      </c>
      <c r="BB1528" s="5" t="s">
        <v>240</v>
      </c>
      <c r="BD1528" s="5" t="s">
        <v>240</v>
      </c>
      <c r="BF1528" s="5" t="s">
        <v>301</v>
      </c>
      <c r="BG1528" s="6" t="s">
        <v>299</v>
      </c>
      <c r="BH1528" s="5" t="s">
        <v>302</v>
      </c>
      <c r="BI1528" s="5" t="s">
        <v>303</v>
      </c>
      <c r="BJ1528" s="5" t="s">
        <v>240</v>
      </c>
      <c r="BK1528" s="8">
        <f>0</f>
        <v>0</v>
      </c>
      <c r="BL1528" s="7">
        <f>0</f>
        <v>0</v>
      </c>
      <c r="BM1528" s="5" t="s">
        <v>258</v>
      </c>
      <c r="BN1528" s="5" t="s">
        <v>259</v>
      </c>
      <c r="CB1528" s="5" t="s">
        <v>240</v>
      </c>
      <c r="CC1528" s="5" t="s">
        <v>240</v>
      </c>
      <c r="CG1528" s="5" t="s">
        <v>304</v>
      </c>
      <c r="CH1528" s="5" t="s">
        <v>305</v>
      </c>
      <c r="CI1528" s="5" t="s">
        <v>240</v>
      </c>
      <c r="CL1528" s="6" t="s">
        <v>261</v>
      </c>
      <c r="CM1528" s="5" t="s">
        <v>240</v>
      </c>
      <c r="CN1528" s="5" t="s">
        <v>263</v>
      </c>
      <c r="CO1528" s="5" t="s">
        <v>240</v>
      </c>
      <c r="CP1528" s="5" t="s">
        <v>240</v>
      </c>
      <c r="CQ1528" s="5">
        <v>0</v>
      </c>
      <c r="CR1528" s="5" t="s">
        <v>306</v>
      </c>
      <c r="CS1528" s="5" t="s">
        <v>307</v>
      </c>
      <c r="CT1528" s="5" t="s">
        <v>307</v>
      </c>
      <c r="CU1528" s="5" t="s">
        <v>260</v>
      </c>
      <c r="CX1528" s="7">
        <f>1</f>
        <v>1</v>
      </c>
      <c r="CY1528" s="7">
        <f>0</f>
        <v>0</v>
      </c>
      <c r="DA1528" s="7">
        <f>0</f>
        <v>0</v>
      </c>
      <c r="DC1528" s="5" t="s">
        <v>812</v>
      </c>
      <c r="DD1528" s="5" t="s">
        <v>240</v>
      </c>
      <c r="DF1528" s="5" t="s">
        <v>812</v>
      </c>
      <c r="DG1528" s="7">
        <f>1541</f>
        <v>1541</v>
      </c>
      <c r="DI1528" s="5" t="s">
        <v>240</v>
      </c>
      <c r="DJ1528" s="5" t="s">
        <v>240</v>
      </c>
      <c r="DK1528" s="5" t="s">
        <v>240</v>
      </c>
      <c r="DL1528" s="5" t="s">
        <v>240</v>
      </c>
      <c r="DP1528" s="5" t="s">
        <v>240</v>
      </c>
      <c r="DQ1528" s="5" t="s">
        <v>240</v>
      </c>
      <c r="DR1528" s="5" t="s">
        <v>240</v>
      </c>
      <c r="DS1528" s="5" t="s">
        <v>240</v>
      </c>
      <c r="DV1528" s="5" t="s">
        <v>813</v>
      </c>
      <c r="DW1528" s="5" t="s">
        <v>3188</v>
      </c>
      <c r="HO1528" s="5" t="s">
        <v>312</v>
      </c>
    </row>
    <row r="1529" spans="1:223" x14ac:dyDescent="0.4">
      <c r="A1529" s="5">
        <v>3204</v>
      </c>
      <c r="B1529" s="5">
        <v>1</v>
      </c>
      <c r="C1529" s="5">
        <v>1</v>
      </c>
      <c r="D1529" s="5" t="s">
        <v>297</v>
      </c>
      <c r="E1529" s="5" t="s">
        <v>245</v>
      </c>
      <c r="F1529" s="5" t="s">
        <v>254</v>
      </c>
      <c r="G1529" s="5" t="s">
        <v>240</v>
      </c>
      <c r="H1529" s="6" t="s">
        <v>4650</v>
      </c>
      <c r="I1529" s="5" t="s">
        <v>295</v>
      </c>
      <c r="J1529" s="8">
        <f>10</f>
        <v>10</v>
      </c>
      <c r="K1529" s="5" t="s">
        <v>308</v>
      </c>
      <c r="L1529" s="7">
        <f>1</f>
        <v>1</v>
      </c>
      <c r="M1529" s="7">
        <f>1</f>
        <v>1</v>
      </c>
      <c r="N1529" s="5" t="s">
        <v>242</v>
      </c>
      <c r="O1529" s="5">
        <v>1</v>
      </c>
      <c r="P1529" s="5" t="s">
        <v>294</v>
      </c>
      <c r="Q1529" s="5" t="s">
        <v>266</v>
      </c>
      <c r="R1529" s="5" t="s">
        <v>240</v>
      </c>
      <c r="S1529" s="5" t="s">
        <v>240</v>
      </c>
      <c r="T1529" s="5" t="s">
        <v>296</v>
      </c>
      <c r="U1529" s="5" t="s">
        <v>244</v>
      </c>
      <c r="V1529" s="5" t="s">
        <v>240</v>
      </c>
      <c r="Y1529" s="5" t="s">
        <v>240</v>
      </c>
      <c r="Z1529" s="6" t="s">
        <v>298</v>
      </c>
      <c r="AB1529" s="6" t="s">
        <v>240</v>
      </c>
      <c r="AE1529" s="6" t="s">
        <v>299</v>
      </c>
      <c r="AF1529" s="5" t="s">
        <v>248</v>
      </c>
      <c r="AG1529" s="5" t="s">
        <v>249</v>
      </c>
      <c r="AW1529" s="5" t="s">
        <v>251</v>
      </c>
      <c r="AX1529" s="5" t="s">
        <v>240</v>
      </c>
      <c r="AY1529" s="5" t="s">
        <v>253</v>
      </c>
      <c r="AZ1529" s="5" t="s">
        <v>240</v>
      </c>
      <c r="BA1529" s="5" t="s">
        <v>255</v>
      </c>
      <c r="BB1529" s="5" t="s">
        <v>240</v>
      </c>
      <c r="BD1529" s="5" t="s">
        <v>240</v>
      </c>
      <c r="BF1529" s="5" t="s">
        <v>301</v>
      </c>
      <c r="BG1529" s="6" t="s">
        <v>299</v>
      </c>
      <c r="BH1529" s="5" t="s">
        <v>302</v>
      </c>
      <c r="BI1529" s="5" t="s">
        <v>303</v>
      </c>
      <c r="BJ1529" s="5" t="s">
        <v>240</v>
      </c>
      <c r="BK1529" s="8">
        <f>0</f>
        <v>0</v>
      </c>
      <c r="BL1529" s="7">
        <f>0</f>
        <v>0</v>
      </c>
      <c r="BM1529" s="5" t="s">
        <v>258</v>
      </c>
      <c r="BN1529" s="5" t="s">
        <v>259</v>
      </c>
      <c r="CB1529" s="5" t="s">
        <v>240</v>
      </c>
      <c r="CC1529" s="5" t="s">
        <v>240</v>
      </c>
      <c r="CG1529" s="5" t="s">
        <v>304</v>
      </c>
      <c r="CH1529" s="5" t="s">
        <v>305</v>
      </c>
      <c r="CI1529" s="5" t="s">
        <v>240</v>
      </c>
      <c r="CL1529" s="6" t="s">
        <v>261</v>
      </c>
      <c r="CM1529" s="5" t="s">
        <v>240</v>
      </c>
      <c r="CN1529" s="5" t="s">
        <v>263</v>
      </c>
      <c r="CO1529" s="5" t="s">
        <v>240</v>
      </c>
      <c r="CP1529" s="5" t="s">
        <v>240</v>
      </c>
      <c r="CQ1529" s="5">
        <v>0</v>
      </c>
      <c r="CR1529" s="5" t="s">
        <v>306</v>
      </c>
      <c r="CS1529" s="5" t="s">
        <v>307</v>
      </c>
      <c r="CT1529" s="5" t="s">
        <v>307</v>
      </c>
      <c r="CU1529" s="5" t="s">
        <v>260</v>
      </c>
      <c r="CX1529" s="7">
        <f>1</f>
        <v>1</v>
      </c>
      <c r="CY1529" s="7">
        <f>0</f>
        <v>0</v>
      </c>
      <c r="DA1529" s="7">
        <f>0</f>
        <v>0</v>
      </c>
      <c r="DC1529" s="5" t="s">
        <v>812</v>
      </c>
      <c r="DD1529" s="5" t="s">
        <v>240</v>
      </c>
      <c r="DF1529" s="5" t="s">
        <v>812</v>
      </c>
      <c r="DG1529" s="7">
        <f>2344</f>
        <v>2344</v>
      </c>
      <c r="DI1529" s="5" t="s">
        <v>240</v>
      </c>
      <c r="DJ1529" s="5" t="s">
        <v>240</v>
      </c>
      <c r="DK1529" s="5" t="s">
        <v>240</v>
      </c>
      <c r="DL1529" s="5" t="s">
        <v>240</v>
      </c>
      <c r="DP1529" s="5" t="s">
        <v>240</v>
      </c>
      <c r="DQ1529" s="5" t="s">
        <v>240</v>
      </c>
      <c r="DR1529" s="5" t="s">
        <v>240</v>
      </c>
      <c r="DS1529" s="5" t="s">
        <v>240</v>
      </c>
      <c r="DV1529" s="5" t="s">
        <v>813</v>
      </c>
      <c r="DW1529" s="5" t="s">
        <v>3190</v>
      </c>
      <c r="HO1529" s="5" t="s">
        <v>312</v>
      </c>
    </row>
    <row r="1530" spans="1:223" x14ac:dyDescent="0.4">
      <c r="A1530" s="5">
        <v>3205</v>
      </c>
      <c r="B1530" s="5">
        <v>1</v>
      </c>
      <c r="C1530" s="5">
        <v>1</v>
      </c>
      <c r="D1530" s="5" t="s">
        <v>297</v>
      </c>
      <c r="E1530" s="5" t="s">
        <v>245</v>
      </c>
      <c r="F1530" s="5" t="s">
        <v>254</v>
      </c>
      <c r="G1530" s="5" t="s">
        <v>240</v>
      </c>
      <c r="H1530" s="6" t="s">
        <v>4649</v>
      </c>
      <c r="I1530" s="5" t="s">
        <v>295</v>
      </c>
      <c r="J1530" s="8">
        <f>94</f>
        <v>94</v>
      </c>
      <c r="K1530" s="5" t="s">
        <v>308</v>
      </c>
      <c r="L1530" s="7">
        <f>1</f>
        <v>1</v>
      </c>
      <c r="M1530" s="7">
        <f>1</f>
        <v>1</v>
      </c>
      <c r="N1530" s="5" t="s">
        <v>242</v>
      </c>
      <c r="O1530" s="5">
        <v>1</v>
      </c>
      <c r="P1530" s="5" t="s">
        <v>294</v>
      </c>
      <c r="Q1530" s="5" t="s">
        <v>266</v>
      </c>
      <c r="R1530" s="5" t="s">
        <v>240</v>
      </c>
      <c r="S1530" s="5" t="s">
        <v>240</v>
      </c>
      <c r="T1530" s="5" t="s">
        <v>296</v>
      </c>
      <c r="U1530" s="5" t="s">
        <v>244</v>
      </c>
      <c r="V1530" s="5" t="s">
        <v>240</v>
      </c>
      <c r="Y1530" s="5" t="s">
        <v>240</v>
      </c>
      <c r="Z1530" s="6" t="s">
        <v>298</v>
      </c>
      <c r="AB1530" s="6" t="s">
        <v>240</v>
      </c>
      <c r="AE1530" s="6" t="s">
        <v>299</v>
      </c>
      <c r="AF1530" s="5" t="s">
        <v>248</v>
      </c>
      <c r="AG1530" s="5" t="s">
        <v>249</v>
      </c>
      <c r="AW1530" s="5" t="s">
        <v>251</v>
      </c>
      <c r="AX1530" s="5" t="s">
        <v>240</v>
      </c>
      <c r="AY1530" s="5" t="s">
        <v>253</v>
      </c>
      <c r="AZ1530" s="5" t="s">
        <v>240</v>
      </c>
      <c r="BA1530" s="5" t="s">
        <v>255</v>
      </c>
      <c r="BB1530" s="5" t="s">
        <v>240</v>
      </c>
      <c r="BD1530" s="5" t="s">
        <v>240</v>
      </c>
      <c r="BF1530" s="5" t="s">
        <v>301</v>
      </c>
      <c r="BG1530" s="6" t="s">
        <v>299</v>
      </c>
      <c r="BH1530" s="5" t="s">
        <v>302</v>
      </c>
      <c r="BI1530" s="5" t="s">
        <v>303</v>
      </c>
      <c r="BJ1530" s="5" t="s">
        <v>240</v>
      </c>
      <c r="BK1530" s="8">
        <f>0</f>
        <v>0</v>
      </c>
      <c r="BL1530" s="7">
        <f>0</f>
        <v>0</v>
      </c>
      <c r="BM1530" s="5" t="s">
        <v>258</v>
      </c>
      <c r="BN1530" s="5" t="s">
        <v>259</v>
      </c>
      <c r="CB1530" s="5" t="s">
        <v>240</v>
      </c>
      <c r="CC1530" s="5" t="s">
        <v>240</v>
      </c>
      <c r="CG1530" s="5" t="s">
        <v>304</v>
      </c>
      <c r="CH1530" s="5" t="s">
        <v>305</v>
      </c>
      <c r="CI1530" s="5" t="s">
        <v>240</v>
      </c>
      <c r="CL1530" s="6" t="s">
        <v>261</v>
      </c>
      <c r="CM1530" s="5" t="s">
        <v>240</v>
      </c>
      <c r="CN1530" s="5" t="s">
        <v>263</v>
      </c>
      <c r="CO1530" s="5" t="s">
        <v>240</v>
      </c>
      <c r="CP1530" s="5" t="s">
        <v>240</v>
      </c>
      <c r="CQ1530" s="5">
        <v>0</v>
      </c>
      <c r="CR1530" s="5" t="s">
        <v>306</v>
      </c>
      <c r="CS1530" s="5" t="s">
        <v>307</v>
      </c>
      <c r="CT1530" s="5" t="s">
        <v>307</v>
      </c>
      <c r="CU1530" s="5" t="s">
        <v>260</v>
      </c>
      <c r="CX1530" s="7">
        <f>1</f>
        <v>1</v>
      </c>
      <c r="CY1530" s="7">
        <f>0</f>
        <v>0</v>
      </c>
      <c r="DA1530" s="7">
        <f>0</f>
        <v>0</v>
      </c>
      <c r="DC1530" s="5" t="s">
        <v>309</v>
      </c>
      <c r="DD1530" s="5" t="s">
        <v>240</v>
      </c>
      <c r="DF1530" s="5" t="s">
        <v>309</v>
      </c>
      <c r="DG1530" s="7">
        <f>10744</f>
        <v>10744</v>
      </c>
      <c r="DI1530" s="5" t="s">
        <v>240</v>
      </c>
      <c r="DJ1530" s="5" t="s">
        <v>240</v>
      </c>
      <c r="DK1530" s="5" t="s">
        <v>240</v>
      </c>
      <c r="DL1530" s="5" t="s">
        <v>240</v>
      </c>
      <c r="DP1530" s="5" t="s">
        <v>240</v>
      </c>
      <c r="DQ1530" s="5" t="s">
        <v>240</v>
      </c>
      <c r="DR1530" s="5" t="s">
        <v>240</v>
      </c>
      <c r="DS1530" s="5" t="s">
        <v>240</v>
      </c>
      <c r="DV1530" s="5" t="s">
        <v>310</v>
      </c>
      <c r="DW1530" s="5" t="s">
        <v>2152</v>
      </c>
      <c r="HO1530" s="5" t="s">
        <v>312</v>
      </c>
    </row>
    <row r="1531" spans="1:223" x14ac:dyDescent="0.4">
      <c r="A1531" s="5">
        <v>3206</v>
      </c>
      <c r="B1531" s="5">
        <v>1</v>
      </c>
      <c r="C1531" s="5">
        <v>1</v>
      </c>
      <c r="D1531" s="5" t="s">
        <v>297</v>
      </c>
      <c r="E1531" s="5" t="s">
        <v>245</v>
      </c>
      <c r="F1531" s="5" t="s">
        <v>254</v>
      </c>
      <c r="G1531" s="5" t="s">
        <v>240</v>
      </c>
      <c r="H1531" s="6" t="s">
        <v>4648</v>
      </c>
      <c r="I1531" s="5" t="s">
        <v>295</v>
      </c>
      <c r="J1531" s="8">
        <f>29</f>
        <v>29</v>
      </c>
      <c r="K1531" s="5" t="s">
        <v>308</v>
      </c>
      <c r="L1531" s="7">
        <f>1</f>
        <v>1</v>
      </c>
      <c r="M1531" s="7">
        <f>1</f>
        <v>1</v>
      </c>
      <c r="N1531" s="5" t="s">
        <v>242</v>
      </c>
      <c r="O1531" s="5">
        <v>1</v>
      </c>
      <c r="P1531" s="5" t="s">
        <v>294</v>
      </c>
      <c r="Q1531" s="5" t="s">
        <v>266</v>
      </c>
      <c r="R1531" s="5" t="s">
        <v>240</v>
      </c>
      <c r="S1531" s="5" t="s">
        <v>240</v>
      </c>
      <c r="T1531" s="5" t="s">
        <v>296</v>
      </c>
      <c r="U1531" s="5" t="s">
        <v>244</v>
      </c>
      <c r="V1531" s="5" t="s">
        <v>240</v>
      </c>
      <c r="Y1531" s="5" t="s">
        <v>240</v>
      </c>
      <c r="Z1531" s="6" t="s">
        <v>298</v>
      </c>
      <c r="AB1531" s="6" t="s">
        <v>240</v>
      </c>
      <c r="AE1531" s="6" t="s">
        <v>299</v>
      </c>
      <c r="AF1531" s="5" t="s">
        <v>248</v>
      </c>
      <c r="AG1531" s="5" t="s">
        <v>249</v>
      </c>
      <c r="AW1531" s="5" t="s">
        <v>251</v>
      </c>
      <c r="AX1531" s="5" t="s">
        <v>240</v>
      </c>
      <c r="AY1531" s="5" t="s">
        <v>253</v>
      </c>
      <c r="AZ1531" s="5" t="s">
        <v>240</v>
      </c>
      <c r="BA1531" s="5" t="s">
        <v>255</v>
      </c>
      <c r="BB1531" s="5" t="s">
        <v>240</v>
      </c>
      <c r="BD1531" s="5" t="s">
        <v>240</v>
      </c>
      <c r="BF1531" s="5" t="s">
        <v>301</v>
      </c>
      <c r="BG1531" s="6" t="s">
        <v>299</v>
      </c>
      <c r="BH1531" s="5" t="s">
        <v>302</v>
      </c>
      <c r="BI1531" s="5" t="s">
        <v>303</v>
      </c>
      <c r="BJ1531" s="5" t="s">
        <v>240</v>
      </c>
      <c r="BK1531" s="8">
        <f>0</f>
        <v>0</v>
      </c>
      <c r="BL1531" s="7">
        <f>0</f>
        <v>0</v>
      </c>
      <c r="BM1531" s="5" t="s">
        <v>258</v>
      </c>
      <c r="BN1531" s="5" t="s">
        <v>259</v>
      </c>
      <c r="CB1531" s="5" t="s">
        <v>240</v>
      </c>
      <c r="CC1531" s="5" t="s">
        <v>240</v>
      </c>
      <c r="CG1531" s="5" t="s">
        <v>304</v>
      </c>
      <c r="CH1531" s="5" t="s">
        <v>305</v>
      </c>
      <c r="CI1531" s="5" t="s">
        <v>240</v>
      </c>
      <c r="CL1531" s="6" t="s">
        <v>261</v>
      </c>
      <c r="CM1531" s="5" t="s">
        <v>240</v>
      </c>
      <c r="CN1531" s="5" t="s">
        <v>263</v>
      </c>
      <c r="CO1531" s="5" t="s">
        <v>240</v>
      </c>
      <c r="CP1531" s="5" t="s">
        <v>240</v>
      </c>
      <c r="CQ1531" s="5">
        <v>0</v>
      </c>
      <c r="CR1531" s="5" t="s">
        <v>306</v>
      </c>
      <c r="CS1531" s="5" t="s">
        <v>307</v>
      </c>
      <c r="CT1531" s="5" t="s">
        <v>307</v>
      </c>
      <c r="CU1531" s="5" t="s">
        <v>260</v>
      </c>
      <c r="CX1531" s="7">
        <f>1</f>
        <v>1</v>
      </c>
      <c r="CY1531" s="7">
        <f>0</f>
        <v>0</v>
      </c>
      <c r="DA1531" s="7">
        <f>0</f>
        <v>0</v>
      </c>
      <c r="DC1531" s="5" t="s">
        <v>812</v>
      </c>
      <c r="DD1531" s="5" t="s">
        <v>240</v>
      </c>
      <c r="DF1531" s="5" t="s">
        <v>812</v>
      </c>
      <c r="DG1531" s="7">
        <f>762</f>
        <v>762</v>
      </c>
      <c r="DI1531" s="5" t="s">
        <v>240</v>
      </c>
      <c r="DJ1531" s="5" t="s">
        <v>240</v>
      </c>
      <c r="DK1531" s="5" t="s">
        <v>240</v>
      </c>
      <c r="DL1531" s="5" t="s">
        <v>240</v>
      </c>
      <c r="DP1531" s="5" t="s">
        <v>240</v>
      </c>
      <c r="DQ1531" s="5" t="s">
        <v>240</v>
      </c>
      <c r="DR1531" s="5" t="s">
        <v>240</v>
      </c>
      <c r="DS1531" s="5" t="s">
        <v>240</v>
      </c>
      <c r="DV1531" s="5" t="s">
        <v>813</v>
      </c>
      <c r="DW1531" s="5" t="s">
        <v>3193</v>
      </c>
      <c r="HO1531" s="5" t="s">
        <v>312</v>
      </c>
    </row>
    <row r="1532" spans="1:223" x14ac:dyDescent="0.4">
      <c r="A1532" s="5">
        <v>3207</v>
      </c>
      <c r="B1532" s="5">
        <v>1</v>
      </c>
      <c r="C1532" s="5">
        <v>1</v>
      </c>
      <c r="D1532" s="5" t="s">
        <v>297</v>
      </c>
      <c r="E1532" s="5" t="s">
        <v>245</v>
      </c>
      <c r="F1532" s="5" t="s">
        <v>254</v>
      </c>
      <c r="G1532" s="5" t="s">
        <v>240</v>
      </c>
      <c r="H1532" s="6" t="s">
        <v>4647</v>
      </c>
      <c r="I1532" s="5" t="s">
        <v>295</v>
      </c>
      <c r="J1532" s="8">
        <f>94</f>
        <v>94</v>
      </c>
      <c r="K1532" s="5" t="s">
        <v>308</v>
      </c>
      <c r="L1532" s="7">
        <f>1</f>
        <v>1</v>
      </c>
      <c r="M1532" s="7">
        <f>1</f>
        <v>1</v>
      </c>
      <c r="N1532" s="5" t="s">
        <v>242</v>
      </c>
      <c r="O1532" s="5">
        <v>1</v>
      </c>
      <c r="P1532" s="5" t="s">
        <v>294</v>
      </c>
      <c r="Q1532" s="5" t="s">
        <v>266</v>
      </c>
      <c r="R1532" s="5" t="s">
        <v>240</v>
      </c>
      <c r="S1532" s="5" t="s">
        <v>240</v>
      </c>
      <c r="T1532" s="5" t="s">
        <v>296</v>
      </c>
      <c r="U1532" s="5" t="s">
        <v>244</v>
      </c>
      <c r="V1532" s="5" t="s">
        <v>240</v>
      </c>
      <c r="Y1532" s="5" t="s">
        <v>240</v>
      </c>
      <c r="Z1532" s="6" t="s">
        <v>298</v>
      </c>
      <c r="AB1532" s="6" t="s">
        <v>240</v>
      </c>
      <c r="AE1532" s="6" t="s">
        <v>299</v>
      </c>
      <c r="AF1532" s="5" t="s">
        <v>248</v>
      </c>
      <c r="AG1532" s="5" t="s">
        <v>249</v>
      </c>
      <c r="AW1532" s="5" t="s">
        <v>251</v>
      </c>
      <c r="AX1532" s="5" t="s">
        <v>240</v>
      </c>
      <c r="AY1532" s="5" t="s">
        <v>253</v>
      </c>
      <c r="AZ1532" s="5" t="s">
        <v>240</v>
      </c>
      <c r="BA1532" s="5" t="s">
        <v>255</v>
      </c>
      <c r="BB1532" s="5" t="s">
        <v>240</v>
      </c>
      <c r="BD1532" s="5" t="s">
        <v>240</v>
      </c>
      <c r="BF1532" s="5" t="s">
        <v>301</v>
      </c>
      <c r="BG1532" s="6" t="s">
        <v>299</v>
      </c>
      <c r="BH1532" s="5" t="s">
        <v>302</v>
      </c>
      <c r="BI1532" s="5" t="s">
        <v>303</v>
      </c>
      <c r="BJ1532" s="5" t="s">
        <v>240</v>
      </c>
      <c r="BK1532" s="8">
        <f>0</f>
        <v>0</v>
      </c>
      <c r="BL1532" s="7">
        <f>0</f>
        <v>0</v>
      </c>
      <c r="BM1532" s="5" t="s">
        <v>258</v>
      </c>
      <c r="BN1532" s="5" t="s">
        <v>259</v>
      </c>
      <c r="CB1532" s="5" t="s">
        <v>240</v>
      </c>
      <c r="CC1532" s="5" t="s">
        <v>240</v>
      </c>
      <c r="CG1532" s="5" t="s">
        <v>304</v>
      </c>
      <c r="CH1532" s="5" t="s">
        <v>305</v>
      </c>
      <c r="CI1532" s="5" t="s">
        <v>240</v>
      </c>
      <c r="CL1532" s="6" t="s">
        <v>261</v>
      </c>
      <c r="CM1532" s="5" t="s">
        <v>240</v>
      </c>
      <c r="CN1532" s="5" t="s">
        <v>263</v>
      </c>
      <c r="CO1532" s="5" t="s">
        <v>240</v>
      </c>
      <c r="CP1532" s="5" t="s">
        <v>240</v>
      </c>
      <c r="CQ1532" s="5">
        <v>0</v>
      </c>
      <c r="CR1532" s="5" t="s">
        <v>306</v>
      </c>
      <c r="CS1532" s="5" t="s">
        <v>307</v>
      </c>
      <c r="CT1532" s="5" t="s">
        <v>307</v>
      </c>
      <c r="CU1532" s="5" t="s">
        <v>260</v>
      </c>
      <c r="CX1532" s="7">
        <f>1</f>
        <v>1</v>
      </c>
      <c r="CY1532" s="7">
        <f>0</f>
        <v>0</v>
      </c>
      <c r="DA1532" s="7">
        <f>0</f>
        <v>0</v>
      </c>
      <c r="DC1532" s="5" t="s">
        <v>812</v>
      </c>
      <c r="DD1532" s="5" t="s">
        <v>240</v>
      </c>
      <c r="DF1532" s="5" t="s">
        <v>812</v>
      </c>
      <c r="DG1532" s="7">
        <f>316</f>
        <v>316</v>
      </c>
      <c r="DI1532" s="5" t="s">
        <v>240</v>
      </c>
      <c r="DJ1532" s="5" t="s">
        <v>240</v>
      </c>
      <c r="DK1532" s="5" t="s">
        <v>240</v>
      </c>
      <c r="DL1532" s="5" t="s">
        <v>240</v>
      </c>
      <c r="DP1532" s="5" t="s">
        <v>240</v>
      </c>
      <c r="DQ1532" s="5" t="s">
        <v>240</v>
      </c>
      <c r="DR1532" s="5" t="s">
        <v>240</v>
      </c>
      <c r="DS1532" s="5" t="s">
        <v>240</v>
      </c>
      <c r="DV1532" s="5" t="s">
        <v>813</v>
      </c>
      <c r="DW1532" s="5" t="s">
        <v>3195</v>
      </c>
      <c r="HO1532" s="5" t="s">
        <v>312</v>
      </c>
    </row>
    <row r="1533" spans="1:223" x14ac:dyDescent="0.4">
      <c r="A1533" s="5">
        <v>3208</v>
      </c>
      <c r="B1533" s="5">
        <v>1</v>
      </c>
      <c r="C1533" s="5">
        <v>1</v>
      </c>
      <c r="D1533" s="5" t="s">
        <v>297</v>
      </c>
      <c r="E1533" s="5" t="s">
        <v>245</v>
      </c>
      <c r="F1533" s="5" t="s">
        <v>254</v>
      </c>
      <c r="G1533" s="5" t="s">
        <v>240</v>
      </c>
      <c r="H1533" s="6" t="s">
        <v>4646</v>
      </c>
      <c r="I1533" s="5" t="s">
        <v>295</v>
      </c>
      <c r="J1533" s="8">
        <f>441</f>
        <v>441</v>
      </c>
      <c r="K1533" s="5" t="s">
        <v>308</v>
      </c>
      <c r="L1533" s="7">
        <f>1</f>
        <v>1</v>
      </c>
      <c r="M1533" s="7">
        <f>1</f>
        <v>1</v>
      </c>
      <c r="N1533" s="5" t="s">
        <v>242</v>
      </c>
      <c r="O1533" s="5">
        <v>1</v>
      </c>
      <c r="P1533" s="5" t="s">
        <v>294</v>
      </c>
      <c r="Q1533" s="5" t="s">
        <v>266</v>
      </c>
      <c r="R1533" s="5" t="s">
        <v>240</v>
      </c>
      <c r="S1533" s="5" t="s">
        <v>240</v>
      </c>
      <c r="T1533" s="5" t="s">
        <v>296</v>
      </c>
      <c r="U1533" s="5" t="s">
        <v>244</v>
      </c>
      <c r="V1533" s="5" t="s">
        <v>240</v>
      </c>
      <c r="Y1533" s="5" t="s">
        <v>240</v>
      </c>
      <c r="Z1533" s="6" t="s">
        <v>298</v>
      </c>
      <c r="AB1533" s="6" t="s">
        <v>240</v>
      </c>
      <c r="AE1533" s="6" t="s">
        <v>299</v>
      </c>
      <c r="AF1533" s="5" t="s">
        <v>248</v>
      </c>
      <c r="AG1533" s="5" t="s">
        <v>249</v>
      </c>
      <c r="AW1533" s="5" t="s">
        <v>251</v>
      </c>
      <c r="AX1533" s="5" t="s">
        <v>240</v>
      </c>
      <c r="AY1533" s="5" t="s">
        <v>253</v>
      </c>
      <c r="AZ1533" s="5" t="s">
        <v>240</v>
      </c>
      <c r="BA1533" s="5" t="s">
        <v>255</v>
      </c>
      <c r="BB1533" s="5" t="s">
        <v>240</v>
      </c>
      <c r="BD1533" s="5" t="s">
        <v>240</v>
      </c>
      <c r="BF1533" s="5" t="s">
        <v>301</v>
      </c>
      <c r="BG1533" s="6" t="s">
        <v>299</v>
      </c>
      <c r="BH1533" s="5" t="s">
        <v>302</v>
      </c>
      <c r="BI1533" s="5" t="s">
        <v>303</v>
      </c>
      <c r="BJ1533" s="5" t="s">
        <v>240</v>
      </c>
      <c r="BK1533" s="8">
        <f>0</f>
        <v>0</v>
      </c>
      <c r="BL1533" s="7">
        <f>0</f>
        <v>0</v>
      </c>
      <c r="BM1533" s="5" t="s">
        <v>258</v>
      </c>
      <c r="BN1533" s="5" t="s">
        <v>259</v>
      </c>
      <c r="CB1533" s="5" t="s">
        <v>240</v>
      </c>
      <c r="CC1533" s="5" t="s">
        <v>240</v>
      </c>
      <c r="CG1533" s="5" t="s">
        <v>304</v>
      </c>
      <c r="CH1533" s="5" t="s">
        <v>305</v>
      </c>
      <c r="CI1533" s="5" t="s">
        <v>240</v>
      </c>
      <c r="CL1533" s="6" t="s">
        <v>261</v>
      </c>
      <c r="CM1533" s="5" t="s">
        <v>240</v>
      </c>
      <c r="CN1533" s="5" t="s">
        <v>263</v>
      </c>
      <c r="CO1533" s="5" t="s">
        <v>240</v>
      </c>
      <c r="CP1533" s="5" t="s">
        <v>240</v>
      </c>
      <c r="CQ1533" s="5">
        <v>0</v>
      </c>
      <c r="CR1533" s="5" t="s">
        <v>306</v>
      </c>
      <c r="CS1533" s="5" t="s">
        <v>307</v>
      </c>
      <c r="CT1533" s="5" t="s">
        <v>307</v>
      </c>
      <c r="CU1533" s="5" t="s">
        <v>260</v>
      </c>
      <c r="CX1533" s="7">
        <f>1</f>
        <v>1</v>
      </c>
      <c r="CY1533" s="7">
        <f>0</f>
        <v>0</v>
      </c>
      <c r="DA1533" s="7">
        <f>0</f>
        <v>0</v>
      </c>
      <c r="DC1533" s="5" t="s">
        <v>812</v>
      </c>
      <c r="DD1533" s="5" t="s">
        <v>240</v>
      </c>
      <c r="DF1533" s="5" t="s">
        <v>812</v>
      </c>
      <c r="DG1533" s="7">
        <f>344</f>
        <v>344</v>
      </c>
      <c r="DI1533" s="5" t="s">
        <v>240</v>
      </c>
      <c r="DJ1533" s="5" t="s">
        <v>240</v>
      </c>
      <c r="DK1533" s="5" t="s">
        <v>240</v>
      </c>
      <c r="DL1533" s="5" t="s">
        <v>240</v>
      </c>
      <c r="DP1533" s="5" t="s">
        <v>240</v>
      </c>
      <c r="DQ1533" s="5" t="s">
        <v>240</v>
      </c>
      <c r="DR1533" s="5" t="s">
        <v>240</v>
      </c>
      <c r="DS1533" s="5" t="s">
        <v>240</v>
      </c>
      <c r="DV1533" s="5" t="s">
        <v>813</v>
      </c>
      <c r="DW1533" s="5" t="s">
        <v>3197</v>
      </c>
      <c r="HO1533" s="5" t="s">
        <v>312</v>
      </c>
    </row>
    <row r="1534" spans="1:223" x14ac:dyDescent="0.4">
      <c r="A1534" s="5">
        <v>3209</v>
      </c>
      <c r="B1534" s="5">
        <v>1</v>
      </c>
      <c r="C1534" s="5">
        <v>1</v>
      </c>
      <c r="D1534" s="5" t="s">
        <v>297</v>
      </c>
      <c r="E1534" s="5" t="s">
        <v>245</v>
      </c>
      <c r="F1534" s="5" t="s">
        <v>254</v>
      </c>
      <c r="G1534" s="5" t="s">
        <v>240</v>
      </c>
      <c r="H1534" s="6" t="s">
        <v>4645</v>
      </c>
      <c r="I1534" s="5" t="s">
        <v>295</v>
      </c>
      <c r="J1534" s="8">
        <f>2520</f>
        <v>2520</v>
      </c>
      <c r="K1534" s="5" t="s">
        <v>308</v>
      </c>
      <c r="L1534" s="7">
        <f>1</f>
        <v>1</v>
      </c>
      <c r="M1534" s="7">
        <f>1</f>
        <v>1</v>
      </c>
      <c r="N1534" s="5" t="s">
        <v>242</v>
      </c>
      <c r="O1534" s="5">
        <v>1</v>
      </c>
      <c r="P1534" s="5" t="s">
        <v>294</v>
      </c>
      <c r="Q1534" s="5" t="s">
        <v>266</v>
      </c>
      <c r="R1534" s="5" t="s">
        <v>240</v>
      </c>
      <c r="S1534" s="5" t="s">
        <v>240</v>
      </c>
      <c r="T1534" s="5" t="s">
        <v>296</v>
      </c>
      <c r="U1534" s="5" t="s">
        <v>244</v>
      </c>
      <c r="V1534" s="5" t="s">
        <v>240</v>
      </c>
      <c r="Y1534" s="5" t="s">
        <v>240</v>
      </c>
      <c r="Z1534" s="6" t="s">
        <v>298</v>
      </c>
      <c r="AB1534" s="6" t="s">
        <v>240</v>
      </c>
      <c r="AE1534" s="6" t="s">
        <v>299</v>
      </c>
      <c r="AF1534" s="5" t="s">
        <v>248</v>
      </c>
      <c r="AG1534" s="5" t="s">
        <v>249</v>
      </c>
      <c r="AW1534" s="5" t="s">
        <v>251</v>
      </c>
      <c r="AX1534" s="5" t="s">
        <v>240</v>
      </c>
      <c r="AY1534" s="5" t="s">
        <v>253</v>
      </c>
      <c r="AZ1534" s="5" t="s">
        <v>240</v>
      </c>
      <c r="BA1534" s="5" t="s">
        <v>255</v>
      </c>
      <c r="BB1534" s="5" t="s">
        <v>240</v>
      </c>
      <c r="BD1534" s="5" t="s">
        <v>240</v>
      </c>
      <c r="BF1534" s="5" t="s">
        <v>301</v>
      </c>
      <c r="BG1534" s="6" t="s">
        <v>299</v>
      </c>
      <c r="BH1534" s="5" t="s">
        <v>302</v>
      </c>
      <c r="BI1534" s="5" t="s">
        <v>303</v>
      </c>
      <c r="BJ1534" s="5" t="s">
        <v>240</v>
      </c>
      <c r="BK1534" s="8">
        <f>0</f>
        <v>0</v>
      </c>
      <c r="BL1534" s="7">
        <f>0</f>
        <v>0</v>
      </c>
      <c r="BM1534" s="5" t="s">
        <v>258</v>
      </c>
      <c r="BN1534" s="5" t="s">
        <v>259</v>
      </c>
      <c r="CB1534" s="5" t="s">
        <v>240</v>
      </c>
      <c r="CC1534" s="5" t="s">
        <v>240</v>
      </c>
      <c r="CG1534" s="5" t="s">
        <v>304</v>
      </c>
      <c r="CH1534" s="5" t="s">
        <v>305</v>
      </c>
      <c r="CI1534" s="5" t="s">
        <v>240</v>
      </c>
      <c r="CL1534" s="6" t="s">
        <v>261</v>
      </c>
      <c r="CM1534" s="5" t="s">
        <v>240</v>
      </c>
      <c r="CN1534" s="5" t="s">
        <v>263</v>
      </c>
      <c r="CO1534" s="5" t="s">
        <v>240</v>
      </c>
      <c r="CP1534" s="5" t="s">
        <v>240</v>
      </c>
      <c r="CQ1534" s="5">
        <v>0</v>
      </c>
      <c r="CR1534" s="5" t="s">
        <v>306</v>
      </c>
      <c r="CS1534" s="5" t="s">
        <v>307</v>
      </c>
      <c r="CT1534" s="5" t="s">
        <v>307</v>
      </c>
      <c r="CU1534" s="5" t="s">
        <v>260</v>
      </c>
      <c r="CX1534" s="7">
        <f>1</f>
        <v>1</v>
      </c>
      <c r="CY1534" s="7">
        <f>0</f>
        <v>0</v>
      </c>
      <c r="DA1534" s="7">
        <f>0</f>
        <v>0</v>
      </c>
      <c r="DC1534" s="5" t="s">
        <v>812</v>
      </c>
      <c r="DD1534" s="5" t="s">
        <v>240</v>
      </c>
      <c r="DF1534" s="5" t="s">
        <v>812</v>
      </c>
      <c r="DG1534" s="7">
        <f>553</f>
        <v>553</v>
      </c>
      <c r="DI1534" s="5" t="s">
        <v>240</v>
      </c>
      <c r="DJ1534" s="5" t="s">
        <v>240</v>
      </c>
      <c r="DK1534" s="5" t="s">
        <v>240</v>
      </c>
      <c r="DL1534" s="5" t="s">
        <v>240</v>
      </c>
      <c r="DP1534" s="5" t="s">
        <v>240</v>
      </c>
      <c r="DQ1534" s="5" t="s">
        <v>240</v>
      </c>
      <c r="DR1534" s="5" t="s">
        <v>240</v>
      </c>
      <c r="DS1534" s="5" t="s">
        <v>240</v>
      </c>
      <c r="DV1534" s="5" t="s">
        <v>813</v>
      </c>
      <c r="DW1534" s="5" t="s">
        <v>3199</v>
      </c>
      <c r="HO1534" s="5" t="s">
        <v>312</v>
      </c>
    </row>
    <row r="1535" spans="1:223" x14ac:dyDescent="0.4">
      <c r="A1535" s="5">
        <v>3210</v>
      </c>
      <c r="B1535" s="5">
        <v>1</v>
      </c>
      <c r="C1535" s="5">
        <v>1</v>
      </c>
      <c r="D1535" s="5" t="s">
        <v>297</v>
      </c>
      <c r="E1535" s="5" t="s">
        <v>245</v>
      </c>
      <c r="F1535" s="5" t="s">
        <v>254</v>
      </c>
      <c r="G1535" s="5" t="s">
        <v>240</v>
      </c>
      <c r="H1535" s="6" t="s">
        <v>4644</v>
      </c>
      <c r="I1535" s="5" t="s">
        <v>295</v>
      </c>
      <c r="J1535" s="8">
        <f>2101</f>
        <v>2101</v>
      </c>
      <c r="K1535" s="5" t="s">
        <v>308</v>
      </c>
      <c r="L1535" s="7">
        <f>1</f>
        <v>1</v>
      </c>
      <c r="M1535" s="7">
        <f>1</f>
        <v>1</v>
      </c>
      <c r="N1535" s="5" t="s">
        <v>242</v>
      </c>
      <c r="O1535" s="5">
        <v>1</v>
      </c>
      <c r="P1535" s="5" t="s">
        <v>294</v>
      </c>
      <c r="Q1535" s="5" t="s">
        <v>266</v>
      </c>
      <c r="R1535" s="5" t="s">
        <v>240</v>
      </c>
      <c r="S1535" s="5" t="s">
        <v>240</v>
      </c>
      <c r="T1535" s="5" t="s">
        <v>296</v>
      </c>
      <c r="U1535" s="5" t="s">
        <v>244</v>
      </c>
      <c r="V1535" s="5" t="s">
        <v>240</v>
      </c>
      <c r="Y1535" s="5" t="s">
        <v>240</v>
      </c>
      <c r="Z1535" s="6" t="s">
        <v>298</v>
      </c>
      <c r="AB1535" s="6" t="s">
        <v>240</v>
      </c>
      <c r="AE1535" s="6" t="s">
        <v>299</v>
      </c>
      <c r="AF1535" s="5" t="s">
        <v>248</v>
      </c>
      <c r="AG1535" s="5" t="s">
        <v>249</v>
      </c>
      <c r="AW1535" s="5" t="s">
        <v>251</v>
      </c>
      <c r="AX1535" s="5" t="s">
        <v>240</v>
      </c>
      <c r="AY1535" s="5" t="s">
        <v>253</v>
      </c>
      <c r="AZ1535" s="5" t="s">
        <v>240</v>
      </c>
      <c r="BA1535" s="5" t="s">
        <v>255</v>
      </c>
      <c r="BB1535" s="5" t="s">
        <v>240</v>
      </c>
      <c r="BD1535" s="5" t="s">
        <v>240</v>
      </c>
      <c r="BF1535" s="5" t="s">
        <v>301</v>
      </c>
      <c r="BG1535" s="6" t="s">
        <v>299</v>
      </c>
      <c r="BH1535" s="5" t="s">
        <v>302</v>
      </c>
      <c r="BI1535" s="5" t="s">
        <v>303</v>
      </c>
      <c r="BJ1535" s="5" t="s">
        <v>240</v>
      </c>
      <c r="BK1535" s="8">
        <f>0</f>
        <v>0</v>
      </c>
      <c r="BL1535" s="7">
        <f>0</f>
        <v>0</v>
      </c>
      <c r="BM1535" s="5" t="s">
        <v>258</v>
      </c>
      <c r="BN1535" s="5" t="s">
        <v>259</v>
      </c>
      <c r="CB1535" s="5" t="s">
        <v>240</v>
      </c>
      <c r="CC1535" s="5" t="s">
        <v>240</v>
      </c>
      <c r="CG1535" s="5" t="s">
        <v>304</v>
      </c>
      <c r="CH1535" s="5" t="s">
        <v>305</v>
      </c>
      <c r="CI1535" s="5" t="s">
        <v>240</v>
      </c>
      <c r="CL1535" s="6" t="s">
        <v>261</v>
      </c>
      <c r="CM1535" s="5" t="s">
        <v>240</v>
      </c>
      <c r="CN1535" s="5" t="s">
        <v>263</v>
      </c>
      <c r="CO1535" s="5" t="s">
        <v>240</v>
      </c>
      <c r="CP1535" s="5" t="s">
        <v>240</v>
      </c>
      <c r="CQ1535" s="5">
        <v>0</v>
      </c>
      <c r="CR1535" s="5" t="s">
        <v>306</v>
      </c>
      <c r="CS1535" s="5" t="s">
        <v>307</v>
      </c>
      <c r="CT1535" s="5" t="s">
        <v>307</v>
      </c>
      <c r="CU1535" s="5" t="s">
        <v>260</v>
      </c>
      <c r="CX1535" s="7">
        <f>1</f>
        <v>1</v>
      </c>
      <c r="CY1535" s="7">
        <f>0</f>
        <v>0</v>
      </c>
      <c r="DA1535" s="7">
        <f>0</f>
        <v>0</v>
      </c>
      <c r="DC1535" s="5" t="s">
        <v>812</v>
      </c>
      <c r="DD1535" s="5" t="s">
        <v>240</v>
      </c>
      <c r="DF1535" s="5" t="s">
        <v>812</v>
      </c>
      <c r="DG1535" s="7">
        <f>137</f>
        <v>137</v>
      </c>
      <c r="DI1535" s="5" t="s">
        <v>240</v>
      </c>
      <c r="DJ1535" s="5" t="s">
        <v>240</v>
      </c>
      <c r="DK1535" s="5" t="s">
        <v>240</v>
      </c>
      <c r="DL1535" s="5" t="s">
        <v>240</v>
      </c>
      <c r="DP1535" s="5" t="s">
        <v>240</v>
      </c>
      <c r="DQ1535" s="5" t="s">
        <v>240</v>
      </c>
      <c r="DR1535" s="5" t="s">
        <v>240</v>
      </c>
      <c r="DS1535" s="5" t="s">
        <v>240</v>
      </c>
      <c r="DV1535" s="5" t="s">
        <v>813</v>
      </c>
      <c r="DW1535" s="5" t="s">
        <v>3201</v>
      </c>
      <c r="HO1535" s="5" t="s">
        <v>312</v>
      </c>
    </row>
    <row r="1536" spans="1:223" x14ac:dyDescent="0.4">
      <c r="A1536" s="5">
        <v>3211</v>
      </c>
      <c r="B1536" s="5">
        <v>1</v>
      </c>
      <c r="C1536" s="5">
        <v>1</v>
      </c>
      <c r="D1536" s="5" t="s">
        <v>297</v>
      </c>
      <c r="E1536" s="5" t="s">
        <v>245</v>
      </c>
      <c r="F1536" s="5" t="s">
        <v>254</v>
      </c>
      <c r="G1536" s="5" t="s">
        <v>240</v>
      </c>
      <c r="H1536" s="6" t="s">
        <v>4643</v>
      </c>
      <c r="I1536" s="5" t="s">
        <v>295</v>
      </c>
      <c r="J1536" s="8">
        <f>1552</f>
        <v>1552</v>
      </c>
      <c r="K1536" s="5" t="s">
        <v>308</v>
      </c>
      <c r="L1536" s="7">
        <f>1</f>
        <v>1</v>
      </c>
      <c r="M1536" s="7">
        <f>1</f>
        <v>1</v>
      </c>
      <c r="N1536" s="5" t="s">
        <v>242</v>
      </c>
      <c r="O1536" s="5">
        <v>1</v>
      </c>
      <c r="P1536" s="5" t="s">
        <v>294</v>
      </c>
      <c r="Q1536" s="5" t="s">
        <v>266</v>
      </c>
      <c r="R1536" s="5" t="s">
        <v>240</v>
      </c>
      <c r="S1536" s="5" t="s">
        <v>240</v>
      </c>
      <c r="T1536" s="5" t="s">
        <v>296</v>
      </c>
      <c r="U1536" s="5" t="s">
        <v>244</v>
      </c>
      <c r="V1536" s="5" t="s">
        <v>240</v>
      </c>
      <c r="Y1536" s="5" t="s">
        <v>240</v>
      </c>
      <c r="Z1536" s="6" t="s">
        <v>298</v>
      </c>
      <c r="AB1536" s="6" t="s">
        <v>240</v>
      </c>
      <c r="AE1536" s="6" t="s">
        <v>299</v>
      </c>
      <c r="AF1536" s="5" t="s">
        <v>248</v>
      </c>
      <c r="AG1536" s="5" t="s">
        <v>249</v>
      </c>
      <c r="AW1536" s="5" t="s">
        <v>251</v>
      </c>
      <c r="AX1536" s="5" t="s">
        <v>240</v>
      </c>
      <c r="AY1536" s="5" t="s">
        <v>253</v>
      </c>
      <c r="AZ1536" s="5" t="s">
        <v>240</v>
      </c>
      <c r="BA1536" s="5" t="s">
        <v>255</v>
      </c>
      <c r="BB1536" s="5" t="s">
        <v>240</v>
      </c>
      <c r="BD1536" s="5" t="s">
        <v>240</v>
      </c>
      <c r="BF1536" s="5" t="s">
        <v>301</v>
      </c>
      <c r="BG1536" s="6" t="s">
        <v>299</v>
      </c>
      <c r="BH1536" s="5" t="s">
        <v>302</v>
      </c>
      <c r="BI1536" s="5" t="s">
        <v>303</v>
      </c>
      <c r="BJ1536" s="5" t="s">
        <v>240</v>
      </c>
      <c r="BK1536" s="8">
        <f>0</f>
        <v>0</v>
      </c>
      <c r="BL1536" s="7">
        <f>0</f>
        <v>0</v>
      </c>
      <c r="BM1536" s="5" t="s">
        <v>258</v>
      </c>
      <c r="BN1536" s="5" t="s">
        <v>259</v>
      </c>
      <c r="CB1536" s="5" t="s">
        <v>240</v>
      </c>
      <c r="CC1536" s="5" t="s">
        <v>240</v>
      </c>
      <c r="CG1536" s="5" t="s">
        <v>304</v>
      </c>
      <c r="CH1536" s="5" t="s">
        <v>305</v>
      </c>
      <c r="CI1536" s="5" t="s">
        <v>240</v>
      </c>
      <c r="CL1536" s="6" t="s">
        <v>261</v>
      </c>
      <c r="CM1536" s="5" t="s">
        <v>240</v>
      </c>
      <c r="CN1536" s="5" t="s">
        <v>263</v>
      </c>
      <c r="CO1536" s="5" t="s">
        <v>240</v>
      </c>
      <c r="CP1536" s="5" t="s">
        <v>240</v>
      </c>
      <c r="CQ1536" s="5">
        <v>0</v>
      </c>
      <c r="CR1536" s="5" t="s">
        <v>306</v>
      </c>
      <c r="CS1536" s="5" t="s">
        <v>307</v>
      </c>
      <c r="CT1536" s="5" t="s">
        <v>307</v>
      </c>
      <c r="CU1536" s="5" t="s">
        <v>260</v>
      </c>
      <c r="CX1536" s="7">
        <f>1</f>
        <v>1</v>
      </c>
      <c r="CY1536" s="7">
        <f>0</f>
        <v>0</v>
      </c>
      <c r="DA1536" s="7">
        <f>0</f>
        <v>0</v>
      </c>
      <c r="DC1536" s="5" t="s">
        <v>812</v>
      </c>
      <c r="DD1536" s="5" t="s">
        <v>240</v>
      </c>
      <c r="DF1536" s="5" t="s">
        <v>812</v>
      </c>
      <c r="DG1536" s="7">
        <f>156</f>
        <v>156</v>
      </c>
      <c r="DI1536" s="5" t="s">
        <v>240</v>
      </c>
      <c r="DJ1536" s="5" t="s">
        <v>240</v>
      </c>
      <c r="DK1536" s="5" t="s">
        <v>240</v>
      </c>
      <c r="DL1536" s="5" t="s">
        <v>240</v>
      </c>
      <c r="DP1536" s="5" t="s">
        <v>240</v>
      </c>
      <c r="DQ1536" s="5" t="s">
        <v>240</v>
      </c>
      <c r="DR1536" s="5" t="s">
        <v>240</v>
      </c>
      <c r="DS1536" s="5" t="s">
        <v>240</v>
      </c>
      <c r="DV1536" s="5" t="s">
        <v>813</v>
      </c>
      <c r="DW1536" s="5" t="s">
        <v>3203</v>
      </c>
      <c r="HO1536" s="5" t="s">
        <v>312</v>
      </c>
    </row>
    <row r="1537" spans="1:240" x14ac:dyDescent="0.4">
      <c r="A1537" s="5">
        <v>3212</v>
      </c>
      <c r="B1537" s="5">
        <v>1</v>
      </c>
      <c r="C1537" s="5">
        <v>1</v>
      </c>
      <c r="D1537" s="5" t="s">
        <v>297</v>
      </c>
      <c r="E1537" s="5" t="s">
        <v>245</v>
      </c>
      <c r="F1537" s="5" t="s">
        <v>254</v>
      </c>
      <c r="G1537" s="5" t="s">
        <v>240</v>
      </c>
      <c r="H1537" s="6" t="s">
        <v>4642</v>
      </c>
      <c r="I1537" s="5" t="s">
        <v>295</v>
      </c>
      <c r="J1537" s="8">
        <f>1467</f>
        <v>1467</v>
      </c>
      <c r="K1537" s="5" t="s">
        <v>308</v>
      </c>
      <c r="L1537" s="7">
        <f>1</f>
        <v>1</v>
      </c>
      <c r="M1537" s="7">
        <f>1</f>
        <v>1</v>
      </c>
      <c r="N1537" s="5" t="s">
        <v>242</v>
      </c>
      <c r="O1537" s="5">
        <v>1</v>
      </c>
      <c r="P1537" s="5" t="s">
        <v>294</v>
      </c>
      <c r="Q1537" s="5" t="s">
        <v>266</v>
      </c>
      <c r="R1537" s="5" t="s">
        <v>240</v>
      </c>
      <c r="S1537" s="5" t="s">
        <v>240</v>
      </c>
      <c r="T1537" s="5" t="s">
        <v>296</v>
      </c>
      <c r="U1537" s="5" t="s">
        <v>244</v>
      </c>
      <c r="V1537" s="5" t="s">
        <v>240</v>
      </c>
      <c r="Y1537" s="5" t="s">
        <v>240</v>
      </c>
      <c r="Z1537" s="6" t="s">
        <v>298</v>
      </c>
      <c r="AB1537" s="6" t="s">
        <v>240</v>
      </c>
      <c r="AE1537" s="6" t="s">
        <v>299</v>
      </c>
      <c r="AF1537" s="5" t="s">
        <v>248</v>
      </c>
      <c r="AG1537" s="5" t="s">
        <v>249</v>
      </c>
      <c r="AW1537" s="5" t="s">
        <v>251</v>
      </c>
      <c r="AX1537" s="5" t="s">
        <v>240</v>
      </c>
      <c r="AY1537" s="5" t="s">
        <v>253</v>
      </c>
      <c r="AZ1537" s="5" t="s">
        <v>240</v>
      </c>
      <c r="BA1537" s="5" t="s">
        <v>255</v>
      </c>
      <c r="BB1537" s="5" t="s">
        <v>240</v>
      </c>
      <c r="BD1537" s="5" t="s">
        <v>240</v>
      </c>
      <c r="BF1537" s="5" t="s">
        <v>301</v>
      </c>
      <c r="BG1537" s="6" t="s">
        <v>299</v>
      </c>
      <c r="BH1537" s="5" t="s">
        <v>302</v>
      </c>
      <c r="BI1537" s="5" t="s">
        <v>303</v>
      </c>
      <c r="BJ1537" s="5" t="s">
        <v>240</v>
      </c>
      <c r="BK1537" s="8">
        <f>0</f>
        <v>0</v>
      </c>
      <c r="BL1537" s="7">
        <f>0</f>
        <v>0</v>
      </c>
      <c r="BM1537" s="5" t="s">
        <v>258</v>
      </c>
      <c r="BN1537" s="5" t="s">
        <v>259</v>
      </c>
      <c r="CB1537" s="5" t="s">
        <v>240</v>
      </c>
      <c r="CC1537" s="5" t="s">
        <v>240</v>
      </c>
      <c r="CG1537" s="5" t="s">
        <v>304</v>
      </c>
      <c r="CH1537" s="5" t="s">
        <v>305</v>
      </c>
      <c r="CI1537" s="5" t="s">
        <v>240</v>
      </c>
      <c r="CL1537" s="6" t="s">
        <v>261</v>
      </c>
      <c r="CM1537" s="5" t="s">
        <v>240</v>
      </c>
      <c r="CN1537" s="5" t="s">
        <v>263</v>
      </c>
      <c r="CO1537" s="5" t="s">
        <v>240</v>
      </c>
      <c r="CP1537" s="5" t="s">
        <v>240</v>
      </c>
      <c r="CQ1537" s="5">
        <v>0</v>
      </c>
      <c r="CR1537" s="5" t="s">
        <v>306</v>
      </c>
      <c r="CS1537" s="5" t="s">
        <v>307</v>
      </c>
      <c r="CT1537" s="5" t="s">
        <v>307</v>
      </c>
      <c r="CU1537" s="5" t="s">
        <v>260</v>
      </c>
      <c r="CX1537" s="7">
        <f>1</f>
        <v>1</v>
      </c>
      <c r="CY1537" s="7">
        <f>0</f>
        <v>0</v>
      </c>
      <c r="DA1537" s="7">
        <f>0</f>
        <v>0</v>
      </c>
      <c r="DC1537" s="5" t="s">
        <v>812</v>
      </c>
      <c r="DD1537" s="5" t="s">
        <v>240</v>
      </c>
      <c r="DF1537" s="5" t="s">
        <v>812</v>
      </c>
      <c r="DG1537" s="7">
        <f>229</f>
        <v>229</v>
      </c>
      <c r="DI1537" s="5" t="s">
        <v>240</v>
      </c>
      <c r="DJ1537" s="5" t="s">
        <v>240</v>
      </c>
      <c r="DK1537" s="5" t="s">
        <v>240</v>
      </c>
      <c r="DL1537" s="5" t="s">
        <v>240</v>
      </c>
      <c r="DP1537" s="5" t="s">
        <v>240</v>
      </c>
      <c r="DQ1537" s="5" t="s">
        <v>240</v>
      </c>
      <c r="DR1537" s="5" t="s">
        <v>240</v>
      </c>
      <c r="DS1537" s="5" t="s">
        <v>240</v>
      </c>
      <c r="DV1537" s="5" t="s">
        <v>813</v>
      </c>
      <c r="DW1537" s="5" t="s">
        <v>3205</v>
      </c>
      <c r="HO1537" s="5" t="s">
        <v>312</v>
      </c>
    </row>
    <row r="1538" spans="1:240" x14ac:dyDescent="0.4">
      <c r="A1538" s="5">
        <v>3213</v>
      </c>
      <c r="B1538" s="5">
        <v>1</v>
      </c>
      <c r="C1538" s="5">
        <v>1</v>
      </c>
      <c r="D1538" s="5" t="s">
        <v>297</v>
      </c>
      <c r="E1538" s="5" t="s">
        <v>245</v>
      </c>
      <c r="F1538" s="5" t="s">
        <v>254</v>
      </c>
      <c r="G1538" s="5" t="s">
        <v>240</v>
      </c>
      <c r="H1538" s="6" t="s">
        <v>4640</v>
      </c>
      <c r="I1538" s="5" t="s">
        <v>295</v>
      </c>
      <c r="J1538" s="8">
        <f>8131</f>
        <v>8131</v>
      </c>
      <c r="K1538" s="5" t="s">
        <v>308</v>
      </c>
      <c r="L1538" s="7">
        <f>1</f>
        <v>1</v>
      </c>
      <c r="M1538" s="7">
        <f>1</f>
        <v>1</v>
      </c>
      <c r="N1538" s="5" t="s">
        <v>242</v>
      </c>
      <c r="O1538" s="5">
        <v>1</v>
      </c>
      <c r="P1538" s="5" t="s">
        <v>294</v>
      </c>
      <c r="Q1538" s="5" t="s">
        <v>266</v>
      </c>
      <c r="R1538" s="5" t="s">
        <v>240</v>
      </c>
      <c r="S1538" s="5" t="s">
        <v>240</v>
      </c>
      <c r="T1538" s="5" t="s">
        <v>296</v>
      </c>
      <c r="U1538" s="5" t="s">
        <v>244</v>
      </c>
      <c r="V1538" s="5" t="s">
        <v>240</v>
      </c>
      <c r="Y1538" s="5" t="s">
        <v>240</v>
      </c>
      <c r="Z1538" s="6" t="s">
        <v>298</v>
      </c>
      <c r="AB1538" s="6" t="s">
        <v>240</v>
      </c>
      <c r="AE1538" s="6" t="s">
        <v>299</v>
      </c>
      <c r="AF1538" s="5" t="s">
        <v>248</v>
      </c>
      <c r="AG1538" s="5" t="s">
        <v>249</v>
      </c>
      <c r="AW1538" s="5" t="s">
        <v>251</v>
      </c>
      <c r="AX1538" s="5" t="s">
        <v>240</v>
      </c>
      <c r="AY1538" s="5" t="s">
        <v>253</v>
      </c>
      <c r="AZ1538" s="5" t="s">
        <v>240</v>
      </c>
      <c r="BA1538" s="5" t="s">
        <v>255</v>
      </c>
      <c r="BB1538" s="5" t="s">
        <v>240</v>
      </c>
      <c r="BD1538" s="5" t="s">
        <v>240</v>
      </c>
      <c r="BF1538" s="5" t="s">
        <v>301</v>
      </c>
      <c r="BG1538" s="6" t="s">
        <v>299</v>
      </c>
      <c r="BH1538" s="5" t="s">
        <v>302</v>
      </c>
      <c r="BI1538" s="5" t="s">
        <v>303</v>
      </c>
      <c r="BJ1538" s="5" t="s">
        <v>240</v>
      </c>
      <c r="BK1538" s="8">
        <f>0</f>
        <v>0</v>
      </c>
      <c r="BL1538" s="7">
        <f>0</f>
        <v>0</v>
      </c>
      <c r="BM1538" s="5" t="s">
        <v>258</v>
      </c>
      <c r="BN1538" s="5" t="s">
        <v>259</v>
      </c>
      <c r="CB1538" s="5" t="s">
        <v>240</v>
      </c>
      <c r="CC1538" s="5" t="s">
        <v>240</v>
      </c>
      <c r="CG1538" s="5" t="s">
        <v>304</v>
      </c>
      <c r="CH1538" s="5" t="s">
        <v>305</v>
      </c>
      <c r="CI1538" s="5" t="s">
        <v>240</v>
      </c>
      <c r="CL1538" s="6" t="s">
        <v>261</v>
      </c>
      <c r="CM1538" s="5" t="s">
        <v>240</v>
      </c>
      <c r="CN1538" s="5" t="s">
        <v>263</v>
      </c>
      <c r="CO1538" s="5" t="s">
        <v>240</v>
      </c>
      <c r="CP1538" s="5" t="s">
        <v>240</v>
      </c>
      <c r="CQ1538" s="5">
        <v>0</v>
      </c>
      <c r="CR1538" s="5" t="s">
        <v>306</v>
      </c>
      <c r="CS1538" s="5" t="s">
        <v>307</v>
      </c>
      <c r="CT1538" s="5" t="s">
        <v>307</v>
      </c>
      <c r="CU1538" s="5" t="s">
        <v>260</v>
      </c>
      <c r="CX1538" s="7">
        <f>1</f>
        <v>1</v>
      </c>
      <c r="CY1538" s="7">
        <f>0</f>
        <v>0</v>
      </c>
      <c r="DA1538" s="7">
        <f>0</f>
        <v>0</v>
      </c>
      <c r="DC1538" s="5" t="s">
        <v>812</v>
      </c>
      <c r="DD1538" s="5" t="s">
        <v>240</v>
      </c>
      <c r="DF1538" s="5" t="s">
        <v>812</v>
      </c>
      <c r="DG1538" s="7">
        <f>2119</f>
        <v>2119</v>
      </c>
      <c r="DI1538" s="5" t="s">
        <v>240</v>
      </c>
      <c r="DJ1538" s="5" t="s">
        <v>240</v>
      </c>
      <c r="DK1538" s="5" t="s">
        <v>240</v>
      </c>
      <c r="DL1538" s="5" t="s">
        <v>240</v>
      </c>
      <c r="DP1538" s="5" t="s">
        <v>240</v>
      </c>
      <c r="DQ1538" s="5" t="s">
        <v>240</v>
      </c>
      <c r="DR1538" s="5" t="s">
        <v>240</v>
      </c>
      <c r="DS1538" s="5" t="s">
        <v>240</v>
      </c>
      <c r="DV1538" s="5" t="s">
        <v>813</v>
      </c>
      <c r="DW1538" s="5" t="s">
        <v>3207</v>
      </c>
      <c r="HO1538" s="5" t="s">
        <v>312</v>
      </c>
    </row>
    <row r="1539" spans="1:240" x14ac:dyDescent="0.4">
      <c r="A1539" s="5">
        <v>3214</v>
      </c>
      <c r="B1539" s="5">
        <v>1</v>
      </c>
      <c r="C1539" s="5">
        <v>1</v>
      </c>
      <c r="D1539" s="5" t="s">
        <v>297</v>
      </c>
      <c r="E1539" s="5" t="s">
        <v>245</v>
      </c>
      <c r="F1539" s="5" t="s">
        <v>254</v>
      </c>
      <c r="G1539" s="5" t="s">
        <v>240</v>
      </c>
      <c r="H1539" s="6" t="s">
        <v>4639</v>
      </c>
      <c r="I1539" s="5" t="s">
        <v>295</v>
      </c>
      <c r="J1539" s="8">
        <f>8161</f>
        <v>8161</v>
      </c>
      <c r="K1539" s="5" t="s">
        <v>308</v>
      </c>
      <c r="L1539" s="7">
        <f>1</f>
        <v>1</v>
      </c>
      <c r="M1539" s="7">
        <f>1</f>
        <v>1</v>
      </c>
      <c r="N1539" s="5" t="s">
        <v>242</v>
      </c>
      <c r="O1539" s="5">
        <v>1</v>
      </c>
      <c r="P1539" s="5" t="s">
        <v>294</v>
      </c>
      <c r="Q1539" s="5" t="s">
        <v>266</v>
      </c>
      <c r="R1539" s="5" t="s">
        <v>240</v>
      </c>
      <c r="S1539" s="5" t="s">
        <v>240</v>
      </c>
      <c r="T1539" s="5" t="s">
        <v>296</v>
      </c>
      <c r="U1539" s="5" t="s">
        <v>244</v>
      </c>
      <c r="V1539" s="5" t="s">
        <v>240</v>
      </c>
      <c r="Y1539" s="5" t="s">
        <v>240</v>
      </c>
      <c r="Z1539" s="6" t="s">
        <v>298</v>
      </c>
      <c r="AB1539" s="6" t="s">
        <v>240</v>
      </c>
      <c r="AE1539" s="6" t="s">
        <v>299</v>
      </c>
      <c r="AF1539" s="5" t="s">
        <v>248</v>
      </c>
      <c r="AG1539" s="5" t="s">
        <v>249</v>
      </c>
      <c r="AW1539" s="5" t="s">
        <v>251</v>
      </c>
      <c r="AX1539" s="5" t="s">
        <v>240</v>
      </c>
      <c r="AY1539" s="5" t="s">
        <v>253</v>
      </c>
      <c r="AZ1539" s="5" t="s">
        <v>240</v>
      </c>
      <c r="BA1539" s="5" t="s">
        <v>255</v>
      </c>
      <c r="BB1539" s="5" t="s">
        <v>240</v>
      </c>
      <c r="BD1539" s="5" t="s">
        <v>240</v>
      </c>
      <c r="BF1539" s="5" t="s">
        <v>301</v>
      </c>
      <c r="BG1539" s="6" t="s">
        <v>299</v>
      </c>
      <c r="BH1539" s="5" t="s">
        <v>302</v>
      </c>
      <c r="BI1539" s="5" t="s">
        <v>303</v>
      </c>
      <c r="BJ1539" s="5" t="s">
        <v>240</v>
      </c>
      <c r="BK1539" s="8">
        <f>0</f>
        <v>0</v>
      </c>
      <c r="BL1539" s="7">
        <f>0</f>
        <v>0</v>
      </c>
      <c r="BM1539" s="5" t="s">
        <v>258</v>
      </c>
      <c r="BN1539" s="5" t="s">
        <v>259</v>
      </c>
      <c r="CB1539" s="5" t="s">
        <v>240</v>
      </c>
      <c r="CC1539" s="5" t="s">
        <v>240</v>
      </c>
      <c r="CG1539" s="5" t="s">
        <v>304</v>
      </c>
      <c r="CH1539" s="5" t="s">
        <v>305</v>
      </c>
      <c r="CI1539" s="5" t="s">
        <v>240</v>
      </c>
      <c r="CL1539" s="6" t="s">
        <v>261</v>
      </c>
      <c r="CM1539" s="5" t="s">
        <v>240</v>
      </c>
      <c r="CN1539" s="5" t="s">
        <v>263</v>
      </c>
      <c r="CO1539" s="5" t="s">
        <v>240</v>
      </c>
      <c r="CP1539" s="5" t="s">
        <v>240</v>
      </c>
      <c r="CQ1539" s="5">
        <v>0</v>
      </c>
      <c r="CR1539" s="5" t="s">
        <v>306</v>
      </c>
      <c r="CS1539" s="5" t="s">
        <v>307</v>
      </c>
      <c r="CT1539" s="5" t="s">
        <v>307</v>
      </c>
      <c r="CU1539" s="5" t="s">
        <v>260</v>
      </c>
      <c r="CX1539" s="7">
        <f>1</f>
        <v>1</v>
      </c>
      <c r="CY1539" s="7">
        <f>0</f>
        <v>0</v>
      </c>
      <c r="DA1539" s="7">
        <f>0</f>
        <v>0</v>
      </c>
      <c r="DC1539" s="5" t="s">
        <v>812</v>
      </c>
      <c r="DD1539" s="5" t="s">
        <v>240</v>
      </c>
      <c r="DF1539" s="5" t="s">
        <v>812</v>
      </c>
      <c r="DG1539" s="7">
        <f>319</f>
        <v>319</v>
      </c>
      <c r="DI1539" s="5" t="s">
        <v>240</v>
      </c>
      <c r="DJ1539" s="5" t="s">
        <v>240</v>
      </c>
      <c r="DK1539" s="5" t="s">
        <v>240</v>
      </c>
      <c r="DL1539" s="5" t="s">
        <v>240</v>
      </c>
      <c r="DP1539" s="5" t="s">
        <v>240</v>
      </c>
      <c r="DQ1539" s="5" t="s">
        <v>240</v>
      </c>
      <c r="DR1539" s="5" t="s">
        <v>240</v>
      </c>
      <c r="DS1539" s="5" t="s">
        <v>240</v>
      </c>
      <c r="DV1539" s="5" t="s">
        <v>813</v>
      </c>
      <c r="DW1539" s="5" t="s">
        <v>3209</v>
      </c>
      <c r="HO1539" s="5" t="s">
        <v>312</v>
      </c>
    </row>
    <row r="1540" spans="1:240" x14ac:dyDescent="0.4">
      <c r="A1540" s="5">
        <v>3215</v>
      </c>
      <c r="B1540" s="5">
        <v>1</v>
      </c>
      <c r="C1540" s="5">
        <v>1</v>
      </c>
      <c r="D1540" s="5" t="s">
        <v>297</v>
      </c>
      <c r="E1540" s="5" t="s">
        <v>245</v>
      </c>
      <c r="F1540" s="5" t="s">
        <v>254</v>
      </c>
      <c r="G1540" s="5" t="s">
        <v>240</v>
      </c>
      <c r="H1540" s="6" t="s">
        <v>4638</v>
      </c>
      <c r="I1540" s="5" t="s">
        <v>295</v>
      </c>
      <c r="J1540" s="8">
        <f>979</f>
        <v>979</v>
      </c>
      <c r="K1540" s="5" t="s">
        <v>308</v>
      </c>
      <c r="L1540" s="7">
        <f>1</f>
        <v>1</v>
      </c>
      <c r="M1540" s="7">
        <f>1</f>
        <v>1</v>
      </c>
      <c r="N1540" s="5" t="s">
        <v>242</v>
      </c>
      <c r="O1540" s="5">
        <v>1</v>
      </c>
      <c r="P1540" s="5" t="s">
        <v>294</v>
      </c>
      <c r="Q1540" s="5" t="s">
        <v>613</v>
      </c>
      <c r="R1540" s="5" t="s">
        <v>240</v>
      </c>
      <c r="S1540" s="5" t="s">
        <v>240</v>
      </c>
      <c r="T1540" s="5" t="s">
        <v>243</v>
      </c>
      <c r="U1540" s="5" t="s">
        <v>244</v>
      </c>
      <c r="V1540" s="5" t="s">
        <v>240</v>
      </c>
      <c r="Y1540" s="5" t="s">
        <v>240</v>
      </c>
      <c r="Z1540" s="6" t="s">
        <v>298</v>
      </c>
      <c r="AB1540" s="6" t="s">
        <v>240</v>
      </c>
      <c r="AE1540" s="6" t="s">
        <v>299</v>
      </c>
      <c r="AF1540" s="5" t="s">
        <v>248</v>
      </c>
      <c r="AG1540" s="5" t="s">
        <v>249</v>
      </c>
      <c r="AW1540" s="5" t="s">
        <v>251</v>
      </c>
      <c r="AX1540" s="5" t="s">
        <v>240</v>
      </c>
      <c r="AY1540" s="5" t="s">
        <v>253</v>
      </c>
      <c r="AZ1540" s="5" t="s">
        <v>240</v>
      </c>
      <c r="BA1540" s="5" t="s">
        <v>255</v>
      </c>
      <c r="BB1540" s="5" t="s">
        <v>240</v>
      </c>
      <c r="BD1540" s="5" t="s">
        <v>686</v>
      </c>
      <c r="BF1540" s="5" t="s">
        <v>687</v>
      </c>
      <c r="BG1540" s="6" t="s">
        <v>688</v>
      </c>
      <c r="BH1540" s="5" t="s">
        <v>302</v>
      </c>
      <c r="BI1540" s="5" t="s">
        <v>3214</v>
      </c>
      <c r="BJ1540" s="5" t="s">
        <v>240</v>
      </c>
      <c r="BK1540" s="8">
        <f>0</f>
        <v>0</v>
      </c>
      <c r="BL1540" s="7">
        <f>0</f>
        <v>0</v>
      </c>
      <c r="BM1540" s="5" t="s">
        <v>258</v>
      </c>
      <c r="BN1540" s="5" t="s">
        <v>259</v>
      </c>
      <c r="CB1540" s="5" t="s">
        <v>240</v>
      </c>
      <c r="CC1540" s="5" t="s">
        <v>240</v>
      </c>
      <c r="CG1540" s="5" t="s">
        <v>617</v>
      </c>
      <c r="CH1540" s="5" t="s">
        <v>305</v>
      </c>
      <c r="CI1540" s="5" t="s">
        <v>240</v>
      </c>
      <c r="CL1540" s="6" t="s">
        <v>261</v>
      </c>
      <c r="CM1540" s="5" t="s">
        <v>240</v>
      </c>
      <c r="CN1540" s="5" t="s">
        <v>263</v>
      </c>
      <c r="CO1540" s="5" t="s">
        <v>240</v>
      </c>
      <c r="CP1540" s="5" t="s">
        <v>240</v>
      </c>
      <c r="CQ1540" s="5">
        <v>0</v>
      </c>
      <c r="CR1540" s="5" t="s">
        <v>306</v>
      </c>
      <c r="CS1540" s="5" t="s">
        <v>307</v>
      </c>
      <c r="CT1540" s="5" t="s">
        <v>307</v>
      </c>
      <c r="CU1540" s="5" t="s">
        <v>260</v>
      </c>
      <c r="CX1540" s="7">
        <f>2708945</f>
        <v>2708945</v>
      </c>
      <c r="CY1540" s="7">
        <f>0</f>
        <v>0</v>
      </c>
      <c r="DA1540" s="7">
        <f>0</f>
        <v>0</v>
      </c>
      <c r="DC1540" s="5" t="s">
        <v>689</v>
      </c>
      <c r="DD1540" s="5" t="s">
        <v>240</v>
      </c>
      <c r="DF1540" s="5" t="s">
        <v>450</v>
      </c>
      <c r="DG1540" s="7">
        <f>0</f>
        <v>0</v>
      </c>
      <c r="DI1540" s="5" t="s">
        <v>618</v>
      </c>
      <c r="DJ1540" s="5" t="s">
        <v>240</v>
      </c>
      <c r="DK1540" s="5" t="s">
        <v>240</v>
      </c>
      <c r="DL1540" s="5" t="s">
        <v>240</v>
      </c>
      <c r="DP1540" s="5" t="s">
        <v>240</v>
      </c>
      <c r="DQ1540" s="5" t="s">
        <v>240</v>
      </c>
      <c r="DR1540" s="5" t="s">
        <v>240</v>
      </c>
      <c r="DS1540" s="5" t="s">
        <v>240</v>
      </c>
      <c r="DV1540" s="5" t="s">
        <v>3215</v>
      </c>
      <c r="DW1540" s="5" t="s">
        <v>312</v>
      </c>
      <c r="HO1540" s="5" t="s">
        <v>691</v>
      </c>
    </row>
    <row r="1541" spans="1:240" x14ac:dyDescent="0.4">
      <c r="A1541" s="5">
        <v>3216</v>
      </c>
      <c r="B1541" s="5">
        <v>1</v>
      </c>
      <c r="C1541" s="5">
        <v>1</v>
      </c>
      <c r="D1541" s="5" t="s">
        <v>297</v>
      </c>
      <c r="E1541" s="5" t="s">
        <v>245</v>
      </c>
      <c r="F1541" s="5" t="s">
        <v>254</v>
      </c>
      <c r="G1541" s="5" t="s">
        <v>240</v>
      </c>
      <c r="H1541" s="6" t="s">
        <v>4637</v>
      </c>
      <c r="I1541" s="5" t="s">
        <v>295</v>
      </c>
      <c r="J1541" s="8">
        <f>102</f>
        <v>102</v>
      </c>
      <c r="K1541" s="5" t="s">
        <v>308</v>
      </c>
      <c r="L1541" s="7">
        <f>1</f>
        <v>1</v>
      </c>
      <c r="M1541" s="7">
        <f>1</f>
        <v>1</v>
      </c>
      <c r="N1541" s="5" t="s">
        <v>242</v>
      </c>
      <c r="O1541" s="5">
        <v>1</v>
      </c>
      <c r="P1541" s="5" t="s">
        <v>294</v>
      </c>
      <c r="Q1541" s="5" t="s">
        <v>266</v>
      </c>
      <c r="R1541" s="5" t="s">
        <v>240</v>
      </c>
      <c r="S1541" s="5" t="s">
        <v>240</v>
      </c>
      <c r="T1541" s="5" t="s">
        <v>296</v>
      </c>
      <c r="U1541" s="5" t="s">
        <v>244</v>
      </c>
      <c r="V1541" s="5" t="s">
        <v>240</v>
      </c>
      <c r="Y1541" s="5" t="s">
        <v>240</v>
      </c>
      <c r="Z1541" s="6" t="s">
        <v>298</v>
      </c>
      <c r="AB1541" s="6" t="s">
        <v>240</v>
      </c>
      <c r="AE1541" s="6" t="s">
        <v>299</v>
      </c>
      <c r="AF1541" s="5" t="s">
        <v>248</v>
      </c>
      <c r="AG1541" s="5" t="s">
        <v>249</v>
      </c>
      <c r="AW1541" s="5" t="s">
        <v>251</v>
      </c>
      <c r="AX1541" s="5" t="s">
        <v>240</v>
      </c>
      <c r="AY1541" s="5" t="s">
        <v>253</v>
      </c>
      <c r="AZ1541" s="5" t="s">
        <v>240</v>
      </c>
      <c r="BA1541" s="5" t="s">
        <v>255</v>
      </c>
      <c r="BB1541" s="5" t="s">
        <v>240</v>
      </c>
      <c r="BD1541" s="5" t="s">
        <v>240</v>
      </c>
      <c r="BF1541" s="5" t="s">
        <v>301</v>
      </c>
      <c r="BG1541" s="6" t="s">
        <v>299</v>
      </c>
      <c r="BH1541" s="5" t="s">
        <v>302</v>
      </c>
      <c r="BI1541" s="5" t="s">
        <v>303</v>
      </c>
      <c r="BJ1541" s="5" t="s">
        <v>240</v>
      </c>
      <c r="BK1541" s="8">
        <f>0</f>
        <v>0</v>
      </c>
      <c r="BL1541" s="7">
        <f>0</f>
        <v>0</v>
      </c>
      <c r="BM1541" s="5" t="s">
        <v>258</v>
      </c>
      <c r="BN1541" s="5" t="s">
        <v>259</v>
      </c>
      <c r="CB1541" s="5" t="s">
        <v>240</v>
      </c>
      <c r="CC1541" s="5" t="s">
        <v>240</v>
      </c>
      <c r="CG1541" s="5" t="s">
        <v>304</v>
      </c>
      <c r="CH1541" s="5" t="s">
        <v>305</v>
      </c>
      <c r="CI1541" s="5" t="s">
        <v>240</v>
      </c>
      <c r="CL1541" s="6" t="s">
        <v>261</v>
      </c>
      <c r="CM1541" s="5" t="s">
        <v>240</v>
      </c>
      <c r="CN1541" s="5" t="s">
        <v>263</v>
      </c>
      <c r="CO1541" s="5" t="s">
        <v>240</v>
      </c>
      <c r="CP1541" s="5" t="s">
        <v>240</v>
      </c>
      <c r="CQ1541" s="5">
        <v>0</v>
      </c>
      <c r="CR1541" s="5" t="s">
        <v>306</v>
      </c>
      <c r="CS1541" s="5" t="s">
        <v>307</v>
      </c>
      <c r="CT1541" s="5" t="s">
        <v>307</v>
      </c>
      <c r="CU1541" s="5" t="s">
        <v>260</v>
      </c>
      <c r="CX1541" s="7">
        <f>1</f>
        <v>1</v>
      </c>
      <c r="CY1541" s="7">
        <f>0</f>
        <v>0</v>
      </c>
      <c r="DA1541" s="7">
        <f>0</f>
        <v>0</v>
      </c>
      <c r="DC1541" s="5" t="s">
        <v>812</v>
      </c>
      <c r="DD1541" s="5" t="s">
        <v>240</v>
      </c>
      <c r="DF1541" s="5" t="s">
        <v>812</v>
      </c>
      <c r="DG1541" s="7">
        <f>856</f>
        <v>856</v>
      </c>
      <c r="DI1541" s="5" t="s">
        <v>240</v>
      </c>
      <c r="DJ1541" s="5" t="s">
        <v>240</v>
      </c>
      <c r="DK1541" s="5" t="s">
        <v>240</v>
      </c>
      <c r="DL1541" s="5" t="s">
        <v>240</v>
      </c>
      <c r="DP1541" s="5" t="s">
        <v>240</v>
      </c>
      <c r="DQ1541" s="5" t="s">
        <v>240</v>
      </c>
      <c r="DR1541" s="5" t="s">
        <v>240</v>
      </c>
      <c r="DS1541" s="5" t="s">
        <v>240</v>
      </c>
      <c r="DV1541" s="5" t="s">
        <v>813</v>
      </c>
      <c r="DW1541" s="5" t="s">
        <v>3217</v>
      </c>
      <c r="HO1541" s="5" t="s">
        <v>312</v>
      </c>
    </row>
    <row r="1542" spans="1:240" x14ac:dyDescent="0.4">
      <c r="A1542" s="5">
        <v>3217</v>
      </c>
      <c r="B1542" s="5">
        <v>1</v>
      </c>
      <c r="C1542" s="5">
        <v>1</v>
      </c>
      <c r="D1542" s="5" t="s">
        <v>297</v>
      </c>
      <c r="E1542" s="5" t="s">
        <v>245</v>
      </c>
      <c r="F1542" s="5" t="s">
        <v>254</v>
      </c>
      <c r="G1542" s="5" t="s">
        <v>240</v>
      </c>
      <c r="H1542" s="6" t="s">
        <v>4636</v>
      </c>
      <c r="I1542" s="5" t="s">
        <v>295</v>
      </c>
      <c r="J1542" s="8">
        <f>290</f>
        <v>290</v>
      </c>
      <c r="K1542" s="5" t="s">
        <v>308</v>
      </c>
      <c r="L1542" s="7">
        <f>1</f>
        <v>1</v>
      </c>
      <c r="M1542" s="7">
        <f>1</f>
        <v>1</v>
      </c>
      <c r="N1542" s="5" t="s">
        <v>242</v>
      </c>
      <c r="O1542" s="5">
        <v>1</v>
      </c>
      <c r="P1542" s="5" t="s">
        <v>294</v>
      </c>
      <c r="Q1542" s="5" t="s">
        <v>613</v>
      </c>
      <c r="R1542" s="5" t="s">
        <v>240</v>
      </c>
      <c r="S1542" s="5" t="s">
        <v>240</v>
      </c>
      <c r="T1542" s="5" t="s">
        <v>243</v>
      </c>
      <c r="U1542" s="5" t="s">
        <v>724</v>
      </c>
      <c r="V1542" s="5" t="s">
        <v>240</v>
      </c>
      <c r="W1542" s="5" t="s">
        <v>240</v>
      </c>
      <c r="X1542" s="5" t="s">
        <v>240</v>
      </c>
      <c r="Y1542" s="5" t="s">
        <v>240</v>
      </c>
      <c r="Z1542" s="6" t="s">
        <v>298</v>
      </c>
      <c r="AA1542" s="6" t="s">
        <v>240</v>
      </c>
      <c r="AB1542" s="6" t="s">
        <v>240</v>
      </c>
      <c r="AC1542" s="5" t="s">
        <v>240</v>
      </c>
      <c r="AD1542" s="6" t="s">
        <v>240</v>
      </c>
      <c r="AE1542" s="6" t="s">
        <v>299</v>
      </c>
      <c r="AF1542" s="5" t="s">
        <v>727</v>
      </c>
      <c r="AG1542" s="5" t="s">
        <v>260</v>
      </c>
      <c r="AH1542" s="5" t="s">
        <v>240</v>
      </c>
      <c r="AI1542" s="5" t="s">
        <v>240</v>
      </c>
      <c r="AJ1542" s="5" t="s">
        <v>240</v>
      </c>
      <c r="AK1542" s="5" t="s">
        <v>240</v>
      </c>
      <c r="AL1542" s="5" t="s">
        <v>240</v>
      </c>
      <c r="AM1542" s="5" t="s">
        <v>240</v>
      </c>
      <c r="AN1542" s="5" t="s">
        <v>240</v>
      </c>
      <c r="AO1542" s="5" t="s">
        <v>240</v>
      </c>
      <c r="AP1542" s="6" t="s">
        <v>240</v>
      </c>
      <c r="AQ1542" s="6" t="s">
        <v>240</v>
      </c>
      <c r="AR1542" s="6" t="s">
        <v>240</v>
      </c>
      <c r="AS1542" s="6" t="s">
        <v>240</v>
      </c>
      <c r="AT1542" s="5" t="s">
        <v>240</v>
      </c>
      <c r="AU1542" s="5" t="s">
        <v>729</v>
      </c>
      <c r="AV1542" s="5" t="s">
        <v>729</v>
      </c>
      <c r="AW1542" s="5" t="s">
        <v>251</v>
      </c>
      <c r="AX1542" s="5" t="s">
        <v>252</v>
      </c>
      <c r="AY1542" s="5" t="s">
        <v>253</v>
      </c>
      <c r="AZ1542" s="5" t="s">
        <v>240</v>
      </c>
      <c r="BA1542" s="5" t="s">
        <v>255</v>
      </c>
      <c r="BB1542" s="5" t="s">
        <v>731</v>
      </c>
      <c r="BD1542" s="5" t="s">
        <v>240</v>
      </c>
      <c r="BF1542" s="5" t="s">
        <v>732</v>
      </c>
      <c r="BG1542" s="6" t="s">
        <v>733</v>
      </c>
      <c r="BH1542" s="5" t="s">
        <v>734</v>
      </c>
      <c r="BI1542" s="5" t="s">
        <v>734</v>
      </c>
      <c r="BJ1542" s="5" t="s">
        <v>240</v>
      </c>
      <c r="BK1542" s="8">
        <f>970</f>
        <v>970</v>
      </c>
      <c r="BL1542" s="7">
        <f>0</f>
        <v>0</v>
      </c>
      <c r="BM1542" s="5" t="s">
        <v>258</v>
      </c>
      <c r="BN1542" s="5" t="s">
        <v>259</v>
      </c>
      <c r="BO1542" s="5" t="s">
        <v>240</v>
      </c>
      <c r="BP1542" s="5" t="s">
        <v>240</v>
      </c>
      <c r="BQ1542" s="5" t="s">
        <v>240</v>
      </c>
      <c r="BR1542" s="5" t="s">
        <v>240</v>
      </c>
      <c r="BS1542" s="5" t="s">
        <v>240</v>
      </c>
      <c r="BT1542" s="5" t="s">
        <v>240</v>
      </c>
      <c r="BU1542" s="5" t="s">
        <v>240</v>
      </c>
      <c r="BV1542" s="5" t="s">
        <v>240</v>
      </c>
      <c r="BW1542" s="6" t="s">
        <v>240</v>
      </c>
      <c r="BX1542" s="5" t="s">
        <v>240</v>
      </c>
      <c r="BY1542" s="5" t="s">
        <v>240</v>
      </c>
      <c r="BZ1542" s="5" t="s">
        <v>240</v>
      </c>
      <c r="CA1542" s="5" t="s">
        <v>259</v>
      </c>
      <c r="CB1542" s="5" t="s">
        <v>240</v>
      </c>
      <c r="CC1542" s="5" t="s">
        <v>240</v>
      </c>
      <c r="CD1542" s="5" t="s">
        <v>240</v>
      </c>
      <c r="CE1542" s="5" t="s">
        <v>240</v>
      </c>
      <c r="CF1542" s="5" t="s">
        <v>240</v>
      </c>
      <c r="CG1542" s="5" t="s">
        <v>617</v>
      </c>
      <c r="CH1542" s="5" t="s">
        <v>305</v>
      </c>
      <c r="CI1542" s="5" t="s">
        <v>240</v>
      </c>
      <c r="CL1542" s="6" t="s">
        <v>261</v>
      </c>
      <c r="CM1542" s="5" t="s">
        <v>262</v>
      </c>
      <c r="CN1542" s="5" t="s">
        <v>263</v>
      </c>
      <c r="CO1542" s="5" t="s">
        <v>264</v>
      </c>
      <c r="CP1542" s="5" t="s">
        <v>240</v>
      </c>
      <c r="CQ1542" s="5">
        <v>0</v>
      </c>
      <c r="CR1542" s="5" t="s">
        <v>735</v>
      </c>
      <c r="CS1542" s="5" t="s">
        <v>307</v>
      </c>
      <c r="CT1542" s="5" t="s">
        <v>307</v>
      </c>
      <c r="CU1542" s="5" t="s">
        <v>260</v>
      </c>
      <c r="CV1542" s="5" t="s">
        <v>240</v>
      </c>
      <c r="CW1542" s="8">
        <f>0</f>
        <v>0</v>
      </c>
      <c r="CX1542" s="7">
        <f>0</f>
        <v>0</v>
      </c>
      <c r="CY1542" s="7">
        <f>0</f>
        <v>0</v>
      </c>
      <c r="DA1542" s="7">
        <f>10670</f>
        <v>10670</v>
      </c>
      <c r="DB1542" s="7" t="s">
        <v>240</v>
      </c>
      <c r="DC1542" s="5" t="s">
        <v>240</v>
      </c>
      <c r="DD1542" s="5" t="s">
        <v>240</v>
      </c>
      <c r="DE1542" s="5" t="s">
        <v>240</v>
      </c>
      <c r="DF1542" s="5" t="s">
        <v>450</v>
      </c>
      <c r="DG1542" s="7">
        <f>0</f>
        <v>0</v>
      </c>
      <c r="DI1542" s="5" t="s">
        <v>737</v>
      </c>
      <c r="DJ1542" s="5" t="s">
        <v>240</v>
      </c>
      <c r="DK1542" s="5" t="s">
        <v>240</v>
      </c>
      <c r="DL1542" s="5" t="s">
        <v>240</v>
      </c>
      <c r="DM1542" s="5" t="s">
        <v>240</v>
      </c>
      <c r="DN1542" s="5" t="s">
        <v>240</v>
      </c>
      <c r="DO1542" s="7" t="s">
        <v>240</v>
      </c>
      <c r="DP1542" s="5" t="s">
        <v>240</v>
      </c>
      <c r="DQ1542" s="5" t="s">
        <v>240</v>
      </c>
      <c r="DR1542" s="5" t="s">
        <v>731</v>
      </c>
      <c r="DS1542" s="5" t="s">
        <v>731</v>
      </c>
      <c r="DT1542" s="5" t="s">
        <v>240</v>
      </c>
      <c r="DU1542" s="5" t="s">
        <v>240</v>
      </c>
      <c r="DV1542" s="5" t="s">
        <v>738</v>
      </c>
      <c r="DW1542" s="5" t="s">
        <v>612</v>
      </c>
      <c r="DX1542" s="5" t="s">
        <v>240</v>
      </c>
      <c r="DY1542" s="5" t="s">
        <v>240</v>
      </c>
      <c r="DZ1542" s="5" t="s">
        <v>240</v>
      </c>
      <c r="EA1542" s="5" t="s">
        <v>240</v>
      </c>
      <c r="EB1542" s="5" t="s">
        <v>240</v>
      </c>
      <c r="EC1542" s="5" t="s">
        <v>240</v>
      </c>
      <c r="ED1542" s="5" t="s">
        <v>240</v>
      </c>
      <c r="EE1542" s="5" t="s">
        <v>240</v>
      </c>
      <c r="EF1542" s="5" t="s">
        <v>240</v>
      </c>
      <c r="EG1542" s="5" t="s">
        <v>240</v>
      </c>
      <c r="EH1542" s="5" t="s">
        <v>240</v>
      </c>
      <c r="EI1542" s="5" t="s">
        <v>240</v>
      </c>
      <c r="EJ1542" s="5" t="s">
        <v>240</v>
      </c>
      <c r="EK1542" s="5" t="s">
        <v>240</v>
      </c>
      <c r="EL1542" s="5" t="s">
        <v>240</v>
      </c>
      <c r="EM1542" s="5" t="s">
        <v>240</v>
      </c>
      <c r="EN1542" s="5" t="s">
        <v>240</v>
      </c>
      <c r="EO1542" s="5" t="s">
        <v>240</v>
      </c>
      <c r="EP1542" s="5" t="s">
        <v>240</v>
      </c>
      <c r="EQ1542" s="5" t="s">
        <v>240</v>
      </c>
      <c r="ER1542" s="5" t="s">
        <v>240</v>
      </c>
      <c r="ES1542" s="5" t="s">
        <v>240</v>
      </c>
      <c r="ET1542" s="5" t="s">
        <v>240</v>
      </c>
      <c r="EU1542" s="5" t="s">
        <v>240</v>
      </c>
      <c r="EV1542" s="5" t="s">
        <v>240</v>
      </c>
      <c r="EW1542" s="5" t="s">
        <v>240</v>
      </c>
      <c r="EX1542" s="5" t="s">
        <v>240</v>
      </c>
      <c r="EY1542" s="5" t="s">
        <v>240</v>
      </c>
      <c r="EZ1542" s="5" t="s">
        <v>240</v>
      </c>
      <c r="FA1542" s="5" t="s">
        <v>240</v>
      </c>
      <c r="FB1542" s="5" t="s">
        <v>240</v>
      </c>
      <c r="FC1542" s="5" t="s">
        <v>240</v>
      </c>
      <c r="FD1542" s="5" t="s">
        <v>240</v>
      </c>
      <c r="FE1542" s="5" t="s">
        <v>240</v>
      </c>
      <c r="FF1542" s="5" t="s">
        <v>240</v>
      </c>
      <c r="FG1542" s="5" t="s">
        <v>240</v>
      </c>
      <c r="FH1542" s="5" t="s">
        <v>240</v>
      </c>
      <c r="FI1542" s="5" t="s">
        <v>240</v>
      </c>
      <c r="FJ1542" s="5" t="s">
        <v>240</v>
      </c>
      <c r="FK1542" s="5" t="s">
        <v>240</v>
      </c>
      <c r="FL1542" s="5" t="s">
        <v>240</v>
      </c>
      <c r="FM1542" s="5" t="s">
        <v>240</v>
      </c>
      <c r="FN1542" s="5" t="s">
        <v>240</v>
      </c>
      <c r="FO1542" s="5" t="s">
        <v>240</v>
      </c>
      <c r="FP1542" s="5" t="s">
        <v>240</v>
      </c>
      <c r="FQ1542" s="5" t="s">
        <v>240</v>
      </c>
      <c r="FR1542" s="5" t="s">
        <v>240</v>
      </c>
      <c r="FS1542" s="5" t="s">
        <v>240</v>
      </c>
      <c r="FT1542" s="5" t="s">
        <v>240</v>
      </c>
      <c r="FU1542" s="5" t="s">
        <v>240</v>
      </c>
      <c r="FV1542" s="5" t="s">
        <v>240</v>
      </c>
      <c r="FW1542" s="5" t="s">
        <v>240</v>
      </c>
      <c r="FX1542" s="5" t="s">
        <v>240</v>
      </c>
      <c r="FY1542" s="5" t="s">
        <v>240</v>
      </c>
      <c r="FZ1542" s="5" t="s">
        <v>240</v>
      </c>
      <c r="GA1542" s="5" t="s">
        <v>240</v>
      </c>
      <c r="GB1542" s="5" t="s">
        <v>240</v>
      </c>
      <c r="GC1542" s="5" t="s">
        <v>240</v>
      </c>
      <c r="GD1542" s="5" t="s">
        <v>240</v>
      </c>
      <c r="GE1542" s="5" t="s">
        <v>240</v>
      </c>
      <c r="GF1542" s="5" t="s">
        <v>240</v>
      </c>
      <c r="GG1542" s="5" t="s">
        <v>240</v>
      </c>
      <c r="GH1542" s="5" t="s">
        <v>240</v>
      </c>
      <c r="GI1542" s="5" t="s">
        <v>240</v>
      </c>
      <c r="GJ1542" s="5" t="s">
        <v>240</v>
      </c>
      <c r="GK1542" s="5" t="s">
        <v>240</v>
      </c>
      <c r="GL1542" s="5" t="s">
        <v>240</v>
      </c>
      <c r="GM1542" s="5" t="s">
        <v>240</v>
      </c>
      <c r="GN1542" s="5" t="s">
        <v>240</v>
      </c>
      <c r="GO1542" s="5" t="s">
        <v>240</v>
      </c>
      <c r="GP1542" s="5" t="s">
        <v>240</v>
      </c>
      <c r="GQ1542" s="5" t="s">
        <v>240</v>
      </c>
      <c r="GR1542" s="5" t="s">
        <v>240</v>
      </c>
      <c r="GS1542" s="5" t="s">
        <v>240</v>
      </c>
      <c r="GT1542" s="5" t="s">
        <v>240</v>
      </c>
      <c r="GU1542" s="5" t="s">
        <v>240</v>
      </c>
      <c r="GV1542" s="5" t="s">
        <v>240</v>
      </c>
      <c r="GW1542" s="5" t="s">
        <v>240</v>
      </c>
      <c r="GX1542" s="5" t="s">
        <v>240</v>
      </c>
      <c r="GY1542" s="5" t="s">
        <v>240</v>
      </c>
      <c r="GZ1542" s="5" t="s">
        <v>240</v>
      </c>
      <c r="HA1542" s="5" t="s">
        <v>240</v>
      </c>
      <c r="HB1542" s="5" t="s">
        <v>240</v>
      </c>
      <c r="HC1542" s="5" t="s">
        <v>240</v>
      </c>
      <c r="HD1542" s="5" t="s">
        <v>240</v>
      </c>
      <c r="HE1542" s="5" t="s">
        <v>240</v>
      </c>
      <c r="HF1542" s="5" t="s">
        <v>240</v>
      </c>
      <c r="HG1542" s="5" t="s">
        <v>240</v>
      </c>
      <c r="HH1542" s="5" t="s">
        <v>240</v>
      </c>
      <c r="HI1542" s="5" t="s">
        <v>240</v>
      </c>
      <c r="HJ1542" s="5" t="s">
        <v>240</v>
      </c>
      <c r="HK1542" s="5" t="s">
        <v>240</v>
      </c>
      <c r="HL1542" s="5" t="s">
        <v>240</v>
      </c>
      <c r="HM1542" s="5" t="s">
        <v>240</v>
      </c>
      <c r="HN1542" s="5" t="s">
        <v>240</v>
      </c>
      <c r="HO1542" s="5" t="s">
        <v>620</v>
      </c>
      <c r="HP1542" s="5" t="s">
        <v>240</v>
      </c>
      <c r="HQ1542" s="5" t="s">
        <v>240</v>
      </c>
      <c r="HR1542" s="5" t="s">
        <v>240</v>
      </c>
      <c r="HS1542" s="5" t="s">
        <v>240</v>
      </c>
      <c r="HT1542" s="5" t="s">
        <v>240</v>
      </c>
      <c r="HU1542" s="5" t="s">
        <v>240</v>
      </c>
      <c r="HV1542" s="5" t="s">
        <v>240</v>
      </c>
      <c r="HW1542" s="5" t="s">
        <v>240</v>
      </c>
      <c r="HX1542" s="5" t="s">
        <v>240</v>
      </c>
      <c r="HY1542" s="5" t="s">
        <v>240</v>
      </c>
      <c r="HZ1542" s="5" t="s">
        <v>240</v>
      </c>
      <c r="IA1542" s="5" t="s">
        <v>240</v>
      </c>
      <c r="IB1542" s="5" t="s">
        <v>240</v>
      </c>
      <c r="IC1542" s="5" t="s">
        <v>240</v>
      </c>
      <c r="ID1542" s="5" t="s">
        <v>240</v>
      </c>
      <c r="IE1542" s="5" t="s">
        <v>240</v>
      </c>
      <c r="IF1542" s="5" t="s">
        <v>240</v>
      </c>
    </row>
    <row r="1543" spans="1:240" x14ac:dyDescent="0.4">
      <c r="A1543" s="5">
        <v>3218</v>
      </c>
      <c r="B1543" s="5">
        <v>1</v>
      </c>
      <c r="C1543" s="5">
        <v>1</v>
      </c>
      <c r="D1543" s="5" t="s">
        <v>297</v>
      </c>
      <c r="E1543" s="5" t="s">
        <v>245</v>
      </c>
      <c r="F1543" s="5" t="s">
        <v>254</v>
      </c>
      <c r="G1543" s="5" t="s">
        <v>240</v>
      </c>
      <c r="H1543" s="6" t="s">
        <v>4635</v>
      </c>
      <c r="I1543" s="5" t="s">
        <v>295</v>
      </c>
      <c r="J1543" s="8">
        <f>1004</f>
        <v>1004</v>
      </c>
      <c r="K1543" s="5" t="s">
        <v>308</v>
      </c>
      <c r="L1543" s="7">
        <f>1</f>
        <v>1</v>
      </c>
      <c r="M1543" s="7">
        <f>1</f>
        <v>1</v>
      </c>
      <c r="N1543" s="5" t="s">
        <v>242</v>
      </c>
      <c r="O1543" s="5">
        <v>1</v>
      </c>
      <c r="P1543" s="5" t="s">
        <v>294</v>
      </c>
      <c r="Q1543" s="5" t="s">
        <v>266</v>
      </c>
      <c r="R1543" s="5" t="s">
        <v>240</v>
      </c>
      <c r="S1543" s="5" t="s">
        <v>240</v>
      </c>
      <c r="T1543" s="5" t="s">
        <v>296</v>
      </c>
      <c r="U1543" s="5" t="s">
        <v>244</v>
      </c>
      <c r="V1543" s="5" t="s">
        <v>240</v>
      </c>
      <c r="Y1543" s="5" t="s">
        <v>240</v>
      </c>
      <c r="Z1543" s="6" t="s">
        <v>298</v>
      </c>
      <c r="AB1543" s="6" t="s">
        <v>240</v>
      </c>
      <c r="AE1543" s="6" t="s">
        <v>299</v>
      </c>
      <c r="AF1543" s="5" t="s">
        <v>248</v>
      </c>
      <c r="AG1543" s="5" t="s">
        <v>249</v>
      </c>
      <c r="AW1543" s="5" t="s">
        <v>251</v>
      </c>
      <c r="AX1543" s="5" t="s">
        <v>240</v>
      </c>
      <c r="AY1543" s="5" t="s">
        <v>253</v>
      </c>
      <c r="AZ1543" s="5" t="s">
        <v>240</v>
      </c>
      <c r="BA1543" s="5" t="s">
        <v>255</v>
      </c>
      <c r="BB1543" s="5" t="s">
        <v>240</v>
      </c>
      <c r="BD1543" s="5" t="s">
        <v>240</v>
      </c>
      <c r="BF1543" s="5" t="s">
        <v>301</v>
      </c>
      <c r="BG1543" s="6" t="s">
        <v>299</v>
      </c>
      <c r="BH1543" s="5" t="s">
        <v>302</v>
      </c>
      <c r="BI1543" s="5" t="s">
        <v>303</v>
      </c>
      <c r="BJ1543" s="5" t="s">
        <v>240</v>
      </c>
      <c r="BK1543" s="8">
        <f>0</f>
        <v>0</v>
      </c>
      <c r="BL1543" s="7">
        <f>0</f>
        <v>0</v>
      </c>
      <c r="BM1543" s="5" t="s">
        <v>258</v>
      </c>
      <c r="BN1543" s="5" t="s">
        <v>259</v>
      </c>
      <c r="CB1543" s="5" t="s">
        <v>240</v>
      </c>
      <c r="CC1543" s="5" t="s">
        <v>240</v>
      </c>
      <c r="CG1543" s="5" t="s">
        <v>304</v>
      </c>
      <c r="CH1543" s="5" t="s">
        <v>305</v>
      </c>
      <c r="CI1543" s="5" t="s">
        <v>240</v>
      </c>
      <c r="CL1543" s="6" t="s">
        <v>261</v>
      </c>
      <c r="CM1543" s="5" t="s">
        <v>240</v>
      </c>
      <c r="CN1543" s="5" t="s">
        <v>263</v>
      </c>
      <c r="CO1543" s="5" t="s">
        <v>240</v>
      </c>
      <c r="CP1543" s="5" t="s">
        <v>240</v>
      </c>
      <c r="CQ1543" s="5">
        <v>0</v>
      </c>
      <c r="CR1543" s="5" t="s">
        <v>306</v>
      </c>
      <c r="CS1543" s="5" t="s">
        <v>307</v>
      </c>
      <c r="CT1543" s="5" t="s">
        <v>307</v>
      </c>
      <c r="CU1543" s="5" t="s">
        <v>260</v>
      </c>
      <c r="CX1543" s="7">
        <f>1</f>
        <v>1</v>
      </c>
      <c r="CY1543" s="7">
        <f>0</f>
        <v>0</v>
      </c>
      <c r="DA1543" s="7">
        <f>0</f>
        <v>0</v>
      </c>
      <c r="DC1543" s="5" t="s">
        <v>812</v>
      </c>
      <c r="DD1543" s="5" t="s">
        <v>240</v>
      </c>
      <c r="DF1543" s="5" t="s">
        <v>812</v>
      </c>
      <c r="DG1543" s="7">
        <f>2598</f>
        <v>2598</v>
      </c>
      <c r="DI1543" s="5" t="s">
        <v>240</v>
      </c>
      <c r="DJ1543" s="5" t="s">
        <v>240</v>
      </c>
      <c r="DK1543" s="5" t="s">
        <v>240</v>
      </c>
      <c r="DL1543" s="5" t="s">
        <v>240</v>
      </c>
      <c r="DP1543" s="5" t="s">
        <v>240</v>
      </c>
      <c r="DQ1543" s="5" t="s">
        <v>240</v>
      </c>
      <c r="DR1543" s="5" t="s">
        <v>240</v>
      </c>
      <c r="DS1543" s="5" t="s">
        <v>240</v>
      </c>
      <c r="DV1543" s="5" t="s">
        <v>813</v>
      </c>
      <c r="DW1543" s="5" t="s">
        <v>3220</v>
      </c>
      <c r="HO1543" s="5" t="s">
        <v>312</v>
      </c>
    </row>
    <row r="1544" spans="1:240" x14ac:dyDescent="0.4">
      <c r="A1544" s="5">
        <v>3219</v>
      </c>
      <c r="B1544" s="5">
        <v>1</v>
      </c>
      <c r="C1544" s="5">
        <v>1</v>
      </c>
      <c r="D1544" s="5" t="s">
        <v>297</v>
      </c>
      <c r="E1544" s="5" t="s">
        <v>245</v>
      </c>
      <c r="F1544" s="5" t="s">
        <v>254</v>
      </c>
      <c r="G1544" s="5" t="s">
        <v>240</v>
      </c>
      <c r="H1544" s="6" t="s">
        <v>4634</v>
      </c>
      <c r="I1544" s="5" t="s">
        <v>295</v>
      </c>
      <c r="J1544" s="8">
        <f>1933</f>
        <v>1933</v>
      </c>
      <c r="K1544" s="5" t="s">
        <v>308</v>
      </c>
      <c r="L1544" s="7">
        <f>1</f>
        <v>1</v>
      </c>
      <c r="M1544" s="7">
        <f>1</f>
        <v>1</v>
      </c>
      <c r="N1544" s="5" t="s">
        <v>242</v>
      </c>
      <c r="O1544" s="5">
        <v>1</v>
      </c>
      <c r="P1544" s="5" t="s">
        <v>294</v>
      </c>
      <c r="Q1544" s="5" t="s">
        <v>266</v>
      </c>
      <c r="R1544" s="5" t="s">
        <v>240</v>
      </c>
      <c r="S1544" s="5" t="s">
        <v>240</v>
      </c>
      <c r="T1544" s="5" t="s">
        <v>296</v>
      </c>
      <c r="U1544" s="5" t="s">
        <v>244</v>
      </c>
      <c r="V1544" s="5" t="s">
        <v>240</v>
      </c>
      <c r="Y1544" s="5" t="s">
        <v>240</v>
      </c>
      <c r="Z1544" s="6" t="s">
        <v>298</v>
      </c>
      <c r="AB1544" s="6" t="s">
        <v>240</v>
      </c>
      <c r="AE1544" s="6" t="s">
        <v>299</v>
      </c>
      <c r="AF1544" s="5" t="s">
        <v>248</v>
      </c>
      <c r="AG1544" s="5" t="s">
        <v>249</v>
      </c>
      <c r="AW1544" s="5" t="s">
        <v>251</v>
      </c>
      <c r="AX1544" s="5" t="s">
        <v>240</v>
      </c>
      <c r="AY1544" s="5" t="s">
        <v>253</v>
      </c>
      <c r="AZ1544" s="5" t="s">
        <v>240</v>
      </c>
      <c r="BA1544" s="5" t="s">
        <v>255</v>
      </c>
      <c r="BB1544" s="5" t="s">
        <v>240</v>
      </c>
      <c r="BD1544" s="5" t="s">
        <v>240</v>
      </c>
      <c r="BF1544" s="5" t="s">
        <v>301</v>
      </c>
      <c r="BG1544" s="6" t="s">
        <v>299</v>
      </c>
      <c r="BH1544" s="5" t="s">
        <v>302</v>
      </c>
      <c r="BI1544" s="5" t="s">
        <v>303</v>
      </c>
      <c r="BJ1544" s="5" t="s">
        <v>240</v>
      </c>
      <c r="BK1544" s="8">
        <f>0</f>
        <v>0</v>
      </c>
      <c r="BL1544" s="7">
        <f>0</f>
        <v>0</v>
      </c>
      <c r="BM1544" s="5" t="s">
        <v>258</v>
      </c>
      <c r="BN1544" s="5" t="s">
        <v>259</v>
      </c>
      <c r="CB1544" s="5" t="s">
        <v>240</v>
      </c>
      <c r="CC1544" s="5" t="s">
        <v>240</v>
      </c>
      <c r="CG1544" s="5" t="s">
        <v>304</v>
      </c>
      <c r="CH1544" s="5" t="s">
        <v>305</v>
      </c>
      <c r="CI1544" s="5" t="s">
        <v>240</v>
      </c>
      <c r="CL1544" s="6" t="s">
        <v>261</v>
      </c>
      <c r="CM1544" s="5" t="s">
        <v>240</v>
      </c>
      <c r="CN1544" s="5" t="s">
        <v>263</v>
      </c>
      <c r="CO1544" s="5" t="s">
        <v>240</v>
      </c>
      <c r="CP1544" s="5" t="s">
        <v>240</v>
      </c>
      <c r="CQ1544" s="5">
        <v>0</v>
      </c>
      <c r="CR1544" s="5" t="s">
        <v>306</v>
      </c>
      <c r="CS1544" s="5" t="s">
        <v>307</v>
      </c>
      <c r="CT1544" s="5" t="s">
        <v>307</v>
      </c>
      <c r="CU1544" s="5" t="s">
        <v>260</v>
      </c>
      <c r="CX1544" s="7">
        <f>1</f>
        <v>1</v>
      </c>
      <c r="CY1544" s="7">
        <f>0</f>
        <v>0</v>
      </c>
      <c r="DA1544" s="7">
        <f>0</f>
        <v>0</v>
      </c>
      <c r="DC1544" s="5" t="s">
        <v>812</v>
      </c>
      <c r="DD1544" s="5" t="s">
        <v>240</v>
      </c>
      <c r="DF1544" s="5" t="s">
        <v>812</v>
      </c>
      <c r="DG1544" s="7">
        <f>1205</f>
        <v>1205</v>
      </c>
      <c r="DI1544" s="5" t="s">
        <v>240</v>
      </c>
      <c r="DJ1544" s="5" t="s">
        <v>240</v>
      </c>
      <c r="DK1544" s="5" t="s">
        <v>240</v>
      </c>
      <c r="DL1544" s="5" t="s">
        <v>240</v>
      </c>
      <c r="DP1544" s="5" t="s">
        <v>240</v>
      </c>
      <c r="DQ1544" s="5" t="s">
        <v>240</v>
      </c>
      <c r="DR1544" s="5" t="s">
        <v>240</v>
      </c>
      <c r="DS1544" s="5" t="s">
        <v>240</v>
      </c>
      <c r="DV1544" s="5" t="s">
        <v>813</v>
      </c>
      <c r="DW1544" s="5" t="s">
        <v>3222</v>
      </c>
      <c r="HO1544" s="5" t="s">
        <v>312</v>
      </c>
    </row>
    <row r="1545" spans="1:240" x14ac:dyDescent="0.4">
      <c r="A1545" s="5">
        <v>3220</v>
      </c>
      <c r="B1545" s="5">
        <v>1</v>
      </c>
      <c r="C1545" s="5">
        <v>1</v>
      </c>
      <c r="D1545" s="5" t="s">
        <v>297</v>
      </c>
      <c r="E1545" s="5" t="s">
        <v>245</v>
      </c>
      <c r="F1545" s="5" t="s">
        <v>254</v>
      </c>
      <c r="G1545" s="5" t="s">
        <v>240</v>
      </c>
      <c r="H1545" s="6" t="s">
        <v>4633</v>
      </c>
      <c r="I1545" s="5" t="s">
        <v>295</v>
      </c>
      <c r="J1545" s="8">
        <f>561</f>
        <v>561</v>
      </c>
      <c r="K1545" s="5" t="s">
        <v>308</v>
      </c>
      <c r="L1545" s="7">
        <f>1</f>
        <v>1</v>
      </c>
      <c r="M1545" s="7">
        <f>1</f>
        <v>1</v>
      </c>
      <c r="N1545" s="5" t="s">
        <v>242</v>
      </c>
      <c r="O1545" s="5">
        <v>1</v>
      </c>
      <c r="P1545" s="5" t="s">
        <v>294</v>
      </c>
      <c r="Q1545" s="5" t="s">
        <v>266</v>
      </c>
      <c r="R1545" s="5" t="s">
        <v>240</v>
      </c>
      <c r="S1545" s="5" t="s">
        <v>240</v>
      </c>
      <c r="T1545" s="5" t="s">
        <v>296</v>
      </c>
      <c r="U1545" s="5" t="s">
        <v>244</v>
      </c>
      <c r="V1545" s="5" t="s">
        <v>240</v>
      </c>
      <c r="Y1545" s="5" t="s">
        <v>240</v>
      </c>
      <c r="Z1545" s="6" t="s">
        <v>298</v>
      </c>
      <c r="AB1545" s="6" t="s">
        <v>240</v>
      </c>
      <c r="AE1545" s="6" t="s">
        <v>299</v>
      </c>
      <c r="AF1545" s="5" t="s">
        <v>248</v>
      </c>
      <c r="AG1545" s="5" t="s">
        <v>249</v>
      </c>
      <c r="AW1545" s="5" t="s">
        <v>251</v>
      </c>
      <c r="AX1545" s="5" t="s">
        <v>240</v>
      </c>
      <c r="AY1545" s="5" t="s">
        <v>253</v>
      </c>
      <c r="AZ1545" s="5" t="s">
        <v>240</v>
      </c>
      <c r="BA1545" s="5" t="s">
        <v>255</v>
      </c>
      <c r="BB1545" s="5" t="s">
        <v>240</v>
      </c>
      <c r="BD1545" s="5" t="s">
        <v>240</v>
      </c>
      <c r="BF1545" s="5" t="s">
        <v>301</v>
      </c>
      <c r="BG1545" s="6" t="s">
        <v>299</v>
      </c>
      <c r="BH1545" s="5" t="s">
        <v>302</v>
      </c>
      <c r="BI1545" s="5" t="s">
        <v>303</v>
      </c>
      <c r="BJ1545" s="5" t="s">
        <v>240</v>
      </c>
      <c r="BK1545" s="8">
        <f>0</f>
        <v>0</v>
      </c>
      <c r="BL1545" s="7">
        <f>0</f>
        <v>0</v>
      </c>
      <c r="BM1545" s="5" t="s">
        <v>258</v>
      </c>
      <c r="BN1545" s="5" t="s">
        <v>259</v>
      </c>
      <c r="CB1545" s="5" t="s">
        <v>240</v>
      </c>
      <c r="CC1545" s="5" t="s">
        <v>240</v>
      </c>
      <c r="CG1545" s="5" t="s">
        <v>304</v>
      </c>
      <c r="CH1545" s="5" t="s">
        <v>305</v>
      </c>
      <c r="CI1545" s="5" t="s">
        <v>240</v>
      </c>
      <c r="CL1545" s="6" t="s">
        <v>261</v>
      </c>
      <c r="CM1545" s="5" t="s">
        <v>240</v>
      </c>
      <c r="CN1545" s="5" t="s">
        <v>263</v>
      </c>
      <c r="CO1545" s="5" t="s">
        <v>240</v>
      </c>
      <c r="CP1545" s="5" t="s">
        <v>240</v>
      </c>
      <c r="CQ1545" s="5">
        <v>0</v>
      </c>
      <c r="CR1545" s="5" t="s">
        <v>306</v>
      </c>
      <c r="CS1545" s="5" t="s">
        <v>307</v>
      </c>
      <c r="CT1545" s="5" t="s">
        <v>307</v>
      </c>
      <c r="CU1545" s="5" t="s">
        <v>260</v>
      </c>
      <c r="CX1545" s="7">
        <f>1</f>
        <v>1</v>
      </c>
      <c r="CY1545" s="7">
        <f>0</f>
        <v>0</v>
      </c>
      <c r="DA1545" s="7">
        <f>0</f>
        <v>0</v>
      </c>
      <c r="DC1545" s="5" t="s">
        <v>812</v>
      </c>
      <c r="DD1545" s="5" t="s">
        <v>240</v>
      </c>
      <c r="DF1545" s="5" t="s">
        <v>812</v>
      </c>
      <c r="DG1545" s="7">
        <f>1110</f>
        <v>1110</v>
      </c>
      <c r="DI1545" s="5" t="s">
        <v>240</v>
      </c>
      <c r="DJ1545" s="5" t="s">
        <v>240</v>
      </c>
      <c r="DK1545" s="5" t="s">
        <v>240</v>
      </c>
      <c r="DL1545" s="5" t="s">
        <v>240</v>
      </c>
      <c r="DP1545" s="5" t="s">
        <v>240</v>
      </c>
      <c r="DQ1545" s="5" t="s">
        <v>240</v>
      </c>
      <c r="DR1545" s="5" t="s">
        <v>240</v>
      </c>
      <c r="DS1545" s="5" t="s">
        <v>240</v>
      </c>
      <c r="DV1545" s="5" t="s">
        <v>813</v>
      </c>
      <c r="DW1545" s="5" t="s">
        <v>3224</v>
      </c>
      <c r="HO1545" s="5" t="s">
        <v>312</v>
      </c>
    </row>
    <row r="1546" spans="1:240" x14ac:dyDescent="0.4">
      <c r="A1546" s="5">
        <v>3221</v>
      </c>
      <c r="B1546" s="5">
        <v>1</v>
      </c>
      <c r="C1546" s="5">
        <v>1</v>
      </c>
      <c r="D1546" s="5" t="s">
        <v>297</v>
      </c>
      <c r="E1546" s="5" t="s">
        <v>245</v>
      </c>
      <c r="F1546" s="5" t="s">
        <v>254</v>
      </c>
      <c r="G1546" s="5" t="s">
        <v>240</v>
      </c>
      <c r="H1546" s="6" t="s">
        <v>4632</v>
      </c>
      <c r="I1546" s="5" t="s">
        <v>295</v>
      </c>
      <c r="J1546" s="8">
        <f>259</f>
        <v>259</v>
      </c>
      <c r="K1546" s="5" t="s">
        <v>308</v>
      </c>
      <c r="L1546" s="7">
        <f>1</f>
        <v>1</v>
      </c>
      <c r="M1546" s="7">
        <f>1</f>
        <v>1</v>
      </c>
      <c r="N1546" s="5" t="s">
        <v>242</v>
      </c>
      <c r="O1546" s="5">
        <v>1</v>
      </c>
      <c r="P1546" s="5" t="s">
        <v>294</v>
      </c>
      <c r="Q1546" s="5" t="s">
        <v>266</v>
      </c>
      <c r="R1546" s="5" t="s">
        <v>240</v>
      </c>
      <c r="S1546" s="5" t="s">
        <v>240</v>
      </c>
      <c r="T1546" s="5" t="s">
        <v>296</v>
      </c>
      <c r="U1546" s="5" t="s">
        <v>244</v>
      </c>
      <c r="V1546" s="5" t="s">
        <v>240</v>
      </c>
      <c r="Y1546" s="5" t="s">
        <v>240</v>
      </c>
      <c r="Z1546" s="6" t="s">
        <v>298</v>
      </c>
      <c r="AB1546" s="6" t="s">
        <v>240</v>
      </c>
      <c r="AE1546" s="6" t="s">
        <v>299</v>
      </c>
      <c r="AF1546" s="5" t="s">
        <v>248</v>
      </c>
      <c r="AG1546" s="5" t="s">
        <v>249</v>
      </c>
      <c r="AW1546" s="5" t="s">
        <v>251</v>
      </c>
      <c r="AX1546" s="5" t="s">
        <v>240</v>
      </c>
      <c r="AY1546" s="5" t="s">
        <v>253</v>
      </c>
      <c r="AZ1546" s="5" t="s">
        <v>240</v>
      </c>
      <c r="BA1546" s="5" t="s">
        <v>255</v>
      </c>
      <c r="BB1546" s="5" t="s">
        <v>240</v>
      </c>
      <c r="BD1546" s="5" t="s">
        <v>240</v>
      </c>
      <c r="BF1546" s="5" t="s">
        <v>301</v>
      </c>
      <c r="BG1546" s="6" t="s">
        <v>299</v>
      </c>
      <c r="BH1546" s="5" t="s">
        <v>302</v>
      </c>
      <c r="BI1546" s="5" t="s">
        <v>303</v>
      </c>
      <c r="BJ1546" s="5" t="s">
        <v>240</v>
      </c>
      <c r="BK1546" s="8">
        <f>0</f>
        <v>0</v>
      </c>
      <c r="BL1546" s="7">
        <f>0</f>
        <v>0</v>
      </c>
      <c r="BM1546" s="5" t="s">
        <v>258</v>
      </c>
      <c r="BN1546" s="5" t="s">
        <v>259</v>
      </c>
      <c r="CB1546" s="5" t="s">
        <v>240</v>
      </c>
      <c r="CC1546" s="5" t="s">
        <v>240</v>
      </c>
      <c r="CG1546" s="5" t="s">
        <v>304</v>
      </c>
      <c r="CH1546" s="5" t="s">
        <v>305</v>
      </c>
      <c r="CI1546" s="5" t="s">
        <v>240</v>
      </c>
      <c r="CL1546" s="6" t="s">
        <v>261</v>
      </c>
      <c r="CM1546" s="5" t="s">
        <v>240</v>
      </c>
      <c r="CN1546" s="5" t="s">
        <v>263</v>
      </c>
      <c r="CO1546" s="5" t="s">
        <v>240</v>
      </c>
      <c r="CP1546" s="5" t="s">
        <v>240</v>
      </c>
      <c r="CQ1546" s="5">
        <v>0</v>
      </c>
      <c r="CR1546" s="5" t="s">
        <v>306</v>
      </c>
      <c r="CS1546" s="5" t="s">
        <v>307</v>
      </c>
      <c r="CT1546" s="5" t="s">
        <v>307</v>
      </c>
      <c r="CU1546" s="5" t="s">
        <v>260</v>
      </c>
      <c r="CX1546" s="7">
        <f>1</f>
        <v>1</v>
      </c>
      <c r="CY1546" s="7">
        <f>0</f>
        <v>0</v>
      </c>
      <c r="DA1546" s="7">
        <f>0</f>
        <v>0</v>
      </c>
      <c r="DC1546" s="5" t="s">
        <v>812</v>
      </c>
      <c r="DD1546" s="5" t="s">
        <v>240</v>
      </c>
      <c r="DF1546" s="5" t="s">
        <v>812</v>
      </c>
      <c r="DG1546" s="7">
        <f>1024</f>
        <v>1024</v>
      </c>
      <c r="DI1546" s="5" t="s">
        <v>240</v>
      </c>
      <c r="DJ1546" s="5" t="s">
        <v>240</v>
      </c>
      <c r="DK1546" s="5" t="s">
        <v>240</v>
      </c>
      <c r="DL1546" s="5" t="s">
        <v>240</v>
      </c>
      <c r="DP1546" s="5" t="s">
        <v>240</v>
      </c>
      <c r="DQ1546" s="5" t="s">
        <v>240</v>
      </c>
      <c r="DR1546" s="5" t="s">
        <v>240</v>
      </c>
      <c r="DS1546" s="5" t="s">
        <v>240</v>
      </c>
      <c r="DV1546" s="5" t="s">
        <v>813</v>
      </c>
      <c r="DW1546" s="5" t="s">
        <v>3226</v>
      </c>
      <c r="HO1546" s="5" t="s">
        <v>312</v>
      </c>
    </row>
    <row r="1547" spans="1:240" x14ac:dyDescent="0.4">
      <c r="A1547" s="5">
        <v>3222</v>
      </c>
      <c r="B1547" s="5">
        <v>1</v>
      </c>
      <c r="C1547" s="5">
        <v>1</v>
      </c>
      <c r="D1547" s="5" t="s">
        <v>297</v>
      </c>
      <c r="E1547" s="5" t="s">
        <v>245</v>
      </c>
      <c r="F1547" s="5" t="s">
        <v>254</v>
      </c>
      <c r="G1547" s="5" t="s">
        <v>240</v>
      </c>
      <c r="H1547" s="6" t="s">
        <v>4631</v>
      </c>
      <c r="I1547" s="5" t="s">
        <v>295</v>
      </c>
      <c r="J1547" s="8">
        <f>1759</f>
        <v>1759</v>
      </c>
      <c r="K1547" s="5" t="s">
        <v>308</v>
      </c>
      <c r="L1547" s="7">
        <f>1</f>
        <v>1</v>
      </c>
      <c r="M1547" s="7">
        <f>1</f>
        <v>1</v>
      </c>
      <c r="N1547" s="5" t="s">
        <v>242</v>
      </c>
      <c r="O1547" s="5">
        <v>1</v>
      </c>
      <c r="P1547" s="5" t="s">
        <v>294</v>
      </c>
      <c r="Q1547" s="5" t="s">
        <v>266</v>
      </c>
      <c r="R1547" s="5" t="s">
        <v>240</v>
      </c>
      <c r="S1547" s="5" t="s">
        <v>240</v>
      </c>
      <c r="T1547" s="5" t="s">
        <v>296</v>
      </c>
      <c r="U1547" s="5" t="s">
        <v>244</v>
      </c>
      <c r="V1547" s="5" t="s">
        <v>240</v>
      </c>
      <c r="Y1547" s="5" t="s">
        <v>240</v>
      </c>
      <c r="Z1547" s="6" t="s">
        <v>298</v>
      </c>
      <c r="AB1547" s="6" t="s">
        <v>240</v>
      </c>
      <c r="AE1547" s="6" t="s">
        <v>299</v>
      </c>
      <c r="AF1547" s="5" t="s">
        <v>248</v>
      </c>
      <c r="AG1547" s="5" t="s">
        <v>249</v>
      </c>
      <c r="AW1547" s="5" t="s">
        <v>251</v>
      </c>
      <c r="AX1547" s="5" t="s">
        <v>240</v>
      </c>
      <c r="AY1547" s="5" t="s">
        <v>253</v>
      </c>
      <c r="AZ1547" s="5" t="s">
        <v>240</v>
      </c>
      <c r="BA1547" s="5" t="s">
        <v>255</v>
      </c>
      <c r="BB1547" s="5" t="s">
        <v>240</v>
      </c>
      <c r="BD1547" s="5" t="s">
        <v>240</v>
      </c>
      <c r="BF1547" s="5" t="s">
        <v>301</v>
      </c>
      <c r="BG1547" s="6" t="s">
        <v>299</v>
      </c>
      <c r="BH1547" s="5" t="s">
        <v>302</v>
      </c>
      <c r="BI1547" s="5" t="s">
        <v>303</v>
      </c>
      <c r="BJ1547" s="5" t="s">
        <v>240</v>
      </c>
      <c r="BK1547" s="8">
        <f>0</f>
        <v>0</v>
      </c>
      <c r="BL1547" s="7">
        <f>0</f>
        <v>0</v>
      </c>
      <c r="BM1547" s="5" t="s">
        <v>258</v>
      </c>
      <c r="BN1547" s="5" t="s">
        <v>259</v>
      </c>
      <c r="CB1547" s="5" t="s">
        <v>240</v>
      </c>
      <c r="CC1547" s="5" t="s">
        <v>240</v>
      </c>
      <c r="CG1547" s="5" t="s">
        <v>304</v>
      </c>
      <c r="CH1547" s="5" t="s">
        <v>305</v>
      </c>
      <c r="CI1547" s="5" t="s">
        <v>240</v>
      </c>
      <c r="CL1547" s="6" t="s">
        <v>261</v>
      </c>
      <c r="CM1547" s="5" t="s">
        <v>240</v>
      </c>
      <c r="CN1547" s="5" t="s">
        <v>263</v>
      </c>
      <c r="CO1547" s="5" t="s">
        <v>240</v>
      </c>
      <c r="CP1547" s="5" t="s">
        <v>240</v>
      </c>
      <c r="CQ1547" s="5">
        <v>0</v>
      </c>
      <c r="CR1547" s="5" t="s">
        <v>306</v>
      </c>
      <c r="CS1547" s="5" t="s">
        <v>307</v>
      </c>
      <c r="CT1547" s="5" t="s">
        <v>307</v>
      </c>
      <c r="CU1547" s="5" t="s">
        <v>260</v>
      </c>
      <c r="CX1547" s="7">
        <f>1</f>
        <v>1</v>
      </c>
      <c r="CY1547" s="7">
        <f>0</f>
        <v>0</v>
      </c>
      <c r="DA1547" s="7">
        <f>0</f>
        <v>0</v>
      </c>
      <c r="DC1547" s="5" t="s">
        <v>812</v>
      </c>
      <c r="DD1547" s="5" t="s">
        <v>240</v>
      </c>
      <c r="DF1547" s="5" t="s">
        <v>812</v>
      </c>
      <c r="DG1547" s="7">
        <f>985</f>
        <v>985</v>
      </c>
      <c r="DI1547" s="5" t="s">
        <v>240</v>
      </c>
      <c r="DJ1547" s="5" t="s">
        <v>240</v>
      </c>
      <c r="DK1547" s="5" t="s">
        <v>240</v>
      </c>
      <c r="DL1547" s="5" t="s">
        <v>240</v>
      </c>
      <c r="DP1547" s="5" t="s">
        <v>240</v>
      </c>
      <c r="DQ1547" s="5" t="s">
        <v>240</v>
      </c>
      <c r="DR1547" s="5" t="s">
        <v>240</v>
      </c>
      <c r="DS1547" s="5" t="s">
        <v>240</v>
      </c>
      <c r="DV1547" s="5" t="s">
        <v>813</v>
      </c>
      <c r="DW1547" s="5" t="s">
        <v>3228</v>
      </c>
      <c r="HO1547" s="5" t="s">
        <v>312</v>
      </c>
    </row>
    <row r="1548" spans="1:240" x14ac:dyDescent="0.4">
      <c r="A1548" s="5">
        <v>3223</v>
      </c>
      <c r="B1548" s="5">
        <v>1</v>
      </c>
      <c r="C1548" s="5">
        <v>1</v>
      </c>
      <c r="D1548" s="5" t="s">
        <v>297</v>
      </c>
      <c r="E1548" s="5" t="s">
        <v>245</v>
      </c>
      <c r="F1548" s="5" t="s">
        <v>254</v>
      </c>
      <c r="G1548" s="5" t="s">
        <v>240</v>
      </c>
      <c r="H1548" s="6" t="s">
        <v>4630</v>
      </c>
      <c r="I1548" s="5" t="s">
        <v>295</v>
      </c>
      <c r="J1548" s="8">
        <f>745</f>
        <v>745</v>
      </c>
      <c r="K1548" s="5" t="s">
        <v>308</v>
      </c>
      <c r="L1548" s="7">
        <f>1</f>
        <v>1</v>
      </c>
      <c r="M1548" s="7">
        <f>1</f>
        <v>1</v>
      </c>
      <c r="N1548" s="5" t="s">
        <v>242</v>
      </c>
      <c r="O1548" s="5">
        <v>1</v>
      </c>
      <c r="P1548" s="5" t="s">
        <v>294</v>
      </c>
      <c r="Q1548" s="5" t="s">
        <v>266</v>
      </c>
      <c r="R1548" s="5" t="s">
        <v>240</v>
      </c>
      <c r="S1548" s="5" t="s">
        <v>240</v>
      </c>
      <c r="T1548" s="5" t="s">
        <v>296</v>
      </c>
      <c r="U1548" s="5" t="s">
        <v>244</v>
      </c>
      <c r="V1548" s="5" t="s">
        <v>240</v>
      </c>
      <c r="Y1548" s="5" t="s">
        <v>240</v>
      </c>
      <c r="Z1548" s="6" t="s">
        <v>298</v>
      </c>
      <c r="AB1548" s="6" t="s">
        <v>240</v>
      </c>
      <c r="AE1548" s="6" t="s">
        <v>299</v>
      </c>
      <c r="AF1548" s="5" t="s">
        <v>248</v>
      </c>
      <c r="AG1548" s="5" t="s">
        <v>249</v>
      </c>
      <c r="AW1548" s="5" t="s">
        <v>251</v>
      </c>
      <c r="AX1548" s="5" t="s">
        <v>240</v>
      </c>
      <c r="AY1548" s="5" t="s">
        <v>253</v>
      </c>
      <c r="AZ1548" s="5" t="s">
        <v>240</v>
      </c>
      <c r="BA1548" s="5" t="s">
        <v>255</v>
      </c>
      <c r="BB1548" s="5" t="s">
        <v>240</v>
      </c>
      <c r="BD1548" s="5" t="s">
        <v>240</v>
      </c>
      <c r="BF1548" s="5" t="s">
        <v>301</v>
      </c>
      <c r="BG1548" s="6" t="s">
        <v>299</v>
      </c>
      <c r="BH1548" s="5" t="s">
        <v>302</v>
      </c>
      <c r="BI1548" s="5" t="s">
        <v>303</v>
      </c>
      <c r="BJ1548" s="5" t="s">
        <v>240</v>
      </c>
      <c r="BK1548" s="8">
        <f>0</f>
        <v>0</v>
      </c>
      <c r="BL1548" s="7">
        <f>0</f>
        <v>0</v>
      </c>
      <c r="BM1548" s="5" t="s">
        <v>258</v>
      </c>
      <c r="BN1548" s="5" t="s">
        <v>259</v>
      </c>
      <c r="CB1548" s="5" t="s">
        <v>240</v>
      </c>
      <c r="CC1548" s="5" t="s">
        <v>240</v>
      </c>
      <c r="CG1548" s="5" t="s">
        <v>304</v>
      </c>
      <c r="CH1548" s="5" t="s">
        <v>305</v>
      </c>
      <c r="CI1548" s="5" t="s">
        <v>240</v>
      </c>
      <c r="CL1548" s="6" t="s">
        <v>261</v>
      </c>
      <c r="CM1548" s="5" t="s">
        <v>240</v>
      </c>
      <c r="CN1548" s="5" t="s">
        <v>263</v>
      </c>
      <c r="CO1548" s="5" t="s">
        <v>240</v>
      </c>
      <c r="CP1548" s="5" t="s">
        <v>240</v>
      </c>
      <c r="CQ1548" s="5">
        <v>0</v>
      </c>
      <c r="CR1548" s="5" t="s">
        <v>306</v>
      </c>
      <c r="CS1548" s="5" t="s">
        <v>307</v>
      </c>
      <c r="CT1548" s="5" t="s">
        <v>307</v>
      </c>
      <c r="CU1548" s="5" t="s">
        <v>260</v>
      </c>
      <c r="CX1548" s="7">
        <f>1</f>
        <v>1</v>
      </c>
      <c r="CY1548" s="7">
        <f>0</f>
        <v>0</v>
      </c>
      <c r="DA1548" s="7">
        <f>0</f>
        <v>0</v>
      </c>
      <c r="DC1548" s="5" t="s">
        <v>812</v>
      </c>
      <c r="DD1548" s="5" t="s">
        <v>240</v>
      </c>
      <c r="DF1548" s="5" t="s">
        <v>812</v>
      </c>
      <c r="DG1548" s="7">
        <f>279</f>
        <v>279</v>
      </c>
      <c r="DI1548" s="5" t="s">
        <v>240</v>
      </c>
      <c r="DJ1548" s="5" t="s">
        <v>240</v>
      </c>
      <c r="DK1548" s="5" t="s">
        <v>240</v>
      </c>
      <c r="DL1548" s="5" t="s">
        <v>240</v>
      </c>
      <c r="DP1548" s="5" t="s">
        <v>240</v>
      </c>
      <c r="DQ1548" s="5" t="s">
        <v>240</v>
      </c>
      <c r="DR1548" s="5" t="s">
        <v>240</v>
      </c>
      <c r="DS1548" s="5" t="s">
        <v>240</v>
      </c>
      <c r="DV1548" s="5" t="s">
        <v>813</v>
      </c>
      <c r="DW1548" s="5" t="s">
        <v>3230</v>
      </c>
      <c r="HO1548" s="5" t="s">
        <v>312</v>
      </c>
    </row>
    <row r="1549" spans="1:240" x14ac:dyDescent="0.4">
      <c r="A1549" s="5">
        <v>3224</v>
      </c>
      <c r="B1549" s="5">
        <v>1</v>
      </c>
      <c r="C1549" s="5">
        <v>1</v>
      </c>
      <c r="D1549" s="5" t="s">
        <v>297</v>
      </c>
      <c r="E1549" s="5" t="s">
        <v>245</v>
      </c>
      <c r="F1549" s="5" t="s">
        <v>254</v>
      </c>
      <c r="G1549" s="5" t="s">
        <v>240</v>
      </c>
      <c r="H1549" s="6" t="s">
        <v>4629</v>
      </c>
      <c r="I1549" s="5" t="s">
        <v>295</v>
      </c>
      <c r="J1549" s="8">
        <f>293</f>
        <v>293</v>
      </c>
      <c r="K1549" s="5" t="s">
        <v>308</v>
      </c>
      <c r="L1549" s="7">
        <f>1</f>
        <v>1</v>
      </c>
      <c r="M1549" s="7">
        <f>1</f>
        <v>1</v>
      </c>
      <c r="N1549" s="5" t="s">
        <v>242</v>
      </c>
      <c r="O1549" s="5">
        <v>1</v>
      </c>
      <c r="P1549" s="5" t="s">
        <v>294</v>
      </c>
      <c r="Q1549" s="5" t="s">
        <v>266</v>
      </c>
      <c r="R1549" s="5" t="s">
        <v>240</v>
      </c>
      <c r="S1549" s="5" t="s">
        <v>240</v>
      </c>
      <c r="T1549" s="5" t="s">
        <v>296</v>
      </c>
      <c r="U1549" s="5" t="s">
        <v>244</v>
      </c>
      <c r="V1549" s="5" t="s">
        <v>240</v>
      </c>
      <c r="Y1549" s="5" t="s">
        <v>240</v>
      </c>
      <c r="Z1549" s="6" t="s">
        <v>298</v>
      </c>
      <c r="AB1549" s="6" t="s">
        <v>240</v>
      </c>
      <c r="AE1549" s="6" t="s">
        <v>299</v>
      </c>
      <c r="AF1549" s="5" t="s">
        <v>248</v>
      </c>
      <c r="AG1549" s="5" t="s">
        <v>249</v>
      </c>
      <c r="AW1549" s="5" t="s">
        <v>251</v>
      </c>
      <c r="AX1549" s="5" t="s">
        <v>240</v>
      </c>
      <c r="AY1549" s="5" t="s">
        <v>253</v>
      </c>
      <c r="AZ1549" s="5" t="s">
        <v>240</v>
      </c>
      <c r="BA1549" s="5" t="s">
        <v>255</v>
      </c>
      <c r="BB1549" s="5" t="s">
        <v>240</v>
      </c>
      <c r="BD1549" s="5" t="s">
        <v>240</v>
      </c>
      <c r="BF1549" s="5" t="s">
        <v>301</v>
      </c>
      <c r="BG1549" s="6" t="s">
        <v>299</v>
      </c>
      <c r="BH1549" s="5" t="s">
        <v>302</v>
      </c>
      <c r="BI1549" s="5" t="s">
        <v>303</v>
      </c>
      <c r="BJ1549" s="5" t="s">
        <v>240</v>
      </c>
      <c r="BK1549" s="8">
        <f>0</f>
        <v>0</v>
      </c>
      <c r="BL1549" s="7">
        <f>0</f>
        <v>0</v>
      </c>
      <c r="BM1549" s="5" t="s">
        <v>258</v>
      </c>
      <c r="BN1549" s="5" t="s">
        <v>259</v>
      </c>
      <c r="CB1549" s="5" t="s">
        <v>240</v>
      </c>
      <c r="CC1549" s="5" t="s">
        <v>240</v>
      </c>
      <c r="CG1549" s="5" t="s">
        <v>304</v>
      </c>
      <c r="CH1549" s="5" t="s">
        <v>305</v>
      </c>
      <c r="CI1549" s="5" t="s">
        <v>240</v>
      </c>
      <c r="CL1549" s="6" t="s">
        <v>261</v>
      </c>
      <c r="CM1549" s="5" t="s">
        <v>240</v>
      </c>
      <c r="CN1549" s="5" t="s">
        <v>263</v>
      </c>
      <c r="CO1549" s="5" t="s">
        <v>240</v>
      </c>
      <c r="CP1549" s="5" t="s">
        <v>240</v>
      </c>
      <c r="CQ1549" s="5">
        <v>0</v>
      </c>
      <c r="CR1549" s="5" t="s">
        <v>306</v>
      </c>
      <c r="CS1549" s="5" t="s">
        <v>307</v>
      </c>
      <c r="CT1549" s="5" t="s">
        <v>307</v>
      </c>
      <c r="CU1549" s="5" t="s">
        <v>260</v>
      </c>
      <c r="CX1549" s="7">
        <f>1</f>
        <v>1</v>
      </c>
      <c r="CY1549" s="7">
        <f>0</f>
        <v>0</v>
      </c>
      <c r="DA1549" s="7">
        <f>0</f>
        <v>0</v>
      </c>
      <c r="DC1549" s="5" t="s">
        <v>812</v>
      </c>
      <c r="DD1549" s="5" t="s">
        <v>240</v>
      </c>
      <c r="DF1549" s="5" t="s">
        <v>812</v>
      </c>
      <c r="DG1549" s="7">
        <f>2879</f>
        <v>2879</v>
      </c>
      <c r="DI1549" s="5" t="s">
        <v>240</v>
      </c>
      <c r="DJ1549" s="5" t="s">
        <v>240</v>
      </c>
      <c r="DK1549" s="5" t="s">
        <v>240</v>
      </c>
      <c r="DL1549" s="5" t="s">
        <v>240</v>
      </c>
      <c r="DP1549" s="5" t="s">
        <v>240</v>
      </c>
      <c r="DQ1549" s="5" t="s">
        <v>240</v>
      </c>
      <c r="DR1549" s="5" t="s">
        <v>240</v>
      </c>
      <c r="DS1549" s="5" t="s">
        <v>240</v>
      </c>
      <c r="DV1549" s="5" t="s">
        <v>813</v>
      </c>
      <c r="DW1549" s="5" t="s">
        <v>3232</v>
      </c>
      <c r="HO1549" s="5" t="s">
        <v>312</v>
      </c>
    </row>
    <row r="1550" spans="1:240" x14ac:dyDescent="0.4">
      <c r="A1550" s="5">
        <v>3225</v>
      </c>
      <c r="B1550" s="5">
        <v>1</v>
      </c>
      <c r="C1550" s="5">
        <v>1</v>
      </c>
      <c r="D1550" s="5" t="s">
        <v>297</v>
      </c>
      <c r="E1550" s="5" t="s">
        <v>245</v>
      </c>
      <c r="F1550" s="5" t="s">
        <v>254</v>
      </c>
      <c r="G1550" s="5" t="s">
        <v>240</v>
      </c>
      <c r="H1550" s="6" t="s">
        <v>5739</v>
      </c>
      <c r="I1550" s="5" t="s">
        <v>295</v>
      </c>
      <c r="J1550" s="8">
        <f>2173</f>
        <v>2173</v>
      </c>
      <c r="K1550" s="5" t="s">
        <v>308</v>
      </c>
      <c r="L1550" s="7">
        <f>1</f>
        <v>1</v>
      </c>
      <c r="M1550" s="7">
        <f>1</f>
        <v>1</v>
      </c>
      <c r="N1550" s="5" t="s">
        <v>242</v>
      </c>
      <c r="O1550" s="5">
        <v>1</v>
      </c>
      <c r="P1550" s="5" t="s">
        <v>294</v>
      </c>
      <c r="Q1550" s="5" t="s">
        <v>266</v>
      </c>
      <c r="R1550" s="5" t="s">
        <v>240</v>
      </c>
      <c r="S1550" s="5" t="s">
        <v>240</v>
      </c>
      <c r="T1550" s="5" t="s">
        <v>296</v>
      </c>
      <c r="U1550" s="5" t="s">
        <v>244</v>
      </c>
      <c r="V1550" s="5" t="s">
        <v>240</v>
      </c>
      <c r="Y1550" s="5" t="s">
        <v>240</v>
      </c>
      <c r="Z1550" s="6" t="s">
        <v>298</v>
      </c>
      <c r="AB1550" s="6" t="s">
        <v>240</v>
      </c>
      <c r="AE1550" s="6" t="s">
        <v>299</v>
      </c>
      <c r="AF1550" s="5" t="s">
        <v>248</v>
      </c>
      <c r="AG1550" s="5" t="s">
        <v>249</v>
      </c>
      <c r="AW1550" s="5" t="s">
        <v>251</v>
      </c>
      <c r="AX1550" s="5" t="s">
        <v>240</v>
      </c>
      <c r="AY1550" s="5" t="s">
        <v>253</v>
      </c>
      <c r="AZ1550" s="5" t="s">
        <v>240</v>
      </c>
      <c r="BA1550" s="5" t="s">
        <v>255</v>
      </c>
      <c r="BB1550" s="5" t="s">
        <v>240</v>
      </c>
      <c r="BD1550" s="5" t="s">
        <v>240</v>
      </c>
      <c r="BF1550" s="5" t="s">
        <v>301</v>
      </c>
      <c r="BG1550" s="6" t="s">
        <v>299</v>
      </c>
      <c r="BH1550" s="5" t="s">
        <v>302</v>
      </c>
      <c r="BI1550" s="5" t="s">
        <v>303</v>
      </c>
      <c r="BJ1550" s="5" t="s">
        <v>240</v>
      </c>
      <c r="BK1550" s="8">
        <f>0</f>
        <v>0</v>
      </c>
      <c r="BL1550" s="7">
        <f>0</f>
        <v>0</v>
      </c>
      <c r="BM1550" s="5" t="s">
        <v>258</v>
      </c>
      <c r="BN1550" s="5" t="s">
        <v>259</v>
      </c>
      <c r="CB1550" s="5" t="s">
        <v>240</v>
      </c>
      <c r="CC1550" s="5" t="s">
        <v>240</v>
      </c>
      <c r="CG1550" s="5" t="s">
        <v>304</v>
      </c>
      <c r="CH1550" s="5" t="s">
        <v>305</v>
      </c>
      <c r="CI1550" s="5" t="s">
        <v>240</v>
      </c>
      <c r="CL1550" s="6" t="s">
        <v>261</v>
      </c>
      <c r="CM1550" s="5" t="s">
        <v>240</v>
      </c>
      <c r="CN1550" s="5" t="s">
        <v>263</v>
      </c>
      <c r="CO1550" s="5" t="s">
        <v>240</v>
      </c>
      <c r="CP1550" s="5" t="s">
        <v>240</v>
      </c>
      <c r="CQ1550" s="5">
        <v>0</v>
      </c>
      <c r="CR1550" s="5" t="s">
        <v>306</v>
      </c>
      <c r="CS1550" s="5" t="s">
        <v>307</v>
      </c>
      <c r="CT1550" s="5" t="s">
        <v>307</v>
      </c>
      <c r="CU1550" s="5" t="s">
        <v>260</v>
      </c>
      <c r="CX1550" s="7">
        <f>1</f>
        <v>1</v>
      </c>
      <c r="CY1550" s="7">
        <f>0</f>
        <v>0</v>
      </c>
      <c r="DA1550" s="7">
        <f>0</f>
        <v>0</v>
      </c>
      <c r="DC1550" s="5" t="s">
        <v>309</v>
      </c>
      <c r="DD1550" s="5" t="s">
        <v>240</v>
      </c>
      <c r="DF1550" s="5" t="s">
        <v>309</v>
      </c>
      <c r="DG1550" s="7">
        <f>1733</f>
        <v>1733</v>
      </c>
      <c r="DI1550" s="5" t="s">
        <v>240</v>
      </c>
      <c r="DJ1550" s="5" t="s">
        <v>240</v>
      </c>
      <c r="DK1550" s="5" t="s">
        <v>240</v>
      </c>
      <c r="DL1550" s="5" t="s">
        <v>240</v>
      </c>
      <c r="DP1550" s="5" t="s">
        <v>240</v>
      </c>
      <c r="DQ1550" s="5" t="s">
        <v>240</v>
      </c>
      <c r="DR1550" s="5" t="s">
        <v>240</v>
      </c>
      <c r="DS1550" s="5" t="s">
        <v>240</v>
      </c>
      <c r="DV1550" s="5" t="s">
        <v>310</v>
      </c>
      <c r="DW1550" s="5" t="s">
        <v>2206</v>
      </c>
      <c r="HO1550" s="5" t="s">
        <v>312</v>
      </c>
    </row>
    <row r="1551" spans="1:240" x14ac:dyDescent="0.4">
      <c r="A1551" s="5">
        <v>3226</v>
      </c>
      <c r="B1551" s="5">
        <v>1</v>
      </c>
      <c r="C1551" s="5">
        <v>1</v>
      </c>
      <c r="D1551" s="5" t="s">
        <v>297</v>
      </c>
      <c r="E1551" s="5" t="s">
        <v>245</v>
      </c>
      <c r="F1551" s="5" t="s">
        <v>254</v>
      </c>
      <c r="G1551" s="5" t="s">
        <v>240</v>
      </c>
      <c r="H1551" s="6" t="s">
        <v>4626</v>
      </c>
      <c r="I1551" s="5" t="s">
        <v>295</v>
      </c>
      <c r="J1551" s="8">
        <f>382</f>
        <v>382</v>
      </c>
      <c r="K1551" s="5" t="s">
        <v>308</v>
      </c>
      <c r="L1551" s="7">
        <f>1</f>
        <v>1</v>
      </c>
      <c r="M1551" s="7">
        <f>1</f>
        <v>1</v>
      </c>
      <c r="N1551" s="5" t="s">
        <v>242</v>
      </c>
      <c r="O1551" s="5">
        <v>1</v>
      </c>
      <c r="P1551" s="5" t="s">
        <v>294</v>
      </c>
      <c r="Q1551" s="5" t="s">
        <v>266</v>
      </c>
      <c r="R1551" s="5" t="s">
        <v>240</v>
      </c>
      <c r="S1551" s="5" t="s">
        <v>240</v>
      </c>
      <c r="T1551" s="5" t="s">
        <v>296</v>
      </c>
      <c r="U1551" s="5" t="s">
        <v>244</v>
      </c>
      <c r="V1551" s="5" t="s">
        <v>240</v>
      </c>
      <c r="Y1551" s="5" t="s">
        <v>240</v>
      </c>
      <c r="Z1551" s="6" t="s">
        <v>298</v>
      </c>
      <c r="AB1551" s="6" t="s">
        <v>240</v>
      </c>
      <c r="AE1551" s="6" t="s">
        <v>299</v>
      </c>
      <c r="AF1551" s="5" t="s">
        <v>248</v>
      </c>
      <c r="AG1551" s="5" t="s">
        <v>249</v>
      </c>
      <c r="AW1551" s="5" t="s">
        <v>251</v>
      </c>
      <c r="AX1551" s="5" t="s">
        <v>240</v>
      </c>
      <c r="AY1551" s="5" t="s">
        <v>253</v>
      </c>
      <c r="AZ1551" s="5" t="s">
        <v>240</v>
      </c>
      <c r="BA1551" s="5" t="s">
        <v>255</v>
      </c>
      <c r="BB1551" s="5" t="s">
        <v>240</v>
      </c>
      <c r="BD1551" s="5" t="s">
        <v>240</v>
      </c>
      <c r="BF1551" s="5" t="s">
        <v>301</v>
      </c>
      <c r="BG1551" s="6" t="s">
        <v>299</v>
      </c>
      <c r="BH1551" s="5" t="s">
        <v>302</v>
      </c>
      <c r="BI1551" s="5" t="s">
        <v>303</v>
      </c>
      <c r="BJ1551" s="5" t="s">
        <v>240</v>
      </c>
      <c r="BK1551" s="8">
        <f>0</f>
        <v>0</v>
      </c>
      <c r="BL1551" s="7">
        <f>0</f>
        <v>0</v>
      </c>
      <c r="BM1551" s="5" t="s">
        <v>258</v>
      </c>
      <c r="BN1551" s="5" t="s">
        <v>259</v>
      </c>
      <c r="CB1551" s="5" t="s">
        <v>240</v>
      </c>
      <c r="CC1551" s="5" t="s">
        <v>240</v>
      </c>
      <c r="CG1551" s="5" t="s">
        <v>304</v>
      </c>
      <c r="CH1551" s="5" t="s">
        <v>305</v>
      </c>
      <c r="CI1551" s="5" t="s">
        <v>240</v>
      </c>
      <c r="CL1551" s="6" t="s">
        <v>261</v>
      </c>
      <c r="CM1551" s="5" t="s">
        <v>240</v>
      </c>
      <c r="CN1551" s="5" t="s">
        <v>263</v>
      </c>
      <c r="CO1551" s="5" t="s">
        <v>240</v>
      </c>
      <c r="CP1551" s="5" t="s">
        <v>240</v>
      </c>
      <c r="CQ1551" s="5">
        <v>0</v>
      </c>
      <c r="CR1551" s="5" t="s">
        <v>306</v>
      </c>
      <c r="CS1551" s="5" t="s">
        <v>307</v>
      </c>
      <c r="CT1551" s="5" t="s">
        <v>307</v>
      </c>
      <c r="CU1551" s="5" t="s">
        <v>260</v>
      </c>
      <c r="CX1551" s="7">
        <f>1</f>
        <v>1</v>
      </c>
      <c r="CY1551" s="7">
        <f>0</f>
        <v>0</v>
      </c>
      <c r="DA1551" s="7">
        <f>0</f>
        <v>0</v>
      </c>
      <c r="DC1551" s="5" t="s">
        <v>812</v>
      </c>
      <c r="DD1551" s="5" t="s">
        <v>240</v>
      </c>
      <c r="DF1551" s="5" t="s">
        <v>812</v>
      </c>
      <c r="DG1551" s="7">
        <f>2302</f>
        <v>2302</v>
      </c>
      <c r="DI1551" s="5" t="s">
        <v>240</v>
      </c>
      <c r="DJ1551" s="5" t="s">
        <v>240</v>
      </c>
      <c r="DK1551" s="5" t="s">
        <v>240</v>
      </c>
      <c r="DL1551" s="5" t="s">
        <v>240</v>
      </c>
      <c r="DP1551" s="5" t="s">
        <v>240</v>
      </c>
      <c r="DQ1551" s="5" t="s">
        <v>240</v>
      </c>
      <c r="DR1551" s="5" t="s">
        <v>240</v>
      </c>
      <c r="DS1551" s="5" t="s">
        <v>240</v>
      </c>
      <c r="DV1551" s="5" t="s">
        <v>813</v>
      </c>
      <c r="DW1551" s="5" t="s">
        <v>3235</v>
      </c>
      <c r="HO1551" s="5" t="s">
        <v>312</v>
      </c>
    </row>
    <row r="1552" spans="1:240" x14ac:dyDescent="0.4">
      <c r="A1552" s="5">
        <v>3227</v>
      </c>
      <c r="B1552" s="5">
        <v>1</v>
      </c>
      <c r="C1552" s="5">
        <v>1</v>
      </c>
      <c r="D1552" s="5" t="s">
        <v>297</v>
      </c>
      <c r="E1552" s="5" t="s">
        <v>245</v>
      </c>
      <c r="F1552" s="5" t="s">
        <v>254</v>
      </c>
      <c r="G1552" s="5" t="s">
        <v>240</v>
      </c>
      <c r="H1552" s="6" t="s">
        <v>4625</v>
      </c>
      <c r="I1552" s="5" t="s">
        <v>295</v>
      </c>
      <c r="J1552" s="8">
        <f>694</f>
        <v>694</v>
      </c>
      <c r="K1552" s="5" t="s">
        <v>308</v>
      </c>
      <c r="L1552" s="7">
        <f>1</f>
        <v>1</v>
      </c>
      <c r="M1552" s="7">
        <f>1</f>
        <v>1</v>
      </c>
      <c r="N1552" s="5" t="s">
        <v>242</v>
      </c>
      <c r="O1552" s="5">
        <v>1</v>
      </c>
      <c r="P1552" s="5" t="s">
        <v>294</v>
      </c>
      <c r="Q1552" s="5" t="s">
        <v>266</v>
      </c>
      <c r="R1552" s="5" t="s">
        <v>240</v>
      </c>
      <c r="S1552" s="5" t="s">
        <v>240</v>
      </c>
      <c r="T1552" s="5" t="s">
        <v>296</v>
      </c>
      <c r="U1552" s="5" t="s">
        <v>244</v>
      </c>
      <c r="V1552" s="5" t="s">
        <v>240</v>
      </c>
      <c r="Y1552" s="5" t="s">
        <v>240</v>
      </c>
      <c r="Z1552" s="6" t="s">
        <v>298</v>
      </c>
      <c r="AB1552" s="6" t="s">
        <v>240</v>
      </c>
      <c r="AE1552" s="6" t="s">
        <v>299</v>
      </c>
      <c r="AF1552" s="5" t="s">
        <v>248</v>
      </c>
      <c r="AG1552" s="5" t="s">
        <v>249</v>
      </c>
      <c r="AW1552" s="5" t="s">
        <v>251</v>
      </c>
      <c r="AX1552" s="5" t="s">
        <v>240</v>
      </c>
      <c r="AY1552" s="5" t="s">
        <v>253</v>
      </c>
      <c r="AZ1552" s="5" t="s">
        <v>240</v>
      </c>
      <c r="BA1552" s="5" t="s">
        <v>255</v>
      </c>
      <c r="BB1552" s="5" t="s">
        <v>240</v>
      </c>
      <c r="BD1552" s="5" t="s">
        <v>240</v>
      </c>
      <c r="BF1552" s="5" t="s">
        <v>301</v>
      </c>
      <c r="BG1552" s="6" t="s">
        <v>299</v>
      </c>
      <c r="BH1552" s="5" t="s">
        <v>302</v>
      </c>
      <c r="BI1552" s="5" t="s">
        <v>303</v>
      </c>
      <c r="BJ1552" s="5" t="s">
        <v>240</v>
      </c>
      <c r="BK1552" s="8">
        <f>0</f>
        <v>0</v>
      </c>
      <c r="BL1552" s="7">
        <f>0</f>
        <v>0</v>
      </c>
      <c r="BM1552" s="5" t="s">
        <v>258</v>
      </c>
      <c r="BN1552" s="5" t="s">
        <v>259</v>
      </c>
      <c r="CB1552" s="5" t="s">
        <v>240</v>
      </c>
      <c r="CC1552" s="5" t="s">
        <v>240</v>
      </c>
      <c r="CG1552" s="5" t="s">
        <v>304</v>
      </c>
      <c r="CH1552" s="5" t="s">
        <v>305</v>
      </c>
      <c r="CI1552" s="5" t="s">
        <v>240</v>
      </c>
      <c r="CL1552" s="6" t="s">
        <v>261</v>
      </c>
      <c r="CM1552" s="5" t="s">
        <v>240</v>
      </c>
      <c r="CN1552" s="5" t="s">
        <v>263</v>
      </c>
      <c r="CO1552" s="5" t="s">
        <v>240</v>
      </c>
      <c r="CP1552" s="5" t="s">
        <v>240</v>
      </c>
      <c r="CQ1552" s="5">
        <v>0</v>
      </c>
      <c r="CR1552" s="5" t="s">
        <v>306</v>
      </c>
      <c r="CS1552" s="5" t="s">
        <v>307</v>
      </c>
      <c r="CT1552" s="5" t="s">
        <v>307</v>
      </c>
      <c r="CU1552" s="5" t="s">
        <v>260</v>
      </c>
      <c r="CX1552" s="7">
        <f>1</f>
        <v>1</v>
      </c>
      <c r="CY1552" s="7">
        <f>0</f>
        <v>0</v>
      </c>
      <c r="DA1552" s="7">
        <f>0</f>
        <v>0</v>
      </c>
      <c r="DC1552" s="5" t="s">
        <v>812</v>
      </c>
      <c r="DD1552" s="5" t="s">
        <v>240</v>
      </c>
      <c r="DF1552" s="5" t="s">
        <v>812</v>
      </c>
      <c r="DG1552" s="7">
        <f>496</f>
        <v>496</v>
      </c>
      <c r="DI1552" s="5" t="s">
        <v>240</v>
      </c>
      <c r="DJ1552" s="5" t="s">
        <v>240</v>
      </c>
      <c r="DK1552" s="5" t="s">
        <v>240</v>
      </c>
      <c r="DL1552" s="5" t="s">
        <v>240</v>
      </c>
      <c r="DP1552" s="5" t="s">
        <v>240</v>
      </c>
      <c r="DQ1552" s="5" t="s">
        <v>240</v>
      </c>
      <c r="DR1552" s="5" t="s">
        <v>240</v>
      </c>
      <c r="DS1552" s="5" t="s">
        <v>240</v>
      </c>
      <c r="DV1552" s="5" t="s">
        <v>813</v>
      </c>
      <c r="DW1552" s="5" t="s">
        <v>3237</v>
      </c>
      <c r="HO1552" s="5" t="s">
        <v>312</v>
      </c>
    </row>
    <row r="1553" spans="1:223" x14ac:dyDescent="0.4">
      <c r="A1553" s="5">
        <v>3228</v>
      </c>
      <c r="B1553" s="5">
        <v>1</v>
      </c>
      <c r="C1553" s="5">
        <v>1</v>
      </c>
      <c r="D1553" s="5" t="s">
        <v>297</v>
      </c>
      <c r="E1553" s="5" t="s">
        <v>245</v>
      </c>
      <c r="F1553" s="5" t="s">
        <v>254</v>
      </c>
      <c r="G1553" s="5" t="s">
        <v>240</v>
      </c>
      <c r="H1553" s="6" t="s">
        <v>4624</v>
      </c>
      <c r="I1553" s="5" t="s">
        <v>295</v>
      </c>
      <c r="J1553" s="8">
        <f>157</f>
        <v>157</v>
      </c>
      <c r="K1553" s="5" t="s">
        <v>308</v>
      </c>
      <c r="L1553" s="7">
        <f>1</f>
        <v>1</v>
      </c>
      <c r="M1553" s="7">
        <f>1</f>
        <v>1</v>
      </c>
      <c r="N1553" s="5" t="s">
        <v>242</v>
      </c>
      <c r="O1553" s="5">
        <v>1</v>
      </c>
      <c r="P1553" s="5" t="s">
        <v>294</v>
      </c>
      <c r="Q1553" s="5" t="s">
        <v>266</v>
      </c>
      <c r="R1553" s="5" t="s">
        <v>240</v>
      </c>
      <c r="S1553" s="5" t="s">
        <v>240</v>
      </c>
      <c r="T1553" s="5" t="s">
        <v>296</v>
      </c>
      <c r="U1553" s="5" t="s">
        <v>244</v>
      </c>
      <c r="V1553" s="5" t="s">
        <v>240</v>
      </c>
      <c r="Y1553" s="5" t="s">
        <v>240</v>
      </c>
      <c r="Z1553" s="6" t="s">
        <v>298</v>
      </c>
      <c r="AB1553" s="6" t="s">
        <v>240</v>
      </c>
      <c r="AE1553" s="6" t="s">
        <v>299</v>
      </c>
      <c r="AF1553" s="5" t="s">
        <v>248</v>
      </c>
      <c r="AG1553" s="5" t="s">
        <v>249</v>
      </c>
      <c r="AW1553" s="5" t="s">
        <v>251</v>
      </c>
      <c r="AX1553" s="5" t="s">
        <v>240</v>
      </c>
      <c r="AY1553" s="5" t="s">
        <v>253</v>
      </c>
      <c r="AZ1553" s="5" t="s">
        <v>240</v>
      </c>
      <c r="BA1553" s="5" t="s">
        <v>255</v>
      </c>
      <c r="BB1553" s="5" t="s">
        <v>240</v>
      </c>
      <c r="BD1553" s="5" t="s">
        <v>240</v>
      </c>
      <c r="BF1553" s="5" t="s">
        <v>301</v>
      </c>
      <c r="BG1553" s="6" t="s">
        <v>299</v>
      </c>
      <c r="BH1553" s="5" t="s">
        <v>302</v>
      </c>
      <c r="BI1553" s="5" t="s">
        <v>303</v>
      </c>
      <c r="BJ1553" s="5" t="s">
        <v>240</v>
      </c>
      <c r="BK1553" s="8">
        <f>0</f>
        <v>0</v>
      </c>
      <c r="BL1553" s="7">
        <f>0</f>
        <v>0</v>
      </c>
      <c r="BM1553" s="5" t="s">
        <v>258</v>
      </c>
      <c r="BN1553" s="5" t="s">
        <v>259</v>
      </c>
      <c r="CB1553" s="5" t="s">
        <v>240</v>
      </c>
      <c r="CC1553" s="5" t="s">
        <v>240</v>
      </c>
      <c r="CG1553" s="5" t="s">
        <v>304</v>
      </c>
      <c r="CH1553" s="5" t="s">
        <v>305</v>
      </c>
      <c r="CI1553" s="5" t="s">
        <v>240</v>
      </c>
      <c r="CL1553" s="6" t="s">
        <v>261</v>
      </c>
      <c r="CM1553" s="5" t="s">
        <v>240</v>
      </c>
      <c r="CN1553" s="5" t="s">
        <v>263</v>
      </c>
      <c r="CO1553" s="5" t="s">
        <v>240</v>
      </c>
      <c r="CP1553" s="5" t="s">
        <v>240</v>
      </c>
      <c r="CQ1553" s="5">
        <v>0</v>
      </c>
      <c r="CR1553" s="5" t="s">
        <v>306</v>
      </c>
      <c r="CS1553" s="5" t="s">
        <v>307</v>
      </c>
      <c r="CT1553" s="5" t="s">
        <v>307</v>
      </c>
      <c r="CU1553" s="5" t="s">
        <v>260</v>
      </c>
      <c r="CX1553" s="7">
        <f>1</f>
        <v>1</v>
      </c>
      <c r="CY1553" s="7">
        <f>0</f>
        <v>0</v>
      </c>
      <c r="DA1553" s="7">
        <f>0</f>
        <v>0</v>
      </c>
      <c r="DC1553" s="5" t="s">
        <v>812</v>
      </c>
      <c r="DD1553" s="5" t="s">
        <v>240</v>
      </c>
      <c r="DF1553" s="5" t="s">
        <v>812</v>
      </c>
      <c r="DG1553" s="7">
        <f>52</f>
        <v>52</v>
      </c>
      <c r="DI1553" s="5" t="s">
        <v>240</v>
      </c>
      <c r="DJ1553" s="5" t="s">
        <v>240</v>
      </c>
      <c r="DK1553" s="5" t="s">
        <v>240</v>
      </c>
      <c r="DL1553" s="5" t="s">
        <v>240</v>
      </c>
      <c r="DP1553" s="5" t="s">
        <v>240</v>
      </c>
      <c r="DQ1553" s="5" t="s">
        <v>240</v>
      </c>
      <c r="DR1553" s="5" t="s">
        <v>240</v>
      </c>
      <c r="DS1553" s="5" t="s">
        <v>240</v>
      </c>
      <c r="DV1553" s="5" t="s">
        <v>813</v>
      </c>
      <c r="DW1553" s="5" t="s">
        <v>3239</v>
      </c>
      <c r="HO1553" s="5" t="s">
        <v>312</v>
      </c>
    </row>
    <row r="1554" spans="1:223" x14ac:dyDescent="0.4">
      <c r="A1554" s="5">
        <v>3229</v>
      </c>
      <c r="B1554" s="5">
        <v>1</v>
      </c>
      <c r="C1554" s="5">
        <v>1</v>
      </c>
      <c r="D1554" s="5" t="s">
        <v>297</v>
      </c>
      <c r="E1554" s="5" t="s">
        <v>245</v>
      </c>
      <c r="F1554" s="5" t="s">
        <v>254</v>
      </c>
      <c r="G1554" s="5" t="s">
        <v>240</v>
      </c>
      <c r="H1554" s="6" t="s">
        <v>5736</v>
      </c>
      <c r="I1554" s="5" t="s">
        <v>295</v>
      </c>
      <c r="J1554" s="8">
        <f>8.3</f>
        <v>8.3000000000000007</v>
      </c>
      <c r="K1554" s="5" t="s">
        <v>308</v>
      </c>
      <c r="L1554" s="7">
        <f>1</f>
        <v>1</v>
      </c>
      <c r="M1554" s="7">
        <f>1</f>
        <v>1</v>
      </c>
      <c r="N1554" s="5" t="s">
        <v>242</v>
      </c>
      <c r="O1554" s="5">
        <v>1</v>
      </c>
      <c r="P1554" s="5" t="s">
        <v>294</v>
      </c>
      <c r="Q1554" s="5" t="s">
        <v>266</v>
      </c>
      <c r="R1554" s="5" t="s">
        <v>240</v>
      </c>
      <c r="S1554" s="5" t="s">
        <v>240</v>
      </c>
      <c r="T1554" s="5" t="s">
        <v>296</v>
      </c>
      <c r="U1554" s="5" t="s">
        <v>244</v>
      </c>
      <c r="V1554" s="5" t="s">
        <v>240</v>
      </c>
      <c r="Y1554" s="5" t="s">
        <v>240</v>
      </c>
      <c r="Z1554" s="6" t="s">
        <v>298</v>
      </c>
      <c r="AB1554" s="6" t="s">
        <v>240</v>
      </c>
      <c r="AE1554" s="6" t="s">
        <v>299</v>
      </c>
      <c r="AF1554" s="5" t="s">
        <v>248</v>
      </c>
      <c r="AG1554" s="5" t="s">
        <v>249</v>
      </c>
      <c r="AW1554" s="5" t="s">
        <v>251</v>
      </c>
      <c r="AX1554" s="5" t="s">
        <v>240</v>
      </c>
      <c r="AY1554" s="5" t="s">
        <v>253</v>
      </c>
      <c r="AZ1554" s="5" t="s">
        <v>240</v>
      </c>
      <c r="BA1554" s="5" t="s">
        <v>255</v>
      </c>
      <c r="BB1554" s="5" t="s">
        <v>240</v>
      </c>
      <c r="BD1554" s="5" t="s">
        <v>240</v>
      </c>
      <c r="BF1554" s="5" t="s">
        <v>301</v>
      </c>
      <c r="BG1554" s="6" t="s">
        <v>299</v>
      </c>
      <c r="BH1554" s="5" t="s">
        <v>302</v>
      </c>
      <c r="BI1554" s="5" t="s">
        <v>303</v>
      </c>
      <c r="BJ1554" s="5" t="s">
        <v>240</v>
      </c>
      <c r="BK1554" s="8">
        <f>0</f>
        <v>0</v>
      </c>
      <c r="BL1554" s="7">
        <f>0</f>
        <v>0</v>
      </c>
      <c r="BM1554" s="5" t="s">
        <v>258</v>
      </c>
      <c r="BN1554" s="5" t="s">
        <v>259</v>
      </c>
      <c r="CB1554" s="5" t="s">
        <v>240</v>
      </c>
      <c r="CC1554" s="5" t="s">
        <v>240</v>
      </c>
      <c r="CG1554" s="5" t="s">
        <v>304</v>
      </c>
      <c r="CH1554" s="5" t="s">
        <v>305</v>
      </c>
      <c r="CI1554" s="5" t="s">
        <v>240</v>
      </c>
      <c r="CL1554" s="6" t="s">
        <v>261</v>
      </c>
      <c r="CM1554" s="5" t="s">
        <v>240</v>
      </c>
      <c r="CN1554" s="5" t="s">
        <v>263</v>
      </c>
      <c r="CO1554" s="5" t="s">
        <v>240</v>
      </c>
      <c r="CP1554" s="5" t="s">
        <v>240</v>
      </c>
      <c r="CQ1554" s="5">
        <v>0</v>
      </c>
      <c r="CR1554" s="5" t="s">
        <v>306</v>
      </c>
      <c r="CS1554" s="5" t="s">
        <v>307</v>
      </c>
      <c r="CT1554" s="5" t="s">
        <v>307</v>
      </c>
      <c r="CU1554" s="5" t="s">
        <v>260</v>
      </c>
      <c r="CX1554" s="7">
        <f>1</f>
        <v>1</v>
      </c>
      <c r="CY1554" s="7">
        <f>0</f>
        <v>0</v>
      </c>
      <c r="DA1554" s="7">
        <f>0</f>
        <v>0</v>
      </c>
      <c r="DC1554" s="5" t="s">
        <v>812</v>
      </c>
      <c r="DD1554" s="5" t="s">
        <v>240</v>
      </c>
      <c r="DF1554" s="5" t="s">
        <v>812</v>
      </c>
      <c r="DG1554" s="7">
        <f>1400</f>
        <v>1400</v>
      </c>
      <c r="DI1554" s="5" t="s">
        <v>240</v>
      </c>
      <c r="DJ1554" s="5" t="s">
        <v>240</v>
      </c>
      <c r="DK1554" s="5" t="s">
        <v>240</v>
      </c>
      <c r="DL1554" s="5" t="s">
        <v>240</v>
      </c>
      <c r="DP1554" s="5" t="s">
        <v>240</v>
      </c>
      <c r="DQ1554" s="5" t="s">
        <v>240</v>
      </c>
      <c r="DR1554" s="5" t="s">
        <v>240</v>
      </c>
      <c r="DS1554" s="5" t="s">
        <v>240</v>
      </c>
      <c r="DV1554" s="5" t="s">
        <v>813</v>
      </c>
      <c r="DW1554" s="5" t="s">
        <v>3241</v>
      </c>
      <c r="HO1554" s="5" t="s">
        <v>312</v>
      </c>
    </row>
    <row r="1555" spans="1:223" x14ac:dyDescent="0.4">
      <c r="A1555" s="5">
        <v>3230</v>
      </c>
      <c r="B1555" s="5">
        <v>1</v>
      </c>
      <c r="C1555" s="5">
        <v>1</v>
      </c>
      <c r="D1555" s="5" t="s">
        <v>297</v>
      </c>
      <c r="E1555" s="5" t="s">
        <v>245</v>
      </c>
      <c r="F1555" s="5" t="s">
        <v>254</v>
      </c>
      <c r="G1555" s="5" t="s">
        <v>240</v>
      </c>
      <c r="H1555" s="6" t="s">
        <v>4621</v>
      </c>
      <c r="I1555" s="5" t="s">
        <v>295</v>
      </c>
      <c r="J1555" s="8">
        <f>2759</f>
        <v>2759</v>
      </c>
      <c r="K1555" s="5" t="s">
        <v>308</v>
      </c>
      <c r="L1555" s="7">
        <f>1</f>
        <v>1</v>
      </c>
      <c r="M1555" s="7">
        <f>1</f>
        <v>1</v>
      </c>
      <c r="N1555" s="5" t="s">
        <v>242</v>
      </c>
      <c r="O1555" s="5">
        <v>1</v>
      </c>
      <c r="P1555" s="5" t="s">
        <v>294</v>
      </c>
      <c r="Q1555" s="5" t="s">
        <v>266</v>
      </c>
      <c r="R1555" s="5" t="s">
        <v>240</v>
      </c>
      <c r="S1555" s="5" t="s">
        <v>240</v>
      </c>
      <c r="T1555" s="5" t="s">
        <v>296</v>
      </c>
      <c r="U1555" s="5" t="s">
        <v>244</v>
      </c>
      <c r="V1555" s="5" t="s">
        <v>240</v>
      </c>
      <c r="Y1555" s="5" t="s">
        <v>240</v>
      </c>
      <c r="Z1555" s="6" t="s">
        <v>298</v>
      </c>
      <c r="AB1555" s="6" t="s">
        <v>240</v>
      </c>
      <c r="AE1555" s="6" t="s">
        <v>299</v>
      </c>
      <c r="AF1555" s="5" t="s">
        <v>248</v>
      </c>
      <c r="AG1555" s="5" t="s">
        <v>249</v>
      </c>
      <c r="AW1555" s="5" t="s">
        <v>251</v>
      </c>
      <c r="AX1555" s="5" t="s">
        <v>240</v>
      </c>
      <c r="AY1555" s="5" t="s">
        <v>253</v>
      </c>
      <c r="AZ1555" s="5" t="s">
        <v>240</v>
      </c>
      <c r="BA1555" s="5" t="s">
        <v>255</v>
      </c>
      <c r="BB1555" s="5" t="s">
        <v>240</v>
      </c>
      <c r="BD1555" s="5" t="s">
        <v>240</v>
      </c>
      <c r="BF1555" s="5" t="s">
        <v>301</v>
      </c>
      <c r="BG1555" s="6" t="s">
        <v>299</v>
      </c>
      <c r="BH1555" s="5" t="s">
        <v>302</v>
      </c>
      <c r="BI1555" s="5" t="s">
        <v>303</v>
      </c>
      <c r="BJ1555" s="5" t="s">
        <v>240</v>
      </c>
      <c r="BK1555" s="8">
        <f>0</f>
        <v>0</v>
      </c>
      <c r="BL1555" s="7">
        <f>0</f>
        <v>0</v>
      </c>
      <c r="BM1555" s="5" t="s">
        <v>258</v>
      </c>
      <c r="BN1555" s="5" t="s">
        <v>259</v>
      </c>
      <c r="CB1555" s="5" t="s">
        <v>240</v>
      </c>
      <c r="CC1555" s="5" t="s">
        <v>240</v>
      </c>
      <c r="CG1555" s="5" t="s">
        <v>304</v>
      </c>
      <c r="CH1555" s="5" t="s">
        <v>305</v>
      </c>
      <c r="CI1555" s="5" t="s">
        <v>240</v>
      </c>
      <c r="CL1555" s="6" t="s">
        <v>261</v>
      </c>
      <c r="CM1555" s="5" t="s">
        <v>240</v>
      </c>
      <c r="CN1555" s="5" t="s">
        <v>263</v>
      </c>
      <c r="CO1555" s="5" t="s">
        <v>240</v>
      </c>
      <c r="CP1555" s="5" t="s">
        <v>240</v>
      </c>
      <c r="CQ1555" s="5">
        <v>0</v>
      </c>
      <c r="CR1555" s="5" t="s">
        <v>306</v>
      </c>
      <c r="CS1555" s="5" t="s">
        <v>307</v>
      </c>
      <c r="CT1555" s="5" t="s">
        <v>307</v>
      </c>
      <c r="CU1555" s="5" t="s">
        <v>260</v>
      </c>
      <c r="CX1555" s="7">
        <f>1</f>
        <v>1</v>
      </c>
      <c r="CY1555" s="7">
        <f>0</f>
        <v>0</v>
      </c>
      <c r="DA1555" s="7">
        <f>0</f>
        <v>0</v>
      </c>
      <c r="DC1555" s="5" t="s">
        <v>812</v>
      </c>
      <c r="DD1555" s="5" t="s">
        <v>240</v>
      </c>
      <c r="DF1555" s="5" t="s">
        <v>812</v>
      </c>
      <c r="DG1555" s="7">
        <f>694</f>
        <v>694</v>
      </c>
      <c r="DI1555" s="5" t="s">
        <v>240</v>
      </c>
      <c r="DJ1555" s="5" t="s">
        <v>240</v>
      </c>
      <c r="DK1555" s="5" t="s">
        <v>240</v>
      </c>
      <c r="DL1555" s="5" t="s">
        <v>240</v>
      </c>
      <c r="DP1555" s="5" t="s">
        <v>240</v>
      </c>
      <c r="DQ1555" s="5" t="s">
        <v>240</v>
      </c>
      <c r="DR1555" s="5" t="s">
        <v>240</v>
      </c>
      <c r="DS1555" s="5" t="s">
        <v>240</v>
      </c>
      <c r="DV1555" s="5" t="s">
        <v>813</v>
      </c>
      <c r="DW1555" s="5" t="s">
        <v>3243</v>
      </c>
      <c r="HO1555" s="5" t="s">
        <v>312</v>
      </c>
    </row>
    <row r="1556" spans="1:223" x14ac:dyDescent="0.4">
      <c r="A1556" s="5">
        <v>3231</v>
      </c>
      <c r="B1556" s="5">
        <v>1</v>
      </c>
      <c r="C1556" s="5">
        <v>1</v>
      </c>
      <c r="D1556" s="5" t="s">
        <v>297</v>
      </c>
      <c r="E1556" s="5" t="s">
        <v>245</v>
      </c>
      <c r="F1556" s="5" t="s">
        <v>254</v>
      </c>
      <c r="G1556" s="5" t="s">
        <v>240</v>
      </c>
      <c r="H1556" s="6" t="s">
        <v>4620</v>
      </c>
      <c r="I1556" s="5" t="s">
        <v>295</v>
      </c>
      <c r="J1556" s="8">
        <f>520</f>
        <v>520</v>
      </c>
      <c r="K1556" s="5" t="s">
        <v>308</v>
      </c>
      <c r="L1556" s="7">
        <f>1</f>
        <v>1</v>
      </c>
      <c r="M1556" s="7">
        <f>1</f>
        <v>1</v>
      </c>
      <c r="N1556" s="5" t="s">
        <v>242</v>
      </c>
      <c r="O1556" s="5">
        <v>1</v>
      </c>
      <c r="P1556" s="5" t="s">
        <v>294</v>
      </c>
      <c r="Q1556" s="5" t="s">
        <v>266</v>
      </c>
      <c r="R1556" s="5" t="s">
        <v>240</v>
      </c>
      <c r="S1556" s="5" t="s">
        <v>240</v>
      </c>
      <c r="T1556" s="5" t="s">
        <v>296</v>
      </c>
      <c r="U1556" s="5" t="s">
        <v>244</v>
      </c>
      <c r="V1556" s="5" t="s">
        <v>240</v>
      </c>
      <c r="Y1556" s="5" t="s">
        <v>240</v>
      </c>
      <c r="Z1556" s="6" t="s">
        <v>298</v>
      </c>
      <c r="AB1556" s="6" t="s">
        <v>240</v>
      </c>
      <c r="AE1556" s="6" t="s">
        <v>299</v>
      </c>
      <c r="AF1556" s="5" t="s">
        <v>248</v>
      </c>
      <c r="AG1556" s="5" t="s">
        <v>249</v>
      </c>
      <c r="AW1556" s="5" t="s">
        <v>251</v>
      </c>
      <c r="AX1556" s="5" t="s">
        <v>240</v>
      </c>
      <c r="AY1556" s="5" t="s">
        <v>253</v>
      </c>
      <c r="AZ1556" s="5" t="s">
        <v>240</v>
      </c>
      <c r="BA1556" s="5" t="s">
        <v>255</v>
      </c>
      <c r="BB1556" s="5" t="s">
        <v>240</v>
      </c>
      <c r="BD1556" s="5" t="s">
        <v>240</v>
      </c>
      <c r="BF1556" s="5" t="s">
        <v>301</v>
      </c>
      <c r="BG1556" s="6" t="s">
        <v>299</v>
      </c>
      <c r="BH1556" s="5" t="s">
        <v>302</v>
      </c>
      <c r="BI1556" s="5" t="s">
        <v>303</v>
      </c>
      <c r="BJ1556" s="5" t="s">
        <v>240</v>
      </c>
      <c r="BK1556" s="8">
        <f>0</f>
        <v>0</v>
      </c>
      <c r="BL1556" s="7">
        <f>0</f>
        <v>0</v>
      </c>
      <c r="BM1556" s="5" t="s">
        <v>258</v>
      </c>
      <c r="BN1556" s="5" t="s">
        <v>259</v>
      </c>
      <c r="CB1556" s="5" t="s">
        <v>240</v>
      </c>
      <c r="CC1556" s="5" t="s">
        <v>240</v>
      </c>
      <c r="CG1556" s="5" t="s">
        <v>304</v>
      </c>
      <c r="CH1556" s="5" t="s">
        <v>305</v>
      </c>
      <c r="CI1556" s="5" t="s">
        <v>240</v>
      </c>
      <c r="CL1556" s="6" t="s">
        <v>261</v>
      </c>
      <c r="CM1556" s="5" t="s">
        <v>240</v>
      </c>
      <c r="CN1556" s="5" t="s">
        <v>263</v>
      </c>
      <c r="CO1556" s="5" t="s">
        <v>240</v>
      </c>
      <c r="CP1556" s="5" t="s">
        <v>240</v>
      </c>
      <c r="CQ1556" s="5">
        <v>0</v>
      </c>
      <c r="CR1556" s="5" t="s">
        <v>306</v>
      </c>
      <c r="CS1556" s="5" t="s">
        <v>307</v>
      </c>
      <c r="CT1556" s="5" t="s">
        <v>307</v>
      </c>
      <c r="CU1556" s="5" t="s">
        <v>260</v>
      </c>
      <c r="CX1556" s="7">
        <f>1</f>
        <v>1</v>
      </c>
      <c r="CY1556" s="7">
        <f>0</f>
        <v>0</v>
      </c>
      <c r="DA1556" s="7">
        <f>0</f>
        <v>0</v>
      </c>
      <c r="DC1556" s="5" t="s">
        <v>812</v>
      </c>
      <c r="DD1556" s="5" t="s">
        <v>240</v>
      </c>
      <c r="DF1556" s="5" t="s">
        <v>812</v>
      </c>
      <c r="DG1556" s="7">
        <f>273</f>
        <v>273</v>
      </c>
      <c r="DI1556" s="5" t="s">
        <v>240</v>
      </c>
      <c r="DJ1556" s="5" t="s">
        <v>240</v>
      </c>
      <c r="DK1556" s="5" t="s">
        <v>240</v>
      </c>
      <c r="DL1556" s="5" t="s">
        <v>240</v>
      </c>
      <c r="DP1556" s="5" t="s">
        <v>240</v>
      </c>
      <c r="DQ1556" s="5" t="s">
        <v>240</v>
      </c>
      <c r="DR1556" s="5" t="s">
        <v>240</v>
      </c>
      <c r="DS1556" s="5" t="s">
        <v>240</v>
      </c>
      <c r="DV1556" s="5" t="s">
        <v>813</v>
      </c>
      <c r="DW1556" s="5" t="s">
        <v>3245</v>
      </c>
      <c r="HO1556" s="5" t="s">
        <v>312</v>
      </c>
    </row>
    <row r="1557" spans="1:223" x14ac:dyDescent="0.4">
      <c r="A1557" s="5">
        <v>3232</v>
      </c>
      <c r="B1557" s="5">
        <v>1</v>
      </c>
      <c r="C1557" s="5">
        <v>1</v>
      </c>
      <c r="D1557" s="5" t="s">
        <v>297</v>
      </c>
      <c r="E1557" s="5" t="s">
        <v>245</v>
      </c>
      <c r="F1557" s="5" t="s">
        <v>254</v>
      </c>
      <c r="G1557" s="5" t="s">
        <v>240</v>
      </c>
      <c r="H1557" s="6" t="s">
        <v>4619</v>
      </c>
      <c r="I1557" s="5" t="s">
        <v>295</v>
      </c>
      <c r="J1557" s="8">
        <f>1329</f>
        <v>1329</v>
      </c>
      <c r="K1557" s="5" t="s">
        <v>308</v>
      </c>
      <c r="L1557" s="7">
        <f>1</f>
        <v>1</v>
      </c>
      <c r="M1557" s="7">
        <f>1</f>
        <v>1</v>
      </c>
      <c r="N1557" s="5" t="s">
        <v>242</v>
      </c>
      <c r="O1557" s="5">
        <v>1</v>
      </c>
      <c r="P1557" s="5" t="s">
        <v>294</v>
      </c>
      <c r="Q1557" s="5" t="s">
        <v>266</v>
      </c>
      <c r="R1557" s="5" t="s">
        <v>240</v>
      </c>
      <c r="S1557" s="5" t="s">
        <v>240</v>
      </c>
      <c r="T1557" s="5" t="s">
        <v>296</v>
      </c>
      <c r="U1557" s="5" t="s">
        <v>244</v>
      </c>
      <c r="V1557" s="5" t="s">
        <v>240</v>
      </c>
      <c r="Y1557" s="5" t="s">
        <v>240</v>
      </c>
      <c r="Z1557" s="6" t="s">
        <v>298</v>
      </c>
      <c r="AB1557" s="6" t="s">
        <v>240</v>
      </c>
      <c r="AE1557" s="6" t="s">
        <v>299</v>
      </c>
      <c r="AF1557" s="5" t="s">
        <v>248</v>
      </c>
      <c r="AG1557" s="5" t="s">
        <v>249</v>
      </c>
      <c r="AW1557" s="5" t="s">
        <v>251</v>
      </c>
      <c r="AX1557" s="5" t="s">
        <v>240</v>
      </c>
      <c r="AY1557" s="5" t="s">
        <v>253</v>
      </c>
      <c r="AZ1557" s="5" t="s">
        <v>240</v>
      </c>
      <c r="BA1557" s="5" t="s">
        <v>255</v>
      </c>
      <c r="BB1557" s="5" t="s">
        <v>240</v>
      </c>
      <c r="BD1557" s="5" t="s">
        <v>240</v>
      </c>
      <c r="BF1557" s="5" t="s">
        <v>301</v>
      </c>
      <c r="BG1557" s="6" t="s">
        <v>299</v>
      </c>
      <c r="BH1557" s="5" t="s">
        <v>302</v>
      </c>
      <c r="BI1557" s="5" t="s">
        <v>303</v>
      </c>
      <c r="BJ1557" s="5" t="s">
        <v>240</v>
      </c>
      <c r="BK1557" s="8">
        <f>0</f>
        <v>0</v>
      </c>
      <c r="BL1557" s="7">
        <f>0</f>
        <v>0</v>
      </c>
      <c r="BM1557" s="5" t="s">
        <v>258</v>
      </c>
      <c r="BN1557" s="5" t="s">
        <v>259</v>
      </c>
      <c r="CB1557" s="5" t="s">
        <v>240</v>
      </c>
      <c r="CC1557" s="5" t="s">
        <v>240</v>
      </c>
      <c r="CG1557" s="5" t="s">
        <v>304</v>
      </c>
      <c r="CH1557" s="5" t="s">
        <v>305</v>
      </c>
      <c r="CI1557" s="5" t="s">
        <v>240</v>
      </c>
      <c r="CL1557" s="6" t="s">
        <v>261</v>
      </c>
      <c r="CM1557" s="5" t="s">
        <v>240</v>
      </c>
      <c r="CN1557" s="5" t="s">
        <v>263</v>
      </c>
      <c r="CO1557" s="5" t="s">
        <v>240</v>
      </c>
      <c r="CP1557" s="5" t="s">
        <v>240</v>
      </c>
      <c r="CQ1557" s="5">
        <v>0</v>
      </c>
      <c r="CR1557" s="5" t="s">
        <v>306</v>
      </c>
      <c r="CS1557" s="5" t="s">
        <v>307</v>
      </c>
      <c r="CT1557" s="5" t="s">
        <v>307</v>
      </c>
      <c r="CU1557" s="5" t="s">
        <v>260</v>
      </c>
      <c r="CX1557" s="7">
        <f>1</f>
        <v>1</v>
      </c>
      <c r="CY1557" s="7">
        <f>0</f>
        <v>0</v>
      </c>
      <c r="DA1557" s="7">
        <f>0</f>
        <v>0</v>
      </c>
      <c r="DC1557" s="5" t="s">
        <v>812</v>
      </c>
      <c r="DD1557" s="5" t="s">
        <v>240</v>
      </c>
      <c r="DF1557" s="5" t="s">
        <v>812</v>
      </c>
      <c r="DG1557" s="7">
        <f>615</f>
        <v>615</v>
      </c>
      <c r="DI1557" s="5" t="s">
        <v>240</v>
      </c>
      <c r="DJ1557" s="5" t="s">
        <v>240</v>
      </c>
      <c r="DK1557" s="5" t="s">
        <v>240</v>
      </c>
      <c r="DL1557" s="5" t="s">
        <v>240</v>
      </c>
      <c r="DP1557" s="5" t="s">
        <v>240</v>
      </c>
      <c r="DQ1557" s="5" t="s">
        <v>240</v>
      </c>
      <c r="DR1557" s="5" t="s">
        <v>240</v>
      </c>
      <c r="DS1557" s="5" t="s">
        <v>240</v>
      </c>
      <c r="DV1557" s="5" t="s">
        <v>813</v>
      </c>
      <c r="DW1557" s="5" t="s">
        <v>3247</v>
      </c>
      <c r="HO1557" s="5" t="s">
        <v>312</v>
      </c>
    </row>
    <row r="1558" spans="1:223" x14ac:dyDescent="0.4">
      <c r="A1558" s="5">
        <v>3233</v>
      </c>
      <c r="B1558" s="5">
        <v>1</v>
      </c>
      <c r="C1558" s="5">
        <v>1</v>
      </c>
      <c r="D1558" s="5" t="s">
        <v>297</v>
      </c>
      <c r="E1558" s="5" t="s">
        <v>245</v>
      </c>
      <c r="F1558" s="5" t="s">
        <v>254</v>
      </c>
      <c r="G1558" s="5" t="s">
        <v>240</v>
      </c>
      <c r="H1558" s="6" t="s">
        <v>5733</v>
      </c>
      <c r="I1558" s="5" t="s">
        <v>295</v>
      </c>
      <c r="J1558" s="8">
        <f>143</f>
        <v>143</v>
      </c>
      <c r="K1558" s="5" t="s">
        <v>308</v>
      </c>
      <c r="L1558" s="7">
        <f>1</f>
        <v>1</v>
      </c>
      <c r="M1558" s="7">
        <f>1</f>
        <v>1</v>
      </c>
      <c r="N1558" s="5" t="s">
        <v>242</v>
      </c>
      <c r="O1558" s="5">
        <v>1</v>
      </c>
      <c r="P1558" s="5" t="s">
        <v>294</v>
      </c>
      <c r="Q1558" s="5" t="s">
        <v>266</v>
      </c>
      <c r="R1558" s="5" t="s">
        <v>240</v>
      </c>
      <c r="S1558" s="5" t="s">
        <v>240</v>
      </c>
      <c r="T1558" s="5" t="s">
        <v>296</v>
      </c>
      <c r="U1558" s="5" t="s">
        <v>244</v>
      </c>
      <c r="V1558" s="5" t="s">
        <v>240</v>
      </c>
      <c r="Y1558" s="5" t="s">
        <v>240</v>
      </c>
      <c r="Z1558" s="6" t="s">
        <v>298</v>
      </c>
      <c r="AB1558" s="6" t="s">
        <v>240</v>
      </c>
      <c r="AE1558" s="6" t="s">
        <v>299</v>
      </c>
      <c r="AF1558" s="5" t="s">
        <v>248</v>
      </c>
      <c r="AG1558" s="5" t="s">
        <v>249</v>
      </c>
      <c r="AW1558" s="5" t="s">
        <v>251</v>
      </c>
      <c r="AX1558" s="5" t="s">
        <v>240</v>
      </c>
      <c r="AY1558" s="5" t="s">
        <v>253</v>
      </c>
      <c r="AZ1558" s="5" t="s">
        <v>240</v>
      </c>
      <c r="BA1558" s="5" t="s">
        <v>255</v>
      </c>
      <c r="BB1558" s="5" t="s">
        <v>240</v>
      </c>
      <c r="BD1558" s="5" t="s">
        <v>240</v>
      </c>
      <c r="BF1558" s="5" t="s">
        <v>301</v>
      </c>
      <c r="BG1558" s="6" t="s">
        <v>299</v>
      </c>
      <c r="BH1558" s="5" t="s">
        <v>302</v>
      </c>
      <c r="BI1558" s="5" t="s">
        <v>303</v>
      </c>
      <c r="BJ1558" s="5" t="s">
        <v>240</v>
      </c>
      <c r="BK1558" s="8">
        <f>0</f>
        <v>0</v>
      </c>
      <c r="BL1558" s="7">
        <f>0</f>
        <v>0</v>
      </c>
      <c r="BM1558" s="5" t="s">
        <v>258</v>
      </c>
      <c r="BN1558" s="5" t="s">
        <v>259</v>
      </c>
      <c r="CB1558" s="5" t="s">
        <v>240</v>
      </c>
      <c r="CC1558" s="5" t="s">
        <v>240</v>
      </c>
      <c r="CG1558" s="5" t="s">
        <v>304</v>
      </c>
      <c r="CH1558" s="5" t="s">
        <v>305</v>
      </c>
      <c r="CI1558" s="5" t="s">
        <v>240</v>
      </c>
      <c r="CL1558" s="6" t="s">
        <v>261</v>
      </c>
      <c r="CM1558" s="5" t="s">
        <v>240</v>
      </c>
      <c r="CN1558" s="5" t="s">
        <v>263</v>
      </c>
      <c r="CO1558" s="5" t="s">
        <v>240</v>
      </c>
      <c r="CP1558" s="5" t="s">
        <v>240</v>
      </c>
      <c r="CQ1558" s="5">
        <v>0</v>
      </c>
      <c r="CR1558" s="5" t="s">
        <v>306</v>
      </c>
      <c r="CS1558" s="5" t="s">
        <v>307</v>
      </c>
      <c r="CT1558" s="5" t="s">
        <v>307</v>
      </c>
      <c r="CU1558" s="5" t="s">
        <v>260</v>
      </c>
      <c r="CX1558" s="7">
        <f>1</f>
        <v>1</v>
      </c>
      <c r="CY1558" s="7">
        <f>0</f>
        <v>0</v>
      </c>
      <c r="DA1558" s="7">
        <f>0</f>
        <v>0</v>
      </c>
      <c r="DC1558" s="5" t="s">
        <v>812</v>
      </c>
      <c r="DD1558" s="5" t="s">
        <v>240</v>
      </c>
      <c r="DF1558" s="5" t="s">
        <v>812</v>
      </c>
      <c r="DG1558" s="7">
        <f>626</f>
        <v>626</v>
      </c>
      <c r="DI1558" s="5" t="s">
        <v>240</v>
      </c>
      <c r="DJ1558" s="5" t="s">
        <v>240</v>
      </c>
      <c r="DK1558" s="5" t="s">
        <v>240</v>
      </c>
      <c r="DL1558" s="5" t="s">
        <v>240</v>
      </c>
      <c r="DP1558" s="5" t="s">
        <v>240</v>
      </c>
      <c r="DQ1558" s="5" t="s">
        <v>240</v>
      </c>
      <c r="DR1558" s="5" t="s">
        <v>240</v>
      </c>
      <c r="DS1558" s="5" t="s">
        <v>240</v>
      </c>
      <c r="DV1558" s="5" t="s">
        <v>813</v>
      </c>
      <c r="DW1558" s="5" t="s">
        <v>3249</v>
      </c>
      <c r="HO1558" s="5" t="s">
        <v>312</v>
      </c>
    </row>
    <row r="1559" spans="1:223" x14ac:dyDescent="0.4">
      <c r="A1559" s="5">
        <v>3234</v>
      </c>
      <c r="B1559" s="5">
        <v>1</v>
      </c>
      <c r="C1559" s="5">
        <v>1</v>
      </c>
      <c r="D1559" s="5" t="s">
        <v>297</v>
      </c>
      <c r="E1559" s="5" t="s">
        <v>245</v>
      </c>
      <c r="F1559" s="5" t="s">
        <v>254</v>
      </c>
      <c r="G1559" s="5" t="s">
        <v>240</v>
      </c>
      <c r="H1559" s="6" t="s">
        <v>4615</v>
      </c>
      <c r="I1559" s="5" t="s">
        <v>295</v>
      </c>
      <c r="J1559" s="8">
        <f>3353</f>
        <v>3353</v>
      </c>
      <c r="K1559" s="5" t="s">
        <v>308</v>
      </c>
      <c r="L1559" s="7">
        <f>1</f>
        <v>1</v>
      </c>
      <c r="M1559" s="7">
        <f>1</f>
        <v>1</v>
      </c>
      <c r="N1559" s="5" t="s">
        <v>242</v>
      </c>
      <c r="O1559" s="5">
        <v>1</v>
      </c>
      <c r="P1559" s="5" t="s">
        <v>294</v>
      </c>
      <c r="Q1559" s="5" t="s">
        <v>266</v>
      </c>
      <c r="R1559" s="5" t="s">
        <v>240</v>
      </c>
      <c r="S1559" s="5" t="s">
        <v>240</v>
      </c>
      <c r="T1559" s="5" t="s">
        <v>296</v>
      </c>
      <c r="U1559" s="5" t="s">
        <v>244</v>
      </c>
      <c r="V1559" s="5" t="s">
        <v>240</v>
      </c>
      <c r="Y1559" s="5" t="s">
        <v>240</v>
      </c>
      <c r="Z1559" s="6" t="s">
        <v>298</v>
      </c>
      <c r="AB1559" s="6" t="s">
        <v>240</v>
      </c>
      <c r="AE1559" s="6" t="s">
        <v>299</v>
      </c>
      <c r="AF1559" s="5" t="s">
        <v>248</v>
      </c>
      <c r="AG1559" s="5" t="s">
        <v>249</v>
      </c>
      <c r="AW1559" s="5" t="s">
        <v>251</v>
      </c>
      <c r="AX1559" s="5" t="s">
        <v>240</v>
      </c>
      <c r="AY1559" s="5" t="s">
        <v>253</v>
      </c>
      <c r="AZ1559" s="5" t="s">
        <v>240</v>
      </c>
      <c r="BA1559" s="5" t="s">
        <v>255</v>
      </c>
      <c r="BB1559" s="5" t="s">
        <v>240</v>
      </c>
      <c r="BD1559" s="5" t="s">
        <v>240</v>
      </c>
      <c r="BF1559" s="5" t="s">
        <v>301</v>
      </c>
      <c r="BG1559" s="6" t="s">
        <v>299</v>
      </c>
      <c r="BH1559" s="5" t="s">
        <v>302</v>
      </c>
      <c r="BI1559" s="5" t="s">
        <v>303</v>
      </c>
      <c r="BJ1559" s="5" t="s">
        <v>240</v>
      </c>
      <c r="BK1559" s="8">
        <f>0</f>
        <v>0</v>
      </c>
      <c r="BL1559" s="7">
        <f>0</f>
        <v>0</v>
      </c>
      <c r="BM1559" s="5" t="s">
        <v>258</v>
      </c>
      <c r="BN1559" s="5" t="s">
        <v>259</v>
      </c>
      <c r="CB1559" s="5" t="s">
        <v>240</v>
      </c>
      <c r="CC1559" s="5" t="s">
        <v>240</v>
      </c>
      <c r="CG1559" s="5" t="s">
        <v>304</v>
      </c>
      <c r="CH1559" s="5" t="s">
        <v>305</v>
      </c>
      <c r="CI1559" s="5" t="s">
        <v>240</v>
      </c>
      <c r="CL1559" s="6" t="s">
        <v>261</v>
      </c>
      <c r="CM1559" s="5" t="s">
        <v>240</v>
      </c>
      <c r="CN1559" s="5" t="s">
        <v>263</v>
      </c>
      <c r="CO1559" s="5" t="s">
        <v>240</v>
      </c>
      <c r="CP1559" s="5" t="s">
        <v>240</v>
      </c>
      <c r="CQ1559" s="5">
        <v>0</v>
      </c>
      <c r="CR1559" s="5" t="s">
        <v>306</v>
      </c>
      <c r="CS1559" s="5" t="s">
        <v>307</v>
      </c>
      <c r="CT1559" s="5" t="s">
        <v>307</v>
      </c>
      <c r="CU1559" s="5" t="s">
        <v>260</v>
      </c>
      <c r="CX1559" s="7">
        <f>1</f>
        <v>1</v>
      </c>
      <c r="CY1559" s="7">
        <f>0</f>
        <v>0</v>
      </c>
      <c r="DA1559" s="7">
        <f>0</f>
        <v>0</v>
      </c>
      <c r="DC1559" s="5" t="s">
        <v>812</v>
      </c>
      <c r="DD1559" s="5" t="s">
        <v>240</v>
      </c>
      <c r="DF1559" s="5" t="s">
        <v>812</v>
      </c>
      <c r="DG1559" s="7">
        <f>623</f>
        <v>623</v>
      </c>
      <c r="DI1559" s="5" t="s">
        <v>240</v>
      </c>
      <c r="DJ1559" s="5" t="s">
        <v>240</v>
      </c>
      <c r="DK1559" s="5" t="s">
        <v>240</v>
      </c>
      <c r="DL1559" s="5" t="s">
        <v>240</v>
      </c>
      <c r="DP1559" s="5" t="s">
        <v>240</v>
      </c>
      <c r="DQ1559" s="5" t="s">
        <v>240</v>
      </c>
      <c r="DR1559" s="5" t="s">
        <v>240</v>
      </c>
      <c r="DS1559" s="5" t="s">
        <v>240</v>
      </c>
      <c r="DV1559" s="5" t="s">
        <v>813</v>
      </c>
      <c r="DW1559" s="5" t="s">
        <v>3251</v>
      </c>
      <c r="HO1559" s="5" t="s">
        <v>312</v>
      </c>
    </row>
    <row r="1560" spans="1:223" x14ac:dyDescent="0.4">
      <c r="A1560" s="5">
        <v>3235</v>
      </c>
      <c r="B1560" s="5">
        <v>1</v>
      </c>
      <c r="C1560" s="5">
        <v>1</v>
      </c>
      <c r="D1560" s="5" t="s">
        <v>297</v>
      </c>
      <c r="E1560" s="5" t="s">
        <v>245</v>
      </c>
      <c r="F1560" s="5" t="s">
        <v>254</v>
      </c>
      <c r="G1560" s="5" t="s">
        <v>240</v>
      </c>
      <c r="H1560" s="6" t="s">
        <v>4614</v>
      </c>
      <c r="I1560" s="5" t="s">
        <v>295</v>
      </c>
      <c r="J1560" s="8">
        <f>1096</f>
        <v>1096</v>
      </c>
      <c r="K1560" s="5" t="s">
        <v>308</v>
      </c>
      <c r="L1560" s="7">
        <f>1</f>
        <v>1</v>
      </c>
      <c r="M1560" s="7">
        <f>1</f>
        <v>1</v>
      </c>
      <c r="N1560" s="5" t="s">
        <v>242</v>
      </c>
      <c r="O1560" s="5">
        <v>1</v>
      </c>
      <c r="P1560" s="5" t="s">
        <v>294</v>
      </c>
      <c r="Q1560" s="5" t="s">
        <v>266</v>
      </c>
      <c r="R1560" s="5" t="s">
        <v>240</v>
      </c>
      <c r="S1560" s="5" t="s">
        <v>240</v>
      </c>
      <c r="T1560" s="5" t="s">
        <v>296</v>
      </c>
      <c r="U1560" s="5" t="s">
        <v>244</v>
      </c>
      <c r="V1560" s="5" t="s">
        <v>240</v>
      </c>
      <c r="Y1560" s="5" t="s">
        <v>240</v>
      </c>
      <c r="Z1560" s="6" t="s">
        <v>298</v>
      </c>
      <c r="AB1560" s="6" t="s">
        <v>240</v>
      </c>
      <c r="AE1560" s="6" t="s">
        <v>299</v>
      </c>
      <c r="AF1560" s="5" t="s">
        <v>248</v>
      </c>
      <c r="AG1560" s="5" t="s">
        <v>249</v>
      </c>
      <c r="AW1560" s="5" t="s">
        <v>251</v>
      </c>
      <c r="AX1560" s="5" t="s">
        <v>240</v>
      </c>
      <c r="AY1560" s="5" t="s">
        <v>253</v>
      </c>
      <c r="AZ1560" s="5" t="s">
        <v>240</v>
      </c>
      <c r="BA1560" s="5" t="s">
        <v>255</v>
      </c>
      <c r="BB1560" s="5" t="s">
        <v>240</v>
      </c>
      <c r="BD1560" s="5" t="s">
        <v>240</v>
      </c>
      <c r="BF1560" s="5" t="s">
        <v>301</v>
      </c>
      <c r="BG1560" s="6" t="s">
        <v>299</v>
      </c>
      <c r="BH1560" s="5" t="s">
        <v>302</v>
      </c>
      <c r="BI1560" s="5" t="s">
        <v>303</v>
      </c>
      <c r="BJ1560" s="5" t="s">
        <v>240</v>
      </c>
      <c r="BK1560" s="8">
        <f>0</f>
        <v>0</v>
      </c>
      <c r="BL1560" s="7">
        <f>0</f>
        <v>0</v>
      </c>
      <c r="BM1560" s="5" t="s">
        <v>258</v>
      </c>
      <c r="BN1560" s="5" t="s">
        <v>259</v>
      </c>
      <c r="CB1560" s="5" t="s">
        <v>240</v>
      </c>
      <c r="CC1560" s="5" t="s">
        <v>240</v>
      </c>
      <c r="CG1560" s="5" t="s">
        <v>304</v>
      </c>
      <c r="CH1560" s="5" t="s">
        <v>305</v>
      </c>
      <c r="CI1560" s="5" t="s">
        <v>240</v>
      </c>
      <c r="CL1560" s="6" t="s">
        <v>261</v>
      </c>
      <c r="CM1560" s="5" t="s">
        <v>240</v>
      </c>
      <c r="CN1560" s="5" t="s">
        <v>263</v>
      </c>
      <c r="CO1560" s="5" t="s">
        <v>240</v>
      </c>
      <c r="CP1560" s="5" t="s">
        <v>240</v>
      </c>
      <c r="CQ1560" s="5">
        <v>0</v>
      </c>
      <c r="CR1560" s="5" t="s">
        <v>306</v>
      </c>
      <c r="CS1560" s="5" t="s">
        <v>307</v>
      </c>
      <c r="CT1560" s="5" t="s">
        <v>307</v>
      </c>
      <c r="CU1560" s="5" t="s">
        <v>260</v>
      </c>
      <c r="CX1560" s="7">
        <f>1</f>
        <v>1</v>
      </c>
      <c r="CY1560" s="7">
        <f>0</f>
        <v>0</v>
      </c>
      <c r="DA1560" s="7">
        <f>0</f>
        <v>0</v>
      </c>
      <c r="DC1560" s="5" t="s">
        <v>812</v>
      </c>
      <c r="DD1560" s="5" t="s">
        <v>240</v>
      </c>
      <c r="DF1560" s="5" t="s">
        <v>812</v>
      </c>
      <c r="DG1560" s="7">
        <f>48</f>
        <v>48</v>
      </c>
      <c r="DI1560" s="5" t="s">
        <v>240</v>
      </c>
      <c r="DJ1560" s="5" t="s">
        <v>240</v>
      </c>
      <c r="DK1560" s="5" t="s">
        <v>240</v>
      </c>
      <c r="DL1560" s="5" t="s">
        <v>240</v>
      </c>
      <c r="DP1560" s="5" t="s">
        <v>240</v>
      </c>
      <c r="DQ1560" s="5" t="s">
        <v>240</v>
      </c>
      <c r="DR1560" s="5" t="s">
        <v>240</v>
      </c>
      <c r="DS1560" s="5" t="s">
        <v>240</v>
      </c>
      <c r="DV1560" s="5" t="s">
        <v>813</v>
      </c>
      <c r="DW1560" s="5" t="s">
        <v>3253</v>
      </c>
      <c r="HO1560" s="5" t="s">
        <v>312</v>
      </c>
    </row>
    <row r="1561" spans="1:223" x14ac:dyDescent="0.4">
      <c r="A1561" s="5">
        <v>3236</v>
      </c>
      <c r="B1561" s="5">
        <v>1</v>
      </c>
      <c r="C1561" s="5">
        <v>1</v>
      </c>
      <c r="D1561" s="5" t="s">
        <v>297</v>
      </c>
      <c r="E1561" s="5" t="s">
        <v>245</v>
      </c>
      <c r="F1561" s="5" t="s">
        <v>254</v>
      </c>
      <c r="G1561" s="5" t="s">
        <v>240</v>
      </c>
      <c r="H1561" s="6" t="s">
        <v>4613</v>
      </c>
      <c r="I1561" s="5" t="s">
        <v>295</v>
      </c>
      <c r="J1561" s="8">
        <f>177</f>
        <v>177</v>
      </c>
      <c r="K1561" s="5" t="s">
        <v>308</v>
      </c>
      <c r="L1561" s="7">
        <f>1</f>
        <v>1</v>
      </c>
      <c r="M1561" s="7">
        <f>1</f>
        <v>1</v>
      </c>
      <c r="N1561" s="5" t="s">
        <v>242</v>
      </c>
      <c r="O1561" s="5">
        <v>1</v>
      </c>
      <c r="P1561" s="5" t="s">
        <v>294</v>
      </c>
      <c r="Q1561" s="5" t="s">
        <v>266</v>
      </c>
      <c r="R1561" s="5" t="s">
        <v>240</v>
      </c>
      <c r="S1561" s="5" t="s">
        <v>240</v>
      </c>
      <c r="T1561" s="5" t="s">
        <v>296</v>
      </c>
      <c r="U1561" s="5" t="s">
        <v>244</v>
      </c>
      <c r="V1561" s="5" t="s">
        <v>240</v>
      </c>
      <c r="Y1561" s="5" t="s">
        <v>240</v>
      </c>
      <c r="Z1561" s="6" t="s">
        <v>298</v>
      </c>
      <c r="AB1561" s="6" t="s">
        <v>240</v>
      </c>
      <c r="AE1561" s="6" t="s">
        <v>299</v>
      </c>
      <c r="AF1561" s="5" t="s">
        <v>248</v>
      </c>
      <c r="AG1561" s="5" t="s">
        <v>249</v>
      </c>
      <c r="AW1561" s="5" t="s">
        <v>251</v>
      </c>
      <c r="AX1561" s="5" t="s">
        <v>240</v>
      </c>
      <c r="AY1561" s="5" t="s">
        <v>253</v>
      </c>
      <c r="AZ1561" s="5" t="s">
        <v>240</v>
      </c>
      <c r="BA1561" s="5" t="s">
        <v>255</v>
      </c>
      <c r="BB1561" s="5" t="s">
        <v>240</v>
      </c>
      <c r="BD1561" s="5" t="s">
        <v>240</v>
      </c>
      <c r="BF1561" s="5" t="s">
        <v>301</v>
      </c>
      <c r="BG1561" s="6" t="s">
        <v>299</v>
      </c>
      <c r="BH1561" s="5" t="s">
        <v>302</v>
      </c>
      <c r="BI1561" s="5" t="s">
        <v>303</v>
      </c>
      <c r="BJ1561" s="5" t="s">
        <v>240</v>
      </c>
      <c r="BK1561" s="8">
        <f>0</f>
        <v>0</v>
      </c>
      <c r="BL1561" s="7">
        <f>0</f>
        <v>0</v>
      </c>
      <c r="BM1561" s="5" t="s">
        <v>258</v>
      </c>
      <c r="BN1561" s="5" t="s">
        <v>259</v>
      </c>
      <c r="CB1561" s="5" t="s">
        <v>240</v>
      </c>
      <c r="CC1561" s="5" t="s">
        <v>240</v>
      </c>
      <c r="CG1561" s="5" t="s">
        <v>304</v>
      </c>
      <c r="CH1561" s="5" t="s">
        <v>305</v>
      </c>
      <c r="CI1561" s="5" t="s">
        <v>240</v>
      </c>
      <c r="CL1561" s="6" t="s">
        <v>261</v>
      </c>
      <c r="CM1561" s="5" t="s">
        <v>240</v>
      </c>
      <c r="CN1561" s="5" t="s">
        <v>263</v>
      </c>
      <c r="CO1561" s="5" t="s">
        <v>240</v>
      </c>
      <c r="CP1561" s="5" t="s">
        <v>240</v>
      </c>
      <c r="CQ1561" s="5">
        <v>0</v>
      </c>
      <c r="CR1561" s="5" t="s">
        <v>306</v>
      </c>
      <c r="CS1561" s="5" t="s">
        <v>307</v>
      </c>
      <c r="CT1561" s="5" t="s">
        <v>307</v>
      </c>
      <c r="CU1561" s="5" t="s">
        <v>260</v>
      </c>
      <c r="CX1561" s="7">
        <f>1</f>
        <v>1</v>
      </c>
      <c r="CY1561" s="7">
        <f>0</f>
        <v>0</v>
      </c>
      <c r="DA1561" s="7">
        <f>0</f>
        <v>0</v>
      </c>
      <c r="DC1561" s="5" t="s">
        <v>812</v>
      </c>
      <c r="DD1561" s="5" t="s">
        <v>240</v>
      </c>
      <c r="DF1561" s="5" t="s">
        <v>812</v>
      </c>
      <c r="DG1561" s="7">
        <f>328</f>
        <v>328</v>
      </c>
      <c r="DI1561" s="5" t="s">
        <v>240</v>
      </c>
      <c r="DJ1561" s="5" t="s">
        <v>240</v>
      </c>
      <c r="DK1561" s="5" t="s">
        <v>240</v>
      </c>
      <c r="DL1561" s="5" t="s">
        <v>240</v>
      </c>
      <c r="DP1561" s="5" t="s">
        <v>240</v>
      </c>
      <c r="DQ1561" s="5" t="s">
        <v>240</v>
      </c>
      <c r="DR1561" s="5" t="s">
        <v>240</v>
      </c>
      <c r="DS1561" s="5" t="s">
        <v>240</v>
      </c>
      <c r="DV1561" s="5" t="s">
        <v>813</v>
      </c>
      <c r="DW1561" s="5" t="s">
        <v>3255</v>
      </c>
      <c r="HO1561" s="5" t="s">
        <v>312</v>
      </c>
    </row>
    <row r="1562" spans="1:223" x14ac:dyDescent="0.4">
      <c r="A1562" s="5">
        <v>3237</v>
      </c>
      <c r="B1562" s="5">
        <v>1</v>
      </c>
      <c r="C1562" s="5">
        <v>1</v>
      </c>
      <c r="D1562" s="5" t="s">
        <v>297</v>
      </c>
      <c r="E1562" s="5" t="s">
        <v>245</v>
      </c>
      <c r="F1562" s="5" t="s">
        <v>254</v>
      </c>
      <c r="G1562" s="5" t="s">
        <v>240</v>
      </c>
      <c r="H1562" s="6" t="s">
        <v>4612</v>
      </c>
      <c r="I1562" s="5" t="s">
        <v>295</v>
      </c>
      <c r="J1562" s="8">
        <f>556</f>
        <v>556</v>
      </c>
      <c r="K1562" s="5" t="s">
        <v>308</v>
      </c>
      <c r="L1562" s="7">
        <f>1</f>
        <v>1</v>
      </c>
      <c r="M1562" s="7">
        <f>1</f>
        <v>1</v>
      </c>
      <c r="N1562" s="5" t="s">
        <v>242</v>
      </c>
      <c r="O1562" s="5">
        <v>1</v>
      </c>
      <c r="P1562" s="5" t="s">
        <v>294</v>
      </c>
      <c r="Q1562" s="5" t="s">
        <v>266</v>
      </c>
      <c r="R1562" s="5" t="s">
        <v>240</v>
      </c>
      <c r="S1562" s="5" t="s">
        <v>240</v>
      </c>
      <c r="T1562" s="5" t="s">
        <v>296</v>
      </c>
      <c r="U1562" s="5" t="s">
        <v>244</v>
      </c>
      <c r="V1562" s="5" t="s">
        <v>240</v>
      </c>
      <c r="Y1562" s="5" t="s">
        <v>240</v>
      </c>
      <c r="Z1562" s="6" t="s">
        <v>298</v>
      </c>
      <c r="AB1562" s="6" t="s">
        <v>240</v>
      </c>
      <c r="AE1562" s="6" t="s">
        <v>299</v>
      </c>
      <c r="AF1562" s="5" t="s">
        <v>248</v>
      </c>
      <c r="AG1562" s="5" t="s">
        <v>249</v>
      </c>
      <c r="AW1562" s="5" t="s">
        <v>251</v>
      </c>
      <c r="AX1562" s="5" t="s">
        <v>240</v>
      </c>
      <c r="AY1562" s="5" t="s">
        <v>253</v>
      </c>
      <c r="AZ1562" s="5" t="s">
        <v>240</v>
      </c>
      <c r="BA1562" s="5" t="s">
        <v>255</v>
      </c>
      <c r="BB1562" s="5" t="s">
        <v>240</v>
      </c>
      <c r="BD1562" s="5" t="s">
        <v>240</v>
      </c>
      <c r="BF1562" s="5" t="s">
        <v>301</v>
      </c>
      <c r="BG1562" s="6" t="s">
        <v>299</v>
      </c>
      <c r="BH1562" s="5" t="s">
        <v>302</v>
      </c>
      <c r="BI1562" s="5" t="s">
        <v>303</v>
      </c>
      <c r="BJ1562" s="5" t="s">
        <v>240</v>
      </c>
      <c r="BK1562" s="8">
        <f>0</f>
        <v>0</v>
      </c>
      <c r="BL1562" s="7">
        <f>0</f>
        <v>0</v>
      </c>
      <c r="BM1562" s="5" t="s">
        <v>258</v>
      </c>
      <c r="BN1562" s="5" t="s">
        <v>259</v>
      </c>
      <c r="CB1562" s="5" t="s">
        <v>240</v>
      </c>
      <c r="CC1562" s="5" t="s">
        <v>240</v>
      </c>
      <c r="CG1562" s="5" t="s">
        <v>304</v>
      </c>
      <c r="CH1562" s="5" t="s">
        <v>305</v>
      </c>
      <c r="CI1562" s="5" t="s">
        <v>240</v>
      </c>
      <c r="CL1562" s="6" t="s">
        <v>261</v>
      </c>
      <c r="CM1562" s="5" t="s">
        <v>240</v>
      </c>
      <c r="CN1562" s="5" t="s">
        <v>263</v>
      </c>
      <c r="CO1562" s="5" t="s">
        <v>240</v>
      </c>
      <c r="CP1562" s="5" t="s">
        <v>240</v>
      </c>
      <c r="CQ1562" s="5">
        <v>0</v>
      </c>
      <c r="CR1562" s="5" t="s">
        <v>306</v>
      </c>
      <c r="CS1562" s="5" t="s">
        <v>307</v>
      </c>
      <c r="CT1562" s="5" t="s">
        <v>307</v>
      </c>
      <c r="CU1562" s="5" t="s">
        <v>260</v>
      </c>
      <c r="CX1562" s="7">
        <f>1</f>
        <v>1</v>
      </c>
      <c r="CY1562" s="7">
        <f>0</f>
        <v>0</v>
      </c>
      <c r="DA1562" s="7">
        <f>0</f>
        <v>0</v>
      </c>
      <c r="DC1562" s="5" t="s">
        <v>812</v>
      </c>
      <c r="DD1562" s="5" t="s">
        <v>240</v>
      </c>
      <c r="DF1562" s="5" t="s">
        <v>812</v>
      </c>
      <c r="DG1562" s="7">
        <f>43</f>
        <v>43</v>
      </c>
      <c r="DI1562" s="5" t="s">
        <v>240</v>
      </c>
      <c r="DJ1562" s="5" t="s">
        <v>240</v>
      </c>
      <c r="DK1562" s="5" t="s">
        <v>240</v>
      </c>
      <c r="DL1562" s="5" t="s">
        <v>240</v>
      </c>
      <c r="DP1562" s="5" t="s">
        <v>240</v>
      </c>
      <c r="DQ1562" s="5" t="s">
        <v>240</v>
      </c>
      <c r="DR1562" s="5" t="s">
        <v>240</v>
      </c>
      <c r="DS1562" s="5" t="s">
        <v>240</v>
      </c>
      <c r="DV1562" s="5" t="s">
        <v>813</v>
      </c>
      <c r="DW1562" s="5" t="s">
        <v>3257</v>
      </c>
      <c r="HO1562" s="5" t="s">
        <v>312</v>
      </c>
    </row>
    <row r="1563" spans="1:223" x14ac:dyDescent="0.4">
      <c r="A1563" s="5">
        <v>3238</v>
      </c>
      <c r="B1563" s="5">
        <v>1</v>
      </c>
      <c r="C1563" s="5">
        <v>1</v>
      </c>
      <c r="D1563" s="5" t="s">
        <v>297</v>
      </c>
      <c r="E1563" s="5" t="s">
        <v>245</v>
      </c>
      <c r="F1563" s="5" t="s">
        <v>254</v>
      </c>
      <c r="G1563" s="5" t="s">
        <v>240</v>
      </c>
      <c r="H1563" s="6" t="s">
        <v>4611</v>
      </c>
      <c r="I1563" s="5" t="s">
        <v>295</v>
      </c>
      <c r="J1563" s="8">
        <f>607</f>
        <v>607</v>
      </c>
      <c r="K1563" s="5" t="s">
        <v>308</v>
      </c>
      <c r="L1563" s="7">
        <f>1</f>
        <v>1</v>
      </c>
      <c r="M1563" s="7">
        <f>1</f>
        <v>1</v>
      </c>
      <c r="N1563" s="5" t="s">
        <v>242</v>
      </c>
      <c r="O1563" s="5">
        <v>1</v>
      </c>
      <c r="P1563" s="5" t="s">
        <v>294</v>
      </c>
      <c r="Q1563" s="5" t="s">
        <v>266</v>
      </c>
      <c r="R1563" s="5" t="s">
        <v>240</v>
      </c>
      <c r="S1563" s="5" t="s">
        <v>240</v>
      </c>
      <c r="T1563" s="5" t="s">
        <v>296</v>
      </c>
      <c r="U1563" s="5" t="s">
        <v>244</v>
      </c>
      <c r="V1563" s="5" t="s">
        <v>240</v>
      </c>
      <c r="Y1563" s="5" t="s">
        <v>240</v>
      </c>
      <c r="Z1563" s="6" t="s">
        <v>298</v>
      </c>
      <c r="AB1563" s="6" t="s">
        <v>240</v>
      </c>
      <c r="AE1563" s="6" t="s">
        <v>299</v>
      </c>
      <c r="AF1563" s="5" t="s">
        <v>248</v>
      </c>
      <c r="AG1563" s="5" t="s">
        <v>249</v>
      </c>
      <c r="AW1563" s="5" t="s">
        <v>251</v>
      </c>
      <c r="AX1563" s="5" t="s">
        <v>240</v>
      </c>
      <c r="AY1563" s="5" t="s">
        <v>253</v>
      </c>
      <c r="AZ1563" s="5" t="s">
        <v>240</v>
      </c>
      <c r="BA1563" s="5" t="s">
        <v>255</v>
      </c>
      <c r="BB1563" s="5" t="s">
        <v>240</v>
      </c>
      <c r="BD1563" s="5" t="s">
        <v>240</v>
      </c>
      <c r="BF1563" s="5" t="s">
        <v>301</v>
      </c>
      <c r="BG1563" s="6" t="s">
        <v>299</v>
      </c>
      <c r="BH1563" s="5" t="s">
        <v>302</v>
      </c>
      <c r="BI1563" s="5" t="s">
        <v>303</v>
      </c>
      <c r="BJ1563" s="5" t="s">
        <v>240</v>
      </c>
      <c r="BK1563" s="8">
        <f>0</f>
        <v>0</v>
      </c>
      <c r="BL1563" s="7">
        <f>0</f>
        <v>0</v>
      </c>
      <c r="BM1563" s="5" t="s">
        <v>258</v>
      </c>
      <c r="BN1563" s="5" t="s">
        <v>259</v>
      </c>
      <c r="CB1563" s="5" t="s">
        <v>240</v>
      </c>
      <c r="CC1563" s="5" t="s">
        <v>240</v>
      </c>
      <c r="CG1563" s="5" t="s">
        <v>304</v>
      </c>
      <c r="CH1563" s="5" t="s">
        <v>305</v>
      </c>
      <c r="CI1563" s="5" t="s">
        <v>240</v>
      </c>
      <c r="CL1563" s="6" t="s">
        <v>261</v>
      </c>
      <c r="CM1563" s="5" t="s">
        <v>240</v>
      </c>
      <c r="CN1563" s="5" t="s">
        <v>263</v>
      </c>
      <c r="CO1563" s="5" t="s">
        <v>240</v>
      </c>
      <c r="CP1563" s="5" t="s">
        <v>240</v>
      </c>
      <c r="CQ1563" s="5">
        <v>0</v>
      </c>
      <c r="CR1563" s="5" t="s">
        <v>306</v>
      </c>
      <c r="CS1563" s="5" t="s">
        <v>307</v>
      </c>
      <c r="CT1563" s="5" t="s">
        <v>307</v>
      </c>
      <c r="CU1563" s="5" t="s">
        <v>260</v>
      </c>
      <c r="CX1563" s="7">
        <f>1</f>
        <v>1</v>
      </c>
      <c r="CY1563" s="7">
        <f>0</f>
        <v>0</v>
      </c>
      <c r="DA1563" s="7">
        <f>0</f>
        <v>0</v>
      </c>
      <c r="DC1563" s="5" t="s">
        <v>812</v>
      </c>
      <c r="DD1563" s="5" t="s">
        <v>240</v>
      </c>
      <c r="DF1563" s="5" t="s">
        <v>812</v>
      </c>
      <c r="DG1563" s="7">
        <f>530</f>
        <v>530</v>
      </c>
      <c r="DI1563" s="5" t="s">
        <v>240</v>
      </c>
      <c r="DJ1563" s="5" t="s">
        <v>240</v>
      </c>
      <c r="DK1563" s="5" t="s">
        <v>240</v>
      </c>
      <c r="DL1563" s="5" t="s">
        <v>240</v>
      </c>
      <c r="DP1563" s="5" t="s">
        <v>240</v>
      </c>
      <c r="DQ1563" s="5" t="s">
        <v>240</v>
      </c>
      <c r="DR1563" s="5" t="s">
        <v>240</v>
      </c>
      <c r="DS1563" s="5" t="s">
        <v>240</v>
      </c>
      <c r="DV1563" s="5" t="s">
        <v>813</v>
      </c>
      <c r="DW1563" s="5" t="s">
        <v>3259</v>
      </c>
      <c r="HO1563" s="5" t="s">
        <v>312</v>
      </c>
    </row>
    <row r="1564" spans="1:223" x14ac:dyDescent="0.4">
      <c r="A1564" s="5">
        <v>3239</v>
      </c>
      <c r="B1564" s="5">
        <v>1</v>
      </c>
      <c r="C1564" s="5">
        <v>1</v>
      </c>
      <c r="D1564" s="5" t="s">
        <v>297</v>
      </c>
      <c r="E1564" s="5" t="s">
        <v>245</v>
      </c>
      <c r="F1564" s="5" t="s">
        <v>254</v>
      </c>
      <c r="G1564" s="5" t="s">
        <v>240</v>
      </c>
      <c r="H1564" s="6" t="s">
        <v>4610</v>
      </c>
      <c r="I1564" s="5" t="s">
        <v>295</v>
      </c>
      <c r="J1564" s="8">
        <f>119</f>
        <v>119</v>
      </c>
      <c r="K1564" s="5" t="s">
        <v>308</v>
      </c>
      <c r="L1564" s="7">
        <f>1</f>
        <v>1</v>
      </c>
      <c r="M1564" s="7">
        <f>1</f>
        <v>1</v>
      </c>
      <c r="N1564" s="5" t="s">
        <v>242</v>
      </c>
      <c r="O1564" s="5">
        <v>1</v>
      </c>
      <c r="P1564" s="5" t="s">
        <v>294</v>
      </c>
      <c r="Q1564" s="5" t="s">
        <v>266</v>
      </c>
      <c r="R1564" s="5" t="s">
        <v>240</v>
      </c>
      <c r="S1564" s="5" t="s">
        <v>240</v>
      </c>
      <c r="T1564" s="5" t="s">
        <v>296</v>
      </c>
      <c r="U1564" s="5" t="s">
        <v>244</v>
      </c>
      <c r="V1564" s="5" t="s">
        <v>240</v>
      </c>
      <c r="Y1564" s="5" t="s">
        <v>240</v>
      </c>
      <c r="Z1564" s="6" t="s">
        <v>298</v>
      </c>
      <c r="AB1564" s="6" t="s">
        <v>240</v>
      </c>
      <c r="AE1564" s="6" t="s">
        <v>299</v>
      </c>
      <c r="AF1564" s="5" t="s">
        <v>248</v>
      </c>
      <c r="AG1564" s="5" t="s">
        <v>249</v>
      </c>
      <c r="AW1564" s="5" t="s">
        <v>251</v>
      </c>
      <c r="AX1564" s="5" t="s">
        <v>240</v>
      </c>
      <c r="AY1564" s="5" t="s">
        <v>253</v>
      </c>
      <c r="AZ1564" s="5" t="s">
        <v>240</v>
      </c>
      <c r="BA1564" s="5" t="s">
        <v>255</v>
      </c>
      <c r="BB1564" s="5" t="s">
        <v>240</v>
      </c>
      <c r="BD1564" s="5" t="s">
        <v>240</v>
      </c>
      <c r="BF1564" s="5" t="s">
        <v>301</v>
      </c>
      <c r="BG1564" s="6" t="s">
        <v>299</v>
      </c>
      <c r="BH1564" s="5" t="s">
        <v>302</v>
      </c>
      <c r="BI1564" s="5" t="s">
        <v>303</v>
      </c>
      <c r="BJ1564" s="5" t="s">
        <v>240</v>
      </c>
      <c r="BK1564" s="8">
        <f>0</f>
        <v>0</v>
      </c>
      <c r="BL1564" s="7">
        <f>0</f>
        <v>0</v>
      </c>
      <c r="BM1564" s="5" t="s">
        <v>258</v>
      </c>
      <c r="BN1564" s="5" t="s">
        <v>259</v>
      </c>
      <c r="CB1564" s="5" t="s">
        <v>240</v>
      </c>
      <c r="CC1564" s="5" t="s">
        <v>240</v>
      </c>
      <c r="CG1564" s="5" t="s">
        <v>304</v>
      </c>
      <c r="CH1564" s="5" t="s">
        <v>305</v>
      </c>
      <c r="CI1564" s="5" t="s">
        <v>240</v>
      </c>
      <c r="CL1564" s="6" t="s">
        <v>261</v>
      </c>
      <c r="CM1564" s="5" t="s">
        <v>240</v>
      </c>
      <c r="CN1564" s="5" t="s">
        <v>263</v>
      </c>
      <c r="CO1564" s="5" t="s">
        <v>240</v>
      </c>
      <c r="CP1564" s="5" t="s">
        <v>240</v>
      </c>
      <c r="CQ1564" s="5">
        <v>0</v>
      </c>
      <c r="CR1564" s="5" t="s">
        <v>306</v>
      </c>
      <c r="CS1564" s="5" t="s">
        <v>307</v>
      </c>
      <c r="CT1564" s="5" t="s">
        <v>307</v>
      </c>
      <c r="CU1564" s="5" t="s">
        <v>260</v>
      </c>
      <c r="CX1564" s="7">
        <f>1</f>
        <v>1</v>
      </c>
      <c r="CY1564" s="7">
        <f>0</f>
        <v>0</v>
      </c>
      <c r="DA1564" s="7">
        <f>0</f>
        <v>0</v>
      </c>
      <c r="DC1564" s="5" t="s">
        <v>812</v>
      </c>
      <c r="DD1564" s="5" t="s">
        <v>240</v>
      </c>
      <c r="DF1564" s="5" t="s">
        <v>812</v>
      </c>
      <c r="DG1564" s="7">
        <f>178</f>
        <v>178</v>
      </c>
      <c r="DI1564" s="5" t="s">
        <v>240</v>
      </c>
      <c r="DJ1564" s="5" t="s">
        <v>240</v>
      </c>
      <c r="DK1564" s="5" t="s">
        <v>240</v>
      </c>
      <c r="DL1564" s="5" t="s">
        <v>240</v>
      </c>
      <c r="DP1564" s="5" t="s">
        <v>240</v>
      </c>
      <c r="DQ1564" s="5" t="s">
        <v>240</v>
      </c>
      <c r="DR1564" s="5" t="s">
        <v>240</v>
      </c>
      <c r="DS1564" s="5" t="s">
        <v>240</v>
      </c>
      <c r="DV1564" s="5" t="s">
        <v>813</v>
      </c>
      <c r="DW1564" s="5" t="s">
        <v>3261</v>
      </c>
      <c r="HO1564" s="5" t="s">
        <v>312</v>
      </c>
    </row>
    <row r="1565" spans="1:223" x14ac:dyDescent="0.4">
      <c r="A1565" s="5">
        <v>3240</v>
      </c>
      <c r="B1565" s="5">
        <v>1</v>
      </c>
      <c r="C1565" s="5">
        <v>1</v>
      </c>
      <c r="D1565" s="5" t="s">
        <v>297</v>
      </c>
      <c r="E1565" s="5" t="s">
        <v>245</v>
      </c>
      <c r="F1565" s="5" t="s">
        <v>254</v>
      </c>
      <c r="G1565" s="5" t="s">
        <v>240</v>
      </c>
      <c r="H1565" s="6" t="s">
        <v>4609</v>
      </c>
      <c r="I1565" s="5" t="s">
        <v>295</v>
      </c>
      <c r="J1565" s="8">
        <f>136</f>
        <v>136</v>
      </c>
      <c r="K1565" s="5" t="s">
        <v>308</v>
      </c>
      <c r="L1565" s="7">
        <f>1</f>
        <v>1</v>
      </c>
      <c r="M1565" s="7">
        <f>1</f>
        <v>1</v>
      </c>
      <c r="N1565" s="5" t="s">
        <v>242</v>
      </c>
      <c r="O1565" s="5">
        <v>1</v>
      </c>
      <c r="P1565" s="5" t="s">
        <v>294</v>
      </c>
      <c r="Q1565" s="5" t="s">
        <v>266</v>
      </c>
      <c r="R1565" s="5" t="s">
        <v>240</v>
      </c>
      <c r="S1565" s="5" t="s">
        <v>240</v>
      </c>
      <c r="T1565" s="5" t="s">
        <v>296</v>
      </c>
      <c r="U1565" s="5" t="s">
        <v>244</v>
      </c>
      <c r="V1565" s="5" t="s">
        <v>240</v>
      </c>
      <c r="Y1565" s="5" t="s">
        <v>240</v>
      </c>
      <c r="Z1565" s="6" t="s">
        <v>298</v>
      </c>
      <c r="AB1565" s="6" t="s">
        <v>240</v>
      </c>
      <c r="AE1565" s="6" t="s">
        <v>299</v>
      </c>
      <c r="AF1565" s="5" t="s">
        <v>248</v>
      </c>
      <c r="AG1565" s="5" t="s">
        <v>249</v>
      </c>
      <c r="AW1565" s="5" t="s">
        <v>251</v>
      </c>
      <c r="AX1565" s="5" t="s">
        <v>240</v>
      </c>
      <c r="AY1565" s="5" t="s">
        <v>253</v>
      </c>
      <c r="AZ1565" s="5" t="s">
        <v>240</v>
      </c>
      <c r="BA1565" s="5" t="s">
        <v>255</v>
      </c>
      <c r="BB1565" s="5" t="s">
        <v>240</v>
      </c>
      <c r="BD1565" s="5" t="s">
        <v>240</v>
      </c>
      <c r="BF1565" s="5" t="s">
        <v>301</v>
      </c>
      <c r="BG1565" s="6" t="s">
        <v>299</v>
      </c>
      <c r="BH1565" s="5" t="s">
        <v>302</v>
      </c>
      <c r="BI1565" s="5" t="s">
        <v>303</v>
      </c>
      <c r="BJ1565" s="5" t="s">
        <v>240</v>
      </c>
      <c r="BK1565" s="8">
        <f>0</f>
        <v>0</v>
      </c>
      <c r="BL1565" s="7">
        <f>0</f>
        <v>0</v>
      </c>
      <c r="BM1565" s="5" t="s">
        <v>258</v>
      </c>
      <c r="BN1565" s="5" t="s">
        <v>259</v>
      </c>
      <c r="CB1565" s="5" t="s">
        <v>240</v>
      </c>
      <c r="CC1565" s="5" t="s">
        <v>240</v>
      </c>
      <c r="CG1565" s="5" t="s">
        <v>304</v>
      </c>
      <c r="CH1565" s="5" t="s">
        <v>305</v>
      </c>
      <c r="CI1565" s="5" t="s">
        <v>240</v>
      </c>
      <c r="CL1565" s="6" t="s">
        <v>261</v>
      </c>
      <c r="CM1565" s="5" t="s">
        <v>240</v>
      </c>
      <c r="CN1565" s="5" t="s">
        <v>263</v>
      </c>
      <c r="CO1565" s="5" t="s">
        <v>240</v>
      </c>
      <c r="CP1565" s="5" t="s">
        <v>240</v>
      </c>
      <c r="CQ1565" s="5">
        <v>0</v>
      </c>
      <c r="CR1565" s="5" t="s">
        <v>306</v>
      </c>
      <c r="CS1565" s="5" t="s">
        <v>307</v>
      </c>
      <c r="CT1565" s="5" t="s">
        <v>307</v>
      </c>
      <c r="CU1565" s="5" t="s">
        <v>260</v>
      </c>
      <c r="CX1565" s="7">
        <f>1</f>
        <v>1</v>
      </c>
      <c r="CY1565" s="7">
        <f>0</f>
        <v>0</v>
      </c>
      <c r="DA1565" s="7">
        <f>0</f>
        <v>0</v>
      </c>
      <c r="DC1565" s="5" t="s">
        <v>812</v>
      </c>
      <c r="DD1565" s="5" t="s">
        <v>240</v>
      </c>
      <c r="DF1565" s="5" t="s">
        <v>812</v>
      </c>
      <c r="DG1565" s="7">
        <f>459</f>
        <v>459</v>
      </c>
      <c r="DI1565" s="5" t="s">
        <v>240</v>
      </c>
      <c r="DJ1565" s="5" t="s">
        <v>240</v>
      </c>
      <c r="DK1565" s="5" t="s">
        <v>240</v>
      </c>
      <c r="DL1565" s="5" t="s">
        <v>240</v>
      </c>
      <c r="DP1565" s="5" t="s">
        <v>240</v>
      </c>
      <c r="DQ1565" s="5" t="s">
        <v>240</v>
      </c>
      <c r="DR1565" s="5" t="s">
        <v>240</v>
      </c>
      <c r="DS1565" s="5" t="s">
        <v>240</v>
      </c>
      <c r="DV1565" s="5" t="s">
        <v>813</v>
      </c>
      <c r="DW1565" s="5" t="s">
        <v>3263</v>
      </c>
      <c r="HO1565" s="5" t="s">
        <v>312</v>
      </c>
    </row>
    <row r="1566" spans="1:223" x14ac:dyDescent="0.4">
      <c r="A1566" s="5">
        <v>3241</v>
      </c>
      <c r="B1566" s="5">
        <v>1</v>
      </c>
      <c r="C1566" s="5">
        <v>1</v>
      </c>
      <c r="D1566" s="5" t="s">
        <v>297</v>
      </c>
      <c r="E1566" s="5" t="s">
        <v>245</v>
      </c>
      <c r="F1566" s="5" t="s">
        <v>254</v>
      </c>
      <c r="G1566" s="5" t="s">
        <v>240</v>
      </c>
      <c r="H1566" s="6" t="s">
        <v>4608</v>
      </c>
      <c r="I1566" s="5" t="s">
        <v>295</v>
      </c>
      <c r="J1566" s="8">
        <f>508</f>
        <v>508</v>
      </c>
      <c r="K1566" s="5" t="s">
        <v>308</v>
      </c>
      <c r="L1566" s="7">
        <f>1</f>
        <v>1</v>
      </c>
      <c r="M1566" s="7">
        <f>1</f>
        <v>1</v>
      </c>
      <c r="N1566" s="5" t="s">
        <v>242</v>
      </c>
      <c r="O1566" s="5">
        <v>1</v>
      </c>
      <c r="P1566" s="5" t="s">
        <v>294</v>
      </c>
      <c r="Q1566" s="5" t="s">
        <v>266</v>
      </c>
      <c r="R1566" s="5" t="s">
        <v>240</v>
      </c>
      <c r="S1566" s="5" t="s">
        <v>240</v>
      </c>
      <c r="T1566" s="5" t="s">
        <v>296</v>
      </c>
      <c r="U1566" s="5" t="s">
        <v>244</v>
      </c>
      <c r="V1566" s="5" t="s">
        <v>240</v>
      </c>
      <c r="Y1566" s="5" t="s">
        <v>240</v>
      </c>
      <c r="Z1566" s="6" t="s">
        <v>298</v>
      </c>
      <c r="AB1566" s="6" t="s">
        <v>240</v>
      </c>
      <c r="AE1566" s="6" t="s">
        <v>299</v>
      </c>
      <c r="AF1566" s="5" t="s">
        <v>248</v>
      </c>
      <c r="AG1566" s="5" t="s">
        <v>249</v>
      </c>
      <c r="AW1566" s="5" t="s">
        <v>251</v>
      </c>
      <c r="AX1566" s="5" t="s">
        <v>240</v>
      </c>
      <c r="AY1566" s="5" t="s">
        <v>253</v>
      </c>
      <c r="AZ1566" s="5" t="s">
        <v>240</v>
      </c>
      <c r="BA1566" s="5" t="s">
        <v>255</v>
      </c>
      <c r="BB1566" s="5" t="s">
        <v>240</v>
      </c>
      <c r="BD1566" s="5" t="s">
        <v>240</v>
      </c>
      <c r="BF1566" s="5" t="s">
        <v>301</v>
      </c>
      <c r="BG1566" s="6" t="s">
        <v>299</v>
      </c>
      <c r="BH1566" s="5" t="s">
        <v>302</v>
      </c>
      <c r="BI1566" s="5" t="s">
        <v>303</v>
      </c>
      <c r="BJ1566" s="5" t="s">
        <v>240</v>
      </c>
      <c r="BK1566" s="8">
        <f>0</f>
        <v>0</v>
      </c>
      <c r="BL1566" s="7">
        <f>0</f>
        <v>0</v>
      </c>
      <c r="BM1566" s="5" t="s">
        <v>258</v>
      </c>
      <c r="BN1566" s="5" t="s">
        <v>259</v>
      </c>
      <c r="CB1566" s="5" t="s">
        <v>240</v>
      </c>
      <c r="CC1566" s="5" t="s">
        <v>240</v>
      </c>
      <c r="CG1566" s="5" t="s">
        <v>304</v>
      </c>
      <c r="CH1566" s="5" t="s">
        <v>305</v>
      </c>
      <c r="CI1566" s="5" t="s">
        <v>240</v>
      </c>
      <c r="CL1566" s="6" t="s">
        <v>261</v>
      </c>
      <c r="CM1566" s="5" t="s">
        <v>240</v>
      </c>
      <c r="CN1566" s="5" t="s">
        <v>263</v>
      </c>
      <c r="CO1566" s="5" t="s">
        <v>240</v>
      </c>
      <c r="CP1566" s="5" t="s">
        <v>240</v>
      </c>
      <c r="CQ1566" s="5">
        <v>0</v>
      </c>
      <c r="CR1566" s="5" t="s">
        <v>306</v>
      </c>
      <c r="CS1566" s="5" t="s">
        <v>307</v>
      </c>
      <c r="CT1566" s="5" t="s">
        <v>307</v>
      </c>
      <c r="CU1566" s="5" t="s">
        <v>260</v>
      </c>
      <c r="CX1566" s="7">
        <f>1</f>
        <v>1</v>
      </c>
      <c r="CY1566" s="7">
        <f>0</f>
        <v>0</v>
      </c>
      <c r="DA1566" s="7">
        <f>0</f>
        <v>0</v>
      </c>
      <c r="DC1566" s="5" t="s">
        <v>812</v>
      </c>
      <c r="DD1566" s="5" t="s">
        <v>240</v>
      </c>
      <c r="DF1566" s="5" t="s">
        <v>812</v>
      </c>
      <c r="DG1566" s="7">
        <f>1683</f>
        <v>1683</v>
      </c>
      <c r="DI1566" s="5" t="s">
        <v>240</v>
      </c>
      <c r="DJ1566" s="5" t="s">
        <v>240</v>
      </c>
      <c r="DK1566" s="5" t="s">
        <v>240</v>
      </c>
      <c r="DL1566" s="5" t="s">
        <v>240</v>
      </c>
      <c r="DP1566" s="5" t="s">
        <v>240</v>
      </c>
      <c r="DQ1566" s="5" t="s">
        <v>240</v>
      </c>
      <c r="DR1566" s="5" t="s">
        <v>240</v>
      </c>
      <c r="DS1566" s="5" t="s">
        <v>240</v>
      </c>
      <c r="DV1566" s="5" t="s">
        <v>813</v>
      </c>
      <c r="DW1566" s="5" t="s">
        <v>3265</v>
      </c>
      <c r="HO1566" s="5" t="s">
        <v>312</v>
      </c>
    </row>
    <row r="1567" spans="1:223" x14ac:dyDescent="0.4">
      <c r="A1567" s="5">
        <v>3242</v>
      </c>
      <c r="B1567" s="5">
        <v>1</v>
      </c>
      <c r="C1567" s="5">
        <v>1</v>
      </c>
      <c r="D1567" s="5" t="s">
        <v>297</v>
      </c>
      <c r="E1567" s="5" t="s">
        <v>245</v>
      </c>
      <c r="F1567" s="5" t="s">
        <v>254</v>
      </c>
      <c r="G1567" s="5" t="s">
        <v>240</v>
      </c>
      <c r="H1567" s="6" t="s">
        <v>4607</v>
      </c>
      <c r="I1567" s="5" t="s">
        <v>295</v>
      </c>
      <c r="J1567" s="8">
        <f>105</f>
        <v>105</v>
      </c>
      <c r="K1567" s="5" t="s">
        <v>308</v>
      </c>
      <c r="L1567" s="7">
        <f>1</f>
        <v>1</v>
      </c>
      <c r="M1567" s="7">
        <f>1</f>
        <v>1</v>
      </c>
      <c r="N1567" s="5" t="s">
        <v>242</v>
      </c>
      <c r="O1567" s="5">
        <v>1</v>
      </c>
      <c r="P1567" s="5" t="s">
        <v>294</v>
      </c>
      <c r="Q1567" s="5" t="s">
        <v>266</v>
      </c>
      <c r="R1567" s="5" t="s">
        <v>240</v>
      </c>
      <c r="S1567" s="5" t="s">
        <v>240</v>
      </c>
      <c r="T1567" s="5" t="s">
        <v>296</v>
      </c>
      <c r="U1567" s="5" t="s">
        <v>244</v>
      </c>
      <c r="V1567" s="5" t="s">
        <v>240</v>
      </c>
      <c r="Y1567" s="5" t="s">
        <v>240</v>
      </c>
      <c r="Z1567" s="6" t="s">
        <v>298</v>
      </c>
      <c r="AB1567" s="6" t="s">
        <v>240</v>
      </c>
      <c r="AE1567" s="6" t="s">
        <v>299</v>
      </c>
      <c r="AF1567" s="5" t="s">
        <v>248</v>
      </c>
      <c r="AG1567" s="5" t="s">
        <v>249</v>
      </c>
      <c r="AW1567" s="5" t="s">
        <v>251</v>
      </c>
      <c r="AX1567" s="5" t="s">
        <v>240</v>
      </c>
      <c r="AY1567" s="5" t="s">
        <v>253</v>
      </c>
      <c r="AZ1567" s="5" t="s">
        <v>240</v>
      </c>
      <c r="BA1567" s="5" t="s">
        <v>255</v>
      </c>
      <c r="BB1567" s="5" t="s">
        <v>240</v>
      </c>
      <c r="BD1567" s="5" t="s">
        <v>240</v>
      </c>
      <c r="BF1567" s="5" t="s">
        <v>301</v>
      </c>
      <c r="BG1567" s="6" t="s">
        <v>299</v>
      </c>
      <c r="BH1567" s="5" t="s">
        <v>302</v>
      </c>
      <c r="BI1567" s="5" t="s">
        <v>303</v>
      </c>
      <c r="BJ1567" s="5" t="s">
        <v>240</v>
      </c>
      <c r="BK1567" s="8">
        <f>0</f>
        <v>0</v>
      </c>
      <c r="BL1567" s="7">
        <f>0</f>
        <v>0</v>
      </c>
      <c r="BM1567" s="5" t="s">
        <v>258</v>
      </c>
      <c r="BN1567" s="5" t="s">
        <v>259</v>
      </c>
      <c r="CB1567" s="5" t="s">
        <v>240</v>
      </c>
      <c r="CC1567" s="5" t="s">
        <v>240</v>
      </c>
      <c r="CG1567" s="5" t="s">
        <v>304</v>
      </c>
      <c r="CH1567" s="5" t="s">
        <v>305</v>
      </c>
      <c r="CI1567" s="5" t="s">
        <v>240</v>
      </c>
      <c r="CL1567" s="6" t="s">
        <v>261</v>
      </c>
      <c r="CM1567" s="5" t="s">
        <v>240</v>
      </c>
      <c r="CN1567" s="5" t="s">
        <v>263</v>
      </c>
      <c r="CO1567" s="5" t="s">
        <v>240</v>
      </c>
      <c r="CP1567" s="5" t="s">
        <v>240</v>
      </c>
      <c r="CQ1567" s="5">
        <v>0</v>
      </c>
      <c r="CR1567" s="5" t="s">
        <v>306</v>
      </c>
      <c r="CS1567" s="5" t="s">
        <v>307</v>
      </c>
      <c r="CT1567" s="5" t="s">
        <v>307</v>
      </c>
      <c r="CU1567" s="5" t="s">
        <v>260</v>
      </c>
      <c r="CX1567" s="7">
        <f>1</f>
        <v>1</v>
      </c>
      <c r="CY1567" s="7">
        <f>0</f>
        <v>0</v>
      </c>
      <c r="DA1567" s="7">
        <f>0</f>
        <v>0</v>
      </c>
      <c r="DC1567" s="5" t="s">
        <v>812</v>
      </c>
      <c r="DD1567" s="5" t="s">
        <v>240</v>
      </c>
      <c r="DF1567" s="5" t="s">
        <v>812</v>
      </c>
      <c r="DG1567" s="7">
        <f>1538</f>
        <v>1538</v>
      </c>
      <c r="DI1567" s="5" t="s">
        <v>240</v>
      </c>
      <c r="DJ1567" s="5" t="s">
        <v>240</v>
      </c>
      <c r="DK1567" s="5" t="s">
        <v>240</v>
      </c>
      <c r="DL1567" s="5" t="s">
        <v>240</v>
      </c>
      <c r="DP1567" s="5" t="s">
        <v>240</v>
      </c>
      <c r="DQ1567" s="5" t="s">
        <v>240</v>
      </c>
      <c r="DR1567" s="5" t="s">
        <v>240</v>
      </c>
      <c r="DS1567" s="5" t="s">
        <v>240</v>
      </c>
      <c r="DV1567" s="5" t="s">
        <v>813</v>
      </c>
      <c r="DW1567" s="5" t="s">
        <v>3267</v>
      </c>
      <c r="HO1567" s="5" t="s">
        <v>312</v>
      </c>
    </row>
    <row r="1568" spans="1:223" x14ac:dyDescent="0.4">
      <c r="A1568" s="5">
        <v>3243</v>
      </c>
      <c r="B1568" s="5">
        <v>1</v>
      </c>
      <c r="C1568" s="5">
        <v>1</v>
      </c>
      <c r="D1568" s="5" t="s">
        <v>297</v>
      </c>
      <c r="E1568" s="5" t="s">
        <v>245</v>
      </c>
      <c r="F1568" s="5" t="s">
        <v>254</v>
      </c>
      <c r="G1568" s="5" t="s">
        <v>240</v>
      </c>
      <c r="H1568" s="6" t="s">
        <v>4606</v>
      </c>
      <c r="I1568" s="5" t="s">
        <v>295</v>
      </c>
      <c r="J1568" s="8">
        <f>995</f>
        <v>995</v>
      </c>
      <c r="K1568" s="5" t="s">
        <v>308</v>
      </c>
      <c r="L1568" s="7">
        <f>1</f>
        <v>1</v>
      </c>
      <c r="M1568" s="7">
        <f>1</f>
        <v>1</v>
      </c>
      <c r="N1568" s="5" t="s">
        <v>242</v>
      </c>
      <c r="O1568" s="5">
        <v>1</v>
      </c>
      <c r="P1568" s="5" t="s">
        <v>294</v>
      </c>
      <c r="Q1568" s="5" t="s">
        <v>266</v>
      </c>
      <c r="R1568" s="5" t="s">
        <v>240</v>
      </c>
      <c r="S1568" s="5" t="s">
        <v>240</v>
      </c>
      <c r="T1568" s="5" t="s">
        <v>296</v>
      </c>
      <c r="U1568" s="5" t="s">
        <v>244</v>
      </c>
      <c r="V1568" s="5" t="s">
        <v>240</v>
      </c>
      <c r="Y1568" s="5" t="s">
        <v>240</v>
      </c>
      <c r="Z1568" s="6" t="s">
        <v>298</v>
      </c>
      <c r="AB1568" s="6" t="s">
        <v>240</v>
      </c>
      <c r="AE1568" s="6" t="s">
        <v>299</v>
      </c>
      <c r="AF1568" s="5" t="s">
        <v>248</v>
      </c>
      <c r="AG1568" s="5" t="s">
        <v>249</v>
      </c>
      <c r="AW1568" s="5" t="s">
        <v>251</v>
      </c>
      <c r="AX1568" s="5" t="s">
        <v>240</v>
      </c>
      <c r="AY1568" s="5" t="s">
        <v>253</v>
      </c>
      <c r="AZ1568" s="5" t="s">
        <v>240</v>
      </c>
      <c r="BA1568" s="5" t="s">
        <v>255</v>
      </c>
      <c r="BB1568" s="5" t="s">
        <v>240</v>
      </c>
      <c r="BD1568" s="5" t="s">
        <v>240</v>
      </c>
      <c r="BF1568" s="5" t="s">
        <v>301</v>
      </c>
      <c r="BG1568" s="6" t="s">
        <v>299</v>
      </c>
      <c r="BH1568" s="5" t="s">
        <v>302</v>
      </c>
      <c r="BI1568" s="5" t="s">
        <v>303</v>
      </c>
      <c r="BJ1568" s="5" t="s">
        <v>240</v>
      </c>
      <c r="BK1568" s="8">
        <f>0</f>
        <v>0</v>
      </c>
      <c r="BL1568" s="7">
        <f>0</f>
        <v>0</v>
      </c>
      <c r="BM1568" s="5" t="s">
        <v>258</v>
      </c>
      <c r="BN1568" s="5" t="s">
        <v>259</v>
      </c>
      <c r="CB1568" s="5" t="s">
        <v>240</v>
      </c>
      <c r="CC1568" s="5" t="s">
        <v>240</v>
      </c>
      <c r="CG1568" s="5" t="s">
        <v>304</v>
      </c>
      <c r="CH1568" s="5" t="s">
        <v>305</v>
      </c>
      <c r="CI1568" s="5" t="s">
        <v>240</v>
      </c>
      <c r="CL1568" s="6" t="s">
        <v>261</v>
      </c>
      <c r="CM1568" s="5" t="s">
        <v>240</v>
      </c>
      <c r="CN1568" s="5" t="s">
        <v>263</v>
      </c>
      <c r="CO1568" s="5" t="s">
        <v>240</v>
      </c>
      <c r="CP1568" s="5" t="s">
        <v>240</v>
      </c>
      <c r="CQ1568" s="5">
        <v>0</v>
      </c>
      <c r="CR1568" s="5" t="s">
        <v>306</v>
      </c>
      <c r="CS1568" s="5" t="s">
        <v>307</v>
      </c>
      <c r="CT1568" s="5" t="s">
        <v>307</v>
      </c>
      <c r="CU1568" s="5" t="s">
        <v>260</v>
      </c>
      <c r="CX1568" s="7">
        <f>1</f>
        <v>1</v>
      </c>
      <c r="CY1568" s="7">
        <f>0</f>
        <v>0</v>
      </c>
      <c r="DA1568" s="7">
        <f>0</f>
        <v>0</v>
      </c>
      <c r="DC1568" s="5" t="s">
        <v>812</v>
      </c>
      <c r="DD1568" s="5" t="s">
        <v>240</v>
      </c>
      <c r="DF1568" s="5" t="s">
        <v>812</v>
      </c>
      <c r="DG1568" s="7">
        <f>1687</f>
        <v>1687</v>
      </c>
      <c r="DI1568" s="5" t="s">
        <v>240</v>
      </c>
      <c r="DJ1568" s="5" t="s">
        <v>240</v>
      </c>
      <c r="DK1568" s="5" t="s">
        <v>240</v>
      </c>
      <c r="DL1568" s="5" t="s">
        <v>240</v>
      </c>
      <c r="DP1568" s="5" t="s">
        <v>240</v>
      </c>
      <c r="DQ1568" s="5" t="s">
        <v>240</v>
      </c>
      <c r="DR1568" s="5" t="s">
        <v>240</v>
      </c>
      <c r="DS1568" s="5" t="s">
        <v>240</v>
      </c>
      <c r="DV1568" s="5" t="s">
        <v>813</v>
      </c>
      <c r="DW1568" s="5" t="s">
        <v>3269</v>
      </c>
      <c r="HO1568" s="5" t="s">
        <v>312</v>
      </c>
    </row>
    <row r="1569" spans="1:240" x14ac:dyDescent="0.4">
      <c r="A1569" s="5">
        <v>3244</v>
      </c>
      <c r="B1569" s="5">
        <v>1</v>
      </c>
      <c r="C1569" s="5">
        <v>1</v>
      </c>
      <c r="D1569" s="5" t="s">
        <v>297</v>
      </c>
      <c r="E1569" s="5" t="s">
        <v>245</v>
      </c>
      <c r="F1569" s="5" t="s">
        <v>254</v>
      </c>
      <c r="G1569" s="5" t="s">
        <v>240</v>
      </c>
      <c r="H1569" s="6" t="s">
        <v>4605</v>
      </c>
      <c r="I1569" s="5" t="s">
        <v>295</v>
      </c>
      <c r="J1569" s="8">
        <f>1610</f>
        <v>1610</v>
      </c>
      <c r="K1569" s="5" t="s">
        <v>308</v>
      </c>
      <c r="L1569" s="7">
        <f>1</f>
        <v>1</v>
      </c>
      <c r="M1569" s="7">
        <f>1</f>
        <v>1</v>
      </c>
      <c r="N1569" s="5" t="s">
        <v>242</v>
      </c>
      <c r="O1569" s="5">
        <v>1</v>
      </c>
      <c r="P1569" s="5" t="s">
        <v>294</v>
      </c>
      <c r="Q1569" s="5" t="s">
        <v>266</v>
      </c>
      <c r="R1569" s="5" t="s">
        <v>240</v>
      </c>
      <c r="S1569" s="5" t="s">
        <v>240</v>
      </c>
      <c r="T1569" s="5" t="s">
        <v>296</v>
      </c>
      <c r="U1569" s="5" t="s">
        <v>244</v>
      </c>
      <c r="V1569" s="5" t="s">
        <v>240</v>
      </c>
      <c r="Y1569" s="5" t="s">
        <v>240</v>
      </c>
      <c r="Z1569" s="6" t="s">
        <v>298</v>
      </c>
      <c r="AB1569" s="6" t="s">
        <v>240</v>
      </c>
      <c r="AE1569" s="6" t="s">
        <v>299</v>
      </c>
      <c r="AF1569" s="5" t="s">
        <v>248</v>
      </c>
      <c r="AG1569" s="5" t="s">
        <v>249</v>
      </c>
      <c r="AW1569" s="5" t="s">
        <v>251</v>
      </c>
      <c r="AX1569" s="5" t="s">
        <v>240</v>
      </c>
      <c r="AY1569" s="5" t="s">
        <v>253</v>
      </c>
      <c r="AZ1569" s="5" t="s">
        <v>240</v>
      </c>
      <c r="BA1569" s="5" t="s">
        <v>255</v>
      </c>
      <c r="BB1569" s="5" t="s">
        <v>240</v>
      </c>
      <c r="BD1569" s="5" t="s">
        <v>240</v>
      </c>
      <c r="BF1569" s="5" t="s">
        <v>301</v>
      </c>
      <c r="BG1569" s="6" t="s">
        <v>299</v>
      </c>
      <c r="BH1569" s="5" t="s">
        <v>302</v>
      </c>
      <c r="BI1569" s="5" t="s">
        <v>303</v>
      </c>
      <c r="BJ1569" s="5" t="s">
        <v>240</v>
      </c>
      <c r="BK1569" s="8">
        <f>0</f>
        <v>0</v>
      </c>
      <c r="BL1569" s="7">
        <f>0</f>
        <v>0</v>
      </c>
      <c r="BM1569" s="5" t="s">
        <v>258</v>
      </c>
      <c r="BN1569" s="5" t="s">
        <v>259</v>
      </c>
      <c r="CB1569" s="5" t="s">
        <v>240</v>
      </c>
      <c r="CC1569" s="5" t="s">
        <v>240</v>
      </c>
      <c r="CG1569" s="5" t="s">
        <v>304</v>
      </c>
      <c r="CH1569" s="5" t="s">
        <v>305</v>
      </c>
      <c r="CI1569" s="5" t="s">
        <v>240</v>
      </c>
      <c r="CL1569" s="6" t="s">
        <v>261</v>
      </c>
      <c r="CM1569" s="5" t="s">
        <v>240</v>
      </c>
      <c r="CN1569" s="5" t="s">
        <v>263</v>
      </c>
      <c r="CO1569" s="5" t="s">
        <v>240</v>
      </c>
      <c r="CP1569" s="5" t="s">
        <v>240</v>
      </c>
      <c r="CQ1569" s="5">
        <v>0</v>
      </c>
      <c r="CR1569" s="5" t="s">
        <v>306</v>
      </c>
      <c r="CS1569" s="5" t="s">
        <v>307</v>
      </c>
      <c r="CT1569" s="5" t="s">
        <v>307</v>
      </c>
      <c r="CU1569" s="5" t="s">
        <v>260</v>
      </c>
      <c r="CX1569" s="7">
        <f>1</f>
        <v>1</v>
      </c>
      <c r="CY1569" s="7">
        <f>0</f>
        <v>0</v>
      </c>
      <c r="DA1569" s="7">
        <f>0</f>
        <v>0</v>
      </c>
      <c r="DC1569" s="5" t="s">
        <v>812</v>
      </c>
      <c r="DD1569" s="5" t="s">
        <v>240</v>
      </c>
      <c r="DF1569" s="5" t="s">
        <v>812</v>
      </c>
      <c r="DG1569" s="7">
        <f>247</f>
        <v>247</v>
      </c>
      <c r="DI1569" s="5" t="s">
        <v>240</v>
      </c>
      <c r="DJ1569" s="5" t="s">
        <v>240</v>
      </c>
      <c r="DK1569" s="5" t="s">
        <v>240</v>
      </c>
      <c r="DL1569" s="5" t="s">
        <v>240</v>
      </c>
      <c r="DP1569" s="5" t="s">
        <v>240</v>
      </c>
      <c r="DQ1569" s="5" t="s">
        <v>240</v>
      </c>
      <c r="DR1569" s="5" t="s">
        <v>240</v>
      </c>
      <c r="DS1569" s="5" t="s">
        <v>240</v>
      </c>
      <c r="DV1569" s="5" t="s">
        <v>813</v>
      </c>
      <c r="DW1569" s="5" t="s">
        <v>3271</v>
      </c>
      <c r="HO1569" s="5" t="s">
        <v>312</v>
      </c>
    </row>
    <row r="1570" spans="1:240" x14ac:dyDescent="0.4">
      <c r="A1570" s="5">
        <v>3245</v>
      </c>
      <c r="B1570" s="5">
        <v>1</v>
      </c>
      <c r="C1570" s="5">
        <v>1</v>
      </c>
      <c r="D1570" s="5" t="s">
        <v>297</v>
      </c>
      <c r="E1570" s="5" t="s">
        <v>245</v>
      </c>
      <c r="F1570" s="5" t="s">
        <v>254</v>
      </c>
      <c r="G1570" s="5" t="s">
        <v>240</v>
      </c>
      <c r="H1570" s="6" t="s">
        <v>5721</v>
      </c>
      <c r="I1570" s="5" t="s">
        <v>295</v>
      </c>
      <c r="J1570" s="8">
        <f>472</f>
        <v>472</v>
      </c>
      <c r="K1570" s="5" t="s">
        <v>308</v>
      </c>
      <c r="L1570" s="7">
        <f>1</f>
        <v>1</v>
      </c>
      <c r="M1570" s="7">
        <f>1</f>
        <v>1</v>
      </c>
      <c r="N1570" s="5" t="s">
        <v>242</v>
      </c>
      <c r="O1570" s="5">
        <v>1</v>
      </c>
      <c r="P1570" s="5" t="s">
        <v>294</v>
      </c>
      <c r="Q1570" s="5" t="s">
        <v>266</v>
      </c>
      <c r="R1570" s="5" t="s">
        <v>240</v>
      </c>
      <c r="S1570" s="5" t="s">
        <v>240</v>
      </c>
      <c r="T1570" s="5" t="s">
        <v>296</v>
      </c>
      <c r="U1570" s="5" t="s">
        <v>244</v>
      </c>
      <c r="V1570" s="5" t="s">
        <v>240</v>
      </c>
      <c r="Y1570" s="5" t="s">
        <v>240</v>
      </c>
      <c r="Z1570" s="6" t="s">
        <v>298</v>
      </c>
      <c r="AB1570" s="6" t="s">
        <v>240</v>
      </c>
      <c r="AE1570" s="6" t="s">
        <v>299</v>
      </c>
      <c r="AF1570" s="5" t="s">
        <v>248</v>
      </c>
      <c r="AG1570" s="5" t="s">
        <v>249</v>
      </c>
      <c r="AW1570" s="5" t="s">
        <v>251</v>
      </c>
      <c r="AX1570" s="5" t="s">
        <v>240</v>
      </c>
      <c r="AY1570" s="5" t="s">
        <v>253</v>
      </c>
      <c r="AZ1570" s="5" t="s">
        <v>240</v>
      </c>
      <c r="BA1570" s="5" t="s">
        <v>255</v>
      </c>
      <c r="BB1570" s="5" t="s">
        <v>240</v>
      </c>
      <c r="BD1570" s="5" t="s">
        <v>240</v>
      </c>
      <c r="BF1570" s="5" t="s">
        <v>301</v>
      </c>
      <c r="BG1570" s="6" t="s">
        <v>299</v>
      </c>
      <c r="BH1570" s="5" t="s">
        <v>302</v>
      </c>
      <c r="BI1570" s="5" t="s">
        <v>303</v>
      </c>
      <c r="BJ1570" s="5" t="s">
        <v>240</v>
      </c>
      <c r="BK1570" s="8">
        <f>0</f>
        <v>0</v>
      </c>
      <c r="BL1570" s="7">
        <f>0</f>
        <v>0</v>
      </c>
      <c r="BM1570" s="5" t="s">
        <v>258</v>
      </c>
      <c r="BN1570" s="5" t="s">
        <v>259</v>
      </c>
      <c r="CB1570" s="5" t="s">
        <v>240</v>
      </c>
      <c r="CC1570" s="5" t="s">
        <v>240</v>
      </c>
      <c r="CG1570" s="5" t="s">
        <v>304</v>
      </c>
      <c r="CH1570" s="5" t="s">
        <v>305</v>
      </c>
      <c r="CI1570" s="5" t="s">
        <v>240</v>
      </c>
      <c r="CL1570" s="6" t="s">
        <v>261</v>
      </c>
      <c r="CM1570" s="5" t="s">
        <v>240</v>
      </c>
      <c r="CN1570" s="5" t="s">
        <v>263</v>
      </c>
      <c r="CO1570" s="5" t="s">
        <v>240</v>
      </c>
      <c r="CP1570" s="5" t="s">
        <v>240</v>
      </c>
      <c r="CQ1570" s="5">
        <v>0</v>
      </c>
      <c r="CR1570" s="5" t="s">
        <v>306</v>
      </c>
      <c r="CS1570" s="5" t="s">
        <v>307</v>
      </c>
      <c r="CT1570" s="5" t="s">
        <v>307</v>
      </c>
      <c r="CU1570" s="5" t="s">
        <v>260</v>
      </c>
      <c r="CX1570" s="7">
        <f>1</f>
        <v>1</v>
      </c>
      <c r="CY1570" s="7">
        <f>0</f>
        <v>0</v>
      </c>
      <c r="DA1570" s="7">
        <f>0</f>
        <v>0</v>
      </c>
      <c r="DC1570" s="5" t="s">
        <v>309</v>
      </c>
      <c r="DD1570" s="5" t="s">
        <v>240</v>
      </c>
      <c r="DF1570" s="5" t="s">
        <v>309</v>
      </c>
      <c r="DG1570" s="7">
        <f>1656</f>
        <v>1656</v>
      </c>
      <c r="DI1570" s="5" t="s">
        <v>240</v>
      </c>
      <c r="DJ1570" s="5" t="s">
        <v>240</v>
      </c>
      <c r="DK1570" s="5" t="s">
        <v>240</v>
      </c>
      <c r="DL1570" s="5" t="s">
        <v>240</v>
      </c>
      <c r="DP1570" s="5" t="s">
        <v>240</v>
      </c>
      <c r="DQ1570" s="5" t="s">
        <v>240</v>
      </c>
      <c r="DR1570" s="5" t="s">
        <v>240</v>
      </c>
      <c r="DS1570" s="5" t="s">
        <v>240</v>
      </c>
      <c r="DV1570" s="5" t="s">
        <v>310</v>
      </c>
      <c r="DW1570" s="5" t="s">
        <v>2226</v>
      </c>
      <c r="HO1570" s="5" t="s">
        <v>312</v>
      </c>
    </row>
    <row r="1571" spans="1:240" x14ac:dyDescent="0.4">
      <c r="A1571" s="5">
        <v>3246</v>
      </c>
      <c r="B1571" s="5">
        <v>1</v>
      </c>
      <c r="C1571" s="5">
        <v>1</v>
      </c>
      <c r="D1571" s="5" t="s">
        <v>297</v>
      </c>
      <c r="E1571" s="5" t="s">
        <v>245</v>
      </c>
      <c r="F1571" s="5" t="s">
        <v>254</v>
      </c>
      <c r="G1571" s="5" t="s">
        <v>240</v>
      </c>
      <c r="H1571" s="6" t="s">
        <v>4602</v>
      </c>
      <c r="I1571" s="5" t="s">
        <v>295</v>
      </c>
      <c r="J1571" s="8">
        <f>52</f>
        <v>52</v>
      </c>
      <c r="K1571" s="5" t="s">
        <v>308</v>
      </c>
      <c r="L1571" s="7">
        <f>1</f>
        <v>1</v>
      </c>
      <c r="M1571" s="7">
        <f>1</f>
        <v>1</v>
      </c>
      <c r="N1571" s="5" t="s">
        <v>242</v>
      </c>
      <c r="O1571" s="5">
        <v>1</v>
      </c>
      <c r="P1571" s="5" t="s">
        <v>294</v>
      </c>
      <c r="Q1571" s="5" t="s">
        <v>266</v>
      </c>
      <c r="R1571" s="5" t="s">
        <v>240</v>
      </c>
      <c r="S1571" s="5" t="s">
        <v>240</v>
      </c>
      <c r="T1571" s="5" t="s">
        <v>296</v>
      </c>
      <c r="U1571" s="5" t="s">
        <v>244</v>
      </c>
      <c r="V1571" s="5" t="s">
        <v>240</v>
      </c>
      <c r="Y1571" s="5" t="s">
        <v>240</v>
      </c>
      <c r="Z1571" s="6" t="s">
        <v>298</v>
      </c>
      <c r="AB1571" s="6" t="s">
        <v>240</v>
      </c>
      <c r="AE1571" s="6" t="s">
        <v>299</v>
      </c>
      <c r="AF1571" s="5" t="s">
        <v>248</v>
      </c>
      <c r="AG1571" s="5" t="s">
        <v>249</v>
      </c>
      <c r="AW1571" s="5" t="s">
        <v>251</v>
      </c>
      <c r="AX1571" s="5" t="s">
        <v>240</v>
      </c>
      <c r="AY1571" s="5" t="s">
        <v>253</v>
      </c>
      <c r="AZ1571" s="5" t="s">
        <v>240</v>
      </c>
      <c r="BA1571" s="5" t="s">
        <v>255</v>
      </c>
      <c r="BB1571" s="5" t="s">
        <v>240</v>
      </c>
      <c r="BD1571" s="5" t="s">
        <v>240</v>
      </c>
      <c r="BF1571" s="5" t="s">
        <v>301</v>
      </c>
      <c r="BG1571" s="6" t="s">
        <v>299</v>
      </c>
      <c r="BH1571" s="5" t="s">
        <v>302</v>
      </c>
      <c r="BI1571" s="5" t="s">
        <v>303</v>
      </c>
      <c r="BJ1571" s="5" t="s">
        <v>240</v>
      </c>
      <c r="BK1571" s="8">
        <f>0</f>
        <v>0</v>
      </c>
      <c r="BL1571" s="7">
        <f>0</f>
        <v>0</v>
      </c>
      <c r="BM1571" s="5" t="s">
        <v>258</v>
      </c>
      <c r="BN1571" s="5" t="s">
        <v>259</v>
      </c>
      <c r="CB1571" s="5" t="s">
        <v>240</v>
      </c>
      <c r="CC1571" s="5" t="s">
        <v>240</v>
      </c>
      <c r="CG1571" s="5" t="s">
        <v>304</v>
      </c>
      <c r="CH1571" s="5" t="s">
        <v>305</v>
      </c>
      <c r="CI1571" s="5" t="s">
        <v>240</v>
      </c>
      <c r="CL1571" s="6" t="s">
        <v>261</v>
      </c>
      <c r="CM1571" s="5" t="s">
        <v>240</v>
      </c>
      <c r="CN1571" s="5" t="s">
        <v>263</v>
      </c>
      <c r="CO1571" s="5" t="s">
        <v>240</v>
      </c>
      <c r="CP1571" s="5" t="s">
        <v>240</v>
      </c>
      <c r="CQ1571" s="5">
        <v>0</v>
      </c>
      <c r="CR1571" s="5" t="s">
        <v>306</v>
      </c>
      <c r="CS1571" s="5" t="s">
        <v>307</v>
      </c>
      <c r="CT1571" s="5" t="s">
        <v>307</v>
      </c>
      <c r="CU1571" s="5" t="s">
        <v>260</v>
      </c>
      <c r="CX1571" s="7">
        <f>1</f>
        <v>1</v>
      </c>
      <c r="CY1571" s="7">
        <f>0</f>
        <v>0</v>
      </c>
      <c r="DA1571" s="7">
        <f>0</f>
        <v>0</v>
      </c>
      <c r="DC1571" s="5" t="s">
        <v>812</v>
      </c>
      <c r="DD1571" s="5" t="s">
        <v>240</v>
      </c>
      <c r="DF1571" s="5" t="s">
        <v>812</v>
      </c>
      <c r="DG1571" s="7">
        <f>2440</f>
        <v>2440</v>
      </c>
      <c r="DI1571" s="5" t="s">
        <v>240</v>
      </c>
      <c r="DJ1571" s="5" t="s">
        <v>240</v>
      </c>
      <c r="DK1571" s="5" t="s">
        <v>240</v>
      </c>
      <c r="DL1571" s="5" t="s">
        <v>240</v>
      </c>
      <c r="DP1571" s="5" t="s">
        <v>240</v>
      </c>
      <c r="DQ1571" s="5" t="s">
        <v>240</v>
      </c>
      <c r="DR1571" s="5" t="s">
        <v>240</v>
      </c>
      <c r="DS1571" s="5" t="s">
        <v>240</v>
      </c>
      <c r="DV1571" s="5" t="s">
        <v>813</v>
      </c>
      <c r="DW1571" s="5" t="s">
        <v>3274</v>
      </c>
      <c r="HO1571" s="5" t="s">
        <v>312</v>
      </c>
    </row>
    <row r="1572" spans="1:240" x14ac:dyDescent="0.4">
      <c r="A1572" s="5">
        <v>3247</v>
      </c>
      <c r="B1572" s="5">
        <v>1</v>
      </c>
      <c r="C1572" s="5">
        <v>1</v>
      </c>
      <c r="D1572" s="5" t="s">
        <v>297</v>
      </c>
      <c r="E1572" s="5" t="s">
        <v>245</v>
      </c>
      <c r="F1572" s="5" t="s">
        <v>254</v>
      </c>
      <c r="G1572" s="5" t="s">
        <v>240</v>
      </c>
      <c r="H1572" s="6" t="s">
        <v>4601</v>
      </c>
      <c r="I1572" s="5" t="s">
        <v>295</v>
      </c>
      <c r="J1572" s="8">
        <f>450</f>
        <v>450</v>
      </c>
      <c r="K1572" s="5" t="s">
        <v>308</v>
      </c>
      <c r="L1572" s="7">
        <f>1</f>
        <v>1</v>
      </c>
      <c r="M1572" s="7">
        <f>1</f>
        <v>1</v>
      </c>
      <c r="N1572" s="5" t="s">
        <v>242</v>
      </c>
      <c r="O1572" s="5">
        <v>1</v>
      </c>
      <c r="P1572" s="5" t="s">
        <v>294</v>
      </c>
      <c r="Q1572" s="5" t="s">
        <v>266</v>
      </c>
      <c r="R1572" s="5" t="s">
        <v>240</v>
      </c>
      <c r="S1572" s="5" t="s">
        <v>240</v>
      </c>
      <c r="T1572" s="5" t="s">
        <v>296</v>
      </c>
      <c r="U1572" s="5" t="s">
        <v>244</v>
      </c>
      <c r="V1572" s="5" t="s">
        <v>240</v>
      </c>
      <c r="Y1572" s="5" t="s">
        <v>240</v>
      </c>
      <c r="Z1572" s="6" t="s">
        <v>298</v>
      </c>
      <c r="AB1572" s="6" t="s">
        <v>240</v>
      </c>
      <c r="AE1572" s="6" t="s">
        <v>299</v>
      </c>
      <c r="AF1572" s="5" t="s">
        <v>248</v>
      </c>
      <c r="AG1572" s="5" t="s">
        <v>249</v>
      </c>
      <c r="AW1572" s="5" t="s">
        <v>251</v>
      </c>
      <c r="AX1572" s="5" t="s">
        <v>240</v>
      </c>
      <c r="AY1572" s="5" t="s">
        <v>253</v>
      </c>
      <c r="AZ1572" s="5" t="s">
        <v>240</v>
      </c>
      <c r="BA1572" s="5" t="s">
        <v>255</v>
      </c>
      <c r="BB1572" s="5" t="s">
        <v>240</v>
      </c>
      <c r="BD1572" s="5" t="s">
        <v>240</v>
      </c>
      <c r="BF1572" s="5" t="s">
        <v>301</v>
      </c>
      <c r="BG1572" s="6" t="s">
        <v>299</v>
      </c>
      <c r="BH1572" s="5" t="s">
        <v>302</v>
      </c>
      <c r="BI1572" s="5" t="s">
        <v>303</v>
      </c>
      <c r="BJ1572" s="5" t="s">
        <v>240</v>
      </c>
      <c r="BK1572" s="8">
        <f>0</f>
        <v>0</v>
      </c>
      <c r="BL1572" s="7">
        <f>0</f>
        <v>0</v>
      </c>
      <c r="BM1572" s="5" t="s">
        <v>258</v>
      </c>
      <c r="BN1572" s="5" t="s">
        <v>259</v>
      </c>
      <c r="CB1572" s="5" t="s">
        <v>240</v>
      </c>
      <c r="CC1572" s="5" t="s">
        <v>240</v>
      </c>
      <c r="CG1572" s="5" t="s">
        <v>304</v>
      </c>
      <c r="CH1572" s="5" t="s">
        <v>305</v>
      </c>
      <c r="CI1572" s="5" t="s">
        <v>240</v>
      </c>
      <c r="CL1572" s="6" t="s">
        <v>261</v>
      </c>
      <c r="CM1572" s="5" t="s">
        <v>240</v>
      </c>
      <c r="CN1572" s="5" t="s">
        <v>263</v>
      </c>
      <c r="CO1572" s="5" t="s">
        <v>240</v>
      </c>
      <c r="CP1572" s="5" t="s">
        <v>240</v>
      </c>
      <c r="CQ1572" s="5">
        <v>0</v>
      </c>
      <c r="CR1572" s="5" t="s">
        <v>306</v>
      </c>
      <c r="CS1572" s="5" t="s">
        <v>307</v>
      </c>
      <c r="CT1572" s="5" t="s">
        <v>307</v>
      </c>
      <c r="CU1572" s="5" t="s">
        <v>260</v>
      </c>
      <c r="CX1572" s="7">
        <f>1</f>
        <v>1</v>
      </c>
      <c r="CY1572" s="7">
        <f>0</f>
        <v>0</v>
      </c>
      <c r="DA1572" s="7">
        <f>0</f>
        <v>0</v>
      </c>
      <c r="DC1572" s="5" t="s">
        <v>812</v>
      </c>
      <c r="DD1572" s="5" t="s">
        <v>240</v>
      </c>
      <c r="DF1572" s="5" t="s">
        <v>812</v>
      </c>
      <c r="DG1572" s="7">
        <f>86</f>
        <v>86</v>
      </c>
      <c r="DI1572" s="5" t="s">
        <v>240</v>
      </c>
      <c r="DJ1572" s="5" t="s">
        <v>240</v>
      </c>
      <c r="DK1572" s="5" t="s">
        <v>240</v>
      </c>
      <c r="DL1572" s="5" t="s">
        <v>240</v>
      </c>
      <c r="DP1572" s="5" t="s">
        <v>240</v>
      </c>
      <c r="DQ1572" s="5" t="s">
        <v>240</v>
      </c>
      <c r="DR1572" s="5" t="s">
        <v>240</v>
      </c>
      <c r="DS1572" s="5" t="s">
        <v>240</v>
      </c>
      <c r="DV1572" s="5" t="s">
        <v>813</v>
      </c>
      <c r="DW1572" s="5" t="s">
        <v>3276</v>
      </c>
      <c r="HO1572" s="5" t="s">
        <v>312</v>
      </c>
    </row>
    <row r="1573" spans="1:240" x14ac:dyDescent="0.4">
      <c r="A1573" s="5">
        <v>3248</v>
      </c>
      <c r="B1573" s="5">
        <v>1</v>
      </c>
      <c r="C1573" s="5">
        <v>1</v>
      </c>
      <c r="D1573" s="5" t="s">
        <v>297</v>
      </c>
      <c r="E1573" s="5" t="s">
        <v>245</v>
      </c>
      <c r="F1573" s="5" t="s">
        <v>254</v>
      </c>
      <c r="G1573" s="5" t="s">
        <v>240</v>
      </c>
      <c r="H1573" s="6" t="s">
        <v>4600</v>
      </c>
      <c r="I1573" s="5" t="s">
        <v>295</v>
      </c>
      <c r="J1573" s="8">
        <f>2056</f>
        <v>2056</v>
      </c>
      <c r="K1573" s="5" t="s">
        <v>308</v>
      </c>
      <c r="L1573" s="7">
        <f>1</f>
        <v>1</v>
      </c>
      <c r="M1573" s="7">
        <f>1</f>
        <v>1</v>
      </c>
      <c r="N1573" s="5" t="s">
        <v>242</v>
      </c>
      <c r="O1573" s="5">
        <v>1</v>
      </c>
      <c r="P1573" s="5" t="s">
        <v>294</v>
      </c>
      <c r="Q1573" s="5" t="s">
        <v>266</v>
      </c>
      <c r="R1573" s="5" t="s">
        <v>240</v>
      </c>
      <c r="S1573" s="5" t="s">
        <v>240</v>
      </c>
      <c r="T1573" s="5" t="s">
        <v>296</v>
      </c>
      <c r="U1573" s="5" t="s">
        <v>244</v>
      </c>
      <c r="V1573" s="5" t="s">
        <v>240</v>
      </c>
      <c r="Y1573" s="5" t="s">
        <v>240</v>
      </c>
      <c r="Z1573" s="6" t="s">
        <v>298</v>
      </c>
      <c r="AB1573" s="6" t="s">
        <v>240</v>
      </c>
      <c r="AE1573" s="6" t="s">
        <v>299</v>
      </c>
      <c r="AF1573" s="5" t="s">
        <v>248</v>
      </c>
      <c r="AG1573" s="5" t="s">
        <v>249</v>
      </c>
      <c r="AW1573" s="5" t="s">
        <v>251</v>
      </c>
      <c r="AX1573" s="5" t="s">
        <v>240</v>
      </c>
      <c r="AY1573" s="5" t="s">
        <v>253</v>
      </c>
      <c r="AZ1573" s="5" t="s">
        <v>240</v>
      </c>
      <c r="BA1573" s="5" t="s">
        <v>255</v>
      </c>
      <c r="BB1573" s="5" t="s">
        <v>240</v>
      </c>
      <c r="BD1573" s="5" t="s">
        <v>240</v>
      </c>
      <c r="BF1573" s="5" t="s">
        <v>301</v>
      </c>
      <c r="BG1573" s="6" t="s">
        <v>299</v>
      </c>
      <c r="BH1573" s="5" t="s">
        <v>302</v>
      </c>
      <c r="BI1573" s="5" t="s">
        <v>303</v>
      </c>
      <c r="BJ1573" s="5" t="s">
        <v>240</v>
      </c>
      <c r="BK1573" s="8">
        <f>0</f>
        <v>0</v>
      </c>
      <c r="BL1573" s="7">
        <f>0</f>
        <v>0</v>
      </c>
      <c r="BM1573" s="5" t="s">
        <v>258</v>
      </c>
      <c r="BN1573" s="5" t="s">
        <v>259</v>
      </c>
      <c r="CB1573" s="5" t="s">
        <v>240</v>
      </c>
      <c r="CC1573" s="5" t="s">
        <v>240</v>
      </c>
      <c r="CG1573" s="5" t="s">
        <v>304</v>
      </c>
      <c r="CH1573" s="5" t="s">
        <v>305</v>
      </c>
      <c r="CI1573" s="5" t="s">
        <v>240</v>
      </c>
      <c r="CL1573" s="6" t="s">
        <v>261</v>
      </c>
      <c r="CM1573" s="5" t="s">
        <v>240</v>
      </c>
      <c r="CN1573" s="5" t="s">
        <v>263</v>
      </c>
      <c r="CO1573" s="5" t="s">
        <v>240</v>
      </c>
      <c r="CP1573" s="5" t="s">
        <v>240</v>
      </c>
      <c r="CQ1573" s="5">
        <v>0</v>
      </c>
      <c r="CR1573" s="5" t="s">
        <v>306</v>
      </c>
      <c r="CS1573" s="5" t="s">
        <v>307</v>
      </c>
      <c r="CT1573" s="5" t="s">
        <v>307</v>
      </c>
      <c r="CU1573" s="5" t="s">
        <v>260</v>
      </c>
      <c r="CX1573" s="7">
        <f>1</f>
        <v>1</v>
      </c>
      <c r="CY1573" s="7">
        <f>0</f>
        <v>0</v>
      </c>
      <c r="DA1573" s="7">
        <f>0</f>
        <v>0</v>
      </c>
      <c r="DC1573" s="5" t="s">
        <v>812</v>
      </c>
      <c r="DD1573" s="5" t="s">
        <v>240</v>
      </c>
      <c r="DF1573" s="5" t="s">
        <v>812</v>
      </c>
      <c r="DG1573" s="7">
        <f>3013</f>
        <v>3013</v>
      </c>
      <c r="DI1573" s="5" t="s">
        <v>240</v>
      </c>
      <c r="DJ1573" s="5" t="s">
        <v>240</v>
      </c>
      <c r="DK1573" s="5" t="s">
        <v>240</v>
      </c>
      <c r="DL1573" s="5" t="s">
        <v>240</v>
      </c>
      <c r="DP1573" s="5" t="s">
        <v>240</v>
      </c>
      <c r="DQ1573" s="5" t="s">
        <v>240</v>
      </c>
      <c r="DR1573" s="5" t="s">
        <v>240</v>
      </c>
      <c r="DS1573" s="5" t="s">
        <v>240</v>
      </c>
      <c r="DV1573" s="5" t="s">
        <v>813</v>
      </c>
      <c r="DW1573" s="5" t="s">
        <v>3278</v>
      </c>
      <c r="HO1573" s="5" t="s">
        <v>312</v>
      </c>
    </row>
    <row r="1574" spans="1:240" x14ac:dyDescent="0.4">
      <c r="A1574" s="5">
        <v>3249</v>
      </c>
      <c r="B1574" s="5">
        <v>1</v>
      </c>
      <c r="C1574" s="5">
        <v>1</v>
      </c>
      <c r="D1574" s="5" t="s">
        <v>297</v>
      </c>
      <c r="E1574" s="5" t="s">
        <v>245</v>
      </c>
      <c r="F1574" s="5" t="s">
        <v>254</v>
      </c>
      <c r="G1574" s="5" t="s">
        <v>240</v>
      </c>
      <c r="H1574" s="6" t="s">
        <v>4599</v>
      </c>
      <c r="I1574" s="5" t="s">
        <v>295</v>
      </c>
      <c r="J1574" s="8">
        <f>1180</f>
        <v>1180</v>
      </c>
      <c r="K1574" s="5" t="s">
        <v>308</v>
      </c>
      <c r="L1574" s="7">
        <f>1</f>
        <v>1</v>
      </c>
      <c r="M1574" s="7">
        <f>1</f>
        <v>1</v>
      </c>
      <c r="N1574" s="5" t="s">
        <v>242</v>
      </c>
      <c r="O1574" s="5">
        <v>1</v>
      </c>
      <c r="P1574" s="5" t="s">
        <v>294</v>
      </c>
      <c r="Q1574" s="5" t="s">
        <v>266</v>
      </c>
      <c r="R1574" s="5" t="s">
        <v>240</v>
      </c>
      <c r="S1574" s="5" t="s">
        <v>240</v>
      </c>
      <c r="T1574" s="5" t="s">
        <v>296</v>
      </c>
      <c r="U1574" s="5" t="s">
        <v>244</v>
      </c>
      <c r="V1574" s="5" t="s">
        <v>240</v>
      </c>
      <c r="Y1574" s="5" t="s">
        <v>240</v>
      </c>
      <c r="Z1574" s="6" t="s">
        <v>298</v>
      </c>
      <c r="AB1574" s="6" t="s">
        <v>240</v>
      </c>
      <c r="AE1574" s="6" t="s">
        <v>299</v>
      </c>
      <c r="AF1574" s="5" t="s">
        <v>248</v>
      </c>
      <c r="AG1574" s="5" t="s">
        <v>249</v>
      </c>
      <c r="AW1574" s="5" t="s">
        <v>251</v>
      </c>
      <c r="AX1574" s="5" t="s">
        <v>240</v>
      </c>
      <c r="AY1574" s="5" t="s">
        <v>253</v>
      </c>
      <c r="AZ1574" s="5" t="s">
        <v>240</v>
      </c>
      <c r="BA1574" s="5" t="s">
        <v>255</v>
      </c>
      <c r="BB1574" s="5" t="s">
        <v>240</v>
      </c>
      <c r="BD1574" s="5" t="s">
        <v>240</v>
      </c>
      <c r="BF1574" s="5" t="s">
        <v>301</v>
      </c>
      <c r="BG1574" s="6" t="s">
        <v>299</v>
      </c>
      <c r="BH1574" s="5" t="s">
        <v>302</v>
      </c>
      <c r="BI1574" s="5" t="s">
        <v>303</v>
      </c>
      <c r="BJ1574" s="5" t="s">
        <v>240</v>
      </c>
      <c r="BK1574" s="8">
        <f>0</f>
        <v>0</v>
      </c>
      <c r="BL1574" s="7">
        <f>0</f>
        <v>0</v>
      </c>
      <c r="BM1574" s="5" t="s">
        <v>258</v>
      </c>
      <c r="BN1574" s="5" t="s">
        <v>259</v>
      </c>
      <c r="CB1574" s="5" t="s">
        <v>240</v>
      </c>
      <c r="CC1574" s="5" t="s">
        <v>240</v>
      </c>
      <c r="CG1574" s="5" t="s">
        <v>304</v>
      </c>
      <c r="CH1574" s="5" t="s">
        <v>305</v>
      </c>
      <c r="CI1574" s="5" t="s">
        <v>240</v>
      </c>
      <c r="CL1574" s="6" t="s">
        <v>261</v>
      </c>
      <c r="CM1574" s="5" t="s">
        <v>240</v>
      </c>
      <c r="CN1574" s="5" t="s">
        <v>263</v>
      </c>
      <c r="CO1574" s="5" t="s">
        <v>240</v>
      </c>
      <c r="CP1574" s="5" t="s">
        <v>240</v>
      </c>
      <c r="CQ1574" s="5">
        <v>0</v>
      </c>
      <c r="CR1574" s="5" t="s">
        <v>306</v>
      </c>
      <c r="CS1574" s="5" t="s">
        <v>307</v>
      </c>
      <c r="CT1574" s="5" t="s">
        <v>307</v>
      </c>
      <c r="CU1574" s="5" t="s">
        <v>260</v>
      </c>
      <c r="CX1574" s="7">
        <f>1</f>
        <v>1</v>
      </c>
      <c r="CY1574" s="7">
        <f>0</f>
        <v>0</v>
      </c>
      <c r="DA1574" s="7">
        <f>0</f>
        <v>0</v>
      </c>
      <c r="DC1574" s="5" t="s">
        <v>812</v>
      </c>
      <c r="DD1574" s="5" t="s">
        <v>240</v>
      </c>
      <c r="DF1574" s="5" t="s">
        <v>812</v>
      </c>
      <c r="DG1574" s="7">
        <f>1091</f>
        <v>1091</v>
      </c>
      <c r="DI1574" s="5" t="s">
        <v>240</v>
      </c>
      <c r="DJ1574" s="5" t="s">
        <v>240</v>
      </c>
      <c r="DK1574" s="5" t="s">
        <v>240</v>
      </c>
      <c r="DL1574" s="5" t="s">
        <v>240</v>
      </c>
      <c r="DP1574" s="5" t="s">
        <v>240</v>
      </c>
      <c r="DQ1574" s="5" t="s">
        <v>240</v>
      </c>
      <c r="DR1574" s="5" t="s">
        <v>240</v>
      </c>
      <c r="DS1574" s="5" t="s">
        <v>240</v>
      </c>
      <c r="DV1574" s="5" t="s">
        <v>813</v>
      </c>
      <c r="DW1574" s="5" t="s">
        <v>3280</v>
      </c>
      <c r="HO1574" s="5" t="s">
        <v>312</v>
      </c>
    </row>
    <row r="1575" spans="1:240" x14ac:dyDescent="0.4">
      <c r="A1575" s="5">
        <v>3250</v>
      </c>
      <c r="B1575" s="5">
        <v>1</v>
      </c>
      <c r="C1575" s="5">
        <v>1</v>
      </c>
      <c r="D1575" s="5" t="s">
        <v>297</v>
      </c>
      <c r="E1575" s="5" t="s">
        <v>245</v>
      </c>
      <c r="F1575" s="5" t="s">
        <v>254</v>
      </c>
      <c r="G1575" s="5" t="s">
        <v>240</v>
      </c>
      <c r="H1575" s="6" t="s">
        <v>4598</v>
      </c>
      <c r="I1575" s="5" t="s">
        <v>295</v>
      </c>
      <c r="J1575" s="8">
        <f>138</f>
        <v>138</v>
      </c>
      <c r="K1575" s="5" t="s">
        <v>308</v>
      </c>
      <c r="L1575" s="7">
        <f>1</f>
        <v>1</v>
      </c>
      <c r="M1575" s="7">
        <f>1</f>
        <v>1</v>
      </c>
      <c r="N1575" s="5" t="s">
        <v>242</v>
      </c>
      <c r="O1575" s="5">
        <v>1</v>
      </c>
      <c r="P1575" s="5" t="s">
        <v>294</v>
      </c>
      <c r="Q1575" s="5" t="s">
        <v>266</v>
      </c>
      <c r="R1575" s="5" t="s">
        <v>240</v>
      </c>
      <c r="S1575" s="5" t="s">
        <v>240</v>
      </c>
      <c r="T1575" s="5" t="s">
        <v>296</v>
      </c>
      <c r="U1575" s="5" t="s">
        <v>244</v>
      </c>
      <c r="V1575" s="5" t="s">
        <v>240</v>
      </c>
      <c r="Y1575" s="5" t="s">
        <v>240</v>
      </c>
      <c r="Z1575" s="6" t="s">
        <v>298</v>
      </c>
      <c r="AB1575" s="6" t="s">
        <v>240</v>
      </c>
      <c r="AE1575" s="6" t="s">
        <v>299</v>
      </c>
      <c r="AF1575" s="5" t="s">
        <v>248</v>
      </c>
      <c r="AG1575" s="5" t="s">
        <v>249</v>
      </c>
      <c r="AW1575" s="5" t="s">
        <v>251</v>
      </c>
      <c r="AX1575" s="5" t="s">
        <v>240</v>
      </c>
      <c r="AY1575" s="5" t="s">
        <v>253</v>
      </c>
      <c r="AZ1575" s="5" t="s">
        <v>240</v>
      </c>
      <c r="BA1575" s="5" t="s">
        <v>255</v>
      </c>
      <c r="BB1575" s="5" t="s">
        <v>240</v>
      </c>
      <c r="BD1575" s="5" t="s">
        <v>240</v>
      </c>
      <c r="BF1575" s="5" t="s">
        <v>301</v>
      </c>
      <c r="BG1575" s="6" t="s">
        <v>299</v>
      </c>
      <c r="BH1575" s="5" t="s">
        <v>302</v>
      </c>
      <c r="BI1575" s="5" t="s">
        <v>303</v>
      </c>
      <c r="BJ1575" s="5" t="s">
        <v>240</v>
      </c>
      <c r="BK1575" s="8">
        <f>0</f>
        <v>0</v>
      </c>
      <c r="BL1575" s="7">
        <f>0</f>
        <v>0</v>
      </c>
      <c r="BM1575" s="5" t="s">
        <v>258</v>
      </c>
      <c r="BN1575" s="5" t="s">
        <v>259</v>
      </c>
      <c r="CB1575" s="5" t="s">
        <v>240</v>
      </c>
      <c r="CC1575" s="5" t="s">
        <v>240</v>
      </c>
      <c r="CG1575" s="5" t="s">
        <v>304</v>
      </c>
      <c r="CH1575" s="5" t="s">
        <v>305</v>
      </c>
      <c r="CI1575" s="5" t="s">
        <v>240</v>
      </c>
      <c r="CL1575" s="6" t="s">
        <v>261</v>
      </c>
      <c r="CM1575" s="5" t="s">
        <v>240</v>
      </c>
      <c r="CN1575" s="5" t="s">
        <v>263</v>
      </c>
      <c r="CO1575" s="5" t="s">
        <v>240</v>
      </c>
      <c r="CP1575" s="5" t="s">
        <v>240</v>
      </c>
      <c r="CQ1575" s="5">
        <v>0</v>
      </c>
      <c r="CR1575" s="5" t="s">
        <v>306</v>
      </c>
      <c r="CS1575" s="5" t="s">
        <v>307</v>
      </c>
      <c r="CT1575" s="5" t="s">
        <v>307</v>
      </c>
      <c r="CU1575" s="5" t="s">
        <v>260</v>
      </c>
      <c r="CX1575" s="7">
        <f>1</f>
        <v>1</v>
      </c>
      <c r="CY1575" s="7">
        <f>0</f>
        <v>0</v>
      </c>
      <c r="DA1575" s="7">
        <f>0</f>
        <v>0</v>
      </c>
      <c r="DC1575" s="5" t="s">
        <v>812</v>
      </c>
      <c r="DD1575" s="5" t="s">
        <v>240</v>
      </c>
      <c r="DF1575" s="5" t="s">
        <v>812</v>
      </c>
      <c r="DG1575" s="7">
        <f>51</f>
        <v>51</v>
      </c>
      <c r="DI1575" s="5" t="s">
        <v>240</v>
      </c>
      <c r="DJ1575" s="5" t="s">
        <v>240</v>
      </c>
      <c r="DK1575" s="5" t="s">
        <v>240</v>
      </c>
      <c r="DL1575" s="5" t="s">
        <v>240</v>
      </c>
      <c r="DP1575" s="5" t="s">
        <v>240</v>
      </c>
      <c r="DQ1575" s="5" t="s">
        <v>240</v>
      </c>
      <c r="DR1575" s="5" t="s">
        <v>240</v>
      </c>
      <c r="DS1575" s="5" t="s">
        <v>240</v>
      </c>
      <c r="DV1575" s="5" t="s">
        <v>813</v>
      </c>
      <c r="DW1575" s="5" t="s">
        <v>3282</v>
      </c>
      <c r="HO1575" s="5" t="s">
        <v>312</v>
      </c>
    </row>
    <row r="1576" spans="1:240" x14ac:dyDescent="0.4">
      <c r="A1576" s="5">
        <v>3251</v>
      </c>
      <c r="B1576" s="5">
        <v>1</v>
      </c>
      <c r="C1576" s="5">
        <v>1</v>
      </c>
      <c r="D1576" s="5" t="s">
        <v>297</v>
      </c>
      <c r="E1576" s="5" t="s">
        <v>245</v>
      </c>
      <c r="F1576" s="5" t="s">
        <v>254</v>
      </c>
      <c r="G1576" s="5" t="s">
        <v>240</v>
      </c>
      <c r="H1576" s="6" t="s">
        <v>4597</v>
      </c>
      <c r="I1576" s="5" t="s">
        <v>295</v>
      </c>
      <c r="J1576" s="8">
        <f>3217</f>
        <v>3217</v>
      </c>
      <c r="K1576" s="5" t="s">
        <v>308</v>
      </c>
      <c r="L1576" s="7">
        <f>1</f>
        <v>1</v>
      </c>
      <c r="M1576" s="7">
        <f>1</f>
        <v>1</v>
      </c>
      <c r="N1576" s="5" t="s">
        <v>242</v>
      </c>
      <c r="O1576" s="5">
        <v>1</v>
      </c>
      <c r="P1576" s="5" t="s">
        <v>294</v>
      </c>
      <c r="Q1576" s="5" t="s">
        <v>266</v>
      </c>
      <c r="R1576" s="5" t="s">
        <v>240</v>
      </c>
      <c r="S1576" s="5" t="s">
        <v>240</v>
      </c>
      <c r="T1576" s="5" t="s">
        <v>296</v>
      </c>
      <c r="U1576" s="5" t="s">
        <v>244</v>
      </c>
      <c r="V1576" s="5" t="s">
        <v>240</v>
      </c>
      <c r="Y1576" s="5" t="s">
        <v>240</v>
      </c>
      <c r="Z1576" s="6" t="s">
        <v>298</v>
      </c>
      <c r="AB1576" s="6" t="s">
        <v>240</v>
      </c>
      <c r="AE1576" s="6" t="s">
        <v>299</v>
      </c>
      <c r="AF1576" s="5" t="s">
        <v>248</v>
      </c>
      <c r="AG1576" s="5" t="s">
        <v>249</v>
      </c>
      <c r="AW1576" s="5" t="s">
        <v>251</v>
      </c>
      <c r="AX1576" s="5" t="s">
        <v>240</v>
      </c>
      <c r="AY1576" s="5" t="s">
        <v>253</v>
      </c>
      <c r="AZ1576" s="5" t="s">
        <v>240</v>
      </c>
      <c r="BA1576" s="5" t="s">
        <v>255</v>
      </c>
      <c r="BB1576" s="5" t="s">
        <v>240</v>
      </c>
      <c r="BD1576" s="5" t="s">
        <v>240</v>
      </c>
      <c r="BF1576" s="5" t="s">
        <v>301</v>
      </c>
      <c r="BG1576" s="6" t="s">
        <v>299</v>
      </c>
      <c r="BH1576" s="5" t="s">
        <v>302</v>
      </c>
      <c r="BI1576" s="5" t="s">
        <v>303</v>
      </c>
      <c r="BJ1576" s="5" t="s">
        <v>240</v>
      </c>
      <c r="BK1576" s="8">
        <f>0</f>
        <v>0</v>
      </c>
      <c r="BL1576" s="7">
        <f>0</f>
        <v>0</v>
      </c>
      <c r="BM1576" s="5" t="s">
        <v>258</v>
      </c>
      <c r="BN1576" s="5" t="s">
        <v>259</v>
      </c>
      <c r="CB1576" s="5" t="s">
        <v>240</v>
      </c>
      <c r="CC1576" s="5" t="s">
        <v>240</v>
      </c>
      <c r="CG1576" s="5" t="s">
        <v>304</v>
      </c>
      <c r="CH1576" s="5" t="s">
        <v>305</v>
      </c>
      <c r="CI1576" s="5" t="s">
        <v>240</v>
      </c>
      <c r="CL1576" s="6" t="s">
        <v>261</v>
      </c>
      <c r="CM1576" s="5" t="s">
        <v>240</v>
      </c>
      <c r="CN1576" s="5" t="s">
        <v>263</v>
      </c>
      <c r="CO1576" s="5" t="s">
        <v>240</v>
      </c>
      <c r="CP1576" s="5" t="s">
        <v>240</v>
      </c>
      <c r="CQ1576" s="5">
        <v>0</v>
      </c>
      <c r="CR1576" s="5" t="s">
        <v>306</v>
      </c>
      <c r="CS1576" s="5" t="s">
        <v>307</v>
      </c>
      <c r="CT1576" s="5" t="s">
        <v>307</v>
      </c>
      <c r="CU1576" s="5" t="s">
        <v>260</v>
      </c>
      <c r="CX1576" s="7">
        <f>1</f>
        <v>1</v>
      </c>
      <c r="CY1576" s="7">
        <f>0</f>
        <v>0</v>
      </c>
      <c r="DA1576" s="7">
        <f>0</f>
        <v>0</v>
      </c>
      <c r="DC1576" s="5" t="s">
        <v>812</v>
      </c>
      <c r="DD1576" s="5" t="s">
        <v>240</v>
      </c>
      <c r="DF1576" s="5" t="s">
        <v>812</v>
      </c>
      <c r="DG1576" s="7">
        <f>123</f>
        <v>123</v>
      </c>
      <c r="DI1576" s="5" t="s">
        <v>240</v>
      </c>
      <c r="DJ1576" s="5" t="s">
        <v>240</v>
      </c>
      <c r="DK1576" s="5" t="s">
        <v>240</v>
      </c>
      <c r="DL1576" s="5" t="s">
        <v>240</v>
      </c>
      <c r="DP1576" s="5" t="s">
        <v>240</v>
      </c>
      <c r="DQ1576" s="5" t="s">
        <v>240</v>
      </c>
      <c r="DR1576" s="5" t="s">
        <v>240</v>
      </c>
      <c r="DS1576" s="5" t="s">
        <v>240</v>
      </c>
      <c r="DV1576" s="5" t="s">
        <v>813</v>
      </c>
      <c r="DW1576" s="5" t="s">
        <v>3284</v>
      </c>
      <c r="HO1576" s="5" t="s">
        <v>312</v>
      </c>
    </row>
    <row r="1577" spans="1:240" x14ac:dyDescent="0.4">
      <c r="A1577" s="5">
        <v>3252</v>
      </c>
      <c r="B1577" s="5">
        <v>1</v>
      </c>
      <c r="C1577" s="5">
        <v>1</v>
      </c>
      <c r="D1577" s="5" t="s">
        <v>297</v>
      </c>
      <c r="E1577" s="5" t="s">
        <v>245</v>
      </c>
      <c r="F1577" s="5" t="s">
        <v>254</v>
      </c>
      <c r="G1577" s="5" t="s">
        <v>240</v>
      </c>
      <c r="H1577" s="6" t="s">
        <v>4596</v>
      </c>
      <c r="I1577" s="5" t="s">
        <v>295</v>
      </c>
      <c r="J1577" s="8">
        <f>1785</f>
        <v>1785</v>
      </c>
      <c r="K1577" s="5" t="s">
        <v>308</v>
      </c>
      <c r="L1577" s="7">
        <f>1</f>
        <v>1</v>
      </c>
      <c r="M1577" s="7">
        <f>1</f>
        <v>1</v>
      </c>
      <c r="N1577" s="5" t="s">
        <v>242</v>
      </c>
      <c r="O1577" s="5">
        <v>1</v>
      </c>
      <c r="P1577" s="5" t="s">
        <v>294</v>
      </c>
      <c r="Q1577" s="5" t="s">
        <v>266</v>
      </c>
      <c r="R1577" s="5" t="s">
        <v>240</v>
      </c>
      <c r="S1577" s="5" t="s">
        <v>240</v>
      </c>
      <c r="T1577" s="5" t="s">
        <v>296</v>
      </c>
      <c r="U1577" s="5" t="s">
        <v>244</v>
      </c>
      <c r="V1577" s="5" t="s">
        <v>240</v>
      </c>
      <c r="Y1577" s="5" t="s">
        <v>240</v>
      </c>
      <c r="Z1577" s="6" t="s">
        <v>298</v>
      </c>
      <c r="AB1577" s="6" t="s">
        <v>240</v>
      </c>
      <c r="AE1577" s="6" t="s">
        <v>299</v>
      </c>
      <c r="AF1577" s="5" t="s">
        <v>248</v>
      </c>
      <c r="AG1577" s="5" t="s">
        <v>249</v>
      </c>
      <c r="AW1577" s="5" t="s">
        <v>251</v>
      </c>
      <c r="AX1577" s="5" t="s">
        <v>240</v>
      </c>
      <c r="AY1577" s="5" t="s">
        <v>253</v>
      </c>
      <c r="AZ1577" s="5" t="s">
        <v>240</v>
      </c>
      <c r="BA1577" s="5" t="s">
        <v>255</v>
      </c>
      <c r="BB1577" s="5" t="s">
        <v>240</v>
      </c>
      <c r="BD1577" s="5" t="s">
        <v>240</v>
      </c>
      <c r="BF1577" s="5" t="s">
        <v>301</v>
      </c>
      <c r="BG1577" s="6" t="s">
        <v>299</v>
      </c>
      <c r="BH1577" s="5" t="s">
        <v>302</v>
      </c>
      <c r="BI1577" s="5" t="s">
        <v>303</v>
      </c>
      <c r="BJ1577" s="5" t="s">
        <v>240</v>
      </c>
      <c r="BK1577" s="8">
        <f>0</f>
        <v>0</v>
      </c>
      <c r="BL1577" s="7">
        <f>0</f>
        <v>0</v>
      </c>
      <c r="BM1577" s="5" t="s">
        <v>258</v>
      </c>
      <c r="BN1577" s="5" t="s">
        <v>259</v>
      </c>
      <c r="CB1577" s="5" t="s">
        <v>240</v>
      </c>
      <c r="CC1577" s="5" t="s">
        <v>240</v>
      </c>
      <c r="CG1577" s="5" t="s">
        <v>304</v>
      </c>
      <c r="CH1577" s="5" t="s">
        <v>305</v>
      </c>
      <c r="CI1577" s="5" t="s">
        <v>240</v>
      </c>
      <c r="CL1577" s="6" t="s">
        <v>261</v>
      </c>
      <c r="CM1577" s="5" t="s">
        <v>240</v>
      </c>
      <c r="CN1577" s="5" t="s">
        <v>263</v>
      </c>
      <c r="CO1577" s="5" t="s">
        <v>240</v>
      </c>
      <c r="CP1577" s="5" t="s">
        <v>240</v>
      </c>
      <c r="CQ1577" s="5">
        <v>0</v>
      </c>
      <c r="CR1577" s="5" t="s">
        <v>306</v>
      </c>
      <c r="CS1577" s="5" t="s">
        <v>307</v>
      </c>
      <c r="CT1577" s="5" t="s">
        <v>307</v>
      </c>
      <c r="CU1577" s="5" t="s">
        <v>260</v>
      </c>
      <c r="CX1577" s="7">
        <f>1</f>
        <v>1</v>
      </c>
      <c r="CY1577" s="7">
        <f>0</f>
        <v>0</v>
      </c>
      <c r="DA1577" s="7">
        <f>0</f>
        <v>0</v>
      </c>
      <c r="DC1577" s="5" t="s">
        <v>812</v>
      </c>
      <c r="DD1577" s="5" t="s">
        <v>240</v>
      </c>
      <c r="DF1577" s="5" t="s">
        <v>812</v>
      </c>
      <c r="DG1577" s="7">
        <f>2141</f>
        <v>2141</v>
      </c>
      <c r="DI1577" s="5" t="s">
        <v>240</v>
      </c>
      <c r="DJ1577" s="5" t="s">
        <v>240</v>
      </c>
      <c r="DK1577" s="5" t="s">
        <v>240</v>
      </c>
      <c r="DL1577" s="5" t="s">
        <v>240</v>
      </c>
      <c r="DP1577" s="5" t="s">
        <v>240</v>
      </c>
      <c r="DQ1577" s="5" t="s">
        <v>240</v>
      </c>
      <c r="DR1577" s="5" t="s">
        <v>240</v>
      </c>
      <c r="DS1577" s="5" t="s">
        <v>240</v>
      </c>
      <c r="DV1577" s="5" t="s">
        <v>813</v>
      </c>
      <c r="DW1577" s="5" t="s">
        <v>3286</v>
      </c>
      <c r="HO1577" s="5" t="s">
        <v>312</v>
      </c>
    </row>
    <row r="1578" spans="1:240" x14ac:dyDescent="0.4">
      <c r="A1578" s="5">
        <v>3253</v>
      </c>
      <c r="B1578" s="5">
        <v>1</v>
      </c>
      <c r="C1578" s="5">
        <v>1</v>
      </c>
      <c r="D1578" s="5" t="s">
        <v>297</v>
      </c>
      <c r="E1578" s="5" t="s">
        <v>245</v>
      </c>
      <c r="F1578" s="5" t="s">
        <v>254</v>
      </c>
      <c r="G1578" s="5" t="s">
        <v>240</v>
      </c>
      <c r="H1578" s="6" t="s">
        <v>4595</v>
      </c>
      <c r="I1578" s="5" t="s">
        <v>295</v>
      </c>
      <c r="J1578" s="8">
        <f>2303</f>
        <v>2303</v>
      </c>
      <c r="K1578" s="5" t="s">
        <v>308</v>
      </c>
      <c r="L1578" s="7">
        <f>1</f>
        <v>1</v>
      </c>
      <c r="M1578" s="7">
        <f>1</f>
        <v>1</v>
      </c>
      <c r="N1578" s="5" t="s">
        <v>242</v>
      </c>
      <c r="O1578" s="5">
        <v>1</v>
      </c>
      <c r="P1578" s="5" t="s">
        <v>294</v>
      </c>
      <c r="Q1578" s="5" t="s">
        <v>266</v>
      </c>
      <c r="R1578" s="5" t="s">
        <v>240</v>
      </c>
      <c r="S1578" s="5" t="s">
        <v>240</v>
      </c>
      <c r="T1578" s="5" t="s">
        <v>296</v>
      </c>
      <c r="U1578" s="5" t="s">
        <v>244</v>
      </c>
      <c r="V1578" s="5" t="s">
        <v>240</v>
      </c>
      <c r="Y1578" s="5" t="s">
        <v>240</v>
      </c>
      <c r="Z1578" s="6" t="s">
        <v>298</v>
      </c>
      <c r="AB1578" s="6" t="s">
        <v>240</v>
      </c>
      <c r="AE1578" s="6" t="s">
        <v>299</v>
      </c>
      <c r="AF1578" s="5" t="s">
        <v>248</v>
      </c>
      <c r="AG1578" s="5" t="s">
        <v>249</v>
      </c>
      <c r="AW1578" s="5" t="s">
        <v>251</v>
      </c>
      <c r="AX1578" s="5" t="s">
        <v>240</v>
      </c>
      <c r="AY1578" s="5" t="s">
        <v>253</v>
      </c>
      <c r="AZ1578" s="5" t="s">
        <v>240</v>
      </c>
      <c r="BA1578" s="5" t="s">
        <v>255</v>
      </c>
      <c r="BB1578" s="5" t="s">
        <v>240</v>
      </c>
      <c r="BD1578" s="5" t="s">
        <v>240</v>
      </c>
      <c r="BF1578" s="5" t="s">
        <v>301</v>
      </c>
      <c r="BG1578" s="6" t="s">
        <v>299</v>
      </c>
      <c r="BH1578" s="5" t="s">
        <v>302</v>
      </c>
      <c r="BI1578" s="5" t="s">
        <v>303</v>
      </c>
      <c r="BJ1578" s="5" t="s">
        <v>240</v>
      </c>
      <c r="BK1578" s="8">
        <f>0</f>
        <v>0</v>
      </c>
      <c r="BL1578" s="7">
        <f>0</f>
        <v>0</v>
      </c>
      <c r="BM1578" s="5" t="s">
        <v>258</v>
      </c>
      <c r="BN1578" s="5" t="s">
        <v>259</v>
      </c>
      <c r="CB1578" s="5" t="s">
        <v>240</v>
      </c>
      <c r="CC1578" s="5" t="s">
        <v>240</v>
      </c>
      <c r="CG1578" s="5" t="s">
        <v>304</v>
      </c>
      <c r="CH1578" s="5" t="s">
        <v>305</v>
      </c>
      <c r="CI1578" s="5" t="s">
        <v>240</v>
      </c>
      <c r="CL1578" s="6" t="s">
        <v>261</v>
      </c>
      <c r="CM1578" s="5" t="s">
        <v>240</v>
      </c>
      <c r="CN1578" s="5" t="s">
        <v>263</v>
      </c>
      <c r="CO1578" s="5" t="s">
        <v>240</v>
      </c>
      <c r="CP1578" s="5" t="s">
        <v>240</v>
      </c>
      <c r="CQ1578" s="5">
        <v>0</v>
      </c>
      <c r="CR1578" s="5" t="s">
        <v>306</v>
      </c>
      <c r="CS1578" s="5" t="s">
        <v>307</v>
      </c>
      <c r="CT1578" s="5" t="s">
        <v>307</v>
      </c>
      <c r="CU1578" s="5" t="s">
        <v>260</v>
      </c>
      <c r="CX1578" s="7">
        <f>1</f>
        <v>1</v>
      </c>
      <c r="CY1578" s="7">
        <f>0</f>
        <v>0</v>
      </c>
      <c r="DA1578" s="7">
        <f>0</f>
        <v>0</v>
      </c>
      <c r="DC1578" s="5" t="s">
        <v>812</v>
      </c>
      <c r="DD1578" s="5" t="s">
        <v>240</v>
      </c>
      <c r="DF1578" s="5" t="s">
        <v>812</v>
      </c>
      <c r="DG1578" s="7">
        <f>174</f>
        <v>174</v>
      </c>
      <c r="DI1578" s="5" t="s">
        <v>240</v>
      </c>
      <c r="DJ1578" s="5" t="s">
        <v>240</v>
      </c>
      <c r="DK1578" s="5" t="s">
        <v>240</v>
      </c>
      <c r="DL1578" s="5" t="s">
        <v>240</v>
      </c>
      <c r="DP1578" s="5" t="s">
        <v>240</v>
      </c>
      <c r="DQ1578" s="5" t="s">
        <v>240</v>
      </c>
      <c r="DR1578" s="5" t="s">
        <v>240</v>
      </c>
      <c r="DS1578" s="5" t="s">
        <v>240</v>
      </c>
      <c r="DV1578" s="5" t="s">
        <v>813</v>
      </c>
      <c r="DW1578" s="5" t="s">
        <v>3288</v>
      </c>
      <c r="HO1578" s="5" t="s">
        <v>312</v>
      </c>
    </row>
    <row r="1579" spans="1:240" x14ac:dyDescent="0.4">
      <c r="A1579" s="5">
        <v>3254</v>
      </c>
      <c r="B1579" s="5">
        <v>1</v>
      </c>
      <c r="C1579" s="5">
        <v>1</v>
      </c>
      <c r="D1579" s="5" t="s">
        <v>297</v>
      </c>
      <c r="E1579" s="5" t="s">
        <v>245</v>
      </c>
      <c r="F1579" s="5" t="s">
        <v>254</v>
      </c>
      <c r="G1579" s="5" t="s">
        <v>240</v>
      </c>
      <c r="H1579" s="6" t="s">
        <v>4594</v>
      </c>
      <c r="I1579" s="5" t="s">
        <v>295</v>
      </c>
      <c r="J1579" s="8">
        <f>2725</f>
        <v>2725</v>
      </c>
      <c r="K1579" s="5" t="s">
        <v>308</v>
      </c>
      <c r="L1579" s="7">
        <f>1</f>
        <v>1</v>
      </c>
      <c r="M1579" s="7">
        <f>1</f>
        <v>1</v>
      </c>
      <c r="N1579" s="5" t="s">
        <v>242</v>
      </c>
      <c r="O1579" s="5">
        <v>1</v>
      </c>
      <c r="P1579" s="5" t="s">
        <v>294</v>
      </c>
      <c r="Q1579" s="5" t="s">
        <v>266</v>
      </c>
      <c r="R1579" s="5" t="s">
        <v>240</v>
      </c>
      <c r="S1579" s="5" t="s">
        <v>240</v>
      </c>
      <c r="T1579" s="5" t="s">
        <v>296</v>
      </c>
      <c r="U1579" s="5" t="s">
        <v>244</v>
      </c>
      <c r="V1579" s="5" t="s">
        <v>240</v>
      </c>
      <c r="Y1579" s="5" t="s">
        <v>240</v>
      </c>
      <c r="Z1579" s="6" t="s">
        <v>298</v>
      </c>
      <c r="AB1579" s="6" t="s">
        <v>240</v>
      </c>
      <c r="AE1579" s="6" t="s">
        <v>299</v>
      </c>
      <c r="AF1579" s="5" t="s">
        <v>248</v>
      </c>
      <c r="AG1579" s="5" t="s">
        <v>249</v>
      </c>
      <c r="AW1579" s="5" t="s">
        <v>251</v>
      </c>
      <c r="AX1579" s="5" t="s">
        <v>240</v>
      </c>
      <c r="AY1579" s="5" t="s">
        <v>253</v>
      </c>
      <c r="AZ1579" s="5" t="s">
        <v>240</v>
      </c>
      <c r="BA1579" s="5" t="s">
        <v>255</v>
      </c>
      <c r="BB1579" s="5" t="s">
        <v>240</v>
      </c>
      <c r="BD1579" s="5" t="s">
        <v>240</v>
      </c>
      <c r="BF1579" s="5" t="s">
        <v>301</v>
      </c>
      <c r="BG1579" s="6" t="s">
        <v>299</v>
      </c>
      <c r="BH1579" s="5" t="s">
        <v>302</v>
      </c>
      <c r="BI1579" s="5" t="s">
        <v>303</v>
      </c>
      <c r="BJ1579" s="5" t="s">
        <v>240</v>
      </c>
      <c r="BK1579" s="8">
        <f>0</f>
        <v>0</v>
      </c>
      <c r="BL1579" s="7">
        <f>0</f>
        <v>0</v>
      </c>
      <c r="BM1579" s="5" t="s">
        <v>258</v>
      </c>
      <c r="BN1579" s="5" t="s">
        <v>259</v>
      </c>
      <c r="CB1579" s="5" t="s">
        <v>240</v>
      </c>
      <c r="CC1579" s="5" t="s">
        <v>240</v>
      </c>
      <c r="CG1579" s="5" t="s">
        <v>304</v>
      </c>
      <c r="CH1579" s="5" t="s">
        <v>305</v>
      </c>
      <c r="CI1579" s="5" t="s">
        <v>240</v>
      </c>
      <c r="CL1579" s="6" t="s">
        <v>261</v>
      </c>
      <c r="CM1579" s="5" t="s">
        <v>240</v>
      </c>
      <c r="CN1579" s="5" t="s">
        <v>263</v>
      </c>
      <c r="CO1579" s="5" t="s">
        <v>240</v>
      </c>
      <c r="CP1579" s="5" t="s">
        <v>240</v>
      </c>
      <c r="CQ1579" s="5">
        <v>0</v>
      </c>
      <c r="CR1579" s="5" t="s">
        <v>306</v>
      </c>
      <c r="CS1579" s="5" t="s">
        <v>307</v>
      </c>
      <c r="CT1579" s="5" t="s">
        <v>307</v>
      </c>
      <c r="CU1579" s="5" t="s">
        <v>260</v>
      </c>
      <c r="CX1579" s="7">
        <f>1</f>
        <v>1</v>
      </c>
      <c r="CY1579" s="7">
        <f>0</f>
        <v>0</v>
      </c>
      <c r="DA1579" s="7">
        <f>0</f>
        <v>0</v>
      </c>
      <c r="DC1579" s="5" t="s">
        <v>812</v>
      </c>
      <c r="DD1579" s="5" t="s">
        <v>240</v>
      </c>
      <c r="DF1579" s="5" t="s">
        <v>812</v>
      </c>
      <c r="DG1579" s="7">
        <f>1211</f>
        <v>1211</v>
      </c>
      <c r="DI1579" s="5" t="s">
        <v>240</v>
      </c>
      <c r="DJ1579" s="5" t="s">
        <v>240</v>
      </c>
      <c r="DK1579" s="5" t="s">
        <v>240</v>
      </c>
      <c r="DL1579" s="5" t="s">
        <v>240</v>
      </c>
      <c r="DP1579" s="5" t="s">
        <v>240</v>
      </c>
      <c r="DQ1579" s="5" t="s">
        <v>240</v>
      </c>
      <c r="DR1579" s="5" t="s">
        <v>240</v>
      </c>
      <c r="DS1579" s="5" t="s">
        <v>240</v>
      </c>
      <c r="DV1579" s="5" t="s">
        <v>813</v>
      </c>
      <c r="DW1579" s="5" t="s">
        <v>3290</v>
      </c>
      <c r="HO1579" s="5" t="s">
        <v>312</v>
      </c>
    </row>
    <row r="1580" spans="1:240" x14ac:dyDescent="0.4">
      <c r="A1580" s="5">
        <v>3255</v>
      </c>
      <c r="B1580" s="5">
        <v>1</v>
      </c>
      <c r="C1580" s="5">
        <v>1</v>
      </c>
      <c r="D1580" s="5" t="s">
        <v>297</v>
      </c>
      <c r="E1580" s="5" t="s">
        <v>245</v>
      </c>
      <c r="F1580" s="5" t="s">
        <v>254</v>
      </c>
      <c r="G1580" s="5" t="s">
        <v>240</v>
      </c>
      <c r="H1580" s="6" t="s">
        <v>4593</v>
      </c>
      <c r="I1580" s="5" t="s">
        <v>295</v>
      </c>
      <c r="J1580" s="8">
        <f>2673</f>
        <v>2673</v>
      </c>
      <c r="K1580" s="5" t="s">
        <v>308</v>
      </c>
      <c r="L1580" s="7">
        <f>1</f>
        <v>1</v>
      </c>
      <c r="M1580" s="7">
        <f>1</f>
        <v>1</v>
      </c>
      <c r="N1580" s="5" t="s">
        <v>242</v>
      </c>
      <c r="O1580" s="5">
        <v>1</v>
      </c>
      <c r="P1580" s="5" t="s">
        <v>294</v>
      </c>
      <c r="Q1580" s="5" t="s">
        <v>266</v>
      </c>
      <c r="R1580" s="5" t="s">
        <v>240</v>
      </c>
      <c r="S1580" s="5" t="s">
        <v>240</v>
      </c>
      <c r="T1580" s="5" t="s">
        <v>296</v>
      </c>
      <c r="U1580" s="5" t="s">
        <v>244</v>
      </c>
      <c r="V1580" s="5" t="s">
        <v>240</v>
      </c>
      <c r="Y1580" s="5" t="s">
        <v>240</v>
      </c>
      <c r="Z1580" s="6" t="s">
        <v>298</v>
      </c>
      <c r="AB1580" s="6" t="s">
        <v>240</v>
      </c>
      <c r="AE1580" s="6" t="s">
        <v>299</v>
      </c>
      <c r="AF1580" s="5" t="s">
        <v>248</v>
      </c>
      <c r="AG1580" s="5" t="s">
        <v>249</v>
      </c>
      <c r="AW1580" s="5" t="s">
        <v>251</v>
      </c>
      <c r="AX1580" s="5" t="s">
        <v>240</v>
      </c>
      <c r="AY1580" s="5" t="s">
        <v>253</v>
      </c>
      <c r="AZ1580" s="5" t="s">
        <v>240</v>
      </c>
      <c r="BA1580" s="5" t="s">
        <v>255</v>
      </c>
      <c r="BB1580" s="5" t="s">
        <v>240</v>
      </c>
      <c r="BD1580" s="5" t="s">
        <v>240</v>
      </c>
      <c r="BF1580" s="5" t="s">
        <v>301</v>
      </c>
      <c r="BG1580" s="6" t="s">
        <v>299</v>
      </c>
      <c r="BH1580" s="5" t="s">
        <v>302</v>
      </c>
      <c r="BI1580" s="5" t="s">
        <v>303</v>
      </c>
      <c r="BJ1580" s="5" t="s">
        <v>240</v>
      </c>
      <c r="BK1580" s="8">
        <f>0</f>
        <v>0</v>
      </c>
      <c r="BL1580" s="7">
        <f>0</f>
        <v>0</v>
      </c>
      <c r="BM1580" s="5" t="s">
        <v>258</v>
      </c>
      <c r="BN1580" s="5" t="s">
        <v>259</v>
      </c>
      <c r="CB1580" s="5" t="s">
        <v>240</v>
      </c>
      <c r="CC1580" s="5" t="s">
        <v>240</v>
      </c>
      <c r="CG1580" s="5" t="s">
        <v>304</v>
      </c>
      <c r="CH1580" s="5" t="s">
        <v>305</v>
      </c>
      <c r="CI1580" s="5" t="s">
        <v>240</v>
      </c>
      <c r="CL1580" s="6" t="s">
        <v>261</v>
      </c>
      <c r="CM1580" s="5" t="s">
        <v>240</v>
      </c>
      <c r="CN1580" s="5" t="s">
        <v>263</v>
      </c>
      <c r="CO1580" s="5" t="s">
        <v>240</v>
      </c>
      <c r="CP1580" s="5" t="s">
        <v>240</v>
      </c>
      <c r="CQ1580" s="5">
        <v>0</v>
      </c>
      <c r="CR1580" s="5" t="s">
        <v>306</v>
      </c>
      <c r="CS1580" s="5" t="s">
        <v>307</v>
      </c>
      <c r="CT1580" s="5" t="s">
        <v>307</v>
      </c>
      <c r="CU1580" s="5" t="s">
        <v>260</v>
      </c>
      <c r="CX1580" s="7">
        <f>1</f>
        <v>1</v>
      </c>
      <c r="CY1580" s="7">
        <f>0</f>
        <v>0</v>
      </c>
      <c r="DA1580" s="7">
        <f>0</f>
        <v>0</v>
      </c>
      <c r="DC1580" s="5" t="s">
        <v>812</v>
      </c>
      <c r="DD1580" s="5" t="s">
        <v>240</v>
      </c>
      <c r="DF1580" s="5" t="s">
        <v>812</v>
      </c>
      <c r="DG1580" s="7">
        <f>542</f>
        <v>542</v>
      </c>
      <c r="DI1580" s="5" t="s">
        <v>240</v>
      </c>
      <c r="DJ1580" s="5" t="s">
        <v>240</v>
      </c>
      <c r="DK1580" s="5" t="s">
        <v>240</v>
      </c>
      <c r="DL1580" s="5" t="s">
        <v>240</v>
      </c>
      <c r="DP1580" s="5" t="s">
        <v>240</v>
      </c>
      <c r="DQ1580" s="5" t="s">
        <v>240</v>
      </c>
      <c r="DR1580" s="5" t="s">
        <v>240</v>
      </c>
      <c r="DS1580" s="5" t="s">
        <v>240</v>
      </c>
      <c r="DV1580" s="5" t="s">
        <v>813</v>
      </c>
      <c r="DW1580" s="5" t="s">
        <v>3292</v>
      </c>
      <c r="HO1580" s="5" t="s">
        <v>312</v>
      </c>
    </row>
    <row r="1581" spans="1:240" x14ac:dyDescent="0.4">
      <c r="A1581" s="5">
        <v>3256</v>
      </c>
      <c r="B1581" s="5">
        <v>1</v>
      </c>
      <c r="C1581" s="5">
        <v>1</v>
      </c>
      <c r="D1581" s="5" t="s">
        <v>297</v>
      </c>
      <c r="E1581" s="5" t="s">
        <v>245</v>
      </c>
      <c r="F1581" s="5" t="s">
        <v>254</v>
      </c>
      <c r="G1581" s="5" t="s">
        <v>240</v>
      </c>
      <c r="H1581" s="6" t="s">
        <v>4592</v>
      </c>
      <c r="I1581" s="5" t="s">
        <v>295</v>
      </c>
      <c r="J1581" s="8">
        <f>505</f>
        <v>505</v>
      </c>
      <c r="K1581" s="5" t="s">
        <v>308</v>
      </c>
      <c r="L1581" s="7">
        <f>1</f>
        <v>1</v>
      </c>
      <c r="M1581" s="7">
        <f>1</f>
        <v>1</v>
      </c>
      <c r="N1581" s="5" t="s">
        <v>242</v>
      </c>
      <c r="O1581" s="5">
        <v>1</v>
      </c>
      <c r="P1581" s="5" t="s">
        <v>294</v>
      </c>
      <c r="Q1581" s="5" t="s">
        <v>266</v>
      </c>
      <c r="R1581" s="5" t="s">
        <v>240</v>
      </c>
      <c r="S1581" s="5" t="s">
        <v>240</v>
      </c>
      <c r="T1581" s="5" t="s">
        <v>296</v>
      </c>
      <c r="U1581" s="5" t="s">
        <v>244</v>
      </c>
      <c r="V1581" s="5" t="s">
        <v>240</v>
      </c>
      <c r="Y1581" s="5" t="s">
        <v>240</v>
      </c>
      <c r="Z1581" s="6" t="s">
        <v>298</v>
      </c>
      <c r="AB1581" s="6" t="s">
        <v>240</v>
      </c>
      <c r="AE1581" s="6" t="s">
        <v>299</v>
      </c>
      <c r="AF1581" s="5" t="s">
        <v>248</v>
      </c>
      <c r="AG1581" s="5" t="s">
        <v>249</v>
      </c>
      <c r="AW1581" s="5" t="s">
        <v>251</v>
      </c>
      <c r="AX1581" s="5" t="s">
        <v>240</v>
      </c>
      <c r="AY1581" s="5" t="s">
        <v>253</v>
      </c>
      <c r="AZ1581" s="5" t="s">
        <v>240</v>
      </c>
      <c r="BA1581" s="5" t="s">
        <v>255</v>
      </c>
      <c r="BB1581" s="5" t="s">
        <v>240</v>
      </c>
      <c r="BD1581" s="5" t="s">
        <v>240</v>
      </c>
      <c r="BF1581" s="5" t="s">
        <v>301</v>
      </c>
      <c r="BG1581" s="6" t="s">
        <v>299</v>
      </c>
      <c r="BH1581" s="5" t="s">
        <v>302</v>
      </c>
      <c r="BI1581" s="5" t="s">
        <v>303</v>
      </c>
      <c r="BJ1581" s="5" t="s">
        <v>240</v>
      </c>
      <c r="BK1581" s="8">
        <f>0</f>
        <v>0</v>
      </c>
      <c r="BL1581" s="7">
        <f>0</f>
        <v>0</v>
      </c>
      <c r="BM1581" s="5" t="s">
        <v>258</v>
      </c>
      <c r="BN1581" s="5" t="s">
        <v>259</v>
      </c>
      <c r="CB1581" s="5" t="s">
        <v>240</v>
      </c>
      <c r="CC1581" s="5" t="s">
        <v>240</v>
      </c>
      <c r="CG1581" s="5" t="s">
        <v>304</v>
      </c>
      <c r="CH1581" s="5" t="s">
        <v>305</v>
      </c>
      <c r="CI1581" s="5" t="s">
        <v>240</v>
      </c>
      <c r="CL1581" s="6" t="s">
        <v>261</v>
      </c>
      <c r="CM1581" s="5" t="s">
        <v>240</v>
      </c>
      <c r="CN1581" s="5" t="s">
        <v>263</v>
      </c>
      <c r="CO1581" s="5" t="s">
        <v>240</v>
      </c>
      <c r="CP1581" s="5" t="s">
        <v>240</v>
      </c>
      <c r="CQ1581" s="5">
        <v>0</v>
      </c>
      <c r="CR1581" s="5" t="s">
        <v>306</v>
      </c>
      <c r="CS1581" s="5" t="s">
        <v>307</v>
      </c>
      <c r="CT1581" s="5" t="s">
        <v>307</v>
      </c>
      <c r="CU1581" s="5" t="s">
        <v>260</v>
      </c>
      <c r="CX1581" s="7">
        <f>1</f>
        <v>1</v>
      </c>
      <c r="CY1581" s="7">
        <f>0</f>
        <v>0</v>
      </c>
      <c r="DA1581" s="7">
        <f>0</f>
        <v>0</v>
      </c>
      <c r="DC1581" s="5" t="s">
        <v>812</v>
      </c>
      <c r="DD1581" s="5" t="s">
        <v>240</v>
      </c>
      <c r="DF1581" s="5" t="s">
        <v>812</v>
      </c>
      <c r="DG1581" s="7">
        <f>352</f>
        <v>352</v>
      </c>
      <c r="DI1581" s="5" t="s">
        <v>240</v>
      </c>
      <c r="DJ1581" s="5" t="s">
        <v>240</v>
      </c>
      <c r="DK1581" s="5" t="s">
        <v>240</v>
      </c>
      <c r="DL1581" s="5" t="s">
        <v>240</v>
      </c>
      <c r="DP1581" s="5" t="s">
        <v>240</v>
      </c>
      <c r="DQ1581" s="5" t="s">
        <v>240</v>
      </c>
      <c r="DR1581" s="5" t="s">
        <v>240</v>
      </c>
      <c r="DS1581" s="5" t="s">
        <v>240</v>
      </c>
      <c r="DV1581" s="5" t="s">
        <v>813</v>
      </c>
      <c r="DW1581" s="5" t="s">
        <v>3294</v>
      </c>
      <c r="HO1581" s="5" t="s">
        <v>312</v>
      </c>
    </row>
    <row r="1582" spans="1:240" x14ac:dyDescent="0.4">
      <c r="A1582" s="5">
        <v>3257</v>
      </c>
      <c r="B1582" s="5">
        <v>1</v>
      </c>
      <c r="C1582" s="5">
        <v>1</v>
      </c>
      <c r="D1582" s="5" t="s">
        <v>297</v>
      </c>
      <c r="E1582" s="5" t="s">
        <v>245</v>
      </c>
      <c r="F1582" s="5" t="s">
        <v>254</v>
      </c>
      <c r="G1582" s="5" t="s">
        <v>240</v>
      </c>
      <c r="H1582" s="6" t="s">
        <v>4591</v>
      </c>
      <c r="I1582" s="5" t="s">
        <v>295</v>
      </c>
      <c r="J1582" s="8">
        <f>1519</f>
        <v>1519</v>
      </c>
      <c r="K1582" s="5" t="s">
        <v>308</v>
      </c>
      <c r="L1582" s="7">
        <f>1</f>
        <v>1</v>
      </c>
      <c r="M1582" s="7">
        <f>1</f>
        <v>1</v>
      </c>
      <c r="N1582" s="5" t="s">
        <v>242</v>
      </c>
      <c r="O1582" s="5">
        <v>1</v>
      </c>
      <c r="P1582" s="5" t="s">
        <v>294</v>
      </c>
      <c r="Q1582" s="5" t="s">
        <v>613</v>
      </c>
      <c r="R1582" s="5" t="s">
        <v>240</v>
      </c>
      <c r="S1582" s="5" t="s">
        <v>240</v>
      </c>
      <c r="T1582" s="5" t="s">
        <v>243</v>
      </c>
      <c r="U1582" s="5" t="s">
        <v>724</v>
      </c>
      <c r="V1582" s="5" t="s">
        <v>240</v>
      </c>
      <c r="W1582" s="5" t="s">
        <v>240</v>
      </c>
      <c r="X1582" s="5" t="s">
        <v>240</v>
      </c>
      <c r="Y1582" s="5" t="s">
        <v>240</v>
      </c>
      <c r="Z1582" s="6" t="s">
        <v>298</v>
      </c>
      <c r="AA1582" s="6" t="s">
        <v>240</v>
      </c>
      <c r="AB1582" s="6" t="s">
        <v>240</v>
      </c>
      <c r="AC1582" s="5" t="s">
        <v>240</v>
      </c>
      <c r="AD1582" s="6" t="s">
        <v>240</v>
      </c>
      <c r="AE1582" s="6" t="s">
        <v>299</v>
      </c>
      <c r="AF1582" s="5" t="s">
        <v>727</v>
      </c>
      <c r="AG1582" s="5" t="s">
        <v>260</v>
      </c>
      <c r="AH1582" s="5" t="s">
        <v>240</v>
      </c>
      <c r="AI1582" s="5" t="s">
        <v>240</v>
      </c>
      <c r="AJ1582" s="5" t="s">
        <v>240</v>
      </c>
      <c r="AK1582" s="5" t="s">
        <v>240</v>
      </c>
      <c r="AL1582" s="5" t="s">
        <v>240</v>
      </c>
      <c r="AM1582" s="5" t="s">
        <v>240</v>
      </c>
      <c r="AN1582" s="5" t="s">
        <v>240</v>
      </c>
      <c r="AO1582" s="5" t="s">
        <v>240</v>
      </c>
      <c r="AP1582" s="6" t="s">
        <v>240</v>
      </c>
      <c r="AQ1582" s="6" t="s">
        <v>240</v>
      </c>
      <c r="AR1582" s="6" t="s">
        <v>240</v>
      </c>
      <c r="AS1582" s="6" t="s">
        <v>240</v>
      </c>
      <c r="AT1582" s="5" t="s">
        <v>240</v>
      </c>
      <c r="AU1582" s="5" t="s">
        <v>729</v>
      </c>
      <c r="AV1582" s="5" t="s">
        <v>729</v>
      </c>
      <c r="AW1582" s="5" t="s">
        <v>251</v>
      </c>
      <c r="AX1582" s="5" t="s">
        <v>252</v>
      </c>
      <c r="AY1582" s="5" t="s">
        <v>253</v>
      </c>
      <c r="AZ1582" s="5" t="s">
        <v>240</v>
      </c>
      <c r="BA1582" s="5" t="s">
        <v>255</v>
      </c>
      <c r="BB1582" s="5" t="s">
        <v>731</v>
      </c>
      <c r="BD1582" s="5" t="s">
        <v>3167</v>
      </c>
      <c r="BF1582" s="5" t="s">
        <v>732</v>
      </c>
      <c r="BG1582" s="6" t="s">
        <v>733</v>
      </c>
      <c r="BH1582" s="5" t="s">
        <v>734</v>
      </c>
      <c r="BI1582" s="5" t="s">
        <v>734</v>
      </c>
      <c r="BJ1582" s="5" t="s">
        <v>240</v>
      </c>
      <c r="BK1582" s="8">
        <f>489</f>
        <v>489</v>
      </c>
      <c r="BL1582" s="7">
        <f>0</f>
        <v>0</v>
      </c>
      <c r="BM1582" s="5" t="s">
        <v>258</v>
      </c>
      <c r="BN1582" s="5" t="s">
        <v>259</v>
      </c>
      <c r="BO1582" s="5" t="s">
        <v>240</v>
      </c>
      <c r="BP1582" s="5" t="s">
        <v>240</v>
      </c>
      <c r="BQ1582" s="5" t="s">
        <v>240</v>
      </c>
      <c r="BR1582" s="5" t="s">
        <v>240</v>
      </c>
      <c r="BS1582" s="5" t="s">
        <v>240</v>
      </c>
      <c r="BT1582" s="5" t="s">
        <v>240</v>
      </c>
      <c r="BU1582" s="5" t="s">
        <v>240</v>
      </c>
      <c r="BV1582" s="5" t="s">
        <v>240</v>
      </c>
      <c r="BW1582" s="6" t="s">
        <v>240</v>
      </c>
      <c r="BX1582" s="5" t="s">
        <v>240</v>
      </c>
      <c r="BY1582" s="5" t="s">
        <v>240</v>
      </c>
      <c r="BZ1582" s="5" t="s">
        <v>240</v>
      </c>
      <c r="CA1582" s="5" t="s">
        <v>259</v>
      </c>
      <c r="CB1582" s="5" t="s">
        <v>240</v>
      </c>
      <c r="CC1582" s="5" t="s">
        <v>240</v>
      </c>
      <c r="CD1582" s="5" t="s">
        <v>240</v>
      </c>
      <c r="CE1582" s="5" t="s">
        <v>240</v>
      </c>
      <c r="CF1582" s="5" t="s">
        <v>240</v>
      </c>
      <c r="CG1582" s="5" t="s">
        <v>617</v>
      </c>
      <c r="CH1582" s="5" t="s">
        <v>305</v>
      </c>
      <c r="CI1582" s="5" t="s">
        <v>240</v>
      </c>
      <c r="CL1582" s="6" t="s">
        <v>261</v>
      </c>
      <c r="CM1582" s="5" t="s">
        <v>262</v>
      </c>
      <c r="CN1582" s="5" t="s">
        <v>263</v>
      </c>
      <c r="CO1582" s="5" t="s">
        <v>264</v>
      </c>
      <c r="CP1582" s="5" t="s">
        <v>240</v>
      </c>
      <c r="CQ1582" s="5">
        <v>0</v>
      </c>
      <c r="CR1582" s="5" t="s">
        <v>735</v>
      </c>
      <c r="CS1582" s="5" t="s">
        <v>307</v>
      </c>
      <c r="CT1582" s="5" t="s">
        <v>307</v>
      </c>
      <c r="CU1582" s="5" t="s">
        <v>260</v>
      </c>
      <c r="CV1582" s="5" t="s">
        <v>240</v>
      </c>
      <c r="CW1582" s="8">
        <f>0</f>
        <v>0</v>
      </c>
      <c r="CX1582" s="7">
        <f>0</f>
        <v>0</v>
      </c>
      <c r="CY1582" s="7">
        <f>0</f>
        <v>0</v>
      </c>
      <c r="DA1582" s="7">
        <f>5379</f>
        <v>5379</v>
      </c>
      <c r="DB1582" s="7" t="s">
        <v>240</v>
      </c>
      <c r="DC1582" s="5" t="s">
        <v>240</v>
      </c>
      <c r="DD1582" s="5" t="s">
        <v>240</v>
      </c>
      <c r="DE1582" s="5" t="s">
        <v>240</v>
      </c>
      <c r="DF1582" s="5" t="s">
        <v>450</v>
      </c>
      <c r="DG1582" s="7">
        <f>0</f>
        <v>0</v>
      </c>
      <c r="DH1582" s="6" t="s">
        <v>3168</v>
      </c>
      <c r="DI1582" s="5" t="s">
        <v>737</v>
      </c>
      <c r="DJ1582" s="5" t="s">
        <v>240</v>
      </c>
      <c r="DK1582" s="5" t="s">
        <v>240</v>
      </c>
      <c r="DL1582" s="5" t="s">
        <v>240</v>
      </c>
      <c r="DM1582" s="5" t="s">
        <v>240</v>
      </c>
      <c r="DN1582" s="5" t="s">
        <v>240</v>
      </c>
      <c r="DO1582" s="7" t="s">
        <v>240</v>
      </c>
      <c r="DP1582" s="5" t="s">
        <v>240</v>
      </c>
      <c r="DQ1582" s="5" t="s">
        <v>240</v>
      </c>
      <c r="DR1582" s="5" t="s">
        <v>731</v>
      </c>
      <c r="DS1582" s="5" t="s">
        <v>731</v>
      </c>
      <c r="DT1582" s="5" t="s">
        <v>240</v>
      </c>
      <c r="DU1582" s="5" t="s">
        <v>240</v>
      </c>
      <c r="DV1582" s="5" t="s">
        <v>3297</v>
      </c>
      <c r="DW1582" s="5" t="s">
        <v>312</v>
      </c>
      <c r="DX1582" s="5" t="s">
        <v>240</v>
      </c>
      <c r="DY1582" s="5" t="s">
        <v>240</v>
      </c>
      <c r="DZ1582" s="5" t="s">
        <v>240</v>
      </c>
      <c r="EA1582" s="5" t="s">
        <v>240</v>
      </c>
      <c r="EB1582" s="5" t="s">
        <v>240</v>
      </c>
      <c r="EC1582" s="5" t="s">
        <v>240</v>
      </c>
      <c r="ED1582" s="5" t="s">
        <v>240</v>
      </c>
      <c r="EE1582" s="5" t="s">
        <v>240</v>
      </c>
      <c r="EF1582" s="5" t="s">
        <v>240</v>
      </c>
      <c r="EG1582" s="5" t="s">
        <v>240</v>
      </c>
      <c r="EH1582" s="5" t="s">
        <v>240</v>
      </c>
      <c r="EI1582" s="5" t="s">
        <v>240</v>
      </c>
      <c r="EJ1582" s="5" t="s">
        <v>240</v>
      </c>
      <c r="EK1582" s="5" t="s">
        <v>240</v>
      </c>
      <c r="EL1582" s="5" t="s">
        <v>240</v>
      </c>
      <c r="EM1582" s="5" t="s">
        <v>240</v>
      </c>
      <c r="EN1582" s="5" t="s">
        <v>240</v>
      </c>
      <c r="EO1582" s="5" t="s">
        <v>240</v>
      </c>
      <c r="EP1582" s="5" t="s">
        <v>240</v>
      </c>
      <c r="EQ1582" s="5" t="s">
        <v>240</v>
      </c>
      <c r="ER1582" s="5" t="s">
        <v>240</v>
      </c>
      <c r="ES1582" s="5" t="s">
        <v>240</v>
      </c>
      <c r="ET1582" s="5" t="s">
        <v>240</v>
      </c>
      <c r="EU1582" s="5" t="s">
        <v>240</v>
      </c>
      <c r="EV1582" s="5" t="s">
        <v>240</v>
      </c>
      <c r="EW1582" s="5" t="s">
        <v>240</v>
      </c>
      <c r="EX1582" s="5" t="s">
        <v>240</v>
      </c>
      <c r="EY1582" s="5" t="s">
        <v>240</v>
      </c>
      <c r="EZ1582" s="5" t="s">
        <v>240</v>
      </c>
      <c r="FA1582" s="5" t="s">
        <v>240</v>
      </c>
      <c r="FB1582" s="5" t="s">
        <v>240</v>
      </c>
      <c r="FC1582" s="5" t="s">
        <v>240</v>
      </c>
      <c r="FD1582" s="5" t="s">
        <v>240</v>
      </c>
      <c r="FE1582" s="5" t="s">
        <v>240</v>
      </c>
      <c r="FF1582" s="5" t="s">
        <v>240</v>
      </c>
      <c r="FG1582" s="5" t="s">
        <v>240</v>
      </c>
      <c r="FH1582" s="5" t="s">
        <v>240</v>
      </c>
      <c r="FI1582" s="5" t="s">
        <v>240</v>
      </c>
      <c r="FJ1582" s="5" t="s">
        <v>240</v>
      </c>
      <c r="FK1582" s="5" t="s">
        <v>240</v>
      </c>
      <c r="FL1582" s="5" t="s">
        <v>240</v>
      </c>
      <c r="FM1582" s="5" t="s">
        <v>240</v>
      </c>
      <c r="FN1582" s="5" t="s">
        <v>240</v>
      </c>
      <c r="FO1582" s="5" t="s">
        <v>240</v>
      </c>
      <c r="FP1582" s="5" t="s">
        <v>240</v>
      </c>
      <c r="FQ1582" s="5" t="s">
        <v>240</v>
      </c>
      <c r="FR1582" s="5" t="s">
        <v>240</v>
      </c>
      <c r="FS1582" s="5" t="s">
        <v>240</v>
      </c>
      <c r="FT1582" s="5" t="s">
        <v>240</v>
      </c>
      <c r="FU1582" s="5" t="s">
        <v>240</v>
      </c>
      <c r="FV1582" s="5" t="s">
        <v>240</v>
      </c>
      <c r="FW1582" s="5" t="s">
        <v>240</v>
      </c>
      <c r="FX1582" s="5" t="s">
        <v>240</v>
      </c>
      <c r="FY1582" s="5" t="s">
        <v>240</v>
      </c>
      <c r="FZ1582" s="5" t="s">
        <v>240</v>
      </c>
      <c r="GA1582" s="5" t="s">
        <v>240</v>
      </c>
      <c r="GB1582" s="5" t="s">
        <v>240</v>
      </c>
      <c r="GC1582" s="5" t="s">
        <v>240</v>
      </c>
      <c r="GD1582" s="5" t="s">
        <v>240</v>
      </c>
      <c r="GE1582" s="5" t="s">
        <v>240</v>
      </c>
      <c r="GF1582" s="5" t="s">
        <v>240</v>
      </c>
      <c r="GG1582" s="5" t="s">
        <v>240</v>
      </c>
      <c r="GH1582" s="5" t="s">
        <v>240</v>
      </c>
      <c r="GI1582" s="5" t="s">
        <v>240</v>
      </c>
      <c r="GJ1582" s="5" t="s">
        <v>240</v>
      </c>
      <c r="GK1582" s="5" t="s">
        <v>240</v>
      </c>
      <c r="GL1582" s="5" t="s">
        <v>240</v>
      </c>
      <c r="GM1582" s="5" t="s">
        <v>240</v>
      </c>
      <c r="GN1582" s="5" t="s">
        <v>240</v>
      </c>
      <c r="GO1582" s="5" t="s">
        <v>240</v>
      </c>
      <c r="GP1582" s="5" t="s">
        <v>240</v>
      </c>
      <c r="GQ1582" s="5" t="s">
        <v>240</v>
      </c>
      <c r="GR1582" s="5" t="s">
        <v>240</v>
      </c>
      <c r="GS1582" s="5" t="s">
        <v>240</v>
      </c>
      <c r="GT1582" s="5" t="s">
        <v>240</v>
      </c>
      <c r="GU1582" s="5" t="s">
        <v>240</v>
      </c>
      <c r="GV1582" s="5" t="s">
        <v>240</v>
      </c>
      <c r="GW1582" s="5" t="s">
        <v>240</v>
      </c>
      <c r="GX1582" s="5" t="s">
        <v>240</v>
      </c>
      <c r="GY1582" s="5" t="s">
        <v>240</v>
      </c>
      <c r="GZ1582" s="5" t="s">
        <v>240</v>
      </c>
      <c r="HA1582" s="5" t="s">
        <v>240</v>
      </c>
      <c r="HB1582" s="5" t="s">
        <v>240</v>
      </c>
      <c r="HC1582" s="5" t="s">
        <v>240</v>
      </c>
      <c r="HD1582" s="5" t="s">
        <v>240</v>
      </c>
      <c r="HE1582" s="5" t="s">
        <v>240</v>
      </c>
      <c r="HF1582" s="5" t="s">
        <v>240</v>
      </c>
      <c r="HG1582" s="5" t="s">
        <v>240</v>
      </c>
      <c r="HH1582" s="5" t="s">
        <v>240</v>
      </c>
      <c r="HI1582" s="5" t="s">
        <v>240</v>
      </c>
      <c r="HJ1582" s="5" t="s">
        <v>240</v>
      </c>
      <c r="HK1582" s="5" t="s">
        <v>240</v>
      </c>
      <c r="HL1582" s="5" t="s">
        <v>240</v>
      </c>
      <c r="HM1582" s="5" t="s">
        <v>240</v>
      </c>
      <c r="HN1582" s="5" t="s">
        <v>240</v>
      </c>
      <c r="HO1582" s="5" t="s">
        <v>312</v>
      </c>
      <c r="HP1582" s="5" t="s">
        <v>240</v>
      </c>
      <c r="HQ1582" s="5" t="s">
        <v>240</v>
      </c>
      <c r="HR1582" s="5" t="s">
        <v>240</v>
      </c>
      <c r="HS1582" s="5" t="s">
        <v>240</v>
      </c>
      <c r="HT1582" s="5" t="s">
        <v>240</v>
      </c>
      <c r="HU1582" s="5" t="s">
        <v>240</v>
      </c>
      <c r="HV1582" s="5" t="s">
        <v>240</v>
      </c>
      <c r="HW1582" s="5" t="s">
        <v>240</v>
      </c>
      <c r="HX1582" s="5" t="s">
        <v>240</v>
      </c>
      <c r="HY1582" s="5" t="s">
        <v>240</v>
      </c>
      <c r="HZ1582" s="5" t="s">
        <v>240</v>
      </c>
      <c r="IA1582" s="5" t="s">
        <v>240</v>
      </c>
      <c r="IB1582" s="5" t="s">
        <v>240</v>
      </c>
      <c r="IC1582" s="5" t="s">
        <v>240</v>
      </c>
      <c r="ID1582" s="5" t="s">
        <v>240</v>
      </c>
      <c r="IE1582" s="5" t="s">
        <v>240</v>
      </c>
      <c r="IF1582" s="5" t="s">
        <v>240</v>
      </c>
    </row>
    <row r="1583" spans="1:240" x14ac:dyDescent="0.4">
      <c r="A1583" s="5">
        <v>3258</v>
      </c>
      <c r="B1583" s="5">
        <v>1</v>
      </c>
      <c r="C1583" s="5">
        <v>1</v>
      </c>
      <c r="D1583" s="5" t="s">
        <v>297</v>
      </c>
      <c r="E1583" s="5" t="s">
        <v>245</v>
      </c>
      <c r="F1583" s="5" t="s">
        <v>254</v>
      </c>
      <c r="G1583" s="5" t="s">
        <v>240</v>
      </c>
      <c r="H1583" s="6" t="s">
        <v>4590</v>
      </c>
      <c r="I1583" s="5" t="s">
        <v>295</v>
      </c>
      <c r="J1583" s="8">
        <f>6345</f>
        <v>6345</v>
      </c>
      <c r="K1583" s="5" t="s">
        <v>308</v>
      </c>
      <c r="L1583" s="7">
        <f>1</f>
        <v>1</v>
      </c>
      <c r="M1583" s="7">
        <f>1</f>
        <v>1</v>
      </c>
      <c r="N1583" s="5" t="s">
        <v>242</v>
      </c>
      <c r="O1583" s="5">
        <v>1</v>
      </c>
      <c r="P1583" s="5" t="s">
        <v>294</v>
      </c>
      <c r="Q1583" s="5" t="s">
        <v>266</v>
      </c>
      <c r="R1583" s="5" t="s">
        <v>240</v>
      </c>
      <c r="S1583" s="5" t="s">
        <v>240</v>
      </c>
      <c r="T1583" s="5" t="s">
        <v>296</v>
      </c>
      <c r="U1583" s="5" t="s">
        <v>244</v>
      </c>
      <c r="V1583" s="5" t="s">
        <v>240</v>
      </c>
      <c r="Y1583" s="5" t="s">
        <v>240</v>
      </c>
      <c r="Z1583" s="6" t="s">
        <v>298</v>
      </c>
      <c r="AB1583" s="6" t="s">
        <v>240</v>
      </c>
      <c r="AE1583" s="6" t="s">
        <v>299</v>
      </c>
      <c r="AF1583" s="5" t="s">
        <v>248</v>
      </c>
      <c r="AG1583" s="5" t="s">
        <v>249</v>
      </c>
      <c r="AW1583" s="5" t="s">
        <v>251</v>
      </c>
      <c r="AX1583" s="5" t="s">
        <v>240</v>
      </c>
      <c r="AY1583" s="5" t="s">
        <v>253</v>
      </c>
      <c r="AZ1583" s="5" t="s">
        <v>240</v>
      </c>
      <c r="BA1583" s="5" t="s">
        <v>255</v>
      </c>
      <c r="BB1583" s="5" t="s">
        <v>240</v>
      </c>
      <c r="BD1583" s="5" t="s">
        <v>240</v>
      </c>
      <c r="BF1583" s="5" t="s">
        <v>301</v>
      </c>
      <c r="BG1583" s="6" t="s">
        <v>299</v>
      </c>
      <c r="BH1583" s="5" t="s">
        <v>302</v>
      </c>
      <c r="BI1583" s="5" t="s">
        <v>303</v>
      </c>
      <c r="BJ1583" s="5" t="s">
        <v>240</v>
      </c>
      <c r="BK1583" s="8">
        <f>0</f>
        <v>0</v>
      </c>
      <c r="BL1583" s="7">
        <f>0</f>
        <v>0</v>
      </c>
      <c r="BM1583" s="5" t="s">
        <v>258</v>
      </c>
      <c r="BN1583" s="5" t="s">
        <v>259</v>
      </c>
      <c r="CB1583" s="5" t="s">
        <v>240</v>
      </c>
      <c r="CC1583" s="5" t="s">
        <v>240</v>
      </c>
      <c r="CG1583" s="5" t="s">
        <v>304</v>
      </c>
      <c r="CH1583" s="5" t="s">
        <v>305</v>
      </c>
      <c r="CI1583" s="5" t="s">
        <v>240</v>
      </c>
      <c r="CL1583" s="6" t="s">
        <v>261</v>
      </c>
      <c r="CM1583" s="5" t="s">
        <v>240</v>
      </c>
      <c r="CN1583" s="5" t="s">
        <v>263</v>
      </c>
      <c r="CO1583" s="5" t="s">
        <v>240</v>
      </c>
      <c r="CP1583" s="5" t="s">
        <v>240</v>
      </c>
      <c r="CQ1583" s="5">
        <v>0</v>
      </c>
      <c r="CR1583" s="5" t="s">
        <v>306</v>
      </c>
      <c r="CS1583" s="5" t="s">
        <v>307</v>
      </c>
      <c r="CT1583" s="5" t="s">
        <v>307</v>
      </c>
      <c r="CU1583" s="5" t="s">
        <v>260</v>
      </c>
      <c r="CX1583" s="7">
        <f>1</f>
        <v>1</v>
      </c>
      <c r="CY1583" s="7">
        <f>0</f>
        <v>0</v>
      </c>
      <c r="DA1583" s="7">
        <f>0</f>
        <v>0</v>
      </c>
      <c r="DC1583" s="5" t="s">
        <v>812</v>
      </c>
      <c r="DD1583" s="5" t="s">
        <v>240</v>
      </c>
      <c r="DF1583" s="5" t="s">
        <v>812</v>
      </c>
      <c r="DG1583" s="7">
        <f>423</f>
        <v>423</v>
      </c>
      <c r="DI1583" s="5" t="s">
        <v>240</v>
      </c>
      <c r="DJ1583" s="5" t="s">
        <v>240</v>
      </c>
      <c r="DK1583" s="5" t="s">
        <v>240</v>
      </c>
      <c r="DL1583" s="5" t="s">
        <v>240</v>
      </c>
      <c r="DP1583" s="5" t="s">
        <v>240</v>
      </c>
      <c r="DQ1583" s="5" t="s">
        <v>240</v>
      </c>
      <c r="DR1583" s="5" t="s">
        <v>240</v>
      </c>
      <c r="DS1583" s="5" t="s">
        <v>240</v>
      </c>
      <c r="DV1583" s="5" t="s">
        <v>813</v>
      </c>
      <c r="DW1583" s="5" t="s">
        <v>3299</v>
      </c>
      <c r="HO1583" s="5" t="s">
        <v>312</v>
      </c>
    </row>
    <row r="1584" spans="1:240" x14ac:dyDescent="0.4">
      <c r="A1584" s="5">
        <v>3259</v>
      </c>
      <c r="B1584" s="5">
        <v>1</v>
      </c>
      <c r="C1584" s="5">
        <v>1</v>
      </c>
      <c r="D1584" s="5" t="s">
        <v>297</v>
      </c>
      <c r="E1584" s="5" t="s">
        <v>245</v>
      </c>
      <c r="F1584" s="5" t="s">
        <v>254</v>
      </c>
      <c r="G1584" s="5" t="s">
        <v>240</v>
      </c>
      <c r="H1584" s="6" t="s">
        <v>4589</v>
      </c>
      <c r="I1584" s="5" t="s">
        <v>295</v>
      </c>
      <c r="J1584" s="8">
        <f>331</f>
        <v>331</v>
      </c>
      <c r="K1584" s="5" t="s">
        <v>308</v>
      </c>
      <c r="L1584" s="7">
        <f>1</f>
        <v>1</v>
      </c>
      <c r="M1584" s="7">
        <f>1</f>
        <v>1</v>
      </c>
      <c r="N1584" s="5" t="s">
        <v>242</v>
      </c>
      <c r="O1584" s="5">
        <v>1</v>
      </c>
      <c r="P1584" s="5" t="s">
        <v>294</v>
      </c>
      <c r="Q1584" s="5" t="s">
        <v>266</v>
      </c>
      <c r="R1584" s="5" t="s">
        <v>240</v>
      </c>
      <c r="S1584" s="5" t="s">
        <v>240</v>
      </c>
      <c r="T1584" s="5" t="s">
        <v>296</v>
      </c>
      <c r="U1584" s="5" t="s">
        <v>244</v>
      </c>
      <c r="V1584" s="5" t="s">
        <v>240</v>
      </c>
      <c r="Y1584" s="5" t="s">
        <v>240</v>
      </c>
      <c r="Z1584" s="6" t="s">
        <v>298</v>
      </c>
      <c r="AB1584" s="6" t="s">
        <v>240</v>
      </c>
      <c r="AE1584" s="6" t="s">
        <v>299</v>
      </c>
      <c r="AF1584" s="5" t="s">
        <v>248</v>
      </c>
      <c r="AG1584" s="5" t="s">
        <v>249</v>
      </c>
      <c r="AW1584" s="5" t="s">
        <v>251</v>
      </c>
      <c r="AX1584" s="5" t="s">
        <v>240</v>
      </c>
      <c r="AY1584" s="5" t="s">
        <v>253</v>
      </c>
      <c r="AZ1584" s="5" t="s">
        <v>240</v>
      </c>
      <c r="BA1584" s="5" t="s">
        <v>255</v>
      </c>
      <c r="BB1584" s="5" t="s">
        <v>240</v>
      </c>
      <c r="BD1584" s="5" t="s">
        <v>240</v>
      </c>
      <c r="BF1584" s="5" t="s">
        <v>301</v>
      </c>
      <c r="BG1584" s="6" t="s">
        <v>299</v>
      </c>
      <c r="BH1584" s="5" t="s">
        <v>302</v>
      </c>
      <c r="BI1584" s="5" t="s">
        <v>303</v>
      </c>
      <c r="BJ1584" s="5" t="s">
        <v>240</v>
      </c>
      <c r="BK1584" s="8">
        <f>0</f>
        <v>0</v>
      </c>
      <c r="BL1584" s="7">
        <f>0</f>
        <v>0</v>
      </c>
      <c r="BM1584" s="5" t="s">
        <v>258</v>
      </c>
      <c r="BN1584" s="5" t="s">
        <v>259</v>
      </c>
      <c r="CB1584" s="5" t="s">
        <v>240</v>
      </c>
      <c r="CC1584" s="5" t="s">
        <v>240</v>
      </c>
      <c r="CG1584" s="5" t="s">
        <v>304</v>
      </c>
      <c r="CH1584" s="5" t="s">
        <v>305</v>
      </c>
      <c r="CI1584" s="5" t="s">
        <v>240</v>
      </c>
      <c r="CL1584" s="6" t="s">
        <v>261</v>
      </c>
      <c r="CM1584" s="5" t="s">
        <v>240</v>
      </c>
      <c r="CN1584" s="5" t="s">
        <v>263</v>
      </c>
      <c r="CO1584" s="5" t="s">
        <v>240</v>
      </c>
      <c r="CP1584" s="5" t="s">
        <v>240</v>
      </c>
      <c r="CQ1584" s="5">
        <v>0</v>
      </c>
      <c r="CR1584" s="5" t="s">
        <v>306</v>
      </c>
      <c r="CS1584" s="5" t="s">
        <v>307</v>
      </c>
      <c r="CT1584" s="5" t="s">
        <v>307</v>
      </c>
      <c r="CU1584" s="5" t="s">
        <v>260</v>
      </c>
      <c r="CX1584" s="7">
        <f>1</f>
        <v>1</v>
      </c>
      <c r="CY1584" s="7">
        <f>0</f>
        <v>0</v>
      </c>
      <c r="DA1584" s="7">
        <f>0</f>
        <v>0</v>
      </c>
      <c r="DC1584" s="5" t="s">
        <v>812</v>
      </c>
      <c r="DD1584" s="5" t="s">
        <v>240</v>
      </c>
      <c r="DF1584" s="5" t="s">
        <v>812</v>
      </c>
      <c r="DG1584" s="7">
        <f>173</f>
        <v>173</v>
      </c>
      <c r="DI1584" s="5" t="s">
        <v>240</v>
      </c>
      <c r="DJ1584" s="5" t="s">
        <v>240</v>
      </c>
      <c r="DK1584" s="5" t="s">
        <v>240</v>
      </c>
      <c r="DL1584" s="5" t="s">
        <v>240</v>
      </c>
      <c r="DP1584" s="5" t="s">
        <v>240</v>
      </c>
      <c r="DQ1584" s="5" t="s">
        <v>240</v>
      </c>
      <c r="DR1584" s="5" t="s">
        <v>240</v>
      </c>
      <c r="DS1584" s="5" t="s">
        <v>240</v>
      </c>
      <c r="DV1584" s="5" t="s">
        <v>813</v>
      </c>
      <c r="DW1584" s="5" t="s">
        <v>3301</v>
      </c>
      <c r="HO1584" s="5" t="s">
        <v>312</v>
      </c>
    </row>
    <row r="1585" spans="1:223" x14ac:dyDescent="0.4">
      <c r="A1585" s="5">
        <v>3260</v>
      </c>
      <c r="B1585" s="5">
        <v>1</v>
      </c>
      <c r="C1585" s="5">
        <v>1</v>
      </c>
      <c r="D1585" s="5" t="s">
        <v>297</v>
      </c>
      <c r="E1585" s="5" t="s">
        <v>245</v>
      </c>
      <c r="F1585" s="5" t="s">
        <v>254</v>
      </c>
      <c r="G1585" s="5" t="s">
        <v>240</v>
      </c>
      <c r="H1585" s="6" t="s">
        <v>4588</v>
      </c>
      <c r="I1585" s="5" t="s">
        <v>295</v>
      </c>
      <c r="J1585" s="8">
        <f>1512</f>
        <v>1512</v>
      </c>
      <c r="K1585" s="5" t="s">
        <v>308</v>
      </c>
      <c r="L1585" s="7">
        <f>1</f>
        <v>1</v>
      </c>
      <c r="M1585" s="7">
        <f>1</f>
        <v>1</v>
      </c>
      <c r="N1585" s="5" t="s">
        <v>242</v>
      </c>
      <c r="O1585" s="5">
        <v>1</v>
      </c>
      <c r="P1585" s="5" t="s">
        <v>294</v>
      </c>
      <c r="Q1585" s="5" t="s">
        <v>266</v>
      </c>
      <c r="R1585" s="5" t="s">
        <v>240</v>
      </c>
      <c r="S1585" s="5" t="s">
        <v>240</v>
      </c>
      <c r="T1585" s="5" t="s">
        <v>296</v>
      </c>
      <c r="U1585" s="5" t="s">
        <v>244</v>
      </c>
      <c r="V1585" s="5" t="s">
        <v>240</v>
      </c>
      <c r="Y1585" s="5" t="s">
        <v>240</v>
      </c>
      <c r="Z1585" s="6" t="s">
        <v>298</v>
      </c>
      <c r="AB1585" s="6" t="s">
        <v>240</v>
      </c>
      <c r="AE1585" s="6" t="s">
        <v>299</v>
      </c>
      <c r="AF1585" s="5" t="s">
        <v>248</v>
      </c>
      <c r="AG1585" s="5" t="s">
        <v>249</v>
      </c>
      <c r="AW1585" s="5" t="s">
        <v>251</v>
      </c>
      <c r="AX1585" s="5" t="s">
        <v>240</v>
      </c>
      <c r="AY1585" s="5" t="s">
        <v>253</v>
      </c>
      <c r="AZ1585" s="5" t="s">
        <v>240</v>
      </c>
      <c r="BA1585" s="5" t="s">
        <v>255</v>
      </c>
      <c r="BB1585" s="5" t="s">
        <v>240</v>
      </c>
      <c r="BD1585" s="5" t="s">
        <v>240</v>
      </c>
      <c r="BF1585" s="5" t="s">
        <v>301</v>
      </c>
      <c r="BG1585" s="6" t="s">
        <v>299</v>
      </c>
      <c r="BH1585" s="5" t="s">
        <v>302</v>
      </c>
      <c r="BI1585" s="5" t="s">
        <v>303</v>
      </c>
      <c r="BJ1585" s="5" t="s">
        <v>240</v>
      </c>
      <c r="BK1585" s="8">
        <f>0</f>
        <v>0</v>
      </c>
      <c r="BL1585" s="7">
        <f>0</f>
        <v>0</v>
      </c>
      <c r="BM1585" s="5" t="s">
        <v>258</v>
      </c>
      <c r="BN1585" s="5" t="s">
        <v>259</v>
      </c>
      <c r="CB1585" s="5" t="s">
        <v>240</v>
      </c>
      <c r="CC1585" s="5" t="s">
        <v>240</v>
      </c>
      <c r="CG1585" s="5" t="s">
        <v>304</v>
      </c>
      <c r="CH1585" s="5" t="s">
        <v>305</v>
      </c>
      <c r="CI1585" s="5" t="s">
        <v>240</v>
      </c>
      <c r="CL1585" s="6" t="s">
        <v>261</v>
      </c>
      <c r="CM1585" s="5" t="s">
        <v>240</v>
      </c>
      <c r="CN1585" s="5" t="s">
        <v>263</v>
      </c>
      <c r="CO1585" s="5" t="s">
        <v>240</v>
      </c>
      <c r="CP1585" s="5" t="s">
        <v>240</v>
      </c>
      <c r="CQ1585" s="5">
        <v>0</v>
      </c>
      <c r="CR1585" s="5" t="s">
        <v>306</v>
      </c>
      <c r="CS1585" s="5" t="s">
        <v>307</v>
      </c>
      <c r="CT1585" s="5" t="s">
        <v>307</v>
      </c>
      <c r="CU1585" s="5" t="s">
        <v>260</v>
      </c>
      <c r="CX1585" s="7">
        <f>1</f>
        <v>1</v>
      </c>
      <c r="CY1585" s="7">
        <f>0</f>
        <v>0</v>
      </c>
      <c r="DA1585" s="7">
        <f>0</f>
        <v>0</v>
      </c>
      <c r="DC1585" s="5" t="s">
        <v>812</v>
      </c>
      <c r="DD1585" s="5" t="s">
        <v>240</v>
      </c>
      <c r="DF1585" s="5" t="s">
        <v>812</v>
      </c>
      <c r="DG1585" s="7">
        <f>988</f>
        <v>988</v>
      </c>
      <c r="DI1585" s="5" t="s">
        <v>240</v>
      </c>
      <c r="DJ1585" s="5" t="s">
        <v>240</v>
      </c>
      <c r="DK1585" s="5" t="s">
        <v>240</v>
      </c>
      <c r="DL1585" s="5" t="s">
        <v>240</v>
      </c>
      <c r="DP1585" s="5" t="s">
        <v>240</v>
      </c>
      <c r="DQ1585" s="5" t="s">
        <v>240</v>
      </c>
      <c r="DR1585" s="5" t="s">
        <v>240</v>
      </c>
      <c r="DS1585" s="5" t="s">
        <v>240</v>
      </c>
      <c r="DV1585" s="5" t="s">
        <v>813</v>
      </c>
      <c r="DW1585" s="5" t="s">
        <v>3303</v>
      </c>
      <c r="HO1585" s="5" t="s">
        <v>312</v>
      </c>
    </row>
    <row r="1586" spans="1:223" x14ac:dyDescent="0.4">
      <c r="A1586" s="5">
        <v>3261</v>
      </c>
      <c r="B1586" s="5">
        <v>1</v>
      </c>
      <c r="C1586" s="5">
        <v>1</v>
      </c>
      <c r="D1586" s="5" t="s">
        <v>297</v>
      </c>
      <c r="E1586" s="5" t="s">
        <v>245</v>
      </c>
      <c r="F1586" s="5" t="s">
        <v>254</v>
      </c>
      <c r="G1586" s="5" t="s">
        <v>240</v>
      </c>
      <c r="H1586" s="6" t="s">
        <v>5706</v>
      </c>
      <c r="I1586" s="5" t="s">
        <v>295</v>
      </c>
      <c r="J1586" s="8">
        <f>1730</f>
        <v>1730</v>
      </c>
      <c r="K1586" s="5" t="s">
        <v>308</v>
      </c>
      <c r="L1586" s="7">
        <f>1</f>
        <v>1</v>
      </c>
      <c r="M1586" s="7">
        <f>1</f>
        <v>1</v>
      </c>
      <c r="N1586" s="5" t="s">
        <v>242</v>
      </c>
      <c r="O1586" s="5">
        <v>1</v>
      </c>
      <c r="P1586" s="5" t="s">
        <v>294</v>
      </c>
      <c r="Q1586" s="5" t="s">
        <v>266</v>
      </c>
      <c r="R1586" s="5" t="s">
        <v>240</v>
      </c>
      <c r="S1586" s="5" t="s">
        <v>240</v>
      </c>
      <c r="T1586" s="5" t="s">
        <v>296</v>
      </c>
      <c r="U1586" s="5" t="s">
        <v>244</v>
      </c>
      <c r="V1586" s="5" t="s">
        <v>240</v>
      </c>
      <c r="Y1586" s="5" t="s">
        <v>240</v>
      </c>
      <c r="Z1586" s="6" t="s">
        <v>298</v>
      </c>
      <c r="AB1586" s="6" t="s">
        <v>240</v>
      </c>
      <c r="AE1586" s="6" t="s">
        <v>299</v>
      </c>
      <c r="AF1586" s="5" t="s">
        <v>248</v>
      </c>
      <c r="AG1586" s="5" t="s">
        <v>249</v>
      </c>
      <c r="AW1586" s="5" t="s">
        <v>251</v>
      </c>
      <c r="AX1586" s="5" t="s">
        <v>240</v>
      </c>
      <c r="AY1586" s="5" t="s">
        <v>253</v>
      </c>
      <c r="AZ1586" s="5" t="s">
        <v>240</v>
      </c>
      <c r="BA1586" s="5" t="s">
        <v>255</v>
      </c>
      <c r="BB1586" s="5" t="s">
        <v>240</v>
      </c>
      <c r="BD1586" s="5" t="s">
        <v>240</v>
      </c>
      <c r="BF1586" s="5" t="s">
        <v>301</v>
      </c>
      <c r="BG1586" s="6" t="s">
        <v>299</v>
      </c>
      <c r="BH1586" s="5" t="s">
        <v>302</v>
      </c>
      <c r="BI1586" s="5" t="s">
        <v>303</v>
      </c>
      <c r="BJ1586" s="5" t="s">
        <v>240</v>
      </c>
      <c r="BK1586" s="8">
        <f>0</f>
        <v>0</v>
      </c>
      <c r="BL1586" s="7">
        <f>0</f>
        <v>0</v>
      </c>
      <c r="BM1586" s="5" t="s">
        <v>258</v>
      </c>
      <c r="BN1586" s="5" t="s">
        <v>259</v>
      </c>
      <c r="CB1586" s="5" t="s">
        <v>240</v>
      </c>
      <c r="CC1586" s="5" t="s">
        <v>240</v>
      </c>
      <c r="CG1586" s="5" t="s">
        <v>304</v>
      </c>
      <c r="CH1586" s="5" t="s">
        <v>305</v>
      </c>
      <c r="CI1586" s="5" t="s">
        <v>240</v>
      </c>
      <c r="CL1586" s="6" t="s">
        <v>261</v>
      </c>
      <c r="CM1586" s="5" t="s">
        <v>240</v>
      </c>
      <c r="CN1586" s="5" t="s">
        <v>263</v>
      </c>
      <c r="CO1586" s="5" t="s">
        <v>240</v>
      </c>
      <c r="CP1586" s="5" t="s">
        <v>240</v>
      </c>
      <c r="CQ1586" s="5">
        <v>0</v>
      </c>
      <c r="CR1586" s="5" t="s">
        <v>306</v>
      </c>
      <c r="CS1586" s="5" t="s">
        <v>307</v>
      </c>
      <c r="CT1586" s="5" t="s">
        <v>307</v>
      </c>
      <c r="CU1586" s="5" t="s">
        <v>260</v>
      </c>
      <c r="CX1586" s="7">
        <f>1</f>
        <v>1</v>
      </c>
      <c r="CY1586" s="7">
        <f>0</f>
        <v>0</v>
      </c>
      <c r="DA1586" s="7">
        <f>0</f>
        <v>0</v>
      </c>
      <c r="DC1586" s="5" t="s">
        <v>309</v>
      </c>
      <c r="DD1586" s="5" t="s">
        <v>240</v>
      </c>
      <c r="DF1586" s="5" t="s">
        <v>309</v>
      </c>
      <c r="DG1586" s="7">
        <f>303</f>
        <v>303</v>
      </c>
      <c r="DI1586" s="5" t="s">
        <v>240</v>
      </c>
      <c r="DJ1586" s="5" t="s">
        <v>240</v>
      </c>
      <c r="DK1586" s="5" t="s">
        <v>240</v>
      </c>
      <c r="DL1586" s="5" t="s">
        <v>240</v>
      </c>
      <c r="DP1586" s="5" t="s">
        <v>240</v>
      </c>
      <c r="DQ1586" s="5" t="s">
        <v>240</v>
      </c>
      <c r="DR1586" s="5" t="s">
        <v>240</v>
      </c>
      <c r="DS1586" s="5" t="s">
        <v>240</v>
      </c>
      <c r="DV1586" s="5" t="s">
        <v>310</v>
      </c>
      <c r="DW1586" s="5" t="s">
        <v>2399</v>
      </c>
      <c r="HO1586" s="5" t="s">
        <v>312</v>
      </c>
    </row>
    <row r="1587" spans="1:223" x14ac:dyDescent="0.4">
      <c r="A1587" s="5">
        <v>3262</v>
      </c>
      <c r="B1587" s="5">
        <v>1</v>
      </c>
      <c r="C1587" s="5">
        <v>1</v>
      </c>
      <c r="D1587" s="5" t="s">
        <v>297</v>
      </c>
      <c r="E1587" s="5" t="s">
        <v>245</v>
      </c>
      <c r="F1587" s="5" t="s">
        <v>254</v>
      </c>
      <c r="G1587" s="5" t="s">
        <v>240</v>
      </c>
      <c r="H1587" s="6" t="s">
        <v>4586</v>
      </c>
      <c r="I1587" s="5" t="s">
        <v>295</v>
      </c>
      <c r="J1587" s="8">
        <f>1694</f>
        <v>1694</v>
      </c>
      <c r="K1587" s="5" t="s">
        <v>308</v>
      </c>
      <c r="L1587" s="7">
        <f>1</f>
        <v>1</v>
      </c>
      <c r="M1587" s="7">
        <f>1</f>
        <v>1</v>
      </c>
      <c r="N1587" s="5" t="s">
        <v>242</v>
      </c>
      <c r="O1587" s="5">
        <v>1</v>
      </c>
      <c r="P1587" s="5" t="s">
        <v>294</v>
      </c>
      <c r="Q1587" s="5" t="s">
        <v>266</v>
      </c>
      <c r="R1587" s="5" t="s">
        <v>240</v>
      </c>
      <c r="S1587" s="5" t="s">
        <v>240</v>
      </c>
      <c r="T1587" s="5" t="s">
        <v>296</v>
      </c>
      <c r="U1587" s="5" t="s">
        <v>244</v>
      </c>
      <c r="V1587" s="5" t="s">
        <v>240</v>
      </c>
      <c r="Y1587" s="5" t="s">
        <v>240</v>
      </c>
      <c r="Z1587" s="6" t="s">
        <v>298</v>
      </c>
      <c r="AB1587" s="6" t="s">
        <v>240</v>
      </c>
      <c r="AE1587" s="6" t="s">
        <v>299</v>
      </c>
      <c r="AF1587" s="5" t="s">
        <v>248</v>
      </c>
      <c r="AG1587" s="5" t="s">
        <v>249</v>
      </c>
      <c r="AW1587" s="5" t="s">
        <v>251</v>
      </c>
      <c r="AX1587" s="5" t="s">
        <v>240</v>
      </c>
      <c r="AY1587" s="5" t="s">
        <v>253</v>
      </c>
      <c r="AZ1587" s="5" t="s">
        <v>240</v>
      </c>
      <c r="BA1587" s="5" t="s">
        <v>255</v>
      </c>
      <c r="BB1587" s="5" t="s">
        <v>240</v>
      </c>
      <c r="BD1587" s="5" t="s">
        <v>240</v>
      </c>
      <c r="BF1587" s="5" t="s">
        <v>301</v>
      </c>
      <c r="BG1587" s="6" t="s">
        <v>299</v>
      </c>
      <c r="BH1587" s="5" t="s">
        <v>302</v>
      </c>
      <c r="BI1587" s="5" t="s">
        <v>303</v>
      </c>
      <c r="BJ1587" s="5" t="s">
        <v>240</v>
      </c>
      <c r="BK1587" s="8">
        <f>0</f>
        <v>0</v>
      </c>
      <c r="BL1587" s="7">
        <f>0</f>
        <v>0</v>
      </c>
      <c r="BM1587" s="5" t="s">
        <v>258</v>
      </c>
      <c r="BN1587" s="5" t="s">
        <v>259</v>
      </c>
      <c r="CB1587" s="5" t="s">
        <v>240</v>
      </c>
      <c r="CC1587" s="5" t="s">
        <v>240</v>
      </c>
      <c r="CG1587" s="5" t="s">
        <v>304</v>
      </c>
      <c r="CH1587" s="5" t="s">
        <v>305</v>
      </c>
      <c r="CI1587" s="5" t="s">
        <v>240</v>
      </c>
      <c r="CL1587" s="6" t="s">
        <v>261</v>
      </c>
      <c r="CM1587" s="5" t="s">
        <v>240</v>
      </c>
      <c r="CN1587" s="5" t="s">
        <v>263</v>
      </c>
      <c r="CO1587" s="5" t="s">
        <v>240</v>
      </c>
      <c r="CP1587" s="5" t="s">
        <v>240</v>
      </c>
      <c r="CQ1587" s="5">
        <v>0</v>
      </c>
      <c r="CR1587" s="5" t="s">
        <v>306</v>
      </c>
      <c r="CS1587" s="5" t="s">
        <v>307</v>
      </c>
      <c r="CT1587" s="5" t="s">
        <v>307</v>
      </c>
      <c r="CU1587" s="5" t="s">
        <v>260</v>
      </c>
      <c r="CX1587" s="7">
        <f>1</f>
        <v>1</v>
      </c>
      <c r="CY1587" s="7">
        <f>0</f>
        <v>0</v>
      </c>
      <c r="DA1587" s="7">
        <f>0</f>
        <v>0</v>
      </c>
      <c r="DC1587" s="5" t="s">
        <v>812</v>
      </c>
      <c r="DD1587" s="5" t="s">
        <v>240</v>
      </c>
      <c r="DF1587" s="5" t="s">
        <v>812</v>
      </c>
      <c r="DG1587" s="7">
        <f>678</f>
        <v>678</v>
      </c>
      <c r="DI1587" s="5" t="s">
        <v>240</v>
      </c>
      <c r="DJ1587" s="5" t="s">
        <v>240</v>
      </c>
      <c r="DK1587" s="5" t="s">
        <v>240</v>
      </c>
      <c r="DL1587" s="5" t="s">
        <v>240</v>
      </c>
      <c r="DP1587" s="5" t="s">
        <v>240</v>
      </c>
      <c r="DQ1587" s="5" t="s">
        <v>240</v>
      </c>
      <c r="DR1587" s="5" t="s">
        <v>240</v>
      </c>
      <c r="DS1587" s="5" t="s">
        <v>240</v>
      </c>
      <c r="DV1587" s="5" t="s">
        <v>813</v>
      </c>
      <c r="DW1587" s="5" t="s">
        <v>3306</v>
      </c>
      <c r="HO1587" s="5" t="s">
        <v>312</v>
      </c>
    </row>
    <row r="1588" spans="1:223" x14ac:dyDescent="0.4">
      <c r="A1588" s="5">
        <v>3263</v>
      </c>
      <c r="B1588" s="5">
        <v>1</v>
      </c>
      <c r="C1588" s="5">
        <v>1</v>
      </c>
      <c r="D1588" s="5" t="s">
        <v>297</v>
      </c>
      <c r="E1588" s="5" t="s">
        <v>245</v>
      </c>
      <c r="F1588" s="5" t="s">
        <v>254</v>
      </c>
      <c r="G1588" s="5" t="s">
        <v>240</v>
      </c>
      <c r="H1588" s="6" t="s">
        <v>4585</v>
      </c>
      <c r="I1588" s="5" t="s">
        <v>295</v>
      </c>
      <c r="J1588" s="8">
        <f>1296</f>
        <v>1296</v>
      </c>
      <c r="K1588" s="5" t="s">
        <v>308</v>
      </c>
      <c r="L1588" s="7">
        <f>1</f>
        <v>1</v>
      </c>
      <c r="M1588" s="7">
        <f>1</f>
        <v>1</v>
      </c>
      <c r="N1588" s="5" t="s">
        <v>242</v>
      </c>
      <c r="O1588" s="5">
        <v>1</v>
      </c>
      <c r="P1588" s="5" t="s">
        <v>294</v>
      </c>
      <c r="Q1588" s="5" t="s">
        <v>266</v>
      </c>
      <c r="R1588" s="5" t="s">
        <v>240</v>
      </c>
      <c r="S1588" s="5" t="s">
        <v>240</v>
      </c>
      <c r="T1588" s="5" t="s">
        <v>296</v>
      </c>
      <c r="U1588" s="5" t="s">
        <v>244</v>
      </c>
      <c r="V1588" s="5" t="s">
        <v>240</v>
      </c>
      <c r="Y1588" s="5" t="s">
        <v>240</v>
      </c>
      <c r="Z1588" s="6" t="s">
        <v>298</v>
      </c>
      <c r="AB1588" s="6" t="s">
        <v>240</v>
      </c>
      <c r="AE1588" s="6" t="s">
        <v>299</v>
      </c>
      <c r="AF1588" s="5" t="s">
        <v>248</v>
      </c>
      <c r="AG1588" s="5" t="s">
        <v>249</v>
      </c>
      <c r="AW1588" s="5" t="s">
        <v>251</v>
      </c>
      <c r="AX1588" s="5" t="s">
        <v>240</v>
      </c>
      <c r="AY1588" s="5" t="s">
        <v>253</v>
      </c>
      <c r="AZ1588" s="5" t="s">
        <v>240</v>
      </c>
      <c r="BA1588" s="5" t="s">
        <v>255</v>
      </c>
      <c r="BB1588" s="5" t="s">
        <v>240</v>
      </c>
      <c r="BD1588" s="5" t="s">
        <v>240</v>
      </c>
      <c r="BF1588" s="5" t="s">
        <v>301</v>
      </c>
      <c r="BG1588" s="6" t="s">
        <v>299</v>
      </c>
      <c r="BH1588" s="5" t="s">
        <v>302</v>
      </c>
      <c r="BI1588" s="5" t="s">
        <v>303</v>
      </c>
      <c r="BJ1588" s="5" t="s">
        <v>240</v>
      </c>
      <c r="BK1588" s="8">
        <f>0</f>
        <v>0</v>
      </c>
      <c r="BL1588" s="7">
        <f>0</f>
        <v>0</v>
      </c>
      <c r="BM1588" s="5" t="s">
        <v>258</v>
      </c>
      <c r="BN1588" s="5" t="s">
        <v>259</v>
      </c>
      <c r="CB1588" s="5" t="s">
        <v>240</v>
      </c>
      <c r="CC1588" s="5" t="s">
        <v>240</v>
      </c>
      <c r="CG1588" s="5" t="s">
        <v>304</v>
      </c>
      <c r="CH1588" s="5" t="s">
        <v>305</v>
      </c>
      <c r="CI1588" s="5" t="s">
        <v>240</v>
      </c>
      <c r="CL1588" s="6" t="s">
        <v>261</v>
      </c>
      <c r="CM1588" s="5" t="s">
        <v>240</v>
      </c>
      <c r="CN1588" s="5" t="s">
        <v>263</v>
      </c>
      <c r="CO1588" s="5" t="s">
        <v>240</v>
      </c>
      <c r="CP1588" s="5" t="s">
        <v>240</v>
      </c>
      <c r="CQ1588" s="5">
        <v>0</v>
      </c>
      <c r="CR1588" s="5" t="s">
        <v>306</v>
      </c>
      <c r="CS1588" s="5" t="s">
        <v>307</v>
      </c>
      <c r="CT1588" s="5" t="s">
        <v>307</v>
      </c>
      <c r="CU1588" s="5" t="s">
        <v>260</v>
      </c>
      <c r="CX1588" s="7">
        <f>1</f>
        <v>1</v>
      </c>
      <c r="CY1588" s="7">
        <f>0</f>
        <v>0</v>
      </c>
      <c r="DA1588" s="7">
        <f>0</f>
        <v>0</v>
      </c>
      <c r="DC1588" s="5" t="s">
        <v>812</v>
      </c>
      <c r="DD1588" s="5" t="s">
        <v>240</v>
      </c>
      <c r="DF1588" s="5" t="s">
        <v>812</v>
      </c>
      <c r="DG1588" s="7">
        <f>726</f>
        <v>726</v>
      </c>
      <c r="DI1588" s="5" t="s">
        <v>240</v>
      </c>
      <c r="DJ1588" s="5" t="s">
        <v>240</v>
      </c>
      <c r="DK1588" s="5" t="s">
        <v>240</v>
      </c>
      <c r="DL1588" s="5" t="s">
        <v>240</v>
      </c>
      <c r="DP1588" s="5" t="s">
        <v>240</v>
      </c>
      <c r="DQ1588" s="5" t="s">
        <v>240</v>
      </c>
      <c r="DR1588" s="5" t="s">
        <v>240</v>
      </c>
      <c r="DS1588" s="5" t="s">
        <v>240</v>
      </c>
      <c r="DV1588" s="5" t="s">
        <v>813</v>
      </c>
      <c r="DW1588" s="5" t="s">
        <v>3308</v>
      </c>
      <c r="HO1588" s="5" t="s">
        <v>312</v>
      </c>
    </row>
    <row r="1589" spans="1:223" x14ac:dyDescent="0.4">
      <c r="A1589" s="5">
        <v>3264</v>
      </c>
      <c r="B1589" s="5">
        <v>1</v>
      </c>
      <c r="C1589" s="5">
        <v>1</v>
      </c>
      <c r="D1589" s="5" t="s">
        <v>297</v>
      </c>
      <c r="E1589" s="5" t="s">
        <v>245</v>
      </c>
      <c r="F1589" s="5" t="s">
        <v>254</v>
      </c>
      <c r="G1589" s="5" t="s">
        <v>240</v>
      </c>
      <c r="H1589" s="6" t="s">
        <v>4584</v>
      </c>
      <c r="I1589" s="5" t="s">
        <v>295</v>
      </c>
      <c r="J1589" s="8">
        <f>816</f>
        <v>816</v>
      </c>
      <c r="K1589" s="5" t="s">
        <v>308</v>
      </c>
      <c r="L1589" s="7">
        <f>1</f>
        <v>1</v>
      </c>
      <c r="M1589" s="7">
        <f>1</f>
        <v>1</v>
      </c>
      <c r="N1589" s="5" t="s">
        <v>242</v>
      </c>
      <c r="O1589" s="5">
        <v>1</v>
      </c>
      <c r="P1589" s="5" t="s">
        <v>294</v>
      </c>
      <c r="Q1589" s="5" t="s">
        <v>266</v>
      </c>
      <c r="R1589" s="5" t="s">
        <v>240</v>
      </c>
      <c r="S1589" s="5" t="s">
        <v>240</v>
      </c>
      <c r="T1589" s="5" t="s">
        <v>296</v>
      </c>
      <c r="U1589" s="5" t="s">
        <v>244</v>
      </c>
      <c r="V1589" s="5" t="s">
        <v>240</v>
      </c>
      <c r="Y1589" s="5" t="s">
        <v>240</v>
      </c>
      <c r="Z1589" s="6" t="s">
        <v>298</v>
      </c>
      <c r="AB1589" s="6" t="s">
        <v>240</v>
      </c>
      <c r="AE1589" s="6" t="s">
        <v>299</v>
      </c>
      <c r="AF1589" s="5" t="s">
        <v>248</v>
      </c>
      <c r="AG1589" s="5" t="s">
        <v>249</v>
      </c>
      <c r="AW1589" s="5" t="s">
        <v>251</v>
      </c>
      <c r="AX1589" s="5" t="s">
        <v>240</v>
      </c>
      <c r="AY1589" s="5" t="s">
        <v>253</v>
      </c>
      <c r="AZ1589" s="5" t="s">
        <v>240</v>
      </c>
      <c r="BA1589" s="5" t="s">
        <v>255</v>
      </c>
      <c r="BB1589" s="5" t="s">
        <v>240</v>
      </c>
      <c r="BD1589" s="5" t="s">
        <v>240</v>
      </c>
      <c r="BF1589" s="5" t="s">
        <v>301</v>
      </c>
      <c r="BG1589" s="6" t="s">
        <v>299</v>
      </c>
      <c r="BH1589" s="5" t="s">
        <v>302</v>
      </c>
      <c r="BI1589" s="5" t="s">
        <v>303</v>
      </c>
      <c r="BJ1589" s="5" t="s">
        <v>240</v>
      </c>
      <c r="BK1589" s="8">
        <f>0</f>
        <v>0</v>
      </c>
      <c r="BL1589" s="7">
        <f>0</f>
        <v>0</v>
      </c>
      <c r="BM1589" s="5" t="s">
        <v>258</v>
      </c>
      <c r="BN1589" s="5" t="s">
        <v>259</v>
      </c>
      <c r="CB1589" s="5" t="s">
        <v>240</v>
      </c>
      <c r="CC1589" s="5" t="s">
        <v>240</v>
      </c>
      <c r="CG1589" s="5" t="s">
        <v>304</v>
      </c>
      <c r="CH1589" s="5" t="s">
        <v>305</v>
      </c>
      <c r="CI1589" s="5" t="s">
        <v>240</v>
      </c>
      <c r="CL1589" s="6" t="s">
        <v>261</v>
      </c>
      <c r="CM1589" s="5" t="s">
        <v>240</v>
      </c>
      <c r="CN1589" s="5" t="s">
        <v>263</v>
      </c>
      <c r="CO1589" s="5" t="s">
        <v>240</v>
      </c>
      <c r="CP1589" s="5" t="s">
        <v>240</v>
      </c>
      <c r="CQ1589" s="5">
        <v>0</v>
      </c>
      <c r="CR1589" s="5" t="s">
        <v>306</v>
      </c>
      <c r="CS1589" s="5" t="s">
        <v>307</v>
      </c>
      <c r="CT1589" s="5" t="s">
        <v>307</v>
      </c>
      <c r="CU1589" s="5" t="s">
        <v>260</v>
      </c>
      <c r="CX1589" s="7">
        <f>1</f>
        <v>1</v>
      </c>
      <c r="CY1589" s="7">
        <f>0</f>
        <v>0</v>
      </c>
      <c r="DA1589" s="7">
        <f>0</f>
        <v>0</v>
      </c>
      <c r="DC1589" s="5" t="s">
        <v>812</v>
      </c>
      <c r="DD1589" s="5" t="s">
        <v>240</v>
      </c>
      <c r="DF1589" s="5" t="s">
        <v>812</v>
      </c>
      <c r="DG1589" s="7">
        <f>100</f>
        <v>100</v>
      </c>
      <c r="DI1589" s="5" t="s">
        <v>240</v>
      </c>
      <c r="DJ1589" s="5" t="s">
        <v>240</v>
      </c>
      <c r="DK1589" s="5" t="s">
        <v>240</v>
      </c>
      <c r="DL1589" s="5" t="s">
        <v>240</v>
      </c>
      <c r="DP1589" s="5" t="s">
        <v>240</v>
      </c>
      <c r="DQ1589" s="5" t="s">
        <v>240</v>
      </c>
      <c r="DR1589" s="5" t="s">
        <v>240</v>
      </c>
      <c r="DS1589" s="5" t="s">
        <v>240</v>
      </c>
      <c r="DV1589" s="5" t="s">
        <v>813</v>
      </c>
      <c r="DW1589" s="5" t="s">
        <v>3310</v>
      </c>
      <c r="HO1589" s="5" t="s">
        <v>312</v>
      </c>
    </row>
    <row r="1590" spans="1:223" x14ac:dyDescent="0.4">
      <c r="A1590" s="5">
        <v>3265</v>
      </c>
      <c r="B1590" s="5">
        <v>1</v>
      </c>
      <c r="C1590" s="5">
        <v>1</v>
      </c>
      <c r="D1590" s="5" t="s">
        <v>297</v>
      </c>
      <c r="E1590" s="5" t="s">
        <v>245</v>
      </c>
      <c r="F1590" s="5" t="s">
        <v>254</v>
      </c>
      <c r="G1590" s="5" t="s">
        <v>240</v>
      </c>
      <c r="H1590" s="6" t="s">
        <v>4583</v>
      </c>
      <c r="I1590" s="5" t="s">
        <v>295</v>
      </c>
      <c r="J1590" s="8">
        <f>4603</f>
        <v>4603</v>
      </c>
      <c r="K1590" s="5" t="s">
        <v>308</v>
      </c>
      <c r="L1590" s="7">
        <f>1</f>
        <v>1</v>
      </c>
      <c r="M1590" s="7">
        <f>1</f>
        <v>1</v>
      </c>
      <c r="N1590" s="5" t="s">
        <v>242</v>
      </c>
      <c r="O1590" s="5">
        <v>1</v>
      </c>
      <c r="P1590" s="5" t="s">
        <v>294</v>
      </c>
      <c r="Q1590" s="5" t="s">
        <v>266</v>
      </c>
      <c r="R1590" s="5" t="s">
        <v>240</v>
      </c>
      <c r="S1590" s="5" t="s">
        <v>240</v>
      </c>
      <c r="T1590" s="5" t="s">
        <v>296</v>
      </c>
      <c r="U1590" s="5" t="s">
        <v>244</v>
      </c>
      <c r="V1590" s="5" t="s">
        <v>240</v>
      </c>
      <c r="Y1590" s="5" t="s">
        <v>240</v>
      </c>
      <c r="Z1590" s="6" t="s">
        <v>298</v>
      </c>
      <c r="AB1590" s="6" t="s">
        <v>240</v>
      </c>
      <c r="AE1590" s="6" t="s">
        <v>299</v>
      </c>
      <c r="AF1590" s="5" t="s">
        <v>248</v>
      </c>
      <c r="AG1590" s="5" t="s">
        <v>249</v>
      </c>
      <c r="AW1590" s="5" t="s">
        <v>251</v>
      </c>
      <c r="AX1590" s="5" t="s">
        <v>240</v>
      </c>
      <c r="AY1590" s="5" t="s">
        <v>253</v>
      </c>
      <c r="AZ1590" s="5" t="s">
        <v>240</v>
      </c>
      <c r="BA1590" s="5" t="s">
        <v>255</v>
      </c>
      <c r="BB1590" s="5" t="s">
        <v>240</v>
      </c>
      <c r="BD1590" s="5" t="s">
        <v>240</v>
      </c>
      <c r="BF1590" s="5" t="s">
        <v>301</v>
      </c>
      <c r="BG1590" s="6" t="s">
        <v>299</v>
      </c>
      <c r="BH1590" s="5" t="s">
        <v>302</v>
      </c>
      <c r="BI1590" s="5" t="s">
        <v>303</v>
      </c>
      <c r="BJ1590" s="5" t="s">
        <v>240</v>
      </c>
      <c r="BK1590" s="8">
        <f>0</f>
        <v>0</v>
      </c>
      <c r="BL1590" s="7">
        <f>0</f>
        <v>0</v>
      </c>
      <c r="BM1590" s="5" t="s">
        <v>258</v>
      </c>
      <c r="BN1590" s="5" t="s">
        <v>259</v>
      </c>
      <c r="CB1590" s="5" t="s">
        <v>240</v>
      </c>
      <c r="CC1590" s="5" t="s">
        <v>240</v>
      </c>
      <c r="CG1590" s="5" t="s">
        <v>304</v>
      </c>
      <c r="CH1590" s="5" t="s">
        <v>305</v>
      </c>
      <c r="CI1590" s="5" t="s">
        <v>240</v>
      </c>
      <c r="CL1590" s="6" t="s">
        <v>261</v>
      </c>
      <c r="CM1590" s="5" t="s">
        <v>240</v>
      </c>
      <c r="CN1590" s="5" t="s">
        <v>263</v>
      </c>
      <c r="CO1590" s="5" t="s">
        <v>240</v>
      </c>
      <c r="CP1590" s="5" t="s">
        <v>240</v>
      </c>
      <c r="CQ1590" s="5">
        <v>0</v>
      </c>
      <c r="CR1590" s="5" t="s">
        <v>306</v>
      </c>
      <c r="CS1590" s="5" t="s">
        <v>307</v>
      </c>
      <c r="CT1590" s="5" t="s">
        <v>307</v>
      </c>
      <c r="CU1590" s="5" t="s">
        <v>260</v>
      </c>
      <c r="CX1590" s="7">
        <f>1</f>
        <v>1</v>
      </c>
      <c r="CY1590" s="7">
        <f>0</f>
        <v>0</v>
      </c>
      <c r="DA1590" s="7">
        <f>0</f>
        <v>0</v>
      </c>
      <c r="DC1590" s="5" t="s">
        <v>812</v>
      </c>
      <c r="DD1590" s="5" t="s">
        <v>240</v>
      </c>
      <c r="DF1590" s="5" t="s">
        <v>812</v>
      </c>
      <c r="DG1590" s="7">
        <f>570</f>
        <v>570</v>
      </c>
      <c r="DI1590" s="5" t="s">
        <v>240</v>
      </c>
      <c r="DJ1590" s="5" t="s">
        <v>240</v>
      </c>
      <c r="DK1590" s="5" t="s">
        <v>240</v>
      </c>
      <c r="DL1590" s="5" t="s">
        <v>240</v>
      </c>
      <c r="DP1590" s="5" t="s">
        <v>240</v>
      </c>
      <c r="DQ1590" s="5" t="s">
        <v>240</v>
      </c>
      <c r="DR1590" s="5" t="s">
        <v>240</v>
      </c>
      <c r="DS1590" s="5" t="s">
        <v>240</v>
      </c>
      <c r="DV1590" s="5" t="s">
        <v>813</v>
      </c>
      <c r="DW1590" s="5" t="s">
        <v>3312</v>
      </c>
      <c r="HO1590" s="5" t="s">
        <v>312</v>
      </c>
    </row>
    <row r="1591" spans="1:223" x14ac:dyDescent="0.4">
      <c r="A1591" s="5">
        <v>3266</v>
      </c>
      <c r="B1591" s="5">
        <v>1</v>
      </c>
      <c r="C1591" s="5">
        <v>1</v>
      </c>
      <c r="D1591" s="5" t="s">
        <v>297</v>
      </c>
      <c r="E1591" s="5" t="s">
        <v>245</v>
      </c>
      <c r="F1591" s="5" t="s">
        <v>254</v>
      </c>
      <c r="G1591" s="5" t="s">
        <v>240</v>
      </c>
      <c r="H1591" s="6" t="s">
        <v>4582</v>
      </c>
      <c r="I1591" s="5" t="s">
        <v>295</v>
      </c>
      <c r="J1591" s="8">
        <f>378</f>
        <v>378</v>
      </c>
      <c r="K1591" s="5" t="s">
        <v>308</v>
      </c>
      <c r="L1591" s="7">
        <f>1</f>
        <v>1</v>
      </c>
      <c r="M1591" s="7">
        <f>1</f>
        <v>1</v>
      </c>
      <c r="N1591" s="5" t="s">
        <v>242</v>
      </c>
      <c r="O1591" s="5">
        <v>1</v>
      </c>
      <c r="P1591" s="5" t="s">
        <v>294</v>
      </c>
      <c r="Q1591" s="5" t="s">
        <v>266</v>
      </c>
      <c r="R1591" s="5" t="s">
        <v>240</v>
      </c>
      <c r="S1591" s="5" t="s">
        <v>240</v>
      </c>
      <c r="T1591" s="5" t="s">
        <v>296</v>
      </c>
      <c r="U1591" s="5" t="s">
        <v>244</v>
      </c>
      <c r="V1591" s="5" t="s">
        <v>240</v>
      </c>
      <c r="Y1591" s="5" t="s">
        <v>240</v>
      </c>
      <c r="Z1591" s="6" t="s">
        <v>298</v>
      </c>
      <c r="AB1591" s="6" t="s">
        <v>240</v>
      </c>
      <c r="AE1591" s="6" t="s">
        <v>299</v>
      </c>
      <c r="AF1591" s="5" t="s">
        <v>248</v>
      </c>
      <c r="AG1591" s="5" t="s">
        <v>249</v>
      </c>
      <c r="AW1591" s="5" t="s">
        <v>251</v>
      </c>
      <c r="AX1591" s="5" t="s">
        <v>240</v>
      </c>
      <c r="AY1591" s="5" t="s">
        <v>253</v>
      </c>
      <c r="AZ1591" s="5" t="s">
        <v>240</v>
      </c>
      <c r="BA1591" s="5" t="s">
        <v>255</v>
      </c>
      <c r="BB1591" s="5" t="s">
        <v>240</v>
      </c>
      <c r="BD1591" s="5" t="s">
        <v>240</v>
      </c>
      <c r="BF1591" s="5" t="s">
        <v>301</v>
      </c>
      <c r="BG1591" s="6" t="s">
        <v>299</v>
      </c>
      <c r="BH1591" s="5" t="s">
        <v>302</v>
      </c>
      <c r="BI1591" s="5" t="s">
        <v>303</v>
      </c>
      <c r="BJ1591" s="5" t="s">
        <v>240</v>
      </c>
      <c r="BK1591" s="8">
        <f>0</f>
        <v>0</v>
      </c>
      <c r="BL1591" s="7">
        <f>0</f>
        <v>0</v>
      </c>
      <c r="BM1591" s="5" t="s">
        <v>258</v>
      </c>
      <c r="BN1591" s="5" t="s">
        <v>259</v>
      </c>
      <c r="CB1591" s="5" t="s">
        <v>240</v>
      </c>
      <c r="CC1591" s="5" t="s">
        <v>240</v>
      </c>
      <c r="CG1591" s="5" t="s">
        <v>304</v>
      </c>
      <c r="CH1591" s="5" t="s">
        <v>305</v>
      </c>
      <c r="CI1591" s="5" t="s">
        <v>240</v>
      </c>
      <c r="CL1591" s="6" t="s">
        <v>261</v>
      </c>
      <c r="CM1591" s="5" t="s">
        <v>240</v>
      </c>
      <c r="CN1591" s="5" t="s">
        <v>263</v>
      </c>
      <c r="CO1591" s="5" t="s">
        <v>240</v>
      </c>
      <c r="CP1591" s="5" t="s">
        <v>240</v>
      </c>
      <c r="CQ1591" s="5">
        <v>0</v>
      </c>
      <c r="CR1591" s="5" t="s">
        <v>306</v>
      </c>
      <c r="CS1591" s="5" t="s">
        <v>307</v>
      </c>
      <c r="CT1591" s="5" t="s">
        <v>307</v>
      </c>
      <c r="CU1591" s="5" t="s">
        <v>260</v>
      </c>
      <c r="CX1591" s="7">
        <f>1</f>
        <v>1</v>
      </c>
      <c r="CY1591" s="7">
        <f>0</f>
        <v>0</v>
      </c>
      <c r="DA1591" s="7">
        <f>0</f>
        <v>0</v>
      </c>
      <c r="DC1591" s="5" t="s">
        <v>812</v>
      </c>
      <c r="DD1591" s="5" t="s">
        <v>240</v>
      </c>
      <c r="DF1591" s="5" t="s">
        <v>812</v>
      </c>
      <c r="DG1591" s="7">
        <f>356</f>
        <v>356</v>
      </c>
      <c r="DI1591" s="5" t="s">
        <v>240</v>
      </c>
      <c r="DJ1591" s="5" t="s">
        <v>240</v>
      </c>
      <c r="DK1591" s="5" t="s">
        <v>240</v>
      </c>
      <c r="DL1591" s="5" t="s">
        <v>240</v>
      </c>
      <c r="DP1591" s="5" t="s">
        <v>240</v>
      </c>
      <c r="DQ1591" s="5" t="s">
        <v>240</v>
      </c>
      <c r="DR1591" s="5" t="s">
        <v>240</v>
      </c>
      <c r="DS1591" s="5" t="s">
        <v>240</v>
      </c>
      <c r="DV1591" s="5" t="s">
        <v>813</v>
      </c>
      <c r="DW1591" s="5" t="s">
        <v>3314</v>
      </c>
      <c r="HO1591" s="5" t="s">
        <v>312</v>
      </c>
    </row>
    <row r="1592" spans="1:223" x14ac:dyDescent="0.4">
      <c r="A1592" s="5">
        <v>3267</v>
      </c>
      <c r="B1592" s="5">
        <v>1</v>
      </c>
      <c r="C1592" s="5">
        <v>1</v>
      </c>
      <c r="D1592" s="5" t="s">
        <v>297</v>
      </c>
      <c r="E1592" s="5" t="s">
        <v>245</v>
      </c>
      <c r="F1592" s="5" t="s">
        <v>254</v>
      </c>
      <c r="G1592" s="5" t="s">
        <v>240</v>
      </c>
      <c r="H1592" s="6" t="s">
        <v>4581</v>
      </c>
      <c r="I1592" s="5" t="s">
        <v>295</v>
      </c>
      <c r="J1592" s="8">
        <f>1586</f>
        <v>1586</v>
      </c>
      <c r="K1592" s="5" t="s">
        <v>308</v>
      </c>
      <c r="L1592" s="7">
        <f>1</f>
        <v>1</v>
      </c>
      <c r="M1592" s="7">
        <f>1</f>
        <v>1</v>
      </c>
      <c r="N1592" s="5" t="s">
        <v>242</v>
      </c>
      <c r="O1592" s="5">
        <v>1</v>
      </c>
      <c r="P1592" s="5" t="s">
        <v>294</v>
      </c>
      <c r="Q1592" s="5" t="s">
        <v>266</v>
      </c>
      <c r="R1592" s="5" t="s">
        <v>240</v>
      </c>
      <c r="S1592" s="5" t="s">
        <v>240</v>
      </c>
      <c r="T1592" s="5" t="s">
        <v>296</v>
      </c>
      <c r="U1592" s="5" t="s">
        <v>244</v>
      </c>
      <c r="V1592" s="5" t="s">
        <v>240</v>
      </c>
      <c r="Y1592" s="5" t="s">
        <v>240</v>
      </c>
      <c r="Z1592" s="6" t="s">
        <v>298</v>
      </c>
      <c r="AB1592" s="6" t="s">
        <v>240</v>
      </c>
      <c r="AE1592" s="6" t="s">
        <v>299</v>
      </c>
      <c r="AF1592" s="5" t="s">
        <v>248</v>
      </c>
      <c r="AG1592" s="5" t="s">
        <v>249</v>
      </c>
      <c r="AW1592" s="5" t="s">
        <v>251</v>
      </c>
      <c r="AX1592" s="5" t="s">
        <v>240</v>
      </c>
      <c r="AY1592" s="5" t="s">
        <v>253</v>
      </c>
      <c r="AZ1592" s="5" t="s">
        <v>240</v>
      </c>
      <c r="BA1592" s="5" t="s">
        <v>255</v>
      </c>
      <c r="BB1592" s="5" t="s">
        <v>240</v>
      </c>
      <c r="BD1592" s="5" t="s">
        <v>240</v>
      </c>
      <c r="BF1592" s="5" t="s">
        <v>301</v>
      </c>
      <c r="BG1592" s="6" t="s">
        <v>299</v>
      </c>
      <c r="BH1592" s="5" t="s">
        <v>302</v>
      </c>
      <c r="BI1592" s="5" t="s">
        <v>303</v>
      </c>
      <c r="BJ1592" s="5" t="s">
        <v>240</v>
      </c>
      <c r="BK1592" s="8">
        <f>0</f>
        <v>0</v>
      </c>
      <c r="BL1592" s="7">
        <f>0</f>
        <v>0</v>
      </c>
      <c r="BM1592" s="5" t="s">
        <v>258</v>
      </c>
      <c r="BN1592" s="5" t="s">
        <v>259</v>
      </c>
      <c r="CB1592" s="5" t="s">
        <v>240</v>
      </c>
      <c r="CC1592" s="5" t="s">
        <v>240</v>
      </c>
      <c r="CG1592" s="5" t="s">
        <v>304</v>
      </c>
      <c r="CH1592" s="5" t="s">
        <v>305</v>
      </c>
      <c r="CI1592" s="5" t="s">
        <v>240</v>
      </c>
      <c r="CL1592" s="6" t="s">
        <v>261</v>
      </c>
      <c r="CM1592" s="5" t="s">
        <v>240</v>
      </c>
      <c r="CN1592" s="5" t="s">
        <v>263</v>
      </c>
      <c r="CO1592" s="5" t="s">
        <v>240</v>
      </c>
      <c r="CP1592" s="5" t="s">
        <v>240</v>
      </c>
      <c r="CQ1592" s="5">
        <v>0</v>
      </c>
      <c r="CR1592" s="5" t="s">
        <v>306</v>
      </c>
      <c r="CS1592" s="5" t="s">
        <v>307</v>
      </c>
      <c r="CT1592" s="5" t="s">
        <v>307</v>
      </c>
      <c r="CU1592" s="5" t="s">
        <v>260</v>
      </c>
      <c r="CX1592" s="7">
        <f>1</f>
        <v>1</v>
      </c>
      <c r="CY1592" s="7">
        <f>0</f>
        <v>0</v>
      </c>
      <c r="DA1592" s="7">
        <f>0</f>
        <v>0</v>
      </c>
      <c r="DC1592" s="5" t="s">
        <v>812</v>
      </c>
      <c r="DD1592" s="5" t="s">
        <v>240</v>
      </c>
      <c r="DF1592" s="5" t="s">
        <v>812</v>
      </c>
      <c r="DG1592" s="7">
        <f>335</f>
        <v>335</v>
      </c>
      <c r="DI1592" s="5" t="s">
        <v>240</v>
      </c>
      <c r="DJ1592" s="5" t="s">
        <v>240</v>
      </c>
      <c r="DK1592" s="5" t="s">
        <v>240</v>
      </c>
      <c r="DL1592" s="5" t="s">
        <v>240</v>
      </c>
      <c r="DP1592" s="5" t="s">
        <v>240</v>
      </c>
      <c r="DQ1592" s="5" t="s">
        <v>240</v>
      </c>
      <c r="DR1592" s="5" t="s">
        <v>240</v>
      </c>
      <c r="DS1592" s="5" t="s">
        <v>240</v>
      </c>
      <c r="DV1592" s="5" t="s">
        <v>813</v>
      </c>
      <c r="DW1592" s="5" t="s">
        <v>3316</v>
      </c>
      <c r="HO1592" s="5" t="s">
        <v>312</v>
      </c>
    </row>
    <row r="1593" spans="1:223" x14ac:dyDescent="0.4">
      <c r="A1593" s="5">
        <v>3268</v>
      </c>
      <c r="B1593" s="5">
        <v>1</v>
      </c>
      <c r="C1593" s="5">
        <v>1</v>
      </c>
      <c r="D1593" s="5" t="s">
        <v>297</v>
      </c>
      <c r="E1593" s="5" t="s">
        <v>245</v>
      </c>
      <c r="F1593" s="5" t="s">
        <v>254</v>
      </c>
      <c r="G1593" s="5" t="s">
        <v>240</v>
      </c>
      <c r="H1593" s="6" t="s">
        <v>4580</v>
      </c>
      <c r="I1593" s="5" t="s">
        <v>295</v>
      </c>
      <c r="J1593" s="8">
        <f>40</f>
        <v>40</v>
      </c>
      <c r="K1593" s="5" t="s">
        <v>308</v>
      </c>
      <c r="L1593" s="7">
        <f>1</f>
        <v>1</v>
      </c>
      <c r="M1593" s="7">
        <f>1</f>
        <v>1</v>
      </c>
      <c r="N1593" s="5" t="s">
        <v>242</v>
      </c>
      <c r="O1593" s="5">
        <v>1</v>
      </c>
      <c r="P1593" s="5" t="s">
        <v>294</v>
      </c>
      <c r="Q1593" s="5" t="s">
        <v>266</v>
      </c>
      <c r="R1593" s="5" t="s">
        <v>240</v>
      </c>
      <c r="S1593" s="5" t="s">
        <v>240</v>
      </c>
      <c r="T1593" s="5" t="s">
        <v>296</v>
      </c>
      <c r="U1593" s="5" t="s">
        <v>244</v>
      </c>
      <c r="V1593" s="5" t="s">
        <v>240</v>
      </c>
      <c r="Y1593" s="5" t="s">
        <v>240</v>
      </c>
      <c r="Z1593" s="6" t="s">
        <v>298</v>
      </c>
      <c r="AB1593" s="6" t="s">
        <v>240</v>
      </c>
      <c r="AE1593" s="6" t="s">
        <v>299</v>
      </c>
      <c r="AF1593" s="5" t="s">
        <v>248</v>
      </c>
      <c r="AG1593" s="5" t="s">
        <v>249</v>
      </c>
      <c r="AW1593" s="5" t="s">
        <v>251</v>
      </c>
      <c r="AX1593" s="5" t="s">
        <v>240</v>
      </c>
      <c r="AY1593" s="5" t="s">
        <v>253</v>
      </c>
      <c r="AZ1593" s="5" t="s">
        <v>240</v>
      </c>
      <c r="BA1593" s="5" t="s">
        <v>255</v>
      </c>
      <c r="BB1593" s="5" t="s">
        <v>240</v>
      </c>
      <c r="BD1593" s="5" t="s">
        <v>240</v>
      </c>
      <c r="BF1593" s="5" t="s">
        <v>301</v>
      </c>
      <c r="BG1593" s="6" t="s">
        <v>299</v>
      </c>
      <c r="BH1593" s="5" t="s">
        <v>302</v>
      </c>
      <c r="BI1593" s="5" t="s">
        <v>303</v>
      </c>
      <c r="BJ1593" s="5" t="s">
        <v>240</v>
      </c>
      <c r="BK1593" s="8">
        <f>0</f>
        <v>0</v>
      </c>
      <c r="BL1593" s="7">
        <f>0</f>
        <v>0</v>
      </c>
      <c r="BM1593" s="5" t="s">
        <v>258</v>
      </c>
      <c r="BN1593" s="5" t="s">
        <v>259</v>
      </c>
      <c r="CB1593" s="5" t="s">
        <v>240</v>
      </c>
      <c r="CC1593" s="5" t="s">
        <v>240</v>
      </c>
      <c r="CG1593" s="5" t="s">
        <v>304</v>
      </c>
      <c r="CH1593" s="5" t="s">
        <v>305</v>
      </c>
      <c r="CI1593" s="5" t="s">
        <v>240</v>
      </c>
      <c r="CL1593" s="6" t="s">
        <v>261</v>
      </c>
      <c r="CM1593" s="5" t="s">
        <v>240</v>
      </c>
      <c r="CN1593" s="5" t="s">
        <v>263</v>
      </c>
      <c r="CO1593" s="5" t="s">
        <v>240</v>
      </c>
      <c r="CP1593" s="5" t="s">
        <v>240</v>
      </c>
      <c r="CQ1593" s="5">
        <v>0</v>
      </c>
      <c r="CR1593" s="5" t="s">
        <v>306</v>
      </c>
      <c r="CS1593" s="5" t="s">
        <v>307</v>
      </c>
      <c r="CT1593" s="5" t="s">
        <v>307</v>
      </c>
      <c r="CU1593" s="5" t="s">
        <v>260</v>
      </c>
      <c r="CX1593" s="7">
        <f>1</f>
        <v>1</v>
      </c>
      <c r="CY1593" s="7">
        <f>0</f>
        <v>0</v>
      </c>
      <c r="DA1593" s="7">
        <f>0</f>
        <v>0</v>
      </c>
      <c r="DC1593" s="5" t="s">
        <v>812</v>
      </c>
      <c r="DD1593" s="5" t="s">
        <v>240</v>
      </c>
      <c r="DF1593" s="5" t="s">
        <v>812</v>
      </c>
      <c r="DG1593" s="7">
        <f>122</f>
        <v>122</v>
      </c>
      <c r="DI1593" s="5" t="s">
        <v>240</v>
      </c>
      <c r="DJ1593" s="5" t="s">
        <v>240</v>
      </c>
      <c r="DK1593" s="5" t="s">
        <v>240</v>
      </c>
      <c r="DL1593" s="5" t="s">
        <v>240</v>
      </c>
      <c r="DP1593" s="5" t="s">
        <v>240</v>
      </c>
      <c r="DQ1593" s="5" t="s">
        <v>240</v>
      </c>
      <c r="DR1593" s="5" t="s">
        <v>240</v>
      </c>
      <c r="DS1593" s="5" t="s">
        <v>240</v>
      </c>
      <c r="DV1593" s="5" t="s">
        <v>813</v>
      </c>
      <c r="DW1593" s="5" t="s">
        <v>3318</v>
      </c>
      <c r="HO1593" s="5" t="s">
        <v>312</v>
      </c>
    </row>
    <row r="1594" spans="1:223" x14ac:dyDescent="0.4">
      <c r="A1594" s="5">
        <v>3269</v>
      </c>
      <c r="B1594" s="5">
        <v>1</v>
      </c>
      <c r="C1594" s="5">
        <v>1</v>
      </c>
      <c r="D1594" s="5" t="s">
        <v>297</v>
      </c>
      <c r="E1594" s="5" t="s">
        <v>245</v>
      </c>
      <c r="F1594" s="5" t="s">
        <v>254</v>
      </c>
      <c r="G1594" s="5" t="s">
        <v>240</v>
      </c>
      <c r="H1594" s="6" t="s">
        <v>5699</v>
      </c>
      <c r="I1594" s="5" t="s">
        <v>295</v>
      </c>
      <c r="J1594" s="8">
        <f>685</f>
        <v>685</v>
      </c>
      <c r="K1594" s="5" t="s">
        <v>308</v>
      </c>
      <c r="L1594" s="7">
        <f>1</f>
        <v>1</v>
      </c>
      <c r="M1594" s="7">
        <f>1</f>
        <v>1</v>
      </c>
      <c r="N1594" s="5" t="s">
        <v>242</v>
      </c>
      <c r="O1594" s="5">
        <v>1</v>
      </c>
      <c r="P1594" s="5" t="s">
        <v>294</v>
      </c>
      <c r="Q1594" s="5" t="s">
        <v>266</v>
      </c>
      <c r="R1594" s="5" t="s">
        <v>240</v>
      </c>
      <c r="S1594" s="5" t="s">
        <v>240</v>
      </c>
      <c r="T1594" s="5" t="s">
        <v>296</v>
      </c>
      <c r="U1594" s="5" t="s">
        <v>244</v>
      </c>
      <c r="V1594" s="5" t="s">
        <v>240</v>
      </c>
      <c r="Y1594" s="5" t="s">
        <v>240</v>
      </c>
      <c r="Z1594" s="6" t="s">
        <v>298</v>
      </c>
      <c r="AB1594" s="6" t="s">
        <v>240</v>
      </c>
      <c r="AE1594" s="6" t="s">
        <v>299</v>
      </c>
      <c r="AF1594" s="5" t="s">
        <v>248</v>
      </c>
      <c r="AG1594" s="5" t="s">
        <v>249</v>
      </c>
      <c r="AW1594" s="5" t="s">
        <v>251</v>
      </c>
      <c r="AX1594" s="5" t="s">
        <v>240</v>
      </c>
      <c r="AY1594" s="5" t="s">
        <v>253</v>
      </c>
      <c r="AZ1594" s="5" t="s">
        <v>240</v>
      </c>
      <c r="BA1594" s="5" t="s">
        <v>255</v>
      </c>
      <c r="BB1594" s="5" t="s">
        <v>240</v>
      </c>
      <c r="BD1594" s="5" t="s">
        <v>240</v>
      </c>
      <c r="BF1594" s="5" t="s">
        <v>301</v>
      </c>
      <c r="BG1594" s="6" t="s">
        <v>299</v>
      </c>
      <c r="BH1594" s="5" t="s">
        <v>302</v>
      </c>
      <c r="BI1594" s="5" t="s">
        <v>303</v>
      </c>
      <c r="BJ1594" s="5" t="s">
        <v>240</v>
      </c>
      <c r="BK1594" s="8">
        <f>0</f>
        <v>0</v>
      </c>
      <c r="BL1594" s="7">
        <f>0</f>
        <v>0</v>
      </c>
      <c r="BM1594" s="5" t="s">
        <v>258</v>
      </c>
      <c r="BN1594" s="5" t="s">
        <v>259</v>
      </c>
      <c r="CB1594" s="5" t="s">
        <v>240</v>
      </c>
      <c r="CC1594" s="5" t="s">
        <v>240</v>
      </c>
      <c r="CG1594" s="5" t="s">
        <v>304</v>
      </c>
      <c r="CH1594" s="5" t="s">
        <v>305</v>
      </c>
      <c r="CI1594" s="5" t="s">
        <v>240</v>
      </c>
      <c r="CL1594" s="6" t="s">
        <v>261</v>
      </c>
      <c r="CM1594" s="5" t="s">
        <v>240</v>
      </c>
      <c r="CN1594" s="5" t="s">
        <v>263</v>
      </c>
      <c r="CO1594" s="5" t="s">
        <v>240</v>
      </c>
      <c r="CP1594" s="5" t="s">
        <v>240</v>
      </c>
      <c r="CQ1594" s="5">
        <v>0</v>
      </c>
      <c r="CR1594" s="5" t="s">
        <v>306</v>
      </c>
      <c r="CS1594" s="5" t="s">
        <v>307</v>
      </c>
      <c r="CT1594" s="5" t="s">
        <v>307</v>
      </c>
      <c r="CU1594" s="5" t="s">
        <v>260</v>
      </c>
      <c r="CX1594" s="7">
        <f>1</f>
        <v>1</v>
      </c>
      <c r="CY1594" s="7">
        <f>0</f>
        <v>0</v>
      </c>
      <c r="DA1594" s="7">
        <f>0</f>
        <v>0</v>
      </c>
      <c r="DC1594" s="5" t="s">
        <v>812</v>
      </c>
      <c r="DD1594" s="5" t="s">
        <v>240</v>
      </c>
      <c r="DF1594" s="5" t="s">
        <v>812</v>
      </c>
      <c r="DG1594" s="7">
        <f>1305</f>
        <v>1305</v>
      </c>
      <c r="DI1594" s="5" t="s">
        <v>240</v>
      </c>
      <c r="DJ1594" s="5" t="s">
        <v>240</v>
      </c>
      <c r="DK1594" s="5" t="s">
        <v>240</v>
      </c>
      <c r="DL1594" s="5" t="s">
        <v>240</v>
      </c>
      <c r="DP1594" s="5" t="s">
        <v>240</v>
      </c>
      <c r="DQ1594" s="5" t="s">
        <v>240</v>
      </c>
      <c r="DR1594" s="5" t="s">
        <v>240</v>
      </c>
      <c r="DS1594" s="5" t="s">
        <v>240</v>
      </c>
      <c r="DV1594" s="5" t="s">
        <v>813</v>
      </c>
      <c r="DW1594" s="5" t="s">
        <v>3320</v>
      </c>
      <c r="HO1594" s="5" t="s">
        <v>312</v>
      </c>
    </row>
    <row r="1595" spans="1:223" x14ac:dyDescent="0.4">
      <c r="A1595" s="5">
        <v>3270</v>
      </c>
      <c r="B1595" s="5">
        <v>1</v>
      </c>
      <c r="C1595" s="5">
        <v>1</v>
      </c>
      <c r="D1595" s="5" t="s">
        <v>297</v>
      </c>
      <c r="E1595" s="5" t="s">
        <v>245</v>
      </c>
      <c r="F1595" s="5" t="s">
        <v>254</v>
      </c>
      <c r="G1595" s="5" t="s">
        <v>240</v>
      </c>
      <c r="H1595" s="6" t="s">
        <v>4578</v>
      </c>
      <c r="I1595" s="5" t="s">
        <v>295</v>
      </c>
      <c r="J1595" s="8">
        <f>271</f>
        <v>271</v>
      </c>
      <c r="K1595" s="5" t="s">
        <v>308</v>
      </c>
      <c r="L1595" s="7">
        <f>1</f>
        <v>1</v>
      </c>
      <c r="M1595" s="7">
        <f>1</f>
        <v>1</v>
      </c>
      <c r="N1595" s="5" t="s">
        <v>242</v>
      </c>
      <c r="O1595" s="5">
        <v>1</v>
      </c>
      <c r="P1595" s="5" t="s">
        <v>294</v>
      </c>
      <c r="Q1595" s="5" t="s">
        <v>266</v>
      </c>
      <c r="R1595" s="5" t="s">
        <v>240</v>
      </c>
      <c r="S1595" s="5" t="s">
        <v>240</v>
      </c>
      <c r="T1595" s="5" t="s">
        <v>296</v>
      </c>
      <c r="U1595" s="5" t="s">
        <v>244</v>
      </c>
      <c r="V1595" s="5" t="s">
        <v>240</v>
      </c>
      <c r="Y1595" s="5" t="s">
        <v>240</v>
      </c>
      <c r="Z1595" s="6" t="s">
        <v>298</v>
      </c>
      <c r="AB1595" s="6" t="s">
        <v>240</v>
      </c>
      <c r="AE1595" s="6" t="s">
        <v>299</v>
      </c>
      <c r="AF1595" s="5" t="s">
        <v>248</v>
      </c>
      <c r="AG1595" s="5" t="s">
        <v>249</v>
      </c>
      <c r="AW1595" s="5" t="s">
        <v>251</v>
      </c>
      <c r="AX1595" s="5" t="s">
        <v>240</v>
      </c>
      <c r="AY1595" s="5" t="s">
        <v>253</v>
      </c>
      <c r="AZ1595" s="5" t="s">
        <v>240</v>
      </c>
      <c r="BA1595" s="5" t="s">
        <v>255</v>
      </c>
      <c r="BB1595" s="5" t="s">
        <v>240</v>
      </c>
      <c r="BD1595" s="5" t="s">
        <v>240</v>
      </c>
      <c r="BF1595" s="5" t="s">
        <v>301</v>
      </c>
      <c r="BG1595" s="6" t="s">
        <v>299</v>
      </c>
      <c r="BH1595" s="5" t="s">
        <v>302</v>
      </c>
      <c r="BI1595" s="5" t="s">
        <v>303</v>
      </c>
      <c r="BJ1595" s="5" t="s">
        <v>240</v>
      </c>
      <c r="BK1595" s="8">
        <f>0</f>
        <v>0</v>
      </c>
      <c r="BL1595" s="7">
        <f>0</f>
        <v>0</v>
      </c>
      <c r="BM1595" s="5" t="s">
        <v>258</v>
      </c>
      <c r="BN1595" s="5" t="s">
        <v>259</v>
      </c>
      <c r="CB1595" s="5" t="s">
        <v>240</v>
      </c>
      <c r="CC1595" s="5" t="s">
        <v>240</v>
      </c>
      <c r="CG1595" s="5" t="s">
        <v>304</v>
      </c>
      <c r="CH1595" s="5" t="s">
        <v>305</v>
      </c>
      <c r="CI1595" s="5" t="s">
        <v>240</v>
      </c>
      <c r="CL1595" s="6" t="s">
        <v>261</v>
      </c>
      <c r="CM1595" s="5" t="s">
        <v>240</v>
      </c>
      <c r="CN1595" s="5" t="s">
        <v>263</v>
      </c>
      <c r="CO1595" s="5" t="s">
        <v>240</v>
      </c>
      <c r="CP1595" s="5" t="s">
        <v>240</v>
      </c>
      <c r="CQ1595" s="5">
        <v>0</v>
      </c>
      <c r="CR1595" s="5" t="s">
        <v>306</v>
      </c>
      <c r="CS1595" s="5" t="s">
        <v>307</v>
      </c>
      <c r="CT1595" s="5" t="s">
        <v>307</v>
      </c>
      <c r="CU1595" s="5" t="s">
        <v>260</v>
      </c>
      <c r="CX1595" s="7">
        <f>1</f>
        <v>1</v>
      </c>
      <c r="CY1595" s="7">
        <f>0</f>
        <v>0</v>
      </c>
      <c r="DA1595" s="7">
        <f>0</f>
        <v>0</v>
      </c>
      <c r="DC1595" s="5" t="s">
        <v>812</v>
      </c>
      <c r="DD1595" s="5" t="s">
        <v>240</v>
      </c>
      <c r="DF1595" s="5" t="s">
        <v>812</v>
      </c>
      <c r="DG1595" s="7">
        <f>322</f>
        <v>322</v>
      </c>
      <c r="DI1595" s="5" t="s">
        <v>240</v>
      </c>
      <c r="DJ1595" s="5" t="s">
        <v>240</v>
      </c>
      <c r="DK1595" s="5" t="s">
        <v>240</v>
      </c>
      <c r="DL1595" s="5" t="s">
        <v>240</v>
      </c>
      <c r="DP1595" s="5" t="s">
        <v>240</v>
      </c>
      <c r="DQ1595" s="5" t="s">
        <v>240</v>
      </c>
      <c r="DR1595" s="5" t="s">
        <v>240</v>
      </c>
      <c r="DS1595" s="5" t="s">
        <v>240</v>
      </c>
      <c r="DV1595" s="5" t="s">
        <v>813</v>
      </c>
      <c r="DW1595" s="5" t="s">
        <v>3322</v>
      </c>
      <c r="HO1595" s="5" t="s">
        <v>312</v>
      </c>
    </row>
    <row r="1596" spans="1:223" x14ac:dyDescent="0.4">
      <c r="A1596" s="5">
        <v>3271</v>
      </c>
      <c r="B1596" s="5">
        <v>1</v>
      </c>
      <c r="C1596" s="5">
        <v>1</v>
      </c>
      <c r="D1596" s="5" t="s">
        <v>297</v>
      </c>
      <c r="E1596" s="5" t="s">
        <v>245</v>
      </c>
      <c r="F1596" s="5" t="s">
        <v>254</v>
      </c>
      <c r="G1596" s="5" t="s">
        <v>240</v>
      </c>
      <c r="H1596" s="6" t="s">
        <v>4577</v>
      </c>
      <c r="I1596" s="5" t="s">
        <v>295</v>
      </c>
      <c r="J1596" s="8">
        <f>100</f>
        <v>100</v>
      </c>
      <c r="K1596" s="5" t="s">
        <v>308</v>
      </c>
      <c r="L1596" s="7">
        <f>1</f>
        <v>1</v>
      </c>
      <c r="M1596" s="7">
        <f>1</f>
        <v>1</v>
      </c>
      <c r="N1596" s="5" t="s">
        <v>242</v>
      </c>
      <c r="O1596" s="5">
        <v>1</v>
      </c>
      <c r="P1596" s="5" t="s">
        <v>294</v>
      </c>
      <c r="Q1596" s="5" t="s">
        <v>266</v>
      </c>
      <c r="R1596" s="5" t="s">
        <v>240</v>
      </c>
      <c r="S1596" s="5" t="s">
        <v>240</v>
      </c>
      <c r="T1596" s="5" t="s">
        <v>296</v>
      </c>
      <c r="U1596" s="5" t="s">
        <v>244</v>
      </c>
      <c r="V1596" s="5" t="s">
        <v>240</v>
      </c>
      <c r="Y1596" s="5" t="s">
        <v>240</v>
      </c>
      <c r="Z1596" s="6" t="s">
        <v>298</v>
      </c>
      <c r="AB1596" s="6" t="s">
        <v>240</v>
      </c>
      <c r="AE1596" s="6" t="s">
        <v>299</v>
      </c>
      <c r="AF1596" s="5" t="s">
        <v>248</v>
      </c>
      <c r="AG1596" s="5" t="s">
        <v>249</v>
      </c>
      <c r="AW1596" s="5" t="s">
        <v>251</v>
      </c>
      <c r="AX1596" s="5" t="s">
        <v>240</v>
      </c>
      <c r="AY1596" s="5" t="s">
        <v>253</v>
      </c>
      <c r="AZ1596" s="5" t="s">
        <v>240</v>
      </c>
      <c r="BA1596" s="5" t="s">
        <v>255</v>
      </c>
      <c r="BB1596" s="5" t="s">
        <v>240</v>
      </c>
      <c r="BD1596" s="5" t="s">
        <v>240</v>
      </c>
      <c r="BF1596" s="5" t="s">
        <v>301</v>
      </c>
      <c r="BG1596" s="6" t="s">
        <v>299</v>
      </c>
      <c r="BH1596" s="5" t="s">
        <v>302</v>
      </c>
      <c r="BI1596" s="5" t="s">
        <v>303</v>
      </c>
      <c r="BJ1596" s="5" t="s">
        <v>240</v>
      </c>
      <c r="BK1596" s="8">
        <f>0</f>
        <v>0</v>
      </c>
      <c r="BL1596" s="7">
        <f>0</f>
        <v>0</v>
      </c>
      <c r="BM1596" s="5" t="s">
        <v>258</v>
      </c>
      <c r="BN1596" s="5" t="s">
        <v>259</v>
      </c>
      <c r="CB1596" s="5" t="s">
        <v>240</v>
      </c>
      <c r="CC1596" s="5" t="s">
        <v>240</v>
      </c>
      <c r="CG1596" s="5" t="s">
        <v>304</v>
      </c>
      <c r="CH1596" s="5" t="s">
        <v>305</v>
      </c>
      <c r="CI1596" s="5" t="s">
        <v>240</v>
      </c>
      <c r="CL1596" s="6" t="s">
        <v>261</v>
      </c>
      <c r="CM1596" s="5" t="s">
        <v>240</v>
      </c>
      <c r="CN1596" s="5" t="s">
        <v>263</v>
      </c>
      <c r="CO1596" s="5" t="s">
        <v>240</v>
      </c>
      <c r="CP1596" s="5" t="s">
        <v>240</v>
      </c>
      <c r="CQ1596" s="5">
        <v>0</v>
      </c>
      <c r="CR1596" s="5" t="s">
        <v>306</v>
      </c>
      <c r="CS1596" s="5" t="s">
        <v>307</v>
      </c>
      <c r="CT1596" s="5" t="s">
        <v>307</v>
      </c>
      <c r="CU1596" s="5" t="s">
        <v>260</v>
      </c>
      <c r="CX1596" s="7">
        <f>1</f>
        <v>1</v>
      </c>
      <c r="CY1596" s="7">
        <f>0</f>
        <v>0</v>
      </c>
      <c r="DA1596" s="7">
        <f>0</f>
        <v>0</v>
      </c>
      <c r="DC1596" s="5" t="s">
        <v>812</v>
      </c>
      <c r="DD1596" s="5" t="s">
        <v>240</v>
      </c>
      <c r="DF1596" s="5" t="s">
        <v>812</v>
      </c>
      <c r="DG1596" s="7">
        <f>1965</f>
        <v>1965</v>
      </c>
      <c r="DI1596" s="5" t="s">
        <v>240</v>
      </c>
      <c r="DJ1596" s="5" t="s">
        <v>240</v>
      </c>
      <c r="DK1596" s="5" t="s">
        <v>240</v>
      </c>
      <c r="DL1596" s="5" t="s">
        <v>240</v>
      </c>
      <c r="DP1596" s="5" t="s">
        <v>240</v>
      </c>
      <c r="DQ1596" s="5" t="s">
        <v>240</v>
      </c>
      <c r="DR1596" s="5" t="s">
        <v>240</v>
      </c>
      <c r="DS1596" s="5" t="s">
        <v>240</v>
      </c>
      <c r="DV1596" s="5" t="s">
        <v>813</v>
      </c>
      <c r="DW1596" s="5" t="s">
        <v>3324</v>
      </c>
      <c r="HO1596" s="5" t="s">
        <v>312</v>
      </c>
    </row>
    <row r="1597" spans="1:223" x14ac:dyDescent="0.4">
      <c r="A1597" s="5">
        <v>3272</v>
      </c>
      <c r="B1597" s="5">
        <v>1</v>
      </c>
      <c r="C1597" s="5">
        <v>1</v>
      </c>
      <c r="D1597" s="5" t="s">
        <v>297</v>
      </c>
      <c r="E1597" s="5" t="s">
        <v>245</v>
      </c>
      <c r="F1597" s="5" t="s">
        <v>254</v>
      </c>
      <c r="G1597" s="5" t="s">
        <v>240</v>
      </c>
      <c r="H1597" s="6" t="s">
        <v>4576</v>
      </c>
      <c r="I1597" s="5" t="s">
        <v>295</v>
      </c>
      <c r="J1597" s="8">
        <f>110</f>
        <v>110</v>
      </c>
      <c r="K1597" s="5" t="s">
        <v>308</v>
      </c>
      <c r="L1597" s="7">
        <f>1</f>
        <v>1</v>
      </c>
      <c r="M1597" s="7">
        <f>1</f>
        <v>1</v>
      </c>
      <c r="N1597" s="5" t="s">
        <v>242</v>
      </c>
      <c r="O1597" s="5">
        <v>1</v>
      </c>
      <c r="P1597" s="5" t="s">
        <v>294</v>
      </c>
      <c r="Q1597" s="5" t="s">
        <v>266</v>
      </c>
      <c r="R1597" s="5" t="s">
        <v>240</v>
      </c>
      <c r="S1597" s="5" t="s">
        <v>240</v>
      </c>
      <c r="T1597" s="5" t="s">
        <v>296</v>
      </c>
      <c r="U1597" s="5" t="s">
        <v>244</v>
      </c>
      <c r="V1597" s="5" t="s">
        <v>240</v>
      </c>
      <c r="Y1597" s="5" t="s">
        <v>240</v>
      </c>
      <c r="Z1597" s="6" t="s">
        <v>298</v>
      </c>
      <c r="AB1597" s="6" t="s">
        <v>240</v>
      </c>
      <c r="AE1597" s="6" t="s">
        <v>299</v>
      </c>
      <c r="AF1597" s="5" t="s">
        <v>248</v>
      </c>
      <c r="AG1597" s="5" t="s">
        <v>249</v>
      </c>
      <c r="AW1597" s="5" t="s">
        <v>251</v>
      </c>
      <c r="AX1597" s="5" t="s">
        <v>240</v>
      </c>
      <c r="AY1597" s="5" t="s">
        <v>253</v>
      </c>
      <c r="AZ1597" s="5" t="s">
        <v>240</v>
      </c>
      <c r="BA1597" s="5" t="s">
        <v>255</v>
      </c>
      <c r="BB1597" s="5" t="s">
        <v>240</v>
      </c>
      <c r="BD1597" s="5" t="s">
        <v>240</v>
      </c>
      <c r="BF1597" s="5" t="s">
        <v>301</v>
      </c>
      <c r="BG1597" s="6" t="s">
        <v>299</v>
      </c>
      <c r="BH1597" s="5" t="s">
        <v>302</v>
      </c>
      <c r="BI1597" s="5" t="s">
        <v>303</v>
      </c>
      <c r="BJ1597" s="5" t="s">
        <v>240</v>
      </c>
      <c r="BK1597" s="8">
        <f>0</f>
        <v>0</v>
      </c>
      <c r="BL1597" s="7">
        <f>0</f>
        <v>0</v>
      </c>
      <c r="BM1597" s="5" t="s">
        <v>258</v>
      </c>
      <c r="BN1597" s="5" t="s">
        <v>259</v>
      </c>
      <c r="CB1597" s="5" t="s">
        <v>240</v>
      </c>
      <c r="CC1597" s="5" t="s">
        <v>240</v>
      </c>
      <c r="CG1597" s="5" t="s">
        <v>304</v>
      </c>
      <c r="CH1597" s="5" t="s">
        <v>305</v>
      </c>
      <c r="CI1597" s="5" t="s">
        <v>240</v>
      </c>
      <c r="CL1597" s="6" t="s">
        <v>261</v>
      </c>
      <c r="CM1597" s="5" t="s">
        <v>240</v>
      </c>
      <c r="CN1597" s="5" t="s">
        <v>263</v>
      </c>
      <c r="CO1597" s="5" t="s">
        <v>240</v>
      </c>
      <c r="CP1597" s="5" t="s">
        <v>240</v>
      </c>
      <c r="CQ1597" s="5">
        <v>0</v>
      </c>
      <c r="CR1597" s="5" t="s">
        <v>306</v>
      </c>
      <c r="CS1597" s="5" t="s">
        <v>307</v>
      </c>
      <c r="CT1597" s="5" t="s">
        <v>307</v>
      </c>
      <c r="CU1597" s="5" t="s">
        <v>260</v>
      </c>
      <c r="CX1597" s="7">
        <f>1</f>
        <v>1</v>
      </c>
      <c r="CY1597" s="7">
        <f>0</f>
        <v>0</v>
      </c>
      <c r="DA1597" s="7">
        <f>0</f>
        <v>0</v>
      </c>
      <c r="DC1597" s="5" t="s">
        <v>812</v>
      </c>
      <c r="DD1597" s="5" t="s">
        <v>240</v>
      </c>
      <c r="DF1597" s="5" t="s">
        <v>812</v>
      </c>
      <c r="DG1597" s="7">
        <f>905</f>
        <v>905</v>
      </c>
      <c r="DI1597" s="5" t="s">
        <v>240</v>
      </c>
      <c r="DJ1597" s="5" t="s">
        <v>240</v>
      </c>
      <c r="DK1597" s="5" t="s">
        <v>240</v>
      </c>
      <c r="DL1597" s="5" t="s">
        <v>240</v>
      </c>
      <c r="DP1597" s="5" t="s">
        <v>240</v>
      </c>
      <c r="DQ1597" s="5" t="s">
        <v>240</v>
      </c>
      <c r="DR1597" s="5" t="s">
        <v>240</v>
      </c>
      <c r="DS1597" s="5" t="s">
        <v>240</v>
      </c>
      <c r="DV1597" s="5" t="s">
        <v>813</v>
      </c>
      <c r="DW1597" s="5" t="s">
        <v>3326</v>
      </c>
      <c r="HO1597" s="5" t="s">
        <v>312</v>
      </c>
    </row>
    <row r="1598" spans="1:223" x14ac:dyDescent="0.4">
      <c r="A1598" s="5">
        <v>3273</v>
      </c>
      <c r="B1598" s="5">
        <v>1</v>
      </c>
      <c r="C1598" s="5">
        <v>1</v>
      </c>
      <c r="D1598" s="5" t="s">
        <v>297</v>
      </c>
      <c r="E1598" s="5" t="s">
        <v>245</v>
      </c>
      <c r="F1598" s="5" t="s">
        <v>254</v>
      </c>
      <c r="G1598" s="5" t="s">
        <v>240</v>
      </c>
      <c r="H1598" s="6" t="s">
        <v>4575</v>
      </c>
      <c r="I1598" s="5" t="s">
        <v>295</v>
      </c>
      <c r="J1598" s="8">
        <f>1730</f>
        <v>1730</v>
      </c>
      <c r="K1598" s="5" t="s">
        <v>308</v>
      </c>
      <c r="L1598" s="7">
        <f>1</f>
        <v>1</v>
      </c>
      <c r="M1598" s="7">
        <f>1</f>
        <v>1</v>
      </c>
      <c r="N1598" s="5" t="s">
        <v>242</v>
      </c>
      <c r="O1598" s="5">
        <v>1</v>
      </c>
      <c r="P1598" s="5" t="s">
        <v>294</v>
      </c>
      <c r="Q1598" s="5" t="s">
        <v>266</v>
      </c>
      <c r="R1598" s="5" t="s">
        <v>240</v>
      </c>
      <c r="S1598" s="5" t="s">
        <v>240</v>
      </c>
      <c r="T1598" s="5" t="s">
        <v>296</v>
      </c>
      <c r="U1598" s="5" t="s">
        <v>244</v>
      </c>
      <c r="V1598" s="5" t="s">
        <v>240</v>
      </c>
      <c r="Y1598" s="5" t="s">
        <v>240</v>
      </c>
      <c r="Z1598" s="6" t="s">
        <v>298</v>
      </c>
      <c r="AB1598" s="6" t="s">
        <v>240</v>
      </c>
      <c r="AE1598" s="6" t="s">
        <v>299</v>
      </c>
      <c r="AF1598" s="5" t="s">
        <v>248</v>
      </c>
      <c r="AG1598" s="5" t="s">
        <v>249</v>
      </c>
      <c r="AW1598" s="5" t="s">
        <v>251</v>
      </c>
      <c r="AX1598" s="5" t="s">
        <v>240</v>
      </c>
      <c r="AY1598" s="5" t="s">
        <v>253</v>
      </c>
      <c r="AZ1598" s="5" t="s">
        <v>240</v>
      </c>
      <c r="BA1598" s="5" t="s">
        <v>255</v>
      </c>
      <c r="BB1598" s="5" t="s">
        <v>240</v>
      </c>
      <c r="BD1598" s="5" t="s">
        <v>240</v>
      </c>
      <c r="BF1598" s="5" t="s">
        <v>301</v>
      </c>
      <c r="BG1598" s="6" t="s">
        <v>299</v>
      </c>
      <c r="BH1598" s="5" t="s">
        <v>302</v>
      </c>
      <c r="BI1598" s="5" t="s">
        <v>303</v>
      </c>
      <c r="BJ1598" s="5" t="s">
        <v>240</v>
      </c>
      <c r="BK1598" s="8">
        <f>0</f>
        <v>0</v>
      </c>
      <c r="BL1598" s="7">
        <f>0</f>
        <v>0</v>
      </c>
      <c r="BM1598" s="5" t="s">
        <v>258</v>
      </c>
      <c r="BN1598" s="5" t="s">
        <v>259</v>
      </c>
      <c r="CB1598" s="5" t="s">
        <v>240</v>
      </c>
      <c r="CC1598" s="5" t="s">
        <v>240</v>
      </c>
      <c r="CG1598" s="5" t="s">
        <v>304</v>
      </c>
      <c r="CH1598" s="5" t="s">
        <v>305</v>
      </c>
      <c r="CI1598" s="5" t="s">
        <v>240</v>
      </c>
      <c r="CL1598" s="6" t="s">
        <v>261</v>
      </c>
      <c r="CM1598" s="5" t="s">
        <v>240</v>
      </c>
      <c r="CN1598" s="5" t="s">
        <v>263</v>
      </c>
      <c r="CO1598" s="5" t="s">
        <v>240</v>
      </c>
      <c r="CP1598" s="5" t="s">
        <v>240</v>
      </c>
      <c r="CQ1598" s="5">
        <v>0</v>
      </c>
      <c r="CR1598" s="5" t="s">
        <v>306</v>
      </c>
      <c r="CS1598" s="5" t="s">
        <v>307</v>
      </c>
      <c r="CT1598" s="5" t="s">
        <v>307</v>
      </c>
      <c r="CU1598" s="5" t="s">
        <v>260</v>
      </c>
      <c r="CX1598" s="7">
        <f>1</f>
        <v>1</v>
      </c>
      <c r="CY1598" s="7">
        <f>0</f>
        <v>0</v>
      </c>
      <c r="DA1598" s="7">
        <f>0</f>
        <v>0</v>
      </c>
      <c r="DC1598" s="5" t="s">
        <v>812</v>
      </c>
      <c r="DD1598" s="5" t="s">
        <v>240</v>
      </c>
      <c r="DF1598" s="5" t="s">
        <v>812</v>
      </c>
      <c r="DG1598" s="7">
        <f>103</f>
        <v>103</v>
      </c>
      <c r="DI1598" s="5" t="s">
        <v>240</v>
      </c>
      <c r="DJ1598" s="5" t="s">
        <v>240</v>
      </c>
      <c r="DK1598" s="5" t="s">
        <v>240</v>
      </c>
      <c r="DL1598" s="5" t="s">
        <v>240</v>
      </c>
      <c r="DP1598" s="5" t="s">
        <v>240</v>
      </c>
      <c r="DQ1598" s="5" t="s">
        <v>240</v>
      </c>
      <c r="DR1598" s="5" t="s">
        <v>240</v>
      </c>
      <c r="DS1598" s="5" t="s">
        <v>240</v>
      </c>
      <c r="DV1598" s="5" t="s">
        <v>813</v>
      </c>
      <c r="DW1598" s="5" t="s">
        <v>3328</v>
      </c>
      <c r="HO1598" s="5" t="s">
        <v>312</v>
      </c>
    </row>
    <row r="1599" spans="1:223" x14ac:dyDescent="0.4">
      <c r="A1599" s="5">
        <v>3274</v>
      </c>
      <c r="B1599" s="5">
        <v>1</v>
      </c>
      <c r="C1599" s="5">
        <v>1</v>
      </c>
      <c r="D1599" s="5" t="s">
        <v>297</v>
      </c>
      <c r="E1599" s="5" t="s">
        <v>245</v>
      </c>
      <c r="F1599" s="5" t="s">
        <v>254</v>
      </c>
      <c r="G1599" s="5" t="s">
        <v>240</v>
      </c>
      <c r="H1599" s="6" t="s">
        <v>4574</v>
      </c>
      <c r="I1599" s="5" t="s">
        <v>295</v>
      </c>
      <c r="J1599" s="8">
        <f>222</f>
        <v>222</v>
      </c>
      <c r="K1599" s="5" t="s">
        <v>308</v>
      </c>
      <c r="L1599" s="7">
        <f>1</f>
        <v>1</v>
      </c>
      <c r="M1599" s="7">
        <f>1</f>
        <v>1</v>
      </c>
      <c r="N1599" s="5" t="s">
        <v>242</v>
      </c>
      <c r="O1599" s="5">
        <v>1</v>
      </c>
      <c r="P1599" s="5" t="s">
        <v>294</v>
      </c>
      <c r="Q1599" s="5" t="s">
        <v>266</v>
      </c>
      <c r="R1599" s="5" t="s">
        <v>240</v>
      </c>
      <c r="S1599" s="5" t="s">
        <v>240</v>
      </c>
      <c r="T1599" s="5" t="s">
        <v>296</v>
      </c>
      <c r="U1599" s="5" t="s">
        <v>244</v>
      </c>
      <c r="V1599" s="5" t="s">
        <v>240</v>
      </c>
      <c r="Y1599" s="5" t="s">
        <v>240</v>
      </c>
      <c r="Z1599" s="6" t="s">
        <v>298</v>
      </c>
      <c r="AB1599" s="6" t="s">
        <v>240</v>
      </c>
      <c r="AE1599" s="6" t="s">
        <v>299</v>
      </c>
      <c r="AF1599" s="5" t="s">
        <v>248</v>
      </c>
      <c r="AG1599" s="5" t="s">
        <v>249</v>
      </c>
      <c r="AW1599" s="5" t="s">
        <v>251</v>
      </c>
      <c r="AX1599" s="5" t="s">
        <v>240</v>
      </c>
      <c r="AY1599" s="5" t="s">
        <v>253</v>
      </c>
      <c r="AZ1599" s="5" t="s">
        <v>240</v>
      </c>
      <c r="BA1599" s="5" t="s">
        <v>255</v>
      </c>
      <c r="BB1599" s="5" t="s">
        <v>240</v>
      </c>
      <c r="BD1599" s="5" t="s">
        <v>240</v>
      </c>
      <c r="BF1599" s="5" t="s">
        <v>301</v>
      </c>
      <c r="BG1599" s="6" t="s">
        <v>299</v>
      </c>
      <c r="BH1599" s="5" t="s">
        <v>302</v>
      </c>
      <c r="BI1599" s="5" t="s">
        <v>303</v>
      </c>
      <c r="BJ1599" s="5" t="s">
        <v>240</v>
      </c>
      <c r="BK1599" s="8">
        <f>0</f>
        <v>0</v>
      </c>
      <c r="BL1599" s="7">
        <f>0</f>
        <v>0</v>
      </c>
      <c r="BM1599" s="5" t="s">
        <v>258</v>
      </c>
      <c r="BN1599" s="5" t="s">
        <v>259</v>
      </c>
      <c r="CB1599" s="5" t="s">
        <v>240</v>
      </c>
      <c r="CC1599" s="5" t="s">
        <v>240</v>
      </c>
      <c r="CG1599" s="5" t="s">
        <v>304</v>
      </c>
      <c r="CH1599" s="5" t="s">
        <v>305</v>
      </c>
      <c r="CI1599" s="5" t="s">
        <v>240</v>
      </c>
      <c r="CL1599" s="6" t="s">
        <v>261</v>
      </c>
      <c r="CM1599" s="5" t="s">
        <v>240</v>
      </c>
      <c r="CN1599" s="5" t="s">
        <v>263</v>
      </c>
      <c r="CO1599" s="5" t="s">
        <v>240</v>
      </c>
      <c r="CP1599" s="5" t="s">
        <v>240</v>
      </c>
      <c r="CQ1599" s="5">
        <v>0</v>
      </c>
      <c r="CR1599" s="5" t="s">
        <v>306</v>
      </c>
      <c r="CS1599" s="5" t="s">
        <v>307</v>
      </c>
      <c r="CT1599" s="5" t="s">
        <v>307</v>
      </c>
      <c r="CU1599" s="5" t="s">
        <v>260</v>
      </c>
      <c r="CX1599" s="7">
        <f>1</f>
        <v>1</v>
      </c>
      <c r="CY1599" s="7">
        <f>0</f>
        <v>0</v>
      </c>
      <c r="DA1599" s="7">
        <f>0</f>
        <v>0</v>
      </c>
      <c r="DC1599" s="5" t="s">
        <v>812</v>
      </c>
      <c r="DD1599" s="5" t="s">
        <v>240</v>
      </c>
      <c r="DF1599" s="5" t="s">
        <v>812</v>
      </c>
      <c r="DG1599" s="7">
        <f>947</f>
        <v>947</v>
      </c>
      <c r="DI1599" s="5" t="s">
        <v>240</v>
      </c>
      <c r="DJ1599" s="5" t="s">
        <v>240</v>
      </c>
      <c r="DK1599" s="5" t="s">
        <v>240</v>
      </c>
      <c r="DL1599" s="5" t="s">
        <v>240</v>
      </c>
      <c r="DP1599" s="5" t="s">
        <v>240</v>
      </c>
      <c r="DQ1599" s="5" t="s">
        <v>240</v>
      </c>
      <c r="DR1599" s="5" t="s">
        <v>240</v>
      </c>
      <c r="DS1599" s="5" t="s">
        <v>240</v>
      </c>
      <c r="DV1599" s="5" t="s">
        <v>813</v>
      </c>
      <c r="DW1599" s="5" t="s">
        <v>3330</v>
      </c>
      <c r="HO1599" s="5" t="s">
        <v>312</v>
      </c>
    </row>
    <row r="1600" spans="1:223" x14ac:dyDescent="0.4">
      <c r="A1600" s="5">
        <v>3275</v>
      </c>
      <c r="B1600" s="5">
        <v>1</v>
      </c>
      <c r="C1600" s="5">
        <v>1</v>
      </c>
      <c r="D1600" s="5" t="s">
        <v>297</v>
      </c>
      <c r="E1600" s="5" t="s">
        <v>245</v>
      </c>
      <c r="F1600" s="5" t="s">
        <v>254</v>
      </c>
      <c r="G1600" s="5" t="s">
        <v>240</v>
      </c>
      <c r="H1600" s="6" t="s">
        <v>4573</v>
      </c>
      <c r="I1600" s="5" t="s">
        <v>295</v>
      </c>
      <c r="J1600" s="8">
        <f>2015</f>
        <v>2015</v>
      </c>
      <c r="K1600" s="5" t="s">
        <v>308</v>
      </c>
      <c r="L1600" s="7">
        <f>1</f>
        <v>1</v>
      </c>
      <c r="M1600" s="7">
        <f>1</f>
        <v>1</v>
      </c>
      <c r="N1600" s="5" t="s">
        <v>242</v>
      </c>
      <c r="O1600" s="5">
        <v>1</v>
      </c>
      <c r="P1600" s="5" t="s">
        <v>294</v>
      </c>
      <c r="Q1600" s="5" t="s">
        <v>266</v>
      </c>
      <c r="R1600" s="5" t="s">
        <v>240</v>
      </c>
      <c r="S1600" s="5" t="s">
        <v>240</v>
      </c>
      <c r="T1600" s="5" t="s">
        <v>296</v>
      </c>
      <c r="U1600" s="5" t="s">
        <v>244</v>
      </c>
      <c r="V1600" s="5" t="s">
        <v>240</v>
      </c>
      <c r="Y1600" s="5" t="s">
        <v>240</v>
      </c>
      <c r="Z1600" s="6" t="s">
        <v>298</v>
      </c>
      <c r="AB1600" s="6" t="s">
        <v>240</v>
      </c>
      <c r="AE1600" s="6" t="s">
        <v>299</v>
      </c>
      <c r="AF1600" s="5" t="s">
        <v>248</v>
      </c>
      <c r="AG1600" s="5" t="s">
        <v>249</v>
      </c>
      <c r="AW1600" s="5" t="s">
        <v>251</v>
      </c>
      <c r="AX1600" s="5" t="s">
        <v>240</v>
      </c>
      <c r="AY1600" s="5" t="s">
        <v>253</v>
      </c>
      <c r="AZ1600" s="5" t="s">
        <v>240</v>
      </c>
      <c r="BA1600" s="5" t="s">
        <v>255</v>
      </c>
      <c r="BB1600" s="5" t="s">
        <v>240</v>
      </c>
      <c r="BD1600" s="5" t="s">
        <v>240</v>
      </c>
      <c r="BF1600" s="5" t="s">
        <v>301</v>
      </c>
      <c r="BG1600" s="6" t="s">
        <v>299</v>
      </c>
      <c r="BH1600" s="5" t="s">
        <v>302</v>
      </c>
      <c r="BI1600" s="5" t="s">
        <v>303</v>
      </c>
      <c r="BJ1600" s="5" t="s">
        <v>240</v>
      </c>
      <c r="BK1600" s="8">
        <f>0</f>
        <v>0</v>
      </c>
      <c r="BL1600" s="7">
        <f>0</f>
        <v>0</v>
      </c>
      <c r="BM1600" s="5" t="s">
        <v>258</v>
      </c>
      <c r="BN1600" s="5" t="s">
        <v>259</v>
      </c>
      <c r="CB1600" s="5" t="s">
        <v>240</v>
      </c>
      <c r="CC1600" s="5" t="s">
        <v>240</v>
      </c>
      <c r="CG1600" s="5" t="s">
        <v>304</v>
      </c>
      <c r="CH1600" s="5" t="s">
        <v>305</v>
      </c>
      <c r="CI1600" s="5" t="s">
        <v>240</v>
      </c>
      <c r="CL1600" s="6" t="s">
        <v>261</v>
      </c>
      <c r="CM1600" s="5" t="s">
        <v>240</v>
      </c>
      <c r="CN1600" s="5" t="s">
        <v>263</v>
      </c>
      <c r="CO1600" s="5" t="s">
        <v>240</v>
      </c>
      <c r="CP1600" s="5" t="s">
        <v>240</v>
      </c>
      <c r="CQ1600" s="5">
        <v>0</v>
      </c>
      <c r="CR1600" s="5" t="s">
        <v>306</v>
      </c>
      <c r="CS1600" s="5" t="s">
        <v>307</v>
      </c>
      <c r="CT1600" s="5" t="s">
        <v>307</v>
      </c>
      <c r="CU1600" s="5" t="s">
        <v>260</v>
      </c>
      <c r="CX1600" s="7">
        <f>1</f>
        <v>1</v>
      </c>
      <c r="CY1600" s="7">
        <f>0</f>
        <v>0</v>
      </c>
      <c r="DA1600" s="7">
        <f>0</f>
        <v>0</v>
      </c>
      <c r="DC1600" s="5" t="s">
        <v>812</v>
      </c>
      <c r="DD1600" s="5" t="s">
        <v>240</v>
      </c>
      <c r="DF1600" s="5" t="s">
        <v>812</v>
      </c>
      <c r="DG1600" s="7">
        <f>2976</f>
        <v>2976</v>
      </c>
      <c r="DI1600" s="5" t="s">
        <v>240</v>
      </c>
      <c r="DJ1600" s="5" t="s">
        <v>240</v>
      </c>
      <c r="DK1600" s="5" t="s">
        <v>240</v>
      </c>
      <c r="DL1600" s="5" t="s">
        <v>240</v>
      </c>
      <c r="DP1600" s="5" t="s">
        <v>240</v>
      </c>
      <c r="DQ1600" s="5" t="s">
        <v>240</v>
      </c>
      <c r="DR1600" s="5" t="s">
        <v>240</v>
      </c>
      <c r="DS1600" s="5" t="s">
        <v>240</v>
      </c>
      <c r="DV1600" s="5" t="s">
        <v>813</v>
      </c>
      <c r="DW1600" s="5" t="s">
        <v>3332</v>
      </c>
      <c r="HO1600" s="5" t="s">
        <v>312</v>
      </c>
    </row>
    <row r="1601" spans="1:223" x14ac:dyDescent="0.4">
      <c r="A1601" s="5">
        <v>3276</v>
      </c>
      <c r="B1601" s="5">
        <v>1</v>
      </c>
      <c r="C1601" s="5">
        <v>1</v>
      </c>
      <c r="D1601" s="5" t="s">
        <v>297</v>
      </c>
      <c r="E1601" s="5" t="s">
        <v>245</v>
      </c>
      <c r="F1601" s="5" t="s">
        <v>254</v>
      </c>
      <c r="G1601" s="5" t="s">
        <v>240</v>
      </c>
      <c r="H1601" s="6" t="s">
        <v>4572</v>
      </c>
      <c r="I1601" s="5" t="s">
        <v>295</v>
      </c>
      <c r="J1601" s="8">
        <f>1768</f>
        <v>1768</v>
      </c>
      <c r="K1601" s="5" t="s">
        <v>308</v>
      </c>
      <c r="L1601" s="7">
        <f>1</f>
        <v>1</v>
      </c>
      <c r="M1601" s="7">
        <f>1</f>
        <v>1</v>
      </c>
      <c r="N1601" s="5" t="s">
        <v>242</v>
      </c>
      <c r="O1601" s="5">
        <v>1</v>
      </c>
      <c r="P1601" s="5" t="s">
        <v>294</v>
      </c>
      <c r="Q1601" s="5" t="s">
        <v>266</v>
      </c>
      <c r="R1601" s="5" t="s">
        <v>240</v>
      </c>
      <c r="S1601" s="5" t="s">
        <v>240</v>
      </c>
      <c r="T1601" s="5" t="s">
        <v>296</v>
      </c>
      <c r="U1601" s="5" t="s">
        <v>244</v>
      </c>
      <c r="V1601" s="5" t="s">
        <v>240</v>
      </c>
      <c r="Y1601" s="5" t="s">
        <v>240</v>
      </c>
      <c r="Z1601" s="6" t="s">
        <v>298</v>
      </c>
      <c r="AB1601" s="6" t="s">
        <v>240</v>
      </c>
      <c r="AE1601" s="6" t="s">
        <v>299</v>
      </c>
      <c r="AF1601" s="5" t="s">
        <v>248</v>
      </c>
      <c r="AG1601" s="5" t="s">
        <v>249</v>
      </c>
      <c r="AW1601" s="5" t="s">
        <v>251</v>
      </c>
      <c r="AX1601" s="5" t="s">
        <v>240</v>
      </c>
      <c r="AY1601" s="5" t="s">
        <v>253</v>
      </c>
      <c r="AZ1601" s="5" t="s">
        <v>240</v>
      </c>
      <c r="BA1601" s="5" t="s">
        <v>255</v>
      </c>
      <c r="BB1601" s="5" t="s">
        <v>240</v>
      </c>
      <c r="BD1601" s="5" t="s">
        <v>240</v>
      </c>
      <c r="BF1601" s="5" t="s">
        <v>301</v>
      </c>
      <c r="BG1601" s="6" t="s">
        <v>299</v>
      </c>
      <c r="BH1601" s="5" t="s">
        <v>302</v>
      </c>
      <c r="BI1601" s="5" t="s">
        <v>303</v>
      </c>
      <c r="BJ1601" s="5" t="s">
        <v>240</v>
      </c>
      <c r="BK1601" s="8">
        <f>0</f>
        <v>0</v>
      </c>
      <c r="BL1601" s="7">
        <f>0</f>
        <v>0</v>
      </c>
      <c r="BM1601" s="5" t="s">
        <v>258</v>
      </c>
      <c r="BN1601" s="5" t="s">
        <v>259</v>
      </c>
      <c r="CB1601" s="5" t="s">
        <v>240</v>
      </c>
      <c r="CC1601" s="5" t="s">
        <v>240</v>
      </c>
      <c r="CG1601" s="5" t="s">
        <v>304</v>
      </c>
      <c r="CH1601" s="5" t="s">
        <v>305</v>
      </c>
      <c r="CI1601" s="5" t="s">
        <v>240</v>
      </c>
      <c r="CL1601" s="6" t="s">
        <v>261</v>
      </c>
      <c r="CM1601" s="5" t="s">
        <v>240</v>
      </c>
      <c r="CN1601" s="5" t="s">
        <v>263</v>
      </c>
      <c r="CO1601" s="5" t="s">
        <v>240</v>
      </c>
      <c r="CP1601" s="5" t="s">
        <v>240</v>
      </c>
      <c r="CQ1601" s="5">
        <v>0</v>
      </c>
      <c r="CR1601" s="5" t="s">
        <v>306</v>
      </c>
      <c r="CS1601" s="5" t="s">
        <v>307</v>
      </c>
      <c r="CT1601" s="5" t="s">
        <v>307</v>
      </c>
      <c r="CU1601" s="5" t="s">
        <v>260</v>
      </c>
      <c r="CX1601" s="7">
        <f>1</f>
        <v>1</v>
      </c>
      <c r="CY1601" s="7">
        <f>0</f>
        <v>0</v>
      </c>
      <c r="DA1601" s="7">
        <f>0</f>
        <v>0</v>
      </c>
      <c r="DC1601" s="5" t="s">
        <v>812</v>
      </c>
      <c r="DD1601" s="5" t="s">
        <v>240</v>
      </c>
      <c r="DF1601" s="5" t="s">
        <v>812</v>
      </c>
      <c r="DG1601" s="7">
        <f>397</f>
        <v>397</v>
      </c>
      <c r="DI1601" s="5" t="s">
        <v>240</v>
      </c>
      <c r="DJ1601" s="5" t="s">
        <v>240</v>
      </c>
      <c r="DK1601" s="5" t="s">
        <v>240</v>
      </c>
      <c r="DL1601" s="5" t="s">
        <v>240</v>
      </c>
      <c r="DP1601" s="5" t="s">
        <v>240</v>
      </c>
      <c r="DQ1601" s="5" t="s">
        <v>240</v>
      </c>
      <c r="DR1601" s="5" t="s">
        <v>240</v>
      </c>
      <c r="DS1601" s="5" t="s">
        <v>240</v>
      </c>
      <c r="DV1601" s="5" t="s">
        <v>813</v>
      </c>
      <c r="DW1601" s="5" t="s">
        <v>3334</v>
      </c>
      <c r="HO1601" s="5" t="s">
        <v>312</v>
      </c>
    </row>
    <row r="1602" spans="1:223" x14ac:dyDescent="0.4">
      <c r="A1602" s="5">
        <v>3277</v>
      </c>
      <c r="B1602" s="5">
        <v>1</v>
      </c>
      <c r="C1602" s="5">
        <v>1</v>
      </c>
      <c r="D1602" s="5" t="s">
        <v>297</v>
      </c>
      <c r="E1602" s="5" t="s">
        <v>245</v>
      </c>
      <c r="F1602" s="5" t="s">
        <v>254</v>
      </c>
      <c r="G1602" s="5" t="s">
        <v>240</v>
      </c>
      <c r="H1602" s="6" t="s">
        <v>5692</v>
      </c>
      <c r="I1602" s="5" t="s">
        <v>295</v>
      </c>
      <c r="J1602" s="8">
        <f>121</f>
        <v>121</v>
      </c>
      <c r="K1602" s="5" t="s">
        <v>308</v>
      </c>
      <c r="L1602" s="7">
        <f>1</f>
        <v>1</v>
      </c>
      <c r="M1602" s="7">
        <f>1</f>
        <v>1</v>
      </c>
      <c r="N1602" s="5" t="s">
        <v>242</v>
      </c>
      <c r="O1602" s="5">
        <v>1</v>
      </c>
      <c r="P1602" s="5" t="s">
        <v>294</v>
      </c>
      <c r="Q1602" s="5" t="s">
        <v>266</v>
      </c>
      <c r="R1602" s="5" t="s">
        <v>240</v>
      </c>
      <c r="S1602" s="5" t="s">
        <v>240</v>
      </c>
      <c r="T1602" s="5" t="s">
        <v>296</v>
      </c>
      <c r="U1602" s="5" t="s">
        <v>244</v>
      </c>
      <c r="V1602" s="5" t="s">
        <v>240</v>
      </c>
      <c r="Y1602" s="5" t="s">
        <v>240</v>
      </c>
      <c r="Z1602" s="6" t="s">
        <v>298</v>
      </c>
      <c r="AB1602" s="6" t="s">
        <v>240</v>
      </c>
      <c r="AE1602" s="6" t="s">
        <v>299</v>
      </c>
      <c r="AF1602" s="5" t="s">
        <v>248</v>
      </c>
      <c r="AG1602" s="5" t="s">
        <v>249</v>
      </c>
      <c r="AW1602" s="5" t="s">
        <v>251</v>
      </c>
      <c r="AX1602" s="5" t="s">
        <v>240</v>
      </c>
      <c r="AY1602" s="5" t="s">
        <v>253</v>
      </c>
      <c r="AZ1602" s="5" t="s">
        <v>240</v>
      </c>
      <c r="BA1602" s="5" t="s">
        <v>255</v>
      </c>
      <c r="BB1602" s="5" t="s">
        <v>240</v>
      </c>
      <c r="BD1602" s="5" t="s">
        <v>240</v>
      </c>
      <c r="BF1602" s="5" t="s">
        <v>301</v>
      </c>
      <c r="BG1602" s="6" t="s">
        <v>299</v>
      </c>
      <c r="BH1602" s="5" t="s">
        <v>302</v>
      </c>
      <c r="BI1602" s="5" t="s">
        <v>303</v>
      </c>
      <c r="BJ1602" s="5" t="s">
        <v>240</v>
      </c>
      <c r="BK1602" s="8">
        <f>0</f>
        <v>0</v>
      </c>
      <c r="BL1602" s="7">
        <f>0</f>
        <v>0</v>
      </c>
      <c r="BM1602" s="5" t="s">
        <v>258</v>
      </c>
      <c r="BN1602" s="5" t="s">
        <v>259</v>
      </c>
      <c r="CB1602" s="5" t="s">
        <v>240</v>
      </c>
      <c r="CC1602" s="5" t="s">
        <v>240</v>
      </c>
      <c r="CG1602" s="5" t="s">
        <v>304</v>
      </c>
      <c r="CH1602" s="5" t="s">
        <v>305</v>
      </c>
      <c r="CI1602" s="5" t="s">
        <v>240</v>
      </c>
      <c r="CL1602" s="6" t="s">
        <v>261</v>
      </c>
      <c r="CM1602" s="5" t="s">
        <v>240</v>
      </c>
      <c r="CN1602" s="5" t="s">
        <v>263</v>
      </c>
      <c r="CO1602" s="5" t="s">
        <v>240</v>
      </c>
      <c r="CP1602" s="5" t="s">
        <v>240</v>
      </c>
      <c r="CQ1602" s="5">
        <v>0</v>
      </c>
      <c r="CR1602" s="5" t="s">
        <v>306</v>
      </c>
      <c r="CS1602" s="5" t="s">
        <v>307</v>
      </c>
      <c r="CT1602" s="5" t="s">
        <v>307</v>
      </c>
      <c r="CU1602" s="5" t="s">
        <v>260</v>
      </c>
      <c r="CX1602" s="7">
        <f>1</f>
        <v>1</v>
      </c>
      <c r="CY1602" s="7">
        <f>0</f>
        <v>0</v>
      </c>
      <c r="DA1602" s="7">
        <f>0</f>
        <v>0</v>
      </c>
      <c r="DC1602" s="5" t="s">
        <v>812</v>
      </c>
      <c r="DD1602" s="5" t="s">
        <v>240</v>
      </c>
      <c r="DF1602" s="5" t="s">
        <v>812</v>
      </c>
      <c r="DG1602" s="7">
        <f>42</f>
        <v>42</v>
      </c>
      <c r="DI1602" s="5" t="s">
        <v>240</v>
      </c>
      <c r="DJ1602" s="5" t="s">
        <v>240</v>
      </c>
      <c r="DK1602" s="5" t="s">
        <v>240</v>
      </c>
      <c r="DL1602" s="5" t="s">
        <v>240</v>
      </c>
      <c r="DP1602" s="5" t="s">
        <v>240</v>
      </c>
      <c r="DQ1602" s="5" t="s">
        <v>240</v>
      </c>
      <c r="DR1602" s="5" t="s">
        <v>240</v>
      </c>
      <c r="DS1602" s="5" t="s">
        <v>240</v>
      </c>
      <c r="DV1602" s="5" t="s">
        <v>813</v>
      </c>
      <c r="DW1602" s="5" t="s">
        <v>3336</v>
      </c>
      <c r="HO1602" s="5" t="s">
        <v>312</v>
      </c>
    </row>
    <row r="1603" spans="1:223" x14ac:dyDescent="0.4">
      <c r="A1603" s="5">
        <v>3278</v>
      </c>
      <c r="B1603" s="5">
        <v>1</v>
      </c>
      <c r="C1603" s="5">
        <v>1</v>
      </c>
      <c r="D1603" s="5" t="s">
        <v>297</v>
      </c>
      <c r="E1603" s="5" t="s">
        <v>245</v>
      </c>
      <c r="F1603" s="5" t="s">
        <v>254</v>
      </c>
      <c r="G1603" s="5" t="s">
        <v>240</v>
      </c>
      <c r="H1603" s="6" t="s">
        <v>4570</v>
      </c>
      <c r="I1603" s="5" t="s">
        <v>295</v>
      </c>
      <c r="J1603" s="8">
        <f>1924</f>
        <v>1924</v>
      </c>
      <c r="K1603" s="5" t="s">
        <v>308</v>
      </c>
      <c r="L1603" s="7">
        <f>1</f>
        <v>1</v>
      </c>
      <c r="M1603" s="7">
        <f>1</f>
        <v>1</v>
      </c>
      <c r="N1603" s="5" t="s">
        <v>242</v>
      </c>
      <c r="O1603" s="5">
        <v>1</v>
      </c>
      <c r="P1603" s="5" t="s">
        <v>294</v>
      </c>
      <c r="Q1603" s="5" t="s">
        <v>266</v>
      </c>
      <c r="R1603" s="5" t="s">
        <v>240</v>
      </c>
      <c r="S1603" s="5" t="s">
        <v>240</v>
      </c>
      <c r="T1603" s="5" t="s">
        <v>296</v>
      </c>
      <c r="U1603" s="5" t="s">
        <v>244</v>
      </c>
      <c r="V1603" s="5" t="s">
        <v>240</v>
      </c>
      <c r="Y1603" s="5" t="s">
        <v>240</v>
      </c>
      <c r="Z1603" s="6" t="s">
        <v>298</v>
      </c>
      <c r="AB1603" s="6" t="s">
        <v>240</v>
      </c>
      <c r="AE1603" s="6" t="s">
        <v>299</v>
      </c>
      <c r="AF1603" s="5" t="s">
        <v>248</v>
      </c>
      <c r="AG1603" s="5" t="s">
        <v>249</v>
      </c>
      <c r="AW1603" s="5" t="s">
        <v>251</v>
      </c>
      <c r="AX1603" s="5" t="s">
        <v>240</v>
      </c>
      <c r="AY1603" s="5" t="s">
        <v>253</v>
      </c>
      <c r="AZ1603" s="5" t="s">
        <v>240</v>
      </c>
      <c r="BA1603" s="5" t="s">
        <v>255</v>
      </c>
      <c r="BB1603" s="5" t="s">
        <v>240</v>
      </c>
      <c r="BD1603" s="5" t="s">
        <v>240</v>
      </c>
      <c r="BF1603" s="5" t="s">
        <v>301</v>
      </c>
      <c r="BG1603" s="6" t="s">
        <v>299</v>
      </c>
      <c r="BH1603" s="5" t="s">
        <v>302</v>
      </c>
      <c r="BI1603" s="5" t="s">
        <v>303</v>
      </c>
      <c r="BJ1603" s="5" t="s">
        <v>240</v>
      </c>
      <c r="BK1603" s="8">
        <f>0</f>
        <v>0</v>
      </c>
      <c r="BL1603" s="7">
        <f>0</f>
        <v>0</v>
      </c>
      <c r="BM1603" s="5" t="s">
        <v>258</v>
      </c>
      <c r="BN1603" s="5" t="s">
        <v>259</v>
      </c>
      <c r="CB1603" s="5" t="s">
        <v>240</v>
      </c>
      <c r="CC1603" s="5" t="s">
        <v>240</v>
      </c>
      <c r="CG1603" s="5" t="s">
        <v>304</v>
      </c>
      <c r="CH1603" s="5" t="s">
        <v>305</v>
      </c>
      <c r="CI1603" s="5" t="s">
        <v>240</v>
      </c>
      <c r="CL1603" s="6" t="s">
        <v>261</v>
      </c>
      <c r="CM1603" s="5" t="s">
        <v>240</v>
      </c>
      <c r="CN1603" s="5" t="s">
        <v>263</v>
      </c>
      <c r="CO1603" s="5" t="s">
        <v>240</v>
      </c>
      <c r="CP1603" s="5" t="s">
        <v>240</v>
      </c>
      <c r="CQ1603" s="5">
        <v>0</v>
      </c>
      <c r="CR1603" s="5" t="s">
        <v>306</v>
      </c>
      <c r="CS1603" s="5" t="s">
        <v>307</v>
      </c>
      <c r="CT1603" s="5" t="s">
        <v>307</v>
      </c>
      <c r="CU1603" s="5" t="s">
        <v>260</v>
      </c>
      <c r="CX1603" s="7">
        <f>1</f>
        <v>1</v>
      </c>
      <c r="CY1603" s="7">
        <f>0</f>
        <v>0</v>
      </c>
      <c r="DA1603" s="7">
        <f>0</f>
        <v>0</v>
      </c>
      <c r="DC1603" s="5" t="s">
        <v>812</v>
      </c>
      <c r="DD1603" s="5" t="s">
        <v>240</v>
      </c>
      <c r="DF1603" s="5" t="s">
        <v>812</v>
      </c>
      <c r="DG1603" s="7">
        <f>177</f>
        <v>177</v>
      </c>
      <c r="DI1603" s="5" t="s">
        <v>240</v>
      </c>
      <c r="DJ1603" s="5" t="s">
        <v>240</v>
      </c>
      <c r="DK1603" s="5" t="s">
        <v>240</v>
      </c>
      <c r="DL1603" s="5" t="s">
        <v>240</v>
      </c>
      <c r="DP1603" s="5" t="s">
        <v>240</v>
      </c>
      <c r="DQ1603" s="5" t="s">
        <v>240</v>
      </c>
      <c r="DR1603" s="5" t="s">
        <v>240</v>
      </c>
      <c r="DS1603" s="5" t="s">
        <v>240</v>
      </c>
      <c r="DV1603" s="5" t="s">
        <v>813</v>
      </c>
      <c r="DW1603" s="5" t="s">
        <v>3338</v>
      </c>
      <c r="HO1603" s="5" t="s">
        <v>312</v>
      </c>
    </row>
    <row r="1604" spans="1:223" x14ac:dyDescent="0.4">
      <c r="A1604" s="5">
        <v>3279</v>
      </c>
      <c r="B1604" s="5">
        <v>1</v>
      </c>
      <c r="C1604" s="5">
        <v>1</v>
      </c>
      <c r="D1604" s="5" t="s">
        <v>297</v>
      </c>
      <c r="E1604" s="5" t="s">
        <v>245</v>
      </c>
      <c r="F1604" s="5" t="s">
        <v>254</v>
      </c>
      <c r="G1604" s="5" t="s">
        <v>240</v>
      </c>
      <c r="H1604" s="6" t="s">
        <v>4569</v>
      </c>
      <c r="I1604" s="5" t="s">
        <v>295</v>
      </c>
      <c r="J1604" s="8">
        <f>2898</f>
        <v>2898</v>
      </c>
      <c r="K1604" s="5" t="s">
        <v>308</v>
      </c>
      <c r="L1604" s="7">
        <f>1</f>
        <v>1</v>
      </c>
      <c r="M1604" s="7">
        <f>1</f>
        <v>1</v>
      </c>
      <c r="N1604" s="5" t="s">
        <v>242</v>
      </c>
      <c r="O1604" s="5">
        <v>1</v>
      </c>
      <c r="P1604" s="5" t="s">
        <v>294</v>
      </c>
      <c r="Q1604" s="5" t="s">
        <v>266</v>
      </c>
      <c r="R1604" s="5" t="s">
        <v>240</v>
      </c>
      <c r="S1604" s="5" t="s">
        <v>240</v>
      </c>
      <c r="T1604" s="5" t="s">
        <v>296</v>
      </c>
      <c r="U1604" s="5" t="s">
        <v>244</v>
      </c>
      <c r="V1604" s="5" t="s">
        <v>240</v>
      </c>
      <c r="Y1604" s="5" t="s">
        <v>240</v>
      </c>
      <c r="Z1604" s="6" t="s">
        <v>298</v>
      </c>
      <c r="AB1604" s="6" t="s">
        <v>240</v>
      </c>
      <c r="AE1604" s="6" t="s">
        <v>299</v>
      </c>
      <c r="AF1604" s="5" t="s">
        <v>248</v>
      </c>
      <c r="AG1604" s="5" t="s">
        <v>249</v>
      </c>
      <c r="AW1604" s="5" t="s">
        <v>251</v>
      </c>
      <c r="AX1604" s="5" t="s">
        <v>240</v>
      </c>
      <c r="AY1604" s="5" t="s">
        <v>253</v>
      </c>
      <c r="AZ1604" s="5" t="s">
        <v>240</v>
      </c>
      <c r="BA1604" s="5" t="s">
        <v>255</v>
      </c>
      <c r="BB1604" s="5" t="s">
        <v>240</v>
      </c>
      <c r="BD1604" s="5" t="s">
        <v>240</v>
      </c>
      <c r="BF1604" s="5" t="s">
        <v>301</v>
      </c>
      <c r="BG1604" s="6" t="s">
        <v>299</v>
      </c>
      <c r="BH1604" s="5" t="s">
        <v>302</v>
      </c>
      <c r="BI1604" s="5" t="s">
        <v>303</v>
      </c>
      <c r="BJ1604" s="5" t="s">
        <v>240</v>
      </c>
      <c r="BK1604" s="8">
        <f>0</f>
        <v>0</v>
      </c>
      <c r="BL1604" s="7">
        <f>0</f>
        <v>0</v>
      </c>
      <c r="BM1604" s="5" t="s">
        <v>258</v>
      </c>
      <c r="BN1604" s="5" t="s">
        <v>259</v>
      </c>
      <c r="CB1604" s="5" t="s">
        <v>240</v>
      </c>
      <c r="CC1604" s="5" t="s">
        <v>240</v>
      </c>
      <c r="CG1604" s="5" t="s">
        <v>304</v>
      </c>
      <c r="CH1604" s="5" t="s">
        <v>305</v>
      </c>
      <c r="CI1604" s="5" t="s">
        <v>240</v>
      </c>
      <c r="CL1604" s="6" t="s">
        <v>261</v>
      </c>
      <c r="CM1604" s="5" t="s">
        <v>240</v>
      </c>
      <c r="CN1604" s="5" t="s">
        <v>263</v>
      </c>
      <c r="CO1604" s="5" t="s">
        <v>240</v>
      </c>
      <c r="CP1604" s="5" t="s">
        <v>240</v>
      </c>
      <c r="CQ1604" s="5">
        <v>0</v>
      </c>
      <c r="CR1604" s="5" t="s">
        <v>306</v>
      </c>
      <c r="CS1604" s="5" t="s">
        <v>307</v>
      </c>
      <c r="CT1604" s="5" t="s">
        <v>307</v>
      </c>
      <c r="CU1604" s="5" t="s">
        <v>260</v>
      </c>
      <c r="CX1604" s="7">
        <f>1</f>
        <v>1</v>
      </c>
      <c r="CY1604" s="7">
        <f>0</f>
        <v>0</v>
      </c>
      <c r="DA1604" s="7">
        <f>0</f>
        <v>0</v>
      </c>
      <c r="DC1604" s="5" t="s">
        <v>812</v>
      </c>
      <c r="DD1604" s="5" t="s">
        <v>240</v>
      </c>
      <c r="DF1604" s="5" t="s">
        <v>812</v>
      </c>
      <c r="DG1604" s="7">
        <f>359</f>
        <v>359</v>
      </c>
      <c r="DI1604" s="5" t="s">
        <v>240</v>
      </c>
      <c r="DJ1604" s="5" t="s">
        <v>240</v>
      </c>
      <c r="DK1604" s="5" t="s">
        <v>240</v>
      </c>
      <c r="DL1604" s="5" t="s">
        <v>240</v>
      </c>
      <c r="DP1604" s="5" t="s">
        <v>240</v>
      </c>
      <c r="DQ1604" s="5" t="s">
        <v>240</v>
      </c>
      <c r="DR1604" s="5" t="s">
        <v>240</v>
      </c>
      <c r="DS1604" s="5" t="s">
        <v>240</v>
      </c>
      <c r="DV1604" s="5" t="s">
        <v>813</v>
      </c>
      <c r="DW1604" s="5" t="s">
        <v>3340</v>
      </c>
      <c r="HO1604" s="5" t="s">
        <v>312</v>
      </c>
    </row>
    <row r="1605" spans="1:223" x14ac:dyDescent="0.4">
      <c r="A1605" s="5">
        <v>3280</v>
      </c>
      <c r="B1605" s="5">
        <v>1</v>
      </c>
      <c r="C1605" s="5">
        <v>1</v>
      </c>
      <c r="D1605" s="5" t="s">
        <v>297</v>
      </c>
      <c r="E1605" s="5" t="s">
        <v>245</v>
      </c>
      <c r="F1605" s="5" t="s">
        <v>254</v>
      </c>
      <c r="G1605" s="5" t="s">
        <v>240</v>
      </c>
      <c r="H1605" s="6" t="s">
        <v>4568</v>
      </c>
      <c r="I1605" s="5" t="s">
        <v>295</v>
      </c>
      <c r="J1605" s="8">
        <f>206</f>
        <v>206</v>
      </c>
      <c r="K1605" s="5" t="s">
        <v>308</v>
      </c>
      <c r="L1605" s="7">
        <f>1</f>
        <v>1</v>
      </c>
      <c r="M1605" s="7">
        <f>1</f>
        <v>1</v>
      </c>
      <c r="N1605" s="5" t="s">
        <v>242</v>
      </c>
      <c r="O1605" s="5">
        <v>1</v>
      </c>
      <c r="P1605" s="5" t="s">
        <v>294</v>
      </c>
      <c r="Q1605" s="5" t="s">
        <v>266</v>
      </c>
      <c r="R1605" s="5" t="s">
        <v>240</v>
      </c>
      <c r="S1605" s="5" t="s">
        <v>240</v>
      </c>
      <c r="T1605" s="5" t="s">
        <v>296</v>
      </c>
      <c r="U1605" s="5" t="s">
        <v>244</v>
      </c>
      <c r="V1605" s="5" t="s">
        <v>240</v>
      </c>
      <c r="Y1605" s="5" t="s">
        <v>240</v>
      </c>
      <c r="Z1605" s="6" t="s">
        <v>298</v>
      </c>
      <c r="AB1605" s="6" t="s">
        <v>240</v>
      </c>
      <c r="AE1605" s="6" t="s">
        <v>299</v>
      </c>
      <c r="AF1605" s="5" t="s">
        <v>248</v>
      </c>
      <c r="AG1605" s="5" t="s">
        <v>249</v>
      </c>
      <c r="AW1605" s="5" t="s">
        <v>251</v>
      </c>
      <c r="AX1605" s="5" t="s">
        <v>240</v>
      </c>
      <c r="AY1605" s="5" t="s">
        <v>253</v>
      </c>
      <c r="AZ1605" s="5" t="s">
        <v>240</v>
      </c>
      <c r="BA1605" s="5" t="s">
        <v>255</v>
      </c>
      <c r="BB1605" s="5" t="s">
        <v>240</v>
      </c>
      <c r="BD1605" s="5" t="s">
        <v>240</v>
      </c>
      <c r="BF1605" s="5" t="s">
        <v>301</v>
      </c>
      <c r="BG1605" s="6" t="s">
        <v>299</v>
      </c>
      <c r="BH1605" s="5" t="s">
        <v>302</v>
      </c>
      <c r="BI1605" s="5" t="s">
        <v>303</v>
      </c>
      <c r="BJ1605" s="5" t="s">
        <v>240</v>
      </c>
      <c r="BK1605" s="8">
        <f>0</f>
        <v>0</v>
      </c>
      <c r="BL1605" s="7">
        <f>0</f>
        <v>0</v>
      </c>
      <c r="BM1605" s="5" t="s">
        <v>258</v>
      </c>
      <c r="BN1605" s="5" t="s">
        <v>259</v>
      </c>
      <c r="CB1605" s="5" t="s">
        <v>240</v>
      </c>
      <c r="CC1605" s="5" t="s">
        <v>240</v>
      </c>
      <c r="CG1605" s="5" t="s">
        <v>304</v>
      </c>
      <c r="CH1605" s="5" t="s">
        <v>305</v>
      </c>
      <c r="CI1605" s="5" t="s">
        <v>240</v>
      </c>
      <c r="CL1605" s="6" t="s">
        <v>261</v>
      </c>
      <c r="CM1605" s="5" t="s">
        <v>240</v>
      </c>
      <c r="CN1605" s="5" t="s">
        <v>263</v>
      </c>
      <c r="CO1605" s="5" t="s">
        <v>240</v>
      </c>
      <c r="CP1605" s="5" t="s">
        <v>240</v>
      </c>
      <c r="CQ1605" s="5">
        <v>0</v>
      </c>
      <c r="CR1605" s="5" t="s">
        <v>306</v>
      </c>
      <c r="CS1605" s="5" t="s">
        <v>307</v>
      </c>
      <c r="CT1605" s="5" t="s">
        <v>307</v>
      </c>
      <c r="CU1605" s="5" t="s">
        <v>260</v>
      </c>
      <c r="CX1605" s="7">
        <f>1</f>
        <v>1</v>
      </c>
      <c r="CY1605" s="7">
        <f>0</f>
        <v>0</v>
      </c>
      <c r="DA1605" s="7">
        <f>0</f>
        <v>0</v>
      </c>
      <c r="DC1605" s="5" t="s">
        <v>812</v>
      </c>
      <c r="DD1605" s="5" t="s">
        <v>240</v>
      </c>
      <c r="DF1605" s="5" t="s">
        <v>812</v>
      </c>
      <c r="DG1605" s="7">
        <f>327</f>
        <v>327</v>
      </c>
      <c r="DI1605" s="5" t="s">
        <v>240</v>
      </c>
      <c r="DJ1605" s="5" t="s">
        <v>240</v>
      </c>
      <c r="DK1605" s="5" t="s">
        <v>240</v>
      </c>
      <c r="DL1605" s="5" t="s">
        <v>240</v>
      </c>
      <c r="DP1605" s="5" t="s">
        <v>240</v>
      </c>
      <c r="DQ1605" s="5" t="s">
        <v>240</v>
      </c>
      <c r="DR1605" s="5" t="s">
        <v>240</v>
      </c>
      <c r="DS1605" s="5" t="s">
        <v>240</v>
      </c>
      <c r="DV1605" s="5" t="s">
        <v>813</v>
      </c>
      <c r="DW1605" s="5" t="s">
        <v>3342</v>
      </c>
      <c r="HO1605" s="5" t="s">
        <v>312</v>
      </c>
    </row>
    <row r="1606" spans="1:223" x14ac:dyDescent="0.4">
      <c r="A1606" s="5">
        <v>3281</v>
      </c>
      <c r="B1606" s="5">
        <v>1</v>
      </c>
      <c r="C1606" s="5">
        <v>1</v>
      </c>
      <c r="D1606" s="5" t="s">
        <v>297</v>
      </c>
      <c r="E1606" s="5" t="s">
        <v>245</v>
      </c>
      <c r="F1606" s="5" t="s">
        <v>254</v>
      </c>
      <c r="G1606" s="5" t="s">
        <v>240</v>
      </c>
      <c r="H1606" s="6" t="s">
        <v>4567</v>
      </c>
      <c r="I1606" s="5" t="s">
        <v>295</v>
      </c>
      <c r="J1606" s="8">
        <f>1066</f>
        <v>1066</v>
      </c>
      <c r="K1606" s="5" t="s">
        <v>308</v>
      </c>
      <c r="L1606" s="7">
        <f>1</f>
        <v>1</v>
      </c>
      <c r="M1606" s="7">
        <f>1</f>
        <v>1</v>
      </c>
      <c r="N1606" s="5" t="s">
        <v>242</v>
      </c>
      <c r="O1606" s="5">
        <v>1</v>
      </c>
      <c r="P1606" s="5" t="s">
        <v>294</v>
      </c>
      <c r="Q1606" s="5" t="s">
        <v>266</v>
      </c>
      <c r="R1606" s="5" t="s">
        <v>240</v>
      </c>
      <c r="S1606" s="5" t="s">
        <v>240</v>
      </c>
      <c r="T1606" s="5" t="s">
        <v>296</v>
      </c>
      <c r="U1606" s="5" t="s">
        <v>244</v>
      </c>
      <c r="V1606" s="5" t="s">
        <v>240</v>
      </c>
      <c r="Y1606" s="5" t="s">
        <v>240</v>
      </c>
      <c r="Z1606" s="6" t="s">
        <v>298</v>
      </c>
      <c r="AB1606" s="6" t="s">
        <v>240</v>
      </c>
      <c r="AE1606" s="6" t="s">
        <v>299</v>
      </c>
      <c r="AF1606" s="5" t="s">
        <v>248</v>
      </c>
      <c r="AG1606" s="5" t="s">
        <v>249</v>
      </c>
      <c r="AW1606" s="5" t="s">
        <v>251</v>
      </c>
      <c r="AX1606" s="5" t="s">
        <v>240</v>
      </c>
      <c r="AY1606" s="5" t="s">
        <v>253</v>
      </c>
      <c r="AZ1606" s="5" t="s">
        <v>240</v>
      </c>
      <c r="BA1606" s="5" t="s">
        <v>255</v>
      </c>
      <c r="BB1606" s="5" t="s">
        <v>240</v>
      </c>
      <c r="BD1606" s="5" t="s">
        <v>240</v>
      </c>
      <c r="BF1606" s="5" t="s">
        <v>301</v>
      </c>
      <c r="BG1606" s="6" t="s">
        <v>299</v>
      </c>
      <c r="BH1606" s="5" t="s">
        <v>302</v>
      </c>
      <c r="BI1606" s="5" t="s">
        <v>303</v>
      </c>
      <c r="BJ1606" s="5" t="s">
        <v>240</v>
      </c>
      <c r="BK1606" s="8">
        <f>0</f>
        <v>0</v>
      </c>
      <c r="BL1606" s="7">
        <f>0</f>
        <v>0</v>
      </c>
      <c r="BM1606" s="5" t="s">
        <v>258</v>
      </c>
      <c r="BN1606" s="5" t="s">
        <v>259</v>
      </c>
      <c r="CB1606" s="5" t="s">
        <v>240</v>
      </c>
      <c r="CC1606" s="5" t="s">
        <v>240</v>
      </c>
      <c r="CG1606" s="5" t="s">
        <v>304</v>
      </c>
      <c r="CH1606" s="5" t="s">
        <v>305</v>
      </c>
      <c r="CI1606" s="5" t="s">
        <v>240</v>
      </c>
      <c r="CL1606" s="6" t="s">
        <v>261</v>
      </c>
      <c r="CM1606" s="5" t="s">
        <v>240</v>
      </c>
      <c r="CN1606" s="5" t="s">
        <v>263</v>
      </c>
      <c r="CO1606" s="5" t="s">
        <v>240</v>
      </c>
      <c r="CP1606" s="5" t="s">
        <v>240</v>
      </c>
      <c r="CQ1606" s="5">
        <v>0</v>
      </c>
      <c r="CR1606" s="5" t="s">
        <v>306</v>
      </c>
      <c r="CS1606" s="5" t="s">
        <v>307</v>
      </c>
      <c r="CT1606" s="5" t="s">
        <v>307</v>
      </c>
      <c r="CU1606" s="5" t="s">
        <v>260</v>
      </c>
      <c r="CX1606" s="7">
        <f>1</f>
        <v>1</v>
      </c>
      <c r="CY1606" s="7">
        <f>0</f>
        <v>0</v>
      </c>
      <c r="DA1606" s="7">
        <f>0</f>
        <v>0</v>
      </c>
      <c r="DC1606" s="5" t="s">
        <v>309</v>
      </c>
      <c r="DD1606" s="5" t="s">
        <v>240</v>
      </c>
      <c r="DF1606" s="5" t="s">
        <v>309</v>
      </c>
      <c r="DG1606" s="7">
        <f>12221</f>
        <v>12221</v>
      </c>
      <c r="DI1606" s="5" t="s">
        <v>240</v>
      </c>
      <c r="DJ1606" s="5" t="s">
        <v>240</v>
      </c>
      <c r="DK1606" s="5" t="s">
        <v>240</v>
      </c>
      <c r="DL1606" s="5" t="s">
        <v>240</v>
      </c>
      <c r="DP1606" s="5" t="s">
        <v>240</v>
      </c>
      <c r="DQ1606" s="5" t="s">
        <v>240</v>
      </c>
      <c r="DR1606" s="5" t="s">
        <v>240</v>
      </c>
      <c r="DS1606" s="5" t="s">
        <v>240</v>
      </c>
      <c r="DV1606" s="5" t="s">
        <v>310</v>
      </c>
      <c r="DW1606" s="5" t="s">
        <v>2407</v>
      </c>
      <c r="HO1606" s="5" t="s">
        <v>312</v>
      </c>
    </row>
    <row r="1607" spans="1:223" x14ac:dyDescent="0.4">
      <c r="A1607" s="5">
        <v>3282</v>
      </c>
      <c r="B1607" s="5">
        <v>1</v>
      </c>
      <c r="C1607" s="5">
        <v>1</v>
      </c>
      <c r="D1607" s="5" t="s">
        <v>297</v>
      </c>
      <c r="E1607" s="5" t="s">
        <v>245</v>
      </c>
      <c r="F1607" s="5" t="s">
        <v>254</v>
      </c>
      <c r="G1607" s="5" t="s">
        <v>240</v>
      </c>
      <c r="H1607" s="6" t="s">
        <v>4566</v>
      </c>
      <c r="I1607" s="5" t="s">
        <v>295</v>
      </c>
      <c r="J1607" s="8">
        <f>5431</f>
        <v>5431</v>
      </c>
      <c r="K1607" s="5" t="s">
        <v>308</v>
      </c>
      <c r="L1607" s="7">
        <f>1</f>
        <v>1</v>
      </c>
      <c r="M1607" s="7">
        <f>1</f>
        <v>1</v>
      </c>
      <c r="N1607" s="5" t="s">
        <v>242</v>
      </c>
      <c r="O1607" s="5">
        <v>1</v>
      </c>
      <c r="P1607" s="5" t="s">
        <v>294</v>
      </c>
      <c r="Q1607" s="5" t="s">
        <v>266</v>
      </c>
      <c r="R1607" s="5" t="s">
        <v>240</v>
      </c>
      <c r="S1607" s="5" t="s">
        <v>240</v>
      </c>
      <c r="T1607" s="5" t="s">
        <v>296</v>
      </c>
      <c r="U1607" s="5" t="s">
        <v>244</v>
      </c>
      <c r="V1607" s="5" t="s">
        <v>240</v>
      </c>
      <c r="Y1607" s="5" t="s">
        <v>240</v>
      </c>
      <c r="Z1607" s="6" t="s">
        <v>298</v>
      </c>
      <c r="AB1607" s="6" t="s">
        <v>240</v>
      </c>
      <c r="AE1607" s="6" t="s">
        <v>299</v>
      </c>
      <c r="AF1607" s="5" t="s">
        <v>248</v>
      </c>
      <c r="AG1607" s="5" t="s">
        <v>249</v>
      </c>
      <c r="AW1607" s="5" t="s">
        <v>251</v>
      </c>
      <c r="AX1607" s="5" t="s">
        <v>240</v>
      </c>
      <c r="AY1607" s="5" t="s">
        <v>253</v>
      </c>
      <c r="AZ1607" s="5" t="s">
        <v>240</v>
      </c>
      <c r="BA1607" s="5" t="s">
        <v>255</v>
      </c>
      <c r="BB1607" s="5" t="s">
        <v>240</v>
      </c>
      <c r="BD1607" s="5" t="s">
        <v>240</v>
      </c>
      <c r="BF1607" s="5" t="s">
        <v>301</v>
      </c>
      <c r="BG1607" s="6" t="s">
        <v>299</v>
      </c>
      <c r="BH1607" s="5" t="s">
        <v>302</v>
      </c>
      <c r="BI1607" s="5" t="s">
        <v>303</v>
      </c>
      <c r="BJ1607" s="5" t="s">
        <v>240</v>
      </c>
      <c r="BK1607" s="8">
        <f>0</f>
        <v>0</v>
      </c>
      <c r="BL1607" s="7">
        <f>0</f>
        <v>0</v>
      </c>
      <c r="BM1607" s="5" t="s">
        <v>258</v>
      </c>
      <c r="BN1607" s="5" t="s">
        <v>259</v>
      </c>
      <c r="CB1607" s="5" t="s">
        <v>240</v>
      </c>
      <c r="CC1607" s="5" t="s">
        <v>240</v>
      </c>
      <c r="CG1607" s="5" t="s">
        <v>304</v>
      </c>
      <c r="CH1607" s="5" t="s">
        <v>305</v>
      </c>
      <c r="CI1607" s="5" t="s">
        <v>240</v>
      </c>
      <c r="CL1607" s="6" t="s">
        <v>261</v>
      </c>
      <c r="CM1607" s="5" t="s">
        <v>240</v>
      </c>
      <c r="CN1607" s="5" t="s">
        <v>263</v>
      </c>
      <c r="CO1607" s="5" t="s">
        <v>240</v>
      </c>
      <c r="CP1607" s="5" t="s">
        <v>240</v>
      </c>
      <c r="CQ1607" s="5">
        <v>0</v>
      </c>
      <c r="CR1607" s="5" t="s">
        <v>306</v>
      </c>
      <c r="CS1607" s="5" t="s">
        <v>307</v>
      </c>
      <c r="CT1607" s="5" t="s">
        <v>307</v>
      </c>
      <c r="CU1607" s="5" t="s">
        <v>260</v>
      </c>
      <c r="CX1607" s="7">
        <f>1</f>
        <v>1</v>
      </c>
      <c r="CY1607" s="7">
        <f>0</f>
        <v>0</v>
      </c>
      <c r="DA1607" s="7">
        <f>0</f>
        <v>0</v>
      </c>
      <c r="DC1607" s="5" t="s">
        <v>812</v>
      </c>
      <c r="DD1607" s="5" t="s">
        <v>240</v>
      </c>
      <c r="DF1607" s="5" t="s">
        <v>812</v>
      </c>
      <c r="DG1607" s="7">
        <f>690</f>
        <v>690</v>
      </c>
      <c r="DI1607" s="5" t="s">
        <v>240</v>
      </c>
      <c r="DJ1607" s="5" t="s">
        <v>240</v>
      </c>
      <c r="DK1607" s="5" t="s">
        <v>240</v>
      </c>
      <c r="DL1607" s="5" t="s">
        <v>240</v>
      </c>
      <c r="DP1607" s="5" t="s">
        <v>240</v>
      </c>
      <c r="DQ1607" s="5" t="s">
        <v>240</v>
      </c>
      <c r="DR1607" s="5" t="s">
        <v>240</v>
      </c>
      <c r="DS1607" s="5" t="s">
        <v>240</v>
      </c>
      <c r="DV1607" s="5" t="s">
        <v>813</v>
      </c>
      <c r="DW1607" s="5" t="s">
        <v>3345</v>
      </c>
      <c r="HO1607" s="5" t="s">
        <v>312</v>
      </c>
    </row>
    <row r="1608" spans="1:223" x14ac:dyDescent="0.4">
      <c r="A1608" s="5">
        <v>3283</v>
      </c>
      <c r="B1608" s="5">
        <v>1</v>
      </c>
      <c r="C1608" s="5">
        <v>1</v>
      </c>
      <c r="D1608" s="5" t="s">
        <v>297</v>
      </c>
      <c r="E1608" s="5" t="s">
        <v>245</v>
      </c>
      <c r="F1608" s="5" t="s">
        <v>254</v>
      </c>
      <c r="G1608" s="5" t="s">
        <v>240</v>
      </c>
      <c r="H1608" s="6" t="s">
        <v>4565</v>
      </c>
      <c r="I1608" s="5" t="s">
        <v>295</v>
      </c>
      <c r="J1608" s="8">
        <f>1389</f>
        <v>1389</v>
      </c>
      <c r="K1608" s="5" t="s">
        <v>308</v>
      </c>
      <c r="L1608" s="7">
        <f>1</f>
        <v>1</v>
      </c>
      <c r="M1608" s="7">
        <f>1</f>
        <v>1</v>
      </c>
      <c r="N1608" s="5" t="s">
        <v>242</v>
      </c>
      <c r="O1608" s="5">
        <v>1</v>
      </c>
      <c r="P1608" s="5" t="s">
        <v>294</v>
      </c>
      <c r="Q1608" s="5" t="s">
        <v>266</v>
      </c>
      <c r="R1608" s="5" t="s">
        <v>240</v>
      </c>
      <c r="S1608" s="5" t="s">
        <v>240</v>
      </c>
      <c r="T1608" s="5" t="s">
        <v>296</v>
      </c>
      <c r="U1608" s="5" t="s">
        <v>244</v>
      </c>
      <c r="V1608" s="5" t="s">
        <v>240</v>
      </c>
      <c r="Y1608" s="5" t="s">
        <v>240</v>
      </c>
      <c r="Z1608" s="6" t="s">
        <v>298</v>
      </c>
      <c r="AB1608" s="6" t="s">
        <v>240</v>
      </c>
      <c r="AE1608" s="6" t="s">
        <v>299</v>
      </c>
      <c r="AF1608" s="5" t="s">
        <v>248</v>
      </c>
      <c r="AG1608" s="5" t="s">
        <v>249</v>
      </c>
      <c r="AW1608" s="5" t="s">
        <v>251</v>
      </c>
      <c r="AX1608" s="5" t="s">
        <v>240</v>
      </c>
      <c r="AY1608" s="5" t="s">
        <v>253</v>
      </c>
      <c r="AZ1608" s="5" t="s">
        <v>240</v>
      </c>
      <c r="BA1608" s="5" t="s">
        <v>255</v>
      </c>
      <c r="BB1608" s="5" t="s">
        <v>240</v>
      </c>
      <c r="BD1608" s="5" t="s">
        <v>240</v>
      </c>
      <c r="BF1608" s="5" t="s">
        <v>301</v>
      </c>
      <c r="BG1608" s="6" t="s">
        <v>299</v>
      </c>
      <c r="BH1608" s="5" t="s">
        <v>302</v>
      </c>
      <c r="BI1608" s="5" t="s">
        <v>303</v>
      </c>
      <c r="BJ1608" s="5" t="s">
        <v>240</v>
      </c>
      <c r="BK1608" s="8">
        <f>0</f>
        <v>0</v>
      </c>
      <c r="BL1608" s="7">
        <f>0</f>
        <v>0</v>
      </c>
      <c r="BM1608" s="5" t="s">
        <v>258</v>
      </c>
      <c r="BN1608" s="5" t="s">
        <v>259</v>
      </c>
      <c r="CB1608" s="5" t="s">
        <v>240</v>
      </c>
      <c r="CC1608" s="5" t="s">
        <v>240</v>
      </c>
      <c r="CG1608" s="5" t="s">
        <v>304</v>
      </c>
      <c r="CH1608" s="5" t="s">
        <v>305</v>
      </c>
      <c r="CI1608" s="5" t="s">
        <v>240</v>
      </c>
      <c r="CL1608" s="6" t="s">
        <v>261</v>
      </c>
      <c r="CM1608" s="5" t="s">
        <v>240</v>
      </c>
      <c r="CN1608" s="5" t="s">
        <v>263</v>
      </c>
      <c r="CO1608" s="5" t="s">
        <v>240</v>
      </c>
      <c r="CP1608" s="5" t="s">
        <v>240</v>
      </c>
      <c r="CQ1608" s="5">
        <v>0</v>
      </c>
      <c r="CR1608" s="5" t="s">
        <v>306</v>
      </c>
      <c r="CS1608" s="5" t="s">
        <v>307</v>
      </c>
      <c r="CT1608" s="5" t="s">
        <v>307</v>
      </c>
      <c r="CU1608" s="5" t="s">
        <v>260</v>
      </c>
      <c r="CX1608" s="7">
        <f>1</f>
        <v>1</v>
      </c>
      <c r="CY1608" s="7">
        <f>0</f>
        <v>0</v>
      </c>
      <c r="DA1608" s="7">
        <f>0</f>
        <v>0</v>
      </c>
      <c r="DC1608" s="5" t="s">
        <v>812</v>
      </c>
      <c r="DD1608" s="5" t="s">
        <v>240</v>
      </c>
      <c r="DF1608" s="5" t="s">
        <v>812</v>
      </c>
      <c r="DG1608" s="7">
        <f>30</f>
        <v>30</v>
      </c>
      <c r="DI1608" s="5" t="s">
        <v>240</v>
      </c>
      <c r="DJ1608" s="5" t="s">
        <v>240</v>
      </c>
      <c r="DK1608" s="5" t="s">
        <v>240</v>
      </c>
      <c r="DL1608" s="5" t="s">
        <v>240</v>
      </c>
      <c r="DP1608" s="5" t="s">
        <v>240</v>
      </c>
      <c r="DQ1608" s="5" t="s">
        <v>240</v>
      </c>
      <c r="DR1608" s="5" t="s">
        <v>240</v>
      </c>
      <c r="DS1608" s="5" t="s">
        <v>240</v>
      </c>
      <c r="DV1608" s="5" t="s">
        <v>813</v>
      </c>
      <c r="DW1608" s="5" t="s">
        <v>3347</v>
      </c>
      <c r="HO1608" s="5" t="s">
        <v>312</v>
      </c>
    </row>
    <row r="1609" spans="1:223" x14ac:dyDescent="0.4">
      <c r="A1609" s="5">
        <v>3284</v>
      </c>
      <c r="B1609" s="5">
        <v>1</v>
      </c>
      <c r="C1609" s="5">
        <v>1</v>
      </c>
      <c r="D1609" s="5" t="s">
        <v>297</v>
      </c>
      <c r="E1609" s="5" t="s">
        <v>245</v>
      </c>
      <c r="F1609" s="5" t="s">
        <v>254</v>
      </c>
      <c r="G1609" s="5" t="s">
        <v>240</v>
      </c>
      <c r="H1609" s="6" t="s">
        <v>4564</v>
      </c>
      <c r="I1609" s="5" t="s">
        <v>295</v>
      </c>
      <c r="J1609" s="8">
        <f>1194</f>
        <v>1194</v>
      </c>
      <c r="K1609" s="5" t="s">
        <v>308</v>
      </c>
      <c r="L1609" s="7">
        <f>1</f>
        <v>1</v>
      </c>
      <c r="M1609" s="7">
        <f>1</f>
        <v>1</v>
      </c>
      <c r="N1609" s="5" t="s">
        <v>242</v>
      </c>
      <c r="O1609" s="5">
        <v>1</v>
      </c>
      <c r="P1609" s="5" t="s">
        <v>294</v>
      </c>
      <c r="Q1609" s="5" t="s">
        <v>266</v>
      </c>
      <c r="R1609" s="5" t="s">
        <v>240</v>
      </c>
      <c r="S1609" s="5" t="s">
        <v>240</v>
      </c>
      <c r="T1609" s="5" t="s">
        <v>296</v>
      </c>
      <c r="U1609" s="5" t="s">
        <v>244</v>
      </c>
      <c r="V1609" s="5" t="s">
        <v>240</v>
      </c>
      <c r="Y1609" s="5" t="s">
        <v>240</v>
      </c>
      <c r="Z1609" s="6" t="s">
        <v>298</v>
      </c>
      <c r="AB1609" s="6" t="s">
        <v>240</v>
      </c>
      <c r="AE1609" s="6" t="s">
        <v>299</v>
      </c>
      <c r="AF1609" s="5" t="s">
        <v>248</v>
      </c>
      <c r="AG1609" s="5" t="s">
        <v>249</v>
      </c>
      <c r="AW1609" s="5" t="s">
        <v>251</v>
      </c>
      <c r="AX1609" s="5" t="s">
        <v>240</v>
      </c>
      <c r="AY1609" s="5" t="s">
        <v>253</v>
      </c>
      <c r="AZ1609" s="5" t="s">
        <v>240</v>
      </c>
      <c r="BA1609" s="5" t="s">
        <v>255</v>
      </c>
      <c r="BB1609" s="5" t="s">
        <v>240</v>
      </c>
      <c r="BD1609" s="5" t="s">
        <v>240</v>
      </c>
      <c r="BF1609" s="5" t="s">
        <v>301</v>
      </c>
      <c r="BG1609" s="6" t="s">
        <v>299</v>
      </c>
      <c r="BH1609" s="5" t="s">
        <v>302</v>
      </c>
      <c r="BI1609" s="5" t="s">
        <v>303</v>
      </c>
      <c r="BJ1609" s="5" t="s">
        <v>240</v>
      </c>
      <c r="BK1609" s="8">
        <f>0</f>
        <v>0</v>
      </c>
      <c r="BL1609" s="7">
        <f>0</f>
        <v>0</v>
      </c>
      <c r="BM1609" s="5" t="s">
        <v>258</v>
      </c>
      <c r="BN1609" s="5" t="s">
        <v>259</v>
      </c>
      <c r="CB1609" s="5" t="s">
        <v>240</v>
      </c>
      <c r="CC1609" s="5" t="s">
        <v>240</v>
      </c>
      <c r="CG1609" s="5" t="s">
        <v>304</v>
      </c>
      <c r="CH1609" s="5" t="s">
        <v>305</v>
      </c>
      <c r="CI1609" s="5" t="s">
        <v>240</v>
      </c>
      <c r="CL1609" s="6" t="s">
        <v>261</v>
      </c>
      <c r="CM1609" s="5" t="s">
        <v>240</v>
      </c>
      <c r="CN1609" s="5" t="s">
        <v>263</v>
      </c>
      <c r="CO1609" s="5" t="s">
        <v>240</v>
      </c>
      <c r="CP1609" s="5" t="s">
        <v>240</v>
      </c>
      <c r="CQ1609" s="5">
        <v>0</v>
      </c>
      <c r="CR1609" s="5" t="s">
        <v>306</v>
      </c>
      <c r="CS1609" s="5" t="s">
        <v>307</v>
      </c>
      <c r="CT1609" s="5" t="s">
        <v>307</v>
      </c>
      <c r="CU1609" s="5" t="s">
        <v>260</v>
      </c>
      <c r="CX1609" s="7">
        <f>1</f>
        <v>1</v>
      </c>
      <c r="CY1609" s="7">
        <f>0</f>
        <v>0</v>
      </c>
      <c r="DA1609" s="7">
        <f>0</f>
        <v>0</v>
      </c>
      <c r="DC1609" s="5" t="s">
        <v>812</v>
      </c>
      <c r="DD1609" s="5" t="s">
        <v>240</v>
      </c>
      <c r="DF1609" s="5" t="s">
        <v>812</v>
      </c>
      <c r="DG1609" s="7">
        <f>2643</f>
        <v>2643</v>
      </c>
      <c r="DI1609" s="5" t="s">
        <v>240</v>
      </c>
      <c r="DJ1609" s="5" t="s">
        <v>240</v>
      </c>
      <c r="DK1609" s="5" t="s">
        <v>240</v>
      </c>
      <c r="DL1609" s="5" t="s">
        <v>240</v>
      </c>
      <c r="DP1609" s="5" t="s">
        <v>240</v>
      </c>
      <c r="DQ1609" s="5" t="s">
        <v>240</v>
      </c>
      <c r="DR1609" s="5" t="s">
        <v>240</v>
      </c>
      <c r="DS1609" s="5" t="s">
        <v>240</v>
      </c>
      <c r="DV1609" s="5" t="s">
        <v>813</v>
      </c>
      <c r="DW1609" s="5" t="s">
        <v>3349</v>
      </c>
      <c r="HO1609" s="5" t="s">
        <v>312</v>
      </c>
    </row>
    <row r="1610" spans="1:223" x14ac:dyDescent="0.4">
      <c r="A1610" s="5">
        <v>3285</v>
      </c>
      <c r="B1610" s="5">
        <v>1</v>
      </c>
      <c r="C1610" s="5">
        <v>1</v>
      </c>
      <c r="D1610" s="5" t="s">
        <v>297</v>
      </c>
      <c r="E1610" s="5" t="s">
        <v>245</v>
      </c>
      <c r="F1610" s="5" t="s">
        <v>254</v>
      </c>
      <c r="G1610" s="5" t="s">
        <v>240</v>
      </c>
      <c r="H1610" s="6" t="s">
        <v>5685</v>
      </c>
      <c r="I1610" s="5" t="s">
        <v>295</v>
      </c>
      <c r="J1610" s="8">
        <f>346</f>
        <v>346</v>
      </c>
      <c r="K1610" s="5" t="s">
        <v>308</v>
      </c>
      <c r="L1610" s="7">
        <f>1</f>
        <v>1</v>
      </c>
      <c r="M1610" s="7">
        <f>1</f>
        <v>1</v>
      </c>
      <c r="N1610" s="5" t="s">
        <v>242</v>
      </c>
      <c r="O1610" s="5">
        <v>1</v>
      </c>
      <c r="P1610" s="5" t="s">
        <v>294</v>
      </c>
      <c r="Q1610" s="5" t="s">
        <v>266</v>
      </c>
      <c r="R1610" s="5" t="s">
        <v>240</v>
      </c>
      <c r="S1610" s="5" t="s">
        <v>240</v>
      </c>
      <c r="T1610" s="5" t="s">
        <v>296</v>
      </c>
      <c r="U1610" s="5" t="s">
        <v>244</v>
      </c>
      <c r="V1610" s="5" t="s">
        <v>240</v>
      </c>
      <c r="Y1610" s="5" t="s">
        <v>240</v>
      </c>
      <c r="Z1610" s="6" t="s">
        <v>298</v>
      </c>
      <c r="AB1610" s="6" t="s">
        <v>240</v>
      </c>
      <c r="AE1610" s="6" t="s">
        <v>299</v>
      </c>
      <c r="AF1610" s="5" t="s">
        <v>248</v>
      </c>
      <c r="AG1610" s="5" t="s">
        <v>249</v>
      </c>
      <c r="AW1610" s="5" t="s">
        <v>251</v>
      </c>
      <c r="AX1610" s="5" t="s">
        <v>240</v>
      </c>
      <c r="AY1610" s="5" t="s">
        <v>253</v>
      </c>
      <c r="AZ1610" s="5" t="s">
        <v>240</v>
      </c>
      <c r="BA1610" s="5" t="s">
        <v>255</v>
      </c>
      <c r="BB1610" s="5" t="s">
        <v>240</v>
      </c>
      <c r="BD1610" s="5" t="s">
        <v>240</v>
      </c>
      <c r="BF1610" s="5" t="s">
        <v>301</v>
      </c>
      <c r="BG1610" s="6" t="s">
        <v>299</v>
      </c>
      <c r="BH1610" s="5" t="s">
        <v>302</v>
      </c>
      <c r="BI1610" s="5" t="s">
        <v>303</v>
      </c>
      <c r="BJ1610" s="5" t="s">
        <v>240</v>
      </c>
      <c r="BK1610" s="8">
        <f>0</f>
        <v>0</v>
      </c>
      <c r="BL1610" s="7">
        <f>0</f>
        <v>0</v>
      </c>
      <c r="BM1610" s="5" t="s">
        <v>258</v>
      </c>
      <c r="BN1610" s="5" t="s">
        <v>259</v>
      </c>
      <c r="CB1610" s="5" t="s">
        <v>240</v>
      </c>
      <c r="CC1610" s="5" t="s">
        <v>240</v>
      </c>
      <c r="CG1610" s="5" t="s">
        <v>304</v>
      </c>
      <c r="CH1610" s="5" t="s">
        <v>305</v>
      </c>
      <c r="CI1610" s="5" t="s">
        <v>240</v>
      </c>
      <c r="CL1610" s="6" t="s">
        <v>261</v>
      </c>
      <c r="CM1610" s="5" t="s">
        <v>240</v>
      </c>
      <c r="CN1610" s="5" t="s">
        <v>263</v>
      </c>
      <c r="CO1610" s="5" t="s">
        <v>240</v>
      </c>
      <c r="CP1610" s="5" t="s">
        <v>240</v>
      </c>
      <c r="CQ1610" s="5">
        <v>0</v>
      </c>
      <c r="CR1610" s="5" t="s">
        <v>306</v>
      </c>
      <c r="CS1610" s="5" t="s">
        <v>307</v>
      </c>
      <c r="CT1610" s="5" t="s">
        <v>307</v>
      </c>
      <c r="CU1610" s="5" t="s">
        <v>260</v>
      </c>
      <c r="CX1610" s="7">
        <f>1</f>
        <v>1</v>
      </c>
      <c r="CY1610" s="7">
        <f>0</f>
        <v>0</v>
      </c>
      <c r="DA1610" s="7">
        <f>0</f>
        <v>0</v>
      </c>
      <c r="DC1610" s="5" t="s">
        <v>812</v>
      </c>
      <c r="DD1610" s="5" t="s">
        <v>240</v>
      </c>
      <c r="DF1610" s="5" t="s">
        <v>812</v>
      </c>
      <c r="DG1610" s="7">
        <f>1690</f>
        <v>1690</v>
      </c>
      <c r="DI1610" s="5" t="s">
        <v>240</v>
      </c>
      <c r="DJ1610" s="5" t="s">
        <v>240</v>
      </c>
      <c r="DK1610" s="5" t="s">
        <v>240</v>
      </c>
      <c r="DL1610" s="5" t="s">
        <v>240</v>
      </c>
      <c r="DP1610" s="5" t="s">
        <v>240</v>
      </c>
      <c r="DQ1610" s="5" t="s">
        <v>240</v>
      </c>
      <c r="DR1610" s="5" t="s">
        <v>240</v>
      </c>
      <c r="DS1610" s="5" t="s">
        <v>240</v>
      </c>
      <c r="DV1610" s="5" t="s">
        <v>813</v>
      </c>
      <c r="DW1610" s="5" t="s">
        <v>3351</v>
      </c>
      <c r="HO1610" s="5" t="s">
        <v>312</v>
      </c>
    </row>
    <row r="1611" spans="1:223" x14ac:dyDescent="0.4">
      <c r="A1611" s="5">
        <v>3286</v>
      </c>
      <c r="B1611" s="5">
        <v>1</v>
      </c>
      <c r="C1611" s="5">
        <v>1</v>
      </c>
      <c r="D1611" s="5" t="s">
        <v>297</v>
      </c>
      <c r="E1611" s="5" t="s">
        <v>245</v>
      </c>
      <c r="F1611" s="5" t="s">
        <v>254</v>
      </c>
      <c r="G1611" s="5" t="s">
        <v>240</v>
      </c>
      <c r="H1611" s="6" t="s">
        <v>4559</v>
      </c>
      <c r="I1611" s="5" t="s">
        <v>295</v>
      </c>
      <c r="J1611" s="8">
        <f>854</f>
        <v>854</v>
      </c>
      <c r="K1611" s="5" t="s">
        <v>308</v>
      </c>
      <c r="L1611" s="7">
        <f>1</f>
        <v>1</v>
      </c>
      <c r="M1611" s="7">
        <f>1</f>
        <v>1</v>
      </c>
      <c r="N1611" s="5" t="s">
        <v>242</v>
      </c>
      <c r="O1611" s="5">
        <v>1</v>
      </c>
      <c r="P1611" s="5" t="s">
        <v>294</v>
      </c>
      <c r="Q1611" s="5" t="s">
        <v>266</v>
      </c>
      <c r="R1611" s="5" t="s">
        <v>240</v>
      </c>
      <c r="S1611" s="5" t="s">
        <v>240</v>
      </c>
      <c r="T1611" s="5" t="s">
        <v>296</v>
      </c>
      <c r="U1611" s="5" t="s">
        <v>244</v>
      </c>
      <c r="V1611" s="5" t="s">
        <v>240</v>
      </c>
      <c r="Y1611" s="5" t="s">
        <v>240</v>
      </c>
      <c r="Z1611" s="6" t="s">
        <v>298</v>
      </c>
      <c r="AB1611" s="6" t="s">
        <v>240</v>
      </c>
      <c r="AE1611" s="6" t="s">
        <v>299</v>
      </c>
      <c r="AF1611" s="5" t="s">
        <v>248</v>
      </c>
      <c r="AG1611" s="5" t="s">
        <v>249</v>
      </c>
      <c r="AW1611" s="5" t="s">
        <v>251</v>
      </c>
      <c r="AX1611" s="5" t="s">
        <v>240</v>
      </c>
      <c r="AY1611" s="5" t="s">
        <v>253</v>
      </c>
      <c r="AZ1611" s="5" t="s">
        <v>240</v>
      </c>
      <c r="BA1611" s="5" t="s">
        <v>255</v>
      </c>
      <c r="BB1611" s="5" t="s">
        <v>240</v>
      </c>
      <c r="BD1611" s="5" t="s">
        <v>240</v>
      </c>
      <c r="BF1611" s="5" t="s">
        <v>301</v>
      </c>
      <c r="BG1611" s="6" t="s">
        <v>299</v>
      </c>
      <c r="BH1611" s="5" t="s">
        <v>302</v>
      </c>
      <c r="BI1611" s="5" t="s">
        <v>303</v>
      </c>
      <c r="BJ1611" s="5" t="s">
        <v>240</v>
      </c>
      <c r="BK1611" s="8">
        <f>0</f>
        <v>0</v>
      </c>
      <c r="BL1611" s="7">
        <f>0</f>
        <v>0</v>
      </c>
      <c r="BM1611" s="5" t="s">
        <v>258</v>
      </c>
      <c r="BN1611" s="5" t="s">
        <v>259</v>
      </c>
      <c r="CB1611" s="5" t="s">
        <v>240</v>
      </c>
      <c r="CC1611" s="5" t="s">
        <v>240</v>
      </c>
      <c r="CG1611" s="5" t="s">
        <v>304</v>
      </c>
      <c r="CH1611" s="5" t="s">
        <v>305</v>
      </c>
      <c r="CI1611" s="5" t="s">
        <v>240</v>
      </c>
      <c r="CL1611" s="6" t="s">
        <v>261</v>
      </c>
      <c r="CM1611" s="5" t="s">
        <v>240</v>
      </c>
      <c r="CN1611" s="5" t="s">
        <v>263</v>
      </c>
      <c r="CO1611" s="5" t="s">
        <v>240</v>
      </c>
      <c r="CP1611" s="5" t="s">
        <v>240</v>
      </c>
      <c r="CQ1611" s="5">
        <v>0</v>
      </c>
      <c r="CR1611" s="5" t="s">
        <v>306</v>
      </c>
      <c r="CS1611" s="5" t="s">
        <v>307</v>
      </c>
      <c r="CT1611" s="5" t="s">
        <v>307</v>
      </c>
      <c r="CU1611" s="5" t="s">
        <v>260</v>
      </c>
      <c r="CX1611" s="7">
        <f>1</f>
        <v>1</v>
      </c>
      <c r="CY1611" s="7">
        <f>0</f>
        <v>0</v>
      </c>
      <c r="DA1611" s="7">
        <f>0</f>
        <v>0</v>
      </c>
      <c r="DC1611" s="5" t="s">
        <v>812</v>
      </c>
      <c r="DD1611" s="5" t="s">
        <v>240</v>
      </c>
      <c r="DF1611" s="5" t="s">
        <v>812</v>
      </c>
      <c r="DG1611" s="7">
        <f>2112</f>
        <v>2112</v>
      </c>
      <c r="DI1611" s="5" t="s">
        <v>240</v>
      </c>
      <c r="DJ1611" s="5" t="s">
        <v>240</v>
      </c>
      <c r="DK1611" s="5" t="s">
        <v>240</v>
      </c>
      <c r="DL1611" s="5" t="s">
        <v>240</v>
      </c>
      <c r="DP1611" s="5" t="s">
        <v>240</v>
      </c>
      <c r="DQ1611" s="5" t="s">
        <v>240</v>
      </c>
      <c r="DR1611" s="5" t="s">
        <v>240</v>
      </c>
      <c r="DS1611" s="5" t="s">
        <v>240</v>
      </c>
      <c r="DV1611" s="5" t="s">
        <v>813</v>
      </c>
      <c r="DW1611" s="5" t="s">
        <v>3353</v>
      </c>
      <c r="HO1611" s="5" t="s">
        <v>312</v>
      </c>
    </row>
    <row r="1612" spans="1:223" x14ac:dyDescent="0.4">
      <c r="A1612" s="5">
        <v>3287</v>
      </c>
      <c r="B1612" s="5">
        <v>1</v>
      </c>
      <c r="C1612" s="5">
        <v>1</v>
      </c>
      <c r="D1612" s="5" t="s">
        <v>297</v>
      </c>
      <c r="E1612" s="5" t="s">
        <v>245</v>
      </c>
      <c r="F1612" s="5" t="s">
        <v>254</v>
      </c>
      <c r="G1612" s="5" t="s">
        <v>240</v>
      </c>
      <c r="H1612" s="6" t="s">
        <v>4558</v>
      </c>
      <c r="I1612" s="5" t="s">
        <v>295</v>
      </c>
      <c r="J1612" s="8">
        <f>2141</f>
        <v>2141</v>
      </c>
      <c r="K1612" s="5" t="s">
        <v>308</v>
      </c>
      <c r="L1612" s="7">
        <f>1</f>
        <v>1</v>
      </c>
      <c r="M1612" s="7">
        <f>1</f>
        <v>1</v>
      </c>
      <c r="N1612" s="5" t="s">
        <v>242</v>
      </c>
      <c r="O1612" s="5">
        <v>1</v>
      </c>
      <c r="P1612" s="5" t="s">
        <v>294</v>
      </c>
      <c r="Q1612" s="5" t="s">
        <v>266</v>
      </c>
      <c r="R1612" s="5" t="s">
        <v>240</v>
      </c>
      <c r="S1612" s="5" t="s">
        <v>240</v>
      </c>
      <c r="T1612" s="5" t="s">
        <v>296</v>
      </c>
      <c r="U1612" s="5" t="s">
        <v>244</v>
      </c>
      <c r="V1612" s="5" t="s">
        <v>240</v>
      </c>
      <c r="Y1612" s="5" t="s">
        <v>240</v>
      </c>
      <c r="Z1612" s="6" t="s">
        <v>298</v>
      </c>
      <c r="AB1612" s="6" t="s">
        <v>240</v>
      </c>
      <c r="AE1612" s="6" t="s">
        <v>299</v>
      </c>
      <c r="AF1612" s="5" t="s">
        <v>248</v>
      </c>
      <c r="AG1612" s="5" t="s">
        <v>249</v>
      </c>
      <c r="AW1612" s="5" t="s">
        <v>251</v>
      </c>
      <c r="AX1612" s="5" t="s">
        <v>240</v>
      </c>
      <c r="AY1612" s="5" t="s">
        <v>253</v>
      </c>
      <c r="AZ1612" s="5" t="s">
        <v>240</v>
      </c>
      <c r="BA1612" s="5" t="s">
        <v>255</v>
      </c>
      <c r="BB1612" s="5" t="s">
        <v>240</v>
      </c>
      <c r="BD1612" s="5" t="s">
        <v>240</v>
      </c>
      <c r="BF1612" s="5" t="s">
        <v>301</v>
      </c>
      <c r="BG1612" s="6" t="s">
        <v>299</v>
      </c>
      <c r="BH1612" s="5" t="s">
        <v>302</v>
      </c>
      <c r="BI1612" s="5" t="s">
        <v>303</v>
      </c>
      <c r="BJ1612" s="5" t="s">
        <v>240</v>
      </c>
      <c r="BK1612" s="8">
        <f>0</f>
        <v>0</v>
      </c>
      <c r="BL1612" s="7">
        <f>0</f>
        <v>0</v>
      </c>
      <c r="BM1612" s="5" t="s">
        <v>258</v>
      </c>
      <c r="BN1612" s="5" t="s">
        <v>259</v>
      </c>
      <c r="CB1612" s="5" t="s">
        <v>240</v>
      </c>
      <c r="CC1612" s="5" t="s">
        <v>240</v>
      </c>
      <c r="CG1612" s="5" t="s">
        <v>304</v>
      </c>
      <c r="CH1612" s="5" t="s">
        <v>305</v>
      </c>
      <c r="CI1612" s="5" t="s">
        <v>240</v>
      </c>
      <c r="CL1612" s="6" t="s">
        <v>261</v>
      </c>
      <c r="CM1612" s="5" t="s">
        <v>240</v>
      </c>
      <c r="CN1612" s="5" t="s">
        <v>263</v>
      </c>
      <c r="CO1612" s="5" t="s">
        <v>240</v>
      </c>
      <c r="CP1612" s="5" t="s">
        <v>240</v>
      </c>
      <c r="CQ1612" s="5">
        <v>0</v>
      </c>
      <c r="CR1612" s="5" t="s">
        <v>306</v>
      </c>
      <c r="CS1612" s="5" t="s">
        <v>307</v>
      </c>
      <c r="CT1612" s="5" t="s">
        <v>307</v>
      </c>
      <c r="CU1612" s="5" t="s">
        <v>260</v>
      </c>
      <c r="CX1612" s="7">
        <f>1</f>
        <v>1</v>
      </c>
      <c r="CY1612" s="7">
        <f>0</f>
        <v>0</v>
      </c>
      <c r="DA1612" s="7">
        <f>0</f>
        <v>0</v>
      </c>
      <c r="DC1612" s="5" t="s">
        <v>812</v>
      </c>
      <c r="DD1612" s="5" t="s">
        <v>240</v>
      </c>
      <c r="DF1612" s="5" t="s">
        <v>812</v>
      </c>
      <c r="DG1612" s="7">
        <f>3591</f>
        <v>3591</v>
      </c>
      <c r="DI1612" s="5" t="s">
        <v>240</v>
      </c>
      <c r="DJ1612" s="5" t="s">
        <v>240</v>
      </c>
      <c r="DK1612" s="5" t="s">
        <v>240</v>
      </c>
      <c r="DL1612" s="5" t="s">
        <v>240</v>
      </c>
      <c r="DP1612" s="5" t="s">
        <v>240</v>
      </c>
      <c r="DQ1612" s="5" t="s">
        <v>240</v>
      </c>
      <c r="DR1612" s="5" t="s">
        <v>240</v>
      </c>
      <c r="DS1612" s="5" t="s">
        <v>240</v>
      </c>
      <c r="DV1612" s="5" t="s">
        <v>813</v>
      </c>
      <c r="DW1612" s="5" t="s">
        <v>3355</v>
      </c>
      <c r="HO1612" s="5" t="s">
        <v>312</v>
      </c>
    </row>
    <row r="1613" spans="1:223" x14ac:dyDescent="0.4">
      <c r="A1613" s="5">
        <v>3288</v>
      </c>
      <c r="B1613" s="5">
        <v>1</v>
      </c>
      <c r="C1613" s="5">
        <v>1</v>
      </c>
      <c r="D1613" s="5" t="s">
        <v>297</v>
      </c>
      <c r="E1613" s="5" t="s">
        <v>245</v>
      </c>
      <c r="F1613" s="5" t="s">
        <v>254</v>
      </c>
      <c r="G1613" s="5" t="s">
        <v>240</v>
      </c>
      <c r="H1613" s="6" t="s">
        <v>4557</v>
      </c>
      <c r="I1613" s="5" t="s">
        <v>295</v>
      </c>
      <c r="J1613" s="8">
        <f>172</f>
        <v>172</v>
      </c>
      <c r="K1613" s="5" t="s">
        <v>308</v>
      </c>
      <c r="L1613" s="7">
        <f>1</f>
        <v>1</v>
      </c>
      <c r="M1613" s="7">
        <f>1</f>
        <v>1</v>
      </c>
      <c r="N1613" s="5" t="s">
        <v>242</v>
      </c>
      <c r="O1613" s="5">
        <v>1</v>
      </c>
      <c r="P1613" s="5" t="s">
        <v>294</v>
      </c>
      <c r="Q1613" s="5" t="s">
        <v>266</v>
      </c>
      <c r="R1613" s="5" t="s">
        <v>240</v>
      </c>
      <c r="S1613" s="5" t="s">
        <v>240</v>
      </c>
      <c r="T1613" s="5" t="s">
        <v>296</v>
      </c>
      <c r="U1613" s="5" t="s">
        <v>244</v>
      </c>
      <c r="V1613" s="5" t="s">
        <v>240</v>
      </c>
      <c r="Y1613" s="5" t="s">
        <v>240</v>
      </c>
      <c r="Z1613" s="6" t="s">
        <v>298</v>
      </c>
      <c r="AB1613" s="6" t="s">
        <v>240</v>
      </c>
      <c r="AE1613" s="6" t="s">
        <v>299</v>
      </c>
      <c r="AF1613" s="5" t="s">
        <v>248</v>
      </c>
      <c r="AG1613" s="5" t="s">
        <v>249</v>
      </c>
      <c r="AW1613" s="5" t="s">
        <v>251</v>
      </c>
      <c r="AX1613" s="5" t="s">
        <v>240</v>
      </c>
      <c r="AY1613" s="5" t="s">
        <v>253</v>
      </c>
      <c r="AZ1613" s="5" t="s">
        <v>240</v>
      </c>
      <c r="BA1613" s="5" t="s">
        <v>255</v>
      </c>
      <c r="BB1613" s="5" t="s">
        <v>240</v>
      </c>
      <c r="BD1613" s="5" t="s">
        <v>240</v>
      </c>
      <c r="BF1613" s="5" t="s">
        <v>301</v>
      </c>
      <c r="BG1613" s="6" t="s">
        <v>299</v>
      </c>
      <c r="BH1613" s="5" t="s">
        <v>302</v>
      </c>
      <c r="BI1613" s="5" t="s">
        <v>303</v>
      </c>
      <c r="BJ1613" s="5" t="s">
        <v>240</v>
      </c>
      <c r="BK1613" s="8">
        <f>0</f>
        <v>0</v>
      </c>
      <c r="BL1613" s="7">
        <f>0</f>
        <v>0</v>
      </c>
      <c r="BM1613" s="5" t="s">
        <v>258</v>
      </c>
      <c r="BN1613" s="5" t="s">
        <v>259</v>
      </c>
      <c r="CB1613" s="5" t="s">
        <v>240</v>
      </c>
      <c r="CC1613" s="5" t="s">
        <v>240</v>
      </c>
      <c r="CG1613" s="5" t="s">
        <v>304</v>
      </c>
      <c r="CH1613" s="5" t="s">
        <v>305</v>
      </c>
      <c r="CI1613" s="5" t="s">
        <v>240</v>
      </c>
      <c r="CL1613" s="6" t="s">
        <v>261</v>
      </c>
      <c r="CM1613" s="5" t="s">
        <v>240</v>
      </c>
      <c r="CN1613" s="5" t="s">
        <v>263</v>
      </c>
      <c r="CO1613" s="5" t="s">
        <v>240</v>
      </c>
      <c r="CP1613" s="5" t="s">
        <v>240</v>
      </c>
      <c r="CQ1613" s="5">
        <v>0</v>
      </c>
      <c r="CR1613" s="5" t="s">
        <v>306</v>
      </c>
      <c r="CS1613" s="5" t="s">
        <v>307</v>
      </c>
      <c r="CT1613" s="5" t="s">
        <v>307</v>
      </c>
      <c r="CU1613" s="5" t="s">
        <v>260</v>
      </c>
      <c r="CX1613" s="7">
        <f>1</f>
        <v>1</v>
      </c>
      <c r="CY1613" s="7">
        <f>0</f>
        <v>0</v>
      </c>
      <c r="DA1613" s="7">
        <f>0</f>
        <v>0</v>
      </c>
      <c r="DC1613" s="5" t="s">
        <v>812</v>
      </c>
      <c r="DD1613" s="5" t="s">
        <v>240</v>
      </c>
      <c r="DF1613" s="5" t="s">
        <v>812</v>
      </c>
      <c r="DG1613" s="7">
        <f>2437</f>
        <v>2437</v>
      </c>
      <c r="DI1613" s="5" t="s">
        <v>240</v>
      </c>
      <c r="DJ1613" s="5" t="s">
        <v>240</v>
      </c>
      <c r="DK1613" s="5" t="s">
        <v>240</v>
      </c>
      <c r="DL1613" s="5" t="s">
        <v>240</v>
      </c>
      <c r="DP1613" s="5" t="s">
        <v>240</v>
      </c>
      <c r="DQ1613" s="5" t="s">
        <v>240</v>
      </c>
      <c r="DR1613" s="5" t="s">
        <v>240</v>
      </c>
      <c r="DS1613" s="5" t="s">
        <v>240</v>
      </c>
      <c r="DV1613" s="5" t="s">
        <v>813</v>
      </c>
      <c r="DW1613" s="5" t="s">
        <v>3357</v>
      </c>
      <c r="HO1613" s="5" t="s">
        <v>312</v>
      </c>
    </row>
    <row r="1614" spans="1:223" x14ac:dyDescent="0.4">
      <c r="A1614" s="5">
        <v>3289</v>
      </c>
      <c r="B1614" s="5">
        <v>1</v>
      </c>
      <c r="C1614" s="5">
        <v>1</v>
      </c>
      <c r="D1614" s="5" t="s">
        <v>297</v>
      </c>
      <c r="E1614" s="5" t="s">
        <v>245</v>
      </c>
      <c r="F1614" s="5" t="s">
        <v>254</v>
      </c>
      <c r="G1614" s="5" t="s">
        <v>240</v>
      </c>
      <c r="H1614" s="6" t="s">
        <v>4556</v>
      </c>
      <c r="I1614" s="5" t="s">
        <v>295</v>
      </c>
      <c r="J1614" s="8">
        <f>134</f>
        <v>134</v>
      </c>
      <c r="K1614" s="5" t="s">
        <v>308</v>
      </c>
      <c r="L1614" s="7">
        <f>1</f>
        <v>1</v>
      </c>
      <c r="M1614" s="7">
        <f>1</f>
        <v>1</v>
      </c>
      <c r="N1614" s="5" t="s">
        <v>242</v>
      </c>
      <c r="O1614" s="5">
        <v>1</v>
      </c>
      <c r="P1614" s="5" t="s">
        <v>294</v>
      </c>
      <c r="Q1614" s="5" t="s">
        <v>266</v>
      </c>
      <c r="R1614" s="5" t="s">
        <v>240</v>
      </c>
      <c r="S1614" s="5" t="s">
        <v>240</v>
      </c>
      <c r="T1614" s="5" t="s">
        <v>296</v>
      </c>
      <c r="U1614" s="5" t="s">
        <v>244</v>
      </c>
      <c r="V1614" s="5" t="s">
        <v>240</v>
      </c>
      <c r="Y1614" s="5" t="s">
        <v>240</v>
      </c>
      <c r="Z1614" s="6" t="s">
        <v>298</v>
      </c>
      <c r="AB1614" s="6" t="s">
        <v>240</v>
      </c>
      <c r="AE1614" s="6" t="s">
        <v>299</v>
      </c>
      <c r="AF1614" s="5" t="s">
        <v>248</v>
      </c>
      <c r="AG1614" s="5" t="s">
        <v>249</v>
      </c>
      <c r="AW1614" s="5" t="s">
        <v>251</v>
      </c>
      <c r="AX1614" s="5" t="s">
        <v>240</v>
      </c>
      <c r="AY1614" s="5" t="s">
        <v>253</v>
      </c>
      <c r="AZ1614" s="5" t="s">
        <v>240</v>
      </c>
      <c r="BA1614" s="5" t="s">
        <v>255</v>
      </c>
      <c r="BB1614" s="5" t="s">
        <v>240</v>
      </c>
      <c r="BD1614" s="5" t="s">
        <v>240</v>
      </c>
      <c r="BF1614" s="5" t="s">
        <v>301</v>
      </c>
      <c r="BG1614" s="6" t="s">
        <v>299</v>
      </c>
      <c r="BH1614" s="5" t="s">
        <v>302</v>
      </c>
      <c r="BI1614" s="5" t="s">
        <v>303</v>
      </c>
      <c r="BJ1614" s="5" t="s">
        <v>240</v>
      </c>
      <c r="BK1614" s="8">
        <f>0</f>
        <v>0</v>
      </c>
      <c r="BL1614" s="7">
        <f>0</f>
        <v>0</v>
      </c>
      <c r="BM1614" s="5" t="s">
        <v>258</v>
      </c>
      <c r="BN1614" s="5" t="s">
        <v>259</v>
      </c>
      <c r="CB1614" s="5" t="s">
        <v>240</v>
      </c>
      <c r="CC1614" s="5" t="s">
        <v>240</v>
      </c>
      <c r="CG1614" s="5" t="s">
        <v>304</v>
      </c>
      <c r="CH1614" s="5" t="s">
        <v>305</v>
      </c>
      <c r="CI1614" s="5" t="s">
        <v>240</v>
      </c>
      <c r="CL1614" s="6" t="s">
        <v>261</v>
      </c>
      <c r="CM1614" s="5" t="s">
        <v>240</v>
      </c>
      <c r="CN1614" s="5" t="s">
        <v>263</v>
      </c>
      <c r="CO1614" s="5" t="s">
        <v>240</v>
      </c>
      <c r="CP1614" s="5" t="s">
        <v>240</v>
      </c>
      <c r="CQ1614" s="5">
        <v>0</v>
      </c>
      <c r="CR1614" s="5" t="s">
        <v>306</v>
      </c>
      <c r="CS1614" s="5" t="s">
        <v>307</v>
      </c>
      <c r="CT1614" s="5" t="s">
        <v>307</v>
      </c>
      <c r="CU1614" s="5" t="s">
        <v>260</v>
      </c>
      <c r="CX1614" s="7">
        <f>1</f>
        <v>1</v>
      </c>
      <c r="CY1614" s="7">
        <f>0</f>
        <v>0</v>
      </c>
      <c r="DA1614" s="7">
        <f>0</f>
        <v>0</v>
      </c>
      <c r="DC1614" s="5" t="s">
        <v>812</v>
      </c>
      <c r="DD1614" s="5" t="s">
        <v>240</v>
      </c>
      <c r="DF1614" s="5" t="s">
        <v>812</v>
      </c>
      <c r="DG1614" s="7">
        <f>180</f>
        <v>180</v>
      </c>
      <c r="DI1614" s="5" t="s">
        <v>240</v>
      </c>
      <c r="DJ1614" s="5" t="s">
        <v>240</v>
      </c>
      <c r="DK1614" s="5" t="s">
        <v>240</v>
      </c>
      <c r="DL1614" s="5" t="s">
        <v>240</v>
      </c>
      <c r="DP1614" s="5" t="s">
        <v>240</v>
      </c>
      <c r="DQ1614" s="5" t="s">
        <v>240</v>
      </c>
      <c r="DR1614" s="5" t="s">
        <v>240</v>
      </c>
      <c r="DS1614" s="5" t="s">
        <v>240</v>
      </c>
      <c r="DV1614" s="5" t="s">
        <v>813</v>
      </c>
      <c r="DW1614" s="5" t="s">
        <v>3359</v>
      </c>
      <c r="HO1614" s="5" t="s">
        <v>312</v>
      </c>
    </row>
    <row r="1615" spans="1:223" x14ac:dyDescent="0.4">
      <c r="A1615" s="5">
        <v>3290</v>
      </c>
      <c r="B1615" s="5">
        <v>1</v>
      </c>
      <c r="C1615" s="5">
        <v>1</v>
      </c>
      <c r="D1615" s="5" t="s">
        <v>297</v>
      </c>
      <c r="E1615" s="5" t="s">
        <v>245</v>
      </c>
      <c r="F1615" s="5" t="s">
        <v>254</v>
      </c>
      <c r="G1615" s="5" t="s">
        <v>240</v>
      </c>
      <c r="H1615" s="6" t="s">
        <v>4555</v>
      </c>
      <c r="I1615" s="5" t="s">
        <v>295</v>
      </c>
      <c r="J1615" s="8">
        <f>367</f>
        <v>367</v>
      </c>
      <c r="K1615" s="5" t="s">
        <v>308</v>
      </c>
      <c r="L1615" s="7">
        <f>1</f>
        <v>1</v>
      </c>
      <c r="M1615" s="7">
        <f>1</f>
        <v>1</v>
      </c>
      <c r="N1615" s="5" t="s">
        <v>242</v>
      </c>
      <c r="O1615" s="5">
        <v>1</v>
      </c>
      <c r="P1615" s="5" t="s">
        <v>294</v>
      </c>
      <c r="Q1615" s="5" t="s">
        <v>266</v>
      </c>
      <c r="R1615" s="5" t="s">
        <v>240</v>
      </c>
      <c r="S1615" s="5" t="s">
        <v>240</v>
      </c>
      <c r="T1615" s="5" t="s">
        <v>296</v>
      </c>
      <c r="U1615" s="5" t="s">
        <v>244</v>
      </c>
      <c r="V1615" s="5" t="s">
        <v>240</v>
      </c>
      <c r="Y1615" s="5" t="s">
        <v>240</v>
      </c>
      <c r="Z1615" s="6" t="s">
        <v>298</v>
      </c>
      <c r="AB1615" s="6" t="s">
        <v>240</v>
      </c>
      <c r="AE1615" s="6" t="s">
        <v>299</v>
      </c>
      <c r="AF1615" s="5" t="s">
        <v>248</v>
      </c>
      <c r="AG1615" s="5" t="s">
        <v>249</v>
      </c>
      <c r="AW1615" s="5" t="s">
        <v>251</v>
      </c>
      <c r="AX1615" s="5" t="s">
        <v>240</v>
      </c>
      <c r="AY1615" s="5" t="s">
        <v>253</v>
      </c>
      <c r="AZ1615" s="5" t="s">
        <v>240</v>
      </c>
      <c r="BA1615" s="5" t="s">
        <v>255</v>
      </c>
      <c r="BB1615" s="5" t="s">
        <v>240</v>
      </c>
      <c r="BD1615" s="5" t="s">
        <v>240</v>
      </c>
      <c r="BF1615" s="5" t="s">
        <v>301</v>
      </c>
      <c r="BG1615" s="6" t="s">
        <v>299</v>
      </c>
      <c r="BH1615" s="5" t="s">
        <v>302</v>
      </c>
      <c r="BI1615" s="5" t="s">
        <v>303</v>
      </c>
      <c r="BJ1615" s="5" t="s">
        <v>240</v>
      </c>
      <c r="BK1615" s="8">
        <f>0</f>
        <v>0</v>
      </c>
      <c r="BL1615" s="7">
        <f>0</f>
        <v>0</v>
      </c>
      <c r="BM1615" s="5" t="s">
        <v>258</v>
      </c>
      <c r="BN1615" s="5" t="s">
        <v>259</v>
      </c>
      <c r="CB1615" s="5" t="s">
        <v>240</v>
      </c>
      <c r="CC1615" s="5" t="s">
        <v>240</v>
      </c>
      <c r="CG1615" s="5" t="s">
        <v>304</v>
      </c>
      <c r="CH1615" s="5" t="s">
        <v>305</v>
      </c>
      <c r="CI1615" s="5" t="s">
        <v>240</v>
      </c>
      <c r="CL1615" s="6" t="s">
        <v>261</v>
      </c>
      <c r="CM1615" s="5" t="s">
        <v>240</v>
      </c>
      <c r="CN1615" s="5" t="s">
        <v>263</v>
      </c>
      <c r="CO1615" s="5" t="s">
        <v>240</v>
      </c>
      <c r="CP1615" s="5" t="s">
        <v>240</v>
      </c>
      <c r="CQ1615" s="5">
        <v>0</v>
      </c>
      <c r="CR1615" s="5" t="s">
        <v>306</v>
      </c>
      <c r="CS1615" s="5" t="s">
        <v>307</v>
      </c>
      <c r="CT1615" s="5" t="s">
        <v>307</v>
      </c>
      <c r="CU1615" s="5" t="s">
        <v>260</v>
      </c>
      <c r="CX1615" s="7">
        <f>1</f>
        <v>1</v>
      </c>
      <c r="CY1615" s="7">
        <f>0</f>
        <v>0</v>
      </c>
      <c r="DA1615" s="7">
        <f>0</f>
        <v>0</v>
      </c>
      <c r="DC1615" s="5" t="s">
        <v>812</v>
      </c>
      <c r="DD1615" s="5" t="s">
        <v>240</v>
      </c>
      <c r="DF1615" s="5" t="s">
        <v>812</v>
      </c>
      <c r="DG1615" s="7">
        <f>80</f>
        <v>80</v>
      </c>
      <c r="DI1615" s="5" t="s">
        <v>240</v>
      </c>
      <c r="DJ1615" s="5" t="s">
        <v>240</v>
      </c>
      <c r="DK1615" s="5" t="s">
        <v>240</v>
      </c>
      <c r="DL1615" s="5" t="s">
        <v>240</v>
      </c>
      <c r="DP1615" s="5" t="s">
        <v>240</v>
      </c>
      <c r="DQ1615" s="5" t="s">
        <v>240</v>
      </c>
      <c r="DR1615" s="5" t="s">
        <v>240</v>
      </c>
      <c r="DS1615" s="5" t="s">
        <v>240</v>
      </c>
      <c r="DV1615" s="5" t="s">
        <v>813</v>
      </c>
      <c r="DW1615" s="5" t="s">
        <v>3361</v>
      </c>
      <c r="HO1615" s="5" t="s">
        <v>312</v>
      </c>
    </row>
    <row r="1616" spans="1:223" x14ac:dyDescent="0.4">
      <c r="A1616" s="5">
        <v>3291</v>
      </c>
      <c r="B1616" s="5">
        <v>1</v>
      </c>
      <c r="C1616" s="5">
        <v>1</v>
      </c>
      <c r="D1616" s="5" t="s">
        <v>297</v>
      </c>
      <c r="E1616" s="5" t="s">
        <v>245</v>
      </c>
      <c r="F1616" s="5" t="s">
        <v>254</v>
      </c>
      <c r="G1616" s="5" t="s">
        <v>240</v>
      </c>
      <c r="H1616" s="6" t="s">
        <v>4554</v>
      </c>
      <c r="I1616" s="5" t="s">
        <v>295</v>
      </c>
      <c r="J1616" s="8">
        <f>2369</f>
        <v>2369</v>
      </c>
      <c r="K1616" s="5" t="s">
        <v>308</v>
      </c>
      <c r="L1616" s="7">
        <f>1</f>
        <v>1</v>
      </c>
      <c r="M1616" s="7">
        <f>1</f>
        <v>1</v>
      </c>
      <c r="N1616" s="5" t="s">
        <v>242</v>
      </c>
      <c r="O1616" s="5">
        <v>1</v>
      </c>
      <c r="P1616" s="5" t="s">
        <v>294</v>
      </c>
      <c r="Q1616" s="5" t="s">
        <v>266</v>
      </c>
      <c r="R1616" s="5" t="s">
        <v>240</v>
      </c>
      <c r="S1616" s="5" t="s">
        <v>240</v>
      </c>
      <c r="T1616" s="5" t="s">
        <v>296</v>
      </c>
      <c r="U1616" s="5" t="s">
        <v>244</v>
      </c>
      <c r="V1616" s="5" t="s">
        <v>240</v>
      </c>
      <c r="Y1616" s="5" t="s">
        <v>240</v>
      </c>
      <c r="Z1616" s="6" t="s">
        <v>298</v>
      </c>
      <c r="AB1616" s="6" t="s">
        <v>240</v>
      </c>
      <c r="AE1616" s="6" t="s">
        <v>299</v>
      </c>
      <c r="AF1616" s="5" t="s">
        <v>248</v>
      </c>
      <c r="AG1616" s="5" t="s">
        <v>249</v>
      </c>
      <c r="AW1616" s="5" t="s">
        <v>251</v>
      </c>
      <c r="AX1616" s="5" t="s">
        <v>240</v>
      </c>
      <c r="AY1616" s="5" t="s">
        <v>253</v>
      </c>
      <c r="AZ1616" s="5" t="s">
        <v>240</v>
      </c>
      <c r="BA1616" s="5" t="s">
        <v>255</v>
      </c>
      <c r="BB1616" s="5" t="s">
        <v>240</v>
      </c>
      <c r="BD1616" s="5" t="s">
        <v>240</v>
      </c>
      <c r="BF1616" s="5" t="s">
        <v>301</v>
      </c>
      <c r="BG1616" s="6" t="s">
        <v>299</v>
      </c>
      <c r="BH1616" s="5" t="s">
        <v>302</v>
      </c>
      <c r="BI1616" s="5" t="s">
        <v>303</v>
      </c>
      <c r="BJ1616" s="5" t="s">
        <v>240</v>
      </c>
      <c r="BK1616" s="8">
        <f>0</f>
        <v>0</v>
      </c>
      <c r="BL1616" s="7">
        <f>0</f>
        <v>0</v>
      </c>
      <c r="BM1616" s="5" t="s">
        <v>258</v>
      </c>
      <c r="BN1616" s="5" t="s">
        <v>259</v>
      </c>
      <c r="CB1616" s="5" t="s">
        <v>240</v>
      </c>
      <c r="CC1616" s="5" t="s">
        <v>240</v>
      </c>
      <c r="CG1616" s="5" t="s">
        <v>304</v>
      </c>
      <c r="CH1616" s="5" t="s">
        <v>305</v>
      </c>
      <c r="CI1616" s="5" t="s">
        <v>240</v>
      </c>
      <c r="CL1616" s="6" t="s">
        <v>261</v>
      </c>
      <c r="CM1616" s="5" t="s">
        <v>240</v>
      </c>
      <c r="CN1616" s="5" t="s">
        <v>263</v>
      </c>
      <c r="CO1616" s="5" t="s">
        <v>240</v>
      </c>
      <c r="CP1616" s="5" t="s">
        <v>240</v>
      </c>
      <c r="CQ1616" s="5">
        <v>0</v>
      </c>
      <c r="CR1616" s="5" t="s">
        <v>306</v>
      </c>
      <c r="CS1616" s="5" t="s">
        <v>307</v>
      </c>
      <c r="CT1616" s="5" t="s">
        <v>307</v>
      </c>
      <c r="CU1616" s="5" t="s">
        <v>260</v>
      </c>
      <c r="CX1616" s="7">
        <f>1</f>
        <v>1</v>
      </c>
      <c r="CY1616" s="7">
        <f>0</f>
        <v>0</v>
      </c>
      <c r="DA1616" s="7">
        <f>0</f>
        <v>0</v>
      </c>
      <c r="DC1616" s="5" t="s">
        <v>812</v>
      </c>
      <c r="DD1616" s="5" t="s">
        <v>240</v>
      </c>
      <c r="DF1616" s="5" t="s">
        <v>812</v>
      </c>
      <c r="DG1616" s="7">
        <f>1796</f>
        <v>1796</v>
      </c>
      <c r="DI1616" s="5" t="s">
        <v>240</v>
      </c>
      <c r="DJ1616" s="5" t="s">
        <v>240</v>
      </c>
      <c r="DK1616" s="5" t="s">
        <v>240</v>
      </c>
      <c r="DL1616" s="5" t="s">
        <v>240</v>
      </c>
      <c r="DP1616" s="5" t="s">
        <v>240</v>
      </c>
      <c r="DQ1616" s="5" t="s">
        <v>240</v>
      </c>
      <c r="DR1616" s="5" t="s">
        <v>240</v>
      </c>
      <c r="DS1616" s="5" t="s">
        <v>240</v>
      </c>
      <c r="DV1616" s="5" t="s">
        <v>813</v>
      </c>
      <c r="DW1616" s="5" t="s">
        <v>3363</v>
      </c>
      <c r="HO1616" s="5" t="s">
        <v>312</v>
      </c>
    </row>
    <row r="1617" spans="1:223" x14ac:dyDescent="0.4">
      <c r="A1617" s="5">
        <v>3292</v>
      </c>
      <c r="B1617" s="5">
        <v>1</v>
      </c>
      <c r="C1617" s="5">
        <v>1</v>
      </c>
      <c r="D1617" s="5" t="s">
        <v>297</v>
      </c>
      <c r="E1617" s="5" t="s">
        <v>245</v>
      </c>
      <c r="F1617" s="5" t="s">
        <v>254</v>
      </c>
      <c r="G1617" s="5" t="s">
        <v>240</v>
      </c>
      <c r="H1617" s="6" t="s">
        <v>4553</v>
      </c>
      <c r="I1617" s="5" t="s">
        <v>295</v>
      </c>
      <c r="J1617" s="8">
        <f>1730</f>
        <v>1730</v>
      </c>
      <c r="K1617" s="5" t="s">
        <v>308</v>
      </c>
      <c r="L1617" s="7">
        <f>1</f>
        <v>1</v>
      </c>
      <c r="M1617" s="7">
        <f>1</f>
        <v>1</v>
      </c>
      <c r="N1617" s="5" t="s">
        <v>242</v>
      </c>
      <c r="O1617" s="5">
        <v>1</v>
      </c>
      <c r="P1617" s="5" t="s">
        <v>294</v>
      </c>
      <c r="Q1617" s="5" t="s">
        <v>266</v>
      </c>
      <c r="R1617" s="5" t="s">
        <v>240</v>
      </c>
      <c r="S1617" s="5" t="s">
        <v>240</v>
      </c>
      <c r="T1617" s="5" t="s">
        <v>296</v>
      </c>
      <c r="U1617" s="5" t="s">
        <v>244</v>
      </c>
      <c r="V1617" s="5" t="s">
        <v>240</v>
      </c>
      <c r="Y1617" s="5" t="s">
        <v>240</v>
      </c>
      <c r="Z1617" s="6" t="s">
        <v>298</v>
      </c>
      <c r="AB1617" s="6" t="s">
        <v>240</v>
      </c>
      <c r="AE1617" s="6" t="s">
        <v>299</v>
      </c>
      <c r="AF1617" s="5" t="s">
        <v>248</v>
      </c>
      <c r="AG1617" s="5" t="s">
        <v>249</v>
      </c>
      <c r="AW1617" s="5" t="s">
        <v>251</v>
      </c>
      <c r="AX1617" s="5" t="s">
        <v>240</v>
      </c>
      <c r="AY1617" s="5" t="s">
        <v>253</v>
      </c>
      <c r="AZ1617" s="5" t="s">
        <v>240</v>
      </c>
      <c r="BA1617" s="5" t="s">
        <v>255</v>
      </c>
      <c r="BB1617" s="5" t="s">
        <v>240</v>
      </c>
      <c r="BD1617" s="5" t="s">
        <v>240</v>
      </c>
      <c r="BF1617" s="5" t="s">
        <v>301</v>
      </c>
      <c r="BG1617" s="6" t="s">
        <v>299</v>
      </c>
      <c r="BH1617" s="5" t="s">
        <v>302</v>
      </c>
      <c r="BI1617" s="5" t="s">
        <v>303</v>
      </c>
      <c r="BJ1617" s="5" t="s">
        <v>240</v>
      </c>
      <c r="BK1617" s="8">
        <f>0</f>
        <v>0</v>
      </c>
      <c r="BL1617" s="7">
        <f>0</f>
        <v>0</v>
      </c>
      <c r="BM1617" s="5" t="s">
        <v>258</v>
      </c>
      <c r="BN1617" s="5" t="s">
        <v>259</v>
      </c>
      <c r="CB1617" s="5" t="s">
        <v>240</v>
      </c>
      <c r="CC1617" s="5" t="s">
        <v>240</v>
      </c>
      <c r="CG1617" s="5" t="s">
        <v>304</v>
      </c>
      <c r="CH1617" s="5" t="s">
        <v>305</v>
      </c>
      <c r="CI1617" s="5" t="s">
        <v>240</v>
      </c>
      <c r="CL1617" s="6" t="s">
        <v>261</v>
      </c>
      <c r="CM1617" s="5" t="s">
        <v>240</v>
      </c>
      <c r="CN1617" s="5" t="s">
        <v>263</v>
      </c>
      <c r="CO1617" s="5" t="s">
        <v>240</v>
      </c>
      <c r="CP1617" s="5" t="s">
        <v>240</v>
      </c>
      <c r="CQ1617" s="5">
        <v>0</v>
      </c>
      <c r="CR1617" s="5" t="s">
        <v>306</v>
      </c>
      <c r="CS1617" s="5" t="s">
        <v>307</v>
      </c>
      <c r="CT1617" s="5" t="s">
        <v>307</v>
      </c>
      <c r="CU1617" s="5" t="s">
        <v>260</v>
      </c>
      <c r="CX1617" s="7">
        <f>1</f>
        <v>1</v>
      </c>
      <c r="CY1617" s="7">
        <f>0</f>
        <v>0</v>
      </c>
      <c r="DA1617" s="7">
        <f>0</f>
        <v>0</v>
      </c>
      <c r="DC1617" s="5" t="s">
        <v>812</v>
      </c>
      <c r="DD1617" s="5" t="s">
        <v>240</v>
      </c>
      <c r="DF1617" s="5" t="s">
        <v>812</v>
      </c>
      <c r="DG1617" s="7">
        <f>226</f>
        <v>226</v>
      </c>
      <c r="DI1617" s="5" t="s">
        <v>240</v>
      </c>
      <c r="DJ1617" s="5" t="s">
        <v>240</v>
      </c>
      <c r="DK1617" s="5" t="s">
        <v>240</v>
      </c>
      <c r="DL1617" s="5" t="s">
        <v>240</v>
      </c>
      <c r="DP1617" s="5" t="s">
        <v>240</v>
      </c>
      <c r="DQ1617" s="5" t="s">
        <v>240</v>
      </c>
      <c r="DR1617" s="5" t="s">
        <v>240</v>
      </c>
      <c r="DS1617" s="5" t="s">
        <v>240</v>
      </c>
      <c r="DV1617" s="5" t="s">
        <v>813</v>
      </c>
      <c r="DW1617" s="5" t="s">
        <v>3365</v>
      </c>
      <c r="HO1617" s="5" t="s">
        <v>312</v>
      </c>
    </row>
    <row r="1618" spans="1:223" x14ac:dyDescent="0.4">
      <c r="A1618" s="5">
        <v>3293</v>
      </c>
      <c r="B1618" s="5">
        <v>1</v>
      </c>
      <c r="C1618" s="5">
        <v>1</v>
      </c>
      <c r="D1618" s="5" t="s">
        <v>297</v>
      </c>
      <c r="E1618" s="5" t="s">
        <v>245</v>
      </c>
      <c r="F1618" s="5" t="s">
        <v>254</v>
      </c>
      <c r="G1618" s="5" t="s">
        <v>240</v>
      </c>
      <c r="H1618" s="6" t="s">
        <v>5678</v>
      </c>
      <c r="I1618" s="5" t="s">
        <v>295</v>
      </c>
      <c r="J1618" s="8">
        <f>747</f>
        <v>747</v>
      </c>
      <c r="K1618" s="5" t="s">
        <v>308</v>
      </c>
      <c r="L1618" s="7">
        <f>1</f>
        <v>1</v>
      </c>
      <c r="M1618" s="7">
        <f>1</f>
        <v>1</v>
      </c>
      <c r="N1618" s="5" t="s">
        <v>242</v>
      </c>
      <c r="O1618" s="5">
        <v>1</v>
      </c>
      <c r="P1618" s="5" t="s">
        <v>294</v>
      </c>
      <c r="Q1618" s="5" t="s">
        <v>266</v>
      </c>
      <c r="R1618" s="5" t="s">
        <v>240</v>
      </c>
      <c r="S1618" s="5" t="s">
        <v>240</v>
      </c>
      <c r="T1618" s="5" t="s">
        <v>296</v>
      </c>
      <c r="U1618" s="5" t="s">
        <v>244</v>
      </c>
      <c r="V1618" s="5" t="s">
        <v>240</v>
      </c>
      <c r="Y1618" s="5" t="s">
        <v>240</v>
      </c>
      <c r="Z1618" s="6" t="s">
        <v>298</v>
      </c>
      <c r="AB1618" s="6" t="s">
        <v>240</v>
      </c>
      <c r="AE1618" s="6" t="s">
        <v>299</v>
      </c>
      <c r="AF1618" s="5" t="s">
        <v>248</v>
      </c>
      <c r="AG1618" s="5" t="s">
        <v>249</v>
      </c>
      <c r="AW1618" s="5" t="s">
        <v>251</v>
      </c>
      <c r="AX1618" s="5" t="s">
        <v>240</v>
      </c>
      <c r="AY1618" s="5" t="s">
        <v>253</v>
      </c>
      <c r="AZ1618" s="5" t="s">
        <v>240</v>
      </c>
      <c r="BA1618" s="5" t="s">
        <v>255</v>
      </c>
      <c r="BB1618" s="5" t="s">
        <v>240</v>
      </c>
      <c r="BD1618" s="5" t="s">
        <v>240</v>
      </c>
      <c r="BF1618" s="5" t="s">
        <v>301</v>
      </c>
      <c r="BG1618" s="6" t="s">
        <v>299</v>
      </c>
      <c r="BH1618" s="5" t="s">
        <v>302</v>
      </c>
      <c r="BI1618" s="5" t="s">
        <v>303</v>
      </c>
      <c r="BJ1618" s="5" t="s">
        <v>240</v>
      </c>
      <c r="BK1618" s="8">
        <f>0</f>
        <v>0</v>
      </c>
      <c r="BL1618" s="7">
        <f>0</f>
        <v>0</v>
      </c>
      <c r="BM1618" s="5" t="s">
        <v>258</v>
      </c>
      <c r="BN1618" s="5" t="s">
        <v>259</v>
      </c>
      <c r="CB1618" s="5" t="s">
        <v>240</v>
      </c>
      <c r="CC1618" s="5" t="s">
        <v>240</v>
      </c>
      <c r="CG1618" s="5" t="s">
        <v>304</v>
      </c>
      <c r="CH1618" s="5" t="s">
        <v>305</v>
      </c>
      <c r="CI1618" s="5" t="s">
        <v>240</v>
      </c>
      <c r="CL1618" s="6" t="s">
        <v>261</v>
      </c>
      <c r="CM1618" s="5" t="s">
        <v>240</v>
      </c>
      <c r="CN1618" s="5" t="s">
        <v>263</v>
      </c>
      <c r="CO1618" s="5" t="s">
        <v>240</v>
      </c>
      <c r="CP1618" s="5" t="s">
        <v>240</v>
      </c>
      <c r="CQ1618" s="5">
        <v>0</v>
      </c>
      <c r="CR1618" s="5" t="s">
        <v>306</v>
      </c>
      <c r="CS1618" s="5" t="s">
        <v>307</v>
      </c>
      <c r="CT1618" s="5" t="s">
        <v>307</v>
      </c>
      <c r="CU1618" s="5" t="s">
        <v>260</v>
      </c>
      <c r="CX1618" s="7">
        <f>1</f>
        <v>1</v>
      </c>
      <c r="CY1618" s="7">
        <f>0</f>
        <v>0</v>
      </c>
      <c r="DA1618" s="7">
        <f>0</f>
        <v>0</v>
      </c>
      <c r="DC1618" s="5" t="s">
        <v>812</v>
      </c>
      <c r="DD1618" s="5" t="s">
        <v>240</v>
      </c>
      <c r="DF1618" s="5" t="s">
        <v>812</v>
      </c>
      <c r="DG1618" s="7">
        <f>701</f>
        <v>701</v>
      </c>
      <c r="DI1618" s="5" t="s">
        <v>240</v>
      </c>
      <c r="DJ1618" s="5" t="s">
        <v>240</v>
      </c>
      <c r="DK1618" s="5" t="s">
        <v>240</v>
      </c>
      <c r="DL1618" s="5" t="s">
        <v>240</v>
      </c>
      <c r="DP1618" s="5" t="s">
        <v>240</v>
      </c>
      <c r="DQ1618" s="5" t="s">
        <v>240</v>
      </c>
      <c r="DR1618" s="5" t="s">
        <v>240</v>
      </c>
      <c r="DS1618" s="5" t="s">
        <v>240</v>
      </c>
      <c r="DV1618" s="5" t="s">
        <v>813</v>
      </c>
      <c r="DW1618" s="5" t="s">
        <v>3367</v>
      </c>
      <c r="HO1618" s="5" t="s">
        <v>312</v>
      </c>
    </row>
    <row r="1619" spans="1:223" x14ac:dyDescent="0.4">
      <c r="A1619" s="5">
        <v>3294</v>
      </c>
      <c r="B1619" s="5">
        <v>1</v>
      </c>
      <c r="C1619" s="5">
        <v>1</v>
      </c>
      <c r="D1619" s="5" t="s">
        <v>297</v>
      </c>
      <c r="E1619" s="5" t="s">
        <v>245</v>
      </c>
      <c r="F1619" s="5" t="s">
        <v>254</v>
      </c>
      <c r="G1619" s="5" t="s">
        <v>240</v>
      </c>
      <c r="H1619" s="6" t="s">
        <v>4547</v>
      </c>
      <c r="I1619" s="5" t="s">
        <v>295</v>
      </c>
      <c r="J1619" s="8">
        <f>2983</f>
        <v>2983</v>
      </c>
      <c r="K1619" s="5" t="s">
        <v>308</v>
      </c>
      <c r="L1619" s="7">
        <f>1</f>
        <v>1</v>
      </c>
      <c r="M1619" s="7">
        <f>1</f>
        <v>1</v>
      </c>
      <c r="N1619" s="5" t="s">
        <v>242</v>
      </c>
      <c r="O1619" s="5">
        <v>1</v>
      </c>
      <c r="P1619" s="5" t="s">
        <v>294</v>
      </c>
      <c r="Q1619" s="5" t="s">
        <v>266</v>
      </c>
      <c r="R1619" s="5" t="s">
        <v>240</v>
      </c>
      <c r="S1619" s="5" t="s">
        <v>240</v>
      </c>
      <c r="T1619" s="5" t="s">
        <v>296</v>
      </c>
      <c r="U1619" s="5" t="s">
        <v>244</v>
      </c>
      <c r="V1619" s="5" t="s">
        <v>240</v>
      </c>
      <c r="Y1619" s="5" t="s">
        <v>240</v>
      </c>
      <c r="Z1619" s="6" t="s">
        <v>298</v>
      </c>
      <c r="AB1619" s="6" t="s">
        <v>240</v>
      </c>
      <c r="AE1619" s="6" t="s">
        <v>299</v>
      </c>
      <c r="AF1619" s="5" t="s">
        <v>248</v>
      </c>
      <c r="AG1619" s="5" t="s">
        <v>249</v>
      </c>
      <c r="AW1619" s="5" t="s">
        <v>251</v>
      </c>
      <c r="AX1619" s="5" t="s">
        <v>240</v>
      </c>
      <c r="AY1619" s="5" t="s">
        <v>253</v>
      </c>
      <c r="AZ1619" s="5" t="s">
        <v>240</v>
      </c>
      <c r="BA1619" s="5" t="s">
        <v>255</v>
      </c>
      <c r="BB1619" s="5" t="s">
        <v>240</v>
      </c>
      <c r="BD1619" s="5" t="s">
        <v>240</v>
      </c>
      <c r="BF1619" s="5" t="s">
        <v>301</v>
      </c>
      <c r="BG1619" s="6" t="s">
        <v>299</v>
      </c>
      <c r="BH1619" s="5" t="s">
        <v>302</v>
      </c>
      <c r="BI1619" s="5" t="s">
        <v>303</v>
      </c>
      <c r="BJ1619" s="5" t="s">
        <v>240</v>
      </c>
      <c r="BK1619" s="8">
        <f>0</f>
        <v>0</v>
      </c>
      <c r="BL1619" s="7">
        <f>0</f>
        <v>0</v>
      </c>
      <c r="BM1619" s="5" t="s">
        <v>258</v>
      </c>
      <c r="BN1619" s="5" t="s">
        <v>259</v>
      </c>
      <c r="CB1619" s="5" t="s">
        <v>240</v>
      </c>
      <c r="CC1619" s="5" t="s">
        <v>240</v>
      </c>
      <c r="CG1619" s="5" t="s">
        <v>304</v>
      </c>
      <c r="CH1619" s="5" t="s">
        <v>305</v>
      </c>
      <c r="CI1619" s="5" t="s">
        <v>240</v>
      </c>
      <c r="CL1619" s="6" t="s">
        <v>261</v>
      </c>
      <c r="CM1619" s="5" t="s">
        <v>240</v>
      </c>
      <c r="CN1619" s="5" t="s">
        <v>263</v>
      </c>
      <c r="CO1619" s="5" t="s">
        <v>240</v>
      </c>
      <c r="CP1619" s="5" t="s">
        <v>240</v>
      </c>
      <c r="CQ1619" s="5">
        <v>0</v>
      </c>
      <c r="CR1619" s="5" t="s">
        <v>306</v>
      </c>
      <c r="CS1619" s="5" t="s">
        <v>307</v>
      </c>
      <c r="CT1619" s="5" t="s">
        <v>307</v>
      </c>
      <c r="CU1619" s="5" t="s">
        <v>260</v>
      </c>
      <c r="CX1619" s="7">
        <f>1</f>
        <v>1</v>
      </c>
      <c r="CY1619" s="7">
        <f>0</f>
        <v>0</v>
      </c>
      <c r="DA1619" s="7">
        <f>0</f>
        <v>0</v>
      </c>
      <c r="DC1619" s="5" t="s">
        <v>812</v>
      </c>
      <c r="DD1619" s="5" t="s">
        <v>240</v>
      </c>
      <c r="DF1619" s="5" t="s">
        <v>812</v>
      </c>
      <c r="DG1619" s="7">
        <f>363</f>
        <v>363</v>
      </c>
      <c r="DI1619" s="5" t="s">
        <v>240</v>
      </c>
      <c r="DJ1619" s="5" t="s">
        <v>240</v>
      </c>
      <c r="DK1619" s="5" t="s">
        <v>240</v>
      </c>
      <c r="DL1619" s="5" t="s">
        <v>240</v>
      </c>
      <c r="DP1619" s="5" t="s">
        <v>240</v>
      </c>
      <c r="DQ1619" s="5" t="s">
        <v>240</v>
      </c>
      <c r="DR1619" s="5" t="s">
        <v>240</v>
      </c>
      <c r="DS1619" s="5" t="s">
        <v>240</v>
      </c>
      <c r="DV1619" s="5" t="s">
        <v>813</v>
      </c>
      <c r="DW1619" s="5" t="s">
        <v>3369</v>
      </c>
      <c r="HO1619" s="5" t="s">
        <v>312</v>
      </c>
    </row>
    <row r="1620" spans="1:223" x14ac:dyDescent="0.4">
      <c r="A1620" s="5">
        <v>3295</v>
      </c>
      <c r="B1620" s="5">
        <v>1</v>
      </c>
      <c r="C1620" s="5">
        <v>1</v>
      </c>
      <c r="D1620" s="5" t="s">
        <v>297</v>
      </c>
      <c r="E1620" s="5" t="s">
        <v>245</v>
      </c>
      <c r="F1620" s="5" t="s">
        <v>254</v>
      </c>
      <c r="G1620" s="5" t="s">
        <v>240</v>
      </c>
      <c r="H1620" s="6" t="s">
        <v>4546</v>
      </c>
      <c r="I1620" s="5" t="s">
        <v>295</v>
      </c>
      <c r="J1620" s="8">
        <f>1661</f>
        <v>1661</v>
      </c>
      <c r="K1620" s="5" t="s">
        <v>308</v>
      </c>
      <c r="L1620" s="7">
        <f>1</f>
        <v>1</v>
      </c>
      <c r="M1620" s="7">
        <f>1</f>
        <v>1</v>
      </c>
      <c r="N1620" s="5" t="s">
        <v>242</v>
      </c>
      <c r="O1620" s="5">
        <v>1</v>
      </c>
      <c r="P1620" s="5" t="s">
        <v>294</v>
      </c>
      <c r="Q1620" s="5" t="s">
        <v>266</v>
      </c>
      <c r="R1620" s="5" t="s">
        <v>240</v>
      </c>
      <c r="S1620" s="5" t="s">
        <v>240</v>
      </c>
      <c r="T1620" s="5" t="s">
        <v>296</v>
      </c>
      <c r="U1620" s="5" t="s">
        <v>244</v>
      </c>
      <c r="V1620" s="5" t="s">
        <v>240</v>
      </c>
      <c r="Y1620" s="5" t="s">
        <v>240</v>
      </c>
      <c r="Z1620" s="6" t="s">
        <v>298</v>
      </c>
      <c r="AB1620" s="6" t="s">
        <v>240</v>
      </c>
      <c r="AE1620" s="6" t="s">
        <v>299</v>
      </c>
      <c r="AF1620" s="5" t="s">
        <v>248</v>
      </c>
      <c r="AG1620" s="5" t="s">
        <v>249</v>
      </c>
      <c r="AW1620" s="5" t="s">
        <v>251</v>
      </c>
      <c r="AX1620" s="5" t="s">
        <v>240</v>
      </c>
      <c r="AY1620" s="5" t="s">
        <v>253</v>
      </c>
      <c r="AZ1620" s="5" t="s">
        <v>240</v>
      </c>
      <c r="BA1620" s="5" t="s">
        <v>255</v>
      </c>
      <c r="BB1620" s="5" t="s">
        <v>240</v>
      </c>
      <c r="BD1620" s="5" t="s">
        <v>240</v>
      </c>
      <c r="BF1620" s="5" t="s">
        <v>301</v>
      </c>
      <c r="BG1620" s="6" t="s">
        <v>299</v>
      </c>
      <c r="BH1620" s="5" t="s">
        <v>302</v>
      </c>
      <c r="BI1620" s="5" t="s">
        <v>303</v>
      </c>
      <c r="BJ1620" s="5" t="s">
        <v>240</v>
      </c>
      <c r="BK1620" s="8">
        <f>0</f>
        <v>0</v>
      </c>
      <c r="BL1620" s="7">
        <f>0</f>
        <v>0</v>
      </c>
      <c r="BM1620" s="5" t="s">
        <v>258</v>
      </c>
      <c r="BN1620" s="5" t="s">
        <v>259</v>
      </c>
      <c r="CB1620" s="5" t="s">
        <v>240</v>
      </c>
      <c r="CC1620" s="5" t="s">
        <v>240</v>
      </c>
      <c r="CG1620" s="5" t="s">
        <v>304</v>
      </c>
      <c r="CH1620" s="5" t="s">
        <v>305</v>
      </c>
      <c r="CI1620" s="5" t="s">
        <v>240</v>
      </c>
      <c r="CL1620" s="6" t="s">
        <v>261</v>
      </c>
      <c r="CM1620" s="5" t="s">
        <v>240</v>
      </c>
      <c r="CN1620" s="5" t="s">
        <v>263</v>
      </c>
      <c r="CO1620" s="5" t="s">
        <v>240</v>
      </c>
      <c r="CP1620" s="5" t="s">
        <v>240</v>
      </c>
      <c r="CQ1620" s="5">
        <v>0</v>
      </c>
      <c r="CR1620" s="5" t="s">
        <v>306</v>
      </c>
      <c r="CS1620" s="5" t="s">
        <v>307</v>
      </c>
      <c r="CT1620" s="5" t="s">
        <v>307</v>
      </c>
      <c r="CU1620" s="5" t="s">
        <v>260</v>
      </c>
      <c r="CX1620" s="7">
        <f>1</f>
        <v>1</v>
      </c>
      <c r="CY1620" s="7">
        <f>0</f>
        <v>0</v>
      </c>
      <c r="DA1620" s="7">
        <f>0</f>
        <v>0</v>
      </c>
      <c r="DC1620" s="5" t="s">
        <v>812</v>
      </c>
      <c r="DD1620" s="5" t="s">
        <v>240</v>
      </c>
      <c r="DF1620" s="5" t="s">
        <v>812</v>
      </c>
      <c r="DG1620" s="7">
        <f>483</f>
        <v>483</v>
      </c>
      <c r="DI1620" s="5" t="s">
        <v>240</v>
      </c>
      <c r="DJ1620" s="5" t="s">
        <v>240</v>
      </c>
      <c r="DK1620" s="5" t="s">
        <v>240</v>
      </c>
      <c r="DL1620" s="5" t="s">
        <v>240</v>
      </c>
      <c r="DP1620" s="5" t="s">
        <v>240</v>
      </c>
      <c r="DQ1620" s="5" t="s">
        <v>240</v>
      </c>
      <c r="DR1620" s="5" t="s">
        <v>240</v>
      </c>
      <c r="DS1620" s="5" t="s">
        <v>240</v>
      </c>
      <c r="DV1620" s="5" t="s">
        <v>813</v>
      </c>
      <c r="DW1620" s="5" t="s">
        <v>3371</v>
      </c>
      <c r="HO1620" s="5" t="s">
        <v>312</v>
      </c>
    </row>
    <row r="1621" spans="1:223" x14ac:dyDescent="0.4">
      <c r="A1621" s="5">
        <v>3296</v>
      </c>
      <c r="B1621" s="5">
        <v>1</v>
      </c>
      <c r="C1621" s="5">
        <v>1</v>
      </c>
      <c r="D1621" s="5" t="s">
        <v>297</v>
      </c>
      <c r="E1621" s="5" t="s">
        <v>245</v>
      </c>
      <c r="F1621" s="5" t="s">
        <v>254</v>
      </c>
      <c r="G1621" s="5" t="s">
        <v>240</v>
      </c>
      <c r="H1621" s="6" t="s">
        <v>4545</v>
      </c>
      <c r="I1621" s="5" t="s">
        <v>295</v>
      </c>
      <c r="J1621" s="8">
        <f>1109</f>
        <v>1109</v>
      </c>
      <c r="K1621" s="5" t="s">
        <v>308</v>
      </c>
      <c r="L1621" s="7">
        <f>1</f>
        <v>1</v>
      </c>
      <c r="M1621" s="7">
        <f>1</f>
        <v>1</v>
      </c>
      <c r="N1621" s="5" t="s">
        <v>242</v>
      </c>
      <c r="O1621" s="5">
        <v>1</v>
      </c>
      <c r="P1621" s="5" t="s">
        <v>294</v>
      </c>
      <c r="Q1621" s="5" t="s">
        <v>266</v>
      </c>
      <c r="R1621" s="5" t="s">
        <v>240</v>
      </c>
      <c r="S1621" s="5" t="s">
        <v>240</v>
      </c>
      <c r="T1621" s="5" t="s">
        <v>296</v>
      </c>
      <c r="U1621" s="5" t="s">
        <v>244</v>
      </c>
      <c r="V1621" s="5" t="s">
        <v>240</v>
      </c>
      <c r="Y1621" s="5" t="s">
        <v>240</v>
      </c>
      <c r="Z1621" s="6" t="s">
        <v>298</v>
      </c>
      <c r="AB1621" s="6" t="s">
        <v>240</v>
      </c>
      <c r="AE1621" s="6" t="s">
        <v>299</v>
      </c>
      <c r="AF1621" s="5" t="s">
        <v>248</v>
      </c>
      <c r="AG1621" s="5" t="s">
        <v>249</v>
      </c>
      <c r="AW1621" s="5" t="s">
        <v>251</v>
      </c>
      <c r="AX1621" s="5" t="s">
        <v>240</v>
      </c>
      <c r="AY1621" s="5" t="s">
        <v>253</v>
      </c>
      <c r="AZ1621" s="5" t="s">
        <v>240</v>
      </c>
      <c r="BA1621" s="5" t="s">
        <v>255</v>
      </c>
      <c r="BB1621" s="5" t="s">
        <v>240</v>
      </c>
      <c r="BD1621" s="5" t="s">
        <v>240</v>
      </c>
      <c r="BF1621" s="5" t="s">
        <v>301</v>
      </c>
      <c r="BG1621" s="6" t="s">
        <v>299</v>
      </c>
      <c r="BH1621" s="5" t="s">
        <v>302</v>
      </c>
      <c r="BI1621" s="5" t="s">
        <v>303</v>
      </c>
      <c r="BJ1621" s="5" t="s">
        <v>240</v>
      </c>
      <c r="BK1621" s="8">
        <f>0</f>
        <v>0</v>
      </c>
      <c r="BL1621" s="7">
        <f>0</f>
        <v>0</v>
      </c>
      <c r="BM1621" s="5" t="s">
        <v>258</v>
      </c>
      <c r="BN1621" s="5" t="s">
        <v>259</v>
      </c>
      <c r="CB1621" s="5" t="s">
        <v>240</v>
      </c>
      <c r="CC1621" s="5" t="s">
        <v>240</v>
      </c>
      <c r="CG1621" s="5" t="s">
        <v>304</v>
      </c>
      <c r="CH1621" s="5" t="s">
        <v>305</v>
      </c>
      <c r="CI1621" s="5" t="s">
        <v>240</v>
      </c>
      <c r="CL1621" s="6" t="s">
        <v>261</v>
      </c>
      <c r="CM1621" s="5" t="s">
        <v>240</v>
      </c>
      <c r="CN1621" s="5" t="s">
        <v>263</v>
      </c>
      <c r="CO1621" s="5" t="s">
        <v>240</v>
      </c>
      <c r="CP1621" s="5" t="s">
        <v>240</v>
      </c>
      <c r="CQ1621" s="5">
        <v>0</v>
      </c>
      <c r="CR1621" s="5" t="s">
        <v>306</v>
      </c>
      <c r="CS1621" s="5" t="s">
        <v>307</v>
      </c>
      <c r="CT1621" s="5" t="s">
        <v>307</v>
      </c>
      <c r="CU1621" s="5" t="s">
        <v>260</v>
      </c>
      <c r="CX1621" s="7">
        <f>1</f>
        <v>1</v>
      </c>
      <c r="CY1621" s="7">
        <f>0</f>
        <v>0</v>
      </c>
      <c r="DA1621" s="7">
        <f>0</f>
        <v>0</v>
      </c>
      <c r="DC1621" s="5" t="s">
        <v>812</v>
      </c>
      <c r="DD1621" s="5" t="s">
        <v>240</v>
      </c>
      <c r="DF1621" s="5" t="s">
        <v>812</v>
      </c>
      <c r="DG1621" s="7">
        <f>90</f>
        <v>90</v>
      </c>
      <c r="DI1621" s="5" t="s">
        <v>240</v>
      </c>
      <c r="DJ1621" s="5" t="s">
        <v>240</v>
      </c>
      <c r="DK1621" s="5" t="s">
        <v>240</v>
      </c>
      <c r="DL1621" s="5" t="s">
        <v>240</v>
      </c>
      <c r="DP1621" s="5" t="s">
        <v>240</v>
      </c>
      <c r="DQ1621" s="5" t="s">
        <v>240</v>
      </c>
      <c r="DR1621" s="5" t="s">
        <v>240</v>
      </c>
      <c r="DS1621" s="5" t="s">
        <v>240</v>
      </c>
      <c r="DV1621" s="5" t="s">
        <v>813</v>
      </c>
      <c r="DW1621" s="5" t="s">
        <v>3373</v>
      </c>
      <c r="HO1621" s="5" t="s">
        <v>312</v>
      </c>
    </row>
    <row r="1622" spans="1:223" x14ac:dyDescent="0.4">
      <c r="A1622" s="5">
        <v>3297</v>
      </c>
      <c r="B1622" s="5">
        <v>1</v>
      </c>
      <c r="C1622" s="5">
        <v>1</v>
      </c>
      <c r="D1622" s="5" t="s">
        <v>297</v>
      </c>
      <c r="E1622" s="5" t="s">
        <v>245</v>
      </c>
      <c r="F1622" s="5" t="s">
        <v>254</v>
      </c>
      <c r="G1622" s="5" t="s">
        <v>240</v>
      </c>
      <c r="H1622" s="6" t="s">
        <v>5674</v>
      </c>
      <c r="I1622" s="5" t="s">
        <v>295</v>
      </c>
      <c r="J1622" s="8">
        <f>416</f>
        <v>416</v>
      </c>
      <c r="K1622" s="5" t="s">
        <v>308</v>
      </c>
      <c r="L1622" s="7">
        <f>1</f>
        <v>1</v>
      </c>
      <c r="M1622" s="7">
        <f>1</f>
        <v>1</v>
      </c>
      <c r="N1622" s="5" t="s">
        <v>242</v>
      </c>
      <c r="O1622" s="5">
        <v>1</v>
      </c>
      <c r="P1622" s="5" t="s">
        <v>294</v>
      </c>
      <c r="Q1622" s="5" t="s">
        <v>266</v>
      </c>
      <c r="R1622" s="5" t="s">
        <v>240</v>
      </c>
      <c r="S1622" s="5" t="s">
        <v>240</v>
      </c>
      <c r="T1622" s="5" t="s">
        <v>296</v>
      </c>
      <c r="U1622" s="5" t="s">
        <v>244</v>
      </c>
      <c r="V1622" s="5" t="s">
        <v>240</v>
      </c>
      <c r="Y1622" s="5" t="s">
        <v>240</v>
      </c>
      <c r="Z1622" s="6" t="s">
        <v>298</v>
      </c>
      <c r="AB1622" s="6" t="s">
        <v>240</v>
      </c>
      <c r="AE1622" s="6" t="s">
        <v>299</v>
      </c>
      <c r="AF1622" s="5" t="s">
        <v>248</v>
      </c>
      <c r="AG1622" s="5" t="s">
        <v>249</v>
      </c>
      <c r="AW1622" s="5" t="s">
        <v>251</v>
      </c>
      <c r="AX1622" s="5" t="s">
        <v>240</v>
      </c>
      <c r="AY1622" s="5" t="s">
        <v>253</v>
      </c>
      <c r="AZ1622" s="5" t="s">
        <v>240</v>
      </c>
      <c r="BA1622" s="5" t="s">
        <v>255</v>
      </c>
      <c r="BB1622" s="5" t="s">
        <v>240</v>
      </c>
      <c r="BD1622" s="5" t="s">
        <v>240</v>
      </c>
      <c r="BF1622" s="5" t="s">
        <v>301</v>
      </c>
      <c r="BG1622" s="6" t="s">
        <v>299</v>
      </c>
      <c r="BH1622" s="5" t="s">
        <v>302</v>
      </c>
      <c r="BI1622" s="5" t="s">
        <v>303</v>
      </c>
      <c r="BJ1622" s="5" t="s">
        <v>240</v>
      </c>
      <c r="BK1622" s="8">
        <f>0</f>
        <v>0</v>
      </c>
      <c r="BL1622" s="7">
        <f>0</f>
        <v>0</v>
      </c>
      <c r="BM1622" s="5" t="s">
        <v>258</v>
      </c>
      <c r="BN1622" s="5" t="s">
        <v>259</v>
      </c>
      <c r="CB1622" s="5" t="s">
        <v>240</v>
      </c>
      <c r="CC1622" s="5" t="s">
        <v>240</v>
      </c>
      <c r="CG1622" s="5" t="s">
        <v>304</v>
      </c>
      <c r="CH1622" s="5" t="s">
        <v>305</v>
      </c>
      <c r="CI1622" s="5" t="s">
        <v>240</v>
      </c>
      <c r="CL1622" s="6" t="s">
        <v>261</v>
      </c>
      <c r="CM1622" s="5" t="s">
        <v>240</v>
      </c>
      <c r="CN1622" s="5" t="s">
        <v>263</v>
      </c>
      <c r="CO1622" s="5" t="s">
        <v>240</v>
      </c>
      <c r="CP1622" s="5" t="s">
        <v>240</v>
      </c>
      <c r="CQ1622" s="5">
        <v>0</v>
      </c>
      <c r="CR1622" s="5" t="s">
        <v>306</v>
      </c>
      <c r="CS1622" s="5" t="s">
        <v>307</v>
      </c>
      <c r="CT1622" s="5" t="s">
        <v>307</v>
      </c>
      <c r="CU1622" s="5" t="s">
        <v>260</v>
      </c>
      <c r="CX1622" s="7">
        <f>1</f>
        <v>1</v>
      </c>
      <c r="CY1622" s="7">
        <f>0</f>
        <v>0</v>
      </c>
      <c r="DA1622" s="7">
        <f>0</f>
        <v>0</v>
      </c>
      <c r="DC1622" s="5" t="s">
        <v>812</v>
      </c>
      <c r="DD1622" s="5" t="s">
        <v>240</v>
      </c>
      <c r="DF1622" s="5" t="s">
        <v>812</v>
      </c>
      <c r="DG1622" s="7">
        <f>263</f>
        <v>263</v>
      </c>
      <c r="DI1622" s="5" t="s">
        <v>240</v>
      </c>
      <c r="DJ1622" s="5" t="s">
        <v>240</v>
      </c>
      <c r="DK1622" s="5" t="s">
        <v>240</v>
      </c>
      <c r="DL1622" s="5" t="s">
        <v>240</v>
      </c>
      <c r="DP1622" s="5" t="s">
        <v>240</v>
      </c>
      <c r="DQ1622" s="5" t="s">
        <v>240</v>
      </c>
      <c r="DR1622" s="5" t="s">
        <v>240</v>
      </c>
      <c r="DS1622" s="5" t="s">
        <v>240</v>
      </c>
      <c r="DV1622" s="5" t="s">
        <v>813</v>
      </c>
      <c r="DW1622" s="5" t="s">
        <v>3375</v>
      </c>
      <c r="HO1622" s="5" t="s">
        <v>312</v>
      </c>
    </row>
    <row r="1623" spans="1:223" x14ac:dyDescent="0.4">
      <c r="A1623" s="5">
        <v>3298</v>
      </c>
      <c r="B1623" s="5">
        <v>1</v>
      </c>
      <c r="C1623" s="5">
        <v>1</v>
      </c>
      <c r="D1623" s="5" t="s">
        <v>297</v>
      </c>
      <c r="E1623" s="5" t="s">
        <v>245</v>
      </c>
      <c r="F1623" s="5" t="s">
        <v>254</v>
      </c>
      <c r="G1623" s="5" t="s">
        <v>240</v>
      </c>
      <c r="H1623" s="6" t="s">
        <v>4540</v>
      </c>
      <c r="I1623" s="5" t="s">
        <v>295</v>
      </c>
      <c r="J1623" s="8">
        <f>2567</f>
        <v>2567</v>
      </c>
      <c r="K1623" s="5" t="s">
        <v>308</v>
      </c>
      <c r="L1623" s="7">
        <f>1</f>
        <v>1</v>
      </c>
      <c r="M1623" s="7">
        <f>1</f>
        <v>1</v>
      </c>
      <c r="N1623" s="5" t="s">
        <v>242</v>
      </c>
      <c r="O1623" s="5">
        <v>1</v>
      </c>
      <c r="P1623" s="5" t="s">
        <v>294</v>
      </c>
      <c r="Q1623" s="5" t="s">
        <v>266</v>
      </c>
      <c r="R1623" s="5" t="s">
        <v>240</v>
      </c>
      <c r="S1623" s="5" t="s">
        <v>240</v>
      </c>
      <c r="T1623" s="5" t="s">
        <v>296</v>
      </c>
      <c r="U1623" s="5" t="s">
        <v>244</v>
      </c>
      <c r="V1623" s="5" t="s">
        <v>240</v>
      </c>
      <c r="Y1623" s="5" t="s">
        <v>240</v>
      </c>
      <c r="Z1623" s="6" t="s">
        <v>298</v>
      </c>
      <c r="AB1623" s="6" t="s">
        <v>240</v>
      </c>
      <c r="AE1623" s="6" t="s">
        <v>299</v>
      </c>
      <c r="AF1623" s="5" t="s">
        <v>248</v>
      </c>
      <c r="AG1623" s="5" t="s">
        <v>249</v>
      </c>
      <c r="AW1623" s="5" t="s">
        <v>251</v>
      </c>
      <c r="AX1623" s="5" t="s">
        <v>240</v>
      </c>
      <c r="AY1623" s="5" t="s">
        <v>253</v>
      </c>
      <c r="AZ1623" s="5" t="s">
        <v>240</v>
      </c>
      <c r="BA1623" s="5" t="s">
        <v>255</v>
      </c>
      <c r="BB1623" s="5" t="s">
        <v>240</v>
      </c>
      <c r="BD1623" s="5" t="s">
        <v>240</v>
      </c>
      <c r="BF1623" s="5" t="s">
        <v>301</v>
      </c>
      <c r="BG1623" s="6" t="s">
        <v>299</v>
      </c>
      <c r="BH1623" s="5" t="s">
        <v>302</v>
      </c>
      <c r="BI1623" s="5" t="s">
        <v>303</v>
      </c>
      <c r="BJ1623" s="5" t="s">
        <v>240</v>
      </c>
      <c r="BK1623" s="8">
        <f>0</f>
        <v>0</v>
      </c>
      <c r="BL1623" s="7">
        <f>0</f>
        <v>0</v>
      </c>
      <c r="BM1623" s="5" t="s">
        <v>258</v>
      </c>
      <c r="BN1623" s="5" t="s">
        <v>259</v>
      </c>
      <c r="CB1623" s="5" t="s">
        <v>240</v>
      </c>
      <c r="CC1623" s="5" t="s">
        <v>240</v>
      </c>
      <c r="CG1623" s="5" t="s">
        <v>304</v>
      </c>
      <c r="CH1623" s="5" t="s">
        <v>305</v>
      </c>
      <c r="CI1623" s="5" t="s">
        <v>240</v>
      </c>
      <c r="CL1623" s="6" t="s">
        <v>261</v>
      </c>
      <c r="CM1623" s="5" t="s">
        <v>240</v>
      </c>
      <c r="CN1623" s="5" t="s">
        <v>263</v>
      </c>
      <c r="CO1623" s="5" t="s">
        <v>240</v>
      </c>
      <c r="CP1623" s="5" t="s">
        <v>240</v>
      </c>
      <c r="CQ1623" s="5">
        <v>0</v>
      </c>
      <c r="CR1623" s="5" t="s">
        <v>306</v>
      </c>
      <c r="CS1623" s="5" t="s">
        <v>307</v>
      </c>
      <c r="CT1623" s="5" t="s">
        <v>307</v>
      </c>
      <c r="CU1623" s="5" t="s">
        <v>260</v>
      </c>
      <c r="CX1623" s="7">
        <f>1</f>
        <v>1</v>
      </c>
      <c r="CY1623" s="7">
        <f>0</f>
        <v>0</v>
      </c>
      <c r="DA1623" s="7">
        <f>0</f>
        <v>0</v>
      </c>
      <c r="DC1623" s="5" t="s">
        <v>812</v>
      </c>
      <c r="DD1623" s="5" t="s">
        <v>240</v>
      </c>
      <c r="DF1623" s="5" t="s">
        <v>812</v>
      </c>
      <c r="DG1623" s="7">
        <f>1617</f>
        <v>1617</v>
      </c>
      <c r="DI1623" s="5" t="s">
        <v>240</v>
      </c>
      <c r="DJ1623" s="5" t="s">
        <v>240</v>
      </c>
      <c r="DK1623" s="5" t="s">
        <v>240</v>
      </c>
      <c r="DL1623" s="5" t="s">
        <v>240</v>
      </c>
      <c r="DP1623" s="5" t="s">
        <v>240</v>
      </c>
      <c r="DQ1623" s="5" t="s">
        <v>240</v>
      </c>
      <c r="DR1623" s="5" t="s">
        <v>240</v>
      </c>
      <c r="DS1623" s="5" t="s">
        <v>240</v>
      </c>
      <c r="DV1623" s="5" t="s">
        <v>813</v>
      </c>
      <c r="DW1623" s="5" t="s">
        <v>3377</v>
      </c>
      <c r="HO1623" s="5" t="s">
        <v>312</v>
      </c>
    </row>
    <row r="1624" spans="1:223" x14ac:dyDescent="0.4">
      <c r="A1624" s="5">
        <v>3299</v>
      </c>
      <c r="B1624" s="5">
        <v>1</v>
      </c>
      <c r="C1624" s="5">
        <v>1</v>
      </c>
      <c r="D1624" s="5" t="s">
        <v>297</v>
      </c>
      <c r="E1624" s="5" t="s">
        <v>245</v>
      </c>
      <c r="F1624" s="5" t="s">
        <v>254</v>
      </c>
      <c r="G1624" s="5" t="s">
        <v>240</v>
      </c>
      <c r="H1624" s="6" t="s">
        <v>4539</v>
      </c>
      <c r="I1624" s="5" t="s">
        <v>295</v>
      </c>
      <c r="J1624" s="8">
        <f>789</f>
        <v>789</v>
      </c>
      <c r="K1624" s="5" t="s">
        <v>308</v>
      </c>
      <c r="L1624" s="7">
        <f>1</f>
        <v>1</v>
      </c>
      <c r="M1624" s="7">
        <f>1</f>
        <v>1</v>
      </c>
      <c r="N1624" s="5" t="s">
        <v>242</v>
      </c>
      <c r="O1624" s="5">
        <v>1</v>
      </c>
      <c r="P1624" s="5" t="s">
        <v>294</v>
      </c>
      <c r="Q1624" s="5" t="s">
        <v>266</v>
      </c>
      <c r="R1624" s="5" t="s">
        <v>240</v>
      </c>
      <c r="S1624" s="5" t="s">
        <v>240</v>
      </c>
      <c r="T1624" s="5" t="s">
        <v>296</v>
      </c>
      <c r="U1624" s="5" t="s">
        <v>244</v>
      </c>
      <c r="V1624" s="5" t="s">
        <v>240</v>
      </c>
      <c r="Y1624" s="5" t="s">
        <v>240</v>
      </c>
      <c r="Z1624" s="6" t="s">
        <v>298</v>
      </c>
      <c r="AB1624" s="6" t="s">
        <v>240</v>
      </c>
      <c r="AE1624" s="6" t="s">
        <v>299</v>
      </c>
      <c r="AF1624" s="5" t="s">
        <v>248</v>
      </c>
      <c r="AG1624" s="5" t="s">
        <v>249</v>
      </c>
      <c r="AW1624" s="5" t="s">
        <v>251</v>
      </c>
      <c r="AX1624" s="5" t="s">
        <v>240</v>
      </c>
      <c r="AY1624" s="5" t="s">
        <v>253</v>
      </c>
      <c r="AZ1624" s="5" t="s">
        <v>240</v>
      </c>
      <c r="BA1624" s="5" t="s">
        <v>255</v>
      </c>
      <c r="BB1624" s="5" t="s">
        <v>240</v>
      </c>
      <c r="BD1624" s="5" t="s">
        <v>240</v>
      </c>
      <c r="BF1624" s="5" t="s">
        <v>301</v>
      </c>
      <c r="BG1624" s="6" t="s">
        <v>299</v>
      </c>
      <c r="BH1624" s="5" t="s">
        <v>302</v>
      </c>
      <c r="BI1624" s="5" t="s">
        <v>303</v>
      </c>
      <c r="BJ1624" s="5" t="s">
        <v>240</v>
      </c>
      <c r="BK1624" s="8">
        <f>0</f>
        <v>0</v>
      </c>
      <c r="BL1624" s="7">
        <f>0</f>
        <v>0</v>
      </c>
      <c r="BM1624" s="5" t="s">
        <v>258</v>
      </c>
      <c r="BN1624" s="5" t="s">
        <v>259</v>
      </c>
      <c r="CB1624" s="5" t="s">
        <v>240</v>
      </c>
      <c r="CC1624" s="5" t="s">
        <v>240</v>
      </c>
      <c r="CG1624" s="5" t="s">
        <v>304</v>
      </c>
      <c r="CH1624" s="5" t="s">
        <v>305</v>
      </c>
      <c r="CI1624" s="5" t="s">
        <v>240</v>
      </c>
      <c r="CL1624" s="6" t="s">
        <v>261</v>
      </c>
      <c r="CM1624" s="5" t="s">
        <v>240</v>
      </c>
      <c r="CN1624" s="5" t="s">
        <v>263</v>
      </c>
      <c r="CO1624" s="5" t="s">
        <v>240</v>
      </c>
      <c r="CP1624" s="5" t="s">
        <v>240</v>
      </c>
      <c r="CQ1624" s="5">
        <v>0</v>
      </c>
      <c r="CR1624" s="5" t="s">
        <v>306</v>
      </c>
      <c r="CS1624" s="5" t="s">
        <v>307</v>
      </c>
      <c r="CT1624" s="5" t="s">
        <v>307</v>
      </c>
      <c r="CU1624" s="5" t="s">
        <v>260</v>
      </c>
      <c r="CX1624" s="7">
        <f>1</f>
        <v>1</v>
      </c>
      <c r="CY1624" s="7">
        <f>0</f>
        <v>0</v>
      </c>
      <c r="DA1624" s="7">
        <f>0</f>
        <v>0</v>
      </c>
      <c r="DC1624" s="5" t="s">
        <v>812</v>
      </c>
      <c r="DD1624" s="5" t="s">
        <v>240</v>
      </c>
      <c r="DF1624" s="5" t="s">
        <v>812</v>
      </c>
      <c r="DG1624" s="7">
        <f>58</f>
        <v>58</v>
      </c>
      <c r="DI1624" s="5" t="s">
        <v>240</v>
      </c>
      <c r="DJ1624" s="5" t="s">
        <v>240</v>
      </c>
      <c r="DK1624" s="5" t="s">
        <v>240</v>
      </c>
      <c r="DL1624" s="5" t="s">
        <v>240</v>
      </c>
      <c r="DP1624" s="5" t="s">
        <v>240</v>
      </c>
      <c r="DQ1624" s="5" t="s">
        <v>240</v>
      </c>
      <c r="DR1624" s="5" t="s">
        <v>240</v>
      </c>
      <c r="DS1624" s="5" t="s">
        <v>240</v>
      </c>
      <c r="DV1624" s="5" t="s">
        <v>813</v>
      </c>
      <c r="DW1624" s="5" t="s">
        <v>3379</v>
      </c>
      <c r="HO1624" s="5" t="s">
        <v>312</v>
      </c>
    </row>
    <row r="1625" spans="1:223" x14ac:dyDescent="0.4">
      <c r="A1625" s="5">
        <v>3300</v>
      </c>
      <c r="B1625" s="5">
        <v>1</v>
      </c>
      <c r="C1625" s="5">
        <v>1</v>
      </c>
      <c r="D1625" s="5" t="s">
        <v>297</v>
      </c>
      <c r="E1625" s="5" t="s">
        <v>245</v>
      </c>
      <c r="F1625" s="5" t="s">
        <v>254</v>
      </c>
      <c r="G1625" s="5" t="s">
        <v>240</v>
      </c>
      <c r="H1625" s="6" t="s">
        <v>4538</v>
      </c>
      <c r="I1625" s="5" t="s">
        <v>295</v>
      </c>
      <c r="J1625" s="8">
        <f>948</f>
        <v>948</v>
      </c>
      <c r="K1625" s="5" t="s">
        <v>308</v>
      </c>
      <c r="L1625" s="7">
        <f>1</f>
        <v>1</v>
      </c>
      <c r="M1625" s="7">
        <f>1</f>
        <v>1</v>
      </c>
      <c r="N1625" s="5" t="s">
        <v>242</v>
      </c>
      <c r="O1625" s="5">
        <v>1</v>
      </c>
      <c r="P1625" s="5" t="s">
        <v>294</v>
      </c>
      <c r="Q1625" s="5" t="s">
        <v>266</v>
      </c>
      <c r="R1625" s="5" t="s">
        <v>240</v>
      </c>
      <c r="S1625" s="5" t="s">
        <v>240</v>
      </c>
      <c r="T1625" s="5" t="s">
        <v>296</v>
      </c>
      <c r="U1625" s="5" t="s">
        <v>244</v>
      </c>
      <c r="V1625" s="5" t="s">
        <v>240</v>
      </c>
      <c r="Y1625" s="5" t="s">
        <v>240</v>
      </c>
      <c r="Z1625" s="6" t="s">
        <v>298</v>
      </c>
      <c r="AB1625" s="6" t="s">
        <v>240</v>
      </c>
      <c r="AE1625" s="6" t="s">
        <v>299</v>
      </c>
      <c r="AF1625" s="5" t="s">
        <v>248</v>
      </c>
      <c r="AG1625" s="5" t="s">
        <v>249</v>
      </c>
      <c r="AW1625" s="5" t="s">
        <v>251</v>
      </c>
      <c r="AX1625" s="5" t="s">
        <v>240</v>
      </c>
      <c r="AY1625" s="5" t="s">
        <v>253</v>
      </c>
      <c r="AZ1625" s="5" t="s">
        <v>240</v>
      </c>
      <c r="BA1625" s="5" t="s">
        <v>255</v>
      </c>
      <c r="BB1625" s="5" t="s">
        <v>240</v>
      </c>
      <c r="BD1625" s="5" t="s">
        <v>240</v>
      </c>
      <c r="BF1625" s="5" t="s">
        <v>301</v>
      </c>
      <c r="BG1625" s="6" t="s">
        <v>299</v>
      </c>
      <c r="BH1625" s="5" t="s">
        <v>302</v>
      </c>
      <c r="BI1625" s="5" t="s">
        <v>303</v>
      </c>
      <c r="BJ1625" s="5" t="s">
        <v>240</v>
      </c>
      <c r="BK1625" s="8">
        <f>0</f>
        <v>0</v>
      </c>
      <c r="BL1625" s="7">
        <f>0</f>
        <v>0</v>
      </c>
      <c r="BM1625" s="5" t="s">
        <v>258</v>
      </c>
      <c r="BN1625" s="5" t="s">
        <v>259</v>
      </c>
      <c r="CB1625" s="5" t="s">
        <v>240</v>
      </c>
      <c r="CC1625" s="5" t="s">
        <v>240</v>
      </c>
      <c r="CG1625" s="5" t="s">
        <v>304</v>
      </c>
      <c r="CH1625" s="5" t="s">
        <v>305</v>
      </c>
      <c r="CI1625" s="5" t="s">
        <v>240</v>
      </c>
      <c r="CL1625" s="6" t="s">
        <v>261</v>
      </c>
      <c r="CM1625" s="5" t="s">
        <v>240</v>
      </c>
      <c r="CN1625" s="5" t="s">
        <v>263</v>
      </c>
      <c r="CO1625" s="5" t="s">
        <v>240</v>
      </c>
      <c r="CP1625" s="5" t="s">
        <v>240</v>
      </c>
      <c r="CQ1625" s="5">
        <v>0</v>
      </c>
      <c r="CR1625" s="5" t="s">
        <v>306</v>
      </c>
      <c r="CS1625" s="5" t="s">
        <v>307</v>
      </c>
      <c r="CT1625" s="5" t="s">
        <v>307</v>
      </c>
      <c r="CU1625" s="5" t="s">
        <v>260</v>
      </c>
      <c r="CX1625" s="7">
        <f>1</f>
        <v>1</v>
      </c>
      <c r="CY1625" s="7">
        <f>0</f>
        <v>0</v>
      </c>
      <c r="DA1625" s="7">
        <f>0</f>
        <v>0</v>
      </c>
      <c r="DC1625" s="5" t="s">
        <v>812</v>
      </c>
      <c r="DD1625" s="5" t="s">
        <v>240</v>
      </c>
      <c r="DF1625" s="5" t="s">
        <v>812</v>
      </c>
      <c r="DG1625" s="7">
        <f>382</f>
        <v>382</v>
      </c>
      <c r="DI1625" s="5" t="s">
        <v>240</v>
      </c>
      <c r="DJ1625" s="5" t="s">
        <v>240</v>
      </c>
      <c r="DK1625" s="5" t="s">
        <v>240</v>
      </c>
      <c r="DL1625" s="5" t="s">
        <v>240</v>
      </c>
      <c r="DP1625" s="5" t="s">
        <v>240</v>
      </c>
      <c r="DQ1625" s="5" t="s">
        <v>240</v>
      </c>
      <c r="DR1625" s="5" t="s">
        <v>240</v>
      </c>
      <c r="DS1625" s="5" t="s">
        <v>240</v>
      </c>
      <c r="DV1625" s="5" t="s">
        <v>813</v>
      </c>
      <c r="DW1625" s="5" t="s">
        <v>3381</v>
      </c>
      <c r="HO1625" s="5" t="s">
        <v>312</v>
      </c>
    </row>
    <row r="1626" spans="1:223" x14ac:dyDescent="0.4">
      <c r="A1626" s="5">
        <v>3301</v>
      </c>
      <c r="B1626" s="5">
        <v>1</v>
      </c>
      <c r="C1626" s="5">
        <v>1</v>
      </c>
      <c r="D1626" s="5" t="s">
        <v>297</v>
      </c>
      <c r="E1626" s="5" t="s">
        <v>245</v>
      </c>
      <c r="F1626" s="5" t="s">
        <v>254</v>
      </c>
      <c r="G1626" s="5" t="s">
        <v>240</v>
      </c>
      <c r="H1626" s="6" t="s">
        <v>5671</v>
      </c>
      <c r="I1626" s="5" t="s">
        <v>295</v>
      </c>
      <c r="J1626" s="8">
        <f>123</f>
        <v>123</v>
      </c>
      <c r="K1626" s="5" t="s">
        <v>308</v>
      </c>
      <c r="L1626" s="7">
        <f>1</f>
        <v>1</v>
      </c>
      <c r="M1626" s="7">
        <f>1</f>
        <v>1</v>
      </c>
      <c r="N1626" s="5" t="s">
        <v>242</v>
      </c>
      <c r="O1626" s="5">
        <v>1</v>
      </c>
      <c r="P1626" s="5" t="s">
        <v>294</v>
      </c>
      <c r="Q1626" s="5" t="s">
        <v>266</v>
      </c>
      <c r="R1626" s="5" t="s">
        <v>240</v>
      </c>
      <c r="S1626" s="5" t="s">
        <v>240</v>
      </c>
      <c r="T1626" s="5" t="s">
        <v>296</v>
      </c>
      <c r="U1626" s="5" t="s">
        <v>244</v>
      </c>
      <c r="V1626" s="5" t="s">
        <v>240</v>
      </c>
      <c r="Y1626" s="5" t="s">
        <v>240</v>
      </c>
      <c r="Z1626" s="6" t="s">
        <v>298</v>
      </c>
      <c r="AB1626" s="6" t="s">
        <v>240</v>
      </c>
      <c r="AE1626" s="6" t="s">
        <v>299</v>
      </c>
      <c r="AF1626" s="5" t="s">
        <v>248</v>
      </c>
      <c r="AG1626" s="5" t="s">
        <v>249</v>
      </c>
      <c r="AW1626" s="5" t="s">
        <v>251</v>
      </c>
      <c r="AX1626" s="5" t="s">
        <v>240</v>
      </c>
      <c r="AY1626" s="5" t="s">
        <v>253</v>
      </c>
      <c r="AZ1626" s="5" t="s">
        <v>240</v>
      </c>
      <c r="BA1626" s="5" t="s">
        <v>255</v>
      </c>
      <c r="BB1626" s="5" t="s">
        <v>240</v>
      </c>
      <c r="BD1626" s="5" t="s">
        <v>240</v>
      </c>
      <c r="BF1626" s="5" t="s">
        <v>301</v>
      </c>
      <c r="BG1626" s="6" t="s">
        <v>299</v>
      </c>
      <c r="BH1626" s="5" t="s">
        <v>302</v>
      </c>
      <c r="BI1626" s="5" t="s">
        <v>303</v>
      </c>
      <c r="BJ1626" s="5" t="s">
        <v>240</v>
      </c>
      <c r="BK1626" s="8">
        <f>0</f>
        <v>0</v>
      </c>
      <c r="BL1626" s="7">
        <f>0</f>
        <v>0</v>
      </c>
      <c r="BM1626" s="5" t="s">
        <v>258</v>
      </c>
      <c r="BN1626" s="5" t="s">
        <v>259</v>
      </c>
      <c r="CB1626" s="5" t="s">
        <v>240</v>
      </c>
      <c r="CC1626" s="5" t="s">
        <v>240</v>
      </c>
      <c r="CG1626" s="5" t="s">
        <v>304</v>
      </c>
      <c r="CH1626" s="5" t="s">
        <v>305</v>
      </c>
      <c r="CI1626" s="5" t="s">
        <v>240</v>
      </c>
      <c r="CL1626" s="6" t="s">
        <v>261</v>
      </c>
      <c r="CM1626" s="5" t="s">
        <v>240</v>
      </c>
      <c r="CN1626" s="5" t="s">
        <v>263</v>
      </c>
      <c r="CO1626" s="5" t="s">
        <v>240</v>
      </c>
      <c r="CP1626" s="5" t="s">
        <v>240</v>
      </c>
      <c r="CQ1626" s="5">
        <v>0</v>
      </c>
      <c r="CR1626" s="5" t="s">
        <v>306</v>
      </c>
      <c r="CS1626" s="5" t="s">
        <v>307</v>
      </c>
      <c r="CT1626" s="5" t="s">
        <v>307</v>
      </c>
      <c r="CU1626" s="5" t="s">
        <v>260</v>
      </c>
      <c r="CX1626" s="7">
        <f>1</f>
        <v>1</v>
      </c>
      <c r="CY1626" s="7">
        <f>0</f>
        <v>0</v>
      </c>
      <c r="DA1626" s="7">
        <f>0</f>
        <v>0</v>
      </c>
      <c r="DC1626" s="5" t="s">
        <v>812</v>
      </c>
      <c r="DD1626" s="5" t="s">
        <v>240</v>
      </c>
      <c r="DF1626" s="5" t="s">
        <v>812</v>
      </c>
      <c r="DG1626" s="7">
        <f>1488</f>
        <v>1488</v>
      </c>
      <c r="DI1626" s="5" t="s">
        <v>240</v>
      </c>
      <c r="DJ1626" s="5" t="s">
        <v>240</v>
      </c>
      <c r="DK1626" s="5" t="s">
        <v>240</v>
      </c>
      <c r="DL1626" s="5" t="s">
        <v>240</v>
      </c>
      <c r="DP1626" s="5" t="s">
        <v>240</v>
      </c>
      <c r="DQ1626" s="5" t="s">
        <v>240</v>
      </c>
      <c r="DR1626" s="5" t="s">
        <v>240</v>
      </c>
      <c r="DS1626" s="5" t="s">
        <v>240</v>
      </c>
      <c r="DV1626" s="5" t="s">
        <v>813</v>
      </c>
      <c r="DW1626" s="5" t="s">
        <v>3383</v>
      </c>
      <c r="HO1626" s="5" t="s">
        <v>312</v>
      </c>
    </row>
    <row r="1627" spans="1:223" x14ac:dyDescent="0.4">
      <c r="A1627" s="5">
        <v>3302</v>
      </c>
      <c r="B1627" s="5">
        <v>1</v>
      </c>
      <c r="C1627" s="5">
        <v>1</v>
      </c>
      <c r="D1627" s="5" t="s">
        <v>297</v>
      </c>
      <c r="E1627" s="5" t="s">
        <v>245</v>
      </c>
      <c r="F1627" s="5" t="s">
        <v>254</v>
      </c>
      <c r="G1627" s="5" t="s">
        <v>240</v>
      </c>
      <c r="H1627" s="6" t="s">
        <v>4536</v>
      </c>
      <c r="I1627" s="5" t="s">
        <v>295</v>
      </c>
      <c r="J1627" s="8">
        <f>751</f>
        <v>751</v>
      </c>
      <c r="K1627" s="5" t="s">
        <v>308</v>
      </c>
      <c r="L1627" s="7">
        <f>1</f>
        <v>1</v>
      </c>
      <c r="M1627" s="7">
        <f>1</f>
        <v>1</v>
      </c>
      <c r="N1627" s="5" t="s">
        <v>242</v>
      </c>
      <c r="O1627" s="5">
        <v>1</v>
      </c>
      <c r="P1627" s="5" t="s">
        <v>294</v>
      </c>
      <c r="Q1627" s="5" t="s">
        <v>266</v>
      </c>
      <c r="R1627" s="5" t="s">
        <v>240</v>
      </c>
      <c r="S1627" s="5" t="s">
        <v>240</v>
      </c>
      <c r="T1627" s="5" t="s">
        <v>296</v>
      </c>
      <c r="U1627" s="5" t="s">
        <v>244</v>
      </c>
      <c r="V1627" s="5" t="s">
        <v>240</v>
      </c>
      <c r="Y1627" s="5" t="s">
        <v>240</v>
      </c>
      <c r="Z1627" s="6" t="s">
        <v>298</v>
      </c>
      <c r="AB1627" s="6" t="s">
        <v>240</v>
      </c>
      <c r="AE1627" s="6" t="s">
        <v>299</v>
      </c>
      <c r="AF1627" s="5" t="s">
        <v>248</v>
      </c>
      <c r="AG1627" s="5" t="s">
        <v>249</v>
      </c>
      <c r="AW1627" s="5" t="s">
        <v>251</v>
      </c>
      <c r="AX1627" s="5" t="s">
        <v>240</v>
      </c>
      <c r="AY1627" s="5" t="s">
        <v>253</v>
      </c>
      <c r="AZ1627" s="5" t="s">
        <v>240</v>
      </c>
      <c r="BA1627" s="5" t="s">
        <v>255</v>
      </c>
      <c r="BB1627" s="5" t="s">
        <v>240</v>
      </c>
      <c r="BD1627" s="5" t="s">
        <v>240</v>
      </c>
      <c r="BF1627" s="5" t="s">
        <v>301</v>
      </c>
      <c r="BG1627" s="6" t="s">
        <v>299</v>
      </c>
      <c r="BH1627" s="5" t="s">
        <v>302</v>
      </c>
      <c r="BI1627" s="5" t="s">
        <v>303</v>
      </c>
      <c r="BJ1627" s="5" t="s">
        <v>240</v>
      </c>
      <c r="BK1627" s="8">
        <f>0</f>
        <v>0</v>
      </c>
      <c r="BL1627" s="7">
        <f>0</f>
        <v>0</v>
      </c>
      <c r="BM1627" s="5" t="s">
        <v>258</v>
      </c>
      <c r="BN1627" s="5" t="s">
        <v>259</v>
      </c>
      <c r="CB1627" s="5" t="s">
        <v>240</v>
      </c>
      <c r="CC1627" s="5" t="s">
        <v>240</v>
      </c>
      <c r="CG1627" s="5" t="s">
        <v>304</v>
      </c>
      <c r="CH1627" s="5" t="s">
        <v>305</v>
      </c>
      <c r="CI1627" s="5" t="s">
        <v>240</v>
      </c>
      <c r="CL1627" s="6" t="s">
        <v>261</v>
      </c>
      <c r="CM1627" s="5" t="s">
        <v>240</v>
      </c>
      <c r="CN1627" s="5" t="s">
        <v>263</v>
      </c>
      <c r="CO1627" s="5" t="s">
        <v>240</v>
      </c>
      <c r="CP1627" s="5" t="s">
        <v>240</v>
      </c>
      <c r="CQ1627" s="5">
        <v>0</v>
      </c>
      <c r="CR1627" s="5" t="s">
        <v>306</v>
      </c>
      <c r="CS1627" s="5" t="s">
        <v>307</v>
      </c>
      <c r="CT1627" s="5" t="s">
        <v>307</v>
      </c>
      <c r="CU1627" s="5" t="s">
        <v>260</v>
      </c>
      <c r="CX1627" s="7">
        <f>1</f>
        <v>1</v>
      </c>
      <c r="CY1627" s="7">
        <f>0</f>
        <v>0</v>
      </c>
      <c r="DA1627" s="7">
        <f>0</f>
        <v>0</v>
      </c>
      <c r="DC1627" s="5" t="s">
        <v>812</v>
      </c>
      <c r="DD1627" s="5" t="s">
        <v>240</v>
      </c>
      <c r="DF1627" s="5" t="s">
        <v>812</v>
      </c>
      <c r="DG1627" s="7">
        <f>922</f>
        <v>922</v>
      </c>
      <c r="DI1627" s="5" t="s">
        <v>240</v>
      </c>
      <c r="DJ1627" s="5" t="s">
        <v>240</v>
      </c>
      <c r="DK1627" s="5" t="s">
        <v>240</v>
      </c>
      <c r="DL1627" s="5" t="s">
        <v>240</v>
      </c>
      <c r="DP1627" s="5" t="s">
        <v>240</v>
      </c>
      <c r="DQ1627" s="5" t="s">
        <v>240</v>
      </c>
      <c r="DR1627" s="5" t="s">
        <v>240</v>
      </c>
      <c r="DS1627" s="5" t="s">
        <v>240</v>
      </c>
      <c r="DV1627" s="5" t="s">
        <v>813</v>
      </c>
      <c r="DW1627" s="5" t="s">
        <v>3385</v>
      </c>
      <c r="HO1627" s="5" t="s">
        <v>312</v>
      </c>
    </row>
    <row r="1628" spans="1:223" x14ac:dyDescent="0.4">
      <c r="A1628" s="5">
        <v>3303</v>
      </c>
      <c r="B1628" s="5">
        <v>1</v>
      </c>
      <c r="C1628" s="5">
        <v>1</v>
      </c>
      <c r="D1628" s="5" t="s">
        <v>297</v>
      </c>
      <c r="E1628" s="5" t="s">
        <v>245</v>
      </c>
      <c r="F1628" s="5" t="s">
        <v>254</v>
      </c>
      <c r="G1628" s="5" t="s">
        <v>240</v>
      </c>
      <c r="H1628" s="6" t="s">
        <v>4535</v>
      </c>
      <c r="I1628" s="5" t="s">
        <v>295</v>
      </c>
      <c r="J1628" s="8">
        <f>1341</f>
        <v>1341</v>
      </c>
      <c r="K1628" s="5" t="s">
        <v>308</v>
      </c>
      <c r="L1628" s="7">
        <f>1</f>
        <v>1</v>
      </c>
      <c r="M1628" s="7">
        <f>1</f>
        <v>1</v>
      </c>
      <c r="N1628" s="5" t="s">
        <v>242</v>
      </c>
      <c r="O1628" s="5">
        <v>1</v>
      </c>
      <c r="P1628" s="5" t="s">
        <v>294</v>
      </c>
      <c r="Q1628" s="5" t="s">
        <v>266</v>
      </c>
      <c r="R1628" s="5" t="s">
        <v>240</v>
      </c>
      <c r="S1628" s="5" t="s">
        <v>240</v>
      </c>
      <c r="T1628" s="5" t="s">
        <v>296</v>
      </c>
      <c r="U1628" s="5" t="s">
        <v>244</v>
      </c>
      <c r="V1628" s="5" t="s">
        <v>240</v>
      </c>
      <c r="Y1628" s="5" t="s">
        <v>240</v>
      </c>
      <c r="Z1628" s="6" t="s">
        <v>298</v>
      </c>
      <c r="AB1628" s="6" t="s">
        <v>240</v>
      </c>
      <c r="AE1628" s="6" t="s">
        <v>299</v>
      </c>
      <c r="AF1628" s="5" t="s">
        <v>248</v>
      </c>
      <c r="AG1628" s="5" t="s">
        <v>249</v>
      </c>
      <c r="AW1628" s="5" t="s">
        <v>251</v>
      </c>
      <c r="AX1628" s="5" t="s">
        <v>240</v>
      </c>
      <c r="AY1628" s="5" t="s">
        <v>253</v>
      </c>
      <c r="AZ1628" s="5" t="s">
        <v>240</v>
      </c>
      <c r="BA1628" s="5" t="s">
        <v>255</v>
      </c>
      <c r="BB1628" s="5" t="s">
        <v>240</v>
      </c>
      <c r="BD1628" s="5" t="s">
        <v>240</v>
      </c>
      <c r="BF1628" s="5" t="s">
        <v>301</v>
      </c>
      <c r="BG1628" s="6" t="s">
        <v>299</v>
      </c>
      <c r="BH1628" s="5" t="s">
        <v>302</v>
      </c>
      <c r="BI1628" s="5" t="s">
        <v>303</v>
      </c>
      <c r="BJ1628" s="5" t="s">
        <v>240</v>
      </c>
      <c r="BK1628" s="8">
        <f>0</f>
        <v>0</v>
      </c>
      <c r="BL1628" s="7">
        <f>0</f>
        <v>0</v>
      </c>
      <c r="BM1628" s="5" t="s">
        <v>258</v>
      </c>
      <c r="BN1628" s="5" t="s">
        <v>259</v>
      </c>
      <c r="CB1628" s="5" t="s">
        <v>240</v>
      </c>
      <c r="CC1628" s="5" t="s">
        <v>240</v>
      </c>
      <c r="CG1628" s="5" t="s">
        <v>304</v>
      </c>
      <c r="CH1628" s="5" t="s">
        <v>305</v>
      </c>
      <c r="CI1628" s="5" t="s">
        <v>240</v>
      </c>
      <c r="CL1628" s="6" t="s">
        <v>261</v>
      </c>
      <c r="CM1628" s="5" t="s">
        <v>240</v>
      </c>
      <c r="CN1628" s="5" t="s">
        <v>263</v>
      </c>
      <c r="CO1628" s="5" t="s">
        <v>240</v>
      </c>
      <c r="CP1628" s="5" t="s">
        <v>240</v>
      </c>
      <c r="CQ1628" s="5">
        <v>0</v>
      </c>
      <c r="CR1628" s="5" t="s">
        <v>306</v>
      </c>
      <c r="CS1628" s="5" t="s">
        <v>307</v>
      </c>
      <c r="CT1628" s="5" t="s">
        <v>307</v>
      </c>
      <c r="CU1628" s="5" t="s">
        <v>260</v>
      </c>
      <c r="CX1628" s="7">
        <f>1</f>
        <v>1</v>
      </c>
      <c r="CY1628" s="7">
        <f>0</f>
        <v>0</v>
      </c>
      <c r="DA1628" s="7">
        <f>0</f>
        <v>0</v>
      </c>
      <c r="DC1628" s="5" t="s">
        <v>812</v>
      </c>
      <c r="DD1628" s="5" t="s">
        <v>240</v>
      </c>
      <c r="DF1628" s="5" t="s">
        <v>812</v>
      </c>
      <c r="DG1628" s="7">
        <f>1780</f>
        <v>1780</v>
      </c>
      <c r="DI1628" s="5" t="s">
        <v>240</v>
      </c>
      <c r="DJ1628" s="5" t="s">
        <v>240</v>
      </c>
      <c r="DK1628" s="5" t="s">
        <v>240</v>
      </c>
      <c r="DL1628" s="5" t="s">
        <v>240</v>
      </c>
      <c r="DP1628" s="5" t="s">
        <v>240</v>
      </c>
      <c r="DQ1628" s="5" t="s">
        <v>240</v>
      </c>
      <c r="DR1628" s="5" t="s">
        <v>240</v>
      </c>
      <c r="DS1628" s="5" t="s">
        <v>240</v>
      </c>
      <c r="DV1628" s="5" t="s">
        <v>813</v>
      </c>
      <c r="DW1628" s="5" t="s">
        <v>3387</v>
      </c>
      <c r="HO1628" s="5" t="s">
        <v>312</v>
      </c>
    </row>
    <row r="1629" spans="1:223" x14ac:dyDescent="0.4">
      <c r="A1629" s="5">
        <v>3304</v>
      </c>
      <c r="B1629" s="5">
        <v>1</v>
      </c>
      <c r="C1629" s="5">
        <v>1</v>
      </c>
      <c r="D1629" s="5" t="s">
        <v>297</v>
      </c>
      <c r="E1629" s="5" t="s">
        <v>245</v>
      </c>
      <c r="F1629" s="5" t="s">
        <v>254</v>
      </c>
      <c r="G1629" s="5" t="s">
        <v>240</v>
      </c>
      <c r="H1629" s="6" t="s">
        <v>4534</v>
      </c>
      <c r="I1629" s="5" t="s">
        <v>295</v>
      </c>
      <c r="J1629" s="8">
        <f>2008</f>
        <v>2008</v>
      </c>
      <c r="K1629" s="5" t="s">
        <v>308</v>
      </c>
      <c r="L1629" s="7">
        <f>1</f>
        <v>1</v>
      </c>
      <c r="M1629" s="7">
        <f>1</f>
        <v>1</v>
      </c>
      <c r="N1629" s="5" t="s">
        <v>242</v>
      </c>
      <c r="O1629" s="5">
        <v>1</v>
      </c>
      <c r="P1629" s="5" t="s">
        <v>294</v>
      </c>
      <c r="Q1629" s="5" t="s">
        <v>266</v>
      </c>
      <c r="R1629" s="5" t="s">
        <v>240</v>
      </c>
      <c r="S1629" s="5" t="s">
        <v>240</v>
      </c>
      <c r="T1629" s="5" t="s">
        <v>296</v>
      </c>
      <c r="U1629" s="5" t="s">
        <v>244</v>
      </c>
      <c r="V1629" s="5" t="s">
        <v>240</v>
      </c>
      <c r="Y1629" s="5" t="s">
        <v>240</v>
      </c>
      <c r="Z1629" s="6" t="s">
        <v>298</v>
      </c>
      <c r="AB1629" s="6" t="s">
        <v>240</v>
      </c>
      <c r="AE1629" s="6" t="s">
        <v>299</v>
      </c>
      <c r="AF1629" s="5" t="s">
        <v>248</v>
      </c>
      <c r="AG1629" s="5" t="s">
        <v>249</v>
      </c>
      <c r="AW1629" s="5" t="s">
        <v>251</v>
      </c>
      <c r="AX1629" s="5" t="s">
        <v>240</v>
      </c>
      <c r="AY1629" s="5" t="s">
        <v>253</v>
      </c>
      <c r="AZ1629" s="5" t="s">
        <v>240</v>
      </c>
      <c r="BA1629" s="5" t="s">
        <v>255</v>
      </c>
      <c r="BB1629" s="5" t="s">
        <v>240</v>
      </c>
      <c r="BD1629" s="5" t="s">
        <v>240</v>
      </c>
      <c r="BF1629" s="5" t="s">
        <v>301</v>
      </c>
      <c r="BG1629" s="6" t="s">
        <v>299</v>
      </c>
      <c r="BH1629" s="5" t="s">
        <v>302</v>
      </c>
      <c r="BI1629" s="5" t="s">
        <v>303</v>
      </c>
      <c r="BJ1629" s="5" t="s">
        <v>240</v>
      </c>
      <c r="BK1629" s="8">
        <f>0</f>
        <v>0</v>
      </c>
      <c r="BL1629" s="7">
        <f>0</f>
        <v>0</v>
      </c>
      <c r="BM1629" s="5" t="s">
        <v>258</v>
      </c>
      <c r="BN1629" s="5" t="s">
        <v>259</v>
      </c>
      <c r="CB1629" s="5" t="s">
        <v>240</v>
      </c>
      <c r="CC1629" s="5" t="s">
        <v>240</v>
      </c>
      <c r="CG1629" s="5" t="s">
        <v>304</v>
      </c>
      <c r="CH1629" s="5" t="s">
        <v>305</v>
      </c>
      <c r="CI1629" s="5" t="s">
        <v>240</v>
      </c>
      <c r="CL1629" s="6" t="s">
        <v>261</v>
      </c>
      <c r="CM1629" s="5" t="s">
        <v>240</v>
      </c>
      <c r="CN1629" s="5" t="s">
        <v>263</v>
      </c>
      <c r="CO1629" s="5" t="s">
        <v>240</v>
      </c>
      <c r="CP1629" s="5" t="s">
        <v>240</v>
      </c>
      <c r="CQ1629" s="5">
        <v>0</v>
      </c>
      <c r="CR1629" s="5" t="s">
        <v>306</v>
      </c>
      <c r="CS1629" s="5" t="s">
        <v>307</v>
      </c>
      <c r="CT1629" s="5" t="s">
        <v>307</v>
      </c>
      <c r="CU1629" s="5" t="s">
        <v>260</v>
      </c>
      <c r="CX1629" s="7">
        <f>1</f>
        <v>1</v>
      </c>
      <c r="CY1629" s="7">
        <f>0</f>
        <v>0</v>
      </c>
      <c r="DA1629" s="7">
        <f>0</f>
        <v>0</v>
      </c>
      <c r="DC1629" s="5" t="s">
        <v>812</v>
      </c>
      <c r="DD1629" s="5" t="s">
        <v>240</v>
      </c>
      <c r="DF1629" s="5" t="s">
        <v>812</v>
      </c>
      <c r="DG1629" s="7">
        <f>1889</f>
        <v>1889</v>
      </c>
      <c r="DI1629" s="5" t="s">
        <v>240</v>
      </c>
      <c r="DJ1629" s="5" t="s">
        <v>240</v>
      </c>
      <c r="DK1629" s="5" t="s">
        <v>240</v>
      </c>
      <c r="DL1629" s="5" t="s">
        <v>240</v>
      </c>
      <c r="DP1629" s="5" t="s">
        <v>240</v>
      </c>
      <c r="DQ1629" s="5" t="s">
        <v>240</v>
      </c>
      <c r="DR1629" s="5" t="s">
        <v>240</v>
      </c>
      <c r="DS1629" s="5" t="s">
        <v>240</v>
      </c>
      <c r="DV1629" s="5" t="s">
        <v>813</v>
      </c>
      <c r="DW1629" s="5" t="s">
        <v>3389</v>
      </c>
      <c r="HO1629" s="5" t="s">
        <v>312</v>
      </c>
    </row>
    <row r="1630" spans="1:223" x14ac:dyDescent="0.4">
      <c r="A1630" s="5">
        <v>3305</v>
      </c>
      <c r="B1630" s="5">
        <v>1</v>
      </c>
      <c r="C1630" s="5">
        <v>1</v>
      </c>
      <c r="D1630" s="5" t="s">
        <v>297</v>
      </c>
      <c r="E1630" s="5" t="s">
        <v>245</v>
      </c>
      <c r="F1630" s="5" t="s">
        <v>254</v>
      </c>
      <c r="G1630" s="5" t="s">
        <v>240</v>
      </c>
      <c r="H1630" s="6" t="s">
        <v>4533</v>
      </c>
      <c r="I1630" s="5" t="s">
        <v>295</v>
      </c>
      <c r="J1630" s="8">
        <f>2049</f>
        <v>2049</v>
      </c>
      <c r="K1630" s="5" t="s">
        <v>308</v>
      </c>
      <c r="L1630" s="7">
        <f>1</f>
        <v>1</v>
      </c>
      <c r="M1630" s="7">
        <f>1</f>
        <v>1</v>
      </c>
      <c r="N1630" s="5" t="s">
        <v>242</v>
      </c>
      <c r="O1630" s="5">
        <v>1</v>
      </c>
      <c r="P1630" s="5" t="s">
        <v>294</v>
      </c>
      <c r="Q1630" s="5" t="s">
        <v>266</v>
      </c>
      <c r="R1630" s="5" t="s">
        <v>240</v>
      </c>
      <c r="S1630" s="5" t="s">
        <v>240</v>
      </c>
      <c r="T1630" s="5" t="s">
        <v>296</v>
      </c>
      <c r="U1630" s="5" t="s">
        <v>244</v>
      </c>
      <c r="V1630" s="5" t="s">
        <v>240</v>
      </c>
      <c r="Y1630" s="5" t="s">
        <v>240</v>
      </c>
      <c r="Z1630" s="6" t="s">
        <v>298</v>
      </c>
      <c r="AB1630" s="6" t="s">
        <v>240</v>
      </c>
      <c r="AE1630" s="6" t="s">
        <v>299</v>
      </c>
      <c r="AF1630" s="5" t="s">
        <v>248</v>
      </c>
      <c r="AG1630" s="5" t="s">
        <v>249</v>
      </c>
      <c r="AW1630" s="5" t="s">
        <v>251</v>
      </c>
      <c r="AX1630" s="5" t="s">
        <v>240</v>
      </c>
      <c r="AY1630" s="5" t="s">
        <v>253</v>
      </c>
      <c r="AZ1630" s="5" t="s">
        <v>240</v>
      </c>
      <c r="BA1630" s="5" t="s">
        <v>255</v>
      </c>
      <c r="BB1630" s="5" t="s">
        <v>240</v>
      </c>
      <c r="BD1630" s="5" t="s">
        <v>240</v>
      </c>
      <c r="BF1630" s="5" t="s">
        <v>301</v>
      </c>
      <c r="BG1630" s="6" t="s">
        <v>299</v>
      </c>
      <c r="BH1630" s="5" t="s">
        <v>302</v>
      </c>
      <c r="BI1630" s="5" t="s">
        <v>303</v>
      </c>
      <c r="BJ1630" s="5" t="s">
        <v>240</v>
      </c>
      <c r="BK1630" s="8">
        <f>0</f>
        <v>0</v>
      </c>
      <c r="BL1630" s="7">
        <f>0</f>
        <v>0</v>
      </c>
      <c r="BM1630" s="5" t="s">
        <v>258</v>
      </c>
      <c r="BN1630" s="5" t="s">
        <v>259</v>
      </c>
      <c r="CB1630" s="5" t="s">
        <v>240</v>
      </c>
      <c r="CC1630" s="5" t="s">
        <v>240</v>
      </c>
      <c r="CG1630" s="5" t="s">
        <v>304</v>
      </c>
      <c r="CH1630" s="5" t="s">
        <v>305</v>
      </c>
      <c r="CI1630" s="5" t="s">
        <v>240</v>
      </c>
      <c r="CL1630" s="6" t="s">
        <v>261</v>
      </c>
      <c r="CM1630" s="5" t="s">
        <v>240</v>
      </c>
      <c r="CN1630" s="5" t="s">
        <v>263</v>
      </c>
      <c r="CO1630" s="5" t="s">
        <v>240</v>
      </c>
      <c r="CP1630" s="5" t="s">
        <v>240</v>
      </c>
      <c r="CQ1630" s="5">
        <v>0</v>
      </c>
      <c r="CR1630" s="5" t="s">
        <v>306</v>
      </c>
      <c r="CS1630" s="5" t="s">
        <v>307</v>
      </c>
      <c r="CT1630" s="5" t="s">
        <v>307</v>
      </c>
      <c r="CU1630" s="5" t="s">
        <v>260</v>
      </c>
      <c r="CX1630" s="7">
        <f>1</f>
        <v>1</v>
      </c>
      <c r="CY1630" s="7">
        <f>0</f>
        <v>0</v>
      </c>
      <c r="DA1630" s="7">
        <f>0</f>
        <v>0</v>
      </c>
      <c r="DC1630" s="5" t="s">
        <v>812</v>
      </c>
      <c r="DD1630" s="5" t="s">
        <v>240</v>
      </c>
      <c r="DF1630" s="5" t="s">
        <v>812</v>
      </c>
      <c r="DG1630" s="7">
        <f>1081</f>
        <v>1081</v>
      </c>
      <c r="DI1630" s="5" t="s">
        <v>240</v>
      </c>
      <c r="DJ1630" s="5" t="s">
        <v>240</v>
      </c>
      <c r="DK1630" s="5" t="s">
        <v>240</v>
      </c>
      <c r="DL1630" s="5" t="s">
        <v>240</v>
      </c>
      <c r="DP1630" s="5" t="s">
        <v>240</v>
      </c>
      <c r="DQ1630" s="5" t="s">
        <v>240</v>
      </c>
      <c r="DR1630" s="5" t="s">
        <v>240</v>
      </c>
      <c r="DS1630" s="5" t="s">
        <v>240</v>
      </c>
      <c r="DV1630" s="5" t="s">
        <v>813</v>
      </c>
      <c r="DW1630" s="5" t="s">
        <v>3391</v>
      </c>
      <c r="HO1630" s="5" t="s">
        <v>312</v>
      </c>
    </row>
    <row r="1631" spans="1:223" x14ac:dyDescent="0.4">
      <c r="A1631" s="5">
        <v>3306</v>
      </c>
      <c r="B1631" s="5">
        <v>1</v>
      </c>
      <c r="C1631" s="5">
        <v>1</v>
      </c>
      <c r="D1631" s="5" t="s">
        <v>297</v>
      </c>
      <c r="E1631" s="5" t="s">
        <v>245</v>
      </c>
      <c r="F1631" s="5" t="s">
        <v>254</v>
      </c>
      <c r="G1631" s="5" t="s">
        <v>240</v>
      </c>
      <c r="H1631" s="6" t="s">
        <v>4532</v>
      </c>
      <c r="I1631" s="5" t="s">
        <v>295</v>
      </c>
      <c r="J1631" s="8">
        <f>3490</f>
        <v>3490</v>
      </c>
      <c r="K1631" s="5" t="s">
        <v>308</v>
      </c>
      <c r="L1631" s="7">
        <f>1</f>
        <v>1</v>
      </c>
      <c r="M1631" s="7">
        <f>1</f>
        <v>1</v>
      </c>
      <c r="N1631" s="5" t="s">
        <v>242</v>
      </c>
      <c r="O1631" s="5">
        <v>1</v>
      </c>
      <c r="P1631" s="5" t="s">
        <v>294</v>
      </c>
      <c r="Q1631" s="5" t="s">
        <v>266</v>
      </c>
      <c r="R1631" s="5" t="s">
        <v>240</v>
      </c>
      <c r="S1631" s="5" t="s">
        <v>240</v>
      </c>
      <c r="T1631" s="5" t="s">
        <v>296</v>
      </c>
      <c r="U1631" s="5" t="s">
        <v>244</v>
      </c>
      <c r="V1631" s="5" t="s">
        <v>240</v>
      </c>
      <c r="Y1631" s="5" t="s">
        <v>240</v>
      </c>
      <c r="Z1631" s="6" t="s">
        <v>298</v>
      </c>
      <c r="AB1631" s="6" t="s">
        <v>240</v>
      </c>
      <c r="AE1631" s="6" t="s">
        <v>299</v>
      </c>
      <c r="AF1631" s="5" t="s">
        <v>248</v>
      </c>
      <c r="AG1631" s="5" t="s">
        <v>249</v>
      </c>
      <c r="AW1631" s="5" t="s">
        <v>251</v>
      </c>
      <c r="AX1631" s="5" t="s">
        <v>240</v>
      </c>
      <c r="AY1631" s="5" t="s">
        <v>253</v>
      </c>
      <c r="AZ1631" s="5" t="s">
        <v>240</v>
      </c>
      <c r="BA1631" s="5" t="s">
        <v>255</v>
      </c>
      <c r="BB1631" s="5" t="s">
        <v>240</v>
      </c>
      <c r="BD1631" s="5" t="s">
        <v>240</v>
      </c>
      <c r="BF1631" s="5" t="s">
        <v>301</v>
      </c>
      <c r="BG1631" s="6" t="s">
        <v>299</v>
      </c>
      <c r="BH1631" s="5" t="s">
        <v>302</v>
      </c>
      <c r="BI1631" s="5" t="s">
        <v>303</v>
      </c>
      <c r="BJ1631" s="5" t="s">
        <v>240</v>
      </c>
      <c r="BK1631" s="8">
        <f>0</f>
        <v>0</v>
      </c>
      <c r="BL1631" s="7">
        <f>0</f>
        <v>0</v>
      </c>
      <c r="BM1631" s="5" t="s">
        <v>258</v>
      </c>
      <c r="BN1631" s="5" t="s">
        <v>259</v>
      </c>
      <c r="CB1631" s="5" t="s">
        <v>240</v>
      </c>
      <c r="CC1631" s="5" t="s">
        <v>240</v>
      </c>
      <c r="CG1631" s="5" t="s">
        <v>304</v>
      </c>
      <c r="CH1631" s="5" t="s">
        <v>305</v>
      </c>
      <c r="CI1631" s="5" t="s">
        <v>240</v>
      </c>
      <c r="CL1631" s="6" t="s">
        <v>261</v>
      </c>
      <c r="CM1631" s="5" t="s">
        <v>240</v>
      </c>
      <c r="CN1631" s="5" t="s">
        <v>263</v>
      </c>
      <c r="CO1631" s="5" t="s">
        <v>240</v>
      </c>
      <c r="CP1631" s="5" t="s">
        <v>240</v>
      </c>
      <c r="CQ1631" s="5">
        <v>0</v>
      </c>
      <c r="CR1631" s="5" t="s">
        <v>306</v>
      </c>
      <c r="CS1631" s="5" t="s">
        <v>307</v>
      </c>
      <c r="CT1631" s="5" t="s">
        <v>307</v>
      </c>
      <c r="CU1631" s="5" t="s">
        <v>260</v>
      </c>
      <c r="CX1631" s="7">
        <f>1</f>
        <v>1</v>
      </c>
      <c r="CY1631" s="7">
        <f>0</f>
        <v>0</v>
      </c>
      <c r="DA1631" s="7">
        <f>0</f>
        <v>0</v>
      </c>
      <c r="DC1631" s="5" t="s">
        <v>812</v>
      </c>
      <c r="DD1631" s="5" t="s">
        <v>240</v>
      </c>
      <c r="DF1631" s="5" t="s">
        <v>812</v>
      </c>
      <c r="DG1631" s="7">
        <f>225</f>
        <v>225</v>
      </c>
      <c r="DI1631" s="5" t="s">
        <v>240</v>
      </c>
      <c r="DJ1631" s="5" t="s">
        <v>240</v>
      </c>
      <c r="DK1631" s="5" t="s">
        <v>240</v>
      </c>
      <c r="DL1631" s="5" t="s">
        <v>240</v>
      </c>
      <c r="DP1631" s="5" t="s">
        <v>240</v>
      </c>
      <c r="DQ1631" s="5" t="s">
        <v>240</v>
      </c>
      <c r="DR1631" s="5" t="s">
        <v>240</v>
      </c>
      <c r="DS1631" s="5" t="s">
        <v>240</v>
      </c>
      <c r="DV1631" s="5" t="s">
        <v>813</v>
      </c>
      <c r="DW1631" s="5" t="s">
        <v>3393</v>
      </c>
      <c r="HO1631" s="5" t="s">
        <v>312</v>
      </c>
    </row>
    <row r="1632" spans="1:223" x14ac:dyDescent="0.4">
      <c r="A1632" s="5">
        <v>3307</v>
      </c>
      <c r="B1632" s="5">
        <v>1</v>
      </c>
      <c r="C1632" s="5">
        <v>1</v>
      </c>
      <c r="D1632" s="5" t="s">
        <v>297</v>
      </c>
      <c r="E1632" s="5" t="s">
        <v>245</v>
      </c>
      <c r="F1632" s="5" t="s">
        <v>254</v>
      </c>
      <c r="G1632" s="5" t="s">
        <v>240</v>
      </c>
      <c r="H1632" s="6" t="s">
        <v>4531</v>
      </c>
      <c r="I1632" s="5" t="s">
        <v>295</v>
      </c>
      <c r="J1632" s="8">
        <f>1740</f>
        <v>1740</v>
      </c>
      <c r="K1632" s="5" t="s">
        <v>308</v>
      </c>
      <c r="L1632" s="7">
        <f>1</f>
        <v>1</v>
      </c>
      <c r="M1632" s="7">
        <f>1</f>
        <v>1</v>
      </c>
      <c r="N1632" s="5" t="s">
        <v>242</v>
      </c>
      <c r="O1632" s="5">
        <v>1</v>
      </c>
      <c r="P1632" s="5" t="s">
        <v>294</v>
      </c>
      <c r="Q1632" s="5" t="s">
        <v>266</v>
      </c>
      <c r="R1632" s="5" t="s">
        <v>240</v>
      </c>
      <c r="S1632" s="5" t="s">
        <v>240</v>
      </c>
      <c r="T1632" s="5" t="s">
        <v>296</v>
      </c>
      <c r="U1632" s="5" t="s">
        <v>244</v>
      </c>
      <c r="V1632" s="5" t="s">
        <v>240</v>
      </c>
      <c r="Y1632" s="5" t="s">
        <v>240</v>
      </c>
      <c r="Z1632" s="6" t="s">
        <v>298</v>
      </c>
      <c r="AB1632" s="6" t="s">
        <v>240</v>
      </c>
      <c r="AE1632" s="6" t="s">
        <v>299</v>
      </c>
      <c r="AF1632" s="5" t="s">
        <v>248</v>
      </c>
      <c r="AG1632" s="5" t="s">
        <v>249</v>
      </c>
      <c r="AW1632" s="5" t="s">
        <v>251</v>
      </c>
      <c r="AX1632" s="5" t="s">
        <v>240</v>
      </c>
      <c r="AY1632" s="5" t="s">
        <v>253</v>
      </c>
      <c r="AZ1632" s="5" t="s">
        <v>240</v>
      </c>
      <c r="BA1632" s="5" t="s">
        <v>255</v>
      </c>
      <c r="BB1632" s="5" t="s">
        <v>240</v>
      </c>
      <c r="BD1632" s="5" t="s">
        <v>240</v>
      </c>
      <c r="BF1632" s="5" t="s">
        <v>301</v>
      </c>
      <c r="BG1632" s="6" t="s">
        <v>299</v>
      </c>
      <c r="BH1632" s="5" t="s">
        <v>302</v>
      </c>
      <c r="BI1632" s="5" t="s">
        <v>303</v>
      </c>
      <c r="BJ1632" s="5" t="s">
        <v>240</v>
      </c>
      <c r="BK1632" s="8">
        <f>0</f>
        <v>0</v>
      </c>
      <c r="BL1632" s="7">
        <f>0</f>
        <v>0</v>
      </c>
      <c r="BM1632" s="5" t="s">
        <v>258</v>
      </c>
      <c r="BN1632" s="5" t="s">
        <v>259</v>
      </c>
      <c r="CB1632" s="5" t="s">
        <v>240</v>
      </c>
      <c r="CC1632" s="5" t="s">
        <v>240</v>
      </c>
      <c r="CG1632" s="5" t="s">
        <v>304</v>
      </c>
      <c r="CH1632" s="5" t="s">
        <v>305</v>
      </c>
      <c r="CI1632" s="5" t="s">
        <v>240</v>
      </c>
      <c r="CL1632" s="6" t="s">
        <v>261</v>
      </c>
      <c r="CM1632" s="5" t="s">
        <v>240</v>
      </c>
      <c r="CN1632" s="5" t="s">
        <v>263</v>
      </c>
      <c r="CO1632" s="5" t="s">
        <v>240</v>
      </c>
      <c r="CP1632" s="5" t="s">
        <v>240</v>
      </c>
      <c r="CQ1632" s="5">
        <v>0</v>
      </c>
      <c r="CR1632" s="5" t="s">
        <v>306</v>
      </c>
      <c r="CS1632" s="5" t="s">
        <v>307</v>
      </c>
      <c r="CT1632" s="5" t="s">
        <v>307</v>
      </c>
      <c r="CU1632" s="5" t="s">
        <v>260</v>
      </c>
      <c r="CX1632" s="7">
        <f>1</f>
        <v>1</v>
      </c>
      <c r="CY1632" s="7">
        <f>0</f>
        <v>0</v>
      </c>
      <c r="DA1632" s="7">
        <f>0</f>
        <v>0</v>
      </c>
      <c r="DC1632" s="5" t="s">
        <v>812</v>
      </c>
      <c r="DD1632" s="5" t="s">
        <v>240</v>
      </c>
      <c r="DF1632" s="5" t="s">
        <v>812</v>
      </c>
      <c r="DG1632" s="7">
        <f>4235</f>
        <v>4235</v>
      </c>
      <c r="DI1632" s="5" t="s">
        <v>240</v>
      </c>
      <c r="DJ1632" s="5" t="s">
        <v>240</v>
      </c>
      <c r="DK1632" s="5" t="s">
        <v>240</v>
      </c>
      <c r="DL1632" s="5" t="s">
        <v>240</v>
      </c>
      <c r="DP1632" s="5" t="s">
        <v>240</v>
      </c>
      <c r="DQ1632" s="5" t="s">
        <v>240</v>
      </c>
      <c r="DR1632" s="5" t="s">
        <v>240</v>
      </c>
      <c r="DS1632" s="5" t="s">
        <v>240</v>
      </c>
      <c r="DV1632" s="5" t="s">
        <v>813</v>
      </c>
      <c r="DW1632" s="5" t="s">
        <v>3395</v>
      </c>
      <c r="HO1632" s="5" t="s">
        <v>312</v>
      </c>
    </row>
    <row r="1633" spans="1:223" x14ac:dyDescent="0.4">
      <c r="A1633" s="5">
        <v>3308</v>
      </c>
      <c r="B1633" s="5">
        <v>1</v>
      </c>
      <c r="C1633" s="5">
        <v>1</v>
      </c>
      <c r="D1633" s="5" t="s">
        <v>297</v>
      </c>
      <c r="E1633" s="5" t="s">
        <v>245</v>
      </c>
      <c r="F1633" s="5" t="s">
        <v>254</v>
      </c>
      <c r="G1633" s="5" t="s">
        <v>240</v>
      </c>
      <c r="H1633" s="6" t="s">
        <v>4530</v>
      </c>
      <c r="I1633" s="5" t="s">
        <v>295</v>
      </c>
      <c r="J1633" s="8">
        <f>1208</f>
        <v>1208</v>
      </c>
      <c r="K1633" s="5" t="s">
        <v>308</v>
      </c>
      <c r="L1633" s="7">
        <f>1</f>
        <v>1</v>
      </c>
      <c r="M1633" s="7">
        <f>1</f>
        <v>1</v>
      </c>
      <c r="N1633" s="5" t="s">
        <v>242</v>
      </c>
      <c r="O1633" s="5">
        <v>1</v>
      </c>
      <c r="P1633" s="5" t="s">
        <v>294</v>
      </c>
      <c r="Q1633" s="5" t="s">
        <v>266</v>
      </c>
      <c r="R1633" s="5" t="s">
        <v>240</v>
      </c>
      <c r="S1633" s="5" t="s">
        <v>240</v>
      </c>
      <c r="T1633" s="5" t="s">
        <v>296</v>
      </c>
      <c r="U1633" s="5" t="s">
        <v>244</v>
      </c>
      <c r="V1633" s="5" t="s">
        <v>240</v>
      </c>
      <c r="Y1633" s="5" t="s">
        <v>240</v>
      </c>
      <c r="Z1633" s="6" t="s">
        <v>298</v>
      </c>
      <c r="AB1633" s="6" t="s">
        <v>240</v>
      </c>
      <c r="AE1633" s="6" t="s">
        <v>299</v>
      </c>
      <c r="AF1633" s="5" t="s">
        <v>248</v>
      </c>
      <c r="AG1633" s="5" t="s">
        <v>249</v>
      </c>
      <c r="AW1633" s="5" t="s">
        <v>251</v>
      </c>
      <c r="AX1633" s="5" t="s">
        <v>240</v>
      </c>
      <c r="AY1633" s="5" t="s">
        <v>253</v>
      </c>
      <c r="AZ1633" s="5" t="s">
        <v>240</v>
      </c>
      <c r="BA1633" s="5" t="s">
        <v>255</v>
      </c>
      <c r="BB1633" s="5" t="s">
        <v>240</v>
      </c>
      <c r="BD1633" s="5" t="s">
        <v>240</v>
      </c>
      <c r="BF1633" s="5" t="s">
        <v>301</v>
      </c>
      <c r="BG1633" s="6" t="s">
        <v>299</v>
      </c>
      <c r="BH1633" s="5" t="s">
        <v>302</v>
      </c>
      <c r="BI1633" s="5" t="s">
        <v>303</v>
      </c>
      <c r="BJ1633" s="5" t="s">
        <v>240</v>
      </c>
      <c r="BK1633" s="8">
        <f>0</f>
        <v>0</v>
      </c>
      <c r="BL1633" s="7">
        <f>0</f>
        <v>0</v>
      </c>
      <c r="BM1633" s="5" t="s">
        <v>258</v>
      </c>
      <c r="BN1633" s="5" t="s">
        <v>259</v>
      </c>
      <c r="CB1633" s="5" t="s">
        <v>240</v>
      </c>
      <c r="CC1633" s="5" t="s">
        <v>240</v>
      </c>
      <c r="CG1633" s="5" t="s">
        <v>304</v>
      </c>
      <c r="CH1633" s="5" t="s">
        <v>305</v>
      </c>
      <c r="CI1633" s="5" t="s">
        <v>240</v>
      </c>
      <c r="CL1633" s="6" t="s">
        <v>261</v>
      </c>
      <c r="CM1633" s="5" t="s">
        <v>240</v>
      </c>
      <c r="CN1633" s="5" t="s">
        <v>263</v>
      </c>
      <c r="CO1633" s="5" t="s">
        <v>240</v>
      </c>
      <c r="CP1633" s="5" t="s">
        <v>240</v>
      </c>
      <c r="CQ1633" s="5">
        <v>0</v>
      </c>
      <c r="CR1633" s="5" t="s">
        <v>306</v>
      </c>
      <c r="CS1633" s="5" t="s">
        <v>307</v>
      </c>
      <c r="CT1633" s="5" t="s">
        <v>307</v>
      </c>
      <c r="CU1633" s="5" t="s">
        <v>260</v>
      </c>
      <c r="CX1633" s="7">
        <f>1</f>
        <v>1</v>
      </c>
      <c r="CY1633" s="7">
        <f>0</f>
        <v>0</v>
      </c>
      <c r="DA1633" s="7">
        <f>0</f>
        <v>0</v>
      </c>
      <c r="DC1633" s="5" t="s">
        <v>812</v>
      </c>
      <c r="DD1633" s="5" t="s">
        <v>240</v>
      </c>
      <c r="DF1633" s="5" t="s">
        <v>812</v>
      </c>
      <c r="DG1633" s="7">
        <f>2690</f>
        <v>2690</v>
      </c>
      <c r="DI1633" s="5" t="s">
        <v>240</v>
      </c>
      <c r="DJ1633" s="5" t="s">
        <v>240</v>
      </c>
      <c r="DK1633" s="5" t="s">
        <v>240</v>
      </c>
      <c r="DL1633" s="5" t="s">
        <v>240</v>
      </c>
      <c r="DP1633" s="5" t="s">
        <v>240</v>
      </c>
      <c r="DQ1633" s="5" t="s">
        <v>240</v>
      </c>
      <c r="DR1633" s="5" t="s">
        <v>240</v>
      </c>
      <c r="DS1633" s="5" t="s">
        <v>240</v>
      </c>
      <c r="DV1633" s="5" t="s">
        <v>813</v>
      </c>
      <c r="DW1633" s="5" t="s">
        <v>3397</v>
      </c>
      <c r="HO1633" s="5" t="s">
        <v>312</v>
      </c>
    </row>
    <row r="1634" spans="1:223" x14ac:dyDescent="0.4">
      <c r="A1634" s="5">
        <v>3309</v>
      </c>
      <c r="B1634" s="5">
        <v>1</v>
      </c>
      <c r="C1634" s="5">
        <v>1</v>
      </c>
      <c r="D1634" s="5" t="s">
        <v>297</v>
      </c>
      <c r="E1634" s="5" t="s">
        <v>245</v>
      </c>
      <c r="F1634" s="5" t="s">
        <v>254</v>
      </c>
      <c r="G1634" s="5" t="s">
        <v>240</v>
      </c>
      <c r="H1634" s="6" t="s">
        <v>5663</v>
      </c>
      <c r="I1634" s="5" t="s">
        <v>295</v>
      </c>
      <c r="J1634" s="8">
        <f>1760</f>
        <v>1760</v>
      </c>
      <c r="K1634" s="5" t="s">
        <v>308</v>
      </c>
      <c r="L1634" s="7">
        <f>1</f>
        <v>1</v>
      </c>
      <c r="M1634" s="7">
        <f>1</f>
        <v>1</v>
      </c>
      <c r="N1634" s="5" t="s">
        <v>242</v>
      </c>
      <c r="O1634" s="5">
        <v>1</v>
      </c>
      <c r="P1634" s="5" t="s">
        <v>294</v>
      </c>
      <c r="Q1634" s="5" t="s">
        <v>266</v>
      </c>
      <c r="R1634" s="5" t="s">
        <v>240</v>
      </c>
      <c r="S1634" s="5" t="s">
        <v>240</v>
      </c>
      <c r="T1634" s="5" t="s">
        <v>296</v>
      </c>
      <c r="U1634" s="5" t="s">
        <v>244</v>
      </c>
      <c r="V1634" s="5" t="s">
        <v>240</v>
      </c>
      <c r="Y1634" s="5" t="s">
        <v>240</v>
      </c>
      <c r="Z1634" s="6" t="s">
        <v>298</v>
      </c>
      <c r="AB1634" s="6" t="s">
        <v>240</v>
      </c>
      <c r="AE1634" s="6" t="s">
        <v>299</v>
      </c>
      <c r="AF1634" s="5" t="s">
        <v>248</v>
      </c>
      <c r="AG1634" s="5" t="s">
        <v>249</v>
      </c>
      <c r="AW1634" s="5" t="s">
        <v>251</v>
      </c>
      <c r="AX1634" s="5" t="s">
        <v>240</v>
      </c>
      <c r="AY1634" s="5" t="s">
        <v>253</v>
      </c>
      <c r="AZ1634" s="5" t="s">
        <v>240</v>
      </c>
      <c r="BA1634" s="5" t="s">
        <v>255</v>
      </c>
      <c r="BB1634" s="5" t="s">
        <v>240</v>
      </c>
      <c r="BD1634" s="5" t="s">
        <v>240</v>
      </c>
      <c r="BF1634" s="5" t="s">
        <v>301</v>
      </c>
      <c r="BG1634" s="6" t="s">
        <v>299</v>
      </c>
      <c r="BH1634" s="5" t="s">
        <v>302</v>
      </c>
      <c r="BI1634" s="5" t="s">
        <v>303</v>
      </c>
      <c r="BJ1634" s="5" t="s">
        <v>240</v>
      </c>
      <c r="BK1634" s="8">
        <f>0</f>
        <v>0</v>
      </c>
      <c r="BL1634" s="7">
        <f>0</f>
        <v>0</v>
      </c>
      <c r="BM1634" s="5" t="s">
        <v>258</v>
      </c>
      <c r="BN1634" s="5" t="s">
        <v>259</v>
      </c>
      <c r="CB1634" s="5" t="s">
        <v>240</v>
      </c>
      <c r="CC1634" s="5" t="s">
        <v>240</v>
      </c>
      <c r="CG1634" s="5" t="s">
        <v>304</v>
      </c>
      <c r="CH1634" s="5" t="s">
        <v>305</v>
      </c>
      <c r="CI1634" s="5" t="s">
        <v>240</v>
      </c>
      <c r="CL1634" s="6" t="s">
        <v>261</v>
      </c>
      <c r="CM1634" s="5" t="s">
        <v>240</v>
      </c>
      <c r="CN1634" s="5" t="s">
        <v>263</v>
      </c>
      <c r="CO1634" s="5" t="s">
        <v>240</v>
      </c>
      <c r="CP1634" s="5" t="s">
        <v>240</v>
      </c>
      <c r="CQ1634" s="5">
        <v>0</v>
      </c>
      <c r="CR1634" s="5" t="s">
        <v>306</v>
      </c>
      <c r="CS1634" s="5" t="s">
        <v>307</v>
      </c>
      <c r="CT1634" s="5" t="s">
        <v>307</v>
      </c>
      <c r="CU1634" s="5" t="s">
        <v>260</v>
      </c>
      <c r="CX1634" s="7">
        <f>1</f>
        <v>1</v>
      </c>
      <c r="CY1634" s="7">
        <f>0</f>
        <v>0</v>
      </c>
      <c r="DA1634" s="7">
        <f>0</f>
        <v>0</v>
      </c>
      <c r="DC1634" s="5" t="s">
        <v>812</v>
      </c>
      <c r="DD1634" s="5" t="s">
        <v>240</v>
      </c>
      <c r="DF1634" s="5" t="s">
        <v>812</v>
      </c>
      <c r="DG1634" s="7">
        <f>808</f>
        <v>808</v>
      </c>
      <c r="DI1634" s="5" t="s">
        <v>240</v>
      </c>
      <c r="DJ1634" s="5" t="s">
        <v>240</v>
      </c>
      <c r="DK1634" s="5" t="s">
        <v>240</v>
      </c>
      <c r="DL1634" s="5" t="s">
        <v>240</v>
      </c>
      <c r="DP1634" s="5" t="s">
        <v>240</v>
      </c>
      <c r="DQ1634" s="5" t="s">
        <v>240</v>
      </c>
      <c r="DR1634" s="5" t="s">
        <v>240</v>
      </c>
      <c r="DS1634" s="5" t="s">
        <v>240</v>
      </c>
      <c r="DV1634" s="5" t="s">
        <v>813</v>
      </c>
      <c r="DW1634" s="5" t="s">
        <v>3399</v>
      </c>
      <c r="HO1634" s="5" t="s">
        <v>312</v>
      </c>
    </row>
    <row r="1635" spans="1:223" x14ac:dyDescent="0.4">
      <c r="A1635" s="5">
        <v>3310</v>
      </c>
      <c r="B1635" s="5">
        <v>1</v>
      </c>
      <c r="C1635" s="5">
        <v>1</v>
      </c>
      <c r="D1635" s="5" t="s">
        <v>297</v>
      </c>
      <c r="E1635" s="5" t="s">
        <v>245</v>
      </c>
      <c r="F1635" s="5" t="s">
        <v>254</v>
      </c>
      <c r="G1635" s="5" t="s">
        <v>240</v>
      </c>
      <c r="H1635" s="6" t="s">
        <v>4528</v>
      </c>
      <c r="I1635" s="5" t="s">
        <v>295</v>
      </c>
      <c r="J1635" s="8">
        <f>447</f>
        <v>447</v>
      </c>
      <c r="K1635" s="5" t="s">
        <v>308</v>
      </c>
      <c r="L1635" s="7">
        <f>1</f>
        <v>1</v>
      </c>
      <c r="M1635" s="7">
        <f>1</f>
        <v>1</v>
      </c>
      <c r="N1635" s="5" t="s">
        <v>242</v>
      </c>
      <c r="O1635" s="5">
        <v>1</v>
      </c>
      <c r="P1635" s="5" t="s">
        <v>294</v>
      </c>
      <c r="Q1635" s="5" t="s">
        <v>266</v>
      </c>
      <c r="R1635" s="5" t="s">
        <v>240</v>
      </c>
      <c r="S1635" s="5" t="s">
        <v>240</v>
      </c>
      <c r="T1635" s="5" t="s">
        <v>296</v>
      </c>
      <c r="U1635" s="5" t="s">
        <v>244</v>
      </c>
      <c r="V1635" s="5" t="s">
        <v>240</v>
      </c>
      <c r="Y1635" s="5" t="s">
        <v>240</v>
      </c>
      <c r="Z1635" s="6" t="s">
        <v>298</v>
      </c>
      <c r="AB1635" s="6" t="s">
        <v>240</v>
      </c>
      <c r="AE1635" s="6" t="s">
        <v>299</v>
      </c>
      <c r="AF1635" s="5" t="s">
        <v>248</v>
      </c>
      <c r="AG1635" s="5" t="s">
        <v>249</v>
      </c>
      <c r="AW1635" s="5" t="s">
        <v>251</v>
      </c>
      <c r="AX1635" s="5" t="s">
        <v>240</v>
      </c>
      <c r="AY1635" s="5" t="s">
        <v>253</v>
      </c>
      <c r="AZ1635" s="5" t="s">
        <v>240</v>
      </c>
      <c r="BA1635" s="5" t="s">
        <v>255</v>
      </c>
      <c r="BB1635" s="5" t="s">
        <v>240</v>
      </c>
      <c r="BD1635" s="5" t="s">
        <v>240</v>
      </c>
      <c r="BF1635" s="5" t="s">
        <v>301</v>
      </c>
      <c r="BG1635" s="6" t="s">
        <v>299</v>
      </c>
      <c r="BH1635" s="5" t="s">
        <v>302</v>
      </c>
      <c r="BI1635" s="5" t="s">
        <v>303</v>
      </c>
      <c r="BJ1635" s="5" t="s">
        <v>240</v>
      </c>
      <c r="BK1635" s="8">
        <f>0</f>
        <v>0</v>
      </c>
      <c r="BL1635" s="7">
        <f>0</f>
        <v>0</v>
      </c>
      <c r="BM1635" s="5" t="s">
        <v>258</v>
      </c>
      <c r="BN1635" s="5" t="s">
        <v>259</v>
      </c>
      <c r="CB1635" s="5" t="s">
        <v>240</v>
      </c>
      <c r="CC1635" s="5" t="s">
        <v>240</v>
      </c>
      <c r="CG1635" s="5" t="s">
        <v>304</v>
      </c>
      <c r="CH1635" s="5" t="s">
        <v>305</v>
      </c>
      <c r="CI1635" s="5" t="s">
        <v>240</v>
      </c>
      <c r="CL1635" s="6" t="s">
        <v>261</v>
      </c>
      <c r="CM1635" s="5" t="s">
        <v>240</v>
      </c>
      <c r="CN1635" s="5" t="s">
        <v>263</v>
      </c>
      <c r="CO1635" s="5" t="s">
        <v>240</v>
      </c>
      <c r="CP1635" s="5" t="s">
        <v>240</v>
      </c>
      <c r="CQ1635" s="5">
        <v>0</v>
      </c>
      <c r="CR1635" s="5" t="s">
        <v>306</v>
      </c>
      <c r="CS1635" s="5" t="s">
        <v>307</v>
      </c>
      <c r="CT1635" s="5" t="s">
        <v>307</v>
      </c>
      <c r="CU1635" s="5" t="s">
        <v>260</v>
      </c>
      <c r="CX1635" s="7">
        <f>1</f>
        <v>1</v>
      </c>
      <c r="CY1635" s="7">
        <f>0</f>
        <v>0</v>
      </c>
      <c r="DA1635" s="7">
        <f>0</f>
        <v>0</v>
      </c>
      <c r="DC1635" s="5" t="s">
        <v>812</v>
      </c>
      <c r="DD1635" s="5" t="s">
        <v>240</v>
      </c>
      <c r="DF1635" s="5" t="s">
        <v>812</v>
      </c>
      <c r="DG1635" s="7">
        <f>2346</f>
        <v>2346</v>
      </c>
      <c r="DI1635" s="5" t="s">
        <v>240</v>
      </c>
      <c r="DJ1635" s="5" t="s">
        <v>240</v>
      </c>
      <c r="DK1635" s="5" t="s">
        <v>240</v>
      </c>
      <c r="DL1635" s="5" t="s">
        <v>240</v>
      </c>
      <c r="DP1635" s="5" t="s">
        <v>240</v>
      </c>
      <c r="DQ1635" s="5" t="s">
        <v>240</v>
      </c>
      <c r="DR1635" s="5" t="s">
        <v>240</v>
      </c>
      <c r="DS1635" s="5" t="s">
        <v>240</v>
      </c>
      <c r="DV1635" s="5" t="s">
        <v>813</v>
      </c>
      <c r="DW1635" s="5" t="s">
        <v>3401</v>
      </c>
      <c r="HO1635" s="5" t="s">
        <v>312</v>
      </c>
    </row>
    <row r="1636" spans="1:223" x14ac:dyDescent="0.4">
      <c r="A1636" s="5">
        <v>3311</v>
      </c>
      <c r="B1636" s="5">
        <v>1</v>
      </c>
      <c r="C1636" s="5">
        <v>1</v>
      </c>
      <c r="D1636" s="5" t="s">
        <v>297</v>
      </c>
      <c r="E1636" s="5" t="s">
        <v>245</v>
      </c>
      <c r="F1636" s="5" t="s">
        <v>254</v>
      </c>
      <c r="G1636" s="5" t="s">
        <v>240</v>
      </c>
      <c r="H1636" s="6" t="s">
        <v>4527</v>
      </c>
      <c r="I1636" s="5" t="s">
        <v>295</v>
      </c>
      <c r="J1636" s="8">
        <f>144</f>
        <v>144</v>
      </c>
      <c r="K1636" s="5" t="s">
        <v>308</v>
      </c>
      <c r="L1636" s="7">
        <f>1</f>
        <v>1</v>
      </c>
      <c r="M1636" s="7">
        <f>1</f>
        <v>1</v>
      </c>
      <c r="N1636" s="5" t="s">
        <v>242</v>
      </c>
      <c r="O1636" s="5">
        <v>1</v>
      </c>
      <c r="P1636" s="5" t="s">
        <v>294</v>
      </c>
      <c r="Q1636" s="5" t="s">
        <v>266</v>
      </c>
      <c r="R1636" s="5" t="s">
        <v>240</v>
      </c>
      <c r="S1636" s="5" t="s">
        <v>240</v>
      </c>
      <c r="T1636" s="5" t="s">
        <v>296</v>
      </c>
      <c r="U1636" s="5" t="s">
        <v>244</v>
      </c>
      <c r="V1636" s="5" t="s">
        <v>240</v>
      </c>
      <c r="Y1636" s="5" t="s">
        <v>240</v>
      </c>
      <c r="Z1636" s="6" t="s">
        <v>298</v>
      </c>
      <c r="AB1636" s="6" t="s">
        <v>240</v>
      </c>
      <c r="AE1636" s="6" t="s">
        <v>299</v>
      </c>
      <c r="AF1636" s="5" t="s">
        <v>248</v>
      </c>
      <c r="AG1636" s="5" t="s">
        <v>249</v>
      </c>
      <c r="AW1636" s="5" t="s">
        <v>251</v>
      </c>
      <c r="AX1636" s="5" t="s">
        <v>240</v>
      </c>
      <c r="AY1636" s="5" t="s">
        <v>253</v>
      </c>
      <c r="AZ1636" s="5" t="s">
        <v>240</v>
      </c>
      <c r="BA1636" s="5" t="s">
        <v>255</v>
      </c>
      <c r="BB1636" s="5" t="s">
        <v>240</v>
      </c>
      <c r="BD1636" s="5" t="s">
        <v>240</v>
      </c>
      <c r="BF1636" s="5" t="s">
        <v>301</v>
      </c>
      <c r="BG1636" s="6" t="s">
        <v>299</v>
      </c>
      <c r="BH1636" s="5" t="s">
        <v>302</v>
      </c>
      <c r="BI1636" s="5" t="s">
        <v>303</v>
      </c>
      <c r="BJ1636" s="5" t="s">
        <v>240</v>
      </c>
      <c r="BK1636" s="8">
        <f>0</f>
        <v>0</v>
      </c>
      <c r="BL1636" s="7">
        <f>0</f>
        <v>0</v>
      </c>
      <c r="BM1636" s="5" t="s">
        <v>258</v>
      </c>
      <c r="BN1636" s="5" t="s">
        <v>259</v>
      </c>
      <c r="CB1636" s="5" t="s">
        <v>240</v>
      </c>
      <c r="CC1636" s="5" t="s">
        <v>240</v>
      </c>
      <c r="CG1636" s="5" t="s">
        <v>304</v>
      </c>
      <c r="CH1636" s="5" t="s">
        <v>305</v>
      </c>
      <c r="CI1636" s="5" t="s">
        <v>240</v>
      </c>
      <c r="CL1636" s="6" t="s">
        <v>261</v>
      </c>
      <c r="CM1636" s="5" t="s">
        <v>240</v>
      </c>
      <c r="CN1636" s="5" t="s">
        <v>263</v>
      </c>
      <c r="CO1636" s="5" t="s">
        <v>240</v>
      </c>
      <c r="CP1636" s="5" t="s">
        <v>240</v>
      </c>
      <c r="CQ1636" s="5">
        <v>0</v>
      </c>
      <c r="CR1636" s="5" t="s">
        <v>306</v>
      </c>
      <c r="CS1636" s="5" t="s">
        <v>307</v>
      </c>
      <c r="CT1636" s="5" t="s">
        <v>307</v>
      </c>
      <c r="CU1636" s="5" t="s">
        <v>260</v>
      </c>
      <c r="CX1636" s="7">
        <f>1</f>
        <v>1</v>
      </c>
      <c r="CY1636" s="7">
        <f>0</f>
        <v>0</v>
      </c>
      <c r="DA1636" s="7">
        <f>0</f>
        <v>0</v>
      </c>
      <c r="DC1636" s="5" t="s">
        <v>812</v>
      </c>
      <c r="DD1636" s="5" t="s">
        <v>240</v>
      </c>
      <c r="DF1636" s="5" t="s">
        <v>812</v>
      </c>
      <c r="DG1636" s="7">
        <f>892</f>
        <v>892</v>
      </c>
      <c r="DI1636" s="5" t="s">
        <v>240</v>
      </c>
      <c r="DJ1636" s="5" t="s">
        <v>240</v>
      </c>
      <c r="DK1636" s="5" t="s">
        <v>240</v>
      </c>
      <c r="DL1636" s="5" t="s">
        <v>240</v>
      </c>
      <c r="DP1636" s="5" t="s">
        <v>240</v>
      </c>
      <c r="DQ1636" s="5" t="s">
        <v>240</v>
      </c>
      <c r="DR1636" s="5" t="s">
        <v>240</v>
      </c>
      <c r="DS1636" s="5" t="s">
        <v>240</v>
      </c>
      <c r="DV1636" s="5" t="s">
        <v>813</v>
      </c>
      <c r="DW1636" s="5" t="s">
        <v>3403</v>
      </c>
      <c r="HO1636" s="5" t="s">
        <v>312</v>
      </c>
    </row>
    <row r="1637" spans="1:223" x14ac:dyDescent="0.4">
      <c r="A1637" s="5">
        <v>3312</v>
      </c>
      <c r="B1637" s="5">
        <v>1</v>
      </c>
      <c r="C1637" s="5">
        <v>1</v>
      </c>
      <c r="D1637" s="5" t="s">
        <v>297</v>
      </c>
      <c r="E1637" s="5" t="s">
        <v>245</v>
      </c>
      <c r="F1637" s="5" t="s">
        <v>254</v>
      </c>
      <c r="G1637" s="5" t="s">
        <v>240</v>
      </c>
      <c r="H1637" s="6" t="s">
        <v>4526</v>
      </c>
      <c r="I1637" s="5" t="s">
        <v>295</v>
      </c>
      <c r="J1637" s="8">
        <f>1146</f>
        <v>1146</v>
      </c>
      <c r="K1637" s="5" t="s">
        <v>308</v>
      </c>
      <c r="L1637" s="7">
        <f>1</f>
        <v>1</v>
      </c>
      <c r="M1637" s="7">
        <f>1</f>
        <v>1</v>
      </c>
      <c r="N1637" s="5" t="s">
        <v>242</v>
      </c>
      <c r="O1637" s="5">
        <v>1</v>
      </c>
      <c r="P1637" s="5" t="s">
        <v>294</v>
      </c>
      <c r="Q1637" s="5" t="s">
        <v>266</v>
      </c>
      <c r="R1637" s="5" t="s">
        <v>240</v>
      </c>
      <c r="S1637" s="5" t="s">
        <v>240</v>
      </c>
      <c r="T1637" s="5" t="s">
        <v>296</v>
      </c>
      <c r="U1637" s="5" t="s">
        <v>244</v>
      </c>
      <c r="V1637" s="5" t="s">
        <v>240</v>
      </c>
      <c r="Y1637" s="5" t="s">
        <v>240</v>
      </c>
      <c r="Z1637" s="6" t="s">
        <v>298</v>
      </c>
      <c r="AB1637" s="6" t="s">
        <v>240</v>
      </c>
      <c r="AE1637" s="6" t="s">
        <v>299</v>
      </c>
      <c r="AF1637" s="5" t="s">
        <v>248</v>
      </c>
      <c r="AG1637" s="5" t="s">
        <v>249</v>
      </c>
      <c r="AW1637" s="5" t="s">
        <v>251</v>
      </c>
      <c r="AX1637" s="5" t="s">
        <v>240</v>
      </c>
      <c r="AY1637" s="5" t="s">
        <v>253</v>
      </c>
      <c r="AZ1637" s="5" t="s">
        <v>240</v>
      </c>
      <c r="BA1637" s="5" t="s">
        <v>255</v>
      </c>
      <c r="BB1637" s="5" t="s">
        <v>240</v>
      </c>
      <c r="BD1637" s="5" t="s">
        <v>240</v>
      </c>
      <c r="BF1637" s="5" t="s">
        <v>301</v>
      </c>
      <c r="BG1637" s="6" t="s">
        <v>299</v>
      </c>
      <c r="BH1637" s="5" t="s">
        <v>302</v>
      </c>
      <c r="BI1637" s="5" t="s">
        <v>303</v>
      </c>
      <c r="BJ1637" s="5" t="s">
        <v>240</v>
      </c>
      <c r="BK1637" s="8">
        <f>0</f>
        <v>0</v>
      </c>
      <c r="BL1637" s="7">
        <f>0</f>
        <v>0</v>
      </c>
      <c r="BM1637" s="5" t="s">
        <v>258</v>
      </c>
      <c r="BN1637" s="5" t="s">
        <v>259</v>
      </c>
      <c r="CB1637" s="5" t="s">
        <v>240</v>
      </c>
      <c r="CC1637" s="5" t="s">
        <v>240</v>
      </c>
      <c r="CG1637" s="5" t="s">
        <v>304</v>
      </c>
      <c r="CH1637" s="5" t="s">
        <v>305</v>
      </c>
      <c r="CI1637" s="5" t="s">
        <v>240</v>
      </c>
      <c r="CL1637" s="6" t="s">
        <v>261</v>
      </c>
      <c r="CM1637" s="5" t="s">
        <v>240</v>
      </c>
      <c r="CN1637" s="5" t="s">
        <v>263</v>
      </c>
      <c r="CO1637" s="5" t="s">
        <v>240</v>
      </c>
      <c r="CP1637" s="5" t="s">
        <v>240</v>
      </c>
      <c r="CQ1637" s="5">
        <v>0</v>
      </c>
      <c r="CR1637" s="5" t="s">
        <v>306</v>
      </c>
      <c r="CS1637" s="5" t="s">
        <v>307</v>
      </c>
      <c r="CT1637" s="5" t="s">
        <v>307</v>
      </c>
      <c r="CU1637" s="5" t="s">
        <v>260</v>
      </c>
      <c r="CX1637" s="7">
        <f>1</f>
        <v>1</v>
      </c>
      <c r="CY1637" s="7">
        <f>0</f>
        <v>0</v>
      </c>
      <c r="DA1637" s="7">
        <f>0</f>
        <v>0</v>
      </c>
      <c r="DC1637" s="5" t="s">
        <v>812</v>
      </c>
      <c r="DD1637" s="5" t="s">
        <v>240</v>
      </c>
      <c r="DF1637" s="5" t="s">
        <v>812</v>
      </c>
      <c r="DG1637" s="7">
        <f>109</f>
        <v>109</v>
      </c>
      <c r="DI1637" s="5" t="s">
        <v>240</v>
      </c>
      <c r="DJ1637" s="5" t="s">
        <v>240</v>
      </c>
      <c r="DK1637" s="5" t="s">
        <v>240</v>
      </c>
      <c r="DL1637" s="5" t="s">
        <v>240</v>
      </c>
      <c r="DP1637" s="5" t="s">
        <v>240</v>
      </c>
      <c r="DQ1637" s="5" t="s">
        <v>240</v>
      </c>
      <c r="DR1637" s="5" t="s">
        <v>240</v>
      </c>
      <c r="DS1637" s="5" t="s">
        <v>240</v>
      </c>
      <c r="DV1637" s="5" t="s">
        <v>813</v>
      </c>
      <c r="DW1637" s="5" t="s">
        <v>3405</v>
      </c>
      <c r="HO1637" s="5" t="s">
        <v>312</v>
      </c>
    </row>
    <row r="1638" spans="1:223" x14ac:dyDescent="0.4">
      <c r="A1638" s="5">
        <v>3313</v>
      </c>
      <c r="B1638" s="5">
        <v>1</v>
      </c>
      <c r="C1638" s="5">
        <v>1</v>
      </c>
      <c r="D1638" s="5" t="s">
        <v>297</v>
      </c>
      <c r="E1638" s="5" t="s">
        <v>245</v>
      </c>
      <c r="F1638" s="5" t="s">
        <v>254</v>
      </c>
      <c r="G1638" s="5" t="s">
        <v>240</v>
      </c>
      <c r="H1638" s="6" t="s">
        <v>5660</v>
      </c>
      <c r="I1638" s="5" t="s">
        <v>295</v>
      </c>
      <c r="J1638" s="8">
        <f>688</f>
        <v>688</v>
      </c>
      <c r="K1638" s="5" t="s">
        <v>308</v>
      </c>
      <c r="L1638" s="7">
        <f>1</f>
        <v>1</v>
      </c>
      <c r="M1638" s="7">
        <f>1</f>
        <v>1</v>
      </c>
      <c r="N1638" s="5" t="s">
        <v>242</v>
      </c>
      <c r="O1638" s="5">
        <v>1</v>
      </c>
      <c r="P1638" s="5" t="s">
        <v>294</v>
      </c>
      <c r="Q1638" s="5" t="s">
        <v>266</v>
      </c>
      <c r="R1638" s="5" t="s">
        <v>240</v>
      </c>
      <c r="S1638" s="5" t="s">
        <v>240</v>
      </c>
      <c r="T1638" s="5" t="s">
        <v>296</v>
      </c>
      <c r="U1638" s="5" t="s">
        <v>244</v>
      </c>
      <c r="V1638" s="5" t="s">
        <v>240</v>
      </c>
      <c r="Y1638" s="5" t="s">
        <v>240</v>
      </c>
      <c r="Z1638" s="6" t="s">
        <v>298</v>
      </c>
      <c r="AB1638" s="6" t="s">
        <v>240</v>
      </c>
      <c r="AE1638" s="6" t="s">
        <v>299</v>
      </c>
      <c r="AF1638" s="5" t="s">
        <v>248</v>
      </c>
      <c r="AG1638" s="5" t="s">
        <v>249</v>
      </c>
      <c r="AW1638" s="5" t="s">
        <v>251</v>
      </c>
      <c r="AX1638" s="5" t="s">
        <v>240</v>
      </c>
      <c r="AY1638" s="5" t="s">
        <v>253</v>
      </c>
      <c r="AZ1638" s="5" t="s">
        <v>240</v>
      </c>
      <c r="BA1638" s="5" t="s">
        <v>255</v>
      </c>
      <c r="BB1638" s="5" t="s">
        <v>240</v>
      </c>
      <c r="BD1638" s="5" t="s">
        <v>240</v>
      </c>
      <c r="BF1638" s="5" t="s">
        <v>301</v>
      </c>
      <c r="BG1638" s="6" t="s">
        <v>299</v>
      </c>
      <c r="BH1638" s="5" t="s">
        <v>302</v>
      </c>
      <c r="BI1638" s="5" t="s">
        <v>303</v>
      </c>
      <c r="BJ1638" s="5" t="s">
        <v>240</v>
      </c>
      <c r="BK1638" s="8">
        <f>0</f>
        <v>0</v>
      </c>
      <c r="BL1638" s="7">
        <f>0</f>
        <v>0</v>
      </c>
      <c r="BM1638" s="5" t="s">
        <v>258</v>
      </c>
      <c r="BN1638" s="5" t="s">
        <v>259</v>
      </c>
      <c r="CB1638" s="5" t="s">
        <v>240</v>
      </c>
      <c r="CC1638" s="5" t="s">
        <v>240</v>
      </c>
      <c r="CG1638" s="5" t="s">
        <v>304</v>
      </c>
      <c r="CH1638" s="5" t="s">
        <v>305</v>
      </c>
      <c r="CI1638" s="5" t="s">
        <v>240</v>
      </c>
      <c r="CL1638" s="6" t="s">
        <v>261</v>
      </c>
      <c r="CM1638" s="5" t="s">
        <v>240</v>
      </c>
      <c r="CN1638" s="5" t="s">
        <v>263</v>
      </c>
      <c r="CO1638" s="5" t="s">
        <v>240</v>
      </c>
      <c r="CP1638" s="5" t="s">
        <v>240</v>
      </c>
      <c r="CQ1638" s="5">
        <v>0</v>
      </c>
      <c r="CR1638" s="5" t="s">
        <v>306</v>
      </c>
      <c r="CS1638" s="5" t="s">
        <v>307</v>
      </c>
      <c r="CT1638" s="5" t="s">
        <v>307</v>
      </c>
      <c r="CU1638" s="5" t="s">
        <v>260</v>
      </c>
      <c r="CX1638" s="7">
        <f>1</f>
        <v>1</v>
      </c>
      <c r="CY1638" s="7">
        <f>0</f>
        <v>0</v>
      </c>
      <c r="DA1638" s="7">
        <f>0</f>
        <v>0</v>
      </c>
      <c r="DC1638" s="5" t="s">
        <v>812</v>
      </c>
      <c r="DD1638" s="5" t="s">
        <v>240</v>
      </c>
      <c r="DF1638" s="5" t="s">
        <v>812</v>
      </c>
      <c r="DG1638" s="7">
        <f>500</f>
        <v>500</v>
      </c>
      <c r="DI1638" s="5" t="s">
        <v>240</v>
      </c>
      <c r="DJ1638" s="5" t="s">
        <v>240</v>
      </c>
      <c r="DK1638" s="5" t="s">
        <v>240</v>
      </c>
      <c r="DL1638" s="5" t="s">
        <v>240</v>
      </c>
      <c r="DP1638" s="5" t="s">
        <v>240</v>
      </c>
      <c r="DQ1638" s="5" t="s">
        <v>240</v>
      </c>
      <c r="DR1638" s="5" t="s">
        <v>240</v>
      </c>
      <c r="DS1638" s="5" t="s">
        <v>240</v>
      </c>
      <c r="DV1638" s="5" t="s">
        <v>813</v>
      </c>
      <c r="DW1638" s="5" t="s">
        <v>3407</v>
      </c>
      <c r="HO1638" s="5" t="s">
        <v>312</v>
      </c>
    </row>
    <row r="1639" spans="1:223" x14ac:dyDescent="0.4">
      <c r="A1639" s="5">
        <v>3314</v>
      </c>
      <c r="B1639" s="5">
        <v>1</v>
      </c>
      <c r="C1639" s="5">
        <v>1</v>
      </c>
      <c r="D1639" s="5" t="s">
        <v>297</v>
      </c>
      <c r="E1639" s="5" t="s">
        <v>245</v>
      </c>
      <c r="F1639" s="5" t="s">
        <v>254</v>
      </c>
      <c r="G1639" s="5" t="s">
        <v>240</v>
      </c>
      <c r="H1639" s="6" t="s">
        <v>4524</v>
      </c>
      <c r="I1639" s="5" t="s">
        <v>295</v>
      </c>
      <c r="J1639" s="8">
        <f>52</f>
        <v>52</v>
      </c>
      <c r="K1639" s="5" t="s">
        <v>308</v>
      </c>
      <c r="L1639" s="7">
        <f>1</f>
        <v>1</v>
      </c>
      <c r="M1639" s="7">
        <f>1</f>
        <v>1</v>
      </c>
      <c r="N1639" s="5" t="s">
        <v>242</v>
      </c>
      <c r="O1639" s="5">
        <v>1</v>
      </c>
      <c r="P1639" s="5" t="s">
        <v>294</v>
      </c>
      <c r="Q1639" s="5" t="s">
        <v>266</v>
      </c>
      <c r="R1639" s="5" t="s">
        <v>240</v>
      </c>
      <c r="S1639" s="5" t="s">
        <v>240</v>
      </c>
      <c r="T1639" s="5" t="s">
        <v>296</v>
      </c>
      <c r="U1639" s="5" t="s">
        <v>244</v>
      </c>
      <c r="V1639" s="5" t="s">
        <v>240</v>
      </c>
      <c r="Y1639" s="5" t="s">
        <v>240</v>
      </c>
      <c r="Z1639" s="6" t="s">
        <v>298</v>
      </c>
      <c r="AB1639" s="6" t="s">
        <v>240</v>
      </c>
      <c r="AE1639" s="6" t="s">
        <v>299</v>
      </c>
      <c r="AF1639" s="5" t="s">
        <v>248</v>
      </c>
      <c r="AG1639" s="5" t="s">
        <v>249</v>
      </c>
      <c r="AW1639" s="5" t="s">
        <v>251</v>
      </c>
      <c r="AX1639" s="5" t="s">
        <v>240</v>
      </c>
      <c r="AY1639" s="5" t="s">
        <v>253</v>
      </c>
      <c r="AZ1639" s="5" t="s">
        <v>240</v>
      </c>
      <c r="BA1639" s="5" t="s">
        <v>255</v>
      </c>
      <c r="BB1639" s="5" t="s">
        <v>240</v>
      </c>
      <c r="BD1639" s="5" t="s">
        <v>240</v>
      </c>
      <c r="BF1639" s="5" t="s">
        <v>301</v>
      </c>
      <c r="BG1639" s="6" t="s">
        <v>299</v>
      </c>
      <c r="BH1639" s="5" t="s">
        <v>302</v>
      </c>
      <c r="BI1639" s="5" t="s">
        <v>303</v>
      </c>
      <c r="BJ1639" s="5" t="s">
        <v>240</v>
      </c>
      <c r="BK1639" s="8">
        <f>0</f>
        <v>0</v>
      </c>
      <c r="BL1639" s="7">
        <f>0</f>
        <v>0</v>
      </c>
      <c r="BM1639" s="5" t="s">
        <v>258</v>
      </c>
      <c r="BN1639" s="5" t="s">
        <v>259</v>
      </c>
      <c r="CB1639" s="5" t="s">
        <v>240</v>
      </c>
      <c r="CC1639" s="5" t="s">
        <v>240</v>
      </c>
      <c r="CG1639" s="5" t="s">
        <v>304</v>
      </c>
      <c r="CH1639" s="5" t="s">
        <v>305</v>
      </c>
      <c r="CI1639" s="5" t="s">
        <v>240</v>
      </c>
      <c r="CL1639" s="6" t="s">
        <v>261</v>
      </c>
      <c r="CM1639" s="5" t="s">
        <v>240</v>
      </c>
      <c r="CN1639" s="5" t="s">
        <v>263</v>
      </c>
      <c r="CO1639" s="5" t="s">
        <v>240</v>
      </c>
      <c r="CP1639" s="5" t="s">
        <v>240</v>
      </c>
      <c r="CQ1639" s="5">
        <v>0</v>
      </c>
      <c r="CR1639" s="5" t="s">
        <v>306</v>
      </c>
      <c r="CS1639" s="5" t="s">
        <v>307</v>
      </c>
      <c r="CT1639" s="5" t="s">
        <v>307</v>
      </c>
      <c r="CU1639" s="5" t="s">
        <v>260</v>
      </c>
      <c r="CX1639" s="7">
        <f>1</f>
        <v>1</v>
      </c>
      <c r="CY1639" s="7">
        <f>0</f>
        <v>0</v>
      </c>
      <c r="DA1639" s="7">
        <f>0</f>
        <v>0</v>
      </c>
      <c r="DC1639" s="5" t="s">
        <v>812</v>
      </c>
      <c r="DD1639" s="5" t="s">
        <v>240</v>
      </c>
      <c r="DF1639" s="5" t="s">
        <v>812</v>
      </c>
      <c r="DG1639" s="7">
        <f>1299</f>
        <v>1299</v>
      </c>
      <c r="DI1639" s="5" t="s">
        <v>240</v>
      </c>
      <c r="DJ1639" s="5" t="s">
        <v>240</v>
      </c>
      <c r="DK1639" s="5" t="s">
        <v>240</v>
      </c>
      <c r="DL1639" s="5" t="s">
        <v>240</v>
      </c>
      <c r="DP1639" s="5" t="s">
        <v>240</v>
      </c>
      <c r="DQ1639" s="5" t="s">
        <v>240</v>
      </c>
      <c r="DR1639" s="5" t="s">
        <v>240</v>
      </c>
      <c r="DS1639" s="5" t="s">
        <v>240</v>
      </c>
      <c r="DV1639" s="5" t="s">
        <v>813</v>
      </c>
      <c r="DW1639" s="5" t="s">
        <v>3409</v>
      </c>
      <c r="HO1639" s="5" t="s">
        <v>312</v>
      </c>
    </row>
    <row r="1640" spans="1:223" x14ac:dyDescent="0.4">
      <c r="A1640" s="5">
        <v>3315</v>
      </c>
      <c r="B1640" s="5">
        <v>1</v>
      </c>
      <c r="C1640" s="5">
        <v>1</v>
      </c>
      <c r="D1640" s="5" t="s">
        <v>297</v>
      </c>
      <c r="E1640" s="5" t="s">
        <v>245</v>
      </c>
      <c r="F1640" s="5" t="s">
        <v>254</v>
      </c>
      <c r="G1640" s="5" t="s">
        <v>240</v>
      </c>
      <c r="H1640" s="6" t="s">
        <v>4523</v>
      </c>
      <c r="I1640" s="5" t="s">
        <v>295</v>
      </c>
      <c r="J1640" s="8">
        <f>20</f>
        <v>20</v>
      </c>
      <c r="K1640" s="5" t="s">
        <v>308</v>
      </c>
      <c r="L1640" s="7">
        <f>1</f>
        <v>1</v>
      </c>
      <c r="M1640" s="7">
        <f>1</f>
        <v>1</v>
      </c>
      <c r="N1640" s="5" t="s">
        <v>242</v>
      </c>
      <c r="O1640" s="5">
        <v>1</v>
      </c>
      <c r="P1640" s="5" t="s">
        <v>294</v>
      </c>
      <c r="Q1640" s="5" t="s">
        <v>266</v>
      </c>
      <c r="R1640" s="5" t="s">
        <v>240</v>
      </c>
      <c r="S1640" s="5" t="s">
        <v>240</v>
      </c>
      <c r="T1640" s="5" t="s">
        <v>296</v>
      </c>
      <c r="U1640" s="5" t="s">
        <v>244</v>
      </c>
      <c r="V1640" s="5" t="s">
        <v>240</v>
      </c>
      <c r="Y1640" s="5" t="s">
        <v>240</v>
      </c>
      <c r="Z1640" s="6" t="s">
        <v>298</v>
      </c>
      <c r="AB1640" s="6" t="s">
        <v>240</v>
      </c>
      <c r="AE1640" s="6" t="s">
        <v>299</v>
      </c>
      <c r="AF1640" s="5" t="s">
        <v>248</v>
      </c>
      <c r="AG1640" s="5" t="s">
        <v>249</v>
      </c>
      <c r="AW1640" s="5" t="s">
        <v>251</v>
      </c>
      <c r="AX1640" s="5" t="s">
        <v>240</v>
      </c>
      <c r="AY1640" s="5" t="s">
        <v>253</v>
      </c>
      <c r="AZ1640" s="5" t="s">
        <v>240</v>
      </c>
      <c r="BA1640" s="5" t="s">
        <v>255</v>
      </c>
      <c r="BB1640" s="5" t="s">
        <v>240</v>
      </c>
      <c r="BD1640" s="5" t="s">
        <v>240</v>
      </c>
      <c r="BF1640" s="5" t="s">
        <v>301</v>
      </c>
      <c r="BG1640" s="6" t="s">
        <v>299</v>
      </c>
      <c r="BH1640" s="5" t="s">
        <v>302</v>
      </c>
      <c r="BI1640" s="5" t="s">
        <v>303</v>
      </c>
      <c r="BJ1640" s="5" t="s">
        <v>240</v>
      </c>
      <c r="BK1640" s="8">
        <f>0</f>
        <v>0</v>
      </c>
      <c r="BL1640" s="7">
        <f>0</f>
        <v>0</v>
      </c>
      <c r="BM1640" s="5" t="s">
        <v>258</v>
      </c>
      <c r="BN1640" s="5" t="s">
        <v>259</v>
      </c>
      <c r="CB1640" s="5" t="s">
        <v>240</v>
      </c>
      <c r="CC1640" s="5" t="s">
        <v>240</v>
      </c>
      <c r="CG1640" s="5" t="s">
        <v>304</v>
      </c>
      <c r="CH1640" s="5" t="s">
        <v>305</v>
      </c>
      <c r="CI1640" s="5" t="s">
        <v>240</v>
      </c>
      <c r="CL1640" s="6" t="s">
        <v>261</v>
      </c>
      <c r="CM1640" s="5" t="s">
        <v>240</v>
      </c>
      <c r="CN1640" s="5" t="s">
        <v>263</v>
      </c>
      <c r="CO1640" s="5" t="s">
        <v>240</v>
      </c>
      <c r="CP1640" s="5" t="s">
        <v>240</v>
      </c>
      <c r="CQ1640" s="5">
        <v>0</v>
      </c>
      <c r="CR1640" s="5" t="s">
        <v>306</v>
      </c>
      <c r="CS1640" s="5" t="s">
        <v>307</v>
      </c>
      <c r="CT1640" s="5" t="s">
        <v>307</v>
      </c>
      <c r="CU1640" s="5" t="s">
        <v>260</v>
      </c>
      <c r="CX1640" s="7">
        <f>1</f>
        <v>1</v>
      </c>
      <c r="CY1640" s="7">
        <f>0</f>
        <v>0</v>
      </c>
      <c r="DA1640" s="7">
        <f>0</f>
        <v>0</v>
      </c>
      <c r="DC1640" s="5" t="s">
        <v>812</v>
      </c>
      <c r="DD1640" s="5" t="s">
        <v>240</v>
      </c>
      <c r="DF1640" s="5" t="s">
        <v>812</v>
      </c>
      <c r="DG1640" s="7">
        <f>1126</f>
        <v>1126</v>
      </c>
      <c r="DI1640" s="5" t="s">
        <v>240</v>
      </c>
      <c r="DJ1640" s="5" t="s">
        <v>240</v>
      </c>
      <c r="DK1640" s="5" t="s">
        <v>240</v>
      </c>
      <c r="DL1640" s="5" t="s">
        <v>240</v>
      </c>
      <c r="DP1640" s="5" t="s">
        <v>240</v>
      </c>
      <c r="DQ1640" s="5" t="s">
        <v>240</v>
      </c>
      <c r="DR1640" s="5" t="s">
        <v>240</v>
      </c>
      <c r="DS1640" s="5" t="s">
        <v>240</v>
      </c>
      <c r="DV1640" s="5" t="s">
        <v>813</v>
      </c>
      <c r="DW1640" s="5" t="s">
        <v>3411</v>
      </c>
      <c r="HO1640" s="5" t="s">
        <v>312</v>
      </c>
    </row>
    <row r="1641" spans="1:223" x14ac:dyDescent="0.4">
      <c r="A1641" s="5">
        <v>3316</v>
      </c>
      <c r="B1641" s="5">
        <v>1</v>
      </c>
      <c r="C1641" s="5">
        <v>1</v>
      </c>
      <c r="D1641" s="5" t="s">
        <v>297</v>
      </c>
      <c r="E1641" s="5" t="s">
        <v>245</v>
      </c>
      <c r="F1641" s="5" t="s">
        <v>254</v>
      </c>
      <c r="G1641" s="5" t="s">
        <v>240</v>
      </c>
      <c r="H1641" s="6" t="s">
        <v>4522</v>
      </c>
      <c r="I1641" s="5" t="s">
        <v>295</v>
      </c>
      <c r="J1641" s="8">
        <f>108</f>
        <v>108</v>
      </c>
      <c r="K1641" s="5" t="s">
        <v>308</v>
      </c>
      <c r="L1641" s="7">
        <f>1</f>
        <v>1</v>
      </c>
      <c r="M1641" s="7">
        <f>1</f>
        <v>1</v>
      </c>
      <c r="N1641" s="5" t="s">
        <v>242</v>
      </c>
      <c r="O1641" s="5">
        <v>1</v>
      </c>
      <c r="P1641" s="5" t="s">
        <v>294</v>
      </c>
      <c r="Q1641" s="5" t="s">
        <v>266</v>
      </c>
      <c r="R1641" s="5" t="s">
        <v>240</v>
      </c>
      <c r="S1641" s="5" t="s">
        <v>240</v>
      </c>
      <c r="T1641" s="5" t="s">
        <v>296</v>
      </c>
      <c r="U1641" s="5" t="s">
        <v>244</v>
      </c>
      <c r="V1641" s="5" t="s">
        <v>240</v>
      </c>
      <c r="Y1641" s="5" t="s">
        <v>240</v>
      </c>
      <c r="Z1641" s="6" t="s">
        <v>298</v>
      </c>
      <c r="AB1641" s="6" t="s">
        <v>240</v>
      </c>
      <c r="AE1641" s="6" t="s">
        <v>299</v>
      </c>
      <c r="AF1641" s="5" t="s">
        <v>248</v>
      </c>
      <c r="AG1641" s="5" t="s">
        <v>249</v>
      </c>
      <c r="AW1641" s="5" t="s">
        <v>251</v>
      </c>
      <c r="AX1641" s="5" t="s">
        <v>240</v>
      </c>
      <c r="AY1641" s="5" t="s">
        <v>253</v>
      </c>
      <c r="AZ1641" s="5" t="s">
        <v>240</v>
      </c>
      <c r="BA1641" s="5" t="s">
        <v>255</v>
      </c>
      <c r="BB1641" s="5" t="s">
        <v>240</v>
      </c>
      <c r="BD1641" s="5" t="s">
        <v>240</v>
      </c>
      <c r="BF1641" s="5" t="s">
        <v>301</v>
      </c>
      <c r="BG1641" s="6" t="s">
        <v>299</v>
      </c>
      <c r="BH1641" s="5" t="s">
        <v>302</v>
      </c>
      <c r="BI1641" s="5" t="s">
        <v>303</v>
      </c>
      <c r="BJ1641" s="5" t="s">
        <v>240</v>
      </c>
      <c r="BK1641" s="8">
        <f>0</f>
        <v>0</v>
      </c>
      <c r="BL1641" s="7">
        <f>0</f>
        <v>0</v>
      </c>
      <c r="BM1641" s="5" t="s">
        <v>258</v>
      </c>
      <c r="BN1641" s="5" t="s">
        <v>259</v>
      </c>
      <c r="CB1641" s="5" t="s">
        <v>240</v>
      </c>
      <c r="CC1641" s="5" t="s">
        <v>240</v>
      </c>
      <c r="CG1641" s="5" t="s">
        <v>304</v>
      </c>
      <c r="CH1641" s="5" t="s">
        <v>305</v>
      </c>
      <c r="CI1641" s="5" t="s">
        <v>240</v>
      </c>
      <c r="CL1641" s="6" t="s">
        <v>261</v>
      </c>
      <c r="CM1641" s="5" t="s">
        <v>240</v>
      </c>
      <c r="CN1641" s="5" t="s">
        <v>263</v>
      </c>
      <c r="CO1641" s="5" t="s">
        <v>240</v>
      </c>
      <c r="CP1641" s="5" t="s">
        <v>240</v>
      </c>
      <c r="CQ1641" s="5">
        <v>0</v>
      </c>
      <c r="CR1641" s="5" t="s">
        <v>306</v>
      </c>
      <c r="CS1641" s="5" t="s">
        <v>307</v>
      </c>
      <c r="CT1641" s="5" t="s">
        <v>307</v>
      </c>
      <c r="CU1641" s="5" t="s">
        <v>260</v>
      </c>
      <c r="CX1641" s="7">
        <f>1</f>
        <v>1</v>
      </c>
      <c r="CY1641" s="7">
        <f>0</f>
        <v>0</v>
      </c>
      <c r="DA1641" s="7">
        <f>0</f>
        <v>0</v>
      </c>
      <c r="DC1641" s="5" t="s">
        <v>812</v>
      </c>
      <c r="DD1641" s="5" t="s">
        <v>240</v>
      </c>
      <c r="DF1641" s="5" t="s">
        <v>812</v>
      </c>
      <c r="DG1641" s="7">
        <f>84</f>
        <v>84</v>
      </c>
      <c r="DI1641" s="5" t="s">
        <v>240</v>
      </c>
      <c r="DJ1641" s="5" t="s">
        <v>240</v>
      </c>
      <c r="DK1641" s="5" t="s">
        <v>240</v>
      </c>
      <c r="DL1641" s="5" t="s">
        <v>240</v>
      </c>
      <c r="DP1641" s="5" t="s">
        <v>240</v>
      </c>
      <c r="DQ1641" s="5" t="s">
        <v>240</v>
      </c>
      <c r="DR1641" s="5" t="s">
        <v>240</v>
      </c>
      <c r="DS1641" s="5" t="s">
        <v>240</v>
      </c>
      <c r="DV1641" s="5" t="s">
        <v>813</v>
      </c>
      <c r="DW1641" s="5" t="s">
        <v>3413</v>
      </c>
      <c r="HO1641" s="5" t="s">
        <v>312</v>
      </c>
    </row>
    <row r="1642" spans="1:223" x14ac:dyDescent="0.4">
      <c r="A1642" s="5">
        <v>3317</v>
      </c>
      <c r="B1642" s="5">
        <v>1</v>
      </c>
      <c r="C1642" s="5">
        <v>1</v>
      </c>
      <c r="D1642" s="5" t="s">
        <v>297</v>
      </c>
      <c r="E1642" s="5" t="s">
        <v>245</v>
      </c>
      <c r="F1642" s="5" t="s">
        <v>254</v>
      </c>
      <c r="G1642" s="5" t="s">
        <v>240</v>
      </c>
      <c r="H1642" s="6" t="s">
        <v>5656</v>
      </c>
      <c r="I1642" s="5" t="s">
        <v>295</v>
      </c>
      <c r="J1642" s="8">
        <f>1102</f>
        <v>1102</v>
      </c>
      <c r="K1642" s="5" t="s">
        <v>308</v>
      </c>
      <c r="L1642" s="7">
        <f>1</f>
        <v>1</v>
      </c>
      <c r="M1642" s="7">
        <f>1</f>
        <v>1</v>
      </c>
      <c r="N1642" s="5" t="s">
        <v>242</v>
      </c>
      <c r="O1642" s="5">
        <v>1</v>
      </c>
      <c r="P1642" s="5" t="s">
        <v>294</v>
      </c>
      <c r="Q1642" s="5" t="s">
        <v>266</v>
      </c>
      <c r="R1642" s="5" t="s">
        <v>240</v>
      </c>
      <c r="S1642" s="5" t="s">
        <v>240</v>
      </c>
      <c r="T1642" s="5" t="s">
        <v>296</v>
      </c>
      <c r="U1642" s="5" t="s">
        <v>244</v>
      </c>
      <c r="V1642" s="5" t="s">
        <v>240</v>
      </c>
      <c r="Y1642" s="5" t="s">
        <v>240</v>
      </c>
      <c r="Z1642" s="6" t="s">
        <v>298</v>
      </c>
      <c r="AB1642" s="6" t="s">
        <v>240</v>
      </c>
      <c r="AE1642" s="6" t="s">
        <v>299</v>
      </c>
      <c r="AF1642" s="5" t="s">
        <v>248</v>
      </c>
      <c r="AG1642" s="5" t="s">
        <v>249</v>
      </c>
      <c r="AW1642" s="5" t="s">
        <v>251</v>
      </c>
      <c r="AX1642" s="5" t="s">
        <v>240</v>
      </c>
      <c r="AY1642" s="5" t="s">
        <v>253</v>
      </c>
      <c r="AZ1642" s="5" t="s">
        <v>240</v>
      </c>
      <c r="BA1642" s="5" t="s">
        <v>255</v>
      </c>
      <c r="BB1642" s="5" t="s">
        <v>240</v>
      </c>
      <c r="BD1642" s="5" t="s">
        <v>240</v>
      </c>
      <c r="BF1642" s="5" t="s">
        <v>301</v>
      </c>
      <c r="BG1642" s="6" t="s">
        <v>299</v>
      </c>
      <c r="BH1642" s="5" t="s">
        <v>302</v>
      </c>
      <c r="BI1642" s="5" t="s">
        <v>303</v>
      </c>
      <c r="BJ1642" s="5" t="s">
        <v>240</v>
      </c>
      <c r="BK1642" s="8">
        <f>0</f>
        <v>0</v>
      </c>
      <c r="BL1642" s="7">
        <f>0</f>
        <v>0</v>
      </c>
      <c r="BM1642" s="5" t="s">
        <v>258</v>
      </c>
      <c r="BN1642" s="5" t="s">
        <v>259</v>
      </c>
      <c r="CB1642" s="5" t="s">
        <v>240</v>
      </c>
      <c r="CC1642" s="5" t="s">
        <v>240</v>
      </c>
      <c r="CG1642" s="5" t="s">
        <v>304</v>
      </c>
      <c r="CH1642" s="5" t="s">
        <v>305</v>
      </c>
      <c r="CI1642" s="5" t="s">
        <v>240</v>
      </c>
      <c r="CL1642" s="6" t="s">
        <v>261</v>
      </c>
      <c r="CM1642" s="5" t="s">
        <v>240</v>
      </c>
      <c r="CN1642" s="5" t="s">
        <v>263</v>
      </c>
      <c r="CO1642" s="5" t="s">
        <v>240</v>
      </c>
      <c r="CP1642" s="5" t="s">
        <v>240</v>
      </c>
      <c r="CQ1642" s="5">
        <v>0</v>
      </c>
      <c r="CR1642" s="5" t="s">
        <v>306</v>
      </c>
      <c r="CS1642" s="5" t="s">
        <v>307</v>
      </c>
      <c r="CT1642" s="5" t="s">
        <v>307</v>
      </c>
      <c r="CU1642" s="5" t="s">
        <v>260</v>
      </c>
      <c r="CX1642" s="7">
        <f>1</f>
        <v>1</v>
      </c>
      <c r="CY1642" s="7">
        <f>0</f>
        <v>0</v>
      </c>
      <c r="DA1642" s="7">
        <f>0</f>
        <v>0</v>
      </c>
      <c r="DC1642" s="5" t="s">
        <v>812</v>
      </c>
      <c r="DD1642" s="5" t="s">
        <v>240</v>
      </c>
      <c r="DF1642" s="5" t="s">
        <v>812</v>
      </c>
      <c r="DG1642" s="7">
        <f>327</f>
        <v>327</v>
      </c>
      <c r="DI1642" s="5" t="s">
        <v>240</v>
      </c>
      <c r="DJ1642" s="5" t="s">
        <v>240</v>
      </c>
      <c r="DK1642" s="5" t="s">
        <v>240</v>
      </c>
      <c r="DL1642" s="5" t="s">
        <v>240</v>
      </c>
      <c r="DP1642" s="5" t="s">
        <v>240</v>
      </c>
      <c r="DQ1642" s="5" t="s">
        <v>240</v>
      </c>
      <c r="DR1642" s="5" t="s">
        <v>240</v>
      </c>
      <c r="DS1642" s="5" t="s">
        <v>240</v>
      </c>
      <c r="DV1642" s="5" t="s">
        <v>813</v>
      </c>
      <c r="DW1642" s="5" t="s">
        <v>3415</v>
      </c>
      <c r="HO1642" s="5" t="s">
        <v>312</v>
      </c>
    </row>
    <row r="1643" spans="1:223" x14ac:dyDescent="0.4">
      <c r="A1643" s="5">
        <v>3318</v>
      </c>
      <c r="B1643" s="5">
        <v>1</v>
      </c>
      <c r="C1643" s="5">
        <v>1</v>
      </c>
      <c r="D1643" s="5" t="s">
        <v>297</v>
      </c>
      <c r="E1643" s="5" t="s">
        <v>245</v>
      </c>
      <c r="F1643" s="5" t="s">
        <v>254</v>
      </c>
      <c r="G1643" s="5" t="s">
        <v>240</v>
      </c>
      <c r="H1643" s="6" t="s">
        <v>4520</v>
      </c>
      <c r="I1643" s="5" t="s">
        <v>295</v>
      </c>
      <c r="J1643" s="8">
        <f>62</f>
        <v>62</v>
      </c>
      <c r="K1643" s="5" t="s">
        <v>308</v>
      </c>
      <c r="L1643" s="7">
        <f>1</f>
        <v>1</v>
      </c>
      <c r="M1643" s="7">
        <f>1</f>
        <v>1</v>
      </c>
      <c r="N1643" s="5" t="s">
        <v>242</v>
      </c>
      <c r="O1643" s="5">
        <v>1</v>
      </c>
      <c r="P1643" s="5" t="s">
        <v>294</v>
      </c>
      <c r="Q1643" s="5" t="s">
        <v>266</v>
      </c>
      <c r="R1643" s="5" t="s">
        <v>240</v>
      </c>
      <c r="S1643" s="5" t="s">
        <v>240</v>
      </c>
      <c r="T1643" s="5" t="s">
        <v>296</v>
      </c>
      <c r="U1643" s="5" t="s">
        <v>244</v>
      </c>
      <c r="V1643" s="5" t="s">
        <v>240</v>
      </c>
      <c r="Y1643" s="5" t="s">
        <v>240</v>
      </c>
      <c r="Z1643" s="6" t="s">
        <v>298</v>
      </c>
      <c r="AB1643" s="6" t="s">
        <v>240</v>
      </c>
      <c r="AE1643" s="6" t="s">
        <v>299</v>
      </c>
      <c r="AF1643" s="5" t="s">
        <v>248</v>
      </c>
      <c r="AG1643" s="5" t="s">
        <v>249</v>
      </c>
      <c r="AW1643" s="5" t="s">
        <v>251</v>
      </c>
      <c r="AX1643" s="5" t="s">
        <v>240</v>
      </c>
      <c r="AY1643" s="5" t="s">
        <v>253</v>
      </c>
      <c r="AZ1643" s="5" t="s">
        <v>240</v>
      </c>
      <c r="BA1643" s="5" t="s">
        <v>255</v>
      </c>
      <c r="BB1643" s="5" t="s">
        <v>240</v>
      </c>
      <c r="BD1643" s="5" t="s">
        <v>240</v>
      </c>
      <c r="BF1643" s="5" t="s">
        <v>301</v>
      </c>
      <c r="BG1643" s="6" t="s">
        <v>299</v>
      </c>
      <c r="BH1643" s="5" t="s">
        <v>302</v>
      </c>
      <c r="BI1643" s="5" t="s">
        <v>303</v>
      </c>
      <c r="BJ1643" s="5" t="s">
        <v>240</v>
      </c>
      <c r="BK1643" s="8">
        <f>0</f>
        <v>0</v>
      </c>
      <c r="BL1643" s="7">
        <f>0</f>
        <v>0</v>
      </c>
      <c r="BM1643" s="5" t="s">
        <v>258</v>
      </c>
      <c r="BN1643" s="5" t="s">
        <v>259</v>
      </c>
      <c r="CB1643" s="5" t="s">
        <v>240</v>
      </c>
      <c r="CC1643" s="5" t="s">
        <v>240</v>
      </c>
      <c r="CG1643" s="5" t="s">
        <v>304</v>
      </c>
      <c r="CH1643" s="5" t="s">
        <v>305</v>
      </c>
      <c r="CI1643" s="5" t="s">
        <v>240</v>
      </c>
      <c r="CL1643" s="6" t="s">
        <v>261</v>
      </c>
      <c r="CM1643" s="5" t="s">
        <v>240</v>
      </c>
      <c r="CN1643" s="5" t="s">
        <v>263</v>
      </c>
      <c r="CO1643" s="5" t="s">
        <v>240</v>
      </c>
      <c r="CP1643" s="5" t="s">
        <v>240</v>
      </c>
      <c r="CQ1643" s="5">
        <v>0</v>
      </c>
      <c r="CR1643" s="5" t="s">
        <v>306</v>
      </c>
      <c r="CS1643" s="5" t="s">
        <v>307</v>
      </c>
      <c r="CT1643" s="5" t="s">
        <v>307</v>
      </c>
      <c r="CU1643" s="5" t="s">
        <v>260</v>
      </c>
      <c r="CX1643" s="7">
        <f>1</f>
        <v>1</v>
      </c>
      <c r="CY1643" s="7">
        <f>0</f>
        <v>0</v>
      </c>
      <c r="DA1643" s="7">
        <f>0</f>
        <v>0</v>
      </c>
      <c r="DC1643" s="5" t="s">
        <v>812</v>
      </c>
      <c r="DD1643" s="5" t="s">
        <v>240</v>
      </c>
      <c r="DF1643" s="5" t="s">
        <v>812</v>
      </c>
      <c r="DG1643" s="7">
        <f>235</f>
        <v>235</v>
      </c>
      <c r="DI1643" s="5" t="s">
        <v>240</v>
      </c>
      <c r="DJ1643" s="5" t="s">
        <v>240</v>
      </c>
      <c r="DK1643" s="5" t="s">
        <v>240</v>
      </c>
      <c r="DL1643" s="5" t="s">
        <v>240</v>
      </c>
      <c r="DP1643" s="5" t="s">
        <v>240</v>
      </c>
      <c r="DQ1643" s="5" t="s">
        <v>240</v>
      </c>
      <c r="DR1643" s="5" t="s">
        <v>240</v>
      </c>
      <c r="DS1643" s="5" t="s">
        <v>240</v>
      </c>
      <c r="DV1643" s="5" t="s">
        <v>813</v>
      </c>
      <c r="DW1643" s="5" t="s">
        <v>3417</v>
      </c>
      <c r="HO1643" s="5" t="s">
        <v>312</v>
      </c>
    </row>
    <row r="1644" spans="1:223" x14ac:dyDescent="0.4">
      <c r="A1644" s="5">
        <v>3319</v>
      </c>
      <c r="B1644" s="5">
        <v>1</v>
      </c>
      <c r="C1644" s="5">
        <v>1</v>
      </c>
      <c r="D1644" s="5" t="s">
        <v>297</v>
      </c>
      <c r="E1644" s="5" t="s">
        <v>245</v>
      </c>
      <c r="F1644" s="5" t="s">
        <v>254</v>
      </c>
      <c r="G1644" s="5" t="s">
        <v>240</v>
      </c>
      <c r="H1644" s="6" t="s">
        <v>4519</v>
      </c>
      <c r="I1644" s="5" t="s">
        <v>295</v>
      </c>
      <c r="J1644" s="8">
        <f>1863</f>
        <v>1863</v>
      </c>
      <c r="K1644" s="5" t="s">
        <v>308</v>
      </c>
      <c r="L1644" s="7">
        <f>1</f>
        <v>1</v>
      </c>
      <c r="M1644" s="7">
        <f>1</f>
        <v>1</v>
      </c>
      <c r="N1644" s="5" t="s">
        <v>242</v>
      </c>
      <c r="O1644" s="5">
        <v>1</v>
      </c>
      <c r="P1644" s="5" t="s">
        <v>294</v>
      </c>
      <c r="Q1644" s="5" t="s">
        <v>266</v>
      </c>
      <c r="R1644" s="5" t="s">
        <v>240</v>
      </c>
      <c r="S1644" s="5" t="s">
        <v>240</v>
      </c>
      <c r="T1644" s="5" t="s">
        <v>296</v>
      </c>
      <c r="U1644" s="5" t="s">
        <v>244</v>
      </c>
      <c r="V1644" s="5" t="s">
        <v>240</v>
      </c>
      <c r="Y1644" s="5" t="s">
        <v>240</v>
      </c>
      <c r="Z1644" s="6" t="s">
        <v>298</v>
      </c>
      <c r="AB1644" s="6" t="s">
        <v>240</v>
      </c>
      <c r="AE1644" s="6" t="s">
        <v>299</v>
      </c>
      <c r="AF1644" s="5" t="s">
        <v>248</v>
      </c>
      <c r="AG1644" s="5" t="s">
        <v>249</v>
      </c>
      <c r="AW1644" s="5" t="s">
        <v>251</v>
      </c>
      <c r="AX1644" s="5" t="s">
        <v>240</v>
      </c>
      <c r="AY1644" s="5" t="s">
        <v>253</v>
      </c>
      <c r="AZ1644" s="5" t="s">
        <v>240</v>
      </c>
      <c r="BA1644" s="5" t="s">
        <v>255</v>
      </c>
      <c r="BB1644" s="5" t="s">
        <v>240</v>
      </c>
      <c r="BD1644" s="5" t="s">
        <v>240</v>
      </c>
      <c r="BF1644" s="5" t="s">
        <v>301</v>
      </c>
      <c r="BG1644" s="6" t="s">
        <v>299</v>
      </c>
      <c r="BH1644" s="5" t="s">
        <v>302</v>
      </c>
      <c r="BI1644" s="5" t="s">
        <v>303</v>
      </c>
      <c r="BJ1644" s="5" t="s">
        <v>240</v>
      </c>
      <c r="BK1644" s="8">
        <f>0</f>
        <v>0</v>
      </c>
      <c r="BL1644" s="7">
        <f>0</f>
        <v>0</v>
      </c>
      <c r="BM1644" s="5" t="s">
        <v>258</v>
      </c>
      <c r="BN1644" s="5" t="s">
        <v>259</v>
      </c>
      <c r="CB1644" s="5" t="s">
        <v>240</v>
      </c>
      <c r="CC1644" s="5" t="s">
        <v>240</v>
      </c>
      <c r="CG1644" s="5" t="s">
        <v>304</v>
      </c>
      <c r="CH1644" s="5" t="s">
        <v>305</v>
      </c>
      <c r="CI1644" s="5" t="s">
        <v>240</v>
      </c>
      <c r="CL1644" s="6" t="s">
        <v>261</v>
      </c>
      <c r="CM1644" s="5" t="s">
        <v>240</v>
      </c>
      <c r="CN1644" s="5" t="s">
        <v>263</v>
      </c>
      <c r="CO1644" s="5" t="s">
        <v>240</v>
      </c>
      <c r="CP1644" s="5" t="s">
        <v>240</v>
      </c>
      <c r="CQ1644" s="5">
        <v>0</v>
      </c>
      <c r="CR1644" s="5" t="s">
        <v>306</v>
      </c>
      <c r="CS1644" s="5" t="s">
        <v>307</v>
      </c>
      <c r="CT1644" s="5" t="s">
        <v>307</v>
      </c>
      <c r="CU1644" s="5" t="s">
        <v>260</v>
      </c>
      <c r="CX1644" s="7">
        <f>1</f>
        <v>1</v>
      </c>
      <c r="CY1644" s="7">
        <f>0</f>
        <v>0</v>
      </c>
      <c r="DA1644" s="7">
        <f>0</f>
        <v>0</v>
      </c>
      <c r="DC1644" s="5" t="s">
        <v>812</v>
      </c>
      <c r="DD1644" s="5" t="s">
        <v>240</v>
      </c>
      <c r="DF1644" s="5" t="s">
        <v>812</v>
      </c>
      <c r="DG1644" s="7">
        <f>206</f>
        <v>206</v>
      </c>
      <c r="DI1644" s="5" t="s">
        <v>240</v>
      </c>
      <c r="DJ1644" s="5" t="s">
        <v>240</v>
      </c>
      <c r="DK1644" s="5" t="s">
        <v>240</v>
      </c>
      <c r="DL1644" s="5" t="s">
        <v>240</v>
      </c>
      <c r="DP1644" s="5" t="s">
        <v>240</v>
      </c>
      <c r="DQ1644" s="5" t="s">
        <v>240</v>
      </c>
      <c r="DR1644" s="5" t="s">
        <v>240</v>
      </c>
      <c r="DS1644" s="5" t="s">
        <v>240</v>
      </c>
      <c r="DV1644" s="5" t="s">
        <v>813</v>
      </c>
      <c r="DW1644" s="5" t="s">
        <v>3419</v>
      </c>
      <c r="HO1644" s="5" t="s">
        <v>312</v>
      </c>
    </row>
    <row r="1645" spans="1:223" x14ac:dyDescent="0.4">
      <c r="A1645" s="5">
        <v>3320</v>
      </c>
      <c r="B1645" s="5">
        <v>1</v>
      </c>
      <c r="C1645" s="5">
        <v>1</v>
      </c>
      <c r="D1645" s="5" t="s">
        <v>297</v>
      </c>
      <c r="E1645" s="5" t="s">
        <v>245</v>
      </c>
      <c r="F1645" s="5" t="s">
        <v>254</v>
      </c>
      <c r="G1645" s="5" t="s">
        <v>240</v>
      </c>
      <c r="H1645" s="6" t="s">
        <v>4518</v>
      </c>
      <c r="I1645" s="5" t="s">
        <v>295</v>
      </c>
      <c r="J1645" s="8">
        <f>810</f>
        <v>810</v>
      </c>
      <c r="K1645" s="5" t="s">
        <v>308</v>
      </c>
      <c r="L1645" s="7">
        <f>1</f>
        <v>1</v>
      </c>
      <c r="M1645" s="7">
        <f>1</f>
        <v>1</v>
      </c>
      <c r="N1645" s="5" t="s">
        <v>242</v>
      </c>
      <c r="O1645" s="5">
        <v>1</v>
      </c>
      <c r="P1645" s="5" t="s">
        <v>294</v>
      </c>
      <c r="Q1645" s="5" t="s">
        <v>266</v>
      </c>
      <c r="R1645" s="5" t="s">
        <v>240</v>
      </c>
      <c r="S1645" s="5" t="s">
        <v>240</v>
      </c>
      <c r="T1645" s="5" t="s">
        <v>296</v>
      </c>
      <c r="U1645" s="5" t="s">
        <v>244</v>
      </c>
      <c r="V1645" s="5" t="s">
        <v>240</v>
      </c>
      <c r="Y1645" s="5" t="s">
        <v>240</v>
      </c>
      <c r="Z1645" s="6" t="s">
        <v>298</v>
      </c>
      <c r="AB1645" s="6" t="s">
        <v>240</v>
      </c>
      <c r="AE1645" s="6" t="s">
        <v>299</v>
      </c>
      <c r="AF1645" s="5" t="s">
        <v>248</v>
      </c>
      <c r="AG1645" s="5" t="s">
        <v>249</v>
      </c>
      <c r="AW1645" s="5" t="s">
        <v>251</v>
      </c>
      <c r="AX1645" s="5" t="s">
        <v>240</v>
      </c>
      <c r="AY1645" s="5" t="s">
        <v>253</v>
      </c>
      <c r="AZ1645" s="5" t="s">
        <v>240</v>
      </c>
      <c r="BA1645" s="5" t="s">
        <v>255</v>
      </c>
      <c r="BB1645" s="5" t="s">
        <v>240</v>
      </c>
      <c r="BD1645" s="5" t="s">
        <v>240</v>
      </c>
      <c r="BF1645" s="5" t="s">
        <v>301</v>
      </c>
      <c r="BG1645" s="6" t="s">
        <v>299</v>
      </c>
      <c r="BH1645" s="5" t="s">
        <v>302</v>
      </c>
      <c r="BI1645" s="5" t="s">
        <v>303</v>
      </c>
      <c r="BJ1645" s="5" t="s">
        <v>240</v>
      </c>
      <c r="BK1645" s="8">
        <f>0</f>
        <v>0</v>
      </c>
      <c r="BL1645" s="7">
        <f>0</f>
        <v>0</v>
      </c>
      <c r="BM1645" s="5" t="s">
        <v>258</v>
      </c>
      <c r="BN1645" s="5" t="s">
        <v>259</v>
      </c>
      <c r="CB1645" s="5" t="s">
        <v>240</v>
      </c>
      <c r="CC1645" s="5" t="s">
        <v>240</v>
      </c>
      <c r="CG1645" s="5" t="s">
        <v>304</v>
      </c>
      <c r="CH1645" s="5" t="s">
        <v>305</v>
      </c>
      <c r="CI1645" s="5" t="s">
        <v>240</v>
      </c>
      <c r="CL1645" s="6" t="s">
        <v>261</v>
      </c>
      <c r="CM1645" s="5" t="s">
        <v>240</v>
      </c>
      <c r="CN1645" s="5" t="s">
        <v>263</v>
      </c>
      <c r="CO1645" s="5" t="s">
        <v>240</v>
      </c>
      <c r="CP1645" s="5" t="s">
        <v>240</v>
      </c>
      <c r="CQ1645" s="5">
        <v>0</v>
      </c>
      <c r="CR1645" s="5" t="s">
        <v>306</v>
      </c>
      <c r="CS1645" s="5" t="s">
        <v>307</v>
      </c>
      <c r="CT1645" s="5" t="s">
        <v>307</v>
      </c>
      <c r="CU1645" s="5" t="s">
        <v>260</v>
      </c>
      <c r="CX1645" s="7">
        <f>1</f>
        <v>1</v>
      </c>
      <c r="CY1645" s="7">
        <f>0</f>
        <v>0</v>
      </c>
      <c r="DA1645" s="7">
        <f>0</f>
        <v>0</v>
      </c>
      <c r="DC1645" s="5" t="s">
        <v>812</v>
      </c>
      <c r="DD1645" s="5" t="s">
        <v>240</v>
      </c>
      <c r="DF1645" s="5" t="s">
        <v>812</v>
      </c>
      <c r="DG1645" s="7">
        <f>716</f>
        <v>716</v>
      </c>
      <c r="DI1645" s="5" t="s">
        <v>240</v>
      </c>
      <c r="DJ1645" s="5" t="s">
        <v>240</v>
      </c>
      <c r="DK1645" s="5" t="s">
        <v>240</v>
      </c>
      <c r="DL1645" s="5" t="s">
        <v>240</v>
      </c>
      <c r="DP1645" s="5" t="s">
        <v>240</v>
      </c>
      <c r="DQ1645" s="5" t="s">
        <v>240</v>
      </c>
      <c r="DR1645" s="5" t="s">
        <v>240</v>
      </c>
      <c r="DS1645" s="5" t="s">
        <v>240</v>
      </c>
      <c r="DV1645" s="5" t="s">
        <v>813</v>
      </c>
      <c r="DW1645" s="5" t="s">
        <v>3421</v>
      </c>
      <c r="HO1645" s="5" t="s">
        <v>312</v>
      </c>
    </row>
    <row r="1646" spans="1:223" x14ac:dyDescent="0.4">
      <c r="A1646" s="5">
        <v>3321</v>
      </c>
      <c r="B1646" s="5">
        <v>1</v>
      </c>
      <c r="C1646" s="5">
        <v>1</v>
      </c>
      <c r="D1646" s="5" t="s">
        <v>297</v>
      </c>
      <c r="E1646" s="5" t="s">
        <v>245</v>
      </c>
      <c r="F1646" s="5" t="s">
        <v>254</v>
      </c>
      <c r="G1646" s="5" t="s">
        <v>240</v>
      </c>
      <c r="H1646" s="6" t="s">
        <v>4517</v>
      </c>
      <c r="I1646" s="5" t="s">
        <v>295</v>
      </c>
      <c r="J1646" s="8">
        <f>1168</f>
        <v>1168</v>
      </c>
      <c r="K1646" s="5" t="s">
        <v>308</v>
      </c>
      <c r="L1646" s="7">
        <f>1</f>
        <v>1</v>
      </c>
      <c r="M1646" s="7">
        <f>1</f>
        <v>1</v>
      </c>
      <c r="N1646" s="5" t="s">
        <v>242</v>
      </c>
      <c r="O1646" s="5">
        <v>1</v>
      </c>
      <c r="P1646" s="5" t="s">
        <v>294</v>
      </c>
      <c r="Q1646" s="5" t="s">
        <v>266</v>
      </c>
      <c r="R1646" s="5" t="s">
        <v>240</v>
      </c>
      <c r="S1646" s="5" t="s">
        <v>240</v>
      </c>
      <c r="T1646" s="5" t="s">
        <v>296</v>
      </c>
      <c r="U1646" s="5" t="s">
        <v>244</v>
      </c>
      <c r="V1646" s="5" t="s">
        <v>240</v>
      </c>
      <c r="Y1646" s="5" t="s">
        <v>240</v>
      </c>
      <c r="Z1646" s="6" t="s">
        <v>298</v>
      </c>
      <c r="AB1646" s="6" t="s">
        <v>240</v>
      </c>
      <c r="AE1646" s="6" t="s">
        <v>299</v>
      </c>
      <c r="AF1646" s="5" t="s">
        <v>248</v>
      </c>
      <c r="AG1646" s="5" t="s">
        <v>249</v>
      </c>
      <c r="AW1646" s="5" t="s">
        <v>251</v>
      </c>
      <c r="AX1646" s="5" t="s">
        <v>240</v>
      </c>
      <c r="AY1646" s="5" t="s">
        <v>253</v>
      </c>
      <c r="AZ1646" s="5" t="s">
        <v>240</v>
      </c>
      <c r="BA1646" s="5" t="s">
        <v>255</v>
      </c>
      <c r="BB1646" s="5" t="s">
        <v>240</v>
      </c>
      <c r="BD1646" s="5" t="s">
        <v>240</v>
      </c>
      <c r="BF1646" s="5" t="s">
        <v>301</v>
      </c>
      <c r="BG1646" s="6" t="s">
        <v>299</v>
      </c>
      <c r="BH1646" s="5" t="s">
        <v>302</v>
      </c>
      <c r="BI1646" s="5" t="s">
        <v>303</v>
      </c>
      <c r="BJ1646" s="5" t="s">
        <v>240</v>
      </c>
      <c r="BK1646" s="8">
        <f>0</f>
        <v>0</v>
      </c>
      <c r="BL1646" s="7">
        <f>0</f>
        <v>0</v>
      </c>
      <c r="BM1646" s="5" t="s">
        <v>258</v>
      </c>
      <c r="BN1646" s="5" t="s">
        <v>259</v>
      </c>
      <c r="CB1646" s="5" t="s">
        <v>240</v>
      </c>
      <c r="CC1646" s="5" t="s">
        <v>240</v>
      </c>
      <c r="CG1646" s="5" t="s">
        <v>304</v>
      </c>
      <c r="CH1646" s="5" t="s">
        <v>305</v>
      </c>
      <c r="CI1646" s="5" t="s">
        <v>240</v>
      </c>
      <c r="CL1646" s="6" t="s">
        <v>261</v>
      </c>
      <c r="CM1646" s="5" t="s">
        <v>240</v>
      </c>
      <c r="CN1646" s="5" t="s">
        <v>263</v>
      </c>
      <c r="CO1646" s="5" t="s">
        <v>240</v>
      </c>
      <c r="CP1646" s="5" t="s">
        <v>240</v>
      </c>
      <c r="CQ1646" s="5">
        <v>0</v>
      </c>
      <c r="CR1646" s="5" t="s">
        <v>306</v>
      </c>
      <c r="CS1646" s="5" t="s">
        <v>307</v>
      </c>
      <c r="CT1646" s="5" t="s">
        <v>307</v>
      </c>
      <c r="CU1646" s="5" t="s">
        <v>260</v>
      </c>
      <c r="CX1646" s="7">
        <f>1</f>
        <v>1</v>
      </c>
      <c r="CY1646" s="7">
        <f>0</f>
        <v>0</v>
      </c>
      <c r="DA1646" s="7">
        <f>0</f>
        <v>0</v>
      </c>
      <c r="DC1646" s="5" t="s">
        <v>812</v>
      </c>
      <c r="DD1646" s="5" t="s">
        <v>240</v>
      </c>
      <c r="DF1646" s="5" t="s">
        <v>812</v>
      </c>
      <c r="DG1646" s="7">
        <f>110</f>
        <v>110</v>
      </c>
      <c r="DI1646" s="5" t="s">
        <v>240</v>
      </c>
      <c r="DJ1646" s="5" t="s">
        <v>240</v>
      </c>
      <c r="DK1646" s="5" t="s">
        <v>240</v>
      </c>
      <c r="DL1646" s="5" t="s">
        <v>240</v>
      </c>
      <c r="DP1646" s="5" t="s">
        <v>240</v>
      </c>
      <c r="DQ1646" s="5" t="s">
        <v>240</v>
      </c>
      <c r="DR1646" s="5" t="s">
        <v>240</v>
      </c>
      <c r="DS1646" s="5" t="s">
        <v>240</v>
      </c>
      <c r="DV1646" s="5" t="s">
        <v>813</v>
      </c>
      <c r="DW1646" s="5" t="s">
        <v>3423</v>
      </c>
      <c r="HO1646" s="5" t="s">
        <v>312</v>
      </c>
    </row>
    <row r="1647" spans="1:223" x14ac:dyDescent="0.4">
      <c r="A1647" s="5">
        <v>3322</v>
      </c>
      <c r="B1647" s="5">
        <v>1</v>
      </c>
      <c r="C1647" s="5">
        <v>1</v>
      </c>
      <c r="D1647" s="5" t="s">
        <v>297</v>
      </c>
      <c r="E1647" s="5" t="s">
        <v>245</v>
      </c>
      <c r="F1647" s="5" t="s">
        <v>254</v>
      </c>
      <c r="G1647" s="5" t="s">
        <v>240</v>
      </c>
      <c r="H1647" s="6" t="s">
        <v>4516</v>
      </c>
      <c r="I1647" s="5" t="s">
        <v>295</v>
      </c>
      <c r="J1647" s="8">
        <f>40</f>
        <v>40</v>
      </c>
      <c r="K1647" s="5" t="s">
        <v>308</v>
      </c>
      <c r="L1647" s="7">
        <f>1</f>
        <v>1</v>
      </c>
      <c r="M1647" s="7">
        <f>1</f>
        <v>1</v>
      </c>
      <c r="N1647" s="5" t="s">
        <v>242</v>
      </c>
      <c r="O1647" s="5">
        <v>1</v>
      </c>
      <c r="P1647" s="5" t="s">
        <v>294</v>
      </c>
      <c r="Q1647" s="5" t="s">
        <v>266</v>
      </c>
      <c r="R1647" s="5" t="s">
        <v>240</v>
      </c>
      <c r="S1647" s="5" t="s">
        <v>240</v>
      </c>
      <c r="T1647" s="5" t="s">
        <v>296</v>
      </c>
      <c r="U1647" s="5" t="s">
        <v>244</v>
      </c>
      <c r="V1647" s="5" t="s">
        <v>240</v>
      </c>
      <c r="Y1647" s="5" t="s">
        <v>240</v>
      </c>
      <c r="Z1647" s="6" t="s">
        <v>298</v>
      </c>
      <c r="AB1647" s="6" t="s">
        <v>240</v>
      </c>
      <c r="AE1647" s="6" t="s">
        <v>299</v>
      </c>
      <c r="AF1647" s="5" t="s">
        <v>248</v>
      </c>
      <c r="AG1647" s="5" t="s">
        <v>249</v>
      </c>
      <c r="AW1647" s="5" t="s">
        <v>251</v>
      </c>
      <c r="AX1647" s="5" t="s">
        <v>240</v>
      </c>
      <c r="AY1647" s="5" t="s">
        <v>253</v>
      </c>
      <c r="AZ1647" s="5" t="s">
        <v>240</v>
      </c>
      <c r="BA1647" s="5" t="s">
        <v>255</v>
      </c>
      <c r="BB1647" s="5" t="s">
        <v>240</v>
      </c>
      <c r="BD1647" s="5" t="s">
        <v>240</v>
      </c>
      <c r="BF1647" s="5" t="s">
        <v>301</v>
      </c>
      <c r="BG1647" s="6" t="s">
        <v>299</v>
      </c>
      <c r="BH1647" s="5" t="s">
        <v>302</v>
      </c>
      <c r="BI1647" s="5" t="s">
        <v>303</v>
      </c>
      <c r="BJ1647" s="5" t="s">
        <v>240</v>
      </c>
      <c r="BK1647" s="8">
        <f>0</f>
        <v>0</v>
      </c>
      <c r="BL1647" s="7">
        <f>0</f>
        <v>0</v>
      </c>
      <c r="BM1647" s="5" t="s">
        <v>258</v>
      </c>
      <c r="BN1647" s="5" t="s">
        <v>259</v>
      </c>
      <c r="CB1647" s="5" t="s">
        <v>240</v>
      </c>
      <c r="CC1647" s="5" t="s">
        <v>240</v>
      </c>
      <c r="CG1647" s="5" t="s">
        <v>304</v>
      </c>
      <c r="CH1647" s="5" t="s">
        <v>305</v>
      </c>
      <c r="CI1647" s="5" t="s">
        <v>240</v>
      </c>
      <c r="CL1647" s="6" t="s">
        <v>261</v>
      </c>
      <c r="CM1647" s="5" t="s">
        <v>240</v>
      </c>
      <c r="CN1647" s="5" t="s">
        <v>263</v>
      </c>
      <c r="CO1647" s="5" t="s">
        <v>240</v>
      </c>
      <c r="CP1647" s="5" t="s">
        <v>240</v>
      </c>
      <c r="CQ1647" s="5">
        <v>0</v>
      </c>
      <c r="CR1647" s="5" t="s">
        <v>306</v>
      </c>
      <c r="CS1647" s="5" t="s">
        <v>307</v>
      </c>
      <c r="CT1647" s="5" t="s">
        <v>307</v>
      </c>
      <c r="CU1647" s="5" t="s">
        <v>260</v>
      </c>
      <c r="CX1647" s="7">
        <f>1</f>
        <v>1</v>
      </c>
      <c r="CY1647" s="7">
        <f>0</f>
        <v>0</v>
      </c>
      <c r="DA1647" s="7">
        <f>0</f>
        <v>0</v>
      </c>
      <c r="DC1647" s="5" t="s">
        <v>812</v>
      </c>
      <c r="DD1647" s="5" t="s">
        <v>240</v>
      </c>
      <c r="DF1647" s="5" t="s">
        <v>812</v>
      </c>
      <c r="DG1647" s="7">
        <f>826</f>
        <v>826</v>
      </c>
      <c r="DI1647" s="5" t="s">
        <v>240</v>
      </c>
      <c r="DJ1647" s="5" t="s">
        <v>240</v>
      </c>
      <c r="DK1647" s="5" t="s">
        <v>240</v>
      </c>
      <c r="DL1647" s="5" t="s">
        <v>240</v>
      </c>
      <c r="DP1647" s="5" t="s">
        <v>240</v>
      </c>
      <c r="DQ1647" s="5" t="s">
        <v>240</v>
      </c>
      <c r="DR1647" s="5" t="s">
        <v>240</v>
      </c>
      <c r="DS1647" s="5" t="s">
        <v>240</v>
      </c>
      <c r="DV1647" s="5" t="s">
        <v>813</v>
      </c>
      <c r="DW1647" s="5" t="s">
        <v>3425</v>
      </c>
      <c r="HO1647" s="5" t="s">
        <v>312</v>
      </c>
    </row>
    <row r="1648" spans="1:223" x14ac:dyDescent="0.4">
      <c r="A1648" s="5">
        <v>3323</v>
      </c>
      <c r="B1648" s="5">
        <v>1</v>
      </c>
      <c r="C1648" s="5">
        <v>1</v>
      </c>
      <c r="D1648" s="5" t="s">
        <v>297</v>
      </c>
      <c r="E1648" s="5" t="s">
        <v>245</v>
      </c>
      <c r="F1648" s="5" t="s">
        <v>254</v>
      </c>
      <c r="G1648" s="5" t="s">
        <v>240</v>
      </c>
      <c r="H1648" s="6" t="s">
        <v>4515</v>
      </c>
      <c r="I1648" s="5" t="s">
        <v>295</v>
      </c>
      <c r="J1648" s="8">
        <f>1154</f>
        <v>1154</v>
      </c>
      <c r="K1648" s="5" t="s">
        <v>308</v>
      </c>
      <c r="L1648" s="7">
        <f>1</f>
        <v>1</v>
      </c>
      <c r="M1648" s="7">
        <f>1</f>
        <v>1</v>
      </c>
      <c r="N1648" s="5" t="s">
        <v>242</v>
      </c>
      <c r="O1648" s="5">
        <v>1</v>
      </c>
      <c r="P1648" s="5" t="s">
        <v>294</v>
      </c>
      <c r="Q1648" s="5" t="s">
        <v>266</v>
      </c>
      <c r="R1648" s="5" t="s">
        <v>240</v>
      </c>
      <c r="S1648" s="5" t="s">
        <v>240</v>
      </c>
      <c r="T1648" s="5" t="s">
        <v>296</v>
      </c>
      <c r="U1648" s="5" t="s">
        <v>244</v>
      </c>
      <c r="V1648" s="5" t="s">
        <v>240</v>
      </c>
      <c r="Y1648" s="5" t="s">
        <v>240</v>
      </c>
      <c r="Z1648" s="6" t="s">
        <v>298</v>
      </c>
      <c r="AB1648" s="6" t="s">
        <v>240</v>
      </c>
      <c r="AE1648" s="6" t="s">
        <v>299</v>
      </c>
      <c r="AF1648" s="5" t="s">
        <v>248</v>
      </c>
      <c r="AG1648" s="5" t="s">
        <v>249</v>
      </c>
      <c r="AW1648" s="5" t="s">
        <v>251</v>
      </c>
      <c r="AX1648" s="5" t="s">
        <v>240</v>
      </c>
      <c r="AY1648" s="5" t="s">
        <v>253</v>
      </c>
      <c r="AZ1648" s="5" t="s">
        <v>240</v>
      </c>
      <c r="BA1648" s="5" t="s">
        <v>255</v>
      </c>
      <c r="BB1648" s="5" t="s">
        <v>240</v>
      </c>
      <c r="BD1648" s="5" t="s">
        <v>240</v>
      </c>
      <c r="BF1648" s="5" t="s">
        <v>301</v>
      </c>
      <c r="BG1648" s="6" t="s">
        <v>299</v>
      </c>
      <c r="BH1648" s="5" t="s">
        <v>302</v>
      </c>
      <c r="BI1648" s="5" t="s">
        <v>303</v>
      </c>
      <c r="BJ1648" s="5" t="s">
        <v>240</v>
      </c>
      <c r="BK1648" s="8">
        <f>0</f>
        <v>0</v>
      </c>
      <c r="BL1648" s="7">
        <f>0</f>
        <v>0</v>
      </c>
      <c r="BM1648" s="5" t="s">
        <v>258</v>
      </c>
      <c r="BN1648" s="5" t="s">
        <v>259</v>
      </c>
      <c r="CB1648" s="5" t="s">
        <v>240</v>
      </c>
      <c r="CC1648" s="5" t="s">
        <v>240</v>
      </c>
      <c r="CG1648" s="5" t="s">
        <v>304</v>
      </c>
      <c r="CH1648" s="5" t="s">
        <v>305</v>
      </c>
      <c r="CI1648" s="5" t="s">
        <v>240</v>
      </c>
      <c r="CL1648" s="6" t="s">
        <v>261</v>
      </c>
      <c r="CM1648" s="5" t="s">
        <v>240</v>
      </c>
      <c r="CN1648" s="5" t="s">
        <v>263</v>
      </c>
      <c r="CO1648" s="5" t="s">
        <v>240</v>
      </c>
      <c r="CP1648" s="5" t="s">
        <v>240</v>
      </c>
      <c r="CQ1648" s="5">
        <v>0</v>
      </c>
      <c r="CR1648" s="5" t="s">
        <v>306</v>
      </c>
      <c r="CS1648" s="5" t="s">
        <v>307</v>
      </c>
      <c r="CT1648" s="5" t="s">
        <v>307</v>
      </c>
      <c r="CU1648" s="5" t="s">
        <v>260</v>
      </c>
      <c r="CX1648" s="7">
        <f>1</f>
        <v>1</v>
      </c>
      <c r="CY1648" s="7">
        <f>0</f>
        <v>0</v>
      </c>
      <c r="DA1648" s="7">
        <f>0</f>
        <v>0</v>
      </c>
      <c r="DC1648" s="5" t="s">
        <v>812</v>
      </c>
      <c r="DD1648" s="5" t="s">
        <v>240</v>
      </c>
      <c r="DF1648" s="5" t="s">
        <v>812</v>
      </c>
      <c r="DG1648" s="7">
        <f>34</f>
        <v>34</v>
      </c>
      <c r="DI1648" s="5" t="s">
        <v>240</v>
      </c>
      <c r="DJ1648" s="5" t="s">
        <v>240</v>
      </c>
      <c r="DK1648" s="5" t="s">
        <v>240</v>
      </c>
      <c r="DL1648" s="5" t="s">
        <v>240</v>
      </c>
      <c r="DP1648" s="5" t="s">
        <v>240</v>
      </c>
      <c r="DQ1648" s="5" t="s">
        <v>240</v>
      </c>
      <c r="DR1648" s="5" t="s">
        <v>240</v>
      </c>
      <c r="DS1648" s="5" t="s">
        <v>240</v>
      </c>
      <c r="DV1648" s="5" t="s">
        <v>813</v>
      </c>
      <c r="DW1648" s="5" t="s">
        <v>3427</v>
      </c>
      <c r="HO1648" s="5" t="s">
        <v>312</v>
      </c>
    </row>
    <row r="1649" spans="1:223" x14ac:dyDescent="0.4">
      <c r="A1649" s="5">
        <v>3324</v>
      </c>
      <c r="B1649" s="5">
        <v>1</v>
      </c>
      <c r="C1649" s="5">
        <v>1</v>
      </c>
      <c r="D1649" s="5" t="s">
        <v>297</v>
      </c>
      <c r="E1649" s="5" t="s">
        <v>245</v>
      </c>
      <c r="F1649" s="5" t="s">
        <v>254</v>
      </c>
      <c r="G1649" s="5" t="s">
        <v>240</v>
      </c>
      <c r="H1649" s="6" t="s">
        <v>4514</v>
      </c>
      <c r="I1649" s="5" t="s">
        <v>295</v>
      </c>
      <c r="J1649" s="8">
        <f>157</f>
        <v>157</v>
      </c>
      <c r="K1649" s="5" t="s">
        <v>308</v>
      </c>
      <c r="L1649" s="7">
        <f>1</f>
        <v>1</v>
      </c>
      <c r="M1649" s="7">
        <f>1</f>
        <v>1</v>
      </c>
      <c r="N1649" s="5" t="s">
        <v>242</v>
      </c>
      <c r="O1649" s="5">
        <v>1</v>
      </c>
      <c r="P1649" s="5" t="s">
        <v>294</v>
      </c>
      <c r="Q1649" s="5" t="s">
        <v>266</v>
      </c>
      <c r="R1649" s="5" t="s">
        <v>240</v>
      </c>
      <c r="S1649" s="5" t="s">
        <v>240</v>
      </c>
      <c r="T1649" s="5" t="s">
        <v>296</v>
      </c>
      <c r="U1649" s="5" t="s">
        <v>244</v>
      </c>
      <c r="V1649" s="5" t="s">
        <v>240</v>
      </c>
      <c r="Y1649" s="5" t="s">
        <v>240</v>
      </c>
      <c r="Z1649" s="6" t="s">
        <v>298</v>
      </c>
      <c r="AB1649" s="6" t="s">
        <v>240</v>
      </c>
      <c r="AE1649" s="6" t="s">
        <v>299</v>
      </c>
      <c r="AF1649" s="5" t="s">
        <v>248</v>
      </c>
      <c r="AG1649" s="5" t="s">
        <v>249</v>
      </c>
      <c r="AW1649" s="5" t="s">
        <v>251</v>
      </c>
      <c r="AX1649" s="5" t="s">
        <v>240</v>
      </c>
      <c r="AY1649" s="5" t="s">
        <v>253</v>
      </c>
      <c r="AZ1649" s="5" t="s">
        <v>240</v>
      </c>
      <c r="BA1649" s="5" t="s">
        <v>255</v>
      </c>
      <c r="BB1649" s="5" t="s">
        <v>240</v>
      </c>
      <c r="BD1649" s="5" t="s">
        <v>240</v>
      </c>
      <c r="BF1649" s="5" t="s">
        <v>301</v>
      </c>
      <c r="BG1649" s="6" t="s">
        <v>299</v>
      </c>
      <c r="BH1649" s="5" t="s">
        <v>302</v>
      </c>
      <c r="BI1649" s="5" t="s">
        <v>303</v>
      </c>
      <c r="BJ1649" s="5" t="s">
        <v>240</v>
      </c>
      <c r="BK1649" s="8">
        <f>0</f>
        <v>0</v>
      </c>
      <c r="BL1649" s="7">
        <f>0</f>
        <v>0</v>
      </c>
      <c r="BM1649" s="5" t="s">
        <v>258</v>
      </c>
      <c r="BN1649" s="5" t="s">
        <v>259</v>
      </c>
      <c r="CB1649" s="5" t="s">
        <v>240</v>
      </c>
      <c r="CC1649" s="5" t="s">
        <v>240</v>
      </c>
      <c r="CG1649" s="5" t="s">
        <v>304</v>
      </c>
      <c r="CH1649" s="5" t="s">
        <v>305</v>
      </c>
      <c r="CI1649" s="5" t="s">
        <v>240</v>
      </c>
      <c r="CL1649" s="6" t="s">
        <v>261</v>
      </c>
      <c r="CM1649" s="5" t="s">
        <v>240</v>
      </c>
      <c r="CN1649" s="5" t="s">
        <v>263</v>
      </c>
      <c r="CO1649" s="5" t="s">
        <v>240</v>
      </c>
      <c r="CP1649" s="5" t="s">
        <v>240</v>
      </c>
      <c r="CQ1649" s="5">
        <v>0</v>
      </c>
      <c r="CR1649" s="5" t="s">
        <v>306</v>
      </c>
      <c r="CS1649" s="5" t="s">
        <v>307</v>
      </c>
      <c r="CT1649" s="5" t="s">
        <v>307</v>
      </c>
      <c r="CU1649" s="5" t="s">
        <v>260</v>
      </c>
      <c r="CX1649" s="7">
        <f>1</f>
        <v>1</v>
      </c>
      <c r="CY1649" s="7">
        <f>0</f>
        <v>0</v>
      </c>
      <c r="DA1649" s="7">
        <f>0</f>
        <v>0</v>
      </c>
      <c r="DC1649" s="5" t="s">
        <v>812</v>
      </c>
      <c r="DD1649" s="5" t="s">
        <v>240</v>
      </c>
      <c r="DF1649" s="5" t="s">
        <v>812</v>
      </c>
      <c r="DG1649" s="7">
        <f>179</f>
        <v>179</v>
      </c>
      <c r="DI1649" s="5" t="s">
        <v>240</v>
      </c>
      <c r="DJ1649" s="5" t="s">
        <v>240</v>
      </c>
      <c r="DK1649" s="5" t="s">
        <v>240</v>
      </c>
      <c r="DL1649" s="5" t="s">
        <v>240</v>
      </c>
      <c r="DP1649" s="5" t="s">
        <v>240</v>
      </c>
      <c r="DQ1649" s="5" t="s">
        <v>240</v>
      </c>
      <c r="DR1649" s="5" t="s">
        <v>240</v>
      </c>
      <c r="DS1649" s="5" t="s">
        <v>240</v>
      </c>
      <c r="DV1649" s="5" t="s">
        <v>813</v>
      </c>
      <c r="DW1649" s="5" t="s">
        <v>3429</v>
      </c>
      <c r="HO1649" s="5" t="s">
        <v>312</v>
      </c>
    </row>
    <row r="1650" spans="1:223" x14ac:dyDescent="0.4">
      <c r="A1650" s="5">
        <v>3325</v>
      </c>
      <c r="B1650" s="5">
        <v>1</v>
      </c>
      <c r="C1650" s="5">
        <v>1</v>
      </c>
      <c r="D1650" s="5" t="s">
        <v>297</v>
      </c>
      <c r="E1650" s="5" t="s">
        <v>245</v>
      </c>
      <c r="F1650" s="5" t="s">
        <v>254</v>
      </c>
      <c r="G1650" s="5" t="s">
        <v>240</v>
      </c>
      <c r="H1650" s="6" t="s">
        <v>5649</v>
      </c>
      <c r="I1650" s="5" t="s">
        <v>295</v>
      </c>
      <c r="J1650" s="8">
        <f>1825</f>
        <v>1825</v>
      </c>
      <c r="K1650" s="5" t="s">
        <v>308</v>
      </c>
      <c r="L1650" s="7">
        <f>1</f>
        <v>1</v>
      </c>
      <c r="M1650" s="7">
        <f>1</f>
        <v>1</v>
      </c>
      <c r="N1650" s="5" t="s">
        <v>242</v>
      </c>
      <c r="O1650" s="5">
        <v>1</v>
      </c>
      <c r="P1650" s="5" t="s">
        <v>294</v>
      </c>
      <c r="Q1650" s="5" t="s">
        <v>266</v>
      </c>
      <c r="R1650" s="5" t="s">
        <v>240</v>
      </c>
      <c r="S1650" s="5" t="s">
        <v>240</v>
      </c>
      <c r="T1650" s="5" t="s">
        <v>296</v>
      </c>
      <c r="U1650" s="5" t="s">
        <v>244</v>
      </c>
      <c r="V1650" s="5" t="s">
        <v>240</v>
      </c>
      <c r="Y1650" s="5" t="s">
        <v>240</v>
      </c>
      <c r="Z1650" s="6" t="s">
        <v>298</v>
      </c>
      <c r="AB1650" s="6" t="s">
        <v>240</v>
      </c>
      <c r="AE1650" s="6" t="s">
        <v>299</v>
      </c>
      <c r="AF1650" s="5" t="s">
        <v>248</v>
      </c>
      <c r="AG1650" s="5" t="s">
        <v>249</v>
      </c>
      <c r="AW1650" s="5" t="s">
        <v>251</v>
      </c>
      <c r="AX1650" s="5" t="s">
        <v>240</v>
      </c>
      <c r="AY1650" s="5" t="s">
        <v>253</v>
      </c>
      <c r="AZ1650" s="5" t="s">
        <v>240</v>
      </c>
      <c r="BA1650" s="5" t="s">
        <v>255</v>
      </c>
      <c r="BB1650" s="5" t="s">
        <v>240</v>
      </c>
      <c r="BD1650" s="5" t="s">
        <v>240</v>
      </c>
      <c r="BF1650" s="5" t="s">
        <v>301</v>
      </c>
      <c r="BG1650" s="6" t="s">
        <v>299</v>
      </c>
      <c r="BH1650" s="5" t="s">
        <v>302</v>
      </c>
      <c r="BI1650" s="5" t="s">
        <v>303</v>
      </c>
      <c r="BJ1650" s="5" t="s">
        <v>240</v>
      </c>
      <c r="BK1650" s="8">
        <f>0</f>
        <v>0</v>
      </c>
      <c r="BL1650" s="7">
        <f>0</f>
        <v>0</v>
      </c>
      <c r="BM1650" s="5" t="s">
        <v>258</v>
      </c>
      <c r="BN1650" s="5" t="s">
        <v>259</v>
      </c>
      <c r="CB1650" s="5" t="s">
        <v>240</v>
      </c>
      <c r="CC1650" s="5" t="s">
        <v>240</v>
      </c>
      <c r="CG1650" s="5" t="s">
        <v>304</v>
      </c>
      <c r="CH1650" s="5" t="s">
        <v>305</v>
      </c>
      <c r="CI1650" s="5" t="s">
        <v>240</v>
      </c>
      <c r="CL1650" s="6" t="s">
        <v>261</v>
      </c>
      <c r="CM1650" s="5" t="s">
        <v>240</v>
      </c>
      <c r="CN1650" s="5" t="s">
        <v>263</v>
      </c>
      <c r="CO1650" s="5" t="s">
        <v>240</v>
      </c>
      <c r="CP1650" s="5" t="s">
        <v>240</v>
      </c>
      <c r="CQ1650" s="5">
        <v>0</v>
      </c>
      <c r="CR1650" s="5" t="s">
        <v>306</v>
      </c>
      <c r="CS1650" s="5" t="s">
        <v>307</v>
      </c>
      <c r="CT1650" s="5" t="s">
        <v>307</v>
      </c>
      <c r="CU1650" s="5" t="s">
        <v>260</v>
      </c>
      <c r="CX1650" s="7">
        <f>1</f>
        <v>1</v>
      </c>
      <c r="CY1650" s="7">
        <f>0</f>
        <v>0</v>
      </c>
      <c r="DA1650" s="7">
        <f>0</f>
        <v>0</v>
      </c>
      <c r="DC1650" s="5" t="s">
        <v>812</v>
      </c>
      <c r="DD1650" s="5" t="s">
        <v>240</v>
      </c>
      <c r="DF1650" s="5" t="s">
        <v>812</v>
      </c>
      <c r="DG1650" s="7">
        <f>221</f>
        <v>221</v>
      </c>
      <c r="DI1650" s="5" t="s">
        <v>240</v>
      </c>
      <c r="DJ1650" s="5" t="s">
        <v>240</v>
      </c>
      <c r="DK1650" s="5" t="s">
        <v>240</v>
      </c>
      <c r="DL1650" s="5" t="s">
        <v>240</v>
      </c>
      <c r="DP1650" s="5" t="s">
        <v>240</v>
      </c>
      <c r="DQ1650" s="5" t="s">
        <v>240</v>
      </c>
      <c r="DR1650" s="5" t="s">
        <v>240</v>
      </c>
      <c r="DS1650" s="5" t="s">
        <v>240</v>
      </c>
      <c r="DV1650" s="5" t="s">
        <v>813</v>
      </c>
      <c r="DW1650" s="5" t="s">
        <v>3431</v>
      </c>
      <c r="HO1650" s="5" t="s">
        <v>312</v>
      </c>
    </row>
    <row r="1651" spans="1:223" x14ac:dyDescent="0.4">
      <c r="A1651" s="5">
        <v>3326</v>
      </c>
      <c r="B1651" s="5">
        <v>1</v>
      </c>
      <c r="C1651" s="5">
        <v>1</v>
      </c>
      <c r="D1651" s="5" t="s">
        <v>297</v>
      </c>
      <c r="E1651" s="5" t="s">
        <v>245</v>
      </c>
      <c r="F1651" s="5" t="s">
        <v>254</v>
      </c>
      <c r="G1651" s="5" t="s">
        <v>240</v>
      </c>
      <c r="H1651" s="6" t="s">
        <v>4512</v>
      </c>
      <c r="I1651" s="5" t="s">
        <v>295</v>
      </c>
      <c r="J1651" s="8">
        <f>2711</f>
        <v>2711</v>
      </c>
      <c r="K1651" s="5" t="s">
        <v>308</v>
      </c>
      <c r="L1651" s="7">
        <f>1</f>
        <v>1</v>
      </c>
      <c r="M1651" s="7">
        <f>1</f>
        <v>1</v>
      </c>
      <c r="N1651" s="5" t="s">
        <v>242</v>
      </c>
      <c r="O1651" s="5">
        <v>1</v>
      </c>
      <c r="P1651" s="5" t="s">
        <v>294</v>
      </c>
      <c r="Q1651" s="5" t="s">
        <v>266</v>
      </c>
      <c r="R1651" s="5" t="s">
        <v>240</v>
      </c>
      <c r="S1651" s="5" t="s">
        <v>240</v>
      </c>
      <c r="T1651" s="5" t="s">
        <v>296</v>
      </c>
      <c r="U1651" s="5" t="s">
        <v>244</v>
      </c>
      <c r="V1651" s="5" t="s">
        <v>240</v>
      </c>
      <c r="Y1651" s="5" t="s">
        <v>240</v>
      </c>
      <c r="Z1651" s="6" t="s">
        <v>298</v>
      </c>
      <c r="AB1651" s="6" t="s">
        <v>240</v>
      </c>
      <c r="AE1651" s="6" t="s">
        <v>299</v>
      </c>
      <c r="AF1651" s="5" t="s">
        <v>248</v>
      </c>
      <c r="AG1651" s="5" t="s">
        <v>249</v>
      </c>
      <c r="AW1651" s="5" t="s">
        <v>251</v>
      </c>
      <c r="AX1651" s="5" t="s">
        <v>240</v>
      </c>
      <c r="AY1651" s="5" t="s">
        <v>253</v>
      </c>
      <c r="AZ1651" s="5" t="s">
        <v>240</v>
      </c>
      <c r="BA1651" s="5" t="s">
        <v>255</v>
      </c>
      <c r="BB1651" s="5" t="s">
        <v>240</v>
      </c>
      <c r="BD1651" s="5" t="s">
        <v>240</v>
      </c>
      <c r="BF1651" s="5" t="s">
        <v>301</v>
      </c>
      <c r="BG1651" s="6" t="s">
        <v>299</v>
      </c>
      <c r="BH1651" s="5" t="s">
        <v>302</v>
      </c>
      <c r="BI1651" s="5" t="s">
        <v>303</v>
      </c>
      <c r="BJ1651" s="5" t="s">
        <v>240</v>
      </c>
      <c r="BK1651" s="8">
        <f>0</f>
        <v>0</v>
      </c>
      <c r="BL1651" s="7">
        <f>0</f>
        <v>0</v>
      </c>
      <c r="BM1651" s="5" t="s">
        <v>258</v>
      </c>
      <c r="BN1651" s="5" t="s">
        <v>259</v>
      </c>
      <c r="CB1651" s="5" t="s">
        <v>240</v>
      </c>
      <c r="CC1651" s="5" t="s">
        <v>240</v>
      </c>
      <c r="CG1651" s="5" t="s">
        <v>304</v>
      </c>
      <c r="CH1651" s="5" t="s">
        <v>305</v>
      </c>
      <c r="CI1651" s="5" t="s">
        <v>240</v>
      </c>
      <c r="CL1651" s="6" t="s">
        <v>261</v>
      </c>
      <c r="CM1651" s="5" t="s">
        <v>240</v>
      </c>
      <c r="CN1651" s="5" t="s">
        <v>263</v>
      </c>
      <c r="CO1651" s="5" t="s">
        <v>240</v>
      </c>
      <c r="CP1651" s="5" t="s">
        <v>240</v>
      </c>
      <c r="CQ1651" s="5">
        <v>0</v>
      </c>
      <c r="CR1651" s="5" t="s">
        <v>306</v>
      </c>
      <c r="CS1651" s="5" t="s">
        <v>307</v>
      </c>
      <c r="CT1651" s="5" t="s">
        <v>307</v>
      </c>
      <c r="CU1651" s="5" t="s">
        <v>260</v>
      </c>
      <c r="CX1651" s="7">
        <f>1</f>
        <v>1</v>
      </c>
      <c r="CY1651" s="7">
        <f>0</f>
        <v>0</v>
      </c>
      <c r="DA1651" s="7">
        <f>0</f>
        <v>0</v>
      </c>
      <c r="DC1651" s="5" t="s">
        <v>812</v>
      </c>
      <c r="DD1651" s="5" t="s">
        <v>240</v>
      </c>
      <c r="DF1651" s="5" t="s">
        <v>812</v>
      </c>
      <c r="DG1651" s="7">
        <f>210</f>
        <v>210</v>
      </c>
      <c r="DI1651" s="5" t="s">
        <v>240</v>
      </c>
      <c r="DJ1651" s="5" t="s">
        <v>240</v>
      </c>
      <c r="DK1651" s="5" t="s">
        <v>240</v>
      </c>
      <c r="DL1651" s="5" t="s">
        <v>240</v>
      </c>
      <c r="DP1651" s="5" t="s">
        <v>240</v>
      </c>
      <c r="DQ1651" s="5" t="s">
        <v>240</v>
      </c>
      <c r="DR1651" s="5" t="s">
        <v>240</v>
      </c>
      <c r="DS1651" s="5" t="s">
        <v>240</v>
      </c>
      <c r="DV1651" s="5" t="s">
        <v>813</v>
      </c>
      <c r="DW1651" s="5" t="s">
        <v>3433</v>
      </c>
      <c r="HO1651" s="5" t="s">
        <v>312</v>
      </c>
    </row>
    <row r="1652" spans="1:223" x14ac:dyDescent="0.4">
      <c r="A1652" s="5">
        <v>3327</v>
      </c>
      <c r="B1652" s="5">
        <v>1</v>
      </c>
      <c r="C1652" s="5">
        <v>1</v>
      </c>
      <c r="D1652" s="5" t="s">
        <v>297</v>
      </c>
      <c r="E1652" s="5" t="s">
        <v>245</v>
      </c>
      <c r="F1652" s="5" t="s">
        <v>254</v>
      </c>
      <c r="G1652" s="5" t="s">
        <v>240</v>
      </c>
      <c r="H1652" s="6" t="s">
        <v>4511</v>
      </c>
      <c r="I1652" s="5" t="s">
        <v>295</v>
      </c>
      <c r="J1652" s="8">
        <f>928</f>
        <v>928</v>
      </c>
      <c r="K1652" s="5" t="s">
        <v>308</v>
      </c>
      <c r="L1652" s="7">
        <f>1</f>
        <v>1</v>
      </c>
      <c r="M1652" s="7">
        <f>1</f>
        <v>1</v>
      </c>
      <c r="N1652" s="5" t="s">
        <v>242</v>
      </c>
      <c r="O1652" s="5">
        <v>1</v>
      </c>
      <c r="P1652" s="5" t="s">
        <v>294</v>
      </c>
      <c r="Q1652" s="5" t="s">
        <v>266</v>
      </c>
      <c r="R1652" s="5" t="s">
        <v>240</v>
      </c>
      <c r="S1652" s="5" t="s">
        <v>240</v>
      </c>
      <c r="T1652" s="5" t="s">
        <v>296</v>
      </c>
      <c r="U1652" s="5" t="s">
        <v>244</v>
      </c>
      <c r="V1652" s="5" t="s">
        <v>240</v>
      </c>
      <c r="Y1652" s="5" t="s">
        <v>240</v>
      </c>
      <c r="Z1652" s="6" t="s">
        <v>298</v>
      </c>
      <c r="AB1652" s="6" t="s">
        <v>240</v>
      </c>
      <c r="AE1652" s="6" t="s">
        <v>299</v>
      </c>
      <c r="AF1652" s="5" t="s">
        <v>248</v>
      </c>
      <c r="AG1652" s="5" t="s">
        <v>249</v>
      </c>
      <c r="AW1652" s="5" t="s">
        <v>251</v>
      </c>
      <c r="AX1652" s="5" t="s">
        <v>240</v>
      </c>
      <c r="AY1652" s="5" t="s">
        <v>253</v>
      </c>
      <c r="AZ1652" s="5" t="s">
        <v>240</v>
      </c>
      <c r="BA1652" s="5" t="s">
        <v>255</v>
      </c>
      <c r="BB1652" s="5" t="s">
        <v>240</v>
      </c>
      <c r="BD1652" s="5" t="s">
        <v>240</v>
      </c>
      <c r="BF1652" s="5" t="s">
        <v>301</v>
      </c>
      <c r="BG1652" s="6" t="s">
        <v>299</v>
      </c>
      <c r="BH1652" s="5" t="s">
        <v>302</v>
      </c>
      <c r="BI1652" s="5" t="s">
        <v>303</v>
      </c>
      <c r="BJ1652" s="5" t="s">
        <v>240</v>
      </c>
      <c r="BK1652" s="8">
        <f>0</f>
        <v>0</v>
      </c>
      <c r="BL1652" s="7">
        <f>0</f>
        <v>0</v>
      </c>
      <c r="BM1652" s="5" t="s">
        <v>258</v>
      </c>
      <c r="BN1652" s="5" t="s">
        <v>259</v>
      </c>
      <c r="CB1652" s="5" t="s">
        <v>240</v>
      </c>
      <c r="CC1652" s="5" t="s">
        <v>240</v>
      </c>
      <c r="CG1652" s="5" t="s">
        <v>304</v>
      </c>
      <c r="CH1652" s="5" t="s">
        <v>305</v>
      </c>
      <c r="CI1652" s="5" t="s">
        <v>240</v>
      </c>
      <c r="CL1652" s="6" t="s">
        <v>261</v>
      </c>
      <c r="CM1652" s="5" t="s">
        <v>240</v>
      </c>
      <c r="CN1652" s="5" t="s">
        <v>263</v>
      </c>
      <c r="CO1652" s="5" t="s">
        <v>240</v>
      </c>
      <c r="CP1652" s="5" t="s">
        <v>240</v>
      </c>
      <c r="CQ1652" s="5">
        <v>0</v>
      </c>
      <c r="CR1652" s="5" t="s">
        <v>306</v>
      </c>
      <c r="CS1652" s="5" t="s">
        <v>307</v>
      </c>
      <c r="CT1652" s="5" t="s">
        <v>307</v>
      </c>
      <c r="CU1652" s="5" t="s">
        <v>260</v>
      </c>
      <c r="CX1652" s="7">
        <f>1</f>
        <v>1</v>
      </c>
      <c r="CY1652" s="7">
        <f>0</f>
        <v>0</v>
      </c>
      <c r="DA1652" s="7">
        <f>0</f>
        <v>0</v>
      </c>
      <c r="DC1652" s="5" t="s">
        <v>812</v>
      </c>
      <c r="DD1652" s="5" t="s">
        <v>240</v>
      </c>
      <c r="DF1652" s="5" t="s">
        <v>812</v>
      </c>
      <c r="DG1652" s="7">
        <f>54</f>
        <v>54</v>
      </c>
      <c r="DI1652" s="5" t="s">
        <v>240</v>
      </c>
      <c r="DJ1652" s="5" t="s">
        <v>240</v>
      </c>
      <c r="DK1652" s="5" t="s">
        <v>240</v>
      </c>
      <c r="DL1652" s="5" t="s">
        <v>240</v>
      </c>
      <c r="DP1652" s="5" t="s">
        <v>240</v>
      </c>
      <c r="DQ1652" s="5" t="s">
        <v>240</v>
      </c>
      <c r="DR1652" s="5" t="s">
        <v>240</v>
      </c>
      <c r="DS1652" s="5" t="s">
        <v>240</v>
      </c>
      <c r="DV1652" s="5" t="s">
        <v>813</v>
      </c>
      <c r="DW1652" s="5" t="s">
        <v>3435</v>
      </c>
      <c r="HO1652" s="5" t="s">
        <v>312</v>
      </c>
    </row>
    <row r="1653" spans="1:223" x14ac:dyDescent="0.4">
      <c r="A1653" s="5">
        <v>3328</v>
      </c>
      <c r="B1653" s="5">
        <v>1</v>
      </c>
      <c r="C1653" s="5">
        <v>1</v>
      </c>
      <c r="D1653" s="5" t="s">
        <v>297</v>
      </c>
      <c r="E1653" s="5" t="s">
        <v>245</v>
      </c>
      <c r="F1653" s="5" t="s">
        <v>254</v>
      </c>
      <c r="G1653" s="5" t="s">
        <v>240</v>
      </c>
      <c r="H1653" s="6" t="s">
        <v>4510</v>
      </c>
      <c r="I1653" s="5" t="s">
        <v>295</v>
      </c>
      <c r="J1653" s="8">
        <f>3610</f>
        <v>3610</v>
      </c>
      <c r="K1653" s="5" t="s">
        <v>308</v>
      </c>
      <c r="L1653" s="7">
        <f>1</f>
        <v>1</v>
      </c>
      <c r="M1653" s="7">
        <f>1</f>
        <v>1</v>
      </c>
      <c r="N1653" s="5" t="s">
        <v>242</v>
      </c>
      <c r="O1653" s="5">
        <v>1</v>
      </c>
      <c r="P1653" s="5" t="s">
        <v>294</v>
      </c>
      <c r="Q1653" s="5" t="s">
        <v>266</v>
      </c>
      <c r="R1653" s="5" t="s">
        <v>240</v>
      </c>
      <c r="S1653" s="5" t="s">
        <v>240</v>
      </c>
      <c r="T1653" s="5" t="s">
        <v>296</v>
      </c>
      <c r="U1653" s="5" t="s">
        <v>244</v>
      </c>
      <c r="V1653" s="5" t="s">
        <v>240</v>
      </c>
      <c r="Y1653" s="5" t="s">
        <v>240</v>
      </c>
      <c r="Z1653" s="6" t="s">
        <v>298</v>
      </c>
      <c r="AB1653" s="6" t="s">
        <v>240</v>
      </c>
      <c r="AE1653" s="6" t="s">
        <v>299</v>
      </c>
      <c r="AF1653" s="5" t="s">
        <v>248</v>
      </c>
      <c r="AG1653" s="5" t="s">
        <v>249</v>
      </c>
      <c r="AW1653" s="5" t="s">
        <v>251</v>
      </c>
      <c r="AX1653" s="5" t="s">
        <v>240</v>
      </c>
      <c r="AY1653" s="5" t="s">
        <v>253</v>
      </c>
      <c r="AZ1653" s="5" t="s">
        <v>240</v>
      </c>
      <c r="BA1653" s="5" t="s">
        <v>255</v>
      </c>
      <c r="BB1653" s="5" t="s">
        <v>240</v>
      </c>
      <c r="BD1653" s="5" t="s">
        <v>240</v>
      </c>
      <c r="BF1653" s="5" t="s">
        <v>301</v>
      </c>
      <c r="BG1653" s="6" t="s">
        <v>299</v>
      </c>
      <c r="BH1653" s="5" t="s">
        <v>302</v>
      </c>
      <c r="BI1653" s="5" t="s">
        <v>303</v>
      </c>
      <c r="BJ1653" s="5" t="s">
        <v>240</v>
      </c>
      <c r="BK1653" s="8">
        <f>0</f>
        <v>0</v>
      </c>
      <c r="BL1653" s="7">
        <f>0</f>
        <v>0</v>
      </c>
      <c r="BM1653" s="5" t="s">
        <v>258</v>
      </c>
      <c r="BN1653" s="5" t="s">
        <v>259</v>
      </c>
      <c r="CB1653" s="5" t="s">
        <v>240</v>
      </c>
      <c r="CC1653" s="5" t="s">
        <v>240</v>
      </c>
      <c r="CG1653" s="5" t="s">
        <v>304</v>
      </c>
      <c r="CH1653" s="5" t="s">
        <v>305</v>
      </c>
      <c r="CI1653" s="5" t="s">
        <v>240</v>
      </c>
      <c r="CL1653" s="6" t="s">
        <v>261</v>
      </c>
      <c r="CM1653" s="5" t="s">
        <v>240</v>
      </c>
      <c r="CN1653" s="5" t="s">
        <v>263</v>
      </c>
      <c r="CO1653" s="5" t="s">
        <v>240</v>
      </c>
      <c r="CP1653" s="5" t="s">
        <v>240</v>
      </c>
      <c r="CQ1653" s="5">
        <v>0</v>
      </c>
      <c r="CR1653" s="5" t="s">
        <v>306</v>
      </c>
      <c r="CS1653" s="5" t="s">
        <v>307</v>
      </c>
      <c r="CT1653" s="5" t="s">
        <v>307</v>
      </c>
      <c r="CU1653" s="5" t="s">
        <v>260</v>
      </c>
      <c r="CX1653" s="7">
        <f>1</f>
        <v>1</v>
      </c>
      <c r="CY1653" s="7">
        <f>0</f>
        <v>0</v>
      </c>
      <c r="DA1653" s="7">
        <f>0</f>
        <v>0</v>
      </c>
      <c r="DC1653" s="5" t="s">
        <v>812</v>
      </c>
      <c r="DD1653" s="5" t="s">
        <v>240</v>
      </c>
      <c r="DF1653" s="5" t="s">
        <v>812</v>
      </c>
      <c r="DG1653" s="7">
        <f>247</f>
        <v>247</v>
      </c>
      <c r="DI1653" s="5" t="s">
        <v>240</v>
      </c>
      <c r="DJ1653" s="5" t="s">
        <v>240</v>
      </c>
      <c r="DK1653" s="5" t="s">
        <v>240</v>
      </c>
      <c r="DL1653" s="5" t="s">
        <v>240</v>
      </c>
      <c r="DP1653" s="5" t="s">
        <v>240</v>
      </c>
      <c r="DQ1653" s="5" t="s">
        <v>240</v>
      </c>
      <c r="DR1653" s="5" t="s">
        <v>240</v>
      </c>
      <c r="DS1653" s="5" t="s">
        <v>240</v>
      </c>
      <c r="DV1653" s="5" t="s">
        <v>813</v>
      </c>
      <c r="DW1653" s="5" t="s">
        <v>3437</v>
      </c>
      <c r="HO1653" s="5" t="s">
        <v>312</v>
      </c>
    </row>
    <row r="1654" spans="1:223" x14ac:dyDescent="0.4">
      <c r="A1654" s="5">
        <v>3329</v>
      </c>
      <c r="B1654" s="5">
        <v>1</v>
      </c>
      <c r="C1654" s="5">
        <v>1</v>
      </c>
      <c r="D1654" s="5" t="s">
        <v>297</v>
      </c>
      <c r="E1654" s="5" t="s">
        <v>245</v>
      </c>
      <c r="F1654" s="5" t="s">
        <v>254</v>
      </c>
      <c r="G1654" s="5" t="s">
        <v>240</v>
      </c>
      <c r="H1654" s="6" t="s">
        <v>5645</v>
      </c>
      <c r="I1654" s="5" t="s">
        <v>295</v>
      </c>
      <c r="J1654" s="8">
        <f>268</f>
        <v>268</v>
      </c>
      <c r="K1654" s="5" t="s">
        <v>308</v>
      </c>
      <c r="L1654" s="7">
        <f>1</f>
        <v>1</v>
      </c>
      <c r="M1654" s="7">
        <f>1</f>
        <v>1</v>
      </c>
      <c r="N1654" s="5" t="s">
        <v>242</v>
      </c>
      <c r="O1654" s="5">
        <v>1</v>
      </c>
      <c r="P1654" s="5" t="s">
        <v>294</v>
      </c>
      <c r="Q1654" s="5" t="s">
        <v>266</v>
      </c>
      <c r="R1654" s="5" t="s">
        <v>240</v>
      </c>
      <c r="S1654" s="5" t="s">
        <v>240</v>
      </c>
      <c r="T1654" s="5" t="s">
        <v>296</v>
      </c>
      <c r="U1654" s="5" t="s">
        <v>244</v>
      </c>
      <c r="V1654" s="5" t="s">
        <v>240</v>
      </c>
      <c r="Y1654" s="5" t="s">
        <v>240</v>
      </c>
      <c r="Z1654" s="6" t="s">
        <v>298</v>
      </c>
      <c r="AB1654" s="6" t="s">
        <v>240</v>
      </c>
      <c r="AE1654" s="6" t="s">
        <v>299</v>
      </c>
      <c r="AF1654" s="5" t="s">
        <v>248</v>
      </c>
      <c r="AG1654" s="5" t="s">
        <v>249</v>
      </c>
      <c r="AW1654" s="5" t="s">
        <v>251</v>
      </c>
      <c r="AX1654" s="5" t="s">
        <v>240</v>
      </c>
      <c r="AY1654" s="5" t="s">
        <v>253</v>
      </c>
      <c r="AZ1654" s="5" t="s">
        <v>240</v>
      </c>
      <c r="BA1654" s="5" t="s">
        <v>255</v>
      </c>
      <c r="BB1654" s="5" t="s">
        <v>240</v>
      </c>
      <c r="BD1654" s="5" t="s">
        <v>240</v>
      </c>
      <c r="BF1654" s="5" t="s">
        <v>301</v>
      </c>
      <c r="BG1654" s="6" t="s">
        <v>299</v>
      </c>
      <c r="BH1654" s="5" t="s">
        <v>302</v>
      </c>
      <c r="BI1654" s="5" t="s">
        <v>303</v>
      </c>
      <c r="BJ1654" s="5" t="s">
        <v>240</v>
      </c>
      <c r="BK1654" s="8">
        <f>0</f>
        <v>0</v>
      </c>
      <c r="BL1654" s="7">
        <f>0</f>
        <v>0</v>
      </c>
      <c r="BM1654" s="5" t="s">
        <v>258</v>
      </c>
      <c r="BN1654" s="5" t="s">
        <v>259</v>
      </c>
      <c r="CB1654" s="5" t="s">
        <v>240</v>
      </c>
      <c r="CC1654" s="5" t="s">
        <v>240</v>
      </c>
      <c r="CG1654" s="5" t="s">
        <v>304</v>
      </c>
      <c r="CH1654" s="5" t="s">
        <v>305</v>
      </c>
      <c r="CI1654" s="5" t="s">
        <v>240</v>
      </c>
      <c r="CL1654" s="6" t="s">
        <v>261</v>
      </c>
      <c r="CM1654" s="5" t="s">
        <v>240</v>
      </c>
      <c r="CN1654" s="5" t="s">
        <v>263</v>
      </c>
      <c r="CO1654" s="5" t="s">
        <v>240</v>
      </c>
      <c r="CP1654" s="5" t="s">
        <v>240</v>
      </c>
      <c r="CQ1654" s="5">
        <v>0</v>
      </c>
      <c r="CR1654" s="5" t="s">
        <v>306</v>
      </c>
      <c r="CS1654" s="5" t="s">
        <v>307</v>
      </c>
      <c r="CT1654" s="5" t="s">
        <v>307</v>
      </c>
      <c r="CU1654" s="5" t="s">
        <v>260</v>
      </c>
      <c r="CX1654" s="7">
        <f>1</f>
        <v>1</v>
      </c>
      <c r="CY1654" s="7">
        <f>0</f>
        <v>0</v>
      </c>
      <c r="DA1654" s="7">
        <f>0</f>
        <v>0</v>
      </c>
      <c r="DC1654" s="5" t="s">
        <v>812</v>
      </c>
      <c r="DD1654" s="5" t="s">
        <v>240</v>
      </c>
      <c r="DF1654" s="5" t="s">
        <v>812</v>
      </c>
      <c r="DG1654" s="7">
        <f>2201</f>
        <v>2201</v>
      </c>
      <c r="DI1654" s="5" t="s">
        <v>240</v>
      </c>
      <c r="DJ1654" s="5" t="s">
        <v>240</v>
      </c>
      <c r="DK1654" s="5" t="s">
        <v>240</v>
      </c>
      <c r="DL1654" s="5" t="s">
        <v>240</v>
      </c>
      <c r="DP1654" s="5" t="s">
        <v>240</v>
      </c>
      <c r="DQ1654" s="5" t="s">
        <v>240</v>
      </c>
      <c r="DR1654" s="5" t="s">
        <v>240</v>
      </c>
      <c r="DS1654" s="5" t="s">
        <v>240</v>
      </c>
      <c r="DV1654" s="5" t="s">
        <v>813</v>
      </c>
      <c r="DW1654" s="5" t="s">
        <v>3439</v>
      </c>
      <c r="HO1654" s="5" t="s">
        <v>312</v>
      </c>
    </row>
    <row r="1655" spans="1:223" x14ac:dyDescent="0.4">
      <c r="A1655" s="5">
        <v>3330</v>
      </c>
      <c r="B1655" s="5">
        <v>1</v>
      </c>
      <c r="C1655" s="5">
        <v>1</v>
      </c>
      <c r="D1655" s="5" t="s">
        <v>297</v>
      </c>
      <c r="E1655" s="5" t="s">
        <v>245</v>
      </c>
      <c r="F1655" s="5" t="s">
        <v>254</v>
      </c>
      <c r="G1655" s="5" t="s">
        <v>240</v>
      </c>
      <c r="H1655" s="6" t="s">
        <v>4508</v>
      </c>
      <c r="I1655" s="5" t="s">
        <v>295</v>
      </c>
      <c r="J1655" s="8">
        <f>690</f>
        <v>690</v>
      </c>
      <c r="K1655" s="5" t="s">
        <v>308</v>
      </c>
      <c r="L1655" s="7">
        <f>1</f>
        <v>1</v>
      </c>
      <c r="M1655" s="7">
        <f>1</f>
        <v>1</v>
      </c>
      <c r="N1655" s="5" t="s">
        <v>242</v>
      </c>
      <c r="O1655" s="5">
        <v>1</v>
      </c>
      <c r="P1655" s="5" t="s">
        <v>294</v>
      </c>
      <c r="Q1655" s="5" t="s">
        <v>266</v>
      </c>
      <c r="R1655" s="5" t="s">
        <v>240</v>
      </c>
      <c r="S1655" s="5" t="s">
        <v>240</v>
      </c>
      <c r="T1655" s="5" t="s">
        <v>296</v>
      </c>
      <c r="U1655" s="5" t="s">
        <v>244</v>
      </c>
      <c r="V1655" s="5" t="s">
        <v>240</v>
      </c>
      <c r="Y1655" s="5" t="s">
        <v>240</v>
      </c>
      <c r="Z1655" s="6" t="s">
        <v>298</v>
      </c>
      <c r="AB1655" s="6" t="s">
        <v>240</v>
      </c>
      <c r="AE1655" s="6" t="s">
        <v>299</v>
      </c>
      <c r="AF1655" s="5" t="s">
        <v>248</v>
      </c>
      <c r="AG1655" s="5" t="s">
        <v>249</v>
      </c>
      <c r="AW1655" s="5" t="s">
        <v>251</v>
      </c>
      <c r="AX1655" s="5" t="s">
        <v>240</v>
      </c>
      <c r="AY1655" s="5" t="s">
        <v>253</v>
      </c>
      <c r="AZ1655" s="5" t="s">
        <v>240</v>
      </c>
      <c r="BA1655" s="5" t="s">
        <v>255</v>
      </c>
      <c r="BB1655" s="5" t="s">
        <v>240</v>
      </c>
      <c r="BD1655" s="5" t="s">
        <v>240</v>
      </c>
      <c r="BF1655" s="5" t="s">
        <v>301</v>
      </c>
      <c r="BG1655" s="6" t="s">
        <v>299</v>
      </c>
      <c r="BH1655" s="5" t="s">
        <v>302</v>
      </c>
      <c r="BI1655" s="5" t="s">
        <v>303</v>
      </c>
      <c r="BJ1655" s="5" t="s">
        <v>240</v>
      </c>
      <c r="BK1655" s="8">
        <f>0</f>
        <v>0</v>
      </c>
      <c r="BL1655" s="7">
        <f>0</f>
        <v>0</v>
      </c>
      <c r="BM1655" s="5" t="s">
        <v>258</v>
      </c>
      <c r="BN1655" s="5" t="s">
        <v>259</v>
      </c>
      <c r="CB1655" s="5" t="s">
        <v>240</v>
      </c>
      <c r="CC1655" s="5" t="s">
        <v>240</v>
      </c>
      <c r="CG1655" s="5" t="s">
        <v>304</v>
      </c>
      <c r="CH1655" s="5" t="s">
        <v>305</v>
      </c>
      <c r="CI1655" s="5" t="s">
        <v>240</v>
      </c>
      <c r="CL1655" s="6" t="s">
        <v>261</v>
      </c>
      <c r="CM1655" s="5" t="s">
        <v>240</v>
      </c>
      <c r="CN1655" s="5" t="s">
        <v>263</v>
      </c>
      <c r="CO1655" s="5" t="s">
        <v>240</v>
      </c>
      <c r="CP1655" s="5" t="s">
        <v>240</v>
      </c>
      <c r="CQ1655" s="5">
        <v>0</v>
      </c>
      <c r="CR1655" s="5" t="s">
        <v>306</v>
      </c>
      <c r="CS1655" s="5" t="s">
        <v>307</v>
      </c>
      <c r="CT1655" s="5" t="s">
        <v>307</v>
      </c>
      <c r="CU1655" s="5" t="s">
        <v>260</v>
      </c>
      <c r="CX1655" s="7">
        <f>1</f>
        <v>1</v>
      </c>
      <c r="CY1655" s="7">
        <f>0</f>
        <v>0</v>
      </c>
      <c r="DA1655" s="7">
        <f>0</f>
        <v>0</v>
      </c>
      <c r="DC1655" s="5" t="s">
        <v>812</v>
      </c>
      <c r="DD1655" s="5" t="s">
        <v>240</v>
      </c>
      <c r="DF1655" s="5" t="s">
        <v>812</v>
      </c>
      <c r="DG1655" s="7">
        <f>904</f>
        <v>904</v>
      </c>
      <c r="DI1655" s="5" t="s">
        <v>240</v>
      </c>
      <c r="DJ1655" s="5" t="s">
        <v>240</v>
      </c>
      <c r="DK1655" s="5" t="s">
        <v>240</v>
      </c>
      <c r="DL1655" s="5" t="s">
        <v>240</v>
      </c>
      <c r="DP1655" s="5" t="s">
        <v>240</v>
      </c>
      <c r="DQ1655" s="5" t="s">
        <v>240</v>
      </c>
      <c r="DR1655" s="5" t="s">
        <v>240</v>
      </c>
      <c r="DS1655" s="5" t="s">
        <v>240</v>
      </c>
      <c r="DV1655" s="5" t="s">
        <v>813</v>
      </c>
      <c r="DW1655" s="5" t="s">
        <v>3441</v>
      </c>
      <c r="HO1655" s="5" t="s">
        <v>312</v>
      </c>
    </row>
    <row r="1656" spans="1:223" x14ac:dyDescent="0.4">
      <c r="A1656" s="5">
        <v>3331</v>
      </c>
      <c r="B1656" s="5">
        <v>1</v>
      </c>
      <c r="C1656" s="5">
        <v>1</v>
      </c>
      <c r="D1656" s="5" t="s">
        <v>297</v>
      </c>
      <c r="E1656" s="5" t="s">
        <v>245</v>
      </c>
      <c r="F1656" s="5" t="s">
        <v>254</v>
      </c>
      <c r="G1656" s="5" t="s">
        <v>240</v>
      </c>
      <c r="H1656" s="6" t="s">
        <v>4507</v>
      </c>
      <c r="I1656" s="5" t="s">
        <v>295</v>
      </c>
      <c r="J1656" s="8">
        <f>3371</f>
        <v>3371</v>
      </c>
      <c r="K1656" s="5" t="s">
        <v>308</v>
      </c>
      <c r="L1656" s="7">
        <f>1</f>
        <v>1</v>
      </c>
      <c r="M1656" s="7">
        <f>1</f>
        <v>1</v>
      </c>
      <c r="N1656" s="5" t="s">
        <v>242</v>
      </c>
      <c r="O1656" s="5">
        <v>1</v>
      </c>
      <c r="P1656" s="5" t="s">
        <v>294</v>
      </c>
      <c r="Q1656" s="5" t="s">
        <v>266</v>
      </c>
      <c r="R1656" s="5" t="s">
        <v>240</v>
      </c>
      <c r="S1656" s="5" t="s">
        <v>240</v>
      </c>
      <c r="T1656" s="5" t="s">
        <v>296</v>
      </c>
      <c r="U1656" s="5" t="s">
        <v>244</v>
      </c>
      <c r="V1656" s="5" t="s">
        <v>240</v>
      </c>
      <c r="Y1656" s="5" t="s">
        <v>240</v>
      </c>
      <c r="Z1656" s="6" t="s">
        <v>298</v>
      </c>
      <c r="AB1656" s="6" t="s">
        <v>240</v>
      </c>
      <c r="AE1656" s="6" t="s">
        <v>299</v>
      </c>
      <c r="AF1656" s="5" t="s">
        <v>248</v>
      </c>
      <c r="AG1656" s="5" t="s">
        <v>249</v>
      </c>
      <c r="AW1656" s="5" t="s">
        <v>251</v>
      </c>
      <c r="AX1656" s="5" t="s">
        <v>240</v>
      </c>
      <c r="AY1656" s="5" t="s">
        <v>253</v>
      </c>
      <c r="AZ1656" s="5" t="s">
        <v>240</v>
      </c>
      <c r="BA1656" s="5" t="s">
        <v>255</v>
      </c>
      <c r="BB1656" s="5" t="s">
        <v>240</v>
      </c>
      <c r="BD1656" s="5" t="s">
        <v>240</v>
      </c>
      <c r="BF1656" s="5" t="s">
        <v>301</v>
      </c>
      <c r="BG1656" s="6" t="s">
        <v>299</v>
      </c>
      <c r="BH1656" s="5" t="s">
        <v>302</v>
      </c>
      <c r="BI1656" s="5" t="s">
        <v>303</v>
      </c>
      <c r="BJ1656" s="5" t="s">
        <v>240</v>
      </c>
      <c r="BK1656" s="8">
        <f>0</f>
        <v>0</v>
      </c>
      <c r="BL1656" s="7">
        <f>0</f>
        <v>0</v>
      </c>
      <c r="BM1656" s="5" t="s">
        <v>258</v>
      </c>
      <c r="BN1656" s="5" t="s">
        <v>259</v>
      </c>
      <c r="CB1656" s="5" t="s">
        <v>240</v>
      </c>
      <c r="CC1656" s="5" t="s">
        <v>240</v>
      </c>
      <c r="CG1656" s="5" t="s">
        <v>304</v>
      </c>
      <c r="CH1656" s="5" t="s">
        <v>305</v>
      </c>
      <c r="CI1656" s="5" t="s">
        <v>240</v>
      </c>
      <c r="CL1656" s="6" t="s">
        <v>261</v>
      </c>
      <c r="CM1656" s="5" t="s">
        <v>240</v>
      </c>
      <c r="CN1656" s="5" t="s">
        <v>263</v>
      </c>
      <c r="CO1656" s="5" t="s">
        <v>240</v>
      </c>
      <c r="CP1656" s="5" t="s">
        <v>240</v>
      </c>
      <c r="CQ1656" s="5">
        <v>0</v>
      </c>
      <c r="CR1656" s="5" t="s">
        <v>306</v>
      </c>
      <c r="CS1656" s="5" t="s">
        <v>307</v>
      </c>
      <c r="CT1656" s="5" t="s">
        <v>307</v>
      </c>
      <c r="CU1656" s="5" t="s">
        <v>260</v>
      </c>
      <c r="CX1656" s="7">
        <f>1</f>
        <v>1</v>
      </c>
      <c r="CY1656" s="7">
        <f>0</f>
        <v>0</v>
      </c>
      <c r="DA1656" s="7">
        <f>0</f>
        <v>0</v>
      </c>
      <c r="DC1656" s="5" t="s">
        <v>812</v>
      </c>
      <c r="DD1656" s="5" t="s">
        <v>240</v>
      </c>
      <c r="DF1656" s="5" t="s">
        <v>812</v>
      </c>
      <c r="DG1656" s="7">
        <f>3831</f>
        <v>3831</v>
      </c>
      <c r="DI1656" s="5" t="s">
        <v>240</v>
      </c>
      <c r="DJ1656" s="5" t="s">
        <v>240</v>
      </c>
      <c r="DK1656" s="5" t="s">
        <v>240</v>
      </c>
      <c r="DL1656" s="5" t="s">
        <v>240</v>
      </c>
      <c r="DP1656" s="5" t="s">
        <v>240</v>
      </c>
      <c r="DQ1656" s="5" t="s">
        <v>240</v>
      </c>
      <c r="DR1656" s="5" t="s">
        <v>240</v>
      </c>
      <c r="DS1656" s="5" t="s">
        <v>240</v>
      </c>
      <c r="DV1656" s="5" t="s">
        <v>813</v>
      </c>
      <c r="DW1656" s="5" t="s">
        <v>3443</v>
      </c>
      <c r="HO1656" s="5" t="s">
        <v>312</v>
      </c>
    </row>
    <row r="1657" spans="1:223" x14ac:dyDescent="0.4">
      <c r="A1657" s="5">
        <v>3332</v>
      </c>
      <c r="B1657" s="5">
        <v>1</v>
      </c>
      <c r="C1657" s="5">
        <v>1</v>
      </c>
      <c r="D1657" s="5" t="s">
        <v>297</v>
      </c>
      <c r="E1657" s="5" t="s">
        <v>245</v>
      </c>
      <c r="F1657" s="5" t="s">
        <v>254</v>
      </c>
      <c r="G1657" s="5" t="s">
        <v>240</v>
      </c>
      <c r="H1657" s="6" t="s">
        <v>4506</v>
      </c>
      <c r="I1657" s="5" t="s">
        <v>295</v>
      </c>
      <c r="J1657" s="8">
        <f>258</f>
        <v>258</v>
      </c>
      <c r="K1657" s="5" t="s">
        <v>308</v>
      </c>
      <c r="L1657" s="7">
        <f>1</f>
        <v>1</v>
      </c>
      <c r="M1657" s="7">
        <f>1</f>
        <v>1</v>
      </c>
      <c r="N1657" s="5" t="s">
        <v>242</v>
      </c>
      <c r="O1657" s="5">
        <v>1</v>
      </c>
      <c r="P1657" s="5" t="s">
        <v>294</v>
      </c>
      <c r="Q1657" s="5" t="s">
        <v>266</v>
      </c>
      <c r="R1657" s="5" t="s">
        <v>240</v>
      </c>
      <c r="S1657" s="5" t="s">
        <v>240</v>
      </c>
      <c r="T1657" s="5" t="s">
        <v>296</v>
      </c>
      <c r="U1657" s="5" t="s">
        <v>244</v>
      </c>
      <c r="V1657" s="5" t="s">
        <v>240</v>
      </c>
      <c r="Y1657" s="5" t="s">
        <v>240</v>
      </c>
      <c r="Z1657" s="6" t="s">
        <v>298</v>
      </c>
      <c r="AB1657" s="6" t="s">
        <v>240</v>
      </c>
      <c r="AE1657" s="6" t="s">
        <v>299</v>
      </c>
      <c r="AF1657" s="5" t="s">
        <v>248</v>
      </c>
      <c r="AG1657" s="5" t="s">
        <v>249</v>
      </c>
      <c r="AW1657" s="5" t="s">
        <v>251</v>
      </c>
      <c r="AX1657" s="5" t="s">
        <v>240</v>
      </c>
      <c r="AY1657" s="5" t="s">
        <v>253</v>
      </c>
      <c r="AZ1657" s="5" t="s">
        <v>240</v>
      </c>
      <c r="BA1657" s="5" t="s">
        <v>255</v>
      </c>
      <c r="BB1657" s="5" t="s">
        <v>240</v>
      </c>
      <c r="BD1657" s="5" t="s">
        <v>240</v>
      </c>
      <c r="BF1657" s="5" t="s">
        <v>301</v>
      </c>
      <c r="BG1657" s="6" t="s">
        <v>299</v>
      </c>
      <c r="BH1657" s="5" t="s">
        <v>302</v>
      </c>
      <c r="BI1657" s="5" t="s">
        <v>303</v>
      </c>
      <c r="BJ1657" s="5" t="s">
        <v>240</v>
      </c>
      <c r="BK1657" s="8">
        <f>0</f>
        <v>0</v>
      </c>
      <c r="BL1657" s="7">
        <f>0</f>
        <v>0</v>
      </c>
      <c r="BM1657" s="5" t="s">
        <v>258</v>
      </c>
      <c r="BN1657" s="5" t="s">
        <v>259</v>
      </c>
      <c r="CB1657" s="5" t="s">
        <v>240</v>
      </c>
      <c r="CC1657" s="5" t="s">
        <v>240</v>
      </c>
      <c r="CG1657" s="5" t="s">
        <v>304</v>
      </c>
      <c r="CH1657" s="5" t="s">
        <v>305</v>
      </c>
      <c r="CI1657" s="5" t="s">
        <v>240</v>
      </c>
      <c r="CL1657" s="6" t="s">
        <v>261</v>
      </c>
      <c r="CM1657" s="5" t="s">
        <v>240</v>
      </c>
      <c r="CN1657" s="5" t="s">
        <v>263</v>
      </c>
      <c r="CO1657" s="5" t="s">
        <v>240</v>
      </c>
      <c r="CP1657" s="5" t="s">
        <v>240</v>
      </c>
      <c r="CQ1657" s="5">
        <v>0</v>
      </c>
      <c r="CR1657" s="5" t="s">
        <v>306</v>
      </c>
      <c r="CS1657" s="5" t="s">
        <v>307</v>
      </c>
      <c r="CT1657" s="5" t="s">
        <v>307</v>
      </c>
      <c r="CU1657" s="5" t="s">
        <v>260</v>
      </c>
      <c r="CX1657" s="7">
        <f>1</f>
        <v>1</v>
      </c>
      <c r="CY1657" s="7">
        <f>0</f>
        <v>0</v>
      </c>
      <c r="DA1657" s="7">
        <f>0</f>
        <v>0</v>
      </c>
      <c r="DC1657" s="5" t="s">
        <v>812</v>
      </c>
      <c r="DD1657" s="5" t="s">
        <v>240</v>
      </c>
      <c r="DF1657" s="5" t="s">
        <v>812</v>
      </c>
      <c r="DG1657" s="7">
        <f>302</f>
        <v>302</v>
      </c>
      <c r="DI1657" s="5" t="s">
        <v>240</v>
      </c>
      <c r="DJ1657" s="5" t="s">
        <v>240</v>
      </c>
      <c r="DK1657" s="5" t="s">
        <v>240</v>
      </c>
      <c r="DL1657" s="5" t="s">
        <v>240</v>
      </c>
      <c r="DP1657" s="5" t="s">
        <v>240</v>
      </c>
      <c r="DQ1657" s="5" t="s">
        <v>240</v>
      </c>
      <c r="DR1657" s="5" t="s">
        <v>240</v>
      </c>
      <c r="DS1657" s="5" t="s">
        <v>240</v>
      </c>
      <c r="DV1657" s="5" t="s">
        <v>813</v>
      </c>
      <c r="DW1657" s="5" t="s">
        <v>3445</v>
      </c>
      <c r="HO1657" s="5" t="s">
        <v>312</v>
      </c>
    </row>
    <row r="1658" spans="1:223" x14ac:dyDescent="0.4">
      <c r="A1658" s="5">
        <v>3333</v>
      </c>
      <c r="B1658" s="5">
        <v>1</v>
      </c>
      <c r="C1658" s="5">
        <v>1</v>
      </c>
      <c r="D1658" s="5" t="s">
        <v>297</v>
      </c>
      <c r="E1658" s="5" t="s">
        <v>245</v>
      </c>
      <c r="F1658" s="5" t="s">
        <v>254</v>
      </c>
      <c r="G1658" s="5" t="s">
        <v>240</v>
      </c>
      <c r="H1658" s="6" t="s">
        <v>5641</v>
      </c>
      <c r="I1658" s="5" t="s">
        <v>295</v>
      </c>
      <c r="J1658" s="8">
        <f>2009</f>
        <v>2009</v>
      </c>
      <c r="K1658" s="5" t="s">
        <v>308</v>
      </c>
      <c r="L1658" s="7">
        <f>1</f>
        <v>1</v>
      </c>
      <c r="M1658" s="7">
        <f>1</f>
        <v>1</v>
      </c>
      <c r="N1658" s="5" t="s">
        <v>242</v>
      </c>
      <c r="O1658" s="5">
        <v>1</v>
      </c>
      <c r="P1658" s="5" t="s">
        <v>294</v>
      </c>
      <c r="Q1658" s="5" t="s">
        <v>266</v>
      </c>
      <c r="R1658" s="5" t="s">
        <v>240</v>
      </c>
      <c r="S1658" s="5" t="s">
        <v>240</v>
      </c>
      <c r="T1658" s="5" t="s">
        <v>296</v>
      </c>
      <c r="U1658" s="5" t="s">
        <v>244</v>
      </c>
      <c r="V1658" s="5" t="s">
        <v>240</v>
      </c>
      <c r="Y1658" s="5" t="s">
        <v>240</v>
      </c>
      <c r="Z1658" s="6" t="s">
        <v>298</v>
      </c>
      <c r="AB1658" s="6" t="s">
        <v>240</v>
      </c>
      <c r="AE1658" s="6" t="s">
        <v>299</v>
      </c>
      <c r="AF1658" s="5" t="s">
        <v>248</v>
      </c>
      <c r="AG1658" s="5" t="s">
        <v>249</v>
      </c>
      <c r="AW1658" s="5" t="s">
        <v>251</v>
      </c>
      <c r="AX1658" s="5" t="s">
        <v>240</v>
      </c>
      <c r="AY1658" s="5" t="s">
        <v>253</v>
      </c>
      <c r="AZ1658" s="5" t="s">
        <v>240</v>
      </c>
      <c r="BA1658" s="5" t="s">
        <v>255</v>
      </c>
      <c r="BB1658" s="5" t="s">
        <v>240</v>
      </c>
      <c r="BD1658" s="5" t="s">
        <v>240</v>
      </c>
      <c r="BF1658" s="5" t="s">
        <v>301</v>
      </c>
      <c r="BG1658" s="6" t="s">
        <v>299</v>
      </c>
      <c r="BH1658" s="5" t="s">
        <v>302</v>
      </c>
      <c r="BI1658" s="5" t="s">
        <v>303</v>
      </c>
      <c r="BJ1658" s="5" t="s">
        <v>240</v>
      </c>
      <c r="BK1658" s="8">
        <f>0</f>
        <v>0</v>
      </c>
      <c r="BL1658" s="7">
        <f>0</f>
        <v>0</v>
      </c>
      <c r="BM1658" s="5" t="s">
        <v>258</v>
      </c>
      <c r="BN1658" s="5" t="s">
        <v>259</v>
      </c>
      <c r="CB1658" s="5" t="s">
        <v>240</v>
      </c>
      <c r="CC1658" s="5" t="s">
        <v>240</v>
      </c>
      <c r="CG1658" s="5" t="s">
        <v>304</v>
      </c>
      <c r="CH1658" s="5" t="s">
        <v>305</v>
      </c>
      <c r="CI1658" s="5" t="s">
        <v>240</v>
      </c>
      <c r="CL1658" s="6" t="s">
        <v>261</v>
      </c>
      <c r="CM1658" s="5" t="s">
        <v>240</v>
      </c>
      <c r="CN1658" s="5" t="s">
        <v>263</v>
      </c>
      <c r="CO1658" s="5" t="s">
        <v>240</v>
      </c>
      <c r="CP1658" s="5" t="s">
        <v>240</v>
      </c>
      <c r="CQ1658" s="5">
        <v>0</v>
      </c>
      <c r="CR1658" s="5" t="s">
        <v>306</v>
      </c>
      <c r="CS1658" s="5" t="s">
        <v>307</v>
      </c>
      <c r="CT1658" s="5" t="s">
        <v>307</v>
      </c>
      <c r="CU1658" s="5" t="s">
        <v>260</v>
      </c>
      <c r="CX1658" s="7">
        <f>1</f>
        <v>1</v>
      </c>
      <c r="CY1658" s="7">
        <f>0</f>
        <v>0</v>
      </c>
      <c r="DA1658" s="7">
        <f>0</f>
        <v>0</v>
      </c>
      <c r="DC1658" s="5" t="s">
        <v>812</v>
      </c>
      <c r="DD1658" s="5" t="s">
        <v>240</v>
      </c>
      <c r="DF1658" s="5" t="s">
        <v>812</v>
      </c>
      <c r="DG1658" s="7">
        <f>812</f>
        <v>812</v>
      </c>
      <c r="DI1658" s="5" t="s">
        <v>240</v>
      </c>
      <c r="DJ1658" s="5" t="s">
        <v>240</v>
      </c>
      <c r="DK1658" s="5" t="s">
        <v>240</v>
      </c>
      <c r="DL1658" s="5" t="s">
        <v>240</v>
      </c>
      <c r="DP1658" s="5" t="s">
        <v>240</v>
      </c>
      <c r="DQ1658" s="5" t="s">
        <v>240</v>
      </c>
      <c r="DR1658" s="5" t="s">
        <v>240</v>
      </c>
      <c r="DS1658" s="5" t="s">
        <v>240</v>
      </c>
      <c r="DV1658" s="5" t="s">
        <v>813</v>
      </c>
      <c r="DW1658" s="5" t="s">
        <v>3447</v>
      </c>
      <c r="HO1658" s="5" t="s">
        <v>312</v>
      </c>
    </row>
    <row r="1659" spans="1:223" x14ac:dyDescent="0.4">
      <c r="A1659" s="5">
        <v>3334</v>
      </c>
      <c r="B1659" s="5">
        <v>1</v>
      </c>
      <c r="C1659" s="5">
        <v>1</v>
      </c>
      <c r="D1659" s="5" t="s">
        <v>297</v>
      </c>
      <c r="E1659" s="5" t="s">
        <v>245</v>
      </c>
      <c r="F1659" s="5" t="s">
        <v>254</v>
      </c>
      <c r="G1659" s="5" t="s">
        <v>240</v>
      </c>
      <c r="H1659" s="6" t="s">
        <v>4504</v>
      </c>
      <c r="I1659" s="5" t="s">
        <v>295</v>
      </c>
      <c r="J1659" s="8">
        <f>902</f>
        <v>902</v>
      </c>
      <c r="K1659" s="5" t="s">
        <v>308</v>
      </c>
      <c r="L1659" s="7">
        <f>1</f>
        <v>1</v>
      </c>
      <c r="M1659" s="7">
        <f>1</f>
        <v>1</v>
      </c>
      <c r="N1659" s="5" t="s">
        <v>242</v>
      </c>
      <c r="O1659" s="5">
        <v>1</v>
      </c>
      <c r="P1659" s="5" t="s">
        <v>294</v>
      </c>
      <c r="Q1659" s="5" t="s">
        <v>266</v>
      </c>
      <c r="R1659" s="5" t="s">
        <v>240</v>
      </c>
      <c r="S1659" s="5" t="s">
        <v>240</v>
      </c>
      <c r="T1659" s="5" t="s">
        <v>296</v>
      </c>
      <c r="U1659" s="5" t="s">
        <v>244</v>
      </c>
      <c r="V1659" s="5" t="s">
        <v>240</v>
      </c>
      <c r="Y1659" s="5" t="s">
        <v>240</v>
      </c>
      <c r="Z1659" s="6" t="s">
        <v>298</v>
      </c>
      <c r="AB1659" s="6" t="s">
        <v>240</v>
      </c>
      <c r="AE1659" s="6" t="s">
        <v>299</v>
      </c>
      <c r="AF1659" s="5" t="s">
        <v>248</v>
      </c>
      <c r="AG1659" s="5" t="s">
        <v>249</v>
      </c>
      <c r="AW1659" s="5" t="s">
        <v>251</v>
      </c>
      <c r="AX1659" s="5" t="s">
        <v>240</v>
      </c>
      <c r="AY1659" s="5" t="s">
        <v>253</v>
      </c>
      <c r="AZ1659" s="5" t="s">
        <v>240</v>
      </c>
      <c r="BA1659" s="5" t="s">
        <v>255</v>
      </c>
      <c r="BB1659" s="5" t="s">
        <v>240</v>
      </c>
      <c r="BD1659" s="5" t="s">
        <v>240</v>
      </c>
      <c r="BF1659" s="5" t="s">
        <v>301</v>
      </c>
      <c r="BG1659" s="6" t="s">
        <v>299</v>
      </c>
      <c r="BH1659" s="5" t="s">
        <v>302</v>
      </c>
      <c r="BI1659" s="5" t="s">
        <v>303</v>
      </c>
      <c r="BJ1659" s="5" t="s">
        <v>240</v>
      </c>
      <c r="BK1659" s="8">
        <f>0</f>
        <v>0</v>
      </c>
      <c r="BL1659" s="7">
        <f>0</f>
        <v>0</v>
      </c>
      <c r="BM1659" s="5" t="s">
        <v>258</v>
      </c>
      <c r="BN1659" s="5" t="s">
        <v>259</v>
      </c>
      <c r="CB1659" s="5" t="s">
        <v>240</v>
      </c>
      <c r="CC1659" s="5" t="s">
        <v>240</v>
      </c>
      <c r="CG1659" s="5" t="s">
        <v>304</v>
      </c>
      <c r="CH1659" s="5" t="s">
        <v>305</v>
      </c>
      <c r="CI1659" s="5" t="s">
        <v>240</v>
      </c>
      <c r="CL1659" s="6" t="s">
        <v>261</v>
      </c>
      <c r="CM1659" s="5" t="s">
        <v>240</v>
      </c>
      <c r="CN1659" s="5" t="s">
        <v>263</v>
      </c>
      <c r="CO1659" s="5" t="s">
        <v>240</v>
      </c>
      <c r="CP1659" s="5" t="s">
        <v>240</v>
      </c>
      <c r="CQ1659" s="5">
        <v>0</v>
      </c>
      <c r="CR1659" s="5" t="s">
        <v>306</v>
      </c>
      <c r="CS1659" s="5" t="s">
        <v>307</v>
      </c>
      <c r="CT1659" s="5" t="s">
        <v>307</v>
      </c>
      <c r="CU1659" s="5" t="s">
        <v>260</v>
      </c>
      <c r="CX1659" s="7">
        <f>1</f>
        <v>1</v>
      </c>
      <c r="CY1659" s="7">
        <f>0</f>
        <v>0</v>
      </c>
      <c r="DA1659" s="7">
        <f>0</f>
        <v>0</v>
      </c>
      <c r="DC1659" s="5" t="s">
        <v>812</v>
      </c>
      <c r="DD1659" s="5" t="s">
        <v>240</v>
      </c>
      <c r="DF1659" s="5" t="s">
        <v>812</v>
      </c>
      <c r="DG1659" s="7">
        <f>122</f>
        <v>122</v>
      </c>
      <c r="DI1659" s="5" t="s">
        <v>240</v>
      </c>
      <c r="DJ1659" s="5" t="s">
        <v>240</v>
      </c>
      <c r="DK1659" s="5" t="s">
        <v>240</v>
      </c>
      <c r="DL1659" s="5" t="s">
        <v>240</v>
      </c>
      <c r="DP1659" s="5" t="s">
        <v>240</v>
      </c>
      <c r="DQ1659" s="5" t="s">
        <v>240</v>
      </c>
      <c r="DR1659" s="5" t="s">
        <v>240</v>
      </c>
      <c r="DS1659" s="5" t="s">
        <v>240</v>
      </c>
      <c r="DV1659" s="5" t="s">
        <v>813</v>
      </c>
      <c r="DW1659" s="5" t="s">
        <v>3449</v>
      </c>
      <c r="HO1659" s="5" t="s">
        <v>312</v>
      </c>
    </row>
    <row r="1660" spans="1:223" x14ac:dyDescent="0.4">
      <c r="A1660" s="5">
        <v>3335</v>
      </c>
      <c r="B1660" s="5">
        <v>1</v>
      </c>
      <c r="C1660" s="5">
        <v>1</v>
      </c>
      <c r="D1660" s="5" t="s">
        <v>297</v>
      </c>
      <c r="E1660" s="5" t="s">
        <v>245</v>
      </c>
      <c r="F1660" s="5" t="s">
        <v>254</v>
      </c>
      <c r="G1660" s="5" t="s">
        <v>240</v>
      </c>
      <c r="H1660" s="6" t="s">
        <v>4503</v>
      </c>
      <c r="I1660" s="5" t="s">
        <v>295</v>
      </c>
      <c r="J1660" s="8">
        <f>1451</f>
        <v>1451</v>
      </c>
      <c r="K1660" s="5" t="s">
        <v>308</v>
      </c>
      <c r="L1660" s="7">
        <f>1</f>
        <v>1</v>
      </c>
      <c r="M1660" s="7">
        <f>1</f>
        <v>1</v>
      </c>
      <c r="N1660" s="5" t="s">
        <v>242</v>
      </c>
      <c r="O1660" s="5">
        <v>1</v>
      </c>
      <c r="P1660" s="5" t="s">
        <v>294</v>
      </c>
      <c r="Q1660" s="5" t="s">
        <v>266</v>
      </c>
      <c r="R1660" s="5" t="s">
        <v>240</v>
      </c>
      <c r="S1660" s="5" t="s">
        <v>240</v>
      </c>
      <c r="T1660" s="5" t="s">
        <v>296</v>
      </c>
      <c r="U1660" s="5" t="s">
        <v>244</v>
      </c>
      <c r="V1660" s="5" t="s">
        <v>240</v>
      </c>
      <c r="Y1660" s="5" t="s">
        <v>240</v>
      </c>
      <c r="Z1660" s="6" t="s">
        <v>298</v>
      </c>
      <c r="AB1660" s="6" t="s">
        <v>240</v>
      </c>
      <c r="AE1660" s="6" t="s">
        <v>299</v>
      </c>
      <c r="AF1660" s="5" t="s">
        <v>248</v>
      </c>
      <c r="AG1660" s="5" t="s">
        <v>249</v>
      </c>
      <c r="AW1660" s="5" t="s">
        <v>251</v>
      </c>
      <c r="AX1660" s="5" t="s">
        <v>240</v>
      </c>
      <c r="AY1660" s="5" t="s">
        <v>253</v>
      </c>
      <c r="AZ1660" s="5" t="s">
        <v>240</v>
      </c>
      <c r="BA1660" s="5" t="s">
        <v>255</v>
      </c>
      <c r="BB1660" s="5" t="s">
        <v>240</v>
      </c>
      <c r="BD1660" s="5" t="s">
        <v>240</v>
      </c>
      <c r="BF1660" s="5" t="s">
        <v>301</v>
      </c>
      <c r="BG1660" s="6" t="s">
        <v>299</v>
      </c>
      <c r="BH1660" s="5" t="s">
        <v>302</v>
      </c>
      <c r="BI1660" s="5" t="s">
        <v>303</v>
      </c>
      <c r="BJ1660" s="5" t="s">
        <v>240</v>
      </c>
      <c r="BK1660" s="8">
        <f>0</f>
        <v>0</v>
      </c>
      <c r="BL1660" s="7">
        <f>0</f>
        <v>0</v>
      </c>
      <c r="BM1660" s="5" t="s">
        <v>258</v>
      </c>
      <c r="BN1660" s="5" t="s">
        <v>259</v>
      </c>
      <c r="CB1660" s="5" t="s">
        <v>240</v>
      </c>
      <c r="CC1660" s="5" t="s">
        <v>240</v>
      </c>
      <c r="CG1660" s="5" t="s">
        <v>304</v>
      </c>
      <c r="CH1660" s="5" t="s">
        <v>305</v>
      </c>
      <c r="CI1660" s="5" t="s">
        <v>240</v>
      </c>
      <c r="CL1660" s="6" t="s">
        <v>261</v>
      </c>
      <c r="CM1660" s="5" t="s">
        <v>240</v>
      </c>
      <c r="CN1660" s="5" t="s">
        <v>263</v>
      </c>
      <c r="CO1660" s="5" t="s">
        <v>240</v>
      </c>
      <c r="CP1660" s="5" t="s">
        <v>240</v>
      </c>
      <c r="CQ1660" s="5">
        <v>0</v>
      </c>
      <c r="CR1660" s="5" t="s">
        <v>306</v>
      </c>
      <c r="CS1660" s="5" t="s">
        <v>307</v>
      </c>
      <c r="CT1660" s="5" t="s">
        <v>307</v>
      </c>
      <c r="CU1660" s="5" t="s">
        <v>260</v>
      </c>
      <c r="CX1660" s="7">
        <f>1</f>
        <v>1</v>
      </c>
      <c r="CY1660" s="7">
        <f>0</f>
        <v>0</v>
      </c>
      <c r="DA1660" s="7">
        <f>0</f>
        <v>0</v>
      </c>
      <c r="DC1660" s="5" t="s">
        <v>812</v>
      </c>
      <c r="DD1660" s="5" t="s">
        <v>240</v>
      </c>
      <c r="DF1660" s="5" t="s">
        <v>812</v>
      </c>
      <c r="DG1660" s="7">
        <f>1752</f>
        <v>1752</v>
      </c>
      <c r="DI1660" s="5" t="s">
        <v>240</v>
      </c>
      <c r="DJ1660" s="5" t="s">
        <v>240</v>
      </c>
      <c r="DK1660" s="5" t="s">
        <v>240</v>
      </c>
      <c r="DL1660" s="5" t="s">
        <v>240</v>
      </c>
      <c r="DP1660" s="5" t="s">
        <v>240</v>
      </c>
      <c r="DQ1660" s="5" t="s">
        <v>240</v>
      </c>
      <c r="DR1660" s="5" t="s">
        <v>240</v>
      </c>
      <c r="DS1660" s="5" t="s">
        <v>240</v>
      </c>
      <c r="DV1660" s="5" t="s">
        <v>813</v>
      </c>
      <c r="DW1660" s="5" t="s">
        <v>3451</v>
      </c>
      <c r="HO1660" s="5" t="s">
        <v>312</v>
      </c>
    </row>
    <row r="1661" spans="1:223" x14ac:dyDescent="0.4">
      <c r="A1661" s="5">
        <v>3336</v>
      </c>
      <c r="B1661" s="5">
        <v>1</v>
      </c>
      <c r="C1661" s="5">
        <v>1</v>
      </c>
      <c r="D1661" s="5" t="s">
        <v>297</v>
      </c>
      <c r="E1661" s="5" t="s">
        <v>245</v>
      </c>
      <c r="F1661" s="5" t="s">
        <v>254</v>
      </c>
      <c r="G1661" s="5" t="s">
        <v>240</v>
      </c>
      <c r="H1661" s="6" t="s">
        <v>4502</v>
      </c>
      <c r="I1661" s="5" t="s">
        <v>295</v>
      </c>
      <c r="J1661" s="8">
        <f>1096</f>
        <v>1096</v>
      </c>
      <c r="K1661" s="5" t="s">
        <v>308</v>
      </c>
      <c r="L1661" s="7">
        <f>1</f>
        <v>1</v>
      </c>
      <c r="M1661" s="7">
        <f>1</f>
        <v>1</v>
      </c>
      <c r="N1661" s="5" t="s">
        <v>242</v>
      </c>
      <c r="O1661" s="5">
        <v>1</v>
      </c>
      <c r="P1661" s="5" t="s">
        <v>294</v>
      </c>
      <c r="Q1661" s="5" t="s">
        <v>266</v>
      </c>
      <c r="R1661" s="5" t="s">
        <v>240</v>
      </c>
      <c r="S1661" s="5" t="s">
        <v>240</v>
      </c>
      <c r="T1661" s="5" t="s">
        <v>296</v>
      </c>
      <c r="U1661" s="5" t="s">
        <v>244</v>
      </c>
      <c r="V1661" s="5" t="s">
        <v>240</v>
      </c>
      <c r="Y1661" s="5" t="s">
        <v>240</v>
      </c>
      <c r="Z1661" s="6" t="s">
        <v>298</v>
      </c>
      <c r="AB1661" s="6" t="s">
        <v>240</v>
      </c>
      <c r="AE1661" s="6" t="s">
        <v>299</v>
      </c>
      <c r="AF1661" s="5" t="s">
        <v>248</v>
      </c>
      <c r="AG1661" s="5" t="s">
        <v>249</v>
      </c>
      <c r="AW1661" s="5" t="s">
        <v>251</v>
      </c>
      <c r="AX1661" s="5" t="s">
        <v>240</v>
      </c>
      <c r="AY1661" s="5" t="s">
        <v>253</v>
      </c>
      <c r="AZ1661" s="5" t="s">
        <v>240</v>
      </c>
      <c r="BA1661" s="5" t="s">
        <v>255</v>
      </c>
      <c r="BB1661" s="5" t="s">
        <v>240</v>
      </c>
      <c r="BD1661" s="5" t="s">
        <v>240</v>
      </c>
      <c r="BF1661" s="5" t="s">
        <v>301</v>
      </c>
      <c r="BG1661" s="6" t="s">
        <v>299</v>
      </c>
      <c r="BH1661" s="5" t="s">
        <v>302</v>
      </c>
      <c r="BI1661" s="5" t="s">
        <v>303</v>
      </c>
      <c r="BJ1661" s="5" t="s">
        <v>240</v>
      </c>
      <c r="BK1661" s="8">
        <f>0</f>
        <v>0</v>
      </c>
      <c r="BL1661" s="7">
        <f>0</f>
        <v>0</v>
      </c>
      <c r="BM1661" s="5" t="s">
        <v>258</v>
      </c>
      <c r="BN1661" s="5" t="s">
        <v>259</v>
      </c>
      <c r="CB1661" s="5" t="s">
        <v>240</v>
      </c>
      <c r="CC1661" s="5" t="s">
        <v>240</v>
      </c>
      <c r="CG1661" s="5" t="s">
        <v>304</v>
      </c>
      <c r="CH1661" s="5" t="s">
        <v>305</v>
      </c>
      <c r="CI1661" s="5" t="s">
        <v>240</v>
      </c>
      <c r="CL1661" s="6" t="s">
        <v>261</v>
      </c>
      <c r="CM1661" s="5" t="s">
        <v>240</v>
      </c>
      <c r="CN1661" s="5" t="s">
        <v>263</v>
      </c>
      <c r="CO1661" s="5" t="s">
        <v>240</v>
      </c>
      <c r="CP1661" s="5" t="s">
        <v>240</v>
      </c>
      <c r="CQ1661" s="5">
        <v>0</v>
      </c>
      <c r="CR1661" s="5" t="s">
        <v>306</v>
      </c>
      <c r="CS1661" s="5" t="s">
        <v>307</v>
      </c>
      <c r="CT1661" s="5" t="s">
        <v>307</v>
      </c>
      <c r="CU1661" s="5" t="s">
        <v>260</v>
      </c>
      <c r="CX1661" s="7">
        <f>1</f>
        <v>1</v>
      </c>
      <c r="CY1661" s="7">
        <f>0</f>
        <v>0</v>
      </c>
      <c r="DA1661" s="7">
        <f>0</f>
        <v>0</v>
      </c>
      <c r="DC1661" s="5" t="s">
        <v>812</v>
      </c>
      <c r="DD1661" s="5" t="s">
        <v>240</v>
      </c>
      <c r="DF1661" s="5" t="s">
        <v>812</v>
      </c>
      <c r="DG1661" s="7">
        <f>174</f>
        <v>174</v>
      </c>
      <c r="DI1661" s="5" t="s">
        <v>240</v>
      </c>
      <c r="DJ1661" s="5" t="s">
        <v>240</v>
      </c>
      <c r="DK1661" s="5" t="s">
        <v>240</v>
      </c>
      <c r="DL1661" s="5" t="s">
        <v>240</v>
      </c>
      <c r="DP1661" s="5" t="s">
        <v>240</v>
      </c>
      <c r="DQ1661" s="5" t="s">
        <v>240</v>
      </c>
      <c r="DR1661" s="5" t="s">
        <v>240</v>
      </c>
      <c r="DS1661" s="5" t="s">
        <v>240</v>
      </c>
      <c r="DV1661" s="5" t="s">
        <v>813</v>
      </c>
      <c r="DW1661" s="5" t="s">
        <v>3453</v>
      </c>
      <c r="HO1661" s="5" t="s">
        <v>312</v>
      </c>
    </row>
    <row r="1662" spans="1:223" x14ac:dyDescent="0.4">
      <c r="A1662" s="5">
        <v>3337</v>
      </c>
      <c r="B1662" s="5">
        <v>1</v>
      </c>
      <c r="C1662" s="5">
        <v>1</v>
      </c>
      <c r="D1662" s="5" t="s">
        <v>297</v>
      </c>
      <c r="E1662" s="5" t="s">
        <v>245</v>
      </c>
      <c r="F1662" s="5" t="s">
        <v>254</v>
      </c>
      <c r="G1662" s="5" t="s">
        <v>240</v>
      </c>
      <c r="H1662" s="6" t="s">
        <v>4501</v>
      </c>
      <c r="I1662" s="5" t="s">
        <v>295</v>
      </c>
      <c r="J1662" s="8">
        <f>114</f>
        <v>114</v>
      </c>
      <c r="K1662" s="5" t="s">
        <v>308</v>
      </c>
      <c r="L1662" s="7">
        <f>1</f>
        <v>1</v>
      </c>
      <c r="M1662" s="7">
        <f>1</f>
        <v>1</v>
      </c>
      <c r="N1662" s="5" t="s">
        <v>242</v>
      </c>
      <c r="O1662" s="5">
        <v>1</v>
      </c>
      <c r="P1662" s="5" t="s">
        <v>294</v>
      </c>
      <c r="Q1662" s="5" t="s">
        <v>266</v>
      </c>
      <c r="R1662" s="5" t="s">
        <v>240</v>
      </c>
      <c r="S1662" s="5" t="s">
        <v>240</v>
      </c>
      <c r="T1662" s="5" t="s">
        <v>243</v>
      </c>
      <c r="U1662" s="5" t="s">
        <v>240</v>
      </c>
      <c r="V1662" s="5" t="s">
        <v>240</v>
      </c>
      <c r="Y1662" s="5" t="s">
        <v>240</v>
      </c>
      <c r="Z1662" s="6" t="s">
        <v>3455</v>
      </c>
      <c r="AB1662" s="6" t="s">
        <v>240</v>
      </c>
      <c r="AE1662" s="6" t="s">
        <v>3456</v>
      </c>
      <c r="AF1662" s="5" t="s">
        <v>248</v>
      </c>
      <c r="AG1662" s="5" t="s">
        <v>260</v>
      </c>
      <c r="AW1662" s="5" t="s">
        <v>251</v>
      </c>
      <c r="AX1662" s="5" t="s">
        <v>240</v>
      </c>
      <c r="AY1662" s="5" t="s">
        <v>253</v>
      </c>
      <c r="AZ1662" s="5" t="s">
        <v>240</v>
      </c>
      <c r="BA1662" s="5" t="s">
        <v>255</v>
      </c>
      <c r="BB1662" s="5" t="s">
        <v>240</v>
      </c>
      <c r="BD1662" s="5" t="s">
        <v>240</v>
      </c>
      <c r="BF1662" s="5" t="s">
        <v>447</v>
      </c>
      <c r="BG1662" s="6" t="s">
        <v>3455</v>
      </c>
      <c r="BH1662" s="5" t="s">
        <v>302</v>
      </c>
      <c r="BI1662" s="5" t="s">
        <v>448</v>
      </c>
      <c r="BJ1662" s="5" t="s">
        <v>240</v>
      </c>
      <c r="BK1662" s="8">
        <f>0</f>
        <v>0</v>
      </c>
      <c r="BL1662" s="7">
        <f>0</f>
        <v>0</v>
      </c>
      <c r="BM1662" s="5" t="s">
        <v>258</v>
      </c>
      <c r="BN1662" s="5" t="s">
        <v>259</v>
      </c>
      <c r="CB1662" s="5" t="s">
        <v>240</v>
      </c>
      <c r="CC1662" s="5" t="s">
        <v>240</v>
      </c>
      <c r="CG1662" s="5" t="s">
        <v>449</v>
      </c>
      <c r="CH1662" s="5" t="s">
        <v>305</v>
      </c>
      <c r="CI1662" s="5" t="s">
        <v>240</v>
      </c>
      <c r="CL1662" s="6" t="s">
        <v>261</v>
      </c>
      <c r="CM1662" s="5" t="s">
        <v>240</v>
      </c>
      <c r="CN1662" s="5" t="s">
        <v>263</v>
      </c>
      <c r="CO1662" s="5" t="s">
        <v>240</v>
      </c>
      <c r="CP1662" s="5" t="s">
        <v>240</v>
      </c>
      <c r="CQ1662" s="5">
        <v>0</v>
      </c>
      <c r="CR1662" s="5" t="s">
        <v>306</v>
      </c>
      <c r="CS1662" s="5" t="s">
        <v>307</v>
      </c>
      <c r="CT1662" s="5" t="s">
        <v>307</v>
      </c>
      <c r="CU1662" s="5" t="s">
        <v>260</v>
      </c>
      <c r="CX1662" s="7">
        <f>2288991</f>
        <v>2288991</v>
      </c>
      <c r="CY1662" s="7">
        <f>0</f>
        <v>0</v>
      </c>
      <c r="DA1662" s="7">
        <f>0</f>
        <v>0</v>
      </c>
      <c r="DC1662" s="5" t="s">
        <v>450</v>
      </c>
      <c r="DD1662" s="5" t="s">
        <v>240</v>
      </c>
      <c r="DF1662" s="5" t="s">
        <v>450</v>
      </c>
      <c r="DG1662" s="7">
        <f>1144.05</f>
        <v>1144.05</v>
      </c>
      <c r="DI1662" s="5" t="s">
        <v>240</v>
      </c>
      <c r="DJ1662" s="5" t="s">
        <v>240</v>
      </c>
      <c r="DK1662" s="5" t="s">
        <v>240</v>
      </c>
      <c r="DL1662" s="5" t="s">
        <v>240</v>
      </c>
      <c r="DP1662" s="5" t="s">
        <v>240</v>
      </c>
      <c r="DQ1662" s="5" t="s">
        <v>240</v>
      </c>
      <c r="DR1662" s="5" t="s">
        <v>240</v>
      </c>
      <c r="DS1662" s="5" t="s">
        <v>240</v>
      </c>
      <c r="DV1662" s="5" t="s">
        <v>310</v>
      </c>
      <c r="DW1662" s="5" t="s">
        <v>2481</v>
      </c>
      <c r="HO1662" s="5" t="s">
        <v>312</v>
      </c>
    </row>
    <row r="1663" spans="1:223" x14ac:dyDescent="0.4">
      <c r="A1663" s="5">
        <v>3338</v>
      </c>
      <c r="B1663" s="5">
        <v>1</v>
      </c>
      <c r="C1663" s="5">
        <v>1</v>
      </c>
      <c r="D1663" s="5" t="s">
        <v>297</v>
      </c>
      <c r="E1663" s="5" t="s">
        <v>245</v>
      </c>
      <c r="F1663" s="5" t="s">
        <v>254</v>
      </c>
      <c r="G1663" s="5" t="s">
        <v>240</v>
      </c>
      <c r="H1663" s="6" t="s">
        <v>4500</v>
      </c>
      <c r="I1663" s="5" t="s">
        <v>295</v>
      </c>
      <c r="J1663" s="8">
        <f>798</f>
        <v>798</v>
      </c>
      <c r="K1663" s="5" t="s">
        <v>308</v>
      </c>
      <c r="L1663" s="7">
        <f>1</f>
        <v>1</v>
      </c>
      <c r="M1663" s="7">
        <f>1</f>
        <v>1</v>
      </c>
      <c r="N1663" s="5" t="s">
        <v>242</v>
      </c>
      <c r="O1663" s="5">
        <v>1</v>
      </c>
      <c r="P1663" s="5" t="s">
        <v>294</v>
      </c>
      <c r="Q1663" s="5" t="s">
        <v>266</v>
      </c>
      <c r="R1663" s="5" t="s">
        <v>240</v>
      </c>
      <c r="S1663" s="5" t="s">
        <v>240</v>
      </c>
      <c r="T1663" s="5" t="s">
        <v>296</v>
      </c>
      <c r="U1663" s="5" t="s">
        <v>244</v>
      </c>
      <c r="V1663" s="5" t="s">
        <v>240</v>
      </c>
      <c r="Y1663" s="5" t="s">
        <v>240</v>
      </c>
      <c r="Z1663" s="6" t="s">
        <v>298</v>
      </c>
      <c r="AB1663" s="6" t="s">
        <v>240</v>
      </c>
      <c r="AE1663" s="6" t="s">
        <v>299</v>
      </c>
      <c r="AF1663" s="5" t="s">
        <v>248</v>
      </c>
      <c r="AG1663" s="5" t="s">
        <v>249</v>
      </c>
      <c r="AW1663" s="5" t="s">
        <v>251</v>
      </c>
      <c r="AX1663" s="5" t="s">
        <v>240</v>
      </c>
      <c r="AY1663" s="5" t="s">
        <v>253</v>
      </c>
      <c r="AZ1663" s="5" t="s">
        <v>240</v>
      </c>
      <c r="BA1663" s="5" t="s">
        <v>255</v>
      </c>
      <c r="BB1663" s="5" t="s">
        <v>240</v>
      </c>
      <c r="BD1663" s="5" t="s">
        <v>240</v>
      </c>
      <c r="BF1663" s="5" t="s">
        <v>301</v>
      </c>
      <c r="BG1663" s="6" t="s">
        <v>299</v>
      </c>
      <c r="BH1663" s="5" t="s">
        <v>302</v>
      </c>
      <c r="BI1663" s="5" t="s">
        <v>303</v>
      </c>
      <c r="BJ1663" s="5" t="s">
        <v>240</v>
      </c>
      <c r="BK1663" s="8">
        <f>0</f>
        <v>0</v>
      </c>
      <c r="BL1663" s="7">
        <f>0</f>
        <v>0</v>
      </c>
      <c r="BM1663" s="5" t="s">
        <v>258</v>
      </c>
      <c r="BN1663" s="5" t="s">
        <v>259</v>
      </c>
      <c r="CB1663" s="5" t="s">
        <v>240</v>
      </c>
      <c r="CC1663" s="5" t="s">
        <v>240</v>
      </c>
      <c r="CG1663" s="5" t="s">
        <v>304</v>
      </c>
      <c r="CH1663" s="5" t="s">
        <v>305</v>
      </c>
      <c r="CI1663" s="5" t="s">
        <v>240</v>
      </c>
      <c r="CL1663" s="6" t="s">
        <v>261</v>
      </c>
      <c r="CM1663" s="5" t="s">
        <v>240</v>
      </c>
      <c r="CN1663" s="5" t="s">
        <v>263</v>
      </c>
      <c r="CO1663" s="5" t="s">
        <v>240</v>
      </c>
      <c r="CP1663" s="5" t="s">
        <v>240</v>
      </c>
      <c r="CQ1663" s="5">
        <v>0</v>
      </c>
      <c r="CR1663" s="5" t="s">
        <v>306</v>
      </c>
      <c r="CS1663" s="5" t="s">
        <v>307</v>
      </c>
      <c r="CT1663" s="5" t="s">
        <v>307</v>
      </c>
      <c r="CU1663" s="5" t="s">
        <v>260</v>
      </c>
      <c r="CX1663" s="7">
        <f>1</f>
        <v>1</v>
      </c>
      <c r="CY1663" s="7">
        <f>0</f>
        <v>0</v>
      </c>
      <c r="DA1663" s="7">
        <f>0</f>
        <v>0</v>
      </c>
      <c r="DC1663" s="5" t="s">
        <v>812</v>
      </c>
      <c r="DD1663" s="5" t="s">
        <v>240</v>
      </c>
      <c r="DF1663" s="5" t="s">
        <v>812</v>
      </c>
      <c r="DG1663" s="7">
        <f>72</f>
        <v>72</v>
      </c>
      <c r="DI1663" s="5" t="s">
        <v>240</v>
      </c>
      <c r="DJ1663" s="5" t="s">
        <v>240</v>
      </c>
      <c r="DK1663" s="5" t="s">
        <v>240</v>
      </c>
      <c r="DL1663" s="5" t="s">
        <v>240</v>
      </c>
      <c r="DP1663" s="5" t="s">
        <v>240</v>
      </c>
      <c r="DQ1663" s="5" t="s">
        <v>240</v>
      </c>
      <c r="DR1663" s="5" t="s">
        <v>240</v>
      </c>
      <c r="DS1663" s="5" t="s">
        <v>240</v>
      </c>
      <c r="DV1663" s="5" t="s">
        <v>813</v>
      </c>
      <c r="DW1663" s="5" t="s">
        <v>3458</v>
      </c>
      <c r="HO1663" s="5" t="s">
        <v>312</v>
      </c>
    </row>
    <row r="1664" spans="1:223" x14ac:dyDescent="0.4">
      <c r="A1664" s="5">
        <v>3339</v>
      </c>
      <c r="B1664" s="5">
        <v>1</v>
      </c>
      <c r="C1664" s="5">
        <v>1</v>
      </c>
      <c r="D1664" s="5" t="s">
        <v>297</v>
      </c>
      <c r="E1664" s="5" t="s">
        <v>245</v>
      </c>
      <c r="F1664" s="5" t="s">
        <v>254</v>
      </c>
      <c r="G1664" s="5" t="s">
        <v>240</v>
      </c>
      <c r="H1664" s="6" t="s">
        <v>4499</v>
      </c>
      <c r="I1664" s="5" t="s">
        <v>295</v>
      </c>
      <c r="J1664" s="8">
        <f>2023</f>
        <v>2023</v>
      </c>
      <c r="K1664" s="5" t="s">
        <v>308</v>
      </c>
      <c r="L1664" s="7">
        <f>1</f>
        <v>1</v>
      </c>
      <c r="M1664" s="7">
        <f>1</f>
        <v>1</v>
      </c>
      <c r="N1664" s="5" t="s">
        <v>242</v>
      </c>
      <c r="O1664" s="5">
        <v>1</v>
      </c>
      <c r="P1664" s="5" t="s">
        <v>294</v>
      </c>
      <c r="Q1664" s="5" t="s">
        <v>266</v>
      </c>
      <c r="R1664" s="5" t="s">
        <v>240</v>
      </c>
      <c r="S1664" s="5" t="s">
        <v>240</v>
      </c>
      <c r="T1664" s="5" t="s">
        <v>296</v>
      </c>
      <c r="U1664" s="5" t="s">
        <v>244</v>
      </c>
      <c r="V1664" s="5" t="s">
        <v>240</v>
      </c>
      <c r="Y1664" s="5" t="s">
        <v>240</v>
      </c>
      <c r="Z1664" s="6" t="s">
        <v>298</v>
      </c>
      <c r="AB1664" s="6" t="s">
        <v>240</v>
      </c>
      <c r="AE1664" s="6" t="s">
        <v>299</v>
      </c>
      <c r="AF1664" s="5" t="s">
        <v>248</v>
      </c>
      <c r="AG1664" s="5" t="s">
        <v>249</v>
      </c>
      <c r="AW1664" s="5" t="s">
        <v>251</v>
      </c>
      <c r="AX1664" s="5" t="s">
        <v>240</v>
      </c>
      <c r="AY1664" s="5" t="s">
        <v>253</v>
      </c>
      <c r="AZ1664" s="5" t="s">
        <v>240</v>
      </c>
      <c r="BA1664" s="5" t="s">
        <v>255</v>
      </c>
      <c r="BB1664" s="5" t="s">
        <v>240</v>
      </c>
      <c r="BD1664" s="5" t="s">
        <v>240</v>
      </c>
      <c r="BF1664" s="5" t="s">
        <v>301</v>
      </c>
      <c r="BG1664" s="6" t="s">
        <v>299</v>
      </c>
      <c r="BH1664" s="5" t="s">
        <v>302</v>
      </c>
      <c r="BI1664" s="5" t="s">
        <v>303</v>
      </c>
      <c r="BJ1664" s="5" t="s">
        <v>240</v>
      </c>
      <c r="BK1664" s="8">
        <f>0</f>
        <v>0</v>
      </c>
      <c r="BL1664" s="7">
        <f>0</f>
        <v>0</v>
      </c>
      <c r="BM1664" s="5" t="s">
        <v>258</v>
      </c>
      <c r="BN1664" s="5" t="s">
        <v>259</v>
      </c>
      <c r="CB1664" s="5" t="s">
        <v>240</v>
      </c>
      <c r="CC1664" s="5" t="s">
        <v>240</v>
      </c>
      <c r="CG1664" s="5" t="s">
        <v>304</v>
      </c>
      <c r="CH1664" s="5" t="s">
        <v>305</v>
      </c>
      <c r="CI1664" s="5" t="s">
        <v>240</v>
      </c>
      <c r="CL1664" s="6" t="s">
        <v>261</v>
      </c>
      <c r="CM1664" s="5" t="s">
        <v>240</v>
      </c>
      <c r="CN1664" s="5" t="s">
        <v>263</v>
      </c>
      <c r="CO1664" s="5" t="s">
        <v>240</v>
      </c>
      <c r="CP1664" s="5" t="s">
        <v>240</v>
      </c>
      <c r="CQ1664" s="5">
        <v>0</v>
      </c>
      <c r="CR1664" s="5" t="s">
        <v>306</v>
      </c>
      <c r="CS1664" s="5" t="s">
        <v>307</v>
      </c>
      <c r="CT1664" s="5" t="s">
        <v>307</v>
      </c>
      <c r="CU1664" s="5" t="s">
        <v>260</v>
      </c>
      <c r="CX1664" s="7">
        <f>1</f>
        <v>1</v>
      </c>
      <c r="CY1664" s="7">
        <f>0</f>
        <v>0</v>
      </c>
      <c r="DA1664" s="7">
        <f>0</f>
        <v>0</v>
      </c>
      <c r="DC1664" s="5" t="s">
        <v>812</v>
      </c>
      <c r="DD1664" s="5" t="s">
        <v>240</v>
      </c>
      <c r="DF1664" s="5" t="s">
        <v>812</v>
      </c>
      <c r="DG1664" s="7">
        <f>105</f>
        <v>105</v>
      </c>
      <c r="DI1664" s="5" t="s">
        <v>240</v>
      </c>
      <c r="DJ1664" s="5" t="s">
        <v>240</v>
      </c>
      <c r="DK1664" s="5" t="s">
        <v>240</v>
      </c>
      <c r="DL1664" s="5" t="s">
        <v>240</v>
      </c>
      <c r="DP1664" s="5" t="s">
        <v>240</v>
      </c>
      <c r="DQ1664" s="5" t="s">
        <v>240</v>
      </c>
      <c r="DR1664" s="5" t="s">
        <v>240</v>
      </c>
      <c r="DS1664" s="5" t="s">
        <v>240</v>
      </c>
      <c r="DV1664" s="5" t="s">
        <v>813</v>
      </c>
      <c r="DW1664" s="5" t="s">
        <v>3460</v>
      </c>
      <c r="HO1664" s="5" t="s">
        <v>312</v>
      </c>
    </row>
    <row r="1665" spans="1:240" x14ac:dyDescent="0.4">
      <c r="A1665" s="5">
        <v>3340</v>
      </c>
      <c r="B1665" s="5">
        <v>1</v>
      </c>
      <c r="C1665" s="5">
        <v>1</v>
      </c>
      <c r="D1665" s="5" t="s">
        <v>297</v>
      </c>
      <c r="E1665" s="5" t="s">
        <v>245</v>
      </c>
      <c r="F1665" s="5" t="s">
        <v>254</v>
      </c>
      <c r="G1665" s="5" t="s">
        <v>240</v>
      </c>
      <c r="H1665" s="6" t="s">
        <v>4498</v>
      </c>
      <c r="I1665" s="5" t="s">
        <v>295</v>
      </c>
      <c r="J1665" s="8">
        <f>292</f>
        <v>292</v>
      </c>
      <c r="K1665" s="5" t="s">
        <v>308</v>
      </c>
      <c r="L1665" s="7">
        <f>1</f>
        <v>1</v>
      </c>
      <c r="M1665" s="7">
        <f>1</f>
        <v>1</v>
      </c>
      <c r="N1665" s="5" t="s">
        <v>242</v>
      </c>
      <c r="O1665" s="5">
        <v>1</v>
      </c>
      <c r="P1665" s="5" t="s">
        <v>294</v>
      </c>
      <c r="Q1665" s="5" t="s">
        <v>266</v>
      </c>
      <c r="R1665" s="5" t="s">
        <v>240</v>
      </c>
      <c r="S1665" s="5" t="s">
        <v>240</v>
      </c>
      <c r="T1665" s="5" t="s">
        <v>296</v>
      </c>
      <c r="U1665" s="5" t="s">
        <v>244</v>
      </c>
      <c r="V1665" s="5" t="s">
        <v>240</v>
      </c>
      <c r="Y1665" s="5" t="s">
        <v>240</v>
      </c>
      <c r="Z1665" s="6" t="s">
        <v>298</v>
      </c>
      <c r="AB1665" s="6" t="s">
        <v>240</v>
      </c>
      <c r="AE1665" s="6" t="s">
        <v>299</v>
      </c>
      <c r="AF1665" s="5" t="s">
        <v>248</v>
      </c>
      <c r="AG1665" s="5" t="s">
        <v>249</v>
      </c>
      <c r="AW1665" s="5" t="s">
        <v>251</v>
      </c>
      <c r="AX1665" s="5" t="s">
        <v>240</v>
      </c>
      <c r="AY1665" s="5" t="s">
        <v>253</v>
      </c>
      <c r="AZ1665" s="5" t="s">
        <v>240</v>
      </c>
      <c r="BA1665" s="5" t="s">
        <v>255</v>
      </c>
      <c r="BB1665" s="5" t="s">
        <v>240</v>
      </c>
      <c r="BD1665" s="5" t="s">
        <v>240</v>
      </c>
      <c r="BF1665" s="5" t="s">
        <v>301</v>
      </c>
      <c r="BG1665" s="6" t="s">
        <v>299</v>
      </c>
      <c r="BH1665" s="5" t="s">
        <v>302</v>
      </c>
      <c r="BI1665" s="5" t="s">
        <v>303</v>
      </c>
      <c r="BJ1665" s="5" t="s">
        <v>240</v>
      </c>
      <c r="BK1665" s="8">
        <f>0</f>
        <v>0</v>
      </c>
      <c r="BL1665" s="7">
        <f>0</f>
        <v>0</v>
      </c>
      <c r="BM1665" s="5" t="s">
        <v>258</v>
      </c>
      <c r="BN1665" s="5" t="s">
        <v>259</v>
      </c>
      <c r="CB1665" s="5" t="s">
        <v>240</v>
      </c>
      <c r="CC1665" s="5" t="s">
        <v>240</v>
      </c>
      <c r="CG1665" s="5" t="s">
        <v>304</v>
      </c>
      <c r="CH1665" s="5" t="s">
        <v>305</v>
      </c>
      <c r="CI1665" s="5" t="s">
        <v>240</v>
      </c>
      <c r="CL1665" s="6" t="s">
        <v>261</v>
      </c>
      <c r="CM1665" s="5" t="s">
        <v>240</v>
      </c>
      <c r="CN1665" s="5" t="s">
        <v>263</v>
      </c>
      <c r="CO1665" s="5" t="s">
        <v>240</v>
      </c>
      <c r="CP1665" s="5" t="s">
        <v>240</v>
      </c>
      <c r="CQ1665" s="5">
        <v>0</v>
      </c>
      <c r="CR1665" s="5" t="s">
        <v>306</v>
      </c>
      <c r="CS1665" s="5" t="s">
        <v>307</v>
      </c>
      <c r="CT1665" s="5" t="s">
        <v>307</v>
      </c>
      <c r="CU1665" s="5" t="s">
        <v>260</v>
      </c>
      <c r="CX1665" s="7">
        <f>1</f>
        <v>1</v>
      </c>
      <c r="CY1665" s="7">
        <f>0</f>
        <v>0</v>
      </c>
      <c r="DA1665" s="7">
        <f>0</f>
        <v>0</v>
      </c>
      <c r="DC1665" s="5" t="s">
        <v>812</v>
      </c>
      <c r="DD1665" s="5" t="s">
        <v>240</v>
      </c>
      <c r="DF1665" s="5" t="s">
        <v>812</v>
      </c>
      <c r="DG1665" s="7">
        <f>1268</f>
        <v>1268</v>
      </c>
      <c r="DI1665" s="5" t="s">
        <v>240</v>
      </c>
      <c r="DJ1665" s="5" t="s">
        <v>240</v>
      </c>
      <c r="DK1665" s="5" t="s">
        <v>240</v>
      </c>
      <c r="DL1665" s="5" t="s">
        <v>240</v>
      </c>
      <c r="DP1665" s="5" t="s">
        <v>240</v>
      </c>
      <c r="DQ1665" s="5" t="s">
        <v>240</v>
      </c>
      <c r="DR1665" s="5" t="s">
        <v>240</v>
      </c>
      <c r="DS1665" s="5" t="s">
        <v>240</v>
      </c>
      <c r="DV1665" s="5" t="s">
        <v>813</v>
      </c>
      <c r="DW1665" s="5" t="s">
        <v>3462</v>
      </c>
      <c r="HO1665" s="5" t="s">
        <v>312</v>
      </c>
    </row>
    <row r="1666" spans="1:240" x14ac:dyDescent="0.4">
      <c r="A1666" s="5">
        <v>3341</v>
      </c>
      <c r="B1666" s="5">
        <v>1</v>
      </c>
      <c r="C1666" s="5">
        <v>1</v>
      </c>
      <c r="D1666" s="5" t="s">
        <v>297</v>
      </c>
      <c r="E1666" s="5" t="s">
        <v>245</v>
      </c>
      <c r="F1666" s="5" t="s">
        <v>254</v>
      </c>
      <c r="G1666" s="5" t="s">
        <v>240</v>
      </c>
      <c r="H1666" s="6" t="s">
        <v>5634</v>
      </c>
      <c r="I1666" s="5" t="s">
        <v>295</v>
      </c>
      <c r="J1666" s="8">
        <f>3055</f>
        <v>3055</v>
      </c>
      <c r="K1666" s="5" t="s">
        <v>308</v>
      </c>
      <c r="L1666" s="7">
        <f>1</f>
        <v>1</v>
      </c>
      <c r="M1666" s="7">
        <f>1</f>
        <v>1</v>
      </c>
      <c r="N1666" s="5" t="s">
        <v>242</v>
      </c>
      <c r="O1666" s="5">
        <v>1</v>
      </c>
      <c r="P1666" s="5" t="s">
        <v>294</v>
      </c>
      <c r="Q1666" s="5" t="s">
        <v>266</v>
      </c>
      <c r="R1666" s="5" t="s">
        <v>240</v>
      </c>
      <c r="S1666" s="5" t="s">
        <v>240</v>
      </c>
      <c r="T1666" s="5" t="s">
        <v>243</v>
      </c>
      <c r="U1666" s="5" t="s">
        <v>240</v>
      </c>
      <c r="V1666" s="5" t="s">
        <v>240</v>
      </c>
      <c r="Y1666" s="5" t="s">
        <v>240</v>
      </c>
      <c r="Z1666" s="6" t="s">
        <v>3464</v>
      </c>
      <c r="AB1666" s="6" t="s">
        <v>240</v>
      </c>
      <c r="AE1666" s="6" t="s">
        <v>3465</v>
      </c>
      <c r="AF1666" s="5" t="s">
        <v>248</v>
      </c>
      <c r="AG1666" s="5" t="s">
        <v>260</v>
      </c>
      <c r="AW1666" s="5" t="s">
        <v>251</v>
      </c>
      <c r="AX1666" s="5" t="s">
        <v>240</v>
      </c>
      <c r="AY1666" s="5" t="s">
        <v>253</v>
      </c>
      <c r="AZ1666" s="5" t="s">
        <v>240</v>
      </c>
      <c r="BA1666" s="5" t="s">
        <v>255</v>
      </c>
      <c r="BB1666" s="5" t="s">
        <v>240</v>
      </c>
      <c r="BD1666" s="5" t="s">
        <v>240</v>
      </c>
      <c r="BF1666" s="5" t="s">
        <v>447</v>
      </c>
      <c r="BG1666" s="6" t="s">
        <v>3464</v>
      </c>
      <c r="BH1666" s="5" t="s">
        <v>302</v>
      </c>
      <c r="BI1666" s="5" t="s">
        <v>448</v>
      </c>
      <c r="BJ1666" s="5" t="s">
        <v>240</v>
      </c>
      <c r="BK1666" s="8">
        <f>0</f>
        <v>0</v>
      </c>
      <c r="BL1666" s="7">
        <f>0</f>
        <v>0</v>
      </c>
      <c r="BM1666" s="5" t="s">
        <v>258</v>
      </c>
      <c r="BN1666" s="5" t="s">
        <v>259</v>
      </c>
      <c r="CB1666" s="5" t="s">
        <v>240</v>
      </c>
      <c r="CC1666" s="5" t="s">
        <v>240</v>
      </c>
      <c r="CG1666" s="5" t="s">
        <v>449</v>
      </c>
      <c r="CH1666" s="5" t="s">
        <v>305</v>
      </c>
      <c r="CI1666" s="5" t="s">
        <v>240</v>
      </c>
      <c r="CL1666" s="6" t="s">
        <v>261</v>
      </c>
      <c r="CM1666" s="5" t="s">
        <v>240</v>
      </c>
      <c r="CN1666" s="5" t="s">
        <v>263</v>
      </c>
      <c r="CO1666" s="5" t="s">
        <v>240</v>
      </c>
      <c r="CP1666" s="5" t="s">
        <v>240</v>
      </c>
      <c r="CQ1666" s="5">
        <v>0</v>
      </c>
      <c r="CR1666" s="5" t="s">
        <v>306</v>
      </c>
      <c r="CS1666" s="5" t="s">
        <v>307</v>
      </c>
      <c r="CT1666" s="5" t="s">
        <v>307</v>
      </c>
      <c r="CU1666" s="5" t="s">
        <v>260</v>
      </c>
      <c r="CX1666" s="7">
        <f>6759000</f>
        <v>6759000</v>
      </c>
      <c r="CY1666" s="7">
        <f>0</f>
        <v>0</v>
      </c>
      <c r="DA1666" s="7">
        <f>0</f>
        <v>0</v>
      </c>
      <c r="DC1666" s="5" t="s">
        <v>450</v>
      </c>
      <c r="DD1666" s="5" t="s">
        <v>240</v>
      </c>
      <c r="DF1666" s="5" t="s">
        <v>450</v>
      </c>
      <c r="DG1666" s="7">
        <f>0</f>
        <v>0</v>
      </c>
      <c r="DI1666" s="5" t="s">
        <v>240</v>
      </c>
      <c r="DJ1666" s="5" t="s">
        <v>240</v>
      </c>
      <c r="DK1666" s="5" t="s">
        <v>240</v>
      </c>
      <c r="DL1666" s="5" t="s">
        <v>240</v>
      </c>
      <c r="DP1666" s="5" t="s">
        <v>240</v>
      </c>
      <c r="DQ1666" s="5" t="s">
        <v>240</v>
      </c>
      <c r="DR1666" s="5" t="s">
        <v>240</v>
      </c>
      <c r="DS1666" s="5" t="s">
        <v>240</v>
      </c>
      <c r="DV1666" s="5" t="s">
        <v>310</v>
      </c>
      <c r="DW1666" s="5" t="s">
        <v>2479</v>
      </c>
      <c r="HO1666" s="5" t="s">
        <v>312</v>
      </c>
    </row>
    <row r="1667" spans="1:240" x14ac:dyDescent="0.4">
      <c r="A1667" s="5">
        <v>3342</v>
      </c>
      <c r="B1667" s="5">
        <v>1</v>
      </c>
      <c r="C1667" s="5">
        <v>1</v>
      </c>
      <c r="D1667" s="5" t="s">
        <v>297</v>
      </c>
      <c r="E1667" s="5" t="s">
        <v>245</v>
      </c>
      <c r="F1667" s="5" t="s">
        <v>254</v>
      </c>
      <c r="G1667" s="5" t="s">
        <v>240</v>
      </c>
      <c r="H1667" s="6" t="s">
        <v>4495</v>
      </c>
      <c r="I1667" s="5" t="s">
        <v>295</v>
      </c>
      <c r="J1667" s="8">
        <f>3415</f>
        <v>3415</v>
      </c>
      <c r="K1667" s="5" t="s">
        <v>308</v>
      </c>
      <c r="L1667" s="7">
        <f>1</f>
        <v>1</v>
      </c>
      <c r="M1667" s="7">
        <f>1</f>
        <v>1</v>
      </c>
      <c r="N1667" s="5" t="s">
        <v>242</v>
      </c>
      <c r="O1667" s="5">
        <v>1</v>
      </c>
      <c r="P1667" s="5" t="s">
        <v>294</v>
      </c>
      <c r="Q1667" s="5" t="s">
        <v>266</v>
      </c>
      <c r="R1667" s="5" t="s">
        <v>240</v>
      </c>
      <c r="S1667" s="5" t="s">
        <v>240</v>
      </c>
      <c r="T1667" s="5" t="s">
        <v>296</v>
      </c>
      <c r="U1667" s="5" t="s">
        <v>244</v>
      </c>
      <c r="V1667" s="5" t="s">
        <v>240</v>
      </c>
      <c r="Y1667" s="5" t="s">
        <v>240</v>
      </c>
      <c r="Z1667" s="6" t="s">
        <v>298</v>
      </c>
      <c r="AB1667" s="6" t="s">
        <v>240</v>
      </c>
      <c r="AE1667" s="6" t="s">
        <v>299</v>
      </c>
      <c r="AF1667" s="5" t="s">
        <v>248</v>
      </c>
      <c r="AG1667" s="5" t="s">
        <v>249</v>
      </c>
      <c r="AW1667" s="5" t="s">
        <v>251</v>
      </c>
      <c r="AX1667" s="5" t="s">
        <v>240</v>
      </c>
      <c r="AY1667" s="5" t="s">
        <v>253</v>
      </c>
      <c r="AZ1667" s="5" t="s">
        <v>240</v>
      </c>
      <c r="BA1667" s="5" t="s">
        <v>255</v>
      </c>
      <c r="BB1667" s="5" t="s">
        <v>240</v>
      </c>
      <c r="BD1667" s="5" t="s">
        <v>240</v>
      </c>
      <c r="BF1667" s="5" t="s">
        <v>301</v>
      </c>
      <c r="BG1667" s="6" t="s">
        <v>299</v>
      </c>
      <c r="BH1667" s="5" t="s">
        <v>302</v>
      </c>
      <c r="BI1667" s="5" t="s">
        <v>303</v>
      </c>
      <c r="BJ1667" s="5" t="s">
        <v>240</v>
      </c>
      <c r="BK1667" s="8">
        <f>0</f>
        <v>0</v>
      </c>
      <c r="BL1667" s="7">
        <f>0</f>
        <v>0</v>
      </c>
      <c r="BM1667" s="5" t="s">
        <v>258</v>
      </c>
      <c r="BN1667" s="5" t="s">
        <v>259</v>
      </c>
      <c r="CB1667" s="5" t="s">
        <v>240</v>
      </c>
      <c r="CC1667" s="5" t="s">
        <v>240</v>
      </c>
      <c r="CG1667" s="5" t="s">
        <v>304</v>
      </c>
      <c r="CH1667" s="5" t="s">
        <v>305</v>
      </c>
      <c r="CI1667" s="5" t="s">
        <v>240</v>
      </c>
      <c r="CL1667" s="6" t="s">
        <v>261</v>
      </c>
      <c r="CM1667" s="5" t="s">
        <v>240</v>
      </c>
      <c r="CN1667" s="5" t="s">
        <v>263</v>
      </c>
      <c r="CO1667" s="5" t="s">
        <v>240</v>
      </c>
      <c r="CP1667" s="5" t="s">
        <v>240</v>
      </c>
      <c r="CQ1667" s="5">
        <v>0</v>
      </c>
      <c r="CR1667" s="5" t="s">
        <v>306</v>
      </c>
      <c r="CS1667" s="5" t="s">
        <v>307</v>
      </c>
      <c r="CT1667" s="5" t="s">
        <v>307</v>
      </c>
      <c r="CU1667" s="5" t="s">
        <v>260</v>
      </c>
      <c r="CX1667" s="7">
        <f>1</f>
        <v>1</v>
      </c>
      <c r="CY1667" s="7">
        <f>0</f>
        <v>0</v>
      </c>
      <c r="DA1667" s="7">
        <f>0</f>
        <v>0</v>
      </c>
      <c r="DC1667" s="5" t="s">
        <v>812</v>
      </c>
      <c r="DD1667" s="5" t="s">
        <v>240</v>
      </c>
      <c r="DF1667" s="5" t="s">
        <v>812</v>
      </c>
      <c r="DG1667" s="7">
        <f>286</f>
        <v>286</v>
      </c>
      <c r="DI1667" s="5" t="s">
        <v>240</v>
      </c>
      <c r="DJ1667" s="5" t="s">
        <v>240</v>
      </c>
      <c r="DK1667" s="5" t="s">
        <v>240</v>
      </c>
      <c r="DL1667" s="5" t="s">
        <v>240</v>
      </c>
      <c r="DP1667" s="5" t="s">
        <v>240</v>
      </c>
      <c r="DQ1667" s="5" t="s">
        <v>240</v>
      </c>
      <c r="DR1667" s="5" t="s">
        <v>240</v>
      </c>
      <c r="DS1667" s="5" t="s">
        <v>240</v>
      </c>
      <c r="DV1667" s="5" t="s">
        <v>813</v>
      </c>
      <c r="DW1667" s="5" t="s">
        <v>3468</v>
      </c>
      <c r="HO1667" s="5" t="s">
        <v>312</v>
      </c>
    </row>
    <row r="1668" spans="1:240" x14ac:dyDescent="0.4">
      <c r="A1668" s="5">
        <v>3343</v>
      </c>
      <c r="B1668" s="5">
        <v>1</v>
      </c>
      <c r="C1668" s="5">
        <v>1</v>
      </c>
      <c r="D1668" s="5" t="s">
        <v>297</v>
      </c>
      <c r="E1668" s="5" t="s">
        <v>245</v>
      </c>
      <c r="F1668" s="5" t="s">
        <v>254</v>
      </c>
      <c r="G1668" s="5" t="s">
        <v>240</v>
      </c>
      <c r="H1668" s="6" t="s">
        <v>4494</v>
      </c>
      <c r="I1668" s="5" t="s">
        <v>295</v>
      </c>
      <c r="J1668" s="8">
        <f>2612</f>
        <v>2612</v>
      </c>
      <c r="K1668" s="5" t="s">
        <v>308</v>
      </c>
      <c r="L1668" s="7">
        <f>1</f>
        <v>1</v>
      </c>
      <c r="M1668" s="7">
        <f>1</f>
        <v>1</v>
      </c>
      <c r="N1668" s="5" t="s">
        <v>242</v>
      </c>
      <c r="O1668" s="5">
        <v>1</v>
      </c>
      <c r="P1668" s="5" t="s">
        <v>294</v>
      </c>
      <c r="Q1668" s="5" t="s">
        <v>266</v>
      </c>
      <c r="R1668" s="5" t="s">
        <v>240</v>
      </c>
      <c r="S1668" s="5" t="s">
        <v>240</v>
      </c>
      <c r="T1668" s="5" t="s">
        <v>243</v>
      </c>
      <c r="U1668" s="5" t="s">
        <v>244</v>
      </c>
      <c r="V1668" s="5" t="s">
        <v>240</v>
      </c>
      <c r="Y1668" s="5" t="s">
        <v>240</v>
      </c>
      <c r="Z1668" s="6" t="s">
        <v>1855</v>
      </c>
      <c r="AB1668" s="6" t="s">
        <v>240</v>
      </c>
      <c r="AE1668" s="6" t="s">
        <v>299</v>
      </c>
      <c r="AF1668" s="5" t="s">
        <v>248</v>
      </c>
      <c r="AG1668" s="5" t="s">
        <v>249</v>
      </c>
      <c r="AW1668" s="5" t="s">
        <v>251</v>
      </c>
      <c r="AX1668" s="5" t="s">
        <v>240</v>
      </c>
      <c r="AY1668" s="5" t="s">
        <v>253</v>
      </c>
      <c r="AZ1668" s="5" t="s">
        <v>240</v>
      </c>
      <c r="BA1668" s="5" t="s">
        <v>255</v>
      </c>
      <c r="BB1668" s="5" t="s">
        <v>240</v>
      </c>
      <c r="BD1668" s="5" t="s">
        <v>686</v>
      </c>
      <c r="BF1668" s="5" t="s">
        <v>301</v>
      </c>
      <c r="BG1668" s="6" t="s">
        <v>1855</v>
      </c>
      <c r="BH1668" s="5" t="s">
        <v>302</v>
      </c>
      <c r="BI1668" s="5" t="s">
        <v>3214</v>
      </c>
      <c r="BJ1668" s="5" t="s">
        <v>240</v>
      </c>
      <c r="BK1668" s="8">
        <f>0</f>
        <v>0</v>
      </c>
      <c r="BL1668" s="7">
        <f>0</f>
        <v>0</v>
      </c>
      <c r="BM1668" s="5" t="s">
        <v>258</v>
      </c>
      <c r="BN1668" s="5" t="s">
        <v>259</v>
      </c>
      <c r="CB1668" s="5" t="s">
        <v>240</v>
      </c>
      <c r="CC1668" s="5" t="s">
        <v>240</v>
      </c>
      <c r="CG1668" s="5" t="s">
        <v>449</v>
      </c>
      <c r="CH1668" s="5" t="s">
        <v>305</v>
      </c>
      <c r="CI1668" s="5" t="s">
        <v>240</v>
      </c>
      <c r="CL1668" s="6" t="s">
        <v>261</v>
      </c>
      <c r="CM1668" s="5" t="s">
        <v>240</v>
      </c>
      <c r="CN1668" s="5" t="s">
        <v>263</v>
      </c>
      <c r="CO1668" s="5" t="s">
        <v>240</v>
      </c>
      <c r="CP1668" s="5" t="s">
        <v>240</v>
      </c>
      <c r="CQ1668" s="5">
        <v>0</v>
      </c>
      <c r="CR1668" s="5" t="s">
        <v>306</v>
      </c>
      <c r="CS1668" s="5" t="s">
        <v>307</v>
      </c>
      <c r="CT1668" s="5" t="s">
        <v>307</v>
      </c>
      <c r="CU1668" s="5" t="s">
        <v>260</v>
      </c>
      <c r="CX1668" s="7">
        <f>162970</f>
        <v>162970</v>
      </c>
      <c r="CY1668" s="7">
        <f>0</f>
        <v>0</v>
      </c>
      <c r="DA1668" s="7">
        <f>0</f>
        <v>0</v>
      </c>
      <c r="DC1668" s="5" t="s">
        <v>450</v>
      </c>
      <c r="DD1668" s="5" t="s">
        <v>240</v>
      </c>
      <c r="DF1668" s="5" t="s">
        <v>618</v>
      </c>
      <c r="DG1668" s="7">
        <f>379.16</f>
        <v>379.16</v>
      </c>
      <c r="DI1668" s="5" t="s">
        <v>240</v>
      </c>
      <c r="DJ1668" s="5" t="s">
        <v>240</v>
      </c>
      <c r="DK1668" s="5" t="s">
        <v>240</v>
      </c>
      <c r="DL1668" s="5" t="s">
        <v>240</v>
      </c>
      <c r="DP1668" s="5" t="s">
        <v>240</v>
      </c>
      <c r="DQ1668" s="5" t="s">
        <v>240</v>
      </c>
      <c r="DR1668" s="5" t="s">
        <v>240</v>
      </c>
      <c r="DS1668" s="5" t="s">
        <v>240</v>
      </c>
      <c r="DV1668" s="5" t="s">
        <v>3473</v>
      </c>
      <c r="DW1668" s="5" t="s">
        <v>312</v>
      </c>
      <c r="HO1668" s="5" t="s">
        <v>691</v>
      </c>
    </row>
    <row r="1669" spans="1:240" x14ac:dyDescent="0.4">
      <c r="A1669" s="5">
        <v>3344</v>
      </c>
      <c r="B1669" s="5">
        <v>1</v>
      </c>
      <c r="C1669" s="5">
        <v>1</v>
      </c>
      <c r="D1669" s="5" t="s">
        <v>297</v>
      </c>
      <c r="E1669" s="5" t="s">
        <v>245</v>
      </c>
      <c r="F1669" s="5" t="s">
        <v>254</v>
      </c>
      <c r="G1669" s="5" t="s">
        <v>240</v>
      </c>
      <c r="H1669" s="6" t="s">
        <v>4493</v>
      </c>
      <c r="I1669" s="5" t="s">
        <v>295</v>
      </c>
      <c r="J1669" s="8">
        <f>693</f>
        <v>693</v>
      </c>
      <c r="K1669" s="5" t="s">
        <v>308</v>
      </c>
      <c r="L1669" s="7">
        <f>1</f>
        <v>1</v>
      </c>
      <c r="M1669" s="7">
        <f>1</f>
        <v>1</v>
      </c>
      <c r="N1669" s="5" t="s">
        <v>242</v>
      </c>
      <c r="O1669" s="5">
        <v>1</v>
      </c>
      <c r="P1669" s="5" t="s">
        <v>294</v>
      </c>
      <c r="Q1669" s="5" t="s">
        <v>266</v>
      </c>
      <c r="R1669" s="5" t="s">
        <v>240</v>
      </c>
      <c r="S1669" s="5" t="s">
        <v>240</v>
      </c>
      <c r="T1669" s="5" t="s">
        <v>296</v>
      </c>
      <c r="U1669" s="5" t="s">
        <v>244</v>
      </c>
      <c r="V1669" s="5" t="s">
        <v>240</v>
      </c>
      <c r="Y1669" s="5" t="s">
        <v>240</v>
      </c>
      <c r="Z1669" s="6" t="s">
        <v>298</v>
      </c>
      <c r="AB1669" s="6" t="s">
        <v>240</v>
      </c>
      <c r="AE1669" s="6" t="s">
        <v>299</v>
      </c>
      <c r="AF1669" s="5" t="s">
        <v>248</v>
      </c>
      <c r="AG1669" s="5" t="s">
        <v>249</v>
      </c>
      <c r="AW1669" s="5" t="s">
        <v>251</v>
      </c>
      <c r="AX1669" s="5" t="s">
        <v>240</v>
      </c>
      <c r="AY1669" s="5" t="s">
        <v>253</v>
      </c>
      <c r="AZ1669" s="5" t="s">
        <v>240</v>
      </c>
      <c r="BA1669" s="5" t="s">
        <v>255</v>
      </c>
      <c r="BB1669" s="5" t="s">
        <v>240</v>
      </c>
      <c r="BD1669" s="5" t="s">
        <v>240</v>
      </c>
      <c r="BF1669" s="5" t="s">
        <v>301</v>
      </c>
      <c r="BG1669" s="6" t="s">
        <v>299</v>
      </c>
      <c r="BH1669" s="5" t="s">
        <v>302</v>
      </c>
      <c r="BI1669" s="5" t="s">
        <v>303</v>
      </c>
      <c r="BJ1669" s="5" t="s">
        <v>240</v>
      </c>
      <c r="BK1669" s="8">
        <f>0</f>
        <v>0</v>
      </c>
      <c r="BL1669" s="7">
        <f>0</f>
        <v>0</v>
      </c>
      <c r="BM1669" s="5" t="s">
        <v>258</v>
      </c>
      <c r="BN1669" s="5" t="s">
        <v>259</v>
      </c>
      <c r="CB1669" s="5" t="s">
        <v>240</v>
      </c>
      <c r="CC1669" s="5" t="s">
        <v>240</v>
      </c>
      <c r="CG1669" s="5" t="s">
        <v>304</v>
      </c>
      <c r="CH1669" s="5" t="s">
        <v>305</v>
      </c>
      <c r="CI1669" s="5" t="s">
        <v>240</v>
      </c>
      <c r="CL1669" s="6" t="s">
        <v>261</v>
      </c>
      <c r="CM1669" s="5" t="s">
        <v>240</v>
      </c>
      <c r="CN1669" s="5" t="s">
        <v>263</v>
      </c>
      <c r="CO1669" s="5" t="s">
        <v>240</v>
      </c>
      <c r="CP1669" s="5" t="s">
        <v>240</v>
      </c>
      <c r="CQ1669" s="5">
        <v>0</v>
      </c>
      <c r="CR1669" s="5" t="s">
        <v>306</v>
      </c>
      <c r="CS1669" s="5" t="s">
        <v>307</v>
      </c>
      <c r="CT1669" s="5" t="s">
        <v>307</v>
      </c>
      <c r="CU1669" s="5" t="s">
        <v>260</v>
      </c>
      <c r="CX1669" s="7">
        <f>1</f>
        <v>1</v>
      </c>
      <c r="CY1669" s="7">
        <f>0</f>
        <v>0</v>
      </c>
      <c r="DA1669" s="7">
        <f>0</f>
        <v>0</v>
      </c>
      <c r="DC1669" s="5" t="s">
        <v>812</v>
      </c>
      <c r="DD1669" s="5" t="s">
        <v>240</v>
      </c>
      <c r="DF1669" s="5" t="s">
        <v>812</v>
      </c>
      <c r="DG1669" s="7">
        <f>188</f>
        <v>188</v>
      </c>
      <c r="DI1669" s="5" t="s">
        <v>240</v>
      </c>
      <c r="DJ1669" s="5" t="s">
        <v>240</v>
      </c>
      <c r="DK1669" s="5" t="s">
        <v>240</v>
      </c>
      <c r="DL1669" s="5" t="s">
        <v>240</v>
      </c>
      <c r="DP1669" s="5" t="s">
        <v>240</v>
      </c>
      <c r="DQ1669" s="5" t="s">
        <v>240</v>
      </c>
      <c r="DR1669" s="5" t="s">
        <v>240</v>
      </c>
      <c r="DS1669" s="5" t="s">
        <v>240</v>
      </c>
      <c r="DV1669" s="5" t="s">
        <v>813</v>
      </c>
      <c r="DW1669" s="5" t="s">
        <v>3475</v>
      </c>
      <c r="HO1669" s="5" t="s">
        <v>312</v>
      </c>
    </row>
    <row r="1670" spans="1:240" x14ac:dyDescent="0.4">
      <c r="A1670" s="5">
        <v>3345</v>
      </c>
      <c r="B1670" s="5">
        <v>1</v>
      </c>
      <c r="C1670" s="5">
        <v>1</v>
      </c>
      <c r="D1670" s="5" t="s">
        <v>297</v>
      </c>
      <c r="E1670" s="5" t="s">
        <v>245</v>
      </c>
      <c r="F1670" s="5" t="s">
        <v>254</v>
      </c>
      <c r="G1670" s="5" t="s">
        <v>240</v>
      </c>
      <c r="H1670" s="6" t="s">
        <v>4492</v>
      </c>
      <c r="I1670" s="5" t="s">
        <v>295</v>
      </c>
      <c r="J1670" s="8">
        <f>2549</f>
        <v>2549</v>
      </c>
      <c r="K1670" s="5" t="s">
        <v>308</v>
      </c>
      <c r="L1670" s="7">
        <f>1</f>
        <v>1</v>
      </c>
      <c r="M1670" s="7">
        <f>1</f>
        <v>1</v>
      </c>
      <c r="N1670" s="5" t="s">
        <v>242</v>
      </c>
      <c r="O1670" s="5">
        <v>1</v>
      </c>
      <c r="P1670" s="5" t="s">
        <v>294</v>
      </c>
      <c r="Q1670" s="5" t="s">
        <v>613</v>
      </c>
      <c r="R1670" s="5" t="s">
        <v>240</v>
      </c>
      <c r="S1670" s="5" t="s">
        <v>240</v>
      </c>
      <c r="T1670" s="5" t="s">
        <v>243</v>
      </c>
      <c r="U1670" s="5" t="s">
        <v>724</v>
      </c>
      <c r="V1670" s="5" t="s">
        <v>240</v>
      </c>
      <c r="W1670" s="5" t="s">
        <v>240</v>
      </c>
      <c r="X1670" s="5" t="s">
        <v>240</v>
      </c>
      <c r="Y1670" s="5" t="s">
        <v>240</v>
      </c>
      <c r="Z1670" s="6" t="s">
        <v>298</v>
      </c>
      <c r="AA1670" s="6" t="s">
        <v>240</v>
      </c>
      <c r="AB1670" s="6" t="s">
        <v>240</v>
      </c>
      <c r="AC1670" s="5" t="s">
        <v>240</v>
      </c>
      <c r="AD1670" s="6" t="s">
        <v>240</v>
      </c>
      <c r="AE1670" s="6" t="s">
        <v>299</v>
      </c>
      <c r="AF1670" s="5" t="s">
        <v>727</v>
      </c>
      <c r="AG1670" s="5" t="s">
        <v>260</v>
      </c>
      <c r="AH1670" s="5" t="s">
        <v>240</v>
      </c>
      <c r="AI1670" s="5" t="s">
        <v>240</v>
      </c>
      <c r="AJ1670" s="5" t="s">
        <v>240</v>
      </c>
      <c r="AK1670" s="5" t="s">
        <v>240</v>
      </c>
      <c r="AL1670" s="5" t="s">
        <v>240</v>
      </c>
      <c r="AM1670" s="5" t="s">
        <v>240</v>
      </c>
      <c r="AN1670" s="5" t="s">
        <v>240</v>
      </c>
      <c r="AO1670" s="5" t="s">
        <v>240</v>
      </c>
      <c r="AP1670" s="6" t="s">
        <v>240</v>
      </c>
      <c r="AQ1670" s="6" t="s">
        <v>240</v>
      </c>
      <c r="AR1670" s="6" t="s">
        <v>240</v>
      </c>
      <c r="AS1670" s="6" t="s">
        <v>240</v>
      </c>
      <c r="AT1670" s="5" t="s">
        <v>240</v>
      </c>
      <c r="AU1670" s="5" t="s">
        <v>729</v>
      </c>
      <c r="AV1670" s="5" t="s">
        <v>729</v>
      </c>
      <c r="AW1670" s="5" t="s">
        <v>251</v>
      </c>
      <c r="AX1670" s="5" t="s">
        <v>252</v>
      </c>
      <c r="AY1670" s="5" t="s">
        <v>253</v>
      </c>
      <c r="AZ1670" s="5" t="s">
        <v>240</v>
      </c>
      <c r="BA1670" s="5" t="s">
        <v>255</v>
      </c>
      <c r="BB1670" s="5" t="s">
        <v>731</v>
      </c>
      <c r="BD1670" s="5" t="s">
        <v>240</v>
      </c>
      <c r="BF1670" s="5" t="s">
        <v>732</v>
      </c>
      <c r="BG1670" s="6" t="s">
        <v>733</v>
      </c>
      <c r="BH1670" s="5" t="s">
        <v>734</v>
      </c>
      <c r="BI1670" s="5" t="s">
        <v>734</v>
      </c>
      <c r="BJ1670" s="5" t="s">
        <v>240</v>
      </c>
      <c r="BK1670" s="8">
        <f>297.52</f>
        <v>297.52</v>
      </c>
      <c r="BL1670" s="7">
        <f>0</f>
        <v>0</v>
      </c>
      <c r="BM1670" s="5" t="s">
        <v>258</v>
      </c>
      <c r="BN1670" s="5" t="s">
        <v>259</v>
      </c>
      <c r="BO1670" s="5" t="s">
        <v>240</v>
      </c>
      <c r="BP1670" s="5" t="s">
        <v>240</v>
      </c>
      <c r="BQ1670" s="5" t="s">
        <v>240</v>
      </c>
      <c r="BR1670" s="5" t="s">
        <v>240</v>
      </c>
      <c r="BS1670" s="5" t="s">
        <v>240</v>
      </c>
      <c r="BT1670" s="5" t="s">
        <v>240</v>
      </c>
      <c r="BU1670" s="5" t="s">
        <v>240</v>
      </c>
      <c r="BV1670" s="5" t="s">
        <v>240</v>
      </c>
      <c r="BW1670" s="6" t="s">
        <v>240</v>
      </c>
      <c r="BX1670" s="5" t="s">
        <v>240</v>
      </c>
      <c r="BY1670" s="5" t="s">
        <v>240</v>
      </c>
      <c r="BZ1670" s="5" t="s">
        <v>240</v>
      </c>
      <c r="CA1670" s="5" t="s">
        <v>259</v>
      </c>
      <c r="CB1670" s="5" t="s">
        <v>240</v>
      </c>
      <c r="CC1670" s="5" t="s">
        <v>240</v>
      </c>
      <c r="CD1670" s="5" t="s">
        <v>240</v>
      </c>
      <c r="CE1670" s="5" t="s">
        <v>240</v>
      </c>
      <c r="CF1670" s="5" t="s">
        <v>240</v>
      </c>
      <c r="CG1670" s="5" t="s">
        <v>617</v>
      </c>
      <c r="CH1670" s="5" t="s">
        <v>305</v>
      </c>
      <c r="CI1670" s="5" t="s">
        <v>240</v>
      </c>
      <c r="CL1670" s="6" t="s">
        <v>261</v>
      </c>
      <c r="CM1670" s="5" t="s">
        <v>262</v>
      </c>
      <c r="CN1670" s="5" t="s">
        <v>263</v>
      </c>
      <c r="CO1670" s="5" t="s">
        <v>264</v>
      </c>
      <c r="CP1670" s="5" t="s">
        <v>240</v>
      </c>
      <c r="CQ1670" s="5">
        <v>0</v>
      </c>
      <c r="CR1670" s="5" t="s">
        <v>735</v>
      </c>
      <c r="CS1670" s="5" t="s">
        <v>307</v>
      </c>
      <c r="CT1670" s="5" t="s">
        <v>307</v>
      </c>
      <c r="CU1670" s="5" t="s">
        <v>260</v>
      </c>
      <c r="CV1670" s="5" t="s">
        <v>240</v>
      </c>
      <c r="CW1670" s="8">
        <f>0</f>
        <v>0</v>
      </c>
      <c r="CX1670" s="7">
        <f>0</f>
        <v>0</v>
      </c>
      <c r="CY1670" s="7">
        <f>0</f>
        <v>0</v>
      </c>
      <c r="DA1670" s="7">
        <f>3272</f>
        <v>3272</v>
      </c>
      <c r="DB1670" s="7" t="s">
        <v>240</v>
      </c>
      <c r="DC1670" s="5" t="s">
        <v>240</v>
      </c>
      <c r="DD1670" s="5" t="s">
        <v>240</v>
      </c>
      <c r="DE1670" s="5" t="s">
        <v>240</v>
      </c>
      <c r="DF1670" s="5" t="s">
        <v>450</v>
      </c>
      <c r="DG1670" s="7">
        <f>0</f>
        <v>0</v>
      </c>
      <c r="DI1670" s="5" t="s">
        <v>737</v>
      </c>
      <c r="DJ1670" s="5" t="s">
        <v>240</v>
      </c>
      <c r="DK1670" s="5" t="s">
        <v>240</v>
      </c>
      <c r="DL1670" s="5" t="s">
        <v>240</v>
      </c>
      <c r="DM1670" s="5" t="s">
        <v>240</v>
      </c>
      <c r="DN1670" s="5" t="s">
        <v>240</v>
      </c>
      <c r="DO1670" s="7" t="s">
        <v>240</v>
      </c>
      <c r="DP1670" s="5" t="s">
        <v>240</v>
      </c>
      <c r="DQ1670" s="5" t="s">
        <v>240</v>
      </c>
      <c r="DR1670" s="5" t="s">
        <v>731</v>
      </c>
      <c r="DS1670" s="5" t="s">
        <v>731</v>
      </c>
      <c r="DT1670" s="5" t="s">
        <v>240</v>
      </c>
      <c r="DU1670" s="5" t="s">
        <v>240</v>
      </c>
      <c r="DV1670" s="5" t="s">
        <v>738</v>
      </c>
      <c r="DW1670" s="5" t="s">
        <v>556</v>
      </c>
      <c r="DX1670" s="5" t="s">
        <v>240</v>
      </c>
      <c r="DY1670" s="5" t="s">
        <v>240</v>
      </c>
      <c r="DZ1670" s="5" t="s">
        <v>240</v>
      </c>
      <c r="EA1670" s="5" t="s">
        <v>240</v>
      </c>
      <c r="EB1670" s="5" t="s">
        <v>240</v>
      </c>
      <c r="EC1670" s="5" t="s">
        <v>240</v>
      </c>
      <c r="ED1670" s="5" t="s">
        <v>240</v>
      </c>
      <c r="EE1670" s="5" t="s">
        <v>240</v>
      </c>
      <c r="EF1670" s="5" t="s">
        <v>240</v>
      </c>
      <c r="EG1670" s="5" t="s">
        <v>240</v>
      </c>
      <c r="EH1670" s="5" t="s">
        <v>240</v>
      </c>
      <c r="EI1670" s="5" t="s">
        <v>240</v>
      </c>
      <c r="EJ1670" s="5" t="s">
        <v>240</v>
      </c>
      <c r="EK1670" s="5" t="s">
        <v>240</v>
      </c>
      <c r="EL1670" s="5" t="s">
        <v>240</v>
      </c>
      <c r="EM1670" s="5" t="s">
        <v>240</v>
      </c>
      <c r="EN1670" s="5" t="s">
        <v>240</v>
      </c>
      <c r="EO1670" s="5" t="s">
        <v>240</v>
      </c>
      <c r="EP1670" s="5" t="s">
        <v>240</v>
      </c>
      <c r="EQ1670" s="5" t="s">
        <v>240</v>
      </c>
      <c r="ER1670" s="5" t="s">
        <v>240</v>
      </c>
      <c r="ES1670" s="5" t="s">
        <v>240</v>
      </c>
      <c r="ET1670" s="5" t="s">
        <v>240</v>
      </c>
      <c r="EU1670" s="5" t="s">
        <v>240</v>
      </c>
      <c r="EV1670" s="5" t="s">
        <v>240</v>
      </c>
      <c r="EW1670" s="5" t="s">
        <v>240</v>
      </c>
      <c r="EX1670" s="5" t="s">
        <v>240</v>
      </c>
      <c r="EY1670" s="5" t="s">
        <v>240</v>
      </c>
      <c r="EZ1670" s="5" t="s">
        <v>240</v>
      </c>
      <c r="FA1670" s="5" t="s">
        <v>240</v>
      </c>
      <c r="FB1670" s="5" t="s">
        <v>240</v>
      </c>
      <c r="FC1670" s="5" t="s">
        <v>240</v>
      </c>
      <c r="FD1670" s="5" t="s">
        <v>240</v>
      </c>
      <c r="FE1670" s="5" t="s">
        <v>240</v>
      </c>
      <c r="FF1670" s="5" t="s">
        <v>240</v>
      </c>
      <c r="FG1670" s="5" t="s">
        <v>240</v>
      </c>
      <c r="FH1670" s="5" t="s">
        <v>240</v>
      </c>
      <c r="FI1670" s="5" t="s">
        <v>240</v>
      </c>
      <c r="FJ1670" s="5" t="s">
        <v>240</v>
      </c>
      <c r="FK1670" s="5" t="s">
        <v>240</v>
      </c>
      <c r="FL1670" s="5" t="s">
        <v>240</v>
      </c>
      <c r="FM1670" s="5" t="s">
        <v>240</v>
      </c>
      <c r="FN1670" s="5" t="s">
        <v>240</v>
      </c>
      <c r="FO1670" s="5" t="s">
        <v>240</v>
      </c>
      <c r="FP1670" s="5" t="s">
        <v>240</v>
      </c>
      <c r="FQ1670" s="5" t="s">
        <v>240</v>
      </c>
      <c r="FR1670" s="5" t="s">
        <v>240</v>
      </c>
      <c r="FS1670" s="5" t="s">
        <v>240</v>
      </c>
      <c r="FT1670" s="5" t="s">
        <v>240</v>
      </c>
      <c r="FU1670" s="5" t="s">
        <v>240</v>
      </c>
      <c r="FV1670" s="5" t="s">
        <v>240</v>
      </c>
      <c r="FW1670" s="5" t="s">
        <v>240</v>
      </c>
      <c r="FX1670" s="5" t="s">
        <v>240</v>
      </c>
      <c r="FY1670" s="5" t="s">
        <v>240</v>
      </c>
      <c r="FZ1670" s="5" t="s">
        <v>240</v>
      </c>
      <c r="GA1670" s="5" t="s">
        <v>240</v>
      </c>
      <c r="GB1670" s="5" t="s">
        <v>240</v>
      </c>
      <c r="GC1670" s="5" t="s">
        <v>240</v>
      </c>
      <c r="GD1670" s="5" t="s">
        <v>240</v>
      </c>
      <c r="GE1670" s="5" t="s">
        <v>240</v>
      </c>
      <c r="GF1670" s="5" t="s">
        <v>240</v>
      </c>
      <c r="GG1670" s="5" t="s">
        <v>240</v>
      </c>
      <c r="GH1670" s="5" t="s">
        <v>240</v>
      </c>
      <c r="GI1670" s="5" t="s">
        <v>240</v>
      </c>
      <c r="GJ1670" s="5" t="s">
        <v>240</v>
      </c>
      <c r="GK1670" s="5" t="s">
        <v>240</v>
      </c>
      <c r="GL1670" s="5" t="s">
        <v>240</v>
      </c>
      <c r="GM1670" s="5" t="s">
        <v>240</v>
      </c>
      <c r="GN1670" s="5" t="s">
        <v>240</v>
      </c>
      <c r="GO1670" s="5" t="s">
        <v>240</v>
      </c>
      <c r="GP1670" s="5" t="s">
        <v>240</v>
      </c>
      <c r="GQ1670" s="5" t="s">
        <v>240</v>
      </c>
      <c r="GR1670" s="5" t="s">
        <v>240</v>
      </c>
      <c r="GS1670" s="5" t="s">
        <v>240</v>
      </c>
      <c r="GT1670" s="5" t="s">
        <v>240</v>
      </c>
      <c r="GU1670" s="5" t="s">
        <v>240</v>
      </c>
      <c r="GV1670" s="5" t="s">
        <v>240</v>
      </c>
      <c r="GW1670" s="5" t="s">
        <v>240</v>
      </c>
      <c r="GX1670" s="5" t="s">
        <v>240</v>
      </c>
      <c r="GY1670" s="5" t="s">
        <v>240</v>
      </c>
      <c r="GZ1670" s="5" t="s">
        <v>240</v>
      </c>
      <c r="HA1670" s="5" t="s">
        <v>240</v>
      </c>
      <c r="HB1670" s="5" t="s">
        <v>240</v>
      </c>
      <c r="HC1670" s="5" t="s">
        <v>240</v>
      </c>
      <c r="HD1670" s="5" t="s">
        <v>240</v>
      </c>
      <c r="HE1670" s="5" t="s">
        <v>240</v>
      </c>
      <c r="HF1670" s="5" t="s">
        <v>240</v>
      </c>
      <c r="HG1670" s="5" t="s">
        <v>240</v>
      </c>
      <c r="HH1670" s="5" t="s">
        <v>240</v>
      </c>
      <c r="HI1670" s="5" t="s">
        <v>240</v>
      </c>
      <c r="HJ1670" s="5" t="s">
        <v>240</v>
      </c>
      <c r="HK1670" s="5" t="s">
        <v>240</v>
      </c>
      <c r="HL1670" s="5" t="s">
        <v>240</v>
      </c>
      <c r="HM1670" s="5" t="s">
        <v>240</v>
      </c>
      <c r="HN1670" s="5" t="s">
        <v>240</v>
      </c>
      <c r="HO1670" s="5" t="s">
        <v>620</v>
      </c>
      <c r="HP1670" s="5" t="s">
        <v>240</v>
      </c>
      <c r="HQ1670" s="5" t="s">
        <v>240</v>
      </c>
      <c r="HR1670" s="5" t="s">
        <v>240</v>
      </c>
      <c r="HS1670" s="5" t="s">
        <v>240</v>
      </c>
      <c r="HT1670" s="5" t="s">
        <v>240</v>
      </c>
      <c r="HU1670" s="5" t="s">
        <v>240</v>
      </c>
      <c r="HV1670" s="5" t="s">
        <v>240</v>
      </c>
      <c r="HW1670" s="5" t="s">
        <v>240</v>
      </c>
      <c r="HX1670" s="5" t="s">
        <v>240</v>
      </c>
      <c r="HY1670" s="5" t="s">
        <v>240</v>
      </c>
      <c r="HZ1670" s="5" t="s">
        <v>240</v>
      </c>
      <c r="IA1670" s="5" t="s">
        <v>240</v>
      </c>
      <c r="IB1670" s="5" t="s">
        <v>240</v>
      </c>
      <c r="IC1670" s="5" t="s">
        <v>240</v>
      </c>
      <c r="ID1670" s="5" t="s">
        <v>240</v>
      </c>
      <c r="IE1670" s="5" t="s">
        <v>240</v>
      </c>
      <c r="IF1670" s="5" t="s">
        <v>240</v>
      </c>
    </row>
    <row r="1671" spans="1:240" x14ac:dyDescent="0.4">
      <c r="A1671" s="5">
        <v>3346</v>
      </c>
      <c r="B1671" s="5">
        <v>1</v>
      </c>
      <c r="C1671" s="5">
        <v>1</v>
      </c>
      <c r="D1671" s="5" t="s">
        <v>297</v>
      </c>
      <c r="E1671" s="5" t="s">
        <v>245</v>
      </c>
      <c r="F1671" s="5" t="s">
        <v>254</v>
      </c>
      <c r="G1671" s="5" t="s">
        <v>240</v>
      </c>
      <c r="H1671" s="6" t="s">
        <v>4491</v>
      </c>
      <c r="I1671" s="5" t="s">
        <v>295</v>
      </c>
      <c r="J1671" s="8">
        <f>92</f>
        <v>92</v>
      </c>
      <c r="K1671" s="5" t="s">
        <v>308</v>
      </c>
      <c r="L1671" s="7">
        <f>1</f>
        <v>1</v>
      </c>
      <c r="M1671" s="7">
        <f>1</f>
        <v>1</v>
      </c>
      <c r="N1671" s="5" t="s">
        <v>242</v>
      </c>
      <c r="O1671" s="5">
        <v>1</v>
      </c>
      <c r="P1671" s="5" t="s">
        <v>294</v>
      </c>
      <c r="Q1671" s="5" t="s">
        <v>266</v>
      </c>
      <c r="R1671" s="5" t="s">
        <v>240</v>
      </c>
      <c r="S1671" s="5" t="s">
        <v>240</v>
      </c>
      <c r="T1671" s="5" t="s">
        <v>296</v>
      </c>
      <c r="U1671" s="5" t="s">
        <v>244</v>
      </c>
      <c r="V1671" s="5" t="s">
        <v>240</v>
      </c>
      <c r="Y1671" s="5" t="s">
        <v>240</v>
      </c>
      <c r="Z1671" s="6" t="s">
        <v>298</v>
      </c>
      <c r="AB1671" s="6" t="s">
        <v>240</v>
      </c>
      <c r="AE1671" s="6" t="s">
        <v>299</v>
      </c>
      <c r="AF1671" s="5" t="s">
        <v>248</v>
      </c>
      <c r="AG1671" s="5" t="s">
        <v>249</v>
      </c>
      <c r="AW1671" s="5" t="s">
        <v>251</v>
      </c>
      <c r="AX1671" s="5" t="s">
        <v>240</v>
      </c>
      <c r="AY1671" s="5" t="s">
        <v>253</v>
      </c>
      <c r="AZ1671" s="5" t="s">
        <v>240</v>
      </c>
      <c r="BA1671" s="5" t="s">
        <v>255</v>
      </c>
      <c r="BB1671" s="5" t="s">
        <v>240</v>
      </c>
      <c r="BD1671" s="5" t="s">
        <v>240</v>
      </c>
      <c r="BF1671" s="5" t="s">
        <v>301</v>
      </c>
      <c r="BG1671" s="6" t="s">
        <v>299</v>
      </c>
      <c r="BH1671" s="5" t="s">
        <v>302</v>
      </c>
      <c r="BI1671" s="5" t="s">
        <v>303</v>
      </c>
      <c r="BJ1671" s="5" t="s">
        <v>240</v>
      </c>
      <c r="BK1671" s="8">
        <f>0</f>
        <v>0</v>
      </c>
      <c r="BL1671" s="7">
        <f>0</f>
        <v>0</v>
      </c>
      <c r="BM1671" s="5" t="s">
        <v>258</v>
      </c>
      <c r="BN1671" s="5" t="s">
        <v>259</v>
      </c>
      <c r="CB1671" s="5" t="s">
        <v>240</v>
      </c>
      <c r="CC1671" s="5" t="s">
        <v>240</v>
      </c>
      <c r="CG1671" s="5" t="s">
        <v>304</v>
      </c>
      <c r="CH1671" s="5" t="s">
        <v>305</v>
      </c>
      <c r="CI1671" s="5" t="s">
        <v>240</v>
      </c>
      <c r="CL1671" s="6" t="s">
        <v>261</v>
      </c>
      <c r="CM1671" s="5" t="s">
        <v>240</v>
      </c>
      <c r="CN1671" s="5" t="s">
        <v>263</v>
      </c>
      <c r="CO1671" s="5" t="s">
        <v>240</v>
      </c>
      <c r="CP1671" s="5" t="s">
        <v>240</v>
      </c>
      <c r="CQ1671" s="5">
        <v>0</v>
      </c>
      <c r="CR1671" s="5" t="s">
        <v>306</v>
      </c>
      <c r="CS1671" s="5" t="s">
        <v>307</v>
      </c>
      <c r="CT1671" s="5" t="s">
        <v>307</v>
      </c>
      <c r="CU1671" s="5" t="s">
        <v>260</v>
      </c>
      <c r="CX1671" s="7">
        <f>1</f>
        <v>1</v>
      </c>
      <c r="CY1671" s="7">
        <f>0</f>
        <v>0</v>
      </c>
      <c r="DA1671" s="7">
        <f>0</f>
        <v>0</v>
      </c>
      <c r="DC1671" s="5" t="s">
        <v>812</v>
      </c>
      <c r="DD1671" s="5" t="s">
        <v>240</v>
      </c>
      <c r="DF1671" s="5" t="s">
        <v>812</v>
      </c>
      <c r="DG1671" s="7">
        <f>682</f>
        <v>682</v>
      </c>
      <c r="DI1671" s="5" t="s">
        <v>240</v>
      </c>
      <c r="DJ1671" s="5" t="s">
        <v>240</v>
      </c>
      <c r="DK1671" s="5" t="s">
        <v>240</v>
      </c>
      <c r="DL1671" s="5" t="s">
        <v>240</v>
      </c>
      <c r="DP1671" s="5" t="s">
        <v>240</v>
      </c>
      <c r="DQ1671" s="5" t="s">
        <v>240</v>
      </c>
      <c r="DR1671" s="5" t="s">
        <v>240</v>
      </c>
      <c r="DS1671" s="5" t="s">
        <v>240</v>
      </c>
      <c r="DV1671" s="5" t="s">
        <v>813</v>
      </c>
      <c r="DW1671" s="5" t="s">
        <v>3478</v>
      </c>
      <c r="HO1671" s="5" t="s">
        <v>312</v>
      </c>
    </row>
    <row r="1672" spans="1:240" x14ac:dyDescent="0.4">
      <c r="A1672" s="5">
        <v>3347</v>
      </c>
      <c r="B1672" s="5">
        <v>1</v>
      </c>
      <c r="C1672" s="5">
        <v>1</v>
      </c>
      <c r="D1672" s="5" t="s">
        <v>297</v>
      </c>
      <c r="E1672" s="5" t="s">
        <v>245</v>
      </c>
      <c r="F1672" s="5" t="s">
        <v>254</v>
      </c>
      <c r="G1672" s="5" t="s">
        <v>240</v>
      </c>
      <c r="H1672" s="6" t="s">
        <v>4490</v>
      </c>
      <c r="I1672" s="5" t="s">
        <v>295</v>
      </c>
      <c r="J1672" s="8">
        <f>728</f>
        <v>728</v>
      </c>
      <c r="K1672" s="5" t="s">
        <v>308</v>
      </c>
      <c r="L1672" s="7">
        <f>1</f>
        <v>1</v>
      </c>
      <c r="M1672" s="7">
        <f>1</f>
        <v>1</v>
      </c>
      <c r="N1672" s="5" t="s">
        <v>242</v>
      </c>
      <c r="O1672" s="5">
        <v>1</v>
      </c>
      <c r="P1672" s="5" t="s">
        <v>294</v>
      </c>
      <c r="Q1672" s="5" t="s">
        <v>266</v>
      </c>
      <c r="R1672" s="5" t="s">
        <v>240</v>
      </c>
      <c r="S1672" s="5" t="s">
        <v>240</v>
      </c>
      <c r="T1672" s="5" t="s">
        <v>296</v>
      </c>
      <c r="U1672" s="5" t="s">
        <v>244</v>
      </c>
      <c r="V1672" s="5" t="s">
        <v>240</v>
      </c>
      <c r="Y1672" s="5" t="s">
        <v>240</v>
      </c>
      <c r="Z1672" s="6" t="s">
        <v>298</v>
      </c>
      <c r="AB1672" s="6" t="s">
        <v>240</v>
      </c>
      <c r="AE1672" s="6" t="s">
        <v>299</v>
      </c>
      <c r="AF1672" s="5" t="s">
        <v>248</v>
      </c>
      <c r="AG1672" s="5" t="s">
        <v>249</v>
      </c>
      <c r="AW1672" s="5" t="s">
        <v>251</v>
      </c>
      <c r="AX1672" s="5" t="s">
        <v>240</v>
      </c>
      <c r="AY1672" s="5" t="s">
        <v>253</v>
      </c>
      <c r="AZ1672" s="5" t="s">
        <v>240</v>
      </c>
      <c r="BA1672" s="5" t="s">
        <v>255</v>
      </c>
      <c r="BB1672" s="5" t="s">
        <v>240</v>
      </c>
      <c r="BD1672" s="5" t="s">
        <v>240</v>
      </c>
      <c r="BF1672" s="5" t="s">
        <v>301</v>
      </c>
      <c r="BG1672" s="6" t="s">
        <v>299</v>
      </c>
      <c r="BH1672" s="5" t="s">
        <v>302</v>
      </c>
      <c r="BI1672" s="5" t="s">
        <v>303</v>
      </c>
      <c r="BJ1672" s="5" t="s">
        <v>240</v>
      </c>
      <c r="BK1672" s="8">
        <f>0</f>
        <v>0</v>
      </c>
      <c r="BL1672" s="7">
        <f>0</f>
        <v>0</v>
      </c>
      <c r="BM1672" s="5" t="s">
        <v>258</v>
      </c>
      <c r="BN1672" s="5" t="s">
        <v>259</v>
      </c>
      <c r="CB1672" s="5" t="s">
        <v>240</v>
      </c>
      <c r="CC1672" s="5" t="s">
        <v>240</v>
      </c>
      <c r="CG1672" s="5" t="s">
        <v>304</v>
      </c>
      <c r="CH1672" s="5" t="s">
        <v>305</v>
      </c>
      <c r="CI1672" s="5" t="s">
        <v>240</v>
      </c>
      <c r="CL1672" s="6" t="s">
        <v>261</v>
      </c>
      <c r="CM1672" s="5" t="s">
        <v>240</v>
      </c>
      <c r="CN1672" s="5" t="s">
        <v>263</v>
      </c>
      <c r="CO1672" s="5" t="s">
        <v>240</v>
      </c>
      <c r="CP1672" s="5" t="s">
        <v>240</v>
      </c>
      <c r="CQ1672" s="5">
        <v>0</v>
      </c>
      <c r="CR1672" s="5" t="s">
        <v>306</v>
      </c>
      <c r="CS1672" s="5" t="s">
        <v>307</v>
      </c>
      <c r="CT1672" s="5" t="s">
        <v>307</v>
      </c>
      <c r="CU1672" s="5" t="s">
        <v>260</v>
      </c>
      <c r="CX1672" s="7">
        <f>1</f>
        <v>1</v>
      </c>
      <c r="CY1672" s="7">
        <f>0</f>
        <v>0</v>
      </c>
      <c r="DA1672" s="7">
        <f>0</f>
        <v>0</v>
      </c>
      <c r="DC1672" s="5" t="s">
        <v>812</v>
      </c>
      <c r="DD1672" s="5" t="s">
        <v>240</v>
      </c>
      <c r="DF1672" s="5" t="s">
        <v>812</v>
      </c>
      <c r="DG1672" s="7">
        <f>340</f>
        <v>340</v>
      </c>
      <c r="DI1672" s="5" t="s">
        <v>240</v>
      </c>
      <c r="DJ1672" s="5" t="s">
        <v>240</v>
      </c>
      <c r="DK1672" s="5" t="s">
        <v>240</v>
      </c>
      <c r="DL1672" s="5" t="s">
        <v>240</v>
      </c>
      <c r="DP1672" s="5" t="s">
        <v>240</v>
      </c>
      <c r="DQ1672" s="5" t="s">
        <v>240</v>
      </c>
      <c r="DR1672" s="5" t="s">
        <v>240</v>
      </c>
      <c r="DS1672" s="5" t="s">
        <v>240</v>
      </c>
      <c r="DV1672" s="5" t="s">
        <v>813</v>
      </c>
      <c r="DW1672" s="5" t="s">
        <v>3480</v>
      </c>
      <c r="HO1672" s="5" t="s">
        <v>312</v>
      </c>
    </row>
    <row r="1673" spans="1:240" x14ac:dyDescent="0.4">
      <c r="A1673" s="5">
        <v>3348</v>
      </c>
      <c r="B1673" s="5">
        <v>1</v>
      </c>
      <c r="C1673" s="5">
        <v>1</v>
      </c>
      <c r="D1673" s="5" t="s">
        <v>297</v>
      </c>
      <c r="E1673" s="5" t="s">
        <v>245</v>
      </c>
      <c r="F1673" s="5" t="s">
        <v>254</v>
      </c>
      <c r="G1673" s="5" t="s">
        <v>240</v>
      </c>
      <c r="H1673" s="6" t="s">
        <v>4489</v>
      </c>
      <c r="I1673" s="5" t="s">
        <v>295</v>
      </c>
      <c r="J1673" s="8">
        <f>492</f>
        <v>492</v>
      </c>
      <c r="K1673" s="5" t="s">
        <v>308</v>
      </c>
      <c r="L1673" s="7">
        <f>1</f>
        <v>1</v>
      </c>
      <c r="M1673" s="7">
        <f>1</f>
        <v>1</v>
      </c>
      <c r="N1673" s="5" t="s">
        <v>242</v>
      </c>
      <c r="O1673" s="5">
        <v>1</v>
      </c>
      <c r="P1673" s="5" t="s">
        <v>294</v>
      </c>
      <c r="Q1673" s="5" t="s">
        <v>266</v>
      </c>
      <c r="R1673" s="5" t="s">
        <v>240</v>
      </c>
      <c r="S1673" s="5" t="s">
        <v>240</v>
      </c>
      <c r="T1673" s="5" t="s">
        <v>296</v>
      </c>
      <c r="U1673" s="5" t="s">
        <v>244</v>
      </c>
      <c r="V1673" s="5" t="s">
        <v>240</v>
      </c>
      <c r="Y1673" s="5" t="s">
        <v>240</v>
      </c>
      <c r="Z1673" s="6" t="s">
        <v>298</v>
      </c>
      <c r="AB1673" s="6" t="s">
        <v>240</v>
      </c>
      <c r="AE1673" s="6" t="s">
        <v>299</v>
      </c>
      <c r="AF1673" s="5" t="s">
        <v>248</v>
      </c>
      <c r="AG1673" s="5" t="s">
        <v>249</v>
      </c>
      <c r="AW1673" s="5" t="s">
        <v>251</v>
      </c>
      <c r="AX1673" s="5" t="s">
        <v>240</v>
      </c>
      <c r="AY1673" s="5" t="s">
        <v>253</v>
      </c>
      <c r="AZ1673" s="5" t="s">
        <v>240</v>
      </c>
      <c r="BA1673" s="5" t="s">
        <v>255</v>
      </c>
      <c r="BB1673" s="5" t="s">
        <v>240</v>
      </c>
      <c r="BD1673" s="5" t="s">
        <v>240</v>
      </c>
      <c r="BF1673" s="5" t="s">
        <v>301</v>
      </c>
      <c r="BG1673" s="6" t="s">
        <v>299</v>
      </c>
      <c r="BH1673" s="5" t="s">
        <v>302</v>
      </c>
      <c r="BI1673" s="5" t="s">
        <v>303</v>
      </c>
      <c r="BJ1673" s="5" t="s">
        <v>240</v>
      </c>
      <c r="BK1673" s="8">
        <f>0</f>
        <v>0</v>
      </c>
      <c r="BL1673" s="7">
        <f>0</f>
        <v>0</v>
      </c>
      <c r="BM1673" s="5" t="s">
        <v>258</v>
      </c>
      <c r="BN1673" s="5" t="s">
        <v>259</v>
      </c>
      <c r="CB1673" s="5" t="s">
        <v>240</v>
      </c>
      <c r="CC1673" s="5" t="s">
        <v>240</v>
      </c>
      <c r="CG1673" s="5" t="s">
        <v>304</v>
      </c>
      <c r="CH1673" s="5" t="s">
        <v>305</v>
      </c>
      <c r="CI1673" s="5" t="s">
        <v>240</v>
      </c>
      <c r="CL1673" s="6" t="s">
        <v>261</v>
      </c>
      <c r="CM1673" s="5" t="s">
        <v>240</v>
      </c>
      <c r="CN1673" s="5" t="s">
        <v>263</v>
      </c>
      <c r="CO1673" s="5" t="s">
        <v>240</v>
      </c>
      <c r="CP1673" s="5" t="s">
        <v>240</v>
      </c>
      <c r="CQ1673" s="5">
        <v>0</v>
      </c>
      <c r="CR1673" s="5" t="s">
        <v>306</v>
      </c>
      <c r="CS1673" s="5" t="s">
        <v>307</v>
      </c>
      <c r="CT1673" s="5" t="s">
        <v>307</v>
      </c>
      <c r="CU1673" s="5" t="s">
        <v>260</v>
      </c>
      <c r="CX1673" s="7">
        <f>1</f>
        <v>1</v>
      </c>
      <c r="CY1673" s="7">
        <f>0</f>
        <v>0</v>
      </c>
      <c r="DA1673" s="7">
        <f>0</f>
        <v>0</v>
      </c>
      <c r="DC1673" s="5" t="s">
        <v>812</v>
      </c>
      <c r="DD1673" s="5" t="s">
        <v>240</v>
      </c>
      <c r="DF1673" s="5" t="s">
        <v>812</v>
      </c>
      <c r="DG1673" s="7">
        <f>581</f>
        <v>581</v>
      </c>
      <c r="DI1673" s="5" t="s">
        <v>240</v>
      </c>
      <c r="DJ1673" s="5" t="s">
        <v>240</v>
      </c>
      <c r="DK1673" s="5" t="s">
        <v>240</v>
      </c>
      <c r="DL1673" s="5" t="s">
        <v>240</v>
      </c>
      <c r="DP1673" s="5" t="s">
        <v>240</v>
      </c>
      <c r="DQ1673" s="5" t="s">
        <v>240</v>
      </c>
      <c r="DR1673" s="5" t="s">
        <v>240</v>
      </c>
      <c r="DS1673" s="5" t="s">
        <v>240</v>
      </c>
      <c r="DV1673" s="5" t="s">
        <v>813</v>
      </c>
      <c r="DW1673" s="5" t="s">
        <v>3482</v>
      </c>
      <c r="HO1673" s="5" t="s">
        <v>312</v>
      </c>
    </row>
    <row r="1674" spans="1:240" x14ac:dyDescent="0.4">
      <c r="A1674" s="5">
        <v>3349</v>
      </c>
      <c r="B1674" s="5">
        <v>1</v>
      </c>
      <c r="C1674" s="5">
        <v>1</v>
      </c>
      <c r="D1674" s="5" t="s">
        <v>297</v>
      </c>
      <c r="E1674" s="5" t="s">
        <v>245</v>
      </c>
      <c r="F1674" s="5" t="s">
        <v>254</v>
      </c>
      <c r="G1674" s="5" t="s">
        <v>240</v>
      </c>
      <c r="H1674" s="6" t="s">
        <v>5627</v>
      </c>
      <c r="I1674" s="5" t="s">
        <v>295</v>
      </c>
      <c r="J1674" s="8">
        <f>97</f>
        <v>97</v>
      </c>
      <c r="K1674" s="5" t="s">
        <v>308</v>
      </c>
      <c r="L1674" s="7">
        <f>1</f>
        <v>1</v>
      </c>
      <c r="M1674" s="7">
        <f>1</f>
        <v>1</v>
      </c>
      <c r="N1674" s="5" t="s">
        <v>242</v>
      </c>
      <c r="O1674" s="5">
        <v>1</v>
      </c>
      <c r="P1674" s="5" t="s">
        <v>294</v>
      </c>
      <c r="Q1674" s="5" t="s">
        <v>266</v>
      </c>
      <c r="R1674" s="5" t="s">
        <v>240</v>
      </c>
      <c r="S1674" s="5" t="s">
        <v>240</v>
      </c>
      <c r="T1674" s="5" t="s">
        <v>296</v>
      </c>
      <c r="U1674" s="5" t="s">
        <v>244</v>
      </c>
      <c r="V1674" s="5" t="s">
        <v>240</v>
      </c>
      <c r="Y1674" s="5" t="s">
        <v>240</v>
      </c>
      <c r="Z1674" s="6" t="s">
        <v>298</v>
      </c>
      <c r="AB1674" s="6" t="s">
        <v>240</v>
      </c>
      <c r="AE1674" s="6" t="s">
        <v>299</v>
      </c>
      <c r="AF1674" s="5" t="s">
        <v>248</v>
      </c>
      <c r="AG1674" s="5" t="s">
        <v>249</v>
      </c>
      <c r="AW1674" s="5" t="s">
        <v>251</v>
      </c>
      <c r="AX1674" s="5" t="s">
        <v>240</v>
      </c>
      <c r="AY1674" s="5" t="s">
        <v>253</v>
      </c>
      <c r="AZ1674" s="5" t="s">
        <v>240</v>
      </c>
      <c r="BA1674" s="5" t="s">
        <v>255</v>
      </c>
      <c r="BB1674" s="5" t="s">
        <v>240</v>
      </c>
      <c r="BD1674" s="5" t="s">
        <v>240</v>
      </c>
      <c r="BF1674" s="5" t="s">
        <v>301</v>
      </c>
      <c r="BG1674" s="6" t="s">
        <v>299</v>
      </c>
      <c r="BH1674" s="5" t="s">
        <v>302</v>
      </c>
      <c r="BI1674" s="5" t="s">
        <v>303</v>
      </c>
      <c r="BJ1674" s="5" t="s">
        <v>240</v>
      </c>
      <c r="BK1674" s="8">
        <f>0</f>
        <v>0</v>
      </c>
      <c r="BL1674" s="7">
        <f>0</f>
        <v>0</v>
      </c>
      <c r="BM1674" s="5" t="s">
        <v>258</v>
      </c>
      <c r="BN1674" s="5" t="s">
        <v>259</v>
      </c>
      <c r="CB1674" s="5" t="s">
        <v>240</v>
      </c>
      <c r="CC1674" s="5" t="s">
        <v>240</v>
      </c>
      <c r="CG1674" s="5" t="s">
        <v>304</v>
      </c>
      <c r="CH1674" s="5" t="s">
        <v>305</v>
      </c>
      <c r="CI1674" s="5" t="s">
        <v>240</v>
      </c>
      <c r="CL1674" s="6" t="s">
        <v>261</v>
      </c>
      <c r="CM1674" s="5" t="s">
        <v>240</v>
      </c>
      <c r="CN1674" s="5" t="s">
        <v>263</v>
      </c>
      <c r="CO1674" s="5" t="s">
        <v>240</v>
      </c>
      <c r="CP1674" s="5" t="s">
        <v>240</v>
      </c>
      <c r="CQ1674" s="5">
        <v>0</v>
      </c>
      <c r="CR1674" s="5" t="s">
        <v>306</v>
      </c>
      <c r="CS1674" s="5" t="s">
        <v>307</v>
      </c>
      <c r="CT1674" s="5" t="s">
        <v>307</v>
      </c>
      <c r="CU1674" s="5" t="s">
        <v>260</v>
      </c>
      <c r="CX1674" s="7">
        <f>1</f>
        <v>1</v>
      </c>
      <c r="CY1674" s="7">
        <f>0</f>
        <v>0</v>
      </c>
      <c r="DA1674" s="7">
        <f>0</f>
        <v>0</v>
      </c>
      <c r="DC1674" s="5" t="s">
        <v>309</v>
      </c>
      <c r="DD1674" s="5" t="s">
        <v>240</v>
      </c>
      <c r="DF1674" s="5" t="s">
        <v>309</v>
      </c>
      <c r="DG1674" s="7">
        <f>1929</f>
        <v>1929</v>
      </c>
      <c r="DI1674" s="5" t="s">
        <v>240</v>
      </c>
      <c r="DJ1674" s="5" t="s">
        <v>240</v>
      </c>
      <c r="DK1674" s="5" t="s">
        <v>240</v>
      </c>
      <c r="DL1674" s="5" t="s">
        <v>240</v>
      </c>
      <c r="DP1674" s="5" t="s">
        <v>240</v>
      </c>
      <c r="DQ1674" s="5" t="s">
        <v>240</v>
      </c>
      <c r="DR1674" s="5" t="s">
        <v>240</v>
      </c>
      <c r="DS1674" s="5" t="s">
        <v>240</v>
      </c>
      <c r="DV1674" s="5" t="s">
        <v>310</v>
      </c>
      <c r="DW1674" s="5" t="s">
        <v>2477</v>
      </c>
      <c r="HO1674" s="5" t="s">
        <v>312</v>
      </c>
    </row>
    <row r="1675" spans="1:240" x14ac:dyDescent="0.4">
      <c r="A1675" s="5">
        <v>3350</v>
      </c>
      <c r="B1675" s="5">
        <v>1</v>
      </c>
      <c r="C1675" s="5">
        <v>1</v>
      </c>
      <c r="D1675" s="5" t="s">
        <v>297</v>
      </c>
      <c r="E1675" s="5" t="s">
        <v>245</v>
      </c>
      <c r="F1675" s="5" t="s">
        <v>254</v>
      </c>
      <c r="G1675" s="5" t="s">
        <v>240</v>
      </c>
      <c r="H1675" s="6" t="s">
        <v>4484</v>
      </c>
      <c r="I1675" s="5" t="s">
        <v>295</v>
      </c>
      <c r="J1675" s="8">
        <f>431</f>
        <v>431</v>
      </c>
      <c r="K1675" s="5" t="s">
        <v>308</v>
      </c>
      <c r="L1675" s="7">
        <f>1</f>
        <v>1</v>
      </c>
      <c r="M1675" s="7">
        <f>1</f>
        <v>1</v>
      </c>
      <c r="N1675" s="5" t="s">
        <v>242</v>
      </c>
      <c r="O1675" s="5">
        <v>1</v>
      </c>
      <c r="P1675" s="5" t="s">
        <v>294</v>
      </c>
      <c r="Q1675" s="5" t="s">
        <v>266</v>
      </c>
      <c r="R1675" s="5" t="s">
        <v>240</v>
      </c>
      <c r="S1675" s="5" t="s">
        <v>240</v>
      </c>
      <c r="T1675" s="5" t="s">
        <v>296</v>
      </c>
      <c r="U1675" s="5" t="s">
        <v>244</v>
      </c>
      <c r="V1675" s="5" t="s">
        <v>240</v>
      </c>
      <c r="Y1675" s="5" t="s">
        <v>240</v>
      </c>
      <c r="Z1675" s="6" t="s">
        <v>298</v>
      </c>
      <c r="AB1675" s="6" t="s">
        <v>240</v>
      </c>
      <c r="AE1675" s="6" t="s">
        <v>299</v>
      </c>
      <c r="AF1675" s="5" t="s">
        <v>248</v>
      </c>
      <c r="AG1675" s="5" t="s">
        <v>249</v>
      </c>
      <c r="AW1675" s="5" t="s">
        <v>251</v>
      </c>
      <c r="AX1675" s="5" t="s">
        <v>240</v>
      </c>
      <c r="AY1675" s="5" t="s">
        <v>253</v>
      </c>
      <c r="AZ1675" s="5" t="s">
        <v>240</v>
      </c>
      <c r="BA1675" s="5" t="s">
        <v>255</v>
      </c>
      <c r="BB1675" s="5" t="s">
        <v>240</v>
      </c>
      <c r="BD1675" s="5" t="s">
        <v>240</v>
      </c>
      <c r="BF1675" s="5" t="s">
        <v>301</v>
      </c>
      <c r="BG1675" s="6" t="s">
        <v>299</v>
      </c>
      <c r="BH1675" s="5" t="s">
        <v>302</v>
      </c>
      <c r="BI1675" s="5" t="s">
        <v>303</v>
      </c>
      <c r="BJ1675" s="5" t="s">
        <v>240</v>
      </c>
      <c r="BK1675" s="8">
        <f>0</f>
        <v>0</v>
      </c>
      <c r="BL1675" s="7">
        <f>0</f>
        <v>0</v>
      </c>
      <c r="BM1675" s="5" t="s">
        <v>258</v>
      </c>
      <c r="BN1675" s="5" t="s">
        <v>259</v>
      </c>
      <c r="CB1675" s="5" t="s">
        <v>240</v>
      </c>
      <c r="CC1675" s="5" t="s">
        <v>240</v>
      </c>
      <c r="CG1675" s="5" t="s">
        <v>304</v>
      </c>
      <c r="CH1675" s="5" t="s">
        <v>305</v>
      </c>
      <c r="CI1675" s="5" t="s">
        <v>240</v>
      </c>
      <c r="CL1675" s="6" t="s">
        <v>261</v>
      </c>
      <c r="CM1675" s="5" t="s">
        <v>240</v>
      </c>
      <c r="CN1675" s="5" t="s">
        <v>263</v>
      </c>
      <c r="CO1675" s="5" t="s">
        <v>240</v>
      </c>
      <c r="CP1675" s="5" t="s">
        <v>240</v>
      </c>
      <c r="CQ1675" s="5">
        <v>0</v>
      </c>
      <c r="CR1675" s="5" t="s">
        <v>306</v>
      </c>
      <c r="CS1675" s="5" t="s">
        <v>307</v>
      </c>
      <c r="CT1675" s="5" t="s">
        <v>307</v>
      </c>
      <c r="CU1675" s="5" t="s">
        <v>260</v>
      </c>
      <c r="CX1675" s="7">
        <f>1</f>
        <v>1</v>
      </c>
      <c r="CY1675" s="7">
        <f>0</f>
        <v>0</v>
      </c>
      <c r="DA1675" s="7">
        <f>0</f>
        <v>0</v>
      </c>
      <c r="DC1675" s="5" t="s">
        <v>812</v>
      </c>
      <c r="DD1675" s="5" t="s">
        <v>240</v>
      </c>
      <c r="DF1675" s="5" t="s">
        <v>812</v>
      </c>
      <c r="DG1675" s="7">
        <f>188</f>
        <v>188</v>
      </c>
      <c r="DI1675" s="5" t="s">
        <v>240</v>
      </c>
      <c r="DJ1675" s="5" t="s">
        <v>240</v>
      </c>
      <c r="DK1675" s="5" t="s">
        <v>240</v>
      </c>
      <c r="DL1675" s="5" t="s">
        <v>240</v>
      </c>
      <c r="DP1675" s="5" t="s">
        <v>240</v>
      </c>
      <c r="DQ1675" s="5" t="s">
        <v>240</v>
      </c>
      <c r="DR1675" s="5" t="s">
        <v>240</v>
      </c>
      <c r="DS1675" s="5" t="s">
        <v>240</v>
      </c>
      <c r="DV1675" s="5" t="s">
        <v>813</v>
      </c>
      <c r="DW1675" s="5" t="s">
        <v>3485</v>
      </c>
      <c r="HO1675" s="5" t="s">
        <v>312</v>
      </c>
    </row>
    <row r="1676" spans="1:240" x14ac:dyDescent="0.4">
      <c r="A1676" s="5">
        <v>3351</v>
      </c>
      <c r="B1676" s="5">
        <v>1</v>
      </c>
      <c r="C1676" s="5">
        <v>1</v>
      </c>
      <c r="D1676" s="5" t="s">
        <v>297</v>
      </c>
      <c r="E1676" s="5" t="s">
        <v>245</v>
      </c>
      <c r="F1676" s="5" t="s">
        <v>254</v>
      </c>
      <c r="G1676" s="5" t="s">
        <v>240</v>
      </c>
      <c r="H1676" s="6" t="s">
        <v>4483</v>
      </c>
      <c r="I1676" s="5" t="s">
        <v>295</v>
      </c>
      <c r="J1676" s="8">
        <f>1038</f>
        <v>1038</v>
      </c>
      <c r="K1676" s="5" t="s">
        <v>308</v>
      </c>
      <c r="L1676" s="7">
        <f>1</f>
        <v>1</v>
      </c>
      <c r="M1676" s="7">
        <f>1</f>
        <v>1</v>
      </c>
      <c r="N1676" s="5" t="s">
        <v>242</v>
      </c>
      <c r="O1676" s="5">
        <v>1</v>
      </c>
      <c r="P1676" s="5" t="s">
        <v>294</v>
      </c>
      <c r="Q1676" s="5" t="s">
        <v>266</v>
      </c>
      <c r="R1676" s="5" t="s">
        <v>240</v>
      </c>
      <c r="S1676" s="5" t="s">
        <v>240</v>
      </c>
      <c r="T1676" s="5" t="s">
        <v>296</v>
      </c>
      <c r="U1676" s="5" t="s">
        <v>244</v>
      </c>
      <c r="V1676" s="5" t="s">
        <v>240</v>
      </c>
      <c r="Y1676" s="5" t="s">
        <v>240</v>
      </c>
      <c r="Z1676" s="6" t="s">
        <v>298</v>
      </c>
      <c r="AB1676" s="6" t="s">
        <v>240</v>
      </c>
      <c r="AE1676" s="6" t="s">
        <v>299</v>
      </c>
      <c r="AF1676" s="5" t="s">
        <v>248</v>
      </c>
      <c r="AG1676" s="5" t="s">
        <v>249</v>
      </c>
      <c r="AW1676" s="5" t="s">
        <v>251</v>
      </c>
      <c r="AX1676" s="5" t="s">
        <v>240</v>
      </c>
      <c r="AY1676" s="5" t="s">
        <v>253</v>
      </c>
      <c r="AZ1676" s="5" t="s">
        <v>240</v>
      </c>
      <c r="BA1676" s="5" t="s">
        <v>255</v>
      </c>
      <c r="BB1676" s="5" t="s">
        <v>240</v>
      </c>
      <c r="BD1676" s="5" t="s">
        <v>240</v>
      </c>
      <c r="BF1676" s="5" t="s">
        <v>301</v>
      </c>
      <c r="BG1676" s="6" t="s">
        <v>299</v>
      </c>
      <c r="BH1676" s="5" t="s">
        <v>302</v>
      </c>
      <c r="BI1676" s="5" t="s">
        <v>303</v>
      </c>
      <c r="BJ1676" s="5" t="s">
        <v>240</v>
      </c>
      <c r="BK1676" s="8">
        <f>0</f>
        <v>0</v>
      </c>
      <c r="BL1676" s="7">
        <f>0</f>
        <v>0</v>
      </c>
      <c r="BM1676" s="5" t="s">
        <v>258</v>
      </c>
      <c r="BN1676" s="5" t="s">
        <v>259</v>
      </c>
      <c r="CB1676" s="5" t="s">
        <v>240</v>
      </c>
      <c r="CC1676" s="5" t="s">
        <v>240</v>
      </c>
      <c r="CG1676" s="5" t="s">
        <v>304</v>
      </c>
      <c r="CH1676" s="5" t="s">
        <v>305</v>
      </c>
      <c r="CI1676" s="5" t="s">
        <v>240</v>
      </c>
      <c r="CL1676" s="6" t="s">
        <v>261</v>
      </c>
      <c r="CM1676" s="5" t="s">
        <v>240</v>
      </c>
      <c r="CN1676" s="5" t="s">
        <v>263</v>
      </c>
      <c r="CO1676" s="5" t="s">
        <v>240</v>
      </c>
      <c r="CP1676" s="5" t="s">
        <v>240</v>
      </c>
      <c r="CQ1676" s="5">
        <v>0</v>
      </c>
      <c r="CR1676" s="5" t="s">
        <v>306</v>
      </c>
      <c r="CS1676" s="5" t="s">
        <v>307</v>
      </c>
      <c r="CT1676" s="5" t="s">
        <v>307</v>
      </c>
      <c r="CU1676" s="5" t="s">
        <v>260</v>
      </c>
      <c r="CX1676" s="7">
        <f>1</f>
        <v>1</v>
      </c>
      <c r="CY1676" s="7">
        <f>0</f>
        <v>0</v>
      </c>
      <c r="DA1676" s="7">
        <f>0</f>
        <v>0</v>
      </c>
      <c r="DC1676" s="5" t="s">
        <v>812</v>
      </c>
      <c r="DD1676" s="5" t="s">
        <v>240</v>
      </c>
      <c r="DF1676" s="5" t="s">
        <v>812</v>
      </c>
      <c r="DG1676" s="7">
        <f>3099</f>
        <v>3099</v>
      </c>
      <c r="DI1676" s="5" t="s">
        <v>240</v>
      </c>
      <c r="DJ1676" s="5" t="s">
        <v>240</v>
      </c>
      <c r="DK1676" s="5" t="s">
        <v>240</v>
      </c>
      <c r="DL1676" s="5" t="s">
        <v>240</v>
      </c>
      <c r="DP1676" s="5" t="s">
        <v>240</v>
      </c>
      <c r="DQ1676" s="5" t="s">
        <v>240</v>
      </c>
      <c r="DR1676" s="5" t="s">
        <v>240</v>
      </c>
      <c r="DS1676" s="5" t="s">
        <v>240</v>
      </c>
      <c r="DV1676" s="5" t="s">
        <v>813</v>
      </c>
      <c r="DW1676" s="5" t="s">
        <v>3487</v>
      </c>
      <c r="HO1676" s="5" t="s">
        <v>312</v>
      </c>
    </row>
    <row r="1677" spans="1:240" x14ac:dyDescent="0.4">
      <c r="A1677" s="5">
        <v>3352</v>
      </c>
      <c r="B1677" s="5">
        <v>1</v>
      </c>
      <c r="C1677" s="5">
        <v>1</v>
      </c>
      <c r="D1677" s="5" t="s">
        <v>297</v>
      </c>
      <c r="E1677" s="5" t="s">
        <v>245</v>
      </c>
      <c r="F1677" s="5" t="s">
        <v>254</v>
      </c>
      <c r="G1677" s="5" t="s">
        <v>240</v>
      </c>
      <c r="H1677" s="6" t="s">
        <v>4482</v>
      </c>
      <c r="I1677" s="5" t="s">
        <v>295</v>
      </c>
      <c r="J1677" s="8">
        <f>987</f>
        <v>987</v>
      </c>
      <c r="K1677" s="5" t="s">
        <v>308</v>
      </c>
      <c r="L1677" s="7">
        <f>1</f>
        <v>1</v>
      </c>
      <c r="M1677" s="7">
        <f>1</f>
        <v>1</v>
      </c>
      <c r="N1677" s="5" t="s">
        <v>242</v>
      </c>
      <c r="O1677" s="5">
        <v>1</v>
      </c>
      <c r="P1677" s="5" t="s">
        <v>294</v>
      </c>
      <c r="Q1677" s="5" t="s">
        <v>266</v>
      </c>
      <c r="R1677" s="5" t="s">
        <v>240</v>
      </c>
      <c r="S1677" s="5" t="s">
        <v>240</v>
      </c>
      <c r="T1677" s="5" t="s">
        <v>296</v>
      </c>
      <c r="U1677" s="5" t="s">
        <v>244</v>
      </c>
      <c r="V1677" s="5" t="s">
        <v>240</v>
      </c>
      <c r="Y1677" s="5" t="s">
        <v>240</v>
      </c>
      <c r="Z1677" s="6" t="s">
        <v>298</v>
      </c>
      <c r="AB1677" s="6" t="s">
        <v>240</v>
      </c>
      <c r="AE1677" s="6" t="s">
        <v>299</v>
      </c>
      <c r="AF1677" s="5" t="s">
        <v>248</v>
      </c>
      <c r="AG1677" s="5" t="s">
        <v>249</v>
      </c>
      <c r="AW1677" s="5" t="s">
        <v>251</v>
      </c>
      <c r="AX1677" s="5" t="s">
        <v>240</v>
      </c>
      <c r="AY1677" s="5" t="s">
        <v>253</v>
      </c>
      <c r="AZ1677" s="5" t="s">
        <v>240</v>
      </c>
      <c r="BA1677" s="5" t="s">
        <v>255</v>
      </c>
      <c r="BB1677" s="5" t="s">
        <v>240</v>
      </c>
      <c r="BD1677" s="5" t="s">
        <v>240</v>
      </c>
      <c r="BF1677" s="5" t="s">
        <v>301</v>
      </c>
      <c r="BG1677" s="6" t="s">
        <v>299</v>
      </c>
      <c r="BH1677" s="5" t="s">
        <v>302</v>
      </c>
      <c r="BI1677" s="5" t="s">
        <v>303</v>
      </c>
      <c r="BJ1677" s="5" t="s">
        <v>240</v>
      </c>
      <c r="BK1677" s="8">
        <f>0</f>
        <v>0</v>
      </c>
      <c r="BL1677" s="7">
        <f>0</f>
        <v>0</v>
      </c>
      <c r="BM1677" s="5" t="s">
        <v>258</v>
      </c>
      <c r="BN1677" s="5" t="s">
        <v>259</v>
      </c>
      <c r="CB1677" s="5" t="s">
        <v>240</v>
      </c>
      <c r="CC1677" s="5" t="s">
        <v>240</v>
      </c>
      <c r="CG1677" s="5" t="s">
        <v>304</v>
      </c>
      <c r="CH1677" s="5" t="s">
        <v>305</v>
      </c>
      <c r="CI1677" s="5" t="s">
        <v>240</v>
      </c>
      <c r="CL1677" s="6" t="s">
        <v>261</v>
      </c>
      <c r="CM1677" s="5" t="s">
        <v>240</v>
      </c>
      <c r="CN1677" s="5" t="s">
        <v>263</v>
      </c>
      <c r="CO1677" s="5" t="s">
        <v>240</v>
      </c>
      <c r="CP1677" s="5" t="s">
        <v>240</v>
      </c>
      <c r="CQ1677" s="5">
        <v>0</v>
      </c>
      <c r="CR1677" s="5" t="s">
        <v>306</v>
      </c>
      <c r="CS1677" s="5" t="s">
        <v>307</v>
      </c>
      <c r="CT1677" s="5" t="s">
        <v>307</v>
      </c>
      <c r="CU1677" s="5" t="s">
        <v>260</v>
      </c>
      <c r="CX1677" s="7">
        <f>1</f>
        <v>1</v>
      </c>
      <c r="CY1677" s="7">
        <f>0</f>
        <v>0</v>
      </c>
      <c r="DA1677" s="7">
        <f>0</f>
        <v>0</v>
      </c>
      <c r="DC1677" s="5" t="s">
        <v>812</v>
      </c>
      <c r="DD1677" s="5" t="s">
        <v>240</v>
      </c>
      <c r="DF1677" s="5" t="s">
        <v>812</v>
      </c>
      <c r="DG1677" s="7">
        <f>2641</f>
        <v>2641</v>
      </c>
      <c r="DI1677" s="5" t="s">
        <v>240</v>
      </c>
      <c r="DJ1677" s="5" t="s">
        <v>240</v>
      </c>
      <c r="DK1677" s="5" t="s">
        <v>240</v>
      </c>
      <c r="DL1677" s="5" t="s">
        <v>240</v>
      </c>
      <c r="DP1677" s="5" t="s">
        <v>240</v>
      </c>
      <c r="DQ1677" s="5" t="s">
        <v>240</v>
      </c>
      <c r="DR1677" s="5" t="s">
        <v>240</v>
      </c>
      <c r="DS1677" s="5" t="s">
        <v>240</v>
      </c>
      <c r="DV1677" s="5" t="s">
        <v>813</v>
      </c>
      <c r="DW1677" s="5" t="s">
        <v>3489</v>
      </c>
      <c r="HO1677" s="5" t="s">
        <v>312</v>
      </c>
    </row>
    <row r="1678" spans="1:240" x14ac:dyDescent="0.4">
      <c r="A1678" s="5">
        <v>3353</v>
      </c>
      <c r="B1678" s="5">
        <v>1</v>
      </c>
      <c r="C1678" s="5">
        <v>1</v>
      </c>
      <c r="D1678" s="5" t="s">
        <v>297</v>
      </c>
      <c r="E1678" s="5" t="s">
        <v>245</v>
      </c>
      <c r="F1678" s="5" t="s">
        <v>254</v>
      </c>
      <c r="G1678" s="5" t="s">
        <v>240</v>
      </c>
      <c r="H1678" s="6" t="s">
        <v>4481</v>
      </c>
      <c r="I1678" s="5" t="s">
        <v>295</v>
      </c>
      <c r="J1678" s="8">
        <f>2351</f>
        <v>2351</v>
      </c>
      <c r="K1678" s="5" t="s">
        <v>308</v>
      </c>
      <c r="L1678" s="7">
        <f>1</f>
        <v>1</v>
      </c>
      <c r="M1678" s="7">
        <f>1</f>
        <v>1</v>
      </c>
      <c r="N1678" s="5" t="s">
        <v>242</v>
      </c>
      <c r="O1678" s="5">
        <v>1</v>
      </c>
      <c r="P1678" s="5" t="s">
        <v>294</v>
      </c>
      <c r="Q1678" s="5" t="s">
        <v>266</v>
      </c>
      <c r="R1678" s="5" t="s">
        <v>240</v>
      </c>
      <c r="S1678" s="5" t="s">
        <v>240</v>
      </c>
      <c r="T1678" s="5" t="s">
        <v>296</v>
      </c>
      <c r="U1678" s="5" t="s">
        <v>244</v>
      </c>
      <c r="V1678" s="5" t="s">
        <v>240</v>
      </c>
      <c r="Y1678" s="5" t="s">
        <v>240</v>
      </c>
      <c r="Z1678" s="6" t="s">
        <v>298</v>
      </c>
      <c r="AB1678" s="6" t="s">
        <v>240</v>
      </c>
      <c r="AE1678" s="6" t="s">
        <v>299</v>
      </c>
      <c r="AF1678" s="5" t="s">
        <v>248</v>
      </c>
      <c r="AG1678" s="5" t="s">
        <v>249</v>
      </c>
      <c r="AW1678" s="5" t="s">
        <v>251</v>
      </c>
      <c r="AX1678" s="5" t="s">
        <v>240</v>
      </c>
      <c r="AY1678" s="5" t="s">
        <v>253</v>
      </c>
      <c r="AZ1678" s="5" t="s">
        <v>240</v>
      </c>
      <c r="BA1678" s="5" t="s">
        <v>255</v>
      </c>
      <c r="BB1678" s="5" t="s">
        <v>240</v>
      </c>
      <c r="BD1678" s="5" t="s">
        <v>240</v>
      </c>
      <c r="BF1678" s="5" t="s">
        <v>301</v>
      </c>
      <c r="BG1678" s="6" t="s">
        <v>299</v>
      </c>
      <c r="BH1678" s="5" t="s">
        <v>302</v>
      </c>
      <c r="BI1678" s="5" t="s">
        <v>303</v>
      </c>
      <c r="BJ1678" s="5" t="s">
        <v>240</v>
      </c>
      <c r="BK1678" s="8">
        <f>0</f>
        <v>0</v>
      </c>
      <c r="BL1678" s="7">
        <f>0</f>
        <v>0</v>
      </c>
      <c r="BM1678" s="5" t="s">
        <v>258</v>
      </c>
      <c r="BN1678" s="5" t="s">
        <v>259</v>
      </c>
      <c r="CB1678" s="5" t="s">
        <v>240</v>
      </c>
      <c r="CC1678" s="5" t="s">
        <v>240</v>
      </c>
      <c r="CG1678" s="5" t="s">
        <v>304</v>
      </c>
      <c r="CH1678" s="5" t="s">
        <v>305</v>
      </c>
      <c r="CI1678" s="5" t="s">
        <v>240</v>
      </c>
      <c r="CL1678" s="6" t="s">
        <v>261</v>
      </c>
      <c r="CM1678" s="5" t="s">
        <v>240</v>
      </c>
      <c r="CN1678" s="5" t="s">
        <v>263</v>
      </c>
      <c r="CO1678" s="5" t="s">
        <v>240</v>
      </c>
      <c r="CP1678" s="5" t="s">
        <v>240</v>
      </c>
      <c r="CQ1678" s="5">
        <v>0</v>
      </c>
      <c r="CR1678" s="5" t="s">
        <v>306</v>
      </c>
      <c r="CS1678" s="5" t="s">
        <v>307</v>
      </c>
      <c r="CT1678" s="5" t="s">
        <v>307</v>
      </c>
      <c r="CU1678" s="5" t="s">
        <v>260</v>
      </c>
      <c r="CX1678" s="7">
        <f>1</f>
        <v>1</v>
      </c>
      <c r="CY1678" s="7">
        <f>0</f>
        <v>0</v>
      </c>
      <c r="DA1678" s="7">
        <f>0</f>
        <v>0</v>
      </c>
      <c r="DC1678" s="5" t="s">
        <v>812</v>
      </c>
      <c r="DD1678" s="5" t="s">
        <v>240</v>
      </c>
      <c r="DF1678" s="5" t="s">
        <v>812</v>
      </c>
      <c r="DG1678" s="7">
        <f>2765</f>
        <v>2765</v>
      </c>
      <c r="DI1678" s="5" t="s">
        <v>240</v>
      </c>
      <c r="DJ1678" s="5" t="s">
        <v>240</v>
      </c>
      <c r="DK1678" s="5" t="s">
        <v>240</v>
      </c>
      <c r="DL1678" s="5" t="s">
        <v>240</v>
      </c>
      <c r="DP1678" s="5" t="s">
        <v>240</v>
      </c>
      <c r="DQ1678" s="5" t="s">
        <v>240</v>
      </c>
      <c r="DR1678" s="5" t="s">
        <v>240</v>
      </c>
      <c r="DS1678" s="5" t="s">
        <v>240</v>
      </c>
      <c r="DV1678" s="5" t="s">
        <v>813</v>
      </c>
      <c r="DW1678" s="5" t="s">
        <v>3491</v>
      </c>
      <c r="HO1678" s="5" t="s">
        <v>312</v>
      </c>
    </row>
    <row r="1679" spans="1:240" x14ac:dyDescent="0.4">
      <c r="A1679" s="5">
        <v>3354</v>
      </c>
      <c r="B1679" s="5">
        <v>1</v>
      </c>
      <c r="C1679" s="5">
        <v>1</v>
      </c>
      <c r="D1679" s="5" t="s">
        <v>297</v>
      </c>
      <c r="E1679" s="5" t="s">
        <v>245</v>
      </c>
      <c r="F1679" s="5" t="s">
        <v>254</v>
      </c>
      <c r="G1679" s="5" t="s">
        <v>240</v>
      </c>
      <c r="H1679" s="6" t="s">
        <v>4480</v>
      </c>
      <c r="I1679" s="5" t="s">
        <v>295</v>
      </c>
      <c r="J1679" s="8">
        <f>1493</f>
        <v>1493</v>
      </c>
      <c r="K1679" s="5" t="s">
        <v>308</v>
      </c>
      <c r="L1679" s="7">
        <f>1</f>
        <v>1</v>
      </c>
      <c r="M1679" s="7">
        <f>1</f>
        <v>1</v>
      </c>
      <c r="N1679" s="5" t="s">
        <v>242</v>
      </c>
      <c r="O1679" s="5">
        <v>1</v>
      </c>
      <c r="P1679" s="5" t="s">
        <v>294</v>
      </c>
      <c r="Q1679" s="5" t="s">
        <v>266</v>
      </c>
      <c r="R1679" s="5" t="s">
        <v>240</v>
      </c>
      <c r="S1679" s="5" t="s">
        <v>240</v>
      </c>
      <c r="T1679" s="5" t="s">
        <v>296</v>
      </c>
      <c r="U1679" s="5" t="s">
        <v>244</v>
      </c>
      <c r="V1679" s="5" t="s">
        <v>240</v>
      </c>
      <c r="Y1679" s="5" t="s">
        <v>240</v>
      </c>
      <c r="Z1679" s="6" t="s">
        <v>298</v>
      </c>
      <c r="AB1679" s="6" t="s">
        <v>240</v>
      </c>
      <c r="AE1679" s="6" t="s">
        <v>299</v>
      </c>
      <c r="AF1679" s="5" t="s">
        <v>248</v>
      </c>
      <c r="AG1679" s="5" t="s">
        <v>249</v>
      </c>
      <c r="AW1679" s="5" t="s">
        <v>251</v>
      </c>
      <c r="AX1679" s="5" t="s">
        <v>240</v>
      </c>
      <c r="AY1679" s="5" t="s">
        <v>253</v>
      </c>
      <c r="AZ1679" s="5" t="s">
        <v>240</v>
      </c>
      <c r="BA1679" s="5" t="s">
        <v>255</v>
      </c>
      <c r="BB1679" s="5" t="s">
        <v>240</v>
      </c>
      <c r="BD1679" s="5" t="s">
        <v>240</v>
      </c>
      <c r="BF1679" s="5" t="s">
        <v>301</v>
      </c>
      <c r="BG1679" s="6" t="s">
        <v>299</v>
      </c>
      <c r="BH1679" s="5" t="s">
        <v>302</v>
      </c>
      <c r="BI1679" s="5" t="s">
        <v>303</v>
      </c>
      <c r="BJ1679" s="5" t="s">
        <v>240</v>
      </c>
      <c r="BK1679" s="8">
        <f>0</f>
        <v>0</v>
      </c>
      <c r="BL1679" s="7">
        <f>0</f>
        <v>0</v>
      </c>
      <c r="BM1679" s="5" t="s">
        <v>258</v>
      </c>
      <c r="BN1679" s="5" t="s">
        <v>259</v>
      </c>
      <c r="CB1679" s="5" t="s">
        <v>240</v>
      </c>
      <c r="CC1679" s="5" t="s">
        <v>240</v>
      </c>
      <c r="CG1679" s="5" t="s">
        <v>304</v>
      </c>
      <c r="CH1679" s="5" t="s">
        <v>305</v>
      </c>
      <c r="CI1679" s="5" t="s">
        <v>240</v>
      </c>
      <c r="CL1679" s="6" t="s">
        <v>261</v>
      </c>
      <c r="CM1679" s="5" t="s">
        <v>240</v>
      </c>
      <c r="CN1679" s="5" t="s">
        <v>263</v>
      </c>
      <c r="CO1679" s="5" t="s">
        <v>240</v>
      </c>
      <c r="CP1679" s="5" t="s">
        <v>240</v>
      </c>
      <c r="CQ1679" s="5">
        <v>0</v>
      </c>
      <c r="CR1679" s="5" t="s">
        <v>306</v>
      </c>
      <c r="CS1679" s="5" t="s">
        <v>307</v>
      </c>
      <c r="CT1679" s="5" t="s">
        <v>307</v>
      </c>
      <c r="CU1679" s="5" t="s">
        <v>260</v>
      </c>
      <c r="CX1679" s="7">
        <f>1</f>
        <v>1</v>
      </c>
      <c r="CY1679" s="7">
        <f>0</f>
        <v>0</v>
      </c>
      <c r="DA1679" s="7">
        <f>0</f>
        <v>0</v>
      </c>
      <c r="DC1679" s="5" t="s">
        <v>812</v>
      </c>
      <c r="DD1679" s="5" t="s">
        <v>240</v>
      </c>
      <c r="DF1679" s="5" t="s">
        <v>812</v>
      </c>
      <c r="DG1679" s="7">
        <f>743</f>
        <v>743</v>
      </c>
      <c r="DI1679" s="5" t="s">
        <v>240</v>
      </c>
      <c r="DJ1679" s="5" t="s">
        <v>240</v>
      </c>
      <c r="DK1679" s="5" t="s">
        <v>240</v>
      </c>
      <c r="DL1679" s="5" t="s">
        <v>240</v>
      </c>
      <c r="DP1679" s="5" t="s">
        <v>240</v>
      </c>
      <c r="DQ1679" s="5" t="s">
        <v>240</v>
      </c>
      <c r="DR1679" s="5" t="s">
        <v>240</v>
      </c>
      <c r="DS1679" s="5" t="s">
        <v>240</v>
      </c>
      <c r="DV1679" s="5" t="s">
        <v>813</v>
      </c>
      <c r="DW1679" s="5" t="s">
        <v>3493</v>
      </c>
      <c r="HO1679" s="5" t="s">
        <v>312</v>
      </c>
    </row>
    <row r="1680" spans="1:240" x14ac:dyDescent="0.4">
      <c r="A1680" s="5">
        <v>3355</v>
      </c>
      <c r="B1680" s="5">
        <v>1</v>
      </c>
      <c r="C1680" s="5">
        <v>1</v>
      </c>
      <c r="D1680" s="5" t="s">
        <v>297</v>
      </c>
      <c r="E1680" s="5" t="s">
        <v>245</v>
      </c>
      <c r="F1680" s="5" t="s">
        <v>254</v>
      </c>
      <c r="G1680" s="5" t="s">
        <v>240</v>
      </c>
      <c r="H1680" s="6" t="s">
        <v>4479</v>
      </c>
      <c r="I1680" s="5" t="s">
        <v>295</v>
      </c>
      <c r="J1680" s="8">
        <f>1884</f>
        <v>1884</v>
      </c>
      <c r="K1680" s="5" t="s">
        <v>308</v>
      </c>
      <c r="L1680" s="7">
        <f>1</f>
        <v>1</v>
      </c>
      <c r="M1680" s="7">
        <f>1</f>
        <v>1</v>
      </c>
      <c r="N1680" s="5" t="s">
        <v>242</v>
      </c>
      <c r="O1680" s="5">
        <v>1</v>
      </c>
      <c r="P1680" s="5" t="s">
        <v>294</v>
      </c>
      <c r="Q1680" s="5" t="s">
        <v>266</v>
      </c>
      <c r="R1680" s="5" t="s">
        <v>240</v>
      </c>
      <c r="S1680" s="5" t="s">
        <v>240</v>
      </c>
      <c r="T1680" s="5" t="s">
        <v>296</v>
      </c>
      <c r="U1680" s="5" t="s">
        <v>244</v>
      </c>
      <c r="V1680" s="5" t="s">
        <v>240</v>
      </c>
      <c r="Y1680" s="5" t="s">
        <v>240</v>
      </c>
      <c r="Z1680" s="6" t="s">
        <v>298</v>
      </c>
      <c r="AB1680" s="6" t="s">
        <v>240</v>
      </c>
      <c r="AE1680" s="6" t="s">
        <v>299</v>
      </c>
      <c r="AF1680" s="5" t="s">
        <v>248</v>
      </c>
      <c r="AG1680" s="5" t="s">
        <v>249</v>
      </c>
      <c r="AW1680" s="5" t="s">
        <v>251</v>
      </c>
      <c r="AX1680" s="5" t="s">
        <v>240</v>
      </c>
      <c r="AY1680" s="5" t="s">
        <v>253</v>
      </c>
      <c r="AZ1680" s="5" t="s">
        <v>240</v>
      </c>
      <c r="BA1680" s="5" t="s">
        <v>255</v>
      </c>
      <c r="BB1680" s="5" t="s">
        <v>240</v>
      </c>
      <c r="BD1680" s="5" t="s">
        <v>240</v>
      </c>
      <c r="BF1680" s="5" t="s">
        <v>301</v>
      </c>
      <c r="BG1680" s="6" t="s">
        <v>299</v>
      </c>
      <c r="BH1680" s="5" t="s">
        <v>302</v>
      </c>
      <c r="BI1680" s="5" t="s">
        <v>303</v>
      </c>
      <c r="BJ1680" s="5" t="s">
        <v>240</v>
      </c>
      <c r="BK1680" s="8">
        <f>0</f>
        <v>0</v>
      </c>
      <c r="BL1680" s="7">
        <f>0</f>
        <v>0</v>
      </c>
      <c r="BM1680" s="5" t="s">
        <v>258</v>
      </c>
      <c r="BN1680" s="5" t="s">
        <v>259</v>
      </c>
      <c r="CB1680" s="5" t="s">
        <v>240</v>
      </c>
      <c r="CC1680" s="5" t="s">
        <v>240</v>
      </c>
      <c r="CG1680" s="5" t="s">
        <v>304</v>
      </c>
      <c r="CH1680" s="5" t="s">
        <v>305</v>
      </c>
      <c r="CI1680" s="5" t="s">
        <v>240</v>
      </c>
      <c r="CL1680" s="6" t="s">
        <v>261</v>
      </c>
      <c r="CM1680" s="5" t="s">
        <v>240</v>
      </c>
      <c r="CN1680" s="5" t="s">
        <v>263</v>
      </c>
      <c r="CO1680" s="5" t="s">
        <v>240</v>
      </c>
      <c r="CP1680" s="5" t="s">
        <v>240</v>
      </c>
      <c r="CQ1680" s="5">
        <v>0</v>
      </c>
      <c r="CR1680" s="5" t="s">
        <v>306</v>
      </c>
      <c r="CS1680" s="5" t="s">
        <v>307</v>
      </c>
      <c r="CT1680" s="5" t="s">
        <v>307</v>
      </c>
      <c r="CU1680" s="5" t="s">
        <v>260</v>
      </c>
      <c r="CX1680" s="7">
        <f>1</f>
        <v>1</v>
      </c>
      <c r="CY1680" s="7">
        <f>0</f>
        <v>0</v>
      </c>
      <c r="DA1680" s="7">
        <f>0</f>
        <v>0</v>
      </c>
      <c r="DC1680" s="5" t="s">
        <v>812</v>
      </c>
      <c r="DD1680" s="5" t="s">
        <v>240</v>
      </c>
      <c r="DF1680" s="5" t="s">
        <v>812</v>
      </c>
      <c r="DG1680" s="7">
        <f>500</f>
        <v>500</v>
      </c>
      <c r="DI1680" s="5" t="s">
        <v>240</v>
      </c>
      <c r="DJ1680" s="5" t="s">
        <v>240</v>
      </c>
      <c r="DK1680" s="5" t="s">
        <v>240</v>
      </c>
      <c r="DL1680" s="5" t="s">
        <v>240</v>
      </c>
      <c r="DP1680" s="5" t="s">
        <v>240</v>
      </c>
      <c r="DQ1680" s="5" t="s">
        <v>240</v>
      </c>
      <c r="DR1680" s="5" t="s">
        <v>240</v>
      </c>
      <c r="DS1680" s="5" t="s">
        <v>240</v>
      </c>
      <c r="DV1680" s="5" t="s">
        <v>813</v>
      </c>
      <c r="DW1680" s="5" t="s">
        <v>3495</v>
      </c>
      <c r="HO1680" s="5" t="s">
        <v>312</v>
      </c>
    </row>
    <row r="1681" spans="1:240" x14ac:dyDescent="0.4">
      <c r="A1681" s="5">
        <v>3356</v>
      </c>
      <c r="B1681" s="5">
        <v>1</v>
      </c>
      <c r="C1681" s="5">
        <v>1</v>
      </c>
      <c r="D1681" s="5" t="s">
        <v>297</v>
      </c>
      <c r="E1681" s="5" t="s">
        <v>245</v>
      </c>
      <c r="F1681" s="5" t="s">
        <v>254</v>
      </c>
      <c r="G1681" s="5" t="s">
        <v>240</v>
      </c>
      <c r="H1681" s="6" t="s">
        <v>4478</v>
      </c>
      <c r="I1681" s="5" t="s">
        <v>295</v>
      </c>
      <c r="J1681" s="8">
        <f>117</f>
        <v>117</v>
      </c>
      <c r="K1681" s="5" t="s">
        <v>308</v>
      </c>
      <c r="L1681" s="7">
        <f>1</f>
        <v>1</v>
      </c>
      <c r="M1681" s="7">
        <f>1</f>
        <v>1</v>
      </c>
      <c r="N1681" s="5" t="s">
        <v>242</v>
      </c>
      <c r="O1681" s="5">
        <v>1</v>
      </c>
      <c r="P1681" s="5" t="s">
        <v>294</v>
      </c>
      <c r="Q1681" s="5" t="s">
        <v>266</v>
      </c>
      <c r="R1681" s="5" t="s">
        <v>240</v>
      </c>
      <c r="S1681" s="5" t="s">
        <v>240</v>
      </c>
      <c r="T1681" s="5" t="s">
        <v>296</v>
      </c>
      <c r="U1681" s="5" t="s">
        <v>244</v>
      </c>
      <c r="V1681" s="5" t="s">
        <v>240</v>
      </c>
      <c r="Y1681" s="5" t="s">
        <v>240</v>
      </c>
      <c r="Z1681" s="6" t="s">
        <v>298</v>
      </c>
      <c r="AB1681" s="6" t="s">
        <v>240</v>
      </c>
      <c r="AE1681" s="6" t="s">
        <v>299</v>
      </c>
      <c r="AF1681" s="5" t="s">
        <v>248</v>
      </c>
      <c r="AG1681" s="5" t="s">
        <v>249</v>
      </c>
      <c r="AW1681" s="5" t="s">
        <v>251</v>
      </c>
      <c r="AX1681" s="5" t="s">
        <v>240</v>
      </c>
      <c r="AY1681" s="5" t="s">
        <v>253</v>
      </c>
      <c r="AZ1681" s="5" t="s">
        <v>240</v>
      </c>
      <c r="BA1681" s="5" t="s">
        <v>255</v>
      </c>
      <c r="BB1681" s="5" t="s">
        <v>240</v>
      </c>
      <c r="BD1681" s="5" t="s">
        <v>240</v>
      </c>
      <c r="BF1681" s="5" t="s">
        <v>301</v>
      </c>
      <c r="BG1681" s="6" t="s">
        <v>299</v>
      </c>
      <c r="BH1681" s="5" t="s">
        <v>302</v>
      </c>
      <c r="BI1681" s="5" t="s">
        <v>303</v>
      </c>
      <c r="BJ1681" s="5" t="s">
        <v>240</v>
      </c>
      <c r="BK1681" s="8">
        <f>0</f>
        <v>0</v>
      </c>
      <c r="BL1681" s="7">
        <f>0</f>
        <v>0</v>
      </c>
      <c r="BM1681" s="5" t="s">
        <v>258</v>
      </c>
      <c r="BN1681" s="5" t="s">
        <v>259</v>
      </c>
      <c r="CB1681" s="5" t="s">
        <v>240</v>
      </c>
      <c r="CC1681" s="5" t="s">
        <v>240</v>
      </c>
      <c r="CG1681" s="5" t="s">
        <v>304</v>
      </c>
      <c r="CH1681" s="5" t="s">
        <v>305</v>
      </c>
      <c r="CI1681" s="5" t="s">
        <v>240</v>
      </c>
      <c r="CL1681" s="6" t="s">
        <v>261</v>
      </c>
      <c r="CM1681" s="5" t="s">
        <v>240</v>
      </c>
      <c r="CN1681" s="5" t="s">
        <v>263</v>
      </c>
      <c r="CO1681" s="5" t="s">
        <v>240</v>
      </c>
      <c r="CP1681" s="5" t="s">
        <v>240</v>
      </c>
      <c r="CQ1681" s="5">
        <v>0</v>
      </c>
      <c r="CR1681" s="5" t="s">
        <v>306</v>
      </c>
      <c r="CS1681" s="5" t="s">
        <v>307</v>
      </c>
      <c r="CT1681" s="5" t="s">
        <v>307</v>
      </c>
      <c r="CU1681" s="5" t="s">
        <v>260</v>
      </c>
      <c r="CX1681" s="7">
        <f>1</f>
        <v>1</v>
      </c>
      <c r="CY1681" s="7">
        <f>0</f>
        <v>0</v>
      </c>
      <c r="DA1681" s="7">
        <f>0</f>
        <v>0</v>
      </c>
      <c r="DC1681" s="5" t="s">
        <v>812</v>
      </c>
      <c r="DD1681" s="5" t="s">
        <v>240</v>
      </c>
      <c r="DF1681" s="5" t="s">
        <v>812</v>
      </c>
      <c r="DG1681" s="7">
        <f>208</f>
        <v>208</v>
      </c>
      <c r="DI1681" s="5" t="s">
        <v>240</v>
      </c>
      <c r="DJ1681" s="5" t="s">
        <v>240</v>
      </c>
      <c r="DK1681" s="5" t="s">
        <v>240</v>
      </c>
      <c r="DL1681" s="5" t="s">
        <v>240</v>
      </c>
      <c r="DP1681" s="5" t="s">
        <v>240</v>
      </c>
      <c r="DQ1681" s="5" t="s">
        <v>240</v>
      </c>
      <c r="DR1681" s="5" t="s">
        <v>240</v>
      </c>
      <c r="DS1681" s="5" t="s">
        <v>240</v>
      </c>
      <c r="DV1681" s="5" t="s">
        <v>813</v>
      </c>
      <c r="DW1681" s="5" t="s">
        <v>3497</v>
      </c>
      <c r="HO1681" s="5" t="s">
        <v>312</v>
      </c>
    </row>
    <row r="1682" spans="1:240" x14ac:dyDescent="0.4">
      <c r="A1682" s="5">
        <v>3357</v>
      </c>
      <c r="B1682" s="5">
        <v>1</v>
      </c>
      <c r="C1682" s="5">
        <v>1</v>
      </c>
      <c r="D1682" s="5" t="s">
        <v>297</v>
      </c>
      <c r="E1682" s="5" t="s">
        <v>245</v>
      </c>
      <c r="F1682" s="5" t="s">
        <v>254</v>
      </c>
      <c r="G1682" s="5" t="s">
        <v>240</v>
      </c>
      <c r="H1682" s="6" t="s">
        <v>5619</v>
      </c>
      <c r="I1682" s="5" t="s">
        <v>295</v>
      </c>
      <c r="J1682" s="8">
        <f>1675</f>
        <v>1675</v>
      </c>
      <c r="K1682" s="5" t="s">
        <v>308</v>
      </c>
      <c r="L1682" s="7">
        <f>1</f>
        <v>1</v>
      </c>
      <c r="M1682" s="7">
        <f>1</f>
        <v>1</v>
      </c>
      <c r="N1682" s="5" t="s">
        <v>242</v>
      </c>
      <c r="O1682" s="5">
        <v>1</v>
      </c>
      <c r="P1682" s="5" t="s">
        <v>294</v>
      </c>
      <c r="Q1682" s="5" t="s">
        <v>266</v>
      </c>
      <c r="R1682" s="5" t="s">
        <v>240</v>
      </c>
      <c r="S1682" s="5" t="s">
        <v>240</v>
      </c>
      <c r="T1682" s="5" t="s">
        <v>296</v>
      </c>
      <c r="U1682" s="5" t="s">
        <v>244</v>
      </c>
      <c r="V1682" s="5" t="s">
        <v>240</v>
      </c>
      <c r="Y1682" s="5" t="s">
        <v>240</v>
      </c>
      <c r="Z1682" s="6" t="s">
        <v>298</v>
      </c>
      <c r="AB1682" s="6" t="s">
        <v>240</v>
      </c>
      <c r="AE1682" s="6" t="s">
        <v>299</v>
      </c>
      <c r="AF1682" s="5" t="s">
        <v>248</v>
      </c>
      <c r="AG1682" s="5" t="s">
        <v>249</v>
      </c>
      <c r="AW1682" s="5" t="s">
        <v>251</v>
      </c>
      <c r="AX1682" s="5" t="s">
        <v>240</v>
      </c>
      <c r="AY1682" s="5" t="s">
        <v>253</v>
      </c>
      <c r="AZ1682" s="5" t="s">
        <v>240</v>
      </c>
      <c r="BA1682" s="5" t="s">
        <v>255</v>
      </c>
      <c r="BB1682" s="5" t="s">
        <v>240</v>
      </c>
      <c r="BD1682" s="5" t="s">
        <v>240</v>
      </c>
      <c r="BF1682" s="5" t="s">
        <v>301</v>
      </c>
      <c r="BG1682" s="6" t="s">
        <v>299</v>
      </c>
      <c r="BH1682" s="5" t="s">
        <v>302</v>
      </c>
      <c r="BI1682" s="5" t="s">
        <v>303</v>
      </c>
      <c r="BJ1682" s="5" t="s">
        <v>240</v>
      </c>
      <c r="BK1682" s="8">
        <f>0</f>
        <v>0</v>
      </c>
      <c r="BL1682" s="7">
        <f>0</f>
        <v>0</v>
      </c>
      <c r="BM1682" s="5" t="s">
        <v>258</v>
      </c>
      <c r="BN1682" s="5" t="s">
        <v>259</v>
      </c>
      <c r="CB1682" s="5" t="s">
        <v>240</v>
      </c>
      <c r="CC1682" s="5" t="s">
        <v>240</v>
      </c>
      <c r="CG1682" s="5" t="s">
        <v>304</v>
      </c>
      <c r="CH1682" s="5" t="s">
        <v>305</v>
      </c>
      <c r="CI1682" s="5" t="s">
        <v>240</v>
      </c>
      <c r="CL1682" s="6" t="s">
        <v>261</v>
      </c>
      <c r="CM1682" s="5" t="s">
        <v>240</v>
      </c>
      <c r="CN1682" s="5" t="s">
        <v>263</v>
      </c>
      <c r="CO1682" s="5" t="s">
        <v>240</v>
      </c>
      <c r="CP1682" s="5" t="s">
        <v>240</v>
      </c>
      <c r="CQ1682" s="5">
        <v>0</v>
      </c>
      <c r="CR1682" s="5" t="s">
        <v>306</v>
      </c>
      <c r="CS1682" s="5" t="s">
        <v>307</v>
      </c>
      <c r="CT1682" s="5" t="s">
        <v>307</v>
      </c>
      <c r="CU1682" s="5" t="s">
        <v>260</v>
      </c>
      <c r="CX1682" s="7">
        <f>1</f>
        <v>1</v>
      </c>
      <c r="CY1682" s="7">
        <f>0</f>
        <v>0</v>
      </c>
      <c r="DA1682" s="7">
        <f>0</f>
        <v>0</v>
      </c>
      <c r="DC1682" s="5" t="s">
        <v>309</v>
      </c>
      <c r="DD1682" s="5" t="s">
        <v>240</v>
      </c>
      <c r="DF1682" s="5" t="s">
        <v>309</v>
      </c>
      <c r="DG1682" s="7">
        <f>2832</f>
        <v>2832</v>
      </c>
      <c r="DI1682" s="5" t="s">
        <v>240</v>
      </c>
      <c r="DJ1682" s="5" t="s">
        <v>240</v>
      </c>
      <c r="DK1682" s="5" t="s">
        <v>240</v>
      </c>
      <c r="DL1682" s="5" t="s">
        <v>240</v>
      </c>
      <c r="DP1682" s="5" t="s">
        <v>240</v>
      </c>
      <c r="DQ1682" s="5" t="s">
        <v>240</v>
      </c>
      <c r="DR1682" s="5" t="s">
        <v>240</v>
      </c>
      <c r="DS1682" s="5" t="s">
        <v>240</v>
      </c>
      <c r="DV1682" s="5" t="s">
        <v>310</v>
      </c>
      <c r="DW1682" s="5" t="s">
        <v>2602</v>
      </c>
      <c r="HO1682" s="5" t="s">
        <v>312</v>
      </c>
    </row>
    <row r="1683" spans="1:240" x14ac:dyDescent="0.4">
      <c r="A1683" s="5">
        <v>3358</v>
      </c>
      <c r="B1683" s="5">
        <v>1</v>
      </c>
      <c r="C1683" s="5">
        <v>1</v>
      </c>
      <c r="D1683" s="5" t="s">
        <v>297</v>
      </c>
      <c r="E1683" s="5" t="s">
        <v>245</v>
      </c>
      <c r="F1683" s="5" t="s">
        <v>254</v>
      </c>
      <c r="G1683" s="5" t="s">
        <v>240</v>
      </c>
      <c r="H1683" s="6" t="s">
        <v>4476</v>
      </c>
      <c r="I1683" s="5" t="s">
        <v>295</v>
      </c>
      <c r="J1683" s="8">
        <f>1257</f>
        <v>1257</v>
      </c>
      <c r="K1683" s="5" t="s">
        <v>308</v>
      </c>
      <c r="L1683" s="7">
        <f>1</f>
        <v>1</v>
      </c>
      <c r="M1683" s="7">
        <f>1</f>
        <v>1</v>
      </c>
      <c r="N1683" s="5" t="s">
        <v>242</v>
      </c>
      <c r="O1683" s="5">
        <v>1</v>
      </c>
      <c r="P1683" s="5" t="s">
        <v>294</v>
      </c>
      <c r="Q1683" s="5" t="s">
        <v>266</v>
      </c>
      <c r="R1683" s="5" t="s">
        <v>240</v>
      </c>
      <c r="S1683" s="5" t="s">
        <v>240</v>
      </c>
      <c r="T1683" s="5" t="s">
        <v>296</v>
      </c>
      <c r="U1683" s="5" t="s">
        <v>244</v>
      </c>
      <c r="V1683" s="5" t="s">
        <v>240</v>
      </c>
      <c r="Y1683" s="5" t="s">
        <v>240</v>
      </c>
      <c r="Z1683" s="6" t="s">
        <v>298</v>
      </c>
      <c r="AB1683" s="6" t="s">
        <v>240</v>
      </c>
      <c r="AE1683" s="6" t="s">
        <v>299</v>
      </c>
      <c r="AF1683" s="5" t="s">
        <v>248</v>
      </c>
      <c r="AG1683" s="5" t="s">
        <v>249</v>
      </c>
      <c r="AW1683" s="5" t="s">
        <v>251</v>
      </c>
      <c r="AX1683" s="5" t="s">
        <v>240</v>
      </c>
      <c r="AY1683" s="5" t="s">
        <v>253</v>
      </c>
      <c r="AZ1683" s="5" t="s">
        <v>240</v>
      </c>
      <c r="BA1683" s="5" t="s">
        <v>255</v>
      </c>
      <c r="BB1683" s="5" t="s">
        <v>240</v>
      </c>
      <c r="BD1683" s="5" t="s">
        <v>240</v>
      </c>
      <c r="BF1683" s="5" t="s">
        <v>301</v>
      </c>
      <c r="BG1683" s="6" t="s">
        <v>299</v>
      </c>
      <c r="BH1683" s="5" t="s">
        <v>302</v>
      </c>
      <c r="BI1683" s="5" t="s">
        <v>303</v>
      </c>
      <c r="BJ1683" s="5" t="s">
        <v>240</v>
      </c>
      <c r="BK1683" s="8">
        <f>0</f>
        <v>0</v>
      </c>
      <c r="BL1683" s="7">
        <f>0</f>
        <v>0</v>
      </c>
      <c r="BM1683" s="5" t="s">
        <v>258</v>
      </c>
      <c r="BN1683" s="5" t="s">
        <v>259</v>
      </c>
      <c r="CB1683" s="5" t="s">
        <v>240</v>
      </c>
      <c r="CC1683" s="5" t="s">
        <v>240</v>
      </c>
      <c r="CG1683" s="5" t="s">
        <v>304</v>
      </c>
      <c r="CH1683" s="5" t="s">
        <v>305</v>
      </c>
      <c r="CI1683" s="5" t="s">
        <v>240</v>
      </c>
      <c r="CL1683" s="6" t="s">
        <v>261</v>
      </c>
      <c r="CM1683" s="5" t="s">
        <v>240</v>
      </c>
      <c r="CN1683" s="5" t="s">
        <v>263</v>
      </c>
      <c r="CO1683" s="5" t="s">
        <v>240</v>
      </c>
      <c r="CP1683" s="5" t="s">
        <v>240</v>
      </c>
      <c r="CQ1683" s="5">
        <v>0</v>
      </c>
      <c r="CR1683" s="5" t="s">
        <v>306</v>
      </c>
      <c r="CS1683" s="5" t="s">
        <v>307</v>
      </c>
      <c r="CT1683" s="5" t="s">
        <v>307</v>
      </c>
      <c r="CU1683" s="5" t="s">
        <v>260</v>
      </c>
      <c r="CX1683" s="7">
        <f>1</f>
        <v>1</v>
      </c>
      <c r="CY1683" s="7">
        <f>0</f>
        <v>0</v>
      </c>
      <c r="DA1683" s="7">
        <f>0</f>
        <v>0</v>
      </c>
      <c r="DC1683" s="5" t="s">
        <v>812</v>
      </c>
      <c r="DD1683" s="5" t="s">
        <v>240</v>
      </c>
      <c r="DF1683" s="5" t="s">
        <v>812</v>
      </c>
      <c r="DG1683" s="7">
        <f>109</f>
        <v>109</v>
      </c>
      <c r="DI1683" s="5" t="s">
        <v>240</v>
      </c>
      <c r="DJ1683" s="5" t="s">
        <v>240</v>
      </c>
      <c r="DK1683" s="5" t="s">
        <v>240</v>
      </c>
      <c r="DL1683" s="5" t="s">
        <v>240</v>
      </c>
      <c r="DP1683" s="5" t="s">
        <v>240</v>
      </c>
      <c r="DQ1683" s="5" t="s">
        <v>240</v>
      </c>
      <c r="DR1683" s="5" t="s">
        <v>240</v>
      </c>
      <c r="DS1683" s="5" t="s">
        <v>240</v>
      </c>
      <c r="DV1683" s="5" t="s">
        <v>813</v>
      </c>
      <c r="DW1683" s="5" t="s">
        <v>3500</v>
      </c>
      <c r="HO1683" s="5" t="s">
        <v>312</v>
      </c>
    </row>
    <row r="1684" spans="1:240" x14ac:dyDescent="0.4">
      <c r="A1684" s="5">
        <v>3359</v>
      </c>
      <c r="B1684" s="5">
        <v>1</v>
      </c>
      <c r="C1684" s="5">
        <v>1</v>
      </c>
      <c r="D1684" s="5" t="s">
        <v>297</v>
      </c>
      <c r="E1684" s="5" t="s">
        <v>245</v>
      </c>
      <c r="F1684" s="5" t="s">
        <v>254</v>
      </c>
      <c r="G1684" s="5" t="s">
        <v>240</v>
      </c>
      <c r="H1684" s="6" t="s">
        <v>4475</v>
      </c>
      <c r="I1684" s="5" t="s">
        <v>295</v>
      </c>
      <c r="J1684" s="8">
        <f>720</f>
        <v>720</v>
      </c>
      <c r="K1684" s="5" t="s">
        <v>308</v>
      </c>
      <c r="L1684" s="7">
        <f>1</f>
        <v>1</v>
      </c>
      <c r="M1684" s="7">
        <f>1</f>
        <v>1</v>
      </c>
      <c r="N1684" s="5" t="s">
        <v>242</v>
      </c>
      <c r="O1684" s="5">
        <v>1</v>
      </c>
      <c r="P1684" s="5" t="s">
        <v>294</v>
      </c>
      <c r="Q1684" s="5" t="s">
        <v>266</v>
      </c>
      <c r="R1684" s="5" t="s">
        <v>240</v>
      </c>
      <c r="S1684" s="5" t="s">
        <v>240</v>
      </c>
      <c r="T1684" s="5" t="s">
        <v>296</v>
      </c>
      <c r="U1684" s="5" t="s">
        <v>244</v>
      </c>
      <c r="V1684" s="5" t="s">
        <v>240</v>
      </c>
      <c r="Y1684" s="5" t="s">
        <v>240</v>
      </c>
      <c r="Z1684" s="6" t="s">
        <v>298</v>
      </c>
      <c r="AB1684" s="6" t="s">
        <v>240</v>
      </c>
      <c r="AE1684" s="6" t="s">
        <v>299</v>
      </c>
      <c r="AF1684" s="5" t="s">
        <v>248</v>
      </c>
      <c r="AG1684" s="5" t="s">
        <v>249</v>
      </c>
      <c r="AW1684" s="5" t="s">
        <v>251</v>
      </c>
      <c r="AX1684" s="5" t="s">
        <v>240</v>
      </c>
      <c r="AY1684" s="5" t="s">
        <v>253</v>
      </c>
      <c r="AZ1684" s="5" t="s">
        <v>240</v>
      </c>
      <c r="BA1684" s="5" t="s">
        <v>255</v>
      </c>
      <c r="BB1684" s="5" t="s">
        <v>240</v>
      </c>
      <c r="BD1684" s="5" t="s">
        <v>240</v>
      </c>
      <c r="BF1684" s="5" t="s">
        <v>301</v>
      </c>
      <c r="BG1684" s="6" t="s">
        <v>299</v>
      </c>
      <c r="BH1684" s="5" t="s">
        <v>302</v>
      </c>
      <c r="BI1684" s="5" t="s">
        <v>303</v>
      </c>
      <c r="BJ1684" s="5" t="s">
        <v>240</v>
      </c>
      <c r="BK1684" s="8">
        <f>0</f>
        <v>0</v>
      </c>
      <c r="BL1684" s="7">
        <f>0</f>
        <v>0</v>
      </c>
      <c r="BM1684" s="5" t="s">
        <v>258</v>
      </c>
      <c r="BN1684" s="5" t="s">
        <v>259</v>
      </c>
      <c r="CB1684" s="5" t="s">
        <v>240</v>
      </c>
      <c r="CC1684" s="5" t="s">
        <v>240</v>
      </c>
      <c r="CG1684" s="5" t="s">
        <v>304</v>
      </c>
      <c r="CH1684" s="5" t="s">
        <v>305</v>
      </c>
      <c r="CI1684" s="5" t="s">
        <v>240</v>
      </c>
      <c r="CL1684" s="6" t="s">
        <v>261</v>
      </c>
      <c r="CM1684" s="5" t="s">
        <v>240</v>
      </c>
      <c r="CN1684" s="5" t="s">
        <v>263</v>
      </c>
      <c r="CO1684" s="5" t="s">
        <v>240</v>
      </c>
      <c r="CP1684" s="5" t="s">
        <v>240</v>
      </c>
      <c r="CQ1684" s="5">
        <v>0</v>
      </c>
      <c r="CR1684" s="5" t="s">
        <v>306</v>
      </c>
      <c r="CS1684" s="5" t="s">
        <v>307</v>
      </c>
      <c r="CT1684" s="5" t="s">
        <v>307</v>
      </c>
      <c r="CU1684" s="5" t="s">
        <v>260</v>
      </c>
      <c r="CX1684" s="7">
        <f>1</f>
        <v>1</v>
      </c>
      <c r="CY1684" s="7">
        <f>0</f>
        <v>0</v>
      </c>
      <c r="DA1684" s="7">
        <f>0</f>
        <v>0</v>
      </c>
      <c r="DC1684" s="5" t="s">
        <v>812</v>
      </c>
      <c r="DD1684" s="5" t="s">
        <v>240</v>
      </c>
      <c r="DF1684" s="5" t="s">
        <v>812</v>
      </c>
      <c r="DG1684" s="7">
        <f>1781</f>
        <v>1781</v>
      </c>
      <c r="DI1684" s="5" t="s">
        <v>240</v>
      </c>
      <c r="DJ1684" s="5" t="s">
        <v>240</v>
      </c>
      <c r="DK1684" s="5" t="s">
        <v>240</v>
      </c>
      <c r="DL1684" s="5" t="s">
        <v>240</v>
      </c>
      <c r="DP1684" s="5" t="s">
        <v>240</v>
      </c>
      <c r="DQ1684" s="5" t="s">
        <v>240</v>
      </c>
      <c r="DR1684" s="5" t="s">
        <v>240</v>
      </c>
      <c r="DS1684" s="5" t="s">
        <v>240</v>
      </c>
      <c r="DV1684" s="5" t="s">
        <v>813</v>
      </c>
      <c r="DW1684" s="5" t="s">
        <v>3502</v>
      </c>
      <c r="HO1684" s="5" t="s">
        <v>312</v>
      </c>
    </row>
    <row r="1685" spans="1:240" x14ac:dyDescent="0.4">
      <c r="A1685" s="5">
        <v>3360</v>
      </c>
      <c r="B1685" s="5">
        <v>1</v>
      </c>
      <c r="C1685" s="5">
        <v>1</v>
      </c>
      <c r="D1685" s="5" t="s">
        <v>297</v>
      </c>
      <c r="E1685" s="5" t="s">
        <v>245</v>
      </c>
      <c r="F1685" s="5" t="s">
        <v>254</v>
      </c>
      <c r="G1685" s="5" t="s">
        <v>240</v>
      </c>
      <c r="H1685" s="6" t="s">
        <v>4474</v>
      </c>
      <c r="I1685" s="5" t="s">
        <v>295</v>
      </c>
      <c r="J1685" s="8">
        <f>461</f>
        <v>461</v>
      </c>
      <c r="K1685" s="5" t="s">
        <v>308</v>
      </c>
      <c r="L1685" s="7">
        <f>1</f>
        <v>1</v>
      </c>
      <c r="M1685" s="7">
        <f>1</f>
        <v>1</v>
      </c>
      <c r="N1685" s="5" t="s">
        <v>242</v>
      </c>
      <c r="O1685" s="5">
        <v>1</v>
      </c>
      <c r="P1685" s="5" t="s">
        <v>294</v>
      </c>
      <c r="Q1685" s="5" t="s">
        <v>266</v>
      </c>
      <c r="R1685" s="5" t="s">
        <v>240</v>
      </c>
      <c r="S1685" s="5" t="s">
        <v>240</v>
      </c>
      <c r="T1685" s="5" t="s">
        <v>296</v>
      </c>
      <c r="U1685" s="5" t="s">
        <v>244</v>
      </c>
      <c r="V1685" s="5" t="s">
        <v>240</v>
      </c>
      <c r="Y1685" s="5" t="s">
        <v>240</v>
      </c>
      <c r="Z1685" s="6" t="s">
        <v>298</v>
      </c>
      <c r="AB1685" s="6" t="s">
        <v>240</v>
      </c>
      <c r="AE1685" s="6" t="s">
        <v>299</v>
      </c>
      <c r="AF1685" s="5" t="s">
        <v>248</v>
      </c>
      <c r="AG1685" s="5" t="s">
        <v>249</v>
      </c>
      <c r="AW1685" s="5" t="s">
        <v>251</v>
      </c>
      <c r="AX1685" s="5" t="s">
        <v>240</v>
      </c>
      <c r="AY1685" s="5" t="s">
        <v>253</v>
      </c>
      <c r="AZ1685" s="5" t="s">
        <v>240</v>
      </c>
      <c r="BA1685" s="5" t="s">
        <v>255</v>
      </c>
      <c r="BB1685" s="5" t="s">
        <v>240</v>
      </c>
      <c r="BD1685" s="5" t="s">
        <v>240</v>
      </c>
      <c r="BF1685" s="5" t="s">
        <v>301</v>
      </c>
      <c r="BG1685" s="6" t="s">
        <v>299</v>
      </c>
      <c r="BH1685" s="5" t="s">
        <v>302</v>
      </c>
      <c r="BI1685" s="5" t="s">
        <v>303</v>
      </c>
      <c r="BJ1685" s="5" t="s">
        <v>240</v>
      </c>
      <c r="BK1685" s="8">
        <f>0</f>
        <v>0</v>
      </c>
      <c r="BL1685" s="7">
        <f>0</f>
        <v>0</v>
      </c>
      <c r="BM1685" s="5" t="s">
        <v>258</v>
      </c>
      <c r="BN1685" s="5" t="s">
        <v>259</v>
      </c>
      <c r="CB1685" s="5" t="s">
        <v>240</v>
      </c>
      <c r="CC1685" s="5" t="s">
        <v>240</v>
      </c>
      <c r="CG1685" s="5" t="s">
        <v>304</v>
      </c>
      <c r="CH1685" s="5" t="s">
        <v>305</v>
      </c>
      <c r="CI1685" s="5" t="s">
        <v>240</v>
      </c>
      <c r="CL1685" s="6" t="s">
        <v>261</v>
      </c>
      <c r="CM1685" s="5" t="s">
        <v>240</v>
      </c>
      <c r="CN1685" s="5" t="s">
        <v>263</v>
      </c>
      <c r="CO1685" s="5" t="s">
        <v>240</v>
      </c>
      <c r="CP1685" s="5" t="s">
        <v>240</v>
      </c>
      <c r="CQ1685" s="5">
        <v>0</v>
      </c>
      <c r="CR1685" s="5" t="s">
        <v>306</v>
      </c>
      <c r="CS1685" s="5" t="s">
        <v>307</v>
      </c>
      <c r="CT1685" s="5" t="s">
        <v>307</v>
      </c>
      <c r="CU1685" s="5" t="s">
        <v>260</v>
      </c>
      <c r="CX1685" s="7">
        <f>1</f>
        <v>1</v>
      </c>
      <c r="CY1685" s="7">
        <f>0</f>
        <v>0</v>
      </c>
      <c r="DA1685" s="7">
        <f>0</f>
        <v>0</v>
      </c>
      <c r="DC1685" s="5" t="s">
        <v>812</v>
      </c>
      <c r="DD1685" s="5" t="s">
        <v>240</v>
      </c>
      <c r="DF1685" s="5" t="s">
        <v>812</v>
      </c>
      <c r="DG1685" s="7">
        <f>308</f>
        <v>308</v>
      </c>
      <c r="DI1685" s="5" t="s">
        <v>240</v>
      </c>
      <c r="DJ1685" s="5" t="s">
        <v>240</v>
      </c>
      <c r="DK1685" s="5" t="s">
        <v>240</v>
      </c>
      <c r="DL1685" s="5" t="s">
        <v>240</v>
      </c>
      <c r="DP1685" s="5" t="s">
        <v>240</v>
      </c>
      <c r="DQ1685" s="5" t="s">
        <v>240</v>
      </c>
      <c r="DR1685" s="5" t="s">
        <v>240</v>
      </c>
      <c r="DS1685" s="5" t="s">
        <v>240</v>
      </c>
      <c r="DV1685" s="5" t="s">
        <v>813</v>
      </c>
      <c r="DW1685" s="5" t="s">
        <v>3504</v>
      </c>
      <c r="HO1685" s="5" t="s">
        <v>312</v>
      </c>
    </row>
    <row r="1686" spans="1:240" x14ac:dyDescent="0.4">
      <c r="A1686" s="5">
        <v>3361</v>
      </c>
      <c r="B1686" s="5">
        <v>1</v>
      </c>
      <c r="C1686" s="5">
        <v>1</v>
      </c>
      <c r="D1686" s="5" t="s">
        <v>297</v>
      </c>
      <c r="E1686" s="5" t="s">
        <v>245</v>
      </c>
      <c r="F1686" s="5" t="s">
        <v>254</v>
      </c>
      <c r="G1686" s="5" t="s">
        <v>240</v>
      </c>
      <c r="H1686" s="6" t="s">
        <v>5615</v>
      </c>
      <c r="I1686" s="5" t="s">
        <v>295</v>
      </c>
      <c r="J1686" s="8">
        <f>1714</f>
        <v>1714</v>
      </c>
      <c r="K1686" s="5" t="s">
        <v>308</v>
      </c>
      <c r="L1686" s="7">
        <f>1</f>
        <v>1</v>
      </c>
      <c r="M1686" s="7">
        <f>1</f>
        <v>1</v>
      </c>
      <c r="N1686" s="5" t="s">
        <v>242</v>
      </c>
      <c r="O1686" s="5">
        <v>1</v>
      </c>
      <c r="P1686" s="5" t="s">
        <v>294</v>
      </c>
      <c r="Q1686" s="5" t="s">
        <v>266</v>
      </c>
      <c r="R1686" s="5" t="s">
        <v>240</v>
      </c>
      <c r="S1686" s="5" t="s">
        <v>240</v>
      </c>
      <c r="T1686" s="5" t="s">
        <v>296</v>
      </c>
      <c r="U1686" s="5" t="s">
        <v>244</v>
      </c>
      <c r="V1686" s="5" t="s">
        <v>240</v>
      </c>
      <c r="Y1686" s="5" t="s">
        <v>240</v>
      </c>
      <c r="Z1686" s="6" t="s">
        <v>298</v>
      </c>
      <c r="AB1686" s="6" t="s">
        <v>240</v>
      </c>
      <c r="AE1686" s="6" t="s">
        <v>299</v>
      </c>
      <c r="AF1686" s="5" t="s">
        <v>248</v>
      </c>
      <c r="AG1686" s="5" t="s">
        <v>249</v>
      </c>
      <c r="AW1686" s="5" t="s">
        <v>251</v>
      </c>
      <c r="AX1686" s="5" t="s">
        <v>240</v>
      </c>
      <c r="AY1686" s="5" t="s">
        <v>253</v>
      </c>
      <c r="AZ1686" s="5" t="s">
        <v>240</v>
      </c>
      <c r="BA1686" s="5" t="s">
        <v>255</v>
      </c>
      <c r="BB1686" s="5" t="s">
        <v>240</v>
      </c>
      <c r="BD1686" s="5" t="s">
        <v>240</v>
      </c>
      <c r="BF1686" s="5" t="s">
        <v>301</v>
      </c>
      <c r="BG1686" s="6" t="s">
        <v>299</v>
      </c>
      <c r="BH1686" s="5" t="s">
        <v>302</v>
      </c>
      <c r="BI1686" s="5" t="s">
        <v>303</v>
      </c>
      <c r="BJ1686" s="5" t="s">
        <v>240</v>
      </c>
      <c r="BK1686" s="8">
        <f>0</f>
        <v>0</v>
      </c>
      <c r="BL1686" s="7">
        <f>0</f>
        <v>0</v>
      </c>
      <c r="BM1686" s="5" t="s">
        <v>258</v>
      </c>
      <c r="BN1686" s="5" t="s">
        <v>259</v>
      </c>
      <c r="CB1686" s="5" t="s">
        <v>240</v>
      </c>
      <c r="CC1686" s="5" t="s">
        <v>240</v>
      </c>
      <c r="CG1686" s="5" t="s">
        <v>304</v>
      </c>
      <c r="CH1686" s="5" t="s">
        <v>305</v>
      </c>
      <c r="CI1686" s="5" t="s">
        <v>240</v>
      </c>
      <c r="CL1686" s="6" t="s">
        <v>261</v>
      </c>
      <c r="CM1686" s="5" t="s">
        <v>240</v>
      </c>
      <c r="CN1686" s="5" t="s">
        <v>263</v>
      </c>
      <c r="CO1686" s="5" t="s">
        <v>240</v>
      </c>
      <c r="CP1686" s="5" t="s">
        <v>240</v>
      </c>
      <c r="CQ1686" s="5">
        <v>0</v>
      </c>
      <c r="CR1686" s="5" t="s">
        <v>306</v>
      </c>
      <c r="CS1686" s="5" t="s">
        <v>307</v>
      </c>
      <c r="CT1686" s="5" t="s">
        <v>307</v>
      </c>
      <c r="CU1686" s="5" t="s">
        <v>260</v>
      </c>
      <c r="CX1686" s="7">
        <f>1</f>
        <v>1</v>
      </c>
      <c r="CY1686" s="7">
        <f>0</f>
        <v>0</v>
      </c>
      <c r="DA1686" s="7">
        <f>0</f>
        <v>0</v>
      </c>
      <c r="DC1686" s="5" t="s">
        <v>812</v>
      </c>
      <c r="DD1686" s="5" t="s">
        <v>240</v>
      </c>
      <c r="DF1686" s="5" t="s">
        <v>812</v>
      </c>
      <c r="DG1686" s="7">
        <f>592</f>
        <v>592</v>
      </c>
      <c r="DI1686" s="5" t="s">
        <v>240</v>
      </c>
      <c r="DJ1686" s="5" t="s">
        <v>240</v>
      </c>
      <c r="DK1686" s="5" t="s">
        <v>240</v>
      </c>
      <c r="DL1686" s="5" t="s">
        <v>240</v>
      </c>
      <c r="DP1686" s="5" t="s">
        <v>240</v>
      </c>
      <c r="DQ1686" s="5" t="s">
        <v>240</v>
      </c>
      <c r="DR1686" s="5" t="s">
        <v>240</v>
      </c>
      <c r="DS1686" s="5" t="s">
        <v>240</v>
      </c>
      <c r="DV1686" s="5" t="s">
        <v>813</v>
      </c>
      <c r="DW1686" s="5" t="s">
        <v>3506</v>
      </c>
      <c r="HO1686" s="5" t="s">
        <v>312</v>
      </c>
    </row>
    <row r="1687" spans="1:240" x14ac:dyDescent="0.4">
      <c r="A1687" s="5">
        <v>3362</v>
      </c>
      <c r="B1687" s="5">
        <v>1</v>
      </c>
      <c r="C1687" s="5">
        <v>1</v>
      </c>
      <c r="D1687" s="5" t="s">
        <v>297</v>
      </c>
      <c r="E1687" s="5" t="s">
        <v>245</v>
      </c>
      <c r="F1687" s="5" t="s">
        <v>254</v>
      </c>
      <c r="G1687" s="5" t="s">
        <v>240</v>
      </c>
      <c r="H1687" s="6" t="s">
        <v>4472</v>
      </c>
      <c r="I1687" s="5" t="s">
        <v>295</v>
      </c>
      <c r="J1687" s="8">
        <f>702</f>
        <v>702</v>
      </c>
      <c r="K1687" s="5" t="s">
        <v>308</v>
      </c>
      <c r="L1687" s="7">
        <f>1</f>
        <v>1</v>
      </c>
      <c r="M1687" s="7">
        <f>1</f>
        <v>1</v>
      </c>
      <c r="N1687" s="5" t="s">
        <v>242</v>
      </c>
      <c r="O1687" s="5">
        <v>1</v>
      </c>
      <c r="P1687" s="5" t="s">
        <v>294</v>
      </c>
      <c r="Q1687" s="5" t="s">
        <v>266</v>
      </c>
      <c r="R1687" s="5" t="s">
        <v>240</v>
      </c>
      <c r="S1687" s="5" t="s">
        <v>240</v>
      </c>
      <c r="T1687" s="5" t="s">
        <v>296</v>
      </c>
      <c r="U1687" s="5" t="s">
        <v>244</v>
      </c>
      <c r="V1687" s="5" t="s">
        <v>240</v>
      </c>
      <c r="Y1687" s="5" t="s">
        <v>240</v>
      </c>
      <c r="Z1687" s="6" t="s">
        <v>298</v>
      </c>
      <c r="AB1687" s="6" t="s">
        <v>240</v>
      </c>
      <c r="AE1687" s="6" t="s">
        <v>299</v>
      </c>
      <c r="AF1687" s="5" t="s">
        <v>248</v>
      </c>
      <c r="AG1687" s="5" t="s">
        <v>249</v>
      </c>
      <c r="AW1687" s="5" t="s">
        <v>251</v>
      </c>
      <c r="AX1687" s="5" t="s">
        <v>240</v>
      </c>
      <c r="AY1687" s="5" t="s">
        <v>253</v>
      </c>
      <c r="AZ1687" s="5" t="s">
        <v>240</v>
      </c>
      <c r="BA1687" s="5" t="s">
        <v>255</v>
      </c>
      <c r="BB1687" s="5" t="s">
        <v>240</v>
      </c>
      <c r="BD1687" s="5" t="s">
        <v>240</v>
      </c>
      <c r="BF1687" s="5" t="s">
        <v>301</v>
      </c>
      <c r="BG1687" s="6" t="s">
        <v>299</v>
      </c>
      <c r="BH1687" s="5" t="s">
        <v>302</v>
      </c>
      <c r="BI1687" s="5" t="s">
        <v>303</v>
      </c>
      <c r="BJ1687" s="5" t="s">
        <v>240</v>
      </c>
      <c r="BK1687" s="8">
        <f>0</f>
        <v>0</v>
      </c>
      <c r="BL1687" s="7">
        <f>0</f>
        <v>0</v>
      </c>
      <c r="BM1687" s="5" t="s">
        <v>258</v>
      </c>
      <c r="BN1687" s="5" t="s">
        <v>259</v>
      </c>
      <c r="CB1687" s="5" t="s">
        <v>240</v>
      </c>
      <c r="CC1687" s="5" t="s">
        <v>240</v>
      </c>
      <c r="CG1687" s="5" t="s">
        <v>304</v>
      </c>
      <c r="CH1687" s="5" t="s">
        <v>305</v>
      </c>
      <c r="CI1687" s="5" t="s">
        <v>240</v>
      </c>
      <c r="CL1687" s="6" t="s">
        <v>261</v>
      </c>
      <c r="CM1687" s="5" t="s">
        <v>240</v>
      </c>
      <c r="CN1687" s="5" t="s">
        <v>263</v>
      </c>
      <c r="CO1687" s="5" t="s">
        <v>240</v>
      </c>
      <c r="CP1687" s="5" t="s">
        <v>240</v>
      </c>
      <c r="CQ1687" s="5">
        <v>0</v>
      </c>
      <c r="CR1687" s="5" t="s">
        <v>306</v>
      </c>
      <c r="CS1687" s="5" t="s">
        <v>307</v>
      </c>
      <c r="CT1687" s="5" t="s">
        <v>307</v>
      </c>
      <c r="CU1687" s="5" t="s">
        <v>260</v>
      </c>
      <c r="CX1687" s="7">
        <f>1</f>
        <v>1</v>
      </c>
      <c r="CY1687" s="7">
        <f>0</f>
        <v>0</v>
      </c>
      <c r="DA1687" s="7">
        <f>0</f>
        <v>0</v>
      </c>
      <c r="DC1687" s="5" t="s">
        <v>812</v>
      </c>
      <c r="DD1687" s="5" t="s">
        <v>240</v>
      </c>
      <c r="DF1687" s="5" t="s">
        <v>812</v>
      </c>
      <c r="DG1687" s="7">
        <f>2692</f>
        <v>2692</v>
      </c>
      <c r="DI1687" s="5" t="s">
        <v>240</v>
      </c>
      <c r="DJ1687" s="5" t="s">
        <v>240</v>
      </c>
      <c r="DK1687" s="5" t="s">
        <v>240</v>
      </c>
      <c r="DL1687" s="5" t="s">
        <v>240</v>
      </c>
      <c r="DP1687" s="5" t="s">
        <v>240</v>
      </c>
      <c r="DQ1687" s="5" t="s">
        <v>240</v>
      </c>
      <c r="DR1687" s="5" t="s">
        <v>240</v>
      </c>
      <c r="DS1687" s="5" t="s">
        <v>240</v>
      </c>
      <c r="DV1687" s="5" t="s">
        <v>813</v>
      </c>
      <c r="DW1687" s="5" t="s">
        <v>3508</v>
      </c>
      <c r="HO1687" s="5" t="s">
        <v>312</v>
      </c>
    </row>
    <row r="1688" spans="1:240" x14ac:dyDescent="0.4">
      <c r="A1688" s="5">
        <v>3363</v>
      </c>
      <c r="B1688" s="5">
        <v>1</v>
      </c>
      <c r="C1688" s="5">
        <v>1</v>
      </c>
      <c r="D1688" s="5" t="s">
        <v>297</v>
      </c>
      <c r="E1688" s="5" t="s">
        <v>245</v>
      </c>
      <c r="F1688" s="5" t="s">
        <v>254</v>
      </c>
      <c r="G1688" s="5" t="s">
        <v>240</v>
      </c>
      <c r="H1688" s="6" t="s">
        <v>4471</v>
      </c>
      <c r="I1688" s="5" t="s">
        <v>295</v>
      </c>
      <c r="J1688" s="8">
        <f>9.66</f>
        <v>9.66</v>
      </c>
      <c r="K1688" s="5" t="s">
        <v>308</v>
      </c>
      <c r="L1688" s="7">
        <f>1</f>
        <v>1</v>
      </c>
      <c r="M1688" s="7">
        <f>1</f>
        <v>1</v>
      </c>
      <c r="N1688" s="5" t="s">
        <v>242</v>
      </c>
      <c r="O1688" s="5">
        <v>1</v>
      </c>
      <c r="P1688" s="5" t="s">
        <v>294</v>
      </c>
      <c r="Q1688" s="5" t="s">
        <v>266</v>
      </c>
      <c r="R1688" s="5" t="s">
        <v>240</v>
      </c>
      <c r="S1688" s="5" t="s">
        <v>240</v>
      </c>
      <c r="T1688" s="5" t="s">
        <v>296</v>
      </c>
      <c r="U1688" s="5" t="s">
        <v>244</v>
      </c>
      <c r="V1688" s="5" t="s">
        <v>240</v>
      </c>
      <c r="Y1688" s="5" t="s">
        <v>240</v>
      </c>
      <c r="Z1688" s="6" t="s">
        <v>298</v>
      </c>
      <c r="AB1688" s="6" t="s">
        <v>240</v>
      </c>
      <c r="AE1688" s="6" t="s">
        <v>299</v>
      </c>
      <c r="AF1688" s="5" t="s">
        <v>248</v>
      </c>
      <c r="AG1688" s="5" t="s">
        <v>249</v>
      </c>
      <c r="AW1688" s="5" t="s">
        <v>251</v>
      </c>
      <c r="AX1688" s="5" t="s">
        <v>240</v>
      </c>
      <c r="AY1688" s="5" t="s">
        <v>253</v>
      </c>
      <c r="AZ1688" s="5" t="s">
        <v>240</v>
      </c>
      <c r="BA1688" s="5" t="s">
        <v>255</v>
      </c>
      <c r="BB1688" s="5" t="s">
        <v>240</v>
      </c>
      <c r="BD1688" s="5" t="s">
        <v>240</v>
      </c>
      <c r="BF1688" s="5" t="s">
        <v>301</v>
      </c>
      <c r="BG1688" s="6" t="s">
        <v>299</v>
      </c>
      <c r="BH1688" s="5" t="s">
        <v>302</v>
      </c>
      <c r="BI1688" s="5" t="s">
        <v>303</v>
      </c>
      <c r="BJ1688" s="5" t="s">
        <v>240</v>
      </c>
      <c r="BK1688" s="8">
        <f>0</f>
        <v>0</v>
      </c>
      <c r="BL1688" s="7">
        <f>0</f>
        <v>0</v>
      </c>
      <c r="BM1688" s="5" t="s">
        <v>258</v>
      </c>
      <c r="BN1688" s="5" t="s">
        <v>259</v>
      </c>
      <c r="CB1688" s="5" t="s">
        <v>240</v>
      </c>
      <c r="CC1688" s="5" t="s">
        <v>240</v>
      </c>
      <c r="CG1688" s="5" t="s">
        <v>304</v>
      </c>
      <c r="CH1688" s="5" t="s">
        <v>305</v>
      </c>
      <c r="CI1688" s="5" t="s">
        <v>240</v>
      </c>
      <c r="CL1688" s="6" t="s">
        <v>261</v>
      </c>
      <c r="CM1688" s="5" t="s">
        <v>240</v>
      </c>
      <c r="CN1688" s="5" t="s">
        <v>263</v>
      </c>
      <c r="CO1688" s="5" t="s">
        <v>240</v>
      </c>
      <c r="CP1688" s="5" t="s">
        <v>240</v>
      </c>
      <c r="CQ1688" s="5">
        <v>0</v>
      </c>
      <c r="CR1688" s="5" t="s">
        <v>306</v>
      </c>
      <c r="CS1688" s="5" t="s">
        <v>307</v>
      </c>
      <c r="CT1688" s="5" t="s">
        <v>307</v>
      </c>
      <c r="CU1688" s="5" t="s">
        <v>260</v>
      </c>
      <c r="CX1688" s="7">
        <f>1</f>
        <v>1</v>
      </c>
      <c r="CY1688" s="7">
        <f>0</f>
        <v>0</v>
      </c>
      <c r="DA1688" s="7">
        <f>0</f>
        <v>0</v>
      </c>
      <c r="DC1688" s="5" t="s">
        <v>812</v>
      </c>
      <c r="DD1688" s="5" t="s">
        <v>240</v>
      </c>
      <c r="DF1688" s="5" t="s">
        <v>812</v>
      </c>
      <c r="DG1688" s="7">
        <f>266</f>
        <v>266</v>
      </c>
      <c r="DI1688" s="5" t="s">
        <v>240</v>
      </c>
      <c r="DJ1688" s="5" t="s">
        <v>240</v>
      </c>
      <c r="DK1688" s="5" t="s">
        <v>240</v>
      </c>
      <c r="DL1688" s="5" t="s">
        <v>240</v>
      </c>
      <c r="DP1688" s="5" t="s">
        <v>240</v>
      </c>
      <c r="DQ1688" s="5" t="s">
        <v>240</v>
      </c>
      <c r="DR1688" s="5" t="s">
        <v>240</v>
      </c>
      <c r="DS1688" s="5" t="s">
        <v>240</v>
      </c>
      <c r="DV1688" s="5" t="s">
        <v>813</v>
      </c>
      <c r="DW1688" s="5" t="s">
        <v>3510</v>
      </c>
      <c r="HO1688" s="5" t="s">
        <v>312</v>
      </c>
    </row>
    <row r="1689" spans="1:240" x14ac:dyDescent="0.4">
      <c r="A1689" s="5">
        <v>3364</v>
      </c>
      <c r="B1689" s="5">
        <v>1</v>
      </c>
      <c r="C1689" s="5">
        <v>1</v>
      </c>
      <c r="D1689" s="5" t="s">
        <v>297</v>
      </c>
      <c r="E1689" s="5" t="s">
        <v>245</v>
      </c>
      <c r="F1689" s="5" t="s">
        <v>254</v>
      </c>
      <c r="G1689" s="5" t="s">
        <v>240</v>
      </c>
      <c r="H1689" s="6" t="s">
        <v>4470</v>
      </c>
      <c r="I1689" s="5" t="s">
        <v>295</v>
      </c>
      <c r="J1689" s="8">
        <f>440</f>
        <v>440</v>
      </c>
      <c r="K1689" s="5" t="s">
        <v>308</v>
      </c>
      <c r="L1689" s="7">
        <f>1</f>
        <v>1</v>
      </c>
      <c r="M1689" s="7">
        <f>1</f>
        <v>1</v>
      </c>
      <c r="N1689" s="5" t="s">
        <v>242</v>
      </c>
      <c r="O1689" s="5">
        <v>1</v>
      </c>
      <c r="P1689" s="5" t="s">
        <v>294</v>
      </c>
      <c r="Q1689" s="5" t="s">
        <v>266</v>
      </c>
      <c r="R1689" s="5" t="s">
        <v>240</v>
      </c>
      <c r="S1689" s="5" t="s">
        <v>240</v>
      </c>
      <c r="T1689" s="5" t="s">
        <v>296</v>
      </c>
      <c r="U1689" s="5" t="s">
        <v>244</v>
      </c>
      <c r="V1689" s="5" t="s">
        <v>240</v>
      </c>
      <c r="Y1689" s="5" t="s">
        <v>240</v>
      </c>
      <c r="Z1689" s="6" t="s">
        <v>298</v>
      </c>
      <c r="AB1689" s="6" t="s">
        <v>240</v>
      </c>
      <c r="AE1689" s="6" t="s">
        <v>299</v>
      </c>
      <c r="AF1689" s="5" t="s">
        <v>248</v>
      </c>
      <c r="AG1689" s="5" t="s">
        <v>249</v>
      </c>
      <c r="AW1689" s="5" t="s">
        <v>251</v>
      </c>
      <c r="AX1689" s="5" t="s">
        <v>240</v>
      </c>
      <c r="AY1689" s="5" t="s">
        <v>253</v>
      </c>
      <c r="AZ1689" s="5" t="s">
        <v>240</v>
      </c>
      <c r="BA1689" s="5" t="s">
        <v>255</v>
      </c>
      <c r="BB1689" s="5" t="s">
        <v>240</v>
      </c>
      <c r="BD1689" s="5" t="s">
        <v>240</v>
      </c>
      <c r="BF1689" s="5" t="s">
        <v>301</v>
      </c>
      <c r="BG1689" s="6" t="s">
        <v>299</v>
      </c>
      <c r="BH1689" s="5" t="s">
        <v>302</v>
      </c>
      <c r="BI1689" s="5" t="s">
        <v>303</v>
      </c>
      <c r="BJ1689" s="5" t="s">
        <v>240</v>
      </c>
      <c r="BK1689" s="8">
        <f>0</f>
        <v>0</v>
      </c>
      <c r="BL1689" s="7">
        <f>0</f>
        <v>0</v>
      </c>
      <c r="BM1689" s="5" t="s">
        <v>258</v>
      </c>
      <c r="BN1689" s="5" t="s">
        <v>259</v>
      </c>
      <c r="CB1689" s="5" t="s">
        <v>240</v>
      </c>
      <c r="CC1689" s="5" t="s">
        <v>240</v>
      </c>
      <c r="CG1689" s="5" t="s">
        <v>304</v>
      </c>
      <c r="CH1689" s="5" t="s">
        <v>305</v>
      </c>
      <c r="CI1689" s="5" t="s">
        <v>240</v>
      </c>
      <c r="CL1689" s="6" t="s">
        <v>261</v>
      </c>
      <c r="CM1689" s="5" t="s">
        <v>240</v>
      </c>
      <c r="CN1689" s="5" t="s">
        <v>263</v>
      </c>
      <c r="CO1689" s="5" t="s">
        <v>240</v>
      </c>
      <c r="CP1689" s="5" t="s">
        <v>240</v>
      </c>
      <c r="CQ1689" s="5">
        <v>0</v>
      </c>
      <c r="CR1689" s="5" t="s">
        <v>306</v>
      </c>
      <c r="CS1689" s="5" t="s">
        <v>307</v>
      </c>
      <c r="CT1689" s="5" t="s">
        <v>307</v>
      </c>
      <c r="CU1689" s="5" t="s">
        <v>260</v>
      </c>
      <c r="CX1689" s="7">
        <f>1</f>
        <v>1</v>
      </c>
      <c r="CY1689" s="7">
        <f>0</f>
        <v>0</v>
      </c>
      <c r="DA1689" s="7">
        <f>0</f>
        <v>0</v>
      </c>
      <c r="DC1689" s="5" t="s">
        <v>812</v>
      </c>
      <c r="DD1689" s="5" t="s">
        <v>240</v>
      </c>
      <c r="DF1689" s="5" t="s">
        <v>812</v>
      </c>
      <c r="DG1689" s="7">
        <f>149</f>
        <v>149</v>
      </c>
      <c r="DI1689" s="5" t="s">
        <v>240</v>
      </c>
      <c r="DJ1689" s="5" t="s">
        <v>240</v>
      </c>
      <c r="DK1689" s="5" t="s">
        <v>240</v>
      </c>
      <c r="DL1689" s="5" t="s">
        <v>240</v>
      </c>
      <c r="DP1689" s="5" t="s">
        <v>240</v>
      </c>
      <c r="DQ1689" s="5" t="s">
        <v>240</v>
      </c>
      <c r="DR1689" s="5" t="s">
        <v>240</v>
      </c>
      <c r="DS1689" s="5" t="s">
        <v>240</v>
      </c>
      <c r="DV1689" s="5" t="s">
        <v>813</v>
      </c>
      <c r="DW1689" s="5" t="s">
        <v>3512</v>
      </c>
      <c r="HO1689" s="5" t="s">
        <v>312</v>
      </c>
    </row>
    <row r="1690" spans="1:240" x14ac:dyDescent="0.4">
      <c r="A1690" s="5">
        <v>3365</v>
      </c>
      <c r="B1690" s="5">
        <v>1</v>
      </c>
      <c r="C1690" s="5">
        <v>1</v>
      </c>
      <c r="D1690" s="5" t="s">
        <v>297</v>
      </c>
      <c r="E1690" s="5" t="s">
        <v>245</v>
      </c>
      <c r="F1690" s="5" t="s">
        <v>254</v>
      </c>
      <c r="G1690" s="5" t="s">
        <v>240</v>
      </c>
      <c r="H1690" s="6" t="s">
        <v>5611</v>
      </c>
      <c r="I1690" s="5" t="s">
        <v>295</v>
      </c>
      <c r="J1690" s="8">
        <f>939</f>
        <v>939</v>
      </c>
      <c r="K1690" s="5" t="s">
        <v>308</v>
      </c>
      <c r="L1690" s="7">
        <f>1</f>
        <v>1</v>
      </c>
      <c r="M1690" s="7">
        <f>1</f>
        <v>1</v>
      </c>
      <c r="N1690" s="5" t="s">
        <v>242</v>
      </c>
      <c r="O1690" s="5">
        <v>1</v>
      </c>
      <c r="P1690" s="5" t="s">
        <v>294</v>
      </c>
      <c r="Q1690" s="5" t="s">
        <v>613</v>
      </c>
      <c r="R1690" s="5" t="s">
        <v>240</v>
      </c>
      <c r="S1690" s="5" t="s">
        <v>240</v>
      </c>
      <c r="T1690" s="5" t="s">
        <v>243</v>
      </c>
      <c r="U1690" s="5" t="s">
        <v>724</v>
      </c>
      <c r="V1690" s="5" t="s">
        <v>240</v>
      </c>
      <c r="W1690" s="5" t="s">
        <v>240</v>
      </c>
      <c r="X1690" s="5" t="s">
        <v>240</v>
      </c>
      <c r="Y1690" s="5" t="s">
        <v>240</v>
      </c>
      <c r="Z1690" s="6" t="s">
        <v>298</v>
      </c>
      <c r="AA1690" s="6" t="s">
        <v>240</v>
      </c>
      <c r="AB1690" s="6" t="s">
        <v>240</v>
      </c>
      <c r="AC1690" s="5" t="s">
        <v>240</v>
      </c>
      <c r="AD1690" s="6" t="s">
        <v>240</v>
      </c>
      <c r="AE1690" s="6" t="s">
        <v>299</v>
      </c>
      <c r="AF1690" s="5" t="s">
        <v>727</v>
      </c>
      <c r="AG1690" s="5" t="s">
        <v>260</v>
      </c>
      <c r="AH1690" s="5" t="s">
        <v>240</v>
      </c>
      <c r="AI1690" s="5" t="s">
        <v>240</v>
      </c>
      <c r="AJ1690" s="5" t="s">
        <v>240</v>
      </c>
      <c r="AK1690" s="5" t="s">
        <v>240</v>
      </c>
      <c r="AL1690" s="5" t="s">
        <v>240</v>
      </c>
      <c r="AM1690" s="5" t="s">
        <v>240</v>
      </c>
      <c r="AN1690" s="5" t="s">
        <v>240</v>
      </c>
      <c r="AO1690" s="5" t="s">
        <v>240</v>
      </c>
      <c r="AP1690" s="6" t="s">
        <v>240</v>
      </c>
      <c r="AQ1690" s="6" t="s">
        <v>240</v>
      </c>
      <c r="AR1690" s="6" t="s">
        <v>240</v>
      </c>
      <c r="AS1690" s="6" t="s">
        <v>240</v>
      </c>
      <c r="AT1690" s="5" t="s">
        <v>240</v>
      </c>
      <c r="AU1690" s="5" t="s">
        <v>729</v>
      </c>
      <c r="AV1690" s="5" t="s">
        <v>729</v>
      </c>
      <c r="AW1690" s="5" t="s">
        <v>251</v>
      </c>
      <c r="AX1690" s="5" t="s">
        <v>252</v>
      </c>
      <c r="AY1690" s="5" t="s">
        <v>253</v>
      </c>
      <c r="AZ1690" s="5" t="s">
        <v>240</v>
      </c>
      <c r="BA1690" s="5" t="s">
        <v>255</v>
      </c>
      <c r="BB1690" s="5" t="s">
        <v>731</v>
      </c>
      <c r="BD1690" s="5" t="s">
        <v>240</v>
      </c>
      <c r="BF1690" s="5" t="s">
        <v>732</v>
      </c>
      <c r="BG1690" s="6" t="s">
        <v>733</v>
      </c>
      <c r="BH1690" s="5" t="s">
        <v>734</v>
      </c>
      <c r="BI1690" s="5" t="s">
        <v>734</v>
      </c>
      <c r="BJ1690" s="5" t="s">
        <v>240</v>
      </c>
      <c r="BK1690" s="8">
        <f>2532</f>
        <v>2532</v>
      </c>
      <c r="BL1690" s="7">
        <f>0</f>
        <v>0</v>
      </c>
      <c r="BM1690" s="5" t="s">
        <v>258</v>
      </c>
      <c r="BN1690" s="5" t="s">
        <v>259</v>
      </c>
      <c r="BO1690" s="5" t="s">
        <v>240</v>
      </c>
      <c r="BP1690" s="5" t="s">
        <v>240</v>
      </c>
      <c r="BQ1690" s="5" t="s">
        <v>240</v>
      </c>
      <c r="BR1690" s="5" t="s">
        <v>240</v>
      </c>
      <c r="BS1690" s="5" t="s">
        <v>240</v>
      </c>
      <c r="BT1690" s="5" t="s">
        <v>240</v>
      </c>
      <c r="BU1690" s="5" t="s">
        <v>240</v>
      </c>
      <c r="BV1690" s="5" t="s">
        <v>240</v>
      </c>
      <c r="BW1690" s="6" t="s">
        <v>240</v>
      </c>
      <c r="BX1690" s="5" t="s">
        <v>240</v>
      </c>
      <c r="BY1690" s="5" t="s">
        <v>240</v>
      </c>
      <c r="BZ1690" s="5" t="s">
        <v>240</v>
      </c>
      <c r="CA1690" s="5" t="s">
        <v>259</v>
      </c>
      <c r="CB1690" s="5" t="s">
        <v>240</v>
      </c>
      <c r="CC1690" s="5" t="s">
        <v>240</v>
      </c>
      <c r="CD1690" s="5" t="s">
        <v>240</v>
      </c>
      <c r="CE1690" s="5" t="s">
        <v>240</v>
      </c>
      <c r="CF1690" s="5" t="s">
        <v>240</v>
      </c>
      <c r="CG1690" s="5" t="s">
        <v>617</v>
      </c>
      <c r="CH1690" s="5" t="s">
        <v>305</v>
      </c>
      <c r="CI1690" s="5" t="s">
        <v>240</v>
      </c>
      <c r="CL1690" s="6" t="s">
        <v>261</v>
      </c>
      <c r="CM1690" s="5" t="s">
        <v>262</v>
      </c>
      <c r="CN1690" s="5" t="s">
        <v>263</v>
      </c>
      <c r="CO1690" s="5" t="s">
        <v>264</v>
      </c>
      <c r="CP1690" s="5" t="s">
        <v>240</v>
      </c>
      <c r="CQ1690" s="5">
        <v>0</v>
      </c>
      <c r="CR1690" s="5" t="s">
        <v>735</v>
      </c>
      <c r="CS1690" s="5" t="s">
        <v>307</v>
      </c>
      <c r="CT1690" s="5" t="s">
        <v>307</v>
      </c>
      <c r="CU1690" s="5" t="s">
        <v>260</v>
      </c>
      <c r="CV1690" s="5" t="s">
        <v>240</v>
      </c>
      <c r="CW1690" s="8">
        <f>0</f>
        <v>0</v>
      </c>
      <c r="CX1690" s="7">
        <f>0</f>
        <v>0</v>
      </c>
      <c r="CY1690" s="7">
        <f>0</f>
        <v>0</v>
      </c>
      <c r="DA1690" s="7">
        <f>27852</f>
        <v>27852</v>
      </c>
      <c r="DB1690" s="7" t="s">
        <v>240</v>
      </c>
      <c r="DC1690" s="5" t="s">
        <v>240</v>
      </c>
      <c r="DD1690" s="5" t="s">
        <v>240</v>
      </c>
      <c r="DE1690" s="5" t="s">
        <v>240</v>
      </c>
      <c r="DF1690" s="5" t="s">
        <v>450</v>
      </c>
      <c r="DG1690" s="7">
        <f>0</f>
        <v>0</v>
      </c>
      <c r="DI1690" s="5" t="s">
        <v>737</v>
      </c>
      <c r="DJ1690" s="5" t="s">
        <v>240</v>
      </c>
      <c r="DK1690" s="5" t="s">
        <v>240</v>
      </c>
      <c r="DL1690" s="5" t="s">
        <v>240</v>
      </c>
      <c r="DM1690" s="5" t="s">
        <v>240</v>
      </c>
      <c r="DN1690" s="5" t="s">
        <v>240</v>
      </c>
      <c r="DO1690" s="7" t="s">
        <v>240</v>
      </c>
      <c r="DP1690" s="5" t="s">
        <v>240</v>
      </c>
      <c r="DQ1690" s="5" t="s">
        <v>240</v>
      </c>
      <c r="DR1690" s="5" t="s">
        <v>731</v>
      </c>
      <c r="DS1690" s="5" t="s">
        <v>731</v>
      </c>
      <c r="DT1690" s="5" t="s">
        <v>240</v>
      </c>
      <c r="DU1690" s="5" t="s">
        <v>240</v>
      </c>
      <c r="DV1690" s="5" t="s">
        <v>738</v>
      </c>
      <c r="DW1690" s="5" t="s">
        <v>1151</v>
      </c>
      <c r="DX1690" s="5" t="s">
        <v>240</v>
      </c>
      <c r="DY1690" s="5" t="s">
        <v>240</v>
      </c>
      <c r="DZ1690" s="5" t="s">
        <v>240</v>
      </c>
      <c r="EA1690" s="5" t="s">
        <v>240</v>
      </c>
      <c r="EB1690" s="5" t="s">
        <v>240</v>
      </c>
      <c r="EC1690" s="5" t="s">
        <v>240</v>
      </c>
      <c r="ED1690" s="5" t="s">
        <v>240</v>
      </c>
      <c r="EE1690" s="5" t="s">
        <v>240</v>
      </c>
      <c r="EF1690" s="5" t="s">
        <v>240</v>
      </c>
      <c r="EG1690" s="5" t="s">
        <v>240</v>
      </c>
      <c r="EH1690" s="5" t="s">
        <v>240</v>
      </c>
      <c r="EI1690" s="5" t="s">
        <v>240</v>
      </c>
      <c r="EJ1690" s="5" t="s">
        <v>240</v>
      </c>
      <c r="EK1690" s="5" t="s">
        <v>240</v>
      </c>
      <c r="EL1690" s="5" t="s">
        <v>240</v>
      </c>
      <c r="EM1690" s="5" t="s">
        <v>240</v>
      </c>
      <c r="EN1690" s="5" t="s">
        <v>240</v>
      </c>
      <c r="EO1690" s="5" t="s">
        <v>240</v>
      </c>
      <c r="EP1690" s="5" t="s">
        <v>240</v>
      </c>
      <c r="EQ1690" s="5" t="s">
        <v>240</v>
      </c>
      <c r="ER1690" s="5" t="s">
        <v>240</v>
      </c>
      <c r="ES1690" s="5" t="s">
        <v>240</v>
      </c>
      <c r="ET1690" s="5" t="s">
        <v>240</v>
      </c>
      <c r="EU1690" s="5" t="s">
        <v>240</v>
      </c>
      <c r="EV1690" s="5" t="s">
        <v>240</v>
      </c>
      <c r="EW1690" s="5" t="s">
        <v>240</v>
      </c>
      <c r="EX1690" s="5" t="s">
        <v>240</v>
      </c>
      <c r="EY1690" s="5" t="s">
        <v>240</v>
      </c>
      <c r="EZ1690" s="5" t="s">
        <v>240</v>
      </c>
      <c r="FA1690" s="5" t="s">
        <v>240</v>
      </c>
      <c r="FB1690" s="5" t="s">
        <v>240</v>
      </c>
      <c r="FC1690" s="5" t="s">
        <v>240</v>
      </c>
      <c r="FD1690" s="5" t="s">
        <v>240</v>
      </c>
      <c r="FE1690" s="5" t="s">
        <v>240</v>
      </c>
      <c r="FF1690" s="5" t="s">
        <v>240</v>
      </c>
      <c r="FG1690" s="5" t="s">
        <v>240</v>
      </c>
      <c r="FH1690" s="5" t="s">
        <v>240</v>
      </c>
      <c r="FI1690" s="5" t="s">
        <v>240</v>
      </c>
      <c r="FJ1690" s="5" t="s">
        <v>240</v>
      </c>
      <c r="FK1690" s="5" t="s">
        <v>240</v>
      </c>
      <c r="FL1690" s="5" t="s">
        <v>240</v>
      </c>
      <c r="FM1690" s="5" t="s">
        <v>240</v>
      </c>
      <c r="FN1690" s="5" t="s">
        <v>240</v>
      </c>
      <c r="FO1690" s="5" t="s">
        <v>240</v>
      </c>
      <c r="FP1690" s="5" t="s">
        <v>240</v>
      </c>
      <c r="FQ1690" s="5" t="s">
        <v>240</v>
      </c>
      <c r="FR1690" s="5" t="s">
        <v>240</v>
      </c>
      <c r="FS1690" s="5" t="s">
        <v>240</v>
      </c>
      <c r="FT1690" s="5" t="s">
        <v>240</v>
      </c>
      <c r="FU1690" s="5" t="s">
        <v>240</v>
      </c>
      <c r="FV1690" s="5" t="s">
        <v>240</v>
      </c>
      <c r="FW1690" s="5" t="s">
        <v>240</v>
      </c>
      <c r="FX1690" s="5" t="s">
        <v>240</v>
      </c>
      <c r="FY1690" s="5" t="s">
        <v>240</v>
      </c>
      <c r="FZ1690" s="5" t="s">
        <v>240</v>
      </c>
      <c r="GA1690" s="5" t="s">
        <v>240</v>
      </c>
      <c r="GB1690" s="5" t="s">
        <v>240</v>
      </c>
      <c r="GC1690" s="5" t="s">
        <v>240</v>
      </c>
      <c r="GD1690" s="5" t="s">
        <v>240</v>
      </c>
      <c r="GE1690" s="5" t="s">
        <v>240</v>
      </c>
      <c r="GF1690" s="5" t="s">
        <v>240</v>
      </c>
      <c r="GG1690" s="5" t="s">
        <v>240</v>
      </c>
      <c r="GH1690" s="5" t="s">
        <v>240</v>
      </c>
      <c r="GI1690" s="5" t="s">
        <v>240</v>
      </c>
      <c r="GJ1690" s="5" t="s">
        <v>240</v>
      </c>
      <c r="GK1690" s="5" t="s">
        <v>240</v>
      </c>
      <c r="GL1690" s="5" t="s">
        <v>240</v>
      </c>
      <c r="GM1690" s="5" t="s">
        <v>240</v>
      </c>
      <c r="GN1690" s="5" t="s">
        <v>240</v>
      </c>
      <c r="GO1690" s="5" t="s">
        <v>240</v>
      </c>
      <c r="GP1690" s="5" t="s">
        <v>240</v>
      </c>
      <c r="GQ1690" s="5" t="s">
        <v>240</v>
      </c>
      <c r="GR1690" s="5" t="s">
        <v>240</v>
      </c>
      <c r="GS1690" s="5" t="s">
        <v>240</v>
      </c>
      <c r="GT1690" s="5" t="s">
        <v>240</v>
      </c>
      <c r="GU1690" s="5" t="s">
        <v>240</v>
      </c>
      <c r="GV1690" s="5" t="s">
        <v>240</v>
      </c>
      <c r="GW1690" s="5" t="s">
        <v>240</v>
      </c>
      <c r="GX1690" s="5" t="s">
        <v>240</v>
      </c>
      <c r="GY1690" s="5" t="s">
        <v>240</v>
      </c>
      <c r="GZ1690" s="5" t="s">
        <v>240</v>
      </c>
      <c r="HA1690" s="5" t="s">
        <v>240</v>
      </c>
      <c r="HB1690" s="5" t="s">
        <v>240</v>
      </c>
      <c r="HC1690" s="5" t="s">
        <v>240</v>
      </c>
      <c r="HD1690" s="5" t="s">
        <v>240</v>
      </c>
      <c r="HE1690" s="5" t="s">
        <v>240</v>
      </c>
      <c r="HF1690" s="5" t="s">
        <v>240</v>
      </c>
      <c r="HG1690" s="5" t="s">
        <v>240</v>
      </c>
      <c r="HH1690" s="5" t="s">
        <v>240</v>
      </c>
      <c r="HI1690" s="5" t="s">
        <v>240</v>
      </c>
      <c r="HJ1690" s="5" t="s">
        <v>240</v>
      </c>
      <c r="HK1690" s="5" t="s">
        <v>240</v>
      </c>
      <c r="HL1690" s="5" t="s">
        <v>240</v>
      </c>
      <c r="HM1690" s="5" t="s">
        <v>240</v>
      </c>
      <c r="HN1690" s="5" t="s">
        <v>240</v>
      </c>
      <c r="HO1690" s="5" t="s">
        <v>620</v>
      </c>
      <c r="HP1690" s="5" t="s">
        <v>240</v>
      </c>
      <c r="HQ1690" s="5" t="s">
        <v>240</v>
      </c>
      <c r="HR1690" s="5" t="s">
        <v>240</v>
      </c>
      <c r="HS1690" s="5" t="s">
        <v>240</v>
      </c>
      <c r="HT1690" s="5" t="s">
        <v>240</v>
      </c>
      <c r="HU1690" s="5" t="s">
        <v>240</v>
      </c>
      <c r="HV1690" s="5" t="s">
        <v>240</v>
      </c>
      <c r="HW1690" s="5" t="s">
        <v>240</v>
      </c>
      <c r="HX1690" s="5" t="s">
        <v>240</v>
      </c>
      <c r="HY1690" s="5" t="s">
        <v>240</v>
      </c>
      <c r="HZ1690" s="5" t="s">
        <v>240</v>
      </c>
      <c r="IA1690" s="5" t="s">
        <v>240</v>
      </c>
      <c r="IB1690" s="5" t="s">
        <v>240</v>
      </c>
      <c r="IC1690" s="5" t="s">
        <v>240</v>
      </c>
      <c r="ID1690" s="5" t="s">
        <v>240</v>
      </c>
      <c r="IE1690" s="5" t="s">
        <v>240</v>
      </c>
      <c r="IF1690" s="5" t="s">
        <v>240</v>
      </c>
    </row>
    <row r="1691" spans="1:240" x14ac:dyDescent="0.4">
      <c r="A1691" s="5">
        <v>3366</v>
      </c>
      <c r="B1691" s="5">
        <v>1</v>
      </c>
      <c r="C1691" s="5">
        <v>1</v>
      </c>
      <c r="D1691" s="5" t="s">
        <v>297</v>
      </c>
      <c r="E1691" s="5" t="s">
        <v>245</v>
      </c>
      <c r="F1691" s="5" t="s">
        <v>254</v>
      </c>
      <c r="G1691" s="5" t="s">
        <v>240</v>
      </c>
      <c r="H1691" s="6" t="s">
        <v>4468</v>
      </c>
      <c r="I1691" s="5" t="s">
        <v>295</v>
      </c>
      <c r="J1691" s="8">
        <f>326</f>
        <v>326</v>
      </c>
      <c r="K1691" s="5" t="s">
        <v>308</v>
      </c>
      <c r="L1691" s="7">
        <f>1</f>
        <v>1</v>
      </c>
      <c r="M1691" s="7">
        <f>1</f>
        <v>1</v>
      </c>
      <c r="N1691" s="5" t="s">
        <v>242</v>
      </c>
      <c r="O1691" s="5">
        <v>1</v>
      </c>
      <c r="P1691" s="5" t="s">
        <v>294</v>
      </c>
      <c r="Q1691" s="5" t="s">
        <v>266</v>
      </c>
      <c r="R1691" s="5" t="s">
        <v>240</v>
      </c>
      <c r="S1691" s="5" t="s">
        <v>240</v>
      </c>
      <c r="T1691" s="5" t="s">
        <v>296</v>
      </c>
      <c r="U1691" s="5" t="s">
        <v>244</v>
      </c>
      <c r="V1691" s="5" t="s">
        <v>240</v>
      </c>
      <c r="Y1691" s="5" t="s">
        <v>240</v>
      </c>
      <c r="Z1691" s="6" t="s">
        <v>298</v>
      </c>
      <c r="AB1691" s="6" t="s">
        <v>240</v>
      </c>
      <c r="AE1691" s="6" t="s">
        <v>299</v>
      </c>
      <c r="AF1691" s="5" t="s">
        <v>248</v>
      </c>
      <c r="AG1691" s="5" t="s">
        <v>249</v>
      </c>
      <c r="AW1691" s="5" t="s">
        <v>251</v>
      </c>
      <c r="AX1691" s="5" t="s">
        <v>240</v>
      </c>
      <c r="AY1691" s="5" t="s">
        <v>253</v>
      </c>
      <c r="AZ1691" s="5" t="s">
        <v>240</v>
      </c>
      <c r="BA1691" s="5" t="s">
        <v>255</v>
      </c>
      <c r="BB1691" s="5" t="s">
        <v>240</v>
      </c>
      <c r="BD1691" s="5" t="s">
        <v>240</v>
      </c>
      <c r="BF1691" s="5" t="s">
        <v>301</v>
      </c>
      <c r="BG1691" s="6" t="s">
        <v>299</v>
      </c>
      <c r="BH1691" s="5" t="s">
        <v>302</v>
      </c>
      <c r="BI1691" s="5" t="s">
        <v>303</v>
      </c>
      <c r="BJ1691" s="5" t="s">
        <v>240</v>
      </c>
      <c r="BK1691" s="8">
        <f>0</f>
        <v>0</v>
      </c>
      <c r="BL1691" s="7">
        <f>0</f>
        <v>0</v>
      </c>
      <c r="BM1691" s="5" t="s">
        <v>258</v>
      </c>
      <c r="BN1691" s="5" t="s">
        <v>259</v>
      </c>
      <c r="CB1691" s="5" t="s">
        <v>240</v>
      </c>
      <c r="CC1691" s="5" t="s">
        <v>240</v>
      </c>
      <c r="CG1691" s="5" t="s">
        <v>304</v>
      </c>
      <c r="CH1691" s="5" t="s">
        <v>305</v>
      </c>
      <c r="CI1691" s="5" t="s">
        <v>240</v>
      </c>
      <c r="CL1691" s="6" t="s">
        <v>261</v>
      </c>
      <c r="CM1691" s="5" t="s">
        <v>240</v>
      </c>
      <c r="CN1691" s="5" t="s">
        <v>263</v>
      </c>
      <c r="CO1691" s="5" t="s">
        <v>240</v>
      </c>
      <c r="CP1691" s="5" t="s">
        <v>240</v>
      </c>
      <c r="CQ1691" s="5">
        <v>0</v>
      </c>
      <c r="CR1691" s="5" t="s">
        <v>306</v>
      </c>
      <c r="CS1691" s="5" t="s">
        <v>307</v>
      </c>
      <c r="CT1691" s="5" t="s">
        <v>307</v>
      </c>
      <c r="CU1691" s="5" t="s">
        <v>260</v>
      </c>
      <c r="CX1691" s="7">
        <f>1</f>
        <v>1</v>
      </c>
      <c r="CY1691" s="7">
        <f>0</f>
        <v>0</v>
      </c>
      <c r="DA1691" s="7">
        <f>0</f>
        <v>0</v>
      </c>
      <c r="DC1691" s="5" t="s">
        <v>812</v>
      </c>
      <c r="DD1691" s="5" t="s">
        <v>240</v>
      </c>
      <c r="DF1691" s="5" t="s">
        <v>812</v>
      </c>
      <c r="DG1691" s="7">
        <f>859</f>
        <v>859</v>
      </c>
      <c r="DI1691" s="5" t="s">
        <v>240</v>
      </c>
      <c r="DJ1691" s="5" t="s">
        <v>240</v>
      </c>
      <c r="DK1691" s="5" t="s">
        <v>240</v>
      </c>
      <c r="DL1691" s="5" t="s">
        <v>240</v>
      </c>
      <c r="DP1691" s="5" t="s">
        <v>240</v>
      </c>
      <c r="DQ1691" s="5" t="s">
        <v>240</v>
      </c>
      <c r="DR1691" s="5" t="s">
        <v>240</v>
      </c>
      <c r="DS1691" s="5" t="s">
        <v>240</v>
      </c>
      <c r="DV1691" s="5" t="s">
        <v>813</v>
      </c>
      <c r="DW1691" s="5" t="s">
        <v>3515</v>
      </c>
      <c r="HO1691" s="5" t="s">
        <v>312</v>
      </c>
    </row>
    <row r="1692" spans="1:240" x14ac:dyDescent="0.4">
      <c r="A1692" s="5">
        <v>3367</v>
      </c>
      <c r="B1692" s="5">
        <v>1</v>
      </c>
      <c r="C1692" s="5">
        <v>1</v>
      </c>
      <c r="D1692" s="5" t="s">
        <v>297</v>
      </c>
      <c r="E1692" s="5" t="s">
        <v>245</v>
      </c>
      <c r="F1692" s="5" t="s">
        <v>254</v>
      </c>
      <c r="G1692" s="5" t="s">
        <v>240</v>
      </c>
      <c r="H1692" s="6" t="s">
        <v>4467</v>
      </c>
      <c r="I1692" s="5" t="s">
        <v>295</v>
      </c>
      <c r="J1692" s="8">
        <f>1631</f>
        <v>1631</v>
      </c>
      <c r="K1692" s="5" t="s">
        <v>308</v>
      </c>
      <c r="L1692" s="7">
        <f>1</f>
        <v>1</v>
      </c>
      <c r="M1692" s="7">
        <f>1</f>
        <v>1</v>
      </c>
      <c r="N1692" s="5" t="s">
        <v>242</v>
      </c>
      <c r="O1692" s="5">
        <v>1</v>
      </c>
      <c r="P1692" s="5" t="s">
        <v>294</v>
      </c>
      <c r="Q1692" s="5" t="s">
        <v>266</v>
      </c>
      <c r="R1692" s="5" t="s">
        <v>240</v>
      </c>
      <c r="S1692" s="5" t="s">
        <v>240</v>
      </c>
      <c r="T1692" s="5" t="s">
        <v>296</v>
      </c>
      <c r="U1692" s="5" t="s">
        <v>244</v>
      </c>
      <c r="V1692" s="5" t="s">
        <v>240</v>
      </c>
      <c r="Y1692" s="5" t="s">
        <v>240</v>
      </c>
      <c r="Z1692" s="6" t="s">
        <v>298</v>
      </c>
      <c r="AB1692" s="6" t="s">
        <v>240</v>
      </c>
      <c r="AE1692" s="6" t="s">
        <v>299</v>
      </c>
      <c r="AF1692" s="5" t="s">
        <v>248</v>
      </c>
      <c r="AG1692" s="5" t="s">
        <v>249</v>
      </c>
      <c r="AW1692" s="5" t="s">
        <v>251</v>
      </c>
      <c r="AX1692" s="5" t="s">
        <v>240</v>
      </c>
      <c r="AY1692" s="5" t="s">
        <v>253</v>
      </c>
      <c r="AZ1692" s="5" t="s">
        <v>240</v>
      </c>
      <c r="BA1692" s="5" t="s">
        <v>255</v>
      </c>
      <c r="BB1692" s="5" t="s">
        <v>240</v>
      </c>
      <c r="BD1692" s="5" t="s">
        <v>240</v>
      </c>
      <c r="BF1692" s="5" t="s">
        <v>301</v>
      </c>
      <c r="BG1692" s="6" t="s">
        <v>299</v>
      </c>
      <c r="BH1692" s="5" t="s">
        <v>302</v>
      </c>
      <c r="BI1692" s="5" t="s">
        <v>303</v>
      </c>
      <c r="BJ1692" s="5" t="s">
        <v>240</v>
      </c>
      <c r="BK1692" s="8">
        <f>0</f>
        <v>0</v>
      </c>
      <c r="BL1692" s="7">
        <f>0</f>
        <v>0</v>
      </c>
      <c r="BM1692" s="5" t="s">
        <v>258</v>
      </c>
      <c r="BN1692" s="5" t="s">
        <v>259</v>
      </c>
      <c r="CB1692" s="5" t="s">
        <v>240</v>
      </c>
      <c r="CC1692" s="5" t="s">
        <v>240</v>
      </c>
      <c r="CG1692" s="5" t="s">
        <v>304</v>
      </c>
      <c r="CH1692" s="5" t="s">
        <v>305</v>
      </c>
      <c r="CI1692" s="5" t="s">
        <v>240</v>
      </c>
      <c r="CL1692" s="6" t="s">
        <v>261</v>
      </c>
      <c r="CM1692" s="5" t="s">
        <v>240</v>
      </c>
      <c r="CN1692" s="5" t="s">
        <v>263</v>
      </c>
      <c r="CO1692" s="5" t="s">
        <v>240</v>
      </c>
      <c r="CP1692" s="5" t="s">
        <v>240</v>
      </c>
      <c r="CQ1692" s="5">
        <v>0</v>
      </c>
      <c r="CR1692" s="5" t="s">
        <v>306</v>
      </c>
      <c r="CS1692" s="5" t="s">
        <v>307</v>
      </c>
      <c r="CT1692" s="5" t="s">
        <v>307</v>
      </c>
      <c r="CU1692" s="5" t="s">
        <v>260</v>
      </c>
      <c r="CX1692" s="7">
        <f>1</f>
        <v>1</v>
      </c>
      <c r="CY1692" s="7">
        <f>0</f>
        <v>0</v>
      </c>
      <c r="DA1692" s="7">
        <f>0</f>
        <v>0</v>
      </c>
      <c r="DC1692" s="5" t="s">
        <v>812</v>
      </c>
      <c r="DD1692" s="5" t="s">
        <v>240</v>
      </c>
      <c r="DF1692" s="5" t="s">
        <v>812</v>
      </c>
      <c r="DG1692" s="7">
        <f>1181</f>
        <v>1181</v>
      </c>
      <c r="DI1692" s="5" t="s">
        <v>240</v>
      </c>
      <c r="DJ1692" s="5" t="s">
        <v>240</v>
      </c>
      <c r="DK1692" s="5" t="s">
        <v>240</v>
      </c>
      <c r="DL1692" s="5" t="s">
        <v>240</v>
      </c>
      <c r="DP1692" s="5" t="s">
        <v>240</v>
      </c>
      <c r="DQ1692" s="5" t="s">
        <v>240</v>
      </c>
      <c r="DR1692" s="5" t="s">
        <v>240</v>
      </c>
      <c r="DS1692" s="5" t="s">
        <v>240</v>
      </c>
      <c r="DV1692" s="5" t="s">
        <v>813</v>
      </c>
      <c r="DW1692" s="5" t="s">
        <v>3517</v>
      </c>
      <c r="HO1692" s="5" t="s">
        <v>312</v>
      </c>
    </row>
    <row r="1693" spans="1:240" x14ac:dyDescent="0.4">
      <c r="A1693" s="5">
        <v>3368</v>
      </c>
      <c r="B1693" s="5">
        <v>1</v>
      </c>
      <c r="C1693" s="5">
        <v>1</v>
      </c>
      <c r="D1693" s="5" t="s">
        <v>297</v>
      </c>
      <c r="E1693" s="5" t="s">
        <v>245</v>
      </c>
      <c r="F1693" s="5" t="s">
        <v>254</v>
      </c>
      <c r="G1693" s="5" t="s">
        <v>240</v>
      </c>
      <c r="H1693" s="6" t="s">
        <v>4466</v>
      </c>
      <c r="I1693" s="5" t="s">
        <v>295</v>
      </c>
      <c r="J1693" s="8">
        <f>1005</f>
        <v>1005</v>
      </c>
      <c r="K1693" s="5" t="s">
        <v>308</v>
      </c>
      <c r="L1693" s="7">
        <f>1</f>
        <v>1</v>
      </c>
      <c r="M1693" s="7">
        <f>1</f>
        <v>1</v>
      </c>
      <c r="N1693" s="5" t="s">
        <v>242</v>
      </c>
      <c r="O1693" s="5">
        <v>1</v>
      </c>
      <c r="P1693" s="5" t="s">
        <v>294</v>
      </c>
      <c r="Q1693" s="5" t="s">
        <v>266</v>
      </c>
      <c r="R1693" s="5" t="s">
        <v>240</v>
      </c>
      <c r="S1693" s="5" t="s">
        <v>240</v>
      </c>
      <c r="T1693" s="5" t="s">
        <v>296</v>
      </c>
      <c r="U1693" s="5" t="s">
        <v>244</v>
      </c>
      <c r="V1693" s="5" t="s">
        <v>240</v>
      </c>
      <c r="Y1693" s="5" t="s">
        <v>240</v>
      </c>
      <c r="Z1693" s="6" t="s">
        <v>298</v>
      </c>
      <c r="AB1693" s="6" t="s">
        <v>240</v>
      </c>
      <c r="AE1693" s="6" t="s">
        <v>299</v>
      </c>
      <c r="AF1693" s="5" t="s">
        <v>248</v>
      </c>
      <c r="AG1693" s="5" t="s">
        <v>249</v>
      </c>
      <c r="AW1693" s="5" t="s">
        <v>251</v>
      </c>
      <c r="AX1693" s="5" t="s">
        <v>240</v>
      </c>
      <c r="AY1693" s="5" t="s">
        <v>253</v>
      </c>
      <c r="AZ1693" s="5" t="s">
        <v>240</v>
      </c>
      <c r="BA1693" s="5" t="s">
        <v>255</v>
      </c>
      <c r="BB1693" s="5" t="s">
        <v>240</v>
      </c>
      <c r="BD1693" s="5" t="s">
        <v>240</v>
      </c>
      <c r="BF1693" s="5" t="s">
        <v>301</v>
      </c>
      <c r="BG1693" s="6" t="s">
        <v>299</v>
      </c>
      <c r="BH1693" s="5" t="s">
        <v>302</v>
      </c>
      <c r="BI1693" s="5" t="s">
        <v>303</v>
      </c>
      <c r="BJ1693" s="5" t="s">
        <v>240</v>
      </c>
      <c r="BK1693" s="8">
        <f>0</f>
        <v>0</v>
      </c>
      <c r="BL1693" s="7">
        <f>0</f>
        <v>0</v>
      </c>
      <c r="BM1693" s="5" t="s">
        <v>258</v>
      </c>
      <c r="BN1693" s="5" t="s">
        <v>259</v>
      </c>
      <c r="CB1693" s="5" t="s">
        <v>240</v>
      </c>
      <c r="CC1693" s="5" t="s">
        <v>240</v>
      </c>
      <c r="CG1693" s="5" t="s">
        <v>304</v>
      </c>
      <c r="CH1693" s="5" t="s">
        <v>305</v>
      </c>
      <c r="CI1693" s="5" t="s">
        <v>240</v>
      </c>
      <c r="CL1693" s="6" t="s">
        <v>261</v>
      </c>
      <c r="CM1693" s="5" t="s">
        <v>240</v>
      </c>
      <c r="CN1693" s="5" t="s">
        <v>263</v>
      </c>
      <c r="CO1693" s="5" t="s">
        <v>240</v>
      </c>
      <c r="CP1693" s="5" t="s">
        <v>240</v>
      </c>
      <c r="CQ1693" s="5">
        <v>0</v>
      </c>
      <c r="CR1693" s="5" t="s">
        <v>306</v>
      </c>
      <c r="CS1693" s="5" t="s">
        <v>307</v>
      </c>
      <c r="CT1693" s="5" t="s">
        <v>307</v>
      </c>
      <c r="CU1693" s="5" t="s">
        <v>260</v>
      </c>
      <c r="CX1693" s="7">
        <f>1</f>
        <v>1</v>
      </c>
      <c r="CY1693" s="7">
        <f>0</f>
        <v>0</v>
      </c>
      <c r="DA1693" s="7">
        <f>0</f>
        <v>0</v>
      </c>
      <c r="DC1693" s="5" t="s">
        <v>812</v>
      </c>
      <c r="DD1693" s="5" t="s">
        <v>240</v>
      </c>
      <c r="DF1693" s="5" t="s">
        <v>812</v>
      </c>
      <c r="DG1693" s="7">
        <f>146</f>
        <v>146</v>
      </c>
      <c r="DI1693" s="5" t="s">
        <v>240</v>
      </c>
      <c r="DJ1693" s="5" t="s">
        <v>240</v>
      </c>
      <c r="DK1693" s="5" t="s">
        <v>240</v>
      </c>
      <c r="DL1693" s="5" t="s">
        <v>240</v>
      </c>
      <c r="DP1693" s="5" t="s">
        <v>240</v>
      </c>
      <c r="DQ1693" s="5" t="s">
        <v>240</v>
      </c>
      <c r="DR1693" s="5" t="s">
        <v>240</v>
      </c>
      <c r="DS1693" s="5" t="s">
        <v>240</v>
      </c>
      <c r="DV1693" s="5" t="s">
        <v>813</v>
      </c>
      <c r="DW1693" s="5" t="s">
        <v>3519</v>
      </c>
      <c r="HO1693" s="5" t="s">
        <v>312</v>
      </c>
    </row>
    <row r="1694" spans="1:240" x14ac:dyDescent="0.4">
      <c r="A1694" s="5">
        <v>3369</v>
      </c>
      <c r="B1694" s="5">
        <v>1</v>
      </c>
      <c r="C1694" s="5">
        <v>1</v>
      </c>
      <c r="D1694" s="5" t="s">
        <v>297</v>
      </c>
      <c r="E1694" s="5" t="s">
        <v>245</v>
      </c>
      <c r="F1694" s="5" t="s">
        <v>254</v>
      </c>
      <c r="G1694" s="5" t="s">
        <v>240</v>
      </c>
      <c r="H1694" s="6" t="s">
        <v>4465</v>
      </c>
      <c r="I1694" s="5" t="s">
        <v>295</v>
      </c>
      <c r="J1694" s="8">
        <f>74</f>
        <v>74</v>
      </c>
      <c r="K1694" s="5" t="s">
        <v>308</v>
      </c>
      <c r="L1694" s="7">
        <f>1</f>
        <v>1</v>
      </c>
      <c r="M1694" s="7">
        <f>1</f>
        <v>1</v>
      </c>
      <c r="N1694" s="5" t="s">
        <v>242</v>
      </c>
      <c r="O1694" s="5">
        <v>1</v>
      </c>
      <c r="P1694" s="5" t="s">
        <v>294</v>
      </c>
      <c r="Q1694" s="5" t="s">
        <v>266</v>
      </c>
      <c r="R1694" s="5" t="s">
        <v>240</v>
      </c>
      <c r="S1694" s="5" t="s">
        <v>240</v>
      </c>
      <c r="T1694" s="5" t="s">
        <v>296</v>
      </c>
      <c r="U1694" s="5" t="s">
        <v>244</v>
      </c>
      <c r="V1694" s="5" t="s">
        <v>240</v>
      </c>
      <c r="Y1694" s="5" t="s">
        <v>240</v>
      </c>
      <c r="Z1694" s="6" t="s">
        <v>298</v>
      </c>
      <c r="AB1694" s="6" t="s">
        <v>240</v>
      </c>
      <c r="AE1694" s="6" t="s">
        <v>299</v>
      </c>
      <c r="AF1694" s="5" t="s">
        <v>248</v>
      </c>
      <c r="AG1694" s="5" t="s">
        <v>249</v>
      </c>
      <c r="AW1694" s="5" t="s">
        <v>251</v>
      </c>
      <c r="AX1694" s="5" t="s">
        <v>240</v>
      </c>
      <c r="AY1694" s="5" t="s">
        <v>253</v>
      </c>
      <c r="AZ1694" s="5" t="s">
        <v>240</v>
      </c>
      <c r="BA1694" s="5" t="s">
        <v>255</v>
      </c>
      <c r="BB1694" s="5" t="s">
        <v>240</v>
      </c>
      <c r="BD1694" s="5" t="s">
        <v>240</v>
      </c>
      <c r="BF1694" s="5" t="s">
        <v>301</v>
      </c>
      <c r="BG1694" s="6" t="s">
        <v>299</v>
      </c>
      <c r="BH1694" s="5" t="s">
        <v>302</v>
      </c>
      <c r="BI1694" s="5" t="s">
        <v>303</v>
      </c>
      <c r="BJ1694" s="5" t="s">
        <v>240</v>
      </c>
      <c r="BK1694" s="8">
        <f>0</f>
        <v>0</v>
      </c>
      <c r="BL1694" s="7">
        <f>0</f>
        <v>0</v>
      </c>
      <c r="BM1694" s="5" t="s">
        <v>258</v>
      </c>
      <c r="BN1694" s="5" t="s">
        <v>259</v>
      </c>
      <c r="CB1694" s="5" t="s">
        <v>240</v>
      </c>
      <c r="CC1694" s="5" t="s">
        <v>240</v>
      </c>
      <c r="CG1694" s="5" t="s">
        <v>304</v>
      </c>
      <c r="CH1694" s="5" t="s">
        <v>305</v>
      </c>
      <c r="CI1694" s="5" t="s">
        <v>240</v>
      </c>
      <c r="CL1694" s="6" t="s">
        <v>261</v>
      </c>
      <c r="CM1694" s="5" t="s">
        <v>240</v>
      </c>
      <c r="CN1694" s="5" t="s">
        <v>263</v>
      </c>
      <c r="CO1694" s="5" t="s">
        <v>240</v>
      </c>
      <c r="CP1694" s="5" t="s">
        <v>240</v>
      </c>
      <c r="CQ1694" s="5">
        <v>0</v>
      </c>
      <c r="CR1694" s="5" t="s">
        <v>306</v>
      </c>
      <c r="CS1694" s="5" t="s">
        <v>307</v>
      </c>
      <c r="CT1694" s="5" t="s">
        <v>307</v>
      </c>
      <c r="CU1694" s="5" t="s">
        <v>260</v>
      </c>
      <c r="CX1694" s="7">
        <f>1</f>
        <v>1</v>
      </c>
      <c r="CY1694" s="7">
        <f>0</f>
        <v>0</v>
      </c>
      <c r="DA1694" s="7">
        <f>0</f>
        <v>0</v>
      </c>
      <c r="DC1694" s="5" t="s">
        <v>309</v>
      </c>
      <c r="DD1694" s="5" t="s">
        <v>240</v>
      </c>
      <c r="DF1694" s="5" t="s">
        <v>309</v>
      </c>
      <c r="DG1694" s="7">
        <f>3020</f>
        <v>3020</v>
      </c>
      <c r="DI1694" s="5" t="s">
        <v>240</v>
      </c>
      <c r="DJ1694" s="5" t="s">
        <v>240</v>
      </c>
      <c r="DK1694" s="5" t="s">
        <v>240</v>
      </c>
      <c r="DL1694" s="5" t="s">
        <v>240</v>
      </c>
      <c r="DP1694" s="5" t="s">
        <v>240</v>
      </c>
      <c r="DQ1694" s="5" t="s">
        <v>240</v>
      </c>
      <c r="DR1694" s="5" t="s">
        <v>240</v>
      </c>
      <c r="DS1694" s="5" t="s">
        <v>240</v>
      </c>
      <c r="DV1694" s="5" t="s">
        <v>310</v>
      </c>
      <c r="DW1694" s="5" t="s">
        <v>2959</v>
      </c>
      <c r="HO1694" s="5" t="s">
        <v>312</v>
      </c>
    </row>
    <row r="1695" spans="1:240" x14ac:dyDescent="0.4">
      <c r="A1695" s="5">
        <v>3370</v>
      </c>
      <c r="B1695" s="5">
        <v>1</v>
      </c>
      <c r="C1695" s="5">
        <v>1</v>
      </c>
      <c r="D1695" s="5" t="s">
        <v>297</v>
      </c>
      <c r="E1695" s="5" t="s">
        <v>245</v>
      </c>
      <c r="F1695" s="5" t="s">
        <v>254</v>
      </c>
      <c r="G1695" s="5" t="s">
        <v>240</v>
      </c>
      <c r="H1695" s="6" t="s">
        <v>4464</v>
      </c>
      <c r="I1695" s="5" t="s">
        <v>295</v>
      </c>
      <c r="J1695" s="8">
        <f>139</f>
        <v>139</v>
      </c>
      <c r="K1695" s="5" t="s">
        <v>308</v>
      </c>
      <c r="L1695" s="7">
        <f>1</f>
        <v>1</v>
      </c>
      <c r="M1695" s="7">
        <f>1</f>
        <v>1</v>
      </c>
      <c r="N1695" s="5" t="s">
        <v>242</v>
      </c>
      <c r="O1695" s="5">
        <v>1</v>
      </c>
      <c r="P1695" s="5" t="s">
        <v>294</v>
      </c>
      <c r="Q1695" s="5" t="s">
        <v>266</v>
      </c>
      <c r="R1695" s="5" t="s">
        <v>240</v>
      </c>
      <c r="S1695" s="5" t="s">
        <v>240</v>
      </c>
      <c r="T1695" s="5" t="s">
        <v>296</v>
      </c>
      <c r="U1695" s="5" t="s">
        <v>244</v>
      </c>
      <c r="V1695" s="5" t="s">
        <v>240</v>
      </c>
      <c r="Y1695" s="5" t="s">
        <v>240</v>
      </c>
      <c r="Z1695" s="6" t="s">
        <v>298</v>
      </c>
      <c r="AB1695" s="6" t="s">
        <v>240</v>
      </c>
      <c r="AE1695" s="6" t="s">
        <v>299</v>
      </c>
      <c r="AF1695" s="5" t="s">
        <v>248</v>
      </c>
      <c r="AG1695" s="5" t="s">
        <v>249</v>
      </c>
      <c r="AW1695" s="5" t="s">
        <v>251</v>
      </c>
      <c r="AX1695" s="5" t="s">
        <v>240</v>
      </c>
      <c r="AY1695" s="5" t="s">
        <v>253</v>
      </c>
      <c r="AZ1695" s="5" t="s">
        <v>240</v>
      </c>
      <c r="BA1695" s="5" t="s">
        <v>255</v>
      </c>
      <c r="BB1695" s="5" t="s">
        <v>240</v>
      </c>
      <c r="BD1695" s="5" t="s">
        <v>240</v>
      </c>
      <c r="BF1695" s="5" t="s">
        <v>301</v>
      </c>
      <c r="BG1695" s="6" t="s">
        <v>299</v>
      </c>
      <c r="BH1695" s="5" t="s">
        <v>302</v>
      </c>
      <c r="BI1695" s="5" t="s">
        <v>303</v>
      </c>
      <c r="BJ1695" s="5" t="s">
        <v>240</v>
      </c>
      <c r="BK1695" s="8">
        <f>0</f>
        <v>0</v>
      </c>
      <c r="BL1695" s="7">
        <f>0</f>
        <v>0</v>
      </c>
      <c r="BM1695" s="5" t="s">
        <v>258</v>
      </c>
      <c r="BN1695" s="5" t="s">
        <v>259</v>
      </c>
      <c r="CB1695" s="5" t="s">
        <v>240</v>
      </c>
      <c r="CC1695" s="5" t="s">
        <v>240</v>
      </c>
      <c r="CG1695" s="5" t="s">
        <v>304</v>
      </c>
      <c r="CH1695" s="5" t="s">
        <v>305</v>
      </c>
      <c r="CI1695" s="5" t="s">
        <v>240</v>
      </c>
      <c r="CL1695" s="6" t="s">
        <v>261</v>
      </c>
      <c r="CM1695" s="5" t="s">
        <v>240</v>
      </c>
      <c r="CN1695" s="5" t="s">
        <v>263</v>
      </c>
      <c r="CO1695" s="5" t="s">
        <v>240</v>
      </c>
      <c r="CP1695" s="5" t="s">
        <v>240</v>
      </c>
      <c r="CQ1695" s="5">
        <v>0</v>
      </c>
      <c r="CR1695" s="5" t="s">
        <v>306</v>
      </c>
      <c r="CS1695" s="5" t="s">
        <v>307</v>
      </c>
      <c r="CT1695" s="5" t="s">
        <v>307</v>
      </c>
      <c r="CU1695" s="5" t="s">
        <v>260</v>
      </c>
      <c r="CX1695" s="7">
        <f>1</f>
        <v>1</v>
      </c>
      <c r="CY1695" s="7">
        <f>0</f>
        <v>0</v>
      </c>
      <c r="DA1695" s="7">
        <f>0</f>
        <v>0</v>
      </c>
      <c r="DC1695" s="5" t="s">
        <v>812</v>
      </c>
      <c r="DD1695" s="5" t="s">
        <v>240</v>
      </c>
      <c r="DF1695" s="5" t="s">
        <v>812</v>
      </c>
      <c r="DG1695" s="7">
        <f>1287</f>
        <v>1287</v>
      </c>
      <c r="DI1695" s="5" t="s">
        <v>240</v>
      </c>
      <c r="DJ1695" s="5" t="s">
        <v>240</v>
      </c>
      <c r="DK1695" s="5" t="s">
        <v>240</v>
      </c>
      <c r="DL1695" s="5" t="s">
        <v>240</v>
      </c>
      <c r="DP1695" s="5" t="s">
        <v>240</v>
      </c>
      <c r="DQ1695" s="5" t="s">
        <v>240</v>
      </c>
      <c r="DR1695" s="5" t="s">
        <v>240</v>
      </c>
      <c r="DS1695" s="5" t="s">
        <v>240</v>
      </c>
      <c r="DV1695" s="5" t="s">
        <v>813</v>
      </c>
      <c r="DW1695" s="5" t="s">
        <v>3522</v>
      </c>
      <c r="HO1695" s="5" t="s">
        <v>312</v>
      </c>
    </row>
    <row r="1696" spans="1:240" x14ac:dyDescent="0.4">
      <c r="A1696" s="5">
        <v>3371</v>
      </c>
      <c r="B1696" s="5">
        <v>1</v>
      </c>
      <c r="C1696" s="5">
        <v>1</v>
      </c>
      <c r="D1696" s="5" t="s">
        <v>297</v>
      </c>
      <c r="E1696" s="5" t="s">
        <v>245</v>
      </c>
      <c r="F1696" s="5" t="s">
        <v>254</v>
      </c>
      <c r="G1696" s="5" t="s">
        <v>240</v>
      </c>
      <c r="H1696" s="6" t="s">
        <v>4463</v>
      </c>
      <c r="I1696" s="5" t="s">
        <v>295</v>
      </c>
      <c r="J1696" s="8">
        <f>3911</f>
        <v>3911</v>
      </c>
      <c r="K1696" s="5" t="s">
        <v>308</v>
      </c>
      <c r="L1696" s="7">
        <f>1</f>
        <v>1</v>
      </c>
      <c r="M1696" s="7">
        <f>1</f>
        <v>1</v>
      </c>
      <c r="N1696" s="5" t="s">
        <v>242</v>
      </c>
      <c r="O1696" s="5">
        <v>1</v>
      </c>
      <c r="P1696" s="5" t="s">
        <v>294</v>
      </c>
      <c r="Q1696" s="5" t="s">
        <v>266</v>
      </c>
      <c r="R1696" s="5" t="s">
        <v>240</v>
      </c>
      <c r="S1696" s="5" t="s">
        <v>240</v>
      </c>
      <c r="T1696" s="5" t="s">
        <v>296</v>
      </c>
      <c r="U1696" s="5" t="s">
        <v>244</v>
      </c>
      <c r="V1696" s="5" t="s">
        <v>240</v>
      </c>
      <c r="Y1696" s="5" t="s">
        <v>240</v>
      </c>
      <c r="Z1696" s="6" t="s">
        <v>298</v>
      </c>
      <c r="AB1696" s="6" t="s">
        <v>240</v>
      </c>
      <c r="AE1696" s="6" t="s">
        <v>299</v>
      </c>
      <c r="AF1696" s="5" t="s">
        <v>248</v>
      </c>
      <c r="AG1696" s="5" t="s">
        <v>249</v>
      </c>
      <c r="AW1696" s="5" t="s">
        <v>251</v>
      </c>
      <c r="AX1696" s="5" t="s">
        <v>240</v>
      </c>
      <c r="AY1696" s="5" t="s">
        <v>253</v>
      </c>
      <c r="AZ1696" s="5" t="s">
        <v>240</v>
      </c>
      <c r="BA1696" s="5" t="s">
        <v>255</v>
      </c>
      <c r="BB1696" s="5" t="s">
        <v>240</v>
      </c>
      <c r="BD1696" s="5" t="s">
        <v>240</v>
      </c>
      <c r="BF1696" s="5" t="s">
        <v>301</v>
      </c>
      <c r="BG1696" s="6" t="s">
        <v>299</v>
      </c>
      <c r="BH1696" s="5" t="s">
        <v>302</v>
      </c>
      <c r="BI1696" s="5" t="s">
        <v>303</v>
      </c>
      <c r="BJ1696" s="5" t="s">
        <v>240</v>
      </c>
      <c r="BK1696" s="8">
        <f>0</f>
        <v>0</v>
      </c>
      <c r="BL1696" s="7">
        <f>0</f>
        <v>0</v>
      </c>
      <c r="BM1696" s="5" t="s">
        <v>258</v>
      </c>
      <c r="BN1696" s="5" t="s">
        <v>259</v>
      </c>
      <c r="CB1696" s="5" t="s">
        <v>240</v>
      </c>
      <c r="CC1696" s="5" t="s">
        <v>240</v>
      </c>
      <c r="CG1696" s="5" t="s">
        <v>304</v>
      </c>
      <c r="CH1696" s="5" t="s">
        <v>305</v>
      </c>
      <c r="CI1696" s="5" t="s">
        <v>240</v>
      </c>
      <c r="CL1696" s="6" t="s">
        <v>261</v>
      </c>
      <c r="CM1696" s="5" t="s">
        <v>240</v>
      </c>
      <c r="CN1696" s="5" t="s">
        <v>263</v>
      </c>
      <c r="CO1696" s="5" t="s">
        <v>240</v>
      </c>
      <c r="CP1696" s="5" t="s">
        <v>240</v>
      </c>
      <c r="CQ1696" s="5">
        <v>0</v>
      </c>
      <c r="CR1696" s="5" t="s">
        <v>306</v>
      </c>
      <c r="CS1696" s="5" t="s">
        <v>307</v>
      </c>
      <c r="CT1696" s="5" t="s">
        <v>307</v>
      </c>
      <c r="CU1696" s="5" t="s">
        <v>260</v>
      </c>
      <c r="CX1696" s="7">
        <f>1</f>
        <v>1</v>
      </c>
      <c r="CY1696" s="7">
        <f>0</f>
        <v>0</v>
      </c>
      <c r="DA1696" s="7">
        <f>0</f>
        <v>0</v>
      </c>
      <c r="DC1696" s="5" t="s">
        <v>812</v>
      </c>
      <c r="DD1696" s="5" t="s">
        <v>240</v>
      </c>
      <c r="DF1696" s="5" t="s">
        <v>812</v>
      </c>
      <c r="DG1696" s="7">
        <f>915</f>
        <v>915</v>
      </c>
      <c r="DI1696" s="5" t="s">
        <v>240</v>
      </c>
      <c r="DJ1696" s="5" t="s">
        <v>240</v>
      </c>
      <c r="DK1696" s="5" t="s">
        <v>240</v>
      </c>
      <c r="DL1696" s="5" t="s">
        <v>240</v>
      </c>
      <c r="DP1696" s="5" t="s">
        <v>240</v>
      </c>
      <c r="DQ1696" s="5" t="s">
        <v>240</v>
      </c>
      <c r="DR1696" s="5" t="s">
        <v>240</v>
      </c>
      <c r="DS1696" s="5" t="s">
        <v>240</v>
      </c>
      <c r="DV1696" s="5" t="s">
        <v>813</v>
      </c>
      <c r="DW1696" s="5" t="s">
        <v>3524</v>
      </c>
      <c r="HO1696" s="5" t="s">
        <v>312</v>
      </c>
    </row>
    <row r="1697" spans="1:223" x14ac:dyDescent="0.4">
      <c r="A1697" s="5">
        <v>3372</v>
      </c>
      <c r="B1697" s="5">
        <v>1</v>
      </c>
      <c r="C1697" s="5">
        <v>1</v>
      </c>
      <c r="D1697" s="5" t="s">
        <v>297</v>
      </c>
      <c r="E1697" s="5" t="s">
        <v>245</v>
      </c>
      <c r="F1697" s="5" t="s">
        <v>254</v>
      </c>
      <c r="G1697" s="5" t="s">
        <v>240</v>
      </c>
      <c r="H1697" s="6" t="s">
        <v>4462</v>
      </c>
      <c r="I1697" s="5" t="s">
        <v>295</v>
      </c>
      <c r="J1697" s="8">
        <f>824</f>
        <v>824</v>
      </c>
      <c r="K1697" s="5" t="s">
        <v>308</v>
      </c>
      <c r="L1697" s="7">
        <f>1</f>
        <v>1</v>
      </c>
      <c r="M1697" s="7">
        <f>1</f>
        <v>1</v>
      </c>
      <c r="N1697" s="5" t="s">
        <v>242</v>
      </c>
      <c r="O1697" s="5">
        <v>1</v>
      </c>
      <c r="P1697" s="5" t="s">
        <v>294</v>
      </c>
      <c r="Q1697" s="5" t="s">
        <v>266</v>
      </c>
      <c r="R1697" s="5" t="s">
        <v>240</v>
      </c>
      <c r="S1697" s="5" t="s">
        <v>240</v>
      </c>
      <c r="T1697" s="5" t="s">
        <v>296</v>
      </c>
      <c r="U1697" s="5" t="s">
        <v>244</v>
      </c>
      <c r="V1697" s="5" t="s">
        <v>240</v>
      </c>
      <c r="Y1697" s="5" t="s">
        <v>240</v>
      </c>
      <c r="Z1697" s="6" t="s">
        <v>298</v>
      </c>
      <c r="AB1697" s="6" t="s">
        <v>240</v>
      </c>
      <c r="AE1697" s="6" t="s">
        <v>299</v>
      </c>
      <c r="AF1697" s="5" t="s">
        <v>248</v>
      </c>
      <c r="AG1697" s="5" t="s">
        <v>249</v>
      </c>
      <c r="AW1697" s="5" t="s">
        <v>251</v>
      </c>
      <c r="AX1697" s="5" t="s">
        <v>240</v>
      </c>
      <c r="AY1697" s="5" t="s">
        <v>253</v>
      </c>
      <c r="AZ1697" s="5" t="s">
        <v>240</v>
      </c>
      <c r="BA1697" s="5" t="s">
        <v>255</v>
      </c>
      <c r="BB1697" s="5" t="s">
        <v>240</v>
      </c>
      <c r="BD1697" s="5" t="s">
        <v>240</v>
      </c>
      <c r="BF1697" s="5" t="s">
        <v>301</v>
      </c>
      <c r="BG1697" s="6" t="s">
        <v>299</v>
      </c>
      <c r="BH1697" s="5" t="s">
        <v>302</v>
      </c>
      <c r="BI1697" s="5" t="s">
        <v>303</v>
      </c>
      <c r="BJ1697" s="5" t="s">
        <v>240</v>
      </c>
      <c r="BK1697" s="8">
        <f>0</f>
        <v>0</v>
      </c>
      <c r="BL1697" s="7">
        <f>0</f>
        <v>0</v>
      </c>
      <c r="BM1697" s="5" t="s">
        <v>258</v>
      </c>
      <c r="BN1697" s="5" t="s">
        <v>259</v>
      </c>
      <c r="CB1697" s="5" t="s">
        <v>240</v>
      </c>
      <c r="CC1697" s="5" t="s">
        <v>240</v>
      </c>
      <c r="CG1697" s="5" t="s">
        <v>304</v>
      </c>
      <c r="CH1697" s="5" t="s">
        <v>305</v>
      </c>
      <c r="CI1697" s="5" t="s">
        <v>240</v>
      </c>
      <c r="CL1697" s="6" t="s">
        <v>261</v>
      </c>
      <c r="CM1697" s="5" t="s">
        <v>240</v>
      </c>
      <c r="CN1697" s="5" t="s">
        <v>263</v>
      </c>
      <c r="CO1697" s="5" t="s">
        <v>240</v>
      </c>
      <c r="CP1697" s="5" t="s">
        <v>240</v>
      </c>
      <c r="CQ1697" s="5">
        <v>0</v>
      </c>
      <c r="CR1697" s="5" t="s">
        <v>306</v>
      </c>
      <c r="CS1697" s="5" t="s">
        <v>307</v>
      </c>
      <c r="CT1697" s="5" t="s">
        <v>307</v>
      </c>
      <c r="CU1697" s="5" t="s">
        <v>260</v>
      </c>
      <c r="CX1697" s="7">
        <f>1</f>
        <v>1</v>
      </c>
      <c r="CY1697" s="7">
        <f>0</f>
        <v>0</v>
      </c>
      <c r="DA1697" s="7">
        <f>0</f>
        <v>0</v>
      </c>
      <c r="DC1697" s="5" t="s">
        <v>812</v>
      </c>
      <c r="DD1697" s="5" t="s">
        <v>240</v>
      </c>
      <c r="DF1697" s="5" t="s">
        <v>812</v>
      </c>
      <c r="DG1697" s="7">
        <f>142</f>
        <v>142</v>
      </c>
      <c r="DI1697" s="5" t="s">
        <v>240</v>
      </c>
      <c r="DJ1697" s="5" t="s">
        <v>240</v>
      </c>
      <c r="DK1697" s="5" t="s">
        <v>240</v>
      </c>
      <c r="DL1697" s="5" t="s">
        <v>240</v>
      </c>
      <c r="DP1697" s="5" t="s">
        <v>240</v>
      </c>
      <c r="DQ1697" s="5" t="s">
        <v>240</v>
      </c>
      <c r="DR1697" s="5" t="s">
        <v>240</v>
      </c>
      <c r="DS1697" s="5" t="s">
        <v>240</v>
      </c>
      <c r="DV1697" s="5" t="s">
        <v>813</v>
      </c>
      <c r="DW1697" s="5" t="s">
        <v>3526</v>
      </c>
      <c r="HO1697" s="5" t="s">
        <v>312</v>
      </c>
    </row>
    <row r="1698" spans="1:223" x14ac:dyDescent="0.4">
      <c r="A1698" s="5">
        <v>3373</v>
      </c>
      <c r="B1698" s="5">
        <v>1</v>
      </c>
      <c r="C1698" s="5">
        <v>1</v>
      </c>
      <c r="D1698" s="5" t="s">
        <v>297</v>
      </c>
      <c r="E1698" s="5" t="s">
        <v>245</v>
      </c>
      <c r="F1698" s="5" t="s">
        <v>254</v>
      </c>
      <c r="G1698" s="5" t="s">
        <v>240</v>
      </c>
      <c r="H1698" s="6" t="s">
        <v>5604</v>
      </c>
      <c r="I1698" s="5" t="s">
        <v>295</v>
      </c>
      <c r="J1698" s="8">
        <f>2990</f>
        <v>2990</v>
      </c>
      <c r="K1698" s="5" t="s">
        <v>308</v>
      </c>
      <c r="L1698" s="7">
        <f>1</f>
        <v>1</v>
      </c>
      <c r="M1698" s="7">
        <f>1</f>
        <v>1</v>
      </c>
      <c r="N1698" s="5" t="s">
        <v>242</v>
      </c>
      <c r="O1698" s="5">
        <v>1</v>
      </c>
      <c r="P1698" s="5" t="s">
        <v>294</v>
      </c>
      <c r="Q1698" s="5" t="s">
        <v>266</v>
      </c>
      <c r="R1698" s="5" t="s">
        <v>240</v>
      </c>
      <c r="S1698" s="5" t="s">
        <v>240</v>
      </c>
      <c r="T1698" s="5" t="s">
        <v>296</v>
      </c>
      <c r="U1698" s="5" t="s">
        <v>244</v>
      </c>
      <c r="V1698" s="5" t="s">
        <v>240</v>
      </c>
      <c r="Y1698" s="5" t="s">
        <v>240</v>
      </c>
      <c r="Z1698" s="6" t="s">
        <v>298</v>
      </c>
      <c r="AB1698" s="6" t="s">
        <v>240</v>
      </c>
      <c r="AE1698" s="6" t="s">
        <v>299</v>
      </c>
      <c r="AF1698" s="5" t="s">
        <v>248</v>
      </c>
      <c r="AG1698" s="5" t="s">
        <v>249</v>
      </c>
      <c r="AW1698" s="5" t="s">
        <v>251</v>
      </c>
      <c r="AX1698" s="5" t="s">
        <v>240</v>
      </c>
      <c r="AY1698" s="5" t="s">
        <v>253</v>
      </c>
      <c r="AZ1698" s="5" t="s">
        <v>240</v>
      </c>
      <c r="BA1698" s="5" t="s">
        <v>255</v>
      </c>
      <c r="BB1698" s="5" t="s">
        <v>240</v>
      </c>
      <c r="BD1698" s="5" t="s">
        <v>240</v>
      </c>
      <c r="BF1698" s="5" t="s">
        <v>301</v>
      </c>
      <c r="BG1698" s="6" t="s">
        <v>299</v>
      </c>
      <c r="BH1698" s="5" t="s">
        <v>302</v>
      </c>
      <c r="BI1698" s="5" t="s">
        <v>303</v>
      </c>
      <c r="BJ1698" s="5" t="s">
        <v>240</v>
      </c>
      <c r="BK1698" s="8">
        <f>0</f>
        <v>0</v>
      </c>
      <c r="BL1698" s="7">
        <f>0</f>
        <v>0</v>
      </c>
      <c r="BM1698" s="5" t="s">
        <v>258</v>
      </c>
      <c r="BN1698" s="5" t="s">
        <v>259</v>
      </c>
      <c r="CB1698" s="5" t="s">
        <v>240</v>
      </c>
      <c r="CC1698" s="5" t="s">
        <v>240</v>
      </c>
      <c r="CG1698" s="5" t="s">
        <v>304</v>
      </c>
      <c r="CH1698" s="5" t="s">
        <v>305</v>
      </c>
      <c r="CI1698" s="5" t="s">
        <v>240</v>
      </c>
      <c r="CL1698" s="6" t="s">
        <v>261</v>
      </c>
      <c r="CM1698" s="5" t="s">
        <v>240</v>
      </c>
      <c r="CN1698" s="5" t="s">
        <v>263</v>
      </c>
      <c r="CO1698" s="5" t="s">
        <v>240</v>
      </c>
      <c r="CP1698" s="5" t="s">
        <v>240</v>
      </c>
      <c r="CQ1698" s="5">
        <v>0</v>
      </c>
      <c r="CR1698" s="5" t="s">
        <v>306</v>
      </c>
      <c r="CS1698" s="5" t="s">
        <v>307</v>
      </c>
      <c r="CT1698" s="5" t="s">
        <v>307</v>
      </c>
      <c r="CU1698" s="5" t="s">
        <v>260</v>
      </c>
      <c r="CX1698" s="7">
        <f>1</f>
        <v>1</v>
      </c>
      <c r="CY1698" s="7">
        <f>0</f>
        <v>0</v>
      </c>
      <c r="DA1698" s="7">
        <f>0</f>
        <v>0</v>
      </c>
      <c r="DC1698" s="5" t="s">
        <v>812</v>
      </c>
      <c r="DD1698" s="5" t="s">
        <v>240</v>
      </c>
      <c r="DF1698" s="5" t="s">
        <v>812</v>
      </c>
      <c r="DG1698" s="7">
        <f>88</f>
        <v>88</v>
      </c>
      <c r="DI1698" s="5" t="s">
        <v>240</v>
      </c>
      <c r="DJ1698" s="5" t="s">
        <v>240</v>
      </c>
      <c r="DK1698" s="5" t="s">
        <v>240</v>
      </c>
      <c r="DL1698" s="5" t="s">
        <v>240</v>
      </c>
      <c r="DP1698" s="5" t="s">
        <v>240</v>
      </c>
      <c r="DQ1698" s="5" t="s">
        <v>240</v>
      </c>
      <c r="DR1698" s="5" t="s">
        <v>240</v>
      </c>
      <c r="DS1698" s="5" t="s">
        <v>240</v>
      </c>
      <c r="DV1698" s="5" t="s">
        <v>813</v>
      </c>
      <c r="DW1698" s="5" t="s">
        <v>3528</v>
      </c>
      <c r="HO1698" s="5" t="s">
        <v>312</v>
      </c>
    </row>
    <row r="1699" spans="1:223" x14ac:dyDescent="0.4">
      <c r="A1699" s="5">
        <v>3374</v>
      </c>
      <c r="B1699" s="5">
        <v>1</v>
      </c>
      <c r="C1699" s="5">
        <v>1</v>
      </c>
      <c r="D1699" s="5" t="s">
        <v>297</v>
      </c>
      <c r="E1699" s="5" t="s">
        <v>245</v>
      </c>
      <c r="F1699" s="5" t="s">
        <v>254</v>
      </c>
      <c r="G1699" s="5" t="s">
        <v>240</v>
      </c>
      <c r="H1699" s="6" t="s">
        <v>4460</v>
      </c>
      <c r="I1699" s="5" t="s">
        <v>295</v>
      </c>
      <c r="J1699" s="8">
        <f>685</f>
        <v>685</v>
      </c>
      <c r="K1699" s="5" t="s">
        <v>308</v>
      </c>
      <c r="L1699" s="7">
        <f>1</f>
        <v>1</v>
      </c>
      <c r="M1699" s="7">
        <f>1</f>
        <v>1</v>
      </c>
      <c r="N1699" s="5" t="s">
        <v>242</v>
      </c>
      <c r="O1699" s="5">
        <v>1</v>
      </c>
      <c r="P1699" s="5" t="s">
        <v>294</v>
      </c>
      <c r="Q1699" s="5" t="s">
        <v>266</v>
      </c>
      <c r="R1699" s="5" t="s">
        <v>240</v>
      </c>
      <c r="S1699" s="5" t="s">
        <v>240</v>
      </c>
      <c r="T1699" s="5" t="s">
        <v>296</v>
      </c>
      <c r="U1699" s="5" t="s">
        <v>244</v>
      </c>
      <c r="V1699" s="5" t="s">
        <v>240</v>
      </c>
      <c r="Y1699" s="5" t="s">
        <v>240</v>
      </c>
      <c r="Z1699" s="6" t="s">
        <v>298</v>
      </c>
      <c r="AB1699" s="6" t="s">
        <v>240</v>
      </c>
      <c r="AE1699" s="6" t="s">
        <v>299</v>
      </c>
      <c r="AF1699" s="5" t="s">
        <v>248</v>
      </c>
      <c r="AG1699" s="5" t="s">
        <v>249</v>
      </c>
      <c r="AW1699" s="5" t="s">
        <v>251</v>
      </c>
      <c r="AX1699" s="5" t="s">
        <v>240</v>
      </c>
      <c r="AY1699" s="5" t="s">
        <v>253</v>
      </c>
      <c r="AZ1699" s="5" t="s">
        <v>240</v>
      </c>
      <c r="BA1699" s="5" t="s">
        <v>255</v>
      </c>
      <c r="BB1699" s="5" t="s">
        <v>240</v>
      </c>
      <c r="BD1699" s="5" t="s">
        <v>240</v>
      </c>
      <c r="BF1699" s="5" t="s">
        <v>301</v>
      </c>
      <c r="BG1699" s="6" t="s">
        <v>299</v>
      </c>
      <c r="BH1699" s="5" t="s">
        <v>302</v>
      </c>
      <c r="BI1699" s="5" t="s">
        <v>303</v>
      </c>
      <c r="BJ1699" s="5" t="s">
        <v>240</v>
      </c>
      <c r="BK1699" s="8">
        <f>0</f>
        <v>0</v>
      </c>
      <c r="BL1699" s="7">
        <f>0</f>
        <v>0</v>
      </c>
      <c r="BM1699" s="5" t="s">
        <v>258</v>
      </c>
      <c r="BN1699" s="5" t="s">
        <v>259</v>
      </c>
      <c r="CB1699" s="5" t="s">
        <v>240</v>
      </c>
      <c r="CC1699" s="5" t="s">
        <v>240</v>
      </c>
      <c r="CG1699" s="5" t="s">
        <v>304</v>
      </c>
      <c r="CH1699" s="5" t="s">
        <v>305</v>
      </c>
      <c r="CI1699" s="5" t="s">
        <v>240</v>
      </c>
      <c r="CL1699" s="6" t="s">
        <v>261</v>
      </c>
      <c r="CM1699" s="5" t="s">
        <v>240</v>
      </c>
      <c r="CN1699" s="5" t="s">
        <v>263</v>
      </c>
      <c r="CO1699" s="5" t="s">
        <v>240</v>
      </c>
      <c r="CP1699" s="5" t="s">
        <v>240</v>
      </c>
      <c r="CQ1699" s="5">
        <v>0</v>
      </c>
      <c r="CR1699" s="5" t="s">
        <v>306</v>
      </c>
      <c r="CS1699" s="5" t="s">
        <v>307</v>
      </c>
      <c r="CT1699" s="5" t="s">
        <v>307</v>
      </c>
      <c r="CU1699" s="5" t="s">
        <v>260</v>
      </c>
      <c r="CX1699" s="7">
        <f>1</f>
        <v>1</v>
      </c>
      <c r="CY1699" s="7">
        <f>0</f>
        <v>0</v>
      </c>
      <c r="DA1699" s="7">
        <f>0</f>
        <v>0</v>
      </c>
      <c r="DC1699" s="5" t="s">
        <v>812</v>
      </c>
      <c r="DD1699" s="5" t="s">
        <v>240</v>
      </c>
      <c r="DF1699" s="5" t="s">
        <v>812</v>
      </c>
      <c r="DG1699" s="7">
        <f>916</f>
        <v>916</v>
      </c>
      <c r="DI1699" s="5" t="s">
        <v>240</v>
      </c>
      <c r="DJ1699" s="5" t="s">
        <v>240</v>
      </c>
      <c r="DK1699" s="5" t="s">
        <v>240</v>
      </c>
      <c r="DL1699" s="5" t="s">
        <v>240</v>
      </c>
      <c r="DP1699" s="5" t="s">
        <v>240</v>
      </c>
      <c r="DQ1699" s="5" t="s">
        <v>240</v>
      </c>
      <c r="DR1699" s="5" t="s">
        <v>240</v>
      </c>
      <c r="DS1699" s="5" t="s">
        <v>240</v>
      </c>
      <c r="DV1699" s="5" t="s">
        <v>813</v>
      </c>
      <c r="DW1699" s="5" t="s">
        <v>3530</v>
      </c>
      <c r="HO1699" s="5" t="s">
        <v>312</v>
      </c>
    </row>
    <row r="1700" spans="1:223" x14ac:dyDescent="0.4">
      <c r="A1700" s="5">
        <v>3375</v>
      </c>
      <c r="B1700" s="5">
        <v>1</v>
      </c>
      <c r="C1700" s="5">
        <v>1</v>
      </c>
      <c r="D1700" s="5" t="s">
        <v>297</v>
      </c>
      <c r="E1700" s="5" t="s">
        <v>245</v>
      </c>
      <c r="F1700" s="5" t="s">
        <v>254</v>
      </c>
      <c r="G1700" s="5" t="s">
        <v>240</v>
      </c>
      <c r="H1700" s="6" t="s">
        <v>4459</v>
      </c>
      <c r="I1700" s="5" t="s">
        <v>295</v>
      </c>
      <c r="J1700" s="8">
        <f>2234</f>
        <v>2234</v>
      </c>
      <c r="K1700" s="5" t="s">
        <v>308</v>
      </c>
      <c r="L1700" s="7">
        <f>1</f>
        <v>1</v>
      </c>
      <c r="M1700" s="7">
        <f>1</f>
        <v>1</v>
      </c>
      <c r="N1700" s="5" t="s">
        <v>242</v>
      </c>
      <c r="O1700" s="5">
        <v>1</v>
      </c>
      <c r="P1700" s="5" t="s">
        <v>294</v>
      </c>
      <c r="Q1700" s="5" t="s">
        <v>266</v>
      </c>
      <c r="R1700" s="5" t="s">
        <v>240</v>
      </c>
      <c r="S1700" s="5" t="s">
        <v>240</v>
      </c>
      <c r="T1700" s="5" t="s">
        <v>296</v>
      </c>
      <c r="U1700" s="5" t="s">
        <v>244</v>
      </c>
      <c r="V1700" s="5" t="s">
        <v>240</v>
      </c>
      <c r="Y1700" s="5" t="s">
        <v>240</v>
      </c>
      <c r="Z1700" s="6" t="s">
        <v>298</v>
      </c>
      <c r="AB1700" s="6" t="s">
        <v>240</v>
      </c>
      <c r="AE1700" s="6" t="s">
        <v>299</v>
      </c>
      <c r="AF1700" s="5" t="s">
        <v>248</v>
      </c>
      <c r="AG1700" s="5" t="s">
        <v>249</v>
      </c>
      <c r="AW1700" s="5" t="s">
        <v>251</v>
      </c>
      <c r="AX1700" s="5" t="s">
        <v>240</v>
      </c>
      <c r="AY1700" s="5" t="s">
        <v>253</v>
      </c>
      <c r="AZ1700" s="5" t="s">
        <v>240</v>
      </c>
      <c r="BA1700" s="5" t="s">
        <v>255</v>
      </c>
      <c r="BB1700" s="5" t="s">
        <v>240</v>
      </c>
      <c r="BD1700" s="5" t="s">
        <v>240</v>
      </c>
      <c r="BF1700" s="5" t="s">
        <v>301</v>
      </c>
      <c r="BG1700" s="6" t="s">
        <v>299</v>
      </c>
      <c r="BH1700" s="5" t="s">
        <v>302</v>
      </c>
      <c r="BI1700" s="5" t="s">
        <v>303</v>
      </c>
      <c r="BJ1700" s="5" t="s">
        <v>240</v>
      </c>
      <c r="BK1700" s="8">
        <f>0</f>
        <v>0</v>
      </c>
      <c r="BL1700" s="7">
        <f>0</f>
        <v>0</v>
      </c>
      <c r="BM1700" s="5" t="s">
        <v>258</v>
      </c>
      <c r="BN1700" s="5" t="s">
        <v>259</v>
      </c>
      <c r="CB1700" s="5" t="s">
        <v>240</v>
      </c>
      <c r="CC1700" s="5" t="s">
        <v>240</v>
      </c>
      <c r="CG1700" s="5" t="s">
        <v>304</v>
      </c>
      <c r="CH1700" s="5" t="s">
        <v>305</v>
      </c>
      <c r="CI1700" s="5" t="s">
        <v>240</v>
      </c>
      <c r="CL1700" s="6" t="s">
        <v>261</v>
      </c>
      <c r="CM1700" s="5" t="s">
        <v>240</v>
      </c>
      <c r="CN1700" s="5" t="s">
        <v>263</v>
      </c>
      <c r="CO1700" s="5" t="s">
        <v>240</v>
      </c>
      <c r="CP1700" s="5" t="s">
        <v>240</v>
      </c>
      <c r="CQ1700" s="5">
        <v>0</v>
      </c>
      <c r="CR1700" s="5" t="s">
        <v>306</v>
      </c>
      <c r="CS1700" s="5" t="s">
        <v>307</v>
      </c>
      <c r="CT1700" s="5" t="s">
        <v>307</v>
      </c>
      <c r="CU1700" s="5" t="s">
        <v>260</v>
      </c>
      <c r="CX1700" s="7">
        <f>1</f>
        <v>1</v>
      </c>
      <c r="CY1700" s="7">
        <f>0</f>
        <v>0</v>
      </c>
      <c r="DA1700" s="7">
        <f>0</f>
        <v>0</v>
      </c>
      <c r="DC1700" s="5" t="s">
        <v>812</v>
      </c>
      <c r="DD1700" s="5" t="s">
        <v>240</v>
      </c>
      <c r="DF1700" s="5" t="s">
        <v>812</v>
      </c>
      <c r="DG1700" s="7">
        <f>1235</f>
        <v>1235</v>
      </c>
      <c r="DI1700" s="5" t="s">
        <v>240</v>
      </c>
      <c r="DJ1700" s="5" t="s">
        <v>240</v>
      </c>
      <c r="DK1700" s="5" t="s">
        <v>240</v>
      </c>
      <c r="DL1700" s="5" t="s">
        <v>240</v>
      </c>
      <c r="DP1700" s="5" t="s">
        <v>240</v>
      </c>
      <c r="DQ1700" s="5" t="s">
        <v>240</v>
      </c>
      <c r="DR1700" s="5" t="s">
        <v>240</v>
      </c>
      <c r="DS1700" s="5" t="s">
        <v>240</v>
      </c>
      <c r="DV1700" s="5" t="s">
        <v>813</v>
      </c>
      <c r="DW1700" s="5" t="s">
        <v>3532</v>
      </c>
      <c r="HO1700" s="5" t="s">
        <v>312</v>
      </c>
    </row>
    <row r="1701" spans="1:223" x14ac:dyDescent="0.4">
      <c r="A1701" s="5">
        <v>3376</v>
      </c>
      <c r="B1701" s="5">
        <v>1</v>
      </c>
      <c r="C1701" s="5">
        <v>1</v>
      </c>
      <c r="D1701" s="5" t="s">
        <v>297</v>
      </c>
      <c r="E1701" s="5" t="s">
        <v>245</v>
      </c>
      <c r="F1701" s="5" t="s">
        <v>254</v>
      </c>
      <c r="G1701" s="5" t="s">
        <v>240</v>
      </c>
      <c r="H1701" s="6" t="s">
        <v>4458</v>
      </c>
      <c r="I1701" s="5" t="s">
        <v>295</v>
      </c>
      <c r="J1701" s="8">
        <f>3483</f>
        <v>3483</v>
      </c>
      <c r="K1701" s="5" t="s">
        <v>308</v>
      </c>
      <c r="L1701" s="7">
        <f>1</f>
        <v>1</v>
      </c>
      <c r="M1701" s="7">
        <f>1</f>
        <v>1</v>
      </c>
      <c r="N1701" s="5" t="s">
        <v>242</v>
      </c>
      <c r="O1701" s="5">
        <v>1</v>
      </c>
      <c r="P1701" s="5" t="s">
        <v>294</v>
      </c>
      <c r="Q1701" s="5" t="s">
        <v>266</v>
      </c>
      <c r="R1701" s="5" t="s">
        <v>240</v>
      </c>
      <c r="S1701" s="5" t="s">
        <v>240</v>
      </c>
      <c r="T1701" s="5" t="s">
        <v>296</v>
      </c>
      <c r="U1701" s="5" t="s">
        <v>244</v>
      </c>
      <c r="V1701" s="5" t="s">
        <v>240</v>
      </c>
      <c r="Y1701" s="5" t="s">
        <v>240</v>
      </c>
      <c r="Z1701" s="6" t="s">
        <v>298</v>
      </c>
      <c r="AB1701" s="6" t="s">
        <v>240</v>
      </c>
      <c r="AE1701" s="6" t="s">
        <v>299</v>
      </c>
      <c r="AF1701" s="5" t="s">
        <v>248</v>
      </c>
      <c r="AG1701" s="5" t="s">
        <v>249</v>
      </c>
      <c r="AW1701" s="5" t="s">
        <v>251</v>
      </c>
      <c r="AX1701" s="5" t="s">
        <v>240</v>
      </c>
      <c r="AY1701" s="5" t="s">
        <v>253</v>
      </c>
      <c r="AZ1701" s="5" t="s">
        <v>240</v>
      </c>
      <c r="BA1701" s="5" t="s">
        <v>255</v>
      </c>
      <c r="BB1701" s="5" t="s">
        <v>240</v>
      </c>
      <c r="BD1701" s="5" t="s">
        <v>240</v>
      </c>
      <c r="BF1701" s="5" t="s">
        <v>301</v>
      </c>
      <c r="BG1701" s="6" t="s">
        <v>299</v>
      </c>
      <c r="BH1701" s="5" t="s">
        <v>302</v>
      </c>
      <c r="BI1701" s="5" t="s">
        <v>303</v>
      </c>
      <c r="BJ1701" s="5" t="s">
        <v>240</v>
      </c>
      <c r="BK1701" s="8">
        <f>0</f>
        <v>0</v>
      </c>
      <c r="BL1701" s="7">
        <f>0</f>
        <v>0</v>
      </c>
      <c r="BM1701" s="5" t="s">
        <v>258</v>
      </c>
      <c r="BN1701" s="5" t="s">
        <v>259</v>
      </c>
      <c r="CB1701" s="5" t="s">
        <v>240</v>
      </c>
      <c r="CC1701" s="5" t="s">
        <v>240</v>
      </c>
      <c r="CG1701" s="5" t="s">
        <v>304</v>
      </c>
      <c r="CH1701" s="5" t="s">
        <v>305</v>
      </c>
      <c r="CI1701" s="5" t="s">
        <v>240</v>
      </c>
      <c r="CL1701" s="6" t="s">
        <v>261</v>
      </c>
      <c r="CM1701" s="5" t="s">
        <v>240</v>
      </c>
      <c r="CN1701" s="5" t="s">
        <v>263</v>
      </c>
      <c r="CO1701" s="5" t="s">
        <v>240</v>
      </c>
      <c r="CP1701" s="5" t="s">
        <v>240</v>
      </c>
      <c r="CQ1701" s="5">
        <v>0</v>
      </c>
      <c r="CR1701" s="5" t="s">
        <v>306</v>
      </c>
      <c r="CS1701" s="5" t="s">
        <v>307</v>
      </c>
      <c r="CT1701" s="5" t="s">
        <v>307</v>
      </c>
      <c r="CU1701" s="5" t="s">
        <v>260</v>
      </c>
      <c r="CX1701" s="7">
        <f>1</f>
        <v>1</v>
      </c>
      <c r="CY1701" s="7">
        <f>0</f>
        <v>0</v>
      </c>
      <c r="DA1701" s="7">
        <f>0</f>
        <v>0</v>
      </c>
      <c r="DC1701" s="5" t="s">
        <v>812</v>
      </c>
      <c r="DD1701" s="5" t="s">
        <v>240</v>
      </c>
      <c r="DF1701" s="5" t="s">
        <v>812</v>
      </c>
      <c r="DG1701" s="7">
        <f>104</f>
        <v>104</v>
      </c>
      <c r="DI1701" s="5" t="s">
        <v>240</v>
      </c>
      <c r="DJ1701" s="5" t="s">
        <v>240</v>
      </c>
      <c r="DK1701" s="5" t="s">
        <v>240</v>
      </c>
      <c r="DL1701" s="5" t="s">
        <v>240</v>
      </c>
      <c r="DP1701" s="5" t="s">
        <v>240</v>
      </c>
      <c r="DQ1701" s="5" t="s">
        <v>240</v>
      </c>
      <c r="DR1701" s="5" t="s">
        <v>240</v>
      </c>
      <c r="DS1701" s="5" t="s">
        <v>240</v>
      </c>
      <c r="DV1701" s="5" t="s">
        <v>813</v>
      </c>
      <c r="DW1701" s="5" t="s">
        <v>3534</v>
      </c>
      <c r="HO1701" s="5" t="s">
        <v>312</v>
      </c>
    </row>
    <row r="1702" spans="1:223" x14ac:dyDescent="0.4">
      <c r="A1702" s="5">
        <v>3377</v>
      </c>
      <c r="B1702" s="5">
        <v>1</v>
      </c>
      <c r="C1702" s="5">
        <v>1</v>
      </c>
      <c r="D1702" s="5" t="s">
        <v>297</v>
      </c>
      <c r="E1702" s="5" t="s">
        <v>245</v>
      </c>
      <c r="F1702" s="5" t="s">
        <v>254</v>
      </c>
      <c r="G1702" s="5" t="s">
        <v>240</v>
      </c>
      <c r="H1702" s="6" t="s">
        <v>5600</v>
      </c>
      <c r="I1702" s="5" t="s">
        <v>295</v>
      </c>
      <c r="J1702" s="8">
        <f>3958</f>
        <v>3958</v>
      </c>
      <c r="K1702" s="5" t="s">
        <v>308</v>
      </c>
      <c r="L1702" s="7">
        <f>1</f>
        <v>1</v>
      </c>
      <c r="M1702" s="7">
        <f>1</f>
        <v>1</v>
      </c>
      <c r="N1702" s="5" t="s">
        <v>242</v>
      </c>
      <c r="O1702" s="5">
        <v>1</v>
      </c>
      <c r="P1702" s="5" t="s">
        <v>294</v>
      </c>
      <c r="Q1702" s="5" t="s">
        <v>266</v>
      </c>
      <c r="R1702" s="5" t="s">
        <v>240</v>
      </c>
      <c r="S1702" s="5" t="s">
        <v>240</v>
      </c>
      <c r="T1702" s="5" t="s">
        <v>296</v>
      </c>
      <c r="U1702" s="5" t="s">
        <v>244</v>
      </c>
      <c r="V1702" s="5" t="s">
        <v>240</v>
      </c>
      <c r="Y1702" s="5" t="s">
        <v>240</v>
      </c>
      <c r="Z1702" s="6" t="s">
        <v>298</v>
      </c>
      <c r="AB1702" s="6" t="s">
        <v>240</v>
      </c>
      <c r="AE1702" s="6" t="s">
        <v>299</v>
      </c>
      <c r="AF1702" s="5" t="s">
        <v>248</v>
      </c>
      <c r="AG1702" s="5" t="s">
        <v>249</v>
      </c>
      <c r="AW1702" s="5" t="s">
        <v>251</v>
      </c>
      <c r="AX1702" s="5" t="s">
        <v>240</v>
      </c>
      <c r="AY1702" s="5" t="s">
        <v>253</v>
      </c>
      <c r="AZ1702" s="5" t="s">
        <v>240</v>
      </c>
      <c r="BA1702" s="5" t="s">
        <v>255</v>
      </c>
      <c r="BB1702" s="5" t="s">
        <v>240</v>
      </c>
      <c r="BD1702" s="5" t="s">
        <v>240</v>
      </c>
      <c r="BF1702" s="5" t="s">
        <v>301</v>
      </c>
      <c r="BG1702" s="6" t="s">
        <v>299</v>
      </c>
      <c r="BH1702" s="5" t="s">
        <v>302</v>
      </c>
      <c r="BI1702" s="5" t="s">
        <v>303</v>
      </c>
      <c r="BJ1702" s="5" t="s">
        <v>240</v>
      </c>
      <c r="BK1702" s="8">
        <f>0</f>
        <v>0</v>
      </c>
      <c r="BL1702" s="7">
        <f>0</f>
        <v>0</v>
      </c>
      <c r="BM1702" s="5" t="s">
        <v>258</v>
      </c>
      <c r="BN1702" s="5" t="s">
        <v>259</v>
      </c>
      <c r="CB1702" s="5" t="s">
        <v>240</v>
      </c>
      <c r="CC1702" s="5" t="s">
        <v>240</v>
      </c>
      <c r="CG1702" s="5" t="s">
        <v>304</v>
      </c>
      <c r="CH1702" s="5" t="s">
        <v>305</v>
      </c>
      <c r="CI1702" s="5" t="s">
        <v>240</v>
      </c>
      <c r="CL1702" s="6" t="s">
        <v>261</v>
      </c>
      <c r="CM1702" s="5" t="s">
        <v>240</v>
      </c>
      <c r="CN1702" s="5" t="s">
        <v>263</v>
      </c>
      <c r="CO1702" s="5" t="s">
        <v>240</v>
      </c>
      <c r="CP1702" s="5" t="s">
        <v>240</v>
      </c>
      <c r="CQ1702" s="5">
        <v>0</v>
      </c>
      <c r="CR1702" s="5" t="s">
        <v>306</v>
      </c>
      <c r="CS1702" s="5" t="s">
        <v>307</v>
      </c>
      <c r="CT1702" s="5" t="s">
        <v>307</v>
      </c>
      <c r="CU1702" s="5" t="s">
        <v>260</v>
      </c>
      <c r="CX1702" s="7">
        <f>1</f>
        <v>1</v>
      </c>
      <c r="CY1702" s="7">
        <f>0</f>
        <v>0</v>
      </c>
      <c r="DA1702" s="7">
        <f>0</f>
        <v>0</v>
      </c>
      <c r="DC1702" s="5" t="s">
        <v>812</v>
      </c>
      <c r="DD1702" s="5" t="s">
        <v>240</v>
      </c>
      <c r="DF1702" s="5" t="s">
        <v>812</v>
      </c>
      <c r="DG1702" s="7">
        <f>172</f>
        <v>172</v>
      </c>
      <c r="DI1702" s="5" t="s">
        <v>240</v>
      </c>
      <c r="DJ1702" s="5" t="s">
        <v>240</v>
      </c>
      <c r="DK1702" s="5" t="s">
        <v>240</v>
      </c>
      <c r="DL1702" s="5" t="s">
        <v>240</v>
      </c>
      <c r="DP1702" s="5" t="s">
        <v>240</v>
      </c>
      <c r="DQ1702" s="5" t="s">
        <v>240</v>
      </c>
      <c r="DR1702" s="5" t="s">
        <v>240</v>
      </c>
      <c r="DS1702" s="5" t="s">
        <v>240</v>
      </c>
      <c r="DV1702" s="5" t="s">
        <v>813</v>
      </c>
      <c r="DW1702" s="5" t="s">
        <v>3536</v>
      </c>
      <c r="HO1702" s="5" t="s">
        <v>312</v>
      </c>
    </row>
    <row r="1703" spans="1:223" x14ac:dyDescent="0.4">
      <c r="A1703" s="5">
        <v>3378</v>
      </c>
      <c r="B1703" s="5">
        <v>1</v>
      </c>
      <c r="C1703" s="5">
        <v>1</v>
      </c>
      <c r="D1703" s="5" t="s">
        <v>297</v>
      </c>
      <c r="E1703" s="5" t="s">
        <v>245</v>
      </c>
      <c r="F1703" s="5" t="s">
        <v>254</v>
      </c>
      <c r="G1703" s="5" t="s">
        <v>240</v>
      </c>
      <c r="H1703" s="6" t="s">
        <v>4456</v>
      </c>
      <c r="I1703" s="5" t="s">
        <v>295</v>
      </c>
      <c r="J1703" s="8">
        <f>703</f>
        <v>703</v>
      </c>
      <c r="K1703" s="5" t="s">
        <v>308</v>
      </c>
      <c r="L1703" s="7">
        <f>1</f>
        <v>1</v>
      </c>
      <c r="M1703" s="7">
        <f>1</f>
        <v>1</v>
      </c>
      <c r="N1703" s="5" t="s">
        <v>242</v>
      </c>
      <c r="O1703" s="5">
        <v>1</v>
      </c>
      <c r="P1703" s="5" t="s">
        <v>294</v>
      </c>
      <c r="Q1703" s="5" t="s">
        <v>266</v>
      </c>
      <c r="R1703" s="5" t="s">
        <v>240</v>
      </c>
      <c r="S1703" s="5" t="s">
        <v>240</v>
      </c>
      <c r="T1703" s="5" t="s">
        <v>296</v>
      </c>
      <c r="U1703" s="5" t="s">
        <v>244</v>
      </c>
      <c r="V1703" s="5" t="s">
        <v>240</v>
      </c>
      <c r="Y1703" s="5" t="s">
        <v>240</v>
      </c>
      <c r="Z1703" s="6" t="s">
        <v>298</v>
      </c>
      <c r="AB1703" s="6" t="s">
        <v>240</v>
      </c>
      <c r="AE1703" s="6" t="s">
        <v>299</v>
      </c>
      <c r="AF1703" s="5" t="s">
        <v>248</v>
      </c>
      <c r="AG1703" s="5" t="s">
        <v>249</v>
      </c>
      <c r="AW1703" s="5" t="s">
        <v>251</v>
      </c>
      <c r="AX1703" s="5" t="s">
        <v>240</v>
      </c>
      <c r="AY1703" s="5" t="s">
        <v>253</v>
      </c>
      <c r="AZ1703" s="5" t="s">
        <v>240</v>
      </c>
      <c r="BA1703" s="5" t="s">
        <v>255</v>
      </c>
      <c r="BB1703" s="5" t="s">
        <v>240</v>
      </c>
      <c r="BD1703" s="5" t="s">
        <v>240</v>
      </c>
      <c r="BF1703" s="5" t="s">
        <v>301</v>
      </c>
      <c r="BG1703" s="6" t="s">
        <v>299</v>
      </c>
      <c r="BH1703" s="5" t="s">
        <v>302</v>
      </c>
      <c r="BI1703" s="5" t="s">
        <v>303</v>
      </c>
      <c r="BJ1703" s="5" t="s">
        <v>240</v>
      </c>
      <c r="BK1703" s="8">
        <f>0</f>
        <v>0</v>
      </c>
      <c r="BL1703" s="7">
        <f>0</f>
        <v>0</v>
      </c>
      <c r="BM1703" s="5" t="s">
        <v>258</v>
      </c>
      <c r="BN1703" s="5" t="s">
        <v>259</v>
      </c>
      <c r="CB1703" s="5" t="s">
        <v>240</v>
      </c>
      <c r="CC1703" s="5" t="s">
        <v>240</v>
      </c>
      <c r="CG1703" s="5" t="s">
        <v>304</v>
      </c>
      <c r="CH1703" s="5" t="s">
        <v>305</v>
      </c>
      <c r="CI1703" s="5" t="s">
        <v>240</v>
      </c>
      <c r="CL1703" s="6" t="s">
        <v>261</v>
      </c>
      <c r="CM1703" s="5" t="s">
        <v>240</v>
      </c>
      <c r="CN1703" s="5" t="s">
        <v>263</v>
      </c>
      <c r="CO1703" s="5" t="s">
        <v>240</v>
      </c>
      <c r="CP1703" s="5" t="s">
        <v>240</v>
      </c>
      <c r="CQ1703" s="5">
        <v>0</v>
      </c>
      <c r="CR1703" s="5" t="s">
        <v>306</v>
      </c>
      <c r="CS1703" s="5" t="s">
        <v>307</v>
      </c>
      <c r="CT1703" s="5" t="s">
        <v>307</v>
      </c>
      <c r="CU1703" s="5" t="s">
        <v>260</v>
      </c>
      <c r="CX1703" s="7">
        <f>1</f>
        <v>1</v>
      </c>
      <c r="CY1703" s="7">
        <f>0</f>
        <v>0</v>
      </c>
      <c r="DA1703" s="7">
        <f>0</f>
        <v>0</v>
      </c>
      <c r="DC1703" s="5" t="s">
        <v>812</v>
      </c>
      <c r="DD1703" s="5" t="s">
        <v>240</v>
      </c>
      <c r="DF1703" s="5" t="s">
        <v>812</v>
      </c>
      <c r="DG1703" s="7">
        <f>236</f>
        <v>236</v>
      </c>
      <c r="DI1703" s="5" t="s">
        <v>240</v>
      </c>
      <c r="DJ1703" s="5" t="s">
        <v>240</v>
      </c>
      <c r="DK1703" s="5" t="s">
        <v>240</v>
      </c>
      <c r="DL1703" s="5" t="s">
        <v>240</v>
      </c>
      <c r="DP1703" s="5" t="s">
        <v>240</v>
      </c>
      <c r="DQ1703" s="5" t="s">
        <v>240</v>
      </c>
      <c r="DR1703" s="5" t="s">
        <v>240</v>
      </c>
      <c r="DS1703" s="5" t="s">
        <v>240</v>
      </c>
      <c r="DV1703" s="5" t="s">
        <v>813</v>
      </c>
      <c r="DW1703" s="5" t="s">
        <v>3538</v>
      </c>
      <c r="HO1703" s="5" t="s">
        <v>312</v>
      </c>
    </row>
    <row r="1704" spans="1:223" x14ac:dyDescent="0.4">
      <c r="A1704" s="5">
        <v>3379</v>
      </c>
      <c r="B1704" s="5">
        <v>1</v>
      </c>
      <c r="C1704" s="5">
        <v>1</v>
      </c>
      <c r="D1704" s="5" t="s">
        <v>297</v>
      </c>
      <c r="E1704" s="5" t="s">
        <v>245</v>
      </c>
      <c r="F1704" s="5" t="s">
        <v>254</v>
      </c>
      <c r="G1704" s="5" t="s">
        <v>240</v>
      </c>
      <c r="H1704" s="6" t="s">
        <v>4455</v>
      </c>
      <c r="I1704" s="5" t="s">
        <v>295</v>
      </c>
      <c r="J1704" s="8">
        <f>2837</f>
        <v>2837</v>
      </c>
      <c r="K1704" s="5" t="s">
        <v>308</v>
      </c>
      <c r="L1704" s="7">
        <f>1</f>
        <v>1</v>
      </c>
      <c r="M1704" s="7">
        <f>1</f>
        <v>1</v>
      </c>
      <c r="N1704" s="5" t="s">
        <v>242</v>
      </c>
      <c r="O1704" s="5">
        <v>1</v>
      </c>
      <c r="P1704" s="5" t="s">
        <v>294</v>
      </c>
      <c r="Q1704" s="5" t="s">
        <v>266</v>
      </c>
      <c r="R1704" s="5" t="s">
        <v>240</v>
      </c>
      <c r="S1704" s="5" t="s">
        <v>240</v>
      </c>
      <c r="T1704" s="5" t="s">
        <v>296</v>
      </c>
      <c r="U1704" s="5" t="s">
        <v>244</v>
      </c>
      <c r="V1704" s="5" t="s">
        <v>240</v>
      </c>
      <c r="Y1704" s="5" t="s">
        <v>240</v>
      </c>
      <c r="Z1704" s="6" t="s">
        <v>298</v>
      </c>
      <c r="AB1704" s="6" t="s">
        <v>240</v>
      </c>
      <c r="AE1704" s="6" t="s">
        <v>299</v>
      </c>
      <c r="AF1704" s="5" t="s">
        <v>248</v>
      </c>
      <c r="AG1704" s="5" t="s">
        <v>249</v>
      </c>
      <c r="AW1704" s="5" t="s">
        <v>251</v>
      </c>
      <c r="AX1704" s="5" t="s">
        <v>240</v>
      </c>
      <c r="AY1704" s="5" t="s">
        <v>253</v>
      </c>
      <c r="AZ1704" s="5" t="s">
        <v>240</v>
      </c>
      <c r="BA1704" s="5" t="s">
        <v>255</v>
      </c>
      <c r="BB1704" s="5" t="s">
        <v>240</v>
      </c>
      <c r="BD1704" s="5" t="s">
        <v>240</v>
      </c>
      <c r="BF1704" s="5" t="s">
        <v>301</v>
      </c>
      <c r="BG1704" s="6" t="s">
        <v>299</v>
      </c>
      <c r="BH1704" s="5" t="s">
        <v>302</v>
      </c>
      <c r="BI1704" s="5" t="s">
        <v>303</v>
      </c>
      <c r="BJ1704" s="5" t="s">
        <v>240</v>
      </c>
      <c r="BK1704" s="8">
        <f>0</f>
        <v>0</v>
      </c>
      <c r="BL1704" s="7">
        <f>0</f>
        <v>0</v>
      </c>
      <c r="BM1704" s="5" t="s">
        <v>258</v>
      </c>
      <c r="BN1704" s="5" t="s">
        <v>259</v>
      </c>
      <c r="CB1704" s="5" t="s">
        <v>240</v>
      </c>
      <c r="CC1704" s="5" t="s">
        <v>240</v>
      </c>
      <c r="CG1704" s="5" t="s">
        <v>304</v>
      </c>
      <c r="CH1704" s="5" t="s">
        <v>305</v>
      </c>
      <c r="CI1704" s="5" t="s">
        <v>240</v>
      </c>
      <c r="CL1704" s="6" t="s">
        <v>261</v>
      </c>
      <c r="CM1704" s="5" t="s">
        <v>240</v>
      </c>
      <c r="CN1704" s="5" t="s">
        <v>263</v>
      </c>
      <c r="CO1704" s="5" t="s">
        <v>240</v>
      </c>
      <c r="CP1704" s="5" t="s">
        <v>240</v>
      </c>
      <c r="CQ1704" s="5">
        <v>0</v>
      </c>
      <c r="CR1704" s="5" t="s">
        <v>306</v>
      </c>
      <c r="CS1704" s="5" t="s">
        <v>307</v>
      </c>
      <c r="CT1704" s="5" t="s">
        <v>307</v>
      </c>
      <c r="CU1704" s="5" t="s">
        <v>260</v>
      </c>
      <c r="CX1704" s="7">
        <f>1</f>
        <v>1</v>
      </c>
      <c r="CY1704" s="7">
        <f>0</f>
        <v>0</v>
      </c>
      <c r="DA1704" s="7">
        <f>0</f>
        <v>0</v>
      </c>
      <c r="DC1704" s="5" t="s">
        <v>812</v>
      </c>
      <c r="DD1704" s="5" t="s">
        <v>240</v>
      </c>
      <c r="DF1704" s="5" t="s">
        <v>812</v>
      </c>
      <c r="DG1704" s="7">
        <f>288</f>
        <v>288</v>
      </c>
      <c r="DI1704" s="5" t="s">
        <v>240</v>
      </c>
      <c r="DJ1704" s="5" t="s">
        <v>240</v>
      </c>
      <c r="DK1704" s="5" t="s">
        <v>240</v>
      </c>
      <c r="DL1704" s="5" t="s">
        <v>240</v>
      </c>
      <c r="DP1704" s="5" t="s">
        <v>240</v>
      </c>
      <c r="DQ1704" s="5" t="s">
        <v>240</v>
      </c>
      <c r="DR1704" s="5" t="s">
        <v>240</v>
      </c>
      <c r="DS1704" s="5" t="s">
        <v>240</v>
      </c>
      <c r="DV1704" s="5" t="s">
        <v>813</v>
      </c>
      <c r="DW1704" s="5" t="s">
        <v>3540</v>
      </c>
      <c r="HO1704" s="5" t="s">
        <v>312</v>
      </c>
    </row>
    <row r="1705" spans="1:223" x14ac:dyDescent="0.4">
      <c r="A1705" s="5">
        <v>3380</v>
      </c>
      <c r="B1705" s="5">
        <v>1</v>
      </c>
      <c r="C1705" s="5">
        <v>1</v>
      </c>
      <c r="D1705" s="5" t="s">
        <v>297</v>
      </c>
      <c r="E1705" s="5" t="s">
        <v>245</v>
      </c>
      <c r="F1705" s="5" t="s">
        <v>254</v>
      </c>
      <c r="G1705" s="5" t="s">
        <v>240</v>
      </c>
      <c r="H1705" s="6" t="s">
        <v>4454</v>
      </c>
      <c r="I1705" s="5" t="s">
        <v>295</v>
      </c>
      <c r="J1705" s="8">
        <f>1579</f>
        <v>1579</v>
      </c>
      <c r="K1705" s="5" t="s">
        <v>308</v>
      </c>
      <c r="L1705" s="7">
        <f>1</f>
        <v>1</v>
      </c>
      <c r="M1705" s="7">
        <f>1</f>
        <v>1</v>
      </c>
      <c r="N1705" s="5" t="s">
        <v>242</v>
      </c>
      <c r="O1705" s="5">
        <v>1</v>
      </c>
      <c r="P1705" s="5" t="s">
        <v>294</v>
      </c>
      <c r="Q1705" s="5" t="s">
        <v>266</v>
      </c>
      <c r="R1705" s="5" t="s">
        <v>240</v>
      </c>
      <c r="S1705" s="5" t="s">
        <v>240</v>
      </c>
      <c r="T1705" s="5" t="s">
        <v>296</v>
      </c>
      <c r="U1705" s="5" t="s">
        <v>244</v>
      </c>
      <c r="V1705" s="5" t="s">
        <v>240</v>
      </c>
      <c r="Y1705" s="5" t="s">
        <v>240</v>
      </c>
      <c r="Z1705" s="6" t="s">
        <v>298</v>
      </c>
      <c r="AB1705" s="6" t="s">
        <v>240</v>
      </c>
      <c r="AE1705" s="6" t="s">
        <v>299</v>
      </c>
      <c r="AF1705" s="5" t="s">
        <v>248</v>
      </c>
      <c r="AG1705" s="5" t="s">
        <v>249</v>
      </c>
      <c r="AW1705" s="5" t="s">
        <v>251</v>
      </c>
      <c r="AX1705" s="5" t="s">
        <v>240</v>
      </c>
      <c r="AY1705" s="5" t="s">
        <v>253</v>
      </c>
      <c r="AZ1705" s="5" t="s">
        <v>240</v>
      </c>
      <c r="BA1705" s="5" t="s">
        <v>255</v>
      </c>
      <c r="BB1705" s="5" t="s">
        <v>240</v>
      </c>
      <c r="BD1705" s="5" t="s">
        <v>240</v>
      </c>
      <c r="BF1705" s="5" t="s">
        <v>301</v>
      </c>
      <c r="BG1705" s="6" t="s">
        <v>299</v>
      </c>
      <c r="BH1705" s="5" t="s">
        <v>302</v>
      </c>
      <c r="BI1705" s="5" t="s">
        <v>303</v>
      </c>
      <c r="BJ1705" s="5" t="s">
        <v>240</v>
      </c>
      <c r="BK1705" s="8">
        <f>0</f>
        <v>0</v>
      </c>
      <c r="BL1705" s="7">
        <f>0</f>
        <v>0</v>
      </c>
      <c r="BM1705" s="5" t="s">
        <v>258</v>
      </c>
      <c r="BN1705" s="5" t="s">
        <v>259</v>
      </c>
      <c r="CB1705" s="5" t="s">
        <v>240</v>
      </c>
      <c r="CC1705" s="5" t="s">
        <v>240</v>
      </c>
      <c r="CG1705" s="5" t="s">
        <v>304</v>
      </c>
      <c r="CH1705" s="5" t="s">
        <v>305</v>
      </c>
      <c r="CI1705" s="5" t="s">
        <v>240</v>
      </c>
      <c r="CL1705" s="6" t="s">
        <v>261</v>
      </c>
      <c r="CM1705" s="5" t="s">
        <v>240</v>
      </c>
      <c r="CN1705" s="5" t="s">
        <v>263</v>
      </c>
      <c r="CO1705" s="5" t="s">
        <v>240</v>
      </c>
      <c r="CP1705" s="5" t="s">
        <v>240</v>
      </c>
      <c r="CQ1705" s="5">
        <v>0</v>
      </c>
      <c r="CR1705" s="5" t="s">
        <v>306</v>
      </c>
      <c r="CS1705" s="5" t="s">
        <v>307</v>
      </c>
      <c r="CT1705" s="5" t="s">
        <v>307</v>
      </c>
      <c r="CU1705" s="5" t="s">
        <v>260</v>
      </c>
      <c r="CX1705" s="7">
        <f>1</f>
        <v>1</v>
      </c>
      <c r="CY1705" s="7">
        <f>0</f>
        <v>0</v>
      </c>
      <c r="DA1705" s="7">
        <f>0</f>
        <v>0</v>
      </c>
      <c r="DC1705" s="5" t="s">
        <v>812</v>
      </c>
      <c r="DD1705" s="5" t="s">
        <v>240</v>
      </c>
      <c r="DF1705" s="5" t="s">
        <v>812</v>
      </c>
      <c r="DG1705" s="7">
        <f>899</f>
        <v>899</v>
      </c>
      <c r="DI1705" s="5" t="s">
        <v>240</v>
      </c>
      <c r="DJ1705" s="5" t="s">
        <v>240</v>
      </c>
      <c r="DK1705" s="5" t="s">
        <v>240</v>
      </c>
      <c r="DL1705" s="5" t="s">
        <v>240</v>
      </c>
      <c r="DP1705" s="5" t="s">
        <v>240</v>
      </c>
      <c r="DQ1705" s="5" t="s">
        <v>240</v>
      </c>
      <c r="DR1705" s="5" t="s">
        <v>240</v>
      </c>
      <c r="DS1705" s="5" t="s">
        <v>240</v>
      </c>
      <c r="DV1705" s="5" t="s">
        <v>813</v>
      </c>
      <c r="DW1705" s="5" t="s">
        <v>3542</v>
      </c>
      <c r="HO1705" s="5" t="s">
        <v>312</v>
      </c>
    </row>
    <row r="1706" spans="1:223" x14ac:dyDescent="0.4">
      <c r="A1706" s="5">
        <v>3381</v>
      </c>
      <c r="B1706" s="5">
        <v>1</v>
      </c>
      <c r="C1706" s="5">
        <v>1</v>
      </c>
      <c r="D1706" s="5" t="s">
        <v>297</v>
      </c>
      <c r="E1706" s="5" t="s">
        <v>245</v>
      </c>
      <c r="F1706" s="5" t="s">
        <v>254</v>
      </c>
      <c r="G1706" s="5" t="s">
        <v>240</v>
      </c>
      <c r="H1706" s="6" t="s">
        <v>5596</v>
      </c>
      <c r="I1706" s="5" t="s">
        <v>295</v>
      </c>
      <c r="J1706" s="8">
        <f>1816</f>
        <v>1816</v>
      </c>
      <c r="K1706" s="5" t="s">
        <v>308</v>
      </c>
      <c r="L1706" s="7">
        <f>1</f>
        <v>1</v>
      </c>
      <c r="M1706" s="7">
        <f>1</f>
        <v>1</v>
      </c>
      <c r="N1706" s="5" t="s">
        <v>242</v>
      </c>
      <c r="O1706" s="5">
        <v>1</v>
      </c>
      <c r="P1706" s="5" t="s">
        <v>294</v>
      </c>
      <c r="Q1706" s="5" t="s">
        <v>266</v>
      </c>
      <c r="R1706" s="5" t="s">
        <v>240</v>
      </c>
      <c r="S1706" s="5" t="s">
        <v>240</v>
      </c>
      <c r="T1706" s="5" t="s">
        <v>296</v>
      </c>
      <c r="U1706" s="5" t="s">
        <v>244</v>
      </c>
      <c r="V1706" s="5" t="s">
        <v>240</v>
      </c>
      <c r="Y1706" s="5" t="s">
        <v>240</v>
      </c>
      <c r="Z1706" s="6" t="s">
        <v>298</v>
      </c>
      <c r="AB1706" s="6" t="s">
        <v>240</v>
      </c>
      <c r="AE1706" s="6" t="s">
        <v>299</v>
      </c>
      <c r="AF1706" s="5" t="s">
        <v>248</v>
      </c>
      <c r="AG1706" s="5" t="s">
        <v>249</v>
      </c>
      <c r="AW1706" s="5" t="s">
        <v>251</v>
      </c>
      <c r="AX1706" s="5" t="s">
        <v>240</v>
      </c>
      <c r="AY1706" s="5" t="s">
        <v>253</v>
      </c>
      <c r="AZ1706" s="5" t="s">
        <v>240</v>
      </c>
      <c r="BA1706" s="5" t="s">
        <v>255</v>
      </c>
      <c r="BB1706" s="5" t="s">
        <v>240</v>
      </c>
      <c r="BD1706" s="5" t="s">
        <v>240</v>
      </c>
      <c r="BF1706" s="5" t="s">
        <v>301</v>
      </c>
      <c r="BG1706" s="6" t="s">
        <v>299</v>
      </c>
      <c r="BH1706" s="5" t="s">
        <v>302</v>
      </c>
      <c r="BI1706" s="5" t="s">
        <v>303</v>
      </c>
      <c r="BJ1706" s="5" t="s">
        <v>240</v>
      </c>
      <c r="BK1706" s="8">
        <f>0</f>
        <v>0</v>
      </c>
      <c r="BL1706" s="7">
        <f>0</f>
        <v>0</v>
      </c>
      <c r="BM1706" s="5" t="s">
        <v>258</v>
      </c>
      <c r="BN1706" s="5" t="s">
        <v>259</v>
      </c>
      <c r="CB1706" s="5" t="s">
        <v>240</v>
      </c>
      <c r="CC1706" s="5" t="s">
        <v>240</v>
      </c>
      <c r="CG1706" s="5" t="s">
        <v>304</v>
      </c>
      <c r="CH1706" s="5" t="s">
        <v>305</v>
      </c>
      <c r="CI1706" s="5" t="s">
        <v>240</v>
      </c>
      <c r="CL1706" s="6" t="s">
        <v>261</v>
      </c>
      <c r="CM1706" s="5" t="s">
        <v>240</v>
      </c>
      <c r="CN1706" s="5" t="s">
        <v>263</v>
      </c>
      <c r="CO1706" s="5" t="s">
        <v>240</v>
      </c>
      <c r="CP1706" s="5" t="s">
        <v>240</v>
      </c>
      <c r="CQ1706" s="5">
        <v>0</v>
      </c>
      <c r="CR1706" s="5" t="s">
        <v>306</v>
      </c>
      <c r="CS1706" s="5" t="s">
        <v>307</v>
      </c>
      <c r="CT1706" s="5" t="s">
        <v>307</v>
      </c>
      <c r="CU1706" s="5" t="s">
        <v>260</v>
      </c>
      <c r="CX1706" s="7">
        <f>1</f>
        <v>1</v>
      </c>
      <c r="CY1706" s="7">
        <f>0</f>
        <v>0</v>
      </c>
      <c r="DA1706" s="7">
        <f>0</f>
        <v>0</v>
      </c>
      <c r="DC1706" s="5" t="s">
        <v>812</v>
      </c>
      <c r="DD1706" s="5" t="s">
        <v>240</v>
      </c>
      <c r="DF1706" s="5" t="s">
        <v>812</v>
      </c>
      <c r="DG1706" s="7">
        <f>940</f>
        <v>940</v>
      </c>
      <c r="DI1706" s="5" t="s">
        <v>240</v>
      </c>
      <c r="DJ1706" s="5" t="s">
        <v>240</v>
      </c>
      <c r="DK1706" s="5" t="s">
        <v>240</v>
      </c>
      <c r="DL1706" s="5" t="s">
        <v>240</v>
      </c>
      <c r="DP1706" s="5" t="s">
        <v>240</v>
      </c>
      <c r="DQ1706" s="5" t="s">
        <v>240</v>
      </c>
      <c r="DR1706" s="5" t="s">
        <v>240</v>
      </c>
      <c r="DS1706" s="5" t="s">
        <v>240</v>
      </c>
      <c r="DV1706" s="5" t="s">
        <v>813</v>
      </c>
      <c r="DW1706" s="5" t="s">
        <v>3544</v>
      </c>
      <c r="HO1706" s="5" t="s">
        <v>312</v>
      </c>
    </row>
    <row r="1707" spans="1:223" x14ac:dyDescent="0.4">
      <c r="A1707" s="5">
        <v>3382</v>
      </c>
      <c r="B1707" s="5">
        <v>1</v>
      </c>
      <c r="C1707" s="5">
        <v>1</v>
      </c>
      <c r="D1707" s="5" t="s">
        <v>297</v>
      </c>
      <c r="E1707" s="5" t="s">
        <v>245</v>
      </c>
      <c r="F1707" s="5" t="s">
        <v>254</v>
      </c>
      <c r="G1707" s="5" t="s">
        <v>240</v>
      </c>
      <c r="H1707" s="6" t="s">
        <v>4452</v>
      </c>
      <c r="I1707" s="5" t="s">
        <v>295</v>
      </c>
      <c r="J1707" s="8">
        <f>839</f>
        <v>839</v>
      </c>
      <c r="K1707" s="5" t="s">
        <v>308</v>
      </c>
      <c r="L1707" s="7">
        <f>1</f>
        <v>1</v>
      </c>
      <c r="M1707" s="7">
        <f>1</f>
        <v>1</v>
      </c>
      <c r="N1707" s="5" t="s">
        <v>242</v>
      </c>
      <c r="O1707" s="5">
        <v>1</v>
      </c>
      <c r="P1707" s="5" t="s">
        <v>294</v>
      </c>
      <c r="Q1707" s="5" t="s">
        <v>266</v>
      </c>
      <c r="R1707" s="5" t="s">
        <v>240</v>
      </c>
      <c r="S1707" s="5" t="s">
        <v>240</v>
      </c>
      <c r="T1707" s="5" t="s">
        <v>296</v>
      </c>
      <c r="U1707" s="5" t="s">
        <v>244</v>
      </c>
      <c r="V1707" s="5" t="s">
        <v>240</v>
      </c>
      <c r="Y1707" s="5" t="s">
        <v>240</v>
      </c>
      <c r="Z1707" s="6" t="s">
        <v>298</v>
      </c>
      <c r="AB1707" s="6" t="s">
        <v>240</v>
      </c>
      <c r="AE1707" s="6" t="s">
        <v>299</v>
      </c>
      <c r="AF1707" s="5" t="s">
        <v>248</v>
      </c>
      <c r="AG1707" s="5" t="s">
        <v>249</v>
      </c>
      <c r="AW1707" s="5" t="s">
        <v>251</v>
      </c>
      <c r="AX1707" s="5" t="s">
        <v>240</v>
      </c>
      <c r="AY1707" s="5" t="s">
        <v>253</v>
      </c>
      <c r="AZ1707" s="5" t="s">
        <v>240</v>
      </c>
      <c r="BA1707" s="5" t="s">
        <v>255</v>
      </c>
      <c r="BB1707" s="5" t="s">
        <v>240</v>
      </c>
      <c r="BD1707" s="5" t="s">
        <v>240</v>
      </c>
      <c r="BF1707" s="5" t="s">
        <v>301</v>
      </c>
      <c r="BG1707" s="6" t="s">
        <v>299</v>
      </c>
      <c r="BH1707" s="5" t="s">
        <v>302</v>
      </c>
      <c r="BI1707" s="5" t="s">
        <v>303</v>
      </c>
      <c r="BJ1707" s="5" t="s">
        <v>240</v>
      </c>
      <c r="BK1707" s="8">
        <f>0</f>
        <v>0</v>
      </c>
      <c r="BL1707" s="7">
        <f>0</f>
        <v>0</v>
      </c>
      <c r="BM1707" s="5" t="s">
        <v>258</v>
      </c>
      <c r="BN1707" s="5" t="s">
        <v>259</v>
      </c>
      <c r="CB1707" s="5" t="s">
        <v>240</v>
      </c>
      <c r="CC1707" s="5" t="s">
        <v>240</v>
      </c>
      <c r="CG1707" s="5" t="s">
        <v>304</v>
      </c>
      <c r="CH1707" s="5" t="s">
        <v>305</v>
      </c>
      <c r="CI1707" s="5" t="s">
        <v>240</v>
      </c>
      <c r="CL1707" s="6" t="s">
        <v>261</v>
      </c>
      <c r="CM1707" s="5" t="s">
        <v>240</v>
      </c>
      <c r="CN1707" s="5" t="s">
        <v>263</v>
      </c>
      <c r="CO1707" s="5" t="s">
        <v>240</v>
      </c>
      <c r="CP1707" s="5" t="s">
        <v>240</v>
      </c>
      <c r="CQ1707" s="5">
        <v>0</v>
      </c>
      <c r="CR1707" s="5" t="s">
        <v>306</v>
      </c>
      <c r="CS1707" s="5" t="s">
        <v>307</v>
      </c>
      <c r="CT1707" s="5" t="s">
        <v>307</v>
      </c>
      <c r="CU1707" s="5" t="s">
        <v>260</v>
      </c>
      <c r="CX1707" s="7">
        <f>1</f>
        <v>1</v>
      </c>
      <c r="CY1707" s="7">
        <f>0</f>
        <v>0</v>
      </c>
      <c r="DA1707" s="7">
        <f>0</f>
        <v>0</v>
      </c>
      <c r="DC1707" s="5" t="s">
        <v>812</v>
      </c>
      <c r="DD1707" s="5" t="s">
        <v>240</v>
      </c>
      <c r="DF1707" s="5" t="s">
        <v>812</v>
      </c>
      <c r="DG1707" s="7">
        <f>390</f>
        <v>390</v>
      </c>
      <c r="DI1707" s="5" t="s">
        <v>240</v>
      </c>
      <c r="DJ1707" s="5" t="s">
        <v>240</v>
      </c>
      <c r="DK1707" s="5" t="s">
        <v>240</v>
      </c>
      <c r="DL1707" s="5" t="s">
        <v>240</v>
      </c>
      <c r="DP1707" s="5" t="s">
        <v>240</v>
      </c>
      <c r="DQ1707" s="5" t="s">
        <v>240</v>
      </c>
      <c r="DR1707" s="5" t="s">
        <v>240</v>
      </c>
      <c r="DS1707" s="5" t="s">
        <v>240</v>
      </c>
      <c r="DV1707" s="5" t="s">
        <v>813</v>
      </c>
      <c r="DW1707" s="5" t="s">
        <v>3546</v>
      </c>
      <c r="HO1707" s="5" t="s">
        <v>312</v>
      </c>
    </row>
    <row r="1708" spans="1:223" x14ac:dyDescent="0.4">
      <c r="A1708" s="5">
        <v>3383</v>
      </c>
      <c r="B1708" s="5">
        <v>1</v>
      </c>
      <c r="C1708" s="5">
        <v>1</v>
      </c>
      <c r="D1708" s="5" t="s">
        <v>297</v>
      </c>
      <c r="E1708" s="5" t="s">
        <v>245</v>
      </c>
      <c r="F1708" s="5" t="s">
        <v>254</v>
      </c>
      <c r="G1708" s="5" t="s">
        <v>240</v>
      </c>
      <c r="H1708" s="6" t="s">
        <v>4451</v>
      </c>
      <c r="I1708" s="5" t="s">
        <v>295</v>
      </c>
      <c r="J1708" s="8">
        <f>2239</f>
        <v>2239</v>
      </c>
      <c r="K1708" s="5" t="s">
        <v>308</v>
      </c>
      <c r="L1708" s="7">
        <f>1</f>
        <v>1</v>
      </c>
      <c r="M1708" s="7">
        <f>1</f>
        <v>1</v>
      </c>
      <c r="N1708" s="5" t="s">
        <v>242</v>
      </c>
      <c r="O1708" s="5">
        <v>1</v>
      </c>
      <c r="P1708" s="5" t="s">
        <v>294</v>
      </c>
      <c r="Q1708" s="5" t="s">
        <v>266</v>
      </c>
      <c r="R1708" s="5" t="s">
        <v>240</v>
      </c>
      <c r="S1708" s="5" t="s">
        <v>240</v>
      </c>
      <c r="T1708" s="5" t="s">
        <v>296</v>
      </c>
      <c r="U1708" s="5" t="s">
        <v>244</v>
      </c>
      <c r="V1708" s="5" t="s">
        <v>240</v>
      </c>
      <c r="Y1708" s="5" t="s">
        <v>240</v>
      </c>
      <c r="Z1708" s="6" t="s">
        <v>298</v>
      </c>
      <c r="AB1708" s="6" t="s">
        <v>240</v>
      </c>
      <c r="AE1708" s="6" t="s">
        <v>299</v>
      </c>
      <c r="AF1708" s="5" t="s">
        <v>248</v>
      </c>
      <c r="AG1708" s="5" t="s">
        <v>249</v>
      </c>
      <c r="AW1708" s="5" t="s">
        <v>251</v>
      </c>
      <c r="AX1708" s="5" t="s">
        <v>240</v>
      </c>
      <c r="AY1708" s="5" t="s">
        <v>253</v>
      </c>
      <c r="AZ1708" s="5" t="s">
        <v>240</v>
      </c>
      <c r="BA1708" s="5" t="s">
        <v>255</v>
      </c>
      <c r="BB1708" s="5" t="s">
        <v>240</v>
      </c>
      <c r="BD1708" s="5" t="s">
        <v>240</v>
      </c>
      <c r="BF1708" s="5" t="s">
        <v>301</v>
      </c>
      <c r="BG1708" s="6" t="s">
        <v>299</v>
      </c>
      <c r="BH1708" s="5" t="s">
        <v>302</v>
      </c>
      <c r="BI1708" s="5" t="s">
        <v>303</v>
      </c>
      <c r="BJ1708" s="5" t="s">
        <v>240</v>
      </c>
      <c r="BK1708" s="8">
        <f>0</f>
        <v>0</v>
      </c>
      <c r="BL1708" s="7">
        <f>0</f>
        <v>0</v>
      </c>
      <c r="BM1708" s="5" t="s">
        <v>258</v>
      </c>
      <c r="BN1708" s="5" t="s">
        <v>259</v>
      </c>
      <c r="CB1708" s="5" t="s">
        <v>240</v>
      </c>
      <c r="CC1708" s="5" t="s">
        <v>240</v>
      </c>
      <c r="CG1708" s="5" t="s">
        <v>304</v>
      </c>
      <c r="CH1708" s="5" t="s">
        <v>305</v>
      </c>
      <c r="CI1708" s="5" t="s">
        <v>240</v>
      </c>
      <c r="CL1708" s="6" t="s">
        <v>261</v>
      </c>
      <c r="CM1708" s="5" t="s">
        <v>240</v>
      </c>
      <c r="CN1708" s="5" t="s">
        <v>263</v>
      </c>
      <c r="CO1708" s="5" t="s">
        <v>240</v>
      </c>
      <c r="CP1708" s="5" t="s">
        <v>240</v>
      </c>
      <c r="CQ1708" s="5">
        <v>0</v>
      </c>
      <c r="CR1708" s="5" t="s">
        <v>306</v>
      </c>
      <c r="CS1708" s="5" t="s">
        <v>307</v>
      </c>
      <c r="CT1708" s="5" t="s">
        <v>307</v>
      </c>
      <c r="CU1708" s="5" t="s">
        <v>260</v>
      </c>
      <c r="CX1708" s="7">
        <f>1</f>
        <v>1</v>
      </c>
      <c r="CY1708" s="7">
        <f>0</f>
        <v>0</v>
      </c>
      <c r="DA1708" s="7">
        <f>0</f>
        <v>0</v>
      </c>
      <c r="DC1708" s="5" t="s">
        <v>812</v>
      </c>
      <c r="DD1708" s="5" t="s">
        <v>240</v>
      </c>
      <c r="DF1708" s="5" t="s">
        <v>812</v>
      </c>
      <c r="DG1708" s="7">
        <f>1068</f>
        <v>1068</v>
      </c>
      <c r="DI1708" s="5" t="s">
        <v>240</v>
      </c>
      <c r="DJ1708" s="5" t="s">
        <v>240</v>
      </c>
      <c r="DK1708" s="5" t="s">
        <v>240</v>
      </c>
      <c r="DL1708" s="5" t="s">
        <v>240</v>
      </c>
      <c r="DP1708" s="5" t="s">
        <v>240</v>
      </c>
      <c r="DQ1708" s="5" t="s">
        <v>240</v>
      </c>
      <c r="DR1708" s="5" t="s">
        <v>240</v>
      </c>
      <c r="DS1708" s="5" t="s">
        <v>240</v>
      </c>
      <c r="DV1708" s="5" t="s">
        <v>813</v>
      </c>
      <c r="DW1708" s="5" t="s">
        <v>3548</v>
      </c>
      <c r="HO1708" s="5" t="s">
        <v>312</v>
      </c>
    </row>
    <row r="1709" spans="1:223" x14ac:dyDescent="0.4">
      <c r="A1709" s="5">
        <v>3384</v>
      </c>
      <c r="B1709" s="5">
        <v>1</v>
      </c>
      <c r="C1709" s="5">
        <v>1</v>
      </c>
      <c r="D1709" s="5" t="s">
        <v>297</v>
      </c>
      <c r="E1709" s="5" t="s">
        <v>245</v>
      </c>
      <c r="F1709" s="5" t="s">
        <v>254</v>
      </c>
      <c r="G1709" s="5" t="s">
        <v>240</v>
      </c>
      <c r="H1709" s="6" t="s">
        <v>4450</v>
      </c>
      <c r="I1709" s="5" t="s">
        <v>295</v>
      </c>
      <c r="J1709" s="8">
        <f>4921</f>
        <v>4921</v>
      </c>
      <c r="K1709" s="5" t="s">
        <v>308</v>
      </c>
      <c r="L1709" s="7">
        <f>1</f>
        <v>1</v>
      </c>
      <c r="M1709" s="7">
        <f>1</f>
        <v>1</v>
      </c>
      <c r="N1709" s="5" t="s">
        <v>242</v>
      </c>
      <c r="O1709" s="5">
        <v>1</v>
      </c>
      <c r="P1709" s="5" t="s">
        <v>294</v>
      </c>
      <c r="Q1709" s="5" t="s">
        <v>266</v>
      </c>
      <c r="R1709" s="5" t="s">
        <v>240</v>
      </c>
      <c r="S1709" s="5" t="s">
        <v>240</v>
      </c>
      <c r="T1709" s="5" t="s">
        <v>296</v>
      </c>
      <c r="U1709" s="5" t="s">
        <v>244</v>
      </c>
      <c r="V1709" s="5" t="s">
        <v>240</v>
      </c>
      <c r="Y1709" s="5" t="s">
        <v>240</v>
      </c>
      <c r="Z1709" s="6" t="s">
        <v>298</v>
      </c>
      <c r="AB1709" s="6" t="s">
        <v>240</v>
      </c>
      <c r="AE1709" s="6" t="s">
        <v>299</v>
      </c>
      <c r="AF1709" s="5" t="s">
        <v>248</v>
      </c>
      <c r="AG1709" s="5" t="s">
        <v>249</v>
      </c>
      <c r="AW1709" s="5" t="s">
        <v>251</v>
      </c>
      <c r="AX1709" s="5" t="s">
        <v>240</v>
      </c>
      <c r="AY1709" s="5" t="s">
        <v>253</v>
      </c>
      <c r="AZ1709" s="5" t="s">
        <v>240</v>
      </c>
      <c r="BA1709" s="5" t="s">
        <v>255</v>
      </c>
      <c r="BB1709" s="5" t="s">
        <v>240</v>
      </c>
      <c r="BD1709" s="5" t="s">
        <v>240</v>
      </c>
      <c r="BF1709" s="5" t="s">
        <v>301</v>
      </c>
      <c r="BG1709" s="6" t="s">
        <v>299</v>
      </c>
      <c r="BH1709" s="5" t="s">
        <v>302</v>
      </c>
      <c r="BI1709" s="5" t="s">
        <v>303</v>
      </c>
      <c r="BJ1709" s="5" t="s">
        <v>240</v>
      </c>
      <c r="BK1709" s="8">
        <f>0</f>
        <v>0</v>
      </c>
      <c r="BL1709" s="7">
        <f>0</f>
        <v>0</v>
      </c>
      <c r="BM1709" s="5" t="s">
        <v>258</v>
      </c>
      <c r="BN1709" s="5" t="s">
        <v>259</v>
      </c>
      <c r="CB1709" s="5" t="s">
        <v>240</v>
      </c>
      <c r="CC1709" s="5" t="s">
        <v>240</v>
      </c>
      <c r="CG1709" s="5" t="s">
        <v>304</v>
      </c>
      <c r="CH1709" s="5" t="s">
        <v>305</v>
      </c>
      <c r="CI1709" s="5" t="s">
        <v>240</v>
      </c>
      <c r="CL1709" s="6" t="s">
        <v>261</v>
      </c>
      <c r="CM1709" s="5" t="s">
        <v>240</v>
      </c>
      <c r="CN1709" s="5" t="s">
        <v>263</v>
      </c>
      <c r="CO1709" s="5" t="s">
        <v>240</v>
      </c>
      <c r="CP1709" s="5" t="s">
        <v>240</v>
      </c>
      <c r="CQ1709" s="5">
        <v>0</v>
      </c>
      <c r="CR1709" s="5" t="s">
        <v>306</v>
      </c>
      <c r="CS1709" s="5" t="s">
        <v>307</v>
      </c>
      <c r="CT1709" s="5" t="s">
        <v>307</v>
      </c>
      <c r="CU1709" s="5" t="s">
        <v>260</v>
      </c>
      <c r="CX1709" s="7">
        <f>1</f>
        <v>1</v>
      </c>
      <c r="CY1709" s="7">
        <f>0</f>
        <v>0</v>
      </c>
      <c r="DA1709" s="7">
        <f>0</f>
        <v>0</v>
      </c>
      <c r="DC1709" s="5" t="s">
        <v>812</v>
      </c>
      <c r="DD1709" s="5" t="s">
        <v>240</v>
      </c>
      <c r="DF1709" s="5" t="s">
        <v>812</v>
      </c>
      <c r="DG1709" s="7">
        <f>756</f>
        <v>756</v>
      </c>
      <c r="DI1709" s="5" t="s">
        <v>240</v>
      </c>
      <c r="DJ1709" s="5" t="s">
        <v>240</v>
      </c>
      <c r="DK1709" s="5" t="s">
        <v>240</v>
      </c>
      <c r="DL1709" s="5" t="s">
        <v>240</v>
      </c>
      <c r="DP1709" s="5" t="s">
        <v>240</v>
      </c>
      <c r="DQ1709" s="5" t="s">
        <v>240</v>
      </c>
      <c r="DR1709" s="5" t="s">
        <v>240</v>
      </c>
      <c r="DS1709" s="5" t="s">
        <v>240</v>
      </c>
      <c r="DV1709" s="5" t="s">
        <v>813</v>
      </c>
      <c r="DW1709" s="5" t="s">
        <v>3550</v>
      </c>
      <c r="HO1709" s="5" t="s">
        <v>312</v>
      </c>
    </row>
    <row r="1710" spans="1:223" x14ac:dyDescent="0.4">
      <c r="A1710" s="5">
        <v>3385</v>
      </c>
      <c r="B1710" s="5">
        <v>1</v>
      </c>
      <c r="C1710" s="5">
        <v>1</v>
      </c>
      <c r="D1710" s="5" t="s">
        <v>297</v>
      </c>
      <c r="E1710" s="5" t="s">
        <v>245</v>
      </c>
      <c r="F1710" s="5" t="s">
        <v>254</v>
      </c>
      <c r="G1710" s="5" t="s">
        <v>240</v>
      </c>
      <c r="H1710" s="6" t="s">
        <v>4449</v>
      </c>
      <c r="I1710" s="5" t="s">
        <v>295</v>
      </c>
      <c r="J1710" s="8">
        <f>144</f>
        <v>144</v>
      </c>
      <c r="K1710" s="5" t="s">
        <v>308</v>
      </c>
      <c r="L1710" s="7">
        <f>1</f>
        <v>1</v>
      </c>
      <c r="M1710" s="7">
        <f>1</f>
        <v>1</v>
      </c>
      <c r="N1710" s="5" t="s">
        <v>242</v>
      </c>
      <c r="O1710" s="5">
        <v>1</v>
      </c>
      <c r="P1710" s="5" t="s">
        <v>294</v>
      </c>
      <c r="Q1710" s="5" t="s">
        <v>266</v>
      </c>
      <c r="R1710" s="5" t="s">
        <v>240</v>
      </c>
      <c r="S1710" s="5" t="s">
        <v>240</v>
      </c>
      <c r="T1710" s="5" t="s">
        <v>296</v>
      </c>
      <c r="U1710" s="5" t="s">
        <v>244</v>
      </c>
      <c r="V1710" s="5" t="s">
        <v>240</v>
      </c>
      <c r="Y1710" s="5" t="s">
        <v>240</v>
      </c>
      <c r="Z1710" s="6" t="s">
        <v>298</v>
      </c>
      <c r="AB1710" s="6" t="s">
        <v>240</v>
      </c>
      <c r="AE1710" s="6" t="s">
        <v>299</v>
      </c>
      <c r="AF1710" s="5" t="s">
        <v>248</v>
      </c>
      <c r="AG1710" s="5" t="s">
        <v>249</v>
      </c>
      <c r="AW1710" s="5" t="s">
        <v>251</v>
      </c>
      <c r="AX1710" s="5" t="s">
        <v>240</v>
      </c>
      <c r="AY1710" s="5" t="s">
        <v>253</v>
      </c>
      <c r="AZ1710" s="5" t="s">
        <v>240</v>
      </c>
      <c r="BA1710" s="5" t="s">
        <v>255</v>
      </c>
      <c r="BB1710" s="5" t="s">
        <v>240</v>
      </c>
      <c r="BD1710" s="5" t="s">
        <v>240</v>
      </c>
      <c r="BF1710" s="5" t="s">
        <v>301</v>
      </c>
      <c r="BG1710" s="6" t="s">
        <v>299</v>
      </c>
      <c r="BH1710" s="5" t="s">
        <v>302</v>
      </c>
      <c r="BI1710" s="5" t="s">
        <v>303</v>
      </c>
      <c r="BJ1710" s="5" t="s">
        <v>240</v>
      </c>
      <c r="BK1710" s="8">
        <f>0</f>
        <v>0</v>
      </c>
      <c r="BL1710" s="7">
        <f>0</f>
        <v>0</v>
      </c>
      <c r="BM1710" s="5" t="s">
        <v>258</v>
      </c>
      <c r="BN1710" s="5" t="s">
        <v>259</v>
      </c>
      <c r="CB1710" s="5" t="s">
        <v>240</v>
      </c>
      <c r="CC1710" s="5" t="s">
        <v>240</v>
      </c>
      <c r="CG1710" s="5" t="s">
        <v>304</v>
      </c>
      <c r="CH1710" s="5" t="s">
        <v>305</v>
      </c>
      <c r="CI1710" s="5" t="s">
        <v>240</v>
      </c>
      <c r="CL1710" s="6" t="s">
        <v>261</v>
      </c>
      <c r="CM1710" s="5" t="s">
        <v>240</v>
      </c>
      <c r="CN1710" s="5" t="s">
        <v>263</v>
      </c>
      <c r="CO1710" s="5" t="s">
        <v>240</v>
      </c>
      <c r="CP1710" s="5" t="s">
        <v>240</v>
      </c>
      <c r="CQ1710" s="5">
        <v>0</v>
      </c>
      <c r="CR1710" s="5" t="s">
        <v>306</v>
      </c>
      <c r="CS1710" s="5" t="s">
        <v>307</v>
      </c>
      <c r="CT1710" s="5" t="s">
        <v>307</v>
      </c>
      <c r="CU1710" s="5" t="s">
        <v>260</v>
      </c>
      <c r="CX1710" s="7">
        <f>1</f>
        <v>1</v>
      </c>
      <c r="CY1710" s="7">
        <f>0</f>
        <v>0</v>
      </c>
      <c r="DA1710" s="7">
        <f>0</f>
        <v>0</v>
      </c>
      <c r="DC1710" s="5" t="s">
        <v>812</v>
      </c>
      <c r="DD1710" s="5" t="s">
        <v>240</v>
      </c>
      <c r="DF1710" s="5" t="s">
        <v>812</v>
      </c>
      <c r="DG1710" s="7">
        <f>320</f>
        <v>320</v>
      </c>
      <c r="DI1710" s="5" t="s">
        <v>240</v>
      </c>
      <c r="DJ1710" s="5" t="s">
        <v>240</v>
      </c>
      <c r="DK1710" s="5" t="s">
        <v>240</v>
      </c>
      <c r="DL1710" s="5" t="s">
        <v>240</v>
      </c>
      <c r="DP1710" s="5" t="s">
        <v>240</v>
      </c>
      <c r="DQ1710" s="5" t="s">
        <v>240</v>
      </c>
      <c r="DR1710" s="5" t="s">
        <v>240</v>
      </c>
      <c r="DS1710" s="5" t="s">
        <v>240</v>
      </c>
      <c r="DV1710" s="5" t="s">
        <v>813</v>
      </c>
      <c r="DW1710" s="5" t="s">
        <v>3552</v>
      </c>
      <c r="HO1710" s="5" t="s">
        <v>312</v>
      </c>
    </row>
    <row r="1711" spans="1:223" x14ac:dyDescent="0.4">
      <c r="A1711" s="5">
        <v>3386</v>
      </c>
      <c r="B1711" s="5">
        <v>1</v>
      </c>
      <c r="C1711" s="5">
        <v>1</v>
      </c>
      <c r="D1711" s="5" t="s">
        <v>297</v>
      </c>
      <c r="E1711" s="5" t="s">
        <v>245</v>
      </c>
      <c r="F1711" s="5" t="s">
        <v>254</v>
      </c>
      <c r="G1711" s="5" t="s">
        <v>240</v>
      </c>
      <c r="H1711" s="6" t="s">
        <v>4448</v>
      </c>
      <c r="I1711" s="5" t="s">
        <v>295</v>
      </c>
      <c r="J1711" s="8">
        <f>384</f>
        <v>384</v>
      </c>
      <c r="K1711" s="5" t="s">
        <v>308</v>
      </c>
      <c r="L1711" s="7">
        <f>1</f>
        <v>1</v>
      </c>
      <c r="M1711" s="7">
        <f>1</f>
        <v>1</v>
      </c>
      <c r="N1711" s="5" t="s">
        <v>242</v>
      </c>
      <c r="O1711" s="5">
        <v>1</v>
      </c>
      <c r="P1711" s="5" t="s">
        <v>294</v>
      </c>
      <c r="Q1711" s="5" t="s">
        <v>266</v>
      </c>
      <c r="R1711" s="5" t="s">
        <v>240</v>
      </c>
      <c r="S1711" s="5" t="s">
        <v>240</v>
      </c>
      <c r="T1711" s="5" t="s">
        <v>296</v>
      </c>
      <c r="U1711" s="5" t="s">
        <v>244</v>
      </c>
      <c r="V1711" s="5" t="s">
        <v>240</v>
      </c>
      <c r="Y1711" s="5" t="s">
        <v>240</v>
      </c>
      <c r="Z1711" s="6" t="s">
        <v>298</v>
      </c>
      <c r="AB1711" s="6" t="s">
        <v>240</v>
      </c>
      <c r="AE1711" s="6" t="s">
        <v>299</v>
      </c>
      <c r="AF1711" s="5" t="s">
        <v>248</v>
      </c>
      <c r="AG1711" s="5" t="s">
        <v>249</v>
      </c>
      <c r="AW1711" s="5" t="s">
        <v>251</v>
      </c>
      <c r="AX1711" s="5" t="s">
        <v>240</v>
      </c>
      <c r="AY1711" s="5" t="s">
        <v>253</v>
      </c>
      <c r="AZ1711" s="5" t="s">
        <v>240</v>
      </c>
      <c r="BA1711" s="5" t="s">
        <v>255</v>
      </c>
      <c r="BB1711" s="5" t="s">
        <v>240</v>
      </c>
      <c r="BD1711" s="5" t="s">
        <v>240</v>
      </c>
      <c r="BF1711" s="5" t="s">
        <v>301</v>
      </c>
      <c r="BG1711" s="6" t="s">
        <v>299</v>
      </c>
      <c r="BH1711" s="5" t="s">
        <v>302</v>
      </c>
      <c r="BI1711" s="5" t="s">
        <v>303</v>
      </c>
      <c r="BJ1711" s="5" t="s">
        <v>240</v>
      </c>
      <c r="BK1711" s="8">
        <f>0</f>
        <v>0</v>
      </c>
      <c r="BL1711" s="7">
        <f>0</f>
        <v>0</v>
      </c>
      <c r="BM1711" s="5" t="s">
        <v>258</v>
      </c>
      <c r="BN1711" s="5" t="s">
        <v>259</v>
      </c>
      <c r="CB1711" s="5" t="s">
        <v>240</v>
      </c>
      <c r="CC1711" s="5" t="s">
        <v>240</v>
      </c>
      <c r="CG1711" s="5" t="s">
        <v>304</v>
      </c>
      <c r="CH1711" s="5" t="s">
        <v>305</v>
      </c>
      <c r="CI1711" s="5" t="s">
        <v>240</v>
      </c>
      <c r="CL1711" s="6" t="s">
        <v>261</v>
      </c>
      <c r="CM1711" s="5" t="s">
        <v>240</v>
      </c>
      <c r="CN1711" s="5" t="s">
        <v>263</v>
      </c>
      <c r="CO1711" s="5" t="s">
        <v>240</v>
      </c>
      <c r="CP1711" s="5" t="s">
        <v>240</v>
      </c>
      <c r="CQ1711" s="5">
        <v>0</v>
      </c>
      <c r="CR1711" s="5" t="s">
        <v>306</v>
      </c>
      <c r="CS1711" s="5" t="s">
        <v>307</v>
      </c>
      <c r="CT1711" s="5" t="s">
        <v>307</v>
      </c>
      <c r="CU1711" s="5" t="s">
        <v>260</v>
      </c>
      <c r="CX1711" s="7">
        <f>1</f>
        <v>1</v>
      </c>
      <c r="CY1711" s="7">
        <f>0</f>
        <v>0</v>
      </c>
      <c r="DA1711" s="7">
        <f>0</f>
        <v>0</v>
      </c>
      <c r="DC1711" s="5" t="s">
        <v>812</v>
      </c>
      <c r="DD1711" s="5" t="s">
        <v>240</v>
      </c>
      <c r="DF1711" s="5" t="s">
        <v>812</v>
      </c>
      <c r="DG1711" s="7">
        <f>1234</f>
        <v>1234</v>
      </c>
      <c r="DI1711" s="5" t="s">
        <v>240</v>
      </c>
      <c r="DJ1711" s="5" t="s">
        <v>240</v>
      </c>
      <c r="DK1711" s="5" t="s">
        <v>240</v>
      </c>
      <c r="DL1711" s="5" t="s">
        <v>240</v>
      </c>
      <c r="DP1711" s="5" t="s">
        <v>240</v>
      </c>
      <c r="DQ1711" s="5" t="s">
        <v>240</v>
      </c>
      <c r="DR1711" s="5" t="s">
        <v>240</v>
      </c>
      <c r="DS1711" s="5" t="s">
        <v>240</v>
      </c>
      <c r="DV1711" s="5" t="s">
        <v>813</v>
      </c>
      <c r="DW1711" s="5" t="s">
        <v>3554</v>
      </c>
      <c r="HO1711" s="5" t="s">
        <v>312</v>
      </c>
    </row>
    <row r="1712" spans="1:223" x14ac:dyDescent="0.4">
      <c r="A1712" s="5">
        <v>3387</v>
      </c>
      <c r="B1712" s="5">
        <v>1</v>
      </c>
      <c r="C1712" s="5">
        <v>1</v>
      </c>
      <c r="D1712" s="5" t="s">
        <v>297</v>
      </c>
      <c r="E1712" s="5" t="s">
        <v>245</v>
      </c>
      <c r="F1712" s="5" t="s">
        <v>254</v>
      </c>
      <c r="G1712" s="5" t="s">
        <v>240</v>
      </c>
      <c r="H1712" s="6" t="s">
        <v>4447</v>
      </c>
      <c r="I1712" s="5" t="s">
        <v>295</v>
      </c>
      <c r="J1712" s="8">
        <f>2008</f>
        <v>2008</v>
      </c>
      <c r="K1712" s="5" t="s">
        <v>308</v>
      </c>
      <c r="L1712" s="7">
        <f>1</f>
        <v>1</v>
      </c>
      <c r="M1712" s="7">
        <f>1</f>
        <v>1</v>
      </c>
      <c r="N1712" s="5" t="s">
        <v>242</v>
      </c>
      <c r="O1712" s="5">
        <v>1</v>
      </c>
      <c r="P1712" s="5" t="s">
        <v>294</v>
      </c>
      <c r="Q1712" s="5" t="s">
        <v>266</v>
      </c>
      <c r="R1712" s="5" t="s">
        <v>240</v>
      </c>
      <c r="S1712" s="5" t="s">
        <v>240</v>
      </c>
      <c r="T1712" s="5" t="s">
        <v>296</v>
      </c>
      <c r="U1712" s="5" t="s">
        <v>244</v>
      </c>
      <c r="V1712" s="5" t="s">
        <v>240</v>
      </c>
      <c r="Y1712" s="5" t="s">
        <v>240</v>
      </c>
      <c r="Z1712" s="6" t="s">
        <v>298</v>
      </c>
      <c r="AB1712" s="6" t="s">
        <v>240</v>
      </c>
      <c r="AE1712" s="6" t="s">
        <v>299</v>
      </c>
      <c r="AF1712" s="5" t="s">
        <v>248</v>
      </c>
      <c r="AG1712" s="5" t="s">
        <v>249</v>
      </c>
      <c r="AW1712" s="5" t="s">
        <v>251</v>
      </c>
      <c r="AX1712" s="5" t="s">
        <v>240</v>
      </c>
      <c r="AY1712" s="5" t="s">
        <v>253</v>
      </c>
      <c r="AZ1712" s="5" t="s">
        <v>240</v>
      </c>
      <c r="BA1712" s="5" t="s">
        <v>255</v>
      </c>
      <c r="BB1712" s="5" t="s">
        <v>240</v>
      </c>
      <c r="BD1712" s="5" t="s">
        <v>240</v>
      </c>
      <c r="BF1712" s="5" t="s">
        <v>301</v>
      </c>
      <c r="BG1712" s="6" t="s">
        <v>299</v>
      </c>
      <c r="BH1712" s="5" t="s">
        <v>302</v>
      </c>
      <c r="BI1712" s="5" t="s">
        <v>303</v>
      </c>
      <c r="BJ1712" s="5" t="s">
        <v>240</v>
      </c>
      <c r="BK1712" s="8">
        <f>0</f>
        <v>0</v>
      </c>
      <c r="BL1712" s="7">
        <f>0</f>
        <v>0</v>
      </c>
      <c r="BM1712" s="5" t="s">
        <v>258</v>
      </c>
      <c r="BN1712" s="5" t="s">
        <v>259</v>
      </c>
      <c r="CB1712" s="5" t="s">
        <v>240</v>
      </c>
      <c r="CC1712" s="5" t="s">
        <v>240</v>
      </c>
      <c r="CG1712" s="5" t="s">
        <v>304</v>
      </c>
      <c r="CH1712" s="5" t="s">
        <v>305</v>
      </c>
      <c r="CI1712" s="5" t="s">
        <v>240</v>
      </c>
      <c r="CL1712" s="6" t="s">
        <v>261</v>
      </c>
      <c r="CM1712" s="5" t="s">
        <v>240</v>
      </c>
      <c r="CN1712" s="5" t="s">
        <v>263</v>
      </c>
      <c r="CO1712" s="5" t="s">
        <v>240</v>
      </c>
      <c r="CP1712" s="5" t="s">
        <v>240</v>
      </c>
      <c r="CQ1712" s="5">
        <v>0</v>
      </c>
      <c r="CR1712" s="5" t="s">
        <v>306</v>
      </c>
      <c r="CS1712" s="5" t="s">
        <v>307</v>
      </c>
      <c r="CT1712" s="5" t="s">
        <v>307</v>
      </c>
      <c r="CU1712" s="5" t="s">
        <v>260</v>
      </c>
      <c r="CX1712" s="7">
        <f>1</f>
        <v>1</v>
      </c>
      <c r="CY1712" s="7">
        <f>0</f>
        <v>0</v>
      </c>
      <c r="DA1712" s="7">
        <f>0</f>
        <v>0</v>
      </c>
      <c r="DC1712" s="5" t="s">
        <v>812</v>
      </c>
      <c r="DD1712" s="5" t="s">
        <v>240</v>
      </c>
      <c r="DF1712" s="5" t="s">
        <v>812</v>
      </c>
      <c r="DG1712" s="7">
        <f>615</f>
        <v>615</v>
      </c>
      <c r="DI1712" s="5" t="s">
        <v>240</v>
      </c>
      <c r="DJ1712" s="5" t="s">
        <v>240</v>
      </c>
      <c r="DK1712" s="5" t="s">
        <v>240</v>
      </c>
      <c r="DL1712" s="5" t="s">
        <v>240</v>
      </c>
      <c r="DP1712" s="5" t="s">
        <v>240</v>
      </c>
      <c r="DQ1712" s="5" t="s">
        <v>240</v>
      </c>
      <c r="DR1712" s="5" t="s">
        <v>240</v>
      </c>
      <c r="DS1712" s="5" t="s">
        <v>240</v>
      </c>
      <c r="DV1712" s="5" t="s">
        <v>813</v>
      </c>
      <c r="DW1712" s="5" t="s">
        <v>3556</v>
      </c>
      <c r="HO1712" s="5" t="s">
        <v>312</v>
      </c>
    </row>
    <row r="1713" spans="1:223" x14ac:dyDescent="0.4">
      <c r="A1713" s="5">
        <v>3388</v>
      </c>
      <c r="B1713" s="5">
        <v>1</v>
      </c>
      <c r="C1713" s="5">
        <v>1</v>
      </c>
      <c r="D1713" s="5" t="s">
        <v>297</v>
      </c>
      <c r="E1713" s="5" t="s">
        <v>245</v>
      </c>
      <c r="F1713" s="5" t="s">
        <v>254</v>
      </c>
      <c r="G1713" s="5" t="s">
        <v>240</v>
      </c>
      <c r="H1713" s="6" t="s">
        <v>4446</v>
      </c>
      <c r="I1713" s="5" t="s">
        <v>295</v>
      </c>
      <c r="J1713" s="8">
        <f>166</f>
        <v>166</v>
      </c>
      <c r="K1713" s="5" t="s">
        <v>308</v>
      </c>
      <c r="L1713" s="7">
        <f>1</f>
        <v>1</v>
      </c>
      <c r="M1713" s="7">
        <f>1</f>
        <v>1</v>
      </c>
      <c r="N1713" s="5" t="s">
        <v>242</v>
      </c>
      <c r="O1713" s="5">
        <v>1</v>
      </c>
      <c r="P1713" s="5" t="s">
        <v>294</v>
      </c>
      <c r="Q1713" s="5" t="s">
        <v>266</v>
      </c>
      <c r="R1713" s="5" t="s">
        <v>240</v>
      </c>
      <c r="S1713" s="5" t="s">
        <v>240</v>
      </c>
      <c r="T1713" s="5" t="s">
        <v>296</v>
      </c>
      <c r="U1713" s="5" t="s">
        <v>244</v>
      </c>
      <c r="V1713" s="5" t="s">
        <v>240</v>
      </c>
      <c r="Y1713" s="5" t="s">
        <v>240</v>
      </c>
      <c r="Z1713" s="6" t="s">
        <v>298</v>
      </c>
      <c r="AB1713" s="6" t="s">
        <v>240</v>
      </c>
      <c r="AE1713" s="6" t="s">
        <v>299</v>
      </c>
      <c r="AF1713" s="5" t="s">
        <v>248</v>
      </c>
      <c r="AG1713" s="5" t="s">
        <v>249</v>
      </c>
      <c r="AW1713" s="5" t="s">
        <v>251</v>
      </c>
      <c r="AX1713" s="5" t="s">
        <v>240</v>
      </c>
      <c r="AY1713" s="5" t="s">
        <v>253</v>
      </c>
      <c r="AZ1713" s="5" t="s">
        <v>240</v>
      </c>
      <c r="BA1713" s="5" t="s">
        <v>255</v>
      </c>
      <c r="BB1713" s="5" t="s">
        <v>240</v>
      </c>
      <c r="BD1713" s="5" t="s">
        <v>240</v>
      </c>
      <c r="BF1713" s="5" t="s">
        <v>301</v>
      </c>
      <c r="BG1713" s="6" t="s">
        <v>299</v>
      </c>
      <c r="BH1713" s="5" t="s">
        <v>302</v>
      </c>
      <c r="BI1713" s="5" t="s">
        <v>303</v>
      </c>
      <c r="BJ1713" s="5" t="s">
        <v>240</v>
      </c>
      <c r="BK1713" s="8">
        <f>0</f>
        <v>0</v>
      </c>
      <c r="BL1713" s="7">
        <f>0</f>
        <v>0</v>
      </c>
      <c r="BM1713" s="5" t="s">
        <v>258</v>
      </c>
      <c r="BN1713" s="5" t="s">
        <v>259</v>
      </c>
      <c r="CB1713" s="5" t="s">
        <v>240</v>
      </c>
      <c r="CC1713" s="5" t="s">
        <v>240</v>
      </c>
      <c r="CG1713" s="5" t="s">
        <v>304</v>
      </c>
      <c r="CH1713" s="5" t="s">
        <v>305</v>
      </c>
      <c r="CI1713" s="5" t="s">
        <v>240</v>
      </c>
      <c r="CL1713" s="6" t="s">
        <v>261</v>
      </c>
      <c r="CM1713" s="5" t="s">
        <v>240</v>
      </c>
      <c r="CN1713" s="5" t="s">
        <v>263</v>
      </c>
      <c r="CO1713" s="5" t="s">
        <v>240</v>
      </c>
      <c r="CP1713" s="5" t="s">
        <v>240</v>
      </c>
      <c r="CQ1713" s="5">
        <v>0</v>
      </c>
      <c r="CR1713" s="5" t="s">
        <v>306</v>
      </c>
      <c r="CS1713" s="5" t="s">
        <v>307</v>
      </c>
      <c r="CT1713" s="5" t="s">
        <v>307</v>
      </c>
      <c r="CU1713" s="5" t="s">
        <v>260</v>
      </c>
      <c r="CX1713" s="7">
        <f>1</f>
        <v>1</v>
      </c>
      <c r="CY1713" s="7">
        <f>0</f>
        <v>0</v>
      </c>
      <c r="DA1713" s="7">
        <f>0</f>
        <v>0</v>
      </c>
      <c r="DC1713" s="5" t="s">
        <v>812</v>
      </c>
      <c r="DD1713" s="5" t="s">
        <v>240</v>
      </c>
      <c r="DF1713" s="5" t="s">
        <v>812</v>
      </c>
      <c r="DG1713" s="7">
        <f>276</f>
        <v>276</v>
      </c>
      <c r="DI1713" s="5" t="s">
        <v>240</v>
      </c>
      <c r="DJ1713" s="5" t="s">
        <v>240</v>
      </c>
      <c r="DK1713" s="5" t="s">
        <v>240</v>
      </c>
      <c r="DL1713" s="5" t="s">
        <v>240</v>
      </c>
      <c r="DP1713" s="5" t="s">
        <v>240</v>
      </c>
      <c r="DQ1713" s="5" t="s">
        <v>240</v>
      </c>
      <c r="DR1713" s="5" t="s">
        <v>240</v>
      </c>
      <c r="DS1713" s="5" t="s">
        <v>240</v>
      </c>
      <c r="DV1713" s="5" t="s">
        <v>813</v>
      </c>
      <c r="DW1713" s="5" t="s">
        <v>3558</v>
      </c>
      <c r="HO1713" s="5" t="s">
        <v>312</v>
      </c>
    </row>
    <row r="1714" spans="1:223" x14ac:dyDescent="0.4">
      <c r="A1714" s="5">
        <v>3389</v>
      </c>
      <c r="B1714" s="5">
        <v>1</v>
      </c>
      <c r="C1714" s="5">
        <v>1</v>
      </c>
      <c r="D1714" s="5" t="s">
        <v>297</v>
      </c>
      <c r="E1714" s="5" t="s">
        <v>245</v>
      </c>
      <c r="F1714" s="5" t="s">
        <v>254</v>
      </c>
      <c r="G1714" s="5" t="s">
        <v>240</v>
      </c>
      <c r="H1714" s="6" t="s">
        <v>5589</v>
      </c>
      <c r="I1714" s="5" t="s">
        <v>295</v>
      </c>
      <c r="J1714" s="8">
        <f>113</f>
        <v>113</v>
      </c>
      <c r="K1714" s="5" t="s">
        <v>308</v>
      </c>
      <c r="L1714" s="7">
        <f>1</f>
        <v>1</v>
      </c>
      <c r="M1714" s="7">
        <f>1</f>
        <v>1</v>
      </c>
      <c r="N1714" s="5" t="s">
        <v>242</v>
      </c>
      <c r="O1714" s="5">
        <v>1</v>
      </c>
      <c r="P1714" s="5" t="s">
        <v>294</v>
      </c>
      <c r="Q1714" s="5" t="s">
        <v>266</v>
      </c>
      <c r="R1714" s="5" t="s">
        <v>240</v>
      </c>
      <c r="S1714" s="5" t="s">
        <v>240</v>
      </c>
      <c r="T1714" s="5" t="s">
        <v>296</v>
      </c>
      <c r="U1714" s="5" t="s">
        <v>244</v>
      </c>
      <c r="V1714" s="5" t="s">
        <v>240</v>
      </c>
      <c r="Y1714" s="5" t="s">
        <v>240</v>
      </c>
      <c r="Z1714" s="6" t="s">
        <v>298</v>
      </c>
      <c r="AB1714" s="6" t="s">
        <v>240</v>
      </c>
      <c r="AE1714" s="6" t="s">
        <v>299</v>
      </c>
      <c r="AF1714" s="5" t="s">
        <v>248</v>
      </c>
      <c r="AG1714" s="5" t="s">
        <v>249</v>
      </c>
      <c r="AW1714" s="5" t="s">
        <v>251</v>
      </c>
      <c r="AX1714" s="5" t="s">
        <v>240</v>
      </c>
      <c r="AY1714" s="5" t="s">
        <v>253</v>
      </c>
      <c r="AZ1714" s="5" t="s">
        <v>240</v>
      </c>
      <c r="BA1714" s="5" t="s">
        <v>255</v>
      </c>
      <c r="BB1714" s="5" t="s">
        <v>240</v>
      </c>
      <c r="BD1714" s="5" t="s">
        <v>240</v>
      </c>
      <c r="BF1714" s="5" t="s">
        <v>301</v>
      </c>
      <c r="BG1714" s="6" t="s">
        <v>299</v>
      </c>
      <c r="BH1714" s="5" t="s">
        <v>302</v>
      </c>
      <c r="BI1714" s="5" t="s">
        <v>303</v>
      </c>
      <c r="BJ1714" s="5" t="s">
        <v>240</v>
      </c>
      <c r="BK1714" s="8">
        <f>0</f>
        <v>0</v>
      </c>
      <c r="BL1714" s="7">
        <f>0</f>
        <v>0</v>
      </c>
      <c r="BM1714" s="5" t="s">
        <v>258</v>
      </c>
      <c r="BN1714" s="5" t="s">
        <v>259</v>
      </c>
      <c r="CB1714" s="5" t="s">
        <v>240</v>
      </c>
      <c r="CC1714" s="5" t="s">
        <v>240</v>
      </c>
      <c r="CG1714" s="5" t="s">
        <v>304</v>
      </c>
      <c r="CH1714" s="5" t="s">
        <v>305</v>
      </c>
      <c r="CI1714" s="5" t="s">
        <v>240</v>
      </c>
      <c r="CL1714" s="6" t="s">
        <v>261</v>
      </c>
      <c r="CM1714" s="5" t="s">
        <v>240</v>
      </c>
      <c r="CN1714" s="5" t="s">
        <v>263</v>
      </c>
      <c r="CO1714" s="5" t="s">
        <v>240</v>
      </c>
      <c r="CP1714" s="5" t="s">
        <v>240</v>
      </c>
      <c r="CQ1714" s="5">
        <v>0</v>
      </c>
      <c r="CR1714" s="5" t="s">
        <v>306</v>
      </c>
      <c r="CS1714" s="5" t="s">
        <v>307</v>
      </c>
      <c r="CT1714" s="5" t="s">
        <v>307</v>
      </c>
      <c r="CU1714" s="5" t="s">
        <v>260</v>
      </c>
      <c r="CX1714" s="7">
        <f>1</f>
        <v>1</v>
      </c>
      <c r="CY1714" s="7">
        <f>0</f>
        <v>0</v>
      </c>
      <c r="DA1714" s="7">
        <f>0</f>
        <v>0</v>
      </c>
      <c r="DC1714" s="5" t="s">
        <v>812</v>
      </c>
      <c r="DD1714" s="5" t="s">
        <v>240</v>
      </c>
      <c r="DF1714" s="5" t="s">
        <v>812</v>
      </c>
      <c r="DG1714" s="7">
        <f>645</f>
        <v>645</v>
      </c>
      <c r="DI1714" s="5" t="s">
        <v>240</v>
      </c>
      <c r="DJ1714" s="5" t="s">
        <v>240</v>
      </c>
      <c r="DK1714" s="5" t="s">
        <v>240</v>
      </c>
      <c r="DL1714" s="5" t="s">
        <v>240</v>
      </c>
      <c r="DP1714" s="5" t="s">
        <v>240</v>
      </c>
      <c r="DQ1714" s="5" t="s">
        <v>240</v>
      </c>
      <c r="DR1714" s="5" t="s">
        <v>240</v>
      </c>
      <c r="DS1714" s="5" t="s">
        <v>240</v>
      </c>
      <c r="DV1714" s="5" t="s">
        <v>813</v>
      </c>
      <c r="DW1714" s="5" t="s">
        <v>3560</v>
      </c>
      <c r="HO1714" s="5" t="s">
        <v>312</v>
      </c>
    </row>
    <row r="1715" spans="1:223" x14ac:dyDescent="0.4">
      <c r="A1715" s="5">
        <v>3390</v>
      </c>
      <c r="B1715" s="5">
        <v>1</v>
      </c>
      <c r="C1715" s="5">
        <v>1</v>
      </c>
      <c r="D1715" s="5" t="s">
        <v>297</v>
      </c>
      <c r="E1715" s="5" t="s">
        <v>245</v>
      </c>
      <c r="F1715" s="5" t="s">
        <v>254</v>
      </c>
      <c r="G1715" s="5" t="s">
        <v>240</v>
      </c>
      <c r="H1715" s="6" t="s">
        <v>4444</v>
      </c>
      <c r="I1715" s="5" t="s">
        <v>295</v>
      </c>
      <c r="J1715" s="8">
        <f>507</f>
        <v>507</v>
      </c>
      <c r="K1715" s="5" t="s">
        <v>308</v>
      </c>
      <c r="L1715" s="7">
        <f>1</f>
        <v>1</v>
      </c>
      <c r="M1715" s="7">
        <f>1</f>
        <v>1</v>
      </c>
      <c r="N1715" s="5" t="s">
        <v>242</v>
      </c>
      <c r="O1715" s="5">
        <v>1</v>
      </c>
      <c r="P1715" s="5" t="s">
        <v>294</v>
      </c>
      <c r="Q1715" s="5" t="s">
        <v>266</v>
      </c>
      <c r="R1715" s="5" t="s">
        <v>240</v>
      </c>
      <c r="S1715" s="5" t="s">
        <v>240</v>
      </c>
      <c r="T1715" s="5" t="s">
        <v>296</v>
      </c>
      <c r="U1715" s="5" t="s">
        <v>244</v>
      </c>
      <c r="V1715" s="5" t="s">
        <v>240</v>
      </c>
      <c r="Y1715" s="5" t="s">
        <v>240</v>
      </c>
      <c r="Z1715" s="6" t="s">
        <v>298</v>
      </c>
      <c r="AB1715" s="6" t="s">
        <v>240</v>
      </c>
      <c r="AE1715" s="6" t="s">
        <v>299</v>
      </c>
      <c r="AF1715" s="5" t="s">
        <v>248</v>
      </c>
      <c r="AG1715" s="5" t="s">
        <v>249</v>
      </c>
      <c r="AW1715" s="5" t="s">
        <v>251</v>
      </c>
      <c r="AX1715" s="5" t="s">
        <v>240</v>
      </c>
      <c r="AY1715" s="5" t="s">
        <v>253</v>
      </c>
      <c r="AZ1715" s="5" t="s">
        <v>240</v>
      </c>
      <c r="BA1715" s="5" t="s">
        <v>255</v>
      </c>
      <c r="BB1715" s="5" t="s">
        <v>240</v>
      </c>
      <c r="BD1715" s="5" t="s">
        <v>240</v>
      </c>
      <c r="BF1715" s="5" t="s">
        <v>301</v>
      </c>
      <c r="BG1715" s="6" t="s">
        <v>299</v>
      </c>
      <c r="BH1715" s="5" t="s">
        <v>302</v>
      </c>
      <c r="BI1715" s="5" t="s">
        <v>303</v>
      </c>
      <c r="BJ1715" s="5" t="s">
        <v>240</v>
      </c>
      <c r="BK1715" s="8">
        <f>0</f>
        <v>0</v>
      </c>
      <c r="BL1715" s="7">
        <f>0</f>
        <v>0</v>
      </c>
      <c r="BM1715" s="5" t="s">
        <v>258</v>
      </c>
      <c r="BN1715" s="5" t="s">
        <v>259</v>
      </c>
      <c r="CB1715" s="5" t="s">
        <v>240</v>
      </c>
      <c r="CC1715" s="5" t="s">
        <v>240</v>
      </c>
      <c r="CG1715" s="5" t="s">
        <v>304</v>
      </c>
      <c r="CH1715" s="5" t="s">
        <v>305</v>
      </c>
      <c r="CI1715" s="5" t="s">
        <v>240</v>
      </c>
      <c r="CL1715" s="6" t="s">
        <v>261</v>
      </c>
      <c r="CM1715" s="5" t="s">
        <v>240</v>
      </c>
      <c r="CN1715" s="5" t="s">
        <v>263</v>
      </c>
      <c r="CO1715" s="5" t="s">
        <v>240</v>
      </c>
      <c r="CP1715" s="5" t="s">
        <v>240</v>
      </c>
      <c r="CQ1715" s="5">
        <v>0</v>
      </c>
      <c r="CR1715" s="5" t="s">
        <v>306</v>
      </c>
      <c r="CS1715" s="5" t="s">
        <v>307</v>
      </c>
      <c r="CT1715" s="5" t="s">
        <v>307</v>
      </c>
      <c r="CU1715" s="5" t="s">
        <v>260</v>
      </c>
      <c r="CX1715" s="7">
        <f>1</f>
        <v>1</v>
      </c>
      <c r="CY1715" s="7">
        <f>0</f>
        <v>0</v>
      </c>
      <c r="DA1715" s="7">
        <f>0</f>
        <v>0</v>
      </c>
      <c r="DC1715" s="5" t="s">
        <v>812</v>
      </c>
      <c r="DD1715" s="5" t="s">
        <v>240</v>
      </c>
      <c r="DF1715" s="5" t="s">
        <v>812</v>
      </c>
      <c r="DG1715" s="7">
        <f>92</f>
        <v>92</v>
      </c>
      <c r="DI1715" s="5" t="s">
        <v>240</v>
      </c>
      <c r="DJ1715" s="5" t="s">
        <v>240</v>
      </c>
      <c r="DK1715" s="5" t="s">
        <v>240</v>
      </c>
      <c r="DL1715" s="5" t="s">
        <v>240</v>
      </c>
      <c r="DP1715" s="5" t="s">
        <v>240</v>
      </c>
      <c r="DQ1715" s="5" t="s">
        <v>240</v>
      </c>
      <c r="DR1715" s="5" t="s">
        <v>240</v>
      </c>
      <c r="DS1715" s="5" t="s">
        <v>240</v>
      </c>
      <c r="DV1715" s="5" t="s">
        <v>813</v>
      </c>
      <c r="DW1715" s="5" t="s">
        <v>3562</v>
      </c>
      <c r="HO1715" s="5" t="s">
        <v>312</v>
      </c>
    </row>
    <row r="1716" spans="1:223" x14ac:dyDescent="0.4">
      <c r="A1716" s="5">
        <v>3391</v>
      </c>
      <c r="B1716" s="5">
        <v>1</v>
      </c>
      <c r="C1716" s="5">
        <v>1</v>
      </c>
      <c r="D1716" s="5" t="s">
        <v>297</v>
      </c>
      <c r="E1716" s="5" t="s">
        <v>245</v>
      </c>
      <c r="F1716" s="5" t="s">
        <v>254</v>
      </c>
      <c r="G1716" s="5" t="s">
        <v>240</v>
      </c>
      <c r="H1716" s="6" t="s">
        <v>4443</v>
      </c>
      <c r="I1716" s="5" t="s">
        <v>295</v>
      </c>
      <c r="J1716" s="8">
        <f>3153</f>
        <v>3153</v>
      </c>
      <c r="K1716" s="5" t="s">
        <v>308</v>
      </c>
      <c r="L1716" s="7">
        <f>1</f>
        <v>1</v>
      </c>
      <c r="M1716" s="7">
        <f>1</f>
        <v>1</v>
      </c>
      <c r="N1716" s="5" t="s">
        <v>242</v>
      </c>
      <c r="O1716" s="5">
        <v>1</v>
      </c>
      <c r="P1716" s="5" t="s">
        <v>294</v>
      </c>
      <c r="Q1716" s="5" t="s">
        <v>266</v>
      </c>
      <c r="R1716" s="5" t="s">
        <v>240</v>
      </c>
      <c r="S1716" s="5" t="s">
        <v>240</v>
      </c>
      <c r="T1716" s="5" t="s">
        <v>296</v>
      </c>
      <c r="U1716" s="5" t="s">
        <v>244</v>
      </c>
      <c r="V1716" s="5" t="s">
        <v>240</v>
      </c>
      <c r="Y1716" s="5" t="s">
        <v>240</v>
      </c>
      <c r="Z1716" s="6" t="s">
        <v>298</v>
      </c>
      <c r="AB1716" s="6" t="s">
        <v>240</v>
      </c>
      <c r="AE1716" s="6" t="s">
        <v>299</v>
      </c>
      <c r="AF1716" s="5" t="s">
        <v>248</v>
      </c>
      <c r="AG1716" s="5" t="s">
        <v>249</v>
      </c>
      <c r="AW1716" s="5" t="s">
        <v>251</v>
      </c>
      <c r="AX1716" s="5" t="s">
        <v>240</v>
      </c>
      <c r="AY1716" s="5" t="s">
        <v>253</v>
      </c>
      <c r="AZ1716" s="5" t="s">
        <v>240</v>
      </c>
      <c r="BA1716" s="5" t="s">
        <v>255</v>
      </c>
      <c r="BB1716" s="5" t="s">
        <v>240</v>
      </c>
      <c r="BD1716" s="5" t="s">
        <v>240</v>
      </c>
      <c r="BF1716" s="5" t="s">
        <v>301</v>
      </c>
      <c r="BG1716" s="6" t="s">
        <v>299</v>
      </c>
      <c r="BH1716" s="5" t="s">
        <v>302</v>
      </c>
      <c r="BI1716" s="5" t="s">
        <v>303</v>
      </c>
      <c r="BJ1716" s="5" t="s">
        <v>240</v>
      </c>
      <c r="BK1716" s="8">
        <f>0</f>
        <v>0</v>
      </c>
      <c r="BL1716" s="7">
        <f>0</f>
        <v>0</v>
      </c>
      <c r="BM1716" s="5" t="s">
        <v>258</v>
      </c>
      <c r="BN1716" s="5" t="s">
        <v>259</v>
      </c>
      <c r="CB1716" s="5" t="s">
        <v>240</v>
      </c>
      <c r="CC1716" s="5" t="s">
        <v>240</v>
      </c>
      <c r="CG1716" s="5" t="s">
        <v>304</v>
      </c>
      <c r="CH1716" s="5" t="s">
        <v>305</v>
      </c>
      <c r="CI1716" s="5" t="s">
        <v>240</v>
      </c>
      <c r="CL1716" s="6" t="s">
        <v>261</v>
      </c>
      <c r="CM1716" s="5" t="s">
        <v>240</v>
      </c>
      <c r="CN1716" s="5" t="s">
        <v>263</v>
      </c>
      <c r="CO1716" s="5" t="s">
        <v>240</v>
      </c>
      <c r="CP1716" s="5" t="s">
        <v>240</v>
      </c>
      <c r="CQ1716" s="5">
        <v>0</v>
      </c>
      <c r="CR1716" s="5" t="s">
        <v>306</v>
      </c>
      <c r="CS1716" s="5" t="s">
        <v>307</v>
      </c>
      <c r="CT1716" s="5" t="s">
        <v>307</v>
      </c>
      <c r="CU1716" s="5" t="s">
        <v>260</v>
      </c>
      <c r="CX1716" s="7">
        <f>1</f>
        <v>1</v>
      </c>
      <c r="CY1716" s="7">
        <f>0</f>
        <v>0</v>
      </c>
      <c r="DA1716" s="7">
        <f>0</f>
        <v>0</v>
      </c>
      <c r="DC1716" s="5" t="s">
        <v>812</v>
      </c>
      <c r="DD1716" s="5" t="s">
        <v>240</v>
      </c>
      <c r="DF1716" s="5" t="s">
        <v>812</v>
      </c>
      <c r="DG1716" s="7">
        <f>197</f>
        <v>197</v>
      </c>
      <c r="DI1716" s="5" t="s">
        <v>240</v>
      </c>
      <c r="DJ1716" s="5" t="s">
        <v>240</v>
      </c>
      <c r="DK1716" s="5" t="s">
        <v>240</v>
      </c>
      <c r="DL1716" s="5" t="s">
        <v>240</v>
      </c>
      <c r="DP1716" s="5" t="s">
        <v>240</v>
      </c>
      <c r="DQ1716" s="5" t="s">
        <v>240</v>
      </c>
      <c r="DR1716" s="5" t="s">
        <v>240</v>
      </c>
      <c r="DS1716" s="5" t="s">
        <v>240</v>
      </c>
      <c r="DV1716" s="5" t="s">
        <v>813</v>
      </c>
      <c r="DW1716" s="5" t="s">
        <v>3564</v>
      </c>
      <c r="HO1716" s="5" t="s">
        <v>312</v>
      </c>
    </row>
    <row r="1717" spans="1:223" x14ac:dyDescent="0.4">
      <c r="A1717" s="5">
        <v>3392</v>
      </c>
      <c r="B1717" s="5">
        <v>1</v>
      </c>
      <c r="C1717" s="5">
        <v>1</v>
      </c>
      <c r="D1717" s="5" t="s">
        <v>297</v>
      </c>
      <c r="E1717" s="5" t="s">
        <v>245</v>
      </c>
      <c r="F1717" s="5" t="s">
        <v>254</v>
      </c>
      <c r="G1717" s="5" t="s">
        <v>240</v>
      </c>
      <c r="H1717" s="6" t="s">
        <v>4442</v>
      </c>
      <c r="I1717" s="5" t="s">
        <v>295</v>
      </c>
      <c r="J1717" s="8">
        <f>2020</f>
        <v>2020</v>
      </c>
      <c r="K1717" s="5" t="s">
        <v>308</v>
      </c>
      <c r="L1717" s="7">
        <f>1</f>
        <v>1</v>
      </c>
      <c r="M1717" s="7">
        <f>1</f>
        <v>1</v>
      </c>
      <c r="N1717" s="5" t="s">
        <v>242</v>
      </c>
      <c r="O1717" s="5">
        <v>1</v>
      </c>
      <c r="P1717" s="5" t="s">
        <v>294</v>
      </c>
      <c r="Q1717" s="5" t="s">
        <v>266</v>
      </c>
      <c r="R1717" s="5" t="s">
        <v>240</v>
      </c>
      <c r="S1717" s="5" t="s">
        <v>240</v>
      </c>
      <c r="T1717" s="5" t="s">
        <v>296</v>
      </c>
      <c r="U1717" s="5" t="s">
        <v>244</v>
      </c>
      <c r="V1717" s="5" t="s">
        <v>240</v>
      </c>
      <c r="Y1717" s="5" t="s">
        <v>240</v>
      </c>
      <c r="Z1717" s="6" t="s">
        <v>298</v>
      </c>
      <c r="AB1717" s="6" t="s">
        <v>240</v>
      </c>
      <c r="AE1717" s="6" t="s">
        <v>299</v>
      </c>
      <c r="AF1717" s="5" t="s">
        <v>248</v>
      </c>
      <c r="AG1717" s="5" t="s">
        <v>249</v>
      </c>
      <c r="AW1717" s="5" t="s">
        <v>251</v>
      </c>
      <c r="AX1717" s="5" t="s">
        <v>240</v>
      </c>
      <c r="AY1717" s="5" t="s">
        <v>253</v>
      </c>
      <c r="AZ1717" s="5" t="s">
        <v>240</v>
      </c>
      <c r="BA1717" s="5" t="s">
        <v>255</v>
      </c>
      <c r="BB1717" s="5" t="s">
        <v>240</v>
      </c>
      <c r="BD1717" s="5" t="s">
        <v>240</v>
      </c>
      <c r="BF1717" s="5" t="s">
        <v>301</v>
      </c>
      <c r="BG1717" s="6" t="s">
        <v>299</v>
      </c>
      <c r="BH1717" s="5" t="s">
        <v>302</v>
      </c>
      <c r="BI1717" s="5" t="s">
        <v>303</v>
      </c>
      <c r="BJ1717" s="5" t="s">
        <v>240</v>
      </c>
      <c r="BK1717" s="8">
        <f>0</f>
        <v>0</v>
      </c>
      <c r="BL1717" s="7">
        <f>0</f>
        <v>0</v>
      </c>
      <c r="BM1717" s="5" t="s">
        <v>258</v>
      </c>
      <c r="BN1717" s="5" t="s">
        <v>259</v>
      </c>
      <c r="CB1717" s="5" t="s">
        <v>240</v>
      </c>
      <c r="CC1717" s="5" t="s">
        <v>240</v>
      </c>
      <c r="CG1717" s="5" t="s">
        <v>304</v>
      </c>
      <c r="CH1717" s="5" t="s">
        <v>305</v>
      </c>
      <c r="CI1717" s="5" t="s">
        <v>240</v>
      </c>
      <c r="CL1717" s="6" t="s">
        <v>261</v>
      </c>
      <c r="CM1717" s="5" t="s">
        <v>240</v>
      </c>
      <c r="CN1717" s="5" t="s">
        <v>263</v>
      </c>
      <c r="CO1717" s="5" t="s">
        <v>240</v>
      </c>
      <c r="CP1717" s="5" t="s">
        <v>240</v>
      </c>
      <c r="CQ1717" s="5">
        <v>0</v>
      </c>
      <c r="CR1717" s="5" t="s">
        <v>306</v>
      </c>
      <c r="CS1717" s="5" t="s">
        <v>307</v>
      </c>
      <c r="CT1717" s="5" t="s">
        <v>307</v>
      </c>
      <c r="CU1717" s="5" t="s">
        <v>260</v>
      </c>
      <c r="CX1717" s="7">
        <f>1</f>
        <v>1</v>
      </c>
      <c r="CY1717" s="7">
        <f>0</f>
        <v>0</v>
      </c>
      <c r="DA1717" s="7">
        <f>0</f>
        <v>0</v>
      </c>
      <c r="DC1717" s="5" t="s">
        <v>812</v>
      </c>
      <c r="DD1717" s="5" t="s">
        <v>240</v>
      </c>
      <c r="DF1717" s="5" t="s">
        <v>812</v>
      </c>
      <c r="DG1717" s="7">
        <f>1009</f>
        <v>1009</v>
      </c>
      <c r="DI1717" s="5" t="s">
        <v>240</v>
      </c>
      <c r="DJ1717" s="5" t="s">
        <v>240</v>
      </c>
      <c r="DK1717" s="5" t="s">
        <v>240</v>
      </c>
      <c r="DL1717" s="5" t="s">
        <v>240</v>
      </c>
      <c r="DP1717" s="5" t="s">
        <v>240</v>
      </c>
      <c r="DQ1717" s="5" t="s">
        <v>240</v>
      </c>
      <c r="DR1717" s="5" t="s">
        <v>240</v>
      </c>
      <c r="DS1717" s="5" t="s">
        <v>240</v>
      </c>
      <c r="DV1717" s="5" t="s">
        <v>813</v>
      </c>
      <c r="DW1717" s="5" t="s">
        <v>3566</v>
      </c>
      <c r="HO1717" s="5" t="s">
        <v>312</v>
      </c>
    </row>
    <row r="1718" spans="1:223" x14ac:dyDescent="0.4">
      <c r="A1718" s="5">
        <v>3393</v>
      </c>
      <c r="B1718" s="5">
        <v>1</v>
      </c>
      <c r="C1718" s="5">
        <v>1</v>
      </c>
      <c r="D1718" s="5" t="s">
        <v>297</v>
      </c>
      <c r="E1718" s="5" t="s">
        <v>245</v>
      </c>
      <c r="F1718" s="5" t="s">
        <v>254</v>
      </c>
      <c r="G1718" s="5" t="s">
        <v>240</v>
      </c>
      <c r="H1718" s="6" t="s">
        <v>4441</v>
      </c>
      <c r="I1718" s="5" t="s">
        <v>295</v>
      </c>
      <c r="J1718" s="8">
        <f>3759</f>
        <v>3759</v>
      </c>
      <c r="K1718" s="5" t="s">
        <v>308</v>
      </c>
      <c r="L1718" s="7">
        <f>1</f>
        <v>1</v>
      </c>
      <c r="M1718" s="7">
        <f>1</f>
        <v>1</v>
      </c>
      <c r="N1718" s="5" t="s">
        <v>242</v>
      </c>
      <c r="O1718" s="5">
        <v>1</v>
      </c>
      <c r="P1718" s="5" t="s">
        <v>294</v>
      </c>
      <c r="Q1718" s="5" t="s">
        <v>266</v>
      </c>
      <c r="R1718" s="5" t="s">
        <v>240</v>
      </c>
      <c r="S1718" s="5" t="s">
        <v>240</v>
      </c>
      <c r="T1718" s="5" t="s">
        <v>296</v>
      </c>
      <c r="U1718" s="5" t="s">
        <v>244</v>
      </c>
      <c r="V1718" s="5" t="s">
        <v>240</v>
      </c>
      <c r="Y1718" s="5" t="s">
        <v>240</v>
      </c>
      <c r="Z1718" s="6" t="s">
        <v>298</v>
      </c>
      <c r="AB1718" s="6" t="s">
        <v>240</v>
      </c>
      <c r="AE1718" s="6" t="s">
        <v>299</v>
      </c>
      <c r="AF1718" s="5" t="s">
        <v>248</v>
      </c>
      <c r="AG1718" s="5" t="s">
        <v>249</v>
      </c>
      <c r="AW1718" s="5" t="s">
        <v>251</v>
      </c>
      <c r="AX1718" s="5" t="s">
        <v>240</v>
      </c>
      <c r="AY1718" s="5" t="s">
        <v>253</v>
      </c>
      <c r="AZ1718" s="5" t="s">
        <v>240</v>
      </c>
      <c r="BA1718" s="5" t="s">
        <v>255</v>
      </c>
      <c r="BB1718" s="5" t="s">
        <v>240</v>
      </c>
      <c r="BD1718" s="5" t="s">
        <v>240</v>
      </c>
      <c r="BF1718" s="5" t="s">
        <v>301</v>
      </c>
      <c r="BG1718" s="6" t="s">
        <v>299</v>
      </c>
      <c r="BH1718" s="5" t="s">
        <v>302</v>
      </c>
      <c r="BI1718" s="5" t="s">
        <v>303</v>
      </c>
      <c r="BJ1718" s="5" t="s">
        <v>240</v>
      </c>
      <c r="BK1718" s="8">
        <f>0</f>
        <v>0</v>
      </c>
      <c r="BL1718" s="7">
        <f>0</f>
        <v>0</v>
      </c>
      <c r="BM1718" s="5" t="s">
        <v>258</v>
      </c>
      <c r="BN1718" s="5" t="s">
        <v>259</v>
      </c>
      <c r="CB1718" s="5" t="s">
        <v>240</v>
      </c>
      <c r="CC1718" s="5" t="s">
        <v>240</v>
      </c>
      <c r="CG1718" s="5" t="s">
        <v>304</v>
      </c>
      <c r="CH1718" s="5" t="s">
        <v>305</v>
      </c>
      <c r="CI1718" s="5" t="s">
        <v>240</v>
      </c>
      <c r="CL1718" s="6" t="s">
        <v>261</v>
      </c>
      <c r="CM1718" s="5" t="s">
        <v>240</v>
      </c>
      <c r="CN1718" s="5" t="s">
        <v>263</v>
      </c>
      <c r="CO1718" s="5" t="s">
        <v>240</v>
      </c>
      <c r="CP1718" s="5" t="s">
        <v>240</v>
      </c>
      <c r="CQ1718" s="5">
        <v>0</v>
      </c>
      <c r="CR1718" s="5" t="s">
        <v>306</v>
      </c>
      <c r="CS1718" s="5" t="s">
        <v>307</v>
      </c>
      <c r="CT1718" s="5" t="s">
        <v>307</v>
      </c>
      <c r="CU1718" s="5" t="s">
        <v>260</v>
      </c>
      <c r="CX1718" s="7">
        <f>1</f>
        <v>1</v>
      </c>
      <c r="CY1718" s="7">
        <f>0</f>
        <v>0</v>
      </c>
      <c r="DA1718" s="7">
        <f>0</f>
        <v>0</v>
      </c>
      <c r="DC1718" s="5" t="s">
        <v>812</v>
      </c>
      <c r="DD1718" s="5" t="s">
        <v>240</v>
      </c>
      <c r="DF1718" s="5" t="s">
        <v>812</v>
      </c>
      <c r="DG1718" s="7">
        <f>155</f>
        <v>155</v>
      </c>
      <c r="DI1718" s="5" t="s">
        <v>240</v>
      </c>
      <c r="DJ1718" s="5" t="s">
        <v>240</v>
      </c>
      <c r="DK1718" s="5" t="s">
        <v>240</v>
      </c>
      <c r="DL1718" s="5" t="s">
        <v>240</v>
      </c>
      <c r="DP1718" s="5" t="s">
        <v>240</v>
      </c>
      <c r="DQ1718" s="5" t="s">
        <v>240</v>
      </c>
      <c r="DR1718" s="5" t="s">
        <v>240</v>
      </c>
      <c r="DS1718" s="5" t="s">
        <v>240</v>
      </c>
      <c r="DV1718" s="5" t="s">
        <v>813</v>
      </c>
      <c r="DW1718" s="5" t="s">
        <v>3568</v>
      </c>
      <c r="HO1718" s="5" t="s">
        <v>312</v>
      </c>
    </row>
    <row r="1719" spans="1:223" x14ac:dyDescent="0.4">
      <c r="A1719" s="5">
        <v>3394</v>
      </c>
      <c r="B1719" s="5">
        <v>1</v>
      </c>
      <c r="C1719" s="5">
        <v>1</v>
      </c>
      <c r="D1719" s="5" t="s">
        <v>297</v>
      </c>
      <c r="E1719" s="5" t="s">
        <v>245</v>
      </c>
      <c r="F1719" s="5" t="s">
        <v>254</v>
      </c>
      <c r="G1719" s="5" t="s">
        <v>240</v>
      </c>
      <c r="H1719" s="6" t="s">
        <v>4440</v>
      </c>
      <c r="I1719" s="5" t="s">
        <v>295</v>
      </c>
      <c r="J1719" s="8">
        <f>211</f>
        <v>211</v>
      </c>
      <c r="K1719" s="5" t="s">
        <v>308</v>
      </c>
      <c r="L1719" s="7">
        <f>1</f>
        <v>1</v>
      </c>
      <c r="M1719" s="7">
        <f>1</f>
        <v>1</v>
      </c>
      <c r="N1719" s="5" t="s">
        <v>242</v>
      </c>
      <c r="O1719" s="5">
        <v>1</v>
      </c>
      <c r="P1719" s="5" t="s">
        <v>294</v>
      </c>
      <c r="Q1719" s="5" t="s">
        <v>266</v>
      </c>
      <c r="R1719" s="5" t="s">
        <v>240</v>
      </c>
      <c r="S1719" s="5" t="s">
        <v>240</v>
      </c>
      <c r="T1719" s="5" t="s">
        <v>296</v>
      </c>
      <c r="U1719" s="5" t="s">
        <v>244</v>
      </c>
      <c r="V1719" s="5" t="s">
        <v>240</v>
      </c>
      <c r="Y1719" s="5" t="s">
        <v>240</v>
      </c>
      <c r="Z1719" s="6" t="s">
        <v>298</v>
      </c>
      <c r="AB1719" s="6" t="s">
        <v>240</v>
      </c>
      <c r="AE1719" s="6" t="s">
        <v>299</v>
      </c>
      <c r="AF1719" s="5" t="s">
        <v>248</v>
      </c>
      <c r="AG1719" s="5" t="s">
        <v>249</v>
      </c>
      <c r="AW1719" s="5" t="s">
        <v>251</v>
      </c>
      <c r="AX1719" s="5" t="s">
        <v>240</v>
      </c>
      <c r="AY1719" s="5" t="s">
        <v>253</v>
      </c>
      <c r="AZ1719" s="5" t="s">
        <v>240</v>
      </c>
      <c r="BA1719" s="5" t="s">
        <v>255</v>
      </c>
      <c r="BB1719" s="5" t="s">
        <v>240</v>
      </c>
      <c r="BD1719" s="5" t="s">
        <v>240</v>
      </c>
      <c r="BF1719" s="5" t="s">
        <v>301</v>
      </c>
      <c r="BG1719" s="6" t="s">
        <v>299</v>
      </c>
      <c r="BH1719" s="5" t="s">
        <v>302</v>
      </c>
      <c r="BI1719" s="5" t="s">
        <v>303</v>
      </c>
      <c r="BJ1719" s="5" t="s">
        <v>240</v>
      </c>
      <c r="BK1719" s="8">
        <f>0</f>
        <v>0</v>
      </c>
      <c r="BL1719" s="7">
        <f>0</f>
        <v>0</v>
      </c>
      <c r="BM1719" s="5" t="s">
        <v>258</v>
      </c>
      <c r="BN1719" s="5" t="s">
        <v>259</v>
      </c>
      <c r="CB1719" s="5" t="s">
        <v>240</v>
      </c>
      <c r="CC1719" s="5" t="s">
        <v>240</v>
      </c>
      <c r="CG1719" s="5" t="s">
        <v>304</v>
      </c>
      <c r="CH1719" s="5" t="s">
        <v>305</v>
      </c>
      <c r="CI1719" s="5" t="s">
        <v>240</v>
      </c>
      <c r="CL1719" s="6" t="s">
        <v>261</v>
      </c>
      <c r="CM1719" s="5" t="s">
        <v>240</v>
      </c>
      <c r="CN1719" s="5" t="s">
        <v>263</v>
      </c>
      <c r="CO1719" s="5" t="s">
        <v>240</v>
      </c>
      <c r="CP1719" s="5" t="s">
        <v>240</v>
      </c>
      <c r="CQ1719" s="5">
        <v>0</v>
      </c>
      <c r="CR1719" s="5" t="s">
        <v>306</v>
      </c>
      <c r="CS1719" s="5" t="s">
        <v>307</v>
      </c>
      <c r="CT1719" s="5" t="s">
        <v>307</v>
      </c>
      <c r="CU1719" s="5" t="s">
        <v>260</v>
      </c>
      <c r="CX1719" s="7">
        <f>1</f>
        <v>1</v>
      </c>
      <c r="CY1719" s="7">
        <f>0</f>
        <v>0</v>
      </c>
      <c r="DA1719" s="7">
        <f>0</f>
        <v>0</v>
      </c>
      <c r="DC1719" s="5" t="s">
        <v>812</v>
      </c>
      <c r="DD1719" s="5" t="s">
        <v>240</v>
      </c>
      <c r="DF1719" s="5" t="s">
        <v>812</v>
      </c>
      <c r="DG1719" s="7">
        <f>1087</f>
        <v>1087</v>
      </c>
      <c r="DI1719" s="5" t="s">
        <v>240</v>
      </c>
      <c r="DJ1719" s="5" t="s">
        <v>240</v>
      </c>
      <c r="DK1719" s="5" t="s">
        <v>240</v>
      </c>
      <c r="DL1719" s="5" t="s">
        <v>240</v>
      </c>
      <c r="DP1719" s="5" t="s">
        <v>240</v>
      </c>
      <c r="DQ1719" s="5" t="s">
        <v>240</v>
      </c>
      <c r="DR1719" s="5" t="s">
        <v>240</v>
      </c>
      <c r="DS1719" s="5" t="s">
        <v>240</v>
      </c>
      <c r="DV1719" s="5" t="s">
        <v>813</v>
      </c>
      <c r="DW1719" s="5" t="s">
        <v>3570</v>
      </c>
      <c r="HO1719" s="5" t="s">
        <v>312</v>
      </c>
    </row>
    <row r="1720" spans="1:223" x14ac:dyDescent="0.4">
      <c r="A1720" s="5">
        <v>3395</v>
      </c>
      <c r="B1720" s="5">
        <v>1</v>
      </c>
      <c r="C1720" s="5">
        <v>1</v>
      </c>
      <c r="D1720" s="5" t="s">
        <v>297</v>
      </c>
      <c r="E1720" s="5" t="s">
        <v>245</v>
      </c>
      <c r="F1720" s="5" t="s">
        <v>254</v>
      </c>
      <c r="G1720" s="5" t="s">
        <v>240</v>
      </c>
      <c r="H1720" s="6" t="s">
        <v>4439</v>
      </c>
      <c r="I1720" s="5" t="s">
        <v>295</v>
      </c>
      <c r="J1720" s="8">
        <f>150</f>
        <v>150</v>
      </c>
      <c r="K1720" s="5" t="s">
        <v>308</v>
      </c>
      <c r="L1720" s="7">
        <f>1</f>
        <v>1</v>
      </c>
      <c r="M1720" s="7">
        <f>1</f>
        <v>1</v>
      </c>
      <c r="N1720" s="5" t="s">
        <v>242</v>
      </c>
      <c r="O1720" s="5">
        <v>1</v>
      </c>
      <c r="P1720" s="5" t="s">
        <v>294</v>
      </c>
      <c r="Q1720" s="5" t="s">
        <v>266</v>
      </c>
      <c r="R1720" s="5" t="s">
        <v>240</v>
      </c>
      <c r="S1720" s="5" t="s">
        <v>240</v>
      </c>
      <c r="T1720" s="5" t="s">
        <v>296</v>
      </c>
      <c r="U1720" s="5" t="s">
        <v>244</v>
      </c>
      <c r="V1720" s="5" t="s">
        <v>240</v>
      </c>
      <c r="Y1720" s="5" t="s">
        <v>240</v>
      </c>
      <c r="Z1720" s="6" t="s">
        <v>298</v>
      </c>
      <c r="AB1720" s="6" t="s">
        <v>240</v>
      </c>
      <c r="AE1720" s="6" t="s">
        <v>299</v>
      </c>
      <c r="AF1720" s="5" t="s">
        <v>248</v>
      </c>
      <c r="AG1720" s="5" t="s">
        <v>249</v>
      </c>
      <c r="AW1720" s="5" t="s">
        <v>251</v>
      </c>
      <c r="AX1720" s="5" t="s">
        <v>240</v>
      </c>
      <c r="AY1720" s="5" t="s">
        <v>253</v>
      </c>
      <c r="AZ1720" s="5" t="s">
        <v>240</v>
      </c>
      <c r="BA1720" s="5" t="s">
        <v>255</v>
      </c>
      <c r="BB1720" s="5" t="s">
        <v>240</v>
      </c>
      <c r="BD1720" s="5" t="s">
        <v>240</v>
      </c>
      <c r="BF1720" s="5" t="s">
        <v>301</v>
      </c>
      <c r="BG1720" s="6" t="s">
        <v>299</v>
      </c>
      <c r="BH1720" s="5" t="s">
        <v>302</v>
      </c>
      <c r="BI1720" s="5" t="s">
        <v>303</v>
      </c>
      <c r="BJ1720" s="5" t="s">
        <v>240</v>
      </c>
      <c r="BK1720" s="8">
        <f>0</f>
        <v>0</v>
      </c>
      <c r="BL1720" s="7">
        <f>0</f>
        <v>0</v>
      </c>
      <c r="BM1720" s="5" t="s">
        <v>258</v>
      </c>
      <c r="BN1720" s="5" t="s">
        <v>259</v>
      </c>
      <c r="CB1720" s="5" t="s">
        <v>240</v>
      </c>
      <c r="CC1720" s="5" t="s">
        <v>240</v>
      </c>
      <c r="CG1720" s="5" t="s">
        <v>304</v>
      </c>
      <c r="CH1720" s="5" t="s">
        <v>305</v>
      </c>
      <c r="CI1720" s="5" t="s">
        <v>240</v>
      </c>
      <c r="CL1720" s="6" t="s">
        <v>261</v>
      </c>
      <c r="CM1720" s="5" t="s">
        <v>240</v>
      </c>
      <c r="CN1720" s="5" t="s">
        <v>263</v>
      </c>
      <c r="CO1720" s="5" t="s">
        <v>240</v>
      </c>
      <c r="CP1720" s="5" t="s">
        <v>240</v>
      </c>
      <c r="CQ1720" s="5">
        <v>0</v>
      </c>
      <c r="CR1720" s="5" t="s">
        <v>306</v>
      </c>
      <c r="CS1720" s="5" t="s">
        <v>307</v>
      </c>
      <c r="CT1720" s="5" t="s">
        <v>307</v>
      </c>
      <c r="CU1720" s="5" t="s">
        <v>260</v>
      </c>
      <c r="CX1720" s="7">
        <f>1</f>
        <v>1</v>
      </c>
      <c r="CY1720" s="7">
        <f>0</f>
        <v>0</v>
      </c>
      <c r="DA1720" s="7">
        <f>0</f>
        <v>0</v>
      </c>
      <c r="DC1720" s="5" t="s">
        <v>812</v>
      </c>
      <c r="DD1720" s="5" t="s">
        <v>240</v>
      </c>
      <c r="DF1720" s="5" t="s">
        <v>812</v>
      </c>
      <c r="DG1720" s="7">
        <f>470</f>
        <v>470</v>
      </c>
      <c r="DI1720" s="5" t="s">
        <v>240</v>
      </c>
      <c r="DJ1720" s="5" t="s">
        <v>240</v>
      </c>
      <c r="DK1720" s="5" t="s">
        <v>240</v>
      </c>
      <c r="DL1720" s="5" t="s">
        <v>240</v>
      </c>
      <c r="DP1720" s="5" t="s">
        <v>240</v>
      </c>
      <c r="DQ1720" s="5" t="s">
        <v>240</v>
      </c>
      <c r="DR1720" s="5" t="s">
        <v>240</v>
      </c>
      <c r="DS1720" s="5" t="s">
        <v>240</v>
      </c>
      <c r="DV1720" s="5" t="s">
        <v>813</v>
      </c>
      <c r="DW1720" s="5" t="s">
        <v>3572</v>
      </c>
      <c r="HO1720" s="5" t="s">
        <v>312</v>
      </c>
    </row>
    <row r="1721" spans="1:223" x14ac:dyDescent="0.4">
      <c r="A1721" s="5">
        <v>3396</v>
      </c>
      <c r="B1721" s="5">
        <v>1</v>
      </c>
      <c r="C1721" s="5">
        <v>1</v>
      </c>
      <c r="D1721" s="5" t="s">
        <v>297</v>
      </c>
      <c r="E1721" s="5" t="s">
        <v>245</v>
      </c>
      <c r="F1721" s="5" t="s">
        <v>254</v>
      </c>
      <c r="G1721" s="5" t="s">
        <v>240</v>
      </c>
      <c r="H1721" s="6" t="s">
        <v>4438</v>
      </c>
      <c r="I1721" s="5" t="s">
        <v>295</v>
      </c>
      <c r="J1721" s="8">
        <f>130</f>
        <v>130</v>
      </c>
      <c r="K1721" s="5" t="s">
        <v>308</v>
      </c>
      <c r="L1721" s="7">
        <f>1</f>
        <v>1</v>
      </c>
      <c r="M1721" s="7">
        <f>1</f>
        <v>1</v>
      </c>
      <c r="N1721" s="5" t="s">
        <v>242</v>
      </c>
      <c r="O1721" s="5">
        <v>1</v>
      </c>
      <c r="P1721" s="5" t="s">
        <v>294</v>
      </c>
      <c r="Q1721" s="5" t="s">
        <v>266</v>
      </c>
      <c r="R1721" s="5" t="s">
        <v>240</v>
      </c>
      <c r="S1721" s="5" t="s">
        <v>240</v>
      </c>
      <c r="T1721" s="5" t="s">
        <v>296</v>
      </c>
      <c r="U1721" s="5" t="s">
        <v>244</v>
      </c>
      <c r="V1721" s="5" t="s">
        <v>240</v>
      </c>
      <c r="Y1721" s="5" t="s">
        <v>240</v>
      </c>
      <c r="Z1721" s="6" t="s">
        <v>298</v>
      </c>
      <c r="AB1721" s="6" t="s">
        <v>240</v>
      </c>
      <c r="AE1721" s="6" t="s">
        <v>299</v>
      </c>
      <c r="AF1721" s="5" t="s">
        <v>248</v>
      </c>
      <c r="AG1721" s="5" t="s">
        <v>249</v>
      </c>
      <c r="AW1721" s="5" t="s">
        <v>251</v>
      </c>
      <c r="AX1721" s="5" t="s">
        <v>240</v>
      </c>
      <c r="AY1721" s="5" t="s">
        <v>253</v>
      </c>
      <c r="AZ1721" s="5" t="s">
        <v>240</v>
      </c>
      <c r="BA1721" s="5" t="s">
        <v>255</v>
      </c>
      <c r="BB1721" s="5" t="s">
        <v>240</v>
      </c>
      <c r="BD1721" s="5" t="s">
        <v>240</v>
      </c>
      <c r="BF1721" s="5" t="s">
        <v>301</v>
      </c>
      <c r="BG1721" s="6" t="s">
        <v>299</v>
      </c>
      <c r="BH1721" s="5" t="s">
        <v>302</v>
      </c>
      <c r="BI1721" s="5" t="s">
        <v>303</v>
      </c>
      <c r="BJ1721" s="5" t="s">
        <v>240</v>
      </c>
      <c r="BK1721" s="8">
        <f>0</f>
        <v>0</v>
      </c>
      <c r="BL1721" s="7">
        <f>0</f>
        <v>0</v>
      </c>
      <c r="BM1721" s="5" t="s">
        <v>258</v>
      </c>
      <c r="BN1721" s="5" t="s">
        <v>259</v>
      </c>
      <c r="CB1721" s="5" t="s">
        <v>240</v>
      </c>
      <c r="CC1721" s="5" t="s">
        <v>240</v>
      </c>
      <c r="CG1721" s="5" t="s">
        <v>304</v>
      </c>
      <c r="CH1721" s="5" t="s">
        <v>305</v>
      </c>
      <c r="CI1721" s="5" t="s">
        <v>240</v>
      </c>
      <c r="CL1721" s="6" t="s">
        <v>261</v>
      </c>
      <c r="CM1721" s="5" t="s">
        <v>240</v>
      </c>
      <c r="CN1721" s="5" t="s">
        <v>263</v>
      </c>
      <c r="CO1721" s="5" t="s">
        <v>240</v>
      </c>
      <c r="CP1721" s="5" t="s">
        <v>240</v>
      </c>
      <c r="CQ1721" s="5">
        <v>0</v>
      </c>
      <c r="CR1721" s="5" t="s">
        <v>306</v>
      </c>
      <c r="CS1721" s="5" t="s">
        <v>307</v>
      </c>
      <c r="CT1721" s="5" t="s">
        <v>307</v>
      </c>
      <c r="CU1721" s="5" t="s">
        <v>260</v>
      </c>
      <c r="CX1721" s="7">
        <f>1</f>
        <v>1</v>
      </c>
      <c r="CY1721" s="7">
        <f>0</f>
        <v>0</v>
      </c>
      <c r="DA1721" s="7">
        <f>0</f>
        <v>0</v>
      </c>
      <c r="DC1721" s="5" t="s">
        <v>812</v>
      </c>
      <c r="DD1721" s="5" t="s">
        <v>240</v>
      </c>
      <c r="DF1721" s="5" t="s">
        <v>812</v>
      </c>
      <c r="DG1721" s="7">
        <f>728</f>
        <v>728</v>
      </c>
      <c r="DI1721" s="5" t="s">
        <v>240</v>
      </c>
      <c r="DJ1721" s="5" t="s">
        <v>240</v>
      </c>
      <c r="DK1721" s="5" t="s">
        <v>240</v>
      </c>
      <c r="DL1721" s="5" t="s">
        <v>240</v>
      </c>
      <c r="DP1721" s="5" t="s">
        <v>240</v>
      </c>
      <c r="DQ1721" s="5" t="s">
        <v>240</v>
      </c>
      <c r="DR1721" s="5" t="s">
        <v>240</v>
      </c>
      <c r="DS1721" s="5" t="s">
        <v>240</v>
      </c>
      <c r="DV1721" s="5" t="s">
        <v>813</v>
      </c>
      <c r="DW1721" s="5" t="s">
        <v>3574</v>
      </c>
      <c r="HO1721" s="5" t="s">
        <v>312</v>
      </c>
    </row>
    <row r="1722" spans="1:223" x14ac:dyDescent="0.4">
      <c r="A1722" s="5">
        <v>3397</v>
      </c>
      <c r="B1722" s="5">
        <v>1</v>
      </c>
      <c r="C1722" s="5">
        <v>1</v>
      </c>
      <c r="D1722" s="5" t="s">
        <v>297</v>
      </c>
      <c r="E1722" s="5" t="s">
        <v>245</v>
      </c>
      <c r="F1722" s="5" t="s">
        <v>254</v>
      </c>
      <c r="G1722" s="5" t="s">
        <v>240</v>
      </c>
      <c r="H1722" s="6" t="s">
        <v>4437</v>
      </c>
      <c r="I1722" s="5" t="s">
        <v>295</v>
      </c>
      <c r="J1722" s="8">
        <f>3990</f>
        <v>3990</v>
      </c>
      <c r="K1722" s="5" t="s">
        <v>308</v>
      </c>
      <c r="L1722" s="7">
        <f>1</f>
        <v>1</v>
      </c>
      <c r="M1722" s="7">
        <f>1</f>
        <v>1</v>
      </c>
      <c r="N1722" s="5" t="s">
        <v>242</v>
      </c>
      <c r="O1722" s="5">
        <v>1</v>
      </c>
      <c r="P1722" s="5" t="s">
        <v>294</v>
      </c>
      <c r="Q1722" s="5" t="s">
        <v>266</v>
      </c>
      <c r="R1722" s="5" t="s">
        <v>240</v>
      </c>
      <c r="S1722" s="5" t="s">
        <v>240</v>
      </c>
      <c r="T1722" s="5" t="s">
        <v>296</v>
      </c>
      <c r="U1722" s="5" t="s">
        <v>244</v>
      </c>
      <c r="V1722" s="5" t="s">
        <v>240</v>
      </c>
      <c r="Y1722" s="5" t="s">
        <v>240</v>
      </c>
      <c r="Z1722" s="6" t="s">
        <v>298</v>
      </c>
      <c r="AB1722" s="6" t="s">
        <v>240</v>
      </c>
      <c r="AE1722" s="6" t="s">
        <v>299</v>
      </c>
      <c r="AF1722" s="5" t="s">
        <v>248</v>
      </c>
      <c r="AG1722" s="5" t="s">
        <v>249</v>
      </c>
      <c r="AW1722" s="5" t="s">
        <v>251</v>
      </c>
      <c r="AX1722" s="5" t="s">
        <v>240</v>
      </c>
      <c r="AY1722" s="5" t="s">
        <v>253</v>
      </c>
      <c r="AZ1722" s="5" t="s">
        <v>240</v>
      </c>
      <c r="BA1722" s="5" t="s">
        <v>255</v>
      </c>
      <c r="BB1722" s="5" t="s">
        <v>240</v>
      </c>
      <c r="BD1722" s="5" t="s">
        <v>240</v>
      </c>
      <c r="BF1722" s="5" t="s">
        <v>301</v>
      </c>
      <c r="BG1722" s="6" t="s">
        <v>299</v>
      </c>
      <c r="BH1722" s="5" t="s">
        <v>302</v>
      </c>
      <c r="BI1722" s="5" t="s">
        <v>303</v>
      </c>
      <c r="BJ1722" s="5" t="s">
        <v>240</v>
      </c>
      <c r="BK1722" s="8">
        <f>0</f>
        <v>0</v>
      </c>
      <c r="BL1722" s="7">
        <f>0</f>
        <v>0</v>
      </c>
      <c r="BM1722" s="5" t="s">
        <v>258</v>
      </c>
      <c r="BN1722" s="5" t="s">
        <v>259</v>
      </c>
      <c r="CB1722" s="5" t="s">
        <v>240</v>
      </c>
      <c r="CC1722" s="5" t="s">
        <v>240</v>
      </c>
      <c r="CG1722" s="5" t="s">
        <v>304</v>
      </c>
      <c r="CH1722" s="5" t="s">
        <v>305</v>
      </c>
      <c r="CI1722" s="5" t="s">
        <v>240</v>
      </c>
      <c r="CL1722" s="6" t="s">
        <v>261</v>
      </c>
      <c r="CM1722" s="5" t="s">
        <v>240</v>
      </c>
      <c r="CN1722" s="5" t="s">
        <v>263</v>
      </c>
      <c r="CO1722" s="5" t="s">
        <v>240</v>
      </c>
      <c r="CP1722" s="5" t="s">
        <v>240</v>
      </c>
      <c r="CQ1722" s="5">
        <v>0</v>
      </c>
      <c r="CR1722" s="5" t="s">
        <v>306</v>
      </c>
      <c r="CS1722" s="5" t="s">
        <v>307</v>
      </c>
      <c r="CT1722" s="5" t="s">
        <v>307</v>
      </c>
      <c r="CU1722" s="5" t="s">
        <v>260</v>
      </c>
      <c r="CX1722" s="7">
        <f>1</f>
        <v>1</v>
      </c>
      <c r="CY1722" s="7">
        <f>0</f>
        <v>0</v>
      </c>
      <c r="DA1722" s="7">
        <f>0</f>
        <v>0</v>
      </c>
      <c r="DC1722" s="5" t="s">
        <v>812</v>
      </c>
      <c r="DD1722" s="5" t="s">
        <v>240</v>
      </c>
      <c r="DF1722" s="5" t="s">
        <v>812</v>
      </c>
      <c r="DG1722" s="7">
        <f>286</f>
        <v>286</v>
      </c>
      <c r="DI1722" s="5" t="s">
        <v>240</v>
      </c>
      <c r="DJ1722" s="5" t="s">
        <v>240</v>
      </c>
      <c r="DK1722" s="5" t="s">
        <v>240</v>
      </c>
      <c r="DL1722" s="5" t="s">
        <v>240</v>
      </c>
      <c r="DP1722" s="5" t="s">
        <v>240</v>
      </c>
      <c r="DQ1722" s="5" t="s">
        <v>240</v>
      </c>
      <c r="DR1722" s="5" t="s">
        <v>240</v>
      </c>
      <c r="DS1722" s="5" t="s">
        <v>240</v>
      </c>
      <c r="DV1722" s="5" t="s">
        <v>813</v>
      </c>
      <c r="DW1722" s="5" t="s">
        <v>3576</v>
      </c>
      <c r="HO1722" s="5" t="s">
        <v>312</v>
      </c>
    </row>
    <row r="1723" spans="1:223" x14ac:dyDescent="0.4">
      <c r="A1723" s="5">
        <v>3398</v>
      </c>
      <c r="B1723" s="5">
        <v>1</v>
      </c>
      <c r="C1723" s="5">
        <v>1</v>
      </c>
      <c r="D1723" s="5" t="s">
        <v>297</v>
      </c>
      <c r="E1723" s="5" t="s">
        <v>245</v>
      </c>
      <c r="F1723" s="5" t="s">
        <v>254</v>
      </c>
      <c r="G1723" s="5" t="s">
        <v>240</v>
      </c>
      <c r="H1723" s="6" t="s">
        <v>4436</v>
      </c>
      <c r="I1723" s="5" t="s">
        <v>295</v>
      </c>
      <c r="J1723" s="8">
        <f>78</f>
        <v>78</v>
      </c>
      <c r="K1723" s="5" t="s">
        <v>308</v>
      </c>
      <c r="L1723" s="7">
        <f>1</f>
        <v>1</v>
      </c>
      <c r="M1723" s="7">
        <f>1</f>
        <v>1</v>
      </c>
      <c r="N1723" s="5" t="s">
        <v>242</v>
      </c>
      <c r="O1723" s="5">
        <v>1</v>
      </c>
      <c r="P1723" s="5" t="s">
        <v>294</v>
      </c>
      <c r="Q1723" s="5" t="s">
        <v>266</v>
      </c>
      <c r="R1723" s="5" t="s">
        <v>240</v>
      </c>
      <c r="S1723" s="5" t="s">
        <v>240</v>
      </c>
      <c r="T1723" s="5" t="s">
        <v>296</v>
      </c>
      <c r="U1723" s="5" t="s">
        <v>244</v>
      </c>
      <c r="V1723" s="5" t="s">
        <v>240</v>
      </c>
      <c r="Y1723" s="5" t="s">
        <v>240</v>
      </c>
      <c r="Z1723" s="6" t="s">
        <v>298</v>
      </c>
      <c r="AB1723" s="6" t="s">
        <v>240</v>
      </c>
      <c r="AE1723" s="6" t="s">
        <v>299</v>
      </c>
      <c r="AF1723" s="5" t="s">
        <v>248</v>
      </c>
      <c r="AG1723" s="5" t="s">
        <v>249</v>
      </c>
      <c r="AW1723" s="5" t="s">
        <v>251</v>
      </c>
      <c r="AX1723" s="5" t="s">
        <v>240</v>
      </c>
      <c r="AY1723" s="5" t="s">
        <v>253</v>
      </c>
      <c r="AZ1723" s="5" t="s">
        <v>240</v>
      </c>
      <c r="BA1723" s="5" t="s">
        <v>255</v>
      </c>
      <c r="BB1723" s="5" t="s">
        <v>240</v>
      </c>
      <c r="BD1723" s="5" t="s">
        <v>240</v>
      </c>
      <c r="BF1723" s="5" t="s">
        <v>301</v>
      </c>
      <c r="BG1723" s="6" t="s">
        <v>299</v>
      </c>
      <c r="BH1723" s="5" t="s">
        <v>302</v>
      </c>
      <c r="BI1723" s="5" t="s">
        <v>303</v>
      </c>
      <c r="BJ1723" s="5" t="s">
        <v>240</v>
      </c>
      <c r="BK1723" s="8">
        <f>0</f>
        <v>0</v>
      </c>
      <c r="BL1723" s="7">
        <f>0</f>
        <v>0</v>
      </c>
      <c r="BM1723" s="5" t="s">
        <v>258</v>
      </c>
      <c r="BN1723" s="5" t="s">
        <v>259</v>
      </c>
      <c r="CB1723" s="5" t="s">
        <v>240</v>
      </c>
      <c r="CC1723" s="5" t="s">
        <v>240</v>
      </c>
      <c r="CG1723" s="5" t="s">
        <v>304</v>
      </c>
      <c r="CH1723" s="5" t="s">
        <v>305</v>
      </c>
      <c r="CI1723" s="5" t="s">
        <v>240</v>
      </c>
      <c r="CL1723" s="6" t="s">
        <v>261</v>
      </c>
      <c r="CM1723" s="5" t="s">
        <v>240</v>
      </c>
      <c r="CN1723" s="5" t="s">
        <v>263</v>
      </c>
      <c r="CO1723" s="5" t="s">
        <v>240</v>
      </c>
      <c r="CP1723" s="5" t="s">
        <v>240</v>
      </c>
      <c r="CQ1723" s="5">
        <v>0</v>
      </c>
      <c r="CR1723" s="5" t="s">
        <v>306</v>
      </c>
      <c r="CS1723" s="5" t="s">
        <v>307</v>
      </c>
      <c r="CT1723" s="5" t="s">
        <v>307</v>
      </c>
      <c r="CU1723" s="5" t="s">
        <v>260</v>
      </c>
      <c r="CX1723" s="7">
        <f>1</f>
        <v>1</v>
      </c>
      <c r="CY1723" s="7">
        <f>0</f>
        <v>0</v>
      </c>
      <c r="DA1723" s="7">
        <f>0</f>
        <v>0</v>
      </c>
      <c r="DC1723" s="5" t="s">
        <v>812</v>
      </c>
      <c r="DD1723" s="5" t="s">
        <v>240</v>
      </c>
      <c r="DF1723" s="5" t="s">
        <v>812</v>
      </c>
      <c r="DG1723" s="7">
        <f>317</f>
        <v>317</v>
      </c>
      <c r="DI1723" s="5" t="s">
        <v>240</v>
      </c>
      <c r="DJ1723" s="5" t="s">
        <v>240</v>
      </c>
      <c r="DK1723" s="5" t="s">
        <v>240</v>
      </c>
      <c r="DL1723" s="5" t="s">
        <v>240</v>
      </c>
      <c r="DP1723" s="5" t="s">
        <v>240</v>
      </c>
      <c r="DQ1723" s="5" t="s">
        <v>240</v>
      </c>
      <c r="DR1723" s="5" t="s">
        <v>240</v>
      </c>
      <c r="DS1723" s="5" t="s">
        <v>240</v>
      </c>
      <c r="DV1723" s="5" t="s">
        <v>813</v>
      </c>
      <c r="DW1723" s="5" t="s">
        <v>3578</v>
      </c>
      <c r="HO1723" s="5" t="s">
        <v>312</v>
      </c>
    </row>
    <row r="1724" spans="1:223" x14ac:dyDescent="0.4">
      <c r="A1724" s="5">
        <v>3399</v>
      </c>
      <c r="B1724" s="5">
        <v>1</v>
      </c>
      <c r="C1724" s="5">
        <v>1</v>
      </c>
      <c r="D1724" s="5" t="s">
        <v>297</v>
      </c>
      <c r="E1724" s="5" t="s">
        <v>245</v>
      </c>
      <c r="F1724" s="5" t="s">
        <v>254</v>
      </c>
      <c r="G1724" s="5" t="s">
        <v>240</v>
      </c>
      <c r="H1724" s="6" t="s">
        <v>4435</v>
      </c>
      <c r="I1724" s="5" t="s">
        <v>295</v>
      </c>
      <c r="J1724" s="8">
        <f>1048</f>
        <v>1048</v>
      </c>
      <c r="K1724" s="5" t="s">
        <v>308</v>
      </c>
      <c r="L1724" s="7">
        <f>1</f>
        <v>1</v>
      </c>
      <c r="M1724" s="7">
        <f>1</f>
        <v>1</v>
      </c>
      <c r="N1724" s="5" t="s">
        <v>242</v>
      </c>
      <c r="O1724" s="5">
        <v>1</v>
      </c>
      <c r="P1724" s="5" t="s">
        <v>294</v>
      </c>
      <c r="Q1724" s="5" t="s">
        <v>266</v>
      </c>
      <c r="R1724" s="5" t="s">
        <v>240</v>
      </c>
      <c r="S1724" s="5" t="s">
        <v>240</v>
      </c>
      <c r="T1724" s="5" t="s">
        <v>296</v>
      </c>
      <c r="U1724" s="5" t="s">
        <v>244</v>
      </c>
      <c r="V1724" s="5" t="s">
        <v>240</v>
      </c>
      <c r="Y1724" s="5" t="s">
        <v>240</v>
      </c>
      <c r="Z1724" s="6" t="s">
        <v>298</v>
      </c>
      <c r="AB1724" s="6" t="s">
        <v>240</v>
      </c>
      <c r="AE1724" s="6" t="s">
        <v>299</v>
      </c>
      <c r="AF1724" s="5" t="s">
        <v>248</v>
      </c>
      <c r="AG1724" s="5" t="s">
        <v>249</v>
      </c>
      <c r="AW1724" s="5" t="s">
        <v>251</v>
      </c>
      <c r="AX1724" s="5" t="s">
        <v>240</v>
      </c>
      <c r="AY1724" s="5" t="s">
        <v>253</v>
      </c>
      <c r="AZ1724" s="5" t="s">
        <v>240</v>
      </c>
      <c r="BA1724" s="5" t="s">
        <v>255</v>
      </c>
      <c r="BB1724" s="5" t="s">
        <v>240</v>
      </c>
      <c r="BD1724" s="5" t="s">
        <v>240</v>
      </c>
      <c r="BF1724" s="5" t="s">
        <v>301</v>
      </c>
      <c r="BG1724" s="6" t="s">
        <v>299</v>
      </c>
      <c r="BH1724" s="5" t="s">
        <v>302</v>
      </c>
      <c r="BI1724" s="5" t="s">
        <v>303</v>
      </c>
      <c r="BJ1724" s="5" t="s">
        <v>240</v>
      </c>
      <c r="BK1724" s="8">
        <f>0</f>
        <v>0</v>
      </c>
      <c r="BL1724" s="7">
        <f>0</f>
        <v>0</v>
      </c>
      <c r="BM1724" s="5" t="s">
        <v>258</v>
      </c>
      <c r="BN1724" s="5" t="s">
        <v>259</v>
      </c>
      <c r="CB1724" s="5" t="s">
        <v>240</v>
      </c>
      <c r="CC1724" s="5" t="s">
        <v>240</v>
      </c>
      <c r="CG1724" s="5" t="s">
        <v>304</v>
      </c>
      <c r="CH1724" s="5" t="s">
        <v>305</v>
      </c>
      <c r="CI1724" s="5" t="s">
        <v>240</v>
      </c>
      <c r="CL1724" s="6" t="s">
        <v>261</v>
      </c>
      <c r="CM1724" s="5" t="s">
        <v>240</v>
      </c>
      <c r="CN1724" s="5" t="s">
        <v>263</v>
      </c>
      <c r="CO1724" s="5" t="s">
        <v>240</v>
      </c>
      <c r="CP1724" s="5" t="s">
        <v>240</v>
      </c>
      <c r="CQ1724" s="5">
        <v>0</v>
      </c>
      <c r="CR1724" s="5" t="s">
        <v>306</v>
      </c>
      <c r="CS1724" s="5" t="s">
        <v>307</v>
      </c>
      <c r="CT1724" s="5" t="s">
        <v>307</v>
      </c>
      <c r="CU1724" s="5" t="s">
        <v>260</v>
      </c>
      <c r="CX1724" s="7">
        <f>1</f>
        <v>1</v>
      </c>
      <c r="CY1724" s="7">
        <f>0</f>
        <v>0</v>
      </c>
      <c r="DA1724" s="7">
        <f>0</f>
        <v>0</v>
      </c>
      <c r="DC1724" s="5" t="s">
        <v>812</v>
      </c>
      <c r="DD1724" s="5" t="s">
        <v>240</v>
      </c>
      <c r="DF1724" s="5" t="s">
        <v>812</v>
      </c>
      <c r="DG1724" s="7">
        <f>2441</f>
        <v>2441</v>
      </c>
      <c r="DI1724" s="5" t="s">
        <v>240</v>
      </c>
      <c r="DJ1724" s="5" t="s">
        <v>240</v>
      </c>
      <c r="DK1724" s="5" t="s">
        <v>240</v>
      </c>
      <c r="DL1724" s="5" t="s">
        <v>240</v>
      </c>
      <c r="DP1724" s="5" t="s">
        <v>240</v>
      </c>
      <c r="DQ1724" s="5" t="s">
        <v>240</v>
      </c>
      <c r="DR1724" s="5" t="s">
        <v>240</v>
      </c>
      <c r="DS1724" s="5" t="s">
        <v>240</v>
      </c>
      <c r="DV1724" s="5" t="s">
        <v>813</v>
      </c>
      <c r="DW1724" s="5" t="s">
        <v>3580</v>
      </c>
      <c r="HO1724" s="5" t="s">
        <v>312</v>
      </c>
    </row>
    <row r="1725" spans="1:223" x14ac:dyDescent="0.4">
      <c r="A1725" s="5">
        <v>3400</v>
      </c>
      <c r="B1725" s="5">
        <v>1</v>
      </c>
      <c r="C1725" s="5">
        <v>1</v>
      </c>
      <c r="D1725" s="5" t="s">
        <v>297</v>
      </c>
      <c r="E1725" s="5" t="s">
        <v>245</v>
      </c>
      <c r="F1725" s="5" t="s">
        <v>254</v>
      </c>
      <c r="G1725" s="5" t="s">
        <v>240</v>
      </c>
      <c r="H1725" s="6" t="s">
        <v>4434</v>
      </c>
      <c r="I1725" s="5" t="s">
        <v>295</v>
      </c>
      <c r="J1725" s="8">
        <f>1576</f>
        <v>1576</v>
      </c>
      <c r="K1725" s="5" t="s">
        <v>308</v>
      </c>
      <c r="L1725" s="7">
        <f>1</f>
        <v>1</v>
      </c>
      <c r="M1725" s="7">
        <f>1</f>
        <v>1</v>
      </c>
      <c r="N1725" s="5" t="s">
        <v>242</v>
      </c>
      <c r="O1725" s="5">
        <v>1</v>
      </c>
      <c r="P1725" s="5" t="s">
        <v>294</v>
      </c>
      <c r="Q1725" s="5" t="s">
        <v>266</v>
      </c>
      <c r="R1725" s="5" t="s">
        <v>240</v>
      </c>
      <c r="S1725" s="5" t="s">
        <v>240</v>
      </c>
      <c r="T1725" s="5" t="s">
        <v>296</v>
      </c>
      <c r="U1725" s="5" t="s">
        <v>244</v>
      </c>
      <c r="V1725" s="5" t="s">
        <v>240</v>
      </c>
      <c r="Y1725" s="5" t="s">
        <v>240</v>
      </c>
      <c r="Z1725" s="6" t="s">
        <v>298</v>
      </c>
      <c r="AB1725" s="6" t="s">
        <v>240</v>
      </c>
      <c r="AE1725" s="6" t="s">
        <v>299</v>
      </c>
      <c r="AF1725" s="5" t="s">
        <v>248</v>
      </c>
      <c r="AG1725" s="5" t="s">
        <v>249</v>
      </c>
      <c r="AW1725" s="5" t="s">
        <v>251</v>
      </c>
      <c r="AX1725" s="5" t="s">
        <v>240</v>
      </c>
      <c r="AY1725" s="5" t="s">
        <v>253</v>
      </c>
      <c r="AZ1725" s="5" t="s">
        <v>240</v>
      </c>
      <c r="BA1725" s="5" t="s">
        <v>255</v>
      </c>
      <c r="BB1725" s="5" t="s">
        <v>240</v>
      </c>
      <c r="BD1725" s="5" t="s">
        <v>240</v>
      </c>
      <c r="BF1725" s="5" t="s">
        <v>301</v>
      </c>
      <c r="BG1725" s="6" t="s">
        <v>299</v>
      </c>
      <c r="BH1725" s="5" t="s">
        <v>302</v>
      </c>
      <c r="BI1725" s="5" t="s">
        <v>303</v>
      </c>
      <c r="BJ1725" s="5" t="s">
        <v>240</v>
      </c>
      <c r="BK1725" s="8">
        <f>0</f>
        <v>0</v>
      </c>
      <c r="BL1725" s="7">
        <f>0</f>
        <v>0</v>
      </c>
      <c r="BM1725" s="5" t="s">
        <v>258</v>
      </c>
      <c r="BN1725" s="5" t="s">
        <v>259</v>
      </c>
      <c r="CB1725" s="5" t="s">
        <v>240</v>
      </c>
      <c r="CC1725" s="5" t="s">
        <v>240</v>
      </c>
      <c r="CG1725" s="5" t="s">
        <v>304</v>
      </c>
      <c r="CH1725" s="5" t="s">
        <v>305</v>
      </c>
      <c r="CI1725" s="5" t="s">
        <v>240</v>
      </c>
      <c r="CL1725" s="6" t="s">
        <v>261</v>
      </c>
      <c r="CM1725" s="5" t="s">
        <v>240</v>
      </c>
      <c r="CN1725" s="5" t="s">
        <v>263</v>
      </c>
      <c r="CO1725" s="5" t="s">
        <v>240</v>
      </c>
      <c r="CP1725" s="5" t="s">
        <v>240</v>
      </c>
      <c r="CQ1725" s="5">
        <v>0</v>
      </c>
      <c r="CR1725" s="5" t="s">
        <v>306</v>
      </c>
      <c r="CS1725" s="5" t="s">
        <v>307</v>
      </c>
      <c r="CT1725" s="5" t="s">
        <v>307</v>
      </c>
      <c r="CU1725" s="5" t="s">
        <v>260</v>
      </c>
      <c r="CX1725" s="7">
        <f>1</f>
        <v>1</v>
      </c>
      <c r="CY1725" s="7">
        <f>0</f>
        <v>0</v>
      </c>
      <c r="DA1725" s="7">
        <f>0</f>
        <v>0</v>
      </c>
      <c r="DC1725" s="5" t="s">
        <v>812</v>
      </c>
      <c r="DD1725" s="5" t="s">
        <v>240</v>
      </c>
      <c r="DF1725" s="5" t="s">
        <v>812</v>
      </c>
      <c r="DG1725" s="7">
        <f>26</f>
        <v>26</v>
      </c>
      <c r="DI1725" s="5" t="s">
        <v>240</v>
      </c>
      <c r="DJ1725" s="5" t="s">
        <v>240</v>
      </c>
      <c r="DK1725" s="5" t="s">
        <v>240</v>
      </c>
      <c r="DL1725" s="5" t="s">
        <v>240</v>
      </c>
      <c r="DP1725" s="5" t="s">
        <v>240</v>
      </c>
      <c r="DQ1725" s="5" t="s">
        <v>240</v>
      </c>
      <c r="DR1725" s="5" t="s">
        <v>240</v>
      </c>
      <c r="DS1725" s="5" t="s">
        <v>240</v>
      </c>
      <c r="DV1725" s="5" t="s">
        <v>813</v>
      </c>
      <c r="DW1725" s="5" t="s">
        <v>3582</v>
      </c>
      <c r="HO1725" s="5" t="s">
        <v>312</v>
      </c>
    </row>
    <row r="1726" spans="1:223" x14ac:dyDescent="0.4">
      <c r="A1726" s="5">
        <v>3401</v>
      </c>
      <c r="B1726" s="5">
        <v>1</v>
      </c>
      <c r="C1726" s="5">
        <v>1</v>
      </c>
      <c r="D1726" s="5" t="s">
        <v>297</v>
      </c>
      <c r="E1726" s="5" t="s">
        <v>245</v>
      </c>
      <c r="F1726" s="5" t="s">
        <v>254</v>
      </c>
      <c r="G1726" s="5" t="s">
        <v>240</v>
      </c>
      <c r="H1726" s="6" t="s">
        <v>4433</v>
      </c>
      <c r="I1726" s="5" t="s">
        <v>295</v>
      </c>
      <c r="J1726" s="8">
        <f>2523</f>
        <v>2523</v>
      </c>
      <c r="K1726" s="5" t="s">
        <v>308</v>
      </c>
      <c r="L1726" s="7">
        <f>1</f>
        <v>1</v>
      </c>
      <c r="M1726" s="7">
        <f>1</f>
        <v>1</v>
      </c>
      <c r="N1726" s="5" t="s">
        <v>242</v>
      </c>
      <c r="O1726" s="5">
        <v>1</v>
      </c>
      <c r="P1726" s="5" t="s">
        <v>294</v>
      </c>
      <c r="Q1726" s="5" t="s">
        <v>266</v>
      </c>
      <c r="R1726" s="5" t="s">
        <v>240</v>
      </c>
      <c r="S1726" s="5" t="s">
        <v>240</v>
      </c>
      <c r="T1726" s="5" t="s">
        <v>296</v>
      </c>
      <c r="U1726" s="5" t="s">
        <v>244</v>
      </c>
      <c r="V1726" s="5" t="s">
        <v>240</v>
      </c>
      <c r="Y1726" s="5" t="s">
        <v>240</v>
      </c>
      <c r="Z1726" s="6" t="s">
        <v>298</v>
      </c>
      <c r="AB1726" s="6" t="s">
        <v>240</v>
      </c>
      <c r="AE1726" s="6" t="s">
        <v>299</v>
      </c>
      <c r="AF1726" s="5" t="s">
        <v>248</v>
      </c>
      <c r="AG1726" s="5" t="s">
        <v>249</v>
      </c>
      <c r="AW1726" s="5" t="s">
        <v>251</v>
      </c>
      <c r="AX1726" s="5" t="s">
        <v>240</v>
      </c>
      <c r="AY1726" s="5" t="s">
        <v>253</v>
      </c>
      <c r="AZ1726" s="5" t="s">
        <v>240</v>
      </c>
      <c r="BA1726" s="5" t="s">
        <v>255</v>
      </c>
      <c r="BB1726" s="5" t="s">
        <v>240</v>
      </c>
      <c r="BD1726" s="5" t="s">
        <v>240</v>
      </c>
      <c r="BF1726" s="5" t="s">
        <v>301</v>
      </c>
      <c r="BG1726" s="6" t="s">
        <v>299</v>
      </c>
      <c r="BH1726" s="5" t="s">
        <v>302</v>
      </c>
      <c r="BI1726" s="5" t="s">
        <v>303</v>
      </c>
      <c r="BJ1726" s="5" t="s">
        <v>240</v>
      </c>
      <c r="BK1726" s="8">
        <f>0</f>
        <v>0</v>
      </c>
      <c r="BL1726" s="7">
        <f>0</f>
        <v>0</v>
      </c>
      <c r="BM1726" s="5" t="s">
        <v>258</v>
      </c>
      <c r="BN1726" s="5" t="s">
        <v>259</v>
      </c>
      <c r="CB1726" s="5" t="s">
        <v>240</v>
      </c>
      <c r="CC1726" s="5" t="s">
        <v>240</v>
      </c>
      <c r="CG1726" s="5" t="s">
        <v>304</v>
      </c>
      <c r="CH1726" s="5" t="s">
        <v>305</v>
      </c>
      <c r="CI1726" s="5" t="s">
        <v>240</v>
      </c>
      <c r="CL1726" s="6" t="s">
        <v>261</v>
      </c>
      <c r="CM1726" s="5" t="s">
        <v>240</v>
      </c>
      <c r="CN1726" s="5" t="s">
        <v>263</v>
      </c>
      <c r="CO1726" s="5" t="s">
        <v>240</v>
      </c>
      <c r="CP1726" s="5" t="s">
        <v>240</v>
      </c>
      <c r="CQ1726" s="5">
        <v>0</v>
      </c>
      <c r="CR1726" s="5" t="s">
        <v>306</v>
      </c>
      <c r="CS1726" s="5" t="s">
        <v>307</v>
      </c>
      <c r="CT1726" s="5" t="s">
        <v>307</v>
      </c>
      <c r="CU1726" s="5" t="s">
        <v>260</v>
      </c>
      <c r="CX1726" s="7">
        <f>1</f>
        <v>1</v>
      </c>
      <c r="CY1726" s="7">
        <f>0</f>
        <v>0</v>
      </c>
      <c r="DA1726" s="7">
        <f>0</f>
        <v>0</v>
      </c>
      <c r="DC1726" s="5" t="s">
        <v>812</v>
      </c>
      <c r="DD1726" s="5" t="s">
        <v>240</v>
      </c>
      <c r="DF1726" s="5" t="s">
        <v>812</v>
      </c>
      <c r="DG1726" s="7">
        <f>314</f>
        <v>314</v>
      </c>
      <c r="DI1726" s="5" t="s">
        <v>240</v>
      </c>
      <c r="DJ1726" s="5" t="s">
        <v>240</v>
      </c>
      <c r="DK1726" s="5" t="s">
        <v>240</v>
      </c>
      <c r="DL1726" s="5" t="s">
        <v>240</v>
      </c>
      <c r="DP1726" s="5" t="s">
        <v>240</v>
      </c>
      <c r="DQ1726" s="5" t="s">
        <v>240</v>
      </c>
      <c r="DR1726" s="5" t="s">
        <v>240</v>
      </c>
      <c r="DS1726" s="5" t="s">
        <v>240</v>
      </c>
      <c r="DV1726" s="5" t="s">
        <v>813</v>
      </c>
      <c r="DW1726" s="5" t="s">
        <v>3584</v>
      </c>
      <c r="HO1726" s="5" t="s">
        <v>312</v>
      </c>
    </row>
    <row r="1727" spans="1:223" x14ac:dyDescent="0.4">
      <c r="A1727" s="5">
        <v>3402</v>
      </c>
      <c r="B1727" s="5">
        <v>1</v>
      </c>
      <c r="C1727" s="5">
        <v>1</v>
      </c>
      <c r="D1727" s="5" t="s">
        <v>297</v>
      </c>
      <c r="E1727" s="5" t="s">
        <v>245</v>
      </c>
      <c r="F1727" s="5" t="s">
        <v>254</v>
      </c>
      <c r="G1727" s="5" t="s">
        <v>240</v>
      </c>
      <c r="H1727" s="6" t="s">
        <v>4432</v>
      </c>
      <c r="I1727" s="5" t="s">
        <v>295</v>
      </c>
      <c r="J1727" s="8">
        <f>802</f>
        <v>802</v>
      </c>
      <c r="K1727" s="5" t="s">
        <v>308</v>
      </c>
      <c r="L1727" s="7">
        <f>1</f>
        <v>1</v>
      </c>
      <c r="M1727" s="7">
        <f>1</f>
        <v>1</v>
      </c>
      <c r="N1727" s="5" t="s">
        <v>242</v>
      </c>
      <c r="O1727" s="5">
        <v>1</v>
      </c>
      <c r="P1727" s="5" t="s">
        <v>294</v>
      </c>
      <c r="Q1727" s="5" t="s">
        <v>266</v>
      </c>
      <c r="R1727" s="5" t="s">
        <v>240</v>
      </c>
      <c r="S1727" s="5" t="s">
        <v>240</v>
      </c>
      <c r="T1727" s="5" t="s">
        <v>296</v>
      </c>
      <c r="U1727" s="5" t="s">
        <v>244</v>
      </c>
      <c r="V1727" s="5" t="s">
        <v>240</v>
      </c>
      <c r="Y1727" s="5" t="s">
        <v>240</v>
      </c>
      <c r="Z1727" s="6" t="s">
        <v>298</v>
      </c>
      <c r="AB1727" s="6" t="s">
        <v>240</v>
      </c>
      <c r="AE1727" s="6" t="s">
        <v>299</v>
      </c>
      <c r="AF1727" s="5" t="s">
        <v>248</v>
      </c>
      <c r="AG1727" s="5" t="s">
        <v>249</v>
      </c>
      <c r="AW1727" s="5" t="s">
        <v>251</v>
      </c>
      <c r="AX1727" s="5" t="s">
        <v>240</v>
      </c>
      <c r="AY1727" s="5" t="s">
        <v>253</v>
      </c>
      <c r="AZ1727" s="5" t="s">
        <v>240</v>
      </c>
      <c r="BA1727" s="5" t="s">
        <v>255</v>
      </c>
      <c r="BB1727" s="5" t="s">
        <v>240</v>
      </c>
      <c r="BD1727" s="5" t="s">
        <v>240</v>
      </c>
      <c r="BF1727" s="5" t="s">
        <v>301</v>
      </c>
      <c r="BG1727" s="6" t="s">
        <v>299</v>
      </c>
      <c r="BH1727" s="5" t="s">
        <v>302</v>
      </c>
      <c r="BI1727" s="5" t="s">
        <v>303</v>
      </c>
      <c r="BJ1727" s="5" t="s">
        <v>240</v>
      </c>
      <c r="BK1727" s="8">
        <f>0</f>
        <v>0</v>
      </c>
      <c r="BL1727" s="7">
        <f>0</f>
        <v>0</v>
      </c>
      <c r="BM1727" s="5" t="s">
        <v>258</v>
      </c>
      <c r="BN1727" s="5" t="s">
        <v>259</v>
      </c>
      <c r="CB1727" s="5" t="s">
        <v>240</v>
      </c>
      <c r="CC1727" s="5" t="s">
        <v>240</v>
      </c>
      <c r="CG1727" s="5" t="s">
        <v>304</v>
      </c>
      <c r="CH1727" s="5" t="s">
        <v>305</v>
      </c>
      <c r="CI1727" s="5" t="s">
        <v>240</v>
      </c>
      <c r="CL1727" s="6" t="s">
        <v>261</v>
      </c>
      <c r="CM1727" s="5" t="s">
        <v>240</v>
      </c>
      <c r="CN1727" s="5" t="s">
        <v>263</v>
      </c>
      <c r="CO1727" s="5" t="s">
        <v>240</v>
      </c>
      <c r="CP1727" s="5" t="s">
        <v>240</v>
      </c>
      <c r="CQ1727" s="5">
        <v>0</v>
      </c>
      <c r="CR1727" s="5" t="s">
        <v>306</v>
      </c>
      <c r="CS1727" s="5" t="s">
        <v>307</v>
      </c>
      <c r="CT1727" s="5" t="s">
        <v>307</v>
      </c>
      <c r="CU1727" s="5" t="s">
        <v>260</v>
      </c>
      <c r="CX1727" s="7">
        <f>1</f>
        <v>1</v>
      </c>
      <c r="CY1727" s="7">
        <f>0</f>
        <v>0</v>
      </c>
      <c r="DA1727" s="7">
        <f>0</f>
        <v>0</v>
      </c>
      <c r="DC1727" s="5" t="s">
        <v>812</v>
      </c>
      <c r="DD1727" s="5" t="s">
        <v>240</v>
      </c>
      <c r="DF1727" s="5" t="s">
        <v>812</v>
      </c>
      <c r="DG1727" s="7">
        <f>158</f>
        <v>158</v>
      </c>
      <c r="DI1727" s="5" t="s">
        <v>240</v>
      </c>
      <c r="DJ1727" s="5" t="s">
        <v>240</v>
      </c>
      <c r="DK1727" s="5" t="s">
        <v>240</v>
      </c>
      <c r="DL1727" s="5" t="s">
        <v>240</v>
      </c>
      <c r="DP1727" s="5" t="s">
        <v>240</v>
      </c>
      <c r="DQ1727" s="5" t="s">
        <v>240</v>
      </c>
      <c r="DR1727" s="5" t="s">
        <v>240</v>
      </c>
      <c r="DS1727" s="5" t="s">
        <v>240</v>
      </c>
      <c r="DV1727" s="5" t="s">
        <v>813</v>
      </c>
      <c r="DW1727" s="5" t="s">
        <v>3586</v>
      </c>
      <c r="HO1727" s="5" t="s">
        <v>312</v>
      </c>
    </row>
    <row r="1728" spans="1:223" x14ac:dyDescent="0.4">
      <c r="A1728" s="5">
        <v>3403</v>
      </c>
      <c r="B1728" s="5">
        <v>1</v>
      </c>
      <c r="C1728" s="5">
        <v>1</v>
      </c>
      <c r="D1728" s="5" t="s">
        <v>297</v>
      </c>
      <c r="E1728" s="5" t="s">
        <v>245</v>
      </c>
      <c r="F1728" s="5" t="s">
        <v>254</v>
      </c>
      <c r="G1728" s="5" t="s">
        <v>240</v>
      </c>
      <c r="H1728" s="6" t="s">
        <v>4431</v>
      </c>
      <c r="I1728" s="5" t="s">
        <v>295</v>
      </c>
      <c r="J1728" s="8">
        <f>1730</f>
        <v>1730</v>
      </c>
      <c r="K1728" s="5" t="s">
        <v>308</v>
      </c>
      <c r="L1728" s="7">
        <f>1</f>
        <v>1</v>
      </c>
      <c r="M1728" s="7">
        <f>1</f>
        <v>1</v>
      </c>
      <c r="N1728" s="5" t="s">
        <v>242</v>
      </c>
      <c r="O1728" s="5">
        <v>1</v>
      </c>
      <c r="P1728" s="5" t="s">
        <v>294</v>
      </c>
      <c r="Q1728" s="5" t="s">
        <v>266</v>
      </c>
      <c r="R1728" s="5" t="s">
        <v>240</v>
      </c>
      <c r="S1728" s="5" t="s">
        <v>240</v>
      </c>
      <c r="T1728" s="5" t="s">
        <v>296</v>
      </c>
      <c r="U1728" s="5" t="s">
        <v>244</v>
      </c>
      <c r="V1728" s="5" t="s">
        <v>240</v>
      </c>
      <c r="Y1728" s="5" t="s">
        <v>240</v>
      </c>
      <c r="Z1728" s="6" t="s">
        <v>298</v>
      </c>
      <c r="AB1728" s="6" t="s">
        <v>240</v>
      </c>
      <c r="AE1728" s="6" t="s">
        <v>299</v>
      </c>
      <c r="AF1728" s="5" t="s">
        <v>248</v>
      </c>
      <c r="AG1728" s="5" t="s">
        <v>249</v>
      </c>
      <c r="AW1728" s="5" t="s">
        <v>251</v>
      </c>
      <c r="AX1728" s="5" t="s">
        <v>240</v>
      </c>
      <c r="AY1728" s="5" t="s">
        <v>253</v>
      </c>
      <c r="AZ1728" s="5" t="s">
        <v>240</v>
      </c>
      <c r="BA1728" s="5" t="s">
        <v>255</v>
      </c>
      <c r="BB1728" s="5" t="s">
        <v>240</v>
      </c>
      <c r="BD1728" s="5" t="s">
        <v>240</v>
      </c>
      <c r="BF1728" s="5" t="s">
        <v>301</v>
      </c>
      <c r="BG1728" s="6" t="s">
        <v>299</v>
      </c>
      <c r="BH1728" s="5" t="s">
        <v>302</v>
      </c>
      <c r="BI1728" s="5" t="s">
        <v>303</v>
      </c>
      <c r="BJ1728" s="5" t="s">
        <v>240</v>
      </c>
      <c r="BK1728" s="8">
        <f>0</f>
        <v>0</v>
      </c>
      <c r="BL1728" s="7">
        <f>0</f>
        <v>0</v>
      </c>
      <c r="BM1728" s="5" t="s">
        <v>258</v>
      </c>
      <c r="BN1728" s="5" t="s">
        <v>259</v>
      </c>
      <c r="CB1728" s="5" t="s">
        <v>240</v>
      </c>
      <c r="CC1728" s="5" t="s">
        <v>240</v>
      </c>
      <c r="CG1728" s="5" t="s">
        <v>304</v>
      </c>
      <c r="CH1728" s="5" t="s">
        <v>305</v>
      </c>
      <c r="CI1728" s="5" t="s">
        <v>240</v>
      </c>
      <c r="CL1728" s="6" t="s">
        <v>261</v>
      </c>
      <c r="CM1728" s="5" t="s">
        <v>240</v>
      </c>
      <c r="CN1728" s="5" t="s">
        <v>263</v>
      </c>
      <c r="CO1728" s="5" t="s">
        <v>240</v>
      </c>
      <c r="CP1728" s="5" t="s">
        <v>240</v>
      </c>
      <c r="CQ1728" s="5">
        <v>0</v>
      </c>
      <c r="CR1728" s="5" t="s">
        <v>306</v>
      </c>
      <c r="CS1728" s="5" t="s">
        <v>307</v>
      </c>
      <c r="CT1728" s="5" t="s">
        <v>307</v>
      </c>
      <c r="CU1728" s="5" t="s">
        <v>260</v>
      </c>
      <c r="CX1728" s="7">
        <f>1</f>
        <v>1</v>
      </c>
      <c r="CY1728" s="7">
        <f>0</f>
        <v>0</v>
      </c>
      <c r="DA1728" s="7">
        <f>0</f>
        <v>0</v>
      </c>
      <c r="DC1728" s="5" t="s">
        <v>812</v>
      </c>
      <c r="DD1728" s="5" t="s">
        <v>240</v>
      </c>
      <c r="DF1728" s="5" t="s">
        <v>812</v>
      </c>
      <c r="DG1728" s="7">
        <f>53</f>
        <v>53</v>
      </c>
      <c r="DI1728" s="5" t="s">
        <v>240</v>
      </c>
      <c r="DJ1728" s="5" t="s">
        <v>240</v>
      </c>
      <c r="DK1728" s="5" t="s">
        <v>240</v>
      </c>
      <c r="DL1728" s="5" t="s">
        <v>240</v>
      </c>
      <c r="DP1728" s="5" t="s">
        <v>240</v>
      </c>
      <c r="DQ1728" s="5" t="s">
        <v>240</v>
      </c>
      <c r="DR1728" s="5" t="s">
        <v>240</v>
      </c>
      <c r="DS1728" s="5" t="s">
        <v>240</v>
      </c>
      <c r="DV1728" s="5" t="s">
        <v>813</v>
      </c>
      <c r="DW1728" s="5" t="s">
        <v>3588</v>
      </c>
      <c r="HO1728" s="5" t="s">
        <v>312</v>
      </c>
    </row>
    <row r="1729" spans="1:223" x14ac:dyDescent="0.4">
      <c r="A1729" s="5">
        <v>3404</v>
      </c>
      <c r="B1729" s="5">
        <v>1</v>
      </c>
      <c r="C1729" s="5">
        <v>1</v>
      </c>
      <c r="D1729" s="5" t="s">
        <v>297</v>
      </c>
      <c r="E1729" s="5" t="s">
        <v>245</v>
      </c>
      <c r="F1729" s="5" t="s">
        <v>254</v>
      </c>
      <c r="G1729" s="5" t="s">
        <v>240</v>
      </c>
      <c r="H1729" s="6" t="s">
        <v>4430</v>
      </c>
      <c r="I1729" s="5" t="s">
        <v>295</v>
      </c>
      <c r="J1729" s="8">
        <f>431</f>
        <v>431</v>
      </c>
      <c r="K1729" s="5" t="s">
        <v>308</v>
      </c>
      <c r="L1729" s="7">
        <f>1</f>
        <v>1</v>
      </c>
      <c r="M1729" s="7">
        <f>1</f>
        <v>1</v>
      </c>
      <c r="N1729" s="5" t="s">
        <v>242</v>
      </c>
      <c r="O1729" s="5">
        <v>1</v>
      </c>
      <c r="P1729" s="5" t="s">
        <v>294</v>
      </c>
      <c r="Q1729" s="5" t="s">
        <v>266</v>
      </c>
      <c r="R1729" s="5" t="s">
        <v>240</v>
      </c>
      <c r="S1729" s="5" t="s">
        <v>240</v>
      </c>
      <c r="T1729" s="5" t="s">
        <v>296</v>
      </c>
      <c r="U1729" s="5" t="s">
        <v>244</v>
      </c>
      <c r="V1729" s="5" t="s">
        <v>240</v>
      </c>
      <c r="Y1729" s="5" t="s">
        <v>240</v>
      </c>
      <c r="Z1729" s="6" t="s">
        <v>298</v>
      </c>
      <c r="AB1729" s="6" t="s">
        <v>240</v>
      </c>
      <c r="AE1729" s="6" t="s">
        <v>299</v>
      </c>
      <c r="AF1729" s="5" t="s">
        <v>248</v>
      </c>
      <c r="AG1729" s="5" t="s">
        <v>249</v>
      </c>
      <c r="AW1729" s="5" t="s">
        <v>251</v>
      </c>
      <c r="AX1729" s="5" t="s">
        <v>240</v>
      </c>
      <c r="AY1729" s="5" t="s">
        <v>253</v>
      </c>
      <c r="AZ1729" s="5" t="s">
        <v>240</v>
      </c>
      <c r="BA1729" s="5" t="s">
        <v>255</v>
      </c>
      <c r="BB1729" s="5" t="s">
        <v>240</v>
      </c>
      <c r="BD1729" s="5" t="s">
        <v>240</v>
      </c>
      <c r="BF1729" s="5" t="s">
        <v>301</v>
      </c>
      <c r="BG1729" s="6" t="s">
        <v>299</v>
      </c>
      <c r="BH1729" s="5" t="s">
        <v>302</v>
      </c>
      <c r="BI1729" s="5" t="s">
        <v>303</v>
      </c>
      <c r="BJ1729" s="5" t="s">
        <v>240</v>
      </c>
      <c r="BK1729" s="8">
        <f>0</f>
        <v>0</v>
      </c>
      <c r="BL1729" s="7">
        <f>0</f>
        <v>0</v>
      </c>
      <c r="BM1729" s="5" t="s">
        <v>258</v>
      </c>
      <c r="BN1729" s="5" t="s">
        <v>259</v>
      </c>
      <c r="CB1729" s="5" t="s">
        <v>240</v>
      </c>
      <c r="CC1729" s="5" t="s">
        <v>240</v>
      </c>
      <c r="CG1729" s="5" t="s">
        <v>304</v>
      </c>
      <c r="CH1729" s="5" t="s">
        <v>305</v>
      </c>
      <c r="CI1729" s="5" t="s">
        <v>240</v>
      </c>
      <c r="CL1729" s="6" t="s">
        <v>261</v>
      </c>
      <c r="CM1729" s="5" t="s">
        <v>240</v>
      </c>
      <c r="CN1729" s="5" t="s">
        <v>263</v>
      </c>
      <c r="CO1729" s="5" t="s">
        <v>240</v>
      </c>
      <c r="CP1729" s="5" t="s">
        <v>240</v>
      </c>
      <c r="CQ1729" s="5">
        <v>0</v>
      </c>
      <c r="CR1729" s="5" t="s">
        <v>306</v>
      </c>
      <c r="CS1729" s="5" t="s">
        <v>307</v>
      </c>
      <c r="CT1729" s="5" t="s">
        <v>307</v>
      </c>
      <c r="CU1729" s="5" t="s">
        <v>260</v>
      </c>
      <c r="CX1729" s="7">
        <f>1</f>
        <v>1</v>
      </c>
      <c r="CY1729" s="7">
        <f>0</f>
        <v>0</v>
      </c>
      <c r="DA1729" s="7">
        <f>0</f>
        <v>0</v>
      </c>
      <c r="DC1729" s="5" t="s">
        <v>812</v>
      </c>
      <c r="DD1729" s="5" t="s">
        <v>240</v>
      </c>
      <c r="DF1729" s="5" t="s">
        <v>812</v>
      </c>
      <c r="DG1729" s="7">
        <f>2476</f>
        <v>2476</v>
      </c>
      <c r="DI1729" s="5" t="s">
        <v>240</v>
      </c>
      <c r="DJ1729" s="5" t="s">
        <v>240</v>
      </c>
      <c r="DK1729" s="5" t="s">
        <v>240</v>
      </c>
      <c r="DL1729" s="5" t="s">
        <v>240</v>
      </c>
      <c r="DP1729" s="5" t="s">
        <v>240</v>
      </c>
      <c r="DQ1729" s="5" t="s">
        <v>240</v>
      </c>
      <c r="DR1729" s="5" t="s">
        <v>240</v>
      </c>
      <c r="DS1729" s="5" t="s">
        <v>240</v>
      </c>
      <c r="DV1729" s="5" t="s">
        <v>813</v>
      </c>
      <c r="DW1729" s="5" t="s">
        <v>3590</v>
      </c>
      <c r="HO1729" s="5" t="s">
        <v>312</v>
      </c>
    </row>
    <row r="1730" spans="1:223" x14ac:dyDescent="0.4">
      <c r="A1730" s="5">
        <v>3405</v>
      </c>
      <c r="B1730" s="5">
        <v>1</v>
      </c>
      <c r="C1730" s="5">
        <v>1</v>
      </c>
      <c r="D1730" s="5" t="s">
        <v>297</v>
      </c>
      <c r="E1730" s="5" t="s">
        <v>245</v>
      </c>
      <c r="F1730" s="5" t="s">
        <v>254</v>
      </c>
      <c r="G1730" s="5" t="s">
        <v>240</v>
      </c>
      <c r="H1730" s="6" t="s">
        <v>4428</v>
      </c>
      <c r="I1730" s="5" t="s">
        <v>295</v>
      </c>
      <c r="J1730" s="8">
        <f>179</f>
        <v>179</v>
      </c>
      <c r="K1730" s="5" t="s">
        <v>308</v>
      </c>
      <c r="L1730" s="7">
        <f>1</f>
        <v>1</v>
      </c>
      <c r="M1730" s="7">
        <f>1</f>
        <v>1</v>
      </c>
      <c r="N1730" s="5" t="s">
        <v>242</v>
      </c>
      <c r="O1730" s="5">
        <v>1</v>
      </c>
      <c r="P1730" s="5" t="s">
        <v>294</v>
      </c>
      <c r="Q1730" s="5" t="s">
        <v>266</v>
      </c>
      <c r="R1730" s="5" t="s">
        <v>240</v>
      </c>
      <c r="S1730" s="5" t="s">
        <v>240</v>
      </c>
      <c r="T1730" s="5" t="s">
        <v>296</v>
      </c>
      <c r="U1730" s="5" t="s">
        <v>244</v>
      </c>
      <c r="V1730" s="5" t="s">
        <v>240</v>
      </c>
      <c r="Y1730" s="5" t="s">
        <v>240</v>
      </c>
      <c r="Z1730" s="6" t="s">
        <v>298</v>
      </c>
      <c r="AB1730" s="6" t="s">
        <v>240</v>
      </c>
      <c r="AE1730" s="6" t="s">
        <v>299</v>
      </c>
      <c r="AF1730" s="5" t="s">
        <v>248</v>
      </c>
      <c r="AG1730" s="5" t="s">
        <v>249</v>
      </c>
      <c r="AW1730" s="5" t="s">
        <v>251</v>
      </c>
      <c r="AX1730" s="5" t="s">
        <v>240</v>
      </c>
      <c r="AY1730" s="5" t="s">
        <v>253</v>
      </c>
      <c r="AZ1730" s="5" t="s">
        <v>240</v>
      </c>
      <c r="BA1730" s="5" t="s">
        <v>255</v>
      </c>
      <c r="BB1730" s="5" t="s">
        <v>240</v>
      </c>
      <c r="BD1730" s="5" t="s">
        <v>240</v>
      </c>
      <c r="BF1730" s="5" t="s">
        <v>301</v>
      </c>
      <c r="BG1730" s="6" t="s">
        <v>299</v>
      </c>
      <c r="BH1730" s="5" t="s">
        <v>302</v>
      </c>
      <c r="BI1730" s="5" t="s">
        <v>303</v>
      </c>
      <c r="BJ1730" s="5" t="s">
        <v>240</v>
      </c>
      <c r="BK1730" s="8">
        <f>0</f>
        <v>0</v>
      </c>
      <c r="BL1730" s="7">
        <f>0</f>
        <v>0</v>
      </c>
      <c r="BM1730" s="5" t="s">
        <v>258</v>
      </c>
      <c r="BN1730" s="5" t="s">
        <v>259</v>
      </c>
      <c r="CB1730" s="5" t="s">
        <v>240</v>
      </c>
      <c r="CC1730" s="5" t="s">
        <v>240</v>
      </c>
      <c r="CG1730" s="5" t="s">
        <v>304</v>
      </c>
      <c r="CH1730" s="5" t="s">
        <v>305</v>
      </c>
      <c r="CI1730" s="5" t="s">
        <v>240</v>
      </c>
      <c r="CL1730" s="6" t="s">
        <v>261</v>
      </c>
      <c r="CM1730" s="5" t="s">
        <v>240</v>
      </c>
      <c r="CN1730" s="5" t="s">
        <v>263</v>
      </c>
      <c r="CO1730" s="5" t="s">
        <v>240</v>
      </c>
      <c r="CP1730" s="5" t="s">
        <v>240</v>
      </c>
      <c r="CQ1730" s="5">
        <v>0</v>
      </c>
      <c r="CR1730" s="5" t="s">
        <v>306</v>
      </c>
      <c r="CS1730" s="5" t="s">
        <v>307</v>
      </c>
      <c r="CT1730" s="5" t="s">
        <v>307</v>
      </c>
      <c r="CU1730" s="5" t="s">
        <v>260</v>
      </c>
      <c r="CX1730" s="7">
        <f>1</f>
        <v>1</v>
      </c>
      <c r="CY1730" s="7">
        <f>0</f>
        <v>0</v>
      </c>
      <c r="DA1730" s="7">
        <f>0</f>
        <v>0</v>
      </c>
      <c r="DC1730" s="5" t="s">
        <v>812</v>
      </c>
      <c r="DD1730" s="5" t="s">
        <v>240</v>
      </c>
      <c r="DF1730" s="5" t="s">
        <v>812</v>
      </c>
      <c r="DG1730" s="7">
        <f>261</f>
        <v>261</v>
      </c>
      <c r="DI1730" s="5" t="s">
        <v>240</v>
      </c>
      <c r="DJ1730" s="5" t="s">
        <v>240</v>
      </c>
      <c r="DK1730" s="5" t="s">
        <v>240</v>
      </c>
      <c r="DL1730" s="5" t="s">
        <v>240</v>
      </c>
      <c r="DP1730" s="5" t="s">
        <v>240</v>
      </c>
      <c r="DQ1730" s="5" t="s">
        <v>240</v>
      </c>
      <c r="DR1730" s="5" t="s">
        <v>240</v>
      </c>
      <c r="DS1730" s="5" t="s">
        <v>240</v>
      </c>
      <c r="DV1730" s="5" t="s">
        <v>813</v>
      </c>
      <c r="DW1730" s="5" t="s">
        <v>3592</v>
      </c>
      <c r="HO1730" s="5" t="s">
        <v>312</v>
      </c>
    </row>
    <row r="1731" spans="1:223" x14ac:dyDescent="0.4">
      <c r="A1731" s="5">
        <v>3406</v>
      </c>
      <c r="B1731" s="5">
        <v>1</v>
      </c>
      <c r="C1731" s="5">
        <v>1</v>
      </c>
      <c r="D1731" s="5" t="s">
        <v>297</v>
      </c>
      <c r="E1731" s="5" t="s">
        <v>245</v>
      </c>
      <c r="F1731" s="5" t="s">
        <v>254</v>
      </c>
      <c r="G1731" s="5" t="s">
        <v>240</v>
      </c>
      <c r="H1731" s="6" t="s">
        <v>4427</v>
      </c>
      <c r="I1731" s="5" t="s">
        <v>295</v>
      </c>
      <c r="J1731" s="8">
        <f>169</f>
        <v>169</v>
      </c>
      <c r="K1731" s="5" t="s">
        <v>308</v>
      </c>
      <c r="L1731" s="7">
        <f>1</f>
        <v>1</v>
      </c>
      <c r="M1731" s="7">
        <f>1</f>
        <v>1</v>
      </c>
      <c r="N1731" s="5" t="s">
        <v>242</v>
      </c>
      <c r="O1731" s="5">
        <v>1</v>
      </c>
      <c r="P1731" s="5" t="s">
        <v>294</v>
      </c>
      <c r="Q1731" s="5" t="s">
        <v>266</v>
      </c>
      <c r="R1731" s="5" t="s">
        <v>240</v>
      </c>
      <c r="S1731" s="5" t="s">
        <v>240</v>
      </c>
      <c r="T1731" s="5" t="s">
        <v>296</v>
      </c>
      <c r="U1731" s="5" t="s">
        <v>244</v>
      </c>
      <c r="V1731" s="5" t="s">
        <v>240</v>
      </c>
      <c r="Y1731" s="5" t="s">
        <v>240</v>
      </c>
      <c r="Z1731" s="6" t="s">
        <v>298</v>
      </c>
      <c r="AB1731" s="6" t="s">
        <v>240</v>
      </c>
      <c r="AE1731" s="6" t="s">
        <v>299</v>
      </c>
      <c r="AF1731" s="5" t="s">
        <v>248</v>
      </c>
      <c r="AG1731" s="5" t="s">
        <v>249</v>
      </c>
      <c r="AW1731" s="5" t="s">
        <v>251</v>
      </c>
      <c r="AX1731" s="5" t="s">
        <v>240</v>
      </c>
      <c r="AY1731" s="5" t="s">
        <v>253</v>
      </c>
      <c r="AZ1731" s="5" t="s">
        <v>240</v>
      </c>
      <c r="BA1731" s="5" t="s">
        <v>255</v>
      </c>
      <c r="BB1731" s="5" t="s">
        <v>240</v>
      </c>
      <c r="BD1731" s="5" t="s">
        <v>240</v>
      </c>
      <c r="BF1731" s="5" t="s">
        <v>301</v>
      </c>
      <c r="BG1731" s="6" t="s">
        <v>299</v>
      </c>
      <c r="BH1731" s="5" t="s">
        <v>302</v>
      </c>
      <c r="BI1731" s="5" t="s">
        <v>303</v>
      </c>
      <c r="BJ1731" s="5" t="s">
        <v>240</v>
      </c>
      <c r="BK1731" s="8">
        <f>0</f>
        <v>0</v>
      </c>
      <c r="BL1731" s="7">
        <f>0</f>
        <v>0</v>
      </c>
      <c r="BM1731" s="5" t="s">
        <v>258</v>
      </c>
      <c r="BN1731" s="5" t="s">
        <v>259</v>
      </c>
      <c r="CB1731" s="5" t="s">
        <v>240</v>
      </c>
      <c r="CC1731" s="5" t="s">
        <v>240</v>
      </c>
      <c r="CG1731" s="5" t="s">
        <v>304</v>
      </c>
      <c r="CH1731" s="5" t="s">
        <v>305</v>
      </c>
      <c r="CI1731" s="5" t="s">
        <v>240</v>
      </c>
      <c r="CL1731" s="6" t="s">
        <v>261</v>
      </c>
      <c r="CM1731" s="5" t="s">
        <v>240</v>
      </c>
      <c r="CN1731" s="5" t="s">
        <v>263</v>
      </c>
      <c r="CO1731" s="5" t="s">
        <v>240</v>
      </c>
      <c r="CP1731" s="5" t="s">
        <v>240</v>
      </c>
      <c r="CQ1731" s="5">
        <v>0</v>
      </c>
      <c r="CR1731" s="5" t="s">
        <v>306</v>
      </c>
      <c r="CS1731" s="5" t="s">
        <v>307</v>
      </c>
      <c r="CT1731" s="5" t="s">
        <v>307</v>
      </c>
      <c r="CU1731" s="5" t="s">
        <v>260</v>
      </c>
      <c r="CX1731" s="7">
        <f>1</f>
        <v>1</v>
      </c>
      <c r="CY1731" s="7">
        <f>0</f>
        <v>0</v>
      </c>
      <c r="DA1731" s="7">
        <f>0</f>
        <v>0</v>
      </c>
      <c r="DC1731" s="5" t="s">
        <v>812</v>
      </c>
      <c r="DD1731" s="5" t="s">
        <v>240</v>
      </c>
      <c r="DF1731" s="5" t="s">
        <v>812</v>
      </c>
      <c r="DG1731" s="7">
        <f>185</f>
        <v>185</v>
      </c>
      <c r="DI1731" s="5" t="s">
        <v>240</v>
      </c>
      <c r="DJ1731" s="5" t="s">
        <v>240</v>
      </c>
      <c r="DK1731" s="5" t="s">
        <v>240</v>
      </c>
      <c r="DL1731" s="5" t="s">
        <v>240</v>
      </c>
      <c r="DP1731" s="5" t="s">
        <v>240</v>
      </c>
      <c r="DQ1731" s="5" t="s">
        <v>240</v>
      </c>
      <c r="DR1731" s="5" t="s">
        <v>240</v>
      </c>
      <c r="DS1731" s="5" t="s">
        <v>240</v>
      </c>
      <c r="DV1731" s="5" t="s">
        <v>813</v>
      </c>
      <c r="DW1731" s="5" t="s">
        <v>3594</v>
      </c>
      <c r="HO1731" s="5" t="s">
        <v>312</v>
      </c>
    </row>
    <row r="1732" spans="1:223" x14ac:dyDescent="0.4">
      <c r="A1732" s="5">
        <v>3407</v>
      </c>
      <c r="B1732" s="5">
        <v>1</v>
      </c>
      <c r="C1732" s="5">
        <v>1</v>
      </c>
      <c r="D1732" s="5" t="s">
        <v>297</v>
      </c>
      <c r="E1732" s="5" t="s">
        <v>245</v>
      </c>
      <c r="F1732" s="5" t="s">
        <v>254</v>
      </c>
      <c r="G1732" s="5" t="s">
        <v>240</v>
      </c>
      <c r="H1732" s="6" t="s">
        <v>4426</v>
      </c>
      <c r="I1732" s="5" t="s">
        <v>295</v>
      </c>
      <c r="J1732" s="8">
        <f>153</f>
        <v>153</v>
      </c>
      <c r="K1732" s="5" t="s">
        <v>308</v>
      </c>
      <c r="L1732" s="7">
        <f>1</f>
        <v>1</v>
      </c>
      <c r="M1732" s="7">
        <f>1</f>
        <v>1</v>
      </c>
      <c r="N1732" s="5" t="s">
        <v>242</v>
      </c>
      <c r="O1732" s="5">
        <v>1</v>
      </c>
      <c r="P1732" s="5" t="s">
        <v>294</v>
      </c>
      <c r="Q1732" s="5" t="s">
        <v>266</v>
      </c>
      <c r="R1732" s="5" t="s">
        <v>240</v>
      </c>
      <c r="S1732" s="5" t="s">
        <v>240</v>
      </c>
      <c r="T1732" s="5" t="s">
        <v>296</v>
      </c>
      <c r="U1732" s="5" t="s">
        <v>244</v>
      </c>
      <c r="V1732" s="5" t="s">
        <v>240</v>
      </c>
      <c r="Y1732" s="5" t="s">
        <v>240</v>
      </c>
      <c r="Z1732" s="6" t="s">
        <v>298</v>
      </c>
      <c r="AB1732" s="6" t="s">
        <v>240</v>
      </c>
      <c r="AE1732" s="6" t="s">
        <v>299</v>
      </c>
      <c r="AF1732" s="5" t="s">
        <v>248</v>
      </c>
      <c r="AG1732" s="5" t="s">
        <v>249</v>
      </c>
      <c r="AW1732" s="5" t="s">
        <v>251</v>
      </c>
      <c r="AX1732" s="5" t="s">
        <v>240</v>
      </c>
      <c r="AY1732" s="5" t="s">
        <v>253</v>
      </c>
      <c r="AZ1732" s="5" t="s">
        <v>240</v>
      </c>
      <c r="BA1732" s="5" t="s">
        <v>255</v>
      </c>
      <c r="BB1732" s="5" t="s">
        <v>240</v>
      </c>
      <c r="BD1732" s="5" t="s">
        <v>240</v>
      </c>
      <c r="BF1732" s="5" t="s">
        <v>301</v>
      </c>
      <c r="BG1732" s="6" t="s">
        <v>299</v>
      </c>
      <c r="BH1732" s="5" t="s">
        <v>302</v>
      </c>
      <c r="BI1732" s="5" t="s">
        <v>303</v>
      </c>
      <c r="BJ1732" s="5" t="s">
        <v>240</v>
      </c>
      <c r="BK1732" s="8">
        <f>0</f>
        <v>0</v>
      </c>
      <c r="BL1732" s="7">
        <f>0</f>
        <v>0</v>
      </c>
      <c r="BM1732" s="5" t="s">
        <v>258</v>
      </c>
      <c r="BN1732" s="5" t="s">
        <v>259</v>
      </c>
      <c r="CB1732" s="5" t="s">
        <v>240</v>
      </c>
      <c r="CC1732" s="5" t="s">
        <v>240</v>
      </c>
      <c r="CG1732" s="5" t="s">
        <v>304</v>
      </c>
      <c r="CH1732" s="5" t="s">
        <v>305</v>
      </c>
      <c r="CI1732" s="5" t="s">
        <v>240</v>
      </c>
      <c r="CL1732" s="6" t="s">
        <v>261</v>
      </c>
      <c r="CM1732" s="5" t="s">
        <v>240</v>
      </c>
      <c r="CN1732" s="5" t="s">
        <v>263</v>
      </c>
      <c r="CO1732" s="5" t="s">
        <v>240</v>
      </c>
      <c r="CP1732" s="5" t="s">
        <v>240</v>
      </c>
      <c r="CQ1732" s="5">
        <v>0</v>
      </c>
      <c r="CR1732" s="5" t="s">
        <v>306</v>
      </c>
      <c r="CS1732" s="5" t="s">
        <v>307</v>
      </c>
      <c r="CT1732" s="5" t="s">
        <v>307</v>
      </c>
      <c r="CU1732" s="5" t="s">
        <v>260</v>
      </c>
      <c r="CX1732" s="7">
        <f>1</f>
        <v>1</v>
      </c>
      <c r="CY1732" s="7">
        <f>0</f>
        <v>0</v>
      </c>
      <c r="DA1732" s="7">
        <f>0</f>
        <v>0</v>
      </c>
      <c r="DC1732" s="5" t="s">
        <v>812</v>
      </c>
      <c r="DD1732" s="5" t="s">
        <v>240</v>
      </c>
      <c r="DF1732" s="5" t="s">
        <v>812</v>
      </c>
      <c r="DG1732" s="7">
        <f>2466</f>
        <v>2466</v>
      </c>
      <c r="DI1732" s="5" t="s">
        <v>240</v>
      </c>
      <c r="DJ1732" s="5" t="s">
        <v>240</v>
      </c>
      <c r="DK1732" s="5" t="s">
        <v>240</v>
      </c>
      <c r="DL1732" s="5" t="s">
        <v>240</v>
      </c>
      <c r="DP1732" s="5" t="s">
        <v>240</v>
      </c>
      <c r="DQ1732" s="5" t="s">
        <v>240</v>
      </c>
      <c r="DR1732" s="5" t="s">
        <v>240</v>
      </c>
      <c r="DS1732" s="5" t="s">
        <v>240</v>
      </c>
      <c r="DV1732" s="5" t="s">
        <v>813</v>
      </c>
      <c r="DW1732" s="5" t="s">
        <v>3596</v>
      </c>
      <c r="HO1732" s="5" t="s">
        <v>312</v>
      </c>
    </row>
    <row r="1733" spans="1:223" x14ac:dyDescent="0.4">
      <c r="A1733" s="5">
        <v>3408</v>
      </c>
      <c r="B1733" s="5">
        <v>1</v>
      </c>
      <c r="C1733" s="5">
        <v>1</v>
      </c>
      <c r="D1733" s="5" t="s">
        <v>297</v>
      </c>
      <c r="E1733" s="5" t="s">
        <v>245</v>
      </c>
      <c r="F1733" s="5" t="s">
        <v>254</v>
      </c>
      <c r="G1733" s="5" t="s">
        <v>240</v>
      </c>
      <c r="H1733" s="6" t="s">
        <v>4425</v>
      </c>
      <c r="I1733" s="5" t="s">
        <v>295</v>
      </c>
      <c r="J1733" s="8">
        <f>121</f>
        <v>121</v>
      </c>
      <c r="K1733" s="5" t="s">
        <v>308</v>
      </c>
      <c r="L1733" s="7">
        <f>1</f>
        <v>1</v>
      </c>
      <c r="M1733" s="7">
        <f>1</f>
        <v>1</v>
      </c>
      <c r="N1733" s="5" t="s">
        <v>242</v>
      </c>
      <c r="O1733" s="5">
        <v>1</v>
      </c>
      <c r="P1733" s="5" t="s">
        <v>294</v>
      </c>
      <c r="Q1733" s="5" t="s">
        <v>266</v>
      </c>
      <c r="R1733" s="5" t="s">
        <v>240</v>
      </c>
      <c r="S1733" s="5" t="s">
        <v>240</v>
      </c>
      <c r="T1733" s="5" t="s">
        <v>296</v>
      </c>
      <c r="U1733" s="5" t="s">
        <v>244</v>
      </c>
      <c r="V1733" s="5" t="s">
        <v>240</v>
      </c>
      <c r="Y1733" s="5" t="s">
        <v>240</v>
      </c>
      <c r="Z1733" s="6" t="s">
        <v>298</v>
      </c>
      <c r="AB1733" s="6" t="s">
        <v>240</v>
      </c>
      <c r="AE1733" s="6" t="s">
        <v>299</v>
      </c>
      <c r="AF1733" s="5" t="s">
        <v>248</v>
      </c>
      <c r="AG1733" s="5" t="s">
        <v>249</v>
      </c>
      <c r="AW1733" s="5" t="s">
        <v>251</v>
      </c>
      <c r="AX1733" s="5" t="s">
        <v>240</v>
      </c>
      <c r="AY1733" s="5" t="s">
        <v>253</v>
      </c>
      <c r="AZ1733" s="5" t="s">
        <v>240</v>
      </c>
      <c r="BA1733" s="5" t="s">
        <v>255</v>
      </c>
      <c r="BB1733" s="5" t="s">
        <v>240</v>
      </c>
      <c r="BD1733" s="5" t="s">
        <v>240</v>
      </c>
      <c r="BF1733" s="5" t="s">
        <v>301</v>
      </c>
      <c r="BG1733" s="6" t="s">
        <v>299</v>
      </c>
      <c r="BH1733" s="5" t="s">
        <v>302</v>
      </c>
      <c r="BI1733" s="5" t="s">
        <v>303</v>
      </c>
      <c r="BJ1733" s="5" t="s">
        <v>240</v>
      </c>
      <c r="BK1733" s="8">
        <f>0</f>
        <v>0</v>
      </c>
      <c r="BL1733" s="7">
        <f>0</f>
        <v>0</v>
      </c>
      <c r="BM1733" s="5" t="s">
        <v>258</v>
      </c>
      <c r="BN1733" s="5" t="s">
        <v>259</v>
      </c>
      <c r="CB1733" s="5" t="s">
        <v>240</v>
      </c>
      <c r="CC1733" s="5" t="s">
        <v>240</v>
      </c>
      <c r="CG1733" s="5" t="s">
        <v>304</v>
      </c>
      <c r="CH1733" s="5" t="s">
        <v>305</v>
      </c>
      <c r="CI1733" s="5" t="s">
        <v>240</v>
      </c>
      <c r="CL1733" s="6" t="s">
        <v>261</v>
      </c>
      <c r="CM1733" s="5" t="s">
        <v>240</v>
      </c>
      <c r="CN1733" s="5" t="s">
        <v>263</v>
      </c>
      <c r="CO1733" s="5" t="s">
        <v>240</v>
      </c>
      <c r="CP1733" s="5" t="s">
        <v>240</v>
      </c>
      <c r="CQ1733" s="5">
        <v>0</v>
      </c>
      <c r="CR1733" s="5" t="s">
        <v>306</v>
      </c>
      <c r="CS1733" s="5" t="s">
        <v>307</v>
      </c>
      <c r="CT1733" s="5" t="s">
        <v>307</v>
      </c>
      <c r="CU1733" s="5" t="s">
        <v>260</v>
      </c>
      <c r="CX1733" s="7">
        <f>1</f>
        <v>1</v>
      </c>
      <c r="CY1733" s="7">
        <f>0</f>
        <v>0</v>
      </c>
      <c r="DA1733" s="7">
        <f>0</f>
        <v>0</v>
      </c>
      <c r="DC1733" s="5" t="s">
        <v>812</v>
      </c>
      <c r="DD1733" s="5" t="s">
        <v>240</v>
      </c>
      <c r="DF1733" s="5" t="s">
        <v>812</v>
      </c>
      <c r="DG1733" s="7">
        <f>924</f>
        <v>924</v>
      </c>
      <c r="DI1733" s="5" t="s">
        <v>240</v>
      </c>
      <c r="DJ1733" s="5" t="s">
        <v>240</v>
      </c>
      <c r="DK1733" s="5" t="s">
        <v>240</v>
      </c>
      <c r="DL1733" s="5" t="s">
        <v>240</v>
      </c>
      <c r="DP1733" s="5" t="s">
        <v>240</v>
      </c>
      <c r="DQ1733" s="5" t="s">
        <v>240</v>
      </c>
      <c r="DR1733" s="5" t="s">
        <v>240</v>
      </c>
      <c r="DS1733" s="5" t="s">
        <v>240</v>
      </c>
      <c r="DV1733" s="5" t="s">
        <v>813</v>
      </c>
      <c r="DW1733" s="5" t="s">
        <v>3598</v>
      </c>
      <c r="HO1733" s="5" t="s">
        <v>312</v>
      </c>
    </row>
    <row r="1734" spans="1:223" x14ac:dyDescent="0.4">
      <c r="A1734" s="5">
        <v>3409</v>
      </c>
      <c r="B1734" s="5">
        <v>1</v>
      </c>
      <c r="C1734" s="5">
        <v>1</v>
      </c>
      <c r="D1734" s="5" t="s">
        <v>297</v>
      </c>
      <c r="E1734" s="5" t="s">
        <v>245</v>
      </c>
      <c r="F1734" s="5" t="s">
        <v>254</v>
      </c>
      <c r="G1734" s="5" t="s">
        <v>240</v>
      </c>
      <c r="H1734" s="6" t="s">
        <v>4424</v>
      </c>
      <c r="I1734" s="5" t="s">
        <v>295</v>
      </c>
      <c r="J1734" s="8">
        <f>730</f>
        <v>730</v>
      </c>
      <c r="K1734" s="5" t="s">
        <v>308</v>
      </c>
      <c r="L1734" s="7">
        <f>1</f>
        <v>1</v>
      </c>
      <c r="M1734" s="7">
        <f>1</f>
        <v>1</v>
      </c>
      <c r="N1734" s="5" t="s">
        <v>242</v>
      </c>
      <c r="O1734" s="5">
        <v>1</v>
      </c>
      <c r="P1734" s="5" t="s">
        <v>294</v>
      </c>
      <c r="Q1734" s="5" t="s">
        <v>266</v>
      </c>
      <c r="R1734" s="5" t="s">
        <v>240</v>
      </c>
      <c r="S1734" s="5" t="s">
        <v>240</v>
      </c>
      <c r="T1734" s="5" t="s">
        <v>296</v>
      </c>
      <c r="U1734" s="5" t="s">
        <v>244</v>
      </c>
      <c r="V1734" s="5" t="s">
        <v>240</v>
      </c>
      <c r="Y1734" s="5" t="s">
        <v>240</v>
      </c>
      <c r="Z1734" s="6" t="s">
        <v>298</v>
      </c>
      <c r="AB1734" s="6" t="s">
        <v>240</v>
      </c>
      <c r="AE1734" s="6" t="s">
        <v>299</v>
      </c>
      <c r="AF1734" s="5" t="s">
        <v>248</v>
      </c>
      <c r="AG1734" s="5" t="s">
        <v>249</v>
      </c>
      <c r="AW1734" s="5" t="s">
        <v>251</v>
      </c>
      <c r="AX1734" s="5" t="s">
        <v>240</v>
      </c>
      <c r="AY1734" s="5" t="s">
        <v>253</v>
      </c>
      <c r="AZ1734" s="5" t="s">
        <v>240</v>
      </c>
      <c r="BA1734" s="5" t="s">
        <v>255</v>
      </c>
      <c r="BB1734" s="5" t="s">
        <v>240</v>
      </c>
      <c r="BD1734" s="5" t="s">
        <v>240</v>
      </c>
      <c r="BF1734" s="5" t="s">
        <v>301</v>
      </c>
      <c r="BG1734" s="6" t="s">
        <v>299</v>
      </c>
      <c r="BH1734" s="5" t="s">
        <v>302</v>
      </c>
      <c r="BI1734" s="5" t="s">
        <v>303</v>
      </c>
      <c r="BJ1734" s="5" t="s">
        <v>240</v>
      </c>
      <c r="BK1734" s="8">
        <f>0</f>
        <v>0</v>
      </c>
      <c r="BL1734" s="7">
        <f>0</f>
        <v>0</v>
      </c>
      <c r="BM1734" s="5" t="s">
        <v>258</v>
      </c>
      <c r="BN1734" s="5" t="s">
        <v>259</v>
      </c>
      <c r="CB1734" s="5" t="s">
        <v>240</v>
      </c>
      <c r="CC1734" s="5" t="s">
        <v>240</v>
      </c>
      <c r="CG1734" s="5" t="s">
        <v>304</v>
      </c>
      <c r="CH1734" s="5" t="s">
        <v>305</v>
      </c>
      <c r="CI1734" s="5" t="s">
        <v>240</v>
      </c>
      <c r="CL1734" s="6" t="s">
        <v>261</v>
      </c>
      <c r="CM1734" s="5" t="s">
        <v>240</v>
      </c>
      <c r="CN1734" s="5" t="s">
        <v>263</v>
      </c>
      <c r="CO1734" s="5" t="s">
        <v>240</v>
      </c>
      <c r="CP1734" s="5" t="s">
        <v>240</v>
      </c>
      <c r="CQ1734" s="5">
        <v>0</v>
      </c>
      <c r="CR1734" s="5" t="s">
        <v>306</v>
      </c>
      <c r="CS1734" s="5" t="s">
        <v>307</v>
      </c>
      <c r="CT1734" s="5" t="s">
        <v>307</v>
      </c>
      <c r="CU1734" s="5" t="s">
        <v>260</v>
      </c>
      <c r="CX1734" s="7">
        <f>1</f>
        <v>1</v>
      </c>
      <c r="CY1734" s="7">
        <f>0</f>
        <v>0</v>
      </c>
      <c r="DA1734" s="7">
        <f>0</f>
        <v>0</v>
      </c>
      <c r="DC1734" s="5" t="s">
        <v>812</v>
      </c>
      <c r="DD1734" s="5" t="s">
        <v>240</v>
      </c>
      <c r="DF1734" s="5" t="s">
        <v>812</v>
      </c>
      <c r="DG1734" s="7">
        <f>385</f>
        <v>385</v>
      </c>
      <c r="DI1734" s="5" t="s">
        <v>240</v>
      </c>
      <c r="DJ1734" s="5" t="s">
        <v>240</v>
      </c>
      <c r="DK1734" s="5" t="s">
        <v>240</v>
      </c>
      <c r="DL1734" s="5" t="s">
        <v>240</v>
      </c>
      <c r="DP1734" s="5" t="s">
        <v>240</v>
      </c>
      <c r="DQ1734" s="5" t="s">
        <v>240</v>
      </c>
      <c r="DR1734" s="5" t="s">
        <v>240</v>
      </c>
      <c r="DS1734" s="5" t="s">
        <v>240</v>
      </c>
      <c r="DV1734" s="5" t="s">
        <v>813</v>
      </c>
      <c r="DW1734" s="5" t="s">
        <v>3600</v>
      </c>
      <c r="HO1734" s="5" t="s">
        <v>312</v>
      </c>
    </row>
    <row r="1735" spans="1:223" x14ac:dyDescent="0.4">
      <c r="A1735" s="5">
        <v>3410</v>
      </c>
      <c r="B1735" s="5">
        <v>1</v>
      </c>
      <c r="C1735" s="5">
        <v>1</v>
      </c>
      <c r="D1735" s="5" t="s">
        <v>297</v>
      </c>
      <c r="E1735" s="5" t="s">
        <v>245</v>
      </c>
      <c r="F1735" s="5" t="s">
        <v>254</v>
      </c>
      <c r="G1735" s="5" t="s">
        <v>240</v>
      </c>
      <c r="H1735" s="6" t="s">
        <v>4423</v>
      </c>
      <c r="I1735" s="5" t="s">
        <v>295</v>
      </c>
      <c r="J1735" s="8">
        <f>3411</f>
        <v>3411</v>
      </c>
      <c r="K1735" s="5" t="s">
        <v>308</v>
      </c>
      <c r="L1735" s="7">
        <f>1</f>
        <v>1</v>
      </c>
      <c r="M1735" s="7">
        <f>1</f>
        <v>1</v>
      </c>
      <c r="N1735" s="5" t="s">
        <v>242</v>
      </c>
      <c r="O1735" s="5">
        <v>1</v>
      </c>
      <c r="P1735" s="5" t="s">
        <v>294</v>
      </c>
      <c r="Q1735" s="5" t="s">
        <v>266</v>
      </c>
      <c r="R1735" s="5" t="s">
        <v>240</v>
      </c>
      <c r="S1735" s="5" t="s">
        <v>240</v>
      </c>
      <c r="T1735" s="5" t="s">
        <v>296</v>
      </c>
      <c r="U1735" s="5" t="s">
        <v>244</v>
      </c>
      <c r="V1735" s="5" t="s">
        <v>240</v>
      </c>
      <c r="Y1735" s="5" t="s">
        <v>240</v>
      </c>
      <c r="Z1735" s="6" t="s">
        <v>298</v>
      </c>
      <c r="AB1735" s="6" t="s">
        <v>240</v>
      </c>
      <c r="AE1735" s="6" t="s">
        <v>299</v>
      </c>
      <c r="AF1735" s="5" t="s">
        <v>248</v>
      </c>
      <c r="AG1735" s="5" t="s">
        <v>249</v>
      </c>
      <c r="AW1735" s="5" t="s">
        <v>251</v>
      </c>
      <c r="AX1735" s="5" t="s">
        <v>240</v>
      </c>
      <c r="AY1735" s="5" t="s">
        <v>253</v>
      </c>
      <c r="AZ1735" s="5" t="s">
        <v>240</v>
      </c>
      <c r="BA1735" s="5" t="s">
        <v>255</v>
      </c>
      <c r="BB1735" s="5" t="s">
        <v>240</v>
      </c>
      <c r="BD1735" s="5" t="s">
        <v>240</v>
      </c>
      <c r="BF1735" s="5" t="s">
        <v>301</v>
      </c>
      <c r="BG1735" s="6" t="s">
        <v>299</v>
      </c>
      <c r="BH1735" s="5" t="s">
        <v>302</v>
      </c>
      <c r="BI1735" s="5" t="s">
        <v>303</v>
      </c>
      <c r="BJ1735" s="5" t="s">
        <v>240</v>
      </c>
      <c r="BK1735" s="8">
        <f>0</f>
        <v>0</v>
      </c>
      <c r="BL1735" s="7">
        <f>0</f>
        <v>0</v>
      </c>
      <c r="BM1735" s="5" t="s">
        <v>258</v>
      </c>
      <c r="BN1735" s="5" t="s">
        <v>259</v>
      </c>
      <c r="CB1735" s="5" t="s">
        <v>240</v>
      </c>
      <c r="CC1735" s="5" t="s">
        <v>240</v>
      </c>
      <c r="CG1735" s="5" t="s">
        <v>304</v>
      </c>
      <c r="CH1735" s="5" t="s">
        <v>305</v>
      </c>
      <c r="CI1735" s="5" t="s">
        <v>240</v>
      </c>
      <c r="CL1735" s="6" t="s">
        <v>261</v>
      </c>
      <c r="CM1735" s="5" t="s">
        <v>240</v>
      </c>
      <c r="CN1735" s="5" t="s">
        <v>263</v>
      </c>
      <c r="CO1735" s="5" t="s">
        <v>240</v>
      </c>
      <c r="CP1735" s="5" t="s">
        <v>240</v>
      </c>
      <c r="CQ1735" s="5">
        <v>0</v>
      </c>
      <c r="CR1735" s="5" t="s">
        <v>306</v>
      </c>
      <c r="CS1735" s="5" t="s">
        <v>307</v>
      </c>
      <c r="CT1735" s="5" t="s">
        <v>307</v>
      </c>
      <c r="CU1735" s="5" t="s">
        <v>260</v>
      </c>
      <c r="CX1735" s="7">
        <f>1</f>
        <v>1</v>
      </c>
      <c r="CY1735" s="7">
        <f>0</f>
        <v>0</v>
      </c>
      <c r="DA1735" s="7">
        <f>0</f>
        <v>0</v>
      </c>
      <c r="DC1735" s="5" t="s">
        <v>812</v>
      </c>
      <c r="DD1735" s="5" t="s">
        <v>240</v>
      </c>
      <c r="DF1735" s="5" t="s">
        <v>812</v>
      </c>
      <c r="DG1735" s="7">
        <f>2158</f>
        <v>2158</v>
      </c>
      <c r="DI1735" s="5" t="s">
        <v>240</v>
      </c>
      <c r="DJ1735" s="5" t="s">
        <v>240</v>
      </c>
      <c r="DK1735" s="5" t="s">
        <v>240</v>
      </c>
      <c r="DL1735" s="5" t="s">
        <v>240</v>
      </c>
      <c r="DP1735" s="5" t="s">
        <v>240</v>
      </c>
      <c r="DQ1735" s="5" t="s">
        <v>240</v>
      </c>
      <c r="DR1735" s="5" t="s">
        <v>240</v>
      </c>
      <c r="DS1735" s="5" t="s">
        <v>240</v>
      </c>
      <c r="DV1735" s="5" t="s">
        <v>813</v>
      </c>
      <c r="DW1735" s="5" t="s">
        <v>3602</v>
      </c>
      <c r="HO1735" s="5" t="s">
        <v>312</v>
      </c>
    </row>
    <row r="1736" spans="1:223" x14ac:dyDescent="0.4">
      <c r="A1736" s="5">
        <v>3411</v>
      </c>
      <c r="B1736" s="5">
        <v>1</v>
      </c>
      <c r="C1736" s="5">
        <v>1</v>
      </c>
      <c r="D1736" s="5" t="s">
        <v>297</v>
      </c>
      <c r="E1736" s="5" t="s">
        <v>245</v>
      </c>
      <c r="F1736" s="5" t="s">
        <v>254</v>
      </c>
      <c r="G1736" s="5" t="s">
        <v>240</v>
      </c>
      <c r="H1736" s="6" t="s">
        <v>4422</v>
      </c>
      <c r="I1736" s="5" t="s">
        <v>295</v>
      </c>
      <c r="J1736" s="8">
        <f>2841</f>
        <v>2841</v>
      </c>
      <c r="K1736" s="5" t="s">
        <v>308</v>
      </c>
      <c r="L1736" s="7">
        <f>1</f>
        <v>1</v>
      </c>
      <c r="M1736" s="7">
        <f>1</f>
        <v>1</v>
      </c>
      <c r="N1736" s="5" t="s">
        <v>242</v>
      </c>
      <c r="O1736" s="5">
        <v>1</v>
      </c>
      <c r="P1736" s="5" t="s">
        <v>294</v>
      </c>
      <c r="Q1736" s="5" t="s">
        <v>266</v>
      </c>
      <c r="R1736" s="5" t="s">
        <v>240</v>
      </c>
      <c r="S1736" s="5" t="s">
        <v>240</v>
      </c>
      <c r="T1736" s="5" t="s">
        <v>296</v>
      </c>
      <c r="U1736" s="5" t="s">
        <v>244</v>
      </c>
      <c r="V1736" s="5" t="s">
        <v>240</v>
      </c>
      <c r="Y1736" s="5" t="s">
        <v>240</v>
      </c>
      <c r="Z1736" s="6" t="s">
        <v>298</v>
      </c>
      <c r="AB1736" s="6" t="s">
        <v>240</v>
      </c>
      <c r="AE1736" s="6" t="s">
        <v>299</v>
      </c>
      <c r="AF1736" s="5" t="s">
        <v>248</v>
      </c>
      <c r="AG1736" s="5" t="s">
        <v>249</v>
      </c>
      <c r="AW1736" s="5" t="s">
        <v>251</v>
      </c>
      <c r="AX1736" s="5" t="s">
        <v>240</v>
      </c>
      <c r="AY1736" s="5" t="s">
        <v>253</v>
      </c>
      <c r="AZ1736" s="5" t="s">
        <v>240</v>
      </c>
      <c r="BA1736" s="5" t="s">
        <v>255</v>
      </c>
      <c r="BB1736" s="5" t="s">
        <v>240</v>
      </c>
      <c r="BD1736" s="5" t="s">
        <v>240</v>
      </c>
      <c r="BF1736" s="5" t="s">
        <v>301</v>
      </c>
      <c r="BG1736" s="6" t="s">
        <v>299</v>
      </c>
      <c r="BH1736" s="5" t="s">
        <v>302</v>
      </c>
      <c r="BI1736" s="5" t="s">
        <v>303</v>
      </c>
      <c r="BJ1736" s="5" t="s">
        <v>240</v>
      </c>
      <c r="BK1736" s="8">
        <f>0</f>
        <v>0</v>
      </c>
      <c r="BL1736" s="7">
        <f>0</f>
        <v>0</v>
      </c>
      <c r="BM1736" s="5" t="s">
        <v>258</v>
      </c>
      <c r="BN1736" s="5" t="s">
        <v>259</v>
      </c>
      <c r="CB1736" s="5" t="s">
        <v>240</v>
      </c>
      <c r="CC1736" s="5" t="s">
        <v>240</v>
      </c>
      <c r="CG1736" s="5" t="s">
        <v>304</v>
      </c>
      <c r="CH1736" s="5" t="s">
        <v>305</v>
      </c>
      <c r="CI1736" s="5" t="s">
        <v>240</v>
      </c>
      <c r="CL1736" s="6" t="s">
        <v>261</v>
      </c>
      <c r="CM1736" s="5" t="s">
        <v>240</v>
      </c>
      <c r="CN1736" s="5" t="s">
        <v>263</v>
      </c>
      <c r="CO1736" s="5" t="s">
        <v>240</v>
      </c>
      <c r="CP1736" s="5" t="s">
        <v>240</v>
      </c>
      <c r="CQ1736" s="5">
        <v>0</v>
      </c>
      <c r="CR1736" s="5" t="s">
        <v>306</v>
      </c>
      <c r="CS1736" s="5" t="s">
        <v>307</v>
      </c>
      <c r="CT1736" s="5" t="s">
        <v>307</v>
      </c>
      <c r="CU1736" s="5" t="s">
        <v>260</v>
      </c>
      <c r="CX1736" s="7">
        <f>1</f>
        <v>1</v>
      </c>
      <c r="CY1736" s="7">
        <f>0</f>
        <v>0</v>
      </c>
      <c r="DA1736" s="7">
        <f>0</f>
        <v>0</v>
      </c>
      <c r="DC1736" s="5" t="s">
        <v>812</v>
      </c>
      <c r="DD1736" s="5" t="s">
        <v>240</v>
      </c>
      <c r="DF1736" s="5" t="s">
        <v>812</v>
      </c>
      <c r="DG1736" s="7">
        <f>348</f>
        <v>348</v>
      </c>
      <c r="DI1736" s="5" t="s">
        <v>240</v>
      </c>
      <c r="DJ1736" s="5" t="s">
        <v>240</v>
      </c>
      <c r="DK1736" s="5" t="s">
        <v>240</v>
      </c>
      <c r="DL1736" s="5" t="s">
        <v>240</v>
      </c>
      <c r="DP1736" s="5" t="s">
        <v>240</v>
      </c>
      <c r="DQ1736" s="5" t="s">
        <v>240</v>
      </c>
      <c r="DR1736" s="5" t="s">
        <v>240</v>
      </c>
      <c r="DS1736" s="5" t="s">
        <v>240</v>
      </c>
      <c r="DV1736" s="5" t="s">
        <v>813</v>
      </c>
      <c r="DW1736" s="5" t="s">
        <v>3604</v>
      </c>
      <c r="HO1736" s="5" t="s">
        <v>312</v>
      </c>
    </row>
    <row r="1737" spans="1:223" x14ac:dyDescent="0.4">
      <c r="A1737" s="5">
        <v>3412</v>
      </c>
      <c r="B1737" s="5">
        <v>1</v>
      </c>
      <c r="C1737" s="5">
        <v>1</v>
      </c>
      <c r="D1737" s="5" t="s">
        <v>297</v>
      </c>
      <c r="E1737" s="5" t="s">
        <v>245</v>
      </c>
      <c r="F1737" s="5" t="s">
        <v>254</v>
      </c>
      <c r="G1737" s="5" t="s">
        <v>240</v>
      </c>
      <c r="H1737" s="6" t="s">
        <v>4421</v>
      </c>
      <c r="I1737" s="5" t="s">
        <v>295</v>
      </c>
      <c r="J1737" s="8">
        <f>1200</f>
        <v>1200</v>
      </c>
      <c r="K1737" s="5" t="s">
        <v>308</v>
      </c>
      <c r="L1737" s="7">
        <f>1</f>
        <v>1</v>
      </c>
      <c r="M1737" s="7">
        <f>1</f>
        <v>1</v>
      </c>
      <c r="N1737" s="5" t="s">
        <v>242</v>
      </c>
      <c r="O1737" s="5">
        <v>1</v>
      </c>
      <c r="P1737" s="5" t="s">
        <v>294</v>
      </c>
      <c r="Q1737" s="5" t="s">
        <v>266</v>
      </c>
      <c r="R1737" s="5" t="s">
        <v>240</v>
      </c>
      <c r="S1737" s="5" t="s">
        <v>240</v>
      </c>
      <c r="T1737" s="5" t="s">
        <v>296</v>
      </c>
      <c r="U1737" s="5" t="s">
        <v>244</v>
      </c>
      <c r="V1737" s="5" t="s">
        <v>240</v>
      </c>
      <c r="Y1737" s="5" t="s">
        <v>240</v>
      </c>
      <c r="Z1737" s="6" t="s">
        <v>298</v>
      </c>
      <c r="AB1737" s="6" t="s">
        <v>240</v>
      </c>
      <c r="AE1737" s="6" t="s">
        <v>299</v>
      </c>
      <c r="AF1737" s="5" t="s">
        <v>248</v>
      </c>
      <c r="AG1737" s="5" t="s">
        <v>249</v>
      </c>
      <c r="AW1737" s="5" t="s">
        <v>251</v>
      </c>
      <c r="AX1737" s="5" t="s">
        <v>240</v>
      </c>
      <c r="AY1737" s="5" t="s">
        <v>253</v>
      </c>
      <c r="AZ1737" s="5" t="s">
        <v>240</v>
      </c>
      <c r="BA1737" s="5" t="s">
        <v>255</v>
      </c>
      <c r="BB1737" s="5" t="s">
        <v>240</v>
      </c>
      <c r="BD1737" s="5" t="s">
        <v>240</v>
      </c>
      <c r="BF1737" s="5" t="s">
        <v>301</v>
      </c>
      <c r="BG1737" s="6" t="s">
        <v>299</v>
      </c>
      <c r="BH1737" s="5" t="s">
        <v>302</v>
      </c>
      <c r="BI1737" s="5" t="s">
        <v>303</v>
      </c>
      <c r="BJ1737" s="5" t="s">
        <v>240</v>
      </c>
      <c r="BK1737" s="8">
        <f>0</f>
        <v>0</v>
      </c>
      <c r="BL1737" s="7">
        <f>0</f>
        <v>0</v>
      </c>
      <c r="BM1737" s="5" t="s">
        <v>258</v>
      </c>
      <c r="BN1737" s="5" t="s">
        <v>259</v>
      </c>
      <c r="CB1737" s="5" t="s">
        <v>240</v>
      </c>
      <c r="CC1737" s="5" t="s">
        <v>240</v>
      </c>
      <c r="CG1737" s="5" t="s">
        <v>304</v>
      </c>
      <c r="CH1737" s="5" t="s">
        <v>305</v>
      </c>
      <c r="CI1737" s="5" t="s">
        <v>240</v>
      </c>
      <c r="CL1737" s="6" t="s">
        <v>261</v>
      </c>
      <c r="CM1737" s="5" t="s">
        <v>240</v>
      </c>
      <c r="CN1737" s="5" t="s">
        <v>263</v>
      </c>
      <c r="CO1737" s="5" t="s">
        <v>240</v>
      </c>
      <c r="CP1737" s="5" t="s">
        <v>240</v>
      </c>
      <c r="CQ1737" s="5">
        <v>0</v>
      </c>
      <c r="CR1737" s="5" t="s">
        <v>306</v>
      </c>
      <c r="CS1737" s="5" t="s">
        <v>307</v>
      </c>
      <c r="CT1737" s="5" t="s">
        <v>307</v>
      </c>
      <c r="CU1737" s="5" t="s">
        <v>260</v>
      </c>
      <c r="CX1737" s="7">
        <f>1</f>
        <v>1</v>
      </c>
      <c r="CY1737" s="7">
        <f>0</f>
        <v>0</v>
      </c>
      <c r="DA1737" s="7">
        <f>0</f>
        <v>0</v>
      </c>
      <c r="DC1737" s="5" t="s">
        <v>812</v>
      </c>
      <c r="DD1737" s="5" t="s">
        <v>240</v>
      </c>
      <c r="DF1737" s="5" t="s">
        <v>812</v>
      </c>
      <c r="DG1737" s="7">
        <f>2354</f>
        <v>2354</v>
      </c>
      <c r="DI1737" s="5" t="s">
        <v>240</v>
      </c>
      <c r="DJ1737" s="5" t="s">
        <v>240</v>
      </c>
      <c r="DK1737" s="5" t="s">
        <v>240</v>
      </c>
      <c r="DL1737" s="5" t="s">
        <v>240</v>
      </c>
      <c r="DP1737" s="5" t="s">
        <v>240</v>
      </c>
      <c r="DQ1737" s="5" t="s">
        <v>240</v>
      </c>
      <c r="DR1737" s="5" t="s">
        <v>240</v>
      </c>
      <c r="DS1737" s="5" t="s">
        <v>240</v>
      </c>
      <c r="DV1737" s="5" t="s">
        <v>813</v>
      </c>
      <c r="DW1737" s="5" t="s">
        <v>3606</v>
      </c>
      <c r="HO1737" s="5" t="s">
        <v>312</v>
      </c>
    </row>
    <row r="1738" spans="1:223" x14ac:dyDescent="0.4">
      <c r="A1738" s="5">
        <v>3413</v>
      </c>
      <c r="B1738" s="5">
        <v>1</v>
      </c>
      <c r="C1738" s="5">
        <v>1</v>
      </c>
      <c r="D1738" s="5" t="s">
        <v>297</v>
      </c>
      <c r="E1738" s="5" t="s">
        <v>245</v>
      </c>
      <c r="F1738" s="5" t="s">
        <v>254</v>
      </c>
      <c r="G1738" s="5" t="s">
        <v>240</v>
      </c>
      <c r="H1738" s="6" t="s">
        <v>4420</v>
      </c>
      <c r="I1738" s="5" t="s">
        <v>295</v>
      </c>
      <c r="J1738" s="8">
        <f>1538</f>
        <v>1538</v>
      </c>
      <c r="K1738" s="5" t="s">
        <v>308</v>
      </c>
      <c r="L1738" s="7">
        <f>1</f>
        <v>1</v>
      </c>
      <c r="M1738" s="7">
        <f>1</f>
        <v>1</v>
      </c>
      <c r="N1738" s="5" t="s">
        <v>242</v>
      </c>
      <c r="O1738" s="5">
        <v>1</v>
      </c>
      <c r="P1738" s="5" t="s">
        <v>294</v>
      </c>
      <c r="Q1738" s="5" t="s">
        <v>266</v>
      </c>
      <c r="R1738" s="5" t="s">
        <v>240</v>
      </c>
      <c r="S1738" s="5" t="s">
        <v>240</v>
      </c>
      <c r="T1738" s="5" t="s">
        <v>296</v>
      </c>
      <c r="U1738" s="5" t="s">
        <v>244</v>
      </c>
      <c r="V1738" s="5" t="s">
        <v>240</v>
      </c>
      <c r="Y1738" s="5" t="s">
        <v>240</v>
      </c>
      <c r="Z1738" s="6" t="s">
        <v>298</v>
      </c>
      <c r="AB1738" s="6" t="s">
        <v>240</v>
      </c>
      <c r="AE1738" s="6" t="s">
        <v>299</v>
      </c>
      <c r="AF1738" s="5" t="s">
        <v>248</v>
      </c>
      <c r="AG1738" s="5" t="s">
        <v>249</v>
      </c>
      <c r="AW1738" s="5" t="s">
        <v>251</v>
      </c>
      <c r="AX1738" s="5" t="s">
        <v>240</v>
      </c>
      <c r="AY1738" s="5" t="s">
        <v>253</v>
      </c>
      <c r="AZ1738" s="5" t="s">
        <v>240</v>
      </c>
      <c r="BA1738" s="5" t="s">
        <v>255</v>
      </c>
      <c r="BB1738" s="5" t="s">
        <v>240</v>
      </c>
      <c r="BD1738" s="5" t="s">
        <v>240</v>
      </c>
      <c r="BF1738" s="5" t="s">
        <v>301</v>
      </c>
      <c r="BG1738" s="6" t="s">
        <v>299</v>
      </c>
      <c r="BH1738" s="5" t="s">
        <v>302</v>
      </c>
      <c r="BI1738" s="5" t="s">
        <v>303</v>
      </c>
      <c r="BJ1738" s="5" t="s">
        <v>240</v>
      </c>
      <c r="BK1738" s="8">
        <f>0</f>
        <v>0</v>
      </c>
      <c r="BL1738" s="7">
        <f>0</f>
        <v>0</v>
      </c>
      <c r="BM1738" s="5" t="s">
        <v>258</v>
      </c>
      <c r="BN1738" s="5" t="s">
        <v>259</v>
      </c>
      <c r="CB1738" s="5" t="s">
        <v>240</v>
      </c>
      <c r="CC1738" s="5" t="s">
        <v>240</v>
      </c>
      <c r="CG1738" s="5" t="s">
        <v>304</v>
      </c>
      <c r="CH1738" s="5" t="s">
        <v>305</v>
      </c>
      <c r="CI1738" s="5" t="s">
        <v>240</v>
      </c>
      <c r="CL1738" s="6" t="s">
        <v>261</v>
      </c>
      <c r="CM1738" s="5" t="s">
        <v>240</v>
      </c>
      <c r="CN1738" s="5" t="s">
        <v>263</v>
      </c>
      <c r="CO1738" s="5" t="s">
        <v>240</v>
      </c>
      <c r="CP1738" s="5" t="s">
        <v>240</v>
      </c>
      <c r="CQ1738" s="5">
        <v>0</v>
      </c>
      <c r="CR1738" s="5" t="s">
        <v>306</v>
      </c>
      <c r="CS1738" s="5" t="s">
        <v>307</v>
      </c>
      <c r="CT1738" s="5" t="s">
        <v>307</v>
      </c>
      <c r="CU1738" s="5" t="s">
        <v>260</v>
      </c>
      <c r="CX1738" s="7">
        <f>1</f>
        <v>1</v>
      </c>
      <c r="CY1738" s="7">
        <f>0</f>
        <v>0</v>
      </c>
      <c r="DA1738" s="7">
        <f>0</f>
        <v>0</v>
      </c>
      <c r="DC1738" s="5" t="s">
        <v>812</v>
      </c>
      <c r="DD1738" s="5" t="s">
        <v>240</v>
      </c>
      <c r="DF1738" s="5" t="s">
        <v>812</v>
      </c>
      <c r="DG1738" s="7">
        <f>1410</f>
        <v>1410</v>
      </c>
      <c r="DI1738" s="5" t="s">
        <v>240</v>
      </c>
      <c r="DJ1738" s="5" t="s">
        <v>240</v>
      </c>
      <c r="DK1738" s="5" t="s">
        <v>240</v>
      </c>
      <c r="DL1738" s="5" t="s">
        <v>240</v>
      </c>
      <c r="DP1738" s="5" t="s">
        <v>240</v>
      </c>
      <c r="DQ1738" s="5" t="s">
        <v>240</v>
      </c>
      <c r="DR1738" s="5" t="s">
        <v>240</v>
      </c>
      <c r="DS1738" s="5" t="s">
        <v>240</v>
      </c>
      <c r="DV1738" s="5" t="s">
        <v>813</v>
      </c>
      <c r="DW1738" s="5" t="s">
        <v>3608</v>
      </c>
      <c r="HO1738" s="5" t="s">
        <v>312</v>
      </c>
    </row>
    <row r="1739" spans="1:223" x14ac:dyDescent="0.4">
      <c r="A1739" s="5">
        <v>3414</v>
      </c>
      <c r="B1739" s="5">
        <v>1</v>
      </c>
      <c r="C1739" s="5">
        <v>1</v>
      </c>
      <c r="D1739" s="5" t="s">
        <v>297</v>
      </c>
      <c r="E1739" s="5" t="s">
        <v>245</v>
      </c>
      <c r="F1739" s="5" t="s">
        <v>254</v>
      </c>
      <c r="G1739" s="5" t="s">
        <v>240</v>
      </c>
      <c r="H1739" s="6" t="s">
        <v>4419</v>
      </c>
      <c r="I1739" s="5" t="s">
        <v>295</v>
      </c>
      <c r="J1739" s="8">
        <f>1637</f>
        <v>1637</v>
      </c>
      <c r="K1739" s="5" t="s">
        <v>308</v>
      </c>
      <c r="L1739" s="7">
        <f>1</f>
        <v>1</v>
      </c>
      <c r="M1739" s="7">
        <f>1</f>
        <v>1</v>
      </c>
      <c r="N1739" s="5" t="s">
        <v>242</v>
      </c>
      <c r="O1739" s="5">
        <v>1</v>
      </c>
      <c r="P1739" s="5" t="s">
        <v>294</v>
      </c>
      <c r="Q1739" s="5" t="s">
        <v>266</v>
      </c>
      <c r="R1739" s="5" t="s">
        <v>240</v>
      </c>
      <c r="S1739" s="5" t="s">
        <v>240</v>
      </c>
      <c r="T1739" s="5" t="s">
        <v>296</v>
      </c>
      <c r="U1739" s="5" t="s">
        <v>244</v>
      </c>
      <c r="V1739" s="5" t="s">
        <v>240</v>
      </c>
      <c r="Y1739" s="5" t="s">
        <v>240</v>
      </c>
      <c r="Z1739" s="6" t="s">
        <v>298</v>
      </c>
      <c r="AB1739" s="6" t="s">
        <v>240</v>
      </c>
      <c r="AE1739" s="6" t="s">
        <v>299</v>
      </c>
      <c r="AF1739" s="5" t="s">
        <v>248</v>
      </c>
      <c r="AG1739" s="5" t="s">
        <v>249</v>
      </c>
      <c r="AW1739" s="5" t="s">
        <v>251</v>
      </c>
      <c r="AX1739" s="5" t="s">
        <v>240</v>
      </c>
      <c r="AY1739" s="5" t="s">
        <v>253</v>
      </c>
      <c r="AZ1739" s="5" t="s">
        <v>240</v>
      </c>
      <c r="BA1739" s="5" t="s">
        <v>255</v>
      </c>
      <c r="BB1739" s="5" t="s">
        <v>240</v>
      </c>
      <c r="BD1739" s="5" t="s">
        <v>240</v>
      </c>
      <c r="BF1739" s="5" t="s">
        <v>301</v>
      </c>
      <c r="BG1739" s="6" t="s">
        <v>299</v>
      </c>
      <c r="BH1739" s="5" t="s">
        <v>302</v>
      </c>
      <c r="BI1739" s="5" t="s">
        <v>303</v>
      </c>
      <c r="BJ1739" s="5" t="s">
        <v>240</v>
      </c>
      <c r="BK1739" s="8">
        <f>0</f>
        <v>0</v>
      </c>
      <c r="BL1739" s="7">
        <f>0</f>
        <v>0</v>
      </c>
      <c r="BM1739" s="5" t="s">
        <v>258</v>
      </c>
      <c r="BN1739" s="5" t="s">
        <v>259</v>
      </c>
      <c r="CB1739" s="5" t="s">
        <v>240</v>
      </c>
      <c r="CC1739" s="5" t="s">
        <v>240</v>
      </c>
      <c r="CG1739" s="5" t="s">
        <v>304</v>
      </c>
      <c r="CH1739" s="5" t="s">
        <v>305</v>
      </c>
      <c r="CI1739" s="5" t="s">
        <v>240</v>
      </c>
      <c r="CL1739" s="6" t="s">
        <v>261</v>
      </c>
      <c r="CM1739" s="5" t="s">
        <v>240</v>
      </c>
      <c r="CN1739" s="5" t="s">
        <v>263</v>
      </c>
      <c r="CO1739" s="5" t="s">
        <v>240</v>
      </c>
      <c r="CP1739" s="5" t="s">
        <v>240</v>
      </c>
      <c r="CQ1739" s="5">
        <v>0</v>
      </c>
      <c r="CR1739" s="5" t="s">
        <v>306</v>
      </c>
      <c r="CS1739" s="5" t="s">
        <v>307</v>
      </c>
      <c r="CT1739" s="5" t="s">
        <v>307</v>
      </c>
      <c r="CU1739" s="5" t="s">
        <v>260</v>
      </c>
      <c r="CX1739" s="7">
        <f>1</f>
        <v>1</v>
      </c>
      <c r="CY1739" s="7">
        <f>0</f>
        <v>0</v>
      </c>
      <c r="DA1739" s="7">
        <f>0</f>
        <v>0</v>
      </c>
      <c r="DC1739" s="5" t="s">
        <v>812</v>
      </c>
      <c r="DD1739" s="5" t="s">
        <v>240</v>
      </c>
      <c r="DF1739" s="5" t="s">
        <v>812</v>
      </c>
      <c r="DG1739" s="7">
        <f>2452</f>
        <v>2452</v>
      </c>
      <c r="DI1739" s="5" t="s">
        <v>240</v>
      </c>
      <c r="DJ1739" s="5" t="s">
        <v>240</v>
      </c>
      <c r="DK1739" s="5" t="s">
        <v>240</v>
      </c>
      <c r="DL1739" s="5" t="s">
        <v>240</v>
      </c>
      <c r="DP1739" s="5" t="s">
        <v>240</v>
      </c>
      <c r="DQ1739" s="5" t="s">
        <v>240</v>
      </c>
      <c r="DR1739" s="5" t="s">
        <v>240</v>
      </c>
      <c r="DS1739" s="5" t="s">
        <v>240</v>
      </c>
      <c r="DV1739" s="5" t="s">
        <v>813</v>
      </c>
      <c r="DW1739" s="5" t="s">
        <v>3610</v>
      </c>
      <c r="HO1739" s="5" t="s">
        <v>312</v>
      </c>
    </row>
    <row r="1740" spans="1:223" x14ac:dyDescent="0.4">
      <c r="A1740" s="5">
        <v>3415</v>
      </c>
      <c r="B1740" s="5">
        <v>1</v>
      </c>
      <c r="C1740" s="5">
        <v>1</v>
      </c>
      <c r="D1740" s="5" t="s">
        <v>297</v>
      </c>
      <c r="E1740" s="5" t="s">
        <v>245</v>
      </c>
      <c r="F1740" s="5" t="s">
        <v>254</v>
      </c>
      <c r="G1740" s="5" t="s">
        <v>240</v>
      </c>
      <c r="H1740" s="6" t="s">
        <v>4418</v>
      </c>
      <c r="I1740" s="5" t="s">
        <v>295</v>
      </c>
      <c r="J1740" s="8">
        <f>2856</f>
        <v>2856</v>
      </c>
      <c r="K1740" s="5" t="s">
        <v>308</v>
      </c>
      <c r="L1740" s="7">
        <f>1</f>
        <v>1</v>
      </c>
      <c r="M1740" s="7">
        <f>1</f>
        <v>1</v>
      </c>
      <c r="N1740" s="5" t="s">
        <v>242</v>
      </c>
      <c r="O1740" s="5">
        <v>1</v>
      </c>
      <c r="P1740" s="5" t="s">
        <v>294</v>
      </c>
      <c r="Q1740" s="5" t="s">
        <v>266</v>
      </c>
      <c r="R1740" s="5" t="s">
        <v>240</v>
      </c>
      <c r="S1740" s="5" t="s">
        <v>240</v>
      </c>
      <c r="T1740" s="5" t="s">
        <v>296</v>
      </c>
      <c r="U1740" s="5" t="s">
        <v>244</v>
      </c>
      <c r="V1740" s="5" t="s">
        <v>240</v>
      </c>
      <c r="Y1740" s="5" t="s">
        <v>240</v>
      </c>
      <c r="Z1740" s="6" t="s">
        <v>298</v>
      </c>
      <c r="AB1740" s="6" t="s">
        <v>240</v>
      </c>
      <c r="AE1740" s="6" t="s">
        <v>299</v>
      </c>
      <c r="AF1740" s="5" t="s">
        <v>248</v>
      </c>
      <c r="AG1740" s="5" t="s">
        <v>249</v>
      </c>
      <c r="AW1740" s="5" t="s">
        <v>251</v>
      </c>
      <c r="AX1740" s="5" t="s">
        <v>240</v>
      </c>
      <c r="AY1740" s="5" t="s">
        <v>253</v>
      </c>
      <c r="AZ1740" s="5" t="s">
        <v>240</v>
      </c>
      <c r="BA1740" s="5" t="s">
        <v>255</v>
      </c>
      <c r="BB1740" s="5" t="s">
        <v>240</v>
      </c>
      <c r="BD1740" s="5" t="s">
        <v>240</v>
      </c>
      <c r="BF1740" s="5" t="s">
        <v>301</v>
      </c>
      <c r="BG1740" s="6" t="s">
        <v>299</v>
      </c>
      <c r="BH1740" s="5" t="s">
        <v>302</v>
      </c>
      <c r="BI1740" s="5" t="s">
        <v>303</v>
      </c>
      <c r="BJ1740" s="5" t="s">
        <v>240</v>
      </c>
      <c r="BK1740" s="8">
        <f>0</f>
        <v>0</v>
      </c>
      <c r="BL1740" s="7">
        <f>0</f>
        <v>0</v>
      </c>
      <c r="BM1740" s="5" t="s">
        <v>258</v>
      </c>
      <c r="BN1740" s="5" t="s">
        <v>259</v>
      </c>
      <c r="CB1740" s="5" t="s">
        <v>240</v>
      </c>
      <c r="CC1740" s="5" t="s">
        <v>240</v>
      </c>
      <c r="CG1740" s="5" t="s">
        <v>304</v>
      </c>
      <c r="CH1740" s="5" t="s">
        <v>305</v>
      </c>
      <c r="CI1740" s="5" t="s">
        <v>240</v>
      </c>
      <c r="CL1740" s="6" t="s">
        <v>261</v>
      </c>
      <c r="CM1740" s="5" t="s">
        <v>240</v>
      </c>
      <c r="CN1740" s="5" t="s">
        <v>263</v>
      </c>
      <c r="CO1740" s="5" t="s">
        <v>240</v>
      </c>
      <c r="CP1740" s="5" t="s">
        <v>240</v>
      </c>
      <c r="CQ1740" s="5">
        <v>0</v>
      </c>
      <c r="CR1740" s="5" t="s">
        <v>306</v>
      </c>
      <c r="CS1740" s="5" t="s">
        <v>307</v>
      </c>
      <c r="CT1740" s="5" t="s">
        <v>307</v>
      </c>
      <c r="CU1740" s="5" t="s">
        <v>260</v>
      </c>
      <c r="CX1740" s="7">
        <f>1</f>
        <v>1</v>
      </c>
      <c r="CY1740" s="7">
        <f>0</f>
        <v>0</v>
      </c>
      <c r="DA1740" s="7">
        <f>0</f>
        <v>0</v>
      </c>
      <c r="DC1740" s="5" t="s">
        <v>812</v>
      </c>
      <c r="DD1740" s="5" t="s">
        <v>240</v>
      </c>
      <c r="DF1740" s="5" t="s">
        <v>812</v>
      </c>
      <c r="DG1740" s="7">
        <f>446</f>
        <v>446</v>
      </c>
      <c r="DI1740" s="5" t="s">
        <v>240</v>
      </c>
      <c r="DJ1740" s="5" t="s">
        <v>240</v>
      </c>
      <c r="DK1740" s="5" t="s">
        <v>240</v>
      </c>
      <c r="DL1740" s="5" t="s">
        <v>240</v>
      </c>
      <c r="DP1740" s="5" t="s">
        <v>240</v>
      </c>
      <c r="DQ1740" s="5" t="s">
        <v>240</v>
      </c>
      <c r="DR1740" s="5" t="s">
        <v>240</v>
      </c>
      <c r="DS1740" s="5" t="s">
        <v>240</v>
      </c>
      <c r="DV1740" s="5" t="s">
        <v>813</v>
      </c>
      <c r="DW1740" s="5" t="s">
        <v>3612</v>
      </c>
      <c r="HO1740" s="5" t="s">
        <v>312</v>
      </c>
    </row>
    <row r="1741" spans="1:223" x14ac:dyDescent="0.4">
      <c r="A1741" s="5">
        <v>3416</v>
      </c>
      <c r="B1741" s="5">
        <v>1</v>
      </c>
      <c r="C1741" s="5">
        <v>1</v>
      </c>
      <c r="D1741" s="5" t="s">
        <v>297</v>
      </c>
      <c r="E1741" s="5" t="s">
        <v>245</v>
      </c>
      <c r="F1741" s="5" t="s">
        <v>254</v>
      </c>
      <c r="G1741" s="5" t="s">
        <v>240</v>
      </c>
      <c r="H1741" s="6" t="s">
        <v>4417</v>
      </c>
      <c r="I1741" s="5" t="s">
        <v>295</v>
      </c>
      <c r="J1741" s="8">
        <f>2061</f>
        <v>2061</v>
      </c>
      <c r="K1741" s="5" t="s">
        <v>308</v>
      </c>
      <c r="L1741" s="7">
        <f>1</f>
        <v>1</v>
      </c>
      <c r="M1741" s="7">
        <f>1</f>
        <v>1</v>
      </c>
      <c r="N1741" s="5" t="s">
        <v>242</v>
      </c>
      <c r="O1741" s="5">
        <v>1</v>
      </c>
      <c r="P1741" s="5" t="s">
        <v>294</v>
      </c>
      <c r="Q1741" s="5" t="s">
        <v>266</v>
      </c>
      <c r="R1741" s="5" t="s">
        <v>240</v>
      </c>
      <c r="S1741" s="5" t="s">
        <v>240</v>
      </c>
      <c r="T1741" s="5" t="s">
        <v>296</v>
      </c>
      <c r="U1741" s="5" t="s">
        <v>244</v>
      </c>
      <c r="V1741" s="5" t="s">
        <v>240</v>
      </c>
      <c r="Y1741" s="5" t="s">
        <v>240</v>
      </c>
      <c r="Z1741" s="6" t="s">
        <v>298</v>
      </c>
      <c r="AB1741" s="6" t="s">
        <v>240</v>
      </c>
      <c r="AE1741" s="6" t="s">
        <v>299</v>
      </c>
      <c r="AF1741" s="5" t="s">
        <v>248</v>
      </c>
      <c r="AG1741" s="5" t="s">
        <v>249</v>
      </c>
      <c r="AW1741" s="5" t="s">
        <v>251</v>
      </c>
      <c r="AX1741" s="5" t="s">
        <v>240</v>
      </c>
      <c r="AY1741" s="5" t="s">
        <v>253</v>
      </c>
      <c r="AZ1741" s="5" t="s">
        <v>240</v>
      </c>
      <c r="BA1741" s="5" t="s">
        <v>255</v>
      </c>
      <c r="BB1741" s="5" t="s">
        <v>240</v>
      </c>
      <c r="BD1741" s="5" t="s">
        <v>240</v>
      </c>
      <c r="BF1741" s="5" t="s">
        <v>301</v>
      </c>
      <c r="BG1741" s="6" t="s">
        <v>299</v>
      </c>
      <c r="BH1741" s="5" t="s">
        <v>302</v>
      </c>
      <c r="BI1741" s="5" t="s">
        <v>303</v>
      </c>
      <c r="BJ1741" s="5" t="s">
        <v>240</v>
      </c>
      <c r="BK1741" s="8">
        <f>0</f>
        <v>0</v>
      </c>
      <c r="BL1741" s="7">
        <f>0</f>
        <v>0</v>
      </c>
      <c r="BM1741" s="5" t="s">
        <v>258</v>
      </c>
      <c r="BN1741" s="5" t="s">
        <v>259</v>
      </c>
      <c r="CB1741" s="5" t="s">
        <v>240</v>
      </c>
      <c r="CC1741" s="5" t="s">
        <v>240</v>
      </c>
      <c r="CG1741" s="5" t="s">
        <v>304</v>
      </c>
      <c r="CH1741" s="5" t="s">
        <v>305</v>
      </c>
      <c r="CI1741" s="5" t="s">
        <v>240</v>
      </c>
      <c r="CL1741" s="6" t="s">
        <v>261</v>
      </c>
      <c r="CM1741" s="5" t="s">
        <v>240</v>
      </c>
      <c r="CN1741" s="5" t="s">
        <v>263</v>
      </c>
      <c r="CO1741" s="5" t="s">
        <v>240</v>
      </c>
      <c r="CP1741" s="5" t="s">
        <v>240</v>
      </c>
      <c r="CQ1741" s="5">
        <v>0</v>
      </c>
      <c r="CR1741" s="5" t="s">
        <v>306</v>
      </c>
      <c r="CS1741" s="5" t="s">
        <v>307</v>
      </c>
      <c r="CT1741" s="5" t="s">
        <v>307</v>
      </c>
      <c r="CU1741" s="5" t="s">
        <v>260</v>
      </c>
      <c r="CX1741" s="7">
        <f>1</f>
        <v>1</v>
      </c>
      <c r="CY1741" s="7">
        <f>0</f>
        <v>0</v>
      </c>
      <c r="DA1741" s="7">
        <f>0</f>
        <v>0</v>
      </c>
      <c r="DC1741" s="5" t="s">
        <v>812</v>
      </c>
      <c r="DD1741" s="5" t="s">
        <v>240</v>
      </c>
      <c r="DF1741" s="5" t="s">
        <v>812</v>
      </c>
      <c r="DG1741" s="7">
        <f>1127</f>
        <v>1127</v>
      </c>
      <c r="DI1741" s="5" t="s">
        <v>240</v>
      </c>
      <c r="DJ1741" s="5" t="s">
        <v>240</v>
      </c>
      <c r="DK1741" s="5" t="s">
        <v>240</v>
      </c>
      <c r="DL1741" s="5" t="s">
        <v>240</v>
      </c>
      <c r="DP1741" s="5" t="s">
        <v>240</v>
      </c>
      <c r="DQ1741" s="5" t="s">
        <v>240</v>
      </c>
      <c r="DR1741" s="5" t="s">
        <v>240</v>
      </c>
      <c r="DS1741" s="5" t="s">
        <v>240</v>
      </c>
      <c r="DV1741" s="5" t="s">
        <v>813</v>
      </c>
      <c r="DW1741" s="5" t="s">
        <v>3614</v>
      </c>
      <c r="HO1741" s="5" t="s">
        <v>312</v>
      </c>
    </row>
    <row r="1742" spans="1:223" x14ac:dyDescent="0.4">
      <c r="A1742" s="5">
        <v>3417</v>
      </c>
      <c r="B1742" s="5">
        <v>1</v>
      </c>
      <c r="C1742" s="5">
        <v>1</v>
      </c>
      <c r="D1742" s="5" t="s">
        <v>297</v>
      </c>
      <c r="E1742" s="5" t="s">
        <v>245</v>
      </c>
      <c r="F1742" s="5" t="s">
        <v>254</v>
      </c>
      <c r="G1742" s="5" t="s">
        <v>240</v>
      </c>
      <c r="H1742" s="6" t="s">
        <v>4416</v>
      </c>
      <c r="I1742" s="5" t="s">
        <v>295</v>
      </c>
      <c r="J1742" s="8">
        <f>2711</f>
        <v>2711</v>
      </c>
      <c r="K1742" s="5" t="s">
        <v>308</v>
      </c>
      <c r="L1742" s="7">
        <f>1</f>
        <v>1</v>
      </c>
      <c r="M1742" s="7">
        <f>1</f>
        <v>1</v>
      </c>
      <c r="N1742" s="5" t="s">
        <v>242</v>
      </c>
      <c r="O1742" s="5">
        <v>1</v>
      </c>
      <c r="P1742" s="5" t="s">
        <v>294</v>
      </c>
      <c r="Q1742" s="5" t="s">
        <v>266</v>
      </c>
      <c r="R1742" s="5" t="s">
        <v>240</v>
      </c>
      <c r="S1742" s="5" t="s">
        <v>240</v>
      </c>
      <c r="T1742" s="5" t="s">
        <v>296</v>
      </c>
      <c r="U1742" s="5" t="s">
        <v>244</v>
      </c>
      <c r="V1742" s="5" t="s">
        <v>240</v>
      </c>
      <c r="Y1742" s="5" t="s">
        <v>240</v>
      </c>
      <c r="Z1742" s="6" t="s">
        <v>298</v>
      </c>
      <c r="AB1742" s="6" t="s">
        <v>240</v>
      </c>
      <c r="AE1742" s="6" t="s">
        <v>299</v>
      </c>
      <c r="AF1742" s="5" t="s">
        <v>248</v>
      </c>
      <c r="AG1742" s="5" t="s">
        <v>249</v>
      </c>
      <c r="AW1742" s="5" t="s">
        <v>251</v>
      </c>
      <c r="AX1742" s="5" t="s">
        <v>240</v>
      </c>
      <c r="AY1742" s="5" t="s">
        <v>253</v>
      </c>
      <c r="AZ1742" s="5" t="s">
        <v>240</v>
      </c>
      <c r="BA1742" s="5" t="s">
        <v>255</v>
      </c>
      <c r="BB1742" s="5" t="s">
        <v>240</v>
      </c>
      <c r="BD1742" s="5" t="s">
        <v>240</v>
      </c>
      <c r="BF1742" s="5" t="s">
        <v>301</v>
      </c>
      <c r="BG1742" s="6" t="s">
        <v>299</v>
      </c>
      <c r="BH1742" s="5" t="s">
        <v>302</v>
      </c>
      <c r="BI1742" s="5" t="s">
        <v>303</v>
      </c>
      <c r="BJ1742" s="5" t="s">
        <v>240</v>
      </c>
      <c r="BK1742" s="8">
        <f>0</f>
        <v>0</v>
      </c>
      <c r="BL1742" s="7">
        <f>0</f>
        <v>0</v>
      </c>
      <c r="BM1742" s="5" t="s">
        <v>258</v>
      </c>
      <c r="BN1742" s="5" t="s">
        <v>259</v>
      </c>
      <c r="CB1742" s="5" t="s">
        <v>240</v>
      </c>
      <c r="CC1742" s="5" t="s">
        <v>240</v>
      </c>
      <c r="CG1742" s="5" t="s">
        <v>304</v>
      </c>
      <c r="CH1742" s="5" t="s">
        <v>305</v>
      </c>
      <c r="CI1742" s="5" t="s">
        <v>240</v>
      </c>
      <c r="CL1742" s="6" t="s">
        <v>261</v>
      </c>
      <c r="CM1742" s="5" t="s">
        <v>240</v>
      </c>
      <c r="CN1742" s="5" t="s">
        <v>263</v>
      </c>
      <c r="CO1742" s="5" t="s">
        <v>240</v>
      </c>
      <c r="CP1742" s="5" t="s">
        <v>240</v>
      </c>
      <c r="CQ1742" s="5">
        <v>0</v>
      </c>
      <c r="CR1742" s="5" t="s">
        <v>306</v>
      </c>
      <c r="CS1742" s="5" t="s">
        <v>307</v>
      </c>
      <c r="CT1742" s="5" t="s">
        <v>307</v>
      </c>
      <c r="CU1742" s="5" t="s">
        <v>260</v>
      </c>
      <c r="CX1742" s="7">
        <f>1</f>
        <v>1</v>
      </c>
      <c r="CY1742" s="7">
        <f>0</f>
        <v>0</v>
      </c>
      <c r="DA1742" s="7">
        <f>0</f>
        <v>0</v>
      </c>
      <c r="DC1742" s="5" t="s">
        <v>812</v>
      </c>
      <c r="DD1742" s="5" t="s">
        <v>240</v>
      </c>
      <c r="DF1742" s="5" t="s">
        <v>812</v>
      </c>
      <c r="DG1742" s="7">
        <f>493</f>
        <v>493</v>
      </c>
      <c r="DI1742" s="5" t="s">
        <v>240</v>
      </c>
      <c r="DJ1742" s="5" t="s">
        <v>240</v>
      </c>
      <c r="DK1742" s="5" t="s">
        <v>240</v>
      </c>
      <c r="DL1742" s="5" t="s">
        <v>240</v>
      </c>
      <c r="DP1742" s="5" t="s">
        <v>240</v>
      </c>
      <c r="DQ1742" s="5" t="s">
        <v>240</v>
      </c>
      <c r="DR1742" s="5" t="s">
        <v>240</v>
      </c>
      <c r="DS1742" s="5" t="s">
        <v>240</v>
      </c>
      <c r="DV1742" s="5" t="s">
        <v>813</v>
      </c>
      <c r="DW1742" s="5" t="s">
        <v>3616</v>
      </c>
      <c r="HO1742" s="5" t="s">
        <v>312</v>
      </c>
    </row>
    <row r="1743" spans="1:223" x14ac:dyDescent="0.4">
      <c r="A1743" s="5">
        <v>3418</v>
      </c>
      <c r="B1743" s="5">
        <v>1</v>
      </c>
      <c r="C1743" s="5">
        <v>1</v>
      </c>
      <c r="D1743" s="5" t="s">
        <v>297</v>
      </c>
      <c r="E1743" s="5" t="s">
        <v>245</v>
      </c>
      <c r="F1743" s="5" t="s">
        <v>254</v>
      </c>
      <c r="G1743" s="5" t="s">
        <v>240</v>
      </c>
      <c r="H1743" s="6" t="s">
        <v>4415</v>
      </c>
      <c r="I1743" s="5" t="s">
        <v>295</v>
      </c>
      <c r="J1743" s="8">
        <f>28</f>
        <v>28</v>
      </c>
      <c r="K1743" s="5" t="s">
        <v>308</v>
      </c>
      <c r="L1743" s="7">
        <f>1</f>
        <v>1</v>
      </c>
      <c r="M1743" s="7">
        <f>1</f>
        <v>1</v>
      </c>
      <c r="N1743" s="5" t="s">
        <v>242</v>
      </c>
      <c r="O1743" s="5">
        <v>1</v>
      </c>
      <c r="P1743" s="5" t="s">
        <v>294</v>
      </c>
      <c r="Q1743" s="5" t="s">
        <v>266</v>
      </c>
      <c r="R1743" s="5" t="s">
        <v>240</v>
      </c>
      <c r="S1743" s="5" t="s">
        <v>240</v>
      </c>
      <c r="T1743" s="5" t="s">
        <v>296</v>
      </c>
      <c r="U1743" s="5" t="s">
        <v>244</v>
      </c>
      <c r="V1743" s="5" t="s">
        <v>240</v>
      </c>
      <c r="Y1743" s="5" t="s">
        <v>240</v>
      </c>
      <c r="Z1743" s="6" t="s">
        <v>298</v>
      </c>
      <c r="AB1743" s="6" t="s">
        <v>240</v>
      </c>
      <c r="AE1743" s="6" t="s">
        <v>299</v>
      </c>
      <c r="AF1743" s="5" t="s">
        <v>248</v>
      </c>
      <c r="AG1743" s="5" t="s">
        <v>249</v>
      </c>
      <c r="AW1743" s="5" t="s">
        <v>251</v>
      </c>
      <c r="AX1743" s="5" t="s">
        <v>240</v>
      </c>
      <c r="AY1743" s="5" t="s">
        <v>253</v>
      </c>
      <c r="AZ1743" s="5" t="s">
        <v>240</v>
      </c>
      <c r="BA1743" s="5" t="s">
        <v>255</v>
      </c>
      <c r="BB1743" s="5" t="s">
        <v>240</v>
      </c>
      <c r="BD1743" s="5" t="s">
        <v>240</v>
      </c>
      <c r="BF1743" s="5" t="s">
        <v>301</v>
      </c>
      <c r="BG1743" s="6" t="s">
        <v>299</v>
      </c>
      <c r="BH1743" s="5" t="s">
        <v>302</v>
      </c>
      <c r="BI1743" s="5" t="s">
        <v>303</v>
      </c>
      <c r="BJ1743" s="5" t="s">
        <v>240</v>
      </c>
      <c r="BK1743" s="8">
        <f>0</f>
        <v>0</v>
      </c>
      <c r="BL1743" s="7">
        <f>0</f>
        <v>0</v>
      </c>
      <c r="BM1743" s="5" t="s">
        <v>258</v>
      </c>
      <c r="BN1743" s="5" t="s">
        <v>259</v>
      </c>
      <c r="CB1743" s="5" t="s">
        <v>240</v>
      </c>
      <c r="CC1743" s="5" t="s">
        <v>240</v>
      </c>
      <c r="CG1743" s="5" t="s">
        <v>304</v>
      </c>
      <c r="CH1743" s="5" t="s">
        <v>305</v>
      </c>
      <c r="CI1743" s="5" t="s">
        <v>240</v>
      </c>
      <c r="CL1743" s="6" t="s">
        <v>261</v>
      </c>
      <c r="CM1743" s="5" t="s">
        <v>240</v>
      </c>
      <c r="CN1743" s="5" t="s">
        <v>263</v>
      </c>
      <c r="CO1743" s="5" t="s">
        <v>240</v>
      </c>
      <c r="CP1743" s="5" t="s">
        <v>240</v>
      </c>
      <c r="CQ1743" s="5">
        <v>0</v>
      </c>
      <c r="CR1743" s="5" t="s">
        <v>306</v>
      </c>
      <c r="CS1743" s="5" t="s">
        <v>307</v>
      </c>
      <c r="CT1743" s="5" t="s">
        <v>307</v>
      </c>
      <c r="CU1743" s="5" t="s">
        <v>260</v>
      </c>
      <c r="CX1743" s="7">
        <f>1</f>
        <v>1</v>
      </c>
      <c r="CY1743" s="7">
        <f>0</f>
        <v>0</v>
      </c>
      <c r="DA1743" s="7">
        <f>0</f>
        <v>0</v>
      </c>
      <c r="DC1743" s="5" t="s">
        <v>812</v>
      </c>
      <c r="DD1743" s="5" t="s">
        <v>240</v>
      </c>
      <c r="DF1743" s="5" t="s">
        <v>812</v>
      </c>
      <c r="DG1743" s="7">
        <f>1167</f>
        <v>1167</v>
      </c>
      <c r="DI1743" s="5" t="s">
        <v>240</v>
      </c>
      <c r="DJ1743" s="5" t="s">
        <v>240</v>
      </c>
      <c r="DK1743" s="5" t="s">
        <v>240</v>
      </c>
      <c r="DL1743" s="5" t="s">
        <v>240</v>
      </c>
      <c r="DP1743" s="5" t="s">
        <v>240</v>
      </c>
      <c r="DQ1743" s="5" t="s">
        <v>240</v>
      </c>
      <c r="DR1743" s="5" t="s">
        <v>240</v>
      </c>
      <c r="DS1743" s="5" t="s">
        <v>240</v>
      </c>
      <c r="DV1743" s="5" t="s">
        <v>813</v>
      </c>
      <c r="DW1743" s="5" t="s">
        <v>3618</v>
      </c>
      <c r="HO1743" s="5" t="s">
        <v>312</v>
      </c>
    </row>
    <row r="1744" spans="1:223" x14ac:dyDescent="0.4">
      <c r="A1744" s="5">
        <v>3419</v>
      </c>
      <c r="B1744" s="5">
        <v>1</v>
      </c>
      <c r="C1744" s="5">
        <v>1</v>
      </c>
      <c r="D1744" s="5" t="s">
        <v>297</v>
      </c>
      <c r="E1744" s="5" t="s">
        <v>245</v>
      </c>
      <c r="F1744" s="5" t="s">
        <v>254</v>
      </c>
      <c r="G1744" s="5" t="s">
        <v>240</v>
      </c>
      <c r="H1744" s="6" t="s">
        <v>4414</v>
      </c>
      <c r="I1744" s="5" t="s">
        <v>295</v>
      </c>
      <c r="J1744" s="8">
        <f>5458</f>
        <v>5458</v>
      </c>
      <c r="K1744" s="5" t="s">
        <v>308</v>
      </c>
      <c r="L1744" s="7">
        <f>1</f>
        <v>1</v>
      </c>
      <c r="M1744" s="7">
        <f>1</f>
        <v>1</v>
      </c>
      <c r="N1744" s="5" t="s">
        <v>242</v>
      </c>
      <c r="O1744" s="5">
        <v>1</v>
      </c>
      <c r="P1744" s="5" t="s">
        <v>294</v>
      </c>
      <c r="Q1744" s="5" t="s">
        <v>266</v>
      </c>
      <c r="R1744" s="5" t="s">
        <v>240</v>
      </c>
      <c r="S1744" s="5" t="s">
        <v>240</v>
      </c>
      <c r="T1744" s="5" t="s">
        <v>296</v>
      </c>
      <c r="U1744" s="5" t="s">
        <v>244</v>
      </c>
      <c r="V1744" s="5" t="s">
        <v>240</v>
      </c>
      <c r="Y1744" s="5" t="s">
        <v>240</v>
      </c>
      <c r="Z1744" s="6" t="s">
        <v>298</v>
      </c>
      <c r="AB1744" s="6" t="s">
        <v>240</v>
      </c>
      <c r="AE1744" s="6" t="s">
        <v>299</v>
      </c>
      <c r="AF1744" s="5" t="s">
        <v>248</v>
      </c>
      <c r="AG1744" s="5" t="s">
        <v>249</v>
      </c>
      <c r="AW1744" s="5" t="s">
        <v>251</v>
      </c>
      <c r="AX1744" s="5" t="s">
        <v>240</v>
      </c>
      <c r="AY1744" s="5" t="s">
        <v>253</v>
      </c>
      <c r="AZ1744" s="5" t="s">
        <v>240</v>
      </c>
      <c r="BA1744" s="5" t="s">
        <v>255</v>
      </c>
      <c r="BB1744" s="5" t="s">
        <v>240</v>
      </c>
      <c r="BD1744" s="5" t="s">
        <v>240</v>
      </c>
      <c r="BF1744" s="5" t="s">
        <v>301</v>
      </c>
      <c r="BG1744" s="6" t="s">
        <v>299</v>
      </c>
      <c r="BH1744" s="5" t="s">
        <v>302</v>
      </c>
      <c r="BI1744" s="5" t="s">
        <v>303</v>
      </c>
      <c r="BJ1744" s="5" t="s">
        <v>240</v>
      </c>
      <c r="BK1744" s="8">
        <f>0</f>
        <v>0</v>
      </c>
      <c r="BL1744" s="7">
        <f>0</f>
        <v>0</v>
      </c>
      <c r="BM1744" s="5" t="s">
        <v>258</v>
      </c>
      <c r="BN1744" s="5" t="s">
        <v>259</v>
      </c>
      <c r="CB1744" s="5" t="s">
        <v>240</v>
      </c>
      <c r="CC1744" s="5" t="s">
        <v>240</v>
      </c>
      <c r="CG1744" s="5" t="s">
        <v>304</v>
      </c>
      <c r="CH1744" s="5" t="s">
        <v>305</v>
      </c>
      <c r="CI1744" s="5" t="s">
        <v>240</v>
      </c>
      <c r="CL1744" s="6" t="s">
        <v>261</v>
      </c>
      <c r="CM1744" s="5" t="s">
        <v>240</v>
      </c>
      <c r="CN1744" s="5" t="s">
        <v>263</v>
      </c>
      <c r="CO1744" s="5" t="s">
        <v>240</v>
      </c>
      <c r="CP1744" s="5" t="s">
        <v>240</v>
      </c>
      <c r="CQ1744" s="5">
        <v>0</v>
      </c>
      <c r="CR1744" s="5" t="s">
        <v>306</v>
      </c>
      <c r="CS1744" s="5" t="s">
        <v>307</v>
      </c>
      <c r="CT1744" s="5" t="s">
        <v>307</v>
      </c>
      <c r="CU1744" s="5" t="s">
        <v>260</v>
      </c>
      <c r="CX1744" s="7">
        <f>1</f>
        <v>1</v>
      </c>
      <c r="CY1744" s="7">
        <f>0</f>
        <v>0</v>
      </c>
      <c r="DA1744" s="7">
        <f>0</f>
        <v>0</v>
      </c>
      <c r="DC1744" s="5" t="s">
        <v>812</v>
      </c>
      <c r="DD1744" s="5" t="s">
        <v>240</v>
      </c>
      <c r="DF1744" s="5" t="s">
        <v>812</v>
      </c>
      <c r="DG1744" s="7">
        <f>525</f>
        <v>525</v>
      </c>
      <c r="DI1744" s="5" t="s">
        <v>240</v>
      </c>
      <c r="DJ1744" s="5" t="s">
        <v>240</v>
      </c>
      <c r="DK1744" s="5" t="s">
        <v>240</v>
      </c>
      <c r="DL1744" s="5" t="s">
        <v>240</v>
      </c>
      <c r="DP1744" s="5" t="s">
        <v>240</v>
      </c>
      <c r="DQ1744" s="5" t="s">
        <v>240</v>
      </c>
      <c r="DR1744" s="5" t="s">
        <v>240</v>
      </c>
      <c r="DS1744" s="5" t="s">
        <v>240</v>
      </c>
      <c r="DV1744" s="5" t="s">
        <v>813</v>
      </c>
      <c r="DW1744" s="5" t="s">
        <v>3620</v>
      </c>
      <c r="HO1744" s="5" t="s">
        <v>312</v>
      </c>
    </row>
    <row r="1745" spans="1:223" x14ac:dyDescent="0.4">
      <c r="A1745" s="5">
        <v>3420</v>
      </c>
      <c r="B1745" s="5">
        <v>1</v>
      </c>
      <c r="C1745" s="5">
        <v>1</v>
      </c>
      <c r="D1745" s="5" t="s">
        <v>297</v>
      </c>
      <c r="E1745" s="5" t="s">
        <v>245</v>
      </c>
      <c r="F1745" s="5" t="s">
        <v>254</v>
      </c>
      <c r="G1745" s="5" t="s">
        <v>240</v>
      </c>
      <c r="H1745" s="6" t="s">
        <v>4413</v>
      </c>
      <c r="I1745" s="5" t="s">
        <v>295</v>
      </c>
      <c r="J1745" s="8">
        <f>57</f>
        <v>57</v>
      </c>
      <c r="K1745" s="5" t="s">
        <v>308</v>
      </c>
      <c r="L1745" s="7">
        <f>1</f>
        <v>1</v>
      </c>
      <c r="M1745" s="7">
        <f>1</f>
        <v>1</v>
      </c>
      <c r="N1745" s="5" t="s">
        <v>242</v>
      </c>
      <c r="O1745" s="5">
        <v>1</v>
      </c>
      <c r="P1745" s="5" t="s">
        <v>294</v>
      </c>
      <c r="Q1745" s="5" t="s">
        <v>266</v>
      </c>
      <c r="R1745" s="5" t="s">
        <v>240</v>
      </c>
      <c r="S1745" s="5" t="s">
        <v>240</v>
      </c>
      <c r="T1745" s="5" t="s">
        <v>296</v>
      </c>
      <c r="U1745" s="5" t="s">
        <v>244</v>
      </c>
      <c r="V1745" s="5" t="s">
        <v>240</v>
      </c>
      <c r="Y1745" s="5" t="s">
        <v>240</v>
      </c>
      <c r="Z1745" s="6" t="s">
        <v>298</v>
      </c>
      <c r="AB1745" s="6" t="s">
        <v>240</v>
      </c>
      <c r="AE1745" s="6" t="s">
        <v>299</v>
      </c>
      <c r="AF1745" s="5" t="s">
        <v>248</v>
      </c>
      <c r="AG1745" s="5" t="s">
        <v>249</v>
      </c>
      <c r="AW1745" s="5" t="s">
        <v>251</v>
      </c>
      <c r="AX1745" s="5" t="s">
        <v>240</v>
      </c>
      <c r="AY1745" s="5" t="s">
        <v>253</v>
      </c>
      <c r="AZ1745" s="5" t="s">
        <v>240</v>
      </c>
      <c r="BA1745" s="5" t="s">
        <v>255</v>
      </c>
      <c r="BB1745" s="5" t="s">
        <v>240</v>
      </c>
      <c r="BD1745" s="5" t="s">
        <v>240</v>
      </c>
      <c r="BF1745" s="5" t="s">
        <v>301</v>
      </c>
      <c r="BG1745" s="6" t="s">
        <v>299</v>
      </c>
      <c r="BH1745" s="5" t="s">
        <v>302</v>
      </c>
      <c r="BI1745" s="5" t="s">
        <v>303</v>
      </c>
      <c r="BJ1745" s="5" t="s">
        <v>240</v>
      </c>
      <c r="BK1745" s="8">
        <f>0</f>
        <v>0</v>
      </c>
      <c r="BL1745" s="7">
        <f>0</f>
        <v>0</v>
      </c>
      <c r="BM1745" s="5" t="s">
        <v>258</v>
      </c>
      <c r="BN1745" s="5" t="s">
        <v>259</v>
      </c>
      <c r="CB1745" s="5" t="s">
        <v>240</v>
      </c>
      <c r="CC1745" s="5" t="s">
        <v>240</v>
      </c>
      <c r="CG1745" s="5" t="s">
        <v>304</v>
      </c>
      <c r="CH1745" s="5" t="s">
        <v>305</v>
      </c>
      <c r="CI1745" s="5" t="s">
        <v>240</v>
      </c>
      <c r="CL1745" s="6" t="s">
        <v>261</v>
      </c>
      <c r="CM1745" s="5" t="s">
        <v>240</v>
      </c>
      <c r="CN1745" s="5" t="s">
        <v>263</v>
      </c>
      <c r="CO1745" s="5" t="s">
        <v>240</v>
      </c>
      <c r="CP1745" s="5" t="s">
        <v>240</v>
      </c>
      <c r="CQ1745" s="5">
        <v>0</v>
      </c>
      <c r="CR1745" s="5" t="s">
        <v>306</v>
      </c>
      <c r="CS1745" s="5" t="s">
        <v>307</v>
      </c>
      <c r="CT1745" s="5" t="s">
        <v>307</v>
      </c>
      <c r="CU1745" s="5" t="s">
        <v>260</v>
      </c>
      <c r="CX1745" s="7">
        <f>1</f>
        <v>1</v>
      </c>
      <c r="CY1745" s="7">
        <f>0</f>
        <v>0</v>
      </c>
      <c r="DA1745" s="7">
        <f>0</f>
        <v>0</v>
      </c>
      <c r="DC1745" s="5" t="s">
        <v>812</v>
      </c>
      <c r="DD1745" s="5" t="s">
        <v>240</v>
      </c>
      <c r="DF1745" s="5" t="s">
        <v>812</v>
      </c>
      <c r="DG1745" s="7">
        <f>1580</f>
        <v>1580</v>
      </c>
      <c r="DI1745" s="5" t="s">
        <v>240</v>
      </c>
      <c r="DJ1745" s="5" t="s">
        <v>240</v>
      </c>
      <c r="DK1745" s="5" t="s">
        <v>240</v>
      </c>
      <c r="DL1745" s="5" t="s">
        <v>240</v>
      </c>
      <c r="DP1745" s="5" t="s">
        <v>240</v>
      </c>
      <c r="DQ1745" s="5" t="s">
        <v>240</v>
      </c>
      <c r="DR1745" s="5" t="s">
        <v>240</v>
      </c>
      <c r="DS1745" s="5" t="s">
        <v>240</v>
      </c>
      <c r="DV1745" s="5" t="s">
        <v>813</v>
      </c>
      <c r="DW1745" s="5" t="s">
        <v>3622</v>
      </c>
      <c r="HO1745" s="5" t="s">
        <v>312</v>
      </c>
    </row>
    <row r="1746" spans="1:223" x14ac:dyDescent="0.4">
      <c r="A1746" s="5">
        <v>3421</v>
      </c>
      <c r="B1746" s="5">
        <v>1</v>
      </c>
      <c r="C1746" s="5">
        <v>1</v>
      </c>
      <c r="D1746" s="5" t="s">
        <v>297</v>
      </c>
      <c r="E1746" s="5" t="s">
        <v>245</v>
      </c>
      <c r="F1746" s="5" t="s">
        <v>254</v>
      </c>
      <c r="G1746" s="5" t="s">
        <v>240</v>
      </c>
      <c r="H1746" s="6" t="s">
        <v>5556</v>
      </c>
      <c r="I1746" s="5" t="s">
        <v>295</v>
      </c>
      <c r="J1746" s="8">
        <f>17</f>
        <v>17</v>
      </c>
      <c r="K1746" s="5" t="s">
        <v>308</v>
      </c>
      <c r="L1746" s="7">
        <f>1</f>
        <v>1</v>
      </c>
      <c r="M1746" s="7">
        <f>1</f>
        <v>1</v>
      </c>
      <c r="N1746" s="5" t="s">
        <v>242</v>
      </c>
      <c r="O1746" s="5">
        <v>1</v>
      </c>
      <c r="P1746" s="5" t="s">
        <v>294</v>
      </c>
      <c r="Q1746" s="5" t="s">
        <v>266</v>
      </c>
      <c r="R1746" s="5" t="s">
        <v>240</v>
      </c>
      <c r="S1746" s="5" t="s">
        <v>240</v>
      </c>
      <c r="T1746" s="5" t="s">
        <v>296</v>
      </c>
      <c r="U1746" s="5" t="s">
        <v>244</v>
      </c>
      <c r="V1746" s="5" t="s">
        <v>240</v>
      </c>
      <c r="Y1746" s="5" t="s">
        <v>240</v>
      </c>
      <c r="Z1746" s="6" t="s">
        <v>298</v>
      </c>
      <c r="AB1746" s="6" t="s">
        <v>240</v>
      </c>
      <c r="AE1746" s="6" t="s">
        <v>299</v>
      </c>
      <c r="AF1746" s="5" t="s">
        <v>248</v>
      </c>
      <c r="AG1746" s="5" t="s">
        <v>249</v>
      </c>
      <c r="AW1746" s="5" t="s">
        <v>251</v>
      </c>
      <c r="AX1746" s="5" t="s">
        <v>240</v>
      </c>
      <c r="AY1746" s="5" t="s">
        <v>253</v>
      </c>
      <c r="AZ1746" s="5" t="s">
        <v>240</v>
      </c>
      <c r="BA1746" s="5" t="s">
        <v>255</v>
      </c>
      <c r="BB1746" s="5" t="s">
        <v>240</v>
      </c>
      <c r="BD1746" s="5" t="s">
        <v>240</v>
      </c>
      <c r="BF1746" s="5" t="s">
        <v>301</v>
      </c>
      <c r="BG1746" s="6" t="s">
        <v>299</v>
      </c>
      <c r="BH1746" s="5" t="s">
        <v>302</v>
      </c>
      <c r="BI1746" s="5" t="s">
        <v>303</v>
      </c>
      <c r="BJ1746" s="5" t="s">
        <v>240</v>
      </c>
      <c r="BK1746" s="8">
        <f>0</f>
        <v>0</v>
      </c>
      <c r="BL1746" s="7">
        <f>0</f>
        <v>0</v>
      </c>
      <c r="BM1746" s="5" t="s">
        <v>258</v>
      </c>
      <c r="BN1746" s="5" t="s">
        <v>259</v>
      </c>
      <c r="CB1746" s="5" t="s">
        <v>240</v>
      </c>
      <c r="CC1746" s="5" t="s">
        <v>240</v>
      </c>
      <c r="CG1746" s="5" t="s">
        <v>304</v>
      </c>
      <c r="CH1746" s="5" t="s">
        <v>305</v>
      </c>
      <c r="CI1746" s="5" t="s">
        <v>240</v>
      </c>
      <c r="CL1746" s="6" t="s">
        <v>261</v>
      </c>
      <c r="CM1746" s="5" t="s">
        <v>240</v>
      </c>
      <c r="CN1746" s="5" t="s">
        <v>263</v>
      </c>
      <c r="CO1746" s="5" t="s">
        <v>240</v>
      </c>
      <c r="CP1746" s="5" t="s">
        <v>240</v>
      </c>
      <c r="CQ1746" s="5">
        <v>0</v>
      </c>
      <c r="CR1746" s="5" t="s">
        <v>306</v>
      </c>
      <c r="CS1746" s="5" t="s">
        <v>307</v>
      </c>
      <c r="CT1746" s="5" t="s">
        <v>307</v>
      </c>
      <c r="CU1746" s="5" t="s">
        <v>260</v>
      </c>
      <c r="CX1746" s="7">
        <f>1</f>
        <v>1</v>
      </c>
      <c r="CY1746" s="7">
        <f>0</f>
        <v>0</v>
      </c>
      <c r="DA1746" s="7">
        <f>0</f>
        <v>0</v>
      </c>
      <c r="DC1746" s="5" t="s">
        <v>812</v>
      </c>
      <c r="DD1746" s="5" t="s">
        <v>240</v>
      </c>
      <c r="DF1746" s="5" t="s">
        <v>812</v>
      </c>
      <c r="DG1746" s="7">
        <f>97</f>
        <v>97</v>
      </c>
      <c r="DI1746" s="5" t="s">
        <v>240</v>
      </c>
      <c r="DJ1746" s="5" t="s">
        <v>240</v>
      </c>
      <c r="DK1746" s="5" t="s">
        <v>240</v>
      </c>
      <c r="DL1746" s="5" t="s">
        <v>240</v>
      </c>
      <c r="DP1746" s="5" t="s">
        <v>240</v>
      </c>
      <c r="DQ1746" s="5" t="s">
        <v>240</v>
      </c>
      <c r="DR1746" s="5" t="s">
        <v>240</v>
      </c>
      <c r="DS1746" s="5" t="s">
        <v>240</v>
      </c>
      <c r="DV1746" s="5" t="s">
        <v>813</v>
      </c>
      <c r="DW1746" s="5" t="s">
        <v>3624</v>
      </c>
      <c r="HO1746" s="5" t="s">
        <v>312</v>
      </c>
    </row>
    <row r="1747" spans="1:223" x14ac:dyDescent="0.4">
      <c r="A1747" s="5">
        <v>3422</v>
      </c>
      <c r="B1747" s="5">
        <v>1</v>
      </c>
      <c r="C1747" s="5">
        <v>1</v>
      </c>
      <c r="D1747" s="5" t="s">
        <v>297</v>
      </c>
      <c r="E1747" s="5" t="s">
        <v>245</v>
      </c>
      <c r="F1747" s="5" t="s">
        <v>254</v>
      </c>
      <c r="G1747" s="5" t="s">
        <v>240</v>
      </c>
      <c r="H1747" s="6" t="s">
        <v>4411</v>
      </c>
      <c r="I1747" s="5" t="s">
        <v>295</v>
      </c>
      <c r="J1747" s="8">
        <f>40</f>
        <v>40</v>
      </c>
      <c r="K1747" s="5" t="s">
        <v>308</v>
      </c>
      <c r="L1747" s="7">
        <f>1</f>
        <v>1</v>
      </c>
      <c r="M1747" s="7">
        <f>1</f>
        <v>1</v>
      </c>
      <c r="N1747" s="5" t="s">
        <v>242</v>
      </c>
      <c r="O1747" s="5">
        <v>1</v>
      </c>
      <c r="P1747" s="5" t="s">
        <v>294</v>
      </c>
      <c r="Q1747" s="5" t="s">
        <v>266</v>
      </c>
      <c r="R1747" s="5" t="s">
        <v>240</v>
      </c>
      <c r="S1747" s="5" t="s">
        <v>240</v>
      </c>
      <c r="T1747" s="5" t="s">
        <v>296</v>
      </c>
      <c r="U1747" s="5" t="s">
        <v>244</v>
      </c>
      <c r="V1747" s="5" t="s">
        <v>240</v>
      </c>
      <c r="Y1747" s="5" t="s">
        <v>240</v>
      </c>
      <c r="Z1747" s="6" t="s">
        <v>298</v>
      </c>
      <c r="AB1747" s="6" t="s">
        <v>240</v>
      </c>
      <c r="AE1747" s="6" t="s">
        <v>299</v>
      </c>
      <c r="AF1747" s="5" t="s">
        <v>248</v>
      </c>
      <c r="AG1747" s="5" t="s">
        <v>249</v>
      </c>
      <c r="AW1747" s="5" t="s">
        <v>251</v>
      </c>
      <c r="AX1747" s="5" t="s">
        <v>240</v>
      </c>
      <c r="AY1747" s="5" t="s">
        <v>253</v>
      </c>
      <c r="AZ1747" s="5" t="s">
        <v>240</v>
      </c>
      <c r="BA1747" s="5" t="s">
        <v>255</v>
      </c>
      <c r="BB1747" s="5" t="s">
        <v>240</v>
      </c>
      <c r="BD1747" s="5" t="s">
        <v>240</v>
      </c>
      <c r="BF1747" s="5" t="s">
        <v>301</v>
      </c>
      <c r="BG1747" s="6" t="s">
        <v>299</v>
      </c>
      <c r="BH1747" s="5" t="s">
        <v>302</v>
      </c>
      <c r="BI1747" s="5" t="s">
        <v>303</v>
      </c>
      <c r="BJ1747" s="5" t="s">
        <v>240</v>
      </c>
      <c r="BK1747" s="8">
        <f>0</f>
        <v>0</v>
      </c>
      <c r="BL1747" s="7">
        <f>0</f>
        <v>0</v>
      </c>
      <c r="BM1747" s="5" t="s">
        <v>258</v>
      </c>
      <c r="BN1747" s="5" t="s">
        <v>259</v>
      </c>
      <c r="CB1747" s="5" t="s">
        <v>240</v>
      </c>
      <c r="CC1747" s="5" t="s">
        <v>240</v>
      </c>
      <c r="CG1747" s="5" t="s">
        <v>304</v>
      </c>
      <c r="CH1747" s="5" t="s">
        <v>305</v>
      </c>
      <c r="CI1747" s="5" t="s">
        <v>240</v>
      </c>
      <c r="CL1747" s="6" t="s">
        <v>261</v>
      </c>
      <c r="CM1747" s="5" t="s">
        <v>240</v>
      </c>
      <c r="CN1747" s="5" t="s">
        <v>263</v>
      </c>
      <c r="CO1747" s="5" t="s">
        <v>240</v>
      </c>
      <c r="CP1747" s="5" t="s">
        <v>240</v>
      </c>
      <c r="CQ1747" s="5">
        <v>0</v>
      </c>
      <c r="CR1747" s="5" t="s">
        <v>306</v>
      </c>
      <c r="CS1747" s="5" t="s">
        <v>307</v>
      </c>
      <c r="CT1747" s="5" t="s">
        <v>307</v>
      </c>
      <c r="CU1747" s="5" t="s">
        <v>260</v>
      </c>
      <c r="CX1747" s="7">
        <f>1</f>
        <v>1</v>
      </c>
      <c r="CY1747" s="7">
        <f>0</f>
        <v>0</v>
      </c>
      <c r="DA1747" s="7">
        <f>0</f>
        <v>0</v>
      </c>
      <c r="DC1747" s="5" t="s">
        <v>812</v>
      </c>
      <c r="DD1747" s="5" t="s">
        <v>240</v>
      </c>
      <c r="DF1747" s="5" t="s">
        <v>812</v>
      </c>
      <c r="DG1747" s="7">
        <f>351</f>
        <v>351</v>
      </c>
      <c r="DI1747" s="5" t="s">
        <v>240</v>
      </c>
      <c r="DJ1747" s="5" t="s">
        <v>240</v>
      </c>
      <c r="DK1747" s="5" t="s">
        <v>240</v>
      </c>
      <c r="DL1747" s="5" t="s">
        <v>240</v>
      </c>
      <c r="DP1747" s="5" t="s">
        <v>240</v>
      </c>
      <c r="DQ1747" s="5" t="s">
        <v>240</v>
      </c>
      <c r="DR1747" s="5" t="s">
        <v>240</v>
      </c>
      <c r="DS1747" s="5" t="s">
        <v>240</v>
      </c>
      <c r="DV1747" s="5" t="s">
        <v>813</v>
      </c>
      <c r="DW1747" s="5" t="s">
        <v>3626</v>
      </c>
      <c r="HO1747" s="5" t="s">
        <v>312</v>
      </c>
    </row>
    <row r="1748" spans="1:223" x14ac:dyDescent="0.4">
      <c r="A1748" s="5">
        <v>3423</v>
      </c>
      <c r="B1748" s="5">
        <v>1</v>
      </c>
      <c r="C1748" s="5">
        <v>1</v>
      </c>
      <c r="D1748" s="5" t="s">
        <v>297</v>
      </c>
      <c r="E1748" s="5" t="s">
        <v>245</v>
      </c>
      <c r="F1748" s="5" t="s">
        <v>254</v>
      </c>
      <c r="G1748" s="5" t="s">
        <v>240</v>
      </c>
      <c r="H1748" s="6" t="s">
        <v>4410</v>
      </c>
      <c r="I1748" s="5" t="s">
        <v>295</v>
      </c>
      <c r="J1748" s="8">
        <f>129</f>
        <v>129</v>
      </c>
      <c r="K1748" s="5" t="s">
        <v>308</v>
      </c>
      <c r="L1748" s="7">
        <f>1</f>
        <v>1</v>
      </c>
      <c r="M1748" s="7">
        <f>1</f>
        <v>1</v>
      </c>
      <c r="N1748" s="5" t="s">
        <v>242</v>
      </c>
      <c r="O1748" s="5">
        <v>1</v>
      </c>
      <c r="P1748" s="5" t="s">
        <v>294</v>
      </c>
      <c r="Q1748" s="5" t="s">
        <v>266</v>
      </c>
      <c r="R1748" s="5" t="s">
        <v>240</v>
      </c>
      <c r="S1748" s="5" t="s">
        <v>240</v>
      </c>
      <c r="T1748" s="5" t="s">
        <v>296</v>
      </c>
      <c r="U1748" s="5" t="s">
        <v>244</v>
      </c>
      <c r="V1748" s="5" t="s">
        <v>240</v>
      </c>
      <c r="Y1748" s="5" t="s">
        <v>240</v>
      </c>
      <c r="Z1748" s="6" t="s">
        <v>298</v>
      </c>
      <c r="AB1748" s="6" t="s">
        <v>240</v>
      </c>
      <c r="AE1748" s="6" t="s">
        <v>299</v>
      </c>
      <c r="AF1748" s="5" t="s">
        <v>248</v>
      </c>
      <c r="AG1748" s="5" t="s">
        <v>249</v>
      </c>
      <c r="AW1748" s="5" t="s">
        <v>251</v>
      </c>
      <c r="AX1748" s="5" t="s">
        <v>240</v>
      </c>
      <c r="AY1748" s="5" t="s">
        <v>253</v>
      </c>
      <c r="AZ1748" s="5" t="s">
        <v>240</v>
      </c>
      <c r="BA1748" s="5" t="s">
        <v>255</v>
      </c>
      <c r="BB1748" s="5" t="s">
        <v>240</v>
      </c>
      <c r="BD1748" s="5" t="s">
        <v>240</v>
      </c>
      <c r="BF1748" s="5" t="s">
        <v>301</v>
      </c>
      <c r="BG1748" s="6" t="s">
        <v>299</v>
      </c>
      <c r="BH1748" s="5" t="s">
        <v>302</v>
      </c>
      <c r="BI1748" s="5" t="s">
        <v>303</v>
      </c>
      <c r="BJ1748" s="5" t="s">
        <v>240</v>
      </c>
      <c r="BK1748" s="8">
        <f>0</f>
        <v>0</v>
      </c>
      <c r="BL1748" s="7">
        <f>0</f>
        <v>0</v>
      </c>
      <c r="BM1748" s="5" t="s">
        <v>258</v>
      </c>
      <c r="BN1748" s="5" t="s">
        <v>259</v>
      </c>
      <c r="CB1748" s="5" t="s">
        <v>240</v>
      </c>
      <c r="CC1748" s="5" t="s">
        <v>240</v>
      </c>
      <c r="CG1748" s="5" t="s">
        <v>304</v>
      </c>
      <c r="CH1748" s="5" t="s">
        <v>305</v>
      </c>
      <c r="CI1748" s="5" t="s">
        <v>240</v>
      </c>
      <c r="CL1748" s="6" t="s">
        <v>261</v>
      </c>
      <c r="CM1748" s="5" t="s">
        <v>240</v>
      </c>
      <c r="CN1748" s="5" t="s">
        <v>263</v>
      </c>
      <c r="CO1748" s="5" t="s">
        <v>240</v>
      </c>
      <c r="CP1748" s="5" t="s">
        <v>240</v>
      </c>
      <c r="CQ1748" s="5">
        <v>0</v>
      </c>
      <c r="CR1748" s="5" t="s">
        <v>306</v>
      </c>
      <c r="CS1748" s="5" t="s">
        <v>307</v>
      </c>
      <c r="CT1748" s="5" t="s">
        <v>307</v>
      </c>
      <c r="CU1748" s="5" t="s">
        <v>260</v>
      </c>
      <c r="CX1748" s="7">
        <f>1</f>
        <v>1</v>
      </c>
      <c r="CY1748" s="7">
        <f>0</f>
        <v>0</v>
      </c>
      <c r="DA1748" s="7">
        <f>0</f>
        <v>0</v>
      </c>
      <c r="DC1748" s="5" t="s">
        <v>812</v>
      </c>
      <c r="DD1748" s="5" t="s">
        <v>240</v>
      </c>
      <c r="DF1748" s="5" t="s">
        <v>812</v>
      </c>
      <c r="DG1748" s="7">
        <f>10510</f>
        <v>10510</v>
      </c>
      <c r="DI1748" s="5" t="s">
        <v>240</v>
      </c>
      <c r="DJ1748" s="5" t="s">
        <v>240</v>
      </c>
      <c r="DK1748" s="5" t="s">
        <v>240</v>
      </c>
      <c r="DL1748" s="5" t="s">
        <v>240</v>
      </c>
      <c r="DP1748" s="5" t="s">
        <v>240</v>
      </c>
      <c r="DQ1748" s="5" t="s">
        <v>240</v>
      </c>
      <c r="DR1748" s="5" t="s">
        <v>240</v>
      </c>
      <c r="DS1748" s="5" t="s">
        <v>240</v>
      </c>
      <c r="DV1748" s="5" t="s">
        <v>813</v>
      </c>
      <c r="DW1748" s="5" t="s">
        <v>3628</v>
      </c>
      <c r="HO1748" s="5" t="s">
        <v>312</v>
      </c>
    </row>
    <row r="1749" spans="1:223" x14ac:dyDescent="0.4">
      <c r="A1749" s="5">
        <v>3424</v>
      </c>
      <c r="B1749" s="5">
        <v>1</v>
      </c>
      <c r="C1749" s="5">
        <v>1</v>
      </c>
      <c r="D1749" s="5" t="s">
        <v>297</v>
      </c>
      <c r="E1749" s="5" t="s">
        <v>245</v>
      </c>
      <c r="F1749" s="5" t="s">
        <v>254</v>
      </c>
      <c r="G1749" s="5" t="s">
        <v>240</v>
      </c>
      <c r="H1749" s="6" t="s">
        <v>4409</v>
      </c>
      <c r="I1749" s="5" t="s">
        <v>295</v>
      </c>
      <c r="J1749" s="8">
        <f>906</f>
        <v>906</v>
      </c>
      <c r="K1749" s="5" t="s">
        <v>308</v>
      </c>
      <c r="L1749" s="7">
        <f>1</f>
        <v>1</v>
      </c>
      <c r="M1749" s="7">
        <f>1</f>
        <v>1</v>
      </c>
      <c r="N1749" s="5" t="s">
        <v>242</v>
      </c>
      <c r="O1749" s="5">
        <v>1</v>
      </c>
      <c r="P1749" s="5" t="s">
        <v>294</v>
      </c>
      <c r="Q1749" s="5" t="s">
        <v>266</v>
      </c>
      <c r="R1749" s="5" t="s">
        <v>240</v>
      </c>
      <c r="S1749" s="5" t="s">
        <v>240</v>
      </c>
      <c r="T1749" s="5" t="s">
        <v>296</v>
      </c>
      <c r="U1749" s="5" t="s">
        <v>244</v>
      </c>
      <c r="V1749" s="5" t="s">
        <v>240</v>
      </c>
      <c r="Y1749" s="5" t="s">
        <v>240</v>
      </c>
      <c r="Z1749" s="6" t="s">
        <v>298</v>
      </c>
      <c r="AB1749" s="6" t="s">
        <v>240</v>
      </c>
      <c r="AE1749" s="6" t="s">
        <v>299</v>
      </c>
      <c r="AF1749" s="5" t="s">
        <v>248</v>
      </c>
      <c r="AG1749" s="5" t="s">
        <v>249</v>
      </c>
      <c r="AW1749" s="5" t="s">
        <v>251</v>
      </c>
      <c r="AX1749" s="5" t="s">
        <v>240</v>
      </c>
      <c r="AY1749" s="5" t="s">
        <v>253</v>
      </c>
      <c r="AZ1749" s="5" t="s">
        <v>240</v>
      </c>
      <c r="BA1749" s="5" t="s">
        <v>255</v>
      </c>
      <c r="BB1749" s="5" t="s">
        <v>240</v>
      </c>
      <c r="BD1749" s="5" t="s">
        <v>240</v>
      </c>
      <c r="BF1749" s="5" t="s">
        <v>301</v>
      </c>
      <c r="BG1749" s="6" t="s">
        <v>299</v>
      </c>
      <c r="BH1749" s="5" t="s">
        <v>302</v>
      </c>
      <c r="BI1749" s="5" t="s">
        <v>303</v>
      </c>
      <c r="BJ1749" s="5" t="s">
        <v>240</v>
      </c>
      <c r="BK1749" s="8">
        <f>0</f>
        <v>0</v>
      </c>
      <c r="BL1749" s="7">
        <f>0</f>
        <v>0</v>
      </c>
      <c r="BM1749" s="5" t="s">
        <v>258</v>
      </c>
      <c r="BN1749" s="5" t="s">
        <v>259</v>
      </c>
      <c r="CB1749" s="5" t="s">
        <v>240</v>
      </c>
      <c r="CC1749" s="5" t="s">
        <v>240</v>
      </c>
      <c r="CG1749" s="5" t="s">
        <v>304</v>
      </c>
      <c r="CH1749" s="5" t="s">
        <v>305</v>
      </c>
      <c r="CI1749" s="5" t="s">
        <v>240</v>
      </c>
      <c r="CL1749" s="6" t="s">
        <v>261</v>
      </c>
      <c r="CM1749" s="5" t="s">
        <v>240</v>
      </c>
      <c r="CN1749" s="5" t="s">
        <v>263</v>
      </c>
      <c r="CO1749" s="5" t="s">
        <v>240</v>
      </c>
      <c r="CP1749" s="5" t="s">
        <v>240</v>
      </c>
      <c r="CQ1749" s="5">
        <v>0</v>
      </c>
      <c r="CR1749" s="5" t="s">
        <v>306</v>
      </c>
      <c r="CS1749" s="5" t="s">
        <v>307</v>
      </c>
      <c r="CT1749" s="5" t="s">
        <v>307</v>
      </c>
      <c r="CU1749" s="5" t="s">
        <v>260</v>
      </c>
      <c r="CX1749" s="7">
        <f>1</f>
        <v>1</v>
      </c>
      <c r="CY1749" s="7">
        <f>0</f>
        <v>0</v>
      </c>
      <c r="DA1749" s="7">
        <f>0</f>
        <v>0</v>
      </c>
      <c r="DC1749" s="5" t="s">
        <v>812</v>
      </c>
      <c r="DD1749" s="5" t="s">
        <v>240</v>
      </c>
      <c r="DF1749" s="5" t="s">
        <v>812</v>
      </c>
      <c r="DG1749" s="7">
        <f>1266</f>
        <v>1266</v>
      </c>
      <c r="DI1749" s="5" t="s">
        <v>240</v>
      </c>
      <c r="DJ1749" s="5" t="s">
        <v>240</v>
      </c>
      <c r="DK1749" s="5" t="s">
        <v>240</v>
      </c>
      <c r="DL1749" s="5" t="s">
        <v>240</v>
      </c>
      <c r="DP1749" s="5" t="s">
        <v>240</v>
      </c>
      <c r="DQ1749" s="5" t="s">
        <v>240</v>
      </c>
      <c r="DR1749" s="5" t="s">
        <v>240</v>
      </c>
      <c r="DS1749" s="5" t="s">
        <v>240</v>
      </c>
      <c r="DV1749" s="5" t="s">
        <v>813</v>
      </c>
      <c r="DW1749" s="5" t="s">
        <v>3630</v>
      </c>
      <c r="HO1749" s="5" t="s">
        <v>312</v>
      </c>
    </row>
    <row r="1750" spans="1:223" x14ac:dyDescent="0.4">
      <c r="A1750" s="5">
        <v>3425</v>
      </c>
      <c r="B1750" s="5">
        <v>1</v>
      </c>
      <c r="C1750" s="5">
        <v>1</v>
      </c>
      <c r="D1750" s="5" t="s">
        <v>297</v>
      </c>
      <c r="E1750" s="5" t="s">
        <v>245</v>
      </c>
      <c r="F1750" s="5" t="s">
        <v>254</v>
      </c>
      <c r="G1750" s="5" t="s">
        <v>240</v>
      </c>
      <c r="H1750" s="6" t="s">
        <v>5553</v>
      </c>
      <c r="I1750" s="5" t="s">
        <v>295</v>
      </c>
      <c r="J1750" s="8">
        <f>3657</f>
        <v>3657</v>
      </c>
      <c r="K1750" s="5" t="s">
        <v>308</v>
      </c>
      <c r="L1750" s="7">
        <f>1</f>
        <v>1</v>
      </c>
      <c r="M1750" s="7">
        <f>1</f>
        <v>1</v>
      </c>
      <c r="N1750" s="5" t="s">
        <v>242</v>
      </c>
      <c r="O1750" s="5">
        <v>1</v>
      </c>
      <c r="P1750" s="5" t="s">
        <v>294</v>
      </c>
      <c r="Q1750" s="5" t="s">
        <v>266</v>
      </c>
      <c r="R1750" s="5" t="s">
        <v>240</v>
      </c>
      <c r="S1750" s="5" t="s">
        <v>240</v>
      </c>
      <c r="T1750" s="5" t="s">
        <v>296</v>
      </c>
      <c r="U1750" s="5" t="s">
        <v>244</v>
      </c>
      <c r="V1750" s="5" t="s">
        <v>240</v>
      </c>
      <c r="Y1750" s="5" t="s">
        <v>240</v>
      </c>
      <c r="Z1750" s="6" t="s">
        <v>298</v>
      </c>
      <c r="AB1750" s="6" t="s">
        <v>240</v>
      </c>
      <c r="AE1750" s="6" t="s">
        <v>299</v>
      </c>
      <c r="AF1750" s="5" t="s">
        <v>248</v>
      </c>
      <c r="AG1750" s="5" t="s">
        <v>249</v>
      </c>
      <c r="AW1750" s="5" t="s">
        <v>251</v>
      </c>
      <c r="AX1750" s="5" t="s">
        <v>240</v>
      </c>
      <c r="AY1750" s="5" t="s">
        <v>253</v>
      </c>
      <c r="AZ1750" s="5" t="s">
        <v>240</v>
      </c>
      <c r="BA1750" s="5" t="s">
        <v>255</v>
      </c>
      <c r="BB1750" s="5" t="s">
        <v>240</v>
      </c>
      <c r="BD1750" s="5" t="s">
        <v>240</v>
      </c>
      <c r="BF1750" s="5" t="s">
        <v>301</v>
      </c>
      <c r="BG1750" s="6" t="s">
        <v>299</v>
      </c>
      <c r="BH1750" s="5" t="s">
        <v>302</v>
      </c>
      <c r="BI1750" s="5" t="s">
        <v>303</v>
      </c>
      <c r="BJ1750" s="5" t="s">
        <v>240</v>
      </c>
      <c r="BK1750" s="8">
        <f>0</f>
        <v>0</v>
      </c>
      <c r="BL1750" s="7">
        <f>0</f>
        <v>0</v>
      </c>
      <c r="BM1750" s="5" t="s">
        <v>258</v>
      </c>
      <c r="BN1750" s="5" t="s">
        <v>259</v>
      </c>
      <c r="CB1750" s="5" t="s">
        <v>240</v>
      </c>
      <c r="CC1750" s="5" t="s">
        <v>240</v>
      </c>
      <c r="CG1750" s="5" t="s">
        <v>304</v>
      </c>
      <c r="CH1750" s="5" t="s">
        <v>305</v>
      </c>
      <c r="CI1750" s="5" t="s">
        <v>240</v>
      </c>
      <c r="CL1750" s="6" t="s">
        <v>261</v>
      </c>
      <c r="CM1750" s="5" t="s">
        <v>240</v>
      </c>
      <c r="CN1750" s="5" t="s">
        <v>263</v>
      </c>
      <c r="CO1750" s="5" t="s">
        <v>240</v>
      </c>
      <c r="CP1750" s="5" t="s">
        <v>240</v>
      </c>
      <c r="CQ1750" s="5">
        <v>0</v>
      </c>
      <c r="CR1750" s="5" t="s">
        <v>306</v>
      </c>
      <c r="CS1750" s="5" t="s">
        <v>307</v>
      </c>
      <c r="CT1750" s="5" t="s">
        <v>307</v>
      </c>
      <c r="CU1750" s="5" t="s">
        <v>260</v>
      </c>
      <c r="CX1750" s="7">
        <f>1</f>
        <v>1</v>
      </c>
      <c r="CY1750" s="7">
        <f>0</f>
        <v>0</v>
      </c>
      <c r="DA1750" s="7">
        <f>0</f>
        <v>0</v>
      </c>
      <c r="DC1750" s="5" t="s">
        <v>309</v>
      </c>
      <c r="DD1750" s="5" t="s">
        <v>240</v>
      </c>
      <c r="DF1750" s="5" t="s">
        <v>309</v>
      </c>
      <c r="DG1750" s="7">
        <f>574</f>
        <v>574</v>
      </c>
      <c r="DI1750" s="5" t="s">
        <v>240</v>
      </c>
      <c r="DJ1750" s="5" t="s">
        <v>240</v>
      </c>
      <c r="DK1750" s="5" t="s">
        <v>240</v>
      </c>
      <c r="DL1750" s="5" t="s">
        <v>240</v>
      </c>
      <c r="DP1750" s="5" t="s">
        <v>240</v>
      </c>
      <c r="DQ1750" s="5" t="s">
        <v>240</v>
      </c>
      <c r="DR1750" s="5" t="s">
        <v>240</v>
      </c>
      <c r="DS1750" s="5" t="s">
        <v>240</v>
      </c>
      <c r="DV1750" s="5" t="s">
        <v>310</v>
      </c>
      <c r="DW1750" s="5" t="s">
        <v>2991</v>
      </c>
      <c r="HO1750" s="5" t="s">
        <v>312</v>
      </c>
    </row>
    <row r="1751" spans="1:223" x14ac:dyDescent="0.4">
      <c r="A1751" s="5">
        <v>3426</v>
      </c>
      <c r="B1751" s="5">
        <v>1</v>
      </c>
      <c r="C1751" s="5">
        <v>1</v>
      </c>
      <c r="D1751" s="5" t="s">
        <v>297</v>
      </c>
      <c r="E1751" s="5" t="s">
        <v>245</v>
      </c>
      <c r="F1751" s="5" t="s">
        <v>254</v>
      </c>
      <c r="G1751" s="5" t="s">
        <v>240</v>
      </c>
      <c r="H1751" s="6" t="s">
        <v>4407</v>
      </c>
      <c r="I1751" s="5" t="s">
        <v>295</v>
      </c>
      <c r="J1751" s="8">
        <f>551</f>
        <v>551</v>
      </c>
      <c r="K1751" s="5" t="s">
        <v>308</v>
      </c>
      <c r="L1751" s="7">
        <f>1</f>
        <v>1</v>
      </c>
      <c r="M1751" s="7">
        <f>1</f>
        <v>1</v>
      </c>
      <c r="N1751" s="5" t="s">
        <v>242</v>
      </c>
      <c r="O1751" s="5">
        <v>1</v>
      </c>
      <c r="P1751" s="5" t="s">
        <v>294</v>
      </c>
      <c r="Q1751" s="5" t="s">
        <v>266</v>
      </c>
      <c r="R1751" s="5" t="s">
        <v>240</v>
      </c>
      <c r="S1751" s="5" t="s">
        <v>240</v>
      </c>
      <c r="T1751" s="5" t="s">
        <v>296</v>
      </c>
      <c r="U1751" s="5" t="s">
        <v>244</v>
      </c>
      <c r="V1751" s="5" t="s">
        <v>240</v>
      </c>
      <c r="Y1751" s="5" t="s">
        <v>240</v>
      </c>
      <c r="Z1751" s="6" t="s">
        <v>298</v>
      </c>
      <c r="AB1751" s="6" t="s">
        <v>240</v>
      </c>
      <c r="AE1751" s="6" t="s">
        <v>299</v>
      </c>
      <c r="AF1751" s="5" t="s">
        <v>248</v>
      </c>
      <c r="AG1751" s="5" t="s">
        <v>249</v>
      </c>
      <c r="AW1751" s="5" t="s">
        <v>251</v>
      </c>
      <c r="AX1751" s="5" t="s">
        <v>240</v>
      </c>
      <c r="AY1751" s="5" t="s">
        <v>253</v>
      </c>
      <c r="AZ1751" s="5" t="s">
        <v>240</v>
      </c>
      <c r="BA1751" s="5" t="s">
        <v>255</v>
      </c>
      <c r="BB1751" s="5" t="s">
        <v>240</v>
      </c>
      <c r="BD1751" s="5" t="s">
        <v>240</v>
      </c>
      <c r="BF1751" s="5" t="s">
        <v>301</v>
      </c>
      <c r="BG1751" s="6" t="s">
        <v>299</v>
      </c>
      <c r="BH1751" s="5" t="s">
        <v>302</v>
      </c>
      <c r="BI1751" s="5" t="s">
        <v>303</v>
      </c>
      <c r="BJ1751" s="5" t="s">
        <v>240</v>
      </c>
      <c r="BK1751" s="8">
        <f>0</f>
        <v>0</v>
      </c>
      <c r="BL1751" s="7">
        <f>0</f>
        <v>0</v>
      </c>
      <c r="BM1751" s="5" t="s">
        <v>258</v>
      </c>
      <c r="BN1751" s="5" t="s">
        <v>259</v>
      </c>
      <c r="CB1751" s="5" t="s">
        <v>240</v>
      </c>
      <c r="CC1751" s="5" t="s">
        <v>240</v>
      </c>
      <c r="CG1751" s="5" t="s">
        <v>304</v>
      </c>
      <c r="CH1751" s="5" t="s">
        <v>305</v>
      </c>
      <c r="CI1751" s="5" t="s">
        <v>240</v>
      </c>
      <c r="CL1751" s="6" t="s">
        <v>261</v>
      </c>
      <c r="CM1751" s="5" t="s">
        <v>240</v>
      </c>
      <c r="CN1751" s="5" t="s">
        <v>263</v>
      </c>
      <c r="CO1751" s="5" t="s">
        <v>240</v>
      </c>
      <c r="CP1751" s="5" t="s">
        <v>240</v>
      </c>
      <c r="CQ1751" s="5">
        <v>0</v>
      </c>
      <c r="CR1751" s="5" t="s">
        <v>306</v>
      </c>
      <c r="CS1751" s="5" t="s">
        <v>307</v>
      </c>
      <c r="CT1751" s="5" t="s">
        <v>307</v>
      </c>
      <c r="CU1751" s="5" t="s">
        <v>260</v>
      </c>
      <c r="CX1751" s="7">
        <f>1</f>
        <v>1</v>
      </c>
      <c r="CY1751" s="7">
        <f>0</f>
        <v>0</v>
      </c>
      <c r="DA1751" s="7">
        <f>0</f>
        <v>0</v>
      </c>
      <c r="DC1751" s="5" t="s">
        <v>812</v>
      </c>
      <c r="DD1751" s="5" t="s">
        <v>240</v>
      </c>
      <c r="DF1751" s="5" t="s">
        <v>812</v>
      </c>
      <c r="DG1751" s="7">
        <f>1348</f>
        <v>1348</v>
      </c>
      <c r="DI1751" s="5" t="s">
        <v>240</v>
      </c>
      <c r="DJ1751" s="5" t="s">
        <v>240</v>
      </c>
      <c r="DK1751" s="5" t="s">
        <v>240</v>
      </c>
      <c r="DL1751" s="5" t="s">
        <v>240</v>
      </c>
      <c r="DP1751" s="5" t="s">
        <v>240</v>
      </c>
      <c r="DQ1751" s="5" t="s">
        <v>240</v>
      </c>
      <c r="DR1751" s="5" t="s">
        <v>240</v>
      </c>
      <c r="DS1751" s="5" t="s">
        <v>240</v>
      </c>
      <c r="DV1751" s="5" t="s">
        <v>813</v>
      </c>
      <c r="DW1751" s="5" t="s">
        <v>3633</v>
      </c>
      <c r="HO1751" s="5" t="s">
        <v>312</v>
      </c>
    </row>
    <row r="1752" spans="1:223" x14ac:dyDescent="0.4">
      <c r="A1752" s="5">
        <v>3427</v>
      </c>
      <c r="B1752" s="5">
        <v>1</v>
      </c>
      <c r="C1752" s="5">
        <v>1</v>
      </c>
      <c r="D1752" s="5" t="s">
        <v>297</v>
      </c>
      <c r="E1752" s="5" t="s">
        <v>245</v>
      </c>
      <c r="F1752" s="5" t="s">
        <v>254</v>
      </c>
      <c r="G1752" s="5" t="s">
        <v>240</v>
      </c>
      <c r="H1752" s="6" t="s">
        <v>4406</v>
      </c>
      <c r="I1752" s="5" t="s">
        <v>295</v>
      </c>
      <c r="J1752" s="8">
        <f>3602</f>
        <v>3602</v>
      </c>
      <c r="K1752" s="5" t="s">
        <v>308</v>
      </c>
      <c r="L1752" s="7">
        <f>1</f>
        <v>1</v>
      </c>
      <c r="M1752" s="7">
        <f>1</f>
        <v>1</v>
      </c>
      <c r="N1752" s="5" t="s">
        <v>242</v>
      </c>
      <c r="O1752" s="5">
        <v>1</v>
      </c>
      <c r="P1752" s="5" t="s">
        <v>294</v>
      </c>
      <c r="Q1752" s="5" t="s">
        <v>266</v>
      </c>
      <c r="R1752" s="5" t="s">
        <v>240</v>
      </c>
      <c r="S1752" s="5" t="s">
        <v>240</v>
      </c>
      <c r="T1752" s="5" t="s">
        <v>296</v>
      </c>
      <c r="U1752" s="5" t="s">
        <v>244</v>
      </c>
      <c r="V1752" s="5" t="s">
        <v>240</v>
      </c>
      <c r="Y1752" s="5" t="s">
        <v>240</v>
      </c>
      <c r="Z1752" s="6" t="s">
        <v>298</v>
      </c>
      <c r="AB1752" s="6" t="s">
        <v>240</v>
      </c>
      <c r="AE1752" s="6" t="s">
        <v>299</v>
      </c>
      <c r="AF1752" s="5" t="s">
        <v>248</v>
      </c>
      <c r="AG1752" s="5" t="s">
        <v>249</v>
      </c>
      <c r="AW1752" s="5" t="s">
        <v>251</v>
      </c>
      <c r="AX1752" s="5" t="s">
        <v>240</v>
      </c>
      <c r="AY1752" s="5" t="s">
        <v>253</v>
      </c>
      <c r="AZ1752" s="5" t="s">
        <v>240</v>
      </c>
      <c r="BA1752" s="5" t="s">
        <v>255</v>
      </c>
      <c r="BB1752" s="5" t="s">
        <v>240</v>
      </c>
      <c r="BD1752" s="5" t="s">
        <v>240</v>
      </c>
      <c r="BF1752" s="5" t="s">
        <v>301</v>
      </c>
      <c r="BG1752" s="6" t="s">
        <v>299</v>
      </c>
      <c r="BH1752" s="5" t="s">
        <v>302</v>
      </c>
      <c r="BI1752" s="5" t="s">
        <v>303</v>
      </c>
      <c r="BJ1752" s="5" t="s">
        <v>240</v>
      </c>
      <c r="BK1752" s="8">
        <f>0</f>
        <v>0</v>
      </c>
      <c r="BL1752" s="7">
        <f>0</f>
        <v>0</v>
      </c>
      <c r="BM1752" s="5" t="s">
        <v>258</v>
      </c>
      <c r="BN1752" s="5" t="s">
        <v>259</v>
      </c>
      <c r="CB1752" s="5" t="s">
        <v>240</v>
      </c>
      <c r="CC1752" s="5" t="s">
        <v>240</v>
      </c>
      <c r="CG1752" s="5" t="s">
        <v>304</v>
      </c>
      <c r="CH1752" s="5" t="s">
        <v>305</v>
      </c>
      <c r="CI1752" s="5" t="s">
        <v>240</v>
      </c>
      <c r="CL1752" s="6" t="s">
        <v>261</v>
      </c>
      <c r="CM1752" s="5" t="s">
        <v>240</v>
      </c>
      <c r="CN1752" s="5" t="s">
        <v>263</v>
      </c>
      <c r="CO1752" s="5" t="s">
        <v>240</v>
      </c>
      <c r="CP1752" s="5" t="s">
        <v>240</v>
      </c>
      <c r="CQ1752" s="5">
        <v>0</v>
      </c>
      <c r="CR1752" s="5" t="s">
        <v>306</v>
      </c>
      <c r="CS1752" s="5" t="s">
        <v>307</v>
      </c>
      <c r="CT1752" s="5" t="s">
        <v>307</v>
      </c>
      <c r="CU1752" s="5" t="s">
        <v>260</v>
      </c>
      <c r="CX1752" s="7">
        <f>1</f>
        <v>1</v>
      </c>
      <c r="CY1752" s="7">
        <f>0</f>
        <v>0</v>
      </c>
      <c r="DA1752" s="7">
        <f>0</f>
        <v>0</v>
      </c>
      <c r="DC1752" s="5" t="s">
        <v>812</v>
      </c>
      <c r="DD1752" s="5" t="s">
        <v>240</v>
      </c>
      <c r="DF1752" s="5" t="s">
        <v>812</v>
      </c>
      <c r="DG1752" s="7">
        <f>1050</f>
        <v>1050</v>
      </c>
      <c r="DI1752" s="5" t="s">
        <v>240</v>
      </c>
      <c r="DJ1752" s="5" t="s">
        <v>240</v>
      </c>
      <c r="DK1752" s="5" t="s">
        <v>240</v>
      </c>
      <c r="DL1752" s="5" t="s">
        <v>240</v>
      </c>
      <c r="DP1752" s="5" t="s">
        <v>240</v>
      </c>
      <c r="DQ1752" s="5" t="s">
        <v>240</v>
      </c>
      <c r="DR1752" s="5" t="s">
        <v>240</v>
      </c>
      <c r="DS1752" s="5" t="s">
        <v>240</v>
      </c>
      <c r="DV1752" s="5" t="s">
        <v>813</v>
      </c>
      <c r="DW1752" s="5" t="s">
        <v>3635</v>
      </c>
      <c r="HO1752" s="5" t="s">
        <v>312</v>
      </c>
    </row>
    <row r="1753" spans="1:223" x14ac:dyDescent="0.4">
      <c r="A1753" s="5">
        <v>3428</v>
      </c>
      <c r="B1753" s="5">
        <v>1</v>
      </c>
      <c r="C1753" s="5">
        <v>1</v>
      </c>
      <c r="D1753" s="5" t="s">
        <v>297</v>
      </c>
      <c r="E1753" s="5" t="s">
        <v>245</v>
      </c>
      <c r="F1753" s="5" t="s">
        <v>254</v>
      </c>
      <c r="G1753" s="5" t="s">
        <v>240</v>
      </c>
      <c r="H1753" s="6" t="s">
        <v>4405</v>
      </c>
      <c r="I1753" s="5" t="s">
        <v>295</v>
      </c>
      <c r="J1753" s="8">
        <f>1004</f>
        <v>1004</v>
      </c>
      <c r="K1753" s="5" t="s">
        <v>308</v>
      </c>
      <c r="L1753" s="7">
        <f>1</f>
        <v>1</v>
      </c>
      <c r="M1753" s="7">
        <f>1</f>
        <v>1</v>
      </c>
      <c r="N1753" s="5" t="s">
        <v>242</v>
      </c>
      <c r="O1753" s="5">
        <v>1</v>
      </c>
      <c r="P1753" s="5" t="s">
        <v>294</v>
      </c>
      <c r="Q1753" s="5" t="s">
        <v>266</v>
      </c>
      <c r="R1753" s="5" t="s">
        <v>240</v>
      </c>
      <c r="S1753" s="5" t="s">
        <v>240</v>
      </c>
      <c r="T1753" s="5" t="s">
        <v>296</v>
      </c>
      <c r="U1753" s="5" t="s">
        <v>244</v>
      </c>
      <c r="V1753" s="5" t="s">
        <v>240</v>
      </c>
      <c r="Y1753" s="5" t="s">
        <v>240</v>
      </c>
      <c r="Z1753" s="6" t="s">
        <v>298</v>
      </c>
      <c r="AB1753" s="6" t="s">
        <v>240</v>
      </c>
      <c r="AE1753" s="6" t="s">
        <v>299</v>
      </c>
      <c r="AF1753" s="5" t="s">
        <v>248</v>
      </c>
      <c r="AG1753" s="5" t="s">
        <v>249</v>
      </c>
      <c r="AW1753" s="5" t="s">
        <v>251</v>
      </c>
      <c r="AX1753" s="5" t="s">
        <v>240</v>
      </c>
      <c r="AY1753" s="5" t="s">
        <v>253</v>
      </c>
      <c r="AZ1753" s="5" t="s">
        <v>240</v>
      </c>
      <c r="BA1753" s="5" t="s">
        <v>255</v>
      </c>
      <c r="BB1753" s="5" t="s">
        <v>240</v>
      </c>
      <c r="BD1753" s="5" t="s">
        <v>240</v>
      </c>
      <c r="BF1753" s="5" t="s">
        <v>301</v>
      </c>
      <c r="BG1753" s="6" t="s">
        <v>299</v>
      </c>
      <c r="BH1753" s="5" t="s">
        <v>302</v>
      </c>
      <c r="BI1753" s="5" t="s">
        <v>303</v>
      </c>
      <c r="BJ1753" s="5" t="s">
        <v>240</v>
      </c>
      <c r="BK1753" s="8">
        <f>0</f>
        <v>0</v>
      </c>
      <c r="BL1753" s="7">
        <f>0</f>
        <v>0</v>
      </c>
      <c r="BM1753" s="5" t="s">
        <v>258</v>
      </c>
      <c r="BN1753" s="5" t="s">
        <v>259</v>
      </c>
      <c r="CB1753" s="5" t="s">
        <v>240</v>
      </c>
      <c r="CC1753" s="5" t="s">
        <v>240</v>
      </c>
      <c r="CG1753" s="5" t="s">
        <v>304</v>
      </c>
      <c r="CH1753" s="5" t="s">
        <v>305</v>
      </c>
      <c r="CI1753" s="5" t="s">
        <v>240</v>
      </c>
      <c r="CL1753" s="6" t="s">
        <v>261</v>
      </c>
      <c r="CM1753" s="5" t="s">
        <v>240</v>
      </c>
      <c r="CN1753" s="5" t="s">
        <v>263</v>
      </c>
      <c r="CO1753" s="5" t="s">
        <v>240</v>
      </c>
      <c r="CP1753" s="5" t="s">
        <v>240</v>
      </c>
      <c r="CQ1753" s="5">
        <v>0</v>
      </c>
      <c r="CR1753" s="5" t="s">
        <v>306</v>
      </c>
      <c r="CS1753" s="5" t="s">
        <v>307</v>
      </c>
      <c r="CT1753" s="5" t="s">
        <v>307</v>
      </c>
      <c r="CU1753" s="5" t="s">
        <v>260</v>
      </c>
      <c r="CX1753" s="7">
        <f>1</f>
        <v>1</v>
      </c>
      <c r="CY1753" s="7">
        <f>0</f>
        <v>0</v>
      </c>
      <c r="DA1753" s="7">
        <f>0</f>
        <v>0</v>
      </c>
      <c r="DC1753" s="5" t="s">
        <v>812</v>
      </c>
      <c r="DD1753" s="5" t="s">
        <v>240</v>
      </c>
      <c r="DF1753" s="5" t="s">
        <v>812</v>
      </c>
      <c r="DG1753" s="7">
        <f>1391</f>
        <v>1391</v>
      </c>
      <c r="DI1753" s="5" t="s">
        <v>240</v>
      </c>
      <c r="DJ1753" s="5" t="s">
        <v>240</v>
      </c>
      <c r="DK1753" s="5" t="s">
        <v>240</v>
      </c>
      <c r="DL1753" s="5" t="s">
        <v>240</v>
      </c>
      <c r="DP1753" s="5" t="s">
        <v>240</v>
      </c>
      <c r="DQ1753" s="5" t="s">
        <v>240</v>
      </c>
      <c r="DR1753" s="5" t="s">
        <v>240</v>
      </c>
      <c r="DS1753" s="5" t="s">
        <v>240</v>
      </c>
      <c r="DV1753" s="5" t="s">
        <v>813</v>
      </c>
      <c r="DW1753" s="5" t="s">
        <v>3637</v>
      </c>
      <c r="HO1753" s="5" t="s">
        <v>312</v>
      </c>
    </row>
    <row r="1754" spans="1:223" x14ac:dyDescent="0.4">
      <c r="A1754" s="5">
        <v>3429</v>
      </c>
      <c r="B1754" s="5">
        <v>1</v>
      </c>
      <c r="C1754" s="5">
        <v>1</v>
      </c>
      <c r="D1754" s="5" t="s">
        <v>297</v>
      </c>
      <c r="E1754" s="5" t="s">
        <v>245</v>
      </c>
      <c r="F1754" s="5" t="s">
        <v>254</v>
      </c>
      <c r="G1754" s="5" t="s">
        <v>240</v>
      </c>
      <c r="H1754" s="6" t="s">
        <v>4404</v>
      </c>
      <c r="I1754" s="5" t="s">
        <v>295</v>
      </c>
      <c r="J1754" s="8">
        <f>1694</f>
        <v>1694</v>
      </c>
      <c r="K1754" s="5" t="s">
        <v>308</v>
      </c>
      <c r="L1754" s="7">
        <f>1</f>
        <v>1</v>
      </c>
      <c r="M1754" s="7">
        <f>1</f>
        <v>1</v>
      </c>
      <c r="N1754" s="5" t="s">
        <v>242</v>
      </c>
      <c r="O1754" s="5">
        <v>1</v>
      </c>
      <c r="P1754" s="5" t="s">
        <v>294</v>
      </c>
      <c r="Q1754" s="5" t="s">
        <v>266</v>
      </c>
      <c r="R1754" s="5" t="s">
        <v>240</v>
      </c>
      <c r="S1754" s="5" t="s">
        <v>240</v>
      </c>
      <c r="T1754" s="5" t="s">
        <v>296</v>
      </c>
      <c r="U1754" s="5" t="s">
        <v>244</v>
      </c>
      <c r="V1754" s="5" t="s">
        <v>240</v>
      </c>
      <c r="Y1754" s="5" t="s">
        <v>240</v>
      </c>
      <c r="Z1754" s="6" t="s">
        <v>298</v>
      </c>
      <c r="AB1754" s="6" t="s">
        <v>240</v>
      </c>
      <c r="AE1754" s="6" t="s">
        <v>299</v>
      </c>
      <c r="AF1754" s="5" t="s">
        <v>248</v>
      </c>
      <c r="AG1754" s="5" t="s">
        <v>249</v>
      </c>
      <c r="AW1754" s="5" t="s">
        <v>251</v>
      </c>
      <c r="AX1754" s="5" t="s">
        <v>240</v>
      </c>
      <c r="AY1754" s="5" t="s">
        <v>253</v>
      </c>
      <c r="AZ1754" s="5" t="s">
        <v>240</v>
      </c>
      <c r="BA1754" s="5" t="s">
        <v>255</v>
      </c>
      <c r="BB1754" s="5" t="s">
        <v>240</v>
      </c>
      <c r="BD1754" s="5" t="s">
        <v>240</v>
      </c>
      <c r="BF1754" s="5" t="s">
        <v>301</v>
      </c>
      <c r="BG1754" s="6" t="s">
        <v>299</v>
      </c>
      <c r="BH1754" s="5" t="s">
        <v>302</v>
      </c>
      <c r="BI1754" s="5" t="s">
        <v>303</v>
      </c>
      <c r="BJ1754" s="5" t="s">
        <v>240</v>
      </c>
      <c r="BK1754" s="8">
        <f>0</f>
        <v>0</v>
      </c>
      <c r="BL1754" s="7">
        <f>0</f>
        <v>0</v>
      </c>
      <c r="BM1754" s="5" t="s">
        <v>258</v>
      </c>
      <c r="BN1754" s="5" t="s">
        <v>259</v>
      </c>
      <c r="CB1754" s="5" t="s">
        <v>240</v>
      </c>
      <c r="CC1754" s="5" t="s">
        <v>240</v>
      </c>
      <c r="CG1754" s="5" t="s">
        <v>304</v>
      </c>
      <c r="CH1754" s="5" t="s">
        <v>305</v>
      </c>
      <c r="CI1754" s="5" t="s">
        <v>240</v>
      </c>
      <c r="CL1754" s="6" t="s">
        <v>261</v>
      </c>
      <c r="CM1754" s="5" t="s">
        <v>240</v>
      </c>
      <c r="CN1754" s="5" t="s">
        <v>263</v>
      </c>
      <c r="CO1754" s="5" t="s">
        <v>240</v>
      </c>
      <c r="CP1754" s="5" t="s">
        <v>240</v>
      </c>
      <c r="CQ1754" s="5">
        <v>0</v>
      </c>
      <c r="CR1754" s="5" t="s">
        <v>306</v>
      </c>
      <c r="CS1754" s="5" t="s">
        <v>307</v>
      </c>
      <c r="CT1754" s="5" t="s">
        <v>307</v>
      </c>
      <c r="CU1754" s="5" t="s">
        <v>260</v>
      </c>
      <c r="CX1754" s="7">
        <f>1</f>
        <v>1</v>
      </c>
      <c r="CY1754" s="7">
        <f>0</f>
        <v>0</v>
      </c>
      <c r="DA1754" s="7">
        <f>0</f>
        <v>0</v>
      </c>
      <c r="DC1754" s="5" t="s">
        <v>812</v>
      </c>
      <c r="DD1754" s="5" t="s">
        <v>240</v>
      </c>
      <c r="DF1754" s="5" t="s">
        <v>812</v>
      </c>
      <c r="DG1754" s="7">
        <f>1667</f>
        <v>1667</v>
      </c>
      <c r="DI1754" s="5" t="s">
        <v>240</v>
      </c>
      <c r="DJ1754" s="5" t="s">
        <v>240</v>
      </c>
      <c r="DK1754" s="5" t="s">
        <v>240</v>
      </c>
      <c r="DL1754" s="5" t="s">
        <v>240</v>
      </c>
      <c r="DP1754" s="5" t="s">
        <v>240</v>
      </c>
      <c r="DQ1754" s="5" t="s">
        <v>240</v>
      </c>
      <c r="DR1754" s="5" t="s">
        <v>240</v>
      </c>
      <c r="DS1754" s="5" t="s">
        <v>240</v>
      </c>
      <c r="DV1754" s="5" t="s">
        <v>813</v>
      </c>
      <c r="DW1754" s="5" t="s">
        <v>3639</v>
      </c>
      <c r="HO1754" s="5" t="s">
        <v>312</v>
      </c>
    </row>
    <row r="1755" spans="1:223" x14ac:dyDescent="0.4">
      <c r="A1755" s="5">
        <v>3430</v>
      </c>
      <c r="B1755" s="5">
        <v>1</v>
      </c>
      <c r="C1755" s="5">
        <v>1</v>
      </c>
      <c r="D1755" s="5" t="s">
        <v>297</v>
      </c>
      <c r="E1755" s="5" t="s">
        <v>245</v>
      </c>
      <c r="F1755" s="5" t="s">
        <v>254</v>
      </c>
      <c r="G1755" s="5" t="s">
        <v>240</v>
      </c>
      <c r="H1755" s="6" t="s">
        <v>4403</v>
      </c>
      <c r="I1755" s="5" t="s">
        <v>295</v>
      </c>
      <c r="J1755" s="8">
        <f>1105</f>
        <v>1105</v>
      </c>
      <c r="K1755" s="5" t="s">
        <v>308</v>
      </c>
      <c r="L1755" s="7">
        <f>1</f>
        <v>1</v>
      </c>
      <c r="M1755" s="7">
        <f>1</f>
        <v>1</v>
      </c>
      <c r="N1755" s="5" t="s">
        <v>242</v>
      </c>
      <c r="O1755" s="5">
        <v>1</v>
      </c>
      <c r="P1755" s="5" t="s">
        <v>294</v>
      </c>
      <c r="Q1755" s="5" t="s">
        <v>266</v>
      </c>
      <c r="R1755" s="5" t="s">
        <v>240</v>
      </c>
      <c r="S1755" s="5" t="s">
        <v>240</v>
      </c>
      <c r="T1755" s="5" t="s">
        <v>296</v>
      </c>
      <c r="U1755" s="5" t="s">
        <v>244</v>
      </c>
      <c r="V1755" s="5" t="s">
        <v>240</v>
      </c>
      <c r="Y1755" s="5" t="s">
        <v>240</v>
      </c>
      <c r="Z1755" s="6" t="s">
        <v>298</v>
      </c>
      <c r="AB1755" s="6" t="s">
        <v>240</v>
      </c>
      <c r="AE1755" s="6" t="s">
        <v>299</v>
      </c>
      <c r="AF1755" s="5" t="s">
        <v>248</v>
      </c>
      <c r="AG1755" s="5" t="s">
        <v>249</v>
      </c>
      <c r="AW1755" s="5" t="s">
        <v>251</v>
      </c>
      <c r="AX1755" s="5" t="s">
        <v>240</v>
      </c>
      <c r="AY1755" s="5" t="s">
        <v>253</v>
      </c>
      <c r="AZ1755" s="5" t="s">
        <v>240</v>
      </c>
      <c r="BA1755" s="5" t="s">
        <v>255</v>
      </c>
      <c r="BB1755" s="5" t="s">
        <v>240</v>
      </c>
      <c r="BD1755" s="5" t="s">
        <v>240</v>
      </c>
      <c r="BF1755" s="5" t="s">
        <v>301</v>
      </c>
      <c r="BG1755" s="6" t="s">
        <v>299</v>
      </c>
      <c r="BH1755" s="5" t="s">
        <v>302</v>
      </c>
      <c r="BI1755" s="5" t="s">
        <v>303</v>
      </c>
      <c r="BJ1755" s="5" t="s">
        <v>240</v>
      </c>
      <c r="BK1755" s="8">
        <f>0</f>
        <v>0</v>
      </c>
      <c r="BL1755" s="7">
        <f>0</f>
        <v>0</v>
      </c>
      <c r="BM1755" s="5" t="s">
        <v>258</v>
      </c>
      <c r="BN1755" s="5" t="s">
        <v>259</v>
      </c>
      <c r="CB1755" s="5" t="s">
        <v>240</v>
      </c>
      <c r="CC1755" s="5" t="s">
        <v>240</v>
      </c>
      <c r="CG1755" s="5" t="s">
        <v>304</v>
      </c>
      <c r="CH1755" s="5" t="s">
        <v>305</v>
      </c>
      <c r="CI1755" s="5" t="s">
        <v>240</v>
      </c>
      <c r="CL1755" s="6" t="s">
        <v>261</v>
      </c>
      <c r="CM1755" s="5" t="s">
        <v>240</v>
      </c>
      <c r="CN1755" s="5" t="s">
        <v>263</v>
      </c>
      <c r="CO1755" s="5" t="s">
        <v>240</v>
      </c>
      <c r="CP1755" s="5" t="s">
        <v>240</v>
      </c>
      <c r="CQ1755" s="5">
        <v>0</v>
      </c>
      <c r="CR1755" s="5" t="s">
        <v>306</v>
      </c>
      <c r="CS1755" s="5" t="s">
        <v>307</v>
      </c>
      <c r="CT1755" s="5" t="s">
        <v>307</v>
      </c>
      <c r="CU1755" s="5" t="s">
        <v>260</v>
      </c>
      <c r="CX1755" s="7">
        <f>1</f>
        <v>1</v>
      </c>
      <c r="CY1755" s="7">
        <f>0</f>
        <v>0</v>
      </c>
      <c r="DA1755" s="7">
        <f>0</f>
        <v>0</v>
      </c>
      <c r="DC1755" s="5" t="s">
        <v>812</v>
      </c>
      <c r="DD1755" s="5" t="s">
        <v>240</v>
      </c>
      <c r="DF1755" s="5" t="s">
        <v>812</v>
      </c>
      <c r="DG1755" s="7">
        <f>1728</f>
        <v>1728</v>
      </c>
      <c r="DI1755" s="5" t="s">
        <v>240</v>
      </c>
      <c r="DJ1755" s="5" t="s">
        <v>240</v>
      </c>
      <c r="DK1755" s="5" t="s">
        <v>240</v>
      </c>
      <c r="DL1755" s="5" t="s">
        <v>240</v>
      </c>
      <c r="DP1755" s="5" t="s">
        <v>240</v>
      </c>
      <c r="DQ1755" s="5" t="s">
        <v>240</v>
      </c>
      <c r="DR1755" s="5" t="s">
        <v>240</v>
      </c>
      <c r="DS1755" s="5" t="s">
        <v>240</v>
      </c>
      <c r="DV1755" s="5" t="s">
        <v>813</v>
      </c>
      <c r="DW1755" s="5" t="s">
        <v>3641</v>
      </c>
      <c r="HO1755" s="5" t="s">
        <v>312</v>
      </c>
    </row>
    <row r="1756" spans="1:223" x14ac:dyDescent="0.4">
      <c r="A1756" s="5">
        <v>3431</v>
      </c>
      <c r="B1756" s="5">
        <v>1</v>
      </c>
      <c r="C1756" s="5">
        <v>1</v>
      </c>
      <c r="D1756" s="5" t="s">
        <v>297</v>
      </c>
      <c r="E1756" s="5" t="s">
        <v>245</v>
      </c>
      <c r="F1756" s="5" t="s">
        <v>254</v>
      </c>
      <c r="G1756" s="5" t="s">
        <v>240</v>
      </c>
      <c r="H1756" s="6" t="s">
        <v>4402</v>
      </c>
      <c r="I1756" s="5" t="s">
        <v>295</v>
      </c>
      <c r="J1756" s="8">
        <f>304</f>
        <v>304</v>
      </c>
      <c r="K1756" s="5" t="s">
        <v>308</v>
      </c>
      <c r="L1756" s="7">
        <f>1</f>
        <v>1</v>
      </c>
      <c r="M1756" s="7">
        <f>1</f>
        <v>1</v>
      </c>
      <c r="N1756" s="5" t="s">
        <v>242</v>
      </c>
      <c r="O1756" s="5">
        <v>1</v>
      </c>
      <c r="P1756" s="5" t="s">
        <v>294</v>
      </c>
      <c r="Q1756" s="5" t="s">
        <v>266</v>
      </c>
      <c r="R1756" s="5" t="s">
        <v>240</v>
      </c>
      <c r="S1756" s="5" t="s">
        <v>240</v>
      </c>
      <c r="T1756" s="5" t="s">
        <v>296</v>
      </c>
      <c r="U1756" s="5" t="s">
        <v>244</v>
      </c>
      <c r="V1756" s="5" t="s">
        <v>240</v>
      </c>
      <c r="Y1756" s="5" t="s">
        <v>240</v>
      </c>
      <c r="Z1756" s="6" t="s">
        <v>298</v>
      </c>
      <c r="AB1756" s="6" t="s">
        <v>240</v>
      </c>
      <c r="AE1756" s="6" t="s">
        <v>299</v>
      </c>
      <c r="AF1756" s="5" t="s">
        <v>248</v>
      </c>
      <c r="AG1756" s="5" t="s">
        <v>249</v>
      </c>
      <c r="AW1756" s="5" t="s">
        <v>251</v>
      </c>
      <c r="AX1756" s="5" t="s">
        <v>240</v>
      </c>
      <c r="AY1756" s="5" t="s">
        <v>253</v>
      </c>
      <c r="AZ1756" s="5" t="s">
        <v>240</v>
      </c>
      <c r="BA1756" s="5" t="s">
        <v>255</v>
      </c>
      <c r="BB1756" s="5" t="s">
        <v>240</v>
      </c>
      <c r="BD1756" s="5" t="s">
        <v>240</v>
      </c>
      <c r="BF1756" s="5" t="s">
        <v>301</v>
      </c>
      <c r="BG1756" s="6" t="s">
        <v>299</v>
      </c>
      <c r="BH1756" s="5" t="s">
        <v>302</v>
      </c>
      <c r="BI1756" s="5" t="s">
        <v>303</v>
      </c>
      <c r="BJ1756" s="5" t="s">
        <v>240</v>
      </c>
      <c r="BK1756" s="8">
        <f>0</f>
        <v>0</v>
      </c>
      <c r="BL1756" s="7">
        <f>0</f>
        <v>0</v>
      </c>
      <c r="BM1756" s="5" t="s">
        <v>258</v>
      </c>
      <c r="BN1756" s="5" t="s">
        <v>259</v>
      </c>
      <c r="CB1756" s="5" t="s">
        <v>240</v>
      </c>
      <c r="CC1756" s="5" t="s">
        <v>240</v>
      </c>
      <c r="CG1756" s="5" t="s">
        <v>304</v>
      </c>
      <c r="CH1756" s="5" t="s">
        <v>305</v>
      </c>
      <c r="CI1756" s="5" t="s">
        <v>240</v>
      </c>
      <c r="CL1756" s="6" t="s">
        <v>261</v>
      </c>
      <c r="CM1756" s="5" t="s">
        <v>240</v>
      </c>
      <c r="CN1756" s="5" t="s">
        <v>263</v>
      </c>
      <c r="CO1756" s="5" t="s">
        <v>240</v>
      </c>
      <c r="CP1756" s="5" t="s">
        <v>240</v>
      </c>
      <c r="CQ1756" s="5">
        <v>0</v>
      </c>
      <c r="CR1756" s="5" t="s">
        <v>306</v>
      </c>
      <c r="CS1756" s="5" t="s">
        <v>307</v>
      </c>
      <c r="CT1756" s="5" t="s">
        <v>307</v>
      </c>
      <c r="CU1756" s="5" t="s">
        <v>260</v>
      </c>
      <c r="CX1756" s="7">
        <f>1</f>
        <v>1</v>
      </c>
      <c r="CY1756" s="7">
        <f>0</f>
        <v>0</v>
      </c>
      <c r="DA1756" s="7">
        <f>0</f>
        <v>0</v>
      </c>
      <c r="DC1756" s="5" t="s">
        <v>812</v>
      </c>
      <c r="DD1756" s="5" t="s">
        <v>240</v>
      </c>
      <c r="DF1756" s="5" t="s">
        <v>812</v>
      </c>
      <c r="DG1756" s="7">
        <f>140</f>
        <v>140</v>
      </c>
      <c r="DI1756" s="5" t="s">
        <v>240</v>
      </c>
      <c r="DJ1756" s="5" t="s">
        <v>240</v>
      </c>
      <c r="DK1756" s="5" t="s">
        <v>240</v>
      </c>
      <c r="DL1756" s="5" t="s">
        <v>240</v>
      </c>
      <c r="DP1756" s="5" t="s">
        <v>240</v>
      </c>
      <c r="DQ1756" s="5" t="s">
        <v>240</v>
      </c>
      <c r="DR1756" s="5" t="s">
        <v>240</v>
      </c>
      <c r="DS1756" s="5" t="s">
        <v>240</v>
      </c>
      <c r="DV1756" s="5" t="s">
        <v>813</v>
      </c>
      <c r="DW1756" s="5" t="s">
        <v>3643</v>
      </c>
      <c r="HO1756" s="5" t="s">
        <v>312</v>
      </c>
    </row>
    <row r="1757" spans="1:223" x14ac:dyDescent="0.4">
      <c r="A1757" s="5">
        <v>3432</v>
      </c>
      <c r="B1757" s="5">
        <v>1</v>
      </c>
      <c r="C1757" s="5">
        <v>1</v>
      </c>
      <c r="D1757" s="5" t="s">
        <v>297</v>
      </c>
      <c r="E1757" s="5" t="s">
        <v>245</v>
      </c>
      <c r="F1757" s="5" t="s">
        <v>254</v>
      </c>
      <c r="G1757" s="5" t="s">
        <v>240</v>
      </c>
      <c r="H1757" s="6" t="s">
        <v>4401</v>
      </c>
      <c r="I1757" s="5" t="s">
        <v>295</v>
      </c>
      <c r="J1757" s="8">
        <f>70</f>
        <v>70</v>
      </c>
      <c r="K1757" s="5" t="s">
        <v>308</v>
      </c>
      <c r="L1757" s="7">
        <f>1</f>
        <v>1</v>
      </c>
      <c r="M1757" s="7">
        <f>1</f>
        <v>1</v>
      </c>
      <c r="N1757" s="5" t="s">
        <v>242</v>
      </c>
      <c r="O1757" s="5">
        <v>1</v>
      </c>
      <c r="P1757" s="5" t="s">
        <v>294</v>
      </c>
      <c r="Q1757" s="5" t="s">
        <v>266</v>
      </c>
      <c r="R1757" s="5" t="s">
        <v>240</v>
      </c>
      <c r="S1757" s="5" t="s">
        <v>240</v>
      </c>
      <c r="T1757" s="5" t="s">
        <v>296</v>
      </c>
      <c r="U1757" s="5" t="s">
        <v>244</v>
      </c>
      <c r="V1757" s="5" t="s">
        <v>240</v>
      </c>
      <c r="Y1757" s="5" t="s">
        <v>240</v>
      </c>
      <c r="Z1757" s="6" t="s">
        <v>298</v>
      </c>
      <c r="AB1757" s="6" t="s">
        <v>240</v>
      </c>
      <c r="AE1757" s="6" t="s">
        <v>299</v>
      </c>
      <c r="AF1757" s="5" t="s">
        <v>248</v>
      </c>
      <c r="AG1757" s="5" t="s">
        <v>249</v>
      </c>
      <c r="AW1757" s="5" t="s">
        <v>251</v>
      </c>
      <c r="AX1757" s="5" t="s">
        <v>240</v>
      </c>
      <c r="AY1757" s="5" t="s">
        <v>253</v>
      </c>
      <c r="AZ1757" s="5" t="s">
        <v>240</v>
      </c>
      <c r="BA1757" s="5" t="s">
        <v>255</v>
      </c>
      <c r="BB1757" s="5" t="s">
        <v>240</v>
      </c>
      <c r="BD1757" s="5" t="s">
        <v>240</v>
      </c>
      <c r="BF1757" s="5" t="s">
        <v>301</v>
      </c>
      <c r="BG1757" s="6" t="s">
        <v>299</v>
      </c>
      <c r="BH1757" s="5" t="s">
        <v>302</v>
      </c>
      <c r="BI1757" s="5" t="s">
        <v>303</v>
      </c>
      <c r="BJ1757" s="5" t="s">
        <v>240</v>
      </c>
      <c r="BK1757" s="8">
        <f>0</f>
        <v>0</v>
      </c>
      <c r="BL1757" s="7">
        <f>0</f>
        <v>0</v>
      </c>
      <c r="BM1757" s="5" t="s">
        <v>258</v>
      </c>
      <c r="BN1757" s="5" t="s">
        <v>259</v>
      </c>
      <c r="CB1757" s="5" t="s">
        <v>240</v>
      </c>
      <c r="CC1757" s="5" t="s">
        <v>240</v>
      </c>
      <c r="CG1757" s="5" t="s">
        <v>304</v>
      </c>
      <c r="CH1757" s="5" t="s">
        <v>305</v>
      </c>
      <c r="CI1757" s="5" t="s">
        <v>240</v>
      </c>
      <c r="CL1757" s="6" t="s">
        <v>261</v>
      </c>
      <c r="CM1757" s="5" t="s">
        <v>240</v>
      </c>
      <c r="CN1757" s="5" t="s">
        <v>263</v>
      </c>
      <c r="CO1757" s="5" t="s">
        <v>240</v>
      </c>
      <c r="CP1757" s="5" t="s">
        <v>240</v>
      </c>
      <c r="CQ1757" s="5">
        <v>0</v>
      </c>
      <c r="CR1757" s="5" t="s">
        <v>306</v>
      </c>
      <c r="CS1757" s="5" t="s">
        <v>307</v>
      </c>
      <c r="CT1757" s="5" t="s">
        <v>307</v>
      </c>
      <c r="CU1757" s="5" t="s">
        <v>260</v>
      </c>
      <c r="CX1757" s="7">
        <f>1</f>
        <v>1</v>
      </c>
      <c r="CY1757" s="7">
        <f>0</f>
        <v>0</v>
      </c>
      <c r="DA1757" s="7">
        <f>0</f>
        <v>0</v>
      </c>
      <c r="DC1757" s="5" t="s">
        <v>812</v>
      </c>
      <c r="DD1757" s="5" t="s">
        <v>240</v>
      </c>
      <c r="DF1757" s="5" t="s">
        <v>812</v>
      </c>
      <c r="DG1757" s="7">
        <f>1687</f>
        <v>1687</v>
      </c>
      <c r="DI1757" s="5" t="s">
        <v>240</v>
      </c>
      <c r="DJ1757" s="5" t="s">
        <v>240</v>
      </c>
      <c r="DK1757" s="5" t="s">
        <v>240</v>
      </c>
      <c r="DL1757" s="5" t="s">
        <v>240</v>
      </c>
      <c r="DP1757" s="5" t="s">
        <v>240</v>
      </c>
      <c r="DQ1757" s="5" t="s">
        <v>240</v>
      </c>
      <c r="DR1757" s="5" t="s">
        <v>240</v>
      </c>
      <c r="DS1757" s="5" t="s">
        <v>240</v>
      </c>
      <c r="DV1757" s="5" t="s">
        <v>813</v>
      </c>
      <c r="DW1757" s="5" t="s">
        <v>3645</v>
      </c>
      <c r="HO1757" s="5" t="s">
        <v>312</v>
      </c>
    </row>
    <row r="1758" spans="1:223" x14ac:dyDescent="0.4">
      <c r="A1758" s="5">
        <v>3433</v>
      </c>
      <c r="B1758" s="5">
        <v>1</v>
      </c>
      <c r="C1758" s="5">
        <v>1</v>
      </c>
      <c r="D1758" s="5" t="s">
        <v>297</v>
      </c>
      <c r="E1758" s="5" t="s">
        <v>245</v>
      </c>
      <c r="F1758" s="5" t="s">
        <v>254</v>
      </c>
      <c r="G1758" s="5" t="s">
        <v>240</v>
      </c>
      <c r="H1758" s="6" t="s">
        <v>4400</v>
      </c>
      <c r="I1758" s="5" t="s">
        <v>295</v>
      </c>
      <c r="J1758" s="8">
        <f>200</f>
        <v>200</v>
      </c>
      <c r="K1758" s="5" t="s">
        <v>308</v>
      </c>
      <c r="L1758" s="7">
        <f>1</f>
        <v>1</v>
      </c>
      <c r="M1758" s="7">
        <f>1</f>
        <v>1</v>
      </c>
      <c r="N1758" s="5" t="s">
        <v>242</v>
      </c>
      <c r="O1758" s="5">
        <v>1</v>
      </c>
      <c r="P1758" s="5" t="s">
        <v>294</v>
      </c>
      <c r="Q1758" s="5" t="s">
        <v>266</v>
      </c>
      <c r="R1758" s="5" t="s">
        <v>240</v>
      </c>
      <c r="S1758" s="5" t="s">
        <v>240</v>
      </c>
      <c r="T1758" s="5" t="s">
        <v>296</v>
      </c>
      <c r="U1758" s="5" t="s">
        <v>244</v>
      </c>
      <c r="V1758" s="5" t="s">
        <v>240</v>
      </c>
      <c r="Y1758" s="5" t="s">
        <v>240</v>
      </c>
      <c r="Z1758" s="6" t="s">
        <v>298</v>
      </c>
      <c r="AB1758" s="6" t="s">
        <v>240</v>
      </c>
      <c r="AE1758" s="6" t="s">
        <v>299</v>
      </c>
      <c r="AF1758" s="5" t="s">
        <v>248</v>
      </c>
      <c r="AG1758" s="5" t="s">
        <v>249</v>
      </c>
      <c r="AW1758" s="5" t="s">
        <v>251</v>
      </c>
      <c r="AX1758" s="5" t="s">
        <v>240</v>
      </c>
      <c r="AY1758" s="5" t="s">
        <v>253</v>
      </c>
      <c r="AZ1758" s="5" t="s">
        <v>240</v>
      </c>
      <c r="BA1758" s="5" t="s">
        <v>255</v>
      </c>
      <c r="BB1758" s="5" t="s">
        <v>240</v>
      </c>
      <c r="BD1758" s="5" t="s">
        <v>240</v>
      </c>
      <c r="BF1758" s="5" t="s">
        <v>301</v>
      </c>
      <c r="BG1758" s="6" t="s">
        <v>299</v>
      </c>
      <c r="BH1758" s="5" t="s">
        <v>302</v>
      </c>
      <c r="BI1758" s="5" t="s">
        <v>303</v>
      </c>
      <c r="BJ1758" s="5" t="s">
        <v>240</v>
      </c>
      <c r="BK1758" s="8">
        <f>0</f>
        <v>0</v>
      </c>
      <c r="BL1758" s="7">
        <f>0</f>
        <v>0</v>
      </c>
      <c r="BM1758" s="5" t="s">
        <v>258</v>
      </c>
      <c r="BN1758" s="5" t="s">
        <v>259</v>
      </c>
      <c r="CB1758" s="5" t="s">
        <v>240</v>
      </c>
      <c r="CC1758" s="5" t="s">
        <v>240</v>
      </c>
      <c r="CG1758" s="5" t="s">
        <v>304</v>
      </c>
      <c r="CH1758" s="5" t="s">
        <v>305</v>
      </c>
      <c r="CI1758" s="5" t="s">
        <v>240</v>
      </c>
      <c r="CL1758" s="6" t="s">
        <v>261</v>
      </c>
      <c r="CM1758" s="5" t="s">
        <v>240</v>
      </c>
      <c r="CN1758" s="5" t="s">
        <v>263</v>
      </c>
      <c r="CO1758" s="5" t="s">
        <v>240</v>
      </c>
      <c r="CP1758" s="5" t="s">
        <v>240</v>
      </c>
      <c r="CQ1758" s="5">
        <v>0</v>
      </c>
      <c r="CR1758" s="5" t="s">
        <v>306</v>
      </c>
      <c r="CS1758" s="5" t="s">
        <v>307</v>
      </c>
      <c r="CT1758" s="5" t="s">
        <v>307</v>
      </c>
      <c r="CU1758" s="5" t="s">
        <v>260</v>
      </c>
      <c r="CX1758" s="7">
        <f>1</f>
        <v>1</v>
      </c>
      <c r="CY1758" s="7">
        <f>0</f>
        <v>0</v>
      </c>
      <c r="DA1758" s="7">
        <f>0</f>
        <v>0</v>
      </c>
      <c r="DC1758" s="5" t="s">
        <v>812</v>
      </c>
      <c r="DD1758" s="5" t="s">
        <v>240</v>
      </c>
      <c r="DF1758" s="5" t="s">
        <v>812</v>
      </c>
      <c r="DG1758" s="7">
        <f>1661</f>
        <v>1661</v>
      </c>
      <c r="DI1758" s="5" t="s">
        <v>240</v>
      </c>
      <c r="DJ1758" s="5" t="s">
        <v>240</v>
      </c>
      <c r="DK1758" s="5" t="s">
        <v>240</v>
      </c>
      <c r="DL1758" s="5" t="s">
        <v>240</v>
      </c>
      <c r="DP1758" s="5" t="s">
        <v>240</v>
      </c>
      <c r="DQ1758" s="5" t="s">
        <v>240</v>
      </c>
      <c r="DR1758" s="5" t="s">
        <v>240</v>
      </c>
      <c r="DS1758" s="5" t="s">
        <v>240</v>
      </c>
      <c r="DV1758" s="5" t="s">
        <v>813</v>
      </c>
      <c r="DW1758" s="5" t="s">
        <v>3647</v>
      </c>
      <c r="HO1758" s="5" t="s">
        <v>312</v>
      </c>
    </row>
    <row r="1759" spans="1:223" x14ac:dyDescent="0.4">
      <c r="A1759" s="5">
        <v>3434</v>
      </c>
      <c r="B1759" s="5">
        <v>1</v>
      </c>
      <c r="C1759" s="5">
        <v>1</v>
      </c>
      <c r="D1759" s="5" t="s">
        <v>297</v>
      </c>
      <c r="E1759" s="5" t="s">
        <v>245</v>
      </c>
      <c r="F1759" s="5" t="s">
        <v>254</v>
      </c>
      <c r="G1759" s="5" t="s">
        <v>240</v>
      </c>
      <c r="H1759" s="6" t="s">
        <v>4399</v>
      </c>
      <c r="I1759" s="5" t="s">
        <v>295</v>
      </c>
      <c r="J1759" s="8">
        <f>152</f>
        <v>152</v>
      </c>
      <c r="K1759" s="5" t="s">
        <v>308</v>
      </c>
      <c r="L1759" s="7">
        <f>1</f>
        <v>1</v>
      </c>
      <c r="M1759" s="7">
        <f>1</f>
        <v>1</v>
      </c>
      <c r="N1759" s="5" t="s">
        <v>242</v>
      </c>
      <c r="O1759" s="5">
        <v>1</v>
      </c>
      <c r="P1759" s="5" t="s">
        <v>294</v>
      </c>
      <c r="Q1759" s="5" t="s">
        <v>266</v>
      </c>
      <c r="R1759" s="5" t="s">
        <v>240</v>
      </c>
      <c r="S1759" s="5" t="s">
        <v>240</v>
      </c>
      <c r="T1759" s="5" t="s">
        <v>296</v>
      </c>
      <c r="U1759" s="5" t="s">
        <v>244</v>
      </c>
      <c r="V1759" s="5" t="s">
        <v>240</v>
      </c>
      <c r="Y1759" s="5" t="s">
        <v>240</v>
      </c>
      <c r="Z1759" s="6" t="s">
        <v>298</v>
      </c>
      <c r="AB1759" s="6" t="s">
        <v>240</v>
      </c>
      <c r="AE1759" s="6" t="s">
        <v>299</v>
      </c>
      <c r="AF1759" s="5" t="s">
        <v>248</v>
      </c>
      <c r="AG1759" s="5" t="s">
        <v>249</v>
      </c>
      <c r="AW1759" s="5" t="s">
        <v>251</v>
      </c>
      <c r="AX1759" s="5" t="s">
        <v>240</v>
      </c>
      <c r="AY1759" s="5" t="s">
        <v>253</v>
      </c>
      <c r="AZ1759" s="5" t="s">
        <v>240</v>
      </c>
      <c r="BA1759" s="5" t="s">
        <v>255</v>
      </c>
      <c r="BB1759" s="5" t="s">
        <v>240</v>
      </c>
      <c r="BD1759" s="5" t="s">
        <v>240</v>
      </c>
      <c r="BF1759" s="5" t="s">
        <v>301</v>
      </c>
      <c r="BG1759" s="6" t="s">
        <v>299</v>
      </c>
      <c r="BH1759" s="5" t="s">
        <v>302</v>
      </c>
      <c r="BI1759" s="5" t="s">
        <v>303</v>
      </c>
      <c r="BJ1759" s="5" t="s">
        <v>240</v>
      </c>
      <c r="BK1759" s="8">
        <f>0</f>
        <v>0</v>
      </c>
      <c r="BL1759" s="7">
        <f>0</f>
        <v>0</v>
      </c>
      <c r="BM1759" s="5" t="s">
        <v>258</v>
      </c>
      <c r="BN1759" s="5" t="s">
        <v>259</v>
      </c>
      <c r="CB1759" s="5" t="s">
        <v>240</v>
      </c>
      <c r="CC1759" s="5" t="s">
        <v>240</v>
      </c>
      <c r="CG1759" s="5" t="s">
        <v>304</v>
      </c>
      <c r="CH1759" s="5" t="s">
        <v>305</v>
      </c>
      <c r="CI1759" s="5" t="s">
        <v>240</v>
      </c>
      <c r="CL1759" s="6" t="s">
        <v>261</v>
      </c>
      <c r="CM1759" s="5" t="s">
        <v>240</v>
      </c>
      <c r="CN1759" s="5" t="s">
        <v>263</v>
      </c>
      <c r="CO1759" s="5" t="s">
        <v>240</v>
      </c>
      <c r="CP1759" s="5" t="s">
        <v>240</v>
      </c>
      <c r="CQ1759" s="5">
        <v>0</v>
      </c>
      <c r="CR1759" s="5" t="s">
        <v>306</v>
      </c>
      <c r="CS1759" s="5" t="s">
        <v>307</v>
      </c>
      <c r="CT1759" s="5" t="s">
        <v>307</v>
      </c>
      <c r="CU1759" s="5" t="s">
        <v>260</v>
      </c>
      <c r="CX1759" s="7">
        <f>1</f>
        <v>1</v>
      </c>
      <c r="CY1759" s="7">
        <f>0</f>
        <v>0</v>
      </c>
      <c r="DA1759" s="7">
        <f>0</f>
        <v>0</v>
      </c>
      <c r="DC1759" s="5" t="s">
        <v>812</v>
      </c>
      <c r="DD1759" s="5" t="s">
        <v>240</v>
      </c>
      <c r="DF1759" s="5" t="s">
        <v>812</v>
      </c>
      <c r="DG1759" s="7">
        <f>1007</f>
        <v>1007</v>
      </c>
      <c r="DI1759" s="5" t="s">
        <v>240</v>
      </c>
      <c r="DJ1759" s="5" t="s">
        <v>240</v>
      </c>
      <c r="DK1759" s="5" t="s">
        <v>240</v>
      </c>
      <c r="DL1759" s="5" t="s">
        <v>240</v>
      </c>
      <c r="DP1759" s="5" t="s">
        <v>240</v>
      </c>
      <c r="DQ1759" s="5" t="s">
        <v>240</v>
      </c>
      <c r="DR1759" s="5" t="s">
        <v>240</v>
      </c>
      <c r="DS1759" s="5" t="s">
        <v>240</v>
      </c>
      <c r="DV1759" s="5" t="s">
        <v>813</v>
      </c>
      <c r="DW1759" s="5" t="s">
        <v>3649</v>
      </c>
      <c r="HO1759" s="5" t="s">
        <v>312</v>
      </c>
    </row>
    <row r="1760" spans="1:223" x14ac:dyDescent="0.4">
      <c r="A1760" s="5">
        <v>3435</v>
      </c>
      <c r="B1760" s="5">
        <v>1</v>
      </c>
      <c r="C1760" s="5">
        <v>1</v>
      </c>
      <c r="D1760" s="5" t="s">
        <v>297</v>
      </c>
      <c r="E1760" s="5" t="s">
        <v>245</v>
      </c>
      <c r="F1760" s="5" t="s">
        <v>254</v>
      </c>
      <c r="G1760" s="5" t="s">
        <v>240</v>
      </c>
      <c r="H1760" s="6" t="s">
        <v>4398</v>
      </c>
      <c r="I1760" s="5" t="s">
        <v>295</v>
      </c>
      <c r="J1760" s="8">
        <f>7631</f>
        <v>7631</v>
      </c>
      <c r="K1760" s="5" t="s">
        <v>308</v>
      </c>
      <c r="L1760" s="7">
        <f>1</f>
        <v>1</v>
      </c>
      <c r="M1760" s="7">
        <f>1</f>
        <v>1</v>
      </c>
      <c r="N1760" s="5" t="s">
        <v>242</v>
      </c>
      <c r="O1760" s="5">
        <v>1</v>
      </c>
      <c r="P1760" s="5" t="s">
        <v>294</v>
      </c>
      <c r="Q1760" s="5" t="s">
        <v>266</v>
      </c>
      <c r="R1760" s="5" t="s">
        <v>240</v>
      </c>
      <c r="S1760" s="5" t="s">
        <v>240</v>
      </c>
      <c r="T1760" s="5" t="s">
        <v>296</v>
      </c>
      <c r="U1760" s="5" t="s">
        <v>244</v>
      </c>
      <c r="V1760" s="5" t="s">
        <v>240</v>
      </c>
      <c r="Y1760" s="5" t="s">
        <v>240</v>
      </c>
      <c r="Z1760" s="6" t="s">
        <v>298</v>
      </c>
      <c r="AB1760" s="6" t="s">
        <v>240</v>
      </c>
      <c r="AE1760" s="6" t="s">
        <v>299</v>
      </c>
      <c r="AF1760" s="5" t="s">
        <v>248</v>
      </c>
      <c r="AG1760" s="5" t="s">
        <v>249</v>
      </c>
      <c r="AW1760" s="5" t="s">
        <v>251</v>
      </c>
      <c r="AX1760" s="5" t="s">
        <v>240</v>
      </c>
      <c r="AY1760" s="5" t="s">
        <v>253</v>
      </c>
      <c r="AZ1760" s="5" t="s">
        <v>240</v>
      </c>
      <c r="BA1760" s="5" t="s">
        <v>255</v>
      </c>
      <c r="BB1760" s="5" t="s">
        <v>240</v>
      </c>
      <c r="BD1760" s="5" t="s">
        <v>240</v>
      </c>
      <c r="BF1760" s="5" t="s">
        <v>301</v>
      </c>
      <c r="BG1760" s="6" t="s">
        <v>299</v>
      </c>
      <c r="BH1760" s="5" t="s">
        <v>302</v>
      </c>
      <c r="BI1760" s="5" t="s">
        <v>303</v>
      </c>
      <c r="BJ1760" s="5" t="s">
        <v>240</v>
      </c>
      <c r="BK1760" s="8">
        <f>0</f>
        <v>0</v>
      </c>
      <c r="BL1760" s="7">
        <f>0</f>
        <v>0</v>
      </c>
      <c r="BM1760" s="5" t="s">
        <v>258</v>
      </c>
      <c r="BN1760" s="5" t="s">
        <v>259</v>
      </c>
      <c r="CB1760" s="5" t="s">
        <v>240</v>
      </c>
      <c r="CC1760" s="5" t="s">
        <v>240</v>
      </c>
      <c r="CG1760" s="5" t="s">
        <v>304</v>
      </c>
      <c r="CH1760" s="5" t="s">
        <v>305</v>
      </c>
      <c r="CI1760" s="5" t="s">
        <v>240</v>
      </c>
      <c r="CL1760" s="6" t="s">
        <v>261</v>
      </c>
      <c r="CM1760" s="5" t="s">
        <v>240</v>
      </c>
      <c r="CN1760" s="5" t="s">
        <v>263</v>
      </c>
      <c r="CO1760" s="5" t="s">
        <v>240</v>
      </c>
      <c r="CP1760" s="5" t="s">
        <v>240</v>
      </c>
      <c r="CQ1760" s="5">
        <v>0</v>
      </c>
      <c r="CR1760" s="5" t="s">
        <v>306</v>
      </c>
      <c r="CS1760" s="5" t="s">
        <v>307</v>
      </c>
      <c r="CT1760" s="5" t="s">
        <v>307</v>
      </c>
      <c r="CU1760" s="5" t="s">
        <v>260</v>
      </c>
      <c r="CX1760" s="7">
        <f>1</f>
        <v>1</v>
      </c>
      <c r="CY1760" s="7">
        <f>0</f>
        <v>0</v>
      </c>
      <c r="DA1760" s="7">
        <f>0</f>
        <v>0</v>
      </c>
      <c r="DC1760" s="5" t="s">
        <v>812</v>
      </c>
      <c r="DD1760" s="5" t="s">
        <v>240</v>
      </c>
      <c r="DF1760" s="5" t="s">
        <v>812</v>
      </c>
      <c r="DG1760" s="7">
        <f>2429</f>
        <v>2429</v>
      </c>
      <c r="DI1760" s="5" t="s">
        <v>240</v>
      </c>
      <c r="DJ1760" s="5" t="s">
        <v>240</v>
      </c>
      <c r="DK1760" s="5" t="s">
        <v>240</v>
      </c>
      <c r="DL1760" s="5" t="s">
        <v>240</v>
      </c>
      <c r="DP1760" s="5" t="s">
        <v>240</v>
      </c>
      <c r="DQ1760" s="5" t="s">
        <v>240</v>
      </c>
      <c r="DR1760" s="5" t="s">
        <v>240</v>
      </c>
      <c r="DS1760" s="5" t="s">
        <v>240</v>
      </c>
      <c r="DV1760" s="5" t="s">
        <v>813</v>
      </c>
      <c r="DW1760" s="5" t="s">
        <v>3651</v>
      </c>
      <c r="HO1760" s="5" t="s">
        <v>312</v>
      </c>
    </row>
    <row r="1761" spans="1:240" x14ac:dyDescent="0.4">
      <c r="A1761" s="5">
        <v>3436</v>
      </c>
      <c r="B1761" s="5">
        <v>1</v>
      </c>
      <c r="C1761" s="5">
        <v>1</v>
      </c>
      <c r="D1761" s="5" t="s">
        <v>297</v>
      </c>
      <c r="E1761" s="5" t="s">
        <v>245</v>
      </c>
      <c r="F1761" s="5" t="s">
        <v>254</v>
      </c>
      <c r="G1761" s="5" t="s">
        <v>240</v>
      </c>
      <c r="H1761" s="6" t="s">
        <v>4397</v>
      </c>
      <c r="I1761" s="5" t="s">
        <v>295</v>
      </c>
      <c r="J1761" s="8">
        <f>811</f>
        <v>811</v>
      </c>
      <c r="K1761" s="5" t="s">
        <v>308</v>
      </c>
      <c r="L1761" s="7">
        <f>1</f>
        <v>1</v>
      </c>
      <c r="M1761" s="7">
        <f>1</f>
        <v>1</v>
      </c>
      <c r="N1761" s="5" t="s">
        <v>242</v>
      </c>
      <c r="O1761" s="5">
        <v>1</v>
      </c>
      <c r="P1761" s="5" t="s">
        <v>294</v>
      </c>
      <c r="Q1761" s="5" t="s">
        <v>266</v>
      </c>
      <c r="R1761" s="5" t="s">
        <v>240</v>
      </c>
      <c r="S1761" s="5" t="s">
        <v>240</v>
      </c>
      <c r="T1761" s="5" t="s">
        <v>296</v>
      </c>
      <c r="U1761" s="5" t="s">
        <v>244</v>
      </c>
      <c r="V1761" s="5" t="s">
        <v>240</v>
      </c>
      <c r="Y1761" s="5" t="s">
        <v>240</v>
      </c>
      <c r="Z1761" s="6" t="s">
        <v>298</v>
      </c>
      <c r="AB1761" s="6" t="s">
        <v>240</v>
      </c>
      <c r="AE1761" s="6" t="s">
        <v>299</v>
      </c>
      <c r="AF1761" s="5" t="s">
        <v>248</v>
      </c>
      <c r="AG1761" s="5" t="s">
        <v>249</v>
      </c>
      <c r="AW1761" s="5" t="s">
        <v>251</v>
      </c>
      <c r="AX1761" s="5" t="s">
        <v>240</v>
      </c>
      <c r="AY1761" s="5" t="s">
        <v>253</v>
      </c>
      <c r="AZ1761" s="5" t="s">
        <v>240</v>
      </c>
      <c r="BA1761" s="5" t="s">
        <v>255</v>
      </c>
      <c r="BB1761" s="5" t="s">
        <v>240</v>
      </c>
      <c r="BD1761" s="5" t="s">
        <v>240</v>
      </c>
      <c r="BF1761" s="5" t="s">
        <v>301</v>
      </c>
      <c r="BG1761" s="6" t="s">
        <v>299</v>
      </c>
      <c r="BH1761" s="5" t="s">
        <v>302</v>
      </c>
      <c r="BI1761" s="5" t="s">
        <v>303</v>
      </c>
      <c r="BJ1761" s="5" t="s">
        <v>240</v>
      </c>
      <c r="BK1761" s="8">
        <f>0</f>
        <v>0</v>
      </c>
      <c r="BL1761" s="7">
        <f>0</f>
        <v>0</v>
      </c>
      <c r="BM1761" s="5" t="s">
        <v>258</v>
      </c>
      <c r="BN1761" s="5" t="s">
        <v>259</v>
      </c>
      <c r="CB1761" s="5" t="s">
        <v>240</v>
      </c>
      <c r="CC1761" s="5" t="s">
        <v>240</v>
      </c>
      <c r="CG1761" s="5" t="s">
        <v>304</v>
      </c>
      <c r="CH1761" s="5" t="s">
        <v>305</v>
      </c>
      <c r="CI1761" s="5" t="s">
        <v>240</v>
      </c>
      <c r="CL1761" s="6" t="s">
        <v>261</v>
      </c>
      <c r="CM1761" s="5" t="s">
        <v>240</v>
      </c>
      <c r="CN1761" s="5" t="s">
        <v>263</v>
      </c>
      <c r="CO1761" s="5" t="s">
        <v>240</v>
      </c>
      <c r="CP1761" s="5" t="s">
        <v>240</v>
      </c>
      <c r="CQ1761" s="5">
        <v>0</v>
      </c>
      <c r="CR1761" s="5" t="s">
        <v>306</v>
      </c>
      <c r="CS1761" s="5" t="s">
        <v>307</v>
      </c>
      <c r="CT1761" s="5" t="s">
        <v>307</v>
      </c>
      <c r="CU1761" s="5" t="s">
        <v>260</v>
      </c>
      <c r="CX1761" s="7">
        <f>1</f>
        <v>1</v>
      </c>
      <c r="CY1761" s="7">
        <f>0</f>
        <v>0</v>
      </c>
      <c r="DA1761" s="7">
        <f>0</f>
        <v>0</v>
      </c>
      <c r="DC1761" s="5" t="s">
        <v>812</v>
      </c>
      <c r="DD1761" s="5" t="s">
        <v>240</v>
      </c>
      <c r="DF1761" s="5" t="s">
        <v>812</v>
      </c>
      <c r="DG1761" s="7">
        <f>2818</f>
        <v>2818</v>
      </c>
      <c r="DI1761" s="5" t="s">
        <v>240</v>
      </c>
      <c r="DJ1761" s="5" t="s">
        <v>240</v>
      </c>
      <c r="DK1761" s="5" t="s">
        <v>240</v>
      </c>
      <c r="DL1761" s="5" t="s">
        <v>240</v>
      </c>
      <c r="DP1761" s="5" t="s">
        <v>240</v>
      </c>
      <c r="DQ1761" s="5" t="s">
        <v>240</v>
      </c>
      <c r="DR1761" s="5" t="s">
        <v>240</v>
      </c>
      <c r="DS1761" s="5" t="s">
        <v>240</v>
      </c>
      <c r="DV1761" s="5" t="s">
        <v>813</v>
      </c>
      <c r="DW1761" s="5" t="s">
        <v>3653</v>
      </c>
      <c r="HO1761" s="5" t="s">
        <v>312</v>
      </c>
    </row>
    <row r="1762" spans="1:240" x14ac:dyDescent="0.4">
      <c r="A1762" s="5">
        <v>3437</v>
      </c>
      <c r="B1762" s="5">
        <v>1</v>
      </c>
      <c r="C1762" s="5">
        <v>1</v>
      </c>
      <c r="D1762" s="5" t="s">
        <v>297</v>
      </c>
      <c r="E1762" s="5" t="s">
        <v>245</v>
      </c>
      <c r="F1762" s="5" t="s">
        <v>254</v>
      </c>
      <c r="G1762" s="5" t="s">
        <v>240</v>
      </c>
      <c r="H1762" s="6" t="s">
        <v>5539</v>
      </c>
      <c r="I1762" s="5" t="s">
        <v>295</v>
      </c>
      <c r="J1762" s="8">
        <f>921</f>
        <v>921</v>
      </c>
      <c r="K1762" s="5" t="s">
        <v>308</v>
      </c>
      <c r="L1762" s="7">
        <f>1</f>
        <v>1</v>
      </c>
      <c r="M1762" s="7">
        <f>1</f>
        <v>1</v>
      </c>
      <c r="N1762" s="5" t="s">
        <v>242</v>
      </c>
      <c r="O1762" s="5">
        <v>1</v>
      </c>
      <c r="P1762" s="5" t="s">
        <v>294</v>
      </c>
      <c r="Q1762" s="5" t="s">
        <v>266</v>
      </c>
      <c r="R1762" s="5" t="s">
        <v>240</v>
      </c>
      <c r="S1762" s="5" t="s">
        <v>240</v>
      </c>
      <c r="T1762" s="5" t="s">
        <v>296</v>
      </c>
      <c r="U1762" s="5" t="s">
        <v>244</v>
      </c>
      <c r="V1762" s="5" t="s">
        <v>240</v>
      </c>
      <c r="Y1762" s="5" t="s">
        <v>240</v>
      </c>
      <c r="Z1762" s="6" t="s">
        <v>298</v>
      </c>
      <c r="AB1762" s="6" t="s">
        <v>240</v>
      </c>
      <c r="AE1762" s="6" t="s">
        <v>299</v>
      </c>
      <c r="AF1762" s="5" t="s">
        <v>248</v>
      </c>
      <c r="AG1762" s="5" t="s">
        <v>249</v>
      </c>
      <c r="AW1762" s="5" t="s">
        <v>251</v>
      </c>
      <c r="AX1762" s="5" t="s">
        <v>240</v>
      </c>
      <c r="AY1762" s="5" t="s">
        <v>253</v>
      </c>
      <c r="AZ1762" s="5" t="s">
        <v>240</v>
      </c>
      <c r="BA1762" s="5" t="s">
        <v>255</v>
      </c>
      <c r="BB1762" s="5" t="s">
        <v>240</v>
      </c>
      <c r="BD1762" s="5" t="s">
        <v>240</v>
      </c>
      <c r="BF1762" s="5" t="s">
        <v>301</v>
      </c>
      <c r="BG1762" s="6" t="s">
        <v>299</v>
      </c>
      <c r="BH1762" s="5" t="s">
        <v>302</v>
      </c>
      <c r="BI1762" s="5" t="s">
        <v>303</v>
      </c>
      <c r="BJ1762" s="5" t="s">
        <v>240</v>
      </c>
      <c r="BK1762" s="8">
        <f>0</f>
        <v>0</v>
      </c>
      <c r="BL1762" s="7">
        <f>0</f>
        <v>0</v>
      </c>
      <c r="BM1762" s="5" t="s">
        <v>258</v>
      </c>
      <c r="BN1762" s="5" t="s">
        <v>259</v>
      </c>
      <c r="CB1762" s="5" t="s">
        <v>240</v>
      </c>
      <c r="CC1762" s="5" t="s">
        <v>240</v>
      </c>
      <c r="CG1762" s="5" t="s">
        <v>304</v>
      </c>
      <c r="CH1762" s="5" t="s">
        <v>305</v>
      </c>
      <c r="CI1762" s="5" t="s">
        <v>240</v>
      </c>
      <c r="CL1762" s="6" t="s">
        <v>261</v>
      </c>
      <c r="CM1762" s="5" t="s">
        <v>240</v>
      </c>
      <c r="CN1762" s="5" t="s">
        <v>263</v>
      </c>
      <c r="CO1762" s="5" t="s">
        <v>240</v>
      </c>
      <c r="CP1762" s="5" t="s">
        <v>240</v>
      </c>
      <c r="CQ1762" s="5">
        <v>0</v>
      </c>
      <c r="CR1762" s="5" t="s">
        <v>306</v>
      </c>
      <c r="CS1762" s="5" t="s">
        <v>307</v>
      </c>
      <c r="CT1762" s="5" t="s">
        <v>307</v>
      </c>
      <c r="CU1762" s="5" t="s">
        <v>260</v>
      </c>
      <c r="CX1762" s="7">
        <f>1</f>
        <v>1</v>
      </c>
      <c r="CY1762" s="7">
        <f>0</f>
        <v>0</v>
      </c>
      <c r="DA1762" s="7">
        <f>0</f>
        <v>0</v>
      </c>
      <c r="DC1762" s="5" t="s">
        <v>812</v>
      </c>
      <c r="DD1762" s="5" t="s">
        <v>240</v>
      </c>
      <c r="DF1762" s="5" t="s">
        <v>812</v>
      </c>
      <c r="DG1762" s="7">
        <f>1664</f>
        <v>1664</v>
      </c>
      <c r="DI1762" s="5" t="s">
        <v>240</v>
      </c>
      <c r="DJ1762" s="5" t="s">
        <v>240</v>
      </c>
      <c r="DK1762" s="5" t="s">
        <v>240</v>
      </c>
      <c r="DL1762" s="5" t="s">
        <v>240</v>
      </c>
      <c r="DP1762" s="5" t="s">
        <v>240</v>
      </c>
      <c r="DQ1762" s="5" t="s">
        <v>240</v>
      </c>
      <c r="DR1762" s="5" t="s">
        <v>240</v>
      </c>
      <c r="DS1762" s="5" t="s">
        <v>240</v>
      </c>
      <c r="DV1762" s="5" t="s">
        <v>813</v>
      </c>
      <c r="DW1762" s="5" t="s">
        <v>3655</v>
      </c>
      <c r="HO1762" s="5" t="s">
        <v>312</v>
      </c>
    </row>
    <row r="1763" spans="1:240" x14ac:dyDescent="0.4">
      <c r="A1763" s="5">
        <v>3438</v>
      </c>
      <c r="B1763" s="5">
        <v>1</v>
      </c>
      <c r="C1763" s="5">
        <v>1</v>
      </c>
      <c r="D1763" s="5" t="s">
        <v>297</v>
      </c>
      <c r="E1763" s="5" t="s">
        <v>245</v>
      </c>
      <c r="F1763" s="5" t="s">
        <v>254</v>
      </c>
      <c r="G1763" s="5" t="s">
        <v>240</v>
      </c>
      <c r="H1763" s="6" t="s">
        <v>4394</v>
      </c>
      <c r="I1763" s="5" t="s">
        <v>295</v>
      </c>
      <c r="J1763" s="8">
        <f>1130</f>
        <v>1130</v>
      </c>
      <c r="K1763" s="5" t="s">
        <v>308</v>
      </c>
      <c r="L1763" s="7">
        <f>1</f>
        <v>1</v>
      </c>
      <c r="M1763" s="7">
        <f>1</f>
        <v>1</v>
      </c>
      <c r="N1763" s="5" t="s">
        <v>242</v>
      </c>
      <c r="O1763" s="5">
        <v>1</v>
      </c>
      <c r="P1763" s="5" t="s">
        <v>294</v>
      </c>
      <c r="Q1763" s="5" t="s">
        <v>266</v>
      </c>
      <c r="R1763" s="5" t="s">
        <v>240</v>
      </c>
      <c r="S1763" s="5" t="s">
        <v>240</v>
      </c>
      <c r="T1763" s="5" t="s">
        <v>296</v>
      </c>
      <c r="U1763" s="5" t="s">
        <v>244</v>
      </c>
      <c r="V1763" s="5" t="s">
        <v>240</v>
      </c>
      <c r="Y1763" s="5" t="s">
        <v>240</v>
      </c>
      <c r="Z1763" s="6" t="s">
        <v>298</v>
      </c>
      <c r="AB1763" s="6" t="s">
        <v>240</v>
      </c>
      <c r="AE1763" s="6" t="s">
        <v>299</v>
      </c>
      <c r="AF1763" s="5" t="s">
        <v>248</v>
      </c>
      <c r="AG1763" s="5" t="s">
        <v>249</v>
      </c>
      <c r="AW1763" s="5" t="s">
        <v>251</v>
      </c>
      <c r="AX1763" s="5" t="s">
        <v>240</v>
      </c>
      <c r="AY1763" s="5" t="s">
        <v>253</v>
      </c>
      <c r="AZ1763" s="5" t="s">
        <v>240</v>
      </c>
      <c r="BA1763" s="5" t="s">
        <v>255</v>
      </c>
      <c r="BB1763" s="5" t="s">
        <v>240</v>
      </c>
      <c r="BD1763" s="5" t="s">
        <v>240</v>
      </c>
      <c r="BF1763" s="5" t="s">
        <v>301</v>
      </c>
      <c r="BG1763" s="6" t="s">
        <v>299</v>
      </c>
      <c r="BH1763" s="5" t="s">
        <v>302</v>
      </c>
      <c r="BI1763" s="5" t="s">
        <v>303</v>
      </c>
      <c r="BJ1763" s="5" t="s">
        <v>240</v>
      </c>
      <c r="BK1763" s="8">
        <f>0</f>
        <v>0</v>
      </c>
      <c r="BL1763" s="7">
        <f>0</f>
        <v>0</v>
      </c>
      <c r="BM1763" s="5" t="s">
        <v>258</v>
      </c>
      <c r="BN1763" s="5" t="s">
        <v>259</v>
      </c>
      <c r="CB1763" s="5" t="s">
        <v>240</v>
      </c>
      <c r="CC1763" s="5" t="s">
        <v>240</v>
      </c>
      <c r="CG1763" s="5" t="s">
        <v>304</v>
      </c>
      <c r="CH1763" s="5" t="s">
        <v>305</v>
      </c>
      <c r="CI1763" s="5" t="s">
        <v>240</v>
      </c>
      <c r="CL1763" s="6" t="s">
        <v>261</v>
      </c>
      <c r="CM1763" s="5" t="s">
        <v>240</v>
      </c>
      <c r="CN1763" s="5" t="s">
        <v>263</v>
      </c>
      <c r="CO1763" s="5" t="s">
        <v>240</v>
      </c>
      <c r="CP1763" s="5" t="s">
        <v>240</v>
      </c>
      <c r="CQ1763" s="5">
        <v>0</v>
      </c>
      <c r="CR1763" s="5" t="s">
        <v>306</v>
      </c>
      <c r="CS1763" s="5" t="s">
        <v>307</v>
      </c>
      <c r="CT1763" s="5" t="s">
        <v>307</v>
      </c>
      <c r="CU1763" s="5" t="s">
        <v>260</v>
      </c>
      <c r="CX1763" s="7">
        <f>1</f>
        <v>1</v>
      </c>
      <c r="CY1763" s="7">
        <f>0</f>
        <v>0</v>
      </c>
      <c r="DA1763" s="7">
        <f>0</f>
        <v>0</v>
      </c>
      <c r="DC1763" s="5" t="s">
        <v>812</v>
      </c>
      <c r="DD1763" s="5" t="s">
        <v>240</v>
      </c>
      <c r="DF1763" s="5" t="s">
        <v>812</v>
      </c>
      <c r="DG1763" s="7">
        <f>1499</f>
        <v>1499</v>
      </c>
      <c r="DI1763" s="5" t="s">
        <v>240</v>
      </c>
      <c r="DJ1763" s="5" t="s">
        <v>240</v>
      </c>
      <c r="DK1763" s="5" t="s">
        <v>240</v>
      </c>
      <c r="DL1763" s="5" t="s">
        <v>240</v>
      </c>
      <c r="DP1763" s="5" t="s">
        <v>240</v>
      </c>
      <c r="DQ1763" s="5" t="s">
        <v>240</v>
      </c>
      <c r="DR1763" s="5" t="s">
        <v>240</v>
      </c>
      <c r="DS1763" s="5" t="s">
        <v>240</v>
      </c>
      <c r="DV1763" s="5" t="s">
        <v>813</v>
      </c>
      <c r="DW1763" s="5" t="s">
        <v>3657</v>
      </c>
      <c r="HO1763" s="5" t="s">
        <v>312</v>
      </c>
    </row>
    <row r="1764" spans="1:240" x14ac:dyDescent="0.4">
      <c r="A1764" s="5">
        <v>3439</v>
      </c>
      <c r="B1764" s="5">
        <v>1</v>
      </c>
      <c r="C1764" s="5">
        <v>1</v>
      </c>
      <c r="D1764" s="5" t="s">
        <v>297</v>
      </c>
      <c r="E1764" s="5" t="s">
        <v>245</v>
      </c>
      <c r="F1764" s="5" t="s">
        <v>254</v>
      </c>
      <c r="G1764" s="5" t="s">
        <v>240</v>
      </c>
      <c r="H1764" s="6" t="s">
        <v>4393</v>
      </c>
      <c r="I1764" s="5" t="s">
        <v>295</v>
      </c>
      <c r="J1764" s="8">
        <f>708</f>
        <v>708</v>
      </c>
      <c r="K1764" s="5" t="s">
        <v>308</v>
      </c>
      <c r="L1764" s="7">
        <f>1</f>
        <v>1</v>
      </c>
      <c r="M1764" s="7">
        <f>1</f>
        <v>1</v>
      </c>
      <c r="N1764" s="5" t="s">
        <v>242</v>
      </c>
      <c r="O1764" s="5">
        <v>1</v>
      </c>
      <c r="P1764" s="5" t="s">
        <v>294</v>
      </c>
      <c r="Q1764" s="5" t="s">
        <v>266</v>
      </c>
      <c r="R1764" s="5" t="s">
        <v>240</v>
      </c>
      <c r="S1764" s="5" t="s">
        <v>240</v>
      </c>
      <c r="T1764" s="5" t="s">
        <v>296</v>
      </c>
      <c r="U1764" s="5" t="s">
        <v>244</v>
      </c>
      <c r="V1764" s="5" t="s">
        <v>240</v>
      </c>
      <c r="Y1764" s="5" t="s">
        <v>240</v>
      </c>
      <c r="Z1764" s="6" t="s">
        <v>298</v>
      </c>
      <c r="AB1764" s="6" t="s">
        <v>240</v>
      </c>
      <c r="AE1764" s="6" t="s">
        <v>299</v>
      </c>
      <c r="AF1764" s="5" t="s">
        <v>248</v>
      </c>
      <c r="AG1764" s="5" t="s">
        <v>249</v>
      </c>
      <c r="AW1764" s="5" t="s">
        <v>251</v>
      </c>
      <c r="AX1764" s="5" t="s">
        <v>240</v>
      </c>
      <c r="AY1764" s="5" t="s">
        <v>253</v>
      </c>
      <c r="AZ1764" s="5" t="s">
        <v>240</v>
      </c>
      <c r="BA1764" s="5" t="s">
        <v>255</v>
      </c>
      <c r="BB1764" s="5" t="s">
        <v>240</v>
      </c>
      <c r="BD1764" s="5" t="s">
        <v>240</v>
      </c>
      <c r="BF1764" s="5" t="s">
        <v>301</v>
      </c>
      <c r="BG1764" s="6" t="s">
        <v>299</v>
      </c>
      <c r="BH1764" s="5" t="s">
        <v>302</v>
      </c>
      <c r="BI1764" s="5" t="s">
        <v>303</v>
      </c>
      <c r="BJ1764" s="5" t="s">
        <v>240</v>
      </c>
      <c r="BK1764" s="8">
        <f>0</f>
        <v>0</v>
      </c>
      <c r="BL1764" s="7">
        <f>0</f>
        <v>0</v>
      </c>
      <c r="BM1764" s="5" t="s">
        <v>258</v>
      </c>
      <c r="BN1764" s="5" t="s">
        <v>259</v>
      </c>
      <c r="CB1764" s="5" t="s">
        <v>240</v>
      </c>
      <c r="CC1764" s="5" t="s">
        <v>240</v>
      </c>
      <c r="CG1764" s="5" t="s">
        <v>304</v>
      </c>
      <c r="CH1764" s="5" t="s">
        <v>305</v>
      </c>
      <c r="CI1764" s="5" t="s">
        <v>240</v>
      </c>
      <c r="CL1764" s="6" t="s">
        <v>261</v>
      </c>
      <c r="CM1764" s="5" t="s">
        <v>240</v>
      </c>
      <c r="CN1764" s="5" t="s">
        <v>263</v>
      </c>
      <c r="CO1764" s="5" t="s">
        <v>240</v>
      </c>
      <c r="CP1764" s="5" t="s">
        <v>240</v>
      </c>
      <c r="CQ1764" s="5">
        <v>0</v>
      </c>
      <c r="CR1764" s="5" t="s">
        <v>306</v>
      </c>
      <c r="CS1764" s="5" t="s">
        <v>307</v>
      </c>
      <c r="CT1764" s="5" t="s">
        <v>307</v>
      </c>
      <c r="CU1764" s="5" t="s">
        <v>260</v>
      </c>
      <c r="CX1764" s="7">
        <f>1</f>
        <v>1</v>
      </c>
      <c r="CY1764" s="7">
        <f>0</f>
        <v>0</v>
      </c>
      <c r="DA1764" s="7">
        <f>0</f>
        <v>0</v>
      </c>
      <c r="DC1764" s="5" t="s">
        <v>812</v>
      </c>
      <c r="DD1764" s="5" t="s">
        <v>240</v>
      </c>
      <c r="DF1764" s="5" t="s">
        <v>812</v>
      </c>
      <c r="DG1764" s="7">
        <f>362</f>
        <v>362</v>
      </c>
      <c r="DI1764" s="5" t="s">
        <v>240</v>
      </c>
      <c r="DJ1764" s="5" t="s">
        <v>240</v>
      </c>
      <c r="DK1764" s="5" t="s">
        <v>240</v>
      </c>
      <c r="DL1764" s="5" t="s">
        <v>240</v>
      </c>
      <c r="DP1764" s="5" t="s">
        <v>240</v>
      </c>
      <c r="DQ1764" s="5" t="s">
        <v>240</v>
      </c>
      <c r="DR1764" s="5" t="s">
        <v>240</v>
      </c>
      <c r="DS1764" s="5" t="s">
        <v>240</v>
      </c>
      <c r="DV1764" s="5" t="s">
        <v>813</v>
      </c>
      <c r="DW1764" s="5" t="s">
        <v>3659</v>
      </c>
      <c r="HO1764" s="5" t="s">
        <v>312</v>
      </c>
    </row>
    <row r="1765" spans="1:240" x14ac:dyDescent="0.4">
      <c r="A1765" s="5">
        <v>3440</v>
      </c>
      <c r="B1765" s="5">
        <v>1</v>
      </c>
      <c r="C1765" s="5">
        <v>1</v>
      </c>
      <c r="D1765" s="5" t="s">
        <v>297</v>
      </c>
      <c r="E1765" s="5" t="s">
        <v>245</v>
      </c>
      <c r="F1765" s="5" t="s">
        <v>254</v>
      </c>
      <c r="G1765" s="5" t="s">
        <v>240</v>
      </c>
      <c r="H1765" s="6" t="s">
        <v>4392</v>
      </c>
      <c r="I1765" s="5" t="s">
        <v>295</v>
      </c>
      <c r="J1765" s="8">
        <f>670</f>
        <v>670</v>
      </c>
      <c r="K1765" s="5" t="s">
        <v>308</v>
      </c>
      <c r="L1765" s="7">
        <f>1</f>
        <v>1</v>
      </c>
      <c r="M1765" s="7">
        <f>1</f>
        <v>1</v>
      </c>
      <c r="N1765" s="5" t="s">
        <v>242</v>
      </c>
      <c r="O1765" s="5">
        <v>1</v>
      </c>
      <c r="P1765" s="5" t="s">
        <v>294</v>
      </c>
      <c r="Q1765" s="5" t="s">
        <v>266</v>
      </c>
      <c r="R1765" s="5" t="s">
        <v>240</v>
      </c>
      <c r="S1765" s="5" t="s">
        <v>240</v>
      </c>
      <c r="T1765" s="5" t="s">
        <v>296</v>
      </c>
      <c r="U1765" s="5" t="s">
        <v>244</v>
      </c>
      <c r="V1765" s="5" t="s">
        <v>240</v>
      </c>
      <c r="Y1765" s="5" t="s">
        <v>240</v>
      </c>
      <c r="Z1765" s="6" t="s">
        <v>298</v>
      </c>
      <c r="AB1765" s="6" t="s">
        <v>240</v>
      </c>
      <c r="AE1765" s="6" t="s">
        <v>299</v>
      </c>
      <c r="AF1765" s="5" t="s">
        <v>248</v>
      </c>
      <c r="AG1765" s="5" t="s">
        <v>249</v>
      </c>
      <c r="AW1765" s="5" t="s">
        <v>251</v>
      </c>
      <c r="AX1765" s="5" t="s">
        <v>240</v>
      </c>
      <c r="AY1765" s="5" t="s">
        <v>253</v>
      </c>
      <c r="AZ1765" s="5" t="s">
        <v>240</v>
      </c>
      <c r="BA1765" s="5" t="s">
        <v>255</v>
      </c>
      <c r="BB1765" s="5" t="s">
        <v>240</v>
      </c>
      <c r="BD1765" s="5" t="s">
        <v>240</v>
      </c>
      <c r="BF1765" s="5" t="s">
        <v>301</v>
      </c>
      <c r="BG1765" s="6" t="s">
        <v>299</v>
      </c>
      <c r="BH1765" s="5" t="s">
        <v>302</v>
      </c>
      <c r="BI1765" s="5" t="s">
        <v>303</v>
      </c>
      <c r="BJ1765" s="5" t="s">
        <v>240</v>
      </c>
      <c r="BK1765" s="8">
        <f>0</f>
        <v>0</v>
      </c>
      <c r="BL1765" s="7">
        <f>0</f>
        <v>0</v>
      </c>
      <c r="BM1765" s="5" t="s">
        <v>258</v>
      </c>
      <c r="BN1765" s="5" t="s">
        <v>259</v>
      </c>
      <c r="CB1765" s="5" t="s">
        <v>240</v>
      </c>
      <c r="CC1765" s="5" t="s">
        <v>240</v>
      </c>
      <c r="CG1765" s="5" t="s">
        <v>304</v>
      </c>
      <c r="CH1765" s="5" t="s">
        <v>305</v>
      </c>
      <c r="CI1765" s="5" t="s">
        <v>240</v>
      </c>
      <c r="CL1765" s="6" t="s">
        <v>261</v>
      </c>
      <c r="CM1765" s="5" t="s">
        <v>240</v>
      </c>
      <c r="CN1765" s="5" t="s">
        <v>263</v>
      </c>
      <c r="CO1765" s="5" t="s">
        <v>240</v>
      </c>
      <c r="CP1765" s="5" t="s">
        <v>240</v>
      </c>
      <c r="CQ1765" s="5">
        <v>0</v>
      </c>
      <c r="CR1765" s="5" t="s">
        <v>306</v>
      </c>
      <c r="CS1765" s="5" t="s">
        <v>307</v>
      </c>
      <c r="CT1765" s="5" t="s">
        <v>307</v>
      </c>
      <c r="CU1765" s="5" t="s">
        <v>260</v>
      </c>
      <c r="CX1765" s="7">
        <f>1</f>
        <v>1</v>
      </c>
      <c r="CY1765" s="7">
        <f>0</f>
        <v>0</v>
      </c>
      <c r="DA1765" s="7">
        <f>0</f>
        <v>0</v>
      </c>
      <c r="DC1765" s="5" t="s">
        <v>812</v>
      </c>
      <c r="DD1765" s="5" t="s">
        <v>240</v>
      </c>
      <c r="DF1765" s="5" t="s">
        <v>812</v>
      </c>
      <c r="DG1765" s="7">
        <f>218</f>
        <v>218</v>
      </c>
      <c r="DI1765" s="5" t="s">
        <v>240</v>
      </c>
      <c r="DJ1765" s="5" t="s">
        <v>240</v>
      </c>
      <c r="DK1765" s="5" t="s">
        <v>240</v>
      </c>
      <c r="DL1765" s="5" t="s">
        <v>240</v>
      </c>
      <c r="DP1765" s="5" t="s">
        <v>240</v>
      </c>
      <c r="DQ1765" s="5" t="s">
        <v>240</v>
      </c>
      <c r="DR1765" s="5" t="s">
        <v>240</v>
      </c>
      <c r="DS1765" s="5" t="s">
        <v>240</v>
      </c>
      <c r="DV1765" s="5" t="s">
        <v>813</v>
      </c>
      <c r="DW1765" s="5" t="s">
        <v>3661</v>
      </c>
      <c r="HO1765" s="5" t="s">
        <v>312</v>
      </c>
    </row>
    <row r="1766" spans="1:240" x14ac:dyDescent="0.4">
      <c r="A1766" s="5">
        <v>3441</v>
      </c>
      <c r="B1766" s="5">
        <v>1</v>
      </c>
      <c r="C1766" s="5">
        <v>1</v>
      </c>
      <c r="D1766" s="5" t="s">
        <v>297</v>
      </c>
      <c r="E1766" s="5" t="s">
        <v>245</v>
      </c>
      <c r="F1766" s="5" t="s">
        <v>254</v>
      </c>
      <c r="G1766" s="5" t="s">
        <v>240</v>
      </c>
      <c r="H1766" s="6" t="s">
        <v>4391</v>
      </c>
      <c r="I1766" s="5" t="s">
        <v>295</v>
      </c>
      <c r="J1766" s="8">
        <f>45</f>
        <v>45</v>
      </c>
      <c r="K1766" s="5" t="s">
        <v>308</v>
      </c>
      <c r="L1766" s="7">
        <f>1</f>
        <v>1</v>
      </c>
      <c r="M1766" s="7">
        <f>1</f>
        <v>1</v>
      </c>
      <c r="N1766" s="5" t="s">
        <v>242</v>
      </c>
      <c r="O1766" s="5">
        <v>1</v>
      </c>
      <c r="P1766" s="5" t="s">
        <v>294</v>
      </c>
      <c r="Q1766" s="5" t="s">
        <v>266</v>
      </c>
      <c r="R1766" s="5" t="s">
        <v>240</v>
      </c>
      <c r="S1766" s="5" t="s">
        <v>240</v>
      </c>
      <c r="T1766" s="5" t="s">
        <v>296</v>
      </c>
      <c r="U1766" s="5" t="s">
        <v>244</v>
      </c>
      <c r="V1766" s="5" t="s">
        <v>240</v>
      </c>
      <c r="Y1766" s="5" t="s">
        <v>240</v>
      </c>
      <c r="Z1766" s="6" t="s">
        <v>298</v>
      </c>
      <c r="AB1766" s="6" t="s">
        <v>240</v>
      </c>
      <c r="AE1766" s="6" t="s">
        <v>299</v>
      </c>
      <c r="AF1766" s="5" t="s">
        <v>248</v>
      </c>
      <c r="AG1766" s="5" t="s">
        <v>249</v>
      </c>
      <c r="AW1766" s="5" t="s">
        <v>251</v>
      </c>
      <c r="AX1766" s="5" t="s">
        <v>240</v>
      </c>
      <c r="AY1766" s="5" t="s">
        <v>253</v>
      </c>
      <c r="AZ1766" s="5" t="s">
        <v>240</v>
      </c>
      <c r="BA1766" s="5" t="s">
        <v>255</v>
      </c>
      <c r="BB1766" s="5" t="s">
        <v>240</v>
      </c>
      <c r="BD1766" s="5" t="s">
        <v>240</v>
      </c>
      <c r="BF1766" s="5" t="s">
        <v>301</v>
      </c>
      <c r="BG1766" s="6" t="s">
        <v>299</v>
      </c>
      <c r="BH1766" s="5" t="s">
        <v>302</v>
      </c>
      <c r="BI1766" s="5" t="s">
        <v>303</v>
      </c>
      <c r="BJ1766" s="5" t="s">
        <v>240</v>
      </c>
      <c r="BK1766" s="8">
        <f>0</f>
        <v>0</v>
      </c>
      <c r="BL1766" s="7">
        <f>0</f>
        <v>0</v>
      </c>
      <c r="BM1766" s="5" t="s">
        <v>258</v>
      </c>
      <c r="BN1766" s="5" t="s">
        <v>259</v>
      </c>
      <c r="CB1766" s="5" t="s">
        <v>240</v>
      </c>
      <c r="CC1766" s="5" t="s">
        <v>240</v>
      </c>
      <c r="CG1766" s="5" t="s">
        <v>304</v>
      </c>
      <c r="CH1766" s="5" t="s">
        <v>305</v>
      </c>
      <c r="CI1766" s="5" t="s">
        <v>240</v>
      </c>
      <c r="CL1766" s="6" t="s">
        <v>261</v>
      </c>
      <c r="CM1766" s="5" t="s">
        <v>240</v>
      </c>
      <c r="CN1766" s="5" t="s">
        <v>263</v>
      </c>
      <c r="CO1766" s="5" t="s">
        <v>240</v>
      </c>
      <c r="CP1766" s="5" t="s">
        <v>240</v>
      </c>
      <c r="CQ1766" s="5">
        <v>0</v>
      </c>
      <c r="CR1766" s="5" t="s">
        <v>306</v>
      </c>
      <c r="CS1766" s="5" t="s">
        <v>307</v>
      </c>
      <c r="CT1766" s="5" t="s">
        <v>307</v>
      </c>
      <c r="CU1766" s="5" t="s">
        <v>260</v>
      </c>
      <c r="CX1766" s="7">
        <f>1</f>
        <v>1</v>
      </c>
      <c r="CY1766" s="7">
        <f>0</f>
        <v>0</v>
      </c>
      <c r="DA1766" s="7">
        <f>0</f>
        <v>0</v>
      </c>
      <c r="DC1766" s="5" t="s">
        <v>812</v>
      </c>
      <c r="DD1766" s="5" t="s">
        <v>240</v>
      </c>
      <c r="DF1766" s="5" t="s">
        <v>812</v>
      </c>
      <c r="DG1766" s="7">
        <f>1725</f>
        <v>1725</v>
      </c>
      <c r="DI1766" s="5" t="s">
        <v>240</v>
      </c>
      <c r="DJ1766" s="5" t="s">
        <v>240</v>
      </c>
      <c r="DK1766" s="5" t="s">
        <v>240</v>
      </c>
      <c r="DL1766" s="5" t="s">
        <v>240</v>
      </c>
      <c r="DP1766" s="5" t="s">
        <v>240</v>
      </c>
      <c r="DQ1766" s="5" t="s">
        <v>240</v>
      </c>
      <c r="DR1766" s="5" t="s">
        <v>240</v>
      </c>
      <c r="DS1766" s="5" t="s">
        <v>240</v>
      </c>
      <c r="DV1766" s="5" t="s">
        <v>813</v>
      </c>
      <c r="DW1766" s="5" t="s">
        <v>3663</v>
      </c>
      <c r="HO1766" s="5" t="s">
        <v>312</v>
      </c>
    </row>
    <row r="1767" spans="1:240" x14ac:dyDescent="0.4">
      <c r="A1767" s="5">
        <v>3442</v>
      </c>
      <c r="B1767" s="5">
        <v>1</v>
      </c>
      <c r="C1767" s="5">
        <v>1</v>
      </c>
      <c r="D1767" s="5" t="s">
        <v>297</v>
      </c>
      <c r="E1767" s="5" t="s">
        <v>245</v>
      </c>
      <c r="F1767" s="5" t="s">
        <v>254</v>
      </c>
      <c r="G1767" s="5" t="s">
        <v>240</v>
      </c>
      <c r="H1767" s="6" t="s">
        <v>4390</v>
      </c>
      <c r="I1767" s="5" t="s">
        <v>295</v>
      </c>
      <c r="J1767" s="8">
        <f>1.21</f>
        <v>1.21</v>
      </c>
      <c r="K1767" s="5" t="s">
        <v>308</v>
      </c>
      <c r="L1767" s="7">
        <f>1</f>
        <v>1</v>
      </c>
      <c r="M1767" s="7">
        <f>1</f>
        <v>1</v>
      </c>
      <c r="N1767" s="5" t="s">
        <v>242</v>
      </c>
      <c r="O1767" s="5">
        <v>1</v>
      </c>
      <c r="P1767" s="5" t="s">
        <v>294</v>
      </c>
      <c r="Q1767" s="5" t="s">
        <v>266</v>
      </c>
      <c r="R1767" s="5" t="s">
        <v>240</v>
      </c>
      <c r="S1767" s="5" t="s">
        <v>240</v>
      </c>
      <c r="T1767" s="5" t="s">
        <v>296</v>
      </c>
      <c r="U1767" s="5" t="s">
        <v>244</v>
      </c>
      <c r="V1767" s="5" t="s">
        <v>240</v>
      </c>
      <c r="Y1767" s="5" t="s">
        <v>240</v>
      </c>
      <c r="Z1767" s="6" t="s">
        <v>298</v>
      </c>
      <c r="AB1767" s="6" t="s">
        <v>240</v>
      </c>
      <c r="AE1767" s="6" t="s">
        <v>299</v>
      </c>
      <c r="AF1767" s="5" t="s">
        <v>248</v>
      </c>
      <c r="AG1767" s="5" t="s">
        <v>249</v>
      </c>
      <c r="AW1767" s="5" t="s">
        <v>251</v>
      </c>
      <c r="AX1767" s="5" t="s">
        <v>240</v>
      </c>
      <c r="AY1767" s="5" t="s">
        <v>253</v>
      </c>
      <c r="AZ1767" s="5" t="s">
        <v>240</v>
      </c>
      <c r="BA1767" s="5" t="s">
        <v>255</v>
      </c>
      <c r="BB1767" s="5" t="s">
        <v>240</v>
      </c>
      <c r="BD1767" s="5" t="s">
        <v>240</v>
      </c>
      <c r="BF1767" s="5" t="s">
        <v>301</v>
      </c>
      <c r="BG1767" s="6" t="s">
        <v>299</v>
      </c>
      <c r="BH1767" s="5" t="s">
        <v>302</v>
      </c>
      <c r="BI1767" s="5" t="s">
        <v>303</v>
      </c>
      <c r="BJ1767" s="5" t="s">
        <v>240</v>
      </c>
      <c r="BK1767" s="8">
        <f>0</f>
        <v>0</v>
      </c>
      <c r="BL1767" s="7">
        <f>0</f>
        <v>0</v>
      </c>
      <c r="BM1767" s="5" t="s">
        <v>258</v>
      </c>
      <c r="BN1767" s="5" t="s">
        <v>259</v>
      </c>
      <c r="CB1767" s="5" t="s">
        <v>240</v>
      </c>
      <c r="CC1767" s="5" t="s">
        <v>240</v>
      </c>
      <c r="CG1767" s="5" t="s">
        <v>304</v>
      </c>
      <c r="CH1767" s="5" t="s">
        <v>305</v>
      </c>
      <c r="CI1767" s="5" t="s">
        <v>240</v>
      </c>
      <c r="CL1767" s="6" t="s">
        <v>261</v>
      </c>
      <c r="CM1767" s="5" t="s">
        <v>240</v>
      </c>
      <c r="CN1767" s="5" t="s">
        <v>263</v>
      </c>
      <c r="CO1767" s="5" t="s">
        <v>240</v>
      </c>
      <c r="CP1767" s="5" t="s">
        <v>240</v>
      </c>
      <c r="CQ1767" s="5">
        <v>0</v>
      </c>
      <c r="CR1767" s="5" t="s">
        <v>306</v>
      </c>
      <c r="CS1767" s="5" t="s">
        <v>307</v>
      </c>
      <c r="CT1767" s="5" t="s">
        <v>307</v>
      </c>
      <c r="CU1767" s="5" t="s">
        <v>260</v>
      </c>
      <c r="CX1767" s="7">
        <f>1</f>
        <v>1</v>
      </c>
      <c r="CY1767" s="7">
        <f>0</f>
        <v>0</v>
      </c>
      <c r="DA1767" s="7">
        <f>0</f>
        <v>0</v>
      </c>
      <c r="DC1767" s="5" t="s">
        <v>812</v>
      </c>
      <c r="DD1767" s="5" t="s">
        <v>240</v>
      </c>
      <c r="DF1767" s="5" t="s">
        <v>812</v>
      </c>
      <c r="DG1767" s="7">
        <f>177</f>
        <v>177</v>
      </c>
      <c r="DI1767" s="5" t="s">
        <v>240</v>
      </c>
      <c r="DJ1767" s="5" t="s">
        <v>240</v>
      </c>
      <c r="DK1767" s="5" t="s">
        <v>240</v>
      </c>
      <c r="DL1767" s="5" t="s">
        <v>240</v>
      </c>
      <c r="DP1767" s="5" t="s">
        <v>240</v>
      </c>
      <c r="DQ1767" s="5" t="s">
        <v>240</v>
      </c>
      <c r="DR1767" s="5" t="s">
        <v>240</v>
      </c>
      <c r="DS1767" s="5" t="s">
        <v>240</v>
      </c>
      <c r="DV1767" s="5" t="s">
        <v>813</v>
      </c>
      <c r="DW1767" s="5" t="s">
        <v>3665</v>
      </c>
      <c r="HO1767" s="5" t="s">
        <v>312</v>
      </c>
    </row>
    <row r="1768" spans="1:240" x14ac:dyDescent="0.4">
      <c r="A1768" s="5">
        <v>3443</v>
      </c>
      <c r="B1768" s="5">
        <v>1</v>
      </c>
      <c r="C1768" s="5">
        <v>1</v>
      </c>
      <c r="D1768" s="5" t="s">
        <v>297</v>
      </c>
      <c r="E1768" s="5" t="s">
        <v>245</v>
      </c>
      <c r="F1768" s="5" t="s">
        <v>254</v>
      </c>
      <c r="G1768" s="5" t="s">
        <v>240</v>
      </c>
      <c r="H1768" s="6" t="s">
        <v>4389</v>
      </c>
      <c r="I1768" s="5" t="s">
        <v>295</v>
      </c>
      <c r="J1768" s="8">
        <f>201</f>
        <v>201</v>
      </c>
      <c r="K1768" s="5" t="s">
        <v>308</v>
      </c>
      <c r="L1768" s="7">
        <f>1</f>
        <v>1</v>
      </c>
      <c r="M1768" s="7">
        <f>1</f>
        <v>1</v>
      </c>
      <c r="N1768" s="5" t="s">
        <v>242</v>
      </c>
      <c r="O1768" s="5">
        <v>1</v>
      </c>
      <c r="P1768" s="5" t="s">
        <v>294</v>
      </c>
      <c r="Q1768" s="5" t="s">
        <v>266</v>
      </c>
      <c r="R1768" s="5" t="s">
        <v>240</v>
      </c>
      <c r="S1768" s="5" t="s">
        <v>240</v>
      </c>
      <c r="T1768" s="5" t="s">
        <v>296</v>
      </c>
      <c r="U1768" s="5" t="s">
        <v>244</v>
      </c>
      <c r="V1768" s="5" t="s">
        <v>240</v>
      </c>
      <c r="Y1768" s="5" t="s">
        <v>240</v>
      </c>
      <c r="Z1768" s="6" t="s">
        <v>298</v>
      </c>
      <c r="AB1768" s="6" t="s">
        <v>240</v>
      </c>
      <c r="AE1768" s="6" t="s">
        <v>299</v>
      </c>
      <c r="AF1768" s="5" t="s">
        <v>248</v>
      </c>
      <c r="AG1768" s="5" t="s">
        <v>249</v>
      </c>
      <c r="AW1768" s="5" t="s">
        <v>251</v>
      </c>
      <c r="AX1768" s="5" t="s">
        <v>240</v>
      </c>
      <c r="AY1768" s="5" t="s">
        <v>253</v>
      </c>
      <c r="AZ1768" s="5" t="s">
        <v>240</v>
      </c>
      <c r="BA1768" s="5" t="s">
        <v>255</v>
      </c>
      <c r="BB1768" s="5" t="s">
        <v>240</v>
      </c>
      <c r="BD1768" s="5" t="s">
        <v>240</v>
      </c>
      <c r="BF1768" s="5" t="s">
        <v>301</v>
      </c>
      <c r="BG1768" s="6" t="s">
        <v>299</v>
      </c>
      <c r="BH1768" s="5" t="s">
        <v>302</v>
      </c>
      <c r="BI1768" s="5" t="s">
        <v>303</v>
      </c>
      <c r="BJ1768" s="5" t="s">
        <v>240</v>
      </c>
      <c r="BK1768" s="8">
        <f>0</f>
        <v>0</v>
      </c>
      <c r="BL1768" s="7">
        <f>0</f>
        <v>0</v>
      </c>
      <c r="BM1768" s="5" t="s">
        <v>258</v>
      </c>
      <c r="BN1768" s="5" t="s">
        <v>259</v>
      </c>
      <c r="CB1768" s="5" t="s">
        <v>240</v>
      </c>
      <c r="CC1768" s="5" t="s">
        <v>240</v>
      </c>
      <c r="CG1768" s="5" t="s">
        <v>304</v>
      </c>
      <c r="CH1768" s="5" t="s">
        <v>305</v>
      </c>
      <c r="CI1768" s="5" t="s">
        <v>240</v>
      </c>
      <c r="CL1768" s="6" t="s">
        <v>261</v>
      </c>
      <c r="CM1768" s="5" t="s">
        <v>240</v>
      </c>
      <c r="CN1768" s="5" t="s">
        <v>263</v>
      </c>
      <c r="CO1768" s="5" t="s">
        <v>240</v>
      </c>
      <c r="CP1768" s="5" t="s">
        <v>240</v>
      </c>
      <c r="CQ1768" s="5">
        <v>0</v>
      </c>
      <c r="CR1768" s="5" t="s">
        <v>306</v>
      </c>
      <c r="CS1768" s="5" t="s">
        <v>307</v>
      </c>
      <c r="CT1768" s="5" t="s">
        <v>307</v>
      </c>
      <c r="CU1768" s="5" t="s">
        <v>260</v>
      </c>
      <c r="CX1768" s="7">
        <f>1</f>
        <v>1</v>
      </c>
      <c r="CY1768" s="7">
        <f>0</f>
        <v>0</v>
      </c>
      <c r="DA1768" s="7">
        <f>0</f>
        <v>0</v>
      </c>
      <c r="DC1768" s="5" t="s">
        <v>812</v>
      </c>
      <c r="DD1768" s="5" t="s">
        <v>240</v>
      </c>
      <c r="DF1768" s="5" t="s">
        <v>812</v>
      </c>
      <c r="DG1768" s="7">
        <f>3358</f>
        <v>3358</v>
      </c>
      <c r="DI1768" s="5" t="s">
        <v>240</v>
      </c>
      <c r="DJ1768" s="5" t="s">
        <v>240</v>
      </c>
      <c r="DK1768" s="5" t="s">
        <v>240</v>
      </c>
      <c r="DL1768" s="5" t="s">
        <v>240</v>
      </c>
      <c r="DP1768" s="5" t="s">
        <v>240</v>
      </c>
      <c r="DQ1768" s="5" t="s">
        <v>240</v>
      </c>
      <c r="DR1768" s="5" t="s">
        <v>240</v>
      </c>
      <c r="DS1768" s="5" t="s">
        <v>240</v>
      </c>
      <c r="DV1768" s="5" t="s">
        <v>813</v>
      </c>
      <c r="DW1768" s="5" t="s">
        <v>3667</v>
      </c>
      <c r="HO1768" s="5" t="s">
        <v>312</v>
      </c>
    </row>
    <row r="1769" spans="1:240" x14ac:dyDescent="0.4">
      <c r="A1769" s="5">
        <v>3444</v>
      </c>
      <c r="B1769" s="5">
        <v>1</v>
      </c>
      <c r="C1769" s="5">
        <v>1</v>
      </c>
      <c r="D1769" s="5" t="s">
        <v>297</v>
      </c>
      <c r="E1769" s="5" t="s">
        <v>245</v>
      </c>
      <c r="F1769" s="5" t="s">
        <v>254</v>
      </c>
      <c r="G1769" s="5" t="s">
        <v>240</v>
      </c>
      <c r="H1769" s="6" t="s">
        <v>4388</v>
      </c>
      <c r="I1769" s="5" t="s">
        <v>295</v>
      </c>
      <c r="J1769" s="8">
        <f>74</f>
        <v>74</v>
      </c>
      <c r="K1769" s="5" t="s">
        <v>308</v>
      </c>
      <c r="L1769" s="7">
        <f>1</f>
        <v>1</v>
      </c>
      <c r="M1769" s="7">
        <f>1</f>
        <v>1</v>
      </c>
      <c r="N1769" s="5" t="s">
        <v>242</v>
      </c>
      <c r="O1769" s="5">
        <v>1</v>
      </c>
      <c r="P1769" s="5" t="s">
        <v>294</v>
      </c>
      <c r="Q1769" s="5" t="s">
        <v>266</v>
      </c>
      <c r="R1769" s="5" t="s">
        <v>240</v>
      </c>
      <c r="S1769" s="5" t="s">
        <v>240</v>
      </c>
      <c r="T1769" s="5" t="s">
        <v>296</v>
      </c>
      <c r="U1769" s="5" t="s">
        <v>244</v>
      </c>
      <c r="V1769" s="5" t="s">
        <v>240</v>
      </c>
      <c r="Y1769" s="5" t="s">
        <v>240</v>
      </c>
      <c r="Z1769" s="6" t="s">
        <v>298</v>
      </c>
      <c r="AB1769" s="6" t="s">
        <v>240</v>
      </c>
      <c r="AE1769" s="6" t="s">
        <v>299</v>
      </c>
      <c r="AF1769" s="5" t="s">
        <v>248</v>
      </c>
      <c r="AG1769" s="5" t="s">
        <v>249</v>
      </c>
      <c r="AW1769" s="5" t="s">
        <v>251</v>
      </c>
      <c r="AX1769" s="5" t="s">
        <v>240</v>
      </c>
      <c r="AY1769" s="5" t="s">
        <v>253</v>
      </c>
      <c r="AZ1769" s="5" t="s">
        <v>240</v>
      </c>
      <c r="BA1769" s="5" t="s">
        <v>255</v>
      </c>
      <c r="BB1769" s="5" t="s">
        <v>240</v>
      </c>
      <c r="BD1769" s="5" t="s">
        <v>240</v>
      </c>
      <c r="BF1769" s="5" t="s">
        <v>301</v>
      </c>
      <c r="BG1769" s="6" t="s">
        <v>299</v>
      </c>
      <c r="BH1769" s="5" t="s">
        <v>302</v>
      </c>
      <c r="BI1769" s="5" t="s">
        <v>303</v>
      </c>
      <c r="BJ1769" s="5" t="s">
        <v>240</v>
      </c>
      <c r="BK1769" s="8">
        <f>0</f>
        <v>0</v>
      </c>
      <c r="BL1769" s="7">
        <f>0</f>
        <v>0</v>
      </c>
      <c r="BM1769" s="5" t="s">
        <v>258</v>
      </c>
      <c r="BN1769" s="5" t="s">
        <v>259</v>
      </c>
      <c r="CB1769" s="5" t="s">
        <v>240</v>
      </c>
      <c r="CC1769" s="5" t="s">
        <v>240</v>
      </c>
      <c r="CG1769" s="5" t="s">
        <v>304</v>
      </c>
      <c r="CH1769" s="5" t="s">
        <v>305</v>
      </c>
      <c r="CI1769" s="5" t="s">
        <v>240</v>
      </c>
      <c r="CL1769" s="6" t="s">
        <v>261</v>
      </c>
      <c r="CM1769" s="5" t="s">
        <v>240</v>
      </c>
      <c r="CN1769" s="5" t="s">
        <v>263</v>
      </c>
      <c r="CO1769" s="5" t="s">
        <v>240</v>
      </c>
      <c r="CP1769" s="5" t="s">
        <v>240</v>
      </c>
      <c r="CQ1769" s="5">
        <v>0</v>
      </c>
      <c r="CR1769" s="5" t="s">
        <v>306</v>
      </c>
      <c r="CS1769" s="5" t="s">
        <v>307</v>
      </c>
      <c r="CT1769" s="5" t="s">
        <v>307</v>
      </c>
      <c r="CU1769" s="5" t="s">
        <v>260</v>
      </c>
      <c r="CX1769" s="7">
        <f>1</f>
        <v>1</v>
      </c>
      <c r="CY1769" s="7">
        <f>0</f>
        <v>0</v>
      </c>
      <c r="DA1769" s="7">
        <f>0</f>
        <v>0</v>
      </c>
      <c r="DC1769" s="5" t="s">
        <v>812</v>
      </c>
      <c r="DD1769" s="5" t="s">
        <v>240</v>
      </c>
      <c r="DF1769" s="5" t="s">
        <v>812</v>
      </c>
      <c r="DG1769" s="7">
        <f>65</f>
        <v>65</v>
      </c>
      <c r="DI1769" s="5" t="s">
        <v>240</v>
      </c>
      <c r="DJ1769" s="5" t="s">
        <v>240</v>
      </c>
      <c r="DK1769" s="5" t="s">
        <v>240</v>
      </c>
      <c r="DL1769" s="5" t="s">
        <v>240</v>
      </c>
      <c r="DP1769" s="5" t="s">
        <v>240</v>
      </c>
      <c r="DQ1769" s="5" t="s">
        <v>240</v>
      </c>
      <c r="DR1769" s="5" t="s">
        <v>240</v>
      </c>
      <c r="DS1769" s="5" t="s">
        <v>240</v>
      </c>
      <c r="DV1769" s="5" t="s">
        <v>813</v>
      </c>
      <c r="DW1769" s="5" t="s">
        <v>3669</v>
      </c>
      <c r="HO1769" s="5" t="s">
        <v>312</v>
      </c>
    </row>
    <row r="1770" spans="1:240" x14ac:dyDescent="0.4">
      <c r="A1770" s="5">
        <v>3445</v>
      </c>
      <c r="B1770" s="5">
        <v>1</v>
      </c>
      <c r="C1770" s="5">
        <v>1</v>
      </c>
      <c r="D1770" s="5" t="s">
        <v>297</v>
      </c>
      <c r="E1770" s="5" t="s">
        <v>245</v>
      </c>
      <c r="F1770" s="5" t="s">
        <v>254</v>
      </c>
      <c r="G1770" s="5" t="s">
        <v>240</v>
      </c>
      <c r="H1770" s="6" t="s">
        <v>4387</v>
      </c>
      <c r="I1770" s="5" t="s">
        <v>295</v>
      </c>
      <c r="J1770" s="8">
        <f>11</f>
        <v>11</v>
      </c>
      <c r="K1770" s="5" t="s">
        <v>308</v>
      </c>
      <c r="L1770" s="7">
        <f>1</f>
        <v>1</v>
      </c>
      <c r="M1770" s="7">
        <f>1</f>
        <v>1</v>
      </c>
      <c r="N1770" s="5" t="s">
        <v>242</v>
      </c>
      <c r="O1770" s="5">
        <v>1</v>
      </c>
      <c r="P1770" s="5" t="s">
        <v>294</v>
      </c>
      <c r="Q1770" s="5" t="s">
        <v>266</v>
      </c>
      <c r="R1770" s="5" t="s">
        <v>240</v>
      </c>
      <c r="S1770" s="5" t="s">
        <v>240</v>
      </c>
      <c r="T1770" s="5" t="s">
        <v>296</v>
      </c>
      <c r="U1770" s="5" t="s">
        <v>244</v>
      </c>
      <c r="V1770" s="5" t="s">
        <v>240</v>
      </c>
      <c r="Y1770" s="5" t="s">
        <v>240</v>
      </c>
      <c r="Z1770" s="6" t="s">
        <v>298</v>
      </c>
      <c r="AB1770" s="6" t="s">
        <v>240</v>
      </c>
      <c r="AE1770" s="6" t="s">
        <v>299</v>
      </c>
      <c r="AF1770" s="5" t="s">
        <v>248</v>
      </c>
      <c r="AG1770" s="5" t="s">
        <v>249</v>
      </c>
      <c r="AW1770" s="5" t="s">
        <v>251</v>
      </c>
      <c r="AX1770" s="5" t="s">
        <v>240</v>
      </c>
      <c r="AY1770" s="5" t="s">
        <v>253</v>
      </c>
      <c r="AZ1770" s="5" t="s">
        <v>240</v>
      </c>
      <c r="BA1770" s="5" t="s">
        <v>255</v>
      </c>
      <c r="BB1770" s="5" t="s">
        <v>240</v>
      </c>
      <c r="BD1770" s="5" t="s">
        <v>240</v>
      </c>
      <c r="BF1770" s="5" t="s">
        <v>301</v>
      </c>
      <c r="BG1770" s="6" t="s">
        <v>299</v>
      </c>
      <c r="BH1770" s="5" t="s">
        <v>302</v>
      </c>
      <c r="BI1770" s="5" t="s">
        <v>303</v>
      </c>
      <c r="BJ1770" s="5" t="s">
        <v>240</v>
      </c>
      <c r="BK1770" s="8">
        <f>0</f>
        <v>0</v>
      </c>
      <c r="BL1770" s="7">
        <f>0</f>
        <v>0</v>
      </c>
      <c r="BM1770" s="5" t="s">
        <v>258</v>
      </c>
      <c r="BN1770" s="5" t="s">
        <v>259</v>
      </c>
      <c r="CB1770" s="5" t="s">
        <v>240</v>
      </c>
      <c r="CC1770" s="5" t="s">
        <v>240</v>
      </c>
      <c r="CG1770" s="5" t="s">
        <v>304</v>
      </c>
      <c r="CH1770" s="5" t="s">
        <v>305</v>
      </c>
      <c r="CI1770" s="5" t="s">
        <v>240</v>
      </c>
      <c r="CL1770" s="6" t="s">
        <v>261</v>
      </c>
      <c r="CM1770" s="5" t="s">
        <v>240</v>
      </c>
      <c r="CN1770" s="5" t="s">
        <v>263</v>
      </c>
      <c r="CO1770" s="5" t="s">
        <v>240</v>
      </c>
      <c r="CP1770" s="5" t="s">
        <v>240</v>
      </c>
      <c r="CQ1770" s="5">
        <v>0</v>
      </c>
      <c r="CR1770" s="5" t="s">
        <v>306</v>
      </c>
      <c r="CS1770" s="5" t="s">
        <v>307</v>
      </c>
      <c r="CT1770" s="5" t="s">
        <v>307</v>
      </c>
      <c r="CU1770" s="5" t="s">
        <v>260</v>
      </c>
      <c r="CX1770" s="7">
        <f>1</f>
        <v>1</v>
      </c>
      <c r="CY1770" s="7">
        <f>0</f>
        <v>0</v>
      </c>
      <c r="DA1770" s="7">
        <f>0</f>
        <v>0</v>
      </c>
      <c r="DC1770" s="5" t="s">
        <v>812</v>
      </c>
      <c r="DD1770" s="5" t="s">
        <v>240</v>
      </c>
      <c r="DF1770" s="5" t="s">
        <v>812</v>
      </c>
      <c r="DG1770" s="7">
        <f>640</f>
        <v>640</v>
      </c>
      <c r="DI1770" s="5" t="s">
        <v>240</v>
      </c>
      <c r="DJ1770" s="5" t="s">
        <v>240</v>
      </c>
      <c r="DK1770" s="5" t="s">
        <v>240</v>
      </c>
      <c r="DL1770" s="5" t="s">
        <v>240</v>
      </c>
      <c r="DP1770" s="5" t="s">
        <v>240</v>
      </c>
      <c r="DQ1770" s="5" t="s">
        <v>240</v>
      </c>
      <c r="DR1770" s="5" t="s">
        <v>240</v>
      </c>
      <c r="DS1770" s="5" t="s">
        <v>240</v>
      </c>
      <c r="DV1770" s="5" t="s">
        <v>813</v>
      </c>
      <c r="DW1770" s="5" t="s">
        <v>3671</v>
      </c>
      <c r="HO1770" s="5" t="s">
        <v>312</v>
      </c>
    </row>
    <row r="1771" spans="1:240" x14ac:dyDescent="0.4">
      <c r="A1771" s="5">
        <v>3446</v>
      </c>
      <c r="B1771" s="5">
        <v>1</v>
      </c>
      <c r="C1771" s="5">
        <v>1</v>
      </c>
      <c r="D1771" s="5" t="s">
        <v>297</v>
      </c>
      <c r="E1771" s="5" t="s">
        <v>245</v>
      </c>
      <c r="F1771" s="5" t="s">
        <v>254</v>
      </c>
      <c r="G1771" s="5" t="s">
        <v>240</v>
      </c>
      <c r="H1771" s="6" t="s">
        <v>4386</v>
      </c>
      <c r="I1771" s="5" t="s">
        <v>295</v>
      </c>
      <c r="J1771" s="8">
        <f>1450</f>
        <v>1450</v>
      </c>
      <c r="K1771" s="5" t="s">
        <v>308</v>
      </c>
      <c r="L1771" s="7">
        <f>1</f>
        <v>1</v>
      </c>
      <c r="M1771" s="7">
        <f>1</f>
        <v>1</v>
      </c>
      <c r="N1771" s="5" t="s">
        <v>242</v>
      </c>
      <c r="O1771" s="5">
        <v>1</v>
      </c>
      <c r="P1771" s="5" t="s">
        <v>294</v>
      </c>
      <c r="Q1771" s="5" t="s">
        <v>266</v>
      </c>
      <c r="R1771" s="5" t="s">
        <v>240</v>
      </c>
      <c r="S1771" s="5" t="s">
        <v>240</v>
      </c>
      <c r="T1771" s="5" t="s">
        <v>296</v>
      </c>
      <c r="U1771" s="5" t="s">
        <v>244</v>
      </c>
      <c r="V1771" s="5" t="s">
        <v>240</v>
      </c>
      <c r="Y1771" s="5" t="s">
        <v>240</v>
      </c>
      <c r="Z1771" s="6" t="s">
        <v>298</v>
      </c>
      <c r="AB1771" s="6" t="s">
        <v>240</v>
      </c>
      <c r="AE1771" s="6" t="s">
        <v>299</v>
      </c>
      <c r="AF1771" s="5" t="s">
        <v>248</v>
      </c>
      <c r="AG1771" s="5" t="s">
        <v>249</v>
      </c>
      <c r="AW1771" s="5" t="s">
        <v>251</v>
      </c>
      <c r="AX1771" s="5" t="s">
        <v>240</v>
      </c>
      <c r="AY1771" s="5" t="s">
        <v>253</v>
      </c>
      <c r="AZ1771" s="5" t="s">
        <v>240</v>
      </c>
      <c r="BA1771" s="5" t="s">
        <v>255</v>
      </c>
      <c r="BB1771" s="5" t="s">
        <v>240</v>
      </c>
      <c r="BD1771" s="5" t="s">
        <v>240</v>
      </c>
      <c r="BF1771" s="5" t="s">
        <v>301</v>
      </c>
      <c r="BG1771" s="6" t="s">
        <v>299</v>
      </c>
      <c r="BH1771" s="5" t="s">
        <v>302</v>
      </c>
      <c r="BI1771" s="5" t="s">
        <v>303</v>
      </c>
      <c r="BJ1771" s="5" t="s">
        <v>240</v>
      </c>
      <c r="BK1771" s="8">
        <f>0</f>
        <v>0</v>
      </c>
      <c r="BL1771" s="7">
        <f>0</f>
        <v>0</v>
      </c>
      <c r="BM1771" s="5" t="s">
        <v>258</v>
      </c>
      <c r="BN1771" s="5" t="s">
        <v>259</v>
      </c>
      <c r="CB1771" s="5" t="s">
        <v>240</v>
      </c>
      <c r="CC1771" s="5" t="s">
        <v>240</v>
      </c>
      <c r="CG1771" s="5" t="s">
        <v>304</v>
      </c>
      <c r="CH1771" s="5" t="s">
        <v>305</v>
      </c>
      <c r="CI1771" s="5" t="s">
        <v>240</v>
      </c>
      <c r="CL1771" s="6" t="s">
        <v>261</v>
      </c>
      <c r="CM1771" s="5" t="s">
        <v>240</v>
      </c>
      <c r="CN1771" s="5" t="s">
        <v>263</v>
      </c>
      <c r="CO1771" s="5" t="s">
        <v>240</v>
      </c>
      <c r="CP1771" s="5" t="s">
        <v>240</v>
      </c>
      <c r="CQ1771" s="5">
        <v>0</v>
      </c>
      <c r="CR1771" s="5" t="s">
        <v>306</v>
      </c>
      <c r="CS1771" s="5" t="s">
        <v>307</v>
      </c>
      <c r="CT1771" s="5" t="s">
        <v>307</v>
      </c>
      <c r="CU1771" s="5" t="s">
        <v>260</v>
      </c>
      <c r="CX1771" s="7">
        <f>1</f>
        <v>1</v>
      </c>
      <c r="CY1771" s="7">
        <f>0</f>
        <v>0</v>
      </c>
      <c r="DA1771" s="7">
        <f>0</f>
        <v>0</v>
      </c>
      <c r="DC1771" s="5" t="s">
        <v>812</v>
      </c>
      <c r="DD1771" s="5" t="s">
        <v>240</v>
      </c>
      <c r="DF1771" s="5" t="s">
        <v>812</v>
      </c>
      <c r="DG1771" s="7">
        <f>1677</f>
        <v>1677</v>
      </c>
      <c r="DI1771" s="5" t="s">
        <v>240</v>
      </c>
      <c r="DJ1771" s="5" t="s">
        <v>240</v>
      </c>
      <c r="DK1771" s="5" t="s">
        <v>240</v>
      </c>
      <c r="DL1771" s="5" t="s">
        <v>240</v>
      </c>
      <c r="DP1771" s="5" t="s">
        <v>240</v>
      </c>
      <c r="DQ1771" s="5" t="s">
        <v>240</v>
      </c>
      <c r="DR1771" s="5" t="s">
        <v>240</v>
      </c>
      <c r="DS1771" s="5" t="s">
        <v>240</v>
      </c>
      <c r="DV1771" s="5" t="s">
        <v>813</v>
      </c>
      <c r="DW1771" s="5" t="s">
        <v>3673</v>
      </c>
      <c r="HO1771" s="5" t="s">
        <v>312</v>
      </c>
    </row>
    <row r="1772" spans="1:240" x14ac:dyDescent="0.4">
      <c r="A1772" s="5">
        <v>3447</v>
      </c>
      <c r="B1772" s="5">
        <v>1</v>
      </c>
      <c r="C1772" s="5">
        <v>1</v>
      </c>
      <c r="D1772" s="5" t="s">
        <v>297</v>
      </c>
      <c r="E1772" s="5" t="s">
        <v>245</v>
      </c>
      <c r="F1772" s="5" t="s">
        <v>254</v>
      </c>
      <c r="G1772" s="5" t="s">
        <v>240</v>
      </c>
      <c r="H1772" s="6" t="s">
        <v>4385</v>
      </c>
      <c r="I1772" s="5" t="s">
        <v>295</v>
      </c>
      <c r="J1772" s="8">
        <f>318</f>
        <v>318</v>
      </c>
      <c r="K1772" s="5" t="s">
        <v>308</v>
      </c>
      <c r="L1772" s="7">
        <f>1</f>
        <v>1</v>
      </c>
      <c r="M1772" s="7">
        <f>1</f>
        <v>1</v>
      </c>
      <c r="N1772" s="5" t="s">
        <v>242</v>
      </c>
      <c r="O1772" s="5">
        <v>1</v>
      </c>
      <c r="P1772" s="5" t="s">
        <v>294</v>
      </c>
      <c r="Q1772" s="5" t="s">
        <v>266</v>
      </c>
      <c r="R1772" s="5" t="s">
        <v>240</v>
      </c>
      <c r="S1772" s="5" t="s">
        <v>240</v>
      </c>
      <c r="T1772" s="5" t="s">
        <v>296</v>
      </c>
      <c r="U1772" s="5" t="s">
        <v>244</v>
      </c>
      <c r="V1772" s="5" t="s">
        <v>240</v>
      </c>
      <c r="Y1772" s="5" t="s">
        <v>240</v>
      </c>
      <c r="Z1772" s="6" t="s">
        <v>298</v>
      </c>
      <c r="AB1772" s="6" t="s">
        <v>240</v>
      </c>
      <c r="AE1772" s="6" t="s">
        <v>299</v>
      </c>
      <c r="AF1772" s="5" t="s">
        <v>248</v>
      </c>
      <c r="AG1772" s="5" t="s">
        <v>249</v>
      </c>
      <c r="AW1772" s="5" t="s">
        <v>251</v>
      </c>
      <c r="AX1772" s="5" t="s">
        <v>240</v>
      </c>
      <c r="AY1772" s="5" t="s">
        <v>253</v>
      </c>
      <c r="AZ1772" s="5" t="s">
        <v>240</v>
      </c>
      <c r="BA1772" s="5" t="s">
        <v>255</v>
      </c>
      <c r="BB1772" s="5" t="s">
        <v>240</v>
      </c>
      <c r="BD1772" s="5" t="s">
        <v>240</v>
      </c>
      <c r="BF1772" s="5" t="s">
        <v>301</v>
      </c>
      <c r="BG1772" s="6" t="s">
        <v>299</v>
      </c>
      <c r="BH1772" s="5" t="s">
        <v>302</v>
      </c>
      <c r="BI1772" s="5" t="s">
        <v>303</v>
      </c>
      <c r="BJ1772" s="5" t="s">
        <v>240</v>
      </c>
      <c r="BK1772" s="8">
        <f>0</f>
        <v>0</v>
      </c>
      <c r="BL1772" s="7">
        <f>0</f>
        <v>0</v>
      </c>
      <c r="BM1772" s="5" t="s">
        <v>258</v>
      </c>
      <c r="BN1772" s="5" t="s">
        <v>259</v>
      </c>
      <c r="CB1772" s="5" t="s">
        <v>240</v>
      </c>
      <c r="CC1772" s="5" t="s">
        <v>240</v>
      </c>
      <c r="CG1772" s="5" t="s">
        <v>304</v>
      </c>
      <c r="CH1772" s="5" t="s">
        <v>305</v>
      </c>
      <c r="CI1772" s="5" t="s">
        <v>240</v>
      </c>
      <c r="CL1772" s="6" t="s">
        <v>261</v>
      </c>
      <c r="CM1772" s="5" t="s">
        <v>240</v>
      </c>
      <c r="CN1772" s="5" t="s">
        <v>263</v>
      </c>
      <c r="CO1772" s="5" t="s">
        <v>240</v>
      </c>
      <c r="CP1772" s="5" t="s">
        <v>240</v>
      </c>
      <c r="CQ1772" s="5">
        <v>0</v>
      </c>
      <c r="CR1772" s="5" t="s">
        <v>306</v>
      </c>
      <c r="CS1772" s="5" t="s">
        <v>307</v>
      </c>
      <c r="CT1772" s="5" t="s">
        <v>307</v>
      </c>
      <c r="CU1772" s="5" t="s">
        <v>260</v>
      </c>
      <c r="CX1772" s="7">
        <f>1</f>
        <v>1</v>
      </c>
      <c r="CY1772" s="7">
        <f>0</f>
        <v>0</v>
      </c>
      <c r="DA1772" s="7">
        <f>0</f>
        <v>0</v>
      </c>
      <c r="DC1772" s="5" t="s">
        <v>812</v>
      </c>
      <c r="DD1772" s="5" t="s">
        <v>240</v>
      </c>
      <c r="DF1772" s="5" t="s">
        <v>812</v>
      </c>
      <c r="DG1772" s="7">
        <f>218</f>
        <v>218</v>
      </c>
      <c r="DI1772" s="5" t="s">
        <v>240</v>
      </c>
      <c r="DJ1772" s="5" t="s">
        <v>240</v>
      </c>
      <c r="DK1772" s="5" t="s">
        <v>240</v>
      </c>
      <c r="DL1772" s="5" t="s">
        <v>240</v>
      </c>
      <c r="DP1772" s="5" t="s">
        <v>240</v>
      </c>
      <c r="DQ1772" s="5" t="s">
        <v>240</v>
      </c>
      <c r="DR1772" s="5" t="s">
        <v>240</v>
      </c>
      <c r="DS1772" s="5" t="s">
        <v>240</v>
      </c>
      <c r="DV1772" s="5" t="s">
        <v>813</v>
      </c>
      <c r="DW1772" s="5" t="s">
        <v>3675</v>
      </c>
      <c r="HO1772" s="5" t="s">
        <v>312</v>
      </c>
    </row>
    <row r="1773" spans="1:240" x14ac:dyDescent="0.4">
      <c r="A1773" s="5">
        <v>3448</v>
      </c>
      <c r="B1773" s="5">
        <v>1</v>
      </c>
      <c r="C1773" s="5">
        <v>1</v>
      </c>
      <c r="D1773" s="5" t="s">
        <v>297</v>
      </c>
      <c r="E1773" s="5" t="s">
        <v>245</v>
      </c>
      <c r="F1773" s="5" t="s">
        <v>254</v>
      </c>
      <c r="G1773" s="5" t="s">
        <v>240</v>
      </c>
      <c r="H1773" s="6" t="s">
        <v>4384</v>
      </c>
      <c r="I1773" s="5" t="s">
        <v>295</v>
      </c>
      <c r="J1773" s="8">
        <f>3127</f>
        <v>3127</v>
      </c>
      <c r="K1773" s="5" t="s">
        <v>308</v>
      </c>
      <c r="L1773" s="7">
        <f>1</f>
        <v>1</v>
      </c>
      <c r="M1773" s="7">
        <f>1</f>
        <v>1</v>
      </c>
      <c r="N1773" s="5" t="s">
        <v>242</v>
      </c>
      <c r="O1773" s="5">
        <v>1</v>
      </c>
      <c r="P1773" s="5" t="s">
        <v>294</v>
      </c>
      <c r="Q1773" s="5" t="s">
        <v>266</v>
      </c>
      <c r="R1773" s="5" t="s">
        <v>240</v>
      </c>
      <c r="S1773" s="5" t="s">
        <v>240</v>
      </c>
      <c r="T1773" s="5" t="s">
        <v>296</v>
      </c>
      <c r="U1773" s="5" t="s">
        <v>244</v>
      </c>
      <c r="V1773" s="5" t="s">
        <v>240</v>
      </c>
      <c r="Y1773" s="5" t="s">
        <v>240</v>
      </c>
      <c r="Z1773" s="6" t="s">
        <v>298</v>
      </c>
      <c r="AB1773" s="6" t="s">
        <v>240</v>
      </c>
      <c r="AE1773" s="6" t="s">
        <v>299</v>
      </c>
      <c r="AF1773" s="5" t="s">
        <v>248</v>
      </c>
      <c r="AG1773" s="5" t="s">
        <v>249</v>
      </c>
      <c r="AW1773" s="5" t="s">
        <v>251</v>
      </c>
      <c r="AX1773" s="5" t="s">
        <v>240</v>
      </c>
      <c r="AY1773" s="5" t="s">
        <v>253</v>
      </c>
      <c r="AZ1773" s="5" t="s">
        <v>240</v>
      </c>
      <c r="BA1773" s="5" t="s">
        <v>255</v>
      </c>
      <c r="BB1773" s="5" t="s">
        <v>240</v>
      </c>
      <c r="BD1773" s="5" t="s">
        <v>240</v>
      </c>
      <c r="BF1773" s="5" t="s">
        <v>301</v>
      </c>
      <c r="BG1773" s="6" t="s">
        <v>299</v>
      </c>
      <c r="BH1773" s="5" t="s">
        <v>302</v>
      </c>
      <c r="BI1773" s="5" t="s">
        <v>303</v>
      </c>
      <c r="BJ1773" s="5" t="s">
        <v>240</v>
      </c>
      <c r="BK1773" s="8">
        <f>0</f>
        <v>0</v>
      </c>
      <c r="BL1773" s="7">
        <f>0</f>
        <v>0</v>
      </c>
      <c r="BM1773" s="5" t="s">
        <v>258</v>
      </c>
      <c r="BN1773" s="5" t="s">
        <v>259</v>
      </c>
      <c r="CB1773" s="5" t="s">
        <v>240</v>
      </c>
      <c r="CC1773" s="5" t="s">
        <v>240</v>
      </c>
      <c r="CG1773" s="5" t="s">
        <v>304</v>
      </c>
      <c r="CH1773" s="5" t="s">
        <v>305</v>
      </c>
      <c r="CI1773" s="5" t="s">
        <v>240</v>
      </c>
      <c r="CL1773" s="6" t="s">
        <v>261</v>
      </c>
      <c r="CM1773" s="5" t="s">
        <v>240</v>
      </c>
      <c r="CN1773" s="5" t="s">
        <v>263</v>
      </c>
      <c r="CO1773" s="5" t="s">
        <v>240</v>
      </c>
      <c r="CP1773" s="5" t="s">
        <v>240</v>
      </c>
      <c r="CQ1773" s="5">
        <v>0</v>
      </c>
      <c r="CR1773" s="5" t="s">
        <v>306</v>
      </c>
      <c r="CS1773" s="5" t="s">
        <v>307</v>
      </c>
      <c r="CT1773" s="5" t="s">
        <v>307</v>
      </c>
      <c r="CU1773" s="5" t="s">
        <v>260</v>
      </c>
      <c r="CX1773" s="7">
        <f>1</f>
        <v>1</v>
      </c>
      <c r="CY1773" s="7">
        <f>0</f>
        <v>0</v>
      </c>
      <c r="DA1773" s="7">
        <f>0</f>
        <v>0</v>
      </c>
      <c r="DC1773" s="5" t="s">
        <v>812</v>
      </c>
      <c r="DD1773" s="5" t="s">
        <v>240</v>
      </c>
      <c r="DF1773" s="5" t="s">
        <v>812</v>
      </c>
      <c r="DG1773" s="7">
        <f>219</f>
        <v>219</v>
      </c>
      <c r="DI1773" s="5" t="s">
        <v>240</v>
      </c>
      <c r="DJ1773" s="5" t="s">
        <v>240</v>
      </c>
      <c r="DK1773" s="5" t="s">
        <v>240</v>
      </c>
      <c r="DL1773" s="5" t="s">
        <v>240</v>
      </c>
      <c r="DP1773" s="5" t="s">
        <v>240</v>
      </c>
      <c r="DQ1773" s="5" t="s">
        <v>240</v>
      </c>
      <c r="DR1773" s="5" t="s">
        <v>240</v>
      </c>
      <c r="DS1773" s="5" t="s">
        <v>240</v>
      </c>
      <c r="DV1773" s="5" t="s">
        <v>813</v>
      </c>
      <c r="DW1773" s="5" t="s">
        <v>3677</v>
      </c>
      <c r="HO1773" s="5" t="s">
        <v>312</v>
      </c>
    </row>
    <row r="1774" spans="1:240" x14ac:dyDescent="0.4">
      <c r="A1774" s="5">
        <v>3449</v>
      </c>
      <c r="B1774" s="5">
        <v>1</v>
      </c>
      <c r="C1774" s="5">
        <v>1</v>
      </c>
      <c r="D1774" s="5" t="s">
        <v>297</v>
      </c>
      <c r="E1774" s="5" t="s">
        <v>245</v>
      </c>
      <c r="F1774" s="5" t="s">
        <v>254</v>
      </c>
      <c r="G1774" s="5" t="s">
        <v>240</v>
      </c>
      <c r="H1774" s="6" t="s">
        <v>4383</v>
      </c>
      <c r="I1774" s="5" t="s">
        <v>295</v>
      </c>
      <c r="J1774" s="8">
        <f>570</f>
        <v>570</v>
      </c>
      <c r="K1774" s="5" t="s">
        <v>308</v>
      </c>
      <c r="L1774" s="7">
        <f>1</f>
        <v>1</v>
      </c>
      <c r="M1774" s="7">
        <f>1</f>
        <v>1</v>
      </c>
      <c r="N1774" s="5" t="s">
        <v>242</v>
      </c>
      <c r="O1774" s="5">
        <v>1</v>
      </c>
      <c r="P1774" s="5" t="s">
        <v>294</v>
      </c>
      <c r="Q1774" s="5" t="s">
        <v>3678</v>
      </c>
      <c r="R1774" s="5" t="s">
        <v>240</v>
      </c>
      <c r="S1774" s="5" t="s">
        <v>240</v>
      </c>
      <c r="T1774" s="5" t="s">
        <v>243</v>
      </c>
      <c r="U1774" s="5" t="s">
        <v>244</v>
      </c>
      <c r="V1774" s="5" t="s">
        <v>240</v>
      </c>
      <c r="W1774" s="5" t="s">
        <v>240</v>
      </c>
      <c r="X1774" s="5" t="s">
        <v>240</v>
      </c>
      <c r="Y1774" s="5" t="s">
        <v>240</v>
      </c>
      <c r="Z1774" s="6" t="s">
        <v>298</v>
      </c>
      <c r="AA1774" s="6" t="s">
        <v>240</v>
      </c>
      <c r="AB1774" s="6" t="s">
        <v>240</v>
      </c>
      <c r="AC1774" s="5" t="s">
        <v>240</v>
      </c>
      <c r="AD1774" s="6" t="s">
        <v>240</v>
      </c>
      <c r="AE1774" s="6" t="s">
        <v>299</v>
      </c>
      <c r="AF1774" s="5" t="s">
        <v>248</v>
      </c>
      <c r="AG1774" s="5" t="s">
        <v>249</v>
      </c>
      <c r="AH1774" s="5" t="s">
        <v>240</v>
      </c>
      <c r="AI1774" s="5" t="s">
        <v>240</v>
      </c>
      <c r="AJ1774" s="5" t="s">
        <v>240</v>
      </c>
      <c r="AK1774" s="5" t="s">
        <v>240</v>
      </c>
      <c r="AL1774" s="5" t="s">
        <v>240</v>
      </c>
      <c r="AM1774" s="5" t="s">
        <v>240</v>
      </c>
      <c r="AN1774" s="5" t="s">
        <v>240</v>
      </c>
      <c r="AO1774" s="5" t="s">
        <v>240</v>
      </c>
      <c r="AP1774" s="6" t="s">
        <v>240</v>
      </c>
      <c r="AQ1774" s="6" t="s">
        <v>240</v>
      </c>
      <c r="AR1774" s="6" t="s">
        <v>240</v>
      </c>
      <c r="AS1774" s="6" t="s">
        <v>240</v>
      </c>
      <c r="AT1774" s="5" t="s">
        <v>240</v>
      </c>
      <c r="AU1774" s="5" t="s">
        <v>729</v>
      </c>
      <c r="AV1774" s="5" t="s">
        <v>729</v>
      </c>
      <c r="AW1774" s="5" t="s">
        <v>251</v>
      </c>
      <c r="AX1774" s="5" t="s">
        <v>252</v>
      </c>
      <c r="AY1774" s="5" t="s">
        <v>253</v>
      </c>
      <c r="AZ1774" s="5" t="s">
        <v>240</v>
      </c>
      <c r="BA1774" s="5" t="s">
        <v>255</v>
      </c>
      <c r="BB1774" s="5" t="s">
        <v>731</v>
      </c>
      <c r="BD1774" s="5" t="s">
        <v>240</v>
      </c>
      <c r="BF1774" s="5" t="s">
        <v>732</v>
      </c>
      <c r="BG1774" s="6" t="s">
        <v>733</v>
      </c>
      <c r="BH1774" s="5" t="s">
        <v>734</v>
      </c>
      <c r="BI1774" s="5" t="s">
        <v>734</v>
      </c>
      <c r="BJ1774" s="5" t="s">
        <v>240</v>
      </c>
      <c r="BK1774" s="7">
        <f>1</f>
        <v>1</v>
      </c>
      <c r="BL1774" s="7">
        <f>1</f>
        <v>1</v>
      </c>
      <c r="BM1774" s="5" t="s">
        <v>258</v>
      </c>
      <c r="BN1774" s="5" t="s">
        <v>259</v>
      </c>
      <c r="BO1774" s="5" t="s">
        <v>240</v>
      </c>
      <c r="BP1774" s="5" t="s">
        <v>240</v>
      </c>
      <c r="BQ1774" s="5" t="s">
        <v>240</v>
      </c>
      <c r="BR1774" s="5" t="s">
        <v>240</v>
      </c>
      <c r="BS1774" s="5" t="s">
        <v>240</v>
      </c>
      <c r="BT1774" s="5" t="s">
        <v>240</v>
      </c>
      <c r="BU1774" s="5" t="s">
        <v>240</v>
      </c>
      <c r="BV1774" s="5" t="s">
        <v>240</v>
      </c>
      <c r="BW1774" s="6" t="s">
        <v>240</v>
      </c>
      <c r="BX1774" s="5" t="s">
        <v>240</v>
      </c>
      <c r="BY1774" s="5" t="s">
        <v>240</v>
      </c>
      <c r="BZ1774" s="5" t="s">
        <v>240</v>
      </c>
      <c r="CA1774" s="5" t="s">
        <v>259</v>
      </c>
      <c r="CB1774" s="5" t="s">
        <v>240</v>
      </c>
      <c r="CC1774" s="5" t="s">
        <v>240</v>
      </c>
      <c r="CD1774" s="5" t="s">
        <v>240</v>
      </c>
      <c r="CE1774" s="5" t="s">
        <v>240</v>
      </c>
      <c r="CF1774" s="5" t="s">
        <v>240</v>
      </c>
      <c r="CG1774" s="5" t="s">
        <v>304</v>
      </c>
      <c r="CH1774" s="5" t="s">
        <v>305</v>
      </c>
      <c r="CI1774" s="5" t="s">
        <v>240</v>
      </c>
      <c r="CK1774" s="5" t="s">
        <v>3681</v>
      </c>
      <c r="CL1774" s="6" t="s">
        <v>261</v>
      </c>
      <c r="CM1774" s="5" t="s">
        <v>262</v>
      </c>
      <c r="CN1774" s="5" t="s">
        <v>263</v>
      </c>
      <c r="CO1774" s="5" t="s">
        <v>264</v>
      </c>
      <c r="CP1774" s="5" t="s">
        <v>240</v>
      </c>
      <c r="CQ1774" s="5">
        <v>0</v>
      </c>
      <c r="CR1774" s="5" t="s">
        <v>735</v>
      </c>
      <c r="CS1774" s="5" t="s">
        <v>307</v>
      </c>
      <c r="CT1774" s="5" t="s">
        <v>307</v>
      </c>
      <c r="CU1774" s="5" t="s">
        <v>260</v>
      </c>
      <c r="CV1774" s="5" t="s">
        <v>612</v>
      </c>
      <c r="CW1774" s="8">
        <f>1</f>
        <v>1</v>
      </c>
      <c r="CX1774" s="7">
        <f>1</f>
        <v>1</v>
      </c>
      <c r="CY1774" s="7">
        <f>0</f>
        <v>0</v>
      </c>
      <c r="DA1774" s="7">
        <f>1</f>
        <v>1</v>
      </c>
      <c r="DB1774" s="7" t="s">
        <v>240</v>
      </c>
      <c r="DC1774" s="5" t="s">
        <v>240</v>
      </c>
      <c r="DD1774" s="5" t="s">
        <v>240</v>
      </c>
      <c r="DE1774" s="5" t="s">
        <v>240</v>
      </c>
      <c r="DF1774" s="5" t="s">
        <v>240</v>
      </c>
      <c r="DG1774" s="7">
        <f>0</f>
        <v>0</v>
      </c>
      <c r="DI1774" s="5" t="s">
        <v>240</v>
      </c>
      <c r="DJ1774" s="5" t="s">
        <v>240</v>
      </c>
      <c r="DK1774" s="5" t="s">
        <v>240</v>
      </c>
      <c r="DL1774" s="5" t="s">
        <v>240</v>
      </c>
      <c r="DM1774" s="5" t="s">
        <v>240</v>
      </c>
      <c r="DN1774" s="5" t="s">
        <v>240</v>
      </c>
      <c r="DO1774" s="7" t="s">
        <v>240</v>
      </c>
      <c r="DP1774" s="5" t="s">
        <v>240</v>
      </c>
      <c r="DQ1774" s="5" t="s">
        <v>240</v>
      </c>
      <c r="DR1774" s="5" t="s">
        <v>731</v>
      </c>
      <c r="DS1774" s="5" t="s">
        <v>731</v>
      </c>
      <c r="DT1774" s="5" t="s">
        <v>240</v>
      </c>
      <c r="DU1774" s="5" t="s">
        <v>240</v>
      </c>
      <c r="DV1774" s="5" t="s">
        <v>3683</v>
      </c>
      <c r="DW1774" s="5" t="s">
        <v>1036</v>
      </c>
      <c r="DX1774" s="5" t="s">
        <v>240</v>
      </c>
      <c r="DY1774" s="5" t="s">
        <v>240</v>
      </c>
      <c r="DZ1774" s="5" t="s">
        <v>240</v>
      </c>
      <c r="EA1774" s="5" t="s">
        <v>240</v>
      </c>
      <c r="EB1774" s="5" t="s">
        <v>240</v>
      </c>
      <c r="EC1774" s="5" t="s">
        <v>240</v>
      </c>
      <c r="ED1774" s="5" t="s">
        <v>240</v>
      </c>
      <c r="EE1774" s="5" t="s">
        <v>240</v>
      </c>
      <c r="EF1774" s="5" t="s">
        <v>240</v>
      </c>
      <c r="EG1774" s="5" t="s">
        <v>240</v>
      </c>
      <c r="EH1774" s="5" t="s">
        <v>240</v>
      </c>
      <c r="EI1774" s="5" t="s">
        <v>240</v>
      </c>
      <c r="EJ1774" s="5" t="s">
        <v>240</v>
      </c>
      <c r="EK1774" s="5" t="s">
        <v>240</v>
      </c>
      <c r="EL1774" s="5" t="s">
        <v>240</v>
      </c>
      <c r="EM1774" s="5" t="s">
        <v>240</v>
      </c>
      <c r="EN1774" s="5" t="s">
        <v>240</v>
      </c>
      <c r="EO1774" s="5" t="s">
        <v>240</v>
      </c>
      <c r="EP1774" s="5" t="s">
        <v>240</v>
      </c>
      <c r="EQ1774" s="5" t="s">
        <v>240</v>
      </c>
      <c r="ER1774" s="5" t="s">
        <v>240</v>
      </c>
      <c r="ES1774" s="5" t="s">
        <v>240</v>
      </c>
      <c r="ET1774" s="5" t="s">
        <v>240</v>
      </c>
      <c r="EU1774" s="5" t="s">
        <v>240</v>
      </c>
      <c r="EV1774" s="5" t="s">
        <v>240</v>
      </c>
      <c r="EW1774" s="5" t="s">
        <v>240</v>
      </c>
      <c r="EX1774" s="5" t="s">
        <v>240</v>
      </c>
      <c r="EY1774" s="5" t="s">
        <v>240</v>
      </c>
      <c r="EZ1774" s="5" t="s">
        <v>240</v>
      </c>
      <c r="FA1774" s="5" t="s">
        <v>240</v>
      </c>
      <c r="FB1774" s="5" t="s">
        <v>240</v>
      </c>
      <c r="FC1774" s="5" t="s">
        <v>240</v>
      </c>
      <c r="FD1774" s="5" t="s">
        <v>240</v>
      </c>
      <c r="FE1774" s="5" t="s">
        <v>240</v>
      </c>
      <c r="FF1774" s="5" t="s">
        <v>240</v>
      </c>
      <c r="FG1774" s="5" t="s">
        <v>240</v>
      </c>
      <c r="FH1774" s="5" t="s">
        <v>240</v>
      </c>
      <c r="FI1774" s="5" t="s">
        <v>240</v>
      </c>
      <c r="FJ1774" s="5" t="s">
        <v>240</v>
      </c>
      <c r="FK1774" s="5" t="s">
        <v>240</v>
      </c>
      <c r="FL1774" s="5" t="s">
        <v>240</v>
      </c>
      <c r="FM1774" s="5" t="s">
        <v>240</v>
      </c>
      <c r="FN1774" s="5" t="s">
        <v>240</v>
      </c>
      <c r="FO1774" s="5" t="s">
        <v>240</v>
      </c>
      <c r="FP1774" s="5" t="s">
        <v>240</v>
      </c>
      <c r="FQ1774" s="5" t="s">
        <v>240</v>
      </c>
      <c r="FR1774" s="5" t="s">
        <v>240</v>
      </c>
      <c r="FS1774" s="5" t="s">
        <v>240</v>
      </c>
      <c r="FT1774" s="5" t="s">
        <v>240</v>
      </c>
      <c r="FU1774" s="5" t="s">
        <v>240</v>
      </c>
      <c r="FV1774" s="5" t="s">
        <v>240</v>
      </c>
      <c r="FW1774" s="5" t="s">
        <v>240</v>
      </c>
      <c r="FX1774" s="5" t="s">
        <v>240</v>
      </c>
      <c r="FY1774" s="5" t="s">
        <v>240</v>
      </c>
      <c r="FZ1774" s="5" t="s">
        <v>240</v>
      </c>
      <c r="GA1774" s="5" t="s">
        <v>240</v>
      </c>
      <c r="GB1774" s="5" t="s">
        <v>240</v>
      </c>
      <c r="GC1774" s="5" t="s">
        <v>240</v>
      </c>
      <c r="GD1774" s="5" t="s">
        <v>240</v>
      </c>
      <c r="GE1774" s="5" t="s">
        <v>240</v>
      </c>
      <c r="GF1774" s="5" t="s">
        <v>240</v>
      </c>
      <c r="GG1774" s="5" t="s">
        <v>240</v>
      </c>
      <c r="GH1774" s="5" t="s">
        <v>240</v>
      </c>
      <c r="GI1774" s="5" t="s">
        <v>240</v>
      </c>
      <c r="GJ1774" s="5" t="s">
        <v>240</v>
      </c>
      <c r="GK1774" s="5" t="s">
        <v>240</v>
      </c>
      <c r="GL1774" s="5" t="s">
        <v>240</v>
      </c>
      <c r="GM1774" s="5" t="s">
        <v>240</v>
      </c>
      <c r="GN1774" s="5" t="s">
        <v>240</v>
      </c>
      <c r="GO1774" s="5" t="s">
        <v>240</v>
      </c>
      <c r="GP1774" s="5" t="s">
        <v>240</v>
      </c>
      <c r="GQ1774" s="5" t="s">
        <v>240</v>
      </c>
      <c r="GR1774" s="5" t="s">
        <v>240</v>
      </c>
      <c r="GS1774" s="5" t="s">
        <v>240</v>
      </c>
      <c r="GT1774" s="5" t="s">
        <v>240</v>
      </c>
      <c r="GU1774" s="5" t="s">
        <v>240</v>
      </c>
      <c r="GV1774" s="5" t="s">
        <v>240</v>
      </c>
      <c r="GW1774" s="5" t="s">
        <v>240</v>
      </c>
      <c r="GX1774" s="5" t="s">
        <v>240</v>
      </c>
      <c r="GY1774" s="5" t="s">
        <v>240</v>
      </c>
      <c r="GZ1774" s="5" t="s">
        <v>240</v>
      </c>
      <c r="HA1774" s="5" t="s">
        <v>240</v>
      </c>
      <c r="HB1774" s="5" t="s">
        <v>240</v>
      </c>
      <c r="HC1774" s="5" t="s">
        <v>240</v>
      </c>
      <c r="HD1774" s="5" t="s">
        <v>240</v>
      </c>
      <c r="HE1774" s="5" t="s">
        <v>240</v>
      </c>
      <c r="HF1774" s="5" t="s">
        <v>240</v>
      </c>
      <c r="HG1774" s="5" t="s">
        <v>240</v>
      </c>
      <c r="HH1774" s="5" t="s">
        <v>240</v>
      </c>
      <c r="HI1774" s="5" t="s">
        <v>240</v>
      </c>
      <c r="HJ1774" s="5" t="s">
        <v>240</v>
      </c>
      <c r="HK1774" s="5" t="s">
        <v>240</v>
      </c>
      <c r="HL1774" s="5" t="s">
        <v>240</v>
      </c>
      <c r="HM1774" s="5" t="s">
        <v>240</v>
      </c>
      <c r="HN1774" s="5" t="s">
        <v>240</v>
      </c>
      <c r="HO1774" s="5" t="s">
        <v>312</v>
      </c>
      <c r="HP1774" s="5" t="s">
        <v>240</v>
      </c>
      <c r="HQ1774" s="5" t="s">
        <v>240</v>
      </c>
      <c r="HR1774" s="5" t="s">
        <v>240</v>
      </c>
      <c r="HS1774" s="5" t="s">
        <v>240</v>
      </c>
      <c r="HT1774" s="5" t="s">
        <v>240</v>
      </c>
      <c r="HU1774" s="5" t="s">
        <v>240</v>
      </c>
      <c r="HV1774" s="5" t="s">
        <v>240</v>
      </c>
      <c r="HW1774" s="5" t="s">
        <v>240</v>
      </c>
      <c r="HX1774" s="5" t="s">
        <v>240</v>
      </c>
      <c r="HY1774" s="5" t="s">
        <v>240</v>
      </c>
      <c r="HZ1774" s="5" t="s">
        <v>240</v>
      </c>
      <c r="IA1774" s="5" t="s">
        <v>240</v>
      </c>
      <c r="IB1774" s="5" t="s">
        <v>240</v>
      </c>
      <c r="IC1774" s="5" t="s">
        <v>240</v>
      </c>
      <c r="ID1774" s="5" t="s">
        <v>240</v>
      </c>
      <c r="IE1774" s="5" t="s">
        <v>240</v>
      </c>
      <c r="IF1774" s="5" t="s">
        <v>240</v>
      </c>
    </row>
    <row r="1775" spans="1:240" x14ac:dyDescent="0.4">
      <c r="A1775" s="5">
        <v>3450</v>
      </c>
      <c r="B1775" s="5">
        <v>1</v>
      </c>
      <c r="C1775" s="5">
        <v>1</v>
      </c>
      <c r="D1775" s="5" t="s">
        <v>297</v>
      </c>
      <c r="E1775" s="5" t="s">
        <v>245</v>
      </c>
      <c r="F1775" s="5" t="s">
        <v>254</v>
      </c>
      <c r="G1775" s="5" t="s">
        <v>240</v>
      </c>
      <c r="H1775" s="6" t="s">
        <v>4382</v>
      </c>
      <c r="I1775" s="5" t="s">
        <v>295</v>
      </c>
      <c r="J1775" s="8">
        <f>2876</f>
        <v>2876</v>
      </c>
      <c r="K1775" s="5" t="s">
        <v>308</v>
      </c>
      <c r="L1775" s="7">
        <f>1</f>
        <v>1</v>
      </c>
      <c r="M1775" s="7">
        <f>1</f>
        <v>1</v>
      </c>
      <c r="N1775" s="5" t="s">
        <v>242</v>
      </c>
      <c r="O1775" s="5">
        <v>1</v>
      </c>
      <c r="P1775" s="5" t="s">
        <v>294</v>
      </c>
      <c r="Q1775" s="5" t="s">
        <v>266</v>
      </c>
      <c r="R1775" s="5" t="s">
        <v>240</v>
      </c>
      <c r="S1775" s="5" t="s">
        <v>240</v>
      </c>
      <c r="T1775" s="5" t="s">
        <v>296</v>
      </c>
      <c r="U1775" s="5" t="s">
        <v>244</v>
      </c>
      <c r="V1775" s="5" t="s">
        <v>240</v>
      </c>
      <c r="Y1775" s="5" t="s">
        <v>240</v>
      </c>
      <c r="Z1775" s="6" t="s">
        <v>298</v>
      </c>
      <c r="AB1775" s="6" t="s">
        <v>240</v>
      </c>
      <c r="AE1775" s="6" t="s">
        <v>299</v>
      </c>
      <c r="AF1775" s="5" t="s">
        <v>248</v>
      </c>
      <c r="AG1775" s="5" t="s">
        <v>249</v>
      </c>
      <c r="AW1775" s="5" t="s">
        <v>251</v>
      </c>
      <c r="AX1775" s="5" t="s">
        <v>240</v>
      </c>
      <c r="AY1775" s="5" t="s">
        <v>253</v>
      </c>
      <c r="AZ1775" s="5" t="s">
        <v>240</v>
      </c>
      <c r="BA1775" s="5" t="s">
        <v>255</v>
      </c>
      <c r="BB1775" s="5" t="s">
        <v>240</v>
      </c>
      <c r="BD1775" s="5" t="s">
        <v>240</v>
      </c>
      <c r="BF1775" s="5" t="s">
        <v>301</v>
      </c>
      <c r="BG1775" s="6" t="s">
        <v>299</v>
      </c>
      <c r="BH1775" s="5" t="s">
        <v>302</v>
      </c>
      <c r="BI1775" s="5" t="s">
        <v>303</v>
      </c>
      <c r="BJ1775" s="5" t="s">
        <v>240</v>
      </c>
      <c r="BK1775" s="8">
        <f>0</f>
        <v>0</v>
      </c>
      <c r="BL1775" s="7">
        <f>0</f>
        <v>0</v>
      </c>
      <c r="BM1775" s="5" t="s">
        <v>258</v>
      </c>
      <c r="BN1775" s="5" t="s">
        <v>259</v>
      </c>
      <c r="CB1775" s="5" t="s">
        <v>240</v>
      </c>
      <c r="CC1775" s="5" t="s">
        <v>240</v>
      </c>
      <c r="CG1775" s="5" t="s">
        <v>304</v>
      </c>
      <c r="CH1775" s="5" t="s">
        <v>305</v>
      </c>
      <c r="CI1775" s="5" t="s">
        <v>240</v>
      </c>
      <c r="CL1775" s="6" t="s">
        <v>261</v>
      </c>
      <c r="CM1775" s="5" t="s">
        <v>240</v>
      </c>
      <c r="CN1775" s="5" t="s">
        <v>263</v>
      </c>
      <c r="CO1775" s="5" t="s">
        <v>240</v>
      </c>
      <c r="CP1775" s="5" t="s">
        <v>240</v>
      </c>
      <c r="CQ1775" s="5">
        <v>0</v>
      </c>
      <c r="CR1775" s="5" t="s">
        <v>306</v>
      </c>
      <c r="CS1775" s="5" t="s">
        <v>307</v>
      </c>
      <c r="CT1775" s="5" t="s">
        <v>307</v>
      </c>
      <c r="CU1775" s="5" t="s">
        <v>260</v>
      </c>
      <c r="CX1775" s="7">
        <f>1</f>
        <v>1</v>
      </c>
      <c r="CY1775" s="7">
        <f>0</f>
        <v>0</v>
      </c>
      <c r="DA1775" s="7">
        <f>0</f>
        <v>0</v>
      </c>
      <c r="DC1775" s="5" t="s">
        <v>812</v>
      </c>
      <c r="DD1775" s="5" t="s">
        <v>240</v>
      </c>
      <c r="DF1775" s="5" t="s">
        <v>812</v>
      </c>
      <c r="DG1775" s="7">
        <f>134</f>
        <v>134</v>
      </c>
      <c r="DI1775" s="5" t="s">
        <v>240</v>
      </c>
      <c r="DJ1775" s="5" t="s">
        <v>240</v>
      </c>
      <c r="DK1775" s="5" t="s">
        <v>240</v>
      </c>
      <c r="DL1775" s="5" t="s">
        <v>240</v>
      </c>
      <c r="DP1775" s="5" t="s">
        <v>240</v>
      </c>
      <c r="DQ1775" s="5" t="s">
        <v>240</v>
      </c>
      <c r="DR1775" s="5" t="s">
        <v>240</v>
      </c>
      <c r="DS1775" s="5" t="s">
        <v>240</v>
      </c>
      <c r="DV1775" s="5" t="s">
        <v>813</v>
      </c>
      <c r="DW1775" s="5" t="s">
        <v>3685</v>
      </c>
      <c r="HO1775" s="5" t="s">
        <v>312</v>
      </c>
    </row>
    <row r="1776" spans="1:240" x14ac:dyDescent="0.4">
      <c r="A1776" s="5">
        <v>3451</v>
      </c>
      <c r="B1776" s="5">
        <v>1</v>
      </c>
      <c r="C1776" s="5">
        <v>1</v>
      </c>
      <c r="D1776" s="5" t="s">
        <v>297</v>
      </c>
      <c r="E1776" s="5" t="s">
        <v>245</v>
      </c>
      <c r="F1776" s="5" t="s">
        <v>254</v>
      </c>
      <c r="G1776" s="5" t="s">
        <v>240</v>
      </c>
      <c r="H1776" s="6" t="s">
        <v>4381</v>
      </c>
      <c r="I1776" s="5" t="s">
        <v>295</v>
      </c>
      <c r="J1776" s="8">
        <f>578</f>
        <v>578</v>
      </c>
      <c r="K1776" s="5" t="s">
        <v>308</v>
      </c>
      <c r="L1776" s="7">
        <f>1</f>
        <v>1</v>
      </c>
      <c r="M1776" s="7">
        <f>1</f>
        <v>1</v>
      </c>
      <c r="N1776" s="5" t="s">
        <v>242</v>
      </c>
      <c r="O1776" s="5">
        <v>1</v>
      </c>
      <c r="P1776" s="5" t="s">
        <v>294</v>
      </c>
      <c r="Q1776" s="5" t="s">
        <v>266</v>
      </c>
      <c r="R1776" s="5" t="s">
        <v>240</v>
      </c>
      <c r="S1776" s="5" t="s">
        <v>240</v>
      </c>
      <c r="T1776" s="5" t="s">
        <v>296</v>
      </c>
      <c r="U1776" s="5" t="s">
        <v>244</v>
      </c>
      <c r="V1776" s="5" t="s">
        <v>240</v>
      </c>
      <c r="Y1776" s="5" t="s">
        <v>240</v>
      </c>
      <c r="Z1776" s="6" t="s">
        <v>298</v>
      </c>
      <c r="AB1776" s="6" t="s">
        <v>240</v>
      </c>
      <c r="AE1776" s="6" t="s">
        <v>299</v>
      </c>
      <c r="AF1776" s="5" t="s">
        <v>248</v>
      </c>
      <c r="AG1776" s="5" t="s">
        <v>249</v>
      </c>
      <c r="AW1776" s="5" t="s">
        <v>251</v>
      </c>
      <c r="AX1776" s="5" t="s">
        <v>240</v>
      </c>
      <c r="AY1776" s="5" t="s">
        <v>253</v>
      </c>
      <c r="AZ1776" s="5" t="s">
        <v>240</v>
      </c>
      <c r="BA1776" s="5" t="s">
        <v>255</v>
      </c>
      <c r="BB1776" s="5" t="s">
        <v>240</v>
      </c>
      <c r="BD1776" s="5" t="s">
        <v>240</v>
      </c>
      <c r="BF1776" s="5" t="s">
        <v>301</v>
      </c>
      <c r="BG1776" s="6" t="s">
        <v>299</v>
      </c>
      <c r="BH1776" s="5" t="s">
        <v>302</v>
      </c>
      <c r="BI1776" s="5" t="s">
        <v>303</v>
      </c>
      <c r="BJ1776" s="5" t="s">
        <v>240</v>
      </c>
      <c r="BK1776" s="8">
        <f>0</f>
        <v>0</v>
      </c>
      <c r="BL1776" s="7">
        <f>0</f>
        <v>0</v>
      </c>
      <c r="BM1776" s="5" t="s">
        <v>258</v>
      </c>
      <c r="BN1776" s="5" t="s">
        <v>259</v>
      </c>
      <c r="CB1776" s="5" t="s">
        <v>240</v>
      </c>
      <c r="CC1776" s="5" t="s">
        <v>240</v>
      </c>
      <c r="CG1776" s="5" t="s">
        <v>304</v>
      </c>
      <c r="CH1776" s="5" t="s">
        <v>305</v>
      </c>
      <c r="CI1776" s="5" t="s">
        <v>240</v>
      </c>
      <c r="CL1776" s="6" t="s">
        <v>261</v>
      </c>
      <c r="CM1776" s="5" t="s">
        <v>240</v>
      </c>
      <c r="CN1776" s="5" t="s">
        <v>263</v>
      </c>
      <c r="CO1776" s="5" t="s">
        <v>240</v>
      </c>
      <c r="CP1776" s="5" t="s">
        <v>240</v>
      </c>
      <c r="CQ1776" s="5">
        <v>0</v>
      </c>
      <c r="CR1776" s="5" t="s">
        <v>306</v>
      </c>
      <c r="CS1776" s="5" t="s">
        <v>307</v>
      </c>
      <c r="CT1776" s="5" t="s">
        <v>307</v>
      </c>
      <c r="CU1776" s="5" t="s">
        <v>260</v>
      </c>
      <c r="CX1776" s="7">
        <f>1</f>
        <v>1</v>
      </c>
      <c r="CY1776" s="7">
        <f>0</f>
        <v>0</v>
      </c>
      <c r="DA1776" s="7">
        <f>0</f>
        <v>0</v>
      </c>
      <c r="DC1776" s="5" t="s">
        <v>812</v>
      </c>
      <c r="DD1776" s="5" t="s">
        <v>240</v>
      </c>
      <c r="DF1776" s="5" t="s">
        <v>812</v>
      </c>
      <c r="DG1776" s="7">
        <f>1161</f>
        <v>1161</v>
      </c>
      <c r="DI1776" s="5" t="s">
        <v>240</v>
      </c>
      <c r="DJ1776" s="5" t="s">
        <v>240</v>
      </c>
      <c r="DK1776" s="5" t="s">
        <v>240</v>
      </c>
      <c r="DL1776" s="5" t="s">
        <v>240</v>
      </c>
      <c r="DP1776" s="5" t="s">
        <v>240</v>
      </c>
      <c r="DQ1776" s="5" t="s">
        <v>240</v>
      </c>
      <c r="DR1776" s="5" t="s">
        <v>240</v>
      </c>
      <c r="DS1776" s="5" t="s">
        <v>240</v>
      </c>
      <c r="DV1776" s="5" t="s">
        <v>813</v>
      </c>
      <c r="DW1776" s="5" t="s">
        <v>3687</v>
      </c>
      <c r="HO1776" s="5" t="s">
        <v>312</v>
      </c>
    </row>
    <row r="1777" spans="1:240" x14ac:dyDescent="0.4">
      <c r="A1777" s="5">
        <v>3452</v>
      </c>
      <c r="B1777" s="5">
        <v>1</v>
      </c>
      <c r="C1777" s="5">
        <v>1</v>
      </c>
      <c r="D1777" s="5" t="s">
        <v>297</v>
      </c>
      <c r="E1777" s="5" t="s">
        <v>245</v>
      </c>
      <c r="F1777" s="5" t="s">
        <v>254</v>
      </c>
      <c r="G1777" s="5" t="s">
        <v>240</v>
      </c>
      <c r="H1777" s="6" t="s">
        <v>4380</v>
      </c>
      <c r="I1777" s="5" t="s">
        <v>295</v>
      </c>
      <c r="J1777" s="8">
        <f>6026</f>
        <v>6026</v>
      </c>
      <c r="K1777" s="5" t="s">
        <v>308</v>
      </c>
      <c r="L1777" s="7">
        <f>1</f>
        <v>1</v>
      </c>
      <c r="M1777" s="7">
        <f>1</f>
        <v>1</v>
      </c>
      <c r="N1777" s="5" t="s">
        <v>242</v>
      </c>
      <c r="O1777" s="5">
        <v>1</v>
      </c>
      <c r="P1777" s="5" t="s">
        <v>294</v>
      </c>
      <c r="Q1777" s="5" t="s">
        <v>266</v>
      </c>
      <c r="R1777" s="5" t="s">
        <v>240</v>
      </c>
      <c r="S1777" s="5" t="s">
        <v>240</v>
      </c>
      <c r="T1777" s="5" t="s">
        <v>296</v>
      </c>
      <c r="U1777" s="5" t="s">
        <v>244</v>
      </c>
      <c r="V1777" s="5" t="s">
        <v>240</v>
      </c>
      <c r="Y1777" s="5" t="s">
        <v>240</v>
      </c>
      <c r="Z1777" s="6" t="s">
        <v>298</v>
      </c>
      <c r="AB1777" s="6" t="s">
        <v>240</v>
      </c>
      <c r="AE1777" s="6" t="s">
        <v>299</v>
      </c>
      <c r="AF1777" s="5" t="s">
        <v>248</v>
      </c>
      <c r="AG1777" s="5" t="s">
        <v>249</v>
      </c>
      <c r="AW1777" s="5" t="s">
        <v>251</v>
      </c>
      <c r="AX1777" s="5" t="s">
        <v>240</v>
      </c>
      <c r="AY1777" s="5" t="s">
        <v>253</v>
      </c>
      <c r="AZ1777" s="5" t="s">
        <v>240</v>
      </c>
      <c r="BA1777" s="5" t="s">
        <v>255</v>
      </c>
      <c r="BB1777" s="5" t="s">
        <v>240</v>
      </c>
      <c r="BD1777" s="5" t="s">
        <v>240</v>
      </c>
      <c r="BF1777" s="5" t="s">
        <v>301</v>
      </c>
      <c r="BG1777" s="6" t="s">
        <v>299</v>
      </c>
      <c r="BH1777" s="5" t="s">
        <v>302</v>
      </c>
      <c r="BI1777" s="5" t="s">
        <v>303</v>
      </c>
      <c r="BJ1777" s="5" t="s">
        <v>240</v>
      </c>
      <c r="BK1777" s="8">
        <f>0</f>
        <v>0</v>
      </c>
      <c r="BL1777" s="7">
        <f>0</f>
        <v>0</v>
      </c>
      <c r="BM1777" s="5" t="s">
        <v>258</v>
      </c>
      <c r="BN1777" s="5" t="s">
        <v>259</v>
      </c>
      <c r="CB1777" s="5" t="s">
        <v>240</v>
      </c>
      <c r="CC1777" s="5" t="s">
        <v>240</v>
      </c>
      <c r="CG1777" s="5" t="s">
        <v>304</v>
      </c>
      <c r="CH1777" s="5" t="s">
        <v>305</v>
      </c>
      <c r="CI1777" s="5" t="s">
        <v>240</v>
      </c>
      <c r="CL1777" s="6" t="s">
        <v>261</v>
      </c>
      <c r="CM1777" s="5" t="s">
        <v>240</v>
      </c>
      <c r="CN1777" s="5" t="s">
        <v>263</v>
      </c>
      <c r="CO1777" s="5" t="s">
        <v>240</v>
      </c>
      <c r="CP1777" s="5" t="s">
        <v>240</v>
      </c>
      <c r="CQ1777" s="5">
        <v>0</v>
      </c>
      <c r="CR1777" s="5" t="s">
        <v>306</v>
      </c>
      <c r="CS1777" s="5" t="s">
        <v>307</v>
      </c>
      <c r="CT1777" s="5" t="s">
        <v>307</v>
      </c>
      <c r="CU1777" s="5" t="s">
        <v>260</v>
      </c>
      <c r="CX1777" s="7">
        <f>1</f>
        <v>1</v>
      </c>
      <c r="CY1777" s="7">
        <f>0</f>
        <v>0</v>
      </c>
      <c r="DA1777" s="7">
        <f>0</f>
        <v>0</v>
      </c>
      <c r="DC1777" s="5" t="s">
        <v>812</v>
      </c>
      <c r="DD1777" s="5" t="s">
        <v>240</v>
      </c>
      <c r="DF1777" s="5" t="s">
        <v>812</v>
      </c>
      <c r="DG1777" s="7">
        <f>2112</f>
        <v>2112</v>
      </c>
      <c r="DI1777" s="5" t="s">
        <v>240</v>
      </c>
      <c r="DJ1777" s="5" t="s">
        <v>240</v>
      </c>
      <c r="DK1777" s="5" t="s">
        <v>240</v>
      </c>
      <c r="DL1777" s="5" t="s">
        <v>240</v>
      </c>
      <c r="DP1777" s="5" t="s">
        <v>240</v>
      </c>
      <c r="DQ1777" s="5" t="s">
        <v>240</v>
      </c>
      <c r="DR1777" s="5" t="s">
        <v>240</v>
      </c>
      <c r="DS1777" s="5" t="s">
        <v>240</v>
      </c>
      <c r="DV1777" s="5" t="s">
        <v>813</v>
      </c>
      <c r="DW1777" s="5" t="s">
        <v>3689</v>
      </c>
      <c r="HO1777" s="5" t="s">
        <v>312</v>
      </c>
    </row>
    <row r="1778" spans="1:240" x14ac:dyDescent="0.4">
      <c r="A1778" s="5">
        <v>3453</v>
      </c>
      <c r="B1778" s="5">
        <v>1</v>
      </c>
      <c r="C1778" s="5">
        <v>1</v>
      </c>
      <c r="D1778" s="5" t="s">
        <v>297</v>
      </c>
      <c r="E1778" s="5" t="s">
        <v>245</v>
      </c>
      <c r="F1778" s="5" t="s">
        <v>254</v>
      </c>
      <c r="G1778" s="5" t="s">
        <v>240</v>
      </c>
      <c r="H1778" s="6" t="s">
        <v>5519</v>
      </c>
      <c r="I1778" s="5" t="s">
        <v>295</v>
      </c>
      <c r="J1778" s="8">
        <f>532</f>
        <v>532</v>
      </c>
      <c r="K1778" s="5" t="s">
        <v>308</v>
      </c>
      <c r="L1778" s="7">
        <f>1</f>
        <v>1</v>
      </c>
      <c r="M1778" s="7">
        <f>1</f>
        <v>1</v>
      </c>
      <c r="N1778" s="5" t="s">
        <v>242</v>
      </c>
      <c r="O1778" s="5">
        <v>1</v>
      </c>
      <c r="P1778" s="5" t="s">
        <v>294</v>
      </c>
      <c r="Q1778" s="5" t="s">
        <v>613</v>
      </c>
      <c r="R1778" s="5" t="s">
        <v>240</v>
      </c>
      <c r="S1778" s="5" t="s">
        <v>240</v>
      </c>
      <c r="T1778" s="5" t="s">
        <v>243</v>
      </c>
      <c r="U1778" s="5" t="s">
        <v>724</v>
      </c>
      <c r="V1778" s="5" t="s">
        <v>240</v>
      </c>
      <c r="W1778" s="5" t="s">
        <v>240</v>
      </c>
      <c r="X1778" s="5" t="s">
        <v>240</v>
      </c>
      <c r="Y1778" s="5" t="s">
        <v>240</v>
      </c>
      <c r="Z1778" s="6" t="s">
        <v>298</v>
      </c>
      <c r="AA1778" s="6" t="s">
        <v>240</v>
      </c>
      <c r="AB1778" s="6" t="s">
        <v>240</v>
      </c>
      <c r="AC1778" s="5" t="s">
        <v>240</v>
      </c>
      <c r="AD1778" s="6" t="s">
        <v>240</v>
      </c>
      <c r="AE1778" s="6" t="s">
        <v>299</v>
      </c>
      <c r="AF1778" s="5" t="s">
        <v>727</v>
      </c>
      <c r="AG1778" s="5" t="s">
        <v>260</v>
      </c>
      <c r="AH1778" s="5" t="s">
        <v>240</v>
      </c>
      <c r="AI1778" s="5" t="s">
        <v>240</v>
      </c>
      <c r="AJ1778" s="5" t="s">
        <v>240</v>
      </c>
      <c r="AK1778" s="5" t="s">
        <v>240</v>
      </c>
      <c r="AL1778" s="5" t="s">
        <v>240</v>
      </c>
      <c r="AM1778" s="5" t="s">
        <v>240</v>
      </c>
      <c r="AN1778" s="5" t="s">
        <v>240</v>
      </c>
      <c r="AO1778" s="5" t="s">
        <v>240</v>
      </c>
      <c r="AP1778" s="6" t="s">
        <v>240</v>
      </c>
      <c r="AQ1778" s="6" t="s">
        <v>240</v>
      </c>
      <c r="AR1778" s="6" t="s">
        <v>240</v>
      </c>
      <c r="AS1778" s="6" t="s">
        <v>240</v>
      </c>
      <c r="AT1778" s="5" t="s">
        <v>240</v>
      </c>
      <c r="AU1778" s="5" t="s">
        <v>729</v>
      </c>
      <c r="AV1778" s="5" t="s">
        <v>729</v>
      </c>
      <c r="AW1778" s="5" t="s">
        <v>251</v>
      </c>
      <c r="AX1778" s="5" t="s">
        <v>252</v>
      </c>
      <c r="AY1778" s="5" t="s">
        <v>253</v>
      </c>
      <c r="AZ1778" s="5" t="s">
        <v>240</v>
      </c>
      <c r="BA1778" s="5" t="s">
        <v>255</v>
      </c>
      <c r="BB1778" s="5" t="s">
        <v>731</v>
      </c>
      <c r="BD1778" s="5" t="s">
        <v>3167</v>
      </c>
      <c r="BF1778" s="5" t="s">
        <v>732</v>
      </c>
      <c r="BG1778" s="6" t="s">
        <v>733</v>
      </c>
      <c r="BH1778" s="5" t="s">
        <v>734</v>
      </c>
      <c r="BI1778" s="5" t="s">
        <v>734</v>
      </c>
      <c r="BJ1778" s="5" t="s">
        <v>240</v>
      </c>
      <c r="BK1778" s="8">
        <f>985</f>
        <v>985</v>
      </c>
      <c r="BL1778" s="7">
        <f>0</f>
        <v>0</v>
      </c>
      <c r="BM1778" s="5" t="s">
        <v>258</v>
      </c>
      <c r="BN1778" s="5" t="s">
        <v>259</v>
      </c>
      <c r="BO1778" s="5" t="s">
        <v>240</v>
      </c>
      <c r="BP1778" s="5" t="s">
        <v>240</v>
      </c>
      <c r="BQ1778" s="5" t="s">
        <v>240</v>
      </c>
      <c r="BR1778" s="5" t="s">
        <v>240</v>
      </c>
      <c r="BS1778" s="5" t="s">
        <v>240</v>
      </c>
      <c r="BT1778" s="5" t="s">
        <v>240</v>
      </c>
      <c r="BU1778" s="5" t="s">
        <v>240</v>
      </c>
      <c r="BV1778" s="5" t="s">
        <v>240</v>
      </c>
      <c r="BW1778" s="6" t="s">
        <v>240</v>
      </c>
      <c r="BX1778" s="5" t="s">
        <v>240</v>
      </c>
      <c r="BY1778" s="5" t="s">
        <v>240</v>
      </c>
      <c r="BZ1778" s="5" t="s">
        <v>240</v>
      </c>
      <c r="CA1778" s="5" t="s">
        <v>259</v>
      </c>
      <c r="CB1778" s="5" t="s">
        <v>240</v>
      </c>
      <c r="CC1778" s="5" t="s">
        <v>240</v>
      </c>
      <c r="CD1778" s="5" t="s">
        <v>240</v>
      </c>
      <c r="CE1778" s="5" t="s">
        <v>240</v>
      </c>
      <c r="CF1778" s="5" t="s">
        <v>240</v>
      </c>
      <c r="CG1778" s="5" t="s">
        <v>617</v>
      </c>
      <c r="CH1778" s="5" t="s">
        <v>305</v>
      </c>
      <c r="CI1778" s="5" t="s">
        <v>240</v>
      </c>
      <c r="CL1778" s="6" t="s">
        <v>261</v>
      </c>
      <c r="CM1778" s="5" t="s">
        <v>262</v>
      </c>
      <c r="CN1778" s="5" t="s">
        <v>263</v>
      </c>
      <c r="CO1778" s="5" t="s">
        <v>264</v>
      </c>
      <c r="CP1778" s="5" t="s">
        <v>240</v>
      </c>
      <c r="CQ1778" s="5">
        <v>0</v>
      </c>
      <c r="CR1778" s="5" t="s">
        <v>735</v>
      </c>
      <c r="CS1778" s="5" t="s">
        <v>307</v>
      </c>
      <c r="CT1778" s="5" t="s">
        <v>307</v>
      </c>
      <c r="CU1778" s="5" t="s">
        <v>260</v>
      </c>
      <c r="CV1778" s="5" t="s">
        <v>240</v>
      </c>
      <c r="CW1778" s="8">
        <f>0</f>
        <v>0</v>
      </c>
      <c r="CX1778" s="7">
        <f>0</f>
        <v>0</v>
      </c>
      <c r="CY1778" s="7">
        <f>0</f>
        <v>0</v>
      </c>
      <c r="DA1778" s="7">
        <f>10835</f>
        <v>10835</v>
      </c>
      <c r="DB1778" s="7" t="s">
        <v>240</v>
      </c>
      <c r="DC1778" s="5" t="s">
        <v>240</v>
      </c>
      <c r="DD1778" s="5" t="s">
        <v>240</v>
      </c>
      <c r="DE1778" s="5" t="s">
        <v>240</v>
      </c>
      <c r="DF1778" s="5" t="s">
        <v>450</v>
      </c>
      <c r="DG1778" s="7">
        <f>0</f>
        <v>0</v>
      </c>
      <c r="DH1778" s="6" t="s">
        <v>3168</v>
      </c>
      <c r="DI1778" s="5" t="s">
        <v>737</v>
      </c>
      <c r="DJ1778" s="5" t="s">
        <v>240</v>
      </c>
      <c r="DK1778" s="5" t="s">
        <v>240</v>
      </c>
      <c r="DL1778" s="5" t="s">
        <v>240</v>
      </c>
      <c r="DM1778" s="5" t="s">
        <v>240</v>
      </c>
      <c r="DN1778" s="5" t="s">
        <v>240</v>
      </c>
      <c r="DO1778" s="7" t="s">
        <v>240</v>
      </c>
      <c r="DP1778" s="5" t="s">
        <v>240</v>
      </c>
      <c r="DQ1778" s="5" t="s">
        <v>240</v>
      </c>
      <c r="DR1778" s="5" t="s">
        <v>731</v>
      </c>
      <c r="DS1778" s="5" t="s">
        <v>731</v>
      </c>
      <c r="DT1778" s="5" t="s">
        <v>240</v>
      </c>
      <c r="DU1778" s="5" t="s">
        <v>240</v>
      </c>
      <c r="DV1778" s="5" t="s">
        <v>3692</v>
      </c>
      <c r="DW1778" s="5" t="s">
        <v>312</v>
      </c>
      <c r="DX1778" s="5" t="s">
        <v>240</v>
      </c>
      <c r="DY1778" s="5" t="s">
        <v>240</v>
      </c>
      <c r="DZ1778" s="5" t="s">
        <v>240</v>
      </c>
      <c r="EA1778" s="5" t="s">
        <v>240</v>
      </c>
      <c r="EB1778" s="5" t="s">
        <v>240</v>
      </c>
      <c r="EC1778" s="5" t="s">
        <v>240</v>
      </c>
      <c r="ED1778" s="5" t="s">
        <v>240</v>
      </c>
      <c r="EE1778" s="5" t="s">
        <v>240</v>
      </c>
      <c r="EF1778" s="5" t="s">
        <v>240</v>
      </c>
      <c r="EG1778" s="5" t="s">
        <v>240</v>
      </c>
      <c r="EH1778" s="5" t="s">
        <v>240</v>
      </c>
      <c r="EI1778" s="5" t="s">
        <v>240</v>
      </c>
      <c r="EJ1778" s="5" t="s">
        <v>240</v>
      </c>
      <c r="EK1778" s="5" t="s">
        <v>240</v>
      </c>
      <c r="EL1778" s="5" t="s">
        <v>240</v>
      </c>
      <c r="EM1778" s="5" t="s">
        <v>240</v>
      </c>
      <c r="EN1778" s="5" t="s">
        <v>240</v>
      </c>
      <c r="EO1778" s="5" t="s">
        <v>240</v>
      </c>
      <c r="EP1778" s="5" t="s">
        <v>240</v>
      </c>
      <c r="EQ1778" s="5" t="s">
        <v>240</v>
      </c>
      <c r="ER1778" s="5" t="s">
        <v>240</v>
      </c>
      <c r="ES1778" s="5" t="s">
        <v>240</v>
      </c>
      <c r="ET1778" s="5" t="s">
        <v>240</v>
      </c>
      <c r="EU1778" s="5" t="s">
        <v>240</v>
      </c>
      <c r="EV1778" s="5" t="s">
        <v>240</v>
      </c>
      <c r="EW1778" s="5" t="s">
        <v>240</v>
      </c>
      <c r="EX1778" s="5" t="s">
        <v>240</v>
      </c>
      <c r="EY1778" s="5" t="s">
        <v>240</v>
      </c>
      <c r="EZ1778" s="5" t="s">
        <v>240</v>
      </c>
      <c r="FA1778" s="5" t="s">
        <v>240</v>
      </c>
      <c r="FB1778" s="5" t="s">
        <v>240</v>
      </c>
      <c r="FC1778" s="5" t="s">
        <v>240</v>
      </c>
      <c r="FD1778" s="5" t="s">
        <v>240</v>
      </c>
      <c r="FE1778" s="5" t="s">
        <v>240</v>
      </c>
      <c r="FF1778" s="5" t="s">
        <v>240</v>
      </c>
      <c r="FG1778" s="5" t="s">
        <v>240</v>
      </c>
      <c r="FH1778" s="5" t="s">
        <v>240</v>
      </c>
      <c r="FI1778" s="5" t="s">
        <v>240</v>
      </c>
      <c r="FJ1778" s="5" t="s">
        <v>240</v>
      </c>
      <c r="FK1778" s="5" t="s">
        <v>240</v>
      </c>
      <c r="FL1778" s="5" t="s">
        <v>240</v>
      </c>
      <c r="FM1778" s="5" t="s">
        <v>240</v>
      </c>
      <c r="FN1778" s="5" t="s">
        <v>240</v>
      </c>
      <c r="FO1778" s="5" t="s">
        <v>240</v>
      </c>
      <c r="FP1778" s="5" t="s">
        <v>240</v>
      </c>
      <c r="FQ1778" s="5" t="s">
        <v>240</v>
      </c>
      <c r="FR1778" s="5" t="s">
        <v>240</v>
      </c>
      <c r="FS1778" s="5" t="s">
        <v>240</v>
      </c>
      <c r="FT1778" s="5" t="s">
        <v>240</v>
      </c>
      <c r="FU1778" s="5" t="s">
        <v>240</v>
      </c>
      <c r="FV1778" s="5" t="s">
        <v>240</v>
      </c>
      <c r="FW1778" s="5" t="s">
        <v>240</v>
      </c>
      <c r="FX1778" s="5" t="s">
        <v>240</v>
      </c>
      <c r="FY1778" s="5" t="s">
        <v>240</v>
      </c>
      <c r="FZ1778" s="5" t="s">
        <v>240</v>
      </c>
      <c r="GA1778" s="5" t="s">
        <v>240</v>
      </c>
      <c r="GB1778" s="5" t="s">
        <v>240</v>
      </c>
      <c r="GC1778" s="5" t="s">
        <v>240</v>
      </c>
      <c r="GD1778" s="5" t="s">
        <v>240</v>
      </c>
      <c r="GE1778" s="5" t="s">
        <v>240</v>
      </c>
      <c r="GF1778" s="5" t="s">
        <v>240</v>
      </c>
      <c r="GG1778" s="5" t="s">
        <v>240</v>
      </c>
      <c r="GH1778" s="5" t="s">
        <v>240</v>
      </c>
      <c r="GI1778" s="5" t="s">
        <v>240</v>
      </c>
      <c r="GJ1778" s="5" t="s">
        <v>240</v>
      </c>
      <c r="GK1778" s="5" t="s">
        <v>240</v>
      </c>
      <c r="GL1778" s="5" t="s">
        <v>240</v>
      </c>
      <c r="GM1778" s="5" t="s">
        <v>240</v>
      </c>
      <c r="GN1778" s="5" t="s">
        <v>240</v>
      </c>
      <c r="GO1778" s="5" t="s">
        <v>240</v>
      </c>
      <c r="GP1778" s="5" t="s">
        <v>240</v>
      </c>
      <c r="GQ1778" s="5" t="s">
        <v>240</v>
      </c>
      <c r="GR1778" s="5" t="s">
        <v>240</v>
      </c>
      <c r="GS1778" s="5" t="s">
        <v>240</v>
      </c>
      <c r="GT1778" s="5" t="s">
        <v>240</v>
      </c>
      <c r="GU1778" s="5" t="s">
        <v>240</v>
      </c>
      <c r="GV1778" s="5" t="s">
        <v>240</v>
      </c>
      <c r="GW1778" s="5" t="s">
        <v>240</v>
      </c>
      <c r="GX1778" s="5" t="s">
        <v>240</v>
      </c>
      <c r="GY1778" s="5" t="s">
        <v>240</v>
      </c>
      <c r="GZ1778" s="5" t="s">
        <v>240</v>
      </c>
      <c r="HA1778" s="5" t="s">
        <v>240</v>
      </c>
      <c r="HB1778" s="5" t="s">
        <v>240</v>
      </c>
      <c r="HC1778" s="5" t="s">
        <v>240</v>
      </c>
      <c r="HD1778" s="5" t="s">
        <v>240</v>
      </c>
      <c r="HE1778" s="5" t="s">
        <v>240</v>
      </c>
      <c r="HF1778" s="5" t="s">
        <v>240</v>
      </c>
      <c r="HG1778" s="5" t="s">
        <v>240</v>
      </c>
      <c r="HH1778" s="5" t="s">
        <v>240</v>
      </c>
      <c r="HI1778" s="5" t="s">
        <v>240</v>
      </c>
      <c r="HJ1778" s="5" t="s">
        <v>240</v>
      </c>
      <c r="HK1778" s="5" t="s">
        <v>240</v>
      </c>
      <c r="HL1778" s="5" t="s">
        <v>240</v>
      </c>
      <c r="HM1778" s="5" t="s">
        <v>240</v>
      </c>
      <c r="HN1778" s="5" t="s">
        <v>240</v>
      </c>
      <c r="HO1778" s="5" t="s">
        <v>312</v>
      </c>
      <c r="HP1778" s="5" t="s">
        <v>240</v>
      </c>
      <c r="HQ1778" s="5" t="s">
        <v>240</v>
      </c>
      <c r="HR1778" s="5" t="s">
        <v>240</v>
      </c>
      <c r="HS1778" s="5" t="s">
        <v>240</v>
      </c>
      <c r="HT1778" s="5" t="s">
        <v>240</v>
      </c>
      <c r="HU1778" s="5" t="s">
        <v>240</v>
      </c>
      <c r="HV1778" s="5" t="s">
        <v>240</v>
      </c>
      <c r="HW1778" s="5" t="s">
        <v>240</v>
      </c>
      <c r="HX1778" s="5" t="s">
        <v>240</v>
      </c>
      <c r="HY1778" s="5" t="s">
        <v>240</v>
      </c>
      <c r="HZ1778" s="5" t="s">
        <v>240</v>
      </c>
      <c r="IA1778" s="5" t="s">
        <v>240</v>
      </c>
      <c r="IB1778" s="5" t="s">
        <v>240</v>
      </c>
      <c r="IC1778" s="5" t="s">
        <v>240</v>
      </c>
      <c r="ID1778" s="5" t="s">
        <v>240</v>
      </c>
      <c r="IE1778" s="5" t="s">
        <v>240</v>
      </c>
      <c r="IF1778" s="5" t="s">
        <v>240</v>
      </c>
    </row>
    <row r="1779" spans="1:240" x14ac:dyDescent="0.4">
      <c r="A1779" s="5">
        <v>3454</v>
      </c>
      <c r="B1779" s="5">
        <v>1</v>
      </c>
      <c r="C1779" s="5">
        <v>1</v>
      </c>
      <c r="D1779" s="5" t="s">
        <v>297</v>
      </c>
      <c r="E1779" s="5" t="s">
        <v>245</v>
      </c>
      <c r="F1779" s="5" t="s">
        <v>254</v>
      </c>
      <c r="G1779" s="5" t="s">
        <v>240</v>
      </c>
      <c r="H1779" s="6" t="s">
        <v>4378</v>
      </c>
      <c r="I1779" s="5" t="s">
        <v>295</v>
      </c>
      <c r="J1779" s="8">
        <f>1852</f>
        <v>1852</v>
      </c>
      <c r="K1779" s="5" t="s">
        <v>308</v>
      </c>
      <c r="L1779" s="7">
        <f>1</f>
        <v>1</v>
      </c>
      <c r="M1779" s="7">
        <f>1</f>
        <v>1</v>
      </c>
      <c r="N1779" s="5" t="s">
        <v>242</v>
      </c>
      <c r="O1779" s="5">
        <v>1</v>
      </c>
      <c r="P1779" s="5" t="s">
        <v>294</v>
      </c>
      <c r="Q1779" s="5" t="s">
        <v>266</v>
      </c>
      <c r="R1779" s="5" t="s">
        <v>240</v>
      </c>
      <c r="S1779" s="5" t="s">
        <v>240</v>
      </c>
      <c r="T1779" s="5" t="s">
        <v>296</v>
      </c>
      <c r="U1779" s="5" t="s">
        <v>244</v>
      </c>
      <c r="V1779" s="5" t="s">
        <v>240</v>
      </c>
      <c r="Y1779" s="5" t="s">
        <v>240</v>
      </c>
      <c r="Z1779" s="6" t="s">
        <v>298</v>
      </c>
      <c r="AB1779" s="6" t="s">
        <v>240</v>
      </c>
      <c r="AE1779" s="6" t="s">
        <v>299</v>
      </c>
      <c r="AF1779" s="5" t="s">
        <v>248</v>
      </c>
      <c r="AG1779" s="5" t="s">
        <v>249</v>
      </c>
      <c r="AW1779" s="5" t="s">
        <v>251</v>
      </c>
      <c r="AX1779" s="5" t="s">
        <v>240</v>
      </c>
      <c r="AY1779" s="5" t="s">
        <v>253</v>
      </c>
      <c r="AZ1779" s="5" t="s">
        <v>240</v>
      </c>
      <c r="BA1779" s="5" t="s">
        <v>255</v>
      </c>
      <c r="BB1779" s="5" t="s">
        <v>240</v>
      </c>
      <c r="BD1779" s="5" t="s">
        <v>240</v>
      </c>
      <c r="BF1779" s="5" t="s">
        <v>301</v>
      </c>
      <c r="BG1779" s="6" t="s">
        <v>299</v>
      </c>
      <c r="BH1779" s="5" t="s">
        <v>302</v>
      </c>
      <c r="BI1779" s="5" t="s">
        <v>303</v>
      </c>
      <c r="BJ1779" s="5" t="s">
        <v>240</v>
      </c>
      <c r="BK1779" s="8">
        <f>0</f>
        <v>0</v>
      </c>
      <c r="BL1779" s="7">
        <f>0</f>
        <v>0</v>
      </c>
      <c r="BM1779" s="5" t="s">
        <v>258</v>
      </c>
      <c r="BN1779" s="5" t="s">
        <v>259</v>
      </c>
      <c r="CB1779" s="5" t="s">
        <v>240</v>
      </c>
      <c r="CC1779" s="5" t="s">
        <v>240</v>
      </c>
      <c r="CG1779" s="5" t="s">
        <v>304</v>
      </c>
      <c r="CH1779" s="5" t="s">
        <v>305</v>
      </c>
      <c r="CI1779" s="5" t="s">
        <v>240</v>
      </c>
      <c r="CL1779" s="6" t="s">
        <v>261</v>
      </c>
      <c r="CM1779" s="5" t="s">
        <v>240</v>
      </c>
      <c r="CN1779" s="5" t="s">
        <v>263</v>
      </c>
      <c r="CO1779" s="5" t="s">
        <v>240</v>
      </c>
      <c r="CP1779" s="5" t="s">
        <v>240</v>
      </c>
      <c r="CQ1779" s="5">
        <v>0</v>
      </c>
      <c r="CR1779" s="5" t="s">
        <v>306</v>
      </c>
      <c r="CS1779" s="5" t="s">
        <v>307</v>
      </c>
      <c r="CT1779" s="5" t="s">
        <v>307</v>
      </c>
      <c r="CU1779" s="5" t="s">
        <v>260</v>
      </c>
      <c r="CX1779" s="7">
        <f>1</f>
        <v>1</v>
      </c>
      <c r="CY1779" s="7">
        <f>0</f>
        <v>0</v>
      </c>
      <c r="DA1779" s="7">
        <f>0</f>
        <v>0</v>
      </c>
      <c r="DC1779" s="5" t="s">
        <v>812</v>
      </c>
      <c r="DD1779" s="5" t="s">
        <v>240</v>
      </c>
      <c r="DF1779" s="5" t="s">
        <v>812</v>
      </c>
      <c r="DG1779" s="7">
        <f>1991</f>
        <v>1991</v>
      </c>
      <c r="DI1779" s="5" t="s">
        <v>240</v>
      </c>
      <c r="DJ1779" s="5" t="s">
        <v>240</v>
      </c>
      <c r="DK1779" s="5" t="s">
        <v>240</v>
      </c>
      <c r="DL1779" s="5" t="s">
        <v>240</v>
      </c>
      <c r="DP1779" s="5" t="s">
        <v>240</v>
      </c>
      <c r="DQ1779" s="5" t="s">
        <v>240</v>
      </c>
      <c r="DR1779" s="5" t="s">
        <v>240</v>
      </c>
      <c r="DS1779" s="5" t="s">
        <v>240</v>
      </c>
      <c r="DV1779" s="5" t="s">
        <v>813</v>
      </c>
      <c r="DW1779" s="5" t="s">
        <v>3694</v>
      </c>
      <c r="HO1779" s="5" t="s">
        <v>312</v>
      </c>
    </row>
    <row r="1780" spans="1:240" x14ac:dyDescent="0.4">
      <c r="A1780" s="5">
        <v>3455</v>
      </c>
      <c r="B1780" s="5">
        <v>1</v>
      </c>
      <c r="C1780" s="5">
        <v>1</v>
      </c>
      <c r="D1780" s="5" t="s">
        <v>297</v>
      </c>
      <c r="E1780" s="5" t="s">
        <v>245</v>
      </c>
      <c r="F1780" s="5" t="s">
        <v>254</v>
      </c>
      <c r="G1780" s="5" t="s">
        <v>240</v>
      </c>
      <c r="H1780" s="6" t="s">
        <v>4377</v>
      </c>
      <c r="I1780" s="5" t="s">
        <v>295</v>
      </c>
      <c r="J1780" s="8">
        <f>530</f>
        <v>530</v>
      </c>
      <c r="K1780" s="5" t="s">
        <v>308</v>
      </c>
      <c r="L1780" s="7">
        <f>1</f>
        <v>1</v>
      </c>
      <c r="M1780" s="7">
        <f>1</f>
        <v>1</v>
      </c>
      <c r="N1780" s="5" t="s">
        <v>242</v>
      </c>
      <c r="O1780" s="5">
        <v>1</v>
      </c>
      <c r="P1780" s="5" t="s">
        <v>294</v>
      </c>
      <c r="Q1780" s="5" t="s">
        <v>266</v>
      </c>
      <c r="R1780" s="5" t="s">
        <v>240</v>
      </c>
      <c r="S1780" s="5" t="s">
        <v>240</v>
      </c>
      <c r="T1780" s="5" t="s">
        <v>296</v>
      </c>
      <c r="U1780" s="5" t="s">
        <v>244</v>
      </c>
      <c r="V1780" s="5" t="s">
        <v>240</v>
      </c>
      <c r="Y1780" s="5" t="s">
        <v>240</v>
      </c>
      <c r="Z1780" s="6" t="s">
        <v>298</v>
      </c>
      <c r="AB1780" s="6" t="s">
        <v>240</v>
      </c>
      <c r="AE1780" s="6" t="s">
        <v>299</v>
      </c>
      <c r="AF1780" s="5" t="s">
        <v>248</v>
      </c>
      <c r="AG1780" s="5" t="s">
        <v>249</v>
      </c>
      <c r="AW1780" s="5" t="s">
        <v>251</v>
      </c>
      <c r="AX1780" s="5" t="s">
        <v>240</v>
      </c>
      <c r="AY1780" s="5" t="s">
        <v>253</v>
      </c>
      <c r="AZ1780" s="5" t="s">
        <v>240</v>
      </c>
      <c r="BA1780" s="5" t="s">
        <v>255</v>
      </c>
      <c r="BB1780" s="5" t="s">
        <v>240</v>
      </c>
      <c r="BD1780" s="5" t="s">
        <v>240</v>
      </c>
      <c r="BF1780" s="5" t="s">
        <v>301</v>
      </c>
      <c r="BG1780" s="6" t="s">
        <v>299</v>
      </c>
      <c r="BH1780" s="5" t="s">
        <v>302</v>
      </c>
      <c r="BI1780" s="5" t="s">
        <v>303</v>
      </c>
      <c r="BJ1780" s="5" t="s">
        <v>240</v>
      </c>
      <c r="BK1780" s="8">
        <f>0</f>
        <v>0</v>
      </c>
      <c r="BL1780" s="7">
        <f>0</f>
        <v>0</v>
      </c>
      <c r="BM1780" s="5" t="s">
        <v>258</v>
      </c>
      <c r="BN1780" s="5" t="s">
        <v>259</v>
      </c>
      <c r="CB1780" s="5" t="s">
        <v>240</v>
      </c>
      <c r="CC1780" s="5" t="s">
        <v>240</v>
      </c>
      <c r="CG1780" s="5" t="s">
        <v>304</v>
      </c>
      <c r="CH1780" s="5" t="s">
        <v>305</v>
      </c>
      <c r="CI1780" s="5" t="s">
        <v>240</v>
      </c>
      <c r="CL1780" s="6" t="s">
        <v>261</v>
      </c>
      <c r="CM1780" s="5" t="s">
        <v>240</v>
      </c>
      <c r="CN1780" s="5" t="s">
        <v>263</v>
      </c>
      <c r="CO1780" s="5" t="s">
        <v>240</v>
      </c>
      <c r="CP1780" s="5" t="s">
        <v>240</v>
      </c>
      <c r="CQ1780" s="5">
        <v>0</v>
      </c>
      <c r="CR1780" s="5" t="s">
        <v>306</v>
      </c>
      <c r="CS1780" s="5" t="s">
        <v>307</v>
      </c>
      <c r="CT1780" s="5" t="s">
        <v>307</v>
      </c>
      <c r="CU1780" s="5" t="s">
        <v>260</v>
      </c>
      <c r="CX1780" s="7">
        <f>1</f>
        <v>1</v>
      </c>
      <c r="CY1780" s="7">
        <f>0</f>
        <v>0</v>
      </c>
      <c r="DA1780" s="7">
        <f>0</f>
        <v>0</v>
      </c>
      <c r="DC1780" s="5" t="s">
        <v>309</v>
      </c>
      <c r="DD1780" s="5" t="s">
        <v>240</v>
      </c>
      <c r="DF1780" s="5" t="s">
        <v>309</v>
      </c>
      <c r="DG1780" s="7">
        <f>2572</f>
        <v>2572</v>
      </c>
      <c r="DI1780" s="5" t="s">
        <v>240</v>
      </c>
      <c r="DJ1780" s="5" t="s">
        <v>240</v>
      </c>
      <c r="DK1780" s="5" t="s">
        <v>240</v>
      </c>
      <c r="DL1780" s="5" t="s">
        <v>240</v>
      </c>
      <c r="DP1780" s="5" t="s">
        <v>240</v>
      </c>
      <c r="DQ1780" s="5" t="s">
        <v>240</v>
      </c>
      <c r="DR1780" s="5" t="s">
        <v>240</v>
      </c>
      <c r="DS1780" s="5" t="s">
        <v>240</v>
      </c>
      <c r="DV1780" s="5" t="s">
        <v>310</v>
      </c>
      <c r="DW1780" s="5" t="s">
        <v>3086</v>
      </c>
      <c r="HO1780" s="5" t="s">
        <v>312</v>
      </c>
    </row>
    <row r="1781" spans="1:240" x14ac:dyDescent="0.4">
      <c r="A1781" s="5">
        <v>3456</v>
      </c>
      <c r="B1781" s="5">
        <v>1</v>
      </c>
      <c r="C1781" s="5">
        <v>1</v>
      </c>
      <c r="D1781" s="5" t="s">
        <v>297</v>
      </c>
      <c r="E1781" s="5" t="s">
        <v>245</v>
      </c>
      <c r="F1781" s="5" t="s">
        <v>254</v>
      </c>
      <c r="G1781" s="5" t="s">
        <v>240</v>
      </c>
      <c r="H1781" s="6" t="s">
        <v>4376</v>
      </c>
      <c r="I1781" s="5" t="s">
        <v>295</v>
      </c>
      <c r="J1781" s="8">
        <f>679</f>
        <v>679</v>
      </c>
      <c r="K1781" s="5" t="s">
        <v>308</v>
      </c>
      <c r="L1781" s="7">
        <f>1</f>
        <v>1</v>
      </c>
      <c r="M1781" s="7">
        <f>1</f>
        <v>1</v>
      </c>
      <c r="N1781" s="5" t="s">
        <v>242</v>
      </c>
      <c r="O1781" s="5">
        <v>1</v>
      </c>
      <c r="P1781" s="5" t="s">
        <v>294</v>
      </c>
      <c r="Q1781" s="5" t="s">
        <v>266</v>
      </c>
      <c r="R1781" s="5" t="s">
        <v>240</v>
      </c>
      <c r="S1781" s="5" t="s">
        <v>240</v>
      </c>
      <c r="T1781" s="5" t="s">
        <v>296</v>
      </c>
      <c r="U1781" s="5" t="s">
        <v>244</v>
      </c>
      <c r="V1781" s="5" t="s">
        <v>240</v>
      </c>
      <c r="Y1781" s="5" t="s">
        <v>240</v>
      </c>
      <c r="Z1781" s="6" t="s">
        <v>298</v>
      </c>
      <c r="AB1781" s="6" t="s">
        <v>240</v>
      </c>
      <c r="AE1781" s="6" t="s">
        <v>299</v>
      </c>
      <c r="AF1781" s="5" t="s">
        <v>248</v>
      </c>
      <c r="AG1781" s="5" t="s">
        <v>249</v>
      </c>
      <c r="AW1781" s="5" t="s">
        <v>251</v>
      </c>
      <c r="AX1781" s="5" t="s">
        <v>240</v>
      </c>
      <c r="AY1781" s="5" t="s">
        <v>253</v>
      </c>
      <c r="AZ1781" s="5" t="s">
        <v>240</v>
      </c>
      <c r="BA1781" s="5" t="s">
        <v>255</v>
      </c>
      <c r="BB1781" s="5" t="s">
        <v>240</v>
      </c>
      <c r="BD1781" s="5" t="s">
        <v>240</v>
      </c>
      <c r="BF1781" s="5" t="s">
        <v>301</v>
      </c>
      <c r="BG1781" s="6" t="s">
        <v>299</v>
      </c>
      <c r="BH1781" s="5" t="s">
        <v>302</v>
      </c>
      <c r="BI1781" s="5" t="s">
        <v>303</v>
      </c>
      <c r="BJ1781" s="5" t="s">
        <v>240</v>
      </c>
      <c r="BK1781" s="8">
        <f>0</f>
        <v>0</v>
      </c>
      <c r="BL1781" s="7">
        <f>0</f>
        <v>0</v>
      </c>
      <c r="BM1781" s="5" t="s">
        <v>258</v>
      </c>
      <c r="BN1781" s="5" t="s">
        <v>259</v>
      </c>
      <c r="CB1781" s="5" t="s">
        <v>240</v>
      </c>
      <c r="CC1781" s="5" t="s">
        <v>240</v>
      </c>
      <c r="CG1781" s="5" t="s">
        <v>304</v>
      </c>
      <c r="CH1781" s="5" t="s">
        <v>305</v>
      </c>
      <c r="CI1781" s="5" t="s">
        <v>240</v>
      </c>
      <c r="CL1781" s="6" t="s">
        <v>261</v>
      </c>
      <c r="CM1781" s="5" t="s">
        <v>240</v>
      </c>
      <c r="CN1781" s="5" t="s">
        <v>263</v>
      </c>
      <c r="CO1781" s="5" t="s">
        <v>240</v>
      </c>
      <c r="CP1781" s="5" t="s">
        <v>240</v>
      </c>
      <c r="CQ1781" s="5">
        <v>0</v>
      </c>
      <c r="CR1781" s="5" t="s">
        <v>306</v>
      </c>
      <c r="CS1781" s="5" t="s">
        <v>307</v>
      </c>
      <c r="CT1781" s="5" t="s">
        <v>307</v>
      </c>
      <c r="CU1781" s="5" t="s">
        <v>260</v>
      </c>
      <c r="CX1781" s="7">
        <f>1</f>
        <v>1</v>
      </c>
      <c r="CY1781" s="7">
        <f>0</f>
        <v>0</v>
      </c>
      <c r="DA1781" s="7">
        <f>0</f>
        <v>0</v>
      </c>
      <c r="DC1781" s="5" t="s">
        <v>812</v>
      </c>
      <c r="DD1781" s="5" t="s">
        <v>240</v>
      </c>
      <c r="DF1781" s="5" t="s">
        <v>812</v>
      </c>
      <c r="DG1781" s="7">
        <f>44</f>
        <v>44</v>
      </c>
      <c r="DI1781" s="5" t="s">
        <v>240</v>
      </c>
      <c r="DJ1781" s="5" t="s">
        <v>240</v>
      </c>
      <c r="DK1781" s="5" t="s">
        <v>240</v>
      </c>
      <c r="DL1781" s="5" t="s">
        <v>240</v>
      </c>
      <c r="DP1781" s="5" t="s">
        <v>240</v>
      </c>
      <c r="DQ1781" s="5" t="s">
        <v>240</v>
      </c>
      <c r="DR1781" s="5" t="s">
        <v>240</v>
      </c>
      <c r="DS1781" s="5" t="s">
        <v>240</v>
      </c>
      <c r="DV1781" s="5" t="s">
        <v>813</v>
      </c>
      <c r="DW1781" s="5" t="s">
        <v>3697</v>
      </c>
      <c r="HO1781" s="5" t="s">
        <v>312</v>
      </c>
    </row>
    <row r="1782" spans="1:240" x14ac:dyDescent="0.4">
      <c r="A1782" s="5">
        <v>3457</v>
      </c>
      <c r="B1782" s="5">
        <v>1</v>
      </c>
      <c r="C1782" s="5">
        <v>1</v>
      </c>
      <c r="D1782" s="5" t="s">
        <v>297</v>
      </c>
      <c r="E1782" s="5" t="s">
        <v>245</v>
      </c>
      <c r="F1782" s="5" t="s">
        <v>254</v>
      </c>
      <c r="G1782" s="5" t="s">
        <v>240</v>
      </c>
      <c r="H1782" s="6" t="s">
        <v>4375</v>
      </c>
      <c r="I1782" s="5" t="s">
        <v>295</v>
      </c>
      <c r="J1782" s="8">
        <f>327</f>
        <v>327</v>
      </c>
      <c r="K1782" s="5" t="s">
        <v>308</v>
      </c>
      <c r="L1782" s="7">
        <f>1</f>
        <v>1</v>
      </c>
      <c r="M1782" s="7">
        <f>1</f>
        <v>1</v>
      </c>
      <c r="N1782" s="5" t="s">
        <v>242</v>
      </c>
      <c r="O1782" s="5">
        <v>1</v>
      </c>
      <c r="P1782" s="5" t="s">
        <v>294</v>
      </c>
      <c r="Q1782" s="5" t="s">
        <v>266</v>
      </c>
      <c r="R1782" s="5" t="s">
        <v>240</v>
      </c>
      <c r="S1782" s="5" t="s">
        <v>240</v>
      </c>
      <c r="T1782" s="5" t="s">
        <v>296</v>
      </c>
      <c r="U1782" s="5" t="s">
        <v>244</v>
      </c>
      <c r="V1782" s="5" t="s">
        <v>240</v>
      </c>
      <c r="Y1782" s="5" t="s">
        <v>240</v>
      </c>
      <c r="Z1782" s="6" t="s">
        <v>298</v>
      </c>
      <c r="AB1782" s="6" t="s">
        <v>240</v>
      </c>
      <c r="AE1782" s="6" t="s">
        <v>299</v>
      </c>
      <c r="AF1782" s="5" t="s">
        <v>248</v>
      </c>
      <c r="AG1782" s="5" t="s">
        <v>249</v>
      </c>
      <c r="AW1782" s="5" t="s">
        <v>251</v>
      </c>
      <c r="AX1782" s="5" t="s">
        <v>240</v>
      </c>
      <c r="AY1782" s="5" t="s">
        <v>253</v>
      </c>
      <c r="AZ1782" s="5" t="s">
        <v>240</v>
      </c>
      <c r="BA1782" s="5" t="s">
        <v>255</v>
      </c>
      <c r="BB1782" s="5" t="s">
        <v>240</v>
      </c>
      <c r="BD1782" s="5" t="s">
        <v>240</v>
      </c>
      <c r="BF1782" s="5" t="s">
        <v>301</v>
      </c>
      <c r="BG1782" s="6" t="s">
        <v>299</v>
      </c>
      <c r="BH1782" s="5" t="s">
        <v>302</v>
      </c>
      <c r="BI1782" s="5" t="s">
        <v>303</v>
      </c>
      <c r="BJ1782" s="5" t="s">
        <v>240</v>
      </c>
      <c r="BK1782" s="8">
        <f>0</f>
        <v>0</v>
      </c>
      <c r="BL1782" s="7">
        <f>0</f>
        <v>0</v>
      </c>
      <c r="BM1782" s="5" t="s">
        <v>258</v>
      </c>
      <c r="BN1782" s="5" t="s">
        <v>259</v>
      </c>
      <c r="CB1782" s="5" t="s">
        <v>240</v>
      </c>
      <c r="CC1782" s="5" t="s">
        <v>240</v>
      </c>
      <c r="CG1782" s="5" t="s">
        <v>304</v>
      </c>
      <c r="CH1782" s="5" t="s">
        <v>305</v>
      </c>
      <c r="CI1782" s="5" t="s">
        <v>240</v>
      </c>
      <c r="CL1782" s="6" t="s">
        <v>261</v>
      </c>
      <c r="CM1782" s="5" t="s">
        <v>240</v>
      </c>
      <c r="CN1782" s="5" t="s">
        <v>263</v>
      </c>
      <c r="CO1782" s="5" t="s">
        <v>240</v>
      </c>
      <c r="CP1782" s="5" t="s">
        <v>240</v>
      </c>
      <c r="CQ1782" s="5">
        <v>0</v>
      </c>
      <c r="CR1782" s="5" t="s">
        <v>306</v>
      </c>
      <c r="CS1782" s="5" t="s">
        <v>307</v>
      </c>
      <c r="CT1782" s="5" t="s">
        <v>307</v>
      </c>
      <c r="CU1782" s="5" t="s">
        <v>260</v>
      </c>
      <c r="CX1782" s="7">
        <f>1</f>
        <v>1</v>
      </c>
      <c r="CY1782" s="7">
        <f>0</f>
        <v>0</v>
      </c>
      <c r="DA1782" s="7">
        <f>0</f>
        <v>0</v>
      </c>
      <c r="DC1782" s="5" t="s">
        <v>812</v>
      </c>
      <c r="DD1782" s="5" t="s">
        <v>240</v>
      </c>
      <c r="DF1782" s="5" t="s">
        <v>812</v>
      </c>
      <c r="DG1782" s="7">
        <f>743</f>
        <v>743</v>
      </c>
      <c r="DI1782" s="5" t="s">
        <v>240</v>
      </c>
      <c r="DJ1782" s="5" t="s">
        <v>240</v>
      </c>
      <c r="DK1782" s="5" t="s">
        <v>240</v>
      </c>
      <c r="DL1782" s="5" t="s">
        <v>240</v>
      </c>
      <c r="DP1782" s="5" t="s">
        <v>240</v>
      </c>
      <c r="DQ1782" s="5" t="s">
        <v>240</v>
      </c>
      <c r="DR1782" s="5" t="s">
        <v>240</v>
      </c>
      <c r="DS1782" s="5" t="s">
        <v>240</v>
      </c>
      <c r="DV1782" s="5" t="s">
        <v>813</v>
      </c>
      <c r="DW1782" s="5" t="s">
        <v>3699</v>
      </c>
      <c r="HO1782" s="5" t="s">
        <v>312</v>
      </c>
    </row>
    <row r="1783" spans="1:240" x14ac:dyDescent="0.4">
      <c r="A1783" s="5">
        <v>3480</v>
      </c>
      <c r="B1783" s="5">
        <v>1</v>
      </c>
      <c r="C1783" s="5">
        <v>1</v>
      </c>
      <c r="D1783" s="5" t="s">
        <v>297</v>
      </c>
      <c r="E1783" s="5" t="s">
        <v>245</v>
      </c>
      <c r="F1783" s="5" t="s">
        <v>254</v>
      </c>
      <c r="G1783" s="5" t="s">
        <v>295</v>
      </c>
      <c r="H1783" s="6" t="s">
        <v>6137</v>
      </c>
      <c r="I1783" s="5" t="s">
        <v>6135</v>
      </c>
      <c r="J1783" s="8">
        <f>138.53</f>
        <v>138.53</v>
      </c>
      <c r="K1783" s="5" t="s">
        <v>308</v>
      </c>
      <c r="L1783" s="7">
        <f>2730121</f>
        <v>2730121</v>
      </c>
      <c r="M1783" s="7">
        <f>2730121</f>
        <v>2730121</v>
      </c>
      <c r="N1783" s="5" t="s">
        <v>242</v>
      </c>
      <c r="O1783" s="5">
        <v>1</v>
      </c>
      <c r="P1783" s="5" t="s">
        <v>294</v>
      </c>
      <c r="Q1783" s="5" t="s">
        <v>266</v>
      </c>
      <c r="R1783" s="5" t="s">
        <v>240</v>
      </c>
      <c r="S1783" s="5" t="s">
        <v>240</v>
      </c>
      <c r="T1783" s="5" t="s">
        <v>296</v>
      </c>
      <c r="U1783" s="5" t="s">
        <v>244</v>
      </c>
      <c r="V1783" s="5" t="s">
        <v>240</v>
      </c>
      <c r="Y1783" s="5" t="s">
        <v>240</v>
      </c>
      <c r="Z1783" s="6" t="s">
        <v>298</v>
      </c>
      <c r="AB1783" s="6" t="s">
        <v>240</v>
      </c>
      <c r="AE1783" s="6" t="s">
        <v>299</v>
      </c>
      <c r="AF1783" s="5" t="s">
        <v>248</v>
      </c>
      <c r="AG1783" s="5" t="s">
        <v>249</v>
      </c>
      <c r="AW1783" s="5" t="s">
        <v>251</v>
      </c>
      <c r="AX1783" s="5" t="s">
        <v>240</v>
      </c>
      <c r="AY1783" s="5" t="s">
        <v>253</v>
      </c>
      <c r="AZ1783" s="5" t="s">
        <v>240</v>
      </c>
      <c r="BA1783" s="5" t="s">
        <v>255</v>
      </c>
      <c r="BB1783" s="5" t="s">
        <v>240</v>
      </c>
      <c r="BD1783" s="5" t="s">
        <v>240</v>
      </c>
      <c r="BF1783" s="5" t="s">
        <v>301</v>
      </c>
      <c r="BG1783" s="6" t="s">
        <v>299</v>
      </c>
      <c r="BH1783" s="5" t="s">
        <v>302</v>
      </c>
      <c r="BI1783" s="5" t="s">
        <v>303</v>
      </c>
      <c r="BJ1783" s="5" t="s">
        <v>240</v>
      </c>
      <c r="BK1783" s="8">
        <f>0</f>
        <v>0</v>
      </c>
      <c r="BL1783" s="7">
        <f>0</f>
        <v>0</v>
      </c>
      <c r="BM1783" s="5" t="s">
        <v>258</v>
      </c>
      <c r="BN1783" s="5" t="s">
        <v>259</v>
      </c>
      <c r="CB1783" s="5" t="s">
        <v>240</v>
      </c>
      <c r="CC1783" s="5" t="s">
        <v>240</v>
      </c>
      <c r="CG1783" s="5" t="s">
        <v>304</v>
      </c>
      <c r="CH1783" s="5" t="s">
        <v>305</v>
      </c>
      <c r="CI1783" s="5" t="s">
        <v>240</v>
      </c>
      <c r="CL1783" s="6" t="s">
        <v>261</v>
      </c>
      <c r="CM1783" s="5" t="s">
        <v>240</v>
      </c>
      <c r="CN1783" s="5" t="s">
        <v>263</v>
      </c>
      <c r="CO1783" s="5" t="s">
        <v>240</v>
      </c>
      <c r="CP1783" s="5" t="s">
        <v>240</v>
      </c>
      <c r="CQ1783" s="5">
        <v>0</v>
      </c>
      <c r="CR1783" s="5" t="s">
        <v>306</v>
      </c>
      <c r="CS1783" s="5" t="s">
        <v>307</v>
      </c>
      <c r="CT1783" s="5" t="s">
        <v>307</v>
      </c>
      <c r="CU1783" s="5" t="s">
        <v>260</v>
      </c>
      <c r="CX1783" s="7">
        <f>1</f>
        <v>1</v>
      </c>
      <c r="CY1783" s="7">
        <f>0</f>
        <v>0</v>
      </c>
      <c r="DA1783" s="7">
        <f>0</f>
        <v>0</v>
      </c>
      <c r="DC1783" s="5" t="s">
        <v>812</v>
      </c>
      <c r="DD1783" s="5" t="s">
        <v>240</v>
      </c>
      <c r="DF1783" s="5" t="s">
        <v>812</v>
      </c>
      <c r="DG1783" s="7">
        <f>436</f>
        <v>436</v>
      </c>
      <c r="DI1783" s="5" t="s">
        <v>240</v>
      </c>
      <c r="DJ1783" s="5" t="s">
        <v>240</v>
      </c>
      <c r="DK1783" s="5" t="s">
        <v>240</v>
      </c>
      <c r="DL1783" s="5" t="s">
        <v>240</v>
      </c>
      <c r="DP1783" s="5" t="s">
        <v>240</v>
      </c>
      <c r="DQ1783" s="5" t="s">
        <v>240</v>
      </c>
      <c r="DR1783" s="5" t="s">
        <v>240</v>
      </c>
      <c r="DS1783" s="5" t="s">
        <v>240</v>
      </c>
      <c r="DV1783" s="5" t="s">
        <v>813</v>
      </c>
      <c r="DW1783" s="5" t="s">
        <v>3701</v>
      </c>
      <c r="HO1783" s="5" t="s">
        <v>312</v>
      </c>
    </row>
    <row r="1784" spans="1:240" x14ac:dyDescent="0.4">
      <c r="A1784" s="5">
        <v>3481</v>
      </c>
      <c r="B1784" s="5">
        <v>1</v>
      </c>
      <c r="C1784" s="5">
        <v>1</v>
      </c>
      <c r="D1784" s="5" t="s">
        <v>297</v>
      </c>
      <c r="E1784" s="5" t="s">
        <v>245</v>
      </c>
      <c r="F1784" s="5" t="s">
        <v>254</v>
      </c>
      <c r="G1784" s="5" t="s">
        <v>295</v>
      </c>
      <c r="H1784" s="6" t="s">
        <v>6154</v>
      </c>
      <c r="I1784" s="5" t="s">
        <v>6152</v>
      </c>
      <c r="J1784" s="8">
        <f>144.85</f>
        <v>144.85</v>
      </c>
      <c r="K1784" s="5" t="s">
        <v>308</v>
      </c>
      <c r="L1784" s="7">
        <f>1143000</f>
        <v>1143000</v>
      </c>
      <c r="M1784" s="7">
        <f>1143000</f>
        <v>1143000</v>
      </c>
      <c r="N1784" s="5" t="s">
        <v>242</v>
      </c>
      <c r="O1784" s="5">
        <v>1</v>
      </c>
      <c r="P1784" s="5" t="s">
        <v>294</v>
      </c>
      <c r="Q1784" s="5" t="s">
        <v>266</v>
      </c>
      <c r="R1784" s="5" t="s">
        <v>240</v>
      </c>
      <c r="S1784" s="5" t="s">
        <v>240</v>
      </c>
      <c r="T1784" s="5" t="s">
        <v>296</v>
      </c>
      <c r="U1784" s="5" t="s">
        <v>244</v>
      </c>
      <c r="V1784" s="5" t="s">
        <v>240</v>
      </c>
      <c r="Y1784" s="5" t="s">
        <v>240</v>
      </c>
      <c r="Z1784" s="6" t="s">
        <v>298</v>
      </c>
      <c r="AB1784" s="6" t="s">
        <v>240</v>
      </c>
      <c r="AE1784" s="6" t="s">
        <v>299</v>
      </c>
      <c r="AF1784" s="5" t="s">
        <v>248</v>
      </c>
      <c r="AG1784" s="5" t="s">
        <v>249</v>
      </c>
      <c r="AW1784" s="5" t="s">
        <v>251</v>
      </c>
      <c r="AX1784" s="5" t="s">
        <v>240</v>
      </c>
      <c r="AY1784" s="5" t="s">
        <v>253</v>
      </c>
      <c r="AZ1784" s="5" t="s">
        <v>240</v>
      </c>
      <c r="BA1784" s="5" t="s">
        <v>255</v>
      </c>
      <c r="BB1784" s="5" t="s">
        <v>240</v>
      </c>
      <c r="BD1784" s="5" t="s">
        <v>240</v>
      </c>
      <c r="BF1784" s="5" t="s">
        <v>301</v>
      </c>
      <c r="BG1784" s="6" t="s">
        <v>299</v>
      </c>
      <c r="BH1784" s="5" t="s">
        <v>302</v>
      </c>
      <c r="BI1784" s="5" t="s">
        <v>303</v>
      </c>
      <c r="BJ1784" s="5" t="s">
        <v>240</v>
      </c>
      <c r="BK1784" s="8">
        <f>0</f>
        <v>0</v>
      </c>
      <c r="BL1784" s="7">
        <f>0</f>
        <v>0</v>
      </c>
      <c r="BM1784" s="5" t="s">
        <v>258</v>
      </c>
      <c r="BN1784" s="5" t="s">
        <v>259</v>
      </c>
      <c r="CB1784" s="5" t="s">
        <v>240</v>
      </c>
      <c r="CC1784" s="5" t="s">
        <v>240</v>
      </c>
      <c r="CG1784" s="5" t="s">
        <v>304</v>
      </c>
      <c r="CH1784" s="5" t="s">
        <v>305</v>
      </c>
      <c r="CI1784" s="5" t="s">
        <v>240</v>
      </c>
      <c r="CL1784" s="6" t="s">
        <v>261</v>
      </c>
      <c r="CM1784" s="5" t="s">
        <v>240</v>
      </c>
      <c r="CN1784" s="5" t="s">
        <v>263</v>
      </c>
      <c r="CO1784" s="5" t="s">
        <v>240</v>
      </c>
      <c r="CP1784" s="5" t="s">
        <v>240</v>
      </c>
      <c r="CQ1784" s="5">
        <v>0</v>
      </c>
      <c r="CR1784" s="5" t="s">
        <v>306</v>
      </c>
      <c r="CS1784" s="5" t="s">
        <v>307</v>
      </c>
      <c r="CT1784" s="5" t="s">
        <v>307</v>
      </c>
      <c r="CU1784" s="5" t="s">
        <v>260</v>
      </c>
      <c r="CX1784" s="7">
        <f>1</f>
        <v>1</v>
      </c>
      <c r="CY1784" s="7">
        <f>0</f>
        <v>0</v>
      </c>
      <c r="DA1784" s="7">
        <f>0</f>
        <v>0</v>
      </c>
      <c r="DC1784" s="5" t="s">
        <v>812</v>
      </c>
      <c r="DD1784" s="5" t="s">
        <v>240</v>
      </c>
      <c r="DF1784" s="5" t="s">
        <v>812</v>
      </c>
      <c r="DG1784" s="7">
        <f>169</f>
        <v>169</v>
      </c>
      <c r="DI1784" s="5" t="s">
        <v>240</v>
      </c>
      <c r="DJ1784" s="5" t="s">
        <v>240</v>
      </c>
      <c r="DK1784" s="5" t="s">
        <v>240</v>
      </c>
      <c r="DL1784" s="5" t="s">
        <v>240</v>
      </c>
      <c r="DP1784" s="5" t="s">
        <v>240</v>
      </c>
      <c r="DQ1784" s="5" t="s">
        <v>240</v>
      </c>
      <c r="DR1784" s="5" t="s">
        <v>240</v>
      </c>
      <c r="DS1784" s="5" t="s">
        <v>240</v>
      </c>
      <c r="DV1784" s="5" t="s">
        <v>813</v>
      </c>
      <c r="DW1784" s="5" t="s">
        <v>3703</v>
      </c>
      <c r="HO1784" s="5" t="s">
        <v>312</v>
      </c>
    </row>
    <row r="1785" spans="1:240" x14ac:dyDescent="0.4">
      <c r="A1785" s="5">
        <v>3482</v>
      </c>
      <c r="B1785" s="5">
        <v>1</v>
      </c>
      <c r="C1785" s="5">
        <v>1</v>
      </c>
      <c r="D1785" s="5" t="s">
        <v>297</v>
      </c>
      <c r="E1785" s="5" t="s">
        <v>245</v>
      </c>
      <c r="F1785" s="5" t="s">
        <v>254</v>
      </c>
      <c r="G1785" s="5" t="s">
        <v>295</v>
      </c>
      <c r="H1785" s="6" t="s">
        <v>6168</v>
      </c>
      <c r="I1785" s="5" t="s">
        <v>6167</v>
      </c>
      <c r="J1785" s="8">
        <f>503.93</f>
        <v>503.93</v>
      </c>
      <c r="K1785" s="5" t="s">
        <v>308</v>
      </c>
      <c r="L1785" s="7">
        <f>4925510</f>
        <v>4925510</v>
      </c>
      <c r="M1785" s="7">
        <f>4925510</f>
        <v>4925510</v>
      </c>
      <c r="N1785" s="5" t="s">
        <v>242</v>
      </c>
      <c r="O1785" s="5">
        <v>1</v>
      </c>
      <c r="P1785" s="5" t="s">
        <v>294</v>
      </c>
      <c r="Q1785" s="5" t="s">
        <v>266</v>
      </c>
      <c r="R1785" s="5" t="s">
        <v>240</v>
      </c>
      <c r="S1785" s="5" t="s">
        <v>240</v>
      </c>
      <c r="T1785" s="5" t="s">
        <v>296</v>
      </c>
      <c r="U1785" s="5" t="s">
        <v>244</v>
      </c>
      <c r="V1785" s="5" t="s">
        <v>240</v>
      </c>
      <c r="Y1785" s="5" t="s">
        <v>240</v>
      </c>
      <c r="Z1785" s="6" t="s">
        <v>298</v>
      </c>
      <c r="AB1785" s="6" t="s">
        <v>240</v>
      </c>
      <c r="AE1785" s="6" t="s">
        <v>299</v>
      </c>
      <c r="AF1785" s="5" t="s">
        <v>248</v>
      </c>
      <c r="AG1785" s="5" t="s">
        <v>249</v>
      </c>
      <c r="AW1785" s="5" t="s">
        <v>251</v>
      </c>
      <c r="AX1785" s="5" t="s">
        <v>240</v>
      </c>
      <c r="AY1785" s="5" t="s">
        <v>253</v>
      </c>
      <c r="AZ1785" s="5" t="s">
        <v>240</v>
      </c>
      <c r="BA1785" s="5" t="s">
        <v>255</v>
      </c>
      <c r="BB1785" s="5" t="s">
        <v>240</v>
      </c>
      <c r="BD1785" s="5" t="s">
        <v>240</v>
      </c>
      <c r="BF1785" s="5" t="s">
        <v>301</v>
      </c>
      <c r="BG1785" s="6" t="s">
        <v>299</v>
      </c>
      <c r="BH1785" s="5" t="s">
        <v>302</v>
      </c>
      <c r="BI1785" s="5" t="s">
        <v>303</v>
      </c>
      <c r="BJ1785" s="5" t="s">
        <v>240</v>
      </c>
      <c r="BK1785" s="8">
        <f>0</f>
        <v>0</v>
      </c>
      <c r="BL1785" s="7">
        <f>0</f>
        <v>0</v>
      </c>
      <c r="BM1785" s="5" t="s">
        <v>258</v>
      </c>
      <c r="BN1785" s="5" t="s">
        <v>259</v>
      </c>
      <c r="CB1785" s="5" t="s">
        <v>240</v>
      </c>
      <c r="CC1785" s="5" t="s">
        <v>240</v>
      </c>
      <c r="CG1785" s="5" t="s">
        <v>304</v>
      </c>
      <c r="CH1785" s="5" t="s">
        <v>305</v>
      </c>
      <c r="CI1785" s="5" t="s">
        <v>240</v>
      </c>
      <c r="CL1785" s="6" t="s">
        <v>261</v>
      </c>
      <c r="CM1785" s="5" t="s">
        <v>240</v>
      </c>
      <c r="CN1785" s="5" t="s">
        <v>263</v>
      </c>
      <c r="CO1785" s="5" t="s">
        <v>240</v>
      </c>
      <c r="CP1785" s="5" t="s">
        <v>240</v>
      </c>
      <c r="CQ1785" s="5">
        <v>0</v>
      </c>
      <c r="CR1785" s="5" t="s">
        <v>306</v>
      </c>
      <c r="CS1785" s="5" t="s">
        <v>307</v>
      </c>
      <c r="CT1785" s="5" t="s">
        <v>307</v>
      </c>
      <c r="CU1785" s="5" t="s">
        <v>260</v>
      </c>
      <c r="CX1785" s="7">
        <f>1</f>
        <v>1</v>
      </c>
      <c r="CY1785" s="7">
        <f>0</f>
        <v>0</v>
      </c>
      <c r="DA1785" s="7">
        <f>0</f>
        <v>0</v>
      </c>
      <c r="DC1785" s="5" t="s">
        <v>812</v>
      </c>
      <c r="DD1785" s="5" t="s">
        <v>240</v>
      </c>
      <c r="DF1785" s="5" t="s">
        <v>812</v>
      </c>
      <c r="DG1785" s="7">
        <f>3268</f>
        <v>3268</v>
      </c>
      <c r="DI1785" s="5" t="s">
        <v>240</v>
      </c>
      <c r="DJ1785" s="5" t="s">
        <v>240</v>
      </c>
      <c r="DK1785" s="5" t="s">
        <v>240</v>
      </c>
      <c r="DL1785" s="5" t="s">
        <v>240</v>
      </c>
      <c r="DP1785" s="5" t="s">
        <v>240</v>
      </c>
      <c r="DQ1785" s="5" t="s">
        <v>240</v>
      </c>
      <c r="DR1785" s="5" t="s">
        <v>240</v>
      </c>
      <c r="DS1785" s="5" t="s">
        <v>240</v>
      </c>
      <c r="DV1785" s="5" t="s">
        <v>813</v>
      </c>
      <c r="DW1785" s="5" t="s">
        <v>3705</v>
      </c>
      <c r="HO1785" s="5" t="s">
        <v>312</v>
      </c>
    </row>
    <row r="1786" spans="1:240" x14ac:dyDescent="0.4">
      <c r="A1786" s="5">
        <v>3483</v>
      </c>
      <c r="B1786" s="5">
        <v>1</v>
      </c>
      <c r="C1786" s="5">
        <v>1</v>
      </c>
      <c r="D1786" s="5" t="s">
        <v>297</v>
      </c>
      <c r="E1786" s="5" t="s">
        <v>245</v>
      </c>
      <c r="F1786" s="5" t="s">
        <v>254</v>
      </c>
      <c r="G1786" s="5" t="s">
        <v>295</v>
      </c>
      <c r="H1786" s="6" t="s">
        <v>6171</v>
      </c>
      <c r="I1786" s="5" t="s">
        <v>6169</v>
      </c>
      <c r="J1786" s="8">
        <f>52.01</f>
        <v>52.01</v>
      </c>
      <c r="K1786" s="5" t="s">
        <v>308</v>
      </c>
      <c r="L1786" s="7">
        <f>11246035</f>
        <v>11246035</v>
      </c>
      <c r="M1786" s="7">
        <f>11246035</f>
        <v>11246035</v>
      </c>
      <c r="N1786" s="5" t="s">
        <v>242</v>
      </c>
      <c r="O1786" s="5">
        <v>1</v>
      </c>
      <c r="P1786" s="5" t="s">
        <v>294</v>
      </c>
      <c r="Q1786" s="5" t="s">
        <v>266</v>
      </c>
      <c r="R1786" s="5" t="s">
        <v>240</v>
      </c>
      <c r="S1786" s="5" t="s">
        <v>240</v>
      </c>
      <c r="T1786" s="5" t="s">
        <v>296</v>
      </c>
      <c r="U1786" s="5" t="s">
        <v>244</v>
      </c>
      <c r="V1786" s="5" t="s">
        <v>240</v>
      </c>
      <c r="Y1786" s="5" t="s">
        <v>240</v>
      </c>
      <c r="Z1786" s="6" t="s">
        <v>298</v>
      </c>
      <c r="AB1786" s="6" t="s">
        <v>240</v>
      </c>
      <c r="AE1786" s="6" t="s">
        <v>299</v>
      </c>
      <c r="AF1786" s="5" t="s">
        <v>248</v>
      </c>
      <c r="AG1786" s="5" t="s">
        <v>249</v>
      </c>
      <c r="AW1786" s="5" t="s">
        <v>251</v>
      </c>
      <c r="AX1786" s="5" t="s">
        <v>240</v>
      </c>
      <c r="AY1786" s="5" t="s">
        <v>253</v>
      </c>
      <c r="AZ1786" s="5" t="s">
        <v>240</v>
      </c>
      <c r="BA1786" s="5" t="s">
        <v>255</v>
      </c>
      <c r="BB1786" s="5" t="s">
        <v>240</v>
      </c>
      <c r="BD1786" s="5" t="s">
        <v>240</v>
      </c>
      <c r="BF1786" s="5" t="s">
        <v>301</v>
      </c>
      <c r="BG1786" s="6" t="s">
        <v>299</v>
      </c>
      <c r="BH1786" s="5" t="s">
        <v>302</v>
      </c>
      <c r="BI1786" s="5" t="s">
        <v>303</v>
      </c>
      <c r="BJ1786" s="5" t="s">
        <v>240</v>
      </c>
      <c r="BK1786" s="8">
        <f>0</f>
        <v>0</v>
      </c>
      <c r="BL1786" s="7">
        <f>0</f>
        <v>0</v>
      </c>
      <c r="BM1786" s="5" t="s">
        <v>258</v>
      </c>
      <c r="BN1786" s="5" t="s">
        <v>259</v>
      </c>
      <c r="CB1786" s="5" t="s">
        <v>240</v>
      </c>
      <c r="CC1786" s="5" t="s">
        <v>240</v>
      </c>
      <c r="CG1786" s="5" t="s">
        <v>304</v>
      </c>
      <c r="CH1786" s="5" t="s">
        <v>305</v>
      </c>
      <c r="CI1786" s="5" t="s">
        <v>240</v>
      </c>
      <c r="CL1786" s="6" t="s">
        <v>261</v>
      </c>
      <c r="CM1786" s="5" t="s">
        <v>240</v>
      </c>
      <c r="CN1786" s="5" t="s">
        <v>263</v>
      </c>
      <c r="CO1786" s="5" t="s">
        <v>240</v>
      </c>
      <c r="CP1786" s="5" t="s">
        <v>240</v>
      </c>
      <c r="CQ1786" s="5">
        <v>0</v>
      </c>
      <c r="CR1786" s="5" t="s">
        <v>306</v>
      </c>
      <c r="CS1786" s="5" t="s">
        <v>307</v>
      </c>
      <c r="CT1786" s="5" t="s">
        <v>307</v>
      </c>
      <c r="CU1786" s="5" t="s">
        <v>260</v>
      </c>
      <c r="CX1786" s="7">
        <f>1</f>
        <v>1</v>
      </c>
      <c r="CY1786" s="7">
        <f>0</f>
        <v>0</v>
      </c>
      <c r="DA1786" s="7">
        <f>0</f>
        <v>0</v>
      </c>
      <c r="DC1786" s="5" t="s">
        <v>812</v>
      </c>
      <c r="DD1786" s="5" t="s">
        <v>240</v>
      </c>
      <c r="DF1786" s="5" t="s">
        <v>812</v>
      </c>
      <c r="DG1786" s="7">
        <f>3889</f>
        <v>3889</v>
      </c>
      <c r="DI1786" s="5" t="s">
        <v>240</v>
      </c>
      <c r="DJ1786" s="5" t="s">
        <v>240</v>
      </c>
      <c r="DK1786" s="5" t="s">
        <v>240</v>
      </c>
      <c r="DL1786" s="5" t="s">
        <v>240</v>
      </c>
      <c r="DP1786" s="5" t="s">
        <v>240</v>
      </c>
      <c r="DQ1786" s="5" t="s">
        <v>240</v>
      </c>
      <c r="DR1786" s="5" t="s">
        <v>240</v>
      </c>
      <c r="DS1786" s="5" t="s">
        <v>240</v>
      </c>
      <c r="DV1786" s="5" t="s">
        <v>813</v>
      </c>
      <c r="DW1786" s="5" t="s">
        <v>3707</v>
      </c>
      <c r="HO1786" s="5" t="s">
        <v>312</v>
      </c>
    </row>
    <row r="1787" spans="1:240" x14ac:dyDescent="0.4">
      <c r="A1787" s="5">
        <v>3484</v>
      </c>
      <c r="B1787" s="5">
        <v>1</v>
      </c>
      <c r="C1787" s="5">
        <v>1</v>
      </c>
      <c r="D1787" s="5" t="s">
        <v>297</v>
      </c>
      <c r="E1787" s="5" t="s">
        <v>245</v>
      </c>
      <c r="F1787" s="5" t="s">
        <v>254</v>
      </c>
      <c r="G1787" s="5" t="s">
        <v>295</v>
      </c>
      <c r="H1787" s="6" t="s">
        <v>6480</v>
      </c>
      <c r="I1787" s="5" t="s">
        <v>6478</v>
      </c>
      <c r="J1787" s="8">
        <f>71.65</f>
        <v>71.650000000000006</v>
      </c>
      <c r="K1787" s="5" t="s">
        <v>308</v>
      </c>
      <c r="L1787" s="7">
        <f>343100</f>
        <v>343100</v>
      </c>
      <c r="M1787" s="7">
        <f>343100</f>
        <v>343100</v>
      </c>
      <c r="N1787" s="5" t="s">
        <v>242</v>
      </c>
      <c r="O1787" s="5">
        <v>1</v>
      </c>
      <c r="P1787" s="5" t="s">
        <v>294</v>
      </c>
      <c r="Q1787" s="5" t="s">
        <v>266</v>
      </c>
      <c r="R1787" s="5" t="s">
        <v>240</v>
      </c>
      <c r="S1787" s="5" t="s">
        <v>240</v>
      </c>
      <c r="T1787" s="5" t="s">
        <v>296</v>
      </c>
      <c r="U1787" s="5" t="s">
        <v>244</v>
      </c>
      <c r="V1787" s="5" t="s">
        <v>240</v>
      </c>
      <c r="Y1787" s="5" t="s">
        <v>240</v>
      </c>
      <c r="Z1787" s="6" t="s">
        <v>298</v>
      </c>
      <c r="AB1787" s="6" t="s">
        <v>240</v>
      </c>
      <c r="AE1787" s="6" t="s">
        <v>299</v>
      </c>
      <c r="AF1787" s="5" t="s">
        <v>248</v>
      </c>
      <c r="AG1787" s="5" t="s">
        <v>249</v>
      </c>
      <c r="AW1787" s="5" t="s">
        <v>251</v>
      </c>
      <c r="AX1787" s="5" t="s">
        <v>240</v>
      </c>
      <c r="AY1787" s="5" t="s">
        <v>253</v>
      </c>
      <c r="AZ1787" s="5" t="s">
        <v>240</v>
      </c>
      <c r="BA1787" s="5" t="s">
        <v>255</v>
      </c>
      <c r="BB1787" s="5" t="s">
        <v>240</v>
      </c>
      <c r="BD1787" s="5" t="s">
        <v>240</v>
      </c>
      <c r="BF1787" s="5" t="s">
        <v>301</v>
      </c>
      <c r="BG1787" s="6" t="s">
        <v>299</v>
      </c>
      <c r="BH1787" s="5" t="s">
        <v>302</v>
      </c>
      <c r="BI1787" s="5" t="s">
        <v>303</v>
      </c>
      <c r="BJ1787" s="5" t="s">
        <v>240</v>
      </c>
      <c r="BK1787" s="8">
        <f>0</f>
        <v>0</v>
      </c>
      <c r="BL1787" s="7">
        <f>0</f>
        <v>0</v>
      </c>
      <c r="BM1787" s="5" t="s">
        <v>258</v>
      </c>
      <c r="BN1787" s="5" t="s">
        <v>259</v>
      </c>
      <c r="CB1787" s="5" t="s">
        <v>240</v>
      </c>
      <c r="CC1787" s="5" t="s">
        <v>240</v>
      </c>
      <c r="CG1787" s="5" t="s">
        <v>304</v>
      </c>
      <c r="CH1787" s="5" t="s">
        <v>305</v>
      </c>
      <c r="CI1787" s="5" t="s">
        <v>240</v>
      </c>
      <c r="CL1787" s="6" t="s">
        <v>261</v>
      </c>
      <c r="CM1787" s="5" t="s">
        <v>240</v>
      </c>
      <c r="CN1787" s="5" t="s">
        <v>263</v>
      </c>
      <c r="CO1787" s="5" t="s">
        <v>240</v>
      </c>
      <c r="CP1787" s="5" t="s">
        <v>240</v>
      </c>
      <c r="CQ1787" s="5">
        <v>0</v>
      </c>
      <c r="CR1787" s="5" t="s">
        <v>306</v>
      </c>
      <c r="CS1787" s="5" t="s">
        <v>307</v>
      </c>
      <c r="CT1787" s="5" t="s">
        <v>307</v>
      </c>
      <c r="CU1787" s="5" t="s">
        <v>260</v>
      </c>
      <c r="CX1787" s="7">
        <f>1</f>
        <v>1</v>
      </c>
      <c r="CY1787" s="7">
        <f>0</f>
        <v>0</v>
      </c>
      <c r="DA1787" s="7">
        <f>0</f>
        <v>0</v>
      </c>
      <c r="DC1787" s="5" t="s">
        <v>812</v>
      </c>
      <c r="DD1787" s="5" t="s">
        <v>240</v>
      </c>
      <c r="DF1787" s="5" t="s">
        <v>812</v>
      </c>
      <c r="DG1787" s="7">
        <f>75</f>
        <v>75</v>
      </c>
      <c r="DI1787" s="5" t="s">
        <v>240</v>
      </c>
      <c r="DJ1787" s="5" t="s">
        <v>240</v>
      </c>
      <c r="DK1787" s="5" t="s">
        <v>240</v>
      </c>
      <c r="DL1787" s="5" t="s">
        <v>240</v>
      </c>
      <c r="DP1787" s="5" t="s">
        <v>240</v>
      </c>
      <c r="DQ1787" s="5" t="s">
        <v>240</v>
      </c>
      <c r="DR1787" s="5" t="s">
        <v>240</v>
      </c>
      <c r="DS1787" s="5" t="s">
        <v>240</v>
      </c>
      <c r="DV1787" s="5" t="s">
        <v>813</v>
      </c>
      <c r="DW1787" s="5" t="s">
        <v>3709</v>
      </c>
      <c r="HO1787" s="5" t="s">
        <v>312</v>
      </c>
    </row>
    <row r="1788" spans="1:240" x14ac:dyDescent="0.4">
      <c r="A1788" s="5">
        <v>3486</v>
      </c>
      <c r="B1788" s="5">
        <v>1</v>
      </c>
      <c r="C1788" s="5">
        <v>1</v>
      </c>
      <c r="D1788" s="5" t="s">
        <v>297</v>
      </c>
      <c r="E1788" s="5" t="s">
        <v>245</v>
      </c>
      <c r="F1788" s="5" t="s">
        <v>254</v>
      </c>
      <c r="G1788" s="5" t="s">
        <v>295</v>
      </c>
      <c r="H1788" s="6" t="s">
        <v>6490</v>
      </c>
      <c r="I1788" s="5" t="s">
        <v>6488</v>
      </c>
      <c r="J1788" s="8">
        <f>1477.89</f>
        <v>1477.89</v>
      </c>
      <c r="K1788" s="5" t="s">
        <v>308</v>
      </c>
      <c r="L1788" s="7">
        <f>12842982</f>
        <v>12842982</v>
      </c>
      <c r="M1788" s="7">
        <f>12842982</f>
        <v>12842982</v>
      </c>
      <c r="N1788" s="5" t="s">
        <v>242</v>
      </c>
      <c r="O1788" s="5">
        <v>1</v>
      </c>
      <c r="P1788" s="5" t="s">
        <v>294</v>
      </c>
      <c r="Q1788" s="5" t="s">
        <v>266</v>
      </c>
      <c r="R1788" s="5" t="s">
        <v>240</v>
      </c>
      <c r="S1788" s="5" t="s">
        <v>240</v>
      </c>
      <c r="T1788" s="5" t="s">
        <v>296</v>
      </c>
      <c r="U1788" s="5" t="s">
        <v>244</v>
      </c>
      <c r="V1788" s="5" t="s">
        <v>240</v>
      </c>
      <c r="Y1788" s="5" t="s">
        <v>240</v>
      </c>
      <c r="Z1788" s="6" t="s">
        <v>298</v>
      </c>
      <c r="AB1788" s="6" t="s">
        <v>240</v>
      </c>
      <c r="AE1788" s="6" t="s">
        <v>299</v>
      </c>
      <c r="AF1788" s="5" t="s">
        <v>248</v>
      </c>
      <c r="AG1788" s="5" t="s">
        <v>249</v>
      </c>
      <c r="AW1788" s="5" t="s">
        <v>251</v>
      </c>
      <c r="AX1788" s="5" t="s">
        <v>240</v>
      </c>
      <c r="AY1788" s="5" t="s">
        <v>253</v>
      </c>
      <c r="AZ1788" s="5" t="s">
        <v>240</v>
      </c>
      <c r="BA1788" s="5" t="s">
        <v>255</v>
      </c>
      <c r="BB1788" s="5" t="s">
        <v>240</v>
      </c>
      <c r="BD1788" s="5" t="s">
        <v>240</v>
      </c>
      <c r="BF1788" s="5" t="s">
        <v>301</v>
      </c>
      <c r="BG1788" s="6" t="s">
        <v>299</v>
      </c>
      <c r="BH1788" s="5" t="s">
        <v>302</v>
      </c>
      <c r="BI1788" s="5" t="s">
        <v>303</v>
      </c>
      <c r="BJ1788" s="5" t="s">
        <v>240</v>
      </c>
      <c r="BK1788" s="8">
        <f>0</f>
        <v>0</v>
      </c>
      <c r="BL1788" s="7">
        <f>0</f>
        <v>0</v>
      </c>
      <c r="BM1788" s="5" t="s">
        <v>258</v>
      </c>
      <c r="BN1788" s="5" t="s">
        <v>259</v>
      </c>
      <c r="CB1788" s="5" t="s">
        <v>240</v>
      </c>
      <c r="CC1788" s="5" t="s">
        <v>240</v>
      </c>
      <c r="CG1788" s="5" t="s">
        <v>304</v>
      </c>
      <c r="CH1788" s="5" t="s">
        <v>305</v>
      </c>
      <c r="CI1788" s="5" t="s">
        <v>240</v>
      </c>
      <c r="CL1788" s="6" t="s">
        <v>261</v>
      </c>
      <c r="CM1788" s="5" t="s">
        <v>240</v>
      </c>
      <c r="CN1788" s="5" t="s">
        <v>263</v>
      </c>
      <c r="CO1788" s="5" t="s">
        <v>240</v>
      </c>
      <c r="CP1788" s="5" t="s">
        <v>240</v>
      </c>
      <c r="CQ1788" s="5">
        <v>0</v>
      </c>
      <c r="CR1788" s="5" t="s">
        <v>306</v>
      </c>
      <c r="CS1788" s="5" t="s">
        <v>307</v>
      </c>
      <c r="CT1788" s="5" t="s">
        <v>307</v>
      </c>
      <c r="CU1788" s="5" t="s">
        <v>260</v>
      </c>
      <c r="CX1788" s="7">
        <f>1</f>
        <v>1</v>
      </c>
      <c r="CY1788" s="7">
        <f>0</f>
        <v>0</v>
      </c>
      <c r="DA1788" s="7">
        <f>0</f>
        <v>0</v>
      </c>
      <c r="DC1788" s="5" t="s">
        <v>812</v>
      </c>
      <c r="DD1788" s="5" t="s">
        <v>240</v>
      </c>
      <c r="DF1788" s="5" t="s">
        <v>812</v>
      </c>
      <c r="DG1788" s="7">
        <f>911</f>
        <v>911</v>
      </c>
      <c r="DI1788" s="5" t="s">
        <v>240</v>
      </c>
      <c r="DJ1788" s="5" t="s">
        <v>240</v>
      </c>
      <c r="DK1788" s="5" t="s">
        <v>240</v>
      </c>
      <c r="DL1788" s="5" t="s">
        <v>240</v>
      </c>
      <c r="DP1788" s="5" t="s">
        <v>240</v>
      </c>
      <c r="DQ1788" s="5" t="s">
        <v>240</v>
      </c>
      <c r="DR1788" s="5" t="s">
        <v>240</v>
      </c>
      <c r="DS1788" s="5" t="s">
        <v>240</v>
      </c>
      <c r="DV1788" s="5" t="s">
        <v>813</v>
      </c>
      <c r="DW1788" s="5" t="s">
        <v>3711</v>
      </c>
      <c r="HO1788" s="5" t="s">
        <v>312</v>
      </c>
    </row>
    <row r="1789" spans="1:240" x14ac:dyDescent="0.4">
      <c r="A1789" s="5">
        <v>3487</v>
      </c>
      <c r="B1789" s="5">
        <v>1</v>
      </c>
      <c r="C1789" s="5">
        <v>1</v>
      </c>
      <c r="D1789" s="5" t="s">
        <v>297</v>
      </c>
      <c r="E1789" s="5" t="s">
        <v>245</v>
      </c>
      <c r="F1789" s="5" t="s">
        <v>254</v>
      </c>
      <c r="G1789" s="5" t="s">
        <v>295</v>
      </c>
      <c r="H1789" s="6" t="s">
        <v>6137</v>
      </c>
      <c r="I1789" s="5" t="s">
        <v>6495</v>
      </c>
      <c r="J1789" s="8">
        <f>2314.82</f>
        <v>2314.8200000000002</v>
      </c>
      <c r="K1789" s="5" t="s">
        <v>308</v>
      </c>
      <c r="L1789" s="7">
        <f>14107612</f>
        <v>14107612</v>
      </c>
      <c r="M1789" s="7">
        <f>14107612</f>
        <v>14107612</v>
      </c>
      <c r="N1789" s="5" t="s">
        <v>242</v>
      </c>
      <c r="O1789" s="5">
        <v>1</v>
      </c>
      <c r="P1789" s="5" t="s">
        <v>294</v>
      </c>
      <c r="Q1789" s="5" t="s">
        <v>266</v>
      </c>
      <c r="R1789" s="5" t="s">
        <v>240</v>
      </c>
      <c r="S1789" s="5" t="s">
        <v>240</v>
      </c>
      <c r="T1789" s="5" t="s">
        <v>296</v>
      </c>
      <c r="U1789" s="5" t="s">
        <v>244</v>
      </c>
      <c r="V1789" s="5" t="s">
        <v>240</v>
      </c>
      <c r="Y1789" s="5" t="s">
        <v>240</v>
      </c>
      <c r="Z1789" s="6" t="s">
        <v>298</v>
      </c>
      <c r="AB1789" s="6" t="s">
        <v>240</v>
      </c>
      <c r="AE1789" s="6" t="s">
        <v>299</v>
      </c>
      <c r="AF1789" s="5" t="s">
        <v>248</v>
      </c>
      <c r="AG1789" s="5" t="s">
        <v>249</v>
      </c>
      <c r="AW1789" s="5" t="s">
        <v>251</v>
      </c>
      <c r="AX1789" s="5" t="s">
        <v>240</v>
      </c>
      <c r="AY1789" s="5" t="s">
        <v>253</v>
      </c>
      <c r="AZ1789" s="5" t="s">
        <v>240</v>
      </c>
      <c r="BA1789" s="5" t="s">
        <v>255</v>
      </c>
      <c r="BB1789" s="5" t="s">
        <v>240</v>
      </c>
      <c r="BD1789" s="5" t="s">
        <v>240</v>
      </c>
      <c r="BF1789" s="5" t="s">
        <v>301</v>
      </c>
      <c r="BG1789" s="6" t="s">
        <v>299</v>
      </c>
      <c r="BH1789" s="5" t="s">
        <v>302</v>
      </c>
      <c r="BI1789" s="5" t="s">
        <v>303</v>
      </c>
      <c r="BJ1789" s="5" t="s">
        <v>240</v>
      </c>
      <c r="BK1789" s="8">
        <f>0</f>
        <v>0</v>
      </c>
      <c r="BL1789" s="7">
        <f>0</f>
        <v>0</v>
      </c>
      <c r="BM1789" s="5" t="s">
        <v>258</v>
      </c>
      <c r="BN1789" s="5" t="s">
        <v>259</v>
      </c>
      <c r="CB1789" s="5" t="s">
        <v>240</v>
      </c>
      <c r="CC1789" s="5" t="s">
        <v>240</v>
      </c>
      <c r="CG1789" s="5" t="s">
        <v>304</v>
      </c>
      <c r="CH1789" s="5" t="s">
        <v>305</v>
      </c>
      <c r="CI1789" s="5" t="s">
        <v>240</v>
      </c>
      <c r="CL1789" s="6" t="s">
        <v>261</v>
      </c>
      <c r="CM1789" s="5" t="s">
        <v>240</v>
      </c>
      <c r="CN1789" s="5" t="s">
        <v>263</v>
      </c>
      <c r="CO1789" s="5" t="s">
        <v>240</v>
      </c>
      <c r="CP1789" s="5" t="s">
        <v>240</v>
      </c>
      <c r="CQ1789" s="5">
        <v>0</v>
      </c>
      <c r="CR1789" s="5" t="s">
        <v>306</v>
      </c>
      <c r="CS1789" s="5" t="s">
        <v>307</v>
      </c>
      <c r="CT1789" s="5" t="s">
        <v>307</v>
      </c>
      <c r="CU1789" s="5" t="s">
        <v>260</v>
      </c>
      <c r="CX1789" s="7">
        <f>1</f>
        <v>1</v>
      </c>
      <c r="CY1789" s="7">
        <f>0</f>
        <v>0</v>
      </c>
      <c r="DA1789" s="7">
        <f>0</f>
        <v>0</v>
      </c>
      <c r="DC1789" s="5" t="s">
        <v>812</v>
      </c>
      <c r="DD1789" s="5" t="s">
        <v>240</v>
      </c>
      <c r="DF1789" s="5" t="s">
        <v>812</v>
      </c>
      <c r="DG1789" s="7">
        <f>245</f>
        <v>245</v>
      </c>
      <c r="DI1789" s="5" t="s">
        <v>240</v>
      </c>
      <c r="DJ1789" s="5" t="s">
        <v>240</v>
      </c>
      <c r="DK1789" s="5" t="s">
        <v>240</v>
      </c>
      <c r="DL1789" s="5" t="s">
        <v>240</v>
      </c>
      <c r="DP1789" s="5" t="s">
        <v>240</v>
      </c>
      <c r="DQ1789" s="5" t="s">
        <v>240</v>
      </c>
      <c r="DR1789" s="5" t="s">
        <v>240</v>
      </c>
      <c r="DS1789" s="5" t="s">
        <v>240</v>
      </c>
      <c r="DV1789" s="5" t="s">
        <v>813</v>
      </c>
      <c r="DW1789" s="5" t="s">
        <v>3713</v>
      </c>
      <c r="HO1789" s="5" t="s">
        <v>312</v>
      </c>
    </row>
    <row r="1790" spans="1:240" x14ac:dyDescent="0.4">
      <c r="A1790" s="5">
        <v>3488</v>
      </c>
      <c r="B1790" s="5">
        <v>1</v>
      </c>
      <c r="C1790" s="5">
        <v>1</v>
      </c>
      <c r="D1790" s="5" t="s">
        <v>297</v>
      </c>
      <c r="E1790" s="5" t="s">
        <v>245</v>
      </c>
      <c r="F1790" s="5" t="s">
        <v>254</v>
      </c>
      <c r="G1790" s="5" t="s">
        <v>295</v>
      </c>
      <c r="H1790" s="6" t="s">
        <v>6498</v>
      </c>
      <c r="I1790" s="5" t="s">
        <v>6497</v>
      </c>
      <c r="J1790" s="8">
        <f>12.97</f>
        <v>12.97</v>
      </c>
      <c r="K1790" s="5" t="s">
        <v>308</v>
      </c>
      <c r="L1790" s="7">
        <f>74457</f>
        <v>74457</v>
      </c>
      <c r="M1790" s="7">
        <f>74457</f>
        <v>74457</v>
      </c>
      <c r="N1790" s="5" t="s">
        <v>242</v>
      </c>
      <c r="O1790" s="5">
        <v>1</v>
      </c>
      <c r="P1790" s="5" t="s">
        <v>294</v>
      </c>
      <c r="Q1790" s="5" t="s">
        <v>266</v>
      </c>
      <c r="R1790" s="5" t="s">
        <v>240</v>
      </c>
      <c r="S1790" s="5" t="s">
        <v>240</v>
      </c>
      <c r="T1790" s="5" t="s">
        <v>296</v>
      </c>
      <c r="U1790" s="5" t="s">
        <v>244</v>
      </c>
      <c r="V1790" s="5" t="s">
        <v>240</v>
      </c>
      <c r="Y1790" s="5" t="s">
        <v>240</v>
      </c>
      <c r="Z1790" s="6" t="s">
        <v>298</v>
      </c>
      <c r="AB1790" s="6" t="s">
        <v>240</v>
      </c>
      <c r="AE1790" s="6" t="s">
        <v>299</v>
      </c>
      <c r="AF1790" s="5" t="s">
        <v>248</v>
      </c>
      <c r="AG1790" s="5" t="s">
        <v>249</v>
      </c>
      <c r="AW1790" s="5" t="s">
        <v>251</v>
      </c>
      <c r="AX1790" s="5" t="s">
        <v>240</v>
      </c>
      <c r="AY1790" s="5" t="s">
        <v>253</v>
      </c>
      <c r="AZ1790" s="5" t="s">
        <v>240</v>
      </c>
      <c r="BA1790" s="5" t="s">
        <v>255</v>
      </c>
      <c r="BB1790" s="5" t="s">
        <v>240</v>
      </c>
      <c r="BD1790" s="5" t="s">
        <v>240</v>
      </c>
      <c r="BF1790" s="5" t="s">
        <v>301</v>
      </c>
      <c r="BG1790" s="6" t="s">
        <v>299</v>
      </c>
      <c r="BH1790" s="5" t="s">
        <v>302</v>
      </c>
      <c r="BI1790" s="5" t="s">
        <v>303</v>
      </c>
      <c r="BJ1790" s="5" t="s">
        <v>240</v>
      </c>
      <c r="BK1790" s="8">
        <f>0</f>
        <v>0</v>
      </c>
      <c r="BL1790" s="7">
        <f>0</f>
        <v>0</v>
      </c>
      <c r="BM1790" s="5" t="s">
        <v>258</v>
      </c>
      <c r="BN1790" s="5" t="s">
        <v>259</v>
      </c>
      <c r="CB1790" s="5" t="s">
        <v>240</v>
      </c>
      <c r="CC1790" s="5" t="s">
        <v>240</v>
      </c>
      <c r="CG1790" s="5" t="s">
        <v>304</v>
      </c>
      <c r="CH1790" s="5" t="s">
        <v>305</v>
      </c>
      <c r="CI1790" s="5" t="s">
        <v>240</v>
      </c>
      <c r="CL1790" s="6" t="s">
        <v>261</v>
      </c>
      <c r="CM1790" s="5" t="s">
        <v>240</v>
      </c>
      <c r="CN1790" s="5" t="s">
        <v>263</v>
      </c>
      <c r="CO1790" s="5" t="s">
        <v>240</v>
      </c>
      <c r="CP1790" s="5" t="s">
        <v>240</v>
      </c>
      <c r="CQ1790" s="5">
        <v>0</v>
      </c>
      <c r="CR1790" s="5" t="s">
        <v>306</v>
      </c>
      <c r="CS1790" s="5" t="s">
        <v>307</v>
      </c>
      <c r="CT1790" s="5" t="s">
        <v>307</v>
      </c>
      <c r="CU1790" s="5" t="s">
        <v>260</v>
      </c>
      <c r="CX1790" s="7">
        <f>1</f>
        <v>1</v>
      </c>
      <c r="CY1790" s="7">
        <f>0</f>
        <v>0</v>
      </c>
      <c r="DA1790" s="7">
        <f>0</f>
        <v>0</v>
      </c>
      <c r="DC1790" s="5" t="s">
        <v>309</v>
      </c>
      <c r="DD1790" s="5" t="s">
        <v>240</v>
      </c>
      <c r="DF1790" s="5" t="s">
        <v>309</v>
      </c>
      <c r="DG1790" s="7">
        <f>563</f>
        <v>563</v>
      </c>
      <c r="DI1790" s="5" t="s">
        <v>240</v>
      </c>
      <c r="DJ1790" s="5" t="s">
        <v>240</v>
      </c>
      <c r="DK1790" s="5" t="s">
        <v>240</v>
      </c>
      <c r="DL1790" s="5" t="s">
        <v>240</v>
      </c>
      <c r="DP1790" s="5" t="s">
        <v>240</v>
      </c>
      <c r="DQ1790" s="5" t="s">
        <v>240</v>
      </c>
      <c r="DR1790" s="5" t="s">
        <v>240</v>
      </c>
      <c r="DS1790" s="5" t="s">
        <v>240</v>
      </c>
      <c r="DV1790" s="5" t="s">
        <v>310</v>
      </c>
      <c r="DW1790" s="5" t="s">
        <v>3118</v>
      </c>
      <c r="HO1790" s="5" t="s">
        <v>312</v>
      </c>
    </row>
    <row r="1791" spans="1:240" x14ac:dyDescent="0.4">
      <c r="A1791" s="5">
        <v>3489</v>
      </c>
      <c r="B1791" s="5">
        <v>1</v>
      </c>
      <c r="C1791" s="5">
        <v>1</v>
      </c>
      <c r="D1791" s="5" t="s">
        <v>297</v>
      </c>
      <c r="E1791" s="5" t="s">
        <v>245</v>
      </c>
      <c r="F1791" s="5" t="s">
        <v>254</v>
      </c>
      <c r="G1791" s="5" t="s">
        <v>295</v>
      </c>
      <c r="H1791" s="6" t="s">
        <v>2100</v>
      </c>
      <c r="I1791" s="5" t="s">
        <v>6513</v>
      </c>
      <c r="J1791" s="8">
        <f>396.43</f>
        <v>396.43</v>
      </c>
      <c r="K1791" s="5" t="s">
        <v>308</v>
      </c>
      <c r="L1791" s="7">
        <f>2509726</f>
        <v>2509726</v>
      </c>
      <c r="M1791" s="7">
        <f>2509726</f>
        <v>2509726</v>
      </c>
      <c r="N1791" s="5" t="s">
        <v>242</v>
      </c>
      <c r="O1791" s="5">
        <v>1</v>
      </c>
      <c r="P1791" s="5" t="s">
        <v>294</v>
      </c>
      <c r="Q1791" s="5" t="s">
        <v>266</v>
      </c>
      <c r="R1791" s="5" t="s">
        <v>240</v>
      </c>
      <c r="S1791" s="5" t="s">
        <v>240</v>
      </c>
      <c r="T1791" s="5" t="s">
        <v>296</v>
      </c>
      <c r="U1791" s="5" t="s">
        <v>244</v>
      </c>
      <c r="V1791" s="5" t="s">
        <v>240</v>
      </c>
      <c r="Y1791" s="5" t="s">
        <v>240</v>
      </c>
      <c r="Z1791" s="6" t="s">
        <v>298</v>
      </c>
      <c r="AB1791" s="6" t="s">
        <v>240</v>
      </c>
      <c r="AE1791" s="6" t="s">
        <v>299</v>
      </c>
      <c r="AF1791" s="5" t="s">
        <v>248</v>
      </c>
      <c r="AG1791" s="5" t="s">
        <v>249</v>
      </c>
      <c r="AW1791" s="5" t="s">
        <v>251</v>
      </c>
      <c r="AX1791" s="5" t="s">
        <v>240</v>
      </c>
      <c r="AY1791" s="5" t="s">
        <v>253</v>
      </c>
      <c r="AZ1791" s="5" t="s">
        <v>240</v>
      </c>
      <c r="BA1791" s="5" t="s">
        <v>255</v>
      </c>
      <c r="BB1791" s="5" t="s">
        <v>240</v>
      </c>
      <c r="BD1791" s="5" t="s">
        <v>240</v>
      </c>
      <c r="BF1791" s="5" t="s">
        <v>301</v>
      </c>
      <c r="BG1791" s="6" t="s">
        <v>299</v>
      </c>
      <c r="BH1791" s="5" t="s">
        <v>302</v>
      </c>
      <c r="BI1791" s="5" t="s">
        <v>303</v>
      </c>
      <c r="BJ1791" s="5" t="s">
        <v>240</v>
      </c>
      <c r="BK1791" s="8">
        <f>0</f>
        <v>0</v>
      </c>
      <c r="BL1791" s="7">
        <f>0</f>
        <v>0</v>
      </c>
      <c r="BM1791" s="5" t="s">
        <v>258</v>
      </c>
      <c r="BN1791" s="5" t="s">
        <v>259</v>
      </c>
      <c r="CB1791" s="5" t="s">
        <v>240</v>
      </c>
      <c r="CC1791" s="5" t="s">
        <v>240</v>
      </c>
      <c r="CG1791" s="5" t="s">
        <v>304</v>
      </c>
      <c r="CH1791" s="5" t="s">
        <v>305</v>
      </c>
      <c r="CI1791" s="5" t="s">
        <v>240</v>
      </c>
      <c r="CL1791" s="6" t="s">
        <v>261</v>
      </c>
      <c r="CM1791" s="5" t="s">
        <v>240</v>
      </c>
      <c r="CN1791" s="5" t="s">
        <v>263</v>
      </c>
      <c r="CO1791" s="5" t="s">
        <v>240</v>
      </c>
      <c r="CP1791" s="5" t="s">
        <v>240</v>
      </c>
      <c r="CQ1791" s="5">
        <v>0</v>
      </c>
      <c r="CR1791" s="5" t="s">
        <v>306</v>
      </c>
      <c r="CS1791" s="5" t="s">
        <v>307</v>
      </c>
      <c r="CT1791" s="5" t="s">
        <v>307</v>
      </c>
      <c r="CU1791" s="5" t="s">
        <v>260</v>
      </c>
      <c r="CX1791" s="7">
        <f>1</f>
        <v>1</v>
      </c>
      <c r="CY1791" s="7">
        <f>0</f>
        <v>0</v>
      </c>
      <c r="DA1791" s="7">
        <f>0</f>
        <v>0</v>
      </c>
      <c r="DC1791" s="5" t="s">
        <v>812</v>
      </c>
      <c r="DD1791" s="5" t="s">
        <v>240</v>
      </c>
      <c r="DF1791" s="5" t="s">
        <v>812</v>
      </c>
      <c r="DG1791" s="7">
        <f>808</f>
        <v>808</v>
      </c>
      <c r="DI1791" s="5" t="s">
        <v>240</v>
      </c>
      <c r="DJ1791" s="5" t="s">
        <v>240</v>
      </c>
      <c r="DK1791" s="5" t="s">
        <v>240</v>
      </c>
      <c r="DL1791" s="5" t="s">
        <v>240</v>
      </c>
      <c r="DP1791" s="5" t="s">
        <v>240</v>
      </c>
      <c r="DQ1791" s="5" t="s">
        <v>240</v>
      </c>
      <c r="DR1791" s="5" t="s">
        <v>240</v>
      </c>
      <c r="DS1791" s="5" t="s">
        <v>240</v>
      </c>
      <c r="DV1791" s="5" t="s">
        <v>813</v>
      </c>
      <c r="DW1791" s="5" t="s">
        <v>3716</v>
      </c>
      <c r="HO1791" s="5" t="s">
        <v>312</v>
      </c>
    </row>
    <row r="1792" spans="1:240" x14ac:dyDescent="0.4">
      <c r="A1792" s="5">
        <v>3490</v>
      </c>
      <c r="B1792" s="5">
        <v>1</v>
      </c>
      <c r="C1792" s="5">
        <v>1</v>
      </c>
      <c r="D1792" s="5" t="s">
        <v>297</v>
      </c>
      <c r="E1792" s="5" t="s">
        <v>245</v>
      </c>
      <c r="F1792" s="5" t="s">
        <v>254</v>
      </c>
      <c r="G1792" s="5" t="s">
        <v>295</v>
      </c>
      <c r="H1792" s="6" t="s">
        <v>6501</v>
      </c>
      <c r="I1792" s="5" t="s">
        <v>6519</v>
      </c>
      <c r="J1792" s="8">
        <f>451.93</f>
        <v>451.93</v>
      </c>
      <c r="K1792" s="5" t="s">
        <v>308</v>
      </c>
      <c r="L1792" s="7">
        <f>5165340</f>
        <v>5165340</v>
      </c>
      <c r="M1792" s="7">
        <f>5165340</f>
        <v>5165340</v>
      </c>
      <c r="N1792" s="5" t="s">
        <v>242</v>
      </c>
      <c r="O1792" s="5">
        <v>1</v>
      </c>
      <c r="P1792" s="5" t="s">
        <v>294</v>
      </c>
      <c r="Q1792" s="5" t="s">
        <v>266</v>
      </c>
      <c r="R1792" s="5" t="s">
        <v>240</v>
      </c>
      <c r="S1792" s="5" t="s">
        <v>240</v>
      </c>
      <c r="T1792" s="5" t="s">
        <v>296</v>
      </c>
      <c r="U1792" s="5" t="s">
        <v>244</v>
      </c>
      <c r="V1792" s="5" t="s">
        <v>240</v>
      </c>
      <c r="Y1792" s="5" t="s">
        <v>240</v>
      </c>
      <c r="Z1792" s="6" t="s">
        <v>298</v>
      </c>
      <c r="AB1792" s="6" t="s">
        <v>240</v>
      </c>
      <c r="AE1792" s="6" t="s">
        <v>299</v>
      </c>
      <c r="AF1792" s="5" t="s">
        <v>248</v>
      </c>
      <c r="AG1792" s="5" t="s">
        <v>249</v>
      </c>
      <c r="AW1792" s="5" t="s">
        <v>251</v>
      </c>
      <c r="AX1792" s="5" t="s">
        <v>240</v>
      </c>
      <c r="AY1792" s="5" t="s">
        <v>253</v>
      </c>
      <c r="AZ1792" s="5" t="s">
        <v>240</v>
      </c>
      <c r="BA1792" s="5" t="s">
        <v>255</v>
      </c>
      <c r="BB1792" s="5" t="s">
        <v>240</v>
      </c>
      <c r="BD1792" s="5" t="s">
        <v>240</v>
      </c>
      <c r="BF1792" s="5" t="s">
        <v>301</v>
      </c>
      <c r="BG1792" s="6" t="s">
        <v>299</v>
      </c>
      <c r="BH1792" s="5" t="s">
        <v>302</v>
      </c>
      <c r="BI1792" s="5" t="s">
        <v>303</v>
      </c>
      <c r="BJ1792" s="5" t="s">
        <v>240</v>
      </c>
      <c r="BK1792" s="8">
        <f>0</f>
        <v>0</v>
      </c>
      <c r="BL1792" s="7">
        <f>0</f>
        <v>0</v>
      </c>
      <c r="BM1792" s="5" t="s">
        <v>258</v>
      </c>
      <c r="BN1792" s="5" t="s">
        <v>259</v>
      </c>
      <c r="CB1792" s="5" t="s">
        <v>240</v>
      </c>
      <c r="CC1792" s="5" t="s">
        <v>240</v>
      </c>
      <c r="CG1792" s="5" t="s">
        <v>304</v>
      </c>
      <c r="CH1792" s="5" t="s">
        <v>305</v>
      </c>
      <c r="CI1792" s="5" t="s">
        <v>240</v>
      </c>
      <c r="CL1792" s="6" t="s">
        <v>261</v>
      </c>
      <c r="CM1792" s="5" t="s">
        <v>240</v>
      </c>
      <c r="CN1792" s="5" t="s">
        <v>263</v>
      </c>
      <c r="CO1792" s="5" t="s">
        <v>240</v>
      </c>
      <c r="CP1792" s="5" t="s">
        <v>240</v>
      </c>
      <c r="CQ1792" s="5">
        <v>0</v>
      </c>
      <c r="CR1792" s="5" t="s">
        <v>306</v>
      </c>
      <c r="CS1792" s="5" t="s">
        <v>307</v>
      </c>
      <c r="CT1792" s="5" t="s">
        <v>307</v>
      </c>
      <c r="CU1792" s="5" t="s">
        <v>260</v>
      </c>
      <c r="CX1792" s="7">
        <f>1</f>
        <v>1</v>
      </c>
      <c r="CY1792" s="7">
        <f>0</f>
        <v>0</v>
      </c>
      <c r="DA1792" s="7">
        <f>0</f>
        <v>0</v>
      </c>
      <c r="DC1792" s="5" t="s">
        <v>812</v>
      </c>
      <c r="DD1792" s="5" t="s">
        <v>240</v>
      </c>
      <c r="DF1792" s="5" t="s">
        <v>812</v>
      </c>
      <c r="DG1792" s="7">
        <f>807</f>
        <v>807</v>
      </c>
      <c r="DI1792" s="5" t="s">
        <v>240</v>
      </c>
      <c r="DJ1792" s="5" t="s">
        <v>240</v>
      </c>
      <c r="DK1792" s="5" t="s">
        <v>240</v>
      </c>
      <c r="DL1792" s="5" t="s">
        <v>240</v>
      </c>
      <c r="DP1792" s="5" t="s">
        <v>240</v>
      </c>
      <c r="DQ1792" s="5" t="s">
        <v>240</v>
      </c>
      <c r="DR1792" s="5" t="s">
        <v>240</v>
      </c>
      <c r="DS1792" s="5" t="s">
        <v>240</v>
      </c>
      <c r="DV1792" s="5" t="s">
        <v>813</v>
      </c>
      <c r="DW1792" s="5" t="s">
        <v>3718</v>
      </c>
      <c r="HO1792" s="5" t="s">
        <v>312</v>
      </c>
    </row>
    <row r="1793" spans="1:240" x14ac:dyDescent="0.4">
      <c r="A1793" s="5">
        <v>3491</v>
      </c>
      <c r="B1793" s="5">
        <v>1</v>
      </c>
      <c r="C1793" s="5">
        <v>1</v>
      </c>
      <c r="D1793" s="5" t="s">
        <v>297</v>
      </c>
      <c r="E1793" s="5" t="s">
        <v>245</v>
      </c>
      <c r="F1793" s="5" t="s">
        <v>254</v>
      </c>
      <c r="G1793" s="5" t="s">
        <v>295</v>
      </c>
      <c r="H1793" s="6" t="s">
        <v>6525</v>
      </c>
      <c r="I1793" s="5" t="s">
        <v>6524</v>
      </c>
      <c r="J1793" s="8">
        <f>9277.24</f>
        <v>9277.24</v>
      </c>
      <c r="K1793" s="5" t="s">
        <v>308</v>
      </c>
      <c r="L1793" s="7">
        <f>40927658</f>
        <v>40927658</v>
      </c>
      <c r="M1793" s="7">
        <f>40927658</f>
        <v>40927658</v>
      </c>
      <c r="N1793" s="5" t="s">
        <v>242</v>
      </c>
      <c r="O1793" s="5">
        <v>1</v>
      </c>
      <c r="P1793" s="5" t="s">
        <v>294</v>
      </c>
      <c r="Q1793" s="5" t="s">
        <v>266</v>
      </c>
      <c r="R1793" s="5" t="s">
        <v>240</v>
      </c>
      <c r="S1793" s="5" t="s">
        <v>240</v>
      </c>
      <c r="T1793" s="5" t="s">
        <v>296</v>
      </c>
      <c r="U1793" s="5" t="s">
        <v>244</v>
      </c>
      <c r="V1793" s="5" t="s">
        <v>240</v>
      </c>
      <c r="Y1793" s="5" t="s">
        <v>240</v>
      </c>
      <c r="Z1793" s="6" t="s">
        <v>298</v>
      </c>
      <c r="AB1793" s="6" t="s">
        <v>240</v>
      </c>
      <c r="AE1793" s="6" t="s">
        <v>299</v>
      </c>
      <c r="AF1793" s="5" t="s">
        <v>248</v>
      </c>
      <c r="AG1793" s="5" t="s">
        <v>249</v>
      </c>
      <c r="AW1793" s="5" t="s">
        <v>251</v>
      </c>
      <c r="AX1793" s="5" t="s">
        <v>240</v>
      </c>
      <c r="AY1793" s="5" t="s">
        <v>253</v>
      </c>
      <c r="AZ1793" s="5" t="s">
        <v>240</v>
      </c>
      <c r="BA1793" s="5" t="s">
        <v>255</v>
      </c>
      <c r="BB1793" s="5" t="s">
        <v>240</v>
      </c>
      <c r="BD1793" s="5" t="s">
        <v>240</v>
      </c>
      <c r="BF1793" s="5" t="s">
        <v>301</v>
      </c>
      <c r="BG1793" s="6" t="s">
        <v>299</v>
      </c>
      <c r="BH1793" s="5" t="s">
        <v>302</v>
      </c>
      <c r="BI1793" s="5" t="s">
        <v>303</v>
      </c>
      <c r="BJ1793" s="5" t="s">
        <v>240</v>
      </c>
      <c r="BK1793" s="8">
        <f>0</f>
        <v>0</v>
      </c>
      <c r="BL1793" s="7">
        <f>0</f>
        <v>0</v>
      </c>
      <c r="BM1793" s="5" t="s">
        <v>258</v>
      </c>
      <c r="BN1793" s="5" t="s">
        <v>259</v>
      </c>
      <c r="CB1793" s="5" t="s">
        <v>240</v>
      </c>
      <c r="CC1793" s="5" t="s">
        <v>240</v>
      </c>
      <c r="CG1793" s="5" t="s">
        <v>304</v>
      </c>
      <c r="CH1793" s="5" t="s">
        <v>305</v>
      </c>
      <c r="CI1793" s="5" t="s">
        <v>240</v>
      </c>
      <c r="CL1793" s="6" t="s">
        <v>261</v>
      </c>
      <c r="CM1793" s="5" t="s">
        <v>240</v>
      </c>
      <c r="CN1793" s="5" t="s">
        <v>263</v>
      </c>
      <c r="CO1793" s="5" t="s">
        <v>240</v>
      </c>
      <c r="CP1793" s="5" t="s">
        <v>240</v>
      </c>
      <c r="CQ1793" s="5">
        <v>0</v>
      </c>
      <c r="CR1793" s="5" t="s">
        <v>306</v>
      </c>
      <c r="CS1793" s="5" t="s">
        <v>307</v>
      </c>
      <c r="CT1793" s="5" t="s">
        <v>307</v>
      </c>
      <c r="CU1793" s="5" t="s">
        <v>260</v>
      </c>
      <c r="CX1793" s="7">
        <f>1</f>
        <v>1</v>
      </c>
      <c r="CY1793" s="7">
        <f>0</f>
        <v>0</v>
      </c>
      <c r="DA1793" s="7">
        <f>0</f>
        <v>0</v>
      </c>
      <c r="DC1793" s="5" t="s">
        <v>812</v>
      </c>
      <c r="DD1793" s="5" t="s">
        <v>240</v>
      </c>
      <c r="DF1793" s="5" t="s">
        <v>812</v>
      </c>
      <c r="DG1793" s="7">
        <f>215</f>
        <v>215</v>
      </c>
      <c r="DI1793" s="5" t="s">
        <v>240</v>
      </c>
      <c r="DJ1793" s="5" t="s">
        <v>240</v>
      </c>
      <c r="DK1793" s="5" t="s">
        <v>240</v>
      </c>
      <c r="DL1793" s="5" t="s">
        <v>240</v>
      </c>
      <c r="DP1793" s="5" t="s">
        <v>240</v>
      </c>
      <c r="DQ1793" s="5" t="s">
        <v>240</v>
      </c>
      <c r="DR1793" s="5" t="s">
        <v>240</v>
      </c>
      <c r="DS1793" s="5" t="s">
        <v>240</v>
      </c>
      <c r="DV1793" s="5" t="s">
        <v>813</v>
      </c>
      <c r="DW1793" s="5" t="s">
        <v>3720</v>
      </c>
      <c r="HO1793" s="5" t="s">
        <v>312</v>
      </c>
    </row>
    <row r="1794" spans="1:240" x14ac:dyDescent="0.4">
      <c r="A1794" s="5">
        <v>3492</v>
      </c>
      <c r="B1794" s="5">
        <v>1</v>
      </c>
      <c r="C1794" s="5">
        <v>1</v>
      </c>
      <c r="D1794" s="5" t="s">
        <v>297</v>
      </c>
      <c r="E1794" s="5" t="s">
        <v>245</v>
      </c>
      <c r="F1794" s="5" t="s">
        <v>254</v>
      </c>
      <c r="G1794" s="5" t="s">
        <v>295</v>
      </c>
      <c r="H1794" s="6" t="s">
        <v>6527</v>
      </c>
      <c r="I1794" s="5" t="s">
        <v>6526</v>
      </c>
      <c r="J1794" s="8">
        <f>21.54</f>
        <v>21.54</v>
      </c>
      <c r="K1794" s="5" t="s">
        <v>308</v>
      </c>
      <c r="L1794" s="7">
        <f>480792</f>
        <v>480792</v>
      </c>
      <c r="M1794" s="7">
        <f>480792</f>
        <v>480792</v>
      </c>
      <c r="N1794" s="5" t="s">
        <v>242</v>
      </c>
      <c r="O1794" s="5">
        <v>1</v>
      </c>
      <c r="P1794" s="5" t="s">
        <v>294</v>
      </c>
      <c r="Q1794" s="5" t="s">
        <v>266</v>
      </c>
      <c r="R1794" s="5" t="s">
        <v>240</v>
      </c>
      <c r="S1794" s="5" t="s">
        <v>240</v>
      </c>
      <c r="T1794" s="5" t="s">
        <v>296</v>
      </c>
      <c r="U1794" s="5" t="s">
        <v>244</v>
      </c>
      <c r="V1794" s="5" t="s">
        <v>240</v>
      </c>
      <c r="Y1794" s="5" t="s">
        <v>240</v>
      </c>
      <c r="Z1794" s="6" t="s">
        <v>298</v>
      </c>
      <c r="AB1794" s="6" t="s">
        <v>240</v>
      </c>
      <c r="AE1794" s="6" t="s">
        <v>299</v>
      </c>
      <c r="AF1794" s="5" t="s">
        <v>248</v>
      </c>
      <c r="AG1794" s="5" t="s">
        <v>249</v>
      </c>
      <c r="AW1794" s="5" t="s">
        <v>251</v>
      </c>
      <c r="AX1794" s="5" t="s">
        <v>240</v>
      </c>
      <c r="AY1794" s="5" t="s">
        <v>253</v>
      </c>
      <c r="AZ1794" s="5" t="s">
        <v>240</v>
      </c>
      <c r="BA1794" s="5" t="s">
        <v>255</v>
      </c>
      <c r="BB1794" s="5" t="s">
        <v>240</v>
      </c>
      <c r="BD1794" s="5" t="s">
        <v>240</v>
      </c>
      <c r="BF1794" s="5" t="s">
        <v>301</v>
      </c>
      <c r="BG1794" s="6" t="s">
        <v>299</v>
      </c>
      <c r="BH1794" s="5" t="s">
        <v>302</v>
      </c>
      <c r="BI1794" s="5" t="s">
        <v>303</v>
      </c>
      <c r="BJ1794" s="5" t="s">
        <v>240</v>
      </c>
      <c r="BK1794" s="8">
        <f>0</f>
        <v>0</v>
      </c>
      <c r="BL1794" s="7">
        <f>0</f>
        <v>0</v>
      </c>
      <c r="BM1794" s="5" t="s">
        <v>258</v>
      </c>
      <c r="BN1794" s="5" t="s">
        <v>259</v>
      </c>
      <c r="CB1794" s="5" t="s">
        <v>240</v>
      </c>
      <c r="CC1794" s="5" t="s">
        <v>240</v>
      </c>
      <c r="CG1794" s="5" t="s">
        <v>304</v>
      </c>
      <c r="CH1794" s="5" t="s">
        <v>305</v>
      </c>
      <c r="CI1794" s="5" t="s">
        <v>240</v>
      </c>
      <c r="CL1794" s="6" t="s">
        <v>261</v>
      </c>
      <c r="CM1794" s="5" t="s">
        <v>240</v>
      </c>
      <c r="CN1794" s="5" t="s">
        <v>263</v>
      </c>
      <c r="CO1794" s="5" t="s">
        <v>240</v>
      </c>
      <c r="CP1794" s="5" t="s">
        <v>240</v>
      </c>
      <c r="CQ1794" s="5">
        <v>0</v>
      </c>
      <c r="CR1794" s="5" t="s">
        <v>306</v>
      </c>
      <c r="CS1794" s="5" t="s">
        <v>307</v>
      </c>
      <c r="CT1794" s="5" t="s">
        <v>307</v>
      </c>
      <c r="CU1794" s="5" t="s">
        <v>260</v>
      </c>
      <c r="CX1794" s="7">
        <f>1</f>
        <v>1</v>
      </c>
      <c r="CY1794" s="7">
        <f>0</f>
        <v>0</v>
      </c>
      <c r="DA1794" s="7">
        <f>0</f>
        <v>0</v>
      </c>
      <c r="DC1794" s="5" t="s">
        <v>812</v>
      </c>
      <c r="DD1794" s="5" t="s">
        <v>240</v>
      </c>
      <c r="DF1794" s="5" t="s">
        <v>812</v>
      </c>
      <c r="DG1794" s="7">
        <f>2525</f>
        <v>2525</v>
      </c>
      <c r="DI1794" s="5" t="s">
        <v>240</v>
      </c>
      <c r="DJ1794" s="5" t="s">
        <v>240</v>
      </c>
      <c r="DK1794" s="5" t="s">
        <v>240</v>
      </c>
      <c r="DL1794" s="5" t="s">
        <v>240</v>
      </c>
      <c r="DP1794" s="5" t="s">
        <v>240</v>
      </c>
      <c r="DQ1794" s="5" t="s">
        <v>240</v>
      </c>
      <c r="DR1794" s="5" t="s">
        <v>240</v>
      </c>
      <c r="DS1794" s="5" t="s">
        <v>240</v>
      </c>
      <c r="DV1794" s="5" t="s">
        <v>813</v>
      </c>
      <c r="DW1794" s="5" t="s">
        <v>3722</v>
      </c>
      <c r="HO1794" s="5" t="s">
        <v>312</v>
      </c>
    </row>
    <row r="1795" spans="1:240" x14ac:dyDescent="0.4">
      <c r="A1795" s="5">
        <v>3493</v>
      </c>
      <c r="B1795" s="5">
        <v>1</v>
      </c>
      <c r="C1795" s="5">
        <v>1</v>
      </c>
      <c r="D1795" s="5" t="s">
        <v>297</v>
      </c>
      <c r="E1795" s="5" t="s">
        <v>245</v>
      </c>
      <c r="F1795" s="5" t="s">
        <v>254</v>
      </c>
      <c r="G1795" s="5" t="s">
        <v>295</v>
      </c>
      <c r="H1795" s="6" t="s">
        <v>6540</v>
      </c>
      <c r="I1795" s="5" t="s">
        <v>6539</v>
      </c>
      <c r="J1795" s="8">
        <f>1006.79</f>
        <v>1006.79</v>
      </c>
      <c r="K1795" s="5" t="s">
        <v>308</v>
      </c>
      <c r="L1795" s="7">
        <f>3588280</f>
        <v>3588280</v>
      </c>
      <c r="M1795" s="7">
        <f>3588280</f>
        <v>3588280</v>
      </c>
      <c r="N1795" s="5" t="s">
        <v>242</v>
      </c>
      <c r="O1795" s="5">
        <v>1</v>
      </c>
      <c r="P1795" s="5" t="s">
        <v>294</v>
      </c>
      <c r="Q1795" s="5" t="s">
        <v>266</v>
      </c>
      <c r="R1795" s="5" t="s">
        <v>240</v>
      </c>
      <c r="S1795" s="5" t="s">
        <v>240</v>
      </c>
      <c r="T1795" s="5" t="s">
        <v>296</v>
      </c>
      <c r="U1795" s="5" t="s">
        <v>244</v>
      </c>
      <c r="V1795" s="5" t="s">
        <v>240</v>
      </c>
      <c r="Y1795" s="5" t="s">
        <v>240</v>
      </c>
      <c r="Z1795" s="6" t="s">
        <v>298</v>
      </c>
      <c r="AB1795" s="6" t="s">
        <v>240</v>
      </c>
      <c r="AE1795" s="6" t="s">
        <v>299</v>
      </c>
      <c r="AF1795" s="5" t="s">
        <v>248</v>
      </c>
      <c r="AG1795" s="5" t="s">
        <v>249</v>
      </c>
      <c r="AW1795" s="5" t="s">
        <v>251</v>
      </c>
      <c r="AX1795" s="5" t="s">
        <v>240</v>
      </c>
      <c r="AY1795" s="5" t="s">
        <v>253</v>
      </c>
      <c r="AZ1795" s="5" t="s">
        <v>240</v>
      </c>
      <c r="BA1795" s="5" t="s">
        <v>255</v>
      </c>
      <c r="BB1795" s="5" t="s">
        <v>240</v>
      </c>
      <c r="BD1795" s="5" t="s">
        <v>240</v>
      </c>
      <c r="BF1795" s="5" t="s">
        <v>301</v>
      </c>
      <c r="BG1795" s="6" t="s">
        <v>299</v>
      </c>
      <c r="BH1795" s="5" t="s">
        <v>302</v>
      </c>
      <c r="BI1795" s="5" t="s">
        <v>303</v>
      </c>
      <c r="BJ1795" s="5" t="s">
        <v>240</v>
      </c>
      <c r="BK1795" s="8">
        <f>0</f>
        <v>0</v>
      </c>
      <c r="BL1795" s="7">
        <f>0</f>
        <v>0</v>
      </c>
      <c r="BM1795" s="5" t="s">
        <v>258</v>
      </c>
      <c r="BN1795" s="5" t="s">
        <v>259</v>
      </c>
      <c r="CB1795" s="5" t="s">
        <v>240</v>
      </c>
      <c r="CC1795" s="5" t="s">
        <v>240</v>
      </c>
      <c r="CG1795" s="5" t="s">
        <v>304</v>
      </c>
      <c r="CH1795" s="5" t="s">
        <v>305</v>
      </c>
      <c r="CI1795" s="5" t="s">
        <v>240</v>
      </c>
      <c r="CL1795" s="6" t="s">
        <v>261</v>
      </c>
      <c r="CM1795" s="5" t="s">
        <v>240</v>
      </c>
      <c r="CN1795" s="5" t="s">
        <v>263</v>
      </c>
      <c r="CO1795" s="5" t="s">
        <v>240</v>
      </c>
      <c r="CP1795" s="5" t="s">
        <v>240</v>
      </c>
      <c r="CQ1795" s="5">
        <v>0</v>
      </c>
      <c r="CR1795" s="5" t="s">
        <v>306</v>
      </c>
      <c r="CS1795" s="5" t="s">
        <v>307</v>
      </c>
      <c r="CT1795" s="5" t="s">
        <v>307</v>
      </c>
      <c r="CU1795" s="5" t="s">
        <v>260</v>
      </c>
      <c r="CX1795" s="7">
        <f>1</f>
        <v>1</v>
      </c>
      <c r="CY1795" s="7">
        <f>0</f>
        <v>0</v>
      </c>
      <c r="DA1795" s="7">
        <f>0</f>
        <v>0</v>
      </c>
      <c r="DC1795" s="5" t="s">
        <v>812</v>
      </c>
      <c r="DD1795" s="5" t="s">
        <v>240</v>
      </c>
      <c r="DF1795" s="5" t="s">
        <v>812</v>
      </c>
      <c r="DG1795" s="7">
        <f>2631</f>
        <v>2631</v>
      </c>
      <c r="DI1795" s="5" t="s">
        <v>240</v>
      </c>
      <c r="DJ1795" s="5" t="s">
        <v>240</v>
      </c>
      <c r="DK1795" s="5" t="s">
        <v>240</v>
      </c>
      <c r="DL1795" s="5" t="s">
        <v>240</v>
      </c>
      <c r="DP1795" s="5" t="s">
        <v>240</v>
      </c>
      <c r="DQ1795" s="5" t="s">
        <v>240</v>
      </c>
      <c r="DR1795" s="5" t="s">
        <v>240</v>
      </c>
      <c r="DS1795" s="5" t="s">
        <v>240</v>
      </c>
      <c r="DV1795" s="5" t="s">
        <v>813</v>
      </c>
      <c r="DW1795" s="5" t="s">
        <v>3724</v>
      </c>
      <c r="HO1795" s="5" t="s">
        <v>312</v>
      </c>
    </row>
    <row r="1796" spans="1:240" x14ac:dyDescent="0.4">
      <c r="A1796" s="5">
        <v>3494</v>
      </c>
      <c r="B1796" s="5">
        <v>1</v>
      </c>
      <c r="C1796" s="5">
        <v>1</v>
      </c>
      <c r="D1796" s="5" t="s">
        <v>297</v>
      </c>
      <c r="E1796" s="5" t="s">
        <v>245</v>
      </c>
      <c r="F1796" s="5" t="s">
        <v>254</v>
      </c>
      <c r="G1796" s="5" t="s">
        <v>295</v>
      </c>
      <c r="H1796" s="6" t="s">
        <v>6557</v>
      </c>
      <c r="I1796" s="5" t="s">
        <v>6556</v>
      </c>
      <c r="J1796" s="8">
        <f>1731.99</f>
        <v>1731.99</v>
      </c>
      <c r="K1796" s="5" t="s">
        <v>308</v>
      </c>
      <c r="L1796" s="7">
        <f>8697395</f>
        <v>8697395</v>
      </c>
      <c r="M1796" s="7">
        <f>8697395</f>
        <v>8697395</v>
      </c>
      <c r="N1796" s="5" t="s">
        <v>242</v>
      </c>
      <c r="O1796" s="5">
        <v>1</v>
      </c>
      <c r="P1796" s="5" t="s">
        <v>294</v>
      </c>
      <c r="Q1796" s="5" t="s">
        <v>266</v>
      </c>
      <c r="R1796" s="5" t="s">
        <v>240</v>
      </c>
      <c r="S1796" s="5" t="s">
        <v>240</v>
      </c>
      <c r="T1796" s="5" t="s">
        <v>296</v>
      </c>
      <c r="U1796" s="5" t="s">
        <v>244</v>
      </c>
      <c r="V1796" s="5" t="s">
        <v>240</v>
      </c>
      <c r="Y1796" s="5" t="s">
        <v>240</v>
      </c>
      <c r="Z1796" s="6" t="s">
        <v>298</v>
      </c>
      <c r="AB1796" s="6" t="s">
        <v>240</v>
      </c>
      <c r="AE1796" s="6" t="s">
        <v>299</v>
      </c>
      <c r="AF1796" s="5" t="s">
        <v>248</v>
      </c>
      <c r="AG1796" s="5" t="s">
        <v>249</v>
      </c>
      <c r="AW1796" s="5" t="s">
        <v>251</v>
      </c>
      <c r="AX1796" s="5" t="s">
        <v>240</v>
      </c>
      <c r="AY1796" s="5" t="s">
        <v>253</v>
      </c>
      <c r="AZ1796" s="5" t="s">
        <v>240</v>
      </c>
      <c r="BA1796" s="5" t="s">
        <v>255</v>
      </c>
      <c r="BB1796" s="5" t="s">
        <v>240</v>
      </c>
      <c r="BD1796" s="5" t="s">
        <v>240</v>
      </c>
      <c r="BF1796" s="5" t="s">
        <v>301</v>
      </c>
      <c r="BG1796" s="6" t="s">
        <v>299</v>
      </c>
      <c r="BH1796" s="5" t="s">
        <v>302</v>
      </c>
      <c r="BI1796" s="5" t="s">
        <v>303</v>
      </c>
      <c r="BJ1796" s="5" t="s">
        <v>240</v>
      </c>
      <c r="BK1796" s="8">
        <f>0</f>
        <v>0</v>
      </c>
      <c r="BL1796" s="7">
        <f>0</f>
        <v>0</v>
      </c>
      <c r="BM1796" s="5" t="s">
        <v>258</v>
      </c>
      <c r="BN1796" s="5" t="s">
        <v>259</v>
      </c>
      <c r="CB1796" s="5" t="s">
        <v>240</v>
      </c>
      <c r="CC1796" s="5" t="s">
        <v>240</v>
      </c>
      <c r="CG1796" s="5" t="s">
        <v>304</v>
      </c>
      <c r="CH1796" s="5" t="s">
        <v>305</v>
      </c>
      <c r="CI1796" s="5" t="s">
        <v>240</v>
      </c>
      <c r="CL1796" s="6" t="s">
        <v>261</v>
      </c>
      <c r="CM1796" s="5" t="s">
        <v>240</v>
      </c>
      <c r="CN1796" s="5" t="s">
        <v>263</v>
      </c>
      <c r="CO1796" s="5" t="s">
        <v>240</v>
      </c>
      <c r="CP1796" s="5" t="s">
        <v>240</v>
      </c>
      <c r="CQ1796" s="5">
        <v>0</v>
      </c>
      <c r="CR1796" s="5" t="s">
        <v>306</v>
      </c>
      <c r="CS1796" s="5" t="s">
        <v>307</v>
      </c>
      <c r="CT1796" s="5" t="s">
        <v>307</v>
      </c>
      <c r="CU1796" s="5" t="s">
        <v>260</v>
      </c>
      <c r="CX1796" s="7">
        <f>1</f>
        <v>1</v>
      </c>
      <c r="CY1796" s="7">
        <f>0</f>
        <v>0</v>
      </c>
      <c r="DA1796" s="7">
        <f>0</f>
        <v>0</v>
      </c>
      <c r="DC1796" s="5" t="s">
        <v>812</v>
      </c>
      <c r="DD1796" s="5" t="s">
        <v>240</v>
      </c>
      <c r="DF1796" s="5" t="s">
        <v>812</v>
      </c>
      <c r="DG1796" s="7">
        <f>638</f>
        <v>638</v>
      </c>
      <c r="DI1796" s="5" t="s">
        <v>240</v>
      </c>
      <c r="DJ1796" s="5" t="s">
        <v>240</v>
      </c>
      <c r="DK1796" s="5" t="s">
        <v>240</v>
      </c>
      <c r="DL1796" s="5" t="s">
        <v>240</v>
      </c>
      <c r="DP1796" s="5" t="s">
        <v>240</v>
      </c>
      <c r="DQ1796" s="5" t="s">
        <v>240</v>
      </c>
      <c r="DR1796" s="5" t="s">
        <v>240</v>
      </c>
      <c r="DS1796" s="5" t="s">
        <v>240</v>
      </c>
      <c r="DV1796" s="5" t="s">
        <v>813</v>
      </c>
      <c r="DW1796" s="5" t="s">
        <v>3726</v>
      </c>
      <c r="HO1796" s="5" t="s">
        <v>312</v>
      </c>
    </row>
    <row r="1797" spans="1:240" x14ac:dyDescent="0.4">
      <c r="A1797" s="5">
        <v>3495</v>
      </c>
      <c r="B1797" s="5">
        <v>1</v>
      </c>
      <c r="C1797" s="5">
        <v>1</v>
      </c>
      <c r="D1797" s="5" t="s">
        <v>297</v>
      </c>
      <c r="E1797" s="5" t="s">
        <v>245</v>
      </c>
      <c r="F1797" s="5" t="s">
        <v>254</v>
      </c>
      <c r="G1797" s="5" t="s">
        <v>295</v>
      </c>
      <c r="H1797" s="6" t="s">
        <v>6565</v>
      </c>
      <c r="I1797" s="5" t="s">
        <v>6564</v>
      </c>
      <c r="J1797" s="8">
        <f>28.54</f>
        <v>28.54</v>
      </c>
      <c r="K1797" s="5" t="s">
        <v>308</v>
      </c>
      <c r="L1797" s="7">
        <f>2695824</f>
        <v>2695824</v>
      </c>
      <c r="M1797" s="7">
        <f>2695824</f>
        <v>2695824</v>
      </c>
      <c r="N1797" s="5" t="s">
        <v>242</v>
      </c>
      <c r="O1797" s="5">
        <v>1</v>
      </c>
      <c r="P1797" s="5" t="s">
        <v>294</v>
      </c>
      <c r="Q1797" s="5" t="s">
        <v>266</v>
      </c>
      <c r="R1797" s="5" t="s">
        <v>240</v>
      </c>
      <c r="S1797" s="5" t="s">
        <v>240</v>
      </c>
      <c r="T1797" s="5" t="s">
        <v>296</v>
      </c>
      <c r="U1797" s="5" t="s">
        <v>244</v>
      </c>
      <c r="V1797" s="5" t="s">
        <v>240</v>
      </c>
      <c r="Y1797" s="5" t="s">
        <v>240</v>
      </c>
      <c r="Z1797" s="6" t="s">
        <v>298</v>
      </c>
      <c r="AB1797" s="6" t="s">
        <v>240</v>
      </c>
      <c r="AE1797" s="6" t="s">
        <v>299</v>
      </c>
      <c r="AF1797" s="5" t="s">
        <v>248</v>
      </c>
      <c r="AG1797" s="5" t="s">
        <v>249</v>
      </c>
      <c r="AW1797" s="5" t="s">
        <v>251</v>
      </c>
      <c r="AX1797" s="5" t="s">
        <v>240</v>
      </c>
      <c r="AY1797" s="5" t="s">
        <v>253</v>
      </c>
      <c r="AZ1797" s="5" t="s">
        <v>240</v>
      </c>
      <c r="BA1797" s="5" t="s">
        <v>255</v>
      </c>
      <c r="BB1797" s="5" t="s">
        <v>240</v>
      </c>
      <c r="BD1797" s="5" t="s">
        <v>240</v>
      </c>
      <c r="BF1797" s="5" t="s">
        <v>301</v>
      </c>
      <c r="BG1797" s="6" t="s">
        <v>299</v>
      </c>
      <c r="BH1797" s="5" t="s">
        <v>302</v>
      </c>
      <c r="BI1797" s="5" t="s">
        <v>303</v>
      </c>
      <c r="BJ1797" s="5" t="s">
        <v>240</v>
      </c>
      <c r="BK1797" s="8">
        <f>0</f>
        <v>0</v>
      </c>
      <c r="BL1797" s="7">
        <f>0</f>
        <v>0</v>
      </c>
      <c r="BM1797" s="5" t="s">
        <v>258</v>
      </c>
      <c r="BN1797" s="5" t="s">
        <v>259</v>
      </c>
      <c r="CB1797" s="5" t="s">
        <v>240</v>
      </c>
      <c r="CC1797" s="5" t="s">
        <v>240</v>
      </c>
      <c r="CG1797" s="5" t="s">
        <v>304</v>
      </c>
      <c r="CH1797" s="5" t="s">
        <v>305</v>
      </c>
      <c r="CI1797" s="5" t="s">
        <v>240</v>
      </c>
      <c r="CL1797" s="6" t="s">
        <v>261</v>
      </c>
      <c r="CM1797" s="5" t="s">
        <v>240</v>
      </c>
      <c r="CN1797" s="5" t="s">
        <v>263</v>
      </c>
      <c r="CO1797" s="5" t="s">
        <v>240</v>
      </c>
      <c r="CP1797" s="5" t="s">
        <v>240</v>
      </c>
      <c r="CQ1797" s="5">
        <v>0</v>
      </c>
      <c r="CR1797" s="5" t="s">
        <v>306</v>
      </c>
      <c r="CS1797" s="5" t="s">
        <v>307</v>
      </c>
      <c r="CT1797" s="5" t="s">
        <v>307</v>
      </c>
      <c r="CU1797" s="5" t="s">
        <v>260</v>
      </c>
      <c r="CX1797" s="7">
        <f>1</f>
        <v>1</v>
      </c>
      <c r="CY1797" s="7">
        <f>0</f>
        <v>0</v>
      </c>
      <c r="DA1797" s="7">
        <f>0</f>
        <v>0</v>
      </c>
      <c r="DC1797" s="5" t="s">
        <v>812</v>
      </c>
      <c r="DD1797" s="5" t="s">
        <v>240</v>
      </c>
      <c r="DF1797" s="5" t="s">
        <v>812</v>
      </c>
      <c r="DG1797" s="7">
        <f>596</f>
        <v>596</v>
      </c>
      <c r="DI1797" s="5" t="s">
        <v>240</v>
      </c>
      <c r="DJ1797" s="5" t="s">
        <v>240</v>
      </c>
      <c r="DK1797" s="5" t="s">
        <v>240</v>
      </c>
      <c r="DL1797" s="5" t="s">
        <v>240</v>
      </c>
      <c r="DP1797" s="5" t="s">
        <v>240</v>
      </c>
      <c r="DQ1797" s="5" t="s">
        <v>240</v>
      </c>
      <c r="DR1797" s="5" t="s">
        <v>240</v>
      </c>
      <c r="DS1797" s="5" t="s">
        <v>240</v>
      </c>
      <c r="DV1797" s="5" t="s">
        <v>813</v>
      </c>
      <c r="DW1797" s="5" t="s">
        <v>3728</v>
      </c>
      <c r="HO1797" s="5" t="s">
        <v>312</v>
      </c>
    </row>
    <row r="1798" spans="1:240" x14ac:dyDescent="0.4">
      <c r="A1798" s="5">
        <v>3496</v>
      </c>
      <c r="B1798" s="5">
        <v>1</v>
      </c>
      <c r="C1798" s="5">
        <v>1</v>
      </c>
      <c r="D1798" s="5" t="s">
        <v>297</v>
      </c>
      <c r="E1798" s="5" t="s">
        <v>245</v>
      </c>
      <c r="F1798" s="5" t="s">
        <v>254</v>
      </c>
      <c r="G1798" s="5" t="s">
        <v>295</v>
      </c>
      <c r="H1798" s="6" t="s">
        <v>6570</v>
      </c>
      <c r="I1798" s="5" t="s">
        <v>6569</v>
      </c>
      <c r="J1798" s="8">
        <f>51.74</f>
        <v>51.74</v>
      </c>
      <c r="K1798" s="5" t="s">
        <v>308</v>
      </c>
      <c r="L1798" s="7">
        <f>4027379</f>
        <v>4027379</v>
      </c>
      <c r="M1798" s="7">
        <f>4027379</f>
        <v>4027379</v>
      </c>
      <c r="N1798" s="5" t="s">
        <v>242</v>
      </c>
      <c r="O1798" s="5">
        <v>1</v>
      </c>
      <c r="P1798" s="5" t="s">
        <v>294</v>
      </c>
      <c r="Q1798" s="5" t="s">
        <v>613</v>
      </c>
      <c r="R1798" s="5" t="s">
        <v>240</v>
      </c>
      <c r="S1798" s="5" t="s">
        <v>240</v>
      </c>
      <c r="T1798" s="5" t="s">
        <v>243</v>
      </c>
      <c r="U1798" s="5" t="s">
        <v>724</v>
      </c>
      <c r="V1798" s="5" t="s">
        <v>240</v>
      </c>
      <c r="W1798" s="5" t="s">
        <v>240</v>
      </c>
      <c r="X1798" s="5" t="s">
        <v>240</v>
      </c>
      <c r="Y1798" s="5" t="s">
        <v>240</v>
      </c>
      <c r="Z1798" s="6" t="s">
        <v>298</v>
      </c>
      <c r="AA1798" s="6" t="s">
        <v>240</v>
      </c>
      <c r="AB1798" s="6" t="s">
        <v>240</v>
      </c>
      <c r="AC1798" s="5" t="s">
        <v>240</v>
      </c>
      <c r="AD1798" s="6" t="s">
        <v>240</v>
      </c>
      <c r="AE1798" s="6" t="s">
        <v>299</v>
      </c>
      <c r="AF1798" s="5" t="s">
        <v>727</v>
      </c>
      <c r="AG1798" s="5" t="s">
        <v>260</v>
      </c>
      <c r="AH1798" s="5" t="s">
        <v>240</v>
      </c>
      <c r="AI1798" s="5" t="s">
        <v>240</v>
      </c>
      <c r="AJ1798" s="5" t="s">
        <v>240</v>
      </c>
      <c r="AK1798" s="5" t="s">
        <v>240</v>
      </c>
      <c r="AL1798" s="5" t="s">
        <v>240</v>
      </c>
      <c r="AM1798" s="5" t="s">
        <v>240</v>
      </c>
      <c r="AN1798" s="5" t="s">
        <v>240</v>
      </c>
      <c r="AO1798" s="5" t="s">
        <v>240</v>
      </c>
      <c r="AP1798" s="6" t="s">
        <v>240</v>
      </c>
      <c r="AQ1798" s="6" t="s">
        <v>240</v>
      </c>
      <c r="AR1798" s="6" t="s">
        <v>240</v>
      </c>
      <c r="AS1798" s="6" t="s">
        <v>240</v>
      </c>
      <c r="AT1798" s="5" t="s">
        <v>240</v>
      </c>
      <c r="AU1798" s="5" t="s">
        <v>729</v>
      </c>
      <c r="AV1798" s="5" t="s">
        <v>729</v>
      </c>
      <c r="AW1798" s="5" t="s">
        <v>251</v>
      </c>
      <c r="AX1798" s="5" t="s">
        <v>252</v>
      </c>
      <c r="AY1798" s="5" t="s">
        <v>253</v>
      </c>
      <c r="AZ1798" s="5" t="s">
        <v>240</v>
      </c>
      <c r="BA1798" s="5" t="s">
        <v>255</v>
      </c>
      <c r="BB1798" s="5" t="s">
        <v>731</v>
      </c>
      <c r="BD1798" s="5" t="s">
        <v>3167</v>
      </c>
      <c r="BF1798" s="5" t="s">
        <v>732</v>
      </c>
      <c r="BG1798" s="6" t="s">
        <v>733</v>
      </c>
      <c r="BH1798" s="5" t="s">
        <v>734</v>
      </c>
      <c r="BI1798" s="5" t="s">
        <v>734</v>
      </c>
      <c r="BJ1798" s="5" t="s">
        <v>240</v>
      </c>
      <c r="BK1798" s="8">
        <f>409</f>
        <v>409</v>
      </c>
      <c r="BL1798" s="7">
        <f>0</f>
        <v>0</v>
      </c>
      <c r="BM1798" s="5" t="s">
        <v>258</v>
      </c>
      <c r="BN1798" s="5" t="s">
        <v>259</v>
      </c>
      <c r="BO1798" s="5" t="s">
        <v>240</v>
      </c>
      <c r="BP1798" s="5" t="s">
        <v>240</v>
      </c>
      <c r="BQ1798" s="5" t="s">
        <v>240</v>
      </c>
      <c r="BR1798" s="5" t="s">
        <v>240</v>
      </c>
      <c r="BS1798" s="5" t="s">
        <v>240</v>
      </c>
      <c r="BT1798" s="5" t="s">
        <v>240</v>
      </c>
      <c r="BU1798" s="5" t="s">
        <v>240</v>
      </c>
      <c r="BV1798" s="5" t="s">
        <v>240</v>
      </c>
      <c r="BW1798" s="6" t="s">
        <v>240</v>
      </c>
      <c r="BX1798" s="5" t="s">
        <v>240</v>
      </c>
      <c r="BY1798" s="5" t="s">
        <v>240</v>
      </c>
      <c r="BZ1798" s="5" t="s">
        <v>240</v>
      </c>
      <c r="CA1798" s="5" t="s">
        <v>259</v>
      </c>
      <c r="CB1798" s="5" t="s">
        <v>240</v>
      </c>
      <c r="CC1798" s="5" t="s">
        <v>240</v>
      </c>
      <c r="CD1798" s="5" t="s">
        <v>240</v>
      </c>
      <c r="CE1798" s="5" t="s">
        <v>240</v>
      </c>
      <c r="CF1798" s="5" t="s">
        <v>240</v>
      </c>
      <c r="CG1798" s="5" t="s">
        <v>617</v>
      </c>
      <c r="CH1798" s="5" t="s">
        <v>305</v>
      </c>
      <c r="CI1798" s="5" t="s">
        <v>240</v>
      </c>
      <c r="CL1798" s="6" t="s">
        <v>261</v>
      </c>
      <c r="CM1798" s="5" t="s">
        <v>262</v>
      </c>
      <c r="CN1798" s="5" t="s">
        <v>263</v>
      </c>
      <c r="CO1798" s="5" t="s">
        <v>264</v>
      </c>
      <c r="CP1798" s="5" t="s">
        <v>240</v>
      </c>
      <c r="CQ1798" s="5">
        <v>0</v>
      </c>
      <c r="CR1798" s="5" t="s">
        <v>735</v>
      </c>
      <c r="CS1798" s="5" t="s">
        <v>307</v>
      </c>
      <c r="CT1798" s="5" t="s">
        <v>307</v>
      </c>
      <c r="CU1798" s="5" t="s">
        <v>260</v>
      </c>
      <c r="CV1798" s="5" t="s">
        <v>240</v>
      </c>
      <c r="CW1798" s="8">
        <f>0</f>
        <v>0</v>
      </c>
      <c r="CX1798" s="7">
        <f>0</f>
        <v>0</v>
      </c>
      <c r="CY1798" s="7">
        <f>0</f>
        <v>0</v>
      </c>
      <c r="DA1798" s="7">
        <f>4499</f>
        <v>4499</v>
      </c>
      <c r="DB1798" s="7" t="s">
        <v>240</v>
      </c>
      <c r="DC1798" s="5" t="s">
        <v>240</v>
      </c>
      <c r="DD1798" s="5" t="s">
        <v>240</v>
      </c>
      <c r="DE1798" s="5" t="s">
        <v>240</v>
      </c>
      <c r="DF1798" s="5" t="s">
        <v>450</v>
      </c>
      <c r="DG1798" s="7">
        <f>0</f>
        <v>0</v>
      </c>
      <c r="DH1798" s="6" t="s">
        <v>3168</v>
      </c>
      <c r="DI1798" s="5" t="s">
        <v>737</v>
      </c>
      <c r="DJ1798" s="5" t="s">
        <v>240</v>
      </c>
      <c r="DK1798" s="5" t="s">
        <v>240</v>
      </c>
      <c r="DL1798" s="5" t="s">
        <v>240</v>
      </c>
      <c r="DM1798" s="5" t="s">
        <v>240</v>
      </c>
      <c r="DN1798" s="5" t="s">
        <v>240</v>
      </c>
      <c r="DO1798" s="7" t="s">
        <v>240</v>
      </c>
      <c r="DP1798" s="5" t="s">
        <v>240</v>
      </c>
      <c r="DQ1798" s="5" t="s">
        <v>240</v>
      </c>
      <c r="DR1798" s="5" t="s">
        <v>731</v>
      </c>
      <c r="DS1798" s="5" t="s">
        <v>731</v>
      </c>
      <c r="DT1798" s="5" t="s">
        <v>240</v>
      </c>
      <c r="DU1798" s="5" t="s">
        <v>240</v>
      </c>
      <c r="DV1798" s="5" t="s">
        <v>3731</v>
      </c>
      <c r="DW1798" s="5" t="s">
        <v>312</v>
      </c>
      <c r="DX1798" s="5" t="s">
        <v>240</v>
      </c>
      <c r="DY1798" s="5" t="s">
        <v>240</v>
      </c>
      <c r="DZ1798" s="5" t="s">
        <v>240</v>
      </c>
      <c r="EA1798" s="5" t="s">
        <v>240</v>
      </c>
      <c r="EB1798" s="5" t="s">
        <v>240</v>
      </c>
      <c r="EC1798" s="5" t="s">
        <v>240</v>
      </c>
      <c r="ED1798" s="5" t="s">
        <v>240</v>
      </c>
      <c r="EE1798" s="5" t="s">
        <v>240</v>
      </c>
      <c r="EF1798" s="5" t="s">
        <v>240</v>
      </c>
      <c r="EG1798" s="5" t="s">
        <v>240</v>
      </c>
      <c r="EH1798" s="5" t="s">
        <v>240</v>
      </c>
      <c r="EI1798" s="5" t="s">
        <v>240</v>
      </c>
      <c r="EJ1798" s="5" t="s">
        <v>240</v>
      </c>
      <c r="EK1798" s="5" t="s">
        <v>240</v>
      </c>
      <c r="EL1798" s="5" t="s">
        <v>240</v>
      </c>
      <c r="EM1798" s="5" t="s">
        <v>240</v>
      </c>
      <c r="EN1798" s="5" t="s">
        <v>240</v>
      </c>
      <c r="EO1798" s="5" t="s">
        <v>240</v>
      </c>
      <c r="EP1798" s="5" t="s">
        <v>240</v>
      </c>
      <c r="EQ1798" s="5" t="s">
        <v>240</v>
      </c>
      <c r="ER1798" s="5" t="s">
        <v>240</v>
      </c>
      <c r="ES1798" s="5" t="s">
        <v>240</v>
      </c>
      <c r="ET1798" s="5" t="s">
        <v>240</v>
      </c>
      <c r="EU1798" s="5" t="s">
        <v>240</v>
      </c>
      <c r="EV1798" s="5" t="s">
        <v>240</v>
      </c>
      <c r="EW1798" s="5" t="s">
        <v>240</v>
      </c>
      <c r="EX1798" s="5" t="s">
        <v>240</v>
      </c>
      <c r="EY1798" s="5" t="s">
        <v>240</v>
      </c>
      <c r="EZ1798" s="5" t="s">
        <v>240</v>
      </c>
      <c r="FA1798" s="5" t="s">
        <v>240</v>
      </c>
      <c r="FB1798" s="5" t="s">
        <v>240</v>
      </c>
      <c r="FC1798" s="5" t="s">
        <v>240</v>
      </c>
      <c r="FD1798" s="5" t="s">
        <v>240</v>
      </c>
      <c r="FE1798" s="5" t="s">
        <v>240</v>
      </c>
      <c r="FF1798" s="5" t="s">
        <v>240</v>
      </c>
      <c r="FG1798" s="5" t="s">
        <v>240</v>
      </c>
      <c r="FH1798" s="5" t="s">
        <v>240</v>
      </c>
      <c r="FI1798" s="5" t="s">
        <v>240</v>
      </c>
      <c r="FJ1798" s="5" t="s">
        <v>240</v>
      </c>
      <c r="FK1798" s="5" t="s">
        <v>240</v>
      </c>
      <c r="FL1798" s="5" t="s">
        <v>240</v>
      </c>
      <c r="FM1798" s="5" t="s">
        <v>240</v>
      </c>
      <c r="FN1798" s="5" t="s">
        <v>240</v>
      </c>
      <c r="FO1798" s="5" t="s">
        <v>240</v>
      </c>
      <c r="FP1798" s="5" t="s">
        <v>240</v>
      </c>
      <c r="FQ1798" s="5" t="s">
        <v>240</v>
      </c>
      <c r="FR1798" s="5" t="s">
        <v>240</v>
      </c>
      <c r="FS1798" s="5" t="s">
        <v>240</v>
      </c>
      <c r="FT1798" s="5" t="s">
        <v>240</v>
      </c>
      <c r="FU1798" s="5" t="s">
        <v>240</v>
      </c>
      <c r="FV1798" s="5" t="s">
        <v>240</v>
      </c>
      <c r="FW1798" s="5" t="s">
        <v>240</v>
      </c>
      <c r="FX1798" s="5" t="s">
        <v>240</v>
      </c>
      <c r="FY1798" s="5" t="s">
        <v>240</v>
      </c>
      <c r="FZ1798" s="5" t="s">
        <v>240</v>
      </c>
      <c r="GA1798" s="5" t="s">
        <v>240</v>
      </c>
      <c r="GB1798" s="5" t="s">
        <v>240</v>
      </c>
      <c r="GC1798" s="5" t="s">
        <v>240</v>
      </c>
      <c r="GD1798" s="5" t="s">
        <v>240</v>
      </c>
      <c r="GE1798" s="5" t="s">
        <v>240</v>
      </c>
      <c r="GF1798" s="5" t="s">
        <v>240</v>
      </c>
      <c r="GG1798" s="5" t="s">
        <v>240</v>
      </c>
      <c r="GH1798" s="5" t="s">
        <v>240</v>
      </c>
      <c r="GI1798" s="5" t="s">
        <v>240</v>
      </c>
      <c r="GJ1798" s="5" t="s">
        <v>240</v>
      </c>
      <c r="GK1798" s="5" t="s">
        <v>240</v>
      </c>
      <c r="GL1798" s="5" t="s">
        <v>240</v>
      </c>
      <c r="GM1798" s="5" t="s">
        <v>240</v>
      </c>
      <c r="GN1798" s="5" t="s">
        <v>240</v>
      </c>
      <c r="GO1798" s="5" t="s">
        <v>240</v>
      </c>
      <c r="GP1798" s="5" t="s">
        <v>240</v>
      </c>
      <c r="GQ1798" s="5" t="s">
        <v>240</v>
      </c>
      <c r="GR1798" s="5" t="s">
        <v>240</v>
      </c>
      <c r="GS1798" s="5" t="s">
        <v>240</v>
      </c>
      <c r="GT1798" s="5" t="s">
        <v>240</v>
      </c>
      <c r="GU1798" s="5" t="s">
        <v>240</v>
      </c>
      <c r="GV1798" s="5" t="s">
        <v>240</v>
      </c>
      <c r="GW1798" s="5" t="s">
        <v>240</v>
      </c>
      <c r="GX1798" s="5" t="s">
        <v>240</v>
      </c>
      <c r="GY1798" s="5" t="s">
        <v>240</v>
      </c>
      <c r="GZ1798" s="5" t="s">
        <v>240</v>
      </c>
      <c r="HA1798" s="5" t="s">
        <v>240</v>
      </c>
      <c r="HB1798" s="5" t="s">
        <v>240</v>
      </c>
      <c r="HC1798" s="5" t="s">
        <v>240</v>
      </c>
      <c r="HD1798" s="5" t="s">
        <v>240</v>
      </c>
      <c r="HE1798" s="5" t="s">
        <v>240</v>
      </c>
      <c r="HF1798" s="5" t="s">
        <v>240</v>
      </c>
      <c r="HG1798" s="5" t="s">
        <v>240</v>
      </c>
      <c r="HH1798" s="5" t="s">
        <v>240</v>
      </c>
      <c r="HI1798" s="5" t="s">
        <v>240</v>
      </c>
      <c r="HJ1798" s="5" t="s">
        <v>240</v>
      </c>
      <c r="HK1798" s="5" t="s">
        <v>240</v>
      </c>
      <c r="HL1798" s="5" t="s">
        <v>240</v>
      </c>
      <c r="HM1798" s="5" t="s">
        <v>240</v>
      </c>
      <c r="HN1798" s="5" t="s">
        <v>240</v>
      </c>
      <c r="HO1798" s="5" t="s">
        <v>312</v>
      </c>
      <c r="HP1798" s="5" t="s">
        <v>240</v>
      </c>
      <c r="HQ1798" s="5" t="s">
        <v>240</v>
      </c>
      <c r="HR1798" s="5" t="s">
        <v>240</v>
      </c>
      <c r="HS1798" s="5" t="s">
        <v>240</v>
      </c>
      <c r="HT1798" s="5" t="s">
        <v>240</v>
      </c>
      <c r="HU1798" s="5" t="s">
        <v>240</v>
      </c>
      <c r="HV1798" s="5" t="s">
        <v>240</v>
      </c>
      <c r="HW1798" s="5" t="s">
        <v>240</v>
      </c>
      <c r="HX1798" s="5" t="s">
        <v>240</v>
      </c>
      <c r="HY1798" s="5" t="s">
        <v>240</v>
      </c>
      <c r="HZ1798" s="5" t="s">
        <v>240</v>
      </c>
      <c r="IA1798" s="5" t="s">
        <v>240</v>
      </c>
      <c r="IB1798" s="5" t="s">
        <v>240</v>
      </c>
      <c r="IC1798" s="5" t="s">
        <v>240</v>
      </c>
      <c r="ID1798" s="5" t="s">
        <v>240</v>
      </c>
      <c r="IE1798" s="5" t="s">
        <v>240</v>
      </c>
      <c r="IF1798" s="5" t="s">
        <v>240</v>
      </c>
    </row>
    <row r="1799" spans="1:240" x14ac:dyDescent="0.4">
      <c r="A1799" s="5">
        <v>3497</v>
      </c>
      <c r="B1799" s="5">
        <v>1</v>
      </c>
      <c r="C1799" s="5">
        <v>1</v>
      </c>
      <c r="D1799" s="5" t="s">
        <v>297</v>
      </c>
      <c r="E1799" s="5" t="s">
        <v>245</v>
      </c>
      <c r="F1799" s="5" t="s">
        <v>254</v>
      </c>
      <c r="G1799" s="5" t="s">
        <v>295</v>
      </c>
      <c r="H1799" s="6" t="s">
        <v>6574</v>
      </c>
      <c r="I1799" s="5" t="s">
        <v>6573</v>
      </c>
      <c r="J1799" s="8">
        <f>308.53</f>
        <v>308.52999999999997</v>
      </c>
      <c r="K1799" s="5" t="s">
        <v>308</v>
      </c>
      <c r="L1799" s="7">
        <f>6141695</f>
        <v>6141695</v>
      </c>
      <c r="M1799" s="7">
        <f>6141695</f>
        <v>6141695</v>
      </c>
      <c r="N1799" s="5" t="s">
        <v>242</v>
      </c>
      <c r="O1799" s="5">
        <v>1</v>
      </c>
      <c r="P1799" s="5" t="s">
        <v>294</v>
      </c>
      <c r="Q1799" s="5" t="s">
        <v>266</v>
      </c>
      <c r="R1799" s="5" t="s">
        <v>240</v>
      </c>
      <c r="S1799" s="5" t="s">
        <v>240</v>
      </c>
      <c r="T1799" s="5" t="s">
        <v>296</v>
      </c>
      <c r="U1799" s="5" t="s">
        <v>244</v>
      </c>
      <c r="V1799" s="5" t="s">
        <v>240</v>
      </c>
      <c r="Y1799" s="5" t="s">
        <v>240</v>
      </c>
      <c r="Z1799" s="6" t="s">
        <v>298</v>
      </c>
      <c r="AB1799" s="6" t="s">
        <v>240</v>
      </c>
      <c r="AE1799" s="6" t="s">
        <v>299</v>
      </c>
      <c r="AF1799" s="5" t="s">
        <v>248</v>
      </c>
      <c r="AG1799" s="5" t="s">
        <v>249</v>
      </c>
      <c r="AW1799" s="5" t="s">
        <v>251</v>
      </c>
      <c r="AX1799" s="5" t="s">
        <v>240</v>
      </c>
      <c r="AY1799" s="5" t="s">
        <v>253</v>
      </c>
      <c r="AZ1799" s="5" t="s">
        <v>240</v>
      </c>
      <c r="BA1799" s="5" t="s">
        <v>255</v>
      </c>
      <c r="BB1799" s="5" t="s">
        <v>240</v>
      </c>
      <c r="BD1799" s="5" t="s">
        <v>240</v>
      </c>
      <c r="BF1799" s="5" t="s">
        <v>301</v>
      </c>
      <c r="BG1799" s="6" t="s">
        <v>299</v>
      </c>
      <c r="BH1799" s="5" t="s">
        <v>302</v>
      </c>
      <c r="BI1799" s="5" t="s">
        <v>303</v>
      </c>
      <c r="BJ1799" s="5" t="s">
        <v>240</v>
      </c>
      <c r="BK1799" s="8">
        <f>0</f>
        <v>0</v>
      </c>
      <c r="BL1799" s="7">
        <f>0</f>
        <v>0</v>
      </c>
      <c r="BM1799" s="5" t="s">
        <v>258</v>
      </c>
      <c r="BN1799" s="5" t="s">
        <v>259</v>
      </c>
      <c r="CB1799" s="5" t="s">
        <v>240</v>
      </c>
      <c r="CC1799" s="5" t="s">
        <v>240</v>
      </c>
      <c r="CG1799" s="5" t="s">
        <v>304</v>
      </c>
      <c r="CH1799" s="5" t="s">
        <v>305</v>
      </c>
      <c r="CI1799" s="5" t="s">
        <v>240</v>
      </c>
      <c r="CL1799" s="6" t="s">
        <v>261</v>
      </c>
      <c r="CM1799" s="5" t="s">
        <v>240</v>
      </c>
      <c r="CN1799" s="5" t="s">
        <v>263</v>
      </c>
      <c r="CO1799" s="5" t="s">
        <v>240</v>
      </c>
      <c r="CP1799" s="5" t="s">
        <v>240</v>
      </c>
      <c r="CQ1799" s="5">
        <v>0</v>
      </c>
      <c r="CR1799" s="5" t="s">
        <v>306</v>
      </c>
      <c r="CS1799" s="5" t="s">
        <v>307</v>
      </c>
      <c r="CT1799" s="5" t="s">
        <v>307</v>
      </c>
      <c r="CU1799" s="5" t="s">
        <v>260</v>
      </c>
      <c r="CX1799" s="7">
        <f>1</f>
        <v>1</v>
      </c>
      <c r="CY1799" s="7">
        <f>0</f>
        <v>0</v>
      </c>
      <c r="DA1799" s="7">
        <f>0</f>
        <v>0</v>
      </c>
      <c r="DC1799" s="5" t="s">
        <v>812</v>
      </c>
      <c r="DD1799" s="5" t="s">
        <v>240</v>
      </c>
      <c r="DF1799" s="5" t="s">
        <v>812</v>
      </c>
      <c r="DG1799" s="7">
        <f>284</f>
        <v>284</v>
      </c>
      <c r="DI1799" s="5" t="s">
        <v>240</v>
      </c>
      <c r="DJ1799" s="5" t="s">
        <v>240</v>
      </c>
      <c r="DK1799" s="5" t="s">
        <v>240</v>
      </c>
      <c r="DL1799" s="5" t="s">
        <v>240</v>
      </c>
      <c r="DP1799" s="5" t="s">
        <v>240</v>
      </c>
      <c r="DQ1799" s="5" t="s">
        <v>240</v>
      </c>
      <c r="DR1799" s="5" t="s">
        <v>240</v>
      </c>
      <c r="DS1799" s="5" t="s">
        <v>240</v>
      </c>
      <c r="DV1799" s="5" t="s">
        <v>813</v>
      </c>
      <c r="DW1799" s="5" t="s">
        <v>3733</v>
      </c>
      <c r="HO1799" s="5" t="s">
        <v>312</v>
      </c>
    </row>
    <row r="1800" spans="1:240" x14ac:dyDescent="0.4">
      <c r="A1800" s="5">
        <v>3498</v>
      </c>
      <c r="B1800" s="5">
        <v>1</v>
      </c>
      <c r="C1800" s="5">
        <v>1</v>
      </c>
      <c r="D1800" s="5" t="s">
        <v>297</v>
      </c>
      <c r="E1800" s="5" t="s">
        <v>245</v>
      </c>
      <c r="F1800" s="5" t="s">
        <v>254</v>
      </c>
      <c r="G1800" s="5" t="s">
        <v>295</v>
      </c>
      <c r="H1800" s="6" t="s">
        <v>6576</v>
      </c>
      <c r="I1800" s="5" t="s">
        <v>6575</v>
      </c>
      <c r="J1800" s="8">
        <f>79.01</f>
        <v>79.010000000000005</v>
      </c>
      <c r="K1800" s="5" t="s">
        <v>308</v>
      </c>
      <c r="L1800" s="7">
        <f>767187</f>
        <v>767187</v>
      </c>
      <c r="M1800" s="7">
        <f>767187</f>
        <v>767187</v>
      </c>
      <c r="N1800" s="5" t="s">
        <v>242</v>
      </c>
      <c r="O1800" s="5">
        <v>1</v>
      </c>
      <c r="P1800" s="5" t="s">
        <v>294</v>
      </c>
      <c r="Q1800" s="5" t="s">
        <v>266</v>
      </c>
      <c r="R1800" s="5" t="s">
        <v>240</v>
      </c>
      <c r="S1800" s="5" t="s">
        <v>240</v>
      </c>
      <c r="T1800" s="5" t="s">
        <v>296</v>
      </c>
      <c r="U1800" s="5" t="s">
        <v>244</v>
      </c>
      <c r="V1800" s="5" t="s">
        <v>240</v>
      </c>
      <c r="Y1800" s="5" t="s">
        <v>240</v>
      </c>
      <c r="Z1800" s="6" t="s">
        <v>298</v>
      </c>
      <c r="AB1800" s="6" t="s">
        <v>240</v>
      </c>
      <c r="AE1800" s="6" t="s">
        <v>299</v>
      </c>
      <c r="AF1800" s="5" t="s">
        <v>248</v>
      </c>
      <c r="AG1800" s="5" t="s">
        <v>249</v>
      </c>
      <c r="AW1800" s="5" t="s">
        <v>251</v>
      </c>
      <c r="AX1800" s="5" t="s">
        <v>240</v>
      </c>
      <c r="AY1800" s="5" t="s">
        <v>253</v>
      </c>
      <c r="AZ1800" s="5" t="s">
        <v>240</v>
      </c>
      <c r="BA1800" s="5" t="s">
        <v>255</v>
      </c>
      <c r="BB1800" s="5" t="s">
        <v>240</v>
      </c>
      <c r="BD1800" s="5" t="s">
        <v>240</v>
      </c>
      <c r="BF1800" s="5" t="s">
        <v>301</v>
      </c>
      <c r="BG1800" s="6" t="s">
        <v>299</v>
      </c>
      <c r="BH1800" s="5" t="s">
        <v>302</v>
      </c>
      <c r="BI1800" s="5" t="s">
        <v>303</v>
      </c>
      <c r="BJ1800" s="5" t="s">
        <v>240</v>
      </c>
      <c r="BK1800" s="8">
        <f>0</f>
        <v>0</v>
      </c>
      <c r="BL1800" s="7">
        <f>0</f>
        <v>0</v>
      </c>
      <c r="BM1800" s="5" t="s">
        <v>258</v>
      </c>
      <c r="BN1800" s="5" t="s">
        <v>259</v>
      </c>
      <c r="CB1800" s="5" t="s">
        <v>240</v>
      </c>
      <c r="CC1800" s="5" t="s">
        <v>240</v>
      </c>
      <c r="CG1800" s="5" t="s">
        <v>304</v>
      </c>
      <c r="CH1800" s="5" t="s">
        <v>305</v>
      </c>
      <c r="CI1800" s="5" t="s">
        <v>240</v>
      </c>
      <c r="CL1800" s="6" t="s">
        <v>261</v>
      </c>
      <c r="CM1800" s="5" t="s">
        <v>240</v>
      </c>
      <c r="CN1800" s="5" t="s">
        <v>263</v>
      </c>
      <c r="CO1800" s="5" t="s">
        <v>240</v>
      </c>
      <c r="CP1800" s="5" t="s">
        <v>240</v>
      </c>
      <c r="CQ1800" s="5">
        <v>0</v>
      </c>
      <c r="CR1800" s="5" t="s">
        <v>306</v>
      </c>
      <c r="CS1800" s="5" t="s">
        <v>307</v>
      </c>
      <c r="CT1800" s="5" t="s">
        <v>307</v>
      </c>
      <c r="CU1800" s="5" t="s">
        <v>260</v>
      </c>
      <c r="CX1800" s="7">
        <f>1</f>
        <v>1</v>
      </c>
      <c r="CY1800" s="7">
        <f>0</f>
        <v>0</v>
      </c>
      <c r="DA1800" s="7">
        <f>0</f>
        <v>0</v>
      </c>
      <c r="DC1800" s="5" t="s">
        <v>812</v>
      </c>
      <c r="DD1800" s="5" t="s">
        <v>240</v>
      </c>
      <c r="DF1800" s="5" t="s">
        <v>812</v>
      </c>
      <c r="DG1800" s="7">
        <f>967</f>
        <v>967</v>
      </c>
      <c r="DI1800" s="5" t="s">
        <v>240</v>
      </c>
      <c r="DJ1800" s="5" t="s">
        <v>240</v>
      </c>
      <c r="DK1800" s="5" t="s">
        <v>240</v>
      </c>
      <c r="DL1800" s="5" t="s">
        <v>240</v>
      </c>
      <c r="DP1800" s="5" t="s">
        <v>240</v>
      </c>
      <c r="DQ1800" s="5" t="s">
        <v>240</v>
      </c>
      <c r="DR1800" s="5" t="s">
        <v>240</v>
      </c>
      <c r="DS1800" s="5" t="s">
        <v>240</v>
      </c>
      <c r="DV1800" s="5" t="s">
        <v>813</v>
      </c>
      <c r="DW1800" s="5" t="s">
        <v>3735</v>
      </c>
      <c r="HO1800" s="5" t="s">
        <v>312</v>
      </c>
    </row>
    <row r="1801" spans="1:240" x14ac:dyDescent="0.4">
      <c r="A1801" s="5">
        <v>3499</v>
      </c>
      <c r="B1801" s="5">
        <v>1</v>
      </c>
      <c r="C1801" s="5">
        <v>1</v>
      </c>
      <c r="D1801" s="5" t="s">
        <v>297</v>
      </c>
      <c r="E1801" s="5" t="s">
        <v>245</v>
      </c>
      <c r="F1801" s="5" t="s">
        <v>254</v>
      </c>
      <c r="G1801" s="5" t="s">
        <v>295</v>
      </c>
      <c r="H1801" s="6" t="s">
        <v>3466</v>
      </c>
      <c r="I1801" s="5" t="s">
        <v>6583</v>
      </c>
      <c r="J1801" s="8">
        <f>938.78</f>
        <v>938.78</v>
      </c>
      <c r="K1801" s="5" t="s">
        <v>308</v>
      </c>
      <c r="L1801" s="7">
        <f>18365538</f>
        <v>18365538</v>
      </c>
      <c r="M1801" s="7">
        <f>18365538</f>
        <v>18365538</v>
      </c>
      <c r="N1801" s="5" t="s">
        <v>242</v>
      </c>
      <c r="O1801" s="5">
        <v>1</v>
      </c>
      <c r="P1801" s="5" t="s">
        <v>294</v>
      </c>
      <c r="Q1801" s="5" t="s">
        <v>266</v>
      </c>
      <c r="R1801" s="5" t="s">
        <v>240</v>
      </c>
      <c r="S1801" s="5" t="s">
        <v>240</v>
      </c>
      <c r="T1801" s="5" t="s">
        <v>296</v>
      </c>
      <c r="U1801" s="5" t="s">
        <v>244</v>
      </c>
      <c r="V1801" s="5" t="s">
        <v>240</v>
      </c>
      <c r="Y1801" s="5" t="s">
        <v>240</v>
      </c>
      <c r="Z1801" s="6" t="s">
        <v>298</v>
      </c>
      <c r="AB1801" s="6" t="s">
        <v>240</v>
      </c>
      <c r="AE1801" s="6" t="s">
        <v>299</v>
      </c>
      <c r="AF1801" s="5" t="s">
        <v>248</v>
      </c>
      <c r="AG1801" s="5" t="s">
        <v>249</v>
      </c>
      <c r="AW1801" s="5" t="s">
        <v>251</v>
      </c>
      <c r="AX1801" s="5" t="s">
        <v>240</v>
      </c>
      <c r="AY1801" s="5" t="s">
        <v>253</v>
      </c>
      <c r="AZ1801" s="5" t="s">
        <v>240</v>
      </c>
      <c r="BA1801" s="5" t="s">
        <v>255</v>
      </c>
      <c r="BB1801" s="5" t="s">
        <v>240</v>
      </c>
      <c r="BD1801" s="5" t="s">
        <v>240</v>
      </c>
      <c r="BF1801" s="5" t="s">
        <v>301</v>
      </c>
      <c r="BG1801" s="6" t="s">
        <v>299</v>
      </c>
      <c r="BH1801" s="5" t="s">
        <v>302</v>
      </c>
      <c r="BI1801" s="5" t="s">
        <v>303</v>
      </c>
      <c r="BJ1801" s="5" t="s">
        <v>240</v>
      </c>
      <c r="BK1801" s="8">
        <f>0</f>
        <v>0</v>
      </c>
      <c r="BL1801" s="7">
        <f>0</f>
        <v>0</v>
      </c>
      <c r="BM1801" s="5" t="s">
        <v>258</v>
      </c>
      <c r="BN1801" s="5" t="s">
        <v>259</v>
      </c>
      <c r="CB1801" s="5" t="s">
        <v>240</v>
      </c>
      <c r="CC1801" s="5" t="s">
        <v>240</v>
      </c>
      <c r="CG1801" s="5" t="s">
        <v>304</v>
      </c>
      <c r="CH1801" s="5" t="s">
        <v>305</v>
      </c>
      <c r="CI1801" s="5" t="s">
        <v>240</v>
      </c>
      <c r="CL1801" s="6" t="s">
        <v>261</v>
      </c>
      <c r="CM1801" s="5" t="s">
        <v>240</v>
      </c>
      <c r="CN1801" s="5" t="s">
        <v>263</v>
      </c>
      <c r="CO1801" s="5" t="s">
        <v>240</v>
      </c>
      <c r="CP1801" s="5" t="s">
        <v>240</v>
      </c>
      <c r="CQ1801" s="5">
        <v>0</v>
      </c>
      <c r="CR1801" s="5" t="s">
        <v>306</v>
      </c>
      <c r="CS1801" s="5" t="s">
        <v>307</v>
      </c>
      <c r="CT1801" s="5" t="s">
        <v>307</v>
      </c>
      <c r="CU1801" s="5" t="s">
        <v>260</v>
      </c>
      <c r="CX1801" s="7">
        <f>1</f>
        <v>1</v>
      </c>
      <c r="CY1801" s="7">
        <f>0</f>
        <v>0</v>
      </c>
      <c r="DA1801" s="7">
        <f>0</f>
        <v>0</v>
      </c>
      <c r="DC1801" s="5" t="s">
        <v>812</v>
      </c>
      <c r="DD1801" s="5" t="s">
        <v>240</v>
      </c>
      <c r="DF1801" s="5" t="s">
        <v>812</v>
      </c>
      <c r="DG1801" s="7">
        <f>1897</f>
        <v>1897</v>
      </c>
      <c r="DI1801" s="5" t="s">
        <v>240</v>
      </c>
      <c r="DJ1801" s="5" t="s">
        <v>240</v>
      </c>
      <c r="DK1801" s="5" t="s">
        <v>240</v>
      </c>
      <c r="DL1801" s="5" t="s">
        <v>240</v>
      </c>
      <c r="DP1801" s="5" t="s">
        <v>240</v>
      </c>
      <c r="DQ1801" s="5" t="s">
        <v>240</v>
      </c>
      <c r="DR1801" s="5" t="s">
        <v>240</v>
      </c>
      <c r="DS1801" s="5" t="s">
        <v>240</v>
      </c>
      <c r="DV1801" s="5" t="s">
        <v>813</v>
      </c>
      <c r="DW1801" s="5" t="s">
        <v>3737</v>
      </c>
      <c r="HO1801" s="5" t="s">
        <v>312</v>
      </c>
    </row>
    <row r="1802" spans="1:240" x14ac:dyDescent="0.4">
      <c r="A1802" s="5">
        <v>3500</v>
      </c>
      <c r="B1802" s="5">
        <v>1</v>
      </c>
      <c r="C1802" s="5">
        <v>1</v>
      </c>
      <c r="D1802" s="5" t="s">
        <v>297</v>
      </c>
      <c r="E1802" s="5" t="s">
        <v>245</v>
      </c>
      <c r="F1802" s="5" t="s">
        <v>254</v>
      </c>
      <c r="G1802" s="5" t="s">
        <v>295</v>
      </c>
      <c r="H1802" s="6" t="s">
        <v>6593</v>
      </c>
      <c r="I1802" s="5" t="s">
        <v>6592</v>
      </c>
      <c r="J1802" s="8">
        <f>124.09</f>
        <v>124.09</v>
      </c>
      <c r="K1802" s="5" t="s">
        <v>308</v>
      </c>
      <c r="L1802" s="7">
        <f>173726</f>
        <v>173726</v>
      </c>
      <c r="M1802" s="7">
        <f>173726</f>
        <v>173726</v>
      </c>
      <c r="N1802" s="5" t="s">
        <v>242</v>
      </c>
      <c r="O1802" s="5">
        <v>1</v>
      </c>
      <c r="P1802" s="5" t="s">
        <v>294</v>
      </c>
      <c r="Q1802" s="5" t="s">
        <v>266</v>
      </c>
      <c r="R1802" s="5" t="s">
        <v>240</v>
      </c>
      <c r="S1802" s="5" t="s">
        <v>240</v>
      </c>
      <c r="T1802" s="5" t="s">
        <v>296</v>
      </c>
      <c r="U1802" s="5" t="s">
        <v>244</v>
      </c>
      <c r="V1802" s="5" t="s">
        <v>240</v>
      </c>
      <c r="Y1802" s="5" t="s">
        <v>240</v>
      </c>
      <c r="Z1802" s="6" t="s">
        <v>298</v>
      </c>
      <c r="AB1802" s="6" t="s">
        <v>240</v>
      </c>
      <c r="AE1802" s="6" t="s">
        <v>299</v>
      </c>
      <c r="AF1802" s="5" t="s">
        <v>248</v>
      </c>
      <c r="AG1802" s="5" t="s">
        <v>249</v>
      </c>
      <c r="AW1802" s="5" t="s">
        <v>251</v>
      </c>
      <c r="AX1802" s="5" t="s">
        <v>240</v>
      </c>
      <c r="AY1802" s="5" t="s">
        <v>253</v>
      </c>
      <c r="AZ1802" s="5" t="s">
        <v>240</v>
      </c>
      <c r="BA1802" s="5" t="s">
        <v>255</v>
      </c>
      <c r="BB1802" s="5" t="s">
        <v>240</v>
      </c>
      <c r="BD1802" s="5" t="s">
        <v>240</v>
      </c>
      <c r="BF1802" s="5" t="s">
        <v>301</v>
      </c>
      <c r="BG1802" s="6" t="s">
        <v>299</v>
      </c>
      <c r="BH1802" s="5" t="s">
        <v>302</v>
      </c>
      <c r="BI1802" s="5" t="s">
        <v>303</v>
      </c>
      <c r="BJ1802" s="5" t="s">
        <v>240</v>
      </c>
      <c r="BK1802" s="8">
        <f>0</f>
        <v>0</v>
      </c>
      <c r="BL1802" s="7">
        <f>0</f>
        <v>0</v>
      </c>
      <c r="BM1802" s="5" t="s">
        <v>258</v>
      </c>
      <c r="BN1802" s="5" t="s">
        <v>259</v>
      </c>
      <c r="CB1802" s="5" t="s">
        <v>240</v>
      </c>
      <c r="CC1802" s="5" t="s">
        <v>240</v>
      </c>
      <c r="CG1802" s="5" t="s">
        <v>304</v>
      </c>
      <c r="CH1802" s="5" t="s">
        <v>305</v>
      </c>
      <c r="CI1802" s="5" t="s">
        <v>240</v>
      </c>
      <c r="CL1802" s="6" t="s">
        <v>261</v>
      </c>
      <c r="CM1802" s="5" t="s">
        <v>240</v>
      </c>
      <c r="CN1802" s="5" t="s">
        <v>263</v>
      </c>
      <c r="CO1802" s="5" t="s">
        <v>240</v>
      </c>
      <c r="CP1802" s="5" t="s">
        <v>240</v>
      </c>
      <c r="CQ1802" s="5">
        <v>0</v>
      </c>
      <c r="CR1802" s="5" t="s">
        <v>306</v>
      </c>
      <c r="CS1802" s="5" t="s">
        <v>307</v>
      </c>
      <c r="CT1802" s="5" t="s">
        <v>307</v>
      </c>
      <c r="CU1802" s="5" t="s">
        <v>260</v>
      </c>
      <c r="CX1802" s="7">
        <f>1</f>
        <v>1</v>
      </c>
      <c r="CY1802" s="7">
        <f>0</f>
        <v>0</v>
      </c>
      <c r="DA1802" s="7">
        <f>0</f>
        <v>0</v>
      </c>
      <c r="DC1802" s="5" t="s">
        <v>812</v>
      </c>
      <c r="DD1802" s="5" t="s">
        <v>240</v>
      </c>
      <c r="DF1802" s="5" t="s">
        <v>812</v>
      </c>
      <c r="DG1802" s="7">
        <f>1038</f>
        <v>1038</v>
      </c>
      <c r="DI1802" s="5" t="s">
        <v>240</v>
      </c>
      <c r="DJ1802" s="5" t="s">
        <v>240</v>
      </c>
      <c r="DK1802" s="5" t="s">
        <v>240</v>
      </c>
      <c r="DL1802" s="5" t="s">
        <v>240</v>
      </c>
      <c r="DP1802" s="5" t="s">
        <v>240</v>
      </c>
      <c r="DQ1802" s="5" t="s">
        <v>240</v>
      </c>
      <c r="DR1802" s="5" t="s">
        <v>240</v>
      </c>
      <c r="DS1802" s="5" t="s">
        <v>240</v>
      </c>
      <c r="DV1802" s="5" t="s">
        <v>813</v>
      </c>
      <c r="DW1802" s="5" t="s">
        <v>3739</v>
      </c>
      <c r="HO1802" s="5" t="s">
        <v>312</v>
      </c>
    </row>
    <row r="1803" spans="1:240" x14ac:dyDescent="0.4">
      <c r="A1803" s="5">
        <v>3501</v>
      </c>
      <c r="B1803" s="5">
        <v>1</v>
      </c>
      <c r="C1803" s="5">
        <v>1</v>
      </c>
      <c r="D1803" s="5" t="s">
        <v>297</v>
      </c>
      <c r="E1803" s="5" t="s">
        <v>245</v>
      </c>
      <c r="F1803" s="5" t="s">
        <v>254</v>
      </c>
      <c r="G1803" s="5" t="s">
        <v>295</v>
      </c>
      <c r="H1803" s="6" t="s">
        <v>6598</v>
      </c>
      <c r="I1803" s="5" t="s">
        <v>6597</v>
      </c>
      <c r="J1803" s="8">
        <f>2323.21</f>
        <v>2323.21</v>
      </c>
      <c r="K1803" s="5" t="s">
        <v>308</v>
      </c>
      <c r="L1803" s="7">
        <f>16096259</f>
        <v>16096259</v>
      </c>
      <c r="M1803" s="7">
        <f>16096259</f>
        <v>16096259</v>
      </c>
      <c r="N1803" s="5" t="s">
        <v>242</v>
      </c>
      <c r="O1803" s="5">
        <v>1</v>
      </c>
      <c r="P1803" s="5" t="s">
        <v>294</v>
      </c>
      <c r="Q1803" s="5" t="s">
        <v>266</v>
      </c>
      <c r="R1803" s="5" t="s">
        <v>240</v>
      </c>
      <c r="S1803" s="5" t="s">
        <v>240</v>
      </c>
      <c r="T1803" s="5" t="s">
        <v>296</v>
      </c>
      <c r="U1803" s="5" t="s">
        <v>244</v>
      </c>
      <c r="V1803" s="5" t="s">
        <v>240</v>
      </c>
      <c r="Y1803" s="5" t="s">
        <v>240</v>
      </c>
      <c r="Z1803" s="6" t="s">
        <v>298</v>
      </c>
      <c r="AB1803" s="6" t="s">
        <v>240</v>
      </c>
      <c r="AE1803" s="6" t="s">
        <v>299</v>
      </c>
      <c r="AF1803" s="5" t="s">
        <v>248</v>
      </c>
      <c r="AG1803" s="5" t="s">
        <v>249</v>
      </c>
      <c r="AW1803" s="5" t="s">
        <v>251</v>
      </c>
      <c r="AX1803" s="5" t="s">
        <v>240</v>
      </c>
      <c r="AY1803" s="5" t="s">
        <v>253</v>
      </c>
      <c r="AZ1803" s="5" t="s">
        <v>240</v>
      </c>
      <c r="BA1803" s="5" t="s">
        <v>255</v>
      </c>
      <c r="BB1803" s="5" t="s">
        <v>240</v>
      </c>
      <c r="BD1803" s="5" t="s">
        <v>240</v>
      </c>
      <c r="BF1803" s="5" t="s">
        <v>301</v>
      </c>
      <c r="BG1803" s="6" t="s">
        <v>299</v>
      </c>
      <c r="BH1803" s="5" t="s">
        <v>302</v>
      </c>
      <c r="BI1803" s="5" t="s">
        <v>303</v>
      </c>
      <c r="BJ1803" s="5" t="s">
        <v>240</v>
      </c>
      <c r="BK1803" s="8">
        <f>0</f>
        <v>0</v>
      </c>
      <c r="BL1803" s="7">
        <f>0</f>
        <v>0</v>
      </c>
      <c r="BM1803" s="5" t="s">
        <v>258</v>
      </c>
      <c r="BN1803" s="5" t="s">
        <v>259</v>
      </c>
      <c r="CB1803" s="5" t="s">
        <v>240</v>
      </c>
      <c r="CC1803" s="5" t="s">
        <v>240</v>
      </c>
      <c r="CG1803" s="5" t="s">
        <v>304</v>
      </c>
      <c r="CH1803" s="5" t="s">
        <v>305</v>
      </c>
      <c r="CI1803" s="5" t="s">
        <v>240</v>
      </c>
      <c r="CL1803" s="6" t="s">
        <v>261</v>
      </c>
      <c r="CM1803" s="5" t="s">
        <v>240</v>
      </c>
      <c r="CN1803" s="5" t="s">
        <v>263</v>
      </c>
      <c r="CO1803" s="5" t="s">
        <v>240</v>
      </c>
      <c r="CP1803" s="5" t="s">
        <v>240</v>
      </c>
      <c r="CQ1803" s="5">
        <v>0</v>
      </c>
      <c r="CR1803" s="5" t="s">
        <v>306</v>
      </c>
      <c r="CS1803" s="5" t="s">
        <v>307</v>
      </c>
      <c r="CT1803" s="5" t="s">
        <v>307</v>
      </c>
      <c r="CU1803" s="5" t="s">
        <v>260</v>
      </c>
      <c r="CX1803" s="7">
        <f>1</f>
        <v>1</v>
      </c>
      <c r="CY1803" s="7">
        <f>0</f>
        <v>0</v>
      </c>
      <c r="DA1803" s="7">
        <f>0</f>
        <v>0</v>
      </c>
      <c r="DC1803" s="5" t="s">
        <v>812</v>
      </c>
      <c r="DD1803" s="5" t="s">
        <v>240</v>
      </c>
      <c r="DF1803" s="5" t="s">
        <v>812</v>
      </c>
      <c r="DG1803" s="7">
        <f>1023</f>
        <v>1023</v>
      </c>
      <c r="DI1803" s="5" t="s">
        <v>240</v>
      </c>
      <c r="DJ1803" s="5" t="s">
        <v>240</v>
      </c>
      <c r="DK1803" s="5" t="s">
        <v>240</v>
      </c>
      <c r="DL1803" s="5" t="s">
        <v>240</v>
      </c>
      <c r="DP1803" s="5" t="s">
        <v>240</v>
      </c>
      <c r="DQ1803" s="5" t="s">
        <v>240</v>
      </c>
      <c r="DR1803" s="5" t="s">
        <v>240</v>
      </c>
      <c r="DS1803" s="5" t="s">
        <v>240</v>
      </c>
      <c r="DV1803" s="5" t="s">
        <v>813</v>
      </c>
      <c r="DW1803" s="5" t="s">
        <v>3741</v>
      </c>
      <c r="HO1803" s="5" t="s">
        <v>312</v>
      </c>
    </row>
    <row r="1804" spans="1:240" x14ac:dyDescent="0.4">
      <c r="A1804" s="5">
        <v>3502</v>
      </c>
      <c r="B1804" s="5">
        <v>1</v>
      </c>
      <c r="C1804" s="5">
        <v>1</v>
      </c>
      <c r="D1804" s="5" t="s">
        <v>297</v>
      </c>
      <c r="E1804" s="5" t="s">
        <v>245</v>
      </c>
      <c r="F1804" s="5" t="s">
        <v>254</v>
      </c>
      <c r="G1804" s="5" t="s">
        <v>240</v>
      </c>
      <c r="H1804" s="6" t="s">
        <v>6600</v>
      </c>
      <c r="I1804" s="5" t="s">
        <v>6599</v>
      </c>
      <c r="J1804" s="8">
        <f>0</f>
        <v>0</v>
      </c>
      <c r="K1804" s="5" t="s">
        <v>308</v>
      </c>
      <c r="L1804" s="7">
        <f>5031548</f>
        <v>5031548</v>
      </c>
      <c r="M1804" s="7">
        <f>5031548</f>
        <v>5031548</v>
      </c>
      <c r="N1804" s="5" t="s">
        <v>242</v>
      </c>
      <c r="O1804" s="5">
        <v>1</v>
      </c>
      <c r="P1804" s="5" t="s">
        <v>294</v>
      </c>
      <c r="Q1804" s="5" t="s">
        <v>266</v>
      </c>
      <c r="R1804" s="5" t="s">
        <v>240</v>
      </c>
      <c r="S1804" s="5" t="s">
        <v>240</v>
      </c>
      <c r="T1804" s="5" t="s">
        <v>296</v>
      </c>
      <c r="U1804" s="5" t="s">
        <v>244</v>
      </c>
      <c r="V1804" s="5" t="s">
        <v>240</v>
      </c>
      <c r="Y1804" s="5" t="s">
        <v>240</v>
      </c>
      <c r="Z1804" s="6" t="s">
        <v>298</v>
      </c>
      <c r="AB1804" s="6" t="s">
        <v>240</v>
      </c>
      <c r="AE1804" s="6" t="s">
        <v>299</v>
      </c>
      <c r="AF1804" s="5" t="s">
        <v>248</v>
      </c>
      <c r="AG1804" s="5" t="s">
        <v>249</v>
      </c>
      <c r="AW1804" s="5" t="s">
        <v>251</v>
      </c>
      <c r="AX1804" s="5" t="s">
        <v>240</v>
      </c>
      <c r="AY1804" s="5" t="s">
        <v>253</v>
      </c>
      <c r="AZ1804" s="5" t="s">
        <v>240</v>
      </c>
      <c r="BA1804" s="5" t="s">
        <v>255</v>
      </c>
      <c r="BB1804" s="5" t="s">
        <v>240</v>
      </c>
      <c r="BD1804" s="5" t="s">
        <v>240</v>
      </c>
      <c r="BF1804" s="5" t="s">
        <v>301</v>
      </c>
      <c r="BG1804" s="6" t="s">
        <v>299</v>
      </c>
      <c r="BH1804" s="5" t="s">
        <v>302</v>
      </c>
      <c r="BI1804" s="5" t="s">
        <v>303</v>
      </c>
      <c r="BJ1804" s="5" t="s">
        <v>240</v>
      </c>
      <c r="BK1804" s="8">
        <f>0</f>
        <v>0</v>
      </c>
      <c r="BL1804" s="7">
        <f>0</f>
        <v>0</v>
      </c>
      <c r="BM1804" s="5" t="s">
        <v>258</v>
      </c>
      <c r="BN1804" s="5" t="s">
        <v>259</v>
      </c>
      <c r="CB1804" s="5" t="s">
        <v>240</v>
      </c>
      <c r="CC1804" s="5" t="s">
        <v>240</v>
      </c>
      <c r="CG1804" s="5" t="s">
        <v>304</v>
      </c>
      <c r="CH1804" s="5" t="s">
        <v>305</v>
      </c>
      <c r="CI1804" s="5" t="s">
        <v>240</v>
      </c>
      <c r="CL1804" s="6" t="s">
        <v>261</v>
      </c>
      <c r="CM1804" s="5" t="s">
        <v>240</v>
      </c>
      <c r="CN1804" s="5" t="s">
        <v>263</v>
      </c>
      <c r="CO1804" s="5" t="s">
        <v>240</v>
      </c>
      <c r="CP1804" s="5" t="s">
        <v>240</v>
      </c>
      <c r="CQ1804" s="5">
        <v>0</v>
      </c>
      <c r="CR1804" s="5" t="s">
        <v>306</v>
      </c>
      <c r="CS1804" s="5" t="s">
        <v>307</v>
      </c>
      <c r="CT1804" s="5" t="s">
        <v>307</v>
      </c>
      <c r="CU1804" s="5" t="s">
        <v>260</v>
      </c>
      <c r="CX1804" s="7">
        <f>1</f>
        <v>1</v>
      </c>
      <c r="CY1804" s="7">
        <f>0</f>
        <v>0</v>
      </c>
      <c r="DA1804" s="7">
        <f>0</f>
        <v>0</v>
      </c>
      <c r="DC1804" s="5" t="s">
        <v>812</v>
      </c>
      <c r="DD1804" s="5" t="s">
        <v>240</v>
      </c>
      <c r="DF1804" s="5" t="s">
        <v>812</v>
      </c>
      <c r="DG1804" s="7">
        <f>1893</f>
        <v>1893</v>
      </c>
      <c r="DI1804" s="5" t="s">
        <v>240</v>
      </c>
      <c r="DJ1804" s="5" t="s">
        <v>240</v>
      </c>
      <c r="DK1804" s="5" t="s">
        <v>240</v>
      </c>
      <c r="DL1804" s="5" t="s">
        <v>240</v>
      </c>
      <c r="DP1804" s="5" t="s">
        <v>240</v>
      </c>
      <c r="DQ1804" s="5" t="s">
        <v>240</v>
      </c>
      <c r="DR1804" s="5" t="s">
        <v>240</v>
      </c>
      <c r="DS1804" s="5" t="s">
        <v>240</v>
      </c>
      <c r="DV1804" s="5" t="s">
        <v>813</v>
      </c>
      <c r="DW1804" s="5" t="s">
        <v>3743</v>
      </c>
      <c r="HO1804" s="5" t="s">
        <v>312</v>
      </c>
    </row>
    <row r="1805" spans="1:240" x14ac:dyDescent="0.4">
      <c r="A1805" s="5">
        <v>3503</v>
      </c>
      <c r="B1805" s="5">
        <v>1</v>
      </c>
      <c r="C1805" s="5">
        <v>1</v>
      </c>
      <c r="D1805" s="5" t="s">
        <v>297</v>
      </c>
      <c r="E1805" s="5" t="s">
        <v>245</v>
      </c>
      <c r="F1805" s="5" t="s">
        <v>254</v>
      </c>
      <c r="G1805" s="5" t="s">
        <v>240</v>
      </c>
      <c r="H1805" s="6" t="s">
        <v>6668</v>
      </c>
      <c r="I1805" s="5" t="s">
        <v>6667</v>
      </c>
      <c r="J1805" s="8">
        <f>0</f>
        <v>0</v>
      </c>
      <c r="K1805" s="5" t="s">
        <v>308</v>
      </c>
      <c r="L1805" s="7">
        <f>1155657</f>
        <v>1155657</v>
      </c>
      <c r="M1805" s="7">
        <f>1155657</f>
        <v>1155657</v>
      </c>
      <c r="N1805" s="5" t="s">
        <v>242</v>
      </c>
      <c r="O1805" s="5">
        <v>1</v>
      </c>
      <c r="P1805" s="5" t="s">
        <v>294</v>
      </c>
      <c r="Q1805" s="5" t="s">
        <v>266</v>
      </c>
      <c r="R1805" s="5" t="s">
        <v>240</v>
      </c>
      <c r="S1805" s="5" t="s">
        <v>240</v>
      </c>
      <c r="T1805" s="5" t="s">
        <v>296</v>
      </c>
      <c r="U1805" s="5" t="s">
        <v>244</v>
      </c>
      <c r="V1805" s="5" t="s">
        <v>240</v>
      </c>
      <c r="Y1805" s="5" t="s">
        <v>240</v>
      </c>
      <c r="Z1805" s="6" t="s">
        <v>298</v>
      </c>
      <c r="AB1805" s="6" t="s">
        <v>240</v>
      </c>
      <c r="AE1805" s="6" t="s">
        <v>299</v>
      </c>
      <c r="AF1805" s="5" t="s">
        <v>248</v>
      </c>
      <c r="AG1805" s="5" t="s">
        <v>249</v>
      </c>
      <c r="AW1805" s="5" t="s">
        <v>251</v>
      </c>
      <c r="AX1805" s="5" t="s">
        <v>240</v>
      </c>
      <c r="AY1805" s="5" t="s">
        <v>253</v>
      </c>
      <c r="AZ1805" s="5" t="s">
        <v>240</v>
      </c>
      <c r="BA1805" s="5" t="s">
        <v>255</v>
      </c>
      <c r="BB1805" s="5" t="s">
        <v>240</v>
      </c>
      <c r="BD1805" s="5" t="s">
        <v>240</v>
      </c>
      <c r="BF1805" s="5" t="s">
        <v>301</v>
      </c>
      <c r="BG1805" s="6" t="s">
        <v>299</v>
      </c>
      <c r="BH1805" s="5" t="s">
        <v>302</v>
      </c>
      <c r="BI1805" s="5" t="s">
        <v>303</v>
      </c>
      <c r="BJ1805" s="5" t="s">
        <v>240</v>
      </c>
      <c r="BK1805" s="8">
        <f>0</f>
        <v>0</v>
      </c>
      <c r="BL1805" s="7">
        <f>0</f>
        <v>0</v>
      </c>
      <c r="BM1805" s="5" t="s">
        <v>258</v>
      </c>
      <c r="BN1805" s="5" t="s">
        <v>259</v>
      </c>
      <c r="CB1805" s="5" t="s">
        <v>240</v>
      </c>
      <c r="CC1805" s="5" t="s">
        <v>240</v>
      </c>
      <c r="CG1805" s="5" t="s">
        <v>304</v>
      </c>
      <c r="CH1805" s="5" t="s">
        <v>305</v>
      </c>
      <c r="CI1805" s="5" t="s">
        <v>240</v>
      </c>
      <c r="CL1805" s="6" t="s">
        <v>261</v>
      </c>
      <c r="CM1805" s="5" t="s">
        <v>240</v>
      </c>
      <c r="CN1805" s="5" t="s">
        <v>263</v>
      </c>
      <c r="CO1805" s="5" t="s">
        <v>240</v>
      </c>
      <c r="CP1805" s="5" t="s">
        <v>240</v>
      </c>
      <c r="CQ1805" s="5">
        <v>0</v>
      </c>
      <c r="CR1805" s="5" t="s">
        <v>306</v>
      </c>
      <c r="CS1805" s="5" t="s">
        <v>307</v>
      </c>
      <c r="CT1805" s="5" t="s">
        <v>307</v>
      </c>
      <c r="CU1805" s="5" t="s">
        <v>260</v>
      </c>
      <c r="CX1805" s="7">
        <f>1</f>
        <v>1</v>
      </c>
      <c r="CY1805" s="7">
        <f>0</f>
        <v>0</v>
      </c>
      <c r="DA1805" s="7">
        <f>0</f>
        <v>0</v>
      </c>
      <c r="DC1805" s="5" t="s">
        <v>812</v>
      </c>
      <c r="DD1805" s="5" t="s">
        <v>240</v>
      </c>
      <c r="DF1805" s="5" t="s">
        <v>812</v>
      </c>
      <c r="DG1805" s="7">
        <f>957</f>
        <v>957</v>
      </c>
      <c r="DI1805" s="5" t="s">
        <v>240</v>
      </c>
      <c r="DJ1805" s="5" t="s">
        <v>240</v>
      </c>
      <c r="DK1805" s="5" t="s">
        <v>240</v>
      </c>
      <c r="DL1805" s="5" t="s">
        <v>240</v>
      </c>
      <c r="DP1805" s="5" t="s">
        <v>240</v>
      </c>
      <c r="DQ1805" s="5" t="s">
        <v>240</v>
      </c>
      <c r="DR1805" s="5" t="s">
        <v>240</v>
      </c>
      <c r="DS1805" s="5" t="s">
        <v>240</v>
      </c>
      <c r="DV1805" s="5" t="s">
        <v>813</v>
      </c>
      <c r="DW1805" s="5" t="s">
        <v>3745</v>
      </c>
      <c r="HO1805" s="5" t="s">
        <v>312</v>
      </c>
    </row>
    <row r="1806" spans="1:240" x14ac:dyDescent="0.4">
      <c r="A1806" s="5">
        <v>3504</v>
      </c>
      <c r="B1806" s="5">
        <v>1</v>
      </c>
      <c r="C1806" s="5">
        <v>1</v>
      </c>
      <c r="D1806" s="5" t="s">
        <v>297</v>
      </c>
      <c r="E1806" s="5" t="s">
        <v>245</v>
      </c>
      <c r="F1806" s="5" t="s">
        <v>254</v>
      </c>
      <c r="G1806" s="5" t="s">
        <v>6673</v>
      </c>
      <c r="H1806" s="6" t="s">
        <v>6674</v>
      </c>
      <c r="I1806" s="5" t="s">
        <v>6672</v>
      </c>
      <c r="J1806" s="8">
        <f>0</f>
        <v>0</v>
      </c>
      <c r="K1806" s="5" t="s">
        <v>308</v>
      </c>
      <c r="L1806" s="7">
        <f>317534</f>
        <v>317534</v>
      </c>
      <c r="M1806" s="7">
        <f>317534</f>
        <v>317534</v>
      </c>
      <c r="N1806" s="5" t="s">
        <v>242</v>
      </c>
      <c r="O1806" s="5">
        <v>1</v>
      </c>
      <c r="P1806" s="5" t="s">
        <v>294</v>
      </c>
      <c r="Q1806" s="5" t="s">
        <v>266</v>
      </c>
      <c r="R1806" s="5" t="s">
        <v>240</v>
      </c>
      <c r="S1806" s="5" t="s">
        <v>240</v>
      </c>
      <c r="T1806" s="5" t="s">
        <v>296</v>
      </c>
      <c r="U1806" s="5" t="s">
        <v>244</v>
      </c>
      <c r="V1806" s="5" t="s">
        <v>240</v>
      </c>
      <c r="Y1806" s="5" t="s">
        <v>240</v>
      </c>
      <c r="Z1806" s="6" t="s">
        <v>298</v>
      </c>
      <c r="AB1806" s="6" t="s">
        <v>240</v>
      </c>
      <c r="AE1806" s="6" t="s">
        <v>299</v>
      </c>
      <c r="AF1806" s="5" t="s">
        <v>248</v>
      </c>
      <c r="AG1806" s="5" t="s">
        <v>249</v>
      </c>
      <c r="AW1806" s="5" t="s">
        <v>251</v>
      </c>
      <c r="AX1806" s="5" t="s">
        <v>240</v>
      </c>
      <c r="AY1806" s="5" t="s">
        <v>253</v>
      </c>
      <c r="AZ1806" s="5" t="s">
        <v>240</v>
      </c>
      <c r="BA1806" s="5" t="s">
        <v>255</v>
      </c>
      <c r="BB1806" s="5" t="s">
        <v>240</v>
      </c>
      <c r="BD1806" s="5" t="s">
        <v>240</v>
      </c>
      <c r="BF1806" s="5" t="s">
        <v>301</v>
      </c>
      <c r="BG1806" s="6" t="s">
        <v>299</v>
      </c>
      <c r="BH1806" s="5" t="s">
        <v>302</v>
      </c>
      <c r="BI1806" s="5" t="s">
        <v>303</v>
      </c>
      <c r="BJ1806" s="5" t="s">
        <v>240</v>
      </c>
      <c r="BK1806" s="8">
        <f>0</f>
        <v>0</v>
      </c>
      <c r="BL1806" s="7">
        <f>0</f>
        <v>0</v>
      </c>
      <c r="BM1806" s="5" t="s">
        <v>258</v>
      </c>
      <c r="BN1806" s="5" t="s">
        <v>259</v>
      </c>
      <c r="CB1806" s="5" t="s">
        <v>240</v>
      </c>
      <c r="CC1806" s="5" t="s">
        <v>240</v>
      </c>
      <c r="CG1806" s="5" t="s">
        <v>304</v>
      </c>
      <c r="CH1806" s="5" t="s">
        <v>305</v>
      </c>
      <c r="CI1806" s="5" t="s">
        <v>240</v>
      </c>
      <c r="CL1806" s="6" t="s">
        <v>261</v>
      </c>
      <c r="CM1806" s="5" t="s">
        <v>240</v>
      </c>
      <c r="CN1806" s="5" t="s">
        <v>263</v>
      </c>
      <c r="CO1806" s="5" t="s">
        <v>240</v>
      </c>
      <c r="CP1806" s="5" t="s">
        <v>240</v>
      </c>
      <c r="CQ1806" s="5">
        <v>0</v>
      </c>
      <c r="CR1806" s="5" t="s">
        <v>306</v>
      </c>
      <c r="CS1806" s="5" t="s">
        <v>307</v>
      </c>
      <c r="CT1806" s="5" t="s">
        <v>307</v>
      </c>
      <c r="CU1806" s="5" t="s">
        <v>260</v>
      </c>
      <c r="CX1806" s="7">
        <f>1</f>
        <v>1</v>
      </c>
      <c r="CY1806" s="7">
        <f>0</f>
        <v>0</v>
      </c>
      <c r="DA1806" s="7">
        <f>0</f>
        <v>0</v>
      </c>
      <c r="DC1806" s="5" t="s">
        <v>309</v>
      </c>
      <c r="DD1806" s="5" t="s">
        <v>240</v>
      </c>
      <c r="DF1806" s="5" t="s">
        <v>309</v>
      </c>
      <c r="DG1806" s="7">
        <f>13783</f>
        <v>13783</v>
      </c>
      <c r="DI1806" s="5" t="s">
        <v>240</v>
      </c>
      <c r="DJ1806" s="5" t="s">
        <v>240</v>
      </c>
      <c r="DK1806" s="5" t="s">
        <v>240</v>
      </c>
      <c r="DL1806" s="5" t="s">
        <v>240</v>
      </c>
      <c r="DP1806" s="5" t="s">
        <v>240</v>
      </c>
      <c r="DQ1806" s="5" t="s">
        <v>240</v>
      </c>
      <c r="DR1806" s="5" t="s">
        <v>240</v>
      </c>
      <c r="DS1806" s="5" t="s">
        <v>240</v>
      </c>
      <c r="DV1806" s="5" t="s">
        <v>310</v>
      </c>
      <c r="DW1806" s="5" t="s">
        <v>3180</v>
      </c>
      <c r="HO1806" s="5" t="s">
        <v>312</v>
      </c>
    </row>
    <row r="1807" spans="1:240" x14ac:dyDescent="0.4">
      <c r="A1807" s="5">
        <v>3505</v>
      </c>
      <c r="B1807" s="5">
        <v>1</v>
      </c>
      <c r="C1807" s="5">
        <v>1</v>
      </c>
      <c r="D1807" s="5" t="s">
        <v>297</v>
      </c>
      <c r="E1807" s="5" t="s">
        <v>245</v>
      </c>
      <c r="F1807" s="5" t="s">
        <v>254</v>
      </c>
      <c r="G1807" s="5" t="s">
        <v>240</v>
      </c>
      <c r="H1807" s="6" t="s">
        <v>6147</v>
      </c>
      <c r="I1807" s="5" t="s">
        <v>6675</v>
      </c>
      <c r="J1807" s="8">
        <f>470.93</f>
        <v>470.93</v>
      </c>
      <c r="K1807" s="5" t="s">
        <v>308</v>
      </c>
      <c r="L1807" s="7">
        <f>891766</f>
        <v>891766</v>
      </c>
      <c r="M1807" s="7">
        <f>891766</f>
        <v>891766</v>
      </c>
      <c r="N1807" s="5" t="s">
        <v>242</v>
      </c>
      <c r="O1807" s="5">
        <v>1</v>
      </c>
      <c r="P1807" s="5" t="s">
        <v>294</v>
      </c>
      <c r="Q1807" s="5" t="s">
        <v>266</v>
      </c>
      <c r="R1807" s="5" t="s">
        <v>240</v>
      </c>
      <c r="S1807" s="5" t="s">
        <v>240</v>
      </c>
      <c r="T1807" s="5" t="s">
        <v>296</v>
      </c>
      <c r="U1807" s="5" t="s">
        <v>244</v>
      </c>
      <c r="V1807" s="5" t="s">
        <v>240</v>
      </c>
      <c r="Y1807" s="5" t="s">
        <v>240</v>
      </c>
      <c r="Z1807" s="6" t="s">
        <v>298</v>
      </c>
      <c r="AB1807" s="6" t="s">
        <v>240</v>
      </c>
      <c r="AE1807" s="6" t="s">
        <v>299</v>
      </c>
      <c r="AF1807" s="5" t="s">
        <v>248</v>
      </c>
      <c r="AG1807" s="5" t="s">
        <v>249</v>
      </c>
      <c r="AW1807" s="5" t="s">
        <v>251</v>
      </c>
      <c r="AX1807" s="5" t="s">
        <v>240</v>
      </c>
      <c r="AY1807" s="5" t="s">
        <v>253</v>
      </c>
      <c r="AZ1807" s="5" t="s">
        <v>240</v>
      </c>
      <c r="BA1807" s="5" t="s">
        <v>255</v>
      </c>
      <c r="BB1807" s="5" t="s">
        <v>240</v>
      </c>
      <c r="BD1807" s="5" t="s">
        <v>240</v>
      </c>
      <c r="BF1807" s="5" t="s">
        <v>301</v>
      </c>
      <c r="BG1807" s="6" t="s">
        <v>299</v>
      </c>
      <c r="BH1807" s="5" t="s">
        <v>302</v>
      </c>
      <c r="BI1807" s="5" t="s">
        <v>303</v>
      </c>
      <c r="BJ1807" s="5" t="s">
        <v>240</v>
      </c>
      <c r="BK1807" s="8">
        <f>0</f>
        <v>0</v>
      </c>
      <c r="BL1807" s="7">
        <f>0</f>
        <v>0</v>
      </c>
      <c r="BM1807" s="5" t="s">
        <v>258</v>
      </c>
      <c r="BN1807" s="5" t="s">
        <v>259</v>
      </c>
      <c r="CB1807" s="5" t="s">
        <v>240</v>
      </c>
      <c r="CC1807" s="5" t="s">
        <v>240</v>
      </c>
      <c r="CG1807" s="5" t="s">
        <v>304</v>
      </c>
      <c r="CH1807" s="5" t="s">
        <v>305</v>
      </c>
      <c r="CI1807" s="5" t="s">
        <v>240</v>
      </c>
      <c r="CL1807" s="6" t="s">
        <v>261</v>
      </c>
      <c r="CM1807" s="5" t="s">
        <v>240</v>
      </c>
      <c r="CN1807" s="5" t="s">
        <v>263</v>
      </c>
      <c r="CO1807" s="5" t="s">
        <v>240</v>
      </c>
      <c r="CP1807" s="5" t="s">
        <v>240</v>
      </c>
      <c r="CQ1807" s="5">
        <v>0</v>
      </c>
      <c r="CR1807" s="5" t="s">
        <v>306</v>
      </c>
      <c r="CS1807" s="5" t="s">
        <v>307</v>
      </c>
      <c r="CT1807" s="5" t="s">
        <v>307</v>
      </c>
      <c r="CU1807" s="5" t="s">
        <v>260</v>
      </c>
      <c r="CX1807" s="7">
        <f>1</f>
        <v>1</v>
      </c>
      <c r="CY1807" s="7">
        <f>0</f>
        <v>0</v>
      </c>
      <c r="DA1807" s="7">
        <f>0</f>
        <v>0</v>
      </c>
      <c r="DC1807" s="5" t="s">
        <v>812</v>
      </c>
      <c r="DD1807" s="5" t="s">
        <v>240</v>
      </c>
      <c r="DF1807" s="5" t="s">
        <v>812</v>
      </c>
      <c r="DG1807" s="7">
        <f>20</f>
        <v>20</v>
      </c>
      <c r="DI1807" s="5" t="s">
        <v>240</v>
      </c>
      <c r="DJ1807" s="5" t="s">
        <v>240</v>
      </c>
      <c r="DK1807" s="5" t="s">
        <v>240</v>
      </c>
      <c r="DL1807" s="5" t="s">
        <v>240</v>
      </c>
      <c r="DP1807" s="5" t="s">
        <v>240</v>
      </c>
      <c r="DQ1807" s="5" t="s">
        <v>240</v>
      </c>
      <c r="DR1807" s="5" t="s">
        <v>240</v>
      </c>
      <c r="DS1807" s="5" t="s">
        <v>240</v>
      </c>
      <c r="DV1807" s="5" t="s">
        <v>813</v>
      </c>
      <c r="DW1807" s="5" t="s">
        <v>3748</v>
      </c>
      <c r="HO1807" s="5" t="s">
        <v>312</v>
      </c>
    </row>
    <row r="1808" spans="1:240" x14ac:dyDescent="0.4">
      <c r="A1808" s="5">
        <v>3506</v>
      </c>
      <c r="B1808" s="5">
        <v>1</v>
      </c>
      <c r="C1808" s="5">
        <v>1</v>
      </c>
      <c r="D1808" s="5" t="s">
        <v>297</v>
      </c>
      <c r="E1808" s="5" t="s">
        <v>245</v>
      </c>
      <c r="F1808" s="5" t="s">
        <v>254</v>
      </c>
      <c r="G1808" s="5" t="s">
        <v>6677</v>
      </c>
      <c r="H1808" s="6" t="s">
        <v>6640</v>
      </c>
      <c r="I1808" s="5" t="s">
        <v>6676</v>
      </c>
      <c r="J1808" s="8">
        <f>0</f>
        <v>0</v>
      </c>
      <c r="K1808" s="5" t="s">
        <v>308</v>
      </c>
      <c r="L1808" s="7">
        <f>971421</f>
        <v>971421</v>
      </c>
      <c r="M1808" s="7">
        <f>971421</f>
        <v>971421</v>
      </c>
      <c r="N1808" s="5" t="s">
        <v>242</v>
      </c>
      <c r="O1808" s="5">
        <v>1</v>
      </c>
      <c r="P1808" s="5" t="s">
        <v>294</v>
      </c>
      <c r="Q1808" s="5" t="s">
        <v>266</v>
      </c>
      <c r="R1808" s="5" t="s">
        <v>240</v>
      </c>
      <c r="S1808" s="5" t="s">
        <v>240</v>
      </c>
      <c r="T1808" s="5" t="s">
        <v>296</v>
      </c>
      <c r="U1808" s="5" t="s">
        <v>244</v>
      </c>
      <c r="V1808" s="5" t="s">
        <v>240</v>
      </c>
      <c r="Y1808" s="5" t="s">
        <v>240</v>
      </c>
      <c r="Z1808" s="6" t="s">
        <v>298</v>
      </c>
      <c r="AB1808" s="6" t="s">
        <v>240</v>
      </c>
      <c r="AE1808" s="6" t="s">
        <v>299</v>
      </c>
      <c r="AF1808" s="5" t="s">
        <v>248</v>
      </c>
      <c r="AG1808" s="5" t="s">
        <v>249</v>
      </c>
      <c r="AW1808" s="5" t="s">
        <v>251</v>
      </c>
      <c r="AX1808" s="5" t="s">
        <v>240</v>
      </c>
      <c r="AY1808" s="5" t="s">
        <v>253</v>
      </c>
      <c r="AZ1808" s="5" t="s">
        <v>240</v>
      </c>
      <c r="BA1808" s="5" t="s">
        <v>255</v>
      </c>
      <c r="BB1808" s="5" t="s">
        <v>240</v>
      </c>
      <c r="BD1808" s="5" t="s">
        <v>240</v>
      </c>
      <c r="BF1808" s="5" t="s">
        <v>301</v>
      </c>
      <c r="BG1808" s="6" t="s">
        <v>299</v>
      </c>
      <c r="BH1808" s="5" t="s">
        <v>302</v>
      </c>
      <c r="BI1808" s="5" t="s">
        <v>303</v>
      </c>
      <c r="BJ1808" s="5" t="s">
        <v>240</v>
      </c>
      <c r="BK1808" s="8">
        <f>0</f>
        <v>0</v>
      </c>
      <c r="BL1808" s="7">
        <f>0</f>
        <v>0</v>
      </c>
      <c r="BM1808" s="5" t="s">
        <v>258</v>
      </c>
      <c r="BN1808" s="5" t="s">
        <v>259</v>
      </c>
      <c r="CB1808" s="5" t="s">
        <v>240</v>
      </c>
      <c r="CC1808" s="5" t="s">
        <v>240</v>
      </c>
      <c r="CG1808" s="5" t="s">
        <v>304</v>
      </c>
      <c r="CH1808" s="5" t="s">
        <v>305</v>
      </c>
      <c r="CI1808" s="5" t="s">
        <v>240</v>
      </c>
      <c r="CL1808" s="6" t="s">
        <v>261</v>
      </c>
      <c r="CM1808" s="5" t="s">
        <v>240</v>
      </c>
      <c r="CN1808" s="5" t="s">
        <v>263</v>
      </c>
      <c r="CO1808" s="5" t="s">
        <v>240</v>
      </c>
      <c r="CP1808" s="5" t="s">
        <v>240</v>
      </c>
      <c r="CQ1808" s="5">
        <v>0</v>
      </c>
      <c r="CR1808" s="5" t="s">
        <v>306</v>
      </c>
      <c r="CS1808" s="5" t="s">
        <v>307</v>
      </c>
      <c r="CT1808" s="5" t="s">
        <v>307</v>
      </c>
      <c r="CU1808" s="5" t="s">
        <v>260</v>
      </c>
      <c r="CX1808" s="7">
        <f>1</f>
        <v>1</v>
      </c>
      <c r="CY1808" s="7">
        <f>0</f>
        <v>0</v>
      </c>
      <c r="DA1808" s="7">
        <f>0</f>
        <v>0</v>
      </c>
      <c r="DC1808" s="5" t="s">
        <v>812</v>
      </c>
      <c r="DD1808" s="5" t="s">
        <v>240</v>
      </c>
      <c r="DF1808" s="5" t="s">
        <v>812</v>
      </c>
      <c r="DG1808" s="7">
        <f>1006</f>
        <v>1006</v>
      </c>
      <c r="DI1808" s="5" t="s">
        <v>240</v>
      </c>
      <c r="DJ1808" s="5" t="s">
        <v>240</v>
      </c>
      <c r="DK1808" s="5" t="s">
        <v>240</v>
      </c>
      <c r="DL1808" s="5" t="s">
        <v>240</v>
      </c>
      <c r="DP1808" s="5" t="s">
        <v>240</v>
      </c>
      <c r="DQ1808" s="5" t="s">
        <v>240</v>
      </c>
      <c r="DR1808" s="5" t="s">
        <v>240</v>
      </c>
      <c r="DS1808" s="5" t="s">
        <v>240</v>
      </c>
      <c r="DV1808" s="5" t="s">
        <v>813</v>
      </c>
      <c r="DW1808" s="5" t="s">
        <v>3750</v>
      </c>
      <c r="HO1808" s="5" t="s">
        <v>312</v>
      </c>
    </row>
    <row r="1809" spans="1:223" x14ac:dyDescent="0.4">
      <c r="A1809" s="5">
        <v>3507</v>
      </c>
      <c r="B1809" s="5">
        <v>1</v>
      </c>
      <c r="C1809" s="5">
        <v>1</v>
      </c>
      <c r="D1809" s="5" t="s">
        <v>297</v>
      </c>
      <c r="E1809" s="5" t="s">
        <v>245</v>
      </c>
      <c r="F1809" s="5" t="s">
        <v>254</v>
      </c>
      <c r="G1809" s="5" t="s">
        <v>6681</v>
      </c>
      <c r="H1809" s="6" t="s">
        <v>6640</v>
      </c>
      <c r="I1809" s="5" t="s">
        <v>6680</v>
      </c>
      <c r="J1809" s="8">
        <f>23.73</f>
        <v>23.73</v>
      </c>
      <c r="K1809" s="5" t="s">
        <v>308</v>
      </c>
      <c r="L1809" s="7">
        <f>20170</f>
        <v>20170</v>
      </c>
      <c r="M1809" s="7">
        <f>20170</f>
        <v>20170</v>
      </c>
      <c r="N1809" s="5" t="s">
        <v>242</v>
      </c>
      <c r="O1809" s="5">
        <v>1</v>
      </c>
      <c r="P1809" s="5" t="s">
        <v>294</v>
      </c>
      <c r="Q1809" s="5" t="s">
        <v>266</v>
      </c>
      <c r="R1809" s="5" t="s">
        <v>240</v>
      </c>
      <c r="S1809" s="5" t="s">
        <v>240</v>
      </c>
      <c r="T1809" s="5" t="s">
        <v>296</v>
      </c>
      <c r="U1809" s="5" t="s">
        <v>244</v>
      </c>
      <c r="V1809" s="5" t="s">
        <v>240</v>
      </c>
      <c r="Y1809" s="5" t="s">
        <v>240</v>
      </c>
      <c r="Z1809" s="6" t="s">
        <v>298</v>
      </c>
      <c r="AB1809" s="6" t="s">
        <v>240</v>
      </c>
      <c r="AE1809" s="6" t="s">
        <v>299</v>
      </c>
      <c r="AF1809" s="5" t="s">
        <v>248</v>
      </c>
      <c r="AG1809" s="5" t="s">
        <v>249</v>
      </c>
      <c r="AW1809" s="5" t="s">
        <v>251</v>
      </c>
      <c r="AX1809" s="5" t="s">
        <v>240</v>
      </c>
      <c r="AY1809" s="5" t="s">
        <v>253</v>
      </c>
      <c r="AZ1809" s="5" t="s">
        <v>240</v>
      </c>
      <c r="BA1809" s="5" t="s">
        <v>255</v>
      </c>
      <c r="BB1809" s="5" t="s">
        <v>240</v>
      </c>
      <c r="BD1809" s="5" t="s">
        <v>240</v>
      </c>
      <c r="BF1809" s="5" t="s">
        <v>301</v>
      </c>
      <c r="BG1809" s="6" t="s">
        <v>299</v>
      </c>
      <c r="BH1809" s="5" t="s">
        <v>302</v>
      </c>
      <c r="BI1809" s="5" t="s">
        <v>303</v>
      </c>
      <c r="BJ1809" s="5" t="s">
        <v>240</v>
      </c>
      <c r="BK1809" s="8">
        <f>0</f>
        <v>0</v>
      </c>
      <c r="BL1809" s="7">
        <f>0</f>
        <v>0</v>
      </c>
      <c r="BM1809" s="5" t="s">
        <v>258</v>
      </c>
      <c r="BN1809" s="5" t="s">
        <v>259</v>
      </c>
      <c r="CB1809" s="5" t="s">
        <v>240</v>
      </c>
      <c r="CC1809" s="5" t="s">
        <v>240</v>
      </c>
      <c r="CG1809" s="5" t="s">
        <v>304</v>
      </c>
      <c r="CH1809" s="5" t="s">
        <v>305</v>
      </c>
      <c r="CI1809" s="5" t="s">
        <v>240</v>
      </c>
      <c r="CL1809" s="6" t="s">
        <v>261</v>
      </c>
      <c r="CM1809" s="5" t="s">
        <v>240</v>
      </c>
      <c r="CN1809" s="5" t="s">
        <v>263</v>
      </c>
      <c r="CO1809" s="5" t="s">
        <v>240</v>
      </c>
      <c r="CP1809" s="5" t="s">
        <v>240</v>
      </c>
      <c r="CQ1809" s="5">
        <v>0</v>
      </c>
      <c r="CR1809" s="5" t="s">
        <v>306</v>
      </c>
      <c r="CS1809" s="5" t="s">
        <v>307</v>
      </c>
      <c r="CT1809" s="5" t="s">
        <v>307</v>
      </c>
      <c r="CU1809" s="5" t="s">
        <v>260</v>
      </c>
      <c r="CX1809" s="7">
        <f>1</f>
        <v>1</v>
      </c>
      <c r="CY1809" s="7">
        <f>0</f>
        <v>0</v>
      </c>
      <c r="DA1809" s="7">
        <f>0</f>
        <v>0</v>
      </c>
      <c r="DC1809" s="5" t="s">
        <v>812</v>
      </c>
      <c r="DD1809" s="5" t="s">
        <v>240</v>
      </c>
      <c r="DF1809" s="5" t="s">
        <v>812</v>
      </c>
      <c r="DG1809" s="7">
        <f>868</f>
        <v>868</v>
      </c>
      <c r="DI1809" s="5" t="s">
        <v>240</v>
      </c>
      <c r="DJ1809" s="5" t="s">
        <v>240</v>
      </c>
      <c r="DK1809" s="5" t="s">
        <v>240</v>
      </c>
      <c r="DL1809" s="5" t="s">
        <v>240</v>
      </c>
      <c r="DP1809" s="5" t="s">
        <v>240</v>
      </c>
      <c r="DQ1809" s="5" t="s">
        <v>240</v>
      </c>
      <c r="DR1809" s="5" t="s">
        <v>240</v>
      </c>
      <c r="DS1809" s="5" t="s">
        <v>240</v>
      </c>
      <c r="DV1809" s="5" t="s">
        <v>813</v>
      </c>
      <c r="DW1809" s="5" t="s">
        <v>3752</v>
      </c>
      <c r="HO1809" s="5" t="s">
        <v>312</v>
      </c>
    </row>
    <row r="1810" spans="1:223" x14ac:dyDescent="0.4">
      <c r="A1810" s="5">
        <v>3508</v>
      </c>
      <c r="B1810" s="5">
        <v>1</v>
      </c>
      <c r="C1810" s="5">
        <v>1</v>
      </c>
      <c r="D1810" s="5" t="s">
        <v>297</v>
      </c>
      <c r="E1810" s="5" t="s">
        <v>245</v>
      </c>
      <c r="F1810" s="5" t="s">
        <v>254</v>
      </c>
      <c r="G1810" s="5" t="s">
        <v>240</v>
      </c>
      <c r="H1810" s="6" t="s">
        <v>1595</v>
      </c>
      <c r="I1810" s="5" t="s">
        <v>6683</v>
      </c>
      <c r="J1810" s="8">
        <f>0</f>
        <v>0</v>
      </c>
      <c r="K1810" s="5" t="s">
        <v>308</v>
      </c>
      <c r="L1810" s="7">
        <f>1226856</f>
        <v>1226856</v>
      </c>
      <c r="M1810" s="7">
        <f>1226856</f>
        <v>1226856</v>
      </c>
      <c r="N1810" s="5" t="s">
        <v>242</v>
      </c>
      <c r="O1810" s="5">
        <v>1</v>
      </c>
      <c r="P1810" s="5" t="s">
        <v>294</v>
      </c>
      <c r="Q1810" s="5" t="s">
        <v>266</v>
      </c>
      <c r="R1810" s="5" t="s">
        <v>240</v>
      </c>
      <c r="S1810" s="5" t="s">
        <v>240</v>
      </c>
      <c r="T1810" s="5" t="s">
        <v>296</v>
      </c>
      <c r="U1810" s="5" t="s">
        <v>244</v>
      </c>
      <c r="V1810" s="5" t="s">
        <v>240</v>
      </c>
      <c r="Y1810" s="5" t="s">
        <v>240</v>
      </c>
      <c r="Z1810" s="6" t="s">
        <v>298</v>
      </c>
      <c r="AB1810" s="6" t="s">
        <v>240</v>
      </c>
      <c r="AE1810" s="6" t="s">
        <v>299</v>
      </c>
      <c r="AF1810" s="5" t="s">
        <v>248</v>
      </c>
      <c r="AG1810" s="5" t="s">
        <v>249</v>
      </c>
      <c r="AW1810" s="5" t="s">
        <v>251</v>
      </c>
      <c r="AX1810" s="5" t="s">
        <v>240</v>
      </c>
      <c r="AY1810" s="5" t="s">
        <v>253</v>
      </c>
      <c r="AZ1810" s="5" t="s">
        <v>240</v>
      </c>
      <c r="BA1810" s="5" t="s">
        <v>255</v>
      </c>
      <c r="BB1810" s="5" t="s">
        <v>240</v>
      </c>
      <c r="BD1810" s="5" t="s">
        <v>240</v>
      </c>
      <c r="BF1810" s="5" t="s">
        <v>301</v>
      </c>
      <c r="BG1810" s="6" t="s">
        <v>299</v>
      </c>
      <c r="BH1810" s="5" t="s">
        <v>302</v>
      </c>
      <c r="BI1810" s="5" t="s">
        <v>303</v>
      </c>
      <c r="BJ1810" s="5" t="s">
        <v>240</v>
      </c>
      <c r="BK1810" s="8">
        <f>0</f>
        <v>0</v>
      </c>
      <c r="BL1810" s="7">
        <f>0</f>
        <v>0</v>
      </c>
      <c r="BM1810" s="5" t="s">
        <v>258</v>
      </c>
      <c r="BN1810" s="5" t="s">
        <v>259</v>
      </c>
      <c r="CB1810" s="5" t="s">
        <v>240</v>
      </c>
      <c r="CC1810" s="5" t="s">
        <v>240</v>
      </c>
      <c r="CG1810" s="5" t="s">
        <v>304</v>
      </c>
      <c r="CH1810" s="5" t="s">
        <v>305</v>
      </c>
      <c r="CI1810" s="5" t="s">
        <v>240</v>
      </c>
      <c r="CL1810" s="6" t="s">
        <v>261</v>
      </c>
      <c r="CM1810" s="5" t="s">
        <v>240</v>
      </c>
      <c r="CN1810" s="5" t="s">
        <v>263</v>
      </c>
      <c r="CO1810" s="5" t="s">
        <v>240</v>
      </c>
      <c r="CP1810" s="5" t="s">
        <v>240</v>
      </c>
      <c r="CQ1810" s="5">
        <v>0</v>
      </c>
      <c r="CR1810" s="5" t="s">
        <v>306</v>
      </c>
      <c r="CS1810" s="5" t="s">
        <v>307</v>
      </c>
      <c r="CT1810" s="5" t="s">
        <v>307</v>
      </c>
      <c r="CU1810" s="5" t="s">
        <v>260</v>
      </c>
      <c r="CX1810" s="7">
        <f>1</f>
        <v>1</v>
      </c>
      <c r="CY1810" s="7">
        <f>0</f>
        <v>0</v>
      </c>
      <c r="DA1810" s="7">
        <f>0</f>
        <v>0</v>
      </c>
      <c r="DC1810" s="5" t="s">
        <v>812</v>
      </c>
      <c r="DD1810" s="5" t="s">
        <v>240</v>
      </c>
      <c r="DF1810" s="5" t="s">
        <v>812</v>
      </c>
      <c r="DG1810" s="7">
        <f>750</f>
        <v>750</v>
      </c>
      <c r="DI1810" s="5" t="s">
        <v>240</v>
      </c>
      <c r="DJ1810" s="5" t="s">
        <v>240</v>
      </c>
      <c r="DK1810" s="5" t="s">
        <v>240</v>
      </c>
      <c r="DL1810" s="5" t="s">
        <v>240</v>
      </c>
      <c r="DP1810" s="5" t="s">
        <v>240</v>
      </c>
      <c r="DQ1810" s="5" t="s">
        <v>240</v>
      </c>
      <c r="DR1810" s="5" t="s">
        <v>240</v>
      </c>
      <c r="DS1810" s="5" t="s">
        <v>240</v>
      </c>
      <c r="DV1810" s="5" t="s">
        <v>813</v>
      </c>
      <c r="DW1810" s="5" t="s">
        <v>3754</v>
      </c>
      <c r="HO1810" s="5" t="s">
        <v>312</v>
      </c>
    </row>
    <row r="1811" spans="1:223" x14ac:dyDescent="0.4">
      <c r="A1811" s="5">
        <v>3509</v>
      </c>
      <c r="B1811" s="5">
        <v>1</v>
      </c>
      <c r="C1811" s="5">
        <v>1</v>
      </c>
      <c r="D1811" s="5" t="s">
        <v>297</v>
      </c>
      <c r="E1811" s="5" t="s">
        <v>245</v>
      </c>
      <c r="F1811" s="5" t="s">
        <v>254</v>
      </c>
      <c r="G1811" s="5" t="s">
        <v>240</v>
      </c>
      <c r="H1811" s="6" t="s">
        <v>1595</v>
      </c>
      <c r="I1811" s="5" t="s">
        <v>6685</v>
      </c>
      <c r="J1811" s="8">
        <f>1463.1</f>
        <v>1463.1</v>
      </c>
      <c r="K1811" s="5" t="s">
        <v>308</v>
      </c>
      <c r="L1811" s="7">
        <f>2857939</f>
        <v>2857939</v>
      </c>
      <c r="M1811" s="7">
        <f>2857939</f>
        <v>2857939</v>
      </c>
      <c r="N1811" s="5" t="s">
        <v>242</v>
      </c>
      <c r="O1811" s="5">
        <v>1</v>
      </c>
      <c r="P1811" s="5" t="s">
        <v>294</v>
      </c>
      <c r="Q1811" s="5" t="s">
        <v>266</v>
      </c>
      <c r="R1811" s="5" t="s">
        <v>240</v>
      </c>
      <c r="S1811" s="5" t="s">
        <v>240</v>
      </c>
      <c r="T1811" s="5" t="s">
        <v>296</v>
      </c>
      <c r="U1811" s="5" t="s">
        <v>244</v>
      </c>
      <c r="V1811" s="5" t="s">
        <v>240</v>
      </c>
      <c r="Y1811" s="5" t="s">
        <v>240</v>
      </c>
      <c r="Z1811" s="6" t="s">
        <v>298</v>
      </c>
      <c r="AB1811" s="6" t="s">
        <v>240</v>
      </c>
      <c r="AE1811" s="6" t="s">
        <v>299</v>
      </c>
      <c r="AF1811" s="5" t="s">
        <v>248</v>
      </c>
      <c r="AG1811" s="5" t="s">
        <v>249</v>
      </c>
      <c r="AW1811" s="5" t="s">
        <v>251</v>
      </c>
      <c r="AX1811" s="5" t="s">
        <v>240</v>
      </c>
      <c r="AY1811" s="5" t="s">
        <v>253</v>
      </c>
      <c r="AZ1811" s="5" t="s">
        <v>240</v>
      </c>
      <c r="BA1811" s="5" t="s">
        <v>255</v>
      </c>
      <c r="BB1811" s="5" t="s">
        <v>240</v>
      </c>
      <c r="BD1811" s="5" t="s">
        <v>240</v>
      </c>
      <c r="BF1811" s="5" t="s">
        <v>301</v>
      </c>
      <c r="BG1811" s="6" t="s">
        <v>299</v>
      </c>
      <c r="BH1811" s="5" t="s">
        <v>302</v>
      </c>
      <c r="BI1811" s="5" t="s">
        <v>303</v>
      </c>
      <c r="BJ1811" s="5" t="s">
        <v>240</v>
      </c>
      <c r="BK1811" s="8">
        <f>0</f>
        <v>0</v>
      </c>
      <c r="BL1811" s="7">
        <f>0</f>
        <v>0</v>
      </c>
      <c r="BM1811" s="5" t="s">
        <v>258</v>
      </c>
      <c r="BN1811" s="5" t="s">
        <v>259</v>
      </c>
      <c r="CB1811" s="5" t="s">
        <v>240</v>
      </c>
      <c r="CC1811" s="5" t="s">
        <v>240</v>
      </c>
      <c r="CG1811" s="5" t="s">
        <v>304</v>
      </c>
      <c r="CH1811" s="5" t="s">
        <v>305</v>
      </c>
      <c r="CI1811" s="5" t="s">
        <v>240</v>
      </c>
      <c r="CL1811" s="6" t="s">
        <v>261</v>
      </c>
      <c r="CM1811" s="5" t="s">
        <v>240</v>
      </c>
      <c r="CN1811" s="5" t="s">
        <v>263</v>
      </c>
      <c r="CO1811" s="5" t="s">
        <v>240</v>
      </c>
      <c r="CP1811" s="5" t="s">
        <v>240</v>
      </c>
      <c r="CQ1811" s="5">
        <v>0</v>
      </c>
      <c r="CR1811" s="5" t="s">
        <v>306</v>
      </c>
      <c r="CS1811" s="5" t="s">
        <v>307</v>
      </c>
      <c r="CT1811" s="5" t="s">
        <v>307</v>
      </c>
      <c r="CU1811" s="5" t="s">
        <v>260</v>
      </c>
      <c r="CX1811" s="7">
        <f>1</f>
        <v>1</v>
      </c>
      <c r="CY1811" s="7">
        <f>0</f>
        <v>0</v>
      </c>
      <c r="DA1811" s="7">
        <f>0</f>
        <v>0</v>
      </c>
      <c r="DC1811" s="5" t="s">
        <v>812</v>
      </c>
      <c r="DD1811" s="5" t="s">
        <v>240</v>
      </c>
      <c r="DF1811" s="5" t="s">
        <v>812</v>
      </c>
      <c r="DG1811" s="7">
        <f>1464</f>
        <v>1464</v>
      </c>
      <c r="DI1811" s="5" t="s">
        <v>240</v>
      </c>
      <c r="DJ1811" s="5" t="s">
        <v>240</v>
      </c>
      <c r="DK1811" s="5" t="s">
        <v>240</v>
      </c>
      <c r="DL1811" s="5" t="s">
        <v>240</v>
      </c>
      <c r="DP1811" s="5" t="s">
        <v>240</v>
      </c>
      <c r="DQ1811" s="5" t="s">
        <v>240</v>
      </c>
      <c r="DR1811" s="5" t="s">
        <v>240</v>
      </c>
      <c r="DS1811" s="5" t="s">
        <v>240</v>
      </c>
      <c r="DV1811" s="5" t="s">
        <v>813</v>
      </c>
      <c r="DW1811" s="5" t="s">
        <v>3756</v>
      </c>
      <c r="HO1811" s="5" t="s">
        <v>312</v>
      </c>
    </row>
    <row r="1812" spans="1:223" x14ac:dyDescent="0.4">
      <c r="A1812" s="5">
        <v>3510</v>
      </c>
      <c r="B1812" s="5">
        <v>1</v>
      </c>
      <c r="C1812" s="5">
        <v>1</v>
      </c>
      <c r="D1812" s="5" t="s">
        <v>297</v>
      </c>
      <c r="E1812" s="5" t="s">
        <v>245</v>
      </c>
      <c r="F1812" s="5" t="s">
        <v>254</v>
      </c>
      <c r="G1812" s="5" t="s">
        <v>240</v>
      </c>
      <c r="H1812" s="6" t="s">
        <v>6687</v>
      </c>
      <c r="I1812" s="5" t="s">
        <v>6686</v>
      </c>
      <c r="J1812" s="8">
        <f>0</f>
        <v>0</v>
      </c>
      <c r="K1812" s="5" t="s">
        <v>308</v>
      </c>
      <c r="L1812" s="7">
        <f>852617</f>
        <v>852617</v>
      </c>
      <c r="M1812" s="7">
        <f>852617</f>
        <v>852617</v>
      </c>
      <c r="N1812" s="5" t="s">
        <v>242</v>
      </c>
      <c r="O1812" s="5">
        <v>1</v>
      </c>
      <c r="P1812" s="5" t="s">
        <v>294</v>
      </c>
      <c r="Q1812" s="5" t="s">
        <v>266</v>
      </c>
      <c r="R1812" s="5" t="s">
        <v>240</v>
      </c>
      <c r="S1812" s="5" t="s">
        <v>240</v>
      </c>
      <c r="T1812" s="5" t="s">
        <v>296</v>
      </c>
      <c r="U1812" s="5" t="s">
        <v>244</v>
      </c>
      <c r="V1812" s="5" t="s">
        <v>240</v>
      </c>
      <c r="Y1812" s="5" t="s">
        <v>240</v>
      </c>
      <c r="Z1812" s="6" t="s">
        <v>298</v>
      </c>
      <c r="AB1812" s="6" t="s">
        <v>240</v>
      </c>
      <c r="AE1812" s="6" t="s">
        <v>299</v>
      </c>
      <c r="AF1812" s="5" t="s">
        <v>248</v>
      </c>
      <c r="AG1812" s="5" t="s">
        <v>249</v>
      </c>
      <c r="AW1812" s="5" t="s">
        <v>251</v>
      </c>
      <c r="AX1812" s="5" t="s">
        <v>240</v>
      </c>
      <c r="AY1812" s="5" t="s">
        <v>253</v>
      </c>
      <c r="AZ1812" s="5" t="s">
        <v>240</v>
      </c>
      <c r="BA1812" s="5" t="s">
        <v>255</v>
      </c>
      <c r="BB1812" s="5" t="s">
        <v>240</v>
      </c>
      <c r="BD1812" s="5" t="s">
        <v>240</v>
      </c>
      <c r="BF1812" s="5" t="s">
        <v>301</v>
      </c>
      <c r="BG1812" s="6" t="s">
        <v>299</v>
      </c>
      <c r="BH1812" s="5" t="s">
        <v>302</v>
      </c>
      <c r="BI1812" s="5" t="s">
        <v>303</v>
      </c>
      <c r="BJ1812" s="5" t="s">
        <v>240</v>
      </c>
      <c r="BK1812" s="8">
        <f>0</f>
        <v>0</v>
      </c>
      <c r="BL1812" s="7">
        <f>0</f>
        <v>0</v>
      </c>
      <c r="BM1812" s="5" t="s">
        <v>258</v>
      </c>
      <c r="BN1812" s="5" t="s">
        <v>259</v>
      </c>
      <c r="CB1812" s="5" t="s">
        <v>240</v>
      </c>
      <c r="CC1812" s="5" t="s">
        <v>240</v>
      </c>
      <c r="CG1812" s="5" t="s">
        <v>304</v>
      </c>
      <c r="CH1812" s="5" t="s">
        <v>305</v>
      </c>
      <c r="CI1812" s="5" t="s">
        <v>240</v>
      </c>
      <c r="CL1812" s="6" t="s">
        <v>261</v>
      </c>
      <c r="CM1812" s="5" t="s">
        <v>240</v>
      </c>
      <c r="CN1812" s="5" t="s">
        <v>263</v>
      </c>
      <c r="CO1812" s="5" t="s">
        <v>240</v>
      </c>
      <c r="CP1812" s="5" t="s">
        <v>240</v>
      </c>
      <c r="CQ1812" s="5">
        <v>0</v>
      </c>
      <c r="CR1812" s="5" t="s">
        <v>306</v>
      </c>
      <c r="CS1812" s="5" t="s">
        <v>307</v>
      </c>
      <c r="CT1812" s="5" t="s">
        <v>307</v>
      </c>
      <c r="CU1812" s="5" t="s">
        <v>260</v>
      </c>
      <c r="CX1812" s="7">
        <f>1</f>
        <v>1</v>
      </c>
      <c r="CY1812" s="7">
        <f>0</f>
        <v>0</v>
      </c>
      <c r="DA1812" s="7">
        <f>0</f>
        <v>0</v>
      </c>
      <c r="DC1812" s="5" t="s">
        <v>812</v>
      </c>
      <c r="DD1812" s="5" t="s">
        <v>240</v>
      </c>
      <c r="DF1812" s="5" t="s">
        <v>812</v>
      </c>
      <c r="DG1812" s="7">
        <f>638</f>
        <v>638</v>
      </c>
      <c r="DI1812" s="5" t="s">
        <v>240</v>
      </c>
      <c r="DJ1812" s="5" t="s">
        <v>240</v>
      </c>
      <c r="DK1812" s="5" t="s">
        <v>240</v>
      </c>
      <c r="DL1812" s="5" t="s">
        <v>240</v>
      </c>
      <c r="DP1812" s="5" t="s">
        <v>240</v>
      </c>
      <c r="DQ1812" s="5" t="s">
        <v>240</v>
      </c>
      <c r="DR1812" s="5" t="s">
        <v>240</v>
      </c>
      <c r="DS1812" s="5" t="s">
        <v>240</v>
      </c>
      <c r="DV1812" s="5" t="s">
        <v>813</v>
      </c>
      <c r="DW1812" s="5" t="s">
        <v>3758</v>
      </c>
      <c r="HO1812" s="5" t="s">
        <v>312</v>
      </c>
    </row>
    <row r="1813" spans="1:223" x14ac:dyDescent="0.4">
      <c r="A1813" s="5">
        <v>3511</v>
      </c>
      <c r="B1813" s="5">
        <v>1</v>
      </c>
      <c r="C1813" s="5">
        <v>1</v>
      </c>
      <c r="D1813" s="5" t="s">
        <v>297</v>
      </c>
      <c r="E1813" s="5" t="s">
        <v>245</v>
      </c>
      <c r="F1813" s="5" t="s">
        <v>254</v>
      </c>
      <c r="G1813" s="5" t="s">
        <v>240</v>
      </c>
      <c r="H1813" s="6" t="s">
        <v>6687</v>
      </c>
      <c r="I1813" s="5" t="s">
        <v>6696</v>
      </c>
      <c r="J1813" s="8">
        <f>377.72</f>
        <v>377.72</v>
      </c>
      <c r="K1813" s="5" t="s">
        <v>308</v>
      </c>
      <c r="L1813" s="7">
        <f>3083040</f>
        <v>3083040</v>
      </c>
      <c r="M1813" s="7">
        <f>3083040</f>
        <v>3083040</v>
      </c>
      <c r="N1813" s="5" t="s">
        <v>242</v>
      </c>
      <c r="O1813" s="5">
        <v>1</v>
      </c>
      <c r="P1813" s="5" t="s">
        <v>294</v>
      </c>
      <c r="Q1813" s="5" t="s">
        <v>266</v>
      </c>
      <c r="R1813" s="5" t="s">
        <v>240</v>
      </c>
      <c r="S1813" s="5" t="s">
        <v>240</v>
      </c>
      <c r="T1813" s="5" t="s">
        <v>296</v>
      </c>
      <c r="U1813" s="5" t="s">
        <v>244</v>
      </c>
      <c r="V1813" s="5" t="s">
        <v>240</v>
      </c>
      <c r="Y1813" s="5" t="s">
        <v>240</v>
      </c>
      <c r="Z1813" s="6" t="s">
        <v>298</v>
      </c>
      <c r="AB1813" s="6" t="s">
        <v>240</v>
      </c>
      <c r="AE1813" s="6" t="s">
        <v>299</v>
      </c>
      <c r="AF1813" s="5" t="s">
        <v>248</v>
      </c>
      <c r="AG1813" s="5" t="s">
        <v>249</v>
      </c>
      <c r="AW1813" s="5" t="s">
        <v>251</v>
      </c>
      <c r="AX1813" s="5" t="s">
        <v>240</v>
      </c>
      <c r="AY1813" s="5" t="s">
        <v>253</v>
      </c>
      <c r="AZ1813" s="5" t="s">
        <v>240</v>
      </c>
      <c r="BA1813" s="5" t="s">
        <v>255</v>
      </c>
      <c r="BB1813" s="5" t="s">
        <v>240</v>
      </c>
      <c r="BD1813" s="5" t="s">
        <v>240</v>
      </c>
      <c r="BF1813" s="5" t="s">
        <v>301</v>
      </c>
      <c r="BG1813" s="6" t="s">
        <v>299</v>
      </c>
      <c r="BH1813" s="5" t="s">
        <v>302</v>
      </c>
      <c r="BI1813" s="5" t="s">
        <v>303</v>
      </c>
      <c r="BJ1813" s="5" t="s">
        <v>240</v>
      </c>
      <c r="BK1813" s="8">
        <f>0</f>
        <v>0</v>
      </c>
      <c r="BL1813" s="7">
        <f>0</f>
        <v>0</v>
      </c>
      <c r="BM1813" s="5" t="s">
        <v>258</v>
      </c>
      <c r="BN1813" s="5" t="s">
        <v>259</v>
      </c>
      <c r="CB1813" s="5" t="s">
        <v>240</v>
      </c>
      <c r="CC1813" s="5" t="s">
        <v>240</v>
      </c>
      <c r="CG1813" s="5" t="s">
        <v>304</v>
      </c>
      <c r="CH1813" s="5" t="s">
        <v>305</v>
      </c>
      <c r="CI1813" s="5" t="s">
        <v>240</v>
      </c>
      <c r="CL1813" s="6" t="s">
        <v>261</v>
      </c>
      <c r="CM1813" s="5" t="s">
        <v>240</v>
      </c>
      <c r="CN1813" s="5" t="s">
        <v>263</v>
      </c>
      <c r="CO1813" s="5" t="s">
        <v>240</v>
      </c>
      <c r="CP1813" s="5" t="s">
        <v>240</v>
      </c>
      <c r="CQ1813" s="5">
        <v>0</v>
      </c>
      <c r="CR1813" s="5" t="s">
        <v>306</v>
      </c>
      <c r="CS1813" s="5" t="s">
        <v>307</v>
      </c>
      <c r="CT1813" s="5" t="s">
        <v>307</v>
      </c>
      <c r="CU1813" s="5" t="s">
        <v>260</v>
      </c>
      <c r="CX1813" s="7">
        <f>1</f>
        <v>1</v>
      </c>
      <c r="CY1813" s="7">
        <f>0</f>
        <v>0</v>
      </c>
      <c r="DA1813" s="7">
        <f>0</f>
        <v>0</v>
      </c>
      <c r="DC1813" s="5" t="s">
        <v>812</v>
      </c>
      <c r="DD1813" s="5" t="s">
        <v>240</v>
      </c>
      <c r="DF1813" s="5" t="s">
        <v>812</v>
      </c>
      <c r="DG1813" s="7">
        <f>222</f>
        <v>222</v>
      </c>
      <c r="DI1813" s="5" t="s">
        <v>240</v>
      </c>
      <c r="DJ1813" s="5" t="s">
        <v>240</v>
      </c>
      <c r="DK1813" s="5" t="s">
        <v>240</v>
      </c>
      <c r="DL1813" s="5" t="s">
        <v>240</v>
      </c>
      <c r="DP1813" s="5" t="s">
        <v>240</v>
      </c>
      <c r="DQ1813" s="5" t="s">
        <v>240</v>
      </c>
      <c r="DR1813" s="5" t="s">
        <v>240</v>
      </c>
      <c r="DS1813" s="5" t="s">
        <v>240</v>
      </c>
      <c r="DV1813" s="5" t="s">
        <v>813</v>
      </c>
      <c r="DW1813" s="5" t="s">
        <v>3760</v>
      </c>
      <c r="HO1813" s="5" t="s">
        <v>312</v>
      </c>
    </row>
    <row r="1814" spans="1:223" x14ac:dyDescent="0.4">
      <c r="A1814" s="5">
        <v>3512</v>
      </c>
      <c r="B1814" s="5">
        <v>1</v>
      </c>
      <c r="C1814" s="5">
        <v>1</v>
      </c>
      <c r="D1814" s="5" t="s">
        <v>297</v>
      </c>
      <c r="E1814" s="5" t="s">
        <v>245</v>
      </c>
      <c r="F1814" s="5" t="s">
        <v>254</v>
      </c>
      <c r="G1814" s="5" t="s">
        <v>240</v>
      </c>
      <c r="H1814" s="6" t="s">
        <v>6699</v>
      </c>
      <c r="I1814" s="5" t="s">
        <v>6698</v>
      </c>
      <c r="J1814" s="8">
        <f>0</f>
        <v>0</v>
      </c>
      <c r="K1814" s="5" t="s">
        <v>308</v>
      </c>
      <c r="L1814" s="7">
        <f>356999</f>
        <v>356999</v>
      </c>
      <c r="M1814" s="7">
        <f>356999</f>
        <v>356999</v>
      </c>
      <c r="N1814" s="5" t="s">
        <v>242</v>
      </c>
      <c r="O1814" s="5">
        <v>1</v>
      </c>
      <c r="P1814" s="5" t="s">
        <v>294</v>
      </c>
      <c r="Q1814" s="5" t="s">
        <v>266</v>
      </c>
      <c r="R1814" s="5" t="s">
        <v>240</v>
      </c>
      <c r="S1814" s="5" t="s">
        <v>240</v>
      </c>
      <c r="T1814" s="5" t="s">
        <v>296</v>
      </c>
      <c r="U1814" s="5" t="s">
        <v>244</v>
      </c>
      <c r="V1814" s="5" t="s">
        <v>240</v>
      </c>
      <c r="Y1814" s="5" t="s">
        <v>240</v>
      </c>
      <c r="Z1814" s="6" t="s">
        <v>298</v>
      </c>
      <c r="AB1814" s="6" t="s">
        <v>240</v>
      </c>
      <c r="AE1814" s="6" t="s">
        <v>299</v>
      </c>
      <c r="AF1814" s="5" t="s">
        <v>248</v>
      </c>
      <c r="AG1814" s="5" t="s">
        <v>249</v>
      </c>
      <c r="AW1814" s="5" t="s">
        <v>251</v>
      </c>
      <c r="AX1814" s="5" t="s">
        <v>240</v>
      </c>
      <c r="AY1814" s="5" t="s">
        <v>253</v>
      </c>
      <c r="AZ1814" s="5" t="s">
        <v>240</v>
      </c>
      <c r="BA1814" s="5" t="s">
        <v>255</v>
      </c>
      <c r="BB1814" s="5" t="s">
        <v>240</v>
      </c>
      <c r="BD1814" s="5" t="s">
        <v>240</v>
      </c>
      <c r="BF1814" s="5" t="s">
        <v>301</v>
      </c>
      <c r="BG1814" s="6" t="s">
        <v>299</v>
      </c>
      <c r="BH1814" s="5" t="s">
        <v>302</v>
      </c>
      <c r="BI1814" s="5" t="s">
        <v>303</v>
      </c>
      <c r="BJ1814" s="5" t="s">
        <v>240</v>
      </c>
      <c r="BK1814" s="8">
        <f>0</f>
        <v>0</v>
      </c>
      <c r="BL1814" s="7">
        <f>0</f>
        <v>0</v>
      </c>
      <c r="BM1814" s="5" t="s">
        <v>258</v>
      </c>
      <c r="BN1814" s="5" t="s">
        <v>259</v>
      </c>
      <c r="CB1814" s="5" t="s">
        <v>240</v>
      </c>
      <c r="CC1814" s="5" t="s">
        <v>240</v>
      </c>
      <c r="CG1814" s="5" t="s">
        <v>304</v>
      </c>
      <c r="CH1814" s="5" t="s">
        <v>305</v>
      </c>
      <c r="CI1814" s="5" t="s">
        <v>240</v>
      </c>
      <c r="CL1814" s="6" t="s">
        <v>261</v>
      </c>
      <c r="CM1814" s="5" t="s">
        <v>240</v>
      </c>
      <c r="CN1814" s="5" t="s">
        <v>263</v>
      </c>
      <c r="CO1814" s="5" t="s">
        <v>240</v>
      </c>
      <c r="CP1814" s="5" t="s">
        <v>240</v>
      </c>
      <c r="CQ1814" s="5">
        <v>0</v>
      </c>
      <c r="CR1814" s="5" t="s">
        <v>306</v>
      </c>
      <c r="CS1814" s="5" t="s">
        <v>307</v>
      </c>
      <c r="CT1814" s="5" t="s">
        <v>307</v>
      </c>
      <c r="CU1814" s="5" t="s">
        <v>260</v>
      </c>
      <c r="CX1814" s="7">
        <f>1</f>
        <v>1</v>
      </c>
      <c r="CY1814" s="7">
        <f>0</f>
        <v>0</v>
      </c>
      <c r="DA1814" s="7">
        <f>0</f>
        <v>0</v>
      </c>
      <c r="DC1814" s="5" t="s">
        <v>812</v>
      </c>
      <c r="DD1814" s="5" t="s">
        <v>240</v>
      </c>
      <c r="DF1814" s="5" t="s">
        <v>812</v>
      </c>
      <c r="DG1814" s="7">
        <f>211</f>
        <v>211</v>
      </c>
      <c r="DI1814" s="5" t="s">
        <v>240</v>
      </c>
      <c r="DJ1814" s="5" t="s">
        <v>240</v>
      </c>
      <c r="DK1814" s="5" t="s">
        <v>240</v>
      </c>
      <c r="DL1814" s="5" t="s">
        <v>240</v>
      </c>
      <c r="DP1814" s="5" t="s">
        <v>240</v>
      </c>
      <c r="DQ1814" s="5" t="s">
        <v>240</v>
      </c>
      <c r="DR1814" s="5" t="s">
        <v>240</v>
      </c>
      <c r="DS1814" s="5" t="s">
        <v>240</v>
      </c>
      <c r="DV1814" s="5" t="s">
        <v>813</v>
      </c>
      <c r="DW1814" s="5" t="s">
        <v>3762</v>
      </c>
      <c r="HO1814" s="5" t="s">
        <v>312</v>
      </c>
    </row>
    <row r="1815" spans="1:223" x14ac:dyDescent="0.4">
      <c r="A1815" s="5">
        <v>3513</v>
      </c>
      <c r="B1815" s="5">
        <v>1</v>
      </c>
      <c r="C1815" s="5">
        <v>1</v>
      </c>
      <c r="D1815" s="5" t="s">
        <v>297</v>
      </c>
      <c r="E1815" s="5" t="s">
        <v>245</v>
      </c>
      <c r="F1815" s="5" t="s">
        <v>254</v>
      </c>
      <c r="G1815" s="5" t="s">
        <v>240</v>
      </c>
      <c r="H1815" s="6" t="s">
        <v>6699</v>
      </c>
      <c r="I1815" s="5" t="s">
        <v>6700</v>
      </c>
      <c r="J1815" s="8">
        <f>1274.15</f>
        <v>1274.1500000000001</v>
      </c>
      <c r="K1815" s="5" t="s">
        <v>308</v>
      </c>
      <c r="L1815" s="7">
        <f>6404139</f>
        <v>6404139</v>
      </c>
      <c r="M1815" s="7">
        <f>6404139</f>
        <v>6404139</v>
      </c>
      <c r="N1815" s="5" t="s">
        <v>242</v>
      </c>
      <c r="O1815" s="5">
        <v>1</v>
      </c>
      <c r="P1815" s="5" t="s">
        <v>294</v>
      </c>
      <c r="Q1815" s="5" t="s">
        <v>266</v>
      </c>
      <c r="R1815" s="5" t="s">
        <v>240</v>
      </c>
      <c r="S1815" s="5" t="s">
        <v>240</v>
      </c>
      <c r="T1815" s="5" t="s">
        <v>296</v>
      </c>
      <c r="U1815" s="5" t="s">
        <v>244</v>
      </c>
      <c r="V1815" s="5" t="s">
        <v>240</v>
      </c>
      <c r="Y1815" s="5" t="s">
        <v>240</v>
      </c>
      <c r="Z1815" s="6" t="s">
        <v>298</v>
      </c>
      <c r="AB1815" s="6" t="s">
        <v>240</v>
      </c>
      <c r="AE1815" s="6" t="s">
        <v>299</v>
      </c>
      <c r="AF1815" s="5" t="s">
        <v>248</v>
      </c>
      <c r="AG1815" s="5" t="s">
        <v>249</v>
      </c>
      <c r="AW1815" s="5" t="s">
        <v>251</v>
      </c>
      <c r="AX1815" s="5" t="s">
        <v>240</v>
      </c>
      <c r="AY1815" s="5" t="s">
        <v>253</v>
      </c>
      <c r="AZ1815" s="5" t="s">
        <v>240</v>
      </c>
      <c r="BA1815" s="5" t="s">
        <v>255</v>
      </c>
      <c r="BB1815" s="5" t="s">
        <v>240</v>
      </c>
      <c r="BD1815" s="5" t="s">
        <v>240</v>
      </c>
      <c r="BF1815" s="5" t="s">
        <v>301</v>
      </c>
      <c r="BG1815" s="6" t="s">
        <v>299</v>
      </c>
      <c r="BH1815" s="5" t="s">
        <v>302</v>
      </c>
      <c r="BI1815" s="5" t="s">
        <v>303</v>
      </c>
      <c r="BJ1815" s="5" t="s">
        <v>240</v>
      </c>
      <c r="BK1815" s="8">
        <f>0</f>
        <v>0</v>
      </c>
      <c r="BL1815" s="7">
        <f>0</f>
        <v>0</v>
      </c>
      <c r="BM1815" s="5" t="s">
        <v>258</v>
      </c>
      <c r="BN1815" s="5" t="s">
        <v>259</v>
      </c>
      <c r="CB1815" s="5" t="s">
        <v>240</v>
      </c>
      <c r="CC1815" s="5" t="s">
        <v>240</v>
      </c>
      <c r="CG1815" s="5" t="s">
        <v>304</v>
      </c>
      <c r="CH1815" s="5" t="s">
        <v>305</v>
      </c>
      <c r="CI1815" s="5" t="s">
        <v>240</v>
      </c>
      <c r="CL1815" s="6" t="s">
        <v>261</v>
      </c>
      <c r="CM1815" s="5" t="s">
        <v>240</v>
      </c>
      <c r="CN1815" s="5" t="s">
        <v>263</v>
      </c>
      <c r="CO1815" s="5" t="s">
        <v>240</v>
      </c>
      <c r="CP1815" s="5" t="s">
        <v>240</v>
      </c>
      <c r="CQ1815" s="5">
        <v>0</v>
      </c>
      <c r="CR1815" s="5" t="s">
        <v>306</v>
      </c>
      <c r="CS1815" s="5" t="s">
        <v>307</v>
      </c>
      <c r="CT1815" s="5" t="s">
        <v>307</v>
      </c>
      <c r="CU1815" s="5" t="s">
        <v>260</v>
      </c>
      <c r="CX1815" s="7">
        <f>1</f>
        <v>1</v>
      </c>
      <c r="CY1815" s="7">
        <f>0</f>
        <v>0</v>
      </c>
      <c r="DA1815" s="7">
        <f>0</f>
        <v>0</v>
      </c>
      <c r="DC1815" s="5" t="s">
        <v>812</v>
      </c>
      <c r="DD1815" s="5" t="s">
        <v>240</v>
      </c>
      <c r="DF1815" s="5" t="s">
        <v>812</v>
      </c>
      <c r="DG1815" s="7">
        <f>784</f>
        <v>784</v>
      </c>
      <c r="DI1815" s="5" t="s">
        <v>240</v>
      </c>
      <c r="DJ1815" s="5" t="s">
        <v>240</v>
      </c>
      <c r="DK1815" s="5" t="s">
        <v>240</v>
      </c>
      <c r="DL1815" s="5" t="s">
        <v>240</v>
      </c>
      <c r="DP1815" s="5" t="s">
        <v>240</v>
      </c>
      <c r="DQ1815" s="5" t="s">
        <v>240</v>
      </c>
      <c r="DR1815" s="5" t="s">
        <v>240</v>
      </c>
      <c r="DS1815" s="5" t="s">
        <v>240</v>
      </c>
      <c r="DV1815" s="5" t="s">
        <v>813</v>
      </c>
      <c r="DW1815" s="5" t="s">
        <v>3764</v>
      </c>
      <c r="HO1815" s="5" t="s">
        <v>312</v>
      </c>
    </row>
    <row r="1816" spans="1:223" x14ac:dyDescent="0.4">
      <c r="A1816" s="5">
        <v>3514</v>
      </c>
      <c r="B1816" s="5">
        <v>1</v>
      </c>
      <c r="C1816" s="5">
        <v>1</v>
      </c>
      <c r="D1816" s="5" t="s">
        <v>297</v>
      </c>
      <c r="E1816" s="5" t="s">
        <v>245</v>
      </c>
      <c r="F1816" s="5" t="s">
        <v>254</v>
      </c>
      <c r="G1816" s="5" t="s">
        <v>240</v>
      </c>
      <c r="H1816" s="6" t="s">
        <v>6702</v>
      </c>
      <c r="I1816" s="5" t="s">
        <v>6701</v>
      </c>
      <c r="J1816" s="8">
        <f>0</f>
        <v>0</v>
      </c>
      <c r="K1816" s="5" t="s">
        <v>308</v>
      </c>
      <c r="L1816" s="7">
        <f>3766520</f>
        <v>3766520</v>
      </c>
      <c r="M1816" s="7">
        <f>3766520</f>
        <v>3766520</v>
      </c>
      <c r="N1816" s="5" t="s">
        <v>242</v>
      </c>
      <c r="O1816" s="5">
        <v>1</v>
      </c>
      <c r="P1816" s="5" t="s">
        <v>294</v>
      </c>
      <c r="Q1816" s="5" t="s">
        <v>266</v>
      </c>
      <c r="R1816" s="5" t="s">
        <v>240</v>
      </c>
      <c r="S1816" s="5" t="s">
        <v>240</v>
      </c>
      <c r="T1816" s="5" t="s">
        <v>296</v>
      </c>
      <c r="U1816" s="5" t="s">
        <v>244</v>
      </c>
      <c r="V1816" s="5" t="s">
        <v>240</v>
      </c>
      <c r="Y1816" s="5" t="s">
        <v>240</v>
      </c>
      <c r="Z1816" s="6" t="s">
        <v>298</v>
      </c>
      <c r="AB1816" s="6" t="s">
        <v>240</v>
      </c>
      <c r="AE1816" s="6" t="s">
        <v>299</v>
      </c>
      <c r="AF1816" s="5" t="s">
        <v>248</v>
      </c>
      <c r="AG1816" s="5" t="s">
        <v>249</v>
      </c>
      <c r="AW1816" s="5" t="s">
        <v>251</v>
      </c>
      <c r="AX1816" s="5" t="s">
        <v>240</v>
      </c>
      <c r="AY1816" s="5" t="s">
        <v>253</v>
      </c>
      <c r="AZ1816" s="5" t="s">
        <v>240</v>
      </c>
      <c r="BA1816" s="5" t="s">
        <v>255</v>
      </c>
      <c r="BB1816" s="5" t="s">
        <v>240</v>
      </c>
      <c r="BD1816" s="5" t="s">
        <v>240</v>
      </c>
      <c r="BF1816" s="5" t="s">
        <v>301</v>
      </c>
      <c r="BG1816" s="6" t="s">
        <v>299</v>
      </c>
      <c r="BH1816" s="5" t="s">
        <v>302</v>
      </c>
      <c r="BI1816" s="5" t="s">
        <v>303</v>
      </c>
      <c r="BJ1816" s="5" t="s">
        <v>240</v>
      </c>
      <c r="BK1816" s="8">
        <f>0</f>
        <v>0</v>
      </c>
      <c r="BL1816" s="7">
        <f>0</f>
        <v>0</v>
      </c>
      <c r="BM1816" s="5" t="s">
        <v>258</v>
      </c>
      <c r="BN1816" s="5" t="s">
        <v>259</v>
      </c>
      <c r="CB1816" s="5" t="s">
        <v>240</v>
      </c>
      <c r="CC1816" s="5" t="s">
        <v>240</v>
      </c>
      <c r="CG1816" s="5" t="s">
        <v>304</v>
      </c>
      <c r="CH1816" s="5" t="s">
        <v>305</v>
      </c>
      <c r="CI1816" s="5" t="s">
        <v>240</v>
      </c>
      <c r="CL1816" s="6" t="s">
        <v>261</v>
      </c>
      <c r="CM1816" s="5" t="s">
        <v>240</v>
      </c>
      <c r="CN1816" s="5" t="s">
        <v>263</v>
      </c>
      <c r="CO1816" s="5" t="s">
        <v>240</v>
      </c>
      <c r="CP1816" s="5" t="s">
        <v>240</v>
      </c>
      <c r="CQ1816" s="5">
        <v>0</v>
      </c>
      <c r="CR1816" s="5" t="s">
        <v>306</v>
      </c>
      <c r="CS1816" s="5" t="s">
        <v>307</v>
      </c>
      <c r="CT1816" s="5" t="s">
        <v>307</v>
      </c>
      <c r="CU1816" s="5" t="s">
        <v>260</v>
      </c>
      <c r="CX1816" s="7">
        <f>1</f>
        <v>1</v>
      </c>
      <c r="CY1816" s="7">
        <f>0</f>
        <v>0</v>
      </c>
      <c r="DA1816" s="7">
        <f>0</f>
        <v>0</v>
      </c>
      <c r="DC1816" s="5" t="s">
        <v>812</v>
      </c>
      <c r="DD1816" s="5" t="s">
        <v>240</v>
      </c>
      <c r="DF1816" s="5" t="s">
        <v>812</v>
      </c>
      <c r="DG1816" s="7">
        <f>2164</f>
        <v>2164</v>
      </c>
      <c r="DI1816" s="5" t="s">
        <v>240</v>
      </c>
      <c r="DJ1816" s="5" t="s">
        <v>240</v>
      </c>
      <c r="DK1816" s="5" t="s">
        <v>240</v>
      </c>
      <c r="DL1816" s="5" t="s">
        <v>240</v>
      </c>
      <c r="DP1816" s="5" t="s">
        <v>240</v>
      </c>
      <c r="DQ1816" s="5" t="s">
        <v>240</v>
      </c>
      <c r="DR1816" s="5" t="s">
        <v>240</v>
      </c>
      <c r="DS1816" s="5" t="s">
        <v>240</v>
      </c>
      <c r="DV1816" s="5" t="s">
        <v>813</v>
      </c>
      <c r="DW1816" s="5" t="s">
        <v>3766</v>
      </c>
      <c r="HO1816" s="5" t="s">
        <v>312</v>
      </c>
    </row>
    <row r="1817" spans="1:223" x14ac:dyDescent="0.4">
      <c r="A1817" s="5">
        <v>3515</v>
      </c>
      <c r="B1817" s="5">
        <v>1</v>
      </c>
      <c r="C1817" s="5">
        <v>1</v>
      </c>
      <c r="D1817" s="5" t="s">
        <v>297</v>
      </c>
      <c r="E1817" s="5" t="s">
        <v>245</v>
      </c>
      <c r="F1817" s="5" t="s">
        <v>254</v>
      </c>
      <c r="G1817" s="5" t="s">
        <v>240</v>
      </c>
      <c r="H1817" s="6" t="s">
        <v>6702</v>
      </c>
      <c r="I1817" s="5" t="s">
        <v>6708</v>
      </c>
      <c r="J1817" s="8">
        <f>1299.25</f>
        <v>1299.25</v>
      </c>
      <c r="K1817" s="5" t="s">
        <v>308</v>
      </c>
      <c r="L1817" s="7">
        <f>2335793</f>
        <v>2335793</v>
      </c>
      <c r="M1817" s="7">
        <f>2335793</f>
        <v>2335793</v>
      </c>
      <c r="N1817" s="5" t="s">
        <v>242</v>
      </c>
      <c r="O1817" s="5">
        <v>1</v>
      </c>
      <c r="P1817" s="5" t="s">
        <v>294</v>
      </c>
      <c r="Q1817" s="5" t="s">
        <v>266</v>
      </c>
      <c r="R1817" s="5" t="s">
        <v>240</v>
      </c>
      <c r="S1817" s="5" t="s">
        <v>240</v>
      </c>
      <c r="T1817" s="5" t="s">
        <v>296</v>
      </c>
      <c r="U1817" s="5" t="s">
        <v>244</v>
      </c>
      <c r="V1817" s="5" t="s">
        <v>240</v>
      </c>
      <c r="Y1817" s="5" t="s">
        <v>240</v>
      </c>
      <c r="Z1817" s="6" t="s">
        <v>298</v>
      </c>
      <c r="AB1817" s="6" t="s">
        <v>240</v>
      </c>
      <c r="AE1817" s="6" t="s">
        <v>299</v>
      </c>
      <c r="AF1817" s="5" t="s">
        <v>248</v>
      </c>
      <c r="AG1817" s="5" t="s">
        <v>249</v>
      </c>
      <c r="AW1817" s="5" t="s">
        <v>251</v>
      </c>
      <c r="AX1817" s="5" t="s">
        <v>240</v>
      </c>
      <c r="AY1817" s="5" t="s">
        <v>253</v>
      </c>
      <c r="AZ1817" s="5" t="s">
        <v>240</v>
      </c>
      <c r="BA1817" s="5" t="s">
        <v>255</v>
      </c>
      <c r="BB1817" s="5" t="s">
        <v>240</v>
      </c>
      <c r="BD1817" s="5" t="s">
        <v>240</v>
      </c>
      <c r="BF1817" s="5" t="s">
        <v>301</v>
      </c>
      <c r="BG1817" s="6" t="s">
        <v>299</v>
      </c>
      <c r="BH1817" s="5" t="s">
        <v>302</v>
      </c>
      <c r="BI1817" s="5" t="s">
        <v>303</v>
      </c>
      <c r="BJ1817" s="5" t="s">
        <v>240</v>
      </c>
      <c r="BK1817" s="8">
        <f>0</f>
        <v>0</v>
      </c>
      <c r="BL1817" s="7">
        <f>0</f>
        <v>0</v>
      </c>
      <c r="BM1817" s="5" t="s">
        <v>258</v>
      </c>
      <c r="BN1817" s="5" t="s">
        <v>259</v>
      </c>
      <c r="CB1817" s="5" t="s">
        <v>240</v>
      </c>
      <c r="CC1817" s="5" t="s">
        <v>240</v>
      </c>
      <c r="CG1817" s="5" t="s">
        <v>304</v>
      </c>
      <c r="CH1817" s="5" t="s">
        <v>305</v>
      </c>
      <c r="CI1817" s="5" t="s">
        <v>240</v>
      </c>
      <c r="CL1817" s="6" t="s">
        <v>261</v>
      </c>
      <c r="CM1817" s="5" t="s">
        <v>240</v>
      </c>
      <c r="CN1817" s="5" t="s">
        <v>263</v>
      </c>
      <c r="CO1817" s="5" t="s">
        <v>240</v>
      </c>
      <c r="CP1817" s="5" t="s">
        <v>240</v>
      </c>
      <c r="CQ1817" s="5">
        <v>0</v>
      </c>
      <c r="CR1817" s="5" t="s">
        <v>306</v>
      </c>
      <c r="CS1817" s="5" t="s">
        <v>307</v>
      </c>
      <c r="CT1817" s="5" t="s">
        <v>307</v>
      </c>
      <c r="CU1817" s="5" t="s">
        <v>260</v>
      </c>
      <c r="CX1817" s="7">
        <f>1</f>
        <v>1</v>
      </c>
      <c r="CY1817" s="7">
        <f>0</f>
        <v>0</v>
      </c>
      <c r="DA1817" s="7">
        <f>0</f>
        <v>0</v>
      </c>
      <c r="DC1817" s="5" t="s">
        <v>812</v>
      </c>
      <c r="DD1817" s="5" t="s">
        <v>240</v>
      </c>
      <c r="DF1817" s="5" t="s">
        <v>812</v>
      </c>
      <c r="DG1817" s="7">
        <f>1031</f>
        <v>1031</v>
      </c>
      <c r="DI1817" s="5" t="s">
        <v>240</v>
      </c>
      <c r="DJ1817" s="5" t="s">
        <v>240</v>
      </c>
      <c r="DK1817" s="5" t="s">
        <v>240</v>
      </c>
      <c r="DL1817" s="5" t="s">
        <v>240</v>
      </c>
      <c r="DP1817" s="5" t="s">
        <v>240</v>
      </c>
      <c r="DQ1817" s="5" t="s">
        <v>240</v>
      </c>
      <c r="DR1817" s="5" t="s">
        <v>240</v>
      </c>
      <c r="DS1817" s="5" t="s">
        <v>240</v>
      </c>
      <c r="DV1817" s="5" t="s">
        <v>813</v>
      </c>
      <c r="DW1817" s="5" t="s">
        <v>2108</v>
      </c>
      <c r="HO1817" s="5" t="s">
        <v>312</v>
      </c>
    </row>
    <row r="1818" spans="1:223" x14ac:dyDescent="0.4">
      <c r="A1818" s="5">
        <v>3516</v>
      </c>
      <c r="B1818" s="5">
        <v>1</v>
      </c>
      <c r="C1818" s="5">
        <v>1</v>
      </c>
      <c r="D1818" s="5" t="s">
        <v>297</v>
      </c>
      <c r="E1818" s="5" t="s">
        <v>245</v>
      </c>
      <c r="F1818" s="5" t="s">
        <v>254</v>
      </c>
      <c r="G1818" s="5" t="s">
        <v>240</v>
      </c>
      <c r="H1818" s="6" t="s">
        <v>6711</v>
      </c>
      <c r="I1818" s="5" t="s">
        <v>6710</v>
      </c>
      <c r="J1818" s="8">
        <f>0</f>
        <v>0</v>
      </c>
      <c r="K1818" s="5" t="s">
        <v>308</v>
      </c>
      <c r="L1818" s="7">
        <f>10638425</f>
        <v>10638425</v>
      </c>
      <c r="M1818" s="7">
        <f>10638425</f>
        <v>10638425</v>
      </c>
      <c r="N1818" s="5" t="s">
        <v>242</v>
      </c>
      <c r="O1818" s="5">
        <v>1</v>
      </c>
      <c r="P1818" s="5" t="s">
        <v>294</v>
      </c>
      <c r="Q1818" s="5" t="s">
        <v>266</v>
      </c>
      <c r="R1818" s="5" t="s">
        <v>240</v>
      </c>
      <c r="S1818" s="5" t="s">
        <v>240</v>
      </c>
      <c r="T1818" s="5" t="s">
        <v>296</v>
      </c>
      <c r="U1818" s="5" t="s">
        <v>244</v>
      </c>
      <c r="V1818" s="5" t="s">
        <v>240</v>
      </c>
      <c r="Y1818" s="5" t="s">
        <v>240</v>
      </c>
      <c r="Z1818" s="6" t="s">
        <v>298</v>
      </c>
      <c r="AB1818" s="6" t="s">
        <v>240</v>
      </c>
      <c r="AE1818" s="6" t="s">
        <v>299</v>
      </c>
      <c r="AF1818" s="5" t="s">
        <v>248</v>
      </c>
      <c r="AG1818" s="5" t="s">
        <v>249</v>
      </c>
      <c r="AW1818" s="5" t="s">
        <v>251</v>
      </c>
      <c r="AX1818" s="5" t="s">
        <v>240</v>
      </c>
      <c r="AY1818" s="5" t="s">
        <v>253</v>
      </c>
      <c r="AZ1818" s="5" t="s">
        <v>240</v>
      </c>
      <c r="BA1818" s="5" t="s">
        <v>255</v>
      </c>
      <c r="BB1818" s="5" t="s">
        <v>240</v>
      </c>
      <c r="BD1818" s="5" t="s">
        <v>240</v>
      </c>
      <c r="BF1818" s="5" t="s">
        <v>301</v>
      </c>
      <c r="BG1818" s="6" t="s">
        <v>299</v>
      </c>
      <c r="BH1818" s="5" t="s">
        <v>302</v>
      </c>
      <c r="BI1818" s="5" t="s">
        <v>303</v>
      </c>
      <c r="BJ1818" s="5" t="s">
        <v>240</v>
      </c>
      <c r="BK1818" s="8">
        <f>0</f>
        <v>0</v>
      </c>
      <c r="BL1818" s="7">
        <f>0</f>
        <v>0</v>
      </c>
      <c r="BM1818" s="5" t="s">
        <v>258</v>
      </c>
      <c r="BN1818" s="5" t="s">
        <v>259</v>
      </c>
      <c r="CB1818" s="5" t="s">
        <v>240</v>
      </c>
      <c r="CC1818" s="5" t="s">
        <v>240</v>
      </c>
      <c r="CG1818" s="5" t="s">
        <v>304</v>
      </c>
      <c r="CH1818" s="5" t="s">
        <v>305</v>
      </c>
      <c r="CI1818" s="5" t="s">
        <v>240</v>
      </c>
      <c r="CL1818" s="6" t="s">
        <v>261</v>
      </c>
      <c r="CM1818" s="5" t="s">
        <v>240</v>
      </c>
      <c r="CN1818" s="5" t="s">
        <v>263</v>
      </c>
      <c r="CO1818" s="5" t="s">
        <v>240</v>
      </c>
      <c r="CP1818" s="5" t="s">
        <v>240</v>
      </c>
      <c r="CQ1818" s="5">
        <v>0</v>
      </c>
      <c r="CR1818" s="5" t="s">
        <v>306</v>
      </c>
      <c r="CS1818" s="5" t="s">
        <v>307</v>
      </c>
      <c r="CT1818" s="5" t="s">
        <v>307</v>
      </c>
      <c r="CU1818" s="5" t="s">
        <v>260</v>
      </c>
      <c r="CX1818" s="7">
        <f>1</f>
        <v>1</v>
      </c>
      <c r="CY1818" s="7">
        <f>0</f>
        <v>0</v>
      </c>
      <c r="DA1818" s="7">
        <f>0</f>
        <v>0</v>
      </c>
      <c r="DC1818" s="5" t="s">
        <v>812</v>
      </c>
      <c r="DD1818" s="5" t="s">
        <v>240</v>
      </c>
      <c r="DF1818" s="5" t="s">
        <v>812</v>
      </c>
      <c r="DG1818" s="7">
        <f>3242</f>
        <v>3242</v>
      </c>
      <c r="DI1818" s="5" t="s">
        <v>240</v>
      </c>
      <c r="DJ1818" s="5" t="s">
        <v>240</v>
      </c>
      <c r="DK1818" s="5" t="s">
        <v>240</v>
      </c>
      <c r="DL1818" s="5" t="s">
        <v>240</v>
      </c>
      <c r="DP1818" s="5" t="s">
        <v>240</v>
      </c>
      <c r="DQ1818" s="5" t="s">
        <v>240</v>
      </c>
      <c r="DR1818" s="5" t="s">
        <v>240</v>
      </c>
      <c r="DS1818" s="5" t="s">
        <v>240</v>
      </c>
      <c r="DV1818" s="5" t="s">
        <v>813</v>
      </c>
      <c r="DW1818" s="5" t="s">
        <v>3769</v>
      </c>
      <c r="HO1818" s="5" t="s">
        <v>312</v>
      </c>
    </row>
    <row r="1819" spans="1:223" x14ac:dyDescent="0.4">
      <c r="A1819" s="5">
        <v>3517</v>
      </c>
      <c r="B1819" s="5">
        <v>1</v>
      </c>
      <c r="C1819" s="5">
        <v>1</v>
      </c>
      <c r="D1819" s="5" t="s">
        <v>297</v>
      </c>
      <c r="E1819" s="5" t="s">
        <v>245</v>
      </c>
      <c r="F1819" s="5" t="s">
        <v>254</v>
      </c>
      <c r="G1819" s="5" t="s">
        <v>240</v>
      </c>
      <c r="H1819" s="6" t="s">
        <v>6711</v>
      </c>
      <c r="I1819" s="5" t="s">
        <v>6712</v>
      </c>
      <c r="J1819" s="8">
        <f>3429.41</f>
        <v>3429.41</v>
      </c>
      <c r="K1819" s="5" t="s">
        <v>308</v>
      </c>
      <c r="L1819" s="7">
        <f>3066216</f>
        <v>3066216</v>
      </c>
      <c r="M1819" s="7">
        <f>3066216</f>
        <v>3066216</v>
      </c>
      <c r="N1819" s="5" t="s">
        <v>242</v>
      </c>
      <c r="O1819" s="5">
        <v>1</v>
      </c>
      <c r="P1819" s="5" t="s">
        <v>294</v>
      </c>
      <c r="Q1819" s="5" t="s">
        <v>266</v>
      </c>
      <c r="R1819" s="5" t="s">
        <v>240</v>
      </c>
      <c r="S1819" s="5" t="s">
        <v>240</v>
      </c>
      <c r="T1819" s="5" t="s">
        <v>296</v>
      </c>
      <c r="U1819" s="5" t="s">
        <v>244</v>
      </c>
      <c r="V1819" s="5" t="s">
        <v>240</v>
      </c>
      <c r="Y1819" s="5" t="s">
        <v>240</v>
      </c>
      <c r="Z1819" s="6" t="s">
        <v>298</v>
      </c>
      <c r="AB1819" s="6" t="s">
        <v>240</v>
      </c>
      <c r="AE1819" s="6" t="s">
        <v>299</v>
      </c>
      <c r="AF1819" s="5" t="s">
        <v>248</v>
      </c>
      <c r="AG1819" s="5" t="s">
        <v>249</v>
      </c>
      <c r="AW1819" s="5" t="s">
        <v>251</v>
      </c>
      <c r="AX1819" s="5" t="s">
        <v>240</v>
      </c>
      <c r="AY1819" s="5" t="s">
        <v>253</v>
      </c>
      <c r="AZ1819" s="5" t="s">
        <v>240</v>
      </c>
      <c r="BA1819" s="5" t="s">
        <v>255</v>
      </c>
      <c r="BB1819" s="5" t="s">
        <v>240</v>
      </c>
      <c r="BD1819" s="5" t="s">
        <v>240</v>
      </c>
      <c r="BF1819" s="5" t="s">
        <v>301</v>
      </c>
      <c r="BG1819" s="6" t="s">
        <v>299</v>
      </c>
      <c r="BH1819" s="5" t="s">
        <v>302</v>
      </c>
      <c r="BI1819" s="5" t="s">
        <v>303</v>
      </c>
      <c r="BJ1819" s="5" t="s">
        <v>240</v>
      </c>
      <c r="BK1819" s="8">
        <f>0</f>
        <v>0</v>
      </c>
      <c r="BL1819" s="7">
        <f>0</f>
        <v>0</v>
      </c>
      <c r="BM1819" s="5" t="s">
        <v>258</v>
      </c>
      <c r="BN1819" s="5" t="s">
        <v>259</v>
      </c>
      <c r="CB1819" s="5" t="s">
        <v>240</v>
      </c>
      <c r="CC1819" s="5" t="s">
        <v>240</v>
      </c>
      <c r="CG1819" s="5" t="s">
        <v>304</v>
      </c>
      <c r="CH1819" s="5" t="s">
        <v>305</v>
      </c>
      <c r="CI1819" s="5" t="s">
        <v>240</v>
      </c>
      <c r="CL1819" s="6" t="s">
        <v>261</v>
      </c>
      <c r="CM1819" s="5" t="s">
        <v>240</v>
      </c>
      <c r="CN1819" s="5" t="s">
        <v>263</v>
      </c>
      <c r="CO1819" s="5" t="s">
        <v>240</v>
      </c>
      <c r="CP1819" s="5" t="s">
        <v>240</v>
      </c>
      <c r="CQ1819" s="5">
        <v>0</v>
      </c>
      <c r="CR1819" s="5" t="s">
        <v>306</v>
      </c>
      <c r="CS1819" s="5" t="s">
        <v>307</v>
      </c>
      <c r="CT1819" s="5" t="s">
        <v>307</v>
      </c>
      <c r="CU1819" s="5" t="s">
        <v>260</v>
      </c>
      <c r="CX1819" s="7">
        <f>1</f>
        <v>1</v>
      </c>
      <c r="CY1819" s="7">
        <f>0</f>
        <v>0</v>
      </c>
      <c r="DA1819" s="7">
        <f>0</f>
        <v>0</v>
      </c>
      <c r="DC1819" s="5" t="s">
        <v>812</v>
      </c>
      <c r="DD1819" s="5" t="s">
        <v>240</v>
      </c>
      <c r="DF1819" s="5" t="s">
        <v>812</v>
      </c>
      <c r="DG1819" s="7">
        <f>3393</f>
        <v>3393</v>
      </c>
      <c r="DI1819" s="5" t="s">
        <v>240</v>
      </c>
      <c r="DJ1819" s="5" t="s">
        <v>240</v>
      </c>
      <c r="DK1819" s="5" t="s">
        <v>240</v>
      </c>
      <c r="DL1819" s="5" t="s">
        <v>240</v>
      </c>
      <c r="DP1819" s="5" t="s">
        <v>240</v>
      </c>
      <c r="DQ1819" s="5" t="s">
        <v>240</v>
      </c>
      <c r="DR1819" s="5" t="s">
        <v>240</v>
      </c>
      <c r="DS1819" s="5" t="s">
        <v>240</v>
      </c>
      <c r="DV1819" s="5" t="s">
        <v>813</v>
      </c>
      <c r="DW1819" s="5" t="s">
        <v>3771</v>
      </c>
      <c r="HO1819" s="5" t="s">
        <v>312</v>
      </c>
    </row>
    <row r="1820" spans="1:223" x14ac:dyDescent="0.4">
      <c r="A1820" s="5">
        <v>3518</v>
      </c>
      <c r="B1820" s="5">
        <v>1</v>
      </c>
      <c r="C1820" s="5">
        <v>1</v>
      </c>
      <c r="D1820" s="5" t="s">
        <v>297</v>
      </c>
      <c r="E1820" s="5" t="s">
        <v>245</v>
      </c>
      <c r="F1820" s="5" t="s">
        <v>254</v>
      </c>
      <c r="G1820" s="5" t="s">
        <v>240</v>
      </c>
      <c r="H1820" s="6" t="s">
        <v>6714</v>
      </c>
      <c r="I1820" s="5" t="s">
        <v>6713</v>
      </c>
      <c r="J1820" s="8">
        <f>0</f>
        <v>0</v>
      </c>
      <c r="K1820" s="5" t="s">
        <v>308</v>
      </c>
      <c r="L1820" s="7">
        <f>237851</f>
        <v>237851</v>
      </c>
      <c r="M1820" s="7">
        <f>237851</f>
        <v>237851</v>
      </c>
      <c r="N1820" s="5" t="s">
        <v>242</v>
      </c>
      <c r="O1820" s="5">
        <v>1</v>
      </c>
      <c r="P1820" s="5" t="s">
        <v>294</v>
      </c>
      <c r="Q1820" s="5" t="s">
        <v>266</v>
      </c>
      <c r="R1820" s="5" t="s">
        <v>240</v>
      </c>
      <c r="S1820" s="5" t="s">
        <v>240</v>
      </c>
      <c r="T1820" s="5" t="s">
        <v>296</v>
      </c>
      <c r="U1820" s="5" t="s">
        <v>244</v>
      </c>
      <c r="V1820" s="5" t="s">
        <v>240</v>
      </c>
      <c r="Y1820" s="5" t="s">
        <v>240</v>
      </c>
      <c r="Z1820" s="6" t="s">
        <v>298</v>
      </c>
      <c r="AB1820" s="6" t="s">
        <v>240</v>
      </c>
      <c r="AE1820" s="6" t="s">
        <v>299</v>
      </c>
      <c r="AF1820" s="5" t="s">
        <v>248</v>
      </c>
      <c r="AG1820" s="5" t="s">
        <v>249</v>
      </c>
      <c r="AW1820" s="5" t="s">
        <v>251</v>
      </c>
      <c r="AX1820" s="5" t="s">
        <v>240</v>
      </c>
      <c r="AY1820" s="5" t="s">
        <v>253</v>
      </c>
      <c r="AZ1820" s="5" t="s">
        <v>240</v>
      </c>
      <c r="BA1820" s="5" t="s">
        <v>255</v>
      </c>
      <c r="BB1820" s="5" t="s">
        <v>240</v>
      </c>
      <c r="BD1820" s="5" t="s">
        <v>240</v>
      </c>
      <c r="BF1820" s="5" t="s">
        <v>301</v>
      </c>
      <c r="BG1820" s="6" t="s">
        <v>299</v>
      </c>
      <c r="BH1820" s="5" t="s">
        <v>302</v>
      </c>
      <c r="BI1820" s="5" t="s">
        <v>303</v>
      </c>
      <c r="BJ1820" s="5" t="s">
        <v>240</v>
      </c>
      <c r="BK1820" s="8">
        <f>0</f>
        <v>0</v>
      </c>
      <c r="BL1820" s="7">
        <f>0</f>
        <v>0</v>
      </c>
      <c r="BM1820" s="5" t="s">
        <v>258</v>
      </c>
      <c r="BN1820" s="5" t="s">
        <v>259</v>
      </c>
      <c r="CB1820" s="5" t="s">
        <v>240</v>
      </c>
      <c r="CC1820" s="5" t="s">
        <v>240</v>
      </c>
      <c r="CG1820" s="5" t="s">
        <v>304</v>
      </c>
      <c r="CH1820" s="5" t="s">
        <v>305</v>
      </c>
      <c r="CI1820" s="5" t="s">
        <v>240</v>
      </c>
      <c r="CL1820" s="6" t="s">
        <v>261</v>
      </c>
      <c r="CM1820" s="5" t="s">
        <v>240</v>
      </c>
      <c r="CN1820" s="5" t="s">
        <v>263</v>
      </c>
      <c r="CO1820" s="5" t="s">
        <v>240</v>
      </c>
      <c r="CP1820" s="5" t="s">
        <v>240</v>
      </c>
      <c r="CQ1820" s="5">
        <v>0</v>
      </c>
      <c r="CR1820" s="5" t="s">
        <v>306</v>
      </c>
      <c r="CS1820" s="5" t="s">
        <v>307</v>
      </c>
      <c r="CT1820" s="5" t="s">
        <v>307</v>
      </c>
      <c r="CU1820" s="5" t="s">
        <v>260</v>
      </c>
      <c r="CX1820" s="7">
        <f>1</f>
        <v>1</v>
      </c>
      <c r="CY1820" s="7">
        <f>0</f>
        <v>0</v>
      </c>
      <c r="DA1820" s="7">
        <f>0</f>
        <v>0</v>
      </c>
      <c r="DC1820" s="5" t="s">
        <v>812</v>
      </c>
      <c r="DD1820" s="5" t="s">
        <v>240</v>
      </c>
      <c r="DF1820" s="5" t="s">
        <v>812</v>
      </c>
      <c r="DG1820" s="7">
        <f>2382</f>
        <v>2382</v>
      </c>
      <c r="DI1820" s="5" t="s">
        <v>240</v>
      </c>
      <c r="DJ1820" s="5" t="s">
        <v>240</v>
      </c>
      <c r="DK1820" s="5" t="s">
        <v>240</v>
      </c>
      <c r="DL1820" s="5" t="s">
        <v>240</v>
      </c>
      <c r="DP1820" s="5" t="s">
        <v>240</v>
      </c>
      <c r="DQ1820" s="5" t="s">
        <v>240</v>
      </c>
      <c r="DR1820" s="5" t="s">
        <v>240</v>
      </c>
      <c r="DS1820" s="5" t="s">
        <v>240</v>
      </c>
      <c r="DV1820" s="5" t="s">
        <v>813</v>
      </c>
      <c r="DW1820" s="5" t="s">
        <v>3773</v>
      </c>
      <c r="HO1820" s="5" t="s">
        <v>312</v>
      </c>
    </row>
    <row r="1821" spans="1:223" x14ac:dyDescent="0.4">
      <c r="A1821" s="5">
        <v>3519</v>
      </c>
      <c r="B1821" s="5">
        <v>1</v>
      </c>
      <c r="C1821" s="5">
        <v>1</v>
      </c>
      <c r="D1821" s="5" t="s">
        <v>297</v>
      </c>
      <c r="E1821" s="5" t="s">
        <v>245</v>
      </c>
      <c r="F1821" s="5" t="s">
        <v>254</v>
      </c>
      <c r="G1821" s="5" t="s">
        <v>240</v>
      </c>
      <c r="H1821" s="6" t="s">
        <v>6065</v>
      </c>
      <c r="I1821" s="5" t="s">
        <v>6718</v>
      </c>
      <c r="J1821" s="8">
        <f>0</f>
        <v>0</v>
      </c>
      <c r="K1821" s="5" t="s">
        <v>308</v>
      </c>
      <c r="L1821" s="7">
        <f>61251983</f>
        <v>61251983</v>
      </c>
      <c r="M1821" s="7">
        <f>61251983</f>
        <v>61251983</v>
      </c>
      <c r="N1821" s="5" t="s">
        <v>242</v>
      </c>
      <c r="O1821" s="5">
        <v>1</v>
      </c>
      <c r="P1821" s="5" t="s">
        <v>294</v>
      </c>
      <c r="Q1821" s="5" t="s">
        <v>266</v>
      </c>
      <c r="R1821" s="5" t="s">
        <v>240</v>
      </c>
      <c r="S1821" s="5" t="s">
        <v>240</v>
      </c>
      <c r="T1821" s="5" t="s">
        <v>296</v>
      </c>
      <c r="U1821" s="5" t="s">
        <v>244</v>
      </c>
      <c r="V1821" s="5" t="s">
        <v>240</v>
      </c>
      <c r="Y1821" s="5" t="s">
        <v>240</v>
      </c>
      <c r="Z1821" s="6" t="s">
        <v>298</v>
      </c>
      <c r="AB1821" s="6" t="s">
        <v>240</v>
      </c>
      <c r="AE1821" s="6" t="s">
        <v>299</v>
      </c>
      <c r="AF1821" s="5" t="s">
        <v>248</v>
      </c>
      <c r="AG1821" s="5" t="s">
        <v>249</v>
      </c>
      <c r="AW1821" s="5" t="s">
        <v>251</v>
      </c>
      <c r="AX1821" s="5" t="s">
        <v>240</v>
      </c>
      <c r="AY1821" s="5" t="s">
        <v>253</v>
      </c>
      <c r="AZ1821" s="5" t="s">
        <v>240</v>
      </c>
      <c r="BA1821" s="5" t="s">
        <v>255</v>
      </c>
      <c r="BB1821" s="5" t="s">
        <v>240</v>
      </c>
      <c r="BD1821" s="5" t="s">
        <v>240</v>
      </c>
      <c r="BF1821" s="5" t="s">
        <v>301</v>
      </c>
      <c r="BG1821" s="6" t="s">
        <v>299</v>
      </c>
      <c r="BH1821" s="5" t="s">
        <v>302</v>
      </c>
      <c r="BI1821" s="5" t="s">
        <v>303</v>
      </c>
      <c r="BJ1821" s="5" t="s">
        <v>240</v>
      </c>
      <c r="BK1821" s="8">
        <f>0</f>
        <v>0</v>
      </c>
      <c r="BL1821" s="7">
        <f>0</f>
        <v>0</v>
      </c>
      <c r="BM1821" s="5" t="s">
        <v>258</v>
      </c>
      <c r="BN1821" s="5" t="s">
        <v>259</v>
      </c>
      <c r="CB1821" s="5" t="s">
        <v>240</v>
      </c>
      <c r="CC1821" s="5" t="s">
        <v>240</v>
      </c>
      <c r="CG1821" s="5" t="s">
        <v>304</v>
      </c>
      <c r="CH1821" s="5" t="s">
        <v>305</v>
      </c>
      <c r="CI1821" s="5" t="s">
        <v>240</v>
      </c>
      <c r="CL1821" s="6" t="s">
        <v>261</v>
      </c>
      <c r="CM1821" s="5" t="s">
        <v>240</v>
      </c>
      <c r="CN1821" s="5" t="s">
        <v>263</v>
      </c>
      <c r="CO1821" s="5" t="s">
        <v>240</v>
      </c>
      <c r="CP1821" s="5" t="s">
        <v>240</v>
      </c>
      <c r="CQ1821" s="5">
        <v>0</v>
      </c>
      <c r="CR1821" s="5" t="s">
        <v>306</v>
      </c>
      <c r="CS1821" s="5" t="s">
        <v>307</v>
      </c>
      <c r="CT1821" s="5" t="s">
        <v>307</v>
      </c>
      <c r="CU1821" s="5" t="s">
        <v>260</v>
      </c>
      <c r="CX1821" s="7">
        <f>1</f>
        <v>1</v>
      </c>
      <c r="CY1821" s="7">
        <f>0</f>
        <v>0</v>
      </c>
      <c r="DA1821" s="7">
        <f>0</f>
        <v>0</v>
      </c>
      <c r="DC1821" s="5" t="s">
        <v>812</v>
      </c>
      <c r="DD1821" s="5" t="s">
        <v>240</v>
      </c>
      <c r="DF1821" s="5" t="s">
        <v>812</v>
      </c>
      <c r="DG1821" s="7">
        <f>1119</f>
        <v>1119</v>
      </c>
      <c r="DI1821" s="5" t="s">
        <v>240</v>
      </c>
      <c r="DJ1821" s="5" t="s">
        <v>240</v>
      </c>
      <c r="DK1821" s="5" t="s">
        <v>240</v>
      </c>
      <c r="DL1821" s="5" t="s">
        <v>240</v>
      </c>
      <c r="DP1821" s="5" t="s">
        <v>240</v>
      </c>
      <c r="DQ1821" s="5" t="s">
        <v>240</v>
      </c>
      <c r="DR1821" s="5" t="s">
        <v>240</v>
      </c>
      <c r="DS1821" s="5" t="s">
        <v>240</v>
      </c>
      <c r="DV1821" s="5" t="s">
        <v>813</v>
      </c>
      <c r="DW1821" s="5" t="s">
        <v>3775</v>
      </c>
      <c r="HO1821" s="5" t="s">
        <v>312</v>
      </c>
    </row>
    <row r="1822" spans="1:223" x14ac:dyDescent="0.4">
      <c r="A1822" s="5">
        <v>3520</v>
      </c>
      <c r="B1822" s="5">
        <v>1</v>
      </c>
      <c r="C1822" s="5">
        <v>1</v>
      </c>
      <c r="D1822" s="5" t="s">
        <v>297</v>
      </c>
      <c r="E1822" s="5" t="s">
        <v>245</v>
      </c>
      <c r="F1822" s="5" t="s">
        <v>254</v>
      </c>
      <c r="G1822" s="5" t="s">
        <v>240</v>
      </c>
      <c r="H1822" s="6" t="s">
        <v>6065</v>
      </c>
      <c r="I1822" s="5" t="s">
        <v>6723</v>
      </c>
      <c r="J1822" s="8">
        <f>1154.23</f>
        <v>1154.23</v>
      </c>
      <c r="K1822" s="5" t="s">
        <v>308</v>
      </c>
      <c r="L1822" s="7">
        <f>1719192</f>
        <v>1719192</v>
      </c>
      <c r="M1822" s="7">
        <f>1719192</f>
        <v>1719192</v>
      </c>
      <c r="N1822" s="5" t="s">
        <v>242</v>
      </c>
      <c r="O1822" s="5">
        <v>1</v>
      </c>
      <c r="P1822" s="5" t="s">
        <v>294</v>
      </c>
      <c r="Q1822" s="5" t="s">
        <v>266</v>
      </c>
      <c r="R1822" s="5" t="s">
        <v>240</v>
      </c>
      <c r="S1822" s="5" t="s">
        <v>240</v>
      </c>
      <c r="T1822" s="5" t="s">
        <v>296</v>
      </c>
      <c r="U1822" s="5" t="s">
        <v>244</v>
      </c>
      <c r="V1822" s="5" t="s">
        <v>240</v>
      </c>
      <c r="Y1822" s="5" t="s">
        <v>240</v>
      </c>
      <c r="Z1822" s="6" t="s">
        <v>298</v>
      </c>
      <c r="AB1822" s="6" t="s">
        <v>240</v>
      </c>
      <c r="AE1822" s="6" t="s">
        <v>299</v>
      </c>
      <c r="AF1822" s="5" t="s">
        <v>248</v>
      </c>
      <c r="AG1822" s="5" t="s">
        <v>249</v>
      </c>
      <c r="AW1822" s="5" t="s">
        <v>251</v>
      </c>
      <c r="AX1822" s="5" t="s">
        <v>240</v>
      </c>
      <c r="AY1822" s="5" t="s">
        <v>253</v>
      </c>
      <c r="AZ1822" s="5" t="s">
        <v>240</v>
      </c>
      <c r="BA1822" s="5" t="s">
        <v>255</v>
      </c>
      <c r="BB1822" s="5" t="s">
        <v>240</v>
      </c>
      <c r="BD1822" s="5" t="s">
        <v>240</v>
      </c>
      <c r="BF1822" s="5" t="s">
        <v>301</v>
      </c>
      <c r="BG1822" s="6" t="s">
        <v>299</v>
      </c>
      <c r="BH1822" s="5" t="s">
        <v>302</v>
      </c>
      <c r="BI1822" s="5" t="s">
        <v>303</v>
      </c>
      <c r="BJ1822" s="5" t="s">
        <v>240</v>
      </c>
      <c r="BK1822" s="8">
        <f>0</f>
        <v>0</v>
      </c>
      <c r="BL1822" s="7">
        <f>0</f>
        <v>0</v>
      </c>
      <c r="BM1822" s="5" t="s">
        <v>258</v>
      </c>
      <c r="BN1822" s="5" t="s">
        <v>259</v>
      </c>
      <c r="CB1822" s="5" t="s">
        <v>240</v>
      </c>
      <c r="CC1822" s="5" t="s">
        <v>240</v>
      </c>
      <c r="CG1822" s="5" t="s">
        <v>304</v>
      </c>
      <c r="CH1822" s="5" t="s">
        <v>305</v>
      </c>
      <c r="CI1822" s="5" t="s">
        <v>240</v>
      </c>
      <c r="CL1822" s="6" t="s">
        <v>261</v>
      </c>
      <c r="CM1822" s="5" t="s">
        <v>240</v>
      </c>
      <c r="CN1822" s="5" t="s">
        <v>263</v>
      </c>
      <c r="CO1822" s="5" t="s">
        <v>240</v>
      </c>
      <c r="CP1822" s="5" t="s">
        <v>240</v>
      </c>
      <c r="CQ1822" s="5">
        <v>0</v>
      </c>
      <c r="CR1822" s="5" t="s">
        <v>306</v>
      </c>
      <c r="CS1822" s="5" t="s">
        <v>307</v>
      </c>
      <c r="CT1822" s="5" t="s">
        <v>307</v>
      </c>
      <c r="CU1822" s="5" t="s">
        <v>260</v>
      </c>
      <c r="CX1822" s="7">
        <f>1</f>
        <v>1</v>
      </c>
      <c r="CY1822" s="7">
        <f>0</f>
        <v>0</v>
      </c>
      <c r="DA1822" s="7">
        <f>0</f>
        <v>0</v>
      </c>
      <c r="DC1822" s="5" t="s">
        <v>812</v>
      </c>
      <c r="DD1822" s="5" t="s">
        <v>240</v>
      </c>
      <c r="DF1822" s="5" t="s">
        <v>812</v>
      </c>
      <c r="DG1822" s="7">
        <f>87</f>
        <v>87</v>
      </c>
      <c r="DI1822" s="5" t="s">
        <v>240</v>
      </c>
      <c r="DJ1822" s="5" t="s">
        <v>240</v>
      </c>
      <c r="DK1822" s="5" t="s">
        <v>240</v>
      </c>
      <c r="DL1822" s="5" t="s">
        <v>240</v>
      </c>
      <c r="DP1822" s="5" t="s">
        <v>240</v>
      </c>
      <c r="DQ1822" s="5" t="s">
        <v>240</v>
      </c>
      <c r="DR1822" s="5" t="s">
        <v>240</v>
      </c>
      <c r="DS1822" s="5" t="s">
        <v>240</v>
      </c>
      <c r="DV1822" s="5" t="s">
        <v>813</v>
      </c>
      <c r="DW1822" s="5" t="s">
        <v>3777</v>
      </c>
      <c r="HO1822" s="5" t="s">
        <v>312</v>
      </c>
    </row>
    <row r="1823" spans="1:223" x14ac:dyDescent="0.4">
      <c r="A1823" s="5">
        <v>3521</v>
      </c>
      <c r="B1823" s="5">
        <v>1</v>
      </c>
      <c r="C1823" s="5">
        <v>1</v>
      </c>
      <c r="D1823" s="5" t="s">
        <v>297</v>
      </c>
      <c r="E1823" s="5" t="s">
        <v>245</v>
      </c>
      <c r="F1823" s="5" t="s">
        <v>254</v>
      </c>
      <c r="G1823" s="5" t="s">
        <v>240</v>
      </c>
      <c r="H1823" s="6" t="s">
        <v>6725</v>
      </c>
      <c r="I1823" s="5" t="s">
        <v>6724</v>
      </c>
      <c r="J1823" s="8">
        <f>0</f>
        <v>0</v>
      </c>
      <c r="K1823" s="5" t="s">
        <v>308</v>
      </c>
      <c r="L1823" s="7">
        <f>19354681</f>
        <v>19354681</v>
      </c>
      <c r="M1823" s="7">
        <f>19354681</f>
        <v>19354681</v>
      </c>
      <c r="N1823" s="5" t="s">
        <v>242</v>
      </c>
      <c r="O1823" s="5">
        <v>1</v>
      </c>
      <c r="P1823" s="5" t="s">
        <v>294</v>
      </c>
      <c r="Q1823" s="5" t="s">
        <v>266</v>
      </c>
      <c r="R1823" s="5" t="s">
        <v>240</v>
      </c>
      <c r="S1823" s="5" t="s">
        <v>240</v>
      </c>
      <c r="T1823" s="5" t="s">
        <v>296</v>
      </c>
      <c r="U1823" s="5" t="s">
        <v>244</v>
      </c>
      <c r="V1823" s="5" t="s">
        <v>240</v>
      </c>
      <c r="Y1823" s="5" t="s">
        <v>240</v>
      </c>
      <c r="Z1823" s="6" t="s">
        <v>298</v>
      </c>
      <c r="AB1823" s="6" t="s">
        <v>240</v>
      </c>
      <c r="AE1823" s="6" t="s">
        <v>299</v>
      </c>
      <c r="AF1823" s="5" t="s">
        <v>248</v>
      </c>
      <c r="AG1823" s="5" t="s">
        <v>249</v>
      </c>
      <c r="AW1823" s="5" t="s">
        <v>251</v>
      </c>
      <c r="AX1823" s="5" t="s">
        <v>240</v>
      </c>
      <c r="AY1823" s="5" t="s">
        <v>253</v>
      </c>
      <c r="AZ1823" s="5" t="s">
        <v>240</v>
      </c>
      <c r="BA1823" s="5" t="s">
        <v>255</v>
      </c>
      <c r="BB1823" s="5" t="s">
        <v>240</v>
      </c>
      <c r="BD1823" s="5" t="s">
        <v>240</v>
      </c>
      <c r="BF1823" s="5" t="s">
        <v>301</v>
      </c>
      <c r="BG1823" s="6" t="s">
        <v>299</v>
      </c>
      <c r="BH1823" s="5" t="s">
        <v>302</v>
      </c>
      <c r="BI1823" s="5" t="s">
        <v>303</v>
      </c>
      <c r="BJ1823" s="5" t="s">
        <v>240</v>
      </c>
      <c r="BK1823" s="8">
        <f>0</f>
        <v>0</v>
      </c>
      <c r="BL1823" s="7">
        <f>0</f>
        <v>0</v>
      </c>
      <c r="BM1823" s="5" t="s">
        <v>258</v>
      </c>
      <c r="BN1823" s="5" t="s">
        <v>259</v>
      </c>
      <c r="CB1823" s="5" t="s">
        <v>240</v>
      </c>
      <c r="CC1823" s="5" t="s">
        <v>240</v>
      </c>
      <c r="CG1823" s="5" t="s">
        <v>304</v>
      </c>
      <c r="CH1823" s="5" t="s">
        <v>305</v>
      </c>
      <c r="CI1823" s="5" t="s">
        <v>240</v>
      </c>
      <c r="CL1823" s="6" t="s">
        <v>261</v>
      </c>
      <c r="CM1823" s="5" t="s">
        <v>240</v>
      </c>
      <c r="CN1823" s="5" t="s">
        <v>263</v>
      </c>
      <c r="CO1823" s="5" t="s">
        <v>240</v>
      </c>
      <c r="CP1823" s="5" t="s">
        <v>240</v>
      </c>
      <c r="CQ1823" s="5">
        <v>0</v>
      </c>
      <c r="CR1823" s="5" t="s">
        <v>306</v>
      </c>
      <c r="CS1823" s="5" t="s">
        <v>307</v>
      </c>
      <c r="CT1823" s="5" t="s">
        <v>307</v>
      </c>
      <c r="CU1823" s="5" t="s">
        <v>260</v>
      </c>
      <c r="CX1823" s="7">
        <f>1</f>
        <v>1</v>
      </c>
      <c r="CY1823" s="7">
        <f>0</f>
        <v>0</v>
      </c>
      <c r="DA1823" s="7">
        <f>0</f>
        <v>0</v>
      </c>
      <c r="DC1823" s="5" t="s">
        <v>812</v>
      </c>
      <c r="DD1823" s="5" t="s">
        <v>240</v>
      </c>
      <c r="DF1823" s="5" t="s">
        <v>812</v>
      </c>
      <c r="DG1823" s="7">
        <f>1535</f>
        <v>1535</v>
      </c>
      <c r="DI1823" s="5" t="s">
        <v>240</v>
      </c>
      <c r="DJ1823" s="5" t="s">
        <v>240</v>
      </c>
      <c r="DK1823" s="5" t="s">
        <v>240</v>
      </c>
      <c r="DL1823" s="5" t="s">
        <v>240</v>
      </c>
      <c r="DP1823" s="5" t="s">
        <v>240</v>
      </c>
      <c r="DQ1823" s="5" t="s">
        <v>240</v>
      </c>
      <c r="DR1823" s="5" t="s">
        <v>240</v>
      </c>
      <c r="DS1823" s="5" t="s">
        <v>240</v>
      </c>
      <c r="DV1823" s="5" t="s">
        <v>813</v>
      </c>
      <c r="DW1823" s="5" t="s">
        <v>3779</v>
      </c>
      <c r="HO1823" s="5" t="s">
        <v>312</v>
      </c>
    </row>
    <row r="1824" spans="1:223" x14ac:dyDescent="0.4">
      <c r="A1824" s="5">
        <v>3522</v>
      </c>
      <c r="B1824" s="5">
        <v>1</v>
      </c>
      <c r="C1824" s="5">
        <v>1</v>
      </c>
      <c r="D1824" s="5" t="s">
        <v>297</v>
      </c>
      <c r="E1824" s="5" t="s">
        <v>245</v>
      </c>
      <c r="F1824" s="5" t="s">
        <v>254</v>
      </c>
      <c r="G1824" s="5" t="s">
        <v>240</v>
      </c>
      <c r="H1824" s="6" t="s">
        <v>6725</v>
      </c>
      <c r="I1824" s="5" t="s">
        <v>6726</v>
      </c>
      <c r="J1824" s="8">
        <f>1040.9</f>
        <v>1040.9000000000001</v>
      </c>
      <c r="K1824" s="5" t="s">
        <v>308</v>
      </c>
      <c r="L1824" s="7">
        <f>2597302</f>
        <v>2597302</v>
      </c>
      <c r="M1824" s="7">
        <f>2597302</f>
        <v>2597302</v>
      </c>
      <c r="N1824" s="5" t="s">
        <v>242</v>
      </c>
      <c r="O1824" s="5">
        <v>1</v>
      </c>
      <c r="P1824" s="5" t="s">
        <v>294</v>
      </c>
      <c r="Q1824" s="5" t="s">
        <v>266</v>
      </c>
      <c r="R1824" s="5" t="s">
        <v>240</v>
      </c>
      <c r="S1824" s="5" t="s">
        <v>240</v>
      </c>
      <c r="T1824" s="5" t="s">
        <v>296</v>
      </c>
      <c r="U1824" s="5" t="s">
        <v>244</v>
      </c>
      <c r="V1824" s="5" t="s">
        <v>240</v>
      </c>
      <c r="Y1824" s="5" t="s">
        <v>240</v>
      </c>
      <c r="Z1824" s="6" t="s">
        <v>298</v>
      </c>
      <c r="AB1824" s="6" t="s">
        <v>240</v>
      </c>
      <c r="AE1824" s="6" t="s">
        <v>299</v>
      </c>
      <c r="AF1824" s="5" t="s">
        <v>248</v>
      </c>
      <c r="AG1824" s="5" t="s">
        <v>249</v>
      </c>
      <c r="AW1824" s="5" t="s">
        <v>251</v>
      </c>
      <c r="AX1824" s="5" t="s">
        <v>240</v>
      </c>
      <c r="AY1824" s="5" t="s">
        <v>253</v>
      </c>
      <c r="AZ1824" s="5" t="s">
        <v>240</v>
      </c>
      <c r="BA1824" s="5" t="s">
        <v>255</v>
      </c>
      <c r="BB1824" s="5" t="s">
        <v>240</v>
      </c>
      <c r="BD1824" s="5" t="s">
        <v>240</v>
      </c>
      <c r="BF1824" s="5" t="s">
        <v>301</v>
      </c>
      <c r="BG1824" s="6" t="s">
        <v>299</v>
      </c>
      <c r="BH1824" s="5" t="s">
        <v>302</v>
      </c>
      <c r="BI1824" s="5" t="s">
        <v>303</v>
      </c>
      <c r="BJ1824" s="5" t="s">
        <v>240</v>
      </c>
      <c r="BK1824" s="8">
        <f>0</f>
        <v>0</v>
      </c>
      <c r="BL1824" s="7">
        <f>0</f>
        <v>0</v>
      </c>
      <c r="BM1824" s="5" t="s">
        <v>258</v>
      </c>
      <c r="BN1824" s="5" t="s">
        <v>259</v>
      </c>
      <c r="CB1824" s="5" t="s">
        <v>240</v>
      </c>
      <c r="CC1824" s="5" t="s">
        <v>240</v>
      </c>
      <c r="CG1824" s="5" t="s">
        <v>304</v>
      </c>
      <c r="CH1824" s="5" t="s">
        <v>305</v>
      </c>
      <c r="CI1824" s="5" t="s">
        <v>240</v>
      </c>
      <c r="CL1824" s="6" t="s">
        <v>261</v>
      </c>
      <c r="CM1824" s="5" t="s">
        <v>240</v>
      </c>
      <c r="CN1824" s="5" t="s">
        <v>263</v>
      </c>
      <c r="CO1824" s="5" t="s">
        <v>240</v>
      </c>
      <c r="CP1824" s="5" t="s">
        <v>240</v>
      </c>
      <c r="CQ1824" s="5">
        <v>0</v>
      </c>
      <c r="CR1824" s="5" t="s">
        <v>306</v>
      </c>
      <c r="CS1824" s="5" t="s">
        <v>307</v>
      </c>
      <c r="CT1824" s="5" t="s">
        <v>307</v>
      </c>
      <c r="CU1824" s="5" t="s">
        <v>260</v>
      </c>
      <c r="CX1824" s="7">
        <f>1</f>
        <v>1</v>
      </c>
      <c r="CY1824" s="7">
        <f>0</f>
        <v>0</v>
      </c>
      <c r="DA1824" s="7">
        <f>0</f>
        <v>0</v>
      </c>
      <c r="DC1824" s="5" t="s">
        <v>812</v>
      </c>
      <c r="DD1824" s="5" t="s">
        <v>240</v>
      </c>
      <c r="DF1824" s="5" t="s">
        <v>812</v>
      </c>
      <c r="DG1824" s="7">
        <f>269</f>
        <v>269</v>
      </c>
      <c r="DI1824" s="5" t="s">
        <v>240</v>
      </c>
      <c r="DJ1824" s="5" t="s">
        <v>240</v>
      </c>
      <c r="DK1824" s="5" t="s">
        <v>240</v>
      </c>
      <c r="DL1824" s="5" t="s">
        <v>240</v>
      </c>
      <c r="DP1824" s="5" t="s">
        <v>240</v>
      </c>
      <c r="DQ1824" s="5" t="s">
        <v>240</v>
      </c>
      <c r="DR1824" s="5" t="s">
        <v>240</v>
      </c>
      <c r="DS1824" s="5" t="s">
        <v>240</v>
      </c>
      <c r="DV1824" s="5" t="s">
        <v>813</v>
      </c>
      <c r="DW1824" s="5" t="s">
        <v>3781</v>
      </c>
      <c r="HO1824" s="5" t="s">
        <v>312</v>
      </c>
    </row>
    <row r="1825" spans="1:223" x14ac:dyDescent="0.4">
      <c r="A1825" s="5">
        <v>3523</v>
      </c>
      <c r="B1825" s="5">
        <v>1</v>
      </c>
      <c r="C1825" s="5">
        <v>1</v>
      </c>
      <c r="D1825" s="5" t="s">
        <v>297</v>
      </c>
      <c r="E1825" s="5" t="s">
        <v>245</v>
      </c>
      <c r="F1825" s="5" t="s">
        <v>254</v>
      </c>
      <c r="G1825" s="5" t="s">
        <v>240</v>
      </c>
      <c r="H1825" s="6" t="s">
        <v>6731</v>
      </c>
      <c r="I1825" s="5" t="s">
        <v>6730</v>
      </c>
      <c r="J1825" s="8">
        <f>0</f>
        <v>0</v>
      </c>
      <c r="K1825" s="5" t="s">
        <v>308</v>
      </c>
      <c r="L1825" s="7">
        <f>1552440</f>
        <v>1552440</v>
      </c>
      <c r="M1825" s="7">
        <f>1552440</f>
        <v>1552440</v>
      </c>
      <c r="N1825" s="5" t="s">
        <v>242</v>
      </c>
      <c r="O1825" s="5">
        <v>1</v>
      </c>
      <c r="P1825" s="5" t="s">
        <v>294</v>
      </c>
      <c r="Q1825" s="5" t="s">
        <v>266</v>
      </c>
      <c r="R1825" s="5" t="s">
        <v>240</v>
      </c>
      <c r="S1825" s="5" t="s">
        <v>240</v>
      </c>
      <c r="T1825" s="5" t="s">
        <v>296</v>
      </c>
      <c r="U1825" s="5" t="s">
        <v>244</v>
      </c>
      <c r="V1825" s="5" t="s">
        <v>240</v>
      </c>
      <c r="Y1825" s="5" t="s">
        <v>240</v>
      </c>
      <c r="Z1825" s="6" t="s">
        <v>298</v>
      </c>
      <c r="AB1825" s="6" t="s">
        <v>240</v>
      </c>
      <c r="AE1825" s="6" t="s">
        <v>299</v>
      </c>
      <c r="AF1825" s="5" t="s">
        <v>248</v>
      </c>
      <c r="AG1825" s="5" t="s">
        <v>249</v>
      </c>
      <c r="AW1825" s="5" t="s">
        <v>251</v>
      </c>
      <c r="AX1825" s="5" t="s">
        <v>240</v>
      </c>
      <c r="AY1825" s="5" t="s">
        <v>253</v>
      </c>
      <c r="AZ1825" s="5" t="s">
        <v>240</v>
      </c>
      <c r="BA1825" s="5" t="s">
        <v>255</v>
      </c>
      <c r="BB1825" s="5" t="s">
        <v>240</v>
      </c>
      <c r="BD1825" s="5" t="s">
        <v>240</v>
      </c>
      <c r="BF1825" s="5" t="s">
        <v>301</v>
      </c>
      <c r="BG1825" s="6" t="s">
        <v>299</v>
      </c>
      <c r="BH1825" s="5" t="s">
        <v>302</v>
      </c>
      <c r="BI1825" s="5" t="s">
        <v>303</v>
      </c>
      <c r="BJ1825" s="5" t="s">
        <v>240</v>
      </c>
      <c r="BK1825" s="8">
        <f>0</f>
        <v>0</v>
      </c>
      <c r="BL1825" s="7">
        <f>0</f>
        <v>0</v>
      </c>
      <c r="BM1825" s="5" t="s">
        <v>258</v>
      </c>
      <c r="BN1825" s="5" t="s">
        <v>259</v>
      </c>
      <c r="CB1825" s="5" t="s">
        <v>240</v>
      </c>
      <c r="CC1825" s="5" t="s">
        <v>240</v>
      </c>
      <c r="CG1825" s="5" t="s">
        <v>304</v>
      </c>
      <c r="CH1825" s="5" t="s">
        <v>305</v>
      </c>
      <c r="CI1825" s="5" t="s">
        <v>240</v>
      </c>
      <c r="CL1825" s="6" t="s">
        <v>261</v>
      </c>
      <c r="CM1825" s="5" t="s">
        <v>240</v>
      </c>
      <c r="CN1825" s="5" t="s">
        <v>263</v>
      </c>
      <c r="CO1825" s="5" t="s">
        <v>240</v>
      </c>
      <c r="CP1825" s="5" t="s">
        <v>240</v>
      </c>
      <c r="CQ1825" s="5">
        <v>0</v>
      </c>
      <c r="CR1825" s="5" t="s">
        <v>306</v>
      </c>
      <c r="CS1825" s="5" t="s">
        <v>307</v>
      </c>
      <c r="CT1825" s="5" t="s">
        <v>307</v>
      </c>
      <c r="CU1825" s="5" t="s">
        <v>260</v>
      </c>
      <c r="CX1825" s="7">
        <f>1</f>
        <v>1</v>
      </c>
      <c r="CY1825" s="7">
        <f>0</f>
        <v>0</v>
      </c>
      <c r="DA1825" s="7">
        <f>0</f>
        <v>0</v>
      </c>
      <c r="DC1825" s="5" t="s">
        <v>812</v>
      </c>
      <c r="DD1825" s="5" t="s">
        <v>240</v>
      </c>
      <c r="DF1825" s="5" t="s">
        <v>812</v>
      </c>
      <c r="DG1825" s="7">
        <f>915</f>
        <v>915</v>
      </c>
      <c r="DI1825" s="5" t="s">
        <v>240</v>
      </c>
      <c r="DJ1825" s="5" t="s">
        <v>240</v>
      </c>
      <c r="DK1825" s="5" t="s">
        <v>240</v>
      </c>
      <c r="DL1825" s="5" t="s">
        <v>240</v>
      </c>
      <c r="DP1825" s="5" t="s">
        <v>240</v>
      </c>
      <c r="DQ1825" s="5" t="s">
        <v>240</v>
      </c>
      <c r="DR1825" s="5" t="s">
        <v>240</v>
      </c>
      <c r="DS1825" s="5" t="s">
        <v>240</v>
      </c>
      <c r="DV1825" s="5" t="s">
        <v>813</v>
      </c>
      <c r="DW1825" s="5" t="s">
        <v>3783</v>
      </c>
      <c r="HO1825" s="5" t="s">
        <v>312</v>
      </c>
    </row>
    <row r="1826" spans="1:223" x14ac:dyDescent="0.4">
      <c r="A1826" s="5">
        <v>3524</v>
      </c>
      <c r="B1826" s="5">
        <v>1</v>
      </c>
      <c r="C1826" s="5">
        <v>1</v>
      </c>
      <c r="D1826" s="5" t="s">
        <v>297</v>
      </c>
      <c r="E1826" s="5" t="s">
        <v>245</v>
      </c>
      <c r="F1826" s="5" t="s">
        <v>254</v>
      </c>
      <c r="G1826" s="5" t="s">
        <v>240</v>
      </c>
      <c r="H1826" s="6" t="s">
        <v>6731</v>
      </c>
      <c r="I1826" s="5" t="s">
        <v>6733</v>
      </c>
      <c r="J1826" s="8">
        <f>96.89</f>
        <v>96.89</v>
      </c>
      <c r="K1826" s="5" t="s">
        <v>308</v>
      </c>
      <c r="L1826" s="7">
        <f>315452</f>
        <v>315452</v>
      </c>
      <c r="M1826" s="7">
        <f>315452</f>
        <v>315452</v>
      </c>
      <c r="N1826" s="5" t="s">
        <v>242</v>
      </c>
      <c r="O1826" s="5">
        <v>1</v>
      </c>
      <c r="P1826" s="5" t="s">
        <v>294</v>
      </c>
      <c r="Q1826" s="5" t="s">
        <v>266</v>
      </c>
      <c r="R1826" s="5" t="s">
        <v>240</v>
      </c>
      <c r="S1826" s="5" t="s">
        <v>240</v>
      </c>
      <c r="T1826" s="5" t="s">
        <v>296</v>
      </c>
      <c r="U1826" s="5" t="s">
        <v>244</v>
      </c>
      <c r="V1826" s="5" t="s">
        <v>240</v>
      </c>
      <c r="Y1826" s="5" t="s">
        <v>240</v>
      </c>
      <c r="Z1826" s="6" t="s">
        <v>298</v>
      </c>
      <c r="AB1826" s="6" t="s">
        <v>240</v>
      </c>
      <c r="AE1826" s="6" t="s">
        <v>299</v>
      </c>
      <c r="AF1826" s="5" t="s">
        <v>248</v>
      </c>
      <c r="AG1826" s="5" t="s">
        <v>249</v>
      </c>
      <c r="AW1826" s="5" t="s">
        <v>251</v>
      </c>
      <c r="AX1826" s="5" t="s">
        <v>240</v>
      </c>
      <c r="AY1826" s="5" t="s">
        <v>253</v>
      </c>
      <c r="AZ1826" s="5" t="s">
        <v>240</v>
      </c>
      <c r="BA1826" s="5" t="s">
        <v>255</v>
      </c>
      <c r="BB1826" s="5" t="s">
        <v>240</v>
      </c>
      <c r="BD1826" s="5" t="s">
        <v>240</v>
      </c>
      <c r="BF1826" s="5" t="s">
        <v>301</v>
      </c>
      <c r="BG1826" s="6" t="s">
        <v>299</v>
      </c>
      <c r="BH1826" s="5" t="s">
        <v>302</v>
      </c>
      <c r="BI1826" s="5" t="s">
        <v>303</v>
      </c>
      <c r="BJ1826" s="5" t="s">
        <v>240</v>
      </c>
      <c r="BK1826" s="8">
        <f>0</f>
        <v>0</v>
      </c>
      <c r="BL1826" s="7">
        <f>0</f>
        <v>0</v>
      </c>
      <c r="BM1826" s="5" t="s">
        <v>258</v>
      </c>
      <c r="BN1826" s="5" t="s">
        <v>259</v>
      </c>
      <c r="CB1826" s="5" t="s">
        <v>240</v>
      </c>
      <c r="CC1826" s="5" t="s">
        <v>240</v>
      </c>
      <c r="CG1826" s="5" t="s">
        <v>304</v>
      </c>
      <c r="CH1826" s="5" t="s">
        <v>305</v>
      </c>
      <c r="CI1826" s="5" t="s">
        <v>240</v>
      </c>
      <c r="CL1826" s="6" t="s">
        <v>261</v>
      </c>
      <c r="CM1826" s="5" t="s">
        <v>240</v>
      </c>
      <c r="CN1826" s="5" t="s">
        <v>263</v>
      </c>
      <c r="CO1826" s="5" t="s">
        <v>240</v>
      </c>
      <c r="CP1826" s="5" t="s">
        <v>240</v>
      </c>
      <c r="CQ1826" s="5">
        <v>0</v>
      </c>
      <c r="CR1826" s="5" t="s">
        <v>306</v>
      </c>
      <c r="CS1826" s="5" t="s">
        <v>307</v>
      </c>
      <c r="CT1826" s="5" t="s">
        <v>307</v>
      </c>
      <c r="CU1826" s="5" t="s">
        <v>260</v>
      </c>
      <c r="CX1826" s="7">
        <f>1</f>
        <v>1</v>
      </c>
      <c r="CY1826" s="7">
        <f>0</f>
        <v>0</v>
      </c>
      <c r="DA1826" s="7">
        <f>0</f>
        <v>0</v>
      </c>
      <c r="DC1826" s="5" t="s">
        <v>812</v>
      </c>
      <c r="DD1826" s="5" t="s">
        <v>240</v>
      </c>
      <c r="DF1826" s="5" t="s">
        <v>812</v>
      </c>
      <c r="DG1826" s="7">
        <f>132</f>
        <v>132</v>
      </c>
      <c r="DI1826" s="5" t="s">
        <v>240</v>
      </c>
      <c r="DJ1826" s="5" t="s">
        <v>240</v>
      </c>
      <c r="DK1826" s="5" t="s">
        <v>240</v>
      </c>
      <c r="DL1826" s="5" t="s">
        <v>240</v>
      </c>
      <c r="DP1826" s="5" t="s">
        <v>240</v>
      </c>
      <c r="DQ1826" s="5" t="s">
        <v>240</v>
      </c>
      <c r="DR1826" s="5" t="s">
        <v>240</v>
      </c>
      <c r="DS1826" s="5" t="s">
        <v>240</v>
      </c>
      <c r="DV1826" s="5" t="s">
        <v>813</v>
      </c>
      <c r="DW1826" s="5" t="s">
        <v>3785</v>
      </c>
      <c r="HO1826" s="5" t="s">
        <v>312</v>
      </c>
    </row>
    <row r="1827" spans="1:223" x14ac:dyDescent="0.4">
      <c r="A1827" s="5">
        <v>3525</v>
      </c>
      <c r="B1827" s="5">
        <v>1</v>
      </c>
      <c r="C1827" s="5">
        <v>1</v>
      </c>
      <c r="D1827" s="5" t="s">
        <v>297</v>
      </c>
      <c r="E1827" s="5" t="s">
        <v>245</v>
      </c>
      <c r="F1827" s="5" t="s">
        <v>254</v>
      </c>
      <c r="G1827" s="5" t="s">
        <v>240</v>
      </c>
      <c r="H1827" s="6" t="s">
        <v>446</v>
      </c>
      <c r="I1827" s="5" t="s">
        <v>443</v>
      </c>
      <c r="J1827" s="8">
        <f>14.73</f>
        <v>14.73</v>
      </c>
      <c r="K1827" s="5" t="s">
        <v>308</v>
      </c>
      <c r="L1827" s="7">
        <f>223896</f>
        <v>223896</v>
      </c>
      <c r="M1827" s="7">
        <f>223896</f>
        <v>223896</v>
      </c>
      <c r="N1827" s="5" t="s">
        <v>242</v>
      </c>
      <c r="O1827" s="5">
        <v>1</v>
      </c>
      <c r="P1827" s="5" t="s">
        <v>294</v>
      </c>
      <c r="Q1827" s="5" t="s">
        <v>266</v>
      </c>
      <c r="R1827" s="5" t="s">
        <v>240</v>
      </c>
      <c r="S1827" s="5" t="s">
        <v>240</v>
      </c>
      <c r="T1827" s="5" t="s">
        <v>296</v>
      </c>
      <c r="U1827" s="5" t="s">
        <v>244</v>
      </c>
      <c r="V1827" s="5" t="s">
        <v>240</v>
      </c>
      <c r="Y1827" s="5" t="s">
        <v>240</v>
      </c>
      <c r="Z1827" s="6" t="s">
        <v>298</v>
      </c>
      <c r="AB1827" s="6" t="s">
        <v>240</v>
      </c>
      <c r="AE1827" s="6" t="s">
        <v>299</v>
      </c>
      <c r="AF1827" s="5" t="s">
        <v>248</v>
      </c>
      <c r="AG1827" s="5" t="s">
        <v>249</v>
      </c>
      <c r="AW1827" s="5" t="s">
        <v>251</v>
      </c>
      <c r="AX1827" s="5" t="s">
        <v>240</v>
      </c>
      <c r="AY1827" s="5" t="s">
        <v>253</v>
      </c>
      <c r="AZ1827" s="5" t="s">
        <v>240</v>
      </c>
      <c r="BA1827" s="5" t="s">
        <v>255</v>
      </c>
      <c r="BB1827" s="5" t="s">
        <v>240</v>
      </c>
      <c r="BD1827" s="5" t="s">
        <v>240</v>
      </c>
      <c r="BF1827" s="5" t="s">
        <v>301</v>
      </c>
      <c r="BG1827" s="6" t="s">
        <v>299</v>
      </c>
      <c r="BH1827" s="5" t="s">
        <v>302</v>
      </c>
      <c r="BI1827" s="5" t="s">
        <v>303</v>
      </c>
      <c r="BJ1827" s="5" t="s">
        <v>240</v>
      </c>
      <c r="BK1827" s="8">
        <f>0</f>
        <v>0</v>
      </c>
      <c r="BL1827" s="7">
        <f>0</f>
        <v>0</v>
      </c>
      <c r="BM1827" s="5" t="s">
        <v>258</v>
      </c>
      <c r="BN1827" s="5" t="s">
        <v>259</v>
      </c>
      <c r="CB1827" s="5" t="s">
        <v>240</v>
      </c>
      <c r="CC1827" s="5" t="s">
        <v>240</v>
      </c>
      <c r="CG1827" s="5" t="s">
        <v>304</v>
      </c>
      <c r="CH1827" s="5" t="s">
        <v>305</v>
      </c>
      <c r="CI1827" s="5" t="s">
        <v>240</v>
      </c>
      <c r="CL1827" s="6" t="s">
        <v>261</v>
      </c>
      <c r="CM1827" s="5" t="s">
        <v>240</v>
      </c>
      <c r="CN1827" s="5" t="s">
        <v>263</v>
      </c>
      <c r="CO1827" s="5" t="s">
        <v>240</v>
      </c>
      <c r="CP1827" s="5" t="s">
        <v>240</v>
      </c>
      <c r="CQ1827" s="5">
        <v>0</v>
      </c>
      <c r="CR1827" s="5" t="s">
        <v>306</v>
      </c>
      <c r="CS1827" s="5" t="s">
        <v>307</v>
      </c>
      <c r="CT1827" s="5" t="s">
        <v>307</v>
      </c>
      <c r="CU1827" s="5" t="s">
        <v>260</v>
      </c>
      <c r="CX1827" s="7">
        <f>1</f>
        <v>1</v>
      </c>
      <c r="CY1827" s="7">
        <f>0</f>
        <v>0</v>
      </c>
      <c r="DA1827" s="7">
        <f>0</f>
        <v>0</v>
      </c>
      <c r="DC1827" s="5" t="s">
        <v>812</v>
      </c>
      <c r="DD1827" s="5" t="s">
        <v>240</v>
      </c>
      <c r="DF1827" s="5" t="s">
        <v>812</v>
      </c>
      <c r="DG1827" s="7">
        <f>2080</f>
        <v>2080</v>
      </c>
      <c r="DI1827" s="5" t="s">
        <v>240</v>
      </c>
      <c r="DJ1827" s="5" t="s">
        <v>240</v>
      </c>
      <c r="DK1827" s="5" t="s">
        <v>240</v>
      </c>
      <c r="DL1827" s="5" t="s">
        <v>240</v>
      </c>
      <c r="DP1827" s="5" t="s">
        <v>240</v>
      </c>
      <c r="DQ1827" s="5" t="s">
        <v>240</v>
      </c>
      <c r="DR1827" s="5" t="s">
        <v>240</v>
      </c>
      <c r="DS1827" s="5" t="s">
        <v>240</v>
      </c>
      <c r="DV1827" s="5" t="s">
        <v>813</v>
      </c>
      <c r="DW1827" s="5" t="s">
        <v>3787</v>
      </c>
      <c r="HO1827" s="5" t="s">
        <v>312</v>
      </c>
    </row>
    <row r="1828" spans="1:223" x14ac:dyDescent="0.4">
      <c r="A1828" s="5">
        <v>3526</v>
      </c>
      <c r="B1828" s="5">
        <v>1</v>
      </c>
      <c r="C1828" s="5">
        <v>1</v>
      </c>
      <c r="D1828" s="5" t="s">
        <v>297</v>
      </c>
      <c r="E1828" s="5" t="s">
        <v>245</v>
      </c>
      <c r="F1828" s="5" t="s">
        <v>254</v>
      </c>
      <c r="G1828" s="5" t="s">
        <v>240</v>
      </c>
      <c r="H1828" s="6" t="s">
        <v>485</v>
      </c>
      <c r="I1828" s="5" t="s">
        <v>482</v>
      </c>
      <c r="J1828" s="8">
        <f>0</f>
        <v>0</v>
      </c>
      <c r="K1828" s="5" t="s">
        <v>308</v>
      </c>
      <c r="L1828" s="7">
        <f>511731</f>
        <v>511731</v>
      </c>
      <c r="M1828" s="7">
        <f>511731</f>
        <v>511731</v>
      </c>
      <c r="N1828" s="5" t="s">
        <v>242</v>
      </c>
      <c r="O1828" s="5">
        <v>1</v>
      </c>
      <c r="P1828" s="5" t="s">
        <v>294</v>
      </c>
      <c r="Q1828" s="5" t="s">
        <v>266</v>
      </c>
      <c r="R1828" s="5" t="s">
        <v>240</v>
      </c>
      <c r="S1828" s="5" t="s">
        <v>240</v>
      </c>
      <c r="T1828" s="5" t="s">
        <v>296</v>
      </c>
      <c r="U1828" s="5" t="s">
        <v>244</v>
      </c>
      <c r="V1828" s="5" t="s">
        <v>240</v>
      </c>
      <c r="Y1828" s="5" t="s">
        <v>240</v>
      </c>
      <c r="Z1828" s="6" t="s">
        <v>298</v>
      </c>
      <c r="AB1828" s="6" t="s">
        <v>240</v>
      </c>
      <c r="AE1828" s="6" t="s">
        <v>299</v>
      </c>
      <c r="AF1828" s="5" t="s">
        <v>248</v>
      </c>
      <c r="AG1828" s="5" t="s">
        <v>249</v>
      </c>
      <c r="AW1828" s="5" t="s">
        <v>251</v>
      </c>
      <c r="AX1828" s="5" t="s">
        <v>240</v>
      </c>
      <c r="AY1828" s="5" t="s">
        <v>253</v>
      </c>
      <c r="AZ1828" s="5" t="s">
        <v>240</v>
      </c>
      <c r="BA1828" s="5" t="s">
        <v>255</v>
      </c>
      <c r="BB1828" s="5" t="s">
        <v>240</v>
      </c>
      <c r="BD1828" s="5" t="s">
        <v>240</v>
      </c>
      <c r="BF1828" s="5" t="s">
        <v>301</v>
      </c>
      <c r="BG1828" s="6" t="s">
        <v>299</v>
      </c>
      <c r="BH1828" s="5" t="s">
        <v>302</v>
      </c>
      <c r="BI1828" s="5" t="s">
        <v>303</v>
      </c>
      <c r="BJ1828" s="5" t="s">
        <v>240</v>
      </c>
      <c r="BK1828" s="8">
        <f>0</f>
        <v>0</v>
      </c>
      <c r="BL1828" s="7">
        <f>0</f>
        <v>0</v>
      </c>
      <c r="BM1828" s="5" t="s">
        <v>258</v>
      </c>
      <c r="BN1828" s="5" t="s">
        <v>259</v>
      </c>
      <c r="CB1828" s="5" t="s">
        <v>240</v>
      </c>
      <c r="CC1828" s="5" t="s">
        <v>240</v>
      </c>
      <c r="CG1828" s="5" t="s">
        <v>304</v>
      </c>
      <c r="CH1828" s="5" t="s">
        <v>305</v>
      </c>
      <c r="CI1828" s="5" t="s">
        <v>240</v>
      </c>
      <c r="CL1828" s="6" t="s">
        <v>261</v>
      </c>
      <c r="CM1828" s="5" t="s">
        <v>240</v>
      </c>
      <c r="CN1828" s="5" t="s">
        <v>263</v>
      </c>
      <c r="CO1828" s="5" t="s">
        <v>240</v>
      </c>
      <c r="CP1828" s="5" t="s">
        <v>240</v>
      </c>
      <c r="CQ1828" s="5">
        <v>0</v>
      </c>
      <c r="CR1828" s="5" t="s">
        <v>306</v>
      </c>
      <c r="CS1828" s="5" t="s">
        <v>307</v>
      </c>
      <c r="CT1828" s="5" t="s">
        <v>307</v>
      </c>
      <c r="CU1828" s="5" t="s">
        <v>260</v>
      </c>
      <c r="CX1828" s="7">
        <f>1</f>
        <v>1</v>
      </c>
      <c r="CY1828" s="7">
        <f>0</f>
        <v>0</v>
      </c>
      <c r="DA1828" s="7">
        <f>0</f>
        <v>0</v>
      </c>
      <c r="DC1828" s="5" t="s">
        <v>812</v>
      </c>
      <c r="DD1828" s="5" t="s">
        <v>240</v>
      </c>
      <c r="DF1828" s="5" t="s">
        <v>812</v>
      </c>
      <c r="DG1828" s="7">
        <f>308</f>
        <v>308</v>
      </c>
      <c r="DI1828" s="5" t="s">
        <v>240</v>
      </c>
      <c r="DJ1828" s="5" t="s">
        <v>240</v>
      </c>
      <c r="DK1828" s="5" t="s">
        <v>240</v>
      </c>
      <c r="DL1828" s="5" t="s">
        <v>240</v>
      </c>
      <c r="DP1828" s="5" t="s">
        <v>240</v>
      </c>
      <c r="DQ1828" s="5" t="s">
        <v>240</v>
      </c>
      <c r="DR1828" s="5" t="s">
        <v>240</v>
      </c>
      <c r="DS1828" s="5" t="s">
        <v>240</v>
      </c>
      <c r="DV1828" s="5" t="s">
        <v>813</v>
      </c>
      <c r="DW1828" s="5" t="s">
        <v>3789</v>
      </c>
      <c r="HO1828" s="5" t="s">
        <v>312</v>
      </c>
    </row>
    <row r="1829" spans="1:223" x14ac:dyDescent="0.4">
      <c r="A1829" s="5">
        <v>3527</v>
      </c>
      <c r="B1829" s="5">
        <v>1</v>
      </c>
      <c r="C1829" s="5">
        <v>1</v>
      </c>
      <c r="D1829" s="5" t="s">
        <v>297</v>
      </c>
      <c r="E1829" s="5" t="s">
        <v>245</v>
      </c>
      <c r="F1829" s="5" t="s">
        <v>254</v>
      </c>
      <c r="G1829" s="5" t="s">
        <v>240</v>
      </c>
      <c r="H1829" s="6" t="s">
        <v>485</v>
      </c>
      <c r="I1829" s="5" t="s">
        <v>1893</v>
      </c>
      <c r="J1829" s="8">
        <f>868.23</f>
        <v>868.23</v>
      </c>
      <c r="K1829" s="5" t="s">
        <v>308</v>
      </c>
      <c r="L1829" s="7">
        <f>3338042</f>
        <v>3338042</v>
      </c>
      <c r="M1829" s="7">
        <f>3338042</f>
        <v>3338042</v>
      </c>
      <c r="N1829" s="5" t="s">
        <v>242</v>
      </c>
      <c r="O1829" s="5">
        <v>1</v>
      </c>
      <c r="P1829" s="5" t="s">
        <v>294</v>
      </c>
      <c r="Q1829" s="5" t="s">
        <v>266</v>
      </c>
      <c r="R1829" s="5" t="s">
        <v>240</v>
      </c>
      <c r="S1829" s="5" t="s">
        <v>240</v>
      </c>
      <c r="T1829" s="5" t="s">
        <v>296</v>
      </c>
      <c r="U1829" s="5" t="s">
        <v>244</v>
      </c>
      <c r="V1829" s="5" t="s">
        <v>240</v>
      </c>
      <c r="Y1829" s="5" t="s">
        <v>240</v>
      </c>
      <c r="Z1829" s="6" t="s">
        <v>298</v>
      </c>
      <c r="AB1829" s="6" t="s">
        <v>240</v>
      </c>
      <c r="AE1829" s="6" t="s">
        <v>299</v>
      </c>
      <c r="AF1829" s="5" t="s">
        <v>248</v>
      </c>
      <c r="AG1829" s="5" t="s">
        <v>249</v>
      </c>
      <c r="AW1829" s="5" t="s">
        <v>251</v>
      </c>
      <c r="AX1829" s="5" t="s">
        <v>240</v>
      </c>
      <c r="AY1829" s="5" t="s">
        <v>253</v>
      </c>
      <c r="AZ1829" s="5" t="s">
        <v>240</v>
      </c>
      <c r="BA1829" s="5" t="s">
        <v>255</v>
      </c>
      <c r="BB1829" s="5" t="s">
        <v>240</v>
      </c>
      <c r="BD1829" s="5" t="s">
        <v>240</v>
      </c>
      <c r="BF1829" s="5" t="s">
        <v>301</v>
      </c>
      <c r="BG1829" s="6" t="s">
        <v>299</v>
      </c>
      <c r="BH1829" s="5" t="s">
        <v>302</v>
      </c>
      <c r="BI1829" s="5" t="s">
        <v>303</v>
      </c>
      <c r="BJ1829" s="5" t="s">
        <v>240</v>
      </c>
      <c r="BK1829" s="8">
        <f>0</f>
        <v>0</v>
      </c>
      <c r="BL1829" s="7">
        <f>0</f>
        <v>0</v>
      </c>
      <c r="BM1829" s="5" t="s">
        <v>258</v>
      </c>
      <c r="BN1829" s="5" t="s">
        <v>259</v>
      </c>
      <c r="CB1829" s="5" t="s">
        <v>240</v>
      </c>
      <c r="CC1829" s="5" t="s">
        <v>240</v>
      </c>
      <c r="CG1829" s="5" t="s">
        <v>304</v>
      </c>
      <c r="CH1829" s="5" t="s">
        <v>305</v>
      </c>
      <c r="CI1829" s="5" t="s">
        <v>240</v>
      </c>
      <c r="CL1829" s="6" t="s">
        <v>261</v>
      </c>
      <c r="CM1829" s="5" t="s">
        <v>240</v>
      </c>
      <c r="CN1829" s="5" t="s">
        <v>263</v>
      </c>
      <c r="CO1829" s="5" t="s">
        <v>240</v>
      </c>
      <c r="CP1829" s="5" t="s">
        <v>240</v>
      </c>
      <c r="CQ1829" s="5">
        <v>0</v>
      </c>
      <c r="CR1829" s="5" t="s">
        <v>306</v>
      </c>
      <c r="CS1829" s="5" t="s">
        <v>307</v>
      </c>
      <c r="CT1829" s="5" t="s">
        <v>307</v>
      </c>
      <c r="CU1829" s="5" t="s">
        <v>260</v>
      </c>
      <c r="CX1829" s="7">
        <f>1</f>
        <v>1</v>
      </c>
      <c r="CY1829" s="7">
        <f>0</f>
        <v>0</v>
      </c>
      <c r="DA1829" s="7">
        <f>0</f>
        <v>0</v>
      </c>
      <c r="DC1829" s="5" t="s">
        <v>812</v>
      </c>
      <c r="DD1829" s="5" t="s">
        <v>240</v>
      </c>
      <c r="DF1829" s="5" t="s">
        <v>812</v>
      </c>
      <c r="DG1829" s="7">
        <f>150</f>
        <v>150</v>
      </c>
      <c r="DI1829" s="5" t="s">
        <v>240</v>
      </c>
      <c r="DJ1829" s="5" t="s">
        <v>240</v>
      </c>
      <c r="DK1829" s="5" t="s">
        <v>240</v>
      </c>
      <c r="DL1829" s="5" t="s">
        <v>240</v>
      </c>
      <c r="DP1829" s="5" t="s">
        <v>240</v>
      </c>
      <c r="DQ1829" s="5" t="s">
        <v>240</v>
      </c>
      <c r="DR1829" s="5" t="s">
        <v>240</v>
      </c>
      <c r="DS1829" s="5" t="s">
        <v>240</v>
      </c>
      <c r="DV1829" s="5" t="s">
        <v>813</v>
      </c>
      <c r="DW1829" s="5" t="s">
        <v>3791</v>
      </c>
      <c r="HO1829" s="5" t="s">
        <v>312</v>
      </c>
    </row>
    <row r="1830" spans="1:223" x14ac:dyDescent="0.4">
      <c r="A1830" s="5">
        <v>3528</v>
      </c>
      <c r="B1830" s="5">
        <v>1</v>
      </c>
      <c r="C1830" s="5">
        <v>1</v>
      </c>
      <c r="D1830" s="5" t="s">
        <v>297</v>
      </c>
      <c r="E1830" s="5" t="s">
        <v>245</v>
      </c>
      <c r="F1830" s="5" t="s">
        <v>254</v>
      </c>
      <c r="G1830" s="5" t="s">
        <v>240</v>
      </c>
      <c r="H1830" s="6" t="s">
        <v>2668</v>
      </c>
      <c r="I1830" s="5" t="s">
        <v>2665</v>
      </c>
      <c r="J1830" s="8">
        <f>0</f>
        <v>0</v>
      </c>
      <c r="K1830" s="5" t="s">
        <v>308</v>
      </c>
      <c r="L1830" s="7">
        <f>6180610</f>
        <v>6180610</v>
      </c>
      <c r="M1830" s="7">
        <f>6180610</f>
        <v>6180610</v>
      </c>
      <c r="N1830" s="5" t="s">
        <v>242</v>
      </c>
      <c r="O1830" s="5">
        <v>1</v>
      </c>
      <c r="P1830" s="5" t="s">
        <v>294</v>
      </c>
      <c r="Q1830" s="5" t="s">
        <v>266</v>
      </c>
      <c r="R1830" s="5" t="s">
        <v>240</v>
      </c>
      <c r="S1830" s="5" t="s">
        <v>240</v>
      </c>
      <c r="T1830" s="5" t="s">
        <v>296</v>
      </c>
      <c r="U1830" s="5" t="s">
        <v>244</v>
      </c>
      <c r="V1830" s="5" t="s">
        <v>240</v>
      </c>
      <c r="Y1830" s="5" t="s">
        <v>240</v>
      </c>
      <c r="Z1830" s="6" t="s">
        <v>298</v>
      </c>
      <c r="AB1830" s="6" t="s">
        <v>240</v>
      </c>
      <c r="AE1830" s="6" t="s">
        <v>299</v>
      </c>
      <c r="AF1830" s="5" t="s">
        <v>248</v>
      </c>
      <c r="AG1830" s="5" t="s">
        <v>249</v>
      </c>
      <c r="AW1830" s="5" t="s">
        <v>251</v>
      </c>
      <c r="AX1830" s="5" t="s">
        <v>240</v>
      </c>
      <c r="AY1830" s="5" t="s">
        <v>253</v>
      </c>
      <c r="AZ1830" s="5" t="s">
        <v>240</v>
      </c>
      <c r="BA1830" s="5" t="s">
        <v>255</v>
      </c>
      <c r="BB1830" s="5" t="s">
        <v>240</v>
      </c>
      <c r="BD1830" s="5" t="s">
        <v>240</v>
      </c>
      <c r="BF1830" s="5" t="s">
        <v>301</v>
      </c>
      <c r="BG1830" s="6" t="s">
        <v>299</v>
      </c>
      <c r="BH1830" s="5" t="s">
        <v>302</v>
      </c>
      <c r="BI1830" s="5" t="s">
        <v>303</v>
      </c>
      <c r="BJ1830" s="5" t="s">
        <v>240</v>
      </c>
      <c r="BK1830" s="8">
        <f>0</f>
        <v>0</v>
      </c>
      <c r="BL1830" s="7">
        <f>0</f>
        <v>0</v>
      </c>
      <c r="BM1830" s="5" t="s">
        <v>258</v>
      </c>
      <c r="BN1830" s="5" t="s">
        <v>259</v>
      </c>
      <c r="CB1830" s="5" t="s">
        <v>240</v>
      </c>
      <c r="CC1830" s="5" t="s">
        <v>240</v>
      </c>
      <c r="CG1830" s="5" t="s">
        <v>304</v>
      </c>
      <c r="CH1830" s="5" t="s">
        <v>305</v>
      </c>
      <c r="CI1830" s="5" t="s">
        <v>240</v>
      </c>
      <c r="CL1830" s="6" t="s">
        <v>261</v>
      </c>
      <c r="CM1830" s="5" t="s">
        <v>240</v>
      </c>
      <c r="CN1830" s="5" t="s">
        <v>263</v>
      </c>
      <c r="CO1830" s="5" t="s">
        <v>240</v>
      </c>
      <c r="CP1830" s="5" t="s">
        <v>240</v>
      </c>
      <c r="CQ1830" s="5">
        <v>0</v>
      </c>
      <c r="CR1830" s="5" t="s">
        <v>306</v>
      </c>
      <c r="CS1830" s="5" t="s">
        <v>307</v>
      </c>
      <c r="CT1830" s="5" t="s">
        <v>307</v>
      </c>
      <c r="CU1830" s="5" t="s">
        <v>260</v>
      </c>
      <c r="CX1830" s="7">
        <f>1</f>
        <v>1</v>
      </c>
      <c r="CY1830" s="7">
        <f>0</f>
        <v>0</v>
      </c>
      <c r="DA1830" s="7">
        <f>0</f>
        <v>0</v>
      </c>
      <c r="DC1830" s="5" t="s">
        <v>812</v>
      </c>
      <c r="DD1830" s="5" t="s">
        <v>240</v>
      </c>
      <c r="DF1830" s="5" t="s">
        <v>812</v>
      </c>
      <c r="DG1830" s="7">
        <f>3354</f>
        <v>3354</v>
      </c>
      <c r="DI1830" s="5" t="s">
        <v>240</v>
      </c>
      <c r="DJ1830" s="5" t="s">
        <v>240</v>
      </c>
      <c r="DK1830" s="5" t="s">
        <v>240</v>
      </c>
      <c r="DL1830" s="5" t="s">
        <v>240</v>
      </c>
      <c r="DP1830" s="5" t="s">
        <v>240</v>
      </c>
      <c r="DQ1830" s="5" t="s">
        <v>240</v>
      </c>
      <c r="DR1830" s="5" t="s">
        <v>240</v>
      </c>
      <c r="DS1830" s="5" t="s">
        <v>240</v>
      </c>
      <c r="DV1830" s="5" t="s">
        <v>813</v>
      </c>
      <c r="DW1830" s="5" t="s">
        <v>3793</v>
      </c>
      <c r="HO1830" s="5" t="s">
        <v>312</v>
      </c>
    </row>
    <row r="1831" spans="1:223" x14ac:dyDescent="0.4">
      <c r="A1831" s="5">
        <v>3529</v>
      </c>
      <c r="B1831" s="5">
        <v>1</v>
      </c>
      <c r="C1831" s="5">
        <v>1</v>
      </c>
      <c r="D1831" s="5" t="s">
        <v>297</v>
      </c>
      <c r="E1831" s="5" t="s">
        <v>245</v>
      </c>
      <c r="F1831" s="5" t="s">
        <v>254</v>
      </c>
      <c r="G1831" s="5" t="s">
        <v>240</v>
      </c>
      <c r="H1831" s="6" t="s">
        <v>2668</v>
      </c>
      <c r="I1831" s="5" t="s">
        <v>3454</v>
      </c>
      <c r="J1831" s="8">
        <f>1144.05</f>
        <v>1144.05</v>
      </c>
      <c r="K1831" s="5" t="s">
        <v>308</v>
      </c>
      <c r="L1831" s="7">
        <f>2288991</f>
        <v>2288991</v>
      </c>
      <c r="M1831" s="7">
        <f>2288991</f>
        <v>2288991</v>
      </c>
      <c r="N1831" s="5" t="s">
        <v>242</v>
      </c>
      <c r="O1831" s="5">
        <v>1</v>
      </c>
      <c r="P1831" s="5" t="s">
        <v>294</v>
      </c>
      <c r="Q1831" s="5" t="s">
        <v>266</v>
      </c>
      <c r="R1831" s="5" t="s">
        <v>240</v>
      </c>
      <c r="S1831" s="5" t="s">
        <v>240</v>
      </c>
      <c r="T1831" s="5" t="s">
        <v>296</v>
      </c>
      <c r="U1831" s="5" t="s">
        <v>244</v>
      </c>
      <c r="V1831" s="5" t="s">
        <v>240</v>
      </c>
      <c r="Y1831" s="5" t="s">
        <v>240</v>
      </c>
      <c r="Z1831" s="6" t="s">
        <v>298</v>
      </c>
      <c r="AB1831" s="6" t="s">
        <v>240</v>
      </c>
      <c r="AE1831" s="6" t="s">
        <v>299</v>
      </c>
      <c r="AF1831" s="5" t="s">
        <v>248</v>
      </c>
      <c r="AG1831" s="5" t="s">
        <v>249</v>
      </c>
      <c r="AW1831" s="5" t="s">
        <v>251</v>
      </c>
      <c r="AX1831" s="5" t="s">
        <v>240</v>
      </c>
      <c r="AY1831" s="5" t="s">
        <v>253</v>
      </c>
      <c r="AZ1831" s="5" t="s">
        <v>240</v>
      </c>
      <c r="BA1831" s="5" t="s">
        <v>255</v>
      </c>
      <c r="BB1831" s="5" t="s">
        <v>240</v>
      </c>
      <c r="BD1831" s="5" t="s">
        <v>240</v>
      </c>
      <c r="BF1831" s="5" t="s">
        <v>301</v>
      </c>
      <c r="BG1831" s="6" t="s">
        <v>299</v>
      </c>
      <c r="BH1831" s="5" t="s">
        <v>302</v>
      </c>
      <c r="BI1831" s="5" t="s">
        <v>303</v>
      </c>
      <c r="BJ1831" s="5" t="s">
        <v>240</v>
      </c>
      <c r="BK1831" s="8">
        <f>0</f>
        <v>0</v>
      </c>
      <c r="BL1831" s="7">
        <f>0</f>
        <v>0</v>
      </c>
      <c r="BM1831" s="5" t="s">
        <v>258</v>
      </c>
      <c r="BN1831" s="5" t="s">
        <v>259</v>
      </c>
      <c r="CB1831" s="5" t="s">
        <v>240</v>
      </c>
      <c r="CC1831" s="5" t="s">
        <v>240</v>
      </c>
      <c r="CG1831" s="5" t="s">
        <v>304</v>
      </c>
      <c r="CH1831" s="5" t="s">
        <v>305</v>
      </c>
      <c r="CI1831" s="5" t="s">
        <v>240</v>
      </c>
      <c r="CL1831" s="6" t="s">
        <v>261</v>
      </c>
      <c r="CM1831" s="5" t="s">
        <v>240</v>
      </c>
      <c r="CN1831" s="5" t="s">
        <v>263</v>
      </c>
      <c r="CO1831" s="5" t="s">
        <v>240</v>
      </c>
      <c r="CP1831" s="5" t="s">
        <v>240</v>
      </c>
      <c r="CQ1831" s="5">
        <v>0</v>
      </c>
      <c r="CR1831" s="5" t="s">
        <v>306</v>
      </c>
      <c r="CS1831" s="5" t="s">
        <v>307</v>
      </c>
      <c r="CT1831" s="5" t="s">
        <v>307</v>
      </c>
      <c r="CU1831" s="5" t="s">
        <v>260</v>
      </c>
      <c r="CX1831" s="7">
        <f>1</f>
        <v>1</v>
      </c>
      <c r="CY1831" s="7">
        <f>0</f>
        <v>0</v>
      </c>
      <c r="DA1831" s="7">
        <f>0</f>
        <v>0</v>
      </c>
      <c r="DC1831" s="5" t="s">
        <v>812</v>
      </c>
      <c r="DD1831" s="5" t="s">
        <v>240</v>
      </c>
      <c r="DF1831" s="5" t="s">
        <v>812</v>
      </c>
      <c r="DG1831" s="7">
        <f>585</f>
        <v>585</v>
      </c>
      <c r="DI1831" s="5" t="s">
        <v>240</v>
      </c>
      <c r="DJ1831" s="5" t="s">
        <v>240</v>
      </c>
      <c r="DK1831" s="5" t="s">
        <v>240</v>
      </c>
      <c r="DL1831" s="5" t="s">
        <v>240</v>
      </c>
      <c r="DP1831" s="5" t="s">
        <v>240</v>
      </c>
      <c r="DQ1831" s="5" t="s">
        <v>240</v>
      </c>
      <c r="DR1831" s="5" t="s">
        <v>240</v>
      </c>
      <c r="DS1831" s="5" t="s">
        <v>240</v>
      </c>
      <c r="DV1831" s="5" t="s">
        <v>813</v>
      </c>
      <c r="DW1831" s="5" t="s">
        <v>3795</v>
      </c>
      <c r="HO1831" s="5" t="s">
        <v>312</v>
      </c>
    </row>
    <row r="1832" spans="1:223" x14ac:dyDescent="0.4">
      <c r="A1832" s="5">
        <v>3530</v>
      </c>
      <c r="B1832" s="5">
        <v>1</v>
      </c>
      <c r="C1832" s="5">
        <v>1</v>
      </c>
      <c r="D1832" s="5" t="s">
        <v>297</v>
      </c>
      <c r="E1832" s="5" t="s">
        <v>245</v>
      </c>
      <c r="F1832" s="5" t="s">
        <v>254</v>
      </c>
      <c r="G1832" s="5" t="s">
        <v>240</v>
      </c>
      <c r="H1832" s="6" t="s">
        <v>3466</v>
      </c>
      <c r="I1832" s="5" t="s">
        <v>3463</v>
      </c>
      <c r="J1832" s="8">
        <f>0</f>
        <v>0</v>
      </c>
      <c r="K1832" s="5" t="s">
        <v>308</v>
      </c>
      <c r="L1832" s="7">
        <f>6759000</f>
        <v>6759000</v>
      </c>
      <c r="M1832" s="7">
        <f>6759000</f>
        <v>6759000</v>
      </c>
      <c r="N1832" s="5" t="s">
        <v>242</v>
      </c>
      <c r="O1832" s="5">
        <v>1</v>
      </c>
      <c r="P1832" s="5" t="s">
        <v>294</v>
      </c>
      <c r="Q1832" s="5" t="s">
        <v>266</v>
      </c>
      <c r="R1832" s="5" t="s">
        <v>240</v>
      </c>
      <c r="S1832" s="5" t="s">
        <v>240</v>
      </c>
      <c r="T1832" s="5" t="s">
        <v>296</v>
      </c>
      <c r="U1832" s="5" t="s">
        <v>244</v>
      </c>
      <c r="V1832" s="5" t="s">
        <v>240</v>
      </c>
      <c r="Y1832" s="5" t="s">
        <v>240</v>
      </c>
      <c r="Z1832" s="6" t="s">
        <v>298</v>
      </c>
      <c r="AB1832" s="6" t="s">
        <v>240</v>
      </c>
      <c r="AE1832" s="6" t="s">
        <v>299</v>
      </c>
      <c r="AF1832" s="5" t="s">
        <v>248</v>
      </c>
      <c r="AG1832" s="5" t="s">
        <v>249</v>
      </c>
      <c r="AW1832" s="5" t="s">
        <v>251</v>
      </c>
      <c r="AX1832" s="5" t="s">
        <v>240</v>
      </c>
      <c r="AY1832" s="5" t="s">
        <v>253</v>
      </c>
      <c r="AZ1832" s="5" t="s">
        <v>240</v>
      </c>
      <c r="BA1832" s="5" t="s">
        <v>255</v>
      </c>
      <c r="BB1832" s="5" t="s">
        <v>240</v>
      </c>
      <c r="BD1832" s="5" t="s">
        <v>240</v>
      </c>
      <c r="BF1832" s="5" t="s">
        <v>301</v>
      </c>
      <c r="BG1832" s="6" t="s">
        <v>299</v>
      </c>
      <c r="BH1832" s="5" t="s">
        <v>302</v>
      </c>
      <c r="BI1832" s="5" t="s">
        <v>303</v>
      </c>
      <c r="BJ1832" s="5" t="s">
        <v>240</v>
      </c>
      <c r="BK1832" s="8">
        <f>0</f>
        <v>0</v>
      </c>
      <c r="BL1832" s="7">
        <f>0</f>
        <v>0</v>
      </c>
      <c r="BM1832" s="5" t="s">
        <v>258</v>
      </c>
      <c r="BN1832" s="5" t="s">
        <v>259</v>
      </c>
      <c r="CB1832" s="5" t="s">
        <v>240</v>
      </c>
      <c r="CC1832" s="5" t="s">
        <v>240</v>
      </c>
      <c r="CG1832" s="5" t="s">
        <v>304</v>
      </c>
      <c r="CH1832" s="5" t="s">
        <v>305</v>
      </c>
      <c r="CI1832" s="5" t="s">
        <v>240</v>
      </c>
      <c r="CL1832" s="6" t="s">
        <v>261</v>
      </c>
      <c r="CM1832" s="5" t="s">
        <v>240</v>
      </c>
      <c r="CN1832" s="5" t="s">
        <v>263</v>
      </c>
      <c r="CO1832" s="5" t="s">
        <v>240</v>
      </c>
      <c r="CP1832" s="5" t="s">
        <v>240</v>
      </c>
      <c r="CQ1832" s="5">
        <v>0</v>
      </c>
      <c r="CR1832" s="5" t="s">
        <v>306</v>
      </c>
      <c r="CS1832" s="5" t="s">
        <v>307</v>
      </c>
      <c r="CT1832" s="5" t="s">
        <v>307</v>
      </c>
      <c r="CU1832" s="5" t="s">
        <v>260</v>
      </c>
      <c r="CX1832" s="7">
        <f>1</f>
        <v>1</v>
      </c>
      <c r="CY1832" s="7">
        <f>0</f>
        <v>0</v>
      </c>
      <c r="DA1832" s="7">
        <f>0</f>
        <v>0</v>
      </c>
      <c r="DC1832" s="5" t="s">
        <v>812</v>
      </c>
      <c r="DD1832" s="5" t="s">
        <v>240</v>
      </c>
      <c r="DF1832" s="5" t="s">
        <v>812</v>
      </c>
      <c r="DG1832" s="7">
        <f>97</f>
        <v>97</v>
      </c>
      <c r="DI1832" s="5" t="s">
        <v>240</v>
      </c>
      <c r="DJ1832" s="5" t="s">
        <v>240</v>
      </c>
      <c r="DK1832" s="5" t="s">
        <v>240</v>
      </c>
      <c r="DL1832" s="5" t="s">
        <v>240</v>
      </c>
      <c r="DP1832" s="5" t="s">
        <v>240</v>
      </c>
      <c r="DQ1832" s="5" t="s">
        <v>240</v>
      </c>
      <c r="DR1832" s="5" t="s">
        <v>240</v>
      </c>
      <c r="DS1832" s="5" t="s">
        <v>240</v>
      </c>
      <c r="DV1832" s="5" t="s">
        <v>813</v>
      </c>
      <c r="DW1832" s="5" t="s">
        <v>3797</v>
      </c>
      <c r="HO1832" s="5" t="s">
        <v>312</v>
      </c>
    </row>
    <row r="1833" spans="1:223" x14ac:dyDescent="0.4">
      <c r="A1833" s="5">
        <v>3531</v>
      </c>
      <c r="B1833" s="5">
        <v>1</v>
      </c>
      <c r="C1833" s="5">
        <v>1</v>
      </c>
      <c r="D1833" s="5" t="s">
        <v>297</v>
      </c>
      <c r="E1833" s="5" t="s">
        <v>245</v>
      </c>
      <c r="F1833" s="5" t="s">
        <v>254</v>
      </c>
      <c r="G1833" s="5" t="s">
        <v>240</v>
      </c>
      <c r="H1833" s="6" t="s">
        <v>3466</v>
      </c>
      <c r="I1833" s="5" t="s">
        <v>3879</v>
      </c>
      <c r="J1833" s="8">
        <f>798.81</f>
        <v>798.81</v>
      </c>
      <c r="K1833" s="5" t="s">
        <v>308</v>
      </c>
      <c r="L1833" s="7">
        <f>1022000</f>
        <v>1022000</v>
      </c>
      <c r="M1833" s="7">
        <f>1022000</f>
        <v>1022000</v>
      </c>
      <c r="N1833" s="5" t="s">
        <v>242</v>
      </c>
      <c r="O1833" s="5">
        <v>1</v>
      </c>
      <c r="P1833" s="5" t="s">
        <v>294</v>
      </c>
      <c r="Q1833" s="5" t="s">
        <v>266</v>
      </c>
      <c r="R1833" s="5" t="s">
        <v>240</v>
      </c>
      <c r="S1833" s="5" t="s">
        <v>240</v>
      </c>
      <c r="T1833" s="5" t="s">
        <v>296</v>
      </c>
      <c r="U1833" s="5" t="s">
        <v>244</v>
      </c>
      <c r="V1833" s="5" t="s">
        <v>240</v>
      </c>
      <c r="Y1833" s="5" t="s">
        <v>240</v>
      </c>
      <c r="Z1833" s="6" t="s">
        <v>298</v>
      </c>
      <c r="AB1833" s="6" t="s">
        <v>240</v>
      </c>
      <c r="AE1833" s="6" t="s">
        <v>299</v>
      </c>
      <c r="AF1833" s="5" t="s">
        <v>248</v>
      </c>
      <c r="AG1833" s="5" t="s">
        <v>249</v>
      </c>
      <c r="AW1833" s="5" t="s">
        <v>251</v>
      </c>
      <c r="AX1833" s="5" t="s">
        <v>240</v>
      </c>
      <c r="AY1833" s="5" t="s">
        <v>253</v>
      </c>
      <c r="AZ1833" s="5" t="s">
        <v>240</v>
      </c>
      <c r="BA1833" s="5" t="s">
        <v>255</v>
      </c>
      <c r="BB1833" s="5" t="s">
        <v>240</v>
      </c>
      <c r="BD1833" s="5" t="s">
        <v>240</v>
      </c>
      <c r="BF1833" s="5" t="s">
        <v>301</v>
      </c>
      <c r="BG1833" s="6" t="s">
        <v>299</v>
      </c>
      <c r="BH1833" s="5" t="s">
        <v>302</v>
      </c>
      <c r="BI1833" s="5" t="s">
        <v>303</v>
      </c>
      <c r="BJ1833" s="5" t="s">
        <v>240</v>
      </c>
      <c r="BK1833" s="8">
        <f>0</f>
        <v>0</v>
      </c>
      <c r="BL1833" s="7">
        <f>0</f>
        <v>0</v>
      </c>
      <c r="BM1833" s="5" t="s">
        <v>258</v>
      </c>
      <c r="BN1833" s="5" t="s">
        <v>259</v>
      </c>
      <c r="CB1833" s="5" t="s">
        <v>240</v>
      </c>
      <c r="CC1833" s="5" t="s">
        <v>240</v>
      </c>
      <c r="CG1833" s="5" t="s">
        <v>304</v>
      </c>
      <c r="CH1833" s="5" t="s">
        <v>305</v>
      </c>
      <c r="CI1833" s="5" t="s">
        <v>240</v>
      </c>
      <c r="CL1833" s="6" t="s">
        <v>261</v>
      </c>
      <c r="CM1833" s="5" t="s">
        <v>240</v>
      </c>
      <c r="CN1833" s="5" t="s">
        <v>263</v>
      </c>
      <c r="CO1833" s="5" t="s">
        <v>240</v>
      </c>
      <c r="CP1833" s="5" t="s">
        <v>240</v>
      </c>
      <c r="CQ1833" s="5">
        <v>0</v>
      </c>
      <c r="CR1833" s="5" t="s">
        <v>306</v>
      </c>
      <c r="CS1833" s="5" t="s">
        <v>307</v>
      </c>
      <c r="CT1833" s="5" t="s">
        <v>307</v>
      </c>
      <c r="CU1833" s="5" t="s">
        <v>260</v>
      </c>
      <c r="CX1833" s="7">
        <f>1</f>
        <v>1</v>
      </c>
      <c r="CY1833" s="7">
        <f>0</f>
        <v>0</v>
      </c>
      <c r="DA1833" s="7">
        <f>0</f>
        <v>0</v>
      </c>
      <c r="DC1833" s="5" t="s">
        <v>812</v>
      </c>
      <c r="DD1833" s="5" t="s">
        <v>240</v>
      </c>
      <c r="DF1833" s="5" t="s">
        <v>812</v>
      </c>
      <c r="DG1833" s="7">
        <f>419</f>
        <v>419</v>
      </c>
      <c r="DI1833" s="5" t="s">
        <v>240</v>
      </c>
      <c r="DJ1833" s="5" t="s">
        <v>240</v>
      </c>
      <c r="DK1833" s="5" t="s">
        <v>240</v>
      </c>
      <c r="DL1833" s="5" t="s">
        <v>240</v>
      </c>
      <c r="DP1833" s="5" t="s">
        <v>240</v>
      </c>
      <c r="DQ1833" s="5" t="s">
        <v>240</v>
      </c>
      <c r="DR1833" s="5" t="s">
        <v>240</v>
      </c>
      <c r="DS1833" s="5" t="s">
        <v>240</v>
      </c>
      <c r="DV1833" s="5" t="s">
        <v>813</v>
      </c>
      <c r="DW1833" s="5" t="s">
        <v>3799</v>
      </c>
      <c r="HO1833" s="5" t="s">
        <v>312</v>
      </c>
    </row>
    <row r="1834" spans="1:223" x14ac:dyDescent="0.4">
      <c r="A1834" s="5">
        <v>3532</v>
      </c>
      <c r="B1834" s="5">
        <v>1</v>
      </c>
      <c r="C1834" s="5">
        <v>1</v>
      </c>
      <c r="D1834" s="5" t="s">
        <v>297</v>
      </c>
      <c r="E1834" s="5" t="s">
        <v>245</v>
      </c>
      <c r="F1834" s="5" t="s">
        <v>254</v>
      </c>
      <c r="G1834" s="5" t="s">
        <v>240</v>
      </c>
      <c r="H1834" s="6" t="s">
        <v>3904</v>
      </c>
      <c r="I1834" s="5" t="s">
        <v>3902</v>
      </c>
      <c r="J1834" s="8">
        <f>1035.24</f>
        <v>1035.24</v>
      </c>
      <c r="K1834" s="5" t="s">
        <v>308</v>
      </c>
      <c r="L1834" s="7">
        <f>2070480</f>
        <v>2070480</v>
      </c>
      <c r="M1834" s="7">
        <f>2070480</f>
        <v>2070480</v>
      </c>
      <c r="N1834" s="5" t="s">
        <v>242</v>
      </c>
      <c r="O1834" s="5">
        <v>1</v>
      </c>
      <c r="P1834" s="5" t="s">
        <v>294</v>
      </c>
      <c r="Q1834" s="5" t="s">
        <v>266</v>
      </c>
      <c r="R1834" s="5" t="s">
        <v>240</v>
      </c>
      <c r="S1834" s="5" t="s">
        <v>240</v>
      </c>
      <c r="T1834" s="5" t="s">
        <v>296</v>
      </c>
      <c r="U1834" s="5" t="s">
        <v>244</v>
      </c>
      <c r="V1834" s="5" t="s">
        <v>240</v>
      </c>
      <c r="Y1834" s="5" t="s">
        <v>240</v>
      </c>
      <c r="Z1834" s="6" t="s">
        <v>298</v>
      </c>
      <c r="AB1834" s="6" t="s">
        <v>240</v>
      </c>
      <c r="AE1834" s="6" t="s">
        <v>299</v>
      </c>
      <c r="AF1834" s="5" t="s">
        <v>248</v>
      </c>
      <c r="AG1834" s="5" t="s">
        <v>249</v>
      </c>
      <c r="AW1834" s="5" t="s">
        <v>251</v>
      </c>
      <c r="AX1834" s="5" t="s">
        <v>240</v>
      </c>
      <c r="AY1834" s="5" t="s">
        <v>253</v>
      </c>
      <c r="AZ1834" s="5" t="s">
        <v>240</v>
      </c>
      <c r="BA1834" s="5" t="s">
        <v>255</v>
      </c>
      <c r="BB1834" s="5" t="s">
        <v>240</v>
      </c>
      <c r="BD1834" s="5" t="s">
        <v>240</v>
      </c>
      <c r="BF1834" s="5" t="s">
        <v>301</v>
      </c>
      <c r="BG1834" s="6" t="s">
        <v>299</v>
      </c>
      <c r="BH1834" s="5" t="s">
        <v>302</v>
      </c>
      <c r="BI1834" s="5" t="s">
        <v>303</v>
      </c>
      <c r="BJ1834" s="5" t="s">
        <v>240</v>
      </c>
      <c r="BK1834" s="8">
        <f>0</f>
        <v>0</v>
      </c>
      <c r="BL1834" s="7">
        <f>0</f>
        <v>0</v>
      </c>
      <c r="BM1834" s="5" t="s">
        <v>258</v>
      </c>
      <c r="BN1834" s="5" t="s">
        <v>259</v>
      </c>
      <c r="CB1834" s="5" t="s">
        <v>240</v>
      </c>
      <c r="CC1834" s="5" t="s">
        <v>240</v>
      </c>
      <c r="CG1834" s="5" t="s">
        <v>304</v>
      </c>
      <c r="CH1834" s="5" t="s">
        <v>305</v>
      </c>
      <c r="CI1834" s="5" t="s">
        <v>240</v>
      </c>
      <c r="CL1834" s="6" t="s">
        <v>261</v>
      </c>
      <c r="CM1834" s="5" t="s">
        <v>240</v>
      </c>
      <c r="CN1834" s="5" t="s">
        <v>263</v>
      </c>
      <c r="CO1834" s="5" t="s">
        <v>240</v>
      </c>
      <c r="CP1834" s="5" t="s">
        <v>240</v>
      </c>
      <c r="CQ1834" s="5">
        <v>0</v>
      </c>
      <c r="CR1834" s="5" t="s">
        <v>306</v>
      </c>
      <c r="CS1834" s="5" t="s">
        <v>307</v>
      </c>
      <c r="CT1834" s="5" t="s">
        <v>307</v>
      </c>
      <c r="CU1834" s="5" t="s">
        <v>260</v>
      </c>
      <c r="CX1834" s="7">
        <f>1</f>
        <v>1</v>
      </c>
      <c r="CY1834" s="7">
        <f>0</f>
        <v>0</v>
      </c>
      <c r="DA1834" s="7">
        <f>0</f>
        <v>0</v>
      </c>
      <c r="DC1834" s="5" t="s">
        <v>812</v>
      </c>
      <c r="DD1834" s="5" t="s">
        <v>240</v>
      </c>
      <c r="DF1834" s="5" t="s">
        <v>812</v>
      </c>
      <c r="DG1834" s="7">
        <f>449</f>
        <v>449</v>
      </c>
      <c r="DI1834" s="5" t="s">
        <v>240</v>
      </c>
      <c r="DJ1834" s="5" t="s">
        <v>240</v>
      </c>
      <c r="DK1834" s="5" t="s">
        <v>240</v>
      </c>
      <c r="DL1834" s="5" t="s">
        <v>240</v>
      </c>
      <c r="DP1834" s="5" t="s">
        <v>240</v>
      </c>
      <c r="DQ1834" s="5" t="s">
        <v>240</v>
      </c>
      <c r="DR1834" s="5" t="s">
        <v>240</v>
      </c>
      <c r="DS1834" s="5" t="s">
        <v>240</v>
      </c>
      <c r="DV1834" s="5" t="s">
        <v>813</v>
      </c>
      <c r="DW1834" s="5" t="s">
        <v>3801</v>
      </c>
      <c r="HO1834" s="5" t="s">
        <v>312</v>
      </c>
    </row>
    <row r="1835" spans="1:223" x14ac:dyDescent="0.4">
      <c r="A1835" s="5">
        <v>3533</v>
      </c>
      <c r="B1835" s="5">
        <v>1</v>
      </c>
      <c r="C1835" s="5">
        <v>1</v>
      </c>
      <c r="D1835" s="5" t="s">
        <v>297</v>
      </c>
      <c r="E1835" s="5" t="s">
        <v>245</v>
      </c>
      <c r="F1835" s="5" t="s">
        <v>254</v>
      </c>
      <c r="G1835" s="5" t="s">
        <v>240</v>
      </c>
      <c r="H1835" s="6" t="s">
        <v>3925</v>
      </c>
      <c r="I1835" s="5" t="s">
        <v>3923</v>
      </c>
      <c r="J1835" s="8">
        <f>0</f>
        <v>0</v>
      </c>
      <c r="K1835" s="5" t="s">
        <v>308</v>
      </c>
      <c r="L1835" s="7">
        <f>14405020</f>
        <v>14405020</v>
      </c>
      <c r="M1835" s="7">
        <f>14405020</f>
        <v>14405020</v>
      </c>
      <c r="N1835" s="5" t="s">
        <v>242</v>
      </c>
      <c r="O1835" s="5">
        <v>1</v>
      </c>
      <c r="P1835" s="5" t="s">
        <v>294</v>
      </c>
      <c r="Q1835" s="5" t="s">
        <v>266</v>
      </c>
      <c r="R1835" s="5" t="s">
        <v>240</v>
      </c>
      <c r="S1835" s="5" t="s">
        <v>240</v>
      </c>
      <c r="T1835" s="5" t="s">
        <v>296</v>
      </c>
      <c r="U1835" s="5" t="s">
        <v>244</v>
      </c>
      <c r="V1835" s="5" t="s">
        <v>240</v>
      </c>
      <c r="Y1835" s="5" t="s">
        <v>240</v>
      </c>
      <c r="Z1835" s="6" t="s">
        <v>298</v>
      </c>
      <c r="AB1835" s="6" t="s">
        <v>240</v>
      </c>
      <c r="AE1835" s="6" t="s">
        <v>299</v>
      </c>
      <c r="AF1835" s="5" t="s">
        <v>248</v>
      </c>
      <c r="AG1835" s="5" t="s">
        <v>249</v>
      </c>
      <c r="AW1835" s="5" t="s">
        <v>251</v>
      </c>
      <c r="AX1835" s="5" t="s">
        <v>240</v>
      </c>
      <c r="AY1835" s="5" t="s">
        <v>253</v>
      </c>
      <c r="AZ1835" s="5" t="s">
        <v>240</v>
      </c>
      <c r="BA1835" s="5" t="s">
        <v>255</v>
      </c>
      <c r="BB1835" s="5" t="s">
        <v>240</v>
      </c>
      <c r="BD1835" s="5" t="s">
        <v>240</v>
      </c>
      <c r="BF1835" s="5" t="s">
        <v>301</v>
      </c>
      <c r="BG1835" s="6" t="s">
        <v>299</v>
      </c>
      <c r="BH1835" s="5" t="s">
        <v>302</v>
      </c>
      <c r="BI1835" s="5" t="s">
        <v>303</v>
      </c>
      <c r="BJ1835" s="5" t="s">
        <v>240</v>
      </c>
      <c r="BK1835" s="8">
        <f>0</f>
        <v>0</v>
      </c>
      <c r="BL1835" s="7">
        <f>0</f>
        <v>0</v>
      </c>
      <c r="BM1835" s="5" t="s">
        <v>258</v>
      </c>
      <c r="BN1835" s="5" t="s">
        <v>259</v>
      </c>
      <c r="CB1835" s="5" t="s">
        <v>240</v>
      </c>
      <c r="CC1835" s="5" t="s">
        <v>240</v>
      </c>
      <c r="CG1835" s="5" t="s">
        <v>304</v>
      </c>
      <c r="CH1835" s="5" t="s">
        <v>305</v>
      </c>
      <c r="CI1835" s="5" t="s">
        <v>240</v>
      </c>
      <c r="CL1835" s="6" t="s">
        <v>261</v>
      </c>
      <c r="CM1835" s="5" t="s">
        <v>240</v>
      </c>
      <c r="CN1835" s="5" t="s">
        <v>263</v>
      </c>
      <c r="CO1835" s="5" t="s">
        <v>240</v>
      </c>
      <c r="CP1835" s="5" t="s">
        <v>240</v>
      </c>
      <c r="CQ1835" s="5">
        <v>0</v>
      </c>
      <c r="CR1835" s="5" t="s">
        <v>306</v>
      </c>
      <c r="CS1835" s="5" t="s">
        <v>307</v>
      </c>
      <c r="CT1835" s="5" t="s">
        <v>307</v>
      </c>
      <c r="CU1835" s="5" t="s">
        <v>260</v>
      </c>
      <c r="CX1835" s="7">
        <f>1</f>
        <v>1</v>
      </c>
      <c r="CY1835" s="7">
        <f>0</f>
        <v>0</v>
      </c>
      <c r="DA1835" s="7">
        <f>0</f>
        <v>0</v>
      </c>
      <c r="DC1835" s="5" t="s">
        <v>812</v>
      </c>
      <c r="DD1835" s="5" t="s">
        <v>240</v>
      </c>
      <c r="DF1835" s="5" t="s">
        <v>812</v>
      </c>
      <c r="DG1835" s="7">
        <f>2853</f>
        <v>2853</v>
      </c>
      <c r="DI1835" s="5" t="s">
        <v>240</v>
      </c>
      <c r="DJ1835" s="5" t="s">
        <v>240</v>
      </c>
      <c r="DK1835" s="5" t="s">
        <v>240</v>
      </c>
      <c r="DL1835" s="5" t="s">
        <v>240</v>
      </c>
      <c r="DP1835" s="5" t="s">
        <v>240</v>
      </c>
      <c r="DQ1835" s="5" t="s">
        <v>240</v>
      </c>
      <c r="DR1835" s="5" t="s">
        <v>240</v>
      </c>
      <c r="DS1835" s="5" t="s">
        <v>240</v>
      </c>
      <c r="DV1835" s="5" t="s">
        <v>813</v>
      </c>
      <c r="DW1835" s="5" t="s">
        <v>3803</v>
      </c>
      <c r="HO1835" s="5" t="s">
        <v>312</v>
      </c>
    </row>
    <row r="1836" spans="1:223" x14ac:dyDescent="0.4">
      <c r="A1836" s="5">
        <v>3534</v>
      </c>
      <c r="B1836" s="5">
        <v>1</v>
      </c>
      <c r="C1836" s="5">
        <v>1</v>
      </c>
      <c r="D1836" s="5" t="s">
        <v>297</v>
      </c>
      <c r="E1836" s="5" t="s">
        <v>245</v>
      </c>
      <c r="F1836" s="5" t="s">
        <v>254</v>
      </c>
      <c r="G1836" s="5" t="s">
        <v>240</v>
      </c>
      <c r="H1836" s="6" t="s">
        <v>3925</v>
      </c>
      <c r="I1836" s="5" t="s">
        <v>3926</v>
      </c>
      <c r="J1836" s="8">
        <f>90.42</f>
        <v>90.42</v>
      </c>
      <c r="K1836" s="5" t="s">
        <v>308</v>
      </c>
      <c r="L1836" s="7">
        <f>381617</f>
        <v>381617</v>
      </c>
      <c r="M1836" s="7">
        <f>381617</f>
        <v>381617</v>
      </c>
      <c r="N1836" s="5" t="s">
        <v>242</v>
      </c>
      <c r="O1836" s="5">
        <v>1</v>
      </c>
      <c r="P1836" s="5" t="s">
        <v>294</v>
      </c>
      <c r="Q1836" s="5" t="s">
        <v>266</v>
      </c>
      <c r="R1836" s="5" t="s">
        <v>240</v>
      </c>
      <c r="S1836" s="5" t="s">
        <v>240</v>
      </c>
      <c r="T1836" s="5" t="s">
        <v>296</v>
      </c>
      <c r="U1836" s="5" t="s">
        <v>244</v>
      </c>
      <c r="V1836" s="5" t="s">
        <v>240</v>
      </c>
      <c r="Y1836" s="5" t="s">
        <v>240</v>
      </c>
      <c r="Z1836" s="6" t="s">
        <v>298</v>
      </c>
      <c r="AB1836" s="6" t="s">
        <v>240</v>
      </c>
      <c r="AE1836" s="6" t="s">
        <v>299</v>
      </c>
      <c r="AF1836" s="5" t="s">
        <v>248</v>
      </c>
      <c r="AG1836" s="5" t="s">
        <v>249</v>
      </c>
      <c r="AW1836" s="5" t="s">
        <v>251</v>
      </c>
      <c r="AX1836" s="5" t="s">
        <v>240</v>
      </c>
      <c r="AY1836" s="5" t="s">
        <v>253</v>
      </c>
      <c r="AZ1836" s="5" t="s">
        <v>240</v>
      </c>
      <c r="BA1836" s="5" t="s">
        <v>255</v>
      </c>
      <c r="BB1836" s="5" t="s">
        <v>240</v>
      </c>
      <c r="BD1836" s="5" t="s">
        <v>240</v>
      </c>
      <c r="BF1836" s="5" t="s">
        <v>301</v>
      </c>
      <c r="BG1836" s="6" t="s">
        <v>299</v>
      </c>
      <c r="BH1836" s="5" t="s">
        <v>302</v>
      </c>
      <c r="BI1836" s="5" t="s">
        <v>303</v>
      </c>
      <c r="BJ1836" s="5" t="s">
        <v>240</v>
      </c>
      <c r="BK1836" s="8">
        <f>0</f>
        <v>0</v>
      </c>
      <c r="BL1836" s="7">
        <f>0</f>
        <v>0</v>
      </c>
      <c r="BM1836" s="5" t="s">
        <v>258</v>
      </c>
      <c r="BN1836" s="5" t="s">
        <v>259</v>
      </c>
      <c r="CB1836" s="5" t="s">
        <v>240</v>
      </c>
      <c r="CC1836" s="5" t="s">
        <v>240</v>
      </c>
      <c r="CG1836" s="5" t="s">
        <v>304</v>
      </c>
      <c r="CH1836" s="5" t="s">
        <v>305</v>
      </c>
      <c r="CI1836" s="5" t="s">
        <v>240</v>
      </c>
      <c r="CL1836" s="6" t="s">
        <v>261</v>
      </c>
      <c r="CM1836" s="5" t="s">
        <v>240</v>
      </c>
      <c r="CN1836" s="5" t="s">
        <v>263</v>
      </c>
      <c r="CO1836" s="5" t="s">
        <v>240</v>
      </c>
      <c r="CP1836" s="5" t="s">
        <v>240</v>
      </c>
      <c r="CQ1836" s="5">
        <v>0</v>
      </c>
      <c r="CR1836" s="5" t="s">
        <v>306</v>
      </c>
      <c r="CS1836" s="5" t="s">
        <v>307</v>
      </c>
      <c r="CT1836" s="5" t="s">
        <v>307</v>
      </c>
      <c r="CU1836" s="5" t="s">
        <v>260</v>
      </c>
      <c r="CX1836" s="7">
        <f>1</f>
        <v>1</v>
      </c>
      <c r="CY1836" s="7">
        <f>0</f>
        <v>0</v>
      </c>
      <c r="DA1836" s="7">
        <f>0</f>
        <v>0</v>
      </c>
      <c r="DC1836" s="5" t="s">
        <v>812</v>
      </c>
      <c r="DD1836" s="5" t="s">
        <v>240</v>
      </c>
      <c r="DF1836" s="5" t="s">
        <v>812</v>
      </c>
      <c r="DG1836" s="7">
        <f>82</f>
        <v>82</v>
      </c>
      <c r="DI1836" s="5" t="s">
        <v>240</v>
      </c>
      <c r="DJ1836" s="5" t="s">
        <v>240</v>
      </c>
      <c r="DK1836" s="5" t="s">
        <v>240</v>
      </c>
      <c r="DL1836" s="5" t="s">
        <v>240</v>
      </c>
      <c r="DP1836" s="5" t="s">
        <v>240</v>
      </c>
      <c r="DQ1836" s="5" t="s">
        <v>240</v>
      </c>
      <c r="DR1836" s="5" t="s">
        <v>240</v>
      </c>
      <c r="DS1836" s="5" t="s">
        <v>240</v>
      </c>
      <c r="DV1836" s="5" t="s">
        <v>813</v>
      </c>
      <c r="DW1836" s="5" t="s">
        <v>3805</v>
      </c>
      <c r="HO1836" s="5" t="s">
        <v>312</v>
      </c>
    </row>
    <row r="1837" spans="1:223" x14ac:dyDescent="0.4">
      <c r="A1837" s="5">
        <v>3535</v>
      </c>
      <c r="B1837" s="5">
        <v>1</v>
      </c>
      <c r="C1837" s="5">
        <v>1</v>
      </c>
      <c r="D1837" s="5" t="s">
        <v>297</v>
      </c>
      <c r="E1837" s="5" t="s">
        <v>245</v>
      </c>
      <c r="F1837" s="5" t="s">
        <v>254</v>
      </c>
      <c r="G1837" s="5" t="s">
        <v>240</v>
      </c>
      <c r="H1837" s="6" t="s">
        <v>4059</v>
      </c>
      <c r="I1837" s="5" t="s">
        <v>4058</v>
      </c>
      <c r="J1837" s="8">
        <f>0</f>
        <v>0</v>
      </c>
      <c r="K1837" s="5" t="s">
        <v>308</v>
      </c>
      <c r="L1837" s="7">
        <f>3766773</f>
        <v>3766773</v>
      </c>
      <c r="M1837" s="7">
        <f>3766773</f>
        <v>3766773</v>
      </c>
      <c r="N1837" s="5" t="s">
        <v>242</v>
      </c>
      <c r="O1837" s="5">
        <v>1</v>
      </c>
      <c r="P1837" s="5" t="s">
        <v>294</v>
      </c>
      <c r="Q1837" s="5" t="s">
        <v>266</v>
      </c>
      <c r="R1837" s="5" t="s">
        <v>240</v>
      </c>
      <c r="S1837" s="5" t="s">
        <v>240</v>
      </c>
      <c r="T1837" s="5" t="s">
        <v>296</v>
      </c>
      <c r="U1837" s="5" t="s">
        <v>244</v>
      </c>
      <c r="V1837" s="5" t="s">
        <v>240</v>
      </c>
      <c r="Y1837" s="5" t="s">
        <v>240</v>
      </c>
      <c r="Z1837" s="6" t="s">
        <v>298</v>
      </c>
      <c r="AB1837" s="6" t="s">
        <v>240</v>
      </c>
      <c r="AE1837" s="6" t="s">
        <v>299</v>
      </c>
      <c r="AF1837" s="5" t="s">
        <v>248</v>
      </c>
      <c r="AG1837" s="5" t="s">
        <v>249</v>
      </c>
      <c r="AW1837" s="5" t="s">
        <v>251</v>
      </c>
      <c r="AX1837" s="5" t="s">
        <v>240</v>
      </c>
      <c r="AY1837" s="5" t="s">
        <v>253</v>
      </c>
      <c r="AZ1837" s="5" t="s">
        <v>240</v>
      </c>
      <c r="BA1837" s="5" t="s">
        <v>255</v>
      </c>
      <c r="BB1837" s="5" t="s">
        <v>240</v>
      </c>
      <c r="BD1837" s="5" t="s">
        <v>240</v>
      </c>
      <c r="BF1837" s="5" t="s">
        <v>301</v>
      </c>
      <c r="BG1837" s="6" t="s">
        <v>299</v>
      </c>
      <c r="BH1837" s="5" t="s">
        <v>302</v>
      </c>
      <c r="BI1837" s="5" t="s">
        <v>303</v>
      </c>
      <c r="BJ1837" s="5" t="s">
        <v>240</v>
      </c>
      <c r="BK1837" s="8">
        <f>0</f>
        <v>0</v>
      </c>
      <c r="BL1837" s="7">
        <f>0</f>
        <v>0</v>
      </c>
      <c r="BM1837" s="5" t="s">
        <v>258</v>
      </c>
      <c r="BN1837" s="5" t="s">
        <v>259</v>
      </c>
      <c r="CB1837" s="5" t="s">
        <v>240</v>
      </c>
      <c r="CC1837" s="5" t="s">
        <v>240</v>
      </c>
      <c r="CG1837" s="5" t="s">
        <v>304</v>
      </c>
      <c r="CH1837" s="5" t="s">
        <v>305</v>
      </c>
      <c r="CI1837" s="5" t="s">
        <v>240</v>
      </c>
      <c r="CL1837" s="6" t="s">
        <v>261</v>
      </c>
      <c r="CM1837" s="5" t="s">
        <v>240</v>
      </c>
      <c r="CN1837" s="5" t="s">
        <v>263</v>
      </c>
      <c r="CO1837" s="5" t="s">
        <v>240</v>
      </c>
      <c r="CP1837" s="5" t="s">
        <v>240</v>
      </c>
      <c r="CQ1837" s="5">
        <v>0</v>
      </c>
      <c r="CR1837" s="5" t="s">
        <v>306</v>
      </c>
      <c r="CS1837" s="5" t="s">
        <v>307</v>
      </c>
      <c r="CT1837" s="5" t="s">
        <v>307</v>
      </c>
      <c r="CU1837" s="5" t="s">
        <v>260</v>
      </c>
      <c r="CX1837" s="7">
        <f>1</f>
        <v>1</v>
      </c>
      <c r="CY1837" s="7">
        <f>0</f>
        <v>0</v>
      </c>
      <c r="DA1837" s="7">
        <f>0</f>
        <v>0</v>
      </c>
      <c r="DC1837" s="5" t="s">
        <v>812</v>
      </c>
      <c r="DD1837" s="5" t="s">
        <v>240</v>
      </c>
      <c r="DF1837" s="5" t="s">
        <v>812</v>
      </c>
      <c r="DG1837" s="7">
        <f>494</f>
        <v>494</v>
      </c>
      <c r="DI1837" s="5" t="s">
        <v>240</v>
      </c>
      <c r="DJ1837" s="5" t="s">
        <v>240</v>
      </c>
      <c r="DK1837" s="5" t="s">
        <v>240</v>
      </c>
      <c r="DL1837" s="5" t="s">
        <v>240</v>
      </c>
      <c r="DP1837" s="5" t="s">
        <v>240</v>
      </c>
      <c r="DQ1837" s="5" t="s">
        <v>240</v>
      </c>
      <c r="DR1837" s="5" t="s">
        <v>240</v>
      </c>
      <c r="DS1837" s="5" t="s">
        <v>240</v>
      </c>
      <c r="DV1837" s="5" t="s">
        <v>813</v>
      </c>
      <c r="DW1837" s="5" t="s">
        <v>3807</v>
      </c>
      <c r="HO1837" s="5" t="s">
        <v>312</v>
      </c>
    </row>
    <row r="1838" spans="1:223" x14ac:dyDescent="0.4">
      <c r="A1838" s="5">
        <v>3536</v>
      </c>
      <c r="B1838" s="5">
        <v>1</v>
      </c>
      <c r="C1838" s="5">
        <v>1</v>
      </c>
      <c r="D1838" s="5" t="s">
        <v>297</v>
      </c>
      <c r="E1838" s="5" t="s">
        <v>245</v>
      </c>
      <c r="F1838" s="5" t="s">
        <v>254</v>
      </c>
      <c r="G1838" s="5" t="s">
        <v>240</v>
      </c>
      <c r="H1838" s="6" t="s">
        <v>4059</v>
      </c>
      <c r="I1838" s="5" t="s">
        <v>5052</v>
      </c>
      <c r="J1838" s="8">
        <f>145.56</f>
        <v>145.56</v>
      </c>
      <c r="K1838" s="5" t="s">
        <v>308</v>
      </c>
      <c r="L1838" s="7">
        <f>538572</f>
        <v>538572</v>
      </c>
      <c r="M1838" s="7">
        <f>538572</f>
        <v>538572</v>
      </c>
      <c r="N1838" s="5" t="s">
        <v>242</v>
      </c>
      <c r="O1838" s="5">
        <v>1</v>
      </c>
      <c r="P1838" s="5" t="s">
        <v>294</v>
      </c>
      <c r="Q1838" s="5" t="s">
        <v>266</v>
      </c>
      <c r="R1838" s="5" t="s">
        <v>240</v>
      </c>
      <c r="S1838" s="5" t="s">
        <v>240</v>
      </c>
      <c r="T1838" s="5" t="s">
        <v>296</v>
      </c>
      <c r="U1838" s="5" t="s">
        <v>244</v>
      </c>
      <c r="V1838" s="5" t="s">
        <v>240</v>
      </c>
      <c r="Y1838" s="5" t="s">
        <v>240</v>
      </c>
      <c r="Z1838" s="6" t="s">
        <v>298</v>
      </c>
      <c r="AB1838" s="6" t="s">
        <v>240</v>
      </c>
      <c r="AE1838" s="6" t="s">
        <v>299</v>
      </c>
      <c r="AF1838" s="5" t="s">
        <v>248</v>
      </c>
      <c r="AG1838" s="5" t="s">
        <v>249</v>
      </c>
      <c r="AW1838" s="5" t="s">
        <v>251</v>
      </c>
      <c r="AX1838" s="5" t="s">
        <v>240</v>
      </c>
      <c r="AY1838" s="5" t="s">
        <v>253</v>
      </c>
      <c r="AZ1838" s="5" t="s">
        <v>240</v>
      </c>
      <c r="BA1838" s="5" t="s">
        <v>255</v>
      </c>
      <c r="BB1838" s="5" t="s">
        <v>240</v>
      </c>
      <c r="BD1838" s="5" t="s">
        <v>240</v>
      </c>
      <c r="BF1838" s="5" t="s">
        <v>301</v>
      </c>
      <c r="BG1838" s="6" t="s">
        <v>299</v>
      </c>
      <c r="BH1838" s="5" t="s">
        <v>302</v>
      </c>
      <c r="BI1838" s="5" t="s">
        <v>303</v>
      </c>
      <c r="BJ1838" s="5" t="s">
        <v>240</v>
      </c>
      <c r="BK1838" s="8">
        <f>0</f>
        <v>0</v>
      </c>
      <c r="BL1838" s="7">
        <f>0</f>
        <v>0</v>
      </c>
      <c r="BM1838" s="5" t="s">
        <v>258</v>
      </c>
      <c r="BN1838" s="5" t="s">
        <v>259</v>
      </c>
      <c r="CB1838" s="5" t="s">
        <v>240</v>
      </c>
      <c r="CC1838" s="5" t="s">
        <v>240</v>
      </c>
      <c r="CG1838" s="5" t="s">
        <v>304</v>
      </c>
      <c r="CH1838" s="5" t="s">
        <v>305</v>
      </c>
      <c r="CI1838" s="5" t="s">
        <v>240</v>
      </c>
      <c r="CL1838" s="6" t="s">
        <v>261</v>
      </c>
      <c r="CM1838" s="5" t="s">
        <v>240</v>
      </c>
      <c r="CN1838" s="5" t="s">
        <v>263</v>
      </c>
      <c r="CO1838" s="5" t="s">
        <v>240</v>
      </c>
      <c r="CP1838" s="5" t="s">
        <v>240</v>
      </c>
      <c r="CQ1838" s="5">
        <v>0</v>
      </c>
      <c r="CR1838" s="5" t="s">
        <v>306</v>
      </c>
      <c r="CS1838" s="5" t="s">
        <v>307</v>
      </c>
      <c r="CT1838" s="5" t="s">
        <v>307</v>
      </c>
      <c r="CU1838" s="5" t="s">
        <v>260</v>
      </c>
      <c r="CX1838" s="7">
        <f>1</f>
        <v>1</v>
      </c>
      <c r="CY1838" s="7">
        <f>0</f>
        <v>0</v>
      </c>
      <c r="DA1838" s="7">
        <f>0</f>
        <v>0</v>
      </c>
      <c r="DC1838" s="5" t="s">
        <v>812</v>
      </c>
      <c r="DD1838" s="5" t="s">
        <v>240</v>
      </c>
      <c r="DF1838" s="5" t="s">
        <v>812</v>
      </c>
      <c r="DG1838" s="7">
        <f>2352</f>
        <v>2352</v>
      </c>
      <c r="DI1838" s="5" t="s">
        <v>240</v>
      </c>
      <c r="DJ1838" s="5" t="s">
        <v>240</v>
      </c>
      <c r="DK1838" s="5" t="s">
        <v>240</v>
      </c>
      <c r="DL1838" s="5" t="s">
        <v>240</v>
      </c>
      <c r="DP1838" s="5" t="s">
        <v>240</v>
      </c>
      <c r="DQ1838" s="5" t="s">
        <v>240</v>
      </c>
      <c r="DR1838" s="5" t="s">
        <v>240</v>
      </c>
      <c r="DS1838" s="5" t="s">
        <v>240</v>
      </c>
      <c r="DV1838" s="5" t="s">
        <v>813</v>
      </c>
      <c r="DW1838" s="5" t="s">
        <v>3809</v>
      </c>
      <c r="HO1838" s="5" t="s">
        <v>312</v>
      </c>
    </row>
    <row r="1839" spans="1:223" x14ac:dyDescent="0.4">
      <c r="A1839" s="5">
        <v>3537</v>
      </c>
      <c r="B1839" s="5">
        <v>1</v>
      </c>
      <c r="C1839" s="5">
        <v>1</v>
      </c>
      <c r="D1839" s="5" t="s">
        <v>297</v>
      </c>
      <c r="E1839" s="5" t="s">
        <v>245</v>
      </c>
      <c r="F1839" s="5" t="s">
        <v>254</v>
      </c>
      <c r="G1839" s="5" t="s">
        <v>240</v>
      </c>
      <c r="H1839" s="6" t="s">
        <v>5073</v>
      </c>
      <c r="I1839" s="5" t="s">
        <v>5071</v>
      </c>
      <c r="J1839" s="8">
        <f>1698.09</f>
        <v>1698.09</v>
      </c>
      <c r="K1839" s="5" t="s">
        <v>308</v>
      </c>
      <c r="L1839" s="7">
        <f>9223308</f>
        <v>9223308</v>
      </c>
      <c r="M1839" s="7">
        <f>9223308</f>
        <v>9223308</v>
      </c>
      <c r="N1839" s="5" t="s">
        <v>242</v>
      </c>
      <c r="O1839" s="5">
        <v>1</v>
      </c>
      <c r="P1839" s="5" t="s">
        <v>294</v>
      </c>
      <c r="Q1839" s="5" t="s">
        <v>266</v>
      </c>
      <c r="R1839" s="5" t="s">
        <v>240</v>
      </c>
      <c r="S1839" s="5" t="s">
        <v>240</v>
      </c>
      <c r="T1839" s="5" t="s">
        <v>296</v>
      </c>
      <c r="U1839" s="5" t="s">
        <v>244</v>
      </c>
      <c r="V1839" s="5" t="s">
        <v>240</v>
      </c>
      <c r="Y1839" s="5" t="s">
        <v>240</v>
      </c>
      <c r="Z1839" s="6" t="s">
        <v>298</v>
      </c>
      <c r="AB1839" s="6" t="s">
        <v>240</v>
      </c>
      <c r="AE1839" s="6" t="s">
        <v>299</v>
      </c>
      <c r="AF1839" s="5" t="s">
        <v>248</v>
      </c>
      <c r="AG1839" s="5" t="s">
        <v>249</v>
      </c>
      <c r="AW1839" s="5" t="s">
        <v>251</v>
      </c>
      <c r="AX1839" s="5" t="s">
        <v>240</v>
      </c>
      <c r="AY1839" s="5" t="s">
        <v>253</v>
      </c>
      <c r="AZ1839" s="5" t="s">
        <v>240</v>
      </c>
      <c r="BA1839" s="5" t="s">
        <v>255</v>
      </c>
      <c r="BB1839" s="5" t="s">
        <v>240</v>
      </c>
      <c r="BD1839" s="5" t="s">
        <v>240</v>
      </c>
      <c r="BF1839" s="5" t="s">
        <v>301</v>
      </c>
      <c r="BG1839" s="6" t="s">
        <v>299</v>
      </c>
      <c r="BH1839" s="5" t="s">
        <v>302</v>
      </c>
      <c r="BI1839" s="5" t="s">
        <v>303</v>
      </c>
      <c r="BJ1839" s="5" t="s">
        <v>240</v>
      </c>
      <c r="BK1839" s="8">
        <f>0</f>
        <v>0</v>
      </c>
      <c r="BL1839" s="7">
        <f>0</f>
        <v>0</v>
      </c>
      <c r="BM1839" s="5" t="s">
        <v>258</v>
      </c>
      <c r="BN1839" s="5" t="s">
        <v>259</v>
      </c>
      <c r="CB1839" s="5" t="s">
        <v>240</v>
      </c>
      <c r="CC1839" s="5" t="s">
        <v>240</v>
      </c>
      <c r="CG1839" s="5" t="s">
        <v>304</v>
      </c>
      <c r="CH1839" s="5" t="s">
        <v>305</v>
      </c>
      <c r="CI1839" s="5" t="s">
        <v>240</v>
      </c>
      <c r="CL1839" s="6" t="s">
        <v>261</v>
      </c>
      <c r="CM1839" s="5" t="s">
        <v>240</v>
      </c>
      <c r="CN1839" s="5" t="s">
        <v>263</v>
      </c>
      <c r="CO1839" s="5" t="s">
        <v>240</v>
      </c>
      <c r="CP1839" s="5" t="s">
        <v>240</v>
      </c>
      <c r="CQ1839" s="5">
        <v>0</v>
      </c>
      <c r="CR1839" s="5" t="s">
        <v>306</v>
      </c>
      <c r="CS1839" s="5" t="s">
        <v>307</v>
      </c>
      <c r="CT1839" s="5" t="s">
        <v>307</v>
      </c>
      <c r="CU1839" s="5" t="s">
        <v>260</v>
      </c>
      <c r="CX1839" s="7">
        <f>1</f>
        <v>1</v>
      </c>
      <c r="CY1839" s="7">
        <f>0</f>
        <v>0</v>
      </c>
      <c r="DA1839" s="7">
        <f>0</f>
        <v>0</v>
      </c>
      <c r="DC1839" s="5" t="s">
        <v>812</v>
      </c>
      <c r="DD1839" s="5" t="s">
        <v>240</v>
      </c>
      <c r="DF1839" s="5" t="s">
        <v>812</v>
      </c>
      <c r="DG1839" s="7">
        <f>946</f>
        <v>946</v>
      </c>
      <c r="DI1839" s="5" t="s">
        <v>240</v>
      </c>
      <c r="DJ1839" s="5" t="s">
        <v>240</v>
      </c>
      <c r="DK1839" s="5" t="s">
        <v>240</v>
      </c>
      <c r="DL1839" s="5" t="s">
        <v>240</v>
      </c>
      <c r="DP1839" s="5" t="s">
        <v>240</v>
      </c>
      <c r="DQ1839" s="5" t="s">
        <v>240</v>
      </c>
      <c r="DR1839" s="5" t="s">
        <v>240</v>
      </c>
      <c r="DS1839" s="5" t="s">
        <v>240</v>
      </c>
      <c r="DV1839" s="5" t="s">
        <v>813</v>
      </c>
      <c r="DW1839" s="5" t="s">
        <v>3811</v>
      </c>
      <c r="HO1839" s="5" t="s">
        <v>312</v>
      </c>
    </row>
    <row r="1840" spans="1:223" x14ac:dyDescent="0.4">
      <c r="A1840" s="5">
        <v>3538</v>
      </c>
      <c r="B1840" s="5">
        <v>1</v>
      </c>
      <c r="C1840" s="5">
        <v>1</v>
      </c>
      <c r="D1840" s="5" t="s">
        <v>297</v>
      </c>
      <c r="E1840" s="5" t="s">
        <v>245</v>
      </c>
      <c r="F1840" s="5" t="s">
        <v>254</v>
      </c>
      <c r="G1840" s="5" t="s">
        <v>240</v>
      </c>
      <c r="H1840" s="6" t="s">
        <v>1595</v>
      </c>
      <c r="I1840" s="5" t="s">
        <v>5074</v>
      </c>
      <c r="J1840" s="8">
        <f>0</f>
        <v>0</v>
      </c>
      <c r="K1840" s="5" t="s">
        <v>308</v>
      </c>
      <c r="L1840" s="7">
        <f>954034</f>
        <v>954034</v>
      </c>
      <c r="M1840" s="7">
        <f>954034</f>
        <v>954034</v>
      </c>
      <c r="N1840" s="5" t="s">
        <v>242</v>
      </c>
      <c r="O1840" s="5">
        <v>1</v>
      </c>
      <c r="P1840" s="5" t="s">
        <v>294</v>
      </c>
      <c r="Q1840" s="5" t="s">
        <v>266</v>
      </c>
      <c r="R1840" s="5" t="s">
        <v>240</v>
      </c>
      <c r="S1840" s="5" t="s">
        <v>240</v>
      </c>
      <c r="T1840" s="5" t="s">
        <v>296</v>
      </c>
      <c r="U1840" s="5" t="s">
        <v>244</v>
      </c>
      <c r="V1840" s="5" t="s">
        <v>240</v>
      </c>
      <c r="Y1840" s="5" t="s">
        <v>240</v>
      </c>
      <c r="Z1840" s="6" t="s">
        <v>298</v>
      </c>
      <c r="AB1840" s="6" t="s">
        <v>240</v>
      </c>
      <c r="AE1840" s="6" t="s">
        <v>299</v>
      </c>
      <c r="AF1840" s="5" t="s">
        <v>248</v>
      </c>
      <c r="AG1840" s="5" t="s">
        <v>249</v>
      </c>
      <c r="AW1840" s="5" t="s">
        <v>251</v>
      </c>
      <c r="AX1840" s="5" t="s">
        <v>240</v>
      </c>
      <c r="AY1840" s="5" t="s">
        <v>253</v>
      </c>
      <c r="AZ1840" s="5" t="s">
        <v>240</v>
      </c>
      <c r="BA1840" s="5" t="s">
        <v>255</v>
      </c>
      <c r="BB1840" s="5" t="s">
        <v>240</v>
      </c>
      <c r="BD1840" s="5" t="s">
        <v>240</v>
      </c>
      <c r="BF1840" s="5" t="s">
        <v>301</v>
      </c>
      <c r="BG1840" s="6" t="s">
        <v>299</v>
      </c>
      <c r="BH1840" s="5" t="s">
        <v>302</v>
      </c>
      <c r="BI1840" s="5" t="s">
        <v>303</v>
      </c>
      <c r="BJ1840" s="5" t="s">
        <v>240</v>
      </c>
      <c r="BK1840" s="8">
        <f>0</f>
        <v>0</v>
      </c>
      <c r="BL1840" s="7">
        <f>0</f>
        <v>0</v>
      </c>
      <c r="BM1840" s="5" t="s">
        <v>258</v>
      </c>
      <c r="BN1840" s="5" t="s">
        <v>259</v>
      </c>
      <c r="CB1840" s="5" t="s">
        <v>240</v>
      </c>
      <c r="CC1840" s="5" t="s">
        <v>240</v>
      </c>
      <c r="CG1840" s="5" t="s">
        <v>304</v>
      </c>
      <c r="CH1840" s="5" t="s">
        <v>305</v>
      </c>
      <c r="CI1840" s="5" t="s">
        <v>240</v>
      </c>
      <c r="CL1840" s="6" t="s">
        <v>261</v>
      </c>
      <c r="CM1840" s="5" t="s">
        <v>240</v>
      </c>
      <c r="CN1840" s="5" t="s">
        <v>263</v>
      </c>
      <c r="CO1840" s="5" t="s">
        <v>240</v>
      </c>
      <c r="CP1840" s="5" t="s">
        <v>240</v>
      </c>
      <c r="CQ1840" s="5">
        <v>0</v>
      </c>
      <c r="CR1840" s="5" t="s">
        <v>306</v>
      </c>
      <c r="CS1840" s="5" t="s">
        <v>307</v>
      </c>
      <c r="CT1840" s="5" t="s">
        <v>307</v>
      </c>
      <c r="CU1840" s="5" t="s">
        <v>260</v>
      </c>
      <c r="CX1840" s="7">
        <f>1</f>
        <v>1</v>
      </c>
      <c r="CY1840" s="7">
        <f>0</f>
        <v>0</v>
      </c>
      <c r="DA1840" s="7">
        <f>0</f>
        <v>0</v>
      </c>
      <c r="DC1840" s="5" t="s">
        <v>812</v>
      </c>
      <c r="DD1840" s="5" t="s">
        <v>240</v>
      </c>
      <c r="DF1840" s="5" t="s">
        <v>812</v>
      </c>
      <c r="DG1840" s="7">
        <f>916</f>
        <v>916</v>
      </c>
      <c r="DI1840" s="5" t="s">
        <v>240</v>
      </c>
      <c r="DJ1840" s="5" t="s">
        <v>240</v>
      </c>
      <c r="DK1840" s="5" t="s">
        <v>240</v>
      </c>
      <c r="DL1840" s="5" t="s">
        <v>240</v>
      </c>
      <c r="DP1840" s="5" t="s">
        <v>240</v>
      </c>
      <c r="DQ1840" s="5" t="s">
        <v>240</v>
      </c>
      <c r="DR1840" s="5" t="s">
        <v>240</v>
      </c>
      <c r="DS1840" s="5" t="s">
        <v>240</v>
      </c>
      <c r="DV1840" s="5" t="s">
        <v>813</v>
      </c>
      <c r="DW1840" s="5" t="s">
        <v>3813</v>
      </c>
      <c r="HO1840" s="5" t="s">
        <v>312</v>
      </c>
    </row>
    <row r="1841" spans="1:223" x14ac:dyDescent="0.4">
      <c r="A1841" s="5">
        <v>3539</v>
      </c>
      <c r="B1841" s="5">
        <v>1</v>
      </c>
      <c r="C1841" s="5">
        <v>1</v>
      </c>
      <c r="D1841" s="5" t="s">
        <v>297</v>
      </c>
      <c r="E1841" s="5" t="s">
        <v>245</v>
      </c>
      <c r="F1841" s="5" t="s">
        <v>254</v>
      </c>
      <c r="G1841" s="5" t="s">
        <v>240</v>
      </c>
      <c r="H1841" s="6" t="s">
        <v>1595</v>
      </c>
      <c r="I1841" s="5" t="s">
        <v>1593</v>
      </c>
      <c r="J1841" s="8">
        <f>723.06</f>
        <v>723.06</v>
      </c>
      <c r="K1841" s="5" t="s">
        <v>308</v>
      </c>
      <c r="L1841" s="7">
        <f>1256708</f>
        <v>1256708</v>
      </c>
      <c r="M1841" s="7">
        <f>1256708</f>
        <v>1256708</v>
      </c>
      <c r="N1841" s="5" t="s">
        <v>242</v>
      </c>
      <c r="O1841" s="5">
        <v>1</v>
      </c>
      <c r="P1841" s="5" t="s">
        <v>294</v>
      </c>
      <c r="Q1841" s="5" t="s">
        <v>266</v>
      </c>
      <c r="R1841" s="5" t="s">
        <v>240</v>
      </c>
      <c r="S1841" s="5" t="s">
        <v>240</v>
      </c>
      <c r="T1841" s="5" t="s">
        <v>296</v>
      </c>
      <c r="U1841" s="5" t="s">
        <v>244</v>
      </c>
      <c r="V1841" s="5" t="s">
        <v>240</v>
      </c>
      <c r="Y1841" s="5" t="s">
        <v>240</v>
      </c>
      <c r="Z1841" s="6" t="s">
        <v>298</v>
      </c>
      <c r="AB1841" s="6" t="s">
        <v>240</v>
      </c>
      <c r="AE1841" s="6" t="s">
        <v>299</v>
      </c>
      <c r="AF1841" s="5" t="s">
        <v>248</v>
      </c>
      <c r="AG1841" s="5" t="s">
        <v>249</v>
      </c>
      <c r="AW1841" s="5" t="s">
        <v>251</v>
      </c>
      <c r="AX1841" s="5" t="s">
        <v>240</v>
      </c>
      <c r="AY1841" s="5" t="s">
        <v>253</v>
      </c>
      <c r="AZ1841" s="5" t="s">
        <v>240</v>
      </c>
      <c r="BA1841" s="5" t="s">
        <v>255</v>
      </c>
      <c r="BB1841" s="5" t="s">
        <v>240</v>
      </c>
      <c r="BD1841" s="5" t="s">
        <v>240</v>
      </c>
      <c r="BF1841" s="5" t="s">
        <v>301</v>
      </c>
      <c r="BG1841" s="6" t="s">
        <v>299</v>
      </c>
      <c r="BH1841" s="5" t="s">
        <v>302</v>
      </c>
      <c r="BI1841" s="5" t="s">
        <v>303</v>
      </c>
      <c r="BJ1841" s="5" t="s">
        <v>240</v>
      </c>
      <c r="BK1841" s="8">
        <f>0</f>
        <v>0</v>
      </c>
      <c r="BL1841" s="7">
        <f>0</f>
        <v>0</v>
      </c>
      <c r="BM1841" s="5" t="s">
        <v>258</v>
      </c>
      <c r="BN1841" s="5" t="s">
        <v>259</v>
      </c>
      <c r="CB1841" s="5" t="s">
        <v>240</v>
      </c>
      <c r="CC1841" s="5" t="s">
        <v>240</v>
      </c>
      <c r="CG1841" s="5" t="s">
        <v>304</v>
      </c>
      <c r="CH1841" s="5" t="s">
        <v>305</v>
      </c>
      <c r="CI1841" s="5" t="s">
        <v>240</v>
      </c>
      <c r="CL1841" s="6" t="s">
        <v>261</v>
      </c>
      <c r="CM1841" s="5" t="s">
        <v>240</v>
      </c>
      <c r="CN1841" s="5" t="s">
        <v>263</v>
      </c>
      <c r="CO1841" s="5" t="s">
        <v>240</v>
      </c>
      <c r="CP1841" s="5" t="s">
        <v>240</v>
      </c>
      <c r="CQ1841" s="5">
        <v>0</v>
      </c>
      <c r="CR1841" s="5" t="s">
        <v>306</v>
      </c>
      <c r="CS1841" s="5" t="s">
        <v>307</v>
      </c>
      <c r="CT1841" s="5" t="s">
        <v>307</v>
      </c>
      <c r="CU1841" s="5" t="s">
        <v>260</v>
      </c>
      <c r="CX1841" s="7">
        <f>1</f>
        <v>1</v>
      </c>
      <c r="CY1841" s="7">
        <f>0</f>
        <v>0</v>
      </c>
      <c r="DA1841" s="7">
        <f>0</f>
        <v>0</v>
      </c>
      <c r="DC1841" s="5" t="s">
        <v>812</v>
      </c>
      <c r="DD1841" s="5" t="s">
        <v>240</v>
      </c>
      <c r="DF1841" s="5" t="s">
        <v>812</v>
      </c>
      <c r="DG1841" s="7">
        <f>2479</f>
        <v>2479</v>
      </c>
      <c r="DI1841" s="5" t="s">
        <v>240</v>
      </c>
      <c r="DJ1841" s="5" t="s">
        <v>240</v>
      </c>
      <c r="DK1841" s="5" t="s">
        <v>240</v>
      </c>
      <c r="DL1841" s="5" t="s">
        <v>240</v>
      </c>
      <c r="DP1841" s="5" t="s">
        <v>240</v>
      </c>
      <c r="DQ1841" s="5" t="s">
        <v>240</v>
      </c>
      <c r="DR1841" s="5" t="s">
        <v>240</v>
      </c>
      <c r="DS1841" s="5" t="s">
        <v>240</v>
      </c>
      <c r="DV1841" s="5" t="s">
        <v>813</v>
      </c>
      <c r="DW1841" s="5" t="s">
        <v>3815</v>
      </c>
      <c r="HO1841" s="5" t="s">
        <v>312</v>
      </c>
    </row>
    <row r="1842" spans="1:223" x14ac:dyDescent="0.4">
      <c r="A1842" s="5">
        <v>3540</v>
      </c>
      <c r="B1842" s="5">
        <v>1</v>
      </c>
      <c r="C1842" s="5">
        <v>1</v>
      </c>
      <c r="D1842" s="5" t="s">
        <v>297</v>
      </c>
      <c r="E1842" s="5" t="s">
        <v>245</v>
      </c>
      <c r="F1842" s="5" t="s">
        <v>254</v>
      </c>
      <c r="G1842" s="5" t="s">
        <v>240</v>
      </c>
      <c r="H1842" s="6" t="s">
        <v>5103</v>
      </c>
      <c r="I1842" s="5" t="s">
        <v>5101</v>
      </c>
      <c r="J1842" s="8">
        <f>5435.17</f>
        <v>5435.17</v>
      </c>
      <c r="K1842" s="5" t="s">
        <v>308</v>
      </c>
      <c r="L1842" s="7">
        <f>23371231</f>
        <v>23371231</v>
      </c>
      <c r="M1842" s="7">
        <f>23371231</f>
        <v>23371231</v>
      </c>
      <c r="N1842" s="5" t="s">
        <v>242</v>
      </c>
      <c r="O1842" s="5">
        <v>1</v>
      </c>
      <c r="P1842" s="5" t="s">
        <v>294</v>
      </c>
      <c r="Q1842" s="5" t="s">
        <v>266</v>
      </c>
      <c r="R1842" s="5" t="s">
        <v>240</v>
      </c>
      <c r="S1842" s="5" t="s">
        <v>240</v>
      </c>
      <c r="T1842" s="5" t="s">
        <v>296</v>
      </c>
      <c r="U1842" s="5" t="s">
        <v>244</v>
      </c>
      <c r="V1842" s="5" t="s">
        <v>240</v>
      </c>
      <c r="Y1842" s="5" t="s">
        <v>240</v>
      </c>
      <c r="Z1842" s="6" t="s">
        <v>298</v>
      </c>
      <c r="AB1842" s="6" t="s">
        <v>240</v>
      </c>
      <c r="AE1842" s="6" t="s">
        <v>299</v>
      </c>
      <c r="AF1842" s="5" t="s">
        <v>248</v>
      </c>
      <c r="AG1842" s="5" t="s">
        <v>249</v>
      </c>
      <c r="AW1842" s="5" t="s">
        <v>251</v>
      </c>
      <c r="AX1842" s="5" t="s">
        <v>240</v>
      </c>
      <c r="AY1842" s="5" t="s">
        <v>253</v>
      </c>
      <c r="AZ1842" s="5" t="s">
        <v>240</v>
      </c>
      <c r="BA1842" s="5" t="s">
        <v>255</v>
      </c>
      <c r="BB1842" s="5" t="s">
        <v>240</v>
      </c>
      <c r="BD1842" s="5" t="s">
        <v>240</v>
      </c>
      <c r="BF1842" s="5" t="s">
        <v>301</v>
      </c>
      <c r="BG1842" s="6" t="s">
        <v>299</v>
      </c>
      <c r="BH1842" s="5" t="s">
        <v>302</v>
      </c>
      <c r="BI1842" s="5" t="s">
        <v>303</v>
      </c>
      <c r="BJ1842" s="5" t="s">
        <v>240</v>
      </c>
      <c r="BK1842" s="8">
        <f>0</f>
        <v>0</v>
      </c>
      <c r="BL1842" s="7">
        <f>0</f>
        <v>0</v>
      </c>
      <c r="BM1842" s="5" t="s">
        <v>258</v>
      </c>
      <c r="BN1842" s="5" t="s">
        <v>259</v>
      </c>
      <c r="CB1842" s="5" t="s">
        <v>240</v>
      </c>
      <c r="CC1842" s="5" t="s">
        <v>240</v>
      </c>
      <c r="CG1842" s="5" t="s">
        <v>304</v>
      </c>
      <c r="CH1842" s="5" t="s">
        <v>305</v>
      </c>
      <c r="CI1842" s="5" t="s">
        <v>240</v>
      </c>
      <c r="CL1842" s="6" t="s">
        <v>261</v>
      </c>
      <c r="CM1842" s="5" t="s">
        <v>240</v>
      </c>
      <c r="CN1842" s="5" t="s">
        <v>263</v>
      </c>
      <c r="CO1842" s="5" t="s">
        <v>240</v>
      </c>
      <c r="CP1842" s="5" t="s">
        <v>240</v>
      </c>
      <c r="CQ1842" s="5">
        <v>0</v>
      </c>
      <c r="CR1842" s="5" t="s">
        <v>306</v>
      </c>
      <c r="CS1842" s="5" t="s">
        <v>307</v>
      </c>
      <c r="CT1842" s="5" t="s">
        <v>307</v>
      </c>
      <c r="CU1842" s="5" t="s">
        <v>260</v>
      </c>
      <c r="CX1842" s="7">
        <f>1</f>
        <v>1</v>
      </c>
      <c r="CY1842" s="7">
        <f>0</f>
        <v>0</v>
      </c>
      <c r="DA1842" s="7">
        <f>0</f>
        <v>0</v>
      </c>
      <c r="DC1842" s="5" t="s">
        <v>812</v>
      </c>
      <c r="DD1842" s="5" t="s">
        <v>240</v>
      </c>
      <c r="DF1842" s="5" t="s">
        <v>812</v>
      </c>
      <c r="DG1842" s="7">
        <f>803</f>
        <v>803</v>
      </c>
      <c r="DI1842" s="5" t="s">
        <v>240</v>
      </c>
      <c r="DJ1842" s="5" t="s">
        <v>240</v>
      </c>
      <c r="DK1842" s="5" t="s">
        <v>240</v>
      </c>
      <c r="DL1842" s="5" t="s">
        <v>240</v>
      </c>
      <c r="DP1842" s="5" t="s">
        <v>240</v>
      </c>
      <c r="DQ1842" s="5" t="s">
        <v>240</v>
      </c>
      <c r="DR1842" s="5" t="s">
        <v>240</v>
      </c>
      <c r="DS1842" s="5" t="s">
        <v>240</v>
      </c>
      <c r="DV1842" s="5" t="s">
        <v>813</v>
      </c>
      <c r="DW1842" s="5" t="s">
        <v>3817</v>
      </c>
      <c r="HO1842" s="5" t="s">
        <v>312</v>
      </c>
    </row>
    <row r="1843" spans="1:223" x14ac:dyDescent="0.4">
      <c r="A1843" s="5">
        <v>3541</v>
      </c>
      <c r="B1843" s="5">
        <v>1</v>
      </c>
      <c r="C1843" s="5">
        <v>1</v>
      </c>
      <c r="D1843" s="5" t="s">
        <v>297</v>
      </c>
      <c r="E1843" s="5" t="s">
        <v>245</v>
      </c>
      <c r="F1843" s="5" t="s">
        <v>254</v>
      </c>
      <c r="G1843" s="5" t="s">
        <v>5276</v>
      </c>
      <c r="H1843" s="6" t="s">
        <v>5277</v>
      </c>
      <c r="I1843" s="5" t="s">
        <v>5293</v>
      </c>
      <c r="J1843" s="8">
        <f>744</f>
        <v>744</v>
      </c>
      <c r="K1843" s="5" t="s">
        <v>308</v>
      </c>
      <c r="L1843" s="7">
        <f>4921632</f>
        <v>4921632</v>
      </c>
      <c r="M1843" s="7">
        <f>4921632</f>
        <v>4921632</v>
      </c>
      <c r="N1843" s="5" t="s">
        <v>242</v>
      </c>
      <c r="O1843" s="5">
        <v>1</v>
      </c>
      <c r="P1843" s="5" t="s">
        <v>294</v>
      </c>
      <c r="Q1843" s="5" t="s">
        <v>266</v>
      </c>
      <c r="R1843" s="5" t="s">
        <v>240</v>
      </c>
      <c r="S1843" s="5" t="s">
        <v>240</v>
      </c>
      <c r="T1843" s="5" t="s">
        <v>296</v>
      </c>
      <c r="U1843" s="5" t="s">
        <v>244</v>
      </c>
      <c r="V1843" s="5" t="s">
        <v>240</v>
      </c>
      <c r="Y1843" s="5" t="s">
        <v>240</v>
      </c>
      <c r="Z1843" s="6" t="s">
        <v>298</v>
      </c>
      <c r="AB1843" s="6" t="s">
        <v>240</v>
      </c>
      <c r="AE1843" s="6" t="s">
        <v>299</v>
      </c>
      <c r="AF1843" s="5" t="s">
        <v>248</v>
      </c>
      <c r="AG1843" s="5" t="s">
        <v>249</v>
      </c>
      <c r="AW1843" s="5" t="s">
        <v>251</v>
      </c>
      <c r="AX1843" s="5" t="s">
        <v>240</v>
      </c>
      <c r="AY1843" s="5" t="s">
        <v>253</v>
      </c>
      <c r="AZ1843" s="5" t="s">
        <v>240</v>
      </c>
      <c r="BA1843" s="5" t="s">
        <v>255</v>
      </c>
      <c r="BB1843" s="5" t="s">
        <v>240</v>
      </c>
      <c r="BD1843" s="5" t="s">
        <v>240</v>
      </c>
      <c r="BF1843" s="5" t="s">
        <v>301</v>
      </c>
      <c r="BG1843" s="6" t="s">
        <v>299</v>
      </c>
      <c r="BH1843" s="5" t="s">
        <v>302</v>
      </c>
      <c r="BI1843" s="5" t="s">
        <v>303</v>
      </c>
      <c r="BJ1843" s="5" t="s">
        <v>240</v>
      </c>
      <c r="BK1843" s="8">
        <f>0</f>
        <v>0</v>
      </c>
      <c r="BL1843" s="7">
        <f>0</f>
        <v>0</v>
      </c>
      <c r="BM1843" s="5" t="s">
        <v>258</v>
      </c>
      <c r="BN1843" s="5" t="s">
        <v>259</v>
      </c>
      <c r="CB1843" s="5" t="s">
        <v>240</v>
      </c>
      <c r="CC1843" s="5" t="s">
        <v>240</v>
      </c>
      <c r="CG1843" s="5" t="s">
        <v>304</v>
      </c>
      <c r="CH1843" s="5" t="s">
        <v>305</v>
      </c>
      <c r="CI1843" s="5" t="s">
        <v>240</v>
      </c>
      <c r="CL1843" s="6" t="s">
        <v>261</v>
      </c>
      <c r="CM1843" s="5" t="s">
        <v>240</v>
      </c>
      <c r="CN1843" s="5" t="s">
        <v>263</v>
      </c>
      <c r="CO1843" s="5" t="s">
        <v>240</v>
      </c>
      <c r="CP1843" s="5" t="s">
        <v>240</v>
      </c>
      <c r="CQ1843" s="5">
        <v>0</v>
      </c>
      <c r="CR1843" s="5" t="s">
        <v>306</v>
      </c>
      <c r="CS1843" s="5" t="s">
        <v>307</v>
      </c>
      <c r="CT1843" s="5" t="s">
        <v>307</v>
      </c>
      <c r="CU1843" s="5" t="s">
        <v>260</v>
      </c>
      <c r="CX1843" s="7">
        <f>1</f>
        <v>1</v>
      </c>
      <c r="CY1843" s="7">
        <f>0</f>
        <v>0</v>
      </c>
      <c r="DA1843" s="7">
        <f>0</f>
        <v>0</v>
      </c>
      <c r="DC1843" s="5" t="s">
        <v>812</v>
      </c>
      <c r="DD1843" s="5" t="s">
        <v>240</v>
      </c>
      <c r="DF1843" s="5" t="s">
        <v>812</v>
      </c>
      <c r="DG1843" s="7">
        <f>778</f>
        <v>778</v>
      </c>
      <c r="DI1843" s="5" t="s">
        <v>240</v>
      </c>
      <c r="DJ1843" s="5" t="s">
        <v>240</v>
      </c>
      <c r="DK1843" s="5" t="s">
        <v>240</v>
      </c>
      <c r="DL1843" s="5" t="s">
        <v>240</v>
      </c>
      <c r="DP1843" s="5" t="s">
        <v>240</v>
      </c>
      <c r="DQ1843" s="5" t="s">
        <v>240</v>
      </c>
      <c r="DR1843" s="5" t="s">
        <v>240</v>
      </c>
      <c r="DS1843" s="5" t="s">
        <v>240</v>
      </c>
      <c r="DV1843" s="5" t="s">
        <v>813</v>
      </c>
      <c r="DW1843" s="5" t="s">
        <v>3819</v>
      </c>
      <c r="HO1843" s="5" t="s">
        <v>312</v>
      </c>
    </row>
    <row r="1844" spans="1:223" x14ac:dyDescent="0.4">
      <c r="A1844" s="5">
        <v>3542</v>
      </c>
      <c r="B1844" s="5">
        <v>1</v>
      </c>
      <c r="C1844" s="5">
        <v>1</v>
      </c>
      <c r="D1844" s="5" t="s">
        <v>297</v>
      </c>
      <c r="E1844" s="5" t="s">
        <v>245</v>
      </c>
      <c r="F1844" s="5" t="s">
        <v>254</v>
      </c>
      <c r="G1844" s="5" t="s">
        <v>5276</v>
      </c>
      <c r="H1844" s="6" t="s">
        <v>5277</v>
      </c>
      <c r="I1844" s="5" t="s">
        <v>5294</v>
      </c>
      <c r="J1844" s="8">
        <f>1202</f>
        <v>1202</v>
      </c>
      <c r="K1844" s="5" t="s">
        <v>308</v>
      </c>
      <c r="L1844" s="7">
        <f>7951346</f>
        <v>7951346</v>
      </c>
      <c r="M1844" s="7">
        <f>7951346</f>
        <v>7951346</v>
      </c>
      <c r="N1844" s="5" t="s">
        <v>242</v>
      </c>
      <c r="O1844" s="5">
        <v>1</v>
      </c>
      <c r="P1844" s="5" t="s">
        <v>294</v>
      </c>
      <c r="Q1844" s="5" t="s">
        <v>266</v>
      </c>
      <c r="R1844" s="5" t="s">
        <v>240</v>
      </c>
      <c r="S1844" s="5" t="s">
        <v>240</v>
      </c>
      <c r="T1844" s="5" t="s">
        <v>296</v>
      </c>
      <c r="U1844" s="5" t="s">
        <v>244</v>
      </c>
      <c r="V1844" s="5" t="s">
        <v>240</v>
      </c>
      <c r="Y1844" s="5" t="s">
        <v>240</v>
      </c>
      <c r="Z1844" s="6" t="s">
        <v>298</v>
      </c>
      <c r="AB1844" s="6" t="s">
        <v>240</v>
      </c>
      <c r="AE1844" s="6" t="s">
        <v>299</v>
      </c>
      <c r="AF1844" s="5" t="s">
        <v>248</v>
      </c>
      <c r="AG1844" s="5" t="s">
        <v>249</v>
      </c>
      <c r="AW1844" s="5" t="s">
        <v>251</v>
      </c>
      <c r="AX1844" s="5" t="s">
        <v>240</v>
      </c>
      <c r="AY1844" s="5" t="s">
        <v>253</v>
      </c>
      <c r="AZ1844" s="5" t="s">
        <v>240</v>
      </c>
      <c r="BA1844" s="5" t="s">
        <v>255</v>
      </c>
      <c r="BB1844" s="5" t="s">
        <v>240</v>
      </c>
      <c r="BD1844" s="5" t="s">
        <v>240</v>
      </c>
      <c r="BF1844" s="5" t="s">
        <v>301</v>
      </c>
      <c r="BG1844" s="6" t="s">
        <v>299</v>
      </c>
      <c r="BH1844" s="5" t="s">
        <v>302</v>
      </c>
      <c r="BI1844" s="5" t="s">
        <v>303</v>
      </c>
      <c r="BJ1844" s="5" t="s">
        <v>240</v>
      </c>
      <c r="BK1844" s="8">
        <f>0</f>
        <v>0</v>
      </c>
      <c r="BL1844" s="7">
        <f>0</f>
        <v>0</v>
      </c>
      <c r="BM1844" s="5" t="s">
        <v>258</v>
      </c>
      <c r="BN1844" s="5" t="s">
        <v>259</v>
      </c>
      <c r="CB1844" s="5" t="s">
        <v>240</v>
      </c>
      <c r="CC1844" s="5" t="s">
        <v>240</v>
      </c>
      <c r="CG1844" s="5" t="s">
        <v>304</v>
      </c>
      <c r="CH1844" s="5" t="s">
        <v>305</v>
      </c>
      <c r="CI1844" s="5" t="s">
        <v>240</v>
      </c>
      <c r="CL1844" s="6" t="s">
        <v>261</v>
      </c>
      <c r="CM1844" s="5" t="s">
        <v>240</v>
      </c>
      <c r="CN1844" s="5" t="s">
        <v>263</v>
      </c>
      <c r="CO1844" s="5" t="s">
        <v>240</v>
      </c>
      <c r="CP1844" s="5" t="s">
        <v>240</v>
      </c>
      <c r="CQ1844" s="5">
        <v>0</v>
      </c>
      <c r="CR1844" s="5" t="s">
        <v>306</v>
      </c>
      <c r="CS1844" s="5" t="s">
        <v>307</v>
      </c>
      <c r="CT1844" s="5" t="s">
        <v>307</v>
      </c>
      <c r="CU1844" s="5" t="s">
        <v>260</v>
      </c>
      <c r="CX1844" s="7">
        <f>1</f>
        <v>1</v>
      </c>
      <c r="CY1844" s="7">
        <f>0</f>
        <v>0</v>
      </c>
      <c r="DA1844" s="7">
        <f>0</f>
        <v>0</v>
      </c>
      <c r="DC1844" s="5" t="s">
        <v>812</v>
      </c>
      <c r="DD1844" s="5" t="s">
        <v>240</v>
      </c>
      <c r="DF1844" s="5" t="s">
        <v>812</v>
      </c>
      <c r="DG1844" s="7">
        <f>3005</f>
        <v>3005</v>
      </c>
      <c r="DI1844" s="5" t="s">
        <v>240</v>
      </c>
      <c r="DJ1844" s="5" t="s">
        <v>240</v>
      </c>
      <c r="DK1844" s="5" t="s">
        <v>240</v>
      </c>
      <c r="DL1844" s="5" t="s">
        <v>240</v>
      </c>
      <c r="DP1844" s="5" t="s">
        <v>240</v>
      </c>
      <c r="DQ1844" s="5" t="s">
        <v>240</v>
      </c>
      <c r="DR1844" s="5" t="s">
        <v>240</v>
      </c>
      <c r="DS1844" s="5" t="s">
        <v>240</v>
      </c>
      <c r="DV1844" s="5" t="s">
        <v>813</v>
      </c>
      <c r="DW1844" s="5" t="s">
        <v>3821</v>
      </c>
      <c r="HO1844" s="5" t="s">
        <v>312</v>
      </c>
    </row>
    <row r="1845" spans="1:223" x14ac:dyDescent="0.4">
      <c r="A1845" s="5">
        <v>3543</v>
      </c>
      <c r="B1845" s="5">
        <v>1</v>
      </c>
      <c r="C1845" s="5">
        <v>1</v>
      </c>
      <c r="D1845" s="5" t="s">
        <v>297</v>
      </c>
      <c r="E1845" s="5" t="s">
        <v>245</v>
      </c>
      <c r="F1845" s="5" t="s">
        <v>254</v>
      </c>
      <c r="G1845" s="5" t="s">
        <v>5276</v>
      </c>
      <c r="H1845" s="6" t="s">
        <v>5277</v>
      </c>
      <c r="I1845" s="5" t="s">
        <v>5274</v>
      </c>
      <c r="J1845" s="8">
        <f>188</f>
        <v>188</v>
      </c>
      <c r="K1845" s="5" t="s">
        <v>308</v>
      </c>
      <c r="L1845" s="7">
        <f>1243638</f>
        <v>1243638</v>
      </c>
      <c r="M1845" s="7">
        <f>1243638</f>
        <v>1243638</v>
      </c>
      <c r="N1845" s="5" t="s">
        <v>242</v>
      </c>
      <c r="O1845" s="5">
        <v>1</v>
      </c>
      <c r="P1845" s="5" t="s">
        <v>294</v>
      </c>
      <c r="Q1845" s="5" t="s">
        <v>266</v>
      </c>
      <c r="R1845" s="5" t="s">
        <v>240</v>
      </c>
      <c r="S1845" s="5" t="s">
        <v>240</v>
      </c>
      <c r="T1845" s="5" t="s">
        <v>296</v>
      </c>
      <c r="U1845" s="5" t="s">
        <v>244</v>
      </c>
      <c r="V1845" s="5" t="s">
        <v>240</v>
      </c>
      <c r="Y1845" s="5" t="s">
        <v>240</v>
      </c>
      <c r="Z1845" s="6" t="s">
        <v>298</v>
      </c>
      <c r="AB1845" s="6" t="s">
        <v>240</v>
      </c>
      <c r="AE1845" s="6" t="s">
        <v>299</v>
      </c>
      <c r="AF1845" s="5" t="s">
        <v>248</v>
      </c>
      <c r="AG1845" s="5" t="s">
        <v>249</v>
      </c>
      <c r="AW1845" s="5" t="s">
        <v>251</v>
      </c>
      <c r="AX1845" s="5" t="s">
        <v>240</v>
      </c>
      <c r="AY1845" s="5" t="s">
        <v>253</v>
      </c>
      <c r="AZ1845" s="5" t="s">
        <v>240</v>
      </c>
      <c r="BA1845" s="5" t="s">
        <v>255</v>
      </c>
      <c r="BB1845" s="5" t="s">
        <v>240</v>
      </c>
      <c r="BD1845" s="5" t="s">
        <v>240</v>
      </c>
      <c r="BF1845" s="5" t="s">
        <v>301</v>
      </c>
      <c r="BG1845" s="6" t="s">
        <v>299</v>
      </c>
      <c r="BH1845" s="5" t="s">
        <v>302</v>
      </c>
      <c r="BI1845" s="5" t="s">
        <v>303</v>
      </c>
      <c r="BJ1845" s="5" t="s">
        <v>240</v>
      </c>
      <c r="BK1845" s="8">
        <f>0</f>
        <v>0</v>
      </c>
      <c r="BL1845" s="7">
        <f>0</f>
        <v>0</v>
      </c>
      <c r="BM1845" s="5" t="s">
        <v>258</v>
      </c>
      <c r="BN1845" s="5" t="s">
        <v>259</v>
      </c>
      <c r="CB1845" s="5" t="s">
        <v>240</v>
      </c>
      <c r="CC1845" s="5" t="s">
        <v>240</v>
      </c>
      <c r="CG1845" s="5" t="s">
        <v>304</v>
      </c>
      <c r="CH1845" s="5" t="s">
        <v>305</v>
      </c>
      <c r="CI1845" s="5" t="s">
        <v>240</v>
      </c>
      <c r="CL1845" s="6" t="s">
        <v>261</v>
      </c>
      <c r="CM1845" s="5" t="s">
        <v>240</v>
      </c>
      <c r="CN1845" s="5" t="s">
        <v>263</v>
      </c>
      <c r="CO1845" s="5" t="s">
        <v>240</v>
      </c>
      <c r="CP1845" s="5" t="s">
        <v>240</v>
      </c>
      <c r="CQ1845" s="5">
        <v>0</v>
      </c>
      <c r="CR1845" s="5" t="s">
        <v>306</v>
      </c>
      <c r="CS1845" s="5" t="s">
        <v>307</v>
      </c>
      <c r="CT1845" s="5" t="s">
        <v>307</v>
      </c>
      <c r="CU1845" s="5" t="s">
        <v>260</v>
      </c>
      <c r="CX1845" s="7">
        <f>1</f>
        <v>1</v>
      </c>
      <c r="CY1845" s="7">
        <f>0</f>
        <v>0</v>
      </c>
      <c r="DA1845" s="7">
        <f>0</f>
        <v>0</v>
      </c>
      <c r="DC1845" s="5" t="s">
        <v>812</v>
      </c>
      <c r="DD1845" s="5" t="s">
        <v>240</v>
      </c>
      <c r="DF1845" s="5" t="s">
        <v>812</v>
      </c>
      <c r="DG1845" s="7">
        <f>854</f>
        <v>854</v>
      </c>
      <c r="DI1845" s="5" t="s">
        <v>240</v>
      </c>
      <c r="DJ1845" s="5" t="s">
        <v>240</v>
      </c>
      <c r="DK1845" s="5" t="s">
        <v>240</v>
      </c>
      <c r="DL1845" s="5" t="s">
        <v>240</v>
      </c>
      <c r="DP1845" s="5" t="s">
        <v>240</v>
      </c>
      <c r="DQ1845" s="5" t="s">
        <v>240</v>
      </c>
      <c r="DR1845" s="5" t="s">
        <v>240</v>
      </c>
      <c r="DS1845" s="5" t="s">
        <v>240</v>
      </c>
      <c r="DV1845" s="5" t="s">
        <v>813</v>
      </c>
      <c r="DW1845" s="5" t="s">
        <v>3823</v>
      </c>
      <c r="HO1845" s="5" t="s">
        <v>312</v>
      </c>
    </row>
    <row r="1846" spans="1:223" x14ac:dyDescent="0.4">
      <c r="A1846" s="5">
        <v>3544</v>
      </c>
      <c r="B1846" s="5">
        <v>1</v>
      </c>
      <c r="C1846" s="5">
        <v>1</v>
      </c>
      <c r="D1846" s="5" t="s">
        <v>297</v>
      </c>
      <c r="E1846" s="5" t="s">
        <v>245</v>
      </c>
      <c r="F1846" s="5" t="s">
        <v>254</v>
      </c>
      <c r="G1846" s="5" t="s">
        <v>240</v>
      </c>
      <c r="H1846" s="6" t="s">
        <v>5122</v>
      </c>
      <c r="I1846" s="5" t="s">
        <v>5119</v>
      </c>
      <c r="J1846" s="8">
        <f>158.11</f>
        <v>158.11000000000001</v>
      </c>
      <c r="K1846" s="5" t="s">
        <v>308</v>
      </c>
      <c r="L1846" s="7">
        <f>163775</f>
        <v>163775</v>
      </c>
      <c r="M1846" s="7">
        <f>163775</f>
        <v>163775</v>
      </c>
      <c r="N1846" s="5" t="s">
        <v>242</v>
      </c>
      <c r="O1846" s="5">
        <v>1</v>
      </c>
      <c r="P1846" s="5" t="s">
        <v>294</v>
      </c>
      <c r="Q1846" s="5" t="s">
        <v>266</v>
      </c>
      <c r="R1846" s="5" t="s">
        <v>240</v>
      </c>
      <c r="S1846" s="5" t="s">
        <v>240</v>
      </c>
      <c r="T1846" s="5" t="s">
        <v>296</v>
      </c>
      <c r="U1846" s="5" t="s">
        <v>244</v>
      </c>
      <c r="V1846" s="5" t="s">
        <v>240</v>
      </c>
      <c r="Y1846" s="5" t="s">
        <v>240</v>
      </c>
      <c r="Z1846" s="6" t="s">
        <v>298</v>
      </c>
      <c r="AB1846" s="6" t="s">
        <v>240</v>
      </c>
      <c r="AE1846" s="6" t="s">
        <v>299</v>
      </c>
      <c r="AF1846" s="5" t="s">
        <v>248</v>
      </c>
      <c r="AG1846" s="5" t="s">
        <v>249</v>
      </c>
      <c r="AW1846" s="5" t="s">
        <v>251</v>
      </c>
      <c r="AX1846" s="5" t="s">
        <v>240</v>
      </c>
      <c r="AY1846" s="5" t="s">
        <v>253</v>
      </c>
      <c r="AZ1846" s="5" t="s">
        <v>240</v>
      </c>
      <c r="BA1846" s="5" t="s">
        <v>255</v>
      </c>
      <c r="BB1846" s="5" t="s">
        <v>240</v>
      </c>
      <c r="BD1846" s="5" t="s">
        <v>240</v>
      </c>
      <c r="BF1846" s="5" t="s">
        <v>301</v>
      </c>
      <c r="BG1846" s="6" t="s">
        <v>299</v>
      </c>
      <c r="BH1846" s="5" t="s">
        <v>302</v>
      </c>
      <c r="BI1846" s="5" t="s">
        <v>303</v>
      </c>
      <c r="BJ1846" s="5" t="s">
        <v>240</v>
      </c>
      <c r="BK1846" s="8">
        <f>0</f>
        <v>0</v>
      </c>
      <c r="BL1846" s="7">
        <f>0</f>
        <v>0</v>
      </c>
      <c r="BM1846" s="5" t="s">
        <v>258</v>
      </c>
      <c r="BN1846" s="5" t="s">
        <v>259</v>
      </c>
      <c r="CB1846" s="5" t="s">
        <v>240</v>
      </c>
      <c r="CC1846" s="5" t="s">
        <v>240</v>
      </c>
      <c r="CG1846" s="5" t="s">
        <v>304</v>
      </c>
      <c r="CH1846" s="5" t="s">
        <v>305</v>
      </c>
      <c r="CI1846" s="5" t="s">
        <v>240</v>
      </c>
      <c r="CL1846" s="6" t="s">
        <v>261</v>
      </c>
      <c r="CM1846" s="5" t="s">
        <v>240</v>
      </c>
      <c r="CN1846" s="5" t="s">
        <v>263</v>
      </c>
      <c r="CO1846" s="5" t="s">
        <v>240</v>
      </c>
      <c r="CP1846" s="5" t="s">
        <v>240</v>
      </c>
      <c r="CQ1846" s="5">
        <v>0</v>
      </c>
      <c r="CR1846" s="5" t="s">
        <v>306</v>
      </c>
      <c r="CS1846" s="5" t="s">
        <v>307</v>
      </c>
      <c r="CT1846" s="5" t="s">
        <v>307</v>
      </c>
      <c r="CU1846" s="5" t="s">
        <v>260</v>
      </c>
      <c r="CX1846" s="7">
        <f>1</f>
        <v>1</v>
      </c>
      <c r="CY1846" s="7">
        <f>0</f>
        <v>0</v>
      </c>
      <c r="DA1846" s="7">
        <f>0</f>
        <v>0</v>
      </c>
      <c r="DC1846" s="5" t="s">
        <v>812</v>
      </c>
      <c r="DD1846" s="5" t="s">
        <v>240</v>
      </c>
      <c r="DF1846" s="5" t="s">
        <v>812</v>
      </c>
      <c r="DG1846" s="7">
        <f>861</f>
        <v>861</v>
      </c>
      <c r="DI1846" s="5" t="s">
        <v>240</v>
      </c>
      <c r="DJ1846" s="5" t="s">
        <v>240</v>
      </c>
      <c r="DK1846" s="5" t="s">
        <v>240</v>
      </c>
      <c r="DL1846" s="5" t="s">
        <v>240</v>
      </c>
      <c r="DP1846" s="5" t="s">
        <v>240</v>
      </c>
      <c r="DQ1846" s="5" t="s">
        <v>240</v>
      </c>
      <c r="DR1846" s="5" t="s">
        <v>240</v>
      </c>
      <c r="DS1846" s="5" t="s">
        <v>240</v>
      </c>
      <c r="DV1846" s="5" t="s">
        <v>813</v>
      </c>
      <c r="DW1846" s="5" t="s">
        <v>2071</v>
      </c>
      <c r="HO1846" s="5" t="s">
        <v>312</v>
      </c>
    </row>
    <row r="1847" spans="1:223" x14ac:dyDescent="0.4">
      <c r="A1847" s="5">
        <v>3545</v>
      </c>
      <c r="B1847" s="5">
        <v>1</v>
      </c>
      <c r="C1847" s="5">
        <v>1</v>
      </c>
      <c r="D1847" s="5" t="s">
        <v>297</v>
      </c>
      <c r="E1847" s="5" t="s">
        <v>245</v>
      </c>
      <c r="F1847" s="5" t="s">
        <v>254</v>
      </c>
      <c r="G1847" s="5" t="s">
        <v>240</v>
      </c>
      <c r="H1847" s="6" t="s">
        <v>6480</v>
      </c>
      <c r="I1847" s="5" t="s">
        <v>6637</v>
      </c>
      <c r="J1847" s="8">
        <f>104.93</f>
        <v>104.93</v>
      </c>
      <c r="K1847" s="5" t="s">
        <v>308</v>
      </c>
      <c r="L1847" s="7">
        <f>452749</f>
        <v>452749</v>
      </c>
      <c r="M1847" s="7">
        <f>452749</f>
        <v>452749</v>
      </c>
      <c r="N1847" s="5" t="s">
        <v>242</v>
      </c>
      <c r="O1847" s="5">
        <v>1</v>
      </c>
      <c r="P1847" s="5" t="s">
        <v>294</v>
      </c>
      <c r="Q1847" s="5" t="s">
        <v>266</v>
      </c>
      <c r="R1847" s="5" t="s">
        <v>240</v>
      </c>
      <c r="S1847" s="5" t="s">
        <v>240</v>
      </c>
      <c r="T1847" s="5" t="s">
        <v>296</v>
      </c>
      <c r="U1847" s="5" t="s">
        <v>244</v>
      </c>
      <c r="V1847" s="5" t="s">
        <v>240</v>
      </c>
      <c r="Y1847" s="5" t="s">
        <v>240</v>
      </c>
      <c r="Z1847" s="6" t="s">
        <v>298</v>
      </c>
      <c r="AB1847" s="6" t="s">
        <v>240</v>
      </c>
      <c r="AE1847" s="6" t="s">
        <v>299</v>
      </c>
      <c r="AF1847" s="5" t="s">
        <v>248</v>
      </c>
      <c r="AG1847" s="5" t="s">
        <v>249</v>
      </c>
      <c r="AW1847" s="5" t="s">
        <v>251</v>
      </c>
      <c r="AX1847" s="5" t="s">
        <v>240</v>
      </c>
      <c r="AY1847" s="5" t="s">
        <v>253</v>
      </c>
      <c r="AZ1847" s="5" t="s">
        <v>240</v>
      </c>
      <c r="BA1847" s="5" t="s">
        <v>255</v>
      </c>
      <c r="BB1847" s="5" t="s">
        <v>240</v>
      </c>
      <c r="BD1847" s="5" t="s">
        <v>240</v>
      </c>
      <c r="BF1847" s="5" t="s">
        <v>301</v>
      </c>
      <c r="BG1847" s="6" t="s">
        <v>299</v>
      </c>
      <c r="BH1847" s="5" t="s">
        <v>302</v>
      </c>
      <c r="BI1847" s="5" t="s">
        <v>303</v>
      </c>
      <c r="BJ1847" s="5" t="s">
        <v>240</v>
      </c>
      <c r="BK1847" s="8">
        <f>0</f>
        <v>0</v>
      </c>
      <c r="BL1847" s="7">
        <f>0</f>
        <v>0</v>
      </c>
      <c r="BM1847" s="5" t="s">
        <v>258</v>
      </c>
      <c r="BN1847" s="5" t="s">
        <v>259</v>
      </c>
      <c r="CB1847" s="5" t="s">
        <v>240</v>
      </c>
      <c r="CC1847" s="5" t="s">
        <v>240</v>
      </c>
      <c r="CG1847" s="5" t="s">
        <v>304</v>
      </c>
      <c r="CH1847" s="5" t="s">
        <v>305</v>
      </c>
      <c r="CI1847" s="5" t="s">
        <v>240</v>
      </c>
      <c r="CL1847" s="6" t="s">
        <v>261</v>
      </c>
      <c r="CM1847" s="5" t="s">
        <v>240</v>
      </c>
      <c r="CN1847" s="5" t="s">
        <v>263</v>
      </c>
      <c r="CO1847" s="5" t="s">
        <v>240</v>
      </c>
      <c r="CP1847" s="5" t="s">
        <v>240</v>
      </c>
      <c r="CQ1847" s="5">
        <v>0</v>
      </c>
      <c r="CR1847" s="5" t="s">
        <v>306</v>
      </c>
      <c r="CS1847" s="5" t="s">
        <v>307</v>
      </c>
      <c r="CT1847" s="5" t="s">
        <v>307</v>
      </c>
      <c r="CU1847" s="5" t="s">
        <v>260</v>
      </c>
      <c r="CX1847" s="7">
        <f>1</f>
        <v>1</v>
      </c>
      <c r="CY1847" s="7">
        <f>0</f>
        <v>0</v>
      </c>
      <c r="DA1847" s="7">
        <f>0</f>
        <v>0</v>
      </c>
      <c r="DC1847" s="5" t="s">
        <v>812</v>
      </c>
      <c r="DD1847" s="5" t="s">
        <v>240</v>
      </c>
      <c r="DF1847" s="5" t="s">
        <v>812</v>
      </c>
      <c r="DG1847" s="7">
        <f>2748</f>
        <v>2748</v>
      </c>
      <c r="DI1847" s="5" t="s">
        <v>240</v>
      </c>
      <c r="DJ1847" s="5" t="s">
        <v>240</v>
      </c>
      <c r="DK1847" s="5" t="s">
        <v>240</v>
      </c>
      <c r="DL1847" s="5" t="s">
        <v>240</v>
      </c>
      <c r="DP1847" s="5" t="s">
        <v>240</v>
      </c>
      <c r="DQ1847" s="5" t="s">
        <v>240</v>
      </c>
      <c r="DR1847" s="5" t="s">
        <v>240</v>
      </c>
      <c r="DS1847" s="5" t="s">
        <v>240</v>
      </c>
      <c r="DV1847" s="5" t="s">
        <v>813</v>
      </c>
      <c r="DW1847" s="5" t="s">
        <v>3826</v>
      </c>
      <c r="HO1847" s="5" t="s">
        <v>312</v>
      </c>
    </row>
    <row r="1848" spans="1:223" x14ac:dyDescent="0.4">
      <c r="A1848" s="5">
        <v>3546</v>
      </c>
      <c r="B1848" s="5">
        <v>1</v>
      </c>
      <c r="C1848" s="5">
        <v>1</v>
      </c>
      <c r="D1848" s="5" t="s">
        <v>297</v>
      </c>
      <c r="E1848" s="5" t="s">
        <v>245</v>
      </c>
      <c r="F1848" s="5" t="s">
        <v>254</v>
      </c>
      <c r="G1848" s="5" t="s">
        <v>240</v>
      </c>
      <c r="H1848" s="6" t="s">
        <v>6640</v>
      </c>
      <c r="I1848" s="5" t="s">
        <v>6639</v>
      </c>
      <c r="J1848" s="8">
        <f>197.32</f>
        <v>197.32</v>
      </c>
      <c r="K1848" s="5" t="s">
        <v>308</v>
      </c>
      <c r="L1848" s="7">
        <f>579363</f>
        <v>579363</v>
      </c>
      <c r="M1848" s="7">
        <f>579363</f>
        <v>579363</v>
      </c>
      <c r="N1848" s="5" t="s">
        <v>242</v>
      </c>
      <c r="O1848" s="5">
        <v>1</v>
      </c>
      <c r="P1848" s="5" t="s">
        <v>294</v>
      </c>
      <c r="Q1848" s="5" t="s">
        <v>266</v>
      </c>
      <c r="R1848" s="5" t="s">
        <v>240</v>
      </c>
      <c r="S1848" s="5" t="s">
        <v>240</v>
      </c>
      <c r="T1848" s="5" t="s">
        <v>296</v>
      </c>
      <c r="U1848" s="5" t="s">
        <v>244</v>
      </c>
      <c r="V1848" s="5" t="s">
        <v>240</v>
      </c>
      <c r="Y1848" s="5" t="s">
        <v>240</v>
      </c>
      <c r="Z1848" s="6" t="s">
        <v>298</v>
      </c>
      <c r="AB1848" s="6" t="s">
        <v>240</v>
      </c>
      <c r="AE1848" s="6" t="s">
        <v>299</v>
      </c>
      <c r="AF1848" s="5" t="s">
        <v>248</v>
      </c>
      <c r="AG1848" s="5" t="s">
        <v>249</v>
      </c>
      <c r="AW1848" s="5" t="s">
        <v>251</v>
      </c>
      <c r="AX1848" s="5" t="s">
        <v>240</v>
      </c>
      <c r="AY1848" s="5" t="s">
        <v>253</v>
      </c>
      <c r="AZ1848" s="5" t="s">
        <v>240</v>
      </c>
      <c r="BA1848" s="5" t="s">
        <v>255</v>
      </c>
      <c r="BB1848" s="5" t="s">
        <v>240</v>
      </c>
      <c r="BD1848" s="5" t="s">
        <v>240</v>
      </c>
      <c r="BF1848" s="5" t="s">
        <v>301</v>
      </c>
      <c r="BG1848" s="6" t="s">
        <v>299</v>
      </c>
      <c r="BH1848" s="5" t="s">
        <v>302</v>
      </c>
      <c r="BI1848" s="5" t="s">
        <v>303</v>
      </c>
      <c r="BJ1848" s="5" t="s">
        <v>240</v>
      </c>
      <c r="BK1848" s="8">
        <f>0</f>
        <v>0</v>
      </c>
      <c r="BL1848" s="7">
        <f>0</f>
        <v>0</v>
      </c>
      <c r="BM1848" s="5" t="s">
        <v>258</v>
      </c>
      <c r="BN1848" s="5" t="s">
        <v>259</v>
      </c>
      <c r="CB1848" s="5" t="s">
        <v>240</v>
      </c>
      <c r="CC1848" s="5" t="s">
        <v>240</v>
      </c>
      <c r="CG1848" s="5" t="s">
        <v>304</v>
      </c>
      <c r="CH1848" s="5" t="s">
        <v>305</v>
      </c>
      <c r="CI1848" s="5" t="s">
        <v>240</v>
      </c>
      <c r="CL1848" s="6" t="s">
        <v>261</v>
      </c>
      <c r="CM1848" s="5" t="s">
        <v>240</v>
      </c>
      <c r="CN1848" s="5" t="s">
        <v>263</v>
      </c>
      <c r="CO1848" s="5" t="s">
        <v>240</v>
      </c>
      <c r="CP1848" s="5" t="s">
        <v>240</v>
      </c>
      <c r="CQ1848" s="5">
        <v>0</v>
      </c>
      <c r="CR1848" s="5" t="s">
        <v>306</v>
      </c>
      <c r="CS1848" s="5" t="s">
        <v>307</v>
      </c>
      <c r="CT1848" s="5" t="s">
        <v>307</v>
      </c>
      <c r="CU1848" s="5" t="s">
        <v>260</v>
      </c>
      <c r="CX1848" s="7">
        <f>1</f>
        <v>1</v>
      </c>
      <c r="CY1848" s="7">
        <f>0</f>
        <v>0</v>
      </c>
      <c r="DA1848" s="7">
        <f>0</f>
        <v>0</v>
      </c>
      <c r="DC1848" s="5" t="s">
        <v>812</v>
      </c>
      <c r="DD1848" s="5" t="s">
        <v>240</v>
      </c>
      <c r="DF1848" s="5" t="s">
        <v>812</v>
      </c>
      <c r="DG1848" s="7">
        <f>579</f>
        <v>579</v>
      </c>
      <c r="DI1848" s="5" t="s">
        <v>240</v>
      </c>
      <c r="DJ1848" s="5" t="s">
        <v>240</v>
      </c>
      <c r="DK1848" s="5" t="s">
        <v>240</v>
      </c>
      <c r="DL1848" s="5" t="s">
        <v>240</v>
      </c>
      <c r="DP1848" s="5" t="s">
        <v>240</v>
      </c>
      <c r="DQ1848" s="5" t="s">
        <v>240</v>
      </c>
      <c r="DR1848" s="5" t="s">
        <v>240</v>
      </c>
      <c r="DS1848" s="5" t="s">
        <v>240</v>
      </c>
      <c r="DV1848" s="5" t="s">
        <v>813</v>
      </c>
      <c r="DW1848" s="5" t="s">
        <v>3828</v>
      </c>
      <c r="HO1848" s="5" t="s">
        <v>312</v>
      </c>
    </row>
    <row r="1849" spans="1:223" x14ac:dyDescent="0.4">
      <c r="A1849" s="5">
        <v>3547</v>
      </c>
      <c r="B1849" s="5">
        <v>1</v>
      </c>
      <c r="C1849" s="5">
        <v>1</v>
      </c>
      <c r="D1849" s="5" t="s">
        <v>297</v>
      </c>
      <c r="E1849" s="5" t="s">
        <v>245</v>
      </c>
      <c r="F1849" s="5" t="s">
        <v>254</v>
      </c>
      <c r="G1849" s="5" t="s">
        <v>240</v>
      </c>
      <c r="H1849" s="6" t="s">
        <v>6640</v>
      </c>
      <c r="I1849" s="5" t="s">
        <v>6709</v>
      </c>
      <c r="J1849" s="8">
        <f>0</f>
        <v>0</v>
      </c>
      <c r="K1849" s="5" t="s">
        <v>308</v>
      </c>
      <c r="L1849" s="7">
        <f>3699005</f>
        <v>3699005</v>
      </c>
      <c r="M1849" s="7">
        <f>3699005</f>
        <v>3699005</v>
      </c>
      <c r="N1849" s="5" t="s">
        <v>242</v>
      </c>
      <c r="O1849" s="5">
        <v>1</v>
      </c>
      <c r="P1849" s="5" t="s">
        <v>294</v>
      </c>
      <c r="Q1849" s="5" t="s">
        <v>266</v>
      </c>
      <c r="R1849" s="5" t="s">
        <v>240</v>
      </c>
      <c r="S1849" s="5" t="s">
        <v>240</v>
      </c>
      <c r="T1849" s="5" t="s">
        <v>296</v>
      </c>
      <c r="U1849" s="5" t="s">
        <v>244</v>
      </c>
      <c r="V1849" s="5" t="s">
        <v>240</v>
      </c>
      <c r="Y1849" s="5" t="s">
        <v>240</v>
      </c>
      <c r="Z1849" s="6" t="s">
        <v>298</v>
      </c>
      <c r="AB1849" s="6" t="s">
        <v>240</v>
      </c>
      <c r="AE1849" s="6" t="s">
        <v>299</v>
      </c>
      <c r="AF1849" s="5" t="s">
        <v>248</v>
      </c>
      <c r="AG1849" s="5" t="s">
        <v>249</v>
      </c>
      <c r="AW1849" s="5" t="s">
        <v>251</v>
      </c>
      <c r="AX1849" s="5" t="s">
        <v>240</v>
      </c>
      <c r="AY1849" s="5" t="s">
        <v>253</v>
      </c>
      <c r="AZ1849" s="5" t="s">
        <v>240</v>
      </c>
      <c r="BA1849" s="5" t="s">
        <v>255</v>
      </c>
      <c r="BB1849" s="5" t="s">
        <v>240</v>
      </c>
      <c r="BD1849" s="5" t="s">
        <v>240</v>
      </c>
      <c r="BF1849" s="5" t="s">
        <v>301</v>
      </c>
      <c r="BG1849" s="6" t="s">
        <v>299</v>
      </c>
      <c r="BH1849" s="5" t="s">
        <v>302</v>
      </c>
      <c r="BI1849" s="5" t="s">
        <v>303</v>
      </c>
      <c r="BJ1849" s="5" t="s">
        <v>240</v>
      </c>
      <c r="BK1849" s="8">
        <f>0</f>
        <v>0</v>
      </c>
      <c r="BL1849" s="7">
        <f>0</f>
        <v>0</v>
      </c>
      <c r="BM1849" s="5" t="s">
        <v>258</v>
      </c>
      <c r="BN1849" s="5" t="s">
        <v>259</v>
      </c>
      <c r="CB1849" s="5" t="s">
        <v>240</v>
      </c>
      <c r="CC1849" s="5" t="s">
        <v>240</v>
      </c>
      <c r="CG1849" s="5" t="s">
        <v>304</v>
      </c>
      <c r="CH1849" s="5" t="s">
        <v>305</v>
      </c>
      <c r="CI1849" s="5" t="s">
        <v>240</v>
      </c>
      <c r="CL1849" s="6" t="s">
        <v>261</v>
      </c>
      <c r="CM1849" s="5" t="s">
        <v>240</v>
      </c>
      <c r="CN1849" s="5" t="s">
        <v>263</v>
      </c>
      <c r="CO1849" s="5" t="s">
        <v>240</v>
      </c>
      <c r="CP1849" s="5" t="s">
        <v>240</v>
      </c>
      <c r="CQ1849" s="5">
        <v>0</v>
      </c>
      <c r="CR1849" s="5" t="s">
        <v>306</v>
      </c>
      <c r="CS1849" s="5" t="s">
        <v>307</v>
      </c>
      <c r="CT1849" s="5" t="s">
        <v>307</v>
      </c>
      <c r="CU1849" s="5" t="s">
        <v>260</v>
      </c>
      <c r="CX1849" s="7">
        <f>1</f>
        <v>1</v>
      </c>
      <c r="CY1849" s="7">
        <f>0</f>
        <v>0</v>
      </c>
      <c r="DA1849" s="7">
        <f>0</f>
        <v>0</v>
      </c>
      <c r="DC1849" s="5" t="s">
        <v>812</v>
      </c>
      <c r="DD1849" s="5" t="s">
        <v>240</v>
      </c>
      <c r="DF1849" s="5" t="s">
        <v>812</v>
      </c>
      <c r="DG1849" s="7">
        <f>1930</f>
        <v>1930</v>
      </c>
      <c r="DI1849" s="5" t="s">
        <v>240</v>
      </c>
      <c r="DJ1849" s="5" t="s">
        <v>240</v>
      </c>
      <c r="DK1849" s="5" t="s">
        <v>240</v>
      </c>
      <c r="DL1849" s="5" t="s">
        <v>240</v>
      </c>
      <c r="DP1849" s="5" t="s">
        <v>240</v>
      </c>
      <c r="DQ1849" s="5" t="s">
        <v>240</v>
      </c>
      <c r="DR1849" s="5" t="s">
        <v>240</v>
      </c>
      <c r="DS1849" s="5" t="s">
        <v>240</v>
      </c>
      <c r="DV1849" s="5" t="s">
        <v>813</v>
      </c>
      <c r="DW1849" s="5" t="s">
        <v>3830</v>
      </c>
      <c r="HO1849" s="5" t="s">
        <v>312</v>
      </c>
    </row>
    <row r="1850" spans="1:223" x14ac:dyDescent="0.4">
      <c r="A1850" s="5">
        <v>3548</v>
      </c>
      <c r="B1850" s="5">
        <v>1</v>
      </c>
      <c r="C1850" s="5">
        <v>1</v>
      </c>
      <c r="D1850" s="5" t="s">
        <v>297</v>
      </c>
      <c r="E1850" s="5" t="s">
        <v>245</v>
      </c>
      <c r="F1850" s="5" t="s">
        <v>254</v>
      </c>
      <c r="G1850" s="5" t="s">
        <v>6607</v>
      </c>
      <c r="H1850" s="6" t="s">
        <v>5277</v>
      </c>
      <c r="I1850" s="5" t="s">
        <v>6606</v>
      </c>
      <c r="J1850" s="8">
        <f>0</f>
        <v>0</v>
      </c>
      <c r="K1850" s="5" t="s">
        <v>308</v>
      </c>
      <c r="L1850" s="7">
        <f>4612103</f>
        <v>4612103</v>
      </c>
      <c r="M1850" s="7">
        <f>4612103</f>
        <v>4612103</v>
      </c>
      <c r="N1850" s="5" t="s">
        <v>242</v>
      </c>
      <c r="O1850" s="5">
        <v>1</v>
      </c>
      <c r="P1850" s="5" t="s">
        <v>294</v>
      </c>
      <c r="Q1850" s="5" t="s">
        <v>266</v>
      </c>
      <c r="R1850" s="5" t="s">
        <v>240</v>
      </c>
      <c r="S1850" s="5" t="s">
        <v>240</v>
      </c>
      <c r="T1850" s="5" t="s">
        <v>296</v>
      </c>
      <c r="U1850" s="5" t="s">
        <v>244</v>
      </c>
      <c r="V1850" s="5" t="s">
        <v>240</v>
      </c>
      <c r="Y1850" s="5" t="s">
        <v>240</v>
      </c>
      <c r="Z1850" s="6" t="s">
        <v>298</v>
      </c>
      <c r="AB1850" s="6" t="s">
        <v>240</v>
      </c>
      <c r="AE1850" s="6" t="s">
        <v>299</v>
      </c>
      <c r="AF1850" s="5" t="s">
        <v>248</v>
      </c>
      <c r="AG1850" s="5" t="s">
        <v>249</v>
      </c>
      <c r="AW1850" s="5" t="s">
        <v>251</v>
      </c>
      <c r="AX1850" s="5" t="s">
        <v>240</v>
      </c>
      <c r="AY1850" s="5" t="s">
        <v>253</v>
      </c>
      <c r="AZ1850" s="5" t="s">
        <v>240</v>
      </c>
      <c r="BA1850" s="5" t="s">
        <v>255</v>
      </c>
      <c r="BB1850" s="5" t="s">
        <v>240</v>
      </c>
      <c r="BD1850" s="5" t="s">
        <v>240</v>
      </c>
      <c r="BF1850" s="5" t="s">
        <v>301</v>
      </c>
      <c r="BG1850" s="6" t="s">
        <v>299</v>
      </c>
      <c r="BH1850" s="5" t="s">
        <v>302</v>
      </c>
      <c r="BI1850" s="5" t="s">
        <v>303</v>
      </c>
      <c r="BJ1850" s="5" t="s">
        <v>240</v>
      </c>
      <c r="BK1850" s="8">
        <f>0</f>
        <v>0</v>
      </c>
      <c r="BL1850" s="7">
        <f>0</f>
        <v>0</v>
      </c>
      <c r="BM1850" s="5" t="s">
        <v>258</v>
      </c>
      <c r="BN1850" s="5" t="s">
        <v>259</v>
      </c>
      <c r="CB1850" s="5" t="s">
        <v>240</v>
      </c>
      <c r="CC1850" s="5" t="s">
        <v>240</v>
      </c>
      <c r="CG1850" s="5" t="s">
        <v>304</v>
      </c>
      <c r="CH1850" s="5" t="s">
        <v>305</v>
      </c>
      <c r="CI1850" s="5" t="s">
        <v>240</v>
      </c>
      <c r="CL1850" s="6" t="s">
        <v>261</v>
      </c>
      <c r="CM1850" s="5" t="s">
        <v>240</v>
      </c>
      <c r="CN1850" s="5" t="s">
        <v>263</v>
      </c>
      <c r="CO1850" s="5" t="s">
        <v>240</v>
      </c>
      <c r="CP1850" s="5" t="s">
        <v>240</v>
      </c>
      <c r="CQ1850" s="5">
        <v>0</v>
      </c>
      <c r="CR1850" s="5" t="s">
        <v>306</v>
      </c>
      <c r="CS1850" s="5" t="s">
        <v>307</v>
      </c>
      <c r="CT1850" s="5" t="s">
        <v>307</v>
      </c>
      <c r="CU1850" s="5" t="s">
        <v>260</v>
      </c>
      <c r="CX1850" s="7">
        <f>1</f>
        <v>1</v>
      </c>
      <c r="CY1850" s="7">
        <f>0</f>
        <v>0</v>
      </c>
      <c r="DA1850" s="7">
        <f>0</f>
        <v>0</v>
      </c>
      <c r="DC1850" s="5" t="s">
        <v>812</v>
      </c>
      <c r="DD1850" s="5" t="s">
        <v>240</v>
      </c>
      <c r="DF1850" s="5" t="s">
        <v>812</v>
      </c>
      <c r="DG1850" s="7">
        <f>928</f>
        <v>928</v>
      </c>
      <c r="DI1850" s="5" t="s">
        <v>240</v>
      </c>
      <c r="DJ1850" s="5" t="s">
        <v>240</v>
      </c>
      <c r="DK1850" s="5" t="s">
        <v>240</v>
      </c>
      <c r="DL1850" s="5" t="s">
        <v>240</v>
      </c>
      <c r="DP1850" s="5" t="s">
        <v>240</v>
      </c>
      <c r="DQ1850" s="5" t="s">
        <v>240</v>
      </c>
      <c r="DR1850" s="5" t="s">
        <v>240</v>
      </c>
      <c r="DS1850" s="5" t="s">
        <v>240</v>
      </c>
      <c r="DV1850" s="5" t="s">
        <v>813</v>
      </c>
      <c r="DW1850" s="5" t="s">
        <v>3832</v>
      </c>
      <c r="HO1850" s="5" t="s">
        <v>312</v>
      </c>
    </row>
    <row r="1851" spans="1:223" x14ac:dyDescent="0.4">
      <c r="A1851" s="5">
        <v>3549</v>
      </c>
      <c r="B1851" s="5">
        <v>1</v>
      </c>
      <c r="C1851" s="5">
        <v>1</v>
      </c>
      <c r="D1851" s="5" t="s">
        <v>297</v>
      </c>
      <c r="E1851" s="5" t="s">
        <v>245</v>
      </c>
      <c r="F1851" s="5" t="s">
        <v>254</v>
      </c>
      <c r="G1851" s="5" t="s">
        <v>6607</v>
      </c>
      <c r="H1851" s="6" t="s">
        <v>5277</v>
      </c>
      <c r="I1851" s="5" t="s">
        <v>6609</v>
      </c>
      <c r="J1851" s="8">
        <f>0</f>
        <v>0</v>
      </c>
      <c r="K1851" s="5" t="s">
        <v>308</v>
      </c>
      <c r="L1851" s="7">
        <f>7451274</f>
        <v>7451274</v>
      </c>
      <c r="M1851" s="7">
        <f>7451274</f>
        <v>7451274</v>
      </c>
      <c r="N1851" s="5" t="s">
        <v>242</v>
      </c>
      <c r="O1851" s="5">
        <v>1</v>
      </c>
      <c r="P1851" s="5" t="s">
        <v>294</v>
      </c>
      <c r="Q1851" s="5" t="s">
        <v>266</v>
      </c>
      <c r="R1851" s="5" t="s">
        <v>240</v>
      </c>
      <c r="S1851" s="5" t="s">
        <v>240</v>
      </c>
      <c r="T1851" s="5" t="s">
        <v>296</v>
      </c>
      <c r="U1851" s="5" t="s">
        <v>244</v>
      </c>
      <c r="V1851" s="5" t="s">
        <v>240</v>
      </c>
      <c r="Y1851" s="5" t="s">
        <v>240</v>
      </c>
      <c r="Z1851" s="6" t="s">
        <v>298</v>
      </c>
      <c r="AB1851" s="6" t="s">
        <v>240</v>
      </c>
      <c r="AE1851" s="6" t="s">
        <v>299</v>
      </c>
      <c r="AF1851" s="5" t="s">
        <v>248</v>
      </c>
      <c r="AG1851" s="5" t="s">
        <v>249</v>
      </c>
      <c r="AW1851" s="5" t="s">
        <v>251</v>
      </c>
      <c r="AX1851" s="5" t="s">
        <v>240</v>
      </c>
      <c r="AY1851" s="5" t="s">
        <v>253</v>
      </c>
      <c r="AZ1851" s="5" t="s">
        <v>240</v>
      </c>
      <c r="BA1851" s="5" t="s">
        <v>255</v>
      </c>
      <c r="BB1851" s="5" t="s">
        <v>240</v>
      </c>
      <c r="BD1851" s="5" t="s">
        <v>240</v>
      </c>
      <c r="BF1851" s="5" t="s">
        <v>301</v>
      </c>
      <c r="BG1851" s="6" t="s">
        <v>299</v>
      </c>
      <c r="BH1851" s="5" t="s">
        <v>302</v>
      </c>
      <c r="BI1851" s="5" t="s">
        <v>303</v>
      </c>
      <c r="BJ1851" s="5" t="s">
        <v>240</v>
      </c>
      <c r="BK1851" s="8">
        <f>0</f>
        <v>0</v>
      </c>
      <c r="BL1851" s="7">
        <f>0</f>
        <v>0</v>
      </c>
      <c r="BM1851" s="5" t="s">
        <v>258</v>
      </c>
      <c r="BN1851" s="5" t="s">
        <v>259</v>
      </c>
      <c r="CB1851" s="5" t="s">
        <v>240</v>
      </c>
      <c r="CC1851" s="5" t="s">
        <v>240</v>
      </c>
      <c r="CG1851" s="5" t="s">
        <v>304</v>
      </c>
      <c r="CH1851" s="5" t="s">
        <v>305</v>
      </c>
      <c r="CI1851" s="5" t="s">
        <v>240</v>
      </c>
      <c r="CL1851" s="6" t="s">
        <v>261</v>
      </c>
      <c r="CM1851" s="5" t="s">
        <v>240</v>
      </c>
      <c r="CN1851" s="5" t="s">
        <v>263</v>
      </c>
      <c r="CO1851" s="5" t="s">
        <v>240</v>
      </c>
      <c r="CP1851" s="5" t="s">
        <v>240</v>
      </c>
      <c r="CQ1851" s="5">
        <v>0</v>
      </c>
      <c r="CR1851" s="5" t="s">
        <v>306</v>
      </c>
      <c r="CS1851" s="5" t="s">
        <v>307</v>
      </c>
      <c r="CT1851" s="5" t="s">
        <v>307</v>
      </c>
      <c r="CU1851" s="5" t="s">
        <v>260</v>
      </c>
      <c r="CX1851" s="7">
        <f>1</f>
        <v>1</v>
      </c>
      <c r="CY1851" s="7">
        <f>0</f>
        <v>0</v>
      </c>
      <c r="DA1851" s="7">
        <f>0</f>
        <v>0</v>
      </c>
      <c r="DC1851" s="5" t="s">
        <v>812</v>
      </c>
      <c r="DD1851" s="5" t="s">
        <v>240</v>
      </c>
      <c r="DF1851" s="5" t="s">
        <v>812</v>
      </c>
      <c r="DG1851" s="7">
        <f>1279</f>
        <v>1279</v>
      </c>
      <c r="DI1851" s="5" t="s">
        <v>240</v>
      </c>
      <c r="DJ1851" s="5" t="s">
        <v>240</v>
      </c>
      <c r="DK1851" s="5" t="s">
        <v>240</v>
      </c>
      <c r="DL1851" s="5" t="s">
        <v>240</v>
      </c>
      <c r="DP1851" s="5" t="s">
        <v>240</v>
      </c>
      <c r="DQ1851" s="5" t="s">
        <v>240</v>
      </c>
      <c r="DR1851" s="5" t="s">
        <v>240</v>
      </c>
      <c r="DS1851" s="5" t="s">
        <v>240</v>
      </c>
      <c r="DV1851" s="5" t="s">
        <v>813</v>
      </c>
      <c r="DW1851" s="5" t="s">
        <v>3834</v>
      </c>
      <c r="HO1851" s="5" t="s">
        <v>312</v>
      </c>
    </row>
    <row r="1852" spans="1:223" x14ac:dyDescent="0.4">
      <c r="A1852" s="5">
        <v>3550</v>
      </c>
      <c r="B1852" s="5">
        <v>1</v>
      </c>
      <c r="C1852" s="5">
        <v>1</v>
      </c>
      <c r="D1852" s="5" t="s">
        <v>297</v>
      </c>
      <c r="E1852" s="5" t="s">
        <v>245</v>
      </c>
      <c r="F1852" s="5" t="s">
        <v>254</v>
      </c>
      <c r="G1852" s="5" t="s">
        <v>6607</v>
      </c>
      <c r="H1852" s="6" t="s">
        <v>5277</v>
      </c>
      <c r="I1852" s="5" t="s">
        <v>6611</v>
      </c>
      <c r="J1852" s="8">
        <f>0</f>
        <v>0</v>
      </c>
      <c r="K1852" s="5" t="s">
        <v>308</v>
      </c>
      <c r="L1852" s="7">
        <f>1165424</f>
        <v>1165424</v>
      </c>
      <c r="M1852" s="7">
        <f>1165424</f>
        <v>1165424</v>
      </c>
      <c r="N1852" s="5" t="s">
        <v>242</v>
      </c>
      <c r="O1852" s="5">
        <v>1</v>
      </c>
      <c r="P1852" s="5" t="s">
        <v>294</v>
      </c>
      <c r="Q1852" s="5" t="s">
        <v>266</v>
      </c>
      <c r="R1852" s="5" t="s">
        <v>240</v>
      </c>
      <c r="S1852" s="5" t="s">
        <v>240</v>
      </c>
      <c r="T1852" s="5" t="s">
        <v>296</v>
      </c>
      <c r="U1852" s="5" t="s">
        <v>244</v>
      </c>
      <c r="V1852" s="5" t="s">
        <v>240</v>
      </c>
      <c r="Y1852" s="5" t="s">
        <v>240</v>
      </c>
      <c r="Z1852" s="6" t="s">
        <v>298</v>
      </c>
      <c r="AB1852" s="6" t="s">
        <v>240</v>
      </c>
      <c r="AE1852" s="6" t="s">
        <v>299</v>
      </c>
      <c r="AF1852" s="5" t="s">
        <v>248</v>
      </c>
      <c r="AG1852" s="5" t="s">
        <v>249</v>
      </c>
      <c r="AW1852" s="5" t="s">
        <v>251</v>
      </c>
      <c r="AX1852" s="5" t="s">
        <v>240</v>
      </c>
      <c r="AY1852" s="5" t="s">
        <v>253</v>
      </c>
      <c r="AZ1852" s="5" t="s">
        <v>240</v>
      </c>
      <c r="BA1852" s="5" t="s">
        <v>255</v>
      </c>
      <c r="BB1852" s="5" t="s">
        <v>240</v>
      </c>
      <c r="BD1852" s="5" t="s">
        <v>240</v>
      </c>
      <c r="BF1852" s="5" t="s">
        <v>301</v>
      </c>
      <c r="BG1852" s="6" t="s">
        <v>299</v>
      </c>
      <c r="BH1852" s="5" t="s">
        <v>302</v>
      </c>
      <c r="BI1852" s="5" t="s">
        <v>303</v>
      </c>
      <c r="BJ1852" s="5" t="s">
        <v>240</v>
      </c>
      <c r="BK1852" s="8">
        <f>0</f>
        <v>0</v>
      </c>
      <c r="BL1852" s="7">
        <f>0</f>
        <v>0</v>
      </c>
      <c r="BM1852" s="5" t="s">
        <v>258</v>
      </c>
      <c r="BN1852" s="5" t="s">
        <v>259</v>
      </c>
      <c r="CB1852" s="5" t="s">
        <v>240</v>
      </c>
      <c r="CC1852" s="5" t="s">
        <v>240</v>
      </c>
      <c r="CG1852" s="5" t="s">
        <v>304</v>
      </c>
      <c r="CH1852" s="5" t="s">
        <v>305</v>
      </c>
      <c r="CI1852" s="5" t="s">
        <v>240</v>
      </c>
      <c r="CL1852" s="6" t="s">
        <v>261</v>
      </c>
      <c r="CM1852" s="5" t="s">
        <v>240</v>
      </c>
      <c r="CN1852" s="5" t="s">
        <v>263</v>
      </c>
      <c r="CO1852" s="5" t="s">
        <v>240</v>
      </c>
      <c r="CP1852" s="5" t="s">
        <v>240</v>
      </c>
      <c r="CQ1852" s="5">
        <v>0</v>
      </c>
      <c r="CR1852" s="5" t="s">
        <v>306</v>
      </c>
      <c r="CS1852" s="5" t="s">
        <v>307</v>
      </c>
      <c r="CT1852" s="5" t="s">
        <v>307</v>
      </c>
      <c r="CU1852" s="5" t="s">
        <v>260</v>
      </c>
      <c r="CX1852" s="7">
        <f>1</f>
        <v>1</v>
      </c>
      <c r="CY1852" s="7">
        <f>0</f>
        <v>0</v>
      </c>
      <c r="DA1852" s="7">
        <f>0</f>
        <v>0</v>
      </c>
      <c r="DC1852" s="5" t="s">
        <v>812</v>
      </c>
      <c r="DD1852" s="5" t="s">
        <v>240</v>
      </c>
      <c r="DF1852" s="5" t="s">
        <v>812</v>
      </c>
      <c r="DG1852" s="7">
        <f>287</f>
        <v>287</v>
      </c>
      <c r="DI1852" s="5" t="s">
        <v>240</v>
      </c>
      <c r="DJ1852" s="5" t="s">
        <v>240</v>
      </c>
      <c r="DK1852" s="5" t="s">
        <v>240</v>
      </c>
      <c r="DL1852" s="5" t="s">
        <v>240</v>
      </c>
      <c r="DP1852" s="5" t="s">
        <v>240</v>
      </c>
      <c r="DQ1852" s="5" t="s">
        <v>240</v>
      </c>
      <c r="DR1852" s="5" t="s">
        <v>240</v>
      </c>
      <c r="DS1852" s="5" t="s">
        <v>240</v>
      </c>
      <c r="DV1852" s="5" t="s">
        <v>813</v>
      </c>
      <c r="DW1852" s="5" t="s">
        <v>3836</v>
      </c>
      <c r="HO1852" s="5" t="s">
        <v>312</v>
      </c>
    </row>
    <row r="1853" spans="1:223" x14ac:dyDescent="0.4">
      <c r="A1853" s="5">
        <v>3551</v>
      </c>
      <c r="B1853" s="5">
        <v>1</v>
      </c>
      <c r="C1853" s="5">
        <v>1</v>
      </c>
      <c r="D1853" s="5" t="s">
        <v>297</v>
      </c>
      <c r="E1853" s="5" t="s">
        <v>245</v>
      </c>
      <c r="F1853" s="5" t="s">
        <v>254</v>
      </c>
      <c r="G1853" s="5" t="s">
        <v>240</v>
      </c>
      <c r="H1853" s="6" t="s">
        <v>6640</v>
      </c>
      <c r="I1853" s="5" t="s">
        <v>6732</v>
      </c>
      <c r="J1853" s="8">
        <f>0</f>
        <v>0</v>
      </c>
      <c r="K1853" s="5" t="s">
        <v>308</v>
      </c>
      <c r="L1853" s="7">
        <f>2278800</f>
        <v>2278800</v>
      </c>
      <c r="M1853" s="7">
        <f>2278800</f>
        <v>2278800</v>
      </c>
      <c r="N1853" s="5" t="s">
        <v>242</v>
      </c>
      <c r="O1853" s="5">
        <v>1</v>
      </c>
      <c r="P1853" s="5" t="s">
        <v>294</v>
      </c>
      <c r="Q1853" s="5" t="s">
        <v>266</v>
      </c>
      <c r="R1853" s="5" t="s">
        <v>240</v>
      </c>
      <c r="S1853" s="5" t="s">
        <v>240</v>
      </c>
      <c r="T1853" s="5" t="s">
        <v>296</v>
      </c>
      <c r="U1853" s="5" t="s">
        <v>244</v>
      </c>
      <c r="V1853" s="5" t="s">
        <v>240</v>
      </c>
      <c r="Y1853" s="5" t="s">
        <v>240</v>
      </c>
      <c r="Z1853" s="6" t="s">
        <v>298</v>
      </c>
      <c r="AB1853" s="6" t="s">
        <v>240</v>
      </c>
      <c r="AE1853" s="6" t="s">
        <v>299</v>
      </c>
      <c r="AF1853" s="5" t="s">
        <v>248</v>
      </c>
      <c r="AG1853" s="5" t="s">
        <v>249</v>
      </c>
      <c r="AW1853" s="5" t="s">
        <v>251</v>
      </c>
      <c r="AX1853" s="5" t="s">
        <v>240</v>
      </c>
      <c r="AY1853" s="5" t="s">
        <v>253</v>
      </c>
      <c r="AZ1853" s="5" t="s">
        <v>240</v>
      </c>
      <c r="BA1853" s="5" t="s">
        <v>255</v>
      </c>
      <c r="BB1853" s="5" t="s">
        <v>240</v>
      </c>
      <c r="BD1853" s="5" t="s">
        <v>240</v>
      </c>
      <c r="BF1853" s="5" t="s">
        <v>301</v>
      </c>
      <c r="BG1853" s="6" t="s">
        <v>299</v>
      </c>
      <c r="BH1853" s="5" t="s">
        <v>302</v>
      </c>
      <c r="BI1853" s="5" t="s">
        <v>303</v>
      </c>
      <c r="BJ1853" s="5" t="s">
        <v>240</v>
      </c>
      <c r="BK1853" s="8">
        <f>0</f>
        <v>0</v>
      </c>
      <c r="BL1853" s="7">
        <f>0</f>
        <v>0</v>
      </c>
      <c r="BM1853" s="5" t="s">
        <v>258</v>
      </c>
      <c r="BN1853" s="5" t="s">
        <v>259</v>
      </c>
      <c r="CB1853" s="5" t="s">
        <v>240</v>
      </c>
      <c r="CC1853" s="5" t="s">
        <v>240</v>
      </c>
      <c r="CG1853" s="5" t="s">
        <v>304</v>
      </c>
      <c r="CH1853" s="5" t="s">
        <v>305</v>
      </c>
      <c r="CI1853" s="5" t="s">
        <v>240</v>
      </c>
      <c r="CL1853" s="6" t="s">
        <v>261</v>
      </c>
      <c r="CM1853" s="5" t="s">
        <v>240</v>
      </c>
      <c r="CN1853" s="5" t="s">
        <v>263</v>
      </c>
      <c r="CO1853" s="5" t="s">
        <v>240</v>
      </c>
      <c r="CP1853" s="5" t="s">
        <v>240</v>
      </c>
      <c r="CQ1853" s="5">
        <v>0</v>
      </c>
      <c r="CR1853" s="5" t="s">
        <v>306</v>
      </c>
      <c r="CS1853" s="5" t="s">
        <v>307</v>
      </c>
      <c r="CT1853" s="5" t="s">
        <v>307</v>
      </c>
      <c r="CU1853" s="5" t="s">
        <v>260</v>
      </c>
      <c r="CX1853" s="7">
        <f>1</f>
        <v>1</v>
      </c>
      <c r="CY1853" s="7">
        <f>0</f>
        <v>0</v>
      </c>
      <c r="DA1853" s="7">
        <f>0</f>
        <v>0</v>
      </c>
      <c r="DC1853" s="5" t="s">
        <v>812</v>
      </c>
      <c r="DD1853" s="5" t="s">
        <v>240</v>
      </c>
      <c r="DF1853" s="5" t="s">
        <v>812</v>
      </c>
      <c r="DG1853" s="7">
        <f>1112</f>
        <v>1112</v>
      </c>
      <c r="DI1853" s="5" t="s">
        <v>240</v>
      </c>
      <c r="DJ1853" s="5" t="s">
        <v>240</v>
      </c>
      <c r="DK1853" s="5" t="s">
        <v>240</v>
      </c>
      <c r="DL1853" s="5" t="s">
        <v>240</v>
      </c>
      <c r="DP1853" s="5" t="s">
        <v>240</v>
      </c>
      <c r="DQ1853" s="5" t="s">
        <v>240</v>
      </c>
      <c r="DR1853" s="5" t="s">
        <v>240</v>
      </c>
      <c r="DS1853" s="5" t="s">
        <v>240</v>
      </c>
      <c r="DV1853" s="5" t="s">
        <v>813</v>
      </c>
      <c r="DW1853" s="5" t="s">
        <v>3838</v>
      </c>
      <c r="HO1853" s="5" t="s">
        <v>312</v>
      </c>
    </row>
    <row r="1854" spans="1:223" x14ac:dyDescent="0.4">
      <c r="A1854" s="5">
        <v>3552</v>
      </c>
      <c r="B1854" s="5">
        <v>1</v>
      </c>
      <c r="C1854" s="5">
        <v>1</v>
      </c>
      <c r="D1854" s="5" t="s">
        <v>297</v>
      </c>
      <c r="E1854" s="5" t="s">
        <v>245</v>
      </c>
      <c r="F1854" s="5" t="s">
        <v>254</v>
      </c>
      <c r="G1854" s="5" t="s">
        <v>240</v>
      </c>
      <c r="H1854" s="6" t="s">
        <v>3466</v>
      </c>
      <c r="I1854" s="5" t="s">
        <v>6613</v>
      </c>
      <c r="J1854" s="8">
        <f>0</f>
        <v>0</v>
      </c>
      <c r="K1854" s="5" t="s">
        <v>308</v>
      </c>
      <c r="L1854" s="7">
        <f>5923800</f>
        <v>5923800</v>
      </c>
      <c r="M1854" s="7">
        <f>5923800</f>
        <v>5923800</v>
      </c>
      <c r="N1854" s="5" t="s">
        <v>242</v>
      </c>
      <c r="O1854" s="5">
        <v>1</v>
      </c>
      <c r="P1854" s="5" t="s">
        <v>294</v>
      </c>
      <c r="Q1854" s="5" t="s">
        <v>266</v>
      </c>
      <c r="R1854" s="5" t="s">
        <v>240</v>
      </c>
      <c r="S1854" s="5" t="s">
        <v>240</v>
      </c>
      <c r="T1854" s="5" t="s">
        <v>296</v>
      </c>
      <c r="U1854" s="5" t="s">
        <v>244</v>
      </c>
      <c r="V1854" s="5" t="s">
        <v>240</v>
      </c>
      <c r="Y1854" s="5" t="s">
        <v>240</v>
      </c>
      <c r="Z1854" s="6" t="s">
        <v>298</v>
      </c>
      <c r="AB1854" s="6" t="s">
        <v>240</v>
      </c>
      <c r="AE1854" s="6" t="s">
        <v>299</v>
      </c>
      <c r="AF1854" s="5" t="s">
        <v>248</v>
      </c>
      <c r="AG1854" s="5" t="s">
        <v>249</v>
      </c>
      <c r="AW1854" s="5" t="s">
        <v>251</v>
      </c>
      <c r="AX1854" s="5" t="s">
        <v>240</v>
      </c>
      <c r="AY1854" s="5" t="s">
        <v>253</v>
      </c>
      <c r="AZ1854" s="5" t="s">
        <v>240</v>
      </c>
      <c r="BA1854" s="5" t="s">
        <v>255</v>
      </c>
      <c r="BB1854" s="5" t="s">
        <v>240</v>
      </c>
      <c r="BD1854" s="5" t="s">
        <v>240</v>
      </c>
      <c r="BF1854" s="5" t="s">
        <v>301</v>
      </c>
      <c r="BG1854" s="6" t="s">
        <v>299</v>
      </c>
      <c r="BH1854" s="5" t="s">
        <v>302</v>
      </c>
      <c r="BI1854" s="5" t="s">
        <v>303</v>
      </c>
      <c r="BJ1854" s="5" t="s">
        <v>240</v>
      </c>
      <c r="BK1854" s="8">
        <f>0</f>
        <v>0</v>
      </c>
      <c r="BL1854" s="7">
        <f>0</f>
        <v>0</v>
      </c>
      <c r="BM1854" s="5" t="s">
        <v>258</v>
      </c>
      <c r="BN1854" s="5" t="s">
        <v>259</v>
      </c>
      <c r="CB1854" s="5" t="s">
        <v>240</v>
      </c>
      <c r="CC1854" s="5" t="s">
        <v>240</v>
      </c>
      <c r="CG1854" s="5" t="s">
        <v>304</v>
      </c>
      <c r="CH1854" s="5" t="s">
        <v>305</v>
      </c>
      <c r="CI1854" s="5" t="s">
        <v>240</v>
      </c>
      <c r="CL1854" s="6" t="s">
        <v>261</v>
      </c>
      <c r="CM1854" s="5" t="s">
        <v>240</v>
      </c>
      <c r="CN1854" s="5" t="s">
        <v>263</v>
      </c>
      <c r="CO1854" s="5" t="s">
        <v>240</v>
      </c>
      <c r="CP1854" s="5" t="s">
        <v>240</v>
      </c>
      <c r="CQ1854" s="5">
        <v>0</v>
      </c>
      <c r="CR1854" s="5" t="s">
        <v>306</v>
      </c>
      <c r="CS1854" s="5" t="s">
        <v>307</v>
      </c>
      <c r="CT1854" s="5" t="s">
        <v>307</v>
      </c>
      <c r="CU1854" s="5" t="s">
        <v>260</v>
      </c>
      <c r="CX1854" s="7">
        <f>1</f>
        <v>1</v>
      </c>
      <c r="CY1854" s="7">
        <f>0</f>
        <v>0</v>
      </c>
      <c r="DA1854" s="7">
        <f>0</f>
        <v>0</v>
      </c>
      <c r="DC1854" s="5" t="s">
        <v>812</v>
      </c>
      <c r="DD1854" s="5" t="s">
        <v>240</v>
      </c>
      <c r="DF1854" s="5" t="s">
        <v>812</v>
      </c>
      <c r="DG1854" s="7">
        <f>321</f>
        <v>321</v>
      </c>
      <c r="DI1854" s="5" t="s">
        <v>240</v>
      </c>
      <c r="DJ1854" s="5" t="s">
        <v>240</v>
      </c>
      <c r="DK1854" s="5" t="s">
        <v>240</v>
      </c>
      <c r="DL1854" s="5" t="s">
        <v>240</v>
      </c>
      <c r="DP1854" s="5" t="s">
        <v>240</v>
      </c>
      <c r="DQ1854" s="5" t="s">
        <v>240</v>
      </c>
      <c r="DR1854" s="5" t="s">
        <v>240</v>
      </c>
      <c r="DS1854" s="5" t="s">
        <v>240</v>
      </c>
      <c r="DV1854" s="5" t="s">
        <v>813</v>
      </c>
      <c r="DW1854" s="5" t="s">
        <v>3840</v>
      </c>
      <c r="HO1854" s="5" t="s">
        <v>312</v>
      </c>
    </row>
    <row r="1855" spans="1:223" x14ac:dyDescent="0.4">
      <c r="A1855" s="5">
        <v>3553</v>
      </c>
      <c r="B1855" s="5">
        <v>1</v>
      </c>
      <c r="C1855" s="5">
        <v>1</v>
      </c>
      <c r="D1855" s="5" t="s">
        <v>297</v>
      </c>
      <c r="E1855" s="5" t="s">
        <v>245</v>
      </c>
      <c r="F1855" s="5" t="s">
        <v>254</v>
      </c>
      <c r="G1855" s="5" t="s">
        <v>240</v>
      </c>
      <c r="H1855" s="6" t="s">
        <v>5281</v>
      </c>
      <c r="I1855" s="5" t="s">
        <v>5279</v>
      </c>
      <c r="J1855" s="8">
        <f>58</f>
        <v>58</v>
      </c>
      <c r="K1855" s="5" t="s">
        <v>308</v>
      </c>
      <c r="L1855" s="7">
        <f>128470</f>
        <v>128470</v>
      </c>
      <c r="M1855" s="7">
        <f>128470</f>
        <v>128470</v>
      </c>
      <c r="N1855" s="5" t="s">
        <v>242</v>
      </c>
      <c r="O1855" s="5">
        <v>1</v>
      </c>
      <c r="P1855" s="5" t="s">
        <v>294</v>
      </c>
      <c r="Q1855" s="5" t="s">
        <v>266</v>
      </c>
      <c r="R1855" s="5" t="s">
        <v>240</v>
      </c>
      <c r="S1855" s="5" t="s">
        <v>240</v>
      </c>
      <c r="T1855" s="5" t="s">
        <v>296</v>
      </c>
      <c r="U1855" s="5" t="s">
        <v>244</v>
      </c>
      <c r="V1855" s="5" t="s">
        <v>240</v>
      </c>
      <c r="Y1855" s="5" t="s">
        <v>240</v>
      </c>
      <c r="Z1855" s="6" t="s">
        <v>298</v>
      </c>
      <c r="AB1855" s="6" t="s">
        <v>240</v>
      </c>
      <c r="AE1855" s="6" t="s">
        <v>299</v>
      </c>
      <c r="AF1855" s="5" t="s">
        <v>248</v>
      </c>
      <c r="AG1855" s="5" t="s">
        <v>249</v>
      </c>
      <c r="AW1855" s="5" t="s">
        <v>251</v>
      </c>
      <c r="AX1855" s="5" t="s">
        <v>240</v>
      </c>
      <c r="AY1855" s="5" t="s">
        <v>253</v>
      </c>
      <c r="AZ1855" s="5" t="s">
        <v>240</v>
      </c>
      <c r="BA1855" s="5" t="s">
        <v>255</v>
      </c>
      <c r="BB1855" s="5" t="s">
        <v>240</v>
      </c>
      <c r="BD1855" s="5" t="s">
        <v>240</v>
      </c>
      <c r="BF1855" s="5" t="s">
        <v>301</v>
      </c>
      <c r="BG1855" s="6" t="s">
        <v>299</v>
      </c>
      <c r="BH1855" s="5" t="s">
        <v>302</v>
      </c>
      <c r="BI1855" s="5" t="s">
        <v>303</v>
      </c>
      <c r="BJ1855" s="5" t="s">
        <v>240</v>
      </c>
      <c r="BK1855" s="8">
        <f>0</f>
        <v>0</v>
      </c>
      <c r="BL1855" s="7">
        <f>0</f>
        <v>0</v>
      </c>
      <c r="BM1855" s="5" t="s">
        <v>258</v>
      </c>
      <c r="BN1855" s="5" t="s">
        <v>259</v>
      </c>
      <c r="CB1855" s="5" t="s">
        <v>240</v>
      </c>
      <c r="CC1855" s="5" t="s">
        <v>240</v>
      </c>
      <c r="CG1855" s="5" t="s">
        <v>304</v>
      </c>
      <c r="CH1855" s="5" t="s">
        <v>305</v>
      </c>
      <c r="CI1855" s="5" t="s">
        <v>240</v>
      </c>
      <c r="CL1855" s="6" t="s">
        <v>261</v>
      </c>
      <c r="CM1855" s="5" t="s">
        <v>240</v>
      </c>
      <c r="CN1855" s="5" t="s">
        <v>263</v>
      </c>
      <c r="CO1855" s="5" t="s">
        <v>240</v>
      </c>
      <c r="CP1855" s="5" t="s">
        <v>240</v>
      </c>
      <c r="CQ1855" s="5">
        <v>0</v>
      </c>
      <c r="CR1855" s="5" t="s">
        <v>306</v>
      </c>
      <c r="CS1855" s="5" t="s">
        <v>307</v>
      </c>
      <c r="CT1855" s="5" t="s">
        <v>307</v>
      </c>
      <c r="CU1855" s="5" t="s">
        <v>260</v>
      </c>
      <c r="CX1855" s="7">
        <f>1</f>
        <v>1</v>
      </c>
      <c r="CY1855" s="7">
        <f>0</f>
        <v>0</v>
      </c>
      <c r="DA1855" s="7">
        <f>0</f>
        <v>0</v>
      </c>
      <c r="DC1855" s="5" t="s">
        <v>812</v>
      </c>
      <c r="DD1855" s="5" t="s">
        <v>240</v>
      </c>
      <c r="DF1855" s="5" t="s">
        <v>812</v>
      </c>
      <c r="DG1855" s="7">
        <f>212</f>
        <v>212</v>
      </c>
      <c r="DI1855" s="5" t="s">
        <v>240</v>
      </c>
      <c r="DJ1855" s="5" t="s">
        <v>240</v>
      </c>
      <c r="DK1855" s="5" t="s">
        <v>240</v>
      </c>
      <c r="DL1855" s="5" t="s">
        <v>240</v>
      </c>
      <c r="DP1855" s="5" t="s">
        <v>240</v>
      </c>
      <c r="DQ1855" s="5" t="s">
        <v>240</v>
      </c>
      <c r="DR1855" s="5" t="s">
        <v>240</v>
      </c>
      <c r="DS1855" s="5" t="s">
        <v>240</v>
      </c>
      <c r="DV1855" s="5" t="s">
        <v>813</v>
      </c>
      <c r="DW1855" s="5" t="s">
        <v>3842</v>
      </c>
      <c r="HO1855" s="5" t="s">
        <v>312</v>
      </c>
    </row>
    <row r="1856" spans="1:223" x14ac:dyDescent="0.4">
      <c r="A1856" s="5">
        <v>3554</v>
      </c>
      <c r="B1856" s="5">
        <v>1</v>
      </c>
      <c r="C1856" s="5">
        <v>1</v>
      </c>
      <c r="D1856" s="5" t="s">
        <v>297</v>
      </c>
      <c r="E1856" s="5" t="s">
        <v>245</v>
      </c>
      <c r="F1856" s="5" t="s">
        <v>254</v>
      </c>
      <c r="G1856" s="5" t="s">
        <v>6625</v>
      </c>
      <c r="H1856" s="6" t="s">
        <v>6626</v>
      </c>
      <c r="I1856" s="5" t="s">
        <v>6624</v>
      </c>
      <c r="J1856" s="8">
        <f>138.38</f>
        <v>138.38</v>
      </c>
      <c r="K1856" s="5" t="s">
        <v>308</v>
      </c>
      <c r="L1856" s="7">
        <f>5779779</f>
        <v>5779779</v>
      </c>
      <c r="M1856" s="7">
        <f>5779779</f>
        <v>5779779</v>
      </c>
      <c r="N1856" s="5" t="s">
        <v>242</v>
      </c>
      <c r="O1856" s="5">
        <v>1</v>
      </c>
      <c r="P1856" s="5" t="s">
        <v>294</v>
      </c>
      <c r="Q1856" s="5" t="s">
        <v>266</v>
      </c>
      <c r="R1856" s="5" t="s">
        <v>240</v>
      </c>
      <c r="S1856" s="5" t="s">
        <v>240</v>
      </c>
      <c r="T1856" s="5" t="s">
        <v>296</v>
      </c>
      <c r="U1856" s="5" t="s">
        <v>244</v>
      </c>
      <c r="V1856" s="5" t="s">
        <v>240</v>
      </c>
      <c r="Y1856" s="5" t="s">
        <v>240</v>
      </c>
      <c r="Z1856" s="6" t="s">
        <v>298</v>
      </c>
      <c r="AB1856" s="6" t="s">
        <v>240</v>
      </c>
      <c r="AE1856" s="6" t="s">
        <v>299</v>
      </c>
      <c r="AF1856" s="5" t="s">
        <v>248</v>
      </c>
      <c r="AG1856" s="5" t="s">
        <v>249</v>
      </c>
      <c r="AW1856" s="5" t="s">
        <v>251</v>
      </c>
      <c r="AX1856" s="5" t="s">
        <v>240</v>
      </c>
      <c r="AY1856" s="5" t="s">
        <v>253</v>
      </c>
      <c r="AZ1856" s="5" t="s">
        <v>240</v>
      </c>
      <c r="BA1856" s="5" t="s">
        <v>255</v>
      </c>
      <c r="BB1856" s="5" t="s">
        <v>240</v>
      </c>
      <c r="BD1856" s="5" t="s">
        <v>240</v>
      </c>
      <c r="BF1856" s="5" t="s">
        <v>301</v>
      </c>
      <c r="BG1856" s="6" t="s">
        <v>299</v>
      </c>
      <c r="BH1856" s="5" t="s">
        <v>302</v>
      </c>
      <c r="BI1856" s="5" t="s">
        <v>303</v>
      </c>
      <c r="BJ1856" s="5" t="s">
        <v>240</v>
      </c>
      <c r="BK1856" s="8">
        <f>0</f>
        <v>0</v>
      </c>
      <c r="BL1856" s="7">
        <f>0</f>
        <v>0</v>
      </c>
      <c r="BM1856" s="5" t="s">
        <v>258</v>
      </c>
      <c r="BN1856" s="5" t="s">
        <v>259</v>
      </c>
      <c r="CB1856" s="5" t="s">
        <v>240</v>
      </c>
      <c r="CC1856" s="5" t="s">
        <v>240</v>
      </c>
      <c r="CG1856" s="5" t="s">
        <v>304</v>
      </c>
      <c r="CH1856" s="5" t="s">
        <v>305</v>
      </c>
      <c r="CI1856" s="5" t="s">
        <v>240</v>
      </c>
      <c r="CL1856" s="6" t="s">
        <v>261</v>
      </c>
      <c r="CM1856" s="5" t="s">
        <v>240</v>
      </c>
      <c r="CN1856" s="5" t="s">
        <v>263</v>
      </c>
      <c r="CO1856" s="5" t="s">
        <v>240</v>
      </c>
      <c r="CP1856" s="5" t="s">
        <v>240</v>
      </c>
      <c r="CQ1856" s="5">
        <v>0</v>
      </c>
      <c r="CR1856" s="5" t="s">
        <v>306</v>
      </c>
      <c r="CS1856" s="5" t="s">
        <v>307</v>
      </c>
      <c r="CT1856" s="5" t="s">
        <v>307</v>
      </c>
      <c r="CU1856" s="5" t="s">
        <v>260</v>
      </c>
      <c r="CX1856" s="7">
        <f>1</f>
        <v>1</v>
      </c>
      <c r="CY1856" s="7">
        <f>0</f>
        <v>0</v>
      </c>
      <c r="DA1856" s="7">
        <f>0</f>
        <v>0</v>
      </c>
      <c r="DC1856" s="5" t="s">
        <v>812</v>
      </c>
      <c r="DD1856" s="5" t="s">
        <v>240</v>
      </c>
      <c r="DF1856" s="5" t="s">
        <v>812</v>
      </c>
      <c r="DG1856" s="7">
        <f>307</f>
        <v>307</v>
      </c>
      <c r="DI1856" s="5" t="s">
        <v>240</v>
      </c>
      <c r="DJ1856" s="5" t="s">
        <v>240</v>
      </c>
      <c r="DK1856" s="5" t="s">
        <v>240</v>
      </c>
      <c r="DL1856" s="5" t="s">
        <v>240</v>
      </c>
      <c r="DP1856" s="5" t="s">
        <v>240</v>
      </c>
      <c r="DQ1856" s="5" t="s">
        <v>240</v>
      </c>
      <c r="DR1856" s="5" t="s">
        <v>240</v>
      </c>
      <c r="DS1856" s="5" t="s">
        <v>240</v>
      </c>
      <c r="DV1856" s="5" t="s">
        <v>813</v>
      </c>
      <c r="DW1856" s="5" t="s">
        <v>3844</v>
      </c>
      <c r="HO1856" s="5" t="s">
        <v>312</v>
      </c>
    </row>
    <row r="1857" spans="1:240" x14ac:dyDescent="0.4">
      <c r="A1857" s="5">
        <v>3555</v>
      </c>
      <c r="B1857" s="5">
        <v>1</v>
      </c>
      <c r="C1857" s="5">
        <v>1</v>
      </c>
      <c r="D1857" s="5" t="s">
        <v>297</v>
      </c>
      <c r="E1857" s="5" t="s">
        <v>245</v>
      </c>
      <c r="F1857" s="5" t="s">
        <v>254</v>
      </c>
      <c r="G1857" s="5" t="s">
        <v>6622</v>
      </c>
      <c r="H1857" s="6" t="s">
        <v>6623</v>
      </c>
      <c r="I1857" s="5" t="s">
        <v>6620</v>
      </c>
      <c r="J1857" s="8">
        <f>191.55</f>
        <v>191.55</v>
      </c>
      <c r="K1857" s="5" t="s">
        <v>308</v>
      </c>
      <c r="L1857" s="7">
        <f>2391271</f>
        <v>2391271</v>
      </c>
      <c r="M1857" s="7">
        <f>2391271</f>
        <v>2391271</v>
      </c>
      <c r="N1857" s="5" t="s">
        <v>242</v>
      </c>
      <c r="O1857" s="5">
        <v>1</v>
      </c>
      <c r="P1857" s="5" t="s">
        <v>294</v>
      </c>
      <c r="Q1857" s="5" t="s">
        <v>266</v>
      </c>
      <c r="R1857" s="5" t="s">
        <v>240</v>
      </c>
      <c r="S1857" s="5" t="s">
        <v>240</v>
      </c>
      <c r="T1857" s="5" t="s">
        <v>296</v>
      </c>
      <c r="U1857" s="5" t="s">
        <v>244</v>
      </c>
      <c r="V1857" s="5" t="s">
        <v>240</v>
      </c>
      <c r="Y1857" s="5" t="s">
        <v>240</v>
      </c>
      <c r="Z1857" s="6" t="s">
        <v>298</v>
      </c>
      <c r="AB1857" s="6" t="s">
        <v>240</v>
      </c>
      <c r="AE1857" s="6" t="s">
        <v>299</v>
      </c>
      <c r="AF1857" s="5" t="s">
        <v>248</v>
      </c>
      <c r="AG1857" s="5" t="s">
        <v>249</v>
      </c>
      <c r="AW1857" s="5" t="s">
        <v>251</v>
      </c>
      <c r="AX1857" s="5" t="s">
        <v>240</v>
      </c>
      <c r="AY1857" s="5" t="s">
        <v>253</v>
      </c>
      <c r="AZ1857" s="5" t="s">
        <v>240</v>
      </c>
      <c r="BA1857" s="5" t="s">
        <v>255</v>
      </c>
      <c r="BB1857" s="5" t="s">
        <v>240</v>
      </c>
      <c r="BD1857" s="5" t="s">
        <v>240</v>
      </c>
      <c r="BF1857" s="5" t="s">
        <v>301</v>
      </c>
      <c r="BG1857" s="6" t="s">
        <v>299</v>
      </c>
      <c r="BH1857" s="5" t="s">
        <v>302</v>
      </c>
      <c r="BI1857" s="5" t="s">
        <v>303</v>
      </c>
      <c r="BJ1857" s="5" t="s">
        <v>240</v>
      </c>
      <c r="BK1857" s="8">
        <f>0</f>
        <v>0</v>
      </c>
      <c r="BL1857" s="7">
        <f>0</f>
        <v>0</v>
      </c>
      <c r="BM1857" s="5" t="s">
        <v>258</v>
      </c>
      <c r="BN1857" s="5" t="s">
        <v>259</v>
      </c>
      <c r="CB1857" s="5" t="s">
        <v>240</v>
      </c>
      <c r="CC1857" s="5" t="s">
        <v>240</v>
      </c>
      <c r="CG1857" s="5" t="s">
        <v>304</v>
      </c>
      <c r="CH1857" s="5" t="s">
        <v>305</v>
      </c>
      <c r="CI1857" s="5" t="s">
        <v>240</v>
      </c>
      <c r="CL1857" s="6" t="s">
        <v>261</v>
      </c>
      <c r="CM1857" s="5" t="s">
        <v>240</v>
      </c>
      <c r="CN1857" s="5" t="s">
        <v>263</v>
      </c>
      <c r="CO1857" s="5" t="s">
        <v>240</v>
      </c>
      <c r="CP1857" s="5" t="s">
        <v>240</v>
      </c>
      <c r="CQ1857" s="5">
        <v>0</v>
      </c>
      <c r="CR1857" s="5" t="s">
        <v>306</v>
      </c>
      <c r="CS1857" s="5" t="s">
        <v>307</v>
      </c>
      <c r="CT1857" s="5" t="s">
        <v>307</v>
      </c>
      <c r="CU1857" s="5" t="s">
        <v>260</v>
      </c>
      <c r="CX1857" s="7">
        <f>1</f>
        <v>1</v>
      </c>
      <c r="CY1857" s="7">
        <f>0</f>
        <v>0</v>
      </c>
      <c r="DA1857" s="7">
        <f>0</f>
        <v>0</v>
      </c>
      <c r="DC1857" s="5" t="s">
        <v>812</v>
      </c>
      <c r="DD1857" s="5" t="s">
        <v>240</v>
      </c>
      <c r="DF1857" s="5" t="s">
        <v>812</v>
      </c>
      <c r="DG1857" s="7">
        <f>549</f>
        <v>549</v>
      </c>
      <c r="DI1857" s="5" t="s">
        <v>240</v>
      </c>
      <c r="DJ1857" s="5" t="s">
        <v>240</v>
      </c>
      <c r="DK1857" s="5" t="s">
        <v>240</v>
      </c>
      <c r="DL1857" s="5" t="s">
        <v>240</v>
      </c>
      <c r="DP1857" s="5" t="s">
        <v>240</v>
      </c>
      <c r="DQ1857" s="5" t="s">
        <v>240</v>
      </c>
      <c r="DR1857" s="5" t="s">
        <v>240</v>
      </c>
      <c r="DS1857" s="5" t="s">
        <v>240</v>
      </c>
      <c r="DV1857" s="5" t="s">
        <v>813</v>
      </c>
      <c r="DW1857" s="5" t="s">
        <v>3846</v>
      </c>
      <c r="HO1857" s="5" t="s">
        <v>312</v>
      </c>
    </row>
    <row r="1858" spans="1:240" x14ac:dyDescent="0.4">
      <c r="A1858" s="5">
        <v>3556</v>
      </c>
      <c r="B1858" s="5">
        <v>1</v>
      </c>
      <c r="C1858" s="5">
        <v>1</v>
      </c>
      <c r="D1858" s="5" t="s">
        <v>297</v>
      </c>
      <c r="E1858" s="5" t="s">
        <v>245</v>
      </c>
      <c r="F1858" s="5" t="s">
        <v>254</v>
      </c>
      <c r="G1858" s="5" t="s">
        <v>6643</v>
      </c>
      <c r="H1858" s="6" t="s">
        <v>5277</v>
      </c>
      <c r="I1858" s="5" t="s">
        <v>6642</v>
      </c>
      <c r="J1858" s="8">
        <f>790.11</f>
        <v>790.11</v>
      </c>
      <c r="K1858" s="5" t="s">
        <v>308</v>
      </c>
      <c r="L1858" s="7">
        <f>6472800</f>
        <v>6472800</v>
      </c>
      <c r="M1858" s="7">
        <f>6472800</f>
        <v>6472800</v>
      </c>
      <c r="N1858" s="5" t="s">
        <v>242</v>
      </c>
      <c r="O1858" s="5">
        <v>1</v>
      </c>
      <c r="P1858" s="5" t="s">
        <v>294</v>
      </c>
      <c r="Q1858" s="5" t="s">
        <v>266</v>
      </c>
      <c r="R1858" s="5" t="s">
        <v>240</v>
      </c>
      <c r="S1858" s="5" t="s">
        <v>240</v>
      </c>
      <c r="T1858" s="5" t="s">
        <v>296</v>
      </c>
      <c r="U1858" s="5" t="s">
        <v>244</v>
      </c>
      <c r="V1858" s="5" t="s">
        <v>240</v>
      </c>
      <c r="Y1858" s="5" t="s">
        <v>240</v>
      </c>
      <c r="Z1858" s="6" t="s">
        <v>298</v>
      </c>
      <c r="AB1858" s="6" t="s">
        <v>240</v>
      </c>
      <c r="AE1858" s="6" t="s">
        <v>299</v>
      </c>
      <c r="AF1858" s="5" t="s">
        <v>248</v>
      </c>
      <c r="AG1858" s="5" t="s">
        <v>249</v>
      </c>
      <c r="AW1858" s="5" t="s">
        <v>251</v>
      </c>
      <c r="AX1858" s="5" t="s">
        <v>240</v>
      </c>
      <c r="AY1858" s="5" t="s">
        <v>253</v>
      </c>
      <c r="AZ1858" s="5" t="s">
        <v>240</v>
      </c>
      <c r="BA1858" s="5" t="s">
        <v>255</v>
      </c>
      <c r="BB1858" s="5" t="s">
        <v>240</v>
      </c>
      <c r="BD1858" s="5" t="s">
        <v>240</v>
      </c>
      <c r="BF1858" s="5" t="s">
        <v>301</v>
      </c>
      <c r="BG1858" s="6" t="s">
        <v>299</v>
      </c>
      <c r="BH1858" s="5" t="s">
        <v>302</v>
      </c>
      <c r="BI1858" s="5" t="s">
        <v>303</v>
      </c>
      <c r="BJ1858" s="5" t="s">
        <v>240</v>
      </c>
      <c r="BK1858" s="8">
        <f>0</f>
        <v>0</v>
      </c>
      <c r="BL1858" s="7">
        <f>0</f>
        <v>0</v>
      </c>
      <c r="BM1858" s="5" t="s">
        <v>258</v>
      </c>
      <c r="BN1858" s="5" t="s">
        <v>259</v>
      </c>
      <c r="CB1858" s="5" t="s">
        <v>240</v>
      </c>
      <c r="CC1858" s="5" t="s">
        <v>240</v>
      </c>
      <c r="CG1858" s="5" t="s">
        <v>304</v>
      </c>
      <c r="CH1858" s="5" t="s">
        <v>305</v>
      </c>
      <c r="CI1858" s="5" t="s">
        <v>240</v>
      </c>
      <c r="CL1858" s="6" t="s">
        <v>261</v>
      </c>
      <c r="CM1858" s="5" t="s">
        <v>240</v>
      </c>
      <c r="CN1858" s="5" t="s">
        <v>263</v>
      </c>
      <c r="CO1858" s="5" t="s">
        <v>240</v>
      </c>
      <c r="CP1858" s="5" t="s">
        <v>240</v>
      </c>
      <c r="CQ1858" s="5">
        <v>0</v>
      </c>
      <c r="CR1858" s="5" t="s">
        <v>306</v>
      </c>
      <c r="CS1858" s="5" t="s">
        <v>307</v>
      </c>
      <c r="CT1858" s="5" t="s">
        <v>307</v>
      </c>
      <c r="CU1858" s="5" t="s">
        <v>260</v>
      </c>
      <c r="CX1858" s="7">
        <f>1</f>
        <v>1</v>
      </c>
      <c r="CY1858" s="7">
        <f>0</f>
        <v>0</v>
      </c>
      <c r="DA1858" s="7">
        <f>0</f>
        <v>0</v>
      </c>
      <c r="DC1858" s="5" t="s">
        <v>812</v>
      </c>
      <c r="DD1858" s="5" t="s">
        <v>240</v>
      </c>
      <c r="DF1858" s="5" t="s">
        <v>812</v>
      </c>
      <c r="DG1858" s="7">
        <f>1600</f>
        <v>1600</v>
      </c>
      <c r="DI1858" s="5" t="s">
        <v>240</v>
      </c>
      <c r="DJ1858" s="5" t="s">
        <v>240</v>
      </c>
      <c r="DK1858" s="5" t="s">
        <v>240</v>
      </c>
      <c r="DL1858" s="5" t="s">
        <v>240</v>
      </c>
      <c r="DP1858" s="5" t="s">
        <v>240</v>
      </c>
      <c r="DQ1858" s="5" t="s">
        <v>240</v>
      </c>
      <c r="DR1858" s="5" t="s">
        <v>240</v>
      </c>
      <c r="DS1858" s="5" t="s">
        <v>240</v>
      </c>
      <c r="DV1858" s="5" t="s">
        <v>813</v>
      </c>
      <c r="DW1858" s="5" t="s">
        <v>3848</v>
      </c>
      <c r="HO1858" s="5" t="s">
        <v>312</v>
      </c>
    </row>
    <row r="1859" spans="1:240" x14ac:dyDescent="0.4">
      <c r="A1859" s="5">
        <v>3557</v>
      </c>
      <c r="B1859" s="5">
        <v>1</v>
      </c>
      <c r="C1859" s="5">
        <v>1</v>
      </c>
      <c r="D1859" s="5" t="s">
        <v>297</v>
      </c>
      <c r="E1859" s="5" t="s">
        <v>245</v>
      </c>
      <c r="F1859" s="5" t="s">
        <v>254</v>
      </c>
      <c r="G1859" s="5" t="s">
        <v>6707</v>
      </c>
      <c r="H1859" s="6" t="s">
        <v>6137</v>
      </c>
      <c r="I1859" s="5" t="s">
        <v>6705</v>
      </c>
      <c r="J1859" s="8">
        <f>0</f>
        <v>0</v>
      </c>
      <c r="K1859" s="5" t="s">
        <v>308</v>
      </c>
      <c r="L1859" s="7">
        <f>31391230</f>
        <v>31391230</v>
      </c>
      <c r="M1859" s="7">
        <f>31391230</f>
        <v>31391230</v>
      </c>
      <c r="N1859" s="5" t="s">
        <v>242</v>
      </c>
      <c r="O1859" s="5">
        <v>1</v>
      </c>
      <c r="P1859" s="5" t="s">
        <v>294</v>
      </c>
      <c r="Q1859" s="5" t="s">
        <v>266</v>
      </c>
      <c r="R1859" s="5" t="s">
        <v>240</v>
      </c>
      <c r="S1859" s="5" t="s">
        <v>240</v>
      </c>
      <c r="T1859" s="5" t="s">
        <v>296</v>
      </c>
      <c r="U1859" s="5" t="s">
        <v>244</v>
      </c>
      <c r="V1859" s="5" t="s">
        <v>240</v>
      </c>
      <c r="Y1859" s="5" t="s">
        <v>240</v>
      </c>
      <c r="Z1859" s="6" t="s">
        <v>298</v>
      </c>
      <c r="AB1859" s="6" t="s">
        <v>240</v>
      </c>
      <c r="AE1859" s="6" t="s">
        <v>299</v>
      </c>
      <c r="AF1859" s="5" t="s">
        <v>248</v>
      </c>
      <c r="AG1859" s="5" t="s">
        <v>249</v>
      </c>
      <c r="AW1859" s="5" t="s">
        <v>251</v>
      </c>
      <c r="AX1859" s="5" t="s">
        <v>240</v>
      </c>
      <c r="AY1859" s="5" t="s">
        <v>253</v>
      </c>
      <c r="AZ1859" s="5" t="s">
        <v>240</v>
      </c>
      <c r="BA1859" s="5" t="s">
        <v>255</v>
      </c>
      <c r="BB1859" s="5" t="s">
        <v>240</v>
      </c>
      <c r="BD1859" s="5" t="s">
        <v>240</v>
      </c>
      <c r="BF1859" s="5" t="s">
        <v>301</v>
      </c>
      <c r="BG1859" s="6" t="s">
        <v>299</v>
      </c>
      <c r="BH1859" s="5" t="s">
        <v>302</v>
      </c>
      <c r="BI1859" s="5" t="s">
        <v>303</v>
      </c>
      <c r="BJ1859" s="5" t="s">
        <v>240</v>
      </c>
      <c r="BK1859" s="8">
        <f>0</f>
        <v>0</v>
      </c>
      <c r="BL1859" s="7">
        <f>0</f>
        <v>0</v>
      </c>
      <c r="BM1859" s="5" t="s">
        <v>258</v>
      </c>
      <c r="BN1859" s="5" t="s">
        <v>259</v>
      </c>
      <c r="CB1859" s="5" t="s">
        <v>240</v>
      </c>
      <c r="CC1859" s="5" t="s">
        <v>240</v>
      </c>
      <c r="CG1859" s="5" t="s">
        <v>304</v>
      </c>
      <c r="CH1859" s="5" t="s">
        <v>305</v>
      </c>
      <c r="CI1859" s="5" t="s">
        <v>240</v>
      </c>
      <c r="CL1859" s="6" t="s">
        <v>261</v>
      </c>
      <c r="CM1859" s="5" t="s">
        <v>240</v>
      </c>
      <c r="CN1859" s="5" t="s">
        <v>263</v>
      </c>
      <c r="CO1859" s="5" t="s">
        <v>240</v>
      </c>
      <c r="CP1859" s="5" t="s">
        <v>240</v>
      </c>
      <c r="CQ1859" s="5">
        <v>0</v>
      </c>
      <c r="CR1859" s="5" t="s">
        <v>306</v>
      </c>
      <c r="CS1859" s="5" t="s">
        <v>307</v>
      </c>
      <c r="CT1859" s="5" t="s">
        <v>307</v>
      </c>
      <c r="CU1859" s="5" t="s">
        <v>260</v>
      </c>
      <c r="CX1859" s="7">
        <f>1</f>
        <v>1</v>
      </c>
      <c r="CY1859" s="7">
        <f>0</f>
        <v>0</v>
      </c>
      <c r="DA1859" s="7">
        <f>0</f>
        <v>0</v>
      </c>
      <c r="DC1859" s="5" t="s">
        <v>812</v>
      </c>
      <c r="DD1859" s="5" t="s">
        <v>240</v>
      </c>
      <c r="DF1859" s="5" t="s">
        <v>812</v>
      </c>
      <c r="DG1859" s="7">
        <f>1530</f>
        <v>1530</v>
      </c>
      <c r="DI1859" s="5" t="s">
        <v>240</v>
      </c>
      <c r="DJ1859" s="5" t="s">
        <v>240</v>
      </c>
      <c r="DK1859" s="5" t="s">
        <v>240</v>
      </c>
      <c r="DL1859" s="5" t="s">
        <v>240</v>
      </c>
      <c r="DP1859" s="5" t="s">
        <v>240</v>
      </c>
      <c r="DQ1859" s="5" t="s">
        <v>240</v>
      </c>
      <c r="DR1859" s="5" t="s">
        <v>240</v>
      </c>
      <c r="DS1859" s="5" t="s">
        <v>240</v>
      </c>
      <c r="DV1859" s="5" t="s">
        <v>813</v>
      </c>
      <c r="DW1859" s="5" t="s">
        <v>3850</v>
      </c>
      <c r="HO1859" s="5" t="s">
        <v>312</v>
      </c>
    </row>
    <row r="1860" spans="1:240" x14ac:dyDescent="0.4">
      <c r="A1860" s="5">
        <v>3558</v>
      </c>
      <c r="B1860" s="5">
        <v>1</v>
      </c>
      <c r="C1860" s="5">
        <v>1</v>
      </c>
      <c r="D1860" s="5" t="s">
        <v>297</v>
      </c>
      <c r="E1860" s="5" t="s">
        <v>245</v>
      </c>
      <c r="F1860" s="5" t="s">
        <v>254</v>
      </c>
      <c r="G1860" s="5" t="s">
        <v>6721</v>
      </c>
      <c r="H1860" s="6" t="s">
        <v>6722</v>
      </c>
      <c r="I1860" s="5" t="s">
        <v>6719</v>
      </c>
      <c r="J1860" s="8">
        <f>0.98</f>
        <v>0.98</v>
      </c>
      <c r="K1860" s="5" t="s">
        <v>308</v>
      </c>
      <c r="L1860" s="7">
        <f>162833</f>
        <v>162833</v>
      </c>
      <c r="M1860" s="7">
        <f>162833</f>
        <v>162833</v>
      </c>
      <c r="N1860" s="5" t="s">
        <v>242</v>
      </c>
      <c r="O1860" s="5">
        <v>1</v>
      </c>
      <c r="P1860" s="5" t="s">
        <v>294</v>
      </c>
      <c r="Q1860" s="5" t="s">
        <v>266</v>
      </c>
      <c r="R1860" s="5" t="s">
        <v>240</v>
      </c>
      <c r="S1860" s="5" t="s">
        <v>240</v>
      </c>
      <c r="T1860" s="5" t="s">
        <v>296</v>
      </c>
      <c r="U1860" s="5" t="s">
        <v>244</v>
      </c>
      <c r="V1860" s="5" t="s">
        <v>240</v>
      </c>
      <c r="Y1860" s="5" t="s">
        <v>240</v>
      </c>
      <c r="Z1860" s="6" t="s">
        <v>298</v>
      </c>
      <c r="AB1860" s="6" t="s">
        <v>240</v>
      </c>
      <c r="AE1860" s="6" t="s">
        <v>299</v>
      </c>
      <c r="AF1860" s="5" t="s">
        <v>248</v>
      </c>
      <c r="AG1860" s="5" t="s">
        <v>249</v>
      </c>
      <c r="AW1860" s="5" t="s">
        <v>251</v>
      </c>
      <c r="AX1860" s="5" t="s">
        <v>240</v>
      </c>
      <c r="AY1860" s="5" t="s">
        <v>253</v>
      </c>
      <c r="AZ1860" s="5" t="s">
        <v>240</v>
      </c>
      <c r="BA1860" s="5" t="s">
        <v>255</v>
      </c>
      <c r="BB1860" s="5" t="s">
        <v>240</v>
      </c>
      <c r="BD1860" s="5" t="s">
        <v>240</v>
      </c>
      <c r="BF1860" s="5" t="s">
        <v>301</v>
      </c>
      <c r="BG1860" s="6" t="s">
        <v>299</v>
      </c>
      <c r="BH1860" s="5" t="s">
        <v>302</v>
      </c>
      <c r="BI1860" s="5" t="s">
        <v>303</v>
      </c>
      <c r="BJ1860" s="5" t="s">
        <v>240</v>
      </c>
      <c r="BK1860" s="8">
        <f>0</f>
        <v>0</v>
      </c>
      <c r="BL1860" s="7">
        <f>0</f>
        <v>0</v>
      </c>
      <c r="BM1860" s="5" t="s">
        <v>258</v>
      </c>
      <c r="BN1860" s="5" t="s">
        <v>259</v>
      </c>
      <c r="CB1860" s="5" t="s">
        <v>240</v>
      </c>
      <c r="CC1860" s="5" t="s">
        <v>240</v>
      </c>
      <c r="CG1860" s="5" t="s">
        <v>304</v>
      </c>
      <c r="CH1860" s="5" t="s">
        <v>305</v>
      </c>
      <c r="CI1860" s="5" t="s">
        <v>240</v>
      </c>
      <c r="CL1860" s="6" t="s">
        <v>261</v>
      </c>
      <c r="CM1860" s="5" t="s">
        <v>240</v>
      </c>
      <c r="CN1860" s="5" t="s">
        <v>263</v>
      </c>
      <c r="CO1860" s="5" t="s">
        <v>240</v>
      </c>
      <c r="CP1860" s="5" t="s">
        <v>240</v>
      </c>
      <c r="CQ1860" s="5">
        <v>0</v>
      </c>
      <c r="CR1860" s="5" t="s">
        <v>306</v>
      </c>
      <c r="CS1860" s="5" t="s">
        <v>307</v>
      </c>
      <c r="CT1860" s="5" t="s">
        <v>307</v>
      </c>
      <c r="CU1860" s="5" t="s">
        <v>260</v>
      </c>
      <c r="CX1860" s="7">
        <f>1</f>
        <v>1</v>
      </c>
      <c r="CY1860" s="7">
        <f>0</f>
        <v>0</v>
      </c>
      <c r="DA1860" s="7">
        <f>0</f>
        <v>0</v>
      </c>
      <c r="DC1860" s="5" t="s">
        <v>309</v>
      </c>
      <c r="DD1860" s="5" t="s">
        <v>240</v>
      </c>
      <c r="DF1860" s="5" t="s">
        <v>309</v>
      </c>
      <c r="DG1860" s="7">
        <f>4021</f>
        <v>4021</v>
      </c>
      <c r="DI1860" s="5" t="s">
        <v>240</v>
      </c>
      <c r="DJ1860" s="5" t="s">
        <v>240</v>
      </c>
      <c r="DK1860" s="5" t="s">
        <v>240</v>
      </c>
      <c r="DL1860" s="5" t="s">
        <v>240</v>
      </c>
      <c r="DP1860" s="5" t="s">
        <v>240</v>
      </c>
      <c r="DQ1860" s="5" t="s">
        <v>240</v>
      </c>
      <c r="DR1860" s="5" t="s">
        <v>240</v>
      </c>
      <c r="DS1860" s="5" t="s">
        <v>240</v>
      </c>
      <c r="DV1860" s="5" t="s">
        <v>310</v>
      </c>
      <c r="DW1860" s="5" t="s">
        <v>3184</v>
      </c>
      <c r="HO1860" s="5" t="s">
        <v>312</v>
      </c>
    </row>
    <row r="1861" spans="1:240" x14ac:dyDescent="0.4">
      <c r="A1861" s="5">
        <v>3559</v>
      </c>
      <c r="B1861" s="5">
        <v>1</v>
      </c>
      <c r="C1861" s="5">
        <v>1</v>
      </c>
      <c r="D1861" s="5" t="s">
        <v>297</v>
      </c>
      <c r="E1861" s="5" t="s">
        <v>245</v>
      </c>
      <c r="F1861" s="5" t="s">
        <v>254</v>
      </c>
      <c r="G1861" s="5" t="s">
        <v>240</v>
      </c>
      <c r="H1861" s="6" t="s">
        <v>5284</v>
      </c>
      <c r="I1861" s="5" t="s">
        <v>295</v>
      </c>
      <c r="J1861" s="8">
        <f>1257.73</f>
        <v>1257.73</v>
      </c>
      <c r="K1861" s="5" t="s">
        <v>308</v>
      </c>
      <c r="L1861" s="7">
        <f>9558748</f>
        <v>9558748</v>
      </c>
      <c r="M1861" s="7">
        <f>9558748</f>
        <v>9558748</v>
      </c>
      <c r="N1861" s="5" t="s">
        <v>242</v>
      </c>
      <c r="O1861" s="5">
        <v>1</v>
      </c>
      <c r="P1861" s="5" t="s">
        <v>294</v>
      </c>
      <c r="Q1861" s="5" t="s">
        <v>266</v>
      </c>
      <c r="R1861" s="5" t="s">
        <v>240</v>
      </c>
      <c r="S1861" s="5" t="s">
        <v>240</v>
      </c>
      <c r="T1861" s="5" t="s">
        <v>296</v>
      </c>
      <c r="U1861" s="5" t="s">
        <v>244</v>
      </c>
      <c r="V1861" s="5" t="s">
        <v>240</v>
      </c>
      <c r="Y1861" s="5" t="s">
        <v>240</v>
      </c>
      <c r="Z1861" s="6" t="s">
        <v>298</v>
      </c>
      <c r="AB1861" s="6" t="s">
        <v>240</v>
      </c>
      <c r="AE1861" s="6" t="s">
        <v>299</v>
      </c>
      <c r="AF1861" s="5" t="s">
        <v>248</v>
      </c>
      <c r="AG1861" s="5" t="s">
        <v>249</v>
      </c>
      <c r="AW1861" s="5" t="s">
        <v>251</v>
      </c>
      <c r="AX1861" s="5" t="s">
        <v>240</v>
      </c>
      <c r="AY1861" s="5" t="s">
        <v>253</v>
      </c>
      <c r="AZ1861" s="5" t="s">
        <v>240</v>
      </c>
      <c r="BA1861" s="5" t="s">
        <v>255</v>
      </c>
      <c r="BB1861" s="5" t="s">
        <v>240</v>
      </c>
      <c r="BD1861" s="5" t="s">
        <v>240</v>
      </c>
      <c r="BF1861" s="5" t="s">
        <v>301</v>
      </c>
      <c r="BG1861" s="6" t="s">
        <v>299</v>
      </c>
      <c r="BH1861" s="5" t="s">
        <v>302</v>
      </c>
      <c r="BI1861" s="5" t="s">
        <v>303</v>
      </c>
      <c r="BJ1861" s="5" t="s">
        <v>240</v>
      </c>
      <c r="BK1861" s="8">
        <f>0</f>
        <v>0</v>
      </c>
      <c r="BL1861" s="7">
        <f>0</f>
        <v>0</v>
      </c>
      <c r="BM1861" s="5" t="s">
        <v>258</v>
      </c>
      <c r="BN1861" s="5" t="s">
        <v>259</v>
      </c>
      <c r="CB1861" s="5" t="s">
        <v>240</v>
      </c>
      <c r="CC1861" s="5" t="s">
        <v>240</v>
      </c>
      <c r="CG1861" s="5" t="s">
        <v>304</v>
      </c>
      <c r="CH1861" s="5" t="s">
        <v>305</v>
      </c>
      <c r="CI1861" s="5" t="s">
        <v>240</v>
      </c>
      <c r="CL1861" s="6" t="s">
        <v>261</v>
      </c>
      <c r="CM1861" s="5" t="s">
        <v>240</v>
      </c>
      <c r="CN1861" s="5" t="s">
        <v>263</v>
      </c>
      <c r="CO1861" s="5" t="s">
        <v>240</v>
      </c>
      <c r="CP1861" s="5" t="s">
        <v>240</v>
      </c>
      <c r="CQ1861" s="5">
        <v>0</v>
      </c>
      <c r="CR1861" s="5" t="s">
        <v>306</v>
      </c>
      <c r="CS1861" s="5" t="s">
        <v>307</v>
      </c>
      <c r="CT1861" s="5" t="s">
        <v>307</v>
      </c>
      <c r="CU1861" s="5" t="s">
        <v>260</v>
      </c>
      <c r="CX1861" s="7">
        <f>1</f>
        <v>1</v>
      </c>
      <c r="CY1861" s="7">
        <f>0</f>
        <v>0</v>
      </c>
      <c r="DA1861" s="7">
        <f>0</f>
        <v>0</v>
      </c>
      <c r="DC1861" s="5" t="s">
        <v>812</v>
      </c>
      <c r="DD1861" s="5" t="s">
        <v>240</v>
      </c>
      <c r="DF1861" s="5" t="s">
        <v>812</v>
      </c>
      <c r="DG1861" s="7">
        <f>596</f>
        <v>596</v>
      </c>
      <c r="DI1861" s="5" t="s">
        <v>240</v>
      </c>
      <c r="DJ1861" s="5" t="s">
        <v>240</v>
      </c>
      <c r="DK1861" s="5" t="s">
        <v>240</v>
      </c>
      <c r="DL1861" s="5" t="s">
        <v>240</v>
      </c>
      <c r="DP1861" s="5" t="s">
        <v>240</v>
      </c>
      <c r="DQ1861" s="5" t="s">
        <v>240</v>
      </c>
      <c r="DR1861" s="5" t="s">
        <v>240</v>
      </c>
      <c r="DS1861" s="5" t="s">
        <v>240</v>
      </c>
      <c r="DV1861" s="5" t="s">
        <v>813</v>
      </c>
      <c r="DW1861" s="5" t="s">
        <v>3853</v>
      </c>
      <c r="HO1861" s="5" t="s">
        <v>312</v>
      </c>
    </row>
    <row r="1862" spans="1:240" x14ac:dyDescent="0.4">
      <c r="A1862" s="5">
        <v>3560</v>
      </c>
      <c r="B1862" s="5">
        <v>1</v>
      </c>
      <c r="C1862" s="5">
        <v>1</v>
      </c>
      <c r="D1862" s="5" t="s">
        <v>297</v>
      </c>
      <c r="E1862" s="5" t="s">
        <v>245</v>
      </c>
      <c r="F1862" s="5" t="s">
        <v>254</v>
      </c>
      <c r="G1862" s="5" t="s">
        <v>240</v>
      </c>
      <c r="H1862" s="6" t="s">
        <v>5140</v>
      </c>
      <c r="I1862" s="5" t="s">
        <v>5137</v>
      </c>
      <c r="J1862" s="8">
        <f>42.74</f>
        <v>42.74</v>
      </c>
      <c r="K1862" s="5" t="s">
        <v>308</v>
      </c>
      <c r="L1862" s="7">
        <f>85480</f>
        <v>85480</v>
      </c>
      <c r="M1862" s="7">
        <f>85480</f>
        <v>85480</v>
      </c>
      <c r="N1862" s="5" t="s">
        <v>242</v>
      </c>
      <c r="O1862" s="5">
        <v>1</v>
      </c>
      <c r="P1862" s="5" t="s">
        <v>294</v>
      </c>
      <c r="Q1862" s="5" t="s">
        <v>266</v>
      </c>
      <c r="R1862" s="5" t="s">
        <v>240</v>
      </c>
      <c r="S1862" s="5" t="s">
        <v>240</v>
      </c>
      <c r="T1862" s="5" t="s">
        <v>296</v>
      </c>
      <c r="U1862" s="5" t="s">
        <v>244</v>
      </c>
      <c r="V1862" s="5" t="s">
        <v>240</v>
      </c>
      <c r="Y1862" s="5" t="s">
        <v>240</v>
      </c>
      <c r="Z1862" s="6" t="s">
        <v>298</v>
      </c>
      <c r="AB1862" s="6" t="s">
        <v>240</v>
      </c>
      <c r="AE1862" s="6" t="s">
        <v>299</v>
      </c>
      <c r="AF1862" s="5" t="s">
        <v>248</v>
      </c>
      <c r="AG1862" s="5" t="s">
        <v>249</v>
      </c>
      <c r="AW1862" s="5" t="s">
        <v>251</v>
      </c>
      <c r="AX1862" s="5" t="s">
        <v>240</v>
      </c>
      <c r="AY1862" s="5" t="s">
        <v>253</v>
      </c>
      <c r="AZ1862" s="5" t="s">
        <v>240</v>
      </c>
      <c r="BA1862" s="5" t="s">
        <v>255</v>
      </c>
      <c r="BB1862" s="5" t="s">
        <v>240</v>
      </c>
      <c r="BD1862" s="5" t="s">
        <v>240</v>
      </c>
      <c r="BF1862" s="5" t="s">
        <v>301</v>
      </c>
      <c r="BG1862" s="6" t="s">
        <v>299</v>
      </c>
      <c r="BH1862" s="5" t="s">
        <v>302</v>
      </c>
      <c r="BI1862" s="5" t="s">
        <v>303</v>
      </c>
      <c r="BJ1862" s="5" t="s">
        <v>240</v>
      </c>
      <c r="BK1862" s="8">
        <f>0</f>
        <v>0</v>
      </c>
      <c r="BL1862" s="7">
        <f>0</f>
        <v>0</v>
      </c>
      <c r="BM1862" s="5" t="s">
        <v>258</v>
      </c>
      <c r="BN1862" s="5" t="s">
        <v>259</v>
      </c>
      <c r="CB1862" s="5" t="s">
        <v>240</v>
      </c>
      <c r="CC1862" s="5" t="s">
        <v>240</v>
      </c>
      <c r="CG1862" s="5" t="s">
        <v>304</v>
      </c>
      <c r="CH1862" s="5" t="s">
        <v>305</v>
      </c>
      <c r="CI1862" s="5" t="s">
        <v>240</v>
      </c>
      <c r="CL1862" s="6" t="s">
        <v>261</v>
      </c>
      <c r="CM1862" s="5" t="s">
        <v>240</v>
      </c>
      <c r="CN1862" s="5" t="s">
        <v>263</v>
      </c>
      <c r="CO1862" s="5" t="s">
        <v>240</v>
      </c>
      <c r="CP1862" s="5" t="s">
        <v>240</v>
      </c>
      <c r="CQ1862" s="5">
        <v>0</v>
      </c>
      <c r="CR1862" s="5" t="s">
        <v>306</v>
      </c>
      <c r="CS1862" s="5" t="s">
        <v>307</v>
      </c>
      <c r="CT1862" s="5" t="s">
        <v>307</v>
      </c>
      <c r="CU1862" s="5" t="s">
        <v>260</v>
      </c>
      <c r="CX1862" s="7">
        <f>1</f>
        <v>1</v>
      </c>
      <c r="CY1862" s="7">
        <f>0</f>
        <v>0</v>
      </c>
      <c r="DA1862" s="7">
        <f>0</f>
        <v>0</v>
      </c>
      <c r="DC1862" s="5" t="s">
        <v>812</v>
      </c>
      <c r="DD1862" s="5" t="s">
        <v>240</v>
      </c>
      <c r="DF1862" s="5" t="s">
        <v>812</v>
      </c>
      <c r="DG1862" s="7">
        <f>1496</f>
        <v>1496</v>
      </c>
      <c r="DI1862" s="5" t="s">
        <v>240</v>
      </c>
      <c r="DJ1862" s="5" t="s">
        <v>240</v>
      </c>
      <c r="DK1862" s="5" t="s">
        <v>240</v>
      </c>
      <c r="DL1862" s="5" t="s">
        <v>240</v>
      </c>
      <c r="DP1862" s="5" t="s">
        <v>240</v>
      </c>
      <c r="DQ1862" s="5" t="s">
        <v>240</v>
      </c>
      <c r="DR1862" s="5" t="s">
        <v>240</v>
      </c>
      <c r="DS1862" s="5" t="s">
        <v>240</v>
      </c>
      <c r="DV1862" s="5" t="s">
        <v>813</v>
      </c>
      <c r="DW1862" s="5" t="s">
        <v>3855</v>
      </c>
      <c r="HO1862" s="5" t="s">
        <v>312</v>
      </c>
    </row>
    <row r="1863" spans="1:240" x14ac:dyDescent="0.4">
      <c r="A1863" s="5">
        <v>3561</v>
      </c>
      <c r="B1863" s="5">
        <v>1</v>
      </c>
      <c r="C1863" s="5">
        <v>1</v>
      </c>
      <c r="D1863" s="5" t="s">
        <v>297</v>
      </c>
      <c r="E1863" s="5" t="s">
        <v>245</v>
      </c>
      <c r="F1863" s="5" t="s">
        <v>254</v>
      </c>
      <c r="G1863" s="5" t="s">
        <v>240</v>
      </c>
      <c r="H1863" s="6" t="s">
        <v>6147</v>
      </c>
      <c r="I1863" s="5" t="s">
        <v>6618</v>
      </c>
      <c r="J1863" s="8">
        <f>0</f>
        <v>0</v>
      </c>
      <c r="K1863" s="5" t="s">
        <v>308</v>
      </c>
      <c r="L1863" s="7">
        <f>6496200</f>
        <v>6496200</v>
      </c>
      <c r="M1863" s="7">
        <f>6496200</f>
        <v>6496200</v>
      </c>
      <c r="N1863" s="5" t="s">
        <v>242</v>
      </c>
      <c r="O1863" s="5">
        <v>1</v>
      </c>
      <c r="P1863" s="5" t="s">
        <v>294</v>
      </c>
      <c r="Q1863" s="5" t="s">
        <v>3678</v>
      </c>
      <c r="R1863" s="5" t="s">
        <v>240</v>
      </c>
      <c r="S1863" s="5" t="s">
        <v>240</v>
      </c>
      <c r="T1863" s="5" t="s">
        <v>243</v>
      </c>
      <c r="U1863" s="5" t="s">
        <v>244</v>
      </c>
      <c r="V1863" s="5" t="s">
        <v>240</v>
      </c>
      <c r="W1863" s="5" t="s">
        <v>240</v>
      </c>
      <c r="X1863" s="5" t="s">
        <v>240</v>
      </c>
      <c r="Y1863" s="5" t="s">
        <v>240</v>
      </c>
      <c r="Z1863" s="6" t="s">
        <v>298</v>
      </c>
      <c r="AA1863" s="6" t="s">
        <v>240</v>
      </c>
      <c r="AB1863" s="6" t="s">
        <v>240</v>
      </c>
      <c r="AC1863" s="5" t="s">
        <v>240</v>
      </c>
      <c r="AD1863" s="6" t="s">
        <v>240</v>
      </c>
      <c r="AE1863" s="6" t="s">
        <v>299</v>
      </c>
      <c r="AF1863" s="5" t="s">
        <v>248</v>
      </c>
      <c r="AG1863" s="5" t="s">
        <v>249</v>
      </c>
      <c r="AH1863" s="5" t="s">
        <v>240</v>
      </c>
      <c r="AI1863" s="5" t="s">
        <v>240</v>
      </c>
      <c r="AJ1863" s="5" t="s">
        <v>240</v>
      </c>
      <c r="AK1863" s="5" t="s">
        <v>240</v>
      </c>
      <c r="AL1863" s="5" t="s">
        <v>240</v>
      </c>
      <c r="AM1863" s="5" t="s">
        <v>240</v>
      </c>
      <c r="AN1863" s="5" t="s">
        <v>240</v>
      </c>
      <c r="AO1863" s="5" t="s">
        <v>240</v>
      </c>
      <c r="AP1863" s="6" t="s">
        <v>240</v>
      </c>
      <c r="AQ1863" s="6" t="s">
        <v>240</v>
      </c>
      <c r="AR1863" s="6" t="s">
        <v>240</v>
      </c>
      <c r="AS1863" s="6" t="s">
        <v>240</v>
      </c>
      <c r="AT1863" s="5" t="s">
        <v>240</v>
      </c>
      <c r="AU1863" s="5" t="s">
        <v>729</v>
      </c>
      <c r="AV1863" s="5" t="s">
        <v>729</v>
      </c>
      <c r="AW1863" s="5" t="s">
        <v>251</v>
      </c>
      <c r="AX1863" s="5" t="s">
        <v>252</v>
      </c>
      <c r="AY1863" s="5" t="s">
        <v>253</v>
      </c>
      <c r="AZ1863" s="5" t="s">
        <v>240</v>
      </c>
      <c r="BA1863" s="5" t="s">
        <v>255</v>
      </c>
      <c r="BB1863" s="5" t="s">
        <v>731</v>
      </c>
      <c r="BD1863" s="5" t="s">
        <v>240</v>
      </c>
      <c r="BF1863" s="5" t="s">
        <v>732</v>
      </c>
      <c r="BG1863" s="6" t="s">
        <v>733</v>
      </c>
      <c r="BH1863" s="5" t="s">
        <v>734</v>
      </c>
      <c r="BI1863" s="5" t="s">
        <v>734</v>
      </c>
      <c r="BJ1863" s="5" t="s">
        <v>240</v>
      </c>
      <c r="BK1863" s="7">
        <f>1</f>
        <v>1</v>
      </c>
      <c r="BL1863" s="7">
        <f>1</f>
        <v>1</v>
      </c>
      <c r="BM1863" s="5" t="s">
        <v>258</v>
      </c>
      <c r="BN1863" s="5" t="s">
        <v>259</v>
      </c>
      <c r="BO1863" s="5" t="s">
        <v>240</v>
      </c>
      <c r="BP1863" s="5" t="s">
        <v>240</v>
      </c>
      <c r="BQ1863" s="5" t="s">
        <v>240</v>
      </c>
      <c r="BR1863" s="5" t="s">
        <v>240</v>
      </c>
      <c r="BS1863" s="5" t="s">
        <v>240</v>
      </c>
      <c r="BT1863" s="5" t="s">
        <v>240</v>
      </c>
      <c r="BU1863" s="5" t="s">
        <v>240</v>
      </c>
      <c r="BV1863" s="5" t="s">
        <v>240</v>
      </c>
      <c r="BW1863" s="6" t="s">
        <v>240</v>
      </c>
      <c r="BX1863" s="5" t="s">
        <v>240</v>
      </c>
      <c r="BY1863" s="5" t="s">
        <v>240</v>
      </c>
      <c r="BZ1863" s="5" t="s">
        <v>240</v>
      </c>
      <c r="CA1863" s="5" t="s">
        <v>259</v>
      </c>
      <c r="CB1863" s="5" t="s">
        <v>240</v>
      </c>
      <c r="CC1863" s="5" t="s">
        <v>240</v>
      </c>
      <c r="CD1863" s="5" t="s">
        <v>240</v>
      </c>
      <c r="CE1863" s="5" t="s">
        <v>240</v>
      </c>
      <c r="CF1863" s="5" t="s">
        <v>240</v>
      </c>
      <c r="CG1863" s="5" t="s">
        <v>304</v>
      </c>
      <c r="CH1863" s="5" t="s">
        <v>305</v>
      </c>
      <c r="CI1863" s="5" t="s">
        <v>240</v>
      </c>
      <c r="CK1863" s="5" t="s">
        <v>3681</v>
      </c>
      <c r="CL1863" s="6" t="s">
        <v>261</v>
      </c>
      <c r="CM1863" s="5" t="s">
        <v>262</v>
      </c>
      <c r="CN1863" s="5" t="s">
        <v>263</v>
      </c>
      <c r="CO1863" s="5" t="s">
        <v>264</v>
      </c>
      <c r="CP1863" s="5" t="s">
        <v>240</v>
      </c>
      <c r="CQ1863" s="5">
        <v>0</v>
      </c>
      <c r="CR1863" s="5" t="s">
        <v>735</v>
      </c>
      <c r="CS1863" s="5" t="s">
        <v>307</v>
      </c>
      <c r="CT1863" s="5" t="s">
        <v>307</v>
      </c>
      <c r="CU1863" s="5" t="s">
        <v>260</v>
      </c>
      <c r="CV1863" s="5" t="s">
        <v>612</v>
      </c>
      <c r="CW1863" s="8">
        <f>1</f>
        <v>1</v>
      </c>
      <c r="CX1863" s="7">
        <f>1</f>
        <v>1</v>
      </c>
      <c r="CY1863" s="7">
        <f>0</f>
        <v>0</v>
      </c>
      <c r="DA1863" s="7">
        <f>1</f>
        <v>1</v>
      </c>
      <c r="DB1863" s="7" t="s">
        <v>240</v>
      </c>
      <c r="DC1863" s="5" t="s">
        <v>240</v>
      </c>
      <c r="DD1863" s="5" t="s">
        <v>240</v>
      </c>
      <c r="DE1863" s="5" t="s">
        <v>240</v>
      </c>
      <c r="DF1863" s="5" t="s">
        <v>240</v>
      </c>
      <c r="DG1863" s="7">
        <f>0</f>
        <v>0</v>
      </c>
      <c r="DI1863" s="5" t="s">
        <v>240</v>
      </c>
      <c r="DJ1863" s="5" t="s">
        <v>240</v>
      </c>
      <c r="DK1863" s="5" t="s">
        <v>240</v>
      </c>
      <c r="DL1863" s="5" t="s">
        <v>240</v>
      </c>
      <c r="DM1863" s="5" t="s">
        <v>240</v>
      </c>
      <c r="DN1863" s="5" t="s">
        <v>240</v>
      </c>
      <c r="DO1863" s="7" t="s">
        <v>240</v>
      </c>
      <c r="DP1863" s="5" t="s">
        <v>240</v>
      </c>
      <c r="DQ1863" s="5" t="s">
        <v>240</v>
      </c>
      <c r="DR1863" s="5" t="s">
        <v>731</v>
      </c>
      <c r="DS1863" s="5" t="s">
        <v>731</v>
      </c>
      <c r="DT1863" s="5" t="s">
        <v>240</v>
      </c>
      <c r="DU1863" s="5" t="s">
        <v>240</v>
      </c>
      <c r="DV1863" s="5" t="s">
        <v>3683</v>
      </c>
      <c r="DW1863" s="5" t="s">
        <v>410</v>
      </c>
      <c r="DX1863" s="5" t="s">
        <v>240</v>
      </c>
      <c r="DY1863" s="5" t="s">
        <v>240</v>
      </c>
      <c r="DZ1863" s="5" t="s">
        <v>240</v>
      </c>
      <c r="EA1863" s="5" t="s">
        <v>240</v>
      </c>
      <c r="EB1863" s="5" t="s">
        <v>240</v>
      </c>
      <c r="EC1863" s="5" t="s">
        <v>240</v>
      </c>
      <c r="ED1863" s="5" t="s">
        <v>240</v>
      </c>
      <c r="EE1863" s="5" t="s">
        <v>240</v>
      </c>
      <c r="EF1863" s="5" t="s">
        <v>240</v>
      </c>
      <c r="EG1863" s="5" t="s">
        <v>240</v>
      </c>
      <c r="EH1863" s="5" t="s">
        <v>240</v>
      </c>
      <c r="EI1863" s="5" t="s">
        <v>240</v>
      </c>
      <c r="EJ1863" s="5" t="s">
        <v>240</v>
      </c>
      <c r="EK1863" s="5" t="s">
        <v>240</v>
      </c>
      <c r="EL1863" s="5" t="s">
        <v>240</v>
      </c>
      <c r="EM1863" s="5" t="s">
        <v>240</v>
      </c>
      <c r="EN1863" s="5" t="s">
        <v>240</v>
      </c>
      <c r="EO1863" s="5" t="s">
        <v>240</v>
      </c>
      <c r="EP1863" s="5" t="s">
        <v>240</v>
      </c>
      <c r="EQ1863" s="5" t="s">
        <v>240</v>
      </c>
      <c r="ER1863" s="5" t="s">
        <v>240</v>
      </c>
      <c r="ES1863" s="5" t="s">
        <v>240</v>
      </c>
      <c r="ET1863" s="5" t="s">
        <v>240</v>
      </c>
      <c r="EU1863" s="5" t="s">
        <v>240</v>
      </c>
      <c r="EV1863" s="5" t="s">
        <v>240</v>
      </c>
      <c r="EW1863" s="5" t="s">
        <v>240</v>
      </c>
      <c r="EX1863" s="5" t="s">
        <v>240</v>
      </c>
      <c r="EY1863" s="5" t="s">
        <v>240</v>
      </c>
      <c r="EZ1863" s="5" t="s">
        <v>240</v>
      </c>
      <c r="FA1863" s="5" t="s">
        <v>240</v>
      </c>
      <c r="FB1863" s="5" t="s">
        <v>240</v>
      </c>
      <c r="FC1863" s="5" t="s">
        <v>240</v>
      </c>
      <c r="FD1863" s="5" t="s">
        <v>240</v>
      </c>
      <c r="FE1863" s="5" t="s">
        <v>240</v>
      </c>
      <c r="FF1863" s="5" t="s">
        <v>240</v>
      </c>
      <c r="FG1863" s="5" t="s">
        <v>240</v>
      </c>
      <c r="FH1863" s="5" t="s">
        <v>240</v>
      </c>
      <c r="FI1863" s="5" t="s">
        <v>240</v>
      </c>
      <c r="FJ1863" s="5" t="s">
        <v>240</v>
      </c>
      <c r="FK1863" s="5" t="s">
        <v>240</v>
      </c>
      <c r="FL1863" s="5" t="s">
        <v>240</v>
      </c>
      <c r="FM1863" s="5" t="s">
        <v>240</v>
      </c>
      <c r="FN1863" s="5" t="s">
        <v>240</v>
      </c>
      <c r="FO1863" s="5" t="s">
        <v>240</v>
      </c>
      <c r="FP1863" s="5" t="s">
        <v>240</v>
      </c>
      <c r="FQ1863" s="5" t="s">
        <v>240</v>
      </c>
      <c r="FR1863" s="5" t="s">
        <v>240</v>
      </c>
      <c r="FS1863" s="5" t="s">
        <v>240</v>
      </c>
      <c r="FT1863" s="5" t="s">
        <v>240</v>
      </c>
      <c r="FU1863" s="5" t="s">
        <v>240</v>
      </c>
      <c r="FV1863" s="5" t="s">
        <v>240</v>
      </c>
      <c r="FW1863" s="5" t="s">
        <v>240</v>
      </c>
      <c r="FX1863" s="5" t="s">
        <v>240</v>
      </c>
      <c r="FY1863" s="5" t="s">
        <v>240</v>
      </c>
      <c r="FZ1863" s="5" t="s">
        <v>240</v>
      </c>
      <c r="GA1863" s="5" t="s">
        <v>240</v>
      </c>
      <c r="GB1863" s="5" t="s">
        <v>240</v>
      </c>
      <c r="GC1863" s="5" t="s">
        <v>240</v>
      </c>
      <c r="GD1863" s="5" t="s">
        <v>240</v>
      </c>
      <c r="GE1863" s="5" t="s">
        <v>240</v>
      </c>
      <c r="GF1863" s="5" t="s">
        <v>240</v>
      </c>
      <c r="GG1863" s="5" t="s">
        <v>240</v>
      </c>
      <c r="GH1863" s="5" t="s">
        <v>240</v>
      </c>
      <c r="GI1863" s="5" t="s">
        <v>240</v>
      </c>
      <c r="GJ1863" s="5" t="s">
        <v>240</v>
      </c>
      <c r="GK1863" s="5" t="s">
        <v>240</v>
      </c>
      <c r="GL1863" s="5" t="s">
        <v>240</v>
      </c>
      <c r="GM1863" s="5" t="s">
        <v>240</v>
      </c>
      <c r="GN1863" s="5" t="s">
        <v>240</v>
      </c>
      <c r="GO1863" s="5" t="s">
        <v>240</v>
      </c>
      <c r="GP1863" s="5" t="s">
        <v>240</v>
      </c>
      <c r="GQ1863" s="5" t="s">
        <v>240</v>
      </c>
      <c r="GR1863" s="5" t="s">
        <v>240</v>
      </c>
      <c r="GS1863" s="5" t="s">
        <v>240</v>
      </c>
      <c r="GT1863" s="5" t="s">
        <v>240</v>
      </c>
      <c r="GU1863" s="5" t="s">
        <v>240</v>
      </c>
      <c r="GV1863" s="5" t="s">
        <v>240</v>
      </c>
      <c r="GW1863" s="5" t="s">
        <v>240</v>
      </c>
      <c r="GX1863" s="5" t="s">
        <v>240</v>
      </c>
      <c r="GY1863" s="5" t="s">
        <v>240</v>
      </c>
      <c r="GZ1863" s="5" t="s">
        <v>240</v>
      </c>
      <c r="HA1863" s="5" t="s">
        <v>240</v>
      </c>
      <c r="HB1863" s="5" t="s">
        <v>240</v>
      </c>
      <c r="HC1863" s="5" t="s">
        <v>240</v>
      </c>
      <c r="HD1863" s="5" t="s">
        <v>240</v>
      </c>
      <c r="HE1863" s="5" t="s">
        <v>240</v>
      </c>
      <c r="HF1863" s="5" t="s">
        <v>240</v>
      </c>
      <c r="HG1863" s="5" t="s">
        <v>240</v>
      </c>
      <c r="HH1863" s="5" t="s">
        <v>240</v>
      </c>
      <c r="HI1863" s="5" t="s">
        <v>240</v>
      </c>
      <c r="HJ1863" s="5" t="s">
        <v>240</v>
      </c>
      <c r="HK1863" s="5" t="s">
        <v>240</v>
      </c>
      <c r="HL1863" s="5" t="s">
        <v>240</v>
      </c>
      <c r="HM1863" s="5" t="s">
        <v>240</v>
      </c>
      <c r="HN1863" s="5" t="s">
        <v>240</v>
      </c>
      <c r="HO1863" s="5" t="s">
        <v>312</v>
      </c>
      <c r="HP1863" s="5" t="s">
        <v>240</v>
      </c>
      <c r="HQ1863" s="5" t="s">
        <v>240</v>
      </c>
      <c r="HR1863" s="5" t="s">
        <v>240</v>
      </c>
      <c r="HS1863" s="5" t="s">
        <v>240</v>
      </c>
      <c r="HT1863" s="5" t="s">
        <v>240</v>
      </c>
      <c r="HU1863" s="5" t="s">
        <v>240</v>
      </c>
      <c r="HV1863" s="5" t="s">
        <v>240</v>
      </c>
      <c r="HW1863" s="5" t="s">
        <v>240</v>
      </c>
      <c r="HX1863" s="5" t="s">
        <v>240</v>
      </c>
      <c r="HY1863" s="5" t="s">
        <v>240</v>
      </c>
      <c r="HZ1863" s="5" t="s">
        <v>240</v>
      </c>
      <c r="IA1863" s="5" t="s">
        <v>240</v>
      </c>
      <c r="IB1863" s="5" t="s">
        <v>240</v>
      </c>
      <c r="IC1863" s="5" t="s">
        <v>240</v>
      </c>
      <c r="ID1863" s="5" t="s">
        <v>240</v>
      </c>
      <c r="IE1863" s="5" t="s">
        <v>240</v>
      </c>
      <c r="IF1863" s="5" t="s">
        <v>240</v>
      </c>
    </row>
    <row r="1864" spans="1:240" x14ac:dyDescent="0.4">
      <c r="A1864" s="5">
        <v>3562</v>
      </c>
      <c r="B1864" s="5">
        <v>1</v>
      </c>
      <c r="C1864" s="5">
        <v>1</v>
      </c>
      <c r="D1864" s="5" t="s">
        <v>297</v>
      </c>
      <c r="E1864" s="5" t="s">
        <v>245</v>
      </c>
      <c r="F1864" s="5" t="s">
        <v>254</v>
      </c>
      <c r="G1864" s="5" t="s">
        <v>240</v>
      </c>
      <c r="H1864" s="6" t="s">
        <v>5163</v>
      </c>
      <c r="I1864" s="5" t="s">
        <v>5161</v>
      </c>
      <c r="J1864" s="8">
        <f>836.32</f>
        <v>836.32</v>
      </c>
      <c r="K1864" s="5" t="s">
        <v>308</v>
      </c>
      <c r="L1864" s="7">
        <f>1672640</f>
        <v>1672640</v>
      </c>
      <c r="M1864" s="7">
        <f>1672640</f>
        <v>1672640</v>
      </c>
      <c r="N1864" s="5" t="s">
        <v>242</v>
      </c>
      <c r="O1864" s="5">
        <v>1</v>
      </c>
      <c r="P1864" s="5" t="s">
        <v>294</v>
      </c>
      <c r="Q1864" s="5" t="s">
        <v>613</v>
      </c>
      <c r="R1864" s="5" t="s">
        <v>240</v>
      </c>
      <c r="S1864" s="5" t="s">
        <v>240</v>
      </c>
      <c r="T1864" s="5" t="s">
        <v>243</v>
      </c>
      <c r="U1864" s="5" t="s">
        <v>724</v>
      </c>
      <c r="V1864" s="5" t="s">
        <v>240</v>
      </c>
      <c r="W1864" s="5" t="s">
        <v>240</v>
      </c>
      <c r="X1864" s="5" t="s">
        <v>240</v>
      </c>
      <c r="Y1864" s="5" t="s">
        <v>240</v>
      </c>
      <c r="Z1864" s="6" t="s">
        <v>298</v>
      </c>
      <c r="AA1864" s="6" t="s">
        <v>240</v>
      </c>
      <c r="AB1864" s="6" t="s">
        <v>240</v>
      </c>
      <c r="AC1864" s="5" t="s">
        <v>240</v>
      </c>
      <c r="AD1864" s="6" t="s">
        <v>240</v>
      </c>
      <c r="AE1864" s="6" t="s">
        <v>299</v>
      </c>
      <c r="AF1864" s="5" t="s">
        <v>727</v>
      </c>
      <c r="AG1864" s="5" t="s">
        <v>260</v>
      </c>
      <c r="AH1864" s="5" t="s">
        <v>240</v>
      </c>
      <c r="AI1864" s="5" t="s">
        <v>240</v>
      </c>
      <c r="AJ1864" s="5" t="s">
        <v>240</v>
      </c>
      <c r="AK1864" s="5" t="s">
        <v>240</v>
      </c>
      <c r="AL1864" s="5" t="s">
        <v>240</v>
      </c>
      <c r="AM1864" s="5" t="s">
        <v>240</v>
      </c>
      <c r="AN1864" s="5" t="s">
        <v>240</v>
      </c>
      <c r="AO1864" s="5" t="s">
        <v>240</v>
      </c>
      <c r="AP1864" s="6" t="s">
        <v>240</v>
      </c>
      <c r="AQ1864" s="6" t="s">
        <v>240</v>
      </c>
      <c r="AR1864" s="6" t="s">
        <v>240</v>
      </c>
      <c r="AS1864" s="6" t="s">
        <v>240</v>
      </c>
      <c r="AT1864" s="5" t="s">
        <v>240</v>
      </c>
      <c r="AU1864" s="5" t="s">
        <v>729</v>
      </c>
      <c r="AV1864" s="5" t="s">
        <v>729</v>
      </c>
      <c r="AW1864" s="5" t="s">
        <v>251</v>
      </c>
      <c r="AX1864" s="5" t="s">
        <v>252</v>
      </c>
      <c r="AY1864" s="5" t="s">
        <v>253</v>
      </c>
      <c r="AZ1864" s="5" t="s">
        <v>240</v>
      </c>
      <c r="BA1864" s="5" t="s">
        <v>255</v>
      </c>
      <c r="BB1864" s="5" t="s">
        <v>731</v>
      </c>
      <c r="BD1864" s="5" t="s">
        <v>240</v>
      </c>
      <c r="BF1864" s="5" t="s">
        <v>732</v>
      </c>
      <c r="BG1864" s="6" t="s">
        <v>733</v>
      </c>
      <c r="BH1864" s="5" t="s">
        <v>734</v>
      </c>
      <c r="BI1864" s="5" t="s">
        <v>734</v>
      </c>
      <c r="BJ1864" s="5" t="s">
        <v>240</v>
      </c>
      <c r="BK1864" s="8">
        <f>127</f>
        <v>127</v>
      </c>
      <c r="BL1864" s="7">
        <f>0</f>
        <v>0</v>
      </c>
      <c r="BM1864" s="5" t="s">
        <v>258</v>
      </c>
      <c r="BN1864" s="5" t="s">
        <v>259</v>
      </c>
      <c r="BO1864" s="5" t="s">
        <v>240</v>
      </c>
      <c r="BP1864" s="5" t="s">
        <v>240</v>
      </c>
      <c r="BQ1864" s="5" t="s">
        <v>240</v>
      </c>
      <c r="BR1864" s="5" t="s">
        <v>240</v>
      </c>
      <c r="BS1864" s="5" t="s">
        <v>240</v>
      </c>
      <c r="BT1864" s="5" t="s">
        <v>240</v>
      </c>
      <c r="BU1864" s="5" t="s">
        <v>240</v>
      </c>
      <c r="BV1864" s="5" t="s">
        <v>240</v>
      </c>
      <c r="BW1864" s="6" t="s">
        <v>240</v>
      </c>
      <c r="BX1864" s="5" t="s">
        <v>240</v>
      </c>
      <c r="BY1864" s="5" t="s">
        <v>240</v>
      </c>
      <c r="BZ1864" s="5" t="s">
        <v>240</v>
      </c>
      <c r="CA1864" s="5" t="s">
        <v>259</v>
      </c>
      <c r="CB1864" s="5" t="s">
        <v>240</v>
      </c>
      <c r="CC1864" s="5" t="s">
        <v>240</v>
      </c>
      <c r="CD1864" s="5" t="s">
        <v>240</v>
      </c>
      <c r="CE1864" s="5" t="s">
        <v>240</v>
      </c>
      <c r="CF1864" s="5" t="s">
        <v>240</v>
      </c>
      <c r="CG1864" s="5" t="s">
        <v>617</v>
      </c>
      <c r="CH1864" s="5" t="s">
        <v>305</v>
      </c>
      <c r="CI1864" s="5" t="s">
        <v>240</v>
      </c>
      <c r="CL1864" s="6" t="s">
        <v>261</v>
      </c>
      <c r="CM1864" s="5" t="s">
        <v>262</v>
      </c>
      <c r="CN1864" s="5" t="s">
        <v>263</v>
      </c>
      <c r="CO1864" s="5" t="s">
        <v>264</v>
      </c>
      <c r="CP1864" s="5" t="s">
        <v>240</v>
      </c>
      <c r="CQ1864" s="5">
        <v>0</v>
      </c>
      <c r="CR1864" s="5" t="s">
        <v>735</v>
      </c>
      <c r="CS1864" s="5" t="s">
        <v>307</v>
      </c>
      <c r="CT1864" s="5" t="s">
        <v>307</v>
      </c>
      <c r="CU1864" s="5" t="s">
        <v>260</v>
      </c>
      <c r="CV1864" s="5" t="s">
        <v>240</v>
      </c>
      <c r="CW1864" s="8">
        <f>0</f>
        <v>0</v>
      </c>
      <c r="CX1864" s="7">
        <f>0</f>
        <v>0</v>
      </c>
      <c r="CY1864" s="7">
        <f>0</f>
        <v>0</v>
      </c>
      <c r="DA1864" s="7">
        <f>1397</f>
        <v>1397</v>
      </c>
      <c r="DB1864" s="7" t="s">
        <v>240</v>
      </c>
      <c r="DC1864" s="5" t="s">
        <v>240</v>
      </c>
      <c r="DD1864" s="5" t="s">
        <v>240</v>
      </c>
      <c r="DE1864" s="5" t="s">
        <v>240</v>
      </c>
      <c r="DF1864" s="5" t="s">
        <v>450</v>
      </c>
      <c r="DG1864" s="7">
        <f>0</f>
        <v>0</v>
      </c>
      <c r="DI1864" s="5" t="s">
        <v>737</v>
      </c>
      <c r="DJ1864" s="5" t="s">
        <v>240</v>
      </c>
      <c r="DK1864" s="5" t="s">
        <v>240</v>
      </c>
      <c r="DL1864" s="5" t="s">
        <v>240</v>
      </c>
      <c r="DM1864" s="5" t="s">
        <v>240</v>
      </c>
      <c r="DN1864" s="5" t="s">
        <v>240</v>
      </c>
      <c r="DO1864" s="7" t="s">
        <v>240</v>
      </c>
      <c r="DP1864" s="5" t="s">
        <v>240</v>
      </c>
      <c r="DQ1864" s="5" t="s">
        <v>240</v>
      </c>
      <c r="DR1864" s="5" t="s">
        <v>731</v>
      </c>
      <c r="DS1864" s="5" t="s">
        <v>731</v>
      </c>
      <c r="DT1864" s="5" t="s">
        <v>240</v>
      </c>
      <c r="DU1864" s="5" t="s">
        <v>240</v>
      </c>
      <c r="DV1864" s="5" t="s">
        <v>738</v>
      </c>
      <c r="DW1864" s="5" t="s">
        <v>623</v>
      </c>
      <c r="DX1864" s="5" t="s">
        <v>240</v>
      </c>
      <c r="DY1864" s="5" t="s">
        <v>240</v>
      </c>
      <c r="DZ1864" s="5" t="s">
        <v>240</v>
      </c>
      <c r="EA1864" s="5" t="s">
        <v>240</v>
      </c>
      <c r="EB1864" s="5" t="s">
        <v>240</v>
      </c>
      <c r="EC1864" s="5" t="s">
        <v>240</v>
      </c>
      <c r="ED1864" s="5" t="s">
        <v>240</v>
      </c>
      <c r="EE1864" s="5" t="s">
        <v>240</v>
      </c>
      <c r="EF1864" s="5" t="s">
        <v>240</v>
      </c>
      <c r="EG1864" s="5" t="s">
        <v>240</v>
      </c>
      <c r="EH1864" s="5" t="s">
        <v>240</v>
      </c>
      <c r="EI1864" s="5" t="s">
        <v>240</v>
      </c>
      <c r="EJ1864" s="5" t="s">
        <v>240</v>
      </c>
      <c r="EK1864" s="5" t="s">
        <v>240</v>
      </c>
      <c r="EL1864" s="5" t="s">
        <v>240</v>
      </c>
      <c r="EM1864" s="5" t="s">
        <v>240</v>
      </c>
      <c r="EN1864" s="5" t="s">
        <v>240</v>
      </c>
      <c r="EO1864" s="5" t="s">
        <v>240</v>
      </c>
      <c r="EP1864" s="5" t="s">
        <v>240</v>
      </c>
      <c r="EQ1864" s="5" t="s">
        <v>240</v>
      </c>
      <c r="ER1864" s="5" t="s">
        <v>240</v>
      </c>
      <c r="ES1864" s="5" t="s">
        <v>240</v>
      </c>
      <c r="ET1864" s="5" t="s">
        <v>240</v>
      </c>
      <c r="EU1864" s="5" t="s">
        <v>240</v>
      </c>
      <c r="EV1864" s="5" t="s">
        <v>240</v>
      </c>
      <c r="EW1864" s="5" t="s">
        <v>240</v>
      </c>
      <c r="EX1864" s="5" t="s">
        <v>240</v>
      </c>
      <c r="EY1864" s="5" t="s">
        <v>240</v>
      </c>
      <c r="EZ1864" s="5" t="s">
        <v>240</v>
      </c>
      <c r="FA1864" s="5" t="s">
        <v>240</v>
      </c>
      <c r="FB1864" s="5" t="s">
        <v>240</v>
      </c>
      <c r="FC1864" s="5" t="s">
        <v>240</v>
      </c>
      <c r="FD1864" s="5" t="s">
        <v>240</v>
      </c>
      <c r="FE1864" s="5" t="s">
        <v>240</v>
      </c>
      <c r="FF1864" s="5" t="s">
        <v>240</v>
      </c>
      <c r="FG1864" s="5" t="s">
        <v>240</v>
      </c>
      <c r="FH1864" s="5" t="s">
        <v>240</v>
      </c>
      <c r="FI1864" s="5" t="s">
        <v>240</v>
      </c>
      <c r="FJ1864" s="5" t="s">
        <v>240</v>
      </c>
      <c r="FK1864" s="5" t="s">
        <v>240</v>
      </c>
      <c r="FL1864" s="5" t="s">
        <v>240</v>
      </c>
      <c r="FM1864" s="5" t="s">
        <v>240</v>
      </c>
      <c r="FN1864" s="5" t="s">
        <v>240</v>
      </c>
      <c r="FO1864" s="5" t="s">
        <v>240</v>
      </c>
      <c r="FP1864" s="5" t="s">
        <v>240</v>
      </c>
      <c r="FQ1864" s="5" t="s">
        <v>240</v>
      </c>
      <c r="FR1864" s="5" t="s">
        <v>240</v>
      </c>
      <c r="FS1864" s="5" t="s">
        <v>240</v>
      </c>
      <c r="FT1864" s="5" t="s">
        <v>240</v>
      </c>
      <c r="FU1864" s="5" t="s">
        <v>240</v>
      </c>
      <c r="FV1864" s="5" t="s">
        <v>240</v>
      </c>
      <c r="FW1864" s="5" t="s">
        <v>240</v>
      </c>
      <c r="FX1864" s="5" t="s">
        <v>240</v>
      </c>
      <c r="FY1864" s="5" t="s">
        <v>240</v>
      </c>
      <c r="FZ1864" s="5" t="s">
        <v>240</v>
      </c>
      <c r="GA1864" s="5" t="s">
        <v>240</v>
      </c>
      <c r="GB1864" s="5" t="s">
        <v>240</v>
      </c>
      <c r="GC1864" s="5" t="s">
        <v>240</v>
      </c>
      <c r="GD1864" s="5" t="s">
        <v>240</v>
      </c>
      <c r="GE1864" s="5" t="s">
        <v>240</v>
      </c>
      <c r="GF1864" s="5" t="s">
        <v>240</v>
      </c>
      <c r="GG1864" s="5" t="s">
        <v>240</v>
      </c>
      <c r="GH1864" s="5" t="s">
        <v>240</v>
      </c>
      <c r="GI1864" s="5" t="s">
        <v>240</v>
      </c>
      <c r="GJ1864" s="5" t="s">
        <v>240</v>
      </c>
      <c r="GK1864" s="5" t="s">
        <v>240</v>
      </c>
      <c r="GL1864" s="5" t="s">
        <v>240</v>
      </c>
      <c r="GM1864" s="5" t="s">
        <v>240</v>
      </c>
      <c r="GN1864" s="5" t="s">
        <v>240</v>
      </c>
      <c r="GO1864" s="5" t="s">
        <v>240</v>
      </c>
      <c r="GP1864" s="5" t="s">
        <v>240</v>
      </c>
      <c r="GQ1864" s="5" t="s">
        <v>240</v>
      </c>
      <c r="GR1864" s="5" t="s">
        <v>240</v>
      </c>
      <c r="GS1864" s="5" t="s">
        <v>240</v>
      </c>
      <c r="GT1864" s="5" t="s">
        <v>240</v>
      </c>
      <c r="GU1864" s="5" t="s">
        <v>240</v>
      </c>
      <c r="GV1864" s="5" t="s">
        <v>240</v>
      </c>
      <c r="GW1864" s="5" t="s">
        <v>240</v>
      </c>
      <c r="GX1864" s="5" t="s">
        <v>240</v>
      </c>
      <c r="GY1864" s="5" t="s">
        <v>240</v>
      </c>
      <c r="GZ1864" s="5" t="s">
        <v>240</v>
      </c>
      <c r="HA1864" s="5" t="s">
        <v>240</v>
      </c>
      <c r="HB1864" s="5" t="s">
        <v>240</v>
      </c>
      <c r="HC1864" s="5" t="s">
        <v>240</v>
      </c>
      <c r="HD1864" s="5" t="s">
        <v>240</v>
      </c>
      <c r="HE1864" s="5" t="s">
        <v>240</v>
      </c>
      <c r="HF1864" s="5" t="s">
        <v>240</v>
      </c>
      <c r="HG1864" s="5" t="s">
        <v>240</v>
      </c>
      <c r="HH1864" s="5" t="s">
        <v>240</v>
      </c>
      <c r="HI1864" s="5" t="s">
        <v>240</v>
      </c>
      <c r="HJ1864" s="5" t="s">
        <v>240</v>
      </c>
      <c r="HK1864" s="5" t="s">
        <v>240</v>
      </c>
      <c r="HL1864" s="5" t="s">
        <v>240</v>
      </c>
      <c r="HM1864" s="5" t="s">
        <v>240</v>
      </c>
      <c r="HN1864" s="5" t="s">
        <v>240</v>
      </c>
      <c r="HO1864" s="5" t="s">
        <v>620</v>
      </c>
      <c r="HP1864" s="5" t="s">
        <v>240</v>
      </c>
      <c r="HQ1864" s="5" t="s">
        <v>240</v>
      </c>
      <c r="HR1864" s="5" t="s">
        <v>240</v>
      </c>
      <c r="HS1864" s="5" t="s">
        <v>240</v>
      </c>
      <c r="HT1864" s="5" t="s">
        <v>240</v>
      </c>
      <c r="HU1864" s="5" t="s">
        <v>240</v>
      </c>
      <c r="HV1864" s="5" t="s">
        <v>240</v>
      </c>
      <c r="HW1864" s="5" t="s">
        <v>240</v>
      </c>
      <c r="HX1864" s="5" t="s">
        <v>240</v>
      </c>
      <c r="HY1864" s="5" t="s">
        <v>240</v>
      </c>
      <c r="HZ1864" s="5" t="s">
        <v>240</v>
      </c>
      <c r="IA1864" s="5" t="s">
        <v>240</v>
      </c>
      <c r="IB1864" s="5" t="s">
        <v>240</v>
      </c>
      <c r="IC1864" s="5" t="s">
        <v>240</v>
      </c>
      <c r="ID1864" s="5" t="s">
        <v>240</v>
      </c>
      <c r="IE1864" s="5" t="s">
        <v>240</v>
      </c>
      <c r="IF1864" s="5" t="s">
        <v>240</v>
      </c>
    </row>
    <row r="1865" spans="1:240" x14ac:dyDescent="0.4">
      <c r="A1865" s="5">
        <v>3563</v>
      </c>
      <c r="B1865" s="5">
        <v>1</v>
      </c>
      <c r="C1865" s="5">
        <v>1</v>
      </c>
      <c r="D1865" s="5" t="s">
        <v>297</v>
      </c>
      <c r="E1865" s="5" t="s">
        <v>245</v>
      </c>
      <c r="F1865" s="5" t="s">
        <v>254</v>
      </c>
      <c r="G1865" s="5" t="s">
        <v>240</v>
      </c>
      <c r="H1865" s="6" t="s">
        <v>5180</v>
      </c>
      <c r="I1865" s="5" t="s">
        <v>5178</v>
      </c>
      <c r="J1865" s="8">
        <f>12.67</f>
        <v>12.67</v>
      </c>
      <c r="K1865" s="5" t="s">
        <v>308</v>
      </c>
      <c r="L1865" s="7">
        <f>165977</f>
        <v>165977</v>
      </c>
      <c r="M1865" s="7">
        <f>165977</f>
        <v>165977</v>
      </c>
      <c r="N1865" s="5" t="s">
        <v>242</v>
      </c>
      <c r="O1865" s="5">
        <v>1</v>
      </c>
      <c r="P1865" s="5" t="s">
        <v>294</v>
      </c>
      <c r="Q1865" s="5" t="s">
        <v>266</v>
      </c>
      <c r="R1865" s="5" t="s">
        <v>240</v>
      </c>
      <c r="S1865" s="5" t="s">
        <v>240</v>
      </c>
      <c r="T1865" s="5" t="s">
        <v>296</v>
      </c>
      <c r="U1865" s="5" t="s">
        <v>244</v>
      </c>
      <c r="V1865" s="5" t="s">
        <v>240</v>
      </c>
      <c r="Y1865" s="5" t="s">
        <v>240</v>
      </c>
      <c r="Z1865" s="6" t="s">
        <v>298</v>
      </c>
      <c r="AB1865" s="6" t="s">
        <v>240</v>
      </c>
      <c r="AE1865" s="6" t="s">
        <v>299</v>
      </c>
      <c r="AF1865" s="5" t="s">
        <v>248</v>
      </c>
      <c r="AG1865" s="5" t="s">
        <v>249</v>
      </c>
      <c r="AW1865" s="5" t="s">
        <v>251</v>
      </c>
      <c r="AX1865" s="5" t="s">
        <v>240</v>
      </c>
      <c r="AY1865" s="5" t="s">
        <v>253</v>
      </c>
      <c r="AZ1865" s="5" t="s">
        <v>240</v>
      </c>
      <c r="BA1865" s="5" t="s">
        <v>255</v>
      </c>
      <c r="BB1865" s="5" t="s">
        <v>240</v>
      </c>
      <c r="BD1865" s="5" t="s">
        <v>240</v>
      </c>
      <c r="BF1865" s="5" t="s">
        <v>301</v>
      </c>
      <c r="BG1865" s="6" t="s">
        <v>299</v>
      </c>
      <c r="BH1865" s="5" t="s">
        <v>302</v>
      </c>
      <c r="BI1865" s="5" t="s">
        <v>303</v>
      </c>
      <c r="BJ1865" s="5" t="s">
        <v>240</v>
      </c>
      <c r="BK1865" s="8">
        <f>0</f>
        <v>0</v>
      </c>
      <c r="BL1865" s="7">
        <f>0</f>
        <v>0</v>
      </c>
      <c r="BM1865" s="5" t="s">
        <v>258</v>
      </c>
      <c r="BN1865" s="5" t="s">
        <v>259</v>
      </c>
      <c r="CB1865" s="5" t="s">
        <v>240</v>
      </c>
      <c r="CC1865" s="5" t="s">
        <v>240</v>
      </c>
      <c r="CG1865" s="5" t="s">
        <v>304</v>
      </c>
      <c r="CH1865" s="5" t="s">
        <v>305</v>
      </c>
      <c r="CI1865" s="5" t="s">
        <v>240</v>
      </c>
      <c r="CL1865" s="6" t="s">
        <v>261</v>
      </c>
      <c r="CM1865" s="5" t="s">
        <v>240</v>
      </c>
      <c r="CN1865" s="5" t="s">
        <v>263</v>
      </c>
      <c r="CO1865" s="5" t="s">
        <v>240</v>
      </c>
      <c r="CP1865" s="5" t="s">
        <v>240</v>
      </c>
      <c r="CQ1865" s="5">
        <v>0</v>
      </c>
      <c r="CR1865" s="5" t="s">
        <v>306</v>
      </c>
      <c r="CS1865" s="5" t="s">
        <v>307</v>
      </c>
      <c r="CT1865" s="5" t="s">
        <v>307</v>
      </c>
      <c r="CU1865" s="5" t="s">
        <v>260</v>
      </c>
      <c r="CX1865" s="7">
        <f>1</f>
        <v>1</v>
      </c>
      <c r="CY1865" s="7">
        <f>0</f>
        <v>0</v>
      </c>
      <c r="DA1865" s="7">
        <f>0</f>
        <v>0</v>
      </c>
      <c r="DC1865" s="5" t="s">
        <v>309</v>
      </c>
      <c r="DD1865" s="5" t="s">
        <v>240</v>
      </c>
      <c r="DF1865" s="5" t="s">
        <v>309</v>
      </c>
      <c r="DG1865" s="7">
        <f>2298</f>
        <v>2298</v>
      </c>
      <c r="DI1865" s="5" t="s">
        <v>240</v>
      </c>
      <c r="DJ1865" s="5" t="s">
        <v>240</v>
      </c>
      <c r="DK1865" s="5" t="s">
        <v>240</v>
      </c>
      <c r="DL1865" s="5" t="s">
        <v>240</v>
      </c>
      <c r="DP1865" s="5" t="s">
        <v>240</v>
      </c>
      <c r="DQ1865" s="5" t="s">
        <v>240</v>
      </c>
      <c r="DR1865" s="5" t="s">
        <v>240</v>
      </c>
      <c r="DS1865" s="5" t="s">
        <v>240</v>
      </c>
      <c r="DV1865" s="5" t="s">
        <v>310</v>
      </c>
      <c r="DW1865" s="5" t="s">
        <v>3199</v>
      </c>
      <c r="HO1865" s="5" t="s">
        <v>312</v>
      </c>
    </row>
    <row r="1866" spans="1:240" x14ac:dyDescent="0.4">
      <c r="A1866" s="5">
        <v>3564</v>
      </c>
      <c r="B1866" s="5">
        <v>1</v>
      </c>
      <c r="C1866" s="5">
        <v>1</v>
      </c>
      <c r="D1866" s="5" t="s">
        <v>297</v>
      </c>
      <c r="E1866" s="5" t="s">
        <v>245</v>
      </c>
      <c r="F1866" s="5" t="s">
        <v>254</v>
      </c>
      <c r="G1866" s="5" t="s">
        <v>240</v>
      </c>
      <c r="H1866" s="6" t="s">
        <v>5180</v>
      </c>
      <c r="I1866" s="5" t="s">
        <v>5194</v>
      </c>
      <c r="J1866" s="8">
        <f>0</f>
        <v>0</v>
      </c>
      <c r="K1866" s="5" t="s">
        <v>308</v>
      </c>
      <c r="L1866" s="7">
        <f>63679</f>
        <v>63679</v>
      </c>
      <c r="M1866" s="7">
        <f>63679</f>
        <v>63679</v>
      </c>
      <c r="N1866" s="5" t="s">
        <v>242</v>
      </c>
      <c r="O1866" s="5">
        <v>1</v>
      </c>
      <c r="P1866" s="5" t="s">
        <v>294</v>
      </c>
      <c r="Q1866" s="5" t="s">
        <v>266</v>
      </c>
      <c r="R1866" s="5" t="s">
        <v>240</v>
      </c>
      <c r="S1866" s="5" t="s">
        <v>240</v>
      </c>
      <c r="T1866" s="5" t="s">
        <v>296</v>
      </c>
      <c r="U1866" s="5" t="s">
        <v>244</v>
      </c>
      <c r="V1866" s="5" t="s">
        <v>240</v>
      </c>
      <c r="Y1866" s="5" t="s">
        <v>240</v>
      </c>
      <c r="Z1866" s="6" t="s">
        <v>298</v>
      </c>
      <c r="AB1866" s="6" t="s">
        <v>240</v>
      </c>
      <c r="AE1866" s="6" t="s">
        <v>299</v>
      </c>
      <c r="AF1866" s="5" t="s">
        <v>248</v>
      </c>
      <c r="AG1866" s="5" t="s">
        <v>249</v>
      </c>
      <c r="AW1866" s="5" t="s">
        <v>251</v>
      </c>
      <c r="AX1866" s="5" t="s">
        <v>240</v>
      </c>
      <c r="AY1866" s="5" t="s">
        <v>253</v>
      </c>
      <c r="AZ1866" s="5" t="s">
        <v>240</v>
      </c>
      <c r="BA1866" s="5" t="s">
        <v>255</v>
      </c>
      <c r="BB1866" s="5" t="s">
        <v>240</v>
      </c>
      <c r="BD1866" s="5" t="s">
        <v>240</v>
      </c>
      <c r="BF1866" s="5" t="s">
        <v>301</v>
      </c>
      <c r="BG1866" s="6" t="s">
        <v>299</v>
      </c>
      <c r="BH1866" s="5" t="s">
        <v>302</v>
      </c>
      <c r="BI1866" s="5" t="s">
        <v>303</v>
      </c>
      <c r="BJ1866" s="5" t="s">
        <v>240</v>
      </c>
      <c r="BK1866" s="8">
        <f>0</f>
        <v>0</v>
      </c>
      <c r="BL1866" s="7">
        <f>0</f>
        <v>0</v>
      </c>
      <c r="BM1866" s="5" t="s">
        <v>258</v>
      </c>
      <c r="BN1866" s="5" t="s">
        <v>259</v>
      </c>
      <c r="CB1866" s="5" t="s">
        <v>240</v>
      </c>
      <c r="CC1866" s="5" t="s">
        <v>240</v>
      </c>
      <c r="CG1866" s="5" t="s">
        <v>304</v>
      </c>
      <c r="CH1866" s="5" t="s">
        <v>305</v>
      </c>
      <c r="CI1866" s="5" t="s">
        <v>240</v>
      </c>
      <c r="CL1866" s="6" t="s">
        <v>261</v>
      </c>
      <c r="CM1866" s="5" t="s">
        <v>240</v>
      </c>
      <c r="CN1866" s="5" t="s">
        <v>263</v>
      </c>
      <c r="CO1866" s="5" t="s">
        <v>240</v>
      </c>
      <c r="CP1866" s="5" t="s">
        <v>240</v>
      </c>
      <c r="CQ1866" s="5">
        <v>0</v>
      </c>
      <c r="CR1866" s="5" t="s">
        <v>306</v>
      </c>
      <c r="CS1866" s="5" t="s">
        <v>307</v>
      </c>
      <c r="CT1866" s="5" t="s">
        <v>307</v>
      </c>
      <c r="CU1866" s="5" t="s">
        <v>260</v>
      </c>
      <c r="CX1866" s="7">
        <f>1</f>
        <v>1</v>
      </c>
      <c r="CY1866" s="7">
        <f>0</f>
        <v>0</v>
      </c>
      <c r="DA1866" s="7">
        <f>0</f>
        <v>0</v>
      </c>
      <c r="DC1866" s="5" t="s">
        <v>812</v>
      </c>
      <c r="DD1866" s="5" t="s">
        <v>240</v>
      </c>
      <c r="DF1866" s="5" t="s">
        <v>812</v>
      </c>
      <c r="DG1866" s="7">
        <f>2969</f>
        <v>2969</v>
      </c>
      <c r="DI1866" s="5" t="s">
        <v>240</v>
      </c>
      <c r="DJ1866" s="5" t="s">
        <v>240</v>
      </c>
      <c r="DK1866" s="5" t="s">
        <v>240</v>
      </c>
      <c r="DL1866" s="5" t="s">
        <v>240</v>
      </c>
      <c r="DP1866" s="5" t="s">
        <v>240</v>
      </c>
      <c r="DQ1866" s="5" t="s">
        <v>240</v>
      </c>
      <c r="DR1866" s="5" t="s">
        <v>240</v>
      </c>
      <c r="DS1866" s="5" t="s">
        <v>240</v>
      </c>
      <c r="DV1866" s="5" t="s">
        <v>813</v>
      </c>
      <c r="DW1866" s="5" t="s">
        <v>3861</v>
      </c>
      <c r="HO1866" s="5" t="s">
        <v>312</v>
      </c>
    </row>
    <row r="1867" spans="1:240" x14ac:dyDescent="0.4">
      <c r="A1867" s="5">
        <v>3565</v>
      </c>
      <c r="B1867" s="5">
        <v>1</v>
      </c>
      <c r="C1867" s="5">
        <v>1</v>
      </c>
      <c r="D1867" s="5" t="s">
        <v>297</v>
      </c>
      <c r="E1867" s="5" t="s">
        <v>245</v>
      </c>
      <c r="F1867" s="5" t="s">
        <v>254</v>
      </c>
      <c r="G1867" s="5" t="s">
        <v>240</v>
      </c>
      <c r="H1867" s="6" t="s">
        <v>5198</v>
      </c>
      <c r="I1867" s="5" t="s">
        <v>5196</v>
      </c>
      <c r="J1867" s="8">
        <f>3.17</f>
        <v>3.17</v>
      </c>
      <c r="K1867" s="5" t="s">
        <v>308</v>
      </c>
      <c r="L1867" s="7">
        <f>78000</f>
        <v>78000</v>
      </c>
      <c r="M1867" s="7">
        <f>78000</f>
        <v>78000</v>
      </c>
      <c r="N1867" s="5" t="s">
        <v>242</v>
      </c>
      <c r="O1867" s="5">
        <v>1</v>
      </c>
      <c r="P1867" s="5" t="s">
        <v>294</v>
      </c>
      <c r="Q1867" s="5" t="s">
        <v>266</v>
      </c>
      <c r="R1867" s="5" t="s">
        <v>240</v>
      </c>
      <c r="S1867" s="5" t="s">
        <v>240</v>
      </c>
      <c r="T1867" s="5" t="s">
        <v>296</v>
      </c>
      <c r="U1867" s="5" t="s">
        <v>244</v>
      </c>
      <c r="V1867" s="5" t="s">
        <v>240</v>
      </c>
      <c r="Y1867" s="5" t="s">
        <v>240</v>
      </c>
      <c r="Z1867" s="6" t="s">
        <v>298</v>
      </c>
      <c r="AB1867" s="6" t="s">
        <v>240</v>
      </c>
      <c r="AE1867" s="6" t="s">
        <v>299</v>
      </c>
      <c r="AF1867" s="5" t="s">
        <v>248</v>
      </c>
      <c r="AG1867" s="5" t="s">
        <v>249</v>
      </c>
      <c r="AW1867" s="5" t="s">
        <v>251</v>
      </c>
      <c r="AX1867" s="5" t="s">
        <v>240</v>
      </c>
      <c r="AY1867" s="5" t="s">
        <v>253</v>
      </c>
      <c r="AZ1867" s="5" t="s">
        <v>240</v>
      </c>
      <c r="BA1867" s="5" t="s">
        <v>255</v>
      </c>
      <c r="BB1867" s="5" t="s">
        <v>240</v>
      </c>
      <c r="BD1867" s="5" t="s">
        <v>240</v>
      </c>
      <c r="BF1867" s="5" t="s">
        <v>301</v>
      </c>
      <c r="BG1867" s="6" t="s">
        <v>299</v>
      </c>
      <c r="BH1867" s="5" t="s">
        <v>302</v>
      </c>
      <c r="BI1867" s="5" t="s">
        <v>303</v>
      </c>
      <c r="BJ1867" s="5" t="s">
        <v>240</v>
      </c>
      <c r="BK1867" s="8">
        <f>0</f>
        <v>0</v>
      </c>
      <c r="BL1867" s="7">
        <f>0</f>
        <v>0</v>
      </c>
      <c r="BM1867" s="5" t="s">
        <v>258</v>
      </c>
      <c r="BN1867" s="5" t="s">
        <v>259</v>
      </c>
      <c r="CB1867" s="5" t="s">
        <v>240</v>
      </c>
      <c r="CC1867" s="5" t="s">
        <v>240</v>
      </c>
      <c r="CG1867" s="5" t="s">
        <v>304</v>
      </c>
      <c r="CH1867" s="5" t="s">
        <v>305</v>
      </c>
      <c r="CI1867" s="5" t="s">
        <v>240</v>
      </c>
      <c r="CL1867" s="6" t="s">
        <v>261</v>
      </c>
      <c r="CM1867" s="5" t="s">
        <v>240</v>
      </c>
      <c r="CN1867" s="5" t="s">
        <v>263</v>
      </c>
      <c r="CO1867" s="5" t="s">
        <v>240</v>
      </c>
      <c r="CP1867" s="5" t="s">
        <v>240</v>
      </c>
      <c r="CQ1867" s="5">
        <v>0</v>
      </c>
      <c r="CR1867" s="5" t="s">
        <v>306</v>
      </c>
      <c r="CS1867" s="5" t="s">
        <v>307</v>
      </c>
      <c r="CT1867" s="5" t="s">
        <v>307</v>
      </c>
      <c r="CU1867" s="5" t="s">
        <v>260</v>
      </c>
      <c r="CX1867" s="7">
        <f>1</f>
        <v>1</v>
      </c>
      <c r="CY1867" s="7">
        <f>0</f>
        <v>0</v>
      </c>
      <c r="DA1867" s="7">
        <f>0</f>
        <v>0</v>
      </c>
      <c r="DC1867" s="5" t="s">
        <v>812</v>
      </c>
      <c r="DD1867" s="5" t="s">
        <v>240</v>
      </c>
      <c r="DF1867" s="5" t="s">
        <v>812</v>
      </c>
      <c r="DG1867" s="7">
        <f>1665</f>
        <v>1665</v>
      </c>
      <c r="DI1867" s="5" t="s">
        <v>240</v>
      </c>
      <c r="DJ1867" s="5" t="s">
        <v>240</v>
      </c>
      <c r="DK1867" s="5" t="s">
        <v>240</v>
      </c>
      <c r="DL1867" s="5" t="s">
        <v>240</v>
      </c>
      <c r="DP1867" s="5" t="s">
        <v>240</v>
      </c>
      <c r="DQ1867" s="5" t="s">
        <v>240</v>
      </c>
      <c r="DR1867" s="5" t="s">
        <v>240</v>
      </c>
      <c r="DS1867" s="5" t="s">
        <v>240</v>
      </c>
      <c r="DV1867" s="5" t="s">
        <v>813</v>
      </c>
      <c r="DW1867" s="5" t="s">
        <v>3863</v>
      </c>
      <c r="HO1867" s="5" t="s">
        <v>312</v>
      </c>
    </row>
    <row r="1868" spans="1:240" x14ac:dyDescent="0.4">
      <c r="A1868" s="5">
        <v>3566</v>
      </c>
      <c r="B1868" s="5">
        <v>1</v>
      </c>
      <c r="C1868" s="5">
        <v>1</v>
      </c>
      <c r="D1868" s="5" t="s">
        <v>297</v>
      </c>
      <c r="E1868" s="5" t="s">
        <v>245</v>
      </c>
      <c r="F1868" s="5" t="s">
        <v>254</v>
      </c>
      <c r="G1868" s="5" t="s">
        <v>240</v>
      </c>
      <c r="H1868" s="6" t="s">
        <v>5198</v>
      </c>
      <c r="I1868" s="5" t="s">
        <v>6012</v>
      </c>
      <c r="J1868" s="8">
        <f>0</f>
        <v>0</v>
      </c>
      <c r="K1868" s="5" t="s">
        <v>308</v>
      </c>
      <c r="L1868" s="7">
        <f>1143000</f>
        <v>1143000</v>
      </c>
      <c r="M1868" s="7">
        <f>1143000</f>
        <v>1143000</v>
      </c>
      <c r="N1868" s="5" t="s">
        <v>242</v>
      </c>
      <c r="O1868" s="5">
        <v>1</v>
      </c>
      <c r="P1868" s="5" t="s">
        <v>294</v>
      </c>
      <c r="Q1868" s="5" t="s">
        <v>266</v>
      </c>
      <c r="R1868" s="5" t="s">
        <v>240</v>
      </c>
      <c r="S1868" s="5" t="s">
        <v>240</v>
      </c>
      <c r="T1868" s="5" t="s">
        <v>296</v>
      </c>
      <c r="U1868" s="5" t="s">
        <v>244</v>
      </c>
      <c r="V1868" s="5" t="s">
        <v>240</v>
      </c>
      <c r="Y1868" s="5" t="s">
        <v>240</v>
      </c>
      <c r="Z1868" s="6" t="s">
        <v>298</v>
      </c>
      <c r="AB1868" s="6" t="s">
        <v>240</v>
      </c>
      <c r="AE1868" s="6" t="s">
        <v>299</v>
      </c>
      <c r="AF1868" s="5" t="s">
        <v>248</v>
      </c>
      <c r="AG1868" s="5" t="s">
        <v>249</v>
      </c>
      <c r="AW1868" s="5" t="s">
        <v>251</v>
      </c>
      <c r="AX1868" s="5" t="s">
        <v>240</v>
      </c>
      <c r="AY1868" s="5" t="s">
        <v>253</v>
      </c>
      <c r="AZ1868" s="5" t="s">
        <v>240</v>
      </c>
      <c r="BA1868" s="5" t="s">
        <v>255</v>
      </c>
      <c r="BB1868" s="5" t="s">
        <v>240</v>
      </c>
      <c r="BD1868" s="5" t="s">
        <v>240</v>
      </c>
      <c r="BF1868" s="5" t="s">
        <v>301</v>
      </c>
      <c r="BG1868" s="6" t="s">
        <v>299</v>
      </c>
      <c r="BH1868" s="5" t="s">
        <v>302</v>
      </c>
      <c r="BI1868" s="5" t="s">
        <v>303</v>
      </c>
      <c r="BJ1868" s="5" t="s">
        <v>240</v>
      </c>
      <c r="BK1868" s="8">
        <f>0</f>
        <v>0</v>
      </c>
      <c r="BL1868" s="7">
        <f>0</f>
        <v>0</v>
      </c>
      <c r="BM1868" s="5" t="s">
        <v>258</v>
      </c>
      <c r="BN1868" s="5" t="s">
        <v>259</v>
      </c>
      <c r="CB1868" s="5" t="s">
        <v>240</v>
      </c>
      <c r="CC1868" s="5" t="s">
        <v>240</v>
      </c>
      <c r="CG1868" s="5" t="s">
        <v>304</v>
      </c>
      <c r="CH1868" s="5" t="s">
        <v>305</v>
      </c>
      <c r="CI1868" s="5" t="s">
        <v>240</v>
      </c>
      <c r="CL1868" s="6" t="s">
        <v>261</v>
      </c>
      <c r="CM1868" s="5" t="s">
        <v>240</v>
      </c>
      <c r="CN1868" s="5" t="s">
        <v>263</v>
      </c>
      <c r="CO1868" s="5" t="s">
        <v>240</v>
      </c>
      <c r="CP1868" s="5" t="s">
        <v>240</v>
      </c>
      <c r="CQ1868" s="5">
        <v>0</v>
      </c>
      <c r="CR1868" s="5" t="s">
        <v>306</v>
      </c>
      <c r="CS1868" s="5" t="s">
        <v>307</v>
      </c>
      <c r="CT1868" s="5" t="s">
        <v>307</v>
      </c>
      <c r="CU1868" s="5" t="s">
        <v>260</v>
      </c>
      <c r="CX1868" s="7">
        <f>1</f>
        <v>1</v>
      </c>
      <c r="CY1868" s="7">
        <f>0</f>
        <v>0</v>
      </c>
      <c r="DA1868" s="7">
        <f>0</f>
        <v>0</v>
      </c>
      <c r="DC1868" s="5" t="s">
        <v>309</v>
      </c>
      <c r="DD1868" s="5" t="s">
        <v>240</v>
      </c>
      <c r="DF1868" s="5" t="s">
        <v>309</v>
      </c>
      <c r="DG1868" s="7">
        <f>443</f>
        <v>443</v>
      </c>
      <c r="DI1868" s="5" t="s">
        <v>240</v>
      </c>
      <c r="DJ1868" s="5" t="s">
        <v>240</v>
      </c>
      <c r="DK1868" s="5" t="s">
        <v>240</v>
      </c>
      <c r="DL1868" s="5" t="s">
        <v>240</v>
      </c>
      <c r="DP1868" s="5" t="s">
        <v>240</v>
      </c>
      <c r="DQ1868" s="5" t="s">
        <v>240</v>
      </c>
      <c r="DR1868" s="5" t="s">
        <v>240</v>
      </c>
      <c r="DS1868" s="5" t="s">
        <v>240</v>
      </c>
      <c r="DV1868" s="5" t="s">
        <v>310</v>
      </c>
      <c r="DW1868" s="5" t="s">
        <v>3207</v>
      </c>
      <c r="HO1868" s="5" t="s">
        <v>312</v>
      </c>
    </row>
    <row r="1869" spans="1:240" x14ac:dyDescent="0.4">
      <c r="A1869" s="5">
        <v>3567</v>
      </c>
      <c r="B1869" s="5">
        <v>1</v>
      </c>
      <c r="C1869" s="5">
        <v>1</v>
      </c>
      <c r="D1869" s="5" t="s">
        <v>297</v>
      </c>
      <c r="E1869" s="5" t="s">
        <v>245</v>
      </c>
      <c r="F1869" s="5" t="s">
        <v>254</v>
      </c>
      <c r="G1869" s="5" t="s">
        <v>240</v>
      </c>
      <c r="H1869" s="6" t="s">
        <v>5180</v>
      </c>
      <c r="I1869" s="5" t="s">
        <v>6020</v>
      </c>
      <c r="J1869" s="8">
        <f>277.98</f>
        <v>277.98</v>
      </c>
      <c r="K1869" s="5" t="s">
        <v>308</v>
      </c>
      <c r="L1869" s="7">
        <f>1084122</f>
        <v>1084122</v>
      </c>
      <c r="M1869" s="7">
        <f>1084122</f>
        <v>1084122</v>
      </c>
      <c r="N1869" s="5" t="s">
        <v>242</v>
      </c>
      <c r="O1869" s="5">
        <v>1</v>
      </c>
      <c r="P1869" s="5" t="s">
        <v>294</v>
      </c>
      <c r="Q1869" s="5" t="s">
        <v>266</v>
      </c>
      <c r="R1869" s="5" t="s">
        <v>240</v>
      </c>
      <c r="S1869" s="5" t="s">
        <v>240</v>
      </c>
      <c r="T1869" s="5" t="s">
        <v>296</v>
      </c>
      <c r="U1869" s="5" t="s">
        <v>244</v>
      </c>
      <c r="V1869" s="5" t="s">
        <v>240</v>
      </c>
      <c r="Y1869" s="5" t="s">
        <v>240</v>
      </c>
      <c r="Z1869" s="6" t="s">
        <v>298</v>
      </c>
      <c r="AB1869" s="6" t="s">
        <v>240</v>
      </c>
      <c r="AE1869" s="6" t="s">
        <v>299</v>
      </c>
      <c r="AF1869" s="5" t="s">
        <v>248</v>
      </c>
      <c r="AG1869" s="5" t="s">
        <v>249</v>
      </c>
      <c r="AW1869" s="5" t="s">
        <v>251</v>
      </c>
      <c r="AX1869" s="5" t="s">
        <v>240</v>
      </c>
      <c r="AY1869" s="5" t="s">
        <v>253</v>
      </c>
      <c r="AZ1869" s="5" t="s">
        <v>240</v>
      </c>
      <c r="BA1869" s="5" t="s">
        <v>255</v>
      </c>
      <c r="BB1869" s="5" t="s">
        <v>240</v>
      </c>
      <c r="BD1869" s="5" t="s">
        <v>240</v>
      </c>
      <c r="BF1869" s="5" t="s">
        <v>301</v>
      </c>
      <c r="BG1869" s="6" t="s">
        <v>299</v>
      </c>
      <c r="BH1869" s="5" t="s">
        <v>302</v>
      </c>
      <c r="BI1869" s="5" t="s">
        <v>303</v>
      </c>
      <c r="BJ1869" s="5" t="s">
        <v>240</v>
      </c>
      <c r="BK1869" s="8">
        <f>0</f>
        <v>0</v>
      </c>
      <c r="BL1869" s="7">
        <f>0</f>
        <v>0</v>
      </c>
      <c r="BM1869" s="5" t="s">
        <v>258</v>
      </c>
      <c r="BN1869" s="5" t="s">
        <v>259</v>
      </c>
      <c r="CB1869" s="5" t="s">
        <v>240</v>
      </c>
      <c r="CC1869" s="5" t="s">
        <v>240</v>
      </c>
      <c r="CG1869" s="5" t="s">
        <v>304</v>
      </c>
      <c r="CH1869" s="5" t="s">
        <v>305</v>
      </c>
      <c r="CI1869" s="5" t="s">
        <v>240</v>
      </c>
      <c r="CL1869" s="6" t="s">
        <v>261</v>
      </c>
      <c r="CM1869" s="5" t="s">
        <v>240</v>
      </c>
      <c r="CN1869" s="5" t="s">
        <v>263</v>
      </c>
      <c r="CO1869" s="5" t="s">
        <v>240</v>
      </c>
      <c r="CP1869" s="5" t="s">
        <v>240</v>
      </c>
      <c r="CQ1869" s="5">
        <v>0</v>
      </c>
      <c r="CR1869" s="5" t="s">
        <v>306</v>
      </c>
      <c r="CS1869" s="5" t="s">
        <v>307</v>
      </c>
      <c r="CT1869" s="5" t="s">
        <v>307</v>
      </c>
      <c r="CU1869" s="5" t="s">
        <v>260</v>
      </c>
      <c r="CX1869" s="7">
        <f>1</f>
        <v>1</v>
      </c>
      <c r="CY1869" s="7">
        <f>0</f>
        <v>0</v>
      </c>
      <c r="DA1869" s="7">
        <f>0</f>
        <v>0</v>
      </c>
      <c r="DC1869" s="5" t="s">
        <v>812</v>
      </c>
      <c r="DD1869" s="5" t="s">
        <v>240</v>
      </c>
      <c r="DF1869" s="5" t="s">
        <v>812</v>
      </c>
      <c r="DG1869" s="7">
        <f>777</f>
        <v>777</v>
      </c>
      <c r="DI1869" s="5" t="s">
        <v>240</v>
      </c>
      <c r="DJ1869" s="5" t="s">
        <v>240</v>
      </c>
      <c r="DK1869" s="5" t="s">
        <v>240</v>
      </c>
      <c r="DL1869" s="5" t="s">
        <v>240</v>
      </c>
      <c r="DP1869" s="5" t="s">
        <v>240</v>
      </c>
      <c r="DQ1869" s="5" t="s">
        <v>240</v>
      </c>
      <c r="DR1869" s="5" t="s">
        <v>240</v>
      </c>
      <c r="DS1869" s="5" t="s">
        <v>240</v>
      </c>
      <c r="DV1869" s="5" t="s">
        <v>813</v>
      </c>
      <c r="DW1869" s="5" t="s">
        <v>3866</v>
      </c>
      <c r="HO1869" s="5" t="s">
        <v>312</v>
      </c>
    </row>
    <row r="1870" spans="1:240" x14ac:dyDescent="0.4">
      <c r="A1870" s="5">
        <v>3568</v>
      </c>
      <c r="B1870" s="5">
        <v>1</v>
      </c>
      <c r="C1870" s="5">
        <v>1</v>
      </c>
      <c r="D1870" s="5" t="s">
        <v>297</v>
      </c>
      <c r="E1870" s="5" t="s">
        <v>245</v>
      </c>
      <c r="F1870" s="5" t="s">
        <v>254</v>
      </c>
      <c r="G1870" s="5" t="s">
        <v>240</v>
      </c>
      <c r="H1870" s="6" t="s">
        <v>5180</v>
      </c>
      <c r="I1870" s="5" t="s">
        <v>6026</v>
      </c>
      <c r="J1870" s="8">
        <f>14.22</f>
        <v>14.22</v>
      </c>
      <c r="K1870" s="5" t="s">
        <v>308</v>
      </c>
      <c r="L1870" s="7">
        <f>214722</f>
        <v>214722</v>
      </c>
      <c r="M1870" s="7">
        <f>214722</f>
        <v>214722</v>
      </c>
      <c r="N1870" s="5" t="s">
        <v>242</v>
      </c>
      <c r="O1870" s="5">
        <v>1</v>
      </c>
      <c r="P1870" s="5" t="s">
        <v>294</v>
      </c>
      <c r="Q1870" s="5" t="s">
        <v>613</v>
      </c>
      <c r="R1870" s="5" t="s">
        <v>240</v>
      </c>
      <c r="S1870" s="5" t="s">
        <v>240</v>
      </c>
      <c r="T1870" s="5" t="s">
        <v>243</v>
      </c>
      <c r="U1870" s="5" t="s">
        <v>724</v>
      </c>
      <c r="V1870" s="5" t="s">
        <v>240</v>
      </c>
      <c r="W1870" s="5" t="s">
        <v>240</v>
      </c>
      <c r="X1870" s="5" t="s">
        <v>240</v>
      </c>
      <c r="Y1870" s="5" t="s">
        <v>240</v>
      </c>
      <c r="Z1870" s="6" t="s">
        <v>298</v>
      </c>
      <c r="AA1870" s="6" t="s">
        <v>240</v>
      </c>
      <c r="AB1870" s="6" t="s">
        <v>240</v>
      </c>
      <c r="AC1870" s="5" t="s">
        <v>240</v>
      </c>
      <c r="AD1870" s="6" t="s">
        <v>240</v>
      </c>
      <c r="AE1870" s="6" t="s">
        <v>299</v>
      </c>
      <c r="AF1870" s="5" t="s">
        <v>727</v>
      </c>
      <c r="AG1870" s="5" t="s">
        <v>260</v>
      </c>
      <c r="AH1870" s="5" t="s">
        <v>240</v>
      </c>
      <c r="AI1870" s="5" t="s">
        <v>240</v>
      </c>
      <c r="AJ1870" s="5" t="s">
        <v>240</v>
      </c>
      <c r="AK1870" s="5" t="s">
        <v>240</v>
      </c>
      <c r="AL1870" s="5" t="s">
        <v>240</v>
      </c>
      <c r="AM1870" s="5" t="s">
        <v>240</v>
      </c>
      <c r="AN1870" s="5" t="s">
        <v>240</v>
      </c>
      <c r="AO1870" s="5" t="s">
        <v>240</v>
      </c>
      <c r="AP1870" s="6" t="s">
        <v>240</v>
      </c>
      <c r="AQ1870" s="6" t="s">
        <v>240</v>
      </c>
      <c r="AR1870" s="6" t="s">
        <v>240</v>
      </c>
      <c r="AS1870" s="6" t="s">
        <v>240</v>
      </c>
      <c r="AT1870" s="5" t="s">
        <v>240</v>
      </c>
      <c r="AU1870" s="5" t="s">
        <v>729</v>
      </c>
      <c r="AV1870" s="5" t="s">
        <v>729</v>
      </c>
      <c r="AW1870" s="5" t="s">
        <v>251</v>
      </c>
      <c r="AX1870" s="5" t="s">
        <v>252</v>
      </c>
      <c r="AY1870" s="5" t="s">
        <v>253</v>
      </c>
      <c r="AZ1870" s="5" t="s">
        <v>240</v>
      </c>
      <c r="BA1870" s="5" t="s">
        <v>255</v>
      </c>
      <c r="BB1870" s="5" t="s">
        <v>731</v>
      </c>
      <c r="BD1870" s="5" t="s">
        <v>240</v>
      </c>
      <c r="BF1870" s="5" t="s">
        <v>732</v>
      </c>
      <c r="BG1870" s="6" t="s">
        <v>733</v>
      </c>
      <c r="BH1870" s="5" t="s">
        <v>734</v>
      </c>
      <c r="BI1870" s="5" t="s">
        <v>734</v>
      </c>
      <c r="BJ1870" s="5" t="s">
        <v>240</v>
      </c>
      <c r="BK1870" s="8">
        <f>1276.33</f>
        <v>1276.33</v>
      </c>
      <c r="BL1870" s="7">
        <f>0</f>
        <v>0</v>
      </c>
      <c r="BM1870" s="5" t="s">
        <v>258</v>
      </c>
      <c r="BN1870" s="5" t="s">
        <v>259</v>
      </c>
      <c r="BO1870" s="5" t="s">
        <v>240</v>
      </c>
      <c r="BP1870" s="5" t="s">
        <v>240</v>
      </c>
      <c r="BQ1870" s="5" t="s">
        <v>240</v>
      </c>
      <c r="BR1870" s="5" t="s">
        <v>240</v>
      </c>
      <c r="BS1870" s="5" t="s">
        <v>240</v>
      </c>
      <c r="BT1870" s="5" t="s">
        <v>240</v>
      </c>
      <c r="BU1870" s="5" t="s">
        <v>240</v>
      </c>
      <c r="BV1870" s="5" t="s">
        <v>240</v>
      </c>
      <c r="BW1870" s="6" t="s">
        <v>240</v>
      </c>
      <c r="BX1870" s="5" t="s">
        <v>240</v>
      </c>
      <c r="BY1870" s="5" t="s">
        <v>240</v>
      </c>
      <c r="BZ1870" s="5" t="s">
        <v>240</v>
      </c>
      <c r="CA1870" s="5" t="s">
        <v>259</v>
      </c>
      <c r="CB1870" s="5" t="s">
        <v>240</v>
      </c>
      <c r="CC1870" s="5" t="s">
        <v>240</v>
      </c>
      <c r="CD1870" s="5" t="s">
        <v>240</v>
      </c>
      <c r="CE1870" s="5" t="s">
        <v>240</v>
      </c>
      <c r="CF1870" s="5" t="s">
        <v>240</v>
      </c>
      <c r="CG1870" s="5" t="s">
        <v>617</v>
      </c>
      <c r="CH1870" s="5" t="s">
        <v>305</v>
      </c>
      <c r="CI1870" s="5" t="s">
        <v>240</v>
      </c>
      <c r="CL1870" s="6" t="s">
        <v>261</v>
      </c>
      <c r="CM1870" s="5" t="s">
        <v>262</v>
      </c>
      <c r="CN1870" s="5" t="s">
        <v>263</v>
      </c>
      <c r="CO1870" s="5" t="s">
        <v>264</v>
      </c>
      <c r="CP1870" s="5" t="s">
        <v>240</v>
      </c>
      <c r="CQ1870" s="5">
        <v>0</v>
      </c>
      <c r="CR1870" s="5" t="s">
        <v>735</v>
      </c>
      <c r="CS1870" s="5" t="s">
        <v>307</v>
      </c>
      <c r="CT1870" s="5" t="s">
        <v>307</v>
      </c>
      <c r="CU1870" s="5" t="s">
        <v>260</v>
      </c>
      <c r="CV1870" s="5" t="s">
        <v>240</v>
      </c>
      <c r="CW1870" s="8">
        <f>0</f>
        <v>0</v>
      </c>
      <c r="CX1870" s="7">
        <f>0</f>
        <v>0</v>
      </c>
      <c r="CY1870" s="7">
        <f>0</f>
        <v>0</v>
      </c>
      <c r="DA1870" s="7">
        <f>14039</f>
        <v>14039</v>
      </c>
      <c r="DB1870" s="7" t="s">
        <v>240</v>
      </c>
      <c r="DC1870" s="5" t="s">
        <v>240</v>
      </c>
      <c r="DD1870" s="5" t="s">
        <v>240</v>
      </c>
      <c r="DE1870" s="5" t="s">
        <v>240</v>
      </c>
      <c r="DF1870" s="5" t="s">
        <v>450</v>
      </c>
      <c r="DG1870" s="7">
        <f>0</f>
        <v>0</v>
      </c>
      <c r="DI1870" s="5" t="s">
        <v>737</v>
      </c>
      <c r="DJ1870" s="5" t="s">
        <v>240</v>
      </c>
      <c r="DK1870" s="5" t="s">
        <v>240</v>
      </c>
      <c r="DL1870" s="5" t="s">
        <v>240</v>
      </c>
      <c r="DM1870" s="5" t="s">
        <v>240</v>
      </c>
      <c r="DN1870" s="5" t="s">
        <v>240</v>
      </c>
      <c r="DO1870" s="7" t="s">
        <v>240</v>
      </c>
      <c r="DP1870" s="5" t="s">
        <v>240</v>
      </c>
      <c r="DQ1870" s="5" t="s">
        <v>240</v>
      </c>
      <c r="DR1870" s="5" t="s">
        <v>731</v>
      </c>
      <c r="DS1870" s="5" t="s">
        <v>731</v>
      </c>
      <c r="DT1870" s="5" t="s">
        <v>240</v>
      </c>
      <c r="DU1870" s="5" t="s">
        <v>240</v>
      </c>
      <c r="DV1870" s="5" t="s">
        <v>738</v>
      </c>
      <c r="DW1870" s="5" t="s">
        <v>528</v>
      </c>
      <c r="DX1870" s="5" t="s">
        <v>240</v>
      </c>
      <c r="DY1870" s="5" t="s">
        <v>240</v>
      </c>
      <c r="DZ1870" s="5" t="s">
        <v>240</v>
      </c>
      <c r="EA1870" s="5" t="s">
        <v>240</v>
      </c>
      <c r="EB1870" s="5" t="s">
        <v>240</v>
      </c>
      <c r="EC1870" s="5" t="s">
        <v>240</v>
      </c>
      <c r="ED1870" s="5" t="s">
        <v>240</v>
      </c>
      <c r="EE1870" s="5" t="s">
        <v>240</v>
      </c>
      <c r="EF1870" s="5" t="s">
        <v>240</v>
      </c>
      <c r="EG1870" s="5" t="s">
        <v>240</v>
      </c>
      <c r="EH1870" s="5" t="s">
        <v>240</v>
      </c>
      <c r="EI1870" s="5" t="s">
        <v>240</v>
      </c>
      <c r="EJ1870" s="5" t="s">
        <v>240</v>
      </c>
      <c r="EK1870" s="5" t="s">
        <v>240</v>
      </c>
      <c r="EL1870" s="5" t="s">
        <v>240</v>
      </c>
      <c r="EM1870" s="5" t="s">
        <v>240</v>
      </c>
      <c r="EN1870" s="5" t="s">
        <v>240</v>
      </c>
      <c r="EO1870" s="5" t="s">
        <v>240</v>
      </c>
      <c r="EP1870" s="5" t="s">
        <v>240</v>
      </c>
      <c r="EQ1870" s="5" t="s">
        <v>240</v>
      </c>
      <c r="ER1870" s="5" t="s">
        <v>240</v>
      </c>
      <c r="ES1870" s="5" t="s">
        <v>240</v>
      </c>
      <c r="ET1870" s="5" t="s">
        <v>240</v>
      </c>
      <c r="EU1870" s="5" t="s">
        <v>240</v>
      </c>
      <c r="EV1870" s="5" t="s">
        <v>240</v>
      </c>
      <c r="EW1870" s="5" t="s">
        <v>240</v>
      </c>
      <c r="EX1870" s="5" t="s">
        <v>240</v>
      </c>
      <c r="EY1870" s="5" t="s">
        <v>240</v>
      </c>
      <c r="EZ1870" s="5" t="s">
        <v>240</v>
      </c>
      <c r="FA1870" s="5" t="s">
        <v>240</v>
      </c>
      <c r="FB1870" s="5" t="s">
        <v>240</v>
      </c>
      <c r="FC1870" s="5" t="s">
        <v>240</v>
      </c>
      <c r="FD1870" s="5" t="s">
        <v>240</v>
      </c>
      <c r="FE1870" s="5" t="s">
        <v>240</v>
      </c>
      <c r="FF1870" s="5" t="s">
        <v>240</v>
      </c>
      <c r="FG1870" s="5" t="s">
        <v>240</v>
      </c>
      <c r="FH1870" s="5" t="s">
        <v>240</v>
      </c>
      <c r="FI1870" s="5" t="s">
        <v>240</v>
      </c>
      <c r="FJ1870" s="5" t="s">
        <v>240</v>
      </c>
      <c r="FK1870" s="5" t="s">
        <v>240</v>
      </c>
      <c r="FL1870" s="5" t="s">
        <v>240</v>
      </c>
      <c r="FM1870" s="5" t="s">
        <v>240</v>
      </c>
      <c r="FN1870" s="5" t="s">
        <v>240</v>
      </c>
      <c r="FO1870" s="5" t="s">
        <v>240</v>
      </c>
      <c r="FP1870" s="5" t="s">
        <v>240</v>
      </c>
      <c r="FQ1870" s="5" t="s">
        <v>240</v>
      </c>
      <c r="FR1870" s="5" t="s">
        <v>240</v>
      </c>
      <c r="FS1870" s="5" t="s">
        <v>240</v>
      </c>
      <c r="FT1870" s="5" t="s">
        <v>240</v>
      </c>
      <c r="FU1870" s="5" t="s">
        <v>240</v>
      </c>
      <c r="FV1870" s="5" t="s">
        <v>240</v>
      </c>
      <c r="FW1870" s="5" t="s">
        <v>240</v>
      </c>
      <c r="FX1870" s="5" t="s">
        <v>240</v>
      </c>
      <c r="FY1870" s="5" t="s">
        <v>240</v>
      </c>
      <c r="FZ1870" s="5" t="s">
        <v>240</v>
      </c>
      <c r="GA1870" s="5" t="s">
        <v>240</v>
      </c>
      <c r="GB1870" s="5" t="s">
        <v>240</v>
      </c>
      <c r="GC1870" s="5" t="s">
        <v>240</v>
      </c>
      <c r="GD1870" s="5" t="s">
        <v>240</v>
      </c>
      <c r="GE1870" s="5" t="s">
        <v>240</v>
      </c>
      <c r="GF1870" s="5" t="s">
        <v>240</v>
      </c>
      <c r="GG1870" s="5" t="s">
        <v>240</v>
      </c>
      <c r="GH1870" s="5" t="s">
        <v>240</v>
      </c>
      <c r="GI1870" s="5" t="s">
        <v>240</v>
      </c>
      <c r="GJ1870" s="5" t="s">
        <v>240</v>
      </c>
      <c r="GK1870" s="5" t="s">
        <v>240</v>
      </c>
      <c r="GL1870" s="5" t="s">
        <v>240</v>
      </c>
      <c r="GM1870" s="5" t="s">
        <v>240</v>
      </c>
      <c r="GN1870" s="5" t="s">
        <v>240</v>
      </c>
      <c r="GO1870" s="5" t="s">
        <v>240</v>
      </c>
      <c r="GP1870" s="5" t="s">
        <v>240</v>
      </c>
      <c r="GQ1870" s="5" t="s">
        <v>240</v>
      </c>
      <c r="GR1870" s="5" t="s">
        <v>240</v>
      </c>
      <c r="GS1870" s="5" t="s">
        <v>240</v>
      </c>
      <c r="GT1870" s="5" t="s">
        <v>240</v>
      </c>
      <c r="GU1870" s="5" t="s">
        <v>240</v>
      </c>
      <c r="GV1870" s="5" t="s">
        <v>240</v>
      </c>
      <c r="GW1870" s="5" t="s">
        <v>240</v>
      </c>
      <c r="GX1870" s="5" t="s">
        <v>240</v>
      </c>
      <c r="GY1870" s="5" t="s">
        <v>240</v>
      </c>
      <c r="GZ1870" s="5" t="s">
        <v>240</v>
      </c>
      <c r="HA1870" s="5" t="s">
        <v>240</v>
      </c>
      <c r="HB1870" s="5" t="s">
        <v>240</v>
      </c>
      <c r="HC1870" s="5" t="s">
        <v>240</v>
      </c>
      <c r="HD1870" s="5" t="s">
        <v>240</v>
      </c>
      <c r="HE1870" s="5" t="s">
        <v>240</v>
      </c>
      <c r="HF1870" s="5" t="s">
        <v>240</v>
      </c>
      <c r="HG1870" s="5" t="s">
        <v>240</v>
      </c>
      <c r="HH1870" s="5" t="s">
        <v>240</v>
      </c>
      <c r="HI1870" s="5" t="s">
        <v>240</v>
      </c>
      <c r="HJ1870" s="5" t="s">
        <v>240</v>
      </c>
      <c r="HK1870" s="5" t="s">
        <v>240</v>
      </c>
      <c r="HL1870" s="5" t="s">
        <v>240</v>
      </c>
      <c r="HM1870" s="5" t="s">
        <v>240</v>
      </c>
      <c r="HN1870" s="5" t="s">
        <v>240</v>
      </c>
      <c r="HO1870" s="5" t="s">
        <v>620</v>
      </c>
      <c r="HP1870" s="5" t="s">
        <v>240</v>
      </c>
      <c r="HQ1870" s="5" t="s">
        <v>240</v>
      </c>
      <c r="HR1870" s="5" t="s">
        <v>240</v>
      </c>
      <c r="HS1870" s="5" t="s">
        <v>240</v>
      </c>
      <c r="HT1870" s="5" t="s">
        <v>240</v>
      </c>
      <c r="HU1870" s="5" t="s">
        <v>240</v>
      </c>
      <c r="HV1870" s="5" t="s">
        <v>240</v>
      </c>
      <c r="HW1870" s="5" t="s">
        <v>240</v>
      </c>
      <c r="HX1870" s="5" t="s">
        <v>240</v>
      </c>
      <c r="HY1870" s="5" t="s">
        <v>240</v>
      </c>
      <c r="HZ1870" s="5" t="s">
        <v>240</v>
      </c>
      <c r="IA1870" s="5" t="s">
        <v>240</v>
      </c>
      <c r="IB1870" s="5" t="s">
        <v>240</v>
      </c>
      <c r="IC1870" s="5" t="s">
        <v>240</v>
      </c>
      <c r="ID1870" s="5" t="s">
        <v>240</v>
      </c>
      <c r="IE1870" s="5" t="s">
        <v>240</v>
      </c>
      <c r="IF1870" s="5" t="s">
        <v>240</v>
      </c>
    </row>
    <row r="1871" spans="1:240" x14ac:dyDescent="0.4">
      <c r="A1871" s="5">
        <v>3569</v>
      </c>
      <c r="B1871" s="5">
        <v>1</v>
      </c>
      <c r="C1871" s="5">
        <v>1</v>
      </c>
      <c r="D1871" s="5" t="s">
        <v>297</v>
      </c>
      <c r="E1871" s="5" t="s">
        <v>245</v>
      </c>
      <c r="F1871" s="5" t="s">
        <v>254</v>
      </c>
      <c r="G1871" s="5" t="s">
        <v>240</v>
      </c>
      <c r="H1871" s="6" t="s">
        <v>6030</v>
      </c>
      <c r="I1871" s="5" t="s">
        <v>6028</v>
      </c>
      <c r="J1871" s="8">
        <f>244.63</f>
        <v>244.63</v>
      </c>
      <c r="K1871" s="5" t="s">
        <v>308</v>
      </c>
      <c r="L1871" s="7">
        <f>445234</f>
        <v>445234</v>
      </c>
      <c r="M1871" s="7">
        <f>445234</f>
        <v>445234</v>
      </c>
      <c r="N1871" s="5" t="s">
        <v>242</v>
      </c>
      <c r="O1871" s="5">
        <v>1</v>
      </c>
      <c r="P1871" s="5" t="s">
        <v>294</v>
      </c>
      <c r="Q1871" s="5" t="s">
        <v>266</v>
      </c>
      <c r="R1871" s="5" t="s">
        <v>240</v>
      </c>
      <c r="S1871" s="5" t="s">
        <v>240</v>
      </c>
      <c r="T1871" s="5" t="s">
        <v>296</v>
      </c>
      <c r="U1871" s="5" t="s">
        <v>244</v>
      </c>
      <c r="V1871" s="5" t="s">
        <v>240</v>
      </c>
      <c r="Y1871" s="5" t="s">
        <v>240</v>
      </c>
      <c r="Z1871" s="6" t="s">
        <v>298</v>
      </c>
      <c r="AB1871" s="6" t="s">
        <v>240</v>
      </c>
      <c r="AE1871" s="6" t="s">
        <v>299</v>
      </c>
      <c r="AF1871" s="5" t="s">
        <v>248</v>
      </c>
      <c r="AG1871" s="5" t="s">
        <v>249</v>
      </c>
      <c r="AW1871" s="5" t="s">
        <v>251</v>
      </c>
      <c r="AX1871" s="5" t="s">
        <v>240</v>
      </c>
      <c r="AY1871" s="5" t="s">
        <v>253</v>
      </c>
      <c r="AZ1871" s="5" t="s">
        <v>240</v>
      </c>
      <c r="BA1871" s="5" t="s">
        <v>255</v>
      </c>
      <c r="BB1871" s="5" t="s">
        <v>240</v>
      </c>
      <c r="BD1871" s="5" t="s">
        <v>240</v>
      </c>
      <c r="BF1871" s="5" t="s">
        <v>301</v>
      </c>
      <c r="BG1871" s="6" t="s">
        <v>299</v>
      </c>
      <c r="BH1871" s="5" t="s">
        <v>302</v>
      </c>
      <c r="BI1871" s="5" t="s">
        <v>303</v>
      </c>
      <c r="BJ1871" s="5" t="s">
        <v>240</v>
      </c>
      <c r="BK1871" s="8">
        <f>0</f>
        <v>0</v>
      </c>
      <c r="BL1871" s="7">
        <f>0</f>
        <v>0</v>
      </c>
      <c r="BM1871" s="5" t="s">
        <v>258</v>
      </c>
      <c r="BN1871" s="5" t="s">
        <v>259</v>
      </c>
      <c r="CB1871" s="5" t="s">
        <v>240</v>
      </c>
      <c r="CC1871" s="5" t="s">
        <v>240</v>
      </c>
      <c r="CG1871" s="5" t="s">
        <v>304</v>
      </c>
      <c r="CH1871" s="5" t="s">
        <v>305</v>
      </c>
      <c r="CI1871" s="5" t="s">
        <v>240</v>
      </c>
      <c r="CL1871" s="6" t="s">
        <v>261</v>
      </c>
      <c r="CM1871" s="5" t="s">
        <v>240</v>
      </c>
      <c r="CN1871" s="5" t="s">
        <v>263</v>
      </c>
      <c r="CO1871" s="5" t="s">
        <v>240</v>
      </c>
      <c r="CP1871" s="5" t="s">
        <v>240</v>
      </c>
      <c r="CQ1871" s="5">
        <v>0</v>
      </c>
      <c r="CR1871" s="5" t="s">
        <v>306</v>
      </c>
      <c r="CS1871" s="5" t="s">
        <v>307</v>
      </c>
      <c r="CT1871" s="5" t="s">
        <v>307</v>
      </c>
      <c r="CU1871" s="5" t="s">
        <v>260</v>
      </c>
      <c r="CX1871" s="7">
        <f>1</f>
        <v>1</v>
      </c>
      <c r="CY1871" s="7">
        <f>0</f>
        <v>0</v>
      </c>
      <c r="DA1871" s="7">
        <f>0</f>
        <v>0</v>
      </c>
      <c r="DC1871" s="5" t="s">
        <v>309</v>
      </c>
      <c r="DD1871" s="5" t="s">
        <v>240</v>
      </c>
      <c r="DF1871" s="5" t="s">
        <v>309</v>
      </c>
      <c r="DG1871" s="7">
        <f>2182</f>
        <v>2182</v>
      </c>
      <c r="DI1871" s="5" t="s">
        <v>240</v>
      </c>
      <c r="DJ1871" s="5" t="s">
        <v>240</v>
      </c>
      <c r="DK1871" s="5" t="s">
        <v>240</v>
      </c>
      <c r="DL1871" s="5" t="s">
        <v>240</v>
      </c>
      <c r="DP1871" s="5" t="s">
        <v>240</v>
      </c>
      <c r="DQ1871" s="5" t="s">
        <v>240</v>
      </c>
      <c r="DR1871" s="5" t="s">
        <v>240</v>
      </c>
      <c r="DS1871" s="5" t="s">
        <v>240</v>
      </c>
      <c r="DV1871" s="5" t="s">
        <v>310</v>
      </c>
      <c r="DW1871" s="5" t="s">
        <v>3241</v>
      </c>
      <c r="HO1871" s="5" t="s">
        <v>312</v>
      </c>
    </row>
    <row r="1872" spans="1:240" x14ac:dyDescent="0.4">
      <c r="A1872" s="5">
        <v>3570</v>
      </c>
      <c r="B1872" s="5">
        <v>1</v>
      </c>
      <c r="C1872" s="5">
        <v>1</v>
      </c>
      <c r="D1872" s="5" t="s">
        <v>297</v>
      </c>
      <c r="E1872" s="5" t="s">
        <v>245</v>
      </c>
      <c r="F1872" s="5" t="s">
        <v>254</v>
      </c>
      <c r="G1872" s="5" t="s">
        <v>240</v>
      </c>
      <c r="H1872" s="6" t="s">
        <v>6030</v>
      </c>
      <c r="I1872" s="5" t="s">
        <v>6048</v>
      </c>
      <c r="J1872" s="8">
        <f>0</f>
        <v>0</v>
      </c>
      <c r="K1872" s="5" t="s">
        <v>308</v>
      </c>
      <c r="L1872" s="7">
        <f>6771512</f>
        <v>6771512</v>
      </c>
      <c r="M1872" s="7">
        <f>6771512</f>
        <v>6771512</v>
      </c>
      <c r="N1872" s="5" t="s">
        <v>242</v>
      </c>
      <c r="O1872" s="5">
        <v>1</v>
      </c>
      <c r="P1872" s="5" t="s">
        <v>294</v>
      </c>
      <c r="Q1872" s="5" t="s">
        <v>266</v>
      </c>
      <c r="R1872" s="5" t="s">
        <v>240</v>
      </c>
      <c r="S1872" s="5" t="s">
        <v>240</v>
      </c>
      <c r="T1872" s="5" t="s">
        <v>296</v>
      </c>
      <c r="U1872" s="5" t="s">
        <v>244</v>
      </c>
      <c r="V1872" s="5" t="s">
        <v>240</v>
      </c>
      <c r="Y1872" s="5" t="s">
        <v>240</v>
      </c>
      <c r="Z1872" s="6" t="s">
        <v>298</v>
      </c>
      <c r="AB1872" s="6" t="s">
        <v>240</v>
      </c>
      <c r="AE1872" s="6" t="s">
        <v>299</v>
      </c>
      <c r="AF1872" s="5" t="s">
        <v>248</v>
      </c>
      <c r="AG1872" s="5" t="s">
        <v>249</v>
      </c>
      <c r="AW1872" s="5" t="s">
        <v>251</v>
      </c>
      <c r="AX1872" s="5" t="s">
        <v>240</v>
      </c>
      <c r="AY1872" s="5" t="s">
        <v>253</v>
      </c>
      <c r="AZ1872" s="5" t="s">
        <v>240</v>
      </c>
      <c r="BA1872" s="5" t="s">
        <v>255</v>
      </c>
      <c r="BB1872" s="5" t="s">
        <v>240</v>
      </c>
      <c r="BD1872" s="5" t="s">
        <v>240</v>
      </c>
      <c r="BF1872" s="5" t="s">
        <v>301</v>
      </c>
      <c r="BG1872" s="6" t="s">
        <v>299</v>
      </c>
      <c r="BH1872" s="5" t="s">
        <v>302</v>
      </c>
      <c r="BI1872" s="5" t="s">
        <v>303</v>
      </c>
      <c r="BJ1872" s="5" t="s">
        <v>240</v>
      </c>
      <c r="BK1872" s="8">
        <f>0</f>
        <v>0</v>
      </c>
      <c r="BL1872" s="7">
        <f>0</f>
        <v>0</v>
      </c>
      <c r="BM1872" s="5" t="s">
        <v>258</v>
      </c>
      <c r="BN1872" s="5" t="s">
        <v>259</v>
      </c>
      <c r="CB1872" s="5" t="s">
        <v>240</v>
      </c>
      <c r="CC1872" s="5" t="s">
        <v>240</v>
      </c>
      <c r="CG1872" s="5" t="s">
        <v>304</v>
      </c>
      <c r="CH1872" s="5" t="s">
        <v>305</v>
      </c>
      <c r="CI1872" s="5" t="s">
        <v>240</v>
      </c>
      <c r="CL1872" s="6" t="s">
        <v>261</v>
      </c>
      <c r="CM1872" s="5" t="s">
        <v>240</v>
      </c>
      <c r="CN1872" s="5" t="s">
        <v>263</v>
      </c>
      <c r="CO1872" s="5" t="s">
        <v>240</v>
      </c>
      <c r="CP1872" s="5" t="s">
        <v>240</v>
      </c>
      <c r="CQ1872" s="5">
        <v>0</v>
      </c>
      <c r="CR1872" s="5" t="s">
        <v>306</v>
      </c>
      <c r="CS1872" s="5" t="s">
        <v>307</v>
      </c>
      <c r="CT1872" s="5" t="s">
        <v>307</v>
      </c>
      <c r="CU1872" s="5" t="s">
        <v>260</v>
      </c>
      <c r="CX1872" s="7">
        <f>1</f>
        <v>1</v>
      </c>
      <c r="CY1872" s="7">
        <f>0</f>
        <v>0</v>
      </c>
      <c r="DA1872" s="7">
        <f>0</f>
        <v>0</v>
      </c>
      <c r="DC1872" s="5" t="s">
        <v>309</v>
      </c>
      <c r="DD1872" s="5" t="s">
        <v>240</v>
      </c>
      <c r="DF1872" s="5" t="s">
        <v>309</v>
      </c>
      <c r="DG1872" s="7">
        <f>2573</f>
        <v>2573</v>
      </c>
      <c r="DI1872" s="5" t="s">
        <v>240</v>
      </c>
      <c r="DJ1872" s="5" t="s">
        <v>240</v>
      </c>
      <c r="DK1872" s="5" t="s">
        <v>240</v>
      </c>
      <c r="DL1872" s="5" t="s">
        <v>240</v>
      </c>
      <c r="DP1872" s="5" t="s">
        <v>240</v>
      </c>
      <c r="DQ1872" s="5" t="s">
        <v>240</v>
      </c>
      <c r="DR1872" s="5" t="s">
        <v>240</v>
      </c>
      <c r="DS1872" s="5" t="s">
        <v>240</v>
      </c>
      <c r="DV1872" s="5" t="s">
        <v>310</v>
      </c>
      <c r="DW1872" s="5" t="s">
        <v>3249</v>
      </c>
      <c r="HO1872" s="5" t="s">
        <v>312</v>
      </c>
    </row>
    <row r="1873" spans="1:240" x14ac:dyDescent="0.4">
      <c r="A1873" s="5">
        <v>3571</v>
      </c>
      <c r="B1873" s="5">
        <v>1</v>
      </c>
      <c r="C1873" s="5">
        <v>1</v>
      </c>
      <c r="D1873" s="5" t="s">
        <v>297</v>
      </c>
      <c r="E1873" s="5" t="s">
        <v>245</v>
      </c>
      <c r="F1873" s="5" t="s">
        <v>254</v>
      </c>
      <c r="G1873" s="5" t="s">
        <v>240</v>
      </c>
      <c r="H1873" s="6" t="s">
        <v>6056</v>
      </c>
      <c r="I1873" s="5" t="s">
        <v>6055</v>
      </c>
      <c r="J1873" s="8">
        <f>620.79</f>
        <v>620.79</v>
      </c>
      <c r="K1873" s="5" t="s">
        <v>308</v>
      </c>
      <c r="L1873" s="7">
        <f>847887</f>
        <v>847887</v>
      </c>
      <c r="M1873" s="7">
        <f>847887</f>
        <v>847887</v>
      </c>
      <c r="N1873" s="5" t="s">
        <v>242</v>
      </c>
      <c r="O1873" s="5">
        <v>1</v>
      </c>
      <c r="P1873" s="5" t="s">
        <v>294</v>
      </c>
      <c r="Q1873" s="5" t="s">
        <v>3678</v>
      </c>
      <c r="R1873" s="5" t="s">
        <v>240</v>
      </c>
      <c r="S1873" s="5" t="s">
        <v>240</v>
      </c>
      <c r="T1873" s="5" t="s">
        <v>243</v>
      </c>
      <c r="U1873" s="5" t="s">
        <v>244</v>
      </c>
      <c r="V1873" s="5" t="s">
        <v>240</v>
      </c>
      <c r="W1873" s="5" t="s">
        <v>240</v>
      </c>
      <c r="X1873" s="5" t="s">
        <v>240</v>
      </c>
      <c r="Y1873" s="5" t="s">
        <v>240</v>
      </c>
      <c r="Z1873" s="6" t="s">
        <v>298</v>
      </c>
      <c r="AA1873" s="6" t="s">
        <v>240</v>
      </c>
      <c r="AB1873" s="6" t="s">
        <v>240</v>
      </c>
      <c r="AC1873" s="5" t="s">
        <v>240</v>
      </c>
      <c r="AD1873" s="6" t="s">
        <v>240</v>
      </c>
      <c r="AE1873" s="6" t="s">
        <v>299</v>
      </c>
      <c r="AF1873" s="5" t="s">
        <v>248</v>
      </c>
      <c r="AG1873" s="5" t="s">
        <v>249</v>
      </c>
      <c r="AH1873" s="5" t="s">
        <v>240</v>
      </c>
      <c r="AI1873" s="5" t="s">
        <v>240</v>
      </c>
      <c r="AJ1873" s="5" t="s">
        <v>240</v>
      </c>
      <c r="AK1873" s="5" t="s">
        <v>240</v>
      </c>
      <c r="AL1873" s="5" t="s">
        <v>240</v>
      </c>
      <c r="AM1873" s="5" t="s">
        <v>240</v>
      </c>
      <c r="AN1873" s="5" t="s">
        <v>240</v>
      </c>
      <c r="AO1873" s="5" t="s">
        <v>240</v>
      </c>
      <c r="AP1873" s="6" t="s">
        <v>240</v>
      </c>
      <c r="AQ1873" s="6" t="s">
        <v>240</v>
      </c>
      <c r="AR1873" s="6" t="s">
        <v>240</v>
      </c>
      <c r="AS1873" s="6" t="s">
        <v>240</v>
      </c>
      <c r="AT1873" s="5" t="s">
        <v>240</v>
      </c>
      <c r="AU1873" s="5" t="s">
        <v>729</v>
      </c>
      <c r="AV1873" s="5" t="s">
        <v>729</v>
      </c>
      <c r="AW1873" s="5" t="s">
        <v>251</v>
      </c>
      <c r="AX1873" s="5" t="s">
        <v>252</v>
      </c>
      <c r="AY1873" s="5" t="s">
        <v>253</v>
      </c>
      <c r="AZ1873" s="5" t="s">
        <v>240</v>
      </c>
      <c r="BA1873" s="5" t="s">
        <v>255</v>
      </c>
      <c r="BB1873" s="5" t="s">
        <v>731</v>
      </c>
      <c r="BD1873" s="5" t="s">
        <v>240</v>
      </c>
      <c r="BF1873" s="5" t="s">
        <v>732</v>
      </c>
      <c r="BG1873" s="6" t="s">
        <v>733</v>
      </c>
      <c r="BH1873" s="5" t="s">
        <v>734</v>
      </c>
      <c r="BI1873" s="5" t="s">
        <v>734</v>
      </c>
      <c r="BJ1873" s="5" t="s">
        <v>240</v>
      </c>
      <c r="BK1873" s="7">
        <f>1</f>
        <v>1</v>
      </c>
      <c r="BL1873" s="7">
        <f>1</f>
        <v>1</v>
      </c>
      <c r="BM1873" s="5" t="s">
        <v>258</v>
      </c>
      <c r="BN1873" s="5" t="s">
        <v>259</v>
      </c>
      <c r="BO1873" s="5" t="s">
        <v>240</v>
      </c>
      <c r="BP1873" s="5" t="s">
        <v>240</v>
      </c>
      <c r="BQ1873" s="5" t="s">
        <v>240</v>
      </c>
      <c r="BR1873" s="5" t="s">
        <v>240</v>
      </c>
      <c r="BS1873" s="5" t="s">
        <v>240</v>
      </c>
      <c r="BT1873" s="5" t="s">
        <v>240</v>
      </c>
      <c r="BU1873" s="5" t="s">
        <v>240</v>
      </c>
      <c r="BV1873" s="5" t="s">
        <v>240</v>
      </c>
      <c r="BW1873" s="6" t="s">
        <v>240</v>
      </c>
      <c r="BX1873" s="5" t="s">
        <v>240</v>
      </c>
      <c r="BY1873" s="5" t="s">
        <v>240</v>
      </c>
      <c r="BZ1873" s="5" t="s">
        <v>240</v>
      </c>
      <c r="CA1873" s="5" t="s">
        <v>259</v>
      </c>
      <c r="CB1873" s="5" t="s">
        <v>240</v>
      </c>
      <c r="CC1873" s="5" t="s">
        <v>240</v>
      </c>
      <c r="CD1873" s="5" t="s">
        <v>240</v>
      </c>
      <c r="CE1873" s="5" t="s">
        <v>240</v>
      </c>
      <c r="CF1873" s="5" t="s">
        <v>240</v>
      </c>
      <c r="CG1873" s="5" t="s">
        <v>304</v>
      </c>
      <c r="CH1873" s="5" t="s">
        <v>305</v>
      </c>
      <c r="CI1873" s="5" t="s">
        <v>240</v>
      </c>
      <c r="CK1873" s="5" t="s">
        <v>3681</v>
      </c>
      <c r="CL1873" s="6" t="s">
        <v>261</v>
      </c>
      <c r="CM1873" s="5" t="s">
        <v>262</v>
      </c>
      <c r="CN1873" s="5" t="s">
        <v>263</v>
      </c>
      <c r="CO1873" s="5" t="s">
        <v>264</v>
      </c>
      <c r="CP1873" s="5" t="s">
        <v>240</v>
      </c>
      <c r="CQ1873" s="5">
        <v>0</v>
      </c>
      <c r="CR1873" s="5" t="s">
        <v>735</v>
      </c>
      <c r="CS1873" s="5" t="s">
        <v>307</v>
      </c>
      <c r="CT1873" s="5" t="s">
        <v>307</v>
      </c>
      <c r="CU1873" s="5" t="s">
        <v>260</v>
      </c>
      <c r="CV1873" s="5" t="s">
        <v>612</v>
      </c>
      <c r="CW1873" s="8">
        <f>1</f>
        <v>1</v>
      </c>
      <c r="CX1873" s="7">
        <f>1</f>
        <v>1</v>
      </c>
      <c r="CY1873" s="7">
        <f>0</f>
        <v>0</v>
      </c>
      <c r="DA1873" s="7">
        <f>1</f>
        <v>1</v>
      </c>
      <c r="DB1873" s="7" t="s">
        <v>240</v>
      </c>
      <c r="DC1873" s="5" t="s">
        <v>240</v>
      </c>
      <c r="DD1873" s="5" t="s">
        <v>240</v>
      </c>
      <c r="DE1873" s="5" t="s">
        <v>240</v>
      </c>
      <c r="DF1873" s="5" t="s">
        <v>240</v>
      </c>
      <c r="DG1873" s="7">
        <f>0</f>
        <v>0</v>
      </c>
      <c r="DI1873" s="5" t="s">
        <v>240</v>
      </c>
      <c r="DJ1873" s="5" t="s">
        <v>240</v>
      </c>
      <c r="DK1873" s="5" t="s">
        <v>240</v>
      </c>
      <c r="DL1873" s="5" t="s">
        <v>240</v>
      </c>
      <c r="DM1873" s="5" t="s">
        <v>240</v>
      </c>
      <c r="DN1873" s="5" t="s">
        <v>240</v>
      </c>
      <c r="DO1873" s="7" t="s">
        <v>240</v>
      </c>
      <c r="DP1873" s="5" t="s">
        <v>240</v>
      </c>
      <c r="DQ1873" s="5" t="s">
        <v>240</v>
      </c>
      <c r="DR1873" s="5" t="s">
        <v>731</v>
      </c>
      <c r="DS1873" s="5" t="s">
        <v>731</v>
      </c>
      <c r="DT1873" s="5" t="s">
        <v>240</v>
      </c>
      <c r="DU1873" s="5" t="s">
        <v>240</v>
      </c>
      <c r="DV1873" s="5" t="s">
        <v>3683</v>
      </c>
      <c r="DW1873" s="5" t="s">
        <v>3872</v>
      </c>
      <c r="DX1873" s="5" t="s">
        <v>240</v>
      </c>
      <c r="DY1873" s="5" t="s">
        <v>240</v>
      </c>
      <c r="DZ1873" s="5" t="s">
        <v>240</v>
      </c>
      <c r="EA1873" s="5" t="s">
        <v>240</v>
      </c>
      <c r="EB1873" s="5" t="s">
        <v>240</v>
      </c>
      <c r="EC1873" s="5" t="s">
        <v>240</v>
      </c>
      <c r="ED1873" s="5" t="s">
        <v>240</v>
      </c>
      <c r="EE1873" s="5" t="s">
        <v>240</v>
      </c>
      <c r="EF1873" s="5" t="s">
        <v>240</v>
      </c>
      <c r="EG1873" s="5" t="s">
        <v>240</v>
      </c>
      <c r="EH1873" s="5" t="s">
        <v>240</v>
      </c>
      <c r="EI1873" s="5" t="s">
        <v>240</v>
      </c>
      <c r="EJ1873" s="5" t="s">
        <v>240</v>
      </c>
      <c r="EK1873" s="5" t="s">
        <v>240</v>
      </c>
      <c r="EL1873" s="5" t="s">
        <v>240</v>
      </c>
      <c r="EM1873" s="5" t="s">
        <v>240</v>
      </c>
      <c r="EN1873" s="5" t="s">
        <v>240</v>
      </c>
      <c r="EO1873" s="5" t="s">
        <v>240</v>
      </c>
      <c r="EP1873" s="5" t="s">
        <v>240</v>
      </c>
      <c r="EQ1873" s="5" t="s">
        <v>240</v>
      </c>
      <c r="ER1873" s="5" t="s">
        <v>240</v>
      </c>
      <c r="ES1873" s="5" t="s">
        <v>240</v>
      </c>
      <c r="ET1873" s="5" t="s">
        <v>240</v>
      </c>
      <c r="EU1873" s="5" t="s">
        <v>240</v>
      </c>
      <c r="EV1873" s="5" t="s">
        <v>240</v>
      </c>
      <c r="EW1873" s="5" t="s">
        <v>240</v>
      </c>
      <c r="EX1873" s="5" t="s">
        <v>240</v>
      </c>
      <c r="EY1873" s="5" t="s">
        <v>240</v>
      </c>
      <c r="EZ1873" s="5" t="s">
        <v>240</v>
      </c>
      <c r="FA1873" s="5" t="s">
        <v>240</v>
      </c>
      <c r="FB1873" s="5" t="s">
        <v>240</v>
      </c>
      <c r="FC1873" s="5" t="s">
        <v>240</v>
      </c>
      <c r="FD1873" s="5" t="s">
        <v>240</v>
      </c>
      <c r="FE1873" s="5" t="s">
        <v>240</v>
      </c>
      <c r="FF1873" s="5" t="s">
        <v>240</v>
      </c>
      <c r="FG1873" s="5" t="s">
        <v>240</v>
      </c>
      <c r="FH1873" s="5" t="s">
        <v>240</v>
      </c>
      <c r="FI1873" s="5" t="s">
        <v>240</v>
      </c>
      <c r="FJ1873" s="5" t="s">
        <v>240</v>
      </c>
      <c r="FK1873" s="5" t="s">
        <v>240</v>
      </c>
      <c r="FL1873" s="5" t="s">
        <v>240</v>
      </c>
      <c r="FM1873" s="5" t="s">
        <v>240</v>
      </c>
      <c r="FN1873" s="5" t="s">
        <v>240</v>
      </c>
      <c r="FO1873" s="5" t="s">
        <v>240</v>
      </c>
      <c r="FP1873" s="5" t="s">
        <v>240</v>
      </c>
      <c r="FQ1873" s="5" t="s">
        <v>240</v>
      </c>
      <c r="FR1873" s="5" t="s">
        <v>240</v>
      </c>
      <c r="FS1873" s="5" t="s">
        <v>240</v>
      </c>
      <c r="FT1873" s="5" t="s">
        <v>240</v>
      </c>
      <c r="FU1873" s="5" t="s">
        <v>240</v>
      </c>
      <c r="FV1873" s="5" t="s">
        <v>240</v>
      </c>
      <c r="FW1873" s="5" t="s">
        <v>240</v>
      </c>
      <c r="FX1873" s="5" t="s">
        <v>240</v>
      </c>
      <c r="FY1873" s="5" t="s">
        <v>240</v>
      </c>
      <c r="FZ1873" s="5" t="s">
        <v>240</v>
      </c>
      <c r="GA1873" s="5" t="s">
        <v>240</v>
      </c>
      <c r="GB1873" s="5" t="s">
        <v>240</v>
      </c>
      <c r="GC1873" s="5" t="s">
        <v>240</v>
      </c>
      <c r="GD1873" s="5" t="s">
        <v>240</v>
      </c>
      <c r="GE1873" s="5" t="s">
        <v>240</v>
      </c>
      <c r="GF1873" s="5" t="s">
        <v>240</v>
      </c>
      <c r="GG1873" s="5" t="s">
        <v>240</v>
      </c>
      <c r="GH1873" s="5" t="s">
        <v>240</v>
      </c>
      <c r="GI1873" s="5" t="s">
        <v>240</v>
      </c>
      <c r="GJ1873" s="5" t="s">
        <v>240</v>
      </c>
      <c r="GK1873" s="5" t="s">
        <v>240</v>
      </c>
      <c r="GL1873" s="5" t="s">
        <v>240</v>
      </c>
      <c r="GM1873" s="5" t="s">
        <v>240</v>
      </c>
      <c r="GN1873" s="5" t="s">
        <v>240</v>
      </c>
      <c r="GO1873" s="5" t="s">
        <v>240</v>
      </c>
      <c r="GP1873" s="5" t="s">
        <v>240</v>
      </c>
      <c r="GQ1873" s="5" t="s">
        <v>240</v>
      </c>
      <c r="GR1873" s="5" t="s">
        <v>240</v>
      </c>
      <c r="GS1873" s="5" t="s">
        <v>240</v>
      </c>
      <c r="GT1873" s="5" t="s">
        <v>240</v>
      </c>
      <c r="GU1873" s="5" t="s">
        <v>240</v>
      </c>
      <c r="GV1873" s="5" t="s">
        <v>240</v>
      </c>
      <c r="GW1873" s="5" t="s">
        <v>240</v>
      </c>
      <c r="GX1873" s="5" t="s">
        <v>240</v>
      </c>
      <c r="GY1873" s="5" t="s">
        <v>240</v>
      </c>
      <c r="GZ1873" s="5" t="s">
        <v>240</v>
      </c>
      <c r="HA1873" s="5" t="s">
        <v>240</v>
      </c>
      <c r="HB1873" s="5" t="s">
        <v>240</v>
      </c>
      <c r="HC1873" s="5" t="s">
        <v>240</v>
      </c>
      <c r="HD1873" s="5" t="s">
        <v>240</v>
      </c>
      <c r="HE1873" s="5" t="s">
        <v>240</v>
      </c>
      <c r="HF1873" s="5" t="s">
        <v>240</v>
      </c>
      <c r="HG1873" s="5" t="s">
        <v>240</v>
      </c>
      <c r="HH1873" s="5" t="s">
        <v>240</v>
      </c>
      <c r="HI1873" s="5" t="s">
        <v>240</v>
      </c>
      <c r="HJ1873" s="5" t="s">
        <v>240</v>
      </c>
      <c r="HK1873" s="5" t="s">
        <v>240</v>
      </c>
      <c r="HL1873" s="5" t="s">
        <v>240</v>
      </c>
      <c r="HM1873" s="5" t="s">
        <v>240</v>
      </c>
      <c r="HN1873" s="5" t="s">
        <v>240</v>
      </c>
      <c r="HO1873" s="5" t="s">
        <v>312</v>
      </c>
      <c r="HP1873" s="5" t="s">
        <v>240</v>
      </c>
      <c r="HQ1873" s="5" t="s">
        <v>240</v>
      </c>
      <c r="HR1873" s="5" t="s">
        <v>240</v>
      </c>
      <c r="HS1873" s="5" t="s">
        <v>240</v>
      </c>
      <c r="HT1873" s="5" t="s">
        <v>240</v>
      </c>
      <c r="HU1873" s="5" t="s">
        <v>240</v>
      </c>
      <c r="HV1873" s="5" t="s">
        <v>240</v>
      </c>
      <c r="HW1873" s="5" t="s">
        <v>240</v>
      </c>
      <c r="HX1873" s="5" t="s">
        <v>240</v>
      </c>
      <c r="HY1873" s="5" t="s">
        <v>240</v>
      </c>
      <c r="HZ1873" s="5" t="s">
        <v>240</v>
      </c>
      <c r="IA1873" s="5" t="s">
        <v>240</v>
      </c>
      <c r="IB1873" s="5" t="s">
        <v>240</v>
      </c>
      <c r="IC1873" s="5" t="s">
        <v>240</v>
      </c>
      <c r="ID1873" s="5" t="s">
        <v>240</v>
      </c>
      <c r="IE1873" s="5" t="s">
        <v>240</v>
      </c>
      <c r="IF1873" s="5" t="s">
        <v>240</v>
      </c>
    </row>
    <row r="1874" spans="1:240" x14ac:dyDescent="0.4">
      <c r="A1874" s="5">
        <v>3572</v>
      </c>
      <c r="B1874" s="5">
        <v>1</v>
      </c>
      <c r="C1874" s="5">
        <v>1</v>
      </c>
      <c r="D1874" s="5" t="s">
        <v>297</v>
      </c>
      <c r="E1874" s="5" t="s">
        <v>245</v>
      </c>
      <c r="F1874" s="5" t="s">
        <v>254</v>
      </c>
      <c r="G1874" s="5" t="s">
        <v>240</v>
      </c>
      <c r="H1874" s="6" t="s">
        <v>6056</v>
      </c>
      <c r="I1874" s="5" t="s">
        <v>6061</v>
      </c>
      <c r="J1874" s="8">
        <f>0</f>
        <v>0</v>
      </c>
      <c r="K1874" s="5" t="s">
        <v>308</v>
      </c>
      <c r="L1874" s="7">
        <f>7935096</f>
        <v>7935096</v>
      </c>
      <c r="M1874" s="7">
        <f>7935096</f>
        <v>7935096</v>
      </c>
      <c r="N1874" s="5" t="s">
        <v>242</v>
      </c>
      <c r="O1874" s="5">
        <v>1</v>
      </c>
      <c r="P1874" s="5" t="s">
        <v>294</v>
      </c>
      <c r="Q1874" s="5" t="s">
        <v>613</v>
      </c>
      <c r="R1874" s="5" t="s">
        <v>240</v>
      </c>
      <c r="S1874" s="5" t="s">
        <v>240</v>
      </c>
      <c r="T1874" s="5" t="s">
        <v>243</v>
      </c>
      <c r="U1874" s="5" t="s">
        <v>724</v>
      </c>
      <c r="V1874" s="5" t="s">
        <v>240</v>
      </c>
      <c r="W1874" s="5" t="s">
        <v>240</v>
      </c>
      <c r="X1874" s="5" t="s">
        <v>240</v>
      </c>
      <c r="Y1874" s="5" t="s">
        <v>240</v>
      </c>
      <c r="Z1874" s="6" t="s">
        <v>298</v>
      </c>
      <c r="AA1874" s="6" t="s">
        <v>240</v>
      </c>
      <c r="AB1874" s="6" t="s">
        <v>240</v>
      </c>
      <c r="AC1874" s="5" t="s">
        <v>240</v>
      </c>
      <c r="AD1874" s="6" t="s">
        <v>240</v>
      </c>
      <c r="AE1874" s="6" t="s">
        <v>299</v>
      </c>
      <c r="AF1874" s="5" t="s">
        <v>727</v>
      </c>
      <c r="AG1874" s="5" t="s">
        <v>260</v>
      </c>
      <c r="AH1874" s="5" t="s">
        <v>240</v>
      </c>
      <c r="AI1874" s="5" t="s">
        <v>240</v>
      </c>
      <c r="AJ1874" s="5" t="s">
        <v>240</v>
      </c>
      <c r="AK1874" s="5" t="s">
        <v>240</v>
      </c>
      <c r="AL1874" s="5" t="s">
        <v>240</v>
      </c>
      <c r="AM1874" s="5" t="s">
        <v>240</v>
      </c>
      <c r="AN1874" s="5" t="s">
        <v>240</v>
      </c>
      <c r="AO1874" s="5" t="s">
        <v>240</v>
      </c>
      <c r="AP1874" s="6" t="s">
        <v>240</v>
      </c>
      <c r="AQ1874" s="6" t="s">
        <v>240</v>
      </c>
      <c r="AR1874" s="6" t="s">
        <v>240</v>
      </c>
      <c r="AS1874" s="6" t="s">
        <v>240</v>
      </c>
      <c r="AT1874" s="5" t="s">
        <v>240</v>
      </c>
      <c r="AU1874" s="5" t="s">
        <v>729</v>
      </c>
      <c r="AV1874" s="5" t="s">
        <v>729</v>
      </c>
      <c r="AW1874" s="5" t="s">
        <v>251</v>
      </c>
      <c r="AX1874" s="5" t="s">
        <v>252</v>
      </c>
      <c r="AY1874" s="5" t="s">
        <v>253</v>
      </c>
      <c r="AZ1874" s="5" t="s">
        <v>240</v>
      </c>
      <c r="BA1874" s="5" t="s">
        <v>255</v>
      </c>
      <c r="BB1874" s="5" t="s">
        <v>731</v>
      </c>
      <c r="BD1874" s="5" t="s">
        <v>240</v>
      </c>
      <c r="BF1874" s="5" t="s">
        <v>732</v>
      </c>
      <c r="BG1874" s="6" t="s">
        <v>733</v>
      </c>
      <c r="BH1874" s="5" t="s">
        <v>734</v>
      </c>
      <c r="BI1874" s="5" t="s">
        <v>734</v>
      </c>
      <c r="BJ1874" s="5" t="s">
        <v>240</v>
      </c>
      <c r="BK1874" s="8">
        <f>228.09</f>
        <v>228.09</v>
      </c>
      <c r="BL1874" s="7">
        <f>0</f>
        <v>0</v>
      </c>
      <c r="BM1874" s="5" t="s">
        <v>258</v>
      </c>
      <c r="BN1874" s="5" t="s">
        <v>259</v>
      </c>
      <c r="BO1874" s="5" t="s">
        <v>240</v>
      </c>
      <c r="BP1874" s="5" t="s">
        <v>240</v>
      </c>
      <c r="BQ1874" s="5" t="s">
        <v>240</v>
      </c>
      <c r="BR1874" s="5" t="s">
        <v>240</v>
      </c>
      <c r="BS1874" s="5" t="s">
        <v>240</v>
      </c>
      <c r="BT1874" s="5" t="s">
        <v>240</v>
      </c>
      <c r="BU1874" s="5" t="s">
        <v>240</v>
      </c>
      <c r="BV1874" s="5" t="s">
        <v>240</v>
      </c>
      <c r="BW1874" s="6" t="s">
        <v>240</v>
      </c>
      <c r="BX1874" s="5" t="s">
        <v>240</v>
      </c>
      <c r="BY1874" s="5" t="s">
        <v>240</v>
      </c>
      <c r="BZ1874" s="5" t="s">
        <v>240</v>
      </c>
      <c r="CA1874" s="5" t="s">
        <v>259</v>
      </c>
      <c r="CB1874" s="5" t="s">
        <v>240</v>
      </c>
      <c r="CC1874" s="5" t="s">
        <v>240</v>
      </c>
      <c r="CD1874" s="5" t="s">
        <v>240</v>
      </c>
      <c r="CE1874" s="5" t="s">
        <v>240</v>
      </c>
      <c r="CF1874" s="5" t="s">
        <v>240</v>
      </c>
      <c r="CG1874" s="5" t="s">
        <v>617</v>
      </c>
      <c r="CH1874" s="5" t="s">
        <v>305</v>
      </c>
      <c r="CI1874" s="5" t="s">
        <v>240</v>
      </c>
      <c r="CL1874" s="6" t="s">
        <v>261</v>
      </c>
      <c r="CM1874" s="5" t="s">
        <v>262</v>
      </c>
      <c r="CN1874" s="5" t="s">
        <v>263</v>
      </c>
      <c r="CO1874" s="5" t="s">
        <v>264</v>
      </c>
      <c r="CP1874" s="5" t="s">
        <v>240</v>
      </c>
      <c r="CQ1874" s="5">
        <v>0</v>
      </c>
      <c r="CR1874" s="5" t="s">
        <v>735</v>
      </c>
      <c r="CS1874" s="5" t="s">
        <v>307</v>
      </c>
      <c r="CT1874" s="5" t="s">
        <v>307</v>
      </c>
      <c r="CU1874" s="5" t="s">
        <v>260</v>
      </c>
      <c r="CV1874" s="5" t="s">
        <v>240</v>
      </c>
      <c r="CW1874" s="8">
        <f>0</f>
        <v>0</v>
      </c>
      <c r="CX1874" s="7">
        <f>0</f>
        <v>0</v>
      </c>
      <c r="CY1874" s="7">
        <f>0</f>
        <v>0</v>
      </c>
      <c r="DA1874" s="7">
        <f>2508</f>
        <v>2508</v>
      </c>
      <c r="DB1874" s="7" t="s">
        <v>240</v>
      </c>
      <c r="DC1874" s="5" t="s">
        <v>240</v>
      </c>
      <c r="DD1874" s="5" t="s">
        <v>240</v>
      </c>
      <c r="DE1874" s="5" t="s">
        <v>240</v>
      </c>
      <c r="DF1874" s="5" t="s">
        <v>450</v>
      </c>
      <c r="DG1874" s="7">
        <f>0</f>
        <v>0</v>
      </c>
      <c r="DI1874" s="5" t="s">
        <v>737</v>
      </c>
      <c r="DJ1874" s="5" t="s">
        <v>240</v>
      </c>
      <c r="DK1874" s="5" t="s">
        <v>240</v>
      </c>
      <c r="DL1874" s="5" t="s">
        <v>240</v>
      </c>
      <c r="DM1874" s="5" t="s">
        <v>240</v>
      </c>
      <c r="DN1874" s="5" t="s">
        <v>240</v>
      </c>
      <c r="DO1874" s="7" t="s">
        <v>240</v>
      </c>
      <c r="DP1874" s="5" t="s">
        <v>240</v>
      </c>
      <c r="DQ1874" s="5" t="s">
        <v>240</v>
      </c>
      <c r="DR1874" s="5" t="s">
        <v>731</v>
      </c>
      <c r="DS1874" s="5" t="s">
        <v>731</v>
      </c>
      <c r="DT1874" s="5" t="s">
        <v>240</v>
      </c>
      <c r="DU1874" s="5" t="s">
        <v>240</v>
      </c>
      <c r="DV1874" s="5" t="s">
        <v>738</v>
      </c>
      <c r="DW1874" s="5" t="s">
        <v>558</v>
      </c>
      <c r="DX1874" s="5" t="s">
        <v>240</v>
      </c>
      <c r="DY1874" s="5" t="s">
        <v>240</v>
      </c>
      <c r="DZ1874" s="5" t="s">
        <v>240</v>
      </c>
      <c r="EA1874" s="5" t="s">
        <v>240</v>
      </c>
      <c r="EB1874" s="5" t="s">
        <v>240</v>
      </c>
      <c r="EC1874" s="5" t="s">
        <v>240</v>
      </c>
      <c r="ED1874" s="5" t="s">
        <v>240</v>
      </c>
      <c r="EE1874" s="5" t="s">
        <v>240</v>
      </c>
      <c r="EF1874" s="5" t="s">
        <v>240</v>
      </c>
      <c r="EG1874" s="5" t="s">
        <v>240</v>
      </c>
      <c r="EH1874" s="5" t="s">
        <v>240</v>
      </c>
      <c r="EI1874" s="5" t="s">
        <v>240</v>
      </c>
      <c r="EJ1874" s="5" t="s">
        <v>240</v>
      </c>
      <c r="EK1874" s="5" t="s">
        <v>240</v>
      </c>
      <c r="EL1874" s="5" t="s">
        <v>240</v>
      </c>
      <c r="EM1874" s="5" t="s">
        <v>240</v>
      </c>
      <c r="EN1874" s="5" t="s">
        <v>240</v>
      </c>
      <c r="EO1874" s="5" t="s">
        <v>240</v>
      </c>
      <c r="EP1874" s="5" t="s">
        <v>240</v>
      </c>
      <c r="EQ1874" s="5" t="s">
        <v>240</v>
      </c>
      <c r="ER1874" s="5" t="s">
        <v>240</v>
      </c>
      <c r="ES1874" s="5" t="s">
        <v>240</v>
      </c>
      <c r="ET1874" s="5" t="s">
        <v>240</v>
      </c>
      <c r="EU1874" s="5" t="s">
        <v>240</v>
      </c>
      <c r="EV1874" s="5" t="s">
        <v>240</v>
      </c>
      <c r="EW1874" s="5" t="s">
        <v>240</v>
      </c>
      <c r="EX1874" s="5" t="s">
        <v>240</v>
      </c>
      <c r="EY1874" s="5" t="s">
        <v>240</v>
      </c>
      <c r="EZ1874" s="5" t="s">
        <v>240</v>
      </c>
      <c r="FA1874" s="5" t="s">
        <v>240</v>
      </c>
      <c r="FB1874" s="5" t="s">
        <v>240</v>
      </c>
      <c r="FC1874" s="5" t="s">
        <v>240</v>
      </c>
      <c r="FD1874" s="5" t="s">
        <v>240</v>
      </c>
      <c r="FE1874" s="5" t="s">
        <v>240</v>
      </c>
      <c r="FF1874" s="5" t="s">
        <v>240</v>
      </c>
      <c r="FG1874" s="5" t="s">
        <v>240</v>
      </c>
      <c r="FH1874" s="5" t="s">
        <v>240</v>
      </c>
      <c r="FI1874" s="5" t="s">
        <v>240</v>
      </c>
      <c r="FJ1874" s="5" t="s">
        <v>240</v>
      </c>
      <c r="FK1874" s="5" t="s">
        <v>240</v>
      </c>
      <c r="FL1874" s="5" t="s">
        <v>240</v>
      </c>
      <c r="FM1874" s="5" t="s">
        <v>240</v>
      </c>
      <c r="FN1874" s="5" t="s">
        <v>240</v>
      </c>
      <c r="FO1874" s="5" t="s">
        <v>240</v>
      </c>
      <c r="FP1874" s="5" t="s">
        <v>240</v>
      </c>
      <c r="FQ1874" s="5" t="s">
        <v>240</v>
      </c>
      <c r="FR1874" s="5" t="s">
        <v>240</v>
      </c>
      <c r="FS1874" s="5" t="s">
        <v>240</v>
      </c>
      <c r="FT1874" s="5" t="s">
        <v>240</v>
      </c>
      <c r="FU1874" s="5" t="s">
        <v>240</v>
      </c>
      <c r="FV1874" s="5" t="s">
        <v>240</v>
      </c>
      <c r="FW1874" s="5" t="s">
        <v>240</v>
      </c>
      <c r="FX1874" s="5" t="s">
        <v>240</v>
      </c>
      <c r="FY1874" s="5" t="s">
        <v>240</v>
      </c>
      <c r="FZ1874" s="5" t="s">
        <v>240</v>
      </c>
      <c r="GA1874" s="5" t="s">
        <v>240</v>
      </c>
      <c r="GB1874" s="5" t="s">
        <v>240</v>
      </c>
      <c r="GC1874" s="5" t="s">
        <v>240</v>
      </c>
      <c r="GD1874" s="5" t="s">
        <v>240</v>
      </c>
      <c r="GE1874" s="5" t="s">
        <v>240</v>
      </c>
      <c r="GF1874" s="5" t="s">
        <v>240</v>
      </c>
      <c r="GG1874" s="5" t="s">
        <v>240</v>
      </c>
      <c r="GH1874" s="5" t="s">
        <v>240</v>
      </c>
      <c r="GI1874" s="5" t="s">
        <v>240</v>
      </c>
      <c r="GJ1874" s="5" t="s">
        <v>240</v>
      </c>
      <c r="GK1874" s="5" t="s">
        <v>240</v>
      </c>
      <c r="GL1874" s="5" t="s">
        <v>240</v>
      </c>
      <c r="GM1874" s="5" t="s">
        <v>240</v>
      </c>
      <c r="GN1874" s="5" t="s">
        <v>240</v>
      </c>
      <c r="GO1874" s="5" t="s">
        <v>240</v>
      </c>
      <c r="GP1874" s="5" t="s">
        <v>240</v>
      </c>
      <c r="GQ1874" s="5" t="s">
        <v>240</v>
      </c>
      <c r="GR1874" s="5" t="s">
        <v>240</v>
      </c>
      <c r="GS1874" s="5" t="s">
        <v>240</v>
      </c>
      <c r="GT1874" s="5" t="s">
        <v>240</v>
      </c>
      <c r="GU1874" s="5" t="s">
        <v>240</v>
      </c>
      <c r="GV1874" s="5" t="s">
        <v>240</v>
      </c>
      <c r="GW1874" s="5" t="s">
        <v>240</v>
      </c>
      <c r="GX1874" s="5" t="s">
        <v>240</v>
      </c>
      <c r="GY1874" s="5" t="s">
        <v>240</v>
      </c>
      <c r="GZ1874" s="5" t="s">
        <v>240</v>
      </c>
      <c r="HA1874" s="5" t="s">
        <v>240</v>
      </c>
      <c r="HB1874" s="5" t="s">
        <v>240</v>
      </c>
      <c r="HC1874" s="5" t="s">
        <v>240</v>
      </c>
      <c r="HD1874" s="5" t="s">
        <v>240</v>
      </c>
      <c r="HE1874" s="5" t="s">
        <v>240</v>
      </c>
      <c r="HF1874" s="5" t="s">
        <v>240</v>
      </c>
      <c r="HG1874" s="5" t="s">
        <v>240</v>
      </c>
      <c r="HH1874" s="5" t="s">
        <v>240</v>
      </c>
      <c r="HI1874" s="5" t="s">
        <v>240</v>
      </c>
      <c r="HJ1874" s="5" t="s">
        <v>240</v>
      </c>
      <c r="HK1874" s="5" t="s">
        <v>240</v>
      </c>
      <c r="HL1874" s="5" t="s">
        <v>240</v>
      </c>
      <c r="HM1874" s="5" t="s">
        <v>240</v>
      </c>
      <c r="HN1874" s="5" t="s">
        <v>240</v>
      </c>
      <c r="HO1874" s="5" t="s">
        <v>620</v>
      </c>
      <c r="HP1874" s="5" t="s">
        <v>240</v>
      </c>
      <c r="HQ1874" s="5" t="s">
        <v>240</v>
      </c>
      <c r="HR1874" s="5" t="s">
        <v>240</v>
      </c>
      <c r="HS1874" s="5" t="s">
        <v>240</v>
      </c>
      <c r="HT1874" s="5" t="s">
        <v>240</v>
      </c>
      <c r="HU1874" s="5" t="s">
        <v>240</v>
      </c>
      <c r="HV1874" s="5" t="s">
        <v>240</v>
      </c>
      <c r="HW1874" s="5" t="s">
        <v>240</v>
      </c>
      <c r="HX1874" s="5" t="s">
        <v>240</v>
      </c>
      <c r="HY1874" s="5" t="s">
        <v>240</v>
      </c>
      <c r="HZ1874" s="5" t="s">
        <v>240</v>
      </c>
      <c r="IA1874" s="5" t="s">
        <v>240</v>
      </c>
      <c r="IB1874" s="5" t="s">
        <v>240</v>
      </c>
      <c r="IC1874" s="5" t="s">
        <v>240</v>
      </c>
      <c r="ID1874" s="5" t="s">
        <v>240</v>
      </c>
      <c r="IE1874" s="5" t="s">
        <v>240</v>
      </c>
      <c r="IF1874" s="5" t="s">
        <v>240</v>
      </c>
    </row>
    <row r="1875" spans="1:240" x14ac:dyDescent="0.4">
      <c r="A1875" s="5">
        <v>3573</v>
      </c>
      <c r="B1875" s="5">
        <v>1</v>
      </c>
      <c r="C1875" s="5">
        <v>1</v>
      </c>
      <c r="D1875" s="5" t="s">
        <v>297</v>
      </c>
      <c r="E1875" s="5" t="s">
        <v>245</v>
      </c>
      <c r="F1875" s="5" t="s">
        <v>254</v>
      </c>
      <c r="G1875" s="5" t="s">
        <v>240</v>
      </c>
      <c r="H1875" s="6" t="s">
        <v>6065</v>
      </c>
      <c r="I1875" s="5" t="s">
        <v>6063</v>
      </c>
      <c r="J1875" s="8">
        <f>0</f>
        <v>0</v>
      </c>
      <c r="K1875" s="5" t="s">
        <v>308</v>
      </c>
      <c r="L1875" s="7">
        <f>635000</f>
        <v>635000</v>
      </c>
      <c r="M1875" s="7">
        <f>635000</f>
        <v>635000</v>
      </c>
      <c r="N1875" s="5" t="s">
        <v>242</v>
      </c>
      <c r="O1875" s="5">
        <v>1</v>
      </c>
      <c r="P1875" s="5" t="s">
        <v>294</v>
      </c>
      <c r="Q1875" s="5" t="s">
        <v>266</v>
      </c>
      <c r="R1875" s="5" t="s">
        <v>240</v>
      </c>
      <c r="S1875" s="5" t="s">
        <v>240</v>
      </c>
      <c r="T1875" s="5" t="s">
        <v>296</v>
      </c>
      <c r="U1875" s="5" t="s">
        <v>244</v>
      </c>
      <c r="V1875" s="5" t="s">
        <v>240</v>
      </c>
      <c r="Y1875" s="5" t="s">
        <v>240</v>
      </c>
      <c r="Z1875" s="6" t="s">
        <v>298</v>
      </c>
      <c r="AB1875" s="6" t="s">
        <v>240</v>
      </c>
      <c r="AE1875" s="6" t="s">
        <v>299</v>
      </c>
      <c r="AF1875" s="5" t="s">
        <v>248</v>
      </c>
      <c r="AG1875" s="5" t="s">
        <v>249</v>
      </c>
      <c r="AW1875" s="5" t="s">
        <v>251</v>
      </c>
      <c r="AX1875" s="5" t="s">
        <v>240</v>
      </c>
      <c r="AY1875" s="5" t="s">
        <v>253</v>
      </c>
      <c r="AZ1875" s="5" t="s">
        <v>240</v>
      </c>
      <c r="BA1875" s="5" t="s">
        <v>255</v>
      </c>
      <c r="BB1875" s="5" t="s">
        <v>240</v>
      </c>
      <c r="BD1875" s="5" t="s">
        <v>240</v>
      </c>
      <c r="BF1875" s="5" t="s">
        <v>301</v>
      </c>
      <c r="BG1875" s="6" t="s">
        <v>299</v>
      </c>
      <c r="BH1875" s="5" t="s">
        <v>302</v>
      </c>
      <c r="BI1875" s="5" t="s">
        <v>303</v>
      </c>
      <c r="BJ1875" s="5" t="s">
        <v>240</v>
      </c>
      <c r="BK1875" s="8">
        <f>0</f>
        <v>0</v>
      </c>
      <c r="BL1875" s="7">
        <f>0</f>
        <v>0</v>
      </c>
      <c r="BM1875" s="5" t="s">
        <v>258</v>
      </c>
      <c r="BN1875" s="5" t="s">
        <v>259</v>
      </c>
      <c r="CB1875" s="5" t="s">
        <v>240</v>
      </c>
      <c r="CC1875" s="5" t="s">
        <v>240</v>
      </c>
      <c r="CG1875" s="5" t="s">
        <v>304</v>
      </c>
      <c r="CH1875" s="5" t="s">
        <v>305</v>
      </c>
      <c r="CI1875" s="5" t="s">
        <v>240</v>
      </c>
      <c r="CL1875" s="6" t="s">
        <v>261</v>
      </c>
      <c r="CM1875" s="5" t="s">
        <v>240</v>
      </c>
      <c r="CN1875" s="5" t="s">
        <v>263</v>
      </c>
      <c r="CO1875" s="5" t="s">
        <v>240</v>
      </c>
      <c r="CP1875" s="5" t="s">
        <v>240</v>
      </c>
      <c r="CQ1875" s="5">
        <v>0</v>
      </c>
      <c r="CR1875" s="5" t="s">
        <v>306</v>
      </c>
      <c r="CS1875" s="5" t="s">
        <v>307</v>
      </c>
      <c r="CT1875" s="5" t="s">
        <v>307</v>
      </c>
      <c r="CU1875" s="5" t="s">
        <v>260</v>
      </c>
      <c r="CX1875" s="7">
        <f>1</f>
        <v>1</v>
      </c>
      <c r="CY1875" s="7">
        <f>0</f>
        <v>0</v>
      </c>
      <c r="DA1875" s="7">
        <f>0</f>
        <v>0</v>
      </c>
      <c r="DC1875" s="5" t="s">
        <v>309</v>
      </c>
      <c r="DD1875" s="5" t="s">
        <v>240</v>
      </c>
      <c r="DF1875" s="5" t="s">
        <v>309</v>
      </c>
      <c r="DG1875" s="7">
        <f>919</f>
        <v>919</v>
      </c>
      <c r="DI1875" s="5" t="s">
        <v>240</v>
      </c>
      <c r="DJ1875" s="5" t="s">
        <v>240</v>
      </c>
      <c r="DK1875" s="5" t="s">
        <v>240</v>
      </c>
      <c r="DL1875" s="5" t="s">
        <v>240</v>
      </c>
      <c r="DP1875" s="5" t="s">
        <v>240</v>
      </c>
      <c r="DQ1875" s="5" t="s">
        <v>240</v>
      </c>
      <c r="DR1875" s="5" t="s">
        <v>240</v>
      </c>
      <c r="DS1875" s="5" t="s">
        <v>240</v>
      </c>
      <c r="DV1875" s="5" t="s">
        <v>310</v>
      </c>
      <c r="DW1875" s="5" t="s">
        <v>3280</v>
      </c>
      <c r="HO1875" s="5" t="s">
        <v>312</v>
      </c>
    </row>
    <row r="1876" spans="1:240" x14ac:dyDescent="0.4">
      <c r="A1876" s="5">
        <v>3574</v>
      </c>
      <c r="B1876" s="5">
        <v>1</v>
      </c>
      <c r="C1876" s="5">
        <v>1</v>
      </c>
      <c r="D1876" s="5" t="s">
        <v>297</v>
      </c>
      <c r="E1876" s="5" t="s">
        <v>245</v>
      </c>
      <c r="F1876" s="5" t="s">
        <v>254</v>
      </c>
      <c r="G1876" s="5" t="s">
        <v>240</v>
      </c>
      <c r="H1876" s="6" t="s">
        <v>6065</v>
      </c>
      <c r="I1876" s="5" t="s">
        <v>6079</v>
      </c>
      <c r="J1876" s="8">
        <f>0</f>
        <v>0</v>
      </c>
      <c r="K1876" s="5" t="s">
        <v>308</v>
      </c>
      <c r="L1876" s="7">
        <f>26387200</f>
        <v>26387200</v>
      </c>
      <c r="M1876" s="7">
        <f>26387200</f>
        <v>26387200</v>
      </c>
      <c r="N1876" s="5" t="s">
        <v>242</v>
      </c>
      <c r="O1876" s="5">
        <v>1</v>
      </c>
      <c r="P1876" s="5" t="s">
        <v>294</v>
      </c>
      <c r="Q1876" s="5" t="s">
        <v>266</v>
      </c>
      <c r="R1876" s="5" t="s">
        <v>240</v>
      </c>
      <c r="S1876" s="5" t="s">
        <v>240</v>
      </c>
      <c r="T1876" s="5" t="s">
        <v>296</v>
      </c>
      <c r="U1876" s="5" t="s">
        <v>244</v>
      </c>
      <c r="V1876" s="5" t="s">
        <v>240</v>
      </c>
      <c r="Y1876" s="5" t="s">
        <v>240</v>
      </c>
      <c r="Z1876" s="6" t="s">
        <v>298</v>
      </c>
      <c r="AB1876" s="6" t="s">
        <v>240</v>
      </c>
      <c r="AE1876" s="6" t="s">
        <v>299</v>
      </c>
      <c r="AF1876" s="5" t="s">
        <v>248</v>
      </c>
      <c r="AG1876" s="5" t="s">
        <v>249</v>
      </c>
      <c r="AW1876" s="5" t="s">
        <v>251</v>
      </c>
      <c r="AX1876" s="5" t="s">
        <v>240</v>
      </c>
      <c r="AY1876" s="5" t="s">
        <v>253</v>
      </c>
      <c r="AZ1876" s="5" t="s">
        <v>240</v>
      </c>
      <c r="BA1876" s="5" t="s">
        <v>255</v>
      </c>
      <c r="BB1876" s="5" t="s">
        <v>240</v>
      </c>
      <c r="BD1876" s="5" t="s">
        <v>240</v>
      </c>
      <c r="BF1876" s="5" t="s">
        <v>301</v>
      </c>
      <c r="BG1876" s="6" t="s">
        <v>299</v>
      </c>
      <c r="BH1876" s="5" t="s">
        <v>302</v>
      </c>
      <c r="BI1876" s="5" t="s">
        <v>303</v>
      </c>
      <c r="BJ1876" s="5" t="s">
        <v>240</v>
      </c>
      <c r="BK1876" s="8">
        <f>0</f>
        <v>0</v>
      </c>
      <c r="BL1876" s="7">
        <f>0</f>
        <v>0</v>
      </c>
      <c r="BM1876" s="5" t="s">
        <v>258</v>
      </c>
      <c r="BN1876" s="5" t="s">
        <v>259</v>
      </c>
      <c r="CB1876" s="5" t="s">
        <v>240</v>
      </c>
      <c r="CC1876" s="5" t="s">
        <v>240</v>
      </c>
      <c r="CG1876" s="5" t="s">
        <v>304</v>
      </c>
      <c r="CH1876" s="5" t="s">
        <v>305</v>
      </c>
      <c r="CI1876" s="5" t="s">
        <v>240</v>
      </c>
      <c r="CL1876" s="6" t="s">
        <v>261</v>
      </c>
      <c r="CM1876" s="5" t="s">
        <v>240</v>
      </c>
      <c r="CN1876" s="5" t="s">
        <v>263</v>
      </c>
      <c r="CO1876" s="5" t="s">
        <v>240</v>
      </c>
      <c r="CP1876" s="5" t="s">
        <v>240</v>
      </c>
      <c r="CQ1876" s="5">
        <v>0</v>
      </c>
      <c r="CR1876" s="5" t="s">
        <v>306</v>
      </c>
      <c r="CS1876" s="5" t="s">
        <v>307</v>
      </c>
      <c r="CT1876" s="5" t="s">
        <v>307</v>
      </c>
      <c r="CU1876" s="5" t="s">
        <v>260</v>
      </c>
      <c r="CX1876" s="7">
        <f>1</f>
        <v>1</v>
      </c>
      <c r="CY1876" s="7">
        <f>0</f>
        <v>0</v>
      </c>
      <c r="DA1876" s="7">
        <f>0</f>
        <v>0</v>
      </c>
      <c r="DC1876" s="5" t="s">
        <v>309</v>
      </c>
      <c r="DD1876" s="5" t="s">
        <v>240</v>
      </c>
      <c r="DF1876" s="5" t="s">
        <v>309</v>
      </c>
      <c r="DG1876" s="7">
        <f>5649</f>
        <v>5649</v>
      </c>
      <c r="DI1876" s="5" t="s">
        <v>240</v>
      </c>
      <c r="DJ1876" s="5" t="s">
        <v>240</v>
      </c>
      <c r="DK1876" s="5" t="s">
        <v>240</v>
      </c>
      <c r="DL1876" s="5" t="s">
        <v>240</v>
      </c>
      <c r="DP1876" s="5" t="s">
        <v>240</v>
      </c>
      <c r="DQ1876" s="5" t="s">
        <v>240</v>
      </c>
      <c r="DR1876" s="5" t="s">
        <v>240</v>
      </c>
      <c r="DS1876" s="5" t="s">
        <v>240</v>
      </c>
      <c r="DV1876" s="5" t="s">
        <v>310</v>
      </c>
      <c r="DW1876" s="5" t="s">
        <v>3288</v>
      </c>
      <c r="HO1876" s="5" t="s">
        <v>312</v>
      </c>
    </row>
    <row r="1877" spans="1:240" x14ac:dyDescent="0.4">
      <c r="A1877" s="5">
        <v>3575</v>
      </c>
      <c r="B1877" s="5">
        <v>1</v>
      </c>
      <c r="C1877" s="5">
        <v>1</v>
      </c>
      <c r="D1877" s="5" t="s">
        <v>297</v>
      </c>
      <c r="E1877" s="5" t="s">
        <v>245</v>
      </c>
      <c r="F1877" s="5" t="s">
        <v>254</v>
      </c>
      <c r="G1877" s="5" t="s">
        <v>240</v>
      </c>
      <c r="H1877" s="6" t="s">
        <v>5180</v>
      </c>
      <c r="I1877" s="5" t="s">
        <v>6088</v>
      </c>
      <c r="J1877" s="8">
        <f>714.77</f>
        <v>714.77</v>
      </c>
      <c r="K1877" s="5" t="s">
        <v>308</v>
      </c>
      <c r="L1877" s="7">
        <f>1986028</f>
        <v>1986028</v>
      </c>
      <c r="M1877" s="7">
        <f>1986028</f>
        <v>1986028</v>
      </c>
      <c r="N1877" s="5" t="s">
        <v>242</v>
      </c>
      <c r="O1877" s="5">
        <v>1</v>
      </c>
      <c r="P1877" s="5" t="s">
        <v>294</v>
      </c>
      <c r="Q1877" s="5" t="s">
        <v>613</v>
      </c>
      <c r="R1877" s="5" t="s">
        <v>240</v>
      </c>
      <c r="S1877" s="5" t="s">
        <v>240</v>
      </c>
      <c r="T1877" s="5" t="s">
        <v>243</v>
      </c>
      <c r="U1877" s="5" t="s">
        <v>724</v>
      </c>
      <c r="V1877" s="5" t="s">
        <v>240</v>
      </c>
      <c r="W1877" s="5" t="s">
        <v>240</v>
      </c>
      <c r="X1877" s="5" t="s">
        <v>240</v>
      </c>
      <c r="Y1877" s="5" t="s">
        <v>240</v>
      </c>
      <c r="Z1877" s="6" t="s">
        <v>298</v>
      </c>
      <c r="AA1877" s="6" t="s">
        <v>240</v>
      </c>
      <c r="AB1877" s="6" t="s">
        <v>240</v>
      </c>
      <c r="AC1877" s="5" t="s">
        <v>240</v>
      </c>
      <c r="AD1877" s="6" t="s">
        <v>240</v>
      </c>
      <c r="AE1877" s="6" t="s">
        <v>299</v>
      </c>
      <c r="AF1877" s="5" t="s">
        <v>727</v>
      </c>
      <c r="AG1877" s="5" t="s">
        <v>260</v>
      </c>
      <c r="AH1877" s="5" t="s">
        <v>240</v>
      </c>
      <c r="AI1877" s="5" t="s">
        <v>240</v>
      </c>
      <c r="AJ1877" s="5" t="s">
        <v>240</v>
      </c>
      <c r="AK1877" s="5" t="s">
        <v>240</v>
      </c>
      <c r="AL1877" s="5" t="s">
        <v>240</v>
      </c>
      <c r="AM1877" s="5" t="s">
        <v>240</v>
      </c>
      <c r="AN1877" s="5" t="s">
        <v>240</v>
      </c>
      <c r="AO1877" s="5" t="s">
        <v>240</v>
      </c>
      <c r="AP1877" s="6" t="s">
        <v>240</v>
      </c>
      <c r="AQ1877" s="6" t="s">
        <v>240</v>
      </c>
      <c r="AR1877" s="6" t="s">
        <v>240</v>
      </c>
      <c r="AS1877" s="6" t="s">
        <v>240</v>
      </c>
      <c r="AT1877" s="5" t="s">
        <v>240</v>
      </c>
      <c r="AU1877" s="5" t="s">
        <v>729</v>
      </c>
      <c r="AV1877" s="5" t="s">
        <v>729</v>
      </c>
      <c r="AW1877" s="5" t="s">
        <v>251</v>
      </c>
      <c r="AX1877" s="5" t="s">
        <v>252</v>
      </c>
      <c r="AY1877" s="5" t="s">
        <v>253</v>
      </c>
      <c r="AZ1877" s="5" t="s">
        <v>240</v>
      </c>
      <c r="BA1877" s="5" t="s">
        <v>255</v>
      </c>
      <c r="BB1877" s="5" t="s">
        <v>731</v>
      </c>
      <c r="BD1877" s="5" t="s">
        <v>240</v>
      </c>
      <c r="BF1877" s="5" t="s">
        <v>732</v>
      </c>
      <c r="BG1877" s="6" t="s">
        <v>733</v>
      </c>
      <c r="BH1877" s="5" t="s">
        <v>734</v>
      </c>
      <c r="BI1877" s="5" t="s">
        <v>734</v>
      </c>
      <c r="BJ1877" s="5" t="s">
        <v>240</v>
      </c>
      <c r="BK1877" s="8">
        <f>326</f>
        <v>326</v>
      </c>
      <c r="BL1877" s="7">
        <f>0</f>
        <v>0</v>
      </c>
      <c r="BM1877" s="5" t="s">
        <v>258</v>
      </c>
      <c r="BN1877" s="5" t="s">
        <v>259</v>
      </c>
      <c r="BO1877" s="5" t="s">
        <v>240</v>
      </c>
      <c r="BP1877" s="5" t="s">
        <v>240</v>
      </c>
      <c r="BQ1877" s="5" t="s">
        <v>240</v>
      </c>
      <c r="BR1877" s="5" t="s">
        <v>240</v>
      </c>
      <c r="BS1877" s="5" t="s">
        <v>240</v>
      </c>
      <c r="BT1877" s="5" t="s">
        <v>240</v>
      </c>
      <c r="BU1877" s="5" t="s">
        <v>240</v>
      </c>
      <c r="BV1877" s="5" t="s">
        <v>240</v>
      </c>
      <c r="BW1877" s="6" t="s">
        <v>240</v>
      </c>
      <c r="BX1877" s="5" t="s">
        <v>240</v>
      </c>
      <c r="BY1877" s="5" t="s">
        <v>240</v>
      </c>
      <c r="BZ1877" s="5" t="s">
        <v>240</v>
      </c>
      <c r="CA1877" s="5" t="s">
        <v>259</v>
      </c>
      <c r="CB1877" s="5" t="s">
        <v>240</v>
      </c>
      <c r="CC1877" s="5" t="s">
        <v>240</v>
      </c>
      <c r="CD1877" s="5" t="s">
        <v>240</v>
      </c>
      <c r="CE1877" s="5" t="s">
        <v>240</v>
      </c>
      <c r="CF1877" s="5" t="s">
        <v>240</v>
      </c>
      <c r="CG1877" s="5" t="s">
        <v>617</v>
      </c>
      <c r="CH1877" s="5" t="s">
        <v>305</v>
      </c>
      <c r="CI1877" s="5" t="s">
        <v>240</v>
      </c>
      <c r="CL1877" s="6" t="s">
        <v>261</v>
      </c>
      <c r="CM1877" s="5" t="s">
        <v>262</v>
      </c>
      <c r="CN1877" s="5" t="s">
        <v>263</v>
      </c>
      <c r="CO1877" s="5" t="s">
        <v>264</v>
      </c>
      <c r="CP1877" s="5" t="s">
        <v>240</v>
      </c>
      <c r="CQ1877" s="5">
        <v>0</v>
      </c>
      <c r="CR1877" s="5" t="s">
        <v>735</v>
      </c>
      <c r="CS1877" s="5" t="s">
        <v>307</v>
      </c>
      <c r="CT1877" s="5" t="s">
        <v>307</v>
      </c>
      <c r="CU1877" s="5" t="s">
        <v>260</v>
      </c>
      <c r="CV1877" s="5" t="s">
        <v>240</v>
      </c>
      <c r="CW1877" s="8">
        <f>0</f>
        <v>0</v>
      </c>
      <c r="CX1877" s="7">
        <f>0</f>
        <v>0</v>
      </c>
      <c r="CY1877" s="7">
        <f>0</f>
        <v>0</v>
      </c>
      <c r="DA1877" s="7">
        <f>3586</f>
        <v>3586</v>
      </c>
      <c r="DB1877" s="7" t="s">
        <v>240</v>
      </c>
      <c r="DC1877" s="5" t="s">
        <v>240</v>
      </c>
      <c r="DD1877" s="5" t="s">
        <v>240</v>
      </c>
      <c r="DE1877" s="5" t="s">
        <v>240</v>
      </c>
      <c r="DF1877" s="5" t="s">
        <v>450</v>
      </c>
      <c r="DG1877" s="7">
        <f>0</f>
        <v>0</v>
      </c>
      <c r="DI1877" s="5" t="s">
        <v>737</v>
      </c>
      <c r="DJ1877" s="5" t="s">
        <v>240</v>
      </c>
      <c r="DK1877" s="5" t="s">
        <v>240</v>
      </c>
      <c r="DL1877" s="5" t="s">
        <v>240</v>
      </c>
      <c r="DM1877" s="5" t="s">
        <v>240</v>
      </c>
      <c r="DN1877" s="5" t="s">
        <v>240</v>
      </c>
      <c r="DO1877" s="7" t="s">
        <v>240</v>
      </c>
      <c r="DP1877" s="5" t="s">
        <v>240</v>
      </c>
      <c r="DQ1877" s="5" t="s">
        <v>240</v>
      </c>
      <c r="DR1877" s="5" t="s">
        <v>731</v>
      </c>
      <c r="DS1877" s="5" t="s">
        <v>731</v>
      </c>
      <c r="DT1877" s="5" t="s">
        <v>240</v>
      </c>
      <c r="DU1877" s="5" t="s">
        <v>240</v>
      </c>
      <c r="DV1877" s="5" t="s">
        <v>738</v>
      </c>
      <c r="DW1877" s="5" t="s">
        <v>625</v>
      </c>
      <c r="DX1877" s="5" t="s">
        <v>240</v>
      </c>
      <c r="DY1877" s="5" t="s">
        <v>240</v>
      </c>
      <c r="DZ1877" s="5" t="s">
        <v>240</v>
      </c>
      <c r="EA1877" s="5" t="s">
        <v>240</v>
      </c>
      <c r="EB1877" s="5" t="s">
        <v>240</v>
      </c>
      <c r="EC1877" s="5" t="s">
        <v>240</v>
      </c>
      <c r="ED1877" s="5" t="s">
        <v>240</v>
      </c>
      <c r="EE1877" s="5" t="s">
        <v>240</v>
      </c>
      <c r="EF1877" s="5" t="s">
        <v>240</v>
      </c>
      <c r="EG1877" s="5" t="s">
        <v>240</v>
      </c>
      <c r="EH1877" s="5" t="s">
        <v>240</v>
      </c>
      <c r="EI1877" s="5" t="s">
        <v>240</v>
      </c>
      <c r="EJ1877" s="5" t="s">
        <v>240</v>
      </c>
      <c r="EK1877" s="5" t="s">
        <v>240</v>
      </c>
      <c r="EL1877" s="5" t="s">
        <v>240</v>
      </c>
      <c r="EM1877" s="5" t="s">
        <v>240</v>
      </c>
      <c r="EN1877" s="5" t="s">
        <v>240</v>
      </c>
      <c r="EO1877" s="5" t="s">
        <v>240</v>
      </c>
      <c r="EP1877" s="5" t="s">
        <v>240</v>
      </c>
      <c r="EQ1877" s="5" t="s">
        <v>240</v>
      </c>
      <c r="ER1877" s="5" t="s">
        <v>240</v>
      </c>
      <c r="ES1877" s="5" t="s">
        <v>240</v>
      </c>
      <c r="ET1877" s="5" t="s">
        <v>240</v>
      </c>
      <c r="EU1877" s="5" t="s">
        <v>240</v>
      </c>
      <c r="EV1877" s="5" t="s">
        <v>240</v>
      </c>
      <c r="EW1877" s="5" t="s">
        <v>240</v>
      </c>
      <c r="EX1877" s="5" t="s">
        <v>240</v>
      </c>
      <c r="EY1877" s="5" t="s">
        <v>240</v>
      </c>
      <c r="EZ1877" s="5" t="s">
        <v>240</v>
      </c>
      <c r="FA1877" s="5" t="s">
        <v>240</v>
      </c>
      <c r="FB1877" s="5" t="s">
        <v>240</v>
      </c>
      <c r="FC1877" s="5" t="s">
        <v>240</v>
      </c>
      <c r="FD1877" s="5" t="s">
        <v>240</v>
      </c>
      <c r="FE1877" s="5" t="s">
        <v>240</v>
      </c>
      <c r="FF1877" s="5" t="s">
        <v>240</v>
      </c>
      <c r="FG1877" s="5" t="s">
        <v>240</v>
      </c>
      <c r="FH1877" s="5" t="s">
        <v>240</v>
      </c>
      <c r="FI1877" s="5" t="s">
        <v>240</v>
      </c>
      <c r="FJ1877" s="5" t="s">
        <v>240</v>
      </c>
      <c r="FK1877" s="5" t="s">
        <v>240</v>
      </c>
      <c r="FL1877" s="5" t="s">
        <v>240</v>
      </c>
      <c r="FM1877" s="5" t="s">
        <v>240</v>
      </c>
      <c r="FN1877" s="5" t="s">
        <v>240</v>
      </c>
      <c r="FO1877" s="5" t="s">
        <v>240</v>
      </c>
      <c r="FP1877" s="5" t="s">
        <v>240</v>
      </c>
      <c r="FQ1877" s="5" t="s">
        <v>240</v>
      </c>
      <c r="FR1877" s="5" t="s">
        <v>240</v>
      </c>
      <c r="FS1877" s="5" t="s">
        <v>240</v>
      </c>
      <c r="FT1877" s="5" t="s">
        <v>240</v>
      </c>
      <c r="FU1877" s="5" t="s">
        <v>240</v>
      </c>
      <c r="FV1877" s="5" t="s">
        <v>240</v>
      </c>
      <c r="FW1877" s="5" t="s">
        <v>240</v>
      </c>
      <c r="FX1877" s="5" t="s">
        <v>240</v>
      </c>
      <c r="FY1877" s="5" t="s">
        <v>240</v>
      </c>
      <c r="FZ1877" s="5" t="s">
        <v>240</v>
      </c>
      <c r="GA1877" s="5" t="s">
        <v>240</v>
      </c>
      <c r="GB1877" s="5" t="s">
        <v>240</v>
      </c>
      <c r="GC1877" s="5" t="s">
        <v>240</v>
      </c>
      <c r="GD1877" s="5" t="s">
        <v>240</v>
      </c>
      <c r="GE1877" s="5" t="s">
        <v>240</v>
      </c>
      <c r="GF1877" s="5" t="s">
        <v>240</v>
      </c>
      <c r="GG1877" s="5" t="s">
        <v>240</v>
      </c>
      <c r="GH1877" s="5" t="s">
        <v>240</v>
      </c>
      <c r="GI1877" s="5" t="s">
        <v>240</v>
      </c>
      <c r="GJ1877" s="5" t="s">
        <v>240</v>
      </c>
      <c r="GK1877" s="5" t="s">
        <v>240</v>
      </c>
      <c r="GL1877" s="5" t="s">
        <v>240</v>
      </c>
      <c r="GM1877" s="5" t="s">
        <v>240</v>
      </c>
      <c r="GN1877" s="5" t="s">
        <v>240</v>
      </c>
      <c r="GO1877" s="5" t="s">
        <v>240</v>
      </c>
      <c r="GP1877" s="5" t="s">
        <v>240</v>
      </c>
      <c r="GQ1877" s="5" t="s">
        <v>240</v>
      </c>
      <c r="GR1877" s="5" t="s">
        <v>240</v>
      </c>
      <c r="GS1877" s="5" t="s">
        <v>240</v>
      </c>
      <c r="GT1877" s="5" t="s">
        <v>240</v>
      </c>
      <c r="GU1877" s="5" t="s">
        <v>240</v>
      </c>
      <c r="GV1877" s="5" t="s">
        <v>240</v>
      </c>
      <c r="GW1877" s="5" t="s">
        <v>240</v>
      </c>
      <c r="GX1877" s="5" t="s">
        <v>240</v>
      </c>
      <c r="GY1877" s="5" t="s">
        <v>240</v>
      </c>
      <c r="GZ1877" s="5" t="s">
        <v>240</v>
      </c>
      <c r="HA1877" s="5" t="s">
        <v>240</v>
      </c>
      <c r="HB1877" s="5" t="s">
        <v>240</v>
      </c>
      <c r="HC1877" s="5" t="s">
        <v>240</v>
      </c>
      <c r="HD1877" s="5" t="s">
        <v>240</v>
      </c>
      <c r="HE1877" s="5" t="s">
        <v>240</v>
      </c>
      <c r="HF1877" s="5" t="s">
        <v>240</v>
      </c>
      <c r="HG1877" s="5" t="s">
        <v>240</v>
      </c>
      <c r="HH1877" s="5" t="s">
        <v>240</v>
      </c>
      <c r="HI1877" s="5" t="s">
        <v>240</v>
      </c>
      <c r="HJ1877" s="5" t="s">
        <v>240</v>
      </c>
      <c r="HK1877" s="5" t="s">
        <v>240</v>
      </c>
      <c r="HL1877" s="5" t="s">
        <v>240</v>
      </c>
      <c r="HM1877" s="5" t="s">
        <v>240</v>
      </c>
      <c r="HN1877" s="5" t="s">
        <v>240</v>
      </c>
      <c r="HO1877" s="5" t="s">
        <v>620</v>
      </c>
      <c r="HP1877" s="5" t="s">
        <v>240</v>
      </c>
      <c r="HQ1877" s="5" t="s">
        <v>240</v>
      </c>
      <c r="HR1877" s="5" t="s">
        <v>240</v>
      </c>
      <c r="HS1877" s="5" t="s">
        <v>240</v>
      </c>
      <c r="HT1877" s="5" t="s">
        <v>240</v>
      </c>
      <c r="HU1877" s="5" t="s">
        <v>240</v>
      </c>
      <c r="HV1877" s="5" t="s">
        <v>240</v>
      </c>
      <c r="HW1877" s="5" t="s">
        <v>240</v>
      </c>
      <c r="HX1877" s="5" t="s">
        <v>240</v>
      </c>
      <c r="HY1877" s="5" t="s">
        <v>240</v>
      </c>
      <c r="HZ1877" s="5" t="s">
        <v>240</v>
      </c>
      <c r="IA1877" s="5" t="s">
        <v>240</v>
      </c>
      <c r="IB1877" s="5" t="s">
        <v>240</v>
      </c>
      <c r="IC1877" s="5" t="s">
        <v>240</v>
      </c>
      <c r="ID1877" s="5" t="s">
        <v>240</v>
      </c>
      <c r="IE1877" s="5" t="s">
        <v>240</v>
      </c>
      <c r="IF1877" s="5" t="s">
        <v>240</v>
      </c>
    </row>
    <row r="1878" spans="1:240" x14ac:dyDescent="0.4">
      <c r="A1878" s="5">
        <v>3576</v>
      </c>
      <c r="B1878" s="5">
        <v>1</v>
      </c>
      <c r="C1878" s="5">
        <v>1</v>
      </c>
      <c r="D1878" s="5" t="s">
        <v>297</v>
      </c>
      <c r="E1878" s="5" t="s">
        <v>245</v>
      </c>
      <c r="F1878" s="5" t="s">
        <v>254</v>
      </c>
      <c r="G1878" s="5" t="s">
        <v>240</v>
      </c>
      <c r="H1878" s="6" t="s">
        <v>5180</v>
      </c>
      <c r="I1878" s="5" t="s">
        <v>6102</v>
      </c>
      <c r="J1878" s="8">
        <f>0</f>
        <v>0</v>
      </c>
      <c r="K1878" s="5" t="s">
        <v>308</v>
      </c>
      <c r="L1878" s="7">
        <f>24622044</f>
        <v>24622044</v>
      </c>
      <c r="M1878" s="7">
        <f>24622044</f>
        <v>24622044</v>
      </c>
      <c r="N1878" s="5" t="s">
        <v>242</v>
      </c>
      <c r="O1878" s="5">
        <v>1</v>
      </c>
      <c r="P1878" s="5" t="s">
        <v>294</v>
      </c>
      <c r="Q1878" s="5" t="s">
        <v>266</v>
      </c>
      <c r="R1878" s="5" t="s">
        <v>240</v>
      </c>
      <c r="S1878" s="5" t="s">
        <v>240</v>
      </c>
      <c r="T1878" s="5" t="s">
        <v>296</v>
      </c>
      <c r="U1878" s="5" t="s">
        <v>244</v>
      </c>
      <c r="V1878" s="5" t="s">
        <v>240</v>
      </c>
      <c r="Y1878" s="5" t="s">
        <v>240</v>
      </c>
      <c r="Z1878" s="6" t="s">
        <v>298</v>
      </c>
      <c r="AB1878" s="6" t="s">
        <v>240</v>
      </c>
      <c r="AE1878" s="6" t="s">
        <v>299</v>
      </c>
      <c r="AF1878" s="5" t="s">
        <v>248</v>
      </c>
      <c r="AG1878" s="5" t="s">
        <v>249</v>
      </c>
      <c r="AW1878" s="5" t="s">
        <v>251</v>
      </c>
      <c r="AX1878" s="5" t="s">
        <v>240</v>
      </c>
      <c r="AY1878" s="5" t="s">
        <v>253</v>
      </c>
      <c r="AZ1878" s="5" t="s">
        <v>240</v>
      </c>
      <c r="BA1878" s="5" t="s">
        <v>255</v>
      </c>
      <c r="BB1878" s="5" t="s">
        <v>240</v>
      </c>
      <c r="BD1878" s="5" t="s">
        <v>240</v>
      </c>
      <c r="BF1878" s="5" t="s">
        <v>301</v>
      </c>
      <c r="BG1878" s="6" t="s">
        <v>299</v>
      </c>
      <c r="BH1878" s="5" t="s">
        <v>302</v>
      </c>
      <c r="BI1878" s="5" t="s">
        <v>303</v>
      </c>
      <c r="BJ1878" s="5" t="s">
        <v>240</v>
      </c>
      <c r="BK1878" s="8">
        <f>0</f>
        <v>0</v>
      </c>
      <c r="BL1878" s="7">
        <f>0</f>
        <v>0</v>
      </c>
      <c r="BM1878" s="5" t="s">
        <v>258</v>
      </c>
      <c r="BN1878" s="5" t="s">
        <v>259</v>
      </c>
      <c r="CB1878" s="5" t="s">
        <v>240</v>
      </c>
      <c r="CC1878" s="5" t="s">
        <v>240</v>
      </c>
      <c r="CG1878" s="5" t="s">
        <v>304</v>
      </c>
      <c r="CH1878" s="5" t="s">
        <v>305</v>
      </c>
      <c r="CI1878" s="5" t="s">
        <v>240</v>
      </c>
      <c r="CL1878" s="6" t="s">
        <v>261</v>
      </c>
      <c r="CM1878" s="5" t="s">
        <v>240</v>
      </c>
      <c r="CN1878" s="5" t="s">
        <v>263</v>
      </c>
      <c r="CO1878" s="5" t="s">
        <v>240</v>
      </c>
      <c r="CP1878" s="5" t="s">
        <v>240</v>
      </c>
      <c r="CQ1878" s="5">
        <v>0</v>
      </c>
      <c r="CR1878" s="5" t="s">
        <v>306</v>
      </c>
      <c r="CS1878" s="5" t="s">
        <v>307</v>
      </c>
      <c r="CT1878" s="5" t="s">
        <v>307</v>
      </c>
      <c r="CU1878" s="5" t="s">
        <v>260</v>
      </c>
      <c r="CX1878" s="7">
        <f>1</f>
        <v>1</v>
      </c>
      <c r="CY1878" s="7">
        <f>0</f>
        <v>0</v>
      </c>
      <c r="DA1878" s="7">
        <f>0</f>
        <v>0</v>
      </c>
      <c r="DC1878" s="5" t="s">
        <v>309</v>
      </c>
      <c r="DD1878" s="5" t="s">
        <v>240</v>
      </c>
      <c r="DF1878" s="5" t="s">
        <v>309</v>
      </c>
      <c r="DG1878" s="7">
        <f>3537</f>
        <v>3537</v>
      </c>
      <c r="DI1878" s="5" t="s">
        <v>240</v>
      </c>
      <c r="DJ1878" s="5" t="s">
        <v>240</v>
      </c>
      <c r="DK1878" s="5" t="s">
        <v>240</v>
      </c>
      <c r="DL1878" s="5" t="s">
        <v>240</v>
      </c>
      <c r="DP1878" s="5" t="s">
        <v>240</v>
      </c>
      <c r="DQ1878" s="5" t="s">
        <v>240</v>
      </c>
      <c r="DR1878" s="5" t="s">
        <v>240</v>
      </c>
      <c r="DS1878" s="5" t="s">
        <v>240</v>
      </c>
      <c r="DV1878" s="5" t="s">
        <v>310</v>
      </c>
      <c r="DW1878" s="5" t="s">
        <v>3308</v>
      </c>
      <c r="HO1878" s="5" t="s">
        <v>312</v>
      </c>
    </row>
    <row r="1879" spans="1:240" x14ac:dyDescent="0.4">
      <c r="A1879" s="5">
        <v>3577</v>
      </c>
      <c r="B1879" s="5">
        <v>1</v>
      </c>
      <c r="C1879" s="5">
        <v>1</v>
      </c>
      <c r="D1879" s="5" t="s">
        <v>297</v>
      </c>
      <c r="E1879" s="5" t="s">
        <v>245</v>
      </c>
      <c r="F1879" s="5" t="s">
        <v>254</v>
      </c>
      <c r="G1879" s="5" t="s">
        <v>240</v>
      </c>
      <c r="H1879" s="6" t="s">
        <v>5180</v>
      </c>
      <c r="I1879" s="5" t="s">
        <v>6104</v>
      </c>
      <c r="J1879" s="8">
        <f>405.69</f>
        <v>405.69</v>
      </c>
      <c r="K1879" s="5" t="s">
        <v>308</v>
      </c>
      <c r="L1879" s="7">
        <f>2158582</f>
        <v>2158582</v>
      </c>
      <c r="M1879" s="7">
        <f>2158582</f>
        <v>2158582</v>
      </c>
      <c r="N1879" s="5" t="s">
        <v>242</v>
      </c>
      <c r="O1879" s="5">
        <v>1</v>
      </c>
      <c r="P1879" s="5" t="s">
        <v>294</v>
      </c>
      <c r="Q1879" s="5" t="s">
        <v>266</v>
      </c>
      <c r="R1879" s="5" t="s">
        <v>240</v>
      </c>
      <c r="S1879" s="5" t="s">
        <v>240</v>
      </c>
      <c r="T1879" s="5" t="s">
        <v>296</v>
      </c>
      <c r="U1879" s="5" t="s">
        <v>244</v>
      </c>
      <c r="V1879" s="5" t="s">
        <v>240</v>
      </c>
      <c r="Y1879" s="5" t="s">
        <v>240</v>
      </c>
      <c r="Z1879" s="6" t="s">
        <v>298</v>
      </c>
      <c r="AB1879" s="6" t="s">
        <v>240</v>
      </c>
      <c r="AE1879" s="6" t="s">
        <v>299</v>
      </c>
      <c r="AF1879" s="5" t="s">
        <v>248</v>
      </c>
      <c r="AG1879" s="5" t="s">
        <v>249</v>
      </c>
      <c r="AW1879" s="5" t="s">
        <v>251</v>
      </c>
      <c r="AX1879" s="5" t="s">
        <v>240</v>
      </c>
      <c r="AY1879" s="5" t="s">
        <v>253</v>
      </c>
      <c r="AZ1879" s="5" t="s">
        <v>240</v>
      </c>
      <c r="BA1879" s="5" t="s">
        <v>255</v>
      </c>
      <c r="BB1879" s="5" t="s">
        <v>240</v>
      </c>
      <c r="BD1879" s="5" t="s">
        <v>240</v>
      </c>
      <c r="BF1879" s="5" t="s">
        <v>301</v>
      </c>
      <c r="BG1879" s="6" t="s">
        <v>299</v>
      </c>
      <c r="BH1879" s="5" t="s">
        <v>302</v>
      </c>
      <c r="BI1879" s="5" t="s">
        <v>303</v>
      </c>
      <c r="BJ1879" s="5" t="s">
        <v>240</v>
      </c>
      <c r="BK1879" s="8">
        <f>0</f>
        <v>0</v>
      </c>
      <c r="BL1879" s="7">
        <f>0</f>
        <v>0</v>
      </c>
      <c r="BM1879" s="5" t="s">
        <v>258</v>
      </c>
      <c r="BN1879" s="5" t="s">
        <v>259</v>
      </c>
      <c r="CB1879" s="5" t="s">
        <v>240</v>
      </c>
      <c r="CC1879" s="5" t="s">
        <v>240</v>
      </c>
      <c r="CG1879" s="5" t="s">
        <v>304</v>
      </c>
      <c r="CH1879" s="5" t="s">
        <v>305</v>
      </c>
      <c r="CI1879" s="5" t="s">
        <v>240</v>
      </c>
      <c r="CL1879" s="6" t="s">
        <v>261</v>
      </c>
      <c r="CM1879" s="5" t="s">
        <v>240</v>
      </c>
      <c r="CN1879" s="5" t="s">
        <v>263</v>
      </c>
      <c r="CO1879" s="5" t="s">
        <v>240</v>
      </c>
      <c r="CP1879" s="5" t="s">
        <v>240</v>
      </c>
      <c r="CQ1879" s="5">
        <v>0</v>
      </c>
      <c r="CR1879" s="5" t="s">
        <v>306</v>
      </c>
      <c r="CS1879" s="5" t="s">
        <v>307</v>
      </c>
      <c r="CT1879" s="5" t="s">
        <v>307</v>
      </c>
      <c r="CU1879" s="5" t="s">
        <v>260</v>
      </c>
      <c r="CX1879" s="7">
        <f>1</f>
        <v>1</v>
      </c>
      <c r="CY1879" s="7">
        <f>0</f>
        <v>0</v>
      </c>
      <c r="DA1879" s="7">
        <f>0</f>
        <v>0</v>
      </c>
      <c r="DC1879" s="5" t="s">
        <v>309</v>
      </c>
      <c r="DD1879" s="5" t="s">
        <v>240</v>
      </c>
      <c r="DF1879" s="5" t="s">
        <v>309</v>
      </c>
      <c r="DG1879" s="7">
        <f>3403</f>
        <v>3403</v>
      </c>
      <c r="DI1879" s="5" t="s">
        <v>240</v>
      </c>
      <c r="DJ1879" s="5" t="s">
        <v>240</v>
      </c>
      <c r="DK1879" s="5" t="s">
        <v>240</v>
      </c>
      <c r="DL1879" s="5" t="s">
        <v>240</v>
      </c>
      <c r="DP1879" s="5" t="s">
        <v>240</v>
      </c>
      <c r="DQ1879" s="5" t="s">
        <v>240</v>
      </c>
      <c r="DR1879" s="5" t="s">
        <v>240</v>
      </c>
      <c r="DS1879" s="5" t="s">
        <v>240</v>
      </c>
      <c r="DV1879" s="5" t="s">
        <v>310</v>
      </c>
      <c r="DW1879" s="5" t="s">
        <v>3312</v>
      </c>
      <c r="HO1879" s="5" t="s">
        <v>312</v>
      </c>
    </row>
    <row r="1880" spans="1:240" x14ac:dyDescent="0.4">
      <c r="A1880" s="5">
        <v>3578</v>
      </c>
      <c r="B1880" s="5">
        <v>1</v>
      </c>
      <c r="C1880" s="5">
        <v>1</v>
      </c>
      <c r="D1880" s="5" t="s">
        <v>297</v>
      </c>
      <c r="E1880" s="5" t="s">
        <v>245</v>
      </c>
      <c r="F1880" s="5" t="s">
        <v>254</v>
      </c>
      <c r="G1880" s="5" t="s">
        <v>240</v>
      </c>
      <c r="H1880" s="6" t="s">
        <v>5180</v>
      </c>
      <c r="I1880" s="5" t="s">
        <v>6117</v>
      </c>
      <c r="J1880" s="8">
        <f>0</f>
        <v>0</v>
      </c>
      <c r="K1880" s="5" t="s">
        <v>308</v>
      </c>
      <c r="L1880" s="7">
        <f>32191445</f>
        <v>32191445</v>
      </c>
      <c r="M1880" s="7">
        <f>32191445</f>
        <v>32191445</v>
      </c>
      <c r="N1880" s="5" t="s">
        <v>242</v>
      </c>
      <c r="O1880" s="5">
        <v>1</v>
      </c>
      <c r="P1880" s="5" t="s">
        <v>294</v>
      </c>
      <c r="Q1880" s="5" t="s">
        <v>266</v>
      </c>
      <c r="R1880" s="5" t="s">
        <v>240</v>
      </c>
      <c r="S1880" s="5" t="s">
        <v>240</v>
      </c>
      <c r="T1880" s="5" t="s">
        <v>243</v>
      </c>
      <c r="U1880" s="5" t="s">
        <v>240</v>
      </c>
      <c r="V1880" s="5" t="s">
        <v>240</v>
      </c>
      <c r="Y1880" s="5" t="s">
        <v>240</v>
      </c>
      <c r="Z1880" s="6" t="s">
        <v>3880</v>
      </c>
      <c r="AB1880" s="6" t="s">
        <v>240</v>
      </c>
      <c r="AE1880" s="6" t="s">
        <v>3881</v>
      </c>
      <c r="AF1880" s="5" t="s">
        <v>248</v>
      </c>
      <c r="AG1880" s="5" t="s">
        <v>260</v>
      </c>
      <c r="AW1880" s="5" t="s">
        <v>251</v>
      </c>
      <c r="AX1880" s="5" t="s">
        <v>240</v>
      </c>
      <c r="AY1880" s="5" t="s">
        <v>253</v>
      </c>
      <c r="AZ1880" s="5" t="s">
        <v>240</v>
      </c>
      <c r="BA1880" s="5" t="s">
        <v>255</v>
      </c>
      <c r="BB1880" s="5" t="s">
        <v>240</v>
      </c>
      <c r="BD1880" s="5" t="s">
        <v>240</v>
      </c>
      <c r="BF1880" s="5" t="s">
        <v>447</v>
      </c>
      <c r="BG1880" s="6" t="s">
        <v>3880</v>
      </c>
      <c r="BH1880" s="5" t="s">
        <v>302</v>
      </c>
      <c r="BI1880" s="5" t="s">
        <v>448</v>
      </c>
      <c r="BJ1880" s="5" t="s">
        <v>240</v>
      </c>
      <c r="BK1880" s="8">
        <f>0</f>
        <v>0</v>
      </c>
      <c r="BL1880" s="7">
        <f>0</f>
        <v>0</v>
      </c>
      <c r="BM1880" s="5" t="s">
        <v>258</v>
      </c>
      <c r="BN1880" s="5" t="s">
        <v>259</v>
      </c>
      <c r="CB1880" s="5" t="s">
        <v>240</v>
      </c>
      <c r="CC1880" s="5" t="s">
        <v>240</v>
      </c>
      <c r="CG1880" s="5" t="s">
        <v>449</v>
      </c>
      <c r="CH1880" s="5" t="s">
        <v>305</v>
      </c>
      <c r="CI1880" s="5" t="s">
        <v>240</v>
      </c>
      <c r="CL1880" s="6" t="s">
        <v>261</v>
      </c>
      <c r="CM1880" s="5" t="s">
        <v>240</v>
      </c>
      <c r="CN1880" s="5" t="s">
        <v>263</v>
      </c>
      <c r="CO1880" s="5" t="s">
        <v>240</v>
      </c>
      <c r="CP1880" s="5" t="s">
        <v>240</v>
      </c>
      <c r="CQ1880" s="5">
        <v>0</v>
      </c>
      <c r="CR1880" s="5" t="s">
        <v>306</v>
      </c>
      <c r="CS1880" s="5" t="s">
        <v>307</v>
      </c>
      <c r="CT1880" s="5" t="s">
        <v>307</v>
      </c>
      <c r="CU1880" s="5" t="s">
        <v>260</v>
      </c>
      <c r="CX1880" s="7">
        <f>1022000</f>
        <v>1022000</v>
      </c>
      <c r="CY1880" s="7">
        <f>0</f>
        <v>0</v>
      </c>
      <c r="DA1880" s="7">
        <f>0</f>
        <v>0</v>
      </c>
      <c r="DC1880" s="5" t="s">
        <v>450</v>
      </c>
      <c r="DD1880" s="5" t="s">
        <v>240</v>
      </c>
      <c r="DF1880" s="5" t="s">
        <v>450</v>
      </c>
      <c r="DG1880" s="7">
        <f>798.81</f>
        <v>798.81</v>
      </c>
      <c r="DI1880" s="5" t="s">
        <v>240</v>
      </c>
      <c r="DJ1880" s="5" t="s">
        <v>240</v>
      </c>
      <c r="DK1880" s="5" t="s">
        <v>240</v>
      </c>
      <c r="DL1880" s="5" t="s">
        <v>240</v>
      </c>
      <c r="DP1880" s="5" t="s">
        <v>240</v>
      </c>
      <c r="DQ1880" s="5" t="s">
        <v>240</v>
      </c>
      <c r="DR1880" s="5" t="s">
        <v>240</v>
      </c>
      <c r="DS1880" s="5" t="s">
        <v>240</v>
      </c>
      <c r="DV1880" s="5" t="s">
        <v>310</v>
      </c>
      <c r="DW1880" s="5" t="s">
        <v>3882</v>
      </c>
      <c r="HO1880" s="5" t="s">
        <v>312</v>
      </c>
    </row>
    <row r="1881" spans="1:240" x14ac:dyDescent="0.4">
      <c r="A1881" s="5">
        <v>3579</v>
      </c>
      <c r="B1881" s="5">
        <v>1</v>
      </c>
      <c r="C1881" s="5">
        <v>1</v>
      </c>
      <c r="D1881" s="5" t="s">
        <v>297</v>
      </c>
      <c r="E1881" s="5" t="s">
        <v>245</v>
      </c>
      <c r="F1881" s="5" t="s">
        <v>254</v>
      </c>
      <c r="G1881" s="5" t="s">
        <v>240</v>
      </c>
      <c r="H1881" s="6" t="s">
        <v>6101</v>
      </c>
      <c r="I1881" s="5" t="s">
        <v>6099</v>
      </c>
      <c r="J1881" s="8">
        <f>314.86</f>
        <v>314.86</v>
      </c>
      <c r="K1881" s="5" t="s">
        <v>308</v>
      </c>
      <c r="L1881" s="7">
        <f>625850</f>
        <v>625850</v>
      </c>
      <c r="M1881" s="7">
        <f>625850</f>
        <v>625850</v>
      </c>
      <c r="N1881" s="5" t="s">
        <v>242</v>
      </c>
      <c r="O1881" s="5">
        <v>1</v>
      </c>
      <c r="P1881" s="5" t="s">
        <v>294</v>
      </c>
      <c r="Q1881" s="5" t="s">
        <v>3678</v>
      </c>
      <c r="R1881" s="5" t="s">
        <v>240</v>
      </c>
      <c r="S1881" s="5" t="s">
        <v>240</v>
      </c>
      <c r="T1881" s="5" t="s">
        <v>243</v>
      </c>
      <c r="U1881" s="5" t="s">
        <v>244</v>
      </c>
      <c r="V1881" s="5" t="s">
        <v>240</v>
      </c>
      <c r="W1881" s="5" t="s">
        <v>240</v>
      </c>
      <c r="X1881" s="5" t="s">
        <v>240</v>
      </c>
      <c r="Y1881" s="5" t="s">
        <v>240</v>
      </c>
      <c r="Z1881" s="6" t="s">
        <v>298</v>
      </c>
      <c r="AA1881" s="6" t="s">
        <v>240</v>
      </c>
      <c r="AB1881" s="6" t="s">
        <v>240</v>
      </c>
      <c r="AC1881" s="5" t="s">
        <v>240</v>
      </c>
      <c r="AD1881" s="6" t="s">
        <v>240</v>
      </c>
      <c r="AE1881" s="6" t="s">
        <v>299</v>
      </c>
      <c r="AF1881" s="5" t="s">
        <v>248</v>
      </c>
      <c r="AG1881" s="5" t="s">
        <v>249</v>
      </c>
      <c r="AH1881" s="5" t="s">
        <v>240</v>
      </c>
      <c r="AI1881" s="5" t="s">
        <v>240</v>
      </c>
      <c r="AJ1881" s="5" t="s">
        <v>240</v>
      </c>
      <c r="AK1881" s="5" t="s">
        <v>240</v>
      </c>
      <c r="AL1881" s="5" t="s">
        <v>240</v>
      </c>
      <c r="AM1881" s="5" t="s">
        <v>240</v>
      </c>
      <c r="AN1881" s="5" t="s">
        <v>240</v>
      </c>
      <c r="AO1881" s="5" t="s">
        <v>240</v>
      </c>
      <c r="AP1881" s="6" t="s">
        <v>240</v>
      </c>
      <c r="AQ1881" s="6" t="s">
        <v>240</v>
      </c>
      <c r="AR1881" s="6" t="s">
        <v>240</v>
      </c>
      <c r="AS1881" s="6" t="s">
        <v>240</v>
      </c>
      <c r="AT1881" s="5" t="s">
        <v>240</v>
      </c>
      <c r="AU1881" s="5" t="s">
        <v>729</v>
      </c>
      <c r="AV1881" s="5" t="s">
        <v>729</v>
      </c>
      <c r="AW1881" s="5" t="s">
        <v>251</v>
      </c>
      <c r="AX1881" s="5" t="s">
        <v>252</v>
      </c>
      <c r="AY1881" s="5" t="s">
        <v>253</v>
      </c>
      <c r="AZ1881" s="5" t="s">
        <v>240</v>
      </c>
      <c r="BA1881" s="5" t="s">
        <v>255</v>
      </c>
      <c r="BB1881" s="5" t="s">
        <v>731</v>
      </c>
      <c r="BD1881" s="5" t="s">
        <v>240</v>
      </c>
      <c r="BF1881" s="5" t="s">
        <v>732</v>
      </c>
      <c r="BG1881" s="6" t="s">
        <v>733</v>
      </c>
      <c r="BH1881" s="5" t="s">
        <v>734</v>
      </c>
      <c r="BI1881" s="5" t="s">
        <v>734</v>
      </c>
      <c r="BJ1881" s="5" t="s">
        <v>240</v>
      </c>
      <c r="BK1881" s="7">
        <f>1</f>
        <v>1</v>
      </c>
      <c r="BL1881" s="7">
        <f>1</f>
        <v>1</v>
      </c>
      <c r="BM1881" s="5" t="s">
        <v>258</v>
      </c>
      <c r="BN1881" s="5" t="s">
        <v>259</v>
      </c>
      <c r="BO1881" s="5" t="s">
        <v>240</v>
      </c>
      <c r="BP1881" s="5" t="s">
        <v>240</v>
      </c>
      <c r="BQ1881" s="5" t="s">
        <v>240</v>
      </c>
      <c r="BR1881" s="5" t="s">
        <v>240</v>
      </c>
      <c r="BS1881" s="5" t="s">
        <v>240</v>
      </c>
      <c r="BT1881" s="5" t="s">
        <v>240</v>
      </c>
      <c r="BU1881" s="5" t="s">
        <v>240</v>
      </c>
      <c r="BV1881" s="5" t="s">
        <v>240</v>
      </c>
      <c r="BW1881" s="6" t="s">
        <v>240</v>
      </c>
      <c r="BX1881" s="5" t="s">
        <v>240</v>
      </c>
      <c r="BY1881" s="5" t="s">
        <v>240</v>
      </c>
      <c r="BZ1881" s="5" t="s">
        <v>240</v>
      </c>
      <c r="CA1881" s="5" t="s">
        <v>259</v>
      </c>
      <c r="CB1881" s="5" t="s">
        <v>240</v>
      </c>
      <c r="CC1881" s="5" t="s">
        <v>240</v>
      </c>
      <c r="CD1881" s="5" t="s">
        <v>240</v>
      </c>
      <c r="CE1881" s="5" t="s">
        <v>240</v>
      </c>
      <c r="CF1881" s="5" t="s">
        <v>240</v>
      </c>
      <c r="CG1881" s="5" t="s">
        <v>304</v>
      </c>
      <c r="CH1881" s="5" t="s">
        <v>305</v>
      </c>
      <c r="CI1881" s="5" t="s">
        <v>240</v>
      </c>
      <c r="CK1881" s="5" t="s">
        <v>3681</v>
      </c>
      <c r="CL1881" s="6" t="s">
        <v>261</v>
      </c>
      <c r="CM1881" s="5" t="s">
        <v>262</v>
      </c>
      <c r="CN1881" s="5" t="s">
        <v>263</v>
      </c>
      <c r="CO1881" s="5" t="s">
        <v>264</v>
      </c>
      <c r="CP1881" s="5" t="s">
        <v>240</v>
      </c>
      <c r="CQ1881" s="5">
        <v>0</v>
      </c>
      <c r="CR1881" s="5" t="s">
        <v>735</v>
      </c>
      <c r="CS1881" s="5" t="s">
        <v>307</v>
      </c>
      <c r="CT1881" s="5" t="s">
        <v>307</v>
      </c>
      <c r="CU1881" s="5" t="s">
        <v>260</v>
      </c>
      <c r="CV1881" s="5" t="s">
        <v>612</v>
      </c>
      <c r="CW1881" s="8">
        <f>1</f>
        <v>1</v>
      </c>
      <c r="CX1881" s="7">
        <f>1</f>
        <v>1</v>
      </c>
      <c r="CY1881" s="7">
        <f>0</f>
        <v>0</v>
      </c>
      <c r="DA1881" s="7">
        <f>1</f>
        <v>1</v>
      </c>
      <c r="DB1881" s="7" t="s">
        <v>240</v>
      </c>
      <c r="DC1881" s="5" t="s">
        <v>240</v>
      </c>
      <c r="DD1881" s="5" t="s">
        <v>240</v>
      </c>
      <c r="DE1881" s="5" t="s">
        <v>240</v>
      </c>
      <c r="DF1881" s="5" t="s">
        <v>240</v>
      </c>
      <c r="DG1881" s="7">
        <f>0</f>
        <v>0</v>
      </c>
      <c r="DI1881" s="5" t="s">
        <v>240</v>
      </c>
      <c r="DJ1881" s="5" t="s">
        <v>240</v>
      </c>
      <c r="DK1881" s="5" t="s">
        <v>240</v>
      </c>
      <c r="DL1881" s="5" t="s">
        <v>240</v>
      </c>
      <c r="DM1881" s="5" t="s">
        <v>240</v>
      </c>
      <c r="DN1881" s="5" t="s">
        <v>240</v>
      </c>
      <c r="DO1881" s="7" t="s">
        <v>240</v>
      </c>
      <c r="DP1881" s="5" t="s">
        <v>240</v>
      </c>
      <c r="DQ1881" s="5" t="s">
        <v>240</v>
      </c>
      <c r="DR1881" s="5" t="s">
        <v>731</v>
      </c>
      <c r="DS1881" s="5" t="s">
        <v>731</v>
      </c>
      <c r="DT1881" s="5" t="s">
        <v>240</v>
      </c>
      <c r="DU1881" s="5" t="s">
        <v>240</v>
      </c>
      <c r="DV1881" s="5" t="s">
        <v>3683</v>
      </c>
      <c r="DW1881" s="5" t="s">
        <v>311</v>
      </c>
      <c r="DX1881" s="5" t="s">
        <v>240</v>
      </c>
      <c r="DY1881" s="5" t="s">
        <v>240</v>
      </c>
      <c r="DZ1881" s="5" t="s">
        <v>240</v>
      </c>
      <c r="EA1881" s="5" t="s">
        <v>240</v>
      </c>
      <c r="EB1881" s="5" t="s">
        <v>240</v>
      </c>
      <c r="EC1881" s="5" t="s">
        <v>240</v>
      </c>
      <c r="ED1881" s="5" t="s">
        <v>240</v>
      </c>
      <c r="EE1881" s="5" t="s">
        <v>240</v>
      </c>
      <c r="EF1881" s="5" t="s">
        <v>240</v>
      </c>
      <c r="EG1881" s="5" t="s">
        <v>240</v>
      </c>
      <c r="EH1881" s="5" t="s">
        <v>240</v>
      </c>
      <c r="EI1881" s="5" t="s">
        <v>240</v>
      </c>
      <c r="EJ1881" s="5" t="s">
        <v>240</v>
      </c>
      <c r="EK1881" s="5" t="s">
        <v>240</v>
      </c>
      <c r="EL1881" s="5" t="s">
        <v>240</v>
      </c>
      <c r="EM1881" s="5" t="s">
        <v>240</v>
      </c>
      <c r="EN1881" s="5" t="s">
        <v>240</v>
      </c>
      <c r="EO1881" s="5" t="s">
        <v>240</v>
      </c>
      <c r="EP1881" s="5" t="s">
        <v>240</v>
      </c>
      <c r="EQ1881" s="5" t="s">
        <v>240</v>
      </c>
      <c r="ER1881" s="5" t="s">
        <v>240</v>
      </c>
      <c r="ES1881" s="5" t="s">
        <v>240</v>
      </c>
      <c r="ET1881" s="5" t="s">
        <v>240</v>
      </c>
      <c r="EU1881" s="5" t="s">
        <v>240</v>
      </c>
      <c r="EV1881" s="5" t="s">
        <v>240</v>
      </c>
      <c r="EW1881" s="5" t="s">
        <v>240</v>
      </c>
      <c r="EX1881" s="5" t="s">
        <v>240</v>
      </c>
      <c r="EY1881" s="5" t="s">
        <v>240</v>
      </c>
      <c r="EZ1881" s="5" t="s">
        <v>240</v>
      </c>
      <c r="FA1881" s="5" t="s">
        <v>240</v>
      </c>
      <c r="FB1881" s="5" t="s">
        <v>240</v>
      </c>
      <c r="FC1881" s="5" t="s">
        <v>240</v>
      </c>
      <c r="FD1881" s="5" t="s">
        <v>240</v>
      </c>
      <c r="FE1881" s="5" t="s">
        <v>240</v>
      </c>
      <c r="FF1881" s="5" t="s">
        <v>240</v>
      </c>
      <c r="FG1881" s="5" t="s">
        <v>240</v>
      </c>
      <c r="FH1881" s="5" t="s">
        <v>240</v>
      </c>
      <c r="FI1881" s="5" t="s">
        <v>240</v>
      </c>
      <c r="FJ1881" s="5" t="s">
        <v>240</v>
      </c>
      <c r="FK1881" s="5" t="s">
        <v>240</v>
      </c>
      <c r="FL1881" s="5" t="s">
        <v>240</v>
      </c>
      <c r="FM1881" s="5" t="s">
        <v>240</v>
      </c>
      <c r="FN1881" s="5" t="s">
        <v>240</v>
      </c>
      <c r="FO1881" s="5" t="s">
        <v>240</v>
      </c>
      <c r="FP1881" s="5" t="s">
        <v>240</v>
      </c>
      <c r="FQ1881" s="5" t="s">
        <v>240</v>
      </c>
      <c r="FR1881" s="5" t="s">
        <v>240</v>
      </c>
      <c r="FS1881" s="5" t="s">
        <v>240</v>
      </c>
      <c r="FT1881" s="5" t="s">
        <v>240</v>
      </c>
      <c r="FU1881" s="5" t="s">
        <v>240</v>
      </c>
      <c r="FV1881" s="5" t="s">
        <v>240</v>
      </c>
      <c r="FW1881" s="5" t="s">
        <v>240</v>
      </c>
      <c r="FX1881" s="5" t="s">
        <v>240</v>
      </c>
      <c r="FY1881" s="5" t="s">
        <v>240</v>
      </c>
      <c r="FZ1881" s="5" t="s">
        <v>240</v>
      </c>
      <c r="GA1881" s="5" t="s">
        <v>240</v>
      </c>
      <c r="GB1881" s="5" t="s">
        <v>240</v>
      </c>
      <c r="GC1881" s="5" t="s">
        <v>240</v>
      </c>
      <c r="GD1881" s="5" t="s">
        <v>240</v>
      </c>
      <c r="GE1881" s="5" t="s">
        <v>240</v>
      </c>
      <c r="GF1881" s="5" t="s">
        <v>240</v>
      </c>
      <c r="GG1881" s="5" t="s">
        <v>240</v>
      </c>
      <c r="GH1881" s="5" t="s">
        <v>240</v>
      </c>
      <c r="GI1881" s="5" t="s">
        <v>240</v>
      </c>
      <c r="GJ1881" s="5" t="s">
        <v>240</v>
      </c>
      <c r="GK1881" s="5" t="s">
        <v>240</v>
      </c>
      <c r="GL1881" s="5" t="s">
        <v>240</v>
      </c>
      <c r="GM1881" s="5" t="s">
        <v>240</v>
      </c>
      <c r="GN1881" s="5" t="s">
        <v>240</v>
      </c>
      <c r="GO1881" s="5" t="s">
        <v>240</v>
      </c>
      <c r="GP1881" s="5" t="s">
        <v>240</v>
      </c>
      <c r="GQ1881" s="5" t="s">
        <v>240</v>
      </c>
      <c r="GR1881" s="5" t="s">
        <v>240</v>
      </c>
      <c r="GS1881" s="5" t="s">
        <v>240</v>
      </c>
      <c r="GT1881" s="5" t="s">
        <v>240</v>
      </c>
      <c r="GU1881" s="5" t="s">
        <v>240</v>
      </c>
      <c r="GV1881" s="5" t="s">
        <v>240</v>
      </c>
      <c r="GW1881" s="5" t="s">
        <v>240</v>
      </c>
      <c r="GX1881" s="5" t="s">
        <v>240</v>
      </c>
      <c r="GY1881" s="5" t="s">
        <v>240</v>
      </c>
      <c r="GZ1881" s="5" t="s">
        <v>240</v>
      </c>
      <c r="HA1881" s="5" t="s">
        <v>240</v>
      </c>
      <c r="HB1881" s="5" t="s">
        <v>240</v>
      </c>
      <c r="HC1881" s="5" t="s">
        <v>240</v>
      </c>
      <c r="HD1881" s="5" t="s">
        <v>240</v>
      </c>
      <c r="HE1881" s="5" t="s">
        <v>240</v>
      </c>
      <c r="HF1881" s="5" t="s">
        <v>240</v>
      </c>
      <c r="HG1881" s="5" t="s">
        <v>240</v>
      </c>
      <c r="HH1881" s="5" t="s">
        <v>240</v>
      </c>
      <c r="HI1881" s="5" t="s">
        <v>240</v>
      </c>
      <c r="HJ1881" s="5" t="s">
        <v>240</v>
      </c>
      <c r="HK1881" s="5" t="s">
        <v>240</v>
      </c>
      <c r="HL1881" s="5" t="s">
        <v>240</v>
      </c>
      <c r="HM1881" s="5" t="s">
        <v>240</v>
      </c>
      <c r="HN1881" s="5" t="s">
        <v>240</v>
      </c>
      <c r="HO1881" s="5" t="s">
        <v>312</v>
      </c>
      <c r="HP1881" s="5" t="s">
        <v>240</v>
      </c>
      <c r="HQ1881" s="5" t="s">
        <v>240</v>
      </c>
      <c r="HR1881" s="5" t="s">
        <v>240</v>
      </c>
      <c r="HS1881" s="5" t="s">
        <v>240</v>
      </c>
      <c r="HT1881" s="5" t="s">
        <v>240</v>
      </c>
      <c r="HU1881" s="5" t="s">
        <v>240</v>
      </c>
      <c r="HV1881" s="5" t="s">
        <v>240</v>
      </c>
      <c r="HW1881" s="5" t="s">
        <v>240</v>
      </c>
      <c r="HX1881" s="5" t="s">
        <v>240</v>
      </c>
      <c r="HY1881" s="5" t="s">
        <v>240</v>
      </c>
      <c r="HZ1881" s="5" t="s">
        <v>240</v>
      </c>
      <c r="IA1881" s="5" t="s">
        <v>240</v>
      </c>
      <c r="IB1881" s="5" t="s">
        <v>240</v>
      </c>
      <c r="IC1881" s="5" t="s">
        <v>240</v>
      </c>
      <c r="ID1881" s="5" t="s">
        <v>240</v>
      </c>
      <c r="IE1881" s="5" t="s">
        <v>240</v>
      </c>
      <c r="IF1881" s="5" t="s">
        <v>240</v>
      </c>
    </row>
    <row r="1882" spans="1:240" x14ac:dyDescent="0.4">
      <c r="A1882" s="5">
        <v>3580</v>
      </c>
      <c r="B1882" s="5">
        <v>1</v>
      </c>
      <c r="C1882" s="5">
        <v>1</v>
      </c>
      <c r="D1882" s="5" t="s">
        <v>297</v>
      </c>
      <c r="E1882" s="5" t="s">
        <v>245</v>
      </c>
      <c r="F1882" s="5" t="s">
        <v>254</v>
      </c>
      <c r="G1882" s="5" t="s">
        <v>240</v>
      </c>
      <c r="H1882" s="6" t="s">
        <v>6101</v>
      </c>
      <c r="I1882" s="5" t="s">
        <v>6138</v>
      </c>
      <c r="J1882" s="8">
        <f>0</f>
        <v>0</v>
      </c>
      <c r="K1882" s="5" t="s">
        <v>308</v>
      </c>
      <c r="L1882" s="7">
        <f>1989417</f>
        <v>1989417</v>
      </c>
      <c r="M1882" s="7">
        <f>1989417</f>
        <v>1989417</v>
      </c>
      <c r="N1882" s="5" t="s">
        <v>242</v>
      </c>
      <c r="O1882" s="5">
        <v>1</v>
      </c>
      <c r="P1882" s="5" t="s">
        <v>294</v>
      </c>
      <c r="Q1882" s="5" t="s">
        <v>613</v>
      </c>
      <c r="R1882" s="5" t="s">
        <v>240</v>
      </c>
      <c r="S1882" s="5" t="s">
        <v>240</v>
      </c>
      <c r="T1882" s="5" t="s">
        <v>243</v>
      </c>
      <c r="U1882" s="5" t="s">
        <v>724</v>
      </c>
      <c r="V1882" s="5" t="s">
        <v>240</v>
      </c>
      <c r="W1882" s="5" t="s">
        <v>240</v>
      </c>
      <c r="X1882" s="5" t="s">
        <v>240</v>
      </c>
      <c r="Y1882" s="5" t="s">
        <v>240</v>
      </c>
      <c r="Z1882" s="6" t="s">
        <v>298</v>
      </c>
      <c r="AA1882" s="6" t="s">
        <v>240</v>
      </c>
      <c r="AB1882" s="6" t="s">
        <v>240</v>
      </c>
      <c r="AC1882" s="5" t="s">
        <v>240</v>
      </c>
      <c r="AD1882" s="6" t="s">
        <v>240</v>
      </c>
      <c r="AE1882" s="6" t="s">
        <v>299</v>
      </c>
      <c r="AF1882" s="5" t="s">
        <v>727</v>
      </c>
      <c r="AG1882" s="5" t="s">
        <v>260</v>
      </c>
      <c r="AH1882" s="5" t="s">
        <v>240</v>
      </c>
      <c r="AI1882" s="5" t="s">
        <v>240</v>
      </c>
      <c r="AJ1882" s="5" t="s">
        <v>240</v>
      </c>
      <c r="AK1882" s="5" t="s">
        <v>240</v>
      </c>
      <c r="AL1882" s="5" t="s">
        <v>240</v>
      </c>
      <c r="AM1882" s="5" t="s">
        <v>240</v>
      </c>
      <c r="AN1882" s="5" t="s">
        <v>240</v>
      </c>
      <c r="AO1882" s="5" t="s">
        <v>240</v>
      </c>
      <c r="AP1882" s="6" t="s">
        <v>240</v>
      </c>
      <c r="AQ1882" s="6" t="s">
        <v>240</v>
      </c>
      <c r="AR1882" s="6" t="s">
        <v>240</v>
      </c>
      <c r="AS1882" s="6" t="s">
        <v>240</v>
      </c>
      <c r="AT1882" s="5" t="s">
        <v>240</v>
      </c>
      <c r="AU1882" s="5" t="s">
        <v>729</v>
      </c>
      <c r="AV1882" s="5" t="s">
        <v>729</v>
      </c>
      <c r="AW1882" s="5" t="s">
        <v>251</v>
      </c>
      <c r="AX1882" s="5" t="s">
        <v>252</v>
      </c>
      <c r="AY1882" s="5" t="s">
        <v>253</v>
      </c>
      <c r="AZ1882" s="5" t="s">
        <v>240</v>
      </c>
      <c r="BA1882" s="5" t="s">
        <v>255</v>
      </c>
      <c r="BB1882" s="5" t="s">
        <v>731</v>
      </c>
      <c r="BD1882" s="5" t="s">
        <v>240</v>
      </c>
      <c r="BF1882" s="5" t="s">
        <v>732</v>
      </c>
      <c r="BG1882" s="6" t="s">
        <v>733</v>
      </c>
      <c r="BH1882" s="5" t="s">
        <v>734</v>
      </c>
      <c r="BI1882" s="5" t="s">
        <v>734</v>
      </c>
      <c r="BJ1882" s="5" t="s">
        <v>240</v>
      </c>
      <c r="BK1882" s="8">
        <f>49.58</f>
        <v>49.58</v>
      </c>
      <c r="BL1882" s="7">
        <f>0</f>
        <v>0</v>
      </c>
      <c r="BM1882" s="5" t="s">
        <v>258</v>
      </c>
      <c r="BN1882" s="5" t="s">
        <v>259</v>
      </c>
      <c r="BO1882" s="5" t="s">
        <v>240</v>
      </c>
      <c r="BP1882" s="5" t="s">
        <v>240</v>
      </c>
      <c r="BQ1882" s="5" t="s">
        <v>240</v>
      </c>
      <c r="BR1882" s="5" t="s">
        <v>240</v>
      </c>
      <c r="BS1882" s="5" t="s">
        <v>240</v>
      </c>
      <c r="BT1882" s="5" t="s">
        <v>240</v>
      </c>
      <c r="BU1882" s="5" t="s">
        <v>240</v>
      </c>
      <c r="BV1882" s="5" t="s">
        <v>240</v>
      </c>
      <c r="BW1882" s="6" t="s">
        <v>240</v>
      </c>
      <c r="BX1882" s="5" t="s">
        <v>240</v>
      </c>
      <c r="BY1882" s="5" t="s">
        <v>240</v>
      </c>
      <c r="BZ1882" s="5" t="s">
        <v>240</v>
      </c>
      <c r="CA1882" s="5" t="s">
        <v>259</v>
      </c>
      <c r="CB1882" s="5" t="s">
        <v>240</v>
      </c>
      <c r="CC1882" s="5" t="s">
        <v>240</v>
      </c>
      <c r="CD1882" s="5" t="s">
        <v>240</v>
      </c>
      <c r="CE1882" s="5" t="s">
        <v>240</v>
      </c>
      <c r="CF1882" s="5" t="s">
        <v>240</v>
      </c>
      <c r="CG1882" s="5" t="s">
        <v>617</v>
      </c>
      <c r="CH1882" s="5" t="s">
        <v>305</v>
      </c>
      <c r="CI1882" s="5" t="s">
        <v>240</v>
      </c>
      <c r="CL1882" s="6" t="s">
        <v>261</v>
      </c>
      <c r="CM1882" s="5" t="s">
        <v>262</v>
      </c>
      <c r="CN1882" s="5" t="s">
        <v>263</v>
      </c>
      <c r="CO1882" s="5" t="s">
        <v>264</v>
      </c>
      <c r="CP1882" s="5" t="s">
        <v>240</v>
      </c>
      <c r="CQ1882" s="5">
        <v>0</v>
      </c>
      <c r="CR1882" s="5" t="s">
        <v>735</v>
      </c>
      <c r="CS1882" s="5" t="s">
        <v>307</v>
      </c>
      <c r="CT1882" s="5" t="s">
        <v>307</v>
      </c>
      <c r="CU1882" s="5" t="s">
        <v>260</v>
      </c>
      <c r="CV1882" s="5" t="s">
        <v>240</v>
      </c>
      <c r="CW1882" s="8">
        <f>0</f>
        <v>0</v>
      </c>
      <c r="CX1882" s="7">
        <f>0</f>
        <v>0</v>
      </c>
      <c r="CY1882" s="7">
        <f>0</f>
        <v>0</v>
      </c>
      <c r="DA1882" s="7">
        <f>545</f>
        <v>545</v>
      </c>
      <c r="DB1882" s="7" t="s">
        <v>240</v>
      </c>
      <c r="DC1882" s="5" t="s">
        <v>240</v>
      </c>
      <c r="DD1882" s="5" t="s">
        <v>240</v>
      </c>
      <c r="DE1882" s="5" t="s">
        <v>240</v>
      </c>
      <c r="DF1882" s="5" t="s">
        <v>450</v>
      </c>
      <c r="DG1882" s="7">
        <f>0</f>
        <v>0</v>
      </c>
      <c r="DI1882" s="5" t="s">
        <v>737</v>
      </c>
      <c r="DJ1882" s="5" t="s">
        <v>240</v>
      </c>
      <c r="DK1882" s="5" t="s">
        <v>240</v>
      </c>
      <c r="DL1882" s="5" t="s">
        <v>240</v>
      </c>
      <c r="DM1882" s="5" t="s">
        <v>240</v>
      </c>
      <c r="DN1882" s="5" t="s">
        <v>240</v>
      </c>
      <c r="DO1882" s="7" t="s">
        <v>240</v>
      </c>
      <c r="DP1882" s="5" t="s">
        <v>240</v>
      </c>
      <c r="DQ1882" s="5" t="s">
        <v>240</v>
      </c>
      <c r="DR1882" s="5" t="s">
        <v>731</v>
      </c>
      <c r="DS1882" s="5" t="s">
        <v>731</v>
      </c>
      <c r="DT1882" s="5" t="s">
        <v>240</v>
      </c>
      <c r="DU1882" s="5" t="s">
        <v>240</v>
      </c>
      <c r="DV1882" s="5" t="s">
        <v>738</v>
      </c>
      <c r="DW1882" s="5" t="s">
        <v>627</v>
      </c>
      <c r="DX1882" s="5" t="s">
        <v>240</v>
      </c>
      <c r="DY1882" s="5" t="s">
        <v>240</v>
      </c>
      <c r="DZ1882" s="5" t="s">
        <v>240</v>
      </c>
      <c r="EA1882" s="5" t="s">
        <v>240</v>
      </c>
      <c r="EB1882" s="5" t="s">
        <v>240</v>
      </c>
      <c r="EC1882" s="5" t="s">
        <v>240</v>
      </c>
      <c r="ED1882" s="5" t="s">
        <v>240</v>
      </c>
      <c r="EE1882" s="5" t="s">
        <v>240</v>
      </c>
      <c r="EF1882" s="5" t="s">
        <v>240</v>
      </c>
      <c r="EG1882" s="5" t="s">
        <v>240</v>
      </c>
      <c r="EH1882" s="5" t="s">
        <v>240</v>
      </c>
      <c r="EI1882" s="5" t="s">
        <v>240</v>
      </c>
      <c r="EJ1882" s="5" t="s">
        <v>240</v>
      </c>
      <c r="EK1882" s="5" t="s">
        <v>240</v>
      </c>
      <c r="EL1882" s="5" t="s">
        <v>240</v>
      </c>
      <c r="EM1882" s="5" t="s">
        <v>240</v>
      </c>
      <c r="EN1882" s="5" t="s">
        <v>240</v>
      </c>
      <c r="EO1882" s="5" t="s">
        <v>240</v>
      </c>
      <c r="EP1882" s="5" t="s">
        <v>240</v>
      </c>
      <c r="EQ1882" s="5" t="s">
        <v>240</v>
      </c>
      <c r="ER1882" s="5" t="s">
        <v>240</v>
      </c>
      <c r="ES1882" s="5" t="s">
        <v>240</v>
      </c>
      <c r="ET1882" s="5" t="s">
        <v>240</v>
      </c>
      <c r="EU1882" s="5" t="s">
        <v>240</v>
      </c>
      <c r="EV1882" s="5" t="s">
        <v>240</v>
      </c>
      <c r="EW1882" s="5" t="s">
        <v>240</v>
      </c>
      <c r="EX1882" s="5" t="s">
        <v>240</v>
      </c>
      <c r="EY1882" s="5" t="s">
        <v>240</v>
      </c>
      <c r="EZ1882" s="5" t="s">
        <v>240</v>
      </c>
      <c r="FA1882" s="5" t="s">
        <v>240</v>
      </c>
      <c r="FB1882" s="5" t="s">
        <v>240</v>
      </c>
      <c r="FC1882" s="5" t="s">
        <v>240</v>
      </c>
      <c r="FD1882" s="5" t="s">
        <v>240</v>
      </c>
      <c r="FE1882" s="5" t="s">
        <v>240</v>
      </c>
      <c r="FF1882" s="5" t="s">
        <v>240</v>
      </c>
      <c r="FG1882" s="5" t="s">
        <v>240</v>
      </c>
      <c r="FH1882" s="5" t="s">
        <v>240</v>
      </c>
      <c r="FI1882" s="5" t="s">
        <v>240</v>
      </c>
      <c r="FJ1882" s="5" t="s">
        <v>240</v>
      </c>
      <c r="FK1882" s="5" t="s">
        <v>240</v>
      </c>
      <c r="FL1882" s="5" t="s">
        <v>240</v>
      </c>
      <c r="FM1882" s="5" t="s">
        <v>240</v>
      </c>
      <c r="FN1882" s="5" t="s">
        <v>240</v>
      </c>
      <c r="FO1882" s="5" t="s">
        <v>240</v>
      </c>
      <c r="FP1882" s="5" t="s">
        <v>240</v>
      </c>
      <c r="FQ1882" s="5" t="s">
        <v>240</v>
      </c>
      <c r="FR1882" s="5" t="s">
        <v>240</v>
      </c>
      <c r="FS1882" s="5" t="s">
        <v>240</v>
      </c>
      <c r="FT1882" s="5" t="s">
        <v>240</v>
      </c>
      <c r="FU1882" s="5" t="s">
        <v>240</v>
      </c>
      <c r="FV1882" s="5" t="s">
        <v>240</v>
      </c>
      <c r="FW1882" s="5" t="s">
        <v>240</v>
      </c>
      <c r="FX1882" s="5" t="s">
        <v>240</v>
      </c>
      <c r="FY1882" s="5" t="s">
        <v>240</v>
      </c>
      <c r="FZ1882" s="5" t="s">
        <v>240</v>
      </c>
      <c r="GA1882" s="5" t="s">
        <v>240</v>
      </c>
      <c r="GB1882" s="5" t="s">
        <v>240</v>
      </c>
      <c r="GC1882" s="5" t="s">
        <v>240</v>
      </c>
      <c r="GD1882" s="5" t="s">
        <v>240</v>
      </c>
      <c r="GE1882" s="5" t="s">
        <v>240</v>
      </c>
      <c r="GF1882" s="5" t="s">
        <v>240</v>
      </c>
      <c r="GG1882" s="5" t="s">
        <v>240</v>
      </c>
      <c r="GH1882" s="5" t="s">
        <v>240</v>
      </c>
      <c r="GI1882" s="5" t="s">
        <v>240</v>
      </c>
      <c r="GJ1882" s="5" t="s">
        <v>240</v>
      </c>
      <c r="GK1882" s="5" t="s">
        <v>240</v>
      </c>
      <c r="GL1882" s="5" t="s">
        <v>240</v>
      </c>
      <c r="GM1882" s="5" t="s">
        <v>240</v>
      </c>
      <c r="GN1882" s="5" t="s">
        <v>240</v>
      </c>
      <c r="GO1882" s="5" t="s">
        <v>240</v>
      </c>
      <c r="GP1882" s="5" t="s">
        <v>240</v>
      </c>
      <c r="GQ1882" s="5" t="s">
        <v>240</v>
      </c>
      <c r="GR1882" s="5" t="s">
        <v>240</v>
      </c>
      <c r="GS1882" s="5" t="s">
        <v>240</v>
      </c>
      <c r="GT1882" s="5" t="s">
        <v>240</v>
      </c>
      <c r="GU1882" s="5" t="s">
        <v>240</v>
      </c>
      <c r="GV1882" s="5" t="s">
        <v>240</v>
      </c>
      <c r="GW1882" s="5" t="s">
        <v>240</v>
      </c>
      <c r="GX1882" s="5" t="s">
        <v>240</v>
      </c>
      <c r="GY1882" s="5" t="s">
        <v>240</v>
      </c>
      <c r="GZ1882" s="5" t="s">
        <v>240</v>
      </c>
      <c r="HA1882" s="5" t="s">
        <v>240</v>
      </c>
      <c r="HB1882" s="5" t="s">
        <v>240</v>
      </c>
      <c r="HC1882" s="5" t="s">
        <v>240</v>
      </c>
      <c r="HD1882" s="5" t="s">
        <v>240</v>
      </c>
      <c r="HE1882" s="5" t="s">
        <v>240</v>
      </c>
      <c r="HF1882" s="5" t="s">
        <v>240</v>
      </c>
      <c r="HG1882" s="5" t="s">
        <v>240</v>
      </c>
      <c r="HH1882" s="5" t="s">
        <v>240</v>
      </c>
      <c r="HI1882" s="5" t="s">
        <v>240</v>
      </c>
      <c r="HJ1882" s="5" t="s">
        <v>240</v>
      </c>
      <c r="HK1882" s="5" t="s">
        <v>240</v>
      </c>
      <c r="HL1882" s="5" t="s">
        <v>240</v>
      </c>
      <c r="HM1882" s="5" t="s">
        <v>240</v>
      </c>
      <c r="HN1882" s="5" t="s">
        <v>240</v>
      </c>
      <c r="HO1882" s="5" t="s">
        <v>620</v>
      </c>
      <c r="HP1882" s="5" t="s">
        <v>240</v>
      </c>
      <c r="HQ1882" s="5" t="s">
        <v>240</v>
      </c>
      <c r="HR1882" s="5" t="s">
        <v>240</v>
      </c>
      <c r="HS1882" s="5" t="s">
        <v>240</v>
      </c>
      <c r="HT1882" s="5" t="s">
        <v>240</v>
      </c>
      <c r="HU1882" s="5" t="s">
        <v>240</v>
      </c>
      <c r="HV1882" s="5" t="s">
        <v>240</v>
      </c>
      <c r="HW1882" s="5" t="s">
        <v>240</v>
      </c>
      <c r="HX1882" s="5" t="s">
        <v>240</v>
      </c>
      <c r="HY1882" s="5" t="s">
        <v>240</v>
      </c>
      <c r="HZ1882" s="5" t="s">
        <v>240</v>
      </c>
      <c r="IA1882" s="5" t="s">
        <v>240</v>
      </c>
      <c r="IB1882" s="5" t="s">
        <v>240</v>
      </c>
      <c r="IC1882" s="5" t="s">
        <v>240</v>
      </c>
      <c r="ID1882" s="5" t="s">
        <v>240</v>
      </c>
      <c r="IE1882" s="5" t="s">
        <v>240</v>
      </c>
      <c r="IF1882" s="5" t="s">
        <v>240</v>
      </c>
    </row>
    <row r="1883" spans="1:240" x14ac:dyDescent="0.4">
      <c r="A1883" s="5">
        <v>3581</v>
      </c>
      <c r="B1883" s="5">
        <v>1</v>
      </c>
      <c r="C1883" s="5">
        <v>1</v>
      </c>
      <c r="D1883" s="5" t="s">
        <v>297</v>
      </c>
      <c r="E1883" s="5" t="s">
        <v>245</v>
      </c>
      <c r="F1883" s="5" t="s">
        <v>254</v>
      </c>
      <c r="G1883" s="5" t="s">
        <v>240</v>
      </c>
      <c r="H1883" s="6" t="s">
        <v>6147</v>
      </c>
      <c r="I1883" s="5" t="s">
        <v>6146</v>
      </c>
      <c r="J1883" s="8">
        <f>1010.07</f>
        <v>1010.07</v>
      </c>
      <c r="K1883" s="5" t="s">
        <v>308</v>
      </c>
      <c r="L1883" s="7">
        <f>2508165</f>
        <v>2508165</v>
      </c>
      <c r="M1883" s="7">
        <f>2508165</f>
        <v>2508165</v>
      </c>
      <c r="N1883" s="5" t="s">
        <v>242</v>
      </c>
      <c r="O1883" s="5">
        <v>1</v>
      </c>
      <c r="P1883" s="5" t="s">
        <v>294</v>
      </c>
      <c r="Q1883" s="5" t="s">
        <v>266</v>
      </c>
      <c r="R1883" s="5" t="s">
        <v>240</v>
      </c>
      <c r="S1883" s="5" t="s">
        <v>240</v>
      </c>
      <c r="T1883" s="5" t="s">
        <v>296</v>
      </c>
      <c r="U1883" s="5" t="s">
        <v>244</v>
      </c>
      <c r="V1883" s="5" t="s">
        <v>240</v>
      </c>
      <c r="Y1883" s="5" t="s">
        <v>240</v>
      </c>
      <c r="Z1883" s="6" t="s">
        <v>298</v>
      </c>
      <c r="AB1883" s="6" t="s">
        <v>240</v>
      </c>
      <c r="AE1883" s="6" t="s">
        <v>299</v>
      </c>
      <c r="AF1883" s="5" t="s">
        <v>248</v>
      </c>
      <c r="AG1883" s="5" t="s">
        <v>249</v>
      </c>
      <c r="AW1883" s="5" t="s">
        <v>251</v>
      </c>
      <c r="AX1883" s="5" t="s">
        <v>240</v>
      </c>
      <c r="AY1883" s="5" t="s">
        <v>253</v>
      </c>
      <c r="AZ1883" s="5" t="s">
        <v>240</v>
      </c>
      <c r="BA1883" s="5" t="s">
        <v>255</v>
      </c>
      <c r="BB1883" s="5" t="s">
        <v>240</v>
      </c>
      <c r="BD1883" s="5" t="s">
        <v>240</v>
      </c>
      <c r="BF1883" s="5" t="s">
        <v>301</v>
      </c>
      <c r="BG1883" s="6" t="s">
        <v>299</v>
      </c>
      <c r="BH1883" s="5" t="s">
        <v>302</v>
      </c>
      <c r="BI1883" s="5" t="s">
        <v>303</v>
      </c>
      <c r="BJ1883" s="5" t="s">
        <v>240</v>
      </c>
      <c r="BK1883" s="8">
        <f>0</f>
        <v>0</v>
      </c>
      <c r="BL1883" s="7">
        <f>0</f>
        <v>0</v>
      </c>
      <c r="BM1883" s="5" t="s">
        <v>258</v>
      </c>
      <c r="BN1883" s="5" t="s">
        <v>259</v>
      </c>
      <c r="CB1883" s="5" t="s">
        <v>240</v>
      </c>
      <c r="CC1883" s="5" t="s">
        <v>240</v>
      </c>
      <c r="CG1883" s="5" t="s">
        <v>304</v>
      </c>
      <c r="CH1883" s="5" t="s">
        <v>305</v>
      </c>
      <c r="CI1883" s="5" t="s">
        <v>240</v>
      </c>
      <c r="CL1883" s="6" t="s">
        <v>261</v>
      </c>
      <c r="CM1883" s="5" t="s">
        <v>240</v>
      </c>
      <c r="CN1883" s="5" t="s">
        <v>263</v>
      </c>
      <c r="CO1883" s="5" t="s">
        <v>240</v>
      </c>
      <c r="CP1883" s="5" t="s">
        <v>240</v>
      </c>
      <c r="CQ1883" s="5">
        <v>0</v>
      </c>
      <c r="CR1883" s="5" t="s">
        <v>306</v>
      </c>
      <c r="CS1883" s="5" t="s">
        <v>307</v>
      </c>
      <c r="CT1883" s="5" t="s">
        <v>307</v>
      </c>
      <c r="CU1883" s="5" t="s">
        <v>260</v>
      </c>
      <c r="CX1883" s="7">
        <f>1</f>
        <v>1</v>
      </c>
      <c r="CY1883" s="7">
        <f>0</f>
        <v>0</v>
      </c>
      <c r="DA1883" s="7">
        <f>0</f>
        <v>0</v>
      </c>
      <c r="DC1883" s="5" t="s">
        <v>309</v>
      </c>
      <c r="DD1883" s="5" t="s">
        <v>240</v>
      </c>
      <c r="DF1883" s="5" t="s">
        <v>309</v>
      </c>
      <c r="DG1883" s="7">
        <f>399</f>
        <v>399</v>
      </c>
      <c r="DI1883" s="5" t="s">
        <v>240</v>
      </c>
      <c r="DJ1883" s="5" t="s">
        <v>240</v>
      </c>
      <c r="DK1883" s="5" t="s">
        <v>240</v>
      </c>
      <c r="DL1883" s="5" t="s">
        <v>240</v>
      </c>
      <c r="DP1883" s="5" t="s">
        <v>240</v>
      </c>
      <c r="DQ1883" s="5" t="s">
        <v>240</v>
      </c>
      <c r="DR1883" s="5" t="s">
        <v>240</v>
      </c>
      <c r="DS1883" s="5" t="s">
        <v>240</v>
      </c>
      <c r="DV1883" s="5" t="s">
        <v>310</v>
      </c>
      <c r="DW1883" s="5" t="s">
        <v>3375</v>
      </c>
      <c r="HO1883" s="5" t="s">
        <v>312</v>
      </c>
    </row>
    <row r="1884" spans="1:240" x14ac:dyDescent="0.4">
      <c r="A1884" s="5">
        <v>3582</v>
      </c>
      <c r="B1884" s="5">
        <v>1</v>
      </c>
      <c r="C1884" s="5">
        <v>1</v>
      </c>
      <c r="D1884" s="5" t="s">
        <v>297</v>
      </c>
      <c r="E1884" s="5" t="s">
        <v>245</v>
      </c>
      <c r="F1884" s="5" t="s">
        <v>254</v>
      </c>
      <c r="G1884" s="5" t="s">
        <v>240</v>
      </c>
      <c r="H1884" s="6" t="s">
        <v>6147</v>
      </c>
      <c r="I1884" s="5" t="s">
        <v>6155</v>
      </c>
      <c r="J1884" s="8">
        <f>0</f>
        <v>0</v>
      </c>
      <c r="K1884" s="5" t="s">
        <v>308</v>
      </c>
      <c r="L1884" s="7">
        <f>27786362</f>
        <v>27786362</v>
      </c>
      <c r="M1884" s="7">
        <f>27786362</f>
        <v>27786362</v>
      </c>
      <c r="N1884" s="5" t="s">
        <v>242</v>
      </c>
      <c r="O1884" s="5">
        <v>1</v>
      </c>
      <c r="P1884" s="5" t="s">
        <v>294</v>
      </c>
      <c r="Q1884" s="5" t="s">
        <v>266</v>
      </c>
      <c r="R1884" s="5" t="s">
        <v>240</v>
      </c>
      <c r="S1884" s="5" t="s">
        <v>240</v>
      </c>
      <c r="T1884" s="5" t="s">
        <v>296</v>
      </c>
      <c r="U1884" s="5" t="s">
        <v>244</v>
      </c>
      <c r="V1884" s="5" t="s">
        <v>240</v>
      </c>
      <c r="Y1884" s="5" t="s">
        <v>240</v>
      </c>
      <c r="Z1884" s="6" t="s">
        <v>298</v>
      </c>
      <c r="AB1884" s="6" t="s">
        <v>240</v>
      </c>
      <c r="AE1884" s="6" t="s">
        <v>299</v>
      </c>
      <c r="AF1884" s="5" t="s">
        <v>248</v>
      </c>
      <c r="AG1884" s="5" t="s">
        <v>249</v>
      </c>
      <c r="AW1884" s="5" t="s">
        <v>251</v>
      </c>
      <c r="AX1884" s="5" t="s">
        <v>240</v>
      </c>
      <c r="AY1884" s="5" t="s">
        <v>253</v>
      </c>
      <c r="AZ1884" s="5" t="s">
        <v>240</v>
      </c>
      <c r="BA1884" s="5" t="s">
        <v>255</v>
      </c>
      <c r="BB1884" s="5" t="s">
        <v>240</v>
      </c>
      <c r="BD1884" s="5" t="s">
        <v>240</v>
      </c>
      <c r="BF1884" s="5" t="s">
        <v>301</v>
      </c>
      <c r="BG1884" s="6" t="s">
        <v>299</v>
      </c>
      <c r="BH1884" s="5" t="s">
        <v>302</v>
      </c>
      <c r="BI1884" s="5" t="s">
        <v>303</v>
      </c>
      <c r="BJ1884" s="5" t="s">
        <v>240</v>
      </c>
      <c r="BK1884" s="8">
        <f>0</f>
        <v>0</v>
      </c>
      <c r="BL1884" s="7">
        <f>0</f>
        <v>0</v>
      </c>
      <c r="BM1884" s="5" t="s">
        <v>258</v>
      </c>
      <c r="BN1884" s="5" t="s">
        <v>259</v>
      </c>
      <c r="CB1884" s="5" t="s">
        <v>240</v>
      </c>
      <c r="CC1884" s="5" t="s">
        <v>240</v>
      </c>
      <c r="CG1884" s="5" t="s">
        <v>304</v>
      </c>
      <c r="CH1884" s="5" t="s">
        <v>305</v>
      </c>
      <c r="CI1884" s="5" t="s">
        <v>240</v>
      </c>
      <c r="CL1884" s="6" t="s">
        <v>261</v>
      </c>
      <c r="CM1884" s="5" t="s">
        <v>240</v>
      </c>
      <c r="CN1884" s="5" t="s">
        <v>263</v>
      </c>
      <c r="CO1884" s="5" t="s">
        <v>240</v>
      </c>
      <c r="CP1884" s="5" t="s">
        <v>240</v>
      </c>
      <c r="CQ1884" s="5">
        <v>0</v>
      </c>
      <c r="CR1884" s="5" t="s">
        <v>306</v>
      </c>
      <c r="CS1884" s="5" t="s">
        <v>307</v>
      </c>
      <c r="CT1884" s="5" t="s">
        <v>307</v>
      </c>
      <c r="CU1884" s="5" t="s">
        <v>260</v>
      </c>
      <c r="CX1884" s="7">
        <f>1</f>
        <v>1</v>
      </c>
      <c r="CY1884" s="7">
        <f>0</f>
        <v>0</v>
      </c>
      <c r="DA1884" s="7">
        <f>0</f>
        <v>0</v>
      </c>
      <c r="DC1884" s="5" t="s">
        <v>812</v>
      </c>
      <c r="DD1884" s="5" t="s">
        <v>240</v>
      </c>
      <c r="DF1884" s="5" t="s">
        <v>812</v>
      </c>
      <c r="DG1884" s="7">
        <f>917</f>
        <v>917</v>
      </c>
      <c r="DI1884" s="5" t="s">
        <v>240</v>
      </c>
      <c r="DJ1884" s="5" t="s">
        <v>240</v>
      </c>
      <c r="DK1884" s="5" t="s">
        <v>240</v>
      </c>
      <c r="DL1884" s="5" t="s">
        <v>240</v>
      </c>
      <c r="DP1884" s="5" t="s">
        <v>240</v>
      </c>
      <c r="DQ1884" s="5" t="s">
        <v>240</v>
      </c>
      <c r="DR1884" s="5" t="s">
        <v>240</v>
      </c>
      <c r="DS1884" s="5" t="s">
        <v>240</v>
      </c>
      <c r="DV1884" s="5" t="s">
        <v>813</v>
      </c>
      <c r="DW1884" s="5" t="s">
        <v>3888</v>
      </c>
      <c r="HO1884" s="5" t="s">
        <v>312</v>
      </c>
    </row>
    <row r="1885" spans="1:240" x14ac:dyDescent="0.4">
      <c r="A1885" s="5">
        <v>3583</v>
      </c>
      <c r="B1885" s="5">
        <v>1</v>
      </c>
      <c r="C1885" s="5">
        <v>1</v>
      </c>
      <c r="D1885" s="5" t="s">
        <v>297</v>
      </c>
      <c r="E1885" s="5" t="s">
        <v>245</v>
      </c>
      <c r="F1885" s="5" t="s">
        <v>254</v>
      </c>
      <c r="G1885" s="5" t="s">
        <v>240</v>
      </c>
      <c r="H1885" s="6" t="s">
        <v>6056</v>
      </c>
      <c r="I1885" s="5" t="s">
        <v>6160</v>
      </c>
      <c r="J1885" s="8">
        <f>219.61</f>
        <v>219.61</v>
      </c>
      <c r="K1885" s="5" t="s">
        <v>308</v>
      </c>
      <c r="L1885" s="7">
        <f>439220</f>
        <v>439220</v>
      </c>
      <c r="M1885" s="7">
        <f>439220</f>
        <v>439220</v>
      </c>
      <c r="N1885" s="5" t="s">
        <v>242</v>
      </c>
      <c r="O1885" s="5">
        <v>1</v>
      </c>
      <c r="P1885" s="5" t="s">
        <v>294</v>
      </c>
      <c r="Q1885" s="5" t="s">
        <v>266</v>
      </c>
      <c r="R1885" s="5" t="s">
        <v>240</v>
      </c>
      <c r="S1885" s="5" t="s">
        <v>240</v>
      </c>
      <c r="T1885" s="5" t="s">
        <v>296</v>
      </c>
      <c r="U1885" s="5" t="s">
        <v>244</v>
      </c>
      <c r="V1885" s="5" t="s">
        <v>240</v>
      </c>
      <c r="Y1885" s="5" t="s">
        <v>240</v>
      </c>
      <c r="Z1885" s="6" t="s">
        <v>298</v>
      </c>
      <c r="AB1885" s="6" t="s">
        <v>240</v>
      </c>
      <c r="AE1885" s="6" t="s">
        <v>299</v>
      </c>
      <c r="AF1885" s="5" t="s">
        <v>248</v>
      </c>
      <c r="AG1885" s="5" t="s">
        <v>249</v>
      </c>
      <c r="AW1885" s="5" t="s">
        <v>251</v>
      </c>
      <c r="AX1885" s="5" t="s">
        <v>240</v>
      </c>
      <c r="AY1885" s="5" t="s">
        <v>253</v>
      </c>
      <c r="AZ1885" s="5" t="s">
        <v>240</v>
      </c>
      <c r="BA1885" s="5" t="s">
        <v>255</v>
      </c>
      <c r="BB1885" s="5" t="s">
        <v>240</v>
      </c>
      <c r="BD1885" s="5" t="s">
        <v>240</v>
      </c>
      <c r="BF1885" s="5" t="s">
        <v>301</v>
      </c>
      <c r="BG1885" s="6" t="s">
        <v>299</v>
      </c>
      <c r="BH1885" s="5" t="s">
        <v>302</v>
      </c>
      <c r="BI1885" s="5" t="s">
        <v>303</v>
      </c>
      <c r="BJ1885" s="5" t="s">
        <v>240</v>
      </c>
      <c r="BK1885" s="8">
        <f>0</f>
        <v>0</v>
      </c>
      <c r="BL1885" s="7">
        <f>0</f>
        <v>0</v>
      </c>
      <c r="BM1885" s="5" t="s">
        <v>258</v>
      </c>
      <c r="BN1885" s="5" t="s">
        <v>259</v>
      </c>
      <c r="CB1885" s="5" t="s">
        <v>240</v>
      </c>
      <c r="CC1885" s="5" t="s">
        <v>240</v>
      </c>
      <c r="CG1885" s="5" t="s">
        <v>304</v>
      </c>
      <c r="CH1885" s="5" t="s">
        <v>305</v>
      </c>
      <c r="CI1885" s="5" t="s">
        <v>240</v>
      </c>
      <c r="CL1885" s="6" t="s">
        <v>261</v>
      </c>
      <c r="CM1885" s="5" t="s">
        <v>240</v>
      </c>
      <c r="CN1885" s="5" t="s">
        <v>263</v>
      </c>
      <c r="CO1885" s="5" t="s">
        <v>240</v>
      </c>
      <c r="CP1885" s="5" t="s">
        <v>240</v>
      </c>
      <c r="CQ1885" s="5">
        <v>0</v>
      </c>
      <c r="CR1885" s="5" t="s">
        <v>306</v>
      </c>
      <c r="CS1885" s="5" t="s">
        <v>307</v>
      </c>
      <c r="CT1885" s="5" t="s">
        <v>307</v>
      </c>
      <c r="CU1885" s="5" t="s">
        <v>260</v>
      </c>
      <c r="CX1885" s="7">
        <f>1</f>
        <v>1</v>
      </c>
      <c r="CY1885" s="7">
        <f>0</f>
        <v>0</v>
      </c>
      <c r="DA1885" s="7">
        <f>0</f>
        <v>0</v>
      </c>
      <c r="DC1885" s="5" t="s">
        <v>309</v>
      </c>
      <c r="DD1885" s="5" t="s">
        <v>240</v>
      </c>
      <c r="DF1885" s="5" t="s">
        <v>309</v>
      </c>
      <c r="DG1885" s="7">
        <f>2997</f>
        <v>2997</v>
      </c>
      <c r="DI1885" s="5" t="s">
        <v>240</v>
      </c>
      <c r="DJ1885" s="5" t="s">
        <v>240</v>
      </c>
      <c r="DK1885" s="5" t="s">
        <v>240</v>
      </c>
      <c r="DL1885" s="5" t="s">
        <v>240</v>
      </c>
      <c r="DP1885" s="5" t="s">
        <v>240</v>
      </c>
      <c r="DQ1885" s="5" t="s">
        <v>240</v>
      </c>
      <c r="DR1885" s="5" t="s">
        <v>240</v>
      </c>
      <c r="DS1885" s="5" t="s">
        <v>240</v>
      </c>
      <c r="DV1885" s="5" t="s">
        <v>310</v>
      </c>
      <c r="DW1885" s="5" t="s">
        <v>3439</v>
      </c>
      <c r="HO1885" s="5" t="s">
        <v>312</v>
      </c>
    </row>
    <row r="1886" spans="1:240" x14ac:dyDescent="0.4">
      <c r="A1886" s="5">
        <v>3584</v>
      </c>
      <c r="B1886" s="5">
        <v>1</v>
      </c>
      <c r="C1886" s="5">
        <v>1</v>
      </c>
      <c r="D1886" s="5" t="s">
        <v>297</v>
      </c>
      <c r="E1886" s="5" t="s">
        <v>245</v>
      </c>
      <c r="F1886" s="5" t="s">
        <v>254</v>
      </c>
      <c r="G1886" s="5" t="s">
        <v>240</v>
      </c>
      <c r="H1886" s="6" t="s">
        <v>6174</v>
      </c>
      <c r="I1886" s="5" t="s">
        <v>6172</v>
      </c>
      <c r="J1886" s="8">
        <f>301</f>
        <v>301</v>
      </c>
      <c r="K1886" s="5" t="s">
        <v>308</v>
      </c>
      <c r="L1886" s="7">
        <f>361200</f>
        <v>361200</v>
      </c>
      <c r="M1886" s="7">
        <f>361200</f>
        <v>361200</v>
      </c>
      <c r="N1886" s="5" t="s">
        <v>242</v>
      </c>
      <c r="O1886" s="5">
        <v>1</v>
      </c>
      <c r="P1886" s="5" t="s">
        <v>294</v>
      </c>
      <c r="Q1886" s="5" t="s">
        <v>613</v>
      </c>
      <c r="R1886" s="5" t="s">
        <v>240</v>
      </c>
      <c r="S1886" s="5" t="s">
        <v>240</v>
      </c>
      <c r="T1886" s="5" t="s">
        <v>243</v>
      </c>
      <c r="U1886" s="5" t="s">
        <v>724</v>
      </c>
      <c r="V1886" s="5" t="s">
        <v>240</v>
      </c>
      <c r="W1886" s="5" t="s">
        <v>240</v>
      </c>
      <c r="X1886" s="5" t="s">
        <v>240</v>
      </c>
      <c r="Y1886" s="5" t="s">
        <v>240</v>
      </c>
      <c r="Z1886" s="6" t="s">
        <v>298</v>
      </c>
      <c r="AA1886" s="6" t="s">
        <v>240</v>
      </c>
      <c r="AB1886" s="6" t="s">
        <v>240</v>
      </c>
      <c r="AC1886" s="5" t="s">
        <v>240</v>
      </c>
      <c r="AD1886" s="6" t="s">
        <v>240</v>
      </c>
      <c r="AE1886" s="6" t="s">
        <v>299</v>
      </c>
      <c r="AF1886" s="5" t="s">
        <v>727</v>
      </c>
      <c r="AG1886" s="5" t="s">
        <v>260</v>
      </c>
      <c r="AH1886" s="5" t="s">
        <v>240</v>
      </c>
      <c r="AI1886" s="5" t="s">
        <v>240</v>
      </c>
      <c r="AJ1886" s="5" t="s">
        <v>240</v>
      </c>
      <c r="AK1886" s="5" t="s">
        <v>240</v>
      </c>
      <c r="AL1886" s="5" t="s">
        <v>240</v>
      </c>
      <c r="AM1886" s="5" t="s">
        <v>240</v>
      </c>
      <c r="AN1886" s="5" t="s">
        <v>240</v>
      </c>
      <c r="AO1886" s="5" t="s">
        <v>240</v>
      </c>
      <c r="AP1886" s="6" t="s">
        <v>240</v>
      </c>
      <c r="AQ1886" s="6" t="s">
        <v>240</v>
      </c>
      <c r="AR1886" s="6" t="s">
        <v>240</v>
      </c>
      <c r="AS1886" s="6" t="s">
        <v>240</v>
      </c>
      <c r="AT1886" s="5" t="s">
        <v>240</v>
      </c>
      <c r="AU1886" s="5" t="s">
        <v>729</v>
      </c>
      <c r="AV1886" s="5" t="s">
        <v>729</v>
      </c>
      <c r="AW1886" s="5" t="s">
        <v>251</v>
      </c>
      <c r="AX1886" s="5" t="s">
        <v>252</v>
      </c>
      <c r="AY1886" s="5" t="s">
        <v>253</v>
      </c>
      <c r="AZ1886" s="5" t="s">
        <v>240</v>
      </c>
      <c r="BA1886" s="5" t="s">
        <v>255</v>
      </c>
      <c r="BB1886" s="5" t="s">
        <v>731</v>
      </c>
      <c r="BD1886" s="5" t="s">
        <v>240</v>
      </c>
      <c r="BF1886" s="5" t="s">
        <v>732</v>
      </c>
      <c r="BG1886" s="6" t="s">
        <v>733</v>
      </c>
      <c r="BH1886" s="5" t="s">
        <v>734</v>
      </c>
      <c r="BI1886" s="5" t="s">
        <v>734</v>
      </c>
      <c r="BJ1886" s="5" t="s">
        <v>240</v>
      </c>
      <c r="BK1886" s="8">
        <f>287</f>
        <v>287</v>
      </c>
      <c r="BL1886" s="7">
        <f>0</f>
        <v>0</v>
      </c>
      <c r="BM1886" s="5" t="s">
        <v>258</v>
      </c>
      <c r="BN1886" s="5" t="s">
        <v>259</v>
      </c>
      <c r="BO1886" s="5" t="s">
        <v>240</v>
      </c>
      <c r="BP1886" s="5" t="s">
        <v>240</v>
      </c>
      <c r="BQ1886" s="5" t="s">
        <v>240</v>
      </c>
      <c r="BR1886" s="5" t="s">
        <v>240</v>
      </c>
      <c r="BS1886" s="5" t="s">
        <v>240</v>
      </c>
      <c r="BT1886" s="5" t="s">
        <v>240</v>
      </c>
      <c r="BU1886" s="5" t="s">
        <v>240</v>
      </c>
      <c r="BV1886" s="5" t="s">
        <v>240</v>
      </c>
      <c r="BW1886" s="6" t="s">
        <v>240</v>
      </c>
      <c r="BX1886" s="5" t="s">
        <v>240</v>
      </c>
      <c r="BY1886" s="5" t="s">
        <v>240</v>
      </c>
      <c r="BZ1886" s="5" t="s">
        <v>240</v>
      </c>
      <c r="CA1886" s="5" t="s">
        <v>259</v>
      </c>
      <c r="CB1886" s="5" t="s">
        <v>240</v>
      </c>
      <c r="CC1886" s="5" t="s">
        <v>240</v>
      </c>
      <c r="CD1886" s="5" t="s">
        <v>240</v>
      </c>
      <c r="CE1886" s="5" t="s">
        <v>240</v>
      </c>
      <c r="CF1886" s="5" t="s">
        <v>240</v>
      </c>
      <c r="CG1886" s="5" t="s">
        <v>617</v>
      </c>
      <c r="CH1886" s="5" t="s">
        <v>305</v>
      </c>
      <c r="CI1886" s="5" t="s">
        <v>240</v>
      </c>
      <c r="CL1886" s="6" t="s">
        <v>261</v>
      </c>
      <c r="CM1886" s="5" t="s">
        <v>262</v>
      </c>
      <c r="CN1886" s="5" t="s">
        <v>263</v>
      </c>
      <c r="CO1886" s="5" t="s">
        <v>264</v>
      </c>
      <c r="CP1886" s="5" t="s">
        <v>240</v>
      </c>
      <c r="CQ1886" s="5">
        <v>0</v>
      </c>
      <c r="CR1886" s="5" t="s">
        <v>735</v>
      </c>
      <c r="CS1886" s="5" t="s">
        <v>307</v>
      </c>
      <c r="CT1886" s="5" t="s">
        <v>307</v>
      </c>
      <c r="CU1886" s="5" t="s">
        <v>260</v>
      </c>
      <c r="CV1886" s="5" t="s">
        <v>240</v>
      </c>
      <c r="CW1886" s="8">
        <f>0</f>
        <v>0</v>
      </c>
      <c r="CX1886" s="7">
        <f>0</f>
        <v>0</v>
      </c>
      <c r="CY1886" s="7">
        <f>0</f>
        <v>0</v>
      </c>
      <c r="DA1886" s="7">
        <f>3157</f>
        <v>3157</v>
      </c>
      <c r="DB1886" s="7" t="s">
        <v>240</v>
      </c>
      <c r="DC1886" s="5" t="s">
        <v>240</v>
      </c>
      <c r="DD1886" s="5" t="s">
        <v>240</v>
      </c>
      <c r="DE1886" s="5" t="s">
        <v>240</v>
      </c>
      <c r="DF1886" s="5" t="s">
        <v>450</v>
      </c>
      <c r="DG1886" s="7">
        <f>0</f>
        <v>0</v>
      </c>
      <c r="DI1886" s="5" t="s">
        <v>737</v>
      </c>
      <c r="DJ1886" s="5" t="s">
        <v>240</v>
      </c>
      <c r="DK1886" s="5" t="s">
        <v>240</v>
      </c>
      <c r="DL1886" s="5" t="s">
        <v>240</v>
      </c>
      <c r="DM1886" s="5" t="s">
        <v>240</v>
      </c>
      <c r="DN1886" s="5" t="s">
        <v>240</v>
      </c>
      <c r="DO1886" s="7" t="s">
        <v>240</v>
      </c>
      <c r="DP1886" s="5" t="s">
        <v>240</v>
      </c>
      <c r="DQ1886" s="5" t="s">
        <v>240</v>
      </c>
      <c r="DR1886" s="5" t="s">
        <v>731</v>
      </c>
      <c r="DS1886" s="5" t="s">
        <v>731</v>
      </c>
      <c r="DT1886" s="5" t="s">
        <v>240</v>
      </c>
      <c r="DU1886" s="5" t="s">
        <v>240</v>
      </c>
      <c r="DV1886" s="5" t="s">
        <v>738</v>
      </c>
      <c r="DW1886" s="5" t="s">
        <v>752</v>
      </c>
      <c r="DX1886" s="5" t="s">
        <v>240</v>
      </c>
      <c r="DY1886" s="5" t="s">
        <v>240</v>
      </c>
      <c r="DZ1886" s="5" t="s">
        <v>240</v>
      </c>
      <c r="EA1886" s="5" t="s">
        <v>240</v>
      </c>
      <c r="EB1886" s="5" t="s">
        <v>240</v>
      </c>
      <c r="EC1886" s="5" t="s">
        <v>240</v>
      </c>
      <c r="ED1886" s="5" t="s">
        <v>240</v>
      </c>
      <c r="EE1886" s="5" t="s">
        <v>240</v>
      </c>
      <c r="EF1886" s="5" t="s">
        <v>240</v>
      </c>
      <c r="EG1886" s="5" t="s">
        <v>240</v>
      </c>
      <c r="EH1886" s="5" t="s">
        <v>240</v>
      </c>
      <c r="EI1886" s="5" t="s">
        <v>240</v>
      </c>
      <c r="EJ1886" s="5" t="s">
        <v>240</v>
      </c>
      <c r="EK1886" s="5" t="s">
        <v>240</v>
      </c>
      <c r="EL1886" s="5" t="s">
        <v>240</v>
      </c>
      <c r="EM1886" s="5" t="s">
        <v>240</v>
      </c>
      <c r="EN1886" s="5" t="s">
        <v>240</v>
      </c>
      <c r="EO1886" s="5" t="s">
        <v>240</v>
      </c>
      <c r="EP1886" s="5" t="s">
        <v>240</v>
      </c>
      <c r="EQ1886" s="5" t="s">
        <v>240</v>
      </c>
      <c r="ER1886" s="5" t="s">
        <v>240</v>
      </c>
      <c r="ES1886" s="5" t="s">
        <v>240</v>
      </c>
      <c r="ET1886" s="5" t="s">
        <v>240</v>
      </c>
      <c r="EU1886" s="5" t="s">
        <v>240</v>
      </c>
      <c r="EV1886" s="5" t="s">
        <v>240</v>
      </c>
      <c r="EW1886" s="5" t="s">
        <v>240</v>
      </c>
      <c r="EX1886" s="5" t="s">
        <v>240</v>
      </c>
      <c r="EY1886" s="5" t="s">
        <v>240</v>
      </c>
      <c r="EZ1886" s="5" t="s">
        <v>240</v>
      </c>
      <c r="FA1886" s="5" t="s">
        <v>240</v>
      </c>
      <c r="FB1886" s="5" t="s">
        <v>240</v>
      </c>
      <c r="FC1886" s="5" t="s">
        <v>240</v>
      </c>
      <c r="FD1886" s="5" t="s">
        <v>240</v>
      </c>
      <c r="FE1886" s="5" t="s">
        <v>240</v>
      </c>
      <c r="FF1886" s="5" t="s">
        <v>240</v>
      </c>
      <c r="FG1886" s="5" t="s">
        <v>240</v>
      </c>
      <c r="FH1886" s="5" t="s">
        <v>240</v>
      </c>
      <c r="FI1886" s="5" t="s">
        <v>240</v>
      </c>
      <c r="FJ1886" s="5" t="s">
        <v>240</v>
      </c>
      <c r="FK1886" s="5" t="s">
        <v>240</v>
      </c>
      <c r="FL1886" s="5" t="s">
        <v>240</v>
      </c>
      <c r="FM1886" s="5" t="s">
        <v>240</v>
      </c>
      <c r="FN1886" s="5" t="s">
        <v>240</v>
      </c>
      <c r="FO1886" s="5" t="s">
        <v>240</v>
      </c>
      <c r="FP1886" s="5" t="s">
        <v>240</v>
      </c>
      <c r="FQ1886" s="5" t="s">
        <v>240</v>
      </c>
      <c r="FR1886" s="5" t="s">
        <v>240</v>
      </c>
      <c r="FS1886" s="5" t="s">
        <v>240</v>
      </c>
      <c r="FT1886" s="5" t="s">
        <v>240</v>
      </c>
      <c r="FU1886" s="5" t="s">
        <v>240</v>
      </c>
      <c r="FV1886" s="5" t="s">
        <v>240</v>
      </c>
      <c r="FW1886" s="5" t="s">
        <v>240</v>
      </c>
      <c r="FX1886" s="5" t="s">
        <v>240</v>
      </c>
      <c r="FY1886" s="5" t="s">
        <v>240</v>
      </c>
      <c r="FZ1886" s="5" t="s">
        <v>240</v>
      </c>
      <c r="GA1886" s="5" t="s">
        <v>240</v>
      </c>
      <c r="GB1886" s="5" t="s">
        <v>240</v>
      </c>
      <c r="GC1886" s="5" t="s">
        <v>240</v>
      </c>
      <c r="GD1886" s="5" t="s">
        <v>240</v>
      </c>
      <c r="GE1886" s="5" t="s">
        <v>240</v>
      </c>
      <c r="GF1886" s="5" t="s">
        <v>240</v>
      </c>
      <c r="GG1886" s="5" t="s">
        <v>240</v>
      </c>
      <c r="GH1886" s="5" t="s">
        <v>240</v>
      </c>
      <c r="GI1886" s="5" t="s">
        <v>240</v>
      </c>
      <c r="GJ1886" s="5" t="s">
        <v>240</v>
      </c>
      <c r="GK1886" s="5" t="s">
        <v>240</v>
      </c>
      <c r="GL1886" s="5" t="s">
        <v>240</v>
      </c>
      <c r="GM1886" s="5" t="s">
        <v>240</v>
      </c>
      <c r="GN1886" s="5" t="s">
        <v>240</v>
      </c>
      <c r="GO1886" s="5" t="s">
        <v>240</v>
      </c>
      <c r="GP1886" s="5" t="s">
        <v>240</v>
      </c>
      <c r="GQ1886" s="5" t="s">
        <v>240</v>
      </c>
      <c r="GR1886" s="5" t="s">
        <v>240</v>
      </c>
      <c r="GS1886" s="5" t="s">
        <v>240</v>
      </c>
      <c r="GT1886" s="5" t="s">
        <v>240</v>
      </c>
      <c r="GU1886" s="5" t="s">
        <v>240</v>
      </c>
      <c r="GV1886" s="5" t="s">
        <v>240</v>
      </c>
      <c r="GW1886" s="5" t="s">
        <v>240</v>
      </c>
      <c r="GX1886" s="5" t="s">
        <v>240</v>
      </c>
      <c r="GY1886" s="5" t="s">
        <v>240</v>
      </c>
      <c r="GZ1886" s="5" t="s">
        <v>240</v>
      </c>
      <c r="HA1886" s="5" t="s">
        <v>240</v>
      </c>
      <c r="HB1886" s="5" t="s">
        <v>240</v>
      </c>
      <c r="HC1886" s="5" t="s">
        <v>240</v>
      </c>
      <c r="HD1886" s="5" t="s">
        <v>240</v>
      </c>
      <c r="HE1886" s="5" t="s">
        <v>240</v>
      </c>
      <c r="HF1886" s="5" t="s">
        <v>240</v>
      </c>
      <c r="HG1886" s="5" t="s">
        <v>240</v>
      </c>
      <c r="HH1886" s="5" t="s">
        <v>240</v>
      </c>
      <c r="HI1886" s="5" t="s">
        <v>240</v>
      </c>
      <c r="HJ1886" s="5" t="s">
        <v>240</v>
      </c>
      <c r="HK1886" s="5" t="s">
        <v>240</v>
      </c>
      <c r="HL1886" s="5" t="s">
        <v>240</v>
      </c>
      <c r="HM1886" s="5" t="s">
        <v>240</v>
      </c>
      <c r="HN1886" s="5" t="s">
        <v>240</v>
      </c>
      <c r="HO1886" s="5" t="s">
        <v>312</v>
      </c>
      <c r="HP1886" s="5" t="s">
        <v>240</v>
      </c>
      <c r="HQ1886" s="5" t="s">
        <v>240</v>
      </c>
      <c r="HR1886" s="5" t="s">
        <v>240</v>
      </c>
      <c r="HS1886" s="5" t="s">
        <v>240</v>
      </c>
      <c r="HT1886" s="5" t="s">
        <v>240</v>
      </c>
      <c r="HU1886" s="5" t="s">
        <v>240</v>
      </c>
      <c r="HV1886" s="5" t="s">
        <v>240</v>
      </c>
      <c r="HW1886" s="5" t="s">
        <v>240</v>
      </c>
      <c r="HX1886" s="5" t="s">
        <v>240</v>
      </c>
      <c r="HY1886" s="5" t="s">
        <v>240</v>
      </c>
      <c r="HZ1886" s="5" t="s">
        <v>240</v>
      </c>
      <c r="IA1886" s="5" t="s">
        <v>240</v>
      </c>
      <c r="IB1886" s="5" t="s">
        <v>240</v>
      </c>
      <c r="IC1886" s="5" t="s">
        <v>240</v>
      </c>
      <c r="ID1886" s="5" t="s">
        <v>240</v>
      </c>
      <c r="IE1886" s="5" t="s">
        <v>240</v>
      </c>
      <c r="IF1886" s="5" t="s">
        <v>240</v>
      </c>
    </row>
    <row r="1887" spans="1:240" x14ac:dyDescent="0.4">
      <c r="A1887" s="5">
        <v>3588</v>
      </c>
      <c r="B1887" s="5">
        <v>1</v>
      </c>
      <c r="C1887" s="5">
        <v>1</v>
      </c>
      <c r="D1887" s="5" t="s">
        <v>297</v>
      </c>
      <c r="E1887" s="5" t="s">
        <v>245</v>
      </c>
      <c r="F1887" s="5" t="s">
        <v>254</v>
      </c>
      <c r="G1887" s="5" t="s">
        <v>240</v>
      </c>
      <c r="H1887" s="6" t="s">
        <v>6224</v>
      </c>
      <c r="I1887" s="5" t="s">
        <v>295</v>
      </c>
      <c r="J1887" s="8">
        <f>563.36</f>
        <v>563.36</v>
      </c>
      <c r="K1887" s="5" t="s">
        <v>308</v>
      </c>
      <c r="L1887" s="7">
        <f>2704127</f>
        <v>2704127</v>
      </c>
      <c r="M1887" s="7">
        <f>2704127</f>
        <v>2704127</v>
      </c>
      <c r="N1887" s="5" t="s">
        <v>242</v>
      </c>
      <c r="O1887" s="5">
        <v>1</v>
      </c>
      <c r="P1887" s="5" t="s">
        <v>294</v>
      </c>
      <c r="Q1887" s="5" t="s">
        <v>266</v>
      </c>
      <c r="R1887" s="5" t="s">
        <v>240</v>
      </c>
      <c r="S1887" s="5" t="s">
        <v>240</v>
      </c>
      <c r="T1887" s="5" t="s">
        <v>296</v>
      </c>
      <c r="U1887" s="5" t="s">
        <v>244</v>
      </c>
      <c r="V1887" s="5" t="s">
        <v>240</v>
      </c>
      <c r="Y1887" s="5" t="s">
        <v>240</v>
      </c>
      <c r="Z1887" s="6" t="s">
        <v>298</v>
      </c>
      <c r="AB1887" s="6" t="s">
        <v>240</v>
      </c>
      <c r="AE1887" s="6" t="s">
        <v>299</v>
      </c>
      <c r="AF1887" s="5" t="s">
        <v>248</v>
      </c>
      <c r="AG1887" s="5" t="s">
        <v>249</v>
      </c>
      <c r="AW1887" s="5" t="s">
        <v>251</v>
      </c>
      <c r="AX1887" s="5" t="s">
        <v>240</v>
      </c>
      <c r="AY1887" s="5" t="s">
        <v>253</v>
      </c>
      <c r="AZ1887" s="5" t="s">
        <v>240</v>
      </c>
      <c r="BA1887" s="5" t="s">
        <v>255</v>
      </c>
      <c r="BB1887" s="5" t="s">
        <v>240</v>
      </c>
      <c r="BD1887" s="5" t="s">
        <v>240</v>
      </c>
      <c r="BF1887" s="5" t="s">
        <v>301</v>
      </c>
      <c r="BG1887" s="6" t="s">
        <v>299</v>
      </c>
      <c r="BH1887" s="5" t="s">
        <v>302</v>
      </c>
      <c r="BI1887" s="5" t="s">
        <v>303</v>
      </c>
      <c r="BJ1887" s="5" t="s">
        <v>240</v>
      </c>
      <c r="BK1887" s="8">
        <f>0</f>
        <v>0</v>
      </c>
      <c r="BL1887" s="7">
        <f>0</f>
        <v>0</v>
      </c>
      <c r="BM1887" s="5" t="s">
        <v>258</v>
      </c>
      <c r="BN1887" s="5" t="s">
        <v>259</v>
      </c>
      <c r="CB1887" s="5" t="s">
        <v>240</v>
      </c>
      <c r="CC1887" s="5" t="s">
        <v>240</v>
      </c>
      <c r="CG1887" s="5" t="s">
        <v>304</v>
      </c>
      <c r="CH1887" s="5" t="s">
        <v>305</v>
      </c>
      <c r="CI1887" s="5" t="s">
        <v>240</v>
      </c>
      <c r="CL1887" s="6" t="s">
        <v>261</v>
      </c>
      <c r="CM1887" s="5" t="s">
        <v>240</v>
      </c>
      <c r="CN1887" s="5" t="s">
        <v>263</v>
      </c>
      <c r="CO1887" s="5" t="s">
        <v>240</v>
      </c>
      <c r="CP1887" s="5" t="s">
        <v>240</v>
      </c>
      <c r="CQ1887" s="5">
        <v>0</v>
      </c>
      <c r="CR1887" s="5" t="s">
        <v>306</v>
      </c>
      <c r="CS1887" s="5" t="s">
        <v>307</v>
      </c>
      <c r="CT1887" s="5" t="s">
        <v>307</v>
      </c>
      <c r="CU1887" s="5" t="s">
        <v>260</v>
      </c>
      <c r="CX1887" s="7">
        <f>1</f>
        <v>1</v>
      </c>
      <c r="CY1887" s="7">
        <f>0</f>
        <v>0</v>
      </c>
      <c r="DA1887" s="7">
        <f>0</f>
        <v>0</v>
      </c>
      <c r="DC1887" s="5" t="s">
        <v>309</v>
      </c>
      <c r="DD1887" s="5" t="s">
        <v>240</v>
      </c>
      <c r="DF1887" s="5" t="s">
        <v>309</v>
      </c>
      <c r="DG1887" s="7">
        <f>585</f>
        <v>585</v>
      </c>
      <c r="DI1887" s="5" t="s">
        <v>240</v>
      </c>
      <c r="DJ1887" s="5" t="s">
        <v>240</v>
      </c>
      <c r="DK1887" s="5" t="s">
        <v>240</v>
      </c>
      <c r="DL1887" s="5" t="s">
        <v>240</v>
      </c>
      <c r="DP1887" s="5" t="s">
        <v>240</v>
      </c>
      <c r="DQ1887" s="5" t="s">
        <v>240</v>
      </c>
      <c r="DR1887" s="5" t="s">
        <v>240</v>
      </c>
      <c r="DS1887" s="5" t="s">
        <v>240</v>
      </c>
      <c r="DV1887" s="5" t="s">
        <v>310</v>
      </c>
      <c r="DW1887" s="5" t="s">
        <v>3487</v>
      </c>
      <c r="HO1887" s="5" t="s">
        <v>312</v>
      </c>
    </row>
    <row r="1888" spans="1:240" x14ac:dyDescent="0.4">
      <c r="A1888" s="5">
        <v>3589</v>
      </c>
      <c r="B1888" s="5">
        <v>1</v>
      </c>
      <c r="C1888" s="5">
        <v>1</v>
      </c>
      <c r="D1888" s="5" t="s">
        <v>297</v>
      </c>
      <c r="E1888" s="5" t="s">
        <v>245</v>
      </c>
      <c r="F1888" s="5" t="s">
        <v>254</v>
      </c>
      <c r="G1888" s="5" t="s">
        <v>240</v>
      </c>
      <c r="H1888" s="6" t="s">
        <v>6185</v>
      </c>
      <c r="I1888" s="5" t="s">
        <v>6182</v>
      </c>
      <c r="J1888" s="8">
        <f>5.41</f>
        <v>5.41</v>
      </c>
      <c r="K1888" s="5" t="s">
        <v>308</v>
      </c>
      <c r="L1888" s="7">
        <f>26509</f>
        <v>26509</v>
      </c>
      <c r="M1888" s="7">
        <f>26509</f>
        <v>26509</v>
      </c>
      <c r="N1888" s="5" t="s">
        <v>242</v>
      </c>
      <c r="O1888" s="5">
        <v>1</v>
      </c>
      <c r="P1888" s="5" t="s">
        <v>294</v>
      </c>
      <c r="Q1888" s="5" t="s">
        <v>266</v>
      </c>
      <c r="R1888" s="5" t="s">
        <v>240</v>
      </c>
      <c r="S1888" s="5" t="s">
        <v>240</v>
      </c>
      <c r="T1888" s="5" t="s">
        <v>296</v>
      </c>
      <c r="U1888" s="5" t="s">
        <v>244</v>
      </c>
      <c r="V1888" s="5" t="s">
        <v>240</v>
      </c>
      <c r="Y1888" s="5" t="s">
        <v>240</v>
      </c>
      <c r="Z1888" s="6" t="s">
        <v>298</v>
      </c>
      <c r="AB1888" s="6" t="s">
        <v>240</v>
      </c>
      <c r="AE1888" s="6" t="s">
        <v>299</v>
      </c>
      <c r="AF1888" s="5" t="s">
        <v>248</v>
      </c>
      <c r="AG1888" s="5" t="s">
        <v>249</v>
      </c>
      <c r="AW1888" s="5" t="s">
        <v>251</v>
      </c>
      <c r="AX1888" s="5" t="s">
        <v>240</v>
      </c>
      <c r="AY1888" s="5" t="s">
        <v>253</v>
      </c>
      <c r="AZ1888" s="5" t="s">
        <v>240</v>
      </c>
      <c r="BA1888" s="5" t="s">
        <v>255</v>
      </c>
      <c r="BB1888" s="5" t="s">
        <v>240</v>
      </c>
      <c r="BD1888" s="5" t="s">
        <v>240</v>
      </c>
      <c r="BF1888" s="5" t="s">
        <v>301</v>
      </c>
      <c r="BG1888" s="6" t="s">
        <v>299</v>
      </c>
      <c r="BH1888" s="5" t="s">
        <v>302</v>
      </c>
      <c r="BI1888" s="5" t="s">
        <v>303</v>
      </c>
      <c r="BJ1888" s="5" t="s">
        <v>240</v>
      </c>
      <c r="BK1888" s="8">
        <f>0</f>
        <v>0</v>
      </c>
      <c r="BL1888" s="7">
        <f>0</f>
        <v>0</v>
      </c>
      <c r="BM1888" s="5" t="s">
        <v>258</v>
      </c>
      <c r="BN1888" s="5" t="s">
        <v>259</v>
      </c>
      <c r="CB1888" s="5" t="s">
        <v>240</v>
      </c>
      <c r="CC1888" s="5" t="s">
        <v>240</v>
      </c>
      <c r="CG1888" s="5" t="s">
        <v>304</v>
      </c>
      <c r="CH1888" s="5" t="s">
        <v>305</v>
      </c>
      <c r="CI1888" s="5" t="s">
        <v>240</v>
      </c>
      <c r="CL1888" s="6" t="s">
        <v>261</v>
      </c>
      <c r="CM1888" s="5" t="s">
        <v>240</v>
      </c>
      <c r="CN1888" s="5" t="s">
        <v>263</v>
      </c>
      <c r="CO1888" s="5" t="s">
        <v>240</v>
      </c>
      <c r="CP1888" s="5" t="s">
        <v>240</v>
      </c>
      <c r="CQ1888" s="5">
        <v>0</v>
      </c>
      <c r="CR1888" s="5" t="s">
        <v>306</v>
      </c>
      <c r="CS1888" s="5" t="s">
        <v>307</v>
      </c>
      <c r="CT1888" s="5" t="s">
        <v>307</v>
      </c>
      <c r="CU1888" s="5" t="s">
        <v>260</v>
      </c>
      <c r="CX1888" s="7">
        <f>1</f>
        <v>1</v>
      </c>
      <c r="CY1888" s="7">
        <f>0</f>
        <v>0</v>
      </c>
      <c r="DA1888" s="7">
        <f>0</f>
        <v>0</v>
      </c>
      <c r="DC1888" s="5" t="s">
        <v>309</v>
      </c>
      <c r="DD1888" s="5" t="s">
        <v>240</v>
      </c>
      <c r="DF1888" s="5" t="s">
        <v>309</v>
      </c>
      <c r="DG1888" s="7">
        <f>2906</f>
        <v>2906</v>
      </c>
      <c r="DI1888" s="5" t="s">
        <v>240</v>
      </c>
      <c r="DJ1888" s="5" t="s">
        <v>240</v>
      </c>
      <c r="DK1888" s="5" t="s">
        <v>240</v>
      </c>
      <c r="DL1888" s="5" t="s">
        <v>240</v>
      </c>
      <c r="DP1888" s="5" t="s">
        <v>240</v>
      </c>
      <c r="DQ1888" s="5" t="s">
        <v>240</v>
      </c>
      <c r="DR1888" s="5" t="s">
        <v>240</v>
      </c>
      <c r="DS1888" s="5" t="s">
        <v>240</v>
      </c>
      <c r="DV1888" s="5" t="s">
        <v>310</v>
      </c>
      <c r="DW1888" s="5" t="s">
        <v>3491</v>
      </c>
      <c r="HO1888" s="5" t="s">
        <v>312</v>
      </c>
    </row>
    <row r="1889" spans="1:240" x14ac:dyDescent="0.4">
      <c r="A1889" s="5">
        <v>3590</v>
      </c>
      <c r="B1889" s="5">
        <v>1</v>
      </c>
      <c r="C1889" s="5">
        <v>1</v>
      </c>
      <c r="D1889" s="5" t="s">
        <v>297</v>
      </c>
      <c r="E1889" s="5" t="s">
        <v>245</v>
      </c>
      <c r="F1889" s="5" t="s">
        <v>254</v>
      </c>
      <c r="G1889" s="5" t="s">
        <v>240</v>
      </c>
      <c r="H1889" s="6" t="s">
        <v>6468</v>
      </c>
      <c r="I1889" s="5" t="s">
        <v>6465</v>
      </c>
      <c r="J1889" s="8">
        <f>614</f>
        <v>614</v>
      </c>
      <c r="K1889" s="5" t="s">
        <v>308</v>
      </c>
      <c r="L1889" s="7">
        <f>604550</f>
        <v>604550</v>
      </c>
      <c r="M1889" s="7">
        <f>604550</f>
        <v>604550</v>
      </c>
      <c r="N1889" s="5" t="s">
        <v>242</v>
      </c>
      <c r="O1889" s="5">
        <v>1</v>
      </c>
      <c r="P1889" s="5" t="s">
        <v>294</v>
      </c>
      <c r="Q1889" s="5" t="s">
        <v>3678</v>
      </c>
      <c r="R1889" s="5" t="s">
        <v>240</v>
      </c>
      <c r="S1889" s="5" t="s">
        <v>240</v>
      </c>
      <c r="T1889" s="5" t="s">
        <v>243</v>
      </c>
      <c r="U1889" s="5" t="s">
        <v>244</v>
      </c>
      <c r="V1889" s="5" t="s">
        <v>240</v>
      </c>
      <c r="W1889" s="5" t="s">
        <v>240</v>
      </c>
      <c r="X1889" s="5" t="s">
        <v>240</v>
      </c>
      <c r="Y1889" s="5" t="s">
        <v>240</v>
      </c>
      <c r="Z1889" s="6" t="s">
        <v>298</v>
      </c>
      <c r="AA1889" s="6" t="s">
        <v>240</v>
      </c>
      <c r="AB1889" s="6" t="s">
        <v>240</v>
      </c>
      <c r="AC1889" s="5" t="s">
        <v>240</v>
      </c>
      <c r="AD1889" s="6" t="s">
        <v>240</v>
      </c>
      <c r="AE1889" s="6" t="s">
        <v>299</v>
      </c>
      <c r="AF1889" s="5" t="s">
        <v>248</v>
      </c>
      <c r="AG1889" s="5" t="s">
        <v>249</v>
      </c>
      <c r="AH1889" s="5" t="s">
        <v>240</v>
      </c>
      <c r="AI1889" s="5" t="s">
        <v>240</v>
      </c>
      <c r="AJ1889" s="5" t="s">
        <v>240</v>
      </c>
      <c r="AK1889" s="5" t="s">
        <v>240</v>
      </c>
      <c r="AL1889" s="5" t="s">
        <v>240</v>
      </c>
      <c r="AM1889" s="5" t="s">
        <v>240</v>
      </c>
      <c r="AN1889" s="5" t="s">
        <v>240</v>
      </c>
      <c r="AO1889" s="5" t="s">
        <v>240</v>
      </c>
      <c r="AP1889" s="6" t="s">
        <v>240</v>
      </c>
      <c r="AQ1889" s="6" t="s">
        <v>240</v>
      </c>
      <c r="AR1889" s="6" t="s">
        <v>240</v>
      </c>
      <c r="AS1889" s="6" t="s">
        <v>240</v>
      </c>
      <c r="AT1889" s="5" t="s">
        <v>240</v>
      </c>
      <c r="AU1889" s="5" t="s">
        <v>729</v>
      </c>
      <c r="AV1889" s="5" t="s">
        <v>729</v>
      </c>
      <c r="AW1889" s="5" t="s">
        <v>251</v>
      </c>
      <c r="AX1889" s="5" t="s">
        <v>252</v>
      </c>
      <c r="AY1889" s="5" t="s">
        <v>253</v>
      </c>
      <c r="AZ1889" s="5" t="s">
        <v>240</v>
      </c>
      <c r="BA1889" s="5" t="s">
        <v>255</v>
      </c>
      <c r="BB1889" s="5" t="s">
        <v>731</v>
      </c>
      <c r="BD1889" s="5" t="s">
        <v>240</v>
      </c>
      <c r="BF1889" s="5" t="s">
        <v>732</v>
      </c>
      <c r="BG1889" s="6" t="s">
        <v>733</v>
      </c>
      <c r="BH1889" s="5" t="s">
        <v>734</v>
      </c>
      <c r="BI1889" s="5" t="s">
        <v>734</v>
      </c>
      <c r="BJ1889" s="5" t="s">
        <v>240</v>
      </c>
      <c r="BK1889" s="7">
        <f>1</f>
        <v>1</v>
      </c>
      <c r="BL1889" s="7">
        <f>1</f>
        <v>1</v>
      </c>
      <c r="BM1889" s="5" t="s">
        <v>258</v>
      </c>
      <c r="BN1889" s="5" t="s">
        <v>259</v>
      </c>
      <c r="BO1889" s="5" t="s">
        <v>240</v>
      </c>
      <c r="BP1889" s="5" t="s">
        <v>240</v>
      </c>
      <c r="BQ1889" s="5" t="s">
        <v>240</v>
      </c>
      <c r="BR1889" s="5" t="s">
        <v>240</v>
      </c>
      <c r="BS1889" s="5" t="s">
        <v>240</v>
      </c>
      <c r="BT1889" s="5" t="s">
        <v>240</v>
      </c>
      <c r="BU1889" s="5" t="s">
        <v>240</v>
      </c>
      <c r="BV1889" s="5" t="s">
        <v>240</v>
      </c>
      <c r="BW1889" s="6" t="s">
        <v>240</v>
      </c>
      <c r="BX1889" s="5" t="s">
        <v>240</v>
      </c>
      <c r="BY1889" s="5" t="s">
        <v>240</v>
      </c>
      <c r="BZ1889" s="5" t="s">
        <v>240</v>
      </c>
      <c r="CA1889" s="5" t="s">
        <v>259</v>
      </c>
      <c r="CB1889" s="5" t="s">
        <v>240</v>
      </c>
      <c r="CC1889" s="5" t="s">
        <v>240</v>
      </c>
      <c r="CD1889" s="5" t="s">
        <v>240</v>
      </c>
      <c r="CE1889" s="5" t="s">
        <v>240</v>
      </c>
      <c r="CF1889" s="5" t="s">
        <v>240</v>
      </c>
      <c r="CG1889" s="5" t="s">
        <v>304</v>
      </c>
      <c r="CH1889" s="5" t="s">
        <v>305</v>
      </c>
      <c r="CI1889" s="5" t="s">
        <v>240</v>
      </c>
      <c r="CK1889" s="5" t="s">
        <v>3681</v>
      </c>
      <c r="CL1889" s="6" t="s">
        <v>261</v>
      </c>
      <c r="CM1889" s="5" t="s">
        <v>262</v>
      </c>
      <c r="CN1889" s="5" t="s">
        <v>263</v>
      </c>
      <c r="CO1889" s="5" t="s">
        <v>264</v>
      </c>
      <c r="CP1889" s="5" t="s">
        <v>240</v>
      </c>
      <c r="CQ1889" s="5">
        <v>0</v>
      </c>
      <c r="CR1889" s="5" t="s">
        <v>735</v>
      </c>
      <c r="CS1889" s="5" t="s">
        <v>307</v>
      </c>
      <c r="CT1889" s="5" t="s">
        <v>307</v>
      </c>
      <c r="CU1889" s="5" t="s">
        <v>260</v>
      </c>
      <c r="CV1889" s="5" t="s">
        <v>612</v>
      </c>
      <c r="CW1889" s="8">
        <f>1</f>
        <v>1</v>
      </c>
      <c r="CX1889" s="7">
        <f>1</f>
        <v>1</v>
      </c>
      <c r="CY1889" s="7">
        <f>0</f>
        <v>0</v>
      </c>
      <c r="DA1889" s="7">
        <f>1</f>
        <v>1</v>
      </c>
      <c r="DB1889" s="7" t="s">
        <v>240</v>
      </c>
      <c r="DC1889" s="5" t="s">
        <v>240</v>
      </c>
      <c r="DD1889" s="5" t="s">
        <v>240</v>
      </c>
      <c r="DE1889" s="5" t="s">
        <v>240</v>
      </c>
      <c r="DF1889" s="5" t="s">
        <v>240</v>
      </c>
      <c r="DG1889" s="7">
        <f>0</f>
        <v>0</v>
      </c>
      <c r="DI1889" s="5" t="s">
        <v>240</v>
      </c>
      <c r="DJ1889" s="5" t="s">
        <v>240</v>
      </c>
      <c r="DK1889" s="5" t="s">
        <v>240</v>
      </c>
      <c r="DL1889" s="5" t="s">
        <v>240</v>
      </c>
      <c r="DM1889" s="5" t="s">
        <v>240</v>
      </c>
      <c r="DN1889" s="5" t="s">
        <v>240</v>
      </c>
      <c r="DO1889" s="7" t="s">
        <v>240</v>
      </c>
      <c r="DP1889" s="5" t="s">
        <v>240</v>
      </c>
      <c r="DQ1889" s="5" t="s">
        <v>240</v>
      </c>
      <c r="DR1889" s="5" t="s">
        <v>731</v>
      </c>
      <c r="DS1889" s="5" t="s">
        <v>731</v>
      </c>
      <c r="DT1889" s="5" t="s">
        <v>240</v>
      </c>
      <c r="DU1889" s="5" t="s">
        <v>240</v>
      </c>
      <c r="DV1889" s="5" t="s">
        <v>3683</v>
      </c>
      <c r="DW1889" s="5" t="s">
        <v>320</v>
      </c>
      <c r="DX1889" s="5" t="s">
        <v>240</v>
      </c>
      <c r="DY1889" s="5" t="s">
        <v>240</v>
      </c>
      <c r="DZ1889" s="5" t="s">
        <v>240</v>
      </c>
      <c r="EA1889" s="5" t="s">
        <v>240</v>
      </c>
      <c r="EB1889" s="5" t="s">
        <v>240</v>
      </c>
      <c r="EC1889" s="5" t="s">
        <v>240</v>
      </c>
      <c r="ED1889" s="5" t="s">
        <v>240</v>
      </c>
      <c r="EE1889" s="5" t="s">
        <v>240</v>
      </c>
      <c r="EF1889" s="5" t="s">
        <v>240</v>
      </c>
      <c r="EG1889" s="5" t="s">
        <v>240</v>
      </c>
      <c r="EH1889" s="5" t="s">
        <v>240</v>
      </c>
      <c r="EI1889" s="5" t="s">
        <v>240</v>
      </c>
      <c r="EJ1889" s="5" t="s">
        <v>240</v>
      </c>
      <c r="EK1889" s="5" t="s">
        <v>240</v>
      </c>
      <c r="EL1889" s="5" t="s">
        <v>240</v>
      </c>
      <c r="EM1889" s="5" t="s">
        <v>240</v>
      </c>
      <c r="EN1889" s="5" t="s">
        <v>240</v>
      </c>
      <c r="EO1889" s="5" t="s">
        <v>240</v>
      </c>
      <c r="EP1889" s="5" t="s">
        <v>240</v>
      </c>
      <c r="EQ1889" s="5" t="s">
        <v>240</v>
      </c>
      <c r="ER1889" s="5" t="s">
        <v>240</v>
      </c>
      <c r="ES1889" s="5" t="s">
        <v>240</v>
      </c>
      <c r="ET1889" s="5" t="s">
        <v>240</v>
      </c>
      <c r="EU1889" s="5" t="s">
        <v>240</v>
      </c>
      <c r="EV1889" s="5" t="s">
        <v>240</v>
      </c>
      <c r="EW1889" s="5" t="s">
        <v>240</v>
      </c>
      <c r="EX1889" s="5" t="s">
        <v>240</v>
      </c>
      <c r="EY1889" s="5" t="s">
        <v>240</v>
      </c>
      <c r="EZ1889" s="5" t="s">
        <v>240</v>
      </c>
      <c r="FA1889" s="5" t="s">
        <v>240</v>
      </c>
      <c r="FB1889" s="5" t="s">
        <v>240</v>
      </c>
      <c r="FC1889" s="5" t="s">
        <v>240</v>
      </c>
      <c r="FD1889" s="5" t="s">
        <v>240</v>
      </c>
      <c r="FE1889" s="5" t="s">
        <v>240</v>
      </c>
      <c r="FF1889" s="5" t="s">
        <v>240</v>
      </c>
      <c r="FG1889" s="5" t="s">
        <v>240</v>
      </c>
      <c r="FH1889" s="5" t="s">
        <v>240</v>
      </c>
      <c r="FI1889" s="5" t="s">
        <v>240</v>
      </c>
      <c r="FJ1889" s="5" t="s">
        <v>240</v>
      </c>
      <c r="FK1889" s="5" t="s">
        <v>240</v>
      </c>
      <c r="FL1889" s="5" t="s">
        <v>240</v>
      </c>
      <c r="FM1889" s="5" t="s">
        <v>240</v>
      </c>
      <c r="FN1889" s="5" t="s">
        <v>240</v>
      </c>
      <c r="FO1889" s="5" t="s">
        <v>240</v>
      </c>
      <c r="FP1889" s="5" t="s">
        <v>240</v>
      </c>
      <c r="FQ1889" s="5" t="s">
        <v>240</v>
      </c>
      <c r="FR1889" s="5" t="s">
        <v>240</v>
      </c>
      <c r="FS1889" s="5" t="s">
        <v>240</v>
      </c>
      <c r="FT1889" s="5" t="s">
        <v>240</v>
      </c>
      <c r="FU1889" s="5" t="s">
        <v>240</v>
      </c>
      <c r="FV1889" s="5" t="s">
        <v>240</v>
      </c>
      <c r="FW1889" s="5" t="s">
        <v>240</v>
      </c>
      <c r="FX1889" s="5" t="s">
        <v>240</v>
      </c>
      <c r="FY1889" s="5" t="s">
        <v>240</v>
      </c>
      <c r="FZ1889" s="5" t="s">
        <v>240</v>
      </c>
      <c r="GA1889" s="5" t="s">
        <v>240</v>
      </c>
      <c r="GB1889" s="5" t="s">
        <v>240</v>
      </c>
      <c r="GC1889" s="5" t="s">
        <v>240</v>
      </c>
      <c r="GD1889" s="5" t="s">
        <v>240</v>
      </c>
      <c r="GE1889" s="5" t="s">
        <v>240</v>
      </c>
      <c r="GF1889" s="5" t="s">
        <v>240</v>
      </c>
      <c r="GG1889" s="5" t="s">
        <v>240</v>
      </c>
      <c r="GH1889" s="5" t="s">
        <v>240</v>
      </c>
      <c r="GI1889" s="5" t="s">
        <v>240</v>
      </c>
      <c r="GJ1889" s="5" t="s">
        <v>240</v>
      </c>
      <c r="GK1889" s="5" t="s">
        <v>240</v>
      </c>
      <c r="GL1889" s="5" t="s">
        <v>240</v>
      </c>
      <c r="GM1889" s="5" t="s">
        <v>240</v>
      </c>
      <c r="GN1889" s="5" t="s">
        <v>240</v>
      </c>
      <c r="GO1889" s="5" t="s">
        <v>240</v>
      </c>
      <c r="GP1889" s="5" t="s">
        <v>240</v>
      </c>
      <c r="GQ1889" s="5" t="s">
        <v>240</v>
      </c>
      <c r="GR1889" s="5" t="s">
        <v>240</v>
      </c>
      <c r="GS1889" s="5" t="s">
        <v>240</v>
      </c>
      <c r="GT1889" s="5" t="s">
        <v>240</v>
      </c>
      <c r="GU1889" s="5" t="s">
        <v>240</v>
      </c>
      <c r="GV1889" s="5" t="s">
        <v>240</v>
      </c>
      <c r="GW1889" s="5" t="s">
        <v>240</v>
      </c>
      <c r="GX1889" s="5" t="s">
        <v>240</v>
      </c>
      <c r="GY1889" s="5" t="s">
        <v>240</v>
      </c>
      <c r="GZ1889" s="5" t="s">
        <v>240</v>
      </c>
      <c r="HA1889" s="5" t="s">
        <v>240</v>
      </c>
      <c r="HB1889" s="5" t="s">
        <v>240</v>
      </c>
      <c r="HC1889" s="5" t="s">
        <v>240</v>
      </c>
      <c r="HD1889" s="5" t="s">
        <v>240</v>
      </c>
      <c r="HE1889" s="5" t="s">
        <v>240</v>
      </c>
      <c r="HF1889" s="5" t="s">
        <v>240</v>
      </c>
      <c r="HG1889" s="5" t="s">
        <v>240</v>
      </c>
      <c r="HH1889" s="5" t="s">
        <v>240</v>
      </c>
      <c r="HI1889" s="5" t="s">
        <v>240</v>
      </c>
      <c r="HJ1889" s="5" t="s">
        <v>240</v>
      </c>
      <c r="HK1889" s="5" t="s">
        <v>240</v>
      </c>
      <c r="HL1889" s="5" t="s">
        <v>240</v>
      </c>
      <c r="HM1889" s="5" t="s">
        <v>240</v>
      </c>
      <c r="HN1889" s="5" t="s">
        <v>240</v>
      </c>
      <c r="HO1889" s="5" t="s">
        <v>312</v>
      </c>
      <c r="HP1889" s="5" t="s">
        <v>240</v>
      </c>
      <c r="HQ1889" s="5" t="s">
        <v>240</v>
      </c>
      <c r="HR1889" s="5" t="s">
        <v>240</v>
      </c>
      <c r="HS1889" s="5" t="s">
        <v>240</v>
      </c>
      <c r="HT1889" s="5" t="s">
        <v>240</v>
      </c>
      <c r="HU1889" s="5" t="s">
        <v>240</v>
      </c>
      <c r="HV1889" s="5" t="s">
        <v>240</v>
      </c>
      <c r="HW1889" s="5" t="s">
        <v>240</v>
      </c>
      <c r="HX1889" s="5" t="s">
        <v>240</v>
      </c>
      <c r="HY1889" s="5" t="s">
        <v>240</v>
      </c>
      <c r="HZ1889" s="5" t="s">
        <v>240</v>
      </c>
      <c r="IA1889" s="5" t="s">
        <v>240</v>
      </c>
      <c r="IB1889" s="5" t="s">
        <v>240</v>
      </c>
      <c r="IC1889" s="5" t="s">
        <v>240</v>
      </c>
      <c r="ID1889" s="5" t="s">
        <v>240</v>
      </c>
      <c r="IE1889" s="5" t="s">
        <v>240</v>
      </c>
      <c r="IF1889" s="5" t="s">
        <v>240</v>
      </c>
    </row>
    <row r="1890" spans="1:240" x14ac:dyDescent="0.4">
      <c r="A1890" s="5">
        <v>3591</v>
      </c>
      <c r="B1890" s="5">
        <v>1</v>
      </c>
      <c r="C1890" s="5">
        <v>1</v>
      </c>
      <c r="D1890" s="5" t="s">
        <v>297</v>
      </c>
      <c r="E1890" s="5" t="s">
        <v>245</v>
      </c>
      <c r="F1890" s="5" t="s">
        <v>254</v>
      </c>
      <c r="G1890" s="5" t="s">
        <v>240</v>
      </c>
      <c r="H1890" s="6" t="s">
        <v>6477</v>
      </c>
      <c r="I1890" s="5" t="s">
        <v>6475</v>
      </c>
      <c r="J1890" s="8">
        <f>169.68</f>
        <v>169.68</v>
      </c>
      <c r="K1890" s="5" t="s">
        <v>308</v>
      </c>
      <c r="L1890" s="7">
        <f>339360</f>
        <v>339360</v>
      </c>
      <c r="M1890" s="7">
        <f>339360</f>
        <v>339360</v>
      </c>
      <c r="N1890" s="5" t="s">
        <v>242</v>
      </c>
      <c r="O1890" s="5">
        <v>1</v>
      </c>
      <c r="P1890" s="5" t="s">
        <v>294</v>
      </c>
      <c r="Q1890" s="5" t="s">
        <v>613</v>
      </c>
      <c r="R1890" s="5" t="s">
        <v>240</v>
      </c>
      <c r="S1890" s="5" t="s">
        <v>240</v>
      </c>
      <c r="T1890" s="5" t="s">
        <v>243</v>
      </c>
      <c r="U1890" s="5" t="s">
        <v>724</v>
      </c>
      <c r="V1890" s="5" t="s">
        <v>240</v>
      </c>
      <c r="W1890" s="5" t="s">
        <v>240</v>
      </c>
      <c r="X1890" s="5" t="s">
        <v>240</v>
      </c>
      <c r="Y1890" s="5" t="s">
        <v>240</v>
      </c>
      <c r="Z1890" s="6" t="s">
        <v>298</v>
      </c>
      <c r="AA1890" s="6" t="s">
        <v>240</v>
      </c>
      <c r="AB1890" s="6" t="s">
        <v>240</v>
      </c>
      <c r="AC1890" s="5" t="s">
        <v>240</v>
      </c>
      <c r="AD1890" s="6" t="s">
        <v>240</v>
      </c>
      <c r="AE1890" s="6" t="s">
        <v>299</v>
      </c>
      <c r="AF1890" s="5" t="s">
        <v>727</v>
      </c>
      <c r="AG1890" s="5" t="s">
        <v>260</v>
      </c>
      <c r="AH1890" s="5" t="s">
        <v>240</v>
      </c>
      <c r="AI1890" s="5" t="s">
        <v>240</v>
      </c>
      <c r="AJ1890" s="5" t="s">
        <v>240</v>
      </c>
      <c r="AK1890" s="5" t="s">
        <v>240</v>
      </c>
      <c r="AL1890" s="5" t="s">
        <v>240</v>
      </c>
      <c r="AM1890" s="5" t="s">
        <v>240</v>
      </c>
      <c r="AN1890" s="5" t="s">
        <v>240</v>
      </c>
      <c r="AO1890" s="5" t="s">
        <v>240</v>
      </c>
      <c r="AP1890" s="6" t="s">
        <v>240</v>
      </c>
      <c r="AQ1890" s="6" t="s">
        <v>240</v>
      </c>
      <c r="AR1890" s="6" t="s">
        <v>240</v>
      </c>
      <c r="AS1890" s="6" t="s">
        <v>240</v>
      </c>
      <c r="AT1890" s="5" t="s">
        <v>240</v>
      </c>
      <c r="AU1890" s="5" t="s">
        <v>729</v>
      </c>
      <c r="AV1890" s="5" t="s">
        <v>729</v>
      </c>
      <c r="AW1890" s="5" t="s">
        <v>251</v>
      </c>
      <c r="AX1890" s="5" t="s">
        <v>252</v>
      </c>
      <c r="AY1890" s="5" t="s">
        <v>253</v>
      </c>
      <c r="AZ1890" s="5" t="s">
        <v>240</v>
      </c>
      <c r="BA1890" s="5" t="s">
        <v>255</v>
      </c>
      <c r="BB1890" s="5" t="s">
        <v>731</v>
      </c>
      <c r="BD1890" s="5" t="s">
        <v>240</v>
      </c>
      <c r="BF1890" s="5" t="s">
        <v>732</v>
      </c>
      <c r="BG1890" s="6" t="s">
        <v>733</v>
      </c>
      <c r="BH1890" s="5" t="s">
        <v>734</v>
      </c>
      <c r="BI1890" s="5" t="s">
        <v>734</v>
      </c>
      <c r="BJ1890" s="5" t="s">
        <v>240</v>
      </c>
      <c r="BK1890" s="8">
        <f>4066</f>
        <v>4066</v>
      </c>
      <c r="BL1890" s="7">
        <f>0</f>
        <v>0</v>
      </c>
      <c r="BM1890" s="5" t="s">
        <v>258</v>
      </c>
      <c r="BN1890" s="5" t="s">
        <v>259</v>
      </c>
      <c r="BO1890" s="5" t="s">
        <v>240</v>
      </c>
      <c r="BP1890" s="5" t="s">
        <v>240</v>
      </c>
      <c r="BQ1890" s="5" t="s">
        <v>240</v>
      </c>
      <c r="BR1890" s="5" t="s">
        <v>240</v>
      </c>
      <c r="BS1890" s="5" t="s">
        <v>240</v>
      </c>
      <c r="BT1890" s="5" t="s">
        <v>240</v>
      </c>
      <c r="BU1890" s="5" t="s">
        <v>240</v>
      </c>
      <c r="BV1890" s="5" t="s">
        <v>240</v>
      </c>
      <c r="BW1890" s="6" t="s">
        <v>240</v>
      </c>
      <c r="BX1890" s="5" t="s">
        <v>240</v>
      </c>
      <c r="BY1890" s="5" t="s">
        <v>240</v>
      </c>
      <c r="BZ1890" s="5" t="s">
        <v>240</v>
      </c>
      <c r="CA1890" s="5" t="s">
        <v>259</v>
      </c>
      <c r="CB1890" s="5" t="s">
        <v>240</v>
      </c>
      <c r="CC1890" s="5" t="s">
        <v>240</v>
      </c>
      <c r="CD1890" s="5" t="s">
        <v>240</v>
      </c>
      <c r="CE1890" s="5" t="s">
        <v>240</v>
      </c>
      <c r="CF1890" s="5" t="s">
        <v>240</v>
      </c>
      <c r="CG1890" s="5" t="s">
        <v>617</v>
      </c>
      <c r="CH1890" s="5" t="s">
        <v>305</v>
      </c>
      <c r="CI1890" s="5" t="s">
        <v>240</v>
      </c>
      <c r="CL1890" s="6" t="s">
        <v>261</v>
      </c>
      <c r="CM1890" s="5" t="s">
        <v>262</v>
      </c>
      <c r="CN1890" s="5" t="s">
        <v>263</v>
      </c>
      <c r="CO1890" s="5" t="s">
        <v>264</v>
      </c>
      <c r="CP1890" s="5" t="s">
        <v>240</v>
      </c>
      <c r="CQ1890" s="5">
        <v>0</v>
      </c>
      <c r="CR1890" s="5" t="s">
        <v>735</v>
      </c>
      <c r="CS1890" s="5" t="s">
        <v>307</v>
      </c>
      <c r="CT1890" s="5" t="s">
        <v>307</v>
      </c>
      <c r="CU1890" s="5" t="s">
        <v>260</v>
      </c>
      <c r="CV1890" s="5" t="s">
        <v>240</v>
      </c>
      <c r="CW1890" s="8">
        <f>0</f>
        <v>0</v>
      </c>
      <c r="CX1890" s="7">
        <f>0</f>
        <v>0</v>
      </c>
      <c r="CY1890" s="7">
        <f>0</f>
        <v>0</v>
      </c>
      <c r="DA1890" s="7">
        <f>44726</f>
        <v>44726</v>
      </c>
      <c r="DB1890" s="7" t="s">
        <v>240</v>
      </c>
      <c r="DC1890" s="5" t="s">
        <v>240</v>
      </c>
      <c r="DD1890" s="5" t="s">
        <v>240</v>
      </c>
      <c r="DE1890" s="5" t="s">
        <v>240</v>
      </c>
      <c r="DF1890" s="5" t="s">
        <v>854</v>
      </c>
      <c r="DG1890" s="7">
        <f>4323</f>
        <v>4323</v>
      </c>
      <c r="DI1890" s="5" t="s">
        <v>737</v>
      </c>
      <c r="DJ1890" s="5" t="s">
        <v>240</v>
      </c>
      <c r="DK1890" s="5" t="s">
        <v>240</v>
      </c>
      <c r="DL1890" s="5" t="s">
        <v>240</v>
      </c>
      <c r="DM1890" s="5" t="s">
        <v>240</v>
      </c>
      <c r="DN1890" s="5" t="s">
        <v>240</v>
      </c>
      <c r="DO1890" s="7" t="s">
        <v>240</v>
      </c>
      <c r="DP1890" s="5" t="s">
        <v>240</v>
      </c>
      <c r="DQ1890" s="5" t="s">
        <v>240</v>
      </c>
      <c r="DR1890" s="5" t="s">
        <v>731</v>
      </c>
      <c r="DS1890" s="5" t="s">
        <v>731</v>
      </c>
      <c r="DT1890" s="5" t="s">
        <v>240</v>
      </c>
      <c r="DU1890" s="5" t="s">
        <v>240</v>
      </c>
      <c r="DV1890" s="5" t="s">
        <v>738</v>
      </c>
      <c r="DW1890" s="5" t="s">
        <v>678</v>
      </c>
      <c r="DX1890" s="5" t="s">
        <v>240</v>
      </c>
      <c r="DY1890" s="5" t="s">
        <v>240</v>
      </c>
      <c r="DZ1890" s="5" t="s">
        <v>240</v>
      </c>
      <c r="EA1890" s="5" t="s">
        <v>240</v>
      </c>
      <c r="EB1890" s="5" t="s">
        <v>240</v>
      </c>
      <c r="EC1890" s="5" t="s">
        <v>240</v>
      </c>
      <c r="ED1890" s="5" t="s">
        <v>240</v>
      </c>
      <c r="EE1890" s="5" t="s">
        <v>240</v>
      </c>
      <c r="EF1890" s="5" t="s">
        <v>240</v>
      </c>
      <c r="EG1890" s="5" t="s">
        <v>240</v>
      </c>
      <c r="EH1890" s="5" t="s">
        <v>240</v>
      </c>
      <c r="EI1890" s="5" t="s">
        <v>240</v>
      </c>
      <c r="EJ1890" s="5" t="s">
        <v>240</v>
      </c>
      <c r="EK1890" s="5" t="s">
        <v>240</v>
      </c>
      <c r="EL1890" s="5" t="s">
        <v>240</v>
      </c>
      <c r="EM1890" s="5" t="s">
        <v>240</v>
      </c>
      <c r="EN1890" s="5" t="s">
        <v>240</v>
      </c>
      <c r="EO1890" s="5" t="s">
        <v>240</v>
      </c>
      <c r="EP1890" s="5" t="s">
        <v>240</v>
      </c>
      <c r="EQ1890" s="5" t="s">
        <v>240</v>
      </c>
      <c r="ER1890" s="5" t="s">
        <v>240</v>
      </c>
      <c r="ES1890" s="5" t="s">
        <v>240</v>
      </c>
      <c r="ET1890" s="5" t="s">
        <v>240</v>
      </c>
      <c r="EU1890" s="5" t="s">
        <v>240</v>
      </c>
      <c r="EV1890" s="5" t="s">
        <v>240</v>
      </c>
      <c r="EW1890" s="5" t="s">
        <v>240</v>
      </c>
      <c r="EX1890" s="5" t="s">
        <v>240</v>
      </c>
      <c r="EY1890" s="5" t="s">
        <v>240</v>
      </c>
      <c r="EZ1890" s="5" t="s">
        <v>240</v>
      </c>
      <c r="FA1890" s="5" t="s">
        <v>240</v>
      </c>
      <c r="FB1890" s="5" t="s">
        <v>240</v>
      </c>
      <c r="FC1890" s="5" t="s">
        <v>240</v>
      </c>
      <c r="FD1890" s="5" t="s">
        <v>240</v>
      </c>
      <c r="FE1890" s="5" t="s">
        <v>240</v>
      </c>
      <c r="FF1890" s="5" t="s">
        <v>240</v>
      </c>
      <c r="FG1890" s="5" t="s">
        <v>240</v>
      </c>
      <c r="FH1890" s="5" t="s">
        <v>240</v>
      </c>
      <c r="FI1890" s="5" t="s">
        <v>240</v>
      </c>
      <c r="FJ1890" s="5" t="s">
        <v>240</v>
      </c>
      <c r="FK1890" s="5" t="s">
        <v>240</v>
      </c>
      <c r="FL1890" s="5" t="s">
        <v>240</v>
      </c>
      <c r="FM1890" s="5" t="s">
        <v>240</v>
      </c>
      <c r="FN1890" s="5" t="s">
        <v>240</v>
      </c>
      <c r="FO1890" s="5" t="s">
        <v>240</v>
      </c>
      <c r="FP1890" s="5" t="s">
        <v>240</v>
      </c>
      <c r="FQ1890" s="5" t="s">
        <v>240</v>
      </c>
      <c r="FR1890" s="5" t="s">
        <v>240</v>
      </c>
      <c r="FS1890" s="5" t="s">
        <v>240</v>
      </c>
      <c r="FT1890" s="5" t="s">
        <v>240</v>
      </c>
      <c r="FU1890" s="5" t="s">
        <v>240</v>
      </c>
      <c r="FV1890" s="5" t="s">
        <v>240</v>
      </c>
      <c r="FW1890" s="5" t="s">
        <v>240</v>
      </c>
      <c r="FX1890" s="5" t="s">
        <v>240</v>
      </c>
      <c r="FY1890" s="5" t="s">
        <v>240</v>
      </c>
      <c r="FZ1890" s="5" t="s">
        <v>240</v>
      </c>
      <c r="GA1890" s="5" t="s">
        <v>240</v>
      </c>
      <c r="GB1890" s="5" t="s">
        <v>240</v>
      </c>
      <c r="GC1890" s="5" t="s">
        <v>240</v>
      </c>
      <c r="GD1890" s="5" t="s">
        <v>240</v>
      </c>
      <c r="GE1890" s="5" t="s">
        <v>240</v>
      </c>
      <c r="GF1890" s="5" t="s">
        <v>240</v>
      </c>
      <c r="GG1890" s="5" t="s">
        <v>240</v>
      </c>
      <c r="GH1890" s="5" t="s">
        <v>240</v>
      </c>
      <c r="GI1890" s="5" t="s">
        <v>240</v>
      </c>
      <c r="GJ1890" s="5" t="s">
        <v>240</v>
      </c>
      <c r="GK1890" s="5" t="s">
        <v>240</v>
      </c>
      <c r="GL1890" s="5" t="s">
        <v>240</v>
      </c>
      <c r="GM1890" s="5" t="s">
        <v>240</v>
      </c>
      <c r="GN1890" s="5" t="s">
        <v>240</v>
      </c>
      <c r="GO1890" s="5" t="s">
        <v>240</v>
      </c>
      <c r="GP1890" s="5" t="s">
        <v>240</v>
      </c>
      <c r="GQ1890" s="5" t="s">
        <v>240</v>
      </c>
      <c r="GR1890" s="5" t="s">
        <v>240</v>
      </c>
      <c r="GS1890" s="5" t="s">
        <v>240</v>
      </c>
      <c r="GT1890" s="5" t="s">
        <v>240</v>
      </c>
      <c r="GU1890" s="5" t="s">
        <v>240</v>
      </c>
      <c r="GV1890" s="5" t="s">
        <v>240</v>
      </c>
      <c r="GW1890" s="5" t="s">
        <v>240</v>
      </c>
      <c r="GX1890" s="5" t="s">
        <v>240</v>
      </c>
      <c r="GY1890" s="5" t="s">
        <v>240</v>
      </c>
      <c r="GZ1890" s="5" t="s">
        <v>240</v>
      </c>
      <c r="HA1890" s="5" t="s">
        <v>240</v>
      </c>
      <c r="HB1890" s="5" t="s">
        <v>240</v>
      </c>
      <c r="HC1890" s="5" t="s">
        <v>240</v>
      </c>
      <c r="HD1890" s="5" t="s">
        <v>240</v>
      </c>
      <c r="HE1890" s="5" t="s">
        <v>240</v>
      </c>
      <c r="HF1890" s="5" t="s">
        <v>240</v>
      </c>
      <c r="HG1890" s="5" t="s">
        <v>240</v>
      </c>
      <c r="HH1890" s="5" t="s">
        <v>240</v>
      </c>
      <c r="HI1890" s="5" t="s">
        <v>240</v>
      </c>
      <c r="HJ1890" s="5" t="s">
        <v>240</v>
      </c>
      <c r="HK1890" s="5" t="s">
        <v>240</v>
      </c>
      <c r="HL1890" s="5" t="s">
        <v>240</v>
      </c>
      <c r="HM1890" s="5" t="s">
        <v>240</v>
      </c>
      <c r="HN1890" s="5" t="s">
        <v>240</v>
      </c>
      <c r="HO1890" s="5" t="s">
        <v>312</v>
      </c>
      <c r="HP1890" s="5" t="s">
        <v>240</v>
      </c>
      <c r="HQ1890" s="5" t="s">
        <v>240</v>
      </c>
      <c r="HR1890" s="5" t="s">
        <v>240</v>
      </c>
      <c r="HS1890" s="5" t="s">
        <v>240</v>
      </c>
      <c r="HT1890" s="5" t="s">
        <v>240</v>
      </c>
      <c r="HU1890" s="5" t="s">
        <v>240</v>
      </c>
      <c r="HV1890" s="5" t="s">
        <v>240</v>
      </c>
      <c r="HW1890" s="5" t="s">
        <v>240</v>
      </c>
      <c r="HX1890" s="5" t="s">
        <v>240</v>
      </c>
      <c r="HY1890" s="5" t="s">
        <v>240</v>
      </c>
      <c r="HZ1890" s="5" t="s">
        <v>240</v>
      </c>
      <c r="IA1890" s="5" t="s">
        <v>240</v>
      </c>
      <c r="IB1890" s="5" t="s">
        <v>240</v>
      </c>
      <c r="IC1890" s="5" t="s">
        <v>240</v>
      </c>
      <c r="ID1890" s="5" t="s">
        <v>240</v>
      </c>
      <c r="IE1890" s="5" t="s">
        <v>240</v>
      </c>
      <c r="IF1890" s="5" t="s">
        <v>240</v>
      </c>
    </row>
    <row r="1891" spans="1:240" x14ac:dyDescent="0.4">
      <c r="A1891" s="5">
        <v>3592</v>
      </c>
      <c r="B1891" s="5">
        <v>1</v>
      </c>
      <c r="C1891" s="5">
        <v>1</v>
      </c>
      <c r="D1891" s="5" t="s">
        <v>297</v>
      </c>
      <c r="E1891" s="5" t="s">
        <v>245</v>
      </c>
      <c r="F1891" s="5" t="s">
        <v>254</v>
      </c>
      <c r="G1891" s="5" t="s">
        <v>240</v>
      </c>
      <c r="H1891" s="6" t="s">
        <v>6483</v>
      </c>
      <c r="I1891" s="5" t="s">
        <v>6481</v>
      </c>
      <c r="J1891" s="8">
        <f>366.94</f>
        <v>366.94</v>
      </c>
      <c r="K1891" s="5" t="s">
        <v>308</v>
      </c>
      <c r="L1891" s="7">
        <f>1651230</f>
        <v>1651230</v>
      </c>
      <c r="M1891" s="7">
        <f>1651230</f>
        <v>1651230</v>
      </c>
      <c r="N1891" s="5" t="s">
        <v>242</v>
      </c>
      <c r="O1891" s="5">
        <v>1</v>
      </c>
      <c r="P1891" s="5" t="s">
        <v>294</v>
      </c>
      <c r="Q1891" s="5" t="s">
        <v>266</v>
      </c>
      <c r="R1891" s="5" t="s">
        <v>240</v>
      </c>
      <c r="S1891" s="5" t="s">
        <v>240</v>
      </c>
      <c r="T1891" s="5" t="s">
        <v>296</v>
      </c>
      <c r="U1891" s="5" t="s">
        <v>244</v>
      </c>
      <c r="V1891" s="5" t="s">
        <v>240</v>
      </c>
      <c r="Y1891" s="5" t="s">
        <v>240</v>
      </c>
      <c r="Z1891" s="6" t="s">
        <v>298</v>
      </c>
      <c r="AB1891" s="6" t="s">
        <v>240</v>
      </c>
      <c r="AE1891" s="6" t="s">
        <v>299</v>
      </c>
      <c r="AF1891" s="5" t="s">
        <v>248</v>
      </c>
      <c r="AG1891" s="5" t="s">
        <v>249</v>
      </c>
      <c r="AW1891" s="5" t="s">
        <v>251</v>
      </c>
      <c r="AX1891" s="5" t="s">
        <v>240</v>
      </c>
      <c r="AY1891" s="5" t="s">
        <v>253</v>
      </c>
      <c r="AZ1891" s="5" t="s">
        <v>240</v>
      </c>
      <c r="BA1891" s="5" t="s">
        <v>255</v>
      </c>
      <c r="BB1891" s="5" t="s">
        <v>240</v>
      </c>
      <c r="BD1891" s="5" t="s">
        <v>240</v>
      </c>
      <c r="BF1891" s="5" t="s">
        <v>301</v>
      </c>
      <c r="BG1891" s="6" t="s">
        <v>299</v>
      </c>
      <c r="BH1891" s="5" t="s">
        <v>302</v>
      </c>
      <c r="BI1891" s="5" t="s">
        <v>303</v>
      </c>
      <c r="BJ1891" s="5" t="s">
        <v>240</v>
      </c>
      <c r="BK1891" s="8">
        <f>0</f>
        <v>0</v>
      </c>
      <c r="BL1891" s="7">
        <f>0</f>
        <v>0</v>
      </c>
      <c r="BM1891" s="5" t="s">
        <v>258</v>
      </c>
      <c r="BN1891" s="5" t="s">
        <v>259</v>
      </c>
      <c r="CB1891" s="5" t="s">
        <v>240</v>
      </c>
      <c r="CC1891" s="5" t="s">
        <v>240</v>
      </c>
      <c r="CG1891" s="5" t="s">
        <v>304</v>
      </c>
      <c r="CH1891" s="5" t="s">
        <v>305</v>
      </c>
      <c r="CI1891" s="5" t="s">
        <v>240</v>
      </c>
      <c r="CL1891" s="6" t="s">
        <v>261</v>
      </c>
      <c r="CM1891" s="5" t="s">
        <v>240</v>
      </c>
      <c r="CN1891" s="5" t="s">
        <v>263</v>
      </c>
      <c r="CO1891" s="5" t="s">
        <v>240</v>
      </c>
      <c r="CP1891" s="5" t="s">
        <v>240</v>
      </c>
      <c r="CQ1891" s="5">
        <v>0</v>
      </c>
      <c r="CR1891" s="5" t="s">
        <v>306</v>
      </c>
      <c r="CS1891" s="5" t="s">
        <v>307</v>
      </c>
      <c r="CT1891" s="5" t="s">
        <v>307</v>
      </c>
      <c r="CU1891" s="5" t="s">
        <v>260</v>
      </c>
      <c r="CX1891" s="7">
        <f>1</f>
        <v>1</v>
      </c>
      <c r="CY1891" s="7">
        <f>0</f>
        <v>0</v>
      </c>
      <c r="DA1891" s="7">
        <f>0</f>
        <v>0</v>
      </c>
      <c r="DC1891" s="5" t="s">
        <v>309</v>
      </c>
      <c r="DD1891" s="5" t="s">
        <v>240</v>
      </c>
      <c r="DF1891" s="5" t="s">
        <v>309</v>
      </c>
      <c r="DG1891" s="7">
        <f>1448</f>
        <v>1448</v>
      </c>
      <c r="DI1891" s="5" t="s">
        <v>240</v>
      </c>
      <c r="DJ1891" s="5" t="s">
        <v>240</v>
      </c>
      <c r="DK1891" s="5" t="s">
        <v>240</v>
      </c>
      <c r="DL1891" s="5" t="s">
        <v>240</v>
      </c>
      <c r="DP1891" s="5" t="s">
        <v>240</v>
      </c>
      <c r="DQ1891" s="5" t="s">
        <v>240</v>
      </c>
      <c r="DR1891" s="5" t="s">
        <v>240</v>
      </c>
      <c r="DS1891" s="5" t="s">
        <v>240</v>
      </c>
      <c r="DV1891" s="5" t="s">
        <v>310</v>
      </c>
      <c r="DW1891" s="5" t="s">
        <v>3502</v>
      </c>
      <c r="HO1891" s="5" t="s">
        <v>312</v>
      </c>
    </row>
    <row r="1892" spans="1:240" x14ac:dyDescent="0.4">
      <c r="A1892" s="5">
        <v>3593</v>
      </c>
      <c r="B1892" s="5">
        <v>1</v>
      </c>
      <c r="C1892" s="5">
        <v>1</v>
      </c>
      <c r="D1892" s="5" t="s">
        <v>297</v>
      </c>
      <c r="E1892" s="5" t="s">
        <v>245</v>
      </c>
      <c r="F1892" s="5" t="s">
        <v>254</v>
      </c>
      <c r="G1892" s="5" t="s">
        <v>240</v>
      </c>
      <c r="H1892" s="6" t="s">
        <v>6487</v>
      </c>
      <c r="I1892" s="5" t="s">
        <v>6486</v>
      </c>
      <c r="J1892" s="8">
        <f>138.74</f>
        <v>138.74</v>
      </c>
      <c r="K1892" s="5" t="s">
        <v>308</v>
      </c>
      <c r="L1892" s="7">
        <f>334286</f>
        <v>334286</v>
      </c>
      <c r="M1892" s="7">
        <f>334286</f>
        <v>334286</v>
      </c>
      <c r="N1892" s="5" t="s">
        <v>242</v>
      </c>
      <c r="O1892" s="5">
        <v>1</v>
      </c>
      <c r="P1892" s="5" t="s">
        <v>294</v>
      </c>
      <c r="Q1892" s="5" t="s">
        <v>266</v>
      </c>
      <c r="R1892" s="5" t="s">
        <v>240</v>
      </c>
      <c r="S1892" s="5" t="s">
        <v>240</v>
      </c>
      <c r="T1892" s="5" t="s">
        <v>296</v>
      </c>
      <c r="U1892" s="5" t="s">
        <v>244</v>
      </c>
      <c r="V1892" s="5" t="s">
        <v>240</v>
      </c>
      <c r="Y1892" s="5" t="s">
        <v>240</v>
      </c>
      <c r="Z1892" s="6" t="s">
        <v>298</v>
      </c>
      <c r="AB1892" s="6" t="s">
        <v>240</v>
      </c>
      <c r="AE1892" s="6" t="s">
        <v>299</v>
      </c>
      <c r="AF1892" s="5" t="s">
        <v>248</v>
      </c>
      <c r="AG1892" s="5" t="s">
        <v>249</v>
      </c>
      <c r="AW1892" s="5" t="s">
        <v>251</v>
      </c>
      <c r="AX1892" s="5" t="s">
        <v>240</v>
      </c>
      <c r="AY1892" s="5" t="s">
        <v>253</v>
      </c>
      <c r="AZ1892" s="5" t="s">
        <v>240</v>
      </c>
      <c r="BA1892" s="5" t="s">
        <v>255</v>
      </c>
      <c r="BB1892" s="5" t="s">
        <v>240</v>
      </c>
      <c r="BD1892" s="5" t="s">
        <v>240</v>
      </c>
      <c r="BF1892" s="5" t="s">
        <v>301</v>
      </c>
      <c r="BG1892" s="6" t="s">
        <v>299</v>
      </c>
      <c r="BH1892" s="5" t="s">
        <v>302</v>
      </c>
      <c r="BI1892" s="5" t="s">
        <v>303</v>
      </c>
      <c r="BJ1892" s="5" t="s">
        <v>240</v>
      </c>
      <c r="BK1892" s="8">
        <f>0</f>
        <v>0</v>
      </c>
      <c r="BL1892" s="7">
        <f>0</f>
        <v>0</v>
      </c>
      <c r="BM1892" s="5" t="s">
        <v>258</v>
      </c>
      <c r="BN1892" s="5" t="s">
        <v>259</v>
      </c>
      <c r="CB1892" s="5" t="s">
        <v>240</v>
      </c>
      <c r="CC1892" s="5" t="s">
        <v>240</v>
      </c>
      <c r="CG1892" s="5" t="s">
        <v>304</v>
      </c>
      <c r="CH1892" s="5" t="s">
        <v>305</v>
      </c>
      <c r="CI1892" s="5" t="s">
        <v>240</v>
      </c>
      <c r="CL1892" s="6" t="s">
        <v>261</v>
      </c>
      <c r="CM1892" s="5" t="s">
        <v>240</v>
      </c>
      <c r="CN1892" s="5" t="s">
        <v>263</v>
      </c>
      <c r="CO1892" s="5" t="s">
        <v>240</v>
      </c>
      <c r="CP1892" s="5" t="s">
        <v>240</v>
      </c>
      <c r="CQ1892" s="5">
        <v>0</v>
      </c>
      <c r="CR1892" s="5" t="s">
        <v>306</v>
      </c>
      <c r="CS1892" s="5" t="s">
        <v>307</v>
      </c>
      <c r="CT1892" s="5" t="s">
        <v>307</v>
      </c>
      <c r="CU1892" s="5" t="s">
        <v>260</v>
      </c>
      <c r="CX1892" s="7">
        <f>1</f>
        <v>1</v>
      </c>
      <c r="CY1892" s="7">
        <f>0</f>
        <v>0</v>
      </c>
      <c r="DA1892" s="7">
        <f>0</f>
        <v>0</v>
      </c>
      <c r="DC1892" s="5" t="s">
        <v>309</v>
      </c>
      <c r="DD1892" s="5" t="s">
        <v>240</v>
      </c>
      <c r="DF1892" s="5" t="s">
        <v>309</v>
      </c>
      <c r="DG1892" s="7">
        <f>899</f>
        <v>899</v>
      </c>
      <c r="DI1892" s="5" t="s">
        <v>240</v>
      </c>
      <c r="DJ1892" s="5" t="s">
        <v>240</v>
      </c>
      <c r="DK1892" s="5" t="s">
        <v>240</v>
      </c>
      <c r="DL1892" s="5" t="s">
        <v>240</v>
      </c>
      <c r="DP1892" s="5" t="s">
        <v>240</v>
      </c>
      <c r="DQ1892" s="5" t="s">
        <v>240</v>
      </c>
      <c r="DR1892" s="5" t="s">
        <v>240</v>
      </c>
      <c r="DS1892" s="5" t="s">
        <v>240</v>
      </c>
      <c r="DV1892" s="5" t="s">
        <v>310</v>
      </c>
      <c r="DW1892" s="5" t="s">
        <v>3506</v>
      </c>
      <c r="HO1892" s="5" t="s">
        <v>312</v>
      </c>
    </row>
    <row r="1893" spans="1:240" x14ac:dyDescent="0.4">
      <c r="A1893" s="5">
        <v>3594</v>
      </c>
      <c r="B1893" s="5">
        <v>1</v>
      </c>
      <c r="C1893" s="5">
        <v>1</v>
      </c>
      <c r="D1893" s="5" t="s">
        <v>297</v>
      </c>
      <c r="E1893" s="5" t="s">
        <v>245</v>
      </c>
      <c r="F1893" s="5" t="s">
        <v>254</v>
      </c>
      <c r="G1893" s="5" t="s">
        <v>240</v>
      </c>
      <c r="H1893" s="6" t="s">
        <v>6487</v>
      </c>
      <c r="I1893" s="5" t="s">
        <v>6491</v>
      </c>
      <c r="J1893" s="8">
        <f>0</f>
        <v>0</v>
      </c>
      <c r="K1893" s="5" t="s">
        <v>308</v>
      </c>
      <c r="L1893" s="7">
        <f>1711157</f>
        <v>1711157</v>
      </c>
      <c r="M1893" s="7">
        <f>1711157</f>
        <v>1711157</v>
      </c>
      <c r="N1893" s="5" t="s">
        <v>242</v>
      </c>
      <c r="O1893" s="5">
        <v>1</v>
      </c>
      <c r="P1893" s="5" t="s">
        <v>294</v>
      </c>
      <c r="Q1893" s="5" t="s">
        <v>613</v>
      </c>
      <c r="R1893" s="5" t="s">
        <v>240</v>
      </c>
      <c r="S1893" s="5" t="s">
        <v>240</v>
      </c>
      <c r="T1893" s="5" t="s">
        <v>243</v>
      </c>
      <c r="U1893" s="5" t="s">
        <v>724</v>
      </c>
      <c r="V1893" s="5" t="s">
        <v>240</v>
      </c>
      <c r="W1893" s="5" t="s">
        <v>240</v>
      </c>
      <c r="X1893" s="5" t="s">
        <v>240</v>
      </c>
      <c r="Y1893" s="5" t="s">
        <v>240</v>
      </c>
      <c r="Z1893" s="6" t="s">
        <v>298</v>
      </c>
      <c r="AA1893" s="6" t="s">
        <v>240</v>
      </c>
      <c r="AB1893" s="6" t="s">
        <v>240</v>
      </c>
      <c r="AC1893" s="5" t="s">
        <v>240</v>
      </c>
      <c r="AD1893" s="6" t="s">
        <v>240</v>
      </c>
      <c r="AE1893" s="6" t="s">
        <v>299</v>
      </c>
      <c r="AF1893" s="5" t="s">
        <v>727</v>
      </c>
      <c r="AG1893" s="5" t="s">
        <v>260</v>
      </c>
      <c r="AH1893" s="5" t="s">
        <v>240</v>
      </c>
      <c r="AI1893" s="5" t="s">
        <v>240</v>
      </c>
      <c r="AJ1893" s="5" t="s">
        <v>240</v>
      </c>
      <c r="AK1893" s="5" t="s">
        <v>240</v>
      </c>
      <c r="AL1893" s="5" t="s">
        <v>240</v>
      </c>
      <c r="AM1893" s="5" t="s">
        <v>240</v>
      </c>
      <c r="AN1893" s="5" t="s">
        <v>240</v>
      </c>
      <c r="AO1893" s="5" t="s">
        <v>240</v>
      </c>
      <c r="AP1893" s="6" t="s">
        <v>240</v>
      </c>
      <c r="AQ1893" s="6" t="s">
        <v>240</v>
      </c>
      <c r="AR1893" s="6" t="s">
        <v>240</v>
      </c>
      <c r="AS1893" s="6" t="s">
        <v>240</v>
      </c>
      <c r="AT1893" s="5" t="s">
        <v>240</v>
      </c>
      <c r="AU1893" s="5" t="s">
        <v>729</v>
      </c>
      <c r="AV1893" s="5" t="s">
        <v>729</v>
      </c>
      <c r="AW1893" s="5" t="s">
        <v>251</v>
      </c>
      <c r="AX1893" s="5" t="s">
        <v>252</v>
      </c>
      <c r="AY1893" s="5" t="s">
        <v>253</v>
      </c>
      <c r="AZ1893" s="5" t="s">
        <v>240</v>
      </c>
      <c r="BA1893" s="5" t="s">
        <v>255</v>
      </c>
      <c r="BB1893" s="5" t="s">
        <v>731</v>
      </c>
      <c r="BD1893" s="5" t="s">
        <v>240</v>
      </c>
      <c r="BF1893" s="5" t="s">
        <v>732</v>
      </c>
      <c r="BG1893" s="6" t="s">
        <v>733</v>
      </c>
      <c r="BH1893" s="5" t="s">
        <v>734</v>
      </c>
      <c r="BI1893" s="5" t="s">
        <v>734</v>
      </c>
      <c r="BJ1893" s="5" t="s">
        <v>240</v>
      </c>
      <c r="BK1893" s="8">
        <f>859.5</f>
        <v>859.5</v>
      </c>
      <c r="BL1893" s="7">
        <f>0</f>
        <v>0</v>
      </c>
      <c r="BM1893" s="5" t="s">
        <v>258</v>
      </c>
      <c r="BN1893" s="5" t="s">
        <v>259</v>
      </c>
      <c r="BO1893" s="5" t="s">
        <v>240</v>
      </c>
      <c r="BP1893" s="5" t="s">
        <v>240</v>
      </c>
      <c r="BQ1893" s="5" t="s">
        <v>240</v>
      </c>
      <c r="BR1893" s="5" t="s">
        <v>240</v>
      </c>
      <c r="BS1893" s="5" t="s">
        <v>240</v>
      </c>
      <c r="BT1893" s="5" t="s">
        <v>240</v>
      </c>
      <c r="BU1893" s="5" t="s">
        <v>240</v>
      </c>
      <c r="BV1893" s="5" t="s">
        <v>240</v>
      </c>
      <c r="BW1893" s="6" t="s">
        <v>240</v>
      </c>
      <c r="BX1893" s="5" t="s">
        <v>240</v>
      </c>
      <c r="BY1893" s="5" t="s">
        <v>240</v>
      </c>
      <c r="BZ1893" s="5" t="s">
        <v>240</v>
      </c>
      <c r="CA1893" s="5" t="s">
        <v>259</v>
      </c>
      <c r="CB1893" s="5" t="s">
        <v>240</v>
      </c>
      <c r="CC1893" s="5" t="s">
        <v>240</v>
      </c>
      <c r="CD1893" s="5" t="s">
        <v>240</v>
      </c>
      <c r="CE1893" s="5" t="s">
        <v>240</v>
      </c>
      <c r="CF1893" s="5" t="s">
        <v>240</v>
      </c>
      <c r="CG1893" s="5" t="s">
        <v>617</v>
      </c>
      <c r="CH1893" s="5" t="s">
        <v>305</v>
      </c>
      <c r="CI1893" s="5" t="s">
        <v>240</v>
      </c>
      <c r="CL1893" s="6" t="s">
        <v>261</v>
      </c>
      <c r="CM1893" s="5" t="s">
        <v>262</v>
      </c>
      <c r="CN1893" s="5" t="s">
        <v>263</v>
      </c>
      <c r="CO1893" s="5" t="s">
        <v>264</v>
      </c>
      <c r="CP1893" s="5" t="s">
        <v>240</v>
      </c>
      <c r="CQ1893" s="5">
        <v>0</v>
      </c>
      <c r="CR1893" s="5" t="s">
        <v>735</v>
      </c>
      <c r="CS1893" s="5" t="s">
        <v>307</v>
      </c>
      <c r="CT1893" s="5" t="s">
        <v>307</v>
      </c>
      <c r="CU1893" s="5" t="s">
        <v>260</v>
      </c>
      <c r="CV1893" s="5" t="s">
        <v>240</v>
      </c>
      <c r="CW1893" s="8">
        <f>0</f>
        <v>0</v>
      </c>
      <c r="CX1893" s="7">
        <f>0</f>
        <v>0</v>
      </c>
      <c r="CY1893" s="7">
        <f>0</f>
        <v>0</v>
      </c>
      <c r="DA1893" s="7">
        <f>9454</f>
        <v>9454</v>
      </c>
      <c r="DB1893" s="7" t="s">
        <v>240</v>
      </c>
      <c r="DC1893" s="5" t="s">
        <v>240</v>
      </c>
      <c r="DD1893" s="5" t="s">
        <v>240</v>
      </c>
      <c r="DE1893" s="5" t="s">
        <v>240</v>
      </c>
      <c r="DF1893" s="5" t="s">
        <v>450</v>
      </c>
      <c r="DG1893" s="7">
        <f>0</f>
        <v>0</v>
      </c>
      <c r="DI1893" s="5" t="s">
        <v>737</v>
      </c>
      <c r="DJ1893" s="5" t="s">
        <v>240</v>
      </c>
      <c r="DK1893" s="5" t="s">
        <v>240</v>
      </c>
      <c r="DL1893" s="5" t="s">
        <v>240</v>
      </c>
      <c r="DM1893" s="5" t="s">
        <v>240</v>
      </c>
      <c r="DN1893" s="5" t="s">
        <v>240</v>
      </c>
      <c r="DO1893" s="7" t="s">
        <v>240</v>
      </c>
      <c r="DP1893" s="5" t="s">
        <v>240</v>
      </c>
      <c r="DQ1893" s="5" t="s">
        <v>240</v>
      </c>
      <c r="DR1893" s="5" t="s">
        <v>731</v>
      </c>
      <c r="DS1893" s="5" t="s">
        <v>731</v>
      </c>
      <c r="DT1893" s="5" t="s">
        <v>240</v>
      </c>
      <c r="DU1893" s="5" t="s">
        <v>240</v>
      </c>
      <c r="DV1893" s="5" t="s">
        <v>738</v>
      </c>
      <c r="DW1893" s="5" t="s">
        <v>560</v>
      </c>
      <c r="DX1893" s="5" t="s">
        <v>240</v>
      </c>
      <c r="DY1893" s="5" t="s">
        <v>240</v>
      </c>
      <c r="DZ1893" s="5" t="s">
        <v>240</v>
      </c>
      <c r="EA1893" s="5" t="s">
        <v>240</v>
      </c>
      <c r="EB1893" s="5" t="s">
        <v>240</v>
      </c>
      <c r="EC1893" s="5" t="s">
        <v>240</v>
      </c>
      <c r="ED1893" s="5" t="s">
        <v>240</v>
      </c>
      <c r="EE1893" s="5" t="s">
        <v>240</v>
      </c>
      <c r="EF1893" s="5" t="s">
        <v>240</v>
      </c>
      <c r="EG1893" s="5" t="s">
        <v>240</v>
      </c>
      <c r="EH1893" s="5" t="s">
        <v>240</v>
      </c>
      <c r="EI1893" s="5" t="s">
        <v>240</v>
      </c>
      <c r="EJ1893" s="5" t="s">
        <v>240</v>
      </c>
      <c r="EK1893" s="5" t="s">
        <v>240</v>
      </c>
      <c r="EL1893" s="5" t="s">
        <v>240</v>
      </c>
      <c r="EM1893" s="5" t="s">
        <v>240</v>
      </c>
      <c r="EN1893" s="5" t="s">
        <v>240</v>
      </c>
      <c r="EO1893" s="5" t="s">
        <v>240</v>
      </c>
      <c r="EP1893" s="5" t="s">
        <v>240</v>
      </c>
      <c r="EQ1893" s="5" t="s">
        <v>240</v>
      </c>
      <c r="ER1893" s="5" t="s">
        <v>240</v>
      </c>
      <c r="ES1893" s="5" t="s">
        <v>240</v>
      </c>
      <c r="ET1893" s="5" t="s">
        <v>240</v>
      </c>
      <c r="EU1893" s="5" t="s">
        <v>240</v>
      </c>
      <c r="EV1893" s="5" t="s">
        <v>240</v>
      </c>
      <c r="EW1893" s="5" t="s">
        <v>240</v>
      </c>
      <c r="EX1893" s="5" t="s">
        <v>240</v>
      </c>
      <c r="EY1893" s="5" t="s">
        <v>240</v>
      </c>
      <c r="EZ1893" s="5" t="s">
        <v>240</v>
      </c>
      <c r="FA1893" s="5" t="s">
        <v>240</v>
      </c>
      <c r="FB1893" s="5" t="s">
        <v>240</v>
      </c>
      <c r="FC1893" s="5" t="s">
        <v>240</v>
      </c>
      <c r="FD1893" s="5" t="s">
        <v>240</v>
      </c>
      <c r="FE1893" s="5" t="s">
        <v>240</v>
      </c>
      <c r="FF1893" s="5" t="s">
        <v>240</v>
      </c>
      <c r="FG1893" s="5" t="s">
        <v>240</v>
      </c>
      <c r="FH1893" s="5" t="s">
        <v>240</v>
      </c>
      <c r="FI1893" s="5" t="s">
        <v>240</v>
      </c>
      <c r="FJ1893" s="5" t="s">
        <v>240</v>
      </c>
      <c r="FK1893" s="5" t="s">
        <v>240</v>
      </c>
      <c r="FL1893" s="5" t="s">
        <v>240</v>
      </c>
      <c r="FM1893" s="5" t="s">
        <v>240</v>
      </c>
      <c r="FN1893" s="5" t="s">
        <v>240</v>
      </c>
      <c r="FO1893" s="5" t="s">
        <v>240</v>
      </c>
      <c r="FP1893" s="5" t="s">
        <v>240</v>
      </c>
      <c r="FQ1893" s="5" t="s">
        <v>240</v>
      </c>
      <c r="FR1893" s="5" t="s">
        <v>240</v>
      </c>
      <c r="FS1893" s="5" t="s">
        <v>240</v>
      </c>
      <c r="FT1893" s="5" t="s">
        <v>240</v>
      </c>
      <c r="FU1893" s="5" t="s">
        <v>240</v>
      </c>
      <c r="FV1893" s="5" t="s">
        <v>240</v>
      </c>
      <c r="FW1893" s="5" t="s">
        <v>240</v>
      </c>
      <c r="FX1893" s="5" t="s">
        <v>240</v>
      </c>
      <c r="FY1893" s="5" t="s">
        <v>240</v>
      </c>
      <c r="FZ1893" s="5" t="s">
        <v>240</v>
      </c>
      <c r="GA1893" s="5" t="s">
        <v>240</v>
      </c>
      <c r="GB1893" s="5" t="s">
        <v>240</v>
      </c>
      <c r="GC1893" s="5" t="s">
        <v>240</v>
      </c>
      <c r="GD1893" s="5" t="s">
        <v>240</v>
      </c>
      <c r="GE1893" s="5" t="s">
        <v>240</v>
      </c>
      <c r="GF1893" s="5" t="s">
        <v>240</v>
      </c>
      <c r="GG1893" s="5" t="s">
        <v>240</v>
      </c>
      <c r="GH1893" s="5" t="s">
        <v>240</v>
      </c>
      <c r="GI1893" s="5" t="s">
        <v>240</v>
      </c>
      <c r="GJ1893" s="5" t="s">
        <v>240</v>
      </c>
      <c r="GK1893" s="5" t="s">
        <v>240</v>
      </c>
      <c r="GL1893" s="5" t="s">
        <v>240</v>
      </c>
      <c r="GM1893" s="5" t="s">
        <v>240</v>
      </c>
      <c r="GN1893" s="5" t="s">
        <v>240</v>
      </c>
      <c r="GO1893" s="5" t="s">
        <v>240</v>
      </c>
      <c r="GP1893" s="5" t="s">
        <v>240</v>
      </c>
      <c r="GQ1893" s="5" t="s">
        <v>240</v>
      </c>
      <c r="GR1893" s="5" t="s">
        <v>240</v>
      </c>
      <c r="GS1893" s="5" t="s">
        <v>240</v>
      </c>
      <c r="GT1893" s="5" t="s">
        <v>240</v>
      </c>
      <c r="GU1893" s="5" t="s">
        <v>240</v>
      </c>
      <c r="GV1893" s="5" t="s">
        <v>240</v>
      </c>
      <c r="GW1893" s="5" t="s">
        <v>240</v>
      </c>
      <c r="GX1893" s="5" t="s">
        <v>240</v>
      </c>
      <c r="GY1893" s="5" t="s">
        <v>240</v>
      </c>
      <c r="GZ1893" s="5" t="s">
        <v>240</v>
      </c>
      <c r="HA1893" s="5" t="s">
        <v>240</v>
      </c>
      <c r="HB1893" s="5" t="s">
        <v>240</v>
      </c>
      <c r="HC1893" s="5" t="s">
        <v>240</v>
      </c>
      <c r="HD1893" s="5" t="s">
        <v>240</v>
      </c>
      <c r="HE1893" s="5" t="s">
        <v>240</v>
      </c>
      <c r="HF1893" s="5" t="s">
        <v>240</v>
      </c>
      <c r="HG1893" s="5" t="s">
        <v>240</v>
      </c>
      <c r="HH1893" s="5" t="s">
        <v>240</v>
      </c>
      <c r="HI1893" s="5" t="s">
        <v>240</v>
      </c>
      <c r="HJ1893" s="5" t="s">
        <v>240</v>
      </c>
      <c r="HK1893" s="5" t="s">
        <v>240</v>
      </c>
      <c r="HL1893" s="5" t="s">
        <v>240</v>
      </c>
      <c r="HM1893" s="5" t="s">
        <v>240</v>
      </c>
      <c r="HN1893" s="5" t="s">
        <v>240</v>
      </c>
      <c r="HO1893" s="5" t="s">
        <v>620</v>
      </c>
      <c r="HP1893" s="5" t="s">
        <v>240</v>
      </c>
      <c r="HQ1893" s="5" t="s">
        <v>240</v>
      </c>
      <c r="HR1893" s="5" t="s">
        <v>240</v>
      </c>
      <c r="HS1893" s="5" t="s">
        <v>240</v>
      </c>
      <c r="HT1893" s="5" t="s">
        <v>240</v>
      </c>
      <c r="HU1893" s="5" t="s">
        <v>240</v>
      </c>
      <c r="HV1893" s="5" t="s">
        <v>240</v>
      </c>
      <c r="HW1893" s="5" t="s">
        <v>240</v>
      </c>
      <c r="HX1893" s="5" t="s">
        <v>240</v>
      </c>
      <c r="HY1893" s="5" t="s">
        <v>240</v>
      </c>
      <c r="HZ1893" s="5" t="s">
        <v>240</v>
      </c>
      <c r="IA1893" s="5" t="s">
        <v>240</v>
      </c>
      <c r="IB1893" s="5" t="s">
        <v>240</v>
      </c>
      <c r="IC1893" s="5" t="s">
        <v>240</v>
      </c>
      <c r="ID1893" s="5" t="s">
        <v>240</v>
      </c>
      <c r="IE1893" s="5" t="s">
        <v>240</v>
      </c>
      <c r="IF1893" s="5" t="s">
        <v>240</v>
      </c>
    </row>
    <row r="1894" spans="1:240" x14ac:dyDescent="0.4">
      <c r="A1894" s="5">
        <v>3595</v>
      </c>
      <c r="B1894" s="5">
        <v>1</v>
      </c>
      <c r="C1894" s="5">
        <v>1</v>
      </c>
      <c r="D1894" s="5" t="s">
        <v>297</v>
      </c>
      <c r="E1894" s="5" t="s">
        <v>245</v>
      </c>
      <c r="F1894" s="5" t="s">
        <v>254</v>
      </c>
      <c r="G1894" s="5" t="s">
        <v>240</v>
      </c>
      <c r="H1894" s="6" t="s">
        <v>2105</v>
      </c>
      <c r="I1894" s="5" t="s">
        <v>6493</v>
      </c>
      <c r="J1894" s="8">
        <f>8.14</f>
        <v>8.14</v>
      </c>
      <c r="K1894" s="5" t="s">
        <v>308</v>
      </c>
      <c r="L1894" s="7">
        <f>192918</f>
        <v>192918</v>
      </c>
      <c r="M1894" s="7">
        <f>192918</f>
        <v>192918</v>
      </c>
      <c r="N1894" s="5" t="s">
        <v>242</v>
      </c>
      <c r="O1894" s="5">
        <v>1</v>
      </c>
      <c r="P1894" s="5" t="s">
        <v>294</v>
      </c>
      <c r="Q1894" s="5" t="s">
        <v>266</v>
      </c>
      <c r="R1894" s="5" t="s">
        <v>240</v>
      </c>
      <c r="S1894" s="5" t="s">
        <v>240</v>
      </c>
      <c r="T1894" s="5" t="s">
        <v>296</v>
      </c>
      <c r="U1894" s="5" t="s">
        <v>244</v>
      </c>
      <c r="V1894" s="5" t="s">
        <v>240</v>
      </c>
      <c r="Y1894" s="5" t="s">
        <v>240</v>
      </c>
      <c r="Z1894" s="6" t="s">
        <v>298</v>
      </c>
      <c r="AB1894" s="6" t="s">
        <v>240</v>
      </c>
      <c r="AE1894" s="6" t="s">
        <v>299</v>
      </c>
      <c r="AF1894" s="5" t="s">
        <v>248</v>
      </c>
      <c r="AG1894" s="5" t="s">
        <v>249</v>
      </c>
      <c r="AW1894" s="5" t="s">
        <v>251</v>
      </c>
      <c r="AX1894" s="5" t="s">
        <v>240</v>
      </c>
      <c r="AY1894" s="5" t="s">
        <v>253</v>
      </c>
      <c r="AZ1894" s="5" t="s">
        <v>240</v>
      </c>
      <c r="BA1894" s="5" t="s">
        <v>255</v>
      </c>
      <c r="BB1894" s="5" t="s">
        <v>240</v>
      </c>
      <c r="BD1894" s="5" t="s">
        <v>240</v>
      </c>
      <c r="BF1894" s="5" t="s">
        <v>301</v>
      </c>
      <c r="BG1894" s="6" t="s">
        <v>299</v>
      </c>
      <c r="BH1894" s="5" t="s">
        <v>302</v>
      </c>
      <c r="BI1894" s="5" t="s">
        <v>303</v>
      </c>
      <c r="BJ1894" s="5" t="s">
        <v>240</v>
      </c>
      <c r="BK1894" s="8">
        <f>0</f>
        <v>0</v>
      </c>
      <c r="BL1894" s="7">
        <f>0</f>
        <v>0</v>
      </c>
      <c r="BM1894" s="5" t="s">
        <v>258</v>
      </c>
      <c r="BN1894" s="5" t="s">
        <v>259</v>
      </c>
      <c r="CB1894" s="5" t="s">
        <v>240</v>
      </c>
      <c r="CC1894" s="5" t="s">
        <v>240</v>
      </c>
      <c r="CG1894" s="5" t="s">
        <v>304</v>
      </c>
      <c r="CH1894" s="5" t="s">
        <v>305</v>
      </c>
      <c r="CI1894" s="5" t="s">
        <v>240</v>
      </c>
      <c r="CL1894" s="6" t="s">
        <v>261</v>
      </c>
      <c r="CM1894" s="5" t="s">
        <v>240</v>
      </c>
      <c r="CN1894" s="5" t="s">
        <v>263</v>
      </c>
      <c r="CO1894" s="5" t="s">
        <v>240</v>
      </c>
      <c r="CP1894" s="5" t="s">
        <v>240</v>
      </c>
      <c r="CQ1894" s="5">
        <v>0</v>
      </c>
      <c r="CR1894" s="5" t="s">
        <v>306</v>
      </c>
      <c r="CS1894" s="5" t="s">
        <v>307</v>
      </c>
      <c r="CT1894" s="5" t="s">
        <v>307</v>
      </c>
      <c r="CU1894" s="5" t="s">
        <v>260</v>
      </c>
      <c r="CX1894" s="7">
        <f>1</f>
        <v>1</v>
      </c>
      <c r="CY1894" s="7">
        <f>0</f>
        <v>0</v>
      </c>
      <c r="DA1894" s="7">
        <f>0</f>
        <v>0</v>
      </c>
      <c r="DC1894" s="5" t="s">
        <v>309</v>
      </c>
      <c r="DD1894" s="5" t="s">
        <v>240</v>
      </c>
      <c r="DF1894" s="5" t="s">
        <v>309</v>
      </c>
      <c r="DG1894" s="7">
        <f>4605</f>
        <v>4605</v>
      </c>
      <c r="DI1894" s="5" t="s">
        <v>240</v>
      </c>
      <c r="DJ1894" s="5" t="s">
        <v>240</v>
      </c>
      <c r="DK1894" s="5" t="s">
        <v>240</v>
      </c>
      <c r="DL1894" s="5" t="s">
        <v>240</v>
      </c>
      <c r="DP1894" s="5" t="s">
        <v>240</v>
      </c>
      <c r="DQ1894" s="5" t="s">
        <v>240</v>
      </c>
      <c r="DR1894" s="5" t="s">
        <v>240</v>
      </c>
      <c r="DS1894" s="5" t="s">
        <v>240</v>
      </c>
      <c r="DV1894" s="5" t="s">
        <v>310</v>
      </c>
      <c r="DW1894" s="5" t="s">
        <v>3568</v>
      </c>
      <c r="HO1894" s="5" t="s">
        <v>312</v>
      </c>
    </row>
    <row r="1895" spans="1:240" x14ac:dyDescent="0.4">
      <c r="A1895" s="5">
        <v>3596</v>
      </c>
      <c r="B1895" s="5">
        <v>1</v>
      </c>
      <c r="C1895" s="5">
        <v>1</v>
      </c>
      <c r="D1895" s="5" t="s">
        <v>297</v>
      </c>
      <c r="E1895" s="5" t="s">
        <v>245</v>
      </c>
      <c r="F1895" s="5" t="s">
        <v>254</v>
      </c>
      <c r="G1895" s="5" t="s">
        <v>240</v>
      </c>
      <c r="H1895" s="6" t="s">
        <v>6501</v>
      </c>
      <c r="I1895" s="5" t="s">
        <v>6499</v>
      </c>
      <c r="J1895" s="8">
        <f>3422.05</f>
        <v>3422.05</v>
      </c>
      <c r="K1895" s="5" t="s">
        <v>308</v>
      </c>
      <c r="L1895" s="7">
        <f>14714815</f>
        <v>14714815</v>
      </c>
      <c r="M1895" s="7">
        <f>14714815</f>
        <v>14714815</v>
      </c>
      <c r="N1895" s="5" t="s">
        <v>242</v>
      </c>
      <c r="O1895" s="5">
        <v>1</v>
      </c>
      <c r="P1895" s="5" t="s">
        <v>294</v>
      </c>
      <c r="Q1895" s="5" t="s">
        <v>266</v>
      </c>
      <c r="R1895" s="5" t="s">
        <v>240</v>
      </c>
      <c r="S1895" s="5" t="s">
        <v>240</v>
      </c>
      <c r="T1895" s="5" t="s">
        <v>296</v>
      </c>
      <c r="U1895" s="5" t="s">
        <v>244</v>
      </c>
      <c r="V1895" s="5" t="s">
        <v>240</v>
      </c>
      <c r="Y1895" s="5" t="s">
        <v>240</v>
      </c>
      <c r="Z1895" s="6" t="s">
        <v>298</v>
      </c>
      <c r="AB1895" s="6" t="s">
        <v>240</v>
      </c>
      <c r="AE1895" s="6" t="s">
        <v>299</v>
      </c>
      <c r="AF1895" s="5" t="s">
        <v>248</v>
      </c>
      <c r="AG1895" s="5" t="s">
        <v>249</v>
      </c>
      <c r="AW1895" s="5" t="s">
        <v>251</v>
      </c>
      <c r="AX1895" s="5" t="s">
        <v>240</v>
      </c>
      <c r="AY1895" s="5" t="s">
        <v>253</v>
      </c>
      <c r="AZ1895" s="5" t="s">
        <v>240</v>
      </c>
      <c r="BA1895" s="5" t="s">
        <v>255</v>
      </c>
      <c r="BB1895" s="5" t="s">
        <v>240</v>
      </c>
      <c r="BD1895" s="5" t="s">
        <v>240</v>
      </c>
      <c r="BF1895" s="5" t="s">
        <v>301</v>
      </c>
      <c r="BG1895" s="6" t="s">
        <v>299</v>
      </c>
      <c r="BH1895" s="5" t="s">
        <v>302</v>
      </c>
      <c r="BI1895" s="5" t="s">
        <v>303</v>
      </c>
      <c r="BJ1895" s="5" t="s">
        <v>240</v>
      </c>
      <c r="BK1895" s="8">
        <f>0</f>
        <v>0</v>
      </c>
      <c r="BL1895" s="7">
        <f>0</f>
        <v>0</v>
      </c>
      <c r="BM1895" s="5" t="s">
        <v>258</v>
      </c>
      <c r="BN1895" s="5" t="s">
        <v>259</v>
      </c>
      <c r="CB1895" s="5" t="s">
        <v>240</v>
      </c>
      <c r="CC1895" s="5" t="s">
        <v>240</v>
      </c>
      <c r="CG1895" s="5" t="s">
        <v>304</v>
      </c>
      <c r="CH1895" s="5" t="s">
        <v>305</v>
      </c>
      <c r="CI1895" s="5" t="s">
        <v>240</v>
      </c>
      <c r="CL1895" s="6" t="s">
        <v>261</v>
      </c>
      <c r="CM1895" s="5" t="s">
        <v>240</v>
      </c>
      <c r="CN1895" s="5" t="s">
        <v>263</v>
      </c>
      <c r="CO1895" s="5" t="s">
        <v>240</v>
      </c>
      <c r="CP1895" s="5" t="s">
        <v>240</v>
      </c>
      <c r="CQ1895" s="5">
        <v>0</v>
      </c>
      <c r="CR1895" s="5" t="s">
        <v>306</v>
      </c>
      <c r="CS1895" s="5" t="s">
        <v>307</v>
      </c>
      <c r="CT1895" s="5" t="s">
        <v>307</v>
      </c>
      <c r="CU1895" s="5" t="s">
        <v>260</v>
      </c>
      <c r="CX1895" s="7">
        <f>1</f>
        <v>1</v>
      </c>
      <c r="CY1895" s="7">
        <f>0</f>
        <v>0</v>
      </c>
      <c r="DA1895" s="7">
        <f>0</f>
        <v>0</v>
      </c>
      <c r="DC1895" s="5" t="s">
        <v>309</v>
      </c>
      <c r="DD1895" s="5" t="s">
        <v>240</v>
      </c>
      <c r="DF1895" s="5" t="s">
        <v>309</v>
      </c>
      <c r="DG1895" s="7">
        <f>2769</f>
        <v>2769</v>
      </c>
      <c r="DI1895" s="5" t="s">
        <v>240</v>
      </c>
      <c r="DJ1895" s="5" t="s">
        <v>240</v>
      </c>
      <c r="DK1895" s="5" t="s">
        <v>240</v>
      </c>
      <c r="DL1895" s="5" t="s">
        <v>240</v>
      </c>
      <c r="DP1895" s="5" t="s">
        <v>240</v>
      </c>
      <c r="DQ1895" s="5" t="s">
        <v>240</v>
      </c>
      <c r="DR1895" s="5" t="s">
        <v>240</v>
      </c>
      <c r="DS1895" s="5" t="s">
        <v>240</v>
      </c>
      <c r="DV1895" s="5" t="s">
        <v>310</v>
      </c>
      <c r="DW1895" s="5" t="s">
        <v>3600</v>
      </c>
      <c r="HO1895" s="5" t="s">
        <v>312</v>
      </c>
    </row>
    <row r="1896" spans="1:240" x14ac:dyDescent="0.4">
      <c r="A1896" s="5">
        <v>3597</v>
      </c>
      <c r="B1896" s="5">
        <v>1</v>
      </c>
      <c r="C1896" s="5">
        <v>1</v>
      </c>
      <c r="D1896" s="5" t="s">
        <v>297</v>
      </c>
      <c r="E1896" s="5" t="s">
        <v>245</v>
      </c>
      <c r="F1896" s="5" t="s">
        <v>254</v>
      </c>
      <c r="G1896" s="5" t="s">
        <v>240</v>
      </c>
      <c r="H1896" s="6" t="s">
        <v>6501</v>
      </c>
      <c r="I1896" s="5" t="s">
        <v>6504</v>
      </c>
      <c r="J1896" s="8">
        <f>0</f>
        <v>0</v>
      </c>
      <c r="K1896" s="5" t="s">
        <v>308</v>
      </c>
      <c r="L1896" s="7">
        <f>1087714</f>
        <v>1087714</v>
      </c>
      <c r="M1896" s="7">
        <f>1087714</f>
        <v>1087714</v>
      </c>
      <c r="N1896" s="5" t="s">
        <v>242</v>
      </c>
      <c r="O1896" s="5">
        <v>1</v>
      </c>
      <c r="P1896" s="5" t="s">
        <v>294</v>
      </c>
      <c r="Q1896" s="5" t="s">
        <v>266</v>
      </c>
      <c r="R1896" s="5" t="s">
        <v>240</v>
      </c>
      <c r="S1896" s="5" t="s">
        <v>240</v>
      </c>
      <c r="T1896" s="5" t="s">
        <v>243</v>
      </c>
      <c r="U1896" s="5" t="s">
        <v>240</v>
      </c>
      <c r="V1896" s="5" t="s">
        <v>240</v>
      </c>
      <c r="Y1896" s="5" t="s">
        <v>240</v>
      </c>
      <c r="Z1896" s="6" t="s">
        <v>747</v>
      </c>
      <c r="AB1896" s="6" t="s">
        <v>240</v>
      </c>
      <c r="AE1896" s="6" t="s">
        <v>3903</v>
      </c>
      <c r="AF1896" s="5" t="s">
        <v>248</v>
      </c>
      <c r="AG1896" s="5" t="s">
        <v>260</v>
      </c>
      <c r="AW1896" s="5" t="s">
        <v>251</v>
      </c>
      <c r="AX1896" s="5" t="s">
        <v>240</v>
      </c>
      <c r="AY1896" s="5" t="s">
        <v>253</v>
      </c>
      <c r="AZ1896" s="5" t="s">
        <v>240</v>
      </c>
      <c r="BA1896" s="5" t="s">
        <v>255</v>
      </c>
      <c r="BB1896" s="5" t="s">
        <v>240</v>
      </c>
      <c r="BD1896" s="5" t="s">
        <v>240</v>
      </c>
      <c r="BF1896" s="5" t="s">
        <v>447</v>
      </c>
      <c r="BG1896" s="6" t="s">
        <v>747</v>
      </c>
      <c r="BH1896" s="5" t="s">
        <v>302</v>
      </c>
      <c r="BI1896" s="5" t="s">
        <v>448</v>
      </c>
      <c r="BJ1896" s="5" t="s">
        <v>240</v>
      </c>
      <c r="BK1896" s="8">
        <f>0</f>
        <v>0</v>
      </c>
      <c r="BL1896" s="7">
        <f>0</f>
        <v>0</v>
      </c>
      <c r="BM1896" s="5" t="s">
        <v>258</v>
      </c>
      <c r="BN1896" s="5" t="s">
        <v>259</v>
      </c>
      <c r="CB1896" s="5" t="s">
        <v>240</v>
      </c>
      <c r="CC1896" s="5" t="s">
        <v>240</v>
      </c>
      <c r="CG1896" s="5" t="s">
        <v>449</v>
      </c>
      <c r="CH1896" s="5" t="s">
        <v>305</v>
      </c>
      <c r="CI1896" s="5" t="s">
        <v>240</v>
      </c>
      <c r="CL1896" s="6" t="s">
        <v>261</v>
      </c>
      <c r="CM1896" s="5" t="s">
        <v>240</v>
      </c>
      <c r="CN1896" s="5" t="s">
        <v>263</v>
      </c>
      <c r="CO1896" s="5" t="s">
        <v>240</v>
      </c>
      <c r="CP1896" s="5" t="s">
        <v>240</v>
      </c>
      <c r="CQ1896" s="5">
        <v>0</v>
      </c>
      <c r="CR1896" s="5" t="s">
        <v>306</v>
      </c>
      <c r="CS1896" s="5" t="s">
        <v>307</v>
      </c>
      <c r="CT1896" s="5" t="s">
        <v>307</v>
      </c>
      <c r="CU1896" s="5" t="s">
        <v>260</v>
      </c>
      <c r="CX1896" s="7">
        <f>2070480</f>
        <v>2070480</v>
      </c>
      <c r="CY1896" s="7">
        <f>0</f>
        <v>0</v>
      </c>
      <c r="DA1896" s="7">
        <f>0</f>
        <v>0</v>
      </c>
      <c r="DC1896" s="5" t="s">
        <v>450</v>
      </c>
      <c r="DD1896" s="5" t="s">
        <v>240</v>
      </c>
      <c r="DF1896" s="5" t="s">
        <v>450</v>
      </c>
      <c r="DG1896" s="7">
        <f>1035.24</f>
        <v>1035.24</v>
      </c>
      <c r="DI1896" s="5" t="s">
        <v>240</v>
      </c>
      <c r="DJ1896" s="5" t="s">
        <v>240</v>
      </c>
      <c r="DK1896" s="5" t="s">
        <v>240</v>
      </c>
      <c r="DL1896" s="5" t="s">
        <v>240</v>
      </c>
      <c r="DP1896" s="5" t="s">
        <v>240</v>
      </c>
      <c r="DQ1896" s="5" t="s">
        <v>240</v>
      </c>
      <c r="DR1896" s="5" t="s">
        <v>240</v>
      </c>
      <c r="DS1896" s="5" t="s">
        <v>240</v>
      </c>
      <c r="DV1896" s="5" t="s">
        <v>310</v>
      </c>
      <c r="DW1896" s="5" t="s">
        <v>2475</v>
      </c>
      <c r="HO1896" s="5" t="s">
        <v>312</v>
      </c>
    </row>
    <row r="1897" spans="1:240" x14ac:dyDescent="0.4">
      <c r="A1897" s="5">
        <v>3598</v>
      </c>
      <c r="B1897" s="5">
        <v>1</v>
      </c>
      <c r="C1897" s="5">
        <v>1</v>
      </c>
      <c r="D1897" s="5" t="s">
        <v>297</v>
      </c>
      <c r="E1897" s="5" t="s">
        <v>245</v>
      </c>
      <c r="F1897" s="5" t="s">
        <v>254</v>
      </c>
      <c r="G1897" s="5" t="s">
        <v>240</v>
      </c>
      <c r="H1897" s="6" t="s">
        <v>6174</v>
      </c>
      <c r="I1897" s="5" t="s">
        <v>6615</v>
      </c>
      <c r="J1897" s="8">
        <f>0</f>
        <v>0</v>
      </c>
      <c r="K1897" s="5" t="s">
        <v>308</v>
      </c>
      <c r="L1897" s="7">
        <f>5001480</f>
        <v>5001480</v>
      </c>
      <c r="M1897" s="7">
        <f>5001480</f>
        <v>5001480</v>
      </c>
      <c r="N1897" s="5" t="s">
        <v>242</v>
      </c>
      <c r="O1897" s="5">
        <v>1</v>
      </c>
      <c r="P1897" s="5" t="s">
        <v>294</v>
      </c>
      <c r="Q1897" s="5" t="s">
        <v>3678</v>
      </c>
      <c r="R1897" s="5" t="s">
        <v>240</v>
      </c>
      <c r="S1897" s="5" t="s">
        <v>240</v>
      </c>
      <c r="T1897" s="5" t="s">
        <v>243</v>
      </c>
      <c r="U1897" s="5" t="s">
        <v>244</v>
      </c>
      <c r="V1897" s="5" t="s">
        <v>240</v>
      </c>
      <c r="W1897" s="5" t="s">
        <v>240</v>
      </c>
      <c r="X1897" s="5" t="s">
        <v>240</v>
      </c>
      <c r="Y1897" s="5" t="s">
        <v>240</v>
      </c>
      <c r="Z1897" s="6" t="s">
        <v>298</v>
      </c>
      <c r="AA1897" s="6" t="s">
        <v>240</v>
      </c>
      <c r="AB1897" s="6" t="s">
        <v>240</v>
      </c>
      <c r="AC1897" s="5" t="s">
        <v>240</v>
      </c>
      <c r="AD1897" s="6" t="s">
        <v>240</v>
      </c>
      <c r="AE1897" s="6" t="s">
        <v>299</v>
      </c>
      <c r="AF1897" s="5" t="s">
        <v>248</v>
      </c>
      <c r="AG1897" s="5" t="s">
        <v>249</v>
      </c>
      <c r="AH1897" s="5" t="s">
        <v>240</v>
      </c>
      <c r="AI1897" s="5" t="s">
        <v>240</v>
      </c>
      <c r="AJ1897" s="5" t="s">
        <v>240</v>
      </c>
      <c r="AK1897" s="5" t="s">
        <v>240</v>
      </c>
      <c r="AL1897" s="5" t="s">
        <v>240</v>
      </c>
      <c r="AM1897" s="5" t="s">
        <v>240</v>
      </c>
      <c r="AN1897" s="5" t="s">
        <v>240</v>
      </c>
      <c r="AO1897" s="5" t="s">
        <v>240</v>
      </c>
      <c r="AP1897" s="6" t="s">
        <v>240</v>
      </c>
      <c r="AQ1897" s="6" t="s">
        <v>240</v>
      </c>
      <c r="AR1897" s="6" t="s">
        <v>240</v>
      </c>
      <c r="AS1897" s="6" t="s">
        <v>240</v>
      </c>
      <c r="AT1897" s="5" t="s">
        <v>240</v>
      </c>
      <c r="AU1897" s="5" t="s">
        <v>729</v>
      </c>
      <c r="AV1897" s="5" t="s">
        <v>729</v>
      </c>
      <c r="AW1897" s="5" t="s">
        <v>251</v>
      </c>
      <c r="AX1897" s="5" t="s">
        <v>252</v>
      </c>
      <c r="AY1897" s="5" t="s">
        <v>253</v>
      </c>
      <c r="AZ1897" s="5" t="s">
        <v>240</v>
      </c>
      <c r="BA1897" s="5" t="s">
        <v>255</v>
      </c>
      <c r="BB1897" s="5" t="s">
        <v>731</v>
      </c>
      <c r="BD1897" s="5" t="s">
        <v>240</v>
      </c>
      <c r="BF1897" s="5" t="s">
        <v>732</v>
      </c>
      <c r="BG1897" s="6" t="s">
        <v>733</v>
      </c>
      <c r="BH1897" s="5" t="s">
        <v>734</v>
      </c>
      <c r="BI1897" s="5" t="s">
        <v>734</v>
      </c>
      <c r="BJ1897" s="5" t="s">
        <v>240</v>
      </c>
      <c r="BK1897" s="7">
        <f>1</f>
        <v>1</v>
      </c>
      <c r="BL1897" s="7">
        <f>1</f>
        <v>1</v>
      </c>
      <c r="BM1897" s="5" t="s">
        <v>258</v>
      </c>
      <c r="BN1897" s="5" t="s">
        <v>259</v>
      </c>
      <c r="BO1897" s="5" t="s">
        <v>240</v>
      </c>
      <c r="BP1897" s="5" t="s">
        <v>240</v>
      </c>
      <c r="BQ1897" s="5" t="s">
        <v>240</v>
      </c>
      <c r="BR1897" s="5" t="s">
        <v>240</v>
      </c>
      <c r="BS1897" s="5" t="s">
        <v>240</v>
      </c>
      <c r="BT1897" s="5" t="s">
        <v>240</v>
      </c>
      <c r="BU1897" s="5" t="s">
        <v>240</v>
      </c>
      <c r="BV1897" s="5" t="s">
        <v>240</v>
      </c>
      <c r="BW1897" s="6" t="s">
        <v>240</v>
      </c>
      <c r="BX1897" s="5" t="s">
        <v>240</v>
      </c>
      <c r="BY1897" s="5" t="s">
        <v>240</v>
      </c>
      <c r="BZ1897" s="5" t="s">
        <v>240</v>
      </c>
      <c r="CA1897" s="5" t="s">
        <v>259</v>
      </c>
      <c r="CB1897" s="5" t="s">
        <v>240</v>
      </c>
      <c r="CC1897" s="5" t="s">
        <v>240</v>
      </c>
      <c r="CD1897" s="5" t="s">
        <v>240</v>
      </c>
      <c r="CE1897" s="5" t="s">
        <v>240</v>
      </c>
      <c r="CF1897" s="5" t="s">
        <v>240</v>
      </c>
      <c r="CG1897" s="5" t="s">
        <v>304</v>
      </c>
      <c r="CH1897" s="5" t="s">
        <v>305</v>
      </c>
      <c r="CI1897" s="5" t="s">
        <v>240</v>
      </c>
      <c r="CK1897" s="5" t="s">
        <v>3681</v>
      </c>
      <c r="CL1897" s="6" t="s">
        <v>261</v>
      </c>
      <c r="CM1897" s="5" t="s">
        <v>262</v>
      </c>
      <c r="CN1897" s="5" t="s">
        <v>263</v>
      </c>
      <c r="CO1897" s="5" t="s">
        <v>264</v>
      </c>
      <c r="CP1897" s="5" t="s">
        <v>240</v>
      </c>
      <c r="CQ1897" s="5">
        <v>0</v>
      </c>
      <c r="CR1897" s="5" t="s">
        <v>735</v>
      </c>
      <c r="CS1897" s="5" t="s">
        <v>307</v>
      </c>
      <c r="CT1897" s="5" t="s">
        <v>307</v>
      </c>
      <c r="CU1897" s="5" t="s">
        <v>260</v>
      </c>
      <c r="CV1897" s="5" t="s">
        <v>612</v>
      </c>
      <c r="CW1897" s="8">
        <f>1</f>
        <v>1</v>
      </c>
      <c r="CX1897" s="7">
        <f>1</f>
        <v>1</v>
      </c>
      <c r="CY1897" s="7">
        <f>0</f>
        <v>0</v>
      </c>
      <c r="DA1897" s="7">
        <f>1</f>
        <v>1</v>
      </c>
      <c r="DB1897" s="7" t="s">
        <v>240</v>
      </c>
      <c r="DC1897" s="5" t="s">
        <v>240</v>
      </c>
      <c r="DD1897" s="5" t="s">
        <v>240</v>
      </c>
      <c r="DE1897" s="5" t="s">
        <v>240</v>
      </c>
      <c r="DF1897" s="5" t="s">
        <v>240</v>
      </c>
      <c r="DG1897" s="7">
        <f>0</f>
        <v>0</v>
      </c>
      <c r="DI1897" s="5" t="s">
        <v>240</v>
      </c>
      <c r="DJ1897" s="5" t="s">
        <v>240</v>
      </c>
      <c r="DK1897" s="5" t="s">
        <v>240</v>
      </c>
      <c r="DL1897" s="5" t="s">
        <v>240</v>
      </c>
      <c r="DM1897" s="5" t="s">
        <v>240</v>
      </c>
      <c r="DN1897" s="5" t="s">
        <v>240</v>
      </c>
      <c r="DO1897" s="7" t="s">
        <v>240</v>
      </c>
      <c r="DP1897" s="5" t="s">
        <v>240</v>
      </c>
      <c r="DQ1897" s="5" t="s">
        <v>240</v>
      </c>
      <c r="DR1897" s="5" t="s">
        <v>731</v>
      </c>
      <c r="DS1897" s="5" t="s">
        <v>731</v>
      </c>
      <c r="DT1897" s="5" t="s">
        <v>240</v>
      </c>
      <c r="DU1897" s="5" t="s">
        <v>240</v>
      </c>
      <c r="DV1897" s="5" t="s">
        <v>3683</v>
      </c>
      <c r="DW1897" s="5" t="s">
        <v>328</v>
      </c>
      <c r="DX1897" s="5" t="s">
        <v>240</v>
      </c>
      <c r="DY1897" s="5" t="s">
        <v>240</v>
      </c>
      <c r="DZ1897" s="5" t="s">
        <v>240</v>
      </c>
      <c r="EA1897" s="5" t="s">
        <v>240</v>
      </c>
      <c r="EB1897" s="5" t="s">
        <v>240</v>
      </c>
      <c r="EC1897" s="5" t="s">
        <v>240</v>
      </c>
      <c r="ED1897" s="5" t="s">
        <v>240</v>
      </c>
      <c r="EE1897" s="5" t="s">
        <v>240</v>
      </c>
      <c r="EF1897" s="5" t="s">
        <v>240</v>
      </c>
      <c r="EG1897" s="5" t="s">
        <v>240</v>
      </c>
      <c r="EH1897" s="5" t="s">
        <v>240</v>
      </c>
      <c r="EI1897" s="5" t="s">
        <v>240</v>
      </c>
      <c r="EJ1897" s="5" t="s">
        <v>240</v>
      </c>
      <c r="EK1897" s="5" t="s">
        <v>240</v>
      </c>
      <c r="EL1897" s="5" t="s">
        <v>240</v>
      </c>
      <c r="EM1897" s="5" t="s">
        <v>240</v>
      </c>
      <c r="EN1897" s="5" t="s">
        <v>240</v>
      </c>
      <c r="EO1897" s="5" t="s">
        <v>240</v>
      </c>
      <c r="EP1897" s="5" t="s">
        <v>240</v>
      </c>
      <c r="EQ1897" s="5" t="s">
        <v>240</v>
      </c>
      <c r="ER1897" s="5" t="s">
        <v>240</v>
      </c>
      <c r="ES1897" s="5" t="s">
        <v>240</v>
      </c>
      <c r="ET1897" s="5" t="s">
        <v>240</v>
      </c>
      <c r="EU1897" s="5" t="s">
        <v>240</v>
      </c>
      <c r="EV1897" s="5" t="s">
        <v>240</v>
      </c>
      <c r="EW1897" s="5" t="s">
        <v>240</v>
      </c>
      <c r="EX1897" s="5" t="s">
        <v>240</v>
      </c>
      <c r="EY1897" s="5" t="s">
        <v>240</v>
      </c>
      <c r="EZ1897" s="5" t="s">
        <v>240</v>
      </c>
      <c r="FA1897" s="5" t="s">
        <v>240</v>
      </c>
      <c r="FB1897" s="5" t="s">
        <v>240</v>
      </c>
      <c r="FC1897" s="5" t="s">
        <v>240</v>
      </c>
      <c r="FD1897" s="5" t="s">
        <v>240</v>
      </c>
      <c r="FE1897" s="5" t="s">
        <v>240</v>
      </c>
      <c r="FF1897" s="5" t="s">
        <v>240</v>
      </c>
      <c r="FG1897" s="5" t="s">
        <v>240</v>
      </c>
      <c r="FH1897" s="5" t="s">
        <v>240</v>
      </c>
      <c r="FI1897" s="5" t="s">
        <v>240</v>
      </c>
      <c r="FJ1897" s="5" t="s">
        <v>240</v>
      </c>
      <c r="FK1897" s="5" t="s">
        <v>240</v>
      </c>
      <c r="FL1897" s="5" t="s">
        <v>240</v>
      </c>
      <c r="FM1897" s="5" t="s">
        <v>240</v>
      </c>
      <c r="FN1897" s="5" t="s">
        <v>240</v>
      </c>
      <c r="FO1897" s="5" t="s">
        <v>240</v>
      </c>
      <c r="FP1897" s="5" t="s">
        <v>240</v>
      </c>
      <c r="FQ1897" s="5" t="s">
        <v>240</v>
      </c>
      <c r="FR1897" s="5" t="s">
        <v>240</v>
      </c>
      <c r="FS1897" s="5" t="s">
        <v>240</v>
      </c>
      <c r="FT1897" s="5" t="s">
        <v>240</v>
      </c>
      <c r="FU1897" s="5" t="s">
        <v>240</v>
      </c>
      <c r="FV1897" s="5" t="s">
        <v>240</v>
      </c>
      <c r="FW1897" s="5" t="s">
        <v>240</v>
      </c>
      <c r="FX1897" s="5" t="s">
        <v>240</v>
      </c>
      <c r="FY1897" s="5" t="s">
        <v>240</v>
      </c>
      <c r="FZ1897" s="5" t="s">
        <v>240</v>
      </c>
      <c r="GA1897" s="5" t="s">
        <v>240</v>
      </c>
      <c r="GB1897" s="5" t="s">
        <v>240</v>
      </c>
      <c r="GC1897" s="5" t="s">
        <v>240</v>
      </c>
      <c r="GD1897" s="5" t="s">
        <v>240</v>
      </c>
      <c r="GE1897" s="5" t="s">
        <v>240</v>
      </c>
      <c r="GF1897" s="5" t="s">
        <v>240</v>
      </c>
      <c r="GG1897" s="5" t="s">
        <v>240</v>
      </c>
      <c r="GH1897" s="5" t="s">
        <v>240</v>
      </c>
      <c r="GI1897" s="5" t="s">
        <v>240</v>
      </c>
      <c r="GJ1897" s="5" t="s">
        <v>240</v>
      </c>
      <c r="GK1897" s="5" t="s">
        <v>240</v>
      </c>
      <c r="GL1897" s="5" t="s">
        <v>240</v>
      </c>
      <c r="GM1897" s="5" t="s">
        <v>240</v>
      </c>
      <c r="GN1897" s="5" t="s">
        <v>240</v>
      </c>
      <c r="GO1897" s="5" t="s">
        <v>240</v>
      </c>
      <c r="GP1897" s="5" t="s">
        <v>240</v>
      </c>
      <c r="GQ1897" s="5" t="s">
        <v>240</v>
      </c>
      <c r="GR1897" s="5" t="s">
        <v>240</v>
      </c>
      <c r="GS1897" s="5" t="s">
        <v>240</v>
      </c>
      <c r="GT1897" s="5" t="s">
        <v>240</v>
      </c>
      <c r="GU1897" s="5" t="s">
        <v>240</v>
      </c>
      <c r="GV1897" s="5" t="s">
        <v>240</v>
      </c>
      <c r="GW1897" s="5" t="s">
        <v>240</v>
      </c>
      <c r="GX1897" s="5" t="s">
        <v>240</v>
      </c>
      <c r="GY1897" s="5" t="s">
        <v>240</v>
      </c>
      <c r="GZ1897" s="5" t="s">
        <v>240</v>
      </c>
      <c r="HA1897" s="5" t="s">
        <v>240</v>
      </c>
      <c r="HB1897" s="5" t="s">
        <v>240</v>
      </c>
      <c r="HC1897" s="5" t="s">
        <v>240</v>
      </c>
      <c r="HD1897" s="5" t="s">
        <v>240</v>
      </c>
      <c r="HE1897" s="5" t="s">
        <v>240</v>
      </c>
      <c r="HF1897" s="5" t="s">
        <v>240</v>
      </c>
      <c r="HG1897" s="5" t="s">
        <v>240</v>
      </c>
      <c r="HH1897" s="5" t="s">
        <v>240</v>
      </c>
      <c r="HI1897" s="5" t="s">
        <v>240</v>
      </c>
      <c r="HJ1897" s="5" t="s">
        <v>240</v>
      </c>
      <c r="HK1897" s="5" t="s">
        <v>240</v>
      </c>
      <c r="HL1897" s="5" t="s">
        <v>240</v>
      </c>
      <c r="HM1897" s="5" t="s">
        <v>240</v>
      </c>
      <c r="HN1897" s="5" t="s">
        <v>240</v>
      </c>
      <c r="HO1897" s="5" t="s">
        <v>312</v>
      </c>
      <c r="HP1897" s="5" t="s">
        <v>240</v>
      </c>
      <c r="HQ1897" s="5" t="s">
        <v>240</v>
      </c>
      <c r="HR1897" s="5" t="s">
        <v>240</v>
      </c>
      <c r="HS1897" s="5" t="s">
        <v>240</v>
      </c>
      <c r="HT1897" s="5" t="s">
        <v>240</v>
      </c>
      <c r="HU1897" s="5" t="s">
        <v>240</v>
      </c>
      <c r="HV1897" s="5" t="s">
        <v>240</v>
      </c>
      <c r="HW1897" s="5" t="s">
        <v>240</v>
      </c>
      <c r="HX1897" s="5" t="s">
        <v>240</v>
      </c>
      <c r="HY1897" s="5" t="s">
        <v>240</v>
      </c>
      <c r="HZ1897" s="5" t="s">
        <v>240</v>
      </c>
      <c r="IA1897" s="5" t="s">
        <v>240</v>
      </c>
      <c r="IB1897" s="5" t="s">
        <v>240</v>
      </c>
      <c r="IC1897" s="5" t="s">
        <v>240</v>
      </c>
      <c r="ID1897" s="5" t="s">
        <v>240</v>
      </c>
      <c r="IE1897" s="5" t="s">
        <v>240</v>
      </c>
      <c r="IF1897" s="5" t="s">
        <v>240</v>
      </c>
    </row>
    <row r="1898" spans="1:240" x14ac:dyDescent="0.4">
      <c r="A1898" s="5">
        <v>3599</v>
      </c>
      <c r="B1898" s="5">
        <v>1</v>
      </c>
      <c r="C1898" s="5">
        <v>1</v>
      </c>
      <c r="D1898" s="5" t="s">
        <v>297</v>
      </c>
      <c r="E1898" s="5" t="s">
        <v>245</v>
      </c>
      <c r="F1898" s="5" t="s">
        <v>254</v>
      </c>
      <c r="G1898" s="5" t="s">
        <v>240</v>
      </c>
      <c r="H1898" s="6" t="s">
        <v>2100</v>
      </c>
      <c r="I1898" s="5" t="s">
        <v>6505</v>
      </c>
      <c r="J1898" s="8">
        <f>0</f>
        <v>0</v>
      </c>
      <c r="K1898" s="5" t="s">
        <v>308</v>
      </c>
      <c r="L1898" s="7">
        <f>1496700</f>
        <v>1496700</v>
      </c>
      <c r="M1898" s="7">
        <f>1496700</f>
        <v>1496700</v>
      </c>
      <c r="N1898" s="5" t="s">
        <v>242</v>
      </c>
      <c r="O1898" s="5">
        <v>1</v>
      </c>
      <c r="P1898" s="5" t="s">
        <v>294</v>
      </c>
      <c r="Q1898" s="5" t="s">
        <v>613</v>
      </c>
      <c r="R1898" s="5" t="s">
        <v>240</v>
      </c>
      <c r="S1898" s="5" t="s">
        <v>240</v>
      </c>
      <c r="T1898" s="5" t="s">
        <v>243</v>
      </c>
      <c r="U1898" s="5" t="s">
        <v>724</v>
      </c>
      <c r="V1898" s="5" t="s">
        <v>240</v>
      </c>
      <c r="W1898" s="5" t="s">
        <v>240</v>
      </c>
      <c r="X1898" s="5" t="s">
        <v>240</v>
      </c>
      <c r="Y1898" s="5" t="s">
        <v>240</v>
      </c>
      <c r="Z1898" s="6" t="s">
        <v>298</v>
      </c>
      <c r="AA1898" s="6" t="s">
        <v>240</v>
      </c>
      <c r="AB1898" s="6" t="s">
        <v>240</v>
      </c>
      <c r="AC1898" s="5" t="s">
        <v>240</v>
      </c>
      <c r="AD1898" s="6" t="s">
        <v>240</v>
      </c>
      <c r="AE1898" s="6" t="s">
        <v>299</v>
      </c>
      <c r="AF1898" s="5" t="s">
        <v>727</v>
      </c>
      <c r="AG1898" s="5" t="s">
        <v>260</v>
      </c>
      <c r="AH1898" s="5" t="s">
        <v>240</v>
      </c>
      <c r="AI1898" s="5" t="s">
        <v>240</v>
      </c>
      <c r="AJ1898" s="5" t="s">
        <v>240</v>
      </c>
      <c r="AK1898" s="5" t="s">
        <v>240</v>
      </c>
      <c r="AL1898" s="5" t="s">
        <v>240</v>
      </c>
      <c r="AM1898" s="5" t="s">
        <v>240</v>
      </c>
      <c r="AN1898" s="5" t="s">
        <v>240</v>
      </c>
      <c r="AO1898" s="5" t="s">
        <v>240</v>
      </c>
      <c r="AP1898" s="6" t="s">
        <v>240</v>
      </c>
      <c r="AQ1898" s="6" t="s">
        <v>240</v>
      </c>
      <c r="AR1898" s="6" t="s">
        <v>240</v>
      </c>
      <c r="AS1898" s="6" t="s">
        <v>240</v>
      </c>
      <c r="AT1898" s="5" t="s">
        <v>240</v>
      </c>
      <c r="AU1898" s="5" t="s">
        <v>729</v>
      </c>
      <c r="AV1898" s="5" t="s">
        <v>729</v>
      </c>
      <c r="AW1898" s="5" t="s">
        <v>251</v>
      </c>
      <c r="AX1898" s="5" t="s">
        <v>252</v>
      </c>
      <c r="AY1898" s="5" t="s">
        <v>253</v>
      </c>
      <c r="AZ1898" s="5" t="s">
        <v>240</v>
      </c>
      <c r="BA1898" s="5" t="s">
        <v>255</v>
      </c>
      <c r="BB1898" s="5" t="s">
        <v>731</v>
      </c>
      <c r="BD1898" s="5" t="s">
        <v>240</v>
      </c>
      <c r="BF1898" s="5" t="s">
        <v>732</v>
      </c>
      <c r="BG1898" s="6" t="s">
        <v>733</v>
      </c>
      <c r="BH1898" s="5" t="s">
        <v>734</v>
      </c>
      <c r="BI1898" s="5" t="s">
        <v>734</v>
      </c>
      <c r="BJ1898" s="5" t="s">
        <v>240</v>
      </c>
      <c r="BK1898" s="8">
        <f>264.46</f>
        <v>264.45999999999998</v>
      </c>
      <c r="BL1898" s="7">
        <f>0</f>
        <v>0</v>
      </c>
      <c r="BM1898" s="5" t="s">
        <v>258</v>
      </c>
      <c r="BN1898" s="5" t="s">
        <v>259</v>
      </c>
      <c r="BO1898" s="5" t="s">
        <v>240</v>
      </c>
      <c r="BP1898" s="5" t="s">
        <v>240</v>
      </c>
      <c r="BQ1898" s="5" t="s">
        <v>240</v>
      </c>
      <c r="BR1898" s="5" t="s">
        <v>240</v>
      </c>
      <c r="BS1898" s="5" t="s">
        <v>240</v>
      </c>
      <c r="BT1898" s="5" t="s">
        <v>240</v>
      </c>
      <c r="BU1898" s="5" t="s">
        <v>240</v>
      </c>
      <c r="BV1898" s="5" t="s">
        <v>240</v>
      </c>
      <c r="BW1898" s="6" t="s">
        <v>240</v>
      </c>
      <c r="BX1898" s="5" t="s">
        <v>240</v>
      </c>
      <c r="BY1898" s="5" t="s">
        <v>240</v>
      </c>
      <c r="BZ1898" s="5" t="s">
        <v>240</v>
      </c>
      <c r="CA1898" s="5" t="s">
        <v>259</v>
      </c>
      <c r="CB1898" s="5" t="s">
        <v>240</v>
      </c>
      <c r="CC1898" s="5" t="s">
        <v>240</v>
      </c>
      <c r="CD1898" s="5" t="s">
        <v>240</v>
      </c>
      <c r="CE1898" s="5" t="s">
        <v>240</v>
      </c>
      <c r="CF1898" s="5" t="s">
        <v>240</v>
      </c>
      <c r="CG1898" s="5" t="s">
        <v>617</v>
      </c>
      <c r="CH1898" s="5" t="s">
        <v>305</v>
      </c>
      <c r="CI1898" s="5" t="s">
        <v>240</v>
      </c>
      <c r="CL1898" s="6" t="s">
        <v>261</v>
      </c>
      <c r="CM1898" s="5" t="s">
        <v>262</v>
      </c>
      <c r="CN1898" s="5" t="s">
        <v>263</v>
      </c>
      <c r="CO1898" s="5" t="s">
        <v>264</v>
      </c>
      <c r="CP1898" s="5" t="s">
        <v>240</v>
      </c>
      <c r="CQ1898" s="5">
        <v>0</v>
      </c>
      <c r="CR1898" s="5" t="s">
        <v>735</v>
      </c>
      <c r="CS1898" s="5" t="s">
        <v>307</v>
      </c>
      <c r="CT1898" s="5" t="s">
        <v>307</v>
      </c>
      <c r="CU1898" s="5" t="s">
        <v>260</v>
      </c>
      <c r="CV1898" s="5" t="s">
        <v>240</v>
      </c>
      <c r="CW1898" s="8">
        <f>0</f>
        <v>0</v>
      </c>
      <c r="CX1898" s="7">
        <f>0</f>
        <v>0</v>
      </c>
      <c r="CY1898" s="7">
        <f>0</f>
        <v>0</v>
      </c>
      <c r="DA1898" s="7">
        <f>2909</f>
        <v>2909</v>
      </c>
      <c r="DB1898" s="7" t="s">
        <v>240</v>
      </c>
      <c r="DC1898" s="5" t="s">
        <v>240</v>
      </c>
      <c r="DD1898" s="5" t="s">
        <v>240</v>
      </c>
      <c r="DE1898" s="5" t="s">
        <v>240</v>
      </c>
      <c r="DF1898" s="5" t="s">
        <v>450</v>
      </c>
      <c r="DG1898" s="7">
        <f>0</f>
        <v>0</v>
      </c>
      <c r="DI1898" s="5" t="s">
        <v>737</v>
      </c>
      <c r="DJ1898" s="5" t="s">
        <v>240</v>
      </c>
      <c r="DK1898" s="5" t="s">
        <v>240</v>
      </c>
      <c r="DL1898" s="5" t="s">
        <v>240</v>
      </c>
      <c r="DM1898" s="5" t="s">
        <v>240</v>
      </c>
      <c r="DN1898" s="5" t="s">
        <v>240</v>
      </c>
      <c r="DO1898" s="7" t="s">
        <v>240</v>
      </c>
      <c r="DP1898" s="5" t="s">
        <v>240</v>
      </c>
      <c r="DQ1898" s="5" t="s">
        <v>240</v>
      </c>
      <c r="DR1898" s="5" t="s">
        <v>731</v>
      </c>
      <c r="DS1898" s="5" t="s">
        <v>731</v>
      </c>
      <c r="DT1898" s="5" t="s">
        <v>240</v>
      </c>
      <c r="DU1898" s="5" t="s">
        <v>240</v>
      </c>
      <c r="DV1898" s="5" t="s">
        <v>738</v>
      </c>
      <c r="DW1898" s="5" t="s">
        <v>629</v>
      </c>
      <c r="DX1898" s="5" t="s">
        <v>240</v>
      </c>
      <c r="DY1898" s="5" t="s">
        <v>240</v>
      </c>
      <c r="DZ1898" s="5" t="s">
        <v>240</v>
      </c>
      <c r="EA1898" s="5" t="s">
        <v>240</v>
      </c>
      <c r="EB1898" s="5" t="s">
        <v>240</v>
      </c>
      <c r="EC1898" s="5" t="s">
        <v>240</v>
      </c>
      <c r="ED1898" s="5" t="s">
        <v>240</v>
      </c>
      <c r="EE1898" s="5" t="s">
        <v>240</v>
      </c>
      <c r="EF1898" s="5" t="s">
        <v>240</v>
      </c>
      <c r="EG1898" s="5" t="s">
        <v>240</v>
      </c>
      <c r="EH1898" s="5" t="s">
        <v>240</v>
      </c>
      <c r="EI1898" s="5" t="s">
        <v>240</v>
      </c>
      <c r="EJ1898" s="5" t="s">
        <v>240</v>
      </c>
      <c r="EK1898" s="5" t="s">
        <v>240</v>
      </c>
      <c r="EL1898" s="5" t="s">
        <v>240</v>
      </c>
      <c r="EM1898" s="5" t="s">
        <v>240</v>
      </c>
      <c r="EN1898" s="5" t="s">
        <v>240</v>
      </c>
      <c r="EO1898" s="5" t="s">
        <v>240</v>
      </c>
      <c r="EP1898" s="5" t="s">
        <v>240</v>
      </c>
      <c r="EQ1898" s="5" t="s">
        <v>240</v>
      </c>
      <c r="ER1898" s="5" t="s">
        <v>240</v>
      </c>
      <c r="ES1898" s="5" t="s">
        <v>240</v>
      </c>
      <c r="ET1898" s="5" t="s">
        <v>240</v>
      </c>
      <c r="EU1898" s="5" t="s">
        <v>240</v>
      </c>
      <c r="EV1898" s="5" t="s">
        <v>240</v>
      </c>
      <c r="EW1898" s="5" t="s">
        <v>240</v>
      </c>
      <c r="EX1898" s="5" t="s">
        <v>240</v>
      </c>
      <c r="EY1898" s="5" t="s">
        <v>240</v>
      </c>
      <c r="EZ1898" s="5" t="s">
        <v>240</v>
      </c>
      <c r="FA1898" s="5" t="s">
        <v>240</v>
      </c>
      <c r="FB1898" s="5" t="s">
        <v>240</v>
      </c>
      <c r="FC1898" s="5" t="s">
        <v>240</v>
      </c>
      <c r="FD1898" s="5" t="s">
        <v>240</v>
      </c>
      <c r="FE1898" s="5" t="s">
        <v>240</v>
      </c>
      <c r="FF1898" s="5" t="s">
        <v>240</v>
      </c>
      <c r="FG1898" s="5" t="s">
        <v>240</v>
      </c>
      <c r="FH1898" s="5" t="s">
        <v>240</v>
      </c>
      <c r="FI1898" s="5" t="s">
        <v>240</v>
      </c>
      <c r="FJ1898" s="5" t="s">
        <v>240</v>
      </c>
      <c r="FK1898" s="5" t="s">
        <v>240</v>
      </c>
      <c r="FL1898" s="5" t="s">
        <v>240</v>
      </c>
      <c r="FM1898" s="5" t="s">
        <v>240</v>
      </c>
      <c r="FN1898" s="5" t="s">
        <v>240</v>
      </c>
      <c r="FO1898" s="5" t="s">
        <v>240</v>
      </c>
      <c r="FP1898" s="5" t="s">
        <v>240</v>
      </c>
      <c r="FQ1898" s="5" t="s">
        <v>240</v>
      </c>
      <c r="FR1898" s="5" t="s">
        <v>240</v>
      </c>
      <c r="FS1898" s="5" t="s">
        <v>240</v>
      </c>
      <c r="FT1898" s="5" t="s">
        <v>240</v>
      </c>
      <c r="FU1898" s="5" t="s">
        <v>240</v>
      </c>
      <c r="FV1898" s="5" t="s">
        <v>240</v>
      </c>
      <c r="FW1898" s="5" t="s">
        <v>240</v>
      </c>
      <c r="FX1898" s="5" t="s">
        <v>240</v>
      </c>
      <c r="FY1898" s="5" t="s">
        <v>240</v>
      </c>
      <c r="FZ1898" s="5" t="s">
        <v>240</v>
      </c>
      <c r="GA1898" s="5" t="s">
        <v>240</v>
      </c>
      <c r="GB1898" s="5" t="s">
        <v>240</v>
      </c>
      <c r="GC1898" s="5" t="s">
        <v>240</v>
      </c>
      <c r="GD1898" s="5" t="s">
        <v>240</v>
      </c>
      <c r="GE1898" s="5" t="s">
        <v>240</v>
      </c>
      <c r="GF1898" s="5" t="s">
        <v>240</v>
      </c>
      <c r="GG1898" s="5" t="s">
        <v>240</v>
      </c>
      <c r="GH1898" s="5" t="s">
        <v>240</v>
      </c>
      <c r="GI1898" s="5" t="s">
        <v>240</v>
      </c>
      <c r="GJ1898" s="5" t="s">
        <v>240</v>
      </c>
      <c r="GK1898" s="5" t="s">
        <v>240</v>
      </c>
      <c r="GL1898" s="5" t="s">
        <v>240</v>
      </c>
      <c r="GM1898" s="5" t="s">
        <v>240</v>
      </c>
      <c r="GN1898" s="5" t="s">
        <v>240</v>
      </c>
      <c r="GO1898" s="5" t="s">
        <v>240</v>
      </c>
      <c r="GP1898" s="5" t="s">
        <v>240</v>
      </c>
      <c r="GQ1898" s="5" t="s">
        <v>240</v>
      </c>
      <c r="GR1898" s="5" t="s">
        <v>240</v>
      </c>
      <c r="GS1898" s="5" t="s">
        <v>240</v>
      </c>
      <c r="GT1898" s="5" t="s">
        <v>240</v>
      </c>
      <c r="GU1898" s="5" t="s">
        <v>240</v>
      </c>
      <c r="GV1898" s="5" t="s">
        <v>240</v>
      </c>
      <c r="GW1898" s="5" t="s">
        <v>240</v>
      </c>
      <c r="GX1898" s="5" t="s">
        <v>240</v>
      </c>
      <c r="GY1898" s="5" t="s">
        <v>240</v>
      </c>
      <c r="GZ1898" s="5" t="s">
        <v>240</v>
      </c>
      <c r="HA1898" s="5" t="s">
        <v>240</v>
      </c>
      <c r="HB1898" s="5" t="s">
        <v>240</v>
      </c>
      <c r="HC1898" s="5" t="s">
        <v>240</v>
      </c>
      <c r="HD1898" s="5" t="s">
        <v>240</v>
      </c>
      <c r="HE1898" s="5" t="s">
        <v>240</v>
      </c>
      <c r="HF1898" s="5" t="s">
        <v>240</v>
      </c>
      <c r="HG1898" s="5" t="s">
        <v>240</v>
      </c>
      <c r="HH1898" s="5" t="s">
        <v>240</v>
      </c>
      <c r="HI1898" s="5" t="s">
        <v>240</v>
      </c>
      <c r="HJ1898" s="5" t="s">
        <v>240</v>
      </c>
      <c r="HK1898" s="5" t="s">
        <v>240</v>
      </c>
      <c r="HL1898" s="5" t="s">
        <v>240</v>
      </c>
      <c r="HM1898" s="5" t="s">
        <v>240</v>
      </c>
      <c r="HN1898" s="5" t="s">
        <v>240</v>
      </c>
      <c r="HO1898" s="5" t="s">
        <v>620</v>
      </c>
      <c r="HP1898" s="5" t="s">
        <v>240</v>
      </c>
      <c r="HQ1898" s="5" t="s">
        <v>240</v>
      </c>
      <c r="HR1898" s="5" t="s">
        <v>240</v>
      </c>
      <c r="HS1898" s="5" t="s">
        <v>240</v>
      </c>
      <c r="HT1898" s="5" t="s">
        <v>240</v>
      </c>
      <c r="HU1898" s="5" t="s">
        <v>240</v>
      </c>
      <c r="HV1898" s="5" t="s">
        <v>240</v>
      </c>
      <c r="HW1898" s="5" t="s">
        <v>240</v>
      </c>
      <c r="HX1898" s="5" t="s">
        <v>240</v>
      </c>
      <c r="HY1898" s="5" t="s">
        <v>240</v>
      </c>
      <c r="HZ1898" s="5" t="s">
        <v>240</v>
      </c>
      <c r="IA1898" s="5" t="s">
        <v>240</v>
      </c>
      <c r="IB1898" s="5" t="s">
        <v>240</v>
      </c>
      <c r="IC1898" s="5" t="s">
        <v>240</v>
      </c>
      <c r="ID1898" s="5" t="s">
        <v>240</v>
      </c>
      <c r="IE1898" s="5" t="s">
        <v>240</v>
      </c>
      <c r="IF1898" s="5" t="s">
        <v>240</v>
      </c>
    </row>
    <row r="1899" spans="1:240" x14ac:dyDescent="0.4">
      <c r="A1899" s="5">
        <v>3600</v>
      </c>
      <c r="B1899" s="5">
        <v>1</v>
      </c>
      <c r="C1899" s="5">
        <v>1</v>
      </c>
      <c r="D1899" s="5" t="s">
        <v>297</v>
      </c>
      <c r="E1899" s="5" t="s">
        <v>245</v>
      </c>
      <c r="F1899" s="5" t="s">
        <v>254</v>
      </c>
      <c r="G1899" s="5" t="s">
        <v>240</v>
      </c>
      <c r="H1899" s="6" t="s">
        <v>6512</v>
      </c>
      <c r="I1899" s="5" t="s">
        <v>6510</v>
      </c>
      <c r="J1899" s="8">
        <f>382.85</f>
        <v>382.85</v>
      </c>
      <c r="K1899" s="5" t="s">
        <v>308</v>
      </c>
      <c r="L1899" s="7">
        <f>721630</f>
        <v>721630</v>
      </c>
      <c r="M1899" s="7">
        <f>721630</f>
        <v>721630</v>
      </c>
      <c r="N1899" s="5" t="s">
        <v>242</v>
      </c>
      <c r="O1899" s="5">
        <v>1</v>
      </c>
      <c r="P1899" s="5" t="s">
        <v>294</v>
      </c>
      <c r="Q1899" s="5" t="s">
        <v>266</v>
      </c>
      <c r="R1899" s="5" t="s">
        <v>240</v>
      </c>
      <c r="S1899" s="5" t="s">
        <v>240</v>
      </c>
      <c r="T1899" s="5" t="s">
        <v>296</v>
      </c>
      <c r="U1899" s="5" t="s">
        <v>244</v>
      </c>
      <c r="V1899" s="5" t="s">
        <v>240</v>
      </c>
      <c r="Y1899" s="5" t="s">
        <v>240</v>
      </c>
      <c r="Z1899" s="6" t="s">
        <v>298</v>
      </c>
      <c r="AB1899" s="6" t="s">
        <v>240</v>
      </c>
      <c r="AE1899" s="6" t="s">
        <v>299</v>
      </c>
      <c r="AF1899" s="5" t="s">
        <v>248</v>
      </c>
      <c r="AG1899" s="5" t="s">
        <v>249</v>
      </c>
      <c r="AW1899" s="5" t="s">
        <v>251</v>
      </c>
      <c r="AX1899" s="5" t="s">
        <v>240</v>
      </c>
      <c r="AY1899" s="5" t="s">
        <v>253</v>
      </c>
      <c r="AZ1899" s="5" t="s">
        <v>240</v>
      </c>
      <c r="BA1899" s="5" t="s">
        <v>255</v>
      </c>
      <c r="BB1899" s="5" t="s">
        <v>240</v>
      </c>
      <c r="BD1899" s="5" t="s">
        <v>240</v>
      </c>
      <c r="BF1899" s="5" t="s">
        <v>301</v>
      </c>
      <c r="BG1899" s="6" t="s">
        <v>299</v>
      </c>
      <c r="BH1899" s="5" t="s">
        <v>302</v>
      </c>
      <c r="BI1899" s="5" t="s">
        <v>303</v>
      </c>
      <c r="BJ1899" s="5" t="s">
        <v>240</v>
      </c>
      <c r="BK1899" s="8">
        <f>0</f>
        <v>0</v>
      </c>
      <c r="BL1899" s="7">
        <f>0</f>
        <v>0</v>
      </c>
      <c r="BM1899" s="5" t="s">
        <v>258</v>
      </c>
      <c r="BN1899" s="5" t="s">
        <v>259</v>
      </c>
      <c r="CB1899" s="5" t="s">
        <v>240</v>
      </c>
      <c r="CC1899" s="5" t="s">
        <v>240</v>
      </c>
      <c r="CG1899" s="5" t="s">
        <v>304</v>
      </c>
      <c r="CH1899" s="5" t="s">
        <v>305</v>
      </c>
      <c r="CI1899" s="5" t="s">
        <v>240</v>
      </c>
      <c r="CL1899" s="6" t="s">
        <v>261</v>
      </c>
      <c r="CM1899" s="5" t="s">
        <v>240</v>
      </c>
      <c r="CN1899" s="5" t="s">
        <v>263</v>
      </c>
      <c r="CO1899" s="5" t="s">
        <v>240</v>
      </c>
      <c r="CP1899" s="5" t="s">
        <v>240</v>
      </c>
      <c r="CQ1899" s="5">
        <v>0</v>
      </c>
      <c r="CR1899" s="5" t="s">
        <v>306</v>
      </c>
      <c r="CS1899" s="5" t="s">
        <v>307</v>
      </c>
      <c r="CT1899" s="5" t="s">
        <v>307</v>
      </c>
      <c r="CU1899" s="5" t="s">
        <v>260</v>
      </c>
      <c r="CX1899" s="7">
        <f>1</f>
        <v>1</v>
      </c>
      <c r="CY1899" s="7">
        <f>0</f>
        <v>0</v>
      </c>
      <c r="DA1899" s="7">
        <f>0</f>
        <v>0</v>
      </c>
      <c r="DC1899" s="5" t="s">
        <v>309</v>
      </c>
      <c r="DD1899" s="5" t="s">
        <v>240</v>
      </c>
      <c r="DF1899" s="5" t="s">
        <v>309</v>
      </c>
      <c r="DG1899" s="7">
        <f>1804</f>
        <v>1804</v>
      </c>
      <c r="DI1899" s="5" t="s">
        <v>240</v>
      </c>
      <c r="DJ1899" s="5" t="s">
        <v>240</v>
      </c>
      <c r="DK1899" s="5" t="s">
        <v>240</v>
      </c>
      <c r="DL1899" s="5" t="s">
        <v>240</v>
      </c>
      <c r="DP1899" s="5" t="s">
        <v>240</v>
      </c>
      <c r="DQ1899" s="5" t="s">
        <v>240</v>
      </c>
      <c r="DR1899" s="5" t="s">
        <v>240</v>
      </c>
      <c r="DS1899" s="5" t="s">
        <v>240</v>
      </c>
      <c r="DV1899" s="5" t="s">
        <v>310</v>
      </c>
      <c r="DW1899" s="5" t="s">
        <v>3663</v>
      </c>
      <c r="HO1899" s="5" t="s">
        <v>312</v>
      </c>
    </row>
    <row r="1900" spans="1:240" x14ac:dyDescent="0.4">
      <c r="A1900" s="5">
        <v>3601</v>
      </c>
      <c r="B1900" s="5">
        <v>1</v>
      </c>
      <c r="C1900" s="5">
        <v>1</v>
      </c>
      <c r="D1900" s="5" t="s">
        <v>297</v>
      </c>
      <c r="E1900" s="5" t="s">
        <v>245</v>
      </c>
      <c r="F1900" s="5" t="s">
        <v>254</v>
      </c>
      <c r="G1900" s="5" t="s">
        <v>240</v>
      </c>
      <c r="H1900" s="6" t="s">
        <v>6512</v>
      </c>
      <c r="I1900" s="5" t="s">
        <v>6514</v>
      </c>
      <c r="J1900" s="8">
        <f>0</f>
        <v>0</v>
      </c>
      <c r="K1900" s="5" t="s">
        <v>308</v>
      </c>
      <c r="L1900" s="7">
        <f>9238173</f>
        <v>9238173</v>
      </c>
      <c r="M1900" s="7">
        <f>9238173</f>
        <v>9238173</v>
      </c>
      <c r="N1900" s="5" t="s">
        <v>242</v>
      </c>
      <c r="O1900" s="5">
        <v>1</v>
      </c>
      <c r="P1900" s="5" t="s">
        <v>294</v>
      </c>
      <c r="Q1900" s="5" t="s">
        <v>266</v>
      </c>
      <c r="R1900" s="5" t="s">
        <v>240</v>
      </c>
      <c r="S1900" s="5" t="s">
        <v>240</v>
      </c>
      <c r="T1900" s="5" t="s">
        <v>296</v>
      </c>
      <c r="U1900" s="5" t="s">
        <v>244</v>
      </c>
      <c r="V1900" s="5" t="s">
        <v>240</v>
      </c>
      <c r="Y1900" s="5" t="s">
        <v>240</v>
      </c>
      <c r="Z1900" s="6" t="s">
        <v>298</v>
      </c>
      <c r="AB1900" s="6" t="s">
        <v>240</v>
      </c>
      <c r="AE1900" s="6" t="s">
        <v>299</v>
      </c>
      <c r="AF1900" s="5" t="s">
        <v>248</v>
      </c>
      <c r="AG1900" s="5" t="s">
        <v>249</v>
      </c>
      <c r="AW1900" s="5" t="s">
        <v>251</v>
      </c>
      <c r="AX1900" s="5" t="s">
        <v>240</v>
      </c>
      <c r="AY1900" s="5" t="s">
        <v>253</v>
      </c>
      <c r="AZ1900" s="5" t="s">
        <v>240</v>
      </c>
      <c r="BA1900" s="5" t="s">
        <v>255</v>
      </c>
      <c r="BB1900" s="5" t="s">
        <v>240</v>
      </c>
      <c r="BD1900" s="5" t="s">
        <v>240</v>
      </c>
      <c r="BF1900" s="5" t="s">
        <v>301</v>
      </c>
      <c r="BG1900" s="6" t="s">
        <v>299</v>
      </c>
      <c r="BH1900" s="5" t="s">
        <v>302</v>
      </c>
      <c r="BI1900" s="5" t="s">
        <v>303</v>
      </c>
      <c r="BJ1900" s="5" t="s">
        <v>240</v>
      </c>
      <c r="BK1900" s="8">
        <f>0</f>
        <v>0</v>
      </c>
      <c r="BL1900" s="7">
        <f>0</f>
        <v>0</v>
      </c>
      <c r="BM1900" s="5" t="s">
        <v>258</v>
      </c>
      <c r="BN1900" s="5" t="s">
        <v>259</v>
      </c>
      <c r="CB1900" s="5" t="s">
        <v>240</v>
      </c>
      <c r="CC1900" s="5" t="s">
        <v>240</v>
      </c>
      <c r="CG1900" s="5" t="s">
        <v>304</v>
      </c>
      <c r="CH1900" s="5" t="s">
        <v>305</v>
      </c>
      <c r="CI1900" s="5" t="s">
        <v>240</v>
      </c>
      <c r="CL1900" s="6" t="s">
        <v>261</v>
      </c>
      <c r="CM1900" s="5" t="s">
        <v>240</v>
      </c>
      <c r="CN1900" s="5" t="s">
        <v>263</v>
      </c>
      <c r="CO1900" s="5" t="s">
        <v>240</v>
      </c>
      <c r="CP1900" s="5" t="s">
        <v>240</v>
      </c>
      <c r="CQ1900" s="5">
        <v>0</v>
      </c>
      <c r="CR1900" s="5" t="s">
        <v>306</v>
      </c>
      <c r="CS1900" s="5" t="s">
        <v>307</v>
      </c>
      <c r="CT1900" s="5" t="s">
        <v>307</v>
      </c>
      <c r="CU1900" s="5" t="s">
        <v>260</v>
      </c>
      <c r="CX1900" s="7">
        <f>1</f>
        <v>1</v>
      </c>
      <c r="CY1900" s="7">
        <f>0</f>
        <v>0</v>
      </c>
      <c r="DA1900" s="7">
        <f>0</f>
        <v>0</v>
      </c>
      <c r="DC1900" s="5" t="s">
        <v>309</v>
      </c>
      <c r="DD1900" s="5" t="s">
        <v>240</v>
      </c>
      <c r="DF1900" s="5" t="s">
        <v>309</v>
      </c>
      <c r="DG1900" s="7">
        <f>2168</f>
        <v>2168</v>
      </c>
      <c r="DI1900" s="5" t="s">
        <v>240</v>
      </c>
      <c r="DJ1900" s="5" t="s">
        <v>240</v>
      </c>
      <c r="DK1900" s="5" t="s">
        <v>240</v>
      </c>
      <c r="DL1900" s="5" t="s">
        <v>240</v>
      </c>
      <c r="DP1900" s="5" t="s">
        <v>240</v>
      </c>
      <c r="DQ1900" s="5" t="s">
        <v>240</v>
      </c>
      <c r="DR1900" s="5" t="s">
        <v>240</v>
      </c>
      <c r="DS1900" s="5" t="s">
        <v>240</v>
      </c>
      <c r="DV1900" s="5" t="s">
        <v>310</v>
      </c>
      <c r="DW1900" s="5" t="s">
        <v>3671</v>
      </c>
      <c r="HO1900" s="5" t="s">
        <v>312</v>
      </c>
    </row>
    <row r="1901" spans="1:240" x14ac:dyDescent="0.4">
      <c r="A1901" s="5">
        <v>3602</v>
      </c>
      <c r="B1901" s="5">
        <v>1</v>
      </c>
      <c r="C1901" s="5">
        <v>1</v>
      </c>
      <c r="D1901" s="5" t="s">
        <v>297</v>
      </c>
      <c r="E1901" s="5" t="s">
        <v>245</v>
      </c>
      <c r="F1901" s="5" t="s">
        <v>254</v>
      </c>
      <c r="G1901" s="5" t="s">
        <v>240</v>
      </c>
      <c r="H1901" s="6" t="s">
        <v>6518</v>
      </c>
      <c r="I1901" s="5" t="s">
        <v>6517</v>
      </c>
      <c r="J1901" s="8">
        <f>398.42</f>
        <v>398.42</v>
      </c>
      <c r="K1901" s="5" t="s">
        <v>308</v>
      </c>
      <c r="L1901" s="7">
        <f>1903083</f>
        <v>1903083</v>
      </c>
      <c r="M1901" s="7">
        <f>1903083</f>
        <v>1903083</v>
      </c>
      <c r="N1901" s="5" t="s">
        <v>242</v>
      </c>
      <c r="O1901" s="5">
        <v>1</v>
      </c>
      <c r="P1901" s="5" t="s">
        <v>294</v>
      </c>
      <c r="Q1901" s="5" t="s">
        <v>613</v>
      </c>
      <c r="R1901" s="5" t="s">
        <v>240</v>
      </c>
      <c r="S1901" s="5" t="s">
        <v>240</v>
      </c>
      <c r="T1901" s="5" t="s">
        <v>243</v>
      </c>
      <c r="U1901" s="5" t="s">
        <v>724</v>
      </c>
      <c r="V1901" s="5" t="s">
        <v>240</v>
      </c>
      <c r="W1901" s="5" t="s">
        <v>240</v>
      </c>
      <c r="X1901" s="5" t="s">
        <v>240</v>
      </c>
      <c r="Y1901" s="5" t="s">
        <v>240</v>
      </c>
      <c r="Z1901" s="6" t="s">
        <v>298</v>
      </c>
      <c r="AA1901" s="6" t="s">
        <v>240</v>
      </c>
      <c r="AB1901" s="6" t="s">
        <v>240</v>
      </c>
      <c r="AC1901" s="5" t="s">
        <v>240</v>
      </c>
      <c r="AD1901" s="6" t="s">
        <v>240</v>
      </c>
      <c r="AE1901" s="6" t="s">
        <v>299</v>
      </c>
      <c r="AF1901" s="5" t="s">
        <v>727</v>
      </c>
      <c r="AG1901" s="5" t="s">
        <v>260</v>
      </c>
      <c r="AH1901" s="5" t="s">
        <v>240</v>
      </c>
      <c r="AI1901" s="5" t="s">
        <v>240</v>
      </c>
      <c r="AJ1901" s="5" t="s">
        <v>240</v>
      </c>
      <c r="AK1901" s="5" t="s">
        <v>240</v>
      </c>
      <c r="AL1901" s="5" t="s">
        <v>240</v>
      </c>
      <c r="AM1901" s="5" t="s">
        <v>240</v>
      </c>
      <c r="AN1901" s="5" t="s">
        <v>240</v>
      </c>
      <c r="AO1901" s="5" t="s">
        <v>240</v>
      </c>
      <c r="AP1901" s="6" t="s">
        <v>240</v>
      </c>
      <c r="AQ1901" s="6" t="s">
        <v>240</v>
      </c>
      <c r="AR1901" s="6" t="s">
        <v>240</v>
      </c>
      <c r="AS1901" s="6" t="s">
        <v>240</v>
      </c>
      <c r="AT1901" s="5" t="s">
        <v>240</v>
      </c>
      <c r="AU1901" s="5" t="s">
        <v>729</v>
      </c>
      <c r="AV1901" s="5" t="s">
        <v>729</v>
      </c>
      <c r="AW1901" s="5" t="s">
        <v>251</v>
      </c>
      <c r="AX1901" s="5" t="s">
        <v>252</v>
      </c>
      <c r="AY1901" s="5" t="s">
        <v>253</v>
      </c>
      <c r="AZ1901" s="5" t="s">
        <v>240</v>
      </c>
      <c r="BA1901" s="5" t="s">
        <v>255</v>
      </c>
      <c r="BB1901" s="5" t="s">
        <v>731</v>
      </c>
      <c r="BD1901" s="5" t="s">
        <v>240</v>
      </c>
      <c r="BF1901" s="5" t="s">
        <v>732</v>
      </c>
      <c r="BG1901" s="6" t="s">
        <v>733</v>
      </c>
      <c r="BH1901" s="5" t="s">
        <v>734</v>
      </c>
      <c r="BI1901" s="5" t="s">
        <v>734</v>
      </c>
      <c r="BJ1901" s="5" t="s">
        <v>240</v>
      </c>
      <c r="BK1901" s="8">
        <f>3127</f>
        <v>3127</v>
      </c>
      <c r="BL1901" s="7">
        <f>0</f>
        <v>0</v>
      </c>
      <c r="BM1901" s="5" t="s">
        <v>258</v>
      </c>
      <c r="BN1901" s="5" t="s">
        <v>259</v>
      </c>
      <c r="BO1901" s="5" t="s">
        <v>240</v>
      </c>
      <c r="BP1901" s="5" t="s">
        <v>240</v>
      </c>
      <c r="BQ1901" s="5" t="s">
        <v>240</v>
      </c>
      <c r="BR1901" s="5" t="s">
        <v>240</v>
      </c>
      <c r="BS1901" s="5" t="s">
        <v>240</v>
      </c>
      <c r="BT1901" s="5" t="s">
        <v>240</v>
      </c>
      <c r="BU1901" s="5" t="s">
        <v>240</v>
      </c>
      <c r="BV1901" s="5" t="s">
        <v>240</v>
      </c>
      <c r="BW1901" s="6" t="s">
        <v>240</v>
      </c>
      <c r="BX1901" s="5" t="s">
        <v>240</v>
      </c>
      <c r="BY1901" s="5" t="s">
        <v>240</v>
      </c>
      <c r="BZ1901" s="5" t="s">
        <v>240</v>
      </c>
      <c r="CA1901" s="5" t="s">
        <v>259</v>
      </c>
      <c r="CB1901" s="5" t="s">
        <v>240</v>
      </c>
      <c r="CC1901" s="5" t="s">
        <v>240</v>
      </c>
      <c r="CD1901" s="5" t="s">
        <v>240</v>
      </c>
      <c r="CE1901" s="5" t="s">
        <v>240</v>
      </c>
      <c r="CF1901" s="5" t="s">
        <v>240</v>
      </c>
      <c r="CG1901" s="5" t="s">
        <v>617</v>
      </c>
      <c r="CH1901" s="5" t="s">
        <v>305</v>
      </c>
      <c r="CI1901" s="5" t="s">
        <v>240</v>
      </c>
      <c r="CL1901" s="6" t="s">
        <v>261</v>
      </c>
      <c r="CM1901" s="5" t="s">
        <v>262</v>
      </c>
      <c r="CN1901" s="5" t="s">
        <v>263</v>
      </c>
      <c r="CO1901" s="5" t="s">
        <v>264</v>
      </c>
      <c r="CP1901" s="5" t="s">
        <v>240</v>
      </c>
      <c r="CQ1901" s="5">
        <v>0</v>
      </c>
      <c r="CR1901" s="5" t="s">
        <v>735</v>
      </c>
      <c r="CS1901" s="5" t="s">
        <v>307</v>
      </c>
      <c r="CT1901" s="5" t="s">
        <v>307</v>
      </c>
      <c r="CU1901" s="5" t="s">
        <v>260</v>
      </c>
      <c r="CV1901" s="5" t="s">
        <v>240</v>
      </c>
      <c r="CW1901" s="8">
        <f>0</f>
        <v>0</v>
      </c>
      <c r="CX1901" s="7">
        <f>0</f>
        <v>0</v>
      </c>
      <c r="CY1901" s="7">
        <f>0</f>
        <v>0</v>
      </c>
      <c r="DA1901" s="7">
        <f>34397</f>
        <v>34397</v>
      </c>
      <c r="DB1901" s="7" t="s">
        <v>240</v>
      </c>
      <c r="DC1901" s="5" t="s">
        <v>240</v>
      </c>
      <c r="DD1901" s="5" t="s">
        <v>240</v>
      </c>
      <c r="DE1901" s="5" t="s">
        <v>240</v>
      </c>
      <c r="DF1901" s="5" t="s">
        <v>450</v>
      </c>
      <c r="DG1901" s="7">
        <f>0</f>
        <v>0</v>
      </c>
      <c r="DI1901" s="5" t="s">
        <v>737</v>
      </c>
      <c r="DJ1901" s="5" t="s">
        <v>240</v>
      </c>
      <c r="DK1901" s="5" t="s">
        <v>240</v>
      </c>
      <c r="DL1901" s="5" t="s">
        <v>240</v>
      </c>
      <c r="DM1901" s="5" t="s">
        <v>240</v>
      </c>
      <c r="DN1901" s="5" t="s">
        <v>240</v>
      </c>
      <c r="DO1901" s="7" t="s">
        <v>240</v>
      </c>
      <c r="DP1901" s="5" t="s">
        <v>240</v>
      </c>
      <c r="DQ1901" s="5" t="s">
        <v>240</v>
      </c>
      <c r="DR1901" s="5" t="s">
        <v>731</v>
      </c>
      <c r="DS1901" s="5" t="s">
        <v>731</v>
      </c>
      <c r="DT1901" s="5" t="s">
        <v>240</v>
      </c>
      <c r="DU1901" s="5" t="s">
        <v>240</v>
      </c>
      <c r="DV1901" s="5" t="s">
        <v>738</v>
      </c>
      <c r="DW1901" s="5" t="s">
        <v>680</v>
      </c>
      <c r="DX1901" s="5" t="s">
        <v>240</v>
      </c>
      <c r="DY1901" s="5" t="s">
        <v>240</v>
      </c>
      <c r="DZ1901" s="5" t="s">
        <v>240</v>
      </c>
      <c r="EA1901" s="5" t="s">
        <v>240</v>
      </c>
      <c r="EB1901" s="5" t="s">
        <v>240</v>
      </c>
      <c r="EC1901" s="5" t="s">
        <v>240</v>
      </c>
      <c r="ED1901" s="5" t="s">
        <v>240</v>
      </c>
      <c r="EE1901" s="5" t="s">
        <v>240</v>
      </c>
      <c r="EF1901" s="5" t="s">
        <v>240</v>
      </c>
      <c r="EG1901" s="5" t="s">
        <v>240</v>
      </c>
      <c r="EH1901" s="5" t="s">
        <v>240</v>
      </c>
      <c r="EI1901" s="5" t="s">
        <v>240</v>
      </c>
      <c r="EJ1901" s="5" t="s">
        <v>240</v>
      </c>
      <c r="EK1901" s="5" t="s">
        <v>240</v>
      </c>
      <c r="EL1901" s="5" t="s">
        <v>240</v>
      </c>
      <c r="EM1901" s="5" t="s">
        <v>240</v>
      </c>
      <c r="EN1901" s="5" t="s">
        <v>240</v>
      </c>
      <c r="EO1901" s="5" t="s">
        <v>240</v>
      </c>
      <c r="EP1901" s="5" t="s">
        <v>240</v>
      </c>
      <c r="EQ1901" s="5" t="s">
        <v>240</v>
      </c>
      <c r="ER1901" s="5" t="s">
        <v>240</v>
      </c>
      <c r="ES1901" s="5" t="s">
        <v>240</v>
      </c>
      <c r="ET1901" s="5" t="s">
        <v>240</v>
      </c>
      <c r="EU1901" s="5" t="s">
        <v>240</v>
      </c>
      <c r="EV1901" s="5" t="s">
        <v>240</v>
      </c>
      <c r="EW1901" s="5" t="s">
        <v>240</v>
      </c>
      <c r="EX1901" s="5" t="s">
        <v>240</v>
      </c>
      <c r="EY1901" s="5" t="s">
        <v>240</v>
      </c>
      <c r="EZ1901" s="5" t="s">
        <v>240</v>
      </c>
      <c r="FA1901" s="5" t="s">
        <v>240</v>
      </c>
      <c r="FB1901" s="5" t="s">
        <v>240</v>
      </c>
      <c r="FC1901" s="5" t="s">
        <v>240</v>
      </c>
      <c r="FD1901" s="5" t="s">
        <v>240</v>
      </c>
      <c r="FE1901" s="5" t="s">
        <v>240</v>
      </c>
      <c r="FF1901" s="5" t="s">
        <v>240</v>
      </c>
      <c r="FG1901" s="5" t="s">
        <v>240</v>
      </c>
      <c r="FH1901" s="5" t="s">
        <v>240</v>
      </c>
      <c r="FI1901" s="5" t="s">
        <v>240</v>
      </c>
      <c r="FJ1901" s="5" t="s">
        <v>240</v>
      </c>
      <c r="FK1901" s="5" t="s">
        <v>240</v>
      </c>
      <c r="FL1901" s="5" t="s">
        <v>240</v>
      </c>
      <c r="FM1901" s="5" t="s">
        <v>240</v>
      </c>
      <c r="FN1901" s="5" t="s">
        <v>240</v>
      </c>
      <c r="FO1901" s="5" t="s">
        <v>240</v>
      </c>
      <c r="FP1901" s="5" t="s">
        <v>240</v>
      </c>
      <c r="FQ1901" s="5" t="s">
        <v>240</v>
      </c>
      <c r="FR1901" s="5" t="s">
        <v>240</v>
      </c>
      <c r="FS1901" s="5" t="s">
        <v>240</v>
      </c>
      <c r="FT1901" s="5" t="s">
        <v>240</v>
      </c>
      <c r="FU1901" s="5" t="s">
        <v>240</v>
      </c>
      <c r="FV1901" s="5" t="s">
        <v>240</v>
      </c>
      <c r="FW1901" s="5" t="s">
        <v>240</v>
      </c>
      <c r="FX1901" s="5" t="s">
        <v>240</v>
      </c>
      <c r="FY1901" s="5" t="s">
        <v>240</v>
      </c>
      <c r="FZ1901" s="5" t="s">
        <v>240</v>
      </c>
      <c r="GA1901" s="5" t="s">
        <v>240</v>
      </c>
      <c r="GB1901" s="5" t="s">
        <v>240</v>
      </c>
      <c r="GC1901" s="5" t="s">
        <v>240</v>
      </c>
      <c r="GD1901" s="5" t="s">
        <v>240</v>
      </c>
      <c r="GE1901" s="5" t="s">
        <v>240</v>
      </c>
      <c r="GF1901" s="5" t="s">
        <v>240</v>
      </c>
      <c r="GG1901" s="5" t="s">
        <v>240</v>
      </c>
      <c r="GH1901" s="5" t="s">
        <v>240</v>
      </c>
      <c r="GI1901" s="5" t="s">
        <v>240</v>
      </c>
      <c r="GJ1901" s="5" t="s">
        <v>240</v>
      </c>
      <c r="GK1901" s="5" t="s">
        <v>240</v>
      </c>
      <c r="GL1901" s="5" t="s">
        <v>240</v>
      </c>
      <c r="GM1901" s="5" t="s">
        <v>240</v>
      </c>
      <c r="GN1901" s="5" t="s">
        <v>240</v>
      </c>
      <c r="GO1901" s="5" t="s">
        <v>240</v>
      </c>
      <c r="GP1901" s="5" t="s">
        <v>240</v>
      </c>
      <c r="GQ1901" s="5" t="s">
        <v>240</v>
      </c>
      <c r="GR1901" s="5" t="s">
        <v>240</v>
      </c>
      <c r="GS1901" s="5" t="s">
        <v>240</v>
      </c>
      <c r="GT1901" s="5" t="s">
        <v>240</v>
      </c>
      <c r="GU1901" s="5" t="s">
        <v>240</v>
      </c>
      <c r="GV1901" s="5" t="s">
        <v>240</v>
      </c>
      <c r="GW1901" s="5" t="s">
        <v>240</v>
      </c>
      <c r="GX1901" s="5" t="s">
        <v>240</v>
      </c>
      <c r="GY1901" s="5" t="s">
        <v>240</v>
      </c>
      <c r="GZ1901" s="5" t="s">
        <v>240</v>
      </c>
      <c r="HA1901" s="5" t="s">
        <v>240</v>
      </c>
      <c r="HB1901" s="5" t="s">
        <v>240</v>
      </c>
      <c r="HC1901" s="5" t="s">
        <v>240</v>
      </c>
      <c r="HD1901" s="5" t="s">
        <v>240</v>
      </c>
      <c r="HE1901" s="5" t="s">
        <v>240</v>
      </c>
      <c r="HF1901" s="5" t="s">
        <v>240</v>
      </c>
      <c r="HG1901" s="5" t="s">
        <v>240</v>
      </c>
      <c r="HH1901" s="5" t="s">
        <v>240</v>
      </c>
      <c r="HI1901" s="5" t="s">
        <v>240</v>
      </c>
      <c r="HJ1901" s="5" t="s">
        <v>240</v>
      </c>
      <c r="HK1901" s="5" t="s">
        <v>240</v>
      </c>
      <c r="HL1901" s="5" t="s">
        <v>240</v>
      </c>
      <c r="HM1901" s="5" t="s">
        <v>240</v>
      </c>
      <c r="HN1901" s="5" t="s">
        <v>240</v>
      </c>
      <c r="HO1901" s="5" t="s">
        <v>312</v>
      </c>
      <c r="HP1901" s="5" t="s">
        <v>240</v>
      </c>
      <c r="HQ1901" s="5" t="s">
        <v>240</v>
      </c>
      <c r="HR1901" s="5" t="s">
        <v>240</v>
      </c>
      <c r="HS1901" s="5" t="s">
        <v>240</v>
      </c>
      <c r="HT1901" s="5" t="s">
        <v>240</v>
      </c>
      <c r="HU1901" s="5" t="s">
        <v>240</v>
      </c>
      <c r="HV1901" s="5" t="s">
        <v>240</v>
      </c>
      <c r="HW1901" s="5" t="s">
        <v>240</v>
      </c>
      <c r="HX1901" s="5" t="s">
        <v>240</v>
      </c>
      <c r="HY1901" s="5" t="s">
        <v>240</v>
      </c>
      <c r="HZ1901" s="5" t="s">
        <v>240</v>
      </c>
      <c r="IA1901" s="5" t="s">
        <v>240</v>
      </c>
      <c r="IB1901" s="5" t="s">
        <v>240</v>
      </c>
      <c r="IC1901" s="5" t="s">
        <v>240</v>
      </c>
      <c r="ID1901" s="5" t="s">
        <v>240</v>
      </c>
      <c r="IE1901" s="5" t="s">
        <v>240</v>
      </c>
      <c r="IF1901" s="5" t="s">
        <v>240</v>
      </c>
    </row>
    <row r="1902" spans="1:240" x14ac:dyDescent="0.4">
      <c r="A1902" s="5">
        <v>3603</v>
      </c>
      <c r="B1902" s="5">
        <v>1</v>
      </c>
      <c r="C1902" s="5">
        <v>1</v>
      </c>
      <c r="D1902" s="5" t="s">
        <v>297</v>
      </c>
      <c r="E1902" s="5" t="s">
        <v>245</v>
      </c>
      <c r="F1902" s="5" t="s">
        <v>254</v>
      </c>
      <c r="G1902" s="5" t="s">
        <v>240</v>
      </c>
      <c r="H1902" s="6" t="s">
        <v>6518</v>
      </c>
      <c r="I1902" s="5" t="s">
        <v>6520</v>
      </c>
      <c r="J1902" s="8">
        <f>0</f>
        <v>0</v>
      </c>
      <c r="K1902" s="5" t="s">
        <v>308</v>
      </c>
      <c r="L1902" s="7">
        <f>3398158</f>
        <v>3398158</v>
      </c>
      <c r="M1902" s="7">
        <f>3398158</f>
        <v>3398158</v>
      </c>
      <c r="N1902" s="5" t="s">
        <v>242</v>
      </c>
      <c r="O1902" s="5">
        <v>1</v>
      </c>
      <c r="P1902" s="5" t="s">
        <v>294</v>
      </c>
      <c r="Q1902" s="5" t="s">
        <v>266</v>
      </c>
      <c r="R1902" s="5" t="s">
        <v>240</v>
      </c>
      <c r="S1902" s="5" t="s">
        <v>240</v>
      </c>
      <c r="T1902" s="5" t="s">
        <v>296</v>
      </c>
      <c r="U1902" s="5" t="s">
        <v>244</v>
      </c>
      <c r="V1902" s="5" t="s">
        <v>240</v>
      </c>
      <c r="Y1902" s="5" t="s">
        <v>240</v>
      </c>
      <c r="Z1902" s="6" t="s">
        <v>298</v>
      </c>
      <c r="AB1902" s="6" t="s">
        <v>240</v>
      </c>
      <c r="AE1902" s="6" t="s">
        <v>299</v>
      </c>
      <c r="AF1902" s="5" t="s">
        <v>248</v>
      </c>
      <c r="AG1902" s="5" t="s">
        <v>249</v>
      </c>
      <c r="AW1902" s="5" t="s">
        <v>251</v>
      </c>
      <c r="AX1902" s="5" t="s">
        <v>240</v>
      </c>
      <c r="AY1902" s="5" t="s">
        <v>253</v>
      </c>
      <c r="AZ1902" s="5" t="s">
        <v>240</v>
      </c>
      <c r="BA1902" s="5" t="s">
        <v>255</v>
      </c>
      <c r="BB1902" s="5" t="s">
        <v>240</v>
      </c>
      <c r="BD1902" s="5" t="s">
        <v>240</v>
      </c>
      <c r="BF1902" s="5" t="s">
        <v>301</v>
      </c>
      <c r="BG1902" s="6" t="s">
        <v>299</v>
      </c>
      <c r="BH1902" s="5" t="s">
        <v>302</v>
      </c>
      <c r="BI1902" s="5" t="s">
        <v>303</v>
      </c>
      <c r="BJ1902" s="5" t="s">
        <v>240</v>
      </c>
      <c r="BK1902" s="8">
        <f>0</f>
        <v>0</v>
      </c>
      <c r="BL1902" s="7">
        <f>0</f>
        <v>0</v>
      </c>
      <c r="BM1902" s="5" t="s">
        <v>258</v>
      </c>
      <c r="BN1902" s="5" t="s">
        <v>259</v>
      </c>
      <c r="CB1902" s="5" t="s">
        <v>240</v>
      </c>
      <c r="CC1902" s="5" t="s">
        <v>240</v>
      </c>
      <c r="CG1902" s="5" t="s">
        <v>304</v>
      </c>
      <c r="CH1902" s="5" t="s">
        <v>305</v>
      </c>
      <c r="CI1902" s="5" t="s">
        <v>240</v>
      </c>
      <c r="CL1902" s="6" t="s">
        <v>261</v>
      </c>
      <c r="CM1902" s="5" t="s">
        <v>240</v>
      </c>
      <c r="CN1902" s="5" t="s">
        <v>263</v>
      </c>
      <c r="CO1902" s="5" t="s">
        <v>240</v>
      </c>
      <c r="CP1902" s="5" t="s">
        <v>240</v>
      </c>
      <c r="CQ1902" s="5">
        <v>0</v>
      </c>
      <c r="CR1902" s="5" t="s">
        <v>306</v>
      </c>
      <c r="CS1902" s="5" t="s">
        <v>307</v>
      </c>
      <c r="CT1902" s="5" t="s">
        <v>307</v>
      </c>
      <c r="CU1902" s="5" t="s">
        <v>260</v>
      </c>
      <c r="CX1902" s="7">
        <f>1</f>
        <v>1</v>
      </c>
      <c r="CY1902" s="7">
        <f>0</f>
        <v>0</v>
      </c>
      <c r="DA1902" s="7">
        <f>0</f>
        <v>0</v>
      </c>
      <c r="DC1902" s="5" t="s">
        <v>309</v>
      </c>
      <c r="DD1902" s="5" t="s">
        <v>240</v>
      </c>
      <c r="DF1902" s="5" t="s">
        <v>309</v>
      </c>
      <c r="DG1902" s="7">
        <f>1823</f>
        <v>1823</v>
      </c>
      <c r="DI1902" s="5" t="s">
        <v>240</v>
      </c>
      <c r="DJ1902" s="5" t="s">
        <v>240</v>
      </c>
      <c r="DK1902" s="5" t="s">
        <v>240</v>
      </c>
      <c r="DL1902" s="5" t="s">
        <v>240</v>
      </c>
      <c r="DP1902" s="5" t="s">
        <v>240</v>
      </c>
      <c r="DQ1902" s="5" t="s">
        <v>240</v>
      </c>
      <c r="DR1902" s="5" t="s">
        <v>240</v>
      </c>
      <c r="DS1902" s="5" t="s">
        <v>240</v>
      </c>
      <c r="DV1902" s="5" t="s">
        <v>310</v>
      </c>
      <c r="DW1902" s="5" t="s">
        <v>3699</v>
      </c>
      <c r="HO1902" s="5" t="s">
        <v>312</v>
      </c>
    </row>
    <row r="1903" spans="1:240" x14ac:dyDescent="0.4">
      <c r="A1903" s="5">
        <v>3604</v>
      </c>
      <c r="B1903" s="5">
        <v>1</v>
      </c>
      <c r="C1903" s="5">
        <v>1</v>
      </c>
      <c r="D1903" s="5" t="s">
        <v>297</v>
      </c>
      <c r="E1903" s="5" t="s">
        <v>245</v>
      </c>
      <c r="F1903" s="5" t="s">
        <v>254</v>
      </c>
      <c r="G1903" s="5" t="s">
        <v>240</v>
      </c>
      <c r="H1903" s="6" t="s">
        <v>5180</v>
      </c>
      <c r="I1903" s="5" t="s">
        <v>6727</v>
      </c>
      <c r="J1903" s="8">
        <f>0</f>
        <v>0</v>
      </c>
      <c r="K1903" s="5" t="s">
        <v>308</v>
      </c>
      <c r="L1903" s="7">
        <f>1436400</f>
        <v>1436400</v>
      </c>
      <c r="M1903" s="7">
        <f>1436400</f>
        <v>1436400</v>
      </c>
      <c r="N1903" s="5" t="s">
        <v>242</v>
      </c>
      <c r="O1903" s="5">
        <v>1</v>
      </c>
      <c r="P1903" s="5" t="s">
        <v>294</v>
      </c>
      <c r="Q1903" s="5" t="s">
        <v>266</v>
      </c>
      <c r="R1903" s="5" t="s">
        <v>240</v>
      </c>
      <c r="S1903" s="5" t="s">
        <v>240</v>
      </c>
      <c r="T1903" s="5" t="s">
        <v>296</v>
      </c>
      <c r="U1903" s="5" t="s">
        <v>244</v>
      </c>
      <c r="V1903" s="5" t="s">
        <v>240</v>
      </c>
      <c r="Y1903" s="5" t="s">
        <v>240</v>
      </c>
      <c r="Z1903" s="6" t="s">
        <v>298</v>
      </c>
      <c r="AB1903" s="6" t="s">
        <v>240</v>
      </c>
      <c r="AE1903" s="6" t="s">
        <v>299</v>
      </c>
      <c r="AF1903" s="5" t="s">
        <v>248</v>
      </c>
      <c r="AG1903" s="5" t="s">
        <v>249</v>
      </c>
      <c r="AW1903" s="5" t="s">
        <v>251</v>
      </c>
      <c r="AX1903" s="5" t="s">
        <v>240</v>
      </c>
      <c r="AY1903" s="5" t="s">
        <v>253</v>
      </c>
      <c r="AZ1903" s="5" t="s">
        <v>240</v>
      </c>
      <c r="BA1903" s="5" t="s">
        <v>255</v>
      </c>
      <c r="BB1903" s="5" t="s">
        <v>240</v>
      </c>
      <c r="BD1903" s="5" t="s">
        <v>240</v>
      </c>
      <c r="BF1903" s="5" t="s">
        <v>301</v>
      </c>
      <c r="BG1903" s="6" t="s">
        <v>299</v>
      </c>
      <c r="BH1903" s="5" t="s">
        <v>302</v>
      </c>
      <c r="BI1903" s="5" t="s">
        <v>303</v>
      </c>
      <c r="BJ1903" s="5" t="s">
        <v>240</v>
      </c>
      <c r="BK1903" s="8">
        <f>0</f>
        <v>0</v>
      </c>
      <c r="BL1903" s="7">
        <f>0</f>
        <v>0</v>
      </c>
      <c r="BM1903" s="5" t="s">
        <v>258</v>
      </c>
      <c r="BN1903" s="5" t="s">
        <v>259</v>
      </c>
      <c r="CB1903" s="5" t="s">
        <v>240</v>
      </c>
      <c r="CC1903" s="5" t="s">
        <v>240</v>
      </c>
      <c r="CG1903" s="5" t="s">
        <v>304</v>
      </c>
      <c r="CH1903" s="5" t="s">
        <v>305</v>
      </c>
      <c r="CI1903" s="5" t="s">
        <v>240</v>
      </c>
      <c r="CL1903" s="6" t="s">
        <v>261</v>
      </c>
      <c r="CM1903" s="5" t="s">
        <v>240</v>
      </c>
      <c r="CN1903" s="5" t="s">
        <v>263</v>
      </c>
      <c r="CO1903" s="5" t="s">
        <v>240</v>
      </c>
      <c r="CP1903" s="5" t="s">
        <v>240</v>
      </c>
      <c r="CQ1903" s="5">
        <v>0</v>
      </c>
      <c r="CR1903" s="5" t="s">
        <v>306</v>
      </c>
      <c r="CS1903" s="5" t="s">
        <v>307</v>
      </c>
      <c r="CT1903" s="5" t="s">
        <v>307</v>
      </c>
      <c r="CU1903" s="5" t="s">
        <v>260</v>
      </c>
      <c r="CX1903" s="7">
        <f>1</f>
        <v>1</v>
      </c>
      <c r="CY1903" s="7">
        <f>0</f>
        <v>0</v>
      </c>
      <c r="DA1903" s="7">
        <f>0</f>
        <v>0</v>
      </c>
      <c r="DC1903" s="5" t="s">
        <v>309</v>
      </c>
      <c r="DD1903" s="5" t="s">
        <v>240</v>
      </c>
      <c r="DF1903" s="5" t="s">
        <v>309</v>
      </c>
      <c r="DG1903" s="7">
        <f>662</f>
        <v>662</v>
      </c>
      <c r="DI1903" s="5" t="s">
        <v>240</v>
      </c>
      <c r="DJ1903" s="5" t="s">
        <v>240</v>
      </c>
      <c r="DK1903" s="5" t="s">
        <v>240</v>
      </c>
      <c r="DL1903" s="5" t="s">
        <v>240</v>
      </c>
      <c r="DP1903" s="5" t="s">
        <v>240</v>
      </c>
      <c r="DQ1903" s="5" t="s">
        <v>240</v>
      </c>
      <c r="DR1903" s="5" t="s">
        <v>240</v>
      </c>
      <c r="DS1903" s="5" t="s">
        <v>240</v>
      </c>
      <c r="DV1903" s="5" t="s">
        <v>310</v>
      </c>
      <c r="DW1903" s="5" t="s">
        <v>3707</v>
      </c>
      <c r="HO1903" s="5" t="s">
        <v>312</v>
      </c>
    </row>
    <row r="1904" spans="1:240" x14ac:dyDescent="0.4">
      <c r="A1904" s="5">
        <v>3605</v>
      </c>
      <c r="B1904" s="5">
        <v>1</v>
      </c>
      <c r="C1904" s="5">
        <v>1</v>
      </c>
      <c r="D1904" s="5" t="s">
        <v>297</v>
      </c>
      <c r="E1904" s="5" t="s">
        <v>245</v>
      </c>
      <c r="F1904" s="5" t="s">
        <v>254</v>
      </c>
      <c r="G1904" s="5" t="s">
        <v>240</v>
      </c>
      <c r="H1904" s="6" t="s">
        <v>6030</v>
      </c>
      <c r="I1904" s="5" t="s">
        <v>6522</v>
      </c>
      <c r="J1904" s="8">
        <f>721.92</f>
        <v>721.92</v>
      </c>
      <c r="K1904" s="5" t="s">
        <v>308</v>
      </c>
      <c r="L1904" s="7">
        <f>1549106</f>
        <v>1549106</v>
      </c>
      <c r="M1904" s="7">
        <f>1549106</f>
        <v>1549106</v>
      </c>
      <c r="N1904" s="5" t="s">
        <v>242</v>
      </c>
      <c r="O1904" s="5">
        <v>1</v>
      </c>
      <c r="P1904" s="5" t="s">
        <v>294</v>
      </c>
      <c r="Q1904" s="5" t="s">
        <v>3678</v>
      </c>
      <c r="R1904" s="5" t="s">
        <v>240</v>
      </c>
      <c r="S1904" s="5" t="s">
        <v>240</v>
      </c>
      <c r="T1904" s="5" t="s">
        <v>243</v>
      </c>
      <c r="U1904" s="5" t="s">
        <v>244</v>
      </c>
      <c r="V1904" s="5" t="s">
        <v>240</v>
      </c>
      <c r="W1904" s="5" t="s">
        <v>240</v>
      </c>
      <c r="X1904" s="5" t="s">
        <v>240</v>
      </c>
      <c r="Y1904" s="5" t="s">
        <v>240</v>
      </c>
      <c r="Z1904" s="6" t="s">
        <v>298</v>
      </c>
      <c r="AA1904" s="6" t="s">
        <v>240</v>
      </c>
      <c r="AB1904" s="6" t="s">
        <v>240</v>
      </c>
      <c r="AC1904" s="5" t="s">
        <v>240</v>
      </c>
      <c r="AD1904" s="6" t="s">
        <v>240</v>
      </c>
      <c r="AE1904" s="6" t="s">
        <v>299</v>
      </c>
      <c r="AF1904" s="5" t="s">
        <v>248</v>
      </c>
      <c r="AG1904" s="5" t="s">
        <v>249</v>
      </c>
      <c r="AH1904" s="5" t="s">
        <v>240</v>
      </c>
      <c r="AI1904" s="5" t="s">
        <v>240</v>
      </c>
      <c r="AJ1904" s="5" t="s">
        <v>240</v>
      </c>
      <c r="AK1904" s="5" t="s">
        <v>240</v>
      </c>
      <c r="AL1904" s="5" t="s">
        <v>240</v>
      </c>
      <c r="AM1904" s="5" t="s">
        <v>240</v>
      </c>
      <c r="AN1904" s="5" t="s">
        <v>240</v>
      </c>
      <c r="AO1904" s="5" t="s">
        <v>240</v>
      </c>
      <c r="AP1904" s="6" t="s">
        <v>240</v>
      </c>
      <c r="AQ1904" s="6" t="s">
        <v>240</v>
      </c>
      <c r="AR1904" s="6" t="s">
        <v>240</v>
      </c>
      <c r="AS1904" s="6" t="s">
        <v>240</v>
      </c>
      <c r="AT1904" s="5" t="s">
        <v>240</v>
      </c>
      <c r="AU1904" s="5" t="s">
        <v>729</v>
      </c>
      <c r="AV1904" s="5" t="s">
        <v>729</v>
      </c>
      <c r="AW1904" s="5" t="s">
        <v>251</v>
      </c>
      <c r="AX1904" s="5" t="s">
        <v>252</v>
      </c>
      <c r="AY1904" s="5" t="s">
        <v>253</v>
      </c>
      <c r="AZ1904" s="5" t="s">
        <v>240</v>
      </c>
      <c r="BA1904" s="5" t="s">
        <v>255</v>
      </c>
      <c r="BB1904" s="5" t="s">
        <v>731</v>
      </c>
      <c r="BD1904" s="5" t="s">
        <v>240</v>
      </c>
      <c r="BF1904" s="5" t="s">
        <v>732</v>
      </c>
      <c r="BG1904" s="6" t="s">
        <v>733</v>
      </c>
      <c r="BH1904" s="5" t="s">
        <v>734</v>
      </c>
      <c r="BI1904" s="5" t="s">
        <v>734</v>
      </c>
      <c r="BJ1904" s="5" t="s">
        <v>240</v>
      </c>
      <c r="BK1904" s="7">
        <f>1</f>
        <v>1</v>
      </c>
      <c r="BL1904" s="7">
        <f>1</f>
        <v>1</v>
      </c>
      <c r="BM1904" s="5" t="s">
        <v>258</v>
      </c>
      <c r="BN1904" s="5" t="s">
        <v>259</v>
      </c>
      <c r="BO1904" s="5" t="s">
        <v>240</v>
      </c>
      <c r="BP1904" s="5" t="s">
        <v>240</v>
      </c>
      <c r="BQ1904" s="5" t="s">
        <v>240</v>
      </c>
      <c r="BR1904" s="5" t="s">
        <v>240</v>
      </c>
      <c r="BS1904" s="5" t="s">
        <v>240</v>
      </c>
      <c r="BT1904" s="5" t="s">
        <v>240</v>
      </c>
      <c r="BU1904" s="5" t="s">
        <v>240</v>
      </c>
      <c r="BV1904" s="5" t="s">
        <v>240</v>
      </c>
      <c r="BW1904" s="6" t="s">
        <v>240</v>
      </c>
      <c r="BX1904" s="5" t="s">
        <v>240</v>
      </c>
      <c r="BY1904" s="5" t="s">
        <v>240</v>
      </c>
      <c r="BZ1904" s="5" t="s">
        <v>240</v>
      </c>
      <c r="CA1904" s="5" t="s">
        <v>259</v>
      </c>
      <c r="CB1904" s="5" t="s">
        <v>240</v>
      </c>
      <c r="CC1904" s="5" t="s">
        <v>240</v>
      </c>
      <c r="CD1904" s="5" t="s">
        <v>240</v>
      </c>
      <c r="CE1904" s="5" t="s">
        <v>240</v>
      </c>
      <c r="CF1904" s="5" t="s">
        <v>240</v>
      </c>
      <c r="CG1904" s="5" t="s">
        <v>304</v>
      </c>
      <c r="CH1904" s="5" t="s">
        <v>305</v>
      </c>
      <c r="CI1904" s="5" t="s">
        <v>240</v>
      </c>
      <c r="CK1904" s="5" t="s">
        <v>3681</v>
      </c>
      <c r="CL1904" s="6" t="s">
        <v>261</v>
      </c>
      <c r="CM1904" s="5" t="s">
        <v>262</v>
      </c>
      <c r="CN1904" s="5" t="s">
        <v>263</v>
      </c>
      <c r="CO1904" s="5" t="s">
        <v>264</v>
      </c>
      <c r="CP1904" s="5" t="s">
        <v>240</v>
      </c>
      <c r="CQ1904" s="5">
        <v>0</v>
      </c>
      <c r="CR1904" s="5" t="s">
        <v>735</v>
      </c>
      <c r="CS1904" s="5" t="s">
        <v>307</v>
      </c>
      <c r="CT1904" s="5" t="s">
        <v>307</v>
      </c>
      <c r="CU1904" s="5" t="s">
        <v>260</v>
      </c>
      <c r="CV1904" s="5" t="s">
        <v>612</v>
      </c>
      <c r="CW1904" s="8">
        <f>1</f>
        <v>1</v>
      </c>
      <c r="CX1904" s="7">
        <f>1</f>
        <v>1</v>
      </c>
      <c r="CY1904" s="7">
        <f>0</f>
        <v>0</v>
      </c>
      <c r="DA1904" s="7">
        <f>1</f>
        <v>1</v>
      </c>
      <c r="DB1904" s="7" t="s">
        <v>240</v>
      </c>
      <c r="DC1904" s="5" t="s">
        <v>240</v>
      </c>
      <c r="DD1904" s="5" t="s">
        <v>240</v>
      </c>
      <c r="DE1904" s="5" t="s">
        <v>240</v>
      </c>
      <c r="DF1904" s="5" t="s">
        <v>240</v>
      </c>
      <c r="DG1904" s="7">
        <f>0</f>
        <v>0</v>
      </c>
      <c r="DI1904" s="5" t="s">
        <v>240</v>
      </c>
      <c r="DJ1904" s="5" t="s">
        <v>240</v>
      </c>
      <c r="DK1904" s="5" t="s">
        <v>240</v>
      </c>
      <c r="DL1904" s="5" t="s">
        <v>240</v>
      </c>
      <c r="DM1904" s="5" t="s">
        <v>240</v>
      </c>
      <c r="DN1904" s="5" t="s">
        <v>240</v>
      </c>
      <c r="DO1904" s="7" t="s">
        <v>240</v>
      </c>
      <c r="DP1904" s="5" t="s">
        <v>240</v>
      </c>
      <c r="DQ1904" s="5" t="s">
        <v>240</v>
      </c>
      <c r="DR1904" s="5" t="s">
        <v>731</v>
      </c>
      <c r="DS1904" s="5" t="s">
        <v>731</v>
      </c>
      <c r="DT1904" s="5" t="s">
        <v>240</v>
      </c>
      <c r="DU1904" s="5" t="s">
        <v>240</v>
      </c>
      <c r="DV1904" s="5" t="s">
        <v>3683</v>
      </c>
      <c r="DW1904" s="5" t="s">
        <v>336</v>
      </c>
      <c r="DX1904" s="5" t="s">
        <v>240</v>
      </c>
      <c r="DY1904" s="5" t="s">
        <v>240</v>
      </c>
      <c r="DZ1904" s="5" t="s">
        <v>240</v>
      </c>
      <c r="EA1904" s="5" t="s">
        <v>240</v>
      </c>
      <c r="EB1904" s="5" t="s">
        <v>240</v>
      </c>
      <c r="EC1904" s="5" t="s">
        <v>240</v>
      </c>
      <c r="ED1904" s="5" t="s">
        <v>240</v>
      </c>
      <c r="EE1904" s="5" t="s">
        <v>240</v>
      </c>
      <c r="EF1904" s="5" t="s">
        <v>240</v>
      </c>
      <c r="EG1904" s="5" t="s">
        <v>240</v>
      </c>
      <c r="EH1904" s="5" t="s">
        <v>240</v>
      </c>
      <c r="EI1904" s="5" t="s">
        <v>240</v>
      </c>
      <c r="EJ1904" s="5" t="s">
        <v>240</v>
      </c>
      <c r="EK1904" s="5" t="s">
        <v>240</v>
      </c>
      <c r="EL1904" s="5" t="s">
        <v>240</v>
      </c>
      <c r="EM1904" s="5" t="s">
        <v>240</v>
      </c>
      <c r="EN1904" s="5" t="s">
        <v>240</v>
      </c>
      <c r="EO1904" s="5" t="s">
        <v>240</v>
      </c>
      <c r="EP1904" s="5" t="s">
        <v>240</v>
      </c>
      <c r="EQ1904" s="5" t="s">
        <v>240</v>
      </c>
      <c r="ER1904" s="5" t="s">
        <v>240</v>
      </c>
      <c r="ES1904" s="5" t="s">
        <v>240</v>
      </c>
      <c r="ET1904" s="5" t="s">
        <v>240</v>
      </c>
      <c r="EU1904" s="5" t="s">
        <v>240</v>
      </c>
      <c r="EV1904" s="5" t="s">
        <v>240</v>
      </c>
      <c r="EW1904" s="5" t="s">
        <v>240</v>
      </c>
      <c r="EX1904" s="5" t="s">
        <v>240</v>
      </c>
      <c r="EY1904" s="5" t="s">
        <v>240</v>
      </c>
      <c r="EZ1904" s="5" t="s">
        <v>240</v>
      </c>
      <c r="FA1904" s="5" t="s">
        <v>240</v>
      </c>
      <c r="FB1904" s="5" t="s">
        <v>240</v>
      </c>
      <c r="FC1904" s="5" t="s">
        <v>240</v>
      </c>
      <c r="FD1904" s="5" t="s">
        <v>240</v>
      </c>
      <c r="FE1904" s="5" t="s">
        <v>240</v>
      </c>
      <c r="FF1904" s="5" t="s">
        <v>240</v>
      </c>
      <c r="FG1904" s="5" t="s">
        <v>240</v>
      </c>
      <c r="FH1904" s="5" t="s">
        <v>240</v>
      </c>
      <c r="FI1904" s="5" t="s">
        <v>240</v>
      </c>
      <c r="FJ1904" s="5" t="s">
        <v>240</v>
      </c>
      <c r="FK1904" s="5" t="s">
        <v>240</v>
      </c>
      <c r="FL1904" s="5" t="s">
        <v>240</v>
      </c>
      <c r="FM1904" s="5" t="s">
        <v>240</v>
      </c>
      <c r="FN1904" s="5" t="s">
        <v>240</v>
      </c>
      <c r="FO1904" s="5" t="s">
        <v>240</v>
      </c>
      <c r="FP1904" s="5" t="s">
        <v>240</v>
      </c>
      <c r="FQ1904" s="5" t="s">
        <v>240</v>
      </c>
      <c r="FR1904" s="5" t="s">
        <v>240</v>
      </c>
      <c r="FS1904" s="5" t="s">
        <v>240</v>
      </c>
      <c r="FT1904" s="5" t="s">
        <v>240</v>
      </c>
      <c r="FU1904" s="5" t="s">
        <v>240</v>
      </c>
      <c r="FV1904" s="5" t="s">
        <v>240</v>
      </c>
      <c r="FW1904" s="5" t="s">
        <v>240</v>
      </c>
      <c r="FX1904" s="5" t="s">
        <v>240</v>
      </c>
      <c r="FY1904" s="5" t="s">
        <v>240</v>
      </c>
      <c r="FZ1904" s="5" t="s">
        <v>240</v>
      </c>
      <c r="GA1904" s="5" t="s">
        <v>240</v>
      </c>
      <c r="GB1904" s="5" t="s">
        <v>240</v>
      </c>
      <c r="GC1904" s="5" t="s">
        <v>240</v>
      </c>
      <c r="GD1904" s="5" t="s">
        <v>240</v>
      </c>
      <c r="GE1904" s="5" t="s">
        <v>240</v>
      </c>
      <c r="GF1904" s="5" t="s">
        <v>240</v>
      </c>
      <c r="GG1904" s="5" t="s">
        <v>240</v>
      </c>
      <c r="GH1904" s="5" t="s">
        <v>240</v>
      </c>
      <c r="GI1904" s="5" t="s">
        <v>240</v>
      </c>
      <c r="GJ1904" s="5" t="s">
        <v>240</v>
      </c>
      <c r="GK1904" s="5" t="s">
        <v>240</v>
      </c>
      <c r="GL1904" s="5" t="s">
        <v>240</v>
      </c>
      <c r="GM1904" s="5" t="s">
        <v>240</v>
      </c>
      <c r="GN1904" s="5" t="s">
        <v>240</v>
      </c>
      <c r="GO1904" s="5" t="s">
        <v>240</v>
      </c>
      <c r="GP1904" s="5" t="s">
        <v>240</v>
      </c>
      <c r="GQ1904" s="5" t="s">
        <v>240</v>
      </c>
      <c r="GR1904" s="5" t="s">
        <v>240</v>
      </c>
      <c r="GS1904" s="5" t="s">
        <v>240</v>
      </c>
      <c r="GT1904" s="5" t="s">
        <v>240</v>
      </c>
      <c r="GU1904" s="5" t="s">
        <v>240</v>
      </c>
      <c r="GV1904" s="5" t="s">
        <v>240</v>
      </c>
      <c r="GW1904" s="5" t="s">
        <v>240</v>
      </c>
      <c r="GX1904" s="5" t="s">
        <v>240</v>
      </c>
      <c r="GY1904" s="5" t="s">
        <v>240</v>
      </c>
      <c r="GZ1904" s="5" t="s">
        <v>240</v>
      </c>
      <c r="HA1904" s="5" t="s">
        <v>240</v>
      </c>
      <c r="HB1904" s="5" t="s">
        <v>240</v>
      </c>
      <c r="HC1904" s="5" t="s">
        <v>240</v>
      </c>
      <c r="HD1904" s="5" t="s">
        <v>240</v>
      </c>
      <c r="HE1904" s="5" t="s">
        <v>240</v>
      </c>
      <c r="HF1904" s="5" t="s">
        <v>240</v>
      </c>
      <c r="HG1904" s="5" t="s">
        <v>240</v>
      </c>
      <c r="HH1904" s="5" t="s">
        <v>240</v>
      </c>
      <c r="HI1904" s="5" t="s">
        <v>240</v>
      </c>
      <c r="HJ1904" s="5" t="s">
        <v>240</v>
      </c>
      <c r="HK1904" s="5" t="s">
        <v>240</v>
      </c>
      <c r="HL1904" s="5" t="s">
        <v>240</v>
      </c>
      <c r="HM1904" s="5" t="s">
        <v>240</v>
      </c>
      <c r="HN1904" s="5" t="s">
        <v>240</v>
      </c>
      <c r="HO1904" s="5" t="s">
        <v>312</v>
      </c>
      <c r="HP1904" s="5" t="s">
        <v>240</v>
      </c>
      <c r="HQ1904" s="5" t="s">
        <v>240</v>
      </c>
      <c r="HR1904" s="5" t="s">
        <v>240</v>
      </c>
      <c r="HS1904" s="5" t="s">
        <v>240</v>
      </c>
      <c r="HT1904" s="5" t="s">
        <v>240</v>
      </c>
      <c r="HU1904" s="5" t="s">
        <v>240</v>
      </c>
      <c r="HV1904" s="5" t="s">
        <v>240</v>
      </c>
      <c r="HW1904" s="5" t="s">
        <v>240</v>
      </c>
      <c r="HX1904" s="5" t="s">
        <v>240</v>
      </c>
      <c r="HY1904" s="5" t="s">
        <v>240</v>
      </c>
      <c r="HZ1904" s="5" t="s">
        <v>240</v>
      </c>
      <c r="IA1904" s="5" t="s">
        <v>240</v>
      </c>
      <c r="IB1904" s="5" t="s">
        <v>240</v>
      </c>
      <c r="IC1904" s="5" t="s">
        <v>240</v>
      </c>
      <c r="ID1904" s="5" t="s">
        <v>240</v>
      </c>
      <c r="IE1904" s="5" t="s">
        <v>240</v>
      </c>
      <c r="IF1904" s="5" t="s">
        <v>240</v>
      </c>
    </row>
    <row r="1905" spans="1:240" x14ac:dyDescent="0.4">
      <c r="A1905" s="5">
        <v>3606</v>
      </c>
      <c r="B1905" s="5">
        <v>1</v>
      </c>
      <c r="C1905" s="5">
        <v>1</v>
      </c>
      <c r="D1905" s="5" t="s">
        <v>297</v>
      </c>
      <c r="E1905" s="5" t="s">
        <v>245</v>
      </c>
      <c r="F1905" s="5" t="s">
        <v>254</v>
      </c>
      <c r="G1905" s="5" t="s">
        <v>240</v>
      </c>
      <c r="H1905" s="6" t="s">
        <v>6030</v>
      </c>
      <c r="I1905" s="5" t="s">
        <v>6528</v>
      </c>
      <c r="J1905" s="8">
        <f>0</f>
        <v>0</v>
      </c>
      <c r="K1905" s="5" t="s">
        <v>308</v>
      </c>
      <c r="L1905" s="7">
        <f>4756639</f>
        <v>4756639</v>
      </c>
      <c r="M1905" s="7">
        <f>4756639</f>
        <v>4756639</v>
      </c>
      <c r="N1905" s="5" t="s">
        <v>242</v>
      </c>
      <c r="O1905" s="5">
        <v>1</v>
      </c>
      <c r="P1905" s="5" t="s">
        <v>294</v>
      </c>
      <c r="Q1905" s="5" t="s">
        <v>613</v>
      </c>
      <c r="R1905" s="5" t="s">
        <v>240</v>
      </c>
      <c r="S1905" s="5" t="s">
        <v>240</v>
      </c>
      <c r="T1905" s="5" t="s">
        <v>243</v>
      </c>
      <c r="U1905" s="5" t="s">
        <v>724</v>
      </c>
      <c r="V1905" s="5" t="s">
        <v>240</v>
      </c>
      <c r="W1905" s="5" t="s">
        <v>240</v>
      </c>
      <c r="X1905" s="5" t="s">
        <v>240</v>
      </c>
      <c r="Y1905" s="5" t="s">
        <v>240</v>
      </c>
      <c r="Z1905" s="6" t="s">
        <v>298</v>
      </c>
      <c r="AA1905" s="6" t="s">
        <v>240</v>
      </c>
      <c r="AB1905" s="6" t="s">
        <v>240</v>
      </c>
      <c r="AC1905" s="5" t="s">
        <v>240</v>
      </c>
      <c r="AD1905" s="6" t="s">
        <v>240</v>
      </c>
      <c r="AE1905" s="6" t="s">
        <v>299</v>
      </c>
      <c r="AF1905" s="5" t="s">
        <v>727</v>
      </c>
      <c r="AG1905" s="5" t="s">
        <v>260</v>
      </c>
      <c r="AH1905" s="5" t="s">
        <v>240</v>
      </c>
      <c r="AI1905" s="5" t="s">
        <v>240</v>
      </c>
      <c r="AJ1905" s="5" t="s">
        <v>240</v>
      </c>
      <c r="AK1905" s="5" t="s">
        <v>240</v>
      </c>
      <c r="AL1905" s="5" t="s">
        <v>240</v>
      </c>
      <c r="AM1905" s="5" t="s">
        <v>240</v>
      </c>
      <c r="AN1905" s="5" t="s">
        <v>240</v>
      </c>
      <c r="AO1905" s="5" t="s">
        <v>240</v>
      </c>
      <c r="AP1905" s="6" t="s">
        <v>240</v>
      </c>
      <c r="AQ1905" s="6" t="s">
        <v>240</v>
      </c>
      <c r="AR1905" s="6" t="s">
        <v>240</v>
      </c>
      <c r="AS1905" s="6" t="s">
        <v>240</v>
      </c>
      <c r="AT1905" s="5" t="s">
        <v>240</v>
      </c>
      <c r="AU1905" s="5" t="s">
        <v>729</v>
      </c>
      <c r="AV1905" s="5" t="s">
        <v>729</v>
      </c>
      <c r="AW1905" s="5" t="s">
        <v>251</v>
      </c>
      <c r="AX1905" s="5" t="s">
        <v>252</v>
      </c>
      <c r="AY1905" s="5" t="s">
        <v>253</v>
      </c>
      <c r="AZ1905" s="5" t="s">
        <v>240</v>
      </c>
      <c r="BA1905" s="5" t="s">
        <v>255</v>
      </c>
      <c r="BB1905" s="5" t="s">
        <v>731</v>
      </c>
      <c r="BD1905" s="5" t="s">
        <v>240</v>
      </c>
      <c r="BF1905" s="5" t="s">
        <v>732</v>
      </c>
      <c r="BG1905" s="6" t="s">
        <v>733</v>
      </c>
      <c r="BH1905" s="5" t="s">
        <v>734</v>
      </c>
      <c r="BI1905" s="5" t="s">
        <v>734</v>
      </c>
      <c r="BJ1905" s="5" t="s">
        <v>240</v>
      </c>
      <c r="BK1905" s="8">
        <f>827</f>
        <v>827</v>
      </c>
      <c r="BL1905" s="7">
        <f>0</f>
        <v>0</v>
      </c>
      <c r="BM1905" s="5" t="s">
        <v>258</v>
      </c>
      <c r="BN1905" s="5" t="s">
        <v>259</v>
      </c>
      <c r="BO1905" s="5" t="s">
        <v>240</v>
      </c>
      <c r="BP1905" s="5" t="s">
        <v>240</v>
      </c>
      <c r="BQ1905" s="5" t="s">
        <v>240</v>
      </c>
      <c r="BR1905" s="5" t="s">
        <v>240</v>
      </c>
      <c r="BS1905" s="5" t="s">
        <v>240</v>
      </c>
      <c r="BT1905" s="5" t="s">
        <v>240</v>
      </c>
      <c r="BU1905" s="5" t="s">
        <v>240</v>
      </c>
      <c r="BV1905" s="5" t="s">
        <v>240</v>
      </c>
      <c r="BW1905" s="6" t="s">
        <v>240</v>
      </c>
      <c r="BX1905" s="5" t="s">
        <v>240</v>
      </c>
      <c r="BY1905" s="5" t="s">
        <v>240</v>
      </c>
      <c r="BZ1905" s="5" t="s">
        <v>240</v>
      </c>
      <c r="CA1905" s="5" t="s">
        <v>259</v>
      </c>
      <c r="CB1905" s="5" t="s">
        <v>240</v>
      </c>
      <c r="CC1905" s="5" t="s">
        <v>240</v>
      </c>
      <c r="CD1905" s="5" t="s">
        <v>240</v>
      </c>
      <c r="CE1905" s="5" t="s">
        <v>240</v>
      </c>
      <c r="CF1905" s="5" t="s">
        <v>240</v>
      </c>
      <c r="CG1905" s="5" t="s">
        <v>617</v>
      </c>
      <c r="CH1905" s="5" t="s">
        <v>305</v>
      </c>
      <c r="CI1905" s="5" t="s">
        <v>240</v>
      </c>
      <c r="CL1905" s="6" t="s">
        <v>261</v>
      </c>
      <c r="CM1905" s="5" t="s">
        <v>262</v>
      </c>
      <c r="CN1905" s="5" t="s">
        <v>263</v>
      </c>
      <c r="CO1905" s="5" t="s">
        <v>264</v>
      </c>
      <c r="CP1905" s="5" t="s">
        <v>240</v>
      </c>
      <c r="CQ1905" s="5">
        <v>0</v>
      </c>
      <c r="CR1905" s="5" t="s">
        <v>735</v>
      </c>
      <c r="CS1905" s="5" t="s">
        <v>307</v>
      </c>
      <c r="CT1905" s="5" t="s">
        <v>307</v>
      </c>
      <c r="CU1905" s="5" t="s">
        <v>260</v>
      </c>
      <c r="CV1905" s="5" t="s">
        <v>240</v>
      </c>
      <c r="CW1905" s="8">
        <f>0</f>
        <v>0</v>
      </c>
      <c r="CX1905" s="7">
        <f>0</f>
        <v>0</v>
      </c>
      <c r="CY1905" s="7">
        <f>0</f>
        <v>0</v>
      </c>
      <c r="DA1905" s="7">
        <f>9097</f>
        <v>9097</v>
      </c>
      <c r="DB1905" s="7" t="s">
        <v>240</v>
      </c>
      <c r="DC1905" s="5" t="s">
        <v>240</v>
      </c>
      <c r="DD1905" s="5" t="s">
        <v>240</v>
      </c>
      <c r="DE1905" s="5" t="s">
        <v>240</v>
      </c>
      <c r="DF1905" s="5" t="s">
        <v>450</v>
      </c>
      <c r="DG1905" s="7">
        <f>0</f>
        <v>0</v>
      </c>
      <c r="DI1905" s="5" t="s">
        <v>737</v>
      </c>
      <c r="DJ1905" s="5" t="s">
        <v>240</v>
      </c>
      <c r="DK1905" s="5" t="s">
        <v>240</v>
      </c>
      <c r="DL1905" s="5" t="s">
        <v>240</v>
      </c>
      <c r="DM1905" s="5" t="s">
        <v>240</v>
      </c>
      <c r="DN1905" s="5" t="s">
        <v>240</v>
      </c>
      <c r="DO1905" s="7" t="s">
        <v>240</v>
      </c>
      <c r="DP1905" s="5" t="s">
        <v>240</v>
      </c>
      <c r="DQ1905" s="5" t="s">
        <v>240</v>
      </c>
      <c r="DR1905" s="5" t="s">
        <v>731</v>
      </c>
      <c r="DS1905" s="5" t="s">
        <v>731</v>
      </c>
      <c r="DT1905" s="5" t="s">
        <v>240</v>
      </c>
      <c r="DU1905" s="5" t="s">
        <v>240</v>
      </c>
      <c r="DV1905" s="5" t="s">
        <v>738</v>
      </c>
      <c r="DW1905" s="5" t="s">
        <v>682</v>
      </c>
      <c r="DX1905" s="5" t="s">
        <v>240</v>
      </c>
      <c r="DY1905" s="5" t="s">
        <v>240</v>
      </c>
      <c r="DZ1905" s="5" t="s">
        <v>240</v>
      </c>
      <c r="EA1905" s="5" t="s">
        <v>240</v>
      </c>
      <c r="EB1905" s="5" t="s">
        <v>240</v>
      </c>
      <c r="EC1905" s="5" t="s">
        <v>240</v>
      </c>
      <c r="ED1905" s="5" t="s">
        <v>240</v>
      </c>
      <c r="EE1905" s="5" t="s">
        <v>240</v>
      </c>
      <c r="EF1905" s="5" t="s">
        <v>240</v>
      </c>
      <c r="EG1905" s="5" t="s">
        <v>240</v>
      </c>
      <c r="EH1905" s="5" t="s">
        <v>240</v>
      </c>
      <c r="EI1905" s="5" t="s">
        <v>240</v>
      </c>
      <c r="EJ1905" s="5" t="s">
        <v>240</v>
      </c>
      <c r="EK1905" s="5" t="s">
        <v>240</v>
      </c>
      <c r="EL1905" s="5" t="s">
        <v>240</v>
      </c>
      <c r="EM1905" s="5" t="s">
        <v>240</v>
      </c>
      <c r="EN1905" s="5" t="s">
        <v>240</v>
      </c>
      <c r="EO1905" s="5" t="s">
        <v>240</v>
      </c>
      <c r="EP1905" s="5" t="s">
        <v>240</v>
      </c>
      <c r="EQ1905" s="5" t="s">
        <v>240</v>
      </c>
      <c r="ER1905" s="5" t="s">
        <v>240</v>
      </c>
      <c r="ES1905" s="5" t="s">
        <v>240</v>
      </c>
      <c r="ET1905" s="5" t="s">
        <v>240</v>
      </c>
      <c r="EU1905" s="5" t="s">
        <v>240</v>
      </c>
      <c r="EV1905" s="5" t="s">
        <v>240</v>
      </c>
      <c r="EW1905" s="5" t="s">
        <v>240</v>
      </c>
      <c r="EX1905" s="5" t="s">
        <v>240</v>
      </c>
      <c r="EY1905" s="5" t="s">
        <v>240</v>
      </c>
      <c r="EZ1905" s="5" t="s">
        <v>240</v>
      </c>
      <c r="FA1905" s="5" t="s">
        <v>240</v>
      </c>
      <c r="FB1905" s="5" t="s">
        <v>240</v>
      </c>
      <c r="FC1905" s="5" t="s">
        <v>240</v>
      </c>
      <c r="FD1905" s="5" t="s">
        <v>240</v>
      </c>
      <c r="FE1905" s="5" t="s">
        <v>240</v>
      </c>
      <c r="FF1905" s="5" t="s">
        <v>240</v>
      </c>
      <c r="FG1905" s="5" t="s">
        <v>240</v>
      </c>
      <c r="FH1905" s="5" t="s">
        <v>240</v>
      </c>
      <c r="FI1905" s="5" t="s">
        <v>240</v>
      </c>
      <c r="FJ1905" s="5" t="s">
        <v>240</v>
      </c>
      <c r="FK1905" s="5" t="s">
        <v>240</v>
      </c>
      <c r="FL1905" s="5" t="s">
        <v>240</v>
      </c>
      <c r="FM1905" s="5" t="s">
        <v>240</v>
      </c>
      <c r="FN1905" s="5" t="s">
        <v>240</v>
      </c>
      <c r="FO1905" s="5" t="s">
        <v>240</v>
      </c>
      <c r="FP1905" s="5" t="s">
        <v>240</v>
      </c>
      <c r="FQ1905" s="5" t="s">
        <v>240</v>
      </c>
      <c r="FR1905" s="5" t="s">
        <v>240</v>
      </c>
      <c r="FS1905" s="5" t="s">
        <v>240</v>
      </c>
      <c r="FT1905" s="5" t="s">
        <v>240</v>
      </c>
      <c r="FU1905" s="5" t="s">
        <v>240</v>
      </c>
      <c r="FV1905" s="5" t="s">
        <v>240</v>
      </c>
      <c r="FW1905" s="5" t="s">
        <v>240</v>
      </c>
      <c r="FX1905" s="5" t="s">
        <v>240</v>
      </c>
      <c r="FY1905" s="5" t="s">
        <v>240</v>
      </c>
      <c r="FZ1905" s="5" t="s">
        <v>240</v>
      </c>
      <c r="GA1905" s="5" t="s">
        <v>240</v>
      </c>
      <c r="GB1905" s="5" t="s">
        <v>240</v>
      </c>
      <c r="GC1905" s="5" t="s">
        <v>240</v>
      </c>
      <c r="GD1905" s="5" t="s">
        <v>240</v>
      </c>
      <c r="GE1905" s="5" t="s">
        <v>240</v>
      </c>
      <c r="GF1905" s="5" t="s">
        <v>240</v>
      </c>
      <c r="GG1905" s="5" t="s">
        <v>240</v>
      </c>
      <c r="GH1905" s="5" t="s">
        <v>240</v>
      </c>
      <c r="GI1905" s="5" t="s">
        <v>240</v>
      </c>
      <c r="GJ1905" s="5" t="s">
        <v>240</v>
      </c>
      <c r="GK1905" s="5" t="s">
        <v>240</v>
      </c>
      <c r="GL1905" s="5" t="s">
        <v>240</v>
      </c>
      <c r="GM1905" s="5" t="s">
        <v>240</v>
      </c>
      <c r="GN1905" s="5" t="s">
        <v>240</v>
      </c>
      <c r="GO1905" s="5" t="s">
        <v>240</v>
      </c>
      <c r="GP1905" s="5" t="s">
        <v>240</v>
      </c>
      <c r="GQ1905" s="5" t="s">
        <v>240</v>
      </c>
      <c r="GR1905" s="5" t="s">
        <v>240</v>
      </c>
      <c r="GS1905" s="5" t="s">
        <v>240</v>
      </c>
      <c r="GT1905" s="5" t="s">
        <v>240</v>
      </c>
      <c r="GU1905" s="5" t="s">
        <v>240</v>
      </c>
      <c r="GV1905" s="5" t="s">
        <v>240</v>
      </c>
      <c r="GW1905" s="5" t="s">
        <v>240</v>
      </c>
      <c r="GX1905" s="5" t="s">
        <v>240</v>
      </c>
      <c r="GY1905" s="5" t="s">
        <v>240</v>
      </c>
      <c r="GZ1905" s="5" t="s">
        <v>240</v>
      </c>
      <c r="HA1905" s="5" t="s">
        <v>240</v>
      </c>
      <c r="HB1905" s="5" t="s">
        <v>240</v>
      </c>
      <c r="HC1905" s="5" t="s">
        <v>240</v>
      </c>
      <c r="HD1905" s="5" t="s">
        <v>240</v>
      </c>
      <c r="HE1905" s="5" t="s">
        <v>240</v>
      </c>
      <c r="HF1905" s="5" t="s">
        <v>240</v>
      </c>
      <c r="HG1905" s="5" t="s">
        <v>240</v>
      </c>
      <c r="HH1905" s="5" t="s">
        <v>240</v>
      </c>
      <c r="HI1905" s="5" t="s">
        <v>240</v>
      </c>
      <c r="HJ1905" s="5" t="s">
        <v>240</v>
      </c>
      <c r="HK1905" s="5" t="s">
        <v>240</v>
      </c>
      <c r="HL1905" s="5" t="s">
        <v>240</v>
      </c>
      <c r="HM1905" s="5" t="s">
        <v>240</v>
      </c>
      <c r="HN1905" s="5" t="s">
        <v>240</v>
      </c>
      <c r="HO1905" s="5" t="s">
        <v>312</v>
      </c>
      <c r="HP1905" s="5" t="s">
        <v>240</v>
      </c>
      <c r="HQ1905" s="5" t="s">
        <v>240</v>
      </c>
      <c r="HR1905" s="5" t="s">
        <v>240</v>
      </c>
      <c r="HS1905" s="5" t="s">
        <v>240</v>
      </c>
      <c r="HT1905" s="5" t="s">
        <v>240</v>
      </c>
      <c r="HU1905" s="5" t="s">
        <v>240</v>
      </c>
      <c r="HV1905" s="5" t="s">
        <v>240</v>
      </c>
      <c r="HW1905" s="5" t="s">
        <v>240</v>
      </c>
      <c r="HX1905" s="5" t="s">
        <v>240</v>
      </c>
      <c r="HY1905" s="5" t="s">
        <v>240</v>
      </c>
      <c r="HZ1905" s="5" t="s">
        <v>240</v>
      </c>
      <c r="IA1905" s="5" t="s">
        <v>240</v>
      </c>
      <c r="IB1905" s="5" t="s">
        <v>240</v>
      </c>
      <c r="IC1905" s="5" t="s">
        <v>240</v>
      </c>
      <c r="ID1905" s="5" t="s">
        <v>240</v>
      </c>
      <c r="IE1905" s="5" t="s">
        <v>240</v>
      </c>
      <c r="IF1905" s="5" t="s">
        <v>240</v>
      </c>
    </row>
    <row r="1906" spans="1:240" x14ac:dyDescent="0.4">
      <c r="A1906" s="5">
        <v>3607</v>
      </c>
      <c r="B1906" s="5">
        <v>1</v>
      </c>
      <c r="C1906" s="5">
        <v>1</v>
      </c>
      <c r="D1906" s="5" t="s">
        <v>297</v>
      </c>
      <c r="E1906" s="5" t="s">
        <v>245</v>
      </c>
      <c r="F1906" s="5" t="s">
        <v>254</v>
      </c>
      <c r="G1906" s="5" t="s">
        <v>240</v>
      </c>
      <c r="H1906" s="6" t="s">
        <v>6600</v>
      </c>
      <c r="I1906" s="5" t="s">
        <v>6635</v>
      </c>
      <c r="J1906" s="8">
        <f>0</f>
        <v>0</v>
      </c>
      <c r="K1906" s="5" t="s">
        <v>308</v>
      </c>
      <c r="L1906" s="7">
        <f>396000</f>
        <v>396000</v>
      </c>
      <c r="M1906" s="7">
        <f>396000</f>
        <v>396000</v>
      </c>
      <c r="N1906" s="5" t="s">
        <v>242</v>
      </c>
      <c r="O1906" s="5">
        <v>1</v>
      </c>
      <c r="P1906" s="5" t="s">
        <v>294</v>
      </c>
      <c r="Q1906" s="5" t="s">
        <v>266</v>
      </c>
      <c r="R1906" s="5" t="s">
        <v>240</v>
      </c>
      <c r="S1906" s="5" t="s">
        <v>240</v>
      </c>
      <c r="T1906" s="5" t="s">
        <v>296</v>
      </c>
      <c r="U1906" s="5" t="s">
        <v>244</v>
      </c>
      <c r="V1906" s="5" t="s">
        <v>240</v>
      </c>
      <c r="Y1906" s="5" t="s">
        <v>240</v>
      </c>
      <c r="Z1906" s="6" t="s">
        <v>298</v>
      </c>
      <c r="AB1906" s="6" t="s">
        <v>240</v>
      </c>
      <c r="AE1906" s="6" t="s">
        <v>299</v>
      </c>
      <c r="AF1906" s="5" t="s">
        <v>248</v>
      </c>
      <c r="AG1906" s="5" t="s">
        <v>249</v>
      </c>
      <c r="AW1906" s="5" t="s">
        <v>251</v>
      </c>
      <c r="AX1906" s="5" t="s">
        <v>240</v>
      </c>
      <c r="AY1906" s="5" t="s">
        <v>253</v>
      </c>
      <c r="AZ1906" s="5" t="s">
        <v>240</v>
      </c>
      <c r="BA1906" s="5" t="s">
        <v>255</v>
      </c>
      <c r="BB1906" s="5" t="s">
        <v>240</v>
      </c>
      <c r="BD1906" s="5" t="s">
        <v>240</v>
      </c>
      <c r="BF1906" s="5" t="s">
        <v>301</v>
      </c>
      <c r="BG1906" s="6" t="s">
        <v>299</v>
      </c>
      <c r="BH1906" s="5" t="s">
        <v>302</v>
      </c>
      <c r="BI1906" s="5" t="s">
        <v>303</v>
      </c>
      <c r="BJ1906" s="5" t="s">
        <v>240</v>
      </c>
      <c r="BK1906" s="8">
        <f>0</f>
        <v>0</v>
      </c>
      <c r="BL1906" s="7">
        <f>0</f>
        <v>0</v>
      </c>
      <c r="BM1906" s="5" t="s">
        <v>258</v>
      </c>
      <c r="BN1906" s="5" t="s">
        <v>259</v>
      </c>
      <c r="CB1906" s="5" t="s">
        <v>240</v>
      </c>
      <c r="CC1906" s="5" t="s">
        <v>240</v>
      </c>
      <c r="CG1906" s="5" t="s">
        <v>304</v>
      </c>
      <c r="CH1906" s="5" t="s">
        <v>305</v>
      </c>
      <c r="CI1906" s="5" t="s">
        <v>240</v>
      </c>
      <c r="CL1906" s="6" t="s">
        <v>261</v>
      </c>
      <c r="CM1906" s="5" t="s">
        <v>240</v>
      </c>
      <c r="CN1906" s="5" t="s">
        <v>263</v>
      </c>
      <c r="CO1906" s="5" t="s">
        <v>240</v>
      </c>
      <c r="CP1906" s="5" t="s">
        <v>240</v>
      </c>
      <c r="CQ1906" s="5">
        <v>0</v>
      </c>
      <c r="CR1906" s="5" t="s">
        <v>306</v>
      </c>
      <c r="CS1906" s="5" t="s">
        <v>307</v>
      </c>
      <c r="CT1906" s="5" t="s">
        <v>307</v>
      </c>
      <c r="CU1906" s="5" t="s">
        <v>260</v>
      </c>
      <c r="CX1906" s="7">
        <f>1</f>
        <v>1</v>
      </c>
      <c r="CY1906" s="7">
        <f>0</f>
        <v>0</v>
      </c>
      <c r="DA1906" s="7">
        <f>0</f>
        <v>0</v>
      </c>
      <c r="DC1906" s="5" t="s">
        <v>309</v>
      </c>
      <c r="DD1906" s="5" t="s">
        <v>240</v>
      </c>
      <c r="DF1906" s="5" t="s">
        <v>309</v>
      </c>
      <c r="DG1906" s="7">
        <f>1664</f>
        <v>1664</v>
      </c>
      <c r="DI1906" s="5" t="s">
        <v>240</v>
      </c>
      <c r="DJ1906" s="5" t="s">
        <v>240</v>
      </c>
      <c r="DK1906" s="5" t="s">
        <v>240</v>
      </c>
      <c r="DL1906" s="5" t="s">
        <v>240</v>
      </c>
      <c r="DP1906" s="5" t="s">
        <v>240</v>
      </c>
      <c r="DQ1906" s="5" t="s">
        <v>240</v>
      </c>
      <c r="DR1906" s="5" t="s">
        <v>240</v>
      </c>
      <c r="DS1906" s="5" t="s">
        <v>240</v>
      </c>
      <c r="DV1906" s="5" t="s">
        <v>310</v>
      </c>
      <c r="DW1906" s="5" t="s">
        <v>3722</v>
      </c>
      <c r="HO1906" s="5" t="s">
        <v>312</v>
      </c>
    </row>
    <row r="1907" spans="1:240" x14ac:dyDescent="0.4">
      <c r="A1907" s="5">
        <v>3608</v>
      </c>
      <c r="B1907" s="5">
        <v>1</v>
      </c>
      <c r="C1907" s="5">
        <v>1</v>
      </c>
      <c r="D1907" s="5" t="s">
        <v>297</v>
      </c>
      <c r="E1907" s="5" t="s">
        <v>245</v>
      </c>
      <c r="F1907" s="5" t="s">
        <v>254</v>
      </c>
      <c r="G1907" s="5" t="s">
        <v>240</v>
      </c>
      <c r="H1907" s="6" t="s">
        <v>6154</v>
      </c>
      <c r="I1907" s="5" t="s">
        <v>6715</v>
      </c>
      <c r="J1907" s="8">
        <f>0</f>
        <v>0</v>
      </c>
      <c r="K1907" s="5" t="s">
        <v>308</v>
      </c>
      <c r="L1907" s="7">
        <f>9558000</f>
        <v>9558000</v>
      </c>
      <c r="M1907" s="7">
        <f>9558000</f>
        <v>9558000</v>
      </c>
      <c r="N1907" s="5" t="s">
        <v>242</v>
      </c>
      <c r="O1907" s="5">
        <v>1</v>
      </c>
      <c r="P1907" s="5" t="s">
        <v>294</v>
      </c>
      <c r="Q1907" s="5" t="s">
        <v>266</v>
      </c>
      <c r="R1907" s="5" t="s">
        <v>240</v>
      </c>
      <c r="S1907" s="5" t="s">
        <v>240</v>
      </c>
      <c r="T1907" s="5" t="s">
        <v>296</v>
      </c>
      <c r="U1907" s="5" t="s">
        <v>244</v>
      </c>
      <c r="V1907" s="5" t="s">
        <v>240</v>
      </c>
      <c r="Y1907" s="5" t="s">
        <v>240</v>
      </c>
      <c r="Z1907" s="6" t="s">
        <v>298</v>
      </c>
      <c r="AB1907" s="6" t="s">
        <v>240</v>
      </c>
      <c r="AE1907" s="6" t="s">
        <v>299</v>
      </c>
      <c r="AF1907" s="5" t="s">
        <v>248</v>
      </c>
      <c r="AG1907" s="5" t="s">
        <v>249</v>
      </c>
      <c r="AW1907" s="5" t="s">
        <v>251</v>
      </c>
      <c r="AX1907" s="5" t="s">
        <v>240</v>
      </c>
      <c r="AY1907" s="5" t="s">
        <v>253</v>
      </c>
      <c r="AZ1907" s="5" t="s">
        <v>240</v>
      </c>
      <c r="BA1907" s="5" t="s">
        <v>255</v>
      </c>
      <c r="BB1907" s="5" t="s">
        <v>240</v>
      </c>
      <c r="BD1907" s="5" t="s">
        <v>240</v>
      </c>
      <c r="BF1907" s="5" t="s">
        <v>301</v>
      </c>
      <c r="BG1907" s="6" t="s">
        <v>299</v>
      </c>
      <c r="BH1907" s="5" t="s">
        <v>302</v>
      </c>
      <c r="BI1907" s="5" t="s">
        <v>303</v>
      </c>
      <c r="BJ1907" s="5" t="s">
        <v>240</v>
      </c>
      <c r="BK1907" s="8">
        <f>0</f>
        <v>0</v>
      </c>
      <c r="BL1907" s="7">
        <f>0</f>
        <v>0</v>
      </c>
      <c r="BM1907" s="5" t="s">
        <v>258</v>
      </c>
      <c r="BN1907" s="5" t="s">
        <v>259</v>
      </c>
      <c r="CB1907" s="5" t="s">
        <v>240</v>
      </c>
      <c r="CC1907" s="5" t="s">
        <v>240</v>
      </c>
      <c r="CG1907" s="5" t="s">
        <v>304</v>
      </c>
      <c r="CH1907" s="5" t="s">
        <v>305</v>
      </c>
      <c r="CI1907" s="5" t="s">
        <v>240</v>
      </c>
      <c r="CL1907" s="6" t="s">
        <v>261</v>
      </c>
      <c r="CM1907" s="5" t="s">
        <v>240</v>
      </c>
      <c r="CN1907" s="5" t="s">
        <v>263</v>
      </c>
      <c r="CO1907" s="5" t="s">
        <v>240</v>
      </c>
      <c r="CP1907" s="5" t="s">
        <v>240</v>
      </c>
      <c r="CQ1907" s="5">
        <v>0</v>
      </c>
      <c r="CR1907" s="5" t="s">
        <v>306</v>
      </c>
      <c r="CS1907" s="5" t="s">
        <v>307</v>
      </c>
      <c r="CT1907" s="5" t="s">
        <v>307</v>
      </c>
      <c r="CU1907" s="5" t="s">
        <v>260</v>
      </c>
      <c r="CX1907" s="7">
        <f>1</f>
        <v>1</v>
      </c>
      <c r="CY1907" s="7">
        <f>0</f>
        <v>0</v>
      </c>
      <c r="DA1907" s="7">
        <f>0</f>
        <v>0</v>
      </c>
      <c r="DC1907" s="5" t="s">
        <v>309</v>
      </c>
      <c r="DD1907" s="5" t="s">
        <v>240</v>
      </c>
      <c r="DF1907" s="5" t="s">
        <v>309</v>
      </c>
      <c r="DG1907" s="7">
        <f>44</f>
        <v>44</v>
      </c>
      <c r="DI1907" s="5" t="s">
        <v>240</v>
      </c>
      <c r="DJ1907" s="5" t="s">
        <v>240</v>
      </c>
      <c r="DK1907" s="5" t="s">
        <v>240</v>
      </c>
      <c r="DL1907" s="5" t="s">
        <v>240</v>
      </c>
      <c r="DP1907" s="5" t="s">
        <v>240</v>
      </c>
      <c r="DQ1907" s="5" t="s">
        <v>240</v>
      </c>
      <c r="DR1907" s="5" t="s">
        <v>240</v>
      </c>
      <c r="DS1907" s="5" t="s">
        <v>240</v>
      </c>
      <c r="DV1907" s="5" t="s">
        <v>310</v>
      </c>
      <c r="DW1907" s="5" t="s">
        <v>3726</v>
      </c>
      <c r="HO1907" s="5" t="s">
        <v>312</v>
      </c>
    </row>
    <row r="1908" spans="1:240" x14ac:dyDescent="0.4">
      <c r="A1908" s="5">
        <v>3609</v>
      </c>
      <c r="B1908" s="5">
        <v>1</v>
      </c>
      <c r="C1908" s="5">
        <v>1</v>
      </c>
      <c r="D1908" s="5" t="s">
        <v>297</v>
      </c>
      <c r="E1908" s="5" t="s">
        <v>245</v>
      </c>
      <c r="F1908" s="5" t="s">
        <v>254</v>
      </c>
      <c r="G1908" s="5" t="s">
        <v>240</v>
      </c>
      <c r="H1908" s="6" t="s">
        <v>6154</v>
      </c>
      <c r="I1908" s="5" t="s">
        <v>6717</v>
      </c>
      <c r="J1908" s="8">
        <f>1202.49</f>
        <v>1202.49</v>
      </c>
      <c r="K1908" s="5" t="s">
        <v>308</v>
      </c>
      <c r="L1908" s="7">
        <f>3157808</f>
        <v>3157808</v>
      </c>
      <c r="M1908" s="7">
        <f>3157808</f>
        <v>3157808</v>
      </c>
      <c r="N1908" s="5" t="s">
        <v>242</v>
      </c>
      <c r="O1908" s="5">
        <v>1</v>
      </c>
      <c r="P1908" s="5" t="s">
        <v>294</v>
      </c>
      <c r="Q1908" s="5" t="s">
        <v>613</v>
      </c>
      <c r="R1908" s="5" t="s">
        <v>240</v>
      </c>
      <c r="S1908" s="5" t="s">
        <v>240</v>
      </c>
      <c r="T1908" s="5" t="s">
        <v>243</v>
      </c>
      <c r="U1908" s="5" t="s">
        <v>724</v>
      </c>
      <c r="V1908" s="5" t="s">
        <v>240</v>
      </c>
      <c r="W1908" s="5" t="s">
        <v>240</v>
      </c>
      <c r="X1908" s="5" t="s">
        <v>240</v>
      </c>
      <c r="Y1908" s="5" t="s">
        <v>240</v>
      </c>
      <c r="Z1908" s="6" t="s">
        <v>298</v>
      </c>
      <c r="AA1908" s="6" t="s">
        <v>240</v>
      </c>
      <c r="AB1908" s="6" t="s">
        <v>240</v>
      </c>
      <c r="AC1908" s="5" t="s">
        <v>240</v>
      </c>
      <c r="AD1908" s="6" t="s">
        <v>240</v>
      </c>
      <c r="AE1908" s="6" t="s">
        <v>299</v>
      </c>
      <c r="AF1908" s="5" t="s">
        <v>727</v>
      </c>
      <c r="AG1908" s="5" t="s">
        <v>260</v>
      </c>
      <c r="AH1908" s="5" t="s">
        <v>240</v>
      </c>
      <c r="AI1908" s="5" t="s">
        <v>240</v>
      </c>
      <c r="AJ1908" s="5" t="s">
        <v>240</v>
      </c>
      <c r="AK1908" s="5" t="s">
        <v>240</v>
      </c>
      <c r="AL1908" s="5" t="s">
        <v>240</v>
      </c>
      <c r="AM1908" s="5" t="s">
        <v>240</v>
      </c>
      <c r="AN1908" s="5" t="s">
        <v>240</v>
      </c>
      <c r="AO1908" s="5" t="s">
        <v>240</v>
      </c>
      <c r="AP1908" s="6" t="s">
        <v>240</v>
      </c>
      <c r="AQ1908" s="6" t="s">
        <v>240</v>
      </c>
      <c r="AR1908" s="6" t="s">
        <v>240</v>
      </c>
      <c r="AS1908" s="6" t="s">
        <v>240</v>
      </c>
      <c r="AT1908" s="5" t="s">
        <v>240</v>
      </c>
      <c r="AU1908" s="5" t="s">
        <v>729</v>
      </c>
      <c r="AV1908" s="5" t="s">
        <v>729</v>
      </c>
      <c r="AW1908" s="5" t="s">
        <v>251</v>
      </c>
      <c r="AX1908" s="5" t="s">
        <v>252</v>
      </c>
      <c r="AY1908" s="5" t="s">
        <v>253</v>
      </c>
      <c r="AZ1908" s="5" t="s">
        <v>240</v>
      </c>
      <c r="BA1908" s="5" t="s">
        <v>255</v>
      </c>
      <c r="BB1908" s="5" t="s">
        <v>731</v>
      </c>
      <c r="BD1908" s="5" t="s">
        <v>240</v>
      </c>
      <c r="BF1908" s="5" t="s">
        <v>732</v>
      </c>
      <c r="BG1908" s="6" t="s">
        <v>733</v>
      </c>
      <c r="BH1908" s="5" t="s">
        <v>734</v>
      </c>
      <c r="BI1908" s="5" t="s">
        <v>734</v>
      </c>
      <c r="BJ1908" s="5" t="s">
        <v>240</v>
      </c>
      <c r="BK1908" s="8">
        <f>24</f>
        <v>24</v>
      </c>
      <c r="BL1908" s="7">
        <f>0</f>
        <v>0</v>
      </c>
      <c r="BM1908" s="5" t="s">
        <v>258</v>
      </c>
      <c r="BN1908" s="5" t="s">
        <v>259</v>
      </c>
      <c r="BO1908" s="5" t="s">
        <v>240</v>
      </c>
      <c r="BP1908" s="5" t="s">
        <v>240</v>
      </c>
      <c r="BQ1908" s="5" t="s">
        <v>240</v>
      </c>
      <c r="BR1908" s="5" t="s">
        <v>240</v>
      </c>
      <c r="BS1908" s="5" t="s">
        <v>240</v>
      </c>
      <c r="BT1908" s="5" t="s">
        <v>240</v>
      </c>
      <c r="BU1908" s="5" t="s">
        <v>240</v>
      </c>
      <c r="BV1908" s="5" t="s">
        <v>240</v>
      </c>
      <c r="BW1908" s="6" t="s">
        <v>240</v>
      </c>
      <c r="BX1908" s="5" t="s">
        <v>240</v>
      </c>
      <c r="BY1908" s="5" t="s">
        <v>240</v>
      </c>
      <c r="BZ1908" s="5" t="s">
        <v>240</v>
      </c>
      <c r="CA1908" s="5" t="s">
        <v>259</v>
      </c>
      <c r="CB1908" s="5" t="s">
        <v>240</v>
      </c>
      <c r="CC1908" s="5" t="s">
        <v>240</v>
      </c>
      <c r="CD1908" s="5" t="s">
        <v>240</v>
      </c>
      <c r="CE1908" s="5" t="s">
        <v>240</v>
      </c>
      <c r="CF1908" s="5" t="s">
        <v>240</v>
      </c>
      <c r="CG1908" s="5" t="s">
        <v>617</v>
      </c>
      <c r="CH1908" s="5" t="s">
        <v>305</v>
      </c>
      <c r="CI1908" s="5" t="s">
        <v>240</v>
      </c>
      <c r="CL1908" s="6" t="s">
        <v>261</v>
      </c>
      <c r="CM1908" s="5" t="s">
        <v>262</v>
      </c>
      <c r="CN1908" s="5" t="s">
        <v>263</v>
      </c>
      <c r="CO1908" s="5" t="s">
        <v>264</v>
      </c>
      <c r="CP1908" s="5" t="s">
        <v>240</v>
      </c>
      <c r="CQ1908" s="5">
        <v>0</v>
      </c>
      <c r="CR1908" s="5" t="s">
        <v>735</v>
      </c>
      <c r="CS1908" s="5" t="s">
        <v>307</v>
      </c>
      <c r="CT1908" s="5" t="s">
        <v>307</v>
      </c>
      <c r="CU1908" s="5" t="s">
        <v>260</v>
      </c>
      <c r="CV1908" s="5" t="s">
        <v>240</v>
      </c>
      <c r="CW1908" s="8">
        <f>0</f>
        <v>0</v>
      </c>
      <c r="CX1908" s="7">
        <f>0</f>
        <v>0</v>
      </c>
      <c r="CY1908" s="7">
        <f>0</f>
        <v>0</v>
      </c>
      <c r="DA1908" s="7">
        <f>264</f>
        <v>264</v>
      </c>
      <c r="DB1908" s="7" t="s">
        <v>240</v>
      </c>
      <c r="DC1908" s="5" t="s">
        <v>240</v>
      </c>
      <c r="DD1908" s="5" t="s">
        <v>240</v>
      </c>
      <c r="DE1908" s="5" t="s">
        <v>240</v>
      </c>
      <c r="DF1908" s="5" t="s">
        <v>450</v>
      </c>
      <c r="DG1908" s="7">
        <f>0</f>
        <v>0</v>
      </c>
      <c r="DI1908" s="5" t="s">
        <v>737</v>
      </c>
      <c r="DJ1908" s="5" t="s">
        <v>240</v>
      </c>
      <c r="DK1908" s="5" t="s">
        <v>240</v>
      </c>
      <c r="DL1908" s="5" t="s">
        <v>240</v>
      </c>
      <c r="DM1908" s="5" t="s">
        <v>240</v>
      </c>
      <c r="DN1908" s="5" t="s">
        <v>240</v>
      </c>
      <c r="DO1908" s="7" t="s">
        <v>240</v>
      </c>
      <c r="DP1908" s="5" t="s">
        <v>240</v>
      </c>
      <c r="DQ1908" s="5" t="s">
        <v>240</v>
      </c>
      <c r="DR1908" s="5" t="s">
        <v>731</v>
      </c>
      <c r="DS1908" s="5" t="s">
        <v>731</v>
      </c>
      <c r="DT1908" s="5" t="s">
        <v>240</v>
      </c>
      <c r="DU1908" s="5" t="s">
        <v>240</v>
      </c>
      <c r="DV1908" s="5" t="s">
        <v>738</v>
      </c>
      <c r="DW1908" s="5" t="s">
        <v>631</v>
      </c>
      <c r="DX1908" s="5" t="s">
        <v>240</v>
      </c>
      <c r="DY1908" s="5" t="s">
        <v>240</v>
      </c>
      <c r="DZ1908" s="5" t="s">
        <v>240</v>
      </c>
      <c r="EA1908" s="5" t="s">
        <v>240</v>
      </c>
      <c r="EB1908" s="5" t="s">
        <v>240</v>
      </c>
      <c r="EC1908" s="5" t="s">
        <v>240</v>
      </c>
      <c r="ED1908" s="5" t="s">
        <v>240</v>
      </c>
      <c r="EE1908" s="5" t="s">
        <v>240</v>
      </c>
      <c r="EF1908" s="5" t="s">
        <v>240</v>
      </c>
      <c r="EG1908" s="5" t="s">
        <v>240</v>
      </c>
      <c r="EH1908" s="5" t="s">
        <v>240</v>
      </c>
      <c r="EI1908" s="5" t="s">
        <v>240</v>
      </c>
      <c r="EJ1908" s="5" t="s">
        <v>240</v>
      </c>
      <c r="EK1908" s="5" t="s">
        <v>240</v>
      </c>
      <c r="EL1908" s="5" t="s">
        <v>240</v>
      </c>
      <c r="EM1908" s="5" t="s">
        <v>240</v>
      </c>
      <c r="EN1908" s="5" t="s">
        <v>240</v>
      </c>
      <c r="EO1908" s="5" t="s">
        <v>240</v>
      </c>
      <c r="EP1908" s="5" t="s">
        <v>240</v>
      </c>
      <c r="EQ1908" s="5" t="s">
        <v>240</v>
      </c>
      <c r="ER1908" s="5" t="s">
        <v>240</v>
      </c>
      <c r="ES1908" s="5" t="s">
        <v>240</v>
      </c>
      <c r="ET1908" s="5" t="s">
        <v>240</v>
      </c>
      <c r="EU1908" s="5" t="s">
        <v>240</v>
      </c>
      <c r="EV1908" s="5" t="s">
        <v>240</v>
      </c>
      <c r="EW1908" s="5" t="s">
        <v>240</v>
      </c>
      <c r="EX1908" s="5" t="s">
        <v>240</v>
      </c>
      <c r="EY1908" s="5" t="s">
        <v>240</v>
      </c>
      <c r="EZ1908" s="5" t="s">
        <v>240</v>
      </c>
      <c r="FA1908" s="5" t="s">
        <v>240</v>
      </c>
      <c r="FB1908" s="5" t="s">
        <v>240</v>
      </c>
      <c r="FC1908" s="5" t="s">
        <v>240</v>
      </c>
      <c r="FD1908" s="5" t="s">
        <v>240</v>
      </c>
      <c r="FE1908" s="5" t="s">
        <v>240</v>
      </c>
      <c r="FF1908" s="5" t="s">
        <v>240</v>
      </c>
      <c r="FG1908" s="5" t="s">
        <v>240</v>
      </c>
      <c r="FH1908" s="5" t="s">
        <v>240</v>
      </c>
      <c r="FI1908" s="5" t="s">
        <v>240</v>
      </c>
      <c r="FJ1908" s="5" t="s">
        <v>240</v>
      </c>
      <c r="FK1908" s="5" t="s">
        <v>240</v>
      </c>
      <c r="FL1908" s="5" t="s">
        <v>240</v>
      </c>
      <c r="FM1908" s="5" t="s">
        <v>240</v>
      </c>
      <c r="FN1908" s="5" t="s">
        <v>240</v>
      </c>
      <c r="FO1908" s="5" t="s">
        <v>240</v>
      </c>
      <c r="FP1908" s="5" t="s">
        <v>240</v>
      </c>
      <c r="FQ1908" s="5" t="s">
        <v>240</v>
      </c>
      <c r="FR1908" s="5" t="s">
        <v>240</v>
      </c>
      <c r="FS1908" s="5" t="s">
        <v>240</v>
      </c>
      <c r="FT1908" s="5" t="s">
        <v>240</v>
      </c>
      <c r="FU1908" s="5" t="s">
        <v>240</v>
      </c>
      <c r="FV1908" s="5" t="s">
        <v>240</v>
      </c>
      <c r="FW1908" s="5" t="s">
        <v>240</v>
      </c>
      <c r="FX1908" s="5" t="s">
        <v>240</v>
      </c>
      <c r="FY1908" s="5" t="s">
        <v>240</v>
      </c>
      <c r="FZ1908" s="5" t="s">
        <v>240</v>
      </c>
      <c r="GA1908" s="5" t="s">
        <v>240</v>
      </c>
      <c r="GB1908" s="5" t="s">
        <v>240</v>
      </c>
      <c r="GC1908" s="5" t="s">
        <v>240</v>
      </c>
      <c r="GD1908" s="5" t="s">
        <v>240</v>
      </c>
      <c r="GE1908" s="5" t="s">
        <v>240</v>
      </c>
      <c r="GF1908" s="5" t="s">
        <v>240</v>
      </c>
      <c r="GG1908" s="5" t="s">
        <v>240</v>
      </c>
      <c r="GH1908" s="5" t="s">
        <v>240</v>
      </c>
      <c r="GI1908" s="5" t="s">
        <v>240</v>
      </c>
      <c r="GJ1908" s="5" t="s">
        <v>240</v>
      </c>
      <c r="GK1908" s="5" t="s">
        <v>240</v>
      </c>
      <c r="GL1908" s="5" t="s">
        <v>240</v>
      </c>
      <c r="GM1908" s="5" t="s">
        <v>240</v>
      </c>
      <c r="GN1908" s="5" t="s">
        <v>240</v>
      </c>
      <c r="GO1908" s="5" t="s">
        <v>240</v>
      </c>
      <c r="GP1908" s="5" t="s">
        <v>240</v>
      </c>
      <c r="GQ1908" s="5" t="s">
        <v>240</v>
      </c>
      <c r="GR1908" s="5" t="s">
        <v>240</v>
      </c>
      <c r="GS1908" s="5" t="s">
        <v>240</v>
      </c>
      <c r="GT1908" s="5" t="s">
        <v>240</v>
      </c>
      <c r="GU1908" s="5" t="s">
        <v>240</v>
      </c>
      <c r="GV1908" s="5" t="s">
        <v>240</v>
      </c>
      <c r="GW1908" s="5" t="s">
        <v>240</v>
      </c>
      <c r="GX1908" s="5" t="s">
        <v>240</v>
      </c>
      <c r="GY1908" s="5" t="s">
        <v>240</v>
      </c>
      <c r="GZ1908" s="5" t="s">
        <v>240</v>
      </c>
      <c r="HA1908" s="5" t="s">
        <v>240</v>
      </c>
      <c r="HB1908" s="5" t="s">
        <v>240</v>
      </c>
      <c r="HC1908" s="5" t="s">
        <v>240</v>
      </c>
      <c r="HD1908" s="5" t="s">
        <v>240</v>
      </c>
      <c r="HE1908" s="5" t="s">
        <v>240</v>
      </c>
      <c r="HF1908" s="5" t="s">
        <v>240</v>
      </c>
      <c r="HG1908" s="5" t="s">
        <v>240</v>
      </c>
      <c r="HH1908" s="5" t="s">
        <v>240</v>
      </c>
      <c r="HI1908" s="5" t="s">
        <v>240</v>
      </c>
      <c r="HJ1908" s="5" t="s">
        <v>240</v>
      </c>
      <c r="HK1908" s="5" t="s">
        <v>240</v>
      </c>
      <c r="HL1908" s="5" t="s">
        <v>240</v>
      </c>
      <c r="HM1908" s="5" t="s">
        <v>240</v>
      </c>
      <c r="HN1908" s="5" t="s">
        <v>240</v>
      </c>
      <c r="HO1908" s="5" t="s">
        <v>620</v>
      </c>
      <c r="HP1908" s="5" t="s">
        <v>240</v>
      </c>
      <c r="HQ1908" s="5" t="s">
        <v>240</v>
      </c>
      <c r="HR1908" s="5" t="s">
        <v>240</v>
      </c>
      <c r="HS1908" s="5" t="s">
        <v>240</v>
      </c>
      <c r="HT1908" s="5" t="s">
        <v>240</v>
      </c>
      <c r="HU1908" s="5" t="s">
        <v>240</v>
      </c>
      <c r="HV1908" s="5" t="s">
        <v>240</v>
      </c>
      <c r="HW1908" s="5" t="s">
        <v>240</v>
      </c>
      <c r="HX1908" s="5" t="s">
        <v>240</v>
      </c>
      <c r="HY1908" s="5" t="s">
        <v>240</v>
      </c>
      <c r="HZ1908" s="5" t="s">
        <v>240</v>
      </c>
      <c r="IA1908" s="5" t="s">
        <v>240</v>
      </c>
      <c r="IB1908" s="5" t="s">
        <v>240</v>
      </c>
      <c r="IC1908" s="5" t="s">
        <v>240</v>
      </c>
      <c r="ID1908" s="5" t="s">
        <v>240</v>
      </c>
      <c r="IE1908" s="5" t="s">
        <v>240</v>
      </c>
      <c r="IF1908" s="5" t="s">
        <v>240</v>
      </c>
    </row>
    <row r="1909" spans="1:240" x14ac:dyDescent="0.4">
      <c r="A1909" s="5">
        <v>3610</v>
      </c>
      <c r="B1909" s="5">
        <v>1</v>
      </c>
      <c r="C1909" s="5">
        <v>1</v>
      </c>
      <c r="D1909" s="5" t="s">
        <v>297</v>
      </c>
      <c r="E1909" s="5" t="s">
        <v>245</v>
      </c>
      <c r="F1909" s="5" t="s">
        <v>254</v>
      </c>
      <c r="G1909" s="5" t="s">
        <v>240</v>
      </c>
      <c r="H1909" s="6" t="s">
        <v>6154</v>
      </c>
      <c r="I1909" s="5" t="s">
        <v>6628</v>
      </c>
      <c r="J1909" s="8">
        <f>0</f>
        <v>0</v>
      </c>
      <c r="K1909" s="5" t="s">
        <v>308</v>
      </c>
      <c r="L1909" s="7">
        <f>2076374</f>
        <v>2076374</v>
      </c>
      <c r="M1909" s="7">
        <f>2076374</f>
        <v>2076374</v>
      </c>
      <c r="N1909" s="5" t="s">
        <v>242</v>
      </c>
      <c r="O1909" s="5">
        <v>1</v>
      </c>
      <c r="P1909" s="5" t="s">
        <v>294</v>
      </c>
      <c r="Q1909" s="5" t="s">
        <v>266</v>
      </c>
      <c r="R1909" s="5" t="s">
        <v>240</v>
      </c>
      <c r="S1909" s="5" t="s">
        <v>240</v>
      </c>
      <c r="T1909" s="5" t="s">
        <v>296</v>
      </c>
      <c r="U1909" s="5" t="s">
        <v>244</v>
      </c>
      <c r="V1909" s="5" t="s">
        <v>240</v>
      </c>
      <c r="Y1909" s="5" t="s">
        <v>240</v>
      </c>
      <c r="Z1909" s="6" t="s">
        <v>298</v>
      </c>
      <c r="AB1909" s="6" t="s">
        <v>240</v>
      </c>
      <c r="AE1909" s="6" t="s">
        <v>299</v>
      </c>
      <c r="AF1909" s="5" t="s">
        <v>248</v>
      </c>
      <c r="AG1909" s="5" t="s">
        <v>249</v>
      </c>
      <c r="AW1909" s="5" t="s">
        <v>251</v>
      </c>
      <c r="AX1909" s="5" t="s">
        <v>240</v>
      </c>
      <c r="AY1909" s="5" t="s">
        <v>253</v>
      </c>
      <c r="AZ1909" s="5" t="s">
        <v>240</v>
      </c>
      <c r="BA1909" s="5" t="s">
        <v>255</v>
      </c>
      <c r="BB1909" s="5" t="s">
        <v>240</v>
      </c>
      <c r="BD1909" s="5" t="s">
        <v>240</v>
      </c>
      <c r="BF1909" s="5" t="s">
        <v>301</v>
      </c>
      <c r="BG1909" s="6" t="s">
        <v>299</v>
      </c>
      <c r="BH1909" s="5" t="s">
        <v>302</v>
      </c>
      <c r="BI1909" s="5" t="s">
        <v>303</v>
      </c>
      <c r="BJ1909" s="5" t="s">
        <v>240</v>
      </c>
      <c r="BK1909" s="8">
        <f>0</f>
        <v>0</v>
      </c>
      <c r="BL1909" s="7">
        <f>0</f>
        <v>0</v>
      </c>
      <c r="BM1909" s="5" t="s">
        <v>258</v>
      </c>
      <c r="BN1909" s="5" t="s">
        <v>259</v>
      </c>
      <c r="CB1909" s="5" t="s">
        <v>240</v>
      </c>
      <c r="CC1909" s="5" t="s">
        <v>240</v>
      </c>
      <c r="CG1909" s="5" t="s">
        <v>304</v>
      </c>
      <c r="CH1909" s="5" t="s">
        <v>305</v>
      </c>
      <c r="CI1909" s="5" t="s">
        <v>240</v>
      </c>
      <c r="CL1909" s="6" t="s">
        <v>261</v>
      </c>
      <c r="CM1909" s="5" t="s">
        <v>240</v>
      </c>
      <c r="CN1909" s="5" t="s">
        <v>263</v>
      </c>
      <c r="CO1909" s="5" t="s">
        <v>240</v>
      </c>
      <c r="CP1909" s="5" t="s">
        <v>240</v>
      </c>
      <c r="CQ1909" s="5">
        <v>0</v>
      </c>
      <c r="CR1909" s="5" t="s">
        <v>306</v>
      </c>
      <c r="CS1909" s="5" t="s">
        <v>307</v>
      </c>
      <c r="CT1909" s="5" t="s">
        <v>307</v>
      </c>
      <c r="CU1909" s="5" t="s">
        <v>260</v>
      </c>
      <c r="CX1909" s="7">
        <f>1</f>
        <v>1</v>
      </c>
      <c r="CY1909" s="7">
        <f>0</f>
        <v>0</v>
      </c>
      <c r="DA1909" s="7">
        <f>0</f>
        <v>0</v>
      </c>
      <c r="DC1909" s="5" t="s">
        <v>309</v>
      </c>
      <c r="DD1909" s="5" t="s">
        <v>240</v>
      </c>
      <c r="DF1909" s="5" t="s">
        <v>309</v>
      </c>
      <c r="DG1909" s="7">
        <f>7407</f>
        <v>7407</v>
      </c>
      <c r="DI1909" s="5" t="s">
        <v>240</v>
      </c>
      <c r="DJ1909" s="5" t="s">
        <v>240</v>
      </c>
      <c r="DK1909" s="5" t="s">
        <v>240</v>
      </c>
      <c r="DL1909" s="5" t="s">
        <v>240</v>
      </c>
      <c r="DP1909" s="5" t="s">
        <v>240</v>
      </c>
      <c r="DQ1909" s="5" t="s">
        <v>240</v>
      </c>
      <c r="DR1909" s="5" t="s">
        <v>240</v>
      </c>
      <c r="DS1909" s="5" t="s">
        <v>240</v>
      </c>
      <c r="DV1909" s="5" t="s">
        <v>310</v>
      </c>
      <c r="DW1909" s="5" t="s">
        <v>3762</v>
      </c>
      <c r="HO1909" s="5" t="s">
        <v>312</v>
      </c>
    </row>
    <row r="1910" spans="1:240" x14ac:dyDescent="0.4">
      <c r="A1910" s="5">
        <v>3611</v>
      </c>
      <c r="B1910" s="5">
        <v>1</v>
      </c>
      <c r="C1910" s="5">
        <v>1</v>
      </c>
      <c r="D1910" s="5" t="s">
        <v>297</v>
      </c>
      <c r="E1910" s="5" t="s">
        <v>245</v>
      </c>
      <c r="F1910" s="5" t="s">
        <v>254</v>
      </c>
      <c r="G1910" s="5" t="s">
        <v>240</v>
      </c>
      <c r="H1910" s="6" t="s">
        <v>6056</v>
      </c>
      <c r="I1910" s="5" t="s">
        <v>6703</v>
      </c>
      <c r="J1910" s="8">
        <f>0</f>
        <v>0</v>
      </c>
      <c r="K1910" s="5" t="s">
        <v>308</v>
      </c>
      <c r="L1910" s="7">
        <f>1988800</f>
        <v>1988800</v>
      </c>
      <c r="M1910" s="7">
        <f>1988800</f>
        <v>1988800</v>
      </c>
      <c r="N1910" s="5" t="s">
        <v>242</v>
      </c>
      <c r="O1910" s="5">
        <v>1</v>
      </c>
      <c r="P1910" s="5" t="s">
        <v>294</v>
      </c>
      <c r="Q1910" s="5" t="s">
        <v>266</v>
      </c>
      <c r="R1910" s="5" t="s">
        <v>240</v>
      </c>
      <c r="S1910" s="5" t="s">
        <v>240</v>
      </c>
      <c r="T1910" s="5" t="s">
        <v>296</v>
      </c>
      <c r="U1910" s="5" t="s">
        <v>244</v>
      </c>
      <c r="V1910" s="5" t="s">
        <v>240</v>
      </c>
      <c r="Y1910" s="5" t="s">
        <v>240</v>
      </c>
      <c r="Z1910" s="6" t="s">
        <v>298</v>
      </c>
      <c r="AB1910" s="6" t="s">
        <v>240</v>
      </c>
      <c r="AE1910" s="6" t="s">
        <v>299</v>
      </c>
      <c r="AF1910" s="5" t="s">
        <v>248</v>
      </c>
      <c r="AG1910" s="5" t="s">
        <v>249</v>
      </c>
      <c r="AW1910" s="5" t="s">
        <v>251</v>
      </c>
      <c r="AX1910" s="5" t="s">
        <v>240</v>
      </c>
      <c r="AY1910" s="5" t="s">
        <v>253</v>
      </c>
      <c r="AZ1910" s="5" t="s">
        <v>240</v>
      </c>
      <c r="BA1910" s="5" t="s">
        <v>255</v>
      </c>
      <c r="BB1910" s="5" t="s">
        <v>240</v>
      </c>
      <c r="BD1910" s="5" t="s">
        <v>240</v>
      </c>
      <c r="BF1910" s="5" t="s">
        <v>301</v>
      </c>
      <c r="BG1910" s="6" t="s">
        <v>299</v>
      </c>
      <c r="BH1910" s="5" t="s">
        <v>302</v>
      </c>
      <c r="BI1910" s="5" t="s">
        <v>303</v>
      </c>
      <c r="BJ1910" s="5" t="s">
        <v>240</v>
      </c>
      <c r="BK1910" s="8">
        <f>0</f>
        <v>0</v>
      </c>
      <c r="BL1910" s="7">
        <f>0</f>
        <v>0</v>
      </c>
      <c r="BM1910" s="5" t="s">
        <v>258</v>
      </c>
      <c r="BN1910" s="5" t="s">
        <v>259</v>
      </c>
      <c r="CB1910" s="5" t="s">
        <v>240</v>
      </c>
      <c r="CC1910" s="5" t="s">
        <v>240</v>
      </c>
      <c r="CG1910" s="5" t="s">
        <v>304</v>
      </c>
      <c r="CH1910" s="5" t="s">
        <v>305</v>
      </c>
      <c r="CI1910" s="5" t="s">
        <v>240</v>
      </c>
      <c r="CL1910" s="6" t="s">
        <v>261</v>
      </c>
      <c r="CM1910" s="5" t="s">
        <v>240</v>
      </c>
      <c r="CN1910" s="5" t="s">
        <v>263</v>
      </c>
      <c r="CO1910" s="5" t="s">
        <v>240</v>
      </c>
      <c r="CP1910" s="5" t="s">
        <v>240</v>
      </c>
      <c r="CQ1910" s="5">
        <v>0</v>
      </c>
      <c r="CR1910" s="5" t="s">
        <v>306</v>
      </c>
      <c r="CS1910" s="5" t="s">
        <v>307</v>
      </c>
      <c r="CT1910" s="5" t="s">
        <v>307</v>
      </c>
      <c r="CU1910" s="5" t="s">
        <v>260</v>
      </c>
      <c r="CX1910" s="7">
        <f>1</f>
        <v>1</v>
      </c>
      <c r="CY1910" s="7">
        <f>0</f>
        <v>0</v>
      </c>
      <c r="DA1910" s="7">
        <f>0</f>
        <v>0</v>
      </c>
      <c r="DC1910" s="5" t="s">
        <v>309</v>
      </c>
      <c r="DD1910" s="5" t="s">
        <v>240</v>
      </c>
      <c r="DF1910" s="5" t="s">
        <v>309</v>
      </c>
      <c r="DG1910" s="7">
        <f>5587</f>
        <v>5587</v>
      </c>
      <c r="DI1910" s="5" t="s">
        <v>240</v>
      </c>
      <c r="DJ1910" s="5" t="s">
        <v>240</v>
      </c>
      <c r="DK1910" s="5" t="s">
        <v>240</v>
      </c>
      <c r="DL1910" s="5" t="s">
        <v>240</v>
      </c>
      <c r="DP1910" s="5" t="s">
        <v>240</v>
      </c>
      <c r="DQ1910" s="5" t="s">
        <v>240</v>
      </c>
      <c r="DR1910" s="5" t="s">
        <v>240</v>
      </c>
      <c r="DS1910" s="5" t="s">
        <v>240</v>
      </c>
      <c r="DV1910" s="5" t="s">
        <v>310</v>
      </c>
      <c r="DW1910" s="5" t="s">
        <v>3853</v>
      </c>
      <c r="HO1910" s="5" t="s">
        <v>312</v>
      </c>
    </row>
    <row r="1911" spans="1:240" x14ac:dyDescent="0.4">
      <c r="A1911" s="5">
        <v>3612</v>
      </c>
      <c r="B1911" s="5">
        <v>1</v>
      </c>
      <c r="C1911" s="5">
        <v>1</v>
      </c>
      <c r="D1911" s="5" t="s">
        <v>297</v>
      </c>
      <c r="E1911" s="5" t="s">
        <v>245</v>
      </c>
      <c r="F1911" s="5" t="s">
        <v>254</v>
      </c>
      <c r="G1911" s="5" t="s">
        <v>240</v>
      </c>
      <c r="H1911" s="6" t="s">
        <v>6534</v>
      </c>
      <c r="I1911" s="5" t="s">
        <v>6532</v>
      </c>
      <c r="J1911" s="8">
        <f>1226.49</f>
        <v>1226.49</v>
      </c>
      <c r="K1911" s="5" t="s">
        <v>308</v>
      </c>
      <c r="L1911" s="7">
        <f>2452980</f>
        <v>2452980</v>
      </c>
      <c r="M1911" s="7">
        <f>2452980</f>
        <v>2452980</v>
      </c>
      <c r="N1911" s="5" t="s">
        <v>242</v>
      </c>
      <c r="O1911" s="5">
        <v>1</v>
      </c>
      <c r="P1911" s="5" t="s">
        <v>294</v>
      </c>
      <c r="Q1911" s="5" t="s">
        <v>266</v>
      </c>
      <c r="R1911" s="5" t="s">
        <v>240</v>
      </c>
      <c r="S1911" s="5" t="s">
        <v>240</v>
      </c>
      <c r="T1911" s="5" t="s">
        <v>243</v>
      </c>
      <c r="U1911" s="5" t="s">
        <v>240</v>
      </c>
      <c r="V1911" s="5" t="s">
        <v>240</v>
      </c>
      <c r="Y1911" s="5" t="s">
        <v>240</v>
      </c>
      <c r="Z1911" s="6" t="s">
        <v>3924</v>
      </c>
      <c r="AB1911" s="6" t="s">
        <v>240</v>
      </c>
      <c r="AE1911" s="6" t="s">
        <v>3903</v>
      </c>
      <c r="AF1911" s="5" t="s">
        <v>248</v>
      </c>
      <c r="AG1911" s="5" t="s">
        <v>260</v>
      </c>
      <c r="AW1911" s="5" t="s">
        <v>251</v>
      </c>
      <c r="AX1911" s="5" t="s">
        <v>240</v>
      </c>
      <c r="AY1911" s="5" t="s">
        <v>253</v>
      </c>
      <c r="AZ1911" s="5" t="s">
        <v>240</v>
      </c>
      <c r="BA1911" s="5" t="s">
        <v>255</v>
      </c>
      <c r="BB1911" s="5" t="s">
        <v>240</v>
      </c>
      <c r="BD1911" s="5" t="s">
        <v>240</v>
      </c>
      <c r="BF1911" s="5" t="s">
        <v>447</v>
      </c>
      <c r="BG1911" s="6" t="s">
        <v>3924</v>
      </c>
      <c r="BH1911" s="5" t="s">
        <v>302</v>
      </c>
      <c r="BI1911" s="5" t="s">
        <v>448</v>
      </c>
      <c r="BJ1911" s="5" t="s">
        <v>240</v>
      </c>
      <c r="BK1911" s="8">
        <f>0</f>
        <v>0</v>
      </c>
      <c r="BL1911" s="7">
        <f>0</f>
        <v>0</v>
      </c>
      <c r="BM1911" s="5" t="s">
        <v>258</v>
      </c>
      <c r="BN1911" s="5" t="s">
        <v>259</v>
      </c>
      <c r="CB1911" s="5" t="s">
        <v>240</v>
      </c>
      <c r="CC1911" s="5" t="s">
        <v>240</v>
      </c>
      <c r="CG1911" s="5" t="s">
        <v>449</v>
      </c>
      <c r="CH1911" s="5" t="s">
        <v>305</v>
      </c>
      <c r="CI1911" s="5" t="s">
        <v>240</v>
      </c>
      <c r="CL1911" s="6" t="s">
        <v>261</v>
      </c>
      <c r="CM1911" s="5" t="s">
        <v>240</v>
      </c>
      <c r="CN1911" s="5" t="s">
        <v>263</v>
      </c>
      <c r="CO1911" s="5" t="s">
        <v>240</v>
      </c>
      <c r="CP1911" s="5" t="s">
        <v>240</v>
      </c>
      <c r="CQ1911" s="5">
        <v>0</v>
      </c>
      <c r="CR1911" s="5" t="s">
        <v>306</v>
      </c>
      <c r="CS1911" s="5" t="s">
        <v>307</v>
      </c>
      <c r="CT1911" s="5" t="s">
        <v>307</v>
      </c>
      <c r="CU1911" s="5" t="s">
        <v>260</v>
      </c>
      <c r="CX1911" s="7">
        <f>14405020</f>
        <v>14405020</v>
      </c>
      <c r="CY1911" s="7">
        <f>0</f>
        <v>0</v>
      </c>
      <c r="DA1911" s="7">
        <f>0</f>
        <v>0</v>
      </c>
      <c r="DC1911" s="5" t="s">
        <v>450</v>
      </c>
      <c r="DD1911" s="5" t="s">
        <v>240</v>
      </c>
      <c r="DF1911" s="5" t="s">
        <v>450</v>
      </c>
      <c r="DG1911" s="7">
        <f>0</f>
        <v>0</v>
      </c>
      <c r="DI1911" s="5" t="s">
        <v>240</v>
      </c>
      <c r="DJ1911" s="5" t="s">
        <v>240</v>
      </c>
      <c r="DK1911" s="5" t="s">
        <v>240</v>
      </c>
      <c r="DL1911" s="5" t="s">
        <v>240</v>
      </c>
      <c r="DP1911" s="5" t="s">
        <v>240</v>
      </c>
      <c r="DQ1911" s="5" t="s">
        <v>240</v>
      </c>
      <c r="DR1911" s="5" t="s">
        <v>240</v>
      </c>
      <c r="DS1911" s="5" t="s">
        <v>240</v>
      </c>
      <c r="DV1911" s="5" t="s">
        <v>310</v>
      </c>
      <c r="DW1911" s="5" t="s">
        <v>2473</v>
      </c>
      <c r="HO1911" s="5" t="s">
        <v>312</v>
      </c>
    </row>
    <row r="1912" spans="1:240" x14ac:dyDescent="0.4">
      <c r="A1912" s="5">
        <v>3613</v>
      </c>
      <c r="B1912" s="5">
        <v>1</v>
      </c>
      <c r="C1912" s="5">
        <v>1</v>
      </c>
      <c r="D1912" s="5" t="s">
        <v>297</v>
      </c>
      <c r="E1912" s="5" t="s">
        <v>245</v>
      </c>
      <c r="F1912" s="5" t="s">
        <v>254</v>
      </c>
      <c r="G1912" s="5" t="s">
        <v>240</v>
      </c>
      <c r="H1912" s="6" t="s">
        <v>6538</v>
      </c>
      <c r="I1912" s="5" t="s">
        <v>6536</v>
      </c>
      <c r="J1912" s="8">
        <f>89.4</f>
        <v>89.4</v>
      </c>
      <c r="K1912" s="5" t="s">
        <v>308</v>
      </c>
      <c r="L1912" s="7">
        <f>258819</f>
        <v>258819</v>
      </c>
      <c r="M1912" s="7">
        <f>258819</f>
        <v>258819</v>
      </c>
      <c r="N1912" s="5" t="s">
        <v>242</v>
      </c>
      <c r="O1912" s="5">
        <v>1</v>
      </c>
      <c r="P1912" s="5" t="s">
        <v>294</v>
      </c>
      <c r="Q1912" s="5" t="s">
        <v>266</v>
      </c>
      <c r="R1912" s="5" t="s">
        <v>240</v>
      </c>
      <c r="S1912" s="5" t="s">
        <v>240</v>
      </c>
      <c r="T1912" s="5" t="s">
        <v>243</v>
      </c>
      <c r="U1912" s="5" t="s">
        <v>240</v>
      </c>
      <c r="V1912" s="5" t="s">
        <v>240</v>
      </c>
      <c r="Y1912" s="5" t="s">
        <v>240</v>
      </c>
      <c r="Z1912" s="6" t="s">
        <v>3927</v>
      </c>
      <c r="AB1912" s="6" t="s">
        <v>240</v>
      </c>
      <c r="AE1912" s="6" t="s">
        <v>3465</v>
      </c>
      <c r="AF1912" s="5" t="s">
        <v>248</v>
      </c>
      <c r="AG1912" s="5" t="s">
        <v>260</v>
      </c>
      <c r="AW1912" s="5" t="s">
        <v>251</v>
      </c>
      <c r="AX1912" s="5" t="s">
        <v>240</v>
      </c>
      <c r="AY1912" s="5" t="s">
        <v>253</v>
      </c>
      <c r="AZ1912" s="5" t="s">
        <v>240</v>
      </c>
      <c r="BA1912" s="5" t="s">
        <v>255</v>
      </c>
      <c r="BB1912" s="5" t="s">
        <v>240</v>
      </c>
      <c r="BD1912" s="5" t="s">
        <v>240</v>
      </c>
      <c r="BF1912" s="5" t="s">
        <v>447</v>
      </c>
      <c r="BG1912" s="6" t="s">
        <v>3927</v>
      </c>
      <c r="BH1912" s="5" t="s">
        <v>302</v>
      </c>
      <c r="BI1912" s="5" t="s">
        <v>448</v>
      </c>
      <c r="BJ1912" s="5" t="s">
        <v>240</v>
      </c>
      <c r="BK1912" s="8">
        <f>0</f>
        <v>0</v>
      </c>
      <c r="BL1912" s="7">
        <f>0</f>
        <v>0</v>
      </c>
      <c r="BM1912" s="5" t="s">
        <v>258</v>
      </c>
      <c r="BN1912" s="5" t="s">
        <v>259</v>
      </c>
      <c r="CB1912" s="5" t="s">
        <v>240</v>
      </c>
      <c r="CC1912" s="5" t="s">
        <v>240</v>
      </c>
      <c r="CG1912" s="5" t="s">
        <v>449</v>
      </c>
      <c r="CH1912" s="5" t="s">
        <v>305</v>
      </c>
      <c r="CI1912" s="5" t="s">
        <v>240</v>
      </c>
      <c r="CL1912" s="6" t="s">
        <v>261</v>
      </c>
      <c r="CM1912" s="5" t="s">
        <v>240</v>
      </c>
      <c r="CN1912" s="5" t="s">
        <v>263</v>
      </c>
      <c r="CO1912" s="5" t="s">
        <v>240</v>
      </c>
      <c r="CP1912" s="5" t="s">
        <v>240</v>
      </c>
      <c r="CQ1912" s="5">
        <v>0</v>
      </c>
      <c r="CR1912" s="5" t="s">
        <v>306</v>
      </c>
      <c r="CS1912" s="5" t="s">
        <v>307</v>
      </c>
      <c r="CT1912" s="5" t="s">
        <v>307</v>
      </c>
      <c r="CU1912" s="5" t="s">
        <v>260</v>
      </c>
      <c r="CX1912" s="7">
        <f>381617</f>
        <v>381617</v>
      </c>
      <c r="CY1912" s="7">
        <f>0</f>
        <v>0</v>
      </c>
      <c r="DA1912" s="7">
        <f>0</f>
        <v>0</v>
      </c>
      <c r="DC1912" s="5" t="s">
        <v>450</v>
      </c>
      <c r="DD1912" s="5" t="s">
        <v>240</v>
      </c>
      <c r="DF1912" s="5" t="s">
        <v>450</v>
      </c>
      <c r="DG1912" s="7">
        <f>90.42</f>
        <v>90.42</v>
      </c>
      <c r="DI1912" s="5" t="s">
        <v>240</v>
      </c>
      <c r="DJ1912" s="5" t="s">
        <v>240</v>
      </c>
      <c r="DK1912" s="5" t="s">
        <v>240</v>
      </c>
      <c r="DL1912" s="5" t="s">
        <v>240</v>
      </c>
      <c r="DP1912" s="5" t="s">
        <v>240</v>
      </c>
      <c r="DQ1912" s="5" t="s">
        <v>240</v>
      </c>
      <c r="DR1912" s="5" t="s">
        <v>240</v>
      </c>
      <c r="DS1912" s="5" t="s">
        <v>240</v>
      </c>
      <c r="DV1912" s="5" t="s">
        <v>310</v>
      </c>
      <c r="DW1912" s="5" t="s">
        <v>2471</v>
      </c>
      <c r="HO1912" s="5" t="s">
        <v>312</v>
      </c>
    </row>
    <row r="1913" spans="1:240" x14ac:dyDescent="0.4">
      <c r="A1913" s="5">
        <v>3614</v>
      </c>
      <c r="B1913" s="5">
        <v>1</v>
      </c>
      <c r="C1913" s="5">
        <v>1</v>
      </c>
      <c r="D1913" s="5" t="s">
        <v>297</v>
      </c>
      <c r="E1913" s="5" t="s">
        <v>245</v>
      </c>
      <c r="F1913" s="5" t="s">
        <v>254</v>
      </c>
      <c r="G1913" s="5" t="s">
        <v>240</v>
      </c>
      <c r="H1913" s="6" t="s">
        <v>6538</v>
      </c>
      <c r="I1913" s="5" t="s">
        <v>6546</v>
      </c>
      <c r="J1913" s="8">
        <f>0</f>
        <v>0</v>
      </c>
      <c r="K1913" s="5" t="s">
        <v>308</v>
      </c>
      <c r="L1913" s="7">
        <f>859937</f>
        <v>859937</v>
      </c>
      <c r="M1913" s="7">
        <f>859937</f>
        <v>859937</v>
      </c>
      <c r="N1913" s="5" t="s">
        <v>242</v>
      </c>
      <c r="O1913" s="5">
        <v>1</v>
      </c>
      <c r="P1913" s="5" t="s">
        <v>294</v>
      </c>
      <c r="Q1913" s="5" t="s">
        <v>3678</v>
      </c>
      <c r="R1913" s="5" t="s">
        <v>240</v>
      </c>
      <c r="S1913" s="5" t="s">
        <v>240</v>
      </c>
      <c r="T1913" s="5" t="s">
        <v>243</v>
      </c>
      <c r="U1913" s="5" t="s">
        <v>244</v>
      </c>
      <c r="V1913" s="5" t="s">
        <v>240</v>
      </c>
      <c r="W1913" s="5" t="s">
        <v>240</v>
      </c>
      <c r="X1913" s="5" t="s">
        <v>240</v>
      </c>
      <c r="Y1913" s="5" t="s">
        <v>240</v>
      </c>
      <c r="Z1913" s="6" t="s">
        <v>298</v>
      </c>
      <c r="AA1913" s="6" t="s">
        <v>240</v>
      </c>
      <c r="AB1913" s="6" t="s">
        <v>240</v>
      </c>
      <c r="AC1913" s="5" t="s">
        <v>240</v>
      </c>
      <c r="AD1913" s="6" t="s">
        <v>240</v>
      </c>
      <c r="AE1913" s="6" t="s">
        <v>299</v>
      </c>
      <c r="AF1913" s="5" t="s">
        <v>248</v>
      </c>
      <c r="AG1913" s="5" t="s">
        <v>249</v>
      </c>
      <c r="AH1913" s="5" t="s">
        <v>240</v>
      </c>
      <c r="AI1913" s="5" t="s">
        <v>240</v>
      </c>
      <c r="AJ1913" s="5" t="s">
        <v>240</v>
      </c>
      <c r="AK1913" s="5" t="s">
        <v>240</v>
      </c>
      <c r="AL1913" s="5" t="s">
        <v>240</v>
      </c>
      <c r="AM1913" s="5" t="s">
        <v>240</v>
      </c>
      <c r="AN1913" s="5" t="s">
        <v>240</v>
      </c>
      <c r="AO1913" s="5" t="s">
        <v>240</v>
      </c>
      <c r="AP1913" s="6" t="s">
        <v>240</v>
      </c>
      <c r="AQ1913" s="6" t="s">
        <v>240</v>
      </c>
      <c r="AR1913" s="6" t="s">
        <v>240</v>
      </c>
      <c r="AS1913" s="6" t="s">
        <v>240</v>
      </c>
      <c r="AT1913" s="5" t="s">
        <v>240</v>
      </c>
      <c r="AU1913" s="5" t="s">
        <v>729</v>
      </c>
      <c r="AV1913" s="5" t="s">
        <v>729</v>
      </c>
      <c r="AW1913" s="5" t="s">
        <v>251</v>
      </c>
      <c r="AX1913" s="5" t="s">
        <v>252</v>
      </c>
      <c r="AY1913" s="5" t="s">
        <v>253</v>
      </c>
      <c r="AZ1913" s="5" t="s">
        <v>240</v>
      </c>
      <c r="BA1913" s="5" t="s">
        <v>255</v>
      </c>
      <c r="BB1913" s="5" t="s">
        <v>731</v>
      </c>
      <c r="BD1913" s="5" t="s">
        <v>240</v>
      </c>
      <c r="BF1913" s="5" t="s">
        <v>732</v>
      </c>
      <c r="BG1913" s="6" t="s">
        <v>733</v>
      </c>
      <c r="BH1913" s="5" t="s">
        <v>734</v>
      </c>
      <c r="BI1913" s="5" t="s">
        <v>734</v>
      </c>
      <c r="BJ1913" s="5" t="s">
        <v>240</v>
      </c>
      <c r="BK1913" s="7">
        <f>1</f>
        <v>1</v>
      </c>
      <c r="BL1913" s="7">
        <f>1</f>
        <v>1</v>
      </c>
      <c r="BM1913" s="5" t="s">
        <v>258</v>
      </c>
      <c r="BN1913" s="5" t="s">
        <v>259</v>
      </c>
      <c r="BO1913" s="5" t="s">
        <v>240</v>
      </c>
      <c r="BP1913" s="5" t="s">
        <v>240</v>
      </c>
      <c r="BQ1913" s="5" t="s">
        <v>240</v>
      </c>
      <c r="BR1913" s="5" t="s">
        <v>240</v>
      </c>
      <c r="BS1913" s="5" t="s">
        <v>240</v>
      </c>
      <c r="BT1913" s="5" t="s">
        <v>240</v>
      </c>
      <c r="BU1913" s="5" t="s">
        <v>240</v>
      </c>
      <c r="BV1913" s="5" t="s">
        <v>240</v>
      </c>
      <c r="BW1913" s="6" t="s">
        <v>240</v>
      </c>
      <c r="BX1913" s="5" t="s">
        <v>240</v>
      </c>
      <c r="BY1913" s="5" t="s">
        <v>240</v>
      </c>
      <c r="BZ1913" s="5" t="s">
        <v>240</v>
      </c>
      <c r="CA1913" s="5" t="s">
        <v>259</v>
      </c>
      <c r="CB1913" s="5" t="s">
        <v>240</v>
      </c>
      <c r="CC1913" s="5" t="s">
        <v>240</v>
      </c>
      <c r="CD1913" s="5" t="s">
        <v>240</v>
      </c>
      <c r="CE1913" s="5" t="s">
        <v>240</v>
      </c>
      <c r="CF1913" s="5" t="s">
        <v>240</v>
      </c>
      <c r="CG1913" s="5" t="s">
        <v>304</v>
      </c>
      <c r="CH1913" s="5" t="s">
        <v>305</v>
      </c>
      <c r="CI1913" s="5" t="s">
        <v>240</v>
      </c>
      <c r="CK1913" s="5" t="s">
        <v>3681</v>
      </c>
      <c r="CL1913" s="6" t="s">
        <v>261</v>
      </c>
      <c r="CM1913" s="5" t="s">
        <v>262</v>
      </c>
      <c r="CN1913" s="5" t="s">
        <v>263</v>
      </c>
      <c r="CO1913" s="5" t="s">
        <v>264</v>
      </c>
      <c r="CP1913" s="5" t="s">
        <v>240</v>
      </c>
      <c r="CQ1913" s="5">
        <v>0</v>
      </c>
      <c r="CR1913" s="5" t="s">
        <v>735</v>
      </c>
      <c r="CS1913" s="5" t="s">
        <v>307</v>
      </c>
      <c r="CT1913" s="5" t="s">
        <v>307</v>
      </c>
      <c r="CU1913" s="5" t="s">
        <v>260</v>
      </c>
      <c r="CV1913" s="5" t="s">
        <v>612</v>
      </c>
      <c r="CW1913" s="8">
        <f>1</f>
        <v>1</v>
      </c>
      <c r="CX1913" s="7">
        <f>1</f>
        <v>1</v>
      </c>
      <c r="CY1913" s="7">
        <f>0</f>
        <v>0</v>
      </c>
      <c r="DA1913" s="7">
        <f>1</f>
        <v>1</v>
      </c>
      <c r="DB1913" s="7" t="s">
        <v>240</v>
      </c>
      <c r="DC1913" s="5" t="s">
        <v>240</v>
      </c>
      <c r="DD1913" s="5" t="s">
        <v>240</v>
      </c>
      <c r="DE1913" s="5" t="s">
        <v>240</v>
      </c>
      <c r="DF1913" s="5" t="s">
        <v>240</v>
      </c>
      <c r="DG1913" s="7">
        <f>0</f>
        <v>0</v>
      </c>
      <c r="DI1913" s="5" t="s">
        <v>240</v>
      </c>
      <c r="DJ1913" s="5" t="s">
        <v>240</v>
      </c>
      <c r="DK1913" s="5" t="s">
        <v>240</v>
      </c>
      <c r="DL1913" s="5" t="s">
        <v>240</v>
      </c>
      <c r="DM1913" s="5" t="s">
        <v>240</v>
      </c>
      <c r="DN1913" s="5" t="s">
        <v>240</v>
      </c>
      <c r="DO1913" s="7" t="s">
        <v>240</v>
      </c>
      <c r="DP1913" s="5" t="s">
        <v>240</v>
      </c>
      <c r="DQ1913" s="5" t="s">
        <v>240</v>
      </c>
      <c r="DR1913" s="5" t="s">
        <v>731</v>
      </c>
      <c r="DS1913" s="5" t="s">
        <v>731</v>
      </c>
      <c r="DT1913" s="5" t="s">
        <v>240</v>
      </c>
      <c r="DU1913" s="5" t="s">
        <v>240</v>
      </c>
      <c r="DV1913" s="5" t="s">
        <v>3683</v>
      </c>
      <c r="DW1913" s="5" t="s">
        <v>344</v>
      </c>
      <c r="DX1913" s="5" t="s">
        <v>240</v>
      </c>
      <c r="DY1913" s="5" t="s">
        <v>240</v>
      </c>
      <c r="DZ1913" s="5" t="s">
        <v>240</v>
      </c>
      <c r="EA1913" s="5" t="s">
        <v>240</v>
      </c>
      <c r="EB1913" s="5" t="s">
        <v>240</v>
      </c>
      <c r="EC1913" s="5" t="s">
        <v>240</v>
      </c>
      <c r="ED1913" s="5" t="s">
        <v>240</v>
      </c>
      <c r="EE1913" s="5" t="s">
        <v>240</v>
      </c>
      <c r="EF1913" s="5" t="s">
        <v>240</v>
      </c>
      <c r="EG1913" s="5" t="s">
        <v>240</v>
      </c>
      <c r="EH1913" s="5" t="s">
        <v>240</v>
      </c>
      <c r="EI1913" s="5" t="s">
        <v>240</v>
      </c>
      <c r="EJ1913" s="5" t="s">
        <v>240</v>
      </c>
      <c r="EK1913" s="5" t="s">
        <v>240</v>
      </c>
      <c r="EL1913" s="5" t="s">
        <v>240</v>
      </c>
      <c r="EM1913" s="5" t="s">
        <v>240</v>
      </c>
      <c r="EN1913" s="5" t="s">
        <v>240</v>
      </c>
      <c r="EO1913" s="5" t="s">
        <v>240</v>
      </c>
      <c r="EP1913" s="5" t="s">
        <v>240</v>
      </c>
      <c r="EQ1913" s="5" t="s">
        <v>240</v>
      </c>
      <c r="ER1913" s="5" t="s">
        <v>240</v>
      </c>
      <c r="ES1913" s="5" t="s">
        <v>240</v>
      </c>
      <c r="ET1913" s="5" t="s">
        <v>240</v>
      </c>
      <c r="EU1913" s="5" t="s">
        <v>240</v>
      </c>
      <c r="EV1913" s="5" t="s">
        <v>240</v>
      </c>
      <c r="EW1913" s="5" t="s">
        <v>240</v>
      </c>
      <c r="EX1913" s="5" t="s">
        <v>240</v>
      </c>
      <c r="EY1913" s="5" t="s">
        <v>240</v>
      </c>
      <c r="EZ1913" s="5" t="s">
        <v>240</v>
      </c>
      <c r="FA1913" s="5" t="s">
        <v>240</v>
      </c>
      <c r="FB1913" s="5" t="s">
        <v>240</v>
      </c>
      <c r="FC1913" s="5" t="s">
        <v>240</v>
      </c>
      <c r="FD1913" s="5" t="s">
        <v>240</v>
      </c>
      <c r="FE1913" s="5" t="s">
        <v>240</v>
      </c>
      <c r="FF1913" s="5" t="s">
        <v>240</v>
      </c>
      <c r="FG1913" s="5" t="s">
        <v>240</v>
      </c>
      <c r="FH1913" s="5" t="s">
        <v>240</v>
      </c>
      <c r="FI1913" s="5" t="s">
        <v>240</v>
      </c>
      <c r="FJ1913" s="5" t="s">
        <v>240</v>
      </c>
      <c r="FK1913" s="5" t="s">
        <v>240</v>
      </c>
      <c r="FL1913" s="5" t="s">
        <v>240</v>
      </c>
      <c r="FM1913" s="5" t="s">
        <v>240</v>
      </c>
      <c r="FN1913" s="5" t="s">
        <v>240</v>
      </c>
      <c r="FO1913" s="5" t="s">
        <v>240</v>
      </c>
      <c r="FP1913" s="5" t="s">
        <v>240</v>
      </c>
      <c r="FQ1913" s="5" t="s">
        <v>240</v>
      </c>
      <c r="FR1913" s="5" t="s">
        <v>240</v>
      </c>
      <c r="FS1913" s="5" t="s">
        <v>240</v>
      </c>
      <c r="FT1913" s="5" t="s">
        <v>240</v>
      </c>
      <c r="FU1913" s="5" t="s">
        <v>240</v>
      </c>
      <c r="FV1913" s="5" t="s">
        <v>240</v>
      </c>
      <c r="FW1913" s="5" t="s">
        <v>240</v>
      </c>
      <c r="FX1913" s="5" t="s">
        <v>240</v>
      </c>
      <c r="FY1913" s="5" t="s">
        <v>240</v>
      </c>
      <c r="FZ1913" s="5" t="s">
        <v>240</v>
      </c>
      <c r="GA1913" s="5" t="s">
        <v>240</v>
      </c>
      <c r="GB1913" s="5" t="s">
        <v>240</v>
      </c>
      <c r="GC1913" s="5" t="s">
        <v>240</v>
      </c>
      <c r="GD1913" s="5" t="s">
        <v>240</v>
      </c>
      <c r="GE1913" s="5" t="s">
        <v>240</v>
      </c>
      <c r="GF1913" s="5" t="s">
        <v>240</v>
      </c>
      <c r="GG1913" s="5" t="s">
        <v>240</v>
      </c>
      <c r="GH1913" s="5" t="s">
        <v>240</v>
      </c>
      <c r="GI1913" s="5" t="s">
        <v>240</v>
      </c>
      <c r="GJ1913" s="5" t="s">
        <v>240</v>
      </c>
      <c r="GK1913" s="5" t="s">
        <v>240</v>
      </c>
      <c r="GL1913" s="5" t="s">
        <v>240</v>
      </c>
      <c r="GM1913" s="5" t="s">
        <v>240</v>
      </c>
      <c r="GN1913" s="5" t="s">
        <v>240</v>
      </c>
      <c r="GO1913" s="5" t="s">
        <v>240</v>
      </c>
      <c r="GP1913" s="5" t="s">
        <v>240</v>
      </c>
      <c r="GQ1913" s="5" t="s">
        <v>240</v>
      </c>
      <c r="GR1913" s="5" t="s">
        <v>240</v>
      </c>
      <c r="GS1913" s="5" t="s">
        <v>240</v>
      </c>
      <c r="GT1913" s="5" t="s">
        <v>240</v>
      </c>
      <c r="GU1913" s="5" t="s">
        <v>240</v>
      </c>
      <c r="GV1913" s="5" t="s">
        <v>240</v>
      </c>
      <c r="GW1913" s="5" t="s">
        <v>240</v>
      </c>
      <c r="GX1913" s="5" t="s">
        <v>240</v>
      </c>
      <c r="GY1913" s="5" t="s">
        <v>240</v>
      </c>
      <c r="GZ1913" s="5" t="s">
        <v>240</v>
      </c>
      <c r="HA1913" s="5" t="s">
        <v>240</v>
      </c>
      <c r="HB1913" s="5" t="s">
        <v>240</v>
      </c>
      <c r="HC1913" s="5" t="s">
        <v>240</v>
      </c>
      <c r="HD1913" s="5" t="s">
        <v>240</v>
      </c>
      <c r="HE1913" s="5" t="s">
        <v>240</v>
      </c>
      <c r="HF1913" s="5" t="s">
        <v>240</v>
      </c>
      <c r="HG1913" s="5" t="s">
        <v>240</v>
      </c>
      <c r="HH1913" s="5" t="s">
        <v>240</v>
      </c>
      <c r="HI1913" s="5" t="s">
        <v>240</v>
      </c>
      <c r="HJ1913" s="5" t="s">
        <v>240</v>
      </c>
      <c r="HK1913" s="5" t="s">
        <v>240</v>
      </c>
      <c r="HL1913" s="5" t="s">
        <v>240</v>
      </c>
      <c r="HM1913" s="5" t="s">
        <v>240</v>
      </c>
      <c r="HN1913" s="5" t="s">
        <v>240</v>
      </c>
      <c r="HO1913" s="5" t="s">
        <v>312</v>
      </c>
      <c r="HP1913" s="5" t="s">
        <v>240</v>
      </c>
      <c r="HQ1913" s="5" t="s">
        <v>240</v>
      </c>
      <c r="HR1913" s="5" t="s">
        <v>240</v>
      </c>
      <c r="HS1913" s="5" t="s">
        <v>240</v>
      </c>
      <c r="HT1913" s="5" t="s">
        <v>240</v>
      </c>
      <c r="HU1913" s="5" t="s">
        <v>240</v>
      </c>
      <c r="HV1913" s="5" t="s">
        <v>240</v>
      </c>
      <c r="HW1913" s="5" t="s">
        <v>240</v>
      </c>
      <c r="HX1913" s="5" t="s">
        <v>240</v>
      </c>
      <c r="HY1913" s="5" t="s">
        <v>240</v>
      </c>
      <c r="HZ1913" s="5" t="s">
        <v>240</v>
      </c>
      <c r="IA1913" s="5" t="s">
        <v>240</v>
      </c>
      <c r="IB1913" s="5" t="s">
        <v>240</v>
      </c>
      <c r="IC1913" s="5" t="s">
        <v>240</v>
      </c>
      <c r="ID1913" s="5" t="s">
        <v>240</v>
      </c>
      <c r="IE1913" s="5" t="s">
        <v>240</v>
      </c>
      <c r="IF1913" s="5" t="s">
        <v>240</v>
      </c>
    </row>
    <row r="1914" spans="1:240" x14ac:dyDescent="0.4">
      <c r="A1914" s="5">
        <v>3615</v>
      </c>
      <c r="B1914" s="5">
        <v>1</v>
      </c>
      <c r="C1914" s="5">
        <v>1</v>
      </c>
      <c r="D1914" s="5" t="s">
        <v>297</v>
      </c>
      <c r="E1914" s="5" t="s">
        <v>245</v>
      </c>
      <c r="F1914" s="5" t="s">
        <v>254</v>
      </c>
      <c r="G1914" s="5" t="s">
        <v>240</v>
      </c>
      <c r="H1914" s="6" t="s">
        <v>6555</v>
      </c>
      <c r="I1914" s="5" t="s">
        <v>6553</v>
      </c>
      <c r="J1914" s="8">
        <f>122.39</f>
        <v>122.39</v>
      </c>
      <c r="K1914" s="5" t="s">
        <v>308</v>
      </c>
      <c r="L1914" s="7">
        <f>171346</f>
        <v>171346</v>
      </c>
      <c r="M1914" s="7">
        <f>171346</f>
        <v>171346</v>
      </c>
      <c r="N1914" s="5" t="s">
        <v>242</v>
      </c>
      <c r="O1914" s="5">
        <v>1</v>
      </c>
      <c r="P1914" s="5" t="s">
        <v>294</v>
      </c>
      <c r="Q1914" s="5" t="s">
        <v>3678</v>
      </c>
      <c r="R1914" s="5" t="s">
        <v>240</v>
      </c>
      <c r="S1914" s="5" t="s">
        <v>240</v>
      </c>
      <c r="T1914" s="5" t="s">
        <v>243</v>
      </c>
      <c r="U1914" s="5" t="s">
        <v>244</v>
      </c>
      <c r="V1914" s="5" t="s">
        <v>240</v>
      </c>
      <c r="W1914" s="5" t="s">
        <v>240</v>
      </c>
      <c r="X1914" s="5" t="s">
        <v>240</v>
      </c>
      <c r="Y1914" s="5" t="s">
        <v>240</v>
      </c>
      <c r="Z1914" s="6" t="s">
        <v>298</v>
      </c>
      <c r="AA1914" s="6" t="s">
        <v>240</v>
      </c>
      <c r="AB1914" s="6" t="s">
        <v>240</v>
      </c>
      <c r="AC1914" s="5" t="s">
        <v>240</v>
      </c>
      <c r="AD1914" s="6" t="s">
        <v>240</v>
      </c>
      <c r="AE1914" s="6" t="s">
        <v>299</v>
      </c>
      <c r="AF1914" s="5" t="s">
        <v>248</v>
      </c>
      <c r="AG1914" s="5" t="s">
        <v>249</v>
      </c>
      <c r="AH1914" s="5" t="s">
        <v>240</v>
      </c>
      <c r="AI1914" s="5" t="s">
        <v>240</v>
      </c>
      <c r="AJ1914" s="5" t="s">
        <v>240</v>
      </c>
      <c r="AK1914" s="5" t="s">
        <v>240</v>
      </c>
      <c r="AL1914" s="5" t="s">
        <v>240</v>
      </c>
      <c r="AM1914" s="5" t="s">
        <v>240</v>
      </c>
      <c r="AN1914" s="5" t="s">
        <v>240</v>
      </c>
      <c r="AO1914" s="5" t="s">
        <v>240</v>
      </c>
      <c r="AP1914" s="6" t="s">
        <v>240</v>
      </c>
      <c r="AQ1914" s="6" t="s">
        <v>240</v>
      </c>
      <c r="AR1914" s="6" t="s">
        <v>240</v>
      </c>
      <c r="AS1914" s="6" t="s">
        <v>240</v>
      </c>
      <c r="AT1914" s="5" t="s">
        <v>240</v>
      </c>
      <c r="AU1914" s="5" t="s">
        <v>729</v>
      </c>
      <c r="AV1914" s="5" t="s">
        <v>729</v>
      </c>
      <c r="AW1914" s="5" t="s">
        <v>251</v>
      </c>
      <c r="AX1914" s="5" t="s">
        <v>252</v>
      </c>
      <c r="AY1914" s="5" t="s">
        <v>253</v>
      </c>
      <c r="AZ1914" s="5" t="s">
        <v>240</v>
      </c>
      <c r="BA1914" s="5" t="s">
        <v>255</v>
      </c>
      <c r="BB1914" s="5" t="s">
        <v>731</v>
      </c>
      <c r="BD1914" s="5" t="s">
        <v>240</v>
      </c>
      <c r="BF1914" s="5" t="s">
        <v>732</v>
      </c>
      <c r="BG1914" s="6" t="s">
        <v>733</v>
      </c>
      <c r="BH1914" s="5" t="s">
        <v>734</v>
      </c>
      <c r="BI1914" s="5" t="s">
        <v>734</v>
      </c>
      <c r="BJ1914" s="5" t="s">
        <v>240</v>
      </c>
      <c r="BK1914" s="7">
        <f>1</f>
        <v>1</v>
      </c>
      <c r="BL1914" s="7">
        <f>1</f>
        <v>1</v>
      </c>
      <c r="BM1914" s="5" t="s">
        <v>258</v>
      </c>
      <c r="BN1914" s="5" t="s">
        <v>259</v>
      </c>
      <c r="BO1914" s="5" t="s">
        <v>240</v>
      </c>
      <c r="BP1914" s="5" t="s">
        <v>240</v>
      </c>
      <c r="BQ1914" s="5" t="s">
        <v>240</v>
      </c>
      <c r="BR1914" s="5" t="s">
        <v>240</v>
      </c>
      <c r="BS1914" s="5" t="s">
        <v>240</v>
      </c>
      <c r="BT1914" s="5" t="s">
        <v>240</v>
      </c>
      <c r="BU1914" s="5" t="s">
        <v>240</v>
      </c>
      <c r="BV1914" s="5" t="s">
        <v>240</v>
      </c>
      <c r="BW1914" s="6" t="s">
        <v>240</v>
      </c>
      <c r="BX1914" s="5" t="s">
        <v>240</v>
      </c>
      <c r="BY1914" s="5" t="s">
        <v>240</v>
      </c>
      <c r="BZ1914" s="5" t="s">
        <v>240</v>
      </c>
      <c r="CA1914" s="5" t="s">
        <v>259</v>
      </c>
      <c r="CB1914" s="5" t="s">
        <v>240</v>
      </c>
      <c r="CC1914" s="5" t="s">
        <v>240</v>
      </c>
      <c r="CD1914" s="5" t="s">
        <v>240</v>
      </c>
      <c r="CE1914" s="5" t="s">
        <v>240</v>
      </c>
      <c r="CF1914" s="5" t="s">
        <v>240</v>
      </c>
      <c r="CG1914" s="5" t="s">
        <v>304</v>
      </c>
      <c r="CH1914" s="5" t="s">
        <v>305</v>
      </c>
      <c r="CI1914" s="5" t="s">
        <v>240</v>
      </c>
      <c r="CK1914" s="5" t="s">
        <v>3681</v>
      </c>
      <c r="CL1914" s="6" t="s">
        <v>261</v>
      </c>
      <c r="CM1914" s="5" t="s">
        <v>262</v>
      </c>
      <c r="CN1914" s="5" t="s">
        <v>263</v>
      </c>
      <c r="CO1914" s="5" t="s">
        <v>264</v>
      </c>
      <c r="CP1914" s="5" t="s">
        <v>240</v>
      </c>
      <c r="CQ1914" s="5">
        <v>0</v>
      </c>
      <c r="CR1914" s="5" t="s">
        <v>735</v>
      </c>
      <c r="CS1914" s="5" t="s">
        <v>307</v>
      </c>
      <c r="CT1914" s="5" t="s">
        <v>307</v>
      </c>
      <c r="CU1914" s="5" t="s">
        <v>260</v>
      </c>
      <c r="CV1914" s="5" t="s">
        <v>612</v>
      </c>
      <c r="CW1914" s="8">
        <f>1</f>
        <v>1</v>
      </c>
      <c r="CX1914" s="7">
        <f>1</f>
        <v>1</v>
      </c>
      <c r="CY1914" s="7">
        <f>0</f>
        <v>0</v>
      </c>
      <c r="DA1914" s="7">
        <f>1</f>
        <v>1</v>
      </c>
      <c r="DB1914" s="7" t="s">
        <v>240</v>
      </c>
      <c r="DC1914" s="5" t="s">
        <v>240</v>
      </c>
      <c r="DD1914" s="5" t="s">
        <v>240</v>
      </c>
      <c r="DE1914" s="5" t="s">
        <v>240</v>
      </c>
      <c r="DF1914" s="5" t="s">
        <v>240</v>
      </c>
      <c r="DG1914" s="7">
        <f>0</f>
        <v>0</v>
      </c>
      <c r="DI1914" s="5" t="s">
        <v>240</v>
      </c>
      <c r="DJ1914" s="5" t="s">
        <v>240</v>
      </c>
      <c r="DK1914" s="5" t="s">
        <v>240</v>
      </c>
      <c r="DL1914" s="5" t="s">
        <v>240</v>
      </c>
      <c r="DM1914" s="5" t="s">
        <v>240</v>
      </c>
      <c r="DN1914" s="5" t="s">
        <v>240</v>
      </c>
      <c r="DO1914" s="7" t="s">
        <v>240</v>
      </c>
      <c r="DP1914" s="5" t="s">
        <v>240</v>
      </c>
      <c r="DQ1914" s="5" t="s">
        <v>240</v>
      </c>
      <c r="DR1914" s="5" t="s">
        <v>731</v>
      </c>
      <c r="DS1914" s="5" t="s">
        <v>731</v>
      </c>
      <c r="DT1914" s="5" t="s">
        <v>240</v>
      </c>
      <c r="DU1914" s="5" t="s">
        <v>240</v>
      </c>
      <c r="DV1914" s="5" t="s">
        <v>3683</v>
      </c>
      <c r="DW1914" s="5" t="s">
        <v>352</v>
      </c>
      <c r="DX1914" s="5" t="s">
        <v>240</v>
      </c>
      <c r="DY1914" s="5" t="s">
        <v>240</v>
      </c>
      <c r="DZ1914" s="5" t="s">
        <v>240</v>
      </c>
      <c r="EA1914" s="5" t="s">
        <v>240</v>
      </c>
      <c r="EB1914" s="5" t="s">
        <v>240</v>
      </c>
      <c r="EC1914" s="5" t="s">
        <v>240</v>
      </c>
      <c r="ED1914" s="5" t="s">
        <v>240</v>
      </c>
      <c r="EE1914" s="5" t="s">
        <v>240</v>
      </c>
      <c r="EF1914" s="5" t="s">
        <v>240</v>
      </c>
      <c r="EG1914" s="5" t="s">
        <v>240</v>
      </c>
      <c r="EH1914" s="5" t="s">
        <v>240</v>
      </c>
      <c r="EI1914" s="5" t="s">
        <v>240</v>
      </c>
      <c r="EJ1914" s="5" t="s">
        <v>240</v>
      </c>
      <c r="EK1914" s="5" t="s">
        <v>240</v>
      </c>
      <c r="EL1914" s="5" t="s">
        <v>240</v>
      </c>
      <c r="EM1914" s="5" t="s">
        <v>240</v>
      </c>
      <c r="EN1914" s="5" t="s">
        <v>240</v>
      </c>
      <c r="EO1914" s="5" t="s">
        <v>240</v>
      </c>
      <c r="EP1914" s="5" t="s">
        <v>240</v>
      </c>
      <c r="EQ1914" s="5" t="s">
        <v>240</v>
      </c>
      <c r="ER1914" s="5" t="s">
        <v>240</v>
      </c>
      <c r="ES1914" s="5" t="s">
        <v>240</v>
      </c>
      <c r="ET1914" s="5" t="s">
        <v>240</v>
      </c>
      <c r="EU1914" s="5" t="s">
        <v>240</v>
      </c>
      <c r="EV1914" s="5" t="s">
        <v>240</v>
      </c>
      <c r="EW1914" s="5" t="s">
        <v>240</v>
      </c>
      <c r="EX1914" s="5" t="s">
        <v>240</v>
      </c>
      <c r="EY1914" s="5" t="s">
        <v>240</v>
      </c>
      <c r="EZ1914" s="5" t="s">
        <v>240</v>
      </c>
      <c r="FA1914" s="5" t="s">
        <v>240</v>
      </c>
      <c r="FB1914" s="5" t="s">
        <v>240</v>
      </c>
      <c r="FC1914" s="5" t="s">
        <v>240</v>
      </c>
      <c r="FD1914" s="5" t="s">
        <v>240</v>
      </c>
      <c r="FE1914" s="5" t="s">
        <v>240</v>
      </c>
      <c r="FF1914" s="5" t="s">
        <v>240</v>
      </c>
      <c r="FG1914" s="5" t="s">
        <v>240</v>
      </c>
      <c r="FH1914" s="5" t="s">
        <v>240</v>
      </c>
      <c r="FI1914" s="5" t="s">
        <v>240</v>
      </c>
      <c r="FJ1914" s="5" t="s">
        <v>240</v>
      </c>
      <c r="FK1914" s="5" t="s">
        <v>240</v>
      </c>
      <c r="FL1914" s="5" t="s">
        <v>240</v>
      </c>
      <c r="FM1914" s="5" t="s">
        <v>240</v>
      </c>
      <c r="FN1914" s="5" t="s">
        <v>240</v>
      </c>
      <c r="FO1914" s="5" t="s">
        <v>240</v>
      </c>
      <c r="FP1914" s="5" t="s">
        <v>240</v>
      </c>
      <c r="FQ1914" s="5" t="s">
        <v>240</v>
      </c>
      <c r="FR1914" s="5" t="s">
        <v>240</v>
      </c>
      <c r="FS1914" s="5" t="s">
        <v>240</v>
      </c>
      <c r="FT1914" s="5" t="s">
        <v>240</v>
      </c>
      <c r="FU1914" s="5" t="s">
        <v>240</v>
      </c>
      <c r="FV1914" s="5" t="s">
        <v>240</v>
      </c>
      <c r="FW1914" s="5" t="s">
        <v>240</v>
      </c>
      <c r="FX1914" s="5" t="s">
        <v>240</v>
      </c>
      <c r="FY1914" s="5" t="s">
        <v>240</v>
      </c>
      <c r="FZ1914" s="5" t="s">
        <v>240</v>
      </c>
      <c r="GA1914" s="5" t="s">
        <v>240</v>
      </c>
      <c r="GB1914" s="5" t="s">
        <v>240</v>
      </c>
      <c r="GC1914" s="5" t="s">
        <v>240</v>
      </c>
      <c r="GD1914" s="5" t="s">
        <v>240</v>
      </c>
      <c r="GE1914" s="5" t="s">
        <v>240</v>
      </c>
      <c r="GF1914" s="5" t="s">
        <v>240</v>
      </c>
      <c r="GG1914" s="5" t="s">
        <v>240</v>
      </c>
      <c r="GH1914" s="5" t="s">
        <v>240</v>
      </c>
      <c r="GI1914" s="5" t="s">
        <v>240</v>
      </c>
      <c r="GJ1914" s="5" t="s">
        <v>240</v>
      </c>
      <c r="GK1914" s="5" t="s">
        <v>240</v>
      </c>
      <c r="GL1914" s="5" t="s">
        <v>240</v>
      </c>
      <c r="GM1914" s="5" t="s">
        <v>240</v>
      </c>
      <c r="GN1914" s="5" t="s">
        <v>240</v>
      </c>
      <c r="GO1914" s="5" t="s">
        <v>240</v>
      </c>
      <c r="GP1914" s="5" t="s">
        <v>240</v>
      </c>
      <c r="GQ1914" s="5" t="s">
        <v>240</v>
      </c>
      <c r="GR1914" s="5" t="s">
        <v>240</v>
      </c>
      <c r="GS1914" s="5" t="s">
        <v>240</v>
      </c>
      <c r="GT1914" s="5" t="s">
        <v>240</v>
      </c>
      <c r="GU1914" s="5" t="s">
        <v>240</v>
      </c>
      <c r="GV1914" s="5" t="s">
        <v>240</v>
      </c>
      <c r="GW1914" s="5" t="s">
        <v>240</v>
      </c>
      <c r="GX1914" s="5" t="s">
        <v>240</v>
      </c>
      <c r="GY1914" s="5" t="s">
        <v>240</v>
      </c>
      <c r="GZ1914" s="5" t="s">
        <v>240</v>
      </c>
      <c r="HA1914" s="5" t="s">
        <v>240</v>
      </c>
      <c r="HB1914" s="5" t="s">
        <v>240</v>
      </c>
      <c r="HC1914" s="5" t="s">
        <v>240</v>
      </c>
      <c r="HD1914" s="5" t="s">
        <v>240</v>
      </c>
      <c r="HE1914" s="5" t="s">
        <v>240</v>
      </c>
      <c r="HF1914" s="5" t="s">
        <v>240</v>
      </c>
      <c r="HG1914" s="5" t="s">
        <v>240</v>
      </c>
      <c r="HH1914" s="5" t="s">
        <v>240</v>
      </c>
      <c r="HI1914" s="5" t="s">
        <v>240</v>
      </c>
      <c r="HJ1914" s="5" t="s">
        <v>240</v>
      </c>
      <c r="HK1914" s="5" t="s">
        <v>240</v>
      </c>
      <c r="HL1914" s="5" t="s">
        <v>240</v>
      </c>
      <c r="HM1914" s="5" t="s">
        <v>240</v>
      </c>
      <c r="HN1914" s="5" t="s">
        <v>240</v>
      </c>
      <c r="HO1914" s="5" t="s">
        <v>312</v>
      </c>
      <c r="HP1914" s="5" t="s">
        <v>240</v>
      </c>
      <c r="HQ1914" s="5" t="s">
        <v>240</v>
      </c>
      <c r="HR1914" s="5" t="s">
        <v>240</v>
      </c>
      <c r="HS1914" s="5" t="s">
        <v>240</v>
      </c>
      <c r="HT1914" s="5" t="s">
        <v>240</v>
      </c>
      <c r="HU1914" s="5" t="s">
        <v>240</v>
      </c>
      <c r="HV1914" s="5" t="s">
        <v>240</v>
      </c>
      <c r="HW1914" s="5" t="s">
        <v>240</v>
      </c>
      <c r="HX1914" s="5" t="s">
        <v>240</v>
      </c>
      <c r="HY1914" s="5" t="s">
        <v>240</v>
      </c>
      <c r="HZ1914" s="5" t="s">
        <v>240</v>
      </c>
      <c r="IA1914" s="5" t="s">
        <v>240</v>
      </c>
      <c r="IB1914" s="5" t="s">
        <v>240</v>
      </c>
      <c r="IC1914" s="5" t="s">
        <v>240</v>
      </c>
      <c r="ID1914" s="5" t="s">
        <v>240</v>
      </c>
      <c r="IE1914" s="5" t="s">
        <v>240</v>
      </c>
      <c r="IF1914" s="5" t="s">
        <v>240</v>
      </c>
    </row>
    <row r="1915" spans="1:240" x14ac:dyDescent="0.4">
      <c r="A1915" s="5">
        <v>3616</v>
      </c>
      <c r="B1915" s="5">
        <v>1</v>
      </c>
      <c r="C1915" s="5">
        <v>1</v>
      </c>
      <c r="D1915" s="5" t="s">
        <v>297</v>
      </c>
      <c r="E1915" s="5" t="s">
        <v>245</v>
      </c>
      <c r="F1915" s="5" t="s">
        <v>254</v>
      </c>
      <c r="G1915" s="5" t="s">
        <v>240</v>
      </c>
      <c r="H1915" s="6" t="s">
        <v>5136</v>
      </c>
      <c r="I1915" s="5" t="s">
        <v>5134</v>
      </c>
      <c r="J1915" s="8">
        <f>456.54</f>
        <v>456.54</v>
      </c>
      <c r="K1915" s="5" t="s">
        <v>308</v>
      </c>
      <c r="L1915" s="7">
        <f>205443</f>
        <v>205443</v>
      </c>
      <c r="M1915" s="7">
        <f>205443</f>
        <v>205443</v>
      </c>
      <c r="N1915" s="5" t="s">
        <v>242</v>
      </c>
      <c r="O1915" s="5">
        <v>1</v>
      </c>
      <c r="P1915" s="5" t="s">
        <v>294</v>
      </c>
      <c r="Q1915" s="5" t="s">
        <v>613</v>
      </c>
      <c r="R1915" s="5" t="s">
        <v>240</v>
      </c>
      <c r="S1915" s="5" t="s">
        <v>240</v>
      </c>
      <c r="T1915" s="5" t="s">
        <v>243</v>
      </c>
      <c r="U1915" s="5" t="s">
        <v>724</v>
      </c>
      <c r="V1915" s="5" t="s">
        <v>240</v>
      </c>
      <c r="W1915" s="5" t="s">
        <v>240</v>
      </c>
      <c r="X1915" s="5" t="s">
        <v>240</v>
      </c>
      <c r="Y1915" s="5" t="s">
        <v>240</v>
      </c>
      <c r="Z1915" s="6" t="s">
        <v>298</v>
      </c>
      <c r="AA1915" s="6" t="s">
        <v>240</v>
      </c>
      <c r="AB1915" s="6" t="s">
        <v>240</v>
      </c>
      <c r="AC1915" s="5" t="s">
        <v>240</v>
      </c>
      <c r="AD1915" s="6" t="s">
        <v>240</v>
      </c>
      <c r="AE1915" s="6" t="s">
        <v>299</v>
      </c>
      <c r="AF1915" s="5" t="s">
        <v>727</v>
      </c>
      <c r="AG1915" s="5" t="s">
        <v>260</v>
      </c>
      <c r="AH1915" s="5" t="s">
        <v>240</v>
      </c>
      <c r="AI1915" s="5" t="s">
        <v>240</v>
      </c>
      <c r="AJ1915" s="5" t="s">
        <v>240</v>
      </c>
      <c r="AK1915" s="5" t="s">
        <v>240</v>
      </c>
      <c r="AL1915" s="5" t="s">
        <v>240</v>
      </c>
      <c r="AM1915" s="5" t="s">
        <v>240</v>
      </c>
      <c r="AN1915" s="5" t="s">
        <v>240</v>
      </c>
      <c r="AO1915" s="5" t="s">
        <v>240</v>
      </c>
      <c r="AP1915" s="6" t="s">
        <v>240</v>
      </c>
      <c r="AQ1915" s="6" t="s">
        <v>240</v>
      </c>
      <c r="AR1915" s="6" t="s">
        <v>240</v>
      </c>
      <c r="AS1915" s="6" t="s">
        <v>240</v>
      </c>
      <c r="AT1915" s="5" t="s">
        <v>240</v>
      </c>
      <c r="AU1915" s="5" t="s">
        <v>729</v>
      </c>
      <c r="AV1915" s="5" t="s">
        <v>729</v>
      </c>
      <c r="AW1915" s="5" t="s">
        <v>251</v>
      </c>
      <c r="AX1915" s="5" t="s">
        <v>252</v>
      </c>
      <c r="AY1915" s="5" t="s">
        <v>253</v>
      </c>
      <c r="AZ1915" s="5" t="s">
        <v>240</v>
      </c>
      <c r="BA1915" s="5" t="s">
        <v>255</v>
      </c>
      <c r="BB1915" s="5" t="s">
        <v>731</v>
      </c>
      <c r="BD1915" s="5" t="s">
        <v>240</v>
      </c>
      <c r="BF1915" s="5" t="s">
        <v>732</v>
      </c>
      <c r="BG1915" s="6" t="s">
        <v>733</v>
      </c>
      <c r="BH1915" s="5" t="s">
        <v>734</v>
      </c>
      <c r="BI1915" s="5" t="s">
        <v>734</v>
      </c>
      <c r="BJ1915" s="5" t="s">
        <v>240</v>
      </c>
      <c r="BK1915" s="8">
        <f>323</f>
        <v>323</v>
      </c>
      <c r="BL1915" s="7">
        <f>0</f>
        <v>0</v>
      </c>
      <c r="BM1915" s="5" t="s">
        <v>258</v>
      </c>
      <c r="BN1915" s="5" t="s">
        <v>259</v>
      </c>
      <c r="BO1915" s="5" t="s">
        <v>240</v>
      </c>
      <c r="BP1915" s="5" t="s">
        <v>240</v>
      </c>
      <c r="BQ1915" s="5" t="s">
        <v>240</v>
      </c>
      <c r="BR1915" s="5" t="s">
        <v>240</v>
      </c>
      <c r="BS1915" s="5" t="s">
        <v>240</v>
      </c>
      <c r="BT1915" s="5" t="s">
        <v>240</v>
      </c>
      <c r="BU1915" s="5" t="s">
        <v>240</v>
      </c>
      <c r="BV1915" s="5" t="s">
        <v>240</v>
      </c>
      <c r="BW1915" s="6" t="s">
        <v>240</v>
      </c>
      <c r="BX1915" s="5" t="s">
        <v>240</v>
      </c>
      <c r="BY1915" s="5" t="s">
        <v>240</v>
      </c>
      <c r="BZ1915" s="5" t="s">
        <v>240</v>
      </c>
      <c r="CA1915" s="5" t="s">
        <v>259</v>
      </c>
      <c r="CB1915" s="5" t="s">
        <v>240</v>
      </c>
      <c r="CC1915" s="5" t="s">
        <v>240</v>
      </c>
      <c r="CD1915" s="5" t="s">
        <v>240</v>
      </c>
      <c r="CE1915" s="5" t="s">
        <v>240</v>
      </c>
      <c r="CF1915" s="5" t="s">
        <v>240</v>
      </c>
      <c r="CG1915" s="5" t="s">
        <v>617</v>
      </c>
      <c r="CH1915" s="5" t="s">
        <v>305</v>
      </c>
      <c r="CI1915" s="5" t="s">
        <v>240</v>
      </c>
      <c r="CL1915" s="6" t="s">
        <v>261</v>
      </c>
      <c r="CM1915" s="5" t="s">
        <v>262</v>
      </c>
      <c r="CN1915" s="5" t="s">
        <v>263</v>
      </c>
      <c r="CO1915" s="5" t="s">
        <v>264</v>
      </c>
      <c r="CP1915" s="5" t="s">
        <v>240</v>
      </c>
      <c r="CQ1915" s="5">
        <v>0</v>
      </c>
      <c r="CR1915" s="5" t="s">
        <v>735</v>
      </c>
      <c r="CS1915" s="5" t="s">
        <v>307</v>
      </c>
      <c r="CT1915" s="5" t="s">
        <v>307</v>
      </c>
      <c r="CU1915" s="5" t="s">
        <v>260</v>
      </c>
      <c r="CV1915" s="5" t="s">
        <v>240</v>
      </c>
      <c r="CW1915" s="8">
        <f>0</f>
        <v>0</v>
      </c>
      <c r="CX1915" s="7">
        <f>0</f>
        <v>0</v>
      </c>
      <c r="CY1915" s="7">
        <f>0</f>
        <v>0</v>
      </c>
      <c r="DA1915" s="7">
        <f>3553</f>
        <v>3553</v>
      </c>
      <c r="DB1915" s="7" t="s">
        <v>240</v>
      </c>
      <c r="DC1915" s="5" t="s">
        <v>240</v>
      </c>
      <c r="DD1915" s="5" t="s">
        <v>240</v>
      </c>
      <c r="DE1915" s="5" t="s">
        <v>240</v>
      </c>
      <c r="DF1915" s="5" t="s">
        <v>450</v>
      </c>
      <c r="DG1915" s="7">
        <f>0</f>
        <v>0</v>
      </c>
      <c r="DI1915" s="5" t="s">
        <v>737</v>
      </c>
      <c r="DJ1915" s="5" t="s">
        <v>240</v>
      </c>
      <c r="DK1915" s="5" t="s">
        <v>240</v>
      </c>
      <c r="DL1915" s="5" t="s">
        <v>240</v>
      </c>
      <c r="DM1915" s="5" t="s">
        <v>240</v>
      </c>
      <c r="DN1915" s="5" t="s">
        <v>240</v>
      </c>
      <c r="DO1915" s="7" t="s">
        <v>240</v>
      </c>
      <c r="DP1915" s="5" t="s">
        <v>240</v>
      </c>
      <c r="DQ1915" s="5" t="s">
        <v>240</v>
      </c>
      <c r="DR1915" s="5" t="s">
        <v>731</v>
      </c>
      <c r="DS1915" s="5" t="s">
        <v>731</v>
      </c>
      <c r="DT1915" s="5" t="s">
        <v>240</v>
      </c>
      <c r="DU1915" s="5" t="s">
        <v>240</v>
      </c>
      <c r="DV1915" s="5" t="s">
        <v>738</v>
      </c>
      <c r="DW1915" s="5" t="s">
        <v>1184</v>
      </c>
      <c r="DX1915" s="5" t="s">
        <v>240</v>
      </c>
      <c r="DY1915" s="5" t="s">
        <v>240</v>
      </c>
      <c r="DZ1915" s="5" t="s">
        <v>240</v>
      </c>
      <c r="EA1915" s="5" t="s">
        <v>240</v>
      </c>
      <c r="EB1915" s="5" t="s">
        <v>240</v>
      </c>
      <c r="EC1915" s="5" t="s">
        <v>240</v>
      </c>
      <c r="ED1915" s="5" t="s">
        <v>240</v>
      </c>
      <c r="EE1915" s="5" t="s">
        <v>240</v>
      </c>
      <c r="EF1915" s="5" t="s">
        <v>240</v>
      </c>
      <c r="EG1915" s="5" t="s">
        <v>240</v>
      </c>
      <c r="EH1915" s="5" t="s">
        <v>240</v>
      </c>
      <c r="EI1915" s="5" t="s">
        <v>240</v>
      </c>
      <c r="EJ1915" s="5" t="s">
        <v>240</v>
      </c>
      <c r="EK1915" s="5" t="s">
        <v>240</v>
      </c>
      <c r="EL1915" s="5" t="s">
        <v>240</v>
      </c>
      <c r="EM1915" s="5" t="s">
        <v>240</v>
      </c>
      <c r="EN1915" s="5" t="s">
        <v>240</v>
      </c>
      <c r="EO1915" s="5" t="s">
        <v>240</v>
      </c>
      <c r="EP1915" s="5" t="s">
        <v>240</v>
      </c>
      <c r="EQ1915" s="5" t="s">
        <v>240</v>
      </c>
      <c r="ER1915" s="5" t="s">
        <v>240</v>
      </c>
      <c r="ES1915" s="5" t="s">
        <v>240</v>
      </c>
      <c r="ET1915" s="5" t="s">
        <v>240</v>
      </c>
      <c r="EU1915" s="5" t="s">
        <v>240</v>
      </c>
      <c r="EV1915" s="5" t="s">
        <v>240</v>
      </c>
      <c r="EW1915" s="5" t="s">
        <v>240</v>
      </c>
      <c r="EX1915" s="5" t="s">
        <v>240</v>
      </c>
      <c r="EY1915" s="5" t="s">
        <v>240</v>
      </c>
      <c r="EZ1915" s="5" t="s">
        <v>240</v>
      </c>
      <c r="FA1915" s="5" t="s">
        <v>240</v>
      </c>
      <c r="FB1915" s="5" t="s">
        <v>240</v>
      </c>
      <c r="FC1915" s="5" t="s">
        <v>240</v>
      </c>
      <c r="FD1915" s="5" t="s">
        <v>240</v>
      </c>
      <c r="FE1915" s="5" t="s">
        <v>240</v>
      </c>
      <c r="FF1915" s="5" t="s">
        <v>240</v>
      </c>
      <c r="FG1915" s="5" t="s">
        <v>240</v>
      </c>
      <c r="FH1915" s="5" t="s">
        <v>240</v>
      </c>
      <c r="FI1915" s="5" t="s">
        <v>240</v>
      </c>
      <c r="FJ1915" s="5" t="s">
        <v>240</v>
      </c>
      <c r="FK1915" s="5" t="s">
        <v>240</v>
      </c>
      <c r="FL1915" s="5" t="s">
        <v>240</v>
      </c>
      <c r="FM1915" s="5" t="s">
        <v>240</v>
      </c>
      <c r="FN1915" s="5" t="s">
        <v>240</v>
      </c>
      <c r="FO1915" s="5" t="s">
        <v>240</v>
      </c>
      <c r="FP1915" s="5" t="s">
        <v>240</v>
      </c>
      <c r="FQ1915" s="5" t="s">
        <v>240</v>
      </c>
      <c r="FR1915" s="5" t="s">
        <v>240</v>
      </c>
      <c r="FS1915" s="5" t="s">
        <v>240</v>
      </c>
      <c r="FT1915" s="5" t="s">
        <v>240</v>
      </c>
      <c r="FU1915" s="5" t="s">
        <v>240</v>
      </c>
      <c r="FV1915" s="5" t="s">
        <v>240</v>
      </c>
      <c r="FW1915" s="5" t="s">
        <v>240</v>
      </c>
      <c r="FX1915" s="5" t="s">
        <v>240</v>
      </c>
      <c r="FY1915" s="5" t="s">
        <v>240</v>
      </c>
      <c r="FZ1915" s="5" t="s">
        <v>240</v>
      </c>
      <c r="GA1915" s="5" t="s">
        <v>240</v>
      </c>
      <c r="GB1915" s="5" t="s">
        <v>240</v>
      </c>
      <c r="GC1915" s="5" t="s">
        <v>240</v>
      </c>
      <c r="GD1915" s="5" t="s">
        <v>240</v>
      </c>
      <c r="GE1915" s="5" t="s">
        <v>240</v>
      </c>
      <c r="GF1915" s="5" t="s">
        <v>240</v>
      </c>
      <c r="GG1915" s="5" t="s">
        <v>240</v>
      </c>
      <c r="GH1915" s="5" t="s">
        <v>240</v>
      </c>
      <c r="GI1915" s="5" t="s">
        <v>240</v>
      </c>
      <c r="GJ1915" s="5" t="s">
        <v>240</v>
      </c>
      <c r="GK1915" s="5" t="s">
        <v>240</v>
      </c>
      <c r="GL1915" s="5" t="s">
        <v>240</v>
      </c>
      <c r="GM1915" s="5" t="s">
        <v>240</v>
      </c>
      <c r="GN1915" s="5" t="s">
        <v>240</v>
      </c>
      <c r="GO1915" s="5" t="s">
        <v>240</v>
      </c>
      <c r="GP1915" s="5" t="s">
        <v>240</v>
      </c>
      <c r="GQ1915" s="5" t="s">
        <v>240</v>
      </c>
      <c r="GR1915" s="5" t="s">
        <v>240</v>
      </c>
      <c r="GS1915" s="5" t="s">
        <v>240</v>
      </c>
      <c r="GT1915" s="5" t="s">
        <v>240</v>
      </c>
      <c r="GU1915" s="5" t="s">
        <v>240</v>
      </c>
      <c r="GV1915" s="5" t="s">
        <v>240</v>
      </c>
      <c r="GW1915" s="5" t="s">
        <v>240</v>
      </c>
      <c r="GX1915" s="5" t="s">
        <v>240</v>
      </c>
      <c r="GY1915" s="5" t="s">
        <v>240</v>
      </c>
      <c r="GZ1915" s="5" t="s">
        <v>240</v>
      </c>
      <c r="HA1915" s="5" t="s">
        <v>240</v>
      </c>
      <c r="HB1915" s="5" t="s">
        <v>240</v>
      </c>
      <c r="HC1915" s="5" t="s">
        <v>240</v>
      </c>
      <c r="HD1915" s="5" t="s">
        <v>240</v>
      </c>
      <c r="HE1915" s="5" t="s">
        <v>240</v>
      </c>
      <c r="HF1915" s="5" t="s">
        <v>240</v>
      </c>
      <c r="HG1915" s="5" t="s">
        <v>240</v>
      </c>
      <c r="HH1915" s="5" t="s">
        <v>240</v>
      </c>
      <c r="HI1915" s="5" t="s">
        <v>240</v>
      </c>
      <c r="HJ1915" s="5" t="s">
        <v>240</v>
      </c>
      <c r="HK1915" s="5" t="s">
        <v>240</v>
      </c>
      <c r="HL1915" s="5" t="s">
        <v>240</v>
      </c>
      <c r="HM1915" s="5" t="s">
        <v>240</v>
      </c>
      <c r="HN1915" s="5" t="s">
        <v>240</v>
      </c>
      <c r="HO1915" s="5" t="s">
        <v>312</v>
      </c>
      <c r="HP1915" s="5" t="s">
        <v>240</v>
      </c>
      <c r="HQ1915" s="5" t="s">
        <v>240</v>
      </c>
      <c r="HR1915" s="5" t="s">
        <v>240</v>
      </c>
      <c r="HS1915" s="5" t="s">
        <v>240</v>
      </c>
      <c r="HT1915" s="5" t="s">
        <v>240</v>
      </c>
      <c r="HU1915" s="5" t="s">
        <v>240</v>
      </c>
      <c r="HV1915" s="5" t="s">
        <v>240</v>
      </c>
      <c r="HW1915" s="5" t="s">
        <v>240</v>
      </c>
      <c r="HX1915" s="5" t="s">
        <v>240</v>
      </c>
      <c r="HY1915" s="5" t="s">
        <v>240</v>
      </c>
      <c r="HZ1915" s="5" t="s">
        <v>240</v>
      </c>
      <c r="IA1915" s="5" t="s">
        <v>240</v>
      </c>
      <c r="IB1915" s="5" t="s">
        <v>240</v>
      </c>
      <c r="IC1915" s="5" t="s">
        <v>240</v>
      </c>
      <c r="ID1915" s="5" t="s">
        <v>240</v>
      </c>
      <c r="IE1915" s="5" t="s">
        <v>240</v>
      </c>
      <c r="IF1915" s="5" t="s">
        <v>240</v>
      </c>
    </row>
    <row r="1916" spans="1:240" x14ac:dyDescent="0.4">
      <c r="A1916" s="5">
        <v>3617</v>
      </c>
      <c r="B1916" s="5">
        <v>1</v>
      </c>
      <c r="C1916" s="5">
        <v>1</v>
      </c>
      <c r="D1916" s="5" t="s">
        <v>297</v>
      </c>
      <c r="E1916" s="5" t="s">
        <v>245</v>
      </c>
      <c r="F1916" s="5" t="s">
        <v>254</v>
      </c>
      <c r="G1916" s="5" t="s">
        <v>240</v>
      </c>
      <c r="H1916" s="6" t="s">
        <v>5136</v>
      </c>
      <c r="I1916" s="5" t="s">
        <v>6531</v>
      </c>
      <c r="J1916" s="8">
        <f>0</f>
        <v>0</v>
      </c>
      <c r="K1916" s="5" t="s">
        <v>308</v>
      </c>
      <c r="L1916" s="7">
        <f>127432</f>
        <v>127432</v>
      </c>
      <c r="M1916" s="7">
        <f>127432</f>
        <v>127432</v>
      </c>
      <c r="N1916" s="5" t="s">
        <v>242</v>
      </c>
      <c r="O1916" s="5">
        <v>1</v>
      </c>
      <c r="P1916" s="5" t="s">
        <v>294</v>
      </c>
      <c r="Q1916" s="5" t="s">
        <v>266</v>
      </c>
      <c r="R1916" s="5" t="s">
        <v>240</v>
      </c>
      <c r="S1916" s="5" t="s">
        <v>240</v>
      </c>
      <c r="T1916" s="5" t="s">
        <v>296</v>
      </c>
      <c r="U1916" s="5" t="s">
        <v>244</v>
      </c>
      <c r="V1916" s="5" t="s">
        <v>240</v>
      </c>
      <c r="Y1916" s="5" t="s">
        <v>240</v>
      </c>
      <c r="Z1916" s="6" t="s">
        <v>298</v>
      </c>
      <c r="AB1916" s="6" t="s">
        <v>240</v>
      </c>
      <c r="AE1916" s="6" t="s">
        <v>299</v>
      </c>
      <c r="AF1916" s="5" t="s">
        <v>248</v>
      </c>
      <c r="AG1916" s="5" t="s">
        <v>249</v>
      </c>
      <c r="AW1916" s="5" t="s">
        <v>251</v>
      </c>
      <c r="AX1916" s="5" t="s">
        <v>240</v>
      </c>
      <c r="AY1916" s="5" t="s">
        <v>253</v>
      </c>
      <c r="AZ1916" s="5" t="s">
        <v>240</v>
      </c>
      <c r="BA1916" s="5" t="s">
        <v>255</v>
      </c>
      <c r="BB1916" s="5" t="s">
        <v>240</v>
      </c>
      <c r="BD1916" s="5" t="s">
        <v>240</v>
      </c>
      <c r="BF1916" s="5" t="s">
        <v>301</v>
      </c>
      <c r="BG1916" s="6" t="s">
        <v>299</v>
      </c>
      <c r="BH1916" s="5" t="s">
        <v>302</v>
      </c>
      <c r="BI1916" s="5" t="s">
        <v>303</v>
      </c>
      <c r="BJ1916" s="5" t="s">
        <v>240</v>
      </c>
      <c r="BK1916" s="8">
        <f>0</f>
        <v>0</v>
      </c>
      <c r="BL1916" s="7">
        <f>0</f>
        <v>0</v>
      </c>
      <c r="BM1916" s="5" t="s">
        <v>258</v>
      </c>
      <c r="BN1916" s="5" t="s">
        <v>259</v>
      </c>
      <c r="CB1916" s="5" t="s">
        <v>240</v>
      </c>
      <c r="CC1916" s="5" t="s">
        <v>240</v>
      </c>
      <c r="CG1916" s="5" t="s">
        <v>304</v>
      </c>
      <c r="CH1916" s="5" t="s">
        <v>305</v>
      </c>
      <c r="CI1916" s="5" t="s">
        <v>240</v>
      </c>
      <c r="CL1916" s="6" t="s">
        <v>261</v>
      </c>
      <c r="CM1916" s="5" t="s">
        <v>240</v>
      </c>
      <c r="CN1916" s="5" t="s">
        <v>263</v>
      </c>
      <c r="CO1916" s="5" t="s">
        <v>240</v>
      </c>
      <c r="CP1916" s="5" t="s">
        <v>240</v>
      </c>
      <c r="CQ1916" s="5">
        <v>0</v>
      </c>
      <c r="CR1916" s="5" t="s">
        <v>306</v>
      </c>
      <c r="CS1916" s="5" t="s">
        <v>307</v>
      </c>
      <c r="CT1916" s="5" t="s">
        <v>307</v>
      </c>
      <c r="CU1916" s="5" t="s">
        <v>260</v>
      </c>
      <c r="CX1916" s="7">
        <f>1</f>
        <v>1</v>
      </c>
      <c r="CY1916" s="7">
        <f>0</f>
        <v>0</v>
      </c>
      <c r="DA1916" s="7">
        <f>0</f>
        <v>0</v>
      </c>
      <c r="DC1916" s="5" t="s">
        <v>309</v>
      </c>
      <c r="DD1916" s="5" t="s">
        <v>240</v>
      </c>
      <c r="DF1916" s="5" t="s">
        <v>309</v>
      </c>
      <c r="DG1916" s="7">
        <f>1853</f>
        <v>1853</v>
      </c>
      <c r="DI1916" s="5" t="s">
        <v>240</v>
      </c>
      <c r="DJ1916" s="5" t="s">
        <v>240</v>
      </c>
      <c r="DK1916" s="5" t="s">
        <v>240</v>
      </c>
      <c r="DL1916" s="5" t="s">
        <v>240</v>
      </c>
      <c r="DP1916" s="5" t="s">
        <v>240</v>
      </c>
      <c r="DQ1916" s="5" t="s">
        <v>240</v>
      </c>
      <c r="DR1916" s="5" t="s">
        <v>240</v>
      </c>
      <c r="DS1916" s="5" t="s">
        <v>240</v>
      </c>
      <c r="DV1916" s="5" t="s">
        <v>310</v>
      </c>
      <c r="DW1916" s="5" t="s">
        <v>3855</v>
      </c>
      <c r="HO1916" s="5" t="s">
        <v>312</v>
      </c>
    </row>
    <row r="1917" spans="1:240" x14ac:dyDescent="0.4">
      <c r="A1917" s="5">
        <v>3621</v>
      </c>
      <c r="B1917" s="5">
        <v>1</v>
      </c>
      <c r="C1917" s="5">
        <v>1</v>
      </c>
      <c r="D1917" s="5" t="s">
        <v>810</v>
      </c>
      <c r="E1917" s="5" t="s">
        <v>245</v>
      </c>
      <c r="F1917" s="5" t="s">
        <v>254</v>
      </c>
      <c r="G1917" s="5" t="s">
        <v>240</v>
      </c>
      <c r="H1917" s="6" t="s">
        <v>4372</v>
      </c>
      <c r="I1917" s="5" t="s">
        <v>809</v>
      </c>
      <c r="J1917" s="8">
        <f>56</f>
        <v>56</v>
      </c>
      <c r="K1917" s="5" t="s">
        <v>308</v>
      </c>
      <c r="L1917" s="7">
        <f>1</f>
        <v>1</v>
      </c>
      <c r="M1917" s="7">
        <f>1</f>
        <v>1</v>
      </c>
      <c r="N1917" s="5" t="s">
        <v>242</v>
      </c>
      <c r="O1917" s="5">
        <v>1</v>
      </c>
      <c r="P1917" s="5" t="s">
        <v>294</v>
      </c>
      <c r="Q1917" s="5" t="s">
        <v>266</v>
      </c>
      <c r="R1917" s="5" t="s">
        <v>240</v>
      </c>
      <c r="S1917" s="5" t="s">
        <v>240</v>
      </c>
      <c r="T1917" s="5" t="s">
        <v>296</v>
      </c>
      <c r="U1917" s="5" t="s">
        <v>244</v>
      </c>
      <c r="V1917" s="5" t="s">
        <v>240</v>
      </c>
      <c r="Y1917" s="5" t="s">
        <v>240</v>
      </c>
      <c r="Z1917" s="6" t="s">
        <v>298</v>
      </c>
      <c r="AB1917" s="6" t="s">
        <v>240</v>
      </c>
      <c r="AE1917" s="6" t="s">
        <v>299</v>
      </c>
      <c r="AF1917" s="5" t="s">
        <v>248</v>
      </c>
      <c r="AG1917" s="5" t="s">
        <v>249</v>
      </c>
      <c r="AW1917" s="5" t="s">
        <v>251</v>
      </c>
      <c r="AX1917" s="5" t="s">
        <v>240</v>
      </c>
      <c r="AY1917" s="5" t="s">
        <v>253</v>
      </c>
      <c r="AZ1917" s="5" t="s">
        <v>240</v>
      </c>
      <c r="BA1917" s="5" t="s">
        <v>255</v>
      </c>
      <c r="BB1917" s="5" t="s">
        <v>240</v>
      </c>
      <c r="BD1917" s="5" t="s">
        <v>240</v>
      </c>
      <c r="BF1917" s="5" t="s">
        <v>301</v>
      </c>
      <c r="BG1917" s="6" t="s">
        <v>299</v>
      </c>
      <c r="BH1917" s="5" t="s">
        <v>302</v>
      </c>
      <c r="BI1917" s="5" t="s">
        <v>303</v>
      </c>
      <c r="BJ1917" s="5" t="s">
        <v>240</v>
      </c>
      <c r="BK1917" s="8">
        <f>0</f>
        <v>0</v>
      </c>
      <c r="BL1917" s="7">
        <f>0</f>
        <v>0</v>
      </c>
      <c r="BM1917" s="5" t="s">
        <v>258</v>
      </c>
      <c r="BN1917" s="5" t="s">
        <v>259</v>
      </c>
      <c r="CB1917" s="5" t="s">
        <v>240</v>
      </c>
      <c r="CC1917" s="5" t="s">
        <v>240</v>
      </c>
      <c r="CG1917" s="5" t="s">
        <v>304</v>
      </c>
      <c r="CH1917" s="5" t="s">
        <v>305</v>
      </c>
      <c r="CI1917" s="5" t="s">
        <v>240</v>
      </c>
      <c r="CL1917" s="6" t="s">
        <v>261</v>
      </c>
      <c r="CM1917" s="5" t="s">
        <v>240</v>
      </c>
      <c r="CN1917" s="5" t="s">
        <v>263</v>
      </c>
      <c r="CO1917" s="5" t="s">
        <v>240</v>
      </c>
      <c r="CP1917" s="5" t="s">
        <v>240</v>
      </c>
      <c r="CQ1917" s="5">
        <v>0</v>
      </c>
      <c r="CR1917" s="5" t="s">
        <v>306</v>
      </c>
      <c r="CS1917" s="5" t="s">
        <v>307</v>
      </c>
      <c r="CT1917" s="5" t="s">
        <v>307</v>
      </c>
      <c r="CU1917" s="5" t="s">
        <v>260</v>
      </c>
      <c r="CX1917" s="7">
        <f>1</f>
        <v>1</v>
      </c>
      <c r="CY1917" s="7">
        <f>0</f>
        <v>0</v>
      </c>
      <c r="DA1917" s="7">
        <f>0</f>
        <v>0</v>
      </c>
      <c r="DC1917" s="5" t="s">
        <v>812</v>
      </c>
      <c r="DD1917" s="5" t="s">
        <v>240</v>
      </c>
      <c r="DF1917" s="5" t="s">
        <v>812</v>
      </c>
      <c r="DG1917" s="7">
        <f>398</f>
        <v>398</v>
      </c>
      <c r="DI1917" s="5" t="s">
        <v>240</v>
      </c>
      <c r="DJ1917" s="5" t="s">
        <v>240</v>
      </c>
      <c r="DK1917" s="5" t="s">
        <v>240</v>
      </c>
      <c r="DL1917" s="5" t="s">
        <v>240</v>
      </c>
      <c r="DP1917" s="5" t="s">
        <v>240</v>
      </c>
      <c r="DQ1917" s="5" t="s">
        <v>240</v>
      </c>
      <c r="DR1917" s="5" t="s">
        <v>240</v>
      </c>
      <c r="DS1917" s="5" t="s">
        <v>240</v>
      </c>
      <c r="DV1917" s="5" t="s">
        <v>813</v>
      </c>
      <c r="DW1917" s="5" t="s">
        <v>3937</v>
      </c>
      <c r="HO1917" s="5" t="s">
        <v>312</v>
      </c>
    </row>
    <row r="1918" spans="1:240" x14ac:dyDescent="0.4">
      <c r="A1918" s="5">
        <v>3622</v>
      </c>
      <c r="B1918" s="5">
        <v>1</v>
      </c>
      <c r="C1918" s="5">
        <v>1</v>
      </c>
      <c r="D1918" s="5" t="s">
        <v>810</v>
      </c>
      <c r="E1918" s="5" t="s">
        <v>245</v>
      </c>
      <c r="F1918" s="5" t="s">
        <v>254</v>
      </c>
      <c r="G1918" s="5" t="s">
        <v>240</v>
      </c>
      <c r="H1918" s="6" t="s">
        <v>4371</v>
      </c>
      <c r="I1918" s="5" t="s">
        <v>809</v>
      </c>
      <c r="J1918" s="8">
        <f>1925</f>
        <v>1925</v>
      </c>
      <c r="K1918" s="5" t="s">
        <v>308</v>
      </c>
      <c r="L1918" s="7">
        <f>1</f>
        <v>1</v>
      </c>
      <c r="M1918" s="7">
        <f>1</f>
        <v>1</v>
      </c>
      <c r="N1918" s="5" t="s">
        <v>242</v>
      </c>
      <c r="O1918" s="5">
        <v>1</v>
      </c>
      <c r="P1918" s="5" t="s">
        <v>294</v>
      </c>
      <c r="Q1918" s="5" t="s">
        <v>266</v>
      </c>
      <c r="R1918" s="5" t="s">
        <v>240</v>
      </c>
      <c r="S1918" s="5" t="s">
        <v>240</v>
      </c>
      <c r="T1918" s="5" t="s">
        <v>296</v>
      </c>
      <c r="U1918" s="5" t="s">
        <v>244</v>
      </c>
      <c r="V1918" s="5" t="s">
        <v>240</v>
      </c>
      <c r="Y1918" s="5" t="s">
        <v>240</v>
      </c>
      <c r="Z1918" s="6" t="s">
        <v>298</v>
      </c>
      <c r="AB1918" s="6" t="s">
        <v>240</v>
      </c>
      <c r="AE1918" s="6" t="s">
        <v>299</v>
      </c>
      <c r="AF1918" s="5" t="s">
        <v>248</v>
      </c>
      <c r="AG1918" s="5" t="s">
        <v>249</v>
      </c>
      <c r="AW1918" s="5" t="s">
        <v>251</v>
      </c>
      <c r="AX1918" s="5" t="s">
        <v>240</v>
      </c>
      <c r="AY1918" s="5" t="s">
        <v>253</v>
      </c>
      <c r="AZ1918" s="5" t="s">
        <v>240</v>
      </c>
      <c r="BA1918" s="5" t="s">
        <v>255</v>
      </c>
      <c r="BB1918" s="5" t="s">
        <v>240</v>
      </c>
      <c r="BD1918" s="5" t="s">
        <v>240</v>
      </c>
      <c r="BF1918" s="5" t="s">
        <v>301</v>
      </c>
      <c r="BG1918" s="6" t="s">
        <v>299</v>
      </c>
      <c r="BH1918" s="5" t="s">
        <v>302</v>
      </c>
      <c r="BI1918" s="5" t="s">
        <v>303</v>
      </c>
      <c r="BJ1918" s="5" t="s">
        <v>240</v>
      </c>
      <c r="BK1918" s="8">
        <f>0</f>
        <v>0</v>
      </c>
      <c r="BL1918" s="7">
        <f>0</f>
        <v>0</v>
      </c>
      <c r="BM1918" s="5" t="s">
        <v>258</v>
      </c>
      <c r="BN1918" s="5" t="s">
        <v>259</v>
      </c>
      <c r="CB1918" s="5" t="s">
        <v>240</v>
      </c>
      <c r="CC1918" s="5" t="s">
        <v>240</v>
      </c>
      <c r="CG1918" s="5" t="s">
        <v>304</v>
      </c>
      <c r="CH1918" s="5" t="s">
        <v>305</v>
      </c>
      <c r="CI1918" s="5" t="s">
        <v>240</v>
      </c>
      <c r="CL1918" s="6" t="s">
        <v>261</v>
      </c>
      <c r="CM1918" s="5" t="s">
        <v>240</v>
      </c>
      <c r="CN1918" s="5" t="s">
        <v>263</v>
      </c>
      <c r="CO1918" s="5" t="s">
        <v>240</v>
      </c>
      <c r="CP1918" s="5" t="s">
        <v>240</v>
      </c>
      <c r="CQ1918" s="5">
        <v>0</v>
      </c>
      <c r="CR1918" s="5" t="s">
        <v>306</v>
      </c>
      <c r="CS1918" s="5" t="s">
        <v>307</v>
      </c>
      <c r="CT1918" s="5" t="s">
        <v>307</v>
      </c>
      <c r="CU1918" s="5" t="s">
        <v>260</v>
      </c>
      <c r="CX1918" s="7">
        <f>1</f>
        <v>1</v>
      </c>
      <c r="CY1918" s="7">
        <f>0</f>
        <v>0</v>
      </c>
      <c r="DA1918" s="7">
        <f>0</f>
        <v>0</v>
      </c>
      <c r="DC1918" s="5" t="s">
        <v>309</v>
      </c>
      <c r="DD1918" s="5" t="s">
        <v>240</v>
      </c>
      <c r="DF1918" s="5" t="s">
        <v>309</v>
      </c>
      <c r="DG1918" s="7">
        <f>1802</f>
        <v>1802</v>
      </c>
      <c r="DI1918" s="5" t="s">
        <v>240</v>
      </c>
      <c r="DJ1918" s="5" t="s">
        <v>240</v>
      </c>
      <c r="DK1918" s="5" t="s">
        <v>240</v>
      </c>
      <c r="DL1918" s="5" t="s">
        <v>240</v>
      </c>
      <c r="DP1918" s="5" t="s">
        <v>240</v>
      </c>
      <c r="DQ1918" s="5" t="s">
        <v>240</v>
      </c>
      <c r="DR1918" s="5" t="s">
        <v>240</v>
      </c>
      <c r="DS1918" s="5" t="s">
        <v>240</v>
      </c>
      <c r="DV1918" s="5" t="s">
        <v>310</v>
      </c>
      <c r="DW1918" s="5" t="s">
        <v>3861</v>
      </c>
      <c r="HO1918" s="5" t="s">
        <v>312</v>
      </c>
    </row>
    <row r="1919" spans="1:240" x14ac:dyDescent="0.4">
      <c r="A1919" s="5">
        <v>3623</v>
      </c>
      <c r="B1919" s="5">
        <v>1</v>
      </c>
      <c r="C1919" s="5">
        <v>1</v>
      </c>
      <c r="D1919" s="5" t="s">
        <v>810</v>
      </c>
      <c r="E1919" s="5" t="s">
        <v>245</v>
      </c>
      <c r="F1919" s="5" t="s">
        <v>254</v>
      </c>
      <c r="G1919" s="5" t="s">
        <v>240</v>
      </c>
      <c r="H1919" s="6" t="s">
        <v>4370</v>
      </c>
      <c r="I1919" s="5" t="s">
        <v>809</v>
      </c>
      <c r="J1919" s="8">
        <f>1352</f>
        <v>1352</v>
      </c>
      <c r="K1919" s="5" t="s">
        <v>308</v>
      </c>
      <c r="L1919" s="7">
        <f>1</f>
        <v>1</v>
      </c>
      <c r="M1919" s="7">
        <f>1</f>
        <v>1</v>
      </c>
      <c r="N1919" s="5" t="s">
        <v>242</v>
      </c>
      <c r="O1919" s="5">
        <v>1</v>
      </c>
      <c r="P1919" s="5" t="s">
        <v>294</v>
      </c>
      <c r="Q1919" s="5" t="s">
        <v>613</v>
      </c>
      <c r="R1919" s="5" t="s">
        <v>240</v>
      </c>
      <c r="S1919" s="5" t="s">
        <v>240</v>
      </c>
      <c r="T1919" s="5" t="s">
        <v>243</v>
      </c>
      <c r="U1919" s="5" t="s">
        <v>724</v>
      </c>
      <c r="V1919" s="5" t="s">
        <v>240</v>
      </c>
      <c r="W1919" s="5" t="s">
        <v>240</v>
      </c>
      <c r="X1919" s="5" t="s">
        <v>240</v>
      </c>
      <c r="Y1919" s="5" t="s">
        <v>240</v>
      </c>
      <c r="Z1919" s="6" t="s">
        <v>298</v>
      </c>
      <c r="AA1919" s="6" t="s">
        <v>240</v>
      </c>
      <c r="AB1919" s="6" t="s">
        <v>240</v>
      </c>
      <c r="AC1919" s="5" t="s">
        <v>240</v>
      </c>
      <c r="AD1919" s="6" t="s">
        <v>240</v>
      </c>
      <c r="AE1919" s="6" t="s">
        <v>299</v>
      </c>
      <c r="AF1919" s="5" t="s">
        <v>727</v>
      </c>
      <c r="AG1919" s="5" t="s">
        <v>260</v>
      </c>
      <c r="AH1919" s="5" t="s">
        <v>240</v>
      </c>
      <c r="AI1919" s="5" t="s">
        <v>240</v>
      </c>
      <c r="AJ1919" s="5" t="s">
        <v>240</v>
      </c>
      <c r="AK1919" s="5" t="s">
        <v>240</v>
      </c>
      <c r="AL1919" s="5" t="s">
        <v>240</v>
      </c>
      <c r="AM1919" s="5" t="s">
        <v>240</v>
      </c>
      <c r="AN1919" s="5" t="s">
        <v>240</v>
      </c>
      <c r="AO1919" s="5" t="s">
        <v>240</v>
      </c>
      <c r="AP1919" s="6" t="s">
        <v>240</v>
      </c>
      <c r="AQ1919" s="6" t="s">
        <v>240</v>
      </c>
      <c r="AR1919" s="6" t="s">
        <v>240</v>
      </c>
      <c r="AS1919" s="6" t="s">
        <v>240</v>
      </c>
      <c r="AT1919" s="5" t="s">
        <v>240</v>
      </c>
      <c r="AU1919" s="5" t="s">
        <v>729</v>
      </c>
      <c r="AV1919" s="5" t="s">
        <v>729</v>
      </c>
      <c r="AW1919" s="5" t="s">
        <v>251</v>
      </c>
      <c r="AX1919" s="5" t="s">
        <v>252</v>
      </c>
      <c r="AY1919" s="5" t="s">
        <v>253</v>
      </c>
      <c r="AZ1919" s="5" t="s">
        <v>240</v>
      </c>
      <c r="BA1919" s="5" t="s">
        <v>255</v>
      </c>
      <c r="BB1919" s="5" t="s">
        <v>731</v>
      </c>
      <c r="BD1919" s="5" t="s">
        <v>240</v>
      </c>
      <c r="BF1919" s="5" t="s">
        <v>732</v>
      </c>
      <c r="BG1919" s="6" t="s">
        <v>733</v>
      </c>
      <c r="BH1919" s="5" t="s">
        <v>734</v>
      </c>
      <c r="BI1919" s="5" t="s">
        <v>734</v>
      </c>
      <c r="BJ1919" s="5" t="s">
        <v>240</v>
      </c>
      <c r="BK1919" s="8">
        <f>333</f>
        <v>333</v>
      </c>
      <c r="BL1919" s="7">
        <f>0</f>
        <v>0</v>
      </c>
      <c r="BM1919" s="5" t="s">
        <v>258</v>
      </c>
      <c r="BN1919" s="5" t="s">
        <v>259</v>
      </c>
      <c r="BO1919" s="5" t="s">
        <v>240</v>
      </c>
      <c r="BP1919" s="5" t="s">
        <v>240</v>
      </c>
      <c r="BQ1919" s="5" t="s">
        <v>240</v>
      </c>
      <c r="BR1919" s="5" t="s">
        <v>240</v>
      </c>
      <c r="BS1919" s="5" t="s">
        <v>240</v>
      </c>
      <c r="BT1919" s="5" t="s">
        <v>240</v>
      </c>
      <c r="BU1919" s="5" t="s">
        <v>240</v>
      </c>
      <c r="BV1919" s="5" t="s">
        <v>240</v>
      </c>
      <c r="BW1919" s="6" t="s">
        <v>240</v>
      </c>
      <c r="BX1919" s="5" t="s">
        <v>240</v>
      </c>
      <c r="BY1919" s="5" t="s">
        <v>240</v>
      </c>
      <c r="BZ1919" s="5" t="s">
        <v>240</v>
      </c>
      <c r="CA1919" s="5" t="s">
        <v>259</v>
      </c>
      <c r="CB1919" s="5" t="s">
        <v>240</v>
      </c>
      <c r="CC1919" s="5" t="s">
        <v>240</v>
      </c>
      <c r="CD1919" s="5" t="s">
        <v>240</v>
      </c>
      <c r="CE1919" s="5" t="s">
        <v>240</v>
      </c>
      <c r="CF1919" s="5" t="s">
        <v>240</v>
      </c>
      <c r="CG1919" s="5" t="s">
        <v>617</v>
      </c>
      <c r="CH1919" s="5" t="s">
        <v>305</v>
      </c>
      <c r="CI1919" s="5" t="s">
        <v>240</v>
      </c>
      <c r="CL1919" s="6" t="s">
        <v>261</v>
      </c>
      <c r="CM1919" s="5" t="s">
        <v>262</v>
      </c>
      <c r="CN1919" s="5" t="s">
        <v>263</v>
      </c>
      <c r="CO1919" s="5" t="s">
        <v>264</v>
      </c>
      <c r="CP1919" s="5" t="s">
        <v>240</v>
      </c>
      <c r="CQ1919" s="5">
        <v>0</v>
      </c>
      <c r="CR1919" s="5" t="s">
        <v>735</v>
      </c>
      <c r="CS1919" s="5" t="s">
        <v>307</v>
      </c>
      <c r="CT1919" s="5" t="s">
        <v>307</v>
      </c>
      <c r="CU1919" s="5" t="s">
        <v>260</v>
      </c>
      <c r="CV1919" s="5" t="s">
        <v>240</v>
      </c>
      <c r="CW1919" s="8">
        <f>0</f>
        <v>0</v>
      </c>
      <c r="CX1919" s="7">
        <f>0</f>
        <v>0</v>
      </c>
      <c r="CY1919" s="7">
        <f>0</f>
        <v>0</v>
      </c>
      <c r="DA1919" s="7">
        <f>3663</f>
        <v>3663</v>
      </c>
      <c r="DB1919" s="7" t="s">
        <v>240</v>
      </c>
      <c r="DC1919" s="5" t="s">
        <v>240</v>
      </c>
      <c r="DD1919" s="5" t="s">
        <v>240</v>
      </c>
      <c r="DE1919" s="5" t="s">
        <v>240</v>
      </c>
      <c r="DF1919" s="5" t="s">
        <v>450</v>
      </c>
      <c r="DG1919" s="7">
        <f>0</f>
        <v>0</v>
      </c>
      <c r="DI1919" s="5" t="s">
        <v>737</v>
      </c>
      <c r="DJ1919" s="5" t="s">
        <v>240</v>
      </c>
      <c r="DK1919" s="5" t="s">
        <v>240</v>
      </c>
      <c r="DL1919" s="5" t="s">
        <v>240</v>
      </c>
      <c r="DM1919" s="5" t="s">
        <v>240</v>
      </c>
      <c r="DN1919" s="5" t="s">
        <v>240</v>
      </c>
      <c r="DO1919" s="7" t="s">
        <v>240</v>
      </c>
      <c r="DP1919" s="5" t="s">
        <v>240</v>
      </c>
      <c r="DQ1919" s="5" t="s">
        <v>240</v>
      </c>
      <c r="DR1919" s="5" t="s">
        <v>731</v>
      </c>
      <c r="DS1919" s="5" t="s">
        <v>731</v>
      </c>
      <c r="DT1919" s="5" t="s">
        <v>240</v>
      </c>
      <c r="DU1919" s="5" t="s">
        <v>240</v>
      </c>
      <c r="DV1919" s="5" t="s">
        <v>738</v>
      </c>
      <c r="DW1919" s="5" t="s">
        <v>693</v>
      </c>
      <c r="DX1919" s="5" t="s">
        <v>240</v>
      </c>
      <c r="DY1919" s="5" t="s">
        <v>240</v>
      </c>
      <c r="DZ1919" s="5" t="s">
        <v>240</v>
      </c>
      <c r="EA1919" s="5" t="s">
        <v>240</v>
      </c>
      <c r="EB1919" s="5" t="s">
        <v>240</v>
      </c>
      <c r="EC1919" s="5" t="s">
        <v>240</v>
      </c>
      <c r="ED1919" s="5" t="s">
        <v>240</v>
      </c>
      <c r="EE1919" s="5" t="s">
        <v>240</v>
      </c>
      <c r="EF1919" s="5" t="s">
        <v>240</v>
      </c>
      <c r="EG1919" s="5" t="s">
        <v>240</v>
      </c>
      <c r="EH1919" s="5" t="s">
        <v>240</v>
      </c>
      <c r="EI1919" s="5" t="s">
        <v>240</v>
      </c>
      <c r="EJ1919" s="5" t="s">
        <v>240</v>
      </c>
      <c r="EK1919" s="5" t="s">
        <v>240</v>
      </c>
      <c r="EL1919" s="5" t="s">
        <v>240</v>
      </c>
      <c r="EM1919" s="5" t="s">
        <v>240</v>
      </c>
      <c r="EN1919" s="5" t="s">
        <v>240</v>
      </c>
      <c r="EO1919" s="5" t="s">
        <v>240</v>
      </c>
      <c r="EP1919" s="5" t="s">
        <v>240</v>
      </c>
      <c r="EQ1919" s="5" t="s">
        <v>240</v>
      </c>
      <c r="ER1919" s="5" t="s">
        <v>240</v>
      </c>
      <c r="ES1919" s="5" t="s">
        <v>240</v>
      </c>
      <c r="ET1919" s="5" t="s">
        <v>240</v>
      </c>
      <c r="EU1919" s="5" t="s">
        <v>240</v>
      </c>
      <c r="EV1919" s="5" t="s">
        <v>240</v>
      </c>
      <c r="EW1919" s="5" t="s">
        <v>240</v>
      </c>
      <c r="EX1919" s="5" t="s">
        <v>240</v>
      </c>
      <c r="EY1919" s="5" t="s">
        <v>240</v>
      </c>
      <c r="EZ1919" s="5" t="s">
        <v>240</v>
      </c>
      <c r="FA1919" s="5" t="s">
        <v>240</v>
      </c>
      <c r="FB1919" s="5" t="s">
        <v>240</v>
      </c>
      <c r="FC1919" s="5" t="s">
        <v>240</v>
      </c>
      <c r="FD1919" s="5" t="s">
        <v>240</v>
      </c>
      <c r="FE1919" s="5" t="s">
        <v>240</v>
      </c>
      <c r="FF1919" s="5" t="s">
        <v>240</v>
      </c>
      <c r="FG1919" s="5" t="s">
        <v>240</v>
      </c>
      <c r="FH1919" s="5" t="s">
        <v>240</v>
      </c>
      <c r="FI1919" s="5" t="s">
        <v>240</v>
      </c>
      <c r="FJ1919" s="5" t="s">
        <v>240</v>
      </c>
      <c r="FK1919" s="5" t="s">
        <v>240</v>
      </c>
      <c r="FL1919" s="5" t="s">
        <v>240</v>
      </c>
      <c r="FM1919" s="5" t="s">
        <v>240</v>
      </c>
      <c r="FN1919" s="5" t="s">
        <v>240</v>
      </c>
      <c r="FO1919" s="5" t="s">
        <v>240</v>
      </c>
      <c r="FP1919" s="5" t="s">
        <v>240</v>
      </c>
      <c r="FQ1919" s="5" t="s">
        <v>240</v>
      </c>
      <c r="FR1919" s="5" t="s">
        <v>240</v>
      </c>
      <c r="FS1919" s="5" t="s">
        <v>240</v>
      </c>
      <c r="FT1919" s="5" t="s">
        <v>240</v>
      </c>
      <c r="FU1919" s="5" t="s">
        <v>240</v>
      </c>
      <c r="FV1919" s="5" t="s">
        <v>240</v>
      </c>
      <c r="FW1919" s="5" t="s">
        <v>240</v>
      </c>
      <c r="FX1919" s="5" t="s">
        <v>240</v>
      </c>
      <c r="FY1919" s="5" t="s">
        <v>240</v>
      </c>
      <c r="FZ1919" s="5" t="s">
        <v>240</v>
      </c>
      <c r="GA1919" s="5" t="s">
        <v>240</v>
      </c>
      <c r="GB1919" s="5" t="s">
        <v>240</v>
      </c>
      <c r="GC1919" s="5" t="s">
        <v>240</v>
      </c>
      <c r="GD1919" s="5" t="s">
        <v>240</v>
      </c>
      <c r="GE1919" s="5" t="s">
        <v>240</v>
      </c>
      <c r="GF1919" s="5" t="s">
        <v>240</v>
      </c>
      <c r="GG1919" s="5" t="s">
        <v>240</v>
      </c>
      <c r="GH1919" s="5" t="s">
        <v>240</v>
      </c>
      <c r="GI1919" s="5" t="s">
        <v>240</v>
      </c>
      <c r="GJ1919" s="5" t="s">
        <v>240</v>
      </c>
      <c r="GK1919" s="5" t="s">
        <v>240</v>
      </c>
      <c r="GL1919" s="5" t="s">
        <v>240</v>
      </c>
      <c r="GM1919" s="5" t="s">
        <v>240</v>
      </c>
      <c r="GN1919" s="5" t="s">
        <v>240</v>
      </c>
      <c r="GO1919" s="5" t="s">
        <v>240</v>
      </c>
      <c r="GP1919" s="5" t="s">
        <v>240</v>
      </c>
      <c r="GQ1919" s="5" t="s">
        <v>240</v>
      </c>
      <c r="GR1919" s="5" t="s">
        <v>240</v>
      </c>
      <c r="GS1919" s="5" t="s">
        <v>240</v>
      </c>
      <c r="GT1919" s="5" t="s">
        <v>240</v>
      </c>
      <c r="GU1919" s="5" t="s">
        <v>240</v>
      </c>
      <c r="GV1919" s="5" t="s">
        <v>240</v>
      </c>
      <c r="GW1919" s="5" t="s">
        <v>240</v>
      </c>
      <c r="GX1919" s="5" t="s">
        <v>240</v>
      </c>
      <c r="GY1919" s="5" t="s">
        <v>240</v>
      </c>
      <c r="GZ1919" s="5" t="s">
        <v>240</v>
      </c>
      <c r="HA1919" s="5" t="s">
        <v>240</v>
      </c>
      <c r="HB1919" s="5" t="s">
        <v>240</v>
      </c>
      <c r="HC1919" s="5" t="s">
        <v>240</v>
      </c>
      <c r="HD1919" s="5" t="s">
        <v>240</v>
      </c>
      <c r="HE1919" s="5" t="s">
        <v>240</v>
      </c>
      <c r="HF1919" s="5" t="s">
        <v>240</v>
      </c>
      <c r="HG1919" s="5" t="s">
        <v>240</v>
      </c>
      <c r="HH1919" s="5" t="s">
        <v>240</v>
      </c>
      <c r="HI1919" s="5" t="s">
        <v>240</v>
      </c>
      <c r="HJ1919" s="5" t="s">
        <v>240</v>
      </c>
      <c r="HK1919" s="5" t="s">
        <v>240</v>
      </c>
      <c r="HL1919" s="5" t="s">
        <v>240</v>
      </c>
      <c r="HM1919" s="5" t="s">
        <v>240</v>
      </c>
      <c r="HN1919" s="5" t="s">
        <v>240</v>
      </c>
      <c r="HO1919" s="5" t="s">
        <v>312</v>
      </c>
      <c r="HP1919" s="5" t="s">
        <v>240</v>
      </c>
      <c r="HQ1919" s="5" t="s">
        <v>240</v>
      </c>
      <c r="HR1919" s="5" t="s">
        <v>240</v>
      </c>
      <c r="HS1919" s="5" t="s">
        <v>240</v>
      </c>
      <c r="HT1919" s="5" t="s">
        <v>240</v>
      </c>
      <c r="HU1919" s="5" t="s">
        <v>240</v>
      </c>
      <c r="HV1919" s="5" t="s">
        <v>240</v>
      </c>
      <c r="HW1919" s="5" t="s">
        <v>240</v>
      </c>
      <c r="HX1919" s="5" t="s">
        <v>240</v>
      </c>
      <c r="HY1919" s="5" t="s">
        <v>240</v>
      </c>
      <c r="HZ1919" s="5" t="s">
        <v>240</v>
      </c>
      <c r="IA1919" s="5" t="s">
        <v>240</v>
      </c>
      <c r="IB1919" s="5" t="s">
        <v>240</v>
      </c>
      <c r="IC1919" s="5" t="s">
        <v>240</v>
      </c>
      <c r="ID1919" s="5" t="s">
        <v>240</v>
      </c>
      <c r="IE1919" s="5" t="s">
        <v>240</v>
      </c>
      <c r="IF1919" s="5" t="s">
        <v>240</v>
      </c>
    </row>
    <row r="1920" spans="1:240" x14ac:dyDescent="0.4">
      <c r="A1920" s="5">
        <v>3624</v>
      </c>
      <c r="B1920" s="5">
        <v>1</v>
      </c>
      <c r="C1920" s="5">
        <v>1</v>
      </c>
      <c r="D1920" s="5" t="s">
        <v>810</v>
      </c>
      <c r="E1920" s="5" t="s">
        <v>245</v>
      </c>
      <c r="F1920" s="5" t="s">
        <v>254</v>
      </c>
      <c r="G1920" s="5" t="s">
        <v>240</v>
      </c>
      <c r="H1920" s="6" t="s">
        <v>4369</v>
      </c>
      <c r="I1920" s="5" t="s">
        <v>809</v>
      </c>
      <c r="J1920" s="8">
        <f>1584</f>
        <v>1584</v>
      </c>
      <c r="K1920" s="5" t="s">
        <v>308</v>
      </c>
      <c r="L1920" s="7">
        <f>1</f>
        <v>1</v>
      </c>
      <c r="M1920" s="7">
        <f>1</f>
        <v>1</v>
      </c>
      <c r="N1920" s="5" t="s">
        <v>242</v>
      </c>
      <c r="O1920" s="5">
        <v>1</v>
      </c>
      <c r="P1920" s="5" t="s">
        <v>294</v>
      </c>
      <c r="Q1920" s="5" t="s">
        <v>266</v>
      </c>
      <c r="R1920" s="5" t="s">
        <v>240</v>
      </c>
      <c r="S1920" s="5" t="s">
        <v>240</v>
      </c>
      <c r="T1920" s="5" t="s">
        <v>296</v>
      </c>
      <c r="U1920" s="5" t="s">
        <v>244</v>
      </c>
      <c r="V1920" s="5" t="s">
        <v>240</v>
      </c>
      <c r="Y1920" s="5" t="s">
        <v>240</v>
      </c>
      <c r="Z1920" s="6" t="s">
        <v>298</v>
      </c>
      <c r="AB1920" s="6" t="s">
        <v>240</v>
      </c>
      <c r="AE1920" s="6" t="s">
        <v>299</v>
      </c>
      <c r="AF1920" s="5" t="s">
        <v>248</v>
      </c>
      <c r="AG1920" s="5" t="s">
        <v>249</v>
      </c>
      <c r="AW1920" s="5" t="s">
        <v>251</v>
      </c>
      <c r="AX1920" s="5" t="s">
        <v>240</v>
      </c>
      <c r="AY1920" s="5" t="s">
        <v>253</v>
      </c>
      <c r="AZ1920" s="5" t="s">
        <v>240</v>
      </c>
      <c r="BA1920" s="5" t="s">
        <v>255</v>
      </c>
      <c r="BB1920" s="5" t="s">
        <v>240</v>
      </c>
      <c r="BD1920" s="5" t="s">
        <v>240</v>
      </c>
      <c r="BF1920" s="5" t="s">
        <v>301</v>
      </c>
      <c r="BG1920" s="6" t="s">
        <v>299</v>
      </c>
      <c r="BH1920" s="5" t="s">
        <v>302</v>
      </c>
      <c r="BI1920" s="5" t="s">
        <v>303</v>
      </c>
      <c r="BJ1920" s="5" t="s">
        <v>240</v>
      </c>
      <c r="BK1920" s="8">
        <f>0</f>
        <v>0</v>
      </c>
      <c r="BL1920" s="7">
        <f>0</f>
        <v>0</v>
      </c>
      <c r="BM1920" s="5" t="s">
        <v>258</v>
      </c>
      <c r="BN1920" s="5" t="s">
        <v>259</v>
      </c>
      <c r="CB1920" s="5" t="s">
        <v>240</v>
      </c>
      <c r="CC1920" s="5" t="s">
        <v>240</v>
      </c>
      <c r="CG1920" s="5" t="s">
        <v>304</v>
      </c>
      <c r="CH1920" s="5" t="s">
        <v>305</v>
      </c>
      <c r="CI1920" s="5" t="s">
        <v>240</v>
      </c>
      <c r="CL1920" s="6" t="s">
        <v>261</v>
      </c>
      <c r="CM1920" s="5" t="s">
        <v>240</v>
      </c>
      <c r="CN1920" s="5" t="s">
        <v>263</v>
      </c>
      <c r="CO1920" s="5" t="s">
        <v>240</v>
      </c>
      <c r="CP1920" s="5" t="s">
        <v>240</v>
      </c>
      <c r="CQ1920" s="5">
        <v>0</v>
      </c>
      <c r="CR1920" s="5" t="s">
        <v>306</v>
      </c>
      <c r="CS1920" s="5" t="s">
        <v>307</v>
      </c>
      <c r="CT1920" s="5" t="s">
        <v>307</v>
      </c>
      <c r="CU1920" s="5" t="s">
        <v>260</v>
      </c>
      <c r="CX1920" s="7">
        <f>1</f>
        <v>1</v>
      </c>
      <c r="CY1920" s="7">
        <f>0</f>
        <v>0</v>
      </c>
      <c r="DA1920" s="7">
        <f>0</f>
        <v>0</v>
      </c>
      <c r="DC1920" s="5" t="s">
        <v>309</v>
      </c>
      <c r="DD1920" s="5" t="s">
        <v>240</v>
      </c>
      <c r="DF1920" s="5" t="s">
        <v>309</v>
      </c>
      <c r="DG1920" s="7">
        <f>371</f>
        <v>371</v>
      </c>
      <c r="DI1920" s="5" t="s">
        <v>240</v>
      </c>
      <c r="DJ1920" s="5" t="s">
        <v>240</v>
      </c>
      <c r="DK1920" s="5" t="s">
        <v>240</v>
      </c>
      <c r="DL1920" s="5" t="s">
        <v>240</v>
      </c>
      <c r="DP1920" s="5" t="s">
        <v>240</v>
      </c>
      <c r="DQ1920" s="5" t="s">
        <v>240</v>
      </c>
      <c r="DR1920" s="5" t="s">
        <v>240</v>
      </c>
      <c r="DS1920" s="5" t="s">
        <v>240</v>
      </c>
      <c r="DV1920" s="5" t="s">
        <v>310</v>
      </c>
      <c r="DW1920" s="5" t="s">
        <v>3863</v>
      </c>
      <c r="HO1920" s="5" t="s">
        <v>312</v>
      </c>
    </row>
    <row r="1921" spans="1:240" x14ac:dyDescent="0.4">
      <c r="A1921" s="5">
        <v>3625</v>
      </c>
      <c r="B1921" s="5">
        <v>1</v>
      </c>
      <c r="C1921" s="5">
        <v>1</v>
      </c>
      <c r="D1921" s="5" t="s">
        <v>810</v>
      </c>
      <c r="E1921" s="5" t="s">
        <v>245</v>
      </c>
      <c r="F1921" s="5" t="s">
        <v>254</v>
      </c>
      <c r="G1921" s="5" t="s">
        <v>240</v>
      </c>
      <c r="H1921" s="6" t="s">
        <v>4368</v>
      </c>
      <c r="I1921" s="5" t="s">
        <v>809</v>
      </c>
      <c r="J1921" s="8">
        <f>385</f>
        <v>385</v>
      </c>
      <c r="K1921" s="5" t="s">
        <v>308</v>
      </c>
      <c r="L1921" s="7">
        <f>1</f>
        <v>1</v>
      </c>
      <c r="M1921" s="7">
        <f>1</f>
        <v>1</v>
      </c>
      <c r="N1921" s="5" t="s">
        <v>242</v>
      </c>
      <c r="O1921" s="5">
        <v>1</v>
      </c>
      <c r="P1921" s="5" t="s">
        <v>294</v>
      </c>
      <c r="Q1921" s="5" t="s">
        <v>266</v>
      </c>
      <c r="R1921" s="5" t="s">
        <v>240</v>
      </c>
      <c r="S1921" s="5" t="s">
        <v>240</v>
      </c>
      <c r="T1921" s="5" t="s">
        <v>296</v>
      </c>
      <c r="U1921" s="5" t="s">
        <v>244</v>
      </c>
      <c r="V1921" s="5" t="s">
        <v>240</v>
      </c>
      <c r="Y1921" s="5" t="s">
        <v>240</v>
      </c>
      <c r="Z1921" s="6" t="s">
        <v>298</v>
      </c>
      <c r="AB1921" s="6" t="s">
        <v>240</v>
      </c>
      <c r="AE1921" s="6" t="s">
        <v>299</v>
      </c>
      <c r="AF1921" s="5" t="s">
        <v>248</v>
      </c>
      <c r="AG1921" s="5" t="s">
        <v>249</v>
      </c>
      <c r="AW1921" s="5" t="s">
        <v>251</v>
      </c>
      <c r="AX1921" s="5" t="s">
        <v>240</v>
      </c>
      <c r="AY1921" s="5" t="s">
        <v>253</v>
      </c>
      <c r="AZ1921" s="5" t="s">
        <v>240</v>
      </c>
      <c r="BA1921" s="5" t="s">
        <v>255</v>
      </c>
      <c r="BB1921" s="5" t="s">
        <v>240</v>
      </c>
      <c r="BD1921" s="5" t="s">
        <v>240</v>
      </c>
      <c r="BF1921" s="5" t="s">
        <v>301</v>
      </c>
      <c r="BG1921" s="6" t="s">
        <v>299</v>
      </c>
      <c r="BH1921" s="5" t="s">
        <v>302</v>
      </c>
      <c r="BI1921" s="5" t="s">
        <v>303</v>
      </c>
      <c r="BJ1921" s="5" t="s">
        <v>240</v>
      </c>
      <c r="BK1921" s="8">
        <f>0</f>
        <v>0</v>
      </c>
      <c r="BL1921" s="7">
        <f>0</f>
        <v>0</v>
      </c>
      <c r="BM1921" s="5" t="s">
        <v>258</v>
      </c>
      <c r="BN1921" s="5" t="s">
        <v>259</v>
      </c>
      <c r="CB1921" s="5" t="s">
        <v>240</v>
      </c>
      <c r="CC1921" s="5" t="s">
        <v>240</v>
      </c>
      <c r="CG1921" s="5" t="s">
        <v>304</v>
      </c>
      <c r="CH1921" s="5" t="s">
        <v>305</v>
      </c>
      <c r="CI1921" s="5" t="s">
        <v>240</v>
      </c>
      <c r="CL1921" s="6" t="s">
        <v>261</v>
      </c>
      <c r="CM1921" s="5" t="s">
        <v>240</v>
      </c>
      <c r="CN1921" s="5" t="s">
        <v>263</v>
      </c>
      <c r="CO1921" s="5" t="s">
        <v>240</v>
      </c>
      <c r="CP1921" s="5" t="s">
        <v>240</v>
      </c>
      <c r="CQ1921" s="5">
        <v>0</v>
      </c>
      <c r="CR1921" s="5" t="s">
        <v>306</v>
      </c>
      <c r="CS1921" s="5" t="s">
        <v>307</v>
      </c>
      <c r="CT1921" s="5" t="s">
        <v>307</v>
      </c>
      <c r="CU1921" s="5" t="s">
        <v>260</v>
      </c>
      <c r="CX1921" s="7">
        <f>1</f>
        <v>1</v>
      </c>
      <c r="CY1921" s="7">
        <f>0</f>
        <v>0</v>
      </c>
      <c r="DA1921" s="7">
        <f>0</f>
        <v>0</v>
      </c>
      <c r="DC1921" s="5" t="s">
        <v>309</v>
      </c>
      <c r="DD1921" s="5" t="s">
        <v>240</v>
      </c>
      <c r="DF1921" s="5" t="s">
        <v>309</v>
      </c>
      <c r="DG1921" s="7">
        <f>2234</f>
        <v>2234</v>
      </c>
      <c r="DI1921" s="5" t="s">
        <v>240</v>
      </c>
      <c r="DJ1921" s="5" t="s">
        <v>240</v>
      </c>
      <c r="DK1921" s="5" t="s">
        <v>240</v>
      </c>
      <c r="DL1921" s="5" t="s">
        <v>240</v>
      </c>
      <c r="DP1921" s="5" t="s">
        <v>240</v>
      </c>
      <c r="DQ1921" s="5" t="s">
        <v>240</v>
      </c>
      <c r="DR1921" s="5" t="s">
        <v>240</v>
      </c>
      <c r="DS1921" s="5" t="s">
        <v>240</v>
      </c>
      <c r="DV1921" s="5" t="s">
        <v>310</v>
      </c>
      <c r="DW1921" s="5" t="s">
        <v>3866</v>
      </c>
      <c r="HO1921" s="5" t="s">
        <v>312</v>
      </c>
    </row>
    <row r="1922" spans="1:240" x14ac:dyDescent="0.4">
      <c r="A1922" s="5">
        <v>3626</v>
      </c>
      <c r="B1922" s="5">
        <v>1</v>
      </c>
      <c r="C1922" s="5">
        <v>1</v>
      </c>
      <c r="D1922" s="5" t="s">
        <v>810</v>
      </c>
      <c r="E1922" s="5" t="s">
        <v>245</v>
      </c>
      <c r="F1922" s="5" t="s">
        <v>254</v>
      </c>
      <c r="G1922" s="5" t="s">
        <v>240</v>
      </c>
      <c r="H1922" s="6" t="s">
        <v>4367</v>
      </c>
      <c r="I1922" s="5" t="s">
        <v>809</v>
      </c>
      <c r="J1922" s="8">
        <f>863</f>
        <v>863</v>
      </c>
      <c r="K1922" s="5" t="s">
        <v>308</v>
      </c>
      <c r="L1922" s="7">
        <f>1</f>
        <v>1</v>
      </c>
      <c r="M1922" s="7">
        <f>1</f>
        <v>1</v>
      </c>
      <c r="N1922" s="5" t="s">
        <v>242</v>
      </c>
      <c r="O1922" s="5">
        <v>1</v>
      </c>
      <c r="P1922" s="5" t="s">
        <v>294</v>
      </c>
      <c r="Q1922" s="5" t="s">
        <v>613</v>
      </c>
      <c r="R1922" s="5" t="s">
        <v>240</v>
      </c>
      <c r="S1922" s="5" t="s">
        <v>240</v>
      </c>
      <c r="T1922" s="5" t="s">
        <v>243</v>
      </c>
      <c r="U1922" s="5" t="s">
        <v>724</v>
      </c>
      <c r="V1922" s="5" t="s">
        <v>240</v>
      </c>
      <c r="W1922" s="5" t="s">
        <v>240</v>
      </c>
      <c r="X1922" s="5" t="s">
        <v>240</v>
      </c>
      <c r="Y1922" s="5" t="s">
        <v>240</v>
      </c>
      <c r="Z1922" s="6" t="s">
        <v>298</v>
      </c>
      <c r="AA1922" s="6" t="s">
        <v>240</v>
      </c>
      <c r="AB1922" s="6" t="s">
        <v>240</v>
      </c>
      <c r="AC1922" s="5" t="s">
        <v>240</v>
      </c>
      <c r="AD1922" s="6" t="s">
        <v>240</v>
      </c>
      <c r="AE1922" s="6" t="s">
        <v>299</v>
      </c>
      <c r="AF1922" s="5" t="s">
        <v>727</v>
      </c>
      <c r="AG1922" s="5" t="s">
        <v>260</v>
      </c>
      <c r="AH1922" s="5" t="s">
        <v>240</v>
      </c>
      <c r="AI1922" s="5" t="s">
        <v>240</v>
      </c>
      <c r="AJ1922" s="5" t="s">
        <v>240</v>
      </c>
      <c r="AK1922" s="5" t="s">
        <v>240</v>
      </c>
      <c r="AL1922" s="5" t="s">
        <v>240</v>
      </c>
      <c r="AM1922" s="5" t="s">
        <v>240</v>
      </c>
      <c r="AN1922" s="5" t="s">
        <v>240</v>
      </c>
      <c r="AO1922" s="5" t="s">
        <v>240</v>
      </c>
      <c r="AP1922" s="6" t="s">
        <v>240</v>
      </c>
      <c r="AQ1922" s="6" t="s">
        <v>240</v>
      </c>
      <c r="AR1922" s="6" t="s">
        <v>240</v>
      </c>
      <c r="AS1922" s="6" t="s">
        <v>240</v>
      </c>
      <c r="AT1922" s="5" t="s">
        <v>240</v>
      </c>
      <c r="AU1922" s="5" t="s">
        <v>729</v>
      </c>
      <c r="AV1922" s="5" t="s">
        <v>729</v>
      </c>
      <c r="AW1922" s="5" t="s">
        <v>251</v>
      </c>
      <c r="AX1922" s="5" t="s">
        <v>252</v>
      </c>
      <c r="AY1922" s="5" t="s">
        <v>253</v>
      </c>
      <c r="AZ1922" s="5" t="s">
        <v>240</v>
      </c>
      <c r="BA1922" s="5" t="s">
        <v>255</v>
      </c>
      <c r="BB1922" s="5" t="s">
        <v>731</v>
      </c>
      <c r="BD1922" s="5" t="s">
        <v>240</v>
      </c>
      <c r="BF1922" s="5" t="s">
        <v>732</v>
      </c>
      <c r="BG1922" s="6" t="s">
        <v>733</v>
      </c>
      <c r="BH1922" s="5" t="s">
        <v>734</v>
      </c>
      <c r="BI1922" s="5" t="s">
        <v>734</v>
      </c>
      <c r="BJ1922" s="5" t="s">
        <v>240</v>
      </c>
      <c r="BK1922" s="8">
        <f>2487</f>
        <v>2487</v>
      </c>
      <c r="BL1922" s="7">
        <f>0</f>
        <v>0</v>
      </c>
      <c r="BM1922" s="5" t="s">
        <v>258</v>
      </c>
      <c r="BN1922" s="5" t="s">
        <v>259</v>
      </c>
      <c r="BO1922" s="5" t="s">
        <v>240</v>
      </c>
      <c r="BP1922" s="5" t="s">
        <v>240</v>
      </c>
      <c r="BQ1922" s="5" t="s">
        <v>240</v>
      </c>
      <c r="BR1922" s="5" t="s">
        <v>240</v>
      </c>
      <c r="BS1922" s="5" t="s">
        <v>240</v>
      </c>
      <c r="BT1922" s="5" t="s">
        <v>240</v>
      </c>
      <c r="BU1922" s="5" t="s">
        <v>240</v>
      </c>
      <c r="BV1922" s="5" t="s">
        <v>240</v>
      </c>
      <c r="BW1922" s="6" t="s">
        <v>240</v>
      </c>
      <c r="BX1922" s="5" t="s">
        <v>240</v>
      </c>
      <c r="BY1922" s="5" t="s">
        <v>240</v>
      </c>
      <c r="BZ1922" s="5" t="s">
        <v>240</v>
      </c>
      <c r="CA1922" s="5" t="s">
        <v>259</v>
      </c>
      <c r="CB1922" s="5" t="s">
        <v>240</v>
      </c>
      <c r="CC1922" s="5" t="s">
        <v>240</v>
      </c>
      <c r="CD1922" s="5" t="s">
        <v>240</v>
      </c>
      <c r="CE1922" s="5" t="s">
        <v>240</v>
      </c>
      <c r="CF1922" s="5" t="s">
        <v>240</v>
      </c>
      <c r="CG1922" s="5" t="s">
        <v>617</v>
      </c>
      <c r="CH1922" s="5" t="s">
        <v>305</v>
      </c>
      <c r="CI1922" s="5" t="s">
        <v>240</v>
      </c>
      <c r="CL1922" s="6" t="s">
        <v>261</v>
      </c>
      <c r="CM1922" s="5" t="s">
        <v>262</v>
      </c>
      <c r="CN1922" s="5" t="s">
        <v>263</v>
      </c>
      <c r="CO1922" s="5" t="s">
        <v>264</v>
      </c>
      <c r="CP1922" s="5" t="s">
        <v>240</v>
      </c>
      <c r="CQ1922" s="5">
        <v>0</v>
      </c>
      <c r="CR1922" s="5" t="s">
        <v>735</v>
      </c>
      <c r="CS1922" s="5" t="s">
        <v>307</v>
      </c>
      <c r="CT1922" s="5" t="s">
        <v>307</v>
      </c>
      <c r="CU1922" s="5" t="s">
        <v>260</v>
      </c>
      <c r="CV1922" s="5" t="s">
        <v>240</v>
      </c>
      <c r="CW1922" s="8">
        <f>0</f>
        <v>0</v>
      </c>
      <c r="CX1922" s="7">
        <f>0</f>
        <v>0</v>
      </c>
      <c r="CY1922" s="7">
        <f>0</f>
        <v>0</v>
      </c>
      <c r="DA1922" s="7">
        <f>27357</f>
        <v>27357</v>
      </c>
      <c r="DB1922" s="7" t="s">
        <v>240</v>
      </c>
      <c r="DC1922" s="5" t="s">
        <v>240</v>
      </c>
      <c r="DD1922" s="5" t="s">
        <v>240</v>
      </c>
      <c r="DE1922" s="5" t="s">
        <v>240</v>
      </c>
      <c r="DF1922" s="5" t="s">
        <v>854</v>
      </c>
      <c r="DG1922" s="7">
        <f>0</f>
        <v>0</v>
      </c>
      <c r="DI1922" s="5" t="s">
        <v>737</v>
      </c>
      <c r="DJ1922" s="5" t="s">
        <v>240</v>
      </c>
      <c r="DK1922" s="5" t="s">
        <v>240</v>
      </c>
      <c r="DL1922" s="5" t="s">
        <v>240</v>
      </c>
      <c r="DM1922" s="5" t="s">
        <v>240</v>
      </c>
      <c r="DN1922" s="5" t="s">
        <v>240</v>
      </c>
      <c r="DO1922" s="7" t="s">
        <v>240</v>
      </c>
      <c r="DP1922" s="5" t="s">
        <v>240</v>
      </c>
      <c r="DQ1922" s="5" t="s">
        <v>240</v>
      </c>
      <c r="DR1922" s="5" t="s">
        <v>731</v>
      </c>
      <c r="DS1922" s="5" t="s">
        <v>731</v>
      </c>
      <c r="DT1922" s="5" t="s">
        <v>240</v>
      </c>
      <c r="DU1922" s="5" t="s">
        <v>240</v>
      </c>
      <c r="DV1922" s="5" t="s">
        <v>738</v>
      </c>
      <c r="DW1922" s="5" t="s">
        <v>647</v>
      </c>
      <c r="DX1922" s="5" t="s">
        <v>240</v>
      </c>
      <c r="DY1922" s="5" t="s">
        <v>240</v>
      </c>
      <c r="DZ1922" s="5" t="s">
        <v>240</v>
      </c>
      <c r="EA1922" s="5" t="s">
        <v>240</v>
      </c>
      <c r="EB1922" s="5" t="s">
        <v>240</v>
      </c>
      <c r="EC1922" s="5" t="s">
        <v>240</v>
      </c>
      <c r="ED1922" s="5" t="s">
        <v>240</v>
      </c>
      <c r="EE1922" s="5" t="s">
        <v>240</v>
      </c>
      <c r="EF1922" s="5" t="s">
        <v>240</v>
      </c>
      <c r="EG1922" s="5" t="s">
        <v>240</v>
      </c>
      <c r="EH1922" s="5" t="s">
        <v>240</v>
      </c>
      <c r="EI1922" s="5" t="s">
        <v>240</v>
      </c>
      <c r="EJ1922" s="5" t="s">
        <v>240</v>
      </c>
      <c r="EK1922" s="5" t="s">
        <v>240</v>
      </c>
      <c r="EL1922" s="5" t="s">
        <v>240</v>
      </c>
      <c r="EM1922" s="5" t="s">
        <v>240</v>
      </c>
      <c r="EN1922" s="5" t="s">
        <v>240</v>
      </c>
      <c r="EO1922" s="5" t="s">
        <v>240</v>
      </c>
      <c r="EP1922" s="5" t="s">
        <v>240</v>
      </c>
      <c r="EQ1922" s="5" t="s">
        <v>240</v>
      </c>
      <c r="ER1922" s="5" t="s">
        <v>240</v>
      </c>
      <c r="ES1922" s="5" t="s">
        <v>240</v>
      </c>
      <c r="ET1922" s="5" t="s">
        <v>240</v>
      </c>
      <c r="EU1922" s="5" t="s">
        <v>240</v>
      </c>
      <c r="EV1922" s="5" t="s">
        <v>240</v>
      </c>
      <c r="EW1922" s="5" t="s">
        <v>240</v>
      </c>
      <c r="EX1922" s="5" t="s">
        <v>240</v>
      </c>
      <c r="EY1922" s="5" t="s">
        <v>240</v>
      </c>
      <c r="EZ1922" s="5" t="s">
        <v>240</v>
      </c>
      <c r="FA1922" s="5" t="s">
        <v>240</v>
      </c>
      <c r="FB1922" s="5" t="s">
        <v>240</v>
      </c>
      <c r="FC1922" s="5" t="s">
        <v>240</v>
      </c>
      <c r="FD1922" s="5" t="s">
        <v>240</v>
      </c>
      <c r="FE1922" s="5" t="s">
        <v>240</v>
      </c>
      <c r="FF1922" s="5" t="s">
        <v>240</v>
      </c>
      <c r="FG1922" s="5" t="s">
        <v>240</v>
      </c>
      <c r="FH1922" s="5" t="s">
        <v>240</v>
      </c>
      <c r="FI1922" s="5" t="s">
        <v>240</v>
      </c>
      <c r="FJ1922" s="5" t="s">
        <v>240</v>
      </c>
      <c r="FK1922" s="5" t="s">
        <v>240</v>
      </c>
      <c r="FL1922" s="5" t="s">
        <v>240</v>
      </c>
      <c r="FM1922" s="5" t="s">
        <v>240</v>
      </c>
      <c r="FN1922" s="5" t="s">
        <v>240</v>
      </c>
      <c r="FO1922" s="5" t="s">
        <v>240</v>
      </c>
      <c r="FP1922" s="5" t="s">
        <v>240</v>
      </c>
      <c r="FQ1922" s="5" t="s">
        <v>240</v>
      </c>
      <c r="FR1922" s="5" t="s">
        <v>240</v>
      </c>
      <c r="FS1922" s="5" t="s">
        <v>240</v>
      </c>
      <c r="FT1922" s="5" t="s">
        <v>240</v>
      </c>
      <c r="FU1922" s="5" t="s">
        <v>240</v>
      </c>
      <c r="FV1922" s="5" t="s">
        <v>240</v>
      </c>
      <c r="FW1922" s="5" t="s">
        <v>240</v>
      </c>
      <c r="FX1922" s="5" t="s">
        <v>240</v>
      </c>
      <c r="FY1922" s="5" t="s">
        <v>240</v>
      </c>
      <c r="FZ1922" s="5" t="s">
        <v>240</v>
      </c>
      <c r="GA1922" s="5" t="s">
        <v>240</v>
      </c>
      <c r="GB1922" s="5" t="s">
        <v>240</v>
      </c>
      <c r="GC1922" s="5" t="s">
        <v>240</v>
      </c>
      <c r="GD1922" s="5" t="s">
        <v>240</v>
      </c>
      <c r="GE1922" s="5" t="s">
        <v>240</v>
      </c>
      <c r="GF1922" s="5" t="s">
        <v>240</v>
      </c>
      <c r="GG1922" s="5" t="s">
        <v>240</v>
      </c>
      <c r="GH1922" s="5" t="s">
        <v>240</v>
      </c>
      <c r="GI1922" s="5" t="s">
        <v>240</v>
      </c>
      <c r="GJ1922" s="5" t="s">
        <v>240</v>
      </c>
      <c r="GK1922" s="5" t="s">
        <v>240</v>
      </c>
      <c r="GL1922" s="5" t="s">
        <v>240</v>
      </c>
      <c r="GM1922" s="5" t="s">
        <v>240</v>
      </c>
      <c r="GN1922" s="5" t="s">
        <v>240</v>
      </c>
      <c r="GO1922" s="5" t="s">
        <v>240</v>
      </c>
      <c r="GP1922" s="5" t="s">
        <v>240</v>
      </c>
      <c r="GQ1922" s="5" t="s">
        <v>240</v>
      </c>
      <c r="GR1922" s="5" t="s">
        <v>240</v>
      </c>
      <c r="GS1922" s="5" t="s">
        <v>240</v>
      </c>
      <c r="GT1922" s="5" t="s">
        <v>240</v>
      </c>
      <c r="GU1922" s="5" t="s">
        <v>240</v>
      </c>
      <c r="GV1922" s="5" t="s">
        <v>240</v>
      </c>
      <c r="GW1922" s="5" t="s">
        <v>240</v>
      </c>
      <c r="GX1922" s="5" t="s">
        <v>240</v>
      </c>
      <c r="GY1922" s="5" t="s">
        <v>240</v>
      </c>
      <c r="GZ1922" s="5" t="s">
        <v>240</v>
      </c>
      <c r="HA1922" s="5" t="s">
        <v>240</v>
      </c>
      <c r="HB1922" s="5" t="s">
        <v>240</v>
      </c>
      <c r="HC1922" s="5" t="s">
        <v>240</v>
      </c>
      <c r="HD1922" s="5" t="s">
        <v>240</v>
      </c>
      <c r="HE1922" s="5" t="s">
        <v>240</v>
      </c>
      <c r="HF1922" s="5" t="s">
        <v>240</v>
      </c>
      <c r="HG1922" s="5" t="s">
        <v>240</v>
      </c>
      <c r="HH1922" s="5" t="s">
        <v>240</v>
      </c>
      <c r="HI1922" s="5" t="s">
        <v>240</v>
      </c>
      <c r="HJ1922" s="5" t="s">
        <v>240</v>
      </c>
      <c r="HK1922" s="5" t="s">
        <v>240</v>
      </c>
      <c r="HL1922" s="5" t="s">
        <v>240</v>
      </c>
      <c r="HM1922" s="5" t="s">
        <v>240</v>
      </c>
      <c r="HN1922" s="5" t="s">
        <v>240</v>
      </c>
      <c r="HO1922" s="5" t="s">
        <v>620</v>
      </c>
      <c r="HP1922" s="5" t="s">
        <v>240</v>
      </c>
      <c r="HQ1922" s="5" t="s">
        <v>240</v>
      </c>
      <c r="HR1922" s="5" t="s">
        <v>240</v>
      </c>
      <c r="HS1922" s="5" t="s">
        <v>240</v>
      </c>
      <c r="HT1922" s="5" t="s">
        <v>240</v>
      </c>
      <c r="HU1922" s="5" t="s">
        <v>240</v>
      </c>
      <c r="HV1922" s="5" t="s">
        <v>240</v>
      </c>
      <c r="HW1922" s="5" t="s">
        <v>240</v>
      </c>
      <c r="HX1922" s="5" t="s">
        <v>240</v>
      </c>
      <c r="HY1922" s="5" t="s">
        <v>240</v>
      </c>
      <c r="HZ1922" s="5" t="s">
        <v>240</v>
      </c>
      <c r="IA1922" s="5" t="s">
        <v>240</v>
      </c>
      <c r="IB1922" s="5" t="s">
        <v>240</v>
      </c>
      <c r="IC1922" s="5" t="s">
        <v>240</v>
      </c>
      <c r="ID1922" s="5" t="s">
        <v>240</v>
      </c>
      <c r="IE1922" s="5" t="s">
        <v>240</v>
      </c>
      <c r="IF1922" s="5" t="s">
        <v>240</v>
      </c>
    </row>
    <row r="1923" spans="1:240" x14ac:dyDescent="0.4">
      <c r="A1923" s="5">
        <v>3627</v>
      </c>
      <c r="B1923" s="5">
        <v>1</v>
      </c>
      <c r="C1923" s="5">
        <v>1</v>
      </c>
      <c r="D1923" s="5" t="s">
        <v>810</v>
      </c>
      <c r="E1923" s="5" t="s">
        <v>245</v>
      </c>
      <c r="F1923" s="5" t="s">
        <v>254</v>
      </c>
      <c r="G1923" s="5" t="s">
        <v>240</v>
      </c>
      <c r="H1923" s="6" t="s">
        <v>4366</v>
      </c>
      <c r="I1923" s="5" t="s">
        <v>809</v>
      </c>
      <c r="J1923" s="8">
        <f>1780</f>
        <v>1780</v>
      </c>
      <c r="K1923" s="5" t="s">
        <v>308</v>
      </c>
      <c r="L1923" s="7">
        <f>1</f>
        <v>1</v>
      </c>
      <c r="M1923" s="7">
        <f>1</f>
        <v>1</v>
      </c>
      <c r="N1923" s="5" t="s">
        <v>242</v>
      </c>
      <c r="O1923" s="5">
        <v>1</v>
      </c>
      <c r="P1923" s="5" t="s">
        <v>294</v>
      </c>
      <c r="Q1923" s="5" t="s">
        <v>266</v>
      </c>
      <c r="R1923" s="5" t="s">
        <v>240</v>
      </c>
      <c r="S1923" s="5" t="s">
        <v>240</v>
      </c>
      <c r="T1923" s="5" t="s">
        <v>296</v>
      </c>
      <c r="U1923" s="5" t="s">
        <v>244</v>
      </c>
      <c r="V1923" s="5" t="s">
        <v>240</v>
      </c>
      <c r="Y1923" s="5" t="s">
        <v>240</v>
      </c>
      <c r="Z1923" s="6" t="s">
        <v>298</v>
      </c>
      <c r="AB1923" s="6" t="s">
        <v>240</v>
      </c>
      <c r="AE1923" s="6" t="s">
        <v>299</v>
      </c>
      <c r="AF1923" s="5" t="s">
        <v>248</v>
      </c>
      <c r="AG1923" s="5" t="s">
        <v>249</v>
      </c>
      <c r="AW1923" s="5" t="s">
        <v>251</v>
      </c>
      <c r="AX1923" s="5" t="s">
        <v>240</v>
      </c>
      <c r="AY1923" s="5" t="s">
        <v>253</v>
      </c>
      <c r="AZ1923" s="5" t="s">
        <v>240</v>
      </c>
      <c r="BA1923" s="5" t="s">
        <v>255</v>
      </c>
      <c r="BB1923" s="5" t="s">
        <v>240</v>
      </c>
      <c r="BD1923" s="5" t="s">
        <v>240</v>
      </c>
      <c r="BF1923" s="5" t="s">
        <v>301</v>
      </c>
      <c r="BG1923" s="6" t="s">
        <v>299</v>
      </c>
      <c r="BH1923" s="5" t="s">
        <v>302</v>
      </c>
      <c r="BI1923" s="5" t="s">
        <v>303</v>
      </c>
      <c r="BJ1923" s="5" t="s">
        <v>240</v>
      </c>
      <c r="BK1923" s="8">
        <f>0</f>
        <v>0</v>
      </c>
      <c r="BL1923" s="7">
        <f>0</f>
        <v>0</v>
      </c>
      <c r="BM1923" s="5" t="s">
        <v>258</v>
      </c>
      <c r="BN1923" s="5" t="s">
        <v>259</v>
      </c>
      <c r="CB1923" s="5" t="s">
        <v>240</v>
      </c>
      <c r="CC1923" s="5" t="s">
        <v>240</v>
      </c>
      <c r="CG1923" s="5" t="s">
        <v>304</v>
      </c>
      <c r="CH1923" s="5" t="s">
        <v>305</v>
      </c>
      <c r="CI1923" s="5" t="s">
        <v>240</v>
      </c>
      <c r="CL1923" s="6" t="s">
        <v>261</v>
      </c>
      <c r="CM1923" s="5" t="s">
        <v>240</v>
      </c>
      <c r="CN1923" s="5" t="s">
        <v>263</v>
      </c>
      <c r="CO1923" s="5" t="s">
        <v>240</v>
      </c>
      <c r="CP1923" s="5" t="s">
        <v>240</v>
      </c>
      <c r="CQ1923" s="5">
        <v>0</v>
      </c>
      <c r="CR1923" s="5" t="s">
        <v>306</v>
      </c>
      <c r="CS1923" s="5" t="s">
        <v>307</v>
      </c>
      <c r="CT1923" s="5" t="s">
        <v>307</v>
      </c>
      <c r="CU1923" s="5" t="s">
        <v>260</v>
      </c>
      <c r="CX1923" s="7">
        <f>1</f>
        <v>1</v>
      </c>
      <c r="CY1923" s="7">
        <f>0</f>
        <v>0</v>
      </c>
      <c r="DA1923" s="7">
        <f>0</f>
        <v>0</v>
      </c>
      <c r="DC1923" s="5" t="s">
        <v>309</v>
      </c>
      <c r="DD1923" s="5" t="s">
        <v>240</v>
      </c>
      <c r="DF1923" s="5" t="s">
        <v>309</v>
      </c>
      <c r="DG1923" s="7">
        <f>441</f>
        <v>441</v>
      </c>
      <c r="DI1923" s="5" t="s">
        <v>240</v>
      </c>
      <c r="DJ1923" s="5" t="s">
        <v>240</v>
      </c>
      <c r="DK1923" s="5" t="s">
        <v>240</v>
      </c>
      <c r="DL1923" s="5" t="s">
        <v>240</v>
      </c>
      <c r="DP1923" s="5" t="s">
        <v>240</v>
      </c>
      <c r="DQ1923" s="5" t="s">
        <v>240</v>
      </c>
      <c r="DR1923" s="5" t="s">
        <v>240</v>
      </c>
      <c r="DS1923" s="5" t="s">
        <v>240</v>
      </c>
      <c r="DV1923" s="5" t="s">
        <v>310</v>
      </c>
      <c r="DW1923" s="5" t="s">
        <v>3850</v>
      </c>
      <c r="HO1923" s="5" t="s">
        <v>312</v>
      </c>
    </row>
    <row r="1924" spans="1:240" x14ac:dyDescent="0.4">
      <c r="A1924" s="5">
        <v>3628</v>
      </c>
      <c r="B1924" s="5">
        <v>1</v>
      </c>
      <c r="C1924" s="5">
        <v>1</v>
      </c>
      <c r="D1924" s="5" t="s">
        <v>810</v>
      </c>
      <c r="E1924" s="5" t="s">
        <v>245</v>
      </c>
      <c r="F1924" s="5" t="s">
        <v>254</v>
      </c>
      <c r="G1924" s="5" t="s">
        <v>240</v>
      </c>
      <c r="H1924" s="6" t="s">
        <v>4365</v>
      </c>
      <c r="I1924" s="5" t="s">
        <v>809</v>
      </c>
      <c r="J1924" s="8">
        <f>496</f>
        <v>496</v>
      </c>
      <c r="K1924" s="5" t="s">
        <v>308</v>
      </c>
      <c r="L1924" s="7">
        <f>1</f>
        <v>1</v>
      </c>
      <c r="M1924" s="7">
        <f>1</f>
        <v>1</v>
      </c>
      <c r="N1924" s="5" t="s">
        <v>242</v>
      </c>
      <c r="O1924" s="5">
        <v>1</v>
      </c>
      <c r="P1924" s="5" t="s">
        <v>294</v>
      </c>
      <c r="Q1924" s="5" t="s">
        <v>266</v>
      </c>
      <c r="R1924" s="5" t="s">
        <v>240</v>
      </c>
      <c r="S1924" s="5" t="s">
        <v>240</v>
      </c>
      <c r="T1924" s="5" t="s">
        <v>296</v>
      </c>
      <c r="U1924" s="5" t="s">
        <v>244</v>
      </c>
      <c r="V1924" s="5" t="s">
        <v>240</v>
      </c>
      <c r="Y1924" s="5" t="s">
        <v>240</v>
      </c>
      <c r="Z1924" s="6" t="s">
        <v>298</v>
      </c>
      <c r="AB1924" s="6" t="s">
        <v>240</v>
      </c>
      <c r="AE1924" s="6" t="s">
        <v>299</v>
      </c>
      <c r="AF1924" s="5" t="s">
        <v>248</v>
      </c>
      <c r="AG1924" s="5" t="s">
        <v>249</v>
      </c>
      <c r="AW1924" s="5" t="s">
        <v>251</v>
      </c>
      <c r="AX1924" s="5" t="s">
        <v>240</v>
      </c>
      <c r="AY1924" s="5" t="s">
        <v>253</v>
      </c>
      <c r="AZ1924" s="5" t="s">
        <v>240</v>
      </c>
      <c r="BA1924" s="5" t="s">
        <v>255</v>
      </c>
      <c r="BB1924" s="5" t="s">
        <v>240</v>
      </c>
      <c r="BD1924" s="5" t="s">
        <v>240</v>
      </c>
      <c r="BF1924" s="5" t="s">
        <v>301</v>
      </c>
      <c r="BG1924" s="6" t="s">
        <v>299</v>
      </c>
      <c r="BH1924" s="5" t="s">
        <v>302</v>
      </c>
      <c r="BI1924" s="5" t="s">
        <v>303</v>
      </c>
      <c r="BJ1924" s="5" t="s">
        <v>240</v>
      </c>
      <c r="BK1924" s="8">
        <f>0</f>
        <v>0</v>
      </c>
      <c r="BL1924" s="7">
        <f>0</f>
        <v>0</v>
      </c>
      <c r="BM1924" s="5" t="s">
        <v>258</v>
      </c>
      <c r="BN1924" s="5" t="s">
        <v>259</v>
      </c>
      <c r="CB1924" s="5" t="s">
        <v>240</v>
      </c>
      <c r="CC1924" s="5" t="s">
        <v>240</v>
      </c>
      <c r="CG1924" s="5" t="s">
        <v>304</v>
      </c>
      <c r="CH1924" s="5" t="s">
        <v>305</v>
      </c>
      <c r="CI1924" s="5" t="s">
        <v>240</v>
      </c>
      <c r="CL1924" s="6" t="s">
        <v>261</v>
      </c>
      <c r="CM1924" s="5" t="s">
        <v>240</v>
      </c>
      <c r="CN1924" s="5" t="s">
        <v>263</v>
      </c>
      <c r="CO1924" s="5" t="s">
        <v>240</v>
      </c>
      <c r="CP1924" s="5" t="s">
        <v>240</v>
      </c>
      <c r="CQ1924" s="5">
        <v>0</v>
      </c>
      <c r="CR1924" s="5" t="s">
        <v>306</v>
      </c>
      <c r="CS1924" s="5" t="s">
        <v>307</v>
      </c>
      <c r="CT1924" s="5" t="s">
        <v>307</v>
      </c>
      <c r="CU1924" s="5" t="s">
        <v>260</v>
      </c>
      <c r="CX1924" s="7">
        <f>1</f>
        <v>1</v>
      </c>
      <c r="CY1924" s="7">
        <f>0</f>
        <v>0</v>
      </c>
      <c r="DA1924" s="7">
        <f>0</f>
        <v>0</v>
      </c>
      <c r="DC1924" s="5" t="s">
        <v>812</v>
      </c>
      <c r="DD1924" s="5" t="s">
        <v>240</v>
      </c>
      <c r="DF1924" s="5" t="s">
        <v>812</v>
      </c>
      <c r="DG1924" s="7">
        <f>107</f>
        <v>107</v>
      </c>
      <c r="DI1924" s="5" t="s">
        <v>240</v>
      </c>
      <c r="DJ1924" s="5" t="s">
        <v>240</v>
      </c>
      <c r="DK1924" s="5" t="s">
        <v>240</v>
      </c>
      <c r="DL1924" s="5" t="s">
        <v>240</v>
      </c>
      <c r="DP1924" s="5" t="s">
        <v>240</v>
      </c>
      <c r="DQ1924" s="5" t="s">
        <v>240</v>
      </c>
      <c r="DR1924" s="5" t="s">
        <v>240</v>
      </c>
      <c r="DS1924" s="5" t="s">
        <v>240</v>
      </c>
      <c r="DV1924" s="5" t="s">
        <v>813</v>
      </c>
      <c r="DW1924" s="5" t="s">
        <v>3945</v>
      </c>
      <c r="HO1924" s="5" t="s">
        <v>312</v>
      </c>
    </row>
    <row r="1925" spans="1:240" x14ac:dyDescent="0.4">
      <c r="A1925" s="5">
        <v>3629</v>
      </c>
      <c r="B1925" s="5">
        <v>1</v>
      </c>
      <c r="C1925" s="5">
        <v>1</v>
      </c>
      <c r="D1925" s="5" t="s">
        <v>810</v>
      </c>
      <c r="E1925" s="5" t="s">
        <v>245</v>
      </c>
      <c r="F1925" s="5" t="s">
        <v>254</v>
      </c>
      <c r="G1925" s="5" t="s">
        <v>240</v>
      </c>
      <c r="H1925" s="6" t="s">
        <v>4364</v>
      </c>
      <c r="I1925" s="5" t="s">
        <v>809</v>
      </c>
      <c r="J1925" s="8">
        <f>1089</f>
        <v>1089</v>
      </c>
      <c r="K1925" s="5" t="s">
        <v>308</v>
      </c>
      <c r="L1925" s="7">
        <f>1</f>
        <v>1</v>
      </c>
      <c r="M1925" s="7">
        <f>1</f>
        <v>1</v>
      </c>
      <c r="N1925" s="5" t="s">
        <v>242</v>
      </c>
      <c r="O1925" s="5">
        <v>1</v>
      </c>
      <c r="P1925" s="5" t="s">
        <v>294</v>
      </c>
      <c r="Q1925" s="5" t="s">
        <v>266</v>
      </c>
      <c r="R1925" s="5" t="s">
        <v>240</v>
      </c>
      <c r="S1925" s="5" t="s">
        <v>240</v>
      </c>
      <c r="T1925" s="5" t="s">
        <v>296</v>
      </c>
      <c r="U1925" s="5" t="s">
        <v>244</v>
      </c>
      <c r="V1925" s="5" t="s">
        <v>240</v>
      </c>
      <c r="Y1925" s="5" t="s">
        <v>240</v>
      </c>
      <c r="Z1925" s="6" t="s">
        <v>298</v>
      </c>
      <c r="AB1925" s="6" t="s">
        <v>240</v>
      </c>
      <c r="AE1925" s="6" t="s">
        <v>299</v>
      </c>
      <c r="AF1925" s="5" t="s">
        <v>248</v>
      </c>
      <c r="AG1925" s="5" t="s">
        <v>249</v>
      </c>
      <c r="AW1925" s="5" t="s">
        <v>251</v>
      </c>
      <c r="AX1925" s="5" t="s">
        <v>240</v>
      </c>
      <c r="AY1925" s="5" t="s">
        <v>253</v>
      </c>
      <c r="AZ1925" s="5" t="s">
        <v>240</v>
      </c>
      <c r="BA1925" s="5" t="s">
        <v>255</v>
      </c>
      <c r="BB1925" s="5" t="s">
        <v>240</v>
      </c>
      <c r="BD1925" s="5" t="s">
        <v>240</v>
      </c>
      <c r="BF1925" s="5" t="s">
        <v>301</v>
      </c>
      <c r="BG1925" s="6" t="s">
        <v>299</v>
      </c>
      <c r="BH1925" s="5" t="s">
        <v>302</v>
      </c>
      <c r="BI1925" s="5" t="s">
        <v>303</v>
      </c>
      <c r="BJ1925" s="5" t="s">
        <v>240</v>
      </c>
      <c r="BK1925" s="8">
        <f>0</f>
        <v>0</v>
      </c>
      <c r="BL1925" s="7">
        <f>0</f>
        <v>0</v>
      </c>
      <c r="BM1925" s="5" t="s">
        <v>258</v>
      </c>
      <c r="BN1925" s="5" t="s">
        <v>259</v>
      </c>
      <c r="CB1925" s="5" t="s">
        <v>240</v>
      </c>
      <c r="CC1925" s="5" t="s">
        <v>240</v>
      </c>
      <c r="CG1925" s="5" t="s">
        <v>304</v>
      </c>
      <c r="CH1925" s="5" t="s">
        <v>305</v>
      </c>
      <c r="CI1925" s="5" t="s">
        <v>240</v>
      </c>
      <c r="CL1925" s="6" t="s">
        <v>261</v>
      </c>
      <c r="CM1925" s="5" t="s">
        <v>240</v>
      </c>
      <c r="CN1925" s="5" t="s">
        <v>263</v>
      </c>
      <c r="CO1925" s="5" t="s">
        <v>240</v>
      </c>
      <c r="CP1925" s="5" t="s">
        <v>240</v>
      </c>
      <c r="CQ1925" s="5">
        <v>0</v>
      </c>
      <c r="CR1925" s="5" t="s">
        <v>306</v>
      </c>
      <c r="CS1925" s="5" t="s">
        <v>307</v>
      </c>
      <c r="CT1925" s="5" t="s">
        <v>307</v>
      </c>
      <c r="CU1925" s="5" t="s">
        <v>260</v>
      </c>
      <c r="CX1925" s="7">
        <f>1</f>
        <v>1</v>
      </c>
      <c r="CY1925" s="7">
        <f>0</f>
        <v>0</v>
      </c>
      <c r="DA1925" s="7">
        <f>0</f>
        <v>0</v>
      </c>
      <c r="DC1925" s="5" t="s">
        <v>309</v>
      </c>
      <c r="DD1925" s="5" t="s">
        <v>240</v>
      </c>
      <c r="DF1925" s="5" t="s">
        <v>309</v>
      </c>
      <c r="DG1925" s="7">
        <f>1913</f>
        <v>1913</v>
      </c>
      <c r="DI1925" s="5" t="s">
        <v>240</v>
      </c>
      <c r="DJ1925" s="5" t="s">
        <v>240</v>
      </c>
      <c r="DK1925" s="5" t="s">
        <v>240</v>
      </c>
      <c r="DL1925" s="5" t="s">
        <v>240</v>
      </c>
      <c r="DP1925" s="5" t="s">
        <v>240</v>
      </c>
      <c r="DQ1925" s="5" t="s">
        <v>240</v>
      </c>
      <c r="DR1925" s="5" t="s">
        <v>240</v>
      </c>
      <c r="DS1925" s="5" t="s">
        <v>240</v>
      </c>
      <c r="DV1925" s="5" t="s">
        <v>310</v>
      </c>
      <c r="DW1925" s="5" t="s">
        <v>3848</v>
      </c>
      <c r="HO1925" s="5" t="s">
        <v>312</v>
      </c>
    </row>
    <row r="1926" spans="1:240" x14ac:dyDescent="0.4">
      <c r="A1926" s="5">
        <v>3630</v>
      </c>
      <c r="B1926" s="5">
        <v>1</v>
      </c>
      <c r="C1926" s="5">
        <v>1</v>
      </c>
      <c r="D1926" s="5" t="s">
        <v>810</v>
      </c>
      <c r="E1926" s="5" t="s">
        <v>245</v>
      </c>
      <c r="F1926" s="5" t="s">
        <v>254</v>
      </c>
      <c r="G1926" s="5" t="s">
        <v>240</v>
      </c>
      <c r="H1926" s="6" t="s">
        <v>4363</v>
      </c>
      <c r="I1926" s="5" t="s">
        <v>809</v>
      </c>
      <c r="J1926" s="8">
        <f>1438</f>
        <v>1438</v>
      </c>
      <c r="K1926" s="5" t="s">
        <v>308</v>
      </c>
      <c r="L1926" s="7">
        <f>1</f>
        <v>1</v>
      </c>
      <c r="M1926" s="7">
        <f>1</f>
        <v>1</v>
      </c>
      <c r="N1926" s="5" t="s">
        <v>242</v>
      </c>
      <c r="O1926" s="5">
        <v>1</v>
      </c>
      <c r="P1926" s="5" t="s">
        <v>294</v>
      </c>
      <c r="Q1926" s="5" t="s">
        <v>613</v>
      </c>
      <c r="R1926" s="5" t="s">
        <v>240</v>
      </c>
      <c r="S1926" s="5" t="s">
        <v>240</v>
      </c>
      <c r="T1926" s="5" t="s">
        <v>243</v>
      </c>
      <c r="U1926" s="5" t="s">
        <v>724</v>
      </c>
      <c r="V1926" s="5" t="s">
        <v>240</v>
      </c>
      <c r="W1926" s="5" t="s">
        <v>240</v>
      </c>
      <c r="X1926" s="5" t="s">
        <v>240</v>
      </c>
      <c r="Y1926" s="5" t="s">
        <v>240</v>
      </c>
      <c r="Z1926" s="6" t="s">
        <v>298</v>
      </c>
      <c r="AA1926" s="6" t="s">
        <v>240</v>
      </c>
      <c r="AB1926" s="6" t="s">
        <v>240</v>
      </c>
      <c r="AC1926" s="5" t="s">
        <v>240</v>
      </c>
      <c r="AD1926" s="6" t="s">
        <v>240</v>
      </c>
      <c r="AE1926" s="6" t="s">
        <v>299</v>
      </c>
      <c r="AF1926" s="5" t="s">
        <v>727</v>
      </c>
      <c r="AG1926" s="5" t="s">
        <v>260</v>
      </c>
      <c r="AH1926" s="5" t="s">
        <v>240</v>
      </c>
      <c r="AI1926" s="5" t="s">
        <v>240</v>
      </c>
      <c r="AJ1926" s="5" t="s">
        <v>240</v>
      </c>
      <c r="AK1926" s="5" t="s">
        <v>240</v>
      </c>
      <c r="AL1926" s="5" t="s">
        <v>240</v>
      </c>
      <c r="AM1926" s="5" t="s">
        <v>240</v>
      </c>
      <c r="AN1926" s="5" t="s">
        <v>240</v>
      </c>
      <c r="AO1926" s="5" t="s">
        <v>240</v>
      </c>
      <c r="AP1926" s="6" t="s">
        <v>240</v>
      </c>
      <c r="AQ1926" s="6" t="s">
        <v>240</v>
      </c>
      <c r="AR1926" s="6" t="s">
        <v>240</v>
      </c>
      <c r="AS1926" s="6" t="s">
        <v>240</v>
      </c>
      <c r="AT1926" s="5" t="s">
        <v>240</v>
      </c>
      <c r="AU1926" s="5" t="s">
        <v>729</v>
      </c>
      <c r="AV1926" s="5" t="s">
        <v>729</v>
      </c>
      <c r="AW1926" s="5" t="s">
        <v>251</v>
      </c>
      <c r="AX1926" s="5" t="s">
        <v>252</v>
      </c>
      <c r="AY1926" s="5" t="s">
        <v>253</v>
      </c>
      <c r="AZ1926" s="5" t="s">
        <v>240</v>
      </c>
      <c r="BA1926" s="5" t="s">
        <v>255</v>
      </c>
      <c r="BB1926" s="5" t="s">
        <v>731</v>
      </c>
      <c r="BD1926" s="5" t="s">
        <v>240</v>
      </c>
      <c r="BF1926" s="5" t="s">
        <v>732</v>
      </c>
      <c r="BG1926" s="6" t="s">
        <v>733</v>
      </c>
      <c r="BH1926" s="5" t="s">
        <v>734</v>
      </c>
      <c r="BI1926" s="5" t="s">
        <v>734</v>
      </c>
      <c r="BJ1926" s="5" t="s">
        <v>240</v>
      </c>
      <c r="BK1926" s="8">
        <f>450</f>
        <v>450</v>
      </c>
      <c r="BL1926" s="7">
        <f>0</f>
        <v>0</v>
      </c>
      <c r="BM1926" s="5" t="s">
        <v>258</v>
      </c>
      <c r="BN1926" s="5" t="s">
        <v>259</v>
      </c>
      <c r="BO1926" s="5" t="s">
        <v>240</v>
      </c>
      <c r="BP1926" s="5" t="s">
        <v>240</v>
      </c>
      <c r="BQ1926" s="5" t="s">
        <v>240</v>
      </c>
      <c r="BR1926" s="5" t="s">
        <v>240</v>
      </c>
      <c r="BS1926" s="5" t="s">
        <v>240</v>
      </c>
      <c r="BT1926" s="5" t="s">
        <v>240</v>
      </c>
      <c r="BU1926" s="5" t="s">
        <v>240</v>
      </c>
      <c r="BV1926" s="5" t="s">
        <v>240</v>
      </c>
      <c r="BW1926" s="6" t="s">
        <v>240</v>
      </c>
      <c r="BX1926" s="5" t="s">
        <v>240</v>
      </c>
      <c r="BY1926" s="5" t="s">
        <v>240</v>
      </c>
      <c r="BZ1926" s="5" t="s">
        <v>240</v>
      </c>
      <c r="CA1926" s="5" t="s">
        <v>259</v>
      </c>
      <c r="CB1926" s="5" t="s">
        <v>240</v>
      </c>
      <c r="CC1926" s="5" t="s">
        <v>240</v>
      </c>
      <c r="CD1926" s="5" t="s">
        <v>240</v>
      </c>
      <c r="CE1926" s="5" t="s">
        <v>240</v>
      </c>
      <c r="CF1926" s="5" t="s">
        <v>240</v>
      </c>
      <c r="CG1926" s="5" t="s">
        <v>617</v>
      </c>
      <c r="CH1926" s="5" t="s">
        <v>305</v>
      </c>
      <c r="CI1926" s="5" t="s">
        <v>240</v>
      </c>
      <c r="CL1926" s="6" t="s">
        <v>261</v>
      </c>
      <c r="CM1926" s="5" t="s">
        <v>262</v>
      </c>
      <c r="CN1926" s="5" t="s">
        <v>263</v>
      </c>
      <c r="CO1926" s="5" t="s">
        <v>264</v>
      </c>
      <c r="CP1926" s="5" t="s">
        <v>240</v>
      </c>
      <c r="CQ1926" s="5">
        <v>0</v>
      </c>
      <c r="CR1926" s="5" t="s">
        <v>735</v>
      </c>
      <c r="CS1926" s="5" t="s">
        <v>307</v>
      </c>
      <c r="CT1926" s="5" t="s">
        <v>307</v>
      </c>
      <c r="CU1926" s="5" t="s">
        <v>260</v>
      </c>
      <c r="CV1926" s="5" t="s">
        <v>240</v>
      </c>
      <c r="CW1926" s="8">
        <f>0</f>
        <v>0</v>
      </c>
      <c r="CX1926" s="7">
        <f>0</f>
        <v>0</v>
      </c>
      <c r="CY1926" s="7">
        <f>0</f>
        <v>0</v>
      </c>
      <c r="DA1926" s="7">
        <f>4950</f>
        <v>4950</v>
      </c>
      <c r="DB1926" s="7" t="s">
        <v>240</v>
      </c>
      <c r="DC1926" s="5" t="s">
        <v>240</v>
      </c>
      <c r="DD1926" s="5" t="s">
        <v>240</v>
      </c>
      <c r="DE1926" s="5" t="s">
        <v>240</v>
      </c>
      <c r="DF1926" s="5" t="s">
        <v>854</v>
      </c>
      <c r="DG1926" s="7">
        <f>0</f>
        <v>0</v>
      </c>
      <c r="DI1926" s="5" t="s">
        <v>737</v>
      </c>
      <c r="DJ1926" s="5" t="s">
        <v>240</v>
      </c>
      <c r="DK1926" s="5" t="s">
        <v>240</v>
      </c>
      <c r="DL1926" s="5" t="s">
        <v>240</v>
      </c>
      <c r="DM1926" s="5" t="s">
        <v>240</v>
      </c>
      <c r="DN1926" s="5" t="s">
        <v>240</v>
      </c>
      <c r="DO1926" s="7" t="s">
        <v>240</v>
      </c>
      <c r="DP1926" s="5" t="s">
        <v>240</v>
      </c>
      <c r="DQ1926" s="5" t="s">
        <v>240</v>
      </c>
      <c r="DR1926" s="5" t="s">
        <v>731</v>
      </c>
      <c r="DS1926" s="5" t="s">
        <v>731</v>
      </c>
      <c r="DT1926" s="5" t="s">
        <v>240</v>
      </c>
      <c r="DU1926" s="5" t="s">
        <v>240</v>
      </c>
      <c r="DV1926" s="5" t="s">
        <v>738</v>
      </c>
      <c r="DW1926" s="5" t="s">
        <v>668</v>
      </c>
      <c r="DX1926" s="5" t="s">
        <v>240</v>
      </c>
      <c r="DY1926" s="5" t="s">
        <v>240</v>
      </c>
      <c r="DZ1926" s="5" t="s">
        <v>240</v>
      </c>
      <c r="EA1926" s="5" t="s">
        <v>240</v>
      </c>
      <c r="EB1926" s="5" t="s">
        <v>240</v>
      </c>
      <c r="EC1926" s="5" t="s">
        <v>240</v>
      </c>
      <c r="ED1926" s="5" t="s">
        <v>240</v>
      </c>
      <c r="EE1926" s="5" t="s">
        <v>240</v>
      </c>
      <c r="EF1926" s="5" t="s">
        <v>240</v>
      </c>
      <c r="EG1926" s="5" t="s">
        <v>240</v>
      </c>
      <c r="EH1926" s="5" t="s">
        <v>240</v>
      </c>
      <c r="EI1926" s="5" t="s">
        <v>240</v>
      </c>
      <c r="EJ1926" s="5" t="s">
        <v>240</v>
      </c>
      <c r="EK1926" s="5" t="s">
        <v>240</v>
      </c>
      <c r="EL1926" s="5" t="s">
        <v>240</v>
      </c>
      <c r="EM1926" s="5" t="s">
        <v>240</v>
      </c>
      <c r="EN1926" s="5" t="s">
        <v>240</v>
      </c>
      <c r="EO1926" s="5" t="s">
        <v>240</v>
      </c>
      <c r="EP1926" s="5" t="s">
        <v>240</v>
      </c>
      <c r="EQ1926" s="5" t="s">
        <v>240</v>
      </c>
      <c r="ER1926" s="5" t="s">
        <v>240</v>
      </c>
      <c r="ES1926" s="5" t="s">
        <v>240</v>
      </c>
      <c r="ET1926" s="5" t="s">
        <v>240</v>
      </c>
      <c r="EU1926" s="5" t="s">
        <v>240</v>
      </c>
      <c r="EV1926" s="5" t="s">
        <v>240</v>
      </c>
      <c r="EW1926" s="5" t="s">
        <v>240</v>
      </c>
      <c r="EX1926" s="5" t="s">
        <v>240</v>
      </c>
      <c r="EY1926" s="5" t="s">
        <v>240</v>
      </c>
      <c r="EZ1926" s="5" t="s">
        <v>240</v>
      </c>
      <c r="FA1926" s="5" t="s">
        <v>240</v>
      </c>
      <c r="FB1926" s="5" t="s">
        <v>240</v>
      </c>
      <c r="FC1926" s="5" t="s">
        <v>240</v>
      </c>
      <c r="FD1926" s="5" t="s">
        <v>240</v>
      </c>
      <c r="FE1926" s="5" t="s">
        <v>240</v>
      </c>
      <c r="FF1926" s="5" t="s">
        <v>240</v>
      </c>
      <c r="FG1926" s="5" t="s">
        <v>240</v>
      </c>
      <c r="FH1926" s="5" t="s">
        <v>240</v>
      </c>
      <c r="FI1926" s="5" t="s">
        <v>240</v>
      </c>
      <c r="FJ1926" s="5" t="s">
        <v>240</v>
      </c>
      <c r="FK1926" s="5" t="s">
        <v>240</v>
      </c>
      <c r="FL1926" s="5" t="s">
        <v>240</v>
      </c>
      <c r="FM1926" s="5" t="s">
        <v>240</v>
      </c>
      <c r="FN1926" s="5" t="s">
        <v>240</v>
      </c>
      <c r="FO1926" s="5" t="s">
        <v>240</v>
      </c>
      <c r="FP1926" s="5" t="s">
        <v>240</v>
      </c>
      <c r="FQ1926" s="5" t="s">
        <v>240</v>
      </c>
      <c r="FR1926" s="5" t="s">
        <v>240</v>
      </c>
      <c r="FS1926" s="5" t="s">
        <v>240</v>
      </c>
      <c r="FT1926" s="5" t="s">
        <v>240</v>
      </c>
      <c r="FU1926" s="5" t="s">
        <v>240</v>
      </c>
      <c r="FV1926" s="5" t="s">
        <v>240</v>
      </c>
      <c r="FW1926" s="5" t="s">
        <v>240</v>
      </c>
      <c r="FX1926" s="5" t="s">
        <v>240</v>
      </c>
      <c r="FY1926" s="5" t="s">
        <v>240</v>
      </c>
      <c r="FZ1926" s="5" t="s">
        <v>240</v>
      </c>
      <c r="GA1926" s="5" t="s">
        <v>240</v>
      </c>
      <c r="GB1926" s="5" t="s">
        <v>240</v>
      </c>
      <c r="GC1926" s="5" t="s">
        <v>240</v>
      </c>
      <c r="GD1926" s="5" t="s">
        <v>240</v>
      </c>
      <c r="GE1926" s="5" t="s">
        <v>240</v>
      </c>
      <c r="GF1926" s="5" t="s">
        <v>240</v>
      </c>
      <c r="GG1926" s="5" t="s">
        <v>240</v>
      </c>
      <c r="GH1926" s="5" t="s">
        <v>240</v>
      </c>
      <c r="GI1926" s="5" t="s">
        <v>240</v>
      </c>
      <c r="GJ1926" s="5" t="s">
        <v>240</v>
      </c>
      <c r="GK1926" s="5" t="s">
        <v>240</v>
      </c>
      <c r="GL1926" s="5" t="s">
        <v>240</v>
      </c>
      <c r="GM1926" s="5" t="s">
        <v>240</v>
      </c>
      <c r="GN1926" s="5" t="s">
        <v>240</v>
      </c>
      <c r="GO1926" s="5" t="s">
        <v>240</v>
      </c>
      <c r="GP1926" s="5" t="s">
        <v>240</v>
      </c>
      <c r="GQ1926" s="5" t="s">
        <v>240</v>
      </c>
      <c r="GR1926" s="5" t="s">
        <v>240</v>
      </c>
      <c r="GS1926" s="5" t="s">
        <v>240</v>
      </c>
      <c r="GT1926" s="5" t="s">
        <v>240</v>
      </c>
      <c r="GU1926" s="5" t="s">
        <v>240</v>
      </c>
      <c r="GV1926" s="5" t="s">
        <v>240</v>
      </c>
      <c r="GW1926" s="5" t="s">
        <v>240</v>
      </c>
      <c r="GX1926" s="5" t="s">
        <v>240</v>
      </c>
      <c r="GY1926" s="5" t="s">
        <v>240</v>
      </c>
      <c r="GZ1926" s="5" t="s">
        <v>240</v>
      </c>
      <c r="HA1926" s="5" t="s">
        <v>240</v>
      </c>
      <c r="HB1926" s="5" t="s">
        <v>240</v>
      </c>
      <c r="HC1926" s="5" t="s">
        <v>240</v>
      </c>
      <c r="HD1926" s="5" t="s">
        <v>240</v>
      </c>
      <c r="HE1926" s="5" t="s">
        <v>240</v>
      </c>
      <c r="HF1926" s="5" t="s">
        <v>240</v>
      </c>
      <c r="HG1926" s="5" t="s">
        <v>240</v>
      </c>
      <c r="HH1926" s="5" t="s">
        <v>240</v>
      </c>
      <c r="HI1926" s="5" t="s">
        <v>240</v>
      </c>
      <c r="HJ1926" s="5" t="s">
        <v>240</v>
      </c>
      <c r="HK1926" s="5" t="s">
        <v>240</v>
      </c>
      <c r="HL1926" s="5" t="s">
        <v>240</v>
      </c>
      <c r="HM1926" s="5" t="s">
        <v>240</v>
      </c>
      <c r="HN1926" s="5" t="s">
        <v>240</v>
      </c>
      <c r="HO1926" s="5" t="s">
        <v>620</v>
      </c>
      <c r="HP1926" s="5" t="s">
        <v>240</v>
      </c>
      <c r="HQ1926" s="5" t="s">
        <v>240</v>
      </c>
      <c r="HR1926" s="5" t="s">
        <v>240</v>
      </c>
      <c r="HS1926" s="5" t="s">
        <v>240</v>
      </c>
      <c r="HT1926" s="5" t="s">
        <v>240</v>
      </c>
      <c r="HU1926" s="5" t="s">
        <v>240</v>
      </c>
      <c r="HV1926" s="5" t="s">
        <v>240</v>
      </c>
      <c r="HW1926" s="5" t="s">
        <v>240</v>
      </c>
      <c r="HX1926" s="5" t="s">
        <v>240</v>
      </c>
      <c r="HY1926" s="5" t="s">
        <v>240</v>
      </c>
      <c r="HZ1926" s="5" t="s">
        <v>240</v>
      </c>
      <c r="IA1926" s="5" t="s">
        <v>240</v>
      </c>
      <c r="IB1926" s="5" t="s">
        <v>240</v>
      </c>
      <c r="IC1926" s="5" t="s">
        <v>240</v>
      </c>
      <c r="ID1926" s="5" t="s">
        <v>240</v>
      </c>
      <c r="IE1926" s="5" t="s">
        <v>240</v>
      </c>
      <c r="IF1926" s="5" t="s">
        <v>240</v>
      </c>
    </row>
    <row r="1927" spans="1:240" x14ac:dyDescent="0.4">
      <c r="A1927" s="5">
        <v>3631</v>
      </c>
      <c r="B1927" s="5">
        <v>1</v>
      </c>
      <c r="C1927" s="5">
        <v>1</v>
      </c>
      <c r="D1927" s="5" t="s">
        <v>810</v>
      </c>
      <c r="E1927" s="5" t="s">
        <v>245</v>
      </c>
      <c r="F1927" s="5" t="s">
        <v>254</v>
      </c>
      <c r="G1927" s="5" t="s">
        <v>240</v>
      </c>
      <c r="H1927" s="6" t="s">
        <v>4362</v>
      </c>
      <c r="I1927" s="5" t="s">
        <v>809</v>
      </c>
      <c r="J1927" s="8">
        <f>499</f>
        <v>499</v>
      </c>
      <c r="K1927" s="5" t="s">
        <v>308</v>
      </c>
      <c r="L1927" s="7">
        <f>1</f>
        <v>1</v>
      </c>
      <c r="M1927" s="7">
        <f>1</f>
        <v>1</v>
      </c>
      <c r="N1927" s="5" t="s">
        <v>242</v>
      </c>
      <c r="O1927" s="5">
        <v>1</v>
      </c>
      <c r="P1927" s="5" t="s">
        <v>294</v>
      </c>
      <c r="Q1927" s="5" t="s">
        <v>266</v>
      </c>
      <c r="R1927" s="5" t="s">
        <v>240</v>
      </c>
      <c r="S1927" s="5" t="s">
        <v>240</v>
      </c>
      <c r="T1927" s="5" t="s">
        <v>296</v>
      </c>
      <c r="U1927" s="5" t="s">
        <v>244</v>
      </c>
      <c r="V1927" s="5" t="s">
        <v>240</v>
      </c>
      <c r="Y1927" s="5" t="s">
        <v>240</v>
      </c>
      <c r="Z1927" s="6" t="s">
        <v>298</v>
      </c>
      <c r="AB1927" s="6" t="s">
        <v>240</v>
      </c>
      <c r="AE1927" s="6" t="s">
        <v>299</v>
      </c>
      <c r="AF1927" s="5" t="s">
        <v>248</v>
      </c>
      <c r="AG1927" s="5" t="s">
        <v>249</v>
      </c>
      <c r="AW1927" s="5" t="s">
        <v>251</v>
      </c>
      <c r="AX1927" s="5" t="s">
        <v>240</v>
      </c>
      <c r="AY1927" s="5" t="s">
        <v>253</v>
      </c>
      <c r="AZ1927" s="5" t="s">
        <v>240</v>
      </c>
      <c r="BA1927" s="5" t="s">
        <v>255</v>
      </c>
      <c r="BB1927" s="5" t="s">
        <v>240</v>
      </c>
      <c r="BD1927" s="5" t="s">
        <v>240</v>
      </c>
      <c r="BF1927" s="5" t="s">
        <v>301</v>
      </c>
      <c r="BG1927" s="6" t="s">
        <v>299</v>
      </c>
      <c r="BH1927" s="5" t="s">
        <v>302</v>
      </c>
      <c r="BI1927" s="5" t="s">
        <v>303</v>
      </c>
      <c r="BJ1927" s="5" t="s">
        <v>240</v>
      </c>
      <c r="BK1927" s="8">
        <f>0</f>
        <v>0</v>
      </c>
      <c r="BL1927" s="7">
        <f>0</f>
        <v>0</v>
      </c>
      <c r="BM1927" s="5" t="s">
        <v>258</v>
      </c>
      <c r="BN1927" s="5" t="s">
        <v>259</v>
      </c>
      <c r="CB1927" s="5" t="s">
        <v>240</v>
      </c>
      <c r="CC1927" s="5" t="s">
        <v>240</v>
      </c>
      <c r="CG1927" s="5" t="s">
        <v>304</v>
      </c>
      <c r="CH1927" s="5" t="s">
        <v>305</v>
      </c>
      <c r="CI1927" s="5" t="s">
        <v>240</v>
      </c>
      <c r="CL1927" s="6" t="s">
        <v>261</v>
      </c>
      <c r="CM1927" s="5" t="s">
        <v>240</v>
      </c>
      <c r="CN1927" s="5" t="s">
        <v>263</v>
      </c>
      <c r="CO1927" s="5" t="s">
        <v>240</v>
      </c>
      <c r="CP1927" s="5" t="s">
        <v>240</v>
      </c>
      <c r="CQ1927" s="5">
        <v>0</v>
      </c>
      <c r="CR1927" s="5" t="s">
        <v>306</v>
      </c>
      <c r="CS1927" s="5" t="s">
        <v>307</v>
      </c>
      <c r="CT1927" s="5" t="s">
        <v>307</v>
      </c>
      <c r="CU1927" s="5" t="s">
        <v>260</v>
      </c>
      <c r="CX1927" s="7">
        <f>1</f>
        <v>1</v>
      </c>
      <c r="CY1927" s="7">
        <f>0</f>
        <v>0</v>
      </c>
      <c r="DA1927" s="7">
        <f>0</f>
        <v>0</v>
      </c>
      <c r="DC1927" s="5" t="s">
        <v>309</v>
      </c>
      <c r="DD1927" s="5" t="s">
        <v>240</v>
      </c>
      <c r="DF1927" s="5" t="s">
        <v>309</v>
      </c>
      <c r="DG1927" s="7">
        <f>2955</f>
        <v>2955</v>
      </c>
      <c r="DI1927" s="5" t="s">
        <v>240</v>
      </c>
      <c r="DJ1927" s="5" t="s">
        <v>240</v>
      </c>
      <c r="DK1927" s="5" t="s">
        <v>240</v>
      </c>
      <c r="DL1927" s="5" t="s">
        <v>240</v>
      </c>
      <c r="DP1927" s="5" t="s">
        <v>240</v>
      </c>
      <c r="DQ1927" s="5" t="s">
        <v>240</v>
      </c>
      <c r="DR1927" s="5" t="s">
        <v>240</v>
      </c>
      <c r="DS1927" s="5" t="s">
        <v>240</v>
      </c>
      <c r="DV1927" s="5" t="s">
        <v>310</v>
      </c>
      <c r="DW1927" s="5" t="s">
        <v>3846</v>
      </c>
      <c r="HO1927" s="5" t="s">
        <v>312</v>
      </c>
    </row>
    <row r="1928" spans="1:240" x14ac:dyDescent="0.4">
      <c r="A1928" s="5">
        <v>3632</v>
      </c>
      <c r="B1928" s="5">
        <v>1</v>
      </c>
      <c r="C1928" s="5">
        <v>1</v>
      </c>
      <c r="D1928" s="5" t="s">
        <v>810</v>
      </c>
      <c r="E1928" s="5" t="s">
        <v>245</v>
      </c>
      <c r="F1928" s="5" t="s">
        <v>254</v>
      </c>
      <c r="G1928" s="5" t="s">
        <v>240</v>
      </c>
      <c r="H1928" s="6" t="s">
        <v>4361</v>
      </c>
      <c r="I1928" s="5" t="s">
        <v>809</v>
      </c>
      <c r="J1928" s="8">
        <f>1201</f>
        <v>1201</v>
      </c>
      <c r="K1928" s="5" t="s">
        <v>308</v>
      </c>
      <c r="L1928" s="7">
        <f>1</f>
        <v>1</v>
      </c>
      <c r="M1928" s="7">
        <f>1</f>
        <v>1</v>
      </c>
      <c r="N1928" s="5" t="s">
        <v>242</v>
      </c>
      <c r="O1928" s="5">
        <v>1</v>
      </c>
      <c r="P1928" s="5" t="s">
        <v>294</v>
      </c>
      <c r="Q1928" s="5" t="s">
        <v>266</v>
      </c>
      <c r="R1928" s="5" t="s">
        <v>240</v>
      </c>
      <c r="S1928" s="5" t="s">
        <v>240</v>
      </c>
      <c r="T1928" s="5" t="s">
        <v>296</v>
      </c>
      <c r="U1928" s="5" t="s">
        <v>244</v>
      </c>
      <c r="V1928" s="5" t="s">
        <v>240</v>
      </c>
      <c r="Y1928" s="5" t="s">
        <v>240</v>
      </c>
      <c r="Z1928" s="6" t="s">
        <v>298</v>
      </c>
      <c r="AB1928" s="6" t="s">
        <v>240</v>
      </c>
      <c r="AE1928" s="6" t="s">
        <v>299</v>
      </c>
      <c r="AF1928" s="5" t="s">
        <v>248</v>
      </c>
      <c r="AG1928" s="5" t="s">
        <v>249</v>
      </c>
      <c r="AW1928" s="5" t="s">
        <v>251</v>
      </c>
      <c r="AX1928" s="5" t="s">
        <v>240</v>
      </c>
      <c r="AY1928" s="5" t="s">
        <v>253</v>
      </c>
      <c r="AZ1928" s="5" t="s">
        <v>240</v>
      </c>
      <c r="BA1928" s="5" t="s">
        <v>255</v>
      </c>
      <c r="BB1928" s="5" t="s">
        <v>240</v>
      </c>
      <c r="BD1928" s="5" t="s">
        <v>240</v>
      </c>
      <c r="BF1928" s="5" t="s">
        <v>301</v>
      </c>
      <c r="BG1928" s="6" t="s">
        <v>299</v>
      </c>
      <c r="BH1928" s="5" t="s">
        <v>302</v>
      </c>
      <c r="BI1928" s="5" t="s">
        <v>303</v>
      </c>
      <c r="BJ1928" s="5" t="s">
        <v>240</v>
      </c>
      <c r="BK1928" s="8">
        <f>0</f>
        <v>0</v>
      </c>
      <c r="BL1928" s="7">
        <f>0</f>
        <v>0</v>
      </c>
      <c r="BM1928" s="5" t="s">
        <v>258</v>
      </c>
      <c r="BN1928" s="5" t="s">
        <v>259</v>
      </c>
      <c r="CB1928" s="5" t="s">
        <v>240</v>
      </c>
      <c r="CC1928" s="5" t="s">
        <v>240</v>
      </c>
      <c r="CG1928" s="5" t="s">
        <v>304</v>
      </c>
      <c r="CH1928" s="5" t="s">
        <v>305</v>
      </c>
      <c r="CI1928" s="5" t="s">
        <v>240</v>
      </c>
      <c r="CL1928" s="6" t="s">
        <v>261</v>
      </c>
      <c r="CM1928" s="5" t="s">
        <v>240</v>
      </c>
      <c r="CN1928" s="5" t="s">
        <v>263</v>
      </c>
      <c r="CO1928" s="5" t="s">
        <v>240</v>
      </c>
      <c r="CP1928" s="5" t="s">
        <v>240</v>
      </c>
      <c r="CQ1928" s="5">
        <v>0</v>
      </c>
      <c r="CR1928" s="5" t="s">
        <v>306</v>
      </c>
      <c r="CS1928" s="5" t="s">
        <v>307</v>
      </c>
      <c r="CT1928" s="5" t="s">
        <v>307</v>
      </c>
      <c r="CU1928" s="5" t="s">
        <v>260</v>
      </c>
      <c r="CX1928" s="7">
        <f>1</f>
        <v>1</v>
      </c>
      <c r="CY1928" s="7">
        <f>0</f>
        <v>0</v>
      </c>
      <c r="DA1928" s="7">
        <f>0</f>
        <v>0</v>
      </c>
      <c r="DC1928" s="5" t="s">
        <v>309</v>
      </c>
      <c r="DD1928" s="5" t="s">
        <v>240</v>
      </c>
      <c r="DF1928" s="5" t="s">
        <v>309</v>
      </c>
      <c r="DG1928" s="7">
        <f>951</f>
        <v>951</v>
      </c>
      <c r="DI1928" s="5" t="s">
        <v>240</v>
      </c>
      <c r="DJ1928" s="5" t="s">
        <v>240</v>
      </c>
      <c r="DK1928" s="5" t="s">
        <v>240</v>
      </c>
      <c r="DL1928" s="5" t="s">
        <v>240</v>
      </c>
      <c r="DP1928" s="5" t="s">
        <v>240</v>
      </c>
      <c r="DQ1928" s="5" t="s">
        <v>240</v>
      </c>
      <c r="DR1928" s="5" t="s">
        <v>240</v>
      </c>
      <c r="DS1928" s="5" t="s">
        <v>240</v>
      </c>
      <c r="DV1928" s="5" t="s">
        <v>310</v>
      </c>
      <c r="DW1928" s="5" t="s">
        <v>3844</v>
      </c>
      <c r="HO1928" s="5" t="s">
        <v>312</v>
      </c>
    </row>
    <row r="1929" spans="1:240" x14ac:dyDescent="0.4">
      <c r="A1929" s="5">
        <v>3633</v>
      </c>
      <c r="B1929" s="5">
        <v>1</v>
      </c>
      <c r="C1929" s="5">
        <v>1</v>
      </c>
      <c r="D1929" s="5" t="s">
        <v>810</v>
      </c>
      <c r="E1929" s="5" t="s">
        <v>245</v>
      </c>
      <c r="F1929" s="5" t="s">
        <v>254</v>
      </c>
      <c r="G1929" s="5" t="s">
        <v>240</v>
      </c>
      <c r="H1929" s="6" t="s">
        <v>4373</v>
      </c>
      <c r="I1929" s="5" t="s">
        <v>809</v>
      </c>
      <c r="J1929" s="8">
        <f>1096</f>
        <v>1096</v>
      </c>
      <c r="K1929" s="5" t="s">
        <v>308</v>
      </c>
      <c r="L1929" s="7">
        <f>1</f>
        <v>1</v>
      </c>
      <c r="M1929" s="7">
        <f>1</f>
        <v>1</v>
      </c>
      <c r="N1929" s="5" t="s">
        <v>242</v>
      </c>
      <c r="O1929" s="5">
        <v>1</v>
      </c>
      <c r="P1929" s="5" t="s">
        <v>294</v>
      </c>
      <c r="Q1929" s="5" t="s">
        <v>3678</v>
      </c>
      <c r="R1929" s="5" t="s">
        <v>240</v>
      </c>
      <c r="S1929" s="5" t="s">
        <v>240</v>
      </c>
      <c r="T1929" s="5" t="s">
        <v>243</v>
      </c>
      <c r="U1929" s="5" t="s">
        <v>244</v>
      </c>
      <c r="V1929" s="5" t="s">
        <v>240</v>
      </c>
      <c r="W1929" s="5" t="s">
        <v>240</v>
      </c>
      <c r="X1929" s="5" t="s">
        <v>240</v>
      </c>
      <c r="Y1929" s="5" t="s">
        <v>240</v>
      </c>
      <c r="Z1929" s="6" t="s">
        <v>298</v>
      </c>
      <c r="AA1929" s="6" t="s">
        <v>240</v>
      </c>
      <c r="AB1929" s="6" t="s">
        <v>240</v>
      </c>
      <c r="AC1929" s="5" t="s">
        <v>240</v>
      </c>
      <c r="AD1929" s="6" t="s">
        <v>240</v>
      </c>
      <c r="AE1929" s="6" t="s">
        <v>299</v>
      </c>
      <c r="AF1929" s="5" t="s">
        <v>248</v>
      </c>
      <c r="AG1929" s="5" t="s">
        <v>249</v>
      </c>
      <c r="AH1929" s="5" t="s">
        <v>240</v>
      </c>
      <c r="AI1929" s="5" t="s">
        <v>240</v>
      </c>
      <c r="AJ1929" s="5" t="s">
        <v>240</v>
      </c>
      <c r="AK1929" s="5" t="s">
        <v>240</v>
      </c>
      <c r="AL1929" s="5" t="s">
        <v>240</v>
      </c>
      <c r="AM1929" s="5" t="s">
        <v>240</v>
      </c>
      <c r="AN1929" s="5" t="s">
        <v>240</v>
      </c>
      <c r="AO1929" s="5" t="s">
        <v>240</v>
      </c>
      <c r="AP1929" s="6" t="s">
        <v>240</v>
      </c>
      <c r="AQ1929" s="6" t="s">
        <v>240</v>
      </c>
      <c r="AR1929" s="6" t="s">
        <v>240</v>
      </c>
      <c r="AS1929" s="6" t="s">
        <v>240</v>
      </c>
      <c r="AT1929" s="5" t="s">
        <v>240</v>
      </c>
      <c r="AU1929" s="5" t="s">
        <v>729</v>
      </c>
      <c r="AV1929" s="5" t="s">
        <v>729</v>
      </c>
      <c r="AW1929" s="5" t="s">
        <v>251</v>
      </c>
      <c r="AX1929" s="5" t="s">
        <v>252</v>
      </c>
      <c r="AY1929" s="5" t="s">
        <v>253</v>
      </c>
      <c r="AZ1929" s="5" t="s">
        <v>240</v>
      </c>
      <c r="BA1929" s="5" t="s">
        <v>255</v>
      </c>
      <c r="BB1929" s="5" t="s">
        <v>731</v>
      </c>
      <c r="BD1929" s="5" t="s">
        <v>240</v>
      </c>
      <c r="BF1929" s="5" t="s">
        <v>732</v>
      </c>
      <c r="BG1929" s="6" t="s">
        <v>733</v>
      </c>
      <c r="BH1929" s="5" t="s">
        <v>734</v>
      </c>
      <c r="BI1929" s="5" t="s">
        <v>734</v>
      </c>
      <c r="BJ1929" s="5" t="s">
        <v>240</v>
      </c>
      <c r="BK1929" s="7">
        <f>1</f>
        <v>1</v>
      </c>
      <c r="BL1929" s="7">
        <f>1</f>
        <v>1</v>
      </c>
      <c r="BM1929" s="5" t="s">
        <v>258</v>
      </c>
      <c r="BN1929" s="5" t="s">
        <v>259</v>
      </c>
      <c r="BO1929" s="5" t="s">
        <v>240</v>
      </c>
      <c r="BP1929" s="5" t="s">
        <v>240</v>
      </c>
      <c r="BQ1929" s="5" t="s">
        <v>240</v>
      </c>
      <c r="BR1929" s="5" t="s">
        <v>240</v>
      </c>
      <c r="BS1929" s="5" t="s">
        <v>240</v>
      </c>
      <c r="BT1929" s="5" t="s">
        <v>240</v>
      </c>
      <c r="BU1929" s="5" t="s">
        <v>240</v>
      </c>
      <c r="BV1929" s="5" t="s">
        <v>240</v>
      </c>
      <c r="BW1929" s="6" t="s">
        <v>240</v>
      </c>
      <c r="BX1929" s="5" t="s">
        <v>240</v>
      </c>
      <c r="BY1929" s="5" t="s">
        <v>240</v>
      </c>
      <c r="BZ1929" s="5" t="s">
        <v>240</v>
      </c>
      <c r="CA1929" s="5" t="s">
        <v>259</v>
      </c>
      <c r="CB1929" s="5" t="s">
        <v>240</v>
      </c>
      <c r="CC1929" s="5" t="s">
        <v>240</v>
      </c>
      <c r="CD1929" s="5" t="s">
        <v>240</v>
      </c>
      <c r="CE1929" s="5" t="s">
        <v>240</v>
      </c>
      <c r="CF1929" s="5" t="s">
        <v>240</v>
      </c>
      <c r="CG1929" s="5" t="s">
        <v>304</v>
      </c>
      <c r="CH1929" s="5" t="s">
        <v>305</v>
      </c>
      <c r="CI1929" s="5" t="s">
        <v>240</v>
      </c>
      <c r="CK1929" s="5" t="s">
        <v>3681</v>
      </c>
      <c r="CL1929" s="6" t="s">
        <v>261</v>
      </c>
      <c r="CM1929" s="5" t="s">
        <v>262</v>
      </c>
      <c r="CN1929" s="5" t="s">
        <v>263</v>
      </c>
      <c r="CO1929" s="5" t="s">
        <v>264</v>
      </c>
      <c r="CP1929" s="5" t="s">
        <v>240</v>
      </c>
      <c r="CQ1929" s="5">
        <v>0</v>
      </c>
      <c r="CR1929" s="5" t="s">
        <v>735</v>
      </c>
      <c r="CS1929" s="5" t="s">
        <v>307</v>
      </c>
      <c r="CT1929" s="5" t="s">
        <v>307</v>
      </c>
      <c r="CU1929" s="5" t="s">
        <v>260</v>
      </c>
      <c r="CV1929" s="5" t="s">
        <v>612</v>
      </c>
      <c r="CW1929" s="8">
        <f>1</f>
        <v>1</v>
      </c>
      <c r="CX1929" s="7">
        <f>1</f>
        <v>1</v>
      </c>
      <c r="CY1929" s="7">
        <f>0</f>
        <v>0</v>
      </c>
      <c r="DA1929" s="7">
        <f>1</f>
        <v>1</v>
      </c>
      <c r="DB1929" s="7" t="s">
        <v>240</v>
      </c>
      <c r="DC1929" s="5" t="s">
        <v>240</v>
      </c>
      <c r="DD1929" s="5" t="s">
        <v>240</v>
      </c>
      <c r="DE1929" s="5" t="s">
        <v>240</v>
      </c>
      <c r="DF1929" s="5" t="s">
        <v>240</v>
      </c>
      <c r="DG1929" s="7">
        <f>0</f>
        <v>0</v>
      </c>
      <c r="DI1929" s="5" t="s">
        <v>240</v>
      </c>
      <c r="DJ1929" s="5" t="s">
        <v>240</v>
      </c>
      <c r="DK1929" s="5" t="s">
        <v>240</v>
      </c>
      <c r="DL1929" s="5" t="s">
        <v>240</v>
      </c>
      <c r="DM1929" s="5" t="s">
        <v>240</v>
      </c>
      <c r="DN1929" s="5" t="s">
        <v>240</v>
      </c>
      <c r="DO1929" s="7" t="s">
        <v>240</v>
      </c>
      <c r="DP1929" s="5" t="s">
        <v>240</v>
      </c>
      <c r="DQ1929" s="5" t="s">
        <v>240</v>
      </c>
      <c r="DR1929" s="5" t="s">
        <v>731</v>
      </c>
      <c r="DS1929" s="5" t="s">
        <v>731</v>
      </c>
      <c r="DT1929" s="5" t="s">
        <v>240</v>
      </c>
      <c r="DU1929" s="5" t="s">
        <v>240</v>
      </c>
      <c r="DV1929" s="5" t="s">
        <v>3683</v>
      </c>
      <c r="DW1929" s="5" t="s">
        <v>360</v>
      </c>
      <c r="DX1929" s="5" t="s">
        <v>240</v>
      </c>
      <c r="DY1929" s="5" t="s">
        <v>240</v>
      </c>
      <c r="DZ1929" s="5" t="s">
        <v>240</v>
      </c>
      <c r="EA1929" s="5" t="s">
        <v>240</v>
      </c>
      <c r="EB1929" s="5" t="s">
        <v>240</v>
      </c>
      <c r="EC1929" s="5" t="s">
        <v>240</v>
      </c>
      <c r="ED1929" s="5" t="s">
        <v>240</v>
      </c>
      <c r="EE1929" s="5" t="s">
        <v>240</v>
      </c>
      <c r="EF1929" s="5" t="s">
        <v>240</v>
      </c>
      <c r="EG1929" s="5" t="s">
        <v>240</v>
      </c>
      <c r="EH1929" s="5" t="s">
        <v>240</v>
      </c>
      <c r="EI1929" s="5" t="s">
        <v>240</v>
      </c>
      <c r="EJ1929" s="5" t="s">
        <v>240</v>
      </c>
      <c r="EK1929" s="5" t="s">
        <v>240</v>
      </c>
      <c r="EL1929" s="5" t="s">
        <v>240</v>
      </c>
      <c r="EM1929" s="5" t="s">
        <v>240</v>
      </c>
      <c r="EN1929" s="5" t="s">
        <v>240</v>
      </c>
      <c r="EO1929" s="5" t="s">
        <v>240</v>
      </c>
      <c r="EP1929" s="5" t="s">
        <v>240</v>
      </c>
      <c r="EQ1929" s="5" t="s">
        <v>240</v>
      </c>
      <c r="ER1929" s="5" t="s">
        <v>240</v>
      </c>
      <c r="ES1929" s="5" t="s">
        <v>240</v>
      </c>
      <c r="ET1929" s="5" t="s">
        <v>240</v>
      </c>
      <c r="EU1929" s="5" t="s">
        <v>240</v>
      </c>
      <c r="EV1929" s="5" t="s">
        <v>240</v>
      </c>
      <c r="EW1929" s="5" t="s">
        <v>240</v>
      </c>
      <c r="EX1929" s="5" t="s">
        <v>240</v>
      </c>
      <c r="EY1929" s="5" t="s">
        <v>240</v>
      </c>
      <c r="EZ1929" s="5" t="s">
        <v>240</v>
      </c>
      <c r="FA1929" s="5" t="s">
        <v>240</v>
      </c>
      <c r="FB1929" s="5" t="s">
        <v>240</v>
      </c>
      <c r="FC1929" s="5" t="s">
        <v>240</v>
      </c>
      <c r="FD1929" s="5" t="s">
        <v>240</v>
      </c>
      <c r="FE1929" s="5" t="s">
        <v>240</v>
      </c>
      <c r="FF1929" s="5" t="s">
        <v>240</v>
      </c>
      <c r="FG1929" s="5" t="s">
        <v>240</v>
      </c>
      <c r="FH1929" s="5" t="s">
        <v>240</v>
      </c>
      <c r="FI1929" s="5" t="s">
        <v>240</v>
      </c>
      <c r="FJ1929" s="5" t="s">
        <v>240</v>
      </c>
      <c r="FK1929" s="5" t="s">
        <v>240</v>
      </c>
      <c r="FL1929" s="5" t="s">
        <v>240</v>
      </c>
      <c r="FM1929" s="5" t="s">
        <v>240</v>
      </c>
      <c r="FN1929" s="5" t="s">
        <v>240</v>
      </c>
      <c r="FO1929" s="5" t="s">
        <v>240</v>
      </c>
      <c r="FP1929" s="5" t="s">
        <v>240</v>
      </c>
      <c r="FQ1929" s="5" t="s">
        <v>240</v>
      </c>
      <c r="FR1929" s="5" t="s">
        <v>240</v>
      </c>
      <c r="FS1929" s="5" t="s">
        <v>240</v>
      </c>
      <c r="FT1929" s="5" t="s">
        <v>240</v>
      </c>
      <c r="FU1929" s="5" t="s">
        <v>240</v>
      </c>
      <c r="FV1929" s="5" t="s">
        <v>240</v>
      </c>
      <c r="FW1929" s="5" t="s">
        <v>240</v>
      </c>
      <c r="FX1929" s="5" t="s">
        <v>240</v>
      </c>
      <c r="FY1929" s="5" t="s">
        <v>240</v>
      </c>
      <c r="FZ1929" s="5" t="s">
        <v>240</v>
      </c>
      <c r="GA1929" s="5" t="s">
        <v>240</v>
      </c>
      <c r="GB1929" s="5" t="s">
        <v>240</v>
      </c>
      <c r="GC1929" s="5" t="s">
        <v>240</v>
      </c>
      <c r="GD1929" s="5" t="s">
        <v>240</v>
      </c>
      <c r="GE1929" s="5" t="s">
        <v>240</v>
      </c>
      <c r="GF1929" s="5" t="s">
        <v>240</v>
      </c>
      <c r="GG1929" s="5" t="s">
        <v>240</v>
      </c>
      <c r="GH1929" s="5" t="s">
        <v>240</v>
      </c>
      <c r="GI1929" s="5" t="s">
        <v>240</v>
      </c>
      <c r="GJ1929" s="5" t="s">
        <v>240</v>
      </c>
      <c r="GK1929" s="5" t="s">
        <v>240</v>
      </c>
      <c r="GL1929" s="5" t="s">
        <v>240</v>
      </c>
      <c r="GM1929" s="5" t="s">
        <v>240</v>
      </c>
      <c r="GN1929" s="5" t="s">
        <v>240</v>
      </c>
      <c r="GO1929" s="5" t="s">
        <v>240</v>
      </c>
      <c r="GP1929" s="5" t="s">
        <v>240</v>
      </c>
      <c r="GQ1929" s="5" t="s">
        <v>240</v>
      </c>
      <c r="GR1929" s="5" t="s">
        <v>240</v>
      </c>
      <c r="GS1929" s="5" t="s">
        <v>240</v>
      </c>
      <c r="GT1929" s="5" t="s">
        <v>240</v>
      </c>
      <c r="GU1929" s="5" t="s">
        <v>240</v>
      </c>
      <c r="GV1929" s="5" t="s">
        <v>240</v>
      </c>
      <c r="GW1929" s="5" t="s">
        <v>240</v>
      </c>
      <c r="GX1929" s="5" t="s">
        <v>240</v>
      </c>
      <c r="GY1929" s="5" t="s">
        <v>240</v>
      </c>
      <c r="GZ1929" s="5" t="s">
        <v>240</v>
      </c>
      <c r="HA1929" s="5" t="s">
        <v>240</v>
      </c>
      <c r="HB1929" s="5" t="s">
        <v>240</v>
      </c>
      <c r="HC1929" s="5" t="s">
        <v>240</v>
      </c>
      <c r="HD1929" s="5" t="s">
        <v>240</v>
      </c>
      <c r="HE1929" s="5" t="s">
        <v>240</v>
      </c>
      <c r="HF1929" s="5" t="s">
        <v>240</v>
      </c>
      <c r="HG1929" s="5" t="s">
        <v>240</v>
      </c>
      <c r="HH1929" s="5" t="s">
        <v>240</v>
      </c>
      <c r="HI1929" s="5" t="s">
        <v>240</v>
      </c>
      <c r="HJ1929" s="5" t="s">
        <v>240</v>
      </c>
      <c r="HK1929" s="5" t="s">
        <v>240</v>
      </c>
      <c r="HL1929" s="5" t="s">
        <v>240</v>
      </c>
      <c r="HM1929" s="5" t="s">
        <v>240</v>
      </c>
      <c r="HN1929" s="5" t="s">
        <v>240</v>
      </c>
      <c r="HO1929" s="5" t="s">
        <v>312</v>
      </c>
      <c r="HP1929" s="5" t="s">
        <v>240</v>
      </c>
      <c r="HQ1929" s="5" t="s">
        <v>240</v>
      </c>
      <c r="HR1929" s="5" t="s">
        <v>240</v>
      </c>
      <c r="HS1929" s="5" t="s">
        <v>240</v>
      </c>
      <c r="HT1929" s="5" t="s">
        <v>240</v>
      </c>
      <c r="HU1929" s="5" t="s">
        <v>240</v>
      </c>
      <c r="HV1929" s="5" t="s">
        <v>240</v>
      </c>
      <c r="HW1929" s="5" t="s">
        <v>240</v>
      </c>
      <c r="HX1929" s="5" t="s">
        <v>240</v>
      </c>
      <c r="HY1929" s="5" t="s">
        <v>240</v>
      </c>
      <c r="HZ1929" s="5" t="s">
        <v>240</v>
      </c>
      <c r="IA1929" s="5" t="s">
        <v>240</v>
      </c>
      <c r="IB1929" s="5" t="s">
        <v>240</v>
      </c>
      <c r="IC1929" s="5" t="s">
        <v>240</v>
      </c>
      <c r="ID1929" s="5" t="s">
        <v>240</v>
      </c>
      <c r="IE1929" s="5" t="s">
        <v>240</v>
      </c>
      <c r="IF1929" s="5" t="s">
        <v>240</v>
      </c>
    </row>
    <row r="1930" spans="1:240" x14ac:dyDescent="0.4">
      <c r="A1930" s="5">
        <v>3634</v>
      </c>
      <c r="B1930" s="5">
        <v>1</v>
      </c>
      <c r="C1930" s="5">
        <v>1</v>
      </c>
      <c r="D1930" s="5" t="s">
        <v>810</v>
      </c>
      <c r="E1930" s="5" t="s">
        <v>245</v>
      </c>
      <c r="F1930" s="5" t="s">
        <v>254</v>
      </c>
      <c r="G1930" s="5" t="s">
        <v>240</v>
      </c>
      <c r="H1930" s="6" t="s">
        <v>4360</v>
      </c>
      <c r="I1930" s="5" t="s">
        <v>809</v>
      </c>
      <c r="J1930" s="8">
        <f>1154</f>
        <v>1154</v>
      </c>
      <c r="K1930" s="5" t="s">
        <v>308</v>
      </c>
      <c r="L1930" s="7">
        <f>1</f>
        <v>1</v>
      </c>
      <c r="M1930" s="7">
        <f>1</f>
        <v>1</v>
      </c>
      <c r="N1930" s="5" t="s">
        <v>242</v>
      </c>
      <c r="O1930" s="5">
        <v>1</v>
      </c>
      <c r="P1930" s="5" t="s">
        <v>294</v>
      </c>
      <c r="Q1930" s="5" t="s">
        <v>266</v>
      </c>
      <c r="R1930" s="5" t="s">
        <v>240</v>
      </c>
      <c r="S1930" s="5" t="s">
        <v>240</v>
      </c>
      <c r="T1930" s="5" t="s">
        <v>296</v>
      </c>
      <c r="U1930" s="5" t="s">
        <v>244</v>
      </c>
      <c r="V1930" s="5" t="s">
        <v>240</v>
      </c>
      <c r="Y1930" s="5" t="s">
        <v>240</v>
      </c>
      <c r="Z1930" s="6" t="s">
        <v>298</v>
      </c>
      <c r="AB1930" s="6" t="s">
        <v>240</v>
      </c>
      <c r="AE1930" s="6" t="s">
        <v>299</v>
      </c>
      <c r="AF1930" s="5" t="s">
        <v>248</v>
      </c>
      <c r="AG1930" s="5" t="s">
        <v>249</v>
      </c>
      <c r="AW1930" s="5" t="s">
        <v>251</v>
      </c>
      <c r="AX1930" s="5" t="s">
        <v>240</v>
      </c>
      <c r="AY1930" s="5" t="s">
        <v>253</v>
      </c>
      <c r="AZ1930" s="5" t="s">
        <v>240</v>
      </c>
      <c r="BA1930" s="5" t="s">
        <v>255</v>
      </c>
      <c r="BB1930" s="5" t="s">
        <v>240</v>
      </c>
      <c r="BD1930" s="5" t="s">
        <v>240</v>
      </c>
      <c r="BF1930" s="5" t="s">
        <v>301</v>
      </c>
      <c r="BG1930" s="6" t="s">
        <v>299</v>
      </c>
      <c r="BH1930" s="5" t="s">
        <v>302</v>
      </c>
      <c r="BI1930" s="5" t="s">
        <v>303</v>
      </c>
      <c r="BJ1930" s="5" t="s">
        <v>240</v>
      </c>
      <c r="BK1930" s="8">
        <f>0</f>
        <v>0</v>
      </c>
      <c r="BL1930" s="7">
        <f>0</f>
        <v>0</v>
      </c>
      <c r="BM1930" s="5" t="s">
        <v>258</v>
      </c>
      <c r="BN1930" s="5" t="s">
        <v>259</v>
      </c>
      <c r="CB1930" s="5" t="s">
        <v>240</v>
      </c>
      <c r="CC1930" s="5" t="s">
        <v>240</v>
      </c>
      <c r="CG1930" s="5" t="s">
        <v>304</v>
      </c>
      <c r="CH1930" s="5" t="s">
        <v>305</v>
      </c>
      <c r="CI1930" s="5" t="s">
        <v>240</v>
      </c>
      <c r="CL1930" s="6" t="s">
        <v>261</v>
      </c>
      <c r="CM1930" s="5" t="s">
        <v>240</v>
      </c>
      <c r="CN1930" s="5" t="s">
        <v>263</v>
      </c>
      <c r="CO1930" s="5" t="s">
        <v>240</v>
      </c>
      <c r="CP1930" s="5" t="s">
        <v>240</v>
      </c>
      <c r="CQ1930" s="5">
        <v>0</v>
      </c>
      <c r="CR1930" s="5" t="s">
        <v>306</v>
      </c>
      <c r="CS1930" s="5" t="s">
        <v>307</v>
      </c>
      <c r="CT1930" s="5" t="s">
        <v>307</v>
      </c>
      <c r="CU1930" s="5" t="s">
        <v>260</v>
      </c>
      <c r="CX1930" s="7">
        <f>1</f>
        <v>1</v>
      </c>
      <c r="CY1930" s="7">
        <f>0</f>
        <v>0</v>
      </c>
      <c r="DA1930" s="7">
        <f>0</f>
        <v>0</v>
      </c>
      <c r="DC1930" s="5" t="s">
        <v>309</v>
      </c>
      <c r="DD1930" s="5" t="s">
        <v>240</v>
      </c>
      <c r="DF1930" s="5" t="s">
        <v>309</v>
      </c>
      <c r="DG1930" s="7">
        <f>8746</f>
        <v>8746</v>
      </c>
      <c r="DI1930" s="5" t="s">
        <v>240</v>
      </c>
      <c r="DJ1930" s="5" t="s">
        <v>240</v>
      </c>
      <c r="DK1930" s="5" t="s">
        <v>240</v>
      </c>
      <c r="DL1930" s="5" t="s">
        <v>240</v>
      </c>
      <c r="DP1930" s="5" t="s">
        <v>240</v>
      </c>
      <c r="DQ1930" s="5" t="s">
        <v>240</v>
      </c>
      <c r="DR1930" s="5" t="s">
        <v>240</v>
      </c>
      <c r="DS1930" s="5" t="s">
        <v>240</v>
      </c>
      <c r="DV1930" s="5" t="s">
        <v>310</v>
      </c>
      <c r="DW1930" s="5" t="s">
        <v>3842</v>
      </c>
      <c r="HO1930" s="5" t="s">
        <v>312</v>
      </c>
    </row>
    <row r="1931" spans="1:240" x14ac:dyDescent="0.4">
      <c r="A1931" s="5">
        <v>3635</v>
      </c>
      <c r="B1931" s="5">
        <v>1</v>
      </c>
      <c r="C1931" s="5">
        <v>1</v>
      </c>
      <c r="D1931" s="5" t="s">
        <v>810</v>
      </c>
      <c r="E1931" s="5" t="s">
        <v>245</v>
      </c>
      <c r="F1931" s="5" t="s">
        <v>254</v>
      </c>
      <c r="G1931" s="5" t="s">
        <v>240</v>
      </c>
      <c r="H1931" s="6" t="s">
        <v>4359</v>
      </c>
      <c r="I1931" s="5" t="s">
        <v>809</v>
      </c>
      <c r="J1931" s="8">
        <f>1093</f>
        <v>1093</v>
      </c>
      <c r="K1931" s="5" t="s">
        <v>308</v>
      </c>
      <c r="L1931" s="7">
        <f>1</f>
        <v>1</v>
      </c>
      <c r="M1931" s="7">
        <f>1</f>
        <v>1</v>
      </c>
      <c r="N1931" s="5" t="s">
        <v>242</v>
      </c>
      <c r="O1931" s="5">
        <v>1</v>
      </c>
      <c r="P1931" s="5" t="s">
        <v>294</v>
      </c>
      <c r="Q1931" s="5" t="s">
        <v>266</v>
      </c>
      <c r="R1931" s="5" t="s">
        <v>240</v>
      </c>
      <c r="S1931" s="5" t="s">
        <v>240</v>
      </c>
      <c r="T1931" s="5" t="s">
        <v>296</v>
      </c>
      <c r="U1931" s="5" t="s">
        <v>244</v>
      </c>
      <c r="V1931" s="5" t="s">
        <v>240</v>
      </c>
      <c r="Y1931" s="5" t="s">
        <v>240</v>
      </c>
      <c r="Z1931" s="6" t="s">
        <v>298</v>
      </c>
      <c r="AB1931" s="6" t="s">
        <v>240</v>
      </c>
      <c r="AE1931" s="6" t="s">
        <v>299</v>
      </c>
      <c r="AF1931" s="5" t="s">
        <v>248</v>
      </c>
      <c r="AG1931" s="5" t="s">
        <v>249</v>
      </c>
      <c r="AW1931" s="5" t="s">
        <v>251</v>
      </c>
      <c r="AX1931" s="5" t="s">
        <v>240</v>
      </c>
      <c r="AY1931" s="5" t="s">
        <v>253</v>
      </c>
      <c r="AZ1931" s="5" t="s">
        <v>240</v>
      </c>
      <c r="BA1931" s="5" t="s">
        <v>255</v>
      </c>
      <c r="BB1931" s="5" t="s">
        <v>240</v>
      </c>
      <c r="BD1931" s="5" t="s">
        <v>240</v>
      </c>
      <c r="BF1931" s="5" t="s">
        <v>301</v>
      </c>
      <c r="BG1931" s="6" t="s">
        <v>299</v>
      </c>
      <c r="BH1931" s="5" t="s">
        <v>302</v>
      </c>
      <c r="BI1931" s="5" t="s">
        <v>303</v>
      </c>
      <c r="BJ1931" s="5" t="s">
        <v>240</v>
      </c>
      <c r="BK1931" s="8">
        <f>0</f>
        <v>0</v>
      </c>
      <c r="BL1931" s="7">
        <f>0</f>
        <v>0</v>
      </c>
      <c r="BM1931" s="5" t="s">
        <v>258</v>
      </c>
      <c r="BN1931" s="5" t="s">
        <v>259</v>
      </c>
      <c r="CB1931" s="5" t="s">
        <v>240</v>
      </c>
      <c r="CC1931" s="5" t="s">
        <v>240</v>
      </c>
      <c r="CG1931" s="5" t="s">
        <v>304</v>
      </c>
      <c r="CH1931" s="5" t="s">
        <v>305</v>
      </c>
      <c r="CI1931" s="5" t="s">
        <v>240</v>
      </c>
      <c r="CL1931" s="6" t="s">
        <v>261</v>
      </c>
      <c r="CM1931" s="5" t="s">
        <v>240</v>
      </c>
      <c r="CN1931" s="5" t="s">
        <v>263</v>
      </c>
      <c r="CO1931" s="5" t="s">
        <v>240</v>
      </c>
      <c r="CP1931" s="5" t="s">
        <v>240</v>
      </c>
      <c r="CQ1931" s="5">
        <v>0</v>
      </c>
      <c r="CR1931" s="5" t="s">
        <v>306</v>
      </c>
      <c r="CS1931" s="5" t="s">
        <v>307</v>
      </c>
      <c r="CT1931" s="5" t="s">
        <v>307</v>
      </c>
      <c r="CU1931" s="5" t="s">
        <v>260</v>
      </c>
      <c r="CX1931" s="7">
        <f>1</f>
        <v>1</v>
      </c>
      <c r="CY1931" s="7">
        <f>0</f>
        <v>0</v>
      </c>
      <c r="DA1931" s="7">
        <f>0</f>
        <v>0</v>
      </c>
      <c r="DC1931" s="5" t="s">
        <v>309</v>
      </c>
      <c r="DD1931" s="5" t="s">
        <v>240</v>
      </c>
      <c r="DF1931" s="5" t="s">
        <v>309</v>
      </c>
      <c r="DG1931" s="7">
        <f>3558</f>
        <v>3558</v>
      </c>
      <c r="DI1931" s="5" t="s">
        <v>240</v>
      </c>
      <c r="DJ1931" s="5" t="s">
        <v>240</v>
      </c>
      <c r="DK1931" s="5" t="s">
        <v>240</v>
      </c>
      <c r="DL1931" s="5" t="s">
        <v>240</v>
      </c>
      <c r="DP1931" s="5" t="s">
        <v>240</v>
      </c>
      <c r="DQ1931" s="5" t="s">
        <v>240</v>
      </c>
      <c r="DR1931" s="5" t="s">
        <v>240</v>
      </c>
      <c r="DS1931" s="5" t="s">
        <v>240</v>
      </c>
      <c r="DV1931" s="5" t="s">
        <v>310</v>
      </c>
      <c r="DW1931" s="5" t="s">
        <v>3840</v>
      </c>
      <c r="HO1931" s="5" t="s">
        <v>312</v>
      </c>
    </row>
    <row r="1932" spans="1:240" x14ac:dyDescent="0.4">
      <c r="A1932" s="5">
        <v>3636</v>
      </c>
      <c r="B1932" s="5">
        <v>1</v>
      </c>
      <c r="C1932" s="5">
        <v>1</v>
      </c>
      <c r="D1932" s="5" t="s">
        <v>810</v>
      </c>
      <c r="E1932" s="5" t="s">
        <v>245</v>
      </c>
      <c r="F1932" s="5" t="s">
        <v>254</v>
      </c>
      <c r="G1932" s="5" t="s">
        <v>240</v>
      </c>
      <c r="H1932" s="6" t="s">
        <v>4358</v>
      </c>
      <c r="I1932" s="5" t="s">
        <v>809</v>
      </c>
      <c r="J1932" s="8">
        <f>2184</f>
        <v>2184</v>
      </c>
      <c r="K1932" s="5" t="s">
        <v>308</v>
      </c>
      <c r="L1932" s="7">
        <f>1</f>
        <v>1</v>
      </c>
      <c r="M1932" s="7">
        <f>1</f>
        <v>1</v>
      </c>
      <c r="N1932" s="5" t="s">
        <v>242</v>
      </c>
      <c r="O1932" s="5">
        <v>1</v>
      </c>
      <c r="P1932" s="5" t="s">
        <v>294</v>
      </c>
      <c r="Q1932" s="5" t="s">
        <v>266</v>
      </c>
      <c r="R1932" s="5" t="s">
        <v>240</v>
      </c>
      <c r="S1932" s="5" t="s">
        <v>240</v>
      </c>
      <c r="T1932" s="5" t="s">
        <v>296</v>
      </c>
      <c r="U1932" s="5" t="s">
        <v>244</v>
      </c>
      <c r="V1932" s="5" t="s">
        <v>240</v>
      </c>
      <c r="Y1932" s="5" t="s">
        <v>240</v>
      </c>
      <c r="Z1932" s="6" t="s">
        <v>298</v>
      </c>
      <c r="AB1932" s="6" t="s">
        <v>240</v>
      </c>
      <c r="AE1932" s="6" t="s">
        <v>299</v>
      </c>
      <c r="AF1932" s="5" t="s">
        <v>248</v>
      </c>
      <c r="AG1932" s="5" t="s">
        <v>249</v>
      </c>
      <c r="AW1932" s="5" t="s">
        <v>251</v>
      </c>
      <c r="AX1932" s="5" t="s">
        <v>240</v>
      </c>
      <c r="AY1932" s="5" t="s">
        <v>253</v>
      </c>
      <c r="AZ1932" s="5" t="s">
        <v>240</v>
      </c>
      <c r="BA1932" s="5" t="s">
        <v>255</v>
      </c>
      <c r="BB1932" s="5" t="s">
        <v>240</v>
      </c>
      <c r="BD1932" s="5" t="s">
        <v>240</v>
      </c>
      <c r="BF1932" s="5" t="s">
        <v>301</v>
      </c>
      <c r="BG1932" s="6" t="s">
        <v>299</v>
      </c>
      <c r="BH1932" s="5" t="s">
        <v>302</v>
      </c>
      <c r="BI1932" s="5" t="s">
        <v>303</v>
      </c>
      <c r="BJ1932" s="5" t="s">
        <v>240</v>
      </c>
      <c r="BK1932" s="8">
        <f>0</f>
        <v>0</v>
      </c>
      <c r="BL1932" s="7">
        <f>0</f>
        <v>0</v>
      </c>
      <c r="BM1932" s="5" t="s">
        <v>258</v>
      </c>
      <c r="BN1932" s="5" t="s">
        <v>259</v>
      </c>
      <c r="CB1932" s="5" t="s">
        <v>240</v>
      </c>
      <c r="CC1932" s="5" t="s">
        <v>240</v>
      </c>
      <c r="CG1932" s="5" t="s">
        <v>304</v>
      </c>
      <c r="CH1932" s="5" t="s">
        <v>305</v>
      </c>
      <c r="CI1932" s="5" t="s">
        <v>240</v>
      </c>
      <c r="CL1932" s="6" t="s">
        <v>261</v>
      </c>
      <c r="CM1932" s="5" t="s">
        <v>240</v>
      </c>
      <c r="CN1932" s="5" t="s">
        <v>263</v>
      </c>
      <c r="CO1932" s="5" t="s">
        <v>240</v>
      </c>
      <c r="CP1932" s="5" t="s">
        <v>240</v>
      </c>
      <c r="CQ1932" s="5">
        <v>0</v>
      </c>
      <c r="CR1932" s="5" t="s">
        <v>306</v>
      </c>
      <c r="CS1932" s="5" t="s">
        <v>307</v>
      </c>
      <c r="CT1932" s="5" t="s">
        <v>307</v>
      </c>
      <c r="CU1932" s="5" t="s">
        <v>260</v>
      </c>
      <c r="CX1932" s="7">
        <f>1</f>
        <v>1</v>
      </c>
      <c r="CY1932" s="7">
        <f>0</f>
        <v>0</v>
      </c>
      <c r="DA1932" s="7">
        <f>0</f>
        <v>0</v>
      </c>
      <c r="DC1932" s="5" t="s">
        <v>812</v>
      </c>
      <c r="DD1932" s="5" t="s">
        <v>240</v>
      </c>
      <c r="DF1932" s="5" t="s">
        <v>812</v>
      </c>
      <c r="DG1932" s="7">
        <f>526</f>
        <v>526</v>
      </c>
      <c r="DI1932" s="5" t="s">
        <v>240</v>
      </c>
      <c r="DJ1932" s="5" t="s">
        <v>240</v>
      </c>
      <c r="DK1932" s="5" t="s">
        <v>240</v>
      </c>
      <c r="DL1932" s="5" t="s">
        <v>240</v>
      </c>
      <c r="DP1932" s="5" t="s">
        <v>240</v>
      </c>
      <c r="DQ1932" s="5" t="s">
        <v>240</v>
      </c>
      <c r="DR1932" s="5" t="s">
        <v>240</v>
      </c>
      <c r="DS1932" s="5" t="s">
        <v>240</v>
      </c>
      <c r="DV1932" s="5" t="s">
        <v>813</v>
      </c>
      <c r="DW1932" s="5" t="s">
        <v>3956</v>
      </c>
      <c r="HO1932" s="5" t="s">
        <v>312</v>
      </c>
    </row>
    <row r="1933" spans="1:240" x14ac:dyDescent="0.4">
      <c r="A1933" s="5">
        <v>3637</v>
      </c>
      <c r="B1933" s="5">
        <v>1</v>
      </c>
      <c r="C1933" s="5">
        <v>1</v>
      </c>
      <c r="D1933" s="5" t="s">
        <v>810</v>
      </c>
      <c r="E1933" s="5" t="s">
        <v>245</v>
      </c>
      <c r="F1933" s="5" t="s">
        <v>254</v>
      </c>
      <c r="G1933" s="5" t="s">
        <v>240</v>
      </c>
      <c r="H1933" s="6" t="s">
        <v>4357</v>
      </c>
      <c r="I1933" s="5" t="s">
        <v>809</v>
      </c>
      <c r="J1933" s="8">
        <f>1398</f>
        <v>1398</v>
      </c>
      <c r="K1933" s="5" t="s">
        <v>308</v>
      </c>
      <c r="L1933" s="7">
        <f>1</f>
        <v>1</v>
      </c>
      <c r="M1933" s="7">
        <f>1</f>
        <v>1</v>
      </c>
      <c r="N1933" s="5" t="s">
        <v>242</v>
      </c>
      <c r="O1933" s="5">
        <v>1</v>
      </c>
      <c r="P1933" s="5" t="s">
        <v>294</v>
      </c>
      <c r="Q1933" s="5" t="s">
        <v>266</v>
      </c>
      <c r="R1933" s="5" t="s">
        <v>240</v>
      </c>
      <c r="S1933" s="5" t="s">
        <v>240</v>
      </c>
      <c r="T1933" s="5" t="s">
        <v>296</v>
      </c>
      <c r="U1933" s="5" t="s">
        <v>244</v>
      </c>
      <c r="V1933" s="5" t="s">
        <v>240</v>
      </c>
      <c r="Y1933" s="5" t="s">
        <v>240</v>
      </c>
      <c r="Z1933" s="6" t="s">
        <v>298</v>
      </c>
      <c r="AB1933" s="6" t="s">
        <v>240</v>
      </c>
      <c r="AE1933" s="6" t="s">
        <v>299</v>
      </c>
      <c r="AF1933" s="5" t="s">
        <v>248</v>
      </c>
      <c r="AG1933" s="5" t="s">
        <v>249</v>
      </c>
      <c r="AW1933" s="5" t="s">
        <v>251</v>
      </c>
      <c r="AX1933" s="5" t="s">
        <v>240</v>
      </c>
      <c r="AY1933" s="5" t="s">
        <v>253</v>
      </c>
      <c r="AZ1933" s="5" t="s">
        <v>240</v>
      </c>
      <c r="BA1933" s="5" t="s">
        <v>255</v>
      </c>
      <c r="BB1933" s="5" t="s">
        <v>240</v>
      </c>
      <c r="BD1933" s="5" t="s">
        <v>240</v>
      </c>
      <c r="BF1933" s="5" t="s">
        <v>301</v>
      </c>
      <c r="BG1933" s="6" t="s">
        <v>299</v>
      </c>
      <c r="BH1933" s="5" t="s">
        <v>302</v>
      </c>
      <c r="BI1933" s="5" t="s">
        <v>303</v>
      </c>
      <c r="BJ1933" s="5" t="s">
        <v>240</v>
      </c>
      <c r="BK1933" s="8">
        <f>0</f>
        <v>0</v>
      </c>
      <c r="BL1933" s="7">
        <f>0</f>
        <v>0</v>
      </c>
      <c r="BM1933" s="5" t="s">
        <v>258</v>
      </c>
      <c r="BN1933" s="5" t="s">
        <v>259</v>
      </c>
      <c r="CB1933" s="5" t="s">
        <v>240</v>
      </c>
      <c r="CC1933" s="5" t="s">
        <v>240</v>
      </c>
      <c r="CG1933" s="5" t="s">
        <v>304</v>
      </c>
      <c r="CH1933" s="5" t="s">
        <v>305</v>
      </c>
      <c r="CI1933" s="5" t="s">
        <v>240</v>
      </c>
      <c r="CL1933" s="6" t="s">
        <v>261</v>
      </c>
      <c r="CM1933" s="5" t="s">
        <v>240</v>
      </c>
      <c r="CN1933" s="5" t="s">
        <v>263</v>
      </c>
      <c r="CO1933" s="5" t="s">
        <v>240</v>
      </c>
      <c r="CP1933" s="5" t="s">
        <v>240</v>
      </c>
      <c r="CQ1933" s="5">
        <v>0</v>
      </c>
      <c r="CR1933" s="5" t="s">
        <v>306</v>
      </c>
      <c r="CS1933" s="5" t="s">
        <v>307</v>
      </c>
      <c r="CT1933" s="5" t="s">
        <v>307</v>
      </c>
      <c r="CU1933" s="5" t="s">
        <v>260</v>
      </c>
      <c r="CX1933" s="7">
        <f>1</f>
        <v>1</v>
      </c>
      <c r="CY1933" s="7">
        <f>0</f>
        <v>0</v>
      </c>
      <c r="DA1933" s="7">
        <f>0</f>
        <v>0</v>
      </c>
      <c r="DC1933" s="5" t="s">
        <v>812</v>
      </c>
      <c r="DD1933" s="5" t="s">
        <v>240</v>
      </c>
      <c r="DF1933" s="5" t="s">
        <v>812</v>
      </c>
      <c r="DG1933" s="7">
        <f>499</f>
        <v>499</v>
      </c>
      <c r="DI1933" s="5" t="s">
        <v>240</v>
      </c>
      <c r="DJ1933" s="5" t="s">
        <v>240</v>
      </c>
      <c r="DK1933" s="5" t="s">
        <v>240</v>
      </c>
      <c r="DL1933" s="5" t="s">
        <v>240</v>
      </c>
      <c r="DP1933" s="5" t="s">
        <v>240</v>
      </c>
      <c r="DQ1933" s="5" t="s">
        <v>240</v>
      </c>
      <c r="DR1933" s="5" t="s">
        <v>240</v>
      </c>
      <c r="DS1933" s="5" t="s">
        <v>240</v>
      </c>
      <c r="DV1933" s="5" t="s">
        <v>813</v>
      </c>
      <c r="DW1933" s="5" t="s">
        <v>3958</v>
      </c>
      <c r="HO1933" s="5" t="s">
        <v>312</v>
      </c>
    </row>
    <row r="1934" spans="1:240" x14ac:dyDescent="0.4">
      <c r="A1934" s="5">
        <v>3638</v>
      </c>
      <c r="B1934" s="5">
        <v>1</v>
      </c>
      <c r="C1934" s="5">
        <v>1</v>
      </c>
      <c r="D1934" s="5" t="s">
        <v>810</v>
      </c>
      <c r="E1934" s="5" t="s">
        <v>245</v>
      </c>
      <c r="F1934" s="5" t="s">
        <v>254</v>
      </c>
      <c r="G1934" s="5" t="s">
        <v>240</v>
      </c>
      <c r="H1934" s="6" t="s">
        <v>4356</v>
      </c>
      <c r="I1934" s="5" t="s">
        <v>809</v>
      </c>
      <c r="J1934" s="8">
        <f>4614</f>
        <v>4614</v>
      </c>
      <c r="K1934" s="5" t="s">
        <v>308</v>
      </c>
      <c r="L1934" s="7">
        <f>1</f>
        <v>1</v>
      </c>
      <c r="M1934" s="7">
        <f>1</f>
        <v>1</v>
      </c>
      <c r="N1934" s="5" t="s">
        <v>242</v>
      </c>
      <c r="O1934" s="5">
        <v>1</v>
      </c>
      <c r="P1934" s="5" t="s">
        <v>294</v>
      </c>
      <c r="Q1934" s="5" t="s">
        <v>266</v>
      </c>
      <c r="R1934" s="5" t="s">
        <v>240</v>
      </c>
      <c r="S1934" s="5" t="s">
        <v>240</v>
      </c>
      <c r="T1934" s="5" t="s">
        <v>296</v>
      </c>
      <c r="U1934" s="5" t="s">
        <v>244</v>
      </c>
      <c r="V1934" s="5" t="s">
        <v>240</v>
      </c>
      <c r="Y1934" s="5" t="s">
        <v>240</v>
      </c>
      <c r="Z1934" s="6" t="s">
        <v>298</v>
      </c>
      <c r="AB1934" s="6" t="s">
        <v>240</v>
      </c>
      <c r="AE1934" s="6" t="s">
        <v>299</v>
      </c>
      <c r="AF1934" s="5" t="s">
        <v>248</v>
      </c>
      <c r="AG1934" s="5" t="s">
        <v>249</v>
      </c>
      <c r="AW1934" s="5" t="s">
        <v>251</v>
      </c>
      <c r="AX1934" s="5" t="s">
        <v>240</v>
      </c>
      <c r="AY1934" s="5" t="s">
        <v>253</v>
      </c>
      <c r="AZ1934" s="5" t="s">
        <v>240</v>
      </c>
      <c r="BA1934" s="5" t="s">
        <v>255</v>
      </c>
      <c r="BB1934" s="5" t="s">
        <v>240</v>
      </c>
      <c r="BD1934" s="5" t="s">
        <v>240</v>
      </c>
      <c r="BF1934" s="5" t="s">
        <v>301</v>
      </c>
      <c r="BG1934" s="6" t="s">
        <v>299</v>
      </c>
      <c r="BH1934" s="5" t="s">
        <v>302</v>
      </c>
      <c r="BI1934" s="5" t="s">
        <v>303</v>
      </c>
      <c r="BJ1934" s="5" t="s">
        <v>240</v>
      </c>
      <c r="BK1934" s="8">
        <f>0</f>
        <v>0</v>
      </c>
      <c r="BL1934" s="7">
        <f>0</f>
        <v>0</v>
      </c>
      <c r="BM1934" s="5" t="s">
        <v>258</v>
      </c>
      <c r="BN1934" s="5" t="s">
        <v>259</v>
      </c>
      <c r="CB1934" s="5" t="s">
        <v>240</v>
      </c>
      <c r="CC1934" s="5" t="s">
        <v>240</v>
      </c>
      <c r="CG1934" s="5" t="s">
        <v>304</v>
      </c>
      <c r="CH1934" s="5" t="s">
        <v>305</v>
      </c>
      <c r="CI1934" s="5" t="s">
        <v>240</v>
      </c>
      <c r="CL1934" s="6" t="s">
        <v>261</v>
      </c>
      <c r="CM1934" s="5" t="s">
        <v>240</v>
      </c>
      <c r="CN1934" s="5" t="s">
        <v>263</v>
      </c>
      <c r="CO1934" s="5" t="s">
        <v>240</v>
      </c>
      <c r="CP1934" s="5" t="s">
        <v>240</v>
      </c>
      <c r="CQ1934" s="5">
        <v>0</v>
      </c>
      <c r="CR1934" s="5" t="s">
        <v>306</v>
      </c>
      <c r="CS1934" s="5" t="s">
        <v>307</v>
      </c>
      <c r="CT1934" s="5" t="s">
        <v>307</v>
      </c>
      <c r="CU1934" s="5" t="s">
        <v>260</v>
      </c>
      <c r="CX1934" s="7">
        <f>1</f>
        <v>1</v>
      </c>
      <c r="CY1934" s="7">
        <f>0</f>
        <v>0</v>
      </c>
      <c r="DA1934" s="7">
        <f>0</f>
        <v>0</v>
      </c>
      <c r="DC1934" s="5" t="s">
        <v>309</v>
      </c>
      <c r="DD1934" s="5" t="s">
        <v>240</v>
      </c>
      <c r="DF1934" s="5" t="s">
        <v>309</v>
      </c>
      <c r="DG1934" s="7">
        <f>2760</f>
        <v>2760</v>
      </c>
      <c r="DI1934" s="5" t="s">
        <v>240</v>
      </c>
      <c r="DJ1934" s="5" t="s">
        <v>240</v>
      </c>
      <c r="DK1934" s="5" t="s">
        <v>240</v>
      </c>
      <c r="DL1934" s="5" t="s">
        <v>240</v>
      </c>
      <c r="DP1934" s="5" t="s">
        <v>240</v>
      </c>
      <c r="DQ1934" s="5" t="s">
        <v>240</v>
      </c>
      <c r="DR1934" s="5" t="s">
        <v>240</v>
      </c>
      <c r="DS1934" s="5" t="s">
        <v>240</v>
      </c>
      <c r="DV1934" s="5" t="s">
        <v>310</v>
      </c>
      <c r="DW1934" s="5" t="s">
        <v>3838</v>
      </c>
      <c r="HO1934" s="5" t="s">
        <v>312</v>
      </c>
    </row>
    <row r="1935" spans="1:240" x14ac:dyDescent="0.4">
      <c r="A1935" s="5">
        <v>3639</v>
      </c>
      <c r="B1935" s="5">
        <v>1</v>
      </c>
      <c r="C1935" s="5">
        <v>1</v>
      </c>
      <c r="D1935" s="5" t="s">
        <v>810</v>
      </c>
      <c r="E1935" s="5" t="s">
        <v>245</v>
      </c>
      <c r="F1935" s="5" t="s">
        <v>254</v>
      </c>
      <c r="G1935" s="5" t="s">
        <v>240</v>
      </c>
      <c r="H1935" s="6" t="s">
        <v>4355</v>
      </c>
      <c r="I1935" s="5" t="s">
        <v>809</v>
      </c>
      <c r="J1935" s="8">
        <f>1267</f>
        <v>1267</v>
      </c>
      <c r="K1935" s="5" t="s">
        <v>308</v>
      </c>
      <c r="L1935" s="7">
        <f>1</f>
        <v>1</v>
      </c>
      <c r="M1935" s="7">
        <f>1</f>
        <v>1</v>
      </c>
      <c r="N1935" s="5" t="s">
        <v>242</v>
      </c>
      <c r="O1935" s="5">
        <v>1</v>
      </c>
      <c r="P1935" s="5" t="s">
        <v>294</v>
      </c>
      <c r="Q1935" s="5" t="s">
        <v>266</v>
      </c>
      <c r="R1935" s="5" t="s">
        <v>240</v>
      </c>
      <c r="S1935" s="5" t="s">
        <v>240</v>
      </c>
      <c r="T1935" s="5" t="s">
        <v>296</v>
      </c>
      <c r="U1935" s="5" t="s">
        <v>244</v>
      </c>
      <c r="V1935" s="5" t="s">
        <v>240</v>
      </c>
      <c r="Y1935" s="5" t="s">
        <v>240</v>
      </c>
      <c r="Z1935" s="6" t="s">
        <v>298</v>
      </c>
      <c r="AB1935" s="6" t="s">
        <v>240</v>
      </c>
      <c r="AE1935" s="6" t="s">
        <v>299</v>
      </c>
      <c r="AF1935" s="5" t="s">
        <v>248</v>
      </c>
      <c r="AG1935" s="5" t="s">
        <v>249</v>
      </c>
      <c r="AW1935" s="5" t="s">
        <v>251</v>
      </c>
      <c r="AX1935" s="5" t="s">
        <v>240</v>
      </c>
      <c r="AY1935" s="5" t="s">
        <v>253</v>
      </c>
      <c r="AZ1935" s="5" t="s">
        <v>240</v>
      </c>
      <c r="BA1935" s="5" t="s">
        <v>255</v>
      </c>
      <c r="BB1935" s="5" t="s">
        <v>240</v>
      </c>
      <c r="BD1935" s="5" t="s">
        <v>240</v>
      </c>
      <c r="BF1935" s="5" t="s">
        <v>301</v>
      </c>
      <c r="BG1935" s="6" t="s">
        <v>299</v>
      </c>
      <c r="BH1935" s="5" t="s">
        <v>302</v>
      </c>
      <c r="BI1935" s="5" t="s">
        <v>303</v>
      </c>
      <c r="BJ1935" s="5" t="s">
        <v>240</v>
      </c>
      <c r="BK1935" s="8">
        <f>0</f>
        <v>0</v>
      </c>
      <c r="BL1935" s="7">
        <f>0</f>
        <v>0</v>
      </c>
      <c r="BM1935" s="5" t="s">
        <v>258</v>
      </c>
      <c r="BN1935" s="5" t="s">
        <v>259</v>
      </c>
      <c r="CB1935" s="5" t="s">
        <v>240</v>
      </c>
      <c r="CC1935" s="5" t="s">
        <v>240</v>
      </c>
      <c r="CG1935" s="5" t="s">
        <v>304</v>
      </c>
      <c r="CH1935" s="5" t="s">
        <v>305</v>
      </c>
      <c r="CI1935" s="5" t="s">
        <v>240</v>
      </c>
      <c r="CL1935" s="6" t="s">
        <v>261</v>
      </c>
      <c r="CM1935" s="5" t="s">
        <v>240</v>
      </c>
      <c r="CN1935" s="5" t="s">
        <v>263</v>
      </c>
      <c r="CO1935" s="5" t="s">
        <v>240</v>
      </c>
      <c r="CP1935" s="5" t="s">
        <v>240</v>
      </c>
      <c r="CQ1935" s="5">
        <v>0</v>
      </c>
      <c r="CR1935" s="5" t="s">
        <v>306</v>
      </c>
      <c r="CS1935" s="5" t="s">
        <v>307</v>
      </c>
      <c r="CT1935" s="5" t="s">
        <v>307</v>
      </c>
      <c r="CU1935" s="5" t="s">
        <v>260</v>
      </c>
      <c r="CX1935" s="7">
        <f>1</f>
        <v>1</v>
      </c>
      <c r="CY1935" s="7">
        <f>0</f>
        <v>0</v>
      </c>
      <c r="DA1935" s="7">
        <f>0</f>
        <v>0</v>
      </c>
      <c r="DC1935" s="5" t="s">
        <v>812</v>
      </c>
      <c r="DD1935" s="5" t="s">
        <v>240</v>
      </c>
      <c r="DF1935" s="5" t="s">
        <v>812</v>
      </c>
      <c r="DG1935" s="7">
        <f>667</f>
        <v>667</v>
      </c>
      <c r="DI1935" s="5" t="s">
        <v>240</v>
      </c>
      <c r="DJ1935" s="5" t="s">
        <v>240</v>
      </c>
      <c r="DK1935" s="5" t="s">
        <v>240</v>
      </c>
      <c r="DL1935" s="5" t="s">
        <v>240</v>
      </c>
      <c r="DP1935" s="5" t="s">
        <v>240</v>
      </c>
      <c r="DQ1935" s="5" t="s">
        <v>240</v>
      </c>
      <c r="DR1935" s="5" t="s">
        <v>240</v>
      </c>
      <c r="DS1935" s="5" t="s">
        <v>240</v>
      </c>
      <c r="DV1935" s="5" t="s">
        <v>813</v>
      </c>
      <c r="DW1935" s="5" t="s">
        <v>3961</v>
      </c>
      <c r="HO1935" s="5" t="s">
        <v>312</v>
      </c>
    </row>
    <row r="1936" spans="1:240" x14ac:dyDescent="0.4">
      <c r="A1936" s="5">
        <v>3640</v>
      </c>
      <c r="B1936" s="5">
        <v>1</v>
      </c>
      <c r="C1936" s="5">
        <v>1</v>
      </c>
      <c r="D1936" s="5" t="s">
        <v>810</v>
      </c>
      <c r="E1936" s="5" t="s">
        <v>245</v>
      </c>
      <c r="F1936" s="5" t="s">
        <v>254</v>
      </c>
      <c r="G1936" s="5" t="s">
        <v>240</v>
      </c>
      <c r="H1936" s="6" t="s">
        <v>4354</v>
      </c>
      <c r="I1936" s="5" t="s">
        <v>809</v>
      </c>
      <c r="J1936" s="8">
        <f>2284</f>
        <v>2284</v>
      </c>
      <c r="K1936" s="5" t="s">
        <v>308</v>
      </c>
      <c r="L1936" s="7">
        <f>1</f>
        <v>1</v>
      </c>
      <c r="M1936" s="7">
        <f>1</f>
        <v>1</v>
      </c>
      <c r="N1936" s="5" t="s">
        <v>242</v>
      </c>
      <c r="O1936" s="5">
        <v>1</v>
      </c>
      <c r="P1936" s="5" t="s">
        <v>294</v>
      </c>
      <c r="Q1936" s="5" t="s">
        <v>266</v>
      </c>
      <c r="R1936" s="5" t="s">
        <v>240</v>
      </c>
      <c r="S1936" s="5" t="s">
        <v>240</v>
      </c>
      <c r="T1936" s="5" t="s">
        <v>296</v>
      </c>
      <c r="U1936" s="5" t="s">
        <v>244</v>
      </c>
      <c r="V1936" s="5" t="s">
        <v>240</v>
      </c>
      <c r="Y1936" s="5" t="s">
        <v>240</v>
      </c>
      <c r="Z1936" s="6" t="s">
        <v>298</v>
      </c>
      <c r="AB1936" s="6" t="s">
        <v>240</v>
      </c>
      <c r="AE1936" s="6" t="s">
        <v>299</v>
      </c>
      <c r="AF1936" s="5" t="s">
        <v>248</v>
      </c>
      <c r="AG1936" s="5" t="s">
        <v>249</v>
      </c>
      <c r="AW1936" s="5" t="s">
        <v>251</v>
      </c>
      <c r="AX1936" s="5" t="s">
        <v>240</v>
      </c>
      <c r="AY1936" s="5" t="s">
        <v>253</v>
      </c>
      <c r="AZ1936" s="5" t="s">
        <v>240</v>
      </c>
      <c r="BA1936" s="5" t="s">
        <v>255</v>
      </c>
      <c r="BB1936" s="5" t="s">
        <v>240</v>
      </c>
      <c r="BD1936" s="5" t="s">
        <v>240</v>
      </c>
      <c r="BF1936" s="5" t="s">
        <v>301</v>
      </c>
      <c r="BG1936" s="6" t="s">
        <v>299</v>
      </c>
      <c r="BH1936" s="5" t="s">
        <v>302</v>
      </c>
      <c r="BI1936" s="5" t="s">
        <v>303</v>
      </c>
      <c r="BJ1936" s="5" t="s">
        <v>240</v>
      </c>
      <c r="BK1936" s="8">
        <f>0</f>
        <v>0</v>
      </c>
      <c r="BL1936" s="7">
        <f>0</f>
        <v>0</v>
      </c>
      <c r="BM1936" s="5" t="s">
        <v>258</v>
      </c>
      <c r="BN1936" s="5" t="s">
        <v>259</v>
      </c>
      <c r="CB1936" s="5" t="s">
        <v>240</v>
      </c>
      <c r="CC1936" s="5" t="s">
        <v>240</v>
      </c>
      <c r="CG1936" s="5" t="s">
        <v>304</v>
      </c>
      <c r="CH1936" s="5" t="s">
        <v>305</v>
      </c>
      <c r="CI1936" s="5" t="s">
        <v>240</v>
      </c>
      <c r="CL1936" s="6" t="s">
        <v>261</v>
      </c>
      <c r="CM1936" s="5" t="s">
        <v>240</v>
      </c>
      <c r="CN1936" s="5" t="s">
        <v>263</v>
      </c>
      <c r="CO1936" s="5" t="s">
        <v>240</v>
      </c>
      <c r="CP1936" s="5" t="s">
        <v>240</v>
      </c>
      <c r="CQ1936" s="5">
        <v>0</v>
      </c>
      <c r="CR1936" s="5" t="s">
        <v>306</v>
      </c>
      <c r="CS1936" s="5" t="s">
        <v>307</v>
      </c>
      <c r="CT1936" s="5" t="s">
        <v>307</v>
      </c>
      <c r="CU1936" s="5" t="s">
        <v>260</v>
      </c>
      <c r="CX1936" s="7">
        <f>1</f>
        <v>1</v>
      </c>
      <c r="CY1936" s="7">
        <f>0</f>
        <v>0</v>
      </c>
      <c r="DA1936" s="7">
        <f>0</f>
        <v>0</v>
      </c>
      <c r="DC1936" s="5" t="s">
        <v>309</v>
      </c>
      <c r="DD1936" s="5" t="s">
        <v>240</v>
      </c>
      <c r="DF1936" s="5" t="s">
        <v>309</v>
      </c>
      <c r="DG1936" s="7">
        <f>1812</f>
        <v>1812</v>
      </c>
      <c r="DI1936" s="5" t="s">
        <v>240</v>
      </c>
      <c r="DJ1936" s="5" t="s">
        <v>240</v>
      </c>
      <c r="DK1936" s="5" t="s">
        <v>240</v>
      </c>
      <c r="DL1936" s="5" t="s">
        <v>240</v>
      </c>
      <c r="DP1936" s="5" t="s">
        <v>240</v>
      </c>
      <c r="DQ1936" s="5" t="s">
        <v>240</v>
      </c>
      <c r="DR1936" s="5" t="s">
        <v>240</v>
      </c>
      <c r="DS1936" s="5" t="s">
        <v>240</v>
      </c>
      <c r="DV1936" s="5" t="s">
        <v>310</v>
      </c>
      <c r="DW1936" s="5" t="s">
        <v>3836</v>
      </c>
      <c r="HO1936" s="5" t="s">
        <v>312</v>
      </c>
    </row>
    <row r="1937" spans="1:240" x14ac:dyDescent="0.4">
      <c r="A1937" s="5">
        <v>3641</v>
      </c>
      <c r="B1937" s="5">
        <v>1</v>
      </c>
      <c r="C1937" s="5">
        <v>1</v>
      </c>
      <c r="D1937" s="5" t="s">
        <v>810</v>
      </c>
      <c r="E1937" s="5" t="s">
        <v>245</v>
      </c>
      <c r="F1937" s="5" t="s">
        <v>254</v>
      </c>
      <c r="G1937" s="5" t="s">
        <v>240</v>
      </c>
      <c r="H1937" s="6" t="s">
        <v>4374</v>
      </c>
      <c r="I1937" s="5" t="s">
        <v>809</v>
      </c>
      <c r="J1937" s="8">
        <f>1544</f>
        <v>1544</v>
      </c>
      <c r="K1937" s="5" t="s">
        <v>308</v>
      </c>
      <c r="L1937" s="7">
        <f>1</f>
        <v>1</v>
      </c>
      <c r="M1937" s="7">
        <f>1</f>
        <v>1</v>
      </c>
      <c r="N1937" s="5" t="s">
        <v>242</v>
      </c>
      <c r="O1937" s="5">
        <v>1</v>
      </c>
      <c r="P1937" s="5" t="s">
        <v>294</v>
      </c>
      <c r="Q1937" s="5" t="s">
        <v>3678</v>
      </c>
      <c r="R1937" s="5" t="s">
        <v>240</v>
      </c>
      <c r="S1937" s="5" t="s">
        <v>240</v>
      </c>
      <c r="T1937" s="5" t="s">
        <v>243</v>
      </c>
      <c r="U1937" s="5" t="s">
        <v>244</v>
      </c>
      <c r="V1937" s="5" t="s">
        <v>240</v>
      </c>
      <c r="W1937" s="5" t="s">
        <v>240</v>
      </c>
      <c r="X1937" s="5" t="s">
        <v>240</v>
      </c>
      <c r="Y1937" s="5" t="s">
        <v>240</v>
      </c>
      <c r="Z1937" s="6" t="s">
        <v>298</v>
      </c>
      <c r="AA1937" s="6" t="s">
        <v>240</v>
      </c>
      <c r="AB1937" s="6" t="s">
        <v>240</v>
      </c>
      <c r="AC1937" s="5" t="s">
        <v>240</v>
      </c>
      <c r="AD1937" s="6" t="s">
        <v>240</v>
      </c>
      <c r="AE1937" s="6" t="s">
        <v>299</v>
      </c>
      <c r="AF1937" s="5" t="s">
        <v>248</v>
      </c>
      <c r="AG1937" s="5" t="s">
        <v>249</v>
      </c>
      <c r="AH1937" s="5" t="s">
        <v>240</v>
      </c>
      <c r="AI1937" s="5" t="s">
        <v>240</v>
      </c>
      <c r="AJ1937" s="5" t="s">
        <v>240</v>
      </c>
      <c r="AK1937" s="5" t="s">
        <v>240</v>
      </c>
      <c r="AL1937" s="5" t="s">
        <v>240</v>
      </c>
      <c r="AM1937" s="5" t="s">
        <v>240</v>
      </c>
      <c r="AN1937" s="5" t="s">
        <v>240</v>
      </c>
      <c r="AO1937" s="5" t="s">
        <v>240</v>
      </c>
      <c r="AP1937" s="6" t="s">
        <v>240</v>
      </c>
      <c r="AQ1937" s="6" t="s">
        <v>240</v>
      </c>
      <c r="AR1937" s="6" t="s">
        <v>240</v>
      </c>
      <c r="AS1937" s="6" t="s">
        <v>240</v>
      </c>
      <c r="AT1937" s="5" t="s">
        <v>240</v>
      </c>
      <c r="AU1937" s="5" t="s">
        <v>729</v>
      </c>
      <c r="AV1937" s="5" t="s">
        <v>729</v>
      </c>
      <c r="AW1937" s="5" t="s">
        <v>251</v>
      </c>
      <c r="AX1937" s="5" t="s">
        <v>252</v>
      </c>
      <c r="AY1937" s="5" t="s">
        <v>253</v>
      </c>
      <c r="AZ1937" s="5" t="s">
        <v>240</v>
      </c>
      <c r="BA1937" s="5" t="s">
        <v>255</v>
      </c>
      <c r="BB1937" s="5" t="s">
        <v>731</v>
      </c>
      <c r="BD1937" s="5" t="s">
        <v>240</v>
      </c>
      <c r="BF1937" s="5" t="s">
        <v>732</v>
      </c>
      <c r="BG1937" s="6" t="s">
        <v>733</v>
      </c>
      <c r="BH1937" s="5" t="s">
        <v>734</v>
      </c>
      <c r="BI1937" s="5" t="s">
        <v>734</v>
      </c>
      <c r="BJ1937" s="5" t="s">
        <v>240</v>
      </c>
      <c r="BK1937" s="7">
        <f>1</f>
        <v>1</v>
      </c>
      <c r="BL1937" s="7">
        <f>1</f>
        <v>1</v>
      </c>
      <c r="BM1937" s="5" t="s">
        <v>258</v>
      </c>
      <c r="BN1937" s="5" t="s">
        <v>259</v>
      </c>
      <c r="BO1937" s="5" t="s">
        <v>240</v>
      </c>
      <c r="BP1937" s="5" t="s">
        <v>240</v>
      </c>
      <c r="BQ1937" s="5" t="s">
        <v>240</v>
      </c>
      <c r="BR1937" s="5" t="s">
        <v>240</v>
      </c>
      <c r="BS1937" s="5" t="s">
        <v>240</v>
      </c>
      <c r="BT1937" s="5" t="s">
        <v>240</v>
      </c>
      <c r="BU1937" s="5" t="s">
        <v>240</v>
      </c>
      <c r="BV1937" s="5" t="s">
        <v>240</v>
      </c>
      <c r="BW1937" s="6" t="s">
        <v>240</v>
      </c>
      <c r="BX1937" s="5" t="s">
        <v>240</v>
      </c>
      <c r="BY1937" s="5" t="s">
        <v>240</v>
      </c>
      <c r="BZ1937" s="5" t="s">
        <v>240</v>
      </c>
      <c r="CA1937" s="5" t="s">
        <v>259</v>
      </c>
      <c r="CB1937" s="5" t="s">
        <v>240</v>
      </c>
      <c r="CC1937" s="5" t="s">
        <v>240</v>
      </c>
      <c r="CD1937" s="5" t="s">
        <v>240</v>
      </c>
      <c r="CE1937" s="5" t="s">
        <v>240</v>
      </c>
      <c r="CF1937" s="5" t="s">
        <v>240</v>
      </c>
      <c r="CG1937" s="5" t="s">
        <v>304</v>
      </c>
      <c r="CH1937" s="5" t="s">
        <v>305</v>
      </c>
      <c r="CI1937" s="5" t="s">
        <v>240</v>
      </c>
      <c r="CK1937" s="5" t="s">
        <v>3681</v>
      </c>
      <c r="CL1937" s="6" t="s">
        <v>261</v>
      </c>
      <c r="CM1937" s="5" t="s">
        <v>262</v>
      </c>
      <c r="CN1937" s="5" t="s">
        <v>263</v>
      </c>
      <c r="CO1937" s="5" t="s">
        <v>264</v>
      </c>
      <c r="CP1937" s="5" t="s">
        <v>240</v>
      </c>
      <c r="CQ1937" s="5">
        <v>0</v>
      </c>
      <c r="CR1937" s="5" t="s">
        <v>735</v>
      </c>
      <c r="CS1937" s="5" t="s">
        <v>307</v>
      </c>
      <c r="CT1937" s="5" t="s">
        <v>307</v>
      </c>
      <c r="CU1937" s="5" t="s">
        <v>260</v>
      </c>
      <c r="CV1937" s="5" t="s">
        <v>612</v>
      </c>
      <c r="CW1937" s="8">
        <f>1</f>
        <v>1</v>
      </c>
      <c r="CX1937" s="7">
        <f>1</f>
        <v>1</v>
      </c>
      <c r="CY1937" s="7">
        <f>0</f>
        <v>0</v>
      </c>
      <c r="DA1937" s="7">
        <f>1</f>
        <v>1</v>
      </c>
      <c r="DB1937" s="7" t="s">
        <v>240</v>
      </c>
      <c r="DC1937" s="5" t="s">
        <v>240</v>
      </c>
      <c r="DD1937" s="5" t="s">
        <v>240</v>
      </c>
      <c r="DE1937" s="5" t="s">
        <v>240</v>
      </c>
      <c r="DF1937" s="5" t="s">
        <v>240</v>
      </c>
      <c r="DG1937" s="7">
        <f>0</f>
        <v>0</v>
      </c>
      <c r="DI1937" s="5" t="s">
        <v>240</v>
      </c>
      <c r="DJ1937" s="5" t="s">
        <v>240</v>
      </c>
      <c r="DK1937" s="5" t="s">
        <v>240</v>
      </c>
      <c r="DL1937" s="5" t="s">
        <v>240</v>
      </c>
      <c r="DM1937" s="5" t="s">
        <v>240</v>
      </c>
      <c r="DN1937" s="5" t="s">
        <v>240</v>
      </c>
      <c r="DO1937" s="7" t="s">
        <v>240</v>
      </c>
      <c r="DP1937" s="5" t="s">
        <v>240</v>
      </c>
      <c r="DQ1937" s="5" t="s">
        <v>240</v>
      </c>
      <c r="DR1937" s="5" t="s">
        <v>731</v>
      </c>
      <c r="DS1937" s="5" t="s">
        <v>731</v>
      </c>
      <c r="DT1937" s="5" t="s">
        <v>240</v>
      </c>
      <c r="DU1937" s="5" t="s">
        <v>240</v>
      </c>
      <c r="DV1937" s="5" t="s">
        <v>3683</v>
      </c>
      <c r="DW1937" s="5" t="s">
        <v>368</v>
      </c>
      <c r="DX1937" s="5" t="s">
        <v>240</v>
      </c>
      <c r="DY1937" s="5" t="s">
        <v>240</v>
      </c>
      <c r="DZ1937" s="5" t="s">
        <v>240</v>
      </c>
      <c r="EA1937" s="5" t="s">
        <v>240</v>
      </c>
      <c r="EB1937" s="5" t="s">
        <v>240</v>
      </c>
      <c r="EC1937" s="5" t="s">
        <v>240</v>
      </c>
      <c r="ED1937" s="5" t="s">
        <v>240</v>
      </c>
      <c r="EE1937" s="5" t="s">
        <v>240</v>
      </c>
      <c r="EF1937" s="5" t="s">
        <v>240</v>
      </c>
      <c r="EG1937" s="5" t="s">
        <v>240</v>
      </c>
      <c r="EH1937" s="5" t="s">
        <v>240</v>
      </c>
      <c r="EI1937" s="5" t="s">
        <v>240</v>
      </c>
      <c r="EJ1937" s="5" t="s">
        <v>240</v>
      </c>
      <c r="EK1937" s="5" t="s">
        <v>240</v>
      </c>
      <c r="EL1937" s="5" t="s">
        <v>240</v>
      </c>
      <c r="EM1937" s="5" t="s">
        <v>240</v>
      </c>
      <c r="EN1937" s="5" t="s">
        <v>240</v>
      </c>
      <c r="EO1937" s="5" t="s">
        <v>240</v>
      </c>
      <c r="EP1937" s="5" t="s">
        <v>240</v>
      </c>
      <c r="EQ1937" s="5" t="s">
        <v>240</v>
      </c>
      <c r="ER1937" s="5" t="s">
        <v>240</v>
      </c>
      <c r="ES1937" s="5" t="s">
        <v>240</v>
      </c>
      <c r="ET1937" s="5" t="s">
        <v>240</v>
      </c>
      <c r="EU1937" s="5" t="s">
        <v>240</v>
      </c>
      <c r="EV1937" s="5" t="s">
        <v>240</v>
      </c>
      <c r="EW1937" s="5" t="s">
        <v>240</v>
      </c>
      <c r="EX1937" s="5" t="s">
        <v>240</v>
      </c>
      <c r="EY1937" s="5" t="s">
        <v>240</v>
      </c>
      <c r="EZ1937" s="5" t="s">
        <v>240</v>
      </c>
      <c r="FA1937" s="5" t="s">
        <v>240</v>
      </c>
      <c r="FB1937" s="5" t="s">
        <v>240</v>
      </c>
      <c r="FC1937" s="5" t="s">
        <v>240</v>
      </c>
      <c r="FD1937" s="5" t="s">
        <v>240</v>
      </c>
      <c r="FE1937" s="5" t="s">
        <v>240</v>
      </c>
      <c r="FF1937" s="5" t="s">
        <v>240</v>
      </c>
      <c r="FG1937" s="5" t="s">
        <v>240</v>
      </c>
      <c r="FH1937" s="5" t="s">
        <v>240</v>
      </c>
      <c r="FI1937" s="5" t="s">
        <v>240</v>
      </c>
      <c r="FJ1937" s="5" t="s">
        <v>240</v>
      </c>
      <c r="FK1937" s="5" t="s">
        <v>240</v>
      </c>
      <c r="FL1937" s="5" t="s">
        <v>240</v>
      </c>
      <c r="FM1937" s="5" t="s">
        <v>240</v>
      </c>
      <c r="FN1937" s="5" t="s">
        <v>240</v>
      </c>
      <c r="FO1937" s="5" t="s">
        <v>240</v>
      </c>
      <c r="FP1937" s="5" t="s">
        <v>240</v>
      </c>
      <c r="FQ1937" s="5" t="s">
        <v>240</v>
      </c>
      <c r="FR1937" s="5" t="s">
        <v>240</v>
      </c>
      <c r="FS1937" s="5" t="s">
        <v>240</v>
      </c>
      <c r="FT1937" s="5" t="s">
        <v>240</v>
      </c>
      <c r="FU1937" s="5" t="s">
        <v>240</v>
      </c>
      <c r="FV1937" s="5" t="s">
        <v>240</v>
      </c>
      <c r="FW1937" s="5" t="s">
        <v>240</v>
      </c>
      <c r="FX1937" s="5" t="s">
        <v>240</v>
      </c>
      <c r="FY1937" s="5" t="s">
        <v>240</v>
      </c>
      <c r="FZ1937" s="5" t="s">
        <v>240</v>
      </c>
      <c r="GA1937" s="5" t="s">
        <v>240</v>
      </c>
      <c r="GB1937" s="5" t="s">
        <v>240</v>
      </c>
      <c r="GC1937" s="5" t="s">
        <v>240</v>
      </c>
      <c r="GD1937" s="5" t="s">
        <v>240</v>
      </c>
      <c r="GE1937" s="5" t="s">
        <v>240</v>
      </c>
      <c r="GF1937" s="5" t="s">
        <v>240</v>
      </c>
      <c r="GG1937" s="5" t="s">
        <v>240</v>
      </c>
      <c r="GH1937" s="5" t="s">
        <v>240</v>
      </c>
      <c r="GI1937" s="5" t="s">
        <v>240</v>
      </c>
      <c r="GJ1937" s="5" t="s">
        <v>240</v>
      </c>
      <c r="GK1937" s="5" t="s">
        <v>240</v>
      </c>
      <c r="GL1937" s="5" t="s">
        <v>240</v>
      </c>
      <c r="GM1937" s="5" t="s">
        <v>240</v>
      </c>
      <c r="GN1937" s="5" t="s">
        <v>240</v>
      </c>
      <c r="GO1937" s="5" t="s">
        <v>240</v>
      </c>
      <c r="GP1937" s="5" t="s">
        <v>240</v>
      </c>
      <c r="GQ1937" s="5" t="s">
        <v>240</v>
      </c>
      <c r="GR1937" s="5" t="s">
        <v>240</v>
      </c>
      <c r="GS1937" s="5" t="s">
        <v>240</v>
      </c>
      <c r="GT1937" s="5" t="s">
        <v>240</v>
      </c>
      <c r="GU1937" s="5" t="s">
        <v>240</v>
      </c>
      <c r="GV1937" s="5" t="s">
        <v>240</v>
      </c>
      <c r="GW1937" s="5" t="s">
        <v>240</v>
      </c>
      <c r="GX1937" s="5" t="s">
        <v>240</v>
      </c>
      <c r="GY1937" s="5" t="s">
        <v>240</v>
      </c>
      <c r="GZ1937" s="5" t="s">
        <v>240</v>
      </c>
      <c r="HA1937" s="5" t="s">
        <v>240</v>
      </c>
      <c r="HB1937" s="5" t="s">
        <v>240</v>
      </c>
      <c r="HC1937" s="5" t="s">
        <v>240</v>
      </c>
      <c r="HD1937" s="5" t="s">
        <v>240</v>
      </c>
      <c r="HE1937" s="5" t="s">
        <v>240</v>
      </c>
      <c r="HF1937" s="5" t="s">
        <v>240</v>
      </c>
      <c r="HG1937" s="5" t="s">
        <v>240</v>
      </c>
      <c r="HH1937" s="5" t="s">
        <v>240</v>
      </c>
      <c r="HI1937" s="5" t="s">
        <v>240</v>
      </c>
      <c r="HJ1937" s="5" t="s">
        <v>240</v>
      </c>
      <c r="HK1937" s="5" t="s">
        <v>240</v>
      </c>
      <c r="HL1937" s="5" t="s">
        <v>240</v>
      </c>
      <c r="HM1937" s="5" t="s">
        <v>240</v>
      </c>
      <c r="HN1937" s="5" t="s">
        <v>240</v>
      </c>
      <c r="HO1937" s="5" t="s">
        <v>312</v>
      </c>
      <c r="HP1937" s="5" t="s">
        <v>240</v>
      </c>
      <c r="HQ1937" s="5" t="s">
        <v>240</v>
      </c>
      <c r="HR1937" s="5" t="s">
        <v>240</v>
      </c>
      <c r="HS1937" s="5" t="s">
        <v>240</v>
      </c>
      <c r="HT1937" s="5" t="s">
        <v>240</v>
      </c>
      <c r="HU1937" s="5" t="s">
        <v>240</v>
      </c>
      <c r="HV1937" s="5" t="s">
        <v>240</v>
      </c>
      <c r="HW1937" s="5" t="s">
        <v>240</v>
      </c>
      <c r="HX1937" s="5" t="s">
        <v>240</v>
      </c>
      <c r="HY1937" s="5" t="s">
        <v>240</v>
      </c>
      <c r="HZ1937" s="5" t="s">
        <v>240</v>
      </c>
      <c r="IA1937" s="5" t="s">
        <v>240</v>
      </c>
      <c r="IB1937" s="5" t="s">
        <v>240</v>
      </c>
      <c r="IC1937" s="5" t="s">
        <v>240</v>
      </c>
      <c r="ID1937" s="5" t="s">
        <v>240</v>
      </c>
      <c r="IE1937" s="5" t="s">
        <v>240</v>
      </c>
      <c r="IF1937" s="5" t="s">
        <v>240</v>
      </c>
    </row>
    <row r="1938" spans="1:240" x14ac:dyDescent="0.4">
      <c r="A1938" s="5">
        <v>3642</v>
      </c>
      <c r="B1938" s="5">
        <v>1</v>
      </c>
      <c r="C1938" s="5">
        <v>1</v>
      </c>
      <c r="D1938" s="5" t="s">
        <v>810</v>
      </c>
      <c r="E1938" s="5" t="s">
        <v>245</v>
      </c>
      <c r="F1938" s="5" t="s">
        <v>254</v>
      </c>
      <c r="G1938" s="5" t="s">
        <v>240</v>
      </c>
      <c r="H1938" s="6" t="s">
        <v>4353</v>
      </c>
      <c r="I1938" s="5" t="s">
        <v>809</v>
      </c>
      <c r="J1938" s="8">
        <f>2955</f>
        <v>2955</v>
      </c>
      <c r="K1938" s="5" t="s">
        <v>308</v>
      </c>
      <c r="L1938" s="7">
        <f>1</f>
        <v>1</v>
      </c>
      <c r="M1938" s="7">
        <f>1</f>
        <v>1</v>
      </c>
      <c r="N1938" s="5" t="s">
        <v>242</v>
      </c>
      <c r="O1938" s="5">
        <v>1</v>
      </c>
      <c r="P1938" s="5" t="s">
        <v>294</v>
      </c>
      <c r="Q1938" s="5" t="s">
        <v>266</v>
      </c>
      <c r="R1938" s="5" t="s">
        <v>240</v>
      </c>
      <c r="S1938" s="5" t="s">
        <v>240</v>
      </c>
      <c r="T1938" s="5" t="s">
        <v>296</v>
      </c>
      <c r="U1938" s="5" t="s">
        <v>244</v>
      </c>
      <c r="V1938" s="5" t="s">
        <v>240</v>
      </c>
      <c r="Y1938" s="5" t="s">
        <v>240</v>
      </c>
      <c r="Z1938" s="6" t="s">
        <v>298</v>
      </c>
      <c r="AB1938" s="6" t="s">
        <v>240</v>
      </c>
      <c r="AE1938" s="6" t="s">
        <v>299</v>
      </c>
      <c r="AF1938" s="5" t="s">
        <v>248</v>
      </c>
      <c r="AG1938" s="5" t="s">
        <v>249</v>
      </c>
      <c r="AW1938" s="5" t="s">
        <v>251</v>
      </c>
      <c r="AX1938" s="5" t="s">
        <v>240</v>
      </c>
      <c r="AY1938" s="5" t="s">
        <v>253</v>
      </c>
      <c r="AZ1938" s="5" t="s">
        <v>240</v>
      </c>
      <c r="BA1938" s="5" t="s">
        <v>255</v>
      </c>
      <c r="BB1938" s="5" t="s">
        <v>240</v>
      </c>
      <c r="BD1938" s="5" t="s">
        <v>240</v>
      </c>
      <c r="BF1938" s="5" t="s">
        <v>301</v>
      </c>
      <c r="BG1938" s="6" t="s">
        <v>299</v>
      </c>
      <c r="BH1938" s="5" t="s">
        <v>302</v>
      </c>
      <c r="BI1938" s="5" t="s">
        <v>303</v>
      </c>
      <c r="BJ1938" s="5" t="s">
        <v>240</v>
      </c>
      <c r="BK1938" s="8">
        <f>0</f>
        <v>0</v>
      </c>
      <c r="BL1938" s="7">
        <f>0</f>
        <v>0</v>
      </c>
      <c r="BM1938" s="5" t="s">
        <v>258</v>
      </c>
      <c r="BN1938" s="5" t="s">
        <v>259</v>
      </c>
      <c r="CB1938" s="5" t="s">
        <v>240</v>
      </c>
      <c r="CC1938" s="5" t="s">
        <v>240</v>
      </c>
      <c r="CG1938" s="5" t="s">
        <v>304</v>
      </c>
      <c r="CH1938" s="5" t="s">
        <v>305</v>
      </c>
      <c r="CI1938" s="5" t="s">
        <v>240</v>
      </c>
      <c r="CL1938" s="6" t="s">
        <v>261</v>
      </c>
      <c r="CM1938" s="5" t="s">
        <v>240</v>
      </c>
      <c r="CN1938" s="5" t="s">
        <v>263</v>
      </c>
      <c r="CO1938" s="5" t="s">
        <v>240</v>
      </c>
      <c r="CP1938" s="5" t="s">
        <v>240</v>
      </c>
      <c r="CQ1938" s="5">
        <v>0</v>
      </c>
      <c r="CR1938" s="5" t="s">
        <v>306</v>
      </c>
      <c r="CS1938" s="5" t="s">
        <v>307</v>
      </c>
      <c r="CT1938" s="5" t="s">
        <v>307</v>
      </c>
      <c r="CU1938" s="5" t="s">
        <v>260</v>
      </c>
      <c r="CX1938" s="7">
        <f>1</f>
        <v>1</v>
      </c>
      <c r="CY1938" s="7">
        <f>0</f>
        <v>0</v>
      </c>
      <c r="DA1938" s="7">
        <f>0</f>
        <v>0</v>
      </c>
      <c r="DC1938" s="5" t="s">
        <v>309</v>
      </c>
      <c r="DD1938" s="5" t="s">
        <v>240</v>
      </c>
      <c r="DF1938" s="5" t="s">
        <v>309</v>
      </c>
      <c r="DG1938" s="7">
        <f>2744</f>
        <v>2744</v>
      </c>
      <c r="DI1938" s="5" t="s">
        <v>240</v>
      </c>
      <c r="DJ1938" s="5" t="s">
        <v>240</v>
      </c>
      <c r="DK1938" s="5" t="s">
        <v>240</v>
      </c>
      <c r="DL1938" s="5" t="s">
        <v>240</v>
      </c>
      <c r="DP1938" s="5" t="s">
        <v>240</v>
      </c>
      <c r="DQ1938" s="5" t="s">
        <v>240</v>
      </c>
      <c r="DR1938" s="5" t="s">
        <v>240</v>
      </c>
      <c r="DS1938" s="5" t="s">
        <v>240</v>
      </c>
      <c r="DV1938" s="5" t="s">
        <v>310</v>
      </c>
      <c r="DW1938" s="5" t="s">
        <v>3834</v>
      </c>
      <c r="HO1938" s="5" t="s">
        <v>312</v>
      </c>
    </row>
    <row r="1939" spans="1:240" x14ac:dyDescent="0.4">
      <c r="A1939" s="5">
        <v>3643</v>
      </c>
      <c r="B1939" s="5">
        <v>1</v>
      </c>
      <c r="C1939" s="5">
        <v>1</v>
      </c>
      <c r="D1939" s="5" t="s">
        <v>810</v>
      </c>
      <c r="E1939" s="5" t="s">
        <v>245</v>
      </c>
      <c r="F1939" s="5" t="s">
        <v>254</v>
      </c>
      <c r="G1939" s="5" t="s">
        <v>240</v>
      </c>
      <c r="H1939" s="6" t="s">
        <v>4352</v>
      </c>
      <c r="I1939" s="5" t="s">
        <v>809</v>
      </c>
      <c r="J1939" s="8">
        <f>650</f>
        <v>650</v>
      </c>
      <c r="K1939" s="5" t="s">
        <v>308</v>
      </c>
      <c r="L1939" s="7">
        <f>1</f>
        <v>1</v>
      </c>
      <c r="M1939" s="7">
        <f>1</f>
        <v>1</v>
      </c>
      <c r="N1939" s="5" t="s">
        <v>242</v>
      </c>
      <c r="O1939" s="5">
        <v>1</v>
      </c>
      <c r="P1939" s="5" t="s">
        <v>294</v>
      </c>
      <c r="Q1939" s="5" t="s">
        <v>266</v>
      </c>
      <c r="R1939" s="5" t="s">
        <v>240</v>
      </c>
      <c r="S1939" s="5" t="s">
        <v>240</v>
      </c>
      <c r="T1939" s="5" t="s">
        <v>296</v>
      </c>
      <c r="U1939" s="5" t="s">
        <v>244</v>
      </c>
      <c r="V1939" s="5" t="s">
        <v>240</v>
      </c>
      <c r="Y1939" s="5" t="s">
        <v>240</v>
      </c>
      <c r="Z1939" s="6" t="s">
        <v>298</v>
      </c>
      <c r="AB1939" s="6" t="s">
        <v>240</v>
      </c>
      <c r="AE1939" s="6" t="s">
        <v>299</v>
      </c>
      <c r="AF1939" s="5" t="s">
        <v>248</v>
      </c>
      <c r="AG1939" s="5" t="s">
        <v>249</v>
      </c>
      <c r="AW1939" s="5" t="s">
        <v>251</v>
      </c>
      <c r="AX1939" s="5" t="s">
        <v>240</v>
      </c>
      <c r="AY1939" s="5" t="s">
        <v>253</v>
      </c>
      <c r="AZ1939" s="5" t="s">
        <v>240</v>
      </c>
      <c r="BA1939" s="5" t="s">
        <v>255</v>
      </c>
      <c r="BB1939" s="5" t="s">
        <v>240</v>
      </c>
      <c r="BD1939" s="5" t="s">
        <v>240</v>
      </c>
      <c r="BF1939" s="5" t="s">
        <v>301</v>
      </c>
      <c r="BG1939" s="6" t="s">
        <v>299</v>
      </c>
      <c r="BH1939" s="5" t="s">
        <v>302</v>
      </c>
      <c r="BI1939" s="5" t="s">
        <v>303</v>
      </c>
      <c r="BJ1939" s="5" t="s">
        <v>240</v>
      </c>
      <c r="BK1939" s="8">
        <f>0</f>
        <v>0</v>
      </c>
      <c r="BL1939" s="7">
        <f>0</f>
        <v>0</v>
      </c>
      <c r="BM1939" s="5" t="s">
        <v>258</v>
      </c>
      <c r="BN1939" s="5" t="s">
        <v>259</v>
      </c>
      <c r="CB1939" s="5" t="s">
        <v>240</v>
      </c>
      <c r="CC1939" s="5" t="s">
        <v>240</v>
      </c>
      <c r="CG1939" s="5" t="s">
        <v>304</v>
      </c>
      <c r="CH1939" s="5" t="s">
        <v>305</v>
      </c>
      <c r="CI1939" s="5" t="s">
        <v>240</v>
      </c>
      <c r="CL1939" s="6" t="s">
        <v>261</v>
      </c>
      <c r="CM1939" s="5" t="s">
        <v>240</v>
      </c>
      <c r="CN1939" s="5" t="s">
        <v>263</v>
      </c>
      <c r="CO1939" s="5" t="s">
        <v>240</v>
      </c>
      <c r="CP1939" s="5" t="s">
        <v>240</v>
      </c>
      <c r="CQ1939" s="5">
        <v>0</v>
      </c>
      <c r="CR1939" s="5" t="s">
        <v>306</v>
      </c>
      <c r="CS1939" s="5" t="s">
        <v>307</v>
      </c>
      <c r="CT1939" s="5" t="s">
        <v>307</v>
      </c>
      <c r="CU1939" s="5" t="s">
        <v>260</v>
      </c>
      <c r="CX1939" s="7">
        <f>1</f>
        <v>1</v>
      </c>
      <c r="CY1939" s="7">
        <f>0</f>
        <v>0</v>
      </c>
      <c r="DA1939" s="7">
        <f>0</f>
        <v>0</v>
      </c>
      <c r="DC1939" s="5" t="s">
        <v>812</v>
      </c>
      <c r="DD1939" s="5" t="s">
        <v>240</v>
      </c>
      <c r="DF1939" s="5" t="s">
        <v>812</v>
      </c>
      <c r="DG1939" s="7">
        <f>2368</f>
        <v>2368</v>
      </c>
      <c r="DI1939" s="5" t="s">
        <v>240</v>
      </c>
      <c r="DJ1939" s="5" t="s">
        <v>240</v>
      </c>
      <c r="DK1939" s="5" t="s">
        <v>240</v>
      </c>
      <c r="DL1939" s="5" t="s">
        <v>240</v>
      </c>
      <c r="DP1939" s="5" t="s">
        <v>240</v>
      </c>
      <c r="DQ1939" s="5" t="s">
        <v>240</v>
      </c>
      <c r="DR1939" s="5" t="s">
        <v>240</v>
      </c>
      <c r="DS1939" s="5" t="s">
        <v>240</v>
      </c>
      <c r="DV1939" s="5" t="s">
        <v>813</v>
      </c>
      <c r="DW1939" s="5" t="s">
        <v>3967</v>
      </c>
      <c r="HO1939" s="5" t="s">
        <v>312</v>
      </c>
    </row>
    <row r="1940" spans="1:240" x14ac:dyDescent="0.4">
      <c r="A1940" s="5">
        <v>3644</v>
      </c>
      <c r="B1940" s="5">
        <v>1</v>
      </c>
      <c r="C1940" s="5">
        <v>1</v>
      </c>
      <c r="D1940" s="5" t="s">
        <v>810</v>
      </c>
      <c r="E1940" s="5" t="s">
        <v>245</v>
      </c>
      <c r="F1940" s="5" t="s">
        <v>254</v>
      </c>
      <c r="G1940" s="5" t="s">
        <v>240</v>
      </c>
      <c r="H1940" s="6" t="s">
        <v>4351</v>
      </c>
      <c r="I1940" s="5" t="s">
        <v>809</v>
      </c>
      <c r="J1940" s="8">
        <f>188</f>
        <v>188</v>
      </c>
      <c r="K1940" s="5" t="s">
        <v>308</v>
      </c>
      <c r="L1940" s="7">
        <f>1</f>
        <v>1</v>
      </c>
      <c r="M1940" s="7">
        <f>1</f>
        <v>1</v>
      </c>
      <c r="N1940" s="5" t="s">
        <v>242</v>
      </c>
      <c r="O1940" s="5">
        <v>1</v>
      </c>
      <c r="P1940" s="5" t="s">
        <v>294</v>
      </c>
      <c r="Q1940" s="5" t="s">
        <v>266</v>
      </c>
      <c r="R1940" s="5" t="s">
        <v>240</v>
      </c>
      <c r="S1940" s="5" t="s">
        <v>240</v>
      </c>
      <c r="T1940" s="5" t="s">
        <v>296</v>
      </c>
      <c r="U1940" s="5" t="s">
        <v>244</v>
      </c>
      <c r="V1940" s="5" t="s">
        <v>240</v>
      </c>
      <c r="Y1940" s="5" t="s">
        <v>240</v>
      </c>
      <c r="Z1940" s="6" t="s">
        <v>298</v>
      </c>
      <c r="AB1940" s="6" t="s">
        <v>240</v>
      </c>
      <c r="AE1940" s="6" t="s">
        <v>299</v>
      </c>
      <c r="AF1940" s="5" t="s">
        <v>248</v>
      </c>
      <c r="AG1940" s="5" t="s">
        <v>249</v>
      </c>
      <c r="AW1940" s="5" t="s">
        <v>251</v>
      </c>
      <c r="AX1940" s="5" t="s">
        <v>240</v>
      </c>
      <c r="AY1940" s="5" t="s">
        <v>253</v>
      </c>
      <c r="AZ1940" s="5" t="s">
        <v>240</v>
      </c>
      <c r="BA1940" s="5" t="s">
        <v>255</v>
      </c>
      <c r="BB1940" s="5" t="s">
        <v>240</v>
      </c>
      <c r="BD1940" s="5" t="s">
        <v>240</v>
      </c>
      <c r="BF1940" s="5" t="s">
        <v>301</v>
      </c>
      <c r="BG1940" s="6" t="s">
        <v>299</v>
      </c>
      <c r="BH1940" s="5" t="s">
        <v>302</v>
      </c>
      <c r="BI1940" s="5" t="s">
        <v>303</v>
      </c>
      <c r="BJ1940" s="5" t="s">
        <v>240</v>
      </c>
      <c r="BK1940" s="8">
        <f>0</f>
        <v>0</v>
      </c>
      <c r="BL1940" s="7">
        <f>0</f>
        <v>0</v>
      </c>
      <c r="BM1940" s="5" t="s">
        <v>258</v>
      </c>
      <c r="BN1940" s="5" t="s">
        <v>259</v>
      </c>
      <c r="CB1940" s="5" t="s">
        <v>240</v>
      </c>
      <c r="CC1940" s="5" t="s">
        <v>240</v>
      </c>
      <c r="CG1940" s="5" t="s">
        <v>304</v>
      </c>
      <c r="CH1940" s="5" t="s">
        <v>305</v>
      </c>
      <c r="CI1940" s="5" t="s">
        <v>240</v>
      </c>
      <c r="CL1940" s="6" t="s">
        <v>261</v>
      </c>
      <c r="CM1940" s="5" t="s">
        <v>240</v>
      </c>
      <c r="CN1940" s="5" t="s">
        <v>263</v>
      </c>
      <c r="CO1940" s="5" t="s">
        <v>240</v>
      </c>
      <c r="CP1940" s="5" t="s">
        <v>240</v>
      </c>
      <c r="CQ1940" s="5">
        <v>0</v>
      </c>
      <c r="CR1940" s="5" t="s">
        <v>306</v>
      </c>
      <c r="CS1940" s="5" t="s">
        <v>307</v>
      </c>
      <c r="CT1940" s="5" t="s">
        <v>307</v>
      </c>
      <c r="CU1940" s="5" t="s">
        <v>260</v>
      </c>
      <c r="CX1940" s="7">
        <f>1</f>
        <v>1</v>
      </c>
      <c r="CY1940" s="7">
        <f>0</f>
        <v>0</v>
      </c>
      <c r="DA1940" s="7">
        <f>0</f>
        <v>0</v>
      </c>
      <c r="DC1940" s="5" t="s">
        <v>309</v>
      </c>
      <c r="DD1940" s="5" t="s">
        <v>240</v>
      </c>
      <c r="DF1940" s="5" t="s">
        <v>309</v>
      </c>
      <c r="DG1940" s="7">
        <f>2356</f>
        <v>2356</v>
      </c>
      <c r="DI1940" s="5" t="s">
        <v>240</v>
      </c>
      <c r="DJ1940" s="5" t="s">
        <v>240</v>
      </c>
      <c r="DK1940" s="5" t="s">
        <v>240</v>
      </c>
      <c r="DL1940" s="5" t="s">
        <v>240</v>
      </c>
      <c r="DP1940" s="5" t="s">
        <v>240</v>
      </c>
      <c r="DQ1940" s="5" t="s">
        <v>240</v>
      </c>
      <c r="DR1940" s="5" t="s">
        <v>240</v>
      </c>
      <c r="DS1940" s="5" t="s">
        <v>240</v>
      </c>
      <c r="DV1940" s="5" t="s">
        <v>310</v>
      </c>
      <c r="DW1940" s="5" t="s">
        <v>3832</v>
      </c>
      <c r="HO1940" s="5" t="s">
        <v>312</v>
      </c>
    </row>
    <row r="1941" spans="1:240" x14ac:dyDescent="0.4">
      <c r="A1941" s="5">
        <v>3645</v>
      </c>
      <c r="B1941" s="5">
        <v>1</v>
      </c>
      <c r="C1941" s="5">
        <v>1</v>
      </c>
      <c r="D1941" s="5" t="s">
        <v>810</v>
      </c>
      <c r="E1941" s="5" t="s">
        <v>245</v>
      </c>
      <c r="F1941" s="5" t="s">
        <v>254</v>
      </c>
      <c r="G1941" s="5" t="s">
        <v>240</v>
      </c>
      <c r="H1941" s="6" t="s">
        <v>4350</v>
      </c>
      <c r="I1941" s="5" t="s">
        <v>809</v>
      </c>
      <c r="J1941" s="8">
        <f>250</f>
        <v>250</v>
      </c>
      <c r="K1941" s="5" t="s">
        <v>308</v>
      </c>
      <c r="L1941" s="7">
        <f>1</f>
        <v>1</v>
      </c>
      <c r="M1941" s="7">
        <f>1</f>
        <v>1</v>
      </c>
      <c r="N1941" s="5" t="s">
        <v>242</v>
      </c>
      <c r="O1941" s="5">
        <v>1</v>
      </c>
      <c r="P1941" s="5" t="s">
        <v>294</v>
      </c>
      <c r="Q1941" s="5" t="s">
        <v>266</v>
      </c>
      <c r="R1941" s="5" t="s">
        <v>240</v>
      </c>
      <c r="S1941" s="5" t="s">
        <v>240</v>
      </c>
      <c r="T1941" s="5" t="s">
        <v>296</v>
      </c>
      <c r="U1941" s="5" t="s">
        <v>244</v>
      </c>
      <c r="V1941" s="5" t="s">
        <v>240</v>
      </c>
      <c r="Y1941" s="5" t="s">
        <v>240</v>
      </c>
      <c r="Z1941" s="6" t="s">
        <v>298</v>
      </c>
      <c r="AB1941" s="6" t="s">
        <v>240</v>
      </c>
      <c r="AE1941" s="6" t="s">
        <v>299</v>
      </c>
      <c r="AF1941" s="5" t="s">
        <v>248</v>
      </c>
      <c r="AG1941" s="5" t="s">
        <v>249</v>
      </c>
      <c r="AW1941" s="5" t="s">
        <v>251</v>
      </c>
      <c r="AX1941" s="5" t="s">
        <v>240</v>
      </c>
      <c r="AY1941" s="5" t="s">
        <v>253</v>
      </c>
      <c r="AZ1941" s="5" t="s">
        <v>240</v>
      </c>
      <c r="BA1941" s="5" t="s">
        <v>255</v>
      </c>
      <c r="BB1941" s="5" t="s">
        <v>240</v>
      </c>
      <c r="BD1941" s="5" t="s">
        <v>240</v>
      </c>
      <c r="BF1941" s="5" t="s">
        <v>301</v>
      </c>
      <c r="BG1941" s="6" t="s">
        <v>299</v>
      </c>
      <c r="BH1941" s="5" t="s">
        <v>302</v>
      </c>
      <c r="BI1941" s="5" t="s">
        <v>303</v>
      </c>
      <c r="BJ1941" s="5" t="s">
        <v>240</v>
      </c>
      <c r="BK1941" s="8">
        <f>0</f>
        <v>0</v>
      </c>
      <c r="BL1941" s="7">
        <f>0</f>
        <v>0</v>
      </c>
      <c r="BM1941" s="5" t="s">
        <v>258</v>
      </c>
      <c r="BN1941" s="5" t="s">
        <v>259</v>
      </c>
      <c r="CB1941" s="5" t="s">
        <v>240</v>
      </c>
      <c r="CC1941" s="5" t="s">
        <v>240</v>
      </c>
      <c r="CG1941" s="5" t="s">
        <v>304</v>
      </c>
      <c r="CH1941" s="5" t="s">
        <v>305</v>
      </c>
      <c r="CI1941" s="5" t="s">
        <v>240</v>
      </c>
      <c r="CL1941" s="6" t="s">
        <v>261</v>
      </c>
      <c r="CM1941" s="5" t="s">
        <v>240</v>
      </c>
      <c r="CN1941" s="5" t="s">
        <v>263</v>
      </c>
      <c r="CO1941" s="5" t="s">
        <v>240</v>
      </c>
      <c r="CP1941" s="5" t="s">
        <v>240</v>
      </c>
      <c r="CQ1941" s="5">
        <v>0</v>
      </c>
      <c r="CR1941" s="5" t="s">
        <v>306</v>
      </c>
      <c r="CS1941" s="5" t="s">
        <v>307</v>
      </c>
      <c r="CT1941" s="5" t="s">
        <v>307</v>
      </c>
      <c r="CU1941" s="5" t="s">
        <v>260</v>
      </c>
      <c r="CX1941" s="7">
        <f>1</f>
        <v>1</v>
      </c>
      <c r="CY1941" s="7">
        <f>0</f>
        <v>0</v>
      </c>
      <c r="DA1941" s="7">
        <f>0</f>
        <v>0</v>
      </c>
      <c r="DC1941" s="5" t="s">
        <v>309</v>
      </c>
      <c r="DD1941" s="5" t="s">
        <v>240</v>
      </c>
      <c r="DF1941" s="5" t="s">
        <v>309</v>
      </c>
      <c r="DG1941" s="7">
        <f>2508</f>
        <v>2508</v>
      </c>
      <c r="DI1941" s="5" t="s">
        <v>240</v>
      </c>
      <c r="DJ1941" s="5" t="s">
        <v>240</v>
      </c>
      <c r="DK1941" s="5" t="s">
        <v>240</v>
      </c>
      <c r="DL1941" s="5" t="s">
        <v>240</v>
      </c>
      <c r="DP1941" s="5" t="s">
        <v>240</v>
      </c>
      <c r="DQ1941" s="5" t="s">
        <v>240</v>
      </c>
      <c r="DR1941" s="5" t="s">
        <v>240</v>
      </c>
      <c r="DS1941" s="5" t="s">
        <v>240</v>
      </c>
      <c r="DV1941" s="5" t="s">
        <v>310</v>
      </c>
      <c r="DW1941" s="5" t="s">
        <v>3830</v>
      </c>
      <c r="HO1941" s="5" t="s">
        <v>312</v>
      </c>
    </row>
    <row r="1942" spans="1:240" x14ac:dyDescent="0.4">
      <c r="A1942" s="5">
        <v>3646</v>
      </c>
      <c r="B1942" s="5">
        <v>1</v>
      </c>
      <c r="C1942" s="5">
        <v>1</v>
      </c>
      <c r="D1942" s="5" t="s">
        <v>810</v>
      </c>
      <c r="E1942" s="5" t="s">
        <v>245</v>
      </c>
      <c r="F1942" s="5" t="s">
        <v>254</v>
      </c>
      <c r="G1942" s="5" t="s">
        <v>240</v>
      </c>
      <c r="H1942" s="6" t="s">
        <v>4349</v>
      </c>
      <c r="I1942" s="5" t="s">
        <v>809</v>
      </c>
      <c r="J1942" s="8">
        <f>338</f>
        <v>338</v>
      </c>
      <c r="K1942" s="5" t="s">
        <v>308</v>
      </c>
      <c r="L1942" s="7">
        <f>1</f>
        <v>1</v>
      </c>
      <c r="M1942" s="7">
        <f>1</f>
        <v>1</v>
      </c>
      <c r="N1942" s="5" t="s">
        <v>242</v>
      </c>
      <c r="O1942" s="5">
        <v>1</v>
      </c>
      <c r="P1942" s="5" t="s">
        <v>294</v>
      </c>
      <c r="Q1942" s="5" t="s">
        <v>266</v>
      </c>
      <c r="R1942" s="5" t="s">
        <v>240</v>
      </c>
      <c r="S1942" s="5" t="s">
        <v>240</v>
      </c>
      <c r="T1942" s="5" t="s">
        <v>296</v>
      </c>
      <c r="U1942" s="5" t="s">
        <v>244</v>
      </c>
      <c r="V1942" s="5" t="s">
        <v>240</v>
      </c>
      <c r="Y1942" s="5" t="s">
        <v>240</v>
      </c>
      <c r="Z1942" s="6" t="s">
        <v>298</v>
      </c>
      <c r="AB1942" s="6" t="s">
        <v>240</v>
      </c>
      <c r="AE1942" s="6" t="s">
        <v>299</v>
      </c>
      <c r="AF1942" s="5" t="s">
        <v>248</v>
      </c>
      <c r="AG1942" s="5" t="s">
        <v>249</v>
      </c>
      <c r="AW1942" s="5" t="s">
        <v>251</v>
      </c>
      <c r="AX1942" s="5" t="s">
        <v>240</v>
      </c>
      <c r="AY1942" s="5" t="s">
        <v>253</v>
      </c>
      <c r="AZ1942" s="5" t="s">
        <v>240</v>
      </c>
      <c r="BA1942" s="5" t="s">
        <v>255</v>
      </c>
      <c r="BB1942" s="5" t="s">
        <v>240</v>
      </c>
      <c r="BD1942" s="5" t="s">
        <v>240</v>
      </c>
      <c r="BF1942" s="5" t="s">
        <v>301</v>
      </c>
      <c r="BG1942" s="6" t="s">
        <v>299</v>
      </c>
      <c r="BH1942" s="5" t="s">
        <v>302</v>
      </c>
      <c r="BI1942" s="5" t="s">
        <v>303</v>
      </c>
      <c r="BJ1942" s="5" t="s">
        <v>240</v>
      </c>
      <c r="BK1942" s="8">
        <f>0</f>
        <v>0</v>
      </c>
      <c r="BL1942" s="7">
        <f>0</f>
        <v>0</v>
      </c>
      <c r="BM1942" s="5" t="s">
        <v>258</v>
      </c>
      <c r="BN1942" s="5" t="s">
        <v>259</v>
      </c>
      <c r="CB1942" s="5" t="s">
        <v>240</v>
      </c>
      <c r="CC1942" s="5" t="s">
        <v>240</v>
      </c>
      <c r="CG1942" s="5" t="s">
        <v>304</v>
      </c>
      <c r="CH1942" s="5" t="s">
        <v>305</v>
      </c>
      <c r="CI1942" s="5" t="s">
        <v>240</v>
      </c>
      <c r="CL1942" s="6" t="s">
        <v>261</v>
      </c>
      <c r="CM1942" s="5" t="s">
        <v>240</v>
      </c>
      <c r="CN1942" s="5" t="s">
        <v>263</v>
      </c>
      <c r="CO1942" s="5" t="s">
        <v>240</v>
      </c>
      <c r="CP1942" s="5" t="s">
        <v>240</v>
      </c>
      <c r="CQ1942" s="5">
        <v>0</v>
      </c>
      <c r="CR1942" s="5" t="s">
        <v>306</v>
      </c>
      <c r="CS1942" s="5" t="s">
        <v>307</v>
      </c>
      <c r="CT1942" s="5" t="s">
        <v>307</v>
      </c>
      <c r="CU1942" s="5" t="s">
        <v>260</v>
      </c>
      <c r="CX1942" s="7">
        <f>1</f>
        <v>1</v>
      </c>
      <c r="CY1942" s="7">
        <f>0</f>
        <v>0</v>
      </c>
      <c r="DA1942" s="7">
        <f>0</f>
        <v>0</v>
      </c>
      <c r="DC1942" s="5" t="s">
        <v>812</v>
      </c>
      <c r="DD1942" s="5" t="s">
        <v>240</v>
      </c>
      <c r="DF1942" s="5" t="s">
        <v>812</v>
      </c>
      <c r="DG1942" s="7">
        <f>533</f>
        <v>533</v>
      </c>
      <c r="DI1942" s="5" t="s">
        <v>240</v>
      </c>
      <c r="DJ1942" s="5" t="s">
        <v>240</v>
      </c>
      <c r="DK1942" s="5" t="s">
        <v>240</v>
      </c>
      <c r="DL1942" s="5" t="s">
        <v>240</v>
      </c>
      <c r="DP1942" s="5" t="s">
        <v>240</v>
      </c>
      <c r="DQ1942" s="5" t="s">
        <v>240</v>
      </c>
      <c r="DR1942" s="5" t="s">
        <v>240</v>
      </c>
      <c r="DS1942" s="5" t="s">
        <v>240</v>
      </c>
      <c r="DV1942" s="5" t="s">
        <v>813</v>
      </c>
      <c r="DW1942" s="5" t="s">
        <v>3971</v>
      </c>
      <c r="HO1942" s="5" t="s">
        <v>312</v>
      </c>
    </row>
    <row r="1943" spans="1:240" x14ac:dyDescent="0.4">
      <c r="A1943" s="5">
        <v>3647</v>
      </c>
      <c r="B1943" s="5">
        <v>1</v>
      </c>
      <c r="C1943" s="5">
        <v>1</v>
      </c>
      <c r="D1943" s="5" t="s">
        <v>810</v>
      </c>
      <c r="E1943" s="5" t="s">
        <v>245</v>
      </c>
      <c r="F1943" s="5" t="s">
        <v>254</v>
      </c>
      <c r="G1943" s="5" t="s">
        <v>240</v>
      </c>
      <c r="H1943" s="6" t="s">
        <v>4348</v>
      </c>
      <c r="I1943" s="5" t="s">
        <v>809</v>
      </c>
      <c r="J1943" s="8">
        <f>1376</f>
        <v>1376</v>
      </c>
      <c r="K1943" s="5" t="s">
        <v>308</v>
      </c>
      <c r="L1943" s="7">
        <f>1</f>
        <v>1</v>
      </c>
      <c r="M1943" s="7">
        <f>1</f>
        <v>1</v>
      </c>
      <c r="N1943" s="5" t="s">
        <v>242</v>
      </c>
      <c r="O1943" s="5">
        <v>1</v>
      </c>
      <c r="P1943" s="5" t="s">
        <v>294</v>
      </c>
      <c r="Q1943" s="5" t="s">
        <v>266</v>
      </c>
      <c r="R1943" s="5" t="s">
        <v>240</v>
      </c>
      <c r="S1943" s="5" t="s">
        <v>240</v>
      </c>
      <c r="T1943" s="5" t="s">
        <v>296</v>
      </c>
      <c r="U1943" s="5" t="s">
        <v>244</v>
      </c>
      <c r="V1943" s="5" t="s">
        <v>240</v>
      </c>
      <c r="Y1943" s="5" t="s">
        <v>240</v>
      </c>
      <c r="Z1943" s="6" t="s">
        <v>298</v>
      </c>
      <c r="AB1943" s="6" t="s">
        <v>240</v>
      </c>
      <c r="AE1943" s="6" t="s">
        <v>299</v>
      </c>
      <c r="AF1943" s="5" t="s">
        <v>248</v>
      </c>
      <c r="AG1943" s="5" t="s">
        <v>249</v>
      </c>
      <c r="AW1943" s="5" t="s">
        <v>251</v>
      </c>
      <c r="AX1943" s="5" t="s">
        <v>240</v>
      </c>
      <c r="AY1943" s="5" t="s">
        <v>253</v>
      </c>
      <c r="AZ1943" s="5" t="s">
        <v>240</v>
      </c>
      <c r="BA1943" s="5" t="s">
        <v>255</v>
      </c>
      <c r="BB1943" s="5" t="s">
        <v>240</v>
      </c>
      <c r="BD1943" s="5" t="s">
        <v>240</v>
      </c>
      <c r="BF1943" s="5" t="s">
        <v>301</v>
      </c>
      <c r="BG1943" s="6" t="s">
        <v>299</v>
      </c>
      <c r="BH1943" s="5" t="s">
        <v>302</v>
      </c>
      <c r="BI1943" s="5" t="s">
        <v>303</v>
      </c>
      <c r="BJ1943" s="5" t="s">
        <v>240</v>
      </c>
      <c r="BK1943" s="8">
        <f>0</f>
        <v>0</v>
      </c>
      <c r="BL1943" s="7">
        <f>0</f>
        <v>0</v>
      </c>
      <c r="BM1943" s="5" t="s">
        <v>258</v>
      </c>
      <c r="BN1943" s="5" t="s">
        <v>259</v>
      </c>
      <c r="CB1943" s="5" t="s">
        <v>240</v>
      </c>
      <c r="CC1943" s="5" t="s">
        <v>240</v>
      </c>
      <c r="CG1943" s="5" t="s">
        <v>304</v>
      </c>
      <c r="CH1943" s="5" t="s">
        <v>305</v>
      </c>
      <c r="CI1943" s="5" t="s">
        <v>240</v>
      </c>
      <c r="CL1943" s="6" t="s">
        <v>261</v>
      </c>
      <c r="CM1943" s="5" t="s">
        <v>240</v>
      </c>
      <c r="CN1943" s="5" t="s">
        <v>263</v>
      </c>
      <c r="CO1943" s="5" t="s">
        <v>240</v>
      </c>
      <c r="CP1943" s="5" t="s">
        <v>240</v>
      </c>
      <c r="CQ1943" s="5">
        <v>0</v>
      </c>
      <c r="CR1943" s="5" t="s">
        <v>306</v>
      </c>
      <c r="CS1943" s="5" t="s">
        <v>307</v>
      </c>
      <c r="CT1943" s="5" t="s">
        <v>307</v>
      </c>
      <c r="CU1943" s="5" t="s">
        <v>260</v>
      </c>
      <c r="CX1943" s="7">
        <f>1</f>
        <v>1</v>
      </c>
      <c r="CY1943" s="7">
        <f>0</f>
        <v>0</v>
      </c>
      <c r="DA1943" s="7">
        <f>0</f>
        <v>0</v>
      </c>
      <c r="DC1943" s="5" t="s">
        <v>812</v>
      </c>
      <c r="DD1943" s="5" t="s">
        <v>240</v>
      </c>
      <c r="DF1943" s="5" t="s">
        <v>812</v>
      </c>
      <c r="DG1943" s="7">
        <f>1565</f>
        <v>1565</v>
      </c>
      <c r="DI1943" s="5" t="s">
        <v>240</v>
      </c>
      <c r="DJ1943" s="5" t="s">
        <v>240</v>
      </c>
      <c r="DK1943" s="5" t="s">
        <v>240</v>
      </c>
      <c r="DL1943" s="5" t="s">
        <v>240</v>
      </c>
      <c r="DP1943" s="5" t="s">
        <v>240</v>
      </c>
      <c r="DQ1943" s="5" t="s">
        <v>240</v>
      </c>
      <c r="DR1943" s="5" t="s">
        <v>240</v>
      </c>
      <c r="DS1943" s="5" t="s">
        <v>240</v>
      </c>
      <c r="DV1943" s="5" t="s">
        <v>813</v>
      </c>
      <c r="DW1943" s="5" t="s">
        <v>3973</v>
      </c>
      <c r="HO1943" s="5" t="s">
        <v>312</v>
      </c>
    </row>
    <row r="1944" spans="1:240" x14ac:dyDescent="0.4">
      <c r="A1944" s="5">
        <v>3648</v>
      </c>
      <c r="B1944" s="5">
        <v>1</v>
      </c>
      <c r="C1944" s="5">
        <v>1</v>
      </c>
      <c r="D1944" s="5" t="s">
        <v>810</v>
      </c>
      <c r="E1944" s="5" t="s">
        <v>245</v>
      </c>
      <c r="F1944" s="5" t="s">
        <v>254</v>
      </c>
      <c r="G1944" s="5" t="s">
        <v>240</v>
      </c>
      <c r="H1944" s="6" t="s">
        <v>5482</v>
      </c>
      <c r="I1944" s="5" t="s">
        <v>809</v>
      </c>
      <c r="J1944" s="8">
        <f>206</f>
        <v>206</v>
      </c>
      <c r="K1944" s="5" t="s">
        <v>308</v>
      </c>
      <c r="L1944" s="7">
        <f>1</f>
        <v>1</v>
      </c>
      <c r="M1944" s="7">
        <f>1</f>
        <v>1</v>
      </c>
      <c r="N1944" s="5" t="s">
        <v>242</v>
      </c>
      <c r="O1944" s="5">
        <v>1</v>
      </c>
      <c r="P1944" s="5" t="s">
        <v>294</v>
      </c>
      <c r="Q1944" s="5" t="s">
        <v>266</v>
      </c>
      <c r="R1944" s="5" t="s">
        <v>240</v>
      </c>
      <c r="S1944" s="5" t="s">
        <v>240</v>
      </c>
      <c r="T1944" s="5" t="s">
        <v>296</v>
      </c>
      <c r="U1944" s="5" t="s">
        <v>244</v>
      </c>
      <c r="V1944" s="5" t="s">
        <v>240</v>
      </c>
      <c r="Y1944" s="5" t="s">
        <v>240</v>
      </c>
      <c r="Z1944" s="6" t="s">
        <v>298</v>
      </c>
      <c r="AB1944" s="6" t="s">
        <v>240</v>
      </c>
      <c r="AE1944" s="6" t="s">
        <v>299</v>
      </c>
      <c r="AF1944" s="5" t="s">
        <v>248</v>
      </c>
      <c r="AG1944" s="5" t="s">
        <v>249</v>
      </c>
      <c r="AW1944" s="5" t="s">
        <v>251</v>
      </c>
      <c r="AX1944" s="5" t="s">
        <v>240</v>
      </c>
      <c r="AY1944" s="5" t="s">
        <v>253</v>
      </c>
      <c r="AZ1944" s="5" t="s">
        <v>240</v>
      </c>
      <c r="BA1944" s="5" t="s">
        <v>255</v>
      </c>
      <c r="BB1944" s="5" t="s">
        <v>240</v>
      </c>
      <c r="BD1944" s="5" t="s">
        <v>240</v>
      </c>
      <c r="BF1944" s="5" t="s">
        <v>301</v>
      </c>
      <c r="BG1944" s="6" t="s">
        <v>299</v>
      </c>
      <c r="BH1944" s="5" t="s">
        <v>302</v>
      </c>
      <c r="BI1944" s="5" t="s">
        <v>303</v>
      </c>
      <c r="BJ1944" s="5" t="s">
        <v>240</v>
      </c>
      <c r="BK1944" s="8">
        <f>0</f>
        <v>0</v>
      </c>
      <c r="BL1944" s="7">
        <f>0</f>
        <v>0</v>
      </c>
      <c r="BM1944" s="5" t="s">
        <v>258</v>
      </c>
      <c r="BN1944" s="5" t="s">
        <v>259</v>
      </c>
      <c r="CB1944" s="5" t="s">
        <v>240</v>
      </c>
      <c r="CC1944" s="5" t="s">
        <v>240</v>
      </c>
      <c r="CG1944" s="5" t="s">
        <v>304</v>
      </c>
      <c r="CH1944" s="5" t="s">
        <v>305</v>
      </c>
      <c r="CI1944" s="5" t="s">
        <v>240</v>
      </c>
      <c r="CL1944" s="6" t="s">
        <v>261</v>
      </c>
      <c r="CM1944" s="5" t="s">
        <v>240</v>
      </c>
      <c r="CN1944" s="5" t="s">
        <v>263</v>
      </c>
      <c r="CO1944" s="5" t="s">
        <v>240</v>
      </c>
      <c r="CP1944" s="5" t="s">
        <v>240</v>
      </c>
      <c r="CQ1944" s="5">
        <v>0</v>
      </c>
      <c r="CR1944" s="5" t="s">
        <v>306</v>
      </c>
      <c r="CS1944" s="5" t="s">
        <v>307</v>
      </c>
      <c r="CT1944" s="5" t="s">
        <v>307</v>
      </c>
      <c r="CU1944" s="5" t="s">
        <v>260</v>
      </c>
      <c r="CX1944" s="7">
        <f>1</f>
        <v>1</v>
      </c>
      <c r="CY1944" s="7">
        <f>0</f>
        <v>0</v>
      </c>
      <c r="DA1944" s="7">
        <f>0</f>
        <v>0</v>
      </c>
      <c r="DC1944" s="5" t="s">
        <v>812</v>
      </c>
      <c r="DD1944" s="5" t="s">
        <v>240</v>
      </c>
      <c r="DF1944" s="5" t="s">
        <v>812</v>
      </c>
      <c r="DG1944" s="7">
        <f>1224</f>
        <v>1224</v>
      </c>
      <c r="DI1944" s="5" t="s">
        <v>240</v>
      </c>
      <c r="DJ1944" s="5" t="s">
        <v>240</v>
      </c>
      <c r="DK1944" s="5" t="s">
        <v>240</v>
      </c>
      <c r="DL1944" s="5" t="s">
        <v>240</v>
      </c>
      <c r="DP1944" s="5" t="s">
        <v>240</v>
      </c>
      <c r="DQ1944" s="5" t="s">
        <v>240</v>
      </c>
      <c r="DR1944" s="5" t="s">
        <v>240</v>
      </c>
      <c r="DS1944" s="5" t="s">
        <v>240</v>
      </c>
      <c r="DV1944" s="5" t="s">
        <v>813</v>
      </c>
      <c r="DW1944" s="5" t="s">
        <v>3975</v>
      </c>
      <c r="HO1944" s="5" t="s">
        <v>312</v>
      </c>
    </row>
    <row r="1945" spans="1:240" x14ac:dyDescent="0.4">
      <c r="A1945" s="5">
        <v>3649</v>
      </c>
      <c r="B1945" s="5">
        <v>1</v>
      </c>
      <c r="C1945" s="5">
        <v>1</v>
      </c>
      <c r="D1945" s="5" t="s">
        <v>810</v>
      </c>
      <c r="E1945" s="5" t="s">
        <v>245</v>
      </c>
      <c r="F1945" s="5" t="s">
        <v>254</v>
      </c>
      <c r="G1945" s="5" t="s">
        <v>240</v>
      </c>
      <c r="H1945" s="6" t="s">
        <v>4346</v>
      </c>
      <c r="I1945" s="5" t="s">
        <v>809</v>
      </c>
      <c r="J1945" s="8">
        <f>978</f>
        <v>978</v>
      </c>
      <c r="K1945" s="5" t="s">
        <v>308</v>
      </c>
      <c r="L1945" s="7">
        <f>1</f>
        <v>1</v>
      </c>
      <c r="M1945" s="7">
        <f>1</f>
        <v>1</v>
      </c>
      <c r="N1945" s="5" t="s">
        <v>242</v>
      </c>
      <c r="O1945" s="5">
        <v>1</v>
      </c>
      <c r="P1945" s="5" t="s">
        <v>294</v>
      </c>
      <c r="Q1945" s="5" t="s">
        <v>266</v>
      </c>
      <c r="R1945" s="5" t="s">
        <v>240</v>
      </c>
      <c r="S1945" s="5" t="s">
        <v>240</v>
      </c>
      <c r="T1945" s="5" t="s">
        <v>296</v>
      </c>
      <c r="U1945" s="5" t="s">
        <v>244</v>
      </c>
      <c r="V1945" s="5" t="s">
        <v>240</v>
      </c>
      <c r="Y1945" s="5" t="s">
        <v>240</v>
      </c>
      <c r="Z1945" s="6" t="s">
        <v>298</v>
      </c>
      <c r="AB1945" s="6" t="s">
        <v>240</v>
      </c>
      <c r="AE1945" s="6" t="s">
        <v>299</v>
      </c>
      <c r="AF1945" s="5" t="s">
        <v>248</v>
      </c>
      <c r="AG1945" s="5" t="s">
        <v>249</v>
      </c>
      <c r="AW1945" s="5" t="s">
        <v>251</v>
      </c>
      <c r="AX1945" s="5" t="s">
        <v>240</v>
      </c>
      <c r="AY1945" s="5" t="s">
        <v>253</v>
      </c>
      <c r="AZ1945" s="5" t="s">
        <v>240</v>
      </c>
      <c r="BA1945" s="5" t="s">
        <v>255</v>
      </c>
      <c r="BB1945" s="5" t="s">
        <v>240</v>
      </c>
      <c r="BD1945" s="5" t="s">
        <v>240</v>
      </c>
      <c r="BF1945" s="5" t="s">
        <v>301</v>
      </c>
      <c r="BG1945" s="6" t="s">
        <v>299</v>
      </c>
      <c r="BH1945" s="5" t="s">
        <v>302</v>
      </c>
      <c r="BI1945" s="5" t="s">
        <v>303</v>
      </c>
      <c r="BJ1945" s="5" t="s">
        <v>240</v>
      </c>
      <c r="BK1945" s="8">
        <f>0</f>
        <v>0</v>
      </c>
      <c r="BL1945" s="7">
        <f>0</f>
        <v>0</v>
      </c>
      <c r="BM1945" s="5" t="s">
        <v>258</v>
      </c>
      <c r="BN1945" s="5" t="s">
        <v>259</v>
      </c>
      <c r="CB1945" s="5" t="s">
        <v>240</v>
      </c>
      <c r="CC1945" s="5" t="s">
        <v>240</v>
      </c>
      <c r="CG1945" s="5" t="s">
        <v>304</v>
      </c>
      <c r="CH1945" s="5" t="s">
        <v>305</v>
      </c>
      <c r="CI1945" s="5" t="s">
        <v>240</v>
      </c>
      <c r="CL1945" s="6" t="s">
        <v>261</v>
      </c>
      <c r="CM1945" s="5" t="s">
        <v>240</v>
      </c>
      <c r="CN1945" s="5" t="s">
        <v>263</v>
      </c>
      <c r="CO1945" s="5" t="s">
        <v>240</v>
      </c>
      <c r="CP1945" s="5" t="s">
        <v>240</v>
      </c>
      <c r="CQ1945" s="5">
        <v>0</v>
      </c>
      <c r="CR1945" s="5" t="s">
        <v>306</v>
      </c>
      <c r="CS1945" s="5" t="s">
        <v>307</v>
      </c>
      <c r="CT1945" s="5" t="s">
        <v>307</v>
      </c>
      <c r="CU1945" s="5" t="s">
        <v>260</v>
      </c>
      <c r="CX1945" s="7">
        <f>1</f>
        <v>1</v>
      </c>
      <c r="CY1945" s="7">
        <f>0</f>
        <v>0</v>
      </c>
      <c r="DA1945" s="7">
        <f>0</f>
        <v>0</v>
      </c>
      <c r="DC1945" s="5" t="s">
        <v>812</v>
      </c>
      <c r="DD1945" s="5" t="s">
        <v>240</v>
      </c>
      <c r="DF1945" s="5" t="s">
        <v>812</v>
      </c>
      <c r="DG1945" s="7">
        <f>168</f>
        <v>168</v>
      </c>
      <c r="DI1945" s="5" t="s">
        <v>240</v>
      </c>
      <c r="DJ1945" s="5" t="s">
        <v>240</v>
      </c>
      <c r="DK1945" s="5" t="s">
        <v>240</v>
      </c>
      <c r="DL1945" s="5" t="s">
        <v>240</v>
      </c>
      <c r="DP1945" s="5" t="s">
        <v>240</v>
      </c>
      <c r="DQ1945" s="5" t="s">
        <v>240</v>
      </c>
      <c r="DR1945" s="5" t="s">
        <v>240</v>
      </c>
      <c r="DS1945" s="5" t="s">
        <v>240</v>
      </c>
      <c r="DV1945" s="5" t="s">
        <v>813</v>
      </c>
      <c r="DW1945" s="5" t="s">
        <v>3977</v>
      </c>
      <c r="HO1945" s="5" t="s">
        <v>312</v>
      </c>
    </row>
    <row r="1946" spans="1:240" x14ac:dyDescent="0.4">
      <c r="A1946" s="5">
        <v>3650</v>
      </c>
      <c r="B1946" s="5">
        <v>1</v>
      </c>
      <c r="C1946" s="5">
        <v>1</v>
      </c>
      <c r="D1946" s="5" t="s">
        <v>810</v>
      </c>
      <c r="E1946" s="5" t="s">
        <v>245</v>
      </c>
      <c r="F1946" s="5" t="s">
        <v>254</v>
      </c>
      <c r="G1946" s="5" t="s">
        <v>240</v>
      </c>
      <c r="H1946" s="6" t="s">
        <v>4345</v>
      </c>
      <c r="I1946" s="5" t="s">
        <v>809</v>
      </c>
      <c r="J1946" s="8">
        <f>3156</f>
        <v>3156</v>
      </c>
      <c r="K1946" s="5" t="s">
        <v>308</v>
      </c>
      <c r="L1946" s="7">
        <f>1</f>
        <v>1</v>
      </c>
      <c r="M1946" s="7">
        <f>1</f>
        <v>1</v>
      </c>
      <c r="N1946" s="5" t="s">
        <v>242</v>
      </c>
      <c r="O1946" s="5">
        <v>1</v>
      </c>
      <c r="P1946" s="5" t="s">
        <v>294</v>
      </c>
      <c r="Q1946" s="5" t="s">
        <v>266</v>
      </c>
      <c r="R1946" s="5" t="s">
        <v>240</v>
      </c>
      <c r="S1946" s="5" t="s">
        <v>240</v>
      </c>
      <c r="T1946" s="5" t="s">
        <v>296</v>
      </c>
      <c r="U1946" s="5" t="s">
        <v>244</v>
      </c>
      <c r="V1946" s="5" t="s">
        <v>240</v>
      </c>
      <c r="Y1946" s="5" t="s">
        <v>240</v>
      </c>
      <c r="Z1946" s="6" t="s">
        <v>298</v>
      </c>
      <c r="AB1946" s="6" t="s">
        <v>240</v>
      </c>
      <c r="AE1946" s="6" t="s">
        <v>299</v>
      </c>
      <c r="AF1946" s="5" t="s">
        <v>248</v>
      </c>
      <c r="AG1946" s="5" t="s">
        <v>249</v>
      </c>
      <c r="AW1946" s="5" t="s">
        <v>251</v>
      </c>
      <c r="AX1946" s="5" t="s">
        <v>240</v>
      </c>
      <c r="AY1946" s="5" t="s">
        <v>253</v>
      </c>
      <c r="AZ1946" s="5" t="s">
        <v>240</v>
      </c>
      <c r="BA1946" s="5" t="s">
        <v>255</v>
      </c>
      <c r="BB1946" s="5" t="s">
        <v>240</v>
      </c>
      <c r="BD1946" s="5" t="s">
        <v>240</v>
      </c>
      <c r="BF1946" s="5" t="s">
        <v>301</v>
      </c>
      <c r="BG1946" s="6" t="s">
        <v>299</v>
      </c>
      <c r="BH1946" s="5" t="s">
        <v>302</v>
      </c>
      <c r="BI1946" s="5" t="s">
        <v>303</v>
      </c>
      <c r="BJ1946" s="5" t="s">
        <v>240</v>
      </c>
      <c r="BK1946" s="8">
        <f>0</f>
        <v>0</v>
      </c>
      <c r="BL1946" s="7">
        <f>0</f>
        <v>0</v>
      </c>
      <c r="BM1946" s="5" t="s">
        <v>258</v>
      </c>
      <c r="BN1946" s="5" t="s">
        <v>259</v>
      </c>
      <c r="CB1946" s="5" t="s">
        <v>240</v>
      </c>
      <c r="CC1946" s="5" t="s">
        <v>240</v>
      </c>
      <c r="CG1946" s="5" t="s">
        <v>304</v>
      </c>
      <c r="CH1946" s="5" t="s">
        <v>305</v>
      </c>
      <c r="CI1946" s="5" t="s">
        <v>240</v>
      </c>
      <c r="CL1946" s="6" t="s">
        <v>261</v>
      </c>
      <c r="CM1946" s="5" t="s">
        <v>240</v>
      </c>
      <c r="CN1946" s="5" t="s">
        <v>263</v>
      </c>
      <c r="CO1946" s="5" t="s">
        <v>240</v>
      </c>
      <c r="CP1946" s="5" t="s">
        <v>240</v>
      </c>
      <c r="CQ1946" s="5">
        <v>0</v>
      </c>
      <c r="CR1946" s="5" t="s">
        <v>306</v>
      </c>
      <c r="CS1946" s="5" t="s">
        <v>307</v>
      </c>
      <c r="CT1946" s="5" t="s">
        <v>307</v>
      </c>
      <c r="CU1946" s="5" t="s">
        <v>260</v>
      </c>
      <c r="CX1946" s="7">
        <f>1</f>
        <v>1</v>
      </c>
      <c r="CY1946" s="7">
        <f>0</f>
        <v>0</v>
      </c>
      <c r="DA1946" s="7">
        <f>0</f>
        <v>0</v>
      </c>
      <c r="DC1946" s="5" t="s">
        <v>812</v>
      </c>
      <c r="DD1946" s="5" t="s">
        <v>240</v>
      </c>
      <c r="DF1946" s="5" t="s">
        <v>812</v>
      </c>
      <c r="DG1946" s="7">
        <f>296</f>
        <v>296</v>
      </c>
      <c r="DI1946" s="5" t="s">
        <v>240</v>
      </c>
      <c r="DJ1946" s="5" t="s">
        <v>240</v>
      </c>
      <c r="DK1946" s="5" t="s">
        <v>240</v>
      </c>
      <c r="DL1946" s="5" t="s">
        <v>240</v>
      </c>
      <c r="DP1946" s="5" t="s">
        <v>240</v>
      </c>
      <c r="DQ1946" s="5" t="s">
        <v>240</v>
      </c>
      <c r="DR1946" s="5" t="s">
        <v>240</v>
      </c>
      <c r="DS1946" s="5" t="s">
        <v>240</v>
      </c>
      <c r="DV1946" s="5" t="s">
        <v>813</v>
      </c>
      <c r="DW1946" s="5" t="s">
        <v>3979</v>
      </c>
      <c r="HO1946" s="5" t="s">
        <v>312</v>
      </c>
    </row>
    <row r="1947" spans="1:240" x14ac:dyDescent="0.4">
      <c r="A1947" s="5">
        <v>3651</v>
      </c>
      <c r="B1947" s="5">
        <v>1</v>
      </c>
      <c r="C1947" s="5">
        <v>1</v>
      </c>
      <c r="D1947" s="5" t="s">
        <v>810</v>
      </c>
      <c r="E1947" s="5" t="s">
        <v>245</v>
      </c>
      <c r="F1947" s="5" t="s">
        <v>254</v>
      </c>
      <c r="G1947" s="5" t="s">
        <v>240</v>
      </c>
      <c r="H1947" s="6" t="s">
        <v>4344</v>
      </c>
      <c r="I1947" s="5" t="s">
        <v>809</v>
      </c>
      <c r="J1947" s="8">
        <f>825</f>
        <v>825</v>
      </c>
      <c r="K1947" s="5" t="s">
        <v>308</v>
      </c>
      <c r="L1947" s="7">
        <f>1</f>
        <v>1</v>
      </c>
      <c r="M1947" s="7">
        <f>1</f>
        <v>1</v>
      </c>
      <c r="N1947" s="5" t="s">
        <v>242</v>
      </c>
      <c r="O1947" s="5">
        <v>1</v>
      </c>
      <c r="P1947" s="5" t="s">
        <v>294</v>
      </c>
      <c r="Q1947" s="5" t="s">
        <v>266</v>
      </c>
      <c r="R1947" s="5" t="s">
        <v>240</v>
      </c>
      <c r="S1947" s="5" t="s">
        <v>240</v>
      </c>
      <c r="T1947" s="5" t="s">
        <v>296</v>
      </c>
      <c r="U1947" s="5" t="s">
        <v>244</v>
      </c>
      <c r="V1947" s="5" t="s">
        <v>240</v>
      </c>
      <c r="Y1947" s="5" t="s">
        <v>240</v>
      </c>
      <c r="Z1947" s="6" t="s">
        <v>298</v>
      </c>
      <c r="AB1947" s="6" t="s">
        <v>240</v>
      </c>
      <c r="AE1947" s="6" t="s">
        <v>299</v>
      </c>
      <c r="AF1947" s="5" t="s">
        <v>248</v>
      </c>
      <c r="AG1947" s="5" t="s">
        <v>249</v>
      </c>
      <c r="AW1947" s="5" t="s">
        <v>251</v>
      </c>
      <c r="AX1947" s="5" t="s">
        <v>240</v>
      </c>
      <c r="AY1947" s="5" t="s">
        <v>253</v>
      </c>
      <c r="AZ1947" s="5" t="s">
        <v>240</v>
      </c>
      <c r="BA1947" s="5" t="s">
        <v>255</v>
      </c>
      <c r="BB1947" s="5" t="s">
        <v>240</v>
      </c>
      <c r="BD1947" s="5" t="s">
        <v>240</v>
      </c>
      <c r="BF1947" s="5" t="s">
        <v>301</v>
      </c>
      <c r="BG1947" s="6" t="s">
        <v>299</v>
      </c>
      <c r="BH1947" s="5" t="s">
        <v>302</v>
      </c>
      <c r="BI1947" s="5" t="s">
        <v>303</v>
      </c>
      <c r="BJ1947" s="5" t="s">
        <v>240</v>
      </c>
      <c r="BK1947" s="8">
        <f>0</f>
        <v>0</v>
      </c>
      <c r="BL1947" s="7">
        <f>0</f>
        <v>0</v>
      </c>
      <c r="BM1947" s="5" t="s">
        <v>258</v>
      </c>
      <c r="BN1947" s="5" t="s">
        <v>259</v>
      </c>
      <c r="CB1947" s="5" t="s">
        <v>240</v>
      </c>
      <c r="CC1947" s="5" t="s">
        <v>240</v>
      </c>
      <c r="CG1947" s="5" t="s">
        <v>304</v>
      </c>
      <c r="CH1947" s="5" t="s">
        <v>305</v>
      </c>
      <c r="CI1947" s="5" t="s">
        <v>240</v>
      </c>
      <c r="CL1947" s="6" t="s">
        <v>261</v>
      </c>
      <c r="CM1947" s="5" t="s">
        <v>240</v>
      </c>
      <c r="CN1947" s="5" t="s">
        <v>263</v>
      </c>
      <c r="CO1947" s="5" t="s">
        <v>240</v>
      </c>
      <c r="CP1947" s="5" t="s">
        <v>240</v>
      </c>
      <c r="CQ1947" s="5">
        <v>0</v>
      </c>
      <c r="CR1947" s="5" t="s">
        <v>306</v>
      </c>
      <c r="CS1947" s="5" t="s">
        <v>307</v>
      </c>
      <c r="CT1947" s="5" t="s">
        <v>307</v>
      </c>
      <c r="CU1947" s="5" t="s">
        <v>260</v>
      </c>
      <c r="CX1947" s="7">
        <f>1</f>
        <v>1</v>
      </c>
      <c r="CY1947" s="7">
        <f>0</f>
        <v>0</v>
      </c>
      <c r="DA1947" s="7">
        <f>0</f>
        <v>0</v>
      </c>
      <c r="DC1947" s="5" t="s">
        <v>812</v>
      </c>
      <c r="DD1947" s="5" t="s">
        <v>240</v>
      </c>
      <c r="DF1947" s="5" t="s">
        <v>812</v>
      </c>
      <c r="DG1947" s="7">
        <f>52</f>
        <v>52</v>
      </c>
      <c r="DI1947" s="5" t="s">
        <v>240</v>
      </c>
      <c r="DJ1947" s="5" t="s">
        <v>240</v>
      </c>
      <c r="DK1947" s="5" t="s">
        <v>240</v>
      </c>
      <c r="DL1947" s="5" t="s">
        <v>240</v>
      </c>
      <c r="DP1947" s="5" t="s">
        <v>240</v>
      </c>
      <c r="DQ1947" s="5" t="s">
        <v>240</v>
      </c>
      <c r="DR1947" s="5" t="s">
        <v>240</v>
      </c>
      <c r="DS1947" s="5" t="s">
        <v>240</v>
      </c>
      <c r="DV1947" s="5" t="s">
        <v>813</v>
      </c>
      <c r="DW1947" s="5" t="s">
        <v>3981</v>
      </c>
      <c r="HO1947" s="5" t="s">
        <v>312</v>
      </c>
    </row>
    <row r="1948" spans="1:240" x14ac:dyDescent="0.4">
      <c r="A1948" s="5">
        <v>3652</v>
      </c>
      <c r="B1948" s="5">
        <v>1</v>
      </c>
      <c r="C1948" s="5">
        <v>1</v>
      </c>
      <c r="D1948" s="5" t="s">
        <v>810</v>
      </c>
      <c r="E1948" s="5" t="s">
        <v>245</v>
      </c>
      <c r="F1948" s="5" t="s">
        <v>254</v>
      </c>
      <c r="G1948" s="5" t="s">
        <v>240</v>
      </c>
      <c r="H1948" s="6" t="s">
        <v>4343</v>
      </c>
      <c r="I1948" s="5" t="s">
        <v>809</v>
      </c>
      <c r="J1948" s="8">
        <f>2168</f>
        <v>2168</v>
      </c>
      <c r="K1948" s="5" t="s">
        <v>308</v>
      </c>
      <c r="L1948" s="7">
        <f>1</f>
        <v>1</v>
      </c>
      <c r="M1948" s="7">
        <f>1</f>
        <v>1</v>
      </c>
      <c r="N1948" s="5" t="s">
        <v>242</v>
      </c>
      <c r="O1948" s="5">
        <v>1</v>
      </c>
      <c r="P1948" s="5" t="s">
        <v>294</v>
      </c>
      <c r="Q1948" s="5" t="s">
        <v>266</v>
      </c>
      <c r="R1948" s="5" t="s">
        <v>240</v>
      </c>
      <c r="S1948" s="5" t="s">
        <v>240</v>
      </c>
      <c r="T1948" s="5" t="s">
        <v>296</v>
      </c>
      <c r="U1948" s="5" t="s">
        <v>244</v>
      </c>
      <c r="V1948" s="5" t="s">
        <v>240</v>
      </c>
      <c r="Y1948" s="5" t="s">
        <v>240</v>
      </c>
      <c r="Z1948" s="6" t="s">
        <v>298</v>
      </c>
      <c r="AB1948" s="6" t="s">
        <v>240</v>
      </c>
      <c r="AE1948" s="6" t="s">
        <v>299</v>
      </c>
      <c r="AF1948" s="5" t="s">
        <v>248</v>
      </c>
      <c r="AG1948" s="5" t="s">
        <v>249</v>
      </c>
      <c r="AW1948" s="5" t="s">
        <v>251</v>
      </c>
      <c r="AX1948" s="5" t="s">
        <v>240</v>
      </c>
      <c r="AY1948" s="5" t="s">
        <v>253</v>
      </c>
      <c r="AZ1948" s="5" t="s">
        <v>240</v>
      </c>
      <c r="BA1948" s="5" t="s">
        <v>255</v>
      </c>
      <c r="BB1948" s="5" t="s">
        <v>240</v>
      </c>
      <c r="BD1948" s="5" t="s">
        <v>240</v>
      </c>
      <c r="BF1948" s="5" t="s">
        <v>301</v>
      </c>
      <c r="BG1948" s="6" t="s">
        <v>299</v>
      </c>
      <c r="BH1948" s="5" t="s">
        <v>302</v>
      </c>
      <c r="BI1948" s="5" t="s">
        <v>303</v>
      </c>
      <c r="BJ1948" s="5" t="s">
        <v>240</v>
      </c>
      <c r="BK1948" s="8">
        <f>0</f>
        <v>0</v>
      </c>
      <c r="BL1948" s="7">
        <f>0</f>
        <v>0</v>
      </c>
      <c r="BM1948" s="5" t="s">
        <v>258</v>
      </c>
      <c r="BN1948" s="5" t="s">
        <v>259</v>
      </c>
      <c r="CB1948" s="5" t="s">
        <v>240</v>
      </c>
      <c r="CC1948" s="5" t="s">
        <v>240</v>
      </c>
      <c r="CG1948" s="5" t="s">
        <v>304</v>
      </c>
      <c r="CH1948" s="5" t="s">
        <v>305</v>
      </c>
      <c r="CI1948" s="5" t="s">
        <v>240</v>
      </c>
      <c r="CL1948" s="6" t="s">
        <v>261</v>
      </c>
      <c r="CM1948" s="5" t="s">
        <v>240</v>
      </c>
      <c r="CN1948" s="5" t="s">
        <v>263</v>
      </c>
      <c r="CO1948" s="5" t="s">
        <v>240</v>
      </c>
      <c r="CP1948" s="5" t="s">
        <v>240</v>
      </c>
      <c r="CQ1948" s="5">
        <v>0</v>
      </c>
      <c r="CR1948" s="5" t="s">
        <v>306</v>
      </c>
      <c r="CS1948" s="5" t="s">
        <v>307</v>
      </c>
      <c r="CT1948" s="5" t="s">
        <v>307</v>
      </c>
      <c r="CU1948" s="5" t="s">
        <v>260</v>
      </c>
      <c r="CX1948" s="7">
        <f>1</f>
        <v>1</v>
      </c>
      <c r="CY1948" s="7">
        <f>0</f>
        <v>0</v>
      </c>
      <c r="DA1948" s="7">
        <f>0</f>
        <v>0</v>
      </c>
      <c r="DC1948" s="5" t="s">
        <v>812</v>
      </c>
      <c r="DD1948" s="5" t="s">
        <v>240</v>
      </c>
      <c r="DF1948" s="5" t="s">
        <v>812</v>
      </c>
      <c r="DG1948" s="7">
        <f>754</f>
        <v>754</v>
      </c>
      <c r="DI1948" s="5" t="s">
        <v>240</v>
      </c>
      <c r="DJ1948" s="5" t="s">
        <v>240</v>
      </c>
      <c r="DK1948" s="5" t="s">
        <v>240</v>
      </c>
      <c r="DL1948" s="5" t="s">
        <v>240</v>
      </c>
      <c r="DP1948" s="5" t="s">
        <v>240</v>
      </c>
      <c r="DQ1948" s="5" t="s">
        <v>240</v>
      </c>
      <c r="DR1948" s="5" t="s">
        <v>240</v>
      </c>
      <c r="DS1948" s="5" t="s">
        <v>240</v>
      </c>
      <c r="DV1948" s="5" t="s">
        <v>813</v>
      </c>
      <c r="DW1948" s="5" t="s">
        <v>3983</v>
      </c>
      <c r="HO1948" s="5" t="s">
        <v>312</v>
      </c>
    </row>
    <row r="1949" spans="1:240" x14ac:dyDescent="0.4">
      <c r="A1949" s="5">
        <v>3653</v>
      </c>
      <c r="B1949" s="5">
        <v>1</v>
      </c>
      <c r="C1949" s="5">
        <v>1</v>
      </c>
      <c r="D1949" s="5" t="s">
        <v>810</v>
      </c>
      <c r="E1949" s="5" t="s">
        <v>245</v>
      </c>
      <c r="F1949" s="5" t="s">
        <v>254</v>
      </c>
      <c r="G1949" s="5" t="s">
        <v>240</v>
      </c>
      <c r="H1949" s="6" t="s">
        <v>4342</v>
      </c>
      <c r="I1949" s="5" t="s">
        <v>809</v>
      </c>
      <c r="J1949" s="8">
        <f>2591</f>
        <v>2591</v>
      </c>
      <c r="K1949" s="5" t="s">
        <v>308</v>
      </c>
      <c r="L1949" s="7">
        <f>1</f>
        <v>1</v>
      </c>
      <c r="M1949" s="7">
        <f>1</f>
        <v>1</v>
      </c>
      <c r="N1949" s="5" t="s">
        <v>242</v>
      </c>
      <c r="O1949" s="5">
        <v>1</v>
      </c>
      <c r="P1949" s="5" t="s">
        <v>294</v>
      </c>
      <c r="Q1949" s="5" t="s">
        <v>266</v>
      </c>
      <c r="R1949" s="5" t="s">
        <v>240</v>
      </c>
      <c r="S1949" s="5" t="s">
        <v>240</v>
      </c>
      <c r="T1949" s="5" t="s">
        <v>296</v>
      </c>
      <c r="U1949" s="5" t="s">
        <v>244</v>
      </c>
      <c r="V1949" s="5" t="s">
        <v>240</v>
      </c>
      <c r="Y1949" s="5" t="s">
        <v>240</v>
      </c>
      <c r="Z1949" s="6" t="s">
        <v>298</v>
      </c>
      <c r="AB1949" s="6" t="s">
        <v>240</v>
      </c>
      <c r="AE1949" s="6" t="s">
        <v>299</v>
      </c>
      <c r="AF1949" s="5" t="s">
        <v>248</v>
      </c>
      <c r="AG1949" s="5" t="s">
        <v>249</v>
      </c>
      <c r="AW1949" s="5" t="s">
        <v>251</v>
      </c>
      <c r="AX1949" s="5" t="s">
        <v>240</v>
      </c>
      <c r="AY1949" s="5" t="s">
        <v>253</v>
      </c>
      <c r="AZ1949" s="5" t="s">
        <v>240</v>
      </c>
      <c r="BA1949" s="5" t="s">
        <v>255</v>
      </c>
      <c r="BB1949" s="5" t="s">
        <v>240</v>
      </c>
      <c r="BD1949" s="5" t="s">
        <v>240</v>
      </c>
      <c r="BF1949" s="5" t="s">
        <v>301</v>
      </c>
      <c r="BG1949" s="6" t="s">
        <v>299</v>
      </c>
      <c r="BH1949" s="5" t="s">
        <v>302</v>
      </c>
      <c r="BI1949" s="5" t="s">
        <v>303</v>
      </c>
      <c r="BJ1949" s="5" t="s">
        <v>240</v>
      </c>
      <c r="BK1949" s="8">
        <f>0</f>
        <v>0</v>
      </c>
      <c r="BL1949" s="7">
        <f>0</f>
        <v>0</v>
      </c>
      <c r="BM1949" s="5" t="s">
        <v>258</v>
      </c>
      <c r="BN1949" s="5" t="s">
        <v>259</v>
      </c>
      <c r="CB1949" s="5" t="s">
        <v>240</v>
      </c>
      <c r="CC1949" s="5" t="s">
        <v>240</v>
      </c>
      <c r="CG1949" s="5" t="s">
        <v>304</v>
      </c>
      <c r="CH1949" s="5" t="s">
        <v>305</v>
      </c>
      <c r="CI1949" s="5" t="s">
        <v>240</v>
      </c>
      <c r="CL1949" s="6" t="s">
        <v>261</v>
      </c>
      <c r="CM1949" s="5" t="s">
        <v>240</v>
      </c>
      <c r="CN1949" s="5" t="s">
        <v>263</v>
      </c>
      <c r="CO1949" s="5" t="s">
        <v>240</v>
      </c>
      <c r="CP1949" s="5" t="s">
        <v>240</v>
      </c>
      <c r="CQ1949" s="5">
        <v>0</v>
      </c>
      <c r="CR1949" s="5" t="s">
        <v>306</v>
      </c>
      <c r="CS1949" s="5" t="s">
        <v>307</v>
      </c>
      <c r="CT1949" s="5" t="s">
        <v>307</v>
      </c>
      <c r="CU1949" s="5" t="s">
        <v>260</v>
      </c>
      <c r="CX1949" s="7">
        <f>1</f>
        <v>1</v>
      </c>
      <c r="CY1949" s="7">
        <f>0</f>
        <v>0</v>
      </c>
      <c r="DA1949" s="7">
        <f>0</f>
        <v>0</v>
      </c>
      <c r="DC1949" s="5" t="s">
        <v>812</v>
      </c>
      <c r="DD1949" s="5" t="s">
        <v>240</v>
      </c>
      <c r="DF1949" s="5" t="s">
        <v>812</v>
      </c>
      <c r="DG1949" s="7">
        <f>210</f>
        <v>210</v>
      </c>
      <c r="DI1949" s="5" t="s">
        <v>240</v>
      </c>
      <c r="DJ1949" s="5" t="s">
        <v>240</v>
      </c>
      <c r="DK1949" s="5" t="s">
        <v>240</v>
      </c>
      <c r="DL1949" s="5" t="s">
        <v>240</v>
      </c>
      <c r="DP1949" s="5" t="s">
        <v>240</v>
      </c>
      <c r="DQ1949" s="5" t="s">
        <v>240</v>
      </c>
      <c r="DR1949" s="5" t="s">
        <v>240</v>
      </c>
      <c r="DS1949" s="5" t="s">
        <v>240</v>
      </c>
      <c r="DV1949" s="5" t="s">
        <v>813</v>
      </c>
      <c r="DW1949" s="5" t="s">
        <v>3985</v>
      </c>
      <c r="HO1949" s="5" t="s">
        <v>312</v>
      </c>
    </row>
    <row r="1950" spans="1:240" x14ac:dyDescent="0.4">
      <c r="A1950" s="5">
        <v>3654</v>
      </c>
      <c r="B1950" s="5">
        <v>1</v>
      </c>
      <c r="C1950" s="5">
        <v>1</v>
      </c>
      <c r="D1950" s="5" t="s">
        <v>810</v>
      </c>
      <c r="E1950" s="5" t="s">
        <v>245</v>
      </c>
      <c r="F1950" s="5" t="s">
        <v>254</v>
      </c>
      <c r="G1950" s="5" t="s">
        <v>240</v>
      </c>
      <c r="H1950" s="6" t="s">
        <v>4341</v>
      </c>
      <c r="I1950" s="5" t="s">
        <v>809</v>
      </c>
      <c r="J1950" s="8">
        <f>2942</f>
        <v>2942</v>
      </c>
      <c r="K1950" s="5" t="s">
        <v>308</v>
      </c>
      <c r="L1950" s="7">
        <f>1</f>
        <v>1</v>
      </c>
      <c r="M1950" s="7">
        <f>1</f>
        <v>1</v>
      </c>
      <c r="N1950" s="5" t="s">
        <v>242</v>
      </c>
      <c r="O1950" s="5">
        <v>1</v>
      </c>
      <c r="P1950" s="5" t="s">
        <v>294</v>
      </c>
      <c r="Q1950" s="5" t="s">
        <v>266</v>
      </c>
      <c r="R1950" s="5" t="s">
        <v>240</v>
      </c>
      <c r="S1950" s="5" t="s">
        <v>240</v>
      </c>
      <c r="T1950" s="5" t="s">
        <v>296</v>
      </c>
      <c r="U1950" s="5" t="s">
        <v>244</v>
      </c>
      <c r="V1950" s="5" t="s">
        <v>240</v>
      </c>
      <c r="Y1950" s="5" t="s">
        <v>240</v>
      </c>
      <c r="Z1950" s="6" t="s">
        <v>298</v>
      </c>
      <c r="AB1950" s="6" t="s">
        <v>240</v>
      </c>
      <c r="AE1950" s="6" t="s">
        <v>299</v>
      </c>
      <c r="AF1950" s="5" t="s">
        <v>248</v>
      </c>
      <c r="AG1950" s="5" t="s">
        <v>249</v>
      </c>
      <c r="AW1950" s="5" t="s">
        <v>251</v>
      </c>
      <c r="AX1950" s="5" t="s">
        <v>240</v>
      </c>
      <c r="AY1950" s="5" t="s">
        <v>253</v>
      </c>
      <c r="AZ1950" s="5" t="s">
        <v>240</v>
      </c>
      <c r="BA1950" s="5" t="s">
        <v>255</v>
      </c>
      <c r="BB1950" s="5" t="s">
        <v>240</v>
      </c>
      <c r="BD1950" s="5" t="s">
        <v>240</v>
      </c>
      <c r="BF1950" s="5" t="s">
        <v>301</v>
      </c>
      <c r="BG1950" s="6" t="s">
        <v>299</v>
      </c>
      <c r="BH1950" s="5" t="s">
        <v>302</v>
      </c>
      <c r="BI1950" s="5" t="s">
        <v>303</v>
      </c>
      <c r="BJ1950" s="5" t="s">
        <v>240</v>
      </c>
      <c r="BK1950" s="8">
        <f>0</f>
        <v>0</v>
      </c>
      <c r="BL1950" s="7">
        <f>0</f>
        <v>0</v>
      </c>
      <c r="BM1950" s="5" t="s">
        <v>258</v>
      </c>
      <c r="BN1950" s="5" t="s">
        <v>259</v>
      </c>
      <c r="CB1950" s="5" t="s">
        <v>240</v>
      </c>
      <c r="CC1950" s="5" t="s">
        <v>240</v>
      </c>
      <c r="CG1950" s="5" t="s">
        <v>304</v>
      </c>
      <c r="CH1950" s="5" t="s">
        <v>305</v>
      </c>
      <c r="CI1950" s="5" t="s">
        <v>240</v>
      </c>
      <c r="CL1950" s="6" t="s">
        <v>261</v>
      </c>
      <c r="CM1950" s="5" t="s">
        <v>240</v>
      </c>
      <c r="CN1950" s="5" t="s">
        <v>263</v>
      </c>
      <c r="CO1950" s="5" t="s">
        <v>240</v>
      </c>
      <c r="CP1950" s="5" t="s">
        <v>240</v>
      </c>
      <c r="CQ1950" s="5">
        <v>0</v>
      </c>
      <c r="CR1950" s="5" t="s">
        <v>306</v>
      </c>
      <c r="CS1950" s="5" t="s">
        <v>307</v>
      </c>
      <c r="CT1950" s="5" t="s">
        <v>307</v>
      </c>
      <c r="CU1950" s="5" t="s">
        <v>260</v>
      </c>
      <c r="CX1950" s="7">
        <f>1</f>
        <v>1</v>
      </c>
      <c r="CY1950" s="7">
        <f>0</f>
        <v>0</v>
      </c>
      <c r="DA1950" s="7">
        <f>0</f>
        <v>0</v>
      </c>
      <c r="DC1950" s="5" t="s">
        <v>812</v>
      </c>
      <c r="DD1950" s="5" t="s">
        <v>240</v>
      </c>
      <c r="DF1950" s="5" t="s">
        <v>812</v>
      </c>
      <c r="DG1950" s="7">
        <f>417</f>
        <v>417</v>
      </c>
      <c r="DI1950" s="5" t="s">
        <v>240</v>
      </c>
      <c r="DJ1950" s="5" t="s">
        <v>240</v>
      </c>
      <c r="DK1950" s="5" t="s">
        <v>240</v>
      </c>
      <c r="DL1950" s="5" t="s">
        <v>240</v>
      </c>
      <c r="DP1950" s="5" t="s">
        <v>240</v>
      </c>
      <c r="DQ1950" s="5" t="s">
        <v>240</v>
      </c>
      <c r="DR1950" s="5" t="s">
        <v>240</v>
      </c>
      <c r="DS1950" s="5" t="s">
        <v>240</v>
      </c>
      <c r="DV1950" s="5" t="s">
        <v>813</v>
      </c>
      <c r="DW1950" s="5" t="s">
        <v>3987</v>
      </c>
      <c r="HO1950" s="5" t="s">
        <v>312</v>
      </c>
    </row>
    <row r="1951" spans="1:240" x14ac:dyDescent="0.4">
      <c r="A1951" s="5">
        <v>3655</v>
      </c>
      <c r="B1951" s="5">
        <v>1</v>
      </c>
      <c r="C1951" s="5">
        <v>1</v>
      </c>
      <c r="D1951" s="5" t="s">
        <v>810</v>
      </c>
      <c r="E1951" s="5" t="s">
        <v>245</v>
      </c>
      <c r="F1951" s="5" t="s">
        <v>254</v>
      </c>
      <c r="G1951" s="5" t="s">
        <v>240</v>
      </c>
      <c r="H1951" s="6" t="s">
        <v>4340</v>
      </c>
      <c r="I1951" s="5" t="s">
        <v>809</v>
      </c>
      <c r="J1951" s="8">
        <f>1967</f>
        <v>1967</v>
      </c>
      <c r="K1951" s="5" t="s">
        <v>308</v>
      </c>
      <c r="L1951" s="7">
        <f>1</f>
        <v>1</v>
      </c>
      <c r="M1951" s="7">
        <f>1</f>
        <v>1</v>
      </c>
      <c r="N1951" s="5" t="s">
        <v>242</v>
      </c>
      <c r="O1951" s="5">
        <v>1</v>
      </c>
      <c r="P1951" s="5" t="s">
        <v>294</v>
      </c>
      <c r="Q1951" s="5" t="s">
        <v>266</v>
      </c>
      <c r="R1951" s="5" t="s">
        <v>240</v>
      </c>
      <c r="S1951" s="5" t="s">
        <v>240</v>
      </c>
      <c r="T1951" s="5" t="s">
        <v>296</v>
      </c>
      <c r="U1951" s="5" t="s">
        <v>244</v>
      </c>
      <c r="V1951" s="5" t="s">
        <v>240</v>
      </c>
      <c r="Y1951" s="5" t="s">
        <v>240</v>
      </c>
      <c r="Z1951" s="6" t="s">
        <v>298</v>
      </c>
      <c r="AB1951" s="6" t="s">
        <v>240</v>
      </c>
      <c r="AE1951" s="6" t="s">
        <v>299</v>
      </c>
      <c r="AF1951" s="5" t="s">
        <v>248</v>
      </c>
      <c r="AG1951" s="5" t="s">
        <v>249</v>
      </c>
      <c r="AW1951" s="5" t="s">
        <v>251</v>
      </c>
      <c r="AX1951" s="5" t="s">
        <v>240</v>
      </c>
      <c r="AY1951" s="5" t="s">
        <v>253</v>
      </c>
      <c r="AZ1951" s="5" t="s">
        <v>240</v>
      </c>
      <c r="BA1951" s="5" t="s">
        <v>255</v>
      </c>
      <c r="BB1951" s="5" t="s">
        <v>240</v>
      </c>
      <c r="BD1951" s="5" t="s">
        <v>240</v>
      </c>
      <c r="BF1951" s="5" t="s">
        <v>301</v>
      </c>
      <c r="BG1951" s="6" t="s">
        <v>299</v>
      </c>
      <c r="BH1951" s="5" t="s">
        <v>302</v>
      </c>
      <c r="BI1951" s="5" t="s">
        <v>303</v>
      </c>
      <c r="BJ1951" s="5" t="s">
        <v>240</v>
      </c>
      <c r="BK1951" s="8">
        <f>0</f>
        <v>0</v>
      </c>
      <c r="BL1951" s="7">
        <f>0</f>
        <v>0</v>
      </c>
      <c r="BM1951" s="5" t="s">
        <v>258</v>
      </c>
      <c r="BN1951" s="5" t="s">
        <v>259</v>
      </c>
      <c r="CB1951" s="5" t="s">
        <v>240</v>
      </c>
      <c r="CC1951" s="5" t="s">
        <v>240</v>
      </c>
      <c r="CG1951" s="5" t="s">
        <v>304</v>
      </c>
      <c r="CH1951" s="5" t="s">
        <v>305</v>
      </c>
      <c r="CI1951" s="5" t="s">
        <v>240</v>
      </c>
      <c r="CL1951" s="6" t="s">
        <v>261</v>
      </c>
      <c r="CM1951" s="5" t="s">
        <v>240</v>
      </c>
      <c r="CN1951" s="5" t="s">
        <v>263</v>
      </c>
      <c r="CO1951" s="5" t="s">
        <v>240</v>
      </c>
      <c r="CP1951" s="5" t="s">
        <v>240</v>
      </c>
      <c r="CQ1951" s="5">
        <v>0</v>
      </c>
      <c r="CR1951" s="5" t="s">
        <v>306</v>
      </c>
      <c r="CS1951" s="5" t="s">
        <v>307</v>
      </c>
      <c r="CT1951" s="5" t="s">
        <v>307</v>
      </c>
      <c r="CU1951" s="5" t="s">
        <v>260</v>
      </c>
      <c r="CX1951" s="7">
        <f>1</f>
        <v>1</v>
      </c>
      <c r="CY1951" s="7">
        <f>0</f>
        <v>0</v>
      </c>
      <c r="DA1951" s="7">
        <f>0</f>
        <v>0</v>
      </c>
      <c r="DC1951" s="5" t="s">
        <v>812</v>
      </c>
      <c r="DD1951" s="5" t="s">
        <v>240</v>
      </c>
      <c r="DF1951" s="5" t="s">
        <v>812</v>
      </c>
      <c r="DG1951" s="7">
        <f>663</f>
        <v>663</v>
      </c>
      <c r="DI1951" s="5" t="s">
        <v>240</v>
      </c>
      <c r="DJ1951" s="5" t="s">
        <v>240</v>
      </c>
      <c r="DK1951" s="5" t="s">
        <v>240</v>
      </c>
      <c r="DL1951" s="5" t="s">
        <v>240</v>
      </c>
      <c r="DP1951" s="5" t="s">
        <v>240</v>
      </c>
      <c r="DQ1951" s="5" t="s">
        <v>240</v>
      </c>
      <c r="DR1951" s="5" t="s">
        <v>240</v>
      </c>
      <c r="DS1951" s="5" t="s">
        <v>240</v>
      </c>
      <c r="DV1951" s="5" t="s">
        <v>813</v>
      </c>
      <c r="DW1951" s="5" t="s">
        <v>3989</v>
      </c>
      <c r="HO1951" s="5" t="s">
        <v>312</v>
      </c>
    </row>
    <row r="1952" spans="1:240" x14ac:dyDescent="0.4">
      <c r="A1952" s="5">
        <v>3656</v>
      </c>
      <c r="B1952" s="5">
        <v>1</v>
      </c>
      <c r="C1952" s="5">
        <v>1</v>
      </c>
      <c r="D1952" s="5" t="s">
        <v>810</v>
      </c>
      <c r="E1952" s="5" t="s">
        <v>245</v>
      </c>
      <c r="F1952" s="5" t="s">
        <v>254</v>
      </c>
      <c r="G1952" s="5" t="s">
        <v>240</v>
      </c>
      <c r="H1952" s="6" t="s">
        <v>4339</v>
      </c>
      <c r="I1952" s="5" t="s">
        <v>809</v>
      </c>
      <c r="J1952" s="8">
        <f>15897</f>
        <v>15897</v>
      </c>
      <c r="K1952" s="5" t="s">
        <v>308</v>
      </c>
      <c r="L1952" s="7">
        <f>1</f>
        <v>1</v>
      </c>
      <c r="M1952" s="7">
        <f>1</f>
        <v>1</v>
      </c>
      <c r="N1952" s="5" t="s">
        <v>242</v>
      </c>
      <c r="O1952" s="5">
        <v>1</v>
      </c>
      <c r="P1952" s="5" t="s">
        <v>294</v>
      </c>
      <c r="Q1952" s="5" t="s">
        <v>266</v>
      </c>
      <c r="R1952" s="5" t="s">
        <v>240</v>
      </c>
      <c r="S1952" s="5" t="s">
        <v>240</v>
      </c>
      <c r="T1952" s="5" t="s">
        <v>296</v>
      </c>
      <c r="U1952" s="5" t="s">
        <v>244</v>
      </c>
      <c r="V1952" s="5" t="s">
        <v>240</v>
      </c>
      <c r="Y1952" s="5" t="s">
        <v>240</v>
      </c>
      <c r="Z1952" s="6" t="s">
        <v>298</v>
      </c>
      <c r="AB1952" s="6" t="s">
        <v>240</v>
      </c>
      <c r="AE1952" s="6" t="s">
        <v>299</v>
      </c>
      <c r="AF1952" s="5" t="s">
        <v>248</v>
      </c>
      <c r="AG1952" s="5" t="s">
        <v>249</v>
      </c>
      <c r="AW1952" s="5" t="s">
        <v>251</v>
      </c>
      <c r="AX1952" s="5" t="s">
        <v>240</v>
      </c>
      <c r="AY1952" s="5" t="s">
        <v>253</v>
      </c>
      <c r="AZ1952" s="5" t="s">
        <v>240</v>
      </c>
      <c r="BA1952" s="5" t="s">
        <v>255</v>
      </c>
      <c r="BB1952" s="5" t="s">
        <v>240</v>
      </c>
      <c r="BD1952" s="5" t="s">
        <v>240</v>
      </c>
      <c r="BF1952" s="5" t="s">
        <v>301</v>
      </c>
      <c r="BG1952" s="6" t="s">
        <v>299</v>
      </c>
      <c r="BH1952" s="5" t="s">
        <v>302</v>
      </c>
      <c r="BI1952" s="5" t="s">
        <v>303</v>
      </c>
      <c r="BJ1952" s="5" t="s">
        <v>240</v>
      </c>
      <c r="BK1952" s="8">
        <f>0</f>
        <v>0</v>
      </c>
      <c r="BL1952" s="7">
        <f>0</f>
        <v>0</v>
      </c>
      <c r="BM1952" s="5" t="s">
        <v>258</v>
      </c>
      <c r="BN1952" s="5" t="s">
        <v>259</v>
      </c>
      <c r="CB1952" s="5" t="s">
        <v>240</v>
      </c>
      <c r="CC1952" s="5" t="s">
        <v>240</v>
      </c>
      <c r="CG1952" s="5" t="s">
        <v>304</v>
      </c>
      <c r="CH1952" s="5" t="s">
        <v>305</v>
      </c>
      <c r="CI1952" s="5" t="s">
        <v>240</v>
      </c>
      <c r="CL1952" s="6" t="s">
        <v>261</v>
      </c>
      <c r="CM1952" s="5" t="s">
        <v>240</v>
      </c>
      <c r="CN1952" s="5" t="s">
        <v>263</v>
      </c>
      <c r="CO1952" s="5" t="s">
        <v>240</v>
      </c>
      <c r="CP1952" s="5" t="s">
        <v>240</v>
      </c>
      <c r="CQ1952" s="5">
        <v>0</v>
      </c>
      <c r="CR1952" s="5" t="s">
        <v>306</v>
      </c>
      <c r="CS1952" s="5" t="s">
        <v>307</v>
      </c>
      <c r="CT1952" s="5" t="s">
        <v>307</v>
      </c>
      <c r="CU1952" s="5" t="s">
        <v>260</v>
      </c>
      <c r="CX1952" s="7">
        <f>1</f>
        <v>1</v>
      </c>
      <c r="CY1952" s="7">
        <f>0</f>
        <v>0</v>
      </c>
      <c r="DA1952" s="7">
        <f>0</f>
        <v>0</v>
      </c>
      <c r="DC1952" s="5" t="s">
        <v>812</v>
      </c>
      <c r="DD1952" s="5" t="s">
        <v>240</v>
      </c>
      <c r="DF1952" s="5" t="s">
        <v>812</v>
      </c>
      <c r="DG1952" s="7">
        <f>611</f>
        <v>611</v>
      </c>
      <c r="DI1952" s="5" t="s">
        <v>240</v>
      </c>
      <c r="DJ1952" s="5" t="s">
        <v>240</v>
      </c>
      <c r="DK1952" s="5" t="s">
        <v>240</v>
      </c>
      <c r="DL1952" s="5" t="s">
        <v>240</v>
      </c>
      <c r="DP1952" s="5" t="s">
        <v>240</v>
      </c>
      <c r="DQ1952" s="5" t="s">
        <v>240</v>
      </c>
      <c r="DR1952" s="5" t="s">
        <v>240</v>
      </c>
      <c r="DS1952" s="5" t="s">
        <v>240</v>
      </c>
      <c r="DV1952" s="5" t="s">
        <v>813</v>
      </c>
      <c r="DW1952" s="5" t="s">
        <v>3991</v>
      </c>
      <c r="HO1952" s="5" t="s">
        <v>312</v>
      </c>
    </row>
    <row r="1953" spans="1:223" x14ac:dyDescent="0.4">
      <c r="A1953" s="5">
        <v>3657</v>
      </c>
      <c r="B1953" s="5">
        <v>1</v>
      </c>
      <c r="C1953" s="5">
        <v>1</v>
      </c>
      <c r="D1953" s="5" t="s">
        <v>810</v>
      </c>
      <c r="E1953" s="5" t="s">
        <v>245</v>
      </c>
      <c r="F1953" s="5" t="s">
        <v>254</v>
      </c>
      <c r="G1953" s="5" t="s">
        <v>240</v>
      </c>
      <c r="H1953" s="6" t="s">
        <v>4338</v>
      </c>
      <c r="I1953" s="5" t="s">
        <v>809</v>
      </c>
      <c r="J1953" s="8">
        <f>7104</f>
        <v>7104</v>
      </c>
      <c r="K1953" s="5" t="s">
        <v>308</v>
      </c>
      <c r="L1953" s="7">
        <f>1</f>
        <v>1</v>
      </c>
      <c r="M1953" s="7">
        <f>1</f>
        <v>1</v>
      </c>
      <c r="N1953" s="5" t="s">
        <v>242</v>
      </c>
      <c r="O1953" s="5">
        <v>1</v>
      </c>
      <c r="P1953" s="5" t="s">
        <v>294</v>
      </c>
      <c r="Q1953" s="5" t="s">
        <v>266</v>
      </c>
      <c r="R1953" s="5" t="s">
        <v>240</v>
      </c>
      <c r="S1953" s="5" t="s">
        <v>240</v>
      </c>
      <c r="T1953" s="5" t="s">
        <v>296</v>
      </c>
      <c r="U1953" s="5" t="s">
        <v>244</v>
      </c>
      <c r="V1953" s="5" t="s">
        <v>240</v>
      </c>
      <c r="Y1953" s="5" t="s">
        <v>240</v>
      </c>
      <c r="Z1953" s="6" t="s">
        <v>298</v>
      </c>
      <c r="AB1953" s="6" t="s">
        <v>240</v>
      </c>
      <c r="AE1953" s="6" t="s">
        <v>299</v>
      </c>
      <c r="AF1953" s="5" t="s">
        <v>248</v>
      </c>
      <c r="AG1953" s="5" t="s">
        <v>249</v>
      </c>
      <c r="AW1953" s="5" t="s">
        <v>251</v>
      </c>
      <c r="AX1953" s="5" t="s">
        <v>240</v>
      </c>
      <c r="AY1953" s="5" t="s">
        <v>253</v>
      </c>
      <c r="AZ1953" s="5" t="s">
        <v>240</v>
      </c>
      <c r="BA1953" s="5" t="s">
        <v>255</v>
      </c>
      <c r="BB1953" s="5" t="s">
        <v>240</v>
      </c>
      <c r="BD1953" s="5" t="s">
        <v>240</v>
      </c>
      <c r="BF1953" s="5" t="s">
        <v>301</v>
      </c>
      <c r="BG1953" s="6" t="s">
        <v>299</v>
      </c>
      <c r="BH1953" s="5" t="s">
        <v>302</v>
      </c>
      <c r="BI1953" s="5" t="s">
        <v>303</v>
      </c>
      <c r="BJ1953" s="5" t="s">
        <v>240</v>
      </c>
      <c r="BK1953" s="8">
        <f>0</f>
        <v>0</v>
      </c>
      <c r="BL1953" s="7">
        <f>0</f>
        <v>0</v>
      </c>
      <c r="BM1953" s="5" t="s">
        <v>258</v>
      </c>
      <c r="BN1953" s="5" t="s">
        <v>259</v>
      </c>
      <c r="CB1953" s="5" t="s">
        <v>240</v>
      </c>
      <c r="CC1953" s="5" t="s">
        <v>240</v>
      </c>
      <c r="CG1953" s="5" t="s">
        <v>304</v>
      </c>
      <c r="CH1953" s="5" t="s">
        <v>305</v>
      </c>
      <c r="CI1953" s="5" t="s">
        <v>240</v>
      </c>
      <c r="CL1953" s="6" t="s">
        <v>261</v>
      </c>
      <c r="CM1953" s="5" t="s">
        <v>240</v>
      </c>
      <c r="CN1953" s="5" t="s">
        <v>263</v>
      </c>
      <c r="CO1953" s="5" t="s">
        <v>240</v>
      </c>
      <c r="CP1953" s="5" t="s">
        <v>240</v>
      </c>
      <c r="CQ1953" s="5">
        <v>0</v>
      </c>
      <c r="CR1953" s="5" t="s">
        <v>306</v>
      </c>
      <c r="CS1953" s="5" t="s">
        <v>307</v>
      </c>
      <c r="CT1953" s="5" t="s">
        <v>307</v>
      </c>
      <c r="CU1953" s="5" t="s">
        <v>260</v>
      </c>
      <c r="CX1953" s="7">
        <f>1</f>
        <v>1</v>
      </c>
      <c r="CY1953" s="7">
        <f>0</f>
        <v>0</v>
      </c>
      <c r="DA1953" s="7">
        <f>0</f>
        <v>0</v>
      </c>
      <c r="DC1953" s="5" t="s">
        <v>812</v>
      </c>
      <c r="DD1953" s="5" t="s">
        <v>240</v>
      </c>
      <c r="DF1953" s="5" t="s">
        <v>812</v>
      </c>
      <c r="DG1953" s="7">
        <f>330</f>
        <v>330</v>
      </c>
      <c r="DI1953" s="5" t="s">
        <v>240</v>
      </c>
      <c r="DJ1953" s="5" t="s">
        <v>240</v>
      </c>
      <c r="DK1953" s="5" t="s">
        <v>240</v>
      </c>
      <c r="DL1953" s="5" t="s">
        <v>240</v>
      </c>
      <c r="DP1953" s="5" t="s">
        <v>240</v>
      </c>
      <c r="DQ1953" s="5" t="s">
        <v>240</v>
      </c>
      <c r="DR1953" s="5" t="s">
        <v>240</v>
      </c>
      <c r="DS1953" s="5" t="s">
        <v>240</v>
      </c>
      <c r="DV1953" s="5" t="s">
        <v>813</v>
      </c>
      <c r="DW1953" s="5" t="s">
        <v>3993</v>
      </c>
      <c r="HO1953" s="5" t="s">
        <v>312</v>
      </c>
    </row>
    <row r="1954" spans="1:223" x14ac:dyDescent="0.4">
      <c r="A1954" s="5">
        <v>3658</v>
      </c>
      <c r="B1954" s="5">
        <v>1</v>
      </c>
      <c r="C1954" s="5">
        <v>1</v>
      </c>
      <c r="D1954" s="5" t="s">
        <v>810</v>
      </c>
      <c r="E1954" s="5" t="s">
        <v>245</v>
      </c>
      <c r="F1954" s="5" t="s">
        <v>254</v>
      </c>
      <c r="G1954" s="5" t="s">
        <v>240</v>
      </c>
      <c r="H1954" s="6" t="s">
        <v>4337</v>
      </c>
      <c r="I1954" s="5" t="s">
        <v>809</v>
      </c>
      <c r="J1954" s="8">
        <f>487</f>
        <v>487</v>
      </c>
      <c r="K1954" s="5" t="s">
        <v>308</v>
      </c>
      <c r="L1954" s="7">
        <f>1</f>
        <v>1</v>
      </c>
      <c r="M1954" s="7">
        <f>1</f>
        <v>1</v>
      </c>
      <c r="N1954" s="5" t="s">
        <v>242</v>
      </c>
      <c r="O1954" s="5">
        <v>1</v>
      </c>
      <c r="P1954" s="5" t="s">
        <v>294</v>
      </c>
      <c r="Q1954" s="5" t="s">
        <v>266</v>
      </c>
      <c r="R1954" s="5" t="s">
        <v>240</v>
      </c>
      <c r="S1954" s="5" t="s">
        <v>240</v>
      </c>
      <c r="T1954" s="5" t="s">
        <v>296</v>
      </c>
      <c r="U1954" s="5" t="s">
        <v>244</v>
      </c>
      <c r="V1954" s="5" t="s">
        <v>240</v>
      </c>
      <c r="Y1954" s="5" t="s">
        <v>240</v>
      </c>
      <c r="Z1954" s="6" t="s">
        <v>298</v>
      </c>
      <c r="AB1954" s="6" t="s">
        <v>240</v>
      </c>
      <c r="AE1954" s="6" t="s">
        <v>299</v>
      </c>
      <c r="AF1954" s="5" t="s">
        <v>248</v>
      </c>
      <c r="AG1954" s="5" t="s">
        <v>249</v>
      </c>
      <c r="AW1954" s="5" t="s">
        <v>251</v>
      </c>
      <c r="AX1954" s="5" t="s">
        <v>240</v>
      </c>
      <c r="AY1954" s="5" t="s">
        <v>253</v>
      </c>
      <c r="AZ1954" s="5" t="s">
        <v>240</v>
      </c>
      <c r="BA1954" s="5" t="s">
        <v>255</v>
      </c>
      <c r="BB1954" s="5" t="s">
        <v>240</v>
      </c>
      <c r="BD1954" s="5" t="s">
        <v>240</v>
      </c>
      <c r="BF1954" s="5" t="s">
        <v>301</v>
      </c>
      <c r="BG1954" s="6" t="s">
        <v>299</v>
      </c>
      <c r="BH1954" s="5" t="s">
        <v>302</v>
      </c>
      <c r="BI1954" s="5" t="s">
        <v>303</v>
      </c>
      <c r="BJ1954" s="5" t="s">
        <v>240</v>
      </c>
      <c r="BK1954" s="8">
        <f>0</f>
        <v>0</v>
      </c>
      <c r="BL1954" s="7">
        <f>0</f>
        <v>0</v>
      </c>
      <c r="BM1954" s="5" t="s">
        <v>258</v>
      </c>
      <c r="BN1954" s="5" t="s">
        <v>259</v>
      </c>
      <c r="CB1954" s="5" t="s">
        <v>240</v>
      </c>
      <c r="CC1954" s="5" t="s">
        <v>240</v>
      </c>
      <c r="CG1954" s="5" t="s">
        <v>304</v>
      </c>
      <c r="CH1954" s="5" t="s">
        <v>305</v>
      </c>
      <c r="CI1954" s="5" t="s">
        <v>240</v>
      </c>
      <c r="CL1954" s="6" t="s">
        <v>261</v>
      </c>
      <c r="CM1954" s="5" t="s">
        <v>240</v>
      </c>
      <c r="CN1954" s="5" t="s">
        <v>263</v>
      </c>
      <c r="CO1954" s="5" t="s">
        <v>240</v>
      </c>
      <c r="CP1954" s="5" t="s">
        <v>240</v>
      </c>
      <c r="CQ1954" s="5">
        <v>0</v>
      </c>
      <c r="CR1954" s="5" t="s">
        <v>306</v>
      </c>
      <c r="CS1954" s="5" t="s">
        <v>307</v>
      </c>
      <c r="CT1954" s="5" t="s">
        <v>307</v>
      </c>
      <c r="CU1954" s="5" t="s">
        <v>260</v>
      </c>
      <c r="CX1954" s="7">
        <f>1</f>
        <v>1</v>
      </c>
      <c r="CY1954" s="7">
        <f>0</f>
        <v>0</v>
      </c>
      <c r="DA1954" s="7">
        <f>0</f>
        <v>0</v>
      </c>
      <c r="DC1954" s="5" t="s">
        <v>812</v>
      </c>
      <c r="DD1954" s="5" t="s">
        <v>240</v>
      </c>
      <c r="DF1954" s="5" t="s">
        <v>812</v>
      </c>
      <c r="DG1954" s="7">
        <f>747</f>
        <v>747</v>
      </c>
      <c r="DI1954" s="5" t="s">
        <v>240</v>
      </c>
      <c r="DJ1954" s="5" t="s">
        <v>240</v>
      </c>
      <c r="DK1954" s="5" t="s">
        <v>240</v>
      </c>
      <c r="DL1954" s="5" t="s">
        <v>240</v>
      </c>
      <c r="DP1954" s="5" t="s">
        <v>240</v>
      </c>
      <c r="DQ1954" s="5" t="s">
        <v>240</v>
      </c>
      <c r="DR1954" s="5" t="s">
        <v>240</v>
      </c>
      <c r="DS1954" s="5" t="s">
        <v>240</v>
      </c>
      <c r="DV1954" s="5" t="s">
        <v>813</v>
      </c>
      <c r="DW1954" s="5" t="s">
        <v>3995</v>
      </c>
      <c r="HO1954" s="5" t="s">
        <v>312</v>
      </c>
    </row>
    <row r="1955" spans="1:223" x14ac:dyDescent="0.4">
      <c r="A1955" s="5">
        <v>3659</v>
      </c>
      <c r="B1955" s="5">
        <v>1</v>
      </c>
      <c r="C1955" s="5">
        <v>1</v>
      </c>
      <c r="D1955" s="5" t="s">
        <v>810</v>
      </c>
      <c r="E1955" s="5" t="s">
        <v>245</v>
      </c>
      <c r="F1955" s="5" t="s">
        <v>254</v>
      </c>
      <c r="G1955" s="5" t="s">
        <v>240</v>
      </c>
      <c r="H1955" s="6" t="s">
        <v>4336</v>
      </c>
      <c r="I1955" s="5" t="s">
        <v>809</v>
      </c>
      <c r="J1955" s="8">
        <f>3001</f>
        <v>3001</v>
      </c>
      <c r="K1955" s="5" t="s">
        <v>308</v>
      </c>
      <c r="L1955" s="7">
        <f>1</f>
        <v>1</v>
      </c>
      <c r="M1955" s="7">
        <f>1</f>
        <v>1</v>
      </c>
      <c r="N1955" s="5" t="s">
        <v>242</v>
      </c>
      <c r="O1955" s="5">
        <v>1</v>
      </c>
      <c r="P1955" s="5" t="s">
        <v>294</v>
      </c>
      <c r="Q1955" s="5" t="s">
        <v>266</v>
      </c>
      <c r="R1955" s="5" t="s">
        <v>240</v>
      </c>
      <c r="S1955" s="5" t="s">
        <v>240</v>
      </c>
      <c r="T1955" s="5" t="s">
        <v>296</v>
      </c>
      <c r="U1955" s="5" t="s">
        <v>244</v>
      </c>
      <c r="V1955" s="5" t="s">
        <v>240</v>
      </c>
      <c r="Y1955" s="5" t="s">
        <v>240</v>
      </c>
      <c r="Z1955" s="6" t="s">
        <v>298</v>
      </c>
      <c r="AB1955" s="6" t="s">
        <v>240</v>
      </c>
      <c r="AE1955" s="6" t="s">
        <v>299</v>
      </c>
      <c r="AF1955" s="5" t="s">
        <v>248</v>
      </c>
      <c r="AG1955" s="5" t="s">
        <v>249</v>
      </c>
      <c r="AW1955" s="5" t="s">
        <v>251</v>
      </c>
      <c r="AX1955" s="5" t="s">
        <v>240</v>
      </c>
      <c r="AY1955" s="5" t="s">
        <v>253</v>
      </c>
      <c r="AZ1955" s="5" t="s">
        <v>240</v>
      </c>
      <c r="BA1955" s="5" t="s">
        <v>255</v>
      </c>
      <c r="BB1955" s="5" t="s">
        <v>240</v>
      </c>
      <c r="BD1955" s="5" t="s">
        <v>240</v>
      </c>
      <c r="BF1955" s="5" t="s">
        <v>301</v>
      </c>
      <c r="BG1955" s="6" t="s">
        <v>299</v>
      </c>
      <c r="BH1955" s="5" t="s">
        <v>302</v>
      </c>
      <c r="BI1955" s="5" t="s">
        <v>303</v>
      </c>
      <c r="BJ1955" s="5" t="s">
        <v>240</v>
      </c>
      <c r="BK1955" s="8">
        <f>0</f>
        <v>0</v>
      </c>
      <c r="BL1955" s="7">
        <f>0</f>
        <v>0</v>
      </c>
      <c r="BM1955" s="5" t="s">
        <v>258</v>
      </c>
      <c r="BN1955" s="5" t="s">
        <v>259</v>
      </c>
      <c r="CB1955" s="5" t="s">
        <v>240</v>
      </c>
      <c r="CC1955" s="5" t="s">
        <v>240</v>
      </c>
      <c r="CG1955" s="5" t="s">
        <v>304</v>
      </c>
      <c r="CH1955" s="5" t="s">
        <v>305</v>
      </c>
      <c r="CI1955" s="5" t="s">
        <v>240</v>
      </c>
      <c r="CL1955" s="6" t="s">
        <v>261</v>
      </c>
      <c r="CM1955" s="5" t="s">
        <v>240</v>
      </c>
      <c r="CN1955" s="5" t="s">
        <v>263</v>
      </c>
      <c r="CO1955" s="5" t="s">
        <v>240</v>
      </c>
      <c r="CP1955" s="5" t="s">
        <v>240</v>
      </c>
      <c r="CQ1955" s="5">
        <v>0</v>
      </c>
      <c r="CR1955" s="5" t="s">
        <v>306</v>
      </c>
      <c r="CS1955" s="5" t="s">
        <v>307</v>
      </c>
      <c r="CT1955" s="5" t="s">
        <v>307</v>
      </c>
      <c r="CU1955" s="5" t="s">
        <v>260</v>
      </c>
      <c r="CX1955" s="7">
        <f>1</f>
        <v>1</v>
      </c>
      <c r="CY1955" s="7">
        <f>0</f>
        <v>0</v>
      </c>
      <c r="DA1955" s="7">
        <f>0</f>
        <v>0</v>
      </c>
      <c r="DC1955" s="5" t="s">
        <v>812</v>
      </c>
      <c r="DD1955" s="5" t="s">
        <v>240</v>
      </c>
      <c r="DF1955" s="5" t="s">
        <v>812</v>
      </c>
      <c r="DG1955" s="7">
        <f>468</f>
        <v>468</v>
      </c>
      <c r="DI1955" s="5" t="s">
        <v>240</v>
      </c>
      <c r="DJ1955" s="5" t="s">
        <v>240</v>
      </c>
      <c r="DK1955" s="5" t="s">
        <v>240</v>
      </c>
      <c r="DL1955" s="5" t="s">
        <v>240</v>
      </c>
      <c r="DP1955" s="5" t="s">
        <v>240</v>
      </c>
      <c r="DQ1955" s="5" t="s">
        <v>240</v>
      </c>
      <c r="DR1955" s="5" t="s">
        <v>240</v>
      </c>
      <c r="DS1955" s="5" t="s">
        <v>240</v>
      </c>
      <c r="DV1955" s="5" t="s">
        <v>813</v>
      </c>
      <c r="DW1955" s="5" t="s">
        <v>3997</v>
      </c>
      <c r="HO1955" s="5" t="s">
        <v>312</v>
      </c>
    </row>
    <row r="1956" spans="1:223" x14ac:dyDescent="0.4">
      <c r="A1956" s="5">
        <v>3660</v>
      </c>
      <c r="B1956" s="5">
        <v>1</v>
      </c>
      <c r="C1956" s="5">
        <v>1</v>
      </c>
      <c r="D1956" s="5" t="s">
        <v>810</v>
      </c>
      <c r="E1956" s="5" t="s">
        <v>245</v>
      </c>
      <c r="F1956" s="5" t="s">
        <v>254</v>
      </c>
      <c r="G1956" s="5" t="s">
        <v>240</v>
      </c>
      <c r="H1956" s="6" t="s">
        <v>4335</v>
      </c>
      <c r="I1956" s="5" t="s">
        <v>809</v>
      </c>
      <c r="J1956" s="8">
        <f>2096</f>
        <v>2096</v>
      </c>
      <c r="K1956" s="5" t="s">
        <v>308</v>
      </c>
      <c r="L1956" s="7">
        <f>1</f>
        <v>1</v>
      </c>
      <c r="M1956" s="7">
        <f>1</f>
        <v>1</v>
      </c>
      <c r="N1956" s="5" t="s">
        <v>242</v>
      </c>
      <c r="O1956" s="5">
        <v>1</v>
      </c>
      <c r="P1956" s="5" t="s">
        <v>294</v>
      </c>
      <c r="Q1956" s="5" t="s">
        <v>266</v>
      </c>
      <c r="R1956" s="5" t="s">
        <v>240</v>
      </c>
      <c r="S1956" s="5" t="s">
        <v>240</v>
      </c>
      <c r="T1956" s="5" t="s">
        <v>296</v>
      </c>
      <c r="U1956" s="5" t="s">
        <v>244</v>
      </c>
      <c r="V1956" s="5" t="s">
        <v>240</v>
      </c>
      <c r="Y1956" s="5" t="s">
        <v>240</v>
      </c>
      <c r="Z1956" s="6" t="s">
        <v>298</v>
      </c>
      <c r="AB1956" s="6" t="s">
        <v>240</v>
      </c>
      <c r="AE1956" s="6" t="s">
        <v>299</v>
      </c>
      <c r="AF1956" s="5" t="s">
        <v>248</v>
      </c>
      <c r="AG1956" s="5" t="s">
        <v>249</v>
      </c>
      <c r="AW1956" s="5" t="s">
        <v>251</v>
      </c>
      <c r="AX1956" s="5" t="s">
        <v>240</v>
      </c>
      <c r="AY1956" s="5" t="s">
        <v>253</v>
      </c>
      <c r="AZ1956" s="5" t="s">
        <v>240</v>
      </c>
      <c r="BA1956" s="5" t="s">
        <v>255</v>
      </c>
      <c r="BB1956" s="5" t="s">
        <v>240</v>
      </c>
      <c r="BD1956" s="5" t="s">
        <v>240</v>
      </c>
      <c r="BF1956" s="5" t="s">
        <v>301</v>
      </c>
      <c r="BG1956" s="6" t="s">
        <v>299</v>
      </c>
      <c r="BH1956" s="5" t="s">
        <v>302</v>
      </c>
      <c r="BI1956" s="5" t="s">
        <v>303</v>
      </c>
      <c r="BJ1956" s="5" t="s">
        <v>240</v>
      </c>
      <c r="BK1956" s="8">
        <f>0</f>
        <v>0</v>
      </c>
      <c r="BL1956" s="7">
        <f>0</f>
        <v>0</v>
      </c>
      <c r="BM1956" s="5" t="s">
        <v>258</v>
      </c>
      <c r="BN1956" s="5" t="s">
        <v>259</v>
      </c>
      <c r="CB1956" s="5" t="s">
        <v>240</v>
      </c>
      <c r="CC1956" s="5" t="s">
        <v>240</v>
      </c>
      <c r="CG1956" s="5" t="s">
        <v>304</v>
      </c>
      <c r="CH1956" s="5" t="s">
        <v>305</v>
      </c>
      <c r="CI1956" s="5" t="s">
        <v>240</v>
      </c>
      <c r="CL1956" s="6" t="s">
        <v>261</v>
      </c>
      <c r="CM1956" s="5" t="s">
        <v>240</v>
      </c>
      <c r="CN1956" s="5" t="s">
        <v>263</v>
      </c>
      <c r="CO1956" s="5" t="s">
        <v>240</v>
      </c>
      <c r="CP1956" s="5" t="s">
        <v>240</v>
      </c>
      <c r="CQ1956" s="5">
        <v>0</v>
      </c>
      <c r="CR1956" s="5" t="s">
        <v>306</v>
      </c>
      <c r="CS1956" s="5" t="s">
        <v>307</v>
      </c>
      <c r="CT1956" s="5" t="s">
        <v>307</v>
      </c>
      <c r="CU1956" s="5" t="s">
        <v>260</v>
      </c>
      <c r="CX1956" s="7">
        <f>1</f>
        <v>1</v>
      </c>
      <c r="CY1956" s="7">
        <f>0</f>
        <v>0</v>
      </c>
      <c r="DA1956" s="7">
        <f>0</f>
        <v>0</v>
      </c>
      <c r="DC1956" s="5" t="s">
        <v>812</v>
      </c>
      <c r="DD1956" s="5" t="s">
        <v>240</v>
      </c>
      <c r="DF1956" s="5" t="s">
        <v>812</v>
      </c>
      <c r="DG1956" s="7">
        <f>597</f>
        <v>597</v>
      </c>
      <c r="DI1956" s="5" t="s">
        <v>240</v>
      </c>
      <c r="DJ1956" s="5" t="s">
        <v>240</v>
      </c>
      <c r="DK1956" s="5" t="s">
        <v>240</v>
      </c>
      <c r="DL1956" s="5" t="s">
        <v>240</v>
      </c>
      <c r="DP1956" s="5" t="s">
        <v>240</v>
      </c>
      <c r="DQ1956" s="5" t="s">
        <v>240</v>
      </c>
      <c r="DR1956" s="5" t="s">
        <v>240</v>
      </c>
      <c r="DS1956" s="5" t="s">
        <v>240</v>
      </c>
      <c r="DV1956" s="5" t="s">
        <v>813</v>
      </c>
      <c r="DW1956" s="5" t="s">
        <v>3999</v>
      </c>
      <c r="HO1956" s="5" t="s">
        <v>312</v>
      </c>
    </row>
    <row r="1957" spans="1:223" x14ac:dyDescent="0.4">
      <c r="A1957" s="5">
        <v>3661</v>
      </c>
      <c r="B1957" s="5">
        <v>1</v>
      </c>
      <c r="C1957" s="5">
        <v>1</v>
      </c>
      <c r="D1957" s="5" t="s">
        <v>810</v>
      </c>
      <c r="E1957" s="5" t="s">
        <v>245</v>
      </c>
      <c r="F1957" s="5" t="s">
        <v>254</v>
      </c>
      <c r="G1957" s="5" t="s">
        <v>240</v>
      </c>
      <c r="H1957" s="6" t="s">
        <v>4334</v>
      </c>
      <c r="I1957" s="5" t="s">
        <v>809</v>
      </c>
      <c r="J1957" s="8">
        <f>5674</f>
        <v>5674</v>
      </c>
      <c r="K1957" s="5" t="s">
        <v>308</v>
      </c>
      <c r="L1957" s="7">
        <f>1</f>
        <v>1</v>
      </c>
      <c r="M1957" s="7">
        <f>1</f>
        <v>1</v>
      </c>
      <c r="N1957" s="5" t="s">
        <v>242</v>
      </c>
      <c r="O1957" s="5">
        <v>1</v>
      </c>
      <c r="P1957" s="5" t="s">
        <v>294</v>
      </c>
      <c r="Q1957" s="5" t="s">
        <v>266</v>
      </c>
      <c r="R1957" s="5" t="s">
        <v>240</v>
      </c>
      <c r="S1957" s="5" t="s">
        <v>240</v>
      </c>
      <c r="T1957" s="5" t="s">
        <v>296</v>
      </c>
      <c r="U1957" s="5" t="s">
        <v>244</v>
      </c>
      <c r="V1957" s="5" t="s">
        <v>240</v>
      </c>
      <c r="Y1957" s="5" t="s">
        <v>240</v>
      </c>
      <c r="Z1957" s="6" t="s">
        <v>298</v>
      </c>
      <c r="AB1957" s="6" t="s">
        <v>240</v>
      </c>
      <c r="AE1957" s="6" t="s">
        <v>299</v>
      </c>
      <c r="AF1957" s="5" t="s">
        <v>248</v>
      </c>
      <c r="AG1957" s="5" t="s">
        <v>249</v>
      </c>
      <c r="AW1957" s="5" t="s">
        <v>251</v>
      </c>
      <c r="AX1957" s="5" t="s">
        <v>240</v>
      </c>
      <c r="AY1957" s="5" t="s">
        <v>253</v>
      </c>
      <c r="AZ1957" s="5" t="s">
        <v>240</v>
      </c>
      <c r="BA1957" s="5" t="s">
        <v>255</v>
      </c>
      <c r="BB1957" s="5" t="s">
        <v>240</v>
      </c>
      <c r="BD1957" s="5" t="s">
        <v>240</v>
      </c>
      <c r="BF1957" s="5" t="s">
        <v>301</v>
      </c>
      <c r="BG1957" s="6" t="s">
        <v>299</v>
      </c>
      <c r="BH1957" s="5" t="s">
        <v>302</v>
      </c>
      <c r="BI1957" s="5" t="s">
        <v>303</v>
      </c>
      <c r="BJ1957" s="5" t="s">
        <v>240</v>
      </c>
      <c r="BK1957" s="8">
        <f>0</f>
        <v>0</v>
      </c>
      <c r="BL1957" s="7">
        <f>0</f>
        <v>0</v>
      </c>
      <c r="BM1957" s="5" t="s">
        <v>258</v>
      </c>
      <c r="BN1957" s="5" t="s">
        <v>259</v>
      </c>
      <c r="CB1957" s="5" t="s">
        <v>240</v>
      </c>
      <c r="CC1957" s="5" t="s">
        <v>240</v>
      </c>
      <c r="CG1957" s="5" t="s">
        <v>304</v>
      </c>
      <c r="CH1957" s="5" t="s">
        <v>305</v>
      </c>
      <c r="CI1957" s="5" t="s">
        <v>240</v>
      </c>
      <c r="CL1957" s="6" t="s">
        <v>261</v>
      </c>
      <c r="CM1957" s="5" t="s">
        <v>240</v>
      </c>
      <c r="CN1957" s="5" t="s">
        <v>263</v>
      </c>
      <c r="CO1957" s="5" t="s">
        <v>240</v>
      </c>
      <c r="CP1957" s="5" t="s">
        <v>240</v>
      </c>
      <c r="CQ1957" s="5">
        <v>0</v>
      </c>
      <c r="CR1957" s="5" t="s">
        <v>306</v>
      </c>
      <c r="CS1957" s="5" t="s">
        <v>307</v>
      </c>
      <c r="CT1957" s="5" t="s">
        <v>307</v>
      </c>
      <c r="CU1957" s="5" t="s">
        <v>260</v>
      </c>
      <c r="CX1957" s="7">
        <f>1</f>
        <v>1</v>
      </c>
      <c r="CY1957" s="7">
        <f>0</f>
        <v>0</v>
      </c>
      <c r="DA1957" s="7">
        <f>0</f>
        <v>0</v>
      </c>
      <c r="DC1957" s="5" t="s">
        <v>812</v>
      </c>
      <c r="DD1957" s="5" t="s">
        <v>240</v>
      </c>
      <c r="DF1957" s="5" t="s">
        <v>812</v>
      </c>
      <c r="DG1957" s="7">
        <f>32</f>
        <v>32</v>
      </c>
      <c r="DI1957" s="5" t="s">
        <v>240</v>
      </c>
      <c r="DJ1957" s="5" t="s">
        <v>240</v>
      </c>
      <c r="DK1957" s="5" t="s">
        <v>240</v>
      </c>
      <c r="DL1957" s="5" t="s">
        <v>240</v>
      </c>
      <c r="DP1957" s="5" t="s">
        <v>240</v>
      </c>
      <c r="DQ1957" s="5" t="s">
        <v>240</v>
      </c>
      <c r="DR1957" s="5" t="s">
        <v>240</v>
      </c>
      <c r="DS1957" s="5" t="s">
        <v>240</v>
      </c>
      <c r="DV1957" s="5" t="s">
        <v>813</v>
      </c>
      <c r="DW1957" s="5" t="s">
        <v>4001</v>
      </c>
      <c r="HO1957" s="5" t="s">
        <v>312</v>
      </c>
    </row>
    <row r="1958" spans="1:223" x14ac:dyDescent="0.4">
      <c r="A1958" s="5">
        <v>3662</v>
      </c>
      <c r="B1958" s="5">
        <v>1</v>
      </c>
      <c r="C1958" s="5">
        <v>1</v>
      </c>
      <c r="D1958" s="5" t="s">
        <v>810</v>
      </c>
      <c r="E1958" s="5" t="s">
        <v>245</v>
      </c>
      <c r="F1958" s="5" t="s">
        <v>254</v>
      </c>
      <c r="G1958" s="5" t="s">
        <v>240</v>
      </c>
      <c r="H1958" s="6" t="s">
        <v>4333</v>
      </c>
      <c r="I1958" s="5" t="s">
        <v>809</v>
      </c>
      <c r="J1958" s="8">
        <f>1029</f>
        <v>1029</v>
      </c>
      <c r="K1958" s="5" t="s">
        <v>308</v>
      </c>
      <c r="L1958" s="7">
        <f>1</f>
        <v>1</v>
      </c>
      <c r="M1958" s="7">
        <f>1</f>
        <v>1</v>
      </c>
      <c r="N1958" s="5" t="s">
        <v>242</v>
      </c>
      <c r="O1958" s="5">
        <v>1</v>
      </c>
      <c r="P1958" s="5" t="s">
        <v>294</v>
      </c>
      <c r="Q1958" s="5" t="s">
        <v>266</v>
      </c>
      <c r="R1958" s="5" t="s">
        <v>240</v>
      </c>
      <c r="S1958" s="5" t="s">
        <v>240</v>
      </c>
      <c r="T1958" s="5" t="s">
        <v>296</v>
      </c>
      <c r="U1958" s="5" t="s">
        <v>244</v>
      </c>
      <c r="V1958" s="5" t="s">
        <v>240</v>
      </c>
      <c r="Y1958" s="5" t="s">
        <v>240</v>
      </c>
      <c r="Z1958" s="6" t="s">
        <v>298</v>
      </c>
      <c r="AB1958" s="6" t="s">
        <v>240</v>
      </c>
      <c r="AE1958" s="6" t="s">
        <v>299</v>
      </c>
      <c r="AF1958" s="5" t="s">
        <v>248</v>
      </c>
      <c r="AG1958" s="5" t="s">
        <v>249</v>
      </c>
      <c r="AW1958" s="5" t="s">
        <v>251</v>
      </c>
      <c r="AX1958" s="5" t="s">
        <v>240</v>
      </c>
      <c r="AY1958" s="5" t="s">
        <v>253</v>
      </c>
      <c r="AZ1958" s="5" t="s">
        <v>240</v>
      </c>
      <c r="BA1958" s="5" t="s">
        <v>255</v>
      </c>
      <c r="BB1958" s="5" t="s">
        <v>240</v>
      </c>
      <c r="BD1958" s="5" t="s">
        <v>240</v>
      </c>
      <c r="BF1958" s="5" t="s">
        <v>301</v>
      </c>
      <c r="BG1958" s="6" t="s">
        <v>299</v>
      </c>
      <c r="BH1958" s="5" t="s">
        <v>302</v>
      </c>
      <c r="BI1958" s="5" t="s">
        <v>303</v>
      </c>
      <c r="BJ1958" s="5" t="s">
        <v>240</v>
      </c>
      <c r="BK1958" s="8">
        <f>0</f>
        <v>0</v>
      </c>
      <c r="BL1958" s="7">
        <f>0</f>
        <v>0</v>
      </c>
      <c r="BM1958" s="5" t="s">
        <v>258</v>
      </c>
      <c r="BN1958" s="5" t="s">
        <v>259</v>
      </c>
      <c r="CB1958" s="5" t="s">
        <v>240</v>
      </c>
      <c r="CC1958" s="5" t="s">
        <v>240</v>
      </c>
      <c r="CG1958" s="5" t="s">
        <v>304</v>
      </c>
      <c r="CH1958" s="5" t="s">
        <v>305</v>
      </c>
      <c r="CI1958" s="5" t="s">
        <v>240</v>
      </c>
      <c r="CL1958" s="6" t="s">
        <v>261</v>
      </c>
      <c r="CM1958" s="5" t="s">
        <v>240</v>
      </c>
      <c r="CN1958" s="5" t="s">
        <v>263</v>
      </c>
      <c r="CO1958" s="5" t="s">
        <v>240</v>
      </c>
      <c r="CP1958" s="5" t="s">
        <v>240</v>
      </c>
      <c r="CQ1958" s="5">
        <v>0</v>
      </c>
      <c r="CR1958" s="5" t="s">
        <v>306</v>
      </c>
      <c r="CS1958" s="5" t="s">
        <v>307</v>
      </c>
      <c r="CT1958" s="5" t="s">
        <v>307</v>
      </c>
      <c r="CU1958" s="5" t="s">
        <v>260</v>
      </c>
      <c r="CX1958" s="7">
        <f>1</f>
        <v>1</v>
      </c>
      <c r="CY1958" s="7">
        <f>0</f>
        <v>0</v>
      </c>
      <c r="DA1958" s="7">
        <f>0</f>
        <v>0</v>
      </c>
      <c r="DC1958" s="5" t="s">
        <v>812</v>
      </c>
      <c r="DD1958" s="5" t="s">
        <v>240</v>
      </c>
      <c r="DF1958" s="5" t="s">
        <v>812</v>
      </c>
      <c r="DG1958" s="7">
        <f>3795</f>
        <v>3795</v>
      </c>
      <c r="DI1958" s="5" t="s">
        <v>240</v>
      </c>
      <c r="DJ1958" s="5" t="s">
        <v>240</v>
      </c>
      <c r="DK1958" s="5" t="s">
        <v>240</v>
      </c>
      <c r="DL1958" s="5" t="s">
        <v>240</v>
      </c>
      <c r="DP1958" s="5" t="s">
        <v>240</v>
      </c>
      <c r="DQ1958" s="5" t="s">
        <v>240</v>
      </c>
      <c r="DR1958" s="5" t="s">
        <v>240</v>
      </c>
      <c r="DS1958" s="5" t="s">
        <v>240</v>
      </c>
      <c r="DV1958" s="5" t="s">
        <v>813</v>
      </c>
      <c r="DW1958" s="5" t="s">
        <v>4003</v>
      </c>
      <c r="HO1958" s="5" t="s">
        <v>312</v>
      </c>
    </row>
    <row r="1959" spans="1:223" x14ac:dyDescent="0.4">
      <c r="A1959" s="5">
        <v>3663</v>
      </c>
      <c r="B1959" s="5">
        <v>1</v>
      </c>
      <c r="C1959" s="5">
        <v>1</v>
      </c>
      <c r="D1959" s="5" t="s">
        <v>810</v>
      </c>
      <c r="E1959" s="5" t="s">
        <v>245</v>
      </c>
      <c r="F1959" s="5" t="s">
        <v>254</v>
      </c>
      <c r="G1959" s="5" t="s">
        <v>240</v>
      </c>
      <c r="H1959" s="6" t="s">
        <v>4332</v>
      </c>
      <c r="I1959" s="5" t="s">
        <v>809</v>
      </c>
      <c r="J1959" s="8">
        <f>1596</f>
        <v>1596</v>
      </c>
      <c r="K1959" s="5" t="s">
        <v>308</v>
      </c>
      <c r="L1959" s="7">
        <f>1</f>
        <v>1</v>
      </c>
      <c r="M1959" s="7">
        <f>1</f>
        <v>1</v>
      </c>
      <c r="N1959" s="5" t="s">
        <v>242</v>
      </c>
      <c r="O1959" s="5">
        <v>1</v>
      </c>
      <c r="P1959" s="5" t="s">
        <v>294</v>
      </c>
      <c r="Q1959" s="5" t="s">
        <v>266</v>
      </c>
      <c r="R1959" s="5" t="s">
        <v>240</v>
      </c>
      <c r="S1959" s="5" t="s">
        <v>240</v>
      </c>
      <c r="T1959" s="5" t="s">
        <v>296</v>
      </c>
      <c r="U1959" s="5" t="s">
        <v>244</v>
      </c>
      <c r="V1959" s="5" t="s">
        <v>240</v>
      </c>
      <c r="Y1959" s="5" t="s">
        <v>240</v>
      </c>
      <c r="Z1959" s="6" t="s">
        <v>298</v>
      </c>
      <c r="AB1959" s="6" t="s">
        <v>240</v>
      </c>
      <c r="AE1959" s="6" t="s">
        <v>299</v>
      </c>
      <c r="AF1959" s="5" t="s">
        <v>248</v>
      </c>
      <c r="AG1959" s="5" t="s">
        <v>249</v>
      </c>
      <c r="AW1959" s="5" t="s">
        <v>251</v>
      </c>
      <c r="AX1959" s="5" t="s">
        <v>240</v>
      </c>
      <c r="AY1959" s="5" t="s">
        <v>253</v>
      </c>
      <c r="AZ1959" s="5" t="s">
        <v>240</v>
      </c>
      <c r="BA1959" s="5" t="s">
        <v>255</v>
      </c>
      <c r="BB1959" s="5" t="s">
        <v>240</v>
      </c>
      <c r="BD1959" s="5" t="s">
        <v>240</v>
      </c>
      <c r="BF1959" s="5" t="s">
        <v>301</v>
      </c>
      <c r="BG1959" s="6" t="s">
        <v>299</v>
      </c>
      <c r="BH1959" s="5" t="s">
        <v>302</v>
      </c>
      <c r="BI1959" s="5" t="s">
        <v>303</v>
      </c>
      <c r="BJ1959" s="5" t="s">
        <v>240</v>
      </c>
      <c r="BK1959" s="8">
        <f>0</f>
        <v>0</v>
      </c>
      <c r="BL1959" s="7">
        <f>0</f>
        <v>0</v>
      </c>
      <c r="BM1959" s="5" t="s">
        <v>258</v>
      </c>
      <c r="BN1959" s="5" t="s">
        <v>259</v>
      </c>
      <c r="CB1959" s="5" t="s">
        <v>240</v>
      </c>
      <c r="CC1959" s="5" t="s">
        <v>240</v>
      </c>
      <c r="CG1959" s="5" t="s">
        <v>304</v>
      </c>
      <c r="CH1959" s="5" t="s">
        <v>305</v>
      </c>
      <c r="CI1959" s="5" t="s">
        <v>240</v>
      </c>
      <c r="CL1959" s="6" t="s">
        <v>261</v>
      </c>
      <c r="CM1959" s="5" t="s">
        <v>240</v>
      </c>
      <c r="CN1959" s="5" t="s">
        <v>263</v>
      </c>
      <c r="CO1959" s="5" t="s">
        <v>240</v>
      </c>
      <c r="CP1959" s="5" t="s">
        <v>240</v>
      </c>
      <c r="CQ1959" s="5">
        <v>0</v>
      </c>
      <c r="CR1959" s="5" t="s">
        <v>306</v>
      </c>
      <c r="CS1959" s="5" t="s">
        <v>307</v>
      </c>
      <c r="CT1959" s="5" t="s">
        <v>307</v>
      </c>
      <c r="CU1959" s="5" t="s">
        <v>260</v>
      </c>
      <c r="CX1959" s="7">
        <f>1</f>
        <v>1</v>
      </c>
      <c r="CY1959" s="7">
        <f>0</f>
        <v>0</v>
      </c>
      <c r="DA1959" s="7">
        <f>0</f>
        <v>0</v>
      </c>
      <c r="DC1959" s="5" t="s">
        <v>812</v>
      </c>
      <c r="DD1959" s="5" t="s">
        <v>240</v>
      </c>
      <c r="DF1959" s="5" t="s">
        <v>812</v>
      </c>
      <c r="DG1959" s="7">
        <f>144</f>
        <v>144</v>
      </c>
      <c r="DI1959" s="5" t="s">
        <v>240</v>
      </c>
      <c r="DJ1959" s="5" t="s">
        <v>240</v>
      </c>
      <c r="DK1959" s="5" t="s">
        <v>240</v>
      </c>
      <c r="DL1959" s="5" t="s">
        <v>240</v>
      </c>
      <c r="DP1959" s="5" t="s">
        <v>240</v>
      </c>
      <c r="DQ1959" s="5" t="s">
        <v>240</v>
      </c>
      <c r="DR1959" s="5" t="s">
        <v>240</v>
      </c>
      <c r="DS1959" s="5" t="s">
        <v>240</v>
      </c>
      <c r="DV1959" s="5" t="s">
        <v>813</v>
      </c>
      <c r="DW1959" s="5" t="s">
        <v>4005</v>
      </c>
      <c r="HO1959" s="5" t="s">
        <v>312</v>
      </c>
    </row>
    <row r="1960" spans="1:223" x14ac:dyDescent="0.4">
      <c r="A1960" s="5">
        <v>3664</v>
      </c>
      <c r="B1960" s="5">
        <v>1</v>
      </c>
      <c r="C1960" s="5">
        <v>1</v>
      </c>
      <c r="D1960" s="5" t="s">
        <v>810</v>
      </c>
      <c r="E1960" s="5" t="s">
        <v>245</v>
      </c>
      <c r="F1960" s="5" t="s">
        <v>254</v>
      </c>
      <c r="G1960" s="5" t="s">
        <v>240</v>
      </c>
      <c r="H1960" s="6" t="s">
        <v>5463</v>
      </c>
      <c r="I1960" s="5" t="s">
        <v>809</v>
      </c>
      <c r="J1960" s="8">
        <f>1031</f>
        <v>1031</v>
      </c>
      <c r="K1960" s="5" t="s">
        <v>308</v>
      </c>
      <c r="L1960" s="7">
        <f>1</f>
        <v>1</v>
      </c>
      <c r="M1960" s="7">
        <f>1</f>
        <v>1</v>
      </c>
      <c r="N1960" s="5" t="s">
        <v>242</v>
      </c>
      <c r="O1960" s="5">
        <v>1</v>
      </c>
      <c r="P1960" s="5" t="s">
        <v>294</v>
      </c>
      <c r="Q1960" s="5" t="s">
        <v>266</v>
      </c>
      <c r="R1960" s="5" t="s">
        <v>240</v>
      </c>
      <c r="S1960" s="5" t="s">
        <v>240</v>
      </c>
      <c r="T1960" s="5" t="s">
        <v>296</v>
      </c>
      <c r="U1960" s="5" t="s">
        <v>244</v>
      </c>
      <c r="V1960" s="5" t="s">
        <v>240</v>
      </c>
      <c r="Y1960" s="5" t="s">
        <v>240</v>
      </c>
      <c r="Z1960" s="6" t="s">
        <v>298</v>
      </c>
      <c r="AB1960" s="6" t="s">
        <v>240</v>
      </c>
      <c r="AE1960" s="6" t="s">
        <v>299</v>
      </c>
      <c r="AF1960" s="5" t="s">
        <v>248</v>
      </c>
      <c r="AG1960" s="5" t="s">
        <v>249</v>
      </c>
      <c r="AW1960" s="5" t="s">
        <v>251</v>
      </c>
      <c r="AX1960" s="5" t="s">
        <v>240</v>
      </c>
      <c r="AY1960" s="5" t="s">
        <v>253</v>
      </c>
      <c r="AZ1960" s="5" t="s">
        <v>240</v>
      </c>
      <c r="BA1960" s="5" t="s">
        <v>255</v>
      </c>
      <c r="BB1960" s="5" t="s">
        <v>240</v>
      </c>
      <c r="BD1960" s="5" t="s">
        <v>240</v>
      </c>
      <c r="BF1960" s="5" t="s">
        <v>301</v>
      </c>
      <c r="BG1960" s="6" t="s">
        <v>299</v>
      </c>
      <c r="BH1960" s="5" t="s">
        <v>302</v>
      </c>
      <c r="BI1960" s="5" t="s">
        <v>303</v>
      </c>
      <c r="BJ1960" s="5" t="s">
        <v>240</v>
      </c>
      <c r="BK1960" s="8">
        <f>0</f>
        <v>0</v>
      </c>
      <c r="BL1960" s="7">
        <f>0</f>
        <v>0</v>
      </c>
      <c r="BM1960" s="5" t="s">
        <v>258</v>
      </c>
      <c r="BN1960" s="5" t="s">
        <v>259</v>
      </c>
      <c r="CB1960" s="5" t="s">
        <v>240</v>
      </c>
      <c r="CC1960" s="5" t="s">
        <v>240</v>
      </c>
      <c r="CG1960" s="5" t="s">
        <v>304</v>
      </c>
      <c r="CH1960" s="5" t="s">
        <v>305</v>
      </c>
      <c r="CI1960" s="5" t="s">
        <v>240</v>
      </c>
      <c r="CL1960" s="6" t="s">
        <v>261</v>
      </c>
      <c r="CM1960" s="5" t="s">
        <v>240</v>
      </c>
      <c r="CN1960" s="5" t="s">
        <v>263</v>
      </c>
      <c r="CO1960" s="5" t="s">
        <v>240</v>
      </c>
      <c r="CP1960" s="5" t="s">
        <v>240</v>
      </c>
      <c r="CQ1960" s="5">
        <v>0</v>
      </c>
      <c r="CR1960" s="5" t="s">
        <v>306</v>
      </c>
      <c r="CS1960" s="5" t="s">
        <v>307</v>
      </c>
      <c r="CT1960" s="5" t="s">
        <v>307</v>
      </c>
      <c r="CU1960" s="5" t="s">
        <v>260</v>
      </c>
      <c r="CX1960" s="7">
        <f>1</f>
        <v>1</v>
      </c>
      <c r="CY1960" s="7">
        <f>0</f>
        <v>0</v>
      </c>
      <c r="DA1960" s="7">
        <f>0</f>
        <v>0</v>
      </c>
      <c r="DC1960" s="5" t="s">
        <v>812</v>
      </c>
      <c r="DD1960" s="5" t="s">
        <v>240</v>
      </c>
      <c r="DF1960" s="5" t="s">
        <v>812</v>
      </c>
      <c r="DG1960" s="7">
        <f>700</f>
        <v>700</v>
      </c>
      <c r="DI1960" s="5" t="s">
        <v>240</v>
      </c>
      <c r="DJ1960" s="5" t="s">
        <v>240</v>
      </c>
      <c r="DK1960" s="5" t="s">
        <v>240</v>
      </c>
      <c r="DL1960" s="5" t="s">
        <v>240</v>
      </c>
      <c r="DP1960" s="5" t="s">
        <v>240</v>
      </c>
      <c r="DQ1960" s="5" t="s">
        <v>240</v>
      </c>
      <c r="DR1960" s="5" t="s">
        <v>240</v>
      </c>
      <c r="DS1960" s="5" t="s">
        <v>240</v>
      </c>
      <c r="DV1960" s="5" t="s">
        <v>813</v>
      </c>
      <c r="DW1960" s="5" t="s">
        <v>4007</v>
      </c>
      <c r="HO1960" s="5" t="s">
        <v>312</v>
      </c>
    </row>
    <row r="1961" spans="1:223" x14ac:dyDescent="0.4">
      <c r="A1961" s="5">
        <v>3665</v>
      </c>
      <c r="B1961" s="5">
        <v>1</v>
      </c>
      <c r="C1961" s="5">
        <v>1</v>
      </c>
      <c r="D1961" s="5" t="s">
        <v>810</v>
      </c>
      <c r="E1961" s="5" t="s">
        <v>245</v>
      </c>
      <c r="F1961" s="5" t="s">
        <v>254</v>
      </c>
      <c r="G1961" s="5" t="s">
        <v>240</v>
      </c>
      <c r="H1961" s="6" t="s">
        <v>4330</v>
      </c>
      <c r="I1961" s="5" t="s">
        <v>809</v>
      </c>
      <c r="J1961" s="8">
        <f>1355</f>
        <v>1355</v>
      </c>
      <c r="K1961" s="5" t="s">
        <v>308</v>
      </c>
      <c r="L1961" s="7">
        <f>1</f>
        <v>1</v>
      </c>
      <c r="M1961" s="7">
        <f>1</f>
        <v>1</v>
      </c>
      <c r="N1961" s="5" t="s">
        <v>242</v>
      </c>
      <c r="O1961" s="5">
        <v>1</v>
      </c>
      <c r="P1961" s="5" t="s">
        <v>294</v>
      </c>
      <c r="Q1961" s="5" t="s">
        <v>266</v>
      </c>
      <c r="R1961" s="5" t="s">
        <v>240</v>
      </c>
      <c r="S1961" s="5" t="s">
        <v>240</v>
      </c>
      <c r="T1961" s="5" t="s">
        <v>296</v>
      </c>
      <c r="U1961" s="5" t="s">
        <v>244</v>
      </c>
      <c r="V1961" s="5" t="s">
        <v>240</v>
      </c>
      <c r="Y1961" s="5" t="s">
        <v>240</v>
      </c>
      <c r="Z1961" s="6" t="s">
        <v>298</v>
      </c>
      <c r="AB1961" s="6" t="s">
        <v>240</v>
      </c>
      <c r="AE1961" s="6" t="s">
        <v>299</v>
      </c>
      <c r="AF1961" s="5" t="s">
        <v>248</v>
      </c>
      <c r="AG1961" s="5" t="s">
        <v>249</v>
      </c>
      <c r="AW1961" s="5" t="s">
        <v>251</v>
      </c>
      <c r="AX1961" s="5" t="s">
        <v>240</v>
      </c>
      <c r="AY1961" s="5" t="s">
        <v>253</v>
      </c>
      <c r="AZ1961" s="5" t="s">
        <v>240</v>
      </c>
      <c r="BA1961" s="5" t="s">
        <v>255</v>
      </c>
      <c r="BB1961" s="5" t="s">
        <v>240</v>
      </c>
      <c r="BD1961" s="5" t="s">
        <v>240</v>
      </c>
      <c r="BF1961" s="5" t="s">
        <v>301</v>
      </c>
      <c r="BG1961" s="6" t="s">
        <v>299</v>
      </c>
      <c r="BH1961" s="5" t="s">
        <v>302</v>
      </c>
      <c r="BI1961" s="5" t="s">
        <v>303</v>
      </c>
      <c r="BJ1961" s="5" t="s">
        <v>240</v>
      </c>
      <c r="BK1961" s="8">
        <f>0</f>
        <v>0</v>
      </c>
      <c r="BL1961" s="7">
        <f>0</f>
        <v>0</v>
      </c>
      <c r="BM1961" s="5" t="s">
        <v>258</v>
      </c>
      <c r="BN1961" s="5" t="s">
        <v>259</v>
      </c>
      <c r="CB1961" s="5" t="s">
        <v>240</v>
      </c>
      <c r="CC1961" s="5" t="s">
        <v>240</v>
      </c>
      <c r="CG1961" s="5" t="s">
        <v>304</v>
      </c>
      <c r="CH1961" s="5" t="s">
        <v>305</v>
      </c>
      <c r="CI1961" s="5" t="s">
        <v>240</v>
      </c>
      <c r="CL1961" s="6" t="s">
        <v>261</v>
      </c>
      <c r="CM1961" s="5" t="s">
        <v>240</v>
      </c>
      <c r="CN1961" s="5" t="s">
        <v>263</v>
      </c>
      <c r="CO1961" s="5" t="s">
        <v>240</v>
      </c>
      <c r="CP1961" s="5" t="s">
        <v>240</v>
      </c>
      <c r="CQ1961" s="5">
        <v>0</v>
      </c>
      <c r="CR1961" s="5" t="s">
        <v>306</v>
      </c>
      <c r="CS1961" s="5" t="s">
        <v>307</v>
      </c>
      <c r="CT1961" s="5" t="s">
        <v>307</v>
      </c>
      <c r="CU1961" s="5" t="s">
        <v>260</v>
      </c>
      <c r="CX1961" s="7">
        <f>1</f>
        <v>1</v>
      </c>
      <c r="CY1961" s="7">
        <f>0</f>
        <v>0</v>
      </c>
      <c r="DA1961" s="7">
        <f>0</f>
        <v>0</v>
      </c>
      <c r="DC1961" s="5" t="s">
        <v>812</v>
      </c>
      <c r="DD1961" s="5" t="s">
        <v>240</v>
      </c>
      <c r="DF1961" s="5" t="s">
        <v>812</v>
      </c>
      <c r="DG1961" s="7">
        <f>2548</f>
        <v>2548</v>
      </c>
      <c r="DI1961" s="5" t="s">
        <v>240</v>
      </c>
      <c r="DJ1961" s="5" t="s">
        <v>240</v>
      </c>
      <c r="DK1961" s="5" t="s">
        <v>240</v>
      </c>
      <c r="DL1961" s="5" t="s">
        <v>240</v>
      </c>
      <c r="DP1961" s="5" t="s">
        <v>240</v>
      </c>
      <c r="DQ1961" s="5" t="s">
        <v>240</v>
      </c>
      <c r="DR1961" s="5" t="s">
        <v>240</v>
      </c>
      <c r="DS1961" s="5" t="s">
        <v>240</v>
      </c>
      <c r="DV1961" s="5" t="s">
        <v>813</v>
      </c>
      <c r="DW1961" s="5" t="s">
        <v>4009</v>
      </c>
      <c r="HO1961" s="5" t="s">
        <v>312</v>
      </c>
    </row>
    <row r="1962" spans="1:223" x14ac:dyDescent="0.4">
      <c r="A1962" s="5">
        <v>3666</v>
      </c>
      <c r="B1962" s="5">
        <v>1</v>
      </c>
      <c r="C1962" s="5">
        <v>1</v>
      </c>
      <c r="D1962" s="5" t="s">
        <v>810</v>
      </c>
      <c r="E1962" s="5" t="s">
        <v>245</v>
      </c>
      <c r="F1962" s="5" t="s">
        <v>254</v>
      </c>
      <c r="G1962" s="5" t="s">
        <v>240</v>
      </c>
      <c r="H1962" s="6" t="s">
        <v>4329</v>
      </c>
      <c r="I1962" s="5" t="s">
        <v>809</v>
      </c>
      <c r="J1962" s="8">
        <f>765</f>
        <v>765</v>
      </c>
      <c r="K1962" s="5" t="s">
        <v>308</v>
      </c>
      <c r="L1962" s="7">
        <f>1</f>
        <v>1</v>
      </c>
      <c r="M1962" s="7">
        <f>1</f>
        <v>1</v>
      </c>
      <c r="N1962" s="5" t="s">
        <v>242</v>
      </c>
      <c r="O1962" s="5">
        <v>1</v>
      </c>
      <c r="P1962" s="5" t="s">
        <v>294</v>
      </c>
      <c r="Q1962" s="5" t="s">
        <v>266</v>
      </c>
      <c r="R1962" s="5" t="s">
        <v>240</v>
      </c>
      <c r="S1962" s="5" t="s">
        <v>240</v>
      </c>
      <c r="T1962" s="5" t="s">
        <v>296</v>
      </c>
      <c r="U1962" s="5" t="s">
        <v>244</v>
      </c>
      <c r="V1962" s="5" t="s">
        <v>240</v>
      </c>
      <c r="Y1962" s="5" t="s">
        <v>240</v>
      </c>
      <c r="Z1962" s="6" t="s">
        <v>298</v>
      </c>
      <c r="AB1962" s="6" t="s">
        <v>240</v>
      </c>
      <c r="AE1962" s="6" t="s">
        <v>299</v>
      </c>
      <c r="AF1962" s="5" t="s">
        <v>248</v>
      </c>
      <c r="AG1962" s="5" t="s">
        <v>249</v>
      </c>
      <c r="AW1962" s="5" t="s">
        <v>251</v>
      </c>
      <c r="AX1962" s="5" t="s">
        <v>240</v>
      </c>
      <c r="AY1962" s="5" t="s">
        <v>253</v>
      </c>
      <c r="AZ1962" s="5" t="s">
        <v>240</v>
      </c>
      <c r="BA1962" s="5" t="s">
        <v>255</v>
      </c>
      <c r="BB1962" s="5" t="s">
        <v>240</v>
      </c>
      <c r="BD1962" s="5" t="s">
        <v>240</v>
      </c>
      <c r="BF1962" s="5" t="s">
        <v>301</v>
      </c>
      <c r="BG1962" s="6" t="s">
        <v>299</v>
      </c>
      <c r="BH1962" s="5" t="s">
        <v>302</v>
      </c>
      <c r="BI1962" s="5" t="s">
        <v>303</v>
      </c>
      <c r="BJ1962" s="5" t="s">
        <v>240</v>
      </c>
      <c r="BK1962" s="8">
        <f>0</f>
        <v>0</v>
      </c>
      <c r="BL1962" s="7">
        <f>0</f>
        <v>0</v>
      </c>
      <c r="BM1962" s="5" t="s">
        <v>258</v>
      </c>
      <c r="BN1962" s="5" t="s">
        <v>259</v>
      </c>
      <c r="CB1962" s="5" t="s">
        <v>240</v>
      </c>
      <c r="CC1962" s="5" t="s">
        <v>240</v>
      </c>
      <c r="CG1962" s="5" t="s">
        <v>304</v>
      </c>
      <c r="CH1962" s="5" t="s">
        <v>305</v>
      </c>
      <c r="CI1962" s="5" t="s">
        <v>240</v>
      </c>
      <c r="CL1962" s="6" t="s">
        <v>261</v>
      </c>
      <c r="CM1962" s="5" t="s">
        <v>240</v>
      </c>
      <c r="CN1962" s="5" t="s">
        <v>263</v>
      </c>
      <c r="CO1962" s="5" t="s">
        <v>240</v>
      </c>
      <c r="CP1962" s="5" t="s">
        <v>240</v>
      </c>
      <c r="CQ1962" s="5">
        <v>0</v>
      </c>
      <c r="CR1962" s="5" t="s">
        <v>306</v>
      </c>
      <c r="CS1962" s="5" t="s">
        <v>307</v>
      </c>
      <c r="CT1962" s="5" t="s">
        <v>307</v>
      </c>
      <c r="CU1962" s="5" t="s">
        <v>260</v>
      </c>
      <c r="CX1962" s="7">
        <f>1</f>
        <v>1</v>
      </c>
      <c r="CY1962" s="7">
        <f>0</f>
        <v>0</v>
      </c>
      <c r="DA1962" s="7">
        <f>0</f>
        <v>0</v>
      </c>
      <c r="DC1962" s="5" t="s">
        <v>812</v>
      </c>
      <c r="DD1962" s="5" t="s">
        <v>240</v>
      </c>
      <c r="DF1962" s="5" t="s">
        <v>812</v>
      </c>
      <c r="DG1962" s="7">
        <f>3534</f>
        <v>3534</v>
      </c>
      <c r="DI1962" s="5" t="s">
        <v>240</v>
      </c>
      <c r="DJ1962" s="5" t="s">
        <v>240</v>
      </c>
      <c r="DK1962" s="5" t="s">
        <v>240</v>
      </c>
      <c r="DL1962" s="5" t="s">
        <v>240</v>
      </c>
      <c r="DP1962" s="5" t="s">
        <v>240</v>
      </c>
      <c r="DQ1962" s="5" t="s">
        <v>240</v>
      </c>
      <c r="DR1962" s="5" t="s">
        <v>240</v>
      </c>
      <c r="DS1962" s="5" t="s">
        <v>240</v>
      </c>
      <c r="DV1962" s="5" t="s">
        <v>813</v>
      </c>
      <c r="DW1962" s="5" t="s">
        <v>4011</v>
      </c>
      <c r="HO1962" s="5" t="s">
        <v>312</v>
      </c>
    </row>
    <row r="1963" spans="1:223" x14ac:dyDescent="0.4">
      <c r="A1963" s="5">
        <v>3667</v>
      </c>
      <c r="B1963" s="5">
        <v>1</v>
      </c>
      <c r="C1963" s="5">
        <v>1</v>
      </c>
      <c r="D1963" s="5" t="s">
        <v>810</v>
      </c>
      <c r="E1963" s="5" t="s">
        <v>245</v>
      </c>
      <c r="F1963" s="5" t="s">
        <v>254</v>
      </c>
      <c r="G1963" s="5" t="s">
        <v>240</v>
      </c>
      <c r="H1963" s="6" t="s">
        <v>4328</v>
      </c>
      <c r="I1963" s="5" t="s">
        <v>809</v>
      </c>
      <c r="J1963" s="8">
        <f>395</f>
        <v>395</v>
      </c>
      <c r="K1963" s="5" t="s">
        <v>308</v>
      </c>
      <c r="L1963" s="7">
        <f>1</f>
        <v>1</v>
      </c>
      <c r="M1963" s="7">
        <f>1</f>
        <v>1</v>
      </c>
      <c r="N1963" s="5" t="s">
        <v>242</v>
      </c>
      <c r="O1963" s="5">
        <v>1</v>
      </c>
      <c r="P1963" s="5" t="s">
        <v>294</v>
      </c>
      <c r="Q1963" s="5" t="s">
        <v>266</v>
      </c>
      <c r="R1963" s="5" t="s">
        <v>240</v>
      </c>
      <c r="S1963" s="5" t="s">
        <v>240</v>
      </c>
      <c r="T1963" s="5" t="s">
        <v>296</v>
      </c>
      <c r="U1963" s="5" t="s">
        <v>244</v>
      </c>
      <c r="V1963" s="5" t="s">
        <v>240</v>
      </c>
      <c r="Y1963" s="5" t="s">
        <v>240</v>
      </c>
      <c r="Z1963" s="6" t="s">
        <v>298</v>
      </c>
      <c r="AB1963" s="6" t="s">
        <v>240</v>
      </c>
      <c r="AE1963" s="6" t="s">
        <v>299</v>
      </c>
      <c r="AF1963" s="5" t="s">
        <v>248</v>
      </c>
      <c r="AG1963" s="5" t="s">
        <v>249</v>
      </c>
      <c r="AW1963" s="5" t="s">
        <v>251</v>
      </c>
      <c r="AX1963" s="5" t="s">
        <v>240</v>
      </c>
      <c r="AY1963" s="5" t="s">
        <v>253</v>
      </c>
      <c r="AZ1963" s="5" t="s">
        <v>240</v>
      </c>
      <c r="BA1963" s="5" t="s">
        <v>255</v>
      </c>
      <c r="BB1963" s="5" t="s">
        <v>240</v>
      </c>
      <c r="BD1963" s="5" t="s">
        <v>240</v>
      </c>
      <c r="BF1963" s="5" t="s">
        <v>301</v>
      </c>
      <c r="BG1963" s="6" t="s">
        <v>299</v>
      </c>
      <c r="BH1963" s="5" t="s">
        <v>302</v>
      </c>
      <c r="BI1963" s="5" t="s">
        <v>303</v>
      </c>
      <c r="BJ1963" s="5" t="s">
        <v>240</v>
      </c>
      <c r="BK1963" s="8">
        <f>0</f>
        <v>0</v>
      </c>
      <c r="BL1963" s="7">
        <f>0</f>
        <v>0</v>
      </c>
      <c r="BM1963" s="5" t="s">
        <v>258</v>
      </c>
      <c r="BN1963" s="5" t="s">
        <v>259</v>
      </c>
      <c r="CB1963" s="5" t="s">
        <v>240</v>
      </c>
      <c r="CC1963" s="5" t="s">
        <v>240</v>
      </c>
      <c r="CG1963" s="5" t="s">
        <v>304</v>
      </c>
      <c r="CH1963" s="5" t="s">
        <v>305</v>
      </c>
      <c r="CI1963" s="5" t="s">
        <v>240</v>
      </c>
      <c r="CL1963" s="6" t="s">
        <v>261</v>
      </c>
      <c r="CM1963" s="5" t="s">
        <v>240</v>
      </c>
      <c r="CN1963" s="5" t="s">
        <v>263</v>
      </c>
      <c r="CO1963" s="5" t="s">
        <v>240</v>
      </c>
      <c r="CP1963" s="5" t="s">
        <v>240</v>
      </c>
      <c r="CQ1963" s="5">
        <v>0</v>
      </c>
      <c r="CR1963" s="5" t="s">
        <v>306</v>
      </c>
      <c r="CS1963" s="5" t="s">
        <v>307</v>
      </c>
      <c r="CT1963" s="5" t="s">
        <v>307</v>
      </c>
      <c r="CU1963" s="5" t="s">
        <v>260</v>
      </c>
      <c r="CX1963" s="7">
        <f>1</f>
        <v>1</v>
      </c>
      <c r="CY1963" s="7">
        <f>0</f>
        <v>0</v>
      </c>
      <c r="DA1963" s="7">
        <f>0</f>
        <v>0</v>
      </c>
      <c r="DC1963" s="5" t="s">
        <v>812</v>
      </c>
      <c r="DD1963" s="5" t="s">
        <v>240</v>
      </c>
      <c r="DF1963" s="5" t="s">
        <v>812</v>
      </c>
      <c r="DG1963" s="7">
        <f>1747</f>
        <v>1747</v>
      </c>
      <c r="DI1963" s="5" t="s">
        <v>240</v>
      </c>
      <c r="DJ1963" s="5" t="s">
        <v>240</v>
      </c>
      <c r="DK1963" s="5" t="s">
        <v>240</v>
      </c>
      <c r="DL1963" s="5" t="s">
        <v>240</v>
      </c>
      <c r="DP1963" s="5" t="s">
        <v>240</v>
      </c>
      <c r="DQ1963" s="5" t="s">
        <v>240</v>
      </c>
      <c r="DR1963" s="5" t="s">
        <v>240</v>
      </c>
      <c r="DS1963" s="5" t="s">
        <v>240</v>
      </c>
      <c r="DV1963" s="5" t="s">
        <v>813</v>
      </c>
      <c r="DW1963" s="5" t="s">
        <v>4013</v>
      </c>
      <c r="HO1963" s="5" t="s">
        <v>312</v>
      </c>
    </row>
    <row r="1964" spans="1:223" x14ac:dyDescent="0.4">
      <c r="A1964" s="5">
        <v>3668</v>
      </c>
      <c r="B1964" s="5">
        <v>1</v>
      </c>
      <c r="C1964" s="5">
        <v>1</v>
      </c>
      <c r="D1964" s="5" t="s">
        <v>810</v>
      </c>
      <c r="E1964" s="5" t="s">
        <v>245</v>
      </c>
      <c r="F1964" s="5" t="s">
        <v>254</v>
      </c>
      <c r="G1964" s="5" t="s">
        <v>240</v>
      </c>
      <c r="H1964" s="6" t="s">
        <v>4327</v>
      </c>
      <c r="I1964" s="5" t="s">
        <v>809</v>
      </c>
      <c r="J1964" s="8">
        <f>2638</f>
        <v>2638</v>
      </c>
      <c r="K1964" s="5" t="s">
        <v>308</v>
      </c>
      <c r="L1964" s="7">
        <f>1</f>
        <v>1</v>
      </c>
      <c r="M1964" s="7">
        <f>1</f>
        <v>1</v>
      </c>
      <c r="N1964" s="5" t="s">
        <v>242</v>
      </c>
      <c r="O1964" s="5">
        <v>1</v>
      </c>
      <c r="P1964" s="5" t="s">
        <v>294</v>
      </c>
      <c r="Q1964" s="5" t="s">
        <v>266</v>
      </c>
      <c r="R1964" s="5" t="s">
        <v>240</v>
      </c>
      <c r="S1964" s="5" t="s">
        <v>240</v>
      </c>
      <c r="T1964" s="5" t="s">
        <v>296</v>
      </c>
      <c r="U1964" s="5" t="s">
        <v>244</v>
      </c>
      <c r="V1964" s="5" t="s">
        <v>240</v>
      </c>
      <c r="Y1964" s="5" t="s">
        <v>240</v>
      </c>
      <c r="Z1964" s="6" t="s">
        <v>298</v>
      </c>
      <c r="AB1964" s="6" t="s">
        <v>240</v>
      </c>
      <c r="AE1964" s="6" t="s">
        <v>299</v>
      </c>
      <c r="AF1964" s="5" t="s">
        <v>248</v>
      </c>
      <c r="AG1964" s="5" t="s">
        <v>249</v>
      </c>
      <c r="AW1964" s="5" t="s">
        <v>251</v>
      </c>
      <c r="AX1964" s="5" t="s">
        <v>240</v>
      </c>
      <c r="AY1964" s="5" t="s">
        <v>253</v>
      </c>
      <c r="AZ1964" s="5" t="s">
        <v>240</v>
      </c>
      <c r="BA1964" s="5" t="s">
        <v>255</v>
      </c>
      <c r="BB1964" s="5" t="s">
        <v>240</v>
      </c>
      <c r="BD1964" s="5" t="s">
        <v>240</v>
      </c>
      <c r="BF1964" s="5" t="s">
        <v>301</v>
      </c>
      <c r="BG1964" s="6" t="s">
        <v>299</v>
      </c>
      <c r="BH1964" s="5" t="s">
        <v>302</v>
      </c>
      <c r="BI1964" s="5" t="s">
        <v>303</v>
      </c>
      <c r="BJ1964" s="5" t="s">
        <v>240</v>
      </c>
      <c r="BK1964" s="8">
        <f>0</f>
        <v>0</v>
      </c>
      <c r="BL1964" s="7">
        <f>0</f>
        <v>0</v>
      </c>
      <c r="BM1964" s="5" t="s">
        <v>258</v>
      </c>
      <c r="BN1964" s="5" t="s">
        <v>259</v>
      </c>
      <c r="CB1964" s="5" t="s">
        <v>240</v>
      </c>
      <c r="CC1964" s="5" t="s">
        <v>240</v>
      </c>
      <c r="CG1964" s="5" t="s">
        <v>304</v>
      </c>
      <c r="CH1964" s="5" t="s">
        <v>305</v>
      </c>
      <c r="CI1964" s="5" t="s">
        <v>240</v>
      </c>
      <c r="CL1964" s="6" t="s">
        <v>261</v>
      </c>
      <c r="CM1964" s="5" t="s">
        <v>240</v>
      </c>
      <c r="CN1964" s="5" t="s">
        <v>263</v>
      </c>
      <c r="CO1964" s="5" t="s">
        <v>240</v>
      </c>
      <c r="CP1964" s="5" t="s">
        <v>240</v>
      </c>
      <c r="CQ1964" s="5">
        <v>0</v>
      </c>
      <c r="CR1964" s="5" t="s">
        <v>306</v>
      </c>
      <c r="CS1964" s="5" t="s">
        <v>307</v>
      </c>
      <c r="CT1964" s="5" t="s">
        <v>307</v>
      </c>
      <c r="CU1964" s="5" t="s">
        <v>260</v>
      </c>
      <c r="CX1964" s="7">
        <f>1</f>
        <v>1</v>
      </c>
      <c r="CY1964" s="7">
        <f>0</f>
        <v>0</v>
      </c>
      <c r="DA1964" s="7">
        <f>0</f>
        <v>0</v>
      </c>
      <c r="DC1964" s="5" t="s">
        <v>812</v>
      </c>
      <c r="DD1964" s="5" t="s">
        <v>240</v>
      </c>
      <c r="DF1964" s="5" t="s">
        <v>812</v>
      </c>
      <c r="DG1964" s="7">
        <f>311</f>
        <v>311</v>
      </c>
      <c r="DI1964" s="5" t="s">
        <v>240</v>
      </c>
      <c r="DJ1964" s="5" t="s">
        <v>240</v>
      </c>
      <c r="DK1964" s="5" t="s">
        <v>240</v>
      </c>
      <c r="DL1964" s="5" t="s">
        <v>240</v>
      </c>
      <c r="DP1964" s="5" t="s">
        <v>240</v>
      </c>
      <c r="DQ1964" s="5" t="s">
        <v>240</v>
      </c>
      <c r="DR1964" s="5" t="s">
        <v>240</v>
      </c>
      <c r="DS1964" s="5" t="s">
        <v>240</v>
      </c>
      <c r="DV1964" s="5" t="s">
        <v>813</v>
      </c>
      <c r="DW1964" s="5" t="s">
        <v>4015</v>
      </c>
      <c r="HO1964" s="5" t="s">
        <v>312</v>
      </c>
    </row>
    <row r="1965" spans="1:223" x14ac:dyDescent="0.4">
      <c r="A1965" s="5">
        <v>3669</v>
      </c>
      <c r="B1965" s="5">
        <v>1</v>
      </c>
      <c r="C1965" s="5">
        <v>1</v>
      </c>
      <c r="D1965" s="5" t="s">
        <v>810</v>
      </c>
      <c r="E1965" s="5" t="s">
        <v>245</v>
      </c>
      <c r="F1965" s="5" t="s">
        <v>254</v>
      </c>
      <c r="G1965" s="5" t="s">
        <v>240</v>
      </c>
      <c r="H1965" s="6" t="s">
        <v>4326</v>
      </c>
      <c r="I1965" s="5" t="s">
        <v>809</v>
      </c>
      <c r="J1965" s="8">
        <f>415</f>
        <v>415</v>
      </c>
      <c r="K1965" s="5" t="s">
        <v>308</v>
      </c>
      <c r="L1965" s="7">
        <f>1</f>
        <v>1</v>
      </c>
      <c r="M1965" s="7">
        <f>1</f>
        <v>1</v>
      </c>
      <c r="N1965" s="5" t="s">
        <v>242</v>
      </c>
      <c r="O1965" s="5">
        <v>1</v>
      </c>
      <c r="P1965" s="5" t="s">
        <v>294</v>
      </c>
      <c r="Q1965" s="5" t="s">
        <v>266</v>
      </c>
      <c r="R1965" s="5" t="s">
        <v>240</v>
      </c>
      <c r="S1965" s="5" t="s">
        <v>240</v>
      </c>
      <c r="T1965" s="5" t="s">
        <v>296</v>
      </c>
      <c r="U1965" s="5" t="s">
        <v>244</v>
      </c>
      <c r="V1965" s="5" t="s">
        <v>240</v>
      </c>
      <c r="Y1965" s="5" t="s">
        <v>240</v>
      </c>
      <c r="Z1965" s="6" t="s">
        <v>298</v>
      </c>
      <c r="AB1965" s="6" t="s">
        <v>240</v>
      </c>
      <c r="AE1965" s="6" t="s">
        <v>299</v>
      </c>
      <c r="AF1965" s="5" t="s">
        <v>248</v>
      </c>
      <c r="AG1965" s="5" t="s">
        <v>249</v>
      </c>
      <c r="AW1965" s="5" t="s">
        <v>251</v>
      </c>
      <c r="AX1965" s="5" t="s">
        <v>240</v>
      </c>
      <c r="AY1965" s="5" t="s">
        <v>253</v>
      </c>
      <c r="AZ1965" s="5" t="s">
        <v>240</v>
      </c>
      <c r="BA1965" s="5" t="s">
        <v>255</v>
      </c>
      <c r="BB1965" s="5" t="s">
        <v>240</v>
      </c>
      <c r="BD1965" s="5" t="s">
        <v>240</v>
      </c>
      <c r="BF1965" s="5" t="s">
        <v>301</v>
      </c>
      <c r="BG1965" s="6" t="s">
        <v>299</v>
      </c>
      <c r="BH1965" s="5" t="s">
        <v>302</v>
      </c>
      <c r="BI1965" s="5" t="s">
        <v>303</v>
      </c>
      <c r="BJ1965" s="5" t="s">
        <v>240</v>
      </c>
      <c r="BK1965" s="8">
        <f>0</f>
        <v>0</v>
      </c>
      <c r="BL1965" s="7">
        <f>0</f>
        <v>0</v>
      </c>
      <c r="BM1965" s="5" t="s">
        <v>258</v>
      </c>
      <c r="BN1965" s="5" t="s">
        <v>259</v>
      </c>
      <c r="CB1965" s="5" t="s">
        <v>240</v>
      </c>
      <c r="CC1965" s="5" t="s">
        <v>240</v>
      </c>
      <c r="CG1965" s="5" t="s">
        <v>304</v>
      </c>
      <c r="CH1965" s="5" t="s">
        <v>305</v>
      </c>
      <c r="CI1965" s="5" t="s">
        <v>240</v>
      </c>
      <c r="CL1965" s="6" t="s">
        <v>261</v>
      </c>
      <c r="CM1965" s="5" t="s">
        <v>240</v>
      </c>
      <c r="CN1965" s="5" t="s">
        <v>263</v>
      </c>
      <c r="CO1965" s="5" t="s">
        <v>240</v>
      </c>
      <c r="CP1965" s="5" t="s">
        <v>240</v>
      </c>
      <c r="CQ1965" s="5">
        <v>0</v>
      </c>
      <c r="CR1965" s="5" t="s">
        <v>306</v>
      </c>
      <c r="CS1965" s="5" t="s">
        <v>307</v>
      </c>
      <c r="CT1965" s="5" t="s">
        <v>307</v>
      </c>
      <c r="CU1965" s="5" t="s">
        <v>260</v>
      </c>
      <c r="CX1965" s="7">
        <f>1</f>
        <v>1</v>
      </c>
      <c r="CY1965" s="7">
        <f>0</f>
        <v>0</v>
      </c>
      <c r="DA1965" s="7">
        <f>0</f>
        <v>0</v>
      </c>
      <c r="DC1965" s="5" t="s">
        <v>812</v>
      </c>
      <c r="DD1965" s="5" t="s">
        <v>240</v>
      </c>
      <c r="DF1965" s="5" t="s">
        <v>812</v>
      </c>
      <c r="DG1965" s="7">
        <f>695</f>
        <v>695</v>
      </c>
      <c r="DI1965" s="5" t="s">
        <v>240</v>
      </c>
      <c r="DJ1965" s="5" t="s">
        <v>240</v>
      </c>
      <c r="DK1965" s="5" t="s">
        <v>240</v>
      </c>
      <c r="DL1965" s="5" t="s">
        <v>240</v>
      </c>
      <c r="DP1965" s="5" t="s">
        <v>240</v>
      </c>
      <c r="DQ1965" s="5" t="s">
        <v>240</v>
      </c>
      <c r="DR1965" s="5" t="s">
        <v>240</v>
      </c>
      <c r="DS1965" s="5" t="s">
        <v>240</v>
      </c>
      <c r="DV1965" s="5" t="s">
        <v>813</v>
      </c>
      <c r="DW1965" s="5" t="s">
        <v>4017</v>
      </c>
      <c r="HO1965" s="5" t="s">
        <v>312</v>
      </c>
    </row>
    <row r="1966" spans="1:223" x14ac:dyDescent="0.4">
      <c r="A1966" s="5">
        <v>3670</v>
      </c>
      <c r="B1966" s="5">
        <v>1</v>
      </c>
      <c r="C1966" s="5">
        <v>1</v>
      </c>
      <c r="D1966" s="5" t="s">
        <v>810</v>
      </c>
      <c r="E1966" s="5" t="s">
        <v>245</v>
      </c>
      <c r="F1966" s="5" t="s">
        <v>254</v>
      </c>
      <c r="G1966" s="5" t="s">
        <v>240</v>
      </c>
      <c r="H1966" s="6" t="s">
        <v>4325</v>
      </c>
      <c r="I1966" s="5" t="s">
        <v>809</v>
      </c>
      <c r="J1966" s="8">
        <f>2385</f>
        <v>2385</v>
      </c>
      <c r="K1966" s="5" t="s">
        <v>308</v>
      </c>
      <c r="L1966" s="7">
        <f>1</f>
        <v>1</v>
      </c>
      <c r="M1966" s="7">
        <f>1</f>
        <v>1</v>
      </c>
      <c r="N1966" s="5" t="s">
        <v>242</v>
      </c>
      <c r="O1966" s="5">
        <v>1</v>
      </c>
      <c r="P1966" s="5" t="s">
        <v>294</v>
      </c>
      <c r="Q1966" s="5" t="s">
        <v>266</v>
      </c>
      <c r="R1966" s="5" t="s">
        <v>240</v>
      </c>
      <c r="S1966" s="5" t="s">
        <v>240</v>
      </c>
      <c r="T1966" s="5" t="s">
        <v>296</v>
      </c>
      <c r="U1966" s="5" t="s">
        <v>244</v>
      </c>
      <c r="V1966" s="5" t="s">
        <v>240</v>
      </c>
      <c r="Y1966" s="5" t="s">
        <v>240</v>
      </c>
      <c r="Z1966" s="6" t="s">
        <v>298</v>
      </c>
      <c r="AB1966" s="6" t="s">
        <v>240</v>
      </c>
      <c r="AE1966" s="6" t="s">
        <v>299</v>
      </c>
      <c r="AF1966" s="5" t="s">
        <v>248</v>
      </c>
      <c r="AG1966" s="5" t="s">
        <v>249</v>
      </c>
      <c r="AW1966" s="5" t="s">
        <v>251</v>
      </c>
      <c r="AX1966" s="5" t="s">
        <v>240</v>
      </c>
      <c r="AY1966" s="5" t="s">
        <v>253</v>
      </c>
      <c r="AZ1966" s="5" t="s">
        <v>240</v>
      </c>
      <c r="BA1966" s="5" t="s">
        <v>255</v>
      </c>
      <c r="BB1966" s="5" t="s">
        <v>240</v>
      </c>
      <c r="BD1966" s="5" t="s">
        <v>240</v>
      </c>
      <c r="BF1966" s="5" t="s">
        <v>301</v>
      </c>
      <c r="BG1966" s="6" t="s">
        <v>299</v>
      </c>
      <c r="BH1966" s="5" t="s">
        <v>302</v>
      </c>
      <c r="BI1966" s="5" t="s">
        <v>303</v>
      </c>
      <c r="BJ1966" s="5" t="s">
        <v>240</v>
      </c>
      <c r="BK1966" s="8">
        <f>0</f>
        <v>0</v>
      </c>
      <c r="BL1966" s="7">
        <f>0</f>
        <v>0</v>
      </c>
      <c r="BM1966" s="5" t="s">
        <v>258</v>
      </c>
      <c r="BN1966" s="5" t="s">
        <v>259</v>
      </c>
      <c r="CB1966" s="5" t="s">
        <v>240</v>
      </c>
      <c r="CC1966" s="5" t="s">
        <v>240</v>
      </c>
      <c r="CG1966" s="5" t="s">
        <v>304</v>
      </c>
      <c r="CH1966" s="5" t="s">
        <v>305</v>
      </c>
      <c r="CI1966" s="5" t="s">
        <v>240</v>
      </c>
      <c r="CL1966" s="6" t="s">
        <v>261</v>
      </c>
      <c r="CM1966" s="5" t="s">
        <v>240</v>
      </c>
      <c r="CN1966" s="5" t="s">
        <v>263</v>
      </c>
      <c r="CO1966" s="5" t="s">
        <v>240</v>
      </c>
      <c r="CP1966" s="5" t="s">
        <v>240</v>
      </c>
      <c r="CQ1966" s="5">
        <v>0</v>
      </c>
      <c r="CR1966" s="5" t="s">
        <v>306</v>
      </c>
      <c r="CS1966" s="5" t="s">
        <v>307</v>
      </c>
      <c r="CT1966" s="5" t="s">
        <v>307</v>
      </c>
      <c r="CU1966" s="5" t="s">
        <v>260</v>
      </c>
      <c r="CX1966" s="7">
        <f>1</f>
        <v>1</v>
      </c>
      <c r="CY1966" s="7">
        <f>0</f>
        <v>0</v>
      </c>
      <c r="DA1966" s="7">
        <f>0</f>
        <v>0</v>
      </c>
      <c r="DC1966" s="5" t="s">
        <v>812</v>
      </c>
      <c r="DD1966" s="5" t="s">
        <v>240</v>
      </c>
      <c r="DF1966" s="5" t="s">
        <v>812</v>
      </c>
      <c r="DG1966" s="7">
        <f>305</f>
        <v>305</v>
      </c>
      <c r="DI1966" s="5" t="s">
        <v>240</v>
      </c>
      <c r="DJ1966" s="5" t="s">
        <v>240</v>
      </c>
      <c r="DK1966" s="5" t="s">
        <v>240</v>
      </c>
      <c r="DL1966" s="5" t="s">
        <v>240</v>
      </c>
      <c r="DP1966" s="5" t="s">
        <v>240</v>
      </c>
      <c r="DQ1966" s="5" t="s">
        <v>240</v>
      </c>
      <c r="DR1966" s="5" t="s">
        <v>240</v>
      </c>
      <c r="DS1966" s="5" t="s">
        <v>240</v>
      </c>
      <c r="DV1966" s="5" t="s">
        <v>813</v>
      </c>
      <c r="DW1966" s="5" t="s">
        <v>4019</v>
      </c>
      <c r="HO1966" s="5" t="s">
        <v>312</v>
      </c>
    </row>
    <row r="1967" spans="1:223" x14ac:dyDescent="0.4">
      <c r="A1967" s="5">
        <v>3671</v>
      </c>
      <c r="B1967" s="5">
        <v>1</v>
      </c>
      <c r="C1967" s="5">
        <v>1</v>
      </c>
      <c r="D1967" s="5" t="s">
        <v>810</v>
      </c>
      <c r="E1967" s="5" t="s">
        <v>245</v>
      </c>
      <c r="F1967" s="5" t="s">
        <v>254</v>
      </c>
      <c r="G1967" s="5" t="s">
        <v>240</v>
      </c>
      <c r="H1967" s="6" t="s">
        <v>4324</v>
      </c>
      <c r="I1967" s="5" t="s">
        <v>809</v>
      </c>
      <c r="J1967" s="8">
        <f>4070</f>
        <v>4070</v>
      </c>
      <c r="K1967" s="5" t="s">
        <v>308</v>
      </c>
      <c r="L1967" s="7">
        <f>1</f>
        <v>1</v>
      </c>
      <c r="M1967" s="7">
        <f>1</f>
        <v>1</v>
      </c>
      <c r="N1967" s="5" t="s">
        <v>242</v>
      </c>
      <c r="O1967" s="5">
        <v>1</v>
      </c>
      <c r="P1967" s="5" t="s">
        <v>294</v>
      </c>
      <c r="Q1967" s="5" t="s">
        <v>266</v>
      </c>
      <c r="R1967" s="5" t="s">
        <v>240</v>
      </c>
      <c r="S1967" s="5" t="s">
        <v>240</v>
      </c>
      <c r="T1967" s="5" t="s">
        <v>296</v>
      </c>
      <c r="U1967" s="5" t="s">
        <v>244</v>
      </c>
      <c r="V1967" s="5" t="s">
        <v>240</v>
      </c>
      <c r="Y1967" s="5" t="s">
        <v>240</v>
      </c>
      <c r="Z1967" s="6" t="s">
        <v>298</v>
      </c>
      <c r="AB1967" s="6" t="s">
        <v>240</v>
      </c>
      <c r="AE1967" s="6" t="s">
        <v>299</v>
      </c>
      <c r="AF1967" s="5" t="s">
        <v>248</v>
      </c>
      <c r="AG1967" s="5" t="s">
        <v>249</v>
      </c>
      <c r="AW1967" s="5" t="s">
        <v>251</v>
      </c>
      <c r="AX1967" s="5" t="s">
        <v>240</v>
      </c>
      <c r="AY1967" s="5" t="s">
        <v>253</v>
      </c>
      <c r="AZ1967" s="5" t="s">
        <v>240</v>
      </c>
      <c r="BA1967" s="5" t="s">
        <v>255</v>
      </c>
      <c r="BB1967" s="5" t="s">
        <v>240</v>
      </c>
      <c r="BD1967" s="5" t="s">
        <v>240</v>
      </c>
      <c r="BF1967" s="5" t="s">
        <v>301</v>
      </c>
      <c r="BG1967" s="6" t="s">
        <v>299</v>
      </c>
      <c r="BH1967" s="5" t="s">
        <v>302</v>
      </c>
      <c r="BI1967" s="5" t="s">
        <v>303</v>
      </c>
      <c r="BJ1967" s="5" t="s">
        <v>240</v>
      </c>
      <c r="BK1967" s="8">
        <f>0</f>
        <v>0</v>
      </c>
      <c r="BL1967" s="7">
        <f>0</f>
        <v>0</v>
      </c>
      <c r="BM1967" s="5" t="s">
        <v>258</v>
      </c>
      <c r="BN1967" s="5" t="s">
        <v>259</v>
      </c>
      <c r="CB1967" s="5" t="s">
        <v>240</v>
      </c>
      <c r="CC1967" s="5" t="s">
        <v>240</v>
      </c>
      <c r="CG1967" s="5" t="s">
        <v>304</v>
      </c>
      <c r="CH1967" s="5" t="s">
        <v>305</v>
      </c>
      <c r="CI1967" s="5" t="s">
        <v>240</v>
      </c>
      <c r="CL1967" s="6" t="s">
        <v>261</v>
      </c>
      <c r="CM1967" s="5" t="s">
        <v>240</v>
      </c>
      <c r="CN1967" s="5" t="s">
        <v>263</v>
      </c>
      <c r="CO1967" s="5" t="s">
        <v>240</v>
      </c>
      <c r="CP1967" s="5" t="s">
        <v>240</v>
      </c>
      <c r="CQ1967" s="5">
        <v>0</v>
      </c>
      <c r="CR1967" s="5" t="s">
        <v>306</v>
      </c>
      <c r="CS1967" s="5" t="s">
        <v>307</v>
      </c>
      <c r="CT1967" s="5" t="s">
        <v>307</v>
      </c>
      <c r="CU1967" s="5" t="s">
        <v>260</v>
      </c>
      <c r="CX1967" s="7">
        <f>1</f>
        <v>1</v>
      </c>
      <c r="CY1967" s="7">
        <f>0</f>
        <v>0</v>
      </c>
      <c r="DA1967" s="7">
        <f>0</f>
        <v>0</v>
      </c>
      <c r="DC1967" s="5" t="s">
        <v>812</v>
      </c>
      <c r="DD1967" s="5" t="s">
        <v>240</v>
      </c>
      <c r="DF1967" s="5" t="s">
        <v>812</v>
      </c>
      <c r="DG1967" s="7">
        <f>295</f>
        <v>295</v>
      </c>
      <c r="DI1967" s="5" t="s">
        <v>240</v>
      </c>
      <c r="DJ1967" s="5" t="s">
        <v>240</v>
      </c>
      <c r="DK1967" s="5" t="s">
        <v>240</v>
      </c>
      <c r="DL1967" s="5" t="s">
        <v>240</v>
      </c>
      <c r="DP1967" s="5" t="s">
        <v>240</v>
      </c>
      <c r="DQ1967" s="5" t="s">
        <v>240</v>
      </c>
      <c r="DR1967" s="5" t="s">
        <v>240</v>
      </c>
      <c r="DS1967" s="5" t="s">
        <v>240</v>
      </c>
      <c r="DV1967" s="5" t="s">
        <v>813</v>
      </c>
      <c r="DW1967" s="5" t="s">
        <v>4021</v>
      </c>
      <c r="HO1967" s="5" t="s">
        <v>312</v>
      </c>
    </row>
    <row r="1968" spans="1:223" x14ac:dyDescent="0.4">
      <c r="A1968" s="5">
        <v>3672</v>
      </c>
      <c r="B1968" s="5">
        <v>1</v>
      </c>
      <c r="C1968" s="5">
        <v>1</v>
      </c>
      <c r="D1968" s="5" t="s">
        <v>810</v>
      </c>
      <c r="E1968" s="5" t="s">
        <v>245</v>
      </c>
      <c r="F1968" s="5" t="s">
        <v>254</v>
      </c>
      <c r="G1968" s="5" t="s">
        <v>240</v>
      </c>
      <c r="H1968" s="6" t="s">
        <v>4323</v>
      </c>
      <c r="I1968" s="5" t="s">
        <v>809</v>
      </c>
      <c r="J1968" s="8">
        <f>3958</f>
        <v>3958</v>
      </c>
      <c r="K1968" s="5" t="s">
        <v>308</v>
      </c>
      <c r="L1968" s="7">
        <f>1</f>
        <v>1</v>
      </c>
      <c r="M1968" s="7">
        <f>1</f>
        <v>1</v>
      </c>
      <c r="N1968" s="5" t="s">
        <v>242</v>
      </c>
      <c r="O1968" s="5">
        <v>1</v>
      </c>
      <c r="P1968" s="5" t="s">
        <v>294</v>
      </c>
      <c r="Q1968" s="5" t="s">
        <v>266</v>
      </c>
      <c r="R1968" s="5" t="s">
        <v>240</v>
      </c>
      <c r="S1968" s="5" t="s">
        <v>240</v>
      </c>
      <c r="T1968" s="5" t="s">
        <v>296</v>
      </c>
      <c r="U1968" s="5" t="s">
        <v>244</v>
      </c>
      <c r="V1968" s="5" t="s">
        <v>240</v>
      </c>
      <c r="Y1968" s="5" t="s">
        <v>240</v>
      </c>
      <c r="Z1968" s="6" t="s">
        <v>298</v>
      </c>
      <c r="AB1968" s="6" t="s">
        <v>240</v>
      </c>
      <c r="AE1968" s="6" t="s">
        <v>299</v>
      </c>
      <c r="AF1968" s="5" t="s">
        <v>248</v>
      </c>
      <c r="AG1968" s="5" t="s">
        <v>249</v>
      </c>
      <c r="AW1968" s="5" t="s">
        <v>251</v>
      </c>
      <c r="AX1968" s="5" t="s">
        <v>240</v>
      </c>
      <c r="AY1968" s="5" t="s">
        <v>253</v>
      </c>
      <c r="AZ1968" s="5" t="s">
        <v>240</v>
      </c>
      <c r="BA1968" s="5" t="s">
        <v>255</v>
      </c>
      <c r="BB1968" s="5" t="s">
        <v>240</v>
      </c>
      <c r="BD1968" s="5" t="s">
        <v>240</v>
      </c>
      <c r="BF1968" s="5" t="s">
        <v>301</v>
      </c>
      <c r="BG1968" s="6" t="s">
        <v>299</v>
      </c>
      <c r="BH1968" s="5" t="s">
        <v>302</v>
      </c>
      <c r="BI1968" s="5" t="s">
        <v>303</v>
      </c>
      <c r="BJ1968" s="5" t="s">
        <v>240</v>
      </c>
      <c r="BK1968" s="8">
        <f>0</f>
        <v>0</v>
      </c>
      <c r="BL1968" s="7">
        <f>0</f>
        <v>0</v>
      </c>
      <c r="BM1968" s="5" t="s">
        <v>258</v>
      </c>
      <c r="BN1968" s="5" t="s">
        <v>259</v>
      </c>
      <c r="CB1968" s="5" t="s">
        <v>240</v>
      </c>
      <c r="CC1968" s="5" t="s">
        <v>240</v>
      </c>
      <c r="CG1968" s="5" t="s">
        <v>304</v>
      </c>
      <c r="CH1968" s="5" t="s">
        <v>305</v>
      </c>
      <c r="CI1968" s="5" t="s">
        <v>240</v>
      </c>
      <c r="CL1968" s="6" t="s">
        <v>261</v>
      </c>
      <c r="CM1968" s="5" t="s">
        <v>240</v>
      </c>
      <c r="CN1968" s="5" t="s">
        <v>263</v>
      </c>
      <c r="CO1968" s="5" t="s">
        <v>240</v>
      </c>
      <c r="CP1968" s="5" t="s">
        <v>240</v>
      </c>
      <c r="CQ1968" s="5">
        <v>0</v>
      </c>
      <c r="CR1968" s="5" t="s">
        <v>306</v>
      </c>
      <c r="CS1968" s="5" t="s">
        <v>307</v>
      </c>
      <c r="CT1968" s="5" t="s">
        <v>307</v>
      </c>
      <c r="CU1968" s="5" t="s">
        <v>260</v>
      </c>
      <c r="CX1968" s="7">
        <f>1</f>
        <v>1</v>
      </c>
      <c r="CY1968" s="7">
        <f>0</f>
        <v>0</v>
      </c>
      <c r="DA1968" s="7">
        <f>0</f>
        <v>0</v>
      </c>
      <c r="DC1968" s="5" t="s">
        <v>812</v>
      </c>
      <c r="DD1968" s="5" t="s">
        <v>240</v>
      </c>
      <c r="DF1968" s="5" t="s">
        <v>812</v>
      </c>
      <c r="DG1968" s="7">
        <f>1271</f>
        <v>1271</v>
      </c>
      <c r="DI1968" s="5" t="s">
        <v>240</v>
      </c>
      <c r="DJ1968" s="5" t="s">
        <v>240</v>
      </c>
      <c r="DK1968" s="5" t="s">
        <v>240</v>
      </c>
      <c r="DL1968" s="5" t="s">
        <v>240</v>
      </c>
      <c r="DP1968" s="5" t="s">
        <v>240</v>
      </c>
      <c r="DQ1968" s="5" t="s">
        <v>240</v>
      </c>
      <c r="DR1968" s="5" t="s">
        <v>240</v>
      </c>
      <c r="DS1968" s="5" t="s">
        <v>240</v>
      </c>
      <c r="DV1968" s="5" t="s">
        <v>813</v>
      </c>
      <c r="DW1968" s="5" t="s">
        <v>4023</v>
      </c>
      <c r="HO1968" s="5" t="s">
        <v>312</v>
      </c>
    </row>
    <row r="1969" spans="1:223" x14ac:dyDescent="0.4">
      <c r="A1969" s="5">
        <v>3673</v>
      </c>
      <c r="B1969" s="5">
        <v>1</v>
      </c>
      <c r="C1969" s="5">
        <v>1</v>
      </c>
      <c r="D1969" s="5" t="s">
        <v>810</v>
      </c>
      <c r="E1969" s="5" t="s">
        <v>245</v>
      </c>
      <c r="F1969" s="5" t="s">
        <v>254</v>
      </c>
      <c r="G1969" s="5" t="s">
        <v>240</v>
      </c>
      <c r="H1969" s="6" t="s">
        <v>4322</v>
      </c>
      <c r="I1969" s="5" t="s">
        <v>809</v>
      </c>
      <c r="J1969" s="8">
        <f>862</f>
        <v>862</v>
      </c>
      <c r="K1969" s="5" t="s">
        <v>308</v>
      </c>
      <c r="L1969" s="7">
        <f>1</f>
        <v>1</v>
      </c>
      <c r="M1969" s="7">
        <f>1</f>
        <v>1</v>
      </c>
      <c r="N1969" s="5" t="s">
        <v>242</v>
      </c>
      <c r="O1969" s="5">
        <v>1</v>
      </c>
      <c r="P1969" s="5" t="s">
        <v>294</v>
      </c>
      <c r="Q1969" s="5" t="s">
        <v>266</v>
      </c>
      <c r="R1969" s="5" t="s">
        <v>240</v>
      </c>
      <c r="S1969" s="5" t="s">
        <v>240</v>
      </c>
      <c r="T1969" s="5" t="s">
        <v>296</v>
      </c>
      <c r="U1969" s="5" t="s">
        <v>244</v>
      </c>
      <c r="V1969" s="5" t="s">
        <v>240</v>
      </c>
      <c r="Y1969" s="5" t="s">
        <v>240</v>
      </c>
      <c r="Z1969" s="6" t="s">
        <v>298</v>
      </c>
      <c r="AB1969" s="6" t="s">
        <v>240</v>
      </c>
      <c r="AE1969" s="6" t="s">
        <v>299</v>
      </c>
      <c r="AF1969" s="5" t="s">
        <v>248</v>
      </c>
      <c r="AG1969" s="5" t="s">
        <v>249</v>
      </c>
      <c r="AW1969" s="5" t="s">
        <v>251</v>
      </c>
      <c r="AX1969" s="5" t="s">
        <v>240</v>
      </c>
      <c r="AY1969" s="5" t="s">
        <v>253</v>
      </c>
      <c r="AZ1969" s="5" t="s">
        <v>240</v>
      </c>
      <c r="BA1969" s="5" t="s">
        <v>255</v>
      </c>
      <c r="BB1969" s="5" t="s">
        <v>240</v>
      </c>
      <c r="BD1969" s="5" t="s">
        <v>240</v>
      </c>
      <c r="BF1969" s="5" t="s">
        <v>301</v>
      </c>
      <c r="BG1969" s="6" t="s">
        <v>299</v>
      </c>
      <c r="BH1969" s="5" t="s">
        <v>302</v>
      </c>
      <c r="BI1969" s="5" t="s">
        <v>303</v>
      </c>
      <c r="BJ1969" s="5" t="s">
        <v>240</v>
      </c>
      <c r="BK1969" s="8">
        <f>0</f>
        <v>0</v>
      </c>
      <c r="BL1969" s="7">
        <f>0</f>
        <v>0</v>
      </c>
      <c r="BM1969" s="5" t="s">
        <v>258</v>
      </c>
      <c r="BN1969" s="5" t="s">
        <v>259</v>
      </c>
      <c r="CB1969" s="5" t="s">
        <v>240</v>
      </c>
      <c r="CC1969" s="5" t="s">
        <v>240</v>
      </c>
      <c r="CG1969" s="5" t="s">
        <v>304</v>
      </c>
      <c r="CH1969" s="5" t="s">
        <v>305</v>
      </c>
      <c r="CI1969" s="5" t="s">
        <v>240</v>
      </c>
      <c r="CL1969" s="6" t="s">
        <v>261</v>
      </c>
      <c r="CM1969" s="5" t="s">
        <v>240</v>
      </c>
      <c r="CN1969" s="5" t="s">
        <v>263</v>
      </c>
      <c r="CO1969" s="5" t="s">
        <v>240</v>
      </c>
      <c r="CP1969" s="5" t="s">
        <v>240</v>
      </c>
      <c r="CQ1969" s="5">
        <v>0</v>
      </c>
      <c r="CR1969" s="5" t="s">
        <v>306</v>
      </c>
      <c r="CS1969" s="5" t="s">
        <v>307</v>
      </c>
      <c r="CT1969" s="5" t="s">
        <v>307</v>
      </c>
      <c r="CU1969" s="5" t="s">
        <v>260</v>
      </c>
      <c r="CX1969" s="7">
        <f>1</f>
        <v>1</v>
      </c>
      <c r="CY1969" s="7">
        <f>0</f>
        <v>0</v>
      </c>
      <c r="DA1969" s="7">
        <f>0</f>
        <v>0</v>
      </c>
      <c r="DC1969" s="5" t="s">
        <v>812</v>
      </c>
      <c r="DD1969" s="5" t="s">
        <v>240</v>
      </c>
      <c r="DF1969" s="5" t="s">
        <v>812</v>
      </c>
      <c r="DG1969" s="7">
        <f>9.41</f>
        <v>9.41</v>
      </c>
      <c r="DI1969" s="5" t="s">
        <v>240</v>
      </c>
      <c r="DJ1969" s="5" t="s">
        <v>240</v>
      </c>
      <c r="DK1969" s="5" t="s">
        <v>240</v>
      </c>
      <c r="DL1969" s="5" t="s">
        <v>240</v>
      </c>
      <c r="DP1969" s="5" t="s">
        <v>240</v>
      </c>
      <c r="DQ1969" s="5" t="s">
        <v>240</v>
      </c>
      <c r="DR1969" s="5" t="s">
        <v>240</v>
      </c>
      <c r="DS1969" s="5" t="s">
        <v>240</v>
      </c>
      <c r="DV1969" s="5" t="s">
        <v>813</v>
      </c>
      <c r="DW1969" s="5" t="s">
        <v>4025</v>
      </c>
      <c r="HO1969" s="5" t="s">
        <v>312</v>
      </c>
    </row>
    <row r="1970" spans="1:223" x14ac:dyDescent="0.4">
      <c r="A1970" s="5">
        <v>3674</v>
      </c>
      <c r="B1970" s="5">
        <v>1</v>
      </c>
      <c r="C1970" s="5">
        <v>1</v>
      </c>
      <c r="D1970" s="5" t="s">
        <v>810</v>
      </c>
      <c r="E1970" s="5" t="s">
        <v>245</v>
      </c>
      <c r="F1970" s="5" t="s">
        <v>254</v>
      </c>
      <c r="G1970" s="5" t="s">
        <v>240</v>
      </c>
      <c r="H1970" s="6" t="s">
        <v>4321</v>
      </c>
      <c r="I1970" s="5" t="s">
        <v>809</v>
      </c>
      <c r="J1970" s="8">
        <f>2463</f>
        <v>2463</v>
      </c>
      <c r="K1970" s="5" t="s">
        <v>308</v>
      </c>
      <c r="L1970" s="7">
        <f>1</f>
        <v>1</v>
      </c>
      <c r="M1970" s="7">
        <f>1</f>
        <v>1</v>
      </c>
      <c r="N1970" s="5" t="s">
        <v>242</v>
      </c>
      <c r="O1970" s="5">
        <v>1</v>
      </c>
      <c r="P1970" s="5" t="s">
        <v>294</v>
      </c>
      <c r="Q1970" s="5" t="s">
        <v>266</v>
      </c>
      <c r="R1970" s="5" t="s">
        <v>240</v>
      </c>
      <c r="S1970" s="5" t="s">
        <v>240</v>
      </c>
      <c r="T1970" s="5" t="s">
        <v>296</v>
      </c>
      <c r="U1970" s="5" t="s">
        <v>244</v>
      </c>
      <c r="V1970" s="5" t="s">
        <v>240</v>
      </c>
      <c r="Y1970" s="5" t="s">
        <v>240</v>
      </c>
      <c r="Z1970" s="6" t="s">
        <v>298</v>
      </c>
      <c r="AB1970" s="6" t="s">
        <v>240</v>
      </c>
      <c r="AE1970" s="6" t="s">
        <v>299</v>
      </c>
      <c r="AF1970" s="5" t="s">
        <v>248</v>
      </c>
      <c r="AG1970" s="5" t="s">
        <v>249</v>
      </c>
      <c r="AW1970" s="5" t="s">
        <v>251</v>
      </c>
      <c r="AX1970" s="5" t="s">
        <v>240</v>
      </c>
      <c r="AY1970" s="5" t="s">
        <v>253</v>
      </c>
      <c r="AZ1970" s="5" t="s">
        <v>240</v>
      </c>
      <c r="BA1970" s="5" t="s">
        <v>255</v>
      </c>
      <c r="BB1970" s="5" t="s">
        <v>240</v>
      </c>
      <c r="BD1970" s="5" t="s">
        <v>240</v>
      </c>
      <c r="BF1970" s="5" t="s">
        <v>301</v>
      </c>
      <c r="BG1970" s="6" t="s">
        <v>299</v>
      </c>
      <c r="BH1970" s="5" t="s">
        <v>302</v>
      </c>
      <c r="BI1970" s="5" t="s">
        <v>303</v>
      </c>
      <c r="BJ1970" s="5" t="s">
        <v>240</v>
      </c>
      <c r="BK1970" s="8">
        <f>0</f>
        <v>0</v>
      </c>
      <c r="BL1970" s="7">
        <f>0</f>
        <v>0</v>
      </c>
      <c r="BM1970" s="5" t="s">
        <v>258</v>
      </c>
      <c r="BN1970" s="5" t="s">
        <v>259</v>
      </c>
      <c r="CB1970" s="5" t="s">
        <v>240</v>
      </c>
      <c r="CC1970" s="5" t="s">
        <v>240</v>
      </c>
      <c r="CG1970" s="5" t="s">
        <v>304</v>
      </c>
      <c r="CH1970" s="5" t="s">
        <v>305</v>
      </c>
      <c r="CI1970" s="5" t="s">
        <v>240</v>
      </c>
      <c r="CL1970" s="6" t="s">
        <v>261</v>
      </c>
      <c r="CM1970" s="5" t="s">
        <v>240</v>
      </c>
      <c r="CN1970" s="5" t="s">
        <v>263</v>
      </c>
      <c r="CO1970" s="5" t="s">
        <v>240</v>
      </c>
      <c r="CP1970" s="5" t="s">
        <v>240</v>
      </c>
      <c r="CQ1970" s="5">
        <v>0</v>
      </c>
      <c r="CR1970" s="5" t="s">
        <v>306</v>
      </c>
      <c r="CS1970" s="5" t="s">
        <v>307</v>
      </c>
      <c r="CT1970" s="5" t="s">
        <v>307</v>
      </c>
      <c r="CU1970" s="5" t="s">
        <v>260</v>
      </c>
      <c r="CX1970" s="7">
        <f>1</f>
        <v>1</v>
      </c>
      <c r="CY1970" s="7">
        <f>0</f>
        <v>0</v>
      </c>
      <c r="DA1970" s="7">
        <f>0</f>
        <v>0</v>
      </c>
      <c r="DC1970" s="5" t="s">
        <v>812</v>
      </c>
      <c r="DD1970" s="5" t="s">
        <v>240</v>
      </c>
      <c r="DF1970" s="5" t="s">
        <v>812</v>
      </c>
      <c r="DG1970" s="7">
        <f>1020</f>
        <v>1020</v>
      </c>
      <c r="DI1970" s="5" t="s">
        <v>240</v>
      </c>
      <c r="DJ1970" s="5" t="s">
        <v>240</v>
      </c>
      <c r="DK1970" s="5" t="s">
        <v>240</v>
      </c>
      <c r="DL1970" s="5" t="s">
        <v>240</v>
      </c>
      <c r="DP1970" s="5" t="s">
        <v>240</v>
      </c>
      <c r="DQ1970" s="5" t="s">
        <v>240</v>
      </c>
      <c r="DR1970" s="5" t="s">
        <v>240</v>
      </c>
      <c r="DS1970" s="5" t="s">
        <v>240</v>
      </c>
      <c r="DV1970" s="5" t="s">
        <v>813</v>
      </c>
      <c r="DW1970" s="5" t="s">
        <v>4027</v>
      </c>
      <c r="HO1970" s="5" t="s">
        <v>312</v>
      </c>
    </row>
    <row r="1971" spans="1:223" x14ac:dyDescent="0.4">
      <c r="A1971" s="5">
        <v>3675</v>
      </c>
      <c r="B1971" s="5">
        <v>1</v>
      </c>
      <c r="C1971" s="5">
        <v>1</v>
      </c>
      <c r="D1971" s="5" t="s">
        <v>810</v>
      </c>
      <c r="E1971" s="5" t="s">
        <v>245</v>
      </c>
      <c r="F1971" s="5" t="s">
        <v>254</v>
      </c>
      <c r="G1971" s="5" t="s">
        <v>240</v>
      </c>
      <c r="H1971" s="6" t="s">
        <v>4320</v>
      </c>
      <c r="I1971" s="5" t="s">
        <v>809</v>
      </c>
      <c r="J1971" s="8">
        <f>864</f>
        <v>864</v>
      </c>
      <c r="K1971" s="5" t="s">
        <v>308</v>
      </c>
      <c r="L1971" s="7">
        <f>1</f>
        <v>1</v>
      </c>
      <c r="M1971" s="7">
        <f>1</f>
        <v>1</v>
      </c>
      <c r="N1971" s="5" t="s">
        <v>242</v>
      </c>
      <c r="O1971" s="5">
        <v>1</v>
      </c>
      <c r="P1971" s="5" t="s">
        <v>294</v>
      </c>
      <c r="Q1971" s="5" t="s">
        <v>266</v>
      </c>
      <c r="R1971" s="5" t="s">
        <v>240</v>
      </c>
      <c r="S1971" s="5" t="s">
        <v>240</v>
      </c>
      <c r="T1971" s="5" t="s">
        <v>296</v>
      </c>
      <c r="U1971" s="5" t="s">
        <v>244</v>
      </c>
      <c r="V1971" s="5" t="s">
        <v>240</v>
      </c>
      <c r="Y1971" s="5" t="s">
        <v>240</v>
      </c>
      <c r="Z1971" s="6" t="s">
        <v>298</v>
      </c>
      <c r="AB1971" s="6" t="s">
        <v>240</v>
      </c>
      <c r="AE1971" s="6" t="s">
        <v>299</v>
      </c>
      <c r="AF1971" s="5" t="s">
        <v>248</v>
      </c>
      <c r="AG1971" s="5" t="s">
        <v>249</v>
      </c>
      <c r="AW1971" s="5" t="s">
        <v>251</v>
      </c>
      <c r="AX1971" s="5" t="s">
        <v>240</v>
      </c>
      <c r="AY1971" s="5" t="s">
        <v>253</v>
      </c>
      <c r="AZ1971" s="5" t="s">
        <v>240</v>
      </c>
      <c r="BA1971" s="5" t="s">
        <v>255</v>
      </c>
      <c r="BB1971" s="5" t="s">
        <v>240</v>
      </c>
      <c r="BD1971" s="5" t="s">
        <v>240</v>
      </c>
      <c r="BF1971" s="5" t="s">
        <v>301</v>
      </c>
      <c r="BG1971" s="6" t="s">
        <v>299</v>
      </c>
      <c r="BH1971" s="5" t="s">
        <v>302</v>
      </c>
      <c r="BI1971" s="5" t="s">
        <v>303</v>
      </c>
      <c r="BJ1971" s="5" t="s">
        <v>240</v>
      </c>
      <c r="BK1971" s="8">
        <f>0</f>
        <v>0</v>
      </c>
      <c r="BL1971" s="7">
        <f>0</f>
        <v>0</v>
      </c>
      <c r="BM1971" s="5" t="s">
        <v>258</v>
      </c>
      <c r="BN1971" s="5" t="s">
        <v>259</v>
      </c>
      <c r="CB1971" s="5" t="s">
        <v>240</v>
      </c>
      <c r="CC1971" s="5" t="s">
        <v>240</v>
      </c>
      <c r="CG1971" s="5" t="s">
        <v>304</v>
      </c>
      <c r="CH1971" s="5" t="s">
        <v>305</v>
      </c>
      <c r="CI1971" s="5" t="s">
        <v>240</v>
      </c>
      <c r="CL1971" s="6" t="s">
        <v>261</v>
      </c>
      <c r="CM1971" s="5" t="s">
        <v>240</v>
      </c>
      <c r="CN1971" s="5" t="s">
        <v>263</v>
      </c>
      <c r="CO1971" s="5" t="s">
        <v>240</v>
      </c>
      <c r="CP1971" s="5" t="s">
        <v>240</v>
      </c>
      <c r="CQ1971" s="5">
        <v>0</v>
      </c>
      <c r="CR1971" s="5" t="s">
        <v>306</v>
      </c>
      <c r="CS1971" s="5" t="s">
        <v>307</v>
      </c>
      <c r="CT1971" s="5" t="s">
        <v>307</v>
      </c>
      <c r="CU1971" s="5" t="s">
        <v>260</v>
      </c>
      <c r="CX1971" s="7">
        <f>1</f>
        <v>1</v>
      </c>
      <c r="CY1971" s="7">
        <f>0</f>
        <v>0</v>
      </c>
      <c r="DA1971" s="7">
        <f>0</f>
        <v>0</v>
      </c>
      <c r="DC1971" s="5" t="s">
        <v>812</v>
      </c>
      <c r="DD1971" s="5" t="s">
        <v>240</v>
      </c>
      <c r="DF1971" s="5" t="s">
        <v>812</v>
      </c>
      <c r="DG1971" s="7">
        <f>29</f>
        <v>29</v>
      </c>
      <c r="DI1971" s="5" t="s">
        <v>240</v>
      </c>
      <c r="DJ1971" s="5" t="s">
        <v>240</v>
      </c>
      <c r="DK1971" s="5" t="s">
        <v>240</v>
      </c>
      <c r="DL1971" s="5" t="s">
        <v>240</v>
      </c>
      <c r="DP1971" s="5" t="s">
        <v>240</v>
      </c>
      <c r="DQ1971" s="5" t="s">
        <v>240</v>
      </c>
      <c r="DR1971" s="5" t="s">
        <v>240</v>
      </c>
      <c r="DS1971" s="5" t="s">
        <v>240</v>
      </c>
      <c r="DV1971" s="5" t="s">
        <v>813</v>
      </c>
      <c r="DW1971" s="5" t="s">
        <v>4029</v>
      </c>
      <c r="HO1971" s="5" t="s">
        <v>312</v>
      </c>
    </row>
    <row r="1972" spans="1:223" x14ac:dyDescent="0.4">
      <c r="A1972" s="5">
        <v>3676</v>
      </c>
      <c r="B1972" s="5">
        <v>1</v>
      </c>
      <c r="C1972" s="5">
        <v>1</v>
      </c>
      <c r="D1972" s="5" t="s">
        <v>810</v>
      </c>
      <c r="E1972" s="5" t="s">
        <v>245</v>
      </c>
      <c r="F1972" s="5" t="s">
        <v>254</v>
      </c>
      <c r="G1972" s="5" t="s">
        <v>240</v>
      </c>
      <c r="H1972" s="6" t="s">
        <v>4319</v>
      </c>
      <c r="I1972" s="5" t="s">
        <v>809</v>
      </c>
      <c r="J1972" s="8">
        <f>771</f>
        <v>771</v>
      </c>
      <c r="K1972" s="5" t="s">
        <v>308</v>
      </c>
      <c r="L1972" s="7">
        <f>1</f>
        <v>1</v>
      </c>
      <c r="M1972" s="7">
        <f>1</f>
        <v>1</v>
      </c>
      <c r="N1972" s="5" t="s">
        <v>242</v>
      </c>
      <c r="O1972" s="5">
        <v>1</v>
      </c>
      <c r="P1972" s="5" t="s">
        <v>294</v>
      </c>
      <c r="Q1972" s="5" t="s">
        <v>266</v>
      </c>
      <c r="R1972" s="5" t="s">
        <v>240</v>
      </c>
      <c r="S1972" s="5" t="s">
        <v>240</v>
      </c>
      <c r="T1972" s="5" t="s">
        <v>296</v>
      </c>
      <c r="U1972" s="5" t="s">
        <v>244</v>
      </c>
      <c r="V1972" s="5" t="s">
        <v>240</v>
      </c>
      <c r="Y1972" s="5" t="s">
        <v>240</v>
      </c>
      <c r="Z1972" s="6" t="s">
        <v>298</v>
      </c>
      <c r="AB1972" s="6" t="s">
        <v>240</v>
      </c>
      <c r="AE1972" s="6" t="s">
        <v>299</v>
      </c>
      <c r="AF1972" s="5" t="s">
        <v>248</v>
      </c>
      <c r="AG1972" s="5" t="s">
        <v>249</v>
      </c>
      <c r="AW1972" s="5" t="s">
        <v>251</v>
      </c>
      <c r="AX1972" s="5" t="s">
        <v>240</v>
      </c>
      <c r="AY1972" s="5" t="s">
        <v>253</v>
      </c>
      <c r="AZ1972" s="5" t="s">
        <v>240</v>
      </c>
      <c r="BA1972" s="5" t="s">
        <v>255</v>
      </c>
      <c r="BB1972" s="5" t="s">
        <v>240</v>
      </c>
      <c r="BD1972" s="5" t="s">
        <v>240</v>
      </c>
      <c r="BF1972" s="5" t="s">
        <v>301</v>
      </c>
      <c r="BG1972" s="6" t="s">
        <v>299</v>
      </c>
      <c r="BH1972" s="5" t="s">
        <v>302</v>
      </c>
      <c r="BI1972" s="5" t="s">
        <v>303</v>
      </c>
      <c r="BJ1972" s="5" t="s">
        <v>240</v>
      </c>
      <c r="BK1972" s="8">
        <f>0</f>
        <v>0</v>
      </c>
      <c r="BL1972" s="7">
        <f>0</f>
        <v>0</v>
      </c>
      <c r="BM1972" s="5" t="s">
        <v>258</v>
      </c>
      <c r="BN1972" s="5" t="s">
        <v>259</v>
      </c>
      <c r="CB1972" s="5" t="s">
        <v>240</v>
      </c>
      <c r="CC1972" s="5" t="s">
        <v>240</v>
      </c>
      <c r="CG1972" s="5" t="s">
        <v>304</v>
      </c>
      <c r="CH1972" s="5" t="s">
        <v>305</v>
      </c>
      <c r="CI1972" s="5" t="s">
        <v>240</v>
      </c>
      <c r="CL1972" s="6" t="s">
        <v>261</v>
      </c>
      <c r="CM1972" s="5" t="s">
        <v>240</v>
      </c>
      <c r="CN1972" s="5" t="s">
        <v>263</v>
      </c>
      <c r="CO1972" s="5" t="s">
        <v>240</v>
      </c>
      <c r="CP1972" s="5" t="s">
        <v>240</v>
      </c>
      <c r="CQ1972" s="5">
        <v>0</v>
      </c>
      <c r="CR1972" s="5" t="s">
        <v>306</v>
      </c>
      <c r="CS1972" s="5" t="s">
        <v>307</v>
      </c>
      <c r="CT1972" s="5" t="s">
        <v>307</v>
      </c>
      <c r="CU1972" s="5" t="s">
        <v>260</v>
      </c>
      <c r="CX1972" s="7">
        <f>1</f>
        <v>1</v>
      </c>
      <c r="CY1972" s="7">
        <f>0</f>
        <v>0</v>
      </c>
      <c r="DA1972" s="7">
        <f>0</f>
        <v>0</v>
      </c>
      <c r="DC1972" s="5" t="s">
        <v>812</v>
      </c>
      <c r="DD1972" s="5" t="s">
        <v>240</v>
      </c>
      <c r="DF1972" s="5" t="s">
        <v>812</v>
      </c>
      <c r="DG1972" s="7">
        <f>2147</f>
        <v>2147</v>
      </c>
      <c r="DI1972" s="5" t="s">
        <v>240</v>
      </c>
      <c r="DJ1972" s="5" t="s">
        <v>240</v>
      </c>
      <c r="DK1972" s="5" t="s">
        <v>240</v>
      </c>
      <c r="DL1972" s="5" t="s">
        <v>240</v>
      </c>
      <c r="DP1972" s="5" t="s">
        <v>240</v>
      </c>
      <c r="DQ1972" s="5" t="s">
        <v>240</v>
      </c>
      <c r="DR1972" s="5" t="s">
        <v>240</v>
      </c>
      <c r="DS1972" s="5" t="s">
        <v>240</v>
      </c>
      <c r="DV1972" s="5" t="s">
        <v>813</v>
      </c>
      <c r="DW1972" s="5" t="s">
        <v>4031</v>
      </c>
      <c r="HO1972" s="5" t="s">
        <v>312</v>
      </c>
    </row>
    <row r="1973" spans="1:223" x14ac:dyDescent="0.4">
      <c r="A1973" s="5">
        <v>3677</v>
      </c>
      <c r="B1973" s="5">
        <v>1</v>
      </c>
      <c r="C1973" s="5">
        <v>1</v>
      </c>
      <c r="D1973" s="5" t="s">
        <v>810</v>
      </c>
      <c r="E1973" s="5" t="s">
        <v>245</v>
      </c>
      <c r="F1973" s="5" t="s">
        <v>254</v>
      </c>
      <c r="G1973" s="5" t="s">
        <v>240</v>
      </c>
      <c r="H1973" s="6" t="s">
        <v>4318</v>
      </c>
      <c r="I1973" s="5" t="s">
        <v>809</v>
      </c>
      <c r="J1973" s="8">
        <f>845</f>
        <v>845</v>
      </c>
      <c r="K1973" s="5" t="s">
        <v>308</v>
      </c>
      <c r="L1973" s="7">
        <f>1</f>
        <v>1</v>
      </c>
      <c r="M1973" s="7">
        <f>1</f>
        <v>1</v>
      </c>
      <c r="N1973" s="5" t="s">
        <v>242</v>
      </c>
      <c r="O1973" s="5">
        <v>1</v>
      </c>
      <c r="P1973" s="5" t="s">
        <v>294</v>
      </c>
      <c r="Q1973" s="5" t="s">
        <v>266</v>
      </c>
      <c r="R1973" s="5" t="s">
        <v>240</v>
      </c>
      <c r="S1973" s="5" t="s">
        <v>240</v>
      </c>
      <c r="T1973" s="5" t="s">
        <v>296</v>
      </c>
      <c r="U1973" s="5" t="s">
        <v>244</v>
      </c>
      <c r="V1973" s="5" t="s">
        <v>240</v>
      </c>
      <c r="Y1973" s="5" t="s">
        <v>240</v>
      </c>
      <c r="Z1973" s="6" t="s">
        <v>298</v>
      </c>
      <c r="AB1973" s="6" t="s">
        <v>240</v>
      </c>
      <c r="AE1973" s="6" t="s">
        <v>299</v>
      </c>
      <c r="AF1973" s="5" t="s">
        <v>248</v>
      </c>
      <c r="AG1973" s="5" t="s">
        <v>249</v>
      </c>
      <c r="AW1973" s="5" t="s">
        <v>251</v>
      </c>
      <c r="AX1973" s="5" t="s">
        <v>240</v>
      </c>
      <c r="AY1973" s="5" t="s">
        <v>253</v>
      </c>
      <c r="AZ1973" s="5" t="s">
        <v>240</v>
      </c>
      <c r="BA1973" s="5" t="s">
        <v>255</v>
      </c>
      <c r="BB1973" s="5" t="s">
        <v>240</v>
      </c>
      <c r="BD1973" s="5" t="s">
        <v>240</v>
      </c>
      <c r="BF1973" s="5" t="s">
        <v>301</v>
      </c>
      <c r="BG1973" s="6" t="s">
        <v>299</v>
      </c>
      <c r="BH1973" s="5" t="s">
        <v>302</v>
      </c>
      <c r="BI1973" s="5" t="s">
        <v>303</v>
      </c>
      <c r="BJ1973" s="5" t="s">
        <v>240</v>
      </c>
      <c r="BK1973" s="8">
        <f>0</f>
        <v>0</v>
      </c>
      <c r="BL1973" s="7">
        <f>0</f>
        <v>0</v>
      </c>
      <c r="BM1973" s="5" t="s">
        <v>258</v>
      </c>
      <c r="BN1973" s="5" t="s">
        <v>259</v>
      </c>
      <c r="CB1973" s="5" t="s">
        <v>240</v>
      </c>
      <c r="CC1973" s="5" t="s">
        <v>240</v>
      </c>
      <c r="CG1973" s="5" t="s">
        <v>304</v>
      </c>
      <c r="CH1973" s="5" t="s">
        <v>305</v>
      </c>
      <c r="CI1973" s="5" t="s">
        <v>240</v>
      </c>
      <c r="CL1973" s="6" t="s">
        <v>261</v>
      </c>
      <c r="CM1973" s="5" t="s">
        <v>240</v>
      </c>
      <c r="CN1973" s="5" t="s">
        <v>263</v>
      </c>
      <c r="CO1973" s="5" t="s">
        <v>240</v>
      </c>
      <c r="CP1973" s="5" t="s">
        <v>240</v>
      </c>
      <c r="CQ1973" s="5">
        <v>0</v>
      </c>
      <c r="CR1973" s="5" t="s">
        <v>306</v>
      </c>
      <c r="CS1973" s="5" t="s">
        <v>307</v>
      </c>
      <c r="CT1973" s="5" t="s">
        <v>307</v>
      </c>
      <c r="CU1973" s="5" t="s">
        <v>260</v>
      </c>
      <c r="CX1973" s="7">
        <f>1</f>
        <v>1</v>
      </c>
      <c r="CY1973" s="7">
        <f>0</f>
        <v>0</v>
      </c>
      <c r="DA1973" s="7">
        <f>0</f>
        <v>0</v>
      </c>
      <c r="DC1973" s="5" t="s">
        <v>812</v>
      </c>
      <c r="DD1973" s="5" t="s">
        <v>240</v>
      </c>
      <c r="DF1973" s="5" t="s">
        <v>812</v>
      </c>
      <c r="DG1973" s="7">
        <f>1162</f>
        <v>1162</v>
      </c>
      <c r="DI1973" s="5" t="s">
        <v>240</v>
      </c>
      <c r="DJ1973" s="5" t="s">
        <v>240</v>
      </c>
      <c r="DK1973" s="5" t="s">
        <v>240</v>
      </c>
      <c r="DL1973" s="5" t="s">
        <v>240</v>
      </c>
      <c r="DP1973" s="5" t="s">
        <v>240</v>
      </c>
      <c r="DQ1973" s="5" t="s">
        <v>240</v>
      </c>
      <c r="DR1973" s="5" t="s">
        <v>240</v>
      </c>
      <c r="DS1973" s="5" t="s">
        <v>240</v>
      </c>
      <c r="DV1973" s="5" t="s">
        <v>813</v>
      </c>
      <c r="DW1973" s="5" t="s">
        <v>4033</v>
      </c>
      <c r="HO1973" s="5" t="s">
        <v>312</v>
      </c>
    </row>
    <row r="1974" spans="1:223" x14ac:dyDescent="0.4">
      <c r="A1974" s="5">
        <v>3678</v>
      </c>
      <c r="B1974" s="5">
        <v>1</v>
      </c>
      <c r="C1974" s="5">
        <v>1</v>
      </c>
      <c r="D1974" s="5" t="s">
        <v>810</v>
      </c>
      <c r="E1974" s="5" t="s">
        <v>245</v>
      </c>
      <c r="F1974" s="5" t="s">
        <v>254</v>
      </c>
      <c r="G1974" s="5" t="s">
        <v>240</v>
      </c>
      <c r="H1974" s="6" t="s">
        <v>4317</v>
      </c>
      <c r="I1974" s="5" t="s">
        <v>809</v>
      </c>
      <c r="J1974" s="8">
        <f>260</f>
        <v>260</v>
      </c>
      <c r="K1974" s="5" t="s">
        <v>308</v>
      </c>
      <c r="L1974" s="7">
        <f>1</f>
        <v>1</v>
      </c>
      <c r="M1974" s="7">
        <f>1</f>
        <v>1</v>
      </c>
      <c r="N1974" s="5" t="s">
        <v>242</v>
      </c>
      <c r="O1974" s="5">
        <v>1</v>
      </c>
      <c r="P1974" s="5" t="s">
        <v>294</v>
      </c>
      <c r="Q1974" s="5" t="s">
        <v>266</v>
      </c>
      <c r="R1974" s="5" t="s">
        <v>240</v>
      </c>
      <c r="S1974" s="5" t="s">
        <v>240</v>
      </c>
      <c r="T1974" s="5" t="s">
        <v>296</v>
      </c>
      <c r="U1974" s="5" t="s">
        <v>244</v>
      </c>
      <c r="V1974" s="5" t="s">
        <v>240</v>
      </c>
      <c r="Y1974" s="5" t="s">
        <v>240</v>
      </c>
      <c r="Z1974" s="6" t="s">
        <v>298</v>
      </c>
      <c r="AB1974" s="6" t="s">
        <v>240</v>
      </c>
      <c r="AE1974" s="6" t="s">
        <v>299</v>
      </c>
      <c r="AF1974" s="5" t="s">
        <v>248</v>
      </c>
      <c r="AG1974" s="5" t="s">
        <v>249</v>
      </c>
      <c r="AW1974" s="5" t="s">
        <v>251</v>
      </c>
      <c r="AX1974" s="5" t="s">
        <v>240</v>
      </c>
      <c r="AY1974" s="5" t="s">
        <v>253</v>
      </c>
      <c r="AZ1974" s="5" t="s">
        <v>240</v>
      </c>
      <c r="BA1974" s="5" t="s">
        <v>255</v>
      </c>
      <c r="BB1974" s="5" t="s">
        <v>240</v>
      </c>
      <c r="BD1974" s="5" t="s">
        <v>240</v>
      </c>
      <c r="BF1974" s="5" t="s">
        <v>301</v>
      </c>
      <c r="BG1974" s="6" t="s">
        <v>299</v>
      </c>
      <c r="BH1974" s="5" t="s">
        <v>302</v>
      </c>
      <c r="BI1974" s="5" t="s">
        <v>303</v>
      </c>
      <c r="BJ1974" s="5" t="s">
        <v>240</v>
      </c>
      <c r="BK1974" s="8">
        <f>0</f>
        <v>0</v>
      </c>
      <c r="BL1974" s="7">
        <f>0</f>
        <v>0</v>
      </c>
      <c r="BM1974" s="5" t="s">
        <v>258</v>
      </c>
      <c r="BN1974" s="5" t="s">
        <v>259</v>
      </c>
      <c r="CB1974" s="5" t="s">
        <v>240</v>
      </c>
      <c r="CC1974" s="5" t="s">
        <v>240</v>
      </c>
      <c r="CG1974" s="5" t="s">
        <v>304</v>
      </c>
      <c r="CH1974" s="5" t="s">
        <v>305</v>
      </c>
      <c r="CI1974" s="5" t="s">
        <v>240</v>
      </c>
      <c r="CL1974" s="6" t="s">
        <v>261</v>
      </c>
      <c r="CM1974" s="5" t="s">
        <v>240</v>
      </c>
      <c r="CN1974" s="5" t="s">
        <v>263</v>
      </c>
      <c r="CO1974" s="5" t="s">
        <v>240</v>
      </c>
      <c r="CP1974" s="5" t="s">
        <v>240</v>
      </c>
      <c r="CQ1974" s="5">
        <v>0</v>
      </c>
      <c r="CR1974" s="5" t="s">
        <v>306</v>
      </c>
      <c r="CS1974" s="5" t="s">
        <v>307</v>
      </c>
      <c r="CT1974" s="5" t="s">
        <v>307</v>
      </c>
      <c r="CU1974" s="5" t="s">
        <v>260</v>
      </c>
      <c r="CX1974" s="7">
        <f>1</f>
        <v>1</v>
      </c>
      <c r="CY1974" s="7">
        <f>0</f>
        <v>0</v>
      </c>
      <c r="DA1974" s="7">
        <f>0</f>
        <v>0</v>
      </c>
      <c r="DC1974" s="5" t="s">
        <v>309</v>
      </c>
      <c r="DD1974" s="5" t="s">
        <v>240</v>
      </c>
      <c r="DF1974" s="5" t="s">
        <v>309</v>
      </c>
      <c r="DG1974" s="7">
        <f>531</f>
        <v>531</v>
      </c>
      <c r="DI1974" s="5" t="s">
        <v>240</v>
      </c>
      <c r="DJ1974" s="5" t="s">
        <v>240</v>
      </c>
      <c r="DK1974" s="5" t="s">
        <v>240</v>
      </c>
      <c r="DL1974" s="5" t="s">
        <v>240</v>
      </c>
      <c r="DP1974" s="5" t="s">
        <v>240</v>
      </c>
      <c r="DQ1974" s="5" t="s">
        <v>240</v>
      </c>
      <c r="DR1974" s="5" t="s">
        <v>240</v>
      </c>
      <c r="DS1974" s="5" t="s">
        <v>240</v>
      </c>
      <c r="DV1974" s="5" t="s">
        <v>310</v>
      </c>
      <c r="DW1974" s="5" t="s">
        <v>3828</v>
      </c>
      <c r="HO1974" s="5" t="s">
        <v>312</v>
      </c>
    </row>
    <row r="1975" spans="1:223" x14ac:dyDescent="0.4">
      <c r="A1975" s="5">
        <v>3679</v>
      </c>
      <c r="B1975" s="5">
        <v>1</v>
      </c>
      <c r="C1975" s="5">
        <v>1</v>
      </c>
      <c r="D1975" s="5" t="s">
        <v>810</v>
      </c>
      <c r="E1975" s="5" t="s">
        <v>245</v>
      </c>
      <c r="F1975" s="5" t="s">
        <v>254</v>
      </c>
      <c r="G1975" s="5" t="s">
        <v>240</v>
      </c>
      <c r="H1975" s="6" t="s">
        <v>4316</v>
      </c>
      <c r="I1975" s="5" t="s">
        <v>809</v>
      </c>
      <c r="J1975" s="8">
        <f>2718</f>
        <v>2718</v>
      </c>
      <c r="K1975" s="5" t="s">
        <v>308</v>
      </c>
      <c r="L1975" s="7">
        <f>1</f>
        <v>1</v>
      </c>
      <c r="M1975" s="7">
        <f>1</f>
        <v>1</v>
      </c>
      <c r="N1975" s="5" t="s">
        <v>242</v>
      </c>
      <c r="O1975" s="5">
        <v>1</v>
      </c>
      <c r="P1975" s="5" t="s">
        <v>294</v>
      </c>
      <c r="Q1975" s="5" t="s">
        <v>266</v>
      </c>
      <c r="R1975" s="5" t="s">
        <v>240</v>
      </c>
      <c r="S1975" s="5" t="s">
        <v>240</v>
      </c>
      <c r="T1975" s="5" t="s">
        <v>296</v>
      </c>
      <c r="U1975" s="5" t="s">
        <v>244</v>
      </c>
      <c r="V1975" s="5" t="s">
        <v>240</v>
      </c>
      <c r="Y1975" s="5" t="s">
        <v>240</v>
      </c>
      <c r="Z1975" s="6" t="s">
        <v>298</v>
      </c>
      <c r="AB1975" s="6" t="s">
        <v>240</v>
      </c>
      <c r="AE1975" s="6" t="s">
        <v>299</v>
      </c>
      <c r="AF1975" s="5" t="s">
        <v>248</v>
      </c>
      <c r="AG1975" s="5" t="s">
        <v>249</v>
      </c>
      <c r="AW1975" s="5" t="s">
        <v>251</v>
      </c>
      <c r="AX1975" s="5" t="s">
        <v>240</v>
      </c>
      <c r="AY1975" s="5" t="s">
        <v>253</v>
      </c>
      <c r="AZ1975" s="5" t="s">
        <v>240</v>
      </c>
      <c r="BA1975" s="5" t="s">
        <v>255</v>
      </c>
      <c r="BB1975" s="5" t="s">
        <v>240</v>
      </c>
      <c r="BD1975" s="5" t="s">
        <v>240</v>
      </c>
      <c r="BF1975" s="5" t="s">
        <v>301</v>
      </c>
      <c r="BG1975" s="6" t="s">
        <v>299</v>
      </c>
      <c r="BH1975" s="5" t="s">
        <v>302</v>
      </c>
      <c r="BI1975" s="5" t="s">
        <v>303</v>
      </c>
      <c r="BJ1975" s="5" t="s">
        <v>240</v>
      </c>
      <c r="BK1975" s="8">
        <f>0</f>
        <v>0</v>
      </c>
      <c r="BL1975" s="7">
        <f>0</f>
        <v>0</v>
      </c>
      <c r="BM1975" s="5" t="s">
        <v>258</v>
      </c>
      <c r="BN1975" s="5" t="s">
        <v>259</v>
      </c>
      <c r="CB1975" s="5" t="s">
        <v>240</v>
      </c>
      <c r="CC1975" s="5" t="s">
        <v>240</v>
      </c>
      <c r="CG1975" s="5" t="s">
        <v>304</v>
      </c>
      <c r="CH1975" s="5" t="s">
        <v>305</v>
      </c>
      <c r="CI1975" s="5" t="s">
        <v>240</v>
      </c>
      <c r="CL1975" s="6" t="s">
        <v>261</v>
      </c>
      <c r="CM1975" s="5" t="s">
        <v>240</v>
      </c>
      <c r="CN1975" s="5" t="s">
        <v>263</v>
      </c>
      <c r="CO1975" s="5" t="s">
        <v>240</v>
      </c>
      <c r="CP1975" s="5" t="s">
        <v>240</v>
      </c>
      <c r="CQ1975" s="5">
        <v>0</v>
      </c>
      <c r="CR1975" s="5" t="s">
        <v>306</v>
      </c>
      <c r="CS1975" s="5" t="s">
        <v>307</v>
      </c>
      <c r="CT1975" s="5" t="s">
        <v>307</v>
      </c>
      <c r="CU1975" s="5" t="s">
        <v>260</v>
      </c>
      <c r="CX1975" s="7">
        <f>1</f>
        <v>1</v>
      </c>
      <c r="CY1975" s="7">
        <f>0</f>
        <v>0</v>
      </c>
      <c r="DA1975" s="7">
        <f>0</f>
        <v>0</v>
      </c>
      <c r="DC1975" s="5" t="s">
        <v>812</v>
      </c>
      <c r="DD1975" s="5" t="s">
        <v>240</v>
      </c>
      <c r="DF1975" s="5" t="s">
        <v>812</v>
      </c>
      <c r="DG1975" s="7">
        <f>1040</f>
        <v>1040</v>
      </c>
      <c r="DI1975" s="5" t="s">
        <v>240</v>
      </c>
      <c r="DJ1975" s="5" t="s">
        <v>240</v>
      </c>
      <c r="DK1975" s="5" t="s">
        <v>240</v>
      </c>
      <c r="DL1975" s="5" t="s">
        <v>240</v>
      </c>
      <c r="DP1975" s="5" t="s">
        <v>240</v>
      </c>
      <c r="DQ1975" s="5" t="s">
        <v>240</v>
      </c>
      <c r="DR1975" s="5" t="s">
        <v>240</v>
      </c>
      <c r="DS1975" s="5" t="s">
        <v>240</v>
      </c>
      <c r="DV1975" s="5" t="s">
        <v>813</v>
      </c>
      <c r="DW1975" s="5" t="s">
        <v>4036</v>
      </c>
      <c r="HO1975" s="5" t="s">
        <v>312</v>
      </c>
    </row>
    <row r="1976" spans="1:223" x14ac:dyDescent="0.4">
      <c r="A1976" s="5">
        <v>3680</v>
      </c>
      <c r="B1976" s="5">
        <v>1</v>
      </c>
      <c r="C1976" s="5">
        <v>1</v>
      </c>
      <c r="D1976" s="5" t="s">
        <v>810</v>
      </c>
      <c r="E1976" s="5" t="s">
        <v>245</v>
      </c>
      <c r="F1976" s="5" t="s">
        <v>254</v>
      </c>
      <c r="G1976" s="5" t="s">
        <v>240</v>
      </c>
      <c r="H1976" s="6" t="s">
        <v>5444</v>
      </c>
      <c r="I1976" s="5" t="s">
        <v>809</v>
      </c>
      <c r="J1976" s="8">
        <f>9993</f>
        <v>9993</v>
      </c>
      <c r="K1976" s="5" t="s">
        <v>308</v>
      </c>
      <c r="L1976" s="7">
        <f>1</f>
        <v>1</v>
      </c>
      <c r="M1976" s="7">
        <f>1</f>
        <v>1</v>
      </c>
      <c r="N1976" s="5" t="s">
        <v>242</v>
      </c>
      <c r="O1976" s="5">
        <v>1</v>
      </c>
      <c r="P1976" s="5" t="s">
        <v>294</v>
      </c>
      <c r="Q1976" s="5" t="s">
        <v>266</v>
      </c>
      <c r="R1976" s="5" t="s">
        <v>240</v>
      </c>
      <c r="S1976" s="5" t="s">
        <v>240</v>
      </c>
      <c r="T1976" s="5" t="s">
        <v>296</v>
      </c>
      <c r="U1976" s="5" t="s">
        <v>244</v>
      </c>
      <c r="V1976" s="5" t="s">
        <v>240</v>
      </c>
      <c r="Y1976" s="5" t="s">
        <v>240</v>
      </c>
      <c r="Z1976" s="6" t="s">
        <v>298</v>
      </c>
      <c r="AB1976" s="6" t="s">
        <v>240</v>
      </c>
      <c r="AE1976" s="6" t="s">
        <v>299</v>
      </c>
      <c r="AF1976" s="5" t="s">
        <v>248</v>
      </c>
      <c r="AG1976" s="5" t="s">
        <v>249</v>
      </c>
      <c r="AW1976" s="5" t="s">
        <v>251</v>
      </c>
      <c r="AX1976" s="5" t="s">
        <v>240</v>
      </c>
      <c r="AY1976" s="5" t="s">
        <v>253</v>
      </c>
      <c r="AZ1976" s="5" t="s">
        <v>240</v>
      </c>
      <c r="BA1976" s="5" t="s">
        <v>255</v>
      </c>
      <c r="BB1976" s="5" t="s">
        <v>240</v>
      </c>
      <c r="BD1976" s="5" t="s">
        <v>240</v>
      </c>
      <c r="BF1976" s="5" t="s">
        <v>301</v>
      </c>
      <c r="BG1976" s="6" t="s">
        <v>299</v>
      </c>
      <c r="BH1976" s="5" t="s">
        <v>302</v>
      </c>
      <c r="BI1976" s="5" t="s">
        <v>303</v>
      </c>
      <c r="BJ1976" s="5" t="s">
        <v>240</v>
      </c>
      <c r="BK1976" s="8">
        <f>0</f>
        <v>0</v>
      </c>
      <c r="BL1976" s="7">
        <f>0</f>
        <v>0</v>
      </c>
      <c r="BM1976" s="5" t="s">
        <v>258</v>
      </c>
      <c r="BN1976" s="5" t="s">
        <v>259</v>
      </c>
      <c r="CB1976" s="5" t="s">
        <v>240</v>
      </c>
      <c r="CC1976" s="5" t="s">
        <v>240</v>
      </c>
      <c r="CG1976" s="5" t="s">
        <v>304</v>
      </c>
      <c r="CH1976" s="5" t="s">
        <v>305</v>
      </c>
      <c r="CI1976" s="5" t="s">
        <v>240</v>
      </c>
      <c r="CL1976" s="6" t="s">
        <v>261</v>
      </c>
      <c r="CM1976" s="5" t="s">
        <v>240</v>
      </c>
      <c r="CN1976" s="5" t="s">
        <v>263</v>
      </c>
      <c r="CO1976" s="5" t="s">
        <v>240</v>
      </c>
      <c r="CP1976" s="5" t="s">
        <v>240</v>
      </c>
      <c r="CQ1976" s="5">
        <v>0</v>
      </c>
      <c r="CR1976" s="5" t="s">
        <v>306</v>
      </c>
      <c r="CS1976" s="5" t="s">
        <v>307</v>
      </c>
      <c r="CT1976" s="5" t="s">
        <v>307</v>
      </c>
      <c r="CU1976" s="5" t="s">
        <v>260</v>
      </c>
      <c r="CX1976" s="7">
        <f>1</f>
        <v>1</v>
      </c>
      <c r="CY1976" s="7">
        <f>0</f>
        <v>0</v>
      </c>
      <c r="DA1976" s="7">
        <f>0</f>
        <v>0</v>
      </c>
      <c r="DC1976" s="5" t="s">
        <v>812</v>
      </c>
      <c r="DD1976" s="5" t="s">
        <v>240</v>
      </c>
      <c r="DF1976" s="5" t="s">
        <v>812</v>
      </c>
      <c r="DG1976" s="7">
        <f>408</f>
        <v>408</v>
      </c>
      <c r="DI1976" s="5" t="s">
        <v>240</v>
      </c>
      <c r="DJ1976" s="5" t="s">
        <v>240</v>
      </c>
      <c r="DK1976" s="5" t="s">
        <v>240</v>
      </c>
      <c r="DL1976" s="5" t="s">
        <v>240</v>
      </c>
      <c r="DP1976" s="5" t="s">
        <v>240</v>
      </c>
      <c r="DQ1976" s="5" t="s">
        <v>240</v>
      </c>
      <c r="DR1976" s="5" t="s">
        <v>240</v>
      </c>
      <c r="DS1976" s="5" t="s">
        <v>240</v>
      </c>
      <c r="DV1976" s="5" t="s">
        <v>813</v>
      </c>
      <c r="DW1976" s="5" t="s">
        <v>4038</v>
      </c>
      <c r="HO1976" s="5" t="s">
        <v>312</v>
      </c>
    </row>
    <row r="1977" spans="1:223" x14ac:dyDescent="0.4">
      <c r="A1977" s="5">
        <v>3681</v>
      </c>
      <c r="B1977" s="5">
        <v>1</v>
      </c>
      <c r="C1977" s="5">
        <v>1</v>
      </c>
      <c r="D1977" s="5" t="s">
        <v>810</v>
      </c>
      <c r="E1977" s="5" t="s">
        <v>245</v>
      </c>
      <c r="F1977" s="5" t="s">
        <v>254</v>
      </c>
      <c r="G1977" s="5" t="s">
        <v>240</v>
      </c>
      <c r="H1977" s="6" t="s">
        <v>4314</v>
      </c>
      <c r="I1977" s="5" t="s">
        <v>809</v>
      </c>
      <c r="J1977" s="8">
        <f>297</f>
        <v>297</v>
      </c>
      <c r="K1977" s="5" t="s">
        <v>308</v>
      </c>
      <c r="L1977" s="7">
        <f>1</f>
        <v>1</v>
      </c>
      <c r="M1977" s="7">
        <f>1</f>
        <v>1</v>
      </c>
      <c r="N1977" s="5" t="s">
        <v>242</v>
      </c>
      <c r="O1977" s="5">
        <v>1</v>
      </c>
      <c r="P1977" s="5" t="s">
        <v>294</v>
      </c>
      <c r="Q1977" s="5" t="s">
        <v>266</v>
      </c>
      <c r="R1977" s="5" t="s">
        <v>240</v>
      </c>
      <c r="S1977" s="5" t="s">
        <v>240</v>
      </c>
      <c r="T1977" s="5" t="s">
        <v>296</v>
      </c>
      <c r="U1977" s="5" t="s">
        <v>244</v>
      </c>
      <c r="V1977" s="5" t="s">
        <v>240</v>
      </c>
      <c r="Y1977" s="5" t="s">
        <v>240</v>
      </c>
      <c r="Z1977" s="6" t="s">
        <v>298</v>
      </c>
      <c r="AB1977" s="6" t="s">
        <v>240</v>
      </c>
      <c r="AE1977" s="6" t="s">
        <v>299</v>
      </c>
      <c r="AF1977" s="5" t="s">
        <v>248</v>
      </c>
      <c r="AG1977" s="5" t="s">
        <v>249</v>
      </c>
      <c r="AW1977" s="5" t="s">
        <v>251</v>
      </c>
      <c r="AX1977" s="5" t="s">
        <v>240</v>
      </c>
      <c r="AY1977" s="5" t="s">
        <v>253</v>
      </c>
      <c r="AZ1977" s="5" t="s">
        <v>240</v>
      </c>
      <c r="BA1977" s="5" t="s">
        <v>255</v>
      </c>
      <c r="BB1977" s="5" t="s">
        <v>240</v>
      </c>
      <c r="BD1977" s="5" t="s">
        <v>240</v>
      </c>
      <c r="BF1977" s="5" t="s">
        <v>301</v>
      </c>
      <c r="BG1977" s="6" t="s">
        <v>299</v>
      </c>
      <c r="BH1977" s="5" t="s">
        <v>302</v>
      </c>
      <c r="BI1977" s="5" t="s">
        <v>303</v>
      </c>
      <c r="BJ1977" s="5" t="s">
        <v>240</v>
      </c>
      <c r="BK1977" s="8">
        <f>0</f>
        <v>0</v>
      </c>
      <c r="BL1977" s="7">
        <f>0</f>
        <v>0</v>
      </c>
      <c r="BM1977" s="5" t="s">
        <v>258</v>
      </c>
      <c r="BN1977" s="5" t="s">
        <v>259</v>
      </c>
      <c r="CB1977" s="5" t="s">
        <v>240</v>
      </c>
      <c r="CC1977" s="5" t="s">
        <v>240</v>
      </c>
      <c r="CG1977" s="5" t="s">
        <v>304</v>
      </c>
      <c r="CH1977" s="5" t="s">
        <v>305</v>
      </c>
      <c r="CI1977" s="5" t="s">
        <v>240</v>
      </c>
      <c r="CL1977" s="6" t="s">
        <v>261</v>
      </c>
      <c r="CM1977" s="5" t="s">
        <v>240</v>
      </c>
      <c r="CN1977" s="5" t="s">
        <v>263</v>
      </c>
      <c r="CO1977" s="5" t="s">
        <v>240</v>
      </c>
      <c r="CP1977" s="5" t="s">
        <v>240</v>
      </c>
      <c r="CQ1977" s="5">
        <v>0</v>
      </c>
      <c r="CR1977" s="5" t="s">
        <v>306</v>
      </c>
      <c r="CS1977" s="5" t="s">
        <v>307</v>
      </c>
      <c r="CT1977" s="5" t="s">
        <v>307</v>
      </c>
      <c r="CU1977" s="5" t="s">
        <v>260</v>
      </c>
      <c r="CX1977" s="7">
        <f>1</f>
        <v>1</v>
      </c>
      <c r="CY1977" s="7">
        <f>0</f>
        <v>0</v>
      </c>
      <c r="DA1977" s="7">
        <f>0</f>
        <v>0</v>
      </c>
      <c r="DC1977" s="5" t="s">
        <v>812</v>
      </c>
      <c r="DD1977" s="5" t="s">
        <v>240</v>
      </c>
      <c r="DF1977" s="5" t="s">
        <v>812</v>
      </c>
      <c r="DG1977" s="7">
        <f>1628</f>
        <v>1628</v>
      </c>
      <c r="DI1977" s="5" t="s">
        <v>240</v>
      </c>
      <c r="DJ1977" s="5" t="s">
        <v>240</v>
      </c>
      <c r="DK1977" s="5" t="s">
        <v>240</v>
      </c>
      <c r="DL1977" s="5" t="s">
        <v>240</v>
      </c>
      <c r="DP1977" s="5" t="s">
        <v>240</v>
      </c>
      <c r="DQ1977" s="5" t="s">
        <v>240</v>
      </c>
      <c r="DR1977" s="5" t="s">
        <v>240</v>
      </c>
      <c r="DS1977" s="5" t="s">
        <v>240</v>
      </c>
      <c r="DV1977" s="5" t="s">
        <v>813</v>
      </c>
      <c r="DW1977" s="5" t="s">
        <v>4040</v>
      </c>
      <c r="HO1977" s="5" t="s">
        <v>312</v>
      </c>
    </row>
    <row r="1978" spans="1:223" x14ac:dyDescent="0.4">
      <c r="A1978" s="5">
        <v>3682</v>
      </c>
      <c r="B1978" s="5">
        <v>1</v>
      </c>
      <c r="C1978" s="5">
        <v>1</v>
      </c>
      <c r="D1978" s="5" t="s">
        <v>810</v>
      </c>
      <c r="E1978" s="5" t="s">
        <v>245</v>
      </c>
      <c r="F1978" s="5" t="s">
        <v>254</v>
      </c>
      <c r="G1978" s="5" t="s">
        <v>240</v>
      </c>
      <c r="H1978" s="6" t="s">
        <v>4313</v>
      </c>
      <c r="I1978" s="5" t="s">
        <v>809</v>
      </c>
      <c r="J1978" s="8">
        <f>445</f>
        <v>445</v>
      </c>
      <c r="K1978" s="5" t="s">
        <v>308</v>
      </c>
      <c r="L1978" s="7">
        <f>1</f>
        <v>1</v>
      </c>
      <c r="M1978" s="7">
        <f>1</f>
        <v>1</v>
      </c>
      <c r="N1978" s="5" t="s">
        <v>242</v>
      </c>
      <c r="O1978" s="5">
        <v>1</v>
      </c>
      <c r="P1978" s="5" t="s">
        <v>294</v>
      </c>
      <c r="Q1978" s="5" t="s">
        <v>266</v>
      </c>
      <c r="R1978" s="5" t="s">
        <v>240</v>
      </c>
      <c r="S1978" s="5" t="s">
        <v>240</v>
      </c>
      <c r="T1978" s="5" t="s">
        <v>296</v>
      </c>
      <c r="U1978" s="5" t="s">
        <v>244</v>
      </c>
      <c r="V1978" s="5" t="s">
        <v>240</v>
      </c>
      <c r="Y1978" s="5" t="s">
        <v>240</v>
      </c>
      <c r="Z1978" s="6" t="s">
        <v>298</v>
      </c>
      <c r="AB1978" s="6" t="s">
        <v>240</v>
      </c>
      <c r="AE1978" s="6" t="s">
        <v>299</v>
      </c>
      <c r="AF1978" s="5" t="s">
        <v>248</v>
      </c>
      <c r="AG1978" s="5" t="s">
        <v>249</v>
      </c>
      <c r="AW1978" s="5" t="s">
        <v>251</v>
      </c>
      <c r="AX1978" s="5" t="s">
        <v>240</v>
      </c>
      <c r="AY1978" s="5" t="s">
        <v>253</v>
      </c>
      <c r="AZ1978" s="5" t="s">
        <v>240</v>
      </c>
      <c r="BA1978" s="5" t="s">
        <v>255</v>
      </c>
      <c r="BB1978" s="5" t="s">
        <v>240</v>
      </c>
      <c r="BD1978" s="5" t="s">
        <v>240</v>
      </c>
      <c r="BF1978" s="5" t="s">
        <v>301</v>
      </c>
      <c r="BG1978" s="6" t="s">
        <v>299</v>
      </c>
      <c r="BH1978" s="5" t="s">
        <v>302</v>
      </c>
      <c r="BI1978" s="5" t="s">
        <v>303</v>
      </c>
      <c r="BJ1978" s="5" t="s">
        <v>240</v>
      </c>
      <c r="BK1978" s="8">
        <f>0</f>
        <v>0</v>
      </c>
      <c r="BL1978" s="7">
        <f>0</f>
        <v>0</v>
      </c>
      <c r="BM1978" s="5" t="s">
        <v>258</v>
      </c>
      <c r="BN1978" s="5" t="s">
        <v>259</v>
      </c>
      <c r="CB1978" s="5" t="s">
        <v>240</v>
      </c>
      <c r="CC1978" s="5" t="s">
        <v>240</v>
      </c>
      <c r="CG1978" s="5" t="s">
        <v>304</v>
      </c>
      <c r="CH1978" s="5" t="s">
        <v>305</v>
      </c>
      <c r="CI1978" s="5" t="s">
        <v>240</v>
      </c>
      <c r="CL1978" s="6" t="s">
        <v>261</v>
      </c>
      <c r="CM1978" s="5" t="s">
        <v>240</v>
      </c>
      <c r="CN1978" s="5" t="s">
        <v>263</v>
      </c>
      <c r="CO1978" s="5" t="s">
        <v>240</v>
      </c>
      <c r="CP1978" s="5" t="s">
        <v>240</v>
      </c>
      <c r="CQ1978" s="5">
        <v>0</v>
      </c>
      <c r="CR1978" s="5" t="s">
        <v>306</v>
      </c>
      <c r="CS1978" s="5" t="s">
        <v>307</v>
      </c>
      <c r="CT1978" s="5" t="s">
        <v>307</v>
      </c>
      <c r="CU1978" s="5" t="s">
        <v>260</v>
      </c>
      <c r="CX1978" s="7">
        <f>1</f>
        <v>1</v>
      </c>
      <c r="CY1978" s="7">
        <f>0</f>
        <v>0</v>
      </c>
      <c r="DA1978" s="7">
        <f>0</f>
        <v>0</v>
      </c>
      <c r="DC1978" s="5" t="s">
        <v>812</v>
      </c>
      <c r="DD1978" s="5" t="s">
        <v>240</v>
      </c>
      <c r="DF1978" s="5" t="s">
        <v>812</v>
      </c>
      <c r="DG1978" s="7">
        <f>1481</f>
        <v>1481</v>
      </c>
      <c r="DI1978" s="5" t="s">
        <v>240</v>
      </c>
      <c r="DJ1978" s="5" t="s">
        <v>240</v>
      </c>
      <c r="DK1978" s="5" t="s">
        <v>240</v>
      </c>
      <c r="DL1978" s="5" t="s">
        <v>240</v>
      </c>
      <c r="DP1978" s="5" t="s">
        <v>240</v>
      </c>
      <c r="DQ1978" s="5" t="s">
        <v>240</v>
      </c>
      <c r="DR1978" s="5" t="s">
        <v>240</v>
      </c>
      <c r="DS1978" s="5" t="s">
        <v>240</v>
      </c>
      <c r="DV1978" s="5" t="s">
        <v>813</v>
      </c>
      <c r="DW1978" s="5" t="s">
        <v>4042</v>
      </c>
      <c r="HO1978" s="5" t="s">
        <v>312</v>
      </c>
    </row>
    <row r="1979" spans="1:223" x14ac:dyDescent="0.4">
      <c r="A1979" s="5">
        <v>3683</v>
      </c>
      <c r="B1979" s="5">
        <v>1</v>
      </c>
      <c r="C1979" s="5">
        <v>1</v>
      </c>
      <c r="D1979" s="5" t="s">
        <v>810</v>
      </c>
      <c r="E1979" s="5" t="s">
        <v>245</v>
      </c>
      <c r="F1979" s="5" t="s">
        <v>254</v>
      </c>
      <c r="G1979" s="5" t="s">
        <v>240</v>
      </c>
      <c r="H1979" s="6" t="s">
        <v>4312</v>
      </c>
      <c r="I1979" s="5" t="s">
        <v>809</v>
      </c>
      <c r="J1979" s="8">
        <f>1544</f>
        <v>1544</v>
      </c>
      <c r="K1979" s="5" t="s">
        <v>308</v>
      </c>
      <c r="L1979" s="7">
        <f>1</f>
        <v>1</v>
      </c>
      <c r="M1979" s="7">
        <f>1</f>
        <v>1</v>
      </c>
      <c r="N1979" s="5" t="s">
        <v>242</v>
      </c>
      <c r="O1979" s="5">
        <v>1</v>
      </c>
      <c r="P1979" s="5" t="s">
        <v>294</v>
      </c>
      <c r="Q1979" s="5" t="s">
        <v>266</v>
      </c>
      <c r="R1979" s="5" t="s">
        <v>240</v>
      </c>
      <c r="S1979" s="5" t="s">
        <v>240</v>
      </c>
      <c r="T1979" s="5" t="s">
        <v>296</v>
      </c>
      <c r="U1979" s="5" t="s">
        <v>244</v>
      </c>
      <c r="V1979" s="5" t="s">
        <v>240</v>
      </c>
      <c r="Y1979" s="5" t="s">
        <v>240</v>
      </c>
      <c r="Z1979" s="6" t="s">
        <v>298</v>
      </c>
      <c r="AB1979" s="6" t="s">
        <v>240</v>
      </c>
      <c r="AE1979" s="6" t="s">
        <v>299</v>
      </c>
      <c r="AF1979" s="5" t="s">
        <v>248</v>
      </c>
      <c r="AG1979" s="5" t="s">
        <v>249</v>
      </c>
      <c r="AW1979" s="5" t="s">
        <v>251</v>
      </c>
      <c r="AX1979" s="5" t="s">
        <v>240</v>
      </c>
      <c r="AY1979" s="5" t="s">
        <v>253</v>
      </c>
      <c r="AZ1979" s="5" t="s">
        <v>240</v>
      </c>
      <c r="BA1979" s="5" t="s">
        <v>255</v>
      </c>
      <c r="BB1979" s="5" t="s">
        <v>240</v>
      </c>
      <c r="BD1979" s="5" t="s">
        <v>240</v>
      </c>
      <c r="BF1979" s="5" t="s">
        <v>301</v>
      </c>
      <c r="BG1979" s="6" t="s">
        <v>299</v>
      </c>
      <c r="BH1979" s="5" t="s">
        <v>302</v>
      </c>
      <c r="BI1979" s="5" t="s">
        <v>303</v>
      </c>
      <c r="BJ1979" s="5" t="s">
        <v>240</v>
      </c>
      <c r="BK1979" s="8">
        <f>0</f>
        <v>0</v>
      </c>
      <c r="BL1979" s="7">
        <f>0</f>
        <v>0</v>
      </c>
      <c r="BM1979" s="5" t="s">
        <v>258</v>
      </c>
      <c r="BN1979" s="5" t="s">
        <v>259</v>
      </c>
      <c r="CB1979" s="5" t="s">
        <v>240</v>
      </c>
      <c r="CC1979" s="5" t="s">
        <v>240</v>
      </c>
      <c r="CG1979" s="5" t="s">
        <v>304</v>
      </c>
      <c r="CH1979" s="5" t="s">
        <v>305</v>
      </c>
      <c r="CI1979" s="5" t="s">
        <v>240</v>
      </c>
      <c r="CL1979" s="6" t="s">
        <v>261</v>
      </c>
      <c r="CM1979" s="5" t="s">
        <v>240</v>
      </c>
      <c r="CN1979" s="5" t="s">
        <v>263</v>
      </c>
      <c r="CO1979" s="5" t="s">
        <v>240</v>
      </c>
      <c r="CP1979" s="5" t="s">
        <v>240</v>
      </c>
      <c r="CQ1979" s="5">
        <v>0</v>
      </c>
      <c r="CR1979" s="5" t="s">
        <v>306</v>
      </c>
      <c r="CS1979" s="5" t="s">
        <v>307</v>
      </c>
      <c r="CT1979" s="5" t="s">
        <v>307</v>
      </c>
      <c r="CU1979" s="5" t="s">
        <v>260</v>
      </c>
      <c r="CX1979" s="7">
        <f>1</f>
        <v>1</v>
      </c>
      <c r="CY1979" s="7">
        <f>0</f>
        <v>0</v>
      </c>
      <c r="DA1979" s="7">
        <f>0</f>
        <v>0</v>
      </c>
      <c r="DC1979" s="5" t="s">
        <v>812</v>
      </c>
      <c r="DD1979" s="5" t="s">
        <v>240</v>
      </c>
      <c r="DF1979" s="5" t="s">
        <v>812</v>
      </c>
      <c r="DG1979" s="7">
        <f>1219</f>
        <v>1219</v>
      </c>
      <c r="DI1979" s="5" t="s">
        <v>240</v>
      </c>
      <c r="DJ1979" s="5" t="s">
        <v>240</v>
      </c>
      <c r="DK1979" s="5" t="s">
        <v>240</v>
      </c>
      <c r="DL1979" s="5" t="s">
        <v>240</v>
      </c>
      <c r="DP1979" s="5" t="s">
        <v>240</v>
      </c>
      <c r="DQ1979" s="5" t="s">
        <v>240</v>
      </c>
      <c r="DR1979" s="5" t="s">
        <v>240</v>
      </c>
      <c r="DS1979" s="5" t="s">
        <v>240</v>
      </c>
      <c r="DV1979" s="5" t="s">
        <v>813</v>
      </c>
      <c r="DW1979" s="5" t="s">
        <v>4044</v>
      </c>
      <c r="HO1979" s="5" t="s">
        <v>312</v>
      </c>
    </row>
    <row r="1980" spans="1:223" x14ac:dyDescent="0.4">
      <c r="A1980" s="5">
        <v>3684</v>
      </c>
      <c r="B1980" s="5">
        <v>1</v>
      </c>
      <c r="C1980" s="5">
        <v>1</v>
      </c>
      <c r="D1980" s="5" t="s">
        <v>810</v>
      </c>
      <c r="E1980" s="5" t="s">
        <v>245</v>
      </c>
      <c r="F1980" s="5" t="s">
        <v>254</v>
      </c>
      <c r="G1980" s="5" t="s">
        <v>240</v>
      </c>
      <c r="H1980" s="6" t="s">
        <v>4311</v>
      </c>
      <c r="I1980" s="5" t="s">
        <v>809</v>
      </c>
      <c r="J1980" s="8">
        <f>898</f>
        <v>898</v>
      </c>
      <c r="K1980" s="5" t="s">
        <v>308</v>
      </c>
      <c r="L1980" s="7">
        <f>1</f>
        <v>1</v>
      </c>
      <c r="M1980" s="7">
        <f>1</f>
        <v>1</v>
      </c>
      <c r="N1980" s="5" t="s">
        <v>242</v>
      </c>
      <c r="O1980" s="5">
        <v>1</v>
      </c>
      <c r="P1980" s="5" t="s">
        <v>294</v>
      </c>
      <c r="Q1980" s="5" t="s">
        <v>266</v>
      </c>
      <c r="R1980" s="5" t="s">
        <v>240</v>
      </c>
      <c r="S1980" s="5" t="s">
        <v>240</v>
      </c>
      <c r="T1980" s="5" t="s">
        <v>296</v>
      </c>
      <c r="U1980" s="5" t="s">
        <v>244</v>
      </c>
      <c r="V1980" s="5" t="s">
        <v>240</v>
      </c>
      <c r="Y1980" s="5" t="s">
        <v>240</v>
      </c>
      <c r="Z1980" s="6" t="s">
        <v>298</v>
      </c>
      <c r="AB1980" s="6" t="s">
        <v>240</v>
      </c>
      <c r="AE1980" s="6" t="s">
        <v>299</v>
      </c>
      <c r="AF1980" s="5" t="s">
        <v>248</v>
      </c>
      <c r="AG1980" s="5" t="s">
        <v>249</v>
      </c>
      <c r="AW1980" s="5" t="s">
        <v>251</v>
      </c>
      <c r="AX1980" s="5" t="s">
        <v>240</v>
      </c>
      <c r="AY1980" s="5" t="s">
        <v>253</v>
      </c>
      <c r="AZ1980" s="5" t="s">
        <v>240</v>
      </c>
      <c r="BA1980" s="5" t="s">
        <v>255</v>
      </c>
      <c r="BB1980" s="5" t="s">
        <v>240</v>
      </c>
      <c r="BD1980" s="5" t="s">
        <v>240</v>
      </c>
      <c r="BF1980" s="5" t="s">
        <v>301</v>
      </c>
      <c r="BG1980" s="6" t="s">
        <v>299</v>
      </c>
      <c r="BH1980" s="5" t="s">
        <v>302</v>
      </c>
      <c r="BI1980" s="5" t="s">
        <v>303</v>
      </c>
      <c r="BJ1980" s="5" t="s">
        <v>240</v>
      </c>
      <c r="BK1980" s="8">
        <f>0</f>
        <v>0</v>
      </c>
      <c r="BL1980" s="7">
        <f>0</f>
        <v>0</v>
      </c>
      <c r="BM1980" s="5" t="s">
        <v>258</v>
      </c>
      <c r="BN1980" s="5" t="s">
        <v>259</v>
      </c>
      <c r="CB1980" s="5" t="s">
        <v>240</v>
      </c>
      <c r="CC1980" s="5" t="s">
        <v>240</v>
      </c>
      <c r="CG1980" s="5" t="s">
        <v>304</v>
      </c>
      <c r="CH1980" s="5" t="s">
        <v>305</v>
      </c>
      <c r="CI1980" s="5" t="s">
        <v>240</v>
      </c>
      <c r="CL1980" s="6" t="s">
        <v>261</v>
      </c>
      <c r="CM1980" s="5" t="s">
        <v>240</v>
      </c>
      <c r="CN1980" s="5" t="s">
        <v>263</v>
      </c>
      <c r="CO1980" s="5" t="s">
        <v>240</v>
      </c>
      <c r="CP1980" s="5" t="s">
        <v>240</v>
      </c>
      <c r="CQ1980" s="5">
        <v>0</v>
      </c>
      <c r="CR1980" s="5" t="s">
        <v>306</v>
      </c>
      <c r="CS1980" s="5" t="s">
        <v>307</v>
      </c>
      <c r="CT1980" s="5" t="s">
        <v>307</v>
      </c>
      <c r="CU1980" s="5" t="s">
        <v>260</v>
      </c>
      <c r="CX1980" s="7">
        <f>1</f>
        <v>1</v>
      </c>
      <c r="CY1980" s="7">
        <f>0</f>
        <v>0</v>
      </c>
      <c r="DA1980" s="7">
        <f>0</f>
        <v>0</v>
      </c>
      <c r="DC1980" s="5" t="s">
        <v>812</v>
      </c>
      <c r="DD1980" s="5" t="s">
        <v>240</v>
      </c>
      <c r="DF1980" s="5" t="s">
        <v>812</v>
      </c>
      <c r="DG1980" s="7">
        <f>1584</f>
        <v>1584</v>
      </c>
      <c r="DI1980" s="5" t="s">
        <v>240</v>
      </c>
      <c r="DJ1980" s="5" t="s">
        <v>240</v>
      </c>
      <c r="DK1980" s="5" t="s">
        <v>240</v>
      </c>
      <c r="DL1980" s="5" t="s">
        <v>240</v>
      </c>
      <c r="DP1980" s="5" t="s">
        <v>240</v>
      </c>
      <c r="DQ1980" s="5" t="s">
        <v>240</v>
      </c>
      <c r="DR1980" s="5" t="s">
        <v>240</v>
      </c>
      <c r="DS1980" s="5" t="s">
        <v>240</v>
      </c>
      <c r="DV1980" s="5" t="s">
        <v>813</v>
      </c>
      <c r="DW1980" s="5" t="s">
        <v>4046</v>
      </c>
      <c r="HO1980" s="5" t="s">
        <v>312</v>
      </c>
    </row>
    <row r="1981" spans="1:223" x14ac:dyDescent="0.4">
      <c r="A1981" s="5">
        <v>3685</v>
      </c>
      <c r="B1981" s="5">
        <v>1</v>
      </c>
      <c r="C1981" s="5">
        <v>1</v>
      </c>
      <c r="D1981" s="5" t="s">
        <v>810</v>
      </c>
      <c r="E1981" s="5" t="s">
        <v>245</v>
      </c>
      <c r="F1981" s="5" t="s">
        <v>254</v>
      </c>
      <c r="G1981" s="5" t="s">
        <v>240</v>
      </c>
      <c r="H1981" s="6" t="s">
        <v>4310</v>
      </c>
      <c r="I1981" s="5" t="s">
        <v>809</v>
      </c>
      <c r="J1981" s="8">
        <f>2183</f>
        <v>2183</v>
      </c>
      <c r="K1981" s="5" t="s">
        <v>308</v>
      </c>
      <c r="L1981" s="7">
        <f>1</f>
        <v>1</v>
      </c>
      <c r="M1981" s="7">
        <f>1</f>
        <v>1</v>
      </c>
      <c r="N1981" s="5" t="s">
        <v>242</v>
      </c>
      <c r="O1981" s="5">
        <v>1</v>
      </c>
      <c r="P1981" s="5" t="s">
        <v>294</v>
      </c>
      <c r="Q1981" s="5" t="s">
        <v>266</v>
      </c>
      <c r="R1981" s="5" t="s">
        <v>240</v>
      </c>
      <c r="S1981" s="5" t="s">
        <v>240</v>
      </c>
      <c r="T1981" s="5" t="s">
        <v>296</v>
      </c>
      <c r="U1981" s="5" t="s">
        <v>244</v>
      </c>
      <c r="V1981" s="5" t="s">
        <v>240</v>
      </c>
      <c r="Y1981" s="5" t="s">
        <v>240</v>
      </c>
      <c r="Z1981" s="6" t="s">
        <v>298</v>
      </c>
      <c r="AB1981" s="6" t="s">
        <v>240</v>
      </c>
      <c r="AE1981" s="6" t="s">
        <v>299</v>
      </c>
      <c r="AF1981" s="5" t="s">
        <v>248</v>
      </c>
      <c r="AG1981" s="5" t="s">
        <v>249</v>
      </c>
      <c r="AW1981" s="5" t="s">
        <v>251</v>
      </c>
      <c r="AX1981" s="5" t="s">
        <v>240</v>
      </c>
      <c r="AY1981" s="5" t="s">
        <v>253</v>
      </c>
      <c r="AZ1981" s="5" t="s">
        <v>240</v>
      </c>
      <c r="BA1981" s="5" t="s">
        <v>255</v>
      </c>
      <c r="BB1981" s="5" t="s">
        <v>240</v>
      </c>
      <c r="BD1981" s="5" t="s">
        <v>240</v>
      </c>
      <c r="BF1981" s="5" t="s">
        <v>301</v>
      </c>
      <c r="BG1981" s="6" t="s">
        <v>299</v>
      </c>
      <c r="BH1981" s="5" t="s">
        <v>302</v>
      </c>
      <c r="BI1981" s="5" t="s">
        <v>303</v>
      </c>
      <c r="BJ1981" s="5" t="s">
        <v>240</v>
      </c>
      <c r="BK1981" s="8">
        <f>0</f>
        <v>0</v>
      </c>
      <c r="BL1981" s="7">
        <f>0</f>
        <v>0</v>
      </c>
      <c r="BM1981" s="5" t="s">
        <v>258</v>
      </c>
      <c r="BN1981" s="5" t="s">
        <v>259</v>
      </c>
      <c r="CB1981" s="5" t="s">
        <v>240</v>
      </c>
      <c r="CC1981" s="5" t="s">
        <v>240</v>
      </c>
      <c r="CG1981" s="5" t="s">
        <v>304</v>
      </c>
      <c r="CH1981" s="5" t="s">
        <v>305</v>
      </c>
      <c r="CI1981" s="5" t="s">
        <v>240</v>
      </c>
      <c r="CL1981" s="6" t="s">
        <v>261</v>
      </c>
      <c r="CM1981" s="5" t="s">
        <v>240</v>
      </c>
      <c r="CN1981" s="5" t="s">
        <v>263</v>
      </c>
      <c r="CO1981" s="5" t="s">
        <v>240</v>
      </c>
      <c r="CP1981" s="5" t="s">
        <v>240</v>
      </c>
      <c r="CQ1981" s="5">
        <v>0</v>
      </c>
      <c r="CR1981" s="5" t="s">
        <v>306</v>
      </c>
      <c r="CS1981" s="5" t="s">
        <v>307</v>
      </c>
      <c r="CT1981" s="5" t="s">
        <v>307</v>
      </c>
      <c r="CU1981" s="5" t="s">
        <v>260</v>
      </c>
      <c r="CX1981" s="7">
        <f>1</f>
        <v>1</v>
      </c>
      <c r="CY1981" s="7">
        <f>0</f>
        <v>0</v>
      </c>
      <c r="DA1981" s="7">
        <f>0</f>
        <v>0</v>
      </c>
      <c r="DC1981" s="5" t="s">
        <v>812</v>
      </c>
      <c r="DD1981" s="5" t="s">
        <v>240</v>
      </c>
      <c r="DF1981" s="5" t="s">
        <v>812</v>
      </c>
      <c r="DG1981" s="7">
        <f>32</f>
        <v>32</v>
      </c>
      <c r="DI1981" s="5" t="s">
        <v>240</v>
      </c>
      <c r="DJ1981" s="5" t="s">
        <v>240</v>
      </c>
      <c r="DK1981" s="5" t="s">
        <v>240</v>
      </c>
      <c r="DL1981" s="5" t="s">
        <v>240</v>
      </c>
      <c r="DP1981" s="5" t="s">
        <v>240</v>
      </c>
      <c r="DQ1981" s="5" t="s">
        <v>240</v>
      </c>
      <c r="DR1981" s="5" t="s">
        <v>240</v>
      </c>
      <c r="DS1981" s="5" t="s">
        <v>240</v>
      </c>
      <c r="DV1981" s="5" t="s">
        <v>813</v>
      </c>
      <c r="DW1981" s="5" t="s">
        <v>4048</v>
      </c>
      <c r="HO1981" s="5" t="s">
        <v>312</v>
      </c>
    </row>
    <row r="1982" spans="1:223" x14ac:dyDescent="0.4">
      <c r="A1982" s="5">
        <v>3686</v>
      </c>
      <c r="B1982" s="5">
        <v>1</v>
      </c>
      <c r="C1982" s="5">
        <v>1</v>
      </c>
      <c r="D1982" s="5" t="s">
        <v>810</v>
      </c>
      <c r="E1982" s="5" t="s">
        <v>245</v>
      </c>
      <c r="F1982" s="5" t="s">
        <v>254</v>
      </c>
      <c r="G1982" s="5" t="s">
        <v>240</v>
      </c>
      <c r="H1982" s="6" t="s">
        <v>4309</v>
      </c>
      <c r="I1982" s="5" t="s">
        <v>809</v>
      </c>
      <c r="J1982" s="8">
        <f>1502</f>
        <v>1502</v>
      </c>
      <c r="K1982" s="5" t="s">
        <v>308</v>
      </c>
      <c r="L1982" s="7">
        <f>1</f>
        <v>1</v>
      </c>
      <c r="M1982" s="7">
        <f>1</f>
        <v>1</v>
      </c>
      <c r="N1982" s="5" t="s">
        <v>242</v>
      </c>
      <c r="O1982" s="5">
        <v>1</v>
      </c>
      <c r="P1982" s="5" t="s">
        <v>294</v>
      </c>
      <c r="Q1982" s="5" t="s">
        <v>266</v>
      </c>
      <c r="R1982" s="5" t="s">
        <v>240</v>
      </c>
      <c r="S1982" s="5" t="s">
        <v>240</v>
      </c>
      <c r="T1982" s="5" t="s">
        <v>296</v>
      </c>
      <c r="U1982" s="5" t="s">
        <v>244</v>
      </c>
      <c r="V1982" s="5" t="s">
        <v>240</v>
      </c>
      <c r="Y1982" s="5" t="s">
        <v>240</v>
      </c>
      <c r="Z1982" s="6" t="s">
        <v>298</v>
      </c>
      <c r="AB1982" s="6" t="s">
        <v>240</v>
      </c>
      <c r="AE1982" s="6" t="s">
        <v>299</v>
      </c>
      <c r="AF1982" s="5" t="s">
        <v>248</v>
      </c>
      <c r="AG1982" s="5" t="s">
        <v>249</v>
      </c>
      <c r="AW1982" s="5" t="s">
        <v>251</v>
      </c>
      <c r="AX1982" s="5" t="s">
        <v>240</v>
      </c>
      <c r="AY1982" s="5" t="s">
        <v>253</v>
      </c>
      <c r="AZ1982" s="5" t="s">
        <v>240</v>
      </c>
      <c r="BA1982" s="5" t="s">
        <v>255</v>
      </c>
      <c r="BB1982" s="5" t="s">
        <v>240</v>
      </c>
      <c r="BD1982" s="5" t="s">
        <v>240</v>
      </c>
      <c r="BF1982" s="5" t="s">
        <v>301</v>
      </c>
      <c r="BG1982" s="6" t="s">
        <v>299</v>
      </c>
      <c r="BH1982" s="5" t="s">
        <v>302</v>
      </c>
      <c r="BI1982" s="5" t="s">
        <v>303</v>
      </c>
      <c r="BJ1982" s="5" t="s">
        <v>240</v>
      </c>
      <c r="BK1982" s="8">
        <f>0</f>
        <v>0</v>
      </c>
      <c r="BL1982" s="7">
        <f>0</f>
        <v>0</v>
      </c>
      <c r="BM1982" s="5" t="s">
        <v>258</v>
      </c>
      <c r="BN1982" s="5" t="s">
        <v>259</v>
      </c>
      <c r="CB1982" s="5" t="s">
        <v>240</v>
      </c>
      <c r="CC1982" s="5" t="s">
        <v>240</v>
      </c>
      <c r="CG1982" s="5" t="s">
        <v>304</v>
      </c>
      <c r="CH1982" s="5" t="s">
        <v>305</v>
      </c>
      <c r="CI1982" s="5" t="s">
        <v>240</v>
      </c>
      <c r="CL1982" s="6" t="s">
        <v>261</v>
      </c>
      <c r="CM1982" s="5" t="s">
        <v>240</v>
      </c>
      <c r="CN1982" s="5" t="s">
        <v>263</v>
      </c>
      <c r="CO1982" s="5" t="s">
        <v>240</v>
      </c>
      <c r="CP1982" s="5" t="s">
        <v>240</v>
      </c>
      <c r="CQ1982" s="5">
        <v>0</v>
      </c>
      <c r="CR1982" s="5" t="s">
        <v>306</v>
      </c>
      <c r="CS1982" s="5" t="s">
        <v>307</v>
      </c>
      <c r="CT1982" s="5" t="s">
        <v>307</v>
      </c>
      <c r="CU1982" s="5" t="s">
        <v>260</v>
      </c>
      <c r="CX1982" s="7">
        <f>1</f>
        <v>1</v>
      </c>
      <c r="CY1982" s="7">
        <f>0</f>
        <v>0</v>
      </c>
      <c r="DA1982" s="7">
        <f>0</f>
        <v>0</v>
      </c>
      <c r="DC1982" s="5" t="s">
        <v>812</v>
      </c>
      <c r="DD1982" s="5" t="s">
        <v>240</v>
      </c>
      <c r="DF1982" s="5" t="s">
        <v>812</v>
      </c>
      <c r="DG1982" s="7">
        <f>145</f>
        <v>145</v>
      </c>
      <c r="DI1982" s="5" t="s">
        <v>240</v>
      </c>
      <c r="DJ1982" s="5" t="s">
        <v>240</v>
      </c>
      <c r="DK1982" s="5" t="s">
        <v>240</v>
      </c>
      <c r="DL1982" s="5" t="s">
        <v>240</v>
      </c>
      <c r="DP1982" s="5" t="s">
        <v>240</v>
      </c>
      <c r="DQ1982" s="5" t="s">
        <v>240</v>
      </c>
      <c r="DR1982" s="5" t="s">
        <v>240</v>
      </c>
      <c r="DS1982" s="5" t="s">
        <v>240</v>
      </c>
      <c r="DV1982" s="5" t="s">
        <v>813</v>
      </c>
      <c r="DW1982" s="5" t="s">
        <v>4050</v>
      </c>
      <c r="HO1982" s="5" t="s">
        <v>312</v>
      </c>
    </row>
    <row r="1983" spans="1:223" x14ac:dyDescent="0.4">
      <c r="A1983" s="5">
        <v>3687</v>
      </c>
      <c r="B1983" s="5">
        <v>1</v>
      </c>
      <c r="C1983" s="5">
        <v>1</v>
      </c>
      <c r="D1983" s="5" t="s">
        <v>810</v>
      </c>
      <c r="E1983" s="5" t="s">
        <v>245</v>
      </c>
      <c r="F1983" s="5" t="s">
        <v>254</v>
      </c>
      <c r="G1983" s="5" t="s">
        <v>240</v>
      </c>
      <c r="H1983" s="6" t="s">
        <v>4308</v>
      </c>
      <c r="I1983" s="5" t="s">
        <v>809</v>
      </c>
      <c r="J1983" s="8">
        <f>880</f>
        <v>880</v>
      </c>
      <c r="K1983" s="5" t="s">
        <v>308</v>
      </c>
      <c r="L1983" s="7">
        <f>1</f>
        <v>1</v>
      </c>
      <c r="M1983" s="7">
        <f>1</f>
        <v>1</v>
      </c>
      <c r="N1983" s="5" t="s">
        <v>242</v>
      </c>
      <c r="O1983" s="5">
        <v>1</v>
      </c>
      <c r="P1983" s="5" t="s">
        <v>294</v>
      </c>
      <c r="Q1983" s="5" t="s">
        <v>266</v>
      </c>
      <c r="R1983" s="5" t="s">
        <v>240</v>
      </c>
      <c r="S1983" s="5" t="s">
        <v>240</v>
      </c>
      <c r="T1983" s="5" t="s">
        <v>296</v>
      </c>
      <c r="U1983" s="5" t="s">
        <v>244</v>
      </c>
      <c r="V1983" s="5" t="s">
        <v>240</v>
      </c>
      <c r="Y1983" s="5" t="s">
        <v>240</v>
      </c>
      <c r="Z1983" s="6" t="s">
        <v>298</v>
      </c>
      <c r="AB1983" s="6" t="s">
        <v>240</v>
      </c>
      <c r="AE1983" s="6" t="s">
        <v>299</v>
      </c>
      <c r="AF1983" s="5" t="s">
        <v>248</v>
      </c>
      <c r="AG1983" s="5" t="s">
        <v>249</v>
      </c>
      <c r="AW1983" s="5" t="s">
        <v>251</v>
      </c>
      <c r="AX1983" s="5" t="s">
        <v>240</v>
      </c>
      <c r="AY1983" s="5" t="s">
        <v>253</v>
      </c>
      <c r="AZ1983" s="5" t="s">
        <v>240</v>
      </c>
      <c r="BA1983" s="5" t="s">
        <v>255</v>
      </c>
      <c r="BB1983" s="5" t="s">
        <v>240</v>
      </c>
      <c r="BD1983" s="5" t="s">
        <v>240</v>
      </c>
      <c r="BF1983" s="5" t="s">
        <v>301</v>
      </c>
      <c r="BG1983" s="6" t="s">
        <v>299</v>
      </c>
      <c r="BH1983" s="5" t="s">
        <v>302</v>
      </c>
      <c r="BI1983" s="5" t="s">
        <v>303</v>
      </c>
      <c r="BJ1983" s="5" t="s">
        <v>240</v>
      </c>
      <c r="BK1983" s="8">
        <f>0</f>
        <v>0</v>
      </c>
      <c r="BL1983" s="7">
        <f>0</f>
        <v>0</v>
      </c>
      <c r="BM1983" s="5" t="s">
        <v>258</v>
      </c>
      <c r="BN1983" s="5" t="s">
        <v>259</v>
      </c>
      <c r="CB1983" s="5" t="s">
        <v>240</v>
      </c>
      <c r="CC1983" s="5" t="s">
        <v>240</v>
      </c>
      <c r="CG1983" s="5" t="s">
        <v>304</v>
      </c>
      <c r="CH1983" s="5" t="s">
        <v>305</v>
      </c>
      <c r="CI1983" s="5" t="s">
        <v>240</v>
      </c>
      <c r="CL1983" s="6" t="s">
        <v>261</v>
      </c>
      <c r="CM1983" s="5" t="s">
        <v>240</v>
      </c>
      <c r="CN1983" s="5" t="s">
        <v>263</v>
      </c>
      <c r="CO1983" s="5" t="s">
        <v>240</v>
      </c>
      <c r="CP1983" s="5" t="s">
        <v>240</v>
      </c>
      <c r="CQ1983" s="5">
        <v>0</v>
      </c>
      <c r="CR1983" s="5" t="s">
        <v>306</v>
      </c>
      <c r="CS1983" s="5" t="s">
        <v>307</v>
      </c>
      <c r="CT1983" s="5" t="s">
        <v>307</v>
      </c>
      <c r="CU1983" s="5" t="s">
        <v>260</v>
      </c>
      <c r="CX1983" s="7">
        <f>1</f>
        <v>1</v>
      </c>
      <c r="CY1983" s="7">
        <f>0</f>
        <v>0</v>
      </c>
      <c r="DA1983" s="7">
        <f>0</f>
        <v>0</v>
      </c>
      <c r="DC1983" s="5" t="s">
        <v>812</v>
      </c>
      <c r="DD1983" s="5" t="s">
        <v>240</v>
      </c>
      <c r="DF1983" s="5" t="s">
        <v>812</v>
      </c>
      <c r="DG1983" s="7">
        <f>182</f>
        <v>182</v>
      </c>
      <c r="DI1983" s="5" t="s">
        <v>240</v>
      </c>
      <c r="DJ1983" s="5" t="s">
        <v>240</v>
      </c>
      <c r="DK1983" s="5" t="s">
        <v>240</v>
      </c>
      <c r="DL1983" s="5" t="s">
        <v>240</v>
      </c>
      <c r="DP1983" s="5" t="s">
        <v>240</v>
      </c>
      <c r="DQ1983" s="5" t="s">
        <v>240</v>
      </c>
      <c r="DR1983" s="5" t="s">
        <v>240</v>
      </c>
      <c r="DS1983" s="5" t="s">
        <v>240</v>
      </c>
      <c r="DV1983" s="5" t="s">
        <v>813</v>
      </c>
      <c r="DW1983" s="5" t="s">
        <v>1108</v>
      </c>
      <c r="HO1983" s="5" t="s">
        <v>312</v>
      </c>
    </row>
    <row r="1984" spans="1:223" x14ac:dyDescent="0.4">
      <c r="A1984" s="5">
        <v>3688</v>
      </c>
      <c r="B1984" s="5">
        <v>1</v>
      </c>
      <c r="C1984" s="5">
        <v>1</v>
      </c>
      <c r="D1984" s="5" t="s">
        <v>810</v>
      </c>
      <c r="E1984" s="5" t="s">
        <v>245</v>
      </c>
      <c r="F1984" s="5" t="s">
        <v>254</v>
      </c>
      <c r="G1984" s="5" t="s">
        <v>240</v>
      </c>
      <c r="H1984" s="6" t="s">
        <v>4307</v>
      </c>
      <c r="I1984" s="5" t="s">
        <v>809</v>
      </c>
      <c r="J1984" s="8">
        <f>709</f>
        <v>709</v>
      </c>
      <c r="K1984" s="5" t="s">
        <v>308</v>
      </c>
      <c r="L1984" s="7">
        <f>1</f>
        <v>1</v>
      </c>
      <c r="M1984" s="7">
        <f>1</f>
        <v>1</v>
      </c>
      <c r="N1984" s="5" t="s">
        <v>242</v>
      </c>
      <c r="O1984" s="5">
        <v>1</v>
      </c>
      <c r="P1984" s="5" t="s">
        <v>294</v>
      </c>
      <c r="Q1984" s="5" t="s">
        <v>266</v>
      </c>
      <c r="R1984" s="5" t="s">
        <v>240</v>
      </c>
      <c r="S1984" s="5" t="s">
        <v>240</v>
      </c>
      <c r="T1984" s="5" t="s">
        <v>296</v>
      </c>
      <c r="U1984" s="5" t="s">
        <v>244</v>
      </c>
      <c r="V1984" s="5" t="s">
        <v>240</v>
      </c>
      <c r="Y1984" s="5" t="s">
        <v>240</v>
      </c>
      <c r="Z1984" s="6" t="s">
        <v>298</v>
      </c>
      <c r="AB1984" s="6" t="s">
        <v>240</v>
      </c>
      <c r="AE1984" s="6" t="s">
        <v>299</v>
      </c>
      <c r="AF1984" s="5" t="s">
        <v>248</v>
      </c>
      <c r="AG1984" s="5" t="s">
        <v>249</v>
      </c>
      <c r="AW1984" s="5" t="s">
        <v>251</v>
      </c>
      <c r="AX1984" s="5" t="s">
        <v>240</v>
      </c>
      <c r="AY1984" s="5" t="s">
        <v>253</v>
      </c>
      <c r="AZ1984" s="5" t="s">
        <v>240</v>
      </c>
      <c r="BA1984" s="5" t="s">
        <v>255</v>
      </c>
      <c r="BB1984" s="5" t="s">
        <v>240</v>
      </c>
      <c r="BD1984" s="5" t="s">
        <v>240</v>
      </c>
      <c r="BF1984" s="5" t="s">
        <v>301</v>
      </c>
      <c r="BG1984" s="6" t="s">
        <v>299</v>
      </c>
      <c r="BH1984" s="5" t="s">
        <v>302</v>
      </c>
      <c r="BI1984" s="5" t="s">
        <v>303</v>
      </c>
      <c r="BJ1984" s="5" t="s">
        <v>240</v>
      </c>
      <c r="BK1984" s="8">
        <f>0</f>
        <v>0</v>
      </c>
      <c r="BL1984" s="7">
        <f>0</f>
        <v>0</v>
      </c>
      <c r="BM1984" s="5" t="s">
        <v>258</v>
      </c>
      <c r="BN1984" s="5" t="s">
        <v>259</v>
      </c>
      <c r="CB1984" s="5" t="s">
        <v>240</v>
      </c>
      <c r="CC1984" s="5" t="s">
        <v>240</v>
      </c>
      <c r="CG1984" s="5" t="s">
        <v>304</v>
      </c>
      <c r="CH1984" s="5" t="s">
        <v>305</v>
      </c>
      <c r="CI1984" s="5" t="s">
        <v>240</v>
      </c>
      <c r="CL1984" s="6" t="s">
        <v>261</v>
      </c>
      <c r="CM1984" s="5" t="s">
        <v>240</v>
      </c>
      <c r="CN1984" s="5" t="s">
        <v>263</v>
      </c>
      <c r="CO1984" s="5" t="s">
        <v>240</v>
      </c>
      <c r="CP1984" s="5" t="s">
        <v>240</v>
      </c>
      <c r="CQ1984" s="5">
        <v>0</v>
      </c>
      <c r="CR1984" s="5" t="s">
        <v>306</v>
      </c>
      <c r="CS1984" s="5" t="s">
        <v>307</v>
      </c>
      <c r="CT1984" s="5" t="s">
        <v>307</v>
      </c>
      <c r="CU1984" s="5" t="s">
        <v>260</v>
      </c>
      <c r="CX1984" s="7">
        <f>1</f>
        <v>1</v>
      </c>
      <c r="CY1984" s="7">
        <f>0</f>
        <v>0</v>
      </c>
      <c r="DA1984" s="7">
        <f>0</f>
        <v>0</v>
      </c>
      <c r="DC1984" s="5" t="s">
        <v>812</v>
      </c>
      <c r="DD1984" s="5" t="s">
        <v>240</v>
      </c>
      <c r="DF1984" s="5" t="s">
        <v>812</v>
      </c>
      <c r="DG1984" s="7">
        <f>522</f>
        <v>522</v>
      </c>
      <c r="DI1984" s="5" t="s">
        <v>240</v>
      </c>
      <c r="DJ1984" s="5" t="s">
        <v>240</v>
      </c>
      <c r="DK1984" s="5" t="s">
        <v>240</v>
      </c>
      <c r="DL1984" s="5" t="s">
        <v>240</v>
      </c>
      <c r="DP1984" s="5" t="s">
        <v>240</v>
      </c>
      <c r="DQ1984" s="5" t="s">
        <v>240</v>
      </c>
      <c r="DR1984" s="5" t="s">
        <v>240</v>
      </c>
      <c r="DS1984" s="5" t="s">
        <v>240</v>
      </c>
      <c r="DV1984" s="5" t="s">
        <v>813</v>
      </c>
      <c r="DW1984" s="5" t="s">
        <v>1106</v>
      </c>
      <c r="HO1984" s="5" t="s">
        <v>312</v>
      </c>
    </row>
    <row r="1985" spans="1:223" x14ac:dyDescent="0.4">
      <c r="A1985" s="5">
        <v>3689</v>
      </c>
      <c r="B1985" s="5">
        <v>1</v>
      </c>
      <c r="C1985" s="5">
        <v>1</v>
      </c>
      <c r="D1985" s="5" t="s">
        <v>810</v>
      </c>
      <c r="E1985" s="5" t="s">
        <v>245</v>
      </c>
      <c r="F1985" s="5" t="s">
        <v>254</v>
      </c>
      <c r="G1985" s="5" t="s">
        <v>240</v>
      </c>
      <c r="H1985" s="6" t="s">
        <v>4306</v>
      </c>
      <c r="I1985" s="5" t="s">
        <v>809</v>
      </c>
      <c r="J1985" s="8">
        <f>173</f>
        <v>173</v>
      </c>
      <c r="K1985" s="5" t="s">
        <v>308</v>
      </c>
      <c r="L1985" s="7">
        <f>1</f>
        <v>1</v>
      </c>
      <c r="M1985" s="7">
        <f>1</f>
        <v>1</v>
      </c>
      <c r="N1985" s="5" t="s">
        <v>242</v>
      </c>
      <c r="O1985" s="5">
        <v>1</v>
      </c>
      <c r="P1985" s="5" t="s">
        <v>294</v>
      </c>
      <c r="Q1985" s="5" t="s">
        <v>266</v>
      </c>
      <c r="R1985" s="5" t="s">
        <v>240</v>
      </c>
      <c r="S1985" s="5" t="s">
        <v>240</v>
      </c>
      <c r="T1985" s="5" t="s">
        <v>296</v>
      </c>
      <c r="U1985" s="5" t="s">
        <v>244</v>
      </c>
      <c r="V1985" s="5" t="s">
        <v>240</v>
      </c>
      <c r="Y1985" s="5" t="s">
        <v>240</v>
      </c>
      <c r="Z1985" s="6" t="s">
        <v>298</v>
      </c>
      <c r="AB1985" s="6" t="s">
        <v>240</v>
      </c>
      <c r="AE1985" s="6" t="s">
        <v>299</v>
      </c>
      <c r="AF1985" s="5" t="s">
        <v>248</v>
      </c>
      <c r="AG1985" s="5" t="s">
        <v>249</v>
      </c>
      <c r="AW1985" s="5" t="s">
        <v>251</v>
      </c>
      <c r="AX1985" s="5" t="s">
        <v>240</v>
      </c>
      <c r="AY1985" s="5" t="s">
        <v>253</v>
      </c>
      <c r="AZ1985" s="5" t="s">
        <v>240</v>
      </c>
      <c r="BA1985" s="5" t="s">
        <v>255</v>
      </c>
      <c r="BB1985" s="5" t="s">
        <v>240</v>
      </c>
      <c r="BD1985" s="5" t="s">
        <v>240</v>
      </c>
      <c r="BF1985" s="5" t="s">
        <v>301</v>
      </c>
      <c r="BG1985" s="6" t="s">
        <v>299</v>
      </c>
      <c r="BH1985" s="5" t="s">
        <v>302</v>
      </c>
      <c r="BI1985" s="5" t="s">
        <v>303</v>
      </c>
      <c r="BJ1985" s="5" t="s">
        <v>240</v>
      </c>
      <c r="BK1985" s="8">
        <f>0</f>
        <v>0</v>
      </c>
      <c r="BL1985" s="7">
        <f>0</f>
        <v>0</v>
      </c>
      <c r="BM1985" s="5" t="s">
        <v>258</v>
      </c>
      <c r="BN1985" s="5" t="s">
        <v>259</v>
      </c>
      <c r="CB1985" s="5" t="s">
        <v>240</v>
      </c>
      <c r="CC1985" s="5" t="s">
        <v>240</v>
      </c>
      <c r="CG1985" s="5" t="s">
        <v>304</v>
      </c>
      <c r="CH1985" s="5" t="s">
        <v>305</v>
      </c>
      <c r="CI1985" s="5" t="s">
        <v>240</v>
      </c>
      <c r="CL1985" s="6" t="s">
        <v>261</v>
      </c>
      <c r="CM1985" s="5" t="s">
        <v>240</v>
      </c>
      <c r="CN1985" s="5" t="s">
        <v>263</v>
      </c>
      <c r="CO1985" s="5" t="s">
        <v>240</v>
      </c>
      <c r="CP1985" s="5" t="s">
        <v>240</v>
      </c>
      <c r="CQ1985" s="5">
        <v>0</v>
      </c>
      <c r="CR1985" s="5" t="s">
        <v>306</v>
      </c>
      <c r="CS1985" s="5" t="s">
        <v>307</v>
      </c>
      <c r="CT1985" s="5" t="s">
        <v>307</v>
      </c>
      <c r="CU1985" s="5" t="s">
        <v>260</v>
      </c>
      <c r="CX1985" s="7">
        <f>1</f>
        <v>1</v>
      </c>
      <c r="CY1985" s="7">
        <f>0</f>
        <v>0</v>
      </c>
      <c r="DA1985" s="7">
        <f>0</f>
        <v>0</v>
      </c>
      <c r="DC1985" s="5" t="s">
        <v>812</v>
      </c>
      <c r="DD1985" s="5" t="s">
        <v>240</v>
      </c>
      <c r="DF1985" s="5" t="s">
        <v>812</v>
      </c>
      <c r="DG1985" s="7">
        <f>1665</f>
        <v>1665</v>
      </c>
      <c r="DI1985" s="5" t="s">
        <v>240</v>
      </c>
      <c r="DJ1985" s="5" t="s">
        <v>240</v>
      </c>
      <c r="DK1985" s="5" t="s">
        <v>240</v>
      </c>
      <c r="DL1985" s="5" t="s">
        <v>240</v>
      </c>
      <c r="DP1985" s="5" t="s">
        <v>240</v>
      </c>
      <c r="DQ1985" s="5" t="s">
        <v>240</v>
      </c>
      <c r="DR1985" s="5" t="s">
        <v>240</v>
      </c>
      <c r="DS1985" s="5" t="s">
        <v>240</v>
      </c>
      <c r="DV1985" s="5" t="s">
        <v>813</v>
      </c>
      <c r="DW1985" s="5" t="s">
        <v>1104</v>
      </c>
      <c r="HO1985" s="5" t="s">
        <v>312</v>
      </c>
    </row>
    <row r="1986" spans="1:223" x14ac:dyDescent="0.4">
      <c r="A1986" s="5">
        <v>3690</v>
      </c>
      <c r="B1986" s="5">
        <v>1</v>
      </c>
      <c r="C1986" s="5">
        <v>1</v>
      </c>
      <c r="D1986" s="5" t="s">
        <v>810</v>
      </c>
      <c r="E1986" s="5" t="s">
        <v>245</v>
      </c>
      <c r="F1986" s="5" t="s">
        <v>254</v>
      </c>
      <c r="G1986" s="5" t="s">
        <v>240</v>
      </c>
      <c r="H1986" s="6" t="s">
        <v>4305</v>
      </c>
      <c r="I1986" s="5" t="s">
        <v>809</v>
      </c>
      <c r="J1986" s="8">
        <f>564</f>
        <v>564</v>
      </c>
      <c r="K1986" s="5" t="s">
        <v>308</v>
      </c>
      <c r="L1986" s="7">
        <f>1</f>
        <v>1</v>
      </c>
      <c r="M1986" s="7">
        <f>1</f>
        <v>1</v>
      </c>
      <c r="N1986" s="5" t="s">
        <v>242</v>
      </c>
      <c r="O1986" s="5">
        <v>1</v>
      </c>
      <c r="P1986" s="5" t="s">
        <v>294</v>
      </c>
      <c r="Q1986" s="5" t="s">
        <v>266</v>
      </c>
      <c r="R1986" s="5" t="s">
        <v>240</v>
      </c>
      <c r="S1986" s="5" t="s">
        <v>240</v>
      </c>
      <c r="T1986" s="5" t="s">
        <v>296</v>
      </c>
      <c r="U1986" s="5" t="s">
        <v>244</v>
      </c>
      <c r="V1986" s="5" t="s">
        <v>240</v>
      </c>
      <c r="Y1986" s="5" t="s">
        <v>240</v>
      </c>
      <c r="Z1986" s="6" t="s">
        <v>298</v>
      </c>
      <c r="AB1986" s="6" t="s">
        <v>240</v>
      </c>
      <c r="AE1986" s="6" t="s">
        <v>299</v>
      </c>
      <c r="AF1986" s="5" t="s">
        <v>248</v>
      </c>
      <c r="AG1986" s="5" t="s">
        <v>249</v>
      </c>
      <c r="AW1986" s="5" t="s">
        <v>251</v>
      </c>
      <c r="AX1986" s="5" t="s">
        <v>240</v>
      </c>
      <c r="AY1986" s="5" t="s">
        <v>253</v>
      </c>
      <c r="AZ1986" s="5" t="s">
        <v>240</v>
      </c>
      <c r="BA1986" s="5" t="s">
        <v>255</v>
      </c>
      <c r="BB1986" s="5" t="s">
        <v>240</v>
      </c>
      <c r="BD1986" s="5" t="s">
        <v>240</v>
      </c>
      <c r="BF1986" s="5" t="s">
        <v>301</v>
      </c>
      <c r="BG1986" s="6" t="s">
        <v>299</v>
      </c>
      <c r="BH1986" s="5" t="s">
        <v>302</v>
      </c>
      <c r="BI1986" s="5" t="s">
        <v>303</v>
      </c>
      <c r="BJ1986" s="5" t="s">
        <v>240</v>
      </c>
      <c r="BK1986" s="8">
        <f>0</f>
        <v>0</v>
      </c>
      <c r="BL1986" s="7">
        <f>0</f>
        <v>0</v>
      </c>
      <c r="BM1986" s="5" t="s">
        <v>258</v>
      </c>
      <c r="BN1986" s="5" t="s">
        <v>259</v>
      </c>
      <c r="CB1986" s="5" t="s">
        <v>240</v>
      </c>
      <c r="CC1986" s="5" t="s">
        <v>240</v>
      </c>
      <c r="CG1986" s="5" t="s">
        <v>304</v>
      </c>
      <c r="CH1986" s="5" t="s">
        <v>305</v>
      </c>
      <c r="CI1986" s="5" t="s">
        <v>240</v>
      </c>
      <c r="CL1986" s="6" t="s">
        <v>261</v>
      </c>
      <c r="CM1986" s="5" t="s">
        <v>240</v>
      </c>
      <c r="CN1986" s="5" t="s">
        <v>263</v>
      </c>
      <c r="CO1986" s="5" t="s">
        <v>240</v>
      </c>
      <c r="CP1986" s="5" t="s">
        <v>240</v>
      </c>
      <c r="CQ1986" s="5">
        <v>0</v>
      </c>
      <c r="CR1986" s="5" t="s">
        <v>306</v>
      </c>
      <c r="CS1986" s="5" t="s">
        <v>307</v>
      </c>
      <c r="CT1986" s="5" t="s">
        <v>307</v>
      </c>
      <c r="CU1986" s="5" t="s">
        <v>260</v>
      </c>
      <c r="CX1986" s="7">
        <f>1</f>
        <v>1</v>
      </c>
      <c r="CY1986" s="7">
        <f>0</f>
        <v>0</v>
      </c>
      <c r="DA1986" s="7">
        <f>0</f>
        <v>0</v>
      </c>
      <c r="DC1986" s="5" t="s">
        <v>812</v>
      </c>
      <c r="DD1986" s="5" t="s">
        <v>240</v>
      </c>
      <c r="DF1986" s="5" t="s">
        <v>812</v>
      </c>
      <c r="DG1986" s="7">
        <f>1064</f>
        <v>1064</v>
      </c>
      <c r="DI1986" s="5" t="s">
        <v>240</v>
      </c>
      <c r="DJ1986" s="5" t="s">
        <v>240</v>
      </c>
      <c r="DK1986" s="5" t="s">
        <v>240</v>
      </c>
      <c r="DL1986" s="5" t="s">
        <v>240</v>
      </c>
      <c r="DP1986" s="5" t="s">
        <v>240</v>
      </c>
      <c r="DQ1986" s="5" t="s">
        <v>240</v>
      </c>
      <c r="DR1986" s="5" t="s">
        <v>240</v>
      </c>
      <c r="DS1986" s="5" t="s">
        <v>240</v>
      </c>
      <c r="DV1986" s="5" t="s">
        <v>813</v>
      </c>
      <c r="DW1986" s="5" t="s">
        <v>1102</v>
      </c>
      <c r="HO1986" s="5" t="s">
        <v>312</v>
      </c>
    </row>
    <row r="1987" spans="1:223" x14ac:dyDescent="0.4">
      <c r="A1987" s="5">
        <v>3691</v>
      </c>
      <c r="B1987" s="5">
        <v>1</v>
      </c>
      <c r="C1987" s="5">
        <v>1</v>
      </c>
      <c r="D1987" s="5" t="s">
        <v>810</v>
      </c>
      <c r="E1987" s="5" t="s">
        <v>245</v>
      </c>
      <c r="F1987" s="5" t="s">
        <v>254</v>
      </c>
      <c r="G1987" s="5" t="s">
        <v>240</v>
      </c>
      <c r="H1987" s="6" t="s">
        <v>4304</v>
      </c>
      <c r="I1987" s="5" t="s">
        <v>809</v>
      </c>
      <c r="J1987" s="8">
        <f>1116</f>
        <v>1116</v>
      </c>
      <c r="K1987" s="5" t="s">
        <v>308</v>
      </c>
      <c r="L1987" s="7">
        <f>1</f>
        <v>1</v>
      </c>
      <c r="M1987" s="7">
        <f>1</f>
        <v>1</v>
      </c>
      <c r="N1987" s="5" t="s">
        <v>242</v>
      </c>
      <c r="O1987" s="5">
        <v>1</v>
      </c>
      <c r="P1987" s="5" t="s">
        <v>294</v>
      </c>
      <c r="Q1987" s="5" t="s">
        <v>266</v>
      </c>
      <c r="R1987" s="5" t="s">
        <v>240</v>
      </c>
      <c r="S1987" s="5" t="s">
        <v>240</v>
      </c>
      <c r="T1987" s="5" t="s">
        <v>296</v>
      </c>
      <c r="U1987" s="5" t="s">
        <v>244</v>
      </c>
      <c r="V1987" s="5" t="s">
        <v>240</v>
      </c>
      <c r="Y1987" s="5" t="s">
        <v>240</v>
      </c>
      <c r="Z1987" s="6" t="s">
        <v>298</v>
      </c>
      <c r="AB1987" s="6" t="s">
        <v>240</v>
      </c>
      <c r="AE1987" s="6" t="s">
        <v>299</v>
      </c>
      <c r="AF1987" s="5" t="s">
        <v>248</v>
      </c>
      <c r="AG1987" s="5" t="s">
        <v>249</v>
      </c>
      <c r="AW1987" s="5" t="s">
        <v>251</v>
      </c>
      <c r="AX1987" s="5" t="s">
        <v>240</v>
      </c>
      <c r="AY1987" s="5" t="s">
        <v>253</v>
      </c>
      <c r="AZ1987" s="5" t="s">
        <v>240</v>
      </c>
      <c r="BA1987" s="5" t="s">
        <v>255</v>
      </c>
      <c r="BB1987" s="5" t="s">
        <v>240</v>
      </c>
      <c r="BD1987" s="5" t="s">
        <v>240</v>
      </c>
      <c r="BF1987" s="5" t="s">
        <v>301</v>
      </c>
      <c r="BG1987" s="6" t="s">
        <v>299</v>
      </c>
      <c r="BH1987" s="5" t="s">
        <v>302</v>
      </c>
      <c r="BI1987" s="5" t="s">
        <v>303</v>
      </c>
      <c r="BJ1987" s="5" t="s">
        <v>240</v>
      </c>
      <c r="BK1987" s="8">
        <f>0</f>
        <v>0</v>
      </c>
      <c r="BL1987" s="7">
        <f>0</f>
        <v>0</v>
      </c>
      <c r="BM1987" s="5" t="s">
        <v>258</v>
      </c>
      <c r="BN1987" s="5" t="s">
        <v>259</v>
      </c>
      <c r="CB1987" s="5" t="s">
        <v>240</v>
      </c>
      <c r="CC1987" s="5" t="s">
        <v>240</v>
      </c>
      <c r="CG1987" s="5" t="s">
        <v>304</v>
      </c>
      <c r="CH1987" s="5" t="s">
        <v>305</v>
      </c>
      <c r="CI1987" s="5" t="s">
        <v>240</v>
      </c>
      <c r="CL1987" s="6" t="s">
        <v>261</v>
      </c>
      <c r="CM1987" s="5" t="s">
        <v>240</v>
      </c>
      <c r="CN1987" s="5" t="s">
        <v>263</v>
      </c>
      <c r="CO1987" s="5" t="s">
        <v>240</v>
      </c>
      <c r="CP1987" s="5" t="s">
        <v>240</v>
      </c>
      <c r="CQ1987" s="5">
        <v>0</v>
      </c>
      <c r="CR1987" s="5" t="s">
        <v>306</v>
      </c>
      <c r="CS1987" s="5" t="s">
        <v>307</v>
      </c>
      <c r="CT1987" s="5" t="s">
        <v>307</v>
      </c>
      <c r="CU1987" s="5" t="s">
        <v>260</v>
      </c>
      <c r="CX1987" s="7">
        <f>1</f>
        <v>1</v>
      </c>
      <c r="CY1987" s="7">
        <f>0</f>
        <v>0</v>
      </c>
      <c r="DA1987" s="7">
        <f>0</f>
        <v>0</v>
      </c>
      <c r="DC1987" s="5" t="s">
        <v>812</v>
      </c>
      <c r="DD1987" s="5" t="s">
        <v>240</v>
      </c>
      <c r="DF1987" s="5" t="s">
        <v>812</v>
      </c>
      <c r="DG1987" s="7">
        <f>1619</f>
        <v>1619</v>
      </c>
      <c r="DI1987" s="5" t="s">
        <v>240</v>
      </c>
      <c r="DJ1987" s="5" t="s">
        <v>240</v>
      </c>
      <c r="DK1987" s="5" t="s">
        <v>240</v>
      </c>
      <c r="DL1987" s="5" t="s">
        <v>240</v>
      </c>
      <c r="DP1987" s="5" t="s">
        <v>240</v>
      </c>
      <c r="DQ1987" s="5" t="s">
        <v>240</v>
      </c>
      <c r="DR1987" s="5" t="s">
        <v>240</v>
      </c>
      <c r="DS1987" s="5" t="s">
        <v>240</v>
      </c>
      <c r="DV1987" s="5" t="s">
        <v>813</v>
      </c>
      <c r="DW1987" s="5" t="s">
        <v>1100</v>
      </c>
      <c r="HO1987" s="5" t="s">
        <v>312</v>
      </c>
    </row>
    <row r="1988" spans="1:223" x14ac:dyDescent="0.4">
      <c r="A1988" s="5">
        <v>3692</v>
      </c>
      <c r="B1988" s="5">
        <v>1</v>
      </c>
      <c r="C1988" s="5">
        <v>1</v>
      </c>
      <c r="D1988" s="5" t="s">
        <v>810</v>
      </c>
      <c r="E1988" s="5" t="s">
        <v>245</v>
      </c>
      <c r="F1988" s="5" t="s">
        <v>254</v>
      </c>
      <c r="G1988" s="5" t="s">
        <v>240</v>
      </c>
      <c r="H1988" s="6" t="s">
        <v>4303</v>
      </c>
      <c r="I1988" s="5" t="s">
        <v>809</v>
      </c>
      <c r="J1988" s="8">
        <f>1437</f>
        <v>1437</v>
      </c>
      <c r="K1988" s="5" t="s">
        <v>308</v>
      </c>
      <c r="L1988" s="7">
        <f>1</f>
        <v>1</v>
      </c>
      <c r="M1988" s="7">
        <f>1</f>
        <v>1</v>
      </c>
      <c r="N1988" s="5" t="s">
        <v>242</v>
      </c>
      <c r="O1988" s="5">
        <v>1</v>
      </c>
      <c r="P1988" s="5" t="s">
        <v>294</v>
      </c>
      <c r="Q1988" s="5" t="s">
        <v>266</v>
      </c>
      <c r="R1988" s="5" t="s">
        <v>240</v>
      </c>
      <c r="S1988" s="5" t="s">
        <v>240</v>
      </c>
      <c r="T1988" s="5" t="s">
        <v>296</v>
      </c>
      <c r="U1988" s="5" t="s">
        <v>244</v>
      </c>
      <c r="V1988" s="5" t="s">
        <v>240</v>
      </c>
      <c r="Y1988" s="5" t="s">
        <v>240</v>
      </c>
      <c r="Z1988" s="6" t="s">
        <v>298</v>
      </c>
      <c r="AB1988" s="6" t="s">
        <v>240</v>
      </c>
      <c r="AE1988" s="6" t="s">
        <v>299</v>
      </c>
      <c r="AF1988" s="5" t="s">
        <v>248</v>
      </c>
      <c r="AG1988" s="5" t="s">
        <v>249</v>
      </c>
      <c r="AW1988" s="5" t="s">
        <v>251</v>
      </c>
      <c r="AX1988" s="5" t="s">
        <v>240</v>
      </c>
      <c r="AY1988" s="5" t="s">
        <v>253</v>
      </c>
      <c r="AZ1988" s="5" t="s">
        <v>240</v>
      </c>
      <c r="BA1988" s="5" t="s">
        <v>255</v>
      </c>
      <c r="BB1988" s="5" t="s">
        <v>240</v>
      </c>
      <c r="BD1988" s="5" t="s">
        <v>240</v>
      </c>
      <c r="BF1988" s="5" t="s">
        <v>301</v>
      </c>
      <c r="BG1988" s="6" t="s">
        <v>299</v>
      </c>
      <c r="BH1988" s="5" t="s">
        <v>302</v>
      </c>
      <c r="BI1988" s="5" t="s">
        <v>303</v>
      </c>
      <c r="BJ1988" s="5" t="s">
        <v>240</v>
      </c>
      <c r="BK1988" s="8">
        <f>0</f>
        <v>0</v>
      </c>
      <c r="BL1988" s="7">
        <f>0</f>
        <v>0</v>
      </c>
      <c r="BM1988" s="5" t="s">
        <v>258</v>
      </c>
      <c r="BN1988" s="5" t="s">
        <v>259</v>
      </c>
      <c r="CB1988" s="5" t="s">
        <v>240</v>
      </c>
      <c r="CC1988" s="5" t="s">
        <v>240</v>
      </c>
      <c r="CG1988" s="5" t="s">
        <v>304</v>
      </c>
      <c r="CH1988" s="5" t="s">
        <v>305</v>
      </c>
      <c r="CI1988" s="5" t="s">
        <v>240</v>
      </c>
      <c r="CL1988" s="6" t="s">
        <v>261</v>
      </c>
      <c r="CM1988" s="5" t="s">
        <v>240</v>
      </c>
      <c r="CN1988" s="5" t="s">
        <v>263</v>
      </c>
      <c r="CO1988" s="5" t="s">
        <v>240</v>
      </c>
      <c r="CP1988" s="5" t="s">
        <v>240</v>
      </c>
      <c r="CQ1988" s="5">
        <v>0</v>
      </c>
      <c r="CR1988" s="5" t="s">
        <v>306</v>
      </c>
      <c r="CS1988" s="5" t="s">
        <v>307</v>
      </c>
      <c r="CT1988" s="5" t="s">
        <v>307</v>
      </c>
      <c r="CU1988" s="5" t="s">
        <v>260</v>
      </c>
      <c r="CX1988" s="7">
        <f>1</f>
        <v>1</v>
      </c>
      <c r="CY1988" s="7">
        <f>0</f>
        <v>0</v>
      </c>
      <c r="DA1988" s="7">
        <f>0</f>
        <v>0</v>
      </c>
      <c r="DC1988" s="5" t="s">
        <v>812</v>
      </c>
      <c r="DD1988" s="5" t="s">
        <v>240</v>
      </c>
      <c r="DF1988" s="5" t="s">
        <v>812</v>
      </c>
      <c r="DG1988" s="7">
        <f>266</f>
        <v>266</v>
      </c>
      <c r="DI1988" s="5" t="s">
        <v>240</v>
      </c>
      <c r="DJ1988" s="5" t="s">
        <v>240</v>
      </c>
      <c r="DK1988" s="5" t="s">
        <v>240</v>
      </c>
      <c r="DL1988" s="5" t="s">
        <v>240</v>
      </c>
      <c r="DP1988" s="5" t="s">
        <v>240</v>
      </c>
      <c r="DQ1988" s="5" t="s">
        <v>240</v>
      </c>
      <c r="DR1988" s="5" t="s">
        <v>240</v>
      </c>
      <c r="DS1988" s="5" t="s">
        <v>240</v>
      </c>
      <c r="DV1988" s="5" t="s">
        <v>813</v>
      </c>
      <c r="DW1988" s="5" t="s">
        <v>1098</v>
      </c>
      <c r="HO1988" s="5" t="s">
        <v>312</v>
      </c>
    </row>
    <row r="1989" spans="1:223" x14ac:dyDescent="0.4">
      <c r="A1989" s="5">
        <v>3693</v>
      </c>
      <c r="B1989" s="5">
        <v>1</v>
      </c>
      <c r="C1989" s="5">
        <v>1</v>
      </c>
      <c r="D1989" s="5" t="s">
        <v>810</v>
      </c>
      <c r="E1989" s="5" t="s">
        <v>245</v>
      </c>
      <c r="F1989" s="5" t="s">
        <v>254</v>
      </c>
      <c r="G1989" s="5" t="s">
        <v>240</v>
      </c>
      <c r="H1989" s="6" t="s">
        <v>2069</v>
      </c>
      <c r="I1989" s="5" t="s">
        <v>809</v>
      </c>
      <c r="J1989" s="8">
        <f>506</f>
        <v>506</v>
      </c>
      <c r="K1989" s="5" t="s">
        <v>308</v>
      </c>
      <c r="L1989" s="7">
        <f>1</f>
        <v>1</v>
      </c>
      <c r="M1989" s="7">
        <f>1</f>
        <v>1</v>
      </c>
      <c r="N1989" s="5" t="s">
        <v>242</v>
      </c>
      <c r="O1989" s="5">
        <v>1</v>
      </c>
      <c r="P1989" s="5" t="s">
        <v>294</v>
      </c>
      <c r="Q1989" s="5" t="s">
        <v>266</v>
      </c>
      <c r="R1989" s="5" t="s">
        <v>240</v>
      </c>
      <c r="S1989" s="5" t="s">
        <v>240</v>
      </c>
      <c r="T1989" s="5" t="s">
        <v>296</v>
      </c>
      <c r="U1989" s="5" t="s">
        <v>244</v>
      </c>
      <c r="V1989" s="5" t="s">
        <v>240</v>
      </c>
      <c r="Y1989" s="5" t="s">
        <v>240</v>
      </c>
      <c r="Z1989" s="6" t="s">
        <v>298</v>
      </c>
      <c r="AB1989" s="6" t="s">
        <v>240</v>
      </c>
      <c r="AE1989" s="6" t="s">
        <v>299</v>
      </c>
      <c r="AF1989" s="5" t="s">
        <v>248</v>
      </c>
      <c r="AG1989" s="5" t="s">
        <v>249</v>
      </c>
      <c r="AW1989" s="5" t="s">
        <v>251</v>
      </c>
      <c r="AX1989" s="5" t="s">
        <v>240</v>
      </c>
      <c r="AY1989" s="5" t="s">
        <v>253</v>
      </c>
      <c r="AZ1989" s="5" t="s">
        <v>240</v>
      </c>
      <c r="BA1989" s="5" t="s">
        <v>255</v>
      </c>
      <c r="BB1989" s="5" t="s">
        <v>240</v>
      </c>
      <c r="BD1989" s="5" t="s">
        <v>240</v>
      </c>
      <c r="BF1989" s="5" t="s">
        <v>301</v>
      </c>
      <c r="BG1989" s="6" t="s">
        <v>299</v>
      </c>
      <c r="BH1989" s="5" t="s">
        <v>302</v>
      </c>
      <c r="BI1989" s="5" t="s">
        <v>303</v>
      </c>
      <c r="BJ1989" s="5" t="s">
        <v>240</v>
      </c>
      <c r="BK1989" s="8">
        <f>0</f>
        <v>0</v>
      </c>
      <c r="BL1989" s="7">
        <f>0</f>
        <v>0</v>
      </c>
      <c r="BM1989" s="5" t="s">
        <v>258</v>
      </c>
      <c r="BN1989" s="5" t="s">
        <v>259</v>
      </c>
      <c r="CB1989" s="5" t="s">
        <v>240</v>
      </c>
      <c r="CC1989" s="5" t="s">
        <v>240</v>
      </c>
      <c r="CG1989" s="5" t="s">
        <v>304</v>
      </c>
      <c r="CH1989" s="5" t="s">
        <v>305</v>
      </c>
      <c r="CI1989" s="5" t="s">
        <v>240</v>
      </c>
      <c r="CL1989" s="6" t="s">
        <v>261</v>
      </c>
      <c r="CM1989" s="5" t="s">
        <v>240</v>
      </c>
      <c r="CN1989" s="5" t="s">
        <v>263</v>
      </c>
      <c r="CO1989" s="5" t="s">
        <v>240</v>
      </c>
      <c r="CP1989" s="5" t="s">
        <v>240</v>
      </c>
      <c r="CQ1989" s="5">
        <v>0</v>
      </c>
      <c r="CR1989" s="5" t="s">
        <v>306</v>
      </c>
      <c r="CS1989" s="5" t="s">
        <v>307</v>
      </c>
      <c r="CT1989" s="5" t="s">
        <v>307</v>
      </c>
      <c r="CU1989" s="5" t="s">
        <v>260</v>
      </c>
      <c r="CX1989" s="7">
        <f>1</f>
        <v>1</v>
      </c>
      <c r="CY1989" s="7">
        <f>0</f>
        <v>0</v>
      </c>
      <c r="DA1989" s="7">
        <f>0</f>
        <v>0</v>
      </c>
      <c r="DC1989" s="5" t="s">
        <v>812</v>
      </c>
      <c r="DD1989" s="5" t="s">
        <v>240</v>
      </c>
      <c r="DF1989" s="5" t="s">
        <v>812</v>
      </c>
      <c r="DG1989" s="7">
        <f>1576</f>
        <v>1576</v>
      </c>
      <c r="DI1989" s="5" t="s">
        <v>240</v>
      </c>
      <c r="DJ1989" s="5" t="s">
        <v>240</v>
      </c>
      <c r="DK1989" s="5" t="s">
        <v>240</v>
      </c>
      <c r="DL1989" s="5" t="s">
        <v>240</v>
      </c>
      <c r="DP1989" s="5" t="s">
        <v>240</v>
      </c>
      <c r="DQ1989" s="5" t="s">
        <v>240</v>
      </c>
      <c r="DR1989" s="5" t="s">
        <v>240</v>
      </c>
      <c r="DS1989" s="5" t="s">
        <v>240</v>
      </c>
      <c r="DV1989" s="5" t="s">
        <v>813</v>
      </c>
      <c r="DW1989" s="5" t="s">
        <v>1096</v>
      </c>
      <c r="HO1989" s="5" t="s">
        <v>312</v>
      </c>
    </row>
    <row r="1990" spans="1:223" x14ac:dyDescent="0.4">
      <c r="A1990" s="5">
        <v>3694</v>
      </c>
      <c r="B1990" s="5">
        <v>1</v>
      </c>
      <c r="C1990" s="5">
        <v>1</v>
      </c>
      <c r="D1990" s="5" t="s">
        <v>810</v>
      </c>
      <c r="E1990" s="5" t="s">
        <v>245</v>
      </c>
      <c r="F1990" s="5" t="s">
        <v>254</v>
      </c>
      <c r="G1990" s="5" t="s">
        <v>240</v>
      </c>
      <c r="H1990" s="6" t="s">
        <v>4302</v>
      </c>
      <c r="I1990" s="5" t="s">
        <v>809</v>
      </c>
      <c r="J1990" s="8">
        <f>164</f>
        <v>164</v>
      </c>
      <c r="K1990" s="5" t="s">
        <v>308</v>
      </c>
      <c r="L1990" s="7">
        <f>1</f>
        <v>1</v>
      </c>
      <c r="M1990" s="7">
        <f>1</f>
        <v>1</v>
      </c>
      <c r="N1990" s="5" t="s">
        <v>242</v>
      </c>
      <c r="O1990" s="5">
        <v>1</v>
      </c>
      <c r="P1990" s="5" t="s">
        <v>294</v>
      </c>
      <c r="Q1990" s="5" t="s">
        <v>266</v>
      </c>
      <c r="R1990" s="5" t="s">
        <v>240</v>
      </c>
      <c r="S1990" s="5" t="s">
        <v>240</v>
      </c>
      <c r="T1990" s="5" t="s">
        <v>243</v>
      </c>
      <c r="U1990" s="5" t="s">
        <v>240</v>
      </c>
      <c r="V1990" s="5" t="s">
        <v>240</v>
      </c>
      <c r="Y1990" s="5" t="s">
        <v>240</v>
      </c>
      <c r="Z1990" s="6" t="s">
        <v>483</v>
      </c>
      <c r="AB1990" s="6" t="s">
        <v>240</v>
      </c>
      <c r="AE1990" s="6" t="s">
        <v>1855</v>
      </c>
      <c r="AF1990" s="5" t="s">
        <v>248</v>
      </c>
      <c r="AG1990" s="5" t="s">
        <v>260</v>
      </c>
      <c r="AW1990" s="5" t="s">
        <v>251</v>
      </c>
      <c r="AX1990" s="5" t="s">
        <v>240</v>
      </c>
      <c r="AY1990" s="5" t="s">
        <v>253</v>
      </c>
      <c r="AZ1990" s="5" t="s">
        <v>240</v>
      </c>
      <c r="BA1990" s="5" t="s">
        <v>255</v>
      </c>
      <c r="BB1990" s="5" t="s">
        <v>240</v>
      </c>
      <c r="BD1990" s="5" t="s">
        <v>240</v>
      </c>
      <c r="BF1990" s="5" t="s">
        <v>447</v>
      </c>
      <c r="BG1990" s="6" t="s">
        <v>483</v>
      </c>
      <c r="BH1990" s="5" t="s">
        <v>302</v>
      </c>
      <c r="BI1990" s="5" t="s">
        <v>448</v>
      </c>
      <c r="BJ1990" s="5" t="s">
        <v>240</v>
      </c>
      <c r="BK1990" s="8">
        <f>0</f>
        <v>0</v>
      </c>
      <c r="BL1990" s="7">
        <f>0</f>
        <v>0</v>
      </c>
      <c r="BM1990" s="5" t="s">
        <v>258</v>
      </c>
      <c r="BN1990" s="5" t="s">
        <v>259</v>
      </c>
      <c r="CB1990" s="5" t="s">
        <v>240</v>
      </c>
      <c r="CC1990" s="5" t="s">
        <v>240</v>
      </c>
      <c r="CG1990" s="5" t="s">
        <v>449</v>
      </c>
      <c r="CH1990" s="5" t="s">
        <v>305</v>
      </c>
      <c r="CI1990" s="5" t="s">
        <v>240</v>
      </c>
      <c r="CL1990" s="6" t="s">
        <v>261</v>
      </c>
      <c r="CM1990" s="5" t="s">
        <v>240</v>
      </c>
      <c r="CN1990" s="5" t="s">
        <v>263</v>
      </c>
      <c r="CO1990" s="5" t="s">
        <v>240</v>
      </c>
      <c r="CP1990" s="5" t="s">
        <v>240</v>
      </c>
      <c r="CQ1990" s="5">
        <v>0</v>
      </c>
      <c r="CR1990" s="5" t="s">
        <v>306</v>
      </c>
      <c r="CS1990" s="5" t="s">
        <v>307</v>
      </c>
      <c r="CT1990" s="5" t="s">
        <v>307</v>
      </c>
      <c r="CU1990" s="5" t="s">
        <v>260</v>
      </c>
      <c r="CX1990" s="7">
        <f>3766773</f>
        <v>3766773</v>
      </c>
      <c r="CY1990" s="7">
        <f>0</f>
        <v>0</v>
      </c>
      <c r="DA1990" s="7">
        <f>0</f>
        <v>0</v>
      </c>
      <c r="DC1990" s="5" t="s">
        <v>450</v>
      </c>
      <c r="DD1990" s="5" t="s">
        <v>240</v>
      </c>
      <c r="DF1990" s="5" t="s">
        <v>450</v>
      </c>
      <c r="DG1990" s="7">
        <f>0</f>
        <v>0</v>
      </c>
      <c r="DI1990" s="5" t="s">
        <v>240</v>
      </c>
      <c r="DJ1990" s="5" t="s">
        <v>240</v>
      </c>
      <c r="DK1990" s="5" t="s">
        <v>240</v>
      </c>
      <c r="DL1990" s="5" t="s">
        <v>240</v>
      </c>
      <c r="DP1990" s="5" t="s">
        <v>240</v>
      </c>
      <c r="DQ1990" s="5" t="s">
        <v>240</v>
      </c>
      <c r="DR1990" s="5" t="s">
        <v>240</v>
      </c>
      <c r="DS1990" s="5" t="s">
        <v>240</v>
      </c>
      <c r="DV1990" s="5" t="s">
        <v>310</v>
      </c>
      <c r="DW1990" s="5" t="s">
        <v>2469</v>
      </c>
      <c r="HO1990" s="5" t="s">
        <v>312</v>
      </c>
    </row>
    <row r="1991" spans="1:223" x14ac:dyDescent="0.4">
      <c r="A1991" s="5">
        <v>3695</v>
      </c>
      <c r="B1991" s="5">
        <v>1</v>
      </c>
      <c r="C1991" s="5">
        <v>1</v>
      </c>
      <c r="D1991" s="5" t="s">
        <v>810</v>
      </c>
      <c r="E1991" s="5" t="s">
        <v>245</v>
      </c>
      <c r="F1991" s="5" t="s">
        <v>254</v>
      </c>
      <c r="G1991" s="5" t="s">
        <v>240</v>
      </c>
      <c r="H1991" s="6" t="s">
        <v>4301</v>
      </c>
      <c r="I1991" s="5" t="s">
        <v>809</v>
      </c>
      <c r="J1991" s="8">
        <f>1256</f>
        <v>1256</v>
      </c>
      <c r="K1991" s="5" t="s">
        <v>308</v>
      </c>
      <c r="L1991" s="7">
        <f>1</f>
        <v>1</v>
      </c>
      <c r="M1991" s="7">
        <f>1</f>
        <v>1</v>
      </c>
      <c r="N1991" s="5" t="s">
        <v>242</v>
      </c>
      <c r="O1991" s="5">
        <v>1</v>
      </c>
      <c r="P1991" s="5" t="s">
        <v>294</v>
      </c>
      <c r="Q1991" s="5" t="s">
        <v>266</v>
      </c>
      <c r="R1991" s="5" t="s">
        <v>240</v>
      </c>
      <c r="S1991" s="5" t="s">
        <v>240</v>
      </c>
      <c r="T1991" s="5" t="s">
        <v>296</v>
      </c>
      <c r="U1991" s="5" t="s">
        <v>244</v>
      </c>
      <c r="V1991" s="5" t="s">
        <v>240</v>
      </c>
      <c r="Y1991" s="5" t="s">
        <v>240</v>
      </c>
      <c r="Z1991" s="6" t="s">
        <v>298</v>
      </c>
      <c r="AB1991" s="6" t="s">
        <v>240</v>
      </c>
      <c r="AE1991" s="6" t="s">
        <v>299</v>
      </c>
      <c r="AF1991" s="5" t="s">
        <v>248</v>
      </c>
      <c r="AG1991" s="5" t="s">
        <v>249</v>
      </c>
      <c r="AW1991" s="5" t="s">
        <v>251</v>
      </c>
      <c r="AX1991" s="5" t="s">
        <v>240</v>
      </c>
      <c r="AY1991" s="5" t="s">
        <v>253</v>
      </c>
      <c r="AZ1991" s="5" t="s">
        <v>240</v>
      </c>
      <c r="BA1991" s="5" t="s">
        <v>255</v>
      </c>
      <c r="BB1991" s="5" t="s">
        <v>240</v>
      </c>
      <c r="BD1991" s="5" t="s">
        <v>240</v>
      </c>
      <c r="BF1991" s="5" t="s">
        <v>301</v>
      </c>
      <c r="BG1991" s="6" t="s">
        <v>299</v>
      </c>
      <c r="BH1991" s="5" t="s">
        <v>302</v>
      </c>
      <c r="BI1991" s="5" t="s">
        <v>303</v>
      </c>
      <c r="BJ1991" s="5" t="s">
        <v>240</v>
      </c>
      <c r="BK1991" s="8">
        <f>0</f>
        <v>0</v>
      </c>
      <c r="BL1991" s="7">
        <f>0</f>
        <v>0</v>
      </c>
      <c r="BM1991" s="5" t="s">
        <v>258</v>
      </c>
      <c r="BN1991" s="5" t="s">
        <v>259</v>
      </c>
      <c r="CB1991" s="5" t="s">
        <v>240</v>
      </c>
      <c r="CC1991" s="5" t="s">
        <v>240</v>
      </c>
      <c r="CG1991" s="5" t="s">
        <v>304</v>
      </c>
      <c r="CH1991" s="5" t="s">
        <v>305</v>
      </c>
      <c r="CI1991" s="5" t="s">
        <v>240</v>
      </c>
      <c r="CL1991" s="6" t="s">
        <v>261</v>
      </c>
      <c r="CM1991" s="5" t="s">
        <v>240</v>
      </c>
      <c r="CN1991" s="5" t="s">
        <v>263</v>
      </c>
      <c r="CO1991" s="5" t="s">
        <v>240</v>
      </c>
      <c r="CP1991" s="5" t="s">
        <v>240</v>
      </c>
      <c r="CQ1991" s="5">
        <v>0</v>
      </c>
      <c r="CR1991" s="5" t="s">
        <v>306</v>
      </c>
      <c r="CS1991" s="5" t="s">
        <v>307</v>
      </c>
      <c r="CT1991" s="5" t="s">
        <v>307</v>
      </c>
      <c r="CU1991" s="5" t="s">
        <v>260</v>
      </c>
      <c r="CX1991" s="7">
        <f>1</f>
        <v>1</v>
      </c>
      <c r="CY1991" s="7">
        <f>0</f>
        <v>0</v>
      </c>
      <c r="DA1991" s="7">
        <f>0</f>
        <v>0</v>
      </c>
      <c r="DC1991" s="5" t="s">
        <v>812</v>
      </c>
      <c r="DD1991" s="5" t="s">
        <v>240</v>
      </c>
      <c r="DF1991" s="5" t="s">
        <v>812</v>
      </c>
      <c r="DG1991" s="7">
        <f>517</f>
        <v>517</v>
      </c>
      <c r="DI1991" s="5" t="s">
        <v>240</v>
      </c>
      <c r="DJ1991" s="5" t="s">
        <v>240</v>
      </c>
      <c r="DK1991" s="5" t="s">
        <v>240</v>
      </c>
      <c r="DL1991" s="5" t="s">
        <v>240</v>
      </c>
      <c r="DP1991" s="5" t="s">
        <v>240</v>
      </c>
      <c r="DQ1991" s="5" t="s">
        <v>240</v>
      </c>
      <c r="DR1991" s="5" t="s">
        <v>240</v>
      </c>
      <c r="DS1991" s="5" t="s">
        <v>240</v>
      </c>
      <c r="DV1991" s="5" t="s">
        <v>813</v>
      </c>
      <c r="DW1991" s="5" t="s">
        <v>1092</v>
      </c>
      <c r="HO1991" s="5" t="s">
        <v>312</v>
      </c>
    </row>
    <row r="1992" spans="1:223" x14ac:dyDescent="0.4">
      <c r="A1992" s="5">
        <v>3696</v>
      </c>
      <c r="B1992" s="5">
        <v>1</v>
      </c>
      <c r="C1992" s="5">
        <v>1</v>
      </c>
      <c r="D1992" s="5" t="s">
        <v>810</v>
      </c>
      <c r="E1992" s="5" t="s">
        <v>245</v>
      </c>
      <c r="F1992" s="5" t="s">
        <v>254</v>
      </c>
      <c r="G1992" s="5" t="s">
        <v>240</v>
      </c>
      <c r="H1992" s="6" t="s">
        <v>4300</v>
      </c>
      <c r="I1992" s="5" t="s">
        <v>809</v>
      </c>
      <c r="J1992" s="8">
        <f>413</f>
        <v>413</v>
      </c>
      <c r="K1992" s="5" t="s">
        <v>308</v>
      </c>
      <c r="L1992" s="7">
        <f>1</f>
        <v>1</v>
      </c>
      <c r="M1992" s="7">
        <f>1</f>
        <v>1</v>
      </c>
      <c r="N1992" s="5" t="s">
        <v>242</v>
      </c>
      <c r="O1992" s="5">
        <v>1</v>
      </c>
      <c r="P1992" s="5" t="s">
        <v>294</v>
      </c>
      <c r="Q1992" s="5" t="s">
        <v>266</v>
      </c>
      <c r="R1992" s="5" t="s">
        <v>240</v>
      </c>
      <c r="S1992" s="5" t="s">
        <v>240</v>
      </c>
      <c r="T1992" s="5" t="s">
        <v>296</v>
      </c>
      <c r="U1992" s="5" t="s">
        <v>244</v>
      </c>
      <c r="V1992" s="5" t="s">
        <v>240</v>
      </c>
      <c r="Y1992" s="5" t="s">
        <v>240</v>
      </c>
      <c r="Z1992" s="6" t="s">
        <v>298</v>
      </c>
      <c r="AB1992" s="6" t="s">
        <v>240</v>
      </c>
      <c r="AE1992" s="6" t="s">
        <v>299</v>
      </c>
      <c r="AF1992" s="5" t="s">
        <v>248</v>
      </c>
      <c r="AG1992" s="5" t="s">
        <v>249</v>
      </c>
      <c r="AW1992" s="5" t="s">
        <v>251</v>
      </c>
      <c r="AX1992" s="5" t="s">
        <v>240</v>
      </c>
      <c r="AY1992" s="5" t="s">
        <v>253</v>
      </c>
      <c r="AZ1992" s="5" t="s">
        <v>240</v>
      </c>
      <c r="BA1992" s="5" t="s">
        <v>255</v>
      </c>
      <c r="BB1992" s="5" t="s">
        <v>240</v>
      </c>
      <c r="BD1992" s="5" t="s">
        <v>240</v>
      </c>
      <c r="BF1992" s="5" t="s">
        <v>301</v>
      </c>
      <c r="BG1992" s="6" t="s">
        <v>299</v>
      </c>
      <c r="BH1992" s="5" t="s">
        <v>302</v>
      </c>
      <c r="BI1992" s="5" t="s">
        <v>303</v>
      </c>
      <c r="BJ1992" s="5" t="s">
        <v>240</v>
      </c>
      <c r="BK1992" s="8">
        <f>0</f>
        <v>0</v>
      </c>
      <c r="BL1992" s="7">
        <f>0</f>
        <v>0</v>
      </c>
      <c r="BM1992" s="5" t="s">
        <v>258</v>
      </c>
      <c r="BN1992" s="5" t="s">
        <v>259</v>
      </c>
      <c r="CB1992" s="5" t="s">
        <v>240</v>
      </c>
      <c r="CC1992" s="5" t="s">
        <v>240</v>
      </c>
      <c r="CG1992" s="5" t="s">
        <v>304</v>
      </c>
      <c r="CH1992" s="5" t="s">
        <v>305</v>
      </c>
      <c r="CI1992" s="5" t="s">
        <v>240</v>
      </c>
      <c r="CL1992" s="6" t="s">
        <v>261</v>
      </c>
      <c r="CM1992" s="5" t="s">
        <v>240</v>
      </c>
      <c r="CN1992" s="5" t="s">
        <v>263</v>
      </c>
      <c r="CO1992" s="5" t="s">
        <v>240</v>
      </c>
      <c r="CP1992" s="5" t="s">
        <v>240</v>
      </c>
      <c r="CQ1992" s="5">
        <v>0</v>
      </c>
      <c r="CR1992" s="5" t="s">
        <v>306</v>
      </c>
      <c r="CS1992" s="5" t="s">
        <v>307</v>
      </c>
      <c r="CT1992" s="5" t="s">
        <v>307</v>
      </c>
      <c r="CU1992" s="5" t="s">
        <v>260</v>
      </c>
      <c r="CX1992" s="7">
        <f>1</f>
        <v>1</v>
      </c>
      <c r="CY1992" s="7">
        <f>0</f>
        <v>0</v>
      </c>
      <c r="DA1992" s="7">
        <f>0</f>
        <v>0</v>
      </c>
      <c r="DC1992" s="5" t="s">
        <v>812</v>
      </c>
      <c r="DD1992" s="5" t="s">
        <v>240</v>
      </c>
      <c r="DF1992" s="5" t="s">
        <v>812</v>
      </c>
      <c r="DG1992" s="7">
        <f>825</f>
        <v>825</v>
      </c>
      <c r="DI1992" s="5" t="s">
        <v>240</v>
      </c>
      <c r="DJ1992" s="5" t="s">
        <v>240</v>
      </c>
      <c r="DK1992" s="5" t="s">
        <v>240</v>
      </c>
      <c r="DL1992" s="5" t="s">
        <v>240</v>
      </c>
      <c r="DP1992" s="5" t="s">
        <v>240</v>
      </c>
      <c r="DQ1992" s="5" t="s">
        <v>240</v>
      </c>
      <c r="DR1992" s="5" t="s">
        <v>240</v>
      </c>
      <c r="DS1992" s="5" t="s">
        <v>240</v>
      </c>
      <c r="DV1992" s="5" t="s">
        <v>813</v>
      </c>
      <c r="DW1992" s="5" t="s">
        <v>1090</v>
      </c>
      <c r="HO1992" s="5" t="s">
        <v>312</v>
      </c>
    </row>
    <row r="1993" spans="1:223" x14ac:dyDescent="0.4">
      <c r="A1993" s="5">
        <v>3697</v>
      </c>
      <c r="B1993" s="5">
        <v>1</v>
      </c>
      <c r="C1993" s="5">
        <v>1</v>
      </c>
      <c r="D1993" s="5" t="s">
        <v>810</v>
      </c>
      <c r="E1993" s="5" t="s">
        <v>245</v>
      </c>
      <c r="F1993" s="5" t="s">
        <v>254</v>
      </c>
      <c r="G1993" s="5" t="s">
        <v>240</v>
      </c>
      <c r="H1993" s="6" t="s">
        <v>4299</v>
      </c>
      <c r="I1993" s="5" t="s">
        <v>809</v>
      </c>
      <c r="J1993" s="8">
        <f>762</f>
        <v>762</v>
      </c>
      <c r="K1993" s="5" t="s">
        <v>308</v>
      </c>
      <c r="L1993" s="7">
        <f>1</f>
        <v>1</v>
      </c>
      <c r="M1993" s="7">
        <f>1</f>
        <v>1</v>
      </c>
      <c r="N1993" s="5" t="s">
        <v>242</v>
      </c>
      <c r="O1993" s="5">
        <v>1</v>
      </c>
      <c r="P1993" s="5" t="s">
        <v>294</v>
      </c>
      <c r="Q1993" s="5" t="s">
        <v>266</v>
      </c>
      <c r="R1993" s="5" t="s">
        <v>240</v>
      </c>
      <c r="S1993" s="5" t="s">
        <v>240</v>
      </c>
      <c r="T1993" s="5" t="s">
        <v>296</v>
      </c>
      <c r="U1993" s="5" t="s">
        <v>244</v>
      </c>
      <c r="V1993" s="5" t="s">
        <v>240</v>
      </c>
      <c r="Y1993" s="5" t="s">
        <v>240</v>
      </c>
      <c r="Z1993" s="6" t="s">
        <v>298</v>
      </c>
      <c r="AB1993" s="6" t="s">
        <v>240</v>
      </c>
      <c r="AE1993" s="6" t="s">
        <v>299</v>
      </c>
      <c r="AF1993" s="5" t="s">
        <v>248</v>
      </c>
      <c r="AG1993" s="5" t="s">
        <v>249</v>
      </c>
      <c r="AW1993" s="5" t="s">
        <v>251</v>
      </c>
      <c r="AX1993" s="5" t="s">
        <v>240</v>
      </c>
      <c r="AY1993" s="5" t="s">
        <v>253</v>
      </c>
      <c r="AZ1993" s="5" t="s">
        <v>240</v>
      </c>
      <c r="BA1993" s="5" t="s">
        <v>255</v>
      </c>
      <c r="BB1993" s="5" t="s">
        <v>240</v>
      </c>
      <c r="BD1993" s="5" t="s">
        <v>240</v>
      </c>
      <c r="BF1993" s="5" t="s">
        <v>301</v>
      </c>
      <c r="BG1993" s="6" t="s">
        <v>299</v>
      </c>
      <c r="BH1993" s="5" t="s">
        <v>302</v>
      </c>
      <c r="BI1993" s="5" t="s">
        <v>303</v>
      </c>
      <c r="BJ1993" s="5" t="s">
        <v>240</v>
      </c>
      <c r="BK1993" s="8">
        <f>0</f>
        <v>0</v>
      </c>
      <c r="BL1993" s="7">
        <f>0</f>
        <v>0</v>
      </c>
      <c r="BM1993" s="5" t="s">
        <v>258</v>
      </c>
      <c r="BN1993" s="5" t="s">
        <v>259</v>
      </c>
      <c r="CB1993" s="5" t="s">
        <v>240</v>
      </c>
      <c r="CC1993" s="5" t="s">
        <v>240</v>
      </c>
      <c r="CG1993" s="5" t="s">
        <v>304</v>
      </c>
      <c r="CH1993" s="5" t="s">
        <v>305</v>
      </c>
      <c r="CI1993" s="5" t="s">
        <v>240</v>
      </c>
      <c r="CL1993" s="6" t="s">
        <v>261</v>
      </c>
      <c r="CM1993" s="5" t="s">
        <v>240</v>
      </c>
      <c r="CN1993" s="5" t="s">
        <v>263</v>
      </c>
      <c r="CO1993" s="5" t="s">
        <v>240</v>
      </c>
      <c r="CP1993" s="5" t="s">
        <v>240</v>
      </c>
      <c r="CQ1993" s="5">
        <v>0</v>
      </c>
      <c r="CR1993" s="5" t="s">
        <v>306</v>
      </c>
      <c r="CS1993" s="5" t="s">
        <v>307</v>
      </c>
      <c r="CT1993" s="5" t="s">
        <v>307</v>
      </c>
      <c r="CU1993" s="5" t="s">
        <v>260</v>
      </c>
      <c r="CX1993" s="7">
        <f>1</f>
        <v>1</v>
      </c>
      <c r="CY1993" s="7">
        <f>0</f>
        <v>0</v>
      </c>
      <c r="DA1993" s="7">
        <f>0</f>
        <v>0</v>
      </c>
      <c r="DC1993" s="5" t="s">
        <v>812</v>
      </c>
      <c r="DD1993" s="5" t="s">
        <v>240</v>
      </c>
      <c r="DF1993" s="5" t="s">
        <v>812</v>
      </c>
      <c r="DG1993" s="7">
        <f>1309</f>
        <v>1309</v>
      </c>
      <c r="DI1993" s="5" t="s">
        <v>240</v>
      </c>
      <c r="DJ1993" s="5" t="s">
        <v>240</v>
      </c>
      <c r="DK1993" s="5" t="s">
        <v>240</v>
      </c>
      <c r="DL1993" s="5" t="s">
        <v>240</v>
      </c>
      <c r="DP1993" s="5" t="s">
        <v>240</v>
      </c>
      <c r="DQ1993" s="5" t="s">
        <v>240</v>
      </c>
      <c r="DR1993" s="5" t="s">
        <v>240</v>
      </c>
      <c r="DS1993" s="5" t="s">
        <v>240</v>
      </c>
      <c r="DV1993" s="5" t="s">
        <v>813</v>
      </c>
      <c r="DW1993" s="5" t="s">
        <v>1088</v>
      </c>
      <c r="HO1993" s="5" t="s">
        <v>312</v>
      </c>
    </row>
    <row r="1994" spans="1:223" x14ac:dyDescent="0.4">
      <c r="A1994" s="5">
        <v>3698</v>
      </c>
      <c r="B1994" s="5">
        <v>1</v>
      </c>
      <c r="C1994" s="5">
        <v>1</v>
      </c>
      <c r="D1994" s="5" t="s">
        <v>810</v>
      </c>
      <c r="E1994" s="5" t="s">
        <v>245</v>
      </c>
      <c r="F1994" s="5" t="s">
        <v>254</v>
      </c>
      <c r="G1994" s="5" t="s">
        <v>240</v>
      </c>
      <c r="H1994" s="6" t="s">
        <v>4298</v>
      </c>
      <c r="I1994" s="5" t="s">
        <v>809</v>
      </c>
      <c r="J1994" s="8">
        <f>1215</f>
        <v>1215</v>
      </c>
      <c r="K1994" s="5" t="s">
        <v>308</v>
      </c>
      <c r="L1994" s="7">
        <f>1</f>
        <v>1</v>
      </c>
      <c r="M1994" s="7">
        <f>1</f>
        <v>1</v>
      </c>
      <c r="N1994" s="5" t="s">
        <v>242</v>
      </c>
      <c r="O1994" s="5">
        <v>1</v>
      </c>
      <c r="P1994" s="5" t="s">
        <v>294</v>
      </c>
      <c r="Q1994" s="5" t="s">
        <v>266</v>
      </c>
      <c r="R1994" s="5" t="s">
        <v>240</v>
      </c>
      <c r="S1994" s="5" t="s">
        <v>240</v>
      </c>
      <c r="T1994" s="5" t="s">
        <v>296</v>
      </c>
      <c r="U1994" s="5" t="s">
        <v>244</v>
      </c>
      <c r="V1994" s="5" t="s">
        <v>240</v>
      </c>
      <c r="Y1994" s="5" t="s">
        <v>240</v>
      </c>
      <c r="Z1994" s="6" t="s">
        <v>298</v>
      </c>
      <c r="AB1994" s="6" t="s">
        <v>240</v>
      </c>
      <c r="AE1994" s="6" t="s">
        <v>299</v>
      </c>
      <c r="AF1994" s="5" t="s">
        <v>248</v>
      </c>
      <c r="AG1994" s="5" t="s">
        <v>249</v>
      </c>
      <c r="AW1994" s="5" t="s">
        <v>251</v>
      </c>
      <c r="AX1994" s="5" t="s">
        <v>240</v>
      </c>
      <c r="AY1994" s="5" t="s">
        <v>253</v>
      </c>
      <c r="AZ1994" s="5" t="s">
        <v>240</v>
      </c>
      <c r="BA1994" s="5" t="s">
        <v>255</v>
      </c>
      <c r="BB1994" s="5" t="s">
        <v>240</v>
      </c>
      <c r="BD1994" s="5" t="s">
        <v>240</v>
      </c>
      <c r="BF1994" s="5" t="s">
        <v>301</v>
      </c>
      <c r="BG1994" s="6" t="s">
        <v>299</v>
      </c>
      <c r="BH1994" s="5" t="s">
        <v>302</v>
      </c>
      <c r="BI1994" s="5" t="s">
        <v>303</v>
      </c>
      <c r="BJ1994" s="5" t="s">
        <v>240</v>
      </c>
      <c r="BK1994" s="8">
        <f>0</f>
        <v>0</v>
      </c>
      <c r="BL1994" s="7">
        <f>0</f>
        <v>0</v>
      </c>
      <c r="BM1994" s="5" t="s">
        <v>258</v>
      </c>
      <c r="BN1994" s="5" t="s">
        <v>259</v>
      </c>
      <c r="CB1994" s="5" t="s">
        <v>240</v>
      </c>
      <c r="CC1994" s="5" t="s">
        <v>240</v>
      </c>
      <c r="CG1994" s="5" t="s">
        <v>304</v>
      </c>
      <c r="CH1994" s="5" t="s">
        <v>305</v>
      </c>
      <c r="CI1994" s="5" t="s">
        <v>240</v>
      </c>
      <c r="CL1994" s="6" t="s">
        <v>261</v>
      </c>
      <c r="CM1994" s="5" t="s">
        <v>240</v>
      </c>
      <c r="CN1994" s="5" t="s">
        <v>263</v>
      </c>
      <c r="CO1994" s="5" t="s">
        <v>240</v>
      </c>
      <c r="CP1994" s="5" t="s">
        <v>240</v>
      </c>
      <c r="CQ1994" s="5">
        <v>0</v>
      </c>
      <c r="CR1994" s="5" t="s">
        <v>306</v>
      </c>
      <c r="CS1994" s="5" t="s">
        <v>307</v>
      </c>
      <c r="CT1994" s="5" t="s">
        <v>307</v>
      </c>
      <c r="CU1994" s="5" t="s">
        <v>260</v>
      </c>
      <c r="CX1994" s="7">
        <f>1</f>
        <v>1</v>
      </c>
      <c r="CY1994" s="7">
        <f>0</f>
        <v>0</v>
      </c>
      <c r="DA1994" s="7">
        <f>0</f>
        <v>0</v>
      </c>
      <c r="DC1994" s="5" t="s">
        <v>812</v>
      </c>
      <c r="DD1994" s="5" t="s">
        <v>240</v>
      </c>
      <c r="DF1994" s="5" t="s">
        <v>812</v>
      </c>
      <c r="DG1994" s="7">
        <f>78</f>
        <v>78</v>
      </c>
      <c r="DI1994" s="5" t="s">
        <v>240</v>
      </c>
      <c r="DJ1994" s="5" t="s">
        <v>240</v>
      </c>
      <c r="DK1994" s="5" t="s">
        <v>240</v>
      </c>
      <c r="DL1994" s="5" t="s">
        <v>240</v>
      </c>
      <c r="DP1994" s="5" t="s">
        <v>240</v>
      </c>
      <c r="DQ1994" s="5" t="s">
        <v>240</v>
      </c>
      <c r="DR1994" s="5" t="s">
        <v>240</v>
      </c>
      <c r="DS1994" s="5" t="s">
        <v>240</v>
      </c>
      <c r="DV1994" s="5" t="s">
        <v>813</v>
      </c>
      <c r="DW1994" s="5" t="s">
        <v>1086</v>
      </c>
      <c r="HO1994" s="5" t="s">
        <v>312</v>
      </c>
    </row>
    <row r="1995" spans="1:223" x14ac:dyDescent="0.4">
      <c r="A1995" s="5">
        <v>3699</v>
      </c>
      <c r="B1995" s="5">
        <v>1</v>
      </c>
      <c r="C1995" s="5">
        <v>1</v>
      </c>
      <c r="D1995" s="5" t="s">
        <v>810</v>
      </c>
      <c r="E1995" s="5" t="s">
        <v>245</v>
      </c>
      <c r="F1995" s="5" t="s">
        <v>254</v>
      </c>
      <c r="G1995" s="5" t="s">
        <v>240</v>
      </c>
      <c r="H1995" s="6" t="s">
        <v>4297</v>
      </c>
      <c r="I1995" s="5" t="s">
        <v>809</v>
      </c>
      <c r="J1995" s="8">
        <f>892</f>
        <v>892</v>
      </c>
      <c r="K1995" s="5" t="s">
        <v>308</v>
      </c>
      <c r="L1995" s="7">
        <f>1</f>
        <v>1</v>
      </c>
      <c r="M1995" s="7">
        <f>1</f>
        <v>1</v>
      </c>
      <c r="N1995" s="5" t="s">
        <v>242</v>
      </c>
      <c r="O1995" s="5">
        <v>1</v>
      </c>
      <c r="P1995" s="5" t="s">
        <v>294</v>
      </c>
      <c r="Q1995" s="5" t="s">
        <v>266</v>
      </c>
      <c r="R1995" s="5" t="s">
        <v>240</v>
      </c>
      <c r="S1995" s="5" t="s">
        <v>240</v>
      </c>
      <c r="T1995" s="5" t="s">
        <v>296</v>
      </c>
      <c r="U1995" s="5" t="s">
        <v>244</v>
      </c>
      <c r="V1995" s="5" t="s">
        <v>240</v>
      </c>
      <c r="Y1995" s="5" t="s">
        <v>240</v>
      </c>
      <c r="Z1995" s="6" t="s">
        <v>298</v>
      </c>
      <c r="AB1995" s="6" t="s">
        <v>240</v>
      </c>
      <c r="AE1995" s="6" t="s">
        <v>299</v>
      </c>
      <c r="AF1995" s="5" t="s">
        <v>248</v>
      </c>
      <c r="AG1995" s="5" t="s">
        <v>249</v>
      </c>
      <c r="AW1995" s="5" t="s">
        <v>251</v>
      </c>
      <c r="AX1995" s="5" t="s">
        <v>240</v>
      </c>
      <c r="AY1995" s="5" t="s">
        <v>253</v>
      </c>
      <c r="AZ1995" s="5" t="s">
        <v>240</v>
      </c>
      <c r="BA1995" s="5" t="s">
        <v>255</v>
      </c>
      <c r="BB1995" s="5" t="s">
        <v>240</v>
      </c>
      <c r="BD1995" s="5" t="s">
        <v>240</v>
      </c>
      <c r="BF1995" s="5" t="s">
        <v>301</v>
      </c>
      <c r="BG1995" s="6" t="s">
        <v>299</v>
      </c>
      <c r="BH1995" s="5" t="s">
        <v>302</v>
      </c>
      <c r="BI1995" s="5" t="s">
        <v>303</v>
      </c>
      <c r="BJ1995" s="5" t="s">
        <v>240</v>
      </c>
      <c r="BK1995" s="8">
        <f>0</f>
        <v>0</v>
      </c>
      <c r="BL1995" s="7">
        <f>0</f>
        <v>0</v>
      </c>
      <c r="BM1995" s="5" t="s">
        <v>258</v>
      </c>
      <c r="BN1995" s="5" t="s">
        <v>259</v>
      </c>
      <c r="CB1995" s="5" t="s">
        <v>240</v>
      </c>
      <c r="CC1995" s="5" t="s">
        <v>240</v>
      </c>
      <c r="CG1995" s="5" t="s">
        <v>304</v>
      </c>
      <c r="CH1995" s="5" t="s">
        <v>305</v>
      </c>
      <c r="CI1995" s="5" t="s">
        <v>240</v>
      </c>
      <c r="CL1995" s="6" t="s">
        <v>261</v>
      </c>
      <c r="CM1995" s="5" t="s">
        <v>240</v>
      </c>
      <c r="CN1995" s="5" t="s">
        <v>263</v>
      </c>
      <c r="CO1995" s="5" t="s">
        <v>240</v>
      </c>
      <c r="CP1995" s="5" t="s">
        <v>240</v>
      </c>
      <c r="CQ1995" s="5">
        <v>0</v>
      </c>
      <c r="CR1995" s="5" t="s">
        <v>306</v>
      </c>
      <c r="CS1995" s="5" t="s">
        <v>307</v>
      </c>
      <c r="CT1995" s="5" t="s">
        <v>307</v>
      </c>
      <c r="CU1995" s="5" t="s">
        <v>260</v>
      </c>
      <c r="CX1995" s="7">
        <f>1</f>
        <v>1</v>
      </c>
      <c r="CY1995" s="7">
        <f>0</f>
        <v>0</v>
      </c>
      <c r="DA1995" s="7">
        <f>0</f>
        <v>0</v>
      </c>
      <c r="DC1995" s="5" t="s">
        <v>812</v>
      </c>
      <c r="DD1995" s="5" t="s">
        <v>240</v>
      </c>
      <c r="DF1995" s="5" t="s">
        <v>812</v>
      </c>
      <c r="DG1995" s="7">
        <f>305</f>
        <v>305</v>
      </c>
      <c r="DI1995" s="5" t="s">
        <v>240</v>
      </c>
      <c r="DJ1995" s="5" t="s">
        <v>240</v>
      </c>
      <c r="DK1995" s="5" t="s">
        <v>240</v>
      </c>
      <c r="DL1995" s="5" t="s">
        <v>240</v>
      </c>
      <c r="DP1995" s="5" t="s">
        <v>240</v>
      </c>
      <c r="DQ1995" s="5" t="s">
        <v>240</v>
      </c>
      <c r="DR1995" s="5" t="s">
        <v>240</v>
      </c>
      <c r="DS1995" s="5" t="s">
        <v>240</v>
      </c>
      <c r="DV1995" s="5" t="s">
        <v>813</v>
      </c>
      <c r="DW1995" s="5" t="s">
        <v>1084</v>
      </c>
      <c r="HO1995" s="5" t="s">
        <v>312</v>
      </c>
    </row>
    <row r="1996" spans="1:223" x14ac:dyDescent="0.4">
      <c r="A1996" s="5">
        <v>3700</v>
      </c>
      <c r="B1996" s="5">
        <v>1</v>
      </c>
      <c r="C1996" s="5">
        <v>1</v>
      </c>
      <c r="D1996" s="5" t="s">
        <v>810</v>
      </c>
      <c r="E1996" s="5" t="s">
        <v>245</v>
      </c>
      <c r="F1996" s="5" t="s">
        <v>254</v>
      </c>
      <c r="G1996" s="5" t="s">
        <v>240</v>
      </c>
      <c r="H1996" s="6" t="s">
        <v>4296</v>
      </c>
      <c r="I1996" s="5" t="s">
        <v>809</v>
      </c>
      <c r="J1996" s="8">
        <f>739</f>
        <v>739</v>
      </c>
      <c r="K1996" s="5" t="s">
        <v>308</v>
      </c>
      <c r="L1996" s="7">
        <f>1</f>
        <v>1</v>
      </c>
      <c r="M1996" s="7">
        <f>1</f>
        <v>1</v>
      </c>
      <c r="N1996" s="5" t="s">
        <v>242</v>
      </c>
      <c r="O1996" s="5">
        <v>1</v>
      </c>
      <c r="P1996" s="5" t="s">
        <v>294</v>
      </c>
      <c r="Q1996" s="5" t="s">
        <v>266</v>
      </c>
      <c r="R1996" s="5" t="s">
        <v>240</v>
      </c>
      <c r="S1996" s="5" t="s">
        <v>240</v>
      </c>
      <c r="T1996" s="5" t="s">
        <v>296</v>
      </c>
      <c r="U1996" s="5" t="s">
        <v>244</v>
      </c>
      <c r="V1996" s="5" t="s">
        <v>240</v>
      </c>
      <c r="Y1996" s="5" t="s">
        <v>240</v>
      </c>
      <c r="Z1996" s="6" t="s">
        <v>298</v>
      </c>
      <c r="AB1996" s="6" t="s">
        <v>240</v>
      </c>
      <c r="AE1996" s="6" t="s">
        <v>299</v>
      </c>
      <c r="AF1996" s="5" t="s">
        <v>248</v>
      </c>
      <c r="AG1996" s="5" t="s">
        <v>249</v>
      </c>
      <c r="AW1996" s="5" t="s">
        <v>251</v>
      </c>
      <c r="AX1996" s="5" t="s">
        <v>240</v>
      </c>
      <c r="AY1996" s="5" t="s">
        <v>253</v>
      </c>
      <c r="AZ1996" s="5" t="s">
        <v>240</v>
      </c>
      <c r="BA1996" s="5" t="s">
        <v>255</v>
      </c>
      <c r="BB1996" s="5" t="s">
        <v>240</v>
      </c>
      <c r="BD1996" s="5" t="s">
        <v>240</v>
      </c>
      <c r="BF1996" s="5" t="s">
        <v>301</v>
      </c>
      <c r="BG1996" s="6" t="s">
        <v>299</v>
      </c>
      <c r="BH1996" s="5" t="s">
        <v>302</v>
      </c>
      <c r="BI1996" s="5" t="s">
        <v>303</v>
      </c>
      <c r="BJ1996" s="5" t="s">
        <v>240</v>
      </c>
      <c r="BK1996" s="8">
        <f>0</f>
        <v>0</v>
      </c>
      <c r="BL1996" s="7">
        <f>0</f>
        <v>0</v>
      </c>
      <c r="BM1996" s="5" t="s">
        <v>258</v>
      </c>
      <c r="BN1996" s="5" t="s">
        <v>259</v>
      </c>
      <c r="CB1996" s="5" t="s">
        <v>240</v>
      </c>
      <c r="CC1996" s="5" t="s">
        <v>240</v>
      </c>
      <c r="CG1996" s="5" t="s">
        <v>304</v>
      </c>
      <c r="CH1996" s="5" t="s">
        <v>305</v>
      </c>
      <c r="CI1996" s="5" t="s">
        <v>240</v>
      </c>
      <c r="CL1996" s="6" t="s">
        <v>261</v>
      </c>
      <c r="CM1996" s="5" t="s">
        <v>240</v>
      </c>
      <c r="CN1996" s="5" t="s">
        <v>263</v>
      </c>
      <c r="CO1996" s="5" t="s">
        <v>240</v>
      </c>
      <c r="CP1996" s="5" t="s">
        <v>240</v>
      </c>
      <c r="CQ1996" s="5">
        <v>0</v>
      </c>
      <c r="CR1996" s="5" t="s">
        <v>306</v>
      </c>
      <c r="CS1996" s="5" t="s">
        <v>307</v>
      </c>
      <c r="CT1996" s="5" t="s">
        <v>307</v>
      </c>
      <c r="CU1996" s="5" t="s">
        <v>260</v>
      </c>
      <c r="CX1996" s="7">
        <f>1</f>
        <v>1</v>
      </c>
      <c r="CY1996" s="7">
        <f>0</f>
        <v>0</v>
      </c>
      <c r="DA1996" s="7">
        <f>0</f>
        <v>0</v>
      </c>
      <c r="DC1996" s="5" t="s">
        <v>812</v>
      </c>
      <c r="DD1996" s="5" t="s">
        <v>240</v>
      </c>
      <c r="DF1996" s="5" t="s">
        <v>812</v>
      </c>
      <c r="DG1996" s="7">
        <f>407</f>
        <v>407</v>
      </c>
      <c r="DI1996" s="5" t="s">
        <v>240</v>
      </c>
      <c r="DJ1996" s="5" t="s">
        <v>240</v>
      </c>
      <c r="DK1996" s="5" t="s">
        <v>240</v>
      </c>
      <c r="DL1996" s="5" t="s">
        <v>240</v>
      </c>
      <c r="DP1996" s="5" t="s">
        <v>240</v>
      </c>
      <c r="DQ1996" s="5" t="s">
        <v>240</v>
      </c>
      <c r="DR1996" s="5" t="s">
        <v>240</v>
      </c>
      <c r="DS1996" s="5" t="s">
        <v>240</v>
      </c>
      <c r="DV1996" s="5" t="s">
        <v>813</v>
      </c>
      <c r="DW1996" s="5" t="s">
        <v>1082</v>
      </c>
      <c r="HO1996" s="5" t="s">
        <v>312</v>
      </c>
    </row>
    <row r="1997" spans="1:223" x14ac:dyDescent="0.4">
      <c r="A1997" s="5">
        <v>3701</v>
      </c>
      <c r="B1997" s="5">
        <v>1</v>
      </c>
      <c r="C1997" s="5">
        <v>1</v>
      </c>
      <c r="D1997" s="5" t="s">
        <v>810</v>
      </c>
      <c r="E1997" s="5" t="s">
        <v>245</v>
      </c>
      <c r="F1997" s="5" t="s">
        <v>254</v>
      </c>
      <c r="G1997" s="5" t="s">
        <v>240</v>
      </c>
      <c r="H1997" s="6" t="s">
        <v>4295</v>
      </c>
      <c r="I1997" s="5" t="s">
        <v>809</v>
      </c>
      <c r="J1997" s="8">
        <f>158</f>
        <v>158</v>
      </c>
      <c r="K1997" s="5" t="s">
        <v>308</v>
      </c>
      <c r="L1997" s="7">
        <f>1</f>
        <v>1</v>
      </c>
      <c r="M1997" s="7">
        <f>1</f>
        <v>1</v>
      </c>
      <c r="N1997" s="5" t="s">
        <v>242</v>
      </c>
      <c r="O1997" s="5">
        <v>1</v>
      </c>
      <c r="P1997" s="5" t="s">
        <v>294</v>
      </c>
      <c r="Q1997" s="5" t="s">
        <v>266</v>
      </c>
      <c r="R1997" s="5" t="s">
        <v>240</v>
      </c>
      <c r="S1997" s="5" t="s">
        <v>240</v>
      </c>
      <c r="T1997" s="5" t="s">
        <v>296</v>
      </c>
      <c r="U1997" s="5" t="s">
        <v>244</v>
      </c>
      <c r="V1997" s="5" t="s">
        <v>240</v>
      </c>
      <c r="Y1997" s="5" t="s">
        <v>240</v>
      </c>
      <c r="Z1997" s="6" t="s">
        <v>298</v>
      </c>
      <c r="AB1997" s="6" t="s">
        <v>240</v>
      </c>
      <c r="AE1997" s="6" t="s">
        <v>299</v>
      </c>
      <c r="AF1997" s="5" t="s">
        <v>248</v>
      </c>
      <c r="AG1997" s="5" t="s">
        <v>249</v>
      </c>
      <c r="AW1997" s="5" t="s">
        <v>251</v>
      </c>
      <c r="AX1997" s="5" t="s">
        <v>240</v>
      </c>
      <c r="AY1997" s="5" t="s">
        <v>253</v>
      </c>
      <c r="AZ1997" s="5" t="s">
        <v>240</v>
      </c>
      <c r="BA1997" s="5" t="s">
        <v>255</v>
      </c>
      <c r="BB1997" s="5" t="s">
        <v>240</v>
      </c>
      <c r="BD1997" s="5" t="s">
        <v>240</v>
      </c>
      <c r="BF1997" s="5" t="s">
        <v>301</v>
      </c>
      <c r="BG1997" s="6" t="s">
        <v>299</v>
      </c>
      <c r="BH1997" s="5" t="s">
        <v>302</v>
      </c>
      <c r="BI1997" s="5" t="s">
        <v>303</v>
      </c>
      <c r="BJ1997" s="5" t="s">
        <v>240</v>
      </c>
      <c r="BK1997" s="8">
        <f>0</f>
        <v>0</v>
      </c>
      <c r="BL1997" s="7">
        <f>0</f>
        <v>0</v>
      </c>
      <c r="BM1997" s="5" t="s">
        <v>258</v>
      </c>
      <c r="BN1997" s="5" t="s">
        <v>259</v>
      </c>
      <c r="CB1997" s="5" t="s">
        <v>240</v>
      </c>
      <c r="CC1997" s="5" t="s">
        <v>240</v>
      </c>
      <c r="CG1997" s="5" t="s">
        <v>304</v>
      </c>
      <c r="CH1997" s="5" t="s">
        <v>305</v>
      </c>
      <c r="CI1997" s="5" t="s">
        <v>240</v>
      </c>
      <c r="CL1997" s="6" t="s">
        <v>261</v>
      </c>
      <c r="CM1997" s="5" t="s">
        <v>240</v>
      </c>
      <c r="CN1997" s="5" t="s">
        <v>263</v>
      </c>
      <c r="CO1997" s="5" t="s">
        <v>240</v>
      </c>
      <c r="CP1997" s="5" t="s">
        <v>240</v>
      </c>
      <c r="CQ1997" s="5">
        <v>0</v>
      </c>
      <c r="CR1997" s="5" t="s">
        <v>306</v>
      </c>
      <c r="CS1997" s="5" t="s">
        <v>307</v>
      </c>
      <c r="CT1997" s="5" t="s">
        <v>307</v>
      </c>
      <c r="CU1997" s="5" t="s">
        <v>260</v>
      </c>
      <c r="CX1997" s="7">
        <f>1</f>
        <v>1</v>
      </c>
      <c r="CY1997" s="7">
        <f>0</f>
        <v>0</v>
      </c>
      <c r="DA1997" s="7">
        <f>0</f>
        <v>0</v>
      </c>
      <c r="DC1997" s="5" t="s">
        <v>812</v>
      </c>
      <c r="DD1997" s="5" t="s">
        <v>240</v>
      </c>
      <c r="DF1997" s="5" t="s">
        <v>812</v>
      </c>
      <c r="DG1997" s="7">
        <f>1430</f>
        <v>1430</v>
      </c>
      <c r="DI1997" s="5" t="s">
        <v>240</v>
      </c>
      <c r="DJ1997" s="5" t="s">
        <v>240</v>
      </c>
      <c r="DK1997" s="5" t="s">
        <v>240</v>
      </c>
      <c r="DL1997" s="5" t="s">
        <v>240</v>
      </c>
      <c r="DP1997" s="5" t="s">
        <v>240</v>
      </c>
      <c r="DQ1997" s="5" t="s">
        <v>240</v>
      </c>
      <c r="DR1997" s="5" t="s">
        <v>240</v>
      </c>
      <c r="DS1997" s="5" t="s">
        <v>240</v>
      </c>
      <c r="DV1997" s="5" t="s">
        <v>813</v>
      </c>
      <c r="DW1997" s="5" t="s">
        <v>1080</v>
      </c>
      <c r="HO1997" s="5" t="s">
        <v>312</v>
      </c>
    </row>
    <row r="1998" spans="1:223" x14ac:dyDescent="0.4">
      <c r="A1998" s="5">
        <v>3702</v>
      </c>
      <c r="B1998" s="5">
        <v>1</v>
      </c>
      <c r="C1998" s="5">
        <v>1</v>
      </c>
      <c r="D1998" s="5" t="s">
        <v>810</v>
      </c>
      <c r="E1998" s="5" t="s">
        <v>245</v>
      </c>
      <c r="F1998" s="5" t="s">
        <v>254</v>
      </c>
      <c r="G1998" s="5" t="s">
        <v>240</v>
      </c>
      <c r="H1998" s="6" t="s">
        <v>4294</v>
      </c>
      <c r="I1998" s="5" t="s">
        <v>809</v>
      </c>
      <c r="J1998" s="8">
        <f>752</f>
        <v>752</v>
      </c>
      <c r="K1998" s="5" t="s">
        <v>308</v>
      </c>
      <c r="L1998" s="7">
        <f>1</f>
        <v>1</v>
      </c>
      <c r="M1998" s="7">
        <f>1</f>
        <v>1</v>
      </c>
      <c r="N1998" s="5" t="s">
        <v>242</v>
      </c>
      <c r="O1998" s="5">
        <v>1</v>
      </c>
      <c r="P1998" s="5" t="s">
        <v>294</v>
      </c>
      <c r="Q1998" s="5" t="s">
        <v>266</v>
      </c>
      <c r="R1998" s="5" t="s">
        <v>240</v>
      </c>
      <c r="S1998" s="5" t="s">
        <v>240</v>
      </c>
      <c r="T1998" s="5" t="s">
        <v>296</v>
      </c>
      <c r="U1998" s="5" t="s">
        <v>244</v>
      </c>
      <c r="V1998" s="5" t="s">
        <v>240</v>
      </c>
      <c r="Y1998" s="5" t="s">
        <v>240</v>
      </c>
      <c r="Z1998" s="6" t="s">
        <v>298</v>
      </c>
      <c r="AB1998" s="6" t="s">
        <v>240</v>
      </c>
      <c r="AE1998" s="6" t="s">
        <v>299</v>
      </c>
      <c r="AF1998" s="5" t="s">
        <v>248</v>
      </c>
      <c r="AG1998" s="5" t="s">
        <v>249</v>
      </c>
      <c r="AW1998" s="5" t="s">
        <v>251</v>
      </c>
      <c r="AX1998" s="5" t="s">
        <v>240</v>
      </c>
      <c r="AY1998" s="5" t="s">
        <v>253</v>
      </c>
      <c r="AZ1998" s="5" t="s">
        <v>240</v>
      </c>
      <c r="BA1998" s="5" t="s">
        <v>255</v>
      </c>
      <c r="BB1998" s="5" t="s">
        <v>240</v>
      </c>
      <c r="BD1998" s="5" t="s">
        <v>240</v>
      </c>
      <c r="BF1998" s="5" t="s">
        <v>301</v>
      </c>
      <c r="BG1998" s="6" t="s">
        <v>299</v>
      </c>
      <c r="BH1998" s="5" t="s">
        <v>302</v>
      </c>
      <c r="BI1998" s="5" t="s">
        <v>303</v>
      </c>
      <c r="BJ1998" s="5" t="s">
        <v>240</v>
      </c>
      <c r="BK1998" s="8">
        <f>0</f>
        <v>0</v>
      </c>
      <c r="BL1998" s="7">
        <f>0</f>
        <v>0</v>
      </c>
      <c r="BM1998" s="5" t="s">
        <v>258</v>
      </c>
      <c r="BN1998" s="5" t="s">
        <v>259</v>
      </c>
      <c r="CB1998" s="5" t="s">
        <v>240</v>
      </c>
      <c r="CC1998" s="5" t="s">
        <v>240</v>
      </c>
      <c r="CG1998" s="5" t="s">
        <v>304</v>
      </c>
      <c r="CH1998" s="5" t="s">
        <v>305</v>
      </c>
      <c r="CI1998" s="5" t="s">
        <v>240</v>
      </c>
      <c r="CL1998" s="6" t="s">
        <v>261</v>
      </c>
      <c r="CM1998" s="5" t="s">
        <v>240</v>
      </c>
      <c r="CN1998" s="5" t="s">
        <v>263</v>
      </c>
      <c r="CO1998" s="5" t="s">
        <v>240</v>
      </c>
      <c r="CP1998" s="5" t="s">
        <v>240</v>
      </c>
      <c r="CQ1998" s="5">
        <v>0</v>
      </c>
      <c r="CR1998" s="5" t="s">
        <v>306</v>
      </c>
      <c r="CS1998" s="5" t="s">
        <v>307</v>
      </c>
      <c r="CT1998" s="5" t="s">
        <v>307</v>
      </c>
      <c r="CU1998" s="5" t="s">
        <v>260</v>
      </c>
      <c r="CX1998" s="7">
        <f>1</f>
        <v>1</v>
      </c>
      <c r="CY1998" s="7">
        <f>0</f>
        <v>0</v>
      </c>
      <c r="DA1998" s="7">
        <f>0</f>
        <v>0</v>
      </c>
      <c r="DC1998" s="5" t="s">
        <v>812</v>
      </c>
      <c r="DD1998" s="5" t="s">
        <v>240</v>
      </c>
      <c r="DF1998" s="5" t="s">
        <v>812</v>
      </c>
      <c r="DG1998" s="7">
        <f>1916</f>
        <v>1916</v>
      </c>
      <c r="DI1998" s="5" t="s">
        <v>240</v>
      </c>
      <c r="DJ1998" s="5" t="s">
        <v>240</v>
      </c>
      <c r="DK1998" s="5" t="s">
        <v>240</v>
      </c>
      <c r="DL1998" s="5" t="s">
        <v>240</v>
      </c>
      <c r="DP1998" s="5" t="s">
        <v>240</v>
      </c>
      <c r="DQ1998" s="5" t="s">
        <v>240</v>
      </c>
      <c r="DR1998" s="5" t="s">
        <v>240</v>
      </c>
      <c r="DS1998" s="5" t="s">
        <v>240</v>
      </c>
      <c r="DV1998" s="5" t="s">
        <v>813</v>
      </c>
      <c r="DW1998" s="5" t="s">
        <v>1078</v>
      </c>
      <c r="HO1998" s="5" t="s">
        <v>312</v>
      </c>
    </row>
    <row r="1999" spans="1:223" x14ac:dyDescent="0.4">
      <c r="A1999" s="5">
        <v>3703</v>
      </c>
      <c r="B1999" s="5">
        <v>1</v>
      </c>
      <c r="C1999" s="5">
        <v>1</v>
      </c>
      <c r="D1999" s="5" t="s">
        <v>810</v>
      </c>
      <c r="E1999" s="5" t="s">
        <v>245</v>
      </c>
      <c r="F1999" s="5" t="s">
        <v>254</v>
      </c>
      <c r="G1999" s="5" t="s">
        <v>240</v>
      </c>
      <c r="H1999" s="6" t="s">
        <v>4293</v>
      </c>
      <c r="I1999" s="5" t="s">
        <v>809</v>
      </c>
      <c r="J1999" s="8">
        <f>790</f>
        <v>790</v>
      </c>
      <c r="K1999" s="5" t="s">
        <v>308</v>
      </c>
      <c r="L1999" s="7">
        <f>1</f>
        <v>1</v>
      </c>
      <c r="M1999" s="7">
        <f>1</f>
        <v>1</v>
      </c>
      <c r="N1999" s="5" t="s">
        <v>242</v>
      </c>
      <c r="O1999" s="5">
        <v>1</v>
      </c>
      <c r="P1999" s="5" t="s">
        <v>294</v>
      </c>
      <c r="Q1999" s="5" t="s">
        <v>266</v>
      </c>
      <c r="R1999" s="5" t="s">
        <v>240</v>
      </c>
      <c r="S1999" s="5" t="s">
        <v>240</v>
      </c>
      <c r="T1999" s="5" t="s">
        <v>296</v>
      </c>
      <c r="U1999" s="5" t="s">
        <v>244</v>
      </c>
      <c r="V1999" s="5" t="s">
        <v>240</v>
      </c>
      <c r="Y1999" s="5" t="s">
        <v>240</v>
      </c>
      <c r="Z1999" s="6" t="s">
        <v>298</v>
      </c>
      <c r="AB1999" s="6" t="s">
        <v>240</v>
      </c>
      <c r="AE1999" s="6" t="s">
        <v>299</v>
      </c>
      <c r="AF1999" s="5" t="s">
        <v>248</v>
      </c>
      <c r="AG1999" s="5" t="s">
        <v>249</v>
      </c>
      <c r="AW1999" s="5" t="s">
        <v>251</v>
      </c>
      <c r="AX1999" s="5" t="s">
        <v>240</v>
      </c>
      <c r="AY1999" s="5" t="s">
        <v>253</v>
      </c>
      <c r="AZ1999" s="5" t="s">
        <v>240</v>
      </c>
      <c r="BA1999" s="5" t="s">
        <v>255</v>
      </c>
      <c r="BB1999" s="5" t="s">
        <v>240</v>
      </c>
      <c r="BD1999" s="5" t="s">
        <v>240</v>
      </c>
      <c r="BF1999" s="5" t="s">
        <v>301</v>
      </c>
      <c r="BG1999" s="6" t="s">
        <v>299</v>
      </c>
      <c r="BH1999" s="5" t="s">
        <v>302</v>
      </c>
      <c r="BI1999" s="5" t="s">
        <v>303</v>
      </c>
      <c r="BJ1999" s="5" t="s">
        <v>240</v>
      </c>
      <c r="BK1999" s="8">
        <f>0</f>
        <v>0</v>
      </c>
      <c r="BL1999" s="7">
        <f>0</f>
        <v>0</v>
      </c>
      <c r="BM1999" s="5" t="s">
        <v>258</v>
      </c>
      <c r="BN1999" s="5" t="s">
        <v>259</v>
      </c>
      <c r="CB1999" s="5" t="s">
        <v>240</v>
      </c>
      <c r="CC1999" s="5" t="s">
        <v>240</v>
      </c>
      <c r="CG1999" s="5" t="s">
        <v>304</v>
      </c>
      <c r="CH1999" s="5" t="s">
        <v>305</v>
      </c>
      <c r="CI1999" s="5" t="s">
        <v>240</v>
      </c>
      <c r="CL1999" s="6" t="s">
        <v>261</v>
      </c>
      <c r="CM1999" s="5" t="s">
        <v>240</v>
      </c>
      <c r="CN1999" s="5" t="s">
        <v>263</v>
      </c>
      <c r="CO1999" s="5" t="s">
        <v>240</v>
      </c>
      <c r="CP1999" s="5" t="s">
        <v>240</v>
      </c>
      <c r="CQ1999" s="5">
        <v>0</v>
      </c>
      <c r="CR1999" s="5" t="s">
        <v>306</v>
      </c>
      <c r="CS1999" s="5" t="s">
        <v>307</v>
      </c>
      <c r="CT1999" s="5" t="s">
        <v>307</v>
      </c>
      <c r="CU1999" s="5" t="s">
        <v>260</v>
      </c>
      <c r="CX1999" s="7">
        <f>1</f>
        <v>1</v>
      </c>
      <c r="CY1999" s="7">
        <f>0</f>
        <v>0</v>
      </c>
      <c r="DA1999" s="7">
        <f>0</f>
        <v>0</v>
      </c>
      <c r="DC1999" s="5" t="s">
        <v>812</v>
      </c>
      <c r="DD1999" s="5" t="s">
        <v>240</v>
      </c>
      <c r="DF1999" s="5" t="s">
        <v>812</v>
      </c>
      <c r="DG1999" s="7">
        <f>653</f>
        <v>653</v>
      </c>
      <c r="DI1999" s="5" t="s">
        <v>240</v>
      </c>
      <c r="DJ1999" s="5" t="s">
        <v>240</v>
      </c>
      <c r="DK1999" s="5" t="s">
        <v>240</v>
      </c>
      <c r="DL1999" s="5" t="s">
        <v>240</v>
      </c>
      <c r="DP1999" s="5" t="s">
        <v>240</v>
      </c>
      <c r="DQ1999" s="5" t="s">
        <v>240</v>
      </c>
      <c r="DR1999" s="5" t="s">
        <v>240</v>
      </c>
      <c r="DS1999" s="5" t="s">
        <v>240</v>
      </c>
      <c r="DV1999" s="5" t="s">
        <v>813</v>
      </c>
      <c r="DW1999" s="5" t="s">
        <v>1076</v>
      </c>
      <c r="HO1999" s="5" t="s">
        <v>312</v>
      </c>
    </row>
    <row r="2000" spans="1:223" x14ac:dyDescent="0.4">
      <c r="A2000" s="5">
        <v>3704</v>
      </c>
      <c r="B2000" s="5">
        <v>1</v>
      </c>
      <c r="C2000" s="5">
        <v>1</v>
      </c>
      <c r="D2000" s="5" t="s">
        <v>810</v>
      </c>
      <c r="E2000" s="5" t="s">
        <v>245</v>
      </c>
      <c r="F2000" s="5" t="s">
        <v>254</v>
      </c>
      <c r="G2000" s="5" t="s">
        <v>240</v>
      </c>
      <c r="H2000" s="6" t="s">
        <v>4292</v>
      </c>
      <c r="I2000" s="5" t="s">
        <v>809</v>
      </c>
      <c r="J2000" s="8">
        <f>1642</f>
        <v>1642</v>
      </c>
      <c r="K2000" s="5" t="s">
        <v>308</v>
      </c>
      <c r="L2000" s="7">
        <f>1</f>
        <v>1</v>
      </c>
      <c r="M2000" s="7">
        <f>1</f>
        <v>1</v>
      </c>
      <c r="N2000" s="5" t="s">
        <v>242</v>
      </c>
      <c r="O2000" s="5">
        <v>1</v>
      </c>
      <c r="P2000" s="5" t="s">
        <v>294</v>
      </c>
      <c r="Q2000" s="5" t="s">
        <v>266</v>
      </c>
      <c r="R2000" s="5" t="s">
        <v>240</v>
      </c>
      <c r="S2000" s="5" t="s">
        <v>240</v>
      </c>
      <c r="T2000" s="5" t="s">
        <v>296</v>
      </c>
      <c r="U2000" s="5" t="s">
        <v>244</v>
      </c>
      <c r="V2000" s="5" t="s">
        <v>240</v>
      </c>
      <c r="Y2000" s="5" t="s">
        <v>240</v>
      </c>
      <c r="Z2000" s="6" t="s">
        <v>298</v>
      </c>
      <c r="AB2000" s="6" t="s">
        <v>240</v>
      </c>
      <c r="AE2000" s="6" t="s">
        <v>299</v>
      </c>
      <c r="AF2000" s="5" t="s">
        <v>248</v>
      </c>
      <c r="AG2000" s="5" t="s">
        <v>249</v>
      </c>
      <c r="AW2000" s="5" t="s">
        <v>251</v>
      </c>
      <c r="AX2000" s="5" t="s">
        <v>240</v>
      </c>
      <c r="AY2000" s="5" t="s">
        <v>253</v>
      </c>
      <c r="AZ2000" s="5" t="s">
        <v>240</v>
      </c>
      <c r="BA2000" s="5" t="s">
        <v>255</v>
      </c>
      <c r="BB2000" s="5" t="s">
        <v>240</v>
      </c>
      <c r="BD2000" s="5" t="s">
        <v>240</v>
      </c>
      <c r="BF2000" s="5" t="s">
        <v>301</v>
      </c>
      <c r="BG2000" s="6" t="s">
        <v>299</v>
      </c>
      <c r="BH2000" s="5" t="s">
        <v>302</v>
      </c>
      <c r="BI2000" s="5" t="s">
        <v>303</v>
      </c>
      <c r="BJ2000" s="5" t="s">
        <v>240</v>
      </c>
      <c r="BK2000" s="8">
        <f>0</f>
        <v>0</v>
      </c>
      <c r="BL2000" s="7">
        <f>0</f>
        <v>0</v>
      </c>
      <c r="BM2000" s="5" t="s">
        <v>258</v>
      </c>
      <c r="BN2000" s="5" t="s">
        <v>259</v>
      </c>
      <c r="CB2000" s="5" t="s">
        <v>240</v>
      </c>
      <c r="CC2000" s="5" t="s">
        <v>240</v>
      </c>
      <c r="CG2000" s="5" t="s">
        <v>304</v>
      </c>
      <c r="CH2000" s="5" t="s">
        <v>305</v>
      </c>
      <c r="CI2000" s="5" t="s">
        <v>240</v>
      </c>
      <c r="CL2000" s="6" t="s">
        <v>261</v>
      </c>
      <c r="CM2000" s="5" t="s">
        <v>240</v>
      </c>
      <c r="CN2000" s="5" t="s">
        <v>263</v>
      </c>
      <c r="CO2000" s="5" t="s">
        <v>240</v>
      </c>
      <c r="CP2000" s="5" t="s">
        <v>240</v>
      </c>
      <c r="CQ2000" s="5">
        <v>0</v>
      </c>
      <c r="CR2000" s="5" t="s">
        <v>306</v>
      </c>
      <c r="CS2000" s="5" t="s">
        <v>307</v>
      </c>
      <c r="CT2000" s="5" t="s">
        <v>307</v>
      </c>
      <c r="CU2000" s="5" t="s">
        <v>260</v>
      </c>
      <c r="CX2000" s="7">
        <f>1</f>
        <v>1</v>
      </c>
      <c r="CY2000" s="7">
        <f>0</f>
        <v>0</v>
      </c>
      <c r="DA2000" s="7">
        <f>0</f>
        <v>0</v>
      </c>
      <c r="DC2000" s="5" t="s">
        <v>812</v>
      </c>
      <c r="DD2000" s="5" t="s">
        <v>240</v>
      </c>
      <c r="DF2000" s="5" t="s">
        <v>812</v>
      </c>
      <c r="DG2000" s="7">
        <f>788</f>
        <v>788</v>
      </c>
      <c r="DI2000" s="5" t="s">
        <v>240</v>
      </c>
      <c r="DJ2000" s="5" t="s">
        <v>240</v>
      </c>
      <c r="DK2000" s="5" t="s">
        <v>240</v>
      </c>
      <c r="DL2000" s="5" t="s">
        <v>240</v>
      </c>
      <c r="DP2000" s="5" t="s">
        <v>240</v>
      </c>
      <c r="DQ2000" s="5" t="s">
        <v>240</v>
      </c>
      <c r="DR2000" s="5" t="s">
        <v>240</v>
      </c>
      <c r="DS2000" s="5" t="s">
        <v>240</v>
      </c>
      <c r="DV2000" s="5" t="s">
        <v>813</v>
      </c>
      <c r="DW2000" s="5" t="s">
        <v>1074</v>
      </c>
      <c r="HO2000" s="5" t="s">
        <v>312</v>
      </c>
    </row>
    <row r="2001" spans="1:240" x14ac:dyDescent="0.4">
      <c r="A2001" s="5">
        <v>3705</v>
      </c>
      <c r="B2001" s="5">
        <v>1</v>
      </c>
      <c r="C2001" s="5">
        <v>1</v>
      </c>
      <c r="D2001" s="5" t="s">
        <v>810</v>
      </c>
      <c r="E2001" s="5" t="s">
        <v>245</v>
      </c>
      <c r="F2001" s="5" t="s">
        <v>254</v>
      </c>
      <c r="G2001" s="5" t="s">
        <v>240</v>
      </c>
      <c r="H2001" s="6" t="s">
        <v>4291</v>
      </c>
      <c r="I2001" s="5" t="s">
        <v>809</v>
      </c>
      <c r="J2001" s="8">
        <f>2508</f>
        <v>2508</v>
      </c>
      <c r="K2001" s="5" t="s">
        <v>308</v>
      </c>
      <c r="L2001" s="7">
        <f>1</f>
        <v>1</v>
      </c>
      <c r="M2001" s="7">
        <f>1</f>
        <v>1</v>
      </c>
      <c r="N2001" s="5" t="s">
        <v>242</v>
      </c>
      <c r="O2001" s="5">
        <v>1</v>
      </c>
      <c r="P2001" s="5" t="s">
        <v>294</v>
      </c>
      <c r="Q2001" s="5" t="s">
        <v>266</v>
      </c>
      <c r="R2001" s="5" t="s">
        <v>240</v>
      </c>
      <c r="S2001" s="5" t="s">
        <v>240</v>
      </c>
      <c r="T2001" s="5" t="s">
        <v>296</v>
      </c>
      <c r="U2001" s="5" t="s">
        <v>244</v>
      </c>
      <c r="V2001" s="5" t="s">
        <v>240</v>
      </c>
      <c r="Y2001" s="5" t="s">
        <v>240</v>
      </c>
      <c r="Z2001" s="6" t="s">
        <v>298</v>
      </c>
      <c r="AB2001" s="6" t="s">
        <v>240</v>
      </c>
      <c r="AE2001" s="6" t="s">
        <v>299</v>
      </c>
      <c r="AF2001" s="5" t="s">
        <v>248</v>
      </c>
      <c r="AG2001" s="5" t="s">
        <v>249</v>
      </c>
      <c r="AW2001" s="5" t="s">
        <v>251</v>
      </c>
      <c r="AX2001" s="5" t="s">
        <v>240</v>
      </c>
      <c r="AY2001" s="5" t="s">
        <v>253</v>
      </c>
      <c r="AZ2001" s="5" t="s">
        <v>240</v>
      </c>
      <c r="BA2001" s="5" t="s">
        <v>255</v>
      </c>
      <c r="BB2001" s="5" t="s">
        <v>240</v>
      </c>
      <c r="BD2001" s="5" t="s">
        <v>240</v>
      </c>
      <c r="BF2001" s="5" t="s">
        <v>301</v>
      </c>
      <c r="BG2001" s="6" t="s">
        <v>299</v>
      </c>
      <c r="BH2001" s="5" t="s">
        <v>302</v>
      </c>
      <c r="BI2001" s="5" t="s">
        <v>303</v>
      </c>
      <c r="BJ2001" s="5" t="s">
        <v>240</v>
      </c>
      <c r="BK2001" s="8">
        <f>0</f>
        <v>0</v>
      </c>
      <c r="BL2001" s="7">
        <f>0</f>
        <v>0</v>
      </c>
      <c r="BM2001" s="5" t="s">
        <v>258</v>
      </c>
      <c r="BN2001" s="5" t="s">
        <v>259</v>
      </c>
      <c r="CB2001" s="5" t="s">
        <v>240</v>
      </c>
      <c r="CC2001" s="5" t="s">
        <v>240</v>
      </c>
      <c r="CG2001" s="5" t="s">
        <v>304</v>
      </c>
      <c r="CH2001" s="5" t="s">
        <v>305</v>
      </c>
      <c r="CI2001" s="5" t="s">
        <v>240</v>
      </c>
      <c r="CL2001" s="6" t="s">
        <v>261</v>
      </c>
      <c r="CM2001" s="5" t="s">
        <v>240</v>
      </c>
      <c r="CN2001" s="5" t="s">
        <v>263</v>
      </c>
      <c r="CO2001" s="5" t="s">
        <v>240</v>
      </c>
      <c r="CP2001" s="5" t="s">
        <v>240</v>
      </c>
      <c r="CQ2001" s="5">
        <v>0</v>
      </c>
      <c r="CR2001" s="5" t="s">
        <v>306</v>
      </c>
      <c r="CS2001" s="5" t="s">
        <v>307</v>
      </c>
      <c r="CT2001" s="5" t="s">
        <v>307</v>
      </c>
      <c r="CU2001" s="5" t="s">
        <v>260</v>
      </c>
      <c r="CX2001" s="7">
        <f>1</f>
        <v>1</v>
      </c>
      <c r="CY2001" s="7">
        <f>0</f>
        <v>0</v>
      </c>
      <c r="DA2001" s="7">
        <f>0</f>
        <v>0</v>
      </c>
      <c r="DC2001" s="5" t="s">
        <v>812</v>
      </c>
      <c r="DD2001" s="5" t="s">
        <v>240</v>
      </c>
      <c r="DF2001" s="5" t="s">
        <v>812</v>
      </c>
      <c r="DG2001" s="7">
        <f>1260</f>
        <v>1260</v>
      </c>
      <c r="DI2001" s="5" t="s">
        <v>240</v>
      </c>
      <c r="DJ2001" s="5" t="s">
        <v>240</v>
      </c>
      <c r="DK2001" s="5" t="s">
        <v>240</v>
      </c>
      <c r="DL2001" s="5" t="s">
        <v>240</v>
      </c>
      <c r="DP2001" s="5" t="s">
        <v>240</v>
      </c>
      <c r="DQ2001" s="5" t="s">
        <v>240</v>
      </c>
      <c r="DR2001" s="5" t="s">
        <v>240</v>
      </c>
      <c r="DS2001" s="5" t="s">
        <v>240</v>
      </c>
      <c r="DV2001" s="5" t="s">
        <v>813</v>
      </c>
      <c r="DW2001" s="5" t="s">
        <v>1072</v>
      </c>
      <c r="HO2001" s="5" t="s">
        <v>312</v>
      </c>
    </row>
    <row r="2002" spans="1:240" x14ac:dyDescent="0.4">
      <c r="A2002" s="5">
        <v>3706</v>
      </c>
      <c r="B2002" s="5">
        <v>1</v>
      </c>
      <c r="C2002" s="5">
        <v>1</v>
      </c>
      <c r="D2002" s="5" t="s">
        <v>810</v>
      </c>
      <c r="E2002" s="5" t="s">
        <v>245</v>
      </c>
      <c r="F2002" s="5" t="s">
        <v>254</v>
      </c>
      <c r="G2002" s="5" t="s">
        <v>240</v>
      </c>
      <c r="H2002" s="6" t="s">
        <v>4290</v>
      </c>
      <c r="I2002" s="5" t="s">
        <v>809</v>
      </c>
      <c r="J2002" s="8">
        <f>716</f>
        <v>716</v>
      </c>
      <c r="K2002" s="5" t="s">
        <v>308</v>
      </c>
      <c r="L2002" s="7">
        <f>1</f>
        <v>1</v>
      </c>
      <c r="M2002" s="7">
        <f>1</f>
        <v>1</v>
      </c>
      <c r="N2002" s="5" t="s">
        <v>242</v>
      </c>
      <c r="O2002" s="5">
        <v>1</v>
      </c>
      <c r="P2002" s="5" t="s">
        <v>294</v>
      </c>
      <c r="Q2002" s="5" t="s">
        <v>266</v>
      </c>
      <c r="R2002" s="5" t="s">
        <v>240</v>
      </c>
      <c r="S2002" s="5" t="s">
        <v>240</v>
      </c>
      <c r="T2002" s="5" t="s">
        <v>296</v>
      </c>
      <c r="U2002" s="5" t="s">
        <v>244</v>
      </c>
      <c r="V2002" s="5" t="s">
        <v>240</v>
      </c>
      <c r="Y2002" s="5" t="s">
        <v>240</v>
      </c>
      <c r="Z2002" s="6" t="s">
        <v>298</v>
      </c>
      <c r="AB2002" s="6" t="s">
        <v>240</v>
      </c>
      <c r="AE2002" s="6" t="s">
        <v>299</v>
      </c>
      <c r="AF2002" s="5" t="s">
        <v>248</v>
      </c>
      <c r="AG2002" s="5" t="s">
        <v>249</v>
      </c>
      <c r="AW2002" s="5" t="s">
        <v>251</v>
      </c>
      <c r="AX2002" s="5" t="s">
        <v>240</v>
      </c>
      <c r="AY2002" s="5" t="s">
        <v>253</v>
      </c>
      <c r="AZ2002" s="5" t="s">
        <v>240</v>
      </c>
      <c r="BA2002" s="5" t="s">
        <v>255</v>
      </c>
      <c r="BB2002" s="5" t="s">
        <v>240</v>
      </c>
      <c r="BD2002" s="5" t="s">
        <v>240</v>
      </c>
      <c r="BF2002" s="5" t="s">
        <v>301</v>
      </c>
      <c r="BG2002" s="6" t="s">
        <v>299</v>
      </c>
      <c r="BH2002" s="5" t="s">
        <v>302</v>
      </c>
      <c r="BI2002" s="5" t="s">
        <v>303</v>
      </c>
      <c r="BJ2002" s="5" t="s">
        <v>240</v>
      </c>
      <c r="BK2002" s="8">
        <f>0</f>
        <v>0</v>
      </c>
      <c r="BL2002" s="7">
        <f>0</f>
        <v>0</v>
      </c>
      <c r="BM2002" s="5" t="s">
        <v>258</v>
      </c>
      <c r="BN2002" s="5" t="s">
        <v>259</v>
      </c>
      <c r="CB2002" s="5" t="s">
        <v>240</v>
      </c>
      <c r="CC2002" s="5" t="s">
        <v>240</v>
      </c>
      <c r="CG2002" s="5" t="s">
        <v>304</v>
      </c>
      <c r="CH2002" s="5" t="s">
        <v>305</v>
      </c>
      <c r="CI2002" s="5" t="s">
        <v>240</v>
      </c>
      <c r="CL2002" s="6" t="s">
        <v>261</v>
      </c>
      <c r="CM2002" s="5" t="s">
        <v>240</v>
      </c>
      <c r="CN2002" s="5" t="s">
        <v>263</v>
      </c>
      <c r="CO2002" s="5" t="s">
        <v>240</v>
      </c>
      <c r="CP2002" s="5" t="s">
        <v>240</v>
      </c>
      <c r="CQ2002" s="5">
        <v>0</v>
      </c>
      <c r="CR2002" s="5" t="s">
        <v>306</v>
      </c>
      <c r="CS2002" s="5" t="s">
        <v>307</v>
      </c>
      <c r="CT2002" s="5" t="s">
        <v>307</v>
      </c>
      <c r="CU2002" s="5" t="s">
        <v>260</v>
      </c>
      <c r="CX2002" s="7">
        <f>1</f>
        <v>1</v>
      </c>
      <c r="CY2002" s="7">
        <f>0</f>
        <v>0</v>
      </c>
      <c r="DA2002" s="7">
        <f>0</f>
        <v>0</v>
      </c>
      <c r="DC2002" s="5" t="s">
        <v>812</v>
      </c>
      <c r="DD2002" s="5" t="s">
        <v>240</v>
      </c>
      <c r="DF2002" s="5" t="s">
        <v>812</v>
      </c>
      <c r="DG2002" s="7">
        <f>155</f>
        <v>155</v>
      </c>
      <c r="DI2002" s="5" t="s">
        <v>240</v>
      </c>
      <c r="DJ2002" s="5" t="s">
        <v>240</v>
      </c>
      <c r="DK2002" s="5" t="s">
        <v>240</v>
      </c>
      <c r="DL2002" s="5" t="s">
        <v>240</v>
      </c>
      <c r="DP2002" s="5" t="s">
        <v>240</v>
      </c>
      <c r="DQ2002" s="5" t="s">
        <v>240</v>
      </c>
      <c r="DR2002" s="5" t="s">
        <v>240</v>
      </c>
      <c r="DS2002" s="5" t="s">
        <v>240</v>
      </c>
      <c r="DV2002" s="5" t="s">
        <v>813</v>
      </c>
      <c r="DW2002" s="5" t="s">
        <v>1070</v>
      </c>
      <c r="HO2002" s="5" t="s">
        <v>312</v>
      </c>
    </row>
    <row r="2003" spans="1:240" x14ac:dyDescent="0.4">
      <c r="A2003" s="5">
        <v>3707</v>
      </c>
      <c r="B2003" s="5">
        <v>1</v>
      </c>
      <c r="C2003" s="5">
        <v>1</v>
      </c>
      <c r="D2003" s="5" t="s">
        <v>810</v>
      </c>
      <c r="E2003" s="5" t="s">
        <v>245</v>
      </c>
      <c r="F2003" s="5" t="s">
        <v>254</v>
      </c>
      <c r="G2003" s="5" t="s">
        <v>240</v>
      </c>
      <c r="H2003" s="6" t="s">
        <v>4289</v>
      </c>
      <c r="I2003" s="5" t="s">
        <v>809</v>
      </c>
      <c r="J2003" s="8">
        <f>1568</f>
        <v>1568</v>
      </c>
      <c r="K2003" s="5" t="s">
        <v>308</v>
      </c>
      <c r="L2003" s="7">
        <f>1</f>
        <v>1</v>
      </c>
      <c r="M2003" s="7">
        <f>1</f>
        <v>1</v>
      </c>
      <c r="N2003" s="5" t="s">
        <v>242</v>
      </c>
      <c r="O2003" s="5">
        <v>1</v>
      </c>
      <c r="P2003" s="5" t="s">
        <v>294</v>
      </c>
      <c r="Q2003" s="5" t="s">
        <v>266</v>
      </c>
      <c r="R2003" s="5" t="s">
        <v>240</v>
      </c>
      <c r="S2003" s="5" t="s">
        <v>240</v>
      </c>
      <c r="T2003" s="5" t="s">
        <v>296</v>
      </c>
      <c r="U2003" s="5" t="s">
        <v>244</v>
      </c>
      <c r="V2003" s="5" t="s">
        <v>240</v>
      </c>
      <c r="Y2003" s="5" t="s">
        <v>240</v>
      </c>
      <c r="Z2003" s="6" t="s">
        <v>298</v>
      </c>
      <c r="AB2003" s="6" t="s">
        <v>240</v>
      </c>
      <c r="AE2003" s="6" t="s">
        <v>299</v>
      </c>
      <c r="AF2003" s="5" t="s">
        <v>248</v>
      </c>
      <c r="AG2003" s="5" t="s">
        <v>249</v>
      </c>
      <c r="AW2003" s="5" t="s">
        <v>251</v>
      </c>
      <c r="AX2003" s="5" t="s">
        <v>240</v>
      </c>
      <c r="AY2003" s="5" t="s">
        <v>253</v>
      </c>
      <c r="AZ2003" s="5" t="s">
        <v>240</v>
      </c>
      <c r="BA2003" s="5" t="s">
        <v>255</v>
      </c>
      <c r="BB2003" s="5" t="s">
        <v>240</v>
      </c>
      <c r="BD2003" s="5" t="s">
        <v>240</v>
      </c>
      <c r="BF2003" s="5" t="s">
        <v>301</v>
      </c>
      <c r="BG2003" s="6" t="s">
        <v>299</v>
      </c>
      <c r="BH2003" s="5" t="s">
        <v>302</v>
      </c>
      <c r="BI2003" s="5" t="s">
        <v>303</v>
      </c>
      <c r="BJ2003" s="5" t="s">
        <v>240</v>
      </c>
      <c r="BK2003" s="8">
        <f>0</f>
        <v>0</v>
      </c>
      <c r="BL2003" s="7">
        <f>0</f>
        <v>0</v>
      </c>
      <c r="BM2003" s="5" t="s">
        <v>258</v>
      </c>
      <c r="BN2003" s="5" t="s">
        <v>259</v>
      </c>
      <c r="CB2003" s="5" t="s">
        <v>240</v>
      </c>
      <c r="CC2003" s="5" t="s">
        <v>240</v>
      </c>
      <c r="CG2003" s="5" t="s">
        <v>304</v>
      </c>
      <c r="CH2003" s="5" t="s">
        <v>305</v>
      </c>
      <c r="CI2003" s="5" t="s">
        <v>240</v>
      </c>
      <c r="CL2003" s="6" t="s">
        <v>261</v>
      </c>
      <c r="CM2003" s="5" t="s">
        <v>240</v>
      </c>
      <c r="CN2003" s="5" t="s">
        <v>263</v>
      </c>
      <c r="CO2003" s="5" t="s">
        <v>240</v>
      </c>
      <c r="CP2003" s="5" t="s">
        <v>240</v>
      </c>
      <c r="CQ2003" s="5">
        <v>0</v>
      </c>
      <c r="CR2003" s="5" t="s">
        <v>306</v>
      </c>
      <c r="CS2003" s="5" t="s">
        <v>307</v>
      </c>
      <c r="CT2003" s="5" t="s">
        <v>307</v>
      </c>
      <c r="CU2003" s="5" t="s">
        <v>260</v>
      </c>
      <c r="CX2003" s="7">
        <f>1</f>
        <v>1</v>
      </c>
      <c r="CY2003" s="7">
        <f>0</f>
        <v>0</v>
      </c>
      <c r="DA2003" s="7">
        <f>0</f>
        <v>0</v>
      </c>
      <c r="DC2003" s="5" t="s">
        <v>812</v>
      </c>
      <c r="DD2003" s="5" t="s">
        <v>240</v>
      </c>
      <c r="DF2003" s="5" t="s">
        <v>812</v>
      </c>
      <c r="DG2003" s="7">
        <f>342</f>
        <v>342</v>
      </c>
      <c r="DI2003" s="5" t="s">
        <v>240</v>
      </c>
      <c r="DJ2003" s="5" t="s">
        <v>240</v>
      </c>
      <c r="DK2003" s="5" t="s">
        <v>240</v>
      </c>
      <c r="DL2003" s="5" t="s">
        <v>240</v>
      </c>
      <c r="DP2003" s="5" t="s">
        <v>240</v>
      </c>
      <c r="DQ2003" s="5" t="s">
        <v>240</v>
      </c>
      <c r="DR2003" s="5" t="s">
        <v>240</v>
      </c>
      <c r="DS2003" s="5" t="s">
        <v>240</v>
      </c>
      <c r="DV2003" s="5" t="s">
        <v>813</v>
      </c>
      <c r="DW2003" s="5" t="s">
        <v>1068</v>
      </c>
      <c r="HO2003" s="5" t="s">
        <v>312</v>
      </c>
    </row>
    <row r="2004" spans="1:240" x14ac:dyDescent="0.4">
      <c r="A2004" s="5">
        <v>3708</v>
      </c>
      <c r="B2004" s="5">
        <v>1</v>
      </c>
      <c r="C2004" s="5">
        <v>1</v>
      </c>
      <c r="D2004" s="5" t="s">
        <v>810</v>
      </c>
      <c r="E2004" s="5" t="s">
        <v>245</v>
      </c>
      <c r="F2004" s="5" t="s">
        <v>254</v>
      </c>
      <c r="G2004" s="5" t="s">
        <v>240</v>
      </c>
      <c r="H2004" s="6" t="s">
        <v>4288</v>
      </c>
      <c r="I2004" s="5" t="s">
        <v>809</v>
      </c>
      <c r="J2004" s="8">
        <f>1936</f>
        <v>1936</v>
      </c>
      <c r="K2004" s="5" t="s">
        <v>308</v>
      </c>
      <c r="L2004" s="7">
        <f>1</f>
        <v>1</v>
      </c>
      <c r="M2004" s="7">
        <f>1</f>
        <v>1</v>
      </c>
      <c r="N2004" s="5" t="s">
        <v>242</v>
      </c>
      <c r="O2004" s="5">
        <v>1</v>
      </c>
      <c r="P2004" s="5" t="s">
        <v>294</v>
      </c>
      <c r="Q2004" s="5" t="s">
        <v>266</v>
      </c>
      <c r="R2004" s="5" t="s">
        <v>240</v>
      </c>
      <c r="S2004" s="5" t="s">
        <v>240</v>
      </c>
      <c r="T2004" s="5" t="s">
        <v>296</v>
      </c>
      <c r="U2004" s="5" t="s">
        <v>244</v>
      </c>
      <c r="V2004" s="5" t="s">
        <v>240</v>
      </c>
      <c r="Y2004" s="5" t="s">
        <v>240</v>
      </c>
      <c r="Z2004" s="6" t="s">
        <v>298</v>
      </c>
      <c r="AB2004" s="6" t="s">
        <v>240</v>
      </c>
      <c r="AE2004" s="6" t="s">
        <v>299</v>
      </c>
      <c r="AF2004" s="5" t="s">
        <v>248</v>
      </c>
      <c r="AG2004" s="5" t="s">
        <v>249</v>
      </c>
      <c r="AW2004" s="5" t="s">
        <v>251</v>
      </c>
      <c r="AX2004" s="5" t="s">
        <v>240</v>
      </c>
      <c r="AY2004" s="5" t="s">
        <v>253</v>
      </c>
      <c r="AZ2004" s="5" t="s">
        <v>240</v>
      </c>
      <c r="BA2004" s="5" t="s">
        <v>255</v>
      </c>
      <c r="BB2004" s="5" t="s">
        <v>240</v>
      </c>
      <c r="BD2004" s="5" t="s">
        <v>240</v>
      </c>
      <c r="BF2004" s="5" t="s">
        <v>301</v>
      </c>
      <c r="BG2004" s="6" t="s">
        <v>299</v>
      </c>
      <c r="BH2004" s="5" t="s">
        <v>302</v>
      </c>
      <c r="BI2004" s="5" t="s">
        <v>303</v>
      </c>
      <c r="BJ2004" s="5" t="s">
        <v>240</v>
      </c>
      <c r="BK2004" s="8">
        <f>0</f>
        <v>0</v>
      </c>
      <c r="BL2004" s="7">
        <f>0</f>
        <v>0</v>
      </c>
      <c r="BM2004" s="5" t="s">
        <v>258</v>
      </c>
      <c r="BN2004" s="5" t="s">
        <v>259</v>
      </c>
      <c r="CB2004" s="5" t="s">
        <v>240</v>
      </c>
      <c r="CC2004" s="5" t="s">
        <v>240</v>
      </c>
      <c r="CG2004" s="5" t="s">
        <v>304</v>
      </c>
      <c r="CH2004" s="5" t="s">
        <v>305</v>
      </c>
      <c r="CI2004" s="5" t="s">
        <v>240</v>
      </c>
      <c r="CL2004" s="6" t="s">
        <v>261</v>
      </c>
      <c r="CM2004" s="5" t="s">
        <v>240</v>
      </c>
      <c r="CN2004" s="5" t="s">
        <v>263</v>
      </c>
      <c r="CO2004" s="5" t="s">
        <v>240</v>
      </c>
      <c r="CP2004" s="5" t="s">
        <v>240</v>
      </c>
      <c r="CQ2004" s="5">
        <v>0</v>
      </c>
      <c r="CR2004" s="5" t="s">
        <v>306</v>
      </c>
      <c r="CS2004" s="5" t="s">
        <v>307</v>
      </c>
      <c r="CT2004" s="5" t="s">
        <v>307</v>
      </c>
      <c r="CU2004" s="5" t="s">
        <v>260</v>
      </c>
      <c r="CX2004" s="7">
        <f>1</f>
        <v>1</v>
      </c>
      <c r="CY2004" s="7">
        <f>0</f>
        <v>0</v>
      </c>
      <c r="DA2004" s="7">
        <f>0</f>
        <v>0</v>
      </c>
      <c r="DC2004" s="5" t="s">
        <v>812</v>
      </c>
      <c r="DD2004" s="5" t="s">
        <v>240</v>
      </c>
      <c r="DF2004" s="5" t="s">
        <v>812</v>
      </c>
      <c r="DG2004" s="7">
        <f>1895</f>
        <v>1895</v>
      </c>
      <c r="DI2004" s="5" t="s">
        <v>240</v>
      </c>
      <c r="DJ2004" s="5" t="s">
        <v>240</v>
      </c>
      <c r="DK2004" s="5" t="s">
        <v>240</v>
      </c>
      <c r="DL2004" s="5" t="s">
        <v>240</v>
      </c>
      <c r="DP2004" s="5" t="s">
        <v>240</v>
      </c>
      <c r="DQ2004" s="5" t="s">
        <v>240</v>
      </c>
      <c r="DR2004" s="5" t="s">
        <v>240</v>
      </c>
      <c r="DS2004" s="5" t="s">
        <v>240</v>
      </c>
      <c r="DV2004" s="5" t="s">
        <v>813</v>
      </c>
      <c r="DW2004" s="5" t="s">
        <v>1066</v>
      </c>
      <c r="HO2004" s="5" t="s">
        <v>312</v>
      </c>
    </row>
    <row r="2005" spans="1:240" x14ac:dyDescent="0.4">
      <c r="A2005" s="5">
        <v>3709</v>
      </c>
      <c r="B2005" s="5">
        <v>1</v>
      </c>
      <c r="C2005" s="5">
        <v>1</v>
      </c>
      <c r="D2005" s="5" t="s">
        <v>810</v>
      </c>
      <c r="E2005" s="5" t="s">
        <v>245</v>
      </c>
      <c r="F2005" s="5" t="s">
        <v>254</v>
      </c>
      <c r="G2005" s="5" t="s">
        <v>240</v>
      </c>
      <c r="H2005" s="6" t="s">
        <v>4287</v>
      </c>
      <c r="I2005" s="5" t="s">
        <v>809</v>
      </c>
      <c r="J2005" s="8">
        <f>760</f>
        <v>760</v>
      </c>
      <c r="K2005" s="5" t="s">
        <v>308</v>
      </c>
      <c r="L2005" s="7">
        <f>1</f>
        <v>1</v>
      </c>
      <c r="M2005" s="7">
        <f>1</f>
        <v>1</v>
      </c>
      <c r="N2005" s="5" t="s">
        <v>242</v>
      </c>
      <c r="O2005" s="5">
        <v>1</v>
      </c>
      <c r="P2005" s="5" t="s">
        <v>294</v>
      </c>
      <c r="Q2005" s="5" t="s">
        <v>266</v>
      </c>
      <c r="R2005" s="5" t="s">
        <v>240</v>
      </c>
      <c r="S2005" s="5" t="s">
        <v>240</v>
      </c>
      <c r="T2005" s="5" t="s">
        <v>296</v>
      </c>
      <c r="U2005" s="5" t="s">
        <v>244</v>
      </c>
      <c r="V2005" s="5" t="s">
        <v>240</v>
      </c>
      <c r="Y2005" s="5" t="s">
        <v>240</v>
      </c>
      <c r="Z2005" s="6" t="s">
        <v>298</v>
      </c>
      <c r="AB2005" s="6" t="s">
        <v>240</v>
      </c>
      <c r="AE2005" s="6" t="s">
        <v>299</v>
      </c>
      <c r="AF2005" s="5" t="s">
        <v>248</v>
      </c>
      <c r="AG2005" s="5" t="s">
        <v>249</v>
      </c>
      <c r="AW2005" s="5" t="s">
        <v>251</v>
      </c>
      <c r="AX2005" s="5" t="s">
        <v>240</v>
      </c>
      <c r="AY2005" s="5" t="s">
        <v>253</v>
      </c>
      <c r="AZ2005" s="5" t="s">
        <v>240</v>
      </c>
      <c r="BA2005" s="5" t="s">
        <v>255</v>
      </c>
      <c r="BB2005" s="5" t="s">
        <v>240</v>
      </c>
      <c r="BD2005" s="5" t="s">
        <v>240</v>
      </c>
      <c r="BF2005" s="5" t="s">
        <v>301</v>
      </c>
      <c r="BG2005" s="6" t="s">
        <v>299</v>
      </c>
      <c r="BH2005" s="5" t="s">
        <v>302</v>
      </c>
      <c r="BI2005" s="5" t="s">
        <v>303</v>
      </c>
      <c r="BJ2005" s="5" t="s">
        <v>240</v>
      </c>
      <c r="BK2005" s="8">
        <f>0</f>
        <v>0</v>
      </c>
      <c r="BL2005" s="7">
        <f>0</f>
        <v>0</v>
      </c>
      <c r="BM2005" s="5" t="s">
        <v>258</v>
      </c>
      <c r="BN2005" s="5" t="s">
        <v>259</v>
      </c>
      <c r="CB2005" s="5" t="s">
        <v>240</v>
      </c>
      <c r="CC2005" s="5" t="s">
        <v>240</v>
      </c>
      <c r="CG2005" s="5" t="s">
        <v>304</v>
      </c>
      <c r="CH2005" s="5" t="s">
        <v>305</v>
      </c>
      <c r="CI2005" s="5" t="s">
        <v>240</v>
      </c>
      <c r="CL2005" s="6" t="s">
        <v>261</v>
      </c>
      <c r="CM2005" s="5" t="s">
        <v>240</v>
      </c>
      <c r="CN2005" s="5" t="s">
        <v>263</v>
      </c>
      <c r="CO2005" s="5" t="s">
        <v>240</v>
      </c>
      <c r="CP2005" s="5" t="s">
        <v>240</v>
      </c>
      <c r="CQ2005" s="5">
        <v>0</v>
      </c>
      <c r="CR2005" s="5" t="s">
        <v>306</v>
      </c>
      <c r="CS2005" s="5" t="s">
        <v>307</v>
      </c>
      <c r="CT2005" s="5" t="s">
        <v>307</v>
      </c>
      <c r="CU2005" s="5" t="s">
        <v>260</v>
      </c>
      <c r="CX2005" s="7">
        <f>1</f>
        <v>1</v>
      </c>
      <c r="CY2005" s="7">
        <f>0</f>
        <v>0</v>
      </c>
      <c r="DA2005" s="7">
        <f>0</f>
        <v>0</v>
      </c>
      <c r="DC2005" s="5" t="s">
        <v>812</v>
      </c>
      <c r="DD2005" s="5" t="s">
        <v>240</v>
      </c>
      <c r="DF2005" s="5" t="s">
        <v>812</v>
      </c>
      <c r="DG2005" s="7">
        <f>1262</f>
        <v>1262</v>
      </c>
      <c r="DI2005" s="5" t="s">
        <v>240</v>
      </c>
      <c r="DJ2005" s="5" t="s">
        <v>240</v>
      </c>
      <c r="DK2005" s="5" t="s">
        <v>240</v>
      </c>
      <c r="DL2005" s="5" t="s">
        <v>240</v>
      </c>
      <c r="DP2005" s="5" t="s">
        <v>240</v>
      </c>
      <c r="DQ2005" s="5" t="s">
        <v>240</v>
      </c>
      <c r="DR2005" s="5" t="s">
        <v>240</v>
      </c>
      <c r="DS2005" s="5" t="s">
        <v>240</v>
      </c>
      <c r="DV2005" s="5" t="s">
        <v>813</v>
      </c>
      <c r="DW2005" s="5" t="s">
        <v>1064</v>
      </c>
      <c r="HO2005" s="5" t="s">
        <v>312</v>
      </c>
    </row>
    <row r="2006" spans="1:240" x14ac:dyDescent="0.4">
      <c r="A2006" s="5">
        <v>3710</v>
      </c>
      <c r="B2006" s="5">
        <v>1</v>
      </c>
      <c r="C2006" s="5">
        <v>1</v>
      </c>
      <c r="D2006" s="5" t="s">
        <v>810</v>
      </c>
      <c r="E2006" s="5" t="s">
        <v>245</v>
      </c>
      <c r="F2006" s="5" t="s">
        <v>254</v>
      </c>
      <c r="G2006" s="5" t="s">
        <v>240</v>
      </c>
      <c r="H2006" s="6" t="s">
        <v>4286</v>
      </c>
      <c r="I2006" s="5" t="s">
        <v>809</v>
      </c>
      <c r="J2006" s="8">
        <f>3198</f>
        <v>3198</v>
      </c>
      <c r="K2006" s="5" t="s">
        <v>308</v>
      </c>
      <c r="L2006" s="7">
        <f>1</f>
        <v>1</v>
      </c>
      <c r="M2006" s="7">
        <f>1</f>
        <v>1</v>
      </c>
      <c r="N2006" s="5" t="s">
        <v>242</v>
      </c>
      <c r="O2006" s="5">
        <v>1</v>
      </c>
      <c r="P2006" s="5" t="s">
        <v>294</v>
      </c>
      <c r="Q2006" s="5" t="s">
        <v>3678</v>
      </c>
      <c r="R2006" s="5" t="s">
        <v>240</v>
      </c>
      <c r="S2006" s="5" t="s">
        <v>240</v>
      </c>
      <c r="T2006" s="5" t="s">
        <v>243</v>
      </c>
      <c r="U2006" s="5" t="s">
        <v>244</v>
      </c>
      <c r="V2006" s="5" t="s">
        <v>240</v>
      </c>
      <c r="W2006" s="5" t="s">
        <v>240</v>
      </c>
      <c r="X2006" s="5" t="s">
        <v>240</v>
      </c>
      <c r="Y2006" s="5" t="s">
        <v>240</v>
      </c>
      <c r="Z2006" s="6" t="s">
        <v>298</v>
      </c>
      <c r="AA2006" s="6" t="s">
        <v>240</v>
      </c>
      <c r="AB2006" s="6" t="s">
        <v>240</v>
      </c>
      <c r="AC2006" s="5" t="s">
        <v>240</v>
      </c>
      <c r="AD2006" s="6" t="s">
        <v>240</v>
      </c>
      <c r="AE2006" s="6" t="s">
        <v>299</v>
      </c>
      <c r="AF2006" s="5" t="s">
        <v>248</v>
      </c>
      <c r="AG2006" s="5" t="s">
        <v>249</v>
      </c>
      <c r="AH2006" s="5" t="s">
        <v>240</v>
      </c>
      <c r="AI2006" s="5" t="s">
        <v>240</v>
      </c>
      <c r="AJ2006" s="5" t="s">
        <v>240</v>
      </c>
      <c r="AK2006" s="5" t="s">
        <v>240</v>
      </c>
      <c r="AL2006" s="5" t="s">
        <v>240</v>
      </c>
      <c r="AM2006" s="5" t="s">
        <v>240</v>
      </c>
      <c r="AN2006" s="5" t="s">
        <v>240</v>
      </c>
      <c r="AO2006" s="5" t="s">
        <v>240</v>
      </c>
      <c r="AP2006" s="6" t="s">
        <v>240</v>
      </c>
      <c r="AQ2006" s="6" t="s">
        <v>240</v>
      </c>
      <c r="AR2006" s="6" t="s">
        <v>240</v>
      </c>
      <c r="AS2006" s="6" t="s">
        <v>240</v>
      </c>
      <c r="AT2006" s="5" t="s">
        <v>240</v>
      </c>
      <c r="AU2006" s="5" t="s">
        <v>729</v>
      </c>
      <c r="AV2006" s="5" t="s">
        <v>729</v>
      </c>
      <c r="AW2006" s="5" t="s">
        <v>251</v>
      </c>
      <c r="AX2006" s="5" t="s">
        <v>252</v>
      </c>
      <c r="AY2006" s="5" t="s">
        <v>253</v>
      </c>
      <c r="AZ2006" s="5" t="s">
        <v>240</v>
      </c>
      <c r="BA2006" s="5" t="s">
        <v>255</v>
      </c>
      <c r="BB2006" s="5" t="s">
        <v>731</v>
      </c>
      <c r="BD2006" s="5" t="s">
        <v>240</v>
      </c>
      <c r="BF2006" s="5" t="s">
        <v>732</v>
      </c>
      <c r="BG2006" s="6" t="s">
        <v>733</v>
      </c>
      <c r="BH2006" s="5" t="s">
        <v>734</v>
      </c>
      <c r="BI2006" s="5" t="s">
        <v>734</v>
      </c>
      <c r="BJ2006" s="5" t="s">
        <v>240</v>
      </c>
      <c r="BK2006" s="7">
        <f>1</f>
        <v>1</v>
      </c>
      <c r="BL2006" s="7">
        <f>1</f>
        <v>1</v>
      </c>
      <c r="BM2006" s="5" t="s">
        <v>258</v>
      </c>
      <c r="BN2006" s="5" t="s">
        <v>259</v>
      </c>
      <c r="BO2006" s="5" t="s">
        <v>240</v>
      </c>
      <c r="BP2006" s="5" t="s">
        <v>240</v>
      </c>
      <c r="BQ2006" s="5" t="s">
        <v>240</v>
      </c>
      <c r="BR2006" s="5" t="s">
        <v>240</v>
      </c>
      <c r="BS2006" s="5" t="s">
        <v>240</v>
      </c>
      <c r="BT2006" s="5" t="s">
        <v>240</v>
      </c>
      <c r="BU2006" s="5" t="s">
        <v>240</v>
      </c>
      <c r="BV2006" s="5" t="s">
        <v>240</v>
      </c>
      <c r="BW2006" s="6" t="s">
        <v>240</v>
      </c>
      <c r="BX2006" s="5" t="s">
        <v>240</v>
      </c>
      <c r="BY2006" s="5" t="s">
        <v>240</v>
      </c>
      <c r="BZ2006" s="5" t="s">
        <v>240</v>
      </c>
      <c r="CA2006" s="5" t="s">
        <v>259</v>
      </c>
      <c r="CB2006" s="5" t="s">
        <v>240</v>
      </c>
      <c r="CC2006" s="5" t="s">
        <v>240</v>
      </c>
      <c r="CD2006" s="5" t="s">
        <v>240</v>
      </c>
      <c r="CE2006" s="5" t="s">
        <v>240</v>
      </c>
      <c r="CF2006" s="5" t="s">
        <v>240</v>
      </c>
      <c r="CG2006" s="5" t="s">
        <v>304</v>
      </c>
      <c r="CH2006" s="5" t="s">
        <v>305</v>
      </c>
      <c r="CI2006" s="5" t="s">
        <v>240</v>
      </c>
      <c r="CK2006" s="5" t="s">
        <v>3681</v>
      </c>
      <c r="CL2006" s="6" t="s">
        <v>261</v>
      </c>
      <c r="CM2006" s="5" t="s">
        <v>262</v>
      </c>
      <c r="CN2006" s="5" t="s">
        <v>263</v>
      </c>
      <c r="CO2006" s="5" t="s">
        <v>264</v>
      </c>
      <c r="CP2006" s="5" t="s">
        <v>240</v>
      </c>
      <c r="CQ2006" s="5">
        <v>0</v>
      </c>
      <c r="CR2006" s="5" t="s">
        <v>735</v>
      </c>
      <c r="CS2006" s="5" t="s">
        <v>307</v>
      </c>
      <c r="CT2006" s="5" t="s">
        <v>307</v>
      </c>
      <c r="CU2006" s="5" t="s">
        <v>260</v>
      </c>
      <c r="CV2006" s="5" t="s">
        <v>612</v>
      </c>
      <c r="CW2006" s="8">
        <f>1</f>
        <v>1</v>
      </c>
      <c r="CX2006" s="7">
        <f>1</f>
        <v>1</v>
      </c>
      <c r="CY2006" s="7">
        <f>0</f>
        <v>0</v>
      </c>
      <c r="DA2006" s="7">
        <f>1</f>
        <v>1</v>
      </c>
      <c r="DB2006" s="7" t="s">
        <v>240</v>
      </c>
      <c r="DC2006" s="5" t="s">
        <v>240</v>
      </c>
      <c r="DD2006" s="5" t="s">
        <v>240</v>
      </c>
      <c r="DE2006" s="5" t="s">
        <v>240</v>
      </c>
      <c r="DF2006" s="5" t="s">
        <v>240</v>
      </c>
      <c r="DG2006" s="7">
        <f>0</f>
        <v>0</v>
      </c>
      <c r="DI2006" s="5" t="s">
        <v>240</v>
      </c>
      <c r="DJ2006" s="5" t="s">
        <v>240</v>
      </c>
      <c r="DK2006" s="5" t="s">
        <v>240</v>
      </c>
      <c r="DL2006" s="5" t="s">
        <v>240</v>
      </c>
      <c r="DM2006" s="5" t="s">
        <v>240</v>
      </c>
      <c r="DN2006" s="5" t="s">
        <v>240</v>
      </c>
      <c r="DO2006" s="7" t="s">
        <v>240</v>
      </c>
      <c r="DP2006" s="5" t="s">
        <v>240</v>
      </c>
      <c r="DQ2006" s="5" t="s">
        <v>240</v>
      </c>
      <c r="DR2006" s="5" t="s">
        <v>731</v>
      </c>
      <c r="DS2006" s="5" t="s">
        <v>731</v>
      </c>
      <c r="DT2006" s="5" t="s">
        <v>240</v>
      </c>
      <c r="DU2006" s="5" t="s">
        <v>240</v>
      </c>
      <c r="DV2006" s="5" t="s">
        <v>3683</v>
      </c>
      <c r="DW2006" s="5" t="s">
        <v>376</v>
      </c>
      <c r="DX2006" s="5" t="s">
        <v>240</v>
      </c>
      <c r="DY2006" s="5" t="s">
        <v>240</v>
      </c>
      <c r="DZ2006" s="5" t="s">
        <v>240</v>
      </c>
      <c r="EA2006" s="5" t="s">
        <v>240</v>
      </c>
      <c r="EB2006" s="5" t="s">
        <v>240</v>
      </c>
      <c r="EC2006" s="5" t="s">
        <v>240</v>
      </c>
      <c r="ED2006" s="5" t="s">
        <v>240</v>
      </c>
      <c r="EE2006" s="5" t="s">
        <v>240</v>
      </c>
      <c r="EF2006" s="5" t="s">
        <v>240</v>
      </c>
      <c r="EG2006" s="5" t="s">
        <v>240</v>
      </c>
      <c r="EH2006" s="5" t="s">
        <v>240</v>
      </c>
      <c r="EI2006" s="5" t="s">
        <v>240</v>
      </c>
      <c r="EJ2006" s="5" t="s">
        <v>240</v>
      </c>
      <c r="EK2006" s="5" t="s">
        <v>240</v>
      </c>
      <c r="EL2006" s="5" t="s">
        <v>240</v>
      </c>
      <c r="EM2006" s="5" t="s">
        <v>240</v>
      </c>
      <c r="EN2006" s="5" t="s">
        <v>240</v>
      </c>
      <c r="EO2006" s="5" t="s">
        <v>240</v>
      </c>
      <c r="EP2006" s="5" t="s">
        <v>240</v>
      </c>
      <c r="EQ2006" s="5" t="s">
        <v>240</v>
      </c>
      <c r="ER2006" s="5" t="s">
        <v>240</v>
      </c>
      <c r="ES2006" s="5" t="s">
        <v>240</v>
      </c>
      <c r="ET2006" s="5" t="s">
        <v>240</v>
      </c>
      <c r="EU2006" s="5" t="s">
        <v>240</v>
      </c>
      <c r="EV2006" s="5" t="s">
        <v>240</v>
      </c>
      <c r="EW2006" s="5" t="s">
        <v>240</v>
      </c>
      <c r="EX2006" s="5" t="s">
        <v>240</v>
      </c>
      <c r="EY2006" s="5" t="s">
        <v>240</v>
      </c>
      <c r="EZ2006" s="5" t="s">
        <v>240</v>
      </c>
      <c r="FA2006" s="5" t="s">
        <v>240</v>
      </c>
      <c r="FB2006" s="5" t="s">
        <v>240</v>
      </c>
      <c r="FC2006" s="5" t="s">
        <v>240</v>
      </c>
      <c r="FD2006" s="5" t="s">
        <v>240</v>
      </c>
      <c r="FE2006" s="5" t="s">
        <v>240</v>
      </c>
      <c r="FF2006" s="5" t="s">
        <v>240</v>
      </c>
      <c r="FG2006" s="5" t="s">
        <v>240</v>
      </c>
      <c r="FH2006" s="5" t="s">
        <v>240</v>
      </c>
      <c r="FI2006" s="5" t="s">
        <v>240</v>
      </c>
      <c r="FJ2006" s="5" t="s">
        <v>240</v>
      </c>
      <c r="FK2006" s="5" t="s">
        <v>240</v>
      </c>
      <c r="FL2006" s="5" t="s">
        <v>240</v>
      </c>
      <c r="FM2006" s="5" t="s">
        <v>240</v>
      </c>
      <c r="FN2006" s="5" t="s">
        <v>240</v>
      </c>
      <c r="FO2006" s="5" t="s">
        <v>240</v>
      </c>
      <c r="FP2006" s="5" t="s">
        <v>240</v>
      </c>
      <c r="FQ2006" s="5" t="s">
        <v>240</v>
      </c>
      <c r="FR2006" s="5" t="s">
        <v>240</v>
      </c>
      <c r="FS2006" s="5" t="s">
        <v>240</v>
      </c>
      <c r="FT2006" s="5" t="s">
        <v>240</v>
      </c>
      <c r="FU2006" s="5" t="s">
        <v>240</v>
      </c>
      <c r="FV2006" s="5" t="s">
        <v>240</v>
      </c>
      <c r="FW2006" s="5" t="s">
        <v>240</v>
      </c>
      <c r="FX2006" s="5" t="s">
        <v>240</v>
      </c>
      <c r="FY2006" s="5" t="s">
        <v>240</v>
      </c>
      <c r="FZ2006" s="5" t="s">
        <v>240</v>
      </c>
      <c r="GA2006" s="5" t="s">
        <v>240</v>
      </c>
      <c r="GB2006" s="5" t="s">
        <v>240</v>
      </c>
      <c r="GC2006" s="5" t="s">
        <v>240</v>
      </c>
      <c r="GD2006" s="5" t="s">
        <v>240</v>
      </c>
      <c r="GE2006" s="5" t="s">
        <v>240</v>
      </c>
      <c r="GF2006" s="5" t="s">
        <v>240</v>
      </c>
      <c r="GG2006" s="5" t="s">
        <v>240</v>
      </c>
      <c r="GH2006" s="5" t="s">
        <v>240</v>
      </c>
      <c r="GI2006" s="5" t="s">
        <v>240</v>
      </c>
      <c r="GJ2006" s="5" t="s">
        <v>240</v>
      </c>
      <c r="GK2006" s="5" t="s">
        <v>240</v>
      </c>
      <c r="GL2006" s="5" t="s">
        <v>240</v>
      </c>
      <c r="GM2006" s="5" t="s">
        <v>240</v>
      </c>
      <c r="GN2006" s="5" t="s">
        <v>240</v>
      </c>
      <c r="GO2006" s="5" t="s">
        <v>240</v>
      </c>
      <c r="GP2006" s="5" t="s">
        <v>240</v>
      </c>
      <c r="GQ2006" s="5" t="s">
        <v>240</v>
      </c>
      <c r="GR2006" s="5" t="s">
        <v>240</v>
      </c>
      <c r="GS2006" s="5" t="s">
        <v>240</v>
      </c>
      <c r="GT2006" s="5" t="s">
        <v>240</v>
      </c>
      <c r="GU2006" s="5" t="s">
        <v>240</v>
      </c>
      <c r="GV2006" s="5" t="s">
        <v>240</v>
      </c>
      <c r="GW2006" s="5" t="s">
        <v>240</v>
      </c>
      <c r="GX2006" s="5" t="s">
        <v>240</v>
      </c>
      <c r="GY2006" s="5" t="s">
        <v>240</v>
      </c>
      <c r="GZ2006" s="5" t="s">
        <v>240</v>
      </c>
      <c r="HA2006" s="5" t="s">
        <v>240</v>
      </c>
      <c r="HB2006" s="5" t="s">
        <v>240</v>
      </c>
      <c r="HC2006" s="5" t="s">
        <v>240</v>
      </c>
      <c r="HD2006" s="5" t="s">
        <v>240</v>
      </c>
      <c r="HE2006" s="5" t="s">
        <v>240</v>
      </c>
      <c r="HF2006" s="5" t="s">
        <v>240</v>
      </c>
      <c r="HG2006" s="5" t="s">
        <v>240</v>
      </c>
      <c r="HH2006" s="5" t="s">
        <v>240</v>
      </c>
      <c r="HI2006" s="5" t="s">
        <v>240</v>
      </c>
      <c r="HJ2006" s="5" t="s">
        <v>240</v>
      </c>
      <c r="HK2006" s="5" t="s">
        <v>240</v>
      </c>
      <c r="HL2006" s="5" t="s">
        <v>240</v>
      </c>
      <c r="HM2006" s="5" t="s">
        <v>240</v>
      </c>
      <c r="HN2006" s="5" t="s">
        <v>240</v>
      </c>
      <c r="HO2006" s="5" t="s">
        <v>312</v>
      </c>
      <c r="HP2006" s="5" t="s">
        <v>240</v>
      </c>
      <c r="HQ2006" s="5" t="s">
        <v>240</v>
      </c>
      <c r="HR2006" s="5" t="s">
        <v>240</v>
      </c>
      <c r="HS2006" s="5" t="s">
        <v>240</v>
      </c>
      <c r="HT2006" s="5" t="s">
        <v>240</v>
      </c>
      <c r="HU2006" s="5" t="s">
        <v>240</v>
      </c>
      <c r="HV2006" s="5" t="s">
        <v>240</v>
      </c>
      <c r="HW2006" s="5" t="s">
        <v>240</v>
      </c>
      <c r="HX2006" s="5" t="s">
        <v>240</v>
      </c>
      <c r="HY2006" s="5" t="s">
        <v>240</v>
      </c>
      <c r="HZ2006" s="5" t="s">
        <v>240</v>
      </c>
      <c r="IA2006" s="5" t="s">
        <v>240</v>
      </c>
      <c r="IB2006" s="5" t="s">
        <v>240</v>
      </c>
      <c r="IC2006" s="5" t="s">
        <v>240</v>
      </c>
      <c r="ID2006" s="5" t="s">
        <v>240</v>
      </c>
      <c r="IE2006" s="5" t="s">
        <v>240</v>
      </c>
      <c r="IF2006" s="5" t="s">
        <v>240</v>
      </c>
    </row>
    <row r="2007" spans="1:240" x14ac:dyDescent="0.4">
      <c r="A2007" s="5">
        <v>3711</v>
      </c>
      <c r="B2007" s="5">
        <v>1</v>
      </c>
      <c r="C2007" s="5">
        <v>1</v>
      </c>
      <c r="D2007" s="5" t="s">
        <v>810</v>
      </c>
      <c r="E2007" s="5" t="s">
        <v>245</v>
      </c>
      <c r="F2007" s="5" t="s">
        <v>254</v>
      </c>
      <c r="G2007" s="5" t="s">
        <v>240</v>
      </c>
      <c r="H2007" s="6" t="s">
        <v>4285</v>
      </c>
      <c r="I2007" s="5" t="s">
        <v>809</v>
      </c>
      <c r="J2007" s="8">
        <f>597</f>
        <v>597</v>
      </c>
      <c r="K2007" s="5" t="s">
        <v>308</v>
      </c>
      <c r="L2007" s="7">
        <f>1</f>
        <v>1</v>
      </c>
      <c r="M2007" s="7">
        <f>1</f>
        <v>1</v>
      </c>
      <c r="N2007" s="5" t="s">
        <v>242</v>
      </c>
      <c r="O2007" s="5">
        <v>1</v>
      </c>
      <c r="P2007" s="5" t="s">
        <v>294</v>
      </c>
      <c r="Q2007" s="5" t="s">
        <v>266</v>
      </c>
      <c r="R2007" s="5" t="s">
        <v>240</v>
      </c>
      <c r="S2007" s="5" t="s">
        <v>240</v>
      </c>
      <c r="T2007" s="5" t="s">
        <v>296</v>
      </c>
      <c r="U2007" s="5" t="s">
        <v>244</v>
      </c>
      <c r="V2007" s="5" t="s">
        <v>240</v>
      </c>
      <c r="Y2007" s="5" t="s">
        <v>240</v>
      </c>
      <c r="Z2007" s="6" t="s">
        <v>298</v>
      </c>
      <c r="AB2007" s="6" t="s">
        <v>240</v>
      </c>
      <c r="AE2007" s="6" t="s">
        <v>299</v>
      </c>
      <c r="AF2007" s="5" t="s">
        <v>248</v>
      </c>
      <c r="AG2007" s="5" t="s">
        <v>249</v>
      </c>
      <c r="AW2007" s="5" t="s">
        <v>251</v>
      </c>
      <c r="AX2007" s="5" t="s">
        <v>240</v>
      </c>
      <c r="AY2007" s="5" t="s">
        <v>253</v>
      </c>
      <c r="AZ2007" s="5" t="s">
        <v>240</v>
      </c>
      <c r="BA2007" s="5" t="s">
        <v>255</v>
      </c>
      <c r="BB2007" s="5" t="s">
        <v>240</v>
      </c>
      <c r="BD2007" s="5" t="s">
        <v>240</v>
      </c>
      <c r="BF2007" s="5" t="s">
        <v>301</v>
      </c>
      <c r="BG2007" s="6" t="s">
        <v>299</v>
      </c>
      <c r="BH2007" s="5" t="s">
        <v>302</v>
      </c>
      <c r="BI2007" s="5" t="s">
        <v>303</v>
      </c>
      <c r="BJ2007" s="5" t="s">
        <v>240</v>
      </c>
      <c r="BK2007" s="8">
        <f>0</f>
        <v>0</v>
      </c>
      <c r="BL2007" s="7">
        <f>0</f>
        <v>0</v>
      </c>
      <c r="BM2007" s="5" t="s">
        <v>258</v>
      </c>
      <c r="BN2007" s="5" t="s">
        <v>259</v>
      </c>
      <c r="CB2007" s="5" t="s">
        <v>240</v>
      </c>
      <c r="CC2007" s="5" t="s">
        <v>240</v>
      </c>
      <c r="CG2007" s="5" t="s">
        <v>304</v>
      </c>
      <c r="CH2007" s="5" t="s">
        <v>305</v>
      </c>
      <c r="CI2007" s="5" t="s">
        <v>240</v>
      </c>
      <c r="CL2007" s="6" t="s">
        <v>261</v>
      </c>
      <c r="CM2007" s="5" t="s">
        <v>240</v>
      </c>
      <c r="CN2007" s="5" t="s">
        <v>263</v>
      </c>
      <c r="CO2007" s="5" t="s">
        <v>240</v>
      </c>
      <c r="CP2007" s="5" t="s">
        <v>240</v>
      </c>
      <c r="CQ2007" s="5">
        <v>0</v>
      </c>
      <c r="CR2007" s="5" t="s">
        <v>306</v>
      </c>
      <c r="CS2007" s="5" t="s">
        <v>307</v>
      </c>
      <c r="CT2007" s="5" t="s">
        <v>307</v>
      </c>
      <c r="CU2007" s="5" t="s">
        <v>260</v>
      </c>
      <c r="CX2007" s="7">
        <f>1</f>
        <v>1</v>
      </c>
      <c r="CY2007" s="7">
        <f>0</f>
        <v>0</v>
      </c>
      <c r="DA2007" s="7">
        <f>0</f>
        <v>0</v>
      </c>
      <c r="DC2007" s="5" t="s">
        <v>812</v>
      </c>
      <c r="DD2007" s="5" t="s">
        <v>240</v>
      </c>
      <c r="DF2007" s="5" t="s">
        <v>812</v>
      </c>
      <c r="DG2007" s="7">
        <f>1056</f>
        <v>1056</v>
      </c>
      <c r="DI2007" s="5" t="s">
        <v>240</v>
      </c>
      <c r="DJ2007" s="5" t="s">
        <v>240</v>
      </c>
      <c r="DK2007" s="5" t="s">
        <v>240</v>
      </c>
      <c r="DL2007" s="5" t="s">
        <v>240</v>
      </c>
      <c r="DP2007" s="5" t="s">
        <v>240</v>
      </c>
      <c r="DQ2007" s="5" t="s">
        <v>240</v>
      </c>
      <c r="DR2007" s="5" t="s">
        <v>240</v>
      </c>
      <c r="DS2007" s="5" t="s">
        <v>240</v>
      </c>
      <c r="DV2007" s="5" t="s">
        <v>813</v>
      </c>
      <c r="DW2007" s="5" t="s">
        <v>1060</v>
      </c>
      <c r="HO2007" s="5" t="s">
        <v>312</v>
      </c>
    </row>
    <row r="2008" spans="1:240" x14ac:dyDescent="0.4">
      <c r="A2008" s="5">
        <v>3712</v>
      </c>
      <c r="B2008" s="5">
        <v>1</v>
      </c>
      <c r="C2008" s="5">
        <v>1</v>
      </c>
      <c r="D2008" s="5" t="s">
        <v>810</v>
      </c>
      <c r="E2008" s="5" t="s">
        <v>245</v>
      </c>
      <c r="F2008" s="5" t="s">
        <v>254</v>
      </c>
      <c r="G2008" s="5" t="s">
        <v>240</v>
      </c>
      <c r="H2008" s="6" t="s">
        <v>4284</v>
      </c>
      <c r="I2008" s="5" t="s">
        <v>809</v>
      </c>
      <c r="J2008" s="8">
        <f>1539</f>
        <v>1539</v>
      </c>
      <c r="K2008" s="5" t="s">
        <v>308</v>
      </c>
      <c r="L2008" s="7">
        <f>1</f>
        <v>1</v>
      </c>
      <c r="M2008" s="7">
        <f>1</f>
        <v>1</v>
      </c>
      <c r="N2008" s="5" t="s">
        <v>242</v>
      </c>
      <c r="O2008" s="5">
        <v>1</v>
      </c>
      <c r="P2008" s="5" t="s">
        <v>294</v>
      </c>
      <c r="Q2008" s="5" t="s">
        <v>266</v>
      </c>
      <c r="R2008" s="5" t="s">
        <v>240</v>
      </c>
      <c r="S2008" s="5" t="s">
        <v>240</v>
      </c>
      <c r="T2008" s="5" t="s">
        <v>296</v>
      </c>
      <c r="U2008" s="5" t="s">
        <v>244</v>
      </c>
      <c r="V2008" s="5" t="s">
        <v>240</v>
      </c>
      <c r="Y2008" s="5" t="s">
        <v>240</v>
      </c>
      <c r="Z2008" s="6" t="s">
        <v>298</v>
      </c>
      <c r="AB2008" s="6" t="s">
        <v>240</v>
      </c>
      <c r="AE2008" s="6" t="s">
        <v>299</v>
      </c>
      <c r="AF2008" s="5" t="s">
        <v>248</v>
      </c>
      <c r="AG2008" s="5" t="s">
        <v>249</v>
      </c>
      <c r="AW2008" s="5" t="s">
        <v>251</v>
      </c>
      <c r="AX2008" s="5" t="s">
        <v>240</v>
      </c>
      <c r="AY2008" s="5" t="s">
        <v>253</v>
      </c>
      <c r="AZ2008" s="5" t="s">
        <v>240</v>
      </c>
      <c r="BA2008" s="5" t="s">
        <v>255</v>
      </c>
      <c r="BB2008" s="5" t="s">
        <v>240</v>
      </c>
      <c r="BD2008" s="5" t="s">
        <v>240</v>
      </c>
      <c r="BF2008" s="5" t="s">
        <v>301</v>
      </c>
      <c r="BG2008" s="6" t="s">
        <v>299</v>
      </c>
      <c r="BH2008" s="5" t="s">
        <v>302</v>
      </c>
      <c r="BI2008" s="5" t="s">
        <v>303</v>
      </c>
      <c r="BJ2008" s="5" t="s">
        <v>240</v>
      </c>
      <c r="BK2008" s="8">
        <f>0</f>
        <v>0</v>
      </c>
      <c r="BL2008" s="7">
        <f>0</f>
        <v>0</v>
      </c>
      <c r="BM2008" s="5" t="s">
        <v>258</v>
      </c>
      <c r="BN2008" s="5" t="s">
        <v>259</v>
      </c>
      <c r="CB2008" s="5" t="s">
        <v>240</v>
      </c>
      <c r="CC2008" s="5" t="s">
        <v>240</v>
      </c>
      <c r="CG2008" s="5" t="s">
        <v>304</v>
      </c>
      <c r="CH2008" s="5" t="s">
        <v>305</v>
      </c>
      <c r="CI2008" s="5" t="s">
        <v>240</v>
      </c>
      <c r="CL2008" s="6" t="s">
        <v>261</v>
      </c>
      <c r="CM2008" s="5" t="s">
        <v>240</v>
      </c>
      <c r="CN2008" s="5" t="s">
        <v>263</v>
      </c>
      <c r="CO2008" s="5" t="s">
        <v>240</v>
      </c>
      <c r="CP2008" s="5" t="s">
        <v>240</v>
      </c>
      <c r="CQ2008" s="5">
        <v>0</v>
      </c>
      <c r="CR2008" s="5" t="s">
        <v>306</v>
      </c>
      <c r="CS2008" s="5" t="s">
        <v>307</v>
      </c>
      <c r="CT2008" s="5" t="s">
        <v>307</v>
      </c>
      <c r="CU2008" s="5" t="s">
        <v>260</v>
      </c>
      <c r="CX2008" s="7">
        <f>1</f>
        <v>1</v>
      </c>
      <c r="CY2008" s="7">
        <f>0</f>
        <v>0</v>
      </c>
      <c r="DA2008" s="7">
        <f>0</f>
        <v>0</v>
      </c>
      <c r="DC2008" s="5" t="s">
        <v>812</v>
      </c>
      <c r="DD2008" s="5" t="s">
        <v>240</v>
      </c>
      <c r="DF2008" s="5" t="s">
        <v>812</v>
      </c>
      <c r="DG2008" s="7">
        <f>88</f>
        <v>88</v>
      </c>
      <c r="DI2008" s="5" t="s">
        <v>240</v>
      </c>
      <c r="DJ2008" s="5" t="s">
        <v>240</v>
      </c>
      <c r="DK2008" s="5" t="s">
        <v>240</v>
      </c>
      <c r="DL2008" s="5" t="s">
        <v>240</v>
      </c>
      <c r="DP2008" s="5" t="s">
        <v>240</v>
      </c>
      <c r="DQ2008" s="5" t="s">
        <v>240</v>
      </c>
      <c r="DR2008" s="5" t="s">
        <v>240</v>
      </c>
      <c r="DS2008" s="5" t="s">
        <v>240</v>
      </c>
      <c r="DV2008" s="5" t="s">
        <v>813</v>
      </c>
      <c r="DW2008" s="5" t="s">
        <v>1058</v>
      </c>
      <c r="HO2008" s="5" t="s">
        <v>312</v>
      </c>
    </row>
    <row r="2009" spans="1:240" x14ac:dyDescent="0.4">
      <c r="A2009" s="5">
        <v>3713</v>
      </c>
      <c r="B2009" s="5">
        <v>1</v>
      </c>
      <c r="C2009" s="5">
        <v>1</v>
      </c>
      <c r="D2009" s="5" t="s">
        <v>810</v>
      </c>
      <c r="E2009" s="5" t="s">
        <v>245</v>
      </c>
      <c r="F2009" s="5" t="s">
        <v>254</v>
      </c>
      <c r="G2009" s="5" t="s">
        <v>240</v>
      </c>
      <c r="H2009" s="6" t="s">
        <v>5409</v>
      </c>
      <c r="I2009" s="5" t="s">
        <v>809</v>
      </c>
      <c r="J2009" s="8">
        <f>274</f>
        <v>274</v>
      </c>
      <c r="K2009" s="5" t="s">
        <v>308</v>
      </c>
      <c r="L2009" s="7">
        <f>1</f>
        <v>1</v>
      </c>
      <c r="M2009" s="7">
        <f>1</f>
        <v>1</v>
      </c>
      <c r="N2009" s="5" t="s">
        <v>242</v>
      </c>
      <c r="O2009" s="5">
        <v>1</v>
      </c>
      <c r="P2009" s="5" t="s">
        <v>294</v>
      </c>
      <c r="Q2009" s="5" t="s">
        <v>266</v>
      </c>
      <c r="R2009" s="5" t="s">
        <v>240</v>
      </c>
      <c r="S2009" s="5" t="s">
        <v>240</v>
      </c>
      <c r="T2009" s="5" t="s">
        <v>296</v>
      </c>
      <c r="U2009" s="5" t="s">
        <v>244</v>
      </c>
      <c r="V2009" s="5" t="s">
        <v>240</v>
      </c>
      <c r="Y2009" s="5" t="s">
        <v>240</v>
      </c>
      <c r="Z2009" s="6" t="s">
        <v>298</v>
      </c>
      <c r="AB2009" s="6" t="s">
        <v>240</v>
      </c>
      <c r="AE2009" s="6" t="s">
        <v>299</v>
      </c>
      <c r="AF2009" s="5" t="s">
        <v>248</v>
      </c>
      <c r="AG2009" s="5" t="s">
        <v>249</v>
      </c>
      <c r="AW2009" s="5" t="s">
        <v>251</v>
      </c>
      <c r="AX2009" s="5" t="s">
        <v>240</v>
      </c>
      <c r="AY2009" s="5" t="s">
        <v>253</v>
      </c>
      <c r="AZ2009" s="5" t="s">
        <v>240</v>
      </c>
      <c r="BA2009" s="5" t="s">
        <v>255</v>
      </c>
      <c r="BB2009" s="5" t="s">
        <v>240</v>
      </c>
      <c r="BD2009" s="5" t="s">
        <v>240</v>
      </c>
      <c r="BF2009" s="5" t="s">
        <v>301</v>
      </c>
      <c r="BG2009" s="6" t="s">
        <v>299</v>
      </c>
      <c r="BH2009" s="5" t="s">
        <v>302</v>
      </c>
      <c r="BI2009" s="5" t="s">
        <v>303</v>
      </c>
      <c r="BJ2009" s="5" t="s">
        <v>240</v>
      </c>
      <c r="BK2009" s="8">
        <f>0</f>
        <v>0</v>
      </c>
      <c r="BL2009" s="7">
        <f>0</f>
        <v>0</v>
      </c>
      <c r="BM2009" s="5" t="s">
        <v>258</v>
      </c>
      <c r="BN2009" s="5" t="s">
        <v>259</v>
      </c>
      <c r="CB2009" s="5" t="s">
        <v>240</v>
      </c>
      <c r="CC2009" s="5" t="s">
        <v>240</v>
      </c>
      <c r="CG2009" s="5" t="s">
        <v>304</v>
      </c>
      <c r="CH2009" s="5" t="s">
        <v>305</v>
      </c>
      <c r="CI2009" s="5" t="s">
        <v>240</v>
      </c>
      <c r="CL2009" s="6" t="s">
        <v>261</v>
      </c>
      <c r="CM2009" s="5" t="s">
        <v>240</v>
      </c>
      <c r="CN2009" s="5" t="s">
        <v>263</v>
      </c>
      <c r="CO2009" s="5" t="s">
        <v>240</v>
      </c>
      <c r="CP2009" s="5" t="s">
        <v>240</v>
      </c>
      <c r="CQ2009" s="5">
        <v>0</v>
      </c>
      <c r="CR2009" s="5" t="s">
        <v>306</v>
      </c>
      <c r="CS2009" s="5" t="s">
        <v>307</v>
      </c>
      <c r="CT2009" s="5" t="s">
        <v>307</v>
      </c>
      <c r="CU2009" s="5" t="s">
        <v>260</v>
      </c>
      <c r="CX2009" s="7">
        <f>1</f>
        <v>1</v>
      </c>
      <c r="CY2009" s="7">
        <f>0</f>
        <v>0</v>
      </c>
      <c r="DA2009" s="7">
        <f>0</f>
        <v>0</v>
      </c>
      <c r="DC2009" s="5" t="s">
        <v>812</v>
      </c>
      <c r="DD2009" s="5" t="s">
        <v>240</v>
      </c>
      <c r="DF2009" s="5" t="s">
        <v>812</v>
      </c>
      <c r="DG2009" s="7">
        <f>363</f>
        <v>363</v>
      </c>
      <c r="DI2009" s="5" t="s">
        <v>240</v>
      </c>
      <c r="DJ2009" s="5" t="s">
        <v>240</v>
      </c>
      <c r="DK2009" s="5" t="s">
        <v>240</v>
      </c>
      <c r="DL2009" s="5" t="s">
        <v>240</v>
      </c>
      <c r="DP2009" s="5" t="s">
        <v>240</v>
      </c>
      <c r="DQ2009" s="5" t="s">
        <v>240</v>
      </c>
      <c r="DR2009" s="5" t="s">
        <v>240</v>
      </c>
      <c r="DS2009" s="5" t="s">
        <v>240</v>
      </c>
      <c r="DV2009" s="5" t="s">
        <v>813</v>
      </c>
      <c r="DW2009" s="5" t="s">
        <v>1056</v>
      </c>
      <c r="HO2009" s="5" t="s">
        <v>312</v>
      </c>
    </row>
    <row r="2010" spans="1:240" x14ac:dyDescent="0.4">
      <c r="A2010" s="5">
        <v>3714</v>
      </c>
      <c r="B2010" s="5">
        <v>1</v>
      </c>
      <c r="C2010" s="5">
        <v>1</v>
      </c>
      <c r="D2010" s="5" t="s">
        <v>810</v>
      </c>
      <c r="E2010" s="5" t="s">
        <v>245</v>
      </c>
      <c r="F2010" s="5" t="s">
        <v>254</v>
      </c>
      <c r="G2010" s="5" t="s">
        <v>240</v>
      </c>
      <c r="H2010" s="6" t="s">
        <v>4282</v>
      </c>
      <c r="I2010" s="5" t="s">
        <v>809</v>
      </c>
      <c r="J2010" s="8">
        <f>1298</f>
        <v>1298</v>
      </c>
      <c r="K2010" s="5" t="s">
        <v>308</v>
      </c>
      <c r="L2010" s="7">
        <f>1</f>
        <v>1</v>
      </c>
      <c r="M2010" s="7">
        <f>1</f>
        <v>1</v>
      </c>
      <c r="N2010" s="5" t="s">
        <v>242</v>
      </c>
      <c r="O2010" s="5">
        <v>1</v>
      </c>
      <c r="P2010" s="5" t="s">
        <v>294</v>
      </c>
      <c r="Q2010" s="5" t="s">
        <v>266</v>
      </c>
      <c r="R2010" s="5" t="s">
        <v>240</v>
      </c>
      <c r="S2010" s="5" t="s">
        <v>240</v>
      </c>
      <c r="T2010" s="5" t="s">
        <v>296</v>
      </c>
      <c r="U2010" s="5" t="s">
        <v>244</v>
      </c>
      <c r="V2010" s="5" t="s">
        <v>240</v>
      </c>
      <c r="Y2010" s="5" t="s">
        <v>240</v>
      </c>
      <c r="Z2010" s="6" t="s">
        <v>298</v>
      </c>
      <c r="AB2010" s="6" t="s">
        <v>240</v>
      </c>
      <c r="AE2010" s="6" t="s">
        <v>299</v>
      </c>
      <c r="AF2010" s="5" t="s">
        <v>248</v>
      </c>
      <c r="AG2010" s="5" t="s">
        <v>249</v>
      </c>
      <c r="AW2010" s="5" t="s">
        <v>251</v>
      </c>
      <c r="AX2010" s="5" t="s">
        <v>240</v>
      </c>
      <c r="AY2010" s="5" t="s">
        <v>253</v>
      </c>
      <c r="AZ2010" s="5" t="s">
        <v>240</v>
      </c>
      <c r="BA2010" s="5" t="s">
        <v>255</v>
      </c>
      <c r="BB2010" s="5" t="s">
        <v>240</v>
      </c>
      <c r="BD2010" s="5" t="s">
        <v>240</v>
      </c>
      <c r="BF2010" s="5" t="s">
        <v>301</v>
      </c>
      <c r="BG2010" s="6" t="s">
        <v>299</v>
      </c>
      <c r="BH2010" s="5" t="s">
        <v>302</v>
      </c>
      <c r="BI2010" s="5" t="s">
        <v>303</v>
      </c>
      <c r="BJ2010" s="5" t="s">
        <v>240</v>
      </c>
      <c r="BK2010" s="8">
        <f>0</f>
        <v>0</v>
      </c>
      <c r="BL2010" s="7">
        <f>0</f>
        <v>0</v>
      </c>
      <c r="BM2010" s="5" t="s">
        <v>258</v>
      </c>
      <c r="BN2010" s="5" t="s">
        <v>259</v>
      </c>
      <c r="CB2010" s="5" t="s">
        <v>240</v>
      </c>
      <c r="CC2010" s="5" t="s">
        <v>240</v>
      </c>
      <c r="CG2010" s="5" t="s">
        <v>304</v>
      </c>
      <c r="CH2010" s="5" t="s">
        <v>305</v>
      </c>
      <c r="CI2010" s="5" t="s">
        <v>240</v>
      </c>
      <c r="CL2010" s="6" t="s">
        <v>261</v>
      </c>
      <c r="CM2010" s="5" t="s">
        <v>240</v>
      </c>
      <c r="CN2010" s="5" t="s">
        <v>263</v>
      </c>
      <c r="CO2010" s="5" t="s">
        <v>240</v>
      </c>
      <c r="CP2010" s="5" t="s">
        <v>240</v>
      </c>
      <c r="CQ2010" s="5">
        <v>0</v>
      </c>
      <c r="CR2010" s="5" t="s">
        <v>306</v>
      </c>
      <c r="CS2010" s="5" t="s">
        <v>307</v>
      </c>
      <c r="CT2010" s="5" t="s">
        <v>307</v>
      </c>
      <c r="CU2010" s="5" t="s">
        <v>260</v>
      </c>
      <c r="CX2010" s="7">
        <f>1</f>
        <v>1</v>
      </c>
      <c r="CY2010" s="7">
        <f>0</f>
        <v>0</v>
      </c>
      <c r="DA2010" s="7">
        <f>0</f>
        <v>0</v>
      </c>
      <c r="DC2010" s="5" t="s">
        <v>812</v>
      </c>
      <c r="DD2010" s="5" t="s">
        <v>240</v>
      </c>
      <c r="DF2010" s="5" t="s">
        <v>812</v>
      </c>
      <c r="DG2010" s="7">
        <f>1170</f>
        <v>1170</v>
      </c>
      <c r="DI2010" s="5" t="s">
        <v>240</v>
      </c>
      <c r="DJ2010" s="5" t="s">
        <v>240</v>
      </c>
      <c r="DK2010" s="5" t="s">
        <v>240</v>
      </c>
      <c r="DL2010" s="5" t="s">
        <v>240</v>
      </c>
      <c r="DP2010" s="5" t="s">
        <v>240</v>
      </c>
      <c r="DQ2010" s="5" t="s">
        <v>240</v>
      </c>
      <c r="DR2010" s="5" t="s">
        <v>240</v>
      </c>
      <c r="DS2010" s="5" t="s">
        <v>240</v>
      </c>
      <c r="DV2010" s="5" t="s">
        <v>813</v>
      </c>
      <c r="DW2010" s="5" t="s">
        <v>1054</v>
      </c>
      <c r="HO2010" s="5" t="s">
        <v>312</v>
      </c>
    </row>
    <row r="2011" spans="1:240" x14ac:dyDescent="0.4">
      <c r="A2011" s="5">
        <v>3715</v>
      </c>
      <c r="B2011" s="5">
        <v>1</v>
      </c>
      <c r="C2011" s="5">
        <v>1</v>
      </c>
      <c r="D2011" s="5" t="s">
        <v>810</v>
      </c>
      <c r="E2011" s="5" t="s">
        <v>245</v>
      </c>
      <c r="F2011" s="5" t="s">
        <v>254</v>
      </c>
      <c r="G2011" s="5" t="s">
        <v>240</v>
      </c>
      <c r="H2011" s="6" t="s">
        <v>4281</v>
      </c>
      <c r="I2011" s="5" t="s">
        <v>809</v>
      </c>
      <c r="J2011" s="8">
        <f>2410</f>
        <v>2410</v>
      </c>
      <c r="K2011" s="5" t="s">
        <v>308</v>
      </c>
      <c r="L2011" s="7">
        <f>1</f>
        <v>1</v>
      </c>
      <c r="M2011" s="7">
        <f>1</f>
        <v>1</v>
      </c>
      <c r="N2011" s="5" t="s">
        <v>242</v>
      </c>
      <c r="O2011" s="5">
        <v>1</v>
      </c>
      <c r="P2011" s="5" t="s">
        <v>294</v>
      </c>
      <c r="Q2011" s="5" t="s">
        <v>266</v>
      </c>
      <c r="R2011" s="5" t="s">
        <v>240</v>
      </c>
      <c r="S2011" s="5" t="s">
        <v>240</v>
      </c>
      <c r="T2011" s="5" t="s">
        <v>296</v>
      </c>
      <c r="U2011" s="5" t="s">
        <v>244</v>
      </c>
      <c r="V2011" s="5" t="s">
        <v>240</v>
      </c>
      <c r="Y2011" s="5" t="s">
        <v>240</v>
      </c>
      <c r="Z2011" s="6" t="s">
        <v>298</v>
      </c>
      <c r="AB2011" s="6" t="s">
        <v>240</v>
      </c>
      <c r="AE2011" s="6" t="s">
        <v>299</v>
      </c>
      <c r="AF2011" s="5" t="s">
        <v>248</v>
      </c>
      <c r="AG2011" s="5" t="s">
        <v>249</v>
      </c>
      <c r="AW2011" s="5" t="s">
        <v>251</v>
      </c>
      <c r="AX2011" s="5" t="s">
        <v>240</v>
      </c>
      <c r="AY2011" s="5" t="s">
        <v>253</v>
      </c>
      <c r="AZ2011" s="5" t="s">
        <v>240</v>
      </c>
      <c r="BA2011" s="5" t="s">
        <v>255</v>
      </c>
      <c r="BB2011" s="5" t="s">
        <v>240</v>
      </c>
      <c r="BD2011" s="5" t="s">
        <v>240</v>
      </c>
      <c r="BF2011" s="5" t="s">
        <v>301</v>
      </c>
      <c r="BG2011" s="6" t="s">
        <v>299</v>
      </c>
      <c r="BH2011" s="5" t="s">
        <v>302</v>
      </c>
      <c r="BI2011" s="5" t="s">
        <v>303</v>
      </c>
      <c r="BJ2011" s="5" t="s">
        <v>240</v>
      </c>
      <c r="BK2011" s="8">
        <f>0</f>
        <v>0</v>
      </c>
      <c r="BL2011" s="7">
        <f>0</f>
        <v>0</v>
      </c>
      <c r="BM2011" s="5" t="s">
        <v>258</v>
      </c>
      <c r="BN2011" s="5" t="s">
        <v>259</v>
      </c>
      <c r="CB2011" s="5" t="s">
        <v>240</v>
      </c>
      <c r="CC2011" s="5" t="s">
        <v>240</v>
      </c>
      <c r="CG2011" s="5" t="s">
        <v>304</v>
      </c>
      <c r="CH2011" s="5" t="s">
        <v>305</v>
      </c>
      <c r="CI2011" s="5" t="s">
        <v>240</v>
      </c>
      <c r="CL2011" s="6" t="s">
        <v>261</v>
      </c>
      <c r="CM2011" s="5" t="s">
        <v>240</v>
      </c>
      <c r="CN2011" s="5" t="s">
        <v>263</v>
      </c>
      <c r="CO2011" s="5" t="s">
        <v>240</v>
      </c>
      <c r="CP2011" s="5" t="s">
        <v>240</v>
      </c>
      <c r="CQ2011" s="5">
        <v>0</v>
      </c>
      <c r="CR2011" s="5" t="s">
        <v>306</v>
      </c>
      <c r="CS2011" s="5" t="s">
        <v>307</v>
      </c>
      <c r="CT2011" s="5" t="s">
        <v>307</v>
      </c>
      <c r="CU2011" s="5" t="s">
        <v>260</v>
      </c>
      <c r="CX2011" s="7">
        <f>1</f>
        <v>1</v>
      </c>
      <c r="CY2011" s="7">
        <f>0</f>
        <v>0</v>
      </c>
      <c r="DA2011" s="7">
        <f>0</f>
        <v>0</v>
      </c>
      <c r="DC2011" s="5" t="s">
        <v>812</v>
      </c>
      <c r="DD2011" s="5" t="s">
        <v>240</v>
      </c>
      <c r="DF2011" s="5" t="s">
        <v>812</v>
      </c>
      <c r="DG2011" s="7">
        <f>130</f>
        <v>130</v>
      </c>
      <c r="DI2011" s="5" t="s">
        <v>240</v>
      </c>
      <c r="DJ2011" s="5" t="s">
        <v>240</v>
      </c>
      <c r="DK2011" s="5" t="s">
        <v>240</v>
      </c>
      <c r="DL2011" s="5" t="s">
        <v>240</v>
      </c>
      <c r="DP2011" s="5" t="s">
        <v>240</v>
      </c>
      <c r="DQ2011" s="5" t="s">
        <v>240</v>
      </c>
      <c r="DR2011" s="5" t="s">
        <v>240</v>
      </c>
      <c r="DS2011" s="5" t="s">
        <v>240</v>
      </c>
      <c r="DV2011" s="5" t="s">
        <v>813</v>
      </c>
      <c r="DW2011" s="5" t="s">
        <v>1052</v>
      </c>
      <c r="HO2011" s="5" t="s">
        <v>312</v>
      </c>
    </row>
    <row r="2012" spans="1:240" x14ac:dyDescent="0.4">
      <c r="A2012" s="5">
        <v>3716</v>
      </c>
      <c r="B2012" s="5">
        <v>1</v>
      </c>
      <c r="C2012" s="5">
        <v>1</v>
      </c>
      <c r="D2012" s="5" t="s">
        <v>810</v>
      </c>
      <c r="E2012" s="5" t="s">
        <v>245</v>
      </c>
      <c r="F2012" s="5" t="s">
        <v>254</v>
      </c>
      <c r="G2012" s="5" t="s">
        <v>240</v>
      </c>
      <c r="H2012" s="6" t="s">
        <v>4280</v>
      </c>
      <c r="I2012" s="5" t="s">
        <v>809</v>
      </c>
      <c r="J2012" s="8">
        <f>1598</f>
        <v>1598</v>
      </c>
      <c r="K2012" s="5" t="s">
        <v>308</v>
      </c>
      <c r="L2012" s="7">
        <f>1</f>
        <v>1</v>
      </c>
      <c r="M2012" s="7">
        <f>1</f>
        <v>1</v>
      </c>
      <c r="N2012" s="5" t="s">
        <v>242</v>
      </c>
      <c r="O2012" s="5">
        <v>1</v>
      </c>
      <c r="P2012" s="5" t="s">
        <v>294</v>
      </c>
      <c r="Q2012" s="5" t="s">
        <v>266</v>
      </c>
      <c r="R2012" s="5" t="s">
        <v>240</v>
      </c>
      <c r="S2012" s="5" t="s">
        <v>240</v>
      </c>
      <c r="T2012" s="5" t="s">
        <v>296</v>
      </c>
      <c r="U2012" s="5" t="s">
        <v>244</v>
      </c>
      <c r="V2012" s="5" t="s">
        <v>240</v>
      </c>
      <c r="Y2012" s="5" t="s">
        <v>240</v>
      </c>
      <c r="Z2012" s="6" t="s">
        <v>298</v>
      </c>
      <c r="AB2012" s="6" t="s">
        <v>240</v>
      </c>
      <c r="AE2012" s="6" t="s">
        <v>299</v>
      </c>
      <c r="AF2012" s="5" t="s">
        <v>248</v>
      </c>
      <c r="AG2012" s="5" t="s">
        <v>249</v>
      </c>
      <c r="AW2012" s="5" t="s">
        <v>251</v>
      </c>
      <c r="AX2012" s="5" t="s">
        <v>240</v>
      </c>
      <c r="AY2012" s="5" t="s">
        <v>253</v>
      </c>
      <c r="AZ2012" s="5" t="s">
        <v>240</v>
      </c>
      <c r="BA2012" s="5" t="s">
        <v>255</v>
      </c>
      <c r="BB2012" s="5" t="s">
        <v>240</v>
      </c>
      <c r="BD2012" s="5" t="s">
        <v>240</v>
      </c>
      <c r="BF2012" s="5" t="s">
        <v>301</v>
      </c>
      <c r="BG2012" s="6" t="s">
        <v>299</v>
      </c>
      <c r="BH2012" s="5" t="s">
        <v>302</v>
      </c>
      <c r="BI2012" s="5" t="s">
        <v>303</v>
      </c>
      <c r="BJ2012" s="5" t="s">
        <v>240</v>
      </c>
      <c r="BK2012" s="8">
        <f>0</f>
        <v>0</v>
      </c>
      <c r="BL2012" s="7">
        <f>0</f>
        <v>0</v>
      </c>
      <c r="BM2012" s="5" t="s">
        <v>258</v>
      </c>
      <c r="BN2012" s="5" t="s">
        <v>259</v>
      </c>
      <c r="CB2012" s="5" t="s">
        <v>240</v>
      </c>
      <c r="CC2012" s="5" t="s">
        <v>240</v>
      </c>
      <c r="CG2012" s="5" t="s">
        <v>304</v>
      </c>
      <c r="CH2012" s="5" t="s">
        <v>305</v>
      </c>
      <c r="CI2012" s="5" t="s">
        <v>240</v>
      </c>
      <c r="CL2012" s="6" t="s">
        <v>261</v>
      </c>
      <c r="CM2012" s="5" t="s">
        <v>240</v>
      </c>
      <c r="CN2012" s="5" t="s">
        <v>263</v>
      </c>
      <c r="CO2012" s="5" t="s">
        <v>240</v>
      </c>
      <c r="CP2012" s="5" t="s">
        <v>240</v>
      </c>
      <c r="CQ2012" s="5">
        <v>0</v>
      </c>
      <c r="CR2012" s="5" t="s">
        <v>306</v>
      </c>
      <c r="CS2012" s="5" t="s">
        <v>307</v>
      </c>
      <c r="CT2012" s="5" t="s">
        <v>307</v>
      </c>
      <c r="CU2012" s="5" t="s">
        <v>260</v>
      </c>
      <c r="CX2012" s="7">
        <f>1</f>
        <v>1</v>
      </c>
      <c r="CY2012" s="7">
        <f>0</f>
        <v>0</v>
      </c>
      <c r="DA2012" s="7">
        <f>0</f>
        <v>0</v>
      </c>
      <c r="DC2012" s="5" t="s">
        <v>812</v>
      </c>
      <c r="DD2012" s="5" t="s">
        <v>240</v>
      </c>
      <c r="DF2012" s="5" t="s">
        <v>812</v>
      </c>
      <c r="DG2012" s="7">
        <f>688</f>
        <v>688</v>
      </c>
      <c r="DI2012" s="5" t="s">
        <v>240</v>
      </c>
      <c r="DJ2012" s="5" t="s">
        <v>240</v>
      </c>
      <c r="DK2012" s="5" t="s">
        <v>240</v>
      </c>
      <c r="DL2012" s="5" t="s">
        <v>240</v>
      </c>
      <c r="DP2012" s="5" t="s">
        <v>240</v>
      </c>
      <c r="DQ2012" s="5" t="s">
        <v>240</v>
      </c>
      <c r="DR2012" s="5" t="s">
        <v>240</v>
      </c>
      <c r="DS2012" s="5" t="s">
        <v>240</v>
      </c>
      <c r="DV2012" s="5" t="s">
        <v>813</v>
      </c>
      <c r="DW2012" s="5" t="s">
        <v>1050</v>
      </c>
      <c r="HO2012" s="5" t="s">
        <v>312</v>
      </c>
    </row>
    <row r="2013" spans="1:240" x14ac:dyDescent="0.4">
      <c r="A2013" s="5">
        <v>3717</v>
      </c>
      <c r="B2013" s="5">
        <v>1</v>
      </c>
      <c r="C2013" s="5">
        <v>1</v>
      </c>
      <c r="D2013" s="5" t="s">
        <v>810</v>
      </c>
      <c r="E2013" s="5" t="s">
        <v>245</v>
      </c>
      <c r="F2013" s="5" t="s">
        <v>254</v>
      </c>
      <c r="G2013" s="5" t="s">
        <v>240</v>
      </c>
      <c r="H2013" s="6" t="s">
        <v>4279</v>
      </c>
      <c r="I2013" s="5" t="s">
        <v>809</v>
      </c>
      <c r="J2013" s="8">
        <f>1160</f>
        <v>1160</v>
      </c>
      <c r="K2013" s="5" t="s">
        <v>308</v>
      </c>
      <c r="L2013" s="7">
        <f>1</f>
        <v>1</v>
      </c>
      <c r="M2013" s="7">
        <f>1</f>
        <v>1</v>
      </c>
      <c r="N2013" s="5" t="s">
        <v>242</v>
      </c>
      <c r="O2013" s="5">
        <v>1</v>
      </c>
      <c r="P2013" s="5" t="s">
        <v>294</v>
      </c>
      <c r="Q2013" s="5" t="s">
        <v>266</v>
      </c>
      <c r="R2013" s="5" t="s">
        <v>240</v>
      </c>
      <c r="S2013" s="5" t="s">
        <v>240</v>
      </c>
      <c r="T2013" s="5" t="s">
        <v>296</v>
      </c>
      <c r="U2013" s="5" t="s">
        <v>244</v>
      </c>
      <c r="V2013" s="5" t="s">
        <v>240</v>
      </c>
      <c r="Y2013" s="5" t="s">
        <v>240</v>
      </c>
      <c r="Z2013" s="6" t="s">
        <v>298</v>
      </c>
      <c r="AB2013" s="6" t="s">
        <v>240</v>
      </c>
      <c r="AE2013" s="6" t="s">
        <v>299</v>
      </c>
      <c r="AF2013" s="5" t="s">
        <v>248</v>
      </c>
      <c r="AG2013" s="5" t="s">
        <v>249</v>
      </c>
      <c r="AW2013" s="5" t="s">
        <v>251</v>
      </c>
      <c r="AX2013" s="5" t="s">
        <v>240</v>
      </c>
      <c r="AY2013" s="5" t="s">
        <v>253</v>
      </c>
      <c r="AZ2013" s="5" t="s">
        <v>240</v>
      </c>
      <c r="BA2013" s="5" t="s">
        <v>255</v>
      </c>
      <c r="BB2013" s="5" t="s">
        <v>240</v>
      </c>
      <c r="BD2013" s="5" t="s">
        <v>240</v>
      </c>
      <c r="BF2013" s="5" t="s">
        <v>301</v>
      </c>
      <c r="BG2013" s="6" t="s">
        <v>299</v>
      </c>
      <c r="BH2013" s="5" t="s">
        <v>302</v>
      </c>
      <c r="BI2013" s="5" t="s">
        <v>303</v>
      </c>
      <c r="BJ2013" s="5" t="s">
        <v>240</v>
      </c>
      <c r="BK2013" s="8">
        <f>0</f>
        <v>0</v>
      </c>
      <c r="BL2013" s="7">
        <f>0</f>
        <v>0</v>
      </c>
      <c r="BM2013" s="5" t="s">
        <v>258</v>
      </c>
      <c r="BN2013" s="5" t="s">
        <v>259</v>
      </c>
      <c r="CB2013" s="5" t="s">
        <v>240</v>
      </c>
      <c r="CC2013" s="5" t="s">
        <v>240</v>
      </c>
      <c r="CG2013" s="5" t="s">
        <v>304</v>
      </c>
      <c r="CH2013" s="5" t="s">
        <v>305</v>
      </c>
      <c r="CI2013" s="5" t="s">
        <v>240</v>
      </c>
      <c r="CL2013" s="6" t="s">
        <v>261</v>
      </c>
      <c r="CM2013" s="5" t="s">
        <v>240</v>
      </c>
      <c r="CN2013" s="5" t="s">
        <v>263</v>
      </c>
      <c r="CO2013" s="5" t="s">
        <v>240</v>
      </c>
      <c r="CP2013" s="5" t="s">
        <v>240</v>
      </c>
      <c r="CQ2013" s="5">
        <v>0</v>
      </c>
      <c r="CR2013" s="5" t="s">
        <v>306</v>
      </c>
      <c r="CS2013" s="5" t="s">
        <v>307</v>
      </c>
      <c r="CT2013" s="5" t="s">
        <v>307</v>
      </c>
      <c r="CU2013" s="5" t="s">
        <v>260</v>
      </c>
      <c r="CX2013" s="7">
        <f>1</f>
        <v>1</v>
      </c>
      <c r="CY2013" s="7">
        <f>0</f>
        <v>0</v>
      </c>
      <c r="DA2013" s="7">
        <f>0</f>
        <v>0</v>
      </c>
      <c r="DC2013" s="5" t="s">
        <v>812</v>
      </c>
      <c r="DD2013" s="5" t="s">
        <v>240</v>
      </c>
      <c r="DF2013" s="5" t="s">
        <v>812</v>
      </c>
      <c r="DG2013" s="7">
        <f>113</f>
        <v>113</v>
      </c>
      <c r="DI2013" s="5" t="s">
        <v>240</v>
      </c>
      <c r="DJ2013" s="5" t="s">
        <v>240</v>
      </c>
      <c r="DK2013" s="5" t="s">
        <v>240</v>
      </c>
      <c r="DL2013" s="5" t="s">
        <v>240</v>
      </c>
      <c r="DP2013" s="5" t="s">
        <v>240</v>
      </c>
      <c r="DQ2013" s="5" t="s">
        <v>240</v>
      </c>
      <c r="DR2013" s="5" t="s">
        <v>240</v>
      </c>
      <c r="DS2013" s="5" t="s">
        <v>240</v>
      </c>
      <c r="DV2013" s="5" t="s">
        <v>813</v>
      </c>
      <c r="DW2013" s="5" t="s">
        <v>1048</v>
      </c>
      <c r="HO2013" s="5" t="s">
        <v>312</v>
      </c>
    </row>
    <row r="2014" spans="1:240" x14ac:dyDescent="0.4">
      <c r="A2014" s="5">
        <v>3718</v>
      </c>
      <c r="B2014" s="5">
        <v>1</v>
      </c>
      <c r="C2014" s="5">
        <v>1</v>
      </c>
      <c r="D2014" s="5" t="s">
        <v>810</v>
      </c>
      <c r="E2014" s="5" t="s">
        <v>245</v>
      </c>
      <c r="F2014" s="5" t="s">
        <v>254</v>
      </c>
      <c r="G2014" s="5" t="s">
        <v>240</v>
      </c>
      <c r="H2014" s="6" t="s">
        <v>4278</v>
      </c>
      <c r="I2014" s="5" t="s">
        <v>809</v>
      </c>
      <c r="J2014" s="8">
        <f>3258</f>
        <v>3258</v>
      </c>
      <c r="K2014" s="5" t="s">
        <v>308</v>
      </c>
      <c r="L2014" s="7">
        <f>1</f>
        <v>1</v>
      </c>
      <c r="M2014" s="7">
        <f>1</f>
        <v>1</v>
      </c>
      <c r="N2014" s="5" t="s">
        <v>242</v>
      </c>
      <c r="O2014" s="5">
        <v>1</v>
      </c>
      <c r="P2014" s="5" t="s">
        <v>294</v>
      </c>
      <c r="Q2014" s="5" t="s">
        <v>266</v>
      </c>
      <c r="R2014" s="5" t="s">
        <v>240</v>
      </c>
      <c r="S2014" s="5" t="s">
        <v>240</v>
      </c>
      <c r="T2014" s="5" t="s">
        <v>296</v>
      </c>
      <c r="U2014" s="5" t="s">
        <v>244</v>
      </c>
      <c r="V2014" s="5" t="s">
        <v>240</v>
      </c>
      <c r="Y2014" s="5" t="s">
        <v>240</v>
      </c>
      <c r="Z2014" s="6" t="s">
        <v>298</v>
      </c>
      <c r="AB2014" s="6" t="s">
        <v>240</v>
      </c>
      <c r="AE2014" s="6" t="s">
        <v>299</v>
      </c>
      <c r="AF2014" s="5" t="s">
        <v>248</v>
      </c>
      <c r="AG2014" s="5" t="s">
        <v>249</v>
      </c>
      <c r="AW2014" s="5" t="s">
        <v>251</v>
      </c>
      <c r="AX2014" s="5" t="s">
        <v>240</v>
      </c>
      <c r="AY2014" s="5" t="s">
        <v>253</v>
      </c>
      <c r="AZ2014" s="5" t="s">
        <v>240</v>
      </c>
      <c r="BA2014" s="5" t="s">
        <v>255</v>
      </c>
      <c r="BB2014" s="5" t="s">
        <v>240</v>
      </c>
      <c r="BD2014" s="5" t="s">
        <v>240</v>
      </c>
      <c r="BF2014" s="5" t="s">
        <v>301</v>
      </c>
      <c r="BG2014" s="6" t="s">
        <v>299</v>
      </c>
      <c r="BH2014" s="5" t="s">
        <v>302</v>
      </c>
      <c r="BI2014" s="5" t="s">
        <v>303</v>
      </c>
      <c r="BJ2014" s="5" t="s">
        <v>240</v>
      </c>
      <c r="BK2014" s="8">
        <f>0</f>
        <v>0</v>
      </c>
      <c r="BL2014" s="7">
        <f>0</f>
        <v>0</v>
      </c>
      <c r="BM2014" s="5" t="s">
        <v>258</v>
      </c>
      <c r="BN2014" s="5" t="s">
        <v>259</v>
      </c>
      <c r="CB2014" s="5" t="s">
        <v>240</v>
      </c>
      <c r="CC2014" s="5" t="s">
        <v>240</v>
      </c>
      <c r="CG2014" s="5" t="s">
        <v>304</v>
      </c>
      <c r="CH2014" s="5" t="s">
        <v>305</v>
      </c>
      <c r="CI2014" s="5" t="s">
        <v>240</v>
      </c>
      <c r="CL2014" s="6" t="s">
        <v>261</v>
      </c>
      <c r="CM2014" s="5" t="s">
        <v>240</v>
      </c>
      <c r="CN2014" s="5" t="s">
        <v>263</v>
      </c>
      <c r="CO2014" s="5" t="s">
        <v>240</v>
      </c>
      <c r="CP2014" s="5" t="s">
        <v>240</v>
      </c>
      <c r="CQ2014" s="5">
        <v>0</v>
      </c>
      <c r="CR2014" s="5" t="s">
        <v>306</v>
      </c>
      <c r="CS2014" s="5" t="s">
        <v>307</v>
      </c>
      <c r="CT2014" s="5" t="s">
        <v>307</v>
      </c>
      <c r="CU2014" s="5" t="s">
        <v>260</v>
      </c>
      <c r="CX2014" s="7">
        <f>1</f>
        <v>1</v>
      </c>
      <c r="CY2014" s="7">
        <f>0</f>
        <v>0</v>
      </c>
      <c r="DA2014" s="7">
        <f>0</f>
        <v>0</v>
      </c>
      <c r="DC2014" s="5" t="s">
        <v>812</v>
      </c>
      <c r="DD2014" s="5" t="s">
        <v>240</v>
      </c>
      <c r="DF2014" s="5" t="s">
        <v>812</v>
      </c>
      <c r="DG2014" s="7">
        <f>428</f>
        <v>428</v>
      </c>
      <c r="DI2014" s="5" t="s">
        <v>240</v>
      </c>
      <c r="DJ2014" s="5" t="s">
        <v>240</v>
      </c>
      <c r="DK2014" s="5" t="s">
        <v>240</v>
      </c>
      <c r="DL2014" s="5" t="s">
        <v>240</v>
      </c>
      <c r="DP2014" s="5" t="s">
        <v>240</v>
      </c>
      <c r="DQ2014" s="5" t="s">
        <v>240</v>
      </c>
      <c r="DR2014" s="5" t="s">
        <v>240</v>
      </c>
      <c r="DS2014" s="5" t="s">
        <v>240</v>
      </c>
      <c r="DV2014" s="5" t="s">
        <v>813</v>
      </c>
      <c r="DW2014" s="5" t="s">
        <v>1046</v>
      </c>
      <c r="HO2014" s="5" t="s">
        <v>312</v>
      </c>
    </row>
    <row r="2015" spans="1:240" x14ac:dyDescent="0.4">
      <c r="A2015" s="5">
        <v>3719</v>
      </c>
      <c r="B2015" s="5">
        <v>1</v>
      </c>
      <c r="C2015" s="5">
        <v>1</v>
      </c>
      <c r="D2015" s="5" t="s">
        <v>810</v>
      </c>
      <c r="E2015" s="5" t="s">
        <v>245</v>
      </c>
      <c r="F2015" s="5" t="s">
        <v>254</v>
      </c>
      <c r="G2015" s="5" t="s">
        <v>240</v>
      </c>
      <c r="H2015" s="6" t="s">
        <v>4277</v>
      </c>
      <c r="I2015" s="5" t="s">
        <v>809</v>
      </c>
      <c r="J2015" s="8">
        <f>2479</f>
        <v>2479</v>
      </c>
      <c r="K2015" s="5" t="s">
        <v>308</v>
      </c>
      <c r="L2015" s="7">
        <f>1</f>
        <v>1</v>
      </c>
      <c r="M2015" s="7">
        <f>1</f>
        <v>1</v>
      </c>
      <c r="N2015" s="5" t="s">
        <v>242</v>
      </c>
      <c r="O2015" s="5">
        <v>1</v>
      </c>
      <c r="P2015" s="5" t="s">
        <v>294</v>
      </c>
      <c r="Q2015" s="5" t="s">
        <v>266</v>
      </c>
      <c r="R2015" s="5" t="s">
        <v>240</v>
      </c>
      <c r="S2015" s="5" t="s">
        <v>240</v>
      </c>
      <c r="T2015" s="5" t="s">
        <v>296</v>
      </c>
      <c r="U2015" s="5" t="s">
        <v>244</v>
      </c>
      <c r="V2015" s="5" t="s">
        <v>240</v>
      </c>
      <c r="Y2015" s="5" t="s">
        <v>240</v>
      </c>
      <c r="Z2015" s="6" t="s">
        <v>298</v>
      </c>
      <c r="AB2015" s="6" t="s">
        <v>240</v>
      </c>
      <c r="AE2015" s="6" t="s">
        <v>299</v>
      </c>
      <c r="AF2015" s="5" t="s">
        <v>248</v>
      </c>
      <c r="AG2015" s="5" t="s">
        <v>249</v>
      </c>
      <c r="AW2015" s="5" t="s">
        <v>251</v>
      </c>
      <c r="AX2015" s="5" t="s">
        <v>240</v>
      </c>
      <c r="AY2015" s="5" t="s">
        <v>253</v>
      </c>
      <c r="AZ2015" s="5" t="s">
        <v>240</v>
      </c>
      <c r="BA2015" s="5" t="s">
        <v>255</v>
      </c>
      <c r="BB2015" s="5" t="s">
        <v>240</v>
      </c>
      <c r="BD2015" s="5" t="s">
        <v>240</v>
      </c>
      <c r="BF2015" s="5" t="s">
        <v>301</v>
      </c>
      <c r="BG2015" s="6" t="s">
        <v>299</v>
      </c>
      <c r="BH2015" s="5" t="s">
        <v>302</v>
      </c>
      <c r="BI2015" s="5" t="s">
        <v>303</v>
      </c>
      <c r="BJ2015" s="5" t="s">
        <v>240</v>
      </c>
      <c r="BK2015" s="8">
        <f>0</f>
        <v>0</v>
      </c>
      <c r="BL2015" s="7">
        <f>0</f>
        <v>0</v>
      </c>
      <c r="BM2015" s="5" t="s">
        <v>258</v>
      </c>
      <c r="BN2015" s="5" t="s">
        <v>259</v>
      </c>
      <c r="CB2015" s="5" t="s">
        <v>240</v>
      </c>
      <c r="CC2015" s="5" t="s">
        <v>240</v>
      </c>
      <c r="CG2015" s="5" t="s">
        <v>304</v>
      </c>
      <c r="CH2015" s="5" t="s">
        <v>305</v>
      </c>
      <c r="CI2015" s="5" t="s">
        <v>240</v>
      </c>
      <c r="CL2015" s="6" t="s">
        <v>261</v>
      </c>
      <c r="CM2015" s="5" t="s">
        <v>240</v>
      </c>
      <c r="CN2015" s="5" t="s">
        <v>263</v>
      </c>
      <c r="CO2015" s="5" t="s">
        <v>240</v>
      </c>
      <c r="CP2015" s="5" t="s">
        <v>240</v>
      </c>
      <c r="CQ2015" s="5">
        <v>0</v>
      </c>
      <c r="CR2015" s="5" t="s">
        <v>306</v>
      </c>
      <c r="CS2015" s="5" t="s">
        <v>307</v>
      </c>
      <c r="CT2015" s="5" t="s">
        <v>307</v>
      </c>
      <c r="CU2015" s="5" t="s">
        <v>260</v>
      </c>
      <c r="CX2015" s="7">
        <f>1</f>
        <v>1</v>
      </c>
      <c r="CY2015" s="7">
        <f>0</f>
        <v>0</v>
      </c>
      <c r="DA2015" s="7">
        <f>0</f>
        <v>0</v>
      </c>
      <c r="DC2015" s="5" t="s">
        <v>812</v>
      </c>
      <c r="DD2015" s="5" t="s">
        <v>240</v>
      </c>
      <c r="DF2015" s="5" t="s">
        <v>812</v>
      </c>
      <c r="DG2015" s="7">
        <f>696</f>
        <v>696</v>
      </c>
      <c r="DI2015" s="5" t="s">
        <v>240</v>
      </c>
      <c r="DJ2015" s="5" t="s">
        <v>240</v>
      </c>
      <c r="DK2015" s="5" t="s">
        <v>240</v>
      </c>
      <c r="DL2015" s="5" t="s">
        <v>240</v>
      </c>
      <c r="DP2015" s="5" t="s">
        <v>240</v>
      </c>
      <c r="DQ2015" s="5" t="s">
        <v>240</v>
      </c>
      <c r="DR2015" s="5" t="s">
        <v>240</v>
      </c>
      <c r="DS2015" s="5" t="s">
        <v>240</v>
      </c>
      <c r="DV2015" s="5" t="s">
        <v>813</v>
      </c>
      <c r="DW2015" s="5" t="s">
        <v>1044</v>
      </c>
      <c r="HO2015" s="5" t="s">
        <v>312</v>
      </c>
    </row>
    <row r="2016" spans="1:240" x14ac:dyDescent="0.4">
      <c r="A2016" s="5">
        <v>3720</v>
      </c>
      <c r="B2016" s="5">
        <v>1</v>
      </c>
      <c r="C2016" s="5">
        <v>1</v>
      </c>
      <c r="D2016" s="5" t="s">
        <v>810</v>
      </c>
      <c r="E2016" s="5" t="s">
        <v>245</v>
      </c>
      <c r="F2016" s="5" t="s">
        <v>254</v>
      </c>
      <c r="G2016" s="5" t="s">
        <v>240</v>
      </c>
      <c r="H2016" s="6" t="s">
        <v>4276</v>
      </c>
      <c r="I2016" s="5" t="s">
        <v>809</v>
      </c>
      <c r="J2016" s="8">
        <f>787</f>
        <v>787</v>
      </c>
      <c r="K2016" s="5" t="s">
        <v>308</v>
      </c>
      <c r="L2016" s="7">
        <f>1</f>
        <v>1</v>
      </c>
      <c r="M2016" s="7">
        <f>1</f>
        <v>1</v>
      </c>
      <c r="N2016" s="5" t="s">
        <v>242</v>
      </c>
      <c r="O2016" s="5">
        <v>1</v>
      </c>
      <c r="P2016" s="5" t="s">
        <v>294</v>
      </c>
      <c r="Q2016" s="5" t="s">
        <v>266</v>
      </c>
      <c r="R2016" s="5" t="s">
        <v>240</v>
      </c>
      <c r="S2016" s="5" t="s">
        <v>240</v>
      </c>
      <c r="T2016" s="5" t="s">
        <v>296</v>
      </c>
      <c r="U2016" s="5" t="s">
        <v>244</v>
      </c>
      <c r="V2016" s="5" t="s">
        <v>240</v>
      </c>
      <c r="Y2016" s="5" t="s">
        <v>240</v>
      </c>
      <c r="Z2016" s="6" t="s">
        <v>298</v>
      </c>
      <c r="AB2016" s="6" t="s">
        <v>240</v>
      </c>
      <c r="AE2016" s="6" t="s">
        <v>299</v>
      </c>
      <c r="AF2016" s="5" t="s">
        <v>248</v>
      </c>
      <c r="AG2016" s="5" t="s">
        <v>249</v>
      </c>
      <c r="AW2016" s="5" t="s">
        <v>251</v>
      </c>
      <c r="AX2016" s="5" t="s">
        <v>240</v>
      </c>
      <c r="AY2016" s="5" t="s">
        <v>253</v>
      </c>
      <c r="AZ2016" s="5" t="s">
        <v>240</v>
      </c>
      <c r="BA2016" s="5" t="s">
        <v>255</v>
      </c>
      <c r="BB2016" s="5" t="s">
        <v>240</v>
      </c>
      <c r="BD2016" s="5" t="s">
        <v>240</v>
      </c>
      <c r="BF2016" s="5" t="s">
        <v>301</v>
      </c>
      <c r="BG2016" s="6" t="s">
        <v>299</v>
      </c>
      <c r="BH2016" s="5" t="s">
        <v>302</v>
      </c>
      <c r="BI2016" s="5" t="s">
        <v>303</v>
      </c>
      <c r="BJ2016" s="5" t="s">
        <v>240</v>
      </c>
      <c r="BK2016" s="8">
        <f>0</f>
        <v>0</v>
      </c>
      <c r="BL2016" s="7">
        <f>0</f>
        <v>0</v>
      </c>
      <c r="BM2016" s="5" t="s">
        <v>258</v>
      </c>
      <c r="BN2016" s="5" t="s">
        <v>259</v>
      </c>
      <c r="CB2016" s="5" t="s">
        <v>240</v>
      </c>
      <c r="CC2016" s="5" t="s">
        <v>240</v>
      </c>
      <c r="CG2016" s="5" t="s">
        <v>304</v>
      </c>
      <c r="CH2016" s="5" t="s">
        <v>305</v>
      </c>
      <c r="CI2016" s="5" t="s">
        <v>240</v>
      </c>
      <c r="CL2016" s="6" t="s">
        <v>261</v>
      </c>
      <c r="CM2016" s="5" t="s">
        <v>240</v>
      </c>
      <c r="CN2016" s="5" t="s">
        <v>263</v>
      </c>
      <c r="CO2016" s="5" t="s">
        <v>240</v>
      </c>
      <c r="CP2016" s="5" t="s">
        <v>240</v>
      </c>
      <c r="CQ2016" s="5">
        <v>0</v>
      </c>
      <c r="CR2016" s="5" t="s">
        <v>306</v>
      </c>
      <c r="CS2016" s="5" t="s">
        <v>307</v>
      </c>
      <c r="CT2016" s="5" t="s">
        <v>307</v>
      </c>
      <c r="CU2016" s="5" t="s">
        <v>260</v>
      </c>
      <c r="CX2016" s="7">
        <f>1</f>
        <v>1</v>
      </c>
      <c r="CY2016" s="7">
        <f>0</f>
        <v>0</v>
      </c>
      <c r="DA2016" s="7">
        <f>0</f>
        <v>0</v>
      </c>
      <c r="DC2016" s="5" t="s">
        <v>812</v>
      </c>
      <c r="DD2016" s="5" t="s">
        <v>240</v>
      </c>
      <c r="DF2016" s="5" t="s">
        <v>812</v>
      </c>
      <c r="DG2016" s="7">
        <f>143</f>
        <v>143</v>
      </c>
      <c r="DI2016" s="5" t="s">
        <v>240</v>
      </c>
      <c r="DJ2016" s="5" t="s">
        <v>240</v>
      </c>
      <c r="DK2016" s="5" t="s">
        <v>240</v>
      </c>
      <c r="DL2016" s="5" t="s">
        <v>240</v>
      </c>
      <c r="DP2016" s="5" t="s">
        <v>240</v>
      </c>
      <c r="DQ2016" s="5" t="s">
        <v>240</v>
      </c>
      <c r="DR2016" s="5" t="s">
        <v>240</v>
      </c>
      <c r="DS2016" s="5" t="s">
        <v>240</v>
      </c>
      <c r="DV2016" s="5" t="s">
        <v>813</v>
      </c>
      <c r="DW2016" s="5" t="s">
        <v>1042</v>
      </c>
      <c r="HO2016" s="5" t="s">
        <v>312</v>
      </c>
    </row>
    <row r="2017" spans="1:223" x14ac:dyDescent="0.4">
      <c r="A2017" s="5">
        <v>3721</v>
      </c>
      <c r="B2017" s="5">
        <v>1</v>
      </c>
      <c r="C2017" s="5">
        <v>1</v>
      </c>
      <c r="D2017" s="5" t="s">
        <v>810</v>
      </c>
      <c r="E2017" s="5" t="s">
        <v>245</v>
      </c>
      <c r="F2017" s="5" t="s">
        <v>254</v>
      </c>
      <c r="G2017" s="5" t="s">
        <v>240</v>
      </c>
      <c r="H2017" s="6" t="s">
        <v>5401</v>
      </c>
      <c r="I2017" s="5" t="s">
        <v>809</v>
      </c>
      <c r="J2017" s="8">
        <f>639</f>
        <v>639</v>
      </c>
      <c r="K2017" s="5" t="s">
        <v>308</v>
      </c>
      <c r="L2017" s="7">
        <f>1</f>
        <v>1</v>
      </c>
      <c r="M2017" s="7">
        <f>1</f>
        <v>1</v>
      </c>
      <c r="N2017" s="5" t="s">
        <v>242</v>
      </c>
      <c r="O2017" s="5">
        <v>1</v>
      </c>
      <c r="P2017" s="5" t="s">
        <v>294</v>
      </c>
      <c r="Q2017" s="5" t="s">
        <v>266</v>
      </c>
      <c r="R2017" s="5" t="s">
        <v>240</v>
      </c>
      <c r="S2017" s="5" t="s">
        <v>240</v>
      </c>
      <c r="T2017" s="5" t="s">
        <v>296</v>
      </c>
      <c r="U2017" s="5" t="s">
        <v>244</v>
      </c>
      <c r="V2017" s="5" t="s">
        <v>240</v>
      </c>
      <c r="Y2017" s="5" t="s">
        <v>240</v>
      </c>
      <c r="Z2017" s="6" t="s">
        <v>298</v>
      </c>
      <c r="AB2017" s="6" t="s">
        <v>240</v>
      </c>
      <c r="AE2017" s="6" t="s">
        <v>299</v>
      </c>
      <c r="AF2017" s="5" t="s">
        <v>248</v>
      </c>
      <c r="AG2017" s="5" t="s">
        <v>249</v>
      </c>
      <c r="AW2017" s="5" t="s">
        <v>251</v>
      </c>
      <c r="AX2017" s="5" t="s">
        <v>240</v>
      </c>
      <c r="AY2017" s="5" t="s">
        <v>253</v>
      </c>
      <c r="AZ2017" s="5" t="s">
        <v>240</v>
      </c>
      <c r="BA2017" s="5" t="s">
        <v>255</v>
      </c>
      <c r="BB2017" s="5" t="s">
        <v>240</v>
      </c>
      <c r="BD2017" s="5" t="s">
        <v>240</v>
      </c>
      <c r="BF2017" s="5" t="s">
        <v>301</v>
      </c>
      <c r="BG2017" s="6" t="s">
        <v>299</v>
      </c>
      <c r="BH2017" s="5" t="s">
        <v>302</v>
      </c>
      <c r="BI2017" s="5" t="s">
        <v>303</v>
      </c>
      <c r="BJ2017" s="5" t="s">
        <v>240</v>
      </c>
      <c r="BK2017" s="8">
        <f>0</f>
        <v>0</v>
      </c>
      <c r="BL2017" s="7">
        <f>0</f>
        <v>0</v>
      </c>
      <c r="BM2017" s="5" t="s">
        <v>258</v>
      </c>
      <c r="BN2017" s="5" t="s">
        <v>259</v>
      </c>
      <c r="CB2017" s="5" t="s">
        <v>240</v>
      </c>
      <c r="CC2017" s="5" t="s">
        <v>240</v>
      </c>
      <c r="CG2017" s="5" t="s">
        <v>304</v>
      </c>
      <c r="CH2017" s="5" t="s">
        <v>305</v>
      </c>
      <c r="CI2017" s="5" t="s">
        <v>240</v>
      </c>
      <c r="CL2017" s="6" t="s">
        <v>261</v>
      </c>
      <c r="CM2017" s="5" t="s">
        <v>240</v>
      </c>
      <c r="CN2017" s="5" t="s">
        <v>263</v>
      </c>
      <c r="CO2017" s="5" t="s">
        <v>240</v>
      </c>
      <c r="CP2017" s="5" t="s">
        <v>240</v>
      </c>
      <c r="CQ2017" s="5">
        <v>0</v>
      </c>
      <c r="CR2017" s="5" t="s">
        <v>306</v>
      </c>
      <c r="CS2017" s="5" t="s">
        <v>307</v>
      </c>
      <c r="CT2017" s="5" t="s">
        <v>307</v>
      </c>
      <c r="CU2017" s="5" t="s">
        <v>260</v>
      </c>
      <c r="CX2017" s="7">
        <f>1</f>
        <v>1</v>
      </c>
      <c r="CY2017" s="7">
        <f>0</f>
        <v>0</v>
      </c>
      <c r="DA2017" s="7">
        <f>0</f>
        <v>0</v>
      </c>
      <c r="DC2017" s="5" t="s">
        <v>812</v>
      </c>
      <c r="DD2017" s="5" t="s">
        <v>240</v>
      </c>
      <c r="DF2017" s="5" t="s">
        <v>812</v>
      </c>
      <c r="DG2017" s="7">
        <f>29</f>
        <v>29</v>
      </c>
      <c r="DI2017" s="5" t="s">
        <v>240</v>
      </c>
      <c r="DJ2017" s="5" t="s">
        <v>240</v>
      </c>
      <c r="DK2017" s="5" t="s">
        <v>240</v>
      </c>
      <c r="DL2017" s="5" t="s">
        <v>240</v>
      </c>
      <c r="DP2017" s="5" t="s">
        <v>240</v>
      </c>
      <c r="DQ2017" s="5" t="s">
        <v>240</v>
      </c>
      <c r="DR2017" s="5" t="s">
        <v>240</v>
      </c>
      <c r="DS2017" s="5" t="s">
        <v>240</v>
      </c>
      <c r="DV2017" s="5" t="s">
        <v>813</v>
      </c>
      <c r="DW2017" s="5" t="s">
        <v>1040</v>
      </c>
      <c r="HO2017" s="5" t="s">
        <v>312</v>
      </c>
    </row>
    <row r="2018" spans="1:223" x14ac:dyDescent="0.4">
      <c r="A2018" s="5">
        <v>3722</v>
      </c>
      <c r="B2018" s="5">
        <v>1</v>
      </c>
      <c r="C2018" s="5">
        <v>1</v>
      </c>
      <c r="D2018" s="5" t="s">
        <v>810</v>
      </c>
      <c r="E2018" s="5" t="s">
        <v>245</v>
      </c>
      <c r="F2018" s="5" t="s">
        <v>254</v>
      </c>
      <c r="G2018" s="5" t="s">
        <v>240</v>
      </c>
      <c r="H2018" s="6" t="s">
        <v>4274</v>
      </c>
      <c r="I2018" s="5" t="s">
        <v>809</v>
      </c>
      <c r="J2018" s="8">
        <f>2010</f>
        <v>2010</v>
      </c>
      <c r="K2018" s="5" t="s">
        <v>308</v>
      </c>
      <c r="L2018" s="7">
        <f>1</f>
        <v>1</v>
      </c>
      <c r="M2018" s="7">
        <f>1</f>
        <v>1</v>
      </c>
      <c r="N2018" s="5" t="s">
        <v>242</v>
      </c>
      <c r="O2018" s="5">
        <v>1</v>
      </c>
      <c r="P2018" s="5" t="s">
        <v>294</v>
      </c>
      <c r="Q2018" s="5" t="s">
        <v>266</v>
      </c>
      <c r="R2018" s="5" t="s">
        <v>240</v>
      </c>
      <c r="S2018" s="5" t="s">
        <v>240</v>
      </c>
      <c r="T2018" s="5" t="s">
        <v>296</v>
      </c>
      <c r="U2018" s="5" t="s">
        <v>244</v>
      </c>
      <c r="V2018" s="5" t="s">
        <v>240</v>
      </c>
      <c r="Y2018" s="5" t="s">
        <v>240</v>
      </c>
      <c r="Z2018" s="6" t="s">
        <v>298</v>
      </c>
      <c r="AB2018" s="6" t="s">
        <v>240</v>
      </c>
      <c r="AE2018" s="6" t="s">
        <v>299</v>
      </c>
      <c r="AF2018" s="5" t="s">
        <v>248</v>
      </c>
      <c r="AG2018" s="5" t="s">
        <v>249</v>
      </c>
      <c r="AW2018" s="5" t="s">
        <v>251</v>
      </c>
      <c r="AX2018" s="5" t="s">
        <v>240</v>
      </c>
      <c r="AY2018" s="5" t="s">
        <v>253</v>
      </c>
      <c r="AZ2018" s="5" t="s">
        <v>240</v>
      </c>
      <c r="BA2018" s="5" t="s">
        <v>255</v>
      </c>
      <c r="BB2018" s="5" t="s">
        <v>240</v>
      </c>
      <c r="BD2018" s="5" t="s">
        <v>240</v>
      </c>
      <c r="BF2018" s="5" t="s">
        <v>301</v>
      </c>
      <c r="BG2018" s="6" t="s">
        <v>299</v>
      </c>
      <c r="BH2018" s="5" t="s">
        <v>302</v>
      </c>
      <c r="BI2018" s="5" t="s">
        <v>303</v>
      </c>
      <c r="BJ2018" s="5" t="s">
        <v>240</v>
      </c>
      <c r="BK2018" s="8">
        <f>0</f>
        <v>0</v>
      </c>
      <c r="BL2018" s="7">
        <f>0</f>
        <v>0</v>
      </c>
      <c r="BM2018" s="5" t="s">
        <v>258</v>
      </c>
      <c r="BN2018" s="5" t="s">
        <v>259</v>
      </c>
      <c r="CB2018" s="5" t="s">
        <v>240</v>
      </c>
      <c r="CC2018" s="5" t="s">
        <v>240</v>
      </c>
      <c r="CG2018" s="5" t="s">
        <v>304</v>
      </c>
      <c r="CH2018" s="5" t="s">
        <v>305</v>
      </c>
      <c r="CI2018" s="5" t="s">
        <v>240</v>
      </c>
      <c r="CL2018" s="6" t="s">
        <v>261</v>
      </c>
      <c r="CM2018" s="5" t="s">
        <v>240</v>
      </c>
      <c r="CN2018" s="5" t="s">
        <v>263</v>
      </c>
      <c r="CO2018" s="5" t="s">
        <v>240</v>
      </c>
      <c r="CP2018" s="5" t="s">
        <v>240</v>
      </c>
      <c r="CQ2018" s="5">
        <v>0</v>
      </c>
      <c r="CR2018" s="5" t="s">
        <v>306</v>
      </c>
      <c r="CS2018" s="5" t="s">
        <v>307</v>
      </c>
      <c r="CT2018" s="5" t="s">
        <v>307</v>
      </c>
      <c r="CU2018" s="5" t="s">
        <v>260</v>
      </c>
      <c r="CX2018" s="7">
        <f>1</f>
        <v>1</v>
      </c>
      <c r="CY2018" s="7">
        <f>0</f>
        <v>0</v>
      </c>
      <c r="DA2018" s="7">
        <f>0</f>
        <v>0</v>
      </c>
      <c r="DC2018" s="5" t="s">
        <v>812</v>
      </c>
      <c r="DD2018" s="5" t="s">
        <v>240</v>
      </c>
      <c r="DF2018" s="5" t="s">
        <v>812</v>
      </c>
      <c r="DG2018" s="7">
        <f>308</f>
        <v>308</v>
      </c>
      <c r="DI2018" s="5" t="s">
        <v>240</v>
      </c>
      <c r="DJ2018" s="5" t="s">
        <v>240</v>
      </c>
      <c r="DK2018" s="5" t="s">
        <v>240</v>
      </c>
      <c r="DL2018" s="5" t="s">
        <v>240</v>
      </c>
      <c r="DP2018" s="5" t="s">
        <v>240</v>
      </c>
      <c r="DQ2018" s="5" t="s">
        <v>240</v>
      </c>
      <c r="DR2018" s="5" t="s">
        <v>240</v>
      </c>
      <c r="DS2018" s="5" t="s">
        <v>240</v>
      </c>
      <c r="DV2018" s="5" t="s">
        <v>813</v>
      </c>
      <c r="DW2018" s="5" t="s">
        <v>1038</v>
      </c>
      <c r="HO2018" s="5" t="s">
        <v>312</v>
      </c>
    </row>
    <row r="2019" spans="1:223" x14ac:dyDescent="0.4">
      <c r="A2019" s="5">
        <v>3723</v>
      </c>
      <c r="B2019" s="5">
        <v>1</v>
      </c>
      <c r="C2019" s="5">
        <v>1</v>
      </c>
      <c r="D2019" s="5" t="s">
        <v>810</v>
      </c>
      <c r="E2019" s="5" t="s">
        <v>245</v>
      </c>
      <c r="F2019" s="5" t="s">
        <v>254</v>
      </c>
      <c r="G2019" s="5" t="s">
        <v>240</v>
      </c>
      <c r="H2019" s="6" t="s">
        <v>4273</v>
      </c>
      <c r="I2019" s="5" t="s">
        <v>809</v>
      </c>
      <c r="J2019" s="8">
        <f>115</f>
        <v>115</v>
      </c>
      <c r="K2019" s="5" t="s">
        <v>308</v>
      </c>
      <c r="L2019" s="7">
        <f>1</f>
        <v>1</v>
      </c>
      <c r="M2019" s="7">
        <f>1</f>
        <v>1</v>
      </c>
      <c r="N2019" s="5" t="s">
        <v>242</v>
      </c>
      <c r="O2019" s="5">
        <v>1</v>
      </c>
      <c r="P2019" s="5" t="s">
        <v>294</v>
      </c>
      <c r="Q2019" s="5" t="s">
        <v>266</v>
      </c>
      <c r="R2019" s="5" t="s">
        <v>240</v>
      </c>
      <c r="S2019" s="5" t="s">
        <v>240</v>
      </c>
      <c r="T2019" s="5" t="s">
        <v>296</v>
      </c>
      <c r="U2019" s="5" t="s">
        <v>244</v>
      </c>
      <c r="V2019" s="5" t="s">
        <v>240</v>
      </c>
      <c r="Y2019" s="5" t="s">
        <v>240</v>
      </c>
      <c r="Z2019" s="6" t="s">
        <v>298</v>
      </c>
      <c r="AB2019" s="6" t="s">
        <v>240</v>
      </c>
      <c r="AE2019" s="6" t="s">
        <v>299</v>
      </c>
      <c r="AF2019" s="5" t="s">
        <v>248</v>
      </c>
      <c r="AG2019" s="5" t="s">
        <v>249</v>
      </c>
      <c r="AW2019" s="5" t="s">
        <v>251</v>
      </c>
      <c r="AX2019" s="5" t="s">
        <v>240</v>
      </c>
      <c r="AY2019" s="5" t="s">
        <v>253</v>
      </c>
      <c r="AZ2019" s="5" t="s">
        <v>240</v>
      </c>
      <c r="BA2019" s="5" t="s">
        <v>255</v>
      </c>
      <c r="BB2019" s="5" t="s">
        <v>240</v>
      </c>
      <c r="BD2019" s="5" t="s">
        <v>240</v>
      </c>
      <c r="BF2019" s="5" t="s">
        <v>301</v>
      </c>
      <c r="BG2019" s="6" t="s">
        <v>299</v>
      </c>
      <c r="BH2019" s="5" t="s">
        <v>302</v>
      </c>
      <c r="BI2019" s="5" t="s">
        <v>303</v>
      </c>
      <c r="BJ2019" s="5" t="s">
        <v>240</v>
      </c>
      <c r="BK2019" s="8">
        <f>0</f>
        <v>0</v>
      </c>
      <c r="BL2019" s="7">
        <f>0</f>
        <v>0</v>
      </c>
      <c r="BM2019" s="5" t="s">
        <v>258</v>
      </c>
      <c r="BN2019" s="5" t="s">
        <v>259</v>
      </c>
      <c r="CB2019" s="5" t="s">
        <v>240</v>
      </c>
      <c r="CC2019" s="5" t="s">
        <v>240</v>
      </c>
      <c r="CG2019" s="5" t="s">
        <v>304</v>
      </c>
      <c r="CH2019" s="5" t="s">
        <v>305</v>
      </c>
      <c r="CI2019" s="5" t="s">
        <v>240</v>
      </c>
      <c r="CL2019" s="6" t="s">
        <v>261</v>
      </c>
      <c r="CM2019" s="5" t="s">
        <v>240</v>
      </c>
      <c r="CN2019" s="5" t="s">
        <v>263</v>
      </c>
      <c r="CO2019" s="5" t="s">
        <v>240</v>
      </c>
      <c r="CP2019" s="5" t="s">
        <v>240</v>
      </c>
      <c r="CQ2019" s="5">
        <v>0</v>
      </c>
      <c r="CR2019" s="5" t="s">
        <v>306</v>
      </c>
      <c r="CS2019" s="5" t="s">
        <v>307</v>
      </c>
      <c r="CT2019" s="5" t="s">
        <v>307</v>
      </c>
      <c r="CU2019" s="5" t="s">
        <v>260</v>
      </c>
      <c r="CX2019" s="7">
        <f>1</f>
        <v>1</v>
      </c>
      <c r="CY2019" s="7">
        <f>0</f>
        <v>0</v>
      </c>
      <c r="DA2019" s="7">
        <f>0</f>
        <v>0</v>
      </c>
      <c r="DC2019" s="5" t="s">
        <v>812</v>
      </c>
      <c r="DD2019" s="5" t="s">
        <v>240</v>
      </c>
      <c r="DF2019" s="5" t="s">
        <v>812</v>
      </c>
      <c r="DG2019" s="7">
        <f>704</f>
        <v>704</v>
      </c>
      <c r="DI2019" s="5" t="s">
        <v>240</v>
      </c>
      <c r="DJ2019" s="5" t="s">
        <v>240</v>
      </c>
      <c r="DK2019" s="5" t="s">
        <v>240</v>
      </c>
      <c r="DL2019" s="5" t="s">
        <v>240</v>
      </c>
      <c r="DP2019" s="5" t="s">
        <v>240</v>
      </c>
      <c r="DQ2019" s="5" t="s">
        <v>240</v>
      </c>
      <c r="DR2019" s="5" t="s">
        <v>240</v>
      </c>
      <c r="DS2019" s="5" t="s">
        <v>240</v>
      </c>
      <c r="DV2019" s="5" t="s">
        <v>813</v>
      </c>
      <c r="DW2019" s="5" t="s">
        <v>1036</v>
      </c>
      <c r="HO2019" s="5" t="s">
        <v>312</v>
      </c>
    </row>
    <row r="2020" spans="1:223" x14ac:dyDescent="0.4">
      <c r="A2020" s="5">
        <v>3724</v>
      </c>
      <c r="B2020" s="5">
        <v>1</v>
      </c>
      <c r="C2020" s="5">
        <v>1</v>
      </c>
      <c r="D2020" s="5" t="s">
        <v>810</v>
      </c>
      <c r="E2020" s="5" t="s">
        <v>245</v>
      </c>
      <c r="F2020" s="5" t="s">
        <v>254</v>
      </c>
      <c r="G2020" s="5" t="s">
        <v>240</v>
      </c>
      <c r="H2020" s="6" t="s">
        <v>4272</v>
      </c>
      <c r="I2020" s="5" t="s">
        <v>809</v>
      </c>
      <c r="J2020" s="8">
        <f>233</f>
        <v>233</v>
      </c>
      <c r="K2020" s="5" t="s">
        <v>308</v>
      </c>
      <c r="L2020" s="7">
        <f>1</f>
        <v>1</v>
      </c>
      <c r="M2020" s="7">
        <f>1</f>
        <v>1</v>
      </c>
      <c r="N2020" s="5" t="s">
        <v>242</v>
      </c>
      <c r="O2020" s="5">
        <v>1</v>
      </c>
      <c r="P2020" s="5" t="s">
        <v>294</v>
      </c>
      <c r="Q2020" s="5" t="s">
        <v>266</v>
      </c>
      <c r="R2020" s="5" t="s">
        <v>240</v>
      </c>
      <c r="S2020" s="5" t="s">
        <v>240</v>
      </c>
      <c r="T2020" s="5" t="s">
        <v>296</v>
      </c>
      <c r="U2020" s="5" t="s">
        <v>244</v>
      </c>
      <c r="V2020" s="5" t="s">
        <v>240</v>
      </c>
      <c r="Y2020" s="5" t="s">
        <v>240</v>
      </c>
      <c r="Z2020" s="6" t="s">
        <v>298</v>
      </c>
      <c r="AB2020" s="6" t="s">
        <v>240</v>
      </c>
      <c r="AE2020" s="6" t="s">
        <v>299</v>
      </c>
      <c r="AF2020" s="5" t="s">
        <v>248</v>
      </c>
      <c r="AG2020" s="5" t="s">
        <v>249</v>
      </c>
      <c r="AW2020" s="5" t="s">
        <v>251</v>
      </c>
      <c r="AX2020" s="5" t="s">
        <v>240</v>
      </c>
      <c r="AY2020" s="5" t="s">
        <v>253</v>
      </c>
      <c r="AZ2020" s="5" t="s">
        <v>240</v>
      </c>
      <c r="BA2020" s="5" t="s">
        <v>255</v>
      </c>
      <c r="BB2020" s="5" t="s">
        <v>240</v>
      </c>
      <c r="BD2020" s="5" t="s">
        <v>240</v>
      </c>
      <c r="BF2020" s="5" t="s">
        <v>301</v>
      </c>
      <c r="BG2020" s="6" t="s">
        <v>299</v>
      </c>
      <c r="BH2020" s="5" t="s">
        <v>302</v>
      </c>
      <c r="BI2020" s="5" t="s">
        <v>303</v>
      </c>
      <c r="BJ2020" s="5" t="s">
        <v>240</v>
      </c>
      <c r="BK2020" s="8">
        <f>0</f>
        <v>0</v>
      </c>
      <c r="BL2020" s="7">
        <f>0</f>
        <v>0</v>
      </c>
      <c r="BM2020" s="5" t="s">
        <v>258</v>
      </c>
      <c r="BN2020" s="5" t="s">
        <v>259</v>
      </c>
      <c r="CB2020" s="5" t="s">
        <v>240</v>
      </c>
      <c r="CC2020" s="5" t="s">
        <v>240</v>
      </c>
      <c r="CG2020" s="5" t="s">
        <v>304</v>
      </c>
      <c r="CH2020" s="5" t="s">
        <v>305</v>
      </c>
      <c r="CI2020" s="5" t="s">
        <v>240</v>
      </c>
      <c r="CL2020" s="6" t="s">
        <v>261</v>
      </c>
      <c r="CM2020" s="5" t="s">
        <v>240</v>
      </c>
      <c r="CN2020" s="5" t="s">
        <v>263</v>
      </c>
      <c r="CO2020" s="5" t="s">
        <v>240</v>
      </c>
      <c r="CP2020" s="5" t="s">
        <v>240</v>
      </c>
      <c r="CQ2020" s="5">
        <v>0</v>
      </c>
      <c r="CR2020" s="5" t="s">
        <v>306</v>
      </c>
      <c r="CS2020" s="5" t="s">
        <v>307</v>
      </c>
      <c r="CT2020" s="5" t="s">
        <v>307</v>
      </c>
      <c r="CU2020" s="5" t="s">
        <v>260</v>
      </c>
      <c r="CX2020" s="7">
        <f>1</f>
        <v>1</v>
      </c>
      <c r="CY2020" s="7">
        <f>0</f>
        <v>0</v>
      </c>
      <c r="DA2020" s="7">
        <f>0</f>
        <v>0</v>
      </c>
      <c r="DC2020" s="5" t="s">
        <v>812</v>
      </c>
      <c r="DD2020" s="5" t="s">
        <v>240</v>
      </c>
      <c r="DF2020" s="5" t="s">
        <v>812</v>
      </c>
      <c r="DG2020" s="7">
        <f>110</f>
        <v>110</v>
      </c>
      <c r="DI2020" s="5" t="s">
        <v>240</v>
      </c>
      <c r="DJ2020" s="5" t="s">
        <v>240</v>
      </c>
      <c r="DK2020" s="5" t="s">
        <v>240</v>
      </c>
      <c r="DL2020" s="5" t="s">
        <v>240</v>
      </c>
      <c r="DP2020" s="5" t="s">
        <v>240</v>
      </c>
      <c r="DQ2020" s="5" t="s">
        <v>240</v>
      </c>
      <c r="DR2020" s="5" t="s">
        <v>240</v>
      </c>
      <c r="DS2020" s="5" t="s">
        <v>240</v>
      </c>
      <c r="DV2020" s="5" t="s">
        <v>813</v>
      </c>
      <c r="DW2020" s="5" t="s">
        <v>1034</v>
      </c>
      <c r="HO2020" s="5" t="s">
        <v>312</v>
      </c>
    </row>
    <row r="2021" spans="1:223" x14ac:dyDescent="0.4">
      <c r="A2021" s="5">
        <v>3725</v>
      </c>
      <c r="B2021" s="5">
        <v>1</v>
      </c>
      <c r="C2021" s="5">
        <v>1</v>
      </c>
      <c r="D2021" s="5" t="s">
        <v>810</v>
      </c>
      <c r="E2021" s="5" t="s">
        <v>245</v>
      </c>
      <c r="F2021" s="5" t="s">
        <v>254</v>
      </c>
      <c r="G2021" s="5" t="s">
        <v>240</v>
      </c>
      <c r="H2021" s="6" t="s">
        <v>4271</v>
      </c>
      <c r="I2021" s="5" t="s">
        <v>809</v>
      </c>
      <c r="J2021" s="8">
        <f>268</f>
        <v>268</v>
      </c>
      <c r="K2021" s="5" t="s">
        <v>308</v>
      </c>
      <c r="L2021" s="7">
        <f>1</f>
        <v>1</v>
      </c>
      <c r="M2021" s="7">
        <f>1</f>
        <v>1</v>
      </c>
      <c r="N2021" s="5" t="s">
        <v>242</v>
      </c>
      <c r="O2021" s="5">
        <v>1</v>
      </c>
      <c r="P2021" s="5" t="s">
        <v>294</v>
      </c>
      <c r="Q2021" s="5" t="s">
        <v>266</v>
      </c>
      <c r="R2021" s="5" t="s">
        <v>240</v>
      </c>
      <c r="S2021" s="5" t="s">
        <v>240</v>
      </c>
      <c r="T2021" s="5" t="s">
        <v>296</v>
      </c>
      <c r="U2021" s="5" t="s">
        <v>244</v>
      </c>
      <c r="V2021" s="5" t="s">
        <v>240</v>
      </c>
      <c r="Y2021" s="5" t="s">
        <v>240</v>
      </c>
      <c r="Z2021" s="6" t="s">
        <v>298</v>
      </c>
      <c r="AB2021" s="6" t="s">
        <v>240</v>
      </c>
      <c r="AE2021" s="6" t="s">
        <v>299</v>
      </c>
      <c r="AF2021" s="5" t="s">
        <v>248</v>
      </c>
      <c r="AG2021" s="5" t="s">
        <v>249</v>
      </c>
      <c r="AW2021" s="5" t="s">
        <v>251</v>
      </c>
      <c r="AX2021" s="5" t="s">
        <v>240</v>
      </c>
      <c r="AY2021" s="5" t="s">
        <v>253</v>
      </c>
      <c r="AZ2021" s="5" t="s">
        <v>240</v>
      </c>
      <c r="BA2021" s="5" t="s">
        <v>255</v>
      </c>
      <c r="BB2021" s="5" t="s">
        <v>240</v>
      </c>
      <c r="BD2021" s="5" t="s">
        <v>240</v>
      </c>
      <c r="BF2021" s="5" t="s">
        <v>301</v>
      </c>
      <c r="BG2021" s="6" t="s">
        <v>299</v>
      </c>
      <c r="BH2021" s="5" t="s">
        <v>302</v>
      </c>
      <c r="BI2021" s="5" t="s">
        <v>303</v>
      </c>
      <c r="BJ2021" s="5" t="s">
        <v>240</v>
      </c>
      <c r="BK2021" s="8">
        <f>0</f>
        <v>0</v>
      </c>
      <c r="BL2021" s="7">
        <f>0</f>
        <v>0</v>
      </c>
      <c r="BM2021" s="5" t="s">
        <v>258</v>
      </c>
      <c r="BN2021" s="5" t="s">
        <v>259</v>
      </c>
      <c r="CB2021" s="5" t="s">
        <v>240</v>
      </c>
      <c r="CC2021" s="5" t="s">
        <v>240</v>
      </c>
      <c r="CG2021" s="5" t="s">
        <v>304</v>
      </c>
      <c r="CH2021" s="5" t="s">
        <v>305</v>
      </c>
      <c r="CI2021" s="5" t="s">
        <v>240</v>
      </c>
      <c r="CL2021" s="6" t="s">
        <v>261</v>
      </c>
      <c r="CM2021" s="5" t="s">
        <v>240</v>
      </c>
      <c r="CN2021" s="5" t="s">
        <v>263</v>
      </c>
      <c r="CO2021" s="5" t="s">
        <v>240</v>
      </c>
      <c r="CP2021" s="5" t="s">
        <v>240</v>
      </c>
      <c r="CQ2021" s="5">
        <v>0</v>
      </c>
      <c r="CR2021" s="5" t="s">
        <v>306</v>
      </c>
      <c r="CS2021" s="5" t="s">
        <v>307</v>
      </c>
      <c r="CT2021" s="5" t="s">
        <v>307</v>
      </c>
      <c r="CU2021" s="5" t="s">
        <v>260</v>
      </c>
      <c r="CX2021" s="7">
        <f>1</f>
        <v>1</v>
      </c>
      <c r="CY2021" s="7">
        <f>0</f>
        <v>0</v>
      </c>
      <c r="DA2021" s="7">
        <f>0</f>
        <v>0</v>
      </c>
      <c r="DC2021" s="5" t="s">
        <v>812</v>
      </c>
      <c r="DD2021" s="5" t="s">
        <v>240</v>
      </c>
      <c r="DF2021" s="5" t="s">
        <v>812</v>
      </c>
      <c r="DG2021" s="7">
        <f>1303</f>
        <v>1303</v>
      </c>
      <c r="DI2021" s="5" t="s">
        <v>240</v>
      </c>
      <c r="DJ2021" s="5" t="s">
        <v>240</v>
      </c>
      <c r="DK2021" s="5" t="s">
        <v>240</v>
      </c>
      <c r="DL2021" s="5" t="s">
        <v>240</v>
      </c>
      <c r="DP2021" s="5" t="s">
        <v>240</v>
      </c>
      <c r="DQ2021" s="5" t="s">
        <v>240</v>
      </c>
      <c r="DR2021" s="5" t="s">
        <v>240</v>
      </c>
      <c r="DS2021" s="5" t="s">
        <v>240</v>
      </c>
      <c r="DV2021" s="5" t="s">
        <v>813</v>
      </c>
      <c r="DW2021" s="5" t="s">
        <v>1032</v>
      </c>
      <c r="HO2021" s="5" t="s">
        <v>312</v>
      </c>
    </row>
    <row r="2022" spans="1:223" x14ac:dyDescent="0.4">
      <c r="A2022" s="5">
        <v>3726</v>
      </c>
      <c r="B2022" s="5">
        <v>1</v>
      </c>
      <c r="C2022" s="5">
        <v>1</v>
      </c>
      <c r="D2022" s="5" t="s">
        <v>810</v>
      </c>
      <c r="E2022" s="5" t="s">
        <v>245</v>
      </c>
      <c r="F2022" s="5" t="s">
        <v>254</v>
      </c>
      <c r="G2022" s="5" t="s">
        <v>240</v>
      </c>
      <c r="H2022" s="6" t="s">
        <v>4270</v>
      </c>
      <c r="I2022" s="5" t="s">
        <v>809</v>
      </c>
      <c r="J2022" s="8">
        <f>232</f>
        <v>232</v>
      </c>
      <c r="K2022" s="5" t="s">
        <v>308</v>
      </c>
      <c r="L2022" s="7">
        <f>1</f>
        <v>1</v>
      </c>
      <c r="M2022" s="7">
        <f>1</f>
        <v>1</v>
      </c>
      <c r="N2022" s="5" t="s">
        <v>242</v>
      </c>
      <c r="O2022" s="5">
        <v>1</v>
      </c>
      <c r="P2022" s="5" t="s">
        <v>294</v>
      </c>
      <c r="Q2022" s="5" t="s">
        <v>266</v>
      </c>
      <c r="R2022" s="5" t="s">
        <v>240</v>
      </c>
      <c r="S2022" s="5" t="s">
        <v>240</v>
      </c>
      <c r="T2022" s="5" t="s">
        <v>296</v>
      </c>
      <c r="U2022" s="5" t="s">
        <v>244</v>
      </c>
      <c r="V2022" s="5" t="s">
        <v>240</v>
      </c>
      <c r="Y2022" s="5" t="s">
        <v>240</v>
      </c>
      <c r="Z2022" s="6" t="s">
        <v>298</v>
      </c>
      <c r="AB2022" s="6" t="s">
        <v>240</v>
      </c>
      <c r="AE2022" s="6" t="s">
        <v>299</v>
      </c>
      <c r="AF2022" s="5" t="s">
        <v>248</v>
      </c>
      <c r="AG2022" s="5" t="s">
        <v>249</v>
      </c>
      <c r="AW2022" s="5" t="s">
        <v>251</v>
      </c>
      <c r="AX2022" s="5" t="s">
        <v>240</v>
      </c>
      <c r="AY2022" s="5" t="s">
        <v>253</v>
      </c>
      <c r="AZ2022" s="5" t="s">
        <v>240</v>
      </c>
      <c r="BA2022" s="5" t="s">
        <v>255</v>
      </c>
      <c r="BB2022" s="5" t="s">
        <v>240</v>
      </c>
      <c r="BD2022" s="5" t="s">
        <v>240</v>
      </c>
      <c r="BF2022" s="5" t="s">
        <v>301</v>
      </c>
      <c r="BG2022" s="6" t="s">
        <v>299</v>
      </c>
      <c r="BH2022" s="5" t="s">
        <v>302</v>
      </c>
      <c r="BI2022" s="5" t="s">
        <v>303</v>
      </c>
      <c r="BJ2022" s="5" t="s">
        <v>240</v>
      </c>
      <c r="BK2022" s="8">
        <f>0</f>
        <v>0</v>
      </c>
      <c r="BL2022" s="7">
        <f>0</f>
        <v>0</v>
      </c>
      <c r="BM2022" s="5" t="s">
        <v>258</v>
      </c>
      <c r="BN2022" s="5" t="s">
        <v>259</v>
      </c>
      <c r="CB2022" s="5" t="s">
        <v>240</v>
      </c>
      <c r="CC2022" s="5" t="s">
        <v>240</v>
      </c>
      <c r="CG2022" s="5" t="s">
        <v>304</v>
      </c>
      <c r="CH2022" s="5" t="s">
        <v>305</v>
      </c>
      <c r="CI2022" s="5" t="s">
        <v>240</v>
      </c>
      <c r="CL2022" s="6" t="s">
        <v>261</v>
      </c>
      <c r="CM2022" s="5" t="s">
        <v>240</v>
      </c>
      <c r="CN2022" s="5" t="s">
        <v>263</v>
      </c>
      <c r="CO2022" s="5" t="s">
        <v>240</v>
      </c>
      <c r="CP2022" s="5" t="s">
        <v>240</v>
      </c>
      <c r="CQ2022" s="5">
        <v>0</v>
      </c>
      <c r="CR2022" s="5" t="s">
        <v>306</v>
      </c>
      <c r="CS2022" s="5" t="s">
        <v>307</v>
      </c>
      <c r="CT2022" s="5" t="s">
        <v>307</v>
      </c>
      <c r="CU2022" s="5" t="s">
        <v>260</v>
      </c>
      <c r="CX2022" s="7">
        <f>1</f>
        <v>1</v>
      </c>
      <c r="CY2022" s="7">
        <f>0</f>
        <v>0</v>
      </c>
      <c r="DA2022" s="7">
        <f>0</f>
        <v>0</v>
      </c>
      <c r="DC2022" s="5" t="s">
        <v>812</v>
      </c>
      <c r="DD2022" s="5" t="s">
        <v>240</v>
      </c>
      <c r="DF2022" s="5" t="s">
        <v>812</v>
      </c>
      <c r="DG2022" s="7">
        <f>488</f>
        <v>488</v>
      </c>
      <c r="DI2022" s="5" t="s">
        <v>240</v>
      </c>
      <c r="DJ2022" s="5" t="s">
        <v>240</v>
      </c>
      <c r="DK2022" s="5" t="s">
        <v>240</v>
      </c>
      <c r="DL2022" s="5" t="s">
        <v>240</v>
      </c>
      <c r="DP2022" s="5" t="s">
        <v>240</v>
      </c>
      <c r="DQ2022" s="5" t="s">
        <v>240</v>
      </c>
      <c r="DR2022" s="5" t="s">
        <v>240</v>
      </c>
      <c r="DS2022" s="5" t="s">
        <v>240</v>
      </c>
      <c r="DV2022" s="5" t="s">
        <v>813</v>
      </c>
      <c r="DW2022" s="5" t="s">
        <v>1030</v>
      </c>
      <c r="HO2022" s="5" t="s">
        <v>312</v>
      </c>
    </row>
    <row r="2023" spans="1:223" x14ac:dyDescent="0.4">
      <c r="A2023" s="5">
        <v>3727</v>
      </c>
      <c r="B2023" s="5">
        <v>1</v>
      </c>
      <c r="C2023" s="5">
        <v>1</v>
      </c>
      <c r="D2023" s="5" t="s">
        <v>810</v>
      </c>
      <c r="E2023" s="5" t="s">
        <v>245</v>
      </c>
      <c r="F2023" s="5" t="s">
        <v>254</v>
      </c>
      <c r="G2023" s="5" t="s">
        <v>240</v>
      </c>
      <c r="H2023" s="6" t="s">
        <v>4269</v>
      </c>
      <c r="I2023" s="5" t="s">
        <v>809</v>
      </c>
      <c r="J2023" s="8">
        <f>61</f>
        <v>61</v>
      </c>
      <c r="K2023" s="5" t="s">
        <v>308</v>
      </c>
      <c r="L2023" s="7">
        <f>1</f>
        <v>1</v>
      </c>
      <c r="M2023" s="7">
        <f>1</f>
        <v>1</v>
      </c>
      <c r="N2023" s="5" t="s">
        <v>242</v>
      </c>
      <c r="O2023" s="5">
        <v>1</v>
      </c>
      <c r="P2023" s="5" t="s">
        <v>294</v>
      </c>
      <c r="Q2023" s="5" t="s">
        <v>266</v>
      </c>
      <c r="R2023" s="5" t="s">
        <v>240</v>
      </c>
      <c r="S2023" s="5" t="s">
        <v>240</v>
      </c>
      <c r="T2023" s="5" t="s">
        <v>296</v>
      </c>
      <c r="U2023" s="5" t="s">
        <v>244</v>
      </c>
      <c r="V2023" s="5" t="s">
        <v>240</v>
      </c>
      <c r="Y2023" s="5" t="s">
        <v>240</v>
      </c>
      <c r="Z2023" s="6" t="s">
        <v>298</v>
      </c>
      <c r="AB2023" s="6" t="s">
        <v>240</v>
      </c>
      <c r="AE2023" s="6" t="s">
        <v>299</v>
      </c>
      <c r="AF2023" s="5" t="s">
        <v>248</v>
      </c>
      <c r="AG2023" s="5" t="s">
        <v>249</v>
      </c>
      <c r="AW2023" s="5" t="s">
        <v>251</v>
      </c>
      <c r="AX2023" s="5" t="s">
        <v>240</v>
      </c>
      <c r="AY2023" s="5" t="s">
        <v>253</v>
      </c>
      <c r="AZ2023" s="5" t="s">
        <v>240</v>
      </c>
      <c r="BA2023" s="5" t="s">
        <v>255</v>
      </c>
      <c r="BB2023" s="5" t="s">
        <v>240</v>
      </c>
      <c r="BD2023" s="5" t="s">
        <v>240</v>
      </c>
      <c r="BF2023" s="5" t="s">
        <v>301</v>
      </c>
      <c r="BG2023" s="6" t="s">
        <v>299</v>
      </c>
      <c r="BH2023" s="5" t="s">
        <v>302</v>
      </c>
      <c r="BI2023" s="5" t="s">
        <v>303</v>
      </c>
      <c r="BJ2023" s="5" t="s">
        <v>240</v>
      </c>
      <c r="BK2023" s="8">
        <f>0</f>
        <v>0</v>
      </c>
      <c r="BL2023" s="7">
        <f>0</f>
        <v>0</v>
      </c>
      <c r="BM2023" s="5" t="s">
        <v>258</v>
      </c>
      <c r="BN2023" s="5" t="s">
        <v>259</v>
      </c>
      <c r="CB2023" s="5" t="s">
        <v>240</v>
      </c>
      <c r="CC2023" s="5" t="s">
        <v>240</v>
      </c>
      <c r="CG2023" s="5" t="s">
        <v>304</v>
      </c>
      <c r="CH2023" s="5" t="s">
        <v>305</v>
      </c>
      <c r="CI2023" s="5" t="s">
        <v>240</v>
      </c>
      <c r="CL2023" s="6" t="s">
        <v>261</v>
      </c>
      <c r="CM2023" s="5" t="s">
        <v>240</v>
      </c>
      <c r="CN2023" s="5" t="s">
        <v>263</v>
      </c>
      <c r="CO2023" s="5" t="s">
        <v>240</v>
      </c>
      <c r="CP2023" s="5" t="s">
        <v>240</v>
      </c>
      <c r="CQ2023" s="5">
        <v>0</v>
      </c>
      <c r="CR2023" s="5" t="s">
        <v>306</v>
      </c>
      <c r="CS2023" s="5" t="s">
        <v>307</v>
      </c>
      <c r="CT2023" s="5" t="s">
        <v>307</v>
      </c>
      <c r="CU2023" s="5" t="s">
        <v>260</v>
      </c>
      <c r="CX2023" s="7">
        <f>1</f>
        <v>1</v>
      </c>
      <c r="CY2023" s="7">
        <f>0</f>
        <v>0</v>
      </c>
      <c r="DA2023" s="7">
        <f>0</f>
        <v>0</v>
      </c>
      <c r="DC2023" s="5" t="s">
        <v>812</v>
      </c>
      <c r="DD2023" s="5" t="s">
        <v>240</v>
      </c>
      <c r="DF2023" s="5" t="s">
        <v>812</v>
      </c>
      <c r="DG2023" s="7">
        <f>103</f>
        <v>103</v>
      </c>
      <c r="DI2023" s="5" t="s">
        <v>240</v>
      </c>
      <c r="DJ2023" s="5" t="s">
        <v>240</v>
      </c>
      <c r="DK2023" s="5" t="s">
        <v>240</v>
      </c>
      <c r="DL2023" s="5" t="s">
        <v>240</v>
      </c>
      <c r="DP2023" s="5" t="s">
        <v>240</v>
      </c>
      <c r="DQ2023" s="5" t="s">
        <v>240</v>
      </c>
      <c r="DR2023" s="5" t="s">
        <v>240</v>
      </c>
      <c r="DS2023" s="5" t="s">
        <v>240</v>
      </c>
      <c r="DV2023" s="5" t="s">
        <v>813</v>
      </c>
      <c r="DW2023" s="5" t="s">
        <v>410</v>
      </c>
      <c r="HO2023" s="5" t="s">
        <v>312</v>
      </c>
    </row>
    <row r="2024" spans="1:223" x14ac:dyDescent="0.4">
      <c r="A2024" s="5">
        <v>3728</v>
      </c>
      <c r="B2024" s="5">
        <v>1</v>
      </c>
      <c r="C2024" s="5">
        <v>1</v>
      </c>
      <c r="D2024" s="5" t="s">
        <v>810</v>
      </c>
      <c r="E2024" s="5" t="s">
        <v>245</v>
      </c>
      <c r="F2024" s="5" t="s">
        <v>254</v>
      </c>
      <c r="G2024" s="5" t="s">
        <v>240</v>
      </c>
      <c r="H2024" s="6" t="s">
        <v>4268</v>
      </c>
      <c r="I2024" s="5" t="s">
        <v>809</v>
      </c>
      <c r="J2024" s="8">
        <f>394</f>
        <v>394</v>
      </c>
      <c r="K2024" s="5" t="s">
        <v>308</v>
      </c>
      <c r="L2024" s="7">
        <f>1</f>
        <v>1</v>
      </c>
      <c r="M2024" s="7">
        <f>1</f>
        <v>1</v>
      </c>
      <c r="N2024" s="5" t="s">
        <v>242</v>
      </c>
      <c r="O2024" s="5">
        <v>1</v>
      </c>
      <c r="P2024" s="5" t="s">
        <v>294</v>
      </c>
      <c r="Q2024" s="5" t="s">
        <v>266</v>
      </c>
      <c r="R2024" s="5" t="s">
        <v>240</v>
      </c>
      <c r="S2024" s="5" t="s">
        <v>240</v>
      </c>
      <c r="T2024" s="5" t="s">
        <v>296</v>
      </c>
      <c r="U2024" s="5" t="s">
        <v>244</v>
      </c>
      <c r="V2024" s="5" t="s">
        <v>240</v>
      </c>
      <c r="Y2024" s="5" t="s">
        <v>240</v>
      </c>
      <c r="Z2024" s="6" t="s">
        <v>298</v>
      </c>
      <c r="AB2024" s="6" t="s">
        <v>240</v>
      </c>
      <c r="AE2024" s="6" t="s">
        <v>299</v>
      </c>
      <c r="AF2024" s="5" t="s">
        <v>248</v>
      </c>
      <c r="AG2024" s="5" t="s">
        <v>249</v>
      </c>
      <c r="AW2024" s="5" t="s">
        <v>251</v>
      </c>
      <c r="AX2024" s="5" t="s">
        <v>240</v>
      </c>
      <c r="AY2024" s="5" t="s">
        <v>253</v>
      </c>
      <c r="AZ2024" s="5" t="s">
        <v>240</v>
      </c>
      <c r="BA2024" s="5" t="s">
        <v>255</v>
      </c>
      <c r="BB2024" s="5" t="s">
        <v>240</v>
      </c>
      <c r="BD2024" s="5" t="s">
        <v>240</v>
      </c>
      <c r="BF2024" s="5" t="s">
        <v>301</v>
      </c>
      <c r="BG2024" s="6" t="s">
        <v>299</v>
      </c>
      <c r="BH2024" s="5" t="s">
        <v>302</v>
      </c>
      <c r="BI2024" s="5" t="s">
        <v>303</v>
      </c>
      <c r="BJ2024" s="5" t="s">
        <v>240</v>
      </c>
      <c r="BK2024" s="8">
        <f>0</f>
        <v>0</v>
      </c>
      <c r="BL2024" s="7">
        <f>0</f>
        <v>0</v>
      </c>
      <c r="BM2024" s="5" t="s">
        <v>258</v>
      </c>
      <c r="BN2024" s="5" t="s">
        <v>259</v>
      </c>
      <c r="CB2024" s="5" t="s">
        <v>240</v>
      </c>
      <c r="CC2024" s="5" t="s">
        <v>240</v>
      </c>
      <c r="CG2024" s="5" t="s">
        <v>304</v>
      </c>
      <c r="CH2024" s="5" t="s">
        <v>305</v>
      </c>
      <c r="CI2024" s="5" t="s">
        <v>240</v>
      </c>
      <c r="CL2024" s="6" t="s">
        <v>261</v>
      </c>
      <c r="CM2024" s="5" t="s">
        <v>240</v>
      </c>
      <c r="CN2024" s="5" t="s">
        <v>263</v>
      </c>
      <c r="CO2024" s="5" t="s">
        <v>240</v>
      </c>
      <c r="CP2024" s="5" t="s">
        <v>240</v>
      </c>
      <c r="CQ2024" s="5">
        <v>0</v>
      </c>
      <c r="CR2024" s="5" t="s">
        <v>306</v>
      </c>
      <c r="CS2024" s="5" t="s">
        <v>307</v>
      </c>
      <c r="CT2024" s="5" t="s">
        <v>307</v>
      </c>
      <c r="CU2024" s="5" t="s">
        <v>260</v>
      </c>
      <c r="CX2024" s="7">
        <f>1</f>
        <v>1</v>
      </c>
      <c r="CY2024" s="7">
        <f>0</f>
        <v>0</v>
      </c>
      <c r="DA2024" s="7">
        <f>0</f>
        <v>0</v>
      </c>
      <c r="DC2024" s="5" t="s">
        <v>812</v>
      </c>
      <c r="DD2024" s="5" t="s">
        <v>240</v>
      </c>
      <c r="DF2024" s="5" t="s">
        <v>812</v>
      </c>
      <c r="DG2024" s="7">
        <f>20</f>
        <v>20</v>
      </c>
      <c r="DI2024" s="5" t="s">
        <v>240</v>
      </c>
      <c r="DJ2024" s="5" t="s">
        <v>240</v>
      </c>
      <c r="DK2024" s="5" t="s">
        <v>240</v>
      </c>
      <c r="DL2024" s="5" t="s">
        <v>240</v>
      </c>
      <c r="DP2024" s="5" t="s">
        <v>240</v>
      </c>
      <c r="DQ2024" s="5" t="s">
        <v>240</v>
      </c>
      <c r="DR2024" s="5" t="s">
        <v>240</v>
      </c>
      <c r="DS2024" s="5" t="s">
        <v>240</v>
      </c>
      <c r="DV2024" s="5" t="s">
        <v>813</v>
      </c>
      <c r="DW2024" s="5" t="s">
        <v>4095</v>
      </c>
      <c r="HO2024" s="5" t="s">
        <v>312</v>
      </c>
    </row>
    <row r="2025" spans="1:223" x14ac:dyDescent="0.4">
      <c r="A2025" s="5">
        <v>3729</v>
      </c>
      <c r="B2025" s="5">
        <v>1</v>
      </c>
      <c r="C2025" s="5">
        <v>1</v>
      </c>
      <c r="D2025" s="5" t="s">
        <v>810</v>
      </c>
      <c r="E2025" s="5" t="s">
        <v>245</v>
      </c>
      <c r="F2025" s="5" t="s">
        <v>254</v>
      </c>
      <c r="G2025" s="5" t="s">
        <v>240</v>
      </c>
      <c r="H2025" s="6" t="s">
        <v>5393</v>
      </c>
      <c r="I2025" s="5" t="s">
        <v>809</v>
      </c>
      <c r="J2025" s="8">
        <f>138</f>
        <v>138</v>
      </c>
      <c r="K2025" s="5" t="s">
        <v>308</v>
      </c>
      <c r="L2025" s="7">
        <f>1</f>
        <v>1</v>
      </c>
      <c r="M2025" s="7">
        <f>1</f>
        <v>1</v>
      </c>
      <c r="N2025" s="5" t="s">
        <v>242</v>
      </c>
      <c r="O2025" s="5">
        <v>1</v>
      </c>
      <c r="P2025" s="5" t="s">
        <v>294</v>
      </c>
      <c r="Q2025" s="5" t="s">
        <v>266</v>
      </c>
      <c r="R2025" s="5" t="s">
        <v>240</v>
      </c>
      <c r="S2025" s="5" t="s">
        <v>240</v>
      </c>
      <c r="T2025" s="5" t="s">
        <v>296</v>
      </c>
      <c r="U2025" s="5" t="s">
        <v>244</v>
      </c>
      <c r="V2025" s="5" t="s">
        <v>240</v>
      </c>
      <c r="Y2025" s="5" t="s">
        <v>240</v>
      </c>
      <c r="Z2025" s="6" t="s">
        <v>298</v>
      </c>
      <c r="AB2025" s="6" t="s">
        <v>240</v>
      </c>
      <c r="AE2025" s="6" t="s">
        <v>299</v>
      </c>
      <c r="AF2025" s="5" t="s">
        <v>248</v>
      </c>
      <c r="AG2025" s="5" t="s">
        <v>249</v>
      </c>
      <c r="AW2025" s="5" t="s">
        <v>251</v>
      </c>
      <c r="AX2025" s="5" t="s">
        <v>240</v>
      </c>
      <c r="AY2025" s="5" t="s">
        <v>253</v>
      </c>
      <c r="AZ2025" s="5" t="s">
        <v>240</v>
      </c>
      <c r="BA2025" s="5" t="s">
        <v>255</v>
      </c>
      <c r="BB2025" s="5" t="s">
        <v>240</v>
      </c>
      <c r="BD2025" s="5" t="s">
        <v>240</v>
      </c>
      <c r="BF2025" s="5" t="s">
        <v>301</v>
      </c>
      <c r="BG2025" s="6" t="s">
        <v>299</v>
      </c>
      <c r="BH2025" s="5" t="s">
        <v>302</v>
      </c>
      <c r="BI2025" s="5" t="s">
        <v>303</v>
      </c>
      <c r="BJ2025" s="5" t="s">
        <v>240</v>
      </c>
      <c r="BK2025" s="8">
        <f>0</f>
        <v>0</v>
      </c>
      <c r="BL2025" s="7">
        <f>0</f>
        <v>0</v>
      </c>
      <c r="BM2025" s="5" t="s">
        <v>258</v>
      </c>
      <c r="BN2025" s="5" t="s">
        <v>259</v>
      </c>
      <c r="CB2025" s="5" t="s">
        <v>240</v>
      </c>
      <c r="CC2025" s="5" t="s">
        <v>240</v>
      </c>
      <c r="CG2025" s="5" t="s">
        <v>304</v>
      </c>
      <c r="CH2025" s="5" t="s">
        <v>305</v>
      </c>
      <c r="CI2025" s="5" t="s">
        <v>240</v>
      </c>
      <c r="CL2025" s="6" t="s">
        <v>261</v>
      </c>
      <c r="CM2025" s="5" t="s">
        <v>240</v>
      </c>
      <c r="CN2025" s="5" t="s">
        <v>263</v>
      </c>
      <c r="CO2025" s="5" t="s">
        <v>240</v>
      </c>
      <c r="CP2025" s="5" t="s">
        <v>240</v>
      </c>
      <c r="CQ2025" s="5">
        <v>0</v>
      </c>
      <c r="CR2025" s="5" t="s">
        <v>306</v>
      </c>
      <c r="CS2025" s="5" t="s">
        <v>307</v>
      </c>
      <c r="CT2025" s="5" t="s">
        <v>307</v>
      </c>
      <c r="CU2025" s="5" t="s">
        <v>260</v>
      </c>
      <c r="CX2025" s="7">
        <f>1</f>
        <v>1</v>
      </c>
      <c r="CY2025" s="7">
        <f>0</f>
        <v>0</v>
      </c>
      <c r="DA2025" s="7">
        <f>0</f>
        <v>0</v>
      </c>
      <c r="DC2025" s="5" t="s">
        <v>812</v>
      </c>
      <c r="DD2025" s="5" t="s">
        <v>240</v>
      </c>
      <c r="DF2025" s="5" t="s">
        <v>812</v>
      </c>
      <c r="DG2025" s="7">
        <f>117</f>
        <v>117</v>
      </c>
      <c r="DI2025" s="5" t="s">
        <v>240</v>
      </c>
      <c r="DJ2025" s="5" t="s">
        <v>240</v>
      </c>
      <c r="DK2025" s="5" t="s">
        <v>240</v>
      </c>
      <c r="DL2025" s="5" t="s">
        <v>240</v>
      </c>
      <c r="DP2025" s="5" t="s">
        <v>240</v>
      </c>
      <c r="DQ2025" s="5" t="s">
        <v>240</v>
      </c>
      <c r="DR2025" s="5" t="s">
        <v>240</v>
      </c>
      <c r="DS2025" s="5" t="s">
        <v>240</v>
      </c>
      <c r="DV2025" s="5" t="s">
        <v>813</v>
      </c>
      <c r="DW2025" s="5" t="s">
        <v>4097</v>
      </c>
      <c r="HO2025" s="5" t="s">
        <v>312</v>
      </c>
    </row>
    <row r="2026" spans="1:223" x14ac:dyDescent="0.4">
      <c r="A2026" s="5">
        <v>3730</v>
      </c>
      <c r="B2026" s="5">
        <v>1</v>
      </c>
      <c r="C2026" s="5">
        <v>1</v>
      </c>
      <c r="D2026" s="5" t="s">
        <v>810</v>
      </c>
      <c r="E2026" s="5" t="s">
        <v>245</v>
      </c>
      <c r="F2026" s="5" t="s">
        <v>254</v>
      </c>
      <c r="G2026" s="5" t="s">
        <v>240</v>
      </c>
      <c r="H2026" s="6" t="s">
        <v>4266</v>
      </c>
      <c r="I2026" s="5" t="s">
        <v>809</v>
      </c>
      <c r="J2026" s="8">
        <f>298</f>
        <v>298</v>
      </c>
      <c r="K2026" s="5" t="s">
        <v>308</v>
      </c>
      <c r="L2026" s="7">
        <f>1</f>
        <v>1</v>
      </c>
      <c r="M2026" s="7">
        <f>1</f>
        <v>1</v>
      </c>
      <c r="N2026" s="5" t="s">
        <v>242</v>
      </c>
      <c r="O2026" s="5">
        <v>1</v>
      </c>
      <c r="P2026" s="5" t="s">
        <v>294</v>
      </c>
      <c r="Q2026" s="5" t="s">
        <v>266</v>
      </c>
      <c r="R2026" s="5" t="s">
        <v>240</v>
      </c>
      <c r="S2026" s="5" t="s">
        <v>240</v>
      </c>
      <c r="T2026" s="5" t="s">
        <v>296</v>
      </c>
      <c r="U2026" s="5" t="s">
        <v>244</v>
      </c>
      <c r="V2026" s="5" t="s">
        <v>240</v>
      </c>
      <c r="Y2026" s="5" t="s">
        <v>240</v>
      </c>
      <c r="Z2026" s="6" t="s">
        <v>298</v>
      </c>
      <c r="AB2026" s="6" t="s">
        <v>240</v>
      </c>
      <c r="AE2026" s="6" t="s">
        <v>299</v>
      </c>
      <c r="AF2026" s="5" t="s">
        <v>248</v>
      </c>
      <c r="AG2026" s="5" t="s">
        <v>249</v>
      </c>
      <c r="AW2026" s="5" t="s">
        <v>251</v>
      </c>
      <c r="AX2026" s="5" t="s">
        <v>240</v>
      </c>
      <c r="AY2026" s="5" t="s">
        <v>253</v>
      </c>
      <c r="AZ2026" s="5" t="s">
        <v>240</v>
      </c>
      <c r="BA2026" s="5" t="s">
        <v>255</v>
      </c>
      <c r="BB2026" s="5" t="s">
        <v>240</v>
      </c>
      <c r="BD2026" s="5" t="s">
        <v>240</v>
      </c>
      <c r="BF2026" s="5" t="s">
        <v>301</v>
      </c>
      <c r="BG2026" s="6" t="s">
        <v>299</v>
      </c>
      <c r="BH2026" s="5" t="s">
        <v>302</v>
      </c>
      <c r="BI2026" s="5" t="s">
        <v>303</v>
      </c>
      <c r="BJ2026" s="5" t="s">
        <v>240</v>
      </c>
      <c r="BK2026" s="8">
        <f>0</f>
        <v>0</v>
      </c>
      <c r="BL2026" s="7">
        <f>0</f>
        <v>0</v>
      </c>
      <c r="BM2026" s="5" t="s">
        <v>258</v>
      </c>
      <c r="BN2026" s="5" t="s">
        <v>259</v>
      </c>
      <c r="CB2026" s="5" t="s">
        <v>240</v>
      </c>
      <c r="CC2026" s="5" t="s">
        <v>240</v>
      </c>
      <c r="CG2026" s="5" t="s">
        <v>304</v>
      </c>
      <c r="CH2026" s="5" t="s">
        <v>305</v>
      </c>
      <c r="CI2026" s="5" t="s">
        <v>240</v>
      </c>
      <c r="CL2026" s="6" t="s">
        <v>261</v>
      </c>
      <c r="CM2026" s="5" t="s">
        <v>240</v>
      </c>
      <c r="CN2026" s="5" t="s">
        <v>263</v>
      </c>
      <c r="CO2026" s="5" t="s">
        <v>240</v>
      </c>
      <c r="CP2026" s="5" t="s">
        <v>240</v>
      </c>
      <c r="CQ2026" s="5">
        <v>0</v>
      </c>
      <c r="CR2026" s="5" t="s">
        <v>306</v>
      </c>
      <c r="CS2026" s="5" t="s">
        <v>307</v>
      </c>
      <c r="CT2026" s="5" t="s">
        <v>307</v>
      </c>
      <c r="CU2026" s="5" t="s">
        <v>260</v>
      </c>
      <c r="CX2026" s="7">
        <f>1</f>
        <v>1</v>
      </c>
      <c r="CY2026" s="7">
        <f>0</f>
        <v>0</v>
      </c>
      <c r="DA2026" s="7">
        <f>0</f>
        <v>0</v>
      </c>
      <c r="DC2026" s="5" t="s">
        <v>812</v>
      </c>
      <c r="DD2026" s="5" t="s">
        <v>240</v>
      </c>
      <c r="DF2026" s="5" t="s">
        <v>812</v>
      </c>
      <c r="DG2026" s="7">
        <f>208</f>
        <v>208</v>
      </c>
      <c r="DI2026" s="5" t="s">
        <v>240</v>
      </c>
      <c r="DJ2026" s="5" t="s">
        <v>240</v>
      </c>
      <c r="DK2026" s="5" t="s">
        <v>240</v>
      </c>
      <c r="DL2026" s="5" t="s">
        <v>240</v>
      </c>
      <c r="DP2026" s="5" t="s">
        <v>240</v>
      </c>
      <c r="DQ2026" s="5" t="s">
        <v>240</v>
      </c>
      <c r="DR2026" s="5" t="s">
        <v>240</v>
      </c>
      <c r="DS2026" s="5" t="s">
        <v>240</v>
      </c>
      <c r="DV2026" s="5" t="s">
        <v>813</v>
      </c>
      <c r="DW2026" s="5" t="s">
        <v>346</v>
      </c>
      <c r="HO2026" s="5" t="s">
        <v>312</v>
      </c>
    </row>
    <row r="2027" spans="1:223" x14ac:dyDescent="0.4">
      <c r="A2027" s="5">
        <v>3731</v>
      </c>
      <c r="B2027" s="5">
        <v>1</v>
      </c>
      <c r="C2027" s="5">
        <v>1</v>
      </c>
      <c r="D2027" s="5" t="s">
        <v>810</v>
      </c>
      <c r="E2027" s="5" t="s">
        <v>245</v>
      </c>
      <c r="F2027" s="5" t="s">
        <v>254</v>
      </c>
      <c r="G2027" s="5" t="s">
        <v>240</v>
      </c>
      <c r="H2027" s="6" t="s">
        <v>4265</v>
      </c>
      <c r="I2027" s="5" t="s">
        <v>809</v>
      </c>
      <c r="J2027" s="8">
        <f>14273</f>
        <v>14273</v>
      </c>
      <c r="K2027" s="5" t="s">
        <v>308</v>
      </c>
      <c r="L2027" s="7">
        <f>1</f>
        <v>1</v>
      </c>
      <c r="M2027" s="7">
        <f>1</f>
        <v>1</v>
      </c>
      <c r="N2027" s="5" t="s">
        <v>242</v>
      </c>
      <c r="O2027" s="5">
        <v>1</v>
      </c>
      <c r="P2027" s="5" t="s">
        <v>294</v>
      </c>
      <c r="Q2027" s="5" t="s">
        <v>266</v>
      </c>
      <c r="R2027" s="5" t="s">
        <v>240</v>
      </c>
      <c r="S2027" s="5" t="s">
        <v>240</v>
      </c>
      <c r="T2027" s="5" t="s">
        <v>296</v>
      </c>
      <c r="U2027" s="5" t="s">
        <v>244</v>
      </c>
      <c r="V2027" s="5" t="s">
        <v>240</v>
      </c>
      <c r="Y2027" s="5" t="s">
        <v>240</v>
      </c>
      <c r="Z2027" s="6" t="s">
        <v>298</v>
      </c>
      <c r="AB2027" s="6" t="s">
        <v>240</v>
      </c>
      <c r="AE2027" s="6" t="s">
        <v>299</v>
      </c>
      <c r="AF2027" s="5" t="s">
        <v>248</v>
      </c>
      <c r="AG2027" s="5" t="s">
        <v>249</v>
      </c>
      <c r="AW2027" s="5" t="s">
        <v>251</v>
      </c>
      <c r="AX2027" s="5" t="s">
        <v>240</v>
      </c>
      <c r="AY2027" s="5" t="s">
        <v>253</v>
      </c>
      <c r="AZ2027" s="5" t="s">
        <v>240</v>
      </c>
      <c r="BA2027" s="5" t="s">
        <v>255</v>
      </c>
      <c r="BB2027" s="5" t="s">
        <v>240</v>
      </c>
      <c r="BD2027" s="5" t="s">
        <v>240</v>
      </c>
      <c r="BF2027" s="5" t="s">
        <v>301</v>
      </c>
      <c r="BG2027" s="6" t="s">
        <v>299</v>
      </c>
      <c r="BH2027" s="5" t="s">
        <v>302</v>
      </c>
      <c r="BI2027" s="5" t="s">
        <v>303</v>
      </c>
      <c r="BJ2027" s="5" t="s">
        <v>240</v>
      </c>
      <c r="BK2027" s="8">
        <f>0</f>
        <v>0</v>
      </c>
      <c r="BL2027" s="7">
        <f>0</f>
        <v>0</v>
      </c>
      <c r="BM2027" s="5" t="s">
        <v>258</v>
      </c>
      <c r="BN2027" s="5" t="s">
        <v>259</v>
      </c>
      <c r="CB2027" s="5" t="s">
        <v>240</v>
      </c>
      <c r="CC2027" s="5" t="s">
        <v>240</v>
      </c>
      <c r="CG2027" s="5" t="s">
        <v>304</v>
      </c>
      <c r="CH2027" s="5" t="s">
        <v>305</v>
      </c>
      <c r="CI2027" s="5" t="s">
        <v>240</v>
      </c>
      <c r="CL2027" s="6" t="s">
        <v>261</v>
      </c>
      <c r="CM2027" s="5" t="s">
        <v>240</v>
      </c>
      <c r="CN2027" s="5" t="s">
        <v>263</v>
      </c>
      <c r="CO2027" s="5" t="s">
        <v>240</v>
      </c>
      <c r="CP2027" s="5" t="s">
        <v>240</v>
      </c>
      <c r="CQ2027" s="5">
        <v>0</v>
      </c>
      <c r="CR2027" s="5" t="s">
        <v>306</v>
      </c>
      <c r="CS2027" s="5" t="s">
        <v>307</v>
      </c>
      <c r="CT2027" s="5" t="s">
        <v>307</v>
      </c>
      <c r="CU2027" s="5" t="s">
        <v>260</v>
      </c>
      <c r="CX2027" s="7">
        <f>1</f>
        <v>1</v>
      </c>
      <c r="CY2027" s="7">
        <f>0</f>
        <v>0</v>
      </c>
      <c r="DA2027" s="7">
        <f>0</f>
        <v>0</v>
      </c>
      <c r="DC2027" s="5" t="s">
        <v>812</v>
      </c>
      <c r="DD2027" s="5" t="s">
        <v>240</v>
      </c>
      <c r="DF2027" s="5" t="s">
        <v>812</v>
      </c>
      <c r="DG2027" s="7">
        <f>132</f>
        <v>132</v>
      </c>
      <c r="DI2027" s="5" t="s">
        <v>240</v>
      </c>
      <c r="DJ2027" s="5" t="s">
        <v>240</v>
      </c>
      <c r="DK2027" s="5" t="s">
        <v>240</v>
      </c>
      <c r="DL2027" s="5" t="s">
        <v>240</v>
      </c>
      <c r="DP2027" s="5" t="s">
        <v>240</v>
      </c>
      <c r="DQ2027" s="5" t="s">
        <v>240</v>
      </c>
      <c r="DR2027" s="5" t="s">
        <v>240</v>
      </c>
      <c r="DS2027" s="5" t="s">
        <v>240</v>
      </c>
      <c r="DV2027" s="5" t="s">
        <v>813</v>
      </c>
      <c r="DW2027" s="5" t="s">
        <v>3872</v>
      </c>
      <c r="HO2027" s="5" t="s">
        <v>312</v>
      </c>
    </row>
    <row r="2028" spans="1:223" x14ac:dyDescent="0.4">
      <c r="A2028" s="5">
        <v>3732</v>
      </c>
      <c r="B2028" s="5">
        <v>1</v>
      </c>
      <c r="C2028" s="5">
        <v>1</v>
      </c>
      <c r="D2028" s="5" t="s">
        <v>810</v>
      </c>
      <c r="E2028" s="5" t="s">
        <v>245</v>
      </c>
      <c r="F2028" s="5" t="s">
        <v>254</v>
      </c>
      <c r="G2028" s="5" t="s">
        <v>240</v>
      </c>
      <c r="H2028" s="6" t="s">
        <v>4264</v>
      </c>
      <c r="I2028" s="5" t="s">
        <v>809</v>
      </c>
      <c r="J2028" s="8">
        <f>1762</f>
        <v>1762</v>
      </c>
      <c r="K2028" s="5" t="s">
        <v>308</v>
      </c>
      <c r="L2028" s="7">
        <f>1</f>
        <v>1</v>
      </c>
      <c r="M2028" s="7">
        <f>1</f>
        <v>1</v>
      </c>
      <c r="N2028" s="5" t="s">
        <v>242</v>
      </c>
      <c r="O2028" s="5">
        <v>1</v>
      </c>
      <c r="P2028" s="5" t="s">
        <v>294</v>
      </c>
      <c r="Q2028" s="5" t="s">
        <v>266</v>
      </c>
      <c r="R2028" s="5" t="s">
        <v>240</v>
      </c>
      <c r="S2028" s="5" t="s">
        <v>240</v>
      </c>
      <c r="T2028" s="5" t="s">
        <v>296</v>
      </c>
      <c r="U2028" s="5" t="s">
        <v>244</v>
      </c>
      <c r="V2028" s="5" t="s">
        <v>240</v>
      </c>
      <c r="Y2028" s="5" t="s">
        <v>240</v>
      </c>
      <c r="Z2028" s="6" t="s">
        <v>298</v>
      </c>
      <c r="AB2028" s="6" t="s">
        <v>240</v>
      </c>
      <c r="AE2028" s="6" t="s">
        <v>299</v>
      </c>
      <c r="AF2028" s="5" t="s">
        <v>248</v>
      </c>
      <c r="AG2028" s="5" t="s">
        <v>249</v>
      </c>
      <c r="AW2028" s="5" t="s">
        <v>251</v>
      </c>
      <c r="AX2028" s="5" t="s">
        <v>240</v>
      </c>
      <c r="AY2028" s="5" t="s">
        <v>253</v>
      </c>
      <c r="AZ2028" s="5" t="s">
        <v>240</v>
      </c>
      <c r="BA2028" s="5" t="s">
        <v>255</v>
      </c>
      <c r="BB2028" s="5" t="s">
        <v>240</v>
      </c>
      <c r="BD2028" s="5" t="s">
        <v>240</v>
      </c>
      <c r="BF2028" s="5" t="s">
        <v>301</v>
      </c>
      <c r="BG2028" s="6" t="s">
        <v>299</v>
      </c>
      <c r="BH2028" s="5" t="s">
        <v>302</v>
      </c>
      <c r="BI2028" s="5" t="s">
        <v>303</v>
      </c>
      <c r="BJ2028" s="5" t="s">
        <v>240</v>
      </c>
      <c r="BK2028" s="8">
        <f>0</f>
        <v>0</v>
      </c>
      <c r="BL2028" s="7">
        <f>0</f>
        <v>0</v>
      </c>
      <c r="BM2028" s="5" t="s">
        <v>258</v>
      </c>
      <c r="BN2028" s="5" t="s">
        <v>259</v>
      </c>
      <c r="CB2028" s="5" t="s">
        <v>240</v>
      </c>
      <c r="CC2028" s="5" t="s">
        <v>240</v>
      </c>
      <c r="CG2028" s="5" t="s">
        <v>304</v>
      </c>
      <c r="CH2028" s="5" t="s">
        <v>305</v>
      </c>
      <c r="CI2028" s="5" t="s">
        <v>240</v>
      </c>
      <c r="CL2028" s="6" t="s">
        <v>261</v>
      </c>
      <c r="CM2028" s="5" t="s">
        <v>240</v>
      </c>
      <c r="CN2028" s="5" t="s">
        <v>263</v>
      </c>
      <c r="CO2028" s="5" t="s">
        <v>240</v>
      </c>
      <c r="CP2028" s="5" t="s">
        <v>240</v>
      </c>
      <c r="CQ2028" s="5">
        <v>0</v>
      </c>
      <c r="CR2028" s="5" t="s">
        <v>306</v>
      </c>
      <c r="CS2028" s="5" t="s">
        <v>307</v>
      </c>
      <c r="CT2028" s="5" t="s">
        <v>307</v>
      </c>
      <c r="CU2028" s="5" t="s">
        <v>260</v>
      </c>
      <c r="CX2028" s="7">
        <f>1</f>
        <v>1</v>
      </c>
      <c r="CY2028" s="7">
        <f>0</f>
        <v>0</v>
      </c>
      <c r="DA2028" s="7">
        <f>0</f>
        <v>0</v>
      </c>
      <c r="DC2028" s="5" t="s">
        <v>812</v>
      </c>
      <c r="DD2028" s="5" t="s">
        <v>240</v>
      </c>
      <c r="DF2028" s="5" t="s">
        <v>812</v>
      </c>
      <c r="DG2028" s="7">
        <f>2691</f>
        <v>2691</v>
      </c>
      <c r="DI2028" s="5" t="s">
        <v>240</v>
      </c>
      <c r="DJ2028" s="5" t="s">
        <v>240</v>
      </c>
      <c r="DK2028" s="5" t="s">
        <v>240</v>
      </c>
      <c r="DL2028" s="5" t="s">
        <v>240</v>
      </c>
      <c r="DP2028" s="5" t="s">
        <v>240</v>
      </c>
      <c r="DQ2028" s="5" t="s">
        <v>240</v>
      </c>
      <c r="DR2028" s="5" t="s">
        <v>240</v>
      </c>
      <c r="DS2028" s="5" t="s">
        <v>240</v>
      </c>
      <c r="DV2028" s="5" t="s">
        <v>813</v>
      </c>
      <c r="DW2028" s="5" t="s">
        <v>4101</v>
      </c>
      <c r="HO2028" s="5" t="s">
        <v>312</v>
      </c>
    </row>
    <row r="2029" spans="1:223" x14ac:dyDescent="0.4">
      <c r="A2029" s="5">
        <v>3733</v>
      </c>
      <c r="B2029" s="5">
        <v>1</v>
      </c>
      <c r="C2029" s="5">
        <v>1</v>
      </c>
      <c r="D2029" s="5" t="s">
        <v>810</v>
      </c>
      <c r="E2029" s="5" t="s">
        <v>245</v>
      </c>
      <c r="F2029" s="5" t="s">
        <v>254</v>
      </c>
      <c r="G2029" s="5" t="s">
        <v>240</v>
      </c>
      <c r="H2029" s="6" t="s">
        <v>4263</v>
      </c>
      <c r="I2029" s="5" t="s">
        <v>809</v>
      </c>
      <c r="J2029" s="8">
        <f>1606</f>
        <v>1606</v>
      </c>
      <c r="K2029" s="5" t="s">
        <v>308</v>
      </c>
      <c r="L2029" s="7">
        <f>1</f>
        <v>1</v>
      </c>
      <c r="M2029" s="7">
        <f>1</f>
        <v>1</v>
      </c>
      <c r="N2029" s="5" t="s">
        <v>242</v>
      </c>
      <c r="O2029" s="5">
        <v>1</v>
      </c>
      <c r="P2029" s="5" t="s">
        <v>294</v>
      </c>
      <c r="Q2029" s="5" t="s">
        <v>266</v>
      </c>
      <c r="R2029" s="5" t="s">
        <v>240</v>
      </c>
      <c r="S2029" s="5" t="s">
        <v>240</v>
      </c>
      <c r="T2029" s="5" t="s">
        <v>296</v>
      </c>
      <c r="U2029" s="5" t="s">
        <v>244</v>
      </c>
      <c r="V2029" s="5" t="s">
        <v>240</v>
      </c>
      <c r="Y2029" s="5" t="s">
        <v>240</v>
      </c>
      <c r="Z2029" s="6" t="s">
        <v>298</v>
      </c>
      <c r="AB2029" s="6" t="s">
        <v>240</v>
      </c>
      <c r="AE2029" s="6" t="s">
        <v>299</v>
      </c>
      <c r="AF2029" s="5" t="s">
        <v>248</v>
      </c>
      <c r="AG2029" s="5" t="s">
        <v>249</v>
      </c>
      <c r="AW2029" s="5" t="s">
        <v>251</v>
      </c>
      <c r="AX2029" s="5" t="s">
        <v>240</v>
      </c>
      <c r="AY2029" s="5" t="s">
        <v>253</v>
      </c>
      <c r="AZ2029" s="5" t="s">
        <v>240</v>
      </c>
      <c r="BA2029" s="5" t="s">
        <v>255</v>
      </c>
      <c r="BB2029" s="5" t="s">
        <v>240</v>
      </c>
      <c r="BD2029" s="5" t="s">
        <v>240</v>
      </c>
      <c r="BF2029" s="5" t="s">
        <v>301</v>
      </c>
      <c r="BG2029" s="6" t="s">
        <v>299</v>
      </c>
      <c r="BH2029" s="5" t="s">
        <v>302</v>
      </c>
      <c r="BI2029" s="5" t="s">
        <v>303</v>
      </c>
      <c r="BJ2029" s="5" t="s">
        <v>240</v>
      </c>
      <c r="BK2029" s="8">
        <f>0</f>
        <v>0</v>
      </c>
      <c r="BL2029" s="7">
        <f>0</f>
        <v>0</v>
      </c>
      <c r="BM2029" s="5" t="s">
        <v>258</v>
      </c>
      <c r="BN2029" s="5" t="s">
        <v>259</v>
      </c>
      <c r="CB2029" s="5" t="s">
        <v>240</v>
      </c>
      <c r="CC2029" s="5" t="s">
        <v>240</v>
      </c>
      <c r="CG2029" s="5" t="s">
        <v>304</v>
      </c>
      <c r="CH2029" s="5" t="s">
        <v>305</v>
      </c>
      <c r="CI2029" s="5" t="s">
        <v>240</v>
      </c>
      <c r="CL2029" s="6" t="s">
        <v>261</v>
      </c>
      <c r="CM2029" s="5" t="s">
        <v>240</v>
      </c>
      <c r="CN2029" s="5" t="s">
        <v>263</v>
      </c>
      <c r="CO2029" s="5" t="s">
        <v>240</v>
      </c>
      <c r="CP2029" s="5" t="s">
        <v>240</v>
      </c>
      <c r="CQ2029" s="5">
        <v>0</v>
      </c>
      <c r="CR2029" s="5" t="s">
        <v>306</v>
      </c>
      <c r="CS2029" s="5" t="s">
        <v>307</v>
      </c>
      <c r="CT2029" s="5" t="s">
        <v>307</v>
      </c>
      <c r="CU2029" s="5" t="s">
        <v>260</v>
      </c>
      <c r="CX2029" s="7">
        <f>1</f>
        <v>1</v>
      </c>
      <c r="CY2029" s="7">
        <f>0</f>
        <v>0</v>
      </c>
      <c r="DA2029" s="7">
        <f>0</f>
        <v>0</v>
      </c>
      <c r="DC2029" s="5" t="s">
        <v>812</v>
      </c>
      <c r="DD2029" s="5" t="s">
        <v>240</v>
      </c>
      <c r="DF2029" s="5" t="s">
        <v>812</v>
      </c>
      <c r="DG2029" s="7">
        <f>75</f>
        <v>75</v>
      </c>
      <c r="DI2029" s="5" t="s">
        <v>240</v>
      </c>
      <c r="DJ2029" s="5" t="s">
        <v>240</v>
      </c>
      <c r="DK2029" s="5" t="s">
        <v>240</v>
      </c>
      <c r="DL2029" s="5" t="s">
        <v>240</v>
      </c>
      <c r="DP2029" s="5" t="s">
        <v>240</v>
      </c>
      <c r="DQ2029" s="5" t="s">
        <v>240</v>
      </c>
      <c r="DR2029" s="5" t="s">
        <v>240</v>
      </c>
      <c r="DS2029" s="5" t="s">
        <v>240</v>
      </c>
      <c r="DV2029" s="5" t="s">
        <v>813</v>
      </c>
      <c r="DW2029" s="5" t="s">
        <v>4103</v>
      </c>
      <c r="HO2029" s="5" t="s">
        <v>312</v>
      </c>
    </row>
    <row r="2030" spans="1:223" x14ac:dyDescent="0.4">
      <c r="A2030" s="5">
        <v>3734</v>
      </c>
      <c r="B2030" s="5">
        <v>1</v>
      </c>
      <c r="C2030" s="5">
        <v>1</v>
      </c>
      <c r="D2030" s="5" t="s">
        <v>810</v>
      </c>
      <c r="E2030" s="5" t="s">
        <v>245</v>
      </c>
      <c r="F2030" s="5" t="s">
        <v>254</v>
      </c>
      <c r="G2030" s="5" t="s">
        <v>240</v>
      </c>
      <c r="H2030" s="6" t="s">
        <v>4262</v>
      </c>
      <c r="I2030" s="5" t="s">
        <v>809</v>
      </c>
      <c r="J2030" s="8">
        <f>1804</f>
        <v>1804</v>
      </c>
      <c r="K2030" s="5" t="s">
        <v>308</v>
      </c>
      <c r="L2030" s="7">
        <f>1</f>
        <v>1</v>
      </c>
      <c r="M2030" s="7">
        <f>1</f>
        <v>1</v>
      </c>
      <c r="N2030" s="5" t="s">
        <v>242</v>
      </c>
      <c r="O2030" s="5">
        <v>1</v>
      </c>
      <c r="P2030" s="5" t="s">
        <v>294</v>
      </c>
      <c r="Q2030" s="5" t="s">
        <v>266</v>
      </c>
      <c r="R2030" s="5" t="s">
        <v>240</v>
      </c>
      <c r="S2030" s="5" t="s">
        <v>240</v>
      </c>
      <c r="T2030" s="5" t="s">
        <v>296</v>
      </c>
      <c r="U2030" s="5" t="s">
        <v>244</v>
      </c>
      <c r="V2030" s="5" t="s">
        <v>240</v>
      </c>
      <c r="Y2030" s="5" t="s">
        <v>240</v>
      </c>
      <c r="Z2030" s="6" t="s">
        <v>298</v>
      </c>
      <c r="AB2030" s="6" t="s">
        <v>240</v>
      </c>
      <c r="AE2030" s="6" t="s">
        <v>299</v>
      </c>
      <c r="AF2030" s="5" t="s">
        <v>248</v>
      </c>
      <c r="AG2030" s="5" t="s">
        <v>249</v>
      </c>
      <c r="AW2030" s="5" t="s">
        <v>251</v>
      </c>
      <c r="AX2030" s="5" t="s">
        <v>240</v>
      </c>
      <c r="AY2030" s="5" t="s">
        <v>253</v>
      </c>
      <c r="AZ2030" s="5" t="s">
        <v>240</v>
      </c>
      <c r="BA2030" s="5" t="s">
        <v>255</v>
      </c>
      <c r="BB2030" s="5" t="s">
        <v>240</v>
      </c>
      <c r="BD2030" s="5" t="s">
        <v>240</v>
      </c>
      <c r="BF2030" s="5" t="s">
        <v>301</v>
      </c>
      <c r="BG2030" s="6" t="s">
        <v>299</v>
      </c>
      <c r="BH2030" s="5" t="s">
        <v>302</v>
      </c>
      <c r="BI2030" s="5" t="s">
        <v>303</v>
      </c>
      <c r="BJ2030" s="5" t="s">
        <v>240</v>
      </c>
      <c r="BK2030" s="8">
        <f>0</f>
        <v>0</v>
      </c>
      <c r="BL2030" s="7">
        <f>0</f>
        <v>0</v>
      </c>
      <c r="BM2030" s="5" t="s">
        <v>258</v>
      </c>
      <c r="BN2030" s="5" t="s">
        <v>259</v>
      </c>
      <c r="CB2030" s="5" t="s">
        <v>240</v>
      </c>
      <c r="CC2030" s="5" t="s">
        <v>240</v>
      </c>
      <c r="CG2030" s="5" t="s">
        <v>304</v>
      </c>
      <c r="CH2030" s="5" t="s">
        <v>305</v>
      </c>
      <c r="CI2030" s="5" t="s">
        <v>240</v>
      </c>
      <c r="CL2030" s="6" t="s">
        <v>261</v>
      </c>
      <c r="CM2030" s="5" t="s">
        <v>240</v>
      </c>
      <c r="CN2030" s="5" t="s">
        <v>263</v>
      </c>
      <c r="CO2030" s="5" t="s">
        <v>240</v>
      </c>
      <c r="CP2030" s="5" t="s">
        <v>240</v>
      </c>
      <c r="CQ2030" s="5">
        <v>0</v>
      </c>
      <c r="CR2030" s="5" t="s">
        <v>306</v>
      </c>
      <c r="CS2030" s="5" t="s">
        <v>307</v>
      </c>
      <c r="CT2030" s="5" t="s">
        <v>307</v>
      </c>
      <c r="CU2030" s="5" t="s">
        <v>260</v>
      </c>
      <c r="CX2030" s="7">
        <f>1</f>
        <v>1</v>
      </c>
      <c r="CY2030" s="7">
        <f>0</f>
        <v>0</v>
      </c>
      <c r="DA2030" s="7">
        <f>0</f>
        <v>0</v>
      </c>
      <c r="DC2030" s="5" t="s">
        <v>812</v>
      </c>
      <c r="DD2030" s="5" t="s">
        <v>240</v>
      </c>
      <c r="DF2030" s="5" t="s">
        <v>812</v>
      </c>
      <c r="DG2030" s="7">
        <f>658</f>
        <v>658</v>
      </c>
      <c r="DI2030" s="5" t="s">
        <v>240</v>
      </c>
      <c r="DJ2030" s="5" t="s">
        <v>240</v>
      </c>
      <c r="DK2030" s="5" t="s">
        <v>240</v>
      </c>
      <c r="DL2030" s="5" t="s">
        <v>240</v>
      </c>
      <c r="DP2030" s="5" t="s">
        <v>240</v>
      </c>
      <c r="DQ2030" s="5" t="s">
        <v>240</v>
      </c>
      <c r="DR2030" s="5" t="s">
        <v>240</v>
      </c>
      <c r="DS2030" s="5" t="s">
        <v>240</v>
      </c>
      <c r="DV2030" s="5" t="s">
        <v>813</v>
      </c>
      <c r="DW2030" s="5" t="s">
        <v>4105</v>
      </c>
      <c r="HO2030" s="5" t="s">
        <v>312</v>
      </c>
    </row>
    <row r="2031" spans="1:223" x14ac:dyDescent="0.4">
      <c r="A2031" s="5">
        <v>3735</v>
      </c>
      <c r="B2031" s="5">
        <v>1</v>
      </c>
      <c r="C2031" s="5">
        <v>1</v>
      </c>
      <c r="D2031" s="5" t="s">
        <v>810</v>
      </c>
      <c r="E2031" s="5" t="s">
        <v>245</v>
      </c>
      <c r="F2031" s="5" t="s">
        <v>254</v>
      </c>
      <c r="G2031" s="5" t="s">
        <v>240</v>
      </c>
      <c r="H2031" s="6" t="s">
        <v>4261</v>
      </c>
      <c r="I2031" s="5" t="s">
        <v>809</v>
      </c>
      <c r="J2031" s="8">
        <f>2052</f>
        <v>2052</v>
      </c>
      <c r="K2031" s="5" t="s">
        <v>308</v>
      </c>
      <c r="L2031" s="7">
        <f>1</f>
        <v>1</v>
      </c>
      <c r="M2031" s="7">
        <f>1</f>
        <v>1</v>
      </c>
      <c r="N2031" s="5" t="s">
        <v>242</v>
      </c>
      <c r="O2031" s="5">
        <v>1</v>
      </c>
      <c r="P2031" s="5" t="s">
        <v>294</v>
      </c>
      <c r="Q2031" s="5" t="s">
        <v>266</v>
      </c>
      <c r="R2031" s="5" t="s">
        <v>240</v>
      </c>
      <c r="S2031" s="5" t="s">
        <v>240</v>
      </c>
      <c r="T2031" s="5" t="s">
        <v>296</v>
      </c>
      <c r="U2031" s="5" t="s">
        <v>244</v>
      </c>
      <c r="V2031" s="5" t="s">
        <v>240</v>
      </c>
      <c r="Y2031" s="5" t="s">
        <v>240</v>
      </c>
      <c r="Z2031" s="6" t="s">
        <v>298</v>
      </c>
      <c r="AB2031" s="6" t="s">
        <v>240</v>
      </c>
      <c r="AE2031" s="6" t="s">
        <v>299</v>
      </c>
      <c r="AF2031" s="5" t="s">
        <v>248</v>
      </c>
      <c r="AG2031" s="5" t="s">
        <v>249</v>
      </c>
      <c r="AW2031" s="5" t="s">
        <v>251</v>
      </c>
      <c r="AX2031" s="5" t="s">
        <v>240</v>
      </c>
      <c r="AY2031" s="5" t="s">
        <v>253</v>
      </c>
      <c r="AZ2031" s="5" t="s">
        <v>240</v>
      </c>
      <c r="BA2031" s="5" t="s">
        <v>255</v>
      </c>
      <c r="BB2031" s="5" t="s">
        <v>240</v>
      </c>
      <c r="BD2031" s="5" t="s">
        <v>240</v>
      </c>
      <c r="BF2031" s="5" t="s">
        <v>301</v>
      </c>
      <c r="BG2031" s="6" t="s">
        <v>299</v>
      </c>
      <c r="BH2031" s="5" t="s">
        <v>302</v>
      </c>
      <c r="BI2031" s="5" t="s">
        <v>303</v>
      </c>
      <c r="BJ2031" s="5" t="s">
        <v>240</v>
      </c>
      <c r="BK2031" s="8">
        <f>0</f>
        <v>0</v>
      </c>
      <c r="BL2031" s="7">
        <f>0</f>
        <v>0</v>
      </c>
      <c r="BM2031" s="5" t="s">
        <v>258</v>
      </c>
      <c r="BN2031" s="5" t="s">
        <v>259</v>
      </c>
      <c r="CB2031" s="5" t="s">
        <v>240</v>
      </c>
      <c r="CC2031" s="5" t="s">
        <v>240</v>
      </c>
      <c r="CG2031" s="5" t="s">
        <v>304</v>
      </c>
      <c r="CH2031" s="5" t="s">
        <v>305</v>
      </c>
      <c r="CI2031" s="5" t="s">
        <v>240</v>
      </c>
      <c r="CL2031" s="6" t="s">
        <v>261</v>
      </c>
      <c r="CM2031" s="5" t="s">
        <v>240</v>
      </c>
      <c r="CN2031" s="5" t="s">
        <v>263</v>
      </c>
      <c r="CO2031" s="5" t="s">
        <v>240</v>
      </c>
      <c r="CP2031" s="5" t="s">
        <v>240</v>
      </c>
      <c r="CQ2031" s="5">
        <v>0</v>
      </c>
      <c r="CR2031" s="5" t="s">
        <v>306</v>
      </c>
      <c r="CS2031" s="5" t="s">
        <v>307</v>
      </c>
      <c r="CT2031" s="5" t="s">
        <v>307</v>
      </c>
      <c r="CU2031" s="5" t="s">
        <v>260</v>
      </c>
      <c r="CX2031" s="7">
        <f>1</f>
        <v>1</v>
      </c>
      <c r="CY2031" s="7">
        <f>0</f>
        <v>0</v>
      </c>
      <c r="DA2031" s="7">
        <f>0</f>
        <v>0</v>
      </c>
      <c r="DC2031" s="5" t="s">
        <v>812</v>
      </c>
      <c r="DD2031" s="5" t="s">
        <v>240</v>
      </c>
      <c r="DF2031" s="5" t="s">
        <v>812</v>
      </c>
      <c r="DG2031" s="7">
        <f>324</f>
        <v>324</v>
      </c>
      <c r="DI2031" s="5" t="s">
        <v>240</v>
      </c>
      <c r="DJ2031" s="5" t="s">
        <v>240</v>
      </c>
      <c r="DK2031" s="5" t="s">
        <v>240</v>
      </c>
      <c r="DL2031" s="5" t="s">
        <v>240</v>
      </c>
      <c r="DP2031" s="5" t="s">
        <v>240</v>
      </c>
      <c r="DQ2031" s="5" t="s">
        <v>240</v>
      </c>
      <c r="DR2031" s="5" t="s">
        <v>240</v>
      </c>
      <c r="DS2031" s="5" t="s">
        <v>240</v>
      </c>
      <c r="DV2031" s="5" t="s">
        <v>813</v>
      </c>
      <c r="DW2031" s="5" t="s">
        <v>311</v>
      </c>
      <c r="HO2031" s="5" t="s">
        <v>312</v>
      </c>
    </row>
    <row r="2032" spans="1:223" x14ac:dyDescent="0.4">
      <c r="A2032" s="5">
        <v>3736</v>
      </c>
      <c r="B2032" s="5">
        <v>1</v>
      </c>
      <c r="C2032" s="5">
        <v>1</v>
      </c>
      <c r="D2032" s="5" t="s">
        <v>810</v>
      </c>
      <c r="E2032" s="5" t="s">
        <v>245</v>
      </c>
      <c r="F2032" s="5" t="s">
        <v>254</v>
      </c>
      <c r="G2032" s="5" t="s">
        <v>240</v>
      </c>
      <c r="H2032" s="6" t="s">
        <v>4260</v>
      </c>
      <c r="I2032" s="5" t="s">
        <v>809</v>
      </c>
      <c r="J2032" s="8">
        <f>1242</f>
        <v>1242</v>
      </c>
      <c r="K2032" s="5" t="s">
        <v>308</v>
      </c>
      <c r="L2032" s="7">
        <f>1</f>
        <v>1</v>
      </c>
      <c r="M2032" s="7">
        <f>1</f>
        <v>1</v>
      </c>
      <c r="N2032" s="5" t="s">
        <v>242</v>
      </c>
      <c r="O2032" s="5">
        <v>1</v>
      </c>
      <c r="P2032" s="5" t="s">
        <v>294</v>
      </c>
      <c r="Q2032" s="5" t="s">
        <v>266</v>
      </c>
      <c r="R2032" s="5" t="s">
        <v>240</v>
      </c>
      <c r="S2032" s="5" t="s">
        <v>240</v>
      </c>
      <c r="T2032" s="5" t="s">
        <v>296</v>
      </c>
      <c r="U2032" s="5" t="s">
        <v>244</v>
      </c>
      <c r="V2032" s="5" t="s">
        <v>240</v>
      </c>
      <c r="Y2032" s="5" t="s">
        <v>240</v>
      </c>
      <c r="Z2032" s="6" t="s">
        <v>298</v>
      </c>
      <c r="AB2032" s="6" t="s">
        <v>240</v>
      </c>
      <c r="AE2032" s="6" t="s">
        <v>299</v>
      </c>
      <c r="AF2032" s="5" t="s">
        <v>248</v>
      </c>
      <c r="AG2032" s="5" t="s">
        <v>249</v>
      </c>
      <c r="AW2032" s="5" t="s">
        <v>251</v>
      </c>
      <c r="AX2032" s="5" t="s">
        <v>240</v>
      </c>
      <c r="AY2032" s="5" t="s">
        <v>253</v>
      </c>
      <c r="AZ2032" s="5" t="s">
        <v>240</v>
      </c>
      <c r="BA2032" s="5" t="s">
        <v>255</v>
      </c>
      <c r="BB2032" s="5" t="s">
        <v>240</v>
      </c>
      <c r="BD2032" s="5" t="s">
        <v>240</v>
      </c>
      <c r="BF2032" s="5" t="s">
        <v>301</v>
      </c>
      <c r="BG2032" s="6" t="s">
        <v>299</v>
      </c>
      <c r="BH2032" s="5" t="s">
        <v>302</v>
      </c>
      <c r="BI2032" s="5" t="s">
        <v>303</v>
      </c>
      <c r="BJ2032" s="5" t="s">
        <v>240</v>
      </c>
      <c r="BK2032" s="8">
        <f>0</f>
        <v>0</v>
      </c>
      <c r="BL2032" s="7">
        <f>0</f>
        <v>0</v>
      </c>
      <c r="BM2032" s="5" t="s">
        <v>258</v>
      </c>
      <c r="BN2032" s="5" t="s">
        <v>259</v>
      </c>
      <c r="CB2032" s="5" t="s">
        <v>240</v>
      </c>
      <c r="CC2032" s="5" t="s">
        <v>240</v>
      </c>
      <c r="CG2032" s="5" t="s">
        <v>304</v>
      </c>
      <c r="CH2032" s="5" t="s">
        <v>305</v>
      </c>
      <c r="CI2032" s="5" t="s">
        <v>240</v>
      </c>
      <c r="CL2032" s="6" t="s">
        <v>261</v>
      </c>
      <c r="CM2032" s="5" t="s">
        <v>240</v>
      </c>
      <c r="CN2032" s="5" t="s">
        <v>263</v>
      </c>
      <c r="CO2032" s="5" t="s">
        <v>240</v>
      </c>
      <c r="CP2032" s="5" t="s">
        <v>240</v>
      </c>
      <c r="CQ2032" s="5">
        <v>0</v>
      </c>
      <c r="CR2032" s="5" t="s">
        <v>306</v>
      </c>
      <c r="CS2032" s="5" t="s">
        <v>307</v>
      </c>
      <c r="CT2032" s="5" t="s">
        <v>307</v>
      </c>
      <c r="CU2032" s="5" t="s">
        <v>260</v>
      </c>
      <c r="CX2032" s="7">
        <f>1</f>
        <v>1</v>
      </c>
      <c r="CY2032" s="7">
        <f>0</f>
        <v>0</v>
      </c>
      <c r="DA2032" s="7">
        <f>0</f>
        <v>0</v>
      </c>
      <c r="DC2032" s="5" t="s">
        <v>812</v>
      </c>
      <c r="DD2032" s="5" t="s">
        <v>240</v>
      </c>
      <c r="DF2032" s="5" t="s">
        <v>812</v>
      </c>
      <c r="DG2032" s="7">
        <f>656</f>
        <v>656</v>
      </c>
      <c r="DI2032" s="5" t="s">
        <v>240</v>
      </c>
      <c r="DJ2032" s="5" t="s">
        <v>240</v>
      </c>
      <c r="DK2032" s="5" t="s">
        <v>240</v>
      </c>
      <c r="DL2032" s="5" t="s">
        <v>240</v>
      </c>
      <c r="DP2032" s="5" t="s">
        <v>240</v>
      </c>
      <c r="DQ2032" s="5" t="s">
        <v>240</v>
      </c>
      <c r="DR2032" s="5" t="s">
        <v>240</v>
      </c>
      <c r="DS2032" s="5" t="s">
        <v>240</v>
      </c>
      <c r="DV2032" s="5" t="s">
        <v>813</v>
      </c>
      <c r="DW2032" s="5" t="s">
        <v>314</v>
      </c>
      <c r="HO2032" s="5" t="s">
        <v>312</v>
      </c>
    </row>
    <row r="2033" spans="1:223" x14ac:dyDescent="0.4">
      <c r="A2033" s="5">
        <v>3737</v>
      </c>
      <c r="B2033" s="5">
        <v>1</v>
      </c>
      <c r="C2033" s="5">
        <v>1</v>
      </c>
      <c r="D2033" s="5" t="s">
        <v>810</v>
      </c>
      <c r="E2033" s="5" t="s">
        <v>245</v>
      </c>
      <c r="F2033" s="5" t="s">
        <v>254</v>
      </c>
      <c r="G2033" s="5" t="s">
        <v>240</v>
      </c>
      <c r="H2033" s="6" t="s">
        <v>4259</v>
      </c>
      <c r="I2033" s="5" t="s">
        <v>809</v>
      </c>
      <c r="J2033" s="8">
        <f>1308</f>
        <v>1308</v>
      </c>
      <c r="K2033" s="5" t="s">
        <v>308</v>
      </c>
      <c r="L2033" s="7">
        <f>1</f>
        <v>1</v>
      </c>
      <c r="M2033" s="7">
        <f>1</f>
        <v>1</v>
      </c>
      <c r="N2033" s="5" t="s">
        <v>242</v>
      </c>
      <c r="O2033" s="5">
        <v>1</v>
      </c>
      <c r="P2033" s="5" t="s">
        <v>294</v>
      </c>
      <c r="Q2033" s="5" t="s">
        <v>266</v>
      </c>
      <c r="R2033" s="5" t="s">
        <v>240</v>
      </c>
      <c r="S2033" s="5" t="s">
        <v>240</v>
      </c>
      <c r="T2033" s="5" t="s">
        <v>296</v>
      </c>
      <c r="U2033" s="5" t="s">
        <v>244</v>
      </c>
      <c r="V2033" s="5" t="s">
        <v>240</v>
      </c>
      <c r="Y2033" s="5" t="s">
        <v>240</v>
      </c>
      <c r="Z2033" s="6" t="s">
        <v>298</v>
      </c>
      <c r="AB2033" s="6" t="s">
        <v>240</v>
      </c>
      <c r="AE2033" s="6" t="s">
        <v>299</v>
      </c>
      <c r="AF2033" s="5" t="s">
        <v>248</v>
      </c>
      <c r="AG2033" s="5" t="s">
        <v>249</v>
      </c>
      <c r="AW2033" s="5" t="s">
        <v>251</v>
      </c>
      <c r="AX2033" s="5" t="s">
        <v>240</v>
      </c>
      <c r="AY2033" s="5" t="s">
        <v>253</v>
      </c>
      <c r="AZ2033" s="5" t="s">
        <v>240</v>
      </c>
      <c r="BA2033" s="5" t="s">
        <v>255</v>
      </c>
      <c r="BB2033" s="5" t="s">
        <v>240</v>
      </c>
      <c r="BD2033" s="5" t="s">
        <v>240</v>
      </c>
      <c r="BF2033" s="5" t="s">
        <v>301</v>
      </c>
      <c r="BG2033" s="6" t="s">
        <v>299</v>
      </c>
      <c r="BH2033" s="5" t="s">
        <v>302</v>
      </c>
      <c r="BI2033" s="5" t="s">
        <v>303</v>
      </c>
      <c r="BJ2033" s="5" t="s">
        <v>240</v>
      </c>
      <c r="BK2033" s="8">
        <f>0</f>
        <v>0</v>
      </c>
      <c r="BL2033" s="7">
        <f>0</f>
        <v>0</v>
      </c>
      <c r="BM2033" s="5" t="s">
        <v>258</v>
      </c>
      <c r="BN2033" s="5" t="s">
        <v>259</v>
      </c>
      <c r="CB2033" s="5" t="s">
        <v>240</v>
      </c>
      <c r="CC2033" s="5" t="s">
        <v>240</v>
      </c>
      <c r="CG2033" s="5" t="s">
        <v>304</v>
      </c>
      <c r="CH2033" s="5" t="s">
        <v>305</v>
      </c>
      <c r="CI2033" s="5" t="s">
        <v>240</v>
      </c>
      <c r="CL2033" s="6" t="s">
        <v>261</v>
      </c>
      <c r="CM2033" s="5" t="s">
        <v>240</v>
      </c>
      <c r="CN2033" s="5" t="s">
        <v>263</v>
      </c>
      <c r="CO2033" s="5" t="s">
        <v>240</v>
      </c>
      <c r="CP2033" s="5" t="s">
        <v>240</v>
      </c>
      <c r="CQ2033" s="5">
        <v>0</v>
      </c>
      <c r="CR2033" s="5" t="s">
        <v>306</v>
      </c>
      <c r="CS2033" s="5" t="s">
        <v>307</v>
      </c>
      <c r="CT2033" s="5" t="s">
        <v>307</v>
      </c>
      <c r="CU2033" s="5" t="s">
        <v>260</v>
      </c>
      <c r="CX2033" s="7">
        <f>1</f>
        <v>1</v>
      </c>
      <c r="CY2033" s="7">
        <f>0</f>
        <v>0</v>
      </c>
      <c r="DA2033" s="7">
        <f>0</f>
        <v>0</v>
      </c>
      <c r="DC2033" s="5" t="s">
        <v>812</v>
      </c>
      <c r="DD2033" s="5" t="s">
        <v>240</v>
      </c>
      <c r="DF2033" s="5" t="s">
        <v>812</v>
      </c>
      <c r="DG2033" s="7">
        <f>895</f>
        <v>895</v>
      </c>
      <c r="DI2033" s="5" t="s">
        <v>240</v>
      </c>
      <c r="DJ2033" s="5" t="s">
        <v>240</v>
      </c>
      <c r="DK2033" s="5" t="s">
        <v>240</v>
      </c>
      <c r="DL2033" s="5" t="s">
        <v>240</v>
      </c>
      <c r="DP2033" s="5" t="s">
        <v>240</v>
      </c>
      <c r="DQ2033" s="5" t="s">
        <v>240</v>
      </c>
      <c r="DR2033" s="5" t="s">
        <v>240</v>
      </c>
      <c r="DS2033" s="5" t="s">
        <v>240</v>
      </c>
      <c r="DV2033" s="5" t="s">
        <v>813</v>
      </c>
      <c r="DW2033" s="5" t="s">
        <v>316</v>
      </c>
      <c r="HO2033" s="5" t="s">
        <v>312</v>
      </c>
    </row>
    <row r="2034" spans="1:223" x14ac:dyDescent="0.4">
      <c r="A2034" s="5">
        <v>3738</v>
      </c>
      <c r="B2034" s="5">
        <v>1</v>
      </c>
      <c r="C2034" s="5">
        <v>1</v>
      </c>
      <c r="D2034" s="5" t="s">
        <v>810</v>
      </c>
      <c r="E2034" s="5" t="s">
        <v>245</v>
      </c>
      <c r="F2034" s="5" t="s">
        <v>254</v>
      </c>
      <c r="G2034" s="5" t="s">
        <v>240</v>
      </c>
      <c r="H2034" s="6" t="s">
        <v>4258</v>
      </c>
      <c r="I2034" s="5" t="s">
        <v>809</v>
      </c>
      <c r="J2034" s="8">
        <f>1239</f>
        <v>1239</v>
      </c>
      <c r="K2034" s="5" t="s">
        <v>308</v>
      </c>
      <c r="L2034" s="7">
        <f>1</f>
        <v>1</v>
      </c>
      <c r="M2034" s="7">
        <f>1</f>
        <v>1</v>
      </c>
      <c r="N2034" s="5" t="s">
        <v>242</v>
      </c>
      <c r="O2034" s="5">
        <v>1</v>
      </c>
      <c r="P2034" s="5" t="s">
        <v>294</v>
      </c>
      <c r="Q2034" s="5" t="s">
        <v>266</v>
      </c>
      <c r="R2034" s="5" t="s">
        <v>240</v>
      </c>
      <c r="S2034" s="5" t="s">
        <v>240</v>
      </c>
      <c r="T2034" s="5" t="s">
        <v>296</v>
      </c>
      <c r="U2034" s="5" t="s">
        <v>244</v>
      </c>
      <c r="V2034" s="5" t="s">
        <v>240</v>
      </c>
      <c r="Y2034" s="5" t="s">
        <v>240</v>
      </c>
      <c r="Z2034" s="6" t="s">
        <v>298</v>
      </c>
      <c r="AB2034" s="6" t="s">
        <v>240</v>
      </c>
      <c r="AE2034" s="6" t="s">
        <v>299</v>
      </c>
      <c r="AF2034" s="5" t="s">
        <v>248</v>
      </c>
      <c r="AG2034" s="5" t="s">
        <v>249</v>
      </c>
      <c r="AW2034" s="5" t="s">
        <v>251</v>
      </c>
      <c r="AX2034" s="5" t="s">
        <v>240</v>
      </c>
      <c r="AY2034" s="5" t="s">
        <v>253</v>
      </c>
      <c r="AZ2034" s="5" t="s">
        <v>240</v>
      </c>
      <c r="BA2034" s="5" t="s">
        <v>255</v>
      </c>
      <c r="BB2034" s="5" t="s">
        <v>240</v>
      </c>
      <c r="BD2034" s="5" t="s">
        <v>240</v>
      </c>
      <c r="BF2034" s="5" t="s">
        <v>301</v>
      </c>
      <c r="BG2034" s="6" t="s">
        <v>299</v>
      </c>
      <c r="BH2034" s="5" t="s">
        <v>302</v>
      </c>
      <c r="BI2034" s="5" t="s">
        <v>303</v>
      </c>
      <c r="BJ2034" s="5" t="s">
        <v>240</v>
      </c>
      <c r="BK2034" s="8">
        <f>0</f>
        <v>0</v>
      </c>
      <c r="BL2034" s="7">
        <f>0</f>
        <v>0</v>
      </c>
      <c r="BM2034" s="5" t="s">
        <v>258</v>
      </c>
      <c r="BN2034" s="5" t="s">
        <v>259</v>
      </c>
      <c r="CB2034" s="5" t="s">
        <v>240</v>
      </c>
      <c r="CC2034" s="5" t="s">
        <v>240</v>
      </c>
      <c r="CG2034" s="5" t="s">
        <v>304</v>
      </c>
      <c r="CH2034" s="5" t="s">
        <v>305</v>
      </c>
      <c r="CI2034" s="5" t="s">
        <v>240</v>
      </c>
      <c r="CL2034" s="6" t="s">
        <v>261</v>
      </c>
      <c r="CM2034" s="5" t="s">
        <v>240</v>
      </c>
      <c r="CN2034" s="5" t="s">
        <v>263</v>
      </c>
      <c r="CO2034" s="5" t="s">
        <v>240</v>
      </c>
      <c r="CP2034" s="5" t="s">
        <v>240</v>
      </c>
      <c r="CQ2034" s="5">
        <v>0</v>
      </c>
      <c r="CR2034" s="5" t="s">
        <v>306</v>
      </c>
      <c r="CS2034" s="5" t="s">
        <v>307</v>
      </c>
      <c r="CT2034" s="5" t="s">
        <v>307</v>
      </c>
      <c r="CU2034" s="5" t="s">
        <v>260</v>
      </c>
      <c r="CX2034" s="7">
        <f>1</f>
        <v>1</v>
      </c>
      <c r="CY2034" s="7">
        <f>0</f>
        <v>0</v>
      </c>
      <c r="DA2034" s="7">
        <f>0</f>
        <v>0</v>
      </c>
      <c r="DC2034" s="5" t="s">
        <v>812</v>
      </c>
      <c r="DD2034" s="5" t="s">
        <v>240</v>
      </c>
      <c r="DF2034" s="5" t="s">
        <v>812</v>
      </c>
      <c r="DG2034" s="7">
        <f>92</f>
        <v>92</v>
      </c>
      <c r="DI2034" s="5" t="s">
        <v>240</v>
      </c>
      <c r="DJ2034" s="5" t="s">
        <v>240</v>
      </c>
      <c r="DK2034" s="5" t="s">
        <v>240</v>
      </c>
      <c r="DL2034" s="5" t="s">
        <v>240</v>
      </c>
      <c r="DP2034" s="5" t="s">
        <v>240</v>
      </c>
      <c r="DQ2034" s="5" t="s">
        <v>240</v>
      </c>
      <c r="DR2034" s="5" t="s">
        <v>240</v>
      </c>
      <c r="DS2034" s="5" t="s">
        <v>240</v>
      </c>
      <c r="DV2034" s="5" t="s">
        <v>813</v>
      </c>
      <c r="DW2034" s="5" t="s">
        <v>318</v>
      </c>
      <c r="HO2034" s="5" t="s">
        <v>312</v>
      </c>
    </row>
    <row r="2035" spans="1:223" x14ac:dyDescent="0.4">
      <c r="A2035" s="5">
        <v>3739</v>
      </c>
      <c r="B2035" s="5">
        <v>1</v>
      </c>
      <c r="C2035" s="5">
        <v>1</v>
      </c>
      <c r="D2035" s="5" t="s">
        <v>810</v>
      </c>
      <c r="E2035" s="5" t="s">
        <v>245</v>
      </c>
      <c r="F2035" s="5" t="s">
        <v>254</v>
      </c>
      <c r="G2035" s="5" t="s">
        <v>240</v>
      </c>
      <c r="H2035" s="6" t="s">
        <v>4257</v>
      </c>
      <c r="I2035" s="5" t="s">
        <v>809</v>
      </c>
      <c r="J2035" s="8">
        <f>1882</f>
        <v>1882</v>
      </c>
      <c r="K2035" s="5" t="s">
        <v>308</v>
      </c>
      <c r="L2035" s="7">
        <f>1</f>
        <v>1</v>
      </c>
      <c r="M2035" s="7">
        <f>1</f>
        <v>1</v>
      </c>
      <c r="N2035" s="5" t="s">
        <v>242</v>
      </c>
      <c r="O2035" s="5">
        <v>1</v>
      </c>
      <c r="P2035" s="5" t="s">
        <v>294</v>
      </c>
      <c r="Q2035" s="5" t="s">
        <v>266</v>
      </c>
      <c r="R2035" s="5" t="s">
        <v>240</v>
      </c>
      <c r="S2035" s="5" t="s">
        <v>240</v>
      </c>
      <c r="T2035" s="5" t="s">
        <v>296</v>
      </c>
      <c r="U2035" s="5" t="s">
        <v>244</v>
      </c>
      <c r="V2035" s="5" t="s">
        <v>240</v>
      </c>
      <c r="Y2035" s="5" t="s">
        <v>240</v>
      </c>
      <c r="Z2035" s="6" t="s">
        <v>298</v>
      </c>
      <c r="AB2035" s="6" t="s">
        <v>240</v>
      </c>
      <c r="AE2035" s="6" t="s">
        <v>299</v>
      </c>
      <c r="AF2035" s="5" t="s">
        <v>248</v>
      </c>
      <c r="AG2035" s="5" t="s">
        <v>249</v>
      </c>
      <c r="AW2035" s="5" t="s">
        <v>251</v>
      </c>
      <c r="AX2035" s="5" t="s">
        <v>240</v>
      </c>
      <c r="AY2035" s="5" t="s">
        <v>253</v>
      </c>
      <c r="AZ2035" s="5" t="s">
        <v>240</v>
      </c>
      <c r="BA2035" s="5" t="s">
        <v>255</v>
      </c>
      <c r="BB2035" s="5" t="s">
        <v>240</v>
      </c>
      <c r="BD2035" s="5" t="s">
        <v>240</v>
      </c>
      <c r="BF2035" s="5" t="s">
        <v>301</v>
      </c>
      <c r="BG2035" s="6" t="s">
        <v>299</v>
      </c>
      <c r="BH2035" s="5" t="s">
        <v>302</v>
      </c>
      <c r="BI2035" s="5" t="s">
        <v>303</v>
      </c>
      <c r="BJ2035" s="5" t="s">
        <v>240</v>
      </c>
      <c r="BK2035" s="8">
        <f>0</f>
        <v>0</v>
      </c>
      <c r="BL2035" s="7">
        <f>0</f>
        <v>0</v>
      </c>
      <c r="BM2035" s="5" t="s">
        <v>258</v>
      </c>
      <c r="BN2035" s="5" t="s">
        <v>259</v>
      </c>
      <c r="CB2035" s="5" t="s">
        <v>240</v>
      </c>
      <c r="CC2035" s="5" t="s">
        <v>240</v>
      </c>
      <c r="CG2035" s="5" t="s">
        <v>304</v>
      </c>
      <c r="CH2035" s="5" t="s">
        <v>305</v>
      </c>
      <c r="CI2035" s="5" t="s">
        <v>240</v>
      </c>
      <c r="CL2035" s="6" t="s">
        <v>261</v>
      </c>
      <c r="CM2035" s="5" t="s">
        <v>240</v>
      </c>
      <c r="CN2035" s="5" t="s">
        <v>263</v>
      </c>
      <c r="CO2035" s="5" t="s">
        <v>240</v>
      </c>
      <c r="CP2035" s="5" t="s">
        <v>240</v>
      </c>
      <c r="CQ2035" s="5">
        <v>0</v>
      </c>
      <c r="CR2035" s="5" t="s">
        <v>306</v>
      </c>
      <c r="CS2035" s="5" t="s">
        <v>307</v>
      </c>
      <c r="CT2035" s="5" t="s">
        <v>307</v>
      </c>
      <c r="CU2035" s="5" t="s">
        <v>260</v>
      </c>
      <c r="CX2035" s="7">
        <f>1</f>
        <v>1</v>
      </c>
      <c r="CY2035" s="7">
        <f>0</f>
        <v>0</v>
      </c>
      <c r="DA2035" s="7">
        <f>0</f>
        <v>0</v>
      </c>
      <c r="DC2035" s="5" t="s">
        <v>812</v>
      </c>
      <c r="DD2035" s="5" t="s">
        <v>240</v>
      </c>
      <c r="DF2035" s="5" t="s">
        <v>812</v>
      </c>
      <c r="DG2035" s="7">
        <f>90</f>
        <v>90</v>
      </c>
      <c r="DI2035" s="5" t="s">
        <v>240</v>
      </c>
      <c r="DJ2035" s="5" t="s">
        <v>240</v>
      </c>
      <c r="DK2035" s="5" t="s">
        <v>240</v>
      </c>
      <c r="DL2035" s="5" t="s">
        <v>240</v>
      </c>
      <c r="DP2035" s="5" t="s">
        <v>240</v>
      </c>
      <c r="DQ2035" s="5" t="s">
        <v>240</v>
      </c>
      <c r="DR2035" s="5" t="s">
        <v>240</v>
      </c>
      <c r="DS2035" s="5" t="s">
        <v>240</v>
      </c>
      <c r="DV2035" s="5" t="s">
        <v>813</v>
      </c>
      <c r="DW2035" s="5" t="s">
        <v>320</v>
      </c>
      <c r="HO2035" s="5" t="s">
        <v>312</v>
      </c>
    </row>
    <row r="2036" spans="1:223" x14ac:dyDescent="0.4">
      <c r="A2036" s="5">
        <v>3740</v>
      </c>
      <c r="B2036" s="5">
        <v>1</v>
      </c>
      <c r="C2036" s="5">
        <v>1</v>
      </c>
      <c r="D2036" s="5" t="s">
        <v>810</v>
      </c>
      <c r="E2036" s="5" t="s">
        <v>245</v>
      </c>
      <c r="F2036" s="5" t="s">
        <v>254</v>
      </c>
      <c r="G2036" s="5" t="s">
        <v>240</v>
      </c>
      <c r="H2036" s="6" t="s">
        <v>4256</v>
      </c>
      <c r="I2036" s="5" t="s">
        <v>809</v>
      </c>
      <c r="J2036" s="8">
        <f>1140</f>
        <v>1140</v>
      </c>
      <c r="K2036" s="5" t="s">
        <v>308</v>
      </c>
      <c r="L2036" s="7">
        <f>1</f>
        <v>1</v>
      </c>
      <c r="M2036" s="7">
        <f>1</f>
        <v>1</v>
      </c>
      <c r="N2036" s="5" t="s">
        <v>242</v>
      </c>
      <c r="O2036" s="5">
        <v>1</v>
      </c>
      <c r="P2036" s="5" t="s">
        <v>294</v>
      </c>
      <c r="Q2036" s="5" t="s">
        <v>266</v>
      </c>
      <c r="R2036" s="5" t="s">
        <v>240</v>
      </c>
      <c r="S2036" s="5" t="s">
        <v>240</v>
      </c>
      <c r="T2036" s="5" t="s">
        <v>296</v>
      </c>
      <c r="U2036" s="5" t="s">
        <v>244</v>
      </c>
      <c r="V2036" s="5" t="s">
        <v>240</v>
      </c>
      <c r="Y2036" s="5" t="s">
        <v>240</v>
      </c>
      <c r="Z2036" s="6" t="s">
        <v>298</v>
      </c>
      <c r="AB2036" s="6" t="s">
        <v>240</v>
      </c>
      <c r="AE2036" s="6" t="s">
        <v>299</v>
      </c>
      <c r="AF2036" s="5" t="s">
        <v>248</v>
      </c>
      <c r="AG2036" s="5" t="s">
        <v>249</v>
      </c>
      <c r="AW2036" s="5" t="s">
        <v>251</v>
      </c>
      <c r="AX2036" s="5" t="s">
        <v>240</v>
      </c>
      <c r="AY2036" s="5" t="s">
        <v>253</v>
      </c>
      <c r="AZ2036" s="5" t="s">
        <v>240</v>
      </c>
      <c r="BA2036" s="5" t="s">
        <v>255</v>
      </c>
      <c r="BB2036" s="5" t="s">
        <v>240</v>
      </c>
      <c r="BD2036" s="5" t="s">
        <v>240</v>
      </c>
      <c r="BF2036" s="5" t="s">
        <v>301</v>
      </c>
      <c r="BG2036" s="6" t="s">
        <v>299</v>
      </c>
      <c r="BH2036" s="5" t="s">
        <v>302</v>
      </c>
      <c r="BI2036" s="5" t="s">
        <v>303</v>
      </c>
      <c r="BJ2036" s="5" t="s">
        <v>240</v>
      </c>
      <c r="BK2036" s="8">
        <f>0</f>
        <v>0</v>
      </c>
      <c r="BL2036" s="7">
        <f>0</f>
        <v>0</v>
      </c>
      <c r="BM2036" s="5" t="s">
        <v>258</v>
      </c>
      <c r="BN2036" s="5" t="s">
        <v>259</v>
      </c>
      <c r="CB2036" s="5" t="s">
        <v>240</v>
      </c>
      <c r="CC2036" s="5" t="s">
        <v>240</v>
      </c>
      <c r="CG2036" s="5" t="s">
        <v>304</v>
      </c>
      <c r="CH2036" s="5" t="s">
        <v>305</v>
      </c>
      <c r="CI2036" s="5" t="s">
        <v>240</v>
      </c>
      <c r="CL2036" s="6" t="s">
        <v>261</v>
      </c>
      <c r="CM2036" s="5" t="s">
        <v>240</v>
      </c>
      <c r="CN2036" s="5" t="s">
        <v>263</v>
      </c>
      <c r="CO2036" s="5" t="s">
        <v>240</v>
      </c>
      <c r="CP2036" s="5" t="s">
        <v>240</v>
      </c>
      <c r="CQ2036" s="5">
        <v>0</v>
      </c>
      <c r="CR2036" s="5" t="s">
        <v>306</v>
      </c>
      <c r="CS2036" s="5" t="s">
        <v>307</v>
      </c>
      <c r="CT2036" s="5" t="s">
        <v>307</v>
      </c>
      <c r="CU2036" s="5" t="s">
        <v>260</v>
      </c>
      <c r="CX2036" s="7">
        <f>1</f>
        <v>1</v>
      </c>
      <c r="CY2036" s="7">
        <f>0</f>
        <v>0</v>
      </c>
      <c r="DA2036" s="7">
        <f>0</f>
        <v>0</v>
      </c>
      <c r="DC2036" s="5" t="s">
        <v>812</v>
      </c>
      <c r="DD2036" s="5" t="s">
        <v>240</v>
      </c>
      <c r="DF2036" s="5" t="s">
        <v>812</v>
      </c>
      <c r="DG2036" s="7">
        <f>331</f>
        <v>331</v>
      </c>
      <c r="DI2036" s="5" t="s">
        <v>240</v>
      </c>
      <c r="DJ2036" s="5" t="s">
        <v>240</v>
      </c>
      <c r="DK2036" s="5" t="s">
        <v>240</v>
      </c>
      <c r="DL2036" s="5" t="s">
        <v>240</v>
      </c>
      <c r="DP2036" s="5" t="s">
        <v>240</v>
      </c>
      <c r="DQ2036" s="5" t="s">
        <v>240</v>
      </c>
      <c r="DR2036" s="5" t="s">
        <v>240</v>
      </c>
      <c r="DS2036" s="5" t="s">
        <v>240</v>
      </c>
      <c r="DV2036" s="5" t="s">
        <v>813</v>
      </c>
      <c r="DW2036" s="5" t="s">
        <v>322</v>
      </c>
      <c r="HO2036" s="5" t="s">
        <v>312</v>
      </c>
    </row>
    <row r="2037" spans="1:223" x14ac:dyDescent="0.4">
      <c r="A2037" s="5">
        <v>3741</v>
      </c>
      <c r="B2037" s="5">
        <v>1</v>
      </c>
      <c r="C2037" s="5">
        <v>1</v>
      </c>
      <c r="D2037" s="5" t="s">
        <v>810</v>
      </c>
      <c r="E2037" s="5" t="s">
        <v>245</v>
      </c>
      <c r="F2037" s="5" t="s">
        <v>254</v>
      </c>
      <c r="G2037" s="5" t="s">
        <v>240</v>
      </c>
      <c r="H2037" s="6" t="s">
        <v>4255</v>
      </c>
      <c r="I2037" s="5" t="s">
        <v>809</v>
      </c>
      <c r="J2037" s="8">
        <f>161</f>
        <v>161</v>
      </c>
      <c r="K2037" s="5" t="s">
        <v>308</v>
      </c>
      <c r="L2037" s="7">
        <f>1</f>
        <v>1</v>
      </c>
      <c r="M2037" s="7">
        <f>1</f>
        <v>1</v>
      </c>
      <c r="N2037" s="5" t="s">
        <v>242</v>
      </c>
      <c r="O2037" s="5">
        <v>1</v>
      </c>
      <c r="P2037" s="5" t="s">
        <v>294</v>
      </c>
      <c r="Q2037" s="5" t="s">
        <v>266</v>
      </c>
      <c r="R2037" s="5" t="s">
        <v>240</v>
      </c>
      <c r="S2037" s="5" t="s">
        <v>240</v>
      </c>
      <c r="T2037" s="5" t="s">
        <v>296</v>
      </c>
      <c r="U2037" s="5" t="s">
        <v>244</v>
      </c>
      <c r="V2037" s="5" t="s">
        <v>240</v>
      </c>
      <c r="Y2037" s="5" t="s">
        <v>240</v>
      </c>
      <c r="Z2037" s="6" t="s">
        <v>298</v>
      </c>
      <c r="AB2037" s="6" t="s">
        <v>240</v>
      </c>
      <c r="AE2037" s="6" t="s">
        <v>299</v>
      </c>
      <c r="AF2037" s="5" t="s">
        <v>248</v>
      </c>
      <c r="AG2037" s="5" t="s">
        <v>249</v>
      </c>
      <c r="AW2037" s="5" t="s">
        <v>251</v>
      </c>
      <c r="AX2037" s="5" t="s">
        <v>240</v>
      </c>
      <c r="AY2037" s="5" t="s">
        <v>253</v>
      </c>
      <c r="AZ2037" s="5" t="s">
        <v>240</v>
      </c>
      <c r="BA2037" s="5" t="s">
        <v>255</v>
      </c>
      <c r="BB2037" s="5" t="s">
        <v>240</v>
      </c>
      <c r="BD2037" s="5" t="s">
        <v>240</v>
      </c>
      <c r="BF2037" s="5" t="s">
        <v>301</v>
      </c>
      <c r="BG2037" s="6" t="s">
        <v>299</v>
      </c>
      <c r="BH2037" s="5" t="s">
        <v>302</v>
      </c>
      <c r="BI2037" s="5" t="s">
        <v>303</v>
      </c>
      <c r="BJ2037" s="5" t="s">
        <v>240</v>
      </c>
      <c r="BK2037" s="8">
        <f>0</f>
        <v>0</v>
      </c>
      <c r="BL2037" s="7">
        <f>0</f>
        <v>0</v>
      </c>
      <c r="BM2037" s="5" t="s">
        <v>258</v>
      </c>
      <c r="BN2037" s="5" t="s">
        <v>259</v>
      </c>
      <c r="CB2037" s="5" t="s">
        <v>240</v>
      </c>
      <c r="CC2037" s="5" t="s">
        <v>240</v>
      </c>
      <c r="CG2037" s="5" t="s">
        <v>304</v>
      </c>
      <c r="CH2037" s="5" t="s">
        <v>305</v>
      </c>
      <c r="CI2037" s="5" t="s">
        <v>240</v>
      </c>
      <c r="CL2037" s="6" t="s">
        <v>261</v>
      </c>
      <c r="CM2037" s="5" t="s">
        <v>240</v>
      </c>
      <c r="CN2037" s="5" t="s">
        <v>263</v>
      </c>
      <c r="CO2037" s="5" t="s">
        <v>240</v>
      </c>
      <c r="CP2037" s="5" t="s">
        <v>240</v>
      </c>
      <c r="CQ2037" s="5">
        <v>0</v>
      </c>
      <c r="CR2037" s="5" t="s">
        <v>306</v>
      </c>
      <c r="CS2037" s="5" t="s">
        <v>307</v>
      </c>
      <c r="CT2037" s="5" t="s">
        <v>307</v>
      </c>
      <c r="CU2037" s="5" t="s">
        <v>260</v>
      </c>
      <c r="CX2037" s="7">
        <f>1</f>
        <v>1</v>
      </c>
      <c r="CY2037" s="7">
        <f>0</f>
        <v>0</v>
      </c>
      <c r="DA2037" s="7">
        <f>0</f>
        <v>0</v>
      </c>
      <c r="DC2037" s="5" t="s">
        <v>812</v>
      </c>
      <c r="DD2037" s="5" t="s">
        <v>240</v>
      </c>
      <c r="DF2037" s="5" t="s">
        <v>812</v>
      </c>
      <c r="DG2037" s="7">
        <f>2690</f>
        <v>2690</v>
      </c>
      <c r="DI2037" s="5" t="s">
        <v>240</v>
      </c>
      <c r="DJ2037" s="5" t="s">
        <v>240</v>
      </c>
      <c r="DK2037" s="5" t="s">
        <v>240</v>
      </c>
      <c r="DL2037" s="5" t="s">
        <v>240</v>
      </c>
      <c r="DP2037" s="5" t="s">
        <v>240</v>
      </c>
      <c r="DQ2037" s="5" t="s">
        <v>240</v>
      </c>
      <c r="DR2037" s="5" t="s">
        <v>240</v>
      </c>
      <c r="DS2037" s="5" t="s">
        <v>240</v>
      </c>
      <c r="DV2037" s="5" t="s">
        <v>813</v>
      </c>
      <c r="DW2037" s="5" t="s">
        <v>324</v>
      </c>
      <c r="HO2037" s="5" t="s">
        <v>312</v>
      </c>
    </row>
    <row r="2038" spans="1:223" x14ac:dyDescent="0.4">
      <c r="A2038" s="5">
        <v>3742</v>
      </c>
      <c r="B2038" s="5">
        <v>1</v>
      </c>
      <c r="C2038" s="5">
        <v>1</v>
      </c>
      <c r="D2038" s="5" t="s">
        <v>810</v>
      </c>
      <c r="E2038" s="5" t="s">
        <v>245</v>
      </c>
      <c r="F2038" s="5" t="s">
        <v>254</v>
      </c>
      <c r="G2038" s="5" t="s">
        <v>240</v>
      </c>
      <c r="H2038" s="6" t="s">
        <v>4254</v>
      </c>
      <c r="I2038" s="5" t="s">
        <v>809</v>
      </c>
      <c r="J2038" s="8">
        <f>539</f>
        <v>539</v>
      </c>
      <c r="K2038" s="5" t="s">
        <v>308</v>
      </c>
      <c r="L2038" s="7">
        <f>1</f>
        <v>1</v>
      </c>
      <c r="M2038" s="7">
        <f>1</f>
        <v>1</v>
      </c>
      <c r="N2038" s="5" t="s">
        <v>242</v>
      </c>
      <c r="O2038" s="5">
        <v>1</v>
      </c>
      <c r="P2038" s="5" t="s">
        <v>294</v>
      </c>
      <c r="Q2038" s="5" t="s">
        <v>266</v>
      </c>
      <c r="R2038" s="5" t="s">
        <v>240</v>
      </c>
      <c r="S2038" s="5" t="s">
        <v>240</v>
      </c>
      <c r="T2038" s="5" t="s">
        <v>296</v>
      </c>
      <c r="U2038" s="5" t="s">
        <v>244</v>
      </c>
      <c r="V2038" s="5" t="s">
        <v>240</v>
      </c>
      <c r="Y2038" s="5" t="s">
        <v>240</v>
      </c>
      <c r="Z2038" s="6" t="s">
        <v>298</v>
      </c>
      <c r="AB2038" s="6" t="s">
        <v>240</v>
      </c>
      <c r="AE2038" s="6" t="s">
        <v>299</v>
      </c>
      <c r="AF2038" s="5" t="s">
        <v>248</v>
      </c>
      <c r="AG2038" s="5" t="s">
        <v>249</v>
      </c>
      <c r="AW2038" s="5" t="s">
        <v>251</v>
      </c>
      <c r="AX2038" s="5" t="s">
        <v>240</v>
      </c>
      <c r="AY2038" s="5" t="s">
        <v>253</v>
      </c>
      <c r="AZ2038" s="5" t="s">
        <v>240</v>
      </c>
      <c r="BA2038" s="5" t="s">
        <v>255</v>
      </c>
      <c r="BB2038" s="5" t="s">
        <v>240</v>
      </c>
      <c r="BD2038" s="5" t="s">
        <v>240</v>
      </c>
      <c r="BF2038" s="5" t="s">
        <v>301</v>
      </c>
      <c r="BG2038" s="6" t="s">
        <v>299</v>
      </c>
      <c r="BH2038" s="5" t="s">
        <v>302</v>
      </c>
      <c r="BI2038" s="5" t="s">
        <v>303</v>
      </c>
      <c r="BJ2038" s="5" t="s">
        <v>240</v>
      </c>
      <c r="BK2038" s="8">
        <f>0</f>
        <v>0</v>
      </c>
      <c r="BL2038" s="7">
        <f>0</f>
        <v>0</v>
      </c>
      <c r="BM2038" s="5" t="s">
        <v>258</v>
      </c>
      <c r="BN2038" s="5" t="s">
        <v>259</v>
      </c>
      <c r="CB2038" s="5" t="s">
        <v>240</v>
      </c>
      <c r="CC2038" s="5" t="s">
        <v>240</v>
      </c>
      <c r="CG2038" s="5" t="s">
        <v>304</v>
      </c>
      <c r="CH2038" s="5" t="s">
        <v>305</v>
      </c>
      <c r="CI2038" s="5" t="s">
        <v>240</v>
      </c>
      <c r="CL2038" s="6" t="s">
        <v>261</v>
      </c>
      <c r="CM2038" s="5" t="s">
        <v>240</v>
      </c>
      <c r="CN2038" s="5" t="s">
        <v>263</v>
      </c>
      <c r="CO2038" s="5" t="s">
        <v>240</v>
      </c>
      <c r="CP2038" s="5" t="s">
        <v>240</v>
      </c>
      <c r="CQ2038" s="5">
        <v>0</v>
      </c>
      <c r="CR2038" s="5" t="s">
        <v>306</v>
      </c>
      <c r="CS2038" s="5" t="s">
        <v>307</v>
      </c>
      <c r="CT2038" s="5" t="s">
        <v>307</v>
      </c>
      <c r="CU2038" s="5" t="s">
        <v>260</v>
      </c>
      <c r="CX2038" s="7">
        <f>1</f>
        <v>1</v>
      </c>
      <c r="CY2038" s="7">
        <f>0</f>
        <v>0</v>
      </c>
      <c r="DA2038" s="7">
        <f>0</f>
        <v>0</v>
      </c>
      <c r="DC2038" s="5" t="s">
        <v>309</v>
      </c>
      <c r="DD2038" s="5" t="s">
        <v>240</v>
      </c>
      <c r="DF2038" s="5" t="s">
        <v>309</v>
      </c>
      <c r="DG2038" s="7">
        <f>4226</f>
        <v>4226</v>
      </c>
      <c r="DI2038" s="5" t="s">
        <v>240</v>
      </c>
      <c r="DJ2038" s="5" t="s">
        <v>240</v>
      </c>
      <c r="DK2038" s="5" t="s">
        <v>240</v>
      </c>
      <c r="DL2038" s="5" t="s">
        <v>240</v>
      </c>
      <c r="DP2038" s="5" t="s">
        <v>240</v>
      </c>
      <c r="DQ2038" s="5" t="s">
        <v>240</v>
      </c>
      <c r="DR2038" s="5" t="s">
        <v>240</v>
      </c>
      <c r="DS2038" s="5" t="s">
        <v>240</v>
      </c>
      <c r="DV2038" s="5" t="s">
        <v>310</v>
      </c>
      <c r="DW2038" s="5" t="s">
        <v>4114</v>
      </c>
      <c r="HO2038" s="5" t="s">
        <v>312</v>
      </c>
    </row>
    <row r="2039" spans="1:223" x14ac:dyDescent="0.4">
      <c r="A2039" s="5">
        <v>3743</v>
      </c>
      <c r="B2039" s="5">
        <v>1</v>
      </c>
      <c r="C2039" s="5">
        <v>1</v>
      </c>
      <c r="D2039" s="5" t="s">
        <v>810</v>
      </c>
      <c r="E2039" s="5" t="s">
        <v>245</v>
      </c>
      <c r="F2039" s="5" t="s">
        <v>254</v>
      </c>
      <c r="G2039" s="5" t="s">
        <v>240</v>
      </c>
      <c r="H2039" s="6" t="s">
        <v>4253</v>
      </c>
      <c r="I2039" s="5" t="s">
        <v>809</v>
      </c>
      <c r="J2039" s="8">
        <f>71</f>
        <v>71</v>
      </c>
      <c r="K2039" s="5" t="s">
        <v>308</v>
      </c>
      <c r="L2039" s="7">
        <f>1</f>
        <v>1</v>
      </c>
      <c r="M2039" s="7">
        <f>1</f>
        <v>1</v>
      </c>
      <c r="N2039" s="5" t="s">
        <v>242</v>
      </c>
      <c r="O2039" s="5">
        <v>1</v>
      </c>
      <c r="P2039" s="5" t="s">
        <v>294</v>
      </c>
      <c r="Q2039" s="5" t="s">
        <v>266</v>
      </c>
      <c r="R2039" s="5" t="s">
        <v>240</v>
      </c>
      <c r="S2039" s="5" t="s">
        <v>240</v>
      </c>
      <c r="T2039" s="5" t="s">
        <v>296</v>
      </c>
      <c r="U2039" s="5" t="s">
        <v>244</v>
      </c>
      <c r="V2039" s="5" t="s">
        <v>240</v>
      </c>
      <c r="Y2039" s="5" t="s">
        <v>240</v>
      </c>
      <c r="Z2039" s="6" t="s">
        <v>298</v>
      </c>
      <c r="AB2039" s="6" t="s">
        <v>240</v>
      </c>
      <c r="AE2039" s="6" t="s">
        <v>299</v>
      </c>
      <c r="AF2039" s="5" t="s">
        <v>248</v>
      </c>
      <c r="AG2039" s="5" t="s">
        <v>249</v>
      </c>
      <c r="AW2039" s="5" t="s">
        <v>251</v>
      </c>
      <c r="AX2039" s="5" t="s">
        <v>240</v>
      </c>
      <c r="AY2039" s="5" t="s">
        <v>253</v>
      </c>
      <c r="AZ2039" s="5" t="s">
        <v>240</v>
      </c>
      <c r="BA2039" s="5" t="s">
        <v>255</v>
      </c>
      <c r="BB2039" s="5" t="s">
        <v>240</v>
      </c>
      <c r="BD2039" s="5" t="s">
        <v>240</v>
      </c>
      <c r="BF2039" s="5" t="s">
        <v>301</v>
      </c>
      <c r="BG2039" s="6" t="s">
        <v>299</v>
      </c>
      <c r="BH2039" s="5" t="s">
        <v>302</v>
      </c>
      <c r="BI2039" s="5" t="s">
        <v>303</v>
      </c>
      <c r="BJ2039" s="5" t="s">
        <v>240</v>
      </c>
      <c r="BK2039" s="8">
        <f>0</f>
        <v>0</v>
      </c>
      <c r="BL2039" s="7">
        <f>0</f>
        <v>0</v>
      </c>
      <c r="BM2039" s="5" t="s">
        <v>258</v>
      </c>
      <c r="BN2039" s="5" t="s">
        <v>259</v>
      </c>
      <c r="CB2039" s="5" t="s">
        <v>240</v>
      </c>
      <c r="CC2039" s="5" t="s">
        <v>240</v>
      </c>
      <c r="CG2039" s="5" t="s">
        <v>304</v>
      </c>
      <c r="CH2039" s="5" t="s">
        <v>305</v>
      </c>
      <c r="CI2039" s="5" t="s">
        <v>240</v>
      </c>
      <c r="CL2039" s="6" t="s">
        <v>261</v>
      </c>
      <c r="CM2039" s="5" t="s">
        <v>240</v>
      </c>
      <c r="CN2039" s="5" t="s">
        <v>263</v>
      </c>
      <c r="CO2039" s="5" t="s">
        <v>240</v>
      </c>
      <c r="CP2039" s="5" t="s">
        <v>240</v>
      </c>
      <c r="CQ2039" s="5">
        <v>0</v>
      </c>
      <c r="CR2039" s="5" t="s">
        <v>306</v>
      </c>
      <c r="CS2039" s="5" t="s">
        <v>307</v>
      </c>
      <c r="CT2039" s="5" t="s">
        <v>307</v>
      </c>
      <c r="CU2039" s="5" t="s">
        <v>260</v>
      </c>
      <c r="CX2039" s="7">
        <f>1</f>
        <v>1</v>
      </c>
      <c r="CY2039" s="7">
        <f>0</f>
        <v>0</v>
      </c>
      <c r="DA2039" s="7">
        <f>0</f>
        <v>0</v>
      </c>
      <c r="DC2039" s="5" t="s">
        <v>812</v>
      </c>
      <c r="DD2039" s="5" t="s">
        <v>240</v>
      </c>
      <c r="DF2039" s="5" t="s">
        <v>812</v>
      </c>
      <c r="DG2039" s="7">
        <f>2061</f>
        <v>2061</v>
      </c>
      <c r="DI2039" s="5" t="s">
        <v>240</v>
      </c>
      <c r="DJ2039" s="5" t="s">
        <v>240</v>
      </c>
      <c r="DK2039" s="5" t="s">
        <v>240</v>
      </c>
      <c r="DL2039" s="5" t="s">
        <v>240</v>
      </c>
      <c r="DP2039" s="5" t="s">
        <v>240</v>
      </c>
      <c r="DQ2039" s="5" t="s">
        <v>240</v>
      </c>
      <c r="DR2039" s="5" t="s">
        <v>240</v>
      </c>
      <c r="DS2039" s="5" t="s">
        <v>240</v>
      </c>
      <c r="DV2039" s="5" t="s">
        <v>813</v>
      </c>
      <c r="DW2039" s="5" t="s">
        <v>328</v>
      </c>
      <c r="HO2039" s="5" t="s">
        <v>312</v>
      </c>
    </row>
    <row r="2040" spans="1:223" x14ac:dyDescent="0.4">
      <c r="A2040" s="5">
        <v>3744</v>
      </c>
      <c r="B2040" s="5">
        <v>1</v>
      </c>
      <c r="C2040" s="5">
        <v>1</v>
      </c>
      <c r="D2040" s="5" t="s">
        <v>810</v>
      </c>
      <c r="E2040" s="5" t="s">
        <v>245</v>
      </c>
      <c r="F2040" s="5" t="s">
        <v>254</v>
      </c>
      <c r="G2040" s="5" t="s">
        <v>240</v>
      </c>
      <c r="H2040" s="6" t="s">
        <v>4252</v>
      </c>
      <c r="I2040" s="5" t="s">
        <v>809</v>
      </c>
      <c r="J2040" s="8">
        <f>1860</f>
        <v>1860</v>
      </c>
      <c r="K2040" s="5" t="s">
        <v>308</v>
      </c>
      <c r="L2040" s="7">
        <f>1</f>
        <v>1</v>
      </c>
      <c r="M2040" s="7">
        <f>1</f>
        <v>1</v>
      </c>
      <c r="N2040" s="5" t="s">
        <v>242</v>
      </c>
      <c r="O2040" s="5">
        <v>1</v>
      </c>
      <c r="P2040" s="5" t="s">
        <v>294</v>
      </c>
      <c r="Q2040" s="5" t="s">
        <v>266</v>
      </c>
      <c r="R2040" s="5" t="s">
        <v>240</v>
      </c>
      <c r="S2040" s="5" t="s">
        <v>240</v>
      </c>
      <c r="T2040" s="5" t="s">
        <v>296</v>
      </c>
      <c r="U2040" s="5" t="s">
        <v>244</v>
      </c>
      <c r="V2040" s="5" t="s">
        <v>240</v>
      </c>
      <c r="Y2040" s="5" t="s">
        <v>240</v>
      </c>
      <c r="Z2040" s="6" t="s">
        <v>298</v>
      </c>
      <c r="AB2040" s="6" t="s">
        <v>240</v>
      </c>
      <c r="AE2040" s="6" t="s">
        <v>299</v>
      </c>
      <c r="AF2040" s="5" t="s">
        <v>248</v>
      </c>
      <c r="AG2040" s="5" t="s">
        <v>249</v>
      </c>
      <c r="AW2040" s="5" t="s">
        <v>251</v>
      </c>
      <c r="AX2040" s="5" t="s">
        <v>240</v>
      </c>
      <c r="AY2040" s="5" t="s">
        <v>253</v>
      </c>
      <c r="AZ2040" s="5" t="s">
        <v>240</v>
      </c>
      <c r="BA2040" s="5" t="s">
        <v>255</v>
      </c>
      <c r="BB2040" s="5" t="s">
        <v>240</v>
      </c>
      <c r="BD2040" s="5" t="s">
        <v>240</v>
      </c>
      <c r="BF2040" s="5" t="s">
        <v>301</v>
      </c>
      <c r="BG2040" s="6" t="s">
        <v>299</v>
      </c>
      <c r="BH2040" s="5" t="s">
        <v>302</v>
      </c>
      <c r="BI2040" s="5" t="s">
        <v>303</v>
      </c>
      <c r="BJ2040" s="5" t="s">
        <v>240</v>
      </c>
      <c r="BK2040" s="8">
        <f>0</f>
        <v>0</v>
      </c>
      <c r="BL2040" s="7">
        <f>0</f>
        <v>0</v>
      </c>
      <c r="BM2040" s="5" t="s">
        <v>258</v>
      </c>
      <c r="BN2040" s="5" t="s">
        <v>259</v>
      </c>
      <c r="CB2040" s="5" t="s">
        <v>240</v>
      </c>
      <c r="CC2040" s="5" t="s">
        <v>240</v>
      </c>
      <c r="CG2040" s="5" t="s">
        <v>304</v>
      </c>
      <c r="CH2040" s="5" t="s">
        <v>305</v>
      </c>
      <c r="CI2040" s="5" t="s">
        <v>240</v>
      </c>
      <c r="CL2040" s="6" t="s">
        <v>261</v>
      </c>
      <c r="CM2040" s="5" t="s">
        <v>240</v>
      </c>
      <c r="CN2040" s="5" t="s">
        <v>263</v>
      </c>
      <c r="CO2040" s="5" t="s">
        <v>240</v>
      </c>
      <c r="CP2040" s="5" t="s">
        <v>240</v>
      </c>
      <c r="CQ2040" s="5">
        <v>0</v>
      </c>
      <c r="CR2040" s="5" t="s">
        <v>306</v>
      </c>
      <c r="CS2040" s="5" t="s">
        <v>307</v>
      </c>
      <c r="CT2040" s="5" t="s">
        <v>307</v>
      </c>
      <c r="CU2040" s="5" t="s">
        <v>260</v>
      </c>
      <c r="CX2040" s="7">
        <f>1</f>
        <v>1</v>
      </c>
      <c r="CY2040" s="7">
        <f>0</f>
        <v>0</v>
      </c>
      <c r="DA2040" s="7">
        <f>0</f>
        <v>0</v>
      </c>
      <c r="DC2040" s="5" t="s">
        <v>812</v>
      </c>
      <c r="DD2040" s="5" t="s">
        <v>240</v>
      </c>
      <c r="DF2040" s="5" t="s">
        <v>812</v>
      </c>
      <c r="DG2040" s="7">
        <f>1238</f>
        <v>1238</v>
      </c>
      <c r="DI2040" s="5" t="s">
        <v>240</v>
      </c>
      <c r="DJ2040" s="5" t="s">
        <v>240</v>
      </c>
      <c r="DK2040" s="5" t="s">
        <v>240</v>
      </c>
      <c r="DL2040" s="5" t="s">
        <v>240</v>
      </c>
      <c r="DP2040" s="5" t="s">
        <v>240</v>
      </c>
      <c r="DQ2040" s="5" t="s">
        <v>240</v>
      </c>
      <c r="DR2040" s="5" t="s">
        <v>240</v>
      </c>
      <c r="DS2040" s="5" t="s">
        <v>240</v>
      </c>
      <c r="DV2040" s="5" t="s">
        <v>813</v>
      </c>
      <c r="DW2040" s="5" t="s">
        <v>330</v>
      </c>
      <c r="HO2040" s="5" t="s">
        <v>312</v>
      </c>
    </row>
    <row r="2041" spans="1:223" x14ac:dyDescent="0.4">
      <c r="A2041" s="5">
        <v>3745</v>
      </c>
      <c r="B2041" s="5">
        <v>1</v>
      </c>
      <c r="C2041" s="5">
        <v>1</v>
      </c>
      <c r="D2041" s="5" t="s">
        <v>810</v>
      </c>
      <c r="E2041" s="5" t="s">
        <v>245</v>
      </c>
      <c r="F2041" s="5" t="s">
        <v>254</v>
      </c>
      <c r="G2041" s="5" t="s">
        <v>240</v>
      </c>
      <c r="H2041" s="6" t="s">
        <v>5379</v>
      </c>
      <c r="I2041" s="5" t="s">
        <v>809</v>
      </c>
      <c r="J2041" s="8">
        <f>2484</f>
        <v>2484</v>
      </c>
      <c r="K2041" s="5" t="s">
        <v>308</v>
      </c>
      <c r="L2041" s="7">
        <f>1</f>
        <v>1</v>
      </c>
      <c r="M2041" s="7">
        <f>1</f>
        <v>1</v>
      </c>
      <c r="N2041" s="5" t="s">
        <v>242</v>
      </c>
      <c r="O2041" s="5">
        <v>1</v>
      </c>
      <c r="P2041" s="5" t="s">
        <v>294</v>
      </c>
      <c r="Q2041" s="5" t="s">
        <v>266</v>
      </c>
      <c r="R2041" s="5" t="s">
        <v>240</v>
      </c>
      <c r="S2041" s="5" t="s">
        <v>240</v>
      </c>
      <c r="T2041" s="5" t="s">
        <v>296</v>
      </c>
      <c r="U2041" s="5" t="s">
        <v>244</v>
      </c>
      <c r="V2041" s="5" t="s">
        <v>240</v>
      </c>
      <c r="Y2041" s="5" t="s">
        <v>240</v>
      </c>
      <c r="Z2041" s="6" t="s">
        <v>298</v>
      </c>
      <c r="AB2041" s="6" t="s">
        <v>240</v>
      </c>
      <c r="AE2041" s="6" t="s">
        <v>299</v>
      </c>
      <c r="AF2041" s="5" t="s">
        <v>248</v>
      </c>
      <c r="AG2041" s="5" t="s">
        <v>249</v>
      </c>
      <c r="AW2041" s="5" t="s">
        <v>251</v>
      </c>
      <c r="AX2041" s="5" t="s">
        <v>240</v>
      </c>
      <c r="AY2041" s="5" t="s">
        <v>253</v>
      </c>
      <c r="AZ2041" s="5" t="s">
        <v>240</v>
      </c>
      <c r="BA2041" s="5" t="s">
        <v>255</v>
      </c>
      <c r="BB2041" s="5" t="s">
        <v>240</v>
      </c>
      <c r="BD2041" s="5" t="s">
        <v>240</v>
      </c>
      <c r="BF2041" s="5" t="s">
        <v>301</v>
      </c>
      <c r="BG2041" s="6" t="s">
        <v>299</v>
      </c>
      <c r="BH2041" s="5" t="s">
        <v>302</v>
      </c>
      <c r="BI2041" s="5" t="s">
        <v>303</v>
      </c>
      <c r="BJ2041" s="5" t="s">
        <v>240</v>
      </c>
      <c r="BK2041" s="8">
        <f>0</f>
        <v>0</v>
      </c>
      <c r="BL2041" s="7">
        <f>0</f>
        <v>0</v>
      </c>
      <c r="BM2041" s="5" t="s">
        <v>258</v>
      </c>
      <c r="BN2041" s="5" t="s">
        <v>259</v>
      </c>
      <c r="CB2041" s="5" t="s">
        <v>240</v>
      </c>
      <c r="CC2041" s="5" t="s">
        <v>240</v>
      </c>
      <c r="CG2041" s="5" t="s">
        <v>304</v>
      </c>
      <c r="CH2041" s="5" t="s">
        <v>305</v>
      </c>
      <c r="CI2041" s="5" t="s">
        <v>240</v>
      </c>
      <c r="CL2041" s="6" t="s">
        <v>261</v>
      </c>
      <c r="CM2041" s="5" t="s">
        <v>240</v>
      </c>
      <c r="CN2041" s="5" t="s">
        <v>263</v>
      </c>
      <c r="CO2041" s="5" t="s">
        <v>240</v>
      </c>
      <c r="CP2041" s="5" t="s">
        <v>240</v>
      </c>
      <c r="CQ2041" s="5">
        <v>0</v>
      </c>
      <c r="CR2041" s="5" t="s">
        <v>306</v>
      </c>
      <c r="CS2041" s="5" t="s">
        <v>307</v>
      </c>
      <c r="CT2041" s="5" t="s">
        <v>307</v>
      </c>
      <c r="CU2041" s="5" t="s">
        <v>260</v>
      </c>
      <c r="CX2041" s="7">
        <f>1</f>
        <v>1</v>
      </c>
      <c r="CY2041" s="7">
        <f>0</f>
        <v>0</v>
      </c>
      <c r="DA2041" s="7">
        <f>0</f>
        <v>0</v>
      </c>
      <c r="DC2041" s="5" t="s">
        <v>812</v>
      </c>
      <c r="DD2041" s="5" t="s">
        <v>240</v>
      </c>
      <c r="DF2041" s="5" t="s">
        <v>812</v>
      </c>
      <c r="DG2041" s="7">
        <f>759</f>
        <v>759</v>
      </c>
      <c r="DI2041" s="5" t="s">
        <v>240</v>
      </c>
      <c r="DJ2041" s="5" t="s">
        <v>240</v>
      </c>
      <c r="DK2041" s="5" t="s">
        <v>240</v>
      </c>
      <c r="DL2041" s="5" t="s">
        <v>240</v>
      </c>
      <c r="DP2041" s="5" t="s">
        <v>240</v>
      </c>
      <c r="DQ2041" s="5" t="s">
        <v>240</v>
      </c>
      <c r="DR2041" s="5" t="s">
        <v>240</v>
      </c>
      <c r="DS2041" s="5" t="s">
        <v>240</v>
      </c>
      <c r="DV2041" s="5" t="s">
        <v>813</v>
      </c>
      <c r="DW2041" s="5" t="s">
        <v>332</v>
      </c>
      <c r="HO2041" s="5" t="s">
        <v>312</v>
      </c>
    </row>
    <row r="2042" spans="1:223" x14ac:dyDescent="0.4">
      <c r="A2042" s="5">
        <v>3746</v>
      </c>
      <c r="B2042" s="5">
        <v>1</v>
      </c>
      <c r="C2042" s="5">
        <v>1</v>
      </c>
      <c r="D2042" s="5" t="s">
        <v>810</v>
      </c>
      <c r="E2042" s="5" t="s">
        <v>245</v>
      </c>
      <c r="F2042" s="5" t="s">
        <v>254</v>
      </c>
      <c r="G2042" s="5" t="s">
        <v>240</v>
      </c>
      <c r="H2042" s="6" t="s">
        <v>4248</v>
      </c>
      <c r="I2042" s="5" t="s">
        <v>809</v>
      </c>
      <c r="J2042" s="8">
        <f>1299</f>
        <v>1299</v>
      </c>
      <c r="K2042" s="5" t="s">
        <v>308</v>
      </c>
      <c r="L2042" s="7">
        <f>1</f>
        <v>1</v>
      </c>
      <c r="M2042" s="7">
        <f>1</f>
        <v>1</v>
      </c>
      <c r="N2042" s="5" t="s">
        <v>242</v>
      </c>
      <c r="O2042" s="5">
        <v>1</v>
      </c>
      <c r="P2042" s="5" t="s">
        <v>294</v>
      </c>
      <c r="Q2042" s="5" t="s">
        <v>266</v>
      </c>
      <c r="R2042" s="5" t="s">
        <v>240</v>
      </c>
      <c r="S2042" s="5" t="s">
        <v>240</v>
      </c>
      <c r="T2042" s="5" t="s">
        <v>296</v>
      </c>
      <c r="U2042" s="5" t="s">
        <v>244</v>
      </c>
      <c r="V2042" s="5" t="s">
        <v>240</v>
      </c>
      <c r="Y2042" s="5" t="s">
        <v>240</v>
      </c>
      <c r="Z2042" s="6" t="s">
        <v>298</v>
      </c>
      <c r="AB2042" s="6" t="s">
        <v>240</v>
      </c>
      <c r="AE2042" s="6" t="s">
        <v>299</v>
      </c>
      <c r="AF2042" s="5" t="s">
        <v>248</v>
      </c>
      <c r="AG2042" s="5" t="s">
        <v>249</v>
      </c>
      <c r="AW2042" s="5" t="s">
        <v>251</v>
      </c>
      <c r="AX2042" s="5" t="s">
        <v>240</v>
      </c>
      <c r="AY2042" s="5" t="s">
        <v>253</v>
      </c>
      <c r="AZ2042" s="5" t="s">
        <v>240</v>
      </c>
      <c r="BA2042" s="5" t="s">
        <v>255</v>
      </c>
      <c r="BB2042" s="5" t="s">
        <v>240</v>
      </c>
      <c r="BD2042" s="5" t="s">
        <v>240</v>
      </c>
      <c r="BF2042" s="5" t="s">
        <v>301</v>
      </c>
      <c r="BG2042" s="6" t="s">
        <v>299</v>
      </c>
      <c r="BH2042" s="5" t="s">
        <v>302</v>
      </c>
      <c r="BI2042" s="5" t="s">
        <v>303</v>
      </c>
      <c r="BJ2042" s="5" t="s">
        <v>240</v>
      </c>
      <c r="BK2042" s="8">
        <f>0</f>
        <v>0</v>
      </c>
      <c r="BL2042" s="7">
        <f>0</f>
        <v>0</v>
      </c>
      <c r="BM2042" s="5" t="s">
        <v>258</v>
      </c>
      <c r="BN2042" s="5" t="s">
        <v>259</v>
      </c>
      <c r="CB2042" s="5" t="s">
        <v>240</v>
      </c>
      <c r="CC2042" s="5" t="s">
        <v>240</v>
      </c>
      <c r="CG2042" s="5" t="s">
        <v>304</v>
      </c>
      <c r="CH2042" s="5" t="s">
        <v>305</v>
      </c>
      <c r="CI2042" s="5" t="s">
        <v>240</v>
      </c>
      <c r="CL2042" s="6" t="s">
        <v>261</v>
      </c>
      <c r="CM2042" s="5" t="s">
        <v>240</v>
      </c>
      <c r="CN2042" s="5" t="s">
        <v>263</v>
      </c>
      <c r="CO2042" s="5" t="s">
        <v>240</v>
      </c>
      <c r="CP2042" s="5" t="s">
        <v>240</v>
      </c>
      <c r="CQ2042" s="5">
        <v>0</v>
      </c>
      <c r="CR2042" s="5" t="s">
        <v>306</v>
      </c>
      <c r="CS2042" s="5" t="s">
        <v>307</v>
      </c>
      <c r="CT2042" s="5" t="s">
        <v>307</v>
      </c>
      <c r="CU2042" s="5" t="s">
        <v>260</v>
      </c>
      <c r="CX2042" s="7">
        <f>1</f>
        <v>1</v>
      </c>
      <c r="CY2042" s="7">
        <f>0</f>
        <v>0</v>
      </c>
      <c r="DA2042" s="7">
        <f>0</f>
        <v>0</v>
      </c>
      <c r="DC2042" s="5" t="s">
        <v>812</v>
      </c>
      <c r="DD2042" s="5" t="s">
        <v>240</v>
      </c>
      <c r="DF2042" s="5" t="s">
        <v>812</v>
      </c>
      <c r="DG2042" s="7">
        <f>23</f>
        <v>23</v>
      </c>
      <c r="DI2042" s="5" t="s">
        <v>240</v>
      </c>
      <c r="DJ2042" s="5" t="s">
        <v>240</v>
      </c>
      <c r="DK2042" s="5" t="s">
        <v>240</v>
      </c>
      <c r="DL2042" s="5" t="s">
        <v>240</v>
      </c>
      <c r="DP2042" s="5" t="s">
        <v>240</v>
      </c>
      <c r="DQ2042" s="5" t="s">
        <v>240</v>
      </c>
      <c r="DR2042" s="5" t="s">
        <v>240</v>
      </c>
      <c r="DS2042" s="5" t="s">
        <v>240</v>
      </c>
      <c r="DV2042" s="5" t="s">
        <v>813</v>
      </c>
      <c r="DW2042" s="5" t="s">
        <v>334</v>
      </c>
      <c r="HO2042" s="5" t="s">
        <v>312</v>
      </c>
    </row>
    <row r="2043" spans="1:223" x14ac:dyDescent="0.4">
      <c r="A2043" s="5">
        <v>3747</v>
      </c>
      <c r="B2043" s="5">
        <v>1</v>
      </c>
      <c r="C2043" s="5">
        <v>1</v>
      </c>
      <c r="D2043" s="5" t="s">
        <v>810</v>
      </c>
      <c r="E2043" s="5" t="s">
        <v>245</v>
      </c>
      <c r="F2043" s="5" t="s">
        <v>254</v>
      </c>
      <c r="G2043" s="5" t="s">
        <v>240</v>
      </c>
      <c r="H2043" s="6" t="s">
        <v>4247</v>
      </c>
      <c r="I2043" s="5" t="s">
        <v>809</v>
      </c>
      <c r="J2043" s="8">
        <f>2004</f>
        <v>2004</v>
      </c>
      <c r="K2043" s="5" t="s">
        <v>308</v>
      </c>
      <c r="L2043" s="7">
        <f>1</f>
        <v>1</v>
      </c>
      <c r="M2043" s="7">
        <f>1</f>
        <v>1</v>
      </c>
      <c r="N2043" s="5" t="s">
        <v>242</v>
      </c>
      <c r="O2043" s="5">
        <v>1</v>
      </c>
      <c r="P2043" s="5" t="s">
        <v>294</v>
      </c>
      <c r="Q2043" s="5" t="s">
        <v>266</v>
      </c>
      <c r="R2043" s="5" t="s">
        <v>240</v>
      </c>
      <c r="S2043" s="5" t="s">
        <v>240</v>
      </c>
      <c r="T2043" s="5" t="s">
        <v>296</v>
      </c>
      <c r="U2043" s="5" t="s">
        <v>244</v>
      </c>
      <c r="V2043" s="5" t="s">
        <v>240</v>
      </c>
      <c r="Y2043" s="5" t="s">
        <v>240</v>
      </c>
      <c r="Z2043" s="6" t="s">
        <v>298</v>
      </c>
      <c r="AB2043" s="6" t="s">
        <v>240</v>
      </c>
      <c r="AE2043" s="6" t="s">
        <v>299</v>
      </c>
      <c r="AF2043" s="5" t="s">
        <v>248</v>
      </c>
      <c r="AG2043" s="5" t="s">
        <v>249</v>
      </c>
      <c r="AW2043" s="5" t="s">
        <v>251</v>
      </c>
      <c r="AX2043" s="5" t="s">
        <v>240</v>
      </c>
      <c r="AY2043" s="5" t="s">
        <v>253</v>
      </c>
      <c r="AZ2043" s="5" t="s">
        <v>240</v>
      </c>
      <c r="BA2043" s="5" t="s">
        <v>255</v>
      </c>
      <c r="BB2043" s="5" t="s">
        <v>240</v>
      </c>
      <c r="BD2043" s="5" t="s">
        <v>240</v>
      </c>
      <c r="BF2043" s="5" t="s">
        <v>301</v>
      </c>
      <c r="BG2043" s="6" t="s">
        <v>299</v>
      </c>
      <c r="BH2043" s="5" t="s">
        <v>302</v>
      </c>
      <c r="BI2043" s="5" t="s">
        <v>303</v>
      </c>
      <c r="BJ2043" s="5" t="s">
        <v>240</v>
      </c>
      <c r="BK2043" s="8">
        <f>0</f>
        <v>0</v>
      </c>
      <c r="BL2043" s="7">
        <f>0</f>
        <v>0</v>
      </c>
      <c r="BM2043" s="5" t="s">
        <v>258</v>
      </c>
      <c r="BN2043" s="5" t="s">
        <v>259</v>
      </c>
      <c r="CB2043" s="5" t="s">
        <v>240</v>
      </c>
      <c r="CC2043" s="5" t="s">
        <v>240</v>
      </c>
      <c r="CG2043" s="5" t="s">
        <v>304</v>
      </c>
      <c r="CH2043" s="5" t="s">
        <v>305</v>
      </c>
      <c r="CI2043" s="5" t="s">
        <v>240</v>
      </c>
      <c r="CL2043" s="6" t="s">
        <v>261</v>
      </c>
      <c r="CM2043" s="5" t="s">
        <v>240</v>
      </c>
      <c r="CN2043" s="5" t="s">
        <v>263</v>
      </c>
      <c r="CO2043" s="5" t="s">
        <v>240</v>
      </c>
      <c r="CP2043" s="5" t="s">
        <v>240</v>
      </c>
      <c r="CQ2043" s="5">
        <v>0</v>
      </c>
      <c r="CR2043" s="5" t="s">
        <v>306</v>
      </c>
      <c r="CS2043" s="5" t="s">
        <v>307</v>
      </c>
      <c r="CT2043" s="5" t="s">
        <v>307</v>
      </c>
      <c r="CU2043" s="5" t="s">
        <v>260</v>
      </c>
      <c r="CX2043" s="7">
        <f>1</f>
        <v>1</v>
      </c>
      <c r="CY2043" s="7">
        <f>0</f>
        <v>0</v>
      </c>
      <c r="DA2043" s="7">
        <f>0</f>
        <v>0</v>
      </c>
      <c r="DC2043" s="5" t="s">
        <v>812</v>
      </c>
      <c r="DD2043" s="5" t="s">
        <v>240</v>
      </c>
      <c r="DF2043" s="5" t="s">
        <v>812</v>
      </c>
      <c r="DG2043" s="7">
        <f>10</f>
        <v>10</v>
      </c>
      <c r="DI2043" s="5" t="s">
        <v>240</v>
      </c>
      <c r="DJ2043" s="5" t="s">
        <v>240</v>
      </c>
      <c r="DK2043" s="5" t="s">
        <v>240</v>
      </c>
      <c r="DL2043" s="5" t="s">
        <v>240</v>
      </c>
      <c r="DP2043" s="5" t="s">
        <v>240</v>
      </c>
      <c r="DQ2043" s="5" t="s">
        <v>240</v>
      </c>
      <c r="DR2043" s="5" t="s">
        <v>240</v>
      </c>
      <c r="DS2043" s="5" t="s">
        <v>240</v>
      </c>
      <c r="DV2043" s="5" t="s">
        <v>813</v>
      </c>
      <c r="DW2043" s="5" t="s">
        <v>336</v>
      </c>
      <c r="HO2043" s="5" t="s">
        <v>312</v>
      </c>
    </row>
    <row r="2044" spans="1:223" x14ac:dyDescent="0.4">
      <c r="A2044" s="5">
        <v>3748</v>
      </c>
      <c r="B2044" s="5">
        <v>1</v>
      </c>
      <c r="C2044" s="5">
        <v>1</v>
      </c>
      <c r="D2044" s="5" t="s">
        <v>810</v>
      </c>
      <c r="E2044" s="5" t="s">
        <v>245</v>
      </c>
      <c r="F2044" s="5" t="s">
        <v>254</v>
      </c>
      <c r="G2044" s="5" t="s">
        <v>240</v>
      </c>
      <c r="H2044" s="6" t="s">
        <v>4246</v>
      </c>
      <c r="I2044" s="5" t="s">
        <v>809</v>
      </c>
      <c r="J2044" s="8">
        <f>133</f>
        <v>133</v>
      </c>
      <c r="K2044" s="5" t="s">
        <v>308</v>
      </c>
      <c r="L2044" s="7">
        <f>1</f>
        <v>1</v>
      </c>
      <c r="M2044" s="7">
        <f>1</f>
        <v>1</v>
      </c>
      <c r="N2044" s="5" t="s">
        <v>242</v>
      </c>
      <c r="O2044" s="5">
        <v>1</v>
      </c>
      <c r="P2044" s="5" t="s">
        <v>294</v>
      </c>
      <c r="Q2044" s="5" t="s">
        <v>266</v>
      </c>
      <c r="R2044" s="5" t="s">
        <v>240</v>
      </c>
      <c r="S2044" s="5" t="s">
        <v>240</v>
      </c>
      <c r="T2044" s="5" t="s">
        <v>296</v>
      </c>
      <c r="U2044" s="5" t="s">
        <v>244</v>
      </c>
      <c r="V2044" s="5" t="s">
        <v>240</v>
      </c>
      <c r="Y2044" s="5" t="s">
        <v>240</v>
      </c>
      <c r="Z2044" s="6" t="s">
        <v>298</v>
      </c>
      <c r="AB2044" s="6" t="s">
        <v>240</v>
      </c>
      <c r="AE2044" s="6" t="s">
        <v>299</v>
      </c>
      <c r="AF2044" s="5" t="s">
        <v>248</v>
      </c>
      <c r="AG2044" s="5" t="s">
        <v>249</v>
      </c>
      <c r="AW2044" s="5" t="s">
        <v>251</v>
      </c>
      <c r="AX2044" s="5" t="s">
        <v>240</v>
      </c>
      <c r="AY2044" s="5" t="s">
        <v>253</v>
      </c>
      <c r="AZ2044" s="5" t="s">
        <v>240</v>
      </c>
      <c r="BA2044" s="5" t="s">
        <v>255</v>
      </c>
      <c r="BB2044" s="5" t="s">
        <v>240</v>
      </c>
      <c r="BD2044" s="5" t="s">
        <v>240</v>
      </c>
      <c r="BF2044" s="5" t="s">
        <v>301</v>
      </c>
      <c r="BG2044" s="6" t="s">
        <v>299</v>
      </c>
      <c r="BH2044" s="5" t="s">
        <v>302</v>
      </c>
      <c r="BI2044" s="5" t="s">
        <v>303</v>
      </c>
      <c r="BJ2044" s="5" t="s">
        <v>240</v>
      </c>
      <c r="BK2044" s="8">
        <f>0</f>
        <v>0</v>
      </c>
      <c r="BL2044" s="7">
        <f>0</f>
        <v>0</v>
      </c>
      <c r="BM2044" s="5" t="s">
        <v>258</v>
      </c>
      <c r="BN2044" s="5" t="s">
        <v>259</v>
      </c>
      <c r="CB2044" s="5" t="s">
        <v>240</v>
      </c>
      <c r="CC2044" s="5" t="s">
        <v>240</v>
      </c>
      <c r="CG2044" s="5" t="s">
        <v>304</v>
      </c>
      <c r="CH2044" s="5" t="s">
        <v>305</v>
      </c>
      <c r="CI2044" s="5" t="s">
        <v>240</v>
      </c>
      <c r="CL2044" s="6" t="s">
        <v>261</v>
      </c>
      <c r="CM2044" s="5" t="s">
        <v>240</v>
      </c>
      <c r="CN2044" s="5" t="s">
        <v>263</v>
      </c>
      <c r="CO2044" s="5" t="s">
        <v>240</v>
      </c>
      <c r="CP2044" s="5" t="s">
        <v>240</v>
      </c>
      <c r="CQ2044" s="5">
        <v>0</v>
      </c>
      <c r="CR2044" s="5" t="s">
        <v>306</v>
      </c>
      <c r="CS2044" s="5" t="s">
        <v>307</v>
      </c>
      <c r="CT2044" s="5" t="s">
        <v>307</v>
      </c>
      <c r="CU2044" s="5" t="s">
        <v>260</v>
      </c>
      <c r="CX2044" s="7">
        <f>1</f>
        <v>1</v>
      </c>
      <c r="CY2044" s="7">
        <f>0</f>
        <v>0</v>
      </c>
      <c r="DA2044" s="7">
        <f>0</f>
        <v>0</v>
      </c>
      <c r="DC2044" s="5" t="s">
        <v>812</v>
      </c>
      <c r="DD2044" s="5" t="s">
        <v>240</v>
      </c>
      <c r="DF2044" s="5" t="s">
        <v>812</v>
      </c>
      <c r="DG2044" s="7">
        <f>514</f>
        <v>514</v>
      </c>
      <c r="DI2044" s="5" t="s">
        <v>240</v>
      </c>
      <c r="DJ2044" s="5" t="s">
        <v>240</v>
      </c>
      <c r="DK2044" s="5" t="s">
        <v>240</v>
      </c>
      <c r="DL2044" s="5" t="s">
        <v>240</v>
      </c>
      <c r="DP2044" s="5" t="s">
        <v>240</v>
      </c>
      <c r="DQ2044" s="5" t="s">
        <v>240</v>
      </c>
      <c r="DR2044" s="5" t="s">
        <v>240</v>
      </c>
      <c r="DS2044" s="5" t="s">
        <v>240</v>
      </c>
      <c r="DV2044" s="5" t="s">
        <v>813</v>
      </c>
      <c r="DW2044" s="5" t="s">
        <v>338</v>
      </c>
      <c r="HO2044" s="5" t="s">
        <v>312</v>
      </c>
    </row>
    <row r="2045" spans="1:223" x14ac:dyDescent="0.4">
      <c r="A2045" s="5">
        <v>3749</v>
      </c>
      <c r="B2045" s="5">
        <v>1</v>
      </c>
      <c r="C2045" s="5">
        <v>1</v>
      </c>
      <c r="D2045" s="5" t="s">
        <v>810</v>
      </c>
      <c r="E2045" s="5" t="s">
        <v>245</v>
      </c>
      <c r="F2045" s="5" t="s">
        <v>254</v>
      </c>
      <c r="G2045" s="5" t="s">
        <v>240</v>
      </c>
      <c r="H2045" s="6" t="s">
        <v>5375</v>
      </c>
      <c r="I2045" s="5" t="s">
        <v>809</v>
      </c>
      <c r="J2045" s="8">
        <f>264</f>
        <v>264</v>
      </c>
      <c r="K2045" s="5" t="s">
        <v>308</v>
      </c>
      <c r="L2045" s="7">
        <f>1</f>
        <v>1</v>
      </c>
      <c r="M2045" s="7">
        <f>1</f>
        <v>1</v>
      </c>
      <c r="N2045" s="5" t="s">
        <v>242</v>
      </c>
      <c r="O2045" s="5">
        <v>1</v>
      </c>
      <c r="P2045" s="5" t="s">
        <v>294</v>
      </c>
      <c r="Q2045" s="5" t="s">
        <v>266</v>
      </c>
      <c r="R2045" s="5" t="s">
        <v>240</v>
      </c>
      <c r="S2045" s="5" t="s">
        <v>240</v>
      </c>
      <c r="T2045" s="5" t="s">
        <v>296</v>
      </c>
      <c r="U2045" s="5" t="s">
        <v>244</v>
      </c>
      <c r="V2045" s="5" t="s">
        <v>240</v>
      </c>
      <c r="Y2045" s="5" t="s">
        <v>240</v>
      </c>
      <c r="Z2045" s="6" t="s">
        <v>298</v>
      </c>
      <c r="AB2045" s="6" t="s">
        <v>240</v>
      </c>
      <c r="AE2045" s="6" t="s">
        <v>299</v>
      </c>
      <c r="AF2045" s="5" t="s">
        <v>248</v>
      </c>
      <c r="AG2045" s="5" t="s">
        <v>249</v>
      </c>
      <c r="AW2045" s="5" t="s">
        <v>251</v>
      </c>
      <c r="AX2045" s="5" t="s">
        <v>240</v>
      </c>
      <c r="AY2045" s="5" t="s">
        <v>253</v>
      </c>
      <c r="AZ2045" s="5" t="s">
        <v>240</v>
      </c>
      <c r="BA2045" s="5" t="s">
        <v>255</v>
      </c>
      <c r="BB2045" s="5" t="s">
        <v>240</v>
      </c>
      <c r="BD2045" s="5" t="s">
        <v>240</v>
      </c>
      <c r="BF2045" s="5" t="s">
        <v>301</v>
      </c>
      <c r="BG2045" s="6" t="s">
        <v>299</v>
      </c>
      <c r="BH2045" s="5" t="s">
        <v>302</v>
      </c>
      <c r="BI2045" s="5" t="s">
        <v>303</v>
      </c>
      <c r="BJ2045" s="5" t="s">
        <v>240</v>
      </c>
      <c r="BK2045" s="8">
        <f>0</f>
        <v>0</v>
      </c>
      <c r="BL2045" s="7">
        <f>0</f>
        <v>0</v>
      </c>
      <c r="BM2045" s="5" t="s">
        <v>258</v>
      </c>
      <c r="BN2045" s="5" t="s">
        <v>259</v>
      </c>
      <c r="CB2045" s="5" t="s">
        <v>240</v>
      </c>
      <c r="CC2045" s="5" t="s">
        <v>240</v>
      </c>
      <c r="CG2045" s="5" t="s">
        <v>304</v>
      </c>
      <c r="CH2045" s="5" t="s">
        <v>305</v>
      </c>
      <c r="CI2045" s="5" t="s">
        <v>240</v>
      </c>
      <c r="CL2045" s="6" t="s">
        <v>261</v>
      </c>
      <c r="CM2045" s="5" t="s">
        <v>240</v>
      </c>
      <c r="CN2045" s="5" t="s">
        <v>263</v>
      </c>
      <c r="CO2045" s="5" t="s">
        <v>240</v>
      </c>
      <c r="CP2045" s="5" t="s">
        <v>240</v>
      </c>
      <c r="CQ2045" s="5">
        <v>0</v>
      </c>
      <c r="CR2045" s="5" t="s">
        <v>306</v>
      </c>
      <c r="CS2045" s="5" t="s">
        <v>307</v>
      </c>
      <c r="CT2045" s="5" t="s">
        <v>307</v>
      </c>
      <c r="CU2045" s="5" t="s">
        <v>260</v>
      </c>
      <c r="CX2045" s="7">
        <f>1</f>
        <v>1</v>
      </c>
      <c r="CY2045" s="7">
        <f>0</f>
        <v>0</v>
      </c>
      <c r="DA2045" s="7">
        <f>0</f>
        <v>0</v>
      </c>
      <c r="DC2045" s="5" t="s">
        <v>812</v>
      </c>
      <c r="DD2045" s="5" t="s">
        <v>240</v>
      </c>
      <c r="DF2045" s="5" t="s">
        <v>812</v>
      </c>
      <c r="DG2045" s="7">
        <f>73</f>
        <v>73</v>
      </c>
      <c r="DI2045" s="5" t="s">
        <v>240</v>
      </c>
      <c r="DJ2045" s="5" t="s">
        <v>240</v>
      </c>
      <c r="DK2045" s="5" t="s">
        <v>240</v>
      </c>
      <c r="DL2045" s="5" t="s">
        <v>240</v>
      </c>
      <c r="DP2045" s="5" t="s">
        <v>240</v>
      </c>
      <c r="DQ2045" s="5" t="s">
        <v>240</v>
      </c>
      <c r="DR2045" s="5" t="s">
        <v>240</v>
      </c>
      <c r="DS2045" s="5" t="s">
        <v>240</v>
      </c>
      <c r="DV2045" s="5" t="s">
        <v>813</v>
      </c>
      <c r="DW2045" s="5" t="s">
        <v>340</v>
      </c>
      <c r="HO2045" s="5" t="s">
        <v>312</v>
      </c>
    </row>
    <row r="2046" spans="1:223" x14ac:dyDescent="0.4">
      <c r="A2046" s="5">
        <v>3750</v>
      </c>
      <c r="B2046" s="5">
        <v>1</v>
      </c>
      <c r="C2046" s="5">
        <v>1</v>
      </c>
      <c r="D2046" s="5" t="s">
        <v>810</v>
      </c>
      <c r="E2046" s="5" t="s">
        <v>245</v>
      </c>
      <c r="F2046" s="5" t="s">
        <v>254</v>
      </c>
      <c r="G2046" s="5" t="s">
        <v>240</v>
      </c>
      <c r="H2046" s="6" t="s">
        <v>4242</v>
      </c>
      <c r="I2046" s="5" t="s">
        <v>809</v>
      </c>
      <c r="J2046" s="8">
        <f>462</f>
        <v>462</v>
      </c>
      <c r="K2046" s="5" t="s">
        <v>308</v>
      </c>
      <c r="L2046" s="7">
        <f>1</f>
        <v>1</v>
      </c>
      <c r="M2046" s="7">
        <f>1</f>
        <v>1</v>
      </c>
      <c r="N2046" s="5" t="s">
        <v>242</v>
      </c>
      <c r="O2046" s="5">
        <v>1</v>
      </c>
      <c r="P2046" s="5" t="s">
        <v>294</v>
      </c>
      <c r="Q2046" s="5" t="s">
        <v>266</v>
      </c>
      <c r="R2046" s="5" t="s">
        <v>240</v>
      </c>
      <c r="S2046" s="5" t="s">
        <v>240</v>
      </c>
      <c r="T2046" s="5" t="s">
        <v>296</v>
      </c>
      <c r="U2046" s="5" t="s">
        <v>244</v>
      </c>
      <c r="V2046" s="5" t="s">
        <v>240</v>
      </c>
      <c r="Y2046" s="5" t="s">
        <v>240</v>
      </c>
      <c r="Z2046" s="6" t="s">
        <v>298</v>
      </c>
      <c r="AB2046" s="6" t="s">
        <v>240</v>
      </c>
      <c r="AE2046" s="6" t="s">
        <v>299</v>
      </c>
      <c r="AF2046" s="5" t="s">
        <v>248</v>
      </c>
      <c r="AG2046" s="5" t="s">
        <v>249</v>
      </c>
      <c r="AW2046" s="5" t="s">
        <v>251</v>
      </c>
      <c r="AX2046" s="5" t="s">
        <v>240</v>
      </c>
      <c r="AY2046" s="5" t="s">
        <v>253</v>
      </c>
      <c r="AZ2046" s="5" t="s">
        <v>240</v>
      </c>
      <c r="BA2046" s="5" t="s">
        <v>255</v>
      </c>
      <c r="BB2046" s="5" t="s">
        <v>240</v>
      </c>
      <c r="BD2046" s="5" t="s">
        <v>240</v>
      </c>
      <c r="BF2046" s="5" t="s">
        <v>301</v>
      </c>
      <c r="BG2046" s="6" t="s">
        <v>299</v>
      </c>
      <c r="BH2046" s="5" t="s">
        <v>302</v>
      </c>
      <c r="BI2046" s="5" t="s">
        <v>303</v>
      </c>
      <c r="BJ2046" s="5" t="s">
        <v>240</v>
      </c>
      <c r="BK2046" s="8">
        <f>0</f>
        <v>0</v>
      </c>
      <c r="BL2046" s="7">
        <f>0</f>
        <v>0</v>
      </c>
      <c r="BM2046" s="5" t="s">
        <v>258</v>
      </c>
      <c r="BN2046" s="5" t="s">
        <v>259</v>
      </c>
      <c r="CB2046" s="5" t="s">
        <v>240</v>
      </c>
      <c r="CC2046" s="5" t="s">
        <v>240</v>
      </c>
      <c r="CG2046" s="5" t="s">
        <v>304</v>
      </c>
      <c r="CH2046" s="5" t="s">
        <v>305</v>
      </c>
      <c r="CI2046" s="5" t="s">
        <v>240</v>
      </c>
      <c r="CL2046" s="6" t="s">
        <v>261</v>
      </c>
      <c r="CM2046" s="5" t="s">
        <v>240</v>
      </c>
      <c r="CN2046" s="5" t="s">
        <v>263</v>
      </c>
      <c r="CO2046" s="5" t="s">
        <v>240</v>
      </c>
      <c r="CP2046" s="5" t="s">
        <v>240</v>
      </c>
      <c r="CQ2046" s="5">
        <v>0</v>
      </c>
      <c r="CR2046" s="5" t="s">
        <v>306</v>
      </c>
      <c r="CS2046" s="5" t="s">
        <v>307</v>
      </c>
      <c r="CT2046" s="5" t="s">
        <v>307</v>
      </c>
      <c r="CU2046" s="5" t="s">
        <v>260</v>
      </c>
      <c r="CX2046" s="7">
        <f>1</f>
        <v>1</v>
      </c>
      <c r="CY2046" s="7">
        <f>0</f>
        <v>0</v>
      </c>
      <c r="DA2046" s="7">
        <f>0</f>
        <v>0</v>
      </c>
      <c r="DC2046" s="5" t="s">
        <v>812</v>
      </c>
      <c r="DD2046" s="5" t="s">
        <v>240</v>
      </c>
      <c r="DF2046" s="5" t="s">
        <v>812</v>
      </c>
      <c r="DG2046" s="7">
        <f>1978</f>
        <v>1978</v>
      </c>
      <c r="DI2046" s="5" t="s">
        <v>240</v>
      </c>
      <c r="DJ2046" s="5" t="s">
        <v>240</v>
      </c>
      <c r="DK2046" s="5" t="s">
        <v>240</v>
      </c>
      <c r="DL2046" s="5" t="s">
        <v>240</v>
      </c>
      <c r="DP2046" s="5" t="s">
        <v>240</v>
      </c>
      <c r="DQ2046" s="5" t="s">
        <v>240</v>
      </c>
      <c r="DR2046" s="5" t="s">
        <v>240</v>
      </c>
      <c r="DS2046" s="5" t="s">
        <v>240</v>
      </c>
      <c r="DV2046" s="5" t="s">
        <v>813</v>
      </c>
      <c r="DW2046" s="5" t="s">
        <v>342</v>
      </c>
      <c r="HO2046" s="5" t="s">
        <v>312</v>
      </c>
    </row>
    <row r="2047" spans="1:223" x14ac:dyDescent="0.4">
      <c r="A2047" s="5">
        <v>3751</v>
      </c>
      <c r="B2047" s="5">
        <v>1</v>
      </c>
      <c r="C2047" s="5">
        <v>1</v>
      </c>
      <c r="D2047" s="5" t="s">
        <v>810</v>
      </c>
      <c r="E2047" s="5" t="s">
        <v>245</v>
      </c>
      <c r="F2047" s="5" t="s">
        <v>254</v>
      </c>
      <c r="G2047" s="5" t="s">
        <v>240</v>
      </c>
      <c r="H2047" s="6" t="s">
        <v>4241</v>
      </c>
      <c r="I2047" s="5" t="s">
        <v>809</v>
      </c>
      <c r="J2047" s="8">
        <f>415</f>
        <v>415</v>
      </c>
      <c r="K2047" s="5" t="s">
        <v>308</v>
      </c>
      <c r="L2047" s="7">
        <f>1</f>
        <v>1</v>
      </c>
      <c r="M2047" s="7">
        <f>1</f>
        <v>1</v>
      </c>
      <c r="N2047" s="5" t="s">
        <v>242</v>
      </c>
      <c r="O2047" s="5">
        <v>1</v>
      </c>
      <c r="P2047" s="5" t="s">
        <v>294</v>
      </c>
      <c r="Q2047" s="5" t="s">
        <v>266</v>
      </c>
      <c r="R2047" s="5" t="s">
        <v>240</v>
      </c>
      <c r="S2047" s="5" t="s">
        <v>240</v>
      </c>
      <c r="T2047" s="5" t="s">
        <v>296</v>
      </c>
      <c r="U2047" s="5" t="s">
        <v>244</v>
      </c>
      <c r="V2047" s="5" t="s">
        <v>240</v>
      </c>
      <c r="Y2047" s="5" t="s">
        <v>240</v>
      </c>
      <c r="Z2047" s="6" t="s">
        <v>298</v>
      </c>
      <c r="AB2047" s="6" t="s">
        <v>240</v>
      </c>
      <c r="AE2047" s="6" t="s">
        <v>299</v>
      </c>
      <c r="AF2047" s="5" t="s">
        <v>248</v>
      </c>
      <c r="AG2047" s="5" t="s">
        <v>249</v>
      </c>
      <c r="AW2047" s="5" t="s">
        <v>251</v>
      </c>
      <c r="AX2047" s="5" t="s">
        <v>240</v>
      </c>
      <c r="AY2047" s="5" t="s">
        <v>253</v>
      </c>
      <c r="AZ2047" s="5" t="s">
        <v>240</v>
      </c>
      <c r="BA2047" s="5" t="s">
        <v>255</v>
      </c>
      <c r="BB2047" s="5" t="s">
        <v>240</v>
      </c>
      <c r="BD2047" s="5" t="s">
        <v>240</v>
      </c>
      <c r="BF2047" s="5" t="s">
        <v>301</v>
      </c>
      <c r="BG2047" s="6" t="s">
        <v>299</v>
      </c>
      <c r="BH2047" s="5" t="s">
        <v>302</v>
      </c>
      <c r="BI2047" s="5" t="s">
        <v>303</v>
      </c>
      <c r="BJ2047" s="5" t="s">
        <v>240</v>
      </c>
      <c r="BK2047" s="8">
        <f>0</f>
        <v>0</v>
      </c>
      <c r="BL2047" s="7">
        <f>0</f>
        <v>0</v>
      </c>
      <c r="BM2047" s="5" t="s">
        <v>258</v>
      </c>
      <c r="BN2047" s="5" t="s">
        <v>259</v>
      </c>
      <c r="CB2047" s="5" t="s">
        <v>240</v>
      </c>
      <c r="CC2047" s="5" t="s">
        <v>240</v>
      </c>
      <c r="CG2047" s="5" t="s">
        <v>304</v>
      </c>
      <c r="CH2047" s="5" t="s">
        <v>305</v>
      </c>
      <c r="CI2047" s="5" t="s">
        <v>240</v>
      </c>
      <c r="CL2047" s="6" t="s">
        <v>261</v>
      </c>
      <c r="CM2047" s="5" t="s">
        <v>240</v>
      </c>
      <c r="CN2047" s="5" t="s">
        <v>263</v>
      </c>
      <c r="CO2047" s="5" t="s">
        <v>240</v>
      </c>
      <c r="CP2047" s="5" t="s">
        <v>240</v>
      </c>
      <c r="CQ2047" s="5">
        <v>0</v>
      </c>
      <c r="CR2047" s="5" t="s">
        <v>306</v>
      </c>
      <c r="CS2047" s="5" t="s">
        <v>307</v>
      </c>
      <c r="CT2047" s="5" t="s">
        <v>307</v>
      </c>
      <c r="CU2047" s="5" t="s">
        <v>260</v>
      </c>
      <c r="CX2047" s="7">
        <f>1</f>
        <v>1</v>
      </c>
      <c r="CY2047" s="7">
        <f>0</f>
        <v>0</v>
      </c>
      <c r="DA2047" s="7">
        <f>0</f>
        <v>0</v>
      </c>
      <c r="DC2047" s="5" t="s">
        <v>812</v>
      </c>
      <c r="DD2047" s="5" t="s">
        <v>240</v>
      </c>
      <c r="DF2047" s="5" t="s">
        <v>812</v>
      </c>
      <c r="DG2047" s="7">
        <f>888</f>
        <v>888</v>
      </c>
      <c r="DI2047" s="5" t="s">
        <v>240</v>
      </c>
      <c r="DJ2047" s="5" t="s">
        <v>240</v>
      </c>
      <c r="DK2047" s="5" t="s">
        <v>240</v>
      </c>
      <c r="DL2047" s="5" t="s">
        <v>240</v>
      </c>
      <c r="DP2047" s="5" t="s">
        <v>240</v>
      </c>
      <c r="DQ2047" s="5" t="s">
        <v>240</v>
      </c>
      <c r="DR2047" s="5" t="s">
        <v>240</v>
      </c>
      <c r="DS2047" s="5" t="s">
        <v>240</v>
      </c>
      <c r="DV2047" s="5" t="s">
        <v>813</v>
      </c>
      <c r="DW2047" s="5" t="s">
        <v>344</v>
      </c>
      <c r="HO2047" s="5" t="s">
        <v>312</v>
      </c>
    </row>
    <row r="2048" spans="1:223" x14ac:dyDescent="0.4">
      <c r="A2048" s="5">
        <v>3752</v>
      </c>
      <c r="B2048" s="5">
        <v>1</v>
      </c>
      <c r="C2048" s="5">
        <v>1</v>
      </c>
      <c r="D2048" s="5" t="s">
        <v>810</v>
      </c>
      <c r="E2048" s="5" t="s">
        <v>245</v>
      </c>
      <c r="F2048" s="5" t="s">
        <v>254</v>
      </c>
      <c r="G2048" s="5" t="s">
        <v>240</v>
      </c>
      <c r="H2048" s="6" t="s">
        <v>4240</v>
      </c>
      <c r="I2048" s="5" t="s">
        <v>809</v>
      </c>
      <c r="J2048" s="8">
        <f>339</f>
        <v>339</v>
      </c>
      <c r="K2048" s="5" t="s">
        <v>308</v>
      </c>
      <c r="L2048" s="7">
        <f>1</f>
        <v>1</v>
      </c>
      <c r="M2048" s="7">
        <f>1</f>
        <v>1</v>
      </c>
      <c r="N2048" s="5" t="s">
        <v>242</v>
      </c>
      <c r="O2048" s="5">
        <v>1</v>
      </c>
      <c r="P2048" s="5" t="s">
        <v>294</v>
      </c>
      <c r="Q2048" s="5" t="s">
        <v>266</v>
      </c>
      <c r="R2048" s="5" t="s">
        <v>240</v>
      </c>
      <c r="S2048" s="5" t="s">
        <v>240</v>
      </c>
      <c r="T2048" s="5" t="s">
        <v>296</v>
      </c>
      <c r="U2048" s="5" t="s">
        <v>244</v>
      </c>
      <c r="V2048" s="5" t="s">
        <v>240</v>
      </c>
      <c r="Y2048" s="5" t="s">
        <v>240</v>
      </c>
      <c r="Z2048" s="6" t="s">
        <v>298</v>
      </c>
      <c r="AB2048" s="6" t="s">
        <v>240</v>
      </c>
      <c r="AE2048" s="6" t="s">
        <v>299</v>
      </c>
      <c r="AF2048" s="5" t="s">
        <v>248</v>
      </c>
      <c r="AG2048" s="5" t="s">
        <v>249</v>
      </c>
      <c r="AW2048" s="5" t="s">
        <v>251</v>
      </c>
      <c r="AX2048" s="5" t="s">
        <v>240</v>
      </c>
      <c r="AY2048" s="5" t="s">
        <v>253</v>
      </c>
      <c r="AZ2048" s="5" t="s">
        <v>240</v>
      </c>
      <c r="BA2048" s="5" t="s">
        <v>255</v>
      </c>
      <c r="BB2048" s="5" t="s">
        <v>240</v>
      </c>
      <c r="BD2048" s="5" t="s">
        <v>240</v>
      </c>
      <c r="BF2048" s="5" t="s">
        <v>301</v>
      </c>
      <c r="BG2048" s="6" t="s">
        <v>299</v>
      </c>
      <c r="BH2048" s="5" t="s">
        <v>302</v>
      </c>
      <c r="BI2048" s="5" t="s">
        <v>303</v>
      </c>
      <c r="BJ2048" s="5" t="s">
        <v>240</v>
      </c>
      <c r="BK2048" s="8">
        <f>0</f>
        <v>0</v>
      </c>
      <c r="BL2048" s="7">
        <f>0</f>
        <v>0</v>
      </c>
      <c r="BM2048" s="5" t="s">
        <v>258</v>
      </c>
      <c r="BN2048" s="5" t="s">
        <v>259</v>
      </c>
      <c r="CB2048" s="5" t="s">
        <v>240</v>
      </c>
      <c r="CC2048" s="5" t="s">
        <v>240</v>
      </c>
      <c r="CG2048" s="5" t="s">
        <v>304</v>
      </c>
      <c r="CH2048" s="5" t="s">
        <v>305</v>
      </c>
      <c r="CI2048" s="5" t="s">
        <v>240</v>
      </c>
      <c r="CL2048" s="6" t="s">
        <v>261</v>
      </c>
      <c r="CM2048" s="5" t="s">
        <v>240</v>
      </c>
      <c r="CN2048" s="5" t="s">
        <v>263</v>
      </c>
      <c r="CO2048" s="5" t="s">
        <v>240</v>
      </c>
      <c r="CP2048" s="5" t="s">
        <v>240</v>
      </c>
      <c r="CQ2048" s="5">
        <v>0</v>
      </c>
      <c r="CR2048" s="5" t="s">
        <v>306</v>
      </c>
      <c r="CS2048" s="5" t="s">
        <v>307</v>
      </c>
      <c r="CT2048" s="5" t="s">
        <v>307</v>
      </c>
      <c r="CU2048" s="5" t="s">
        <v>260</v>
      </c>
      <c r="CX2048" s="7">
        <f>1</f>
        <v>1</v>
      </c>
      <c r="CY2048" s="7">
        <f>0</f>
        <v>0</v>
      </c>
      <c r="DA2048" s="7">
        <f>0</f>
        <v>0</v>
      </c>
      <c r="DC2048" s="5" t="s">
        <v>812</v>
      </c>
      <c r="DD2048" s="5" t="s">
        <v>240</v>
      </c>
      <c r="DF2048" s="5" t="s">
        <v>812</v>
      </c>
      <c r="DG2048" s="7">
        <f>269</f>
        <v>269</v>
      </c>
      <c r="DI2048" s="5" t="s">
        <v>240</v>
      </c>
      <c r="DJ2048" s="5" t="s">
        <v>240</v>
      </c>
      <c r="DK2048" s="5" t="s">
        <v>240</v>
      </c>
      <c r="DL2048" s="5" t="s">
        <v>240</v>
      </c>
      <c r="DP2048" s="5" t="s">
        <v>240</v>
      </c>
      <c r="DQ2048" s="5" t="s">
        <v>240</v>
      </c>
      <c r="DR2048" s="5" t="s">
        <v>240</v>
      </c>
      <c r="DS2048" s="5" t="s">
        <v>240</v>
      </c>
      <c r="DV2048" s="5" t="s">
        <v>813</v>
      </c>
      <c r="DW2048" s="5" t="s">
        <v>4114</v>
      </c>
      <c r="HO2048" s="5" t="s">
        <v>312</v>
      </c>
    </row>
    <row r="2049" spans="1:223" x14ac:dyDescent="0.4">
      <c r="A2049" s="5">
        <v>3753</v>
      </c>
      <c r="B2049" s="5">
        <v>1</v>
      </c>
      <c r="C2049" s="5">
        <v>1</v>
      </c>
      <c r="D2049" s="5" t="s">
        <v>810</v>
      </c>
      <c r="E2049" s="5" t="s">
        <v>245</v>
      </c>
      <c r="F2049" s="5" t="s">
        <v>254</v>
      </c>
      <c r="G2049" s="5" t="s">
        <v>240</v>
      </c>
      <c r="H2049" s="6" t="s">
        <v>5371</v>
      </c>
      <c r="I2049" s="5" t="s">
        <v>809</v>
      </c>
      <c r="J2049" s="8">
        <f>1721</f>
        <v>1721</v>
      </c>
      <c r="K2049" s="5" t="s">
        <v>308</v>
      </c>
      <c r="L2049" s="7">
        <f>1</f>
        <v>1</v>
      </c>
      <c r="M2049" s="7">
        <f>1</f>
        <v>1</v>
      </c>
      <c r="N2049" s="5" t="s">
        <v>242</v>
      </c>
      <c r="O2049" s="5">
        <v>1</v>
      </c>
      <c r="P2049" s="5" t="s">
        <v>294</v>
      </c>
      <c r="Q2049" s="5" t="s">
        <v>266</v>
      </c>
      <c r="R2049" s="5" t="s">
        <v>240</v>
      </c>
      <c r="S2049" s="5" t="s">
        <v>240</v>
      </c>
      <c r="T2049" s="5" t="s">
        <v>296</v>
      </c>
      <c r="U2049" s="5" t="s">
        <v>244</v>
      </c>
      <c r="V2049" s="5" t="s">
        <v>240</v>
      </c>
      <c r="Y2049" s="5" t="s">
        <v>240</v>
      </c>
      <c r="Z2049" s="6" t="s">
        <v>298</v>
      </c>
      <c r="AB2049" s="6" t="s">
        <v>240</v>
      </c>
      <c r="AE2049" s="6" t="s">
        <v>299</v>
      </c>
      <c r="AF2049" s="5" t="s">
        <v>248</v>
      </c>
      <c r="AG2049" s="5" t="s">
        <v>249</v>
      </c>
      <c r="AW2049" s="5" t="s">
        <v>251</v>
      </c>
      <c r="AX2049" s="5" t="s">
        <v>240</v>
      </c>
      <c r="AY2049" s="5" t="s">
        <v>253</v>
      </c>
      <c r="AZ2049" s="5" t="s">
        <v>240</v>
      </c>
      <c r="BA2049" s="5" t="s">
        <v>255</v>
      </c>
      <c r="BB2049" s="5" t="s">
        <v>240</v>
      </c>
      <c r="BD2049" s="5" t="s">
        <v>240</v>
      </c>
      <c r="BF2049" s="5" t="s">
        <v>301</v>
      </c>
      <c r="BG2049" s="6" t="s">
        <v>299</v>
      </c>
      <c r="BH2049" s="5" t="s">
        <v>302</v>
      </c>
      <c r="BI2049" s="5" t="s">
        <v>303</v>
      </c>
      <c r="BJ2049" s="5" t="s">
        <v>240</v>
      </c>
      <c r="BK2049" s="8">
        <f>0</f>
        <v>0</v>
      </c>
      <c r="BL2049" s="7">
        <f>0</f>
        <v>0</v>
      </c>
      <c r="BM2049" s="5" t="s">
        <v>258</v>
      </c>
      <c r="BN2049" s="5" t="s">
        <v>259</v>
      </c>
      <c r="CB2049" s="5" t="s">
        <v>240</v>
      </c>
      <c r="CC2049" s="5" t="s">
        <v>240</v>
      </c>
      <c r="CG2049" s="5" t="s">
        <v>304</v>
      </c>
      <c r="CH2049" s="5" t="s">
        <v>305</v>
      </c>
      <c r="CI2049" s="5" t="s">
        <v>240</v>
      </c>
      <c r="CL2049" s="6" t="s">
        <v>261</v>
      </c>
      <c r="CM2049" s="5" t="s">
        <v>240</v>
      </c>
      <c r="CN2049" s="5" t="s">
        <v>263</v>
      </c>
      <c r="CO2049" s="5" t="s">
        <v>240</v>
      </c>
      <c r="CP2049" s="5" t="s">
        <v>240</v>
      </c>
      <c r="CQ2049" s="5">
        <v>0</v>
      </c>
      <c r="CR2049" s="5" t="s">
        <v>306</v>
      </c>
      <c r="CS2049" s="5" t="s">
        <v>307</v>
      </c>
      <c r="CT2049" s="5" t="s">
        <v>307</v>
      </c>
      <c r="CU2049" s="5" t="s">
        <v>260</v>
      </c>
      <c r="CX2049" s="7">
        <f>1</f>
        <v>1</v>
      </c>
      <c r="CY2049" s="7">
        <f>0</f>
        <v>0</v>
      </c>
      <c r="DA2049" s="7">
        <f>0</f>
        <v>0</v>
      </c>
      <c r="DC2049" s="5" t="s">
        <v>812</v>
      </c>
      <c r="DD2049" s="5" t="s">
        <v>240</v>
      </c>
      <c r="DF2049" s="5" t="s">
        <v>812</v>
      </c>
      <c r="DG2049" s="7">
        <f>824</f>
        <v>824</v>
      </c>
      <c r="DI2049" s="5" t="s">
        <v>240</v>
      </c>
      <c r="DJ2049" s="5" t="s">
        <v>240</v>
      </c>
      <c r="DK2049" s="5" t="s">
        <v>240</v>
      </c>
      <c r="DL2049" s="5" t="s">
        <v>240</v>
      </c>
      <c r="DP2049" s="5" t="s">
        <v>240</v>
      </c>
      <c r="DQ2049" s="5" t="s">
        <v>240</v>
      </c>
      <c r="DR2049" s="5" t="s">
        <v>240</v>
      </c>
      <c r="DS2049" s="5" t="s">
        <v>240</v>
      </c>
      <c r="DV2049" s="5" t="s">
        <v>813</v>
      </c>
      <c r="DW2049" s="5" t="s">
        <v>348</v>
      </c>
      <c r="HO2049" s="5" t="s">
        <v>312</v>
      </c>
    </row>
    <row r="2050" spans="1:223" x14ac:dyDescent="0.4">
      <c r="A2050" s="5">
        <v>3754</v>
      </c>
      <c r="B2050" s="5">
        <v>1</v>
      </c>
      <c r="C2050" s="5">
        <v>1</v>
      </c>
      <c r="D2050" s="5" t="s">
        <v>810</v>
      </c>
      <c r="E2050" s="5" t="s">
        <v>245</v>
      </c>
      <c r="F2050" s="5" t="s">
        <v>254</v>
      </c>
      <c r="G2050" s="5" t="s">
        <v>240</v>
      </c>
      <c r="H2050" s="6" t="s">
        <v>4236</v>
      </c>
      <c r="I2050" s="5" t="s">
        <v>809</v>
      </c>
      <c r="J2050" s="8">
        <f>1786</f>
        <v>1786</v>
      </c>
      <c r="K2050" s="5" t="s">
        <v>308</v>
      </c>
      <c r="L2050" s="7">
        <f>1</f>
        <v>1</v>
      </c>
      <c r="M2050" s="7">
        <f>1</f>
        <v>1</v>
      </c>
      <c r="N2050" s="5" t="s">
        <v>242</v>
      </c>
      <c r="O2050" s="5">
        <v>1</v>
      </c>
      <c r="P2050" s="5" t="s">
        <v>294</v>
      </c>
      <c r="Q2050" s="5" t="s">
        <v>266</v>
      </c>
      <c r="R2050" s="5" t="s">
        <v>240</v>
      </c>
      <c r="S2050" s="5" t="s">
        <v>240</v>
      </c>
      <c r="T2050" s="5" t="s">
        <v>296</v>
      </c>
      <c r="U2050" s="5" t="s">
        <v>244</v>
      </c>
      <c r="V2050" s="5" t="s">
        <v>240</v>
      </c>
      <c r="Y2050" s="5" t="s">
        <v>240</v>
      </c>
      <c r="Z2050" s="6" t="s">
        <v>298</v>
      </c>
      <c r="AB2050" s="6" t="s">
        <v>240</v>
      </c>
      <c r="AE2050" s="6" t="s">
        <v>299</v>
      </c>
      <c r="AF2050" s="5" t="s">
        <v>248</v>
      </c>
      <c r="AG2050" s="5" t="s">
        <v>249</v>
      </c>
      <c r="AW2050" s="5" t="s">
        <v>251</v>
      </c>
      <c r="AX2050" s="5" t="s">
        <v>240</v>
      </c>
      <c r="AY2050" s="5" t="s">
        <v>253</v>
      </c>
      <c r="AZ2050" s="5" t="s">
        <v>240</v>
      </c>
      <c r="BA2050" s="5" t="s">
        <v>255</v>
      </c>
      <c r="BB2050" s="5" t="s">
        <v>240</v>
      </c>
      <c r="BD2050" s="5" t="s">
        <v>240</v>
      </c>
      <c r="BF2050" s="5" t="s">
        <v>301</v>
      </c>
      <c r="BG2050" s="6" t="s">
        <v>299</v>
      </c>
      <c r="BH2050" s="5" t="s">
        <v>302</v>
      </c>
      <c r="BI2050" s="5" t="s">
        <v>303</v>
      </c>
      <c r="BJ2050" s="5" t="s">
        <v>240</v>
      </c>
      <c r="BK2050" s="8">
        <f>0</f>
        <v>0</v>
      </c>
      <c r="BL2050" s="7">
        <f>0</f>
        <v>0</v>
      </c>
      <c r="BM2050" s="5" t="s">
        <v>258</v>
      </c>
      <c r="BN2050" s="5" t="s">
        <v>259</v>
      </c>
      <c r="CB2050" s="5" t="s">
        <v>240</v>
      </c>
      <c r="CC2050" s="5" t="s">
        <v>240</v>
      </c>
      <c r="CG2050" s="5" t="s">
        <v>304</v>
      </c>
      <c r="CH2050" s="5" t="s">
        <v>305</v>
      </c>
      <c r="CI2050" s="5" t="s">
        <v>240</v>
      </c>
      <c r="CL2050" s="6" t="s">
        <v>261</v>
      </c>
      <c r="CM2050" s="5" t="s">
        <v>240</v>
      </c>
      <c r="CN2050" s="5" t="s">
        <v>263</v>
      </c>
      <c r="CO2050" s="5" t="s">
        <v>240</v>
      </c>
      <c r="CP2050" s="5" t="s">
        <v>240</v>
      </c>
      <c r="CQ2050" s="5">
        <v>0</v>
      </c>
      <c r="CR2050" s="5" t="s">
        <v>306</v>
      </c>
      <c r="CS2050" s="5" t="s">
        <v>307</v>
      </c>
      <c r="CT2050" s="5" t="s">
        <v>307</v>
      </c>
      <c r="CU2050" s="5" t="s">
        <v>260</v>
      </c>
      <c r="CX2050" s="7">
        <f>1</f>
        <v>1</v>
      </c>
      <c r="CY2050" s="7">
        <f>0</f>
        <v>0</v>
      </c>
      <c r="DA2050" s="7">
        <f>0</f>
        <v>0</v>
      </c>
      <c r="DC2050" s="5" t="s">
        <v>812</v>
      </c>
      <c r="DD2050" s="5" t="s">
        <v>240</v>
      </c>
      <c r="DF2050" s="5" t="s">
        <v>812</v>
      </c>
      <c r="DG2050" s="7">
        <f>1091</f>
        <v>1091</v>
      </c>
      <c r="DI2050" s="5" t="s">
        <v>240</v>
      </c>
      <c r="DJ2050" s="5" t="s">
        <v>240</v>
      </c>
      <c r="DK2050" s="5" t="s">
        <v>240</v>
      </c>
      <c r="DL2050" s="5" t="s">
        <v>240</v>
      </c>
      <c r="DP2050" s="5" t="s">
        <v>240</v>
      </c>
      <c r="DQ2050" s="5" t="s">
        <v>240</v>
      </c>
      <c r="DR2050" s="5" t="s">
        <v>240</v>
      </c>
      <c r="DS2050" s="5" t="s">
        <v>240</v>
      </c>
      <c r="DV2050" s="5" t="s">
        <v>813</v>
      </c>
      <c r="DW2050" s="5" t="s">
        <v>350</v>
      </c>
      <c r="HO2050" s="5" t="s">
        <v>312</v>
      </c>
    </row>
    <row r="2051" spans="1:223" x14ac:dyDescent="0.4">
      <c r="A2051" s="5">
        <v>3755</v>
      </c>
      <c r="B2051" s="5">
        <v>1</v>
      </c>
      <c r="C2051" s="5">
        <v>1</v>
      </c>
      <c r="D2051" s="5" t="s">
        <v>810</v>
      </c>
      <c r="E2051" s="5" t="s">
        <v>245</v>
      </c>
      <c r="F2051" s="5" t="s">
        <v>254</v>
      </c>
      <c r="G2051" s="5" t="s">
        <v>240</v>
      </c>
      <c r="H2051" s="6" t="s">
        <v>4235</v>
      </c>
      <c r="I2051" s="5" t="s">
        <v>809</v>
      </c>
      <c r="J2051" s="8">
        <f>88</f>
        <v>88</v>
      </c>
      <c r="K2051" s="5" t="s">
        <v>308</v>
      </c>
      <c r="L2051" s="7">
        <f>1</f>
        <v>1</v>
      </c>
      <c r="M2051" s="7">
        <f>1</f>
        <v>1</v>
      </c>
      <c r="N2051" s="5" t="s">
        <v>242</v>
      </c>
      <c r="O2051" s="5">
        <v>1</v>
      </c>
      <c r="P2051" s="5" t="s">
        <v>294</v>
      </c>
      <c r="Q2051" s="5" t="s">
        <v>266</v>
      </c>
      <c r="R2051" s="5" t="s">
        <v>240</v>
      </c>
      <c r="S2051" s="5" t="s">
        <v>240</v>
      </c>
      <c r="T2051" s="5" t="s">
        <v>296</v>
      </c>
      <c r="U2051" s="5" t="s">
        <v>244</v>
      </c>
      <c r="V2051" s="5" t="s">
        <v>240</v>
      </c>
      <c r="Y2051" s="5" t="s">
        <v>240</v>
      </c>
      <c r="Z2051" s="6" t="s">
        <v>298</v>
      </c>
      <c r="AB2051" s="6" t="s">
        <v>240</v>
      </c>
      <c r="AE2051" s="6" t="s">
        <v>299</v>
      </c>
      <c r="AF2051" s="5" t="s">
        <v>248</v>
      </c>
      <c r="AG2051" s="5" t="s">
        <v>249</v>
      </c>
      <c r="AW2051" s="5" t="s">
        <v>251</v>
      </c>
      <c r="AX2051" s="5" t="s">
        <v>240</v>
      </c>
      <c r="AY2051" s="5" t="s">
        <v>253</v>
      </c>
      <c r="AZ2051" s="5" t="s">
        <v>240</v>
      </c>
      <c r="BA2051" s="5" t="s">
        <v>255</v>
      </c>
      <c r="BB2051" s="5" t="s">
        <v>240</v>
      </c>
      <c r="BD2051" s="5" t="s">
        <v>240</v>
      </c>
      <c r="BF2051" s="5" t="s">
        <v>301</v>
      </c>
      <c r="BG2051" s="6" t="s">
        <v>299</v>
      </c>
      <c r="BH2051" s="5" t="s">
        <v>302</v>
      </c>
      <c r="BI2051" s="5" t="s">
        <v>303</v>
      </c>
      <c r="BJ2051" s="5" t="s">
        <v>240</v>
      </c>
      <c r="BK2051" s="8">
        <f>0</f>
        <v>0</v>
      </c>
      <c r="BL2051" s="7">
        <f>0</f>
        <v>0</v>
      </c>
      <c r="BM2051" s="5" t="s">
        <v>258</v>
      </c>
      <c r="BN2051" s="5" t="s">
        <v>259</v>
      </c>
      <c r="CB2051" s="5" t="s">
        <v>240</v>
      </c>
      <c r="CC2051" s="5" t="s">
        <v>240</v>
      </c>
      <c r="CG2051" s="5" t="s">
        <v>304</v>
      </c>
      <c r="CH2051" s="5" t="s">
        <v>305</v>
      </c>
      <c r="CI2051" s="5" t="s">
        <v>240</v>
      </c>
      <c r="CL2051" s="6" t="s">
        <v>261</v>
      </c>
      <c r="CM2051" s="5" t="s">
        <v>240</v>
      </c>
      <c r="CN2051" s="5" t="s">
        <v>263</v>
      </c>
      <c r="CO2051" s="5" t="s">
        <v>240</v>
      </c>
      <c r="CP2051" s="5" t="s">
        <v>240</v>
      </c>
      <c r="CQ2051" s="5">
        <v>0</v>
      </c>
      <c r="CR2051" s="5" t="s">
        <v>306</v>
      </c>
      <c r="CS2051" s="5" t="s">
        <v>307</v>
      </c>
      <c r="CT2051" s="5" t="s">
        <v>307</v>
      </c>
      <c r="CU2051" s="5" t="s">
        <v>260</v>
      </c>
      <c r="CX2051" s="7">
        <f>1</f>
        <v>1</v>
      </c>
      <c r="CY2051" s="7">
        <f>0</f>
        <v>0</v>
      </c>
      <c r="DA2051" s="7">
        <f>0</f>
        <v>0</v>
      </c>
      <c r="DC2051" s="5" t="s">
        <v>812</v>
      </c>
      <c r="DD2051" s="5" t="s">
        <v>240</v>
      </c>
      <c r="DF2051" s="5" t="s">
        <v>812</v>
      </c>
      <c r="DG2051" s="7">
        <f>936</f>
        <v>936</v>
      </c>
      <c r="DI2051" s="5" t="s">
        <v>240</v>
      </c>
      <c r="DJ2051" s="5" t="s">
        <v>240</v>
      </c>
      <c r="DK2051" s="5" t="s">
        <v>240</v>
      </c>
      <c r="DL2051" s="5" t="s">
        <v>240</v>
      </c>
      <c r="DP2051" s="5" t="s">
        <v>240</v>
      </c>
      <c r="DQ2051" s="5" t="s">
        <v>240</v>
      </c>
      <c r="DR2051" s="5" t="s">
        <v>240</v>
      </c>
      <c r="DS2051" s="5" t="s">
        <v>240</v>
      </c>
      <c r="DV2051" s="5" t="s">
        <v>813</v>
      </c>
      <c r="DW2051" s="5" t="s">
        <v>352</v>
      </c>
      <c r="HO2051" s="5" t="s">
        <v>312</v>
      </c>
    </row>
    <row r="2052" spans="1:223" x14ac:dyDescent="0.4">
      <c r="A2052" s="5">
        <v>3756</v>
      </c>
      <c r="B2052" s="5">
        <v>1</v>
      </c>
      <c r="C2052" s="5">
        <v>1</v>
      </c>
      <c r="D2052" s="5" t="s">
        <v>810</v>
      </c>
      <c r="E2052" s="5" t="s">
        <v>245</v>
      </c>
      <c r="F2052" s="5" t="s">
        <v>254</v>
      </c>
      <c r="G2052" s="5" t="s">
        <v>240</v>
      </c>
      <c r="H2052" s="6" t="s">
        <v>4234</v>
      </c>
      <c r="I2052" s="5" t="s">
        <v>809</v>
      </c>
      <c r="J2052" s="8">
        <f>375</f>
        <v>375</v>
      </c>
      <c r="K2052" s="5" t="s">
        <v>308</v>
      </c>
      <c r="L2052" s="7">
        <f>1</f>
        <v>1</v>
      </c>
      <c r="M2052" s="7">
        <f>1</f>
        <v>1</v>
      </c>
      <c r="N2052" s="5" t="s">
        <v>242</v>
      </c>
      <c r="O2052" s="5">
        <v>1</v>
      </c>
      <c r="P2052" s="5" t="s">
        <v>294</v>
      </c>
      <c r="Q2052" s="5" t="s">
        <v>266</v>
      </c>
      <c r="R2052" s="5" t="s">
        <v>240</v>
      </c>
      <c r="S2052" s="5" t="s">
        <v>240</v>
      </c>
      <c r="T2052" s="5" t="s">
        <v>296</v>
      </c>
      <c r="U2052" s="5" t="s">
        <v>244</v>
      </c>
      <c r="V2052" s="5" t="s">
        <v>240</v>
      </c>
      <c r="Y2052" s="5" t="s">
        <v>240</v>
      </c>
      <c r="Z2052" s="6" t="s">
        <v>298</v>
      </c>
      <c r="AB2052" s="6" t="s">
        <v>240</v>
      </c>
      <c r="AE2052" s="6" t="s">
        <v>299</v>
      </c>
      <c r="AF2052" s="5" t="s">
        <v>248</v>
      </c>
      <c r="AG2052" s="5" t="s">
        <v>249</v>
      </c>
      <c r="AW2052" s="5" t="s">
        <v>251</v>
      </c>
      <c r="AX2052" s="5" t="s">
        <v>240</v>
      </c>
      <c r="AY2052" s="5" t="s">
        <v>253</v>
      </c>
      <c r="AZ2052" s="5" t="s">
        <v>240</v>
      </c>
      <c r="BA2052" s="5" t="s">
        <v>255</v>
      </c>
      <c r="BB2052" s="5" t="s">
        <v>240</v>
      </c>
      <c r="BD2052" s="5" t="s">
        <v>240</v>
      </c>
      <c r="BF2052" s="5" t="s">
        <v>301</v>
      </c>
      <c r="BG2052" s="6" t="s">
        <v>299</v>
      </c>
      <c r="BH2052" s="5" t="s">
        <v>302</v>
      </c>
      <c r="BI2052" s="5" t="s">
        <v>303</v>
      </c>
      <c r="BJ2052" s="5" t="s">
        <v>240</v>
      </c>
      <c r="BK2052" s="8">
        <f>0</f>
        <v>0</v>
      </c>
      <c r="BL2052" s="7">
        <f>0</f>
        <v>0</v>
      </c>
      <c r="BM2052" s="5" t="s">
        <v>258</v>
      </c>
      <c r="BN2052" s="5" t="s">
        <v>259</v>
      </c>
      <c r="CB2052" s="5" t="s">
        <v>240</v>
      </c>
      <c r="CC2052" s="5" t="s">
        <v>240</v>
      </c>
      <c r="CG2052" s="5" t="s">
        <v>304</v>
      </c>
      <c r="CH2052" s="5" t="s">
        <v>305</v>
      </c>
      <c r="CI2052" s="5" t="s">
        <v>240</v>
      </c>
      <c r="CL2052" s="6" t="s">
        <v>261</v>
      </c>
      <c r="CM2052" s="5" t="s">
        <v>240</v>
      </c>
      <c r="CN2052" s="5" t="s">
        <v>263</v>
      </c>
      <c r="CO2052" s="5" t="s">
        <v>240</v>
      </c>
      <c r="CP2052" s="5" t="s">
        <v>240</v>
      </c>
      <c r="CQ2052" s="5">
        <v>0</v>
      </c>
      <c r="CR2052" s="5" t="s">
        <v>306</v>
      </c>
      <c r="CS2052" s="5" t="s">
        <v>307</v>
      </c>
      <c r="CT2052" s="5" t="s">
        <v>307</v>
      </c>
      <c r="CU2052" s="5" t="s">
        <v>260</v>
      </c>
      <c r="CX2052" s="7">
        <f>1</f>
        <v>1</v>
      </c>
      <c r="CY2052" s="7">
        <f>0</f>
        <v>0</v>
      </c>
      <c r="DA2052" s="7">
        <f>0</f>
        <v>0</v>
      </c>
      <c r="DC2052" s="5" t="s">
        <v>812</v>
      </c>
      <c r="DD2052" s="5" t="s">
        <v>240</v>
      </c>
      <c r="DF2052" s="5" t="s">
        <v>812</v>
      </c>
      <c r="DG2052" s="7">
        <f>465</f>
        <v>465</v>
      </c>
      <c r="DI2052" s="5" t="s">
        <v>240</v>
      </c>
      <c r="DJ2052" s="5" t="s">
        <v>240</v>
      </c>
      <c r="DK2052" s="5" t="s">
        <v>240</v>
      </c>
      <c r="DL2052" s="5" t="s">
        <v>240</v>
      </c>
      <c r="DP2052" s="5" t="s">
        <v>240</v>
      </c>
      <c r="DQ2052" s="5" t="s">
        <v>240</v>
      </c>
      <c r="DR2052" s="5" t="s">
        <v>240</v>
      </c>
      <c r="DS2052" s="5" t="s">
        <v>240</v>
      </c>
      <c r="DV2052" s="5" t="s">
        <v>813</v>
      </c>
      <c r="DW2052" s="5" t="s">
        <v>354</v>
      </c>
      <c r="HO2052" s="5" t="s">
        <v>312</v>
      </c>
    </row>
    <row r="2053" spans="1:223" x14ac:dyDescent="0.4">
      <c r="A2053" s="5">
        <v>3757</v>
      </c>
      <c r="B2053" s="5">
        <v>1</v>
      </c>
      <c r="C2053" s="5">
        <v>1</v>
      </c>
      <c r="D2053" s="5" t="s">
        <v>810</v>
      </c>
      <c r="E2053" s="5" t="s">
        <v>245</v>
      </c>
      <c r="F2053" s="5" t="s">
        <v>254</v>
      </c>
      <c r="G2053" s="5" t="s">
        <v>240</v>
      </c>
      <c r="H2053" s="6" t="s">
        <v>4233</v>
      </c>
      <c r="I2053" s="5" t="s">
        <v>809</v>
      </c>
      <c r="J2053" s="8">
        <f>393</f>
        <v>393</v>
      </c>
      <c r="K2053" s="5" t="s">
        <v>308</v>
      </c>
      <c r="L2053" s="7">
        <f>1</f>
        <v>1</v>
      </c>
      <c r="M2053" s="7">
        <f>1</f>
        <v>1</v>
      </c>
      <c r="N2053" s="5" t="s">
        <v>242</v>
      </c>
      <c r="O2053" s="5">
        <v>1</v>
      </c>
      <c r="P2053" s="5" t="s">
        <v>294</v>
      </c>
      <c r="Q2053" s="5" t="s">
        <v>266</v>
      </c>
      <c r="R2053" s="5" t="s">
        <v>240</v>
      </c>
      <c r="S2053" s="5" t="s">
        <v>240</v>
      </c>
      <c r="T2053" s="5" t="s">
        <v>296</v>
      </c>
      <c r="U2053" s="5" t="s">
        <v>244</v>
      </c>
      <c r="V2053" s="5" t="s">
        <v>240</v>
      </c>
      <c r="Y2053" s="5" t="s">
        <v>240</v>
      </c>
      <c r="Z2053" s="6" t="s">
        <v>298</v>
      </c>
      <c r="AB2053" s="6" t="s">
        <v>240</v>
      </c>
      <c r="AE2053" s="6" t="s">
        <v>299</v>
      </c>
      <c r="AF2053" s="5" t="s">
        <v>248</v>
      </c>
      <c r="AG2053" s="5" t="s">
        <v>249</v>
      </c>
      <c r="AW2053" s="5" t="s">
        <v>251</v>
      </c>
      <c r="AX2053" s="5" t="s">
        <v>240</v>
      </c>
      <c r="AY2053" s="5" t="s">
        <v>253</v>
      </c>
      <c r="AZ2053" s="5" t="s">
        <v>240</v>
      </c>
      <c r="BA2053" s="5" t="s">
        <v>255</v>
      </c>
      <c r="BB2053" s="5" t="s">
        <v>240</v>
      </c>
      <c r="BD2053" s="5" t="s">
        <v>240</v>
      </c>
      <c r="BF2053" s="5" t="s">
        <v>301</v>
      </c>
      <c r="BG2053" s="6" t="s">
        <v>299</v>
      </c>
      <c r="BH2053" s="5" t="s">
        <v>302</v>
      </c>
      <c r="BI2053" s="5" t="s">
        <v>303</v>
      </c>
      <c r="BJ2053" s="5" t="s">
        <v>240</v>
      </c>
      <c r="BK2053" s="8">
        <f>0</f>
        <v>0</v>
      </c>
      <c r="BL2053" s="7">
        <f>0</f>
        <v>0</v>
      </c>
      <c r="BM2053" s="5" t="s">
        <v>258</v>
      </c>
      <c r="BN2053" s="5" t="s">
        <v>259</v>
      </c>
      <c r="CB2053" s="5" t="s">
        <v>240</v>
      </c>
      <c r="CC2053" s="5" t="s">
        <v>240</v>
      </c>
      <c r="CG2053" s="5" t="s">
        <v>304</v>
      </c>
      <c r="CH2053" s="5" t="s">
        <v>305</v>
      </c>
      <c r="CI2053" s="5" t="s">
        <v>240</v>
      </c>
      <c r="CL2053" s="6" t="s">
        <v>261</v>
      </c>
      <c r="CM2053" s="5" t="s">
        <v>240</v>
      </c>
      <c r="CN2053" s="5" t="s">
        <v>263</v>
      </c>
      <c r="CO2053" s="5" t="s">
        <v>240</v>
      </c>
      <c r="CP2053" s="5" t="s">
        <v>240</v>
      </c>
      <c r="CQ2053" s="5">
        <v>0</v>
      </c>
      <c r="CR2053" s="5" t="s">
        <v>306</v>
      </c>
      <c r="CS2053" s="5" t="s">
        <v>307</v>
      </c>
      <c r="CT2053" s="5" t="s">
        <v>307</v>
      </c>
      <c r="CU2053" s="5" t="s">
        <v>260</v>
      </c>
      <c r="CX2053" s="7">
        <f>1</f>
        <v>1</v>
      </c>
      <c r="CY2053" s="7">
        <f>0</f>
        <v>0</v>
      </c>
      <c r="DA2053" s="7">
        <f>0</f>
        <v>0</v>
      </c>
      <c r="DC2053" s="5" t="s">
        <v>812</v>
      </c>
      <c r="DD2053" s="5" t="s">
        <v>240</v>
      </c>
      <c r="DF2053" s="5" t="s">
        <v>812</v>
      </c>
      <c r="DG2053" s="7">
        <f>108</f>
        <v>108</v>
      </c>
      <c r="DI2053" s="5" t="s">
        <v>240</v>
      </c>
      <c r="DJ2053" s="5" t="s">
        <v>240</v>
      </c>
      <c r="DK2053" s="5" t="s">
        <v>240</v>
      </c>
      <c r="DL2053" s="5" t="s">
        <v>240</v>
      </c>
      <c r="DP2053" s="5" t="s">
        <v>240</v>
      </c>
      <c r="DQ2053" s="5" t="s">
        <v>240</v>
      </c>
      <c r="DR2053" s="5" t="s">
        <v>240</v>
      </c>
      <c r="DS2053" s="5" t="s">
        <v>240</v>
      </c>
      <c r="DV2053" s="5" t="s">
        <v>813</v>
      </c>
      <c r="DW2053" s="5" t="s">
        <v>356</v>
      </c>
      <c r="HO2053" s="5" t="s">
        <v>312</v>
      </c>
    </row>
    <row r="2054" spans="1:223" x14ac:dyDescent="0.4">
      <c r="A2054" s="5">
        <v>3758</v>
      </c>
      <c r="B2054" s="5">
        <v>1</v>
      </c>
      <c r="C2054" s="5">
        <v>1</v>
      </c>
      <c r="D2054" s="5" t="s">
        <v>810</v>
      </c>
      <c r="E2054" s="5" t="s">
        <v>245</v>
      </c>
      <c r="F2054" s="5" t="s">
        <v>254</v>
      </c>
      <c r="G2054" s="5" t="s">
        <v>240</v>
      </c>
      <c r="H2054" s="6" t="s">
        <v>4232</v>
      </c>
      <c r="I2054" s="5" t="s">
        <v>809</v>
      </c>
      <c r="J2054" s="8">
        <f>71</f>
        <v>71</v>
      </c>
      <c r="K2054" s="5" t="s">
        <v>308</v>
      </c>
      <c r="L2054" s="7">
        <f>1</f>
        <v>1</v>
      </c>
      <c r="M2054" s="7">
        <f>1</f>
        <v>1</v>
      </c>
      <c r="N2054" s="5" t="s">
        <v>242</v>
      </c>
      <c r="O2054" s="5">
        <v>1</v>
      </c>
      <c r="P2054" s="5" t="s">
        <v>294</v>
      </c>
      <c r="Q2054" s="5" t="s">
        <v>266</v>
      </c>
      <c r="R2054" s="5" t="s">
        <v>240</v>
      </c>
      <c r="S2054" s="5" t="s">
        <v>240</v>
      </c>
      <c r="T2054" s="5" t="s">
        <v>296</v>
      </c>
      <c r="U2054" s="5" t="s">
        <v>244</v>
      </c>
      <c r="V2054" s="5" t="s">
        <v>240</v>
      </c>
      <c r="Y2054" s="5" t="s">
        <v>240</v>
      </c>
      <c r="Z2054" s="6" t="s">
        <v>298</v>
      </c>
      <c r="AB2054" s="6" t="s">
        <v>240</v>
      </c>
      <c r="AE2054" s="6" t="s">
        <v>299</v>
      </c>
      <c r="AF2054" s="5" t="s">
        <v>248</v>
      </c>
      <c r="AG2054" s="5" t="s">
        <v>249</v>
      </c>
      <c r="AW2054" s="5" t="s">
        <v>251</v>
      </c>
      <c r="AX2054" s="5" t="s">
        <v>240</v>
      </c>
      <c r="AY2054" s="5" t="s">
        <v>253</v>
      </c>
      <c r="AZ2054" s="5" t="s">
        <v>240</v>
      </c>
      <c r="BA2054" s="5" t="s">
        <v>255</v>
      </c>
      <c r="BB2054" s="5" t="s">
        <v>240</v>
      </c>
      <c r="BD2054" s="5" t="s">
        <v>240</v>
      </c>
      <c r="BF2054" s="5" t="s">
        <v>301</v>
      </c>
      <c r="BG2054" s="6" t="s">
        <v>299</v>
      </c>
      <c r="BH2054" s="5" t="s">
        <v>302</v>
      </c>
      <c r="BI2054" s="5" t="s">
        <v>303</v>
      </c>
      <c r="BJ2054" s="5" t="s">
        <v>240</v>
      </c>
      <c r="BK2054" s="8">
        <f>0</f>
        <v>0</v>
      </c>
      <c r="BL2054" s="7">
        <f>0</f>
        <v>0</v>
      </c>
      <c r="BM2054" s="5" t="s">
        <v>258</v>
      </c>
      <c r="BN2054" s="5" t="s">
        <v>259</v>
      </c>
      <c r="CB2054" s="5" t="s">
        <v>240</v>
      </c>
      <c r="CC2054" s="5" t="s">
        <v>240</v>
      </c>
      <c r="CG2054" s="5" t="s">
        <v>304</v>
      </c>
      <c r="CH2054" s="5" t="s">
        <v>305</v>
      </c>
      <c r="CI2054" s="5" t="s">
        <v>240</v>
      </c>
      <c r="CL2054" s="6" t="s">
        <v>261</v>
      </c>
      <c r="CM2054" s="5" t="s">
        <v>240</v>
      </c>
      <c r="CN2054" s="5" t="s">
        <v>263</v>
      </c>
      <c r="CO2054" s="5" t="s">
        <v>240</v>
      </c>
      <c r="CP2054" s="5" t="s">
        <v>240</v>
      </c>
      <c r="CQ2054" s="5">
        <v>0</v>
      </c>
      <c r="CR2054" s="5" t="s">
        <v>306</v>
      </c>
      <c r="CS2054" s="5" t="s">
        <v>307</v>
      </c>
      <c r="CT2054" s="5" t="s">
        <v>307</v>
      </c>
      <c r="CU2054" s="5" t="s">
        <v>260</v>
      </c>
      <c r="CX2054" s="7">
        <f>1</f>
        <v>1</v>
      </c>
      <c r="CY2054" s="7">
        <f>0</f>
        <v>0</v>
      </c>
      <c r="DA2054" s="7">
        <f>0</f>
        <v>0</v>
      </c>
      <c r="DC2054" s="5" t="s">
        <v>309</v>
      </c>
      <c r="DD2054" s="5" t="s">
        <v>240</v>
      </c>
      <c r="DF2054" s="5" t="s">
        <v>309</v>
      </c>
      <c r="DG2054" s="7">
        <f>4721</f>
        <v>4721</v>
      </c>
      <c r="DI2054" s="5" t="s">
        <v>240</v>
      </c>
      <c r="DJ2054" s="5" t="s">
        <v>240</v>
      </c>
      <c r="DK2054" s="5" t="s">
        <v>240</v>
      </c>
      <c r="DL2054" s="5" t="s">
        <v>240</v>
      </c>
      <c r="DP2054" s="5" t="s">
        <v>240</v>
      </c>
      <c r="DQ2054" s="5" t="s">
        <v>240</v>
      </c>
      <c r="DR2054" s="5" t="s">
        <v>240</v>
      </c>
      <c r="DS2054" s="5" t="s">
        <v>240</v>
      </c>
      <c r="DV2054" s="5" t="s">
        <v>310</v>
      </c>
      <c r="DW2054" s="5" t="s">
        <v>972</v>
      </c>
      <c r="HO2054" s="5" t="s">
        <v>312</v>
      </c>
    </row>
    <row r="2055" spans="1:223" x14ac:dyDescent="0.4">
      <c r="A2055" s="5">
        <v>3759</v>
      </c>
      <c r="B2055" s="5">
        <v>1</v>
      </c>
      <c r="C2055" s="5">
        <v>1</v>
      </c>
      <c r="D2055" s="5" t="s">
        <v>810</v>
      </c>
      <c r="E2055" s="5" t="s">
        <v>245</v>
      </c>
      <c r="F2055" s="5" t="s">
        <v>254</v>
      </c>
      <c r="G2055" s="5" t="s">
        <v>240</v>
      </c>
      <c r="H2055" s="6" t="s">
        <v>4231</v>
      </c>
      <c r="I2055" s="5" t="s">
        <v>809</v>
      </c>
      <c r="J2055" s="8">
        <f>288</f>
        <v>288</v>
      </c>
      <c r="K2055" s="5" t="s">
        <v>308</v>
      </c>
      <c r="L2055" s="7">
        <f>1</f>
        <v>1</v>
      </c>
      <c r="M2055" s="7">
        <f>1</f>
        <v>1</v>
      </c>
      <c r="N2055" s="5" t="s">
        <v>242</v>
      </c>
      <c r="O2055" s="5">
        <v>1</v>
      </c>
      <c r="P2055" s="5" t="s">
        <v>294</v>
      </c>
      <c r="Q2055" s="5" t="s">
        <v>266</v>
      </c>
      <c r="R2055" s="5" t="s">
        <v>240</v>
      </c>
      <c r="S2055" s="5" t="s">
        <v>240</v>
      </c>
      <c r="T2055" s="5" t="s">
        <v>296</v>
      </c>
      <c r="U2055" s="5" t="s">
        <v>244</v>
      </c>
      <c r="V2055" s="5" t="s">
        <v>240</v>
      </c>
      <c r="Y2055" s="5" t="s">
        <v>240</v>
      </c>
      <c r="Z2055" s="6" t="s">
        <v>298</v>
      </c>
      <c r="AB2055" s="6" t="s">
        <v>240</v>
      </c>
      <c r="AE2055" s="6" t="s">
        <v>299</v>
      </c>
      <c r="AF2055" s="5" t="s">
        <v>248</v>
      </c>
      <c r="AG2055" s="5" t="s">
        <v>249</v>
      </c>
      <c r="AW2055" s="5" t="s">
        <v>251</v>
      </c>
      <c r="AX2055" s="5" t="s">
        <v>240</v>
      </c>
      <c r="AY2055" s="5" t="s">
        <v>253</v>
      </c>
      <c r="AZ2055" s="5" t="s">
        <v>240</v>
      </c>
      <c r="BA2055" s="5" t="s">
        <v>255</v>
      </c>
      <c r="BB2055" s="5" t="s">
        <v>240</v>
      </c>
      <c r="BD2055" s="5" t="s">
        <v>240</v>
      </c>
      <c r="BF2055" s="5" t="s">
        <v>301</v>
      </c>
      <c r="BG2055" s="6" t="s">
        <v>299</v>
      </c>
      <c r="BH2055" s="5" t="s">
        <v>302</v>
      </c>
      <c r="BI2055" s="5" t="s">
        <v>303</v>
      </c>
      <c r="BJ2055" s="5" t="s">
        <v>240</v>
      </c>
      <c r="BK2055" s="8">
        <f>0</f>
        <v>0</v>
      </c>
      <c r="BL2055" s="7">
        <f>0</f>
        <v>0</v>
      </c>
      <c r="BM2055" s="5" t="s">
        <v>258</v>
      </c>
      <c r="BN2055" s="5" t="s">
        <v>259</v>
      </c>
      <c r="CB2055" s="5" t="s">
        <v>240</v>
      </c>
      <c r="CC2055" s="5" t="s">
        <v>240</v>
      </c>
      <c r="CG2055" s="5" t="s">
        <v>304</v>
      </c>
      <c r="CH2055" s="5" t="s">
        <v>305</v>
      </c>
      <c r="CI2055" s="5" t="s">
        <v>240</v>
      </c>
      <c r="CL2055" s="6" t="s">
        <v>261</v>
      </c>
      <c r="CM2055" s="5" t="s">
        <v>240</v>
      </c>
      <c r="CN2055" s="5" t="s">
        <v>263</v>
      </c>
      <c r="CO2055" s="5" t="s">
        <v>240</v>
      </c>
      <c r="CP2055" s="5" t="s">
        <v>240</v>
      </c>
      <c r="CQ2055" s="5">
        <v>0</v>
      </c>
      <c r="CR2055" s="5" t="s">
        <v>306</v>
      </c>
      <c r="CS2055" s="5" t="s">
        <v>307</v>
      </c>
      <c r="CT2055" s="5" t="s">
        <v>307</v>
      </c>
      <c r="CU2055" s="5" t="s">
        <v>260</v>
      </c>
      <c r="CX2055" s="7">
        <f>1</f>
        <v>1</v>
      </c>
      <c r="CY2055" s="7">
        <f>0</f>
        <v>0</v>
      </c>
      <c r="DA2055" s="7">
        <f>0</f>
        <v>0</v>
      </c>
      <c r="DC2055" s="5" t="s">
        <v>812</v>
      </c>
      <c r="DD2055" s="5" t="s">
        <v>240</v>
      </c>
      <c r="DF2055" s="5" t="s">
        <v>812</v>
      </c>
      <c r="DG2055" s="7">
        <f>145</f>
        <v>145</v>
      </c>
      <c r="DI2055" s="5" t="s">
        <v>240</v>
      </c>
      <c r="DJ2055" s="5" t="s">
        <v>240</v>
      </c>
      <c r="DK2055" s="5" t="s">
        <v>240</v>
      </c>
      <c r="DL2055" s="5" t="s">
        <v>240</v>
      </c>
      <c r="DP2055" s="5" t="s">
        <v>240</v>
      </c>
      <c r="DQ2055" s="5" t="s">
        <v>240</v>
      </c>
      <c r="DR2055" s="5" t="s">
        <v>240</v>
      </c>
      <c r="DS2055" s="5" t="s">
        <v>240</v>
      </c>
      <c r="DV2055" s="5" t="s">
        <v>813</v>
      </c>
      <c r="DW2055" s="5" t="s">
        <v>360</v>
      </c>
      <c r="HO2055" s="5" t="s">
        <v>312</v>
      </c>
    </row>
    <row r="2056" spans="1:223" x14ac:dyDescent="0.4">
      <c r="A2056" s="5">
        <v>3760</v>
      </c>
      <c r="B2056" s="5">
        <v>1</v>
      </c>
      <c r="C2056" s="5">
        <v>1</v>
      </c>
      <c r="D2056" s="5" t="s">
        <v>810</v>
      </c>
      <c r="E2056" s="5" t="s">
        <v>245</v>
      </c>
      <c r="F2056" s="5" t="s">
        <v>254</v>
      </c>
      <c r="G2056" s="5" t="s">
        <v>240</v>
      </c>
      <c r="H2056" s="6" t="s">
        <v>4230</v>
      </c>
      <c r="I2056" s="5" t="s">
        <v>809</v>
      </c>
      <c r="J2056" s="8">
        <f>1359</f>
        <v>1359</v>
      </c>
      <c r="K2056" s="5" t="s">
        <v>308</v>
      </c>
      <c r="L2056" s="7">
        <f>1</f>
        <v>1</v>
      </c>
      <c r="M2056" s="7">
        <f>1</f>
        <v>1</v>
      </c>
      <c r="N2056" s="5" t="s">
        <v>242</v>
      </c>
      <c r="O2056" s="5">
        <v>1</v>
      </c>
      <c r="P2056" s="5" t="s">
        <v>294</v>
      </c>
      <c r="Q2056" s="5" t="s">
        <v>266</v>
      </c>
      <c r="R2056" s="5" t="s">
        <v>240</v>
      </c>
      <c r="S2056" s="5" t="s">
        <v>240</v>
      </c>
      <c r="T2056" s="5" t="s">
        <v>296</v>
      </c>
      <c r="U2056" s="5" t="s">
        <v>244</v>
      </c>
      <c r="V2056" s="5" t="s">
        <v>240</v>
      </c>
      <c r="Y2056" s="5" t="s">
        <v>240</v>
      </c>
      <c r="Z2056" s="6" t="s">
        <v>298</v>
      </c>
      <c r="AB2056" s="6" t="s">
        <v>240</v>
      </c>
      <c r="AE2056" s="6" t="s">
        <v>299</v>
      </c>
      <c r="AF2056" s="5" t="s">
        <v>248</v>
      </c>
      <c r="AG2056" s="5" t="s">
        <v>249</v>
      </c>
      <c r="AW2056" s="5" t="s">
        <v>251</v>
      </c>
      <c r="AX2056" s="5" t="s">
        <v>240</v>
      </c>
      <c r="AY2056" s="5" t="s">
        <v>253</v>
      </c>
      <c r="AZ2056" s="5" t="s">
        <v>240</v>
      </c>
      <c r="BA2056" s="5" t="s">
        <v>255</v>
      </c>
      <c r="BB2056" s="5" t="s">
        <v>240</v>
      </c>
      <c r="BD2056" s="5" t="s">
        <v>240</v>
      </c>
      <c r="BF2056" s="5" t="s">
        <v>301</v>
      </c>
      <c r="BG2056" s="6" t="s">
        <v>299</v>
      </c>
      <c r="BH2056" s="5" t="s">
        <v>302</v>
      </c>
      <c r="BI2056" s="5" t="s">
        <v>303</v>
      </c>
      <c r="BJ2056" s="5" t="s">
        <v>240</v>
      </c>
      <c r="BK2056" s="8">
        <f>0</f>
        <v>0</v>
      </c>
      <c r="BL2056" s="7">
        <f>0</f>
        <v>0</v>
      </c>
      <c r="BM2056" s="5" t="s">
        <v>258</v>
      </c>
      <c r="BN2056" s="5" t="s">
        <v>259</v>
      </c>
      <c r="CB2056" s="5" t="s">
        <v>240</v>
      </c>
      <c r="CC2056" s="5" t="s">
        <v>240</v>
      </c>
      <c r="CG2056" s="5" t="s">
        <v>304</v>
      </c>
      <c r="CH2056" s="5" t="s">
        <v>305</v>
      </c>
      <c r="CI2056" s="5" t="s">
        <v>240</v>
      </c>
      <c r="CL2056" s="6" t="s">
        <v>261</v>
      </c>
      <c r="CM2056" s="5" t="s">
        <v>240</v>
      </c>
      <c r="CN2056" s="5" t="s">
        <v>263</v>
      </c>
      <c r="CO2056" s="5" t="s">
        <v>240</v>
      </c>
      <c r="CP2056" s="5" t="s">
        <v>240</v>
      </c>
      <c r="CQ2056" s="5">
        <v>0</v>
      </c>
      <c r="CR2056" s="5" t="s">
        <v>306</v>
      </c>
      <c r="CS2056" s="5" t="s">
        <v>307</v>
      </c>
      <c r="CT2056" s="5" t="s">
        <v>307</v>
      </c>
      <c r="CU2056" s="5" t="s">
        <v>260</v>
      </c>
      <c r="CX2056" s="7">
        <f>1</f>
        <v>1</v>
      </c>
      <c r="CY2056" s="7">
        <f>0</f>
        <v>0</v>
      </c>
      <c r="DA2056" s="7">
        <f>0</f>
        <v>0</v>
      </c>
      <c r="DC2056" s="5" t="s">
        <v>309</v>
      </c>
      <c r="DD2056" s="5" t="s">
        <v>240</v>
      </c>
      <c r="DF2056" s="5" t="s">
        <v>309</v>
      </c>
      <c r="DG2056" s="7">
        <f>145</f>
        <v>145</v>
      </c>
      <c r="DI2056" s="5" t="s">
        <v>240</v>
      </c>
      <c r="DJ2056" s="5" t="s">
        <v>240</v>
      </c>
      <c r="DK2056" s="5" t="s">
        <v>240</v>
      </c>
      <c r="DL2056" s="5" t="s">
        <v>240</v>
      </c>
      <c r="DP2056" s="5" t="s">
        <v>240</v>
      </c>
      <c r="DQ2056" s="5" t="s">
        <v>240</v>
      </c>
      <c r="DR2056" s="5" t="s">
        <v>240</v>
      </c>
      <c r="DS2056" s="5" t="s">
        <v>240</v>
      </c>
      <c r="DV2056" s="5" t="s">
        <v>310</v>
      </c>
      <c r="DW2056" s="5" t="s">
        <v>977</v>
      </c>
      <c r="HO2056" s="5" t="s">
        <v>312</v>
      </c>
    </row>
    <row r="2057" spans="1:223" x14ac:dyDescent="0.4">
      <c r="A2057" s="5">
        <v>3761</v>
      </c>
      <c r="B2057" s="5">
        <v>1</v>
      </c>
      <c r="C2057" s="5">
        <v>1</v>
      </c>
      <c r="D2057" s="5" t="s">
        <v>810</v>
      </c>
      <c r="E2057" s="5" t="s">
        <v>245</v>
      </c>
      <c r="F2057" s="5" t="s">
        <v>254</v>
      </c>
      <c r="G2057" s="5" t="s">
        <v>240</v>
      </c>
      <c r="H2057" s="6" t="s">
        <v>5363</v>
      </c>
      <c r="I2057" s="5" t="s">
        <v>809</v>
      </c>
      <c r="J2057" s="8">
        <f>3777</f>
        <v>3777</v>
      </c>
      <c r="K2057" s="5" t="s">
        <v>308</v>
      </c>
      <c r="L2057" s="7">
        <f>1</f>
        <v>1</v>
      </c>
      <c r="M2057" s="7">
        <f>1</f>
        <v>1</v>
      </c>
      <c r="N2057" s="5" t="s">
        <v>242</v>
      </c>
      <c r="O2057" s="5">
        <v>1</v>
      </c>
      <c r="P2057" s="5" t="s">
        <v>294</v>
      </c>
      <c r="Q2057" s="5" t="s">
        <v>266</v>
      </c>
      <c r="R2057" s="5" t="s">
        <v>240</v>
      </c>
      <c r="S2057" s="5" t="s">
        <v>240</v>
      </c>
      <c r="T2057" s="5" t="s">
        <v>296</v>
      </c>
      <c r="U2057" s="5" t="s">
        <v>244</v>
      </c>
      <c r="V2057" s="5" t="s">
        <v>240</v>
      </c>
      <c r="Y2057" s="5" t="s">
        <v>240</v>
      </c>
      <c r="Z2057" s="6" t="s">
        <v>298</v>
      </c>
      <c r="AB2057" s="6" t="s">
        <v>240</v>
      </c>
      <c r="AE2057" s="6" t="s">
        <v>299</v>
      </c>
      <c r="AF2057" s="5" t="s">
        <v>248</v>
      </c>
      <c r="AG2057" s="5" t="s">
        <v>249</v>
      </c>
      <c r="AW2057" s="5" t="s">
        <v>251</v>
      </c>
      <c r="AX2057" s="5" t="s">
        <v>240</v>
      </c>
      <c r="AY2057" s="5" t="s">
        <v>253</v>
      </c>
      <c r="AZ2057" s="5" t="s">
        <v>240</v>
      </c>
      <c r="BA2057" s="5" t="s">
        <v>255</v>
      </c>
      <c r="BB2057" s="5" t="s">
        <v>240</v>
      </c>
      <c r="BD2057" s="5" t="s">
        <v>240</v>
      </c>
      <c r="BF2057" s="5" t="s">
        <v>301</v>
      </c>
      <c r="BG2057" s="6" t="s">
        <v>299</v>
      </c>
      <c r="BH2057" s="5" t="s">
        <v>302</v>
      </c>
      <c r="BI2057" s="5" t="s">
        <v>303</v>
      </c>
      <c r="BJ2057" s="5" t="s">
        <v>240</v>
      </c>
      <c r="BK2057" s="8">
        <f>0</f>
        <v>0</v>
      </c>
      <c r="BL2057" s="7">
        <f>0</f>
        <v>0</v>
      </c>
      <c r="BM2057" s="5" t="s">
        <v>258</v>
      </c>
      <c r="BN2057" s="5" t="s">
        <v>259</v>
      </c>
      <c r="CB2057" s="5" t="s">
        <v>240</v>
      </c>
      <c r="CC2057" s="5" t="s">
        <v>240</v>
      </c>
      <c r="CG2057" s="5" t="s">
        <v>304</v>
      </c>
      <c r="CH2057" s="5" t="s">
        <v>305</v>
      </c>
      <c r="CI2057" s="5" t="s">
        <v>240</v>
      </c>
      <c r="CL2057" s="6" t="s">
        <v>261</v>
      </c>
      <c r="CM2057" s="5" t="s">
        <v>240</v>
      </c>
      <c r="CN2057" s="5" t="s">
        <v>263</v>
      </c>
      <c r="CO2057" s="5" t="s">
        <v>240</v>
      </c>
      <c r="CP2057" s="5" t="s">
        <v>240</v>
      </c>
      <c r="CQ2057" s="5">
        <v>0</v>
      </c>
      <c r="CR2057" s="5" t="s">
        <v>306</v>
      </c>
      <c r="CS2057" s="5" t="s">
        <v>307</v>
      </c>
      <c r="CT2057" s="5" t="s">
        <v>307</v>
      </c>
      <c r="CU2057" s="5" t="s">
        <v>260</v>
      </c>
      <c r="CX2057" s="7">
        <f>1</f>
        <v>1</v>
      </c>
      <c r="CY2057" s="7">
        <f>0</f>
        <v>0</v>
      </c>
      <c r="DA2057" s="7">
        <f>0</f>
        <v>0</v>
      </c>
      <c r="DC2057" s="5" t="s">
        <v>812</v>
      </c>
      <c r="DD2057" s="5" t="s">
        <v>240</v>
      </c>
      <c r="DF2057" s="5" t="s">
        <v>812</v>
      </c>
      <c r="DG2057" s="7">
        <f>1646</f>
        <v>1646</v>
      </c>
      <c r="DI2057" s="5" t="s">
        <v>240</v>
      </c>
      <c r="DJ2057" s="5" t="s">
        <v>240</v>
      </c>
      <c r="DK2057" s="5" t="s">
        <v>240</v>
      </c>
      <c r="DL2057" s="5" t="s">
        <v>240</v>
      </c>
      <c r="DP2057" s="5" t="s">
        <v>240</v>
      </c>
      <c r="DQ2057" s="5" t="s">
        <v>240</v>
      </c>
      <c r="DR2057" s="5" t="s">
        <v>240</v>
      </c>
      <c r="DS2057" s="5" t="s">
        <v>240</v>
      </c>
      <c r="DV2057" s="5" t="s">
        <v>813</v>
      </c>
      <c r="DW2057" s="5" t="s">
        <v>364</v>
      </c>
      <c r="HO2057" s="5" t="s">
        <v>312</v>
      </c>
    </row>
    <row r="2058" spans="1:223" x14ac:dyDescent="0.4">
      <c r="A2058" s="5">
        <v>3762</v>
      </c>
      <c r="B2058" s="5">
        <v>1</v>
      </c>
      <c r="C2058" s="5">
        <v>1</v>
      </c>
      <c r="D2058" s="5" t="s">
        <v>810</v>
      </c>
      <c r="E2058" s="5" t="s">
        <v>245</v>
      </c>
      <c r="F2058" s="5" t="s">
        <v>254</v>
      </c>
      <c r="G2058" s="5" t="s">
        <v>240</v>
      </c>
      <c r="H2058" s="6" t="s">
        <v>4226</v>
      </c>
      <c r="I2058" s="5" t="s">
        <v>809</v>
      </c>
      <c r="J2058" s="8">
        <f>1568</f>
        <v>1568</v>
      </c>
      <c r="K2058" s="5" t="s">
        <v>308</v>
      </c>
      <c r="L2058" s="7">
        <f>1</f>
        <v>1</v>
      </c>
      <c r="M2058" s="7">
        <f>1</f>
        <v>1</v>
      </c>
      <c r="N2058" s="5" t="s">
        <v>242</v>
      </c>
      <c r="O2058" s="5">
        <v>1</v>
      </c>
      <c r="P2058" s="5" t="s">
        <v>294</v>
      </c>
      <c r="Q2058" s="5" t="s">
        <v>266</v>
      </c>
      <c r="R2058" s="5" t="s">
        <v>240</v>
      </c>
      <c r="S2058" s="5" t="s">
        <v>240</v>
      </c>
      <c r="T2058" s="5" t="s">
        <v>296</v>
      </c>
      <c r="U2058" s="5" t="s">
        <v>244</v>
      </c>
      <c r="V2058" s="5" t="s">
        <v>240</v>
      </c>
      <c r="Y2058" s="5" t="s">
        <v>240</v>
      </c>
      <c r="Z2058" s="6" t="s">
        <v>298</v>
      </c>
      <c r="AB2058" s="6" t="s">
        <v>240</v>
      </c>
      <c r="AE2058" s="6" t="s">
        <v>299</v>
      </c>
      <c r="AF2058" s="5" t="s">
        <v>248</v>
      </c>
      <c r="AG2058" s="5" t="s">
        <v>249</v>
      </c>
      <c r="AW2058" s="5" t="s">
        <v>251</v>
      </c>
      <c r="AX2058" s="5" t="s">
        <v>240</v>
      </c>
      <c r="AY2058" s="5" t="s">
        <v>253</v>
      </c>
      <c r="AZ2058" s="5" t="s">
        <v>240</v>
      </c>
      <c r="BA2058" s="5" t="s">
        <v>255</v>
      </c>
      <c r="BB2058" s="5" t="s">
        <v>240</v>
      </c>
      <c r="BD2058" s="5" t="s">
        <v>240</v>
      </c>
      <c r="BF2058" s="5" t="s">
        <v>301</v>
      </c>
      <c r="BG2058" s="6" t="s">
        <v>299</v>
      </c>
      <c r="BH2058" s="5" t="s">
        <v>302</v>
      </c>
      <c r="BI2058" s="5" t="s">
        <v>303</v>
      </c>
      <c r="BJ2058" s="5" t="s">
        <v>240</v>
      </c>
      <c r="BK2058" s="8">
        <f>0</f>
        <v>0</v>
      </c>
      <c r="BL2058" s="7">
        <f>0</f>
        <v>0</v>
      </c>
      <c r="BM2058" s="5" t="s">
        <v>258</v>
      </c>
      <c r="BN2058" s="5" t="s">
        <v>259</v>
      </c>
      <c r="CB2058" s="5" t="s">
        <v>240</v>
      </c>
      <c r="CC2058" s="5" t="s">
        <v>240</v>
      </c>
      <c r="CG2058" s="5" t="s">
        <v>304</v>
      </c>
      <c r="CH2058" s="5" t="s">
        <v>305</v>
      </c>
      <c r="CI2058" s="5" t="s">
        <v>240</v>
      </c>
      <c r="CL2058" s="6" t="s">
        <v>261</v>
      </c>
      <c r="CM2058" s="5" t="s">
        <v>240</v>
      </c>
      <c r="CN2058" s="5" t="s">
        <v>263</v>
      </c>
      <c r="CO2058" s="5" t="s">
        <v>240</v>
      </c>
      <c r="CP2058" s="5" t="s">
        <v>240</v>
      </c>
      <c r="CQ2058" s="5">
        <v>0</v>
      </c>
      <c r="CR2058" s="5" t="s">
        <v>306</v>
      </c>
      <c r="CS2058" s="5" t="s">
        <v>307</v>
      </c>
      <c r="CT2058" s="5" t="s">
        <v>307</v>
      </c>
      <c r="CU2058" s="5" t="s">
        <v>260</v>
      </c>
      <c r="CX2058" s="7">
        <f>1</f>
        <v>1</v>
      </c>
      <c r="CY2058" s="7">
        <f>0</f>
        <v>0</v>
      </c>
      <c r="DA2058" s="7">
        <f>0</f>
        <v>0</v>
      </c>
      <c r="DC2058" s="5" t="s">
        <v>812</v>
      </c>
      <c r="DD2058" s="5" t="s">
        <v>240</v>
      </c>
      <c r="DF2058" s="5" t="s">
        <v>812</v>
      </c>
      <c r="DG2058" s="7">
        <f>1500</f>
        <v>1500</v>
      </c>
      <c r="DI2058" s="5" t="s">
        <v>240</v>
      </c>
      <c r="DJ2058" s="5" t="s">
        <v>240</v>
      </c>
      <c r="DK2058" s="5" t="s">
        <v>240</v>
      </c>
      <c r="DL2058" s="5" t="s">
        <v>240</v>
      </c>
      <c r="DP2058" s="5" t="s">
        <v>240</v>
      </c>
      <c r="DQ2058" s="5" t="s">
        <v>240</v>
      </c>
      <c r="DR2058" s="5" t="s">
        <v>240</v>
      </c>
      <c r="DS2058" s="5" t="s">
        <v>240</v>
      </c>
      <c r="DV2058" s="5" t="s">
        <v>813</v>
      </c>
      <c r="DW2058" s="5" t="s">
        <v>366</v>
      </c>
      <c r="HO2058" s="5" t="s">
        <v>312</v>
      </c>
    </row>
    <row r="2059" spans="1:223" x14ac:dyDescent="0.4">
      <c r="A2059" s="5">
        <v>3763</v>
      </c>
      <c r="B2059" s="5">
        <v>1</v>
      </c>
      <c r="C2059" s="5">
        <v>1</v>
      </c>
      <c r="D2059" s="5" t="s">
        <v>810</v>
      </c>
      <c r="E2059" s="5" t="s">
        <v>245</v>
      </c>
      <c r="F2059" s="5" t="s">
        <v>254</v>
      </c>
      <c r="G2059" s="5" t="s">
        <v>240</v>
      </c>
      <c r="H2059" s="6" t="s">
        <v>4225</v>
      </c>
      <c r="I2059" s="5" t="s">
        <v>809</v>
      </c>
      <c r="J2059" s="8">
        <f>530</f>
        <v>530</v>
      </c>
      <c r="K2059" s="5" t="s">
        <v>308</v>
      </c>
      <c r="L2059" s="7">
        <f>1</f>
        <v>1</v>
      </c>
      <c r="M2059" s="7">
        <f>1</f>
        <v>1</v>
      </c>
      <c r="N2059" s="5" t="s">
        <v>242</v>
      </c>
      <c r="O2059" s="5">
        <v>1</v>
      </c>
      <c r="P2059" s="5" t="s">
        <v>294</v>
      </c>
      <c r="Q2059" s="5" t="s">
        <v>266</v>
      </c>
      <c r="R2059" s="5" t="s">
        <v>240</v>
      </c>
      <c r="S2059" s="5" t="s">
        <v>240</v>
      </c>
      <c r="T2059" s="5" t="s">
        <v>296</v>
      </c>
      <c r="U2059" s="5" t="s">
        <v>244</v>
      </c>
      <c r="V2059" s="5" t="s">
        <v>240</v>
      </c>
      <c r="Y2059" s="5" t="s">
        <v>240</v>
      </c>
      <c r="Z2059" s="6" t="s">
        <v>298</v>
      </c>
      <c r="AB2059" s="6" t="s">
        <v>240</v>
      </c>
      <c r="AE2059" s="6" t="s">
        <v>299</v>
      </c>
      <c r="AF2059" s="5" t="s">
        <v>248</v>
      </c>
      <c r="AG2059" s="5" t="s">
        <v>249</v>
      </c>
      <c r="AW2059" s="5" t="s">
        <v>251</v>
      </c>
      <c r="AX2059" s="5" t="s">
        <v>240</v>
      </c>
      <c r="AY2059" s="5" t="s">
        <v>253</v>
      </c>
      <c r="AZ2059" s="5" t="s">
        <v>240</v>
      </c>
      <c r="BA2059" s="5" t="s">
        <v>255</v>
      </c>
      <c r="BB2059" s="5" t="s">
        <v>240</v>
      </c>
      <c r="BD2059" s="5" t="s">
        <v>240</v>
      </c>
      <c r="BF2059" s="5" t="s">
        <v>301</v>
      </c>
      <c r="BG2059" s="6" t="s">
        <v>299</v>
      </c>
      <c r="BH2059" s="5" t="s">
        <v>302</v>
      </c>
      <c r="BI2059" s="5" t="s">
        <v>303</v>
      </c>
      <c r="BJ2059" s="5" t="s">
        <v>240</v>
      </c>
      <c r="BK2059" s="8">
        <f>0</f>
        <v>0</v>
      </c>
      <c r="BL2059" s="7">
        <f>0</f>
        <v>0</v>
      </c>
      <c r="BM2059" s="5" t="s">
        <v>258</v>
      </c>
      <c r="BN2059" s="5" t="s">
        <v>259</v>
      </c>
      <c r="CB2059" s="5" t="s">
        <v>240</v>
      </c>
      <c r="CC2059" s="5" t="s">
        <v>240</v>
      </c>
      <c r="CG2059" s="5" t="s">
        <v>304</v>
      </c>
      <c r="CH2059" s="5" t="s">
        <v>305</v>
      </c>
      <c r="CI2059" s="5" t="s">
        <v>240</v>
      </c>
      <c r="CL2059" s="6" t="s">
        <v>261</v>
      </c>
      <c r="CM2059" s="5" t="s">
        <v>240</v>
      </c>
      <c r="CN2059" s="5" t="s">
        <v>263</v>
      </c>
      <c r="CO2059" s="5" t="s">
        <v>240</v>
      </c>
      <c r="CP2059" s="5" t="s">
        <v>240</v>
      </c>
      <c r="CQ2059" s="5">
        <v>0</v>
      </c>
      <c r="CR2059" s="5" t="s">
        <v>306</v>
      </c>
      <c r="CS2059" s="5" t="s">
        <v>307</v>
      </c>
      <c r="CT2059" s="5" t="s">
        <v>307</v>
      </c>
      <c r="CU2059" s="5" t="s">
        <v>260</v>
      </c>
      <c r="CX2059" s="7">
        <f>1</f>
        <v>1</v>
      </c>
      <c r="CY2059" s="7">
        <f>0</f>
        <v>0</v>
      </c>
      <c r="DA2059" s="7">
        <f>0</f>
        <v>0</v>
      </c>
      <c r="DC2059" s="5" t="s">
        <v>812</v>
      </c>
      <c r="DD2059" s="5" t="s">
        <v>240</v>
      </c>
      <c r="DF2059" s="5" t="s">
        <v>812</v>
      </c>
      <c r="DG2059" s="7">
        <f>204</f>
        <v>204</v>
      </c>
      <c r="DI2059" s="5" t="s">
        <v>240</v>
      </c>
      <c r="DJ2059" s="5" t="s">
        <v>240</v>
      </c>
      <c r="DK2059" s="5" t="s">
        <v>240</v>
      </c>
      <c r="DL2059" s="5" t="s">
        <v>240</v>
      </c>
      <c r="DP2059" s="5" t="s">
        <v>240</v>
      </c>
      <c r="DQ2059" s="5" t="s">
        <v>240</v>
      </c>
      <c r="DR2059" s="5" t="s">
        <v>240</v>
      </c>
      <c r="DS2059" s="5" t="s">
        <v>240</v>
      </c>
      <c r="DV2059" s="5" t="s">
        <v>813</v>
      </c>
      <c r="DW2059" s="5" t="s">
        <v>368</v>
      </c>
      <c r="HO2059" s="5" t="s">
        <v>312</v>
      </c>
    </row>
    <row r="2060" spans="1:223" x14ac:dyDescent="0.4">
      <c r="A2060" s="5">
        <v>3764</v>
      </c>
      <c r="B2060" s="5">
        <v>1</v>
      </c>
      <c r="C2060" s="5">
        <v>1</v>
      </c>
      <c r="D2060" s="5" t="s">
        <v>810</v>
      </c>
      <c r="E2060" s="5" t="s">
        <v>245</v>
      </c>
      <c r="F2060" s="5" t="s">
        <v>254</v>
      </c>
      <c r="G2060" s="5" t="s">
        <v>240</v>
      </c>
      <c r="H2060" s="6" t="s">
        <v>4224</v>
      </c>
      <c r="I2060" s="5" t="s">
        <v>809</v>
      </c>
      <c r="J2060" s="8">
        <f>548</f>
        <v>548</v>
      </c>
      <c r="K2060" s="5" t="s">
        <v>308</v>
      </c>
      <c r="L2060" s="7">
        <f>1</f>
        <v>1</v>
      </c>
      <c r="M2060" s="7">
        <f>1</f>
        <v>1</v>
      </c>
      <c r="N2060" s="5" t="s">
        <v>242</v>
      </c>
      <c r="O2060" s="5">
        <v>1</v>
      </c>
      <c r="P2060" s="5" t="s">
        <v>294</v>
      </c>
      <c r="Q2060" s="5" t="s">
        <v>266</v>
      </c>
      <c r="R2060" s="5" t="s">
        <v>240</v>
      </c>
      <c r="S2060" s="5" t="s">
        <v>240</v>
      </c>
      <c r="T2060" s="5" t="s">
        <v>296</v>
      </c>
      <c r="U2060" s="5" t="s">
        <v>244</v>
      </c>
      <c r="V2060" s="5" t="s">
        <v>240</v>
      </c>
      <c r="Y2060" s="5" t="s">
        <v>240</v>
      </c>
      <c r="Z2060" s="6" t="s">
        <v>298</v>
      </c>
      <c r="AB2060" s="6" t="s">
        <v>240</v>
      </c>
      <c r="AE2060" s="6" t="s">
        <v>299</v>
      </c>
      <c r="AF2060" s="5" t="s">
        <v>248</v>
      </c>
      <c r="AG2060" s="5" t="s">
        <v>249</v>
      </c>
      <c r="AW2060" s="5" t="s">
        <v>251</v>
      </c>
      <c r="AX2060" s="5" t="s">
        <v>240</v>
      </c>
      <c r="AY2060" s="5" t="s">
        <v>253</v>
      </c>
      <c r="AZ2060" s="5" t="s">
        <v>240</v>
      </c>
      <c r="BA2060" s="5" t="s">
        <v>255</v>
      </c>
      <c r="BB2060" s="5" t="s">
        <v>240</v>
      </c>
      <c r="BD2060" s="5" t="s">
        <v>240</v>
      </c>
      <c r="BF2060" s="5" t="s">
        <v>301</v>
      </c>
      <c r="BG2060" s="6" t="s">
        <v>299</v>
      </c>
      <c r="BH2060" s="5" t="s">
        <v>302</v>
      </c>
      <c r="BI2060" s="5" t="s">
        <v>303</v>
      </c>
      <c r="BJ2060" s="5" t="s">
        <v>240</v>
      </c>
      <c r="BK2060" s="8">
        <f>0</f>
        <v>0</v>
      </c>
      <c r="BL2060" s="7">
        <f>0</f>
        <v>0</v>
      </c>
      <c r="BM2060" s="5" t="s">
        <v>258</v>
      </c>
      <c r="BN2060" s="5" t="s">
        <v>259</v>
      </c>
      <c r="CB2060" s="5" t="s">
        <v>240</v>
      </c>
      <c r="CC2060" s="5" t="s">
        <v>240</v>
      </c>
      <c r="CG2060" s="5" t="s">
        <v>304</v>
      </c>
      <c r="CH2060" s="5" t="s">
        <v>305</v>
      </c>
      <c r="CI2060" s="5" t="s">
        <v>240</v>
      </c>
      <c r="CL2060" s="6" t="s">
        <v>261</v>
      </c>
      <c r="CM2060" s="5" t="s">
        <v>240</v>
      </c>
      <c r="CN2060" s="5" t="s">
        <v>263</v>
      </c>
      <c r="CO2060" s="5" t="s">
        <v>240</v>
      </c>
      <c r="CP2060" s="5" t="s">
        <v>240</v>
      </c>
      <c r="CQ2060" s="5">
        <v>0</v>
      </c>
      <c r="CR2060" s="5" t="s">
        <v>306</v>
      </c>
      <c r="CS2060" s="5" t="s">
        <v>307</v>
      </c>
      <c r="CT2060" s="5" t="s">
        <v>307</v>
      </c>
      <c r="CU2060" s="5" t="s">
        <v>260</v>
      </c>
      <c r="CX2060" s="7">
        <f>1</f>
        <v>1</v>
      </c>
      <c r="CY2060" s="7">
        <f>0</f>
        <v>0</v>
      </c>
      <c r="DA2060" s="7">
        <f>0</f>
        <v>0</v>
      </c>
      <c r="DC2060" s="5" t="s">
        <v>812</v>
      </c>
      <c r="DD2060" s="5" t="s">
        <v>240</v>
      </c>
      <c r="DF2060" s="5" t="s">
        <v>812</v>
      </c>
      <c r="DG2060" s="7">
        <f>774</f>
        <v>774</v>
      </c>
      <c r="DI2060" s="5" t="s">
        <v>240</v>
      </c>
      <c r="DJ2060" s="5" t="s">
        <v>240</v>
      </c>
      <c r="DK2060" s="5" t="s">
        <v>240</v>
      </c>
      <c r="DL2060" s="5" t="s">
        <v>240</v>
      </c>
      <c r="DP2060" s="5" t="s">
        <v>240</v>
      </c>
      <c r="DQ2060" s="5" t="s">
        <v>240</v>
      </c>
      <c r="DR2060" s="5" t="s">
        <v>240</v>
      </c>
      <c r="DS2060" s="5" t="s">
        <v>240</v>
      </c>
      <c r="DV2060" s="5" t="s">
        <v>813</v>
      </c>
      <c r="DW2060" s="5" t="s">
        <v>370</v>
      </c>
      <c r="HO2060" s="5" t="s">
        <v>312</v>
      </c>
    </row>
    <row r="2061" spans="1:223" x14ac:dyDescent="0.4">
      <c r="A2061" s="5">
        <v>3765</v>
      </c>
      <c r="B2061" s="5">
        <v>1</v>
      </c>
      <c r="C2061" s="5">
        <v>1</v>
      </c>
      <c r="D2061" s="5" t="s">
        <v>810</v>
      </c>
      <c r="E2061" s="5" t="s">
        <v>245</v>
      </c>
      <c r="F2061" s="5" t="s">
        <v>254</v>
      </c>
      <c r="G2061" s="5" t="s">
        <v>240</v>
      </c>
      <c r="H2061" s="6" t="s">
        <v>4223</v>
      </c>
      <c r="I2061" s="5" t="s">
        <v>809</v>
      </c>
      <c r="J2061" s="8">
        <f>540</f>
        <v>540</v>
      </c>
      <c r="K2061" s="5" t="s">
        <v>308</v>
      </c>
      <c r="L2061" s="7">
        <f>1</f>
        <v>1</v>
      </c>
      <c r="M2061" s="7">
        <f>1</f>
        <v>1</v>
      </c>
      <c r="N2061" s="5" t="s">
        <v>242</v>
      </c>
      <c r="O2061" s="5">
        <v>1</v>
      </c>
      <c r="P2061" s="5" t="s">
        <v>294</v>
      </c>
      <c r="Q2061" s="5" t="s">
        <v>266</v>
      </c>
      <c r="R2061" s="5" t="s">
        <v>240</v>
      </c>
      <c r="S2061" s="5" t="s">
        <v>240</v>
      </c>
      <c r="T2061" s="5" t="s">
        <v>296</v>
      </c>
      <c r="U2061" s="5" t="s">
        <v>244</v>
      </c>
      <c r="V2061" s="5" t="s">
        <v>240</v>
      </c>
      <c r="Y2061" s="5" t="s">
        <v>240</v>
      </c>
      <c r="Z2061" s="6" t="s">
        <v>298</v>
      </c>
      <c r="AB2061" s="6" t="s">
        <v>240</v>
      </c>
      <c r="AE2061" s="6" t="s">
        <v>299</v>
      </c>
      <c r="AF2061" s="5" t="s">
        <v>248</v>
      </c>
      <c r="AG2061" s="5" t="s">
        <v>249</v>
      </c>
      <c r="AW2061" s="5" t="s">
        <v>251</v>
      </c>
      <c r="AX2061" s="5" t="s">
        <v>240</v>
      </c>
      <c r="AY2061" s="5" t="s">
        <v>253</v>
      </c>
      <c r="AZ2061" s="5" t="s">
        <v>240</v>
      </c>
      <c r="BA2061" s="5" t="s">
        <v>255</v>
      </c>
      <c r="BB2061" s="5" t="s">
        <v>240</v>
      </c>
      <c r="BD2061" s="5" t="s">
        <v>240</v>
      </c>
      <c r="BF2061" s="5" t="s">
        <v>301</v>
      </c>
      <c r="BG2061" s="6" t="s">
        <v>299</v>
      </c>
      <c r="BH2061" s="5" t="s">
        <v>302</v>
      </c>
      <c r="BI2061" s="5" t="s">
        <v>303</v>
      </c>
      <c r="BJ2061" s="5" t="s">
        <v>240</v>
      </c>
      <c r="BK2061" s="8">
        <f>0</f>
        <v>0</v>
      </c>
      <c r="BL2061" s="7">
        <f>0</f>
        <v>0</v>
      </c>
      <c r="BM2061" s="5" t="s">
        <v>258</v>
      </c>
      <c r="BN2061" s="5" t="s">
        <v>259</v>
      </c>
      <c r="CB2061" s="5" t="s">
        <v>240</v>
      </c>
      <c r="CC2061" s="5" t="s">
        <v>240</v>
      </c>
      <c r="CG2061" s="5" t="s">
        <v>304</v>
      </c>
      <c r="CH2061" s="5" t="s">
        <v>305</v>
      </c>
      <c r="CI2061" s="5" t="s">
        <v>240</v>
      </c>
      <c r="CL2061" s="6" t="s">
        <v>261</v>
      </c>
      <c r="CM2061" s="5" t="s">
        <v>240</v>
      </c>
      <c r="CN2061" s="5" t="s">
        <v>263</v>
      </c>
      <c r="CO2061" s="5" t="s">
        <v>240</v>
      </c>
      <c r="CP2061" s="5" t="s">
        <v>240</v>
      </c>
      <c r="CQ2061" s="5">
        <v>0</v>
      </c>
      <c r="CR2061" s="5" t="s">
        <v>306</v>
      </c>
      <c r="CS2061" s="5" t="s">
        <v>307</v>
      </c>
      <c r="CT2061" s="5" t="s">
        <v>307</v>
      </c>
      <c r="CU2061" s="5" t="s">
        <v>260</v>
      </c>
      <c r="CX2061" s="7">
        <f>1</f>
        <v>1</v>
      </c>
      <c r="CY2061" s="7">
        <f>0</f>
        <v>0</v>
      </c>
      <c r="DA2061" s="7">
        <f>0</f>
        <v>0</v>
      </c>
      <c r="DC2061" s="5" t="s">
        <v>812</v>
      </c>
      <c r="DD2061" s="5" t="s">
        <v>240</v>
      </c>
      <c r="DF2061" s="5" t="s">
        <v>812</v>
      </c>
      <c r="DG2061" s="7">
        <f>304</f>
        <v>304</v>
      </c>
      <c r="DI2061" s="5" t="s">
        <v>240</v>
      </c>
      <c r="DJ2061" s="5" t="s">
        <v>240</v>
      </c>
      <c r="DK2061" s="5" t="s">
        <v>240</v>
      </c>
      <c r="DL2061" s="5" t="s">
        <v>240</v>
      </c>
      <c r="DP2061" s="5" t="s">
        <v>240</v>
      </c>
      <c r="DQ2061" s="5" t="s">
        <v>240</v>
      </c>
      <c r="DR2061" s="5" t="s">
        <v>240</v>
      </c>
      <c r="DS2061" s="5" t="s">
        <v>240</v>
      </c>
      <c r="DV2061" s="5" t="s">
        <v>813</v>
      </c>
      <c r="DW2061" s="5" t="s">
        <v>372</v>
      </c>
      <c r="HO2061" s="5" t="s">
        <v>312</v>
      </c>
    </row>
    <row r="2062" spans="1:223" x14ac:dyDescent="0.4">
      <c r="A2062" s="5">
        <v>3766</v>
      </c>
      <c r="B2062" s="5">
        <v>1</v>
      </c>
      <c r="C2062" s="5">
        <v>1</v>
      </c>
      <c r="D2062" s="5" t="s">
        <v>810</v>
      </c>
      <c r="E2062" s="5" t="s">
        <v>245</v>
      </c>
      <c r="F2062" s="5" t="s">
        <v>254</v>
      </c>
      <c r="G2062" s="5" t="s">
        <v>240</v>
      </c>
      <c r="H2062" s="6" t="s">
        <v>4222</v>
      </c>
      <c r="I2062" s="5" t="s">
        <v>809</v>
      </c>
      <c r="J2062" s="8">
        <f>1410</f>
        <v>1410</v>
      </c>
      <c r="K2062" s="5" t="s">
        <v>308</v>
      </c>
      <c r="L2062" s="7">
        <f>1</f>
        <v>1</v>
      </c>
      <c r="M2062" s="7">
        <f>1</f>
        <v>1</v>
      </c>
      <c r="N2062" s="5" t="s">
        <v>242</v>
      </c>
      <c r="O2062" s="5">
        <v>1</v>
      </c>
      <c r="P2062" s="5" t="s">
        <v>294</v>
      </c>
      <c r="Q2062" s="5" t="s">
        <v>266</v>
      </c>
      <c r="R2062" s="5" t="s">
        <v>240</v>
      </c>
      <c r="S2062" s="5" t="s">
        <v>240</v>
      </c>
      <c r="T2062" s="5" t="s">
        <v>296</v>
      </c>
      <c r="U2062" s="5" t="s">
        <v>244</v>
      </c>
      <c r="V2062" s="5" t="s">
        <v>240</v>
      </c>
      <c r="Y2062" s="5" t="s">
        <v>240</v>
      </c>
      <c r="Z2062" s="6" t="s">
        <v>298</v>
      </c>
      <c r="AB2062" s="6" t="s">
        <v>240</v>
      </c>
      <c r="AE2062" s="6" t="s">
        <v>299</v>
      </c>
      <c r="AF2062" s="5" t="s">
        <v>248</v>
      </c>
      <c r="AG2062" s="5" t="s">
        <v>249</v>
      </c>
      <c r="AW2062" s="5" t="s">
        <v>251</v>
      </c>
      <c r="AX2062" s="5" t="s">
        <v>240</v>
      </c>
      <c r="AY2062" s="5" t="s">
        <v>253</v>
      </c>
      <c r="AZ2062" s="5" t="s">
        <v>240</v>
      </c>
      <c r="BA2062" s="5" t="s">
        <v>255</v>
      </c>
      <c r="BB2062" s="5" t="s">
        <v>240</v>
      </c>
      <c r="BD2062" s="5" t="s">
        <v>240</v>
      </c>
      <c r="BF2062" s="5" t="s">
        <v>301</v>
      </c>
      <c r="BG2062" s="6" t="s">
        <v>299</v>
      </c>
      <c r="BH2062" s="5" t="s">
        <v>302</v>
      </c>
      <c r="BI2062" s="5" t="s">
        <v>303</v>
      </c>
      <c r="BJ2062" s="5" t="s">
        <v>240</v>
      </c>
      <c r="BK2062" s="8">
        <f>0</f>
        <v>0</v>
      </c>
      <c r="BL2062" s="7">
        <f>0</f>
        <v>0</v>
      </c>
      <c r="BM2062" s="5" t="s">
        <v>258</v>
      </c>
      <c r="BN2062" s="5" t="s">
        <v>259</v>
      </c>
      <c r="CB2062" s="5" t="s">
        <v>240</v>
      </c>
      <c r="CC2062" s="5" t="s">
        <v>240</v>
      </c>
      <c r="CG2062" s="5" t="s">
        <v>304</v>
      </c>
      <c r="CH2062" s="5" t="s">
        <v>305</v>
      </c>
      <c r="CI2062" s="5" t="s">
        <v>240</v>
      </c>
      <c r="CL2062" s="6" t="s">
        <v>261</v>
      </c>
      <c r="CM2062" s="5" t="s">
        <v>240</v>
      </c>
      <c r="CN2062" s="5" t="s">
        <v>263</v>
      </c>
      <c r="CO2062" s="5" t="s">
        <v>240</v>
      </c>
      <c r="CP2062" s="5" t="s">
        <v>240</v>
      </c>
      <c r="CQ2062" s="5">
        <v>0</v>
      </c>
      <c r="CR2062" s="5" t="s">
        <v>306</v>
      </c>
      <c r="CS2062" s="5" t="s">
        <v>307</v>
      </c>
      <c r="CT2062" s="5" t="s">
        <v>307</v>
      </c>
      <c r="CU2062" s="5" t="s">
        <v>260</v>
      </c>
      <c r="CX2062" s="7">
        <f>1</f>
        <v>1</v>
      </c>
      <c r="CY2062" s="7">
        <f>0</f>
        <v>0</v>
      </c>
      <c r="DA2062" s="7">
        <f>0</f>
        <v>0</v>
      </c>
      <c r="DC2062" s="5" t="s">
        <v>309</v>
      </c>
      <c r="DD2062" s="5" t="s">
        <v>240</v>
      </c>
      <c r="DF2062" s="5" t="s">
        <v>309</v>
      </c>
      <c r="DG2062" s="7">
        <f>392</f>
        <v>392</v>
      </c>
      <c r="DI2062" s="5" t="s">
        <v>240</v>
      </c>
      <c r="DJ2062" s="5" t="s">
        <v>240</v>
      </c>
      <c r="DK2062" s="5" t="s">
        <v>240</v>
      </c>
      <c r="DL2062" s="5" t="s">
        <v>240</v>
      </c>
      <c r="DP2062" s="5" t="s">
        <v>240</v>
      </c>
      <c r="DQ2062" s="5" t="s">
        <v>240</v>
      </c>
      <c r="DR2062" s="5" t="s">
        <v>240</v>
      </c>
      <c r="DS2062" s="5" t="s">
        <v>240</v>
      </c>
      <c r="DV2062" s="5" t="s">
        <v>310</v>
      </c>
      <c r="DW2062" s="5" t="s">
        <v>2091</v>
      </c>
      <c r="HO2062" s="5" t="s">
        <v>312</v>
      </c>
    </row>
    <row r="2063" spans="1:223" x14ac:dyDescent="0.4">
      <c r="A2063" s="5">
        <v>3767</v>
      </c>
      <c r="B2063" s="5">
        <v>1</v>
      </c>
      <c r="C2063" s="5">
        <v>1</v>
      </c>
      <c r="D2063" s="5" t="s">
        <v>810</v>
      </c>
      <c r="E2063" s="5" t="s">
        <v>245</v>
      </c>
      <c r="F2063" s="5" t="s">
        <v>254</v>
      </c>
      <c r="G2063" s="5" t="s">
        <v>240</v>
      </c>
      <c r="H2063" s="6" t="s">
        <v>4221</v>
      </c>
      <c r="I2063" s="5" t="s">
        <v>809</v>
      </c>
      <c r="J2063" s="8">
        <f>1238</f>
        <v>1238</v>
      </c>
      <c r="K2063" s="5" t="s">
        <v>308</v>
      </c>
      <c r="L2063" s="7">
        <f>1</f>
        <v>1</v>
      </c>
      <c r="M2063" s="7">
        <f>1</f>
        <v>1</v>
      </c>
      <c r="N2063" s="5" t="s">
        <v>242</v>
      </c>
      <c r="O2063" s="5">
        <v>1</v>
      </c>
      <c r="P2063" s="5" t="s">
        <v>294</v>
      </c>
      <c r="Q2063" s="5" t="s">
        <v>266</v>
      </c>
      <c r="R2063" s="5" t="s">
        <v>240</v>
      </c>
      <c r="S2063" s="5" t="s">
        <v>240</v>
      </c>
      <c r="T2063" s="5" t="s">
        <v>296</v>
      </c>
      <c r="U2063" s="5" t="s">
        <v>244</v>
      </c>
      <c r="V2063" s="5" t="s">
        <v>240</v>
      </c>
      <c r="Y2063" s="5" t="s">
        <v>240</v>
      </c>
      <c r="Z2063" s="6" t="s">
        <v>298</v>
      </c>
      <c r="AB2063" s="6" t="s">
        <v>240</v>
      </c>
      <c r="AE2063" s="6" t="s">
        <v>299</v>
      </c>
      <c r="AF2063" s="5" t="s">
        <v>248</v>
      </c>
      <c r="AG2063" s="5" t="s">
        <v>249</v>
      </c>
      <c r="AW2063" s="5" t="s">
        <v>251</v>
      </c>
      <c r="AX2063" s="5" t="s">
        <v>240</v>
      </c>
      <c r="AY2063" s="5" t="s">
        <v>253</v>
      </c>
      <c r="AZ2063" s="5" t="s">
        <v>240</v>
      </c>
      <c r="BA2063" s="5" t="s">
        <v>255</v>
      </c>
      <c r="BB2063" s="5" t="s">
        <v>240</v>
      </c>
      <c r="BD2063" s="5" t="s">
        <v>240</v>
      </c>
      <c r="BF2063" s="5" t="s">
        <v>301</v>
      </c>
      <c r="BG2063" s="6" t="s">
        <v>299</v>
      </c>
      <c r="BH2063" s="5" t="s">
        <v>302</v>
      </c>
      <c r="BI2063" s="5" t="s">
        <v>303</v>
      </c>
      <c r="BJ2063" s="5" t="s">
        <v>240</v>
      </c>
      <c r="BK2063" s="8">
        <f>0</f>
        <v>0</v>
      </c>
      <c r="BL2063" s="7">
        <f>0</f>
        <v>0</v>
      </c>
      <c r="BM2063" s="5" t="s">
        <v>258</v>
      </c>
      <c r="BN2063" s="5" t="s">
        <v>259</v>
      </c>
      <c r="CB2063" s="5" t="s">
        <v>240</v>
      </c>
      <c r="CC2063" s="5" t="s">
        <v>240</v>
      </c>
      <c r="CG2063" s="5" t="s">
        <v>304</v>
      </c>
      <c r="CH2063" s="5" t="s">
        <v>305</v>
      </c>
      <c r="CI2063" s="5" t="s">
        <v>240</v>
      </c>
      <c r="CL2063" s="6" t="s">
        <v>261</v>
      </c>
      <c r="CM2063" s="5" t="s">
        <v>240</v>
      </c>
      <c r="CN2063" s="5" t="s">
        <v>263</v>
      </c>
      <c r="CO2063" s="5" t="s">
        <v>240</v>
      </c>
      <c r="CP2063" s="5" t="s">
        <v>240</v>
      </c>
      <c r="CQ2063" s="5">
        <v>0</v>
      </c>
      <c r="CR2063" s="5" t="s">
        <v>306</v>
      </c>
      <c r="CS2063" s="5" t="s">
        <v>307</v>
      </c>
      <c r="CT2063" s="5" t="s">
        <v>307</v>
      </c>
      <c r="CU2063" s="5" t="s">
        <v>260</v>
      </c>
      <c r="CX2063" s="7">
        <f>1</f>
        <v>1</v>
      </c>
      <c r="CY2063" s="7">
        <f>0</f>
        <v>0</v>
      </c>
      <c r="DA2063" s="7">
        <f>0</f>
        <v>0</v>
      </c>
      <c r="DC2063" s="5" t="s">
        <v>812</v>
      </c>
      <c r="DD2063" s="5" t="s">
        <v>240</v>
      </c>
      <c r="DF2063" s="5" t="s">
        <v>812</v>
      </c>
      <c r="DG2063" s="7">
        <f>434</f>
        <v>434</v>
      </c>
      <c r="DI2063" s="5" t="s">
        <v>240</v>
      </c>
      <c r="DJ2063" s="5" t="s">
        <v>240</v>
      </c>
      <c r="DK2063" s="5" t="s">
        <v>240</v>
      </c>
      <c r="DL2063" s="5" t="s">
        <v>240</v>
      </c>
      <c r="DP2063" s="5" t="s">
        <v>240</v>
      </c>
      <c r="DQ2063" s="5" t="s">
        <v>240</v>
      </c>
      <c r="DR2063" s="5" t="s">
        <v>240</v>
      </c>
      <c r="DS2063" s="5" t="s">
        <v>240</v>
      </c>
      <c r="DV2063" s="5" t="s">
        <v>813</v>
      </c>
      <c r="DW2063" s="5" t="s">
        <v>376</v>
      </c>
      <c r="HO2063" s="5" t="s">
        <v>312</v>
      </c>
    </row>
    <row r="2064" spans="1:223" x14ac:dyDescent="0.4">
      <c r="A2064" s="5">
        <v>3768</v>
      </c>
      <c r="B2064" s="5">
        <v>1</v>
      </c>
      <c r="C2064" s="5">
        <v>1</v>
      </c>
      <c r="D2064" s="5" t="s">
        <v>810</v>
      </c>
      <c r="E2064" s="5" t="s">
        <v>245</v>
      </c>
      <c r="F2064" s="5" t="s">
        <v>254</v>
      </c>
      <c r="G2064" s="5" t="s">
        <v>240</v>
      </c>
      <c r="H2064" s="6" t="s">
        <v>4220</v>
      </c>
      <c r="I2064" s="5" t="s">
        <v>809</v>
      </c>
      <c r="J2064" s="8">
        <f>1018</f>
        <v>1018</v>
      </c>
      <c r="K2064" s="5" t="s">
        <v>308</v>
      </c>
      <c r="L2064" s="7">
        <f>1</f>
        <v>1</v>
      </c>
      <c r="M2064" s="7">
        <f>1</f>
        <v>1</v>
      </c>
      <c r="N2064" s="5" t="s">
        <v>242</v>
      </c>
      <c r="O2064" s="5">
        <v>1</v>
      </c>
      <c r="P2064" s="5" t="s">
        <v>294</v>
      </c>
      <c r="Q2064" s="5" t="s">
        <v>266</v>
      </c>
      <c r="R2064" s="5" t="s">
        <v>240</v>
      </c>
      <c r="S2064" s="5" t="s">
        <v>240</v>
      </c>
      <c r="T2064" s="5" t="s">
        <v>296</v>
      </c>
      <c r="U2064" s="5" t="s">
        <v>244</v>
      </c>
      <c r="V2064" s="5" t="s">
        <v>240</v>
      </c>
      <c r="Y2064" s="5" t="s">
        <v>240</v>
      </c>
      <c r="Z2064" s="6" t="s">
        <v>298</v>
      </c>
      <c r="AB2064" s="6" t="s">
        <v>240</v>
      </c>
      <c r="AE2064" s="6" t="s">
        <v>299</v>
      </c>
      <c r="AF2064" s="5" t="s">
        <v>248</v>
      </c>
      <c r="AG2064" s="5" t="s">
        <v>249</v>
      </c>
      <c r="AW2064" s="5" t="s">
        <v>251</v>
      </c>
      <c r="AX2064" s="5" t="s">
        <v>240</v>
      </c>
      <c r="AY2064" s="5" t="s">
        <v>253</v>
      </c>
      <c r="AZ2064" s="5" t="s">
        <v>240</v>
      </c>
      <c r="BA2064" s="5" t="s">
        <v>255</v>
      </c>
      <c r="BB2064" s="5" t="s">
        <v>240</v>
      </c>
      <c r="BD2064" s="5" t="s">
        <v>240</v>
      </c>
      <c r="BF2064" s="5" t="s">
        <v>301</v>
      </c>
      <c r="BG2064" s="6" t="s">
        <v>299</v>
      </c>
      <c r="BH2064" s="5" t="s">
        <v>302</v>
      </c>
      <c r="BI2064" s="5" t="s">
        <v>303</v>
      </c>
      <c r="BJ2064" s="5" t="s">
        <v>240</v>
      </c>
      <c r="BK2064" s="8">
        <f>0</f>
        <v>0</v>
      </c>
      <c r="BL2064" s="7">
        <f>0</f>
        <v>0</v>
      </c>
      <c r="BM2064" s="5" t="s">
        <v>258</v>
      </c>
      <c r="BN2064" s="5" t="s">
        <v>259</v>
      </c>
      <c r="CB2064" s="5" t="s">
        <v>240</v>
      </c>
      <c r="CC2064" s="5" t="s">
        <v>240</v>
      </c>
      <c r="CG2064" s="5" t="s">
        <v>304</v>
      </c>
      <c r="CH2064" s="5" t="s">
        <v>305</v>
      </c>
      <c r="CI2064" s="5" t="s">
        <v>240</v>
      </c>
      <c r="CL2064" s="6" t="s">
        <v>261</v>
      </c>
      <c r="CM2064" s="5" t="s">
        <v>240</v>
      </c>
      <c r="CN2064" s="5" t="s">
        <v>263</v>
      </c>
      <c r="CO2064" s="5" t="s">
        <v>240</v>
      </c>
      <c r="CP2064" s="5" t="s">
        <v>240</v>
      </c>
      <c r="CQ2064" s="5">
        <v>0</v>
      </c>
      <c r="CR2064" s="5" t="s">
        <v>306</v>
      </c>
      <c r="CS2064" s="5" t="s">
        <v>307</v>
      </c>
      <c r="CT2064" s="5" t="s">
        <v>307</v>
      </c>
      <c r="CU2064" s="5" t="s">
        <v>260</v>
      </c>
      <c r="CX2064" s="7">
        <f>1</f>
        <v>1</v>
      </c>
      <c r="CY2064" s="7">
        <f>0</f>
        <v>0</v>
      </c>
      <c r="DA2064" s="7">
        <f>0</f>
        <v>0</v>
      </c>
      <c r="DC2064" s="5" t="s">
        <v>812</v>
      </c>
      <c r="DD2064" s="5" t="s">
        <v>240</v>
      </c>
      <c r="DF2064" s="5" t="s">
        <v>812</v>
      </c>
      <c r="DG2064" s="7">
        <f>424</f>
        <v>424</v>
      </c>
      <c r="DI2064" s="5" t="s">
        <v>240</v>
      </c>
      <c r="DJ2064" s="5" t="s">
        <v>240</v>
      </c>
      <c r="DK2064" s="5" t="s">
        <v>240</v>
      </c>
      <c r="DL2064" s="5" t="s">
        <v>240</v>
      </c>
      <c r="DP2064" s="5" t="s">
        <v>240</v>
      </c>
      <c r="DQ2064" s="5" t="s">
        <v>240</v>
      </c>
      <c r="DR2064" s="5" t="s">
        <v>240</v>
      </c>
      <c r="DS2064" s="5" t="s">
        <v>240</v>
      </c>
      <c r="DV2064" s="5" t="s">
        <v>813</v>
      </c>
      <c r="DW2064" s="5" t="s">
        <v>378</v>
      </c>
      <c r="HO2064" s="5" t="s">
        <v>312</v>
      </c>
    </row>
    <row r="2065" spans="1:223" x14ac:dyDescent="0.4">
      <c r="A2065" s="5">
        <v>3769</v>
      </c>
      <c r="B2065" s="5">
        <v>1</v>
      </c>
      <c r="C2065" s="5">
        <v>1</v>
      </c>
      <c r="D2065" s="5" t="s">
        <v>810</v>
      </c>
      <c r="E2065" s="5" t="s">
        <v>245</v>
      </c>
      <c r="F2065" s="5" t="s">
        <v>254</v>
      </c>
      <c r="G2065" s="5" t="s">
        <v>240</v>
      </c>
      <c r="H2065" s="6" t="s">
        <v>5356</v>
      </c>
      <c r="I2065" s="5" t="s">
        <v>809</v>
      </c>
      <c r="J2065" s="8">
        <f>3680</f>
        <v>3680</v>
      </c>
      <c r="K2065" s="5" t="s">
        <v>308</v>
      </c>
      <c r="L2065" s="7">
        <f>1</f>
        <v>1</v>
      </c>
      <c r="M2065" s="7">
        <f>1</f>
        <v>1</v>
      </c>
      <c r="N2065" s="5" t="s">
        <v>242</v>
      </c>
      <c r="O2065" s="5">
        <v>1</v>
      </c>
      <c r="P2065" s="5" t="s">
        <v>294</v>
      </c>
      <c r="Q2065" s="5" t="s">
        <v>266</v>
      </c>
      <c r="R2065" s="5" t="s">
        <v>240</v>
      </c>
      <c r="S2065" s="5" t="s">
        <v>240</v>
      </c>
      <c r="T2065" s="5" t="s">
        <v>296</v>
      </c>
      <c r="U2065" s="5" t="s">
        <v>244</v>
      </c>
      <c r="V2065" s="5" t="s">
        <v>240</v>
      </c>
      <c r="Y2065" s="5" t="s">
        <v>240</v>
      </c>
      <c r="Z2065" s="6" t="s">
        <v>298</v>
      </c>
      <c r="AB2065" s="6" t="s">
        <v>240</v>
      </c>
      <c r="AE2065" s="6" t="s">
        <v>299</v>
      </c>
      <c r="AF2065" s="5" t="s">
        <v>248</v>
      </c>
      <c r="AG2065" s="5" t="s">
        <v>249</v>
      </c>
      <c r="AW2065" s="5" t="s">
        <v>251</v>
      </c>
      <c r="AX2065" s="5" t="s">
        <v>240</v>
      </c>
      <c r="AY2065" s="5" t="s">
        <v>253</v>
      </c>
      <c r="AZ2065" s="5" t="s">
        <v>240</v>
      </c>
      <c r="BA2065" s="5" t="s">
        <v>255</v>
      </c>
      <c r="BB2065" s="5" t="s">
        <v>240</v>
      </c>
      <c r="BD2065" s="5" t="s">
        <v>240</v>
      </c>
      <c r="BF2065" s="5" t="s">
        <v>301</v>
      </c>
      <c r="BG2065" s="6" t="s">
        <v>299</v>
      </c>
      <c r="BH2065" s="5" t="s">
        <v>302</v>
      </c>
      <c r="BI2065" s="5" t="s">
        <v>303</v>
      </c>
      <c r="BJ2065" s="5" t="s">
        <v>240</v>
      </c>
      <c r="BK2065" s="8">
        <f>0</f>
        <v>0</v>
      </c>
      <c r="BL2065" s="7">
        <f>0</f>
        <v>0</v>
      </c>
      <c r="BM2065" s="5" t="s">
        <v>258</v>
      </c>
      <c r="BN2065" s="5" t="s">
        <v>259</v>
      </c>
      <c r="CB2065" s="5" t="s">
        <v>240</v>
      </c>
      <c r="CC2065" s="5" t="s">
        <v>240</v>
      </c>
      <c r="CG2065" s="5" t="s">
        <v>304</v>
      </c>
      <c r="CH2065" s="5" t="s">
        <v>305</v>
      </c>
      <c r="CI2065" s="5" t="s">
        <v>240</v>
      </c>
      <c r="CL2065" s="6" t="s">
        <v>261</v>
      </c>
      <c r="CM2065" s="5" t="s">
        <v>240</v>
      </c>
      <c r="CN2065" s="5" t="s">
        <v>263</v>
      </c>
      <c r="CO2065" s="5" t="s">
        <v>240</v>
      </c>
      <c r="CP2065" s="5" t="s">
        <v>240</v>
      </c>
      <c r="CQ2065" s="5">
        <v>0</v>
      </c>
      <c r="CR2065" s="5" t="s">
        <v>306</v>
      </c>
      <c r="CS2065" s="5" t="s">
        <v>307</v>
      </c>
      <c r="CT2065" s="5" t="s">
        <v>307</v>
      </c>
      <c r="CU2065" s="5" t="s">
        <v>260</v>
      </c>
      <c r="CX2065" s="7">
        <f>1</f>
        <v>1</v>
      </c>
      <c r="CY2065" s="7">
        <f>0</f>
        <v>0</v>
      </c>
      <c r="DA2065" s="7">
        <f>0</f>
        <v>0</v>
      </c>
      <c r="DC2065" s="5" t="s">
        <v>812</v>
      </c>
      <c r="DD2065" s="5" t="s">
        <v>240</v>
      </c>
      <c r="DF2065" s="5" t="s">
        <v>812</v>
      </c>
      <c r="DG2065" s="7">
        <f>123</f>
        <v>123</v>
      </c>
      <c r="DI2065" s="5" t="s">
        <v>240</v>
      </c>
      <c r="DJ2065" s="5" t="s">
        <v>240</v>
      </c>
      <c r="DK2065" s="5" t="s">
        <v>240</v>
      </c>
      <c r="DL2065" s="5" t="s">
        <v>240</v>
      </c>
      <c r="DP2065" s="5" t="s">
        <v>240</v>
      </c>
      <c r="DQ2065" s="5" t="s">
        <v>240</v>
      </c>
      <c r="DR2065" s="5" t="s">
        <v>240</v>
      </c>
      <c r="DS2065" s="5" t="s">
        <v>240</v>
      </c>
      <c r="DV2065" s="5" t="s">
        <v>813</v>
      </c>
      <c r="DW2065" s="5" t="s">
        <v>380</v>
      </c>
      <c r="HO2065" s="5" t="s">
        <v>312</v>
      </c>
    </row>
    <row r="2066" spans="1:223" x14ac:dyDescent="0.4">
      <c r="A2066" s="5">
        <v>3770</v>
      </c>
      <c r="B2066" s="5">
        <v>1</v>
      </c>
      <c r="C2066" s="5">
        <v>1</v>
      </c>
      <c r="D2066" s="5" t="s">
        <v>810</v>
      </c>
      <c r="E2066" s="5" t="s">
        <v>245</v>
      </c>
      <c r="F2066" s="5" t="s">
        <v>254</v>
      </c>
      <c r="G2066" s="5" t="s">
        <v>240</v>
      </c>
      <c r="H2066" s="6" t="s">
        <v>4218</v>
      </c>
      <c r="I2066" s="5" t="s">
        <v>809</v>
      </c>
      <c r="J2066" s="8">
        <f>267</f>
        <v>267</v>
      </c>
      <c r="K2066" s="5" t="s">
        <v>308</v>
      </c>
      <c r="L2066" s="7">
        <f>1</f>
        <v>1</v>
      </c>
      <c r="M2066" s="7">
        <f>1</f>
        <v>1</v>
      </c>
      <c r="N2066" s="5" t="s">
        <v>242</v>
      </c>
      <c r="O2066" s="5">
        <v>1</v>
      </c>
      <c r="P2066" s="5" t="s">
        <v>294</v>
      </c>
      <c r="Q2066" s="5" t="s">
        <v>266</v>
      </c>
      <c r="R2066" s="5" t="s">
        <v>240</v>
      </c>
      <c r="S2066" s="5" t="s">
        <v>240</v>
      </c>
      <c r="T2066" s="5" t="s">
        <v>296</v>
      </c>
      <c r="U2066" s="5" t="s">
        <v>244</v>
      </c>
      <c r="V2066" s="5" t="s">
        <v>240</v>
      </c>
      <c r="Y2066" s="5" t="s">
        <v>240</v>
      </c>
      <c r="Z2066" s="6" t="s">
        <v>298</v>
      </c>
      <c r="AB2066" s="6" t="s">
        <v>240</v>
      </c>
      <c r="AE2066" s="6" t="s">
        <v>299</v>
      </c>
      <c r="AF2066" s="5" t="s">
        <v>248</v>
      </c>
      <c r="AG2066" s="5" t="s">
        <v>249</v>
      </c>
      <c r="AW2066" s="5" t="s">
        <v>251</v>
      </c>
      <c r="AX2066" s="5" t="s">
        <v>240</v>
      </c>
      <c r="AY2066" s="5" t="s">
        <v>253</v>
      </c>
      <c r="AZ2066" s="5" t="s">
        <v>240</v>
      </c>
      <c r="BA2066" s="5" t="s">
        <v>255</v>
      </c>
      <c r="BB2066" s="5" t="s">
        <v>240</v>
      </c>
      <c r="BD2066" s="5" t="s">
        <v>240</v>
      </c>
      <c r="BF2066" s="5" t="s">
        <v>301</v>
      </c>
      <c r="BG2066" s="6" t="s">
        <v>299</v>
      </c>
      <c r="BH2066" s="5" t="s">
        <v>302</v>
      </c>
      <c r="BI2066" s="5" t="s">
        <v>303</v>
      </c>
      <c r="BJ2066" s="5" t="s">
        <v>240</v>
      </c>
      <c r="BK2066" s="8">
        <f>0</f>
        <v>0</v>
      </c>
      <c r="BL2066" s="7">
        <f>0</f>
        <v>0</v>
      </c>
      <c r="BM2066" s="5" t="s">
        <v>258</v>
      </c>
      <c r="BN2066" s="5" t="s">
        <v>259</v>
      </c>
      <c r="CB2066" s="5" t="s">
        <v>240</v>
      </c>
      <c r="CC2066" s="5" t="s">
        <v>240</v>
      </c>
      <c r="CG2066" s="5" t="s">
        <v>304</v>
      </c>
      <c r="CH2066" s="5" t="s">
        <v>305</v>
      </c>
      <c r="CI2066" s="5" t="s">
        <v>240</v>
      </c>
      <c r="CL2066" s="6" t="s">
        <v>261</v>
      </c>
      <c r="CM2066" s="5" t="s">
        <v>240</v>
      </c>
      <c r="CN2066" s="5" t="s">
        <v>263</v>
      </c>
      <c r="CO2066" s="5" t="s">
        <v>240</v>
      </c>
      <c r="CP2066" s="5" t="s">
        <v>240</v>
      </c>
      <c r="CQ2066" s="5">
        <v>0</v>
      </c>
      <c r="CR2066" s="5" t="s">
        <v>306</v>
      </c>
      <c r="CS2066" s="5" t="s">
        <v>307</v>
      </c>
      <c r="CT2066" s="5" t="s">
        <v>307</v>
      </c>
      <c r="CU2066" s="5" t="s">
        <v>260</v>
      </c>
      <c r="CX2066" s="7">
        <f>1</f>
        <v>1</v>
      </c>
      <c r="CY2066" s="7">
        <f>0</f>
        <v>0</v>
      </c>
      <c r="DA2066" s="7">
        <f>0</f>
        <v>0</v>
      </c>
      <c r="DC2066" s="5" t="s">
        <v>812</v>
      </c>
      <c r="DD2066" s="5" t="s">
        <v>240</v>
      </c>
      <c r="DF2066" s="5" t="s">
        <v>812</v>
      </c>
      <c r="DG2066" s="7">
        <f>534</f>
        <v>534</v>
      </c>
      <c r="DI2066" s="5" t="s">
        <v>240</v>
      </c>
      <c r="DJ2066" s="5" t="s">
        <v>240</v>
      </c>
      <c r="DK2066" s="5" t="s">
        <v>240</v>
      </c>
      <c r="DL2066" s="5" t="s">
        <v>240</v>
      </c>
      <c r="DP2066" s="5" t="s">
        <v>240</v>
      </c>
      <c r="DQ2066" s="5" t="s">
        <v>240</v>
      </c>
      <c r="DR2066" s="5" t="s">
        <v>240</v>
      </c>
      <c r="DS2066" s="5" t="s">
        <v>240</v>
      </c>
      <c r="DV2066" s="5" t="s">
        <v>813</v>
      </c>
      <c r="DW2066" s="5" t="s">
        <v>382</v>
      </c>
      <c r="HO2066" s="5" t="s">
        <v>312</v>
      </c>
    </row>
    <row r="2067" spans="1:223" x14ac:dyDescent="0.4">
      <c r="A2067" s="5">
        <v>3771</v>
      </c>
      <c r="B2067" s="5">
        <v>1</v>
      </c>
      <c r="C2067" s="5">
        <v>1</v>
      </c>
      <c r="D2067" s="5" t="s">
        <v>810</v>
      </c>
      <c r="E2067" s="5" t="s">
        <v>245</v>
      </c>
      <c r="F2067" s="5" t="s">
        <v>254</v>
      </c>
      <c r="G2067" s="5" t="s">
        <v>240</v>
      </c>
      <c r="H2067" s="6" t="s">
        <v>4217</v>
      </c>
      <c r="I2067" s="5" t="s">
        <v>809</v>
      </c>
      <c r="J2067" s="8">
        <f>436</f>
        <v>436</v>
      </c>
      <c r="K2067" s="5" t="s">
        <v>308</v>
      </c>
      <c r="L2067" s="7">
        <f>1</f>
        <v>1</v>
      </c>
      <c r="M2067" s="7">
        <f>1</f>
        <v>1</v>
      </c>
      <c r="N2067" s="5" t="s">
        <v>242</v>
      </c>
      <c r="O2067" s="5">
        <v>1</v>
      </c>
      <c r="P2067" s="5" t="s">
        <v>294</v>
      </c>
      <c r="Q2067" s="5" t="s">
        <v>266</v>
      </c>
      <c r="R2067" s="5" t="s">
        <v>240</v>
      </c>
      <c r="S2067" s="5" t="s">
        <v>240</v>
      </c>
      <c r="T2067" s="5" t="s">
        <v>296</v>
      </c>
      <c r="U2067" s="5" t="s">
        <v>244</v>
      </c>
      <c r="V2067" s="5" t="s">
        <v>240</v>
      </c>
      <c r="Y2067" s="5" t="s">
        <v>240</v>
      </c>
      <c r="Z2067" s="6" t="s">
        <v>298</v>
      </c>
      <c r="AB2067" s="6" t="s">
        <v>240</v>
      </c>
      <c r="AE2067" s="6" t="s">
        <v>299</v>
      </c>
      <c r="AF2067" s="5" t="s">
        <v>248</v>
      </c>
      <c r="AG2067" s="5" t="s">
        <v>249</v>
      </c>
      <c r="AW2067" s="5" t="s">
        <v>251</v>
      </c>
      <c r="AX2067" s="5" t="s">
        <v>240</v>
      </c>
      <c r="AY2067" s="5" t="s">
        <v>253</v>
      </c>
      <c r="AZ2067" s="5" t="s">
        <v>240</v>
      </c>
      <c r="BA2067" s="5" t="s">
        <v>255</v>
      </c>
      <c r="BB2067" s="5" t="s">
        <v>240</v>
      </c>
      <c r="BD2067" s="5" t="s">
        <v>240</v>
      </c>
      <c r="BF2067" s="5" t="s">
        <v>301</v>
      </c>
      <c r="BG2067" s="6" t="s">
        <v>299</v>
      </c>
      <c r="BH2067" s="5" t="s">
        <v>302</v>
      </c>
      <c r="BI2067" s="5" t="s">
        <v>303</v>
      </c>
      <c r="BJ2067" s="5" t="s">
        <v>240</v>
      </c>
      <c r="BK2067" s="8">
        <f>0</f>
        <v>0</v>
      </c>
      <c r="BL2067" s="7">
        <f>0</f>
        <v>0</v>
      </c>
      <c r="BM2067" s="5" t="s">
        <v>258</v>
      </c>
      <c r="BN2067" s="5" t="s">
        <v>259</v>
      </c>
      <c r="CB2067" s="5" t="s">
        <v>240</v>
      </c>
      <c r="CC2067" s="5" t="s">
        <v>240</v>
      </c>
      <c r="CG2067" s="5" t="s">
        <v>304</v>
      </c>
      <c r="CH2067" s="5" t="s">
        <v>305</v>
      </c>
      <c r="CI2067" s="5" t="s">
        <v>240</v>
      </c>
      <c r="CL2067" s="6" t="s">
        <v>261</v>
      </c>
      <c r="CM2067" s="5" t="s">
        <v>240</v>
      </c>
      <c r="CN2067" s="5" t="s">
        <v>263</v>
      </c>
      <c r="CO2067" s="5" t="s">
        <v>240</v>
      </c>
      <c r="CP2067" s="5" t="s">
        <v>240</v>
      </c>
      <c r="CQ2067" s="5">
        <v>0</v>
      </c>
      <c r="CR2067" s="5" t="s">
        <v>306</v>
      </c>
      <c r="CS2067" s="5" t="s">
        <v>307</v>
      </c>
      <c r="CT2067" s="5" t="s">
        <v>307</v>
      </c>
      <c r="CU2067" s="5" t="s">
        <v>260</v>
      </c>
      <c r="CX2067" s="7">
        <f>1</f>
        <v>1</v>
      </c>
      <c r="CY2067" s="7">
        <f>0</f>
        <v>0</v>
      </c>
      <c r="DA2067" s="7">
        <f>0</f>
        <v>0</v>
      </c>
      <c r="DC2067" s="5" t="s">
        <v>812</v>
      </c>
      <c r="DD2067" s="5" t="s">
        <v>240</v>
      </c>
      <c r="DF2067" s="5" t="s">
        <v>812</v>
      </c>
      <c r="DG2067" s="7">
        <f>155</f>
        <v>155</v>
      </c>
      <c r="DI2067" s="5" t="s">
        <v>240</v>
      </c>
      <c r="DJ2067" s="5" t="s">
        <v>240</v>
      </c>
      <c r="DK2067" s="5" t="s">
        <v>240</v>
      </c>
      <c r="DL2067" s="5" t="s">
        <v>240</v>
      </c>
      <c r="DP2067" s="5" t="s">
        <v>240</v>
      </c>
      <c r="DQ2067" s="5" t="s">
        <v>240</v>
      </c>
      <c r="DR2067" s="5" t="s">
        <v>240</v>
      </c>
      <c r="DS2067" s="5" t="s">
        <v>240</v>
      </c>
      <c r="DV2067" s="5" t="s">
        <v>813</v>
      </c>
      <c r="DW2067" s="5" t="s">
        <v>384</v>
      </c>
      <c r="HO2067" s="5" t="s">
        <v>312</v>
      </c>
    </row>
    <row r="2068" spans="1:223" x14ac:dyDescent="0.4">
      <c r="A2068" s="5">
        <v>3772</v>
      </c>
      <c r="B2068" s="5">
        <v>1</v>
      </c>
      <c r="C2068" s="5">
        <v>1</v>
      </c>
      <c r="D2068" s="5" t="s">
        <v>810</v>
      </c>
      <c r="E2068" s="5" t="s">
        <v>245</v>
      </c>
      <c r="F2068" s="5" t="s">
        <v>254</v>
      </c>
      <c r="G2068" s="5" t="s">
        <v>240</v>
      </c>
      <c r="H2068" s="6" t="s">
        <v>4216</v>
      </c>
      <c r="I2068" s="5" t="s">
        <v>809</v>
      </c>
      <c r="J2068" s="8">
        <f>325</f>
        <v>325</v>
      </c>
      <c r="K2068" s="5" t="s">
        <v>308</v>
      </c>
      <c r="L2068" s="7">
        <f>1</f>
        <v>1</v>
      </c>
      <c r="M2068" s="7">
        <f>1</f>
        <v>1</v>
      </c>
      <c r="N2068" s="5" t="s">
        <v>242</v>
      </c>
      <c r="O2068" s="5">
        <v>1</v>
      </c>
      <c r="P2068" s="5" t="s">
        <v>294</v>
      </c>
      <c r="Q2068" s="5" t="s">
        <v>266</v>
      </c>
      <c r="R2068" s="5" t="s">
        <v>240</v>
      </c>
      <c r="S2068" s="5" t="s">
        <v>240</v>
      </c>
      <c r="T2068" s="5" t="s">
        <v>296</v>
      </c>
      <c r="U2068" s="5" t="s">
        <v>244</v>
      </c>
      <c r="V2068" s="5" t="s">
        <v>240</v>
      </c>
      <c r="Y2068" s="5" t="s">
        <v>240</v>
      </c>
      <c r="Z2068" s="6" t="s">
        <v>298</v>
      </c>
      <c r="AB2068" s="6" t="s">
        <v>240</v>
      </c>
      <c r="AE2068" s="6" t="s">
        <v>299</v>
      </c>
      <c r="AF2068" s="5" t="s">
        <v>248</v>
      </c>
      <c r="AG2068" s="5" t="s">
        <v>249</v>
      </c>
      <c r="AW2068" s="5" t="s">
        <v>251</v>
      </c>
      <c r="AX2068" s="5" t="s">
        <v>240</v>
      </c>
      <c r="AY2068" s="5" t="s">
        <v>253</v>
      </c>
      <c r="AZ2068" s="5" t="s">
        <v>240</v>
      </c>
      <c r="BA2068" s="5" t="s">
        <v>255</v>
      </c>
      <c r="BB2068" s="5" t="s">
        <v>240</v>
      </c>
      <c r="BD2068" s="5" t="s">
        <v>240</v>
      </c>
      <c r="BF2068" s="5" t="s">
        <v>301</v>
      </c>
      <c r="BG2068" s="6" t="s">
        <v>299</v>
      </c>
      <c r="BH2068" s="5" t="s">
        <v>302</v>
      </c>
      <c r="BI2068" s="5" t="s">
        <v>303</v>
      </c>
      <c r="BJ2068" s="5" t="s">
        <v>240</v>
      </c>
      <c r="BK2068" s="8">
        <f>0</f>
        <v>0</v>
      </c>
      <c r="BL2068" s="7">
        <f>0</f>
        <v>0</v>
      </c>
      <c r="BM2068" s="5" t="s">
        <v>258</v>
      </c>
      <c r="BN2068" s="5" t="s">
        <v>259</v>
      </c>
      <c r="CB2068" s="5" t="s">
        <v>240</v>
      </c>
      <c r="CC2068" s="5" t="s">
        <v>240</v>
      </c>
      <c r="CG2068" s="5" t="s">
        <v>304</v>
      </c>
      <c r="CH2068" s="5" t="s">
        <v>305</v>
      </c>
      <c r="CI2068" s="5" t="s">
        <v>240</v>
      </c>
      <c r="CL2068" s="6" t="s">
        <v>261</v>
      </c>
      <c r="CM2068" s="5" t="s">
        <v>240</v>
      </c>
      <c r="CN2068" s="5" t="s">
        <v>263</v>
      </c>
      <c r="CO2068" s="5" t="s">
        <v>240</v>
      </c>
      <c r="CP2068" s="5" t="s">
        <v>240</v>
      </c>
      <c r="CQ2068" s="5">
        <v>0</v>
      </c>
      <c r="CR2068" s="5" t="s">
        <v>306</v>
      </c>
      <c r="CS2068" s="5" t="s">
        <v>307</v>
      </c>
      <c r="CT2068" s="5" t="s">
        <v>307</v>
      </c>
      <c r="CU2068" s="5" t="s">
        <v>260</v>
      </c>
      <c r="CX2068" s="7">
        <f>1</f>
        <v>1</v>
      </c>
      <c r="CY2068" s="7">
        <f>0</f>
        <v>0</v>
      </c>
      <c r="DA2068" s="7">
        <f>0</f>
        <v>0</v>
      </c>
      <c r="DC2068" s="5" t="s">
        <v>812</v>
      </c>
      <c r="DD2068" s="5" t="s">
        <v>240</v>
      </c>
      <c r="DF2068" s="5" t="s">
        <v>812</v>
      </c>
      <c r="DG2068" s="7">
        <f>850</f>
        <v>850</v>
      </c>
      <c r="DI2068" s="5" t="s">
        <v>240</v>
      </c>
      <c r="DJ2068" s="5" t="s">
        <v>240</v>
      </c>
      <c r="DK2068" s="5" t="s">
        <v>240</v>
      </c>
      <c r="DL2068" s="5" t="s">
        <v>240</v>
      </c>
      <c r="DP2068" s="5" t="s">
        <v>240</v>
      </c>
      <c r="DQ2068" s="5" t="s">
        <v>240</v>
      </c>
      <c r="DR2068" s="5" t="s">
        <v>240</v>
      </c>
      <c r="DS2068" s="5" t="s">
        <v>240</v>
      </c>
      <c r="DV2068" s="5" t="s">
        <v>813</v>
      </c>
      <c r="DW2068" s="5" t="s">
        <v>386</v>
      </c>
      <c r="HO2068" s="5" t="s">
        <v>312</v>
      </c>
    </row>
    <row r="2069" spans="1:223" x14ac:dyDescent="0.4">
      <c r="A2069" s="5">
        <v>3773</v>
      </c>
      <c r="B2069" s="5">
        <v>1</v>
      </c>
      <c r="C2069" s="5">
        <v>1</v>
      </c>
      <c r="D2069" s="5" t="s">
        <v>810</v>
      </c>
      <c r="E2069" s="5" t="s">
        <v>245</v>
      </c>
      <c r="F2069" s="5" t="s">
        <v>254</v>
      </c>
      <c r="G2069" s="5" t="s">
        <v>240</v>
      </c>
      <c r="H2069" s="6" t="s">
        <v>4215</v>
      </c>
      <c r="I2069" s="5" t="s">
        <v>809</v>
      </c>
      <c r="J2069" s="8">
        <f>1754</f>
        <v>1754</v>
      </c>
      <c r="K2069" s="5" t="s">
        <v>308</v>
      </c>
      <c r="L2069" s="7">
        <f>1</f>
        <v>1</v>
      </c>
      <c r="M2069" s="7">
        <f>1</f>
        <v>1</v>
      </c>
      <c r="N2069" s="5" t="s">
        <v>242</v>
      </c>
      <c r="O2069" s="5">
        <v>1</v>
      </c>
      <c r="P2069" s="5" t="s">
        <v>294</v>
      </c>
      <c r="Q2069" s="5" t="s">
        <v>266</v>
      </c>
      <c r="R2069" s="5" t="s">
        <v>240</v>
      </c>
      <c r="S2069" s="5" t="s">
        <v>240</v>
      </c>
      <c r="T2069" s="5" t="s">
        <v>296</v>
      </c>
      <c r="U2069" s="5" t="s">
        <v>244</v>
      </c>
      <c r="V2069" s="5" t="s">
        <v>240</v>
      </c>
      <c r="Y2069" s="5" t="s">
        <v>240</v>
      </c>
      <c r="Z2069" s="6" t="s">
        <v>298</v>
      </c>
      <c r="AB2069" s="6" t="s">
        <v>240</v>
      </c>
      <c r="AE2069" s="6" t="s">
        <v>299</v>
      </c>
      <c r="AF2069" s="5" t="s">
        <v>248</v>
      </c>
      <c r="AG2069" s="5" t="s">
        <v>249</v>
      </c>
      <c r="AW2069" s="5" t="s">
        <v>251</v>
      </c>
      <c r="AX2069" s="5" t="s">
        <v>240</v>
      </c>
      <c r="AY2069" s="5" t="s">
        <v>253</v>
      </c>
      <c r="AZ2069" s="5" t="s">
        <v>240</v>
      </c>
      <c r="BA2069" s="5" t="s">
        <v>255</v>
      </c>
      <c r="BB2069" s="5" t="s">
        <v>240</v>
      </c>
      <c r="BD2069" s="5" t="s">
        <v>240</v>
      </c>
      <c r="BF2069" s="5" t="s">
        <v>301</v>
      </c>
      <c r="BG2069" s="6" t="s">
        <v>299</v>
      </c>
      <c r="BH2069" s="5" t="s">
        <v>302</v>
      </c>
      <c r="BI2069" s="5" t="s">
        <v>303</v>
      </c>
      <c r="BJ2069" s="5" t="s">
        <v>240</v>
      </c>
      <c r="BK2069" s="8">
        <f>0</f>
        <v>0</v>
      </c>
      <c r="BL2069" s="7">
        <f>0</f>
        <v>0</v>
      </c>
      <c r="BM2069" s="5" t="s">
        <v>258</v>
      </c>
      <c r="BN2069" s="5" t="s">
        <v>259</v>
      </c>
      <c r="CB2069" s="5" t="s">
        <v>240</v>
      </c>
      <c r="CC2069" s="5" t="s">
        <v>240</v>
      </c>
      <c r="CG2069" s="5" t="s">
        <v>304</v>
      </c>
      <c r="CH2069" s="5" t="s">
        <v>305</v>
      </c>
      <c r="CI2069" s="5" t="s">
        <v>240</v>
      </c>
      <c r="CL2069" s="6" t="s">
        <v>261</v>
      </c>
      <c r="CM2069" s="5" t="s">
        <v>240</v>
      </c>
      <c r="CN2069" s="5" t="s">
        <v>263</v>
      </c>
      <c r="CO2069" s="5" t="s">
        <v>240</v>
      </c>
      <c r="CP2069" s="5" t="s">
        <v>240</v>
      </c>
      <c r="CQ2069" s="5">
        <v>0</v>
      </c>
      <c r="CR2069" s="5" t="s">
        <v>306</v>
      </c>
      <c r="CS2069" s="5" t="s">
        <v>307</v>
      </c>
      <c r="CT2069" s="5" t="s">
        <v>307</v>
      </c>
      <c r="CU2069" s="5" t="s">
        <v>260</v>
      </c>
      <c r="CX2069" s="7">
        <f>1</f>
        <v>1</v>
      </c>
      <c r="CY2069" s="7">
        <f>0</f>
        <v>0</v>
      </c>
      <c r="DA2069" s="7">
        <f>0</f>
        <v>0</v>
      </c>
      <c r="DC2069" s="5" t="s">
        <v>812</v>
      </c>
      <c r="DD2069" s="5" t="s">
        <v>240</v>
      </c>
      <c r="DF2069" s="5" t="s">
        <v>812</v>
      </c>
      <c r="DG2069" s="7">
        <f>188</f>
        <v>188</v>
      </c>
      <c r="DI2069" s="5" t="s">
        <v>240</v>
      </c>
      <c r="DJ2069" s="5" t="s">
        <v>240</v>
      </c>
      <c r="DK2069" s="5" t="s">
        <v>240</v>
      </c>
      <c r="DL2069" s="5" t="s">
        <v>240</v>
      </c>
      <c r="DP2069" s="5" t="s">
        <v>240</v>
      </c>
      <c r="DQ2069" s="5" t="s">
        <v>240</v>
      </c>
      <c r="DR2069" s="5" t="s">
        <v>240</v>
      </c>
      <c r="DS2069" s="5" t="s">
        <v>240</v>
      </c>
      <c r="DV2069" s="5" t="s">
        <v>813</v>
      </c>
      <c r="DW2069" s="5" t="s">
        <v>388</v>
      </c>
      <c r="HO2069" s="5" t="s">
        <v>312</v>
      </c>
    </row>
    <row r="2070" spans="1:223" x14ac:dyDescent="0.4">
      <c r="A2070" s="5">
        <v>3774</v>
      </c>
      <c r="B2070" s="5">
        <v>1</v>
      </c>
      <c r="C2070" s="5">
        <v>1</v>
      </c>
      <c r="D2070" s="5" t="s">
        <v>810</v>
      </c>
      <c r="E2070" s="5" t="s">
        <v>245</v>
      </c>
      <c r="F2070" s="5" t="s">
        <v>254</v>
      </c>
      <c r="G2070" s="5" t="s">
        <v>240</v>
      </c>
      <c r="H2070" s="6" t="s">
        <v>4214</v>
      </c>
      <c r="I2070" s="5" t="s">
        <v>809</v>
      </c>
      <c r="J2070" s="8">
        <f>424</f>
        <v>424</v>
      </c>
      <c r="K2070" s="5" t="s">
        <v>308</v>
      </c>
      <c r="L2070" s="7">
        <f>1</f>
        <v>1</v>
      </c>
      <c r="M2070" s="7">
        <f>1</f>
        <v>1</v>
      </c>
      <c r="N2070" s="5" t="s">
        <v>242</v>
      </c>
      <c r="O2070" s="5">
        <v>1</v>
      </c>
      <c r="P2070" s="5" t="s">
        <v>294</v>
      </c>
      <c r="Q2070" s="5" t="s">
        <v>266</v>
      </c>
      <c r="R2070" s="5" t="s">
        <v>240</v>
      </c>
      <c r="S2070" s="5" t="s">
        <v>240</v>
      </c>
      <c r="T2070" s="5" t="s">
        <v>296</v>
      </c>
      <c r="U2070" s="5" t="s">
        <v>244</v>
      </c>
      <c r="V2070" s="5" t="s">
        <v>240</v>
      </c>
      <c r="Y2070" s="5" t="s">
        <v>240</v>
      </c>
      <c r="Z2070" s="6" t="s">
        <v>298</v>
      </c>
      <c r="AB2070" s="6" t="s">
        <v>240</v>
      </c>
      <c r="AE2070" s="6" t="s">
        <v>299</v>
      </c>
      <c r="AF2070" s="5" t="s">
        <v>248</v>
      </c>
      <c r="AG2070" s="5" t="s">
        <v>249</v>
      </c>
      <c r="AW2070" s="5" t="s">
        <v>251</v>
      </c>
      <c r="AX2070" s="5" t="s">
        <v>240</v>
      </c>
      <c r="AY2070" s="5" t="s">
        <v>253</v>
      </c>
      <c r="AZ2070" s="5" t="s">
        <v>240</v>
      </c>
      <c r="BA2070" s="5" t="s">
        <v>255</v>
      </c>
      <c r="BB2070" s="5" t="s">
        <v>240</v>
      </c>
      <c r="BD2070" s="5" t="s">
        <v>240</v>
      </c>
      <c r="BF2070" s="5" t="s">
        <v>301</v>
      </c>
      <c r="BG2070" s="6" t="s">
        <v>299</v>
      </c>
      <c r="BH2070" s="5" t="s">
        <v>302</v>
      </c>
      <c r="BI2070" s="5" t="s">
        <v>303</v>
      </c>
      <c r="BJ2070" s="5" t="s">
        <v>240</v>
      </c>
      <c r="BK2070" s="8">
        <f>0</f>
        <v>0</v>
      </c>
      <c r="BL2070" s="7">
        <f>0</f>
        <v>0</v>
      </c>
      <c r="BM2070" s="5" t="s">
        <v>258</v>
      </c>
      <c r="BN2070" s="5" t="s">
        <v>259</v>
      </c>
      <c r="CB2070" s="5" t="s">
        <v>240</v>
      </c>
      <c r="CC2070" s="5" t="s">
        <v>240</v>
      </c>
      <c r="CG2070" s="5" t="s">
        <v>304</v>
      </c>
      <c r="CH2070" s="5" t="s">
        <v>305</v>
      </c>
      <c r="CI2070" s="5" t="s">
        <v>240</v>
      </c>
      <c r="CL2070" s="6" t="s">
        <v>261</v>
      </c>
      <c r="CM2070" s="5" t="s">
        <v>240</v>
      </c>
      <c r="CN2070" s="5" t="s">
        <v>263</v>
      </c>
      <c r="CO2070" s="5" t="s">
        <v>240</v>
      </c>
      <c r="CP2070" s="5" t="s">
        <v>240</v>
      </c>
      <c r="CQ2070" s="5">
        <v>0</v>
      </c>
      <c r="CR2070" s="5" t="s">
        <v>306</v>
      </c>
      <c r="CS2070" s="5" t="s">
        <v>307</v>
      </c>
      <c r="CT2070" s="5" t="s">
        <v>307</v>
      </c>
      <c r="CU2070" s="5" t="s">
        <v>260</v>
      </c>
      <c r="CX2070" s="7">
        <f>1</f>
        <v>1</v>
      </c>
      <c r="CY2070" s="7">
        <f>0</f>
        <v>0</v>
      </c>
      <c r="DA2070" s="7">
        <f>0</f>
        <v>0</v>
      </c>
      <c r="DC2070" s="5" t="s">
        <v>309</v>
      </c>
      <c r="DD2070" s="5" t="s">
        <v>240</v>
      </c>
      <c r="DF2070" s="5" t="s">
        <v>309</v>
      </c>
      <c r="DG2070" s="7">
        <f>431</f>
        <v>431</v>
      </c>
      <c r="DI2070" s="5" t="s">
        <v>240</v>
      </c>
      <c r="DJ2070" s="5" t="s">
        <v>240</v>
      </c>
      <c r="DK2070" s="5" t="s">
        <v>240</v>
      </c>
      <c r="DL2070" s="5" t="s">
        <v>240</v>
      </c>
      <c r="DP2070" s="5" t="s">
        <v>240</v>
      </c>
      <c r="DQ2070" s="5" t="s">
        <v>240</v>
      </c>
      <c r="DR2070" s="5" t="s">
        <v>240</v>
      </c>
      <c r="DS2070" s="5" t="s">
        <v>240</v>
      </c>
      <c r="DV2070" s="5" t="s">
        <v>310</v>
      </c>
      <c r="DW2070" s="5" t="s">
        <v>2051</v>
      </c>
      <c r="HO2070" s="5" t="s">
        <v>312</v>
      </c>
    </row>
    <row r="2071" spans="1:223" x14ac:dyDescent="0.4">
      <c r="A2071" s="5">
        <v>3775</v>
      </c>
      <c r="B2071" s="5">
        <v>1</v>
      </c>
      <c r="C2071" s="5">
        <v>1</v>
      </c>
      <c r="D2071" s="5" t="s">
        <v>810</v>
      </c>
      <c r="E2071" s="5" t="s">
        <v>245</v>
      </c>
      <c r="F2071" s="5" t="s">
        <v>254</v>
      </c>
      <c r="G2071" s="5" t="s">
        <v>240</v>
      </c>
      <c r="H2071" s="6" t="s">
        <v>4213</v>
      </c>
      <c r="I2071" s="5" t="s">
        <v>809</v>
      </c>
      <c r="J2071" s="8">
        <f>1826</f>
        <v>1826</v>
      </c>
      <c r="K2071" s="5" t="s">
        <v>308</v>
      </c>
      <c r="L2071" s="7">
        <f>1</f>
        <v>1</v>
      </c>
      <c r="M2071" s="7">
        <f>1</f>
        <v>1</v>
      </c>
      <c r="N2071" s="5" t="s">
        <v>242</v>
      </c>
      <c r="O2071" s="5">
        <v>1</v>
      </c>
      <c r="P2071" s="5" t="s">
        <v>294</v>
      </c>
      <c r="Q2071" s="5" t="s">
        <v>266</v>
      </c>
      <c r="R2071" s="5" t="s">
        <v>240</v>
      </c>
      <c r="S2071" s="5" t="s">
        <v>240</v>
      </c>
      <c r="T2071" s="5" t="s">
        <v>296</v>
      </c>
      <c r="U2071" s="5" t="s">
        <v>244</v>
      </c>
      <c r="V2071" s="5" t="s">
        <v>240</v>
      </c>
      <c r="Y2071" s="5" t="s">
        <v>240</v>
      </c>
      <c r="Z2071" s="6" t="s">
        <v>298</v>
      </c>
      <c r="AB2071" s="6" t="s">
        <v>240</v>
      </c>
      <c r="AE2071" s="6" t="s">
        <v>299</v>
      </c>
      <c r="AF2071" s="5" t="s">
        <v>248</v>
      </c>
      <c r="AG2071" s="5" t="s">
        <v>249</v>
      </c>
      <c r="AW2071" s="5" t="s">
        <v>251</v>
      </c>
      <c r="AX2071" s="5" t="s">
        <v>240</v>
      </c>
      <c r="AY2071" s="5" t="s">
        <v>253</v>
      </c>
      <c r="AZ2071" s="5" t="s">
        <v>240</v>
      </c>
      <c r="BA2071" s="5" t="s">
        <v>255</v>
      </c>
      <c r="BB2071" s="5" t="s">
        <v>240</v>
      </c>
      <c r="BD2071" s="5" t="s">
        <v>240</v>
      </c>
      <c r="BF2071" s="5" t="s">
        <v>301</v>
      </c>
      <c r="BG2071" s="6" t="s">
        <v>299</v>
      </c>
      <c r="BH2071" s="5" t="s">
        <v>302</v>
      </c>
      <c r="BI2071" s="5" t="s">
        <v>303</v>
      </c>
      <c r="BJ2071" s="5" t="s">
        <v>240</v>
      </c>
      <c r="BK2071" s="8">
        <f>0</f>
        <v>0</v>
      </c>
      <c r="BL2071" s="7">
        <f>0</f>
        <v>0</v>
      </c>
      <c r="BM2071" s="5" t="s">
        <v>258</v>
      </c>
      <c r="BN2071" s="5" t="s">
        <v>259</v>
      </c>
      <c r="CB2071" s="5" t="s">
        <v>240</v>
      </c>
      <c r="CC2071" s="5" t="s">
        <v>240</v>
      </c>
      <c r="CG2071" s="5" t="s">
        <v>304</v>
      </c>
      <c r="CH2071" s="5" t="s">
        <v>305</v>
      </c>
      <c r="CI2071" s="5" t="s">
        <v>240</v>
      </c>
      <c r="CL2071" s="6" t="s">
        <v>261</v>
      </c>
      <c r="CM2071" s="5" t="s">
        <v>240</v>
      </c>
      <c r="CN2071" s="5" t="s">
        <v>263</v>
      </c>
      <c r="CO2071" s="5" t="s">
        <v>240</v>
      </c>
      <c r="CP2071" s="5" t="s">
        <v>240</v>
      </c>
      <c r="CQ2071" s="5">
        <v>0</v>
      </c>
      <c r="CR2071" s="5" t="s">
        <v>306</v>
      </c>
      <c r="CS2071" s="5" t="s">
        <v>307</v>
      </c>
      <c r="CT2071" s="5" t="s">
        <v>307</v>
      </c>
      <c r="CU2071" s="5" t="s">
        <v>260</v>
      </c>
      <c r="CX2071" s="7">
        <f>1</f>
        <v>1</v>
      </c>
      <c r="CY2071" s="7">
        <f>0</f>
        <v>0</v>
      </c>
      <c r="DA2071" s="7">
        <f>0</f>
        <v>0</v>
      </c>
      <c r="DC2071" s="5" t="s">
        <v>812</v>
      </c>
      <c r="DD2071" s="5" t="s">
        <v>240</v>
      </c>
      <c r="DF2071" s="5" t="s">
        <v>812</v>
      </c>
      <c r="DG2071" s="7">
        <f>77</f>
        <v>77</v>
      </c>
      <c r="DI2071" s="5" t="s">
        <v>240</v>
      </c>
      <c r="DJ2071" s="5" t="s">
        <v>240</v>
      </c>
      <c r="DK2071" s="5" t="s">
        <v>240</v>
      </c>
      <c r="DL2071" s="5" t="s">
        <v>240</v>
      </c>
      <c r="DP2071" s="5" t="s">
        <v>240</v>
      </c>
      <c r="DQ2071" s="5" t="s">
        <v>240</v>
      </c>
      <c r="DR2071" s="5" t="s">
        <v>240</v>
      </c>
      <c r="DS2071" s="5" t="s">
        <v>240</v>
      </c>
      <c r="DV2071" s="5" t="s">
        <v>813</v>
      </c>
      <c r="DW2071" s="5" t="s">
        <v>392</v>
      </c>
      <c r="HO2071" s="5" t="s">
        <v>312</v>
      </c>
    </row>
    <row r="2072" spans="1:223" x14ac:dyDescent="0.4">
      <c r="A2072" s="5">
        <v>3776</v>
      </c>
      <c r="B2072" s="5">
        <v>1</v>
      </c>
      <c r="C2072" s="5">
        <v>1</v>
      </c>
      <c r="D2072" s="5" t="s">
        <v>810</v>
      </c>
      <c r="E2072" s="5" t="s">
        <v>245</v>
      </c>
      <c r="F2072" s="5" t="s">
        <v>254</v>
      </c>
      <c r="G2072" s="5" t="s">
        <v>240</v>
      </c>
      <c r="H2072" s="6" t="s">
        <v>4212</v>
      </c>
      <c r="I2072" s="5" t="s">
        <v>809</v>
      </c>
      <c r="J2072" s="8">
        <f>69</f>
        <v>69</v>
      </c>
      <c r="K2072" s="5" t="s">
        <v>308</v>
      </c>
      <c r="L2072" s="7">
        <f>1</f>
        <v>1</v>
      </c>
      <c r="M2072" s="7">
        <f>1</f>
        <v>1</v>
      </c>
      <c r="N2072" s="5" t="s">
        <v>242</v>
      </c>
      <c r="O2072" s="5">
        <v>1</v>
      </c>
      <c r="P2072" s="5" t="s">
        <v>294</v>
      </c>
      <c r="Q2072" s="5" t="s">
        <v>266</v>
      </c>
      <c r="R2072" s="5" t="s">
        <v>240</v>
      </c>
      <c r="S2072" s="5" t="s">
        <v>240</v>
      </c>
      <c r="T2072" s="5" t="s">
        <v>296</v>
      </c>
      <c r="U2072" s="5" t="s">
        <v>244</v>
      </c>
      <c r="V2072" s="5" t="s">
        <v>240</v>
      </c>
      <c r="Y2072" s="5" t="s">
        <v>240</v>
      </c>
      <c r="Z2072" s="6" t="s">
        <v>298</v>
      </c>
      <c r="AB2072" s="6" t="s">
        <v>240</v>
      </c>
      <c r="AE2072" s="6" t="s">
        <v>299</v>
      </c>
      <c r="AF2072" s="5" t="s">
        <v>248</v>
      </c>
      <c r="AG2072" s="5" t="s">
        <v>249</v>
      </c>
      <c r="AW2072" s="5" t="s">
        <v>251</v>
      </c>
      <c r="AX2072" s="5" t="s">
        <v>240</v>
      </c>
      <c r="AY2072" s="5" t="s">
        <v>253</v>
      </c>
      <c r="AZ2072" s="5" t="s">
        <v>240</v>
      </c>
      <c r="BA2072" s="5" t="s">
        <v>255</v>
      </c>
      <c r="BB2072" s="5" t="s">
        <v>240</v>
      </c>
      <c r="BD2072" s="5" t="s">
        <v>240</v>
      </c>
      <c r="BF2072" s="5" t="s">
        <v>301</v>
      </c>
      <c r="BG2072" s="6" t="s">
        <v>299</v>
      </c>
      <c r="BH2072" s="5" t="s">
        <v>302</v>
      </c>
      <c r="BI2072" s="5" t="s">
        <v>303</v>
      </c>
      <c r="BJ2072" s="5" t="s">
        <v>240</v>
      </c>
      <c r="BK2072" s="8">
        <f>0</f>
        <v>0</v>
      </c>
      <c r="BL2072" s="7">
        <f>0</f>
        <v>0</v>
      </c>
      <c r="BM2072" s="5" t="s">
        <v>258</v>
      </c>
      <c r="BN2072" s="5" t="s">
        <v>259</v>
      </c>
      <c r="CB2072" s="5" t="s">
        <v>240</v>
      </c>
      <c r="CC2072" s="5" t="s">
        <v>240</v>
      </c>
      <c r="CG2072" s="5" t="s">
        <v>304</v>
      </c>
      <c r="CH2072" s="5" t="s">
        <v>305</v>
      </c>
      <c r="CI2072" s="5" t="s">
        <v>240</v>
      </c>
      <c r="CL2072" s="6" t="s">
        <v>261</v>
      </c>
      <c r="CM2072" s="5" t="s">
        <v>240</v>
      </c>
      <c r="CN2072" s="5" t="s">
        <v>263</v>
      </c>
      <c r="CO2072" s="5" t="s">
        <v>240</v>
      </c>
      <c r="CP2072" s="5" t="s">
        <v>240</v>
      </c>
      <c r="CQ2072" s="5">
        <v>0</v>
      </c>
      <c r="CR2072" s="5" t="s">
        <v>306</v>
      </c>
      <c r="CS2072" s="5" t="s">
        <v>307</v>
      </c>
      <c r="CT2072" s="5" t="s">
        <v>307</v>
      </c>
      <c r="CU2072" s="5" t="s">
        <v>260</v>
      </c>
      <c r="CX2072" s="7">
        <f>1</f>
        <v>1</v>
      </c>
      <c r="CY2072" s="7">
        <f>0</f>
        <v>0</v>
      </c>
      <c r="DA2072" s="7">
        <f>0</f>
        <v>0</v>
      </c>
      <c r="DC2072" s="5" t="s">
        <v>812</v>
      </c>
      <c r="DD2072" s="5" t="s">
        <v>240</v>
      </c>
      <c r="DF2072" s="5" t="s">
        <v>812</v>
      </c>
      <c r="DG2072" s="7">
        <f>897</f>
        <v>897</v>
      </c>
      <c r="DI2072" s="5" t="s">
        <v>240</v>
      </c>
      <c r="DJ2072" s="5" t="s">
        <v>240</v>
      </c>
      <c r="DK2072" s="5" t="s">
        <v>240</v>
      </c>
      <c r="DL2072" s="5" t="s">
        <v>240</v>
      </c>
      <c r="DP2072" s="5" t="s">
        <v>240</v>
      </c>
      <c r="DQ2072" s="5" t="s">
        <v>240</v>
      </c>
      <c r="DR2072" s="5" t="s">
        <v>240</v>
      </c>
      <c r="DS2072" s="5" t="s">
        <v>240</v>
      </c>
      <c r="DV2072" s="5" t="s">
        <v>813</v>
      </c>
      <c r="DW2072" s="5" t="s">
        <v>394</v>
      </c>
      <c r="HO2072" s="5" t="s">
        <v>312</v>
      </c>
    </row>
    <row r="2073" spans="1:223" x14ac:dyDescent="0.4">
      <c r="A2073" s="5">
        <v>3777</v>
      </c>
      <c r="B2073" s="5">
        <v>1</v>
      </c>
      <c r="C2073" s="5">
        <v>1</v>
      </c>
      <c r="D2073" s="5" t="s">
        <v>810</v>
      </c>
      <c r="E2073" s="5" t="s">
        <v>245</v>
      </c>
      <c r="F2073" s="5" t="s">
        <v>254</v>
      </c>
      <c r="G2073" s="5" t="s">
        <v>240</v>
      </c>
      <c r="H2073" s="6" t="s">
        <v>5348</v>
      </c>
      <c r="I2073" s="5" t="s">
        <v>809</v>
      </c>
      <c r="J2073" s="8">
        <f>922</f>
        <v>922</v>
      </c>
      <c r="K2073" s="5" t="s">
        <v>308</v>
      </c>
      <c r="L2073" s="7">
        <f>1</f>
        <v>1</v>
      </c>
      <c r="M2073" s="7">
        <f>1</f>
        <v>1</v>
      </c>
      <c r="N2073" s="5" t="s">
        <v>242</v>
      </c>
      <c r="O2073" s="5">
        <v>1</v>
      </c>
      <c r="P2073" s="5" t="s">
        <v>294</v>
      </c>
      <c r="Q2073" s="5" t="s">
        <v>266</v>
      </c>
      <c r="R2073" s="5" t="s">
        <v>240</v>
      </c>
      <c r="S2073" s="5" t="s">
        <v>240</v>
      </c>
      <c r="T2073" s="5" t="s">
        <v>296</v>
      </c>
      <c r="U2073" s="5" t="s">
        <v>244</v>
      </c>
      <c r="V2073" s="5" t="s">
        <v>240</v>
      </c>
      <c r="Y2073" s="5" t="s">
        <v>240</v>
      </c>
      <c r="Z2073" s="6" t="s">
        <v>298</v>
      </c>
      <c r="AB2073" s="6" t="s">
        <v>240</v>
      </c>
      <c r="AE2073" s="6" t="s">
        <v>299</v>
      </c>
      <c r="AF2073" s="5" t="s">
        <v>248</v>
      </c>
      <c r="AG2073" s="5" t="s">
        <v>249</v>
      </c>
      <c r="AW2073" s="5" t="s">
        <v>251</v>
      </c>
      <c r="AX2073" s="5" t="s">
        <v>240</v>
      </c>
      <c r="AY2073" s="5" t="s">
        <v>253</v>
      </c>
      <c r="AZ2073" s="5" t="s">
        <v>240</v>
      </c>
      <c r="BA2073" s="5" t="s">
        <v>255</v>
      </c>
      <c r="BB2073" s="5" t="s">
        <v>240</v>
      </c>
      <c r="BD2073" s="5" t="s">
        <v>240</v>
      </c>
      <c r="BF2073" s="5" t="s">
        <v>301</v>
      </c>
      <c r="BG2073" s="6" t="s">
        <v>299</v>
      </c>
      <c r="BH2073" s="5" t="s">
        <v>302</v>
      </c>
      <c r="BI2073" s="5" t="s">
        <v>303</v>
      </c>
      <c r="BJ2073" s="5" t="s">
        <v>240</v>
      </c>
      <c r="BK2073" s="8">
        <f>0</f>
        <v>0</v>
      </c>
      <c r="BL2073" s="7">
        <f>0</f>
        <v>0</v>
      </c>
      <c r="BM2073" s="5" t="s">
        <v>258</v>
      </c>
      <c r="BN2073" s="5" t="s">
        <v>259</v>
      </c>
      <c r="CB2073" s="5" t="s">
        <v>240</v>
      </c>
      <c r="CC2073" s="5" t="s">
        <v>240</v>
      </c>
      <c r="CG2073" s="5" t="s">
        <v>304</v>
      </c>
      <c r="CH2073" s="5" t="s">
        <v>305</v>
      </c>
      <c r="CI2073" s="5" t="s">
        <v>240</v>
      </c>
      <c r="CL2073" s="6" t="s">
        <v>261</v>
      </c>
      <c r="CM2073" s="5" t="s">
        <v>240</v>
      </c>
      <c r="CN2073" s="5" t="s">
        <v>263</v>
      </c>
      <c r="CO2073" s="5" t="s">
        <v>240</v>
      </c>
      <c r="CP2073" s="5" t="s">
        <v>240</v>
      </c>
      <c r="CQ2073" s="5">
        <v>0</v>
      </c>
      <c r="CR2073" s="5" t="s">
        <v>306</v>
      </c>
      <c r="CS2073" s="5" t="s">
        <v>307</v>
      </c>
      <c r="CT2073" s="5" t="s">
        <v>307</v>
      </c>
      <c r="CU2073" s="5" t="s">
        <v>260</v>
      </c>
      <c r="CX2073" s="7">
        <f>1</f>
        <v>1</v>
      </c>
      <c r="CY2073" s="7">
        <f>0</f>
        <v>0</v>
      </c>
      <c r="DA2073" s="7">
        <f>0</f>
        <v>0</v>
      </c>
      <c r="DC2073" s="5" t="s">
        <v>812</v>
      </c>
      <c r="DD2073" s="5" t="s">
        <v>240</v>
      </c>
      <c r="DF2073" s="5" t="s">
        <v>812</v>
      </c>
      <c r="DG2073" s="7">
        <f>10</f>
        <v>10</v>
      </c>
      <c r="DI2073" s="5" t="s">
        <v>240</v>
      </c>
      <c r="DJ2073" s="5" t="s">
        <v>240</v>
      </c>
      <c r="DK2073" s="5" t="s">
        <v>240</v>
      </c>
      <c r="DL2073" s="5" t="s">
        <v>240</v>
      </c>
      <c r="DP2073" s="5" t="s">
        <v>240</v>
      </c>
      <c r="DQ2073" s="5" t="s">
        <v>240</v>
      </c>
      <c r="DR2073" s="5" t="s">
        <v>240</v>
      </c>
      <c r="DS2073" s="5" t="s">
        <v>240</v>
      </c>
      <c r="DV2073" s="5" t="s">
        <v>813</v>
      </c>
      <c r="DW2073" s="5" t="s">
        <v>396</v>
      </c>
      <c r="HO2073" s="5" t="s">
        <v>312</v>
      </c>
    </row>
    <row r="2074" spans="1:223" x14ac:dyDescent="0.4">
      <c r="A2074" s="5">
        <v>3778</v>
      </c>
      <c r="B2074" s="5">
        <v>1</v>
      </c>
      <c r="C2074" s="5">
        <v>1</v>
      </c>
      <c r="D2074" s="5" t="s">
        <v>810</v>
      </c>
      <c r="E2074" s="5" t="s">
        <v>245</v>
      </c>
      <c r="F2074" s="5" t="s">
        <v>254</v>
      </c>
      <c r="G2074" s="5" t="s">
        <v>240</v>
      </c>
      <c r="H2074" s="6" t="s">
        <v>4209</v>
      </c>
      <c r="I2074" s="5" t="s">
        <v>809</v>
      </c>
      <c r="J2074" s="8">
        <f>1401</f>
        <v>1401</v>
      </c>
      <c r="K2074" s="5" t="s">
        <v>308</v>
      </c>
      <c r="L2074" s="7">
        <f>1</f>
        <v>1</v>
      </c>
      <c r="M2074" s="7">
        <f>1</f>
        <v>1</v>
      </c>
      <c r="N2074" s="5" t="s">
        <v>242</v>
      </c>
      <c r="O2074" s="5">
        <v>1</v>
      </c>
      <c r="P2074" s="5" t="s">
        <v>294</v>
      </c>
      <c r="Q2074" s="5" t="s">
        <v>266</v>
      </c>
      <c r="R2074" s="5" t="s">
        <v>240</v>
      </c>
      <c r="S2074" s="5" t="s">
        <v>240</v>
      </c>
      <c r="T2074" s="5" t="s">
        <v>296</v>
      </c>
      <c r="U2074" s="5" t="s">
        <v>244</v>
      </c>
      <c r="V2074" s="5" t="s">
        <v>240</v>
      </c>
      <c r="Y2074" s="5" t="s">
        <v>240</v>
      </c>
      <c r="Z2074" s="6" t="s">
        <v>298</v>
      </c>
      <c r="AB2074" s="6" t="s">
        <v>240</v>
      </c>
      <c r="AE2074" s="6" t="s">
        <v>299</v>
      </c>
      <c r="AF2074" s="5" t="s">
        <v>248</v>
      </c>
      <c r="AG2074" s="5" t="s">
        <v>249</v>
      </c>
      <c r="AW2074" s="5" t="s">
        <v>251</v>
      </c>
      <c r="AX2074" s="5" t="s">
        <v>240</v>
      </c>
      <c r="AY2074" s="5" t="s">
        <v>253</v>
      </c>
      <c r="AZ2074" s="5" t="s">
        <v>240</v>
      </c>
      <c r="BA2074" s="5" t="s">
        <v>255</v>
      </c>
      <c r="BB2074" s="5" t="s">
        <v>240</v>
      </c>
      <c r="BD2074" s="5" t="s">
        <v>240</v>
      </c>
      <c r="BF2074" s="5" t="s">
        <v>301</v>
      </c>
      <c r="BG2074" s="6" t="s">
        <v>299</v>
      </c>
      <c r="BH2074" s="5" t="s">
        <v>302</v>
      </c>
      <c r="BI2074" s="5" t="s">
        <v>303</v>
      </c>
      <c r="BJ2074" s="5" t="s">
        <v>240</v>
      </c>
      <c r="BK2074" s="8">
        <f>0</f>
        <v>0</v>
      </c>
      <c r="BL2074" s="7">
        <f>0</f>
        <v>0</v>
      </c>
      <c r="BM2074" s="5" t="s">
        <v>258</v>
      </c>
      <c r="BN2074" s="5" t="s">
        <v>259</v>
      </c>
      <c r="CB2074" s="5" t="s">
        <v>240</v>
      </c>
      <c r="CC2074" s="5" t="s">
        <v>240</v>
      </c>
      <c r="CG2074" s="5" t="s">
        <v>304</v>
      </c>
      <c r="CH2074" s="5" t="s">
        <v>305</v>
      </c>
      <c r="CI2074" s="5" t="s">
        <v>240</v>
      </c>
      <c r="CL2074" s="6" t="s">
        <v>261</v>
      </c>
      <c r="CM2074" s="5" t="s">
        <v>240</v>
      </c>
      <c r="CN2074" s="5" t="s">
        <v>263</v>
      </c>
      <c r="CO2074" s="5" t="s">
        <v>240</v>
      </c>
      <c r="CP2074" s="5" t="s">
        <v>240</v>
      </c>
      <c r="CQ2074" s="5">
        <v>0</v>
      </c>
      <c r="CR2074" s="5" t="s">
        <v>306</v>
      </c>
      <c r="CS2074" s="5" t="s">
        <v>307</v>
      </c>
      <c r="CT2074" s="5" t="s">
        <v>307</v>
      </c>
      <c r="CU2074" s="5" t="s">
        <v>260</v>
      </c>
      <c r="CX2074" s="7">
        <f>1</f>
        <v>1</v>
      </c>
      <c r="CY2074" s="7">
        <f>0</f>
        <v>0</v>
      </c>
      <c r="DA2074" s="7">
        <f>0</f>
        <v>0</v>
      </c>
      <c r="DC2074" s="5" t="s">
        <v>812</v>
      </c>
      <c r="DD2074" s="5" t="s">
        <v>240</v>
      </c>
      <c r="DF2074" s="5" t="s">
        <v>812</v>
      </c>
      <c r="DG2074" s="7">
        <f>99</f>
        <v>99</v>
      </c>
      <c r="DI2074" s="5" t="s">
        <v>240</v>
      </c>
      <c r="DJ2074" s="5" t="s">
        <v>240</v>
      </c>
      <c r="DK2074" s="5" t="s">
        <v>240</v>
      </c>
      <c r="DL2074" s="5" t="s">
        <v>240</v>
      </c>
      <c r="DP2074" s="5" t="s">
        <v>240</v>
      </c>
      <c r="DQ2074" s="5" t="s">
        <v>240</v>
      </c>
      <c r="DR2074" s="5" t="s">
        <v>240</v>
      </c>
      <c r="DS2074" s="5" t="s">
        <v>240</v>
      </c>
      <c r="DV2074" s="5" t="s">
        <v>813</v>
      </c>
      <c r="DW2074" s="5" t="s">
        <v>398</v>
      </c>
      <c r="HO2074" s="5" t="s">
        <v>312</v>
      </c>
    </row>
    <row r="2075" spans="1:223" x14ac:dyDescent="0.4">
      <c r="A2075" s="5">
        <v>3779</v>
      </c>
      <c r="B2075" s="5">
        <v>1</v>
      </c>
      <c r="C2075" s="5">
        <v>1</v>
      </c>
      <c r="D2075" s="5" t="s">
        <v>810</v>
      </c>
      <c r="E2075" s="5" t="s">
        <v>245</v>
      </c>
      <c r="F2075" s="5" t="s">
        <v>254</v>
      </c>
      <c r="G2075" s="5" t="s">
        <v>240</v>
      </c>
      <c r="H2075" s="6" t="s">
        <v>4208</v>
      </c>
      <c r="I2075" s="5" t="s">
        <v>809</v>
      </c>
      <c r="J2075" s="8">
        <f>526</f>
        <v>526</v>
      </c>
      <c r="K2075" s="5" t="s">
        <v>308</v>
      </c>
      <c r="L2075" s="7">
        <f>1</f>
        <v>1</v>
      </c>
      <c r="M2075" s="7">
        <f>1</f>
        <v>1</v>
      </c>
      <c r="N2075" s="5" t="s">
        <v>242</v>
      </c>
      <c r="O2075" s="5">
        <v>1</v>
      </c>
      <c r="P2075" s="5" t="s">
        <v>294</v>
      </c>
      <c r="Q2075" s="5" t="s">
        <v>266</v>
      </c>
      <c r="R2075" s="5" t="s">
        <v>240</v>
      </c>
      <c r="S2075" s="5" t="s">
        <v>240</v>
      </c>
      <c r="T2075" s="5" t="s">
        <v>296</v>
      </c>
      <c r="U2075" s="5" t="s">
        <v>244</v>
      </c>
      <c r="V2075" s="5" t="s">
        <v>240</v>
      </c>
      <c r="Y2075" s="5" t="s">
        <v>240</v>
      </c>
      <c r="Z2075" s="6" t="s">
        <v>298</v>
      </c>
      <c r="AB2075" s="6" t="s">
        <v>240</v>
      </c>
      <c r="AE2075" s="6" t="s">
        <v>299</v>
      </c>
      <c r="AF2075" s="5" t="s">
        <v>248</v>
      </c>
      <c r="AG2075" s="5" t="s">
        <v>249</v>
      </c>
      <c r="AW2075" s="5" t="s">
        <v>251</v>
      </c>
      <c r="AX2075" s="5" t="s">
        <v>240</v>
      </c>
      <c r="AY2075" s="5" t="s">
        <v>253</v>
      </c>
      <c r="AZ2075" s="5" t="s">
        <v>240</v>
      </c>
      <c r="BA2075" s="5" t="s">
        <v>255</v>
      </c>
      <c r="BB2075" s="5" t="s">
        <v>240</v>
      </c>
      <c r="BD2075" s="5" t="s">
        <v>240</v>
      </c>
      <c r="BF2075" s="5" t="s">
        <v>301</v>
      </c>
      <c r="BG2075" s="6" t="s">
        <v>299</v>
      </c>
      <c r="BH2075" s="5" t="s">
        <v>302</v>
      </c>
      <c r="BI2075" s="5" t="s">
        <v>303</v>
      </c>
      <c r="BJ2075" s="5" t="s">
        <v>240</v>
      </c>
      <c r="BK2075" s="8">
        <f>0</f>
        <v>0</v>
      </c>
      <c r="BL2075" s="7">
        <f>0</f>
        <v>0</v>
      </c>
      <c r="BM2075" s="5" t="s">
        <v>258</v>
      </c>
      <c r="BN2075" s="5" t="s">
        <v>259</v>
      </c>
      <c r="CB2075" s="5" t="s">
        <v>240</v>
      </c>
      <c r="CC2075" s="5" t="s">
        <v>240</v>
      </c>
      <c r="CG2075" s="5" t="s">
        <v>304</v>
      </c>
      <c r="CH2075" s="5" t="s">
        <v>305</v>
      </c>
      <c r="CI2075" s="5" t="s">
        <v>240</v>
      </c>
      <c r="CL2075" s="6" t="s">
        <v>261</v>
      </c>
      <c r="CM2075" s="5" t="s">
        <v>240</v>
      </c>
      <c r="CN2075" s="5" t="s">
        <v>263</v>
      </c>
      <c r="CO2075" s="5" t="s">
        <v>240</v>
      </c>
      <c r="CP2075" s="5" t="s">
        <v>240</v>
      </c>
      <c r="CQ2075" s="5">
        <v>0</v>
      </c>
      <c r="CR2075" s="5" t="s">
        <v>306</v>
      </c>
      <c r="CS2075" s="5" t="s">
        <v>307</v>
      </c>
      <c r="CT2075" s="5" t="s">
        <v>307</v>
      </c>
      <c r="CU2075" s="5" t="s">
        <v>260</v>
      </c>
      <c r="CX2075" s="7">
        <f>1</f>
        <v>1</v>
      </c>
      <c r="CY2075" s="7">
        <f>0</f>
        <v>0</v>
      </c>
      <c r="DA2075" s="7">
        <f>0</f>
        <v>0</v>
      </c>
      <c r="DC2075" s="5" t="s">
        <v>812</v>
      </c>
      <c r="DD2075" s="5" t="s">
        <v>240</v>
      </c>
      <c r="DF2075" s="5" t="s">
        <v>812</v>
      </c>
      <c r="DG2075" s="7">
        <f>92</f>
        <v>92</v>
      </c>
      <c r="DI2075" s="5" t="s">
        <v>240</v>
      </c>
      <c r="DJ2075" s="5" t="s">
        <v>240</v>
      </c>
      <c r="DK2075" s="5" t="s">
        <v>240</v>
      </c>
      <c r="DL2075" s="5" t="s">
        <v>240</v>
      </c>
      <c r="DP2075" s="5" t="s">
        <v>240</v>
      </c>
      <c r="DQ2075" s="5" t="s">
        <v>240</v>
      </c>
      <c r="DR2075" s="5" t="s">
        <v>240</v>
      </c>
      <c r="DS2075" s="5" t="s">
        <v>240</v>
      </c>
      <c r="DV2075" s="5" t="s">
        <v>813</v>
      </c>
      <c r="DW2075" s="5" t="s">
        <v>400</v>
      </c>
      <c r="HO2075" s="5" t="s">
        <v>312</v>
      </c>
    </row>
    <row r="2076" spans="1:223" x14ac:dyDescent="0.4">
      <c r="A2076" s="5">
        <v>3780</v>
      </c>
      <c r="B2076" s="5">
        <v>1</v>
      </c>
      <c r="C2076" s="5">
        <v>1</v>
      </c>
      <c r="D2076" s="5" t="s">
        <v>810</v>
      </c>
      <c r="E2076" s="5" t="s">
        <v>245</v>
      </c>
      <c r="F2076" s="5" t="s">
        <v>254</v>
      </c>
      <c r="G2076" s="5" t="s">
        <v>240</v>
      </c>
      <c r="H2076" s="6" t="s">
        <v>4207</v>
      </c>
      <c r="I2076" s="5" t="s">
        <v>809</v>
      </c>
      <c r="J2076" s="8">
        <f>545</f>
        <v>545</v>
      </c>
      <c r="K2076" s="5" t="s">
        <v>308</v>
      </c>
      <c r="L2076" s="7">
        <f>1</f>
        <v>1</v>
      </c>
      <c r="M2076" s="7">
        <f>1</f>
        <v>1</v>
      </c>
      <c r="N2076" s="5" t="s">
        <v>242</v>
      </c>
      <c r="O2076" s="5">
        <v>1</v>
      </c>
      <c r="P2076" s="5" t="s">
        <v>294</v>
      </c>
      <c r="Q2076" s="5" t="s">
        <v>266</v>
      </c>
      <c r="R2076" s="5" t="s">
        <v>240</v>
      </c>
      <c r="S2076" s="5" t="s">
        <v>240</v>
      </c>
      <c r="T2076" s="5" t="s">
        <v>296</v>
      </c>
      <c r="U2076" s="5" t="s">
        <v>244</v>
      </c>
      <c r="V2076" s="5" t="s">
        <v>240</v>
      </c>
      <c r="Y2076" s="5" t="s">
        <v>240</v>
      </c>
      <c r="Z2076" s="6" t="s">
        <v>298</v>
      </c>
      <c r="AB2076" s="6" t="s">
        <v>240</v>
      </c>
      <c r="AE2076" s="6" t="s">
        <v>299</v>
      </c>
      <c r="AF2076" s="5" t="s">
        <v>248</v>
      </c>
      <c r="AG2076" s="5" t="s">
        <v>249</v>
      </c>
      <c r="AW2076" s="5" t="s">
        <v>251</v>
      </c>
      <c r="AX2076" s="5" t="s">
        <v>240</v>
      </c>
      <c r="AY2076" s="5" t="s">
        <v>253</v>
      </c>
      <c r="AZ2076" s="5" t="s">
        <v>240</v>
      </c>
      <c r="BA2076" s="5" t="s">
        <v>255</v>
      </c>
      <c r="BB2076" s="5" t="s">
        <v>240</v>
      </c>
      <c r="BD2076" s="5" t="s">
        <v>240</v>
      </c>
      <c r="BF2076" s="5" t="s">
        <v>301</v>
      </c>
      <c r="BG2076" s="6" t="s">
        <v>299</v>
      </c>
      <c r="BH2076" s="5" t="s">
        <v>302</v>
      </c>
      <c r="BI2076" s="5" t="s">
        <v>303</v>
      </c>
      <c r="BJ2076" s="5" t="s">
        <v>240</v>
      </c>
      <c r="BK2076" s="8">
        <f>0</f>
        <v>0</v>
      </c>
      <c r="BL2076" s="7">
        <f>0</f>
        <v>0</v>
      </c>
      <c r="BM2076" s="5" t="s">
        <v>258</v>
      </c>
      <c r="BN2076" s="5" t="s">
        <v>259</v>
      </c>
      <c r="CB2076" s="5" t="s">
        <v>240</v>
      </c>
      <c r="CC2076" s="5" t="s">
        <v>240</v>
      </c>
      <c r="CG2076" s="5" t="s">
        <v>304</v>
      </c>
      <c r="CH2076" s="5" t="s">
        <v>305</v>
      </c>
      <c r="CI2076" s="5" t="s">
        <v>240</v>
      </c>
      <c r="CL2076" s="6" t="s">
        <v>261</v>
      </c>
      <c r="CM2076" s="5" t="s">
        <v>240</v>
      </c>
      <c r="CN2076" s="5" t="s">
        <v>263</v>
      </c>
      <c r="CO2076" s="5" t="s">
        <v>240</v>
      </c>
      <c r="CP2076" s="5" t="s">
        <v>240</v>
      </c>
      <c r="CQ2076" s="5">
        <v>0</v>
      </c>
      <c r="CR2076" s="5" t="s">
        <v>306</v>
      </c>
      <c r="CS2076" s="5" t="s">
        <v>307</v>
      </c>
      <c r="CT2076" s="5" t="s">
        <v>307</v>
      </c>
      <c r="CU2076" s="5" t="s">
        <v>260</v>
      </c>
      <c r="CX2076" s="7">
        <f>1</f>
        <v>1</v>
      </c>
      <c r="CY2076" s="7">
        <f>0</f>
        <v>0</v>
      </c>
      <c r="DA2076" s="7">
        <f>0</f>
        <v>0</v>
      </c>
      <c r="DC2076" s="5" t="s">
        <v>812</v>
      </c>
      <c r="DD2076" s="5" t="s">
        <v>240</v>
      </c>
      <c r="DF2076" s="5" t="s">
        <v>812</v>
      </c>
      <c r="DG2076" s="7">
        <f>336</f>
        <v>336</v>
      </c>
      <c r="DI2076" s="5" t="s">
        <v>240</v>
      </c>
      <c r="DJ2076" s="5" t="s">
        <v>240</v>
      </c>
      <c r="DK2076" s="5" t="s">
        <v>240</v>
      </c>
      <c r="DL2076" s="5" t="s">
        <v>240</v>
      </c>
      <c r="DP2076" s="5" t="s">
        <v>240</v>
      </c>
      <c r="DQ2076" s="5" t="s">
        <v>240</v>
      </c>
      <c r="DR2076" s="5" t="s">
        <v>240</v>
      </c>
      <c r="DS2076" s="5" t="s">
        <v>240</v>
      </c>
      <c r="DV2076" s="5" t="s">
        <v>813</v>
      </c>
      <c r="DW2076" s="5" t="s">
        <v>402</v>
      </c>
      <c r="HO2076" s="5" t="s">
        <v>312</v>
      </c>
    </row>
    <row r="2077" spans="1:223" x14ac:dyDescent="0.4">
      <c r="A2077" s="5">
        <v>3781</v>
      </c>
      <c r="B2077" s="5">
        <v>1</v>
      </c>
      <c r="C2077" s="5">
        <v>1</v>
      </c>
      <c r="D2077" s="5" t="s">
        <v>810</v>
      </c>
      <c r="E2077" s="5" t="s">
        <v>245</v>
      </c>
      <c r="F2077" s="5" t="s">
        <v>254</v>
      </c>
      <c r="G2077" s="5" t="s">
        <v>240</v>
      </c>
      <c r="H2077" s="6" t="s">
        <v>4206</v>
      </c>
      <c r="I2077" s="5" t="s">
        <v>809</v>
      </c>
      <c r="J2077" s="8">
        <f>1486</f>
        <v>1486</v>
      </c>
      <c r="K2077" s="5" t="s">
        <v>308</v>
      </c>
      <c r="L2077" s="7">
        <f>1</f>
        <v>1</v>
      </c>
      <c r="M2077" s="7">
        <f>1</f>
        <v>1</v>
      </c>
      <c r="N2077" s="5" t="s">
        <v>242</v>
      </c>
      <c r="O2077" s="5">
        <v>1</v>
      </c>
      <c r="P2077" s="5" t="s">
        <v>294</v>
      </c>
      <c r="Q2077" s="5" t="s">
        <v>266</v>
      </c>
      <c r="R2077" s="5" t="s">
        <v>240</v>
      </c>
      <c r="S2077" s="5" t="s">
        <v>240</v>
      </c>
      <c r="T2077" s="5" t="s">
        <v>296</v>
      </c>
      <c r="U2077" s="5" t="s">
        <v>244</v>
      </c>
      <c r="V2077" s="5" t="s">
        <v>240</v>
      </c>
      <c r="Y2077" s="5" t="s">
        <v>240</v>
      </c>
      <c r="Z2077" s="6" t="s">
        <v>298</v>
      </c>
      <c r="AB2077" s="6" t="s">
        <v>240</v>
      </c>
      <c r="AE2077" s="6" t="s">
        <v>299</v>
      </c>
      <c r="AF2077" s="5" t="s">
        <v>248</v>
      </c>
      <c r="AG2077" s="5" t="s">
        <v>249</v>
      </c>
      <c r="AW2077" s="5" t="s">
        <v>251</v>
      </c>
      <c r="AX2077" s="5" t="s">
        <v>240</v>
      </c>
      <c r="AY2077" s="5" t="s">
        <v>253</v>
      </c>
      <c r="AZ2077" s="5" t="s">
        <v>240</v>
      </c>
      <c r="BA2077" s="5" t="s">
        <v>255</v>
      </c>
      <c r="BB2077" s="5" t="s">
        <v>240</v>
      </c>
      <c r="BD2077" s="5" t="s">
        <v>240</v>
      </c>
      <c r="BF2077" s="5" t="s">
        <v>301</v>
      </c>
      <c r="BG2077" s="6" t="s">
        <v>299</v>
      </c>
      <c r="BH2077" s="5" t="s">
        <v>302</v>
      </c>
      <c r="BI2077" s="5" t="s">
        <v>303</v>
      </c>
      <c r="BJ2077" s="5" t="s">
        <v>240</v>
      </c>
      <c r="BK2077" s="8">
        <f>0</f>
        <v>0</v>
      </c>
      <c r="BL2077" s="7">
        <f>0</f>
        <v>0</v>
      </c>
      <c r="BM2077" s="5" t="s">
        <v>258</v>
      </c>
      <c r="BN2077" s="5" t="s">
        <v>259</v>
      </c>
      <c r="CB2077" s="5" t="s">
        <v>240</v>
      </c>
      <c r="CC2077" s="5" t="s">
        <v>240</v>
      </c>
      <c r="CG2077" s="5" t="s">
        <v>304</v>
      </c>
      <c r="CH2077" s="5" t="s">
        <v>305</v>
      </c>
      <c r="CI2077" s="5" t="s">
        <v>240</v>
      </c>
      <c r="CL2077" s="6" t="s">
        <v>261</v>
      </c>
      <c r="CM2077" s="5" t="s">
        <v>240</v>
      </c>
      <c r="CN2077" s="5" t="s">
        <v>263</v>
      </c>
      <c r="CO2077" s="5" t="s">
        <v>240</v>
      </c>
      <c r="CP2077" s="5" t="s">
        <v>240</v>
      </c>
      <c r="CQ2077" s="5">
        <v>0</v>
      </c>
      <c r="CR2077" s="5" t="s">
        <v>306</v>
      </c>
      <c r="CS2077" s="5" t="s">
        <v>307</v>
      </c>
      <c r="CT2077" s="5" t="s">
        <v>307</v>
      </c>
      <c r="CU2077" s="5" t="s">
        <v>260</v>
      </c>
      <c r="CX2077" s="7">
        <f>1</f>
        <v>1</v>
      </c>
      <c r="CY2077" s="7">
        <f>0</f>
        <v>0</v>
      </c>
      <c r="DA2077" s="7">
        <f>0</f>
        <v>0</v>
      </c>
      <c r="DC2077" s="5" t="s">
        <v>812</v>
      </c>
      <c r="DD2077" s="5" t="s">
        <v>240</v>
      </c>
      <c r="DF2077" s="5" t="s">
        <v>812</v>
      </c>
      <c r="DG2077" s="7">
        <f>623</f>
        <v>623</v>
      </c>
      <c r="DI2077" s="5" t="s">
        <v>240</v>
      </c>
      <c r="DJ2077" s="5" t="s">
        <v>240</v>
      </c>
      <c r="DK2077" s="5" t="s">
        <v>240</v>
      </c>
      <c r="DL2077" s="5" t="s">
        <v>240</v>
      </c>
      <c r="DP2077" s="5" t="s">
        <v>240</v>
      </c>
      <c r="DQ2077" s="5" t="s">
        <v>240</v>
      </c>
      <c r="DR2077" s="5" t="s">
        <v>240</v>
      </c>
      <c r="DS2077" s="5" t="s">
        <v>240</v>
      </c>
      <c r="DV2077" s="5" t="s">
        <v>813</v>
      </c>
      <c r="DW2077" s="5" t="s">
        <v>404</v>
      </c>
      <c r="HO2077" s="5" t="s">
        <v>312</v>
      </c>
    </row>
    <row r="2078" spans="1:223" x14ac:dyDescent="0.4">
      <c r="A2078" s="5">
        <v>3782</v>
      </c>
      <c r="B2078" s="5">
        <v>1</v>
      </c>
      <c r="C2078" s="5">
        <v>1</v>
      </c>
      <c r="D2078" s="5" t="s">
        <v>810</v>
      </c>
      <c r="E2078" s="5" t="s">
        <v>245</v>
      </c>
      <c r="F2078" s="5" t="s">
        <v>254</v>
      </c>
      <c r="G2078" s="5" t="s">
        <v>240</v>
      </c>
      <c r="H2078" s="6" t="s">
        <v>4205</v>
      </c>
      <c r="I2078" s="5" t="s">
        <v>809</v>
      </c>
      <c r="J2078" s="8">
        <f>698</f>
        <v>698</v>
      </c>
      <c r="K2078" s="5" t="s">
        <v>308</v>
      </c>
      <c r="L2078" s="7">
        <f>1</f>
        <v>1</v>
      </c>
      <c r="M2078" s="7">
        <f>1</f>
        <v>1</v>
      </c>
      <c r="N2078" s="5" t="s">
        <v>242</v>
      </c>
      <c r="O2078" s="5">
        <v>1</v>
      </c>
      <c r="P2078" s="5" t="s">
        <v>294</v>
      </c>
      <c r="Q2078" s="5" t="s">
        <v>266</v>
      </c>
      <c r="R2078" s="5" t="s">
        <v>240</v>
      </c>
      <c r="S2078" s="5" t="s">
        <v>240</v>
      </c>
      <c r="T2078" s="5" t="s">
        <v>296</v>
      </c>
      <c r="U2078" s="5" t="s">
        <v>244</v>
      </c>
      <c r="V2078" s="5" t="s">
        <v>240</v>
      </c>
      <c r="Y2078" s="5" t="s">
        <v>240</v>
      </c>
      <c r="Z2078" s="6" t="s">
        <v>298</v>
      </c>
      <c r="AB2078" s="6" t="s">
        <v>240</v>
      </c>
      <c r="AE2078" s="6" t="s">
        <v>299</v>
      </c>
      <c r="AF2078" s="5" t="s">
        <v>248</v>
      </c>
      <c r="AG2078" s="5" t="s">
        <v>249</v>
      </c>
      <c r="AW2078" s="5" t="s">
        <v>251</v>
      </c>
      <c r="AX2078" s="5" t="s">
        <v>240</v>
      </c>
      <c r="AY2078" s="5" t="s">
        <v>253</v>
      </c>
      <c r="AZ2078" s="5" t="s">
        <v>240</v>
      </c>
      <c r="BA2078" s="5" t="s">
        <v>255</v>
      </c>
      <c r="BB2078" s="5" t="s">
        <v>240</v>
      </c>
      <c r="BD2078" s="5" t="s">
        <v>240</v>
      </c>
      <c r="BF2078" s="5" t="s">
        <v>301</v>
      </c>
      <c r="BG2078" s="6" t="s">
        <v>299</v>
      </c>
      <c r="BH2078" s="5" t="s">
        <v>302</v>
      </c>
      <c r="BI2078" s="5" t="s">
        <v>303</v>
      </c>
      <c r="BJ2078" s="5" t="s">
        <v>240</v>
      </c>
      <c r="BK2078" s="8">
        <f>0</f>
        <v>0</v>
      </c>
      <c r="BL2078" s="7">
        <f>0</f>
        <v>0</v>
      </c>
      <c r="BM2078" s="5" t="s">
        <v>258</v>
      </c>
      <c r="BN2078" s="5" t="s">
        <v>259</v>
      </c>
      <c r="CB2078" s="5" t="s">
        <v>240</v>
      </c>
      <c r="CC2078" s="5" t="s">
        <v>240</v>
      </c>
      <c r="CG2078" s="5" t="s">
        <v>304</v>
      </c>
      <c r="CH2078" s="5" t="s">
        <v>305</v>
      </c>
      <c r="CI2078" s="5" t="s">
        <v>240</v>
      </c>
      <c r="CL2078" s="6" t="s">
        <v>261</v>
      </c>
      <c r="CM2078" s="5" t="s">
        <v>240</v>
      </c>
      <c r="CN2078" s="5" t="s">
        <v>263</v>
      </c>
      <c r="CO2078" s="5" t="s">
        <v>240</v>
      </c>
      <c r="CP2078" s="5" t="s">
        <v>240</v>
      </c>
      <c r="CQ2078" s="5">
        <v>0</v>
      </c>
      <c r="CR2078" s="5" t="s">
        <v>306</v>
      </c>
      <c r="CS2078" s="5" t="s">
        <v>307</v>
      </c>
      <c r="CT2078" s="5" t="s">
        <v>307</v>
      </c>
      <c r="CU2078" s="5" t="s">
        <v>260</v>
      </c>
      <c r="CX2078" s="7">
        <f>1</f>
        <v>1</v>
      </c>
      <c r="CY2078" s="7">
        <f>0</f>
        <v>0</v>
      </c>
      <c r="DA2078" s="7">
        <f>0</f>
        <v>0</v>
      </c>
      <c r="DC2078" s="5" t="s">
        <v>812</v>
      </c>
      <c r="DD2078" s="5" t="s">
        <v>240</v>
      </c>
      <c r="DF2078" s="5" t="s">
        <v>812</v>
      </c>
      <c r="DG2078" s="7">
        <f>93</f>
        <v>93</v>
      </c>
      <c r="DI2078" s="5" t="s">
        <v>240</v>
      </c>
      <c r="DJ2078" s="5" t="s">
        <v>240</v>
      </c>
      <c r="DK2078" s="5" t="s">
        <v>240</v>
      </c>
      <c r="DL2078" s="5" t="s">
        <v>240</v>
      </c>
      <c r="DP2078" s="5" t="s">
        <v>240</v>
      </c>
      <c r="DQ2078" s="5" t="s">
        <v>240</v>
      </c>
      <c r="DR2078" s="5" t="s">
        <v>240</v>
      </c>
      <c r="DS2078" s="5" t="s">
        <v>240</v>
      </c>
      <c r="DV2078" s="5" t="s">
        <v>813</v>
      </c>
      <c r="DW2078" s="5" t="s">
        <v>406</v>
      </c>
      <c r="HO2078" s="5" t="s">
        <v>312</v>
      </c>
    </row>
    <row r="2079" spans="1:223" x14ac:dyDescent="0.4">
      <c r="A2079" s="5">
        <v>3783</v>
      </c>
      <c r="B2079" s="5">
        <v>1</v>
      </c>
      <c r="C2079" s="5">
        <v>1</v>
      </c>
      <c r="D2079" s="5" t="s">
        <v>810</v>
      </c>
      <c r="E2079" s="5" t="s">
        <v>245</v>
      </c>
      <c r="F2079" s="5" t="s">
        <v>254</v>
      </c>
      <c r="G2079" s="5" t="s">
        <v>240</v>
      </c>
      <c r="H2079" s="6" t="s">
        <v>4204</v>
      </c>
      <c r="I2079" s="5" t="s">
        <v>809</v>
      </c>
      <c r="J2079" s="8">
        <f>44</f>
        <v>44</v>
      </c>
      <c r="K2079" s="5" t="s">
        <v>308</v>
      </c>
      <c r="L2079" s="7">
        <f>1</f>
        <v>1</v>
      </c>
      <c r="M2079" s="7">
        <f>1</f>
        <v>1</v>
      </c>
      <c r="N2079" s="5" t="s">
        <v>242</v>
      </c>
      <c r="O2079" s="5">
        <v>1</v>
      </c>
      <c r="P2079" s="5" t="s">
        <v>294</v>
      </c>
      <c r="Q2079" s="5" t="s">
        <v>266</v>
      </c>
      <c r="R2079" s="5" t="s">
        <v>240</v>
      </c>
      <c r="S2079" s="5" t="s">
        <v>240</v>
      </c>
      <c r="T2079" s="5" t="s">
        <v>296</v>
      </c>
      <c r="U2079" s="5" t="s">
        <v>244</v>
      </c>
      <c r="V2079" s="5" t="s">
        <v>240</v>
      </c>
      <c r="Y2079" s="5" t="s">
        <v>240</v>
      </c>
      <c r="Z2079" s="6" t="s">
        <v>298</v>
      </c>
      <c r="AB2079" s="6" t="s">
        <v>240</v>
      </c>
      <c r="AE2079" s="6" t="s">
        <v>299</v>
      </c>
      <c r="AF2079" s="5" t="s">
        <v>248</v>
      </c>
      <c r="AG2079" s="5" t="s">
        <v>249</v>
      </c>
      <c r="AW2079" s="5" t="s">
        <v>251</v>
      </c>
      <c r="AX2079" s="5" t="s">
        <v>240</v>
      </c>
      <c r="AY2079" s="5" t="s">
        <v>253</v>
      </c>
      <c r="AZ2079" s="5" t="s">
        <v>240</v>
      </c>
      <c r="BA2079" s="5" t="s">
        <v>255</v>
      </c>
      <c r="BB2079" s="5" t="s">
        <v>240</v>
      </c>
      <c r="BD2079" s="5" t="s">
        <v>240</v>
      </c>
      <c r="BF2079" s="5" t="s">
        <v>301</v>
      </c>
      <c r="BG2079" s="6" t="s">
        <v>299</v>
      </c>
      <c r="BH2079" s="5" t="s">
        <v>302</v>
      </c>
      <c r="BI2079" s="5" t="s">
        <v>303</v>
      </c>
      <c r="BJ2079" s="5" t="s">
        <v>240</v>
      </c>
      <c r="BK2079" s="8">
        <f>0</f>
        <v>0</v>
      </c>
      <c r="BL2079" s="7">
        <f>0</f>
        <v>0</v>
      </c>
      <c r="BM2079" s="5" t="s">
        <v>258</v>
      </c>
      <c r="BN2079" s="5" t="s">
        <v>259</v>
      </c>
      <c r="CB2079" s="5" t="s">
        <v>240</v>
      </c>
      <c r="CC2079" s="5" t="s">
        <v>240</v>
      </c>
      <c r="CG2079" s="5" t="s">
        <v>304</v>
      </c>
      <c r="CH2079" s="5" t="s">
        <v>305</v>
      </c>
      <c r="CI2079" s="5" t="s">
        <v>240</v>
      </c>
      <c r="CL2079" s="6" t="s">
        <v>261</v>
      </c>
      <c r="CM2079" s="5" t="s">
        <v>240</v>
      </c>
      <c r="CN2079" s="5" t="s">
        <v>263</v>
      </c>
      <c r="CO2079" s="5" t="s">
        <v>240</v>
      </c>
      <c r="CP2079" s="5" t="s">
        <v>240</v>
      </c>
      <c r="CQ2079" s="5">
        <v>0</v>
      </c>
      <c r="CR2079" s="5" t="s">
        <v>306</v>
      </c>
      <c r="CS2079" s="5" t="s">
        <v>307</v>
      </c>
      <c r="CT2079" s="5" t="s">
        <v>307</v>
      </c>
      <c r="CU2079" s="5" t="s">
        <v>260</v>
      </c>
      <c r="CX2079" s="7">
        <f>1</f>
        <v>1</v>
      </c>
      <c r="CY2079" s="7">
        <f>0</f>
        <v>0</v>
      </c>
      <c r="DA2079" s="7">
        <f>0</f>
        <v>0</v>
      </c>
      <c r="DC2079" s="5" t="s">
        <v>812</v>
      </c>
      <c r="DD2079" s="5" t="s">
        <v>240</v>
      </c>
      <c r="DF2079" s="5" t="s">
        <v>812</v>
      </c>
      <c r="DG2079" s="7">
        <f>996</f>
        <v>996</v>
      </c>
      <c r="DI2079" s="5" t="s">
        <v>240</v>
      </c>
      <c r="DJ2079" s="5" t="s">
        <v>240</v>
      </c>
      <c r="DK2079" s="5" t="s">
        <v>240</v>
      </c>
      <c r="DL2079" s="5" t="s">
        <v>240</v>
      </c>
      <c r="DP2079" s="5" t="s">
        <v>240</v>
      </c>
      <c r="DQ2079" s="5" t="s">
        <v>240</v>
      </c>
      <c r="DR2079" s="5" t="s">
        <v>240</v>
      </c>
      <c r="DS2079" s="5" t="s">
        <v>240</v>
      </c>
      <c r="DV2079" s="5" t="s">
        <v>813</v>
      </c>
      <c r="DW2079" s="5" t="s">
        <v>408</v>
      </c>
      <c r="HO2079" s="5" t="s">
        <v>312</v>
      </c>
    </row>
    <row r="2080" spans="1:223" x14ac:dyDescent="0.4">
      <c r="A2080" s="5">
        <v>3784</v>
      </c>
      <c r="B2080" s="5">
        <v>1</v>
      </c>
      <c r="C2080" s="5">
        <v>1</v>
      </c>
      <c r="D2080" s="5" t="s">
        <v>810</v>
      </c>
      <c r="E2080" s="5" t="s">
        <v>245</v>
      </c>
      <c r="F2080" s="5" t="s">
        <v>254</v>
      </c>
      <c r="G2080" s="5" t="s">
        <v>240</v>
      </c>
      <c r="H2080" s="6" t="s">
        <v>4203</v>
      </c>
      <c r="I2080" s="5" t="s">
        <v>809</v>
      </c>
      <c r="J2080" s="8">
        <f>302</f>
        <v>302</v>
      </c>
      <c r="K2080" s="5" t="s">
        <v>308</v>
      </c>
      <c r="L2080" s="7">
        <f>1</f>
        <v>1</v>
      </c>
      <c r="M2080" s="7">
        <f>1</f>
        <v>1</v>
      </c>
      <c r="N2080" s="5" t="s">
        <v>242</v>
      </c>
      <c r="O2080" s="5">
        <v>1</v>
      </c>
      <c r="P2080" s="5" t="s">
        <v>294</v>
      </c>
      <c r="Q2080" s="5" t="s">
        <v>266</v>
      </c>
      <c r="R2080" s="5" t="s">
        <v>240</v>
      </c>
      <c r="S2080" s="5" t="s">
        <v>240</v>
      </c>
      <c r="T2080" s="5" t="s">
        <v>296</v>
      </c>
      <c r="U2080" s="5" t="s">
        <v>244</v>
      </c>
      <c r="V2080" s="5" t="s">
        <v>240</v>
      </c>
      <c r="Y2080" s="5" t="s">
        <v>240</v>
      </c>
      <c r="Z2080" s="6" t="s">
        <v>298</v>
      </c>
      <c r="AB2080" s="6" t="s">
        <v>240</v>
      </c>
      <c r="AE2080" s="6" t="s">
        <v>299</v>
      </c>
      <c r="AF2080" s="5" t="s">
        <v>248</v>
      </c>
      <c r="AG2080" s="5" t="s">
        <v>249</v>
      </c>
      <c r="AW2080" s="5" t="s">
        <v>251</v>
      </c>
      <c r="AX2080" s="5" t="s">
        <v>240</v>
      </c>
      <c r="AY2080" s="5" t="s">
        <v>253</v>
      </c>
      <c r="AZ2080" s="5" t="s">
        <v>240</v>
      </c>
      <c r="BA2080" s="5" t="s">
        <v>255</v>
      </c>
      <c r="BB2080" s="5" t="s">
        <v>240</v>
      </c>
      <c r="BD2080" s="5" t="s">
        <v>240</v>
      </c>
      <c r="BF2080" s="5" t="s">
        <v>301</v>
      </c>
      <c r="BG2080" s="6" t="s">
        <v>299</v>
      </c>
      <c r="BH2080" s="5" t="s">
        <v>302</v>
      </c>
      <c r="BI2080" s="5" t="s">
        <v>303</v>
      </c>
      <c r="BJ2080" s="5" t="s">
        <v>240</v>
      </c>
      <c r="BK2080" s="8">
        <f>0</f>
        <v>0</v>
      </c>
      <c r="BL2080" s="7">
        <f>0</f>
        <v>0</v>
      </c>
      <c r="BM2080" s="5" t="s">
        <v>258</v>
      </c>
      <c r="BN2080" s="5" t="s">
        <v>259</v>
      </c>
      <c r="CB2080" s="5" t="s">
        <v>240</v>
      </c>
      <c r="CC2080" s="5" t="s">
        <v>240</v>
      </c>
      <c r="CG2080" s="5" t="s">
        <v>304</v>
      </c>
      <c r="CH2080" s="5" t="s">
        <v>305</v>
      </c>
      <c r="CI2080" s="5" t="s">
        <v>240</v>
      </c>
      <c r="CL2080" s="6" t="s">
        <v>261</v>
      </c>
      <c r="CM2080" s="5" t="s">
        <v>240</v>
      </c>
      <c r="CN2080" s="5" t="s">
        <v>263</v>
      </c>
      <c r="CO2080" s="5" t="s">
        <v>240</v>
      </c>
      <c r="CP2080" s="5" t="s">
        <v>240</v>
      </c>
      <c r="CQ2080" s="5">
        <v>0</v>
      </c>
      <c r="CR2080" s="5" t="s">
        <v>306</v>
      </c>
      <c r="CS2080" s="5" t="s">
        <v>307</v>
      </c>
      <c r="CT2080" s="5" t="s">
        <v>307</v>
      </c>
      <c r="CU2080" s="5" t="s">
        <v>260</v>
      </c>
      <c r="CX2080" s="7">
        <f>1</f>
        <v>1</v>
      </c>
      <c r="CY2080" s="7">
        <f>0</f>
        <v>0</v>
      </c>
      <c r="DA2080" s="7">
        <f>0</f>
        <v>0</v>
      </c>
      <c r="DC2080" s="5" t="s">
        <v>812</v>
      </c>
      <c r="DD2080" s="5" t="s">
        <v>240</v>
      </c>
      <c r="DF2080" s="5" t="s">
        <v>812</v>
      </c>
      <c r="DG2080" s="7">
        <f>1409</f>
        <v>1409</v>
      </c>
      <c r="DI2080" s="5" t="s">
        <v>240</v>
      </c>
      <c r="DJ2080" s="5" t="s">
        <v>240</v>
      </c>
      <c r="DK2080" s="5" t="s">
        <v>240</v>
      </c>
      <c r="DL2080" s="5" t="s">
        <v>240</v>
      </c>
      <c r="DP2080" s="5" t="s">
        <v>240</v>
      </c>
      <c r="DQ2080" s="5" t="s">
        <v>240</v>
      </c>
      <c r="DR2080" s="5" t="s">
        <v>240</v>
      </c>
      <c r="DS2080" s="5" t="s">
        <v>240</v>
      </c>
      <c r="DV2080" s="5" t="s">
        <v>813</v>
      </c>
      <c r="DW2080" s="5" t="s">
        <v>972</v>
      </c>
      <c r="HO2080" s="5" t="s">
        <v>312</v>
      </c>
    </row>
    <row r="2081" spans="1:223" x14ac:dyDescent="0.4">
      <c r="A2081" s="5">
        <v>3785</v>
      </c>
      <c r="B2081" s="5">
        <v>1</v>
      </c>
      <c r="C2081" s="5">
        <v>1</v>
      </c>
      <c r="D2081" s="5" t="s">
        <v>810</v>
      </c>
      <c r="E2081" s="5" t="s">
        <v>245</v>
      </c>
      <c r="F2081" s="5" t="s">
        <v>254</v>
      </c>
      <c r="G2081" s="5" t="s">
        <v>240</v>
      </c>
      <c r="H2081" s="6" t="s">
        <v>5341</v>
      </c>
      <c r="I2081" s="5" t="s">
        <v>809</v>
      </c>
      <c r="J2081" s="8">
        <f>1046</f>
        <v>1046</v>
      </c>
      <c r="K2081" s="5" t="s">
        <v>308</v>
      </c>
      <c r="L2081" s="7">
        <f>1</f>
        <v>1</v>
      </c>
      <c r="M2081" s="7">
        <f>1</f>
        <v>1</v>
      </c>
      <c r="N2081" s="5" t="s">
        <v>242</v>
      </c>
      <c r="O2081" s="5">
        <v>1</v>
      </c>
      <c r="P2081" s="5" t="s">
        <v>294</v>
      </c>
      <c r="Q2081" s="5" t="s">
        <v>266</v>
      </c>
      <c r="R2081" s="5" t="s">
        <v>240</v>
      </c>
      <c r="S2081" s="5" t="s">
        <v>240</v>
      </c>
      <c r="T2081" s="5" t="s">
        <v>296</v>
      </c>
      <c r="U2081" s="5" t="s">
        <v>244</v>
      </c>
      <c r="V2081" s="5" t="s">
        <v>240</v>
      </c>
      <c r="Y2081" s="5" t="s">
        <v>240</v>
      </c>
      <c r="Z2081" s="6" t="s">
        <v>298</v>
      </c>
      <c r="AB2081" s="6" t="s">
        <v>240</v>
      </c>
      <c r="AE2081" s="6" t="s">
        <v>299</v>
      </c>
      <c r="AF2081" s="5" t="s">
        <v>248</v>
      </c>
      <c r="AG2081" s="5" t="s">
        <v>249</v>
      </c>
      <c r="AW2081" s="5" t="s">
        <v>251</v>
      </c>
      <c r="AX2081" s="5" t="s">
        <v>240</v>
      </c>
      <c r="AY2081" s="5" t="s">
        <v>253</v>
      </c>
      <c r="AZ2081" s="5" t="s">
        <v>240</v>
      </c>
      <c r="BA2081" s="5" t="s">
        <v>255</v>
      </c>
      <c r="BB2081" s="5" t="s">
        <v>240</v>
      </c>
      <c r="BD2081" s="5" t="s">
        <v>240</v>
      </c>
      <c r="BF2081" s="5" t="s">
        <v>301</v>
      </c>
      <c r="BG2081" s="6" t="s">
        <v>299</v>
      </c>
      <c r="BH2081" s="5" t="s">
        <v>302</v>
      </c>
      <c r="BI2081" s="5" t="s">
        <v>303</v>
      </c>
      <c r="BJ2081" s="5" t="s">
        <v>240</v>
      </c>
      <c r="BK2081" s="8">
        <f>0</f>
        <v>0</v>
      </c>
      <c r="BL2081" s="7">
        <f>0</f>
        <v>0</v>
      </c>
      <c r="BM2081" s="5" t="s">
        <v>258</v>
      </c>
      <c r="BN2081" s="5" t="s">
        <v>259</v>
      </c>
      <c r="CB2081" s="5" t="s">
        <v>240</v>
      </c>
      <c r="CC2081" s="5" t="s">
        <v>240</v>
      </c>
      <c r="CG2081" s="5" t="s">
        <v>304</v>
      </c>
      <c r="CH2081" s="5" t="s">
        <v>305</v>
      </c>
      <c r="CI2081" s="5" t="s">
        <v>240</v>
      </c>
      <c r="CL2081" s="6" t="s">
        <v>261</v>
      </c>
      <c r="CM2081" s="5" t="s">
        <v>240</v>
      </c>
      <c r="CN2081" s="5" t="s">
        <v>263</v>
      </c>
      <c r="CO2081" s="5" t="s">
        <v>240</v>
      </c>
      <c r="CP2081" s="5" t="s">
        <v>240</v>
      </c>
      <c r="CQ2081" s="5">
        <v>0</v>
      </c>
      <c r="CR2081" s="5" t="s">
        <v>306</v>
      </c>
      <c r="CS2081" s="5" t="s">
        <v>307</v>
      </c>
      <c r="CT2081" s="5" t="s">
        <v>307</v>
      </c>
      <c r="CU2081" s="5" t="s">
        <v>260</v>
      </c>
      <c r="CX2081" s="7">
        <f>1</f>
        <v>1</v>
      </c>
      <c r="CY2081" s="7">
        <f>0</f>
        <v>0</v>
      </c>
      <c r="DA2081" s="7">
        <f>0</f>
        <v>0</v>
      </c>
      <c r="DC2081" s="5" t="s">
        <v>812</v>
      </c>
      <c r="DD2081" s="5" t="s">
        <v>240</v>
      </c>
      <c r="DF2081" s="5" t="s">
        <v>812</v>
      </c>
      <c r="DG2081" s="7">
        <f>46</f>
        <v>46</v>
      </c>
      <c r="DI2081" s="5" t="s">
        <v>240</v>
      </c>
      <c r="DJ2081" s="5" t="s">
        <v>240</v>
      </c>
      <c r="DK2081" s="5" t="s">
        <v>240</v>
      </c>
      <c r="DL2081" s="5" t="s">
        <v>240</v>
      </c>
      <c r="DP2081" s="5" t="s">
        <v>240</v>
      </c>
      <c r="DQ2081" s="5" t="s">
        <v>240</v>
      </c>
      <c r="DR2081" s="5" t="s">
        <v>240</v>
      </c>
      <c r="DS2081" s="5" t="s">
        <v>240</v>
      </c>
      <c r="DV2081" s="5" t="s">
        <v>813</v>
      </c>
      <c r="DW2081" s="5" t="s">
        <v>412</v>
      </c>
      <c r="HO2081" s="5" t="s">
        <v>312</v>
      </c>
    </row>
    <row r="2082" spans="1:223" x14ac:dyDescent="0.4">
      <c r="A2082" s="5">
        <v>3786</v>
      </c>
      <c r="B2082" s="5">
        <v>1</v>
      </c>
      <c r="C2082" s="5">
        <v>1</v>
      </c>
      <c r="D2082" s="5" t="s">
        <v>810</v>
      </c>
      <c r="E2082" s="5" t="s">
        <v>245</v>
      </c>
      <c r="F2082" s="5" t="s">
        <v>254</v>
      </c>
      <c r="G2082" s="5" t="s">
        <v>240</v>
      </c>
      <c r="H2082" s="6" t="s">
        <v>4201</v>
      </c>
      <c r="I2082" s="5" t="s">
        <v>809</v>
      </c>
      <c r="J2082" s="8">
        <f>424</f>
        <v>424</v>
      </c>
      <c r="K2082" s="5" t="s">
        <v>308</v>
      </c>
      <c r="L2082" s="7">
        <f>1</f>
        <v>1</v>
      </c>
      <c r="M2082" s="7">
        <f>1</f>
        <v>1</v>
      </c>
      <c r="N2082" s="5" t="s">
        <v>242</v>
      </c>
      <c r="O2082" s="5">
        <v>1</v>
      </c>
      <c r="P2082" s="5" t="s">
        <v>294</v>
      </c>
      <c r="Q2082" s="5" t="s">
        <v>266</v>
      </c>
      <c r="R2082" s="5" t="s">
        <v>240</v>
      </c>
      <c r="S2082" s="5" t="s">
        <v>240</v>
      </c>
      <c r="T2082" s="5" t="s">
        <v>296</v>
      </c>
      <c r="U2082" s="5" t="s">
        <v>244</v>
      </c>
      <c r="V2082" s="5" t="s">
        <v>240</v>
      </c>
      <c r="Y2082" s="5" t="s">
        <v>240</v>
      </c>
      <c r="Z2082" s="6" t="s">
        <v>298</v>
      </c>
      <c r="AB2082" s="6" t="s">
        <v>240</v>
      </c>
      <c r="AE2082" s="6" t="s">
        <v>299</v>
      </c>
      <c r="AF2082" s="5" t="s">
        <v>248</v>
      </c>
      <c r="AG2082" s="5" t="s">
        <v>249</v>
      </c>
      <c r="AW2082" s="5" t="s">
        <v>251</v>
      </c>
      <c r="AX2082" s="5" t="s">
        <v>240</v>
      </c>
      <c r="AY2082" s="5" t="s">
        <v>253</v>
      </c>
      <c r="AZ2082" s="5" t="s">
        <v>240</v>
      </c>
      <c r="BA2082" s="5" t="s">
        <v>255</v>
      </c>
      <c r="BB2082" s="5" t="s">
        <v>240</v>
      </c>
      <c r="BD2082" s="5" t="s">
        <v>240</v>
      </c>
      <c r="BF2082" s="5" t="s">
        <v>301</v>
      </c>
      <c r="BG2082" s="6" t="s">
        <v>299</v>
      </c>
      <c r="BH2082" s="5" t="s">
        <v>302</v>
      </c>
      <c r="BI2082" s="5" t="s">
        <v>303</v>
      </c>
      <c r="BJ2082" s="5" t="s">
        <v>240</v>
      </c>
      <c r="BK2082" s="8">
        <f>0</f>
        <v>0</v>
      </c>
      <c r="BL2082" s="7">
        <f>0</f>
        <v>0</v>
      </c>
      <c r="BM2082" s="5" t="s">
        <v>258</v>
      </c>
      <c r="BN2082" s="5" t="s">
        <v>259</v>
      </c>
      <c r="CB2082" s="5" t="s">
        <v>240</v>
      </c>
      <c r="CC2082" s="5" t="s">
        <v>240</v>
      </c>
      <c r="CG2082" s="5" t="s">
        <v>304</v>
      </c>
      <c r="CH2082" s="5" t="s">
        <v>305</v>
      </c>
      <c r="CI2082" s="5" t="s">
        <v>240</v>
      </c>
      <c r="CL2082" s="6" t="s">
        <v>261</v>
      </c>
      <c r="CM2082" s="5" t="s">
        <v>240</v>
      </c>
      <c r="CN2082" s="5" t="s">
        <v>263</v>
      </c>
      <c r="CO2082" s="5" t="s">
        <v>240</v>
      </c>
      <c r="CP2082" s="5" t="s">
        <v>240</v>
      </c>
      <c r="CQ2082" s="5">
        <v>0</v>
      </c>
      <c r="CR2082" s="5" t="s">
        <v>306</v>
      </c>
      <c r="CS2082" s="5" t="s">
        <v>307</v>
      </c>
      <c r="CT2082" s="5" t="s">
        <v>307</v>
      </c>
      <c r="CU2082" s="5" t="s">
        <v>260</v>
      </c>
      <c r="CX2082" s="7">
        <f>1</f>
        <v>1</v>
      </c>
      <c r="CY2082" s="7">
        <f>0</f>
        <v>0</v>
      </c>
      <c r="DA2082" s="7">
        <f>0</f>
        <v>0</v>
      </c>
      <c r="DC2082" s="5" t="s">
        <v>812</v>
      </c>
      <c r="DD2082" s="5" t="s">
        <v>240</v>
      </c>
      <c r="DF2082" s="5" t="s">
        <v>812</v>
      </c>
      <c r="DG2082" s="7">
        <f>4.16</f>
        <v>4.16</v>
      </c>
      <c r="DI2082" s="5" t="s">
        <v>240</v>
      </c>
      <c r="DJ2082" s="5" t="s">
        <v>240</v>
      </c>
      <c r="DK2082" s="5" t="s">
        <v>240</v>
      </c>
      <c r="DL2082" s="5" t="s">
        <v>240</v>
      </c>
      <c r="DP2082" s="5" t="s">
        <v>240</v>
      </c>
      <c r="DQ2082" s="5" t="s">
        <v>240</v>
      </c>
      <c r="DR2082" s="5" t="s">
        <v>240</v>
      </c>
      <c r="DS2082" s="5" t="s">
        <v>240</v>
      </c>
      <c r="DV2082" s="5" t="s">
        <v>813</v>
      </c>
      <c r="DW2082" s="5" t="s">
        <v>414</v>
      </c>
      <c r="HO2082" s="5" t="s">
        <v>312</v>
      </c>
    </row>
    <row r="2083" spans="1:223" x14ac:dyDescent="0.4">
      <c r="A2083" s="5">
        <v>3787</v>
      </c>
      <c r="B2083" s="5">
        <v>1</v>
      </c>
      <c r="C2083" s="5">
        <v>1</v>
      </c>
      <c r="D2083" s="5" t="s">
        <v>810</v>
      </c>
      <c r="E2083" s="5" t="s">
        <v>245</v>
      </c>
      <c r="F2083" s="5" t="s">
        <v>254</v>
      </c>
      <c r="G2083" s="5" t="s">
        <v>240</v>
      </c>
      <c r="H2083" s="6" t="s">
        <v>4200</v>
      </c>
      <c r="I2083" s="5" t="s">
        <v>809</v>
      </c>
      <c r="J2083" s="8">
        <f>593</f>
        <v>593</v>
      </c>
      <c r="K2083" s="5" t="s">
        <v>308</v>
      </c>
      <c r="L2083" s="7">
        <f>1</f>
        <v>1</v>
      </c>
      <c r="M2083" s="7">
        <f>1</f>
        <v>1</v>
      </c>
      <c r="N2083" s="5" t="s">
        <v>242</v>
      </c>
      <c r="O2083" s="5">
        <v>1</v>
      </c>
      <c r="P2083" s="5" t="s">
        <v>294</v>
      </c>
      <c r="Q2083" s="5" t="s">
        <v>266</v>
      </c>
      <c r="R2083" s="5" t="s">
        <v>240</v>
      </c>
      <c r="S2083" s="5" t="s">
        <v>240</v>
      </c>
      <c r="T2083" s="5" t="s">
        <v>296</v>
      </c>
      <c r="U2083" s="5" t="s">
        <v>244</v>
      </c>
      <c r="V2083" s="5" t="s">
        <v>240</v>
      </c>
      <c r="Y2083" s="5" t="s">
        <v>240</v>
      </c>
      <c r="Z2083" s="6" t="s">
        <v>298</v>
      </c>
      <c r="AB2083" s="6" t="s">
        <v>240</v>
      </c>
      <c r="AE2083" s="6" t="s">
        <v>299</v>
      </c>
      <c r="AF2083" s="5" t="s">
        <v>248</v>
      </c>
      <c r="AG2083" s="5" t="s">
        <v>249</v>
      </c>
      <c r="AW2083" s="5" t="s">
        <v>251</v>
      </c>
      <c r="AX2083" s="5" t="s">
        <v>240</v>
      </c>
      <c r="AY2083" s="5" t="s">
        <v>253</v>
      </c>
      <c r="AZ2083" s="5" t="s">
        <v>240</v>
      </c>
      <c r="BA2083" s="5" t="s">
        <v>255</v>
      </c>
      <c r="BB2083" s="5" t="s">
        <v>240</v>
      </c>
      <c r="BD2083" s="5" t="s">
        <v>240</v>
      </c>
      <c r="BF2083" s="5" t="s">
        <v>301</v>
      </c>
      <c r="BG2083" s="6" t="s">
        <v>299</v>
      </c>
      <c r="BH2083" s="5" t="s">
        <v>302</v>
      </c>
      <c r="BI2083" s="5" t="s">
        <v>303</v>
      </c>
      <c r="BJ2083" s="5" t="s">
        <v>240</v>
      </c>
      <c r="BK2083" s="8">
        <f>0</f>
        <v>0</v>
      </c>
      <c r="BL2083" s="7">
        <f>0</f>
        <v>0</v>
      </c>
      <c r="BM2083" s="5" t="s">
        <v>258</v>
      </c>
      <c r="BN2083" s="5" t="s">
        <v>259</v>
      </c>
      <c r="CB2083" s="5" t="s">
        <v>240</v>
      </c>
      <c r="CC2083" s="5" t="s">
        <v>240</v>
      </c>
      <c r="CG2083" s="5" t="s">
        <v>304</v>
      </c>
      <c r="CH2083" s="5" t="s">
        <v>305</v>
      </c>
      <c r="CI2083" s="5" t="s">
        <v>240</v>
      </c>
      <c r="CL2083" s="6" t="s">
        <v>261</v>
      </c>
      <c r="CM2083" s="5" t="s">
        <v>240</v>
      </c>
      <c r="CN2083" s="5" t="s">
        <v>263</v>
      </c>
      <c r="CO2083" s="5" t="s">
        <v>240</v>
      </c>
      <c r="CP2083" s="5" t="s">
        <v>240</v>
      </c>
      <c r="CQ2083" s="5">
        <v>0</v>
      </c>
      <c r="CR2083" s="5" t="s">
        <v>306</v>
      </c>
      <c r="CS2083" s="5" t="s">
        <v>307</v>
      </c>
      <c r="CT2083" s="5" t="s">
        <v>307</v>
      </c>
      <c r="CU2083" s="5" t="s">
        <v>260</v>
      </c>
      <c r="CX2083" s="7">
        <f>1</f>
        <v>1</v>
      </c>
      <c r="CY2083" s="7">
        <f>0</f>
        <v>0</v>
      </c>
      <c r="DA2083" s="7">
        <f>0</f>
        <v>0</v>
      </c>
      <c r="DC2083" s="5" t="s">
        <v>812</v>
      </c>
      <c r="DD2083" s="5" t="s">
        <v>240</v>
      </c>
      <c r="DF2083" s="5" t="s">
        <v>812</v>
      </c>
      <c r="DG2083" s="7">
        <f>544</f>
        <v>544</v>
      </c>
      <c r="DI2083" s="5" t="s">
        <v>240</v>
      </c>
      <c r="DJ2083" s="5" t="s">
        <v>240</v>
      </c>
      <c r="DK2083" s="5" t="s">
        <v>240</v>
      </c>
      <c r="DL2083" s="5" t="s">
        <v>240</v>
      </c>
      <c r="DP2083" s="5" t="s">
        <v>240</v>
      </c>
      <c r="DQ2083" s="5" t="s">
        <v>240</v>
      </c>
      <c r="DR2083" s="5" t="s">
        <v>240</v>
      </c>
      <c r="DS2083" s="5" t="s">
        <v>240</v>
      </c>
      <c r="DV2083" s="5" t="s">
        <v>813</v>
      </c>
      <c r="DW2083" s="5" t="s">
        <v>416</v>
      </c>
      <c r="HO2083" s="5" t="s">
        <v>312</v>
      </c>
    </row>
    <row r="2084" spans="1:223" x14ac:dyDescent="0.4">
      <c r="A2084" s="5">
        <v>3788</v>
      </c>
      <c r="B2084" s="5">
        <v>1</v>
      </c>
      <c r="C2084" s="5">
        <v>1</v>
      </c>
      <c r="D2084" s="5" t="s">
        <v>810</v>
      </c>
      <c r="E2084" s="5" t="s">
        <v>245</v>
      </c>
      <c r="F2084" s="5" t="s">
        <v>254</v>
      </c>
      <c r="G2084" s="5" t="s">
        <v>240</v>
      </c>
      <c r="H2084" s="6" t="s">
        <v>4199</v>
      </c>
      <c r="I2084" s="5" t="s">
        <v>809</v>
      </c>
      <c r="J2084" s="8">
        <f>1663</f>
        <v>1663</v>
      </c>
      <c r="K2084" s="5" t="s">
        <v>308</v>
      </c>
      <c r="L2084" s="7">
        <f>1</f>
        <v>1</v>
      </c>
      <c r="M2084" s="7">
        <f>1</f>
        <v>1</v>
      </c>
      <c r="N2084" s="5" t="s">
        <v>242</v>
      </c>
      <c r="O2084" s="5">
        <v>1</v>
      </c>
      <c r="P2084" s="5" t="s">
        <v>294</v>
      </c>
      <c r="Q2084" s="5" t="s">
        <v>266</v>
      </c>
      <c r="R2084" s="5" t="s">
        <v>240</v>
      </c>
      <c r="S2084" s="5" t="s">
        <v>240</v>
      </c>
      <c r="T2084" s="5" t="s">
        <v>296</v>
      </c>
      <c r="U2084" s="5" t="s">
        <v>244</v>
      </c>
      <c r="V2084" s="5" t="s">
        <v>240</v>
      </c>
      <c r="Y2084" s="5" t="s">
        <v>240</v>
      </c>
      <c r="Z2084" s="6" t="s">
        <v>298</v>
      </c>
      <c r="AB2084" s="6" t="s">
        <v>240</v>
      </c>
      <c r="AE2084" s="6" t="s">
        <v>299</v>
      </c>
      <c r="AF2084" s="5" t="s">
        <v>248</v>
      </c>
      <c r="AG2084" s="5" t="s">
        <v>249</v>
      </c>
      <c r="AW2084" s="5" t="s">
        <v>251</v>
      </c>
      <c r="AX2084" s="5" t="s">
        <v>240</v>
      </c>
      <c r="AY2084" s="5" t="s">
        <v>253</v>
      </c>
      <c r="AZ2084" s="5" t="s">
        <v>240</v>
      </c>
      <c r="BA2084" s="5" t="s">
        <v>255</v>
      </c>
      <c r="BB2084" s="5" t="s">
        <v>240</v>
      </c>
      <c r="BD2084" s="5" t="s">
        <v>240</v>
      </c>
      <c r="BF2084" s="5" t="s">
        <v>301</v>
      </c>
      <c r="BG2084" s="6" t="s">
        <v>299</v>
      </c>
      <c r="BH2084" s="5" t="s">
        <v>302</v>
      </c>
      <c r="BI2084" s="5" t="s">
        <v>303</v>
      </c>
      <c r="BJ2084" s="5" t="s">
        <v>240</v>
      </c>
      <c r="BK2084" s="8">
        <f>0</f>
        <v>0</v>
      </c>
      <c r="BL2084" s="7">
        <f>0</f>
        <v>0</v>
      </c>
      <c r="BM2084" s="5" t="s">
        <v>258</v>
      </c>
      <c r="BN2084" s="5" t="s">
        <v>259</v>
      </c>
      <c r="CB2084" s="5" t="s">
        <v>240</v>
      </c>
      <c r="CC2084" s="5" t="s">
        <v>240</v>
      </c>
      <c r="CG2084" s="5" t="s">
        <v>304</v>
      </c>
      <c r="CH2084" s="5" t="s">
        <v>305</v>
      </c>
      <c r="CI2084" s="5" t="s">
        <v>240</v>
      </c>
      <c r="CL2084" s="6" t="s">
        <v>261</v>
      </c>
      <c r="CM2084" s="5" t="s">
        <v>240</v>
      </c>
      <c r="CN2084" s="5" t="s">
        <v>263</v>
      </c>
      <c r="CO2084" s="5" t="s">
        <v>240</v>
      </c>
      <c r="CP2084" s="5" t="s">
        <v>240</v>
      </c>
      <c r="CQ2084" s="5">
        <v>0</v>
      </c>
      <c r="CR2084" s="5" t="s">
        <v>306</v>
      </c>
      <c r="CS2084" s="5" t="s">
        <v>307</v>
      </c>
      <c r="CT2084" s="5" t="s">
        <v>307</v>
      </c>
      <c r="CU2084" s="5" t="s">
        <v>260</v>
      </c>
      <c r="CX2084" s="7">
        <f>1</f>
        <v>1</v>
      </c>
      <c r="CY2084" s="7">
        <f>0</f>
        <v>0</v>
      </c>
      <c r="DA2084" s="7">
        <f>0</f>
        <v>0</v>
      </c>
      <c r="DC2084" s="5" t="s">
        <v>812</v>
      </c>
      <c r="DD2084" s="5" t="s">
        <v>240</v>
      </c>
      <c r="DF2084" s="5" t="s">
        <v>812</v>
      </c>
      <c r="DG2084" s="7">
        <f>198</f>
        <v>198</v>
      </c>
      <c r="DI2084" s="5" t="s">
        <v>240</v>
      </c>
      <c r="DJ2084" s="5" t="s">
        <v>240</v>
      </c>
      <c r="DK2084" s="5" t="s">
        <v>240</v>
      </c>
      <c r="DL2084" s="5" t="s">
        <v>240</v>
      </c>
      <c r="DP2084" s="5" t="s">
        <v>240</v>
      </c>
      <c r="DQ2084" s="5" t="s">
        <v>240</v>
      </c>
      <c r="DR2084" s="5" t="s">
        <v>240</v>
      </c>
      <c r="DS2084" s="5" t="s">
        <v>240</v>
      </c>
      <c r="DV2084" s="5" t="s">
        <v>813</v>
      </c>
      <c r="DW2084" s="5" t="s">
        <v>977</v>
      </c>
      <c r="HO2084" s="5" t="s">
        <v>312</v>
      </c>
    </row>
    <row r="2085" spans="1:223" x14ac:dyDescent="0.4">
      <c r="A2085" s="5">
        <v>3789</v>
      </c>
      <c r="B2085" s="5">
        <v>1</v>
      </c>
      <c r="C2085" s="5">
        <v>1</v>
      </c>
      <c r="D2085" s="5" t="s">
        <v>810</v>
      </c>
      <c r="E2085" s="5" t="s">
        <v>245</v>
      </c>
      <c r="F2085" s="5" t="s">
        <v>254</v>
      </c>
      <c r="G2085" s="5" t="s">
        <v>240</v>
      </c>
      <c r="H2085" s="6" t="s">
        <v>4198</v>
      </c>
      <c r="I2085" s="5" t="s">
        <v>809</v>
      </c>
      <c r="J2085" s="8">
        <f>620</f>
        <v>620</v>
      </c>
      <c r="K2085" s="5" t="s">
        <v>308</v>
      </c>
      <c r="L2085" s="7">
        <f>1</f>
        <v>1</v>
      </c>
      <c r="M2085" s="7">
        <f>1</f>
        <v>1</v>
      </c>
      <c r="N2085" s="5" t="s">
        <v>242</v>
      </c>
      <c r="O2085" s="5">
        <v>1</v>
      </c>
      <c r="P2085" s="5" t="s">
        <v>294</v>
      </c>
      <c r="Q2085" s="5" t="s">
        <v>266</v>
      </c>
      <c r="R2085" s="5" t="s">
        <v>240</v>
      </c>
      <c r="S2085" s="5" t="s">
        <v>240</v>
      </c>
      <c r="T2085" s="5" t="s">
        <v>296</v>
      </c>
      <c r="U2085" s="5" t="s">
        <v>244</v>
      </c>
      <c r="V2085" s="5" t="s">
        <v>240</v>
      </c>
      <c r="Y2085" s="5" t="s">
        <v>240</v>
      </c>
      <c r="Z2085" s="6" t="s">
        <v>298</v>
      </c>
      <c r="AB2085" s="6" t="s">
        <v>240</v>
      </c>
      <c r="AE2085" s="6" t="s">
        <v>299</v>
      </c>
      <c r="AF2085" s="5" t="s">
        <v>248</v>
      </c>
      <c r="AG2085" s="5" t="s">
        <v>249</v>
      </c>
      <c r="AW2085" s="5" t="s">
        <v>251</v>
      </c>
      <c r="AX2085" s="5" t="s">
        <v>240</v>
      </c>
      <c r="AY2085" s="5" t="s">
        <v>253</v>
      </c>
      <c r="AZ2085" s="5" t="s">
        <v>240</v>
      </c>
      <c r="BA2085" s="5" t="s">
        <v>255</v>
      </c>
      <c r="BB2085" s="5" t="s">
        <v>240</v>
      </c>
      <c r="BD2085" s="5" t="s">
        <v>240</v>
      </c>
      <c r="BF2085" s="5" t="s">
        <v>301</v>
      </c>
      <c r="BG2085" s="6" t="s">
        <v>299</v>
      </c>
      <c r="BH2085" s="5" t="s">
        <v>302</v>
      </c>
      <c r="BI2085" s="5" t="s">
        <v>303</v>
      </c>
      <c r="BJ2085" s="5" t="s">
        <v>240</v>
      </c>
      <c r="BK2085" s="8">
        <f>0</f>
        <v>0</v>
      </c>
      <c r="BL2085" s="7">
        <f>0</f>
        <v>0</v>
      </c>
      <c r="BM2085" s="5" t="s">
        <v>258</v>
      </c>
      <c r="BN2085" s="5" t="s">
        <v>259</v>
      </c>
      <c r="CB2085" s="5" t="s">
        <v>240</v>
      </c>
      <c r="CC2085" s="5" t="s">
        <v>240</v>
      </c>
      <c r="CG2085" s="5" t="s">
        <v>304</v>
      </c>
      <c r="CH2085" s="5" t="s">
        <v>305</v>
      </c>
      <c r="CI2085" s="5" t="s">
        <v>240</v>
      </c>
      <c r="CL2085" s="6" t="s">
        <v>261</v>
      </c>
      <c r="CM2085" s="5" t="s">
        <v>240</v>
      </c>
      <c r="CN2085" s="5" t="s">
        <v>263</v>
      </c>
      <c r="CO2085" s="5" t="s">
        <v>240</v>
      </c>
      <c r="CP2085" s="5" t="s">
        <v>240</v>
      </c>
      <c r="CQ2085" s="5">
        <v>0</v>
      </c>
      <c r="CR2085" s="5" t="s">
        <v>306</v>
      </c>
      <c r="CS2085" s="5" t="s">
        <v>307</v>
      </c>
      <c r="CT2085" s="5" t="s">
        <v>307</v>
      </c>
      <c r="CU2085" s="5" t="s">
        <v>260</v>
      </c>
      <c r="CX2085" s="7">
        <f>1</f>
        <v>1</v>
      </c>
      <c r="CY2085" s="7">
        <f>0</f>
        <v>0</v>
      </c>
      <c r="DA2085" s="7">
        <f>0</f>
        <v>0</v>
      </c>
      <c r="DC2085" s="5" t="s">
        <v>812</v>
      </c>
      <c r="DD2085" s="5" t="s">
        <v>240</v>
      </c>
      <c r="DF2085" s="5" t="s">
        <v>812</v>
      </c>
      <c r="DG2085" s="7">
        <f>394</f>
        <v>394</v>
      </c>
      <c r="DI2085" s="5" t="s">
        <v>240</v>
      </c>
      <c r="DJ2085" s="5" t="s">
        <v>240</v>
      </c>
      <c r="DK2085" s="5" t="s">
        <v>240</v>
      </c>
      <c r="DL2085" s="5" t="s">
        <v>240</v>
      </c>
      <c r="DP2085" s="5" t="s">
        <v>240</v>
      </c>
      <c r="DQ2085" s="5" t="s">
        <v>240</v>
      </c>
      <c r="DR2085" s="5" t="s">
        <v>240</v>
      </c>
      <c r="DS2085" s="5" t="s">
        <v>240</v>
      </c>
      <c r="DV2085" s="5" t="s">
        <v>813</v>
      </c>
      <c r="DW2085" s="5" t="s">
        <v>422</v>
      </c>
      <c r="HO2085" s="5" t="s">
        <v>312</v>
      </c>
    </row>
    <row r="2086" spans="1:223" x14ac:dyDescent="0.4">
      <c r="A2086" s="5">
        <v>3790</v>
      </c>
      <c r="B2086" s="5">
        <v>1</v>
      </c>
      <c r="C2086" s="5">
        <v>1</v>
      </c>
      <c r="D2086" s="5" t="s">
        <v>810</v>
      </c>
      <c r="E2086" s="5" t="s">
        <v>245</v>
      </c>
      <c r="F2086" s="5" t="s">
        <v>254</v>
      </c>
      <c r="G2086" s="5" t="s">
        <v>240</v>
      </c>
      <c r="H2086" s="6" t="s">
        <v>4197</v>
      </c>
      <c r="I2086" s="5" t="s">
        <v>809</v>
      </c>
      <c r="J2086" s="8">
        <f>1356</f>
        <v>1356</v>
      </c>
      <c r="K2086" s="5" t="s">
        <v>308</v>
      </c>
      <c r="L2086" s="7">
        <f>1</f>
        <v>1</v>
      </c>
      <c r="M2086" s="7">
        <f>1</f>
        <v>1</v>
      </c>
      <c r="N2086" s="5" t="s">
        <v>242</v>
      </c>
      <c r="O2086" s="5">
        <v>1</v>
      </c>
      <c r="P2086" s="5" t="s">
        <v>294</v>
      </c>
      <c r="Q2086" s="5" t="s">
        <v>266</v>
      </c>
      <c r="R2086" s="5" t="s">
        <v>240</v>
      </c>
      <c r="S2086" s="5" t="s">
        <v>240</v>
      </c>
      <c r="T2086" s="5" t="s">
        <v>296</v>
      </c>
      <c r="U2086" s="5" t="s">
        <v>244</v>
      </c>
      <c r="V2086" s="5" t="s">
        <v>240</v>
      </c>
      <c r="Y2086" s="5" t="s">
        <v>240</v>
      </c>
      <c r="Z2086" s="6" t="s">
        <v>298</v>
      </c>
      <c r="AB2086" s="6" t="s">
        <v>240</v>
      </c>
      <c r="AE2086" s="6" t="s">
        <v>299</v>
      </c>
      <c r="AF2086" s="5" t="s">
        <v>248</v>
      </c>
      <c r="AG2086" s="5" t="s">
        <v>249</v>
      </c>
      <c r="AW2086" s="5" t="s">
        <v>251</v>
      </c>
      <c r="AX2086" s="5" t="s">
        <v>240</v>
      </c>
      <c r="AY2086" s="5" t="s">
        <v>253</v>
      </c>
      <c r="AZ2086" s="5" t="s">
        <v>240</v>
      </c>
      <c r="BA2086" s="5" t="s">
        <v>255</v>
      </c>
      <c r="BB2086" s="5" t="s">
        <v>240</v>
      </c>
      <c r="BD2086" s="5" t="s">
        <v>240</v>
      </c>
      <c r="BF2086" s="5" t="s">
        <v>301</v>
      </c>
      <c r="BG2086" s="6" t="s">
        <v>299</v>
      </c>
      <c r="BH2086" s="5" t="s">
        <v>302</v>
      </c>
      <c r="BI2086" s="5" t="s">
        <v>303</v>
      </c>
      <c r="BJ2086" s="5" t="s">
        <v>240</v>
      </c>
      <c r="BK2086" s="8">
        <f>0</f>
        <v>0</v>
      </c>
      <c r="BL2086" s="7">
        <f>0</f>
        <v>0</v>
      </c>
      <c r="BM2086" s="5" t="s">
        <v>258</v>
      </c>
      <c r="BN2086" s="5" t="s">
        <v>259</v>
      </c>
      <c r="CB2086" s="5" t="s">
        <v>240</v>
      </c>
      <c r="CC2086" s="5" t="s">
        <v>240</v>
      </c>
      <c r="CG2086" s="5" t="s">
        <v>304</v>
      </c>
      <c r="CH2086" s="5" t="s">
        <v>305</v>
      </c>
      <c r="CI2086" s="5" t="s">
        <v>240</v>
      </c>
      <c r="CL2086" s="6" t="s">
        <v>261</v>
      </c>
      <c r="CM2086" s="5" t="s">
        <v>240</v>
      </c>
      <c r="CN2086" s="5" t="s">
        <v>263</v>
      </c>
      <c r="CO2086" s="5" t="s">
        <v>240</v>
      </c>
      <c r="CP2086" s="5" t="s">
        <v>240</v>
      </c>
      <c r="CQ2086" s="5">
        <v>0</v>
      </c>
      <c r="CR2086" s="5" t="s">
        <v>306</v>
      </c>
      <c r="CS2086" s="5" t="s">
        <v>307</v>
      </c>
      <c r="CT2086" s="5" t="s">
        <v>307</v>
      </c>
      <c r="CU2086" s="5" t="s">
        <v>260</v>
      </c>
      <c r="CX2086" s="7">
        <f>1</f>
        <v>1</v>
      </c>
      <c r="CY2086" s="7">
        <f>0</f>
        <v>0</v>
      </c>
      <c r="DA2086" s="7">
        <f>0</f>
        <v>0</v>
      </c>
      <c r="DC2086" s="5" t="s">
        <v>812</v>
      </c>
      <c r="DD2086" s="5" t="s">
        <v>240</v>
      </c>
      <c r="DF2086" s="5" t="s">
        <v>812</v>
      </c>
      <c r="DG2086" s="7">
        <f>407</f>
        <v>407</v>
      </c>
      <c r="DI2086" s="5" t="s">
        <v>240</v>
      </c>
      <c r="DJ2086" s="5" t="s">
        <v>240</v>
      </c>
      <c r="DK2086" s="5" t="s">
        <v>240</v>
      </c>
      <c r="DL2086" s="5" t="s">
        <v>240</v>
      </c>
      <c r="DP2086" s="5" t="s">
        <v>240</v>
      </c>
      <c r="DQ2086" s="5" t="s">
        <v>240</v>
      </c>
      <c r="DR2086" s="5" t="s">
        <v>240</v>
      </c>
      <c r="DS2086" s="5" t="s">
        <v>240</v>
      </c>
      <c r="DV2086" s="5" t="s">
        <v>813</v>
      </c>
      <c r="DW2086" s="5" t="s">
        <v>424</v>
      </c>
      <c r="HO2086" s="5" t="s">
        <v>312</v>
      </c>
    </row>
    <row r="2087" spans="1:223" x14ac:dyDescent="0.4">
      <c r="A2087" s="5">
        <v>3791</v>
      </c>
      <c r="B2087" s="5">
        <v>1</v>
      </c>
      <c r="C2087" s="5">
        <v>1</v>
      </c>
      <c r="D2087" s="5" t="s">
        <v>810</v>
      </c>
      <c r="E2087" s="5" t="s">
        <v>245</v>
      </c>
      <c r="F2087" s="5" t="s">
        <v>254</v>
      </c>
      <c r="G2087" s="5" t="s">
        <v>240</v>
      </c>
      <c r="H2087" s="6" t="s">
        <v>4196</v>
      </c>
      <c r="I2087" s="5" t="s">
        <v>809</v>
      </c>
      <c r="J2087" s="8">
        <f>61</f>
        <v>61</v>
      </c>
      <c r="K2087" s="5" t="s">
        <v>308</v>
      </c>
      <c r="L2087" s="7">
        <f>1</f>
        <v>1</v>
      </c>
      <c r="M2087" s="7">
        <f>1</f>
        <v>1</v>
      </c>
      <c r="N2087" s="5" t="s">
        <v>242</v>
      </c>
      <c r="O2087" s="5">
        <v>1</v>
      </c>
      <c r="P2087" s="5" t="s">
        <v>294</v>
      </c>
      <c r="Q2087" s="5" t="s">
        <v>266</v>
      </c>
      <c r="R2087" s="5" t="s">
        <v>240</v>
      </c>
      <c r="S2087" s="5" t="s">
        <v>240</v>
      </c>
      <c r="T2087" s="5" t="s">
        <v>296</v>
      </c>
      <c r="U2087" s="5" t="s">
        <v>244</v>
      </c>
      <c r="V2087" s="5" t="s">
        <v>240</v>
      </c>
      <c r="Y2087" s="5" t="s">
        <v>240</v>
      </c>
      <c r="Z2087" s="6" t="s">
        <v>298</v>
      </c>
      <c r="AB2087" s="6" t="s">
        <v>240</v>
      </c>
      <c r="AE2087" s="6" t="s">
        <v>299</v>
      </c>
      <c r="AF2087" s="5" t="s">
        <v>248</v>
      </c>
      <c r="AG2087" s="5" t="s">
        <v>249</v>
      </c>
      <c r="AW2087" s="5" t="s">
        <v>251</v>
      </c>
      <c r="AX2087" s="5" t="s">
        <v>240</v>
      </c>
      <c r="AY2087" s="5" t="s">
        <v>253</v>
      </c>
      <c r="AZ2087" s="5" t="s">
        <v>240</v>
      </c>
      <c r="BA2087" s="5" t="s">
        <v>255</v>
      </c>
      <c r="BB2087" s="5" t="s">
        <v>240</v>
      </c>
      <c r="BD2087" s="5" t="s">
        <v>240</v>
      </c>
      <c r="BF2087" s="5" t="s">
        <v>301</v>
      </c>
      <c r="BG2087" s="6" t="s">
        <v>299</v>
      </c>
      <c r="BH2087" s="5" t="s">
        <v>302</v>
      </c>
      <c r="BI2087" s="5" t="s">
        <v>303</v>
      </c>
      <c r="BJ2087" s="5" t="s">
        <v>240</v>
      </c>
      <c r="BK2087" s="8">
        <f>0</f>
        <v>0</v>
      </c>
      <c r="BL2087" s="7">
        <f>0</f>
        <v>0</v>
      </c>
      <c r="BM2087" s="5" t="s">
        <v>258</v>
      </c>
      <c r="BN2087" s="5" t="s">
        <v>259</v>
      </c>
      <c r="CB2087" s="5" t="s">
        <v>240</v>
      </c>
      <c r="CC2087" s="5" t="s">
        <v>240</v>
      </c>
      <c r="CG2087" s="5" t="s">
        <v>304</v>
      </c>
      <c r="CH2087" s="5" t="s">
        <v>305</v>
      </c>
      <c r="CI2087" s="5" t="s">
        <v>240</v>
      </c>
      <c r="CL2087" s="6" t="s">
        <v>261</v>
      </c>
      <c r="CM2087" s="5" t="s">
        <v>240</v>
      </c>
      <c r="CN2087" s="5" t="s">
        <v>263</v>
      </c>
      <c r="CO2087" s="5" t="s">
        <v>240</v>
      </c>
      <c r="CP2087" s="5" t="s">
        <v>240</v>
      </c>
      <c r="CQ2087" s="5">
        <v>0</v>
      </c>
      <c r="CR2087" s="5" t="s">
        <v>306</v>
      </c>
      <c r="CS2087" s="5" t="s">
        <v>307</v>
      </c>
      <c r="CT2087" s="5" t="s">
        <v>307</v>
      </c>
      <c r="CU2087" s="5" t="s">
        <v>260</v>
      </c>
      <c r="CX2087" s="7">
        <f>1</f>
        <v>1</v>
      </c>
      <c r="CY2087" s="7">
        <f>0</f>
        <v>0</v>
      </c>
      <c r="DA2087" s="7">
        <f>0</f>
        <v>0</v>
      </c>
      <c r="DC2087" s="5" t="s">
        <v>812</v>
      </c>
      <c r="DD2087" s="5" t="s">
        <v>240</v>
      </c>
      <c r="DF2087" s="5" t="s">
        <v>812</v>
      </c>
      <c r="DG2087" s="7">
        <f>148</f>
        <v>148</v>
      </c>
      <c r="DI2087" s="5" t="s">
        <v>240</v>
      </c>
      <c r="DJ2087" s="5" t="s">
        <v>240</v>
      </c>
      <c r="DK2087" s="5" t="s">
        <v>240</v>
      </c>
      <c r="DL2087" s="5" t="s">
        <v>240</v>
      </c>
      <c r="DP2087" s="5" t="s">
        <v>240</v>
      </c>
      <c r="DQ2087" s="5" t="s">
        <v>240</v>
      </c>
      <c r="DR2087" s="5" t="s">
        <v>240</v>
      </c>
      <c r="DS2087" s="5" t="s">
        <v>240</v>
      </c>
      <c r="DV2087" s="5" t="s">
        <v>813</v>
      </c>
      <c r="DW2087" s="5" t="s">
        <v>426</v>
      </c>
      <c r="HO2087" s="5" t="s">
        <v>312</v>
      </c>
    </row>
    <row r="2088" spans="1:223" x14ac:dyDescent="0.4">
      <c r="A2088" s="5">
        <v>3792</v>
      </c>
      <c r="B2088" s="5">
        <v>1</v>
      </c>
      <c r="C2088" s="5">
        <v>1</v>
      </c>
      <c r="D2088" s="5" t="s">
        <v>810</v>
      </c>
      <c r="E2088" s="5" t="s">
        <v>245</v>
      </c>
      <c r="F2088" s="5" t="s">
        <v>254</v>
      </c>
      <c r="G2088" s="5" t="s">
        <v>240</v>
      </c>
      <c r="H2088" s="6" t="s">
        <v>4195</v>
      </c>
      <c r="I2088" s="5" t="s">
        <v>809</v>
      </c>
      <c r="J2088" s="8">
        <f>5.55</f>
        <v>5.55</v>
      </c>
      <c r="K2088" s="5" t="s">
        <v>308</v>
      </c>
      <c r="L2088" s="7">
        <f>1</f>
        <v>1</v>
      </c>
      <c r="M2088" s="7">
        <f>1</f>
        <v>1</v>
      </c>
      <c r="N2088" s="5" t="s">
        <v>242</v>
      </c>
      <c r="O2088" s="5">
        <v>1</v>
      </c>
      <c r="P2088" s="5" t="s">
        <v>294</v>
      </c>
      <c r="Q2088" s="5" t="s">
        <v>266</v>
      </c>
      <c r="R2088" s="5" t="s">
        <v>240</v>
      </c>
      <c r="S2088" s="5" t="s">
        <v>240</v>
      </c>
      <c r="T2088" s="5" t="s">
        <v>296</v>
      </c>
      <c r="U2088" s="5" t="s">
        <v>244</v>
      </c>
      <c r="V2088" s="5" t="s">
        <v>240</v>
      </c>
      <c r="Y2088" s="5" t="s">
        <v>240</v>
      </c>
      <c r="Z2088" s="6" t="s">
        <v>298</v>
      </c>
      <c r="AB2088" s="6" t="s">
        <v>240</v>
      </c>
      <c r="AE2088" s="6" t="s">
        <v>299</v>
      </c>
      <c r="AF2088" s="5" t="s">
        <v>248</v>
      </c>
      <c r="AG2088" s="5" t="s">
        <v>249</v>
      </c>
      <c r="AW2088" s="5" t="s">
        <v>251</v>
      </c>
      <c r="AX2088" s="5" t="s">
        <v>240</v>
      </c>
      <c r="AY2088" s="5" t="s">
        <v>253</v>
      </c>
      <c r="AZ2088" s="5" t="s">
        <v>240</v>
      </c>
      <c r="BA2088" s="5" t="s">
        <v>255</v>
      </c>
      <c r="BB2088" s="5" t="s">
        <v>240</v>
      </c>
      <c r="BD2088" s="5" t="s">
        <v>240</v>
      </c>
      <c r="BF2088" s="5" t="s">
        <v>301</v>
      </c>
      <c r="BG2088" s="6" t="s">
        <v>299</v>
      </c>
      <c r="BH2088" s="5" t="s">
        <v>302</v>
      </c>
      <c r="BI2088" s="5" t="s">
        <v>303</v>
      </c>
      <c r="BJ2088" s="5" t="s">
        <v>240</v>
      </c>
      <c r="BK2088" s="8">
        <f>0</f>
        <v>0</v>
      </c>
      <c r="BL2088" s="7">
        <f>0</f>
        <v>0</v>
      </c>
      <c r="BM2088" s="5" t="s">
        <v>258</v>
      </c>
      <c r="BN2088" s="5" t="s">
        <v>259</v>
      </c>
      <c r="CB2088" s="5" t="s">
        <v>240</v>
      </c>
      <c r="CC2088" s="5" t="s">
        <v>240</v>
      </c>
      <c r="CG2088" s="5" t="s">
        <v>304</v>
      </c>
      <c r="CH2088" s="5" t="s">
        <v>305</v>
      </c>
      <c r="CI2088" s="5" t="s">
        <v>240</v>
      </c>
      <c r="CL2088" s="6" t="s">
        <v>261</v>
      </c>
      <c r="CM2088" s="5" t="s">
        <v>240</v>
      </c>
      <c r="CN2088" s="5" t="s">
        <v>263</v>
      </c>
      <c r="CO2088" s="5" t="s">
        <v>240</v>
      </c>
      <c r="CP2088" s="5" t="s">
        <v>240</v>
      </c>
      <c r="CQ2088" s="5">
        <v>0</v>
      </c>
      <c r="CR2088" s="5" t="s">
        <v>306</v>
      </c>
      <c r="CS2088" s="5" t="s">
        <v>307</v>
      </c>
      <c r="CT2088" s="5" t="s">
        <v>307</v>
      </c>
      <c r="CU2088" s="5" t="s">
        <v>260</v>
      </c>
      <c r="CX2088" s="7">
        <f>1</f>
        <v>1</v>
      </c>
      <c r="CY2088" s="7">
        <f>0</f>
        <v>0</v>
      </c>
      <c r="DA2088" s="7">
        <f>0</f>
        <v>0</v>
      </c>
      <c r="DC2088" s="5" t="s">
        <v>812</v>
      </c>
      <c r="DD2088" s="5" t="s">
        <v>240</v>
      </c>
      <c r="DF2088" s="5" t="s">
        <v>812</v>
      </c>
      <c r="DG2088" s="7">
        <f>559</f>
        <v>559</v>
      </c>
      <c r="DI2088" s="5" t="s">
        <v>240</v>
      </c>
      <c r="DJ2088" s="5" t="s">
        <v>240</v>
      </c>
      <c r="DK2088" s="5" t="s">
        <v>240</v>
      </c>
      <c r="DL2088" s="5" t="s">
        <v>240</v>
      </c>
      <c r="DP2088" s="5" t="s">
        <v>240</v>
      </c>
      <c r="DQ2088" s="5" t="s">
        <v>240</v>
      </c>
      <c r="DR2088" s="5" t="s">
        <v>240</v>
      </c>
      <c r="DS2088" s="5" t="s">
        <v>240</v>
      </c>
      <c r="DV2088" s="5" t="s">
        <v>813</v>
      </c>
      <c r="DW2088" s="5" t="s">
        <v>428</v>
      </c>
      <c r="HO2088" s="5" t="s">
        <v>312</v>
      </c>
    </row>
    <row r="2089" spans="1:223" x14ac:dyDescent="0.4">
      <c r="A2089" s="5">
        <v>3793</v>
      </c>
      <c r="B2089" s="5">
        <v>1</v>
      </c>
      <c r="C2089" s="5">
        <v>1</v>
      </c>
      <c r="D2089" s="5" t="s">
        <v>810</v>
      </c>
      <c r="E2089" s="5" t="s">
        <v>245</v>
      </c>
      <c r="F2089" s="5" t="s">
        <v>254</v>
      </c>
      <c r="G2089" s="5" t="s">
        <v>240</v>
      </c>
      <c r="H2089" s="6" t="s">
        <v>5334</v>
      </c>
      <c r="I2089" s="5" t="s">
        <v>809</v>
      </c>
      <c r="J2089" s="8">
        <f>1001</f>
        <v>1001</v>
      </c>
      <c r="K2089" s="5" t="s">
        <v>308</v>
      </c>
      <c r="L2089" s="7">
        <f>1</f>
        <v>1</v>
      </c>
      <c r="M2089" s="7">
        <f>1</f>
        <v>1</v>
      </c>
      <c r="N2089" s="5" t="s">
        <v>242</v>
      </c>
      <c r="O2089" s="5">
        <v>1</v>
      </c>
      <c r="P2089" s="5" t="s">
        <v>294</v>
      </c>
      <c r="Q2089" s="5" t="s">
        <v>266</v>
      </c>
      <c r="R2089" s="5" t="s">
        <v>240</v>
      </c>
      <c r="S2089" s="5" t="s">
        <v>240</v>
      </c>
      <c r="T2089" s="5" t="s">
        <v>296</v>
      </c>
      <c r="U2089" s="5" t="s">
        <v>244</v>
      </c>
      <c r="V2089" s="5" t="s">
        <v>240</v>
      </c>
      <c r="Y2089" s="5" t="s">
        <v>240</v>
      </c>
      <c r="Z2089" s="6" t="s">
        <v>298</v>
      </c>
      <c r="AB2089" s="6" t="s">
        <v>240</v>
      </c>
      <c r="AE2089" s="6" t="s">
        <v>299</v>
      </c>
      <c r="AF2089" s="5" t="s">
        <v>248</v>
      </c>
      <c r="AG2089" s="5" t="s">
        <v>249</v>
      </c>
      <c r="AW2089" s="5" t="s">
        <v>251</v>
      </c>
      <c r="AX2089" s="5" t="s">
        <v>240</v>
      </c>
      <c r="AY2089" s="5" t="s">
        <v>253</v>
      </c>
      <c r="AZ2089" s="5" t="s">
        <v>240</v>
      </c>
      <c r="BA2089" s="5" t="s">
        <v>255</v>
      </c>
      <c r="BB2089" s="5" t="s">
        <v>240</v>
      </c>
      <c r="BD2089" s="5" t="s">
        <v>240</v>
      </c>
      <c r="BF2089" s="5" t="s">
        <v>301</v>
      </c>
      <c r="BG2089" s="6" t="s">
        <v>299</v>
      </c>
      <c r="BH2089" s="5" t="s">
        <v>302</v>
      </c>
      <c r="BI2089" s="5" t="s">
        <v>303</v>
      </c>
      <c r="BJ2089" s="5" t="s">
        <v>240</v>
      </c>
      <c r="BK2089" s="8">
        <f>0</f>
        <v>0</v>
      </c>
      <c r="BL2089" s="7">
        <f>0</f>
        <v>0</v>
      </c>
      <c r="BM2089" s="5" t="s">
        <v>258</v>
      </c>
      <c r="BN2089" s="5" t="s">
        <v>259</v>
      </c>
      <c r="CB2089" s="5" t="s">
        <v>240</v>
      </c>
      <c r="CC2089" s="5" t="s">
        <v>240</v>
      </c>
      <c r="CG2089" s="5" t="s">
        <v>304</v>
      </c>
      <c r="CH2089" s="5" t="s">
        <v>305</v>
      </c>
      <c r="CI2089" s="5" t="s">
        <v>240</v>
      </c>
      <c r="CL2089" s="6" t="s">
        <v>261</v>
      </c>
      <c r="CM2089" s="5" t="s">
        <v>240</v>
      </c>
      <c r="CN2089" s="5" t="s">
        <v>263</v>
      </c>
      <c r="CO2089" s="5" t="s">
        <v>240</v>
      </c>
      <c r="CP2089" s="5" t="s">
        <v>240</v>
      </c>
      <c r="CQ2089" s="5">
        <v>0</v>
      </c>
      <c r="CR2089" s="5" t="s">
        <v>306</v>
      </c>
      <c r="CS2089" s="5" t="s">
        <v>307</v>
      </c>
      <c r="CT2089" s="5" t="s">
        <v>307</v>
      </c>
      <c r="CU2089" s="5" t="s">
        <v>260</v>
      </c>
      <c r="CX2089" s="7">
        <f>1</f>
        <v>1</v>
      </c>
      <c r="CY2089" s="7">
        <f>0</f>
        <v>0</v>
      </c>
      <c r="DA2089" s="7">
        <f>0</f>
        <v>0</v>
      </c>
      <c r="DC2089" s="5" t="s">
        <v>812</v>
      </c>
      <c r="DD2089" s="5" t="s">
        <v>240</v>
      </c>
      <c r="DF2089" s="5" t="s">
        <v>812</v>
      </c>
      <c r="DG2089" s="7">
        <f>806</f>
        <v>806</v>
      </c>
      <c r="DI2089" s="5" t="s">
        <v>240</v>
      </c>
      <c r="DJ2089" s="5" t="s">
        <v>240</v>
      </c>
      <c r="DK2089" s="5" t="s">
        <v>240</v>
      </c>
      <c r="DL2089" s="5" t="s">
        <v>240</v>
      </c>
      <c r="DP2089" s="5" t="s">
        <v>240</v>
      </c>
      <c r="DQ2089" s="5" t="s">
        <v>240</v>
      </c>
      <c r="DR2089" s="5" t="s">
        <v>240</v>
      </c>
      <c r="DS2089" s="5" t="s">
        <v>240</v>
      </c>
      <c r="DV2089" s="5" t="s">
        <v>813</v>
      </c>
      <c r="DW2089" s="5" t="s">
        <v>430</v>
      </c>
      <c r="HO2089" s="5" t="s">
        <v>312</v>
      </c>
    </row>
    <row r="2090" spans="1:223" x14ac:dyDescent="0.4">
      <c r="A2090" s="5">
        <v>3794</v>
      </c>
      <c r="B2090" s="5">
        <v>1</v>
      </c>
      <c r="C2090" s="5">
        <v>1</v>
      </c>
      <c r="D2090" s="5" t="s">
        <v>810</v>
      </c>
      <c r="E2090" s="5" t="s">
        <v>245</v>
      </c>
      <c r="F2090" s="5" t="s">
        <v>254</v>
      </c>
      <c r="G2090" s="5" t="s">
        <v>240</v>
      </c>
      <c r="H2090" s="6" t="s">
        <v>4193</v>
      </c>
      <c r="I2090" s="5" t="s">
        <v>809</v>
      </c>
      <c r="J2090" s="8">
        <f>1715</f>
        <v>1715</v>
      </c>
      <c r="K2090" s="5" t="s">
        <v>308</v>
      </c>
      <c r="L2090" s="7">
        <f>1</f>
        <v>1</v>
      </c>
      <c r="M2090" s="7">
        <f>1</f>
        <v>1</v>
      </c>
      <c r="N2090" s="5" t="s">
        <v>242</v>
      </c>
      <c r="O2090" s="5">
        <v>1</v>
      </c>
      <c r="P2090" s="5" t="s">
        <v>294</v>
      </c>
      <c r="Q2090" s="5" t="s">
        <v>266</v>
      </c>
      <c r="R2090" s="5" t="s">
        <v>240</v>
      </c>
      <c r="S2090" s="5" t="s">
        <v>240</v>
      </c>
      <c r="T2090" s="5" t="s">
        <v>296</v>
      </c>
      <c r="U2090" s="5" t="s">
        <v>244</v>
      </c>
      <c r="V2090" s="5" t="s">
        <v>240</v>
      </c>
      <c r="Y2090" s="5" t="s">
        <v>240</v>
      </c>
      <c r="Z2090" s="6" t="s">
        <v>298</v>
      </c>
      <c r="AB2090" s="6" t="s">
        <v>240</v>
      </c>
      <c r="AE2090" s="6" t="s">
        <v>299</v>
      </c>
      <c r="AF2090" s="5" t="s">
        <v>248</v>
      </c>
      <c r="AG2090" s="5" t="s">
        <v>249</v>
      </c>
      <c r="AW2090" s="5" t="s">
        <v>251</v>
      </c>
      <c r="AX2090" s="5" t="s">
        <v>240</v>
      </c>
      <c r="AY2090" s="5" t="s">
        <v>253</v>
      </c>
      <c r="AZ2090" s="5" t="s">
        <v>240</v>
      </c>
      <c r="BA2090" s="5" t="s">
        <v>255</v>
      </c>
      <c r="BB2090" s="5" t="s">
        <v>240</v>
      </c>
      <c r="BD2090" s="5" t="s">
        <v>240</v>
      </c>
      <c r="BF2090" s="5" t="s">
        <v>301</v>
      </c>
      <c r="BG2090" s="6" t="s">
        <v>299</v>
      </c>
      <c r="BH2090" s="5" t="s">
        <v>302</v>
      </c>
      <c r="BI2090" s="5" t="s">
        <v>303</v>
      </c>
      <c r="BJ2090" s="5" t="s">
        <v>240</v>
      </c>
      <c r="BK2090" s="8">
        <f>0</f>
        <v>0</v>
      </c>
      <c r="BL2090" s="7">
        <f>0</f>
        <v>0</v>
      </c>
      <c r="BM2090" s="5" t="s">
        <v>258</v>
      </c>
      <c r="BN2090" s="5" t="s">
        <v>259</v>
      </c>
      <c r="CB2090" s="5" t="s">
        <v>240</v>
      </c>
      <c r="CC2090" s="5" t="s">
        <v>240</v>
      </c>
      <c r="CG2090" s="5" t="s">
        <v>304</v>
      </c>
      <c r="CH2090" s="5" t="s">
        <v>305</v>
      </c>
      <c r="CI2090" s="5" t="s">
        <v>240</v>
      </c>
      <c r="CL2090" s="6" t="s">
        <v>261</v>
      </c>
      <c r="CM2090" s="5" t="s">
        <v>240</v>
      </c>
      <c r="CN2090" s="5" t="s">
        <v>263</v>
      </c>
      <c r="CO2090" s="5" t="s">
        <v>240</v>
      </c>
      <c r="CP2090" s="5" t="s">
        <v>240</v>
      </c>
      <c r="CQ2090" s="5">
        <v>0</v>
      </c>
      <c r="CR2090" s="5" t="s">
        <v>306</v>
      </c>
      <c r="CS2090" s="5" t="s">
        <v>307</v>
      </c>
      <c r="CT2090" s="5" t="s">
        <v>307</v>
      </c>
      <c r="CU2090" s="5" t="s">
        <v>260</v>
      </c>
      <c r="CX2090" s="7">
        <f>1</f>
        <v>1</v>
      </c>
      <c r="CY2090" s="7">
        <f>0</f>
        <v>0</v>
      </c>
      <c r="DA2090" s="7">
        <f>0</f>
        <v>0</v>
      </c>
      <c r="DC2090" s="5" t="s">
        <v>812</v>
      </c>
      <c r="DD2090" s="5" t="s">
        <v>240</v>
      </c>
      <c r="DF2090" s="5" t="s">
        <v>812</v>
      </c>
      <c r="DG2090" s="7">
        <f>1254</f>
        <v>1254</v>
      </c>
      <c r="DI2090" s="5" t="s">
        <v>240</v>
      </c>
      <c r="DJ2090" s="5" t="s">
        <v>240</v>
      </c>
      <c r="DK2090" s="5" t="s">
        <v>240</v>
      </c>
      <c r="DL2090" s="5" t="s">
        <v>240</v>
      </c>
      <c r="DP2090" s="5" t="s">
        <v>240</v>
      </c>
      <c r="DQ2090" s="5" t="s">
        <v>240</v>
      </c>
      <c r="DR2090" s="5" t="s">
        <v>240</v>
      </c>
      <c r="DS2090" s="5" t="s">
        <v>240</v>
      </c>
      <c r="DV2090" s="5" t="s">
        <v>813</v>
      </c>
      <c r="DW2090" s="5" t="s">
        <v>432</v>
      </c>
      <c r="HO2090" s="5" t="s">
        <v>312</v>
      </c>
    </row>
    <row r="2091" spans="1:223" x14ac:dyDescent="0.4">
      <c r="A2091" s="5">
        <v>3795</v>
      </c>
      <c r="B2091" s="5">
        <v>1</v>
      </c>
      <c r="C2091" s="5">
        <v>1</v>
      </c>
      <c r="D2091" s="5" t="s">
        <v>810</v>
      </c>
      <c r="E2091" s="5" t="s">
        <v>245</v>
      </c>
      <c r="F2091" s="5" t="s">
        <v>254</v>
      </c>
      <c r="G2091" s="5" t="s">
        <v>240</v>
      </c>
      <c r="H2091" s="6" t="s">
        <v>4192</v>
      </c>
      <c r="I2091" s="5" t="s">
        <v>809</v>
      </c>
      <c r="J2091" s="8">
        <f>510</f>
        <v>510</v>
      </c>
      <c r="K2091" s="5" t="s">
        <v>308</v>
      </c>
      <c r="L2091" s="7">
        <f>1</f>
        <v>1</v>
      </c>
      <c r="M2091" s="7">
        <f>1</f>
        <v>1</v>
      </c>
      <c r="N2091" s="5" t="s">
        <v>242</v>
      </c>
      <c r="O2091" s="5">
        <v>1</v>
      </c>
      <c r="P2091" s="5" t="s">
        <v>294</v>
      </c>
      <c r="Q2091" s="5" t="s">
        <v>266</v>
      </c>
      <c r="R2091" s="5" t="s">
        <v>240</v>
      </c>
      <c r="S2091" s="5" t="s">
        <v>240</v>
      </c>
      <c r="T2091" s="5" t="s">
        <v>296</v>
      </c>
      <c r="U2091" s="5" t="s">
        <v>244</v>
      </c>
      <c r="V2091" s="5" t="s">
        <v>240</v>
      </c>
      <c r="Y2091" s="5" t="s">
        <v>240</v>
      </c>
      <c r="Z2091" s="6" t="s">
        <v>298</v>
      </c>
      <c r="AB2091" s="6" t="s">
        <v>240</v>
      </c>
      <c r="AE2091" s="6" t="s">
        <v>299</v>
      </c>
      <c r="AF2091" s="5" t="s">
        <v>248</v>
      </c>
      <c r="AG2091" s="5" t="s">
        <v>249</v>
      </c>
      <c r="AW2091" s="5" t="s">
        <v>251</v>
      </c>
      <c r="AX2091" s="5" t="s">
        <v>240</v>
      </c>
      <c r="AY2091" s="5" t="s">
        <v>253</v>
      </c>
      <c r="AZ2091" s="5" t="s">
        <v>240</v>
      </c>
      <c r="BA2091" s="5" t="s">
        <v>255</v>
      </c>
      <c r="BB2091" s="5" t="s">
        <v>240</v>
      </c>
      <c r="BD2091" s="5" t="s">
        <v>240</v>
      </c>
      <c r="BF2091" s="5" t="s">
        <v>301</v>
      </c>
      <c r="BG2091" s="6" t="s">
        <v>299</v>
      </c>
      <c r="BH2091" s="5" t="s">
        <v>302</v>
      </c>
      <c r="BI2091" s="5" t="s">
        <v>303</v>
      </c>
      <c r="BJ2091" s="5" t="s">
        <v>240</v>
      </c>
      <c r="BK2091" s="8">
        <f>0</f>
        <v>0</v>
      </c>
      <c r="BL2091" s="7">
        <f>0</f>
        <v>0</v>
      </c>
      <c r="BM2091" s="5" t="s">
        <v>258</v>
      </c>
      <c r="BN2091" s="5" t="s">
        <v>259</v>
      </c>
      <c r="CB2091" s="5" t="s">
        <v>240</v>
      </c>
      <c r="CC2091" s="5" t="s">
        <v>240</v>
      </c>
      <c r="CG2091" s="5" t="s">
        <v>304</v>
      </c>
      <c r="CH2091" s="5" t="s">
        <v>305</v>
      </c>
      <c r="CI2091" s="5" t="s">
        <v>240</v>
      </c>
      <c r="CL2091" s="6" t="s">
        <v>261</v>
      </c>
      <c r="CM2091" s="5" t="s">
        <v>240</v>
      </c>
      <c r="CN2091" s="5" t="s">
        <v>263</v>
      </c>
      <c r="CO2091" s="5" t="s">
        <v>240</v>
      </c>
      <c r="CP2091" s="5" t="s">
        <v>240</v>
      </c>
      <c r="CQ2091" s="5">
        <v>0</v>
      </c>
      <c r="CR2091" s="5" t="s">
        <v>306</v>
      </c>
      <c r="CS2091" s="5" t="s">
        <v>307</v>
      </c>
      <c r="CT2091" s="5" t="s">
        <v>307</v>
      </c>
      <c r="CU2091" s="5" t="s">
        <v>260</v>
      </c>
      <c r="CX2091" s="7">
        <f>1</f>
        <v>1</v>
      </c>
      <c r="CY2091" s="7">
        <f>0</f>
        <v>0</v>
      </c>
      <c r="DA2091" s="7">
        <f>0</f>
        <v>0</v>
      </c>
      <c r="DC2091" s="5" t="s">
        <v>812</v>
      </c>
      <c r="DD2091" s="5" t="s">
        <v>240</v>
      </c>
      <c r="DF2091" s="5" t="s">
        <v>812</v>
      </c>
      <c r="DG2091" s="7">
        <f>967</f>
        <v>967</v>
      </c>
      <c r="DI2091" s="5" t="s">
        <v>240</v>
      </c>
      <c r="DJ2091" s="5" t="s">
        <v>240</v>
      </c>
      <c r="DK2091" s="5" t="s">
        <v>240</v>
      </c>
      <c r="DL2091" s="5" t="s">
        <v>240</v>
      </c>
      <c r="DP2091" s="5" t="s">
        <v>240</v>
      </c>
      <c r="DQ2091" s="5" t="s">
        <v>240</v>
      </c>
      <c r="DR2091" s="5" t="s">
        <v>240</v>
      </c>
      <c r="DS2091" s="5" t="s">
        <v>240</v>
      </c>
      <c r="DV2091" s="5" t="s">
        <v>813</v>
      </c>
      <c r="DW2091" s="5" t="s">
        <v>434</v>
      </c>
      <c r="HO2091" s="5" t="s">
        <v>312</v>
      </c>
    </row>
    <row r="2092" spans="1:223" x14ac:dyDescent="0.4">
      <c r="A2092" s="5">
        <v>3796</v>
      </c>
      <c r="B2092" s="5">
        <v>1</v>
      </c>
      <c r="C2092" s="5">
        <v>1</v>
      </c>
      <c r="D2092" s="5" t="s">
        <v>810</v>
      </c>
      <c r="E2092" s="5" t="s">
        <v>245</v>
      </c>
      <c r="F2092" s="5" t="s">
        <v>254</v>
      </c>
      <c r="G2092" s="5" t="s">
        <v>240</v>
      </c>
      <c r="H2092" s="6" t="s">
        <v>4191</v>
      </c>
      <c r="I2092" s="5" t="s">
        <v>809</v>
      </c>
      <c r="J2092" s="8">
        <f>301</f>
        <v>301</v>
      </c>
      <c r="K2092" s="5" t="s">
        <v>308</v>
      </c>
      <c r="L2092" s="7">
        <f>1</f>
        <v>1</v>
      </c>
      <c r="M2092" s="7">
        <f>1</f>
        <v>1</v>
      </c>
      <c r="N2092" s="5" t="s">
        <v>242</v>
      </c>
      <c r="O2092" s="5">
        <v>1</v>
      </c>
      <c r="P2092" s="5" t="s">
        <v>294</v>
      </c>
      <c r="Q2092" s="5" t="s">
        <v>266</v>
      </c>
      <c r="R2092" s="5" t="s">
        <v>240</v>
      </c>
      <c r="S2092" s="5" t="s">
        <v>240</v>
      </c>
      <c r="T2092" s="5" t="s">
        <v>296</v>
      </c>
      <c r="U2092" s="5" t="s">
        <v>244</v>
      </c>
      <c r="V2092" s="5" t="s">
        <v>240</v>
      </c>
      <c r="Y2092" s="5" t="s">
        <v>240</v>
      </c>
      <c r="Z2092" s="6" t="s">
        <v>298</v>
      </c>
      <c r="AB2092" s="6" t="s">
        <v>240</v>
      </c>
      <c r="AE2092" s="6" t="s">
        <v>299</v>
      </c>
      <c r="AF2092" s="5" t="s">
        <v>248</v>
      </c>
      <c r="AG2092" s="5" t="s">
        <v>249</v>
      </c>
      <c r="AW2092" s="5" t="s">
        <v>251</v>
      </c>
      <c r="AX2092" s="5" t="s">
        <v>240</v>
      </c>
      <c r="AY2092" s="5" t="s">
        <v>253</v>
      </c>
      <c r="AZ2092" s="5" t="s">
        <v>240</v>
      </c>
      <c r="BA2092" s="5" t="s">
        <v>255</v>
      </c>
      <c r="BB2092" s="5" t="s">
        <v>240</v>
      </c>
      <c r="BD2092" s="5" t="s">
        <v>240</v>
      </c>
      <c r="BF2092" s="5" t="s">
        <v>301</v>
      </c>
      <c r="BG2092" s="6" t="s">
        <v>299</v>
      </c>
      <c r="BH2092" s="5" t="s">
        <v>302</v>
      </c>
      <c r="BI2092" s="5" t="s">
        <v>303</v>
      </c>
      <c r="BJ2092" s="5" t="s">
        <v>240</v>
      </c>
      <c r="BK2092" s="8">
        <f>0</f>
        <v>0</v>
      </c>
      <c r="BL2092" s="7">
        <f>0</f>
        <v>0</v>
      </c>
      <c r="BM2092" s="5" t="s">
        <v>258</v>
      </c>
      <c r="BN2092" s="5" t="s">
        <v>259</v>
      </c>
      <c r="CB2092" s="5" t="s">
        <v>240</v>
      </c>
      <c r="CC2092" s="5" t="s">
        <v>240</v>
      </c>
      <c r="CG2092" s="5" t="s">
        <v>304</v>
      </c>
      <c r="CH2092" s="5" t="s">
        <v>305</v>
      </c>
      <c r="CI2092" s="5" t="s">
        <v>240</v>
      </c>
      <c r="CL2092" s="6" t="s">
        <v>261</v>
      </c>
      <c r="CM2092" s="5" t="s">
        <v>240</v>
      </c>
      <c r="CN2092" s="5" t="s">
        <v>263</v>
      </c>
      <c r="CO2092" s="5" t="s">
        <v>240</v>
      </c>
      <c r="CP2092" s="5" t="s">
        <v>240</v>
      </c>
      <c r="CQ2092" s="5">
        <v>0</v>
      </c>
      <c r="CR2092" s="5" t="s">
        <v>306</v>
      </c>
      <c r="CS2092" s="5" t="s">
        <v>307</v>
      </c>
      <c r="CT2092" s="5" t="s">
        <v>307</v>
      </c>
      <c r="CU2092" s="5" t="s">
        <v>260</v>
      </c>
      <c r="CX2092" s="7">
        <f>1</f>
        <v>1</v>
      </c>
      <c r="CY2092" s="7">
        <f>0</f>
        <v>0</v>
      </c>
      <c r="DA2092" s="7">
        <f>0</f>
        <v>0</v>
      </c>
      <c r="DC2092" s="5" t="s">
        <v>812</v>
      </c>
      <c r="DD2092" s="5" t="s">
        <v>240</v>
      </c>
      <c r="DF2092" s="5" t="s">
        <v>812</v>
      </c>
      <c r="DG2092" s="7">
        <f>272</f>
        <v>272</v>
      </c>
      <c r="DI2092" s="5" t="s">
        <v>240</v>
      </c>
      <c r="DJ2092" s="5" t="s">
        <v>240</v>
      </c>
      <c r="DK2092" s="5" t="s">
        <v>240</v>
      </c>
      <c r="DL2092" s="5" t="s">
        <v>240</v>
      </c>
      <c r="DP2092" s="5" t="s">
        <v>240</v>
      </c>
      <c r="DQ2092" s="5" t="s">
        <v>240</v>
      </c>
      <c r="DR2092" s="5" t="s">
        <v>240</v>
      </c>
      <c r="DS2092" s="5" t="s">
        <v>240</v>
      </c>
      <c r="DV2092" s="5" t="s">
        <v>813</v>
      </c>
      <c r="DW2092" s="5" t="s">
        <v>436</v>
      </c>
      <c r="HO2092" s="5" t="s">
        <v>312</v>
      </c>
    </row>
    <row r="2093" spans="1:223" x14ac:dyDescent="0.4">
      <c r="A2093" s="5">
        <v>3797</v>
      </c>
      <c r="B2093" s="5">
        <v>1</v>
      </c>
      <c r="C2093" s="5">
        <v>1</v>
      </c>
      <c r="D2093" s="5" t="s">
        <v>810</v>
      </c>
      <c r="E2093" s="5" t="s">
        <v>245</v>
      </c>
      <c r="F2093" s="5" t="s">
        <v>254</v>
      </c>
      <c r="G2093" s="5" t="s">
        <v>240</v>
      </c>
      <c r="H2093" s="6" t="s">
        <v>4190</v>
      </c>
      <c r="I2093" s="5" t="s">
        <v>809</v>
      </c>
      <c r="J2093" s="8">
        <f>609</f>
        <v>609</v>
      </c>
      <c r="K2093" s="5" t="s">
        <v>308</v>
      </c>
      <c r="L2093" s="7">
        <f>1</f>
        <v>1</v>
      </c>
      <c r="M2093" s="7">
        <f>1</f>
        <v>1</v>
      </c>
      <c r="N2093" s="5" t="s">
        <v>242</v>
      </c>
      <c r="O2093" s="5">
        <v>1</v>
      </c>
      <c r="P2093" s="5" t="s">
        <v>294</v>
      </c>
      <c r="Q2093" s="5" t="s">
        <v>266</v>
      </c>
      <c r="R2093" s="5" t="s">
        <v>240</v>
      </c>
      <c r="S2093" s="5" t="s">
        <v>240</v>
      </c>
      <c r="T2093" s="5" t="s">
        <v>296</v>
      </c>
      <c r="U2093" s="5" t="s">
        <v>244</v>
      </c>
      <c r="V2093" s="5" t="s">
        <v>240</v>
      </c>
      <c r="Y2093" s="5" t="s">
        <v>240</v>
      </c>
      <c r="Z2093" s="6" t="s">
        <v>298</v>
      </c>
      <c r="AB2093" s="6" t="s">
        <v>240</v>
      </c>
      <c r="AE2093" s="6" t="s">
        <v>299</v>
      </c>
      <c r="AF2093" s="5" t="s">
        <v>248</v>
      </c>
      <c r="AG2093" s="5" t="s">
        <v>249</v>
      </c>
      <c r="AW2093" s="5" t="s">
        <v>251</v>
      </c>
      <c r="AX2093" s="5" t="s">
        <v>240</v>
      </c>
      <c r="AY2093" s="5" t="s">
        <v>253</v>
      </c>
      <c r="AZ2093" s="5" t="s">
        <v>240</v>
      </c>
      <c r="BA2093" s="5" t="s">
        <v>255</v>
      </c>
      <c r="BB2093" s="5" t="s">
        <v>240</v>
      </c>
      <c r="BD2093" s="5" t="s">
        <v>240</v>
      </c>
      <c r="BF2093" s="5" t="s">
        <v>301</v>
      </c>
      <c r="BG2093" s="6" t="s">
        <v>299</v>
      </c>
      <c r="BH2093" s="5" t="s">
        <v>302</v>
      </c>
      <c r="BI2093" s="5" t="s">
        <v>303</v>
      </c>
      <c r="BJ2093" s="5" t="s">
        <v>240</v>
      </c>
      <c r="BK2093" s="8">
        <f>0</f>
        <v>0</v>
      </c>
      <c r="BL2093" s="7">
        <f>0</f>
        <v>0</v>
      </c>
      <c r="BM2093" s="5" t="s">
        <v>258</v>
      </c>
      <c r="BN2093" s="5" t="s">
        <v>259</v>
      </c>
      <c r="CB2093" s="5" t="s">
        <v>240</v>
      </c>
      <c r="CC2093" s="5" t="s">
        <v>240</v>
      </c>
      <c r="CG2093" s="5" t="s">
        <v>304</v>
      </c>
      <c r="CH2093" s="5" t="s">
        <v>305</v>
      </c>
      <c r="CI2093" s="5" t="s">
        <v>240</v>
      </c>
      <c r="CL2093" s="6" t="s">
        <v>261</v>
      </c>
      <c r="CM2093" s="5" t="s">
        <v>240</v>
      </c>
      <c r="CN2093" s="5" t="s">
        <v>263</v>
      </c>
      <c r="CO2093" s="5" t="s">
        <v>240</v>
      </c>
      <c r="CP2093" s="5" t="s">
        <v>240</v>
      </c>
      <c r="CQ2093" s="5">
        <v>0</v>
      </c>
      <c r="CR2093" s="5" t="s">
        <v>306</v>
      </c>
      <c r="CS2093" s="5" t="s">
        <v>307</v>
      </c>
      <c r="CT2093" s="5" t="s">
        <v>307</v>
      </c>
      <c r="CU2093" s="5" t="s">
        <v>260</v>
      </c>
      <c r="CX2093" s="7">
        <f>1</f>
        <v>1</v>
      </c>
      <c r="CY2093" s="7">
        <f>0</f>
        <v>0</v>
      </c>
      <c r="DA2093" s="7">
        <f>0</f>
        <v>0</v>
      </c>
      <c r="DC2093" s="5" t="s">
        <v>812</v>
      </c>
      <c r="DD2093" s="5" t="s">
        <v>240</v>
      </c>
      <c r="DF2093" s="5" t="s">
        <v>812</v>
      </c>
      <c r="DG2093" s="7">
        <f>445</f>
        <v>445</v>
      </c>
      <c r="DI2093" s="5" t="s">
        <v>240</v>
      </c>
      <c r="DJ2093" s="5" t="s">
        <v>240</v>
      </c>
      <c r="DK2093" s="5" t="s">
        <v>240</v>
      </c>
      <c r="DL2093" s="5" t="s">
        <v>240</v>
      </c>
      <c r="DP2093" s="5" t="s">
        <v>240</v>
      </c>
      <c r="DQ2093" s="5" t="s">
        <v>240</v>
      </c>
      <c r="DR2093" s="5" t="s">
        <v>240</v>
      </c>
      <c r="DS2093" s="5" t="s">
        <v>240</v>
      </c>
      <c r="DV2093" s="5" t="s">
        <v>813</v>
      </c>
      <c r="DW2093" s="5" t="s">
        <v>438</v>
      </c>
      <c r="HO2093" s="5" t="s">
        <v>312</v>
      </c>
    </row>
    <row r="2094" spans="1:223" x14ac:dyDescent="0.4">
      <c r="A2094" s="5">
        <v>3798</v>
      </c>
      <c r="B2094" s="5">
        <v>1</v>
      </c>
      <c r="C2094" s="5">
        <v>1</v>
      </c>
      <c r="D2094" s="5" t="s">
        <v>810</v>
      </c>
      <c r="E2094" s="5" t="s">
        <v>245</v>
      </c>
      <c r="F2094" s="5" t="s">
        <v>254</v>
      </c>
      <c r="G2094" s="5" t="s">
        <v>240</v>
      </c>
      <c r="H2094" s="6" t="s">
        <v>4189</v>
      </c>
      <c r="I2094" s="5" t="s">
        <v>809</v>
      </c>
      <c r="J2094" s="8">
        <f>435</f>
        <v>435</v>
      </c>
      <c r="K2094" s="5" t="s">
        <v>308</v>
      </c>
      <c r="L2094" s="7">
        <f>1</f>
        <v>1</v>
      </c>
      <c r="M2094" s="7">
        <f>1</f>
        <v>1</v>
      </c>
      <c r="N2094" s="5" t="s">
        <v>242</v>
      </c>
      <c r="O2094" s="5">
        <v>1</v>
      </c>
      <c r="P2094" s="5" t="s">
        <v>294</v>
      </c>
      <c r="Q2094" s="5" t="s">
        <v>266</v>
      </c>
      <c r="R2094" s="5" t="s">
        <v>240</v>
      </c>
      <c r="S2094" s="5" t="s">
        <v>240</v>
      </c>
      <c r="T2094" s="5" t="s">
        <v>296</v>
      </c>
      <c r="U2094" s="5" t="s">
        <v>244</v>
      </c>
      <c r="V2094" s="5" t="s">
        <v>240</v>
      </c>
      <c r="Y2094" s="5" t="s">
        <v>240</v>
      </c>
      <c r="Z2094" s="6" t="s">
        <v>298</v>
      </c>
      <c r="AB2094" s="6" t="s">
        <v>240</v>
      </c>
      <c r="AE2094" s="6" t="s">
        <v>299</v>
      </c>
      <c r="AF2094" s="5" t="s">
        <v>248</v>
      </c>
      <c r="AG2094" s="5" t="s">
        <v>249</v>
      </c>
      <c r="AW2094" s="5" t="s">
        <v>251</v>
      </c>
      <c r="AX2094" s="5" t="s">
        <v>240</v>
      </c>
      <c r="AY2094" s="5" t="s">
        <v>253</v>
      </c>
      <c r="AZ2094" s="5" t="s">
        <v>240</v>
      </c>
      <c r="BA2094" s="5" t="s">
        <v>255</v>
      </c>
      <c r="BB2094" s="5" t="s">
        <v>240</v>
      </c>
      <c r="BD2094" s="5" t="s">
        <v>240</v>
      </c>
      <c r="BF2094" s="5" t="s">
        <v>301</v>
      </c>
      <c r="BG2094" s="6" t="s">
        <v>299</v>
      </c>
      <c r="BH2094" s="5" t="s">
        <v>302</v>
      </c>
      <c r="BI2094" s="5" t="s">
        <v>303</v>
      </c>
      <c r="BJ2094" s="5" t="s">
        <v>240</v>
      </c>
      <c r="BK2094" s="8">
        <f>0</f>
        <v>0</v>
      </c>
      <c r="BL2094" s="7">
        <f>0</f>
        <v>0</v>
      </c>
      <c r="BM2094" s="5" t="s">
        <v>258</v>
      </c>
      <c r="BN2094" s="5" t="s">
        <v>259</v>
      </c>
      <c r="CB2094" s="5" t="s">
        <v>240</v>
      </c>
      <c r="CC2094" s="5" t="s">
        <v>240</v>
      </c>
      <c r="CG2094" s="5" t="s">
        <v>304</v>
      </c>
      <c r="CH2094" s="5" t="s">
        <v>305</v>
      </c>
      <c r="CI2094" s="5" t="s">
        <v>240</v>
      </c>
      <c r="CL2094" s="6" t="s">
        <v>261</v>
      </c>
      <c r="CM2094" s="5" t="s">
        <v>240</v>
      </c>
      <c r="CN2094" s="5" t="s">
        <v>263</v>
      </c>
      <c r="CO2094" s="5" t="s">
        <v>240</v>
      </c>
      <c r="CP2094" s="5" t="s">
        <v>240</v>
      </c>
      <c r="CQ2094" s="5">
        <v>0</v>
      </c>
      <c r="CR2094" s="5" t="s">
        <v>306</v>
      </c>
      <c r="CS2094" s="5" t="s">
        <v>307</v>
      </c>
      <c r="CT2094" s="5" t="s">
        <v>307</v>
      </c>
      <c r="CU2094" s="5" t="s">
        <v>260</v>
      </c>
      <c r="CX2094" s="7">
        <f>1</f>
        <v>1</v>
      </c>
      <c r="CY2094" s="7">
        <f>0</f>
        <v>0</v>
      </c>
      <c r="DA2094" s="7">
        <f>0</f>
        <v>0</v>
      </c>
      <c r="DC2094" s="5" t="s">
        <v>812</v>
      </c>
      <c r="DD2094" s="5" t="s">
        <v>240</v>
      </c>
      <c r="DF2094" s="5" t="s">
        <v>812</v>
      </c>
      <c r="DG2094" s="7">
        <f>359</f>
        <v>359</v>
      </c>
      <c r="DI2094" s="5" t="s">
        <v>240</v>
      </c>
      <c r="DJ2094" s="5" t="s">
        <v>240</v>
      </c>
      <c r="DK2094" s="5" t="s">
        <v>240</v>
      </c>
      <c r="DL2094" s="5" t="s">
        <v>240</v>
      </c>
      <c r="DP2094" s="5" t="s">
        <v>240</v>
      </c>
      <c r="DQ2094" s="5" t="s">
        <v>240</v>
      </c>
      <c r="DR2094" s="5" t="s">
        <v>240</v>
      </c>
      <c r="DS2094" s="5" t="s">
        <v>240</v>
      </c>
      <c r="DV2094" s="5" t="s">
        <v>813</v>
      </c>
      <c r="DW2094" s="5" t="s">
        <v>440</v>
      </c>
      <c r="HO2094" s="5" t="s">
        <v>312</v>
      </c>
    </row>
    <row r="2095" spans="1:223" x14ac:dyDescent="0.4">
      <c r="A2095" s="5">
        <v>3799</v>
      </c>
      <c r="B2095" s="5">
        <v>1</v>
      </c>
      <c r="C2095" s="5">
        <v>1</v>
      </c>
      <c r="D2095" s="5" t="s">
        <v>810</v>
      </c>
      <c r="E2095" s="5" t="s">
        <v>245</v>
      </c>
      <c r="F2095" s="5" t="s">
        <v>254</v>
      </c>
      <c r="G2095" s="5" t="s">
        <v>240</v>
      </c>
      <c r="H2095" s="6" t="s">
        <v>4188</v>
      </c>
      <c r="I2095" s="5" t="s">
        <v>809</v>
      </c>
      <c r="J2095" s="8">
        <f>1405</f>
        <v>1405</v>
      </c>
      <c r="K2095" s="5" t="s">
        <v>308</v>
      </c>
      <c r="L2095" s="7">
        <f>1</f>
        <v>1</v>
      </c>
      <c r="M2095" s="7">
        <f>1</f>
        <v>1</v>
      </c>
      <c r="N2095" s="5" t="s">
        <v>242</v>
      </c>
      <c r="O2095" s="5">
        <v>1</v>
      </c>
      <c r="P2095" s="5" t="s">
        <v>294</v>
      </c>
      <c r="Q2095" s="5" t="s">
        <v>266</v>
      </c>
      <c r="R2095" s="5" t="s">
        <v>240</v>
      </c>
      <c r="S2095" s="5" t="s">
        <v>240</v>
      </c>
      <c r="T2095" s="5" t="s">
        <v>296</v>
      </c>
      <c r="U2095" s="5" t="s">
        <v>244</v>
      </c>
      <c r="V2095" s="5" t="s">
        <v>240</v>
      </c>
      <c r="Y2095" s="5" t="s">
        <v>240</v>
      </c>
      <c r="Z2095" s="6" t="s">
        <v>298</v>
      </c>
      <c r="AB2095" s="6" t="s">
        <v>240</v>
      </c>
      <c r="AE2095" s="6" t="s">
        <v>299</v>
      </c>
      <c r="AF2095" s="5" t="s">
        <v>248</v>
      </c>
      <c r="AG2095" s="5" t="s">
        <v>249</v>
      </c>
      <c r="AW2095" s="5" t="s">
        <v>251</v>
      </c>
      <c r="AX2095" s="5" t="s">
        <v>240</v>
      </c>
      <c r="AY2095" s="5" t="s">
        <v>253</v>
      </c>
      <c r="AZ2095" s="5" t="s">
        <v>240</v>
      </c>
      <c r="BA2095" s="5" t="s">
        <v>255</v>
      </c>
      <c r="BB2095" s="5" t="s">
        <v>240</v>
      </c>
      <c r="BD2095" s="5" t="s">
        <v>240</v>
      </c>
      <c r="BF2095" s="5" t="s">
        <v>301</v>
      </c>
      <c r="BG2095" s="6" t="s">
        <v>299</v>
      </c>
      <c r="BH2095" s="5" t="s">
        <v>302</v>
      </c>
      <c r="BI2095" s="5" t="s">
        <v>303</v>
      </c>
      <c r="BJ2095" s="5" t="s">
        <v>240</v>
      </c>
      <c r="BK2095" s="8">
        <f>0</f>
        <v>0</v>
      </c>
      <c r="BL2095" s="7">
        <f>0</f>
        <v>0</v>
      </c>
      <c r="BM2095" s="5" t="s">
        <v>258</v>
      </c>
      <c r="BN2095" s="5" t="s">
        <v>259</v>
      </c>
      <c r="CB2095" s="5" t="s">
        <v>240</v>
      </c>
      <c r="CC2095" s="5" t="s">
        <v>240</v>
      </c>
      <c r="CG2095" s="5" t="s">
        <v>304</v>
      </c>
      <c r="CH2095" s="5" t="s">
        <v>305</v>
      </c>
      <c r="CI2095" s="5" t="s">
        <v>240</v>
      </c>
      <c r="CL2095" s="6" t="s">
        <v>261</v>
      </c>
      <c r="CM2095" s="5" t="s">
        <v>240</v>
      </c>
      <c r="CN2095" s="5" t="s">
        <v>263</v>
      </c>
      <c r="CO2095" s="5" t="s">
        <v>240</v>
      </c>
      <c r="CP2095" s="5" t="s">
        <v>240</v>
      </c>
      <c r="CQ2095" s="5">
        <v>0</v>
      </c>
      <c r="CR2095" s="5" t="s">
        <v>306</v>
      </c>
      <c r="CS2095" s="5" t="s">
        <v>307</v>
      </c>
      <c r="CT2095" s="5" t="s">
        <v>307</v>
      </c>
      <c r="CU2095" s="5" t="s">
        <v>260</v>
      </c>
      <c r="CX2095" s="7">
        <f>1</f>
        <v>1</v>
      </c>
      <c r="CY2095" s="7">
        <f>0</f>
        <v>0</v>
      </c>
      <c r="DA2095" s="7">
        <f>0</f>
        <v>0</v>
      </c>
      <c r="DC2095" s="5" t="s">
        <v>812</v>
      </c>
      <c r="DD2095" s="5" t="s">
        <v>240</v>
      </c>
      <c r="DF2095" s="5" t="s">
        <v>812</v>
      </c>
      <c r="DG2095" s="7">
        <f>1331</f>
        <v>1331</v>
      </c>
      <c r="DI2095" s="5" t="s">
        <v>240</v>
      </c>
      <c r="DJ2095" s="5" t="s">
        <v>240</v>
      </c>
      <c r="DK2095" s="5" t="s">
        <v>240</v>
      </c>
      <c r="DL2095" s="5" t="s">
        <v>240</v>
      </c>
      <c r="DP2095" s="5" t="s">
        <v>240</v>
      </c>
      <c r="DQ2095" s="5" t="s">
        <v>240</v>
      </c>
      <c r="DR2095" s="5" t="s">
        <v>240</v>
      </c>
      <c r="DS2095" s="5" t="s">
        <v>240</v>
      </c>
      <c r="DV2095" s="5" t="s">
        <v>813</v>
      </c>
      <c r="DW2095" s="5" t="s">
        <v>442</v>
      </c>
      <c r="HO2095" s="5" t="s">
        <v>312</v>
      </c>
    </row>
    <row r="2096" spans="1:223" x14ac:dyDescent="0.4">
      <c r="A2096" s="5">
        <v>3800</v>
      </c>
      <c r="B2096" s="5">
        <v>1</v>
      </c>
      <c r="C2096" s="5">
        <v>1</v>
      </c>
      <c r="D2096" s="5" t="s">
        <v>810</v>
      </c>
      <c r="E2096" s="5" t="s">
        <v>245</v>
      </c>
      <c r="F2096" s="5" t="s">
        <v>254</v>
      </c>
      <c r="G2096" s="5" t="s">
        <v>240</v>
      </c>
      <c r="H2096" s="6" t="s">
        <v>4187</v>
      </c>
      <c r="I2096" s="5" t="s">
        <v>809</v>
      </c>
      <c r="J2096" s="8">
        <f>96</f>
        <v>96</v>
      </c>
      <c r="K2096" s="5" t="s">
        <v>308</v>
      </c>
      <c r="L2096" s="7">
        <f>1</f>
        <v>1</v>
      </c>
      <c r="M2096" s="7">
        <f>1</f>
        <v>1</v>
      </c>
      <c r="N2096" s="5" t="s">
        <v>242</v>
      </c>
      <c r="O2096" s="5">
        <v>1</v>
      </c>
      <c r="P2096" s="5" t="s">
        <v>294</v>
      </c>
      <c r="Q2096" s="5" t="s">
        <v>266</v>
      </c>
      <c r="R2096" s="5" t="s">
        <v>240</v>
      </c>
      <c r="S2096" s="5" t="s">
        <v>240</v>
      </c>
      <c r="T2096" s="5" t="s">
        <v>296</v>
      </c>
      <c r="U2096" s="5" t="s">
        <v>244</v>
      </c>
      <c r="V2096" s="5" t="s">
        <v>240</v>
      </c>
      <c r="Y2096" s="5" t="s">
        <v>240</v>
      </c>
      <c r="Z2096" s="6" t="s">
        <v>298</v>
      </c>
      <c r="AB2096" s="6" t="s">
        <v>240</v>
      </c>
      <c r="AE2096" s="6" t="s">
        <v>299</v>
      </c>
      <c r="AF2096" s="5" t="s">
        <v>248</v>
      </c>
      <c r="AG2096" s="5" t="s">
        <v>249</v>
      </c>
      <c r="AW2096" s="5" t="s">
        <v>251</v>
      </c>
      <c r="AX2096" s="5" t="s">
        <v>240</v>
      </c>
      <c r="AY2096" s="5" t="s">
        <v>253</v>
      </c>
      <c r="AZ2096" s="5" t="s">
        <v>240</v>
      </c>
      <c r="BA2096" s="5" t="s">
        <v>255</v>
      </c>
      <c r="BB2096" s="5" t="s">
        <v>240</v>
      </c>
      <c r="BD2096" s="5" t="s">
        <v>240</v>
      </c>
      <c r="BF2096" s="5" t="s">
        <v>301</v>
      </c>
      <c r="BG2096" s="6" t="s">
        <v>299</v>
      </c>
      <c r="BH2096" s="5" t="s">
        <v>302</v>
      </c>
      <c r="BI2096" s="5" t="s">
        <v>303</v>
      </c>
      <c r="BJ2096" s="5" t="s">
        <v>240</v>
      </c>
      <c r="BK2096" s="8">
        <f>0</f>
        <v>0</v>
      </c>
      <c r="BL2096" s="7">
        <f>0</f>
        <v>0</v>
      </c>
      <c r="BM2096" s="5" t="s">
        <v>258</v>
      </c>
      <c r="BN2096" s="5" t="s">
        <v>259</v>
      </c>
      <c r="CB2096" s="5" t="s">
        <v>240</v>
      </c>
      <c r="CC2096" s="5" t="s">
        <v>240</v>
      </c>
      <c r="CG2096" s="5" t="s">
        <v>304</v>
      </c>
      <c r="CH2096" s="5" t="s">
        <v>305</v>
      </c>
      <c r="CI2096" s="5" t="s">
        <v>240</v>
      </c>
      <c r="CL2096" s="6" t="s">
        <v>261</v>
      </c>
      <c r="CM2096" s="5" t="s">
        <v>240</v>
      </c>
      <c r="CN2096" s="5" t="s">
        <v>263</v>
      </c>
      <c r="CO2096" s="5" t="s">
        <v>240</v>
      </c>
      <c r="CP2096" s="5" t="s">
        <v>240</v>
      </c>
      <c r="CQ2096" s="5">
        <v>0</v>
      </c>
      <c r="CR2096" s="5" t="s">
        <v>306</v>
      </c>
      <c r="CS2096" s="5" t="s">
        <v>307</v>
      </c>
      <c r="CT2096" s="5" t="s">
        <v>307</v>
      </c>
      <c r="CU2096" s="5" t="s">
        <v>260</v>
      </c>
      <c r="CX2096" s="7">
        <f>1</f>
        <v>1</v>
      </c>
      <c r="CY2096" s="7">
        <f>0</f>
        <v>0</v>
      </c>
      <c r="DA2096" s="7">
        <f>0</f>
        <v>0</v>
      </c>
      <c r="DC2096" s="5" t="s">
        <v>812</v>
      </c>
      <c r="DD2096" s="5" t="s">
        <v>240</v>
      </c>
      <c r="DF2096" s="5" t="s">
        <v>812</v>
      </c>
      <c r="DG2096" s="7">
        <f>205</f>
        <v>205</v>
      </c>
      <c r="DI2096" s="5" t="s">
        <v>240</v>
      </c>
      <c r="DJ2096" s="5" t="s">
        <v>240</v>
      </c>
      <c r="DK2096" s="5" t="s">
        <v>240</v>
      </c>
      <c r="DL2096" s="5" t="s">
        <v>240</v>
      </c>
      <c r="DP2096" s="5" t="s">
        <v>240</v>
      </c>
      <c r="DQ2096" s="5" t="s">
        <v>240</v>
      </c>
      <c r="DR2096" s="5" t="s">
        <v>240</v>
      </c>
      <c r="DS2096" s="5" t="s">
        <v>240</v>
      </c>
      <c r="DV2096" s="5" t="s">
        <v>813</v>
      </c>
      <c r="DW2096" s="5" t="s">
        <v>2091</v>
      </c>
      <c r="HO2096" s="5" t="s">
        <v>312</v>
      </c>
    </row>
    <row r="2097" spans="1:223" x14ac:dyDescent="0.4">
      <c r="A2097" s="5">
        <v>3801</v>
      </c>
      <c r="B2097" s="5">
        <v>1</v>
      </c>
      <c r="C2097" s="5">
        <v>1</v>
      </c>
      <c r="D2097" s="5" t="s">
        <v>810</v>
      </c>
      <c r="E2097" s="5" t="s">
        <v>245</v>
      </c>
      <c r="F2097" s="5" t="s">
        <v>254</v>
      </c>
      <c r="G2097" s="5" t="s">
        <v>240</v>
      </c>
      <c r="H2097" s="6" t="s">
        <v>4186</v>
      </c>
      <c r="I2097" s="5" t="s">
        <v>809</v>
      </c>
      <c r="J2097" s="8">
        <f>72</f>
        <v>72</v>
      </c>
      <c r="K2097" s="5" t="s">
        <v>308</v>
      </c>
      <c r="L2097" s="7">
        <f>1</f>
        <v>1</v>
      </c>
      <c r="M2097" s="7">
        <f>1</f>
        <v>1</v>
      </c>
      <c r="N2097" s="5" t="s">
        <v>242</v>
      </c>
      <c r="O2097" s="5">
        <v>1</v>
      </c>
      <c r="P2097" s="5" t="s">
        <v>294</v>
      </c>
      <c r="Q2097" s="5" t="s">
        <v>266</v>
      </c>
      <c r="R2097" s="5" t="s">
        <v>240</v>
      </c>
      <c r="S2097" s="5" t="s">
        <v>240</v>
      </c>
      <c r="T2097" s="5" t="s">
        <v>296</v>
      </c>
      <c r="U2097" s="5" t="s">
        <v>244</v>
      </c>
      <c r="V2097" s="5" t="s">
        <v>240</v>
      </c>
      <c r="Y2097" s="5" t="s">
        <v>240</v>
      </c>
      <c r="Z2097" s="6" t="s">
        <v>298</v>
      </c>
      <c r="AB2097" s="6" t="s">
        <v>240</v>
      </c>
      <c r="AE2097" s="6" t="s">
        <v>299</v>
      </c>
      <c r="AF2097" s="5" t="s">
        <v>248</v>
      </c>
      <c r="AG2097" s="5" t="s">
        <v>249</v>
      </c>
      <c r="AW2097" s="5" t="s">
        <v>251</v>
      </c>
      <c r="AX2097" s="5" t="s">
        <v>240</v>
      </c>
      <c r="AY2097" s="5" t="s">
        <v>253</v>
      </c>
      <c r="AZ2097" s="5" t="s">
        <v>240</v>
      </c>
      <c r="BA2097" s="5" t="s">
        <v>255</v>
      </c>
      <c r="BB2097" s="5" t="s">
        <v>240</v>
      </c>
      <c r="BD2097" s="5" t="s">
        <v>240</v>
      </c>
      <c r="BF2097" s="5" t="s">
        <v>301</v>
      </c>
      <c r="BG2097" s="6" t="s">
        <v>299</v>
      </c>
      <c r="BH2097" s="5" t="s">
        <v>302</v>
      </c>
      <c r="BI2097" s="5" t="s">
        <v>303</v>
      </c>
      <c r="BJ2097" s="5" t="s">
        <v>240</v>
      </c>
      <c r="BK2097" s="8">
        <f>0</f>
        <v>0</v>
      </c>
      <c r="BL2097" s="7">
        <f>0</f>
        <v>0</v>
      </c>
      <c r="BM2097" s="5" t="s">
        <v>258</v>
      </c>
      <c r="BN2097" s="5" t="s">
        <v>259</v>
      </c>
      <c r="CB2097" s="5" t="s">
        <v>240</v>
      </c>
      <c r="CC2097" s="5" t="s">
        <v>240</v>
      </c>
      <c r="CG2097" s="5" t="s">
        <v>304</v>
      </c>
      <c r="CH2097" s="5" t="s">
        <v>305</v>
      </c>
      <c r="CI2097" s="5" t="s">
        <v>240</v>
      </c>
      <c r="CL2097" s="6" t="s">
        <v>261</v>
      </c>
      <c r="CM2097" s="5" t="s">
        <v>240</v>
      </c>
      <c r="CN2097" s="5" t="s">
        <v>263</v>
      </c>
      <c r="CO2097" s="5" t="s">
        <v>240</v>
      </c>
      <c r="CP2097" s="5" t="s">
        <v>240</v>
      </c>
      <c r="CQ2097" s="5">
        <v>0</v>
      </c>
      <c r="CR2097" s="5" t="s">
        <v>306</v>
      </c>
      <c r="CS2097" s="5" t="s">
        <v>307</v>
      </c>
      <c r="CT2097" s="5" t="s">
        <v>307</v>
      </c>
      <c r="CU2097" s="5" t="s">
        <v>260</v>
      </c>
      <c r="CX2097" s="7">
        <f>1</f>
        <v>1</v>
      </c>
      <c r="CY2097" s="7">
        <f>0</f>
        <v>0</v>
      </c>
      <c r="DA2097" s="7">
        <f>0</f>
        <v>0</v>
      </c>
      <c r="DC2097" s="5" t="s">
        <v>812</v>
      </c>
      <c r="DD2097" s="5" t="s">
        <v>240</v>
      </c>
      <c r="DF2097" s="5" t="s">
        <v>812</v>
      </c>
      <c r="DG2097" s="7">
        <f>527</f>
        <v>527</v>
      </c>
      <c r="DI2097" s="5" t="s">
        <v>240</v>
      </c>
      <c r="DJ2097" s="5" t="s">
        <v>240</v>
      </c>
      <c r="DK2097" s="5" t="s">
        <v>240</v>
      </c>
      <c r="DL2097" s="5" t="s">
        <v>240</v>
      </c>
      <c r="DP2097" s="5" t="s">
        <v>240</v>
      </c>
      <c r="DQ2097" s="5" t="s">
        <v>240</v>
      </c>
      <c r="DR2097" s="5" t="s">
        <v>240</v>
      </c>
      <c r="DS2097" s="5" t="s">
        <v>240</v>
      </c>
      <c r="DV2097" s="5" t="s">
        <v>813</v>
      </c>
      <c r="DW2097" s="5" t="s">
        <v>453</v>
      </c>
      <c r="HO2097" s="5" t="s">
        <v>312</v>
      </c>
    </row>
    <row r="2098" spans="1:223" x14ac:dyDescent="0.4">
      <c r="A2098" s="5">
        <v>3802</v>
      </c>
      <c r="B2098" s="5">
        <v>1</v>
      </c>
      <c r="C2098" s="5">
        <v>1</v>
      </c>
      <c r="D2098" s="5" t="s">
        <v>810</v>
      </c>
      <c r="E2098" s="5" t="s">
        <v>245</v>
      </c>
      <c r="F2098" s="5" t="s">
        <v>254</v>
      </c>
      <c r="G2098" s="5" t="s">
        <v>240</v>
      </c>
      <c r="H2098" s="6" t="s">
        <v>4185</v>
      </c>
      <c r="I2098" s="5" t="s">
        <v>809</v>
      </c>
      <c r="J2098" s="8">
        <f>177</f>
        <v>177</v>
      </c>
      <c r="K2098" s="5" t="s">
        <v>308</v>
      </c>
      <c r="L2098" s="7">
        <f>1</f>
        <v>1</v>
      </c>
      <c r="M2098" s="7">
        <f>1</f>
        <v>1</v>
      </c>
      <c r="N2098" s="5" t="s">
        <v>242</v>
      </c>
      <c r="O2098" s="5">
        <v>1</v>
      </c>
      <c r="P2098" s="5" t="s">
        <v>294</v>
      </c>
      <c r="Q2098" s="5" t="s">
        <v>266</v>
      </c>
      <c r="R2098" s="5" t="s">
        <v>240</v>
      </c>
      <c r="S2098" s="5" t="s">
        <v>240</v>
      </c>
      <c r="T2098" s="5" t="s">
        <v>296</v>
      </c>
      <c r="U2098" s="5" t="s">
        <v>244</v>
      </c>
      <c r="V2098" s="5" t="s">
        <v>240</v>
      </c>
      <c r="Y2098" s="5" t="s">
        <v>240</v>
      </c>
      <c r="Z2098" s="6" t="s">
        <v>298</v>
      </c>
      <c r="AB2098" s="6" t="s">
        <v>240</v>
      </c>
      <c r="AE2098" s="6" t="s">
        <v>299</v>
      </c>
      <c r="AF2098" s="5" t="s">
        <v>248</v>
      </c>
      <c r="AG2098" s="5" t="s">
        <v>249</v>
      </c>
      <c r="AW2098" s="5" t="s">
        <v>251</v>
      </c>
      <c r="AX2098" s="5" t="s">
        <v>240</v>
      </c>
      <c r="AY2098" s="5" t="s">
        <v>253</v>
      </c>
      <c r="AZ2098" s="5" t="s">
        <v>240</v>
      </c>
      <c r="BA2098" s="5" t="s">
        <v>255</v>
      </c>
      <c r="BB2098" s="5" t="s">
        <v>240</v>
      </c>
      <c r="BD2098" s="5" t="s">
        <v>240</v>
      </c>
      <c r="BF2098" s="5" t="s">
        <v>301</v>
      </c>
      <c r="BG2098" s="6" t="s">
        <v>299</v>
      </c>
      <c r="BH2098" s="5" t="s">
        <v>302</v>
      </c>
      <c r="BI2098" s="5" t="s">
        <v>303</v>
      </c>
      <c r="BJ2098" s="5" t="s">
        <v>240</v>
      </c>
      <c r="BK2098" s="8">
        <f>0</f>
        <v>0</v>
      </c>
      <c r="BL2098" s="7">
        <f>0</f>
        <v>0</v>
      </c>
      <c r="BM2098" s="5" t="s">
        <v>258</v>
      </c>
      <c r="BN2098" s="5" t="s">
        <v>259</v>
      </c>
      <c r="CB2098" s="5" t="s">
        <v>240</v>
      </c>
      <c r="CC2098" s="5" t="s">
        <v>240</v>
      </c>
      <c r="CG2098" s="5" t="s">
        <v>304</v>
      </c>
      <c r="CH2098" s="5" t="s">
        <v>305</v>
      </c>
      <c r="CI2098" s="5" t="s">
        <v>240</v>
      </c>
      <c r="CL2098" s="6" t="s">
        <v>261</v>
      </c>
      <c r="CM2098" s="5" t="s">
        <v>240</v>
      </c>
      <c r="CN2098" s="5" t="s">
        <v>263</v>
      </c>
      <c r="CO2098" s="5" t="s">
        <v>240</v>
      </c>
      <c r="CP2098" s="5" t="s">
        <v>240</v>
      </c>
      <c r="CQ2098" s="5">
        <v>0</v>
      </c>
      <c r="CR2098" s="5" t="s">
        <v>306</v>
      </c>
      <c r="CS2098" s="5" t="s">
        <v>307</v>
      </c>
      <c r="CT2098" s="5" t="s">
        <v>307</v>
      </c>
      <c r="CU2098" s="5" t="s">
        <v>260</v>
      </c>
      <c r="CX2098" s="7">
        <f>1</f>
        <v>1</v>
      </c>
      <c r="CY2098" s="7">
        <f>0</f>
        <v>0</v>
      </c>
      <c r="DA2098" s="7">
        <f>0</f>
        <v>0</v>
      </c>
      <c r="DC2098" s="5" t="s">
        <v>812</v>
      </c>
      <c r="DD2098" s="5" t="s">
        <v>240</v>
      </c>
      <c r="DF2098" s="5" t="s">
        <v>812</v>
      </c>
      <c r="DG2098" s="7">
        <f>322</f>
        <v>322</v>
      </c>
      <c r="DI2098" s="5" t="s">
        <v>240</v>
      </c>
      <c r="DJ2098" s="5" t="s">
        <v>240</v>
      </c>
      <c r="DK2098" s="5" t="s">
        <v>240</v>
      </c>
      <c r="DL2098" s="5" t="s">
        <v>240</v>
      </c>
      <c r="DP2098" s="5" t="s">
        <v>240</v>
      </c>
      <c r="DQ2098" s="5" t="s">
        <v>240</v>
      </c>
      <c r="DR2098" s="5" t="s">
        <v>240</v>
      </c>
      <c r="DS2098" s="5" t="s">
        <v>240</v>
      </c>
      <c r="DV2098" s="5" t="s">
        <v>813</v>
      </c>
      <c r="DW2098" s="5" t="s">
        <v>455</v>
      </c>
      <c r="HO2098" s="5" t="s">
        <v>312</v>
      </c>
    </row>
    <row r="2099" spans="1:223" x14ac:dyDescent="0.4">
      <c r="A2099" s="5">
        <v>3803</v>
      </c>
      <c r="B2099" s="5">
        <v>1</v>
      </c>
      <c r="C2099" s="5">
        <v>1</v>
      </c>
      <c r="D2099" s="5" t="s">
        <v>810</v>
      </c>
      <c r="E2099" s="5" t="s">
        <v>245</v>
      </c>
      <c r="F2099" s="5" t="s">
        <v>254</v>
      </c>
      <c r="G2099" s="5" t="s">
        <v>240</v>
      </c>
      <c r="H2099" s="6" t="s">
        <v>4184</v>
      </c>
      <c r="I2099" s="5" t="s">
        <v>809</v>
      </c>
      <c r="J2099" s="8">
        <f>776</f>
        <v>776</v>
      </c>
      <c r="K2099" s="5" t="s">
        <v>308</v>
      </c>
      <c r="L2099" s="7">
        <f>1</f>
        <v>1</v>
      </c>
      <c r="M2099" s="7">
        <f>1</f>
        <v>1</v>
      </c>
      <c r="N2099" s="5" t="s">
        <v>242</v>
      </c>
      <c r="O2099" s="5">
        <v>1</v>
      </c>
      <c r="P2099" s="5" t="s">
        <v>294</v>
      </c>
      <c r="Q2099" s="5" t="s">
        <v>266</v>
      </c>
      <c r="R2099" s="5" t="s">
        <v>240</v>
      </c>
      <c r="S2099" s="5" t="s">
        <v>240</v>
      </c>
      <c r="T2099" s="5" t="s">
        <v>296</v>
      </c>
      <c r="U2099" s="5" t="s">
        <v>244</v>
      </c>
      <c r="V2099" s="5" t="s">
        <v>240</v>
      </c>
      <c r="Y2099" s="5" t="s">
        <v>240</v>
      </c>
      <c r="Z2099" s="6" t="s">
        <v>298</v>
      </c>
      <c r="AB2099" s="6" t="s">
        <v>240</v>
      </c>
      <c r="AE2099" s="6" t="s">
        <v>299</v>
      </c>
      <c r="AF2099" s="5" t="s">
        <v>248</v>
      </c>
      <c r="AG2099" s="5" t="s">
        <v>249</v>
      </c>
      <c r="AW2099" s="5" t="s">
        <v>251</v>
      </c>
      <c r="AX2099" s="5" t="s">
        <v>240</v>
      </c>
      <c r="AY2099" s="5" t="s">
        <v>253</v>
      </c>
      <c r="AZ2099" s="5" t="s">
        <v>240</v>
      </c>
      <c r="BA2099" s="5" t="s">
        <v>255</v>
      </c>
      <c r="BB2099" s="5" t="s">
        <v>240</v>
      </c>
      <c r="BD2099" s="5" t="s">
        <v>240</v>
      </c>
      <c r="BF2099" s="5" t="s">
        <v>301</v>
      </c>
      <c r="BG2099" s="6" t="s">
        <v>299</v>
      </c>
      <c r="BH2099" s="5" t="s">
        <v>302</v>
      </c>
      <c r="BI2099" s="5" t="s">
        <v>303</v>
      </c>
      <c r="BJ2099" s="5" t="s">
        <v>240</v>
      </c>
      <c r="BK2099" s="8">
        <f>0</f>
        <v>0</v>
      </c>
      <c r="BL2099" s="7">
        <f>0</f>
        <v>0</v>
      </c>
      <c r="BM2099" s="5" t="s">
        <v>258</v>
      </c>
      <c r="BN2099" s="5" t="s">
        <v>259</v>
      </c>
      <c r="CB2099" s="5" t="s">
        <v>240</v>
      </c>
      <c r="CC2099" s="5" t="s">
        <v>240</v>
      </c>
      <c r="CG2099" s="5" t="s">
        <v>304</v>
      </c>
      <c r="CH2099" s="5" t="s">
        <v>305</v>
      </c>
      <c r="CI2099" s="5" t="s">
        <v>240</v>
      </c>
      <c r="CL2099" s="6" t="s">
        <v>261</v>
      </c>
      <c r="CM2099" s="5" t="s">
        <v>240</v>
      </c>
      <c r="CN2099" s="5" t="s">
        <v>263</v>
      </c>
      <c r="CO2099" s="5" t="s">
        <v>240</v>
      </c>
      <c r="CP2099" s="5" t="s">
        <v>240</v>
      </c>
      <c r="CQ2099" s="5">
        <v>0</v>
      </c>
      <c r="CR2099" s="5" t="s">
        <v>306</v>
      </c>
      <c r="CS2099" s="5" t="s">
        <v>307</v>
      </c>
      <c r="CT2099" s="5" t="s">
        <v>307</v>
      </c>
      <c r="CU2099" s="5" t="s">
        <v>260</v>
      </c>
      <c r="CX2099" s="7">
        <f>1</f>
        <v>1</v>
      </c>
      <c r="CY2099" s="7">
        <f>0</f>
        <v>0</v>
      </c>
      <c r="DA2099" s="7">
        <f>0</f>
        <v>0</v>
      </c>
      <c r="DC2099" s="5" t="s">
        <v>812</v>
      </c>
      <c r="DD2099" s="5" t="s">
        <v>240</v>
      </c>
      <c r="DF2099" s="5" t="s">
        <v>812</v>
      </c>
      <c r="DG2099" s="7">
        <f>1013</f>
        <v>1013</v>
      </c>
      <c r="DI2099" s="5" t="s">
        <v>240</v>
      </c>
      <c r="DJ2099" s="5" t="s">
        <v>240</v>
      </c>
      <c r="DK2099" s="5" t="s">
        <v>240</v>
      </c>
      <c r="DL2099" s="5" t="s">
        <v>240</v>
      </c>
      <c r="DP2099" s="5" t="s">
        <v>240</v>
      </c>
      <c r="DQ2099" s="5" t="s">
        <v>240</v>
      </c>
      <c r="DR2099" s="5" t="s">
        <v>240</v>
      </c>
      <c r="DS2099" s="5" t="s">
        <v>240</v>
      </c>
      <c r="DV2099" s="5" t="s">
        <v>813</v>
      </c>
      <c r="DW2099" s="5" t="s">
        <v>457</v>
      </c>
      <c r="HO2099" s="5" t="s">
        <v>312</v>
      </c>
    </row>
    <row r="2100" spans="1:223" x14ac:dyDescent="0.4">
      <c r="A2100" s="5">
        <v>3804</v>
      </c>
      <c r="B2100" s="5">
        <v>1</v>
      </c>
      <c r="C2100" s="5">
        <v>1</v>
      </c>
      <c r="D2100" s="5" t="s">
        <v>810</v>
      </c>
      <c r="E2100" s="5" t="s">
        <v>245</v>
      </c>
      <c r="F2100" s="5" t="s">
        <v>254</v>
      </c>
      <c r="G2100" s="5" t="s">
        <v>240</v>
      </c>
      <c r="H2100" s="6" t="s">
        <v>4183</v>
      </c>
      <c r="I2100" s="5" t="s">
        <v>809</v>
      </c>
      <c r="J2100" s="8">
        <f>178</f>
        <v>178</v>
      </c>
      <c r="K2100" s="5" t="s">
        <v>308</v>
      </c>
      <c r="L2100" s="7">
        <f>1</f>
        <v>1</v>
      </c>
      <c r="M2100" s="7">
        <f>1</f>
        <v>1</v>
      </c>
      <c r="N2100" s="5" t="s">
        <v>242</v>
      </c>
      <c r="O2100" s="5">
        <v>1</v>
      </c>
      <c r="P2100" s="5" t="s">
        <v>294</v>
      </c>
      <c r="Q2100" s="5" t="s">
        <v>266</v>
      </c>
      <c r="R2100" s="5" t="s">
        <v>240</v>
      </c>
      <c r="S2100" s="5" t="s">
        <v>240</v>
      </c>
      <c r="T2100" s="5" t="s">
        <v>296</v>
      </c>
      <c r="U2100" s="5" t="s">
        <v>244</v>
      </c>
      <c r="V2100" s="5" t="s">
        <v>240</v>
      </c>
      <c r="Y2100" s="5" t="s">
        <v>240</v>
      </c>
      <c r="Z2100" s="6" t="s">
        <v>298</v>
      </c>
      <c r="AB2100" s="6" t="s">
        <v>240</v>
      </c>
      <c r="AE2100" s="6" t="s">
        <v>299</v>
      </c>
      <c r="AF2100" s="5" t="s">
        <v>248</v>
      </c>
      <c r="AG2100" s="5" t="s">
        <v>249</v>
      </c>
      <c r="AW2100" s="5" t="s">
        <v>251</v>
      </c>
      <c r="AX2100" s="5" t="s">
        <v>240</v>
      </c>
      <c r="AY2100" s="5" t="s">
        <v>253</v>
      </c>
      <c r="AZ2100" s="5" t="s">
        <v>240</v>
      </c>
      <c r="BA2100" s="5" t="s">
        <v>255</v>
      </c>
      <c r="BB2100" s="5" t="s">
        <v>240</v>
      </c>
      <c r="BD2100" s="5" t="s">
        <v>240</v>
      </c>
      <c r="BF2100" s="5" t="s">
        <v>301</v>
      </c>
      <c r="BG2100" s="6" t="s">
        <v>299</v>
      </c>
      <c r="BH2100" s="5" t="s">
        <v>302</v>
      </c>
      <c r="BI2100" s="5" t="s">
        <v>303</v>
      </c>
      <c r="BJ2100" s="5" t="s">
        <v>240</v>
      </c>
      <c r="BK2100" s="8">
        <f>0</f>
        <v>0</v>
      </c>
      <c r="BL2100" s="7">
        <f>0</f>
        <v>0</v>
      </c>
      <c r="BM2100" s="5" t="s">
        <v>258</v>
      </c>
      <c r="BN2100" s="5" t="s">
        <v>259</v>
      </c>
      <c r="CB2100" s="5" t="s">
        <v>240</v>
      </c>
      <c r="CC2100" s="5" t="s">
        <v>240</v>
      </c>
      <c r="CG2100" s="5" t="s">
        <v>304</v>
      </c>
      <c r="CH2100" s="5" t="s">
        <v>305</v>
      </c>
      <c r="CI2100" s="5" t="s">
        <v>240</v>
      </c>
      <c r="CL2100" s="6" t="s">
        <v>261</v>
      </c>
      <c r="CM2100" s="5" t="s">
        <v>240</v>
      </c>
      <c r="CN2100" s="5" t="s">
        <v>263</v>
      </c>
      <c r="CO2100" s="5" t="s">
        <v>240</v>
      </c>
      <c r="CP2100" s="5" t="s">
        <v>240</v>
      </c>
      <c r="CQ2100" s="5">
        <v>0</v>
      </c>
      <c r="CR2100" s="5" t="s">
        <v>306</v>
      </c>
      <c r="CS2100" s="5" t="s">
        <v>307</v>
      </c>
      <c r="CT2100" s="5" t="s">
        <v>307</v>
      </c>
      <c r="CU2100" s="5" t="s">
        <v>260</v>
      </c>
      <c r="CX2100" s="7">
        <f>1</f>
        <v>1</v>
      </c>
      <c r="CY2100" s="7">
        <f>0</f>
        <v>0</v>
      </c>
      <c r="DA2100" s="7">
        <f>0</f>
        <v>0</v>
      </c>
      <c r="DC2100" s="5" t="s">
        <v>812</v>
      </c>
      <c r="DD2100" s="5" t="s">
        <v>240</v>
      </c>
      <c r="DF2100" s="5" t="s">
        <v>812</v>
      </c>
      <c r="DG2100" s="7">
        <f>434</f>
        <v>434</v>
      </c>
      <c r="DI2100" s="5" t="s">
        <v>240</v>
      </c>
      <c r="DJ2100" s="5" t="s">
        <v>240</v>
      </c>
      <c r="DK2100" s="5" t="s">
        <v>240</v>
      </c>
      <c r="DL2100" s="5" t="s">
        <v>240</v>
      </c>
      <c r="DP2100" s="5" t="s">
        <v>240</v>
      </c>
      <c r="DQ2100" s="5" t="s">
        <v>240</v>
      </c>
      <c r="DR2100" s="5" t="s">
        <v>240</v>
      </c>
      <c r="DS2100" s="5" t="s">
        <v>240</v>
      </c>
      <c r="DV2100" s="5" t="s">
        <v>813</v>
      </c>
      <c r="DW2100" s="5" t="s">
        <v>459</v>
      </c>
      <c r="HO2100" s="5" t="s">
        <v>312</v>
      </c>
    </row>
    <row r="2101" spans="1:223" x14ac:dyDescent="0.4">
      <c r="A2101" s="5">
        <v>3805</v>
      </c>
      <c r="B2101" s="5">
        <v>1</v>
      </c>
      <c r="C2101" s="5">
        <v>1</v>
      </c>
      <c r="D2101" s="5" t="s">
        <v>810</v>
      </c>
      <c r="E2101" s="5" t="s">
        <v>245</v>
      </c>
      <c r="F2101" s="5" t="s">
        <v>254</v>
      </c>
      <c r="G2101" s="5" t="s">
        <v>240</v>
      </c>
      <c r="H2101" s="6" t="s">
        <v>4182</v>
      </c>
      <c r="I2101" s="5" t="s">
        <v>809</v>
      </c>
      <c r="J2101" s="8">
        <f>108</f>
        <v>108</v>
      </c>
      <c r="K2101" s="5" t="s">
        <v>308</v>
      </c>
      <c r="L2101" s="7">
        <f>1</f>
        <v>1</v>
      </c>
      <c r="M2101" s="7">
        <f>1</f>
        <v>1</v>
      </c>
      <c r="N2101" s="5" t="s">
        <v>242</v>
      </c>
      <c r="O2101" s="5">
        <v>1</v>
      </c>
      <c r="P2101" s="5" t="s">
        <v>294</v>
      </c>
      <c r="Q2101" s="5" t="s">
        <v>266</v>
      </c>
      <c r="R2101" s="5" t="s">
        <v>240</v>
      </c>
      <c r="S2101" s="5" t="s">
        <v>240</v>
      </c>
      <c r="T2101" s="5" t="s">
        <v>296</v>
      </c>
      <c r="U2101" s="5" t="s">
        <v>244</v>
      </c>
      <c r="V2101" s="5" t="s">
        <v>240</v>
      </c>
      <c r="Y2101" s="5" t="s">
        <v>240</v>
      </c>
      <c r="Z2101" s="6" t="s">
        <v>298</v>
      </c>
      <c r="AB2101" s="6" t="s">
        <v>240</v>
      </c>
      <c r="AE2101" s="6" t="s">
        <v>299</v>
      </c>
      <c r="AF2101" s="5" t="s">
        <v>248</v>
      </c>
      <c r="AG2101" s="5" t="s">
        <v>249</v>
      </c>
      <c r="AW2101" s="5" t="s">
        <v>251</v>
      </c>
      <c r="AX2101" s="5" t="s">
        <v>240</v>
      </c>
      <c r="AY2101" s="5" t="s">
        <v>253</v>
      </c>
      <c r="AZ2101" s="5" t="s">
        <v>240</v>
      </c>
      <c r="BA2101" s="5" t="s">
        <v>255</v>
      </c>
      <c r="BB2101" s="5" t="s">
        <v>240</v>
      </c>
      <c r="BD2101" s="5" t="s">
        <v>240</v>
      </c>
      <c r="BF2101" s="5" t="s">
        <v>301</v>
      </c>
      <c r="BG2101" s="6" t="s">
        <v>299</v>
      </c>
      <c r="BH2101" s="5" t="s">
        <v>302</v>
      </c>
      <c r="BI2101" s="5" t="s">
        <v>303</v>
      </c>
      <c r="BJ2101" s="5" t="s">
        <v>240</v>
      </c>
      <c r="BK2101" s="8">
        <f>0</f>
        <v>0</v>
      </c>
      <c r="BL2101" s="7">
        <f>0</f>
        <v>0</v>
      </c>
      <c r="BM2101" s="5" t="s">
        <v>258</v>
      </c>
      <c r="BN2101" s="5" t="s">
        <v>259</v>
      </c>
      <c r="CB2101" s="5" t="s">
        <v>240</v>
      </c>
      <c r="CC2101" s="5" t="s">
        <v>240</v>
      </c>
      <c r="CG2101" s="5" t="s">
        <v>304</v>
      </c>
      <c r="CH2101" s="5" t="s">
        <v>305</v>
      </c>
      <c r="CI2101" s="5" t="s">
        <v>240</v>
      </c>
      <c r="CL2101" s="6" t="s">
        <v>261</v>
      </c>
      <c r="CM2101" s="5" t="s">
        <v>240</v>
      </c>
      <c r="CN2101" s="5" t="s">
        <v>263</v>
      </c>
      <c r="CO2101" s="5" t="s">
        <v>240</v>
      </c>
      <c r="CP2101" s="5" t="s">
        <v>240</v>
      </c>
      <c r="CQ2101" s="5">
        <v>0</v>
      </c>
      <c r="CR2101" s="5" t="s">
        <v>306</v>
      </c>
      <c r="CS2101" s="5" t="s">
        <v>307</v>
      </c>
      <c r="CT2101" s="5" t="s">
        <v>307</v>
      </c>
      <c r="CU2101" s="5" t="s">
        <v>260</v>
      </c>
      <c r="CX2101" s="7">
        <f>1</f>
        <v>1</v>
      </c>
      <c r="CY2101" s="7">
        <f>0</f>
        <v>0</v>
      </c>
      <c r="DA2101" s="7">
        <f>0</f>
        <v>0</v>
      </c>
      <c r="DC2101" s="5" t="s">
        <v>812</v>
      </c>
      <c r="DD2101" s="5" t="s">
        <v>240</v>
      </c>
      <c r="DF2101" s="5" t="s">
        <v>812</v>
      </c>
      <c r="DG2101" s="7">
        <f>5.98</f>
        <v>5.98</v>
      </c>
      <c r="DI2101" s="5" t="s">
        <v>240</v>
      </c>
      <c r="DJ2101" s="5" t="s">
        <v>240</v>
      </c>
      <c r="DK2101" s="5" t="s">
        <v>240</v>
      </c>
      <c r="DL2101" s="5" t="s">
        <v>240</v>
      </c>
      <c r="DP2101" s="5" t="s">
        <v>240</v>
      </c>
      <c r="DQ2101" s="5" t="s">
        <v>240</v>
      </c>
      <c r="DR2101" s="5" t="s">
        <v>240</v>
      </c>
      <c r="DS2101" s="5" t="s">
        <v>240</v>
      </c>
      <c r="DV2101" s="5" t="s">
        <v>813</v>
      </c>
      <c r="DW2101" s="5" t="s">
        <v>461</v>
      </c>
      <c r="HO2101" s="5" t="s">
        <v>312</v>
      </c>
    </row>
    <row r="2102" spans="1:223" x14ac:dyDescent="0.4">
      <c r="A2102" s="5">
        <v>3806</v>
      </c>
      <c r="B2102" s="5">
        <v>1</v>
      </c>
      <c r="C2102" s="5">
        <v>1</v>
      </c>
      <c r="D2102" s="5" t="s">
        <v>810</v>
      </c>
      <c r="E2102" s="5" t="s">
        <v>245</v>
      </c>
      <c r="F2102" s="5" t="s">
        <v>254</v>
      </c>
      <c r="G2102" s="5" t="s">
        <v>240</v>
      </c>
      <c r="H2102" s="6" t="s">
        <v>4181</v>
      </c>
      <c r="I2102" s="5" t="s">
        <v>809</v>
      </c>
      <c r="J2102" s="8">
        <f>167</f>
        <v>167</v>
      </c>
      <c r="K2102" s="5" t="s">
        <v>308</v>
      </c>
      <c r="L2102" s="7">
        <f>1</f>
        <v>1</v>
      </c>
      <c r="M2102" s="7">
        <f>1</f>
        <v>1</v>
      </c>
      <c r="N2102" s="5" t="s">
        <v>242</v>
      </c>
      <c r="O2102" s="5">
        <v>1</v>
      </c>
      <c r="P2102" s="5" t="s">
        <v>294</v>
      </c>
      <c r="Q2102" s="5" t="s">
        <v>266</v>
      </c>
      <c r="R2102" s="5" t="s">
        <v>240</v>
      </c>
      <c r="S2102" s="5" t="s">
        <v>240</v>
      </c>
      <c r="T2102" s="5" t="s">
        <v>296</v>
      </c>
      <c r="U2102" s="5" t="s">
        <v>244</v>
      </c>
      <c r="V2102" s="5" t="s">
        <v>240</v>
      </c>
      <c r="Y2102" s="5" t="s">
        <v>240</v>
      </c>
      <c r="Z2102" s="6" t="s">
        <v>298</v>
      </c>
      <c r="AB2102" s="6" t="s">
        <v>240</v>
      </c>
      <c r="AE2102" s="6" t="s">
        <v>299</v>
      </c>
      <c r="AF2102" s="5" t="s">
        <v>248</v>
      </c>
      <c r="AG2102" s="5" t="s">
        <v>249</v>
      </c>
      <c r="AW2102" s="5" t="s">
        <v>251</v>
      </c>
      <c r="AX2102" s="5" t="s">
        <v>240</v>
      </c>
      <c r="AY2102" s="5" t="s">
        <v>253</v>
      </c>
      <c r="AZ2102" s="5" t="s">
        <v>240</v>
      </c>
      <c r="BA2102" s="5" t="s">
        <v>255</v>
      </c>
      <c r="BB2102" s="5" t="s">
        <v>240</v>
      </c>
      <c r="BD2102" s="5" t="s">
        <v>240</v>
      </c>
      <c r="BF2102" s="5" t="s">
        <v>301</v>
      </c>
      <c r="BG2102" s="6" t="s">
        <v>299</v>
      </c>
      <c r="BH2102" s="5" t="s">
        <v>302</v>
      </c>
      <c r="BI2102" s="5" t="s">
        <v>303</v>
      </c>
      <c r="BJ2102" s="5" t="s">
        <v>240</v>
      </c>
      <c r="BK2102" s="8">
        <f>0</f>
        <v>0</v>
      </c>
      <c r="BL2102" s="7">
        <f>0</f>
        <v>0</v>
      </c>
      <c r="BM2102" s="5" t="s">
        <v>258</v>
      </c>
      <c r="BN2102" s="5" t="s">
        <v>259</v>
      </c>
      <c r="CB2102" s="5" t="s">
        <v>240</v>
      </c>
      <c r="CC2102" s="5" t="s">
        <v>240</v>
      </c>
      <c r="CG2102" s="5" t="s">
        <v>304</v>
      </c>
      <c r="CH2102" s="5" t="s">
        <v>305</v>
      </c>
      <c r="CI2102" s="5" t="s">
        <v>240</v>
      </c>
      <c r="CL2102" s="6" t="s">
        <v>261</v>
      </c>
      <c r="CM2102" s="5" t="s">
        <v>240</v>
      </c>
      <c r="CN2102" s="5" t="s">
        <v>263</v>
      </c>
      <c r="CO2102" s="5" t="s">
        <v>240</v>
      </c>
      <c r="CP2102" s="5" t="s">
        <v>240</v>
      </c>
      <c r="CQ2102" s="5">
        <v>0</v>
      </c>
      <c r="CR2102" s="5" t="s">
        <v>306</v>
      </c>
      <c r="CS2102" s="5" t="s">
        <v>307</v>
      </c>
      <c r="CT2102" s="5" t="s">
        <v>307</v>
      </c>
      <c r="CU2102" s="5" t="s">
        <v>260</v>
      </c>
      <c r="CX2102" s="7">
        <f>1</f>
        <v>1</v>
      </c>
      <c r="CY2102" s="7">
        <f>0</f>
        <v>0</v>
      </c>
      <c r="DA2102" s="7">
        <f>0</f>
        <v>0</v>
      </c>
      <c r="DC2102" s="5" t="s">
        <v>309</v>
      </c>
      <c r="DD2102" s="5" t="s">
        <v>240</v>
      </c>
      <c r="DF2102" s="5" t="s">
        <v>309</v>
      </c>
      <c r="DG2102" s="7">
        <f>795</f>
        <v>795</v>
      </c>
      <c r="DI2102" s="5" t="s">
        <v>240</v>
      </c>
      <c r="DJ2102" s="5" t="s">
        <v>240</v>
      </c>
      <c r="DK2102" s="5" t="s">
        <v>240</v>
      </c>
      <c r="DL2102" s="5" t="s">
        <v>240</v>
      </c>
      <c r="DP2102" s="5" t="s">
        <v>240</v>
      </c>
      <c r="DQ2102" s="5" t="s">
        <v>240</v>
      </c>
      <c r="DR2102" s="5" t="s">
        <v>240</v>
      </c>
      <c r="DS2102" s="5" t="s">
        <v>240</v>
      </c>
      <c r="DV2102" s="5" t="s">
        <v>310</v>
      </c>
      <c r="DW2102" s="5" t="s">
        <v>1151</v>
      </c>
      <c r="HO2102" s="5" t="s">
        <v>312</v>
      </c>
    </row>
    <row r="2103" spans="1:223" x14ac:dyDescent="0.4">
      <c r="A2103" s="5">
        <v>3807</v>
      </c>
      <c r="B2103" s="5">
        <v>1</v>
      </c>
      <c r="C2103" s="5">
        <v>1</v>
      </c>
      <c r="D2103" s="5" t="s">
        <v>810</v>
      </c>
      <c r="E2103" s="5" t="s">
        <v>245</v>
      </c>
      <c r="F2103" s="5" t="s">
        <v>254</v>
      </c>
      <c r="G2103" s="5" t="s">
        <v>240</v>
      </c>
      <c r="H2103" s="6" t="s">
        <v>4180</v>
      </c>
      <c r="I2103" s="5" t="s">
        <v>809</v>
      </c>
      <c r="J2103" s="8">
        <f>1238</f>
        <v>1238</v>
      </c>
      <c r="K2103" s="5" t="s">
        <v>308</v>
      </c>
      <c r="L2103" s="7">
        <f>1</f>
        <v>1</v>
      </c>
      <c r="M2103" s="7">
        <f>1</f>
        <v>1</v>
      </c>
      <c r="N2103" s="5" t="s">
        <v>242</v>
      </c>
      <c r="O2103" s="5">
        <v>1</v>
      </c>
      <c r="P2103" s="5" t="s">
        <v>294</v>
      </c>
      <c r="Q2103" s="5" t="s">
        <v>266</v>
      </c>
      <c r="R2103" s="5" t="s">
        <v>240</v>
      </c>
      <c r="S2103" s="5" t="s">
        <v>240</v>
      </c>
      <c r="T2103" s="5" t="s">
        <v>296</v>
      </c>
      <c r="U2103" s="5" t="s">
        <v>244</v>
      </c>
      <c r="V2103" s="5" t="s">
        <v>240</v>
      </c>
      <c r="Y2103" s="5" t="s">
        <v>240</v>
      </c>
      <c r="Z2103" s="6" t="s">
        <v>298</v>
      </c>
      <c r="AB2103" s="6" t="s">
        <v>240</v>
      </c>
      <c r="AE2103" s="6" t="s">
        <v>299</v>
      </c>
      <c r="AF2103" s="5" t="s">
        <v>248</v>
      </c>
      <c r="AG2103" s="5" t="s">
        <v>249</v>
      </c>
      <c r="AW2103" s="5" t="s">
        <v>251</v>
      </c>
      <c r="AX2103" s="5" t="s">
        <v>240</v>
      </c>
      <c r="AY2103" s="5" t="s">
        <v>253</v>
      </c>
      <c r="AZ2103" s="5" t="s">
        <v>240</v>
      </c>
      <c r="BA2103" s="5" t="s">
        <v>255</v>
      </c>
      <c r="BB2103" s="5" t="s">
        <v>240</v>
      </c>
      <c r="BD2103" s="5" t="s">
        <v>240</v>
      </c>
      <c r="BF2103" s="5" t="s">
        <v>301</v>
      </c>
      <c r="BG2103" s="6" t="s">
        <v>299</v>
      </c>
      <c r="BH2103" s="5" t="s">
        <v>302</v>
      </c>
      <c r="BI2103" s="5" t="s">
        <v>303</v>
      </c>
      <c r="BJ2103" s="5" t="s">
        <v>240</v>
      </c>
      <c r="BK2103" s="8">
        <f>0</f>
        <v>0</v>
      </c>
      <c r="BL2103" s="7">
        <f>0</f>
        <v>0</v>
      </c>
      <c r="BM2103" s="5" t="s">
        <v>258</v>
      </c>
      <c r="BN2103" s="5" t="s">
        <v>259</v>
      </c>
      <c r="CB2103" s="5" t="s">
        <v>240</v>
      </c>
      <c r="CC2103" s="5" t="s">
        <v>240</v>
      </c>
      <c r="CG2103" s="5" t="s">
        <v>304</v>
      </c>
      <c r="CH2103" s="5" t="s">
        <v>305</v>
      </c>
      <c r="CI2103" s="5" t="s">
        <v>240</v>
      </c>
      <c r="CL2103" s="6" t="s">
        <v>261</v>
      </c>
      <c r="CM2103" s="5" t="s">
        <v>240</v>
      </c>
      <c r="CN2103" s="5" t="s">
        <v>263</v>
      </c>
      <c r="CO2103" s="5" t="s">
        <v>240</v>
      </c>
      <c r="CP2103" s="5" t="s">
        <v>240</v>
      </c>
      <c r="CQ2103" s="5">
        <v>0</v>
      </c>
      <c r="CR2103" s="5" t="s">
        <v>306</v>
      </c>
      <c r="CS2103" s="5" t="s">
        <v>307</v>
      </c>
      <c r="CT2103" s="5" t="s">
        <v>307</v>
      </c>
      <c r="CU2103" s="5" t="s">
        <v>260</v>
      </c>
      <c r="CX2103" s="7">
        <f>1</f>
        <v>1</v>
      </c>
      <c r="CY2103" s="7">
        <f>0</f>
        <v>0</v>
      </c>
      <c r="DA2103" s="7">
        <f>0</f>
        <v>0</v>
      </c>
      <c r="DC2103" s="5" t="s">
        <v>812</v>
      </c>
      <c r="DD2103" s="5" t="s">
        <v>240</v>
      </c>
      <c r="DF2103" s="5" t="s">
        <v>812</v>
      </c>
      <c r="DG2103" s="7">
        <f>329</f>
        <v>329</v>
      </c>
      <c r="DI2103" s="5" t="s">
        <v>240</v>
      </c>
      <c r="DJ2103" s="5" t="s">
        <v>240</v>
      </c>
      <c r="DK2103" s="5" t="s">
        <v>240</v>
      </c>
      <c r="DL2103" s="5" t="s">
        <v>240</v>
      </c>
      <c r="DP2103" s="5" t="s">
        <v>240</v>
      </c>
      <c r="DQ2103" s="5" t="s">
        <v>240</v>
      </c>
      <c r="DR2103" s="5" t="s">
        <v>240</v>
      </c>
      <c r="DS2103" s="5" t="s">
        <v>240</v>
      </c>
      <c r="DV2103" s="5" t="s">
        <v>813</v>
      </c>
      <c r="DW2103" s="5" t="s">
        <v>465</v>
      </c>
      <c r="HO2103" s="5" t="s">
        <v>312</v>
      </c>
    </row>
    <row r="2104" spans="1:223" x14ac:dyDescent="0.4">
      <c r="A2104" s="5">
        <v>3808</v>
      </c>
      <c r="B2104" s="5">
        <v>1</v>
      </c>
      <c r="C2104" s="5">
        <v>1</v>
      </c>
      <c r="D2104" s="5" t="s">
        <v>810</v>
      </c>
      <c r="E2104" s="5" t="s">
        <v>245</v>
      </c>
      <c r="F2104" s="5" t="s">
        <v>254</v>
      </c>
      <c r="G2104" s="5" t="s">
        <v>240</v>
      </c>
      <c r="H2104" s="6" t="s">
        <v>4179</v>
      </c>
      <c r="I2104" s="5" t="s">
        <v>809</v>
      </c>
      <c r="J2104" s="8">
        <f>329</f>
        <v>329</v>
      </c>
      <c r="K2104" s="5" t="s">
        <v>308</v>
      </c>
      <c r="L2104" s="7">
        <f>1</f>
        <v>1</v>
      </c>
      <c r="M2104" s="7">
        <f>1</f>
        <v>1</v>
      </c>
      <c r="N2104" s="5" t="s">
        <v>242</v>
      </c>
      <c r="O2104" s="5">
        <v>1</v>
      </c>
      <c r="P2104" s="5" t="s">
        <v>294</v>
      </c>
      <c r="Q2104" s="5" t="s">
        <v>266</v>
      </c>
      <c r="R2104" s="5" t="s">
        <v>240</v>
      </c>
      <c r="S2104" s="5" t="s">
        <v>240</v>
      </c>
      <c r="T2104" s="5" t="s">
        <v>296</v>
      </c>
      <c r="U2104" s="5" t="s">
        <v>244</v>
      </c>
      <c r="V2104" s="5" t="s">
        <v>240</v>
      </c>
      <c r="Y2104" s="5" t="s">
        <v>240</v>
      </c>
      <c r="Z2104" s="6" t="s">
        <v>298</v>
      </c>
      <c r="AB2104" s="6" t="s">
        <v>240</v>
      </c>
      <c r="AE2104" s="6" t="s">
        <v>299</v>
      </c>
      <c r="AF2104" s="5" t="s">
        <v>248</v>
      </c>
      <c r="AG2104" s="5" t="s">
        <v>249</v>
      </c>
      <c r="AW2104" s="5" t="s">
        <v>251</v>
      </c>
      <c r="AX2104" s="5" t="s">
        <v>240</v>
      </c>
      <c r="AY2104" s="5" t="s">
        <v>253</v>
      </c>
      <c r="AZ2104" s="5" t="s">
        <v>240</v>
      </c>
      <c r="BA2104" s="5" t="s">
        <v>255</v>
      </c>
      <c r="BB2104" s="5" t="s">
        <v>240</v>
      </c>
      <c r="BD2104" s="5" t="s">
        <v>240</v>
      </c>
      <c r="BF2104" s="5" t="s">
        <v>301</v>
      </c>
      <c r="BG2104" s="6" t="s">
        <v>299</v>
      </c>
      <c r="BH2104" s="5" t="s">
        <v>302</v>
      </c>
      <c r="BI2104" s="5" t="s">
        <v>303</v>
      </c>
      <c r="BJ2104" s="5" t="s">
        <v>240</v>
      </c>
      <c r="BK2104" s="8">
        <f>0</f>
        <v>0</v>
      </c>
      <c r="BL2104" s="7">
        <f>0</f>
        <v>0</v>
      </c>
      <c r="BM2104" s="5" t="s">
        <v>258</v>
      </c>
      <c r="BN2104" s="5" t="s">
        <v>259</v>
      </c>
      <c r="CB2104" s="5" t="s">
        <v>240</v>
      </c>
      <c r="CC2104" s="5" t="s">
        <v>240</v>
      </c>
      <c r="CG2104" s="5" t="s">
        <v>304</v>
      </c>
      <c r="CH2104" s="5" t="s">
        <v>305</v>
      </c>
      <c r="CI2104" s="5" t="s">
        <v>240</v>
      </c>
      <c r="CL2104" s="6" t="s">
        <v>261</v>
      </c>
      <c r="CM2104" s="5" t="s">
        <v>240</v>
      </c>
      <c r="CN2104" s="5" t="s">
        <v>263</v>
      </c>
      <c r="CO2104" s="5" t="s">
        <v>240</v>
      </c>
      <c r="CP2104" s="5" t="s">
        <v>240</v>
      </c>
      <c r="CQ2104" s="5">
        <v>0</v>
      </c>
      <c r="CR2104" s="5" t="s">
        <v>306</v>
      </c>
      <c r="CS2104" s="5" t="s">
        <v>307</v>
      </c>
      <c r="CT2104" s="5" t="s">
        <v>307</v>
      </c>
      <c r="CU2104" s="5" t="s">
        <v>260</v>
      </c>
      <c r="CX2104" s="7">
        <f>1</f>
        <v>1</v>
      </c>
      <c r="CY2104" s="7">
        <f>0</f>
        <v>0</v>
      </c>
      <c r="DA2104" s="7">
        <f>0</f>
        <v>0</v>
      </c>
      <c r="DC2104" s="5" t="s">
        <v>812</v>
      </c>
      <c r="DD2104" s="5" t="s">
        <v>240</v>
      </c>
      <c r="DF2104" s="5" t="s">
        <v>812</v>
      </c>
      <c r="DG2104" s="7">
        <f>1238</f>
        <v>1238</v>
      </c>
      <c r="DI2104" s="5" t="s">
        <v>240</v>
      </c>
      <c r="DJ2104" s="5" t="s">
        <v>240</v>
      </c>
      <c r="DK2104" s="5" t="s">
        <v>240</v>
      </c>
      <c r="DL2104" s="5" t="s">
        <v>240</v>
      </c>
      <c r="DP2104" s="5" t="s">
        <v>240</v>
      </c>
      <c r="DQ2104" s="5" t="s">
        <v>240</v>
      </c>
      <c r="DR2104" s="5" t="s">
        <v>240</v>
      </c>
      <c r="DS2104" s="5" t="s">
        <v>240</v>
      </c>
      <c r="DV2104" s="5" t="s">
        <v>813</v>
      </c>
      <c r="DW2104" s="5" t="s">
        <v>467</v>
      </c>
      <c r="HO2104" s="5" t="s">
        <v>312</v>
      </c>
    </row>
    <row r="2105" spans="1:223" x14ac:dyDescent="0.4">
      <c r="A2105" s="5">
        <v>3809</v>
      </c>
      <c r="B2105" s="5">
        <v>1</v>
      </c>
      <c r="C2105" s="5">
        <v>1</v>
      </c>
      <c r="D2105" s="5" t="s">
        <v>810</v>
      </c>
      <c r="E2105" s="5" t="s">
        <v>245</v>
      </c>
      <c r="F2105" s="5" t="s">
        <v>254</v>
      </c>
      <c r="G2105" s="5" t="s">
        <v>240</v>
      </c>
      <c r="H2105" s="6" t="s">
        <v>5319</v>
      </c>
      <c r="I2105" s="5" t="s">
        <v>809</v>
      </c>
      <c r="J2105" s="8">
        <f>45</f>
        <v>45</v>
      </c>
      <c r="K2105" s="5" t="s">
        <v>308</v>
      </c>
      <c r="L2105" s="7">
        <f>1</f>
        <v>1</v>
      </c>
      <c r="M2105" s="7">
        <f>1</f>
        <v>1</v>
      </c>
      <c r="N2105" s="5" t="s">
        <v>242</v>
      </c>
      <c r="O2105" s="5">
        <v>1</v>
      </c>
      <c r="P2105" s="5" t="s">
        <v>294</v>
      </c>
      <c r="Q2105" s="5" t="s">
        <v>266</v>
      </c>
      <c r="R2105" s="5" t="s">
        <v>240</v>
      </c>
      <c r="S2105" s="5" t="s">
        <v>240</v>
      </c>
      <c r="T2105" s="5" t="s">
        <v>296</v>
      </c>
      <c r="U2105" s="5" t="s">
        <v>244</v>
      </c>
      <c r="V2105" s="5" t="s">
        <v>240</v>
      </c>
      <c r="Y2105" s="5" t="s">
        <v>240</v>
      </c>
      <c r="Z2105" s="6" t="s">
        <v>298</v>
      </c>
      <c r="AB2105" s="6" t="s">
        <v>240</v>
      </c>
      <c r="AE2105" s="6" t="s">
        <v>299</v>
      </c>
      <c r="AF2105" s="5" t="s">
        <v>248</v>
      </c>
      <c r="AG2105" s="5" t="s">
        <v>249</v>
      </c>
      <c r="AW2105" s="5" t="s">
        <v>251</v>
      </c>
      <c r="AX2105" s="5" t="s">
        <v>240</v>
      </c>
      <c r="AY2105" s="5" t="s">
        <v>253</v>
      </c>
      <c r="AZ2105" s="5" t="s">
        <v>240</v>
      </c>
      <c r="BA2105" s="5" t="s">
        <v>255</v>
      </c>
      <c r="BB2105" s="5" t="s">
        <v>240</v>
      </c>
      <c r="BD2105" s="5" t="s">
        <v>240</v>
      </c>
      <c r="BF2105" s="5" t="s">
        <v>301</v>
      </c>
      <c r="BG2105" s="6" t="s">
        <v>299</v>
      </c>
      <c r="BH2105" s="5" t="s">
        <v>302</v>
      </c>
      <c r="BI2105" s="5" t="s">
        <v>303</v>
      </c>
      <c r="BJ2105" s="5" t="s">
        <v>240</v>
      </c>
      <c r="BK2105" s="8">
        <f>0</f>
        <v>0</v>
      </c>
      <c r="BL2105" s="7">
        <f>0</f>
        <v>0</v>
      </c>
      <c r="BM2105" s="5" t="s">
        <v>258</v>
      </c>
      <c r="BN2105" s="5" t="s">
        <v>259</v>
      </c>
      <c r="CB2105" s="5" t="s">
        <v>240</v>
      </c>
      <c r="CC2105" s="5" t="s">
        <v>240</v>
      </c>
      <c r="CG2105" s="5" t="s">
        <v>304</v>
      </c>
      <c r="CH2105" s="5" t="s">
        <v>305</v>
      </c>
      <c r="CI2105" s="5" t="s">
        <v>240</v>
      </c>
      <c r="CL2105" s="6" t="s">
        <v>261</v>
      </c>
      <c r="CM2105" s="5" t="s">
        <v>240</v>
      </c>
      <c r="CN2105" s="5" t="s">
        <v>263</v>
      </c>
      <c r="CO2105" s="5" t="s">
        <v>240</v>
      </c>
      <c r="CP2105" s="5" t="s">
        <v>240</v>
      </c>
      <c r="CQ2105" s="5">
        <v>0</v>
      </c>
      <c r="CR2105" s="5" t="s">
        <v>306</v>
      </c>
      <c r="CS2105" s="5" t="s">
        <v>307</v>
      </c>
      <c r="CT2105" s="5" t="s">
        <v>307</v>
      </c>
      <c r="CU2105" s="5" t="s">
        <v>260</v>
      </c>
      <c r="CX2105" s="7">
        <f>1</f>
        <v>1</v>
      </c>
      <c r="CY2105" s="7">
        <f>0</f>
        <v>0</v>
      </c>
      <c r="DA2105" s="7">
        <f>0</f>
        <v>0</v>
      </c>
      <c r="DC2105" s="5" t="s">
        <v>812</v>
      </c>
      <c r="DD2105" s="5" t="s">
        <v>240</v>
      </c>
      <c r="DF2105" s="5" t="s">
        <v>812</v>
      </c>
      <c r="DG2105" s="7">
        <f>167</f>
        <v>167</v>
      </c>
      <c r="DI2105" s="5" t="s">
        <v>240</v>
      </c>
      <c r="DJ2105" s="5" t="s">
        <v>240</v>
      </c>
      <c r="DK2105" s="5" t="s">
        <v>240</v>
      </c>
      <c r="DL2105" s="5" t="s">
        <v>240</v>
      </c>
      <c r="DP2105" s="5" t="s">
        <v>240</v>
      </c>
      <c r="DQ2105" s="5" t="s">
        <v>240</v>
      </c>
      <c r="DR2105" s="5" t="s">
        <v>240</v>
      </c>
      <c r="DS2105" s="5" t="s">
        <v>240</v>
      </c>
      <c r="DV2105" s="5" t="s">
        <v>813</v>
      </c>
      <c r="DW2105" s="5" t="s">
        <v>469</v>
      </c>
      <c r="HO2105" s="5" t="s">
        <v>312</v>
      </c>
    </row>
    <row r="2106" spans="1:223" x14ac:dyDescent="0.4">
      <c r="A2106" s="5">
        <v>3810</v>
      </c>
      <c r="B2106" s="5">
        <v>1</v>
      </c>
      <c r="C2106" s="5">
        <v>1</v>
      </c>
      <c r="D2106" s="5" t="s">
        <v>810</v>
      </c>
      <c r="E2106" s="5" t="s">
        <v>245</v>
      </c>
      <c r="F2106" s="5" t="s">
        <v>254</v>
      </c>
      <c r="G2106" s="5" t="s">
        <v>240</v>
      </c>
      <c r="H2106" s="6" t="s">
        <v>4177</v>
      </c>
      <c r="I2106" s="5" t="s">
        <v>809</v>
      </c>
      <c r="J2106" s="8">
        <f>5.98</f>
        <v>5.98</v>
      </c>
      <c r="K2106" s="5" t="s">
        <v>308</v>
      </c>
      <c r="L2106" s="7">
        <f>1</f>
        <v>1</v>
      </c>
      <c r="M2106" s="7">
        <f>1</f>
        <v>1</v>
      </c>
      <c r="N2106" s="5" t="s">
        <v>242</v>
      </c>
      <c r="O2106" s="5">
        <v>1</v>
      </c>
      <c r="P2106" s="5" t="s">
        <v>294</v>
      </c>
      <c r="Q2106" s="5" t="s">
        <v>266</v>
      </c>
      <c r="R2106" s="5" t="s">
        <v>240</v>
      </c>
      <c r="S2106" s="5" t="s">
        <v>240</v>
      </c>
      <c r="T2106" s="5" t="s">
        <v>296</v>
      </c>
      <c r="U2106" s="5" t="s">
        <v>244</v>
      </c>
      <c r="V2106" s="5" t="s">
        <v>240</v>
      </c>
      <c r="Y2106" s="5" t="s">
        <v>240</v>
      </c>
      <c r="Z2106" s="6" t="s">
        <v>298</v>
      </c>
      <c r="AB2106" s="6" t="s">
        <v>240</v>
      </c>
      <c r="AE2106" s="6" t="s">
        <v>299</v>
      </c>
      <c r="AF2106" s="5" t="s">
        <v>248</v>
      </c>
      <c r="AG2106" s="5" t="s">
        <v>249</v>
      </c>
      <c r="AW2106" s="5" t="s">
        <v>251</v>
      </c>
      <c r="AX2106" s="5" t="s">
        <v>240</v>
      </c>
      <c r="AY2106" s="5" t="s">
        <v>253</v>
      </c>
      <c r="AZ2106" s="5" t="s">
        <v>240</v>
      </c>
      <c r="BA2106" s="5" t="s">
        <v>255</v>
      </c>
      <c r="BB2106" s="5" t="s">
        <v>240</v>
      </c>
      <c r="BD2106" s="5" t="s">
        <v>240</v>
      </c>
      <c r="BF2106" s="5" t="s">
        <v>301</v>
      </c>
      <c r="BG2106" s="6" t="s">
        <v>299</v>
      </c>
      <c r="BH2106" s="5" t="s">
        <v>302</v>
      </c>
      <c r="BI2106" s="5" t="s">
        <v>303</v>
      </c>
      <c r="BJ2106" s="5" t="s">
        <v>240</v>
      </c>
      <c r="BK2106" s="8">
        <f>0</f>
        <v>0</v>
      </c>
      <c r="BL2106" s="7">
        <f>0</f>
        <v>0</v>
      </c>
      <c r="BM2106" s="5" t="s">
        <v>258</v>
      </c>
      <c r="BN2106" s="5" t="s">
        <v>259</v>
      </c>
      <c r="CB2106" s="5" t="s">
        <v>240</v>
      </c>
      <c r="CC2106" s="5" t="s">
        <v>240</v>
      </c>
      <c r="CG2106" s="5" t="s">
        <v>304</v>
      </c>
      <c r="CH2106" s="5" t="s">
        <v>305</v>
      </c>
      <c r="CI2106" s="5" t="s">
        <v>240</v>
      </c>
      <c r="CL2106" s="6" t="s">
        <v>261</v>
      </c>
      <c r="CM2106" s="5" t="s">
        <v>240</v>
      </c>
      <c r="CN2106" s="5" t="s">
        <v>263</v>
      </c>
      <c r="CO2106" s="5" t="s">
        <v>240</v>
      </c>
      <c r="CP2106" s="5" t="s">
        <v>240</v>
      </c>
      <c r="CQ2106" s="5">
        <v>0</v>
      </c>
      <c r="CR2106" s="5" t="s">
        <v>306</v>
      </c>
      <c r="CS2106" s="5" t="s">
        <v>307</v>
      </c>
      <c r="CT2106" s="5" t="s">
        <v>307</v>
      </c>
      <c r="CU2106" s="5" t="s">
        <v>260</v>
      </c>
      <c r="CX2106" s="7">
        <f>1</f>
        <v>1</v>
      </c>
      <c r="CY2106" s="7">
        <f>0</f>
        <v>0</v>
      </c>
      <c r="DA2106" s="7">
        <f>0</f>
        <v>0</v>
      </c>
      <c r="DC2106" s="5" t="s">
        <v>812</v>
      </c>
      <c r="DD2106" s="5" t="s">
        <v>240</v>
      </c>
      <c r="DF2106" s="5" t="s">
        <v>812</v>
      </c>
      <c r="DG2106" s="7">
        <f>108</f>
        <v>108</v>
      </c>
      <c r="DI2106" s="5" t="s">
        <v>240</v>
      </c>
      <c r="DJ2106" s="5" t="s">
        <v>240</v>
      </c>
      <c r="DK2106" s="5" t="s">
        <v>240</v>
      </c>
      <c r="DL2106" s="5" t="s">
        <v>240</v>
      </c>
      <c r="DP2106" s="5" t="s">
        <v>240</v>
      </c>
      <c r="DQ2106" s="5" t="s">
        <v>240</v>
      </c>
      <c r="DR2106" s="5" t="s">
        <v>240</v>
      </c>
      <c r="DS2106" s="5" t="s">
        <v>240</v>
      </c>
      <c r="DV2106" s="5" t="s">
        <v>813</v>
      </c>
      <c r="DW2106" s="5" t="s">
        <v>471</v>
      </c>
      <c r="HO2106" s="5" t="s">
        <v>312</v>
      </c>
    </row>
    <row r="2107" spans="1:223" x14ac:dyDescent="0.4">
      <c r="A2107" s="5">
        <v>3811</v>
      </c>
      <c r="B2107" s="5">
        <v>1</v>
      </c>
      <c r="C2107" s="5">
        <v>1</v>
      </c>
      <c r="D2107" s="5" t="s">
        <v>810</v>
      </c>
      <c r="E2107" s="5" t="s">
        <v>245</v>
      </c>
      <c r="F2107" s="5" t="s">
        <v>254</v>
      </c>
      <c r="G2107" s="5" t="s">
        <v>240</v>
      </c>
      <c r="H2107" s="6" t="s">
        <v>4176</v>
      </c>
      <c r="I2107" s="5" t="s">
        <v>809</v>
      </c>
      <c r="J2107" s="8">
        <f>434</f>
        <v>434</v>
      </c>
      <c r="K2107" s="5" t="s">
        <v>308</v>
      </c>
      <c r="L2107" s="7">
        <f>1</f>
        <v>1</v>
      </c>
      <c r="M2107" s="7">
        <f>1</f>
        <v>1</v>
      </c>
      <c r="N2107" s="5" t="s">
        <v>242</v>
      </c>
      <c r="O2107" s="5">
        <v>1</v>
      </c>
      <c r="P2107" s="5" t="s">
        <v>294</v>
      </c>
      <c r="Q2107" s="5" t="s">
        <v>266</v>
      </c>
      <c r="R2107" s="5" t="s">
        <v>240</v>
      </c>
      <c r="S2107" s="5" t="s">
        <v>240</v>
      </c>
      <c r="T2107" s="5" t="s">
        <v>296</v>
      </c>
      <c r="U2107" s="5" t="s">
        <v>244</v>
      </c>
      <c r="V2107" s="5" t="s">
        <v>240</v>
      </c>
      <c r="Y2107" s="5" t="s">
        <v>240</v>
      </c>
      <c r="Z2107" s="6" t="s">
        <v>298</v>
      </c>
      <c r="AB2107" s="6" t="s">
        <v>240</v>
      </c>
      <c r="AE2107" s="6" t="s">
        <v>299</v>
      </c>
      <c r="AF2107" s="5" t="s">
        <v>248</v>
      </c>
      <c r="AG2107" s="5" t="s">
        <v>249</v>
      </c>
      <c r="AW2107" s="5" t="s">
        <v>251</v>
      </c>
      <c r="AX2107" s="5" t="s">
        <v>240</v>
      </c>
      <c r="AY2107" s="5" t="s">
        <v>253</v>
      </c>
      <c r="AZ2107" s="5" t="s">
        <v>240</v>
      </c>
      <c r="BA2107" s="5" t="s">
        <v>255</v>
      </c>
      <c r="BB2107" s="5" t="s">
        <v>240</v>
      </c>
      <c r="BD2107" s="5" t="s">
        <v>240</v>
      </c>
      <c r="BF2107" s="5" t="s">
        <v>301</v>
      </c>
      <c r="BG2107" s="6" t="s">
        <v>299</v>
      </c>
      <c r="BH2107" s="5" t="s">
        <v>302</v>
      </c>
      <c r="BI2107" s="5" t="s">
        <v>303</v>
      </c>
      <c r="BJ2107" s="5" t="s">
        <v>240</v>
      </c>
      <c r="BK2107" s="8">
        <f>0</f>
        <v>0</v>
      </c>
      <c r="BL2107" s="7">
        <f>0</f>
        <v>0</v>
      </c>
      <c r="BM2107" s="5" t="s">
        <v>258</v>
      </c>
      <c r="BN2107" s="5" t="s">
        <v>259</v>
      </c>
      <c r="CB2107" s="5" t="s">
        <v>240</v>
      </c>
      <c r="CC2107" s="5" t="s">
        <v>240</v>
      </c>
      <c r="CG2107" s="5" t="s">
        <v>304</v>
      </c>
      <c r="CH2107" s="5" t="s">
        <v>305</v>
      </c>
      <c r="CI2107" s="5" t="s">
        <v>240</v>
      </c>
      <c r="CL2107" s="6" t="s">
        <v>261</v>
      </c>
      <c r="CM2107" s="5" t="s">
        <v>240</v>
      </c>
      <c r="CN2107" s="5" t="s">
        <v>263</v>
      </c>
      <c r="CO2107" s="5" t="s">
        <v>240</v>
      </c>
      <c r="CP2107" s="5" t="s">
        <v>240</v>
      </c>
      <c r="CQ2107" s="5">
        <v>0</v>
      </c>
      <c r="CR2107" s="5" t="s">
        <v>306</v>
      </c>
      <c r="CS2107" s="5" t="s">
        <v>307</v>
      </c>
      <c r="CT2107" s="5" t="s">
        <v>307</v>
      </c>
      <c r="CU2107" s="5" t="s">
        <v>260</v>
      </c>
      <c r="CX2107" s="7">
        <f>1</f>
        <v>1</v>
      </c>
      <c r="CY2107" s="7">
        <f>0</f>
        <v>0</v>
      </c>
      <c r="DA2107" s="7">
        <f>0</f>
        <v>0</v>
      </c>
      <c r="DC2107" s="5" t="s">
        <v>812</v>
      </c>
      <c r="DD2107" s="5" t="s">
        <v>240</v>
      </c>
      <c r="DF2107" s="5" t="s">
        <v>812</v>
      </c>
      <c r="DG2107" s="7">
        <f>178</f>
        <v>178</v>
      </c>
      <c r="DI2107" s="5" t="s">
        <v>240</v>
      </c>
      <c r="DJ2107" s="5" t="s">
        <v>240</v>
      </c>
      <c r="DK2107" s="5" t="s">
        <v>240</v>
      </c>
      <c r="DL2107" s="5" t="s">
        <v>240</v>
      </c>
      <c r="DP2107" s="5" t="s">
        <v>240</v>
      </c>
      <c r="DQ2107" s="5" t="s">
        <v>240</v>
      </c>
      <c r="DR2107" s="5" t="s">
        <v>240</v>
      </c>
      <c r="DS2107" s="5" t="s">
        <v>240</v>
      </c>
      <c r="DV2107" s="5" t="s">
        <v>813</v>
      </c>
      <c r="DW2107" s="5" t="s">
        <v>473</v>
      </c>
      <c r="HO2107" s="5" t="s">
        <v>312</v>
      </c>
    </row>
    <row r="2108" spans="1:223" x14ac:dyDescent="0.4">
      <c r="A2108" s="5">
        <v>3812</v>
      </c>
      <c r="B2108" s="5">
        <v>1</v>
      </c>
      <c r="C2108" s="5">
        <v>1</v>
      </c>
      <c r="D2108" s="5" t="s">
        <v>810</v>
      </c>
      <c r="E2108" s="5" t="s">
        <v>245</v>
      </c>
      <c r="F2108" s="5" t="s">
        <v>254</v>
      </c>
      <c r="G2108" s="5" t="s">
        <v>240</v>
      </c>
      <c r="H2108" s="6" t="s">
        <v>4175</v>
      </c>
      <c r="I2108" s="5" t="s">
        <v>809</v>
      </c>
      <c r="J2108" s="8">
        <f>1013</f>
        <v>1013</v>
      </c>
      <c r="K2108" s="5" t="s">
        <v>308</v>
      </c>
      <c r="L2108" s="7">
        <f>1</f>
        <v>1</v>
      </c>
      <c r="M2108" s="7">
        <f>1</f>
        <v>1</v>
      </c>
      <c r="N2108" s="5" t="s">
        <v>242</v>
      </c>
      <c r="O2108" s="5">
        <v>1</v>
      </c>
      <c r="P2108" s="5" t="s">
        <v>294</v>
      </c>
      <c r="Q2108" s="5" t="s">
        <v>266</v>
      </c>
      <c r="R2108" s="5" t="s">
        <v>240</v>
      </c>
      <c r="S2108" s="5" t="s">
        <v>240</v>
      </c>
      <c r="T2108" s="5" t="s">
        <v>296</v>
      </c>
      <c r="U2108" s="5" t="s">
        <v>244</v>
      </c>
      <c r="V2108" s="5" t="s">
        <v>240</v>
      </c>
      <c r="Y2108" s="5" t="s">
        <v>240</v>
      </c>
      <c r="Z2108" s="6" t="s">
        <v>298</v>
      </c>
      <c r="AB2108" s="6" t="s">
        <v>240</v>
      </c>
      <c r="AE2108" s="6" t="s">
        <v>299</v>
      </c>
      <c r="AF2108" s="5" t="s">
        <v>248</v>
      </c>
      <c r="AG2108" s="5" t="s">
        <v>249</v>
      </c>
      <c r="AW2108" s="5" t="s">
        <v>251</v>
      </c>
      <c r="AX2108" s="5" t="s">
        <v>240</v>
      </c>
      <c r="AY2108" s="5" t="s">
        <v>253</v>
      </c>
      <c r="AZ2108" s="5" t="s">
        <v>240</v>
      </c>
      <c r="BA2108" s="5" t="s">
        <v>255</v>
      </c>
      <c r="BB2108" s="5" t="s">
        <v>240</v>
      </c>
      <c r="BD2108" s="5" t="s">
        <v>240</v>
      </c>
      <c r="BF2108" s="5" t="s">
        <v>301</v>
      </c>
      <c r="BG2108" s="6" t="s">
        <v>299</v>
      </c>
      <c r="BH2108" s="5" t="s">
        <v>302</v>
      </c>
      <c r="BI2108" s="5" t="s">
        <v>303</v>
      </c>
      <c r="BJ2108" s="5" t="s">
        <v>240</v>
      </c>
      <c r="BK2108" s="8">
        <f>0</f>
        <v>0</v>
      </c>
      <c r="BL2108" s="7">
        <f>0</f>
        <v>0</v>
      </c>
      <c r="BM2108" s="5" t="s">
        <v>258</v>
      </c>
      <c r="BN2108" s="5" t="s">
        <v>259</v>
      </c>
      <c r="CB2108" s="5" t="s">
        <v>240</v>
      </c>
      <c r="CC2108" s="5" t="s">
        <v>240</v>
      </c>
      <c r="CG2108" s="5" t="s">
        <v>304</v>
      </c>
      <c r="CH2108" s="5" t="s">
        <v>305</v>
      </c>
      <c r="CI2108" s="5" t="s">
        <v>240</v>
      </c>
      <c r="CL2108" s="6" t="s">
        <v>261</v>
      </c>
      <c r="CM2108" s="5" t="s">
        <v>240</v>
      </c>
      <c r="CN2108" s="5" t="s">
        <v>263</v>
      </c>
      <c r="CO2108" s="5" t="s">
        <v>240</v>
      </c>
      <c r="CP2108" s="5" t="s">
        <v>240</v>
      </c>
      <c r="CQ2108" s="5">
        <v>0</v>
      </c>
      <c r="CR2108" s="5" t="s">
        <v>306</v>
      </c>
      <c r="CS2108" s="5" t="s">
        <v>307</v>
      </c>
      <c r="CT2108" s="5" t="s">
        <v>307</v>
      </c>
      <c r="CU2108" s="5" t="s">
        <v>260</v>
      </c>
      <c r="CX2108" s="7">
        <f>1</f>
        <v>1</v>
      </c>
      <c r="CY2108" s="7">
        <f>0</f>
        <v>0</v>
      </c>
      <c r="DA2108" s="7">
        <f>0</f>
        <v>0</v>
      </c>
      <c r="DC2108" s="5" t="s">
        <v>812</v>
      </c>
      <c r="DD2108" s="5" t="s">
        <v>240</v>
      </c>
      <c r="DF2108" s="5" t="s">
        <v>812</v>
      </c>
      <c r="DG2108" s="7">
        <f>776</f>
        <v>776</v>
      </c>
      <c r="DI2108" s="5" t="s">
        <v>240</v>
      </c>
      <c r="DJ2108" s="5" t="s">
        <v>240</v>
      </c>
      <c r="DK2108" s="5" t="s">
        <v>240</v>
      </c>
      <c r="DL2108" s="5" t="s">
        <v>240</v>
      </c>
      <c r="DP2108" s="5" t="s">
        <v>240</v>
      </c>
      <c r="DQ2108" s="5" t="s">
        <v>240</v>
      </c>
      <c r="DR2108" s="5" t="s">
        <v>240</v>
      </c>
      <c r="DS2108" s="5" t="s">
        <v>240</v>
      </c>
      <c r="DV2108" s="5" t="s">
        <v>813</v>
      </c>
      <c r="DW2108" s="5" t="s">
        <v>475</v>
      </c>
      <c r="HO2108" s="5" t="s">
        <v>312</v>
      </c>
    </row>
    <row r="2109" spans="1:223" x14ac:dyDescent="0.4">
      <c r="A2109" s="5">
        <v>3813</v>
      </c>
      <c r="B2109" s="5">
        <v>1</v>
      </c>
      <c r="C2109" s="5">
        <v>1</v>
      </c>
      <c r="D2109" s="5" t="s">
        <v>810</v>
      </c>
      <c r="E2109" s="5" t="s">
        <v>245</v>
      </c>
      <c r="F2109" s="5" t="s">
        <v>254</v>
      </c>
      <c r="G2109" s="5" t="s">
        <v>240</v>
      </c>
      <c r="H2109" s="6" t="s">
        <v>4174</v>
      </c>
      <c r="I2109" s="5" t="s">
        <v>809</v>
      </c>
      <c r="J2109" s="8">
        <f>322</f>
        <v>322</v>
      </c>
      <c r="K2109" s="5" t="s">
        <v>308</v>
      </c>
      <c r="L2109" s="7">
        <f>1</f>
        <v>1</v>
      </c>
      <c r="M2109" s="7">
        <f>1</f>
        <v>1</v>
      </c>
      <c r="N2109" s="5" t="s">
        <v>242</v>
      </c>
      <c r="O2109" s="5">
        <v>1</v>
      </c>
      <c r="P2109" s="5" t="s">
        <v>294</v>
      </c>
      <c r="Q2109" s="5" t="s">
        <v>266</v>
      </c>
      <c r="R2109" s="5" t="s">
        <v>240</v>
      </c>
      <c r="S2109" s="5" t="s">
        <v>240</v>
      </c>
      <c r="T2109" s="5" t="s">
        <v>296</v>
      </c>
      <c r="U2109" s="5" t="s">
        <v>244</v>
      </c>
      <c r="V2109" s="5" t="s">
        <v>240</v>
      </c>
      <c r="Y2109" s="5" t="s">
        <v>240</v>
      </c>
      <c r="Z2109" s="6" t="s">
        <v>298</v>
      </c>
      <c r="AB2109" s="6" t="s">
        <v>240</v>
      </c>
      <c r="AE2109" s="6" t="s">
        <v>299</v>
      </c>
      <c r="AF2109" s="5" t="s">
        <v>248</v>
      </c>
      <c r="AG2109" s="5" t="s">
        <v>249</v>
      </c>
      <c r="AW2109" s="5" t="s">
        <v>251</v>
      </c>
      <c r="AX2109" s="5" t="s">
        <v>240</v>
      </c>
      <c r="AY2109" s="5" t="s">
        <v>253</v>
      </c>
      <c r="AZ2109" s="5" t="s">
        <v>240</v>
      </c>
      <c r="BA2109" s="5" t="s">
        <v>255</v>
      </c>
      <c r="BB2109" s="5" t="s">
        <v>240</v>
      </c>
      <c r="BD2109" s="5" t="s">
        <v>240</v>
      </c>
      <c r="BF2109" s="5" t="s">
        <v>301</v>
      </c>
      <c r="BG2109" s="6" t="s">
        <v>299</v>
      </c>
      <c r="BH2109" s="5" t="s">
        <v>302</v>
      </c>
      <c r="BI2109" s="5" t="s">
        <v>303</v>
      </c>
      <c r="BJ2109" s="5" t="s">
        <v>240</v>
      </c>
      <c r="BK2109" s="8">
        <f>0</f>
        <v>0</v>
      </c>
      <c r="BL2109" s="7">
        <f>0</f>
        <v>0</v>
      </c>
      <c r="BM2109" s="5" t="s">
        <v>258</v>
      </c>
      <c r="BN2109" s="5" t="s">
        <v>259</v>
      </c>
      <c r="CB2109" s="5" t="s">
        <v>240</v>
      </c>
      <c r="CC2109" s="5" t="s">
        <v>240</v>
      </c>
      <c r="CG2109" s="5" t="s">
        <v>304</v>
      </c>
      <c r="CH2109" s="5" t="s">
        <v>305</v>
      </c>
      <c r="CI2109" s="5" t="s">
        <v>240</v>
      </c>
      <c r="CL2109" s="6" t="s">
        <v>261</v>
      </c>
      <c r="CM2109" s="5" t="s">
        <v>240</v>
      </c>
      <c r="CN2109" s="5" t="s">
        <v>263</v>
      </c>
      <c r="CO2109" s="5" t="s">
        <v>240</v>
      </c>
      <c r="CP2109" s="5" t="s">
        <v>240</v>
      </c>
      <c r="CQ2109" s="5">
        <v>0</v>
      </c>
      <c r="CR2109" s="5" t="s">
        <v>306</v>
      </c>
      <c r="CS2109" s="5" t="s">
        <v>307</v>
      </c>
      <c r="CT2109" s="5" t="s">
        <v>307</v>
      </c>
      <c r="CU2109" s="5" t="s">
        <v>260</v>
      </c>
      <c r="CX2109" s="7">
        <f>1</f>
        <v>1</v>
      </c>
      <c r="CY2109" s="7">
        <f>0</f>
        <v>0</v>
      </c>
      <c r="DA2109" s="7">
        <f>0</f>
        <v>0</v>
      </c>
      <c r="DC2109" s="5" t="s">
        <v>812</v>
      </c>
      <c r="DD2109" s="5" t="s">
        <v>240</v>
      </c>
      <c r="DF2109" s="5" t="s">
        <v>812</v>
      </c>
      <c r="DG2109" s="7">
        <f>177</f>
        <v>177</v>
      </c>
      <c r="DI2109" s="5" t="s">
        <v>240</v>
      </c>
      <c r="DJ2109" s="5" t="s">
        <v>240</v>
      </c>
      <c r="DK2109" s="5" t="s">
        <v>240</v>
      </c>
      <c r="DL2109" s="5" t="s">
        <v>240</v>
      </c>
      <c r="DP2109" s="5" t="s">
        <v>240</v>
      </c>
      <c r="DQ2109" s="5" t="s">
        <v>240</v>
      </c>
      <c r="DR2109" s="5" t="s">
        <v>240</v>
      </c>
      <c r="DS2109" s="5" t="s">
        <v>240</v>
      </c>
      <c r="DV2109" s="5" t="s">
        <v>813</v>
      </c>
      <c r="DW2109" s="5" t="s">
        <v>477</v>
      </c>
      <c r="HO2109" s="5" t="s">
        <v>312</v>
      </c>
    </row>
    <row r="2110" spans="1:223" x14ac:dyDescent="0.4">
      <c r="A2110" s="5">
        <v>3814</v>
      </c>
      <c r="B2110" s="5">
        <v>1</v>
      </c>
      <c r="C2110" s="5">
        <v>1</v>
      </c>
      <c r="D2110" s="5" t="s">
        <v>810</v>
      </c>
      <c r="E2110" s="5" t="s">
        <v>245</v>
      </c>
      <c r="F2110" s="5" t="s">
        <v>254</v>
      </c>
      <c r="G2110" s="5" t="s">
        <v>240</v>
      </c>
      <c r="H2110" s="6" t="s">
        <v>4173</v>
      </c>
      <c r="I2110" s="5" t="s">
        <v>809</v>
      </c>
      <c r="J2110" s="8">
        <f>527</f>
        <v>527</v>
      </c>
      <c r="K2110" s="5" t="s">
        <v>308</v>
      </c>
      <c r="L2110" s="7">
        <f>1</f>
        <v>1</v>
      </c>
      <c r="M2110" s="7">
        <f>1</f>
        <v>1</v>
      </c>
      <c r="N2110" s="5" t="s">
        <v>242</v>
      </c>
      <c r="O2110" s="5">
        <v>1</v>
      </c>
      <c r="P2110" s="5" t="s">
        <v>294</v>
      </c>
      <c r="Q2110" s="5" t="s">
        <v>266</v>
      </c>
      <c r="R2110" s="5" t="s">
        <v>240</v>
      </c>
      <c r="S2110" s="5" t="s">
        <v>240</v>
      </c>
      <c r="T2110" s="5" t="s">
        <v>296</v>
      </c>
      <c r="U2110" s="5" t="s">
        <v>244</v>
      </c>
      <c r="V2110" s="5" t="s">
        <v>240</v>
      </c>
      <c r="Y2110" s="5" t="s">
        <v>240</v>
      </c>
      <c r="Z2110" s="6" t="s">
        <v>298</v>
      </c>
      <c r="AB2110" s="6" t="s">
        <v>240</v>
      </c>
      <c r="AE2110" s="6" t="s">
        <v>299</v>
      </c>
      <c r="AF2110" s="5" t="s">
        <v>248</v>
      </c>
      <c r="AG2110" s="5" t="s">
        <v>249</v>
      </c>
      <c r="AW2110" s="5" t="s">
        <v>251</v>
      </c>
      <c r="AX2110" s="5" t="s">
        <v>240</v>
      </c>
      <c r="AY2110" s="5" t="s">
        <v>253</v>
      </c>
      <c r="AZ2110" s="5" t="s">
        <v>240</v>
      </c>
      <c r="BA2110" s="5" t="s">
        <v>255</v>
      </c>
      <c r="BB2110" s="5" t="s">
        <v>240</v>
      </c>
      <c r="BD2110" s="5" t="s">
        <v>240</v>
      </c>
      <c r="BF2110" s="5" t="s">
        <v>301</v>
      </c>
      <c r="BG2110" s="6" t="s">
        <v>299</v>
      </c>
      <c r="BH2110" s="5" t="s">
        <v>302</v>
      </c>
      <c r="BI2110" s="5" t="s">
        <v>303</v>
      </c>
      <c r="BJ2110" s="5" t="s">
        <v>240</v>
      </c>
      <c r="BK2110" s="8">
        <f>0</f>
        <v>0</v>
      </c>
      <c r="BL2110" s="7">
        <f>0</f>
        <v>0</v>
      </c>
      <c r="BM2110" s="5" t="s">
        <v>258</v>
      </c>
      <c r="BN2110" s="5" t="s">
        <v>259</v>
      </c>
      <c r="CB2110" s="5" t="s">
        <v>240</v>
      </c>
      <c r="CC2110" s="5" t="s">
        <v>240</v>
      </c>
      <c r="CG2110" s="5" t="s">
        <v>304</v>
      </c>
      <c r="CH2110" s="5" t="s">
        <v>305</v>
      </c>
      <c r="CI2110" s="5" t="s">
        <v>240</v>
      </c>
      <c r="CL2110" s="6" t="s">
        <v>261</v>
      </c>
      <c r="CM2110" s="5" t="s">
        <v>240</v>
      </c>
      <c r="CN2110" s="5" t="s">
        <v>263</v>
      </c>
      <c r="CO2110" s="5" t="s">
        <v>240</v>
      </c>
      <c r="CP2110" s="5" t="s">
        <v>240</v>
      </c>
      <c r="CQ2110" s="5">
        <v>0</v>
      </c>
      <c r="CR2110" s="5" t="s">
        <v>306</v>
      </c>
      <c r="CS2110" s="5" t="s">
        <v>307</v>
      </c>
      <c r="CT2110" s="5" t="s">
        <v>307</v>
      </c>
      <c r="CU2110" s="5" t="s">
        <v>260</v>
      </c>
      <c r="CX2110" s="7">
        <f>1</f>
        <v>1</v>
      </c>
      <c r="CY2110" s="7">
        <f>0</f>
        <v>0</v>
      </c>
      <c r="DA2110" s="7">
        <f>0</f>
        <v>0</v>
      </c>
      <c r="DC2110" s="5" t="s">
        <v>812</v>
      </c>
      <c r="DD2110" s="5" t="s">
        <v>240</v>
      </c>
      <c r="DF2110" s="5" t="s">
        <v>812</v>
      </c>
      <c r="DG2110" s="7">
        <f>72</f>
        <v>72</v>
      </c>
      <c r="DI2110" s="5" t="s">
        <v>240</v>
      </c>
      <c r="DJ2110" s="5" t="s">
        <v>240</v>
      </c>
      <c r="DK2110" s="5" t="s">
        <v>240</v>
      </c>
      <c r="DL2110" s="5" t="s">
        <v>240</v>
      </c>
      <c r="DP2110" s="5" t="s">
        <v>240</v>
      </c>
      <c r="DQ2110" s="5" t="s">
        <v>240</v>
      </c>
      <c r="DR2110" s="5" t="s">
        <v>240</v>
      </c>
      <c r="DS2110" s="5" t="s">
        <v>240</v>
      </c>
      <c r="DV2110" s="5" t="s">
        <v>813</v>
      </c>
      <c r="DW2110" s="5" t="s">
        <v>479</v>
      </c>
      <c r="HO2110" s="5" t="s">
        <v>312</v>
      </c>
    </row>
    <row r="2111" spans="1:223" x14ac:dyDescent="0.4">
      <c r="A2111" s="5">
        <v>3815</v>
      </c>
      <c r="B2111" s="5">
        <v>1</v>
      </c>
      <c r="C2111" s="5">
        <v>1</v>
      </c>
      <c r="D2111" s="5" t="s">
        <v>810</v>
      </c>
      <c r="E2111" s="5" t="s">
        <v>245</v>
      </c>
      <c r="F2111" s="5" t="s">
        <v>254</v>
      </c>
      <c r="G2111" s="5" t="s">
        <v>240</v>
      </c>
      <c r="H2111" s="6" t="s">
        <v>4172</v>
      </c>
      <c r="I2111" s="5" t="s">
        <v>809</v>
      </c>
      <c r="J2111" s="8">
        <f>205</f>
        <v>205</v>
      </c>
      <c r="K2111" s="5" t="s">
        <v>308</v>
      </c>
      <c r="L2111" s="7">
        <f>1</f>
        <v>1</v>
      </c>
      <c r="M2111" s="7">
        <f>1</f>
        <v>1</v>
      </c>
      <c r="N2111" s="5" t="s">
        <v>242</v>
      </c>
      <c r="O2111" s="5">
        <v>1</v>
      </c>
      <c r="P2111" s="5" t="s">
        <v>294</v>
      </c>
      <c r="Q2111" s="5" t="s">
        <v>266</v>
      </c>
      <c r="R2111" s="5" t="s">
        <v>240</v>
      </c>
      <c r="S2111" s="5" t="s">
        <v>240</v>
      </c>
      <c r="T2111" s="5" t="s">
        <v>296</v>
      </c>
      <c r="U2111" s="5" t="s">
        <v>244</v>
      </c>
      <c r="V2111" s="5" t="s">
        <v>240</v>
      </c>
      <c r="Y2111" s="5" t="s">
        <v>240</v>
      </c>
      <c r="Z2111" s="6" t="s">
        <v>298</v>
      </c>
      <c r="AB2111" s="6" t="s">
        <v>240</v>
      </c>
      <c r="AE2111" s="6" t="s">
        <v>299</v>
      </c>
      <c r="AF2111" s="5" t="s">
        <v>248</v>
      </c>
      <c r="AG2111" s="5" t="s">
        <v>249</v>
      </c>
      <c r="AW2111" s="5" t="s">
        <v>251</v>
      </c>
      <c r="AX2111" s="5" t="s">
        <v>240</v>
      </c>
      <c r="AY2111" s="5" t="s">
        <v>253</v>
      </c>
      <c r="AZ2111" s="5" t="s">
        <v>240</v>
      </c>
      <c r="BA2111" s="5" t="s">
        <v>255</v>
      </c>
      <c r="BB2111" s="5" t="s">
        <v>240</v>
      </c>
      <c r="BD2111" s="5" t="s">
        <v>240</v>
      </c>
      <c r="BF2111" s="5" t="s">
        <v>301</v>
      </c>
      <c r="BG2111" s="6" t="s">
        <v>299</v>
      </c>
      <c r="BH2111" s="5" t="s">
        <v>302</v>
      </c>
      <c r="BI2111" s="5" t="s">
        <v>303</v>
      </c>
      <c r="BJ2111" s="5" t="s">
        <v>240</v>
      </c>
      <c r="BK2111" s="8">
        <f>0</f>
        <v>0</v>
      </c>
      <c r="BL2111" s="7">
        <f>0</f>
        <v>0</v>
      </c>
      <c r="BM2111" s="5" t="s">
        <v>258</v>
      </c>
      <c r="BN2111" s="5" t="s">
        <v>259</v>
      </c>
      <c r="CB2111" s="5" t="s">
        <v>240</v>
      </c>
      <c r="CC2111" s="5" t="s">
        <v>240</v>
      </c>
      <c r="CG2111" s="5" t="s">
        <v>304</v>
      </c>
      <c r="CH2111" s="5" t="s">
        <v>305</v>
      </c>
      <c r="CI2111" s="5" t="s">
        <v>240</v>
      </c>
      <c r="CL2111" s="6" t="s">
        <v>261</v>
      </c>
      <c r="CM2111" s="5" t="s">
        <v>240</v>
      </c>
      <c r="CN2111" s="5" t="s">
        <v>263</v>
      </c>
      <c r="CO2111" s="5" t="s">
        <v>240</v>
      </c>
      <c r="CP2111" s="5" t="s">
        <v>240</v>
      </c>
      <c r="CQ2111" s="5">
        <v>0</v>
      </c>
      <c r="CR2111" s="5" t="s">
        <v>306</v>
      </c>
      <c r="CS2111" s="5" t="s">
        <v>307</v>
      </c>
      <c r="CT2111" s="5" t="s">
        <v>307</v>
      </c>
      <c r="CU2111" s="5" t="s">
        <v>260</v>
      </c>
      <c r="CX2111" s="7">
        <f>1</f>
        <v>1</v>
      </c>
      <c r="CY2111" s="7">
        <f>0</f>
        <v>0</v>
      </c>
      <c r="DA2111" s="7">
        <f>0</f>
        <v>0</v>
      </c>
      <c r="DC2111" s="5" t="s">
        <v>812</v>
      </c>
      <c r="DD2111" s="5" t="s">
        <v>240</v>
      </c>
      <c r="DF2111" s="5" t="s">
        <v>812</v>
      </c>
      <c r="DG2111" s="7">
        <f>96</f>
        <v>96</v>
      </c>
      <c r="DI2111" s="5" t="s">
        <v>240</v>
      </c>
      <c r="DJ2111" s="5" t="s">
        <v>240</v>
      </c>
      <c r="DK2111" s="5" t="s">
        <v>240</v>
      </c>
      <c r="DL2111" s="5" t="s">
        <v>240</v>
      </c>
      <c r="DP2111" s="5" t="s">
        <v>240</v>
      </c>
      <c r="DQ2111" s="5" t="s">
        <v>240</v>
      </c>
      <c r="DR2111" s="5" t="s">
        <v>240</v>
      </c>
      <c r="DS2111" s="5" t="s">
        <v>240</v>
      </c>
      <c r="DV2111" s="5" t="s">
        <v>813</v>
      </c>
      <c r="DW2111" s="5" t="s">
        <v>481</v>
      </c>
      <c r="HO2111" s="5" t="s">
        <v>312</v>
      </c>
    </row>
    <row r="2112" spans="1:223" x14ac:dyDescent="0.4">
      <c r="A2112" s="5">
        <v>3816</v>
      </c>
      <c r="B2112" s="5">
        <v>1</v>
      </c>
      <c r="C2112" s="5">
        <v>1</v>
      </c>
      <c r="D2112" s="5" t="s">
        <v>810</v>
      </c>
      <c r="E2112" s="5" t="s">
        <v>245</v>
      </c>
      <c r="F2112" s="5" t="s">
        <v>254</v>
      </c>
      <c r="G2112" s="5" t="s">
        <v>240</v>
      </c>
      <c r="H2112" s="6" t="s">
        <v>4171</v>
      </c>
      <c r="I2112" s="5" t="s">
        <v>809</v>
      </c>
      <c r="J2112" s="8">
        <f>1331</f>
        <v>1331</v>
      </c>
      <c r="K2112" s="5" t="s">
        <v>308</v>
      </c>
      <c r="L2112" s="7">
        <f>1</f>
        <v>1</v>
      </c>
      <c r="M2112" s="7">
        <f>1</f>
        <v>1</v>
      </c>
      <c r="N2112" s="5" t="s">
        <v>242</v>
      </c>
      <c r="O2112" s="5">
        <v>1</v>
      </c>
      <c r="P2112" s="5" t="s">
        <v>294</v>
      </c>
      <c r="Q2112" s="5" t="s">
        <v>266</v>
      </c>
      <c r="R2112" s="5" t="s">
        <v>240</v>
      </c>
      <c r="S2112" s="5" t="s">
        <v>240</v>
      </c>
      <c r="T2112" s="5" t="s">
        <v>296</v>
      </c>
      <c r="U2112" s="5" t="s">
        <v>244</v>
      </c>
      <c r="V2112" s="5" t="s">
        <v>240</v>
      </c>
      <c r="Y2112" s="5" t="s">
        <v>240</v>
      </c>
      <c r="Z2112" s="6" t="s">
        <v>298</v>
      </c>
      <c r="AB2112" s="6" t="s">
        <v>240</v>
      </c>
      <c r="AE2112" s="6" t="s">
        <v>299</v>
      </c>
      <c r="AF2112" s="5" t="s">
        <v>248</v>
      </c>
      <c r="AG2112" s="5" t="s">
        <v>249</v>
      </c>
      <c r="AW2112" s="5" t="s">
        <v>251</v>
      </c>
      <c r="AX2112" s="5" t="s">
        <v>240</v>
      </c>
      <c r="AY2112" s="5" t="s">
        <v>253</v>
      </c>
      <c r="AZ2112" s="5" t="s">
        <v>240</v>
      </c>
      <c r="BA2112" s="5" t="s">
        <v>255</v>
      </c>
      <c r="BB2112" s="5" t="s">
        <v>240</v>
      </c>
      <c r="BD2112" s="5" t="s">
        <v>240</v>
      </c>
      <c r="BF2112" s="5" t="s">
        <v>301</v>
      </c>
      <c r="BG2112" s="6" t="s">
        <v>299</v>
      </c>
      <c r="BH2112" s="5" t="s">
        <v>302</v>
      </c>
      <c r="BI2112" s="5" t="s">
        <v>303</v>
      </c>
      <c r="BJ2112" s="5" t="s">
        <v>240</v>
      </c>
      <c r="BK2112" s="8">
        <f>0</f>
        <v>0</v>
      </c>
      <c r="BL2112" s="7">
        <f>0</f>
        <v>0</v>
      </c>
      <c r="BM2112" s="5" t="s">
        <v>258</v>
      </c>
      <c r="BN2112" s="5" t="s">
        <v>259</v>
      </c>
      <c r="CB2112" s="5" t="s">
        <v>240</v>
      </c>
      <c r="CC2112" s="5" t="s">
        <v>240</v>
      </c>
      <c r="CG2112" s="5" t="s">
        <v>304</v>
      </c>
      <c r="CH2112" s="5" t="s">
        <v>305</v>
      </c>
      <c r="CI2112" s="5" t="s">
        <v>240</v>
      </c>
      <c r="CL2112" s="6" t="s">
        <v>261</v>
      </c>
      <c r="CM2112" s="5" t="s">
        <v>240</v>
      </c>
      <c r="CN2112" s="5" t="s">
        <v>263</v>
      </c>
      <c r="CO2112" s="5" t="s">
        <v>240</v>
      </c>
      <c r="CP2112" s="5" t="s">
        <v>240</v>
      </c>
      <c r="CQ2112" s="5">
        <v>0</v>
      </c>
      <c r="CR2112" s="5" t="s">
        <v>306</v>
      </c>
      <c r="CS2112" s="5" t="s">
        <v>307</v>
      </c>
      <c r="CT2112" s="5" t="s">
        <v>307</v>
      </c>
      <c r="CU2112" s="5" t="s">
        <v>260</v>
      </c>
      <c r="CX2112" s="7">
        <f>1</f>
        <v>1</v>
      </c>
      <c r="CY2112" s="7">
        <f>0</f>
        <v>0</v>
      </c>
      <c r="DA2112" s="7">
        <f>0</f>
        <v>0</v>
      </c>
      <c r="DC2112" s="5" t="s">
        <v>812</v>
      </c>
      <c r="DD2112" s="5" t="s">
        <v>240</v>
      </c>
      <c r="DF2112" s="5" t="s">
        <v>812</v>
      </c>
      <c r="DG2112" s="7">
        <f>1405</f>
        <v>1405</v>
      </c>
      <c r="DI2112" s="5" t="s">
        <v>240</v>
      </c>
      <c r="DJ2112" s="5" t="s">
        <v>240</v>
      </c>
      <c r="DK2112" s="5" t="s">
        <v>240</v>
      </c>
      <c r="DL2112" s="5" t="s">
        <v>240</v>
      </c>
      <c r="DP2112" s="5" t="s">
        <v>240</v>
      </c>
      <c r="DQ2112" s="5" t="s">
        <v>240</v>
      </c>
      <c r="DR2112" s="5" t="s">
        <v>240</v>
      </c>
      <c r="DS2112" s="5" t="s">
        <v>240</v>
      </c>
      <c r="DV2112" s="5" t="s">
        <v>813</v>
      </c>
      <c r="DW2112" s="5" t="s">
        <v>2051</v>
      </c>
      <c r="HO2112" s="5" t="s">
        <v>312</v>
      </c>
    </row>
    <row r="2113" spans="1:223" x14ac:dyDescent="0.4">
      <c r="A2113" s="5">
        <v>3817</v>
      </c>
      <c r="B2113" s="5">
        <v>1</v>
      </c>
      <c r="C2113" s="5">
        <v>1</v>
      </c>
      <c r="D2113" s="5" t="s">
        <v>810</v>
      </c>
      <c r="E2113" s="5" t="s">
        <v>245</v>
      </c>
      <c r="F2113" s="5" t="s">
        <v>254</v>
      </c>
      <c r="G2113" s="5" t="s">
        <v>240</v>
      </c>
      <c r="H2113" s="6" t="s">
        <v>4170</v>
      </c>
      <c r="I2113" s="5" t="s">
        <v>809</v>
      </c>
      <c r="J2113" s="8">
        <f>359</f>
        <v>359</v>
      </c>
      <c r="K2113" s="5" t="s">
        <v>308</v>
      </c>
      <c r="L2113" s="7">
        <f>1</f>
        <v>1</v>
      </c>
      <c r="M2113" s="7">
        <f>1</f>
        <v>1</v>
      </c>
      <c r="N2113" s="5" t="s">
        <v>242</v>
      </c>
      <c r="O2113" s="5">
        <v>1</v>
      </c>
      <c r="P2113" s="5" t="s">
        <v>294</v>
      </c>
      <c r="Q2113" s="5" t="s">
        <v>266</v>
      </c>
      <c r="R2113" s="5" t="s">
        <v>240</v>
      </c>
      <c r="S2113" s="5" t="s">
        <v>240</v>
      </c>
      <c r="T2113" s="5" t="s">
        <v>296</v>
      </c>
      <c r="U2113" s="5" t="s">
        <v>244</v>
      </c>
      <c r="V2113" s="5" t="s">
        <v>240</v>
      </c>
      <c r="Y2113" s="5" t="s">
        <v>240</v>
      </c>
      <c r="Z2113" s="6" t="s">
        <v>298</v>
      </c>
      <c r="AB2113" s="6" t="s">
        <v>240</v>
      </c>
      <c r="AE2113" s="6" t="s">
        <v>299</v>
      </c>
      <c r="AF2113" s="5" t="s">
        <v>248</v>
      </c>
      <c r="AG2113" s="5" t="s">
        <v>249</v>
      </c>
      <c r="AW2113" s="5" t="s">
        <v>251</v>
      </c>
      <c r="AX2113" s="5" t="s">
        <v>240</v>
      </c>
      <c r="AY2113" s="5" t="s">
        <v>253</v>
      </c>
      <c r="AZ2113" s="5" t="s">
        <v>240</v>
      </c>
      <c r="BA2113" s="5" t="s">
        <v>255</v>
      </c>
      <c r="BB2113" s="5" t="s">
        <v>240</v>
      </c>
      <c r="BD2113" s="5" t="s">
        <v>240</v>
      </c>
      <c r="BF2113" s="5" t="s">
        <v>301</v>
      </c>
      <c r="BG2113" s="6" t="s">
        <v>299</v>
      </c>
      <c r="BH2113" s="5" t="s">
        <v>302</v>
      </c>
      <c r="BI2113" s="5" t="s">
        <v>303</v>
      </c>
      <c r="BJ2113" s="5" t="s">
        <v>240</v>
      </c>
      <c r="BK2113" s="8">
        <f>0</f>
        <v>0</v>
      </c>
      <c r="BL2113" s="7">
        <f>0</f>
        <v>0</v>
      </c>
      <c r="BM2113" s="5" t="s">
        <v>258</v>
      </c>
      <c r="BN2113" s="5" t="s">
        <v>259</v>
      </c>
      <c r="CB2113" s="5" t="s">
        <v>240</v>
      </c>
      <c r="CC2113" s="5" t="s">
        <v>240</v>
      </c>
      <c r="CG2113" s="5" t="s">
        <v>304</v>
      </c>
      <c r="CH2113" s="5" t="s">
        <v>305</v>
      </c>
      <c r="CI2113" s="5" t="s">
        <v>240</v>
      </c>
      <c r="CL2113" s="6" t="s">
        <v>261</v>
      </c>
      <c r="CM2113" s="5" t="s">
        <v>240</v>
      </c>
      <c r="CN2113" s="5" t="s">
        <v>263</v>
      </c>
      <c r="CO2113" s="5" t="s">
        <v>240</v>
      </c>
      <c r="CP2113" s="5" t="s">
        <v>240</v>
      </c>
      <c r="CQ2113" s="5">
        <v>0</v>
      </c>
      <c r="CR2113" s="5" t="s">
        <v>306</v>
      </c>
      <c r="CS2113" s="5" t="s">
        <v>307</v>
      </c>
      <c r="CT2113" s="5" t="s">
        <v>307</v>
      </c>
      <c r="CU2113" s="5" t="s">
        <v>260</v>
      </c>
      <c r="CX2113" s="7">
        <f>1</f>
        <v>1</v>
      </c>
      <c r="CY2113" s="7">
        <f>0</f>
        <v>0</v>
      </c>
      <c r="DA2113" s="7">
        <f>0</f>
        <v>0</v>
      </c>
      <c r="DC2113" s="5" t="s">
        <v>812</v>
      </c>
      <c r="DD2113" s="5" t="s">
        <v>240</v>
      </c>
      <c r="DF2113" s="5" t="s">
        <v>812</v>
      </c>
      <c r="DG2113" s="7">
        <f>435</f>
        <v>435</v>
      </c>
      <c r="DI2113" s="5" t="s">
        <v>240</v>
      </c>
      <c r="DJ2113" s="5" t="s">
        <v>240</v>
      </c>
      <c r="DK2113" s="5" t="s">
        <v>240</v>
      </c>
      <c r="DL2113" s="5" t="s">
        <v>240</v>
      </c>
      <c r="DP2113" s="5" t="s">
        <v>240</v>
      </c>
      <c r="DQ2113" s="5" t="s">
        <v>240</v>
      </c>
      <c r="DR2113" s="5" t="s">
        <v>240</v>
      </c>
      <c r="DS2113" s="5" t="s">
        <v>240</v>
      </c>
      <c r="DV2113" s="5" t="s">
        <v>813</v>
      </c>
      <c r="DW2113" s="5" t="s">
        <v>488</v>
      </c>
      <c r="HO2113" s="5" t="s">
        <v>312</v>
      </c>
    </row>
    <row r="2114" spans="1:223" x14ac:dyDescent="0.4">
      <c r="A2114" s="5">
        <v>3818</v>
      </c>
      <c r="B2114" s="5">
        <v>1</v>
      </c>
      <c r="C2114" s="5">
        <v>1</v>
      </c>
      <c r="D2114" s="5" t="s">
        <v>810</v>
      </c>
      <c r="E2114" s="5" t="s">
        <v>245</v>
      </c>
      <c r="F2114" s="5" t="s">
        <v>254</v>
      </c>
      <c r="G2114" s="5" t="s">
        <v>240</v>
      </c>
      <c r="H2114" s="6" t="s">
        <v>4169</v>
      </c>
      <c r="I2114" s="5" t="s">
        <v>809</v>
      </c>
      <c r="J2114" s="8">
        <f>445</f>
        <v>445</v>
      </c>
      <c r="K2114" s="5" t="s">
        <v>308</v>
      </c>
      <c r="L2114" s="7">
        <f>1</f>
        <v>1</v>
      </c>
      <c r="M2114" s="7">
        <f>1</f>
        <v>1</v>
      </c>
      <c r="N2114" s="5" t="s">
        <v>242</v>
      </c>
      <c r="O2114" s="5">
        <v>1</v>
      </c>
      <c r="P2114" s="5" t="s">
        <v>294</v>
      </c>
      <c r="Q2114" s="5" t="s">
        <v>266</v>
      </c>
      <c r="R2114" s="5" t="s">
        <v>240</v>
      </c>
      <c r="S2114" s="5" t="s">
        <v>240</v>
      </c>
      <c r="T2114" s="5" t="s">
        <v>296</v>
      </c>
      <c r="U2114" s="5" t="s">
        <v>244</v>
      </c>
      <c r="V2114" s="5" t="s">
        <v>240</v>
      </c>
      <c r="Y2114" s="5" t="s">
        <v>240</v>
      </c>
      <c r="Z2114" s="6" t="s">
        <v>298</v>
      </c>
      <c r="AB2114" s="6" t="s">
        <v>240</v>
      </c>
      <c r="AE2114" s="6" t="s">
        <v>299</v>
      </c>
      <c r="AF2114" s="5" t="s">
        <v>248</v>
      </c>
      <c r="AG2114" s="5" t="s">
        <v>249</v>
      </c>
      <c r="AW2114" s="5" t="s">
        <v>251</v>
      </c>
      <c r="AX2114" s="5" t="s">
        <v>240</v>
      </c>
      <c r="AY2114" s="5" t="s">
        <v>253</v>
      </c>
      <c r="AZ2114" s="5" t="s">
        <v>240</v>
      </c>
      <c r="BA2114" s="5" t="s">
        <v>255</v>
      </c>
      <c r="BB2114" s="5" t="s">
        <v>240</v>
      </c>
      <c r="BD2114" s="5" t="s">
        <v>240</v>
      </c>
      <c r="BF2114" s="5" t="s">
        <v>301</v>
      </c>
      <c r="BG2114" s="6" t="s">
        <v>299</v>
      </c>
      <c r="BH2114" s="5" t="s">
        <v>302</v>
      </c>
      <c r="BI2114" s="5" t="s">
        <v>303</v>
      </c>
      <c r="BJ2114" s="5" t="s">
        <v>240</v>
      </c>
      <c r="BK2114" s="8">
        <f>0</f>
        <v>0</v>
      </c>
      <c r="BL2114" s="7">
        <f>0</f>
        <v>0</v>
      </c>
      <c r="BM2114" s="5" t="s">
        <v>258</v>
      </c>
      <c r="BN2114" s="5" t="s">
        <v>259</v>
      </c>
      <c r="CB2114" s="5" t="s">
        <v>240</v>
      </c>
      <c r="CC2114" s="5" t="s">
        <v>240</v>
      </c>
      <c r="CG2114" s="5" t="s">
        <v>304</v>
      </c>
      <c r="CH2114" s="5" t="s">
        <v>305</v>
      </c>
      <c r="CI2114" s="5" t="s">
        <v>240</v>
      </c>
      <c r="CL2114" s="6" t="s">
        <v>261</v>
      </c>
      <c r="CM2114" s="5" t="s">
        <v>240</v>
      </c>
      <c r="CN2114" s="5" t="s">
        <v>263</v>
      </c>
      <c r="CO2114" s="5" t="s">
        <v>240</v>
      </c>
      <c r="CP2114" s="5" t="s">
        <v>240</v>
      </c>
      <c r="CQ2114" s="5">
        <v>0</v>
      </c>
      <c r="CR2114" s="5" t="s">
        <v>306</v>
      </c>
      <c r="CS2114" s="5" t="s">
        <v>307</v>
      </c>
      <c r="CT2114" s="5" t="s">
        <v>307</v>
      </c>
      <c r="CU2114" s="5" t="s">
        <v>260</v>
      </c>
      <c r="CX2114" s="7">
        <f>1</f>
        <v>1</v>
      </c>
      <c r="CY2114" s="7">
        <f>0</f>
        <v>0</v>
      </c>
      <c r="DA2114" s="7">
        <f>0</f>
        <v>0</v>
      </c>
      <c r="DC2114" s="5" t="s">
        <v>812</v>
      </c>
      <c r="DD2114" s="5" t="s">
        <v>240</v>
      </c>
      <c r="DF2114" s="5" t="s">
        <v>812</v>
      </c>
      <c r="DG2114" s="7">
        <f>609</f>
        <v>609</v>
      </c>
      <c r="DI2114" s="5" t="s">
        <v>240</v>
      </c>
      <c r="DJ2114" s="5" t="s">
        <v>240</v>
      </c>
      <c r="DK2114" s="5" t="s">
        <v>240</v>
      </c>
      <c r="DL2114" s="5" t="s">
        <v>240</v>
      </c>
      <c r="DP2114" s="5" t="s">
        <v>240</v>
      </c>
      <c r="DQ2114" s="5" t="s">
        <v>240</v>
      </c>
      <c r="DR2114" s="5" t="s">
        <v>240</v>
      </c>
      <c r="DS2114" s="5" t="s">
        <v>240</v>
      </c>
      <c r="DV2114" s="5" t="s">
        <v>813</v>
      </c>
      <c r="DW2114" s="5" t="s">
        <v>490</v>
      </c>
      <c r="HO2114" s="5" t="s">
        <v>312</v>
      </c>
    </row>
    <row r="2115" spans="1:223" x14ac:dyDescent="0.4">
      <c r="A2115" s="5">
        <v>3819</v>
      </c>
      <c r="B2115" s="5">
        <v>1</v>
      </c>
      <c r="C2115" s="5">
        <v>1</v>
      </c>
      <c r="D2115" s="5" t="s">
        <v>810</v>
      </c>
      <c r="E2115" s="5" t="s">
        <v>245</v>
      </c>
      <c r="F2115" s="5" t="s">
        <v>254</v>
      </c>
      <c r="G2115" s="5" t="s">
        <v>240</v>
      </c>
      <c r="H2115" s="6" t="s">
        <v>4168</v>
      </c>
      <c r="I2115" s="5" t="s">
        <v>809</v>
      </c>
      <c r="J2115" s="8">
        <f>272</f>
        <v>272</v>
      </c>
      <c r="K2115" s="5" t="s">
        <v>308</v>
      </c>
      <c r="L2115" s="7">
        <f>1</f>
        <v>1</v>
      </c>
      <c r="M2115" s="7">
        <f>1</f>
        <v>1</v>
      </c>
      <c r="N2115" s="5" t="s">
        <v>242</v>
      </c>
      <c r="O2115" s="5">
        <v>1</v>
      </c>
      <c r="P2115" s="5" t="s">
        <v>294</v>
      </c>
      <c r="Q2115" s="5" t="s">
        <v>266</v>
      </c>
      <c r="R2115" s="5" t="s">
        <v>240</v>
      </c>
      <c r="S2115" s="5" t="s">
        <v>240</v>
      </c>
      <c r="T2115" s="5" t="s">
        <v>296</v>
      </c>
      <c r="U2115" s="5" t="s">
        <v>244</v>
      </c>
      <c r="V2115" s="5" t="s">
        <v>240</v>
      </c>
      <c r="Y2115" s="5" t="s">
        <v>240</v>
      </c>
      <c r="Z2115" s="6" t="s">
        <v>298</v>
      </c>
      <c r="AB2115" s="6" t="s">
        <v>240</v>
      </c>
      <c r="AE2115" s="6" t="s">
        <v>299</v>
      </c>
      <c r="AF2115" s="5" t="s">
        <v>248</v>
      </c>
      <c r="AG2115" s="5" t="s">
        <v>249</v>
      </c>
      <c r="AW2115" s="5" t="s">
        <v>251</v>
      </c>
      <c r="AX2115" s="5" t="s">
        <v>240</v>
      </c>
      <c r="AY2115" s="5" t="s">
        <v>253</v>
      </c>
      <c r="AZ2115" s="5" t="s">
        <v>240</v>
      </c>
      <c r="BA2115" s="5" t="s">
        <v>255</v>
      </c>
      <c r="BB2115" s="5" t="s">
        <v>240</v>
      </c>
      <c r="BD2115" s="5" t="s">
        <v>240</v>
      </c>
      <c r="BF2115" s="5" t="s">
        <v>301</v>
      </c>
      <c r="BG2115" s="6" t="s">
        <v>299</v>
      </c>
      <c r="BH2115" s="5" t="s">
        <v>302</v>
      </c>
      <c r="BI2115" s="5" t="s">
        <v>303</v>
      </c>
      <c r="BJ2115" s="5" t="s">
        <v>240</v>
      </c>
      <c r="BK2115" s="8">
        <f>0</f>
        <v>0</v>
      </c>
      <c r="BL2115" s="7">
        <f>0</f>
        <v>0</v>
      </c>
      <c r="BM2115" s="5" t="s">
        <v>258</v>
      </c>
      <c r="BN2115" s="5" t="s">
        <v>259</v>
      </c>
      <c r="CB2115" s="5" t="s">
        <v>240</v>
      </c>
      <c r="CC2115" s="5" t="s">
        <v>240</v>
      </c>
      <c r="CG2115" s="5" t="s">
        <v>304</v>
      </c>
      <c r="CH2115" s="5" t="s">
        <v>305</v>
      </c>
      <c r="CI2115" s="5" t="s">
        <v>240</v>
      </c>
      <c r="CL2115" s="6" t="s">
        <v>261</v>
      </c>
      <c r="CM2115" s="5" t="s">
        <v>240</v>
      </c>
      <c r="CN2115" s="5" t="s">
        <v>263</v>
      </c>
      <c r="CO2115" s="5" t="s">
        <v>240</v>
      </c>
      <c r="CP2115" s="5" t="s">
        <v>240</v>
      </c>
      <c r="CQ2115" s="5">
        <v>0</v>
      </c>
      <c r="CR2115" s="5" t="s">
        <v>306</v>
      </c>
      <c r="CS2115" s="5" t="s">
        <v>307</v>
      </c>
      <c r="CT2115" s="5" t="s">
        <v>307</v>
      </c>
      <c r="CU2115" s="5" t="s">
        <v>260</v>
      </c>
      <c r="CX2115" s="7">
        <f>1</f>
        <v>1</v>
      </c>
      <c r="CY2115" s="7">
        <f>0</f>
        <v>0</v>
      </c>
      <c r="DA2115" s="7">
        <f>0</f>
        <v>0</v>
      </c>
      <c r="DC2115" s="5" t="s">
        <v>812</v>
      </c>
      <c r="DD2115" s="5" t="s">
        <v>240</v>
      </c>
      <c r="DF2115" s="5" t="s">
        <v>812</v>
      </c>
      <c r="DG2115" s="7">
        <f>301</f>
        <v>301</v>
      </c>
      <c r="DI2115" s="5" t="s">
        <v>240</v>
      </c>
      <c r="DJ2115" s="5" t="s">
        <v>240</v>
      </c>
      <c r="DK2115" s="5" t="s">
        <v>240</v>
      </c>
      <c r="DL2115" s="5" t="s">
        <v>240</v>
      </c>
      <c r="DP2115" s="5" t="s">
        <v>240</v>
      </c>
      <c r="DQ2115" s="5" t="s">
        <v>240</v>
      </c>
      <c r="DR2115" s="5" t="s">
        <v>240</v>
      </c>
      <c r="DS2115" s="5" t="s">
        <v>240</v>
      </c>
      <c r="DV2115" s="5" t="s">
        <v>813</v>
      </c>
      <c r="DW2115" s="5" t="s">
        <v>492</v>
      </c>
      <c r="HO2115" s="5" t="s">
        <v>312</v>
      </c>
    </row>
    <row r="2116" spans="1:223" x14ac:dyDescent="0.4">
      <c r="A2116" s="5">
        <v>3820</v>
      </c>
      <c r="B2116" s="5">
        <v>1</v>
      </c>
      <c r="C2116" s="5">
        <v>1</v>
      </c>
      <c r="D2116" s="5" t="s">
        <v>810</v>
      </c>
      <c r="E2116" s="5" t="s">
        <v>245</v>
      </c>
      <c r="F2116" s="5" t="s">
        <v>254</v>
      </c>
      <c r="G2116" s="5" t="s">
        <v>240</v>
      </c>
      <c r="H2116" s="6" t="s">
        <v>4167</v>
      </c>
      <c r="I2116" s="5" t="s">
        <v>809</v>
      </c>
      <c r="J2116" s="8">
        <f>967</f>
        <v>967</v>
      </c>
      <c r="K2116" s="5" t="s">
        <v>308</v>
      </c>
      <c r="L2116" s="7">
        <f>1</f>
        <v>1</v>
      </c>
      <c r="M2116" s="7">
        <f>1</f>
        <v>1</v>
      </c>
      <c r="N2116" s="5" t="s">
        <v>242</v>
      </c>
      <c r="O2116" s="5">
        <v>1</v>
      </c>
      <c r="P2116" s="5" t="s">
        <v>294</v>
      </c>
      <c r="Q2116" s="5" t="s">
        <v>266</v>
      </c>
      <c r="R2116" s="5" t="s">
        <v>240</v>
      </c>
      <c r="S2116" s="5" t="s">
        <v>240</v>
      </c>
      <c r="T2116" s="5" t="s">
        <v>296</v>
      </c>
      <c r="U2116" s="5" t="s">
        <v>244</v>
      </c>
      <c r="V2116" s="5" t="s">
        <v>240</v>
      </c>
      <c r="Y2116" s="5" t="s">
        <v>240</v>
      </c>
      <c r="Z2116" s="6" t="s">
        <v>298</v>
      </c>
      <c r="AB2116" s="6" t="s">
        <v>240</v>
      </c>
      <c r="AE2116" s="6" t="s">
        <v>299</v>
      </c>
      <c r="AF2116" s="5" t="s">
        <v>248</v>
      </c>
      <c r="AG2116" s="5" t="s">
        <v>249</v>
      </c>
      <c r="AW2116" s="5" t="s">
        <v>251</v>
      </c>
      <c r="AX2116" s="5" t="s">
        <v>240</v>
      </c>
      <c r="AY2116" s="5" t="s">
        <v>253</v>
      </c>
      <c r="AZ2116" s="5" t="s">
        <v>240</v>
      </c>
      <c r="BA2116" s="5" t="s">
        <v>255</v>
      </c>
      <c r="BB2116" s="5" t="s">
        <v>240</v>
      </c>
      <c r="BD2116" s="5" t="s">
        <v>240</v>
      </c>
      <c r="BF2116" s="5" t="s">
        <v>301</v>
      </c>
      <c r="BG2116" s="6" t="s">
        <v>299</v>
      </c>
      <c r="BH2116" s="5" t="s">
        <v>302</v>
      </c>
      <c r="BI2116" s="5" t="s">
        <v>303</v>
      </c>
      <c r="BJ2116" s="5" t="s">
        <v>240</v>
      </c>
      <c r="BK2116" s="8">
        <f>0</f>
        <v>0</v>
      </c>
      <c r="BL2116" s="7">
        <f>0</f>
        <v>0</v>
      </c>
      <c r="BM2116" s="5" t="s">
        <v>258</v>
      </c>
      <c r="BN2116" s="5" t="s">
        <v>259</v>
      </c>
      <c r="CB2116" s="5" t="s">
        <v>240</v>
      </c>
      <c r="CC2116" s="5" t="s">
        <v>240</v>
      </c>
      <c r="CG2116" s="5" t="s">
        <v>304</v>
      </c>
      <c r="CH2116" s="5" t="s">
        <v>305</v>
      </c>
      <c r="CI2116" s="5" t="s">
        <v>240</v>
      </c>
      <c r="CL2116" s="6" t="s">
        <v>261</v>
      </c>
      <c r="CM2116" s="5" t="s">
        <v>240</v>
      </c>
      <c r="CN2116" s="5" t="s">
        <v>263</v>
      </c>
      <c r="CO2116" s="5" t="s">
        <v>240</v>
      </c>
      <c r="CP2116" s="5" t="s">
        <v>240</v>
      </c>
      <c r="CQ2116" s="5">
        <v>0</v>
      </c>
      <c r="CR2116" s="5" t="s">
        <v>306</v>
      </c>
      <c r="CS2116" s="5" t="s">
        <v>307</v>
      </c>
      <c r="CT2116" s="5" t="s">
        <v>307</v>
      </c>
      <c r="CU2116" s="5" t="s">
        <v>260</v>
      </c>
      <c r="CX2116" s="7">
        <f>1</f>
        <v>1</v>
      </c>
      <c r="CY2116" s="7">
        <f>0</f>
        <v>0</v>
      </c>
      <c r="DA2116" s="7">
        <f>0</f>
        <v>0</v>
      </c>
      <c r="DC2116" s="5" t="s">
        <v>812</v>
      </c>
      <c r="DD2116" s="5" t="s">
        <v>240</v>
      </c>
      <c r="DF2116" s="5" t="s">
        <v>812</v>
      </c>
      <c r="DG2116" s="7">
        <f>510</f>
        <v>510</v>
      </c>
      <c r="DI2116" s="5" t="s">
        <v>240</v>
      </c>
      <c r="DJ2116" s="5" t="s">
        <v>240</v>
      </c>
      <c r="DK2116" s="5" t="s">
        <v>240</v>
      </c>
      <c r="DL2116" s="5" t="s">
        <v>240</v>
      </c>
      <c r="DP2116" s="5" t="s">
        <v>240</v>
      </c>
      <c r="DQ2116" s="5" t="s">
        <v>240</v>
      </c>
      <c r="DR2116" s="5" t="s">
        <v>240</v>
      </c>
      <c r="DS2116" s="5" t="s">
        <v>240</v>
      </c>
      <c r="DV2116" s="5" t="s">
        <v>813</v>
      </c>
      <c r="DW2116" s="5" t="s">
        <v>494</v>
      </c>
      <c r="HO2116" s="5" t="s">
        <v>312</v>
      </c>
    </row>
    <row r="2117" spans="1:223" x14ac:dyDescent="0.4">
      <c r="A2117" s="5">
        <v>3821</v>
      </c>
      <c r="B2117" s="5">
        <v>1</v>
      </c>
      <c r="C2117" s="5">
        <v>1</v>
      </c>
      <c r="D2117" s="5" t="s">
        <v>810</v>
      </c>
      <c r="E2117" s="5" t="s">
        <v>245</v>
      </c>
      <c r="F2117" s="5" t="s">
        <v>254</v>
      </c>
      <c r="G2117" s="5" t="s">
        <v>240</v>
      </c>
      <c r="H2117" s="6" t="s">
        <v>4166</v>
      </c>
      <c r="I2117" s="5" t="s">
        <v>809</v>
      </c>
      <c r="J2117" s="8">
        <f>1254</f>
        <v>1254</v>
      </c>
      <c r="K2117" s="5" t="s">
        <v>308</v>
      </c>
      <c r="L2117" s="7">
        <f>1</f>
        <v>1</v>
      </c>
      <c r="M2117" s="7">
        <f>1</f>
        <v>1</v>
      </c>
      <c r="N2117" s="5" t="s">
        <v>242</v>
      </c>
      <c r="O2117" s="5">
        <v>1</v>
      </c>
      <c r="P2117" s="5" t="s">
        <v>294</v>
      </c>
      <c r="Q2117" s="5" t="s">
        <v>266</v>
      </c>
      <c r="R2117" s="5" t="s">
        <v>240</v>
      </c>
      <c r="S2117" s="5" t="s">
        <v>240</v>
      </c>
      <c r="T2117" s="5" t="s">
        <v>296</v>
      </c>
      <c r="U2117" s="5" t="s">
        <v>244</v>
      </c>
      <c r="V2117" s="5" t="s">
        <v>240</v>
      </c>
      <c r="Y2117" s="5" t="s">
        <v>240</v>
      </c>
      <c r="Z2117" s="6" t="s">
        <v>298</v>
      </c>
      <c r="AB2117" s="6" t="s">
        <v>240</v>
      </c>
      <c r="AE2117" s="6" t="s">
        <v>299</v>
      </c>
      <c r="AF2117" s="5" t="s">
        <v>248</v>
      </c>
      <c r="AG2117" s="5" t="s">
        <v>249</v>
      </c>
      <c r="AW2117" s="5" t="s">
        <v>251</v>
      </c>
      <c r="AX2117" s="5" t="s">
        <v>240</v>
      </c>
      <c r="AY2117" s="5" t="s">
        <v>253</v>
      </c>
      <c r="AZ2117" s="5" t="s">
        <v>240</v>
      </c>
      <c r="BA2117" s="5" t="s">
        <v>255</v>
      </c>
      <c r="BB2117" s="5" t="s">
        <v>240</v>
      </c>
      <c r="BD2117" s="5" t="s">
        <v>240</v>
      </c>
      <c r="BF2117" s="5" t="s">
        <v>301</v>
      </c>
      <c r="BG2117" s="6" t="s">
        <v>299</v>
      </c>
      <c r="BH2117" s="5" t="s">
        <v>302</v>
      </c>
      <c r="BI2117" s="5" t="s">
        <v>303</v>
      </c>
      <c r="BJ2117" s="5" t="s">
        <v>240</v>
      </c>
      <c r="BK2117" s="8">
        <f>0</f>
        <v>0</v>
      </c>
      <c r="BL2117" s="7">
        <f>0</f>
        <v>0</v>
      </c>
      <c r="BM2117" s="5" t="s">
        <v>258</v>
      </c>
      <c r="BN2117" s="5" t="s">
        <v>259</v>
      </c>
      <c r="CB2117" s="5" t="s">
        <v>240</v>
      </c>
      <c r="CC2117" s="5" t="s">
        <v>240</v>
      </c>
      <c r="CG2117" s="5" t="s">
        <v>304</v>
      </c>
      <c r="CH2117" s="5" t="s">
        <v>305</v>
      </c>
      <c r="CI2117" s="5" t="s">
        <v>240</v>
      </c>
      <c r="CL2117" s="6" t="s">
        <v>261</v>
      </c>
      <c r="CM2117" s="5" t="s">
        <v>240</v>
      </c>
      <c r="CN2117" s="5" t="s">
        <v>263</v>
      </c>
      <c r="CO2117" s="5" t="s">
        <v>240</v>
      </c>
      <c r="CP2117" s="5" t="s">
        <v>240</v>
      </c>
      <c r="CQ2117" s="5">
        <v>0</v>
      </c>
      <c r="CR2117" s="5" t="s">
        <v>306</v>
      </c>
      <c r="CS2117" s="5" t="s">
        <v>307</v>
      </c>
      <c r="CT2117" s="5" t="s">
        <v>307</v>
      </c>
      <c r="CU2117" s="5" t="s">
        <v>260</v>
      </c>
      <c r="CX2117" s="7">
        <f>1</f>
        <v>1</v>
      </c>
      <c r="CY2117" s="7">
        <f>0</f>
        <v>0</v>
      </c>
      <c r="DA2117" s="7">
        <f>0</f>
        <v>0</v>
      </c>
      <c r="DC2117" s="5" t="s">
        <v>812</v>
      </c>
      <c r="DD2117" s="5" t="s">
        <v>240</v>
      </c>
      <c r="DF2117" s="5" t="s">
        <v>812</v>
      </c>
      <c r="DG2117" s="7">
        <f>1715</f>
        <v>1715</v>
      </c>
      <c r="DI2117" s="5" t="s">
        <v>240</v>
      </c>
      <c r="DJ2117" s="5" t="s">
        <v>240</v>
      </c>
      <c r="DK2117" s="5" t="s">
        <v>240</v>
      </c>
      <c r="DL2117" s="5" t="s">
        <v>240</v>
      </c>
      <c r="DP2117" s="5" t="s">
        <v>240</v>
      </c>
      <c r="DQ2117" s="5" t="s">
        <v>240</v>
      </c>
      <c r="DR2117" s="5" t="s">
        <v>240</v>
      </c>
      <c r="DS2117" s="5" t="s">
        <v>240</v>
      </c>
      <c r="DV2117" s="5" t="s">
        <v>813</v>
      </c>
      <c r="DW2117" s="5" t="s">
        <v>496</v>
      </c>
      <c r="HO2117" s="5" t="s">
        <v>312</v>
      </c>
    </row>
    <row r="2118" spans="1:223" x14ac:dyDescent="0.4">
      <c r="A2118" s="5">
        <v>3822</v>
      </c>
      <c r="B2118" s="5">
        <v>1</v>
      </c>
      <c r="C2118" s="5">
        <v>1</v>
      </c>
      <c r="D2118" s="5" t="s">
        <v>810</v>
      </c>
      <c r="E2118" s="5" t="s">
        <v>245</v>
      </c>
      <c r="F2118" s="5" t="s">
        <v>254</v>
      </c>
      <c r="G2118" s="5" t="s">
        <v>240</v>
      </c>
      <c r="H2118" s="6" t="s">
        <v>4165</v>
      </c>
      <c r="I2118" s="5" t="s">
        <v>809</v>
      </c>
      <c r="J2118" s="8">
        <f>806</f>
        <v>806</v>
      </c>
      <c r="K2118" s="5" t="s">
        <v>308</v>
      </c>
      <c r="L2118" s="7">
        <f>1</f>
        <v>1</v>
      </c>
      <c r="M2118" s="7">
        <f>1</f>
        <v>1</v>
      </c>
      <c r="N2118" s="5" t="s">
        <v>242</v>
      </c>
      <c r="O2118" s="5">
        <v>1</v>
      </c>
      <c r="P2118" s="5" t="s">
        <v>294</v>
      </c>
      <c r="Q2118" s="5" t="s">
        <v>266</v>
      </c>
      <c r="R2118" s="5" t="s">
        <v>240</v>
      </c>
      <c r="S2118" s="5" t="s">
        <v>240</v>
      </c>
      <c r="T2118" s="5" t="s">
        <v>296</v>
      </c>
      <c r="U2118" s="5" t="s">
        <v>244</v>
      </c>
      <c r="V2118" s="5" t="s">
        <v>240</v>
      </c>
      <c r="Y2118" s="5" t="s">
        <v>240</v>
      </c>
      <c r="Z2118" s="6" t="s">
        <v>298</v>
      </c>
      <c r="AB2118" s="6" t="s">
        <v>240</v>
      </c>
      <c r="AE2118" s="6" t="s">
        <v>299</v>
      </c>
      <c r="AF2118" s="5" t="s">
        <v>248</v>
      </c>
      <c r="AG2118" s="5" t="s">
        <v>249</v>
      </c>
      <c r="AW2118" s="5" t="s">
        <v>251</v>
      </c>
      <c r="AX2118" s="5" t="s">
        <v>240</v>
      </c>
      <c r="AY2118" s="5" t="s">
        <v>253</v>
      </c>
      <c r="AZ2118" s="5" t="s">
        <v>240</v>
      </c>
      <c r="BA2118" s="5" t="s">
        <v>255</v>
      </c>
      <c r="BB2118" s="5" t="s">
        <v>240</v>
      </c>
      <c r="BD2118" s="5" t="s">
        <v>240</v>
      </c>
      <c r="BF2118" s="5" t="s">
        <v>301</v>
      </c>
      <c r="BG2118" s="6" t="s">
        <v>299</v>
      </c>
      <c r="BH2118" s="5" t="s">
        <v>302</v>
      </c>
      <c r="BI2118" s="5" t="s">
        <v>303</v>
      </c>
      <c r="BJ2118" s="5" t="s">
        <v>240</v>
      </c>
      <c r="BK2118" s="8">
        <f>0</f>
        <v>0</v>
      </c>
      <c r="BL2118" s="7">
        <f>0</f>
        <v>0</v>
      </c>
      <c r="BM2118" s="5" t="s">
        <v>258</v>
      </c>
      <c r="BN2118" s="5" t="s">
        <v>259</v>
      </c>
      <c r="CB2118" s="5" t="s">
        <v>240</v>
      </c>
      <c r="CC2118" s="5" t="s">
        <v>240</v>
      </c>
      <c r="CG2118" s="5" t="s">
        <v>304</v>
      </c>
      <c r="CH2118" s="5" t="s">
        <v>305</v>
      </c>
      <c r="CI2118" s="5" t="s">
        <v>240</v>
      </c>
      <c r="CL2118" s="6" t="s">
        <v>261</v>
      </c>
      <c r="CM2118" s="5" t="s">
        <v>240</v>
      </c>
      <c r="CN2118" s="5" t="s">
        <v>263</v>
      </c>
      <c r="CO2118" s="5" t="s">
        <v>240</v>
      </c>
      <c r="CP2118" s="5" t="s">
        <v>240</v>
      </c>
      <c r="CQ2118" s="5">
        <v>0</v>
      </c>
      <c r="CR2118" s="5" t="s">
        <v>306</v>
      </c>
      <c r="CS2118" s="5" t="s">
        <v>307</v>
      </c>
      <c r="CT2118" s="5" t="s">
        <v>307</v>
      </c>
      <c r="CU2118" s="5" t="s">
        <v>260</v>
      </c>
      <c r="CX2118" s="7">
        <f>1</f>
        <v>1</v>
      </c>
      <c r="CY2118" s="7">
        <f>0</f>
        <v>0</v>
      </c>
      <c r="DA2118" s="7">
        <f>0</f>
        <v>0</v>
      </c>
      <c r="DC2118" s="5" t="s">
        <v>309</v>
      </c>
      <c r="DD2118" s="5" t="s">
        <v>240</v>
      </c>
      <c r="DF2118" s="5" t="s">
        <v>309</v>
      </c>
      <c r="DG2118" s="7">
        <f>1071</f>
        <v>1071</v>
      </c>
      <c r="DI2118" s="5" t="s">
        <v>240</v>
      </c>
      <c r="DJ2118" s="5" t="s">
        <v>240</v>
      </c>
      <c r="DK2118" s="5" t="s">
        <v>240</v>
      </c>
      <c r="DL2118" s="5" t="s">
        <v>240</v>
      </c>
      <c r="DP2118" s="5" t="s">
        <v>240</v>
      </c>
      <c r="DQ2118" s="5" t="s">
        <v>240</v>
      </c>
      <c r="DR2118" s="5" t="s">
        <v>240</v>
      </c>
      <c r="DS2118" s="5" t="s">
        <v>240</v>
      </c>
      <c r="DV2118" s="5" t="s">
        <v>310</v>
      </c>
      <c r="DW2118" s="5" t="s">
        <v>1184</v>
      </c>
      <c r="HO2118" s="5" t="s">
        <v>312</v>
      </c>
    </row>
    <row r="2119" spans="1:223" x14ac:dyDescent="0.4">
      <c r="A2119" s="5">
        <v>3823</v>
      </c>
      <c r="B2119" s="5">
        <v>1</v>
      </c>
      <c r="C2119" s="5">
        <v>1</v>
      </c>
      <c r="D2119" s="5" t="s">
        <v>810</v>
      </c>
      <c r="E2119" s="5" t="s">
        <v>245</v>
      </c>
      <c r="F2119" s="5" t="s">
        <v>254</v>
      </c>
      <c r="G2119" s="5" t="s">
        <v>240</v>
      </c>
      <c r="H2119" s="6" t="s">
        <v>4164</v>
      </c>
      <c r="I2119" s="5" t="s">
        <v>809</v>
      </c>
      <c r="J2119" s="8">
        <f>559</f>
        <v>559</v>
      </c>
      <c r="K2119" s="5" t="s">
        <v>308</v>
      </c>
      <c r="L2119" s="7">
        <f>1</f>
        <v>1</v>
      </c>
      <c r="M2119" s="7">
        <f>1</f>
        <v>1</v>
      </c>
      <c r="N2119" s="5" t="s">
        <v>242</v>
      </c>
      <c r="O2119" s="5">
        <v>1</v>
      </c>
      <c r="P2119" s="5" t="s">
        <v>294</v>
      </c>
      <c r="Q2119" s="5" t="s">
        <v>266</v>
      </c>
      <c r="R2119" s="5" t="s">
        <v>240</v>
      </c>
      <c r="S2119" s="5" t="s">
        <v>240</v>
      </c>
      <c r="T2119" s="5" t="s">
        <v>296</v>
      </c>
      <c r="U2119" s="5" t="s">
        <v>244</v>
      </c>
      <c r="V2119" s="5" t="s">
        <v>240</v>
      </c>
      <c r="Y2119" s="5" t="s">
        <v>240</v>
      </c>
      <c r="Z2119" s="6" t="s">
        <v>298</v>
      </c>
      <c r="AB2119" s="6" t="s">
        <v>240</v>
      </c>
      <c r="AE2119" s="6" t="s">
        <v>299</v>
      </c>
      <c r="AF2119" s="5" t="s">
        <v>248</v>
      </c>
      <c r="AG2119" s="5" t="s">
        <v>249</v>
      </c>
      <c r="AW2119" s="5" t="s">
        <v>251</v>
      </c>
      <c r="AX2119" s="5" t="s">
        <v>240</v>
      </c>
      <c r="AY2119" s="5" t="s">
        <v>253</v>
      </c>
      <c r="AZ2119" s="5" t="s">
        <v>240</v>
      </c>
      <c r="BA2119" s="5" t="s">
        <v>255</v>
      </c>
      <c r="BB2119" s="5" t="s">
        <v>240</v>
      </c>
      <c r="BD2119" s="5" t="s">
        <v>240</v>
      </c>
      <c r="BF2119" s="5" t="s">
        <v>301</v>
      </c>
      <c r="BG2119" s="6" t="s">
        <v>299</v>
      </c>
      <c r="BH2119" s="5" t="s">
        <v>302</v>
      </c>
      <c r="BI2119" s="5" t="s">
        <v>303</v>
      </c>
      <c r="BJ2119" s="5" t="s">
        <v>240</v>
      </c>
      <c r="BK2119" s="8">
        <f>0</f>
        <v>0</v>
      </c>
      <c r="BL2119" s="7">
        <f>0</f>
        <v>0</v>
      </c>
      <c r="BM2119" s="5" t="s">
        <v>258</v>
      </c>
      <c r="BN2119" s="5" t="s">
        <v>259</v>
      </c>
      <c r="CB2119" s="5" t="s">
        <v>240</v>
      </c>
      <c r="CC2119" s="5" t="s">
        <v>240</v>
      </c>
      <c r="CG2119" s="5" t="s">
        <v>304</v>
      </c>
      <c r="CH2119" s="5" t="s">
        <v>305</v>
      </c>
      <c r="CI2119" s="5" t="s">
        <v>240</v>
      </c>
      <c r="CL2119" s="6" t="s">
        <v>261</v>
      </c>
      <c r="CM2119" s="5" t="s">
        <v>240</v>
      </c>
      <c r="CN2119" s="5" t="s">
        <v>263</v>
      </c>
      <c r="CO2119" s="5" t="s">
        <v>240</v>
      </c>
      <c r="CP2119" s="5" t="s">
        <v>240</v>
      </c>
      <c r="CQ2119" s="5">
        <v>0</v>
      </c>
      <c r="CR2119" s="5" t="s">
        <v>306</v>
      </c>
      <c r="CS2119" s="5" t="s">
        <v>307</v>
      </c>
      <c r="CT2119" s="5" t="s">
        <v>307</v>
      </c>
      <c r="CU2119" s="5" t="s">
        <v>260</v>
      </c>
      <c r="CX2119" s="7">
        <f>1</f>
        <v>1</v>
      </c>
      <c r="CY2119" s="7">
        <f>0</f>
        <v>0</v>
      </c>
      <c r="DA2119" s="7">
        <f>0</f>
        <v>0</v>
      </c>
      <c r="DC2119" s="5" t="s">
        <v>812</v>
      </c>
      <c r="DD2119" s="5" t="s">
        <v>240</v>
      </c>
      <c r="DF2119" s="5" t="s">
        <v>812</v>
      </c>
      <c r="DG2119" s="7">
        <f>5.55</f>
        <v>5.55</v>
      </c>
      <c r="DI2119" s="5" t="s">
        <v>240</v>
      </c>
      <c r="DJ2119" s="5" t="s">
        <v>240</v>
      </c>
      <c r="DK2119" s="5" t="s">
        <v>240</v>
      </c>
      <c r="DL2119" s="5" t="s">
        <v>240</v>
      </c>
      <c r="DP2119" s="5" t="s">
        <v>240</v>
      </c>
      <c r="DQ2119" s="5" t="s">
        <v>240</v>
      </c>
      <c r="DR2119" s="5" t="s">
        <v>240</v>
      </c>
      <c r="DS2119" s="5" t="s">
        <v>240</v>
      </c>
      <c r="DV2119" s="5" t="s">
        <v>813</v>
      </c>
      <c r="DW2119" s="5" t="s">
        <v>500</v>
      </c>
      <c r="HO2119" s="5" t="s">
        <v>312</v>
      </c>
    </row>
    <row r="2120" spans="1:223" x14ac:dyDescent="0.4">
      <c r="A2120" s="5">
        <v>3824</v>
      </c>
      <c r="B2120" s="5">
        <v>1</v>
      </c>
      <c r="C2120" s="5">
        <v>1</v>
      </c>
      <c r="D2120" s="5" t="s">
        <v>810</v>
      </c>
      <c r="E2120" s="5" t="s">
        <v>245</v>
      </c>
      <c r="F2120" s="5" t="s">
        <v>254</v>
      </c>
      <c r="G2120" s="5" t="s">
        <v>240</v>
      </c>
      <c r="H2120" s="6" t="s">
        <v>4163</v>
      </c>
      <c r="I2120" s="5" t="s">
        <v>809</v>
      </c>
      <c r="J2120" s="8">
        <f>148</f>
        <v>148</v>
      </c>
      <c r="K2120" s="5" t="s">
        <v>308</v>
      </c>
      <c r="L2120" s="7">
        <f>1</f>
        <v>1</v>
      </c>
      <c r="M2120" s="7">
        <f>1</f>
        <v>1</v>
      </c>
      <c r="N2120" s="5" t="s">
        <v>242</v>
      </c>
      <c r="O2120" s="5">
        <v>1</v>
      </c>
      <c r="P2120" s="5" t="s">
        <v>294</v>
      </c>
      <c r="Q2120" s="5" t="s">
        <v>266</v>
      </c>
      <c r="R2120" s="5" t="s">
        <v>240</v>
      </c>
      <c r="S2120" s="5" t="s">
        <v>240</v>
      </c>
      <c r="T2120" s="5" t="s">
        <v>296</v>
      </c>
      <c r="U2120" s="5" t="s">
        <v>244</v>
      </c>
      <c r="V2120" s="5" t="s">
        <v>240</v>
      </c>
      <c r="Y2120" s="5" t="s">
        <v>240</v>
      </c>
      <c r="Z2120" s="6" t="s">
        <v>298</v>
      </c>
      <c r="AB2120" s="6" t="s">
        <v>240</v>
      </c>
      <c r="AE2120" s="6" t="s">
        <v>299</v>
      </c>
      <c r="AF2120" s="5" t="s">
        <v>248</v>
      </c>
      <c r="AG2120" s="5" t="s">
        <v>249</v>
      </c>
      <c r="AW2120" s="5" t="s">
        <v>251</v>
      </c>
      <c r="AX2120" s="5" t="s">
        <v>240</v>
      </c>
      <c r="AY2120" s="5" t="s">
        <v>253</v>
      </c>
      <c r="AZ2120" s="5" t="s">
        <v>240</v>
      </c>
      <c r="BA2120" s="5" t="s">
        <v>255</v>
      </c>
      <c r="BB2120" s="5" t="s">
        <v>240</v>
      </c>
      <c r="BD2120" s="5" t="s">
        <v>240</v>
      </c>
      <c r="BF2120" s="5" t="s">
        <v>301</v>
      </c>
      <c r="BG2120" s="6" t="s">
        <v>299</v>
      </c>
      <c r="BH2120" s="5" t="s">
        <v>302</v>
      </c>
      <c r="BI2120" s="5" t="s">
        <v>303</v>
      </c>
      <c r="BJ2120" s="5" t="s">
        <v>240</v>
      </c>
      <c r="BK2120" s="8">
        <f>0</f>
        <v>0</v>
      </c>
      <c r="BL2120" s="7">
        <f>0</f>
        <v>0</v>
      </c>
      <c r="BM2120" s="5" t="s">
        <v>258</v>
      </c>
      <c r="BN2120" s="5" t="s">
        <v>259</v>
      </c>
      <c r="CB2120" s="5" t="s">
        <v>240</v>
      </c>
      <c r="CC2120" s="5" t="s">
        <v>240</v>
      </c>
      <c r="CG2120" s="5" t="s">
        <v>304</v>
      </c>
      <c r="CH2120" s="5" t="s">
        <v>305</v>
      </c>
      <c r="CI2120" s="5" t="s">
        <v>240</v>
      </c>
      <c r="CL2120" s="6" t="s">
        <v>261</v>
      </c>
      <c r="CM2120" s="5" t="s">
        <v>240</v>
      </c>
      <c r="CN2120" s="5" t="s">
        <v>263</v>
      </c>
      <c r="CO2120" s="5" t="s">
        <v>240</v>
      </c>
      <c r="CP2120" s="5" t="s">
        <v>240</v>
      </c>
      <c r="CQ2120" s="5">
        <v>0</v>
      </c>
      <c r="CR2120" s="5" t="s">
        <v>306</v>
      </c>
      <c r="CS2120" s="5" t="s">
        <v>307</v>
      </c>
      <c r="CT2120" s="5" t="s">
        <v>307</v>
      </c>
      <c r="CU2120" s="5" t="s">
        <v>260</v>
      </c>
      <c r="CX2120" s="7">
        <f>1</f>
        <v>1</v>
      </c>
      <c r="CY2120" s="7">
        <f>0</f>
        <v>0</v>
      </c>
      <c r="DA2120" s="7">
        <f>0</f>
        <v>0</v>
      </c>
      <c r="DC2120" s="5" t="s">
        <v>812</v>
      </c>
      <c r="DD2120" s="5" t="s">
        <v>240</v>
      </c>
      <c r="DF2120" s="5" t="s">
        <v>812</v>
      </c>
      <c r="DG2120" s="7">
        <f>61</f>
        <v>61</v>
      </c>
      <c r="DI2120" s="5" t="s">
        <v>240</v>
      </c>
      <c r="DJ2120" s="5" t="s">
        <v>240</v>
      </c>
      <c r="DK2120" s="5" t="s">
        <v>240</v>
      </c>
      <c r="DL2120" s="5" t="s">
        <v>240</v>
      </c>
      <c r="DP2120" s="5" t="s">
        <v>240</v>
      </c>
      <c r="DQ2120" s="5" t="s">
        <v>240</v>
      </c>
      <c r="DR2120" s="5" t="s">
        <v>240</v>
      </c>
      <c r="DS2120" s="5" t="s">
        <v>240</v>
      </c>
      <c r="DV2120" s="5" t="s">
        <v>813</v>
      </c>
      <c r="DW2120" s="5" t="s">
        <v>502</v>
      </c>
      <c r="HO2120" s="5" t="s">
        <v>312</v>
      </c>
    </row>
    <row r="2121" spans="1:223" x14ac:dyDescent="0.4">
      <c r="A2121" s="5">
        <v>3825</v>
      </c>
      <c r="B2121" s="5">
        <v>1</v>
      </c>
      <c r="C2121" s="5">
        <v>1</v>
      </c>
      <c r="D2121" s="5" t="s">
        <v>810</v>
      </c>
      <c r="E2121" s="5" t="s">
        <v>245</v>
      </c>
      <c r="F2121" s="5" t="s">
        <v>254</v>
      </c>
      <c r="G2121" s="5" t="s">
        <v>240</v>
      </c>
      <c r="H2121" s="6" t="s">
        <v>4162</v>
      </c>
      <c r="I2121" s="5" t="s">
        <v>809</v>
      </c>
      <c r="J2121" s="8">
        <f>407</f>
        <v>407</v>
      </c>
      <c r="K2121" s="5" t="s">
        <v>308</v>
      </c>
      <c r="L2121" s="7">
        <f>1</f>
        <v>1</v>
      </c>
      <c r="M2121" s="7">
        <f>1</f>
        <v>1</v>
      </c>
      <c r="N2121" s="5" t="s">
        <v>242</v>
      </c>
      <c r="O2121" s="5">
        <v>1</v>
      </c>
      <c r="P2121" s="5" t="s">
        <v>294</v>
      </c>
      <c r="Q2121" s="5" t="s">
        <v>266</v>
      </c>
      <c r="R2121" s="5" t="s">
        <v>240</v>
      </c>
      <c r="S2121" s="5" t="s">
        <v>240</v>
      </c>
      <c r="T2121" s="5" t="s">
        <v>296</v>
      </c>
      <c r="U2121" s="5" t="s">
        <v>244</v>
      </c>
      <c r="V2121" s="5" t="s">
        <v>240</v>
      </c>
      <c r="Y2121" s="5" t="s">
        <v>240</v>
      </c>
      <c r="Z2121" s="6" t="s">
        <v>298</v>
      </c>
      <c r="AB2121" s="6" t="s">
        <v>240</v>
      </c>
      <c r="AE2121" s="6" t="s">
        <v>299</v>
      </c>
      <c r="AF2121" s="5" t="s">
        <v>248</v>
      </c>
      <c r="AG2121" s="5" t="s">
        <v>249</v>
      </c>
      <c r="AW2121" s="5" t="s">
        <v>251</v>
      </c>
      <c r="AX2121" s="5" t="s">
        <v>240</v>
      </c>
      <c r="AY2121" s="5" t="s">
        <v>253</v>
      </c>
      <c r="AZ2121" s="5" t="s">
        <v>240</v>
      </c>
      <c r="BA2121" s="5" t="s">
        <v>255</v>
      </c>
      <c r="BB2121" s="5" t="s">
        <v>240</v>
      </c>
      <c r="BD2121" s="5" t="s">
        <v>240</v>
      </c>
      <c r="BF2121" s="5" t="s">
        <v>301</v>
      </c>
      <c r="BG2121" s="6" t="s">
        <v>299</v>
      </c>
      <c r="BH2121" s="5" t="s">
        <v>302</v>
      </c>
      <c r="BI2121" s="5" t="s">
        <v>303</v>
      </c>
      <c r="BJ2121" s="5" t="s">
        <v>240</v>
      </c>
      <c r="BK2121" s="8">
        <f>0</f>
        <v>0</v>
      </c>
      <c r="BL2121" s="7">
        <f>0</f>
        <v>0</v>
      </c>
      <c r="BM2121" s="5" t="s">
        <v>258</v>
      </c>
      <c r="BN2121" s="5" t="s">
        <v>259</v>
      </c>
      <c r="CB2121" s="5" t="s">
        <v>240</v>
      </c>
      <c r="CC2121" s="5" t="s">
        <v>240</v>
      </c>
      <c r="CG2121" s="5" t="s">
        <v>304</v>
      </c>
      <c r="CH2121" s="5" t="s">
        <v>305</v>
      </c>
      <c r="CI2121" s="5" t="s">
        <v>240</v>
      </c>
      <c r="CL2121" s="6" t="s">
        <v>261</v>
      </c>
      <c r="CM2121" s="5" t="s">
        <v>240</v>
      </c>
      <c r="CN2121" s="5" t="s">
        <v>263</v>
      </c>
      <c r="CO2121" s="5" t="s">
        <v>240</v>
      </c>
      <c r="CP2121" s="5" t="s">
        <v>240</v>
      </c>
      <c r="CQ2121" s="5">
        <v>0</v>
      </c>
      <c r="CR2121" s="5" t="s">
        <v>306</v>
      </c>
      <c r="CS2121" s="5" t="s">
        <v>307</v>
      </c>
      <c r="CT2121" s="5" t="s">
        <v>307</v>
      </c>
      <c r="CU2121" s="5" t="s">
        <v>260</v>
      </c>
      <c r="CX2121" s="7">
        <f>1</f>
        <v>1</v>
      </c>
      <c r="CY2121" s="7">
        <f>0</f>
        <v>0</v>
      </c>
      <c r="DA2121" s="7">
        <f>0</f>
        <v>0</v>
      </c>
      <c r="DC2121" s="5" t="s">
        <v>812</v>
      </c>
      <c r="DD2121" s="5" t="s">
        <v>240</v>
      </c>
      <c r="DF2121" s="5" t="s">
        <v>812</v>
      </c>
      <c r="DG2121" s="7">
        <f>1356</f>
        <v>1356</v>
      </c>
      <c r="DI2121" s="5" t="s">
        <v>240</v>
      </c>
      <c r="DJ2121" s="5" t="s">
        <v>240</v>
      </c>
      <c r="DK2121" s="5" t="s">
        <v>240</v>
      </c>
      <c r="DL2121" s="5" t="s">
        <v>240</v>
      </c>
      <c r="DP2121" s="5" t="s">
        <v>240</v>
      </c>
      <c r="DQ2121" s="5" t="s">
        <v>240</v>
      </c>
      <c r="DR2121" s="5" t="s">
        <v>240</v>
      </c>
      <c r="DS2121" s="5" t="s">
        <v>240</v>
      </c>
      <c r="DV2121" s="5" t="s">
        <v>813</v>
      </c>
      <c r="DW2121" s="5" t="s">
        <v>504</v>
      </c>
      <c r="HO2121" s="5" t="s">
        <v>312</v>
      </c>
    </row>
    <row r="2122" spans="1:223" x14ac:dyDescent="0.4">
      <c r="A2122" s="5">
        <v>3826</v>
      </c>
      <c r="B2122" s="5">
        <v>1</v>
      </c>
      <c r="C2122" s="5">
        <v>1</v>
      </c>
      <c r="D2122" s="5" t="s">
        <v>810</v>
      </c>
      <c r="E2122" s="5" t="s">
        <v>245</v>
      </c>
      <c r="F2122" s="5" t="s">
        <v>254</v>
      </c>
      <c r="G2122" s="5" t="s">
        <v>240</v>
      </c>
      <c r="H2122" s="6" t="s">
        <v>4161</v>
      </c>
      <c r="I2122" s="5" t="s">
        <v>809</v>
      </c>
      <c r="J2122" s="8">
        <f>394</f>
        <v>394</v>
      </c>
      <c r="K2122" s="5" t="s">
        <v>308</v>
      </c>
      <c r="L2122" s="7">
        <f>1</f>
        <v>1</v>
      </c>
      <c r="M2122" s="7">
        <f>1</f>
        <v>1</v>
      </c>
      <c r="N2122" s="5" t="s">
        <v>242</v>
      </c>
      <c r="O2122" s="5">
        <v>1</v>
      </c>
      <c r="P2122" s="5" t="s">
        <v>294</v>
      </c>
      <c r="Q2122" s="5" t="s">
        <v>266</v>
      </c>
      <c r="R2122" s="5" t="s">
        <v>240</v>
      </c>
      <c r="S2122" s="5" t="s">
        <v>240</v>
      </c>
      <c r="T2122" s="5" t="s">
        <v>296</v>
      </c>
      <c r="U2122" s="5" t="s">
        <v>244</v>
      </c>
      <c r="V2122" s="5" t="s">
        <v>240</v>
      </c>
      <c r="Y2122" s="5" t="s">
        <v>240</v>
      </c>
      <c r="Z2122" s="6" t="s">
        <v>298</v>
      </c>
      <c r="AB2122" s="6" t="s">
        <v>240</v>
      </c>
      <c r="AE2122" s="6" t="s">
        <v>299</v>
      </c>
      <c r="AF2122" s="5" t="s">
        <v>248</v>
      </c>
      <c r="AG2122" s="5" t="s">
        <v>249</v>
      </c>
      <c r="AW2122" s="5" t="s">
        <v>251</v>
      </c>
      <c r="AX2122" s="5" t="s">
        <v>240</v>
      </c>
      <c r="AY2122" s="5" t="s">
        <v>253</v>
      </c>
      <c r="AZ2122" s="5" t="s">
        <v>240</v>
      </c>
      <c r="BA2122" s="5" t="s">
        <v>255</v>
      </c>
      <c r="BB2122" s="5" t="s">
        <v>240</v>
      </c>
      <c r="BD2122" s="5" t="s">
        <v>240</v>
      </c>
      <c r="BF2122" s="5" t="s">
        <v>301</v>
      </c>
      <c r="BG2122" s="6" t="s">
        <v>299</v>
      </c>
      <c r="BH2122" s="5" t="s">
        <v>302</v>
      </c>
      <c r="BI2122" s="5" t="s">
        <v>303</v>
      </c>
      <c r="BJ2122" s="5" t="s">
        <v>240</v>
      </c>
      <c r="BK2122" s="8">
        <f>0</f>
        <v>0</v>
      </c>
      <c r="BL2122" s="7">
        <f>0</f>
        <v>0</v>
      </c>
      <c r="BM2122" s="5" t="s">
        <v>258</v>
      </c>
      <c r="BN2122" s="5" t="s">
        <v>259</v>
      </c>
      <c r="CB2122" s="5" t="s">
        <v>240</v>
      </c>
      <c r="CC2122" s="5" t="s">
        <v>240</v>
      </c>
      <c r="CG2122" s="5" t="s">
        <v>304</v>
      </c>
      <c r="CH2122" s="5" t="s">
        <v>305</v>
      </c>
      <c r="CI2122" s="5" t="s">
        <v>240</v>
      </c>
      <c r="CL2122" s="6" t="s">
        <v>261</v>
      </c>
      <c r="CM2122" s="5" t="s">
        <v>240</v>
      </c>
      <c r="CN2122" s="5" t="s">
        <v>263</v>
      </c>
      <c r="CO2122" s="5" t="s">
        <v>240</v>
      </c>
      <c r="CP2122" s="5" t="s">
        <v>240</v>
      </c>
      <c r="CQ2122" s="5">
        <v>0</v>
      </c>
      <c r="CR2122" s="5" t="s">
        <v>306</v>
      </c>
      <c r="CS2122" s="5" t="s">
        <v>307</v>
      </c>
      <c r="CT2122" s="5" t="s">
        <v>307</v>
      </c>
      <c r="CU2122" s="5" t="s">
        <v>260</v>
      </c>
      <c r="CX2122" s="7">
        <f>1</f>
        <v>1</v>
      </c>
      <c r="CY2122" s="7">
        <f>0</f>
        <v>0</v>
      </c>
      <c r="DA2122" s="7">
        <f>0</f>
        <v>0</v>
      </c>
      <c r="DC2122" s="5" t="s">
        <v>812</v>
      </c>
      <c r="DD2122" s="5" t="s">
        <v>240</v>
      </c>
      <c r="DF2122" s="5" t="s">
        <v>812</v>
      </c>
      <c r="DG2122" s="7">
        <f>620</f>
        <v>620</v>
      </c>
      <c r="DI2122" s="5" t="s">
        <v>240</v>
      </c>
      <c r="DJ2122" s="5" t="s">
        <v>240</v>
      </c>
      <c r="DK2122" s="5" t="s">
        <v>240</v>
      </c>
      <c r="DL2122" s="5" t="s">
        <v>240</v>
      </c>
      <c r="DP2122" s="5" t="s">
        <v>240</v>
      </c>
      <c r="DQ2122" s="5" t="s">
        <v>240</v>
      </c>
      <c r="DR2122" s="5" t="s">
        <v>240</v>
      </c>
      <c r="DS2122" s="5" t="s">
        <v>240</v>
      </c>
      <c r="DV2122" s="5" t="s">
        <v>813</v>
      </c>
      <c r="DW2122" s="5" t="s">
        <v>506</v>
      </c>
      <c r="HO2122" s="5" t="s">
        <v>312</v>
      </c>
    </row>
    <row r="2123" spans="1:223" x14ac:dyDescent="0.4">
      <c r="A2123" s="5">
        <v>3827</v>
      </c>
      <c r="B2123" s="5">
        <v>1</v>
      </c>
      <c r="C2123" s="5">
        <v>1</v>
      </c>
      <c r="D2123" s="5" t="s">
        <v>810</v>
      </c>
      <c r="E2123" s="5" t="s">
        <v>245</v>
      </c>
      <c r="F2123" s="5" t="s">
        <v>254</v>
      </c>
      <c r="G2123" s="5" t="s">
        <v>240</v>
      </c>
      <c r="H2123" s="6" t="s">
        <v>4160</v>
      </c>
      <c r="I2123" s="5" t="s">
        <v>809</v>
      </c>
      <c r="J2123" s="8">
        <f>198</f>
        <v>198</v>
      </c>
      <c r="K2123" s="5" t="s">
        <v>308</v>
      </c>
      <c r="L2123" s="7">
        <f>1</f>
        <v>1</v>
      </c>
      <c r="M2123" s="7">
        <f>1</f>
        <v>1</v>
      </c>
      <c r="N2123" s="5" t="s">
        <v>242</v>
      </c>
      <c r="O2123" s="5">
        <v>1</v>
      </c>
      <c r="P2123" s="5" t="s">
        <v>294</v>
      </c>
      <c r="Q2123" s="5" t="s">
        <v>266</v>
      </c>
      <c r="R2123" s="5" t="s">
        <v>240</v>
      </c>
      <c r="S2123" s="5" t="s">
        <v>240</v>
      </c>
      <c r="T2123" s="5" t="s">
        <v>296</v>
      </c>
      <c r="U2123" s="5" t="s">
        <v>244</v>
      </c>
      <c r="V2123" s="5" t="s">
        <v>240</v>
      </c>
      <c r="Y2123" s="5" t="s">
        <v>240</v>
      </c>
      <c r="Z2123" s="6" t="s">
        <v>298</v>
      </c>
      <c r="AB2123" s="6" t="s">
        <v>240</v>
      </c>
      <c r="AE2123" s="6" t="s">
        <v>299</v>
      </c>
      <c r="AF2123" s="5" t="s">
        <v>248</v>
      </c>
      <c r="AG2123" s="5" t="s">
        <v>249</v>
      </c>
      <c r="AW2123" s="5" t="s">
        <v>251</v>
      </c>
      <c r="AX2123" s="5" t="s">
        <v>240</v>
      </c>
      <c r="AY2123" s="5" t="s">
        <v>253</v>
      </c>
      <c r="AZ2123" s="5" t="s">
        <v>240</v>
      </c>
      <c r="BA2123" s="5" t="s">
        <v>255</v>
      </c>
      <c r="BB2123" s="5" t="s">
        <v>240</v>
      </c>
      <c r="BD2123" s="5" t="s">
        <v>240</v>
      </c>
      <c r="BF2123" s="5" t="s">
        <v>301</v>
      </c>
      <c r="BG2123" s="6" t="s">
        <v>299</v>
      </c>
      <c r="BH2123" s="5" t="s">
        <v>302</v>
      </c>
      <c r="BI2123" s="5" t="s">
        <v>303</v>
      </c>
      <c r="BJ2123" s="5" t="s">
        <v>240</v>
      </c>
      <c r="BK2123" s="8">
        <f>0</f>
        <v>0</v>
      </c>
      <c r="BL2123" s="7">
        <f>0</f>
        <v>0</v>
      </c>
      <c r="BM2123" s="5" t="s">
        <v>258</v>
      </c>
      <c r="BN2123" s="5" t="s">
        <v>259</v>
      </c>
      <c r="CB2123" s="5" t="s">
        <v>240</v>
      </c>
      <c r="CC2123" s="5" t="s">
        <v>240</v>
      </c>
      <c r="CG2123" s="5" t="s">
        <v>304</v>
      </c>
      <c r="CH2123" s="5" t="s">
        <v>305</v>
      </c>
      <c r="CI2123" s="5" t="s">
        <v>240</v>
      </c>
      <c r="CL2123" s="6" t="s">
        <v>261</v>
      </c>
      <c r="CM2123" s="5" t="s">
        <v>240</v>
      </c>
      <c r="CN2123" s="5" t="s">
        <v>263</v>
      </c>
      <c r="CO2123" s="5" t="s">
        <v>240</v>
      </c>
      <c r="CP2123" s="5" t="s">
        <v>240</v>
      </c>
      <c r="CQ2123" s="5">
        <v>0</v>
      </c>
      <c r="CR2123" s="5" t="s">
        <v>306</v>
      </c>
      <c r="CS2123" s="5" t="s">
        <v>307</v>
      </c>
      <c r="CT2123" s="5" t="s">
        <v>307</v>
      </c>
      <c r="CU2123" s="5" t="s">
        <v>260</v>
      </c>
      <c r="CX2123" s="7">
        <f>1</f>
        <v>1</v>
      </c>
      <c r="CY2123" s="7">
        <f>0</f>
        <v>0</v>
      </c>
      <c r="DA2123" s="7">
        <f>0</f>
        <v>0</v>
      </c>
      <c r="DC2123" s="5" t="s">
        <v>812</v>
      </c>
      <c r="DD2123" s="5" t="s">
        <v>240</v>
      </c>
      <c r="DF2123" s="5" t="s">
        <v>812</v>
      </c>
      <c r="DG2123" s="7">
        <f>1663</f>
        <v>1663</v>
      </c>
      <c r="DI2123" s="5" t="s">
        <v>240</v>
      </c>
      <c r="DJ2123" s="5" t="s">
        <v>240</v>
      </c>
      <c r="DK2123" s="5" t="s">
        <v>240</v>
      </c>
      <c r="DL2123" s="5" t="s">
        <v>240</v>
      </c>
      <c r="DP2123" s="5" t="s">
        <v>240</v>
      </c>
      <c r="DQ2123" s="5" t="s">
        <v>240</v>
      </c>
      <c r="DR2123" s="5" t="s">
        <v>240</v>
      </c>
      <c r="DS2123" s="5" t="s">
        <v>240</v>
      </c>
      <c r="DV2123" s="5" t="s">
        <v>813</v>
      </c>
      <c r="DW2123" s="5" t="s">
        <v>508</v>
      </c>
      <c r="HO2123" s="5" t="s">
        <v>312</v>
      </c>
    </row>
    <row r="2124" spans="1:223" x14ac:dyDescent="0.4">
      <c r="A2124" s="5">
        <v>3828</v>
      </c>
      <c r="B2124" s="5">
        <v>1</v>
      </c>
      <c r="C2124" s="5">
        <v>1</v>
      </c>
      <c r="D2124" s="5" t="s">
        <v>810</v>
      </c>
      <c r="E2124" s="5" t="s">
        <v>245</v>
      </c>
      <c r="F2124" s="5" t="s">
        <v>254</v>
      </c>
      <c r="G2124" s="5" t="s">
        <v>240</v>
      </c>
      <c r="H2124" s="6" t="s">
        <v>4159</v>
      </c>
      <c r="I2124" s="5" t="s">
        <v>809</v>
      </c>
      <c r="J2124" s="8">
        <f>544</f>
        <v>544</v>
      </c>
      <c r="K2124" s="5" t="s">
        <v>308</v>
      </c>
      <c r="L2124" s="7">
        <f>1</f>
        <v>1</v>
      </c>
      <c r="M2124" s="7">
        <f>1</f>
        <v>1</v>
      </c>
      <c r="N2124" s="5" t="s">
        <v>242</v>
      </c>
      <c r="O2124" s="5">
        <v>1</v>
      </c>
      <c r="P2124" s="5" t="s">
        <v>294</v>
      </c>
      <c r="Q2124" s="5" t="s">
        <v>266</v>
      </c>
      <c r="R2124" s="5" t="s">
        <v>240</v>
      </c>
      <c r="S2124" s="5" t="s">
        <v>240</v>
      </c>
      <c r="T2124" s="5" t="s">
        <v>296</v>
      </c>
      <c r="U2124" s="5" t="s">
        <v>244</v>
      </c>
      <c r="V2124" s="5" t="s">
        <v>240</v>
      </c>
      <c r="Y2124" s="5" t="s">
        <v>240</v>
      </c>
      <c r="Z2124" s="6" t="s">
        <v>298</v>
      </c>
      <c r="AB2124" s="6" t="s">
        <v>240</v>
      </c>
      <c r="AE2124" s="6" t="s">
        <v>299</v>
      </c>
      <c r="AF2124" s="5" t="s">
        <v>248</v>
      </c>
      <c r="AG2124" s="5" t="s">
        <v>249</v>
      </c>
      <c r="AW2124" s="5" t="s">
        <v>251</v>
      </c>
      <c r="AX2124" s="5" t="s">
        <v>240</v>
      </c>
      <c r="AY2124" s="5" t="s">
        <v>253</v>
      </c>
      <c r="AZ2124" s="5" t="s">
        <v>240</v>
      </c>
      <c r="BA2124" s="5" t="s">
        <v>255</v>
      </c>
      <c r="BB2124" s="5" t="s">
        <v>240</v>
      </c>
      <c r="BD2124" s="5" t="s">
        <v>240</v>
      </c>
      <c r="BF2124" s="5" t="s">
        <v>301</v>
      </c>
      <c r="BG2124" s="6" t="s">
        <v>299</v>
      </c>
      <c r="BH2124" s="5" t="s">
        <v>302</v>
      </c>
      <c r="BI2124" s="5" t="s">
        <v>303</v>
      </c>
      <c r="BJ2124" s="5" t="s">
        <v>240</v>
      </c>
      <c r="BK2124" s="8">
        <f>0</f>
        <v>0</v>
      </c>
      <c r="BL2124" s="7">
        <f>0</f>
        <v>0</v>
      </c>
      <c r="BM2124" s="5" t="s">
        <v>258</v>
      </c>
      <c r="BN2124" s="5" t="s">
        <v>259</v>
      </c>
      <c r="CB2124" s="5" t="s">
        <v>240</v>
      </c>
      <c r="CC2124" s="5" t="s">
        <v>240</v>
      </c>
      <c r="CG2124" s="5" t="s">
        <v>304</v>
      </c>
      <c r="CH2124" s="5" t="s">
        <v>305</v>
      </c>
      <c r="CI2124" s="5" t="s">
        <v>240</v>
      </c>
      <c r="CL2124" s="6" t="s">
        <v>261</v>
      </c>
      <c r="CM2124" s="5" t="s">
        <v>240</v>
      </c>
      <c r="CN2124" s="5" t="s">
        <v>263</v>
      </c>
      <c r="CO2124" s="5" t="s">
        <v>240</v>
      </c>
      <c r="CP2124" s="5" t="s">
        <v>240</v>
      </c>
      <c r="CQ2124" s="5">
        <v>0</v>
      </c>
      <c r="CR2124" s="5" t="s">
        <v>306</v>
      </c>
      <c r="CS2124" s="5" t="s">
        <v>307</v>
      </c>
      <c r="CT2124" s="5" t="s">
        <v>307</v>
      </c>
      <c r="CU2124" s="5" t="s">
        <v>260</v>
      </c>
      <c r="CX2124" s="7">
        <f>1</f>
        <v>1</v>
      </c>
      <c r="CY2124" s="7">
        <f>0</f>
        <v>0</v>
      </c>
      <c r="DA2124" s="7">
        <f>0</f>
        <v>0</v>
      </c>
      <c r="DC2124" s="5" t="s">
        <v>812</v>
      </c>
      <c r="DD2124" s="5" t="s">
        <v>240</v>
      </c>
      <c r="DF2124" s="5" t="s">
        <v>812</v>
      </c>
      <c r="DG2124" s="7">
        <f>593</f>
        <v>593</v>
      </c>
      <c r="DI2124" s="5" t="s">
        <v>240</v>
      </c>
      <c r="DJ2124" s="5" t="s">
        <v>240</v>
      </c>
      <c r="DK2124" s="5" t="s">
        <v>240</v>
      </c>
      <c r="DL2124" s="5" t="s">
        <v>240</v>
      </c>
      <c r="DP2124" s="5" t="s">
        <v>240</v>
      </c>
      <c r="DQ2124" s="5" t="s">
        <v>240</v>
      </c>
      <c r="DR2124" s="5" t="s">
        <v>240</v>
      </c>
      <c r="DS2124" s="5" t="s">
        <v>240</v>
      </c>
      <c r="DV2124" s="5" t="s">
        <v>813</v>
      </c>
      <c r="DW2124" s="5" t="s">
        <v>510</v>
      </c>
      <c r="HO2124" s="5" t="s">
        <v>312</v>
      </c>
    </row>
    <row r="2125" spans="1:223" x14ac:dyDescent="0.4">
      <c r="A2125" s="5">
        <v>3829</v>
      </c>
      <c r="B2125" s="5">
        <v>1</v>
      </c>
      <c r="C2125" s="5">
        <v>1</v>
      </c>
      <c r="D2125" s="5" t="s">
        <v>810</v>
      </c>
      <c r="E2125" s="5" t="s">
        <v>245</v>
      </c>
      <c r="F2125" s="5" t="s">
        <v>254</v>
      </c>
      <c r="G2125" s="5" t="s">
        <v>240</v>
      </c>
      <c r="H2125" s="6" t="s">
        <v>4158</v>
      </c>
      <c r="I2125" s="5" t="s">
        <v>809</v>
      </c>
      <c r="J2125" s="8">
        <f>4.16</f>
        <v>4.16</v>
      </c>
      <c r="K2125" s="5" t="s">
        <v>308</v>
      </c>
      <c r="L2125" s="7">
        <f>1</f>
        <v>1</v>
      </c>
      <c r="M2125" s="7">
        <f>1</f>
        <v>1</v>
      </c>
      <c r="N2125" s="5" t="s">
        <v>242</v>
      </c>
      <c r="O2125" s="5">
        <v>1</v>
      </c>
      <c r="P2125" s="5" t="s">
        <v>294</v>
      </c>
      <c r="Q2125" s="5" t="s">
        <v>266</v>
      </c>
      <c r="R2125" s="5" t="s">
        <v>240</v>
      </c>
      <c r="S2125" s="5" t="s">
        <v>240</v>
      </c>
      <c r="T2125" s="5" t="s">
        <v>296</v>
      </c>
      <c r="U2125" s="5" t="s">
        <v>244</v>
      </c>
      <c r="V2125" s="5" t="s">
        <v>240</v>
      </c>
      <c r="Y2125" s="5" t="s">
        <v>240</v>
      </c>
      <c r="Z2125" s="6" t="s">
        <v>298</v>
      </c>
      <c r="AB2125" s="6" t="s">
        <v>240</v>
      </c>
      <c r="AE2125" s="6" t="s">
        <v>299</v>
      </c>
      <c r="AF2125" s="5" t="s">
        <v>248</v>
      </c>
      <c r="AG2125" s="5" t="s">
        <v>249</v>
      </c>
      <c r="AW2125" s="5" t="s">
        <v>251</v>
      </c>
      <c r="AX2125" s="5" t="s">
        <v>240</v>
      </c>
      <c r="AY2125" s="5" t="s">
        <v>253</v>
      </c>
      <c r="AZ2125" s="5" t="s">
        <v>240</v>
      </c>
      <c r="BA2125" s="5" t="s">
        <v>255</v>
      </c>
      <c r="BB2125" s="5" t="s">
        <v>240</v>
      </c>
      <c r="BD2125" s="5" t="s">
        <v>240</v>
      </c>
      <c r="BF2125" s="5" t="s">
        <v>301</v>
      </c>
      <c r="BG2125" s="6" t="s">
        <v>299</v>
      </c>
      <c r="BH2125" s="5" t="s">
        <v>302</v>
      </c>
      <c r="BI2125" s="5" t="s">
        <v>303</v>
      </c>
      <c r="BJ2125" s="5" t="s">
        <v>240</v>
      </c>
      <c r="BK2125" s="8">
        <f>0</f>
        <v>0</v>
      </c>
      <c r="BL2125" s="7">
        <f>0</f>
        <v>0</v>
      </c>
      <c r="BM2125" s="5" t="s">
        <v>258</v>
      </c>
      <c r="BN2125" s="5" t="s">
        <v>259</v>
      </c>
      <c r="CB2125" s="5" t="s">
        <v>240</v>
      </c>
      <c r="CC2125" s="5" t="s">
        <v>240</v>
      </c>
      <c r="CG2125" s="5" t="s">
        <v>304</v>
      </c>
      <c r="CH2125" s="5" t="s">
        <v>305</v>
      </c>
      <c r="CI2125" s="5" t="s">
        <v>240</v>
      </c>
      <c r="CL2125" s="6" t="s">
        <v>261</v>
      </c>
      <c r="CM2125" s="5" t="s">
        <v>240</v>
      </c>
      <c r="CN2125" s="5" t="s">
        <v>263</v>
      </c>
      <c r="CO2125" s="5" t="s">
        <v>240</v>
      </c>
      <c r="CP2125" s="5" t="s">
        <v>240</v>
      </c>
      <c r="CQ2125" s="5">
        <v>0</v>
      </c>
      <c r="CR2125" s="5" t="s">
        <v>306</v>
      </c>
      <c r="CS2125" s="5" t="s">
        <v>307</v>
      </c>
      <c r="CT2125" s="5" t="s">
        <v>307</v>
      </c>
      <c r="CU2125" s="5" t="s">
        <v>260</v>
      </c>
      <c r="CX2125" s="7">
        <f>1</f>
        <v>1</v>
      </c>
      <c r="CY2125" s="7">
        <f>0</f>
        <v>0</v>
      </c>
      <c r="DA2125" s="7">
        <f>0</f>
        <v>0</v>
      </c>
      <c r="DC2125" s="5" t="s">
        <v>812</v>
      </c>
      <c r="DD2125" s="5" t="s">
        <v>240</v>
      </c>
      <c r="DF2125" s="5" t="s">
        <v>812</v>
      </c>
      <c r="DG2125" s="7">
        <f>424</f>
        <v>424</v>
      </c>
      <c r="DI2125" s="5" t="s">
        <v>240</v>
      </c>
      <c r="DJ2125" s="5" t="s">
        <v>240</v>
      </c>
      <c r="DK2125" s="5" t="s">
        <v>240</v>
      </c>
      <c r="DL2125" s="5" t="s">
        <v>240</v>
      </c>
      <c r="DP2125" s="5" t="s">
        <v>240</v>
      </c>
      <c r="DQ2125" s="5" t="s">
        <v>240</v>
      </c>
      <c r="DR2125" s="5" t="s">
        <v>240</v>
      </c>
      <c r="DS2125" s="5" t="s">
        <v>240</v>
      </c>
      <c r="DV2125" s="5" t="s">
        <v>813</v>
      </c>
      <c r="DW2125" s="5" t="s">
        <v>512</v>
      </c>
      <c r="HO2125" s="5" t="s">
        <v>312</v>
      </c>
    </row>
    <row r="2126" spans="1:223" x14ac:dyDescent="0.4">
      <c r="A2126" s="5">
        <v>3830</v>
      </c>
      <c r="B2126" s="5">
        <v>1</v>
      </c>
      <c r="C2126" s="5">
        <v>1</v>
      </c>
      <c r="D2126" s="5" t="s">
        <v>810</v>
      </c>
      <c r="E2126" s="5" t="s">
        <v>245</v>
      </c>
      <c r="F2126" s="5" t="s">
        <v>254</v>
      </c>
      <c r="G2126" s="5" t="s">
        <v>240</v>
      </c>
      <c r="H2126" s="6" t="s">
        <v>4157</v>
      </c>
      <c r="I2126" s="5" t="s">
        <v>809</v>
      </c>
      <c r="J2126" s="8">
        <f>46</f>
        <v>46</v>
      </c>
      <c r="K2126" s="5" t="s">
        <v>308</v>
      </c>
      <c r="L2126" s="7">
        <f>1</f>
        <v>1</v>
      </c>
      <c r="M2126" s="7">
        <f>1</f>
        <v>1</v>
      </c>
      <c r="N2126" s="5" t="s">
        <v>242</v>
      </c>
      <c r="O2126" s="5">
        <v>1</v>
      </c>
      <c r="P2126" s="5" t="s">
        <v>294</v>
      </c>
      <c r="Q2126" s="5" t="s">
        <v>266</v>
      </c>
      <c r="R2126" s="5" t="s">
        <v>240</v>
      </c>
      <c r="S2126" s="5" t="s">
        <v>240</v>
      </c>
      <c r="T2126" s="5" t="s">
        <v>296</v>
      </c>
      <c r="U2126" s="5" t="s">
        <v>244</v>
      </c>
      <c r="V2126" s="5" t="s">
        <v>240</v>
      </c>
      <c r="Y2126" s="5" t="s">
        <v>240</v>
      </c>
      <c r="Z2126" s="6" t="s">
        <v>298</v>
      </c>
      <c r="AB2126" s="6" t="s">
        <v>240</v>
      </c>
      <c r="AE2126" s="6" t="s">
        <v>299</v>
      </c>
      <c r="AF2126" s="5" t="s">
        <v>248</v>
      </c>
      <c r="AG2126" s="5" t="s">
        <v>249</v>
      </c>
      <c r="AW2126" s="5" t="s">
        <v>251</v>
      </c>
      <c r="AX2126" s="5" t="s">
        <v>240</v>
      </c>
      <c r="AY2126" s="5" t="s">
        <v>253</v>
      </c>
      <c r="AZ2126" s="5" t="s">
        <v>240</v>
      </c>
      <c r="BA2126" s="5" t="s">
        <v>255</v>
      </c>
      <c r="BB2126" s="5" t="s">
        <v>240</v>
      </c>
      <c r="BD2126" s="5" t="s">
        <v>240</v>
      </c>
      <c r="BF2126" s="5" t="s">
        <v>301</v>
      </c>
      <c r="BG2126" s="6" t="s">
        <v>299</v>
      </c>
      <c r="BH2126" s="5" t="s">
        <v>302</v>
      </c>
      <c r="BI2126" s="5" t="s">
        <v>303</v>
      </c>
      <c r="BJ2126" s="5" t="s">
        <v>240</v>
      </c>
      <c r="BK2126" s="8">
        <f>0</f>
        <v>0</v>
      </c>
      <c r="BL2126" s="7">
        <f>0</f>
        <v>0</v>
      </c>
      <c r="BM2126" s="5" t="s">
        <v>258</v>
      </c>
      <c r="BN2126" s="5" t="s">
        <v>259</v>
      </c>
      <c r="CB2126" s="5" t="s">
        <v>240</v>
      </c>
      <c r="CC2126" s="5" t="s">
        <v>240</v>
      </c>
      <c r="CG2126" s="5" t="s">
        <v>304</v>
      </c>
      <c r="CH2126" s="5" t="s">
        <v>305</v>
      </c>
      <c r="CI2126" s="5" t="s">
        <v>240</v>
      </c>
      <c r="CL2126" s="6" t="s">
        <v>261</v>
      </c>
      <c r="CM2126" s="5" t="s">
        <v>240</v>
      </c>
      <c r="CN2126" s="5" t="s">
        <v>263</v>
      </c>
      <c r="CO2126" s="5" t="s">
        <v>240</v>
      </c>
      <c r="CP2126" s="5" t="s">
        <v>240</v>
      </c>
      <c r="CQ2126" s="5">
        <v>0</v>
      </c>
      <c r="CR2126" s="5" t="s">
        <v>306</v>
      </c>
      <c r="CS2126" s="5" t="s">
        <v>307</v>
      </c>
      <c r="CT2126" s="5" t="s">
        <v>307</v>
      </c>
      <c r="CU2126" s="5" t="s">
        <v>260</v>
      </c>
      <c r="CX2126" s="7">
        <f>1</f>
        <v>1</v>
      </c>
      <c r="CY2126" s="7">
        <f>0</f>
        <v>0</v>
      </c>
      <c r="DA2126" s="7">
        <f>0</f>
        <v>0</v>
      </c>
      <c r="DC2126" s="5" t="s">
        <v>309</v>
      </c>
      <c r="DD2126" s="5" t="s">
        <v>240</v>
      </c>
      <c r="DF2126" s="5" t="s">
        <v>309</v>
      </c>
      <c r="DG2126" s="7">
        <f>1844</f>
        <v>1844</v>
      </c>
      <c r="DI2126" s="5" t="s">
        <v>240</v>
      </c>
      <c r="DJ2126" s="5" t="s">
        <v>240</v>
      </c>
      <c r="DK2126" s="5" t="s">
        <v>240</v>
      </c>
      <c r="DL2126" s="5" t="s">
        <v>240</v>
      </c>
      <c r="DP2126" s="5" t="s">
        <v>240</v>
      </c>
      <c r="DQ2126" s="5" t="s">
        <v>240</v>
      </c>
      <c r="DR2126" s="5" t="s">
        <v>240</v>
      </c>
      <c r="DS2126" s="5" t="s">
        <v>240</v>
      </c>
      <c r="DV2126" s="5" t="s">
        <v>310</v>
      </c>
      <c r="DW2126" s="5" t="s">
        <v>1364</v>
      </c>
      <c r="HO2126" s="5" t="s">
        <v>312</v>
      </c>
    </row>
    <row r="2127" spans="1:223" x14ac:dyDescent="0.4">
      <c r="A2127" s="5">
        <v>3831</v>
      </c>
      <c r="B2127" s="5">
        <v>1</v>
      </c>
      <c r="C2127" s="5">
        <v>1</v>
      </c>
      <c r="D2127" s="5" t="s">
        <v>810</v>
      </c>
      <c r="E2127" s="5" t="s">
        <v>245</v>
      </c>
      <c r="F2127" s="5" t="s">
        <v>254</v>
      </c>
      <c r="G2127" s="5" t="s">
        <v>240</v>
      </c>
      <c r="H2127" s="6" t="s">
        <v>4156</v>
      </c>
      <c r="I2127" s="5" t="s">
        <v>809</v>
      </c>
      <c r="J2127" s="8">
        <f>1409</f>
        <v>1409</v>
      </c>
      <c r="K2127" s="5" t="s">
        <v>308</v>
      </c>
      <c r="L2127" s="7">
        <f>1</f>
        <v>1</v>
      </c>
      <c r="M2127" s="7">
        <f>1</f>
        <v>1</v>
      </c>
      <c r="N2127" s="5" t="s">
        <v>242</v>
      </c>
      <c r="O2127" s="5">
        <v>1</v>
      </c>
      <c r="P2127" s="5" t="s">
        <v>294</v>
      </c>
      <c r="Q2127" s="5" t="s">
        <v>266</v>
      </c>
      <c r="R2127" s="5" t="s">
        <v>240</v>
      </c>
      <c r="S2127" s="5" t="s">
        <v>240</v>
      </c>
      <c r="T2127" s="5" t="s">
        <v>296</v>
      </c>
      <c r="U2127" s="5" t="s">
        <v>244</v>
      </c>
      <c r="V2127" s="5" t="s">
        <v>240</v>
      </c>
      <c r="Y2127" s="5" t="s">
        <v>240</v>
      </c>
      <c r="Z2127" s="6" t="s">
        <v>298</v>
      </c>
      <c r="AB2127" s="6" t="s">
        <v>240</v>
      </c>
      <c r="AE2127" s="6" t="s">
        <v>299</v>
      </c>
      <c r="AF2127" s="5" t="s">
        <v>248</v>
      </c>
      <c r="AG2127" s="5" t="s">
        <v>249</v>
      </c>
      <c r="AW2127" s="5" t="s">
        <v>251</v>
      </c>
      <c r="AX2127" s="5" t="s">
        <v>240</v>
      </c>
      <c r="AY2127" s="5" t="s">
        <v>253</v>
      </c>
      <c r="AZ2127" s="5" t="s">
        <v>240</v>
      </c>
      <c r="BA2127" s="5" t="s">
        <v>255</v>
      </c>
      <c r="BB2127" s="5" t="s">
        <v>240</v>
      </c>
      <c r="BD2127" s="5" t="s">
        <v>240</v>
      </c>
      <c r="BF2127" s="5" t="s">
        <v>301</v>
      </c>
      <c r="BG2127" s="6" t="s">
        <v>299</v>
      </c>
      <c r="BH2127" s="5" t="s">
        <v>302</v>
      </c>
      <c r="BI2127" s="5" t="s">
        <v>303</v>
      </c>
      <c r="BJ2127" s="5" t="s">
        <v>240</v>
      </c>
      <c r="BK2127" s="8">
        <f>0</f>
        <v>0</v>
      </c>
      <c r="BL2127" s="7">
        <f>0</f>
        <v>0</v>
      </c>
      <c r="BM2127" s="5" t="s">
        <v>258</v>
      </c>
      <c r="BN2127" s="5" t="s">
        <v>259</v>
      </c>
      <c r="CB2127" s="5" t="s">
        <v>240</v>
      </c>
      <c r="CC2127" s="5" t="s">
        <v>240</v>
      </c>
      <c r="CG2127" s="5" t="s">
        <v>304</v>
      </c>
      <c r="CH2127" s="5" t="s">
        <v>305</v>
      </c>
      <c r="CI2127" s="5" t="s">
        <v>240</v>
      </c>
      <c r="CL2127" s="6" t="s">
        <v>261</v>
      </c>
      <c r="CM2127" s="5" t="s">
        <v>240</v>
      </c>
      <c r="CN2127" s="5" t="s">
        <v>263</v>
      </c>
      <c r="CO2127" s="5" t="s">
        <v>240</v>
      </c>
      <c r="CP2127" s="5" t="s">
        <v>240</v>
      </c>
      <c r="CQ2127" s="5">
        <v>0</v>
      </c>
      <c r="CR2127" s="5" t="s">
        <v>306</v>
      </c>
      <c r="CS2127" s="5" t="s">
        <v>307</v>
      </c>
      <c r="CT2127" s="5" t="s">
        <v>307</v>
      </c>
      <c r="CU2127" s="5" t="s">
        <v>260</v>
      </c>
      <c r="CX2127" s="7">
        <f>1</f>
        <v>1</v>
      </c>
      <c r="CY2127" s="7">
        <f>0</f>
        <v>0</v>
      </c>
      <c r="DA2127" s="7">
        <f>0</f>
        <v>0</v>
      </c>
      <c r="DC2127" s="5" t="s">
        <v>812</v>
      </c>
      <c r="DD2127" s="5" t="s">
        <v>240</v>
      </c>
      <c r="DF2127" s="5" t="s">
        <v>812</v>
      </c>
      <c r="DG2127" s="7">
        <f>302</f>
        <v>302</v>
      </c>
      <c r="DI2127" s="5" t="s">
        <v>240</v>
      </c>
      <c r="DJ2127" s="5" t="s">
        <v>240</v>
      </c>
      <c r="DK2127" s="5" t="s">
        <v>240</v>
      </c>
      <c r="DL2127" s="5" t="s">
        <v>240</v>
      </c>
      <c r="DP2127" s="5" t="s">
        <v>240</v>
      </c>
      <c r="DQ2127" s="5" t="s">
        <v>240</v>
      </c>
      <c r="DR2127" s="5" t="s">
        <v>240</v>
      </c>
      <c r="DS2127" s="5" t="s">
        <v>240</v>
      </c>
      <c r="DV2127" s="5" t="s">
        <v>813</v>
      </c>
      <c r="DW2127" s="5" t="s">
        <v>516</v>
      </c>
      <c r="HO2127" s="5" t="s">
        <v>312</v>
      </c>
    </row>
    <row r="2128" spans="1:223" x14ac:dyDescent="0.4">
      <c r="A2128" s="5">
        <v>3832</v>
      </c>
      <c r="B2128" s="5">
        <v>1</v>
      </c>
      <c r="C2128" s="5">
        <v>1</v>
      </c>
      <c r="D2128" s="5" t="s">
        <v>810</v>
      </c>
      <c r="E2128" s="5" t="s">
        <v>245</v>
      </c>
      <c r="F2128" s="5" t="s">
        <v>254</v>
      </c>
      <c r="G2128" s="5" t="s">
        <v>240</v>
      </c>
      <c r="H2128" s="6" t="s">
        <v>4155</v>
      </c>
      <c r="I2128" s="5" t="s">
        <v>809</v>
      </c>
      <c r="J2128" s="8">
        <f>996</f>
        <v>996</v>
      </c>
      <c r="K2128" s="5" t="s">
        <v>308</v>
      </c>
      <c r="L2128" s="7">
        <f>1</f>
        <v>1</v>
      </c>
      <c r="M2128" s="7">
        <f>1</f>
        <v>1</v>
      </c>
      <c r="N2128" s="5" t="s">
        <v>242</v>
      </c>
      <c r="O2128" s="5">
        <v>1</v>
      </c>
      <c r="P2128" s="5" t="s">
        <v>294</v>
      </c>
      <c r="Q2128" s="5" t="s">
        <v>266</v>
      </c>
      <c r="R2128" s="5" t="s">
        <v>240</v>
      </c>
      <c r="S2128" s="5" t="s">
        <v>240</v>
      </c>
      <c r="T2128" s="5" t="s">
        <v>296</v>
      </c>
      <c r="U2128" s="5" t="s">
        <v>244</v>
      </c>
      <c r="V2128" s="5" t="s">
        <v>240</v>
      </c>
      <c r="Y2128" s="5" t="s">
        <v>240</v>
      </c>
      <c r="Z2128" s="6" t="s">
        <v>298</v>
      </c>
      <c r="AB2128" s="6" t="s">
        <v>240</v>
      </c>
      <c r="AE2128" s="6" t="s">
        <v>299</v>
      </c>
      <c r="AF2128" s="5" t="s">
        <v>248</v>
      </c>
      <c r="AG2128" s="5" t="s">
        <v>249</v>
      </c>
      <c r="AW2128" s="5" t="s">
        <v>251</v>
      </c>
      <c r="AX2128" s="5" t="s">
        <v>240</v>
      </c>
      <c r="AY2128" s="5" t="s">
        <v>253</v>
      </c>
      <c r="AZ2128" s="5" t="s">
        <v>240</v>
      </c>
      <c r="BA2128" s="5" t="s">
        <v>255</v>
      </c>
      <c r="BB2128" s="5" t="s">
        <v>240</v>
      </c>
      <c r="BD2128" s="5" t="s">
        <v>240</v>
      </c>
      <c r="BF2128" s="5" t="s">
        <v>301</v>
      </c>
      <c r="BG2128" s="6" t="s">
        <v>299</v>
      </c>
      <c r="BH2128" s="5" t="s">
        <v>302</v>
      </c>
      <c r="BI2128" s="5" t="s">
        <v>303</v>
      </c>
      <c r="BJ2128" s="5" t="s">
        <v>240</v>
      </c>
      <c r="BK2128" s="8">
        <f>0</f>
        <v>0</v>
      </c>
      <c r="BL2128" s="7">
        <f>0</f>
        <v>0</v>
      </c>
      <c r="BM2128" s="5" t="s">
        <v>258</v>
      </c>
      <c r="BN2128" s="5" t="s">
        <v>259</v>
      </c>
      <c r="CB2128" s="5" t="s">
        <v>240</v>
      </c>
      <c r="CC2128" s="5" t="s">
        <v>240</v>
      </c>
      <c r="CG2128" s="5" t="s">
        <v>304</v>
      </c>
      <c r="CH2128" s="5" t="s">
        <v>305</v>
      </c>
      <c r="CI2128" s="5" t="s">
        <v>240</v>
      </c>
      <c r="CL2128" s="6" t="s">
        <v>261</v>
      </c>
      <c r="CM2128" s="5" t="s">
        <v>240</v>
      </c>
      <c r="CN2128" s="5" t="s">
        <v>263</v>
      </c>
      <c r="CO2128" s="5" t="s">
        <v>240</v>
      </c>
      <c r="CP2128" s="5" t="s">
        <v>240</v>
      </c>
      <c r="CQ2128" s="5">
        <v>0</v>
      </c>
      <c r="CR2128" s="5" t="s">
        <v>306</v>
      </c>
      <c r="CS2128" s="5" t="s">
        <v>307</v>
      </c>
      <c r="CT2128" s="5" t="s">
        <v>307</v>
      </c>
      <c r="CU2128" s="5" t="s">
        <v>260</v>
      </c>
      <c r="CX2128" s="7">
        <f>1</f>
        <v>1</v>
      </c>
      <c r="CY2128" s="7">
        <f>0</f>
        <v>0</v>
      </c>
      <c r="DA2128" s="7">
        <f>0</f>
        <v>0</v>
      </c>
      <c r="DC2128" s="5" t="s">
        <v>812</v>
      </c>
      <c r="DD2128" s="5" t="s">
        <v>240</v>
      </c>
      <c r="DF2128" s="5" t="s">
        <v>812</v>
      </c>
      <c r="DG2128" s="7">
        <f>44</f>
        <v>44</v>
      </c>
      <c r="DI2128" s="5" t="s">
        <v>240</v>
      </c>
      <c r="DJ2128" s="5" t="s">
        <v>240</v>
      </c>
      <c r="DK2128" s="5" t="s">
        <v>240</v>
      </c>
      <c r="DL2128" s="5" t="s">
        <v>240</v>
      </c>
      <c r="DP2128" s="5" t="s">
        <v>240</v>
      </c>
      <c r="DQ2128" s="5" t="s">
        <v>240</v>
      </c>
      <c r="DR2128" s="5" t="s">
        <v>240</v>
      </c>
      <c r="DS2128" s="5" t="s">
        <v>240</v>
      </c>
      <c r="DV2128" s="5" t="s">
        <v>813</v>
      </c>
      <c r="DW2128" s="5" t="s">
        <v>518</v>
      </c>
      <c r="HO2128" s="5" t="s">
        <v>312</v>
      </c>
    </row>
    <row r="2129" spans="1:223" x14ac:dyDescent="0.4">
      <c r="A2129" s="5">
        <v>3833</v>
      </c>
      <c r="B2129" s="5">
        <v>1</v>
      </c>
      <c r="C2129" s="5">
        <v>1</v>
      </c>
      <c r="D2129" s="5" t="s">
        <v>810</v>
      </c>
      <c r="E2129" s="5" t="s">
        <v>245</v>
      </c>
      <c r="F2129" s="5" t="s">
        <v>254</v>
      </c>
      <c r="G2129" s="5" t="s">
        <v>240</v>
      </c>
      <c r="H2129" s="6" t="s">
        <v>4154</v>
      </c>
      <c r="I2129" s="5" t="s">
        <v>809</v>
      </c>
      <c r="J2129" s="8">
        <f>93</f>
        <v>93</v>
      </c>
      <c r="K2129" s="5" t="s">
        <v>308</v>
      </c>
      <c r="L2129" s="7">
        <f>1</f>
        <v>1</v>
      </c>
      <c r="M2129" s="7">
        <f>1</f>
        <v>1</v>
      </c>
      <c r="N2129" s="5" t="s">
        <v>242</v>
      </c>
      <c r="O2129" s="5">
        <v>1</v>
      </c>
      <c r="P2129" s="5" t="s">
        <v>294</v>
      </c>
      <c r="Q2129" s="5" t="s">
        <v>266</v>
      </c>
      <c r="R2129" s="5" t="s">
        <v>240</v>
      </c>
      <c r="S2129" s="5" t="s">
        <v>240</v>
      </c>
      <c r="T2129" s="5" t="s">
        <v>296</v>
      </c>
      <c r="U2129" s="5" t="s">
        <v>244</v>
      </c>
      <c r="V2129" s="5" t="s">
        <v>240</v>
      </c>
      <c r="Y2129" s="5" t="s">
        <v>240</v>
      </c>
      <c r="Z2129" s="6" t="s">
        <v>298</v>
      </c>
      <c r="AB2129" s="6" t="s">
        <v>240</v>
      </c>
      <c r="AE2129" s="6" t="s">
        <v>299</v>
      </c>
      <c r="AF2129" s="5" t="s">
        <v>248</v>
      </c>
      <c r="AG2129" s="5" t="s">
        <v>249</v>
      </c>
      <c r="AW2129" s="5" t="s">
        <v>251</v>
      </c>
      <c r="AX2129" s="5" t="s">
        <v>240</v>
      </c>
      <c r="AY2129" s="5" t="s">
        <v>253</v>
      </c>
      <c r="AZ2129" s="5" t="s">
        <v>240</v>
      </c>
      <c r="BA2129" s="5" t="s">
        <v>255</v>
      </c>
      <c r="BB2129" s="5" t="s">
        <v>240</v>
      </c>
      <c r="BD2129" s="5" t="s">
        <v>240</v>
      </c>
      <c r="BF2129" s="5" t="s">
        <v>301</v>
      </c>
      <c r="BG2129" s="6" t="s">
        <v>299</v>
      </c>
      <c r="BH2129" s="5" t="s">
        <v>302</v>
      </c>
      <c r="BI2129" s="5" t="s">
        <v>303</v>
      </c>
      <c r="BJ2129" s="5" t="s">
        <v>240</v>
      </c>
      <c r="BK2129" s="8">
        <f>0</f>
        <v>0</v>
      </c>
      <c r="BL2129" s="7">
        <f>0</f>
        <v>0</v>
      </c>
      <c r="BM2129" s="5" t="s">
        <v>258</v>
      </c>
      <c r="BN2129" s="5" t="s">
        <v>259</v>
      </c>
      <c r="CB2129" s="5" t="s">
        <v>240</v>
      </c>
      <c r="CC2129" s="5" t="s">
        <v>240</v>
      </c>
      <c r="CG2129" s="5" t="s">
        <v>304</v>
      </c>
      <c r="CH2129" s="5" t="s">
        <v>305</v>
      </c>
      <c r="CI2129" s="5" t="s">
        <v>240</v>
      </c>
      <c r="CL2129" s="6" t="s">
        <v>261</v>
      </c>
      <c r="CM2129" s="5" t="s">
        <v>240</v>
      </c>
      <c r="CN2129" s="5" t="s">
        <v>263</v>
      </c>
      <c r="CO2129" s="5" t="s">
        <v>240</v>
      </c>
      <c r="CP2129" s="5" t="s">
        <v>240</v>
      </c>
      <c r="CQ2129" s="5">
        <v>0</v>
      </c>
      <c r="CR2129" s="5" t="s">
        <v>306</v>
      </c>
      <c r="CS2129" s="5" t="s">
        <v>307</v>
      </c>
      <c r="CT2129" s="5" t="s">
        <v>307</v>
      </c>
      <c r="CU2129" s="5" t="s">
        <v>260</v>
      </c>
      <c r="CX2129" s="7">
        <f>1</f>
        <v>1</v>
      </c>
      <c r="CY2129" s="7">
        <f>0</f>
        <v>0</v>
      </c>
      <c r="DA2129" s="7">
        <f>0</f>
        <v>0</v>
      </c>
      <c r="DC2129" s="5" t="s">
        <v>812</v>
      </c>
      <c r="DD2129" s="5" t="s">
        <v>240</v>
      </c>
      <c r="DF2129" s="5" t="s">
        <v>812</v>
      </c>
      <c r="DG2129" s="7">
        <f>698</f>
        <v>698</v>
      </c>
      <c r="DI2129" s="5" t="s">
        <v>240</v>
      </c>
      <c r="DJ2129" s="5" t="s">
        <v>240</v>
      </c>
      <c r="DK2129" s="5" t="s">
        <v>240</v>
      </c>
      <c r="DL2129" s="5" t="s">
        <v>240</v>
      </c>
      <c r="DP2129" s="5" t="s">
        <v>240</v>
      </c>
      <c r="DQ2129" s="5" t="s">
        <v>240</v>
      </c>
      <c r="DR2129" s="5" t="s">
        <v>240</v>
      </c>
      <c r="DS2129" s="5" t="s">
        <v>240</v>
      </c>
      <c r="DV2129" s="5" t="s">
        <v>813</v>
      </c>
      <c r="DW2129" s="5" t="s">
        <v>520</v>
      </c>
      <c r="HO2129" s="5" t="s">
        <v>312</v>
      </c>
    </row>
    <row r="2130" spans="1:223" x14ac:dyDescent="0.4">
      <c r="A2130" s="5">
        <v>3834</v>
      </c>
      <c r="B2130" s="5">
        <v>1</v>
      </c>
      <c r="C2130" s="5">
        <v>1</v>
      </c>
      <c r="D2130" s="5" t="s">
        <v>810</v>
      </c>
      <c r="E2130" s="5" t="s">
        <v>245</v>
      </c>
      <c r="F2130" s="5" t="s">
        <v>254</v>
      </c>
      <c r="G2130" s="5" t="s">
        <v>240</v>
      </c>
      <c r="H2130" s="6" t="s">
        <v>4153</v>
      </c>
      <c r="I2130" s="5" t="s">
        <v>809</v>
      </c>
      <c r="J2130" s="8">
        <f>623</f>
        <v>623</v>
      </c>
      <c r="K2130" s="5" t="s">
        <v>308</v>
      </c>
      <c r="L2130" s="7">
        <f>1</f>
        <v>1</v>
      </c>
      <c r="M2130" s="7">
        <f>1</f>
        <v>1</v>
      </c>
      <c r="N2130" s="5" t="s">
        <v>242</v>
      </c>
      <c r="O2130" s="5">
        <v>1</v>
      </c>
      <c r="P2130" s="5" t="s">
        <v>294</v>
      </c>
      <c r="Q2130" s="5" t="s">
        <v>266</v>
      </c>
      <c r="R2130" s="5" t="s">
        <v>240</v>
      </c>
      <c r="S2130" s="5" t="s">
        <v>240</v>
      </c>
      <c r="T2130" s="5" t="s">
        <v>296</v>
      </c>
      <c r="U2130" s="5" t="s">
        <v>244</v>
      </c>
      <c r="V2130" s="5" t="s">
        <v>240</v>
      </c>
      <c r="Y2130" s="5" t="s">
        <v>240</v>
      </c>
      <c r="Z2130" s="6" t="s">
        <v>298</v>
      </c>
      <c r="AB2130" s="6" t="s">
        <v>240</v>
      </c>
      <c r="AE2130" s="6" t="s">
        <v>299</v>
      </c>
      <c r="AF2130" s="5" t="s">
        <v>248</v>
      </c>
      <c r="AG2130" s="5" t="s">
        <v>249</v>
      </c>
      <c r="AW2130" s="5" t="s">
        <v>251</v>
      </c>
      <c r="AX2130" s="5" t="s">
        <v>240</v>
      </c>
      <c r="AY2130" s="5" t="s">
        <v>253</v>
      </c>
      <c r="AZ2130" s="5" t="s">
        <v>240</v>
      </c>
      <c r="BA2130" s="5" t="s">
        <v>255</v>
      </c>
      <c r="BB2130" s="5" t="s">
        <v>240</v>
      </c>
      <c r="BD2130" s="5" t="s">
        <v>240</v>
      </c>
      <c r="BF2130" s="5" t="s">
        <v>301</v>
      </c>
      <c r="BG2130" s="6" t="s">
        <v>299</v>
      </c>
      <c r="BH2130" s="5" t="s">
        <v>302</v>
      </c>
      <c r="BI2130" s="5" t="s">
        <v>303</v>
      </c>
      <c r="BJ2130" s="5" t="s">
        <v>240</v>
      </c>
      <c r="BK2130" s="8">
        <f>0</f>
        <v>0</v>
      </c>
      <c r="BL2130" s="7">
        <f>0</f>
        <v>0</v>
      </c>
      <c r="BM2130" s="5" t="s">
        <v>258</v>
      </c>
      <c r="BN2130" s="5" t="s">
        <v>259</v>
      </c>
      <c r="CB2130" s="5" t="s">
        <v>240</v>
      </c>
      <c r="CC2130" s="5" t="s">
        <v>240</v>
      </c>
      <c r="CG2130" s="5" t="s">
        <v>304</v>
      </c>
      <c r="CH2130" s="5" t="s">
        <v>305</v>
      </c>
      <c r="CI2130" s="5" t="s">
        <v>240</v>
      </c>
      <c r="CL2130" s="6" t="s">
        <v>261</v>
      </c>
      <c r="CM2130" s="5" t="s">
        <v>240</v>
      </c>
      <c r="CN2130" s="5" t="s">
        <v>263</v>
      </c>
      <c r="CO2130" s="5" t="s">
        <v>240</v>
      </c>
      <c r="CP2130" s="5" t="s">
        <v>240</v>
      </c>
      <c r="CQ2130" s="5">
        <v>0</v>
      </c>
      <c r="CR2130" s="5" t="s">
        <v>306</v>
      </c>
      <c r="CS2130" s="5" t="s">
        <v>307</v>
      </c>
      <c r="CT2130" s="5" t="s">
        <v>307</v>
      </c>
      <c r="CU2130" s="5" t="s">
        <v>260</v>
      </c>
      <c r="CX2130" s="7">
        <f>1</f>
        <v>1</v>
      </c>
      <c r="CY2130" s="7">
        <f>0</f>
        <v>0</v>
      </c>
      <c r="DA2130" s="7">
        <f>0</f>
        <v>0</v>
      </c>
      <c r="DC2130" s="5" t="s">
        <v>812</v>
      </c>
      <c r="DD2130" s="5" t="s">
        <v>240</v>
      </c>
      <c r="DF2130" s="5" t="s">
        <v>812</v>
      </c>
      <c r="DG2130" s="7">
        <f>1486</f>
        <v>1486</v>
      </c>
      <c r="DI2130" s="5" t="s">
        <v>240</v>
      </c>
      <c r="DJ2130" s="5" t="s">
        <v>240</v>
      </c>
      <c r="DK2130" s="5" t="s">
        <v>240</v>
      </c>
      <c r="DL2130" s="5" t="s">
        <v>240</v>
      </c>
      <c r="DP2130" s="5" t="s">
        <v>240</v>
      </c>
      <c r="DQ2130" s="5" t="s">
        <v>240</v>
      </c>
      <c r="DR2130" s="5" t="s">
        <v>240</v>
      </c>
      <c r="DS2130" s="5" t="s">
        <v>240</v>
      </c>
      <c r="DV2130" s="5" t="s">
        <v>813</v>
      </c>
      <c r="DW2130" s="5" t="s">
        <v>522</v>
      </c>
      <c r="HO2130" s="5" t="s">
        <v>312</v>
      </c>
    </row>
    <row r="2131" spans="1:223" x14ac:dyDescent="0.4">
      <c r="A2131" s="5">
        <v>3835</v>
      </c>
      <c r="B2131" s="5">
        <v>1</v>
      </c>
      <c r="C2131" s="5">
        <v>1</v>
      </c>
      <c r="D2131" s="5" t="s">
        <v>810</v>
      </c>
      <c r="E2131" s="5" t="s">
        <v>245</v>
      </c>
      <c r="F2131" s="5" t="s">
        <v>254</v>
      </c>
      <c r="G2131" s="5" t="s">
        <v>240</v>
      </c>
      <c r="H2131" s="6" t="s">
        <v>4152</v>
      </c>
      <c r="I2131" s="5" t="s">
        <v>809</v>
      </c>
      <c r="J2131" s="8">
        <f>336</f>
        <v>336</v>
      </c>
      <c r="K2131" s="5" t="s">
        <v>308</v>
      </c>
      <c r="L2131" s="7">
        <f>1</f>
        <v>1</v>
      </c>
      <c r="M2131" s="7">
        <f>1</f>
        <v>1</v>
      </c>
      <c r="N2131" s="5" t="s">
        <v>242</v>
      </c>
      <c r="O2131" s="5">
        <v>1</v>
      </c>
      <c r="P2131" s="5" t="s">
        <v>294</v>
      </c>
      <c r="Q2131" s="5" t="s">
        <v>266</v>
      </c>
      <c r="R2131" s="5" t="s">
        <v>240</v>
      </c>
      <c r="S2131" s="5" t="s">
        <v>240</v>
      </c>
      <c r="T2131" s="5" t="s">
        <v>296</v>
      </c>
      <c r="U2131" s="5" t="s">
        <v>244</v>
      </c>
      <c r="V2131" s="5" t="s">
        <v>240</v>
      </c>
      <c r="Y2131" s="5" t="s">
        <v>240</v>
      </c>
      <c r="Z2131" s="6" t="s">
        <v>298</v>
      </c>
      <c r="AB2131" s="6" t="s">
        <v>240</v>
      </c>
      <c r="AE2131" s="6" t="s">
        <v>299</v>
      </c>
      <c r="AF2131" s="5" t="s">
        <v>248</v>
      </c>
      <c r="AG2131" s="5" t="s">
        <v>249</v>
      </c>
      <c r="AW2131" s="5" t="s">
        <v>251</v>
      </c>
      <c r="AX2131" s="5" t="s">
        <v>240</v>
      </c>
      <c r="AY2131" s="5" t="s">
        <v>253</v>
      </c>
      <c r="AZ2131" s="5" t="s">
        <v>240</v>
      </c>
      <c r="BA2131" s="5" t="s">
        <v>255</v>
      </c>
      <c r="BB2131" s="5" t="s">
        <v>240</v>
      </c>
      <c r="BD2131" s="5" t="s">
        <v>240</v>
      </c>
      <c r="BF2131" s="5" t="s">
        <v>301</v>
      </c>
      <c r="BG2131" s="6" t="s">
        <v>299</v>
      </c>
      <c r="BH2131" s="5" t="s">
        <v>302</v>
      </c>
      <c r="BI2131" s="5" t="s">
        <v>303</v>
      </c>
      <c r="BJ2131" s="5" t="s">
        <v>240</v>
      </c>
      <c r="BK2131" s="8">
        <f>0</f>
        <v>0</v>
      </c>
      <c r="BL2131" s="7">
        <f>0</f>
        <v>0</v>
      </c>
      <c r="BM2131" s="5" t="s">
        <v>258</v>
      </c>
      <c r="BN2131" s="5" t="s">
        <v>259</v>
      </c>
      <c r="CB2131" s="5" t="s">
        <v>240</v>
      </c>
      <c r="CC2131" s="5" t="s">
        <v>240</v>
      </c>
      <c r="CG2131" s="5" t="s">
        <v>304</v>
      </c>
      <c r="CH2131" s="5" t="s">
        <v>305</v>
      </c>
      <c r="CI2131" s="5" t="s">
        <v>240</v>
      </c>
      <c r="CL2131" s="6" t="s">
        <v>261</v>
      </c>
      <c r="CM2131" s="5" t="s">
        <v>240</v>
      </c>
      <c r="CN2131" s="5" t="s">
        <v>263</v>
      </c>
      <c r="CO2131" s="5" t="s">
        <v>240</v>
      </c>
      <c r="CP2131" s="5" t="s">
        <v>240</v>
      </c>
      <c r="CQ2131" s="5">
        <v>0</v>
      </c>
      <c r="CR2131" s="5" t="s">
        <v>306</v>
      </c>
      <c r="CS2131" s="5" t="s">
        <v>307</v>
      </c>
      <c r="CT2131" s="5" t="s">
        <v>307</v>
      </c>
      <c r="CU2131" s="5" t="s">
        <v>260</v>
      </c>
      <c r="CX2131" s="7">
        <f>1</f>
        <v>1</v>
      </c>
      <c r="CY2131" s="7">
        <f>0</f>
        <v>0</v>
      </c>
      <c r="DA2131" s="7">
        <f>0</f>
        <v>0</v>
      </c>
      <c r="DC2131" s="5" t="s">
        <v>812</v>
      </c>
      <c r="DD2131" s="5" t="s">
        <v>240</v>
      </c>
      <c r="DF2131" s="5" t="s">
        <v>812</v>
      </c>
      <c r="DG2131" s="7">
        <f>545</f>
        <v>545</v>
      </c>
      <c r="DI2131" s="5" t="s">
        <v>240</v>
      </c>
      <c r="DJ2131" s="5" t="s">
        <v>240</v>
      </c>
      <c r="DK2131" s="5" t="s">
        <v>240</v>
      </c>
      <c r="DL2131" s="5" t="s">
        <v>240</v>
      </c>
      <c r="DP2131" s="5" t="s">
        <v>240</v>
      </c>
      <c r="DQ2131" s="5" t="s">
        <v>240</v>
      </c>
      <c r="DR2131" s="5" t="s">
        <v>240</v>
      </c>
      <c r="DS2131" s="5" t="s">
        <v>240</v>
      </c>
      <c r="DV2131" s="5" t="s">
        <v>813</v>
      </c>
      <c r="DW2131" s="5" t="s">
        <v>524</v>
      </c>
      <c r="HO2131" s="5" t="s">
        <v>312</v>
      </c>
    </row>
    <row r="2132" spans="1:223" x14ac:dyDescent="0.4">
      <c r="A2132" s="5">
        <v>3836</v>
      </c>
      <c r="B2132" s="5">
        <v>1</v>
      </c>
      <c r="C2132" s="5">
        <v>1</v>
      </c>
      <c r="D2132" s="5" t="s">
        <v>810</v>
      </c>
      <c r="E2132" s="5" t="s">
        <v>245</v>
      </c>
      <c r="F2132" s="5" t="s">
        <v>254</v>
      </c>
      <c r="G2132" s="5" t="s">
        <v>240</v>
      </c>
      <c r="H2132" s="6" t="s">
        <v>4151</v>
      </c>
      <c r="I2132" s="5" t="s">
        <v>809</v>
      </c>
      <c r="J2132" s="8">
        <f>92</f>
        <v>92</v>
      </c>
      <c r="K2132" s="5" t="s">
        <v>308</v>
      </c>
      <c r="L2132" s="7">
        <f>1</f>
        <v>1</v>
      </c>
      <c r="M2132" s="7">
        <f>1</f>
        <v>1</v>
      </c>
      <c r="N2132" s="5" t="s">
        <v>242</v>
      </c>
      <c r="O2132" s="5">
        <v>1</v>
      </c>
      <c r="P2132" s="5" t="s">
        <v>294</v>
      </c>
      <c r="Q2132" s="5" t="s">
        <v>266</v>
      </c>
      <c r="R2132" s="5" t="s">
        <v>240</v>
      </c>
      <c r="S2132" s="5" t="s">
        <v>240</v>
      </c>
      <c r="T2132" s="5" t="s">
        <v>296</v>
      </c>
      <c r="U2132" s="5" t="s">
        <v>244</v>
      </c>
      <c r="V2132" s="5" t="s">
        <v>240</v>
      </c>
      <c r="Y2132" s="5" t="s">
        <v>240</v>
      </c>
      <c r="Z2132" s="6" t="s">
        <v>298</v>
      </c>
      <c r="AB2132" s="6" t="s">
        <v>240</v>
      </c>
      <c r="AE2132" s="6" t="s">
        <v>299</v>
      </c>
      <c r="AF2132" s="5" t="s">
        <v>248</v>
      </c>
      <c r="AG2132" s="5" t="s">
        <v>249</v>
      </c>
      <c r="AW2132" s="5" t="s">
        <v>251</v>
      </c>
      <c r="AX2132" s="5" t="s">
        <v>240</v>
      </c>
      <c r="AY2132" s="5" t="s">
        <v>253</v>
      </c>
      <c r="AZ2132" s="5" t="s">
        <v>240</v>
      </c>
      <c r="BA2132" s="5" t="s">
        <v>255</v>
      </c>
      <c r="BB2132" s="5" t="s">
        <v>240</v>
      </c>
      <c r="BD2132" s="5" t="s">
        <v>240</v>
      </c>
      <c r="BF2132" s="5" t="s">
        <v>301</v>
      </c>
      <c r="BG2132" s="6" t="s">
        <v>299</v>
      </c>
      <c r="BH2132" s="5" t="s">
        <v>302</v>
      </c>
      <c r="BI2132" s="5" t="s">
        <v>303</v>
      </c>
      <c r="BJ2132" s="5" t="s">
        <v>240</v>
      </c>
      <c r="BK2132" s="8">
        <f>0</f>
        <v>0</v>
      </c>
      <c r="BL2132" s="7">
        <f>0</f>
        <v>0</v>
      </c>
      <c r="BM2132" s="5" t="s">
        <v>258</v>
      </c>
      <c r="BN2132" s="5" t="s">
        <v>259</v>
      </c>
      <c r="CB2132" s="5" t="s">
        <v>240</v>
      </c>
      <c r="CC2132" s="5" t="s">
        <v>240</v>
      </c>
      <c r="CG2132" s="5" t="s">
        <v>304</v>
      </c>
      <c r="CH2132" s="5" t="s">
        <v>305</v>
      </c>
      <c r="CI2132" s="5" t="s">
        <v>240</v>
      </c>
      <c r="CL2132" s="6" t="s">
        <v>261</v>
      </c>
      <c r="CM2132" s="5" t="s">
        <v>240</v>
      </c>
      <c r="CN2132" s="5" t="s">
        <v>263</v>
      </c>
      <c r="CO2132" s="5" t="s">
        <v>240</v>
      </c>
      <c r="CP2132" s="5" t="s">
        <v>240</v>
      </c>
      <c r="CQ2132" s="5">
        <v>0</v>
      </c>
      <c r="CR2132" s="5" t="s">
        <v>306</v>
      </c>
      <c r="CS2132" s="5" t="s">
        <v>307</v>
      </c>
      <c r="CT2132" s="5" t="s">
        <v>307</v>
      </c>
      <c r="CU2132" s="5" t="s">
        <v>260</v>
      </c>
      <c r="CX2132" s="7">
        <f>1</f>
        <v>1</v>
      </c>
      <c r="CY2132" s="7">
        <f>0</f>
        <v>0</v>
      </c>
      <c r="DA2132" s="7">
        <f>0</f>
        <v>0</v>
      </c>
      <c r="DC2132" s="5" t="s">
        <v>812</v>
      </c>
      <c r="DD2132" s="5" t="s">
        <v>240</v>
      </c>
      <c r="DF2132" s="5" t="s">
        <v>812</v>
      </c>
      <c r="DG2132" s="7">
        <f>526</f>
        <v>526</v>
      </c>
      <c r="DI2132" s="5" t="s">
        <v>240</v>
      </c>
      <c r="DJ2132" s="5" t="s">
        <v>240</v>
      </c>
      <c r="DK2132" s="5" t="s">
        <v>240</v>
      </c>
      <c r="DL2132" s="5" t="s">
        <v>240</v>
      </c>
      <c r="DP2132" s="5" t="s">
        <v>240</v>
      </c>
      <c r="DQ2132" s="5" t="s">
        <v>240</v>
      </c>
      <c r="DR2132" s="5" t="s">
        <v>240</v>
      </c>
      <c r="DS2132" s="5" t="s">
        <v>240</v>
      </c>
      <c r="DV2132" s="5" t="s">
        <v>813</v>
      </c>
      <c r="DW2132" s="5" t="s">
        <v>526</v>
      </c>
      <c r="HO2132" s="5" t="s">
        <v>312</v>
      </c>
    </row>
    <row r="2133" spans="1:223" x14ac:dyDescent="0.4">
      <c r="A2133" s="5">
        <v>3837</v>
      </c>
      <c r="B2133" s="5">
        <v>1</v>
      </c>
      <c r="C2133" s="5">
        <v>1</v>
      </c>
      <c r="D2133" s="5" t="s">
        <v>810</v>
      </c>
      <c r="E2133" s="5" t="s">
        <v>245</v>
      </c>
      <c r="F2133" s="5" t="s">
        <v>254</v>
      </c>
      <c r="G2133" s="5" t="s">
        <v>240</v>
      </c>
      <c r="H2133" s="6" t="s">
        <v>4150</v>
      </c>
      <c r="I2133" s="5" t="s">
        <v>809</v>
      </c>
      <c r="J2133" s="8">
        <f>99</f>
        <v>99</v>
      </c>
      <c r="K2133" s="5" t="s">
        <v>308</v>
      </c>
      <c r="L2133" s="7">
        <f>1</f>
        <v>1</v>
      </c>
      <c r="M2133" s="7">
        <f>1</f>
        <v>1</v>
      </c>
      <c r="N2133" s="5" t="s">
        <v>242</v>
      </c>
      <c r="O2133" s="5">
        <v>1</v>
      </c>
      <c r="P2133" s="5" t="s">
        <v>294</v>
      </c>
      <c r="Q2133" s="5" t="s">
        <v>266</v>
      </c>
      <c r="R2133" s="5" t="s">
        <v>240</v>
      </c>
      <c r="S2133" s="5" t="s">
        <v>240</v>
      </c>
      <c r="T2133" s="5" t="s">
        <v>296</v>
      </c>
      <c r="U2133" s="5" t="s">
        <v>244</v>
      </c>
      <c r="V2133" s="5" t="s">
        <v>240</v>
      </c>
      <c r="Y2133" s="5" t="s">
        <v>240</v>
      </c>
      <c r="Z2133" s="6" t="s">
        <v>298</v>
      </c>
      <c r="AB2133" s="6" t="s">
        <v>240</v>
      </c>
      <c r="AE2133" s="6" t="s">
        <v>299</v>
      </c>
      <c r="AF2133" s="5" t="s">
        <v>248</v>
      </c>
      <c r="AG2133" s="5" t="s">
        <v>249</v>
      </c>
      <c r="AW2133" s="5" t="s">
        <v>251</v>
      </c>
      <c r="AX2133" s="5" t="s">
        <v>240</v>
      </c>
      <c r="AY2133" s="5" t="s">
        <v>253</v>
      </c>
      <c r="AZ2133" s="5" t="s">
        <v>240</v>
      </c>
      <c r="BA2133" s="5" t="s">
        <v>255</v>
      </c>
      <c r="BB2133" s="5" t="s">
        <v>240</v>
      </c>
      <c r="BD2133" s="5" t="s">
        <v>240</v>
      </c>
      <c r="BF2133" s="5" t="s">
        <v>301</v>
      </c>
      <c r="BG2133" s="6" t="s">
        <v>299</v>
      </c>
      <c r="BH2133" s="5" t="s">
        <v>302</v>
      </c>
      <c r="BI2133" s="5" t="s">
        <v>303</v>
      </c>
      <c r="BJ2133" s="5" t="s">
        <v>240</v>
      </c>
      <c r="BK2133" s="8">
        <f>0</f>
        <v>0</v>
      </c>
      <c r="BL2133" s="7">
        <f>0</f>
        <v>0</v>
      </c>
      <c r="BM2133" s="5" t="s">
        <v>258</v>
      </c>
      <c r="BN2133" s="5" t="s">
        <v>259</v>
      </c>
      <c r="CB2133" s="5" t="s">
        <v>240</v>
      </c>
      <c r="CC2133" s="5" t="s">
        <v>240</v>
      </c>
      <c r="CG2133" s="5" t="s">
        <v>304</v>
      </c>
      <c r="CH2133" s="5" t="s">
        <v>305</v>
      </c>
      <c r="CI2133" s="5" t="s">
        <v>240</v>
      </c>
      <c r="CL2133" s="6" t="s">
        <v>261</v>
      </c>
      <c r="CM2133" s="5" t="s">
        <v>240</v>
      </c>
      <c r="CN2133" s="5" t="s">
        <v>263</v>
      </c>
      <c r="CO2133" s="5" t="s">
        <v>240</v>
      </c>
      <c r="CP2133" s="5" t="s">
        <v>240</v>
      </c>
      <c r="CQ2133" s="5">
        <v>0</v>
      </c>
      <c r="CR2133" s="5" t="s">
        <v>306</v>
      </c>
      <c r="CS2133" s="5" t="s">
        <v>307</v>
      </c>
      <c r="CT2133" s="5" t="s">
        <v>307</v>
      </c>
      <c r="CU2133" s="5" t="s">
        <v>260</v>
      </c>
      <c r="CX2133" s="7">
        <f>1</f>
        <v>1</v>
      </c>
      <c r="CY2133" s="7">
        <f>0</f>
        <v>0</v>
      </c>
      <c r="DA2133" s="7">
        <f>0</f>
        <v>0</v>
      </c>
      <c r="DC2133" s="5" t="s">
        <v>812</v>
      </c>
      <c r="DD2133" s="5" t="s">
        <v>240</v>
      </c>
      <c r="DF2133" s="5" t="s">
        <v>812</v>
      </c>
      <c r="DG2133" s="7">
        <f>1401</f>
        <v>1401</v>
      </c>
      <c r="DI2133" s="5" t="s">
        <v>240</v>
      </c>
      <c r="DJ2133" s="5" t="s">
        <v>240</v>
      </c>
      <c r="DK2133" s="5" t="s">
        <v>240</v>
      </c>
      <c r="DL2133" s="5" t="s">
        <v>240</v>
      </c>
      <c r="DP2133" s="5" t="s">
        <v>240</v>
      </c>
      <c r="DQ2133" s="5" t="s">
        <v>240</v>
      </c>
      <c r="DR2133" s="5" t="s">
        <v>240</v>
      </c>
      <c r="DS2133" s="5" t="s">
        <v>240</v>
      </c>
      <c r="DV2133" s="5" t="s">
        <v>813</v>
      </c>
      <c r="DW2133" s="5" t="s">
        <v>528</v>
      </c>
      <c r="HO2133" s="5" t="s">
        <v>312</v>
      </c>
    </row>
    <row r="2134" spans="1:223" x14ac:dyDescent="0.4">
      <c r="A2134" s="5">
        <v>3838</v>
      </c>
      <c r="B2134" s="5">
        <v>1</v>
      </c>
      <c r="C2134" s="5">
        <v>1</v>
      </c>
      <c r="D2134" s="5" t="s">
        <v>810</v>
      </c>
      <c r="E2134" s="5" t="s">
        <v>245</v>
      </c>
      <c r="F2134" s="5" t="s">
        <v>254</v>
      </c>
      <c r="G2134" s="5" t="s">
        <v>240</v>
      </c>
      <c r="H2134" s="6" t="s">
        <v>4149</v>
      </c>
      <c r="I2134" s="5" t="s">
        <v>809</v>
      </c>
      <c r="J2134" s="8">
        <f>10</f>
        <v>10</v>
      </c>
      <c r="K2134" s="5" t="s">
        <v>308</v>
      </c>
      <c r="L2134" s="7">
        <f>1</f>
        <v>1</v>
      </c>
      <c r="M2134" s="7">
        <f>1</f>
        <v>1</v>
      </c>
      <c r="N2134" s="5" t="s">
        <v>242</v>
      </c>
      <c r="O2134" s="5">
        <v>1</v>
      </c>
      <c r="P2134" s="5" t="s">
        <v>294</v>
      </c>
      <c r="Q2134" s="5" t="s">
        <v>266</v>
      </c>
      <c r="R2134" s="5" t="s">
        <v>240</v>
      </c>
      <c r="S2134" s="5" t="s">
        <v>240</v>
      </c>
      <c r="T2134" s="5" t="s">
        <v>296</v>
      </c>
      <c r="U2134" s="5" t="s">
        <v>244</v>
      </c>
      <c r="V2134" s="5" t="s">
        <v>240</v>
      </c>
      <c r="Y2134" s="5" t="s">
        <v>240</v>
      </c>
      <c r="Z2134" s="6" t="s">
        <v>298</v>
      </c>
      <c r="AB2134" s="6" t="s">
        <v>240</v>
      </c>
      <c r="AE2134" s="6" t="s">
        <v>299</v>
      </c>
      <c r="AF2134" s="5" t="s">
        <v>248</v>
      </c>
      <c r="AG2134" s="5" t="s">
        <v>249</v>
      </c>
      <c r="AW2134" s="5" t="s">
        <v>251</v>
      </c>
      <c r="AX2134" s="5" t="s">
        <v>240</v>
      </c>
      <c r="AY2134" s="5" t="s">
        <v>253</v>
      </c>
      <c r="AZ2134" s="5" t="s">
        <v>240</v>
      </c>
      <c r="BA2134" s="5" t="s">
        <v>255</v>
      </c>
      <c r="BB2134" s="5" t="s">
        <v>240</v>
      </c>
      <c r="BD2134" s="5" t="s">
        <v>240</v>
      </c>
      <c r="BF2134" s="5" t="s">
        <v>301</v>
      </c>
      <c r="BG2134" s="6" t="s">
        <v>299</v>
      </c>
      <c r="BH2134" s="5" t="s">
        <v>302</v>
      </c>
      <c r="BI2134" s="5" t="s">
        <v>303</v>
      </c>
      <c r="BJ2134" s="5" t="s">
        <v>240</v>
      </c>
      <c r="BK2134" s="8">
        <f>0</f>
        <v>0</v>
      </c>
      <c r="BL2134" s="7">
        <f>0</f>
        <v>0</v>
      </c>
      <c r="BM2134" s="5" t="s">
        <v>258</v>
      </c>
      <c r="BN2134" s="5" t="s">
        <v>259</v>
      </c>
      <c r="CB2134" s="5" t="s">
        <v>240</v>
      </c>
      <c r="CC2134" s="5" t="s">
        <v>240</v>
      </c>
      <c r="CG2134" s="5" t="s">
        <v>304</v>
      </c>
      <c r="CH2134" s="5" t="s">
        <v>305</v>
      </c>
      <c r="CI2134" s="5" t="s">
        <v>240</v>
      </c>
      <c r="CL2134" s="6" t="s">
        <v>261</v>
      </c>
      <c r="CM2134" s="5" t="s">
        <v>240</v>
      </c>
      <c r="CN2134" s="5" t="s">
        <v>263</v>
      </c>
      <c r="CO2134" s="5" t="s">
        <v>240</v>
      </c>
      <c r="CP2134" s="5" t="s">
        <v>240</v>
      </c>
      <c r="CQ2134" s="5">
        <v>0</v>
      </c>
      <c r="CR2134" s="5" t="s">
        <v>306</v>
      </c>
      <c r="CS2134" s="5" t="s">
        <v>307</v>
      </c>
      <c r="CT2134" s="5" t="s">
        <v>307</v>
      </c>
      <c r="CU2134" s="5" t="s">
        <v>260</v>
      </c>
      <c r="CX2134" s="7">
        <f>1</f>
        <v>1</v>
      </c>
      <c r="CY2134" s="7">
        <f>0</f>
        <v>0</v>
      </c>
      <c r="DA2134" s="7">
        <f>0</f>
        <v>0</v>
      </c>
      <c r="DC2134" s="5" t="s">
        <v>309</v>
      </c>
      <c r="DD2134" s="5" t="s">
        <v>240</v>
      </c>
      <c r="DF2134" s="5" t="s">
        <v>309</v>
      </c>
      <c r="DG2134" s="7">
        <f>262</f>
        <v>262</v>
      </c>
      <c r="DH2134" s="6" t="s">
        <v>4211</v>
      </c>
      <c r="DI2134" s="5" t="s">
        <v>240</v>
      </c>
      <c r="DJ2134" s="5" t="s">
        <v>240</v>
      </c>
      <c r="DK2134" s="5" t="s">
        <v>240</v>
      </c>
      <c r="DL2134" s="5" t="s">
        <v>240</v>
      </c>
      <c r="DP2134" s="5" t="s">
        <v>240</v>
      </c>
      <c r="DQ2134" s="5" t="s">
        <v>240</v>
      </c>
      <c r="DR2134" s="5" t="s">
        <v>240</v>
      </c>
      <c r="DS2134" s="5" t="s">
        <v>240</v>
      </c>
      <c r="DV2134" s="5" t="s">
        <v>310</v>
      </c>
      <c r="DW2134" s="5" t="s">
        <v>958</v>
      </c>
      <c r="HO2134" s="5" t="s">
        <v>312</v>
      </c>
    </row>
    <row r="2135" spans="1:223" x14ac:dyDescent="0.4">
      <c r="A2135" s="5">
        <v>3839</v>
      </c>
      <c r="B2135" s="5">
        <v>1</v>
      </c>
      <c r="C2135" s="5">
        <v>1</v>
      </c>
      <c r="D2135" s="5" t="s">
        <v>810</v>
      </c>
      <c r="E2135" s="5" t="s">
        <v>245</v>
      </c>
      <c r="F2135" s="5" t="s">
        <v>254</v>
      </c>
      <c r="G2135" s="5" t="s">
        <v>240</v>
      </c>
      <c r="H2135" s="6" t="s">
        <v>4148</v>
      </c>
      <c r="I2135" s="5" t="s">
        <v>809</v>
      </c>
      <c r="J2135" s="8">
        <f>897</f>
        <v>897</v>
      </c>
      <c r="K2135" s="5" t="s">
        <v>308</v>
      </c>
      <c r="L2135" s="7">
        <f>1</f>
        <v>1</v>
      </c>
      <c r="M2135" s="7">
        <f>1</f>
        <v>1</v>
      </c>
      <c r="N2135" s="5" t="s">
        <v>242</v>
      </c>
      <c r="O2135" s="5">
        <v>1</v>
      </c>
      <c r="P2135" s="5" t="s">
        <v>294</v>
      </c>
      <c r="Q2135" s="5" t="s">
        <v>266</v>
      </c>
      <c r="R2135" s="5" t="s">
        <v>240</v>
      </c>
      <c r="S2135" s="5" t="s">
        <v>240</v>
      </c>
      <c r="T2135" s="5" t="s">
        <v>296</v>
      </c>
      <c r="U2135" s="5" t="s">
        <v>244</v>
      </c>
      <c r="V2135" s="5" t="s">
        <v>240</v>
      </c>
      <c r="Y2135" s="5" t="s">
        <v>240</v>
      </c>
      <c r="Z2135" s="6" t="s">
        <v>298</v>
      </c>
      <c r="AB2135" s="6" t="s">
        <v>240</v>
      </c>
      <c r="AE2135" s="6" t="s">
        <v>299</v>
      </c>
      <c r="AF2135" s="5" t="s">
        <v>248</v>
      </c>
      <c r="AG2135" s="5" t="s">
        <v>249</v>
      </c>
      <c r="AW2135" s="5" t="s">
        <v>251</v>
      </c>
      <c r="AX2135" s="5" t="s">
        <v>240</v>
      </c>
      <c r="AY2135" s="5" t="s">
        <v>253</v>
      </c>
      <c r="AZ2135" s="5" t="s">
        <v>240</v>
      </c>
      <c r="BA2135" s="5" t="s">
        <v>255</v>
      </c>
      <c r="BB2135" s="5" t="s">
        <v>240</v>
      </c>
      <c r="BD2135" s="5" t="s">
        <v>240</v>
      </c>
      <c r="BF2135" s="5" t="s">
        <v>301</v>
      </c>
      <c r="BG2135" s="6" t="s">
        <v>299</v>
      </c>
      <c r="BH2135" s="5" t="s">
        <v>302</v>
      </c>
      <c r="BI2135" s="5" t="s">
        <v>303</v>
      </c>
      <c r="BJ2135" s="5" t="s">
        <v>240</v>
      </c>
      <c r="BK2135" s="8">
        <f>0</f>
        <v>0</v>
      </c>
      <c r="BL2135" s="7">
        <f>0</f>
        <v>0</v>
      </c>
      <c r="BM2135" s="5" t="s">
        <v>258</v>
      </c>
      <c r="BN2135" s="5" t="s">
        <v>259</v>
      </c>
      <c r="CB2135" s="5" t="s">
        <v>240</v>
      </c>
      <c r="CC2135" s="5" t="s">
        <v>240</v>
      </c>
      <c r="CG2135" s="5" t="s">
        <v>304</v>
      </c>
      <c r="CH2135" s="5" t="s">
        <v>305</v>
      </c>
      <c r="CI2135" s="5" t="s">
        <v>240</v>
      </c>
      <c r="CL2135" s="6" t="s">
        <v>261</v>
      </c>
      <c r="CM2135" s="5" t="s">
        <v>240</v>
      </c>
      <c r="CN2135" s="5" t="s">
        <v>263</v>
      </c>
      <c r="CO2135" s="5" t="s">
        <v>240</v>
      </c>
      <c r="CP2135" s="5" t="s">
        <v>240</v>
      </c>
      <c r="CQ2135" s="5">
        <v>0</v>
      </c>
      <c r="CR2135" s="5" t="s">
        <v>306</v>
      </c>
      <c r="CS2135" s="5" t="s">
        <v>307</v>
      </c>
      <c r="CT2135" s="5" t="s">
        <v>307</v>
      </c>
      <c r="CU2135" s="5" t="s">
        <v>260</v>
      </c>
      <c r="CX2135" s="7">
        <f>1</f>
        <v>1</v>
      </c>
      <c r="CY2135" s="7">
        <f>0</f>
        <v>0</v>
      </c>
      <c r="DA2135" s="7">
        <f>0</f>
        <v>0</v>
      </c>
      <c r="DC2135" s="5" t="s">
        <v>812</v>
      </c>
      <c r="DD2135" s="5" t="s">
        <v>240</v>
      </c>
      <c r="DF2135" s="5" t="s">
        <v>812</v>
      </c>
      <c r="DG2135" s="7">
        <f>69</f>
        <v>69</v>
      </c>
      <c r="DI2135" s="5" t="s">
        <v>240</v>
      </c>
      <c r="DJ2135" s="5" t="s">
        <v>240</v>
      </c>
      <c r="DK2135" s="5" t="s">
        <v>240</v>
      </c>
      <c r="DL2135" s="5" t="s">
        <v>240</v>
      </c>
      <c r="DP2135" s="5" t="s">
        <v>240</v>
      </c>
      <c r="DQ2135" s="5" t="s">
        <v>240</v>
      </c>
      <c r="DR2135" s="5" t="s">
        <v>240</v>
      </c>
      <c r="DS2135" s="5" t="s">
        <v>240</v>
      </c>
      <c r="DV2135" s="5" t="s">
        <v>813</v>
      </c>
      <c r="DW2135" s="5" t="s">
        <v>532</v>
      </c>
      <c r="HO2135" s="5" t="s">
        <v>312</v>
      </c>
    </row>
    <row r="2136" spans="1:223" x14ac:dyDescent="0.4">
      <c r="A2136" s="5">
        <v>3840</v>
      </c>
      <c r="B2136" s="5">
        <v>1</v>
      </c>
      <c r="C2136" s="5">
        <v>1</v>
      </c>
      <c r="D2136" s="5" t="s">
        <v>810</v>
      </c>
      <c r="E2136" s="5" t="s">
        <v>245</v>
      </c>
      <c r="F2136" s="5" t="s">
        <v>254</v>
      </c>
      <c r="G2136" s="5" t="s">
        <v>240</v>
      </c>
      <c r="H2136" s="6" t="s">
        <v>4147</v>
      </c>
      <c r="I2136" s="5" t="s">
        <v>809</v>
      </c>
      <c r="J2136" s="8">
        <f>77</f>
        <v>77</v>
      </c>
      <c r="K2136" s="5" t="s">
        <v>308</v>
      </c>
      <c r="L2136" s="7">
        <f>1</f>
        <v>1</v>
      </c>
      <c r="M2136" s="7">
        <f>1</f>
        <v>1</v>
      </c>
      <c r="N2136" s="5" t="s">
        <v>242</v>
      </c>
      <c r="O2136" s="5">
        <v>1</v>
      </c>
      <c r="P2136" s="5" t="s">
        <v>294</v>
      </c>
      <c r="Q2136" s="5" t="s">
        <v>266</v>
      </c>
      <c r="R2136" s="5" t="s">
        <v>240</v>
      </c>
      <c r="S2136" s="5" t="s">
        <v>240</v>
      </c>
      <c r="T2136" s="5" t="s">
        <v>296</v>
      </c>
      <c r="U2136" s="5" t="s">
        <v>244</v>
      </c>
      <c r="V2136" s="5" t="s">
        <v>240</v>
      </c>
      <c r="Y2136" s="5" t="s">
        <v>240</v>
      </c>
      <c r="Z2136" s="6" t="s">
        <v>298</v>
      </c>
      <c r="AB2136" s="6" t="s">
        <v>240</v>
      </c>
      <c r="AE2136" s="6" t="s">
        <v>299</v>
      </c>
      <c r="AF2136" s="5" t="s">
        <v>248</v>
      </c>
      <c r="AG2136" s="5" t="s">
        <v>249</v>
      </c>
      <c r="AW2136" s="5" t="s">
        <v>251</v>
      </c>
      <c r="AX2136" s="5" t="s">
        <v>240</v>
      </c>
      <c r="AY2136" s="5" t="s">
        <v>253</v>
      </c>
      <c r="AZ2136" s="5" t="s">
        <v>240</v>
      </c>
      <c r="BA2136" s="5" t="s">
        <v>255</v>
      </c>
      <c r="BB2136" s="5" t="s">
        <v>240</v>
      </c>
      <c r="BD2136" s="5" t="s">
        <v>240</v>
      </c>
      <c r="BF2136" s="5" t="s">
        <v>301</v>
      </c>
      <c r="BG2136" s="6" t="s">
        <v>299</v>
      </c>
      <c r="BH2136" s="5" t="s">
        <v>302</v>
      </c>
      <c r="BI2136" s="5" t="s">
        <v>303</v>
      </c>
      <c r="BJ2136" s="5" t="s">
        <v>240</v>
      </c>
      <c r="BK2136" s="8">
        <f>0</f>
        <v>0</v>
      </c>
      <c r="BL2136" s="7">
        <f>0</f>
        <v>0</v>
      </c>
      <c r="BM2136" s="5" t="s">
        <v>258</v>
      </c>
      <c r="BN2136" s="5" t="s">
        <v>259</v>
      </c>
      <c r="CB2136" s="5" t="s">
        <v>240</v>
      </c>
      <c r="CC2136" s="5" t="s">
        <v>240</v>
      </c>
      <c r="CG2136" s="5" t="s">
        <v>304</v>
      </c>
      <c r="CH2136" s="5" t="s">
        <v>305</v>
      </c>
      <c r="CI2136" s="5" t="s">
        <v>240</v>
      </c>
      <c r="CL2136" s="6" t="s">
        <v>261</v>
      </c>
      <c r="CM2136" s="5" t="s">
        <v>240</v>
      </c>
      <c r="CN2136" s="5" t="s">
        <v>263</v>
      </c>
      <c r="CO2136" s="5" t="s">
        <v>240</v>
      </c>
      <c r="CP2136" s="5" t="s">
        <v>240</v>
      </c>
      <c r="CQ2136" s="5">
        <v>0</v>
      </c>
      <c r="CR2136" s="5" t="s">
        <v>306</v>
      </c>
      <c r="CS2136" s="5" t="s">
        <v>307</v>
      </c>
      <c r="CT2136" s="5" t="s">
        <v>307</v>
      </c>
      <c r="CU2136" s="5" t="s">
        <v>260</v>
      </c>
      <c r="CX2136" s="7">
        <f>1</f>
        <v>1</v>
      </c>
      <c r="CY2136" s="7">
        <f>0</f>
        <v>0</v>
      </c>
      <c r="DA2136" s="7">
        <f>0</f>
        <v>0</v>
      </c>
      <c r="DC2136" s="5" t="s">
        <v>812</v>
      </c>
      <c r="DD2136" s="5" t="s">
        <v>240</v>
      </c>
      <c r="DF2136" s="5" t="s">
        <v>812</v>
      </c>
      <c r="DG2136" s="7">
        <f>1826</f>
        <v>1826</v>
      </c>
      <c r="DI2136" s="5" t="s">
        <v>240</v>
      </c>
      <c r="DJ2136" s="5" t="s">
        <v>240</v>
      </c>
      <c r="DK2136" s="5" t="s">
        <v>240</v>
      </c>
      <c r="DL2136" s="5" t="s">
        <v>240</v>
      </c>
      <c r="DP2136" s="5" t="s">
        <v>240</v>
      </c>
      <c r="DQ2136" s="5" t="s">
        <v>240</v>
      </c>
      <c r="DR2136" s="5" t="s">
        <v>240</v>
      </c>
      <c r="DS2136" s="5" t="s">
        <v>240</v>
      </c>
      <c r="DV2136" s="5" t="s">
        <v>813</v>
      </c>
      <c r="DW2136" s="5" t="s">
        <v>534</v>
      </c>
      <c r="HO2136" s="5" t="s">
        <v>312</v>
      </c>
    </row>
    <row r="2137" spans="1:223" x14ac:dyDescent="0.4">
      <c r="A2137" s="5">
        <v>3841</v>
      </c>
      <c r="B2137" s="5">
        <v>1</v>
      </c>
      <c r="C2137" s="5">
        <v>1</v>
      </c>
      <c r="D2137" s="5" t="s">
        <v>810</v>
      </c>
      <c r="E2137" s="5" t="s">
        <v>245</v>
      </c>
      <c r="F2137" s="5" t="s">
        <v>254</v>
      </c>
      <c r="G2137" s="5" t="s">
        <v>240</v>
      </c>
      <c r="H2137" s="6" t="s">
        <v>5285</v>
      </c>
      <c r="I2137" s="5" t="s">
        <v>809</v>
      </c>
      <c r="J2137" s="8">
        <f>1181</f>
        <v>1181</v>
      </c>
      <c r="K2137" s="5" t="s">
        <v>308</v>
      </c>
      <c r="L2137" s="7">
        <f>1</f>
        <v>1</v>
      </c>
      <c r="M2137" s="7">
        <f>1</f>
        <v>1</v>
      </c>
      <c r="N2137" s="5" t="s">
        <v>242</v>
      </c>
      <c r="O2137" s="5">
        <v>1</v>
      </c>
      <c r="P2137" s="5" t="s">
        <v>294</v>
      </c>
      <c r="Q2137" s="5" t="s">
        <v>266</v>
      </c>
      <c r="R2137" s="5" t="s">
        <v>240</v>
      </c>
      <c r="S2137" s="5" t="s">
        <v>240</v>
      </c>
      <c r="T2137" s="5" t="s">
        <v>296</v>
      </c>
      <c r="U2137" s="5" t="s">
        <v>244</v>
      </c>
      <c r="V2137" s="5" t="s">
        <v>240</v>
      </c>
      <c r="Y2137" s="5" t="s">
        <v>240</v>
      </c>
      <c r="Z2137" s="6" t="s">
        <v>298</v>
      </c>
      <c r="AB2137" s="6" t="s">
        <v>240</v>
      </c>
      <c r="AE2137" s="6" t="s">
        <v>299</v>
      </c>
      <c r="AF2137" s="5" t="s">
        <v>248</v>
      </c>
      <c r="AG2137" s="5" t="s">
        <v>249</v>
      </c>
      <c r="AW2137" s="5" t="s">
        <v>251</v>
      </c>
      <c r="AX2137" s="5" t="s">
        <v>240</v>
      </c>
      <c r="AY2137" s="5" t="s">
        <v>253</v>
      </c>
      <c r="AZ2137" s="5" t="s">
        <v>240</v>
      </c>
      <c r="BA2137" s="5" t="s">
        <v>255</v>
      </c>
      <c r="BB2137" s="5" t="s">
        <v>240</v>
      </c>
      <c r="BD2137" s="5" t="s">
        <v>240</v>
      </c>
      <c r="BF2137" s="5" t="s">
        <v>301</v>
      </c>
      <c r="BG2137" s="6" t="s">
        <v>299</v>
      </c>
      <c r="BH2137" s="5" t="s">
        <v>302</v>
      </c>
      <c r="BI2137" s="5" t="s">
        <v>303</v>
      </c>
      <c r="BJ2137" s="5" t="s">
        <v>240</v>
      </c>
      <c r="BK2137" s="8">
        <f>0</f>
        <v>0</v>
      </c>
      <c r="BL2137" s="7">
        <f>0</f>
        <v>0</v>
      </c>
      <c r="BM2137" s="5" t="s">
        <v>258</v>
      </c>
      <c r="BN2137" s="5" t="s">
        <v>259</v>
      </c>
      <c r="CB2137" s="5" t="s">
        <v>240</v>
      </c>
      <c r="CC2137" s="5" t="s">
        <v>240</v>
      </c>
      <c r="CG2137" s="5" t="s">
        <v>304</v>
      </c>
      <c r="CH2137" s="5" t="s">
        <v>305</v>
      </c>
      <c r="CI2137" s="5" t="s">
        <v>240</v>
      </c>
      <c r="CL2137" s="6" t="s">
        <v>261</v>
      </c>
      <c r="CM2137" s="5" t="s">
        <v>240</v>
      </c>
      <c r="CN2137" s="5" t="s">
        <v>263</v>
      </c>
      <c r="CO2137" s="5" t="s">
        <v>240</v>
      </c>
      <c r="CP2137" s="5" t="s">
        <v>240</v>
      </c>
      <c r="CQ2137" s="5">
        <v>0</v>
      </c>
      <c r="CR2137" s="5" t="s">
        <v>306</v>
      </c>
      <c r="CS2137" s="5" t="s">
        <v>307</v>
      </c>
      <c r="CT2137" s="5" t="s">
        <v>307</v>
      </c>
      <c r="CU2137" s="5" t="s">
        <v>260</v>
      </c>
      <c r="CX2137" s="7">
        <f>1</f>
        <v>1</v>
      </c>
      <c r="CY2137" s="7">
        <f>0</f>
        <v>0</v>
      </c>
      <c r="DA2137" s="7">
        <f>0</f>
        <v>0</v>
      </c>
      <c r="DC2137" s="5" t="s">
        <v>812</v>
      </c>
      <c r="DD2137" s="5" t="s">
        <v>240</v>
      </c>
      <c r="DF2137" s="5" t="s">
        <v>812</v>
      </c>
      <c r="DG2137" s="7">
        <f>424</f>
        <v>424</v>
      </c>
      <c r="DI2137" s="5" t="s">
        <v>240</v>
      </c>
      <c r="DJ2137" s="5" t="s">
        <v>240</v>
      </c>
      <c r="DK2137" s="5" t="s">
        <v>240</v>
      </c>
      <c r="DL2137" s="5" t="s">
        <v>240</v>
      </c>
      <c r="DP2137" s="5" t="s">
        <v>240</v>
      </c>
      <c r="DQ2137" s="5" t="s">
        <v>240</v>
      </c>
      <c r="DR2137" s="5" t="s">
        <v>240</v>
      </c>
      <c r="DS2137" s="5" t="s">
        <v>240</v>
      </c>
      <c r="DV2137" s="5" t="s">
        <v>813</v>
      </c>
      <c r="DW2137" s="5" t="s">
        <v>536</v>
      </c>
      <c r="HO2137" s="5" t="s">
        <v>312</v>
      </c>
    </row>
    <row r="2138" spans="1:223" x14ac:dyDescent="0.4">
      <c r="A2138" s="5">
        <v>3842</v>
      </c>
      <c r="B2138" s="5">
        <v>1</v>
      </c>
      <c r="C2138" s="5">
        <v>1</v>
      </c>
      <c r="D2138" s="5" t="s">
        <v>810</v>
      </c>
      <c r="E2138" s="5" t="s">
        <v>245</v>
      </c>
      <c r="F2138" s="5" t="s">
        <v>254</v>
      </c>
      <c r="G2138" s="5" t="s">
        <v>240</v>
      </c>
      <c r="H2138" s="6" t="s">
        <v>4145</v>
      </c>
      <c r="I2138" s="5" t="s">
        <v>809</v>
      </c>
      <c r="J2138" s="8">
        <f>188</f>
        <v>188</v>
      </c>
      <c r="K2138" s="5" t="s">
        <v>308</v>
      </c>
      <c r="L2138" s="7">
        <f>1</f>
        <v>1</v>
      </c>
      <c r="M2138" s="7">
        <f>1</f>
        <v>1</v>
      </c>
      <c r="N2138" s="5" t="s">
        <v>242</v>
      </c>
      <c r="O2138" s="5">
        <v>1</v>
      </c>
      <c r="P2138" s="5" t="s">
        <v>294</v>
      </c>
      <c r="Q2138" s="5" t="s">
        <v>266</v>
      </c>
      <c r="R2138" s="5" t="s">
        <v>240</v>
      </c>
      <c r="S2138" s="5" t="s">
        <v>240</v>
      </c>
      <c r="T2138" s="5" t="s">
        <v>296</v>
      </c>
      <c r="U2138" s="5" t="s">
        <v>244</v>
      </c>
      <c r="V2138" s="5" t="s">
        <v>240</v>
      </c>
      <c r="Y2138" s="5" t="s">
        <v>240</v>
      </c>
      <c r="Z2138" s="6" t="s">
        <v>298</v>
      </c>
      <c r="AB2138" s="6" t="s">
        <v>240</v>
      </c>
      <c r="AE2138" s="6" t="s">
        <v>299</v>
      </c>
      <c r="AF2138" s="5" t="s">
        <v>248</v>
      </c>
      <c r="AG2138" s="5" t="s">
        <v>249</v>
      </c>
      <c r="AW2138" s="5" t="s">
        <v>251</v>
      </c>
      <c r="AX2138" s="5" t="s">
        <v>240</v>
      </c>
      <c r="AY2138" s="5" t="s">
        <v>253</v>
      </c>
      <c r="AZ2138" s="5" t="s">
        <v>240</v>
      </c>
      <c r="BA2138" s="5" t="s">
        <v>255</v>
      </c>
      <c r="BB2138" s="5" t="s">
        <v>240</v>
      </c>
      <c r="BD2138" s="5" t="s">
        <v>240</v>
      </c>
      <c r="BF2138" s="5" t="s">
        <v>301</v>
      </c>
      <c r="BG2138" s="6" t="s">
        <v>299</v>
      </c>
      <c r="BH2138" s="5" t="s">
        <v>302</v>
      </c>
      <c r="BI2138" s="5" t="s">
        <v>303</v>
      </c>
      <c r="BJ2138" s="5" t="s">
        <v>240</v>
      </c>
      <c r="BK2138" s="8">
        <f>0</f>
        <v>0</v>
      </c>
      <c r="BL2138" s="7">
        <f>0</f>
        <v>0</v>
      </c>
      <c r="BM2138" s="5" t="s">
        <v>258</v>
      </c>
      <c r="BN2138" s="5" t="s">
        <v>259</v>
      </c>
      <c r="CB2138" s="5" t="s">
        <v>240</v>
      </c>
      <c r="CC2138" s="5" t="s">
        <v>240</v>
      </c>
      <c r="CG2138" s="5" t="s">
        <v>304</v>
      </c>
      <c r="CH2138" s="5" t="s">
        <v>305</v>
      </c>
      <c r="CI2138" s="5" t="s">
        <v>240</v>
      </c>
      <c r="CL2138" s="6" t="s">
        <v>261</v>
      </c>
      <c r="CM2138" s="5" t="s">
        <v>240</v>
      </c>
      <c r="CN2138" s="5" t="s">
        <v>263</v>
      </c>
      <c r="CO2138" s="5" t="s">
        <v>240</v>
      </c>
      <c r="CP2138" s="5" t="s">
        <v>240</v>
      </c>
      <c r="CQ2138" s="5">
        <v>0</v>
      </c>
      <c r="CR2138" s="5" t="s">
        <v>306</v>
      </c>
      <c r="CS2138" s="5" t="s">
        <v>307</v>
      </c>
      <c r="CT2138" s="5" t="s">
        <v>307</v>
      </c>
      <c r="CU2138" s="5" t="s">
        <v>260</v>
      </c>
      <c r="CX2138" s="7">
        <f>1</f>
        <v>1</v>
      </c>
      <c r="CY2138" s="7">
        <f>0</f>
        <v>0</v>
      </c>
      <c r="DA2138" s="7">
        <f>0</f>
        <v>0</v>
      </c>
      <c r="DC2138" s="5" t="s">
        <v>812</v>
      </c>
      <c r="DD2138" s="5" t="s">
        <v>240</v>
      </c>
      <c r="DF2138" s="5" t="s">
        <v>812</v>
      </c>
      <c r="DG2138" s="7">
        <f>1754</f>
        <v>1754</v>
      </c>
      <c r="DI2138" s="5" t="s">
        <v>240</v>
      </c>
      <c r="DJ2138" s="5" t="s">
        <v>240</v>
      </c>
      <c r="DK2138" s="5" t="s">
        <v>240</v>
      </c>
      <c r="DL2138" s="5" t="s">
        <v>240</v>
      </c>
      <c r="DP2138" s="5" t="s">
        <v>240</v>
      </c>
      <c r="DQ2138" s="5" t="s">
        <v>240</v>
      </c>
      <c r="DR2138" s="5" t="s">
        <v>240</v>
      </c>
      <c r="DS2138" s="5" t="s">
        <v>240</v>
      </c>
      <c r="DV2138" s="5" t="s">
        <v>813</v>
      </c>
      <c r="DW2138" s="5" t="s">
        <v>538</v>
      </c>
      <c r="HO2138" s="5" t="s">
        <v>312</v>
      </c>
    </row>
    <row r="2139" spans="1:223" x14ac:dyDescent="0.4">
      <c r="A2139" s="5">
        <v>3843</v>
      </c>
      <c r="B2139" s="5">
        <v>1</v>
      </c>
      <c r="C2139" s="5">
        <v>1</v>
      </c>
      <c r="D2139" s="5" t="s">
        <v>810</v>
      </c>
      <c r="E2139" s="5" t="s">
        <v>245</v>
      </c>
      <c r="F2139" s="5" t="s">
        <v>254</v>
      </c>
      <c r="G2139" s="5" t="s">
        <v>240</v>
      </c>
      <c r="H2139" s="6" t="s">
        <v>4144</v>
      </c>
      <c r="I2139" s="5" t="s">
        <v>809</v>
      </c>
      <c r="J2139" s="8">
        <f>850</f>
        <v>850</v>
      </c>
      <c r="K2139" s="5" t="s">
        <v>308</v>
      </c>
      <c r="L2139" s="7">
        <f>1</f>
        <v>1</v>
      </c>
      <c r="M2139" s="7">
        <f>1</f>
        <v>1</v>
      </c>
      <c r="N2139" s="5" t="s">
        <v>242</v>
      </c>
      <c r="O2139" s="5">
        <v>1</v>
      </c>
      <c r="P2139" s="5" t="s">
        <v>294</v>
      </c>
      <c r="Q2139" s="5" t="s">
        <v>266</v>
      </c>
      <c r="R2139" s="5" t="s">
        <v>240</v>
      </c>
      <c r="S2139" s="5" t="s">
        <v>240</v>
      </c>
      <c r="T2139" s="5" t="s">
        <v>296</v>
      </c>
      <c r="U2139" s="5" t="s">
        <v>244</v>
      </c>
      <c r="V2139" s="5" t="s">
        <v>240</v>
      </c>
      <c r="Y2139" s="5" t="s">
        <v>240</v>
      </c>
      <c r="Z2139" s="6" t="s">
        <v>298</v>
      </c>
      <c r="AB2139" s="6" t="s">
        <v>240</v>
      </c>
      <c r="AE2139" s="6" t="s">
        <v>299</v>
      </c>
      <c r="AF2139" s="5" t="s">
        <v>248</v>
      </c>
      <c r="AG2139" s="5" t="s">
        <v>249</v>
      </c>
      <c r="AW2139" s="5" t="s">
        <v>251</v>
      </c>
      <c r="AX2139" s="5" t="s">
        <v>240</v>
      </c>
      <c r="AY2139" s="5" t="s">
        <v>253</v>
      </c>
      <c r="AZ2139" s="5" t="s">
        <v>240</v>
      </c>
      <c r="BA2139" s="5" t="s">
        <v>255</v>
      </c>
      <c r="BB2139" s="5" t="s">
        <v>240</v>
      </c>
      <c r="BD2139" s="5" t="s">
        <v>240</v>
      </c>
      <c r="BF2139" s="5" t="s">
        <v>301</v>
      </c>
      <c r="BG2139" s="6" t="s">
        <v>299</v>
      </c>
      <c r="BH2139" s="5" t="s">
        <v>302</v>
      </c>
      <c r="BI2139" s="5" t="s">
        <v>303</v>
      </c>
      <c r="BJ2139" s="5" t="s">
        <v>240</v>
      </c>
      <c r="BK2139" s="8">
        <f>0</f>
        <v>0</v>
      </c>
      <c r="BL2139" s="7">
        <f>0</f>
        <v>0</v>
      </c>
      <c r="BM2139" s="5" t="s">
        <v>258</v>
      </c>
      <c r="BN2139" s="5" t="s">
        <v>259</v>
      </c>
      <c r="CB2139" s="5" t="s">
        <v>240</v>
      </c>
      <c r="CC2139" s="5" t="s">
        <v>240</v>
      </c>
      <c r="CG2139" s="5" t="s">
        <v>304</v>
      </c>
      <c r="CH2139" s="5" t="s">
        <v>305</v>
      </c>
      <c r="CI2139" s="5" t="s">
        <v>240</v>
      </c>
      <c r="CL2139" s="6" t="s">
        <v>261</v>
      </c>
      <c r="CM2139" s="5" t="s">
        <v>240</v>
      </c>
      <c r="CN2139" s="5" t="s">
        <v>263</v>
      </c>
      <c r="CO2139" s="5" t="s">
        <v>240</v>
      </c>
      <c r="CP2139" s="5" t="s">
        <v>240</v>
      </c>
      <c r="CQ2139" s="5">
        <v>0</v>
      </c>
      <c r="CR2139" s="5" t="s">
        <v>306</v>
      </c>
      <c r="CS2139" s="5" t="s">
        <v>307</v>
      </c>
      <c r="CT2139" s="5" t="s">
        <v>307</v>
      </c>
      <c r="CU2139" s="5" t="s">
        <v>260</v>
      </c>
      <c r="CX2139" s="7">
        <f>1</f>
        <v>1</v>
      </c>
      <c r="CY2139" s="7">
        <f>0</f>
        <v>0</v>
      </c>
      <c r="DA2139" s="7">
        <f>0</f>
        <v>0</v>
      </c>
      <c r="DC2139" s="5" t="s">
        <v>812</v>
      </c>
      <c r="DD2139" s="5" t="s">
        <v>240</v>
      </c>
      <c r="DF2139" s="5" t="s">
        <v>812</v>
      </c>
      <c r="DG2139" s="7">
        <f>325</f>
        <v>325</v>
      </c>
      <c r="DI2139" s="5" t="s">
        <v>240</v>
      </c>
      <c r="DJ2139" s="5" t="s">
        <v>240</v>
      </c>
      <c r="DK2139" s="5" t="s">
        <v>240</v>
      </c>
      <c r="DL2139" s="5" t="s">
        <v>240</v>
      </c>
      <c r="DP2139" s="5" t="s">
        <v>240</v>
      </c>
      <c r="DQ2139" s="5" t="s">
        <v>240</v>
      </c>
      <c r="DR2139" s="5" t="s">
        <v>240</v>
      </c>
      <c r="DS2139" s="5" t="s">
        <v>240</v>
      </c>
      <c r="DV2139" s="5" t="s">
        <v>813</v>
      </c>
      <c r="DW2139" s="5" t="s">
        <v>540</v>
      </c>
      <c r="HO2139" s="5" t="s">
        <v>312</v>
      </c>
    </row>
    <row r="2140" spans="1:223" x14ac:dyDescent="0.4">
      <c r="A2140" s="5">
        <v>3844</v>
      </c>
      <c r="B2140" s="5">
        <v>1</v>
      </c>
      <c r="C2140" s="5">
        <v>1</v>
      </c>
      <c r="D2140" s="5" t="s">
        <v>810</v>
      </c>
      <c r="E2140" s="5" t="s">
        <v>245</v>
      </c>
      <c r="F2140" s="5" t="s">
        <v>254</v>
      </c>
      <c r="G2140" s="5" t="s">
        <v>240</v>
      </c>
      <c r="H2140" s="6" t="s">
        <v>4143</v>
      </c>
      <c r="I2140" s="5" t="s">
        <v>809</v>
      </c>
      <c r="J2140" s="8">
        <f>155</f>
        <v>155</v>
      </c>
      <c r="K2140" s="5" t="s">
        <v>308</v>
      </c>
      <c r="L2140" s="7">
        <f>1</f>
        <v>1</v>
      </c>
      <c r="M2140" s="7">
        <f>1</f>
        <v>1</v>
      </c>
      <c r="N2140" s="5" t="s">
        <v>242</v>
      </c>
      <c r="O2140" s="5">
        <v>1</v>
      </c>
      <c r="P2140" s="5" t="s">
        <v>294</v>
      </c>
      <c r="Q2140" s="5" t="s">
        <v>266</v>
      </c>
      <c r="R2140" s="5" t="s">
        <v>240</v>
      </c>
      <c r="S2140" s="5" t="s">
        <v>240</v>
      </c>
      <c r="T2140" s="5" t="s">
        <v>296</v>
      </c>
      <c r="U2140" s="5" t="s">
        <v>244</v>
      </c>
      <c r="V2140" s="5" t="s">
        <v>240</v>
      </c>
      <c r="Y2140" s="5" t="s">
        <v>240</v>
      </c>
      <c r="Z2140" s="6" t="s">
        <v>298</v>
      </c>
      <c r="AB2140" s="6" t="s">
        <v>240</v>
      </c>
      <c r="AE2140" s="6" t="s">
        <v>299</v>
      </c>
      <c r="AF2140" s="5" t="s">
        <v>248</v>
      </c>
      <c r="AG2140" s="5" t="s">
        <v>249</v>
      </c>
      <c r="AW2140" s="5" t="s">
        <v>251</v>
      </c>
      <c r="AX2140" s="5" t="s">
        <v>240</v>
      </c>
      <c r="AY2140" s="5" t="s">
        <v>253</v>
      </c>
      <c r="AZ2140" s="5" t="s">
        <v>240</v>
      </c>
      <c r="BA2140" s="5" t="s">
        <v>255</v>
      </c>
      <c r="BB2140" s="5" t="s">
        <v>240</v>
      </c>
      <c r="BD2140" s="5" t="s">
        <v>240</v>
      </c>
      <c r="BF2140" s="5" t="s">
        <v>301</v>
      </c>
      <c r="BG2140" s="6" t="s">
        <v>299</v>
      </c>
      <c r="BH2140" s="5" t="s">
        <v>302</v>
      </c>
      <c r="BI2140" s="5" t="s">
        <v>303</v>
      </c>
      <c r="BJ2140" s="5" t="s">
        <v>240</v>
      </c>
      <c r="BK2140" s="8">
        <f>0</f>
        <v>0</v>
      </c>
      <c r="BL2140" s="7">
        <f>0</f>
        <v>0</v>
      </c>
      <c r="BM2140" s="5" t="s">
        <v>258</v>
      </c>
      <c r="BN2140" s="5" t="s">
        <v>259</v>
      </c>
      <c r="CB2140" s="5" t="s">
        <v>240</v>
      </c>
      <c r="CC2140" s="5" t="s">
        <v>240</v>
      </c>
      <c r="CG2140" s="5" t="s">
        <v>304</v>
      </c>
      <c r="CH2140" s="5" t="s">
        <v>305</v>
      </c>
      <c r="CI2140" s="5" t="s">
        <v>240</v>
      </c>
      <c r="CL2140" s="6" t="s">
        <v>261</v>
      </c>
      <c r="CM2140" s="5" t="s">
        <v>240</v>
      </c>
      <c r="CN2140" s="5" t="s">
        <v>263</v>
      </c>
      <c r="CO2140" s="5" t="s">
        <v>240</v>
      </c>
      <c r="CP2140" s="5" t="s">
        <v>240</v>
      </c>
      <c r="CQ2140" s="5">
        <v>0</v>
      </c>
      <c r="CR2140" s="5" t="s">
        <v>306</v>
      </c>
      <c r="CS2140" s="5" t="s">
        <v>307</v>
      </c>
      <c r="CT2140" s="5" t="s">
        <v>307</v>
      </c>
      <c r="CU2140" s="5" t="s">
        <v>260</v>
      </c>
      <c r="CX2140" s="7">
        <f>1</f>
        <v>1</v>
      </c>
      <c r="CY2140" s="7">
        <f>0</f>
        <v>0</v>
      </c>
      <c r="DA2140" s="7">
        <f>0</f>
        <v>0</v>
      </c>
      <c r="DC2140" s="5" t="s">
        <v>812</v>
      </c>
      <c r="DD2140" s="5" t="s">
        <v>240</v>
      </c>
      <c r="DF2140" s="5" t="s">
        <v>812</v>
      </c>
      <c r="DG2140" s="7">
        <f>436</f>
        <v>436</v>
      </c>
      <c r="DI2140" s="5" t="s">
        <v>240</v>
      </c>
      <c r="DJ2140" s="5" t="s">
        <v>240</v>
      </c>
      <c r="DK2140" s="5" t="s">
        <v>240</v>
      </c>
      <c r="DL2140" s="5" t="s">
        <v>240</v>
      </c>
      <c r="DP2140" s="5" t="s">
        <v>240</v>
      </c>
      <c r="DQ2140" s="5" t="s">
        <v>240</v>
      </c>
      <c r="DR2140" s="5" t="s">
        <v>240</v>
      </c>
      <c r="DS2140" s="5" t="s">
        <v>240</v>
      </c>
      <c r="DV2140" s="5" t="s">
        <v>813</v>
      </c>
      <c r="DW2140" s="5" t="s">
        <v>542</v>
      </c>
      <c r="HO2140" s="5" t="s">
        <v>312</v>
      </c>
    </row>
    <row r="2141" spans="1:223" x14ac:dyDescent="0.4">
      <c r="A2141" s="5">
        <v>3845</v>
      </c>
      <c r="B2141" s="5">
        <v>1</v>
      </c>
      <c r="C2141" s="5">
        <v>1</v>
      </c>
      <c r="D2141" s="5" t="s">
        <v>810</v>
      </c>
      <c r="E2141" s="5" t="s">
        <v>245</v>
      </c>
      <c r="F2141" s="5" t="s">
        <v>254</v>
      </c>
      <c r="G2141" s="5" t="s">
        <v>240</v>
      </c>
      <c r="H2141" s="6" t="s">
        <v>4142</v>
      </c>
      <c r="I2141" s="5" t="s">
        <v>809</v>
      </c>
      <c r="J2141" s="8">
        <f>534</f>
        <v>534</v>
      </c>
      <c r="K2141" s="5" t="s">
        <v>308</v>
      </c>
      <c r="L2141" s="7">
        <f>1</f>
        <v>1</v>
      </c>
      <c r="M2141" s="7">
        <f>1</f>
        <v>1</v>
      </c>
      <c r="N2141" s="5" t="s">
        <v>242</v>
      </c>
      <c r="O2141" s="5">
        <v>1</v>
      </c>
      <c r="P2141" s="5" t="s">
        <v>294</v>
      </c>
      <c r="Q2141" s="5" t="s">
        <v>266</v>
      </c>
      <c r="R2141" s="5" t="s">
        <v>240</v>
      </c>
      <c r="S2141" s="5" t="s">
        <v>240</v>
      </c>
      <c r="T2141" s="5" t="s">
        <v>296</v>
      </c>
      <c r="U2141" s="5" t="s">
        <v>244</v>
      </c>
      <c r="V2141" s="5" t="s">
        <v>240</v>
      </c>
      <c r="Y2141" s="5" t="s">
        <v>240</v>
      </c>
      <c r="Z2141" s="6" t="s">
        <v>298</v>
      </c>
      <c r="AB2141" s="6" t="s">
        <v>240</v>
      </c>
      <c r="AE2141" s="6" t="s">
        <v>299</v>
      </c>
      <c r="AF2141" s="5" t="s">
        <v>248</v>
      </c>
      <c r="AG2141" s="5" t="s">
        <v>249</v>
      </c>
      <c r="AW2141" s="5" t="s">
        <v>251</v>
      </c>
      <c r="AX2141" s="5" t="s">
        <v>240</v>
      </c>
      <c r="AY2141" s="5" t="s">
        <v>253</v>
      </c>
      <c r="AZ2141" s="5" t="s">
        <v>240</v>
      </c>
      <c r="BA2141" s="5" t="s">
        <v>255</v>
      </c>
      <c r="BB2141" s="5" t="s">
        <v>240</v>
      </c>
      <c r="BD2141" s="5" t="s">
        <v>240</v>
      </c>
      <c r="BF2141" s="5" t="s">
        <v>301</v>
      </c>
      <c r="BG2141" s="6" t="s">
        <v>299</v>
      </c>
      <c r="BH2141" s="5" t="s">
        <v>302</v>
      </c>
      <c r="BI2141" s="5" t="s">
        <v>303</v>
      </c>
      <c r="BJ2141" s="5" t="s">
        <v>240</v>
      </c>
      <c r="BK2141" s="8">
        <f>0</f>
        <v>0</v>
      </c>
      <c r="BL2141" s="7">
        <f>0</f>
        <v>0</v>
      </c>
      <c r="BM2141" s="5" t="s">
        <v>258</v>
      </c>
      <c r="BN2141" s="5" t="s">
        <v>259</v>
      </c>
      <c r="CB2141" s="5" t="s">
        <v>240</v>
      </c>
      <c r="CC2141" s="5" t="s">
        <v>240</v>
      </c>
      <c r="CG2141" s="5" t="s">
        <v>304</v>
      </c>
      <c r="CH2141" s="5" t="s">
        <v>305</v>
      </c>
      <c r="CI2141" s="5" t="s">
        <v>240</v>
      </c>
      <c r="CL2141" s="6" t="s">
        <v>261</v>
      </c>
      <c r="CM2141" s="5" t="s">
        <v>240</v>
      </c>
      <c r="CN2141" s="5" t="s">
        <v>263</v>
      </c>
      <c r="CO2141" s="5" t="s">
        <v>240</v>
      </c>
      <c r="CP2141" s="5" t="s">
        <v>240</v>
      </c>
      <c r="CQ2141" s="5">
        <v>0</v>
      </c>
      <c r="CR2141" s="5" t="s">
        <v>306</v>
      </c>
      <c r="CS2141" s="5" t="s">
        <v>307</v>
      </c>
      <c r="CT2141" s="5" t="s">
        <v>307</v>
      </c>
      <c r="CU2141" s="5" t="s">
        <v>260</v>
      </c>
      <c r="CX2141" s="7">
        <f>1</f>
        <v>1</v>
      </c>
      <c r="CY2141" s="7">
        <f>0</f>
        <v>0</v>
      </c>
      <c r="DA2141" s="7">
        <f>0</f>
        <v>0</v>
      </c>
      <c r="DC2141" s="5" t="s">
        <v>812</v>
      </c>
      <c r="DD2141" s="5" t="s">
        <v>240</v>
      </c>
      <c r="DF2141" s="5" t="s">
        <v>812</v>
      </c>
      <c r="DG2141" s="7">
        <f>267</f>
        <v>267</v>
      </c>
      <c r="DI2141" s="5" t="s">
        <v>240</v>
      </c>
      <c r="DJ2141" s="5" t="s">
        <v>240</v>
      </c>
      <c r="DK2141" s="5" t="s">
        <v>240</v>
      </c>
      <c r="DL2141" s="5" t="s">
        <v>240</v>
      </c>
      <c r="DP2141" s="5" t="s">
        <v>240</v>
      </c>
      <c r="DQ2141" s="5" t="s">
        <v>240</v>
      </c>
      <c r="DR2141" s="5" t="s">
        <v>240</v>
      </c>
      <c r="DS2141" s="5" t="s">
        <v>240</v>
      </c>
      <c r="DV2141" s="5" t="s">
        <v>813</v>
      </c>
      <c r="DW2141" s="5" t="s">
        <v>544</v>
      </c>
      <c r="HO2141" s="5" t="s">
        <v>312</v>
      </c>
    </row>
    <row r="2142" spans="1:223" x14ac:dyDescent="0.4">
      <c r="A2142" s="5">
        <v>3846</v>
      </c>
      <c r="B2142" s="5">
        <v>1</v>
      </c>
      <c r="C2142" s="5">
        <v>1</v>
      </c>
      <c r="D2142" s="5" t="s">
        <v>810</v>
      </c>
      <c r="E2142" s="5" t="s">
        <v>245</v>
      </c>
      <c r="F2142" s="5" t="s">
        <v>254</v>
      </c>
      <c r="G2142" s="5" t="s">
        <v>240</v>
      </c>
      <c r="H2142" s="6" t="s">
        <v>4141</v>
      </c>
      <c r="I2142" s="5" t="s">
        <v>809</v>
      </c>
      <c r="J2142" s="8">
        <f>123</f>
        <v>123</v>
      </c>
      <c r="K2142" s="5" t="s">
        <v>308</v>
      </c>
      <c r="L2142" s="7">
        <f>1</f>
        <v>1</v>
      </c>
      <c r="M2142" s="7">
        <f>1</f>
        <v>1</v>
      </c>
      <c r="N2142" s="5" t="s">
        <v>242</v>
      </c>
      <c r="O2142" s="5">
        <v>1</v>
      </c>
      <c r="P2142" s="5" t="s">
        <v>294</v>
      </c>
      <c r="Q2142" s="5" t="s">
        <v>266</v>
      </c>
      <c r="R2142" s="5" t="s">
        <v>240</v>
      </c>
      <c r="S2142" s="5" t="s">
        <v>240</v>
      </c>
      <c r="T2142" s="5" t="s">
        <v>296</v>
      </c>
      <c r="U2142" s="5" t="s">
        <v>244</v>
      </c>
      <c r="V2142" s="5" t="s">
        <v>240</v>
      </c>
      <c r="Y2142" s="5" t="s">
        <v>240</v>
      </c>
      <c r="Z2142" s="6" t="s">
        <v>298</v>
      </c>
      <c r="AB2142" s="6" t="s">
        <v>240</v>
      </c>
      <c r="AE2142" s="6" t="s">
        <v>299</v>
      </c>
      <c r="AF2142" s="5" t="s">
        <v>248</v>
      </c>
      <c r="AG2142" s="5" t="s">
        <v>249</v>
      </c>
      <c r="AW2142" s="5" t="s">
        <v>251</v>
      </c>
      <c r="AX2142" s="5" t="s">
        <v>240</v>
      </c>
      <c r="AY2142" s="5" t="s">
        <v>253</v>
      </c>
      <c r="AZ2142" s="5" t="s">
        <v>240</v>
      </c>
      <c r="BA2142" s="5" t="s">
        <v>255</v>
      </c>
      <c r="BB2142" s="5" t="s">
        <v>240</v>
      </c>
      <c r="BD2142" s="5" t="s">
        <v>240</v>
      </c>
      <c r="BF2142" s="5" t="s">
        <v>301</v>
      </c>
      <c r="BG2142" s="6" t="s">
        <v>299</v>
      </c>
      <c r="BH2142" s="5" t="s">
        <v>302</v>
      </c>
      <c r="BI2142" s="5" t="s">
        <v>303</v>
      </c>
      <c r="BJ2142" s="5" t="s">
        <v>240</v>
      </c>
      <c r="BK2142" s="8">
        <f>0</f>
        <v>0</v>
      </c>
      <c r="BL2142" s="7">
        <f>0</f>
        <v>0</v>
      </c>
      <c r="BM2142" s="5" t="s">
        <v>258</v>
      </c>
      <c r="BN2142" s="5" t="s">
        <v>259</v>
      </c>
      <c r="CB2142" s="5" t="s">
        <v>240</v>
      </c>
      <c r="CC2142" s="5" t="s">
        <v>240</v>
      </c>
      <c r="CG2142" s="5" t="s">
        <v>304</v>
      </c>
      <c r="CH2142" s="5" t="s">
        <v>305</v>
      </c>
      <c r="CI2142" s="5" t="s">
        <v>240</v>
      </c>
      <c r="CL2142" s="6" t="s">
        <v>261</v>
      </c>
      <c r="CM2142" s="5" t="s">
        <v>240</v>
      </c>
      <c r="CN2142" s="5" t="s">
        <v>263</v>
      </c>
      <c r="CO2142" s="5" t="s">
        <v>240</v>
      </c>
      <c r="CP2142" s="5" t="s">
        <v>240</v>
      </c>
      <c r="CQ2142" s="5">
        <v>0</v>
      </c>
      <c r="CR2142" s="5" t="s">
        <v>306</v>
      </c>
      <c r="CS2142" s="5" t="s">
        <v>307</v>
      </c>
      <c r="CT2142" s="5" t="s">
        <v>307</v>
      </c>
      <c r="CU2142" s="5" t="s">
        <v>260</v>
      </c>
      <c r="CX2142" s="7">
        <f>1</f>
        <v>1</v>
      </c>
      <c r="CY2142" s="7">
        <f>0</f>
        <v>0</v>
      </c>
      <c r="DA2142" s="7">
        <f>0</f>
        <v>0</v>
      </c>
      <c r="DC2142" s="5" t="s">
        <v>309</v>
      </c>
      <c r="DD2142" s="5" t="s">
        <v>240</v>
      </c>
      <c r="DF2142" s="5" t="s">
        <v>309</v>
      </c>
      <c r="DG2142" s="7">
        <f>557</f>
        <v>557</v>
      </c>
      <c r="DI2142" s="5" t="s">
        <v>240</v>
      </c>
      <c r="DJ2142" s="5" t="s">
        <v>240</v>
      </c>
      <c r="DK2142" s="5" t="s">
        <v>240</v>
      </c>
      <c r="DL2142" s="5" t="s">
        <v>240</v>
      </c>
      <c r="DP2142" s="5" t="s">
        <v>240</v>
      </c>
      <c r="DQ2142" s="5" t="s">
        <v>240</v>
      </c>
      <c r="DR2142" s="5" t="s">
        <v>240</v>
      </c>
      <c r="DS2142" s="5" t="s">
        <v>240</v>
      </c>
      <c r="DV2142" s="5" t="s">
        <v>310</v>
      </c>
      <c r="DW2142" s="5" t="s">
        <v>1260</v>
      </c>
      <c r="HO2142" s="5" t="s">
        <v>312</v>
      </c>
    </row>
    <row r="2143" spans="1:223" x14ac:dyDescent="0.4">
      <c r="A2143" s="5">
        <v>3847</v>
      </c>
      <c r="B2143" s="5">
        <v>1</v>
      </c>
      <c r="C2143" s="5">
        <v>1</v>
      </c>
      <c r="D2143" s="5" t="s">
        <v>810</v>
      </c>
      <c r="E2143" s="5" t="s">
        <v>245</v>
      </c>
      <c r="F2143" s="5" t="s">
        <v>254</v>
      </c>
      <c r="G2143" s="5" t="s">
        <v>240</v>
      </c>
      <c r="H2143" s="6" t="s">
        <v>4140</v>
      </c>
      <c r="I2143" s="5" t="s">
        <v>809</v>
      </c>
      <c r="J2143" s="8">
        <f>424</f>
        <v>424</v>
      </c>
      <c r="K2143" s="5" t="s">
        <v>308</v>
      </c>
      <c r="L2143" s="7">
        <f>1</f>
        <v>1</v>
      </c>
      <c r="M2143" s="7">
        <f>1</f>
        <v>1</v>
      </c>
      <c r="N2143" s="5" t="s">
        <v>242</v>
      </c>
      <c r="O2143" s="5">
        <v>1</v>
      </c>
      <c r="P2143" s="5" t="s">
        <v>294</v>
      </c>
      <c r="Q2143" s="5" t="s">
        <v>266</v>
      </c>
      <c r="R2143" s="5" t="s">
        <v>240</v>
      </c>
      <c r="S2143" s="5" t="s">
        <v>240</v>
      </c>
      <c r="T2143" s="5" t="s">
        <v>296</v>
      </c>
      <c r="U2143" s="5" t="s">
        <v>244</v>
      </c>
      <c r="V2143" s="5" t="s">
        <v>240</v>
      </c>
      <c r="Y2143" s="5" t="s">
        <v>240</v>
      </c>
      <c r="Z2143" s="6" t="s">
        <v>298</v>
      </c>
      <c r="AB2143" s="6" t="s">
        <v>240</v>
      </c>
      <c r="AE2143" s="6" t="s">
        <v>299</v>
      </c>
      <c r="AF2143" s="5" t="s">
        <v>248</v>
      </c>
      <c r="AG2143" s="5" t="s">
        <v>249</v>
      </c>
      <c r="AW2143" s="5" t="s">
        <v>251</v>
      </c>
      <c r="AX2143" s="5" t="s">
        <v>240</v>
      </c>
      <c r="AY2143" s="5" t="s">
        <v>253</v>
      </c>
      <c r="AZ2143" s="5" t="s">
        <v>240</v>
      </c>
      <c r="BA2143" s="5" t="s">
        <v>255</v>
      </c>
      <c r="BB2143" s="5" t="s">
        <v>240</v>
      </c>
      <c r="BD2143" s="5" t="s">
        <v>240</v>
      </c>
      <c r="BF2143" s="5" t="s">
        <v>301</v>
      </c>
      <c r="BG2143" s="6" t="s">
        <v>299</v>
      </c>
      <c r="BH2143" s="5" t="s">
        <v>302</v>
      </c>
      <c r="BI2143" s="5" t="s">
        <v>303</v>
      </c>
      <c r="BJ2143" s="5" t="s">
        <v>240</v>
      </c>
      <c r="BK2143" s="8">
        <f>0</f>
        <v>0</v>
      </c>
      <c r="BL2143" s="7">
        <f>0</f>
        <v>0</v>
      </c>
      <c r="BM2143" s="5" t="s">
        <v>258</v>
      </c>
      <c r="BN2143" s="5" t="s">
        <v>259</v>
      </c>
      <c r="CB2143" s="5" t="s">
        <v>240</v>
      </c>
      <c r="CC2143" s="5" t="s">
        <v>240</v>
      </c>
      <c r="CG2143" s="5" t="s">
        <v>304</v>
      </c>
      <c r="CH2143" s="5" t="s">
        <v>305</v>
      </c>
      <c r="CI2143" s="5" t="s">
        <v>240</v>
      </c>
      <c r="CL2143" s="6" t="s">
        <v>261</v>
      </c>
      <c r="CM2143" s="5" t="s">
        <v>240</v>
      </c>
      <c r="CN2143" s="5" t="s">
        <v>263</v>
      </c>
      <c r="CO2143" s="5" t="s">
        <v>240</v>
      </c>
      <c r="CP2143" s="5" t="s">
        <v>240</v>
      </c>
      <c r="CQ2143" s="5">
        <v>0</v>
      </c>
      <c r="CR2143" s="5" t="s">
        <v>306</v>
      </c>
      <c r="CS2143" s="5" t="s">
        <v>307</v>
      </c>
      <c r="CT2143" s="5" t="s">
        <v>307</v>
      </c>
      <c r="CU2143" s="5" t="s">
        <v>260</v>
      </c>
      <c r="CX2143" s="7">
        <f>1</f>
        <v>1</v>
      </c>
      <c r="CY2143" s="7">
        <f>0</f>
        <v>0</v>
      </c>
      <c r="DA2143" s="7">
        <f>0</f>
        <v>0</v>
      </c>
      <c r="DC2143" s="5" t="s">
        <v>812</v>
      </c>
      <c r="DD2143" s="5" t="s">
        <v>240</v>
      </c>
      <c r="DF2143" s="5" t="s">
        <v>812</v>
      </c>
      <c r="DG2143" s="7">
        <f>1018</f>
        <v>1018</v>
      </c>
      <c r="DI2143" s="5" t="s">
        <v>240</v>
      </c>
      <c r="DJ2143" s="5" t="s">
        <v>240</v>
      </c>
      <c r="DK2143" s="5" t="s">
        <v>240</v>
      </c>
      <c r="DL2143" s="5" t="s">
        <v>240</v>
      </c>
      <c r="DP2143" s="5" t="s">
        <v>240</v>
      </c>
      <c r="DQ2143" s="5" t="s">
        <v>240</v>
      </c>
      <c r="DR2143" s="5" t="s">
        <v>240</v>
      </c>
      <c r="DS2143" s="5" t="s">
        <v>240</v>
      </c>
      <c r="DV2143" s="5" t="s">
        <v>813</v>
      </c>
      <c r="DW2143" s="5" t="s">
        <v>548</v>
      </c>
      <c r="HO2143" s="5" t="s">
        <v>312</v>
      </c>
    </row>
    <row r="2144" spans="1:223" x14ac:dyDescent="0.4">
      <c r="A2144" s="5">
        <v>3848</v>
      </c>
      <c r="B2144" s="5">
        <v>1</v>
      </c>
      <c r="C2144" s="5">
        <v>1</v>
      </c>
      <c r="D2144" s="5" t="s">
        <v>810</v>
      </c>
      <c r="E2144" s="5" t="s">
        <v>245</v>
      </c>
      <c r="F2144" s="5" t="s">
        <v>254</v>
      </c>
      <c r="G2144" s="5" t="s">
        <v>240</v>
      </c>
      <c r="H2144" s="6" t="s">
        <v>4139</v>
      </c>
      <c r="I2144" s="5" t="s">
        <v>809</v>
      </c>
      <c r="J2144" s="8">
        <f>434</f>
        <v>434</v>
      </c>
      <c r="K2144" s="5" t="s">
        <v>308</v>
      </c>
      <c r="L2144" s="7">
        <f>1</f>
        <v>1</v>
      </c>
      <c r="M2144" s="7">
        <f>1</f>
        <v>1</v>
      </c>
      <c r="N2144" s="5" t="s">
        <v>242</v>
      </c>
      <c r="O2144" s="5">
        <v>1</v>
      </c>
      <c r="P2144" s="5" t="s">
        <v>294</v>
      </c>
      <c r="Q2144" s="5" t="s">
        <v>266</v>
      </c>
      <c r="R2144" s="5" t="s">
        <v>240</v>
      </c>
      <c r="S2144" s="5" t="s">
        <v>240</v>
      </c>
      <c r="T2144" s="5" t="s">
        <v>296</v>
      </c>
      <c r="U2144" s="5" t="s">
        <v>244</v>
      </c>
      <c r="V2144" s="5" t="s">
        <v>240</v>
      </c>
      <c r="Y2144" s="5" t="s">
        <v>240</v>
      </c>
      <c r="Z2144" s="6" t="s">
        <v>298</v>
      </c>
      <c r="AB2144" s="6" t="s">
        <v>240</v>
      </c>
      <c r="AE2144" s="6" t="s">
        <v>299</v>
      </c>
      <c r="AF2144" s="5" t="s">
        <v>248</v>
      </c>
      <c r="AG2144" s="5" t="s">
        <v>249</v>
      </c>
      <c r="AW2144" s="5" t="s">
        <v>251</v>
      </c>
      <c r="AX2144" s="5" t="s">
        <v>240</v>
      </c>
      <c r="AY2144" s="5" t="s">
        <v>253</v>
      </c>
      <c r="AZ2144" s="5" t="s">
        <v>240</v>
      </c>
      <c r="BA2144" s="5" t="s">
        <v>255</v>
      </c>
      <c r="BB2144" s="5" t="s">
        <v>240</v>
      </c>
      <c r="BD2144" s="5" t="s">
        <v>240</v>
      </c>
      <c r="BF2144" s="5" t="s">
        <v>301</v>
      </c>
      <c r="BG2144" s="6" t="s">
        <v>299</v>
      </c>
      <c r="BH2144" s="5" t="s">
        <v>302</v>
      </c>
      <c r="BI2144" s="5" t="s">
        <v>303</v>
      </c>
      <c r="BJ2144" s="5" t="s">
        <v>240</v>
      </c>
      <c r="BK2144" s="8">
        <f>0</f>
        <v>0</v>
      </c>
      <c r="BL2144" s="7">
        <f>0</f>
        <v>0</v>
      </c>
      <c r="BM2144" s="5" t="s">
        <v>258</v>
      </c>
      <c r="BN2144" s="5" t="s">
        <v>259</v>
      </c>
      <c r="CB2144" s="5" t="s">
        <v>240</v>
      </c>
      <c r="CC2144" s="5" t="s">
        <v>240</v>
      </c>
      <c r="CG2144" s="5" t="s">
        <v>304</v>
      </c>
      <c r="CH2144" s="5" t="s">
        <v>305</v>
      </c>
      <c r="CI2144" s="5" t="s">
        <v>240</v>
      </c>
      <c r="CL2144" s="6" t="s">
        <v>261</v>
      </c>
      <c r="CM2144" s="5" t="s">
        <v>240</v>
      </c>
      <c r="CN2144" s="5" t="s">
        <v>263</v>
      </c>
      <c r="CO2144" s="5" t="s">
        <v>240</v>
      </c>
      <c r="CP2144" s="5" t="s">
        <v>240</v>
      </c>
      <c r="CQ2144" s="5">
        <v>0</v>
      </c>
      <c r="CR2144" s="5" t="s">
        <v>306</v>
      </c>
      <c r="CS2144" s="5" t="s">
        <v>307</v>
      </c>
      <c r="CT2144" s="5" t="s">
        <v>307</v>
      </c>
      <c r="CU2144" s="5" t="s">
        <v>260</v>
      </c>
      <c r="CX2144" s="7">
        <f>1</f>
        <v>1</v>
      </c>
      <c r="CY2144" s="7">
        <f>0</f>
        <v>0</v>
      </c>
      <c r="DA2144" s="7">
        <f>0</f>
        <v>0</v>
      </c>
      <c r="DC2144" s="5" t="s">
        <v>812</v>
      </c>
      <c r="DD2144" s="5" t="s">
        <v>240</v>
      </c>
      <c r="DF2144" s="5" t="s">
        <v>812</v>
      </c>
      <c r="DG2144" s="7">
        <f>1238</f>
        <v>1238</v>
      </c>
      <c r="DI2144" s="5" t="s">
        <v>240</v>
      </c>
      <c r="DJ2144" s="5" t="s">
        <v>240</v>
      </c>
      <c r="DK2144" s="5" t="s">
        <v>240</v>
      </c>
      <c r="DL2144" s="5" t="s">
        <v>240</v>
      </c>
      <c r="DP2144" s="5" t="s">
        <v>240</v>
      </c>
      <c r="DQ2144" s="5" t="s">
        <v>240</v>
      </c>
      <c r="DR2144" s="5" t="s">
        <v>240</v>
      </c>
      <c r="DS2144" s="5" t="s">
        <v>240</v>
      </c>
      <c r="DV2144" s="5" t="s">
        <v>813</v>
      </c>
      <c r="DW2144" s="5" t="s">
        <v>550</v>
      </c>
      <c r="HO2144" s="5" t="s">
        <v>312</v>
      </c>
    </row>
    <row r="2145" spans="1:223" x14ac:dyDescent="0.4">
      <c r="A2145" s="5">
        <v>3849</v>
      </c>
      <c r="B2145" s="5">
        <v>1</v>
      </c>
      <c r="C2145" s="5">
        <v>1</v>
      </c>
      <c r="D2145" s="5" t="s">
        <v>810</v>
      </c>
      <c r="E2145" s="5" t="s">
        <v>245</v>
      </c>
      <c r="F2145" s="5" t="s">
        <v>254</v>
      </c>
      <c r="G2145" s="5" t="s">
        <v>240</v>
      </c>
      <c r="H2145" s="6" t="s">
        <v>5273</v>
      </c>
      <c r="I2145" s="5" t="s">
        <v>809</v>
      </c>
      <c r="J2145" s="8">
        <f>357</f>
        <v>357</v>
      </c>
      <c r="K2145" s="5" t="s">
        <v>308</v>
      </c>
      <c r="L2145" s="7">
        <f>1</f>
        <v>1</v>
      </c>
      <c r="M2145" s="7">
        <f>1</f>
        <v>1</v>
      </c>
      <c r="N2145" s="5" t="s">
        <v>242</v>
      </c>
      <c r="O2145" s="5">
        <v>1</v>
      </c>
      <c r="P2145" s="5" t="s">
        <v>294</v>
      </c>
      <c r="Q2145" s="5" t="s">
        <v>266</v>
      </c>
      <c r="R2145" s="5" t="s">
        <v>240</v>
      </c>
      <c r="S2145" s="5" t="s">
        <v>240</v>
      </c>
      <c r="T2145" s="5" t="s">
        <v>296</v>
      </c>
      <c r="U2145" s="5" t="s">
        <v>244</v>
      </c>
      <c r="V2145" s="5" t="s">
        <v>240</v>
      </c>
      <c r="Y2145" s="5" t="s">
        <v>240</v>
      </c>
      <c r="Z2145" s="6" t="s">
        <v>298</v>
      </c>
      <c r="AB2145" s="6" t="s">
        <v>240</v>
      </c>
      <c r="AE2145" s="6" t="s">
        <v>299</v>
      </c>
      <c r="AF2145" s="5" t="s">
        <v>248</v>
      </c>
      <c r="AG2145" s="5" t="s">
        <v>249</v>
      </c>
      <c r="AW2145" s="5" t="s">
        <v>251</v>
      </c>
      <c r="AX2145" s="5" t="s">
        <v>240</v>
      </c>
      <c r="AY2145" s="5" t="s">
        <v>253</v>
      </c>
      <c r="AZ2145" s="5" t="s">
        <v>240</v>
      </c>
      <c r="BA2145" s="5" t="s">
        <v>255</v>
      </c>
      <c r="BB2145" s="5" t="s">
        <v>240</v>
      </c>
      <c r="BD2145" s="5" t="s">
        <v>240</v>
      </c>
      <c r="BF2145" s="5" t="s">
        <v>301</v>
      </c>
      <c r="BG2145" s="6" t="s">
        <v>299</v>
      </c>
      <c r="BH2145" s="5" t="s">
        <v>302</v>
      </c>
      <c r="BI2145" s="5" t="s">
        <v>303</v>
      </c>
      <c r="BJ2145" s="5" t="s">
        <v>240</v>
      </c>
      <c r="BK2145" s="8">
        <f>0</f>
        <v>0</v>
      </c>
      <c r="BL2145" s="7">
        <f>0</f>
        <v>0</v>
      </c>
      <c r="BM2145" s="5" t="s">
        <v>258</v>
      </c>
      <c r="BN2145" s="5" t="s">
        <v>259</v>
      </c>
      <c r="CB2145" s="5" t="s">
        <v>240</v>
      </c>
      <c r="CC2145" s="5" t="s">
        <v>240</v>
      </c>
      <c r="CG2145" s="5" t="s">
        <v>304</v>
      </c>
      <c r="CH2145" s="5" t="s">
        <v>305</v>
      </c>
      <c r="CI2145" s="5" t="s">
        <v>240</v>
      </c>
      <c r="CL2145" s="6" t="s">
        <v>261</v>
      </c>
      <c r="CM2145" s="5" t="s">
        <v>240</v>
      </c>
      <c r="CN2145" s="5" t="s">
        <v>263</v>
      </c>
      <c r="CO2145" s="5" t="s">
        <v>240</v>
      </c>
      <c r="CP2145" s="5" t="s">
        <v>240</v>
      </c>
      <c r="CQ2145" s="5">
        <v>0</v>
      </c>
      <c r="CR2145" s="5" t="s">
        <v>306</v>
      </c>
      <c r="CS2145" s="5" t="s">
        <v>307</v>
      </c>
      <c r="CT2145" s="5" t="s">
        <v>307</v>
      </c>
      <c r="CU2145" s="5" t="s">
        <v>260</v>
      </c>
      <c r="CX2145" s="7">
        <f>1</f>
        <v>1</v>
      </c>
      <c r="CY2145" s="7">
        <f>0</f>
        <v>0</v>
      </c>
      <c r="DA2145" s="7">
        <f>0</f>
        <v>0</v>
      </c>
      <c r="DC2145" s="5" t="s">
        <v>812</v>
      </c>
      <c r="DD2145" s="5" t="s">
        <v>240</v>
      </c>
      <c r="DF2145" s="5" t="s">
        <v>812</v>
      </c>
      <c r="DG2145" s="7">
        <f>1410</f>
        <v>1410</v>
      </c>
      <c r="DI2145" s="5" t="s">
        <v>240</v>
      </c>
      <c r="DJ2145" s="5" t="s">
        <v>240</v>
      </c>
      <c r="DK2145" s="5" t="s">
        <v>240</v>
      </c>
      <c r="DL2145" s="5" t="s">
        <v>240</v>
      </c>
      <c r="DP2145" s="5" t="s">
        <v>240</v>
      </c>
      <c r="DQ2145" s="5" t="s">
        <v>240</v>
      </c>
      <c r="DR2145" s="5" t="s">
        <v>240</v>
      </c>
      <c r="DS2145" s="5" t="s">
        <v>240</v>
      </c>
      <c r="DV2145" s="5" t="s">
        <v>813</v>
      </c>
      <c r="DW2145" s="5" t="s">
        <v>552</v>
      </c>
      <c r="HO2145" s="5" t="s">
        <v>312</v>
      </c>
    </row>
    <row r="2146" spans="1:223" x14ac:dyDescent="0.4">
      <c r="A2146" s="5">
        <v>3850</v>
      </c>
      <c r="B2146" s="5">
        <v>1</v>
      </c>
      <c r="C2146" s="5">
        <v>1</v>
      </c>
      <c r="D2146" s="5" t="s">
        <v>810</v>
      </c>
      <c r="E2146" s="5" t="s">
        <v>245</v>
      </c>
      <c r="F2146" s="5" t="s">
        <v>254</v>
      </c>
      <c r="G2146" s="5" t="s">
        <v>240</v>
      </c>
      <c r="H2146" s="6" t="s">
        <v>4137</v>
      </c>
      <c r="I2146" s="5" t="s">
        <v>809</v>
      </c>
      <c r="J2146" s="8">
        <f>304</f>
        <v>304</v>
      </c>
      <c r="K2146" s="5" t="s">
        <v>308</v>
      </c>
      <c r="L2146" s="7">
        <f>1</f>
        <v>1</v>
      </c>
      <c r="M2146" s="7">
        <f>1</f>
        <v>1</v>
      </c>
      <c r="N2146" s="5" t="s">
        <v>242</v>
      </c>
      <c r="O2146" s="5">
        <v>1</v>
      </c>
      <c r="P2146" s="5" t="s">
        <v>294</v>
      </c>
      <c r="Q2146" s="5" t="s">
        <v>266</v>
      </c>
      <c r="R2146" s="5" t="s">
        <v>240</v>
      </c>
      <c r="S2146" s="5" t="s">
        <v>240</v>
      </c>
      <c r="T2146" s="5" t="s">
        <v>296</v>
      </c>
      <c r="U2146" s="5" t="s">
        <v>244</v>
      </c>
      <c r="V2146" s="5" t="s">
        <v>240</v>
      </c>
      <c r="Y2146" s="5" t="s">
        <v>240</v>
      </c>
      <c r="Z2146" s="6" t="s">
        <v>298</v>
      </c>
      <c r="AB2146" s="6" t="s">
        <v>240</v>
      </c>
      <c r="AE2146" s="6" t="s">
        <v>299</v>
      </c>
      <c r="AF2146" s="5" t="s">
        <v>248</v>
      </c>
      <c r="AG2146" s="5" t="s">
        <v>249</v>
      </c>
      <c r="AW2146" s="5" t="s">
        <v>251</v>
      </c>
      <c r="AX2146" s="5" t="s">
        <v>240</v>
      </c>
      <c r="AY2146" s="5" t="s">
        <v>253</v>
      </c>
      <c r="AZ2146" s="5" t="s">
        <v>240</v>
      </c>
      <c r="BA2146" s="5" t="s">
        <v>255</v>
      </c>
      <c r="BB2146" s="5" t="s">
        <v>240</v>
      </c>
      <c r="BD2146" s="5" t="s">
        <v>240</v>
      </c>
      <c r="BF2146" s="5" t="s">
        <v>301</v>
      </c>
      <c r="BG2146" s="6" t="s">
        <v>299</v>
      </c>
      <c r="BH2146" s="5" t="s">
        <v>302</v>
      </c>
      <c r="BI2146" s="5" t="s">
        <v>303</v>
      </c>
      <c r="BJ2146" s="5" t="s">
        <v>240</v>
      </c>
      <c r="BK2146" s="8">
        <f>0</f>
        <v>0</v>
      </c>
      <c r="BL2146" s="7">
        <f>0</f>
        <v>0</v>
      </c>
      <c r="BM2146" s="5" t="s">
        <v>258</v>
      </c>
      <c r="BN2146" s="5" t="s">
        <v>259</v>
      </c>
      <c r="CB2146" s="5" t="s">
        <v>240</v>
      </c>
      <c r="CC2146" s="5" t="s">
        <v>240</v>
      </c>
      <c r="CG2146" s="5" t="s">
        <v>304</v>
      </c>
      <c r="CH2146" s="5" t="s">
        <v>305</v>
      </c>
      <c r="CI2146" s="5" t="s">
        <v>240</v>
      </c>
      <c r="CL2146" s="6" t="s">
        <v>261</v>
      </c>
      <c r="CM2146" s="5" t="s">
        <v>240</v>
      </c>
      <c r="CN2146" s="5" t="s">
        <v>263</v>
      </c>
      <c r="CO2146" s="5" t="s">
        <v>240</v>
      </c>
      <c r="CP2146" s="5" t="s">
        <v>240</v>
      </c>
      <c r="CQ2146" s="5">
        <v>0</v>
      </c>
      <c r="CR2146" s="5" t="s">
        <v>306</v>
      </c>
      <c r="CS2146" s="5" t="s">
        <v>307</v>
      </c>
      <c r="CT2146" s="5" t="s">
        <v>307</v>
      </c>
      <c r="CU2146" s="5" t="s">
        <v>260</v>
      </c>
      <c r="CX2146" s="7">
        <f>1</f>
        <v>1</v>
      </c>
      <c r="CY2146" s="7">
        <f>0</f>
        <v>0</v>
      </c>
      <c r="DA2146" s="7">
        <f>0</f>
        <v>0</v>
      </c>
      <c r="DC2146" s="5" t="s">
        <v>812</v>
      </c>
      <c r="DD2146" s="5" t="s">
        <v>240</v>
      </c>
      <c r="DF2146" s="5" t="s">
        <v>812</v>
      </c>
      <c r="DG2146" s="7">
        <f>540</f>
        <v>540</v>
      </c>
      <c r="DI2146" s="5" t="s">
        <v>240</v>
      </c>
      <c r="DJ2146" s="5" t="s">
        <v>240</v>
      </c>
      <c r="DK2146" s="5" t="s">
        <v>240</v>
      </c>
      <c r="DL2146" s="5" t="s">
        <v>240</v>
      </c>
      <c r="DP2146" s="5" t="s">
        <v>240</v>
      </c>
      <c r="DQ2146" s="5" t="s">
        <v>240</v>
      </c>
      <c r="DR2146" s="5" t="s">
        <v>240</v>
      </c>
      <c r="DS2146" s="5" t="s">
        <v>240</v>
      </c>
      <c r="DV2146" s="5" t="s">
        <v>813</v>
      </c>
      <c r="DW2146" s="5" t="s">
        <v>554</v>
      </c>
      <c r="HO2146" s="5" t="s">
        <v>312</v>
      </c>
    </row>
    <row r="2147" spans="1:223" x14ac:dyDescent="0.4">
      <c r="A2147" s="5">
        <v>3851</v>
      </c>
      <c r="B2147" s="5">
        <v>1</v>
      </c>
      <c r="C2147" s="5">
        <v>1</v>
      </c>
      <c r="D2147" s="5" t="s">
        <v>810</v>
      </c>
      <c r="E2147" s="5" t="s">
        <v>245</v>
      </c>
      <c r="F2147" s="5" t="s">
        <v>254</v>
      </c>
      <c r="G2147" s="5" t="s">
        <v>240</v>
      </c>
      <c r="H2147" s="6" t="s">
        <v>4136</v>
      </c>
      <c r="I2147" s="5" t="s">
        <v>809</v>
      </c>
      <c r="J2147" s="8">
        <f>774</f>
        <v>774</v>
      </c>
      <c r="K2147" s="5" t="s">
        <v>308</v>
      </c>
      <c r="L2147" s="7">
        <f>1</f>
        <v>1</v>
      </c>
      <c r="M2147" s="7">
        <f>1</f>
        <v>1</v>
      </c>
      <c r="N2147" s="5" t="s">
        <v>242</v>
      </c>
      <c r="O2147" s="5">
        <v>1</v>
      </c>
      <c r="P2147" s="5" t="s">
        <v>294</v>
      </c>
      <c r="Q2147" s="5" t="s">
        <v>266</v>
      </c>
      <c r="R2147" s="5" t="s">
        <v>240</v>
      </c>
      <c r="S2147" s="5" t="s">
        <v>240</v>
      </c>
      <c r="T2147" s="5" t="s">
        <v>296</v>
      </c>
      <c r="U2147" s="5" t="s">
        <v>244</v>
      </c>
      <c r="V2147" s="5" t="s">
        <v>240</v>
      </c>
      <c r="Y2147" s="5" t="s">
        <v>240</v>
      </c>
      <c r="Z2147" s="6" t="s">
        <v>298</v>
      </c>
      <c r="AB2147" s="6" t="s">
        <v>240</v>
      </c>
      <c r="AE2147" s="6" t="s">
        <v>299</v>
      </c>
      <c r="AF2147" s="5" t="s">
        <v>248</v>
      </c>
      <c r="AG2147" s="5" t="s">
        <v>249</v>
      </c>
      <c r="AW2147" s="5" t="s">
        <v>251</v>
      </c>
      <c r="AX2147" s="5" t="s">
        <v>240</v>
      </c>
      <c r="AY2147" s="5" t="s">
        <v>253</v>
      </c>
      <c r="AZ2147" s="5" t="s">
        <v>240</v>
      </c>
      <c r="BA2147" s="5" t="s">
        <v>255</v>
      </c>
      <c r="BB2147" s="5" t="s">
        <v>240</v>
      </c>
      <c r="BD2147" s="5" t="s">
        <v>240</v>
      </c>
      <c r="BF2147" s="5" t="s">
        <v>301</v>
      </c>
      <c r="BG2147" s="6" t="s">
        <v>299</v>
      </c>
      <c r="BH2147" s="5" t="s">
        <v>302</v>
      </c>
      <c r="BI2147" s="5" t="s">
        <v>303</v>
      </c>
      <c r="BJ2147" s="5" t="s">
        <v>240</v>
      </c>
      <c r="BK2147" s="8">
        <f>0</f>
        <v>0</v>
      </c>
      <c r="BL2147" s="7">
        <f>0</f>
        <v>0</v>
      </c>
      <c r="BM2147" s="5" t="s">
        <v>258</v>
      </c>
      <c r="BN2147" s="5" t="s">
        <v>259</v>
      </c>
      <c r="CB2147" s="5" t="s">
        <v>240</v>
      </c>
      <c r="CC2147" s="5" t="s">
        <v>240</v>
      </c>
      <c r="CG2147" s="5" t="s">
        <v>304</v>
      </c>
      <c r="CH2147" s="5" t="s">
        <v>305</v>
      </c>
      <c r="CI2147" s="5" t="s">
        <v>240</v>
      </c>
      <c r="CL2147" s="6" t="s">
        <v>261</v>
      </c>
      <c r="CM2147" s="5" t="s">
        <v>240</v>
      </c>
      <c r="CN2147" s="5" t="s">
        <v>263</v>
      </c>
      <c r="CO2147" s="5" t="s">
        <v>240</v>
      </c>
      <c r="CP2147" s="5" t="s">
        <v>240</v>
      </c>
      <c r="CQ2147" s="5">
        <v>0</v>
      </c>
      <c r="CR2147" s="5" t="s">
        <v>306</v>
      </c>
      <c r="CS2147" s="5" t="s">
        <v>307</v>
      </c>
      <c r="CT2147" s="5" t="s">
        <v>307</v>
      </c>
      <c r="CU2147" s="5" t="s">
        <v>260</v>
      </c>
      <c r="CX2147" s="7">
        <f>1</f>
        <v>1</v>
      </c>
      <c r="CY2147" s="7">
        <f>0</f>
        <v>0</v>
      </c>
      <c r="DA2147" s="7">
        <f>0</f>
        <v>0</v>
      </c>
      <c r="DC2147" s="5" t="s">
        <v>812</v>
      </c>
      <c r="DD2147" s="5" t="s">
        <v>240</v>
      </c>
      <c r="DF2147" s="5" t="s">
        <v>812</v>
      </c>
      <c r="DG2147" s="7">
        <f>548</f>
        <v>548</v>
      </c>
      <c r="DI2147" s="5" t="s">
        <v>240</v>
      </c>
      <c r="DJ2147" s="5" t="s">
        <v>240</v>
      </c>
      <c r="DK2147" s="5" t="s">
        <v>240</v>
      </c>
      <c r="DL2147" s="5" t="s">
        <v>240</v>
      </c>
      <c r="DP2147" s="5" t="s">
        <v>240</v>
      </c>
      <c r="DQ2147" s="5" t="s">
        <v>240</v>
      </c>
      <c r="DR2147" s="5" t="s">
        <v>240</v>
      </c>
      <c r="DS2147" s="5" t="s">
        <v>240</v>
      </c>
      <c r="DV2147" s="5" t="s">
        <v>813</v>
      </c>
      <c r="DW2147" s="5" t="s">
        <v>556</v>
      </c>
      <c r="HO2147" s="5" t="s">
        <v>312</v>
      </c>
    </row>
    <row r="2148" spans="1:223" x14ac:dyDescent="0.4">
      <c r="A2148" s="5">
        <v>3852</v>
      </c>
      <c r="B2148" s="5">
        <v>1</v>
      </c>
      <c r="C2148" s="5">
        <v>1</v>
      </c>
      <c r="D2148" s="5" t="s">
        <v>810</v>
      </c>
      <c r="E2148" s="5" t="s">
        <v>245</v>
      </c>
      <c r="F2148" s="5" t="s">
        <v>254</v>
      </c>
      <c r="G2148" s="5" t="s">
        <v>240</v>
      </c>
      <c r="H2148" s="6" t="s">
        <v>4135</v>
      </c>
      <c r="I2148" s="5" t="s">
        <v>809</v>
      </c>
      <c r="J2148" s="8">
        <f>204</f>
        <v>204</v>
      </c>
      <c r="K2148" s="5" t="s">
        <v>308</v>
      </c>
      <c r="L2148" s="7">
        <f>1</f>
        <v>1</v>
      </c>
      <c r="M2148" s="7">
        <f>1</f>
        <v>1</v>
      </c>
      <c r="N2148" s="5" t="s">
        <v>242</v>
      </c>
      <c r="O2148" s="5">
        <v>1</v>
      </c>
      <c r="P2148" s="5" t="s">
        <v>294</v>
      </c>
      <c r="Q2148" s="5" t="s">
        <v>266</v>
      </c>
      <c r="R2148" s="5" t="s">
        <v>240</v>
      </c>
      <c r="S2148" s="5" t="s">
        <v>240</v>
      </c>
      <c r="T2148" s="5" t="s">
        <v>296</v>
      </c>
      <c r="U2148" s="5" t="s">
        <v>244</v>
      </c>
      <c r="V2148" s="5" t="s">
        <v>240</v>
      </c>
      <c r="Y2148" s="5" t="s">
        <v>240</v>
      </c>
      <c r="Z2148" s="6" t="s">
        <v>298</v>
      </c>
      <c r="AB2148" s="6" t="s">
        <v>240</v>
      </c>
      <c r="AE2148" s="6" t="s">
        <v>299</v>
      </c>
      <c r="AF2148" s="5" t="s">
        <v>248</v>
      </c>
      <c r="AG2148" s="5" t="s">
        <v>249</v>
      </c>
      <c r="AW2148" s="5" t="s">
        <v>251</v>
      </c>
      <c r="AX2148" s="5" t="s">
        <v>240</v>
      </c>
      <c r="AY2148" s="5" t="s">
        <v>253</v>
      </c>
      <c r="AZ2148" s="5" t="s">
        <v>240</v>
      </c>
      <c r="BA2148" s="5" t="s">
        <v>255</v>
      </c>
      <c r="BB2148" s="5" t="s">
        <v>240</v>
      </c>
      <c r="BD2148" s="5" t="s">
        <v>240</v>
      </c>
      <c r="BF2148" s="5" t="s">
        <v>301</v>
      </c>
      <c r="BG2148" s="6" t="s">
        <v>299</v>
      </c>
      <c r="BH2148" s="5" t="s">
        <v>302</v>
      </c>
      <c r="BI2148" s="5" t="s">
        <v>303</v>
      </c>
      <c r="BJ2148" s="5" t="s">
        <v>240</v>
      </c>
      <c r="BK2148" s="8">
        <f>0</f>
        <v>0</v>
      </c>
      <c r="BL2148" s="7">
        <f>0</f>
        <v>0</v>
      </c>
      <c r="BM2148" s="5" t="s">
        <v>258</v>
      </c>
      <c r="BN2148" s="5" t="s">
        <v>259</v>
      </c>
      <c r="CB2148" s="5" t="s">
        <v>240</v>
      </c>
      <c r="CC2148" s="5" t="s">
        <v>240</v>
      </c>
      <c r="CG2148" s="5" t="s">
        <v>304</v>
      </c>
      <c r="CH2148" s="5" t="s">
        <v>305</v>
      </c>
      <c r="CI2148" s="5" t="s">
        <v>240</v>
      </c>
      <c r="CL2148" s="6" t="s">
        <v>261</v>
      </c>
      <c r="CM2148" s="5" t="s">
        <v>240</v>
      </c>
      <c r="CN2148" s="5" t="s">
        <v>263</v>
      </c>
      <c r="CO2148" s="5" t="s">
        <v>240</v>
      </c>
      <c r="CP2148" s="5" t="s">
        <v>240</v>
      </c>
      <c r="CQ2148" s="5">
        <v>0</v>
      </c>
      <c r="CR2148" s="5" t="s">
        <v>306</v>
      </c>
      <c r="CS2148" s="5" t="s">
        <v>307</v>
      </c>
      <c r="CT2148" s="5" t="s">
        <v>307</v>
      </c>
      <c r="CU2148" s="5" t="s">
        <v>260</v>
      </c>
      <c r="CX2148" s="7">
        <f>1</f>
        <v>1</v>
      </c>
      <c r="CY2148" s="7">
        <f>0</f>
        <v>0</v>
      </c>
      <c r="DA2148" s="7">
        <f>0</f>
        <v>0</v>
      </c>
      <c r="DC2148" s="5" t="s">
        <v>812</v>
      </c>
      <c r="DD2148" s="5" t="s">
        <v>240</v>
      </c>
      <c r="DF2148" s="5" t="s">
        <v>812</v>
      </c>
      <c r="DG2148" s="7">
        <f>530</f>
        <v>530</v>
      </c>
      <c r="DI2148" s="5" t="s">
        <v>240</v>
      </c>
      <c r="DJ2148" s="5" t="s">
        <v>240</v>
      </c>
      <c r="DK2148" s="5" t="s">
        <v>240</v>
      </c>
      <c r="DL2148" s="5" t="s">
        <v>240</v>
      </c>
      <c r="DP2148" s="5" t="s">
        <v>240</v>
      </c>
      <c r="DQ2148" s="5" t="s">
        <v>240</v>
      </c>
      <c r="DR2148" s="5" t="s">
        <v>240</v>
      </c>
      <c r="DS2148" s="5" t="s">
        <v>240</v>
      </c>
      <c r="DV2148" s="5" t="s">
        <v>813</v>
      </c>
      <c r="DW2148" s="5" t="s">
        <v>558</v>
      </c>
      <c r="HO2148" s="5" t="s">
        <v>312</v>
      </c>
    </row>
    <row r="2149" spans="1:223" x14ac:dyDescent="0.4">
      <c r="A2149" s="5">
        <v>3853</v>
      </c>
      <c r="B2149" s="5">
        <v>1</v>
      </c>
      <c r="C2149" s="5">
        <v>1</v>
      </c>
      <c r="D2149" s="5" t="s">
        <v>810</v>
      </c>
      <c r="E2149" s="5" t="s">
        <v>245</v>
      </c>
      <c r="F2149" s="5" t="s">
        <v>254</v>
      </c>
      <c r="G2149" s="5" t="s">
        <v>240</v>
      </c>
      <c r="H2149" s="6" t="s">
        <v>4134</v>
      </c>
      <c r="I2149" s="5" t="s">
        <v>809</v>
      </c>
      <c r="J2149" s="8">
        <f>1500</f>
        <v>1500</v>
      </c>
      <c r="K2149" s="5" t="s">
        <v>308</v>
      </c>
      <c r="L2149" s="7">
        <f>1</f>
        <v>1</v>
      </c>
      <c r="M2149" s="7">
        <f>1</f>
        <v>1</v>
      </c>
      <c r="N2149" s="5" t="s">
        <v>242</v>
      </c>
      <c r="O2149" s="5">
        <v>1</v>
      </c>
      <c r="P2149" s="5" t="s">
        <v>294</v>
      </c>
      <c r="Q2149" s="5" t="s">
        <v>266</v>
      </c>
      <c r="R2149" s="5" t="s">
        <v>240</v>
      </c>
      <c r="S2149" s="5" t="s">
        <v>240</v>
      </c>
      <c r="T2149" s="5" t="s">
        <v>296</v>
      </c>
      <c r="U2149" s="5" t="s">
        <v>244</v>
      </c>
      <c r="V2149" s="5" t="s">
        <v>240</v>
      </c>
      <c r="Y2149" s="5" t="s">
        <v>240</v>
      </c>
      <c r="Z2149" s="6" t="s">
        <v>298</v>
      </c>
      <c r="AB2149" s="6" t="s">
        <v>240</v>
      </c>
      <c r="AE2149" s="6" t="s">
        <v>299</v>
      </c>
      <c r="AF2149" s="5" t="s">
        <v>248</v>
      </c>
      <c r="AG2149" s="5" t="s">
        <v>249</v>
      </c>
      <c r="AW2149" s="5" t="s">
        <v>251</v>
      </c>
      <c r="AX2149" s="5" t="s">
        <v>240</v>
      </c>
      <c r="AY2149" s="5" t="s">
        <v>253</v>
      </c>
      <c r="AZ2149" s="5" t="s">
        <v>240</v>
      </c>
      <c r="BA2149" s="5" t="s">
        <v>255</v>
      </c>
      <c r="BB2149" s="5" t="s">
        <v>240</v>
      </c>
      <c r="BD2149" s="5" t="s">
        <v>240</v>
      </c>
      <c r="BF2149" s="5" t="s">
        <v>301</v>
      </c>
      <c r="BG2149" s="6" t="s">
        <v>299</v>
      </c>
      <c r="BH2149" s="5" t="s">
        <v>302</v>
      </c>
      <c r="BI2149" s="5" t="s">
        <v>303</v>
      </c>
      <c r="BJ2149" s="5" t="s">
        <v>240</v>
      </c>
      <c r="BK2149" s="8">
        <f>0</f>
        <v>0</v>
      </c>
      <c r="BL2149" s="7">
        <f>0</f>
        <v>0</v>
      </c>
      <c r="BM2149" s="5" t="s">
        <v>258</v>
      </c>
      <c r="BN2149" s="5" t="s">
        <v>259</v>
      </c>
      <c r="CB2149" s="5" t="s">
        <v>240</v>
      </c>
      <c r="CC2149" s="5" t="s">
        <v>240</v>
      </c>
      <c r="CG2149" s="5" t="s">
        <v>304</v>
      </c>
      <c r="CH2149" s="5" t="s">
        <v>305</v>
      </c>
      <c r="CI2149" s="5" t="s">
        <v>240</v>
      </c>
      <c r="CL2149" s="6" t="s">
        <v>261</v>
      </c>
      <c r="CM2149" s="5" t="s">
        <v>240</v>
      </c>
      <c r="CN2149" s="5" t="s">
        <v>263</v>
      </c>
      <c r="CO2149" s="5" t="s">
        <v>240</v>
      </c>
      <c r="CP2149" s="5" t="s">
        <v>240</v>
      </c>
      <c r="CQ2149" s="5">
        <v>0</v>
      </c>
      <c r="CR2149" s="5" t="s">
        <v>306</v>
      </c>
      <c r="CS2149" s="5" t="s">
        <v>307</v>
      </c>
      <c r="CT2149" s="5" t="s">
        <v>307</v>
      </c>
      <c r="CU2149" s="5" t="s">
        <v>260</v>
      </c>
      <c r="CX2149" s="7">
        <f>1</f>
        <v>1</v>
      </c>
      <c r="CY2149" s="7">
        <f>0</f>
        <v>0</v>
      </c>
      <c r="DA2149" s="7">
        <f>0</f>
        <v>0</v>
      </c>
      <c r="DC2149" s="5" t="s">
        <v>812</v>
      </c>
      <c r="DD2149" s="5" t="s">
        <v>240</v>
      </c>
      <c r="DF2149" s="5" t="s">
        <v>812</v>
      </c>
      <c r="DG2149" s="7">
        <f>1568</f>
        <v>1568</v>
      </c>
      <c r="DI2149" s="5" t="s">
        <v>240</v>
      </c>
      <c r="DJ2149" s="5" t="s">
        <v>240</v>
      </c>
      <c r="DK2149" s="5" t="s">
        <v>240</v>
      </c>
      <c r="DL2149" s="5" t="s">
        <v>240</v>
      </c>
      <c r="DP2149" s="5" t="s">
        <v>240</v>
      </c>
      <c r="DQ2149" s="5" t="s">
        <v>240</v>
      </c>
      <c r="DR2149" s="5" t="s">
        <v>240</v>
      </c>
      <c r="DS2149" s="5" t="s">
        <v>240</v>
      </c>
      <c r="DV2149" s="5" t="s">
        <v>813</v>
      </c>
      <c r="DW2149" s="5" t="s">
        <v>560</v>
      </c>
      <c r="HO2149" s="5" t="s">
        <v>312</v>
      </c>
    </row>
    <row r="2150" spans="1:223" x14ac:dyDescent="0.4">
      <c r="A2150" s="5">
        <v>3854</v>
      </c>
      <c r="B2150" s="5">
        <v>1</v>
      </c>
      <c r="C2150" s="5">
        <v>1</v>
      </c>
      <c r="D2150" s="5" t="s">
        <v>810</v>
      </c>
      <c r="E2150" s="5" t="s">
        <v>245</v>
      </c>
      <c r="F2150" s="5" t="s">
        <v>254</v>
      </c>
      <c r="G2150" s="5" t="s">
        <v>240</v>
      </c>
      <c r="H2150" s="6" t="s">
        <v>4133</v>
      </c>
      <c r="I2150" s="5" t="s">
        <v>809</v>
      </c>
      <c r="J2150" s="8">
        <f>1646</f>
        <v>1646</v>
      </c>
      <c r="K2150" s="5" t="s">
        <v>308</v>
      </c>
      <c r="L2150" s="7">
        <f>1</f>
        <v>1</v>
      </c>
      <c r="M2150" s="7">
        <f>1</f>
        <v>1</v>
      </c>
      <c r="N2150" s="5" t="s">
        <v>242</v>
      </c>
      <c r="O2150" s="5">
        <v>1</v>
      </c>
      <c r="P2150" s="5" t="s">
        <v>294</v>
      </c>
      <c r="Q2150" s="5" t="s">
        <v>613</v>
      </c>
      <c r="R2150" s="5" t="s">
        <v>240</v>
      </c>
      <c r="S2150" s="5" t="s">
        <v>240</v>
      </c>
      <c r="T2150" s="5" t="s">
        <v>243</v>
      </c>
      <c r="U2150" s="5" t="s">
        <v>724</v>
      </c>
      <c r="V2150" s="5" t="s">
        <v>240</v>
      </c>
      <c r="Y2150" s="5" t="s">
        <v>240</v>
      </c>
      <c r="Z2150" s="6" t="s">
        <v>298</v>
      </c>
      <c r="AB2150" s="6" t="s">
        <v>240</v>
      </c>
      <c r="AE2150" s="6" t="s">
        <v>299</v>
      </c>
      <c r="AF2150" s="5" t="s">
        <v>248</v>
      </c>
      <c r="AG2150" s="5" t="s">
        <v>249</v>
      </c>
      <c r="AW2150" s="5" t="s">
        <v>251</v>
      </c>
      <c r="AX2150" s="5" t="s">
        <v>240</v>
      </c>
      <c r="AY2150" s="5" t="s">
        <v>253</v>
      </c>
      <c r="AZ2150" s="5" t="s">
        <v>240</v>
      </c>
      <c r="BA2150" s="5" t="s">
        <v>255</v>
      </c>
      <c r="BB2150" s="5" t="s">
        <v>240</v>
      </c>
      <c r="BD2150" s="5" t="s">
        <v>240</v>
      </c>
      <c r="BF2150" s="5" t="s">
        <v>301</v>
      </c>
      <c r="BG2150" s="6" t="s">
        <v>299</v>
      </c>
      <c r="BH2150" s="5" t="s">
        <v>302</v>
      </c>
      <c r="BI2150" s="5" t="s">
        <v>303</v>
      </c>
      <c r="BJ2150" s="5" t="s">
        <v>240</v>
      </c>
      <c r="BK2150" s="8">
        <f>0</f>
        <v>0</v>
      </c>
      <c r="BL2150" s="7">
        <f>0</f>
        <v>0</v>
      </c>
      <c r="BM2150" s="5" t="s">
        <v>258</v>
      </c>
      <c r="BN2150" s="5" t="s">
        <v>259</v>
      </c>
      <c r="CB2150" s="5" t="s">
        <v>240</v>
      </c>
      <c r="CC2150" s="5" t="s">
        <v>240</v>
      </c>
      <c r="CG2150" s="5" t="s">
        <v>617</v>
      </c>
      <c r="CH2150" s="5" t="s">
        <v>305</v>
      </c>
      <c r="CI2150" s="5" t="s">
        <v>240</v>
      </c>
      <c r="CL2150" s="6" t="s">
        <v>261</v>
      </c>
      <c r="CM2150" s="5" t="s">
        <v>240</v>
      </c>
      <c r="CN2150" s="5" t="s">
        <v>263</v>
      </c>
      <c r="CO2150" s="5" t="s">
        <v>240</v>
      </c>
      <c r="CP2150" s="5" t="s">
        <v>240</v>
      </c>
      <c r="CQ2150" s="5">
        <v>0</v>
      </c>
      <c r="CR2150" s="5" t="s">
        <v>306</v>
      </c>
      <c r="CS2150" s="5" t="s">
        <v>307</v>
      </c>
      <c r="CT2150" s="5" t="s">
        <v>307</v>
      </c>
      <c r="CU2150" s="5" t="s">
        <v>260</v>
      </c>
      <c r="CX2150" s="7">
        <f>68739</f>
        <v>68739</v>
      </c>
      <c r="CY2150" s="7">
        <f>0</f>
        <v>0</v>
      </c>
      <c r="DA2150" s="7">
        <f>0</f>
        <v>0</v>
      </c>
      <c r="DC2150" s="5" t="s">
        <v>854</v>
      </c>
      <c r="DD2150" s="5" t="s">
        <v>240</v>
      </c>
      <c r="DF2150" s="5" t="s">
        <v>854</v>
      </c>
      <c r="DG2150" s="7">
        <f>6249</f>
        <v>6249</v>
      </c>
      <c r="DH2150" s="6" t="s">
        <v>4229</v>
      </c>
      <c r="DI2150" s="5" t="s">
        <v>737</v>
      </c>
      <c r="DJ2150" s="5" t="s">
        <v>240</v>
      </c>
      <c r="DK2150" s="5" t="s">
        <v>240</v>
      </c>
      <c r="DL2150" s="5" t="s">
        <v>240</v>
      </c>
      <c r="DP2150" s="5" t="s">
        <v>240</v>
      </c>
      <c r="DQ2150" s="5" t="s">
        <v>240</v>
      </c>
      <c r="DR2150" s="5" t="s">
        <v>240</v>
      </c>
      <c r="DS2150" s="5" t="s">
        <v>240</v>
      </c>
      <c r="DV2150" s="5" t="s">
        <v>859</v>
      </c>
      <c r="DW2150" s="5" t="s">
        <v>620</v>
      </c>
      <c r="HO2150" s="5" t="s">
        <v>312</v>
      </c>
    </row>
    <row r="2151" spans="1:223" x14ac:dyDescent="0.4">
      <c r="A2151" s="5">
        <v>3855</v>
      </c>
      <c r="B2151" s="5">
        <v>1</v>
      </c>
      <c r="C2151" s="5">
        <v>1</v>
      </c>
      <c r="D2151" s="5" t="s">
        <v>810</v>
      </c>
      <c r="E2151" s="5" t="s">
        <v>245</v>
      </c>
      <c r="F2151" s="5" t="s">
        <v>254</v>
      </c>
      <c r="G2151" s="5" t="s">
        <v>240</v>
      </c>
      <c r="H2151" s="6" t="s">
        <v>5266</v>
      </c>
      <c r="I2151" s="5" t="s">
        <v>809</v>
      </c>
      <c r="J2151" s="8">
        <f>284</f>
        <v>284</v>
      </c>
      <c r="K2151" s="5" t="s">
        <v>308</v>
      </c>
      <c r="L2151" s="7">
        <f>1</f>
        <v>1</v>
      </c>
      <c r="M2151" s="7">
        <f>1</f>
        <v>1</v>
      </c>
      <c r="N2151" s="5" t="s">
        <v>242</v>
      </c>
      <c r="O2151" s="5">
        <v>1</v>
      </c>
      <c r="P2151" s="5" t="s">
        <v>294</v>
      </c>
      <c r="Q2151" s="5" t="s">
        <v>266</v>
      </c>
      <c r="R2151" s="5" t="s">
        <v>240</v>
      </c>
      <c r="S2151" s="5" t="s">
        <v>240</v>
      </c>
      <c r="T2151" s="5" t="s">
        <v>296</v>
      </c>
      <c r="U2151" s="5" t="s">
        <v>244</v>
      </c>
      <c r="V2151" s="5" t="s">
        <v>240</v>
      </c>
      <c r="Y2151" s="5" t="s">
        <v>240</v>
      </c>
      <c r="Z2151" s="6" t="s">
        <v>298</v>
      </c>
      <c r="AB2151" s="6" t="s">
        <v>240</v>
      </c>
      <c r="AE2151" s="6" t="s">
        <v>299</v>
      </c>
      <c r="AF2151" s="5" t="s">
        <v>248</v>
      </c>
      <c r="AG2151" s="5" t="s">
        <v>249</v>
      </c>
      <c r="AW2151" s="5" t="s">
        <v>251</v>
      </c>
      <c r="AX2151" s="5" t="s">
        <v>240</v>
      </c>
      <c r="AY2151" s="5" t="s">
        <v>253</v>
      </c>
      <c r="AZ2151" s="5" t="s">
        <v>240</v>
      </c>
      <c r="BA2151" s="5" t="s">
        <v>255</v>
      </c>
      <c r="BB2151" s="5" t="s">
        <v>240</v>
      </c>
      <c r="BD2151" s="5" t="s">
        <v>240</v>
      </c>
      <c r="BF2151" s="5" t="s">
        <v>301</v>
      </c>
      <c r="BG2151" s="6" t="s">
        <v>299</v>
      </c>
      <c r="BH2151" s="5" t="s">
        <v>302</v>
      </c>
      <c r="BI2151" s="5" t="s">
        <v>303</v>
      </c>
      <c r="BJ2151" s="5" t="s">
        <v>240</v>
      </c>
      <c r="BK2151" s="8">
        <f>0</f>
        <v>0</v>
      </c>
      <c r="BL2151" s="7">
        <f>0</f>
        <v>0</v>
      </c>
      <c r="BM2151" s="5" t="s">
        <v>258</v>
      </c>
      <c r="BN2151" s="5" t="s">
        <v>259</v>
      </c>
      <c r="CB2151" s="5" t="s">
        <v>240</v>
      </c>
      <c r="CC2151" s="5" t="s">
        <v>240</v>
      </c>
      <c r="CG2151" s="5" t="s">
        <v>304</v>
      </c>
      <c r="CH2151" s="5" t="s">
        <v>305</v>
      </c>
      <c r="CI2151" s="5" t="s">
        <v>240</v>
      </c>
      <c r="CL2151" s="6" t="s">
        <v>261</v>
      </c>
      <c r="CM2151" s="5" t="s">
        <v>240</v>
      </c>
      <c r="CN2151" s="5" t="s">
        <v>263</v>
      </c>
      <c r="CO2151" s="5" t="s">
        <v>240</v>
      </c>
      <c r="CP2151" s="5" t="s">
        <v>240</v>
      </c>
      <c r="CQ2151" s="5">
        <v>0</v>
      </c>
      <c r="CR2151" s="5" t="s">
        <v>306</v>
      </c>
      <c r="CS2151" s="5" t="s">
        <v>307</v>
      </c>
      <c r="CT2151" s="5" t="s">
        <v>307</v>
      </c>
      <c r="CU2151" s="5" t="s">
        <v>260</v>
      </c>
      <c r="CX2151" s="7">
        <f>1</f>
        <v>1</v>
      </c>
      <c r="CY2151" s="7">
        <f>0</f>
        <v>0</v>
      </c>
      <c r="DA2151" s="7">
        <f>0</f>
        <v>0</v>
      </c>
      <c r="DC2151" s="5" t="s">
        <v>812</v>
      </c>
      <c r="DD2151" s="5" t="s">
        <v>240</v>
      </c>
      <c r="DF2151" s="5" t="s">
        <v>812</v>
      </c>
      <c r="DG2151" s="7">
        <f>1359</f>
        <v>1359</v>
      </c>
      <c r="DI2151" s="5" t="s">
        <v>240</v>
      </c>
      <c r="DJ2151" s="5" t="s">
        <v>240</v>
      </c>
      <c r="DK2151" s="5" t="s">
        <v>240</v>
      </c>
      <c r="DL2151" s="5" t="s">
        <v>240</v>
      </c>
      <c r="DP2151" s="5" t="s">
        <v>240</v>
      </c>
      <c r="DQ2151" s="5" t="s">
        <v>240</v>
      </c>
      <c r="DR2151" s="5" t="s">
        <v>240</v>
      </c>
      <c r="DS2151" s="5" t="s">
        <v>240</v>
      </c>
      <c r="DV2151" s="5" t="s">
        <v>813</v>
      </c>
      <c r="DW2151" s="5" t="s">
        <v>564</v>
      </c>
      <c r="HO2151" s="5" t="s">
        <v>312</v>
      </c>
    </row>
    <row r="2152" spans="1:223" x14ac:dyDescent="0.4">
      <c r="A2152" s="5">
        <v>3856</v>
      </c>
      <c r="B2152" s="5">
        <v>1</v>
      </c>
      <c r="C2152" s="5">
        <v>1</v>
      </c>
      <c r="D2152" s="5" t="s">
        <v>810</v>
      </c>
      <c r="E2152" s="5" t="s">
        <v>245</v>
      </c>
      <c r="F2152" s="5" t="s">
        <v>254</v>
      </c>
      <c r="G2152" s="5" t="s">
        <v>240</v>
      </c>
      <c r="H2152" s="6" t="s">
        <v>4131</v>
      </c>
      <c r="I2152" s="5" t="s">
        <v>809</v>
      </c>
      <c r="J2152" s="8">
        <f>145</f>
        <v>145</v>
      </c>
      <c r="K2152" s="5" t="s">
        <v>308</v>
      </c>
      <c r="L2152" s="7">
        <f>1</f>
        <v>1</v>
      </c>
      <c r="M2152" s="7">
        <f>1</f>
        <v>1</v>
      </c>
      <c r="N2152" s="5" t="s">
        <v>242</v>
      </c>
      <c r="O2152" s="5">
        <v>1</v>
      </c>
      <c r="P2152" s="5" t="s">
        <v>294</v>
      </c>
      <c r="Q2152" s="5" t="s">
        <v>266</v>
      </c>
      <c r="R2152" s="5" t="s">
        <v>240</v>
      </c>
      <c r="S2152" s="5" t="s">
        <v>240</v>
      </c>
      <c r="T2152" s="5" t="s">
        <v>296</v>
      </c>
      <c r="U2152" s="5" t="s">
        <v>244</v>
      </c>
      <c r="V2152" s="5" t="s">
        <v>240</v>
      </c>
      <c r="Y2152" s="5" t="s">
        <v>240</v>
      </c>
      <c r="Z2152" s="6" t="s">
        <v>298</v>
      </c>
      <c r="AB2152" s="6" t="s">
        <v>240</v>
      </c>
      <c r="AE2152" s="6" t="s">
        <v>299</v>
      </c>
      <c r="AF2152" s="5" t="s">
        <v>248</v>
      </c>
      <c r="AG2152" s="5" t="s">
        <v>249</v>
      </c>
      <c r="AW2152" s="5" t="s">
        <v>251</v>
      </c>
      <c r="AX2152" s="5" t="s">
        <v>240</v>
      </c>
      <c r="AY2152" s="5" t="s">
        <v>253</v>
      </c>
      <c r="AZ2152" s="5" t="s">
        <v>240</v>
      </c>
      <c r="BA2152" s="5" t="s">
        <v>255</v>
      </c>
      <c r="BB2152" s="5" t="s">
        <v>240</v>
      </c>
      <c r="BD2152" s="5" t="s">
        <v>240</v>
      </c>
      <c r="BF2152" s="5" t="s">
        <v>301</v>
      </c>
      <c r="BG2152" s="6" t="s">
        <v>299</v>
      </c>
      <c r="BH2152" s="5" t="s">
        <v>302</v>
      </c>
      <c r="BI2152" s="5" t="s">
        <v>303</v>
      </c>
      <c r="BJ2152" s="5" t="s">
        <v>240</v>
      </c>
      <c r="BK2152" s="8">
        <f>0</f>
        <v>0</v>
      </c>
      <c r="BL2152" s="7">
        <f>0</f>
        <v>0</v>
      </c>
      <c r="BM2152" s="5" t="s">
        <v>258</v>
      </c>
      <c r="BN2152" s="5" t="s">
        <v>259</v>
      </c>
      <c r="CB2152" s="5" t="s">
        <v>240</v>
      </c>
      <c r="CC2152" s="5" t="s">
        <v>240</v>
      </c>
      <c r="CG2152" s="5" t="s">
        <v>304</v>
      </c>
      <c r="CH2152" s="5" t="s">
        <v>305</v>
      </c>
      <c r="CI2152" s="5" t="s">
        <v>240</v>
      </c>
      <c r="CL2152" s="6" t="s">
        <v>261</v>
      </c>
      <c r="CM2152" s="5" t="s">
        <v>240</v>
      </c>
      <c r="CN2152" s="5" t="s">
        <v>263</v>
      </c>
      <c r="CO2152" s="5" t="s">
        <v>240</v>
      </c>
      <c r="CP2152" s="5" t="s">
        <v>240</v>
      </c>
      <c r="CQ2152" s="5">
        <v>0</v>
      </c>
      <c r="CR2152" s="5" t="s">
        <v>306</v>
      </c>
      <c r="CS2152" s="5" t="s">
        <v>307</v>
      </c>
      <c r="CT2152" s="5" t="s">
        <v>307</v>
      </c>
      <c r="CU2152" s="5" t="s">
        <v>260</v>
      </c>
      <c r="CX2152" s="7">
        <f>1</f>
        <v>1</v>
      </c>
      <c r="CY2152" s="7">
        <f>0</f>
        <v>0</v>
      </c>
      <c r="DA2152" s="7">
        <f>0</f>
        <v>0</v>
      </c>
      <c r="DC2152" s="5" t="s">
        <v>812</v>
      </c>
      <c r="DD2152" s="5" t="s">
        <v>240</v>
      </c>
      <c r="DF2152" s="5" t="s">
        <v>812</v>
      </c>
      <c r="DG2152" s="7">
        <f>288</f>
        <v>288</v>
      </c>
      <c r="DI2152" s="5" t="s">
        <v>240</v>
      </c>
      <c r="DJ2152" s="5" t="s">
        <v>240</v>
      </c>
      <c r="DK2152" s="5" t="s">
        <v>240</v>
      </c>
      <c r="DL2152" s="5" t="s">
        <v>240</v>
      </c>
      <c r="DP2152" s="5" t="s">
        <v>240</v>
      </c>
      <c r="DQ2152" s="5" t="s">
        <v>240</v>
      </c>
      <c r="DR2152" s="5" t="s">
        <v>240</v>
      </c>
      <c r="DS2152" s="5" t="s">
        <v>240</v>
      </c>
      <c r="DV2152" s="5" t="s">
        <v>813</v>
      </c>
      <c r="DW2152" s="5" t="s">
        <v>566</v>
      </c>
      <c r="HO2152" s="5" t="s">
        <v>312</v>
      </c>
    </row>
    <row r="2153" spans="1:223" x14ac:dyDescent="0.4">
      <c r="A2153" s="5">
        <v>3857</v>
      </c>
      <c r="B2153" s="5">
        <v>1</v>
      </c>
      <c r="C2153" s="5">
        <v>1</v>
      </c>
      <c r="D2153" s="5" t="s">
        <v>810</v>
      </c>
      <c r="E2153" s="5" t="s">
        <v>245</v>
      </c>
      <c r="F2153" s="5" t="s">
        <v>254</v>
      </c>
      <c r="G2153" s="5" t="s">
        <v>240</v>
      </c>
      <c r="H2153" s="6" t="s">
        <v>5265</v>
      </c>
      <c r="I2153" s="5" t="s">
        <v>809</v>
      </c>
      <c r="J2153" s="8">
        <f>52</f>
        <v>52</v>
      </c>
      <c r="K2153" s="5" t="s">
        <v>308</v>
      </c>
      <c r="L2153" s="7">
        <f>1</f>
        <v>1</v>
      </c>
      <c r="M2153" s="7">
        <f>1</f>
        <v>1</v>
      </c>
      <c r="N2153" s="5" t="s">
        <v>242</v>
      </c>
      <c r="O2153" s="5">
        <v>1</v>
      </c>
      <c r="P2153" s="5" t="s">
        <v>294</v>
      </c>
      <c r="Q2153" s="5" t="s">
        <v>266</v>
      </c>
      <c r="R2153" s="5" t="s">
        <v>240</v>
      </c>
      <c r="S2153" s="5" t="s">
        <v>240</v>
      </c>
      <c r="T2153" s="5" t="s">
        <v>296</v>
      </c>
      <c r="U2153" s="5" t="s">
        <v>244</v>
      </c>
      <c r="V2153" s="5" t="s">
        <v>240</v>
      </c>
      <c r="Y2153" s="5" t="s">
        <v>240</v>
      </c>
      <c r="Z2153" s="6" t="s">
        <v>298</v>
      </c>
      <c r="AB2153" s="6" t="s">
        <v>240</v>
      </c>
      <c r="AE2153" s="6" t="s">
        <v>299</v>
      </c>
      <c r="AF2153" s="5" t="s">
        <v>248</v>
      </c>
      <c r="AG2153" s="5" t="s">
        <v>249</v>
      </c>
      <c r="AW2153" s="5" t="s">
        <v>251</v>
      </c>
      <c r="AX2153" s="5" t="s">
        <v>240</v>
      </c>
      <c r="AY2153" s="5" t="s">
        <v>253</v>
      </c>
      <c r="AZ2153" s="5" t="s">
        <v>240</v>
      </c>
      <c r="BA2153" s="5" t="s">
        <v>255</v>
      </c>
      <c r="BB2153" s="5" t="s">
        <v>240</v>
      </c>
      <c r="BD2153" s="5" t="s">
        <v>240</v>
      </c>
      <c r="BF2153" s="5" t="s">
        <v>301</v>
      </c>
      <c r="BG2153" s="6" t="s">
        <v>299</v>
      </c>
      <c r="BH2153" s="5" t="s">
        <v>302</v>
      </c>
      <c r="BI2153" s="5" t="s">
        <v>303</v>
      </c>
      <c r="BJ2153" s="5" t="s">
        <v>240</v>
      </c>
      <c r="BK2153" s="8">
        <f>0</f>
        <v>0</v>
      </c>
      <c r="BL2153" s="7">
        <f>0</f>
        <v>0</v>
      </c>
      <c r="BM2153" s="5" t="s">
        <v>258</v>
      </c>
      <c r="BN2153" s="5" t="s">
        <v>259</v>
      </c>
      <c r="CB2153" s="5" t="s">
        <v>240</v>
      </c>
      <c r="CC2153" s="5" t="s">
        <v>240</v>
      </c>
      <c r="CG2153" s="5" t="s">
        <v>304</v>
      </c>
      <c r="CH2153" s="5" t="s">
        <v>305</v>
      </c>
      <c r="CI2153" s="5" t="s">
        <v>240</v>
      </c>
      <c r="CL2153" s="6" t="s">
        <v>261</v>
      </c>
      <c r="CM2153" s="5" t="s">
        <v>240</v>
      </c>
      <c r="CN2153" s="5" t="s">
        <v>263</v>
      </c>
      <c r="CO2153" s="5" t="s">
        <v>240</v>
      </c>
      <c r="CP2153" s="5" t="s">
        <v>240</v>
      </c>
      <c r="CQ2153" s="5">
        <v>0</v>
      </c>
      <c r="CR2153" s="5" t="s">
        <v>306</v>
      </c>
      <c r="CS2153" s="5" t="s">
        <v>307</v>
      </c>
      <c r="CT2153" s="5" t="s">
        <v>307</v>
      </c>
      <c r="CU2153" s="5" t="s">
        <v>260</v>
      </c>
      <c r="CX2153" s="7">
        <f>1</f>
        <v>1</v>
      </c>
      <c r="CY2153" s="7">
        <f>0</f>
        <v>0</v>
      </c>
      <c r="DA2153" s="7">
        <f>0</f>
        <v>0</v>
      </c>
      <c r="DC2153" s="5" t="s">
        <v>812</v>
      </c>
      <c r="DD2153" s="5" t="s">
        <v>240</v>
      </c>
      <c r="DF2153" s="5" t="s">
        <v>812</v>
      </c>
      <c r="DG2153" s="7">
        <f>71</f>
        <v>71</v>
      </c>
      <c r="DI2153" s="5" t="s">
        <v>240</v>
      </c>
      <c r="DJ2153" s="5" t="s">
        <v>240</v>
      </c>
      <c r="DK2153" s="5" t="s">
        <v>240</v>
      </c>
      <c r="DL2153" s="5" t="s">
        <v>240</v>
      </c>
      <c r="DP2153" s="5" t="s">
        <v>240</v>
      </c>
      <c r="DQ2153" s="5" t="s">
        <v>240</v>
      </c>
      <c r="DR2153" s="5" t="s">
        <v>240</v>
      </c>
      <c r="DS2153" s="5" t="s">
        <v>240</v>
      </c>
      <c r="DV2153" s="5" t="s">
        <v>813</v>
      </c>
      <c r="DW2153" s="5" t="s">
        <v>568</v>
      </c>
      <c r="HO2153" s="5" t="s">
        <v>312</v>
      </c>
    </row>
    <row r="2154" spans="1:223" x14ac:dyDescent="0.4">
      <c r="A2154" s="5">
        <v>3858</v>
      </c>
      <c r="B2154" s="5">
        <v>1</v>
      </c>
      <c r="C2154" s="5">
        <v>1</v>
      </c>
      <c r="D2154" s="5" t="s">
        <v>810</v>
      </c>
      <c r="E2154" s="5" t="s">
        <v>245</v>
      </c>
      <c r="F2154" s="5" t="s">
        <v>254</v>
      </c>
      <c r="G2154" s="5" t="s">
        <v>240</v>
      </c>
      <c r="H2154" s="6" t="s">
        <v>4129</v>
      </c>
      <c r="I2154" s="5" t="s">
        <v>809</v>
      </c>
      <c r="J2154" s="8">
        <f>108</f>
        <v>108</v>
      </c>
      <c r="K2154" s="5" t="s">
        <v>308</v>
      </c>
      <c r="L2154" s="7">
        <f>1</f>
        <v>1</v>
      </c>
      <c r="M2154" s="7">
        <f>1</f>
        <v>1</v>
      </c>
      <c r="N2154" s="5" t="s">
        <v>242</v>
      </c>
      <c r="O2154" s="5">
        <v>1</v>
      </c>
      <c r="P2154" s="5" t="s">
        <v>294</v>
      </c>
      <c r="Q2154" s="5" t="s">
        <v>266</v>
      </c>
      <c r="R2154" s="5" t="s">
        <v>240</v>
      </c>
      <c r="S2154" s="5" t="s">
        <v>240</v>
      </c>
      <c r="T2154" s="5" t="s">
        <v>296</v>
      </c>
      <c r="U2154" s="5" t="s">
        <v>244</v>
      </c>
      <c r="V2154" s="5" t="s">
        <v>240</v>
      </c>
      <c r="Y2154" s="5" t="s">
        <v>240</v>
      </c>
      <c r="Z2154" s="6" t="s">
        <v>298</v>
      </c>
      <c r="AB2154" s="6" t="s">
        <v>240</v>
      </c>
      <c r="AE2154" s="6" t="s">
        <v>299</v>
      </c>
      <c r="AF2154" s="5" t="s">
        <v>248</v>
      </c>
      <c r="AG2154" s="5" t="s">
        <v>249</v>
      </c>
      <c r="AW2154" s="5" t="s">
        <v>251</v>
      </c>
      <c r="AX2154" s="5" t="s">
        <v>240</v>
      </c>
      <c r="AY2154" s="5" t="s">
        <v>253</v>
      </c>
      <c r="AZ2154" s="5" t="s">
        <v>240</v>
      </c>
      <c r="BA2154" s="5" t="s">
        <v>255</v>
      </c>
      <c r="BB2154" s="5" t="s">
        <v>240</v>
      </c>
      <c r="BD2154" s="5" t="s">
        <v>240</v>
      </c>
      <c r="BF2154" s="5" t="s">
        <v>301</v>
      </c>
      <c r="BG2154" s="6" t="s">
        <v>299</v>
      </c>
      <c r="BH2154" s="5" t="s">
        <v>302</v>
      </c>
      <c r="BI2154" s="5" t="s">
        <v>303</v>
      </c>
      <c r="BJ2154" s="5" t="s">
        <v>240</v>
      </c>
      <c r="BK2154" s="8">
        <f>0</f>
        <v>0</v>
      </c>
      <c r="BL2154" s="7">
        <f>0</f>
        <v>0</v>
      </c>
      <c r="BM2154" s="5" t="s">
        <v>258</v>
      </c>
      <c r="BN2154" s="5" t="s">
        <v>259</v>
      </c>
      <c r="CB2154" s="5" t="s">
        <v>240</v>
      </c>
      <c r="CC2154" s="5" t="s">
        <v>240</v>
      </c>
      <c r="CG2154" s="5" t="s">
        <v>304</v>
      </c>
      <c r="CH2154" s="5" t="s">
        <v>305</v>
      </c>
      <c r="CI2154" s="5" t="s">
        <v>240</v>
      </c>
      <c r="CL2154" s="6" t="s">
        <v>261</v>
      </c>
      <c r="CM2154" s="5" t="s">
        <v>240</v>
      </c>
      <c r="CN2154" s="5" t="s">
        <v>263</v>
      </c>
      <c r="CO2154" s="5" t="s">
        <v>240</v>
      </c>
      <c r="CP2154" s="5" t="s">
        <v>240</v>
      </c>
      <c r="CQ2154" s="5">
        <v>0</v>
      </c>
      <c r="CR2154" s="5" t="s">
        <v>306</v>
      </c>
      <c r="CS2154" s="5" t="s">
        <v>307</v>
      </c>
      <c r="CT2154" s="5" t="s">
        <v>307</v>
      </c>
      <c r="CU2154" s="5" t="s">
        <v>260</v>
      </c>
      <c r="CX2154" s="7">
        <f>1</f>
        <v>1</v>
      </c>
      <c r="CY2154" s="7">
        <f>0</f>
        <v>0</v>
      </c>
      <c r="DA2154" s="7">
        <f>0</f>
        <v>0</v>
      </c>
      <c r="DC2154" s="5" t="s">
        <v>812</v>
      </c>
      <c r="DD2154" s="5" t="s">
        <v>240</v>
      </c>
      <c r="DF2154" s="5" t="s">
        <v>812</v>
      </c>
      <c r="DG2154" s="7">
        <f>393</f>
        <v>393</v>
      </c>
      <c r="DI2154" s="5" t="s">
        <v>240</v>
      </c>
      <c r="DJ2154" s="5" t="s">
        <v>240</v>
      </c>
      <c r="DK2154" s="5" t="s">
        <v>240</v>
      </c>
      <c r="DL2154" s="5" t="s">
        <v>240</v>
      </c>
      <c r="DP2154" s="5" t="s">
        <v>240</v>
      </c>
      <c r="DQ2154" s="5" t="s">
        <v>240</v>
      </c>
      <c r="DR2154" s="5" t="s">
        <v>240</v>
      </c>
      <c r="DS2154" s="5" t="s">
        <v>240</v>
      </c>
      <c r="DV2154" s="5" t="s">
        <v>813</v>
      </c>
      <c r="DW2154" s="5" t="s">
        <v>570</v>
      </c>
      <c r="HO2154" s="5" t="s">
        <v>312</v>
      </c>
    </row>
    <row r="2155" spans="1:223" x14ac:dyDescent="0.4">
      <c r="A2155" s="5">
        <v>3859</v>
      </c>
      <c r="B2155" s="5">
        <v>1</v>
      </c>
      <c r="C2155" s="5">
        <v>1</v>
      </c>
      <c r="D2155" s="5" t="s">
        <v>810</v>
      </c>
      <c r="E2155" s="5" t="s">
        <v>245</v>
      </c>
      <c r="F2155" s="5" t="s">
        <v>254</v>
      </c>
      <c r="G2155" s="5" t="s">
        <v>240</v>
      </c>
      <c r="H2155" s="6" t="s">
        <v>4128</v>
      </c>
      <c r="I2155" s="5" t="s">
        <v>809</v>
      </c>
      <c r="J2155" s="8">
        <f>465</f>
        <v>465</v>
      </c>
      <c r="K2155" s="5" t="s">
        <v>308</v>
      </c>
      <c r="L2155" s="7">
        <f>1</f>
        <v>1</v>
      </c>
      <c r="M2155" s="7">
        <f>1</f>
        <v>1</v>
      </c>
      <c r="N2155" s="5" t="s">
        <v>242</v>
      </c>
      <c r="O2155" s="5">
        <v>1</v>
      </c>
      <c r="P2155" s="5" t="s">
        <v>294</v>
      </c>
      <c r="Q2155" s="5" t="s">
        <v>266</v>
      </c>
      <c r="R2155" s="5" t="s">
        <v>240</v>
      </c>
      <c r="S2155" s="5" t="s">
        <v>240</v>
      </c>
      <c r="T2155" s="5" t="s">
        <v>296</v>
      </c>
      <c r="U2155" s="5" t="s">
        <v>244</v>
      </c>
      <c r="V2155" s="5" t="s">
        <v>240</v>
      </c>
      <c r="Y2155" s="5" t="s">
        <v>240</v>
      </c>
      <c r="Z2155" s="6" t="s">
        <v>298</v>
      </c>
      <c r="AB2155" s="6" t="s">
        <v>240</v>
      </c>
      <c r="AE2155" s="6" t="s">
        <v>299</v>
      </c>
      <c r="AF2155" s="5" t="s">
        <v>248</v>
      </c>
      <c r="AG2155" s="5" t="s">
        <v>249</v>
      </c>
      <c r="AW2155" s="5" t="s">
        <v>251</v>
      </c>
      <c r="AX2155" s="5" t="s">
        <v>240</v>
      </c>
      <c r="AY2155" s="5" t="s">
        <v>253</v>
      </c>
      <c r="AZ2155" s="5" t="s">
        <v>240</v>
      </c>
      <c r="BA2155" s="5" t="s">
        <v>255</v>
      </c>
      <c r="BB2155" s="5" t="s">
        <v>240</v>
      </c>
      <c r="BD2155" s="5" t="s">
        <v>240</v>
      </c>
      <c r="BF2155" s="5" t="s">
        <v>301</v>
      </c>
      <c r="BG2155" s="6" t="s">
        <v>299</v>
      </c>
      <c r="BH2155" s="5" t="s">
        <v>302</v>
      </c>
      <c r="BI2155" s="5" t="s">
        <v>303</v>
      </c>
      <c r="BJ2155" s="5" t="s">
        <v>240</v>
      </c>
      <c r="BK2155" s="8">
        <f>0</f>
        <v>0</v>
      </c>
      <c r="BL2155" s="7">
        <f>0</f>
        <v>0</v>
      </c>
      <c r="BM2155" s="5" t="s">
        <v>258</v>
      </c>
      <c r="BN2155" s="5" t="s">
        <v>259</v>
      </c>
      <c r="CB2155" s="5" t="s">
        <v>240</v>
      </c>
      <c r="CC2155" s="5" t="s">
        <v>240</v>
      </c>
      <c r="CG2155" s="5" t="s">
        <v>304</v>
      </c>
      <c r="CH2155" s="5" t="s">
        <v>305</v>
      </c>
      <c r="CI2155" s="5" t="s">
        <v>240</v>
      </c>
      <c r="CL2155" s="6" t="s">
        <v>261</v>
      </c>
      <c r="CM2155" s="5" t="s">
        <v>240</v>
      </c>
      <c r="CN2155" s="5" t="s">
        <v>263</v>
      </c>
      <c r="CO2155" s="5" t="s">
        <v>240</v>
      </c>
      <c r="CP2155" s="5" t="s">
        <v>240</v>
      </c>
      <c r="CQ2155" s="5">
        <v>0</v>
      </c>
      <c r="CR2155" s="5" t="s">
        <v>306</v>
      </c>
      <c r="CS2155" s="5" t="s">
        <v>307</v>
      </c>
      <c r="CT2155" s="5" t="s">
        <v>307</v>
      </c>
      <c r="CU2155" s="5" t="s">
        <v>260</v>
      </c>
      <c r="CX2155" s="7">
        <f>1</f>
        <v>1</v>
      </c>
      <c r="CY2155" s="7">
        <f>0</f>
        <v>0</v>
      </c>
      <c r="DA2155" s="7">
        <f>0</f>
        <v>0</v>
      </c>
      <c r="DC2155" s="5" t="s">
        <v>812</v>
      </c>
      <c r="DD2155" s="5" t="s">
        <v>240</v>
      </c>
      <c r="DF2155" s="5" t="s">
        <v>812</v>
      </c>
      <c r="DG2155" s="7">
        <f>375</f>
        <v>375</v>
      </c>
      <c r="DI2155" s="5" t="s">
        <v>240</v>
      </c>
      <c r="DJ2155" s="5" t="s">
        <v>240</v>
      </c>
      <c r="DK2155" s="5" t="s">
        <v>240</v>
      </c>
      <c r="DL2155" s="5" t="s">
        <v>240</v>
      </c>
      <c r="DP2155" s="5" t="s">
        <v>240</v>
      </c>
      <c r="DQ2155" s="5" t="s">
        <v>240</v>
      </c>
      <c r="DR2155" s="5" t="s">
        <v>240</v>
      </c>
      <c r="DS2155" s="5" t="s">
        <v>240</v>
      </c>
      <c r="DV2155" s="5" t="s">
        <v>813</v>
      </c>
      <c r="DW2155" s="5" t="s">
        <v>572</v>
      </c>
      <c r="HO2155" s="5" t="s">
        <v>312</v>
      </c>
    </row>
    <row r="2156" spans="1:223" x14ac:dyDescent="0.4">
      <c r="A2156" s="5">
        <v>3860</v>
      </c>
      <c r="B2156" s="5">
        <v>1</v>
      </c>
      <c r="C2156" s="5">
        <v>1</v>
      </c>
      <c r="D2156" s="5" t="s">
        <v>810</v>
      </c>
      <c r="E2156" s="5" t="s">
        <v>245</v>
      </c>
      <c r="F2156" s="5" t="s">
        <v>254</v>
      </c>
      <c r="G2156" s="5" t="s">
        <v>240</v>
      </c>
      <c r="H2156" s="6" t="s">
        <v>4127</v>
      </c>
      <c r="I2156" s="5" t="s">
        <v>809</v>
      </c>
      <c r="J2156" s="8">
        <f>936</f>
        <v>936</v>
      </c>
      <c r="K2156" s="5" t="s">
        <v>308</v>
      </c>
      <c r="L2156" s="7">
        <f>1</f>
        <v>1</v>
      </c>
      <c r="M2156" s="7">
        <f>1</f>
        <v>1</v>
      </c>
      <c r="N2156" s="5" t="s">
        <v>242</v>
      </c>
      <c r="O2156" s="5">
        <v>1</v>
      </c>
      <c r="P2156" s="5" t="s">
        <v>294</v>
      </c>
      <c r="Q2156" s="5" t="s">
        <v>266</v>
      </c>
      <c r="R2156" s="5" t="s">
        <v>240</v>
      </c>
      <c r="S2156" s="5" t="s">
        <v>240</v>
      </c>
      <c r="T2156" s="5" t="s">
        <v>296</v>
      </c>
      <c r="U2156" s="5" t="s">
        <v>244</v>
      </c>
      <c r="V2156" s="5" t="s">
        <v>240</v>
      </c>
      <c r="Y2156" s="5" t="s">
        <v>240</v>
      </c>
      <c r="Z2156" s="6" t="s">
        <v>298</v>
      </c>
      <c r="AB2156" s="6" t="s">
        <v>240</v>
      </c>
      <c r="AE2156" s="6" t="s">
        <v>299</v>
      </c>
      <c r="AF2156" s="5" t="s">
        <v>248</v>
      </c>
      <c r="AG2156" s="5" t="s">
        <v>249</v>
      </c>
      <c r="AW2156" s="5" t="s">
        <v>251</v>
      </c>
      <c r="AX2156" s="5" t="s">
        <v>240</v>
      </c>
      <c r="AY2156" s="5" t="s">
        <v>253</v>
      </c>
      <c r="AZ2156" s="5" t="s">
        <v>240</v>
      </c>
      <c r="BA2156" s="5" t="s">
        <v>255</v>
      </c>
      <c r="BB2156" s="5" t="s">
        <v>240</v>
      </c>
      <c r="BD2156" s="5" t="s">
        <v>240</v>
      </c>
      <c r="BF2156" s="5" t="s">
        <v>301</v>
      </c>
      <c r="BG2156" s="6" t="s">
        <v>299</v>
      </c>
      <c r="BH2156" s="5" t="s">
        <v>302</v>
      </c>
      <c r="BI2156" s="5" t="s">
        <v>303</v>
      </c>
      <c r="BJ2156" s="5" t="s">
        <v>240</v>
      </c>
      <c r="BK2156" s="8">
        <f>0</f>
        <v>0</v>
      </c>
      <c r="BL2156" s="7">
        <f>0</f>
        <v>0</v>
      </c>
      <c r="BM2156" s="5" t="s">
        <v>258</v>
      </c>
      <c r="BN2156" s="5" t="s">
        <v>259</v>
      </c>
      <c r="CB2156" s="5" t="s">
        <v>240</v>
      </c>
      <c r="CC2156" s="5" t="s">
        <v>240</v>
      </c>
      <c r="CG2156" s="5" t="s">
        <v>304</v>
      </c>
      <c r="CH2156" s="5" t="s">
        <v>305</v>
      </c>
      <c r="CI2156" s="5" t="s">
        <v>240</v>
      </c>
      <c r="CL2156" s="6" t="s">
        <v>261</v>
      </c>
      <c r="CM2156" s="5" t="s">
        <v>240</v>
      </c>
      <c r="CN2156" s="5" t="s">
        <v>263</v>
      </c>
      <c r="CO2156" s="5" t="s">
        <v>240</v>
      </c>
      <c r="CP2156" s="5" t="s">
        <v>240</v>
      </c>
      <c r="CQ2156" s="5">
        <v>0</v>
      </c>
      <c r="CR2156" s="5" t="s">
        <v>306</v>
      </c>
      <c r="CS2156" s="5" t="s">
        <v>307</v>
      </c>
      <c r="CT2156" s="5" t="s">
        <v>307</v>
      </c>
      <c r="CU2156" s="5" t="s">
        <v>260</v>
      </c>
      <c r="CX2156" s="7">
        <f>1</f>
        <v>1</v>
      </c>
      <c r="CY2156" s="7">
        <f>0</f>
        <v>0</v>
      </c>
      <c r="DA2156" s="7">
        <f>0</f>
        <v>0</v>
      </c>
      <c r="DC2156" s="5" t="s">
        <v>812</v>
      </c>
      <c r="DD2156" s="5" t="s">
        <v>240</v>
      </c>
      <c r="DF2156" s="5" t="s">
        <v>812</v>
      </c>
      <c r="DG2156" s="7">
        <f>88</f>
        <v>88</v>
      </c>
      <c r="DI2156" s="5" t="s">
        <v>240</v>
      </c>
      <c r="DJ2156" s="5" t="s">
        <v>240</v>
      </c>
      <c r="DK2156" s="5" t="s">
        <v>240</v>
      </c>
      <c r="DL2156" s="5" t="s">
        <v>240</v>
      </c>
      <c r="DP2156" s="5" t="s">
        <v>240</v>
      </c>
      <c r="DQ2156" s="5" t="s">
        <v>240</v>
      </c>
      <c r="DR2156" s="5" t="s">
        <v>240</v>
      </c>
      <c r="DS2156" s="5" t="s">
        <v>240</v>
      </c>
      <c r="DV2156" s="5" t="s">
        <v>813</v>
      </c>
      <c r="DW2156" s="5" t="s">
        <v>574</v>
      </c>
      <c r="HO2156" s="5" t="s">
        <v>312</v>
      </c>
    </row>
    <row r="2157" spans="1:223" x14ac:dyDescent="0.4">
      <c r="A2157" s="5">
        <v>3861</v>
      </c>
      <c r="B2157" s="5">
        <v>1</v>
      </c>
      <c r="C2157" s="5">
        <v>1</v>
      </c>
      <c r="D2157" s="5" t="s">
        <v>810</v>
      </c>
      <c r="E2157" s="5" t="s">
        <v>245</v>
      </c>
      <c r="F2157" s="5" t="s">
        <v>254</v>
      </c>
      <c r="G2157" s="5" t="s">
        <v>240</v>
      </c>
      <c r="H2157" s="6" t="s">
        <v>4126</v>
      </c>
      <c r="I2157" s="5" t="s">
        <v>809</v>
      </c>
      <c r="J2157" s="8">
        <f>1091</f>
        <v>1091</v>
      </c>
      <c r="K2157" s="5" t="s">
        <v>308</v>
      </c>
      <c r="L2157" s="7">
        <f>1</f>
        <v>1</v>
      </c>
      <c r="M2157" s="7">
        <f>1</f>
        <v>1</v>
      </c>
      <c r="N2157" s="5" t="s">
        <v>242</v>
      </c>
      <c r="O2157" s="5">
        <v>1</v>
      </c>
      <c r="P2157" s="5" t="s">
        <v>294</v>
      </c>
      <c r="Q2157" s="5" t="s">
        <v>266</v>
      </c>
      <c r="R2157" s="5" t="s">
        <v>240</v>
      </c>
      <c r="S2157" s="5" t="s">
        <v>240</v>
      </c>
      <c r="T2157" s="5" t="s">
        <v>296</v>
      </c>
      <c r="U2157" s="5" t="s">
        <v>244</v>
      </c>
      <c r="V2157" s="5" t="s">
        <v>240</v>
      </c>
      <c r="Y2157" s="5" t="s">
        <v>240</v>
      </c>
      <c r="Z2157" s="6" t="s">
        <v>298</v>
      </c>
      <c r="AB2157" s="6" t="s">
        <v>240</v>
      </c>
      <c r="AE2157" s="6" t="s">
        <v>299</v>
      </c>
      <c r="AF2157" s="5" t="s">
        <v>248</v>
      </c>
      <c r="AG2157" s="5" t="s">
        <v>249</v>
      </c>
      <c r="AW2157" s="5" t="s">
        <v>251</v>
      </c>
      <c r="AX2157" s="5" t="s">
        <v>240</v>
      </c>
      <c r="AY2157" s="5" t="s">
        <v>253</v>
      </c>
      <c r="AZ2157" s="5" t="s">
        <v>240</v>
      </c>
      <c r="BA2157" s="5" t="s">
        <v>255</v>
      </c>
      <c r="BB2157" s="5" t="s">
        <v>240</v>
      </c>
      <c r="BD2157" s="5" t="s">
        <v>240</v>
      </c>
      <c r="BF2157" s="5" t="s">
        <v>301</v>
      </c>
      <c r="BG2157" s="6" t="s">
        <v>299</v>
      </c>
      <c r="BH2157" s="5" t="s">
        <v>302</v>
      </c>
      <c r="BI2157" s="5" t="s">
        <v>303</v>
      </c>
      <c r="BJ2157" s="5" t="s">
        <v>240</v>
      </c>
      <c r="BK2157" s="8">
        <f>0</f>
        <v>0</v>
      </c>
      <c r="BL2157" s="7">
        <f>0</f>
        <v>0</v>
      </c>
      <c r="BM2157" s="5" t="s">
        <v>258</v>
      </c>
      <c r="BN2157" s="5" t="s">
        <v>259</v>
      </c>
      <c r="CB2157" s="5" t="s">
        <v>240</v>
      </c>
      <c r="CC2157" s="5" t="s">
        <v>240</v>
      </c>
      <c r="CG2157" s="5" t="s">
        <v>304</v>
      </c>
      <c r="CH2157" s="5" t="s">
        <v>305</v>
      </c>
      <c r="CI2157" s="5" t="s">
        <v>240</v>
      </c>
      <c r="CL2157" s="6" t="s">
        <v>261</v>
      </c>
      <c r="CM2157" s="5" t="s">
        <v>240</v>
      </c>
      <c r="CN2157" s="5" t="s">
        <v>263</v>
      </c>
      <c r="CO2157" s="5" t="s">
        <v>240</v>
      </c>
      <c r="CP2157" s="5" t="s">
        <v>240</v>
      </c>
      <c r="CQ2157" s="5">
        <v>0</v>
      </c>
      <c r="CR2157" s="5" t="s">
        <v>306</v>
      </c>
      <c r="CS2157" s="5" t="s">
        <v>307</v>
      </c>
      <c r="CT2157" s="5" t="s">
        <v>307</v>
      </c>
      <c r="CU2157" s="5" t="s">
        <v>260</v>
      </c>
      <c r="CX2157" s="7">
        <f>1</f>
        <v>1</v>
      </c>
      <c r="CY2157" s="7">
        <f>0</f>
        <v>0</v>
      </c>
      <c r="DA2157" s="7">
        <f>0</f>
        <v>0</v>
      </c>
      <c r="DC2157" s="5" t="s">
        <v>812</v>
      </c>
      <c r="DD2157" s="5" t="s">
        <v>240</v>
      </c>
      <c r="DF2157" s="5" t="s">
        <v>812</v>
      </c>
      <c r="DG2157" s="7">
        <f>1786</f>
        <v>1786</v>
      </c>
      <c r="DI2157" s="5" t="s">
        <v>240</v>
      </c>
      <c r="DJ2157" s="5" t="s">
        <v>240</v>
      </c>
      <c r="DK2157" s="5" t="s">
        <v>240</v>
      </c>
      <c r="DL2157" s="5" t="s">
        <v>240</v>
      </c>
      <c r="DP2157" s="5" t="s">
        <v>240</v>
      </c>
      <c r="DQ2157" s="5" t="s">
        <v>240</v>
      </c>
      <c r="DR2157" s="5" t="s">
        <v>240</v>
      </c>
      <c r="DS2157" s="5" t="s">
        <v>240</v>
      </c>
      <c r="DV2157" s="5" t="s">
        <v>813</v>
      </c>
      <c r="DW2157" s="5" t="s">
        <v>576</v>
      </c>
      <c r="HO2157" s="5" t="s">
        <v>312</v>
      </c>
    </row>
    <row r="2158" spans="1:223" x14ac:dyDescent="0.4">
      <c r="A2158" s="5">
        <v>3862</v>
      </c>
      <c r="B2158" s="5">
        <v>1</v>
      </c>
      <c r="C2158" s="5">
        <v>1</v>
      </c>
      <c r="D2158" s="5" t="s">
        <v>810</v>
      </c>
      <c r="E2158" s="5" t="s">
        <v>245</v>
      </c>
      <c r="F2158" s="5" t="s">
        <v>254</v>
      </c>
      <c r="G2158" s="5" t="s">
        <v>240</v>
      </c>
      <c r="H2158" s="6" t="s">
        <v>4125</v>
      </c>
      <c r="I2158" s="5" t="s">
        <v>809</v>
      </c>
      <c r="J2158" s="8">
        <f>824</f>
        <v>824</v>
      </c>
      <c r="K2158" s="5" t="s">
        <v>308</v>
      </c>
      <c r="L2158" s="7">
        <f>1</f>
        <v>1</v>
      </c>
      <c r="M2158" s="7">
        <f>1</f>
        <v>1</v>
      </c>
      <c r="N2158" s="5" t="s">
        <v>242</v>
      </c>
      <c r="O2158" s="5">
        <v>1</v>
      </c>
      <c r="P2158" s="5" t="s">
        <v>294</v>
      </c>
      <c r="Q2158" s="5" t="s">
        <v>613</v>
      </c>
      <c r="R2158" s="5" t="s">
        <v>240</v>
      </c>
      <c r="S2158" s="5" t="s">
        <v>240</v>
      </c>
      <c r="T2158" s="5" t="s">
        <v>243</v>
      </c>
      <c r="U2158" s="5" t="s">
        <v>724</v>
      </c>
      <c r="V2158" s="5" t="s">
        <v>240</v>
      </c>
      <c r="Y2158" s="5" t="s">
        <v>240</v>
      </c>
      <c r="Z2158" s="6" t="s">
        <v>298</v>
      </c>
      <c r="AB2158" s="6" t="s">
        <v>240</v>
      </c>
      <c r="AE2158" s="6" t="s">
        <v>299</v>
      </c>
      <c r="AF2158" s="5" t="s">
        <v>248</v>
      </c>
      <c r="AG2158" s="5" t="s">
        <v>249</v>
      </c>
      <c r="AW2158" s="5" t="s">
        <v>251</v>
      </c>
      <c r="AX2158" s="5" t="s">
        <v>240</v>
      </c>
      <c r="AY2158" s="5" t="s">
        <v>253</v>
      </c>
      <c r="AZ2158" s="5" t="s">
        <v>240</v>
      </c>
      <c r="BA2158" s="5" t="s">
        <v>255</v>
      </c>
      <c r="BB2158" s="5" t="s">
        <v>240</v>
      </c>
      <c r="BD2158" s="5" t="s">
        <v>842</v>
      </c>
      <c r="BF2158" s="5" t="s">
        <v>301</v>
      </c>
      <c r="BG2158" s="6" t="s">
        <v>299</v>
      </c>
      <c r="BH2158" s="5" t="s">
        <v>302</v>
      </c>
      <c r="BI2158" s="5" t="s">
        <v>303</v>
      </c>
      <c r="BJ2158" s="5" t="s">
        <v>240</v>
      </c>
      <c r="BK2158" s="8">
        <f>0</f>
        <v>0</v>
      </c>
      <c r="BL2158" s="7">
        <f>0</f>
        <v>0</v>
      </c>
      <c r="BM2158" s="5" t="s">
        <v>258</v>
      </c>
      <c r="BN2158" s="5" t="s">
        <v>259</v>
      </c>
      <c r="CB2158" s="5" t="s">
        <v>240</v>
      </c>
      <c r="CC2158" s="5" t="s">
        <v>240</v>
      </c>
      <c r="CG2158" s="5" t="s">
        <v>617</v>
      </c>
      <c r="CH2158" s="5" t="s">
        <v>305</v>
      </c>
      <c r="CI2158" s="5" t="s">
        <v>240</v>
      </c>
      <c r="CL2158" s="6" t="s">
        <v>261</v>
      </c>
      <c r="CM2158" s="5" t="s">
        <v>240</v>
      </c>
      <c r="CN2158" s="5" t="s">
        <v>263</v>
      </c>
      <c r="CO2158" s="5" t="s">
        <v>240</v>
      </c>
      <c r="CP2158" s="5" t="s">
        <v>240</v>
      </c>
      <c r="CQ2158" s="5">
        <v>0</v>
      </c>
      <c r="CR2158" s="5" t="s">
        <v>306</v>
      </c>
      <c r="CS2158" s="5" t="s">
        <v>307</v>
      </c>
      <c r="CT2158" s="5" t="s">
        <v>307</v>
      </c>
      <c r="CU2158" s="5" t="s">
        <v>260</v>
      </c>
      <c r="CX2158" s="7">
        <f>9889</f>
        <v>9889</v>
      </c>
      <c r="CY2158" s="7">
        <f>0</f>
        <v>0</v>
      </c>
      <c r="DA2158" s="7">
        <f>0</f>
        <v>0</v>
      </c>
      <c r="DC2158" s="5" t="s">
        <v>450</v>
      </c>
      <c r="DD2158" s="5" t="s">
        <v>240</v>
      </c>
      <c r="DF2158" s="5" t="s">
        <v>450</v>
      </c>
      <c r="DG2158" s="7">
        <f>0</f>
        <v>0</v>
      </c>
      <c r="DI2158" s="5" t="s">
        <v>737</v>
      </c>
      <c r="DJ2158" s="5" t="s">
        <v>240</v>
      </c>
      <c r="DK2158" s="5" t="s">
        <v>240</v>
      </c>
      <c r="DL2158" s="5" t="s">
        <v>240</v>
      </c>
      <c r="DP2158" s="5" t="s">
        <v>240</v>
      </c>
      <c r="DQ2158" s="5" t="s">
        <v>240</v>
      </c>
      <c r="DR2158" s="5" t="s">
        <v>240</v>
      </c>
      <c r="DS2158" s="5" t="s">
        <v>240</v>
      </c>
      <c r="DV2158" s="5" t="s">
        <v>4239</v>
      </c>
      <c r="DW2158" s="5" t="s">
        <v>312</v>
      </c>
      <c r="HO2158" s="5" t="s">
        <v>312</v>
      </c>
    </row>
    <row r="2159" spans="1:223" x14ac:dyDescent="0.4">
      <c r="A2159" s="5">
        <v>3863</v>
      </c>
      <c r="B2159" s="5">
        <v>1</v>
      </c>
      <c r="C2159" s="5">
        <v>1</v>
      </c>
      <c r="D2159" s="5" t="s">
        <v>810</v>
      </c>
      <c r="E2159" s="5" t="s">
        <v>245</v>
      </c>
      <c r="F2159" s="5" t="s">
        <v>254</v>
      </c>
      <c r="G2159" s="5" t="s">
        <v>240</v>
      </c>
      <c r="H2159" s="6" t="s">
        <v>4124</v>
      </c>
      <c r="I2159" s="5" t="s">
        <v>809</v>
      </c>
      <c r="J2159" s="8">
        <f>269</f>
        <v>269</v>
      </c>
      <c r="K2159" s="5" t="s">
        <v>308</v>
      </c>
      <c r="L2159" s="7">
        <f>1</f>
        <v>1</v>
      </c>
      <c r="M2159" s="7">
        <f>1</f>
        <v>1</v>
      </c>
      <c r="N2159" s="5" t="s">
        <v>242</v>
      </c>
      <c r="O2159" s="5">
        <v>1</v>
      </c>
      <c r="P2159" s="5" t="s">
        <v>294</v>
      </c>
      <c r="Q2159" s="5" t="s">
        <v>266</v>
      </c>
      <c r="R2159" s="5" t="s">
        <v>240</v>
      </c>
      <c r="S2159" s="5" t="s">
        <v>240</v>
      </c>
      <c r="T2159" s="5" t="s">
        <v>296</v>
      </c>
      <c r="U2159" s="5" t="s">
        <v>244</v>
      </c>
      <c r="V2159" s="5" t="s">
        <v>240</v>
      </c>
      <c r="Y2159" s="5" t="s">
        <v>240</v>
      </c>
      <c r="Z2159" s="6" t="s">
        <v>298</v>
      </c>
      <c r="AB2159" s="6" t="s">
        <v>240</v>
      </c>
      <c r="AE2159" s="6" t="s">
        <v>299</v>
      </c>
      <c r="AF2159" s="5" t="s">
        <v>248</v>
      </c>
      <c r="AG2159" s="5" t="s">
        <v>249</v>
      </c>
      <c r="AW2159" s="5" t="s">
        <v>251</v>
      </c>
      <c r="AX2159" s="5" t="s">
        <v>240</v>
      </c>
      <c r="AY2159" s="5" t="s">
        <v>253</v>
      </c>
      <c r="AZ2159" s="5" t="s">
        <v>240</v>
      </c>
      <c r="BA2159" s="5" t="s">
        <v>255</v>
      </c>
      <c r="BB2159" s="5" t="s">
        <v>240</v>
      </c>
      <c r="BD2159" s="5" t="s">
        <v>240</v>
      </c>
      <c r="BF2159" s="5" t="s">
        <v>301</v>
      </c>
      <c r="BG2159" s="6" t="s">
        <v>299</v>
      </c>
      <c r="BH2159" s="5" t="s">
        <v>302</v>
      </c>
      <c r="BI2159" s="5" t="s">
        <v>303</v>
      </c>
      <c r="BJ2159" s="5" t="s">
        <v>240</v>
      </c>
      <c r="BK2159" s="8">
        <f>0</f>
        <v>0</v>
      </c>
      <c r="BL2159" s="7">
        <f>0</f>
        <v>0</v>
      </c>
      <c r="BM2159" s="5" t="s">
        <v>258</v>
      </c>
      <c r="BN2159" s="5" t="s">
        <v>259</v>
      </c>
      <c r="CB2159" s="5" t="s">
        <v>240</v>
      </c>
      <c r="CC2159" s="5" t="s">
        <v>240</v>
      </c>
      <c r="CG2159" s="5" t="s">
        <v>304</v>
      </c>
      <c r="CH2159" s="5" t="s">
        <v>305</v>
      </c>
      <c r="CI2159" s="5" t="s">
        <v>240</v>
      </c>
      <c r="CL2159" s="6" t="s">
        <v>261</v>
      </c>
      <c r="CM2159" s="5" t="s">
        <v>240</v>
      </c>
      <c r="CN2159" s="5" t="s">
        <v>263</v>
      </c>
      <c r="CO2159" s="5" t="s">
        <v>240</v>
      </c>
      <c r="CP2159" s="5" t="s">
        <v>240</v>
      </c>
      <c r="CQ2159" s="5">
        <v>0</v>
      </c>
      <c r="CR2159" s="5" t="s">
        <v>306</v>
      </c>
      <c r="CS2159" s="5" t="s">
        <v>307</v>
      </c>
      <c r="CT2159" s="5" t="s">
        <v>307</v>
      </c>
      <c r="CU2159" s="5" t="s">
        <v>260</v>
      </c>
      <c r="CX2159" s="7">
        <f>1</f>
        <v>1</v>
      </c>
      <c r="CY2159" s="7">
        <f>0</f>
        <v>0</v>
      </c>
      <c r="DA2159" s="7">
        <f>0</f>
        <v>0</v>
      </c>
      <c r="DC2159" s="5" t="s">
        <v>812</v>
      </c>
      <c r="DD2159" s="5" t="s">
        <v>240</v>
      </c>
      <c r="DF2159" s="5" t="s">
        <v>812</v>
      </c>
      <c r="DG2159" s="7">
        <f>339</f>
        <v>339</v>
      </c>
      <c r="DI2159" s="5" t="s">
        <v>240</v>
      </c>
      <c r="DJ2159" s="5" t="s">
        <v>240</v>
      </c>
      <c r="DK2159" s="5" t="s">
        <v>240</v>
      </c>
      <c r="DL2159" s="5" t="s">
        <v>240</v>
      </c>
      <c r="DP2159" s="5" t="s">
        <v>240</v>
      </c>
      <c r="DQ2159" s="5" t="s">
        <v>240</v>
      </c>
      <c r="DR2159" s="5" t="s">
        <v>240</v>
      </c>
      <c r="DS2159" s="5" t="s">
        <v>240</v>
      </c>
      <c r="DV2159" s="5" t="s">
        <v>813</v>
      </c>
      <c r="DW2159" s="5" t="s">
        <v>580</v>
      </c>
      <c r="HO2159" s="5" t="s">
        <v>312</v>
      </c>
    </row>
    <row r="2160" spans="1:223" x14ac:dyDescent="0.4">
      <c r="A2160" s="5">
        <v>3864</v>
      </c>
      <c r="B2160" s="5">
        <v>1</v>
      </c>
      <c r="C2160" s="5">
        <v>1</v>
      </c>
      <c r="D2160" s="5" t="s">
        <v>810</v>
      </c>
      <c r="E2160" s="5" t="s">
        <v>245</v>
      </c>
      <c r="F2160" s="5" t="s">
        <v>254</v>
      </c>
      <c r="G2160" s="5" t="s">
        <v>240</v>
      </c>
      <c r="H2160" s="6" t="s">
        <v>4123</v>
      </c>
      <c r="I2160" s="5" t="s">
        <v>809</v>
      </c>
      <c r="J2160" s="8">
        <f>888</f>
        <v>888</v>
      </c>
      <c r="K2160" s="5" t="s">
        <v>308</v>
      </c>
      <c r="L2160" s="7">
        <f>1</f>
        <v>1</v>
      </c>
      <c r="M2160" s="7">
        <f>1</f>
        <v>1</v>
      </c>
      <c r="N2160" s="5" t="s">
        <v>242</v>
      </c>
      <c r="O2160" s="5">
        <v>1</v>
      </c>
      <c r="P2160" s="5" t="s">
        <v>294</v>
      </c>
      <c r="Q2160" s="5" t="s">
        <v>266</v>
      </c>
      <c r="R2160" s="5" t="s">
        <v>240</v>
      </c>
      <c r="S2160" s="5" t="s">
        <v>240</v>
      </c>
      <c r="T2160" s="5" t="s">
        <v>296</v>
      </c>
      <c r="U2160" s="5" t="s">
        <v>244</v>
      </c>
      <c r="V2160" s="5" t="s">
        <v>240</v>
      </c>
      <c r="Y2160" s="5" t="s">
        <v>240</v>
      </c>
      <c r="Z2160" s="6" t="s">
        <v>298</v>
      </c>
      <c r="AB2160" s="6" t="s">
        <v>240</v>
      </c>
      <c r="AE2160" s="6" t="s">
        <v>299</v>
      </c>
      <c r="AF2160" s="5" t="s">
        <v>248</v>
      </c>
      <c r="AG2160" s="5" t="s">
        <v>249</v>
      </c>
      <c r="AW2160" s="5" t="s">
        <v>251</v>
      </c>
      <c r="AX2160" s="5" t="s">
        <v>240</v>
      </c>
      <c r="AY2160" s="5" t="s">
        <v>253</v>
      </c>
      <c r="AZ2160" s="5" t="s">
        <v>240</v>
      </c>
      <c r="BA2160" s="5" t="s">
        <v>255</v>
      </c>
      <c r="BB2160" s="5" t="s">
        <v>240</v>
      </c>
      <c r="BD2160" s="5" t="s">
        <v>240</v>
      </c>
      <c r="BF2160" s="5" t="s">
        <v>301</v>
      </c>
      <c r="BG2160" s="6" t="s">
        <v>299</v>
      </c>
      <c r="BH2160" s="5" t="s">
        <v>302</v>
      </c>
      <c r="BI2160" s="5" t="s">
        <v>303</v>
      </c>
      <c r="BJ2160" s="5" t="s">
        <v>240</v>
      </c>
      <c r="BK2160" s="8">
        <f>0</f>
        <v>0</v>
      </c>
      <c r="BL2160" s="7">
        <f>0</f>
        <v>0</v>
      </c>
      <c r="BM2160" s="5" t="s">
        <v>258</v>
      </c>
      <c r="BN2160" s="5" t="s">
        <v>259</v>
      </c>
      <c r="CB2160" s="5" t="s">
        <v>240</v>
      </c>
      <c r="CC2160" s="5" t="s">
        <v>240</v>
      </c>
      <c r="CG2160" s="5" t="s">
        <v>304</v>
      </c>
      <c r="CH2160" s="5" t="s">
        <v>305</v>
      </c>
      <c r="CI2160" s="5" t="s">
        <v>240</v>
      </c>
      <c r="CL2160" s="6" t="s">
        <v>261</v>
      </c>
      <c r="CM2160" s="5" t="s">
        <v>240</v>
      </c>
      <c r="CN2160" s="5" t="s">
        <v>263</v>
      </c>
      <c r="CO2160" s="5" t="s">
        <v>240</v>
      </c>
      <c r="CP2160" s="5" t="s">
        <v>240</v>
      </c>
      <c r="CQ2160" s="5">
        <v>0</v>
      </c>
      <c r="CR2160" s="5" t="s">
        <v>306</v>
      </c>
      <c r="CS2160" s="5" t="s">
        <v>307</v>
      </c>
      <c r="CT2160" s="5" t="s">
        <v>307</v>
      </c>
      <c r="CU2160" s="5" t="s">
        <v>260</v>
      </c>
      <c r="CX2160" s="7">
        <f>1</f>
        <v>1</v>
      </c>
      <c r="CY2160" s="7">
        <f>0</f>
        <v>0</v>
      </c>
      <c r="DA2160" s="7">
        <f>0</f>
        <v>0</v>
      </c>
      <c r="DC2160" s="5" t="s">
        <v>812</v>
      </c>
      <c r="DD2160" s="5" t="s">
        <v>240</v>
      </c>
      <c r="DF2160" s="5" t="s">
        <v>812</v>
      </c>
      <c r="DG2160" s="7">
        <f>415</f>
        <v>415</v>
      </c>
      <c r="DI2160" s="5" t="s">
        <v>240</v>
      </c>
      <c r="DJ2160" s="5" t="s">
        <v>240</v>
      </c>
      <c r="DK2160" s="5" t="s">
        <v>240</v>
      </c>
      <c r="DL2160" s="5" t="s">
        <v>240</v>
      </c>
      <c r="DP2160" s="5" t="s">
        <v>240</v>
      </c>
      <c r="DQ2160" s="5" t="s">
        <v>240</v>
      </c>
      <c r="DR2160" s="5" t="s">
        <v>240</v>
      </c>
      <c r="DS2160" s="5" t="s">
        <v>240</v>
      </c>
      <c r="DV2160" s="5" t="s">
        <v>813</v>
      </c>
      <c r="DW2160" s="5" t="s">
        <v>582</v>
      </c>
      <c r="HO2160" s="5" t="s">
        <v>312</v>
      </c>
    </row>
    <row r="2161" spans="1:223" x14ac:dyDescent="0.4">
      <c r="A2161" s="5">
        <v>3865</v>
      </c>
      <c r="B2161" s="5">
        <v>1</v>
      </c>
      <c r="C2161" s="5">
        <v>1</v>
      </c>
      <c r="D2161" s="5" t="s">
        <v>810</v>
      </c>
      <c r="E2161" s="5" t="s">
        <v>245</v>
      </c>
      <c r="F2161" s="5" t="s">
        <v>254</v>
      </c>
      <c r="G2161" s="5" t="s">
        <v>240</v>
      </c>
      <c r="H2161" s="6" t="s">
        <v>4122</v>
      </c>
      <c r="I2161" s="5" t="s">
        <v>809</v>
      </c>
      <c r="J2161" s="8">
        <f>1978</f>
        <v>1978</v>
      </c>
      <c r="K2161" s="5" t="s">
        <v>308</v>
      </c>
      <c r="L2161" s="7">
        <f>1</f>
        <v>1</v>
      </c>
      <c r="M2161" s="7">
        <f>1</f>
        <v>1</v>
      </c>
      <c r="N2161" s="5" t="s">
        <v>242</v>
      </c>
      <c r="O2161" s="5">
        <v>1</v>
      </c>
      <c r="P2161" s="5" t="s">
        <v>294</v>
      </c>
      <c r="Q2161" s="5" t="s">
        <v>266</v>
      </c>
      <c r="R2161" s="5" t="s">
        <v>240</v>
      </c>
      <c r="S2161" s="5" t="s">
        <v>240</v>
      </c>
      <c r="T2161" s="5" t="s">
        <v>296</v>
      </c>
      <c r="U2161" s="5" t="s">
        <v>244</v>
      </c>
      <c r="V2161" s="5" t="s">
        <v>240</v>
      </c>
      <c r="Y2161" s="5" t="s">
        <v>240</v>
      </c>
      <c r="Z2161" s="6" t="s">
        <v>298</v>
      </c>
      <c r="AB2161" s="6" t="s">
        <v>240</v>
      </c>
      <c r="AE2161" s="6" t="s">
        <v>299</v>
      </c>
      <c r="AF2161" s="5" t="s">
        <v>248</v>
      </c>
      <c r="AG2161" s="5" t="s">
        <v>249</v>
      </c>
      <c r="AW2161" s="5" t="s">
        <v>251</v>
      </c>
      <c r="AX2161" s="5" t="s">
        <v>240</v>
      </c>
      <c r="AY2161" s="5" t="s">
        <v>253</v>
      </c>
      <c r="AZ2161" s="5" t="s">
        <v>240</v>
      </c>
      <c r="BA2161" s="5" t="s">
        <v>255</v>
      </c>
      <c r="BB2161" s="5" t="s">
        <v>240</v>
      </c>
      <c r="BD2161" s="5" t="s">
        <v>240</v>
      </c>
      <c r="BF2161" s="5" t="s">
        <v>301</v>
      </c>
      <c r="BG2161" s="6" t="s">
        <v>299</v>
      </c>
      <c r="BH2161" s="5" t="s">
        <v>302</v>
      </c>
      <c r="BI2161" s="5" t="s">
        <v>303</v>
      </c>
      <c r="BJ2161" s="5" t="s">
        <v>240</v>
      </c>
      <c r="BK2161" s="8">
        <f>0</f>
        <v>0</v>
      </c>
      <c r="BL2161" s="7">
        <f>0</f>
        <v>0</v>
      </c>
      <c r="BM2161" s="5" t="s">
        <v>258</v>
      </c>
      <c r="BN2161" s="5" t="s">
        <v>259</v>
      </c>
      <c r="CB2161" s="5" t="s">
        <v>240</v>
      </c>
      <c r="CC2161" s="5" t="s">
        <v>240</v>
      </c>
      <c r="CG2161" s="5" t="s">
        <v>304</v>
      </c>
      <c r="CH2161" s="5" t="s">
        <v>305</v>
      </c>
      <c r="CI2161" s="5" t="s">
        <v>240</v>
      </c>
      <c r="CL2161" s="6" t="s">
        <v>261</v>
      </c>
      <c r="CM2161" s="5" t="s">
        <v>240</v>
      </c>
      <c r="CN2161" s="5" t="s">
        <v>263</v>
      </c>
      <c r="CO2161" s="5" t="s">
        <v>240</v>
      </c>
      <c r="CP2161" s="5" t="s">
        <v>240</v>
      </c>
      <c r="CQ2161" s="5">
        <v>0</v>
      </c>
      <c r="CR2161" s="5" t="s">
        <v>306</v>
      </c>
      <c r="CS2161" s="5" t="s">
        <v>307</v>
      </c>
      <c r="CT2161" s="5" t="s">
        <v>307</v>
      </c>
      <c r="CU2161" s="5" t="s">
        <v>260</v>
      </c>
      <c r="CX2161" s="7">
        <f>1</f>
        <v>1</v>
      </c>
      <c r="CY2161" s="7">
        <f>0</f>
        <v>0</v>
      </c>
      <c r="DA2161" s="7">
        <f>0</f>
        <v>0</v>
      </c>
      <c r="DC2161" s="5" t="s">
        <v>812</v>
      </c>
      <c r="DD2161" s="5" t="s">
        <v>240</v>
      </c>
      <c r="DF2161" s="5" t="s">
        <v>812</v>
      </c>
      <c r="DG2161" s="7">
        <f>462</f>
        <v>462</v>
      </c>
      <c r="DI2161" s="5" t="s">
        <v>240</v>
      </c>
      <c r="DJ2161" s="5" t="s">
        <v>240</v>
      </c>
      <c r="DK2161" s="5" t="s">
        <v>240</v>
      </c>
      <c r="DL2161" s="5" t="s">
        <v>240</v>
      </c>
      <c r="DP2161" s="5" t="s">
        <v>240</v>
      </c>
      <c r="DQ2161" s="5" t="s">
        <v>240</v>
      </c>
      <c r="DR2161" s="5" t="s">
        <v>240</v>
      </c>
      <c r="DS2161" s="5" t="s">
        <v>240</v>
      </c>
      <c r="DV2161" s="5" t="s">
        <v>813</v>
      </c>
      <c r="DW2161" s="5" t="s">
        <v>584</v>
      </c>
      <c r="HO2161" s="5" t="s">
        <v>312</v>
      </c>
    </row>
    <row r="2162" spans="1:223" x14ac:dyDescent="0.4">
      <c r="A2162" s="5">
        <v>3866</v>
      </c>
      <c r="B2162" s="5">
        <v>1</v>
      </c>
      <c r="C2162" s="5">
        <v>1</v>
      </c>
      <c r="D2162" s="5" t="s">
        <v>810</v>
      </c>
      <c r="E2162" s="5" t="s">
        <v>245</v>
      </c>
      <c r="F2162" s="5" t="s">
        <v>254</v>
      </c>
      <c r="G2162" s="5" t="s">
        <v>240</v>
      </c>
      <c r="H2162" s="6" t="s">
        <v>4121</v>
      </c>
      <c r="I2162" s="5" t="s">
        <v>809</v>
      </c>
      <c r="J2162" s="8">
        <f>73</f>
        <v>73</v>
      </c>
      <c r="K2162" s="5" t="s">
        <v>308</v>
      </c>
      <c r="L2162" s="7">
        <f>1</f>
        <v>1</v>
      </c>
      <c r="M2162" s="7">
        <f>1</f>
        <v>1</v>
      </c>
      <c r="N2162" s="5" t="s">
        <v>242</v>
      </c>
      <c r="O2162" s="5">
        <v>1</v>
      </c>
      <c r="P2162" s="5" t="s">
        <v>294</v>
      </c>
      <c r="Q2162" s="5" t="s">
        <v>613</v>
      </c>
      <c r="R2162" s="5" t="s">
        <v>240</v>
      </c>
      <c r="S2162" s="5" t="s">
        <v>240</v>
      </c>
      <c r="T2162" s="5" t="s">
        <v>243</v>
      </c>
      <c r="U2162" s="5" t="s">
        <v>724</v>
      </c>
      <c r="V2162" s="5" t="s">
        <v>240</v>
      </c>
      <c r="Y2162" s="5" t="s">
        <v>240</v>
      </c>
      <c r="Z2162" s="6" t="s">
        <v>298</v>
      </c>
      <c r="AB2162" s="6" t="s">
        <v>240</v>
      </c>
      <c r="AE2162" s="6" t="s">
        <v>299</v>
      </c>
      <c r="AF2162" s="5" t="s">
        <v>248</v>
      </c>
      <c r="AG2162" s="5" t="s">
        <v>249</v>
      </c>
      <c r="AW2162" s="5" t="s">
        <v>251</v>
      </c>
      <c r="AX2162" s="5" t="s">
        <v>240</v>
      </c>
      <c r="AY2162" s="5" t="s">
        <v>253</v>
      </c>
      <c r="AZ2162" s="5" t="s">
        <v>240</v>
      </c>
      <c r="BA2162" s="5" t="s">
        <v>255</v>
      </c>
      <c r="BB2162" s="5" t="s">
        <v>240</v>
      </c>
      <c r="BD2162" s="5" t="s">
        <v>842</v>
      </c>
      <c r="BF2162" s="5" t="s">
        <v>301</v>
      </c>
      <c r="BG2162" s="6" t="s">
        <v>299</v>
      </c>
      <c r="BH2162" s="5" t="s">
        <v>302</v>
      </c>
      <c r="BI2162" s="5" t="s">
        <v>303</v>
      </c>
      <c r="BJ2162" s="5" t="s">
        <v>240</v>
      </c>
      <c r="BK2162" s="8">
        <f>0</f>
        <v>0</v>
      </c>
      <c r="BL2162" s="7">
        <f>0</f>
        <v>0</v>
      </c>
      <c r="BM2162" s="5" t="s">
        <v>258</v>
      </c>
      <c r="BN2162" s="5" t="s">
        <v>259</v>
      </c>
      <c r="CB2162" s="5" t="s">
        <v>240</v>
      </c>
      <c r="CC2162" s="5" t="s">
        <v>240</v>
      </c>
      <c r="CG2162" s="5" t="s">
        <v>617</v>
      </c>
      <c r="CH2162" s="5" t="s">
        <v>305</v>
      </c>
      <c r="CI2162" s="5" t="s">
        <v>240</v>
      </c>
      <c r="CL2162" s="6" t="s">
        <v>261</v>
      </c>
      <c r="CM2162" s="5" t="s">
        <v>240</v>
      </c>
      <c r="CN2162" s="5" t="s">
        <v>263</v>
      </c>
      <c r="CO2162" s="5" t="s">
        <v>240</v>
      </c>
      <c r="CP2162" s="5" t="s">
        <v>240</v>
      </c>
      <c r="CQ2162" s="5">
        <v>0</v>
      </c>
      <c r="CR2162" s="5" t="s">
        <v>306</v>
      </c>
      <c r="CS2162" s="5" t="s">
        <v>307</v>
      </c>
      <c r="CT2162" s="5" t="s">
        <v>307</v>
      </c>
      <c r="CU2162" s="5" t="s">
        <v>260</v>
      </c>
      <c r="CX2162" s="7">
        <f>2552</f>
        <v>2552</v>
      </c>
      <c r="CY2162" s="7">
        <f>0</f>
        <v>0</v>
      </c>
      <c r="DA2162" s="7">
        <f>0</f>
        <v>0</v>
      </c>
      <c r="DC2162" s="5" t="s">
        <v>450</v>
      </c>
      <c r="DD2162" s="5" t="s">
        <v>240</v>
      </c>
      <c r="DF2162" s="5" t="s">
        <v>450</v>
      </c>
      <c r="DG2162" s="7">
        <f>0</f>
        <v>0</v>
      </c>
      <c r="DI2162" s="5" t="s">
        <v>737</v>
      </c>
      <c r="DJ2162" s="5" t="s">
        <v>240</v>
      </c>
      <c r="DK2162" s="5" t="s">
        <v>240</v>
      </c>
      <c r="DL2162" s="5" t="s">
        <v>240</v>
      </c>
      <c r="DP2162" s="5" t="s">
        <v>240</v>
      </c>
      <c r="DQ2162" s="5" t="s">
        <v>240</v>
      </c>
      <c r="DR2162" s="5" t="s">
        <v>240</v>
      </c>
      <c r="DS2162" s="5" t="s">
        <v>240</v>
      </c>
      <c r="DV2162" s="5" t="s">
        <v>4245</v>
      </c>
      <c r="DW2162" s="5" t="s">
        <v>312</v>
      </c>
      <c r="HO2162" s="5" t="s">
        <v>312</v>
      </c>
    </row>
    <row r="2163" spans="1:223" x14ac:dyDescent="0.4">
      <c r="A2163" s="5">
        <v>3867</v>
      </c>
      <c r="B2163" s="5">
        <v>1</v>
      </c>
      <c r="C2163" s="5">
        <v>1</v>
      </c>
      <c r="D2163" s="5" t="s">
        <v>810</v>
      </c>
      <c r="E2163" s="5" t="s">
        <v>245</v>
      </c>
      <c r="F2163" s="5" t="s">
        <v>254</v>
      </c>
      <c r="G2163" s="5" t="s">
        <v>240</v>
      </c>
      <c r="H2163" s="6" t="s">
        <v>4120</v>
      </c>
      <c r="I2163" s="5" t="s">
        <v>809</v>
      </c>
      <c r="J2163" s="8">
        <f>514</f>
        <v>514</v>
      </c>
      <c r="K2163" s="5" t="s">
        <v>308</v>
      </c>
      <c r="L2163" s="7">
        <f>1</f>
        <v>1</v>
      </c>
      <c r="M2163" s="7">
        <f>1</f>
        <v>1</v>
      </c>
      <c r="N2163" s="5" t="s">
        <v>242</v>
      </c>
      <c r="O2163" s="5">
        <v>1</v>
      </c>
      <c r="P2163" s="5" t="s">
        <v>294</v>
      </c>
      <c r="Q2163" s="5" t="s">
        <v>266</v>
      </c>
      <c r="R2163" s="5" t="s">
        <v>240</v>
      </c>
      <c r="S2163" s="5" t="s">
        <v>240</v>
      </c>
      <c r="T2163" s="5" t="s">
        <v>296</v>
      </c>
      <c r="U2163" s="5" t="s">
        <v>244</v>
      </c>
      <c r="V2163" s="5" t="s">
        <v>240</v>
      </c>
      <c r="Y2163" s="5" t="s">
        <v>240</v>
      </c>
      <c r="Z2163" s="6" t="s">
        <v>298</v>
      </c>
      <c r="AB2163" s="6" t="s">
        <v>240</v>
      </c>
      <c r="AE2163" s="6" t="s">
        <v>299</v>
      </c>
      <c r="AF2163" s="5" t="s">
        <v>248</v>
      </c>
      <c r="AG2163" s="5" t="s">
        <v>249</v>
      </c>
      <c r="AW2163" s="5" t="s">
        <v>251</v>
      </c>
      <c r="AX2163" s="5" t="s">
        <v>240</v>
      </c>
      <c r="AY2163" s="5" t="s">
        <v>253</v>
      </c>
      <c r="AZ2163" s="5" t="s">
        <v>240</v>
      </c>
      <c r="BA2163" s="5" t="s">
        <v>255</v>
      </c>
      <c r="BB2163" s="5" t="s">
        <v>240</v>
      </c>
      <c r="BD2163" s="5" t="s">
        <v>240</v>
      </c>
      <c r="BF2163" s="5" t="s">
        <v>301</v>
      </c>
      <c r="BG2163" s="6" t="s">
        <v>299</v>
      </c>
      <c r="BH2163" s="5" t="s">
        <v>302</v>
      </c>
      <c r="BI2163" s="5" t="s">
        <v>303</v>
      </c>
      <c r="BJ2163" s="5" t="s">
        <v>240</v>
      </c>
      <c r="BK2163" s="8">
        <f>0</f>
        <v>0</v>
      </c>
      <c r="BL2163" s="7">
        <f>0</f>
        <v>0</v>
      </c>
      <c r="BM2163" s="5" t="s">
        <v>258</v>
      </c>
      <c r="BN2163" s="5" t="s">
        <v>259</v>
      </c>
      <c r="CB2163" s="5" t="s">
        <v>240</v>
      </c>
      <c r="CC2163" s="5" t="s">
        <v>240</v>
      </c>
      <c r="CG2163" s="5" t="s">
        <v>304</v>
      </c>
      <c r="CH2163" s="5" t="s">
        <v>305</v>
      </c>
      <c r="CI2163" s="5" t="s">
        <v>240</v>
      </c>
      <c r="CL2163" s="6" t="s">
        <v>261</v>
      </c>
      <c r="CM2163" s="5" t="s">
        <v>240</v>
      </c>
      <c r="CN2163" s="5" t="s">
        <v>263</v>
      </c>
      <c r="CO2163" s="5" t="s">
        <v>240</v>
      </c>
      <c r="CP2163" s="5" t="s">
        <v>240</v>
      </c>
      <c r="CQ2163" s="5">
        <v>0</v>
      </c>
      <c r="CR2163" s="5" t="s">
        <v>306</v>
      </c>
      <c r="CS2163" s="5" t="s">
        <v>307</v>
      </c>
      <c r="CT2163" s="5" t="s">
        <v>307</v>
      </c>
      <c r="CU2163" s="5" t="s">
        <v>260</v>
      </c>
      <c r="CX2163" s="7">
        <f>1</f>
        <v>1</v>
      </c>
      <c r="CY2163" s="7">
        <f>0</f>
        <v>0</v>
      </c>
      <c r="DA2163" s="7">
        <f>0</f>
        <v>0</v>
      </c>
      <c r="DC2163" s="5" t="s">
        <v>812</v>
      </c>
      <c r="DD2163" s="5" t="s">
        <v>240</v>
      </c>
      <c r="DF2163" s="5" t="s">
        <v>812</v>
      </c>
      <c r="DG2163" s="7">
        <f>133</f>
        <v>133</v>
      </c>
      <c r="DI2163" s="5" t="s">
        <v>240</v>
      </c>
      <c r="DJ2163" s="5" t="s">
        <v>240</v>
      </c>
      <c r="DK2163" s="5" t="s">
        <v>240</v>
      </c>
      <c r="DL2163" s="5" t="s">
        <v>240</v>
      </c>
      <c r="DP2163" s="5" t="s">
        <v>240</v>
      </c>
      <c r="DQ2163" s="5" t="s">
        <v>240</v>
      </c>
      <c r="DR2163" s="5" t="s">
        <v>240</v>
      </c>
      <c r="DS2163" s="5" t="s">
        <v>240</v>
      </c>
      <c r="DV2163" s="5" t="s">
        <v>813</v>
      </c>
      <c r="DW2163" s="5" t="s">
        <v>588</v>
      </c>
      <c r="HO2163" s="5" t="s">
        <v>312</v>
      </c>
    </row>
    <row r="2164" spans="1:223" x14ac:dyDescent="0.4">
      <c r="A2164" s="5">
        <v>3868</v>
      </c>
      <c r="B2164" s="5">
        <v>1</v>
      </c>
      <c r="C2164" s="5">
        <v>1</v>
      </c>
      <c r="D2164" s="5" t="s">
        <v>810</v>
      </c>
      <c r="E2164" s="5" t="s">
        <v>245</v>
      </c>
      <c r="F2164" s="5" t="s">
        <v>254</v>
      </c>
      <c r="G2164" s="5" t="s">
        <v>240</v>
      </c>
      <c r="H2164" s="6" t="s">
        <v>4119</v>
      </c>
      <c r="I2164" s="5" t="s">
        <v>809</v>
      </c>
      <c r="J2164" s="8">
        <f>10</f>
        <v>10</v>
      </c>
      <c r="K2164" s="5" t="s">
        <v>308</v>
      </c>
      <c r="L2164" s="7">
        <f>1</f>
        <v>1</v>
      </c>
      <c r="M2164" s="7">
        <f>1</f>
        <v>1</v>
      </c>
      <c r="N2164" s="5" t="s">
        <v>242</v>
      </c>
      <c r="O2164" s="5">
        <v>1</v>
      </c>
      <c r="P2164" s="5" t="s">
        <v>294</v>
      </c>
      <c r="Q2164" s="5" t="s">
        <v>266</v>
      </c>
      <c r="R2164" s="5" t="s">
        <v>240</v>
      </c>
      <c r="S2164" s="5" t="s">
        <v>240</v>
      </c>
      <c r="T2164" s="5" t="s">
        <v>296</v>
      </c>
      <c r="U2164" s="5" t="s">
        <v>244</v>
      </c>
      <c r="V2164" s="5" t="s">
        <v>240</v>
      </c>
      <c r="Y2164" s="5" t="s">
        <v>240</v>
      </c>
      <c r="Z2164" s="6" t="s">
        <v>298</v>
      </c>
      <c r="AB2164" s="6" t="s">
        <v>240</v>
      </c>
      <c r="AE2164" s="6" t="s">
        <v>299</v>
      </c>
      <c r="AF2164" s="5" t="s">
        <v>248</v>
      </c>
      <c r="AG2164" s="5" t="s">
        <v>249</v>
      </c>
      <c r="AW2164" s="5" t="s">
        <v>251</v>
      </c>
      <c r="AX2164" s="5" t="s">
        <v>240</v>
      </c>
      <c r="AY2164" s="5" t="s">
        <v>253</v>
      </c>
      <c r="AZ2164" s="5" t="s">
        <v>240</v>
      </c>
      <c r="BA2164" s="5" t="s">
        <v>255</v>
      </c>
      <c r="BB2164" s="5" t="s">
        <v>240</v>
      </c>
      <c r="BD2164" s="5" t="s">
        <v>240</v>
      </c>
      <c r="BF2164" s="5" t="s">
        <v>301</v>
      </c>
      <c r="BG2164" s="6" t="s">
        <v>299</v>
      </c>
      <c r="BH2164" s="5" t="s">
        <v>302</v>
      </c>
      <c r="BI2164" s="5" t="s">
        <v>303</v>
      </c>
      <c r="BJ2164" s="5" t="s">
        <v>240</v>
      </c>
      <c r="BK2164" s="8">
        <f>0</f>
        <v>0</v>
      </c>
      <c r="BL2164" s="7">
        <f>0</f>
        <v>0</v>
      </c>
      <c r="BM2164" s="5" t="s">
        <v>258</v>
      </c>
      <c r="BN2164" s="5" t="s">
        <v>259</v>
      </c>
      <c r="CB2164" s="5" t="s">
        <v>240</v>
      </c>
      <c r="CC2164" s="5" t="s">
        <v>240</v>
      </c>
      <c r="CG2164" s="5" t="s">
        <v>304</v>
      </c>
      <c r="CH2164" s="5" t="s">
        <v>305</v>
      </c>
      <c r="CI2164" s="5" t="s">
        <v>240</v>
      </c>
      <c r="CL2164" s="6" t="s">
        <v>261</v>
      </c>
      <c r="CM2164" s="5" t="s">
        <v>240</v>
      </c>
      <c r="CN2164" s="5" t="s">
        <v>263</v>
      </c>
      <c r="CO2164" s="5" t="s">
        <v>240</v>
      </c>
      <c r="CP2164" s="5" t="s">
        <v>240</v>
      </c>
      <c r="CQ2164" s="5">
        <v>0</v>
      </c>
      <c r="CR2164" s="5" t="s">
        <v>306</v>
      </c>
      <c r="CS2164" s="5" t="s">
        <v>307</v>
      </c>
      <c r="CT2164" s="5" t="s">
        <v>307</v>
      </c>
      <c r="CU2164" s="5" t="s">
        <v>260</v>
      </c>
      <c r="CX2164" s="7">
        <f>1</f>
        <v>1</v>
      </c>
      <c r="CY2164" s="7">
        <f>0</f>
        <v>0</v>
      </c>
      <c r="DA2164" s="7">
        <f>0</f>
        <v>0</v>
      </c>
      <c r="DC2164" s="5" t="s">
        <v>812</v>
      </c>
      <c r="DD2164" s="5" t="s">
        <v>240</v>
      </c>
      <c r="DF2164" s="5" t="s">
        <v>812</v>
      </c>
      <c r="DG2164" s="7">
        <f>2004</f>
        <v>2004</v>
      </c>
      <c r="DI2164" s="5" t="s">
        <v>240</v>
      </c>
      <c r="DJ2164" s="5" t="s">
        <v>240</v>
      </c>
      <c r="DK2164" s="5" t="s">
        <v>240</v>
      </c>
      <c r="DL2164" s="5" t="s">
        <v>240</v>
      </c>
      <c r="DP2164" s="5" t="s">
        <v>240</v>
      </c>
      <c r="DQ2164" s="5" t="s">
        <v>240</v>
      </c>
      <c r="DR2164" s="5" t="s">
        <v>240</v>
      </c>
      <c r="DS2164" s="5" t="s">
        <v>240</v>
      </c>
      <c r="DV2164" s="5" t="s">
        <v>813</v>
      </c>
      <c r="DW2164" s="5" t="s">
        <v>590</v>
      </c>
      <c r="HO2164" s="5" t="s">
        <v>312</v>
      </c>
    </row>
    <row r="2165" spans="1:223" x14ac:dyDescent="0.4">
      <c r="A2165" s="5">
        <v>3869</v>
      </c>
      <c r="B2165" s="5">
        <v>1</v>
      </c>
      <c r="C2165" s="5">
        <v>1</v>
      </c>
      <c r="D2165" s="5" t="s">
        <v>810</v>
      </c>
      <c r="E2165" s="5" t="s">
        <v>245</v>
      </c>
      <c r="F2165" s="5" t="s">
        <v>254</v>
      </c>
      <c r="G2165" s="5" t="s">
        <v>240</v>
      </c>
      <c r="H2165" s="6" t="s">
        <v>4118</v>
      </c>
      <c r="I2165" s="5" t="s">
        <v>809</v>
      </c>
      <c r="J2165" s="8">
        <f>23</f>
        <v>23</v>
      </c>
      <c r="K2165" s="5" t="s">
        <v>308</v>
      </c>
      <c r="L2165" s="7">
        <f>1</f>
        <v>1</v>
      </c>
      <c r="M2165" s="7">
        <f>1</f>
        <v>1</v>
      </c>
      <c r="N2165" s="5" t="s">
        <v>242</v>
      </c>
      <c r="O2165" s="5">
        <v>1</v>
      </c>
      <c r="P2165" s="5" t="s">
        <v>294</v>
      </c>
      <c r="Q2165" s="5" t="s">
        <v>266</v>
      </c>
      <c r="R2165" s="5" t="s">
        <v>240</v>
      </c>
      <c r="S2165" s="5" t="s">
        <v>240</v>
      </c>
      <c r="T2165" s="5" t="s">
        <v>296</v>
      </c>
      <c r="U2165" s="5" t="s">
        <v>244</v>
      </c>
      <c r="V2165" s="5" t="s">
        <v>240</v>
      </c>
      <c r="Y2165" s="5" t="s">
        <v>240</v>
      </c>
      <c r="Z2165" s="6" t="s">
        <v>298</v>
      </c>
      <c r="AB2165" s="6" t="s">
        <v>240</v>
      </c>
      <c r="AE2165" s="6" t="s">
        <v>299</v>
      </c>
      <c r="AF2165" s="5" t="s">
        <v>248</v>
      </c>
      <c r="AG2165" s="5" t="s">
        <v>249</v>
      </c>
      <c r="AW2165" s="5" t="s">
        <v>251</v>
      </c>
      <c r="AX2165" s="5" t="s">
        <v>240</v>
      </c>
      <c r="AY2165" s="5" t="s">
        <v>253</v>
      </c>
      <c r="AZ2165" s="5" t="s">
        <v>240</v>
      </c>
      <c r="BA2165" s="5" t="s">
        <v>255</v>
      </c>
      <c r="BB2165" s="5" t="s">
        <v>240</v>
      </c>
      <c r="BD2165" s="5" t="s">
        <v>240</v>
      </c>
      <c r="BF2165" s="5" t="s">
        <v>301</v>
      </c>
      <c r="BG2165" s="6" t="s">
        <v>299</v>
      </c>
      <c r="BH2165" s="5" t="s">
        <v>302</v>
      </c>
      <c r="BI2165" s="5" t="s">
        <v>303</v>
      </c>
      <c r="BJ2165" s="5" t="s">
        <v>240</v>
      </c>
      <c r="BK2165" s="8">
        <f>0</f>
        <v>0</v>
      </c>
      <c r="BL2165" s="7">
        <f>0</f>
        <v>0</v>
      </c>
      <c r="BM2165" s="5" t="s">
        <v>258</v>
      </c>
      <c r="BN2165" s="5" t="s">
        <v>259</v>
      </c>
      <c r="CB2165" s="5" t="s">
        <v>240</v>
      </c>
      <c r="CC2165" s="5" t="s">
        <v>240</v>
      </c>
      <c r="CG2165" s="5" t="s">
        <v>304</v>
      </c>
      <c r="CH2165" s="5" t="s">
        <v>305</v>
      </c>
      <c r="CI2165" s="5" t="s">
        <v>240</v>
      </c>
      <c r="CL2165" s="6" t="s">
        <v>261</v>
      </c>
      <c r="CM2165" s="5" t="s">
        <v>240</v>
      </c>
      <c r="CN2165" s="5" t="s">
        <v>263</v>
      </c>
      <c r="CO2165" s="5" t="s">
        <v>240</v>
      </c>
      <c r="CP2165" s="5" t="s">
        <v>240</v>
      </c>
      <c r="CQ2165" s="5">
        <v>0</v>
      </c>
      <c r="CR2165" s="5" t="s">
        <v>306</v>
      </c>
      <c r="CS2165" s="5" t="s">
        <v>307</v>
      </c>
      <c r="CT2165" s="5" t="s">
        <v>307</v>
      </c>
      <c r="CU2165" s="5" t="s">
        <v>260</v>
      </c>
      <c r="CX2165" s="7">
        <f>1</f>
        <v>1</v>
      </c>
      <c r="CY2165" s="7">
        <f>0</f>
        <v>0</v>
      </c>
      <c r="DA2165" s="7">
        <f>0</f>
        <v>0</v>
      </c>
      <c r="DC2165" s="5" t="s">
        <v>812</v>
      </c>
      <c r="DD2165" s="5" t="s">
        <v>240</v>
      </c>
      <c r="DF2165" s="5" t="s">
        <v>812</v>
      </c>
      <c r="DG2165" s="7">
        <f>1299</f>
        <v>1299</v>
      </c>
      <c r="DI2165" s="5" t="s">
        <v>240</v>
      </c>
      <c r="DJ2165" s="5" t="s">
        <v>240</v>
      </c>
      <c r="DK2165" s="5" t="s">
        <v>240</v>
      </c>
      <c r="DL2165" s="5" t="s">
        <v>240</v>
      </c>
      <c r="DP2165" s="5" t="s">
        <v>240</v>
      </c>
      <c r="DQ2165" s="5" t="s">
        <v>240</v>
      </c>
      <c r="DR2165" s="5" t="s">
        <v>240</v>
      </c>
      <c r="DS2165" s="5" t="s">
        <v>240</v>
      </c>
      <c r="DV2165" s="5" t="s">
        <v>813</v>
      </c>
      <c r="DW2165" s="5" t="s">
        <v>592</v>
      </c>
      <c r="HO2165" s="5" t="s">
        <v>312</v>
      </c>
    </row>
    <row r="2166" spans="1:223" x14ac:dyDescent="0.4">
      <c r="A2166" s="5">
        <v>3870</v>
      </c>
      <c r="B2166" s="5">
        <v>1</v>
      </c>
      <c r="C2166" s="5">
        <v>1</v>
      </c>
      <c r="D2166" s="5" t="s">
        <v>810</v>
      </c>
      <c r="E2166" s="5" t="s">
        <v>245</v>
      </c>
      <c r="F2166" s="5" t="s">
        <v>254</v>
      </c>
      <c r="G2166" s="5" t="s">
        <v>240</v>
      </c>
      <c r="H2166" s="6" t="s">
        <v>4117</v>
      </c>
      <c r="I2166" s="5" t="s">
        <v>809</v>
      </c>
      <c r="J2166" s="8">
        <f>759</f>
        <v>759</v>
      </c>
      <c r="K2166" s="5" t="s">
        <v>308</v>
      </c>
      <c r="L2166" s="7">
        <f>1</f>
        <v>1</v>
      </c>
      <c r="M2166" s="7">
        <f>1</f>
        <v>1</v>
      </c>
      <c r="N2166" s="5" t="s">
        <v>242</v>
      </c>
      <c r="O2166" s="5">
        <v>1</v>
      </c>
      <c r="P2166" s="5" t="s">
        <v>294</v>
      </c>
      <c r="Q2166" s="5" t="s">
        <v>613</v>
      </c>
      <c r="R2166" s="5" t="s">
        <v>240</v>
      </c>
      <c r="S2166" s="5" t="s">
        <v>240</v>
      </c>
      <c r="T2166" s="5" t="s">
        <v>243</v>
      </c>
      <c r="U2166" s="5" t="s">
        <v>724</v>
      </c>
      <c r="V2166" s="5" t="s">
        <v>240</v>
      </c>
      <c r="Y2166" s="5" t="s">
        <v>240</v>
      </c>
      <c r="Z2166" s="6" t="s">
        <v>298</v>
      </c>
      <c r="AB2166" s="6" t="s">
        <v>240</v>
      </c>
      <c r="AE2166" s="6" t="s">
        <v>299</v>
      </c>
      <c r="AF2166" s="5" t="s">
        <v>248</v>
      </c>
      <c r="AG2166" s="5" t="s">
        <v>249</v>
      </c>
      <c r="AW2166" s="5" t="s">
        <v>251</v>
      </c>
      <c r="AX2166" s="5" t="s">
        <v>240</v>
      </c>
      <c r="AY2166" s="5" t="s">
        <v>253</v>
      </c>
      <c r="AZ2166" s="5" t="s">
        <v>240</v>
      </c>
      <c r="BA2166" s="5" t="s">
        <v>255</v>
      </c>
      <c r="BB2166" s="5" t="s">
        <v>240</v>
      </c>
      <c r="BD2166" s="5" t="s">
        <v>842</v>
      </c>
      <c r="BF2166" s="5" t="s">
        <v>301</v>
      </c>
      <c r="BG2166" s="6" t="s">
        <v>299</v>
      </c>
      <c r="BH2166" s="5" t="s">
        <v>302</v>
      </c>
      <c r="BI2166" s="5" t="s">
        <v>303</v>
      </c>
      <c r="BJ2166" s="5" t="s">
        <v>240</v>
      </c>
      <c r="BK2166" s="8">
        <f>0</f>
        <v>0</v>
      </c>
      <c r="BL2166" s="7">
        <f>0</f>
        <v>0</v>
      </c>
      <c r="BM2166" s="5" t="s">
        <v>258</v>
      </c>
      <c r="BN2166" s="5" t="s">
        <v>259</v>
      </c>
      <c r="CB2166" s="5" t="s">
        <v>240</v>
      </c>
      <c r="CC2166" s="5" t="s">
        <v>240</v>
      </c>
      <c r="CG2166" s="5" t="s">
        <v>617</v>
      </c>
      <c r="CH2166" s="5" t="s">
        <v>305</v>
      </c>
      <c r="CI2166" s="5" t="s">
        <v>240</v>
      </c>
      <c r="CL2166" s="6" t="s">
        <v>261</v>
      </c>
      <c r="CM2166" s="5" t="s">
        <v>240</v>
      </c>
      <c r="CN2166" s="5" t="s">
        <v>263</v>
      </c>
      <c r="CO2166" s="5" t="s">
        <v>240</v>
      </c>
      <c r="CP2166" s="5" t="s">
        <v>240</v>
      </c>
      <c r="CQ2166" s="5">
        <v>0</v>
      </c>
      <c r="CR2166" s="5" t="s">
        <v>306</v>
      </c>
      <c r="CS2166" s="5" t="s">
        <v>307</v>
      </c>
      <c r="CT2166" s="5" t="s">
        <v>307</v>
      </c>
      <c r="CU2166" s="5" t="s">
        <v>260</v>
      </c>
      <c r="CX2166" s="7">
        <f>13079</f>
        <v>13079</v>
      </c>
      <c r="CY2166" s="7">
        <f>0</f>
        <v>0</v>
      </c>
      <c r="DA2166" s="7">
        <f>0</f>
        <v>0</v>
      </c>
      <c r="DC2166" s="5" t="s">
        <v>450</v>
      </c>
      <c r="DD2166" s="5" t="s">
        <v>240</v>
      </c>
      <c r="DF2166" s="5" t="s">
        <v>450</v>
      </c>
      <c r="DG2166" s="7">
        <f>0</f>
        <v>0</v>
      </c>
      <c r="DI2166" s="5" t="s">
        <v>737</v>
      </c>
      <c r="DJ2166" s="5" t="s">
        <v>240</v>
      </c>
      <c r="DK2166" s="5" t="s">
        <v>240</v>
      </c>
      <c r="DL2166" s="5" t="s">
        <v>240</v>
      </c>
      <c r="DP2166" s="5" t="s">
        <v>240</v>
      </c>
      <c r="DQ2166" s="5" t="s">
        <v>240</v>
      </c>
      <c r="DR2166" s="5" t="s">
        <v>240</v>
      </c>
      <c r="DS2166" s="5" t="s">
        <v>240</v>
      </c>
      <c r="DV2166" s="5" t="s">
        <v>4251</v>
      </c>
      <c r="DW2166" s="5" t="s">
        <v>312</v>
      </c>
      <c r="HO2166" s="5" t="s">
        <v>312</v>
      </c>
    </row>
    <row r="2167" spans="1:223" x14ac:dyDescent="0.4">
      <c r="A2167" s="5">
        <v>3871</v>
      </c>
      <c r="B2167" s="5">
        <v>1</v>
      </c>
      <c r="C2167" s="5">
        <v>1</v>
      </c>
      <c r="D2167" s="5" t="s">
        <v>810</v>
      </c>
      <c r="E2167" s="5" t="s">
        <v>245</v>
      </c>
      <c r="F2167" s="5" t="s">
        <v>254</v>
      </c>
      <c r="G2167" s="5" t="s">
        <v>240</v>
      </c>
      <c r="H2167" s="6" t="s">
        <v>4116</v>
      </c>
      <c r="I2167" s="5" t="s">
        <v>809</v>
      </c>
      <c r="J2167" s="8">
        <f>1238</f>
        <v>1238</v>
      </c>
      <c r="K2167" s="5" t="s">
        <v>308</v>
      </c>
      <c r="L2167" s="7">
        <f>1</f>
        <v>1</v>
      </c>
      <c r="M2167" s="7">
        <f>1</f>
        <v>1</v>
      </c>
      <c r="N2167" s="5" t="s">
        <v>242</v>
      </c>
      <c r="O2167" s="5">
        <v>1</v>
      </c>
      <c r="P2167" s="5" t="s">
        <v>294</v>
      </c>
      <c r="Q2167" s="5" t="s">
        <v>266</v>
      </c>
      <c r="R2167" s="5" t="s">
        <v>240</v>
      </c>
      <c r="S2167" s="5" t="s">
        <v>240</v>
      </c>
      <c r="T2167" s="5" t="s">
        <v>296</v>
      </c>
      <c r="U2167" s="5" t="s">
        <v>244</v>
      </c>
      <c r="V2167" s="5" t="s">
        <v>240</v>
      </c>
      <c r="Y2167" s="5" t="s">
        <v>240</v>
      </c>
      <c r="Z2167" s="6" t="s">
        <v>298</v>
      </c>
      <c r="AB2167" s="6" t="s">
        <v>240</v>
      </c>
      <c r="AE2167" s="6" t="s">
        <v>299</v>
      </c>
      <c r="AF2167" s="5" t="s">
        <v>248</v>
      </c>
      <c r="AG2167" s="5" t="s">
        <v>249</v>
      </c>
      <c r="AW2167" s="5" t="s">
        <v>251</v>
      </c>
      <c r="AX2167" s="5" t="s">
        <v>240</v>
      </c>
      <c r="AY2167" s="5" t="s">
        <v>253</v>
      </c>
      <c r="AZ2167" s="5" t="s">
        <v>240</v>
      </c>
      <c r="BA2167" s="5" t="s">
        <v>255</v>
      </c>
      <c r="BB2167" s="5" t="s">
        <v>240</v>
      </c>
      <c r="BD2167" s="5" t="s">
        <v>240</v>
      </c>
      <c r="BF2167" s="5" t="s">
        <v>301</v>
      </c>
      <c r="BG2167" s="6" t="s">
        <v>299</v>
      </c>
      <c r="BH2167" s="5" t="s">
        <v>302</v>
      </c>
      <c r="BI2167" s="5" t="s">
        <v>303</v>
      </c>
      <c r="BJ2167" s="5" t="s">
        <v>240</v>
      </c>
      <c r="BK2167" s="8">
        <f>0</f>
        <v>0</v>
      </c>
      <c r="BL2167" s="7">
        <f>0</f>
        <v>0</v>
      </c>
      <c r="BM2167" s="5" t="s">
        <v>258</v>
      </c>
      <c r="BN2167" s="5" t="s">
        <v>259</v>
      </c>
      <c r="CB2167" s="5" t="s">
        <v>240</v>
      </c>
      <c r="CC2167" s="5" t="s">
        <v>240</v>
      </c>
      <c r="CG2167" s="5" t="s">
        <v>304</v>
      </c>
      <c r="CH2167" s="5" t="s">
        <v>305</v>
      </c>
      <c r="CI2167" s="5" t="s">
        <v>240</v>
      </c>
      <c r="CL2167" s="6" t="s">
        <v>261</v>
      </c>
      <c r="CM2167" s="5" t="s">
        <v>240</v>
      </c>
      <c r="CN2167" s="5" t="s">
        <v>263</v>
      </c>
      <c r="CO2167" s="5" t="s">
        <v>240</v>
      </c>
      <c r="CP2167" s="5" t="s">
        <v>240</v>
      </c>
      <c r="CQ2167" s="5">
        <v>0</v>
      </c>
      <c r="CR2167" s="5" t="s">
        <v>306</v>
      </c>
      <c r="CS2167" s="5" t="s">
        <v>307</v>
      </c>
      <c r="CT2167" s="5" t="s">
        <v>307</v>
      </c>
      <c r="CU2167" s="5" t="s">
        <v>260</v>
      </c>
      <c r="CX2167" s="7">
        <f>1</f>
        <v>1</v>
      </c>
      <c r="CY2167" s="7">
        <f>0</f>
        <v>0</v>
      </c>
      <c r="DA2167" s="7">
        <f>0</f>
        <v>0</v>
      </c>
      <c r="DC2167" s="5" t="s">
        <v>812</v>
      </c>
      <c r="DD2167" s="5" t="s">
        <v>240</v>
      </c>
      <c r="DF2167" s="5" t="s">
        <v>812</v>
      </c>
      <c r="DG2167" s="7">
        <f>1860</f>
        <v>1860</v>
      </c>
      <c r="DI2167" s="5" t="s">
        <v>240</v>
      </c>
      <c r="DJ2167" s="5" t="s">
        <v>240</v>
      </c>
      <c r="DK2167" s="5" t="s">
        <v>240</v>
      </c>
      <c r="DL2167" s="5" t="s">
        <v>240</v>
      </c>
      <c r="DP2167" s="5" t="s">
        <v>240</v>
      </c>
      <c r="DQ2167" s="5" t="s">
        <v>240</v>
      </c>
      <c r="DR2167" s="5" t="s">
        <v>240</v>
      </c>
      <c r="DS2167" s="5" t="s">
        <v>240</v>
      </c>
      <c r="DV2167" s="5" t="s">
        <v>813</v>
      </c>
      <c r="DW2167" s="5" t="s">
        <v>596</v>
      </c>
      <c r="HO2167" s="5" t="s">
        <v>312</v>
      </c>
    </row>
    <row r="2168" spans="1:223" x14ac:dyDescent="0.4">
      <c r="A2168" s="5">
        <v>3872</v>
      </c>
      <c r="B2168" s="5">
        <v>1</v>
      </c>
      <c r="C2168" s="5">
        <v>1</v>
      </c>
      <c r="D2168" s="5" t="s">
        <v>810</v>
      </c>
      <c r="E2168" s="5" t="s">
        <v>245</v>
      </c>
      <c r="F2168" s="5" t="s">
        <v>254</v>
      </c>
      <c r="G2168" s="5" t="s">
        <v>240</v>
      </c>
      <c r="H2168" s="6" t="s">
        <v>4115</v>
      </c>
      <c r="I2168" s="5" t="s">
        <v>809</v>
      </c>
      <c r="J2168" s="8">
        <f>2061</f>
        <v>2061</v>
      </c>
      <c r="K2168" s="5" t="s">
        <v>308</v>
      </c>
      <c r="L2168" s="7">
        <f>1</f>
        <v>1</v>
      </c>
      <c r="M2168" s="7">
        <f>1</f>
        <v>1</v>
      </c>
      <c r="N2168" s="5" t="s">
        <v>242</v>
      </c>
      <c r="O2168" s="5">
        <v>1</v>
      </c>
      <c r="P2168" s="5" t="s">
        <v>294</v>
      </c>
      <c r="Q2168" s="5" t="s">
        <v>266</v>
      </c>
      <c r="R2168" s="5" t="s">
        <v>240</v>
      </c>
      <c r="S2168" s="5" t="s">
        <v>240</v>
      </c>
      <c r="T2168" s="5" t="s">
        <v>296</v>
      </c>
      <c r="U2168" s="5" t="s">
        <v>244</v>
      </c>
      <c r="V2168" s="5" t="s">
        <v>240</v>
      </c>
      <c r="Y2168" s="5" t="s">
        <v>240</v>
      </c>
      <c r="Z2168" s="6" t="s">
        <v>298</v>
      </c>
      <c r="AB2168" s="6" t="s">
        <v>240</v>
      </c>
      <c r="AE2168" s="6" t="s">
        <v>299</v>
      </c>
      <c r="AF2168" s="5" t="s">
        <v>248</v>
      </c>
      <c r="AG2168" s="5" t="s">
        <v>249</v>
      </c>
      <c r="AW2168" s="5" t="s">
        <v>251</v>
      </c>
      <c r="AX2168" s="5" t="s">
        <v>240</v>
      </c>
      <c r="AY2168" s="5" t="s">
        <v>253</v>
      </c>
      <c r="AZ2168" s="5" t="s">
        <v>240</v>
      </c>
      <c r="BA2168" s="5" t="s">
        <v>255</v>
      </c>
      <c r="BB2168" s="5" t="s">
        <v>240</v>
      </c>
      <c r="BD2168" s="5" t="s">
        <v>240</v>
      </c>
      <c r="BF2168" s="5" t="s">
        <v>301</v>
      </c>
      <c r="BG2168" s="6" t="s">
        <v>299</v>
      </c>
      <c r="BH2168" s="5" t="s">
        <v>302</v>
      </c>
      <c r="BI2168" s="5" t="s">
        <v>303</v>
      </c>
      <c r="BJ2168" s="5" t="s">
        <v>240</v>
      </c>
      <c r="BK2168" s="8">
        <f>0</f>
        <v>0</v>
      </c>
      <c r="BL2168" s="7">
        <f>0</f>
        <v>0</v>
      </c>
      <c r="BM2168" s="5" t="s">
        <v>258</v>
      </c>
      <c r="BN2168" s="5" t="s">
        <v>259</v>
      </c>
      <c r="CB2168" s="5" t="s">
        <v>240</v>
      </c>
      <c r="CC2168" s="5" t="s">
        <v>240</v>
      </c>
      <c r="CG2168" s="5" t="s">
        <v>304</v>
      </c>
      <c r="CH2168" s="5" t="s">
        <v>305</v>
      </c>
      <c r="CI2168" s="5" t="s">
        <v>240</v>
      </c>
      <c r="CL2168" s="6" t="s">
        <v>261</v>
      </c>
      <c r="CM2168" s="5" t="s">
        <v>240</v>
      </c>
      <c r="CN2168" s="5" t="s">
        <v>263</v>
      </c>
      <c r="CO2168" s="5" t="s">
        <v>240</v>
      </c>
      <c r="CP2168" s="5" t="s">
        <v>240</v>
      </c>
      <c r="CQ2168" s="5">
        <v>0</v>
      </c>
      <c r="CR2168" s="5" t="s">
        <v>306</v>
      </c>
      <c r="CS2168" s="5" t="s">
        <v>307</v>
      </c>
      <c r="CT2168" s="5" t="s">
        <v>307</v>
      </c>
      <c r="CU2168" s="5" t="s">
        <v>260</v>
      </c>
      <c r="CX2168" s="7">
        <f>1</f>
        <v>1</v>
      </c>
      <c r="CY2168" s="7">
        <f>0</f>
        <v>0</v>
      </c>
      <c r="DA2168" s="7">
        <f>0</f>
        <v>0</v>
      </c>
      <c r="DC2168" s="5" t="s">
        <v>812</v>
      </c>
      <c r="DD2168" s="5" t="s">
        <v>240</v>
      </c>
      <c r="DF2168" s="5" t="s">
        <v>812</v>
      </c>
      <c r="DG2168" s="7">
        <f>71</f>
        <v>71</v>
      </c>
      <c r="DI2168" s="5" t="s">
        <v>240</v>
      </c>
      <c r="DJ2168" s="5" t="s">
        <v>240</v>
      </c>
      <c r="DK2168" s="5" t="s">
        <v>240</v>
      </c>
      <c r="DL2168" s="5" t="s">
        <v>240</v>
      </c>
      <c r="DP2168" s="5" t="s">
        <v>240</v>
      </c>
      <c r="DQ2168" s="5" t="s">
        <v>240</v>
      </c>
      <c r="DR2168" s="5" t="s">
        <v>240</v>
      </c>
      <c r="DS2168" s="5" t="s">
        <v>240</v>
      </c>
      <c r="DV2168" s="5" t="s">
        <v>813</v>
      </c>
      <c r="DW2168" s="5" t="s">
        <v>598</v>
      </c>
      <c r="HO2168" s="5" t="s">
        <v>312</v>
      </c>
    </row>
    <row r="2169" spans="1:223" x14ac:dyDescent="0.4">
      <c r="A2169" s="5">
        <v>3873</v>
      </c>
      <c r="B2169" s="5">
        <v>1</v>
      </c>
      <c r="C2169" s="5">
        <v>1</v>
      </c>
      <c r="D2169" s="5" t="s">
        <v>810</v>
      </c>
      <c r="E2169" s="5" t="s">
        <v>245</v>
      </c>
      <c r="F2169" s="5" t="s">
        <v>254</v>
      </c>
      <c r="G2169" s="5" t="s">
        <v>240</v>
      </c>
      <c r="H2169" s="6" t="s">
        <v>5255</v>
      </c>
      <c r="I2169" s="5" t="s">
        <v>809</v>
      </c>
      <c r="J2169" s="8">
        <f>2277</f>
        <v>2277</v>
      </c>
      <c r="K2169" s="5" t="s">
        <v>308</v>
      </c>
      <c r="L2169" s="7">
        <f>1</f>
        <v>1</v>
      </c>
      <c r="M2169" s="7">
        <f>1</f>
        <v>1</v>
      </c>
      <c r="N2169" s="5" t="s">
        <v>242</v>
      </c>
      <c r="O2169" s="5">
        <v>1</v>
      </c>
      <c r="P2169" s="5" t="s">
        <v>294</v>
      </c>
      <c r="Q2169" s="5" t="s">
        <v>266</v>
      </c>
      <c r="R2169" s="5" t="s">
        <v>240</v>
      </c>
      <c r="S2169" s="5" t="s">
        <v>240</v>
      </c>
      <c r="T2169" s="5" t="s">
        <v>296</v>
      </c>
      <c r="U2169" s="5" t="s">
        <v>244</v>
      </c>
      <c r="V2169" s="5" t="s">
        <v>240</v>
      </c>
      <c r="Y2169" s="5" t="s">
        <v>240</v>
      </c>
      <c r="Z2169" s="6" t="s">
        <v>298</v>
      </c>
      <c r="AB2169" s="6" t="s">
        <v>240</v>
      </c>
      <c r="AE2169" s="6" t="s">
        <v>299</v>
      </c>
      <c r="AF2169" s="5" t="s">
        <v>248</v>
      </c>
      <c r="AG2169" s="5" t="s">
        <v>249</v>
      </c>
      <c r="AW2169" s="5" t="s">
        <v>251</v>
      </c>
      <c r="AX2169" s="5" t="s">
        <v>240</v>
      </c>
      <c r="AY2169" s="5" t="s">
        <v>253</v>
      </c>
      <c r="AZ2169" s="5" t="s">
        <v>240</v>
      </c>
      <c r="BA2169" s="5" t="s">
        <v>255</v>
      </c>
      <c r="BB2169" s="5" t="s">
        <v>240</v>
      </c>
      <c r="BD2169" s="5" t="s">
        <v>240</v>
      </c>
      <c r="BF2169" s="5" t="s">
        <v>301</v>
      </c>
      <c r="BG2169" s="6" t="s">
        <v>299</v>
      </c>
      <c r="BH2169" s="5" t="s">
        <v>302</v>
      </c>
      <c r="BI2169" s="5" t="s">
        <v>303</v>
      </c>
      <c r="BJ2169" s="5" t="s">
        <v>240</v>
      </c>
      <c r="BK2169" s="8">
        <f>0</f>
        <v>0</v>
      </c>
      <c r="BL2169" s="7">
        <f>0</f>
        <v>0</v>
      </c>
      <c r="BM2169" s="5" t="s">
        <v>258</v>
      </c>
      <c r="BN2169" s="5" t="s">
        <v>259</v>
      </c>
      <c r="CB2169" s="5" t="s">
        <v>240</v>
      </c>
      <c r="CC2169" s="5" t="s">
        <v>240</v>
      </c>
      <c r="CG2169" s="5" t="s">
        <v>304</v>
      </c>
      <c r="CH2169" s="5" t="s">
        <v>305</v>
      </c>
      <c r="CI2169" s="5" t="s">
        <v>240</v>
      </c>
      <c r="CL2169" s="6" t="s">
        <v>261</v>
      </c>
      <c r="CM2169" s="5" t="s">
        <v>240</v>
      </c>
      <c r="CN2169" s="5" t="s">
        <v>263</v>
      </c>
      <c r="CO2169" s="5" t="s">
        <v>240</v>
      </c>
      <c r="CP2169" s="5" t="s">
        <v>240</v>
      </c>
      <c r="CQ2169" s="5">
        <v>0</v>
      </c>
      <c r="CR2169" s="5" t="s">
        <v>306</v>
      </c>
      <c r="CS2169" s="5" t="s">
        <v>307</v>
      </c>
      <c r="CT2169" s="5" t="s">
        <v>307</v>
      </c>
      <c r="CU2169" s="5" t="s">
        <v>260</v>
      </c>
      <c r="CX2169" s="7">
        <f>1</f>
        <v>1</v>
      </c>
      <c r="CY2169" s="7">
        <f>0</f>
        <v>0</v>
      </c>
      <c r="DA2169" s="7">
        <f>0</f>
        <v>0</v>
      </c>
      <c r="DC2169" s="5" t="s">
        <v>812</v>
      </c>
      <c r="DD2169" s="5" t="s">
        <v>240</v>
      </c>
      <c r="DF2169" s="5" t="s">
        <v>812</v>
      </c>
      <c r="DG2169" s="7">
        <f>539</f>
        <v>539</v>
      </c>
      <c r="DI2169" s="5" t="s">
        <v>240</v>
      </c>
      <c r="DJ2169" s="5" t="s">
        <v>240</v>
      </c>
      <c r="DK2169" s="5" t="s">
        <v>240</v>
      </c>
      <c r="DL2169" s="5" t="s">
        <v>240</v>
      </c>
      <c r="DP2169" s="5" t="s">
        <v>240</v>
      </c>
      <c r="DQ2169" s="5" t="s">
        <v>240</v>
      </c>
      <c r="DR2169" s="5" t="s">
        <v>240</v>
      </c>
      <c r="DS2169" s="5" t="s">
        <v>240</v>
      </c>
      <c r="DV2169" s="5" t="s">
        <v>813</v>
      </c>
      <c r="DW2169" s="5" t="s">
        <v>600</v>
      </c>
      <c r="HO2169" s="5" t="s">
        <v>312</v>
      </c>
    </row>
    <row r="2170" spans="1:223" x14ac:dyDescent="0.4">
      <c r="A2170" s="5">
        <v>3874</v>
      </c>
      <c r="B2170" s="5">
        <v>1</v>
      </c>
      <c r="C2170" s="5">
        <v>1</v>
      </c>
      <c r="D2170" s="5" t="s">
        <v>810</v>
      </c>
      <c r="E2170" s="5" t="s">
        <v>245</v>
      </c>
      <c r="F2170" s="5" t="s">
        <v>254</v>
      </c>
      <c r="G2170" s="5" t="s">
        <v>240</v>
      </c>
      <c r="H2170" s="6" t="s">
        <v>4112</v>
      </c>
      <c r="I2170" s="5" t="s">
        <v>809</v>
      </c>
      <c r="J2170" s="8">
        <f>2690</f>
        <v>2690</v>
      </c>
      <c r="K2170" s="5" t="s">
        <v>308</v>
      </c>
      <c r="L2170" s="7">
        <f>1</f>
        <v>1</v>
      </c>
      <c r="M2170" s="7">
        <f>1</f>
        <v>1</v>
      </c>
      <c r="N2170" s="5" t="s">
        <v>242</v>
      </c>
      <c r="O2170" s="5">
        <v>1</v>
      </c>
      <c r="P2170" s="5" t="s">
        <v>294</v>
      </c>
      <c r="Q2170" s="5" t="s">
        <v>266</v>
      </c>
      <c r="R2170" s="5" t="s">
        <v>240</v>
      </c>
      <c r="S2170" s="5" t="s">
        <v>240</v>
      </c>
      <c r="T2170" s="5" t="s">
        <v>296</v>
      </c>
      <c r="U2170" s="5" t="s">
        <v>244</v>
      </c>
      <c r="V2170" s="5" t="s">
        <v>240</v>
      </c>
      <c r="Y2170" s="5" t="s">
        <v>240</v>
      </c>
      <c r="Z2170" s="6" t="s">
        <v>298</v>
      </c>
      <c r="AB2170" s="6" t="s">
        <v>240</v>
      </c>
      <c r="AE2170" s="6" t="s">
        <v>299</v>
      </c>
      <c r="AF2170" s="5" t="s">
        <v>248</v>
      </c>
      <c r="AG2170" s="5" t="s">
        <v>249</v>
      </c>
      <c r="AW2170" s="5" t="s">
        <v>251</v>
      </c>
      <c r="AX2170" s="5" t="s">
        <v>240</v>
      </c>
      <c r="AY2170" s="5" t="s">
        <v>253</v>
      </c>
      <c r="AZ2170" s="5" t="s">
        <v>240</v>
      </c>
      <c r="BA2170" s="5" t="s">
        <v>255</v>
      </c>
      <c r="BB2170" s="5" t="s">
        <v>240</v>
      </c>
      <c r="BD2170" s="5" t="s">
        <v>240</v>
      </c>
      <c r="BF2170" s="5" t="s">
        <v>301</v>
      </c>
      <c r="BG2170" s="6" t="s">
        <v>299</v>
      </c>
      <c r="BH2170" s="5" t="s">
        <v>302</v>
      </c>
      <c r="BI2170" s="5" t="s">
        <v>303</v>
      </c>
      <c r="BJ2170" s="5" t="s">
        <v>240</v>
      </c>
      <c r="BK2170" s="8">
        <f>0</f>
        <v>0</v>
      </c>
      <c r="BL2170" s="7">
        <f>0</f>
        <v>0</v>
      </c>
      <c r="BM2170" s="5" t="s">
        <v>258</v>
      </c>
      <c r="BN2170" s="5" t="s">
        <v>259</v>
      </c>
      <c r="CB2170" s="5" t="s">
        <v>240</v>
      </c>
      <c r="CC2170" s="5" t="s">
        <v>240</v>
      </c>
      <c r="CG2170" s="5" t="s">
        <v>304</v>
      </c>
      <c r="CH2170" s="5" t="s">
        <v>305</v>
      </c>
      <c r="CI2170" s="5" t="s">
        <v>240</v>
      </c>
      <c r="CL2170" s="6" t="s">
        <v>261</v>
      </c>
      <c r="CM2170" s="5" t="s">
        <v>240</v>
      </c>
      <c r="CN2170" s="5" t="s">
        <v>263</v>
      </c>
      <c r="CO2170" s="5" t="s">
        <v>240</v>
      </c>
      <c r="CP2170" s="5" t="s">
        <v>240</v>
      </c>
      <c r="CQ2170" s="5">
        <v>0</v>
      </c>
      <c r="CR2170" s="5" t="s">
        <v>306</v>
      </c>
      <c r="CS2170" s="5" t="s">
        <v>307</v>
      </c>
      <c r="CT2170" s="5" t="s">
        <v>307</v>
      </c>
      <c r="CU2170" s="5" t="s">
        <v>260</v>
      </c>
      <c r="CX2170" s="7">
        <f>1</f>
        <v>1</v>
      </c>
      <c r="CY2170" s="7">
        <f>0</f>
        <v>0</v>
      </c>
      <c r="DA2170" s="7">
        <f>0</f>
        <v>0</v>
      </c>
      <c r="DC2170" s="5" t="s">
        <v>812</v>
      </c>
      <c r="DD2170" s="5" t="s">
        <v>240</v>
      </c>
      <c r="DF2170" s="5" t="s">
        <v>812</v>
      </c>
      <c r="DG2170" s="7">
        <f>161</f>
        <v>161</v>
      </c>
      <c r="DI2170" s="5" t="s">
        <v>240</v>
      </c>
      <c r="DJ2170" s="5" t="s">
        <v>240</v>
      </c>
      <c r="DK2170" s="5" t="s">
        <v>240</v>
      </c>
      <c r="DL2170" s="5" t="s">
        <v>240</v>
      </c>
      <c r="DP2170" s="5" t="s">
        <v>240</v>
      </c>
      <c r="DQ2170" s="5" t="s">
        <v>240</v>
      </c>
      <c r="DR2170" s="5" t="s">
        <v>240</v>
      </c>
      <c r="DS2170" s="5" t="s">
        <v>240</v>
      </c>
      <c r="DV2170" s="5" t="s">
        <v>813</v>
      </c>
      <c r="DW2170" s="5" t="s">
        <v>602</v>
      </c>
      <c r="HO2170" s="5" t="s">
        <v>312</v>
      </c>
    </row>
    <row r="2171" spans="1:223" x14ac:dyDescent="0.4">
      <c r="A2171" s="5">
        <v>3875</v>
      </c>
      <c r="B2171" s="5">
        <v>1</v>
      </c>
      <c r="C2171" s="5">
        <v>1</v>
      </c>
      <c r="D2171" s="5" t="s">
        <v>810</v>
      </c>
      <c r="E2171" s="5" t="s">
        <v>245</v>
      </c>
      <c r="F2171" s="5" t="s">
        <v>254</v>
      </c>
      <c r="G2171" s="5" t="s">
        <v>240</v>
      </c>
      <c r="H2171" s="6" t="s">
        <v>4111</v>
      </c>
      <c r="I2171" s="5" t="s">
        <v>809</v>
      </c>
      <c r="J2171" s="8">
        <f>331</f>
        <v>331</v>
      </c>
      <c r="K2171" s="5" t="s">
        <v>308</v>
      </c>
      <c r="L2171" s="7">
        <f>1</f>
        <v>1</v>
      </c>
      <c r="M2171" s="7">
        <f>1</f>
        <v>1</v>
      </c>
      <c r="N2171" s="5" t="s">
        <v>242</v>
      </c>
      <c r="O2171" s="5">
        <v>1</v>
      </c>
      <c r="P2171" s="5" t="s">
        <v>294</v>
      </c>
      <c r="Q2171" s="5" t="s">
        <v>266</v>
      </c>
      <c r="R2171" s="5" t="s">
        <v>240</v>
      </c>
      <c r="S2171" s="5" t="s">
        <v>240</v>
      </c>
      <c r="T2171" s="5" t="s">
        <v>296</v>
      </c>
      <c r="U2171" s="5" t="s">
        <v>244</v>
      </c>
      <c r="V2171" s="5" t="s">
        <v>240</v>
      </c>
      <c r="Y2171" s="5" t="s">
        <v>240</v>
      </c>
      <c r="Z2171" s="6" t="s">
        <v>298</v>
      </c>
      <c r="AB2171" s="6" t="s">
        <v>240</v>
      </c>
      <c r="AE2171" s="6" t="s">
        <v>299</v>
      </c>
      <c r="AF2171" s="5" t="s">
        <v>248</v>
      </c>
      <c r="AG2171" s="5" t="s">
        <v>249</v>
      </c>
      <c r="AW2171" s="5" t="s">
        <v>251</v>
      </c>
      <c r="AX2171" s="5" t="s">
        <v>240</v>
      </c>
      <c r="AY2171" s="5" t="s">
        <v>253</v>
      </c>
      <c r="AZ2171" s="5" t="s">
        <v>240</v>
      </c>
      <c r="BA2171" s="5" t="s">
        <v>255</v>
      </c>
      <c r="BB2171" s="5" t="s">
        <v>240</v>
      </c>
      <c r="BD2171" s="5" t="s">
        <v>240</v>
      </c>
      <c r="BF2171" s="5" t="s">
        <v>301</v>
      </c>
      <c r="BG2171" s="6" t="s">
        <v>299</v>
      </c>
      <c r="BH2171" s="5" t="s">
        <v>302</v>
      </c>
      <c r="BI2171" s="5" t="s">
        <v>303</v>
      </c>
      <c r="BJ2171" s="5" t="s">
        <v>240</v>
      </c>
      <c r="BK2171" s="8">
        <f>0</f>
        <v>0</v>
      </c>
      <c r="BL2171" s="7">
        <f>0</f>
        <v>0</v>
      </c>
      <c r="BM2171" s="5" t="s">
        <v>258</v>
      </c>
      <c r="BN2171" s="5" t="s">
        <v>259</v>
      </c>
      <c r="CB2171" s="5" t="s">
        <v>240</v>
      </c>
      <c r="CC2171" s="5" t="s">
        <v>240</v>
      </c>
      <c r="CG2171" s="5" t="s">
        <v>304</v>
      </c>
      <c r="CH2171" s="5" t="s">
        <v>305</v>
      </c>
      <c r="CI2171" s="5" t="s">
        <v>240</v>
      </c>
      <c r="CL2171" s="6" t="s">
        <v>261</v>
      </c>
      <c r="CM2171" s="5" t="s">
        <v>240</v>
      </c>
      <c r="CN2171" s="5" t="s">
        <v>263</v>
      </c>
      <c r="CO2171" s="5" t="s">
        <v>240</v>
      </c>
      <c r="CP2171" s="5" t="s">
        <v>240</v>
      </c>
      <c r="CQ2171" s="5">
        <v>0</v>
      </c>
      <c r="CR2171" s="5" t="s">
        <v>306</v>
      </c>
      <c r="CS2171" s="5" t="s">
        <v>307</v>
      </c>
      <c r="CT2171" s="5" t="s">
        <v>307</v>
      </c>
      <c r="CU2171" s="5" t="s">
        <v>260</v>
      </c>
      <c r="CX2171" s="7">
        <f>1</f>
        <v>1</v>
      </c>
      <c r="CY2171" s="7">
        <f>0</f>
        <v>0</v>
      </c>
      <c r="DA2171" s="7">
        <f>0</f>
        <v>0</v>
      </c>
      <c r="DC2171" s="5" t="s">
        <v>812</v>
      </c>
      <c r="DD2171" s="5" t="s">
        <v>240</v>
      </c>
      <c r="DF2171" s="5" t="s">
        <v>812</v>
      </c>
      <c r="DG2171" s="7">
        <f>1140</f>
        <v>1140</v>
      </c>
      <c r="DI2171" s="5" t="s">
        <v>240</v>
      </c>
      <c r="DJ2171" s="5" t="s">
        <v>240</v>
      </c>
      <c r="DK2171" s="5" t="s">
        <v>240</v>
      </c>
      <c r="DL2171" s="5" t="s">
        <v>240</v>
      </c>
      <c r="DP2171" s="5" t="s">
        <v>240</v>
      </c>
      <c r="DQ2171" s="5" t="s">
        <v>240</v>
      </c>
      <c r="DR2171" s="5" t="s">
        <v>240</v>
      </c>
      <c r="DS2171" s="5" t="s">
        <v>240</v>
      </c>
      <c r="DV2171" s="5" t="s">
        <v>813</v>
      </c>
      <c r="DW2171" s="5" t="s">
        <v>604</v>
      </c>
      <c r="HO2171" s="5" t="s">
        <v>312</v>
      </c>
    </row>
    <row r="2172" spans="1:223" x14ac:dyDescent="0.4">
      <c r="A2172" s="5">
        <v>3876</v>
      </c>
      <c r="B2172" s="5">
        <v>1</v>
      </c>
      <c r="C2172" s="5">
        <v>1</v>
      </c>
      <c r="D2172" s="5" t="s">
        <v>810</v>
      </c>
      <c r="E2172" s="5" t="s">
        <v>245</v>
      </c>
      <c r="F2172" s="5" t="s">
        <v>254</v>
      </c>
      <c r="G2172" s="5" t="s">
        <v>240</v>
      </c>
      <c r="H2172" s="6" t="s">
        <v>4110</v>
      </c>
      <c r="I2172" s="5" t="s">
        <v>809</v>
      </c>
      <c r="J2172" s="8">
        <f>90</f>
        <v>90</v>
      </c>
      <c r="K2172" s="5" t="s">
        <v>308</v>
      </c>
      <c r="L2172" s="7">
        <f>1</f>
        <v>1</v>
      </c>
      <c r="M2172" s="7">
        <f>1</f>
        <v>1</v>
      </c>
      <c r="N2172" s="5" t="s">
        <v>242</v>
      </c>
      <c r="O2172" s="5">
        <v>1</v>
      </c>
      <c r="P2172" s="5" t="s">
        <v>294</v>
      </c>
      <c r="Q2172" s="5" t="s">
        <v>266</v>
      </c>
      <c r="R2172" s="5" t="s">
        <v>240</v>
      </c>
      <c r="S2172" s="5" t="s">
        <v>240</v>
      </c>
      <c r="T2172" s="5" t="s">
        <v>296</v>
      </c>
      <c r="U2172" s="5" t="s">
        <v>244</v>
      </c>
      <c r="V2172" s="5" t="s">
        <v>240</v>
      </c>
      <c r="Y2172" s="5" t="s">
        <v>240</v>
      </c>
      <c r="Z2172" s="6" t="s">
        <v>298</v>
      </c>
      <c r="AB2172" s="6" t="s">
        <v>240</v>
      </c>
      <c r="AE2172" s="6" t="s">
        <v>299</v>
      </c>
      <c r="AF2172" s="5" t="s">
        <v>248</v>
      </c>
      <c r="AG2172" s="5" t="s">
        <v>249</v>
      </c>
      <c r="AW2172" s="5" t="s">
        <v>251</v>
      </c>
      <c r="AX2172" s="5" t="s">
        <v>240</v>
      </c>
      <c r="AY2172" s="5" t="s">
        <v>253</v>
      </c>
      <c r="AZ2172" s="5" t="s">
        <v>240</v>
      </c>
      <c r="BA2172" s="5" t="s">
        <v>255</v>
      </c>
      <c r="BB2172" s="5" t="s">
        <v>240</v>
      </c>
      <c r="BD2172" s="5" t="s">
        <v>240</v>
      </c>
      <c r="BF2172" s="5" t="s">
        <v>301</v>
      </c>
      <c r="BG2172" s="6" t="s">
        <v>299</v>
      </c>
      <c r="BH2172" s="5" t="s">
        <v>302</v>
      </c>
      <c r="BI2172" s="5" t="s">
        <v>303</v>
      </c>
      <c r="BJ2172" s="5" t="s">
        <v>240</v>
      </c>
      <c r="BK2172" s="8">
        <f>0</f>
        <v>0</v>
      </c>
      <c r="BL2172" s="7">
        <f>0</f>
        <v>0</v>
      </c>
      <c r="BM2172" s="5" t="s">
        <v>258</v>
      </c>
      <c r="BN2172" s="5" t="s">
        <v>259</v>
      </c>
      <c r="CB2172" s="5" t="s">
        <v>240</v>
      </c>
      <c r="CC2172" s="5" t="s">
        <v>240</v>
      </c>
      <c r="CG2172" s="5" t="s">
        <v>304</v>
      </c>
      <c r="CH2172" s="5" t="s">
        <v>305</v>
      </c>
      <c r="CI2172" s="5" t="s">
        <v>240</v>
      </c>
      <c r="CL2172" s="6" t="s">
        <v>261</v>
      </c>
      <c r="CM2172" s="5" t="s">
        <v>240</v>
      </c>
      <c r="CN2172" s="5" t="s">
        <v>263</v>
      </c>
      <c r="CO2172" s="5" t="s">
        <v>240</v>
      </c>
      <c r="CP2172" s="5" t="s">
        <v>240</v>
      </c>
      <c r="CQ2172" s="5">
        <v>0</v>
      </c>
      <c r="CR2172" s="5" t="s">
        <v>306</v>
      </c>
      <c r="CS2172" s="5" t="s">
        <v>307</v>
      </c>
      <c r="CT2172" s="5" t="s">
        <v>307</v>
      </c>
      <c r="CU2172" s="5" t="s">
        <v>260</v>
      </c>
      <c r="CX2172" s="7">
        <f>1</f>
        <v>1</v>
      </c>
      <c r="CY2172" s="7">
        <f>0</f>
        <v>0</v>
      </c>
      <c r="DA2172" s="7">
        <f>0</f>
        <v>0</v>
      </c>
      <c r="DC2172" s="5" t="s">
        <v>812</v>
      </c>
      <c r="DD2172" s="5" t="s">
        <v>240</v>
      </c>
      <c r="DF2172" s="5" t="s">
        <v>812</v>
      </c>
      <c r="DG2172" s="7">
        <f>1882</f>
        <v>1882</v>
      </c>
      <c r="DI2172" s="5" t="s">
        <v>240</v>
      </c>
      <c r="DJ2172" s="5" t="s">
        <v>240</v>
      </c>
      <c r="DK2172" s="5" t="s">
        <v>240</v>
      </c>
      <c r="DL2172" s="5" t="s">
        <v>240</v>
      </c>
      <c r="DP2172" s="5" t="s">
        <v>240</v>
      </c>
      <c r="DQ2172" s="5" t="s">
        <v>240</v>
      </c>
      <c r="DR2172" s="5" t="s">
        <v>240</v>
      </c>
      <c r="DS2172" s="5" t="s">
        <v>240</v>
      </c>
      <c r="DV2172" s="5" t="s">
        <v>813</v>
      </c>
      <c r="DW2172" s="5" t="s">
        <v>606</v>
      </c>
      <c r="HO2172" s="5" t="s">
        <v>312</v>
      </c>
    </row>
    <row r="2173" spans="1:223" x14ac:dyDescent="0.4">
      <c r="A2173" s="5">
        <v>3877</v>
      </c>
      <c r="B2173" s="5">
        <v>1</v>
      </c>
      <c r="C2173" s="5">
        <v>1</v>
      </c>
      <c r="D2173" s="5" t="s">
        <v>810</v>
      </c>
      <c r="E2173" s="5" t="s">
        <v>245</v>
      </c>
      <c r="F2173" s="5" t="s">
        <v>254</v>
      </c>
      <c r="G2173" s="5" t="s">
        <v>240</v>
      </c>
      <c r="H2173" s="6" t="s">
        <v>4109</v>
      </c>
      <c r="I2173" s="5" t="s">
        <v>809</v>
      </c>
      <c r="J2173" s="8">
        <f>92</f>
        <v>92</v>
      </c>
      <c r="K2173" s="5" t="s">
        <v>308</v>
      </c>
      <c r="L2173" s="7">
        <f>1</f>
        <v>1</v>
      </c>
      <c r="M2173" s="7">
        <f>1</f>
        <v>1</v>
      </c>
      <c r="N2173" s="5" t="s">
        <v>242</v>
      </c>
      <c r="O2173" s="5">
        <v>1</v>
      </c>
      <c r="P2173" s="5" t="s">
        <v>294</v>
      </c>
      <c r="Q2173" s="5" t="s">
        <v>266</v>
      </c>
      <c r="R2173" s="5" t="s">
        <v>240</v>
      </c>
      <c r="S2173" s="5" t="s">
        <v>240</v>
      </c>
      <c r="T2173" s="5" t="s">
        <v>296</v>
      </c>
      <c r="U2173" s="5" t="s">
        <v>244</v>
      </c>
      <c r="V2173" s="5" t="s">
        <v>240</v>
      </c>
      <c r="Y2173" s="5" t="s">
        <v>240</v>
      </c>
      <c r="Z2173" s="6" t="s">
        <v>298</v>
      </c>
      <c r="AB2173" s="6" t="s">
        <v>240</v>
      </c>
      <c r="AE2173" s="6" t="s">
        <v>299</v>
      </c>
      <c r="AF2173" s="5" t="s">
        <v>248</v>
      </c>
      <c r="AG2173" s="5" t="s">
        <v>249</v>
      </c>
      <c r="AW2173" s="5" t="s">
        <v>251</v>
      </c>
      <c r="AX2173" s="5" t="s">
        <v>240</v>
      </c>
      <c r="AY2173" s="5" t="s">
        <v>253</v>
      </c>
      <c r="AZ2173" s="5" t="s">
        <v>240</v>
      </c>
      <c r="BA2173" s="5" t="s">
        <v>255</v>
      </c>
      <c r="BB2173" s="5" t="s">
        <v>240</v>
      </c>
      <c r="BD2173" s="5" t="s">
        <v>240</v>
      </c>
      <c r="BF2173" s="5" t="s">
        <v>301</v>
      </c>
      <c r="BG2173" s="6" t="s">
        <v>299</v>
      </c>
      <c r="BH2173" s="5" t="s">
        <v>302</v>
      </c>
      <c r="BI2173" s="5" t="s">
        <v>303</v>
      </c>
      <c r="BJ2173" s="5" t="s">
        <v>240</v>
      </c>
      <c r="BK2173" s="8">
        <f>0</f>
        <v>0</v>
      </c>
      <c r="BL2173" s="7">
        <f>0</f>
        <v>0</v>
      </c>
      <c r="BM2173" s="5" t="s">
        <v>258</v>
      </c>
      <c r="BN2173" s="5" t="s">
        <v>259</v>
      </c>
      <c r="CB2173" s="5" t="s">
        <v>240</v>
      </c>
      <c r="CC2173" s="5" t="s">
        <v>240</v>
      </c>
      <c r="CG2173" s="5" t="s">
        <v>304</v>
      </c>
      <c r="CH2173" s="5" t="s">
        <v>305</v>
      </c>
      <c r="CI2173" s="5" t="s">
        <v>240</v>
      </c>
      <c r="CL2173" s="6" t="s">
        <v>261</v>
      </c>
      <c r="CM2173" s="5" t="s">
        <v>240</v>
      </c>
      <c r="CN2173" s="5" t="s">
        <v>263</v>
      </c>
      <c r="CO2173" s="5" t="s">
        <v>240</v>
      </c>
      <c r="CP2173" s="5" t="s">
        <v>240</v>
      </c>
      <c r="CQ2173" s="5">
        <v>0</v>
      </c>
      <c r="CR2173" s="5" t="s">
        <v>306</v>
      </c>
      <c r="CS2173" s="5" t="s">
        <v>307</v>
      </c>
      <c r="CT2173" s="5" t="s">
        <v>307</v>
      </c>
      <c r="CU2173" s="5" t="s">
        <v>260</v>
      </c>
      <c r="CX2173" s="7">
        <f>1</f>
        <v>1</v>
      </c>
      <c r="CY2173" s="7">
        <f>0</f>
        <v>0</v>
      </c>
      <c r="DA2173" s="7">
        <f>0</f>
        <v>0</v>
      </c>
      <c r="DC2173" s="5" t="s">
        <v>812</v>
      </c>
      <c r="DD2173" s="5" t="s">
        <v>240</v>
      </c>
      <c r="DF2173" s="5" t="s">
        <v>812</v>
      </c>
      <c r="DG2173" s="7">
        <f>1239</f>
        <v>1239</v>
      </c>
      <c r="DI2173" s="5" t="s">
        <v>240</v>
      </c>
      <c r="DJ2173" s="5" t="s">
        <v>240</v>
      </c>
      <c r="DK2173" s="5" t="s">
        <v>240</v>
      </c>
      <c r="DL2173" s="5" t="s">
        <v>240</v>
      </c>
      <c r="DP2173" s="5" t="s">
        <v>240</v>
      </c>
      <c r="DQ2173" s="5" t="s">
        <v>240</v>
      </c>
      <c r="DR2173" s="5" t="s">
        <v>240</v>
      </c>
      <c r="DS2173" s="5" t="s">
        <v>240</v>
      </c>
      <c r="DV2173" s="5" t="s">
        <v>813</v>
      </c>
      <c r="DW2173" s="5" t="s">
        <v>608</v>
      </c>
      <c r="HO2173" s="5" t="s">
        <v>312</v>
      </c>
    </row>
    <row r="2174" spans="1:223" x14ac:dyDescent="0.4">
      <c r="A2174" s="5">
        <v>3878</v>
      </c>
      <c r="B2174" s="5">
        <v>1</v>
      </c>
      <c r="C2174" s="5">
        <v>1</v>
      </c>
      <c r="D2174" s="5" t="s">
        <v>810</v>
      </c>
      <c r="E2174" s="5" t="s">
        <v>245</v>
      </c>
      <c r="F2174" s="5" t="s">
        <v>254</v>
      </c>
      <c r="G2174" s="5" t="s">
        <v>240</v>
      </c>
      <c r="H2174" s="6" t="s">
        <v>4108</v>
      </c>
      <c r="I2174" s="5" t="s">
        <v>809</v>
      </c>
      <c r="J2174" s="8">
        <f>895</f>
        <v>895</v>
      </c>
      <c r="K2174" s="5" t="s">
        <v>308</v>
      </c>
      <c r="L2174" s="7">
        <f>1</f>
        <v>1</v>
      </c>
      <c r="M2174" s="7">
        <f>1</f>
        <v>1</v>
      </c>
      <c r="N2174" s="5" t="s">
        <v>242</v>
      </c>
      <c r="O2174" s="5">
        <v>1</v>
      </c>
      <c r="P2174" s="5" t="s">
        <v>294</v>
      </c>
      <c r="Q2174" s="5" t="s">
        <v>266</v>
      </c>
      <c r="R2174" s="5" t="s">
        <v>240</v>
      </c>
      <c r="S2174" s="5" t="s">
        <v>240</v>
      </c>
      <c r="T2174" s="5" t="s">
        <v>296</v>
      </c>
      <c r="U2174" s="5" t="s">
        <v>244</v>
      </c>
      <c r="V2174" s="5" t="s">
        <v>240</v>
      </c>
      <c r="Y2174" s="5" t="s">
        <v>240</v>
      </c>
      <c r="Z2174" s="6" t="s">
        <v>298</v>
      </c>
      <c r="AB2174" s="6" t="s">
        <v>240</v>
      </c>
      <c r="AE2174" s="6" t="s">
        <v>299</v>
      </c>
      <c r="AF2174" s="5" t="s">
        <v>248</v>
      </c>
      <c r="AG2174" s="5" t="s">
        <v>249</v>
      </c>
      <c r="AW2174" s="5" t="s">
        <v>251</v>
      </c>
      <c r="AX2174" s="5" t="s">
        <v>240</v>
      </c>
      <c r="AY2174" s="5" t="s">
        <v>253</v>
      </c>
      <c r="AZ2174" s="5" t="s">
        <v>240</v>
      </c>
      <c r="BA2174" s="5" t="s">
        <v>255</v>
      </c>
      <c r="BB2174" s="5" t="s">
        <v>240</v>
      </c>
      <c r="BD2174" s="5" t="s">
        <v>240</v>
      </c>
      <c r="BF2174" s="5" t="s">
        <v>301</v>
      </c>
      <c r="BG2174" s="6" t="s">
        <v>299</v>
      </c>
      <c r="BH2174" s="5" t="s">
        <v>302</v>
      </c>
      <c r="BI2174" s="5" t="s">
        <v>303</v>
      </c>
      <c r="BJ2174" s="5" t="s">
        <v>240</v>
      </c>
      <c r="BK2174" s="8">
        <f>0</f>
        <v>0</v>
      </c>
      <c r="BL2174" s="7">
        <f>0</f>
        <v>0</v>
      </c>
      <c r="BM2174" s="5" t="s">
        <v>258</v>
      </c>
      <c r="BN2174" s="5" t="s">
        <v>259</v>
      </c>
      <c r="CB2174" s="5" t="s">
        <v>240</v>
      </c>
      <c r="CC2174" s="5" t="s">
        <v>240</v>
      </c>
      <c r="CG2174" s="5" t="s">
        <v>304</v>
      </c>
      <c r="CH2174" s="5" t="s">
        <v>305</v>
      </c>
      <c r="CI2174" s="5" t="s">
        <v>240</v>
      </c>
      <c r="CL2174" s="6" t="s">
        <v>261</v>
      </c>
      <c r="CM2174" s="5" t="s">
        <v>240</v>
      </c>
      <c r="CN2174" s="5" t="s">
        <v>263</v>
      </c>
      <c r="CO2174" s="5" t="s">
        <v>240</v>
      </c>
      <c r="CP2174" s="5" t="s">
        <v>240</v>
      </c>
      <c r="CQ2174" s="5">
        <v>0</v>
      </c>
      <c r="CR2174" s="5" t="s">
        <v>306</v>
      </c>
      <c r="CS2174" s="5" t="s">
        <v>307</v>
      </c>
      <c r="CT2174" s="5" t="s">
        <v>307</v>
      </c>
      <c r="CU2174" s="5" t="s">
        <v>260</v>
      </c>
      <c r="CX2174" s="7">
        <f>1</f>
        <v>1</v>
      </c>
      <c r="CY2174" s="7">
        <f>0</f>
        <v>0</v>
      </c>
      <c r="DA2174" s="7">
        <f>0</f>
        <v>0</v>
      </c>
      <c r="DC2174" s="5" t="s">
        <v>812</v>
      </c>
      <c r="DD2174" s="5" t="s">
        <v>240</v>
      </c>
      <c r="DF2174" s="5" t="s">
        <v>812</v>
      </c>
      <c r="DG2174" s="7">
        <f>1308</f>
        <v>1308</v>
      </c>
      <c r="DI2174" s="5" t="s">
        <v>240</v>
      </c>
      <c r="DJ2174" s="5" t="s">
        <v>240</v>
      </c>
      <c r="DK2174" s="5" t="s">
        <v>240</v>
      </c>
      <c r="DL2174" s="5" t="s">
        <v>240</v>
      </c>
      <c r="DP2174" s="5" t="s">
        <v>240</v>
      </c>
      <c r="DQ2174" s="5" t="s">
        <v>240</v>
      </c>
      <c r="DR2174" s="5" t="s">
        <v>240</v>
      </c>
      <c r="DS2174" s="5" t="s">
        <v>240</v>
      </c>
      <c r="DV2174" s="5" t="s">
        <v>813</v>
      </c>
      <c r="DW2174" s="5" t="s">
        <v>610</v>
      </c>
      <c r="HO2174" s="5" t="s">
        <v>312</v>
      </c>
    </row>
    <row r="2175" spans="1:223" x14ac:dyDescent="0.4">
      <c r="A2175" s="5">
        <v>3879</v>
      </c>
      <c r="B2175" s="5">
        <v>1</v>
      </c>
      <c r="C2175" s="5">
        <v>1</v>
      </c>
      <c r="D2175" s="5" t="s">
        <v>810</v>
      </c>
      <c r="E2175" s="5" t="s">
        <v>245</v>
      </c>
      <c r="F2175" s="5" t="s">
        <v>254</v>
      </c>
      <c r="G2175" s="5" t="s">
        <v>240</v>
      </c>
      <c r="H2175" s="6" t="s">
        <v>4107</v>
      </c>
      <c r="I2175" s="5" t="s">
        <v>809</v>
      </c>
      <c r="J2175" s="8">
        <f>656</f>
        <v>656</v>
      </c>
      <c r="K2175" s="5" t="s">
        <v>308</v>
      </c>
      <c r="L2175" s="7">
        <f>1</f>
        <v>1</v>
      </c>
      <c r="M2175" s="7">
        <f>1</f>
        <v>1</v>
      </c>
      <c r="N2175" s="5" t="s">
        <v>242</v>
      </c>
      <c r="O2175" s="5">
        <v>1</v>
      </c>
      <c r="P2175" s="5" t="s">
        <v>294</v>
      </c>
      <c r="Q2175" s="5" t="s">
        <v>266</v>
      </c>
      <c r="R2175" s="5" t="s">
        <v>240</v>
      </c>
      <c r="S2175" s="5" t="s">
        <v>240</v>
      </c>
      <c r="T2175" s="5" t="s">
        <v>296</v>
      </c>
      <c r="U2175" s="5" t="s">
        <v>244</v>
      </c>
      <c r="V2175" s="5" t="s">
        <v>240</v>
      </c>
      <c r="Y2175" s="5" t="s">
        <v>240</v>
      </c>
      <c r="Z2175" s="6" t="s">
        <v>298</v>
      </c>
      <c r="AB2175" s="6" t="s">
        <v>240</v>
      </c>
      <c r="AE2175" s="6" t="s">
        <v>299</v>
      </c>
      <c r="AF2175" s="5" t="s">
        <v>248</v>
      </c>
      <c r="AG2175" s="5" t="s">
        <v>249</v>
      </c>
      <c r="AW2175" s="5" t="s">
        <v>251</v>
      </c>
      <c r="AX2175" s="5" t="s">
        <v>240</v>
      </c>
      <c r="AY2175" s="5" t="s">
        <v>253</v>
      </c>
      <c r="AZ2175" s="5" t="s">
        <v>240</v>
      </c>
      <c r="BA2175" s="5" t="s">
        <v>255</v>
      </c>
      <c r="BB2175" s="5" t="s">
        <v>240</v>
      </c>
      <c r="BD2175" s="5" t="s">
        <v>240</v>
      </c>
      <c r="BF2175" s="5" t="s">
        <v>301</v>
      </c>
      <c r="BG2175" s="6" t="s">
        <v>299</v>
      </c>
      <c r="BH2175" s="5" t="s">
        <v>302</v>
      </c>
      <c r="BI2175" s="5" t="s">
        <v>303</v>
      </c>
      <c r="BJ2175" s="5" t="s">
        <v>240</v>
      </c>
      <c r="BK2175" s="8">
        <f>0</f>
        <v>0</v>
      </c>
      <c r="BL2175" s="7">
        <f>0</f>
        <v>0</v>
      </c>
      <c r="BM2175" s="5" t="s">
        <v>258</v>
      </c>
      <c r="BN2175" s="5" t="s">
        <v>259</v>
      </c>
      <c r="CB2175" s="5" t="s">
        <v>240</v>
      </c>
      <c r="CC2175" s="5" t="s">
        <v>240</v>
      </c>
      <c r="CG2175" s="5" t="s">
        <v>304</v>
      </c>
      <c r="CH2175" s="5" t="s">
        <v>305</v>
      </c>
      <c r="CI2175" s="5" t="s">
        <v>240</v>
      </c>
      <c r="CL2175" s="6" t="s">
        <v>261</v>
      </c>
      <c r="CM2175" s="5" t="s">
        <v>240</v>
      </c>
      <c r="CN2175" s="5" t="s">
        <v>263</v>
      </c>
      <c r="CO2175" s="5" t="s">
        <v>240</v>
      </c>
      <c r="CP2175" s="5" t="s">
        <v>240</v>
      </c>
      <c r="CQ2175" s="5">
        <v>0</v>
      </c>
      <c r="CR2175" s="5" t="s">
        <v>306</v>
      </c>
      <c r="CS2175" s="5" t="s">
        <v>307</v>
      </c>
      <c r="CT2175" s="5" t="s">
        <v>307</v>
      </c>
      <c r="CU2175" s="5" t="s">
        <v>260</v>
      </c>
      <c r="CX2175" s="7">
        <f>1</f>
        <v>1</v>
      </c>
      <c r="CY2175" s="7">
        <f>0</f>
        <v>0</v>
      </c>
      <c r="DA2175" s="7">
        <f>0</f>
        <v>0</v>
      </c>
      <c r="DC2175" s="5" t="s">
        <v>812</v>
      </c>
      <c r="DD2175" s="5" t="s">
        <v>240</v>
      </c>
      <c r="DF2175" s="5" t="s">
        <v>812</v>
      </c>
      <c r="DG2175" s="7">
        <f>1242</f>
        <v>1242</v>
      </c>
      <c r="DI2175" s="5" t="s">
        <v>240</v>
      </c>
      <c r="DJ2175" s="5" t="s">
        <v>240</v>
      </c>
      <c r="DK2175" s="5" t="s">
        <v>240</v>
      </c>
      <c r="DL2175" s="5" t="s">
        <v>240</v>
      </c>
      <c r="DP2175" s="5" t="s">
        <v>240</v>
      </c>
      <c r="DQ2175" s="5" t="s">
        <v>240</v>
      </c>
      <c r="DR2175" s="5" t="s">
        <v>240</v>
      </c>
      <c r="DS2175" s="5" t="s">
        <v>240</v>
      </c>
      <c r="DV2175" s="5" t="s">
        <v>813</v>
      </c>
      <c r="DW2175" s="5" t="s">
        <v>612</v>
      </c>
      <c r="HO2175" s="5" t="s">
        <v>312</v>
      </c>
    </row>
    <row r="2176" spans="1:223" x14ac:dyDescent="0.4">
      <c r="A2176" s="5">
        <v>3880</v>
      </c>
      <c r="B2176" s="5">
        <v>1</v>
      </c>
      <c r="C2176" s="5">
        <v>1</v>
      </c>
      <c r="D2176" s="5" t="s">
        <v>810</v>
      </c>
      <c r="E2176" s="5" t="s">
        <v>245</v>
      </c>
      <c r="F2176" s="5" t="s">
        <v>254</v>
      </c>
      <c r="G2176" s="5" t="s">
        <v>240</v>
      </c>
      <c r="H2176" s="6" t="s">
        <v>4106</v>
      </c>
      <c r="I2176" s="5" t="s">
        <v>809</v>
      </c>
      <c r="J2176" s="8">
        <f>324</f>
        <v>324</v>
      </c>
      <c r="K2176" s="5" t="s">
        <v>308</v>
      </c>
      <c r="L2176" s="7">
        <f>1</f>
        <v>1</v>
      </c>
      <c r="M2176" s="7">
        <f>1</f>
        <v>1</v>
      </c>
      <c r="N2176" s="5" t="s">
        <v>242</v>
      </c>
      <c r="O2176" s="5">
        <v>1</v>
      </c>
      <c r="P2176" s="5" t="s">
        <v>294</v>
      </c>
      <c r="Q2176" s="5" t="s">
        <v>266</v>
      </c>
      <c r="R2176" s="5" t="s">
        <v>240</v>
      </c>
      <c r="S2176" s="5" t="s">
        <v>240</v>
      </c>
      <c r="T2176" s="5" t="s">
        <v>296</v>
      </c>
      <c r="U2176" s="5" t="s">
        <v>244</v>
      </c>
      <c r="V2176" s="5" t="s">
        <v>240</v>
      </c>
      <c r="Y2176" s="5" t="s">
        <v>240</v>
      </c>
      <c r="Z2176" s="6" t="s">
        <v>298</v>
      </c>
      <c r="AB2176" s="6" t="s">
        <v>240</v>
      </c>
      <c r="AE2176" s="6" t="s">
        <v>299</v>
      </c>
      <c r="AF2176" s="5" t="s">
        <v>248</v>
      </c>
      <c r="AG2176" s="5" t="s">
        <v>249</v>
      </c>
      <c r="AW2176" s="5" t="s">
        <v>251</v>
      </c>
      <c r="AX2176" s="5" t="s">
        <v>240</v>
      </c>
      <c r="AY2176" s="5" t="s">
        <v>253</v>
      </c>
      <c r="AZ2176" s="5" t="s">
        <v>240</v>
      </c>
      <c r="BA2176" s="5" t="s">
        <v>255</v>
      </c>
      <c r="BB2176" s="5" t="s">
        <v>240</v>
      </c>
      <c r="BD2176" s="5" t="s">
        <v>240</v>
      </c>
      <c r="BF2176" s="5" t="s">
        <v>301</v>
      </c>
      <c r="BG2176" s="6" t="s">
        <v>299</v>
      </c>
      <c r="BH2176" s="5" t="s">
        <v>302</v>
      </c>
      <c r="BI2176" s="5" t="s">
        <v>303</v>
      </c>
      <c r="BJ2176" s="5" t="s">
        <v>240</v>
      </c>
      <c r="BK2176" s="8">
        <f>0</f>
        <v>0</v>
      </c>
      <c r="BL2176" s="7">
        <f>0</f>
        <v>0</v>
      </c>
      <c r="BM2176" s="5" t="s">
        <v>258</v>
      </c>
      <c r="BN2176" s="5" t="s">
        <v>259</v>
      </c>
      <c r="CB2176" s="5" t="s">
        <v>240</v>
      </c>
      <c r="CC2176" s="5" t="s">
        <v>240</v>
      </c>
      <c r="CG2176" s="5" t="s">
        <v>304</v>
      </c>
      <c r="CH2176" s="5" t="s">
        <v>305</v>
      </c>
      <c r="CI2176" s="5" t="s">
        <v>240</v>
      </c>
      <c r="CL2176" s="6" t="s">
        <v>261</v>
      </c>
      <c r="CM2176" s="5" t="s">
        <v>240</v>
      </c>
      <c r="CN2176" s="5" t="s">
        <v>263</v>
      </c>
      <c r="CO2176" s="5" t="s">
        <v>240</v>
      </c>
      <c r="CP2176" s="5" t="s">
        <v>240</v>
      </c>
      <c r="CQ2176" s="5">
        <v>0</v>
      </c>
      <c r="CR2176" s="5" t="s">
        <v>306</v>
      </c>
      <c r="CS2176" s="5" t="s">
        <v>307</v>
      </c>
      <c r="CT2176" s="5" t="s">
        <v>307</v>
      </c>
      <c r="CU2176" s="5" t="s">
        <v>260</v>
      </c>
      <c r="CX2176" s="7">
        <f>1</f>
        <v>1</v>
      </c>
      <c r="CY2176" s="7">
        <f>0</f>
        <v>0</v>
      </c>
      <c r="DA2176" s="7">
        <f>0</f>
        <v>0</v>
      </c>
      <c r="DC2176" s="5" t="s">
        <v>812</v>
      </c>
      <c r="DD2176" s="5" t="s">
        <v>240</v>
      </c>
      <c r="DF2176" s="5" t="s">
        <v>812</v>
      </c>
      <c r="DG2176" s="7">
        <f>2052</f>
        <v>2052</v>
      </c>
      <c r="DI2176" s="5" t="s">
        <v>240</v>
      </c>
      <c r="DJ2176" s="5" t="s">
        <v>240</v>
      </c>
      <c r="DK2176" s="5" t="s">
        <v>240</v>
      </c>
      <c r="DL2176" s="5" t="s">
        <v>240</v>
      </c>
      <c r="DP2176" s="5" t="s">
        <v>240</v>
      </c>
      <c r="DQ2176" s="5" t="s">
        <v>240</v>
      </c>
      <c r="DR2176" s="5" t="s">
        <v>240</v>
      </c>
      <c r="DS2176" s="5" t="s">
        <v>240</v>
      </c>
      <c r="DV2176" s="5" t="s">
        <v>813</v>
      </c>
      <c r="DW2176" s="5" t="s">
        <v>1151</v>
      </c>
      <c r="HO2176" s="5" t="s">
        <v>312</v>
      </c>
    </row>
    <row r="2177" spans="1:223" x14ac:dyDescent="0.4">
      <c r="A2177" s="5">
        <v>3881</v>
      </c>
      <c r="B2177" s="5">
        <v>1</v>
      </c>
      <c r="C2177" s="5">
        <v>1</v>
      </c>
      <c r="D2177" s="5" t="s">
        <v>810</v>
      </c>
      <c r="E2177" s="5" t="s">
        <v>245</v>
      </c>
      <c r="F2177" s="5" t="s">
        <v>254</v>
      </c>
      <c r="G2177" s="5" t="s">
        <v>240</v>
      </c>
      <c r="H2177" s="6" t="s">
        <v>4104</v>
      </c>
      <c r="I2177" s="5" t="s">
        <v>809</v>
      </c>
      <c r="J2177" s="8">
        <f>658</f>
        <v>658</v>
      </c>
      <c r="K2177" s="5" t="s">
        <v>308</v>
      </c>
      <c r="L2177" s="7">
        <f>1</f>
        <v>1</v>
      </c>
      <c r="M2177" s="7">
        <f>1</f>
        <v>1</v>
      </c>
      <c r="N2177" s="5" t="s">
        <v>242</v>
      </c>
      <c r="O2177" s="5">
        <v>1</v>
      </c>
      <c r="P2177" s="5" t="s">
        <v>294</v>
      </c>
      <c r="Q2177" s="5" t="s">
        <v>266</v>
      </c>
      <c r="R2177" s="5" t="s">
        <v>240</v>
      </c>
      <c r="S2177" s="5" t="s">
        <v>240</v>
      </c>
      <c r="T2177" s="5" t="s">
        <v>296</v>
      </c>
      <c r="U2177" s="5" t="s">
        <v>244</v>
      </c>
      <c r="V2177" s="5" t="s">
        <v>240</v>
      </c>
      <c r="Y2177" s="5" t="s">
        <v>240</v>
      </c>
      <c r="Z2177" s="6" t="s">
        <v>298</v>
      </c>
      <c r="AB2177" s="6" t="s">
        <v>240</v>
      </c>
      <c r="AE2177" s="6" t="s">
        <v>299</v>
      </c>
      <c r="AF2177" s="5" t="s">
        <v>248</v>
      </c>
      <c r="AG2177" s="5" t="s">
        <v>249</v>
      </c>
      <c r="AW2177" s="5" t="s">
        <v>251</v>
      </c>
      <c r="AX2177" s="5" t="s">
        <v>240</v>
      </c>
      <c r="AY2177" s="5" t="s">
        <v>253</v>
      </c>
      <c r="AZ2177" s="5" t="s">
        <v>240</v>
      </c>
      <c r="BA2177" s="5" t="s">
        <v>255</v>
      </c>
      <c r="BB2177" s="5" t="s">
        <v>240</v>
      </c>
      <c r="BD2177" s="5" t="s">
        <v>240</v>
      </c>
      <c r="BF2177" s="5" t="s">
        <v>301</v>
      </c>
      <c r="BG2177" s="6" t="s">
        <v>299</v>
      </c>
      <c r="BH2177" s="5" t="s">
        <v>302</v>
      </c>
      <c r="BI2177" s="5" t="s">
        <v>303</v>
      </c>
      <c r="BJ2177" s="5" t="s">
        <v>240</v>
      </c>
      <c r="BK2177" s="8">
        <f>0</f>
        <v>0</v>
      </c>
      <c r="BL2177" s="7">
        <f>0</f>
        <v>0</v>
      </c>
      <c r="BM2177" s="5" t="s">
        <v>258</v>
      </c>
      <c r="BN2177" s="5" t="s">
        <v>259</v>
      </c>
      <c r="CB2177" s="5" t="s">
        <v>240</v>
      </c>
      <c r="CC2177" s="5" t="s">
        <v>240</v>
      </c>
      <c r="CG2177" s="5" t="s">
        <v>304</v>
      </c>
      <c r="CH2177" s="5" t="s">
        <v>305</v>
      </c>
      <c r="CI2177" s="5" t="s">
        <v>240</v>
      </c>
      <c r="CL2177" s="6" t="s">
        <v>261</v>
      </c>
      <c r="CM2177" s="5" t="s">
        <v>240</v>
      </c>
      <c r="CN2177" s="5" t="s">
        <v>263</v>
      </c>
      <c r="CO2177" s="5" t="s">
        <v>240</v>
      </c>
      <c r="CP2177" s="5" t="s">
        <v>240</v>
      </c>
      <c r="CQ2177" s="5">
        <v>0</v>
      </c>
      <c r="CR2177" s="5" t="s">
        <v>306</v>
      </c>
      <c r="CS2177" s="5" t="s">
        <v>307</v>
      </c>
      <c r="CT2177" s="5" t="s">
        <v>307</v>
      </c>
      <c r="CU2177" s="5" t="s">
        <v>260</v>
      </c>
      <c r="CX2177" s="7">
        <f>1</f>
        <v>1</v>
      </c>
      <c r="CY2177" s="7">
        <f>0</f>
        <v>0</v>
      </c>
      <c r="DA2177" s="7">
        <f>0</f>
        <v>0</v>
      </c>
      <c r="DC2177" s="5" t="s">
        <v>812</v>
      </c>
      <c r="DD2177" s="5" t="s">
        <v>240</v>
      </c>
      <c r="DF2177" s="5" t="s">
        <v>812</v>
      </c>
      <c r="DG2177" s="7">
        <f>1804</f>
        <v>1804</v>
      </c>
      <c r="DI2177" s="5" t="s">
        <v>240</v>
      </c>
      <c r="DJ2177" s="5" t="s">
        <v>240</v>
      </c>
      <c r="DK2177" s="5" t="s">
        <v>240</v>
      </c>
      <c r="DL2177" s="5" t="s">
        <v>240</v>
      </c>
      <c r="DP2177" s="5" t="s">
        <v>240</v>
      </c>
      <c r="DQ2177" s="5" t="s">
        <v>240</v>
      </c>
      <c r="DR2177" s="5" t="s">
        <v>240</v>
      </c>
      <c r="DS2177" s="5" t="s">
        <v>240</v>
      </c>
      <c r="DV2177" s="5" t="s">
        <v>813</v>
      </c>
      <c r="DW2177" s="5" t="s">
        <v>623</v>
      </c>
      <c r="HO2177" s="5" t="s">
        <v>312</v>
      </c>
    </row>
    <row r="2178" spans="1:223" x14ac:dyDescent="0.4">
      <c r="A2178" s="5">
        <v>3882</v>
      </c>
      <c r="B2178" s="5">
        <v>1</v>
      </c>
      <c r="C2178" s="5">
        <v>1</v>
      </c>
      <c r="D2178" s="5" t="s">
        <v>810</v>
      </c>
      <c r="E2178" s="5" t="s">
        <v>245</v>
      </c>
      <c r="F2178" s="5" t="s">
        <v>254</v>
      </c>
      <c r="G2178" s="5" t="s">
        <v>240</v>
      </c>
      <c r="H2178" s="6" t="s">
        <v>4102</v>
      </c>
      <c r="I2178" s="5" t="s">
        <v>809</v>
      </c>
      <c r="J2178" s="8">
        <f>75</f>
        <v>75</v>
      </c>
      <c r="K2178" s="5" t="s">
        <v>308</v>
      </c>
      <c r="L2178" s="7">
        <f>1</f>
        <v>1</v>
      </c>
      <c r="M2178" s="7">
        <f>1</f>
        <v>1</v>
      </c>
      <c r="N2178" s="5" t="s">
        <v>242</v>
      </c>
      <c r="O2178" s="5">
        <v>1</v>
      </c>
      <c r="P2178" s="5" t="s">
        <v>294</v>
      </c>
      <c r="Q2178" s="5" t="s">
        <v>266</v>
      </c>
      <c r="R2178" s="5" t="s">
        <v>240</v>
      </c>
      <c r="S2178" s="5" t="s">
        <v>240</v>
      </c>
      <c r="T2178" s="5" t="s">
        <v>296</v>
      </c>
      <c r="U2178" s="5" t="s">
        <v>244</v>
      </c>
      <c r="V2178" s="5" t="s">
        <v>240</v>
      </c>
      <c r="Y2178" s="5" t="s">
        <v>240</v>
      </c>
      <c r="Z2178" s="6" t="s">
        <v>298</v>
      </c>
      <c r="AB2178" s="6" t="s">
        <v>240</v>
      </c>
      <c r="AE2178" s="6" t="s">
        <v>299</v>
      </c>
      <c r="AF2178" s="5" t="s">
        <v>248</v>
      </c>
      <c r="AG2178" s="5" t="s">
        <v>249</v>
      </c>
      <c r="AW2178" s="5" t="s">
        <v>251</v>
      </c>
      <c r="AX2178" s="5" t="s">
        <v>240</v>
      </c>
      <c r="AY2178" s="5" t="s">
        <v>253</v>
      </c>
      <c r="AZ2178" s="5" t="s">
        <v>240</v>
      </c>
      <c r="BA2178" s="5" t="s">
        <v>255</v>
      </c>
      <c r="BB2178" s="5" t="s">
        <v>240</v>
      </c>
      <c r="BD2178" s="5" t="s">
        <v>240</v>
      </c>
      <c r="BF2178" s="5" t="s">
        <v>301</v>
      </c>
      <c r="BG2178" s="6" t="s">
        <v>299</v>
      </c>
      <c r="BH2178" s="5" t="s">
        <v>302</v>
      </c>
      <c r="BI2178" s="5" t="s">
        <v>303</v>
      </c>
      <c r="BJ2178" s="5" t="s">
        <v>240</v>
      </c>
      <c r="BK2178" s="8">
        <f>0</f>
        <v>0</v>
      </c>
      <c r="BL2178" s="7">
        <f>0</f>
        <v>0</v>
      </c>
      <c r="BM2178" s="5" t="s">
        <v>258</v>
      </c>
      <c r="BN2178" s="5" t="s">
        <v>259</v>
      </c>
      <c r="CB2178" s="5" t="s">
        <v>240</v>
      </c>
      <c r="CC2178" s="5" t="s">
        <v>240</v>
      </c>
      <c r="CG2178" s="5" t="s">
        <v>304</v>
      </c>
      <c r="CH2178" s="5" t="s">
        <v>305</v>
      </c>
      <c r="CI2178" s="5" t="s">
        <v>240</v>
      </c>
      <c r="CL2178" s="6" t="s">
        <v>261</v>
      </c>
      <c r="CM2178" s="5" t="s">
        <v>240</v>
      </c>
      <c r="CN2178" s="5" t="s">
        <v>263</v>
      </c>
      <c r="CO2178" s="5" t="s">
        <v>240</v>
      </c>
      <c r="CP2178" s="5" t="s">
        <v>240</v>
      </c>
      <c r="CQ2178" s="5">
        <v>0</v>
      </c>
      <c r="CR2178" s="5" t="s">
        <v>306</v>
      </c>
      <c r="CS2178" s="5" t="s">
        <v>307</v>
      </c>
      <c r="CT2178" s="5" t="s">
        <v>307</v>
      </c>
      <c r="CU2178" s="5" t="s">
        <v>260</v>
      </c>
      <c r="CX2178" s="7">
        <f>1</f>
        <v>1</v>
      </c>
      <c r="CY2178" s="7">
        <f>0</f>
        <v>0</v>
      </c>
      <c r="DA2178" s="7">
        <f>0</f>
        <v>0</v>
      </c>
      <c r="DC2178" s="5" t="s">
        <v>812</v>
      </c>
      <c r="DD2178" s="5" t="s">
        <v>240</v>
      </c>
      <c r="DF2178" s="5" t="s">
        <v>812</v>
      </c>
      <c r="DG2178" s="7">
        <f>1606</f>
        <v>1606</v>
      </c>
      <c r="DI2178" s="5" t="s">
        <v>240</v>
      </c>
      <c r="DJ2178" s="5" t="s">
        <v>240</v>
      </c>
      <c r="DK2178" s="5" t="s">
        <v>240</v>
      </c>
      <c r="DL2178" s="5" t="s">
        <v>240</v>
      </c>
      <c r="DP2178" s="5" t="s">
        <v>240</v>
      </c>
      <c r="DQ2178" s="5" t="s">
        <v>240</v>
      </c>
      <c r="DR2178" s="5" t="s">
        <v>240</v>
      </c>
      <c r="DS2178" s="5" t="s">
        <v>240</v>
      </c>
      <c r="DV2178" s="5" t="s">
        <v>813</v>
      </c>
      <c r="DW2178" s="5" t="s">
        <v>625</v>
      </c>
      <c r="HO2178" s="5" t="s">
        <v>312</v>
      </c>
    </row>
    <row r="2179" spans="1:223" x14ac:dyDescent="0.4">
      <c r="A2179" s="5">
        <v>3883</v>
      </c>
      <c r="B2179" s="5">
        <v>1</v>
      </c>
      <c r="C2179" s="5">
        <v>1</v>
      </c>
      <c r="D2179" s="5" t="s">
        <v>810</v>
      </c>
      <c r="E2179" s="5" t="s">
        <v>245</v>
      </c>
      <c r="F2179" s="5" t="s">
        <v>254</v>
      </c>
      <c r="G2179" s="5" t="s">
        <v>240</v>
      </c>
      <c r="H2179" s="6" t="s">
        <v>4100</v>
      </c>
      <c r="I2179" s="5" t="s">
        <v>809</v>
      </c>
      <c r="J2179" s="8">
        <f>2691</f>
        <v>2691</v>
      </c>
      <c r="K2179" s="5" t="s">
        <v>308</v>
      </c>
      <c r="L2179" s="7">
        <f>1</f>
        <v>1</v>
      </c>
      <c r="M2179" s="7">
        <f>1</f>
        <v>1</v>
      </c>
      <c r="N2179" s="5" t="s">
        <v>242</v>
      </c>
      <c r="O2179" s="5">
        <v>1</v>
      </c>
      <c r="P2179" s="5" t="s">
        <v>294</v>
      </c>
      <c r="Q2179" s="5" t="s">
        <v>266</v>
      </c>
      <c r="R2179" s="5" t="s">
        <v>240</v>
      </c>
      <c r="S2179" s="5" t="s">
        <v>240</v>
      </c>
      <c r="T2179" s="5" t="s">
        <v>296</v>
      </c>
      <c r="U2179" s="5" t="s">
        <v>244</v>
      </c>
      <c r="V2179" s="5" t="s">
        <v>240</v>
      </c>
      <c r="Y2179" s="5" t="s">
        <v>240</v>
      </c>
      <c r="Z2179" s="6" t="s">
        <v>298</v>
      </c>
      <c r="AB2179" s="6" t="s">
        <v>240</v>
      </c>
      <c r="AE2179" s="6" t="s">
        <v>299</v>
      </c>
      <c r="AF2179" s="5" t="s">
        <v>248</v>
      </c>
      <c r="AG2179" s="5" t="s">
        <v>249</v>
      </c>
      <c r="AW2179" s="5" t="s">
        <v>251</v>
      </c>
      <c r="AX2179" s="5" t="s">
        <v>240</v>
      </c>
      <c r="AY2179" s="5" t="s">
        <v>253</v>
      </c>
      <c r="AZ2179" s="5" t="s">
        <v>240</v>
      </c>
      <c r="BA2179" s="5" t="s">
        <v>255</v>
      </c>
      <c r="BB2179" s="5" t="s">
        <v>240</v>
      </c>
      <c r="BD2179" s="5" t="s">
        <v>240</v>
      </c>
      <c r="BF2179" s="5" t="s">
        <v>301</v>
      </c>
      <c r="BG2179" s="6" t="s">
        <v>299</v>
      </c>
      <c r="BH2179" s="5" t="s">
        <v>302</v>
      </c>
      <c r="BI2179" s="5" t="s">
        <v>303</v>
      </c>
      <c r="BJ2179" s="5" t="s">
        <v>240</v>
      </c>
      <c r="BK2179" s="8">
        <f>0</f>
        <v>0</v>
      </c>
      <c r="BL2179" s="7">
        <f>0</f>
        <v>0</v>
      </c>
      <c r="BM2179" s="5" t="s">
        <v>258</v>
      </c>
      <c r="BN2179" s="5" t="s">
        <v>259</v>
      </c>
      <c r="CB2179" s="5" t="s">
        <v>240</v>
      </c>
      <c r="CC2179" s="5" t="s">
        <v>240</v>
      </c>
      <c r="CG2179" s="5" t="s">
        <v>304</v>
      </c>
      <c r="CH2179" s="5" t="s">
        <v>305</v>
      </c>
      <c r="CI2179" s="5" t="s">
        <v>240</v>
      </c>
      <c r="CL2179" s="6" t="s">
        <v>261</v>
      </c>
      <c r="CM2179" s="5" t="s">
        <v>240</v>
      </c>
      <c r="CN2179" s="5" t="s">
        <v>263</v>
      </c>
      <c r="CO2179" s="5" t="s">
        <v>240</v>
      </c>
      <c r="CP2179" s="5" t="s">
        <v>240</v>
      </c>
      <c r="CQ2179" s="5">
        <v>0</v>
      </c>
      <c r="CR2179" s="5" t="s">
        <v>306</v>
      </c>
      <c r="CS2179" s="5" t="s">
        <v>307</v>
      </c>
      <c r="CT2179" s="5" t="s">
        <v>307</v>
      </c>
      <c r="CU2179" s="5" t="s">
        <v>260</v>
      </c>
      <c r="CX2179" s="7">
        <f>1</f>
        <v>1</v>
      </c>
      <c r="CY2179" s="7">
        <f>0</f>
        <v>0</v>
      </c>
      <c r="DA2179" s="7">
        <f>0</f>
        <v>0</v>
      </c>
      <c r="DC2179" s="5" t="s">
        <v>812</v>
      </c>
      <c r="DD2179" s="5" t="s">
        <v>240</v>
      </c>
      <c r="DF2179" s="5" t="s">
        <v>812</v>
      </c>
      <c r="DG2179" s="7">
        <f>1762</f>
        <v>1762</v>
      </c>
      <c r="DI2179" s="5" t="s">
        <v>240</v>
      </c>
      <c r="DJ2179" s="5" t="s">
        <v>240</v>
      </c>
      <c r="DK2179" s="5" t="s">
        <v>240</v>
      </c>
      <c r="DL2179" s="5" t="s">
        <v>240</v>
      </c>
      <c r="DP2179" s="5" t="s">
        <v>240</v>
      </c>
      <c r="DQ2179" s="5" t="s">
        <v>240</v>
      </c>
      <c r="DR2179" s="5" t="s">
        <v>240</v>
      </c>
      <c r="DS2179" s="5" t="s">
        <v>240</v>
      </c>
      <c r="DV2179" s="5" t="s">
        <v>813</v>
      </c>
      <c r="DW2179" s="5" t="s">
        <v>627</v>
      </c>
      <c r="HO2179" s="5" t="s">
        <v>312</v>
      </c>
    </row>
    <row r="2180" spans="1:223" x14ac:dyDescent="0.4">
      <c r="A2180" s="5">
        <v>3884</v>
      </c>
      <c r="B2180" s="5">
        <v>1</v>
      </c>
      <c r="C2180" s="5">
        <v>1</v>
      </c>
      <c r="D2180" s="5" t="s">
        <v>810</v>
      </c>
      <c r="E2180" s="5" t="s">
        <v>245</v>
      </c>
      <c r="F2180" s="5" t="s">
        <v>254</v>
      </c>
      <c r="G2180" s="5" t="s">
        <v>240</v>
      </c>
      <c r="H2180" s="6" t="s">
        <v>4099</v>
      </c>
      <c r="I2180" s="5" t="s">
        <v>809</v>
      </c>
      <c r="J2180" s="8">
        <f>132</f>
        <v>132</v>
      </c>
      <c r="K2180" s="5" t="s">
        <v>308</v>
      </c>
      <c r="L2180" s="7">
        <f>1</f>
        <v>1</v>
      </c>
      <c r="M2180" s="7">
        <f>1</f>
        <v>1</v>
      </c>
      <c r="N2180" s="5" t="s">
        <v>242</v>
      </c>
      <c r="O2180" s="5">
        <v>1</v>
      </c>
      <c r="P2180" s="5" t="s">
        <v>294</v>
      </c>
      <c r="Q2180" s="5" t="s">
        <v>266</v>
      </c>
      <c r="R2180" s="5" t="s">
        <v>240</v>
      </c>
      <c r="S2180" s="5" t="s">
        <v>240</v>
      </c>
      <c r="T2180" s="5" t="s">
        <v>296</v>
      </c>
      <c r="U2180" s="5" t="s">
        <v>244</v>
      </c>
      <c r="V2180" s="5" t="s">
        <v>240</v>
      </c>
      <c r="Y2180" s="5" t="s">
        <v>240</v>
      </c>
      <c r="Z2180" s="6" t="s">
        <v>298</v>
      </c>
      <c r="AB2180" s="6" t="s">
        <v>240</v>
      </c>
      <c r="AE2180" s="6" t="s">
        <v>299</v>
      </c>
      <c r="AF2180" s="5" t="s">
        <v>248</v>
      </c>
      <c r="AG2180" s="5" t="s">
        <v>249</v>
      </c>
      <c r="AW2180" s="5" t="s">
        <v>251</v>
      </c>
      <c r="AX2180" s="5" t="s">
        <v>240</v>
      </c>
      <c r="AY2180" s="5" t="s">
        <v>253</v>
      </c>
      <c r="AZ2180" s="5" t="s">
        <v>240</v>
      </c>
      <c r="BA2180" s="5" t="s">
        <v>255</v>
      </c>
      <c r="BB2180" s="5" t="s">
        <v>240</v>
      </c>
      <c r="BD2180" s="5" t="s">
        <v>240</v>
      </c>
      <c r="BF2180" s="5" t="s">
        <v>301</v>
      </c>
      <c r="BG2180" s="6" t="s">
        <v>299</v>
      </c>
      <c r="BH2180" s="5" t="s">
        <v>302</v>
      </c>
      <c r="BI2180" s="5" t="s">
        <v>303</v>
      </c>
      <c r="BJ2180" s="5" t="s">
        <v>240</v>
      </c>
      <c r="BK2180" s="8">
        <f>0</f>
        <v>0</v>
      </c>
      <c r="BL2180" s="7">
        <f>0</f>
        <v>0</v>
      </c>
      <c r="BM2180" s="5" t="s">
        <v>258</v>
      </c>
      <c r="BN2180" s="5" t="s">
        <v>259</v>
      </c>
      <c r="CB2180" s="5" t="s">
        <v>240</v>
      </c>
      <c r="CC2180" s="5" t="s">
        <v>240</v>
      </c>
      <c r="CG2180" s="5" t="s">
        <v>304</v>
      </c>
      <c r="CH2180" s="5" t="s">
        <v>305</v>
      </c>
      <c r="CI2180" s="5" t="s">
        <v>240</v>
      </c>
      <c r="CL2180" s="6" t="s">
        <v>261</v>
      </c>
      <c r="CM2180" s="5" t="s">
        <v>240</v>
      </c>
      <c r="CN2180" s="5" t="s">
        <v>263</v>
      </c>
      <c r="CO2180" s="5" t="s">
        <v>240</v>
      </c>
      <c r="CP2180" s="5" t="s">
        <v>240</v>
      </c>
      <c r="CQ2180" s="5">
        <v>0</v>
      </c>
      <c r="CR2180" s="5" t="s">
        <v>306</v>
      </c>
      <c r="CS2180" s="5" t="s">
        <v>307</v>
      </c>
      <c r="CT2180" s="5" t="s">
        <v>307</v>
      </c>
      <c r="CU2180" s="5" t="s">
        <v>260</v>
      </c>
      <c r="CX2180" s="7">
        <f>1</f>
        <v>1</v>
      </c>
      <c r="CY2180" s="7">
        <f>0</f>
        <v>0</v>
      </c>
      <c r="DA2180" s="7">
        <f>0</f>
        <v>0</v>
      </c>
      <c r="DC2180" s="5" t="s">
        <v>812</v>
      </c>
      <c r="DD2180" s="5" t="s">
        <v>240</v>
      </c>
      <c r="DF2180" s="5" t="s">
        <v>812</v>
      </c>
      <c r="DG2180" s="7">
        <f>14273</f>
        <v>14273</v>
      </c>
      <c r="DI2180" s="5" t="s">
        <v>240</v>
      </c>
      <c r="DJ2180" s="5" t="s">
        <v>240</v>
      </c>
      <c r="DK2180" s="5" t="s">
        <v>240</v>
      </c>
      <c r="DL2180" s="5" t="s">
        <v>240</v>
      </c>
      <c r="DP2180" s="5" t="s">
        <v>240</v>
      </c>
      <c r="DQ2180" s="5" t="s">
        <v>240</v>
      </c>
      <c r="DR2180" s="5" t="s">
        <v>240</v>
      </c>
      <c r="DS2180" s="5" t="s">
        <v>240</v>
      </c>
      <c r="DV2180" s="5" t="s">
        <v>813</v>
      </c>
      <c r="DW2180" s="5" t="s">
        <v>629</v>
      </c>
      <c r="HO2180" s="5" t="s">
        <v>312</v>
      </c>
    </row>
    <row r="2181" spans="1:223" x14ac:dyDescent="0.4">
      <c r="A2181" s="5">
        <v>3885</v>
      </c>
      <c r="B2181" s="5">
        <v>1</v>
      </c>
      <c r="C2181" s="5">
        <v>1</v>
      </c>
      <c r="D2181" s="5" t="s">
        <v>810</v>
      </c>
      <c r="E2181" s="5" t="s">
        <v>245</v>
      </c>
      <c r="F2181" s="5" t="s">
        <v>254</v>
      </c>
      <c r="G2181" s="5" t="s">
        <v>240</v>
      </c>
      <c r="H2181" s="6" t="s">
        <v>4098</v>
      </c>
      <c r="I2181" s="5" t="s">
        <v>809</v>
      </c>
      <c r="J2181" s="8">
        <f>208</f>
        <v>208</v>
      </c>
      <c r="K2181" s="5" t="s">
        <v>308</v>
      </c>
      <c r="L2181" s="7">
        <f>1</f>
        <v>1</v>
      </c>
      <c r="M2181" s="7">
        <f>1</f>
        <v>1</v>
      </c>
      <c r="N2181" s="5" t="s">
        <v>242</v>
      </c>
      <c r="O2181" s="5">
        <v>1</v>
      </c>
      <c r="P2181" s="5" t="s">
        <v>294</v>
      </c>
      <c r="Q2181" s="5" t="s">
        <v>266</v>
      </c>
      <c r="R2181" s="5" t="s">
        <v>240</v>
      </c>
      <c r="S2181" s="5" t="s">
        <v>240</v>
      </c>
      <c r="T2181" s="5" t="s">
        <v>296</v>
      </c>
      <c r="U2181" s="5" t="s">
        <v>244</v>
      </c>
      <c r="V2181" s="5" t="s">
        <v>240</v>
      </c>
      <c r="Y2181" s="5" t="s">
        <v>240</v>
      </c>
      <c r="Z2181" s="6" t="s">
        <v>298</v>
      </c>
      <c r="AB2181" s="6" t="s">
        <v>240</v>
      </c>
      <c r="AE2181" s="6" t="s">
        <v>299</v>
      </c>
      <c r="AF2181" s="5" t="s">
        <v>248</v>
      </c>
      <c r="AG2181" s="5" t="s">
        <v>249</v>
      </c>
      <c r="AW2181" s="5" t="s">
        <v>251</v>
      </c>
      <c r="AX2181" s="5" t="s">
        <v>240</v>
      </c>
      <c r="AY2181" s="5" t="s">
        <v>253</v>
      </c>
      <c r="AZ2181" s="5" t="s">
        <v>240</v>
      </c>
      <c r="BA2181" s="5" t="s">
        <v>255</v>
      </c>
      <c r="BB2181" s="5" t="s">
        <v>240</v>
      </c>
      <c r="BD2181" s="5" t="s">
        <v>240</v>
      </c>
      <c r="BF2181" s="5" t="s">
        <v>301</v>
      </c>
      <c r="BG2181" s="6" t="s">
        <v>299</v>
      </c>
      <c r="BH2181" s="5" t="s">
        <v>302</v>
      </c>
      <c r="BI2181" s="5" t="s">
        <v>303</v>
      </c>
      <c r="BJ2181" s="5" t="s">
        <v>240</v>
      </c>
      <c r="BK2181" s="8">
        <f>0</f>
        <v>0</v>
      </c>
      <c r="BL2181" s="7">
        <f>0</f>
        <v>0</v>
      </c>
      <c r="BM2181" s="5" t="s">
        <v>258</v>
      </c>
      <c r="BN2181" s="5" t="s">
        <v>259</v>
      </c>
      <c r="CB2181" s="5" t="s">
        <v>240</v>
      </c>
      <c r="CC2181" s="5" t="s">
        <v>240</v>
      </c>
      <c r="CG2181" s="5" t="s">
        <v>304</v>
      </c>
      <c r="CH2181" s="5" t="s">
        <v>305</v>
      </c>
      <c r="CI2181" s="5" t="s">
        <v>240</v>
      </c>
      <c r="CL2181" s="6" t="s">
        <v>261</v>
      </c>
      <c r="CM2181" s="5" t="s">
        <v>240</v>
      </c>
      <c r="CN2181" s="5" t="s">
        <v>263</v>
      </c>
      <c r="CO2181" s="5" t="s">
        <v>240</v>
      </c>
      <c r="CP2181" s="5" t="s">
        <v>240</v>
      </c>
      <c r="CQ2181" s="5">
        <v>0</v>
      </c>
      <c r="CR2181" s="5" t="s">
        <v>306</v>
      </c>
      <c r="CS2181" s="5" t="s">
        <v>307</v>
      </c>
      <c r="CT2181" s="5" t="s">
        <v>307</v>
      </c>
      <c r="CU2181" s="5" t="s">
        <v>260</v>
      </c>
      <c r="CX2181" s="7">
        <f>1</f>
        <v>1</v>
      </c>
      <c r="CY2181" s="7">
        <f>0</f>
        <v>0</v>
      </c>
      <c r="DA2181" s="7">
        <f>0</f>
        <v>0</v>
      </c>
      <c r="DC2181" s="5" t="s">
        <v>812</v>
      </c>
      <c r="DD2181" s="5" t="s">
        <v>240</v>
      </c>
      <c r="DF2181" s="5" t="s">
        <v>812</v>
      </c>
      <c r="DG2181" s="7">
        <f>298</f>
        <v>298</v>
      </c>
      <c r="DI2181" s="5" t="s">
        <v>240</v>
      </c>
      <c r="DJ2181" s="5" t="s">
        <v>240</v>
      </c>
      <c r="DK2181" s="5" t="s">
        <v>240</v>
      </c>
      <c r="DL2181" s="5" t="s">
        <v>240</v>
      </c>
      <c r="DP2181" s="5" t="s">
        <v>240</v>
      </c>
      <c r="DQ2181" s="5" t="s">
        <v>240</v>
      </c>
      <c r="DR2181" s="5" t="s">
        <v>240</v>
      </c>
      <c r="DS2181" s="5" t="s">
        <v>240</v>
      </c>
      <c r="DV2181" s="5" t="s">
        <v>813</v>
      </c>
      <c r="DW2181" s="5" t="s">
        <v>631</v>
      </c>
      <c r="HO2181" s="5" t="s">
        <v>312</v>
      </c>
    </row>
    <row r="2182" spans="1:223" x14ac:dyDescent="0.4">
      <c r="A2182" s="5">
        <v>3886</v>
      </c>
      <c r="B2182" s="5">
        <v>1</v>
      </c>
      <c r="C2182" s="5">
        <v>1</v>
      </c>
      <c r="D2182" s="5" t="s">
        <v>810</v>
      </c>
      <c r="E2182" s="5" t="s">
        <v>245</v>
      </c>
      <c r="F2182" s="5" t="s">
        <v>254</v>
      </c>
      <c r="G2182" s="5" t="s">
        <v>240</v>
      </c>
      <c r="H2182" s="6" t="s">
        <v>4096</v>
      </c>
      <c r="I2182" s="5" t="s">
        <v>809</v>
      </c>
      <c r="J2182" s="8">
        <f>117</f>
        <v>117</v>
      </c>
      <c r="K2182" s="5" t="s">
        <v>308</v>
      </c>
      <c r="L2182" s="7">
        <f>1</f>
        <v>1</v>
      </c>
      <c r="M2182" s="7">
        <f>1</f>
        <v>1</v>
      </c>
      <c r="N2182" s="5" t="s">
        <v>242</v>
      </c>
      <c r="O2182" s="5">
        <v>1</v>
      </c>
      <c r="P2182" s="5" t="s">
        <v>294</v>
      </c>
      <c r="Q2182" s="5" t="s">
        <v>613</v>
      </c>
      <c r="R2182" s="5" t="s">
        <v>240</v>
      </c>
      <c r="S2182" s="5" t="s">
        <v>240</v>
      </c>
      <c r="T2182" s="5" t="s">
        <v>243</v>
      </c>
      <c r="U2182" s="5" t="s">
        <v>724</v>
      </c>
      <c r="V2182" s="5" t="s">
        <v>240</v>
      </c>
      <c r="Y2182" s="5" t="s">
        <v>240</v>
      </c>
      <c r="Z2182" s="6" t="s">
        <v>298</v>
      </c>
      <c r="AB2182" s="6" t="s">
        <v>240</v>
      </c>
      <c r="AE2182" s="6" t="s">
        <v>299</v>
      </c>
      <c r="AF2182" s="5" t="s">
        <v>248</v>
      </c>
      <c r="AG2182" s="5" t="s">
        <v>249</v>
      </c>
      <c r="AW2182" s="5" t="s">
        <v>251</v>
      </c>
      <c r="AX2182" s="5" t="s">
        <v>240</v>
      </c>
      <c r="AY2182" s="5" t="s">
        <v>253</v>
      </c>
      <c r="AZ2182" s="5" t="s">
        <v>240</v>
      </c>
      <c r="BA2182" s="5" t="s">
        <v>255</v>
      </c>
      <c r="BB2182" s="5" t="s">
        <v>240</v>
      </c>
      <c r="BD2182" s="5" t="s">
        <v>240</v>
      </c>
      <c r="BF2182" s="5" t="s">
        <v>301</v>
      </c>
      <c r="BG2182" s="6" t="s">
        <v>299</v>
      </c>
      <c r="BH2182" s="5" t="s">
        <v>302</v>
      </c>
      <c r="BI2182" s="5" t="s">
        <v>303</v>
      </c>
      <c r="BJ2182" s="5" t="s">
        <v>240</v>
      </c>
      <c r="BK2182" s="8">
        <f>0</f>
        <v>0</v>
      </c>
      <c r="BL2182" s="7">
        <f>0</f>
        <v>0</v>
      </c>
      <c r="BM2182" s="5" t="s">
        <v>258</v>
      </c>
      <c r="BN2182" s="5" t="s">
        <v>259</v>
      </c>
      <c r="CB2182" s="5" t="s">
        <v>240</v>
      </c>
      <c r="CC2182" s="5" t="s">
        <v>240</v>
      </c>
      <c r="CG2182" s="5" t="s">
        <v>617</v>
      </c>
      <c r="CH2182" s="5" t="s">
        <v>305</v>
      </c>
      <c r="CI2182" s="5" t="s">
        <v>240</v>
      </c>
      <c r="CL2182" s="6" t="s">
        <v>261</v>
      </c>
      <c r="CM2182" s="5" t="s">
        <v>240</v>
      </c>
      <c r="CN2182" s="5" t="s">
        <v>263</v>
      </c>
      <c r="CO2182" s="5" t="s">
        <v>240</v>
      </c>
      <c r="CP2182" s="5" t="s">
        <v>240</v>
      </c>
      <c r="CQ2182" s="5">
        <v>0</v>
      </c>
      <c r="CR2182" s="5" t="s">
        <v>306</v>
      </c>
      <c r="CS2182" s="5" t="s">
        <v>307</v>
      </c>
      <c r="CT2182" s="5" t="s">
        <v>307</v>
      </c>
      <c r="CU2182" s="5" t="s">
        <v>260</v>
      </c>
      <c r="CX2182" s="7">
        <f>5456</f>
        <v>5456</v>
      </c>
      <c r="CY2182" s="7">
        <f>0</f>
        <v>0</v>
      </c>
      <c r="DA2182" s="7">
        <f>0</f>
        <v>0</v>
      </c>
      <c r="DC2182" s="5" t="s">
        <v>854</v>
      </c>
      <c r="DD2182" s="5" t="s">
        <v>240</v>
      </c>
      <c r="DF2182" s="5" t="s">
        <v>450</v>
      </c>
      <c r="DG2182" s="7">
        <f>0</f>
        <v>0</v>
      </c>
      <c r="DI2182" s="5" t="s">
        <v>737</v>
      </c>
      <c r="DJ2182" s="5" t="s">
        <v>240</v>
      </c>
      <c r="DK2182" s="5" t="s">
        <v>240</v>
      </c>
      <c r="DL2182" s="5" t="s">
        <v>240</v>
      </c>
      <c r="DP2182" s="5" t="s">
        <v>240</v>
      </c>
      <c r="DQ2182" s="5" t="s">
        <v>240</v>
      </c>
      <c r="DR2182" s="5" t="s">
        <v>240</v>
      </c>
      <c r="DS2182" s="5" t="s">
        <v>240</v>
      </c>
      <c r="DV2182" s="5" t="s">
        <v>957</v>
      </c>
      <c r="DW2182" s="5" t="s">
        <v>514</v>
      </c>
      <c r="HO2182" s="5" t="s">
        <v>312</v>
      </c>
    </row>
    <row r="2183" spans="1:223" x14ac:dyDescent="0.4">
      <c r="A2183" s="5">
        <v>3887</v>
      </c>
      <c r="B2183" s="5">
        <v>1</v>
      </c>
      <c r="C2183" s="5">
        <v>1</v>
      </c>
      <c r="D2183" s="5" t="s">
        <v>810</v>
      </c>
      <c r="E2183" s="5" t="s">
        <v>245</v>
      </c>
      <c r="F2183" s="5" t="s">
        <v>254</v>
      </c>
      <c r="G2183" s="5" t="s">
        <v>240</v>
      </c>
      <c r="H2183" s="6" t="s">
        <v>4094</v>
      </c>
      <c r="I2183" s="5" t="s">
        <v>809</v>
      </c>
      <c r="J2183" s="8">
        <f>20</f>
        <v>20</v>
      </c>
      <c r="K2183" s="5" t="s">
        <v>308</v>
      </c>
      <c r="L2183" s="7">
        <f>1</f>
        <v>1</v>
      </c>
      <c r="M2183" s="7">
        <f>1</f>
        <v>1</v>
      </c>
      <c r="N2183" s="5" t="s">
        <v>242</v>
      </c>
      <c r="O2183" s="5">
        <v>1</v>
      </c>
      <c r="P2183" s="5" t="s">
        <v>294</v>
      </c>
      <c r="Q2183" s="5" t="s">
        <v>266</v>
      </c>
      <c r="R2183" s="5" t="s">
        <v>240</v>
      </c>
      <c r="S2183" s="5" t="s">
        <v>240</v>
      </c>
      <c r="T2183" s="5" t="s">
        <v>296</v>
      </c>
      <c r="U2183" s="5" t="s">
        <v>244</v>
      </c>
      <c r="V2183" s="5" t="s">
        <v>240</v>
      </c>
      <c r="Y2183" s="5" t="s">
        <v>240</v>
      </c>
      <c r="Z2183" s="6" t="s">
        <v>298</v>
      </c>
      <c r="AB2183" s="6" t="s">
        <v>240</v>
      </c>
      <c r="AE2183" s="6" t="s">
        <v>299</v>
      </c>
      <c r="AF2183" s="5" t="s">
        <v>248</v>
      </c>
      <c r="AG2183" s="5" t="s">
        <v>249</v>
      </c>
      <c r="AW2183" s="5" t="s">
        <v>251</v>
      </c>
      <c r="AX2183" s="5" t="s">
        <v>240</v>
      </c>
      <c r="AY2183" s="5" t="s">
        <v>253</v>
      </c>
      <c r="AZ2183" s="5" t="s">
        <v>240</v>
      </c>
      <c r="BA2183" s="5" t="s">
        <v>255</v>
      </c>
      <c r="BB2183" s="5" t="s">
        <v>240</v>
      </c>
      <c r="BD2183" s="5" t="s">
        <v>240</v>
      </c>
      <c r="BF2183" s="5" t="s">
        <v>301</v>
      </c>
      <c r="BG2183" s="6" t="s">
        <v>299</v>
      </c>
      <c r="BH2183" s="5" t="s">
        <v>302</v>
      </c>
      <c r="BI2183" s="5" t="s">
        <v>303</v>
      </c>
      <c r="BJ2183" s="5" t="s">
        <v>240</v>
      </c>
      <c r="BK2183" s="8">
        <f>0</f>
        <v>0</v>
      </c>
      <c r="BL2183" s="7">
        <f>0</f>
        <v>0</v>
      </c>
      <c r="BM2183" s="5" t="s">
        <v>258</v>
      </c>
      <c r="BN2183" s="5" t="s">
        <v>259</v>
      </c>
      <c r="CB2183" s="5" t="s">
        <v>240</v>
      </c>
      <c r="CC2183" s="5" t="s">
        <v>240</v>
      </c>
      <c r="CG2183" s="5" t="s">
        <v>304</v>
      </c>
      <c r="CH2183" s="5" t="s">
        <v>305</v>
      </c>
      <c r="CI2183" s="5" t="s">
        <v>240</v>
      </c>
      <c r="CL2183" s="6" t="s">
        <v>261</v>
      </c>
      <c r="CM2183" s="5" t="s">
        <v>240</v>
      </c>
      <c r="CN2183" s="5" t="s">
        <v>263</v>
      </c>
      <c r="CO2183" s="5" t="s">
        <v>240</v>
      </c>
      <c r="CP2183" s="5" t="s">
        <v>240</v>
      </c>
      <c r="CQ2183" s="5">
        <v>0</v>
      </c>
      <c r="CR2183" s="5" t="s">
        <v>306</v>
      </c>
      <c r="CS2183" s="5" t="s">
        <v>307</v>
      </c>
      <c r="CT2183" s="5" t="s">
        <v>307</v>
      </c>
      <c r="CU2183" s="5" t="s">
        <v>260</v>
      </c>
      <c r="CX2183" s="7">
        <f>1</f>
        <v>1</v>
      </c>
      <c r="CY2183" s="7">
        <f>0</f>
        <v>0</v>
      </c>
      <c r="DA2183" s="7">
        <f>0</f>
        <v>0</v>
      </c>
      <c r="DC2183" s="5" t="s">
        <v>812</v>
      </c>
      <c r="DD2183" s="5" t="s">
        <v>240</v>
      </c>
      <c r="DF2183" s="5" t="s">
        <v>812</v>
      </c>
      <c r="DG2183" s="7">
        <f>394</f>
        <v>394</v>
      </c>
      <c r="DI2183" s="5" t="s">
        <v>240</v>
      </c>
      <c r="DJ2183" s="5" t="s">
        <v>240</v>
      </c>
      <c r="DK2183" s="5" t="s">
        <v>240</v>
      </c>
      <c r="DL2183" s="5" t="s">
        <v>240</v>
      </c>
      <c r="DP2183" s="5" t="s">
        <v>240</v>
      </c>
      <c r="DQ2183" s="5" t="s">
        <v>240</v>
      </c>
      <c r="DR2183" s="5" t="s">
        <v>240</v>
      </c>
      <c r="DS2183" s="5" t="s">
        <v>240</v>
      </c>
      <c r="DV2183" s="5" t="s">
        <v>813</v>
      </c>
      <c r="DW2183" s="5" t="s">
        <v>635</v>
      </c>
      <c r="HO2183" s="5" t="s">
        <v>312</v>
      </c>
    </row>
    <row r="2184" spans="1:223" x14ac:dyDescent="0.4">
      <c r="A2184" s="5">
        <v>3888</v>
      </c>
      <c r="B2184" s="5">
        <v>1</v>
      </c>
      <c r="C2184" s="5">
        <v>1</v>
      </c>
      <c r="D2184" s="5" t="s">
        <v>810</v>
      </c>
      <c r="E2184" s="5" t="s">
        <v>245</v>
      </c>
      <c r="F2184" s="5" t="s">
        <v>254</v>
      </c>
      <c r="G2184" s="5" t="s">
        <v>240</v>
      </c>
      <c r="H2184" s="6" t="s">
        <v>4093</v>
      </c>
      <c r="I2184" s="5" t="s">
        <v>809</v>
      </c>
      <c r="J2184" s="8">
        <f>103</f>
        <v>103</v>
      </c>
      <c r="K2184" s="5" t="s">
        <v>308</v>
      </c>
      <c r="L2184" s="7">
        <f>1</f>
        <v>1</v>
      </c>
      <c r="M2184" s="7">
        <f>1</f>
        <v>1</v>
      </c>
      <c r="N2184" s="5" t="s">
        <v>242</v>
      </c>
      <c r="O2184" s="5">
        <v>1</v>
      </c>
      <c r="P2184" s="5" t="s">
        <v>294</v>
      </c>
      <c r="Q2184" s="5" t="s">
        <v>266</v>
      </c>
      <c r="R2184" s="5" t="s">
        <v>240</v>
      </c>
      <c r="S2184" s="5" t="s">
        <v>240</v>
      </c>
      <c r="T2184" s="5" t="s">
        <v>296</v>
      </c>
      <c r="U2184" s="5" t="s">
        <v>244</v>
      </c>
      <c r="V2184" s="5" t="s">
        <v>240</v>
      </c>
      <c r="Y2184" s="5" t="s">
        <v>240</v>
      </c>
      <c r="Z2184" s="6" t="s">
        <v>298</v>
      </c>
      <c r="AB2184" s="6" t="s">
        <v>240</v>
      </c>
      <c r="AE2184" s="6" t="s">
        <v>299</v>
      </c>
      <c r="AF2184" s="5" t="s">
        <v>248</v>
      </c>
      <c r="AG2184" s="5" t="s">
        <v>249</v>
      </c>
      <c r="AW2184" s="5" t="s">
        <v>251</v>
      </c>
      <c r="AX2184" s="5" t="s">
        <v>240</v>
      </c>
      <c r="AY2184" s="5" t="s">
        <v>253</v>
      </c>
      <c r="AZ2184" s="5" t="s">
        <v>240</v>
      </c>
      <c r="BA2184" s="5" t="s">
        <v>255</v>
      </c>
      <c r="BB2184" s="5" t="s">
        <v>240</v>
      </c>
      <c r="BD2184" s="5" t="s">
        <v>240</v>
      </c>
      <c r="BF2184" s="5" t="s">
        <v>301</v>
      </c>
      <c r="BG2184" s="6" t="s">
        <v>299</v>
      </c>
      <c r="BH2184" s="5" t="s">
        <v>302</v>
      </c>
      <c r="BI2184" s="5" t="s">
        <v>303</v>
      </c>
      <c r="BJ2184" s="5" t="s">
        <v>240</v>
      </c>
      <c r="BK2184" s="8">
        <f>0</f>
        <v>0</v>
      </c>
      <c r="BL2184" s="7">
        <f>0</f>
        <v>0</v>
      </c>
      <c r="BM2184" s="5" t="s">
        <v>258</v>
      </c>
      <c r="BN2184" s="5" t="s">
        <v>259</v>
      </c>
      <c r="CB2184" s="5" t="s">
        <v>240</v>
      </c>
      <c r="CC2184" s="5" t="s">
        <v>240</v>
      </c>
      <c r="CG2184" s="5" t="s">
        <v>304</v>
      </c>
      <c r="CH2184" s="5" t="s">
        <v>305</v>
      </c>
      <c r="CI2184" s="5" t="s">
        <v>240</v>
      </c>
      <c r="CL2184" s="6" t="s">
        <v>261</v>
      </c>
      <c r="CM2184" s="5" t="s">
        <v>240</v>
      </c>
      <c r="CN2184" s="5" t="s">
        <v>263</v>
      </c>
      <c r="CO2184" s="5" t="s">
        <v>240</v>
      </c>
      <c r="CP2184" s="5" t="s">
        <v>240</v>
      </c>
      <c r="CQ2184" s="5">
        <v>0</v>
      </c>
      <c r="CR2184" s="5" t="s">
        <v>306</v>
      </c>
      <c r="CS2184" s="5" t="s">
        <v>307</v>
      </c>
      <c r="CT2184" s="5" t="s">
        <v>307</v>
      </c>
      <c r="CU2184" s="5" t="s">
        <v>260</v>
      </c>
      <c r="CX2184" s="7">
        <f>1</f>
        <v>1</v>
      </c>
      <c r="CY2184" s="7">
        <f>0</f>
        <v>0</v>
      </c>
      <c r="DA2184" s="7">
        <f>0</f>
        <v>0</v>
      </c>
      <c r="DC2184" s="5" t="s">
        <v>812</v>
      </c>
      <c r="DD2184" s="5" t="s">
        <v>240</v>
      </c>
      <c r="DF2184" s="5" t="s">
        <v>812</v>
      </c>
      <c r="DG2184" s="7">
        <f>61</f>
        <v>61</v>
      </c>
      <c r="DI2184" s="5" t="s">
        <v>240</v>
      </c>
      <c r="DJ2184" s="5" t="s">
        <v>240</v>
      </c>
      <c r="DK2184" s="5" t="s">
        <v>240</v>
      </c>
      <c r="DL2184" s="5" t="s">
        <v>240</v>
      </c>
      <c r="DP2184" s="5" t="s">
        <v>240</v>
      </c>
      <c r="DQ2184" s="5" t="s">
        <v>240</v>
      </c>
      <c r="DR2184" s="5" t="s">
        <v>240</v>
      </c>
      <c r="DS2184" s="5" t="s">
        <v>240</v>
      </c>
      <c r="DV2184" s="5" t="s">
        <v>813</v>
      </c>
      <c r="DW2184" s="5" t="s">
        <v>637</v>
      </c>
      <c r="HO2184" s="5" t="s">
        <v>312</v>
      </c>
    </row>
    <row r="2185" spans="1:223" x14ac:dyDescent="0.4">
      <c r="A2185" s="5">
        <v>3889</v>
      </c>
      <c r="B2185" s="5">
        <v>1</v>
      </c>
      <c r="C2185" s="5">
        <v>1</v>
      </c>
      <c r="D2185" s="5" t="s">
        <v>810</v>
      </c>
      <c r="E2185" s="5" t="s">
        <v>245</v>
      </c>
      <c r="F2185" s="5" t="s">
        <v>254</v>
      </c>
      <c r="G2185" s="5" t="s">
        <v>240</v>
      </c>
      <c r="H2185" s="6" t="s">
        <v>4092</v>
      </c>
      <c r="I2185" s="5" t="s">
        <v>809</v>
      </c>
      <c r="J2185" s="8">
        <f>488</f>
        <v>488</v>
      </c>
      <c r="K2185" s="5" t="s">
        <v>308</v>
      </c>
      <c r="L2185" s="7">
        <f>1</f>
        <v>1</v>
      </c>
      <c r="M2185" s="7">
        <f>1</f>
        <v>1</v>
      </c>
      <c r="N2185" s="5" t="s">
        <v>242</v>
      </c>
      <c r="O2185" s="5">
        <v>1</v>
      </c>
      <c r="P2185" s="5" t="s">
        <v>294</v>
      </c>
      <c r="Q2185" s="5" t="s">
        <v>266</v>
      </c>
      <c r="R2185" s="5" t="s">
        <v>240</v>
      </c>
      <c r="S2185" s="5" t="s">
        <v>240</v>
      </c>
      <c r="T2185" s="5" t="s">
        <v>296</v>
      </c>
      <c r="U2185" s="5" t="s">
        <v>244</v>
      </c>
      <c r="V2185" s="5" t="s">
        <v>240</v>
      </c>
      <c r="Y2185" s="5" t="s">
        <v>240</v>
      </c>
      <c r="Z2185" s="6" t="s">
        <v>298</v>
      </c>
      <c r="AB2185" s="6" t="s">
        <v>240</v>
      </c>
      <c r="AE2185" s="6" t="s">
        <v>299</v>
      </c>
      <c r="AF2185" s="5" t="s">
        <v>248</v>
      </c>
      <c r="AG2185" s="5" t="s">
        <v>249</v>
      </c>
      <c r="AW2185" s="5" t="s">
        <v>251</v>
      </c>
      <c r="AX2185" s="5" t="s">
        <v>240</v>
      </c>
      <c r="AY2185" s="5" t="s">
        <v>253</v>
      </c>
      <c r="AZ2185" s="5" t="s">
        <v>240</v>
      </c>
      <c r="BA2185" s="5" t="s">
        <v>255</v>
      </c>
      <c r="BB2185" s="5" t="s">
        <v>240</v>
      </c>
      <c r="BD2185" s="5" t="s">
        <v>240</v>
      </c>
      <c r="BF2185" s="5" t="s">
        <v>301</v>
      </c>
      <c r="BG2185" s="6" t="s">
        <v>299</v>
      </c>
      <c r="BH2185" s="5" t="s">
        <v>302</v>
      </c>
      <c r="BI2185" s="5" t="s">
        <v>303</v>
      </c>
      <c r="BJ2185" s="5" t="s">
        <v>240</v>
      </c>
      <c r="BK2185" s="8">
        <f>0</f>
        <v>0</v>
      </c>
      <c r="BL2185" s="7">
        <f>0</f>
        <v>0</v>
      </c>
      <c r="BM2185" s="5" t="s">
        <v>258</v>
      </c>
      <c r="BN2185" s="5" t="s">
        <v>259</v>
      </c>
      <c r="CB2185" s="5" t="s">
        <v>240</v>
      </c>
      <c r="CC2185" s="5" t="s">
        <v>240</v>
      </c>
      <c r="CG2185" s="5" t="s">
        <v>304</v>
      </c>
      <c r="CH2185" s="5" t="s">
        <v>305</v>
      </c>
      <c r="CI2185" s="5" t="s">
        <v>240</v>
      </c>
      <c r="CL2185" s="6" t="s">
        <v>261</v>
      </c>
      <c r="CM2185" s="5" t="s">
        <v>240</v>
      </c>
      <c r="CN2185" s="5" t="s">
        <v>263</v>
      </c>
      <c r="CO2185" s="5" t="s">
        <v>240</v>
      </c>
      <c r="CP2185" s="5" t="s">
        <v>240</v>
      </c>
      <c r="CQ2185" s="5">
        <v>0</v>
      </c>
      <c r="CR2185" s="5" t="s">
        <v>306</v>
      </c>
      <c r="CS2185" s="5" t="s">
        <v>307</v>
      </c>
      <c r="CT2185" s="5" t="s">
        <v>307</v>
      </c>
      <c r="CU2185" s="5" t="s">
        <v>260</v>
      </c>
      <c r="CX2185" s="7">
        <f>1</f>
        <v>1</v>
      </c>
      <c r="CY2185" s="7">
        <f>0</f>
        <v>0</v>
      </c>
      <c r="DA2185" s="7">
        <f>0</f>
        <v>0</v>
      </c>
      <c r="DC2185" s="5" t="s">
        <v>812</v>
      </c>
      <c r="DD2185" s="5" t="s">
        <v>240</v>
      </c>
      <c r="DF2185" s="5" t="s">
        <v>812</v>
      </c>
      <c r="DG2185" s="7">
        <f>232</f>
        <v>232</v>
      </c>
      <c r="DI2185" s="5" t="s">
        <v>240</v>
      </c>
      <c r="DJ2185" s="5" t="s">
        <v>240</v>
      </c>
      <c r="DK2185" s="5" t="s">
        <v>240</v>
      </c>
      <c r="DL2185" s="5" t="s">
        <v>240</v>
      </c>
      <c r="DP2185" s="5" t="s">
        <v>240</v>
      </c>
      <c r="DQ2185" s="5" t="s">
        <v>240</v>
      </c>
      <c r="DR2185" s="5" t="s">
        <v>240</v>
      </c>
      <c r="DS2185" s="5" t="s">
        <v>240</v>
      </c>
      <c r="DV2185" s="5" t="s">
        <v>813</v>
      </c>
      <c r="DW2185" s="5" t="s">
        <v>639</v>
      </c>
      <c r="HO2185" s="5" t="s">
        <v>312</v>
      </c>
    </row>
    <row r="2186" spans="1:223" x14ac:dyDescent="0.4">
      <c r="A2186" s="5">
        <v>3890</v>
      </c>
      <c r="B2186" s="5">
        <v>1</v>
      </c>
      <c r="C2186" s="5">
        <v>1</v>
      </c>
      <c r="D2186" s="5" t="s">
        <v>810</v>
      </c>
      <c r="E2186" s="5" t="s">
        <v>245</v>
      </c>
      <c r="F2186" s="5" t="s">
        <v>254</v>
      </c>
      <c r="G2186" s="5" t="s">
        <v>240</v>
      </c>
      <c r="H2186" s="6" t="s">
        <v>4091</v>
      </c>
      <c r="I2186" s="5" t="s">
        <v>809</v>
      </c>
      <c r="J2186" s="8">
        <f>1303</f>
        <v>1303</v>
      </c>
      <c r="K2186" s="5" t="s">
        <v>308</v>
      </c>
      <c r="L2186" s="7">
        <f>1</f>
        <v>1</v>
      </c>
      <c r="M2186" s="7">
        <f>1</f>
        <v>1</v>
      </c>
      <c r="N2186" s="5" t="s">
        <v>242</v>
      </c>
      <c r="O2186" s="5">
        <v>1</v>
      </c>
      <c r="P2186" s="5" t="s">
        <v>294</v>
      </c>
      <c r="Q2186" s="5" t="s">
        <v>266</v>
      </c>
      <c r="R2186" s="5" t="s">
        <v>240</v>
      </c>
      <c r="S2186" s="5" t="s">
        <v>240</v>
      </c>
      <c r="T2186" s="5" t="s">
        <v>296</v>
      </c>
      <c r="U2186" s="5" t="s">
        <v>244</v>
      </c>
      <c r="V2186" s="5" t="s">
        <v>240</v>
      </c>
      <c r="Y2186" s="5" t="s">
        <v>240</v>
      </c>
      <c r="Z2186" s="6" t="s">
        <v>298</v>
      </c>
      <c r="AB2186" s="6" t="s">
        <v>240</v>
      </c>
      <c r="AE2186" s="6" t="s">
        <v>299</v>
      </c>
      <c r="AF2186" s="5" t="s">
        <v>248</v>
      </c>
      <c r="AG2186" s="5" t="s">
        <v>249</v>
      </c>
      <c r="AW2186" s="5" t="s">
        <v>251</v>
      </c>
      <c r="AX2186" s="5" t="s">
        <v>240</v>
      </c>
      <c r="AY2186" s="5" t="s">
        <v>253</v>
      </c>
      <c r="AZ2186" s="5" t="s">
        <v>240</v>
      </c>
      <c r="BA2186" s="5" t="s">
        <v>255</v>
      </c>
      <c r="BB2186" s="5" t="s">
        <v>240</v>
      </c>
      <c r="BD2186" s="5" t="s">
        <v>240</v>
      </c>
      <c r="BF2186" s="5" t="s">
        <v>301</v>
      </c>
      <c r="BG2186" s="6" t="s">
        <v>299</v>
      </c>
      <c r="BH2186" s="5" t="s">
        <v>302</v>
      </c>
      <c r="BI2186" s="5" t="s">
        <v>303</v>
      </c>
      <c r="BJ2186" s="5" t="s">
        <v>240</v>
      </c>
      <c r="BK2186" s="8">
        <f>0</f>
        <v>0</v>
      </c>
      <c r="BL2186" s="7">
        <f>0</f>
        <v>0</v>
      </c>
      <c r="BM2186" s="5" t="s">
        <v>258</v>
      </c>
      <c r="BN2186" s="5" t="s">
        <v>259</v>
      </c>
      <c r="CB2186" s="5" t="s">
        <v>240</v>
      </c>
      <c r="CC2186" s="5" t="s">
        <v>240</v>
      </c>
      <c r="CG2186" s="5" t="s">
        <v>304</v>
      </c>
      <c r="CH2186" s="5" t="s">
        <v>305</v>
      </c>
      <c r="CI2186" s="5" t="s">
        <v>240</v>
      </c>
      <c r="CL2186" s="6" t="s">
        <v>261</v>
      </c>
      <c r="CM2186" s="5" t="s">
        <v>240</v>
      </c>
      <c r="CN2186" s="5" t="s">
        <v>263</v>
      </c>
      <c r="CO2186" s="5" t="s">
        <v>240</v>
      </c>
      <c r="CP2186" s="5" t="s">
        <v>240</v>
      </c>
      <c r="CQ2186" s="5">
        <v>0</v>
      </c>
      <c r="CR2186" s="5" t="s">
        <v>306</v>
      </c>
      <c r="CS2186" s="5" t="s">
        <v>307</v>
      </c>
      <c r="CT2186" s="5" t="s">
        <v>307</v>
      </c>
      <c r="CU2186" s="5" t="s">
        <v>260</v>
      </c>
      <c r="CX2186" s="7">
        <f>1</f>
        <v>1</v>
      </c>
      <c r="CY2186" s="7">
        <f>0</f>
        <v>0</v>
      </c>
      <c r="DA2186" s="7">
        <f>0</f>
        <v>0</v>
      </c>
      <c r="DC2186" s="5" t="s">
        <v>812</v>
      </c>
      <c r="DD2186" s="5" t="s">
        <v>240</v>
      </c>
      <c r="DF2186" s="5" t="s">
        <v>812</v>
      </c>
      <c r="DG2186" s="7">
        <f>268</f>
        <v>268</v>
      </c>
      <c r="DI2186" s="5" t="s">
        <v>240</v>
      </c>
      <c r="DJ2186" s="5" t="s">
        <v>240</v>
      </c>
      <c r="DK2186" s="5" t="s">
        <v>240</v>
      </c>
      <c r="DL2186" s="5" t="s">
        <v>240</v>
      </c>
      <c r="DP2186" s="5" t="s">
        <v>240</v>
      </c>
      <c r="DQ2186" s="5" t="s">
        <v>240</v>
      </c>
      <c r="DR2186" s="5" t="s">
        <v>240</v>
      </c>
      <c r="DS2186" s="5" t="s">
        <v>240</v>
      </c>
      <c r="DV2186" s="5" t="s">
        <v>813</v>
      </c>
      <c r="DW2186" s="5" t="s">
        <v>641</v>
      </c>
      <c r="HO2186" s="5" t="s">
        <v>312</v>
      </c>
    </row>
    <row r="2187" spans="1:223" x14ac:dyDescent="0.4">
      <c r="A2187" s="5">
        <v>3891</v>
      </c>
      <c r="B2187" s="5">
        <v>1</v>
      </c>
      <c r="C2187" s="5">
        <v>1</v>
      </c>
      <c r="D2187" s="5" t="s">
        <v>810</v>
      </c>
      <c r="E2187" s="5" t="s">
        <v>245</v>
      </c>
      <c r="F2187" s="5" t="s">
        <v>254</v>
      </c>
      <c r="G2187" s="5" t="s">
        <v>240</v>
      </c>
      <c r="H2187" s="6" t="s">
        <v>4090</v>
      </c>
      <c r="I2187" s="5" t="s">
        <v>809</v>
      </c>
      <c r="J2187" s="8">
        <f>110</f>
        <v>110</v>
      </c>
      <c r="K2187" s="5" t="s">
        <v>308</v>
      </c>
      <c r="L2187" s="7">
        <f>1</f>
        <v>1</v>
      </c>
      <c r="M2187" s="7">
        <f>1</f>
        <v>1</v>
      </c>
      <c r="N2187" s="5" t="s">
        <v>242</v>
      </c>
      <c r="O2187" s="5">
        <v>1</v>
      </c>
      <c r="P2187" s="5" t="s">
        <v>294</v>
      </c>
      <c r="Q2187" s="5" t="s">
        <v>266</v>
      </c>
      <c r="R2187" s="5" t="s">
        <v>240</v>
      </c>
      <c r="S2187" s="5" t="s">
        <v>240</v>
      </c>
      <c r="T2187" s="5" t="s">
        <v>296</v>
      </c>
      <c r="U2187" s="5" t="s">
        <v>244</v>
      </c>
      <c r="V2187" s="5" t="s">
        <v>240</v>
      </c>
      <c r="Y2187" s="5" t="s">
        <v>240</v>
      </c>
      <c r="Z2187" s="6" t="s">
        <v>298</v>
      </c>
      <c r="AB2187" s="6" t="s">
        <v>240</v>
      </c>
      <c r="AE2187" s="6" t="s">
        <v>299</v>
      </c>
      <c r="AF2187" s="5" t="s">
        <v>248</v>
      </c>
      <c r="AG2187" s="5" t="s">
        <v>249</v>
      </c>
      <c r="AW2187" s="5" t="s">
        <v>251</v>
      </c>
      <c r="AX2187" s="5" t="s">
        <v>240</v>
      </c>
      <c r="AY2187" s="5" t="s">
        <v>253</v>
      </c>
      <c r="AZ2187" s="5" t="s">
        <v>240</v>
      </c>
      <c r="BA2187" s="5" t="s">
        <v>255</v>
      </c>
      <c r="BB2187" s="5" t="s">
        <v>240</v>
      </c>
      <c r="BD2187" s="5" t="s">
        <v>240</v>
      </c>
      <c r="BF2187" s="5" t="s">
        <v>301</v>
      </c>
      <c r="BG2187" s="6" t="s">
        <v>299</v>
      </c>
      <c r="BH2187" s="5" t="s">
        <v>302</v>
      </c>
      <c r="BI2187" s="5" t="s">
        <v>303</v>
      </c>
      <c r="BJ2187" s="5" t="s">
        <v>240</v>
      </c>
      <c r="BK2187" s="8">
        <f>0</f>
        <v>0</v>
      </c>
      <c r="BL2187" s="7">
        <f>0</f>
        <v>0</v>
      </c>
      <c r="BM2187" s="5" t="s">
        <v>258</v>
      </c>
      <c r="BN2187" s="5" t="s">
        <v>259</v>
      </c>
      <c r="CB2187" s="5" t="s">
        <v>240</v>
      </c>
      <c r="CC2187" s="5" t="s">
        <v>240</v>
      </c>
      <c r="CG2187" s="5" t="s">
        <v>304</v>
      </c>
      <c r="CH2187" s="5" t="s">
        <v>305</v>
      </c>
      <c r="CI2187" s="5" t="s">
        <v>240</v>
      </c>
      <c r="CL2187" s="6" t="s">
        <v>261</v>
      </c>
      <c r="CM2187" s="5" t="s">
        <v>240</v>
      </c>
      <c r="CN2187" s="5" t="s">
        <v>263</v>
      </c>
      <c r="CO2187" s="5" t="s">
        <v>240</v>
      </c>
      <c r="CP2187" s="5" t="s">
        <v>240</v>
      </c>
      <c r="CQ2187" s="5">
        <v>0</v>
      </c>
      <c r="CR2187" s="5" t="s">
        <v>306</v>
      </c>
      <c r="CS2187" s="5" t="s">
        <v>307</v>
      </c>
      <c r="CT2187" s="5" t="s">
        <v>307</v>
      </c>
      <c r="CU2187" s="5" t="s">
        <v>260</v>
      </c>
      <c r="CX2187" s="7">
        <f>1</f>
        <v>1</v>
      </c>
      <c r="CY2187" s="7">
        <f>0</f>
        <v>0</v>
      </c>
      <c r="DA2187" s="7">
        <f>0</f>
        <v>0</v>
      </c>
      <c r="DC2187" s="5" t="s">
        <v>812</v>
      </c>
      <c r="DD2187" s="5" t="s">
        <v>240</v>
      </c>
      <c r="DF2187" s="5" t="s">
        <v>812</v>
      </c>
      <c r="DG2187" s="7">
        <f>233</f>
        <v>233</v>
      </c>
      <c r="DI2187" s="5" t="s">
        <v>240</v>
      </c>
      <c r="DJ2187" s="5" t="s">
        <v>240</v>
      </c>
      <c r="DK2187" s="5" t="s">
        <v>240</v>
      </c>
      <c r="DL2187" s="5" t="s">
        <v>240</v>
      </c>
      <c r="DP2187" s="5" t="s">
        <v>240</v>
      </c>
      <c r="DQ2187" s="5" t="s">
        <v>240</v>
      </c>
      <c r="DR2187" s="5" t="s">
        <v>240</v>
      </c>
      <c r="DS2187" s="5" t="s">
        <v>240</v>
      </c>
      <c r="DV2187" s="5" t="s">
        <v>813</v>
      </c>
      <c r="DW2187" s="5" t="s">
        <v>643</v>
      </c>
      <c r="HO2187" s="5" t="s">
        <v>312</v>
      </c>
    </row>
    <row r="2188" spans="1:223" x14ac:dyDescent="0.4">
      <c r="A2188" s="5">
        <v>3892</v>
      </c>
      <c r="B2188" s="5">
        <v>1</v>
      </c>
      <c r="C2188" s="5">
        <v>1</v>
      </c>
      <c r="D2188" s="5" t="s">
        <v>810</v>
      </c>
      <c r="E2188" s="5" t="s">
        <v>245</v>
      </c>
      <c r="F2188" s="5" t="s">
        <v>254</v>
      </c>
      <c r="G2188" s="5" t="s">
        <v>240</v>
      </c>
      <c r="H2188" s="6" t="s">
        <v>4089</v>
      </c>
      <c r="I2188" s="5" t="s">
        <v>809</v>
      </c>
      <c r="J2188" s="8">
        <f>704</f>
        <v>704</v>
      </c>
      <c r="K2188" s="5" t="s">
        <v>308</v>
      </c>
      <c r="L2188" s="7">
        <f>1</f>
        <v>1</v>
      </c>
      <c r="M2188" s="7">
        <f>1</f>
        <v>1</v>
      </c>
      <c r="N2188" s="5" t="s">
        <v>242</v>
      </c>
      <c r="O2188" s="5">
        <v>1</v>
      </c>
      <c r="P2188" s="5" t="s">
        <v>294</v>
      </c>
      <c r="Q2188" s="5" t="s">
        <v>266</v>
      </c>
      <c r="R2188" s="5" t="s">
        <v>240</v>
      </c>
      <c r="S2188" s="5" t="s">
        <v>240</v>
      </c>
      <c r="T2188" s="5" t="s">
        <v>296</v>
      </c>
      <c r="U2188" s="5" t="s">
        <v>244</v>
      </c>
      <c r="V2188" s="5" t="s">
        <v>240</v>
      </c>
      <c r="Y2188" s="5" t="s">
        <v>240</v>
      </c>
      <c r="Z2188" s="6" t="s">
        <v>298</v>
      </c>
      <c r="AB2188" s="6" t="s">
        <v>240</v>
      </c>
      <c r="AE2188" s="6" t="s">
        <v>299</v>
      </c>
      <c r="AF2188" s="5" t="s">
        <v>248</v>
      </c>
      <c r="AG2188" s="5" t="s">
        <v>249</v>
      </c>
      <c r="AW2188" s="5" t="s">
        <v>251</v>
      </c>
      <c r="AX2188" s="5" t="s">
        <v>240</v>
      </c>
      <c r="AY2188" s="5" t="s">
        <v>253</v>
      </c>
      <c r="AZ2188" s="5" t="s">
        <v>240</v>
      </c>
      <c r="BA2188" s="5" t="s">
        <v>255</v>
      </c>
      <c r="BB2188" s="5" t="s">
        <v>240</v>
      </c>
      <c r="BD2188" s="5" t="s">
        <v>240</v>
      </c>
      <c r="BF2188" s="5" t="s">
        <v>301</v>
      </c>
      <c r="BG2188" s="6" t="s">
        <v>299</v>
      </c>
      <c r="BH2188" s="5" t="s">
        <v>302</v>
      </c>
      <c r="BI2188" s="5" t="s">
        <v>303</v>
      </c>
      <c r="BJ2188" s="5" t="s">
        <v>240</v>
      </c>
      <c r="BK2188" s="8">
        <f>0</f>
        <v>0</v>
      </c>
      <c r="BL2188" s="7">
        <f>0</f>
        <v>0</v>
      </c>
      <c r="BM2188" s="5" t="s">
        <v>258</v>
      </c>
      <c r="BN2188" s="5" t="s">
        <v>259</v>
      </c>
      <c r="CB2188" s="5" t="s">
        <v>240</v>
      </c>
      <c r="CC2188" s="5" t="s">
        <v>240</v>
      </c>
      <c r="CG2188" s="5" t="s">
        <v>304</v>
      </c>
      <c r="CH2188" s="5" t="s">
        <v>305</v>
      </c>
      <c r="CI2188" s="5" t="s">
        <v>240</v>
      </c>
      <c r="CL2188" s="6" t="s">
        <v>261</v>
      </c>
      <c r="CM2188" s="5" t="s">
        <v>240</v>
      </c>
      <c r="CN2188" s="5" t="s">
        <v>263</v>
      </c>
      <c r="CO2188" s="5" t="s">
        <v>240</v>
      </c>
      <c r="CP2188" s="5" t="s">
        <v>240</v>
      </c>
      <c r="CQ2188" s="5">
        <v>0</v>
      </c>
      <c r="CR2188" s="5" t="s">
        <v>306</v>
      </c>
      <c r="CS2188" s="5" t="s">
        <v>307</v>
      </c>
      <c r="CT2188" s="5" t="s">
        <v>307</v>
      </c>
      <c r="CU2188" s="5" t="s">
        <v>260</v>
      </c>
      <c r="CX2188" s="7">
        <f>1</f>
        <v>1</v>
      </c>
      <c r="CY2188" s="7">
        <f>0</f>
        <v>0</v>
      </c>
      <c r="DA2188" s="7">
        <f>0</f>
        <v>0</v>
      </c>
      <c r="DC2188" s="5" t="s">
        <v>812</v>
      </c>
      <c r="DD2188" s="5" t="s">
        <v>240</v>
      </c>
      <c r="DF2188" s="5" t="s">
        <v>812</v>
      </c>
      <c r="DG2188" s="7">
        <f>115</f>
        <v>115</v>
      </c>
      <c r="DI2188" s="5" t="s">
        <v>240</v>
      </c>
      <c r="DJ2188" s="5" t="s">
        <v>240</v>
      </c>
      <c r="DK2188" s="5" t="s">
        <v>240</v>
      </c>
      <c r="DL2188" s="5" t="s">
        <v>240</v>
      </c>
      <c r="DP2188" s="5" t="s">
        <v>240</v>
      </c>
      <c r="DQ2188" s="5" t="s">
        <v>240</v>
      </c>
      <c r="DR2188" s="5" t="s">
        <v>240</v>
      </c>
      <c r="DS2188" s="5" t="s">
        <v>240</v>
      </c>
      <c r="DV2188" s="5" t="s">
        <v>813</v>
      </c>
      <c r="DW2188" s="5" t="s">
        <v>645</v>
      </c>
      <c r="HO2188" s="5" t="s">
        <v>312</v>
      </c>
    </row>
    <row r="2189" spans="1:223" x14ac:dyDescent="0.4">
      <c r="A2189" s="5">
        <v>3893</v>
      </c>
      <c r="B2189" s="5">
        <v>1</v>
      </c>
      <c r="C2189" s="5">
        <v>1</v>
      </c>
      <c r="D2189" s="5" t="s">
        <v>810</v>
      </c>
      <c r="E2189" s="5" t="s">
        <v>245</v>
      </c>
      <c r="F2189" s="5" t="s">
        <v>254</v>
      </c>
      <c r="G2189" s="5" t="s">
        <v>240</v>
      </c>
      <c r="H2189" s="6" t="s">
        <v>4088</v>
      </c>
      <c r="I2189" s="5" t="s">
        <v>809</v>
      </c>
      <c r="J2189" s="8">
        <f>308</f>
        <v>308</v>
      </c>
      <c r="K2189" s="5" t="s">
        <v>308</v>
      </c>
      <c r="L2189" s="7">
        <f>1</f>
        <v>1</v>
      </c>
      <c r="M2189" s="7">
        <f>1</f>
        <v>1</v>
      </c>
      <c r="N2189" s="5" t="s">
        <v>242</v>
      </c>
      <c r="O2189" s="5">
        <v>1</v>
      </c>
      <c r="P2189" s="5" t="s">
        <v>294</v>
      </c>
      <c r="Q2189" s="5" t="s">
        <v>266</v>
      </c>
      <c r="R2189" s="5" t="s">
        <v>240</v>
      </c>
      <c r="S2189" s="5" t="s">
        <v>240</v>
      </c>
      <c r="T2189" s="5" t="s">
        <v>296</v>
      </c>
      <c r="U2189" s="5" t="s">
        <v>244</v>
      </c>
      <c r="V2189" s="5" t="s">
        <v>240</v>
      </c>
      <c r="Y2189" s="5" t="s">
        <v>240</v>
      </c>
      <c r="Z2189" s="6" t="s">
        <v>298</v>
      </c>
      <c r="AB2189" s="6" t="s">
        <v>240</v>
      </c>
      <c r="AE2189" s="6" t="s">
        <v>299</v>
      </c>
      <c r="AF2189" s="5" t="s">
        <v>248</v>
      </c>
      <c r="AG2189" s="5" t="s">
        <v>249</v>
      </c>
      <c r="AW2189" s="5" t="s">
        <v>251</v>
      </c>
      <c r="AX2189" s="5" t="s">
        <v>240</v>
      </c>
      <c r="AY2189" s="5" t="s">
        <v>253</v>
      </c>
      <c r="AZ2189" s="5" t="s">
        <v>240</v>
      </c>
      <c r="BA2189" s="5" t="s">
        <v>255</v>
      </c>
      <c r="BB2189" s="5" t="s">
        <v>240</v>
      </c>
      <c r="BD2189" s="5" t="s">
        <v>240</v>
      </c>
      <c r="BF2189" s="5" t="s">
        <v>301</v>
      </c>
      <c r="BG2189" s="6" t="s">
        <v>299</v>
      </c>
      <c r="BH2189" s="5" t="s">
        <v>302</v>
      </c>
      <c r="BI2189" s="5" t="s">
        <v>303</v>
      </c>
      <c r="BJ2189" s="5" t="s">
        <v>240</v>
      </c>
      <c r="BK2189" s="8">
        <f>0</f>
        <v>0</v>
      </c>
      <c r="BL2189" s="7">
        <f>0</f>
        <v>0</v>
      </c>
      <c r="BM2189" s="5" t="s">
        <v>258</v>
      </c>
      <c r="BN2189" s="5" t="s">
        <v>259</v>
      </c>
      <c r="CB2189" s="5" t="s">
        <v>240</v>
      </c>
      <c r="CC2189" s="5" t="s">
        <v>240</v>
      </c>
      <c r="CG2189" s="5" t="s">
        <v>304</v>
      </c>
      <c r="CH2189" s="5" t="s">
        <v>305</v>
      </c>
      <c r="CI2189" s="5" t="s">
        <v>240</v>
      </c>
      <c r="CL2189" s="6" t="s">
        <v>261</v>
      </c>
      <c r="CM2189" s="5" t="s">
        <v>240</v>
      </c>
      <c r="CN2189" s="5" t="s">
        <v>263</v>
      </c>
      <c r="CO2189" s="5" t="s">
        <v>240</v>
      </c>
      <c r="CP2189" s="5" t="s">
        <v>240</v>
      </c>
      <c r="CQ2189" s="5">
        <v>0</v>
      </c>
      <c r="CR2189" s="5" t="s">
        <v>306</v>
      </c>
      <c r="CS2189" s="5" t="s">
        <v>307</v>
      </c>
      <c r="CT2189" s="5" t="s">
        <v>307</v>
      </c>
      <c r="CU2189" s="5" t="s">
        <v>260</v>
      </c>
      <c r="CX2189" s="7">
        <f>1</f>
        <v>1</v>
      </c>
      <c r="CY2189" s="7">
        <f>0</f>
        <v>0</v>
      </c>
      <c r="DA2189" s="7">
        <f>0</f>
        <v>0</v>
      </c>
      <c r="DC2189" s="5" t="s">
        <v>812</v>
      </c>
      <c r="DD2189" s="5" t="s">
        <v>240</v>
      </c>
      <c r="DF2189" s="5" t="s">
        <v>812</v>
      </c>
      <c r="DG2189" s="7">
        <f>2010</f>
        <v>2010</v>
      </c>
      <c r="DI2189" s="5" t="s">
        <v>240</v>
      </c>
      <c r="DJ2189" s="5" t="s">
        <v>240</v>
      </c>
      <c r="DK2189" s="5" t="s">
        <v>240</v>
      </c>
      <c r="DL2189" s="5" t="s">
        <v>240</v>
      </c>
      <c r="DP2189" s="5" t="s">
        <v>240</v>
      </c>
      <c r="DQ2189" s="5" t="s">
        <v>240</v>
      </c>
      <c r="DR2189" s="5" t="s">
        <v>240</v>
      </c>
      <c r="DS2189" s="5" t="s">
        <v>240</v>
      </c>
      <c r="DV2189" s="5" t="s">
        <v>813</v>
      </c>
      <c r="DW2189" s="5" t="s">
        <v>647</v>
      </c>
      <c r="HO2189" s="5" t="s">
        <v>312</v>
      </c>
    </row>
    <row r="2190" spans="1:223" x14ac:dyDescent="0.4">
      <c r="A2190" s="5">
        <v>3894</v>
      </c>
      <c r="B2190" s="5">
        <v>1</v>
      </c>
      <c r="C2190" s="5">
        <v>1</v>
      </c>
      <c r="D2190" s="5" t="s">
        <v>810</v>
      </c>
      <c r="E2190" s="5" t="s">
        <v>245</v>
      </c>
      <c r="F2190" s="5" t="s">
        <v>254</v>
      </c>
      <c r="G2190" s="5" t="s">
        <v>240</v>
      </c>
      <c r="H2190" s="6" t="s">
        <v>4087</v>
      </c>
      <c r="I2190" s="5" t="s">
        <v>809</v>
      </c>
      <c r="J2190" s="8">
        <f>29</f>
        <v>29</v>
      </c>
      <c r="K2190" s="5" t="s">
        <v>308</v>
      </c>
      <c r="L2190" s="7">
        <f>1</f>
        <v>1</v>
      </c>
      <c r="M2190" s="7">
        <f>1</f>
        <v>1</v>
      </c>
      <c r="N2190" s="5" t="s">
        <v>242</v>
      </c>
      <c r="O2190" s="5">
        <v>1</v>
      </c>
      <c r="P2190" s="5" t="s">
        <v>294</v>
      </c>
      <c r="Q2190" s="5" t="s">
        <v>613</v>
      </c>
      <c r="R2190" s="5" t="s">
        <v>240</v>
      </c>
      <c r="S2190" s="5" t="s">
        <v>240</v>
      </c>
      <c r="T2190" s="5" t="s">
        <v>243</v>
      </c>
      <c r="U2190" s="5" t="s">
        <v>724</v>
      </c>
      <c r="V2190" s="5" t="s">
        <v>240</v>
      </c>
      <c r="Y2190" s="5" t="s">
        <v>240</v>
      </c>
      <c r="Z2190" s="6" t="s">
        <v>298</v>
      </c>
      <c r="AB2190" s="6" t="s">
        <v>240</v>
      </c>
      <c r="AE2190" s="6" t="s">
        <v>299</v>
      </c>
      <c r="AF2190" s="5" t="s">
        <v>248</v>
      </c>
      <c r="AG2190" s="5" t="s">
        <v>249</v>
      </c>
      <c r="AW2190" s="5" t="s">
        <v>251</v>
      </c>
      <c r="AX2190" s="5" t="s">
        <v>240</v>
      </c>
      <c r="AY2190" s="5" t="s">
        <v>253</v>
      </c>
      <c r="AZ2190" s="5" t="s">
        <v>240</v>
      </c>
      <c r="BA2190" s="5" t="s">
        <v>255</v>
      </c>
      <c r="BB2190" s="5" t="s">
        <v>240</v>
      </c>
      <c r="BD2190" s="5" t="s">
        <v>240</v>
      </c>
      <c r="BF2190" s="5" t="s">
        <v>301</v>
      </c>
      <c r="BG2190" s="6" t="s">
        <v>299</v>
      </c>
      <c r="BH2190" s="5" t="s">
        <v>302</v>
      </c>
      <c r="BI2190" s="5" t="s">
        <v>303</v>
      </c>
      <c r="BJ2190" s="5" t="s">
        <v>240</v>
      </c>
      <c r="BK2190" s="8">
        <f>0</f>
        <v>0</v>
      </c>
      <c r="BL2190" s="7">
        <f>0</f>
        <v>0</v>
      </c>
      <c r="BM2190" s="5" t="s">
        <v>258</v>
      </c>
      <c r="BN2190" s="5" t="s">
        <v>259</v>
      </c>
      <c r="CB2190" s="5" t="s">
        <v>240</v>
      </c>
      <c r="CC2190" s="5" t="s">
        <v>240</v>
      </c>
      <c r="CG2190" s="5" t="s">
        <v>617</v>
      </c>
      <c r="CH2190" s="5" t="s">
        <v>305</v>
      </c>
      <c r="CI2190" s="5" t="s">
        <v>240</v>
      </c>
      <c r="CL2190" s="6" t="s">
        <v>261</v>
      </c>
      <c r="CM2190" s="5" t="s">
        <v>240</v>
      </c>
      <c r="CN2190" s="5" t="s">
        <v>263</v>
      </c>
      <c r="CO2190" s="5" t="s">
        <v>240</v>
      </c>
      <c r="CP2190" s="5" t="s">
        <v>240</v>
      </c>
      <c r="CQ2190" s="5">
        <v>0</v>
      </c>
      <c r="CR2190" s="5" t="s">
        <v>306</v>
      </c>
      <c r="CS2190" s="5" t="s">
        <v>307</v>
      </c>
      <c r="CT2190" s="5" t="s">
        <v>307</v>
      </c>
      <c r="CU2190" s="5" t="s">
        <v>260</v>
      </c>
      <c r="CX2190" s="7">
        <f>4125</f>
        <v>4125</v>
      </c>
      <c r="CY2190" s="7">
        <f>0</f>
        <v>0</v>
      </c>
      <c r="DA2190" s="7">
        <f>0</f>
        <v>0</v>
      </c>
      <c r="DC2190" s="5" t="s">
        <v>854</v>
      </c>
      <c r="DD2190" s="5" t="s">
        <v>240</v>
      </c>
      <c r="DF2190" s="5" t="s">
        <v>450</v>
      </c>
      <c r="DG2190" s="7">
        <f>0</f>
        <v>0</v>
      </c>
      <c r="DI2190" s="5" t="s">
        <v>737</v>
      </c>
      <c r="DJ2190" s="5" t="s">
        <v>240</v>
      </c>
      <c r="DK2190" s="5" t="s">
        <v>240</v>
      </c>
      <c r="DL2190" s="5" t="s">
        <v>240</v>
      </c>
      <c r="DP2190" s="5" t="s">
        <v>240</v>
      </c>
      <c r="DQ2190" s="5" t="s">
        <v>240</v>
      </c>
      <c r="DR2190" s="5" t="s">
        <v>240</v>
      </c>
      <c r="DS2190" s="5" t="s">
        <v>240</v>
      </c>
      <c r="DV2190" s="5" t="s">
        <v>957</v>
      </c>
      <c r="DW2190" s="5" t="s">
        <v>546</v>
      </c>
      <c r="HO2190" s="5" t="s">
        <v>312</v>
      </c>
    </row>
    <row r="2191" spans="1:223" x14ac:dyDescent="0.4">
      <c r="A2191" s="5">
        <v>3895</v>
      </c>
      <c r="B2191" s="5">
        <v>1</v>
      </c>
      <c r="C2191" s="5">
        <v>1</v>
      </c>
      <c r="D2191" s="5" t="s">
        <v>810</v>
      </c>
      <c r="E2191" s="5" t="s">
        <v>245</v>
      </c>
      <c r="F2191" s="5" t="s">
        <v>254</v>
      </c>
      <c r="G2191" s="5" t="s">
        <v>240</v>
      </c>
      <c r="H2191" s="6" t="s">
        <v>4086</v>
      </c>
      <c r="I2191" s="5" t="s">
        <v>809</v>
      </c>
      <c r="J2191" s="8">
        <f>143</f>
        <v>143</v>
      </c>
      <c r="K2191" s="5" t="s">
        <v>308</v>
      </c>
      <c r="L2191" s="7">
        <f>1</f>
        <v>1</v>
      </c>
      <c r="M2191" s="7">
        <f>1</f>
        <v>1</v>
      </c>
      <c r="N2191" s="5" t="s">
        <v>242</v>
      </c>
      <c r="O2191" s="5">
        <v>1</v>
      </c>
      <c r="P2191" s="5" t="s">
        <v>294</v>
      </c>
      <c r="Q2191" s="5" t="s">
        <v>266</v>
      </c>
      <c r="R2191" s="5" t="s">
        <v>240</v>
      </c>
      <c r="S2191" s="5" t="s">
        <v>240</v>
      </c>
      <c r="T2191" s="5" t="s">
        <v>296</v>
      </c>
      <c r="U2191" s="5" t="s">
        <v>244</v>
      </c>
      <c r="V2191" s="5" t="s">
        <v>240</v>
      </c>
      <c r="Y2191" s="5" t="s">
        <v>240</v>
      </c>
      <c r="Z2191" s="6" t="s">
        <v>298</v>
      </c>
      <c r="AB2191" s="6" t="s">
        <v>240</v>
      </c>
      <c r="AE2191" s="6" t="s">
        <v>299</v>
      </c>
      <c r="AF2191" s="5" t="s">
        <v>248</v>
      </c>
      <c r="AG2191" s="5" t="s">
        <v>249</v>
      </c>
      <c r="AW2191" s="5" t="s">
        <v>251</v>
      </c>
      <c r="AX2191" s="5" t="s">
        <v>240</v>
      </c>
      <c r="AY2191" s="5" t="s">
        <v>253</v>
      </c>
      <c r="AZ2191" s="5" t="s">
        <v>240</v>
      </c>
      <c r="BA2191" s="5" t="s">
        <v>255</v>
      </c>
      <c r="BB2191" s="5" t="s">
        <v>240</v>
      </c>
      <c r="BD2191" s="5" t="s">
        <v>240</v>
      </c>
      <c r="BF2191" s="5" t="s">
        <v>301</v>
      </c>
      <c r="BG2191" s="6" t="s">
        <v>299</v>
      </c>
      <c r="BH2191" s="5" t="s">
        <v>302</v>
      </c>
      <c r="BI2191" s="5" t="s">
        <v>303</v>
      </c>
      <c r="BJ2191" s="5" t="s">
        <v>240</v>
      </c>
      <c r="BK2191" s="8">
        <f>0</f>
        <v>0</v>
      </c>
      <c r="BL2191" s="7">
        <f>0</f>
        <v>0</v>
      </c>
      <c r="BM2191" s="5" t="s">
        <v>258</v>
      </c>
      <c r="BN2191" s="5" t="s">
        <v>259</v>
      </c>
      <c r="CB2191" s="5" t="s">
        <v>240</v>
      </c>
      <c r="CC2191" s="5" t="s">
        <v>240</v>
      </c>
      <c r="CG2191" s="5" t="s">
        <v>304</v>
      </c>
      <c r="CH2191" s="5" t="s">
        <v>305</v>
      </c>
      <c r="CI2191" s="5" t="s">
        <v>240</v>
      </c>
      <c r="CL2191" s="6" t="s">
        <v>261</v>
      </c>
      <c r="CM2191" s="5" t="s">
        <v>240</v>
      </c>
      <c r="CN2191" s="5" t="s">
        <v>263</v>
      </c>
      <c r="CO2191" s="5" t="s">
        <v>240</v>
      </c>
      <c r="CP2191" s="5" t="s">
        <v>240</v>
      </c>
      <c r="CQ2191" s="5">
        <v>0</v>
      </c>
      <c r="CR2191" s="5" t="s">
        <v>306</v>
      </c>
      <c r="CS2191" s="5" t="s">
        <v>307</v>
      </c>
      <c r="CT2191" s="5" t="s">
        <v>307</v>
      </c>
      <c r="CU2191" s="5" t="s">
        <v>260</v>
      </c>
      <c r="CX2191" s="7">
        <f>1</f>
        <v>1</v>
      </c>
      <c r="CY2191" s="7">
        <f>0</f>
        <v>0</v>
      </c>
      <c r="DA2191" s="7">
        <f>0</f>
        <v>0</v>
      </c>
      <c r="DC2191" s="5" t="s">
        <v>812</v>
      </c>
      <c r="DD2191" s="5" t="s">
        <v>240</v>
      </c>
      <c r="DF2191" s="5" t="s">
        <v>812</v>
      </c>
      <c r="DG2191" s="7">
        <f>787</f>
        <v>787</v>
      </c>
      <c r="DI2191" s="5" t="s">
        <v>240</v>
      </c>
      <c r="DJ2191" s="5" t="s">
        <v>240</v>
      </c>
      <c r="DK2191" s="5" t="s">
        <v>240</v>
      </c>
      <c r="DL2191" s="5" t="s">
        <v>240</v>
      </c>
      <c r="DP2191" s="5" t="s">
        <v>240</v>
      </c>
      <c r="DQ2191" s="5" t="s">
        <v>240</v>
      </c>
      <c r="DR2191" s="5" t="s">
        <v>240</v>
      </c>
      <c r="DS2191" s="5" t="s">
        <v>240</v>
      </c>
      <c r="DV2191" s="5" t="s">
        <v>813</v>
      </c>
      <c r="DW2191" s="5" t="s">
        <v>249</v>
      </c>
      <c r="HO2191" s="5" t="s">
        <v>312</v>
      </c>
    </row>
    <row r="2192" spans="1:223" x14ac:dyDescent="0.4">
      <c r="A2192" s="5">
        <v>3896</v>
      </c>
      <c r="B2192" s="5">
        <v>1</v>
      </c>
      <c r="C2192" s="5">
        <v>1</v>
      </c>
      <c r="D2192" s="5" t="s">
        <v>810</v>
      </c>
      <c r="E2192" s="5" t="s">
        <v>245</v>
      </c>
      <c r="F2192" s="5" t="s">
        <v>254</v>
      </c>
      <c r="G2192" s="5" t="s">
        <v>240</v>
      </c>
      <c r="H2192" s="6" t="s">
        <v>4085</v>
      </c>
      <c r="I2192" s="5" t="s">
        <v>809</v>
      </c>
      <c r="J2192" s="8">
        <f>696</f>
        <v>696</v>
      </c>
      <c r="K2192" s="5" t="s">
        <v>308</v>
      </c>
      <c r="L2192" s="7">
        <f>1</f>
        <v>1</v>
      </c>
      <c r="M2192" s="7">
        <f>1</f>
        <v>1</v>
      </c>
      <c r="N2192" s="5" t="s">
        <v>242</v>
      </c>
      <c r="O2192" s="5">
        <v>1</v>
      </c>
      <c r="P2192" s="5" t="s">
        <v>294</v>
      </c>
      <c r="Q2192" s="5" t="s">
        <v>266</v>
      </c>
      <c r="R2192" s="5" t="s">
        <v>240</v>
      </c>
      <c r="S2192" s="5" t="s">
        <v>240</v>
      </c>
      <c r="T2192" s="5" t="s">
        <v>296</v>
      </c>
      <c r="U2192" s="5" t="s">
        <v>244</v>
      </c>
      <c r="V2192" s="5" t="s">
        <v>240</v>
      </c>
      <c r="Y2192" s="5" t="s">
        <v>240</v>
      </c>
      <c r="Z2192" s="6" t="s">
        <v>298</v>
      </c>
      <c r="AB2192" s="6" t="s">
        <v>240</v>
      </c>
      <c r="AE2192" s="6" t="s">
        <v>299</v>
      </c>
      <c r="AF2192" s="5" t="s">
        <v>248</v>
      </c>
      <c r="AG2192" s="5" t="s">
        <v>249</v>
      </c>
      <c r="AW2192" s="5" t="s">
        <v>251</v>
      </c>
      <c r="AX2192" s="5" t="s">
        <v>240</v>
      </c>
      <c r="AY2192" s="5" t="s">
        <v>253</v>
      </c>
      <c r="AZ2192" s="5" t="s">
        <v>240</v>
      </c>
      <c r="BA2192" s="5" t="s">
        <v>255</v>
      </c>
      <c r="BB2192" s="5" t="s">
        <v>240</v>
      </c>
      <c r="BD2192" s="5" t="s">
        <v>240</v>
      </c>
      <c r="BF2192" s="5" t="s">
        <v>301</v>
      </c>
      <c r="BG2192" s="6" t="s">
        <v>299</v>
      </c>
      <c r="BH2192" s="5" t="s">
        <v>302</v>
      </c>
      <c r="BI2192" s="5" t="s">
        <v>303</v>
      </c>
      <c r="BJ2192" s="5" t="s">
        <v>240</v>
      </c>
      <c r="BK2192" s="8">
        <f>0</f>
        <v>0</v>
      </c>
      <c r="BL2192" s="7">
        <f>0</f>
        <v>0</v>
      </c>
      <c r="BM2192" s="5" t="s">
        <v>258</v>
      </c>
      <c r="BN2192" s="5" t="s">
        <v>259</v>
      </c>
      <c r="CB2192" s="5" t="s">
        <v>240</v>
      </c>
      <c r="CC2192" s="5" t="s">
        <v>240</v>
      </c>
      <c r="CG2192" s="5" t="s">
        <v>304</v>
      </c>
      <c r="CH2192" s="5" t="s">
        <v>305</v>
      </c>
      <c r="CI2192" s="5" t="s">
        <v>240</v>
      </c>
      <c r="CL2192" s="6" t="s">
        <v>261</v>
      </c>
      <c r="CM2192" s="5" t="s">
        <v>240</v>
      </c>
      <c r="CN2192" s="5" t="s">
        <v>263</v>
      </c>
      <c r="CO2192" s="5" t="s">
        <v>240</v>
      </c>
      <c r="CP2192" s="5" t="s">
        <v>240</v>
      </c>
      <c r="CQ2192" s="5">
        <v>0</v>
      </c>
      <c r="CR2192" s="5" t="s">
        <v>306</v>
      </c>
      <c r="CS2192" s="5" t="s">
        <v>307</v>
      </c>
      <c r="CT2192" s="5" t="s">
        <v>307</v>
      </c>
      <c r="CU2192" s="5" t="s">
        <v>260</v>
      </c>
      <c r="CX2192" s="7">
        <f>1</f>
        <v>1</v>
      </c>
      <c r="CY2192" s="7">
        <f>0</f>
        <v>0</v>
      </c>
      <c r="DA2192" s="7">
        <f>0</f>
        <v>0</v>
      </c>
      <c r="DC2192" s="5" t="s">
        <v>812</v>
      </c>
      <c r="DD2192" s="5" t="s">
        <v>240</v>
      </c>
      <c r="DF2192" s="5" t="s">
        <v>812</v>
      </c>
      <c r="DG2192" s="7">
        <f>2479</f>
        <v>2479</v>
      </c>
      <c r="DI2192" s="5" t="s">
        <v>240</v>
      </c>
      <c r="DJ2192" s="5" t="s">
        <v>240</v>
      </c>
      <c r="DK2192" s="5" t="s">
        <v>240</v>
      </c>
      <c r="DL2192" s="5" t="s">
        <v>240</v>
      </c>
      <c r="DP2192" s="5" t="s">
        <v>240</v>
      </c>
      <c r="DQ2192" s="5" t="s">
        <v>240</v>
      </c>
      <c r="DR2192" s="5" t="s">
        <v>240</v>
      </c>
      <c r="DS2192" s="5" t="s">
        <v>240</v>
      </c>
      <c r="DV2192" s="5" t="s">
        <v>813</v>
      </c>
      <c r="DW2192" s="5" t="s">
        <v>652</v>
      </c>
      <c r="HO2192" s="5" t="s">
        <v>312</v>
      </c>
    </row>
    <row r="2193" spans="1:223" x14ac:dyDescent="0.4">
      <c r="A2193" s="5">
        <v>3897</v>
      </c>
      <c r="B2193" s="5">
        <v>1</v>
      </c>
      <c r="C2193" s="5">
        <v>1</v>
      </c>
      <c r="D2193" s="5" t="s">
        <v>810</v>
      </c>
      <c r="E2193" s="5" t="s">
        <v>245</v>
      </c>
      <c r="F2193" s="5" t="s">
        <v>254</v>
      </c>
      <c r="G2193" s="5" t="s">
        <v>240</v>
      </c>
      <c r="H2193" s="6" t="s">
        <v>4084</v>
      </c>
      <c r="I2193" s="5" t="s">
        <v>809</v>
      </c>
      <c r="J2193" s="8">
        <f>428</f>
        <v>428</v>
      </c>
      <c r="K2193" s="5" t="s">
        <v>308</v>
      </c>
      <c r="L2193" s="7">
        <f>1</f>
        <v>1</v>
      </c>
      <c r="M2193" s="7">
        <f>1</f>
        <v>1</v>
      </c>
      <c r="N2193" s="5" t="s">
        <v>242</v>
      </c>
      <c r="O2193" s="5">
        <v>1</v>
      </c>
      <c r="P2193" s="5" t="s">
        <v>294</v>
      </c>
      <c r="Q2193" s="5" t="s">
        <v>266</v>
      </c>
      <c r="R2193" s="5" t="s">
        <v>240</v>
      </c>
      <c r="S2193" s="5" t="s">
        <v>240</v>
      </c>
      <c r="T2193" s="5" t="s">
        <v>296</v>
      </c>
      <c r="U2193" s="5" t="s">
        <v>244</v>
      </c>
      <c r="V2193" s="5" t="s">
        <v>240</v>
      </c>
      <c r="Y2193" s="5" t="s">
        <v>240</v>
      </c>
      <c r="Z2193" s="6" t="s">
        <v>298</v>
      </c>
      <c r="AB2193" s="6" t="s">
        <v>240</v>
      </c>
      <c r="AE2193" s="6" t="s">
        <v>299</v>
      </c>
      <c r="AF2193" s="5" t="s">
        <v>248</v>
      </c>
      <c r="AG2193" s="5" t="s">
        <v>249</v>
      </c>
      <c r="AW2193" s="5" t="s">
        <v>251</v>
      </c>
      <c r="AX2193" s="5" t="s">
        <v>240</v>
      </c>
      <c r="AY2193" s="5" t="s">
        <v>253</v>
      </c>
      <c r="AZ2193" s="5" t="s">
        <v>240</v>
      </c>
      <c r="BA2193" s="5" t="s">
        <v>255</v>
      </c>
      <c r="BB2193" s="5" t="s">
        <v>240</v>
      </c>
      <c r="BD2193" s="5" t="s">
        <v>240</v>
      </c>
      <c r="BF2193" s="5" t="s">
        <v>301</v>
      </c>
      <c r="BG2193" s="6" t="s">
        <v>299</v>
      </c>
      <c r="BH2193" s="5" t="s">
        <v>302</v>
      </c>
      <c r="BI2193" s="5" t="s">
        <v>303</v>
      </c>
      <c r="BJ2193" s="5" t="s">
        <v>240</v>
      </c>
      <c r="BK2193" s="8">
        <f>0</f>
        <v>0</v>
      </c>
      <c r="BL2193" s="7">
        <f>0</f>
        <v>0</v>
      </c>
      <c r="BM2193" s="5" t="s">
        <v>258</v>
      </c>
      <c r="BN2193" s="5" t="s">
        <v>259</v>
      </c>
      <c r="CB2193" s="5" t="s">
        <v>240</v>
      </c>
      <c r="CC2193" s="5" t="s">
        <v>240</v>
      </c>
      <c r="CG2193" s="5" t="s">
        <v>304</v>
      </c>
      <c r="CH2193" s="5" t="s">
        <v>305</v>
      </c>
      <c r="CI2193" s="5" t="s">
        <v>240</v>
      </c>
      <c r="CL2193" s="6" t="s">
        <v>261</v>
      </c>
      <c r="CM2193" s="5" t="s">
        <v>240</v>
      </c>
      <c r="CN2193" s="5" t="s">
        <v>263</v>
      </c>
      <c r="CO2193" s="5" t="s">
        <v>240</v>
      </c>
      <c r="CP2193" s="5" t="s">
        <v>240</v>
      </c>
      <c r="CQ2193" s="5">
        <v>0</v>
      </c>
      <c r="CR2193" s="5" t="s">
        <v>306</v>
      </c>
      <c r="CS2193" s="5" t="s">
        <v>307</v>
      </c>
      <c r="CT2193" s="5" t="s">
        <v>307</v>
      </c>
      <c r="CU2193" s="5" t="s">
        <v>260</v>
      </c>
      <c r="CX2193" s="7">
        <f>1</f>
        <v>1</v>
      </c>
      <c r="CY2193" s="7">
        <f>0</f>
        <v>0</v>
      </c>
      <c r="DA2193" s="7">
        <f>0</f>
        <v>0</v>
      </c>
      <c r="DC2193" s="5" t="s">
        <v>812</v>
      </c>
      <c r="DD2193" s="5" t="s">
        <v>240</v>
      </c>
      <c r="DF2193" s="5" t="s">
        <v>812</v>
      </c>
      <c r="DG2193" s="7">
        <f>3258</f>
        <v>3258</v>
      </c>
      <c r="DI2193" s="5" t="s">
        <v>240</v>
      </c>
      <c r="DJ2193" s="5" t="s">
        <v>240</v>
      </c>
      <c r="DK2193" s="5" t="s">
        <v>240</v>
      </c>
      <c r="DL2193" s="5" t="s">
        <v>240</v>
      </c>
      <c r="DP2193" s="5" t="s">
        <v>240</v>
      </c>
      <c r="DQ2193" s="5" t="s">
        <v>240</v>
      </c>
      <c r="DR2193" s="5" t="s">
        <v>240</v>
      </c>
      <c r="DS2193" s="5" t="s">
        <v>240</v>
      </c>
      <c r="DV2193" s="5" t="s">
        <v>813</v>
      </c>
      <c r="DW2193" s="5" t="s">
        <v>654</v>
      </c>
      <c r="HO2193" s="5" t="s">
        <v>312</v>
      </c>
    </row>
    <row r="2194" spans="1:223" x14ac:dyDescent="0.4">
      <c r="A2194" s="5">
        <v>3898</v>
      </c>
      <c r="B2194" s="5">
        <v>1</v>
      </c>
      <c r="C2194" s="5">
        <v>1</v>
      </c>
      <c r="D2194" s="5" t="s">
        <v>810</v>
      </c>
      <c r="E2194" s="5" t="s">
        <v>245</v>
      </c>
      <c r="F2194" s="5" t="s">
        <v>254</v>
      </c>
      <c r="G2194" s="5" t="s">
        <v>240</v>
      </c>
      <c r="H2194" s="6" t="s">
        <v>4083</v>
      </c>
      <c r="I2194" s="5" t="s">
        <v>809</v>
      </c>
      <c r="J2194" s="8">
        <f>113</f>
        <v>113</v>
      </c>
      <c r="K2194" s="5" t="s">
        <v>308</v>
      </c>
      <c r="L2194" s="7">
        <f>1</f>
        <v>1</v>
      </c>
      <c r="M2194" s="7">
        <f>1</f>
        <v>1</v>
      </c>
      <c r="N2194" s="5" t="s">
        <v>242</v>
      </c>
      <c r="O2194" s="5">
        <v>1</v>
      </c>
      <c r="P2194" s="5" t="s">
        <v>294</v>
      </c>
      <c r="Q2194" s="5" t="s">
        <v>266</v>
      </c>
      <c r="R2194" s="5" t="s">
        <v>240</v>
      </c>
      <c r="S2194" s="5" t="s">
        <v>240</v>
      </c>
      <c r="T2194" s="5" t="s">
        <v>296</v>
      </c>
      <c r="U2194" s="5" t="s">
        <v>244</v>
      </c>
      <c r="V2194" s="5" t="s">
        <v>240</v>
      </c>
      <c r="Y2194" s="5" t="s">
        <v>240</v>
      </c>
      <c r="Z2194" s="6" t="s">
        <v>298</v>
      </c>
      <c r="AB2194" s="6" t="s">
        <v>240</v>
      </c>
      <c r="AE2194" s="6" t="s">
        <v>299</v>
      </c>
      <c r="AF2194" s="5" t="s">
        <v>248</v>
      </c>
      <c r="AG2194" s="5" t="s">
        <v>249</v>
      </c>
      <c r="AW2194" s="5" t="s">
        <v>251</v>
      </c>
      <c r="AX2194" s="5" t="s">
        <v>240</v>
      </c>
      <c r="AY2194" s="5" t="s">
        <v>253</v>
      </c>
      <c r="AZ2194" s="5" t="s">
        <v>240</v>
      </c>
      <c r="BA2194" s="5" t="s">
        <v>255</v>
      </c>
      <c r="BB2194" s="5" t="s">
        <v>240</v>
      </c>
      <c r="BD2194" s="5" t="s">
        <v>240</v>
      </c>
      <c r="BF2194" s="5" t="s">
        <v>301</v>
      </c>
      <c r="BG2194" s="6" t="s">
        <v>299</v>
      </c>
      <c r="BH2194" s="5" t="s">
        <v>302</v>
      </c>
      <c r="BI2194" s="5" t="s">
        <v>303</v>
      </c>
      <c r="BJ2194" s="5" t="s">
        <v>240</v>
      </c>
      <c r="BK2194" s="8">
        <f>0</f>
        <v>0</v>
      </c>
      <c r="BL2194" s="7">
        <f>0</f>
        <v>0</v>
      </c>
      <c r="BM2194" s="5" t="s">
        <v>258</v>
      </c>
      <c r="BN2194" s="5" t="s">
        <v>259</v>
      </c>
      <c r="CB2194" s="5" t="s">
        <v>240</v>
      </c>
      <c r="CC2194" s="5" t="s">
        <v>240</v>
      </c>
      <c r="CG2194" s="5" t="s">
        <v>304</v>
      </c>
      <c r="CH2194" s="5" t="s">
        <v>305</v>
      </c>
      <c r="CI2194" s="5" t="s">
        <v>240</v>
      </c>
      <c r="CL2194" s="6" t="s">
        <v>261</v>
      </c>
      <c r="CM2194" s="5" t="s">
        <v>240</v>
      </c>
      <c r="CN2194" s="5" t="s">
        <v>263</v>
      </c>
      <c r="CO2194" s="5" t="s">
        <v>240</v>
      </c>
      <c r="CP2194" s="5" t="s">
        <v>240</v>
      </c>
      <c r="CQ2194" s="5">
        <v>0</v>
      </c>
      <c r="CR2194" s="5" t="s">
        <v>306</v>
      </c>
      <c r="CS2194" s="5" t="s">
        <v>307</v>
      </c>
      <c r="CT2194" s="5" t="s">
        <v>307</v>
      </c>
      <c r="CU2194" s="5" t="s">
        <v>260</v>
      </c>
      <c r="CX2194" s="7">
        <f>1</f>
        <v>1</v>
      </c>
      <c r="CY2194" s="7">
        <f>0</f>
        <v>0</v>
      </c>
      <c r="DA2194" s="7">
        <f>0</f>
        <v>0</v>
      </c>
      <c r="DC2194" s="5" t="s">
        <v>812</v>
      </c>
      <c r="DD2194" s="5" t="s">
        <v>240</v>
      </c>
      <c r="DF2194" s="5" t="s">
        <v>812</v>
      </c>
      <c r="DG2194" s="7">
        <f>1160</f>
        <v>1160</v>
      </c>
      <c r="DI2194" s="5" t="s">
        <v>240</v>
      </c>
      <c r="DJ2194" s="5" t="s">
        <v>240</v>
      </c>
      <c r="DK2194" s="5" t="s">
        <v>240</v>
      </c>
      <c r="DL2194" s="5" t="s">
        <v>240</v>
      </c>
      <c r="DP2194" s="5" t="s">
        <v>240</v>
      </c>
      <c r="DQ2194" s="5" t="s">
        <v>240</v>
      </c>
      <c r="DR2194" s="5" t="s">
        <v>240</v>
      </c>
      <c r="DS2194" s="5" t="s">
        <v>240</v>
      </c>
      <c r="DV2194" s="5" t="s">
        <v>813</v>
      </c>
      <c r="DW2194" s="5" t="s">
        <v>656</v>
      </c>
      <c r="HO2194" s="5" t="s">
        <v>312</v>
      </c>
    </row>
    <row r="2195" spans="1:223" x14ac:dyDescent="0.4">
      <c r="A2195" s="5">
        <v>3899</v>
      </c>
      <c r="B2195" s="5">
        <v>1</v>
      </c>
      <c r="C2195" s="5">
        <v>1</v>
      </c>
      <c r="D2195" s="5" t="s">
        <v>810</v>
      </c>
      <c r="E2195" s="5" t="s">
        <v>245</v>
      </c>
      <c r="F2195" s="5" t="s">
        <v>254</v>
      </c>
      <c r="G2195" s="5" t="s">
        <v>240</v>
      </c>
      <c r="H2195" s="6" t="s">
        <v>4082</v>
      </c>
      <c r="I2195" s="5" t="s">
        <v>809</v>
      </c>
      <c r="J2195" s="8">
        <f>688</f>
        <v>688</v>
      </c>
      <c r="K2195" s="5" t="s">
        <v>308</v>
      </c>
      <c r="L2195" s="7">
        <f>1</f>
        <v>1</v>
      </c>
      <c r="M2195" s="7">
        <f>1</f>
        <v>1</v>
      </c>
      <c r="N2195" s="5" t="s">
        <v>242</v>
      </c>
      <c r="O2195" s="5">
        <v>1</v>
      </c>
      <c r="P2195" s="5" t="s">
        <v>294</v>
      </c>
      <c r="Q2195" s="5" t="s">
        <v>266</v>
      </c>
      <c r="R2195" s="5" t="s">
        <v>240</v>
      </c>
      <c r="S2195" s="5" t="s">
        <v>240</v>
      </c>
      <c r="T2195" s="5" t="s">
        <v>296</v>
      </c>
      <c r="U2195" s="5" t="s">
        <v>244</v>
      </c>
      <c r="V2195" s="5" t="s">
        <v>240</v>
      </c>
      <c r="Y2195" s="5" t="s">
        <v>240</v>
      </c>
      <c r="Z2195" s="6" t="s">
        <v>298</v>
      </c>
      <c r="AB2195" s="6" t="s">
        <v>240</v>
      </c>
      <c r="AE2195" s="6" t="s">
        <v>299</v>
      </c>
      <c r="AF2195" s="5" t="s">
        <v>248</v>
      </c>
      <c r="AG2195" s="5" t="s">
        <v>249</v>
      </c>
      <c r="AW2195" s="5" t="s">
        <v>251</v>
      </c>
      <c r="AX2195" s="5" t="s">
        <v>240</v>
      </c>
      <c r="AY2195" s="5" t="s">
        <v>253</v>
      </c>
      <c r="AZ2195" s="5" t="s">
        <v>240</v>
      </c>
      <c r="BA2195" s="5" t="s">
        <v>255</v>
      </c>
      <c r="BB2195" s="5" t="s">
        <v>240</v>
      </c>
      <c r="BD2195" s="5" t="s">
        <v>240</v>
      </c>
      <c r="BF2195" s="5" t="s">
        <v>301</v>
      </c>
      <c r="BG2195" s="6" t="s">
        <v>299</v>
      </c>
      <c r="BH2195" s="5" t="s">
        <v>302</v>
      </c>
      <c r="BI2195" s="5" t="s">
        <v>303</v>
      </c>
      <c r="BJ2195" s="5" t="s">
        <v>240</v>
      </c>
      <c r="BK2195" s="8">
        <f>0</f>
        <v>0</v>
      </c>
      <c r="BL2195" s="7">
        <f>0</f>
        <v>0</v>
      </c>
      <c r="BM2195" s="5" t="s">
        <v>258</v>
      </c>
      <c r="BN2195" s="5" t="s">
        <v>259</v>
      </c>
      <c r="CB2195" s="5" t="s">
        <v>240</v>
      </c>
      <c r="CC2195" s="5" t="s">
        <v>240</v>
      </c>
      <c r="CG2195" s="5" t="s">
        <v>304</v>
      </c>
      <c r="CH2195" s="5" t="s">
        <v>305</v>
      </c>
      <c r="CI2195" s="5" t="s">
        <v>240</v>
      </c>
      <c r="CL2195" s="6" t="s">
        <v>261</v>
      </c>
      <c r="CM2195" s="5" t="s">
        <v>240</v>
      </c>
      <c r="CN2195" s="5" t="s">
        <v>263</v>
      </c>
      <c r="CO2195" s="5" t="s">
        <v>240</v>
      </c>
      <c r="CP2195" s="5" t="s">
        <v>240</v>
      </c>
      <c r="CQ2195" s="5">
        <v>0</v>
      </c>
      <c r="CR2195" s="5" t="s">
        <v>306</v>
      </c>
      <c r="CS2195" s="5" t="s">
        <v>307</v>
      </c>
      <c r="CT2195" s="5" t="s">
        <v>307</v>
      </c>
      <c r="CU2195" s="5" t="s">
        <v>260</v>
      </c>
      <c r="CX2195" s="7">
        <f>1</f>
        <v>1</v>
      </c>
      <c r="CY2195" s="7">
        <f>0</f>
        <v>0</v>
      </c>
      <c r="DA2195" s="7">
        <f>0</f>
        <v>0</v>
      </c>
      <c r="DC2195" s="5" t="s">
        <v>812</v>
      </c>
      <c r="DD2195" s="5" t="s">
        <v>240</v>
      </c>
      <c r="DF2195" s="5" t="s">
        <v>812</v>
      </c>
      <c r="DG2195" s="7">
        <f>1598</f>
        <v>1598</v>
      </c>
      <c r="DI2195" s="5" t="s">
        <v>240</v>
      </c>
      <c r="DJ2195" s="5" t="s">
        <v>240</v>
      </c>
      <c r="DK2195" s="5" t="s">
        <v>240</v>
      </c>
      <c r="DL2195" s="5" t="s">
        <v>240</v>
      </c>
      <c r="DP2195" s="5" t="s">
        <v>240</v>
      </c>
      <c r="DQ2195" s="5" t="s">
        <v>240</v>
      </c>
      <c r="DR2195" s="5" t="s">
        <v>240</v>
      </c>
      <c r="DS2195" s="5" t="s">
        <v>240</v>
      </c>
      <c r="DV2195" s="5" t="s">
        <v>813</v>
      </c>
      <c r="DW2195" s="5" t="s">
        <v>658</v>
      </c>
      <c r="HO2195" s="5" t="s">
        <v>312</v>
      </c>
    </row>
    <row r="2196" spans="1:223" x14ac:dyDescent="0.4">
      <c r="A2196" s="5">
        <v>3900</v>
      </c>
      <c r="B2196" s="5">
        <v>1</v>
      </c>
      <c r="C2196" s="5">
        <v>1</v>
      </c>
      <c r="D2196" s="5" t="s">
        <v>810</v>
      </c>
      <c r="E2196" s="5" t="s">
        <v>245</v>
      </c>
      <c r="F2196" s="5" t="s">
        <v>254</v>
      </c>
      <c r="G2196" s="5" t="s">
        <v>240</v>
      </c>
      <c r="H2196" s="6" t="s">
        <v>4081</v>
      </c>
      <c r="I2196" s="5" t="s">
        <v>809</v>
      </c>
      <c r="J2196" s="8">
        <f>130</f>
        <v>130</v>
      </c>
      <c r="K2196" s="5" t="s">
        <v>308</v>
      </c>
      <c r="L2196" s="7">
        <f>1</f>
        <v>1</v>
      </c>
      <c r="M2196" s="7">
        <f>1</f>
        <v>1</v>
      </c>
      <c r="N2196" s="5" t="s">
        <v>242</v>
      </c>
      <c r="O2196" s="5">
        <v>1</v>
      </c>
      <c r="P2196" s="5" t="s">
        <v>294</v>
      </c>
      <c r="Q2196" s="5" t="s">
        <v>266</v>
      </c>
      <c r="R2196" s="5" t="s">
        <v>240</v>
      </c>
      <c r="S2196" s="5" t="s">
        <v>240</v>
      </c>
      <c r="T2196" s="5" t="s">
        <v>296</v>
      </c>
      <c r="U2196" s="5" t="s">
        <v>244</v>
      </c>
      <c r="V2196" s="5" t="s">
        <v>240</v>
      </c>
      <c r="Y2196" s="5" t="s">
        <v>240</v>
      </c>
      <c r="Z2196" s="6" t="s">
        <v>298</v>
      </c>
      <c r="AB2196" s="6" t="s">
        <v>240</v>
      </c>
      <c r="AE2196" s="6" t="s">
        <v>299</v>
      </c>
      <c r="AF2196" s="5" t="s">
        <v>248</v>
      </c>
      <c r="AG2196" s="5" t="s">
        <v>249</v>
      </c>
      <c r="AW2196" s="5" t="s">
        <v>251</v>
      </c>
      <c r="AX2196" s="5" t="s">
        <v>240</v>
      </c>
      <c r="AY2196" s="5" t="s">
        <v>253</v>
      </c>
      <c r="AZ2196" s="5" t="s">
        <v>240</v>
      </c>
      <c r="BA2196" s="5" t="s">
        <v>255</v>
      </c>
      <c r="BB2196" s="5" t="s">
        <v>240</v>
      </c>
      <c r="BD2196" s="5" t="s">
        <v>240</v>
      </c>
      <c r="BF2196" s="5" t="s">
        <v>301</v>
      </c>
      <c r="BG2196" s="6" t="s">
        <v>299</v>
      </c>
      <c r="BH2196" s="5" t="s">
        <v>302</v>
      </c>
      <c r="BI2196" s="5" t="s">
        <v>303</v>
      </c>
      <c r="BJ2196" s="5" t="s">
        <v>240</v>
      </c>
      <c r="BK2196" s="8">
        <f>0</f>
        <v>0</v>
      </c>
      <c r="BL2196" s="7">
        <f>0</f>
        <v>0</v>
      </c>
      <c r="BM2196" s="5" t="s">
        <v>258</v>
      </c>
      <c r="BN2196" s="5" t="s">
        <v>259</v>
      </c>
      <c r="CB2196" s="5" t="s">
        <v>240</v>
      </c>
      <c r="CC2196" s="5" t="s">
        <v>240</v>
      </c>
      <c r="CG2196" s="5" t="s">
        <v>304</v>
      </c>
      <c r="CH2196" s="5" t="s">
        <v>305</v>
      </c>
      <c r="CI2196" s="5" t="s">
        <v>240</v>
      </c>
      <c r="CL2196" s="6" t="s">
        <v>261</v>
      </c>
      <c r="CM2196" s="5" t="s">
        <v>240</v>
      </c>
      <c r="CN2196" s="5" t="s">
        <v>263</v>
      </c>
      <c r="CO2196" s="5" t="s">
        <v>240</v>
      </c>
      <c r="CP2196" s="5" t="s">
        <v>240</v>
      </c>
      <c r="CQ2196" s="5">
        <v>0</v>
      </c>
      <c r="CR2196" s="5" t="s">
        <v>306</v>
      </c>
      <c r="CS2196" s="5" t="s">
        <v>307</v>
      </c>
      <c r="CT2196" s="5" t="s">
        <v>307</v>
      </c>
      <c r="CU2196" s="5" t="s">
        <v>260</v>
      </c>
      <c r="CX2196" s="7">
        <f>1</f>
        <v>1</v>
      </c>
      <c r="CY2196" s="7">
        <f>0</f>
        <v>0</v>
      </c>
      <c r="DA2196" s="7">
        <f>0</f>
        <v>0</v>
      </c>
      <c r="DC2196" s="5" t="s">
        <v>812</v>
      </c>
      <c r="DD2196" s="5" t="s">
        <v>240</v>
      </c>
      <c r="DF2196" s="5" t="s">
        <v>812</v>
      </c>
      <c r="DG2196" s="7">
        <f>2410</f>
        <v>2410</v>
      </c>
      <c r="DI2196" s="5" t="s">
        <v>240</v>
      </c>
      <c r="DJ2196" s="5" t="s">
        <v>240</v>
      </c>
      <c r="DK2196" s="5" t="s">
        <v>240</v>
      </c>
      <c r="DL2196" s="5" t="s">
        <v>240</v>
      </c>
      <c r="DP2196" s="5" t="s">
        <v>240</v>
      </c>
      <c r="DQ2196" s="5" t="s">
        <v>240</v>
      </c>
      <c r="DR2196" s="5" t="s">
        <v>240</v>
      </c>
      <c r="DS2196" s="5" t="s">
        <v>240</v>
      </c>
      <c r="DV2196" s="5" t="s">
        <v>813</v>
      </c>
      <c r="DW2196" s="5" t="s">
        <v>660</v>
      </c>
      <c r="HO2196" s="5" t="s">
        <v>312</v>
      </c>
    </row>
    <row r="2197" spans="1:223" x14ac:dyDescent="0.4">
      <c r="A2197" s="5">
        <v>3901</v>
      </c>
      <c r="B2197" s="5">
        <v>1</v>
      </c>
      <c r="C2197" s="5">
        <v>1</v>
      </c>
      <c r="D2197" s="5" t="s">
        <v>810</v>
      </c>
      <c r="E2197" s="5" t="s">
        <v>245</v>
      </c>
      <c r="F2197" s="5" t="s">
        <v>254</v>
      </c>
      <c r="G2197" s="5" t="s">
        <v>240</v>
      </c>
      <c r="H2197" s="6" t="s">
        <v>4080</v>
      </c>
      <c r="I2197" s="5" t="s">
        <v>809</v>
      </c>
      <c r="J2197" s="8">
        <f>1170</f>
        <v>1170</v>
      </c>
      <c r="K2197" s="5" t="s">
        <v>308</v>
      </c>
      <c r="L2197" s="7">
        <f>1</f>
        <v>1</v>
      </c>
      <c r="M2197" s="7">
        <f>1</f>
        <v>1</v>
      </c>
      <c r="N2197" s="5" t="s">
        <v>242</v>
      </c>
      <c r="O2197" s="5">
        <v>1</v>
      </c>
      <c r="P2197" s="5" t="s">
        <v>294</v>
      </c>
      <c r="Q2197" s="5" t="s">
        <v>266</v>
      </c>
      <c r="R2197" s="5" t="s">
        <v>240</v>
      </c>
      <c r="S2197" s="5" t="s">
        <v>240</v>
      </c>
      <c r="T2197" s="5" t="s">
        <v>296</v>
      </c>
      <c r="U2197" s="5" t="s">
        <v>244</v>
      </c>
      <c r="V2197" s="5" t="s">
        <v>240</v>
      </c>
      <c r="Y2197" s="5" t="s">
        <v>240</v>
      </c>
      <c r="Z2197" s="6" t="s">
        <v>298</v>
      </c>
      <c r="AB2197" s="6" t="s">
        <v>240</v>
      </c>
      <c r="AE2197" s="6" t="s">
        <v>299</v>
      </c>
      <c r="AF2197" s="5" t="s">
        <v>248</v>
      </c>
      <c r="AG2197" s="5" t="s">
        <v>249</v>
      </c>
      <c r="AW2197" s="5" t="s">
        <v>251</v>
      </c>
      <c r="AX2197" s="5" t="s">
        <v>240</v>
      </c>
      <c r="AY2197" s="5" t="s">
        <v>253</v>
      </c>
      <c r="AZ2197" s="5" t="s">
        <v>240</v>
      </c>
      <c r="BA2197" s="5" t="s">
        <v>255</v>
      </c>
      <c r="BB2197" s="5" t="s">
        <v>240</v>
      </c>
      <c r="BD2197" s="5" t="s">
        <v>240</v>
      </c>
      <c r="BF2197" s="5" t="s">
        <v>301</v>
      </c>
      <c r="BG2197" s="6" t="s">
        <v>299</v>
      </c>
      <c r="BH2197" s="5" t="s">
        <v>302</v>
      </c>
      <c r="BI2197" s="5" t="s">
        <v>303</v>
      </c>
      <c r="BJ2197" s="5" t="s">
        <v>240</v>
      </c>
      <c r="BK2197" s="8">
        <f>0</f>
        <v>0</v>
      </c>
      <c r="BL2197" s="7">
        <f>0</f>
        <v>0</v>
      </c>
      <c r="BM2197" s="5" t="s">
        <v>258</v>
      </c>
      <c r="BN2197" s="5" t="s">
        <v>259</v>
      </c>
      <c r="CB2197" s="5" t="s">
        <v>240</v>
      </c>
      <c r="CC2197" s="5" t="s">
        <v>240</v>
      </c>
      <c r="CG2197" s="5" t="s">
        <v>304</v>
      </c>
      <c r="CH2197" s="5" t="s">
        <v>305</v>
      </c>
      <c r="CI2197" s="5" t="s">
        <v>240</v>
      </c>
      <c r="CL2197" s="6" t="s">
        <v>261</v>
      </c>
      <c r="CM2197" s="5" t="s">
        <v>240</v>
      </c>
      <c r="CN2197" s="5" t="s">
        <v>263</v>
      </c>
      <c r="CO2197" s="5" t="s">
        <v>240</v>
      </c>
      <c r="CP2197" s="5" t="s">
        <v>240</v>
      </c>
      <c r="CQ2197" s="5">
        <v>0</v>
      </c>
      <c r="CR2197" s="5" t="s">
        <v>306</v>
      </c>
      <c r="CS2197" s="5" t="s">
        <v>307</v>
      </c>
      <c r="CT2197" s="5" t="s">
        <v>307</v>
      </c>
      <c r="CU2197" s="5" t="s">
        <v>260</v>
      </c>
      <c r="CX2197" s="7">
        <f>1</f>
        <v>1</v>
      </c>
      <c r="CY2197" s="7">
        <f>0</f>
        <v>0</v>
      </c>
      <c r="DA2197" s="7">
        <f>0</f>
        <v>0</v>
      </c>
      <c r="DC2197" s="5" t="s">
        <v>812</v>
      </c>
      <c r="DD2197" s="5" t="s">
        <v>240</v>
      </c>
      <c r="DF2197" s="5" t="s">
        <v>812</v>
      </c>
      <c r="DG2197" s="7">
        <f>1298</f>
        <v>1298</v>
      </c>
      <c r="DI2197" s="5" t="s">
        <v>240</v>
      </c>
      <c r="DJ2197" s="5" t="s">
        <v>240</v>
      </c>
      <c r="DK2197" s="5" t="s">
        <v>240</v>
      </c>
      <c r="DL2197" s="5" t="s">
        <v>240</v>
      </c>
      <c r="DP2197" s="5" t="s">
        <v>240</v>
      </c>
      <c r="DQ2197" s="5" t="s">
        <v>240</v>
      </c>
      <c r="DR2197" s="5" t="s">
        <v>240</v>
      </c>
      <c r="DS2197" s="5" t="s">
        <v>240</v>
      </c>
      <c r="DV2197" s="5" t="s">
        <v>813</v>
      </c>
      <c r="DW2197" s="5" t="s">
        <v>662</v>
      </c>
      <c r="HO2197" s="5" t="s">
        <v>312</v>
      </c>
    </row>
    <row r="2198" spans="1:223" x14ac:dyDescent="0.4">
      <c r="A2198" s="5">
        <v>3902</v>
      </c>
      <c r="B2198" s="5">
        <v>1</v>
      </c>
      <c r="C2198" s="5">
        <v>1</v>
      </c>
      <c r="D2198" s="5" t="s">
        <v>810</v>
      </c>
      <c r="E2198" s="5" t="s">
        <v>245</v>
      </c>
      <c r="F2198" s="5" t="s">
        <v>254</v>
      </c>
      <c r="G2198" s="5" t="s">
        <v>240</v>
      </c>
      <c r="H2198" s="6" t="s">
        <v>4079</v>
      </c>
      <c r="I2198" s="5" t="s">
        <v>809</v>
      </c>
      <c r="J2198" s="8">
        <f>363</f>
        <v>363</v>
      </c>
      <c r="K2198" s="5" t="s">
        <v>308</v>
      </c>
      <c r="L2198" s="7">
        <f>1</f>
        <v>1</v>
      </c>
      <c r="M2198" s="7">
        <f>1</f>
        <v>1</v>
      </c>
      <c r="N2198" s="5" t="s">
        <v>242</v>
      </c>
      <c r="O2198" s="5">
        <v>1</v>
      </c>
      <c r="P2198" s="5" t="s">
        <v>294</v>
      </c>
      <c r="Q2198" s="5" t="s">
        <v>613</v>
      </c>
      <c r="R2198" s="5" t="s">
        <v>240</v>
      </c>
      <c r="S2198" s="5" t="s">
        <v>240</v>
      </c>
      <c r="T2198" s="5" t="s">
        <v>243</v>
      </c>
      <c r="U2198" s="5" t="s">
        <v>724</v>
      </c>
      <c r="V2198" s="5" t="s">
        <v>240</v>
      </c>
      <c r="Y2198" s="5" t="s">
        <v>240</v>
      </c>
      <c r="Z2198" s="6" t="s">
        <v>298</v>
      </c>
      <c r="AB2198" s="6" t="s">
        <v>240</v>
      </c>
      <c r="AE2198" s="6" t="s">
        <v>299</v>
      </c>
      <c r="AF2198" s="5" t="s">
        <v>248</v>
      </c>
      <c r="AG2198" s="5" t="s">
        <v>249</v>
      </c>
      <c r="AW2198" s="5" t="s">
        <v>251</v>
      </c>
      <c r="AX2198" s="5" t="s">
        <v>240</v>
      </c>
      <c r="AY2198" s="5" t="s">
        <v>253</v>
      </c>
      <c r="AZ2198" s="5" t="s">
        <v>240</v>
      </c>
      <c r="BA2198" s="5" t="s">
        <v>255</v>
      </c>
      <c r="BB2198" s="5" t="s">
        <v>240</v>
      </c>
      <c r="BD2198" s="5" t="s">
        <v>240</v>
      </c>
      <c r="BF2198" s="5" t="s">
        <v>301</v>
      </c>
      <c r="BG2198" s="6" t="s">
        <v>299</v>
      </c>
      <c r="BH2198" s="5" t="s">
        <v>302</v>
      </c>
      <c r="BI2198" s="5" t="s">
        <v>303</v>
      </c>
      <c r="BJ2198" s="5" t="s">
        <v>240</v>
      </c>
      <c r="BK2198" s="8">
        <f>0</f>
        <v>0</v>
      </c>
      <c r="BL2198" s="7">
        <f>0</f>
        <v>0</v>
      </c>
      <c r="BM2198" s="5" t="s">
        <v>258</v>
      </c>
      <c r="BN2198" s="5" t="s">
        <v>259</v>
      </c>
      <c r="CB2198" s="5" t="s">
        <v>240</v>
      </c>
      <c r="CC2198" s="5" t="s">
        <v>240</v>
      </c>
      <c r="CG2198" s="5" t="s">
        <v>617</v>
      </c>
      <c r="CH2198" s="5" t="s">
        <v>305</v>
      </c>
      <c r="CI2198" s="5" t="s">
        <v>240</v>
      </c>
      <c r="CL2198" s="6" t="s">
        <v>261</v>
      </c>
      <c r="CM2198" s="5" t="s">
        <v>240</v>
      </c>
      <c r="CN2198" s="5" t="s">
        <v>263</v>
      </c>
      <c r="CO2198" s="5" t="s">
        <v>240</v>
      </c>
      <c r="CP2198" s="5" t="s">
        <v>240</v>
      </c>
      <c r="CQ2198" s="5">
        <v>0</v>
      </c>
      <c r="CR2198" s="5" t="s">
        <v>306</v>
      </c>
      <c r="CS2198" s="5" t="s">
        <v>307</v>
      </c>
      <c r="CT2198" s="5" t="s">
        <v>307</v>
      </c>
      <c r="CU2198" s="5" t="s">
        <v>260</v>
      </c>
      <c r="CX2198" s="7">
        <f>77264</f>
        <v>77264</v>
      </c>
      <c r="CY2198" s="7">
        <f>0</f>
        <v>0</v>
      </c>
      <c r="DA2198" s="7">
        <f>0</f>
        <v>0</v>
      </c>
      <c r="DC2198" s="5" t="s">
        <v>854</v>
      </c>
      <c r="DD2198" s="5" t="s">
        <v>240</v>
      </c>
      <c r="DF2198" s="5" t="s">
        <v>450</v>
      </c>
      <c r="DG2198" s="7">
        <f>0</f>
        <v>0</v>
      </c>
      <c r="DI2198" s="5" t="s">
        <v>737</v>
      </c>
      <c r="DJ2198" s="5" t="s">
        <v>240</v>
      </c>
      <c r="DK2198" s="5" t="s">
        <v>240</v>
      </c>
      <c r="DL2198" s="5" t="s">
        <v>240</v>
      </c>
      <c r="DP2198" s="5" t="s">
        <v>240</v>
      </c>
      <c r="DQ2198" s="5" t="s">
        <v>240</v>
      </c>
      <c r="DR2198" s="5" t="s">
        <v>240</v>
      </c>
      <c r="DS2198" s="5" t="s">
        <v>240</v>
      </c>
      <c r="DV2198" s="5" t="s">
        <v>957</v>
      </c>
      <c r="DW2198" s="5" t="s">
        <v>578</v>
      </c>
      <c r="HO2198" s="5" t="s">
        <v>312</v>
      </c>
    </row>
    <row r="2199" spans="1:223" x14ac:dyDescent="0.4">
      <c r="A2199" s="5">
        <v>3903</v>
      </c>
      <c r="B2199" s="5">
        <v>1</v>
      </c>
      <c r="C2199" s="5">
        <v>1</v>
      </c>
      <c r="D2199" s="5" t="s">
        <v>810</v>
      </c>
      <c r="E2199" s="5" t="s">
        <v>245</v>
      </c>
      <c r="F2199" s="5" t="s">
        <v>254</v>
      </c>
      <c r="G2199" s="5" t="s">
        <v>240</v>
      </c>
      <c r="H2199" s="6" t="s">
        <v>4078</v>
      </c>
      <c r="I2199" s="5" t="s">
        <v>809</v>
      </c>
      <c r="J2199" s="8">
        <f>88</f>
        <v>88</v>
      </c>
      <c r="K2199" s="5" t="s">
        <v>308</v>
      </c>
      <c r="L2199" s="7">
        <f>1</f>
        <v>1</v>
      </c>
      <c r="M2199" s="7">
        <f>1</f>
        <v>1</v>
      </c>
      <c r="N2199" s="5" t="s">
        <v>242</v>
      </c>
      <c r="O2199" s="5">
        <v>1</v>
      </c>
      <c r="P2199" s="5" t="s">
        <v>294</v>
      </c>
      <c r="Q2199" s="5" t="s">
        <v>266</v>
      </c>
      <c r="R2199" s="5" t="s">
        <v>240</v>
      </c>
      <c r="S2199" s="5" t="s">
        <v>240</v>
      </c>
      <c r="T2199" s="5" t="s">
        <v>296</v>
      </c>
      <c r="U2199" s="5" t="s">
        <v>244</v>
      </c>
      <c r="V2199" s="5" t="s">
        <v>240</v>
      </c>
      <c r="Y2199" s="5" t="s">
        <v>240</v>
      </c>
      <c r="Z2199" s="6" t="s">
        <v>298</v>
      </c>
      <c r="AB2199" s="6" t="s">
        <v>240</v>
      </c>
      <c r="AE2199" s="6" t="s">
        <v>299</v>
      </c>
      <c r="AF2199" s="5" t="s">
        <v>248</v>
      </c>
      <c r="AG2199" s="5" t="s">
        <v>249</v>
      </c>
      <c r="AW2199" s="5" t="s">
        <v>251</v>
      </c>
      <c r="AX2199" s="5" t="s">
        <v>240</v>
      </c>
      <c r="AY2199" s="5" t="s">
        <v>253</v>
      </c>
      <c r="AZ2199" s="5" t="s">
        <v>240</v>
      </c>
      <c r="BA2199" s="5" t="s">
        <v>255</v>
      </c>
      <c r="BB2199" s="5" t="s">
        <v>240</v>
      </c>
      <c r="BD2199" s="5" t="s">
        <v>240</v>
      </c>
      <c r="BF2199" s="5" t="s">
        <v>301</v>
      </c>
      <c r="BG2199" s="6" t="s">
        <v>299</v>
      </c>
      <c r="BH2199" s="5" t="s">
        <v>302</v>
      </c>
      <c r="BI2199" s="5" t="s">
        <v>303</v>
      </c>
      <c r="BJ2199" s="5" t="s">
        <v>240</v>
      </c>
      <c r="BK2199" s="8">
        <f>0</f>
        <v>0</v>
      </c>
      <c r="BL2199" s="7">
        <f>0</f>
        <v>0</v>
      </c>
      <c r="BM2199" s="5" t="s">
        <v>258</v>
      </c>
      <c r="BN2199" s="5" t="s">
        <v>259</v>
      </c>
      <c r="CB2199" s="5" t="s">
        <v>240</v>
      </c>
      <c r="CC2199" s="5" t="s">
        <v>240</v>
      </c>
      <c r="CG2199" s="5" t="s">
        <v>304</v>
      </c>
      <c r="CH2199" s="5" t="s">
        <v>305</v>
      </c>
      <c r="CI2199" s="5" t="s">
        <v>240</v>
      </c>
      <c r="CL2199" s="6" t="s">
        <v>261</v>
      </c>
      <c r="CM2199" s="5" t="s">
        <v>240</v>
      </c>
      <c r="CN2199" s="5" t="s">
        <v>263</v>
      </c>
      <c r="CO2199" s="5" t="s">
        <v>240</v>
      </c>
      <c r="CP2199" s="5" t="s">
        <v>240</v>
      </c>
      <c r="CQ2199" s="5">
        <v>0</v>
      </c>
      <c r="CR2199" s="5" t="s">
        <v>306</v>
      </c>
      <c r="CS2199" s="5" t="s">
        <v>307</v>
      </c>
      <c r="CT2199" s="5" t="s">
        <v>307</v>
      </c>
      <c r="CU2199" s="5" t="s">
        <v>260</v>
      </c>
      <c r="CX2199" s="7">
        <f>1</f>
        <v>1</v>
      </c>
      <c r="CY2199" s="7">
        <f>0</f>
        <v>0</v>
      </c>
      <c r="DA2199" s="7">
        <f>0</f>
        <v>0</v>
      </c>
      <c r="DC2199" s="5" t="s">
        <v>812</v>
      </c>
      <c r="DD2199" s="5" t="s">
        <v>240</v>
      </c>
      <c r="DF2199" s="5" t="s">
        <v>812</v>
      </c>
      <c r="DG2199" s="7">
        <f>1539</f>
        <v>1539</v>
      </c>
      <c r="DI2199" s="5" t="s">
        <v>240</v>
      </c>
      <c r="DJ2199" s="5" t="s">
        <v>240</v>
      </c>
      <c r="DK2199" s="5" t="s">
        <v>240</v>
      </c>
      <c r="DL2199" s="5" t="s">
        <v>240</v>
      </c>
      <c r="DP2199" s="5" t="s">
        <v>240</v>
      </c>
      <c r="DQ2199" s="5" t="s">
        <v>240</v>
      </c>
      <c r="DR2199" s="5" t="s">
        <v>240</v>
      </c>
      <c r="DS2199" s="5" t="s">
        <v>240</v>
      </c>
      <c r="DV2199" s="5" t="s">
        <v>813</v>
      </c>
      <c r="DW2199" s="5" t="s">
        <v>666</v>
      </c>
      <c r="HO2199" s="5" t="s">
        <v>312</v>
      </c>
    </row>
    <row r="2200" spans="1:223" x14ac:dyDescent="0.4">
      <c r="A2200" s="5">
        <v>3904</v>
      </c>
      <c r="B2200" s="5">
        <v>1</v>
      </c>
      <c r="C2200" s="5">
        <v>1</v>
      </c>
      <c r="D2200" s="5" t="s">
        <v>810</v>
      </c>
      <c r="E2200" s="5" t="s">
        <v>245</v>
      </c>
      <c r="F2200" s="5" t="s">
        <v>254</v>
      </c>
      <c r="G2200" s="5" t="s">
        <v>240</v>
      </c>
      <c r="H2200" s="6" t="s">
        <v>4077</v>
      </c>
      <c r="I2200" s="5" t="s">
        <v>809</v>
      </c>
      <c r="J2200" s="8">
        <f>1056</f>
        <v>1056</v>
      </c>
      <c r="K2200" s="5" t="s">
        <v>308</v>
      </c>
      <c r="L2200" s="7">
        <f>1</f>
        <v>1</v>
      </c>
      <c r="M2200" s="7">
        <f>1</f>
        <v>1</v>
      </c>
      <c r="N2200" s="5" t="s">
        <v>242</v>
      </c>
      <c r="O2200" s="5">
        <v>1</v>
      </c>
      <c r="P2200" s="5" t="s">
        <v>294</v>
      </c>
      <c r="Q2200" s="5" t="s">
        <v>266</v>
      </c>
      <c r="R2200" s="5" t="s">
        <v>240</v>
      </c>
      <c r="S2200" s="5" t="s">
        <v>240</v>
      </c>
      <c r="T2200" s="5" t="s">
        <v>296</v>
      </c>
      <c r="U2200" s="5" t="s">
        <v>244</v>
      </c>
      <c r="V2200" s="5" t="s">
        <v>240</v>
      </c>
      <c r="Y2200" s="5" t="s">
        <v>240</v>
      </c>
      <c r="Z2200" s="6" t="s">
        <v>298</v>
      </c>
      <c r="AB2200" s="6" t="s">
        <v>240</v>
      </c>
      <c r="AE2200" s="6" t="s">
        <v>299</v>
      </c>
      <c r="AF2200" s="5" t="s">
        <v>248</v>
      </c>
      <c r="AG2200" s="5" t="s">
        <v>249</v>
      </c>
      <c r="AW2200" s="5" t="s">
        <v>251</v>
      </c>
      <c r="AX2200" s="5" t="s">
        <v>240</v>
      </c>
      <c r="AY2200" s="5" t="s">
        <v>253</v>
      </c>
      <c r="AZ2200" s="5" t="s">
        <v>240</v>
      </c>
      <c r="BA2200" s="5" t="s">
        <v>255</v>
      </c>
      <c r="BB2200" s="5" t="s">
        <v>240</v>
      </c>
      <c r="BD2200" s="5" t="s">
        <v>240</v>
      </c>
      <c r="BF2200" s="5" t="s">
        <v>301</v>
      </c>
      <c r="BG2200" s="6" t="s">
        <v>299</v>
      </c>
      <c r="BH2200" s="5" t="s">
        <v>302</v>
      </c>
      <c r="BI2200" s="5" t="s">
        <v>303</v>
      </c>
      <c r="BJ2200" s="5" t="s">
        <v>240</v>
      </c>
      <c r="BK2200" s="8">
        <f>0</f>
        <v>0</v>
      </c>
      <c r="BL2200" s="7">
        <f>0</f>
        <v>0</v>
      </c>
      <c r="BM2200" s="5" t="s">
        <v>258</v>
      </c>
      <c r="BN2200" s="5" t="s">
        <v>259</v>
      </c>
      <c r="CB2200" s="5" t="s">
        <v>240</v>
      </c>
      <c r="CC2200" s="5" t="s">
        <v>240</v>
      </c>
      <c r="CG2200" s="5" t="s">
        <v>304</v>
      </c>
      <c r="CH2200" s="5" t="s">
        <v>305</v>
      </c>
      <c r="CI2200" s="5" t="s">
        <v>240</v>
      </c>
      <c r="CL2200" s="6" t="s">
        <v>261</v>
      </c>
      <c r="CM2200" s="5" t="s">
        <v>240</v>
      </c>
      <c r="CN2200" s="5" t="s">
        <v>263</v>
      </c>
      <c r="CO2200" s="5" t="s">
        <v>240</v>
      </c>
      <c r="CP2200" s="5" t="s">
        <v>240</v>
      </c>
      <c r="CQ2200" s="5">
        <v>0</v>
      </c>
      <c r="CR2200" s="5" t="s">
        <v>306</v>
      </c>
      <c r="CS2200" s="5" t="s">
        <v>307</v>
      </c>
      <c r="CT2200" s="5" t="s">
        <v>307</v>
      </c>
      <c r="CU2200" s="5" t="s">
        <v>260</v>
      </c>
      <c r="CX2200" s="7">
        <f>1</f>
        <v>1</v>
      </c>
      <c r="CY2200" s="7">
        <f>0</f>
        <v>0</v>
      </c>
      <c r="DA2200" s="7">
        <f>0</f>
        <v>0</v>
      </c>
      <c r="DC2200" s="5" t="s">
        <v>812</v>
      </c>
      <c r="DD2200" s="5" t="s">
        <v>240</v>
      </c>
      <c r="DF2200" s="5" t="s">
        <v>812</v>
      </c>
      <c r="DG2200" s="7">
        <f>597</f>
        <v>597</v>
      </c>
      <c r="DI2200" s="5" t="s">
        <v>240</v>
      </c>
      <c r="DJ2200" s="5" t="s">
        <v>240</v>
      </c>
      <c r="DK2200" s="5" t="s">
        <v>240</v>
      </c>
      <c r="DL2200" s="5" t="s">
        <v>240</v>
      </c>
      <c r="DP2200" s="5" t="s">
        <v>240</v>
      </c>
      <c r="DQ2200" s="5" t="s">
        <v>240</v>
      </c>
      <c r="DR2200" s="5" t="s">
        <v>240</v>
      </c>
      <c r="DS2200" s="5" t="s">
        <v>240</v>
      </c>
      <c r="DV2200" s="5" t="s">
        <v>813</v>
      </c>
      <c r="DW2200" s="5" t="s">
        <v>668</v>
      </c>
      <c r="HO2200" s="5" t="s">
        <v>312</v>
      </c>
    </row>
    <row r="2201" spans="1:223" x14ac:dyDescent="0.4">
      <c r="A2201" s="5">
        <v>3905</v>
      </c>
      <c r="B2201" s="5">
        <v>1</v>
      </c>
      <c r="C2201" s="5">
        <v>1</v>
      </c>
      <c r="D2201" s="5" t="s">
        <v>810</v>
      </c>
      <c r="E2201" s="5" t="s">
        <v>245</v>
      </c>
      <c r="F2201" s="5" t="s">
        <v>254</v>
      </c>
      <c r="G2201" s="5" t="s">
        <v>240</v>
      </c>
      <c r="H2201" s="6" t="s">
        <v>5239</v>
      </c>
      <c r="I2201" s="5" t="s">
        <v>809</v>
      </c>
      <c r="J2201" s="8">
        <f>300</f>
        <v>300</v>
      </c>
      <c r="K2201" s="5" t="s">
        <v>308</v>
      </c>
      <c r="L2201" s="7">
        <f>1</f>
        <v>1</v>
      </c>
      <c r="M2201" s="7">
        <f>1</f>
        <v>1</v>
      </c>
      <c r="N2201" s="5" t="s">
        <v>242</v>
      </c>
      <c r="O2201" s="5">
        <v>1</v>
      </c>
      <c r="P2201" s="5" t="s">
        <v>294</v>
      </c>
      <c r="Q2201" s="5" t="s">
        <v>266</v>
      </c>
      <c r="R2201" s="5" t="s">
        <v>240</v>
      </c>
      <c r="S2201" s="5" t="s">
        <v>240</v>
      </c>
      <c r="T2201" s="5" t="s">
        <v>296</v>
      </c>
      <c r="U2201" s="5" t="s">
        <v>244</v>
      </c>
      <c r="V2201" s="5" t="s">
        <v>240</v>
      </c>
      <c r="Y2201" s="5" t="s">
        <v>240</v>
      </c>
      <c r="Z2201" s="6" t="s">
        <v>298</v>
      </c>
      <c r="AB2201" s="6" t="s">
        <v>240</v>
      </c>
      <c r="AE2201" s="6" t="s">
        <v>299</v>
      </c>
      <c r="AF2201" s="5" t="s">
        <v>248</v>
      </c>
      <c r="AG2201" s="5" t="s">
        <v>249</v>
      </c>
      <c r="AW2201" s="5" t="s">
        <v>251</v>
      </c>
      <c r="AX2201" s="5" t="s">
        <v>240</v>
      </c>
      <c r="AY2201" s="5" t="s">
        <v>253</v>
      </c>
      <c r="AZ2201" s="5" t="s">
        <v>240</v>
      </c>
      <c r="BA2201" s="5" t="s">
        <v>255</v>
      </c>
      <c r="BB2201" s="5" t="s">
        <v>240</v>
      </c>
      <c r="BD2201" s="5" t="s">
        <v>240</v>
      </c>
      <c r="BF2201" s="5" t="s">
        <v>301</v>
      </c>
      <c r="BG2201" s="6" t="s">
        <v>299</v>
      </c>
      <c r="BH2201" s="5" t="s">
        <v>302</v>
      </c>
      <c r="BI2201" s="5" t="s">
        <v>303</v>
      </c>
      <c r="BJ2201" s="5" t="s">
        <v>240</v>
      </c>
      <c r="BK2201" s="8">
        <f>0</f>
        <v>0</v>
      </c>
      <c r="BL2201" s="7">
        <f>0</f>
        <v>0</v>
      </c>
      <c r="BM2201" s="5" t="s">
        <v>258</v>
      </c>
      <c r="BN2201" s="5" t="s">
        <v>259</v>
      </c>
      <c r="CB2201" s="5" t="s">
        <v>240</v>
      </c>
      <c r="CC2201" s="5" t="s">
        <v>240</v>
      </c>
      <c r="CG2201" s="5" t="s">
        <v>304</v>
      </c>
      <c r="CH2201" s="5" t="s">
        <v>305</v>
      </c>
      <c r="CI2201" s="5" t="s">
        <v>240</v>
      </c>
      <c r="CL2201" s="6" t="s">
        <v>261</v>
      </c>
      <c r="CM2201" s="5" t="s">
        <v>240</v>
      </c>
      <c r="CN2201" s="5" t="s">
        <v>263</v>
      </c>
      <c r="CO2201" s="5" t="s">
        <v>240</v>
      </c>
      <c r="CP2201" s="5" t="s">
        <v>240</v>
      </c>
      <c r="CQ2201" s="5">
        <v>0</v>
      </c>
      <c r="CR2201" s="5" t="s">
        <v>306</v>
      </c>
      <c r="CS2201" s="5" t="s">
        <v>307</v>
      </c>
      <c r="CT2201" s="5" t="s">
        <v>307</v>
      </c>
      <c r="CU2201" s="5" t="s">
        <v>260</v>
      </c>
      <c r="CX2201" s="7">
        <f>1</f>
        <v>1</v>
      </c>
      <c r="CY2201" s="7">
        <f>0</f>
        <v>0</v>
      </c>
      <c r="DA2201" s="7">
        <f>0</f>
        <v>0</v>
      </c>
      <c r="DC2201" s="5" t="s">
        <v>812</v>
      </c>
      <c r="DD2201" s="5" t="s">
        <v>240</v>
      </c>
      <c r="DF2201" s="5" t="s">
        <v>812</v>
      </c>
      <c r="DG2201" s="7">
        <f>3198</f>
        <v>3198</v>
      </c>
      <c r="DI2201" s="5" t="s">
        <v>240</v>
      </c>
      <c r="DJ2201" s="5" t="s">
        <v>240</v>
      </c>
      <c r="DK2201" s="5" t="s">
        <v>240</v>
      </c>
      <c r="DL2201" s="5" t="s">
        <v>240</v>
      </c>
      <c r="DP2201" s="5" t="s">
        <v>240</v>
      </c>
      <c r="DQ2201" s="5" t="s">
        <v>240</v>
      </c>
      <c r="DR2201" s="5" t="s">
        <v>240</v>
      </c>
      <c r="DS2201" s="5" t="s">
        <v>240</v>
      </c>
      <c r="DV2201" s="5" t="s">
        <v>813</v>
      </c>
      <c r="DW2201" s="5" t="s">
        <v>670</v>
      </c>
      <c r="HO2201" s="5" t="s">
        <v>312</v>
      </c>
    </row>
    <row r="2202" spans="1:223" x14ac:dyDescent="0.4">
      <c r="A2202" s="5">
        <v>3906</v>
      </c>
      <c r="B2202" s="5">
        <v>1</v>
      </c>
      <c r="C2202" s="5">
        <v>1</v>
      </c>
      <c r="D2202" s="5" t="s">
        <v>810</v>
      </c>
      <c r="E2202" s="5" t="s">
        <v>245</v>
      </c>
      <c r="F2202" s="5" t="s">
        <v>254</v>
      </c>
      <c r="G2202" s="5" t="s">
        <v>240</v>
      </c>
      <c r="H2202" s="6" t="s">
        <v>4074</v>
      </c>
      <c r="I2202" s="5" t="s">
        <v>809</v>
      </c>
      <c r="J2202" s="8">
        <f>1262</f>
        <v>1262</v>
      </c>
      <c r="K2202" s="5" t="s">
        <v>308</v>
      </c>
      <c r="L2202" s="7">
        <f>1</f>
        <v>1</v>
      </c>
      <c r="M2202" s="7">
        <f>1</f>
        <v>1</v>
      </c>
      <c r="N2202" s="5" t="s">
        <v>242</v>
      </c>
      <c r="O2202" s="5">
        <v>1</v>
      </c>
      <c r="P2202" s="5" t="s">
        <v>294</v>
      </c>
      <c r="Q2202" s="5" t="s">
        <v>266</v>
      </c>
      <c r="R2202" s="5" t="s">
        <v>240</v>
      </c>
      <c r="S2202" s="5" t="s">
        <v>240</v>
      </c>
      <c r="T2202" s="5" t="s">
        <v>296</v>
      </c>
      <c r="U2202" s="5" t="s">
        <v>244</v>
      </c>
      <c r="V2202" s="5" t="s">
        <v>240</v>
      </c>
      <c r="Y2202" s="5" t="s">
        <v>240</v>
      </c>
      <c r="Z2202" s="6" t="s">
        <v>298</v>
      </c>
      <c r="AB2202" s="6" t="s">
        <v>240</v>
      </c>
      <c r="AE2202" s="6" t="s">
        <v>299</v>
      </c>
      <c r="AF2202" s="5" t="s">
        <v>248</v>
      </c>
      <c r="AG2202" s="5" t="s">
        <v>249</v>
      </c>
      <c r="AW2202" s="5" t="s">
        <v>251</v>
      </c>
      <c r="AX2202" s="5" t="s">
        <v>240</v>
      </c>
      <c r="AY2202" s="5" t="s">
        <v>253</v>
      </c>
      <c r="AZ2202" s="5" t="s">
        <v>240</v>
      </c>
      <c r="BA2202" s="5" t="s">
        <v>255</v>
      </c>
      <c r="BB2202" s="5" t="s">
        <v>240</v>
      </c>
      <c r="BD2202" s="5" t="s">
        <v>240</v>
      </c>
      <c r="BF2202" s="5" t="s">
        <v>301</v>
      </c>
      <c r="BG2202" s="6" t="s">
        <v>299</v>
      </c>
      <c r="BH2202" s="5" t="s">
        <v>302</v>
      </c>
      <c r="BI2202" s="5" t="s">
        <v>303</v>
      </c>
      <c r="BJ2202" s="5" t="s">
        <v>240</v>
      </c>
      <c r="BK2202" s="8">
        <f>0</f>
        <v>0</v>
      </c>
      <c r="BL2202" s="7">
        <f>0</f>
        <v>0</v>
      </c>
      <c r="BM2202" s="5" t="s">
        <v>258</v>
      </c>
      <c r="BN2202" s="5" t="s">
        <v>259</v>
      </c>
      <c r="CB2202" s="5" t="s">
        <v>240</v>
      </c>
      <c r="CC2202" s="5" t="s">
        <v>240</v>
      </c>
      <c r="CG2202" s="5" t="s">
        <v>304</v>
      </c>
      <c r="CH2202" s="5" t="s">
        <v>305</v>
      </c>
      <c r="CI2202" s="5" t="s">
        <v>240</v>
      </c>
      <c r="CL2202" s="6" t="s">
        <v>261</v>
      </c>
      <c r="CM2202" s="5" t="s">
        <v>240</v>
      </c>
      <c r="CN2202" s="5" t="s">
        <v>263</v>
      </c>
      <c r="CO2202" s="5" t="s">
        <v>240</v>
      </c>
      <c r="CP2202" s="5" t="s">
        <v>240</v>
      </c>
      <c r="CQ2202" s="5">
        <v>0</v>
      </c>
      <c r="CR2202" s="5" t="s">
        <v>306</v>
      </c>
      <c r="CS2202" s="5" t="s">
        <v>307</v>
      </c>
      <c r="CT2202" s="5" t="s">
        <v>307</v>
      </c>
      <c r="CU2202" s="5" t="s">
        <v>260</v>
      </c>
      <c r="CX2202" s="7">
        <f>1</f>
        <v>1</v>
      </c>
      <c r="CY2202" s="7">
        <f>0</f>
        <v>0</v>
      </c>
      <c r="DA2202" s="7">
        <f>0</f>
        <v>0</v>
      </c>
      <c r="DC2202" s="5" t="s">
        <v>812</v>
      </c>
      <c r="DD2202" s="5" t="s">
        <v>240</v>
      </c>
      <c r="DF2202" s="5" t="s">
        <v>812</v>
      </c>
      <c r="DG2202" s="7">
        <f>760</f>
        <v>760</v>
      </c>
      <c r="DI2202" s="5" t="s">
        <v>240</v>
      </c>
      <c r="DJ2202" s="5" t="s">
        <v>240</v>
      </c>
      <c r="DK2202" s="5" t="s">
        <v>240</v>
      </c>
      <c r="DL2202" s="5" t="s">
        <v>240</v>
      </c>
      <c r="DP2202" s="5" t="s">
        <v>240</v>
      </c>
      <c r="DQ2202" s="5" t="s">
        <v>240</v>
      </c>
      <c r="DR2202" s="5" t="s">
        <v>240</v>
      </c>
      <c r="DS2202" s="5" t="s">
        <v>240</v>
      </c>
      <c r="DV2202" s="5" t="s">
        <v>813</v>
      </c>
      <c r="DW2202" s="5" t="s">
        <v>672</v>
      </c>
      <c r="HO2202" s="5" t="s">
        <v>312</v>
      </c>
    </row>
    <row r="2203" spans="1:223" x14ac:dyDescent="0.4">
      <c r="A2203" s="5">
        <v>3907</v>
      </c>
      <c r="B2203" s="5">
        <v>1</v>
      </c>
      <c r="C2203" s="5">
        <v>1</v>
      </c>
      <c r="D2203" s="5" t="s">
        <v>810</v>
      </c>
      <c r="E2203" s="5" t="s">
        <v>245</v>
      </c>
      <c r="F2203" s="5" t="s">
        <v>254</v>
      </c>
      <c r="G2203" s="5" t="s">
        <v>240</v>
      </c>
      <c r="H2203" s="6" t="s">
        <v>4073</v>
      </c>
      <c r="I2203" s="5" t="s">
        <v>809</v>
      </c>
      <c r="J2203" s="8">
        <f>1895</f>
        <v>1895</v>
      </c>
      <c r="K2203" s="5" t="s">
        <v>308</v>
      </c>
      <c r="L2203" s="7">
        <f>1</f>
        <v>1</v>
      </c>
      <c r="M2203" s="7">
        <f>1</f>
        <v>1</v>
      </c>
      <c r="N2203" s="5" t="s">
        <v>242</v>
      </c>
      <c r="O2203" s="5">
        <v>1</v>
      </c>
      <c r="P2203" s="5" t="s">
        <v>294</v>
      </c>
      <c r="Q2203" s="5" t="s">
        <v>266</v>
      </c>
      <c r="R2203" s="5" t="s">
        <v>240</v>
      </c>
      <c r="S2203" s="5" t="s">
        <v>240</v>
      </c>
      <c r="T2203" s="5" t="s">
        <v>296</v>
      </c>
      <c r="U2203" s="5" t="s">
        <v>244</v>
      </c>
      <c r="V2203" s="5" t="s">
        <v>240</v>
      </c>
      <c r="Y2203" s="5" t="s">
        <v>240</v>
      </c>
      <c r="Z2203" s="6" t="s">
        <v>298</v>
      </c>
      <c r="AB2203" s="6" t="s">
        <v>240</v>
      </c>
      <c r="AE2203" s="6" t="s">
        <v>299</v>
      </c>
      <c r="AF2203" s="5" t="s">
        <v>248</v>
      </c>
      <c r="AG2203" s="5" t="s">
        <v>249</v>
      </c>
      <c r="AW2203" s="5" t="s">
        <v>251</v>
      </c>
      <c r="AX2203" s="5" t="s">
        <v>240</v>
      </c>
      <c r="AY2203" s="5" t="s">
        <v>253</v>
      </c>
      <c r="AZ2203" s="5" t="s">
        <v>240</v>
      </c>
      <c r="BA2203" s="5" t="s">
        <v>255</v>
      </c>
      <c r="BB2203" s="5" t="s">
        <v>240</v>
      </c>
      <c r="BD2203" s="5" t="s">
        <v>240</v>
      </c>
      <c r="BF2203" s="5" t="s">
        <v>301</v>
      </c>
      <c r="BG2203" s="6" t="s">
        <v>299</v>
      </c>
      <c r="BH2203" s="5" t="s">
        <v>302</v>
      </c>
      <c r="BI2203" s="5" t="s">
        <v>303</v>
      </c>
      <c r="BJ2203" s="5" t="s">
        <v>240</v>
      </c>
      <c r="BK2203" s="8">
        <f>0</f>
        <v>0</v>
      </c>
      <c r="BL2203" s="7">
        <f>0</f>
        <v>0</v>
      </c>
      <c r="BM2203" s="5" t="s">
        <v>258</v>
      </c>
      <c r="BN2203" s="5" t="s">
        <v>259</v>
      </c>
      <c r="CB2203" s="5" t="s">
        <v>240</v>
      </c>
      <c r="CC2203" s="5" t="s">
        <v>240</v>
      </c>
      <c r="CG2203" s="5" t="s">
        <v>304</v>
      </c>
      <c r="CH2203" s="5" t="s">
        <v>305</v>
      </c>
      <c r="CI2203" s="5" t="s">
        <v>240</v>
      </c>
      <c r="CL2203" s="6" t="s">
        <v>261</v>
      </c>
      <c r="CM2203" s="5" t="s">
        <v>240</v>
      </c>
      <c r="CN2203" s="5" t="s">
        <v>263</v>
      </c>
      <c r="CO2203" s="5" t="s">
        <v>240</v>
      </c>
      <c r="CP2203" s="5" t="s">
        <v>240</v>
      </c>
      <c r="CQ2203" s="5">
        <v>0</v>
      </c>
      <c r="CR2203" s="5" t="s">
        <v>306</v>
      </c>
      <c r="CS2203" s="5" t="s">
        <v>307</v>
      </c>
      <c r="CT2203" s="5" t="s">
        <v>307</v>
      </c>
      <c r="CU2203" s="5" t="s">
        <v>260</v>
      </c>
      <c r="CX2203" s="7">
        <f>1</f>
        <v>1</v>
      </c>
      <c r="CY2203" s="7">
        <f>0</f>
        <v>0</v>
      </c>
      <c r="DA2203" s="7">
        <f>0</f>
        <v>0</v>
      </c>
      <c r="DC2203" s="5" t="s">
        <v>812</v>
      </c>
      <c r="DD2203" s="5" t="s">
        <v>240</v>
      </c>
      <c r="DF2203" s="5" t="s">
        <v>812</v>
      </c>
      <c r="DG2203" s="7">
        <f>1936</f>
        <v>1936</v>
      </c>
      <c r="DI2203" s="5" t="s">
        <v>240</v>
      </c>
      <c r="DJ2203" s="5" t="s">
        <v>240</v>
      </c>
      <c r="DK2203" s="5" t="s">
        <v>240</v>
      </c>
      <c r="DL2203" s="5" t="s">
        <v>240</v>
      </c>
      <c r="DP2203" s="5" t="s">
        <v>240</v>
      </c>
      <c r="DQ2203" s="5" t="s">
        <v>240</v>
      </c>
      <c r="DR2203" s="5" t="s">
        <v>240</v>
      </c>
      <c r="DS2203" s="5" t="s">
        <v>240</v>
      </c>
      <c r="DV2203" s="5" t="s">
        <v>813</v>
      </c>
      <c r="DW2203" s="5" t="s">
        <v>674</v>
      </c>
      <c r="HO2203" s="5" t="s">
        <v>312</v>
      </c>
    </row>
    <row r="2204" spans="1:223" x14ac:dyDescent="0.4">
      <c r="A2204" s="5">
        <v>3908</v>
      </c>
      <c r="B2204" s="5">
        <v>1</v>
      </c>
      <c r="C2204" s="5">
        <v>1</v>
      </c>
      <c r="D2204" s="5" t="s">
        <v>810</v>
      </c>
      <c r="E2204" s="5" t="s">
        <v>245</v>
      </c>
      <c r="F2204" s="5" t="s">
        <v>254</v>
      </c>
      <c r="G2204" s="5" t="s">
        <v>240</v>
      </c>
      <c r="H2204" s="6" t="s">
        <v>4072</v>
      </c>
      <c r="I2204" s="5" t="s">
        <v>809</v>
      </c>
      <c r="J2204" s="8">
        <f>342</f>
        <v>342</v>
      </c>
      <c r="K2204" s="5" t="s">
        <v>308</v>
      </c>
      <c r="L2204" s="7">
        <f>1</f>
        <v>1</v>
      </c>
      <c r="M2204" s="7">
        <f>1</f>
        <v>1</v>
      </c>
      <c r="N2204" s="5" t="s">
        <v>242</v>
      </c>
      <c r="O2204" s="5">
        <v>1</v>
      </c>
      <c r="P2204" s="5" t="s">
        <v>294</v>
      </c>
      <c r="Q2204" s="5" t="s">
        <v>266</v>
      </c>
      <c r="R2204" s="5" t="s">
        <v>240</v>
      </c>
      <c r="S2204" s="5" t="s">
        <v>240</v>
      </c>
      <c r="T2204" s="5" t="s">
        <v>296</v>
      </c>
      <c r="U2204" s="5" t="s">
        <v>244</v>
      </c>
      <c r="V2204" s="5" t="s">
        <v>240</v>
      </c>
      <c r="Y2204" s="5" t="s">
        <v>240</v>
      </c>
      <c r="Z2204" s="6" t="s">
        <v>298</v>
      </c>
      <c r="AB2204" s="6" t="s">
        <v>240</v>
      </c>
      <c r="AE2204" s="6" t="s">
        <v>299</v>
      </c>
      <c r="AF2204" s="5" t="s">
        <v>248</v>
      </c>
      <c r="AG2204" s="5" t="s">
        <v>249</v>
      </c>
      <c r="AW2204" s="5" t="s">
        <v>251</v>
      </c>
      <c r="AX2204" s="5" t="s">
        <v>240</v>
      </c>
      <c r="AY2204" s="5" t="s">
        <v>253</v>
      </c>
      <c r="AZ2204" s="5" t="s">
        <v>240</v>
      </c>
      <c r="BA2204" s="5" t="s">
        <v>255</v>
      </c>
      <c r="BB2204" s="5" t="s">
        <v>240</v>
      </c>
      <c r="BD2204" s="5" t="s">
        <v>240</v>
      </c>
      <c r="BF2204" s="5" t="s">
        <v>301</v>
      </c>
      <c r="BG2204" s="6" t="s">
        <v>299</v>
      </c>
      <c r="BH2204" s="5" t="s">
        <v>302</v>
      </c>
      <c r="BI2204" s="5" t="s">
        <v>303</v>
      </c>
      <c r="BJ2204" s="5" t="s">
        <v>240</v>
      </c>
      <c r="BK2204" s="8">
        <f>0</f>
        <v>0</v>
      </c>
      <c r="BL2204" s="7">
        <f>0</f>
        <v>0</v>
      </c>
      <c r="BM2204" s="5" t="s">
        <v>258</v>
      </c>
      <c r="BN2204" s="5" t="s">
        <v>259</v>
      </c>
      <c r="CB2204" s="5" t="s">
        <v>240</v>
      </c>
      <c r="CC2204" s="5" t="s">
        <v>240</v>
      </c>
      <c r="CG2204" s="5" t="s">
        <v>304</v>
      </c>
      <c r="CH2204" s="5" t="s">
        <v>305</v>
      </c>
      <c r="CI2204" s="5" t="s">
        <v>240</v>
      </c>
      <c r="CL2204" s="6" t="s">
        <v>261</v>
      </c>
      <c r="CM2204" s="5" t="s">
        <v>240</v>
      </c>
      <c r="CN2204" s="5" t="s">
        <v>263</v>
      </c>
      <c r="CO2204" s="5" t="s">
        <v>240</v>
      </c>
      <c r="CP2204" s="5" t="s">
        <v>240</v>
      </c>
      <c r="CQ2204" s="5">
        <v>0</v>
      </c>
      <c r="CR2204" s="5" t="s">
        <v>306</v>
      </c>
      <c r="CS2204" s="5" t="s">
        <v>307</v>
      </c>
      <c r="CT2204" s="5" t="s">
        <v>307</v>
      </c>
      <c r="CU2204" s="5" t="s">
        <v>260</v>
      </c>
      <c r="CX2204" s="7">
        <f>1</f>
        <v>1</v>
      </c>
      <c r="CY2204" s="7">
        <f>0</f>
        <v>0</v>
      </c>
      <c r="DA2204" s="7">
        <f>0</f>
        <v>0</v>
      </c>
      <c r="DC2204" s="5" t="s">
        <v>812</v>
      </c>
      <c r="DD2204" s="5" t="s">
        <v>240</v>
      </c>
      <c r="DF2204" s="5" t="s">
        <v>812</v>
      </c>
      <c r="DG2204" s="7">
        <f>1568</f>
        <v>1568</v>
      </c>
      <c r="DI2204" s="5" t="s">
        <v>240</v>
      </c>
      <c r="DJ2204" s="5" t="s">
        <v>240</v>
      </c>
      <c r="DK2204" s="5" t="s">
        <v>240</v>
      </c>
      <c r="DL2204" s="5" t="s">
        <v>240</v>
      </c>
      <c r="DP2204" s="5" t="s">
        <v>240</v>
      </c>
      <c r="DQ2204" s="5" t="s">
        <v>240</v>
      </c>
      <c r="DR2204" s="5" t="s">
        <v>240</v>
      </c>
      <c r="DS2204" s="5" t="s">
        <v>240</v>
      </c>
      <c r="DV2204" s="5" t="s">
        <v>813</v>
      </c>
      <c r="DW2204" s="5" t="s">
        <v>676</v>
      </c>
      <c r="HO2204" s="5" t="s">
        <v>312</v>
      </c>
    </row>
    <row r="2205" spans="1:223" x14ac:dyDescent="0.4">
      <c r="A2205" s="5">
        <v>3909</v>
      </c>
      <c r="B2205" s="5">
        <v>1</v>
      </c>
      <c r="C2205" s="5">
        <v>1</v>
      </c>
      <c r="D2205" s="5" t="s">
        <v>810</v>
      </c>
      <c r="E2205" s="5" t="s">
        <v>245</v>
      </c>
      <c r="F2205" s="5" t="s">
        <v>254</v>
      </c>
      <c r="G2205" s="5" t="s">
        <v>240</v>
      </c>
      <c r="H2205" s="6" t="s">
        <v>4071</v>
      </c>
      <c r="I2205" s="5" t="s">
        <v>809</v>
      </c>
      <c r="J2205" s="8">
        <f>155</f>
        <v>155</v>
      </c>
      <c r="K2205" s="5" t="s">
        <v>308</v>
      </c>
      <c r="L2205" s="7">
        <f>1</f>
        <v>1</v>
      </c>
      <c r="M2205" s="7">
        <f>1</f>
        <v>1</v>
      </c>
      <c r="N2205" s="5" t="s">
        <v>242</v>
      </c>
      <c r="O2205" s="5">
        <v>1</v>
      </c>
      <c r="P2205" s="5" t="s">
        <v>294</v>
      </c>
      <c r="Q2205" s="5" t="s">
        <v>266</v>
      </c>
      <c r="R2205" s="5" t="s">
        <v>240</v>
      </c>
      <c r="S2205" s="5" t="s">
        <v>240</v>
      </c>
      <c r="T2205" s="5" t="s">
        <v>296</v>
      </c>
      <c r="U2205" s="5" t="s">
        <v>244</v>
      </c>
      <c r="V2205" s="5" t="s">
        <v>240</v>
      </c>
      <c r="Y2205" s="5" t="s">
        <v>240</v>
      </c>
      <c r="Z2205" s="6" t="s">
        <v>298</v>
      </c>
      <c r="AB2205" s="6" t="s">
        <v>240</v>
      </c>
      <c r="AE2205" s="6" t="s">
        <v>299</v>
      </c>
      <c r="AF2205" s="5" t="s">
        <v>248</v>
      </c>
      <c r="AG2205" s="5" t="s">
        <v>249</v>
      </c>
      <c r="AW2205" s="5" t="s">
        <v>251</v>
      </c>
      <c r="AX2205" s="5" t="s">
        <v>240</v>
      </c>
      <c r="AY2205" s="5" t="s">
        <v>253</v>
      </c>
      <c r="AZ2205" s="5" t="s">
        <v>240</v>
      </c>
      <c r="BA2205" s="5" t="s">
        <v>255</v>
      </c>
      <c r="BB2205" s="5" t="s">
        <v>240</v>
      </c>
      <c r="BD2205" s="5" t="s">
        <v>240</v>
      </c>
      <c r="BF2205" s="5" t="s">
        <v>301</v>
      </c>
      <c r="BG2205" s="6" t="s">
        <v>299</v>
      </c>
      <c r="BH2205" s="5" t="s">
        <v>302</v>
      </c>
      <c r="BI2205" s="5" t="s">
        <v>303</v>
      </c>
      <c r="BJ2205" s="5" t="s">
        <v>240</v>
      </c>
      <c r="BK2205" s="8">
        <f>0</f>
        <v>0</v>
      </c>
      <c r="BL2205" s="7">
        <f>0</f>
        <v>0</v>
      </c>
      <c r="BM2205" s="5" t="s">
        <v>258</v>
      </c>
      <c r="BN2205" s="5" t="s">
        <v>259</v>
      </c>
      <c r="CB2205" s="5" t="s">
        <v>240</v>
      </c>
      <c r="CC2205" s="5" t="s">
        <v>240</v>
      </c>
      <c r="CG2205" s="5" t="s">
        <v>304</v>
      </c>
      <c r="CH2205" s="5" t="s">
        <v>305</v>
      </c>
      <c r="CI2205" s="5" t="s">
        <v>240</v>
      </c>
      <c r="CL2205" s="6" t="s">
        <v>261</v>
      </c>
      <c r="CM2205" s="5" t="s">
        <v>240</v>
      </c>
      <c r="CN2205" s="5" t="s">
        <v>263</v>
      </c>
      <c r="CO2205" s="5" t="s">
        <v>240</v>
      </c>
      <c r="CP2205" s="5" t="s">
        <v>240</v>
      </c>
      <c r="CQ2205" s="5">
        <v>0</v>
      </c>
      <c r="CR2205" s="5" t="s">
        <v>306</v>
      </c>
      <c r="CS2205" s="5" t="s">
        <v>307</v>
      </c>
      <c r="CT2205" s="5" t="s">
        <v>307</v>
      </c>
      <c r="CU2205" s="5" t="s">
        <v>260</v>
      </c>
      <c r="CX2205" s="7">
        <f>1</f>
        <v>1</v>
      </c>
      <c r="CY2205" s="7">
        <f>0</f>
        <v>0</v>
      </c>
      <c r="DA2205" s="7">
        <f>0</f>
        <v>0</v>
      </c>
      <c r="DC2205" s="5" t="s">
        <v>812</v>
      </c>
      <c r="DD2205" s="5" t="s">
        <v>240</v>
      </c>
      <c r="DF2205" s="5" t="s">
        <v>812</v>
      </c>
      <c r="DG2205" s="7">
        <f>716</f>
        <v>716</v>
      </c>
      <c r="DI2205" s="5" t="s">
        <v>240</v>
      </c>
      <c r="DJ2205" s="5" t="s">
        <v>240</v>
      </c>
      <c r="DK2205" s="5" t="s">
        <v>240</v>
      </c>
      <c r="DL2205" s="5" t="s">
        <v>240</v>
      </c>
      <c r="DP2205" s="5" t="s">
        <v>240</v>
      </c>
      <c r="DQ2205" s="5" t="s">
        <v>240</v>
      </c>
      <c r="DR2205" s="5" t="s">
        <v>240</v>
      </c>
      <c r="DS2205" s="5" t="s">
        <v>240</v>
      </c>
      <c r="DV2205" s="5" t="s">
        <v>813</v>
      </c>
      <c r="DW2205" s="5" t="s">
        <v>678</v>
      </c>
      <c r="HO2205" s="5" t="s">
        <v>312</v>
      </c>
    </row>
    <row r="2206" spans="1:223" x14ac:dyDescent="0.4">
      <c r="A2206" s="5">
        <v>3910</v>
      </c>
      <c r="B2206" s="5">
        <v>1</v>
      </c>
      <c r="C2206" s="5">
        <v>1</v>
      </c>
      <c r="D2206" s="5" t="s">
        <v>810</v>
      </c>
      <c r="E2206" s="5" t="s">
        <v>245</v>
      </c>
      <c r="F2206" s="5" t="s">
        <v>254</v>
      </c>
      <c r="G2206" s="5" t="s">
        <v>240</v>
      </c>
      <c r="H2206" s="6" t="s">
        <v>4070</v>
      </c>
      <c r="I2206" s="5" t="s">
        <v>809</v>
      </c>
      <c r="J2206" s="8">
        <f>1260</f>
        <v>1260</v>
      </c>
      <c r="K2206" s="5" t="s">
        <v>308</v>
      </c>
      <c r="L2206" s="7">
        <f>1</f>
        <v>1</v>
      </c>
      <c r="M2206" s="7">
        <f>1</f>
        <v>1</v>
      </c>
      <c r="N2206" s="5" t="s">
        <v>242</v>
      </c>
      <c r="O2206" s="5">
        <v>1</v>
      </c>
      <c r="P2206" s="5" t="s">
        <v>294</v>
      </c>
      <c r="Q2206" s="5" t="s">
        <v>266</v>
      </c>
      <c r="R2206" s="5" t="s">
        <v>240</v>
      </c>
      <c r="S2206" s="5" t="s">
        <v>240</v>
      </c>
      <c r="T2206" s="5" t="s">
        <v>296</v>
      </c>
      <c r="U2206" s="5" t="s">
        <v>244</v>
      </c>
      <c r="V2206" s="5" t="s">
        <v>240</v>
      </c>
      <c r="Y2206" s="5" t="s">
        <v>240</v>
      </c>
      <c r="Z2206" s="6" t="s">
        <v>298</v>
      </c>
      <c r="AB2206" s="6" t="s">
        <v>240</v>
      </c>
      <c r="AE2206" s="6" t="s">
        <v>299</v>
      </c>
      <c r="AF2206" s="5" t="s">
        <v>248</v>
      </c>
      <c r="AG2206" s="5" t="s">
        <v>249</v>
      </c>
      <c r="AW2206" s="5" t="s">
        <v>251</v>
      </c>
      <c r="AX2206" s="5" t="s">
        <v>240</v>
      </c>
      <c r="AY2206" s="5" t="s">
        <v>253</v>
      </c>
      <c r="AZ2206" s="5" t="s">
        <v>240</v>
      </c>
      <c r="BA2206" s="5" t="s">
        <v>255</v>
      </c>
      <c r="BB2206" s="5" t="s">
        <v>240</v>
      </c>
      <c r="BD2206" s="5" t="s">
        <v>240</v>
      </c>
      <c r="BF2206" s="5" t="s">
        <v>301</v>
      </c>
      <c r="BG2206" s="6" t="s">
        <v>299</v>
      </c>
      <c r="BH2206" s="5" t="s">
        <v>302</v>
      </c>
      <c r="BI2206" s="5" t="s">
        <v>303</v>
      </c>
      <c r="BJ2206" s="5" t="s">
        <v>240</v>
      </c>
      <c r="BK2206" s="8">
        <f>0</f>
        <v>0</v>
      </c>
      <c r="BL2206" s="7">
        <f>0</f>
        <v>0</v>
      </c>
      <c r="BM2206" s="5" t="s">
        <v>258</v>
      </c>
      <c r="BN2206" s="5" t="s">
        <v>259</v>
      </c>
      <c r="CB2206" s="5" t="s">
        <v>240</v>
      </c>
      <c r="CC2206" s="5" t="s">
        <v>240</v>
      </c>
      <c r="CG2206" s="5" t="s">
        <v>304</v>
      </c>
      <c r="CH2206" s="5" t="s">
        <v>305</v>
      </c>
      <c r="CI2206" s="5" t="s">
        <v>240</v>
      </c>
      <c r="CL2206" s="6" t="s">
        <v>261</v>
      </c>
      <c r="CM2206" s="5" t="s">
        <v>240</v>
      </c>
      <c r="CN2206" s="5" t="s">
        <v>263</v>
      </c>
      <c r="CO2206" s="5" t="s">
        <v>240</v>
      </c>
      <c r="CP2206" s="5" t="s">
        <v>240</v>
      </c>
      <c r="CQ2206" s="5">
        <v>0</v>
      </c>
      <c r="CR2206" s="5" t="s">
        <v>306</v>
      </c>
      <c r="CS2206" s="5" t="s">
        <v>307</v>
      </c>
      <c r="CT2206" s="5" t="s">
        <v>307</v>
      </c>
      <c r="CU2206" s="5" t="s">
        <v>260</v>
      </c>
      <c r="CX2206" s="7">
        <f>1</f>
        <v>1</v>
      </c>
      <c r="CY2206" s="7">
        <f>0</f>
        <v>0</v>
      </c>
      <c r="DA2206" s="7">
        <f>0</f>
        <v>0</v>
      </c>
      <c r="DC2206" s="5" t="s">
        <v>812</v>
      </c>
      <c r="DD2206" s="5" t="s">
        <v>240</v>
      </c>
      <c r="DF2206" s="5" t="s">
        <v>812</v>
      </c>
      <c r="DG2206" s="7">
        <f>2508</f>
        <v>2508</v>
      </c>
      <c r="DI2206" s="5" t="s">
        <v>240</v>
      </c>
      <c r="DJ2206" s="5" t="s">
        <v>240</v>
      </c>
      <c r="DK2206" s="5" t="s">
        <v>240</v>
      </c>
      <c r="DL2206" s="5" t="s">
        <v>240</v>
      </c>
      <c r="DP2206" s="5" t="s">
        <v>240</v>
      </c>
      <c r="DQ2206" s="5" t="s">
        <v>240</v>
      </c>
      <c r="DR2206" s="5" t="s">
        <v>240</v>
      </c>
      <c r="DS2206" s="5" t="s">
        <v>240</v>
      </c>
      <c r="DV2206" s="5" t="s">
        <v>813</v>
      </c>
      <c r="DW2206" s="5" t="s">
        <v>680</v>
      </c>
      <c r="HO2206" s="5" t="s">
        <v>312</v>
      </c>
    </row>
    <row r="2207" spans="1:223" x14ac:dyDescent="0.4">
      <c r="A2207" s="5">
        <v>3911</v>
      </c>
      <c r="B2207" s="5">
        <v>1</v>
      </c>
      <c r="C2207" s="5">
        <v>1</v>
      </c>
      <c r="D2207" s="5" t="s">
        <v>810</v>
      </c>
      <c r="E2207" s="5" t="s">
        <v>245</v>
      </c>
      <c r="F2207" s="5" t="s">
        <v>254</v>
      </c>
      <c r="G2207" s="5" t="s">
        <v>240</v>
      </c>
      <c r="H2207" s="6" t="s">
        <v>4069</v>
      </c>
      <c r="I2207" s="5" t="s">
        <v>809</v>
      </c>
      <c r="J2207" s="8">
        <f>788</f>
        <v>788</v>
      </c>
      <c r="K2207" s="5" t="s">
        <v>308</v>
      </c>
      <c r="L2207" s="7">
        <f>1</f>
        <v>1</v>
      </c>
      <c r="M2207" s="7">
        <f>1</f>
        <v>1</v>
      </c>
      <c r="N2207" s="5" t="s">
        <v>242</v>
      </c>
      <c r="O2207" s="5">
        <v>1</v>
      </c>
      <c r="P2207" s="5" t="s">
        <v>294</v>
      </c>
      <c r="Q2207" s="5" t="s">
        <v>266</v>
      </c>
      <c r="R2207" s="5" t="s">
        <v>240</v>
      </c>
      <c r="S2207" s="5" t="s">
        <v>240</v>
      </c>
      <c r="T2207" s="5" t="s">
        <v>296</v>
      </c>
      <c r="U2207" s="5" t="s">
        <v>244</v>
      </c>
      <c r="V2207" s="5" t="s">
        <v>240</v>
      </c>
      <c r="Y2207" s="5" t="s">
        <v>240</v>
      </c>
      <c r="Z2207" s="6" t="s">
        <v>298</v>
      </c>
      <c r="AB2207" s="6" t="s">
        <v>240</v>
      </c>
      <c r="AE2207" s="6" t="s">
        <v>299</v>
      </c>
      <c r="AF2207" s="5" t="s">
        <v>248</v>
      </c>
      <c r="AG2207" s="5" t="s">
        <v>249</v>
      </c>
      <c r="AW2207" s="5" t="s">
        <v>251</v>
      </c>
      <c r="AX2207" s="5" t="s">
        <v>240</v>
      </c>
      <c r="AY2207" s="5" t="s">
        <v>253</v>
      </c>
      <c r="AZ2207" s="5" t="s">
        <v>240</v>
      </c>
      <c r="BA2207" s="5" t="s">
        <v>255</v>
      </c>
      <c r="BB2207" s="5" t="s">
        <v>240</v>
      </c>
      <c r="BD2207" s="5" t="s">
        <v>240</v>
      </c>
      <c r="BF2207" s="5" t="s">
        <v>301</v>
      </c>
      <c r="BG2207" s="6" t="s">
        <v>299</v>
      </c>
      <c r="BH2207" s="5" t="s">
        <v>302</v>
      </c>
      <c r="BI2207" s="5" t="s">
        <v>303</v>
      </c>
      <c r="BJ2207" s="5" t="s">
        <v>240</v>
      </c>
      <c r="BK2207" s="8">
        <f>0</f>
        <v>0</v>
      </c>
      <c r="BL2207" s="7">
        <f>0</f>
        <v>0</v>
      </c>
      <c r="BM2207" s="5" t="s">
        <v>258</v>
      </c>
      <c r="BN2207" s="5" t="s">
        <v>259</v>
      </c>
      <c r="CB2207" s="5" t="s">
        <v>240</v>
      </c>
      <c r="CC2207" s="5" t="s">
        <v>240</v>
      </c>
      <c r="CG2207" s="5" t="s">
        <v>304</v>
      </c>
      <c r="CH2207" s="5" t="s">
        <v>305</v>
      </c>
      <c r="CI2207" s="5" t="s">
        <v>240</v>
      </c>
      <c r="CL2207" s="6" t="s">
        <v>261</v>
      </c>
      <c r="CM2207" s="5" t="s">
        <v>240</v>
      </c>
      <c r="CN2207" s="5" t="s">
        <v>263</v>
      </c>
      <c r="CO2207" s="5" t="s">
        <v>240</v>
      </c>
      <c r="CP2207" s="5" t="s">
        <v>240</v>
      </c>
      <c r="CQ2207" s="5">
        <v>0</v>
      </c>
      <c r="CR2207" s="5" t="s">
        <v>306</v>
      </c>
      <c r="CS2207" s="5" t="s">
        <v>307</v>
      </c>
      <c r="CT2207" s="5" t="s">
        <v>307</v>
      </c>
      <c r="CU2207" s="5" t="s">
        <v>260</v>
      </c>
      <c r="CX2207" s="7">
        <f>1</f>
        <v>1</v>
      </c>
      <c r="CY2207" s="7">
        <f>0</f>
        <v>0</v>
      </c>
      <c r="DA2207" s="7">
        <f>0</f>
        <v>0</v>
      </c>
      <c r="DC2207" s="5" t="s">
        <v>812</v>
      </c>
      <c r="DD2207" s="5" t="s">
        <v>240</v>
      </c>
      <c r="DF2207" s="5" t="s">
        <v>812</v>
      </c>
      <c r="DG2207" s="7">
        <f>1642</f>
        <v>1642</v>
      </c>
      <c r="DI2207" s="5" t="s">
        <v>240</v>
      </c>
      <c r="DJ2207" s="5" t="s">
        <v>240</v>
      </c>
      <c r="DK2207" s="5" t="s">
        <v>240</v>
      </c>
      <c r="DL2207" s="5" t="s">
        <v>240</v>
      </c>
      <c r="DP2207" s="5" t="s">
        <v>240</v>
      </c>
      <c r="DQ2207" s="5" t="s">
        <v>240</v>
      </c>
      <c r="DR2207" s="5" t="s">
        <v>240</v>
      </c>
      <c r="DS2207" s="5" t="s">
        <v>240</v>
      </c>
      <c r="DV2207" s="5" t="s">
        <v>813</v>
      </c>
      <c r="DW2207" s="5" t="s">
        <v>682</v>
      </c>
      <c r="HO2207" s="5" t="s">
        <v>312</v>
      </c>
    </row>
    <row r="2208" spans="1:223" x14ac:dyDescent="0.4">
      <c r="A2208" s="5">
        <v>3912</v>
      </c>
      <c r="B2208" s="5">
        <v>1</v>
      </c>
      <c r="C2208" s="5">
        <v>1</v>
      </c>
      <c r="D2208" s="5" t="s">
        <v>810</v>
      </c>
      <c r="E2208" s="5" t="s">
        <v>245</v>
      </c>
      <c r="F2208" s="5" t="s">
        <v>254</v>
      </c>
      <c r="G2208" s="5" t="s">
        <v>240</v>
      </c>
      <c r="H2208" s="6" t="s">
        <v>4068</v>
      </c>
      <c r="I2208" s="5" t="s">
        <v>809</v>
      </c>
      <c r="J2208" s="8">
        <f>653</f>
        <v>653</v>
      </c>
      <c r="K2208" s="5" t="s">
        <v>308</v>
      </c>
      <c r="L2208" s="7">
        <f>1</f>
        <v>1</v>
      </c>
      <c r="M2208" s="7">
        <f>1</f>
        <v>1</v>
      </c>
      <c r="N2208" s="5" t="s">
        <v>242</v>
      </c>
      <c r="O2208" s="5">
        <v>1</v>
      </c>
      <c r="P2208" s="5" t="s">
        <v>294</v>
      </c>
      <c r="Q2208" s="5" t="s">
        <v>266</v>
      </c>
      <c r="R2208" s="5" t="s">
        <v>240</v>
      </c>
      <c r="S2208" s="5" t="s">
        <v>240</v>
      </c>
      <c r="T2208" s="5" t="s">
        <v>296</v>
      </c>
      <c r="U2208" s="5" t="s">
        <v>244</v>
      </c>
      <c r="V2208" s="5" t="s">
        <v>240</v>
      </c>
      <c r="Y2208" s="5" t="s">
        <v>240</v>
      </c>
      <c r="Z2208" s="6" t="s">
        <v>298</v>
      </c>
      <c r="AB2208" s="6" t="s">
        <v>240</v>
      </c>
      <c r="AE2208" s="6" t="s">
        <v>299</v>
      </c>
      <c r="AF2208" s="5" t="s">
        <v>248</v>
      </c>
      <c r="AG2208" s="5" t="s">
        <v>249</v>
      </c>
      <c r="AW2208" s="5" t="s">
        <v>251</v>
      </c>
      <c r="AX2208" s="5" t="s">
        <v>240</v>
      </c>
      <c r="AY2208" s="5" t="s">
        <v>253</v>
      </c>
      <c r="AZ2208" s="5" t="s">
        <v>240</v>
      </c>
      <c r="BA2208" s="5" t="s">
        <v>255</v>
      </c>
      <c r="BB2208" s="5" t="s">
        <v>240</v>
      </c>
      <c r="BD2208" s="5" t="s">
        <v>240</v>
      </c>
      <c r="BF2208" s="5" t="s">
        <v>301</v>
      </c>
      <c r="BG2208" s="6" t="s">
        <v>299</v>
      </c>
      <c r="BH2208" s="5" t="s">
        <v>302</v>
      </c>
      <c r="BI2208" s="5" t="s">
        <v>303</v>
      </c>
      <c r="BJ2208" s="5" t="s">
        <v>240</v>
      </c>
      <c r="BK2208" s="8">
        <f>0</f>
        <v>0</v>
      </c>
      <c r="BL2208" s="7">
        <f>0</f>
        <v>0</v>
      </c>
      <c r="BM2208" s="5" t="s">
        <v>258</v>
      </c>
      <c r="BN2208" s="5" t="s">
        <v>259</v>
      </c>
      <c r="CB2208" s="5" t="s">
        <v>240</v>
      </c>
      <c r="CC2208" s="5" t="s">
        <v>240</v>
      </c>
      <c r="CG2208" s="5" t="s">
        <v>304</v>
      </c>
      <c r="CH2208" s="5" t="s">
        <v>305</v>
      </c>
      <c r="CI2208" s="5" t="s">
        <v>240</v>
      </c>
      <c r="CL2208" s="6" t="s">
        <v>261</v>
      </c>
      <c r="CM2208" s="5" t="s">
        <v>240</v>
      </c>
      <c r="CN2208" s="5" t="s">
        <v>263</v>
      </c>
      <c r="CO2208" s="5" t="s">
        <v>240</v>
      </c>
      <c r="CP2208" s="5" t="s">
        <v>240</v>
      </c>
      <c r="CQ2208" s="5">
        <v>0</v>
      </c>
      <c r="CR2208" s="5" t="s">
        <v>306</v>
      </c>
      <c r="CS2208" s="5" t="s">
        <v>307</v>
      </c>
      <c r="CT2208" s="5" t="s">
        <v>307</v>
      </c>
      <c r="CU2208" s="5" t="s">
        <v>260</v>
      </c>
      <c r="CX2208" s="7">
        <f>1</f>
        <v>1</v>
      </c>
      <c r="CY2208" s="7">
        <f>0</f>
        <v>0</v>
      </c>
      <c r="DA2208" s="7">
        <f>0</f>
        <v>0</v>
      </c>
      <c r="DC2208" s="5" t="s">
        <v>812</v>
      </c>
      <c r="DD2208" s="5" t="s">
        <v>240</v>
      </c>
      <c r="DF2208" s="5" t="s">
        <v>812</v>
      </c>
      <c r="DG2208" s="7">
        <f>790</f>
        <v>790</v>
      </c>
      <c r="DI2208" s="5" t="s">
        <v>240</v>
      </c>
      <c r="DJ2208" s="5" t="s">
        <v>240</v>
      </c>
      <c r="DK2208" s="5" t="s">
        <v>240</v>
      </c>
      <c r="DL2208" s="5" t="s">
        <v>240</v>
      </c>
      <c r="DP2208" s="5" t="s">
        <v>240</v>
      </c>
      <c r="DQ2208" s="5" t="s">
        <v>240</v>
      </c>
      <c r="DR2208" s="5" t="s">
        <v>240</v>
      </c>
      <c r="DS2208" s="5" t="s">
        <v>240</v>
      </c>
      <c r="DV2208" s="5" t="s">
        <v>813</v>
      </c>
      <c r="DW2208" s="5" t="s">
        <v>1184</v>
      </c>
      <c r="HO2208" s="5" t="s">
        <v>312</v>
      </c>
    </row>
    <row r="2209" spans="1:223" x14ac:dyDescent="0.4">
      <c r="A2209" s="5">
        <v>3913</v>
      </c>
      <c r="B2209" s="5">
        <v>1</v>
      </c>
      <c r="C2209" s="5">
        <v>1</v>
      </c>
      <c r="D2209" s="5" t="s">
        <v>810</v>
      </c>
      <c r="E2209" s="5" t="s">
        <v>245</v>
      </c>
      <c r="F2209" s="5" t="s">
        <v>254</v>
      </c>
      <c r="G2209" s="5" t="s">
        <v>240</v>
      </c>
      <c r="H2209" s="6" t="s">
        <v>4067</v>
      </c>
      <c r="I2209" s="5" t="s">
        <v>809</v>
      </c>
      <c r="J2209" s="8">
        <f>1916</f>
        <v>1916</v>
      </c>
      <c r="K2209" s="5" t="s">
        <v>308</v>
      </c>
      <c r="L2209" s="7">
        <f>1</f>
        <v>1</v>
      </c>
      <c r="M2209" s="7">
        <f>1</f>
        <v>1</v>
      </c>
      <c r="N2209" s="5" t="s">
        <v>242</v>
      </c>
      <c r="O2209" s="5">
        <v>1</v>
      </c>
      <c r="P2209" s="5" t="s">
        <v>294</v>
      </c>
      <c r="Q2209" s="5" t="s">
        <v>266</v>
      </c>
      <c r="R2209" s="5" t="s">
        <v>240</v>
      </c>
      <c r="S2209" s="5" t="s">
        <v>240</v>
      </c>
      <c r="T2209" s="5" t="s">
        <v>296</v>
      </c>
      <c r="U2209" s="5" t="s">
        <v>244</v>
      </c>
      <c r="V2209" s="5" t="s">
        <v>240</v>
      </c>
      <c r="Y2209" s="5" t="s">
        <v>240</v>
      </c>
      <c r="Z2209" s="6" t="s">
        <v>298</v>
      </c>
      <c r="AB2209" s="6" t="s">
        <v>240</v>
      </c>
      <c r="AE2209" s="6" t="s">
        <v>299</v>
      </c>
      <c r="AF2209" s="5" t="s">
        <v>248</v>
      </c>
      <c r="AG2209" s="5" t="s">
        <v>249</v>
      </c>
      <c r="AW2209" s="5" t="s">
        <v>251</v>
      </c>
      <c r="AX2209" s="5" t="s">
        <v>240</v>
      </c>
      <c r="AY2209" s="5" t="s">
        <v>253</v>
      </c>
      <c r="AZ2209" s="5" t="s">
        <v>240</v>
      </c>
      <c r="BA2209" s="5" t="s">
        <v>255</v>
      </c>
      <c r="BB2209" s="5" t="s">
        <v>240</v>
      </c>
      <c r="BD2209" s="5" t="s">
        <v>240</v>
      </c>
      <c r="BF2209" s="5" t="s">
        <v>301</v>
      </c>
      <c r="BG2209" s="6" t="s">
        <v>299</v>
      </c>
      <c r="BH2209" s="5" t="s">
        <v>302</v>
      </c>
      <c r="BI2209" s="5" t="s">
        <v>303</v>
      </c>
      <c r="BJ2209" s="5" t="s">
        <v>240</v>
      </c>
      <c r="BK2209" s="8">
        <f>0</f>
        <v>0</v>
      </c>
      <c r="BL2209" s="7">
        <f>0</f>
        <v>0</v>
      </c>
      <c r="BM2209" s="5" t="s">
        <v>258</v>
      </c>
      <c r="BN2209" s="5" t="s">
        <v>259</v>
      </c>
      <c r="CB2209" s="5" t="s">
        <v>240</v>
      </c>
      <c r="CC2209" s="5" t="s">
        <v>240</v>
      </c>
      <c r="CG2209" s="5" t="s">
        <v>304</v>
      </c>
      <c r="CH2209" s="5" t="s">
        <v>305</v>
      </c>
      <c r="CI2209" s="5" t="s">
        <v>240</v>
      </c>
      <c r="CL2209" s="6" t="s">
        <v>261</v>
      </c>
      <c r="CM2209" s="5" t="s">
        <v>240</v>
      </c>
      <c r="CN2209" s="5" t="s">
        <v>263</v>
      </c>
      <c r="CO2209" s="5" t="s">
        <v>240</v>
      </c>
      <c r="CP2209" s="5" t="s">
        <v>240</v>
      </c>
      <c r="CQ2209" s="5">
        <v>0</v>
      </c>
      <c r="CR2209" s="5" t="s">
        <v>306</v>
      </c>
      <c r="CS2209" s="5" t="s">
        <v>307</v>
      </c>
      <c r="CT2209" s="5" t="s">
        <v>307</v>
      </c>
      <c r="CU2209" s="5" t="s">
        <v>260</v>
      </c>
      <c r="CX2209" s="7">
        <f>1</f>
        <v>1</v>
      </c>
      <c r="CY2209" s="7">
        <f>0</f>
        <v>0</v>
      </c>
      <c r="DA2209" s="7">
        <f>0</f>
        <v>0</v>
      </c>
      <c r="DC2209" s="5" t="s">
        <v>812</v>
      </c>
      <c r="DD2209" s="5" t="s">
        <v>240</v>
      </c>
      <c r="DF2209" s="5" t="s">
        <v>812</v>
      </c>
      <c r="DG2209" s="7">
        <f>752</f>
        <v>752</v>
      </c>
      <c r="DI2209" s="5" t="s">
        <v>240</v>
      </c>
      <c r="DJ2209" s="5" t="s">
        <v>240</v>
      </c>
      <c r="DK2209" s="5" t="s">
        <v>240</v>
      </c>
      <c r="DL2209" s="5" t="s">
        <v>240</v>
      </c>
      <c r="DP2209" s="5" t="s">
        <v>240</v>
      </c>
      <c r="DQ2209" s="5" t="s">
        <v>240</v>
      </c>
      <c r="DR2209" s="5" t="s">
        <v>240</v>
      </c>
      <c r="DS2209" s="5" t="s">
        <v>240</v>
      </c>
      <c r="DV2209" s="5" t="s">
        <v>813</v>
      </c>
      <c r="DW2209" s="5" t="s">
        <v>693</v>
      </c>
      <c r="HO2209" s="5" t="s">
        <v>312</v>
      </c>
    </row>
    <row r="2210" spans="1:223" x14ac:dyDescent="0.4">
      <c r="A2210" s="5">
        <v>3914</v>
      </c>
      <c r="B2210" s="5">
        <v>1</v>
      </c>
      <c r="C2210" s="5">
        <v>1</v>
      </c>
      <c r="D2210" s="5" t="s">
        <v>810</v>
      </c>
      <c r="E2210" s="5" t="s">
        <v>245</v>
      </c>
      <c r="F2210" s="5" t="s">
        <v>254</v>
      </c>
      <c r="G2210" s="5" t="s">
        <v>240</v>
      </c>
      <c r="H2210" s="6" t="s">
        <v>4066</v>
      </c>
      <c r="I2210" s="5" t="s">
        <v>809</v>
      </c>
      <c r="J2210" s="8">
        <f>1430</f>
        <v>1430</v>
      </c>
      <c r="K2210" s="5" t="s">
        <v>308</v>
      </c>
      <c r="L2210" s="7">
        <f>1</f>
        <v>1</v>
      </c>
      <c r="M2210" s="7">
        <f>1</f>
        <v>1</v>
      </c>
      <c r="N2210" s="5" t="s">
        <v>242</v>
      </c>
      <c r="O2210" s="5">
        <v>1</v>
      </c>
      <c r="P2210" s="5" t="s">
        <v>294</v>
      </c>
      <c r="Q2210" s="5" t="s">
        <v>266</v>
      </c>
      <c r="R2210" s="5" t="s">
        <v>240</v>
      </c>
      <c r="S2210" s="5" t="s">
        <v>240</v>
      </c>
      <c r="T2210" s="5" t="s">
        <v>296</v>
      </c>
      <c r="U2210" s="5" t="s">
        <v>244</v>
      </c>
      <c r="V2210" s="5" t="s">
        <v>240</v>
      </c>
      <c r="Y2210" s="5" t="s">
        <v>240</v>
      </c>
      <c r="Z2210" s="6" t="s">
        <v>298</v>
      </c>
      <c r="AB2210" s="6" t="s">
        <v>240</v>
      </c>
      <c r="AE2210" s="6" t="s">
        <v>299</v>
      </c>
      <c r="AF2210" s="5" t="s">
        <v>248</v>
      </c>
      <c r="AG2210" s="5" t="s">
        <v>249</v>
      </c>
      <c r="AW2210" s="5" t="s">
        <v>251</v>
      </c>
      <c r="AX2210" s="5" t="s">
        <v>240</v>
      </c>
      <c r="AY2210" s="5" t="s">
        <v>253</v>
      </c>
      <c r="AZ2210" s="5" t="s">
        <v>240</v>
      </c>
      <c r="BA2210" s="5" t="s">
        <v>255</v>
      </c>
      <c r="BB2210" s="5" t="s">
        <v>240</v>
      </c>
      <c r="BD2210" s="5" t="s">
        <v>240</v>
      </c>
      <c r="BF2210" s="5" t="s">
        <v>301</v>
      </c>
      <c r="BG2210" s="6" t="s">
        <v>299</v>
      </c>
      <c r="BH2210" s="5" t="s">
        <v>302</v>
      </c>
      <c r="BI2210" s="5" t="s">
        <v>303</v>
      </c>
      <c r="BJ2210" s="5" t="s">
        <v>240</v>
      </c>
      <c r="BK2210" s="8">
        <f>0</f>
        <v>0</v>
      </c>
      <c r="BL2210" s="7">
        <f>0</f>
        <v>0</v>
      </c>
      <c r="BM2210" s="5" t="s">
        <v>258</v>
      </c>
      <c r="BN2210" s="5" t="s">
        <v>259</v>
      </c>
      <c r="CB2210" s="5" t="s">
        <v>240</v>
      </c>
      <c r="CC2210" s="5" t="s">
        <v>240</v>
      </c>
      <c r="CG2210" s="5" t="s">
        <v>304</v>
      </c>
      <c r="CH2210" s="5" t="s">
        <v>305</v>
      </c>
      <c r="CI2210" s="5" t="s">
        <v>240</v>
      </c>
      <c r="CL2210" s="6" t="s">
        <v>261</v>
      </c>
      <c r="CM2210" s="5" t="s">
        <v>240</v>
      </c>
      <c r="CN2210" s="5" t="s">
        <v>263</v>
      </c>
      <c r="CO2210" s="5" t="s">
        <v>240</v>
      </c>
      <c r="CP2210" s="5" t="s">
        <v>240</v>
      </c>
      <c r="CQ2210" s="5">
        <v>0</v>
      </c>
      <c r="CR2210" s="5" t="s">
        <v>306</v>
      </c>
      <c r="CS2210" s="5" t="s">
        <v>307</v>
      </c>
      <c r="CT2210" s="5" t="s">
        <v>307</v>
      </c>
      <c r="CU2210" s="5" t="s">
        <v>260</v>
      </c>
      <c r="CX2210" s="7">
        <f>1</f>
        <v>1</v>
      </c>
      <c r="CY2210" s="7">
        <f>0</f>
        <v>0</v>
      </c>
      <c r="DA2210" s="7">
        <f>0</f>
        <v>0</v>
      </c>
      <c r="DC2210" s="5" t="s">
        <v>812</v>
      </c>
      <c r="DD2210" s="5" t="s">
        <v>240</v>
      </c>
      <c r="DF2210" s="5" t="s">
        <v>812</v>
      </c>
      <c r="DG2210" s="7">
        <f>158</f>
        <v>158</v>
      </c>
      <c r="DI2210" s="5" t="s">
        <v>240</v>
      </c>
      <c r="DJ2210" s="5" t="s">
        <v>240</v>
      </c>
      <c r="DK2210" s="5" t="s">
        <v>240</v>
      </c>
      <c r="DL2210" s="5" t="s">
        <v>240</v>
      </c>
      <c r="DP2210" s="5" t="s">
        <v>240</v>
      </c>
      <c r="DQ2210" s="5" t="s">
        <v>240</v>
      </c>
      <c r="DR2210" s="5" t="s">
        <v>240</v>
      </c>
      <c r="DS2210" s="5" t="s">
        <v>240</v>
      </c>
      <c r="DV2210" s="5" t="s">
        <v>813</v>
      </c>
      <c r="DW2210" s="5" t="s">
        <v>695</v>
      </c>
      <c r="HO2210" s="5" t="s">
        <v>312</v>
      </c>
    </row>
    <row r="2211" spans="1:223" x14ac:dyDescent="0.4">
      <c r="A2211" s="5">
        <v>3915</v>
      </c>
      <c r="B2211" s="5">
        <v>1</v>
      </c>
      <c r="C2211" s="5">
        <v>1</v>
      </c>
      <c r="D2211" s="5" t="s">
        <v>810</v>
      </c>
      <c r="E2211" s="5" t="s">
        <v>245</v>
      </c>
      <c r="F2211" s="5" t="s">
        <v>254</v>
      </c>
      <c r="G2211" s="5" t="s">
        <v>240</v>
      </c>
      <c r="H2211" s="6" t="s">
        <v>4065</v>
      </c>
      <c r="I2211" s="5" t="s">
        <v>809</v>
      </c>
      <c r="J2211" s="8">
        <f>407</f>
        <v>407</v>
      </c>
      <c r="K2211" s="5" t="s">
        <v>308</v>
      </c>
      <c r="L2211" s="7">
        <f>1</f>
        <v>1</v>
      </c>
      <c r="M2211" s="7">
        <f>1</f>
        <v>1</v>
      </c>
      <c r="N2211" s="5" t="s">
        <v>242</v>
      </c>
      <c r="O2211" s="5">
        <v>1</v>
      </c>
      <c r="P2211" s="5" t="s">
        <v>294</v>
      </c>
      <c r="Q2211" s="5" t="s">
        <v>266</v>
      </c>
      <c r="R2211" s="5" t="s">
        <v>240</v>
      </c>
      <c r="S2211" s="5" t="s">
        <v>240</v>
      </c>
      <c r="T2211" s="5" t="s">
        <v>296</v>
      </c>
      <c r="U2211" s="5" t="s">
        <v>244</v>
      </c>
      <c r="V2211" s="5" t="s">
        <v>240</v>
      </c>
      <c r="Y2211" s="5" t="s">
        <v>240</v>
      </c>
      <c r="Z2211" s="6" t="s">
        <v>298</v>
      </c>
      <c r="AB2211" s="6" t="s">
        <v>240</v>
      </c>
      <c r="AE2211" s="6" t="s">
        <v>299</v>
      </c>
      <c r="AF2211" s="5" t="s">
        <v>248</v>
      </c>
      <c r="AG2211" s="5" t="s">
        <v>249</v>
      </c>
      <c r="AW2211" s="5" t="s">
        <v>251</v>
      </c>
      <c r="AX2211" s="5" t="s">
        <v>240</v>
      </c>
      <c r="AY2211" s="5" t="s">
        <v>253</v>
      </c>
      <c r="AZ2211" s="5" t="s">
        <v>240</v>
      </c>
      <c r="BA2211" s="5" t="s">
        <v>255</v>
      </c>
      <c r="BB2211" s="5" t="s">
        <v>240</v>
      </c>
      <c r="BD2211" s="5" t="s">
        <v>240</v>
      </c>
      <c r="BF2211" s="5" t="s">
        <v>301</v>
      </c>
      <c r="BG2211" s="6" t="s">
        <v>299</v>
      </c>
      <c r="BH2211" s="5" t="s">
        <v>302</v>
      </c>
      <c r="BI2211" s="5" t="s">
        <v>303</v>
      </c>
      <c r="BJ2211" s="5" t="s">
        <v>240</v>
      </c>
      <c r="BK2211" s="8">
        <f>0</f>
        <v>0</v>
      </c>
      <c r="BL2211" s="7">
        <f>0</f>
        <v>0</v>
      </c>
      <c r="BM2211" s="5" t="s">
        <v>258</v>
      </c>
      <c r="BN2211" s="5" t="s">
        <v>259</v>
      </c>
      <c r="CB2211" s="5" t="s">
        <v>240</v>
      </c>
      <c r="CC2211" s="5" t="s">
        <v>240</v>
      </c>
      <c r="CG2211" s="5" t="s">
        <v>304</v>
      </c>
      <c r="CH2211" s="5" t="s">
        <v>305</v>
      </c>
      <c r="CI2211" s="5" t="s">
        <v>240</v>
      </c>
      <c r="CL2211" s="6" t="s">
        <v>261</v>
      </c>
      <c r="CM2211" s="5" t="s">
        <v>240</v>
      </c>
      <c r="CN2211" s="5" t="s">
        <v>263</v>
      </c>
      <c r="CO2211" s="5" t="s">
        <v>240</v>
      </c>
      <c r="CP2211" s="5" t="s">
        <v>240</v>
      </c>
      <c r="CQ2211" s="5">
        <v>0</v>
      </c>
      <c r="CR2211" s="5" t="s">
        <v>306</v>
      </c>
      <c r="CS2211" s="5" t="s">
        <v>307</v>
      </c>
      <c r="CT2211" s="5" t="s">
        <v>307</v>
      </c>
      <c r="CU2211" s="5" t="s">
        <v>260</v>
      </c>
      <c r="CX2211" s="7">
        <f>1</f>
        <v>1</v>
      </c>
      <c r="CY2211" s="7">
        <f>0</f>
        <v>0</v>
      </c>
      <c r="DA2211" s="7">
        <f>0</f>
        <v>0</v>
      </c>
      <c r="DC2211" s="5" t="s">
        <v>812</v>
      </c>
      <c r="DD2211" s="5" t="s">
        <v>240</v>
      </c>
      <c r="DF2211" s="5" t="s">
        <v>812</v>
      </c>
      <c r="DG2211" s="7">
        <f>739</f>
        <v>739</v>
      </c>
      <c r="DI2211" s="5" t="s">
        <v>240</v>
      </c>
      <c r="DJ2211" s="5" t="s">
        <v>240</v>
      </c>
      <c r="DK2211" s="5" t="s">
        <v>240</v>
      </c>
      <c r="DL2211" s="5" t="s">
        <v>240</v>
      </c>
      <c r="DP2211" s="5" t="s">
        <v>240</v>
      </c>
      <c r="DQ2211" s="5" t="s">
        <v>240</v>
      </c>
      <c r="DR2211" s="5" t="s">
        <v>240</v>
      </c>
      <c r="DS2211" s="5" t="s">
        <v>240</v>
      </c>
      <c r="DV2211" s="5" t="s">
        <v>813</v>
      </c>
      <c r="DW2211" s="5" t="s">
        <v>806</v>
      </c>
      <c r="HO2211" s="5" t="s">
        <v>312</v>
      </c>
    </row>
    <row r="2212" spans="1:223" x14ac:dyDescent="0.4">
      <c r="A2212" s="5">
        <v>3916</v>
      </c>
      <c r="B2212" s="5">
        <v>1</v>
      </c>
      <c r="C2212" s="5">
        <v>1</v>
      </c>
      <c r="D2212" s="5" t="s">
        <v>810</v>
      </c>
      <c r="E2212" s="5" t="s">
        <v>245</v>
      </c>
      <c r="F2212" s="5" t="s">
        <v>254</v>
      </c>
      <c r="G2212" s="5" t="s">
        <v>240</v>
      </c>
      <c r="H2212" s="6" t="s">
        <v>4064</v>
      </c>
      <c r="I2212" s="5" t="s">
        <v>809</v>
      </c>
      <c r="J2212" s="8">
        <f>305</f>
        <v>305</v>
      </c>
      <c r="K2212" s="5" t="s">
        <v>308</v>
      </c>
      <c r="L2212" s="7">
        <f>1</f>
        <v>1</v>
      </c>
      <c r="M2212" s="7">
        <f>1</f>
        <v>1</v>
      </c>
      <c r="N2212" s="5" t="s">
        <v>242</v>
      </c>
      <c r="O2212" s="5">
        <v>1</v>
      </c>
      <c r="P2212" s="5" t="s">
        <v>294</v>
      </c>
      <c r="Q2212" s="5" t="s">
        <v>266</v>
      </c>
      <c r="R2212" s="5" t="s">
        <v>240</v>
      </c>
      <c r="S2212" s="5" t="s">
        <v>240</v>
      </c>
      <c r="T2212" s="5" t="s">
        <v>296</v>
      </c>
      <c r="U2212" s="5" t="s">
        <v>244</v>
      </c>
      <c r="V2212" s="5" t="s">
        <v>240</v>
      </c>
      <c r="Y2212" s="5" t="s">
        <v>240</v>
      </c>
      <c r="Z2212" s="6" t="s">
        <v>298</v>
      </c>
      <c r="AB2212" s="6" t="s">
        <v>240</v>
      </c>
      <c r="AE2212" s="6" t="s">
        <v>299</v>
      </c>
      <c r="AF2212" s="5" t="s">
        <v>248</v>
      </c>
      <c r="AG2212" s="5" t="s">
        <v>249</v>
      </c>
      <c r="AW2212" s="5" t="s">
        <v>251</v>
      </c>
      <c r="AX2212" s="5" t="s">
        <v>240</v>
      </c>
      <c r="AY2212" s="5" t="s">
        <v>253</v>
      </c>
      <c r="AZ2212" s="5" t="s">
        <v>240</v>
      </c>
      <c r="BA2212" s="5" t="s">
        <v>255</v>
      </c>
      <c r="BB2212" s="5" t="s">
        <v>240</v>
      </c>
      <c r="BD2212" s="5" t="s">
        <v>240</v>
      </c>
      <c r="BF2212" s="5" t="s">
        <v>301</v>
      </c>
      <c r="BG2212" s="6" t="s">
        <v>299</v>
      </c>
      <c r="BH2212" s="5" t="s">
        <v>302</v>
      </c>
      <c r="BI2212" s="5" t="s">
        <v>303</v>
      </c>
      <c r="BJ2212" s="5" t="s">
        <v>240</v>
      </c>
      <c r="BK2212" s="8">
        <f>0</f>
        <v>0</v>
      </c>
      <c r="BL2212" s="7">
        <f>0</f>
        <v>0</v>
      </c>
      <c r="BM2212" s="5" t="s">
        <v>258</v>
      </c>
      <c r="BN2212" s="5" t="s">
        <v>259</v>
      </c>
      <c r="CB2212" s="5" t="s">
        <v>240</v>
      </c>
      <c r="CC2212" s="5" t="s">
        <v>240</v>
      </c>
      <c r="CG2212" s="5" t="s">
        <v>304</v>
      </c>
      <c r="CH2212" s="5" t="s">
        <v>305</v>
      </c>
      <c r="CI2212" s="5" t="s">
        <v>240</v>
      </c>
      <c r="CL2212" s="6" t="s">
        <v>261</v>
      </c>
      <c r="CM2212" s="5" t="s">
        <v>240</v>
      </c>
      <c r="CN2212" s="5" t="s">
        <v>263</v>
      </c>
      <c r="CO2212" s="5" t="s">
        <v>240</v>
      </c>
      <c r="CP2212" s="5" t="s">
        <v>240</v>
      </c>
      <c r="CQ2212" s="5">
        <v>0</v>
      </c>
      <c r="CR2212" s="5" t="s">
        <v>306</v>
      </c>
      <c r="CS2212" s="5" t="s">
        <v>307</v>
      </c>
      <c r="CT2212" s="5" t="s">
        <v>307</v>
      </c>
      <c r="CU2212" s="5" t="s">
        <v>260</v>
      </c>
      <c r="CX2212" s="7">
        <f>1</f>
        <v>1</v>
      </c>
      <c r="CY2212" s="7">
        <f>0</f>
        <v>0</v>
      </c>
      <c r="DA2212" s="7">
        <f>0</f>
        <v>0</v>
      </c>
      <c r="DC2212" s="5" t="s">
        <v>812</v>
      </c>
      <c r="DD2212" s="5" t="s">
        <v>240</v>
      </c>
      <c r="DF2212" s="5" t="s">
        <v>812</v>
      </c>
      <c r="DG2212" s="7">
        <f>892</f>
        <v>892</v>
      </c>
      <c r="DI2212" s="5" t="s">
        <v>240</v>
      </c>
      <c r="DJ2212" s="5" t="s">
        <v>240</v>
      </c>
      <c r="DK2212" s="5" t="s">
        <v>240</v>
      </c>
      <c r="DL2212" s="5" t="s">
        <v>240</v>
      </c>
      <c r="DP2212" s="5" t="s">
        <v>240</v>
      </c>
      <c r="DQ2212" s="5" t="s">
        <v>240</v>
      </c>
      <c r="DR2212" s="5" t="s">
        <v>240</v>
      </c>
      <c r="DS2212" s="5" t="s">
        <v>240</v>
      </c>
      <c r="DV2212" s="5" t="s">
        <v>813</v>
      </c>
      <c r="DW2212" s="5" t="s">
        <v>827</v>
      </c>
      <c r="HO2212" s="5" t="s">
        <v>312</v>
      </c>
    </row>
    <row r="2213" spans="1:223" x14ac:dyDescent="0.4">
      <c r="A2213" s="5">
        <v>3917</v>
      </c>
      <c r="B2213" s="5">
        <v>1</v>
      </c>
      <c r="C2213" s="5">
        <v>1</v>
      </c>
      <c r="D2213" s="5" t="s">
        <v>810</v>
      </c>
      <c r="E2213" s="5" t="s">
        <v>245</v>
      </c>
      <c r="F2213" s="5" t="s">
        <v>254</v>
      </c>
      <c r="G2213" s="5" t="s">
        <v>240</v>
      </c>
      <c r="H2213" s="6" t="s">
        <v>4063</v>
      </c>
      <c r="I2213" s="5" t="s">
        <v>809</v>
      </c>
      <c r="J2213" s="8">
        <f>78</f>
        <v>78</v>
      </c>
      <c r="K2213" s="5" t="s">
        <v>308</v>
      </c>
      <c r="L2213" s="7">
        <f>1</f>
        <v>1</v>
      </c>
      <c r="M2213" s="7">
        <f>1</f>
        <v>1</v>
      </c>
      <c r="N2213" s="5" t="s">
        <v>242</v>
      </c>
      <c r="O2213" s="5">
        <v>1</v>
      </c>
      <c r="P2213" s="5" t="s">
        <v>294</v>
      </c>
      <c r="Q2213" s="5" t="s">
        <v>266</v>
      </c>
      <c r="R2213" s="5" t="s">
        <v>240</v>
      </c>
      <c r="S2213" s="5" t="s">
        <v>240</v>
      </c>
      <c r="T2213" s="5" t="s">
        <v>296</v>
      </c>
      <c r="U2213" s="5" t="s">
        <v>244</v>
      </c>
      <c r="V2213" s="5" t="s">
        <v>240</v>
      </c>
      <c r="Y2213" s="5" t="s">
        <v>240</v>
      </c>
      <c r="Z2213" s="6" t="s">
        <v>298</v>
      </c>
      <c r="AB2213" s="6" t="s">
        <v>240</v>
      </c>
      <c r="AE2213" s="6" t="s">
        <v>299</v>
      </c>
      <c r="AF2213" s="5" t="s">
        <v>248</v>
      </c>
      <c r="AG2213" s="5" t="s">
        <v>249</v>
      </c>
      <c r="AW2213" s="5" t="s">
        <v>251</v>
      </c>
      <c r="AX2213" s="5" t="s">
        <v>240</v>
      </c>
      <c r="AY2213" s="5" t="s">
        <v>253</v>
      </c>
      <c r="AZ2213" s="5" t="s">
        <v>240</v>
      </c>
      <c r="BA2213" s="5" t="s">
        <v>255</v>
      </c>
      <c r="BB2213" s="5" t="s">
        <v>240</v>
      </c>
      <c r="BD2213" s="5" t="s">
        <v>240</v>
      </c>
      <c r="BF2213" s="5" t="s">
        <v>301</v>
      </c>
      <c r="BG2213" s="6" t="s">
        <v>299</v>
      </c>
      <c r="BH2213" s="5" t="s">
        <v>302</v>
      </c>
      <c r="BI2213" s="5" t="s">
        <v>303</v>
      </c>
      <c r="BJ2213" s="5" t="s">
        <v>240</v>
      </c>
      <c r="BK2213" s="8">
        <f>0</f>
        <v>0</v>
      </c>
      <c r="BL2213" s="7">
        <f>0</f>
        <v>0</v>
      </c>
      <c r="BM2213" s="5" t="s">
        <v>258</v>
      </c>
      <c r="BN2213" s="5" t="s">
        <v>259</v>
      </c>
      <c r="CB2213" s="5" t="s">
        <v>240</v>
      </c>
      <c r="CC2213" s="5" t="s">
        <v>240</v>
      </c>
      <c r="CG2213" s="5" t="s">
        <v>304</v>
      </c>
      <c r="CH2213" s="5" t="s">
        <v>305</v>
      </c>
      <c r="CI2213" s="5" t="s">
        <v>240</v>
      </c>
      <c r="CL2213" s="6" t="s">
        <v>261</v>
      </c>
      <c r="CM2213" s="5" t="s">
        <v>240</v>
      </c>
      <c r="CN2213" s="5" t="s">
        <v>263</v>
      </c>
      <c r="CO2213" s="5" t="s">
        <v>240</v>
      </c>
      <c r="CP2213" s="5" t="s">
        <v>240</v>
      </c>
      <c r="CQ2213" s="5">
        <v>0</v>
      </c>
      <c r="CR2213" s="5" t="s">
        <v>306</v>
      </c>
      <c r="CS2213" s="5" t="s">
        <v>307</v>
      </c>
      <c r="CT2213" s="5" t="s">
        <v>307</v>
      </c>
      <c r="CU2213" s="5" t="s">
        <v>260</v>
      </c>
      <c r="CX2213" s="7">
        <f>1</f>
        <v>1</v>
      </c>
      <c r="CY2213" s="7">
        <f>0</f>
        <v>0</v>
      </c>
      <c r="DA2213" s="7">
        <f>0</f>
        <v>0</v>
      </c>
      <c r="DC2213" s="5" t="s">
        <v>812</v>
      </c>
      <c r="DD2213" s="5" t="s">
        <v>240</v>
      </c>
      <c r="DF2213" s="5" t="s">
        <v>812</v>
      </c>
      <c r="DG2213" s="7">
        <f>1215</f>
        <v>1215</v>
      </c>
      <c r="DI2213" s="5" t="s">
        <v>240</v>
      </c>
      <c r="DJ2213" s="5" t="s">
        <v>240</v>
      </c>
      <c r="DK2213" s="5" t="s">
        <v>240</v>
      </c>
      <c r="DL2213" s="5" t="s">
        <v>240</v>
      </c>
      <c r="DP2213" s="5" t="s">
        <v>240</v>
      </c>
      <c r="DQ2213" s="5" t="s">
        <v>240</v>
      </c>
      <c r="DR2213" s="5" t="s">
        <v>240</v>
      </c>
      <c r="DS2213" s="5" t="s">
        <v>240</v>
      </c>
      <c r="DV2213" s="5" t="s">
        <v>813</v>
      </c>
      <c r="DW2213" s="5" t="s">
        <v>1190</v>
      </c>
      <c r="HO2213" s="5" t="s">
        <v>312</v>
      </c>
    </row>
    <row r="2214" spans="1:223" x14ac:dyDescent="0.4">
      <c r="A2214" s="5">
        <v>3918</v>
      </c>
      <c r="B2214" s="5">
        <v>1</v>
      </c>
      <c r="C2214" s="5">
        <v>1</v>
      </c>
      <c r="D2214" s="5" t="s">
        <v>810</v>
      </c>
      <c r="E2214" s="5" t="s">
        <v>245</v>
      </c>
      <c r="F2214" s="5" t="s">
        <v>254</v>
      </c>
      <c r="G2214" s="5" t="s">
        <v>240</v>
      </c>
      <c r="H2214" s="6" t="s">
        <v>4062</v>
      </c>
      <c r="I2214" s="5" t="s">
        <v>809</v>
      </c>
      <c r="J2214" s="8">
        <f>1309</f>
        <v>1309</v>
      </c>
      <c r="K2214" s="5" t="s">
        <v>308</v>
      </c>
      <c r="L2214" s="7">
        <f>1</f>
        <v>1</v>
      </c>
      <c r="M2214" s="7">
        <f>1</f>
        <v>1</v>
      </c>
      <c r="N2214" s="5" t="s">
        <v>242</v>
      </c>
      <c r="O2214" s="5">
        <v>1</v>
      </c>
      <c r="P2214" s="5" t="s">
        <v>294</v>
      </c>
      <c r="Q2214" s="5" t="s">
        <v>266</v>
      </c>
      <c r="R2214" s="5" t="s">
        <v>240</v>
      </c>
      <c r="S2214" s="5" t="s">
        <v>240</v>
      </c>
      <c r="T2214" s="5" t="s">
        <v>296</v>
      </c>
      <c r="U2214" s="5" t="s">
        <v>244</v>
      </c>
      <c r="V2214" s="5" t="s">
        <v>240</v>
      </c>
      <c r="Y2214" s="5" t="s">
        <v>240</v>
      </c>
      <c r="Z2214" s="6" t="s">
        <v>298</v>
      </c>
      <c r="AB2214" s="6" t="s">
        <v>240</v>
      </c>
      <c r="AE2214" s="6" t="s">
        <v>299</v>
      </c>
      <c r="AF2214" s="5" t="s">
        <v>248</v>
      </c>
      <c r="AG2214" s="5" t="s">
        <v>249</v>
      </c>
      <c r="AW2214" s="5" t="s">
        <v>251</v>
      </c>
      <c r="AX2214" s="5" t="s">
        <v>240</v>
      </c>
      <c r="AY2214" s="5" t="s">
        <v>253</v>
      </c>
      <c r="AZ2214" s="5" t="s">
        <v>240</v>
      </c>
      <c r="BA2214" s="5" t="s">
        <v>255</v>
      </c>
      <c r="BB2214" s="5" t="s">
        <v>240</v>
      </c>
      <c r="BD2214" s="5" t="s">
        <v>240</v>
      </c>
      <c r="BF2214" s="5" t="s">
        <v>301</v>
      </c>
      <c r="BG2214" s="6" t="s">
        <v>299</v>
      </c>
      <c r="BH2214" s="5" t="s">
        <v>302</v>
      </c>
      <c r="BI2214" s="5" t="s">
        <v>303</v>
      </c>
      <c r="BJ2214" s="5" t="s">
        <v>240</v>
      </c>
      <c r="BK2214" s="8">
        <f>0</f>
        <v>0</v>
      </c>
      <c r="BL2214" s="7">
        <f>0</f>
        <v>0</v>
      </c>
      <c r="BM2214" s="5" t="s">
        <v>258</v>
      </c>
      <c r="BN2214" s="5" t="s">
        <v>259</v>
      </c>
      <c r="CB2214" s="5" t="s">
        <v>240</v>
      </c>
      <c r="CC2214" s="5" t="s">
        <v>240</v>
      </c>
      <c r="CG2214" s="5" t="s">
        <v>304</v>
      </c>
      <c r="CH2214" s="5" t="s">
        <v>305</v>
      </c>
      <c r="CI2214" s="5" t="s">
        <v>240</v>
      </c>
      <c r="CL2214" s="6" t="s">
        <v>261</v>
      </c>
      <c r="CM2214" s="5" t="s">
        <v>240</v>
      </c>
      <c r="CN2214" s="5" t="s">
        <v>263</v>
      </c>
      <c r="CO2214" s="5" t="s">
        <v>240</v>
      </c>
      <c r="CP2214" s="5" t="s">
        <v>240</v>
      </c>
      <c r="CQ2214" s="5">
        <v>0</v>
      </c>
      <c r="CR2214" s="5" t="s">
        <v>306</v>
      </c>
      <c r="CS2214" s="5" t="s">
        <v>307</v>
      </c>
      <c r="CT2214" s="5" t="s">
        <v>307</v>
      </c>
      <c r="CU2214" s="5" t="s">
        <v>260</v>
      </c>
      <c r="CX2214" s="7">
        <f>1</f>
        <v>1</v>
      </c>
      <c r="CY2214" s="7">
        <f>0</f>
        <v>0</v>
      </c>
      <c r="DA2214" s="7">
        <f>0</f>
        <v>0</v>
      </c>
      <c r="DC2214" s="5" t="s">
        <v>812</v>
      </c>
      <c r="DD2214" s="5" t="s">
        <v>240</v>
      </c>
      <c r="DF2214" s="5" t="s">
        <v>812</v>
      </c>
      <c r="DG2214" s="7">
        <f>762</f>
        <v>762</v>
      </c>
      <c r="DI2214" s="5" t="s">
        <v>240</v>
      </c>
      <c r="DJ2214" s="5" t="s">
        <v>240</v>
      </c>
      <c r="DK2214" s="5" t="s">
        <v>240</v>
      </c>
      <c r="DL2214" s="5" t="s">
        <v>240</v>
      </c>
      <c r="DP2214" s="5" t="s">
        <v>240</v>
      </c>
      <c r="DQ2214" s="5" t="s">
        <v>240</v>
      </c>
      <c r="DR2214" s="5" t="s">
        <v>240</v>
      </c>
      <c r="DS2214" s="5" t="s">
        <v>240</v>
      </c>
      <c r="DV2214" s="5" t="s">
        <v>813</v>
      </c>
      <c r="DW2214" s="5" t="s">
        <v>1192</v>
      </c>
      <c r="HO2214" s="5" t="s">
        <v>312</v>
      </c>
    </row>
    <row r="2215" spans="1:223" x14ac:dyDescent="0.4">
      <c r="A2215" s="5">
        <v>3919</v>
      </c>
      <c r="B2215" s="5">
        <v>1</v>
      </c>
      <c r="C2215" s="5">
        <v>1</v>
      </c>
      <c r="D2215" s="5" t="s">
        <v>810</v>
      </c>
      <c r="E2215" s="5" t="s">
        <v>245</v>
      </c>
      <c r="F2215" s="5" t="s">
        <v>254</v>
      </c>
      <c r="G2215" s="5" t="s">
        <v>240</v>
      </c>
      <c r="H2215" s="6" t="s">
        <v>4061</v>
      </c>
      <c r="I2215" s="5" t="s">
        <v>809</v>
      </c>
      <c r="J2215" s="8">
        <f>825</f>
        <v>825</v>
      </c>
      <c r="K2215" s="5" t="s">
        <v>308</v>
      </c>
      <c r="L2215" s="7">
        <f>1</f>
        <v>1</v>
      </c>
      <c r="M2215" s="7">
        <f>1</f>
        <v>1</v>
      </c>
      <c r="N2215" s="5" t="s">
        <v>242</v>
      </c>
      <c r="O2215" s="5">
        <v>1</v>
      </c>
      <c r="P2215" s="5" t="s">
        <v>294</v>
      </c>
      <c r="Q2215" s="5" t="s">
        <v>266</v>
      </c>
      <c r="R2215" s="5" t="s">
        <v>240</v>
      </c>
      <c r="S2215" s="5" t="s">
        <v>240</v>
      </c>
      <c r="T2215" s="5" t="s">
        <v>296</v>
      </c>
      <c r="U2215" s="5" t="s">
        <v>244</v>
      </c>
      <c r="V2215" s="5" t="s">
        <v>240</v>
      </c>
      <c r="Y2215" s="5" t="s">
        <v>240</v>
      </c>
      <c r="Z2215" s="6" t="s">
        <v>298</v>
      </c>
      <c r="AB2215" s="6" t="s">
        <v>240</v>
      </c>
      <c r="AE2215" s="6" t="s">
        <v>299</v>
      </c>
      <c r="AF2215" s="5" t="s">
        <v>248</v>
      </c>
      <c r="AG2215" s="5" t="s">
        <v>249</v>
      </c>
      <c r="AW2215" s="5" t="s">
        <v>251</v>
      </c>
      <c r="AX2215" s="5" t="s">
        <v>240</v>
      </c>
      <c r="AY2215" s="5" t="s">
        <v>253</v>
      </c>
      <c r="AZ2215" s="5" t="s">
        <v>240</v>
      </c>
      <c r="BA2215" s="5" t="s">
        <v>255</v>
      </c>
      <c r="BB2215" s="5" t="s">
        <v>240</v>
      </c>
      <c r="BD2215" s="5" t="s">
        <v>240</v>
      </c>
      <c r="BF2215" s="5" t="s">
        <v>301</v>
      </c>
      <c r="BG2215" s="6" t="s">
        <v>299</v>
      </c>
      <c r="BH2215" s="5" t="s">
        <v>302</v>
      </c>
      <c r="BI2215" s="5" t="s">
        <v>303</v>
      </c>
      <c r="BJ2215" s="5" t="s">
        <v>240</v>
      </c>
      <c r="BK2215" s="8">
        <f>0</f>
        <v>0</v>
      </c>
      <c r="BL2215" s="7">
        <f>0</f>
        <v>0</v>
      </c>
      <c r="BM2215" s="5" t="s">
        <v>258</v>
      </c>
      <c r="BN2215" s="5" t="s">
        <v>259</v>
      </c>
      <c r="CB2215" s="5" t="s">
        <v>240</v>
      </c>
      <c r="CC2215" s="5" t="s">
        <v>240</v>
      </c>
      <c r="CG2215" s="5" t="s">
        <v>304</v>
      </c>
      <c r="CH2215" s="5" t="s">
        <v>305</v>
      </c>
      <c r="CI2215" s="5" t="s">
        <v>240</v>
      </c>
      <c r="CL2215" s="6" t="s">
        <v>261</v>
      </c>
      <c r="CM2215" s="5" t="s">
        <v>240</v>
      </c>
      <c r="CN2215" s="5" t="s">
        <v>263</v>
      </c>
      <c r="CO2215" s="5" t="s">
        <v>240</v>
      </c>
      <c r="CP2215" s="5" t="s">
        <v>240</v>
      </c>
      <c r="CQ2215" s="5">
        <v>0</v>
      </c>
      <c r="CR2215" s="5" t="s">
        <v>306</v>
      </c>
      <c r="CS2215" s="5" t="s">
        <v>307</v>
      </c>
      <c r="CT2215" s="5" t="s">
        <v>307</v>
      </c>
      <c r="CU2215" s="5" t="s">
        <v>260</v>
      </c>
      <c r="CX2215" s="7">
        <f>1</f>
        <v>1</v>
      </c>
      <c r="CY2215" s="7">
        <f>0</f>
        <v>0</v>
      </c>
      <c r="DA2215" s="7">
        <f>0</f>
        <v>0</v>
      </c>
      <c r="DC2215" s="5" t="s">
        <v>812</v>
      </c>
      <c r="DD2215" s="5" t="s">
        <v>240</v>
      </c>
      <c r="DF2215" s="5" t="s">
        <v>812</v>
      </c>
      <c r="DG2215" s="7">
        <f>413</f>
        <v>413</v>
      </c>
      <c r="DI2215" s="5" t="s">
        <v>240</v>
      </c>
      <c r="DJ2215" s="5" t="s">
        <v>240</v>
      </c>
      <c r="DK2215" s="5" t="s">
        <v>240</v>
      </c>
      <c r="DL2215" s="5" t="s">
        <v>240</v>
      </c>
      <c r="DP2215" s="5" t="s">
        <v>240</v>
      </c>
      <c r="DQ2215" s="5" t="s">
        <v>240</v>
      </c>
      <c r="DR2215" s="5" t="s">
        <v>240</v>
      </c>
      <c r="DS2215" s="5" t="s">
        <v>240</v>
      </c>
      <c r="DV2215" s="5" t="s">
        <v>813</v>
      </c>
      <c r="DW2215" s="5" t="s">
        <v>1194</v>
      </c>
      <c r="HO2215" s="5" t="s">
        <v>312</v>
      </c>
    </row>
    <row r="2216" spans="1:223" x14ac:dyDescent="0.4">
      <c r="A2216" s="5">
        <v>3920</v>
      </c>
      <c r="B2216" s="5">
        <v>1</v>
      </c>
      <c r="C2216" s="5">
        <v>1</v>
      </c>
      <c r="D2216" s="5" t="s">
        <v>810</v>
      </c>
      <c r="E2216" s="5" t="s">
        <v>245</v>
      </c>
      <c r="F2216" s="5" t="s">
        <v>254</v>
      </c>
      <c r="G2216" s="5" t="s">
        <v>240</v>
      </c>
      <c r="H2216" s="6" t="s">
        <v>4060</v>
      </c>
      <c r="I2216" s="5" t="s">
        <v>809</v>
      </c>
      <c r="J2216" s="8">
        <f>517</f>
        <v>517</v>
      </c>
      <c r="K2216" s="5" t="s">
        <v>308</v>
      </c>
      <c r="L2216" s="7">
        <f>1</f>
        <v>1</v>
      </c>
      <c r="M2216" s="7">
        <f>1</f>
        <v>1</v>
      </c>
      <c r="N2216" s="5" t="s">
        <v>242</v>
      </c>
      <c r="O2216" s="5">
        <v>1</v>
      </c>
      <c r="P2216" s="5" t="s">
        <v>294</v>
      </c>
      <c r="Q2216" s="5" t="s">
        <v>266</v>
      </c>
      <c r="R2216" s="5" t="s">
        <v>240</v>
      </c>
      <c r="S2216" s="5" t="s">
        <v>240</v>
      </c>
      <c r="T2216" s="5" t="s">
        <v>296</v>
      </c>
      <c r="U2216" s="5" t="s">
        <v>244</v>
      </c>
      <c r="V2216" s="5" t="s">
        <v>240</v>
      </c>
      <c r="Y2216" s="5" t="s">
        <v>240</v>
      </c>
      <c r="Z2216" s="6" t="s">
        <v>298</v>
      </c>
      <c r="AB2216" s="6" t="s">
        <v>240</v>
      </c>
      <c r="AE2216" s="6" t="s">
        <v>299</v>
      </c>
      <c r="AF2216" s="5" t="s">
        <v>248</v>
      </c>
      <c r="AG2216" s="5" t="s">
        <v>249</v>
      </c>
      <c r="AW2216" s="5" t="s">
        <v>251</v>
      </c>
      <c r="AX2216" s="5" t="s">
        <v>240</v>
      </c>
      <c r="AY2216" s="5" t="s">
        <v>253</v>
      </c>
      <c r="AZ2216" s="5" t="s">
        <v>240</v>
      </c>
      <c r="BA2216" s="5" t="s">
        <v>255</v>
      </c>
      <c r="BB2216" s="5" t="s">
        <v>240</v>
      </c>
      <c r="BD2216" s="5" t="s">
        <v>240</v>
      </c>
      <c r="BF2216" s="5" t="s">
        <v>301</v>
      </c>
      <c r="BG2216" s="6" t="s">
        <v>299</v>
      </c>
      <c r="BH2216" s="5" t="s">
        <v>302</v>
      </c>
      <c r="BI2216" s="5" t="s">
        <v>303</v>
      </c>
      <c r="BJ2216" s="5" t="s">
        <v>240</v>
      </c>
      <c r="BK2216" s="8">
        <f>0</f>
        <v>0</v>
      </c>
      <c r="BL2216" s="7">
        <f>0</f>
        <v>0</v>
      </c>
      <c r="BM2216" s="5" t="s">
        <v>258</v>
      </c>
      <c r="BN2216" s="5" t="s">
        <v>259</v>
      </c>
      <c r="CB2216" s="5" t="s">
        <v>240</v>
      </c>
      <c r="CC2216" s="5" t="s">
        <v>240</v>
      </c>
      <c r="CG2216" s="5" t="s">
        <v>304</v>
      </c>
      <c r="CH2216" s="5" t="s">
        <v>305</v>
      </c>
      <c r="CI2216" s="5" t="s">
        <v>240</v>
      </c>
      <c r="CL2216" s="6" t="s">
        <v>261</v>
      </c>
      <c r="CM2216" s="5" t="s">
        <v>240</v>
      </c>
      <c r="CN2216" s="5" t="s">
        <v>263</v>
      </c>
      <c r="CO2216" s="5" t="s">
        <v>240</v>
      </c>
      <c r="CP2216" s="5" t="s">
        <v>240</v>
      </c>
      <c r="CQ2216" s="5">
        <v>0</v>
      </c>
      <c r="CR2216" s="5" t="s">
        <v>306</v>
      </c>
      <c r="CS2216" s="5" t="s">
        <v>307</v>
      </c>
      <c r="CT2216" s="5" t="s">
        <v>307</v>
      </c>
      <c r="CU2216" s="5" t="s">
        <v>260</v>
      </c>
      <c r="CX2216" s="7">
        <f>1</f>
        <v>1</v>
      </c>
      <c r="CY2216" s="7">
        <f>0</f>
        <v>0</v>
      </c>
      <c r="DA2216" s="7">
        <f>0</f>
        <v>0</v>
      </c>
      <c r="DC2216" s="5" t="s">
        <v>812</v>
      </c>
      <c r="DD2216" s="5" t="s">
        <v>240</v>
      </c>
      <c r="DF2216" s="5" t="s">
        <v>812</v>
      </c>
      <c r="DG2216" s="7">
        <f>1256</f>
        <v>1256</v>
      </c>
      <c r="DI2216" s="5" t="s">
        <v>240</v>
      </c>
      <c r="DJ2216" s="5" t="s">
        <v>240</v>
      </c>
      <c r="DK2216" s="5" t="s">
        <v>240</v>
      </c>
      <c r="DL2216" s="5" t="s">
        <v>240</v>
      </c>
      <c r="DP2216" s="5" t="s">
        <v>240</v>
      </c>
      <c r="DQ2216" s="5" t="s">
        <v>240</v>
      </c>
      <c r="DR2216" s="5" t="s">
        <v>240</v>
      </c>
      <c r="DS2216" s="5" t="s">
        <v>240</v>
      </c>
      <c r="DV2216" s="5" t="s">
        <v>813</v>
      </c>
      <c r="DW2216" s="5" t="s">
        <v>1196</v>
      </c>
      <c r="HO2216" s="5" t="s">
        <v>312</v>
      </c>
    </row>
    <row r="2217" spans="1:223" x14ac:dyDescent="0.4">
      <c r="A2217" s="5">
        <v>3921</v>
      </c>
      <c r="B2217" s="5">
        <v>1</v>
      </c>
      <c r="C2217" s="5">
        <v>1</v>
      </c>
      <c r="D2217" s="5" t="s">
        <v>810</v>
      </c>
      <c r="E2217" s="5" t="s">
        <v>245</v>
      </c>
      <c r="F2217" s="5" t="s">
        <v>254</v>
      </c>
      <c r="G2217" s="5" t="s">
        <v>240</v>
      </c>
      <c r="H2217" s="6" t="s">
        <v>5231</v>
      </c>
      <c r="I2217" s="5" t="s">
        <v>809</v>
      </c>
      <c r="J2217" s="8">
        <f>27</f>
        <v>27</v>
      </c>
      <c r="K2217" s="5" t="s">
        <v>308</v>
      </c>
      <c r="L2217" s="7">
        <f>1</f>
        <v>1</v>
      </c>
      <c r="M2217" s="7">
        <f>1</f>
        <v>1</v>
      </c>
      <c r="N2217" s="5" t="s">
        <v>242</v>
      </c>
      <c r="O2217" s="5">
        <v>1</v>
      </c>
      <c r="P2217" s="5" t="s">
        <v>294</v>
      </c>
      <c r="Q2217" s="5" t="s">
        <v>266</v>
      </c>
      <c r="R2217" s="5" t="s">
        <v>240</v>
      </c>
      <c r="S2217" s="5" t="s">
        <v>240</v>
      </c>
      <c r="T2217" s="5" t="s">
        <v>296</v>
      </c>
      <c r="U2217" s="5" t="s">
        <v>244</v>
      </c>
      <c r="V2217" s="5" t="s">
        <v>240</v>
      </c>
      <c r="Y2217" s="5" t="s">
        <v>240</v>
      </c>
      <c r="Z2217" s="6" t="s">
        <v>298</v>
      </c>
      <c r="AB2217" s="6" t="s">
        <v>240</v>
      </c>
      <c r="AE2217" s="6" t="s">
        <v>299</v>
      </c>
      <c r="AF2217" s="5" t="s">
        <v>248</v>
      </c>
      <c r="AG2217" s="5" t="s">
        <v>249</v>
      </c>
      <c r="AW2217" s="5" t="s">
        <v>251</v>
      </c>
      <c r="AX2217" s="5" t="s">
        <v>240</v>
      </c>
      <c r="AY2217" s="5" t="s">
        <v>253</v>
      </c>
      <c r="AZ2217" s="5" t="s">
        <v>240</v>
      </c>
      <c r="BA2217" s="5" t="s">
        <v>255</v>
      </c>
      <c r="BB2217" s="5" t="s">
        <v>240</v>
      </c>
      <c r="BD2217" s="5" t="s">
        <v>240</v>
      </c>
      <c r="BF2217" s="5" t="s">
        <v>301</v>
      </c>
      <c r="BG2217" s="6" t="s">
        <v>299</v>
      </c>
      <c r="BH2217" s="5" t="s">
        <v>302</v>
      </c>
      <c r="BI2217" s="5" t="s">
        <v>303</v>
      </c>
      <c r="BJ2217" s="5" t="s">
        <v>240</v>
      </c>
      <c r="BK2217" s="8">
        <f>0</f>
        <v>0</v>
      </c>
      <c r="BL2217" s="7">
        <f>0</f>
        <v>0</v>
      </c>
      <c r="BM2217" s="5" t="s">
        <v>258</v>
      </c>
      <c r="BN2217" s="5" t="s">
        <v>259</v>
      </c>
      <c r="CB2217" s="5" t="s">
        <v>240</v>
      </c>
      <c r="CC2217" s="5" t="s">
        <v>240</v>
      </c>
      <c r="CG2217" s="5" t="s">
        <v>304</v>
      </c>
      <c r="CH2217" s="5" t="s">
        <v>305</v>
      </c>
      <c r="CI2217" s="5" t="s">
        <v>240</v>
      </c>
      <c r="CL2217" s="6" t="s">
        <v>261</v>
      </c>
      <c r="CM2217" s="5" t="s">
        <v>240</v>
      </c>
      <c r="CN2217" s="5" t="s">
        <v>263</v>
      </c>
      <c r="CO2217" s="5" t="s">
        <v>240</v>
      </c>
      <c r="CP2217" s="5" t="s">
        <v>240</v>
      </c>
      <c r="CQ2217" s="5">
        <v>0</v>
      </c>
      <c r="CR2217" s="5" t="s">
        <v>306</v>
      </c>
      <c r="CS2217" s="5" t="s">
        <v>307</v>
      </c>
      <c r="CT2217" s="5" t="s">
        <v>307</v>
      </c>
      <c r="CU2217" s="5" t="s">
        <v>260</v>
      </c>
      <c r="CX2217" s="7">
        <f>1</f>
        <v>1</v>
      </c>
      <c r="CY2217" s="7">
        <f>0</f>
        <v>0</v>
      </c>
      <c r="DA2217" s="7">
        <f>0</f>
        <v>0</v>
      </c>
      <c r="DC2217" s="5" t="s">
        <v>812</v>
      </c>
      <c r="DD2217" s="5" t="s">
        <v>240</v>
      </c>
      <c r="DF2217" s="5" t="s">
        <v>812</v>
      </c>
      <c r="DG2217" s="7">
        <f>164</f>
        <v>164</v>
      </c>
      <c r="DI2217" s="5" t="s">
        <v>240</v>
      </c>
      <c r="DJ2217" s="5" t="s">
        <v>240</v>
      </c>
      <c r="DK2217" s="5" t="s">
        <v>240</v>
      </c>
      <c r="DL2217" s="5" t="s">
        <v>240</v>
      </c>
      <c r="DP2217" s="5" t="s">
        <v>240</v>
      </c>
      <c r="DQ2217" s="5" t="s">
        <v>240</v>
      </c>
      <c r="DR2217" s="5" t="s">
        <v>240</v>
      </c>
      <c r="DS2217" s="5" t="s">
        <v>240</v>
      </c>
      <c r="DV2217" s="5" t="s">
        <v>813</v>
      </c>
      <c r="DW2217" s="5" t="s">
        <v>1198</v>
      </c>
      <c r="HO2217" s="5" t="s">
        <v>312</v>
      </c>
    </row>
    <row r="2218" spans="1:223" x14ac:dyDescent="0.4">
      <c r="A2218" s="5">
        <v>3922</v>
      </c>
      <c r="B2218" s="5">
        <v>1</v>
      </c>
      <c r="C2218" s="5">
        <v>1</v>
      </c>
      <c r="D2218" s="5" t="s">
        <v>810</v>
      </c>
      <c r="E2218" s="5" t="s">
        <v>245</v>
      </c>
      <c r="F2218" s="5" t="s">
        <v>254</v>
      </c>
      <c r="G2218" s="5" t="s">
        <v>240</v>
      </c>
      <c r="H2218" s="6" t="s">
        <v>4057</v>
      </c>
      <c r="I2218" s="5" t="s">
        <v>809</v>
      </c>
      <c r="J2218" s="8">
        <f>1576</f>
        <v>1576</v>
      </c>
      <c r="K2218" s="5" t="s">
        <v>308</v>
      </c>
      <c r="L2218" s="7">
        <f>1</f>
        <v>1</v>
      </c>
      <c r="M2218" s="7">
        <f>1</f>
        <v>1</v>
      </c>
      <c r="N2218" s="5" t="s">
        <v>242</v>
      </c>
      <c r="O2218" s="5">
        <v>1</v>
      </c>
      <c r="P2218" s="5" t="s">
        <v>294</v>
      </c>
      <c r="Q2218" s="5" t="s">
        <v>266</v>
      </c>
      <c r="R2218" s="5" t="s">
        <v>240</v>
      </c>
      <c r="S2218" s="5" t="s">
        <v>240</v>
      </c>
      <c r="T2218" s="5" t="s">
        <v>296</v>
      </c>
      <c r="U2218" s="5" t="s">
        <v>244</v>
      </c>
      <c r="V2218" s="5" t="s">
        <v>240</v>
      </c>
      <c r="Y2218" s="5" t="s">
        <v>240</v>
      </c>
      <c r="Z2218" s="6" t="s">
        <v>298</v>
      </c>
      <c r="AB2218" s="6" t="s">
        <v>240</v>
      </c>
      <c r="AE2218" s="6" t="s">
        <v>299</v>
      </c>
      <c r="AF2218" s="5" t="s">
        <v>248</v>
      </c>
      <c r="AG2218" s="5" t="s">
        <v>249</v>
      </c>
      <c r="AW2218" s="5" t="s">
        <v>251</v>
      </c>
      <c r="AX2218" s="5" t="s">
        <v>240</v>
      </c>
      <c r="AY2218" s="5" t="s">
        <v>253</v>
      </c>
      <c r="AZ2218" s="5" t="s">
        <v>240</v>
      </c>
      <c r="BA2218" s="5" t="s">
        <v>255</v>
      </c>
      <c r="BB2218" s="5" t="s">
        <v>240</v>
      </c>
      <c r="BD2218" s="5" t="s">
        <v>240</v>
      </c>
      <c r="BF2218" s="5" t="s">
        <v>301</v>
      </c>
      <c r="BG2218" s="6" t="s">
        <v>299</v>
      </c>
      <c r="BH2218" s="5" t="s">
        <v>302</v>
      </c>
      <c r="BI2218" s="5" t="s">
        <v>303</v>
      </c>
      <c r="BJ2218" s="5" t="s">
        <v>240</v>
      </c>
      <c r="BK2218" s="8">
        <f>0</f>
        <v>0</v>
      </c>
      <c r="BL2218" s="7">
        <f>0</f>
        <v>0</v>
      </c>
      <c r="BM2218" s="5" t="s">
        <v>258</v>
      </c>
      <c r="BN2218" s="5" t="s">
        <v>259</v>
      </c>
      <c r="CB2218" s="5" t="s">
        <v>240</v>
      </c>
      <c r="CC2218" s="5" t="s">
        <v>240</v>
      </c>
      <c r="CG2218" s="5" t="s">
        <v>304</v>
      </c>
      <c r="CH2218" s="5" t="s">
        <v>305</v>
      </c>
      <c r="CI2218" s="5" t="s">
        <v>240</v>
      </c>
      <c r="CL2218" s="6" t="s">
        <v>261</v>
      </c>
      <c r="CM2218" s="5" t="s">
        <v>240</v>
      </c>
      <c r="CN2218" s="5" t="s">
        <v>263</v>
      </c>
      <c r="CO2218" s="5" t="s">
        <v>240</v>
      </c>
      <c r="CP2218" s="5" t="s">
        <v>240</v>
      </c>
      <c r="CQ2218" s="5">
        <v>0</v>
      </c>
      <c r="CR2218" s="5" t="s">
        <v>306</v>
      </c>
      <c r="CS2218" s="5" t="s">
        <v>307</v>
      </c>
      <c r="CT2218" s="5" t="s">
        <v>307</v>
      </c>
      <c r="CU2218" s="5" t="s">
        <v>260</v>
      </c>
      <c r="CX2218" s="7">
        <f>1</f>
        <v>1</v>
      </c>
      <c r="CY2218" s="7">
        <f>0</f>
        <v>0</v>
      </c>
      <c r="DA2218" s="7">
        <f>0</f>
        <v>0</v>
      </c>
      <c r="DC2218" s="5" t="s">
        <v>812</v>
      </c>
      <c r="DD2218" s="5" t="s">
        <v>240</v>
      </c>
      <c r="DF2218" s="5" t="s">
        <v>812</v>
      </c>
      <c r="DG2218" s="7">
        <f>1437</f>
        <v>1437</v>
      </c>
      <c r="DI2218" s="5" t="s">
        <v>240</v>
      </c>
      <c r="DJ2218" s="5" t="s">
        <v>240</v>
      </c>
      <c r="DK2218" s="5" t="s">
        <v>240</v>
      </c>
      <c r="DL2218" s="5" t="s">
        <v>240</v>
      </c>
      <c r="DP2218" s="5" t="s">
        <v>240</v>
      </c>
      <c r="DQ2218" s="5" t="s">
        <v>240</v>
      </c>
      <c r="DR2218" s="5" t="s">
        <v>240</v>
      </c>
      <c r="DS2218" s="5" t="s">
        <v>240</v>
      </c>
      <c r="DV2218" s="5" t="s">
        <v>813</v>
      </c>
      <c r="DW2218" s="5" t="s">
        <v>1202</v>
      </c>
      <c r="HO2218" s="5" t="s">
        <v>312</v>
      </c>
    </row>
    <row r="2219" spans="1:223" x14ac:dyDescent="0.4">
      <c r="A2219" s="5">
        <v>3923</v>
      </c>
      <c r="B2219" s="5">
        <v>1</v>
      </c>
      <c r="C2219" s="5">
        <v>1</v>
      </c>
      <c r="D2219" s="5" t="s">
        <v>810</v>
      </c>
      <c r="E2219" s="5" t="s">
        <v>245</v>
      </c>
      <c r="F2219" s="5" t="s">
        <v>254</v>
      </c>
      <c r="G2219" s="5" t="s">
        <v>240</v>
      </c>
      <c r="H2219" s="6" t="s">
        <v>4056</v>
      </c>
      <c r="I2219" s="5" t="s">
        <v>809</v>
      </c>
      <c r="J2219" s="8">
        <f>266</f>
        <v>266</v>
      </c>
      <c r="K2219" s="5" t="s">
        <v>308</v>
      </c>
      <c r="L2219" s="7">
        <f>1</f>
        <v>1</v>
      </c>
      <c r="M2219" s="7">
        <f>1</f>
        <v>1</v>
      </c>
      <c r="N2219" s="5" t="s">
        <v>242</v>
      </c>
      <c r="O2219" s="5">
        <v>1</v>
      </c>
      <c r="P2219" s="5" t="s">
        <v>294</v>
      </c>
      <c r="Q2219" s="5" t="s">
        <v>266</v>
      </c>
      <c r="R2219" s="5" t="s">
        <v>240</v>
      </c>
      <c r="S2219" s="5" t="s">
        <v>240</v>
      </c>
      <c r="T2219" s="5" t="s">
        <v>296</v>
      </c>
      <c r="U2219" s="5" t="s">
        <v>244</v>
      </c>
      <c r="V2219" s="5" t="s">
        <v>240</v>
      </c>
      <c r="Y2219" s="5" t="s">
        <v>240</v>
      </c>
      <c r="Z2219" s="6" t="s">
        <v>298</v>
      </c>
      <c r="AB2219" s="6" t="s">
        <v>240</v>
      </c>
      <c r="AE2219" s="6" t="s">
        <v>299</v>
      </c>
      <c r="AF2219" s="5" t="s">
        <v>248</v>
      </c>
      <c r="AG2219" s="5" t="s">
        <v>249</v>
      </c>
      <c r="AW2219" s="5" t="s">
        <v>251</v>
      </c>
      <c r="AX2219" s="5" t="s">
        <v>240</v>
      </c>
      <c r="AY2219" s="5" t="s">
        <v>253</v>
      </c>
      <c r="AZ2219" s="5" t="s">
        <v>240</v>
      </c>
      <c r="BA2219" s="5" t="s">
        <v>255</v>
      </c>
      <c r="BB2219" s="5" t="s">
        <v>240</v>
      </c>
      <c r="BD2219" s="5" t="s">
        <v>240</v>
      </c>
      <c r="BF2219" s="5" t="s">
        <v>301</v>
      </c>
      <c r="BG2219" s="6" t="s">
        <v>299</v>
      </c>
      <c r="BH2219" s="5" t="s">
        <v>302</v>
      </c>
      <c r="BI2219" s="5" t="s">
        <v>303</v>
      </c>
      <c r="BJ2219" s="5" t="s">
        <v>240</v>
      </c>
      <c r="BK2219" s="8">
        <f>0</f>
        <v>0</v>
      </c>
      <c r="BL2219" s="7">
        <f>0</f>
        <v>0</v>
      </c>
      <c r="BM2219" s="5" t="s">
        <v>258</v>
      </c>
      <c r="BN2219" s="5" t="s">
        <v>259</v>
      </c>
      <c r="CB2219" s="5" t="s">
        <v>240</v>
      </c>
      <c r="CC2219" s="5" t="s">
        <v>240</v>
      </c>
      <c r="CG2219" s="5" t="s">
        <v>304</v>
      </c>
      <c r="CH2219" s="5" t="s">
        <v>305</v>
      </c>
      <c r="CI2219" s="5" t="s">
        <v>240</v>
      </c>
      <c r="CL2219" s="6" t="s">
        <v>261</v>
      </c>
      <c r="CM2219" s="5" t="s">
        <v>240</v>
      </c>
      <c r="CN2219" s="5" t="s">
        <v>263</v>
      </c>
      <c r="CO2219" s="5" t="s">
        <v>240</v>
      </c>
      <c r="CP2219" s="5" t="s">
        <v>240</v>
      </c>
      <c r="CQ2219" s="5">
        <v>0</v>
      </c>
      <c r="CR2219" s="5" t="s">
        <v>306</v>
      </c>
      <c r="CS2219" s="5" t="s">
        <v>307</v>
      </c>
      <c r="CT2219" s="5" t="s">
        <v>307</v>
      </c>
      <c r="CU2219" s="5" t="s">
        <v>260</v>
      </c>
      <c r="CX2219" s="7">
        <f>1</f>
        <v>1</v>
      </c>
      <c r="CY2219" s="7">
        <f>0</f>
        <v>0</v>
      </c>
      <c r="DA2219" s="7">
        <f>0</f>
        <v>0</v>
      </c>
      <c r="DC2219" s="5" t="s">
        <v>812</v>
      </c>
      <c r="DD2219" s="5" t="s">
        <v>240</v>
      </c>
      <c r="DF2219" s="5" t="s">
        <v>812</v>
      </c>
      <c r="DG2219" s="7">
        <f>1116</f>
        <v>1116</v>
      </c>
      <c r="DI2219" s="5" t="s">
        <v>240</v>
      </c>
      <c r="DJ2219" s="5" t="s">
        <v>240</v>
      </c>
      <c r="DK2219" s="5" t="s">
        <v>240</v>
      </c>
      <c r="DL2219" s="5" t="s">
        <v>240</v>
      </c>
      <c r="DP2219" s="5" t="s">
        <v>240</v>
      </c>
      <c r="DQ2219" s="5" t="s">
        <v>240</v>
      </c>
      <c r="DR2219" s="5" t="s">
        <v>240</v>
      </c>
      <c r="DS2219" s="5" t="s">
        <v>240</v>
      </c>
      <c r="DV2219" s="5" t="s">
        <v>813</v>
      </c>
      <c r="DW2219" s="5" t="s">
        <v>1204</v>
      </c>
      <c r="HO2219" s="5" t="s">
        <v>312</v>
      </c>
    </row>
    <row r="2220" spans="1:223" x14ac:dyDescent="0.4">
      <c r="A2220" s="5">
        <v>3924</v>
      </c>
      <c r="B2220" s="5">
        <v>1</v>
      </c>
      <c r="C2220" s="5">
        <v>1</v>
      </c>
      <c r="D2220" s="5" t="s">
        <v>810</v>
      </c>
      <c r="E2220" s="5" t="s">
        <v>245</v>
      </c>
      <c r="F2220" s="5" t="s">
        <v>254</v>
      </c>
      <c r="G2220" s="5" t="s">
        <v>240</v>
      </c>
      <c r="H2220" s="6" t="s">
        <v>4055</v>
      </c>
      <c r="I2220" s="5" t="s">
        <v>809</v>
      </c>
      <c r="J2220" s="8">
        <f>1619</f>
        <v>1619</v>
      </c>
      <c r="K2220" s="5" t="s">
        <v>308</v>
      </c>
      <c r="L2220" s="7">
        <f>1</f>
        <v>1</v>
      </c>
      <c r="M2220" s="7">
        <f>1</f>
        <v>1</v>
      </c>
      <c r="N2220" s="5" t="s">
        <v>242</v>
      </c>
      <c r="O2220" s="5">
        <v>1</v>
      </c>
      <c r="P2220" s="5" t="s">
        <v>294</v>
      </c>
      <c r="Q2220" s="5" t="s">
        <v>266</v>
      </c>
      <c r="R2220" s="5" t="s">
        <v>240</v>
      </c>
      <c r="S2220" s="5" t="s">
        <v>240</v>
      </c>
      <c r="T2220" s="5" t="s">
        <v>296</v>
      </c>
      <c r="U2220" s="5" t="s">
        <v>244</v>
      </c>
      <c r="V2220" s="5" t="s">
        <v>240</v>
      </c>
      <c r="Y2220" s="5" t="s">
        <v>240</v>
      </c>
      <c r="Z2220" s="6" t="s">
        <v>298</v>
      </c>
      <c r="AB2220" s="6" t="s">
        <v>240</v>
      </c>
      <c r="AE2220" s="6" t="s">
        <v>299</v>
      </c>
      <c r="AF2220" s="5" t="s">
        <v>248</v>
      </c>
      <c r="AG2220" s="5" t="s">
        <v>249</v>
      </c>
      <c r="AW2220" s="5" t="s">
        <v>251</v>
      </c>
      <c r="AX2220" s="5" t="s">
        <v>240</v>
      </c>
      <c r="AY2220" s="5" t="s">
        <v>253</v>
      </c>
      <c r="AZ2220" s="5" t="s">
        <v>240</v>
      </c>
      <c r="BA2220" s="5" t="s">
        <v>255</v>
      </c>
      <c r="BB2220" s="5" t="s">
        <v>240</v>
      </c>
      <c r="BD2220" s="5" t="s">
        <v>240</v>
      </c>
      <c r="BF2220" s="5" t="s">
        <v>301</v>
      </c>
      <c r="BG2220" s="6" t="s">
        <v>299</v>
      </c>
      <c r="BH2220" s="5" t="s">
        <v>302</v>
      </c>
      <c r="BI2220" s="5" t="s">
        <v>303</v>
      </c>
      <c r="BJ2220" s="5" t="s">
        <v>240</v>
      </c>
      <c r="BK2220" s="8">
        <f>0</f>
        <v>0</v>
      </c>
      <c r="BL2220" s="7">
        <f>0</f>
        <v>0</v>
      </c>
      <c r="BM2220" s="5" t="s">
        <v>258</v>
      </c>
      <c r="BN2220" s="5" t="s">
        <v>259</v>
      </c>
      <c r="CB2220" s="5" t="s">
        <v>240</v>
      </c>
      <c r="CC2220" s="5" t="s">
        <v>240</v>
      </c>
      <c r="CG2220" s="5" t="s">
        <v>304</v>
      </c>
      <c r="CH2220" s="5" t="s">
        <v>305</v>
      </c>
      <c r="CI2220" s="5" t="s">
        <v>240</v>
      </c>
      <c r="CL2220" s="6" t="s">
        <v>261</v>
      </c>
      <c r="CM2220" s="5" t="s">
        <v>240</v>
      </c>
      <c r="CN2220" s="5" t="s">
        <v>263</v>
      </c>
      <c r="CO2220" s="5" t="s">
        <v>240</v>
      </c>
      <c r="CP2220" s="5" t="s">
        <v>240</v>
      </c>
      <c r="CQ2220" s="5">
        <v>0</v>
      </c>
      <c r="CR2220" s="5" t="s">
        <v>306</v>
      </c>
      <c r="CS2220" s="5" t="s">
        <v>307</v>
      </c>
      <c r="CT2220" s="5" t="s">
        <v>307</v>
      </c>
      <c r="CU2220" s="5" t="s">
        <v>260</v>
      </c>
      <c r="CX2220" s="7">
        <f>1</f>
        <v>1</v>
      </c>
      <c r="CY2220" s="7">
        <f>0</f>
        <v>0</v>
      </c>
      <c r="DA2220" s="7">
        <f>0</f>
        <v>0</v>
      </c>
      <c r="DC2220" s="5" t="s">
        <v>812</v>
      </c>
      <c r="DD2220" s="5" t="s">
        <v>240</v>
      </c>
      <c r="DF2220" s="5" t="s">
        <v>812</v>
      </c>
      <c r="DG2220" s="7">
        <f>564</f>
        <v>564</v>
      </c>
      <c r="DI2220" s="5" t="s">
        <v>240</v>
      </c>
      <c r="DJ2220" s="5" t="s">
        <v>240</v>
      </c>
      <c r="DK2220" s="5" t="s">
        <v>240</v>
      </c>
      <c r="DL2220" s="5" t="s">
        <v>240</v>
      </c>
      <c r="DP2220" s="5" t="s">
        <v>240</v>
      </c>
      <c r="DQ2220" s="5" t="s">
        <v>240</v>
      </c>
      <c r="DR2220" s="5" t="s">
        <v>240</v>
      </c>
      <c r="DS2220" s="5" t="s">
        <v>240</v>
      </c>
      <c r="DV2220" s="5" t="s">
        <v>813</v>
      </c>
      <c r="DW2220" s="5" t="s">
        <v>1206</v>
      </c>
      <c r="HO2220" s="5" t="s">
        <v>312</v>
      </c>
    </row>
    <row r="2221" spans="1:223" x14ac:dyDescent="0.4">
      <c r="A2221" s="5">
        <v>3925</v>
      </c>
      <c r="B2221" s="5">
        <v>1</v>
      </c>
      <c r="C2221" s="5">
        <v>1</v>
      </c>
      <c r="D2221" s="5" t="s">
        <v>810</v>
      </c>
      <c r="E2221" s="5" t="s">
        <v>245</v>
      </c>
      <c r="F2221" s="5" t="s">
        <v>254</v>
      </c>
      <c r="G2221" s="5" t="s">
        <v>240</v>
      </c>
      <c r="H2221" s="6" t="s">
        <v>4054</v>
      </c>
      <c r="I2221" s="5" t="s">
        <v>809</v>
      </c>
      <c r="J2221" s="8">
        <f>1064</f>
        <v>1064</v>
      </c>
      <c r="K2221" s="5" t="s">
        <v>308</v>
      </c>
      <c r="L2221" s="7">
        <f>1</f>
        <v>1</v>
      </c>
      <c r="M2221" s="7">
        <f>1</f>
        <v>1</v>
      </c>
      <c r="N2221" s="5" t="s">
        <v>242</v>
      </c>
      <c r="O2221" s="5">
        <v>1</v>
      </c>
      <c r="P2221" s="5" t="s">
        <v>294</v>
      </c>
      <c r="Q2221" s="5" t="s">
        <v>266</v>
      </c>
      <c r="R2221" s="5" t="s">
        <v>240</v>
      </c>
      <c r="S2221" s="5" t="s">
        <v>240</v>
      </c>
      <c r="T2221" s="5" t="s">
        <v>296</v>
      </c>
      <c r="U2221" s="5" t="s">
        <v>244</v>
      </c>
      <c r="V2221" s="5" t="s">
        <v>240</v>
      </c>
      <c r="Y2221" s="5" t="s">
        <v>240</v>
      </c>
      <c r="Z2221" s="6" t="s">
        <v>298</v>
      </c>
      <c r="AB2221" s="6" t="s">
        <v>240</v>
      </c>
      <c r="AE2221" s="6" t="s">
        <v>299</v>
      </c>
      <c r="AF2221" s="5" t="s">
        <v>248</v>
      </c>
      <c r="AG2221" s="5" t="s">
        <v>249</v>
      </c>
      <c r="AW2221" s="5" t="s">
        <v>251</v>
      </c>
      <c r="AX2221" s="5" t="s">
        <v>240</v>
      </c>
      <c r="AY2221" s="5" t="s">
        <v>253</v>
      </c>
      <c r="AZ2221" s="5" t="s">
        <v>240</v>
      </c>
      <c r="BA2221" s="5" t="s">
        <v>255</v>
      </c>
      <c r="BB2221" s="5" t="s">
        <v>240</v>
      </c>
      <c r="BD2221" s="5" t="s">
        <v>240</v>
      </c>
      <c r="BF2221" s="5" t="s">
        <v>301</v>
      </c>
      <c r="BG2221" s="6" t="s">
        <v>299</v>
      </c>
      <c r="BH2221" s="5" t="s">
        <v>302</v>
      </c>
      <c r="BI2221" s="5" t="s">
        <v>303</v>
      </c>
      <c r="BJ2221" s="5" t="s">
        <v>240</v>
      </c>
      <c r="BK2221" s="8">
        <f>0</f>
        <v>0</v>
      </c>
      <c r="BL2221" s="7">
        <f>0</f>
        <v>0</v>
      </c>
      <c r="BM2221" s="5" t="s">
        <v>258</v>
      </c>
      <c r="BN2221" s="5" t="s">
        <v>259</v>
      </c>
      <c r="CB2221" s="5" t="s">
        <v>240</v>
      </c>
      <c r="CC2221" s="5" t="s">
        <v>240</v>
      </c>
      <c r="CG2221" s="5" t="s">
        <v>304</v>
      </c>
      <c r="CH2221" s="5" t="s">
        <v>305</v>
      </c>
      <c r="CI2221" s="5" t="s">
        <v>240</v>
      </c>
      <c r="CL2221" s="6" t="s">
        <v>261</v>
      </c>
      <c r="CM2221" s="5" t="s">
        <v>240</v>
      </c>
      <c r="CN2221" s="5" t="s">
        <v>263</v>
      </c>
      <c r="CO2221" s="5" t="s">
        <v>240</v>
      </c>
      <c r="CP2221" s="5" t="s">
        <v>240</v>
      </c>
      <c r="CQ2221" s="5">
        <v>0</v>
      </c>
      <c r="CR2221" s="5" t="s">
        <v>306</v>
      </c>
      <c r="CS2221" s="5" t="s">
        <v>307</v>
      </c>
      <c r="CT2221" s="5" t="s">
        <v>307</v>
      </c>
      <c r="CU2221" s="5" t="s">
        <v>260</v>
      </c>
      <c r="CX2221" s="7">
        <f>1</f>
        <v>1</v>
      </c>
      <c r="CY2221" s="7">
        <f>0</f>
        <v>0</v>
      </c>
      <c r="DA2221" s="7">
        <f>0</f>
        <v>0</v>
      </c>
      <c r="DC2221" s="5" t="s">
        <v>812</v>
      </c>
      <c r="DD2221" s="5" t="s">
        <v>240</v>
      </c>
      <c r="DF2221" s="5" t="s">
        <v>812</v>
      </c>
      <c r="DG2221" s="7">
        <f>173</f>
        <v>173</v>
      </c>
      <c r="DI2221" s="5" t="s">
        <v>240</v>
      </c>
      <c r="DJ2221" s="5" t="s">
        <v>240</v>
      </c>
      <c r="DK2221" s="5" t="s">
        <v>240</v>
      </c>
      <c r="DL2221" s="5" t="s">
        <v>240</v>
      </c>
      <c r="DP2221" s="5" t="s">
        <v>240</v>
      </c>
      <c r="DQ2221" s="5" t="s">
        <v>240</v>
      </c>
      <c r="DR2221" s="5" t="s">
        <v>240</v>
      </c>
      <c r="DS2221" s="5" t="s">
        <v>240</v>
      </c>
      <c r="DV2221" s="5" t="s">
        <v>813</v>
      </c>
      <c r="DW2221" s="5" t="s">
        <v>2055</v>
      </c>
      <c r="HO2221" s="5" t="s">
        <v>312</v>
      </c>
    </row>
    <row r="2222" spans="1:223" x14ac:dyDescent="0.4">
      <c r="A2222" s="5">
        <v>3926</v>
      </c>
      <c r="B2222" s="5">
        <v>1</v>
      </c>
      <c r="C2222" s="5">
        <v>1</v>
      </c>
      <c r="D2222" s="5" t="s">
        <v>810</v>
      </c>
      <c r="E2222" s="5" t="s">
        <v>245</v>
      </c>
      <c r="F2222" s="5" t="s">
        <v>254</v>
      </c>
      <c r="G2222" s="5" t="s">
        <v>240</v>
      </c>
      <c r="H2222" s="6" t="s">
        <v>4053</v>
      </c>
      <c r="I2222" s="5" t="s">
        <v>809</v>
      </c>
      <c r="J2222" s="8">
        <f>1665</f>
        <v>1665</v>
      </c>
      <c r="K2222" s="5" t="s">
        <v>308</v>
      </c>
      <c r="L2222" s="7">
        <f>1</f>
        <v>1</v>
      </c>
      <c r="M2222" s="7">
        <f>1</f>
        <v>1</v>
      </c>
      <c r="N2222" s="5" t="s">
        <v>242</v>
      </c>
      <c r="O2222" s="5">
        <v>1</v>
      </c>
      <c r="P2222" s="5" t="s">
        <v>294</v>
      </c>
      <c r="Q2222" s="5" t="s">
        <v>266</v>
      </c>
      <c r="R2222" s="5" t="s">
        <v>240</v>
      </c>
      <c r="S2222" s="5" t="s">
        <v>240</v>
      </c>
      <c r="T2222" s="5" t="s">
        <v>296</v>
      </c>
      <c r="U2222" s="5" t="s">
        <v>244</v>
      </c>
      <c r="V2222" s="5" t="s">
        <v>240</v>
      </c>
      <c r="Y2222" s="5" t="s">
        <v>240</v>
      </c>
      <c r="Z2222" s="6" t="s">
        <v>298</v>
      </c>
      <c r="AB2222" s="6" t="s">
        <v>240</v>
      </c>
      <c r="AE2222" s="6" t="s">
        <v>299</v>
      </c>
      <c r="AF2222" s="5" t="s">
        <v>248</v>
      </c>
      <c r="AG2222" s="5" t="s">
        <v>249</v>
      </c>
      <c r="AW2222" s="5" t="s">
        <v>251</v>
      </c>
      <c r="AX2222" s="5" t="s">
        <v>240</v>
      </c>
      <c r="AY2222" s="5" t="s">
        <v>253</v>
      </c>
      <c r="AZ2222" s="5" t="s">
        <v>240</v>
      </c>
      <c r="BA2222" s="5" t="s">
        <v>255</v>
      </c>
      <c r="BB2222" s="5" t="s">
        <v>240</v>
      </c>
      <c r="BD2222" s="5" t="s">
        <v>240</v>
      </c>
      <c r="BF2222" s="5" t="s">
        <v>301</v>
      </c>
      <c r="BG2222" s="6" t="s">
        <v>299</v>
      </c>
      <c r="BH2222" s="5" t="s">
        <v>302</v>
      </c>
      <c r="BI2222" s="5" t="s">
        <v>303</v>
      </c>
      <c r="BJ2222" s="5" t="s">
        <v>240</v>
      </c>
      <c r="BK2222" s="8">
        <f>0</f>
        <v>0</v>
      </c>
      <c r="BL2222" s="7">
        <f>0</f>
        <v>0</v>
      </c>
      <c r="BM2222" s="5" t="s">
        <v>258</v>
      </c>
      <c r="BN2222" s="5" t="s">
        <v>259</v>
      </c>
      <c r="CB2222" s="5" t="s">
        <v>240</v>
      </c>
      <c r="CC2222" s="5" t="s">
        <v>240</v>
      </c>
      <c r="CG2222" s="5" t="s">
        <v>304</v>
      </c>
      <c r="CH2222" s="5" t="s">
        <v>305</v>
      </c>
      <c r="CI2222" s="5" t="s">
        <v>240</v>
      </c>
      <c r="CL2222" s="6" t="s">
        <v>261</v>
      </c>
      <c r="CM2222" s="5" t="s">
        <v>240</v>
      </c>
      <c r="CN2222" s="5" t="s">
        <v>263</v>
      </c>
      <c r="CO2222" s="5" t="s">
        <v>240</v>
      </c>
      <c r="CP2222" s="5" t="s">
        <v>240</v>
      </c>
      <c r="CQ2222" s="5">
        <v>0</v>
      </c>
      <c r="CR2222" s="5" t="s">
        <v>306</v>
      </c>
      <c r="CS2222" s="5" t="s">
        <v>307</v>
      </c>
      <c r="CT2222" s="5" t="s">
        <v>307</v>
      </c>
      <c r="CU2222" s="5" t="s">
        <v>260</v>
      </c>
      <c r="CX2222" s="7">
        <f>1</f>
        <v>1</v>
      </c>
      <c r="CY2222" s="7">
        <f>0</f>
        <v>0</v>
      </c>
      <c r="DA2222" s="7">
        <f>0</f>
        <v>0</v>
      </c>
      <c r="DC2222" s="5" t="s">
        <v>812</v>
      </c>
      <c r="DD2222" s="5" t="s">
        <v>240</v>
      </c>
      <c r="DF2222" s="5" t="s">
        <v>812</v>
      </c>
      <c r="DG2222" s="7">
        <f>709</f>
        <v>709</v>
      </c>
      <c r="DI2222" s="5" t="s">
        <v>240</v>
      </c>
      <c r="DJ2222" s="5" t="s">
        <v>240</v>
      </c>
      <c r="DK2222" s="5" t="s">
        <v>240</v>
      </c>
      <c r="DL2222" s="5" t="s">
        <v>240</v>
      </c>
      <c r="DP2222" s="5" t="s">
        <v>240</v>
      </c>
      <c r="DQ2222" s="5" t="s">
        <v>240</v>
      </c>
      <c r="DR2222" s="5" t="s">
        <v>240</v>
      </c>
      <c r="DS2222" s="5" t="s">
        <v>240</v>
      </c>
      <c r="DV2222" s="5" t="s">
        <v>813</v>
      </c>
      <c r="DW2222" s="5" t="s">
        <v>2057</v>
      </c>
      <c r="HO2222" s="5" t="s">
        <v>312</v>
      </c>
    </row>
    <row r="2223" spans="1:223" x14ac:dyDescent="0.4">
      <c r="A2223" s="5">
        <v>3927</v>
      </c>
      <c r="B2223" s="5">
        <v>1</v>
      </c>
      <c r="C2223" s="5">
        <v>1</v>
      </c>
      <c r="D2223" s="5" t="s">
        <v>810</v>
      </c>
      <c r="E2223" s="5" t="s">
        <v>245</v>
      </c>
      <c r="F2223" s="5" t="s">
        <v>254</v>
      </c>
      <c r="G2223" s="5" t="s">
        <v>240</v>
      </c>
      <c r="H2223" s="6" t="s">
        <v>4052</v>
      </c>
      <c r="I2223" s="5" t="s">
        <v>809</v>
      </c>
      <c r="J2223" s="8">
        <f>522</f>
        <v>522</v>
      </c>
      <c r="K2223" s="5" t="s">
        <v>308</v>
      </c>
      <c r="L2223" s="7">
        <f>1</f>
        <v>1</v>
      </c>
      <c r="M2223" s="7">
        <f>1</f>
        <v>1</v>
      </c>
      <c r="N2223" s="5" t="s">
        <v>242</v>
      </c>
      <c r="O2223" s="5">
        <v>1</v>
      </c>
      <c r="P2223" s="5" t="s">
        <v>294</v>
      </c>
      <c r="Q2223" s="5" t="s">
        <v>266</v>
      </c>
      <c r="R2223" s="5" t="s">
        <v>240</v>
      </c>
      <c r="S2223" s="5" t="s">
        <v>240</v>
      </c>
      <c r="T2223" s="5" t="s">
        <v>296</v>
      </c>
      <c r="U2223" s="5" t="s">
        <v>244</v>
      </c>
      <c r="V2223" s="5" t="s">
        <v>240</v>
      </c>
      <c r="Y2223" s="5" t="s">
        <v>240</v>
      </c>
      <c r="Z2223" s="6" t="s">
        <v>298</v>
      </c>
      <c r="AB2223" s="6" t="s">
        <v>240</v>
      </c>
      <c r="AE2223" s="6" t="s">
        <v>299</v>
      </c>
      <c r="AF2223" s="5" t="s">
        <v>248</v>
      </c>
      <c r="AG2223" s="5" t="s">
        <v>249</v>
      </c>
      <c r="AW2223" s="5" t="s">
        <v>251</v>
      </c>
      <c r="AX2223" s="5" t="s">
        <v>240</v>
      </c>
      <c r="AY2223" s="5" t="s">
        <v>253</v>
      </c>
      <c r="AZ2223" s="5" t="s">
        <v>240</v>
      </c>
      <c r="BA2223" s="5" t="s">
        <v>255</v>
      </c>
      <c r="BB2223" s="5" t="s">
        <v>240</v>
      </c>
      <c r="BD2223" s="5" t="s">
        <v>240</v>
      </c>
      <c r="BF2223" s="5" t="s">
        <v>301</v>
      </c>
      <c r="BG2223" s="6" t="s">
        <v>299</v>
      </c>
      <c r="BH2223" s="5" t="s">
        <v>302</v>
      </c>
      <c r="BI2223" s="5" t="s">
        <v>303</v>
      </c>
      <c r="BJ2223" s="5" t="s">
        <v>240</v>
      </c>
      <c r="BK2223" s="8">
        <f>0</f>
        <v>0</v>
      </c>
      <c r="BL2223" s="7">
        <f>0</f>
        <v>0</v>
      </c>
      <c r="BM2223" s="5" t="s">
        <v>258</v>
      </c>
      <c r="BN2223" s="5" t="s">
        <v>259</v>
      </c>
      <c r="CB2223" s="5" t="s">
        <v>240</v>
      </c>
      <c r="CC2223" s="5" t="s">
        <v>240</v>
      </c>
      <c r="CG2223" s="5" t="s">
        <v>304</v>
      </c>
      <c r="CH2223" s="5" t="s">
        <v>305</v>
      </c>
      <c r="CI2223" s="5" t="s">
        <v>240</v>
      </c>
      <c r="CL2223" s="6" t="s">
        <v>261</v>
      </c>
      <c r="CM2223" s="5" t="s">
        <v>240</v>
      </c>
      <c r="CN2223" s="5" t="s">
        <v>263</v>
      </c>
      <c r="CO2223" s="5" t="s">
        <v>240</v>
      </c>
      <c r="CP2223" s="5" t="s">
        <v>240</v>
      </c>
      <c r="CQ2223" s="5">
        <v>0</v>
      </c>
      <c r="CR2223" s="5" t="s">
        <v>306</v>
      </c>
      <c r="CS2223" s="5" t="s">
        <v>307</v>
      </c>
      <c r="CT2223" s="5" t="s">
        <v>307</v>
      </c>
      <c r="CU2223" s="5" t="s">
        <v>260</v>
      </c>
      <c r="CX2223" s="7">
        <f>1</f>
        <v>1</v>
      </c>
      <c r="CY2223" s="7">
        <f>0</f>
        <v>0</v>
      </c>
      <c r="DA2223" s="7">
        <f>0</f>
        <v>0</v>
      </c>
      <c r="DC2223" s="5" t="s">
        <v>812</v>
      </c>
      <c r="DD2223" s="5" t="s">
        <v>240</v>
      </c>
      <c r="DF2223" s="5" t="s">
        <v>812</v>
      </c>
      <c r="DG2223" s="7">
        <f>880</f>
        <v>880</v>
      </c>
      <c r="DI2223" s="5" t="s">
        <v>240</v>
      </c>
      <c r="DJ2223" s="5" t="s">
        <v>240</v>
      </c>
      <c r="DK2223" s="5" t="s">
        <v>240</v>
      </c>
      <c r="DL2223" s="5" t="s">
        <v>240</v>
      </c>
      <c r="DP2223" s="5" t="s">
        <v>240</v>
      </c>
      <c r="DQ2223" s="5" t="s">
        <v>240</v>
      </c>
      <c r="DR2223" s="5" t="s">
        <v>240</v>
      </c>
      <c r="DS2223" s="5" t="s">
        <v>240</v>
      </c>
      <c r="DV2223" s="5" t="s">
        <v>813</v>
      </c>
      <c r="DW2223" s="5" t="s">
        <v>1126</v>
      </c>
      <c r="HO2223" s="5" t="s">
        <v>312</v>
      </c>
    </row>
    <row r="2224" spans="1:223" x14ac:dyDescent="0.4">
      <c r="A2224" s="5">
        <v>3928</v>
      </c>
      <c r="B2224" s="5">
        <v>1</v>
      </c>
      <c r="C2224" s="5">
        <v>1</v>
      </c>
      <c r="D2224" s="5" t="s">
        <v>810</v>
      </c>
      <c r="E2224" s="5" t="s">
        <v>245</v>
      </c>
      <c r="F2224" s="5" t="s">
        <v>254</v>
      </c>
      <c r="G2224" s="5" t="s">
        <v>240</v>
      </c>
      <c r="H2224" s="6" t="s">
        <v>4051</v>
      </c>
      <c r="I2224" s="5" t="s">
        <v>809</v>
      </c>
      <c r="J2224" s="8">
        <f>182</f>
        <v>182</v>
      </c>
      <c r="K2224" s="5" t="s">
        <v>308</v>
      </c>
      <c r="L2224" s="7">
        <f>1</f>
        <v>1</v>
      </c>
      <c r="M2224" s="7">
        <f>1</f>
        <v>1</v>
      </c>
      <c r="N2224" s="5" t="s">
        <v>242</v>
      </c>
      <c r="O2224" s="5">
        <v>1</v>
      </c>
      <c r="P2224" s="5" t="s">
        <v>294</v>
      </c>
      <c r="Q2224" s="5" t="s">
        <v>266</v>
      </c>
      <c r="R2224" s="5" t="s">
        <v>240</v>
      </c>
      <c r="S2224" s="5" t="s">
        <v>240</v>
      </c>
      <c r="T2224" s="5" t="s">
        <v>296</v>
      </c>
      <c r="U2224" s="5" t="s">
        <v>244</v>
      </c>
      <c r="V2224" s="5" t="s">
        <v>240</v>
      </c>
      <c r="Y2224" s="5" t="s">
        <v>240</v>
      </c>
      <c r="Z2224" s="6" t="s">
        <v>298</v>
      </c>
      <c r="AB2224" s="6" t="s">
        <v>240</v>
      </c>
      <c r="AE2224" s="6" t="s">
        <v>299</v>
      </c>
      <c r="AF2224" s="5" t="s">
        <v>248</v>
      </c>
      <c r="AG2224" s="5" t="s">
        <v>249</v>
      </c>
      <c r="AW2224" s="5" t="s">
        <v>251</v>
      </c>
      <c r="AX2224" s="5" t="s">
        <v>240</v>
      </c>
      <c r="AY2224" s="5" t="s">
        <v>253</v>
      </c>
      <c r="AZ2224" s="5" t="s">
        <v>240</v>
      </c>
      <c r="BA2224" s="5" t="s">
        <v>255</v>
      </c>
      <c r="BB2224" s="5" t="s">
        <v>240</v>
      </c>
      <c r="BD2224" s="5" t="s">
        <v>240</v>
      </c>
      <c r="BF2224" s="5" t="s">
        <v>301</v>
      </c>
      <c r="BG2224" s="6" t="s">
        <v>299</v>
      </c>
      <c r="BH2224" s="5" t="s">
        <v>302</v>
      </c>
      <c r="BI2224" s="5" t="s">
        <v>303</v>
      </c>
      <c r="BJ2224" s="5" t="s">
        <v>240</v>
      </c>
      <c r="BK2224" s="8">
        <f>0</f>
        <v>0</v>
      </c>
      <c r="BL2224" s="7">
        <f>0</f>
        <v>0</v>
      </c>
      <c r="BM2224" s="5" t="s">
        <v>258</v>
      </c>
      <c r="BN2224" s="5" t="s">
        <v>259</v>
      </c>
      <c r="CB2224" s="5" t="s">
        <v>240</v>
      </c>
      <c r="CC2224" s="5" t="s">
        <v>240</v>
      </c>
      <c r="CG2224" s="5" t="s">
        <v>304</v>
      </c>
      <c r="CH2224" s="5" t="s">
        <v>305</v>
      </c>
      <c r="CI2224" s="5" t="s">
        <v>240</v>
      </c>
      <c r="CL2224" s="6" t="s">
        <v>261</v>
      </c>
      <c r="CM2224" s="5" t="s">
        <v>240</v>
      </c>
      <c r="CN2224" s="5" t="s">
        <v>263</v>
      </c>
      <c r="CO2224" s="5" t="s">
        <v>240</v>
      </c>
      <c r="CP2224" s="5" t="s">
        <v>240</v>
      </c>
      <c r="CQ2224" s="5">
        <v>0</v>
      </c>
      <c r="CR2224" s="5" t="s">
        <v>306</v>
      </c>
      <c r="CS2224" s="5" t="s">
        <v>307</v>
      </c>
      <c r="CT2224" s="5" t="s">
        <v>307</v>
      </c>
      <c r="CU2224" s="5" t="s">
        <v>260</v>
      </c>
      <c r="CX2224" s="7">
        <f>1</f>
        <v>1</v>
      </c>
      <c r="CY2224" s="7">
        <f>0</f>
        <v>0</v>
      </c>
      <c r="DA2224" s="7">
        <f>0</f>
        <v>0</v>
      </c>
      <c r="DC2224" s="5" t="s">
        <v>812</v>
      </c>
      <c r="DD2224" s="5" t="s">
        <v>240</v>
      </c>
      <c r="DF2224" s="5" t="s">
        <v>812</v>
      </c>
      <c r="DG2224" s="7">
        <f>1502</f>
        <v>1502</v>
      </c>
      <c r="DI2224" s="5" t="s">
        <v>240</v>
      </c>
      <c r="DJ2224" s="5" t="s">
        <v>240</v>
      </c>
      <c r="DK2224" s="5" t="s">
        <v>240</v>
      </c>
      <c r="DL2224" s="5" t="s">
        <v>240</v>
      </c>
      <c r="DP2224" s="5" t="s">
        <v>240</v>
      </c>
      <c r="DQ2224" s="5" t="s">
        <v>240</v>
      </c>
      <c r="DR2224" s="5" t="s">
        <v>240</v>
      </c>
      <c r="DS2224" s="5" t="s">
        <v>240</v>
      </c>
      <c r="DV2224" s="5" t="s">
        <v>813</v>
      </c>
      <c r="DW2224" s="5" t="s">
        <v>1124</v>
      </c>
      <c r="HO2224" s="5" t="s">
        <v>312</v>
      </c>
    </row>
    <row r="2225" spans="1:223" x14ac:dyDescent="0.4">
      <c r="A2225" s="5">
        <v>3929</v>
      </c>
      <c r="B2225" s="5">
        <v>1</v>
      </c>
      <c r="C2225" s="5">
        <v>1</v>
      </c>
      <c r="D2225" s="5" t="s">
        <v>810</v>
      </c>
      <c r="E2225" s="5" t="s">
        <v>245</v>
      </c>
      <c r="F2225" s="5" t="s">
        <v>254</v>
      </c>
      <c r="G2225" s="5" t="s">
        <v>240</v>
      </c>
      <c r="H2225" s="6" t="s">
        <v>4049</v>
      </c>
      <c r="I2225" s="5" t="s">
        <v>809</v>
      </c>
      <c r="J2225" s="8">
        <f>145</f>
        <v>145</v>
      </c>
      <c r="K2225" s="5" t="s">
        <v>308</v>
      </c>
      <c r="L2225" s="7">
        <f>1</f>
        <v>1</v>
      </c>
      <c r="M2225" s="7">
        <f>1</f>
        <v>1</v>
      </c>
      <c r="N2225" s="5" t="s">
        <v>242</v>
      </c>
      <c r="O2225" s="5">
        <v>1</v>
      </c>
      <c r="P2225" s="5" t="s">
        <v>294</v>
      </c>
      <c r="Q2225" s="5" t="s">
        <v>266</v>
      </c>
      <c r="R2225" s="5" t="s">
        <v>240</v>
      </c>
      <c r="S2225" s="5" t="s">
        <v>240</v>
      </c>
      <c r="T2225" s="5" t="s">
        <v>296</v>
      </c>
      <c r="U2225" s="5" t="s">
        <v>244</v>
      </c>
      <c r="V2225" s="5" t="s">
        <v>240</v>
      </c>
      <c r="Y2225" s="5" t="s">
        <v>240</v>
      </c>
      <c r="Z2225" s="6" t="s">
        <v>298</v>
      </c>
      <c r="AB2225" s="6" t="s">
        <v>240</v>
      </c>
      <c r="AE2225" s="6" t="s">
        <v>299</v>
      </c>
      <c r="AF2225" s="5" t="s">
        <v>248</v>
      </c>
      <c r="AG2225" s="5" t="s">
        <v>249</v>
      </c>
      <c r="AW2225" s="5" t="s">
        <v>251</v>
      </c>
      <c r="AX2225" s="5" t="s">
        <v>240</v>
      </c>
      <c r="AY2225" s="5" t="s">
        <v>253</v>
      </c>
      <c r="AZ2225" s="5" t="s">
        <v>240</v>
      </c>
      <c r="BA2225" s="5" t="s">
        <v>255</v>
      </c>
      <c r="BB2225" s="5" t="s">
        <v>240</v>
      </c>
      <c r="BD2225" s="5" t="s">
        <v>240</v>
      </c>
      <c r="BF2225" s="5" t="s">
        <v>301</v>
      </c>
      <c r="BG2225" s="6" t="s">
        <v>299</v>
      </c>
      <c r="BH2225" s="5" t="s">
        <v>302</v>
      </c>
      <c r="BI2225" s="5" t="s">
        <v>303</v>
      </c>
      <c r="BJ2225" s="5" t="s">
        <v>240</v>
      </c>
      <c r="BK2225" s="8">
        <f>0</f>
        <v>0</v>
      </c>
      <c r="BL2225" s="7">
        <f>0</f>
        <v>0</v>
      </c>
      <c r="BM2225" s="5" t="s">
        <v>258</v>
      </c>
      <c r="BN2225" s="5" t="s">
        <v>259</v>
      </c>
      <c r="CB2225" s="5" t="s">
        <v>240</v>
      </c>
      <c r="CC2225" s="5" t="s">
        <v>240</v>
      </c>
      <c r="CG2225" s="5" t="s">
        <v>304</v>
      </c>
      <c r="CH2225" s="5" t="s">
        <v>305</v>
      </c>
      <c r="CI2225" s="5" t="s">
        <v>240</v>
      </c>
      <c r="CL2225" s="6" t="s">
        <v>261</v>
      </c>
      <c r="CM2225" s="5" t="s">
        <v>240</v>
      </c>
      <c r="CN2225" s="5" t="s">
        <v>263</v>
      </c>
      <c r="CO2225" s="5" t="s">
        <v>240</v>
      </c>
      <c r="CP2225" s="5" t="s">
        <v>240</v>
      </c>
      <c r="CQ2225" s="5">
        <v>0</v>
      </c>
      <c r="CR2225" s="5" t="s">
        <v>306</v>
      </c>
      <c r="CS2225" s="5" t="s">
        <v>307</v>
      </c>
      <c r="CT2225" s="5" t="s">
        <v>307</v>
      </c>
      <c r="CU2225" s="5" t="s">
        <v>260</v>
      </c>
      <c r="CX2225" s="7">
        <f>1</f>
        <v>1</v>
      </c>
      <c r="CY2225" s="7">
        <f>0</f>
        <v>0</v>
      </c>
      <c r="DA2225" s="7">
        <f>0</f>
        <v>0</v>
      </c>
      <c r="DC2225" s="5" t="s">
        <v>812</v>
      </c>
      <c r="DD2225" s="5" t="s">
        <v>240</v>
      </c>
      <c r="DF2225" s="5" t="s">
        <v>812</v>
      </c>
      <c r="DG2225" s="7">
        <f>2183</f>
        <v>2183</v>
      </c>
      <c r="DI2225" s="5" t="s">
        <v>240</v>
      </c>
      <c r="DJ2225" s="5" t="s">
        <v>240</v>
      </c>
      <c r="DK2225" s="5" t="s">
        <v>240</v>
      </c>
      <c r="DL2225" s="5" t="s">
        <v>240</v>
      </c>
      <c r="DP2225" s="5" t="s">
        <v>240</v>
      </c>
      <c r="DQ2225" s="5" t="s">
        <v>240</v>
      </c>
      <c r="DR2225" s="5" t="s">
        <v>240</v>
      </c>
      <c r="DS2225" s="5" t="s">
        <v>240</v>
      </c>
      <c r="DV2225" s="5" t="s">
        <v>813</v>
      </c>
      <c r="DW2225" s="5" t="s">
        <v>1122</v>
      </c>
      <c r="HO2225" s="5" t="s">
        <v>312</v>
      </c>
    </row>
    <row r="2226" spans="1:223" x14ac:dyDescent="0.4">
      <c r="A2226" s="5">
        <v>3930</v>
      </c>
      <c r="B2226" s="5">
        <v>1</v>
      </c>
      <c r="C2226" s="5">
        <v>1</v>
      </c>
      <c r="D2226" s="5" t="s">
        <v>810</v>
      </c>
      <c r="E2226" s="5" t="s">
        <v>245</v>
      </c>
      <c r="F2226" s="5" t="s">
        <v>254</v>
      </c>
      <c r="G2226" s="5" t="s">
        <v>240</v>
      </c>
      <c r="H2226" s="6" t="s">
        <v>4047</v>
      </c>
      <c r="I2226" s="5" t="s">
        <v>809</v>
      </c>
      <c r="J2226" s="8">
        <f>32</f>
        <v>32</v>
      </c>
      <c r="K2226" s="5" t="s">
        <v>308</v>
      </c>
      <c r="L2226" s="7">
        <f>1</f>
        <v>1</v>
      </c>
      <c r="M2226" s="7">
        <f>1</f>
        <v>1</v>
      </c>
      <c r="N2226" s="5" t="s">
        <v>242</v>
      </c>
      <c r="O2226" s="5">
        <v>1</v>
      </c>
      <c r="P2226" s="5" t="s">
        <v>294</v>
      </c>
      <c r="Q2226" s="5" t="s">
        <v>266</v>
      </c>
      <c r="R2226" s="5" t="s">
        <v>240</v>
      </c>
      <c r="S2226" s="5" t="s">
        <v>240</v>
      </c>
      <c r="T2226" s="5" t="s">
        <v>296</v>
      </c>
      <c r="U2226" s="5" t="s">
        <v>244</v>
      </c>
      <c r="V2226" s="5" t="s">
        <v>240</v>
      </c>
      <c r="Y2226" s="5" t="s">
        <v>240</v>
      </c>
      <c r="Z2226" s="6" t="s">
        <v>298</v>
      </c>
      <c r="AB2226" s="6" t="s">
        <v>240</v>
      </c>
      <c r="AE2226" s="6" t="s">
        <v>299</v>
      </c>
      <c r="AF2226" s="5" t="s">
        <v>248</v>
      </c>
      <c r="AG2226" s="5" t="s">
        <v>249</v>
      </c>
      <c r="AW2226" s="5" t="s">
        <v>251</v>
      </c>
      <c r="AX2226" s="5" t="s">
        <v>240</v>
      </c>
      <c r="AY2226" s="5" t="s">
        <v>253</v>
      </c>
      <c r="AZ2226" s="5" t="s">
        <v>240</v>
      </c>
      <c r="BA2226" s="5" t="s">
        <v>255</v>
      </c>
      <c r="BB2226" s="5" t="s">
        <v>240</v>
      </c>
      <c r="BD2226" s="5" t="s">
        <v>240</v>
      </c>
      <c r="BF2226" s="5" t="s">
        <v>301</v>
      </c>
      <c r="BG2226" s="6" t="s">
        <v>299</v>
      </c>
      <c r="BH2226" s="5" t="s">
        <v>302</v>
      </c>
      <c r="BI2226" s="5" t="s">
        <v>303</v>
      </c>
      <c r="BJ2226" s="5" t="s">
        <v>240</v>
      </c>
      <c r="BK2226" s="8">
        <f>0</f>
        <v>0</v>
      </c>
      <c r="BL2226" s="7">
        <f>0</f>
        <v>0</v>
      </c>
      <c r="BM2226" s="5" t="s">
        <v>258</v>
      </c>
      <c r="BN2226" s="5" t="s">
        <v>259</v>
      </c>
      <c r="CB2226" s="5" t="s">
        <v>240</v>
      </c>
      <c r="CC2226" s="5" t="s">
        <v>240</v>
      </c>
      <c r="CG2226" s="5" t="s">
        <v>304</v>
      </c>
      <c r="CH2226" s="5" t="s">
        <v>305</v>
      </c>
      <c r="CI2226" s="5" t="s">
        <v>240</v>
      </c>
      <c r="CL2226" s="6" t="s">
        <v>261</v>
      </c>
      <c r="CM2226" s="5" t="s">
        <v>240</v>
      </c>
      <c r="CN2226" s="5" t="s">
        <v>263</v>
      </c>
      <c r="CO2226" s="5" t="s">
        <v>240</v>
      </c>
      <c r="CP2226" s="5" t="s">
        <v>240</v>
      </c>
      <c r="CQ2226" s="5">
        <v>0</v>
      </c>
      <c r="CR2226" s="5" t="s">
        <v>306</v>
      </c>
      <c r="CS2226" s="5" t="s">
        <v>307</v>
      </c>
      <c r="CT2226" s="5" t="s">
        <v>307</v>
      </c>
      <c r="CU2226" s="5" t="s">
        <v>260</v>
      </c>
      <c r="CX2226" s="7">
        <f>1</f>
        <v>1</v>
      </c>
      <c r="CY2226" s="7">
        <f>0</f>
        <v>0</v>
      </c>
      <c r="DA2226" s="7">
        <f>0</f>
        <v>0</v>
      </c>
      <c r="DC2226" s="5" t="s">
        <v>812</v>
      </c>
      <c r="DD2226" s="5" t="s">
        <v>240</v>
      </c>
      <c r="DF2226" s="5" t="s">
        <v>812</v>
      </c>
      <c r="DG2226" s="7">
        <f>898</f>
        <v>898</v>
      </c>
      <c r="DI2226" s="5" t="s">
        <v>240</v>
      </c>
      <c r="DJ2226" s="5" t="s">
        <v>240</v>
      </c>
      <c r="DK2226" s="5" t="s">
        <v>240</v>
      </c>
      <c r="DL2226" s="5" t="s">
        <v>240</v>
      </c>
      <c r="DP2226" s="5" t="s">
        <v>240</v>
      </c>
      <c r="DQ2226" s="5" t="s">
        <v>240</v>
      </c>
      <c r="DR2226" s="5" t="s">
        <v>240</v>
      </c>
      <c r="DS2226" s="5" t="s">
        <v>240</v>
      </c>
      <c r="DV2226" s="5" t="s">
        <v>813</v>
      </c>
      <c r="DW2226" s="5" t="s">
        <v>1210</v>
      </c>
      <c r="HO2226" s="5" t="s">
        <v>312</v>
      </c>
    </row>
    <row r="2227" spans="1:223" x14ac:dyDescent="0.4">
      <c r="A2227" s="5">
        <v>3931</v>
      </c>
      <c r="B2227" s="5">
        <v>1</v>
      </c>
      <c r="C2227" s="5">
        <v>1</v>
      </c>
      <c r="D2227" s="5" t="s">
        <v>810</v>
      </c>
      <c r="E2227" s="5" t="s">
        <v>245</v>
      </c>
      <c r="F2227" s="5" t="s">
        <v>254</v>
      </c>
      <c r="G2227" s="5" t="s">
        <v>240</v>
      </c>
      <c r="H2227" s="6" t="s">
        <v>4045</v>
      </c>
      <c r="I2227" s="5" t="s">
        <v>809</v>
      </c>
      <c r="J2227" s="8">
        <f>1584</f>
        <v>1584</v>
      </c>
      <c r="K2227" s="5" t="s">
        <v>308</v>
      </c>
      <c r="L2227" s="7">
        <f>1</f>
        <v>1</v>
      </c>
      <c r="M2227" s="7">
        <f>1</f>
        <v>1</v>
      </c>
      <c r="N2227" s="5" t="s">
        <v>242</v>
      </c>
      <c r="O2227" s="5">
        <v>1</v>
      </c>
      <c r="P2227" s="5" t="s">
        <v>294</v>
      </c>
      <c r="Q2227" s="5" t="s">
        <v>266</v>
      </c>
      <c r="R2227" s="5" t="s">
        <v>240</v>
      </c>
      <c r="S2227" s="5" t="s">
        <v>240</v>
      </c>
      <c r="T2227" s="5" t="s">
        <v>296</v>
      </c>
      <c r="U2227" s="5" t="s">
        <v>244</v>
      </c>
      <c r="V2227" s="5" t="s">
        <v>240</v>
      </c>
      <c r="Y2227" s="5" t="s">
        <v>240</v>
      </c>
      <c r="Z2227" s="6" t="s">
        <v>298</v>
      </c>
      <c r="AB2227" s="6" t="s">
        <v>240</v>
      </c>
      <c r="AE2227" s="6" t="s">
        <v>299</v>
      </c>
      <c r="AF2227" s="5" t="s">
        <v>248</v>
      </c>
      <c r="AG2227" s="5" t="s">
        <v>249</v>
      </c>
      <c r="AW2227" s="5" t="s">
        <v>251</v>
      </c>
      <c r="AX2227" s="5" t="s">
        <v>240</v>
      </c>
      <c r="AY2227" s="5" t="s">
        <v>253</v>
      </c>
      <c r="AZ2227" s="5" t="s">
        <v>240</v>
      </c>
      <c r="BA2227" s="5" t="s">
        <v>255</v>
      </c>
      <c r="BB2227" s="5" t="s">
        <v>240</v>
      </c>
      <c r="BD2227" s="5" t="s">
        <v>240</v>
      </c>
      <c r="BF2227" s="5" t="s">
        <v>301</v>
      </c>
      <c r="BG2227" s="6" t="s">
        <v>299</v>
      </c>
      <c r="BH2227" s="5" t="s">
        <v>302</v>
      </c>
      <c r="BI2227" s="5" t="s">
        <v>303</v>
      </c>
      <c r="BJ2227" s="5" t="s">
        <v>240</v>
      </c>
      <c r="BK2227" s="8">
        <f>0</f>
        <v>0</v>
      </c>
      <c r="BL2227" s="7">
        <f>0</f>
        <v>0</v>
      </c>
      <c r="BM2227" s="5" t="s">
        <v>258</v>
      </c>
      <c r="BN2227" s="5" t="s">
        <v>259</v>
      </c>
      <c r="CB2227" s="5" t="s">
        <v>240</v>
      </c>
      <c r="CC2227" s="5" t="s">
        <v>240</v>
      </c>
      <c r="CG2227" s="5" t="s">
        <v>304</v>
      </c>
      <c r="CH2227" s="5" t="s">
        <v>305</v>
      </c>
      <c r="CI2227" s="5" t="s">
        <v>240</v>
      </c>
      <c r="CL2227" s="6" t="s">
        <v>261</v>
      </c>
      <c r="CM2227" s="5" t="s">
        <v>240</v>
      </c>
      <c r="CN2227" s="5" t="s">
        <v>263</v>
      </c>
      <c r="CO2227" s="5" t="s">
        <v>240</v>
      </c>
      <c r="CP2227" s="5" t="s">
        <v>240</v>
      </c>
      <c r="CQ2227" s="5">
        <v>0</v>
      </c>
      <c r="CR2227" s="5" t="s">
        <v>306</v>
      </c>
      <c r="CS2227" s="5" t="s">
        <v>307</v>
      </c>
      <c r="CT2227" s="5" t="s">
        <v>307</v>
      </c>
      <c r="CU2227" s="5" t="s">
        <v>260</v>
      </c>
      <c r="CX2227" s="7">
        <f>1</f>
        <v>1</v>
      </c>
      <c r="CY2227" s="7">
        <f>0</f>
        <v>0</v>
      </c>
      <c r="DA2227" s="7">
        <f>0</f>
        <v>0</v>
      </c>
      <c r="DC2227" s="5" t="s">
        <v>812</v>
      </c>
      <c r="DD2227" s="5" t="s">
        <v>240</v>
      </c>
      <c r="DF2227" s="5" t="s">
        <v>812</v>
      </c>
      <c r="DG2227" s="7">
        <f>1544</f>
        <v>1544</v>
      </c>
      <c r="DI2227" s="5" t="s">
        <v>240</v>
      </c>
      <c r="DJ2227" s="5" t="s">
        <v>240</v>
      </c>
      <c r="DK2227" s="5" t="s">
        <v>240</v>
      </c>
      <c r="DL2227" s="5" t="s">
        <v>240</v>
      </c>
      <c r="DP2227" s="5" t="s">
        <v>240</v>
      </c>
      <c r="DQ2227" s="5" t="s">
        <v>240</v>
      </c>
      <c r="DR2227" s="5" t="s">
        <v>240</v>
      </c>
      <c r="DS2227" s="5" t="s">
        <v>240</v>
      </c>
      <c r="DV2227" s="5" t="s">
        <v>813</v>
      </c>
      <c r="DW2227" s="5" t="s">
        <v>1212</v>
      </c>
      <c r="HO2227" s="5" t="s">
        <v>312</v>
      </c>
    </row>
    <row r="2228" spans="1:223" x14ac:dyDescent="0.4">
      <c r="A2228" s="5">
        <v>3932</v>
      </c>
      <c r="B2228" s="5">
        <v>1</v>
      </c>
      <c r="C2228" s="5">
        <v>1</v>
      </c>
      <c r="D2228" s="5" t="s">
        <v>810</v>
      </c>
      <c r="E2228" s="5" t="s">
        <v>245</v>
      </c>
      <c r="F2228" s="5" t="s">
        <v>254</v>
      </c>
      <c r="G2228" s="5" t="s">
        <v>240</v>
      </c>
      <c r="H2228" s="6" t="s">
        <v>4043</v>
      </c>
      <c r="I2228" s="5" t="s">
        <v>809</v>
      </c>
      <c r="J2228" s="8">
        <f>1219</f>
        <v>1219</v>
      </c>
      <c r="K2228" s="5" t="s">
        <v>308</v>
      </c>
      <c r="L2228" s="7">
        <f>1</f>
        <v>1</v>
      </c>
      <c r="M2228" s="7">
        <f>1</f>
        <v>1</v>
      </c>
      <c r="N2228" s="5" t="s">
        <v>242</v>
      </c>
      <c r="O2228" s="5">
        <v>1</v>
      </c>
      <c r="P2228" s="5" t="s">
        <v>294</v>
      </c>
      <c r="Q2228" s="5" t="s">
        <v>266</v>
      </c>
      <c r="R2228" s="5" t="s">
        <v>240</v>
      </c>
      <c r="S2228" s="5" t="s">
        <v>240</v>
      </c>
      <c r="T2228" s="5" t="s">
        <v>296</v>
      </c>
      <c r="U2228" s="5" t="s">
        <v>244</v>
      </c>
      <c r="V2228" s="5" t="s">
        <v>240</v>
      </c>
      <c r="Y2228" s="5" t="s">
        <v>240</v>
      </c>
      <c r="Z2228" s="6" t="s">
        <v>298</v>
      </c>
      <c r="AB2228" s="6" t="s">
        <v>240</v>
      </c>
      <c r="AE2228" s="6" t="s">
        <v>299</v>
      </c>
      <c r="AF2228" s="5" t="s">
        <v>248</v>
      </c>
      <c r="AG2228" s="5" t="s">
        <v>249</v>
      </c>
      <c r="AW2228" s="5" t="s">
        <v>251</v>
      </c>
      <c r="AX2228" s="5" t="s">
        <v>240</v>
      </c>
      <c r="AY2228" s="5" t="s">
        <v>253</v>
      </c>
      <c r="AZ2228" s="5" t="s">
        <v>240</v>
      </c>
      <c r="BA2228" s="5" t="s">
        <v>255</v>
      </c>
      <c r="BB2228" s="5" t="s">
        <v>240</v>
      </c>
      <c r="BD2228" s="5" t="s">
        <v>240</v>
      </c>
      <c r="BF2228" s="5" t="s">
        <v>301</v>
      </c>
      <c r="BG2228" s="6" t="s">
        <v>299</v>
      </c>
      <c r="BH2228" s="5" t="s">
        <v>302</v>
      </c>
      <c r="BI2228" s="5" t="s">
        <v>303</v>
      </c>
      <c r="BJ2228" s="5" t="s">
        <v>240</v>
      </c>
      <c r="BK2228" s="8">
        <f>0</f>
        <v>0</v>
      </c>
      <c r="BL2228" s="7">
        <f>0</f>
        <v>0</v>
      </c>
      <c r="BM2228" s="5" t="s">
        <v>258</v>
      </c>
      <c r="BN2228" s="5" t="s">
        <v>259</v>
      </c>
      <c r="CB2228" s="5" t="s">
        <v>240</v>
      </c>
      <c r="CC2228" s="5" t="s">
        <v>240</v>
      </c>
      <c r="CG2228" s="5" t="s">
        <v>304</v>
      </c>
      <c r="CH2228" s="5" t="s">
        <v>305</v>
      </c>
      <c r="CI2228" s="5" t="s">
        <v>240</v>
      </c>
      <c r="CL2228" s="6" t="s">
        <v>261</v>
      </c>
      <c r="CM2228" s="5" t="s">
        <v>240</v>
      </c>
      <c r="CN2228" s="5" t="s">
        <v>263</v>
      </c>
      <c r="CO2228" s="5" t="s">
        <v>240</v>
      </c>
      <c r="CP2228" s="5" t="s">
        <v>240</v>
      </c>
      <c r="CQ2228" s="5">
        <v>0</v>
      </c>
      <c r="CR2228" s="5" t="s">
        <v>306</v>
      </c>
      <c r="CS2228" s="5" t="s">
        <v>307</v>
      </c>
      <c r="CT2228" s="5" t="s">
        <v>307</v>
      </c>
      <c r="CU2228" s="5" t="s">
        <v>260</v>
      </c>
      <c r="CX2228" s="7">
        <f>1</f>
        <v>1</v>
      </c>
      <c r="CY2228" s="7">
        <f>0</f>
        <v>0</v>
      </c>
      <c r="DA2228" s="7">
        <f>0</f>
        <v>0</v>
      </c>
      <c r="DC2228" s="5" t="s">
        <v>812</v>
      </c>
      <c r="DD2228" s="5" t="s">
        <v>240</v>
      </c>
      <c r="DF2228" s="5" t="s">
        <v>812</v>
      </c>
      <c r="DG2228" s="7">
        <f>445</f>
        <v>445</v>
      </c>
      <c r="DI2228" s="5" t="s">
        <v>240</v>
      </c>
      <c r="DJ2228" s="5" t="s">
        <v>240</v>
      </c>
      <c r="DK2228" s="5" t="s">
        <v>240</v>
      </c>
      <c r="DL2228" s="5" t="s">
        <v>240</v>
      </c>
      <c r="DP2228" s="5" t="s">
        <v>240</v>
      </c>
      <c r="DQ2228" s="5" t="s">
        <v>240</v>
      </c>
      <c r="DR2228" s="5" t="s">
        <v>240</v>
      </c>
      <c r="DS2228" s="5" t="s">
        <v>240</v>
      </c>
      <c r="DV2228" s="5" t="s">
        <v>813</v>
      </c>
      <c r="DW2228" s="5" t="s">
        <v>1214</v>
      </c>
      <c r="HO2228" s="5" t="s">
        <v>312</v>
      </c>
    </row>
    <row r="2229" spans="1:223" x14ac:dyDescent="0.4">
      <c r="A2229" s="5">
        <v>3933</v>
      </c>
      <c r="B2229" s="5">
        <v>1</v>
      </c>
      <c r="C2229" s="5">
        <v>1</v>
      </c>
      <c r="D2229" s="5" t="s">
        <v>810</v>
      </c>
      <c r="E2229" s="5" t="s">
        <v>245</v>
      </c>
      <c r="F2229" s="5" t="s">
        <v>254</v>
      </c>
      <c r="G2229" s="5" t="s">
        <v>240</v>
      </c>
      <c r="H2229" s="6" t="s">
        <v>4041</v>
      </c>
      <c r="I2229" s="5" t="s">
        <v>809</v>
      </c>
      <c r="J2229" s="8">
        <f>1481</f>
        <v>1481</v>
      </c>
      <c r="K2229" s="5" t="s">
        <v>308</v>
      </c>
      <c r="L2229" s="7">
        <f>1</f>
        <v>1</v>
      </c>
      <c r="M2229" s="7">
        <f>1</f>
        <v>1</v>
      </c>
      <c r="N2229" s="5" t="s">
        <v>242</v>
      </c>
      <c r="O2229" s="5">
        <v>1</v>
      </c>
      <c r="P2229" s="5" t="s">
        <v>294</v>
      </c>
      <c r="Q2229" s="5" t="s">
        <v>266</v>
      </c>
      <c r="R2229" s="5" t="s">
        <v>240</v>
      </c>
      <c r="S2229" s="5" t="s">
        <v>240</v>
      </c>
      <c r="T2229" s="5" t="s">
        <v>296</v>
      </c>
      <c r="U2229" s="5" t="s">
        <v>244</v>
      </c>
      <c r="V2229" s="5" t="s">
        <v>240</v>
      </c>
      <c r="Y2229" s="5" t="s">
        <v>240</v>
      </c>
      <c r="Z2229" s="6" t="s">
        <v>298</v>
      </c>
      <c r="AB2229" s="6" t="s">
        <v>240</v>
      </c>
      <c r="AE2229" s="6" t="s">
        <v>299</v>
      </c>
      <c r="AF2229" s="5" t="s">
        <v>248</v>
      </c>
      <c r="AG2229" s="5" t="s">
        <v>249</v>
      </c>
      <c r="AW2229" s="5" t="s">
        <v>251</v>
      </c>
      <c r="AX2229" s="5" t="s">
        <v>240</v>
      </c>
      <c r="AY2229" s="5" t="s">
        <v>253</v>
      </c>
      <c r="AZ2229" s="5" t="s">
        <v>240</v>
      </c>
      <c r="BA2229" s="5" t="s">
        <v>255</v>
      </c>
      <c r="BB2229" s="5" t="s">
        <v>240</v>
      </c>
      <c r="BD2229" s="5" t="s">
        <v>240</v>
      </c>
      <c r="BF2229" s="5" t="s">
        <v>301</v>
      </c>
      <c r="BG2229" s="6" t="s">
        <v>299</v>
      </c>
      <c r="BH2229" s="5" t="s">
        <v>302</v>
      </c>
      <c r="BI2229" s="5" t="s">
        <v>303</v>
      </c>
      <c r="BJ2229" s="5" t="s">
        <v>240</v>
      </c>
      <c r="BK2229" s="8">
        <f>0</f>
        <v>0</v>
      </c>
      <c r="BL2229" s="7">
        <f>0</f>
        <v>0</v>
      </c>
      <c r="BM2229" s="5" t="s">
        <v>258</v>
      </c>
      <c r="BN2229" s="5" t="s">
        <v>259</v>
      </c>
      <c r="CB2229" s="5" t="s">
        <v>240</v>
      </c>
      <c r="CC2229" s="5" t="s">
        <v>240</v>
      </c>
      <c r="CG2229" s="5" t="s">
        <v>304</v>
      </c>
      <c r="CH2229" s="5" t="s">
        <v>305</v>
      </c>
      <c r="CI2229" s="5" t="s">
        <v>240</v>
      </c>
      <c r="CL2229" s="6" t="s">
        <v>261</v>
      </c>
      <c r="CM2229" s="5" t="s">
        <v>240</v>
      </c>
      <c r="CN2229" s="5" t="s">
        <v>263</v>
      </c>
      <c r="CO2229" s="5" t="s">
        <v>240</v>
      </c>
      <c r="CP2229" s="5" t="s">
        <v>240</v>
      </c>
      <c r="CQ2229" s="5">
        <v>0</v>
      </c>
      <c r="CR2229" s="5" t="s">
        <v>306</v>
      </c>
      <c r="CS2229" s="5" t="s">
        <v>307</v>
      </c>
      <c r="CT2229" s="5" t="s">
        <v>307</v>
      </c>
      <c r="CU2229" s="5" t="s">
        <v>260</v>
      </c>
      <c r="CX2229" s="7">
        <f>1</f>
        <v>1</v>
      </c>
      <c r="CY2229" s="7">
        <f>0</f>
        <v>0</v>
      </c>
      <c r="DA2229" s="7">
        <f>0</f>
        <v>0</v>
      </c>
      <c r="DC2229" s="5" t="s">
        <v>812</v>
      </c>
      <c r="DD2229" s="5" t="s">
        <v>240</v>
      </c>
      <c r="DF2229" s="5" t="s">
        <v>812</v>
      </c>
      <c r="DG2229" s="7">
        <f>297</f>
        <v>297</v>
      </c>
      <c r="DI2229" s="5" t="s">
        <v>240</v>
      </c>
      <c r="DJ2229" s="5" t="s">
        <v>240</v>
      </c>
      <c r="DK2229" s="5" t="s">
        <v>240</v>
      </c>
      <c r="DL2229" s="5" t="s">
        <v>240</v>
      </c>
      <c r="DP2229" s="5" t="s">
        <v>240</v>
      </c>
      <c r="DQ2229" s="5" t="s">
        <v>240</v>
      </c>
      <c r="DR2229" s="5" t="s">
        <v>240</v>
      </c>
      <c r="DS2229" s="5" t="s">
        <v>240</v>
      </c>
      <c r="DV2229" s="5" t="s">
        <v>813</v>
      </c>
      <c r="DW2229" s="5" t="s">
        <v>1216</v>
      </c>
      <c r="HO2229" s="5" t="s">
        <v>312</v>
      </c>
    </row>
    <row r="2230" spans="1:223" x14ac:dyDescent="0.4">
      <c r="A2230" s="5">
        <v>3934</v>
      </c>
      <c r="B2230" s="5">
        <v>1</v>
      </c>
      <c r="C2230" s="5">
        <v>1</v>
      </c>
      <c r="D2230" s="5" t="s">
        <v>810</v>
      </c>
      <c r="E2230" s="5" t="s">
        <v>245</v>
      </c>
      <c r="F2230" s="5" t="s">
        <v>254</v>
      </c>
      <c r="G2230" s="5" t="s">
        <v>240</v>
      </c>
      <c r="H2230" s="6" t="s">
        <v>4039</v>
      </c>
      <c r="I2230" s="5" t="s">
        <v>809</v>
      </c>
      <c r="J2230" s="8">
        <f>1628</f>
        <v>1628</v>
      </c>
      <c r="K2230" s="5" t="s">
        <v>308</v>
      </c>
      <c r="L2230" s="7">
        <f>1</f>
        <v>1</v>
      </c>
      <c r="M2230" s="7">
        <f>1</f>
        <v>1</v>
      </c>
      <c r="N2230" s="5" t="s">
        <v>242</v>
      </c>
      <c r="O2230" s="5">
        <v>1</v>
      </c>
      <c r="P2230" s="5" t="s">
        <v>294</v>
      </c>
      <c r="Q2230" s="5" t="s">
        <v>613</v>
      </c>
      <c r="R2230" s="5" t="s">
        <v>240</v>
      </c>
      <c r="S2230" s="5" t="s">
        <v>240</v>
      </c>
      <c r="T2230" s="5" t="s">
        <v>243</v>
      </c>
      <c r="U2230" s="5" t="s">
        <v>724</v>
      </c>
      <c r="V2230" s="5" t="s">
        <v>240</v>
      </c>
      <c r="Y2230" s="5" t="s">
        <v>240</v>
      </c>
      <c r="Z2230" s="6" t="s">
        <v>298</v>
      </c>
      <c r="AB2230" s="6" t="s">
        <v>240</v>
      </c>
      <c r="AE2230" s="6" t="s">
        <v>299</v>
      </c>
      <c r="AF2230" s="5" t="s">
        <v>248</v>
      </c>
      <c r="AG2230" s="5" t="s">
        <v>249</v>
      </c>
      <c r="AW2230" s="5" t="s">
        <v>251</v>
      </c>
      <c r="AX2230" s="5" t="s">
        <v>240</v>
      </c>
      <c r="AY2230" s="5" t="s">
        <v>253</v>
      </c>
      <c r="AZ2230" s="5" t="s">
        <v>240</v>
      </c>
      <c r="BA2230" s="5" t="s">
        <v>255</v>
      </c>
      <c r="BB2230" s="5" t="s">
        <v>240</v>
      </c>
      <c r="BD2230" s="5" t="s">
        <v>240</v>
      </c>
      <c r="BF2230" s="5" t="s">
        <v>301</v>
      </c>
      <c r="BG2230" s="6" t="s">
        <v>299</v>
      </c>
      <c r="BH2230" s="5" t="s">
        <v>302</v>
      </c>
      <c r="BI2230" s="5" t="s">
        <v>303</v>
      </c>
      <c r="BJ2230" s="5" t="s">
        <v>240</v>
      </c>
      <c r="BK2230" s="8">
        <f>0</f>
        <v>0</v>
      </c>
      <c r="BL2230" s="7">
        <f>0</f>
        <v>0</v>
      </c>
      <c r="BM2230" s="5" t="s">
        <v>258</v>
      </c>
      <c r="BN2230" s="5" t="s">
        <v>259</v>
      </c>
      <c r="CB2230" s="5" t="s">
        <v>240</v>
      </c>
      <c r="CC2230" s="5" t="s">
        <v>240</v>
      </c>
      <c r="CG2230" s="5" t="s">
        <v>617</v>
      </c>
      <c r="CH2230" s="5" t="s">
        <v>305</v>
      </c>
      <c r="CI2230" s="5" t="s">
        <v>240</v>
      </c>
      <c r="CL2230" s="6" t="s">
        <v>261</v>
      </c>
      <c r="CM2230" s="5" t="s">
        <v>240</v>
      </c>
      <c r="CN2230" s="5" t="s">
        <v>263</v>
      </c>
      <c r="CO2230" s="5" t="s">
        <v>240</v>
      </c>
      <c r="CP2230" s="5" t="s">
        <v>240</v>
      </c>
      <c r="CQ2230" s="5">
        <v>0</v>
      </c>
      <c r="CR2230" s="5" t="s">
        <v>306</v>
      </c>
      <c r="CS2230" s="5" t="s">
        <v>307</v>
      </c>
      <c r="CT2230" s="5" t="s">
        <v>307</v>
      </c>
      <c r="CU2230" s="5" t="s">
        <v>260</v>
      </c>
      <c r="CX2230" s="7">
        <f>12507</f>
        <v>12507</v>
      </c>
      <c r="CY2230" s="7">
        <f>0</f>
        <v>0</v>
      </c>
      <c r="DA2230" s="7">
        <f>0</f>
        <v>0</v>
      </c>
      <c r="DC2230" s="5" t="s">
        <v>854</v>
      </c>
      <c r="DD2230" s="5" t="s">
        <v>240</v>
      </c>
      <c r="DF2230" s="5" t="s">
        <v>450</v>
      </c>
      <c r="DG2230" s="7">
        <f>0</f>
        <v>0</v>
      </c>
      <c r="DI2230" s="5" t="s">
        <v>737</v>
      </c>
      <c r="DJ2230" s="5" t="s">
        <v>240</v>
      </c>
      <c r="DK2230" s="5" t="s">
        <v>240</v>
      </c>
      <c r="DL2230" s="5" t="s">
        <v>240</v>
      </c>
      <c r="DP2230" s="5" t="s">
        <v>240</v>
      </c>
      <c r="DQ2230" s="5" t="s">
        <v>240</v>
      </c>
      <c r="DR2230" s="5" t="s">
        <v>240</v>
      </c>
      <c r="DS2230" s="5" t="s">
        <v>240</v>
      </c>
      <c r="DV2230" s="5" t="s">
        <v>957</v>
      </c>
      <c r="DW2230" s="5" t="s">
        <v>2055</v>
      </c>
      <c r="HO2230" s="5" t="s">
        <v>312</v>
      </c>
    </row>
    <row r="2231" spans="1:223" x14ac:dyDescent="0.4">
      <c r="A2231" s="5">
        <v>3935</v>
      </c>
      <c r="B2231" s="5">
        <v>1</v>
      </c>
      <c r="C2231" s="5">
        <v>1</v>
      </c>
      <c r="D2231" s="5" t="s">
        <v>810</v>
      </c>
      <c r="E2231" s="5" t="s">
        <v>245</v>
      </c>
      <c r="F2231" s="5" t="s">
        <v>254</v>
      </c>
      <c r="G2231" s="5" t="s">
        <v>240</v>
      </c>
      <c r="H2231" s="6" t="s">
        <v>4037</v>
      </c>
      <c r="I2231" s="5" t="s">
        <v>809</v>
      </c>
      <c r="J2231" s="8">
        <f>408</f>
        <v>408</v>
      </c>
      <c r="K2231" s="5" t="s">
        <v>308</v>
      </c>
      <c r="L2231" s="7">
        <f>1</f>
        <v>1</v>
      </c>
      <c r="M2231" s="7">
        <f>1</f>
        <v>1</v>
      </c>
      <c r="N2231" s="5" t="s">
        <v>242</v>
      </c>
      <c r="O2231" s="5">
        <v>1</v>
      </c>
      <c r="P2231" s="5" t="s">
        <v>294</v>
      </c>
      <c r="Q2231" s="5" t="s">
        <v>266</v>
      </c>
      <c r="R2231" s="5" t="s">
        <v>240</v>
      </c>
      <c r="S2231" s="5" t="s">
        <v>240</v>
      </c>
      <c r="T2231" s="5" t="s">
        <v>296</v>
      </c>
      <c r="U2231" s="5" t="s">
        <v>244</v>
      </c>
      <c r="V2231" s="5" t="s">
        <v>240</v>
      </c>
      <c r="Y2231" s="5" t="s">
        <v>240</v>
      </c>
      <c r="Z2231" s="6" t="s">
        <v>298</v>
      </c>
      <c r="AB2231" s="6" t="s">
        <v>240</v>
      </c>
      <c r="AE2231" s="6" t="s">
        <v>299</v>
      </c>
      <c r="AF2231" s="5" t="s">
        <v>248</v>
      </c>
      <c r="AG2231" s="5" t="s">
        <v>249</v>
      </c>
      <c r="AW2231" s="5" t="s">
        <v>251</v>
      </c>
      <c r="AX2231" s="5" t="s">
        <v>240</v>
      </c>
      <c r="AY2231" s="5" t="s">
        <v>253</v>
      </c>
      <c r="AZ2231" s="5" t="s">
        <v>240</v>
      </c>
      <c r="BA2231" s="5" t="s">
        <v>255</v>
      </c>
      <c r="BB2231" s="5" t="s">
        <v>240</v>
      </c>
      <c r="BD2231" s="5" t="s">
        <v>240</v>
      </c>
      <c r="BF2231" s="5" t="s">
        <v>301</v>
      </c>
      <c r="BG2231" s="6" t="s">
        <v>299</v>
      </c>
      <c r="BH2231" s="5" t="s">
        <v>302</v>
      </c>
      <c r="BI2231" s="5" t="s">
        <v>303</v>
      </c>
      <c r="BJ2231" s="5" t="s">
        <v>240</v>
      </c>
      <c r="BK2231" s="8">
        <f>0</f>
        <v>0</v>
      </c>
      <c r="BL2231" s="7">
        <f>0</f>
        <v>0</v>
      </c>
      <c r="BM2231" s="5" t="s">
        <v>258</v>
      </c>
      <c r="BN2231" s="5" t="s">
        <v>259</v>
      </c>
      <c r="CB2231" s="5" t="s">
        <v>240</v>
      </c>
      <c r="CC2231" s="5" t="s">
        <v>240</v>
      </c>
      <c r="CG2231" s="5" t="s">
        <v>304</v>
      </c>
      <c r="CH2231" s="5" t="s">
        <v>305</v>
      </c>
      <c r="CI2231" s="5" t="s">
        <v>240</v>
      </c>
      <c r="CL2231" s="6" t="s">
        <v>261</v>
      </c>
      <c r="CM2231" s="5" t="s">
        <v>240</v>
      </c>
      <c r="CN2231" s="5" t="s">
        <v>263</v>
      </c>
      <c r="CO2231" s="5" t="s">
        <v>240</v>
      </c>
      <c r="CP2231" s="5" t="s">
        <v>240</v>
      </c>
      <c r="CQ2231" s="5">
        <v>0</v>
      </c>
      <c r="CR2231" s="5" t="s">
        <v>306</v>
      </c>
      <c r="CS2231" s="5" t="s">
        <v>307</v>
      </c>
      <c r="CT2231" s="5" t="s">
        <v>307</v>
      </c>
      <c r="CU2231" s="5" t="s">
        <v>260</v>
      </c>
      <c r="CX2231" s="7">
        <f>1</f>
        <v>1</v>
      </c>
      <c r="CY2231" s="7">
        <f>0</f>
        <v>0</v>
      </c>
      <c r="DA2231" s="7">
        <f>0</f>
        <v>0</v>
      </c>
      <c r="DC2231" s="5" t="s">
        <v>812</v>
      </c>
      <c r="DD2231" s="5" t="s">
        <v>240</v>
      </c>
      <c r="DF2231" s="5" t="s">
        <v>812</v>
      </c>
      <c r="DG2231" s="7">
        <f>2718</f>
        <v>2718</v>
      </c>
      <c r="DI2231" s="5" t="s">
        <v>240</v>
      </c>
      <c r="DJ2231" s="5" t="s">
        <v>240</v>
      </c>
      <c r="DK2231" s="5" t="s">
        <v>240</v>
      </c>
      <c r="DL2231" s="5" t="s">
        <v>240</v>
      </c>
      <c r="DP2231" s="5" t="s">
        <v>240</v>
      </c>
      <c r="DQ2231" s="5" t="s">
        <v>240</v>
      </c>
      <c r="DR2231" s="5" t="s">
        <v>240</v>
      </c>
      <c r="DS2231" s="5" t="s">
        <v>240</v>
      </c>
      <c r="DV2231" s="5" t="s">
        <v>813</v>
      </c>
      <c r="DW2231" s="5" t="s">
        <v>1219</v>
      </c>
      <c r="HO2231" s="5" t="s">
        <v>312</v>
      </c>
    </row>
    <row r="2232" spans="1:223" x14ac:dyDescent="0.4">
      <c r="A2232" s="5">
        <v>3936</v>
      </c>
      <c r="B2232" s="5">
        <v>1</v>
      </c>
      <c r="C2232" s="5">
        <v>1</v>
      </c>
      <c r="D2232" s="5" t="s">
        <v>810</v>
      </c>
      <c r="E2232" s="5" t="s">
        <v>245</v>
      </c>
      <c r="F2232" s="5" t="s">
        <v>254</v>
      </c>
      <c r="G2232" s="5" t="s">
        <v>240</v>
      </c>
      <c r="H2232" s="6" t="s">
        <v>4035</v>
      </c>
      <c r="I2232" s="5" t="s">
        <v>809</v>
      </c>
      <c r="J2232" s="8">
        <f>1040</f>
        <v>1040</v>
      </c>
      <c r="K2232" s="5" t="s">
        <v>308</v>
      </c>
      <c r="L2232" s="7">
        <f>1</f>
        <v>1</v>
      </c>
      <c r="M2232" s="7">
        <f>1</f>
        <v>1</v>
      </c>
      <c r="N2232" s="5" t="s">
        <v>242</v>
      </c>
      <c r="O2232" s="5">
        <v>1</v>
      </c>
      <c r="P2232" s="5" t="s">
        <v>294</v>
      </c>
      <c r="Q2232" s="5" t="s">
        <v>266</v>
      </c>
      <c r="R2232" s="5" t="s">
        <v>240</v>
      </c>
      <c r="S2232" s="5" t="s">
        <v>240</v>
      </c>
      <c r="T2232" s="5" t="s">
        <v>296</v>
      </c>
      <c r="U2232" s="5" t="s">
        <v>244</v>
      </c>
      <c r="V2232" s="5" t="s">
        <v>240</v>
      </c>
      <c r="Y2232" s="5" t="s">
        <v>240</v>
      </c>
      <c r="Z2232" s="6" t="s">
        <v>298</v>
      </c>
      <c r="AB2232" s="6" t="s">
        <v>240</v>
      </c>
      <c r="AE2232" s="6" t="s">
        <v>299</v>
      </c>
      <c r="AF2232" s="5" t="s">
        <v>248</v>
      </c>
      <c r="AG2232" s="5" t="s">
        <v>249</v>
      </c>
      <c r="AW2232" s="5" t="s">
        <v>251</v>
      </c>
      <c r="AX2232" s="5" t="s">
        <v>240</v>
      </c>
      <c r="AY2232" s="5" t="s">
        <v>253</v>
      </c>
      <c r="AZ2232" s="5" t="s">
        <v>240</v>
      </c>
      <c r="BA2232" s="5" t="s">
        <v>255</v>
      </c>
      <c r="BB2232" s="5" t="s">
        <v>240</v>
      </c>
      <c r="BD2232" s="5" t="s">
        <v>240</v>
      </c>
      <c r="BF2232" s="5" t="s">
        <v>301</v>
      </c>
      <c r="BG2232" s="6" t="s">
        <v>299</v>
      </c>
      <c r="BH2232" s="5" t="s">
        <v>302</v>
      </c>
      <c r="BI2232" s="5" t="s">
        <v>303</v>
      </c>
      <c r="BJ2232" s="5" t="s">
        <v>240</v>
      </c>
      <c r="BK2232" s="8">
        <f>0</f>
        <v>0</v>
      </c>
      <c r="BL2232" s="7">
        <f>0</f>
        <v>0</v>
      </c>
      <c r="BM2232" s="5" t="s">
        <v>258</v>
      </c>
      <c r="BN2232" s="5" t="s">
        <v>259</v>
      </c>
      <c r="CB2232" s="5" t="s">
        <v>240</v>
      </c>
      <c r="CC2232" s="5" t="s">
        <v>240</v>
      </c>
      <c r="CG2232" s="5" t="s">
        <v>304</v>
      </c>
      <c r="CH2232" s="5" t="s">
        <v>305</v>
      </c>
      <c r="CI2232" s="5" t="s">
        <v>240</v>
      </c>
      <c r="CL2232" s="6" t="s">
        <v>261</v>
      </c>
      <c r="CM2232" s="5" t="s">
        <v>240</v>
      </c>
      <c r="CN2232" s="5" t="s">
        <v>263</v>
      </c>
      <c r="CO2232" s="5" t="s">
        <v>240</v>
      </c>
      <c r="CP2232" s="5" t="s">
        <v>240</v>
      </c>
      <c r="CQ2232" s="5">
        <v>0</v>
      </c>
      <c r="CR2232" s="5" t="s">
        <v>306</v>
      </c>
      <c r="CS2232" s="5" t="s">
        <v>307</v>
      </c>
      <c r="CT2232" s="5" t="s">
        <v>307</v>
      </c>
      <c r="CU2232" s="5" t="s">
        <v>260</v>
      </c>
      <c r="CX2232" s="7">
        <f>1</f>
        <v>1</v>
      </c>
      <c r="CY2232" s="7">
        <f>0</f>
        <v>0</v>
      </c>
      <c r="DA2232" s="7">
        <f>0</f>
        <v>0</v>
      </c>
      <c r="DC2232" s="5" t="s">
        <v>812</v>
      </c>
      <c r="DD2232" s="5" t="s">
        <v>240</v>
      </c>
      <c r="DF2232" s="5" t="s">
        <v>812</v>
      </c>
      <c r="DG2232" s="7">
        <f>260</f>
        <v>260</v>
      </c>
      <c r="DI2232" s="5" t="s">
        <v>240</v>
      </c>
      <c r="DJ2232" s="5" t="s">
        <v>240</v>
      </c>
      <c r="DK2232" s="5" t="s">
        <v>240</v>
      </c>
      <c r="DL2232" s="5" t="s">
        <v>240</v>
      </c>
      <c r="DP2232" s="5" t="s">
        <v>240</v>
      </c>
      <c r="DQ2232" s="5" t="s">
        <v>240</v>
      </c>
      <c r="DR2232" s="5" t="s">
        <v>240</v>
      </c>
      <c r="DS2232" s="5" t="s">
        <v>240</v>
      </c>
      <c r="DV2232" s="5" t="s">
        <v>813</v>
      </c>
      <c r="DW2232" s="5" t="s">
        <v>1221</v>
      </c>
      <c r="HO2232" s="5" t="s">
        <v>312</v>
      </c>
    </row>
    <row r="2233" spans="1:223" x14ac:dyDescent="0.4">
      <c r="A2233" s="5">
        <v>3937</v>
      </c>
      <c r="B2233" s="5">
        <v>1</v>
      </c>
      <c r="C2233" s="5">
        <v>1</v>
      </c>
      <c r="D2233" s="5" t="s">
        <v>810</v>
      </c>
      <c r="E2233" s="5" t="s">
        <v>245</v>
      </c>
      <c r="F2233" s="5" t="s">
        <v>254</v>
      </c>
      <c r="G2233" s="5" t="s">
        <v>240</v>
      </c>
      <c r="H2233" s="6" t="s">
        <v>5222</v>
      </c>
      <c r="I2233" s="5" t="s">
        <v>809</v>
      </c>
      <c r="J2233" s="8">
        <f>961</f>
        <v>961</v>
      </c>
      <c r="K2233" s="5" t="s">
        <v>308</v>
      </c>
      <c r="L2233" s="7">
        <f>1</f>
        <v>1</v>
      </c>
      <c r="M2233" s="7">
        <f>1</f>
        <v>1</v>
      </c>
      <c r="N2233" s="5" t="s">
        <v>242</v>
      </c>
      <c r="O2233" s="5">
        <v>1</v>
      </c>
      <c r="P2233" s="5" t="s">
        <v>294</v>
      </c>
      <c r="Q2233" s="5" t="s">
        <v>266</v>
      </c>
      <c r="R2233" s="5" t="s">
        <v>240</v>
      </c>
      <c r="S2233" s="5" t="s">
        <v>240</v>
      </c>
      <c r="T2233" s="5" t="s">
        <v>296</v>
      </c>
      <c r="U2233" s="5" t="s">
        <v>244</v>
      </c>
      <c r="V2233" s="5" t="s">
        <v>240</v>
      </c>
      <c r="Y2233" s="5" t="s">
        <v>240</v>
      </c>
      <c r="Z2233" s="6" t="s">
        <v>298</v>
      </c>
      <c r="AB2233" s="6" t="s">
        <v>240</v>
      </c>
      <c r="AE2233" s="6" t="s">
        <v>299</v>
      </c>
      <c r="AF2233" s="5" t="s">
        <v>248</v>
      </c>
      <c r="AG2233" s="5" t="s">
        <v>249</v>
      </c>
      <c r="AW2233" s="5" t="s">
        <v>251</v>
      </c>
      <c r="AX2233" s="5" t="s">
        <v>240</v>
      </c>
      <c r="AY2233" s="5" t="s">
        <v>253</v>
      </c>
      <c r="AZ2233" s="5" t="s">
        <v>240</v>
      </c>
      <c r="BA2233" s="5" t="s">
        <v>255</v>
      </c>
      <c r="BB2233" s="5" t="s">
        <v>240</v>
      </c>
      <c r="BD2233" s="5" t="s">
        <v>240</v>
      </c>
      <c r="BF2233" s="5" t="s">
        <v>301</v>
      </c>
      <c r="BG2233" s="6" t="s">
        <v>299</v>
      </c>
      <c r="BH2233" s="5" t="s">
        <v>302</v>
      </c>
      <c r="BI2233" s="5" t="s">
        <v>303</v>
      </c>
      <c r="BJ2233" s="5" t="s">
        <v>240</v>
      </c>
      <c r="BK2233" s="8">
        <f>0</f>
        <v>0</v>
      </c>
      <c r="BL2233" s="7">
        <f>0</f>
        <v>0</v>
      </c>
      <c r="BM2233" s="5" t="s">
        <v>258</v>
      </c>
      <c r="BN2233" s="5" t="s">
        <v>259</v>
      </c>
      <c r="CB2233" s="5" t="s">
        <v>240</v>
      </c>
      <c r="CC2233" s="5" t="s">
        <v>240</v>
      </c>
      <c r="CG2233" s="5" t="s">
        <v>304</v>
      </c>
      <c r="CH2233" s="5" t="s">
        <v>305</v>
      </c>
      <c r="CI2233" s="5" t="s">
        <v>240</v>
      </c>
      <c r="CL2233" s="6" t="s">
        <v>261</v>
      </c>
      <c r="CM2233" s="5" t="s">
        <v>240</v>
      </c>
      <c r="CN2233" s="5" t="s">
        <v>263</v>
      </c>
      <c r="CO2233" s="5" t="s">
        <v>240</v>
      </c>
      <c r="CP2233" s="5" t="s">
        <v>240</v>
      </c>
      <c r="CQ2233" s="5">
        <v>0</v>
      </c>
      <c r="CR2233" s="5" t="s">
        <v>306</v>
      </c>
      <c r="CS2233" s="5" t="s">
        <v>307</v>
      </c>
      <c r="CT2233" s="5" t="s">
        <v>307</v>
      </c>
      <c r="CU2233" s="5" t="s">
        <v>260</v>
      </c>
      <c r="CX2233" s="7">
        <f>1</f>
        <v>1</v>
      </c>
      <c r="CY2233" s="7">
        <f>0</f>
        <v>0</v>
      </c>
      <c r="DA2233" s="7">
        <f>0</f>
        <v>0</v>
      </c>
      <c r="DC2233" s="5" t="s">
        <v>812</v>
      </c>
      <c r="DD2233" s="5" t="s">
        <v>240</v>
      </c>
      <c r="DF2233" s="5" t="s">
        <v>812</v>
      </c>
      <c r="DG2233" s="7">
        <f>845</f>
        <v>845</v>
      </c>
      <c r="DI2233" s="5" t="s">
        <v>240</v>
      </c>
      <c r="DJ2233" s="5" t="s">
        <v>240</v>
      </c>
      <c r="DK2233" s="5" t="s">
        <v>240</v>
      </c>
      <c r="DL2233" s="5" t="s">
        <v>240</v>
      </c>
      <c r="DP2233" s="5" t="s">
        <v>240</v>
      </c>
      <c r="DQ2233" s="5" t="s">
        <v>240</v>
      </c>
      <c r="DR2233" s="5" t="s">
        <v>240</v>
      </c>
      <c r="DS2233" s="5" t="s">
        <v>240</v>
      </c>
      <c r="DV2233" s="5" t="s">
        <v>813</v>
      </c>
      <c r="DW2233" s="5" t="s">
        <v>1223</v>
      </c>
      <c r="HO2233" s="5" t="s">
        <v>312</v>
      </c>
    </row>
    <row r="2234" spans="1:223" x14ac:dyDescent="0.4">
      <c r="A2234" s="5">
        <v>3938</v>
      </c>
      <c r="B2234" s="5">
        <v>1</v>
      </c>
      <c r="C2234" s="5">
        <v>1</v>
      </c>
      <c r="D2234" s="5" t="s">
        <v>810</v>
      </c>
      <c r="E2234" s="5" t="s">
        <v>245</v>
      </c>
      <c r="F2234" s="5" t="s">
        <v>254</v>
      </c>
      <c r="G2234" s="5" t="s">
        <v>240</v>
      </c>
      <c r="H2234" s="6" t="s">
        <v>4032</v>
      </c>
      <c r="I2234" s="5" t="s">
        <v>809</v>
      </c>
      <c r="J2234" s="8">
        <f>1162</f>
        <v>1162</v>
      </c>
      <c r="K2234" s="5" t="s">
        <v>308</v>
      </c>
      <c r="L2234" s="7">
        <f>1</f>
        <v>1</v>
      </c>
      <c r="M2234" s="7">
        <f>1</f>
        <v>1</v>
      </c>
      <c r="N2234" s="5" t="s">
        <v>242</v>
      </c>
      <c r="O2234" s="5">
        <v>1</v>
      </c>
      <c r="P2234" s="5" t="s">
        <v>294</v>
      </c>
      <c r="Q2234" s="5" t="s">
        <v>266</v>
      </c>
      <c r="R2234" s="5" t="s">
        <v>240</v>
      </c>
      <c r="S2234" s="5" t="s">
        <v>240</v>
      </c>
      <c r="T2234" s="5" t="s">
        <v>296</v>
      </c>
      <c r="U2234" s="5" t="s">
        <v>244</v>
      </c>
      <c r="V2234" s="5" t="s">
        <v>240</v>
      </c>
      <c r="Y2234" s="5" t="s">
        <v>240</v>
      </c>
      <c r="Z2234" s="6" t="s">
        <v>298</v>
      </c>
      <c r="AB2234" s="6" t="s">
        <v>240</v>
      </c>
      <c r="AE2234" s="6" t="s">
        <v>299</v>
      </c>
      <c r="AF2234" s="5" t="s">
        <v>248</v>
      </c>
      <c r="AG2234" s="5" t="s">
        <v>249</v>
      </c>
      <c r="AW2234" s="5" t="s">
        <v>251</v>
      </c>
      <c r="AX2234" s="5" t="s">
        <v>240</v>
      </c>
      <c r="AY2234" s="5" t="s">
        <v>253</v>
      </c>
      <c r="AZ2234" s="5" t="s">
        <v>240</v>
      </c>
      <c r="BA2234" s="5" t="s">
        <v>255</v>
      </c>
      <c r="BB2234" s="5" t="s">
        <v>240</v>
      </c>
      <c r="BD2234" s="5" t="s">
        <v>240</v>
      </c>
      <c r="BF2234" s="5" t="s">
        <v>301</v>
      </c>
      <c r="BG2234" s="6" t="s">
        <v>299</v>
      </c>
      <c r="BH2234" s="5" t="s">
        <v>302</v>
      </c>
      <c r="BI2234" s="5" t="s">
        <v>303</v>
      </c>
      <c r="BJ2234" s="5" t="s">
        <v>240</v>
      </c>
      <c r="BK2234" s="8">
        <f>0</f>
        <v>0</v>
      </c>
      <c r="BL2234" s="7">
        <f>0</f>
        <v>0</v>
      </c>
      <c r="BM2234" s="5" t="s">
        <v>258</v>
      </c>
      <c r="BN2234" s="5" t="s">
        <v>259</v>
      </c>
      <c r="CB2234" s="5" t="s">
        <v>240</v>
      </c>
      <c r="CC2234" s="5" t="s">
        <v>240</v>
      </c>
      <c r="CG2234" s="5" t="s">
        <v>304</v>
      </c>
      <c r="CH2234" s="5" t="s">
        <v>305</v>
      </c>
      <c r="CI2234" s="5" t="s">
        <v>240</v>
      </c>
      <c r="CL2234" s="6" t="s">
        <v>261</v>
      </c>
      <c r="CM2234" s="5" t="s">
        <v>240</v>
      </c>
      <c r="CN2234" s="5" t="s">
        <v>263</v>
      </c>
      <c r="CO2234" s="5" t="s">
        <v>240</v>
      </c>
      <c r="CP2234" s="5" t="s">
        <v>240</v>
      </c>
      <c r="CQ2234" s="5">
        <v>0</v>
      </c>
      <c r="CR2234" s="5" t="s">
        <v>306</v>
      </c>
      <c r="CS2234" s="5" t="s">
        <v>307</v>
      </c>
      <c r="CT2234" s="5" t="s">
        <v>307</v>
      </c>
      <c r="CU2234" s="5" t="s">
        <v>260</v>
      </c>
      <c r="CX2234" s="7">
        <f>1</f>
        <v>1</v>
      </c>
      <c r="CY2234" s="7">
        <f>0</f>
        <v>0</v>
      </c>
      <c r="DA2234" s="7">
        <f>0</f>
        <v>0</v>
      </c>
      <c r="DC2234" s="5" t="s">
        <v>812</v>
      </c>
      <c r="DD2234" s="5" t="s">
        <v>240</v>
      </c>
      <c r="DF2234" s="5" t="s">
        <v>812</v>
      </c>
      <c r="DG2234" s="7">
        <f>771</f>
        <v>771</v>
      </c>
      <c r="DI2234" s="5" t="s">
        <v>240</v>
      </c>
      <c r="DJ2234" s="5" t="s">
        <v>240</v>
      </c>
      <c r="DK2234" s="5" t="s">
        <v>240</v>
      </c>
      <c r="DL2234" s="5" t="s">
        <v>240</v>
      </c>
      <c r="DP2234" s="5" t="s">
        <v>240</v>
      </c>
      <c r="DQ2234" s="5" t="s">
        <v>240</v>
      </c>
      <c r="DR2234" s="5" t="s">
        <v>240</v>
      </c>
      <c r="DS2234" s="5" t="s">
        <v>240</v>
      </c>
      <c r="DV2234" s="5" t="s">
        <v>813</v>
      </c>
      <c r="DW2234" s="5" t="s">
        <v>1225</v>
      </c>
      <c r="HO2234" s="5" t="s">
        <v>312</v>
      </c>
    </row>
    <row r="2235" spans="1:223" x14ac:dyDescent="0.4">
      <c r="A2235" s="5">
        <v>3939</v>
      </c>
      <c r="B2235" s="5">
        <v>1</v>
      </c>
      <c r="C2235" s="5">
        <v>1</v>
      </c>
      <c r="D2235" s="5" t="s">
        <v>810</v>
      </c>
      <c r="E2235" s="5" t="s">
        <v>245</v>
      </c>
      <c r="F2235" s="5" t="s">
        <v>254</v>
      </c>
      <c r="G2235" s="5" t="s">
        <v>240</v>
      </c>
      <c r="H2235" s="6" t="s">
        <v>4030</v>
      </c>
      <c r="I2235" s="5" t="s">
        <v>809</v>
      </c>
      <c r="J2235" s="8">
        <f>2147</f>
        <v>2147</v>
      </c>
      <c r="K2235" s="5" t="s">
        <v>308</v>
      </c>
      <c r="L2235" s="7">
        <f>1</f>
        <v>1</v>
      </c>
      <c r="M2235" s="7">
        <f>1</f>
        <v>1</v>
      </c>
      <c r="N2235" s="5" t="s">
        <v>242</v>
      </c>
      <c r="O2235" s="5">
        <v>1</v>
      </c>
      <c r="P2235" s="5" t="s">
        <v>294</v>
      </c>
      <c r="Q2235" s="5" t="s">
        <v>266</v>
      </c>
      <c r="R2235" s="5" t="s">
        <v>240</v>
      </c>
      <c r="S2235" s="5" t="s">
        <v>240</v>
      </c>
      <c r="T2235" s="5" t="s">
        <v>296</v>
      </c>
      <c r="U2235" s="5" t="s">
        <v>244</v>
      </c>
      <c r="V2235" s="5" t="s">
        <v>240</v>
      </c>
      <c r="Y2235" s="5" t="s">
        <v>240</v>
      </c>
      <c r="Z2235" s="6" t="s">
        <v>298</v>
      </c>
      <c r="AB2235" s="6" t="s">
        <v>240</v>
      </c>
      <c r="AE2235" s="6" t="s">
        <v>299</v>
      </c>
      <c r="AF2235" s="5" t="s">
        <v>248</v>
      </c>
      <c r="AG2235" s="5" t="s">
        <v>249</v>
      </c>
      <c r="AW2235" s="5" t="s">
        <v>251</v>
      </c>
      <c r="AX2235" s="5" t="s">
        <v>240</v>
      </c>
      <c r="AY2235" s="5" t="s">
        <v>253</v>
      </c>
      <c r="AZ2235" s="5" t="s">
        <v>240</v>
      </c>
      <c r="BA2235" s="5" t="s">
        <v>255</v>
      </c>
      <c r="BB2235" s="5" t="s">
        <v>240</v>
      </c>
      <c r="BD2235" s="5" t="s">
        <v>240</v>
      </c>
      <c r="BF2235" s="5" t="s">
        <v>301</v>
      </c>
      <c r="BG2235" s="6" t="s">
        <v>299</v>
      </c>
      <c r="BH2235" s="5" t="s">
        <v>302</v>
      </c>
      <c r="BI2235" s="5" t="s">
        <v>303</v>
      </c>
      <c r="BJ2235" s="5" t="s">
        <v>240</v>
      </c>
      <c r="BK2235" s="8">
        <f>0</f>
        <v>0</v>
      </c>
      <c r="BL2235" s="7">
        <f>0</f>
        <v>0</v>
      </c>
      <c r="BM2235" s="5" t="s">
        <v>258</v>
      </c>
      <c r="BN2235" s="5" t="s">
        <v>259</v>
      </c>
      <c r="CB2235" s="5" t="s">
        <v>240</v>
      </c>
      <c r="CC2235" s="5" t="s">
        <v>240</v>
      </c>
      <c r="CG2235" s="5" t="s">
        <v>304</v>
      </c>
      <c r="CH2235" s="5" t="s">
        <v>305</v>
      </c>
      <c r="CI2235" s="5" t="s">
        <v>240</v>
      </c>
      <c r="CL2235" s="6" t="s">
        <v>261</v>
      </c>
      <c r="CM2235" s="5" t="s">
        <v>240</v>
      </c>
      <c r="CN2235" s="5" t="s">
        <v>263</v>
      </c>
      <c r="CO2235" s="5" t="s">
        <v>240</v>
      </c>
      <c r="CP2235" s="5" t="s">
        <v>240</v>
      </c>
      <c r="CQ2235" s="5">
        <v>0</v>
      </c>
      <c r="CR2235" s="5" t="s">
        <v>306</v>
      </c>
      <c r="CS2235" s="5" t="s">
        <v>307</v>
      </c>
      <c r="CT2235" s="5" t="s">
        <v>307</v>
      </c>
      <c r="CU2235" s="5" t="s">
        <v>260</v>
      </c>
      <c r="CX2235" s="7">
        <f>1</f>
        <v>1</v>
      </c>
      <c r="CY2235" s="7">
        <f>0</f>
        <v>0</v>
      </c>
      <c r="DA2235" s="7">
        <f>0</f>
        <v>0</v>
      </c>
      <c r="DC2235" s="5" t="s">
        <v>812</v>
      </c>
      <c r="DD2235" s="5" t="s">
        <v>240</v>
      </c>
      <c r="DF2235" s="5" t="s">
        <v>812</v>
      </c>
      <c r="DG2235" s="7">
        <f>864</f>
        <v>864</v>
      </c>
      <c r="DI2235" s="5" t="s">
        <v>240</v>
      </c>
      <c r="DJ2235" s="5" t="s">
        <v>240</v>
      </c>
      <c r="DK2235" s="5" t="s">
        <v>240</v>
      </c>
      <c r="DL2235" s="5" t="s">
        <v>240</v>
      </c>
      <c r="DP2235" s="5" t="s">
        <v>240</v>
      </c>
      <c r="DQ2235" s="5" t="s">
        <v>240</v>
      </c>
      <c r="DR2235" s="5" t="s">
        <v>240</v>
      </c>
      <c r="DS2235" s="5" t="s">
        <v>240</v>
      </c>
      <c r="DV2235" s="5" t="s">
        <v>813</v>
      </c>
      <c r="DW2235" s="5" t="s">
        <v>1227</v>
      </c>
      <c r="HO2235" s="5" t="s">
        <v>312</v>
      </c>
    </row>
    <row r="2236" spans="1:223" x14ac:dyDescent="0.4">
      <c r="A2236" s="5">
        <v>3940</v>
      </c>
      <c r="B2236" s="5">
        <v>1</v>
      </c>
      <c r="C2236" s="5">
        <v>1</v>
      </c>
      <c r="D2236" s="5" t="s">
        <v>810</v>
      </c>
      <c r="E2236" s="5" t="s">
        <v>245</v>
      </c>
      <c r="F2236" s="5" t="s">
        <v>254</v>
      </c>
      <c r="G2236" s="5" t="s">
        <v>240</v>
      </c>
      <c r="H2236" s="6" t="s">
        <v>4028</v>
      </c>
      <c r="I2236" s="5" t="s">
        <v>809</v>
      </c>
      <c r="J2236" s="8">
        <f>29</f>
        <v>29</v>
      </c>
      <c r="K2236" s="5" t="s">
        <v>308</v>
      </c>
      <c r="L2236" s="7">
        <f>1</f>
        <v>1</v>
      </c>
      <c r="M2236" s="7">
        <f>1</f>
        <v>1</v>
      </c>
      <c r="N2236" s="5" t="s">
        <v>242</v>
      </c>
      <c r="O2236" s="5">
        <v>1</v>
      </c>
      <c r="P2236" s="5" t="s">
        <v>294</v>
      </c>
      <c r="Q2236" s="5" t="s">
        <v>266</v>
      </c>
      <c r="R2236" s="5" t="s">
        <v>240</v>
      </c>
      <c r="S2236" s="5" t="s">
        <v>240</v>
      </c>
      <c r="T2236" s="5" t="s">
        <v>296</v>
      </c>
      <c r="U2236" s="5" t="s">
        <v>244</v>
      </c>
      <c r="V2236" s="5" t="s">
        <v>240</v>
      </c>
      <c r="Y2236" s="5" t="s">
        <v>240</v>
      </c>
      <c r="Z2236" s="6" t="s">
        <v>298</v>
      </c>
      <c r="AB2236" s="6" t="s">
        <v>240</v>
      </c>
      <c r="AE2236" s="6" t="s">
        <v>299</v>
      </c>
      <c r="AF2236" s="5" t="s">
        <v>248</v>
      </c>
      <c r="AG2236" s="5" t="s">
        <v>249</v>
      </c>
      <c r="AW2236" s="5" t="s">
        <v>251</v>
      </c>
      <c r="AX2236" s="5" t="s">
        <v>240</v>
      </c>
      <c r="AY2236" s="5" t="s">
        <v>253</v>
      </c>
      <c r="AZ2236" s="5" t="s">
        <v>240</v>
      </c>
      <c r="BA2236" s="5" t="s">
        <v>255</v>
      </c>
      <c r="BB2236" s="5" t="s">
        <v>240</v>
      </c>
      <c r="BD2236" s="5" t="s">
        <v>240</v>
      </c>
      <c r="BF2236" s="5" t="s">
        <v>301</v>
      </c>
      <c r="BG2236" s="6" t="s">
        <v>299</v>
      </c>
      <c r="BH2236" s="5" t="s">
        <v>302</v>
      </c>
      <c r="BI2236" s="5" t="s">
        <v>303</v>
      </c>
      <c r="BJ2236" s="5" t="s">
        <v>240</v>
      </c>
      <c r="BK2236" s="8">
        <f>0</f>
        <v>0</v>
      </c>
      <c r="BL2236" s="7">
        <f>0</f>
        <v>0</v>
      </c>
      <c r="BM2236" s="5" t="s">
        <v>258</v>
      </c>
      <c r="BN2236" s="5" t="s">
        <v>259</v>
      </c>
      <c r="CB2236" s="5" t="s">
        <v>240</v>
      </c>
      <c r="CC2236" s="5" t="s">
        <v>240</v>
      </c>
      <c r="CG2236" s="5" t="s">
        <v>304</v>
      </c>
      <c r="CH2236" s="5" t="s">
        <v>305</v>
      </c>
      <c r="CI2236" s="5" t="s">
        <v>240</v>
      </c>
      <c r="CL2236" s="6" t="s">
        <v>261</v>
      </c>
      <c r="CM2236" s="5" t="s">
        <v>240</v>
      </c>
      <c r="CN2236" s="5" t="s">
        <v>263</v>
      </c>
      <c r="CO2236" s="5" t="s">
        <v>240</v>
      </c>
      <c r="CP2236" s="5" t="s">
        <v>240</v>
      </c>
      <c r="CQ2236" s="5">
        <v>0</v>
      </c>
      <c r="CR2236" s="5" t="s">
        <v>306</v>
      </c>
      <c r="CS2236" s="5" t="s">
        <v>307</v>
      </c>
      <c r="CT2236" s="5" t="s">
        <v>307</v>
      </c>
      <c r="CU2236" s="5" t="s">
        <v>260</v>
      </c>
      <c r="CX2236" s="7">
        <f>1</f>
        <v>1</v>
      </c>
      <c r="CY2236" s="7">
        <f>0</f>
        <v>0</v>
      </c>
      <c r="DA2236" s="7">
        <f>0</f>
        <v>0</v>
      </c>
      <c r="DC2236" s="5" t="s">
        <v>812</v>
      </c>
      <c r="DD2236" s="5" t="s">
        <v>240</v>
      </c>
      <c r="DF2236" s="5" t="s">
        <v>812</v>
      </c>
      <c r="DG2236" s="7">
        <f>2463</f>
        <v>2463</v>
      </c>
      <c r="DI2236" s="5" t="s">
        <v>240</v>
      </c>
      <c r="DJ2236" s="5" t="s">
        <v>240</v>
      </c>
      <c r="DK2236" s="5" t="s">
        <v>240</v>
      </c>
      <c r="DL2236" s="5" t="s">
        <v>240</v>
      </c>
      <c r="DP2236" s="5" t="s">
        <v>240</v>
      </c>
      <c r="DQ2236" s="5" t="s">
        <v>240</v>
      </c>
      <c r="DR2236" s="5" t="s">
        <v>240</v>
      </c>
      <c r="DS2236" s="5" t="s">
        <v>240</v>
      </c>
      <c r="DV2236" s="5" t="s">
        <v>813</v>
      </c>
      <c r="DW2236" s="5" t="s">
        <v>1229</v>
      </c>
      <c r="HO2236" s="5" t="s">
        <v>312</v>
      </c>
    </row>
    <row r="2237" spans="1:223" x14ac:dyDescent="0.4">
      <c r="A2237" s="5">
        <v>3941</v>
      </c>
      <c r="B2237" s="5">
        <v>1</v>
      </c>
      <c r="C2237" s="5">
        <v>1</v>
      </c>
      <c r="D2237" s="5" t="s">
        <v>810</v>
      </c>
      <c r="E2237" s="5" t="s">
        <v>245</v>
      </c>
      <c r="F2237" s="5" t="s">
        <v>254</v>
      </c>
      <c r="G2237" s="5" t="s">
        <v>240</v>
      </c>
      <c r="H2237" s="6" t="s">
        <v>4026</v>
      </c>
      <c r="I2237" s="5" t="s">
        <v>809</v>
      </c>
      <c r="J2237" s="8">
        <f>1020</f>
        <v>1020</v>
      </c>
      <c r="K2237" s="5" t="s">
        <v>308</v>
      </c>
      <c r="L2237" s="7">
        <f>1</f>
        <v>1</v>
      </c>
      <c r="M2237" s="7">
        <f>1</f>
        <v>1</v>
      </c>
      <c r="N2237" s="5" t="s">
        <v>242</v>
      </c>
      <c r="O2237" s="5">
        <v>1</v>
      </c>
      <c r="P2237" s="5" t="s">
        <v>294</v>
      </c>
      <c r="Q2237" s="5" t="s">
        <v>266</v>
      </c>
      <c r="R2237" s="5" t="s">
        <v>240</v>
      </c>
      <c r="S2237" s="5" t="s">
        <v>240</v>
      </c>
      <c r="T2237" s="5" t="s">
        <v>296</v>
      </c>
      <c r="U2237" s="5" t="s">
        <v>244</v>
      </c>
      <c r="V2237" s="5" t="s">
        <v>240</v>
      </c>
      <c r="Y2237" s="5" t="s">
        <v>240</v>
      </c>
      <c r="Z2237" s="6" t="s">
        <v>298</v>
      </c>
      <c r="AB2237" s="6" t="s">
        <v>240</v>
      </c>
      <c r="AE2237" s="6" t="s">
        <v>299</v>
      </c>
      <c r="AF2237" s="5" t="s">
        <v>248</v>
      </c>
      <c r="AG2237" s="5" t="s">
        <v>249</v>
      </c>
      <c r="AW2237" s="5" t="s">
        <v>251</v>
      </c>
      <c r="AX2237" s="5" t="s">
        <v>240</v>
      </c>
      <c r="AY2237" s="5" t="s">
        <v>253</v>
      </c>
      <c r="AZ2237" s="5" t="s">
        <v>240</v>
      </c>
      <c r="BA2237" s="5" t="s">
        <v>255</v>
      </c>
      <c r="BB2237" s="5" t="s">
        <v>240</v>
      </c>
      <c r="BD2237" s="5" t="s">
        <v>240</v>
      </c>
      <c r="BF2237" s="5" t="s">
        <v>301</v>
      </c>
      <c r="BG2237" s="6" t="s">
        <v>299</v>
      </c>
      <c r="BH2237" s="5" t="s">
        <v>302</v>
      </c>
      <c r="BI2237" s="5" t="s">
        <v>303</v>
      </c>
      <c r="BJ2237" s="5" t="s">
        <v>240</v>
      </c>
      <c r="BK2237" s="8">
        <f>0</f>
        <v>0</v>
      </c>
      <c r="BL2237" s="7">
        <f>0</f>
        <v>0</v>
      </c>
      <c r="BM2237" s="5" t="s">
        <v>258</v>
      </c>
      <c r="BN2237" s="5" t="s">
        <v>259</v>
      </c>
      <c r="CB2237" s="5" t="s">
        <v>240</v>
      </c>
      <c r="CC2237" s="5" t="s">
        <v>240</v>
      </c>
      <c r="CG2237" s="5" t="s">
        <v>304</v>
      </c>
      <c r="CH2237" s="5" t="s">
        <v>305</v>
      </c>
      <c r="CI2237" s="5" t="s">
        <v>240</v>
      </c>
      <c r="CL2237" s="6" t="s">
        <v>261</v>
      </c>
      <c r="CM2237" s="5" t="s">
        <v>240</v>
      </c>
      <c r="CN2237" s="5" t="s">
        <v>263</v>
      </c>
      <c r="CO2237" s="5" t="s">
        <v>240</v>
      </c>
      <c r="CP2237" s="5" t="s">
        <v>240</v>
      </c>
      <c r="CQ2237" s="5">
        <v>0</v>
      </c>
      <c r="CR2237" s="5" t="s">
        <v>306</v>
      </c>
      <c r="CS2237" s="5" t="s">
        <v>307</v>
      </c>
      <c r="CT2237" s="5" t="s">
        <v>307</v>
      </c>
      <c r="CU2237" s="5" t="s">
        <v>260</v>
      </c>
      <c r="CX2237" s="7">
        <f>1</f>
        <v>1</v>
      </c>
      <c r="CY2237" s="7">
        <f>0</f>
        <v>0</v>
      </c>
      <c r="DA2237" s="7">
        <f>0</f>
        <v>0</v>
      </c>
      <c r="DC2237" s="5" t="s">
        <v>812</v>
      </c>
      <c r="DD2237" s="5" t="s">
        <v>240</v>
      </c>
      <c r="DF2237" s="5" t="s">
        <v>812</v>
      </c>
      <c r="DG2237" s="7">
        <f>862</f>
        <v>862</v>
      </c>
      <c r="DI2237" s="5" t="s">
        <v>240</v>
      </c>
      <c r="DJ2237" s="5" t="s">
        <v>240</v>
      </c>
      <c r="DK2237" s="5" t="s">
        <v>240</v>
      </c>
      <c r="DL2237" s="5" t="s">
        <v>240</v>
      </c>
      <c r="DP2237" s="5" t="s">
        <v>240</v>
      </c>
      <c r="DQ2237" s="5" t="s">
        <v>240</v>
      </c>
      <c r="DR2237" s="5" t="s">
        <v>240</v>
      </c>
      <c r="DS2237" s="5" t="s">
        <v>240</v>
      </c>
      <c r="DV2237" s="5" t="s">
        <v>813</v>
      </c>
      <c r="DW2237" s="5" t="s">
        <v>697</v>
      </c>
      <c r="HO2237" s="5" t="s">
        <v>312</v>
      </c>
    </row>
    <row r="2238" spans="1:223" x14ac:dyDescent="0.4">
      <c r="A2238" s="5">
        <v>3942</v>
      </c>
      <c r="B2238" s="5">
        <v>1</v>
      </c>
      <c r="C2238" s="5">
        <v>1</v>
      </c>
      <c r="D2238" s="5" t="s">
        <v>810</v>
      </c>
      <c r="E2238" s="5" t="s">
        <v>245</v>
      </c>
      <c r="F2238" s="5" t="s">
        <v>254</v>
      </c>
      <c r="G2238" s="5" t="s">
        <v>240</v>
      </c>
      <c r="H2238" s="6" t="s">
        <v>4024</v>
      </c>
      <c r="I2238" s="5" t="s">
        <v>809</v>
      </c>
      <c r="J2238" s="8">
        <f>9.41</f>
        <v>9.41</v>
      </c>
      <c r="K2238" s="5" t="s">
        <v>308</v>
      </c>
      <c r="L2238" s="7">
        <f>1</f>
        <v>1</v>
      </c>
      <c r="M2238" s="7">
        <f>1</f>
        <v>1</v>
      </c>
      <c r="N2238" s="5" t="s">
        <v>242</v>
      </c>
      <c r="O2238" s="5">
        <v>1</v>
      </c>
      <c r="P2238" s="5" t="s">
        <v>294</v>
      </c>
      <c r="Q2238" s="5" t="s">
        <v>266</v>
      </c>
      <c r="R2238" s="5" t="s">
        <v>240</v>
      </c>
      <c r="S2238" s="5" t="s">
        <v>240</v>
      </c>
      <c r="T2238" s="5" t="s">
        <v>296</v>
      </c>
      <c r="U2238" s="5" t="s">
        <v>244</v>
      </c>
      <c r="V2238" s="5" t="s">
        <v>240</v>
      </c>
      <c r="Y2238" s="5" t="s">
        <v>240</v>
      </c>
      <c r="Z2238" s="6" t="s">
        <v>298</v>
      </c>
      <c r="AB2238" s="6" t="s">
        <v>240</v>
      </c>
      <c r="AE2238" s="6" t="s">
        <v>299</v>
      </c>
      <c r="AF2238" s="5" t="s">
        <v>248</v>
      </c>
      <c r="AG2238" s="5" t="s">
        <v>249</v>
      </c>
      <c r="AW2238" s="5" t="s">
        <v>251</v>
      </c>
      <c r="AX2238" s="5" t="s">
        <v>240</v>
      </c>
      <c r="AY2238" s="5" t="s">
        <v>253</v>
      </c>
      <c r="AZ2238" s="5" t="s">
        <v>240</v>
      </c>
      <c r="BA2238" s="5" t="s">
        <v>255</v>
      </c>
      <c r="BB2238" s="5" t="s">
        <v>240</v>
      </c>
      <c r="BD2238" s="5" t="s">
        <v>240</v>
      </c>
      <c r="BF2238" s="5" t="s">
        <v>301</v>
      </c>
      <c r="BG2238" s="6" t="s">
        <v>299</v>
      </c>
      <c r="BH2238" s="5" t="s">
        <v>302</v>
      </c>
      <c r="BI2238" s="5" t="s">
        <v>303</v>
      </c>
      <c r="BJ2238" s="5" t="s">
        <v>240</v>
      </c>
      <c r="BK2238" s="8">
        <f>0</f>
        <v>0</v>
      </c>
      <c r="BL2238" s="7">
        <f>0</f>
        <v>0</v>
      </c>
      <c r="BM2238" s="5" t="s">
        <v>258</v>
      </c>
      <c r="BN2238" s="5" t="s">
        <v>259</v>
      </c>
      <c r="CB2238" s="5" t="s">
        <v>240</v>
      </c>
      <c r="CC2238" s="5" t="s">
        <v>240</v>
      </c>
      <c r="CG2238" s="5" t="s">
        <v>304</v>
      </c>
      <c r="CH2238" s="5" t="s">
        <v>305</v>
      </c>
      <c r="CI2238" s="5" t="s">
        <v>240</v>
      </c>
      <c r="CL2238" s="6" t="s">
        <v>261</v>
      </c>
      <c r="CM2238" s="5" t="s">
        <v>240</v>
      </c>
      <c r="CN2238" s="5" t="s">
        <v>263</v>
      </c>
      <c r="CO2238" s="5" t="s">
        <v>240</v>
      </c>
      <c r="CP2238" s="5" t="s">
        <v>240</v>
      </c>
      <c r="CQ2238" s="5">
        <v>0</v>
      </c>
      <c r="CR2238" s="5" t="s">
        <v>306</v>
      </c>
      <c r="CS2238" s="5" t="s">
        <v>307</v>
      </c>
      <c r="CT2238" s="5" t="s">
        <v>307</v>
      </c>
      <c r="CU2238" s="5" t="s">
        <v>260</v>
      </c>
      <c r="CX2238" s="7">
        <f>1</f>
        <v>1</v>
      </c>
      <c r="CY2238" s="7">
        <f>0</f>
        <v>0</v>
      </c>
      <c r="DA2238" s="7">
        <f>0</f>
        <v>0</v>
      </c>
      <c r="DC2238" s="5" t="s">
        <v>812</v>
      </c>
      <c r="DD2238" s="5" t="s">
        <v>240</v>
      </c>
      <c r="DF2238" s="5" t="s">
        <v>812</v>
      </c>
      <c r="DG2238" s="7">
        <f>3958</f>
        <v>3958</v>
      </c>
      <c r="DI2238" s="5" t="s">
        <v>240</v>
      </c>
      <c r="DJ2238" s="5" t="s">
        <v>240</v>
      </c>
      <c r="DK2238" s="5" t="s">
        <v>240</v>
      </c>
      <c r="DL2238" s="5" t="s">
        <v>240</v>
      </c>
      <c r="DP2238" s="5" t="s">
        <v>240</v>
      </c>
      <c r="DQ2238" s="5" t="s">
        <v>240</v>
      </c>
      <c r="DR2238" s="5" t="s">
        <v>240</v>
      </c>
      <c r="DS2238" s="5" t="s">
        <v>240</v>
      </c>
      <c r="DV2238" s="5" t="s">
        <v>813</v>
      </c>
      <c r="DW2238" s="5" t="s">
        <v>699</v>
      </c>
      <c r="HO2238" s="5" t="s">
        <v>312</v>
      </c>
    </row>
    <row r="2239" spans="1:223" x14ac:dyDescent="0.4">
      <c r="A2239" s="5">
        <v>3943</v>
      </c>
      <c r="B2239" s="5">
        <v>1</v>
      </c>
      <c r="C2239" s="5">
        <v>1</v>
      </c>
      <c r="D2239" s="5" t="s">
        <v>810</v>
      </c>
      <c r="E2239" s="5" t="s">
        <v>245</v>
      </c>
      <c r="F2239" s="5" t="s">
        <v>254</v>
      </c>
      <c r="G2239" s="5" t="s">
        <v>240</v>
      </c>
      <c r="H2239" s="6" t="s">
        <v>4022</v>
      </c>
      <c r="I2239" s="5" t="s">
        <v>809</v>
      </c>
      <c r="J2239" s="8">
        <f>1271</f>
        <v>1271</v>
      </c>
      <c r="K2239" s="5" t="s">
        <v>308</v>
      </c>
      <c r="L2239" s="7">
        <f>1</f>
        <v>1</v>
      </c>
      <c r="M2239" s="7">
        <f>1</f>
        <v>1</v>
      </c>
      <c r="N2239" s="5" t="s">
        <v>242</v>
      </c>
      <c r="O2239" s="5">
        <v>1</v>
      </c>
      <c r="P2239" s="5" t="s">
        <v>294</v>
      </c>
      <c r="Q2239" s="5" t="s">
        <v>266</v>
      </c>
      <c r="R2239" s="5" t="s">
        <v>240</v>
      </c>
      <c r="S2239" s="5" t="s">
        <v>240</v>
      </c>
      <c r="T2239" s="5" t="s">
        <v>296</v>
      </c>
      <c r="U2239" s="5" t="s">
        <v>244</v>
      </c>
      <c r="V2239" s="5" t="s">
        <v>240</v>
      </c>
      <c r="Y2239" s="5" t="s">
        <v>240</v>
      </c>
      <c r="Z2239" s="6" t="s">
        <v>298</v>
      </c>
      <c r="AB2239" s="6" t="s">
        <v>240</v>
      </c>
      <c r="AE2239" s="6" t="s">
        <v>299</v>
      </c>
      <c r="AF2239" s="5" t="s">
        <v>248</v>
      </c>
      <c r="AG2239" s="5" t="s">
        <v>249</v>
      </c>
      <c r="AW2239" s="5" t="s">
        <v>251</v>
      </c>
      <c r="AX2239" s="5" t="s">
        <v>240</v>
      </c>
      <c r="AY2239" s="5" t="s">
        <v>253</v>
      </c>
      <c r="AZ2239" s="5" t="s">
        <v>240</v>
      </c>
      <c r="BA2239" s="5" t="s">
        <v>255</v>
      </c>
      <c r="BB2239" s="5" t="s">
        <v>240</v>
      </c>
      <c r="BD2239" s="5" t="s">
        <v>240</v>
      </c>
      <c r="BF2239" s="5" t="s">
        <v>301</v>
      </c>
      <c r="BG2239" s="6" t="s">
        <v>299</v>
      </c>
      <c r="BH2239" s="5" t="s">
        <v>302</v>
      </c>
      <c r="BI2239" s="5" t="s">
        <v>303</v>
      </c>
      <c r="BJ2239" s="5" t="s">
        <v>240</v>
      </c>
      <c r="BK2239" s="8">
        <f>0</f>
        <v>0</v>
      </c>
      <c r="BL2239" s="7">
        <f>0</f>
        <v>0</v>
      </c>
      <c r="BM2239" s="5" t="s">
        <v>258</v>
      </c>
      <c r="BN2239" s="5" t="s">
        <v>259</v>
      </c>
      <c r="CB2239" s="5" t="s">
        <v>240</v>
      </c>
      <c r="CC2239" s="5" t="s">
        <v>240</v>
      </c>
      <c r="CG2239" s="5" t="s">
        <v>304</v>
      </c>
      <c r="CH2239" s="5" t="s">
        <v>305</v>
      </c>
      <c r="CI2239" s="5" t="s">
        <v>240</v>
      </c>
      <c r="CL2239" s="6" t="s">
        <v>261</v>
      </c>
      <c r="CM2239" s="5" t="s">
        <v>240</v>
      </c>
      <c r="CN2239" s="5" t="s">
        <v>263</v>
      </c>
      <c r="CO2239" s="5" t="s">
        <v>240</v>
      </c>
      <c r="CP2239" s="5" t="s">
        <v>240</v>
      </c>
      <c r="CQ2239" s="5">
        <v>0</v>
      </c>
      <c r="CR2239" s="5" t="s">
        <v>306</v>
      </c>
      <c r="CS2239" s="5" t="s">
        <v>307</v>
      </c>
      <c r="CT2239" s="5" t="s">
        <v>307</v>
      </c>
      <c r="CU2239" s="5" t="s">
        <v>260</v>
      </c>
      <c r="CX2239" s="7">
        <f>1</f>
        <v>1</v>
      </c>
      <c r="CY2239" s="7">
        <f>0</f>
        <v>0</v>
      </c>
      <c r="DA2239" s="7">
        <f>0</f>
        <v>0</v>
      </c>
      <c r="DC2239" s="5" t="s">
        <v>812</v>
      </c>
      <c r="DD2239" s="5" t="s">
        <v>240</v>
      </c>
      <c r="DF2239" s="5" t="s">
        <v>812</v>
      </c>
      <c r="DG2239" s="7">
        <f>4070</f>
        <v>4070</v>
      </c>
      <c r="DI2239" s="5" t="s">
        <v>240</v>
      </c>
      <c r="DJ2239" s="5" t="s">
        <v>240</v>
      </c>
      <c r="DK2239" s="5" t="s">
        <v>240</v>
      </c>
      <c r="DL2239" s="5" t="s">
        <v>240</v>
      </c>
      <c r="DP2239" s="5" t="s">
        <v>240</v>
      </c>
      <c r="DQ2239" s="5" t="s">
        <v>240</v>
      </c>
      <c r="DR2239" s="5" t="s">
        <v>240</v>
      </c>
      <c r="DS2239" s="5" t="s">
        <v>240</v>
      </c>
      <c r="DV2239" s="5" t="s">
        <v>813</v>
      </c>
      <c r="DW2239" s="5" t="s">
        <v>701</v>
      </c>
      <c r="HO2239" s="5" t="s">
        <v>312</v>
      </c>
    </row>
    <row r="2240" spans="1:223" x14ac:dyDescent="0.4">
      <c r="A2240" s="5">
        <v>3944</v>
      </c>
      <c r="B2240" s="5">
        <v>1</v>
      </c>
      <c r="C2240" s="5">
        <v>1</v>
      </c>
      <c r="D2240" s="5" t="s">
        <v>810</v>
      </c>
      <c r="E2240" s="5" t="s">
        <v>245</v>
      </c>
      <c r="F2240" s="5" t="s">
        <v>254</v>
      </c>
      <c r="G2240" s="5" t="s">
        <v>240</v>
      </c>
      <c r="H2240" s="6" t="s">
        <v>4020</v>
      </c>
      <c r="I2240" s="5" t="s">
        <v>809</v>
      </c>
      <c r="J2240" s="8">
        <f>295</f>
        <v>295</v>
      </c>
      <c r="K2240" s="5" t="s">
        <v>308</v>
      </c>
      <c r="L2240" s="7">
        <f>1</f>
        <v>1</v>
      </c>
      <c r="M2240" s="7">
        <f>1</f>
        <v>1</v>
      </c>
      <c r="N2240" s="5" t="s">
        <v>242</v>
      </c>
      <c r="O2240" s="5">
        <v>1</v>
      </c>
      <c r="P2240" s="5" t="s">
        <v>294</v>
      </c>
      <c r="Q2240" s="5" t="s">
        <v>266</v>
      </c>
      <c r="R2240" s="5" t="s">
        <v>240</v>
      </c>
      <c r="S2240" s="5" t="s">
        <v>240</v>
      </c>
      <c r="T2240" s="5" t="s">
        <v>296</v>
      </c>
      <c r="U2240" s="5" t="s">
        <v>244</v>
      </c>
      <c r="V2240" s="5" t="s">
        <v>240</v>
      </c>
      <c r="Y2240" s="5" t="s">
        <v>240</v>
      </c>
      <c r="Z2240" s="6" t="s">
        <v>298</v>
      </c>
      <c r="AB2240" s="6" t="s">
        <v>240</v>
      </c>
      <c r="AE2240" s="6" t="s">
        <v>299</v>
      </c>
      <c r="AF2240" s="5" t="s">
        <v>248</v>
      </c>
      <c r="AG2240" s="5" t="s">
        <v>249</v>
      </c>
      <c r="AW2240" s="5" t="s">
        <v>251</v>
      </c>
      <c r="AX2240" s="5" t="s">
        <v>240</v>
      </c>
      <c r="AY2240" s="5" t="s">
        <v>253</v>
      </c>
      <c r="AZ2240" s="5" t="s">
        <v>240</v>
      </c>
      <c r="BA2240" s="5" t="s">
        <v>255</v>
      </c>
      <c r="BB2240" s="5" t="s">
        <v>240</v>
      </c>
      <c r="BD2240" s="5" t="s">
        <v>240</v>
      </c>
      <c r="BF2240" s="5" t="s">
        <v>301</v>
      </c>
      <c r="BG2240" s="6" t="s">
        <v>299</v>
      </c>
      <c r="BH2240" s="5" t="s">
        <v>302</v>
      </c>
      <c r="BI2240" s="5" t="s">
        <v>303</v>
      </c>
      <c r="BJ2240" s="5" t="s">
        <v>240</v>
      </c>
      <c r="BK2240" s="8">
        <f>0</f>
        <v>0</v>
      </c>
      <c r="BL2240" s="7">
        <f>0</f>
        <v>0</v>
      </c>
      <c r="BM2240" s="5" t="s">
        <v>258</v>
      </c>
      <c r="BN2240" s="5" t="s">
        <v>259</v>
      </c>
      <c r="CB2240" s="5" t="s">
        <v>240</v>
      </c>
      <c r="CC2240" s="5" t="s">
        <v>240</v>
      </c>
      <c r="CG2240" s="5" t="s">
        <v>304</v>
      </c>
      <c r="CH2240" s="5" t="s">
        <v>305</v>
      </c>
      <c r="CI2240" s="5" t="s">
        <v>240</v>
      </c>
      <c r="CL2240" s="6" t="s">
        <v>261</v>
      </c>
      <c r="CM2240" s="5" t="s">
        <v>240</v>
      </c>
      <c r="CN2240" s="5" t="s">
        <v>263</v>
      </c>
      <c r="CO2240" s="5" t="s">
        <v>240</v>
      </c>
      <c r="CP2240" s="5" t="s">
        <v>240</v>
      </c>
      <c r="CQ2240" s="5">
        <v>0</v>
      </c>
      <c r="CR2240" s="5" t="s">
        <v>306</v>
      </c>
      <c r="CS2240" s="5" t="s">
        <v>307</v>
      </c>
      <c r="CT2240" s="5" t="s">
        <v>307</v>
      </c>
      <c r="CU2240" s="5" t="s">
        <v>260</v>
      </c>
      <c r="CX2240" s="7">
        <f>1</f>
        <v>1</v>
      </c>
      <c r="CY2240" s="7">
        <f>0</f>
        <v>0</v>
      </c>
      <c r="DA2240" s="7">
        <f>0</f>
        <v>0</v>
      </c>
      <c r="DC2240" s="5" t="s">
        <v>812</v>
      </c>
      <c r="DD2240" s="5" t="s">
        <v>240</v>
      </c>
      <c r="DF2240" s="5" t="s">
        <v>812</v>
      </c>
      <c r="DG2240" s="7">
        <f>2385</f>
        <v>2385</v>
      </c>
      <c r="DI2240" s="5" t="s">
        <v>240</v>
      </c>
      <c r="DJ2240" s="5" t="s">
        <v>240</v>
      </c>
      <c r="DK2240" s="5" t="s">
        <v>240</v>
      </c>
      <c r="DL2240" s="5" t="s">
        <v>240</v>
      </c>
      <c r="DP2240" s="5" t="s">
        <v>240</v>
      </c>
      <c r="DQ2240" s="5" t="s">
        <v>240</v>
      </c>
      <c r="DR2240" s="5" t="s">
        <v>240</v>
      </c>
      <c r="DS2240" s="5" t="s">
        <v>240</v>
      </c>
      <c r="DV2240" s="5" t="s">
        <v>813</v>
      </c>
      <c r="DW2240" s="5" t="s">
        <v>703</v>
      </c>
      <c r="HO2240" s="5" t="s">
        <v>312</v>
      </c>
    </row>
    <row r="2241" spans="1:223" x14ac:dyDescent="0.4">
      <c r="A2241" s="5">
        <v>3945</v>
      </c>
      <c r="B2241" s="5">
        <v>1</v>
      </c>
      <c r="C2241" s="5">
        <v>1</v>
      </c>
      <c r="D2241" s="5" t="s">
        <v>810</v>
      </c>
      <c r="E2241" s="5" t="s">
        <v>245</v>
      </c>
      <c r="F2241" s="5" t="s">
        <v>254</v>
      </c>
      <c r="G2241" s="5" t="s">
        <v>240</v>
      </c>
      <c r="H2241" s="6" t="s">
        <v>4018</v>
      </c>
      <c r="I2241" s="5" t="s">
        <v>809</v>
      </c>
      <c r="J2241" s="8">
        <f>305</f>
        <v>305</v>
      </c>
      <c r="K2241" s="5" t="s">
        <v>308</v>
      </c>
      <c r="L2241" s="7">
        <f>1</f>
        <v>1</v>
      </c>
      <c r="M2241" s="7">
        <f>1</f>
        <v>1</v>
      </c>
      <c r="N2241" s="5" t="s">
        <v>242</v>
      </c>
      <c r="O2241" s="5">
        <v>1</v>
      </c>
      <c r="P2241" s="5" t="s">
        <v>294</v>
      </c>
      <c r="Q2241" s="5" t="s">
        <v>266</v>
      </c>
      <c r="R2241" s="5" t="s">
        <v>240</v>
      </c>
      <c r="S2241" s="5" t="s">
        <v>240</v>
      </c>
      <c r="T2241" s="5" t="s">
        <v>296</v>
      </c>
      <c r="U2241" s="5" t="s">
        <v>244</v>
      </c>
      <c r="V2241" s="5" t="s">
        <v>240</v>
      </c>
      <c r="Y2241" s="5" t="s">
        <v>240</v>
      </c>
      <c r="Z2241" s="6" t="s">
        <v>298</v>
      </c>
      <c r="AB2241" s="6" t="s">
        <v>240</v>
      </c>
      <c r="AE2241" s="6" t="s">
        <v>299</v>
      </c>
      <c r="AF2241" s="5" t="s">
        <v>248</v>
      </c>
      <c r="AG2241" s="5" t="s">
        <v>249</v>
      </c>
      <c r="AW2241" s="5" t="s">
        <v>251</v>
      </c>
      <c r="AX2241" s="5" t="s">
        <v>240</v>
      </c>
      <c r="AY2241" s="5" t="s">
        <v>253</v>
      </c>
      <c r="AZ2241" s="5" t="s">
        <v>240</v>
      </c>
      <c r="BA2241" s="5" t="s">
        <v>255</v>
      </c>
      <c r="BB2241" s="5" t="s">
        <v>240</v>
      </c>
      <c r="BD2241" s="5" t="s">
        <v>240</v>
      </c>
      <c r="BF2241" s="5" t="s">
        <v>301</v>
      </c>
      <c r="BG2241" s="6" t="s">
        <v>299</v>
      </c>
      <c r="BH2241" s="5" t="s">
        <v>302</v>
      </c>
      <c r="BI2241" s="5" t="s">
        <v>303</v>
      </c>
      <c r="BJ2241" s="5" t="s">
        <v>240</v>
      </c>
      <c r="BK2241" s="8">
        <f>0</f>
        <v>0</v>
      </c>
      <c r="BL2241" s="7">
        <f>0</f>
        <v>0</v>
      </c>
      <c r="BM2241" s="5" t="s">
        <v>258</v>
      </c>
      <c r="BN2241" s="5" t="s">
        <v>259</v>
      </c>
      <c r="CB2241" s="5" t="s">
        <v>240</v>
      </c>
      <c r="CC2241" s="5" t="s">
        <v>240</v>
      </c>
      <c r="CG2241" s="5" t="s">
        <v>304</v>
      </c>
      <c r="CH2241" s="5" t="s">
        <v>305</v>
      </c>
      <c r="CI2241" s="5" t="s">
        <v>240</v>
      </c>
      <c r="CL2241" s="6" t="s">
        <v>261</v>
      </c>
      <c r="CM2241" s="5" t="s">
        <v>240</v>
      </c>
      <c r="CN2241" s="5" t="s">
        <v>263</v>
      </c>
      <c r="CO2241" s="5" t="s">
        <v>240</v>
      </c>
      <c r="CP2241" s="5" t="s">
        <v>240</v>
      </c>
      <c r="CQ2241" s="5">
        <v>0</v>
      </c>
      <c r="CR2241" s="5" t="s">
        <v>306</v>
      </c>
      <c r="CS2241" s="5" t="s">
        <v>307</v>
      </c>
      <c r="CT2241" s="5" t="s">
        <v>307</v>
      </c>
      <c r="CU2241" s="5" t="s">
        <v>260</v>
      </c>
      <c r="CX2241" s="7">
        <f>1</f>
        <v>1</v>
      </c>
      <c r="CY2241" s="7">
        <f>0</f>
        <v>0</v>
      </c>
      <c r="DA2241" s="7">
        <f>0</f>
        <v>0</v>
      </c>
      <c r="DC2241" s="5" t="s">
        <v>812</v>
      </c>
      <c r="DD2241" s="5" t="s">
        <v>240</v>
      </c>
      <c r="DF2241" s="5" t="s">
        <v>812</v>
      </c>
      <c r="DG2241" s="7">
        <f>415</f>
        <v>415</v>
      </c>
      <c r="DI2241" s="5" t="s">
        <v>240</v>
      </c>
      <c r="DJ2241" s="5" t="s">
        <v>240</v>
      </c>
      <c r="DK2241" s="5" t="s">
        <v>240</v>
      </c>
      <c r="DL2241" s="5" t="s">
        <v>240</v>
      </c>
      <c r="DP2241" s="5" t="s">
        <v>240</v>
      </c>
      <c r="DQ2241" s="5" t="s">
        <v>240</v>
      </c>
      <c r="DR2241" s="5" t="s">
        <v>240</v>
      </c>
      <c r="DS2241" s="5" t="s">
        <v>240</v>
      </c>
      <c r="DV2241" s="5" t="s">
        <v>813</v>
      </c>
      <c r="DW2241" s="5" t="s">
        <v>705</v>
      </c>
      <c r="HO2241" s="5" t="s">
        <v>312</v>
      </c>
    </row>
    <row r="2242" spans="1:223" x14ac:dyDescent="0.4">
      <c r="A2242" s="5">
        <v>3946</v>
      </c>
      <c r="B2242" s="5">
        <v>1</v>
      </c>
      <c r="C2242" s="5">
        <v>1</v>
      </c>
      <c r="D2242" s="5" t="s">
        <v>810</v>
      </c>
      <c r="E2242" s="5" t="s">
        <v>245</v>
      </c>
      <c r="F2242" s="5" t="s">
        <v>254</v>
      </c>
      <c r="G2242" s="5" t="s">
        <v>240</v>
      </c>
      <c r="H2242" s="6" t="s">
        <v>4016</v>
      </c>
      <c r="I2242" s="5" t="s">
        <v>809</v>
      </c>
      <c r="J2242" s="8">
        <f>695</f>
        <v>695</v>
      </c>
      <c r="K2242" s="5" t="s">
        <v>308</v>
      </c>
      <c r="L2242" s="7">
        <f>1</f>
        <v>1</v>
      </c>
      <c r="M2242" s="7">
        <f>1</f>
        <v>1</v>
      </c>
      <c r="N2242" s="5" t="s">
        <v>242</v>
      </c>
      <c r="O2242" s="5">
        <v>1</v>
      </c>
      <c r="P2242" s="5" t="s">
        <v>294</v>
      </c>
      <c r="Q2242" s="5" t="s">
        <v>266</v>
      </c>
      <c r="R2242" s="5" t="s">
        <v>240</v>
      </c>
      <c r="S2242" s="5" t="s">
        <v>240</v>
      </c>
      <c r="T2242" s="5" t="s">
        <v>296</v>
      </c>
      <c r="U2242" s="5" t="s">
        <v>244</v>
      </c>
      <c r="V2242" s="5" t="s">
        <v>240</v>
      </c>
      <c r="Y2242" s="5" t="s">
        <v>240</v>
      </c>
      <c r="Z2242" s="6" t="s">
        <v>298</v>
      </c>
      <c r="AB2242" s="6" t="s">
        <v>240</v>
      </c>
      <c r="AE2242" s="6" t="s">
        <v>299</v>
      </c>
      <c r="AF2242" s="5" t="s">
        <v>248</v>
      </c>
      <c r="AG2242" s="5" t="s">
        <v>249</v>
      </c>
      <c r="AW2242" s="5" t="s">
        <v>251</v>
      </c>
      <c r="AX2242" s="5" t="s">
        <v>240</v>
      </c>
      <c r="AY2242" s="5" t="s">
        <v>253</v>
      </c>
      <c r="AZ2242" s="5" t="s">
        <v>240</v>
      </c>
      <c r="BA2242" s="5" t="s">
        <v>255</v>
      </c>
      <c r="BB2242" s="5" t="s">
        <v>240</v>
      </c>
      <c r="BD2242" s="5" t="s">
        <v>240</v>
      </c>
      <c r="BF2242" s="5" t="s">
        <v>301</v>
      </c>
      <c r="BG2242" s="6" t="s">
        <v>299</v>
      </c>
      <c r="BH2242" s="5" t="s">
        <v>302</v>
      </c>
      <c r="BI2242" s="5" t="s">
        <v>303</v>
      </c>
      <c r="BJ2242" s="5" t="s">
        <v>240</v>
      </c>
      <c r="BK2242" s="8">
        <f>0</f>
        <v>0</v>
      </c>
      <c r="BL2242" s="7">
        <f>0</f>
        <v>0</v>
      </c>
      <c r="BM2242" s="5" t="s">
        <v>258</v>
      </c>
      <c r="BN2242" s="5" t="s">
        <v>259</v>
      </c>
      <c r="CB2242" s="5" t="s">
        <v>240</v>
      </c>
      <c r="CC2242" s="5" t="s">
        <v>240</v>
      </c>
      <c r="CG2242" s="5" t="s">
        <v>304</v>
      </c>
      <c r="CH2242" s="5" t="s">
        <v>305</v>
      </c>
      <c r="CI2242" s="5" t="s">
        <v>240</v>
      </c>
      <c r="CL2242" s="6" t="s">
        <v>261</v>
      </c>
      <c r="CM2242" s="5" t="s">
        <v>240</v>
      </c>
      <c r="CN2242" s="5" t="s">
        <v>263</v>
      </c>
      <c r="CO2242" s="5" t="s">
        <v>240</v>
      </c>
      <c r="CP2242" s="5" t="s">
        <v>240</v>
      </c>
      <c r="CQ2242" s="5">
        <v>0</v>
      </c>
      <c r="CR2242" s="5" t="s">
        <v>306</v>
      </c>
      <c r="CS2242" s="5" t="s">
        <v>307</v>
      </c>
      <c r="CT2242" s="5" t="s">
        <v>307</v>
      </c>
      <c r="CU2242" s="5" t="s">
        <v>260</v>
      </c>
      <c r="CX2242" s="7">
        <f>1</f>
        <v>1</v>
      </c>
      <c r="CY2242" s="7">
        <f>0</f>
        <v>0</v>
      </c>
      <c r="DA2242" s="7">
        <f>0</f>
        <v>0</v>
      </c>
      <c r="DC2242" s="5" t="s">
        <v>812</v>
      </c>
      <c r="DD2242" s="5" t="s">
        <v>240</v>
      </c>
      <c r="DF2242" s="5" t="s">
        <v>812</v>
      </c>
      <c r="DG2242" s="7">
        <f>2638</f>
        <v>2638</v>
      </c>
      <c r="DI2242" s="5" t="s">
        <v>240</v>
      </c>
      <c r="DJ2242" s="5" t="s">
        <v>240</v>
      </c>
      <c r="DK2242" s="5" t="s">
        <v>240</v>
      </c>
      <c r="DL2242" s="5" t="s">
        <v>240</v>
      </c>
      <c r="DP2242" s="5" t="s">
        <v>240</v>
      </c>
      <c r="DQ2242" s="5" t="s">
        <v>240</v>
      </c>
      <c r="DR2242" s="5" t="s">
        <v>240</v>
      </c>
      <c r="DS2242" s="5" t="s">
        <v>240</v>
      </c>
      <c r="DV2242" s="5" t="s">
        <v>813</v>
      </c>
      <c r="DW2242" s="5" t="s">
        <v>707</v>
      </c>
      <c r="HO2242" s="5" t="s">
        <v>312</v>
      </c>
    </row>
    <row r="2243" spans="1:223" x14ac:dyDescent="0.4">
      <c r="A2243" s="5">
        <v>3947</v>
      </c>
      <c r="B2243" s="5">
        <v>1</v>
      </c>
      <c r="C2243" s="5">
        <v>1</v>
      </c>
      <c r="D2243" s="5" t="s">
        <v>810</v>
      </c>
      <c r="E2243" s="5" t="s">
        <v>245</v>
      </c>
      <c r="F2243" s="5" t="s">
        <v>254</v>
      </c>
      <c r="G2243" s="5" t="s">
        <v>240</v>
      </c>
      <c r="H2243" s="6" t="s">
        <v>4014</v>
      </c>
      <c r="I2243" s="5" t="s">
        <v>809</v>
      </c>
      <c r="J2243" s="8">
        <f>311</f>
        <v>311</v>
      </c>
      <c r="K2243" s="5" t="s">
        <v>308</v>
      </c>
      <c r="L2243" s="7">
        <f>1</f>
        <v>1</v>
      </c>
      <c r="M2243" s="7">
        <f>1</f>
        <v>1</v>
      </c>
      <c r="N2243" s="5" t="s">
        <v>242</v>
      </c>
      <c r="O2243" s="5">
        <v>1</v>
      </c>
      <c r="P2243" s="5" t="s">
        <v>294</v>
      </c>
      <c r="Q2243" s="5" t="s">
        <v>266</v>
      </c>
      <c r="R2243" s="5" t="s">
        <v>240</v>
      </c>
      <c r="S2243" s="5" t="s">
        <v>240</v>
      </c>
      <c r="T2243" s="5" t="s">
        <v>296</v>
      </c>
      <c r="U2243" s="5" t="s">
        <v>244</v>
      </c>
      <c r="V2243" s="5" t="s">
        <v>240</v>
      </c>
      <c r="Y2243" s="5" t="s">
        <v>240</v>
      </c>
      <c r="Z2243" s="6" t="s">
        <v>298</v>
      </c>
      <c r="AB2243" s="6" t="s">
        <v>240</v>
      </c>
      <c r="AE2243" s="6" t="s">
        <v>299</v>
      </c>
      <c r="AF2243" s="5" t="s">
        <v>248</v>
      </c>
      <c r="AG2243" s="5" t="s">
        <v>249</v>
      </c>
      <c r="AW2243" s="5" t="s">
        <v>251</v>
      </c>
      <c r="AX2243" s="5" t="s">
        <v>240</v>
      </c>
      <c r="AY2243" s="5" t="s">
        <v>253</v>
      </c>
      <c r="AZ2243" s="5" t="s">
        <v>240</v>
      </c>
      <c r="BA2243" s="5" t="s">
        <v>255</v>
      </c>
      <c r="BB2243" s="5" t="s">
        <v>240</v>
      </c>
      <c r="BD2243" s="5" t="s">
        <v>240</v>
      </c>
      <c r="BF2243" s="5" t="s">
        <v>301</v>
      </c>
      <c r="BG2243" s="6" t="s">
        <v>299</v>
      </c>
      <c r="BH2243" s="5" t="s">
        <v>302</v>
      </c>
      <c r="BI2243" s="5" t="s">
        <v>303</v>
      </c>
      <c r="BJ2243" s="5" t="s">
        <v>240</v>
      </c>
      <c r="BK2243" s="8">
        <f>0</f>
        <v>0</v>
      </c>
      <c r="BL2243" s="7">
        <f>0</f>
        <v>0</v>
      </c>
      <c r="BM2243" s="5" t="s">
        <v>258</v>
      </c>
      <c r="BN2243" s="5" t="s">
        <v>259</v>
      </c>
      <c r="CB2243" s="5" t="s">
        <v>240</v>
      </c>
      <c r="CC2243" s="5" t="s">
        <v>240</v>
      </c>
      <c r="CG2243" s="5" t="s">
        <v>304</v>
      </c>
      <c r="CH2243" s="5" t="s">
        <v>305</v>
      </c>
      <c r="CI2243" s="5" t="s">
        <v>240</v>
      </c>
      <c r="CL2243" s="6" t="s">
        <v>261</v>
      </c>
      <c r="CM2243" s="5" t="s">
        <v>240</v>
      </c>
      <c r="CN2243" s="5" t="s">
        <v>263</v>
      </c>
      <c r="CO2243" s="5" t="s">
        <v>240</v>
      </c>
      <c r="CP2243" s="5" t="s">
        <v>240</v>
      </c>
      <c r="CQ2243" s="5">
        <v>0</v>
      </c>
      <c r="CR2243" s="5" t="s">
        <v>306</v>
      </c>
      <c r="CS2243" s="5" t="s">
        <v>307</v>
      </c>
      <c r="CT2243" s="5" t="s">
        <v>307</v>
      </c>
      <c r="CU2243" s="5" t="s">
        <v>260</v>
      </c>
      <c r="CX2243" s="7">
        <f>1</f>
        <v>1</v>
      </c>
      <c r="CY2243" s="7">
        <f>0</f>
        <v>0</v>
      </c>
      <c r="DA2243" s="7">
        <f>0</f>
        <v>0</v>
      </c>
      <c r="DC2243" s="5" t="s">
        <v>812</v>
      </c>
      <c r="DD2243" s="5" t="s">
        <v>240</v>
      </c>
      <c r="DF2243" s="5" t="s">
        <v>812</v>
      </c>
      <c r="DG2243" s="7">
        <f>395</f>
        <v>395</v>
      </c>
      <c r="DI2243" s="5" t="s">
        <v>240</v>
      </c>
      <c r="DJ2243" s="5" t="s">
        <v>240</v>
      </c>
      <c r="DK2243" s="5" t="s">
        <v>240</v>
      </c>
      <c r="DL2243" s="5" t="s">
        <v>240</v>
      </c>
      <c r="DP2243" s="5" t="s">
        <v>240</v>
      </c>
      <c r="DQ2243" s="5" t="s">
        <v>240</v>
      </c>
      <c r="DR2243" s="5" t="s">
        <v>240</v>
      </c>
      <c r="DS2243" s="5" t="s">
        <v>240</v>
      </c>
      <c r="DV2243" s="5" t="s">
        <v>813</v>
      </c>
      <c r="DW2243" s="5" t="s">
        <v>709</v>
      </c>
      <c r="HO2243" s="5" t="s">
        <v>312</v>
      </c>
    </row>
    <row r="2244" spans="1:223" x14ac:dyDescent="0.4">
      <c r="A2244" s="5">
        <v>3948</v>
      </c>
      <c r="B2244" s="5">
        <v>1</v>
      </c>
      <c r="C2244" s="5">
        <v>1</v>
      </c>
      <c r="D2244" s="5" t="s">
        <v>810</v>
      </c>
      <c r="E2244" s="5" t="s">
        <v>245</v>
      </c>
      <c r="F2244" s="5" t="s">
        <v>254</v>
      </c>
      <c r="G2244" s="5" t="s">
        <v>240</v>
      </c>
      <c r="H2244" s="6" t="s">
        <v>4012</v>
      </c>
      <c r="I2244" s="5" t="s">
        <v>809</v>
      </c>
      <c r="J2244" s="8">
        <f>1747</f>
        <v>1747</v>
      </c>
      <c r="K2244" s="5" t="s">
        <v>308</v>
      </c>
      <c r="L2244" s="7">
        <f>1</f>
        <v>1</v>
      </c>
      <c r="M2244" s="7">
        <f>1</f>
        <v>1</v>
      </c>
      <c r="N2244" s="5" t="s">
        <v>242</v>
      </c>
      <c r="O2244" s="5">
        <v>1</v>
      </c>
      <c r="P2244" s="5" t="s">
        <v>294</v>
      </c>
      <c r="Q2244" s="5" t="s">
        <v>266</v>
      </c>
      <c r="R2244" s="5" t="s">
        <v>240</v>
      </c>
      <c r="S2244" s="5" t="s">
        <v>240</v>
      </c>
      <c r="T2244" s="5" t="s">
        <v>296</v>
      </c>
      <c r="U2244" s="5" t="s">
        <v>244</v>
      </c>
      <c r="V2244" s="5" t="s">
        <v>240</v>
      </c>
      <c r="Y2244" s="5" t="s">
        <v>240</v>
      </c>
      <c r="Z2244" s="6" t="s">
        <v>298</v>
      </c>
      <c r="AB2244" s="6" t="s">
        <v>240</v>
      </c>
      <c r="AE2244" s="6" t="s">
        <v>299</v>
      </c>
      <c r="AF2244" s="5" t="s">
        <v>248</v>
      </c>
      <c r="AG2244" s="5" t="s">
        <v>249</v>
      </c>
      <c r="AW2244" s="5" t="s">
        <v>251</v>
      </c>
      <c r="AX2244" s="5" t="s">
        <v>240</v>
      </c>
      <c r="AY2244" s="5" t="s">
        <v>253</v>
      </c>
      <c r="AZ2244" s="5" t="s">
        <v>240</v>
      </c>
      <c r="BA2244" s="5" t="s">
        <v>255</v>
      </c>
      <c r="BB2244" s="5" t="s">
        <v>240</v>
      </c>
      <c r="BD2244" s="5" t="s">
        <v>240</v>
      </c>
      <c r="BF2244" s="5" t="s">
        <v>301</v>
      </c>
      <c r="BG2244" s="6" t="s">
        <v>299</v>
      </c>
      <c r="BH2244" s="5" t="s">
        <v>302</v>
      </c>
      <c r="BI2244" s="5" t="s">
        <v>303</v>
      </c>
      <c r="BJ2244" s="5" t="s">
        <v>240</v>
      </c>
      <c r="BK2244" s="8">
        <f>0</f>
        <v>0</v>
      </c>
      <c r="BL2244" s="7">
        <f>0</f>
        <v>0</v>
      </c>
      <c r="BM2244" s="5" t="s">
        <v>258</v>
      </c>
      <c r="BN2244" s="5" t="s">
        <v>259</v>
      </c>
      <c r="CB2244" s="5" t="s">
        <v>240</v>
      </c>
      <c r="CC2244" s="5" t="s">
        <v>240</v>
      </c>
      <c r="CG2244" s="5" t="s">
        <v>304</v>
      </c>
      <c r="CH2244" s="5" t="s">
        <v>305</v>
      </c>
      <c r="CI2244" s="5" t="s">
        <v>240</v>
      </c>
      <c r="CL2244" s="6" t="s">
        <v>261</v>
      </c>
      <c r="CM2244" s="5" t="s">
        <v>240</v>
      </c>
      <c r="CN2244" s="5" t="s">
        <v>263</v>
      </c>
      <c r="CO2244" s="5" t="s">
        <v>240</v>
      </c>
      <c r="CP2244" s="5" t="s">
        <v>240</v>
      </c>
      <c r="CQ2244" s="5">
        <v>0</v>
      </c>
      <c r="CR2244" s="5" t="s">
        <v>306</v>
      </c>
      <c r="CS2244" s="5" t="s">
        <v>307</v>
      </c>
      <c r="CT2244" s="5" t="s">
        <v>307</v>
      </c>
      <c r="CU2244" s="5" t="s">
        <v>260</v>
      </c>
      <c r="CX2244" s="7">
        <f>1</f>
        <v>1</v>
      </c>
      <c r="CY2244" s="7">
        <f>0</f>
        <v>0</v>
      </c>
      <c r="DA2244" s="7">
        <f>0</f>
        <v>0</v>
      </c>
      <c r="DC2244" s="5" t="s">
        <v>812</v>
      </c>
      <c r="DD2244" s="5" t="s">
        <v>240</v>
      </c>
      <c r="DF2244" s="5" t="s">
        <v>812</v>
      </c>
      <c r="DG2244" s="7">
        <f>765</f>
        <v>765</v>
      </c>
      <c r="DI2244" s="5" t="s">
        <v>240</v>
      </c>
      <c r="DJ2244" s="5" t="s">
        <v>240</v>
      </c>
      <c r="DK2244" s="5" t="s">
        <v>240</v>
      </c>
      <c r="DL2244" s="5" t="s">
        <v>240</v>
      </c>
      <c r="DP2244" s="5" t="s">
        <v>240</v>
      </c>
      <c r="DQ2244" s="5" t="s">
        <v>240</v>
      </c>
      <c r="DR2244" s="5" t="s">
        <v>240</v>
      </c>
      <c r="DS2244" s="5" t="s">
        <v>240</v>
      </c>
      <c r="DV2244" s="5" t="s">
        <v>813</v>
      </c>
      <c r="DW2244" s="5" t="s">
        <v>711</v>
      </c>
      <c r="HO2244" s="5" t="s">
        <v>312</v>
      </c>
    </row>
    <row r="2245" spans="1:223" x14ac:dyDescent="0.4">
      <c r="A2245" s="5">
        <v>3949</v>
      </c>
      <c r="B2245" s="5">
        <v>1</v>
      </c>
      <c r="C2245" s="5">
        <v>1</v>
      </c>
      <c r="D2245" s="5" t="s">
        <v>810</v>
      </c>
      <c r="E2245" s="5" t="s">
        <v>245</v>
      </c>
      <c r="F2245" s="5" t="s">
        <v>254</v>
      </c>
      <c r="G2245" s="5" t="s">
        <v>240</v>
      </c>
      <c r="H2245" s="6" t="s">
        <v>4010</v>
      </c>
      <c r="I2245" s="5" t="s">
        <v>809</v>
      </c>
      <c r="J2245" s="8">
        <f>3534</f>
        <v>3534</v>
      </c>
      <c r="K2245" s="5" t="s">
        <v>308</v>
      </c>
      <c r="L2245" s="7">
        <f>1</f>
        <v>1</v>
      </c>
      <c r="M2245" s="7">
        <f>1</f>
        <v>1</v>
      </c>
      <c r="N2245" s="5" t="s">
        <v>242</v>
      </c>
      <c r="O2245" s="5">
        <v>1</v>
      </c>
      <c r="P2245" s="5" t="s">
        <v>294</v>
      </c>
      <c r="Q2245" s="5" t="s">
        <v>266</v>
      </c>
      <c r="R2245" s="5" t="s">
        <v>240</v>
      </c>
      <c r="S2245" s="5" t="s">
        <v>240</v>
      </c>
      <c r="T2245" s="5" t="s">
        <v>296</v>
      </c>
      <c r="U2245" s="5" t="s">
        <v>244</v>
      </c>
      <c r="V2245" s="5" t="s">
        <v>240</v>
      </c>
      <c r="Y2245" s="5" t="s">
        <v>240</v>
      </c>
      <c r="Z2245" s="6" t="s">
        <v>298</v>
      </c>
      <c r="AB2245" s="6" t="s">
        <v>240</v>
      </c>
      <c r="AE2245" s="6" t="s">
        <v>299</v>
      </c>
      <c r="AF2245" s="5" t="s">
        <v>248</v>
      </c>
      <c r="AG2245" s="5" t="s">
        <v>249</v>
      </c>
      <c r="AW2245" s="5" t="s">
        <v>251</v>
      </c>
      <c r="AX2245" s="5" t="s">
        <v>240</v>
      </c>
      <c r="AY2245" s="5" t="s">
        <v>253</v>
      </c>
      <c r="AZ2245" s="5" t="s">
        <v>240</v>
      </c>
      <c r="BA2245" s="5" t="s">
        <v>255</v>
      </c>
      <c r="BB2245" s="5" t="s">
        <v>240</v>
      </c>
      <c r="BD2245" s="5" t="s">
        <v>240</v>
      </c>
      <c r="BF2245" s="5" t="s">
        <v>301</v>
      </c>
      <c r="BG2245" s="6" t="s">
        <v>299</v>
      </c>
      <c r="BH2245" s="5" t="s">
        <v>302</v>
      </c>
      <c r="BI2245" s="5" t="s">
        <v>303</v>
      </c>
      <c r="BJ2245" s="5" t="s">
        <v>240</v>
      </c>
      <c r="BK2245" s="8">
        <f>0</f>
        <v>0</v>
      </c>
      <c r="BL2245" s="7">
        <f>0</f>
        <v>0</v>
      </c>
      <c r="BM2245" s="5" t="s">
        <v>258</v>
      </c>
      <c r="BN2245" s="5" t="s">
        <v>259</v>
      </c>
      <c r="CB2245" s="5" t="s">
        <v>240</v>
      </c>
      <c r="CC2245" s="5" t="s">
        <v>240</v>
      </c>
      <c r="CG2245" s="5" t="s">
        <v>304</v>
      </c>
      <c r="CH2245" s="5" t="s">
        <v>305</v>
      </c>
      <c r="CI2245" s="5" t="s">
        <v>240</v>
      </c>
      <c r="CL2245" s="6" t="s">
        <v>261</v>
      </c>
      <c r="CM2245" s="5" t="s">
        <v>240</v>
      </c>
      <c r="CN2245" s="5" t="s">
        <v>263</v>
      </c>
      <c r="CO2245" s="5" t="s">
        <v>240</v>
      </c>
      <c r="CP2245" s="5" t="s">
        <v>240</v>
      </c>
      <c r="CQ2245" s="5">
        <v>0</v>
      </c>
      <c r="CR2245" s="5" t="s">
        <v>306</v>
      </c>
      <c r="CS2245" s="5" t="s">
        <v>307</v>
      </c>
      <c r="CT2245" s="5" t="s">
        <v>307</v>
      </c>
      <c r="CU2245" s="5" t="s">
        <v>260</v>
      </c>
      <c r="CX2245" s="7">
        <f>1</f>
        <v>1</v>
      </c>
      <c r="CY2245" s="7">
        <f>0</f>
        <v>0</v>
      </c>
      <c r="DA2245" s="7">
        <f>0</f>
        <v>0</v>
      </c>
      <c r="DC2245" s="5" t="s">
        <v>812</v>
      </c>
      <c r="DD2245" s="5" t="s">
        <v>240</v>
      </c>
      <c r="DF2245" s="5" t="s">
        <v>812</v>
      </c>
      <c r="DG2245" s="7">
        <f>1355</f>
        <v>1355</v>
      </c>
      <c r="DI2245" s="5" t="s">
        <v>240</v>
      </c>
      <c r="DJ2245" s="5" t="s">
        <v>240</v>
      </c>
      <c r="DK2245" s="5" t="s">
        <v>240</v>
      </c>
      <c r="DL2245" s="5" t="s">
        <v>240</v>
      </c>
      <c r="DP2245" s="5" t="s">
        <v>240</v>
      </c>
      <c r="DQ2245" s="5" t="s">
        <v>240</v>
      </c>
      <c r="DR2245" s="5" t="s">
        <v>240</v>
      </c>
      <c r="DS2245" s="5" t="s">
        <v>240</v>
      </c>
      <c r="DV2245" s="5" t="s">
        <v>813</v>
      </c>
      <c r="DW2245" s="5" t="s">
        <v>713</v>
      </c>
      <c r="HO2245" s="5" t="s">
        <v>312</v>
      </c>
    </row>
    <row r="2246" spans="1:223" x14ac:dyDescent="0.4">
      <c r="A2246" s="5">
        <v>3950</v>
      </c>
      <c r="B2246" s="5">
        <v>1</v>
      </c>
      <c r="C2246" s="5">
        <v>1</v>
      </c>
      <c r="D2246" s="5" t="s">
        <v>810</v>
      </c>
      <c r="E2246" s="5" t="s">
        <v>245</v>
      </c>
      <c r="F2246" s="5" t="s">
        <v>254</v>
      </c>
      <c r="G2246" s="5" t="s">
        <v>240</v>
      </c>
      <c r="H2246" s="6" t="s">
        <v>4008</v>
      </c>
      <c r="I2246" s="5" t="s">
        <v>809</v>
      </c>
      <c r="J2246" s="8">
        <f>2548</f>
        <v>2548</v>
      </c>
      <c r="K2246" s="5" t="s">
        <v>308</v>
      </c>
      <c r="L2246" s="7">
        <f>1</f>
        <v>1</v>
      </c>
      <c r="M2246" s="7">
        <f>1</f>
        <v>1</v>
      </c>
      <c r="N2246" s="5" t="s">
        <v>242</v>
      </c>
      <c r="O2246" s="5">
        <v>1</v>
      </c>
      <c r="P2246" s="5" t="s">
        <v>294</v>
      </c>
      <c r="Q2246" s="5" t="s">
        <v>613</v>
      </c>
      <c r="R2246" s="5" t="s">
        <v>240</v>
      </c>
      <c r="S2246" s="5" t="s">
        <v>240</v>
      </c>
      <c r="T2246" s="5" t="s">
        <v>243</v>
      </c>
      <c r="U2246" s="5" t="s">
        <v>724</v>
      </c>
      <c r="V2246" s="5" t="s">
        <v>240</v>
      </c>
      <c r="Y2246" s="5" t="s">
        <v>240</v>
      </c>
      <c r="Z2246" s="6" t="s">
        <v>298</v>
      </c>
      <c r="AB2246" s="6" t="s">
        <v>240</v>
      </c>
      <c r="AE2246" s="6" t="s">
        <v>299</v>
      </c>
      <c r="AF2246" s="5" t="s">
        <v>248</v>
      </c>
      <c r="AG2246" s="5" t="s">
        <v>249</v>
      </c>
      <c r="AW2246" s="5" t="s">
        <v>251</v>
      </c>
      <c r="AX2246" s="5" t="s">
        <v>240</v>
      </c>
      <c r="AY2246" s="5" t="s">
        <v>253</v>
      </c>
      <c r="AZ2246" s="5" t="s">
        <v>240</v>
      </c>
      <c r="BA2246" s="5" t="s">
        <v>255</v>
      </c>
      <c r="BB2246" s="5" t="s">
        <v>240</v>
      </c>
      <c r="BD2246" s="5" t="s">
        <v>240</v>
      </c>
      <c r="BF2246" s="5" t="s">
        <v>301</v>
      </c>
      <c r="BG2246" s="6" t="s">
        <v>299</v>
      </c>
      <c r="BH2246" s="5" t="s">
        <v>302</v>
      </c>
      <c r="BI2246" s="5" t="s">
        <v>303</v>
      </c>
      <c r="BJ2246" s="5" t="s">
        <v>240</v>
      </c>
      <c r="BK2246" s="8">
        <f>0</f>
        <v>0</v>
      </c>
      <c r="BL2246" s="7">
        <f>0</f>
        <v>0</v>
      </c>
      <c r="BM2246" s="5" t="s">
        <v>258</v>
      </c>
      <c r="BN2246" s="5" t="s">
        <v>259</v>
      </c>
      <c r="CB2246" s="5" t="s">
        <v>240</v>
      </c>
      <c r="CC2246" s="5" t="s">
        <v>240</v>
      </c>
      <c r="CG2246" s="5" t="s">
        <v>617</v>
      </c>
      <c r="CH2246" s="5" t="s">
        <v>305</v>
      </c>
      <c r="CI2246" s="5" t="s">
        <v>240</v>
      </c>
      <c r="CL2246" s="6" t="s">
        <v>261</v>
      </c>
      <c r="CM2246" s="5" t="s">
        <v>240</v>
      </c>
      <c r="CN2246" s="5" t="s">
        <v>263</v>
      </c>
      <c r="CO2246" s="5" t="s">
        <v>240</v>
      </c>
      <c r="CP2246" s="5" t="s">
        <v>240</v>
      </c>
      <c r="CQ2246" s="5">
        <v>0</v>
      </c>
      <c r="CR2246" s="5" t="s">
        <v>306</v>
      </c>
      <c r="CS2246" s="5" t="s">
        <v>307</v>
      </c>
      <c r="CT2246" s="5" t="s">
        <v>307</v>
      </c>
      <c r="CU2246" s="5" t="s">
        <v>260</v>
      </c>
      <c r="CX2246" s="7">
        <f>9746</f>
        <v>9746</v>
      </c>
      <c r="CY2246" s="7">
        <f>0</f>
        <v>0</v>
      </c>
      <c r="DA2246" s="7">
        <f>0</f>
        <v>0</v>
      </c>
      <c r="DC2246" s="5" t="s">
        <v>854</v>
      </c>
      <c r="DD2246" s="5" t="s">
        <v>240</v>
      </c>
      <c r="DF2246" s="5" t="s">
        <v>450</v>
      </c>
      <c r="DG2246" s="7">
        <f>0</f>
        <v>0</v>
      </c>
      <c r="DI2246" s="5" t="s">
        <v>737</v>
      </c>
      <c r="DJ2246" s="5" t="s">
        <v>240</v>
      </c>
      <c r="DK2246" s="5" t="s">
        <v>240</v>
      </c>
      <c r="DL2246" s="5" t="s">
        <v>240</v>
      </c>
      <c r="DP2246" s="5" t="s">
        <v>240</v>
      </c>
      <c r="DQ2246" s="5" t="s">
        <v>240</v>
      </c>
      <c r="DR2246" s="5" t="s">
        <v>240</v>
      </c>
      <c r="DS2246" s="5" t="s">
        <v>240</v>
      </c>
      <c r="DV2246" s="5" t="s">
        <v>957</v>
      </c>
      <c r="DW2246" s="5" t="s">
        <v>793</v>
      </c>
      <c r="HO2246" s="5" t="s">
        <v>312</v>
      </c>
    </row>
    <row r="2247" spans="1:223" x14ac:dyDescent="0.4">
      <c r="A2247" s="5">
        <v>3951</v>
      </c>
      <c r="B2247" s="5">
        <v>1</v>
      </c>
      <c r="C2247" s="5">
        <v>1</v>
      </c>
      <c r="D2247" s="5" t="s">
        <v>810</v>
      </c>
      <c r="E2247" s="5" t="s">
        <v>245</v>
      </c>
      <c r="F2247" s="5" t="s">
        <v>254</v>
      </c>
      <c r="G2247" s="5" t="s">
        <v>240</v>
      </c>
      <c r="H2247" s="6" t="s">
        <v>4006</v>
      </c>
      <c r="I2247" s="5" t="s">
        <v>809</v>
      </c>
      <c r="J2247" s="8">
        <f>700</f>
        <v>700</v>
      </c>
      <c r="K2247" s="5" t="s">
        <v>308</v>
      </c>
      <c r="L2247" s="7">
        <f>1</f>
        <v>1</v>
      </c>
      <c r="M2247" s="7">
        <f>1</f>
        <v>1</v>
      </c>
      <c r="N2247" s="5" t="s">
        <v>242</v>
      </c>
      <c r="O2247" s="5">
        <v>1</v>
      </c>
      <c r="P2247" s="5" t="s">
        <v>294</v>
      </c>
      <c r="Q2247" s="5" t="s">
        <v>266</v>
      </c>
      <c r="R2247" s="5" t="s">
        <v>240</v>
      </c>
      <c r="S2247" s="5" t="s">
        <v>240</v>
      </c>
      <c r="T2247" s="5" t="s">
        <v>296</v>
      </c>
      <c r="U2247" s="5" t="s">
        <v>244</v>
      </c>
      <c r="V2247" s="5" t="s">
        <v>240</v>
      </c>
      <c r="Y2247" s="5" t="s">
        <v>240</v>
      </c>
      <c r="Z2247" s="6" t="s">
        <v>298</v>
      </c>
      <c r="AB2247" s="6" t="s">
        <v>240</v>
      </c>
      <c r="AE2247" s="6" t="s">
        <v>299</v>
      </c>
      <c r="AF2247" s="5" t="s">
        <v>248</v>
      </c>
      <c r="AG2247" s="5" t="s">
        <v>249</v>
      </c>
      <c r="AW2247" s="5" t="s">
        <v>251</v>
      </c>
      <c r="AX2247" s="5" t="s">
        <v>240</v>
      </c>
      <c r="AY2247" s="5" t="s">
        <v>253</v>
      </c>
      <c r="AZ2247" s="5" t="s">
        <v>240</v>
      </c>
      <c r="BA2247" s="5" t="s">
        <v>255</v>
      </c>
      <c r="BB2247" s="5" t="s">
        <v>240</v>
      </c>
      <c r="BD2247" s="5" t="s">
        <v>240</v>
      </c>
      <c r="BF2247" s="5" t="s">
        <v>301</v>
      </c>
      <c r="BG2247" s="6" t="s">
        <v>299</v>
      </c>
      <c r="BH2247" s="5" t="s">
        <v>302</v>
      </c>
      <c r="BI2247" s="5" t="s">
        <v>303</v>
      </c>
      <c r="BJ2247" s="5" t="s">
        <v>240</v>
      </c>
      <c r="BK2247" s="8">
        <f>0</f>
        <v>0</v>
      </c>
      <c r="BL2247" s="7">
        <f>0</f>
        <v>0</v>
      </c>
      <c r="BM2247" s="5" t="s">
        <v>258</v>
      </c>
      <c r="BN2247" s="5" t="s">
        <v>259</v>
      </c>
      <c r="CB2247" s="5" t="s">
        <v>240</v>
      </c>
      <c r="CC2247" s="5" t="s">
        <v>240</v>
      </c>
      <c r="CG2247" s="5" t="s">
        <v>304</v>
      </c>
      <c r="CH2247" s="5" t="s">
        <v>305</v>
      </c>
      <c r="CI2247" s="5" t="s">
        <v>240</v>
      </c>
      <c r="CL2247" s="6" t="s">
        <v>261</v>
      </c>
      <c r="CM2247" s="5" t="s">
        <v>240</v>
      </c>
      <c r="CN2247" s="5" t="s">
        <v>263</v>
      </c>
      <c r="CO2247" s="5" t="s">
        <v>240</v>
      </c>
      <c r="CP2247" s="5" t="s">
        <v>240</v>
      </c>
      <c r="CQ2247" s="5">
        <v>0</v>
      </c>
      <c r="CR2247" s="5" t="s">
        <v>306</v>
      </c>
      <c r="CS2247" s="5" t="s">
        <v>307</v>
      </c>
      <c r="CT2247" s="5" t="s">
        <v>307</v>
      </c>
      <c r="CU2247" s="5" t="s">
        <v>260</v>
      </c>
      <c r="CX2247" s="7">
        <f>1</f>
        <v>1</v>
      </c>
      <c r="CY2247" s="7">
        <f>0</f>
        <v>0</v>
      </c>
      <c r="DA2247" s="7">
        <f>0</f>
        <v>0</v>
      </c>
      <c r="DC2247" s="5" t="s">
        <v>812</v>
      </c>
      <c r="DD2247" s="5" t="s">
        <v>240</v>
      </c>
      <c r="DF2247" s="5" t="s">
        <v>812</v>
      </c>
      <c r="DG2247" s="7">
        <f>1596</f>
        <v>1596</v>
      </c>
      <c r="DI2247" s="5" t="s">
        <v>240</v>
      </c>
      <c r="DJ2247" s="5" t="s">
        <v>240</v>
      </c>
      <c r="DK2247" s="5" t="s">
        <v>240</v>
      </c>
      <c r="DL2247" s="5" t="s">
        <v>240</v>
      </c>
      <c r="DP2247" s="5" t="s">
        <v>240</v>
      </c>
      <c r="DQ2247" s="5" t="s">
        <v>240</v>
      </c>
      <c r="DR2247" s="5" t="s">
        <v>240</v>
      </c>
      <c r="DS2247" s="5" t="s">
        <v>240</v>
      </c>
      <c r="DV2247" s="5" t="s">
        <v>813</v>
      </c>
      <c r="DW2247" s="5" t="s">
        <v>717</v>
      </c>
      <c r="HO2247" s="5" t="s">
        <v>312</v>
      </c>
    </row>
    <row r="2248" spans="1:223" x14ac:dyDescent="0.4">
      <c r="A2248" s="5">
        <v>3952</v>
      </c>
      <c r="B2248" s="5">
        <v>1</v>
      </c>
      <c r="C2248" s="5">
        <v>1</v>
      </c>
      <c r="D2248" s="5" t="s">
        <v>810</v>
      </c>
      <c r="E2248" s="5" t="s">
        <v>245</v>
      </c>
      <c r="F2248" s="5" t="s">
        <v>254</v>
      </c>
      <c r="G2248" s="5" t="s">
        <v>240</v>
      </c>
      <c r="H2248" s="6" t="s">
        <v>4004</v>
      </c>
      <c r="I2248" s="5" t="s">
        <v>809</v>
      </c>
      <c r="J2248" s="8">
        <f>144</f>
        <v>144</v>
      </c>
      <c r="K2248" s="5" t="s">
        <v>308</v>
      </c>
      <c r="L2248" s="7">
        <f>1</f>
        <v>1</v>
      </c>
      <c r="M2248" s="7">
        <f>1</f>
        <v>1</v>
      </c>
      <c r="N2248" s="5" t="s">
        <v>242</v>
      </c>
      <c r="O2248" s="5">
        <v>1</v>
      </c>
      <c r="P2248" s="5" t="s">
        <v>294</v>
      </c>
      <c r="Q2248" s="5" t="s">
        <v>266</v>
      </c>
      <c r="R2248" s="5" t="s">
        <v>240</v>
      </c>
      <c r="S2248" s="5" t="s">
        <v>240</v>
      </c>
      <c r="T2248" s="5" t="s">
        <v>296</v>
      </c>
      <c r="U2248" s="5" t="s">
        <v>244</v>
      </c>
      <c r="V2248" s="5" t="s">
        <v>240</v>
      </c>
      <c r="Y2248" s="5" t="s">
        <v>240</v>
      </c>
      <c r="Z2248" s="6" t="s">
        <v>298</v>
      </c>
      <c r="AB2248" s="6" t="s">
        <v>240</v>
      </c>
      <c r="AE2248" s="6" t="s">
        <v>299</v>
      </c>
      <c r="AF2248" s="5" t="s">
        <v>248</v>
      </c>
      <c r="AG2248" s="5" t="s">
        <v>249</v>
      </c>
      <c r="AW2248" s="5" t="s">
        <v>251</v>
      </c>
      <c r="AX2248" s="5" t="s">
        <v>240</v>
      </c>
      <c r="AY2248" s="5" t="s">
        <v>253</v>
      </c>
      <c r="AZ2248" s="5" t="s">
        <v>240</v>
      </c>
      <c r="BA2248" s="5" t="s">
        <v>255</v>
      </c>
      <c r="BB2248" s="5" t="s">
        <v>240</v>
      </c>
      <c r="BD2248" s="5" t="s">
        <v>240</v>
      </c>
      <c r="BF2248" s="5" t="s">
        <v>301</v>
      </c>
      <c r="BG2248" s="6" t="s">
        <v>299</v>
      </c>
      <c r="BH2248" s="5" t="s">
        <v>302</v>
      </c>
      <c r="BI2248" s="5" t="s">
        <v>303</v>
      </c>
      <c r="BJ2248" s="5" t="s">
        <v>240</v>
      </c>
      <c r="BK2248" s="8">
        <f>0</f>
        <v>0</v>
      </c>
      <c r="BL2248" s="7">
        <f>0</f>
        <v>0</v>
      </c>
      <c r="BM2248" s="5" t="s">
        <v>258</v>
      </c>
      <c r="BN2248" s="5" t="s">
        <v>259</v>
      </c>
      <c r="CB2248" s="5" t="s">
        <v>240</v>
      </c>
      <c r="CC2248" s="5" t="s">
        <v>240</v>
      </c>
      <c r="CG2248" s="5" t="s">
        <v>304</v>
      </c>
      <c r="CH2248" s="5" t="s">
        <v>305</v>
      </c>
      <c r="CI2248" s="5" t="s">
        <v>240</v>
      </c>
      <c r="CL2248" s="6" t="s">
        <v>261</v>
      </c>
      <c r="CM2248" s="5" t="s">
        <v>240</v>
      </c>
      <c r="CN2248" s="5" t="s">
        <v>263</v>
      </c>
      <c r="CO2248" s="5" t="s">
        <v>240</v>
      </c>
      <c r="CP2248" s="5" t="s">
        <v>240</v>
      </c>
      <c r="CQ2248" s="5">
        <v>0</v>
      </c>
      <c r="CR2248" s="5" t="s">
        <v>306</v>
      </c>
      <c r="CS2248" s="5" t="s">
        <v>307</v>
      </c>
      <c r="CT2248" s="5" t="s">
        <v>307</v>
      </c>
      <c r="CU2248" s="5" t="s">
        <v>260</v>
      </c>
      <c r="CX2248" s="7">
        <f>1</f>
        <v>1</v>
      </c>
      <c r="CY2248" s="7">
        <f>0</f>
        <v>0</v>
      </c>
      <c r="DA2248" s="7">
        <f>0</f>
        <v>0</v>
      </c>
      <c r="DC2248" s="5" t="s">
        <v>812</v>
      </c>
      <c r="DD2248" s="5" t="s">
        <v>240</v>
      </c>
      <c r="DF2248" s="5" t="s">
        <v>812</v>
      </c>
      <c r="DG2248" s="7">
        <f>1029</f>
        <v>1029</v>
      </c>
      <c r="DI2248" s="5" t="s">
        <v>240</v>
      </c>
      <c r="DJ2248" s="5" t="s">
        <v>240</v>
      </c>
      <c r="DK2248" s="5" t="s">
        <v>240</v>
      </c>
      <c r="DL2248" s="5" t="s">
        <v>240</v>
      </c>
      <c r="DP2248" s="5" t="s">
        <v>240</v>
      </c>
      <c r="DQ2248" s="5" t="s">
        <v>240</v>
      </c>
      <c r="DR2248" s="5" t="s">
        <v>240</v>
      </c>
      <c r="DS2248" s="5" t="s">
        <v>240</v>
      </c>
      <c r="DV2248" s="5" t="s">
        <v>813</v>
      </c>
      <c r="DW2248" s="5" t="s">
        <v>719</v>
      </c>
      <c r="HO2248" s="5" t="s">
        <v>312</v>
      </c>
    </row>
    <row r="2249" spans="1:223" x14ac:dyDescent="0.4">
      <c r="A2249" s="5">
        <v>3953</v>
      </c>
      <c r="B2249" s="5">
        <v>1</v>
      </c>
      <c r="C2249" s="5">
        <v>1</v>
      </c>
      <c r="D2249" s="5" t="s">
        <v>810</v>
      </c>
      <c r="E2249" s="5" t="s">
        <v>245</v>
      </c>
      <c r="F2249" s="5" t="s">
        <v>254</v>
      </c>
      <c r="G2249" s="5" t="s">
        <v>240</v>
      </c>
      <c r="H2249" s="6" t="s">
        <v>4002</v>
      </c>
      <c r="I2249" s="5" t="s">
        <v>809</v>
      </c>
      <c r="J2249" s="8">
        <f>3795</f>
        <v>3795</v>
      </c>
      <c r="K2249" s="5" t="s">
        <v>308</v>
      </c>
      <c r="L2249" s="7">
        <f>1</f>
        <v>1</v>
      </c>
      <c r="M2249" s="7">
        <f>1</f>
        <v>1</v>
      </c>
      <c r="N2249" s="5" t="s">
        <v>242</v>
      </c>
      <c r="O2249" s="5">
        <v>1</v>
      </c>
      <c r="P2249" s="5" t="s">
        <v>294</v>
      </c>
      <c r="Q2249" s="5" t="s">
        <v>266</v>
      </c>
      <c r="R2249" s="5" t="s">
        <v>240</v>
      </c>
      <c r="S2249" s="5" t="s">
        <v>240</v>
      </c>
      <c r="T2249" s="5" t="s">
        <v>296</v>
      </c>
      <c r="U2249" s="5" t="s">
        <v>244</v>
      </c>
      <c r="V2249" s="5" t="s">
        <v>240</v>
      </c>
      <c r="Y2249" s="5" t="s">
        <v>240</v>
      </c>
      <c r="Z2249" s="6" t="s">
        <v>298</v>
      </c>
      <c r="AB2249" s="6" t="s">
        <v>240</v>
      </c>
      <c r="AE2249" s="6" t="s">
        <v>299</v>
      </c>
      <c r="AF2249" s="5" t="s">
        <v>248</v>
      </c>
      <c r="AG2249" s="5" t="s">
        <v>249</v>
      </c>
      <c r="AW2249" s="5" t="s">
        <v>251</v>
      </c>
      <c r="AX2249" s="5" t="s">
        <v>240</v>
      </c>
      <c r="AY2249" s="5" t="s">
        <v>253</v>
      </c>
      <c r="AZ2249" s="5" t="s">
        <v>240</v>
      </c>
      <c r="BA2249" s="5" t="s">
        <v>255</v>
      </c>
      <c r="BB2249" s="5" t="s">
        <v>240</v>
      </c>
      <c r="BD2249" s="5" t="s">
        <v>240</v>
      </c>
      <c r="BF2249" s="5" t="s">
        <v>301</v>
      </c>
      <c r="BG2249" s="6" t="s">
        <v>299</v>
      </c>
      <c r="BH2249" s="5" t="s">
        <v>302</v>
      </c>
      <c r="BI2249" s="5" t="s">
        <v>303</v>
      </c>
      <c r="BJ2249" s="5" t="s">
        <v>240</v>
      </c>
      <c r="BK2249" s="8">
        <f>0</f>
        <v>0</v>
      </c>
      <c r="BL2249" s="7">
        <f>0</f>
        <v>0</v>
      </c>
      <c r="BM2249" s="5" t="s">
        <v>258</v>
      </c>
      <c r="BN2249" s="5" t="s">
        <v>259</v>
      </c>
      <c r="CB2249" s="5" t="s">
        <v>240</v>
      </c>
      <c r="CC2249" s="5" t="s">
        <v>240</v>
      </c>
      <c r="CG2249" s="5" t="s">
        <v>304</v>
      </c>
      <c r="CH2249" s="5" t="s">
        <v>305</v>
      </c>
      <c r="CI2249" s="5" t="s">
        <v>240</v>
      </c>
      <c r="CL2249" s="6" t="s">
        <v>261</v>
      </c>
      <c r="CM2249" s="5" t="s">
        <v>240</v>
      </c>
      <c r="CN2249" s="5" t="s">
        <v>263</v>
      </c>
      <c r="CO2249" s="5" t="s">
        <v>240</v>
      </c>
      <c r="CP2249" s="5" t="s">
        <v>240</v>
      </c>
      <c r="CQ2249" s="5">
        <v>0</v>
      </c>
      <c r="CR2249" s="5" t="s">
        <v>306</v>
      </c>
      <c r="CS2249" s="5" t="s">
        <v>307</v>
      </c>
      <c r="CT2249" s="5" t="s">
        <v>307</v>
      </c>
      <c r="CU2249" s="5" t="s">
        <v>260</v>
      </c>
      <c r="CX2249" s="7">
        <f>1</f>
        <v>1</v>
      </c>
      <c r="CY2249" s="7">
        <f>0</f>
        <v>0</v>
      </c>
      <c r="DA2249" s="7">
        <f>0</f>
        <v>0</v>
      </c>
      <c r="DC2249" s="5" t="s">
        <v>812</v>
      </c>
      <c r="DD2249" s="5" t="s">
        <v>240</v>
      </c>
      <c r="DF2249" s="5" t="s">
        <v>812</v>
      </c>
      <c r="DG2249" s="7">
        <f>5674</f>
        <v>5674</v>
      </c>
      <c r="DI2249" s="5" t="s">
        <v>240</v>
      </c>
      <c r="DJ2249" s="5" t="s">
        <v>240</v>
      </c>
      <c r="DK2249" s="5" t="s">
        <v>240</v>
      </c>
      <c r="DL2249" s="5" t="s">
        <v>240</v>
      </c>
      <c r="DP2249" s="5" t="s">
        <v>240</v>
      </c>
      <c r="DQ2249" s="5" t="s">
        <v>240</v>
      </c>
      <c r="DR2249" s="5" t="s">
        <v>240</v>
      </c>
      <c r="DS2249" s="5" t="s">
        <v>240</v>
      </c>
      <c r="DV2249" s="5" t="s">
        <v>813</v>
      </c>
      <c r="DW2249" s="5" t="s">
        <v>721</v>
      </c>
      <c r="HO2249" s="5" t="s">
        <v>312</v>
      </c>
    </row>
    <row r="2250" spans="1:223" x14ac:dyDescent="0.4">
      <c r="A2250" s="5">
        <v>3954</v>
      </c>
      <c r="B2250" s="5">
        <v>1</v>
      </c>
      <c r="C2250" s="5">
        <v>1</v>
      </c>
      <c r="D2250" s="5" t="s">
        <v>810</v>
      </c>
      <c r="E2250" s="5" t="s">
        <v>245</v>
      </c>
      <c r="F2250" s="5" t="s">
        <v>254</v>
      </c>
      <c r="G2250" s="5" t="s">
        <v>240</v>
      </c>
      <c r="H2250" s="6" t="s">
        <v>4000</v>
      </c>
      <c r="I2250" s="5" t="s">
        <v>809</v>
      </c>
      <c r="J2250" s="8">
        <f>32</f>
        <v>32</v>
      </c>
      <c r="K2250" s="5" t="s">
        <v>308</v>
      </c>
      <c r="L2250" s="7">
        <f>1</f>
        <v>1</v>
      </c>
      <c r="M2250" s="7">
        <f>1</f>
        <v>1</v>
      </c>
      <c r="N2250" s="5" t="s">
        <v>242</v>
      </c>
      <c r="O2250" s="5">
        <v>1</v>
      </c>
      <c r="P2250" s="5" t="s">
        <v>294</v>
      </c>
      <c r="Q2250" s="5" t="s">
        <v>266</v>
      </c>
      <c r="R2250" s="5" t="s">
        <v>240</v>
      </c>
      <c r="S2250" s="5" t="s">
        <v>240</v>
      </c>
      <c r="T2250" s="5" t="s">
        <v>296</v>
      </c>
      <c r="U2250" s="5" t="s">
        <v>244</v>
      </c>
      <c r="V2250" s="5" t="s">
        <v>240</v>
      </c>
      <c r="Y2250" s="5" t="s">
        <v>240</v>
      </c>
      <c r="Z2250" s="6" t="s">
        <v>298</v>
      </c>
      <c r="AB2250" s="6" t="s">
        <v>240</v>
      </c>
      <c r="AE2250" s="6" t="s">
        <v>299</v>
      </c>
      <c r="AF2250" s="5" t="s">
        <v>248</v>
      </c>
      <c r="AG2250" s="5" t="s">
        <v>249</v>
      </c>
      <c r="AW2250" s="5" t="s">
        <v>251</v>
      </c>
      <c r="AX2250" s="5" t="s">
        <v>240</v>
      </c>
      <c r="AY2250" s="5" t="s">
        <v>253</v>
      </c>
      <c r="AZ2250" s="5" t="s">
        <v>240</v>
      </c>
      <c r="BA2250" s="5" t="s">
        <v>255</v>
      </c>
      <c r="BB2250" s="5" t="s">
        <v>240</v>
      </c>
      <c r="BD2250" s="5" t="s">
        <v>240</v>
      </c>
      <c r="BF2250" s="5" t="s">
        <v>301</v>
      </c>
      <c r="BG2250" s="6" t="s">
        <v>299</v>
      </c>
      <c r="BH2250" s="5" t="s">
        <v>302</v>
      </c>
      <c r="BI2250" s="5" t="s">
        <v>303</v>
      </c>
      <c r="BJ2250" s="5" t="s">
        <v>240</v>
      </c>
      <c r="BK2250" s="8">
        <f>0</f>
        <v>0</v>
      </c>
      <c r="BL2250" s="7">
        <f>0</f>
        <v>0</v>
      </c>
      <c r="BM2250" s="5" t="s">
        <v>258</v>
      </c>
      <c r="BN2250" s="5" t="s">
        <v>259</v>
      </c>
      <c r="CB2250" s="5" t="s">
        <v>240</v>
      </c>
      <c r="CC2250" s="5" t="s">
        <v>240</v>
      </c>
      <c r="CG2250" s="5" t="s">
        <v>304</v>
      </c>
      <c r="CH2250" s="5" t="s">
        <v>305</v>
      </c>
      <c r="CI2250" s="5" t="s">
        <v>240</v>
      </c>
      <c r="CL2250" s="6" t="s">
        <v>261</v>
      </c>
      <c r="CM2250" s="5" t="s">
        <v>240</v>
      </c>
      <c r="CN2250" s="5" t="s">
        <v>263</v>
      </c>
      <c r="CO2250" s="5" t="s">
        <v>240</v>
      </c>
      <c r="CP2250" s="5" t="s">
        <v>240</v>
      </c>
      <c r="CQ2250" s="5">
        <v>0</v>
      </c>
      <c r="CR2250" s="5" t="s">
        <v>306</v>
      </c>
      <c r="CS2250" s="5" t="s">
        <v>307</v>
      </c>
      <c r="CT2250" s="5" t="s">
        <v>307</v>
      </c>
      <c r="CU2250" s="5" t="s">
        <v>260</v>
      </c>
      <c r="CX2250" s="7">
        <f>1</f>
        <v>1</v>
      </c>
      <c r="CY2250" s="7">
        <f>0</f>
        <v>0</v>
      </c>
      <c r="DA2250" s="7">
        <f>0</f>
        <v>0</v>
      </c>
      <c r="DC2250" s="5" t="s">
        <v>812</v>
      </c>
      <c r="DD2250" s="5" t="s">
        <v>240</v>
      </c>
      <c r="DF2250" s="5" t="s">
        <v>812</v>
      </c>
      <c r="DG2250" s="7">
        <f>2096</f>
        <v>2096</v>
      </c>
      <c r="DI2250" s="5" t="s">
        <v>240</v>
      </c>
      <c r="DJ2250" s="5" t="s">
        <v>240</v>
      </c>
      <c r="DK2250" s="5" t="s">
        <v>240</v>
      </c>
      <c r="DL2250" s="5" t="s">
        <v>240</v>
      </c>
      <c r="DP2250" s="5" t="s">
        <v>240</v>
      </c>
      <c r="DQ2250" s="5" t="s">
        <v>240</v>
      </c>
      <c r="DR2250" s="5" t="s">
        <v>240</v>
      </c>
      <c r="DS2250" s="5" t="s">
        <v>240</v>
      </c>
      <c r="DV2250" s="5" t="s">
        <v>813</v>
      </c>
      <c r="DW2250" s="5" t="s">
        <v>1364</v>
      </c>
      <c r="HO2250" s="5" t="s">
        <v>312</v>
      </c>
    </row>
    <row r="2251" spans="1:223" x14ac:dyDescent="0.4">
      <c r="A2251" s="5">
        <v>3955</v>
      </c>
      <c r="B2251" s="5">
        <v>1</v>
      </c>
      <c r="C2251" s="5">
        <v>1</v>
      </c>
      <c r="D2251" s="5" t="s">
        <v>810</v>
      </c>
      <c r="E2251" s="5" t="s">
        <v>245</v>
      </c>
      <c r="F2251" s="5" t="s">
        <v>254</v>
      </c>
      <c r="G2251" s="5" t="s">
        <v>240</v>
      </c>
      <c r="H2251" s="6" t="s">
        <v>3998</v>
      </c>
      <c r="I2251" s="5" t="s">
        <v>809</v>
      </c>
      <c r="J2251" s="8">
        <f>597</f>
        <v>597</v>
      </c>
      <c r="K2251" s="5" t="s">
        <v>308</v>
      </c>
      <c r="L2251" s="7">
        <f>1</f>
        <v>1</v>
      </c>
      <c r="M2251" s="7">
        <f>1</f>
        <v>1</v>
      </c>
      <c r="N2251" s="5" t="s">
        <v>242</v>
      </c>
      <c r="O2251" s="5">
        <v>1</v>
      </c>
      <c r="P2251" s="5" t="s">
        <v>294</v>
      </c>
      <c r="Q2251" s="5" t="s">
        <v>266</v>
      </c>
      <c r="R2251" s="5" t="s">
        <v>240</v>
      </c>
      <c r="S2251" s="5" t="s">
        <v>240</v>
      </c>
      <c r="T2251" s="5" t="s">
        <v>296</v>
      </c>
      <c r="U2251" s="5" t="s">
        <v>244</v>
      </c>
      <c r="V2251" s="5" t="s">
        <v>240</v>
      </c>
      <c r="Y2251" s="5" t="s">
        <v>240</v>
      </c>
      <c r="Z2251" s="6" t="s">
        <v>298</v>
      </c>
      <c r="AB2251" s="6" t="s">
        <v>240</v>
      </c>
      <c r="AE2251" s="6" t="s">
        <v>299</v>
      </c>
      <c r="AF2251" s="5" t="s">
        <v>248</v>
      </c>
      <c r="AG2251" s="5" t="s">
        <v>249</v>
      </c>
      <c r="AW2251" s="5" t="s">
        <v>251</v>
      </c>
      <c r="AX2251" s="5" t="s">
        <v>240</v>
      </c>
      <c r="AY2251" s="5" t="s">
        <v>253</v>
      </c>
      <c r="AZ2251" s="5" t="s">
        <v>240</v>
      </c>
      <c r="BA2251" s="5" t="s">
        <v>255</v>
      </c>
      <c r="BB2251" s="5" t="s">
        <v>240</v>
      </c>
      <c r="BD2251" s="5" t="s">
        <v>240</v>
      </c>
      <c r="BF2251" s="5" t="s">
        <v>301</v>
      </c>
      <c r="BG2251" s="6" t="s">
        <v>299</v>
      </c>
      <c r="BH2251" s="5" t="s">
        <v>302</v>
      </c>
      <c r="BI2251" s="5" t="s">
        <v>303</v>
      </c>
      <c r="BJ2251" s="5" t="s">
        <v>240</v>
      </c>
      <c r="BK2251" s="8">
        <f>0</f>
        <v>0</v>
      </c>
      <c r="BL2251" s="7">
        <f>0</f>
        <v>0</v>
      </c>
      <c r="BM2251" s="5" t="s">
        <v>258</v>
      </c>
      <c r="BN2251" s="5" t="s">
        <v>259</v>
      </c>
      <c r="CB2251" s="5" t="s">
        <v>240</v>
      </c>
      <c r="CC2251" s="5" t="s">
        <v>240</v>
      </c>
      <c r="CG2251" s="5" t="s">
        <v>304</v>
      </c>
      <c r="CH2251" s="5" t="s">
        <v>305</v>
      </c>
      <c r="CI2251" s="5" t="s">
        <v>240</v>
      </c>
      <c r="CL2251" s="6" t="s">
        <v>261</v>
      </c>
      <c r="CM2251" s="5" t="s">
        <v>240</v>
      </c>
      <c r="CN2251" s="5" t="s">
        <v>263</v>
      </c>
      <c r="CO2251" s="5" t="s">
        <v>240</v>
      </c>
      <c r="CP2251" s="5" t="s">
        <v>240</v>
      </c>
      <c r="CQ2251" s="5">
        <v>0</v>
      </c>
      <c r="CR2251" s="5" t="s">
        <v>306</v>
      </c>
      <c r="CS2251" s="5" t="s">
        <v>307</v>
      </c>
      <c r="CT2251" s="5" t="s">
        <v>307</v>
      </c>
      <c r="CU2251" s="5" t="s">
        <v>260</v>
      </c>
      <c r="CX2251" s="7">
        <f>1</f>
        <v>1</v>
      </c>
      <c r="CY2251" s="7">
        <f>0</f>
        <v>0</v>
      </c>
      <c r="DA2251" s="7">
        <f>0</f>
        <v>0</v>
      </c>
      <c r="DC2251" s="5" t="s">
        <v>812</v>
      </c>
      <c r="DD2251" s="5" t="s">
        <v>240</v>
      </c>
      <c r="DF2251" s="5" t="s">
        <v>812</v>
      </c>
      <c r="DG2251" s="7">
        <f>3001</f>
        <v>3001</v>
      </c>
      <c r="DI2251" s="5" t="s">
        <v>240</v>
      </c>
      <c r="DJ2251" s="5" t="s">
        <v>240</v>
      </c>
      <c r="DK2251" s="5" t="s">
        <v>240</v>
      </c>
      <c r="DL2251" s="5" t="s">
        <v>240</v>
      </c>
      <c r="DP2251" s="5" t="s">
        <v>240</v>
      </c>
      <c r="DQ2251" s="5" t="s">
        <v>240</v>
      </c>
      <c r="DR2251" s="5" t="s">
        <v>240</v>
      </c>
      <c r="DS2251" s="5" t="s">
        <v>240</v>
      </c>
      <c r="DV2251" s="5" t="s">
        <v>813</v>
      </c>
      <c r="DW2251" s="5" t="s">
        <v>740</v>
      </c>
      <c r="HO2251" s="5" t="s">
        <v>312</v>
      </c>
    </row>
    <row r="2252" spans="1:223" x14ac:dyDescent="0.4">
      <c r="A2252" s="5">
        <v>3956</v>
      </c>
      <c r="B2252" s="5">
        <v>1</v>
      </c>
      <c r="C2252" s="5">
        <v>1</v>
      </c>
      <c r="D2252" s="5" t="s">
        <v>810</v>
      </c>
      <c r="E2252" s="5" t="s">
        <v>245</v>
      </c>
      <c r="F2252" s="5" t="s">
        <v>254</v>
      </c>
      <c r="G2252" s="5" t="s">
        <v>240</v>
      </c>
      <c r="H2252" s="6" t="s">
        <v>3996</v>
      </c>
      <c r="I2252" s="5" t="s">
        <v>809</v>
      </c>
      <c r="J2252" s="8">
        <f>468</f>
        <v>468</v>
      </c>
      <c r="K2252" s="5" t="s">
        <v>308</v>
      </c>
      <c r="L2252" s="7">
        <f>1</f>
        <v>1</v>
      </c>
      <c r="M2252" s="7">
        <f>1</f>
        <v>1</v>
      </c>
      <c r="N2252" s="5" t="s">
        <v>242</v>
      </c>
      <c r="O2252" s="5">
        <v>1</v>
      </c>
      <c r="P2252" s="5" t="s">
        <v>294</v>
      </c>
      <c r="Q2252" s="5" t="s">
        <v>266</v>
      </c>
      <c r="R2252" s="5" t="s">
        <v>240</v>
      </c>
      <c r="S2252" s="5" t="s">
        <v>240</v>
      </c>
      <c r="T2252" s="5" t="s">
        <v>296</v>
      </c>
      <c r="U2252" s="5" t="s">
        <v>244</v>
      </c>
      <c r="V2252" s="5" t="s">
        <v>240</v>
      </c>
      <c r="Y2252" s="5" t="s">
        <v>240</v>
      </c>
      <c r="Z2252" s="6" t="s">
        <v>298</v>
      </c>
      <c r="AB2252" s="6" t="s">
        <v>240</v>
      </c>
      <c r="AE2252" s="6" t="s">
        <v>299</v>
      </c>
      <c r="AF2252" s="5" t="s">
        <v>248</v>
      </c>
      <c r="AG2252" s="5" t="s">
        <v>249</v>
      </c>
      <c r="AW2252" s="5" t="s">
        <v>251</v>
      </c>
      <c r="AX2252" s="5" t="s">
        <v>240</v>
      </c>
      <c r="AY2252" s="5" t="s">
        <v>253</v>
      </c>
      <c r="AZ2252" s="5" t="s">
        <v>240</v>
      </c>
      <c r="BA2252" s="5" t="s">
        <v>255</v>
      </c>
      <c r="BB2252" s="5" t="s">
        <v>240</v>
      </c>
      <c r="BD2252" s="5" t="s">
        <v>240</v>
      </c>
      <c r="BF2252" s="5" t="s">
        <v>301</v>
      </c>
      <c r="BG2252" s="6" t="s">
        <v>299</v>
      </c>
      <c r="BH2252" s="5" t="s">
        <v>302</v>
      </c>
      <c r="BI2252" s="5" t="s">
        <v>303</v>
      </c>
      <c r="BJ2252" s="5" t="s">
        <v>240</v>
      </c>
      <c r="BK2252" s="8">
        <f>0</f>
        <v>0</v>
      </c>
      <c r="BL2252" s="7">
        <f>0</f>
        <v>0</v>
      </c>
      <c r="BM2252" s="5" t="s">
        <v>258</v>
      </c>
      <c r="BN2252" s="5" t="s">
        <v>259</v>
      </c>
      <c r="CB2252" s="5" t="s">
        <v>240</v>
      </c>
      <c r="CC2252" s="5" t="s">
        <v>240</v>
      </c>
      <c r="CG2252" s="5" t="s">
        <v>304</v>
      </c>
      <c r="CH2252" s="5" t="s">
        <v>305</v>
      </c>
      <c r="CI2252" s="5" t="s">
        <v>240</v>
      </c>
      <c r="CL2252" s="6" t="s">
        <v>261</v>
      </c>
      <c r="CM2252" s="5" t="s">
        <v>240</v>
      </c>
      <c r="CN2252" s="5" t="s">
        <v>263</v>
      </c>
      <c r="CO2252" s="5" t="s">
        <v>240</v>
      </c>
      <c r="CP2252" s="5" t="s">
        <v>240</v>
      </c>
      <c r="CQ2252" s="5">
        <v>0</v>
      </c>
      <c r="CR2252" s="5" t="s">
        <v>306</v>
      </c>
      <c r="CS2252" s="5" t="s">
        <v>307</v>
      </c>
      <c r="CT2252" s="5" t="s">
        <v>307</v>
      </c>
      <c r="CU2252" s="5" t="s">
        <v>260</v>
      </c>
      <c r="CX2252" s="7">
        <f>1</f>
        <v>1</v>
      </c>
      <c r="CY2252" s="7">
        <f>0</f>
        <v>0</v>
      </c>
      <c r="DA2252" s="7">
        <f>0</f>
        <v>0</v>
      </c>
      <c r="DC2252" s="5" t="s">
        <v>812</v>
      </c>
      <c r="DD2252" s="5" t="s">
        <v>240</v>
      </c>
      <c r="DF2252" s="5" t="s">
        <v>812</v>
      </c>
      <c r="DG2252" s="7">
        <f>487</f>
        <v>487</v>
      </c>
      <c r="DI2252" s="5" t="s">
        <v>240</v>
      </c>
      <c r="DJ2252" s="5" t="s">
        <v>240</v>
      </c>
      <c r="DK2252" s="5" t="s">
        <v>240</v>
      </c>
      <c r="DL2252" s="5" t="s">
        <v>240</v>
      </c>
      <c r="DP2252" s="5" t="s">
        <v>240</v>
      </c>
      <c r="DQ2252" s="5" t="s">
        <v>240</v>
      </c>
      <c r="DR2252" s="5" t="s">
        <v>240</v>
      </c>
      <c r="DS2252" s="5" t="s">
        <v>240</v>
      </c>
      <c r="DV2252" s="5" t="s">
        <v>813</v>
      </c>
      <c r="DW2252" s="5" t="s">
        <v>742</v>
      </c>
      <c r="HO2252" s="5" t="s">
        <v>312</v>
      </c>
    </row>
    <row r="2253" spans="1:223" x14ac:dyDescent="0.4">
      <c r="A2253" s="5">
        <v>3957</v>
      </c>
      <c r="B2253" s="5">
        <v>1</v>
      </c>
      <c r="C2253" s="5">
        <v>1</v>
      </c>
      <c r="D2253" s="5" t="s">
        <v>810</v>
      </c>
      <c r="E2253" s="5" t="s">
        <v>245</v>
      </c>
      <c r="F2253" s="5" t="s">
        <v>254</v>
      </c>
      <c r="G2253" s="5" t="s">
        <v>240</v>
      </c>
      <c r="H2253" s="6" t="s">
        <v>3994</v>
      </c>
      <c r="I2253" s="5" t="s">
        <v>809</v>
      </c>
      <c r="J2253" s="8">
        <f>747</f>
        <v>747</v>
      </c>
      <c r="K2253" s="5" t="s">
        <v>308</v>
      </c>
      <c r="L2253" s="7">
        <f>1</f>
        <v>1</v>
      </c>
      <c r="M2253" s="7">
        <f>1</f>
        <v>1</v>
      </c>
      <c r="N2253" s="5" t="s">
        <v>242</v>
      </c>
      <c r="O2253" s="5">
        <v>1</v>
      </c>
      <c r="P2253" s="5" t="s">
        <v>294</v>
      </c>
      <c r="Q2253" s="5" t="s">
        <v>266</v>
      </c>
      <c r="R2253" s="5" t="s">
        <v>240</v>
      </c>
      <c r="S2253" s="5" t="s">
        <v>240</v>
      </c>
      <c r="T2253" s="5" t="s">
        <v>296</v>
      </c>
      <c r="U2253" s="5" t="s">
        <v>244</v>
      </c>
      <c r="V2253" s="5" t="s">
        <v>240</v>
      </c>
      <c r="Y2253" s="5" t="s">
        <v>240</v>
      </c>
      <c r="Z2253" s="6" t="s">
        <v>298</v>
      </c>
      <c r="AB2253" s="6" t="s">
        <v>240</v>
      </c>
      <c r="AE2253" s="6" t="s">
        <v>299</v>
      </c>
      <c r="AF2253" s="5" t="s">
        <v>248</v>
      </c>
      <c r="AG2253" s="5" t="s">
        <v>249</v>
      </c>
      <c r="AW2253" s="5" t="s">
        <v>251</v>
      </c>
      <c r="AX2253" s="5" t="s">
        <v>240</v>
      </c>
      <c r="AY2253" s="5" t="s">
        <v>253</v>
      </c>
      <c r="AZ2253" s="5" t="s">
        <v>240</v>
      </c>
      <c r="BA2253" s="5" t="s">
        <v>255</v>
      </c>
      <c r="BB2253" s="5" t="s">
        <v>240</v>
      </c>
      <c r="BD2253" s="5" t="s">
        <v>240</v>
      </c>
      <c r="BF2253" s="5" t="s">
        <v>301</v>
      </c>
      <c r="BG2253" s="6" t="s">
        <v>299</v>
      </c>
      <c r="BH2253" s="5" t="s">
        <v>302</v>
      </c>
      <c r="BI2253" s="5" t="s">
        <v>303</v>
      </c>
      <c r="BJ2253" s="5" t="s">
        <v>240</v>
      </c>
      <c r="BK2253" s="8">
        <f>0</f>
        <v>0</v>
      </c>
      <c r="BL2253" s="7">
        <f>0</f>
        <v>0</v>
      </c>
      <c r="BM2253" s="5" t="s">
        <v>258</v>
      </c>
      <c r="BN2253" s="5" t="s">
        <v>259</v>
      </c>
      <c r="CB2253" s="5" t="s">
        <v>240</v>
      </c>
      <c r="CC2253" s="5" t="s">
        <v>240</v>
      </c>
      <c r="CG2253" s="5" t="s">
        <v>304</v>
      </c>
      <c r="CH2253" s="5" t="s">
        <v>305</v>
      </c>
      <c r="CI2253" s="5" t="s">
        <v>240</v>
      </c>
      <c r="CL2253" s="6" t="s">
        <v>261</v>
      </c>
      <c r="CM2253" s="5" t="s">
        <v>240</v>
      </c>
      <c r="CN2253" s="5" t="s">
        <v>263</v>
      </c>
      <c r="CO2253" s="5" t="s">
        <v>240</v>
      </c>
      <c r="CP2253" s="5" t="s">
        <v>240</v>
      </c>
      <c r="CQ2253" s="5">
        <v>0</v>
      </c>
      <c r="CR2253" s="5" t="s">
        <v>306</v>
      </c>
      <c r="CS2253" s="5" t="s">
        <v>307</v>
      </c>
      <c r="CT2253" s="5" t="s">
        <v>307</v>
      </c>
      <c r="CU2253" s="5" t="s">
        <v>260</v>
      </c>
      <c r="CX2253" s="7">
        <f>1</f>
        <v>1</v>
      </c>
      <c r="CY2253" s="7">
        <f>0</f>
        <v>0</v>
      </c>
      <c r="DA2253" s="7">
        <f>0</f>
        <v>0</v>
      </c>
      <c r="DC2253" s="5" t="s">
        <v>812</v>
      </c>
      <c r="DD2253" s="5" t="s">
        <v>240</v>
      </c>
      <c r="DF2253" s="5" t="s">
        <v>812</v>
      </c>
      <c r="DG2253" s="7">
        <f>7104</f>
        <v>7104</v>
      </c>
      <c r="DI2253" s="5" t="s">
        <v>240</v>
      </c>
      <c r="DJ2253" s="5" t="s">
        <v>240</v>
      </c>
      <c r="DK2253" s="5" t="s">
        <v>240</v>
      </c>
      <c r="DL2253" s="5" t="s">
        <v>240</v>
      </c>
      <c r="DP2253" s="5" t="s">
        <v>240</v>
      </c>
      <c r="DQ2253" s="5" t="s">
        <v>240</v>
      </c>
      <c r="DR2253" s="5" t="s">
        <v>240</v>
      </c>
      <c r="DS2253" s="5" t="s">
        <v>240</v>
      </c>
      <c r="DV2253" s="5" t="s">
        <v>813</v>
      </c>
      <c r="DW2253" s="5" t="s">
        <v>744</v>
      </c>
      <c r="HO2253" s="5" t="s">
        <v>312</v>
      </c>
    </row>
    <row r="2254" spans="1:223" x14ac:dyDescent="0.4">
      <c r="A2254" s="5">
        <v>3958</v>
      </c>
      <c r="B2254" s="5">
        <v>1</v>
      </c>
      <c r="C2254" s="5">
        <v>1</v>
      </c>
      <c r="D2254" s="5" t="s">
        <v>810</v>
      </c>
      <c r="E2254" s="5" t="s">
        <v>245</v>
      </c>
      <c r="F2254" s="5" t="s">
        <v>254</v>
      </c>
      <c r="G2254" s="5" t="s">
        <v>240</v>
      </c>
      <c r="H2254" s="6" t="s">
        <v>3992</v>
      </c>
      <c r="I2254" s="5" t="s">
        <v>809</v>
      </c>
      <c r="J2254" s="8">
        <f>330</f>
        <v>330</v>
      </c>
      <c r="K2254" s="5" t="s">
        <v>308</v>
      </c>
      <c r="L2254" s="7">
        <f>1</f>
        <v>1</v>
      </c>
      <c r="M2254" s="7">
        <f>1</f>
        <v>1</v>
      </c>
      <c r="N2254" s="5" t="s">
        <v>242</v>
      </c>
      <c r="O2254" s="5">
        <v>1</v>
      </c>
      <c r="P2254" s="5" t="s">
        <v>294</v>
      </c>
      <c r="Q2254" s="5" t="s">
        <v>266</v>
      </c>
      <c r="R2254" s="5" t="s">
        <v>240</v>
      </c>
      <c r="S2254" s="5" t="s">
        <v>240</v>
      </c>
      <c r="T2254" s="5" t="s">
        <v>296</v>
      </c>
      <c r="U2254" s="5" t="s">
        <v>244</v>
      </c>
      <c r="V2254" s="5" t="s">
        <v>240</v>
      </c>
      <c r="Y2254" s="5" t="s">
        <v>240</v>
      </c>
      <c r="Z2254" s="6" t="s">
        <v>298</v>
      </c>
      <c r="AB2254" s="6" t="s">
        <v>240</v>
      </c>
      <c r="AE2254" s="6" t="s">
        <v>299</v>
      </c>
      <c r="AF2254" s="5" t="s">
        <v>248</v>
      </c>
      <c r="AG2254" s="5" t="s">
        <v>249</v>
      </c>
      <c r="AW2254" s="5" t="s">
        <v>251</v>
      </c>
      <c r="AX2254" s="5" t="s">
        <v>240</v>
      </c>
      <c r="AY2254" s="5" t="s">
        <v>253</v>
      </c>
      <c r="AZ2254" s="5" t="s">
        <v>240</v>
      </c>
      <c r="BA2254" s="5" t="s">
        <v>255</v>
      </c>
      <c r="BB2254" s="5" t="s">
        <v>240</v>
      </c>
      <c r="BD2254" s="5" t="s">
        <v>240</v>
      </c>
      <c r="BF2254" s="5" t="s">
        <v>301</v>
      </c>
      <c r="BG2254" s="6" t="s">
        <v>299</v>
      </c>
      <c r="BH2254" s="5" t="s">
        <v>302</v>
      </c>
      <c r="BI2254" s="5" t="s">
        <v>303</v>
      </c>
      <c r="BJ2254" s="5" t="s">
        <v>240</v>
      </c>
      <c r="BK2254" s="8">
        <f>0</f>
        <v>0</v>
      </c>
      <c r="BL2254" s="7">
        <f>0</f>
        <v>0</v>
      </c>
      <c r="BM2254" s="5" t="s">
        <v>258</v>
      </c>
      <c r="BN2254" s="5" t="s">
        <v>259</v>
      </c>
      <c r="CB2254" s="5" t="s">
        <v>240</v>
      </c>
      <c r="CC2254" s="5" t="s">
        <v>240</v>
      </c>
      <c r="CG2254" s="5" t="s">
        <v>304</v>
      </c>
      <c r="CH2254" s="5" t="s">
        <v>305</v>
      </c>
      <c r="CI2254" s="5" t="s">
        <v>240</v>
      </c>
      <c r="CL2254" s="6" t="s">
        <v>261</v>
      </c>
      <c r="CM2254" s="5" t="s">
        <v>240</v>
      </c>
      <c r="CN2254" s="5" t="s">
        <v>263</v>
      </c>
      <c r="CO2254" s="5" t="s">
        <v>240</v>
      </c>
      <c r="CP2254" s="5" t="s">
        <v>240</v>
      </c>
      <c r="CQ2254" s="5">
        <v>0</v>
      </c>
      <c r="CR2254" s="5" t="s">
        <v>306</v>
      </c>
      <c r="CS2254" s="5" t="s">
        <v>307</v>
      </c>
      <c r="CT2254" s="5" t="s">
        <v>307</v>
      </c>
      <c r="CU2254" s="5" t="s">
        <v>260</v>
      </c>
      <c r="CX2254" s="7">
        <f>1</f>
        <v>1</v>
      </c>
      <c r="CY2254" s="7">
        <f>0</f>
        <v>0</v>
      </c>
      <c r="DA2254" s="7">
        <f>0</f>
        <v>0</v>
      </c>
      <c r="DC2254" s="5" t="s">
        <v>812</v>
      </c>
      <c r="DD2254" s="5" t="s">
        <v>240</v>
      </c>
      <c r="DF2254" s="5" t="s">
        <v>812</v>
      </c>
      <c r="DG2254" s="7">
        <f>15897</f>
        <v>15897</v>
      </c>
      <c r="DI2254" s="5" t="s">
        <v>240</v>
      </c>
      <c r="DJ2254" s="5" t="s">
        <v>240</v>
      </c>
      <c r="DK2254" s="5" t="s">
        <v>240</v>
      </c>
      <c r="DL2254" s="5" t="s">
        <v>240</v>
      </c>
      <c r="DP2254" s="5" t="s">
        <v>240</v>
      </c>
      <c r="DQ2254" s="5" t="s">
        <v>240</v>
      </c>
      <c r="DR2254" s="5" t="s">
        <v>240</v>
      </c>
      <c r="DS2254" s="5" t="s">
        <v>240</v>
      </c>
      <c r="DV2254" s="5" t="s">
        <v>813</v>
      </c>
      <c r="DW2254" s="5" t="s">
        <v>748</v>
      </c>
      <c r="HO2254" s="5" t="s">
        <v>312</v>
      </c>
    </row>
    <row r="2255" spans="1:223" x14ac:dyDescent="0.4">
      <c r="A2255" s="5">
        <v>3959</v>
      </c>
      <c r="B2255" s="5">
        <v>1</v>
      </c>
      <c r="C2255" s="5">
        <v>1</v>
      </c>
      <c r="D2255" s="5" t="s">
        <v>810</v>
      </c>
      <c r="E2255" s="5" t="s">
        <v>245</v>
      </c>
      <c r="F2255" s="5" t="s">
        <v>254</v>
      </c>
      <c r="G2255" s="5" t="s">
        <v>240</v>
      </c>
      <c r="H2255" s="6" t="s">
        <v>3990</v>
      </c>
      <c r="I2255" s="5" t="s">
        <v>809</v>
      </c>
      <c r="J2255" s="8">
        <f>611</f>
        <v>611</v>
      </c>
      <c r="K2255" s="5" t="s">
        <v>308</v>
      </c>
      <c r="L2255" s="7">
        <f>1</f>
        <v>1</v>
      </c>
      <c r="M2255" s="7">
        <f>1</f>
        <v>1</v>
      </c>
      <c r="N2255" s="5" t="s">
        <v>242</v>
      </c>
      <c r="O2255" s="5">
        <v>1</v>
      </c>
      <c r="P2255" s="5" t="s">
        <v>294</v>
      </c>
      <c r="Q2255" s="5" t="s">
        <v>266</v>
      </c>
      <c r="R2255" s="5" t="s">
        <v>240</v>
      </c>
      <c r="S2255" s="5" t="s">
        <v>240</v>
      </c>
      <c r="T2255" s="5" t="s">
        <v>296</v>
      </c>
      <c r="U2255" s="5" t="s">
        <v>244</v>
      </c>
      <c r="V2255" s="5" t="s">
        <v>240</v>
      </c>
      <c r="Y2255" s="5" t="s">
        <v>240</v>
      </c>
      <c r="Z2255" s="6" t="s">
        <v>298</v>
      </c>
      <c r="AB2255" s="6" t="s">
        <v>240</v>
      </c>
      <c r="AE2255" s="6" t="s">
        <v>299</v>
      </c>
      <c r="AF2255" s="5" t="s">
        <v>248</v>
      </c>
      <c r="AG2255" s="5" t="s">
        <v>249</v>
      </c>
      <c r="AW2255" s="5" t="s">
        <v>251</v>
      </c>
      <c r="AX2255" s="5" t="s">
        <v>240</v>
      </c>
      <c r="AY2255" s="5" t="s">
        <v>253</v>
      </c>
      <c r="AZ2255" s="5" t="s">
        <v>240</v>
      </c>
      <c r="BA2255" s="5" t="s">
        <v>255</v>
      </c>
      <c r="BB2255" s="5" t="s">
        <v>240</v>
      </c>
      <c r="BD2255" s="5" t="s">
        <v>240</v>
      </c>
      <c r="BF2255" s="5" t="s">
        <v>301</v>
      </c>
      <c r="BG2255" s="6" t="s">
        <v>299</v>
      </c>
      <c r="BH2255" s="5" t="s">
        <v>302</v>
      </c>
      <c r="BI2255" s="5" t="s">
        <v>303</v>
      </c>
      <c r="BJ2255" s="5" t="s">
        <v>240</v>
      </c>
      <c r="BK2255" s="8">
        <f>0</f>
        <v>0</v>
      </c>
      <c r="BL2255" s="7">
        <f>0</f>
        <v>0</v>
      </c>
      <c r="BM2255" s="5" t="s">
        <v>258</v>
      </c>
      <c r="BN2255" s="5" t="s">
        <v>259</v>
      </c>
      <c r="CB2255" s="5" t="s">
        <v>240</v>
      </c>
      <c r="CC2255" s="5" t="s">
        <v>240</v>
      </c>
      <c r="CG2255" s="5" t="s">
        <v>304</v>
      </c>
      <c r="CH2255" s="5" t="s">
        <v>305</v>
      </c>
      <c r="CI2255" s="5" t="s">
        <v>240</v>
      </c>
      <c r="CL2255" s="6" t="s">
        <v>261</v>
      </c>
      <c r="CM2255" s="5" t="s">
        <v>240</v>
      </c>
      <c r="CN2255" s="5" t="s">
        <v>263</v>
      </c>
      <c r="CO2255" s="5" t="s">
        <v>240</v>
      </c>
      <c r="CP2255" s="5" t="s">
        <v>240</v>
      </c>
      <c r="CQ2255" s="5">
        <v>0</v>
      </c>
      <c r="CR2255" s="5" t="s">
        <v>306</v>
      </c>
      <c r="CS2255" s="5" t="s">
        <v>307</v>
      </c>
      <c r="CT2255" s="5" t="s">
        <v>307</v>
      </c>
      <c r="CU2255" s="5" t="s">
        <v>260</v>
      </c>
      <c r="CX2255" s="7">
        <f>1</f>
        <v>1</v>
      </c>
      <c r="CY2255" s="7">
        <f>0</f>
        <v>0</v>
      </c>
      <c r="DA2255" s="7">
        <f>0</f>
        <v>0</v>
      </c>
      <c r="DC2255" s="5" t="s">
        <v>812</v>
      </c>
      <c r="DD2255" s="5" t="s">
        <v>240</v>
      </c>
      <c r="DF2255" s="5" t="s">
        <v>812</v>
      </c>
      <c r="DG2255" s="7">
        <f>1967</f>
        <v>1967</v>
      </c>
      <c r="DI2255" s="5" t="s">
        <v>240</v>
      </c>
      <c r="DJ2255" s="5" t="s">
        <v>240</v>
      </c>
      <c r="DK2255" s="5" t="s">
        <v>240</v>
      </c>
      <c r="DL2255" s="5" t="s">
        <v>240</v>
      </c>
      <c r="DP2255" s="5" t="s">
        <v>240</v>
      </c>
      <c r="DQ2255" s="5" t="s">
        <v>240</v>
      </c>
      <c r="DR2255" s="5" t="s">
        <v>240</v>
      </c>
      <c r="DS2255" s="5" t="s">
        <v>240</v>
      </c>
      <c r="DV2255" s="5" t="s">
        <v>813</v>
      </c>
      <c r="DW2255" s="5" t="s">
        <v>750</v>
      </c>
      <c r="HO2255" s="5" t="s">
        <v>312</v>
      </c>
    </row>
    <row r="2256" spans="1:223" x14ac:dyDescent="0.4">
      <c r="A2256" s="5">
        <v>3960</v>
      </c>
      <c r="B2256" s="5">
        <v>1</v>
      </c>
      <c r="C2256" s="5">
        <v>1</v>
      </c>
      <c r="D2256" s="5" t="s">
        <v>810</v>
      </c>
      <c r="E2256" s="5" t="s">
        <v>245</v>
      </c>
      <c r="F2256" s="5" t="s">
        <v>254</v>
      </c>
      <c r="G2256" s="5" t="s">
        <v>240</v>
      </c>
      <c r="H2256" s="6" t="s">
        <v>3988</v>
      </c>
      <c r="I2256" s="5" t="s">
        <v>809</v>
      </c>
      <c r="J2256" s="8">
        <f>663</f>
        <v>663</v>
      </c>
      <c r="K2256" s="5" t="s">
        <v>308</v>
      </c>
      <c r="L2256" s="7">
        <f>1</f>
        <v>1</v>
      </c>
      <c r="M2256" s="7">
        <f>1</f>
        <v>1</v>
      </c>
      <c r="N2256" s="5" t="s">
        <v>242</v>
      </c>
      <c r="O2256" s="5">
        <v>1</v>
      </c>
      <c r="P2256" s="5" t="s">
        <v>294</v>
      </c>
      <c r="Q2256" s="5" t="s">
        <v>266</v>
      </c>
      <c r="R2256" s="5" t="s">
        <v>240</v>
      </c>
      <c r="S2256" s="5" t="s">
        <v>240</v>
      </c>
      <c r="T2256" s="5" t="s">
        <v>296</v>
      </c>
      <c r="U2256" s="5" t="s">
        <v>244</v>
      </c>
      <c r="V2256" s="5" t="s">
        <v>240</v>
      </c>
      <c r="Y2256" s="5" t="s">
        <v>240</v>
      </c>
      <c r="Z2256" s="6" t="s">
        <v>298</v>
      </c>
      <c r="AB2256" s="6" t="s">
        <v>240</v>
      </c>
      <c r="AE2256" s="6" t="s">
        <v>299</v>
      </c>
      <c r="AF2256" s="5" t="s">
        <v>248</v>
      </c>
      <c r="AG2256" s="5" t="s">
        <v>249</v>
      </c>
      <c r="AW2256" s="5" t="s">
        <v>251</v>
      </c>
      <c r="AX2256" s="5" t="s">
        <v>240</v>
      </c>
      <c r="AY2256" s="5" t="s">
        <v>253</v>
      </c>
      <c r="AZ2256" s="5" t="s">
        <v>240</v>
      </c>
      <c r="BA2256" s="5" t="s">
        <v>255</v>
      </c>
      <c r="BB2256" s="5" t="s">
        <v>240</v>
      </c>
      <c r="BD2256" s="5" t="s">
        <v>240</v>
      </c>
      <c r="BF2256" s="5" t="s">
        <v>301</v>
      </c>
      <c r="BG2256" s="6" t="s">
        <v>299</v>
      </c>
      <c r="BH2256" s="5" t="s">
        <v>302</v>
      </c>
      <c r="BI2256" s="5" t="s">
        <v>303</v>
      </c>
      <c r="BJ2256" s="5" t="s">
        <v>240</v>
      </c>
      <c r="BK2256" s="8">
        <f>0</f>
        <v>0</v>
      </c>
      <c r="BL2256" s="7">
        <f>0</f>
        <v>0</v>
      </c>
      <c r="BM2256" s="5" t="s">
        <v>258</v>
      </c>
      <c r="BN2256" s="5" t="s">
        <v>259</v>
      </c>
      <c r="CB2256" s="5" t="s">
        <v>240</v>
      </c>
      <c r="CC2256" s="5" t="s">
        <v>240</v>
      </c>
      <c r="CG2256" s="5" t="s">
        <v>304</v>
      </c>
      <c r="CH2256" s="5" t="s">
        <v>305</v>
      </c>
      <c r="CI2256" s="5" t="s">
        <v>240</v>
      </c>
      <c r="CL2256" s="6" t="s">
        <v>261</v>
      </c>
      <c r="CM2256" s="5" t="s">
        <v>240</v>
      </c>
      <c r="CN2256" s="5" t="s">
        <v>263</v>
      </c>
      <c r="CO2256" s="5" t="s">
        <v>240</v>
      </c>
      <c r="CP2256" s="5" t="s">
        <v>240</v>
      </c>
      <c r="CQ2256" s="5">
        <v>0</v>
      </c>
      <c r="CR2256" s="5" t="s">
        <v>306</v>
      </c>
      <c r="CS2256" s="5" t="s">
        <v>307</v>
      </c>
      <c r="CT2256" s="5" t="s">
        <v>307</v>
      </c>
      <c r="CU2256" s="5" t="s">
        <v>260</v>
      </c>
      <c r="CX2256" s="7">
        <f>1</f>
        <v>1</v>
      </c>
      <c r="CY2256" s="7">
        <f>0</f>
        <v>0</v>
      </c>
      <c r="DA2256" s="7">
        <f>0</f>
        <v>0</v>
      </c>
      <c r="DC2256" s="5" t="s">
        <v>812</v>
      </c>
      <c r="DD2256" s="5" t="s">
        <v>240</v>
      </c>
      <c r="DF2256" s="5" t="s">
        <v>812</v>
      </c>
      <c r="DG2256" s="7">
        <f>2942</f>
        <v>2942</v>
      </c>
      <c r="DI2256" s="5" t="s">
        <v>240</v>
      </c>
      <c r="DJ2256" s="5" t="s">
        <v>240</v>
      </c>
      <c r="DK2256" s="5" t="s">
        <v>240</v>
      </c>
      <c r="DL2256" s="5" t="s">
        <v>240</v>
      </c>
      <c r="DP2256" s="5" t="s">
        <v>240</v>
      </c>
      <c r="DQ2256" s="5" t="s">
        <v>240</v>
      </c>
      <c r="DR2256" s="5" t="s">
        <v>240</v>
      </c>
      <c r="DS2256" s="5" t="s">
        <v>240</v>
      </c>
      <c r="DV2256" s="5" t="s">
        <v>813</v>
      </c>
      <c r="DW2256" s="5" t="s">
        <v>752</v>
      </c>
      <c r="HO2256" s="5" t="s">
        <v>312</v>
      </c>
    </row>
    <row r="2257" spans="1:223" x14ac:dyDescent="0.4">
      <c r="A2257" s="5">
        <v>3961</v>
      </c>
      <c r="B2257" s="5">
        <v>1</v>
      </c>
      <c r="C2257" s="5">
        <v>1</v>
      </c>
      <c r="D2257" s="5" t="s">
        <v>810</v>
      </c>
      <c r="E2257" s="5" t="s">
        <v>245</v>
      </c>
      <c r="F2257" s="5" t="s">
        <v>254</v>
      </c>
      <c r="G2257" s="5" t="s">
        <v>240</v>
      </c>
      <c r="H2257" s="6" t="s">
        <v>3986</v>
      </c>
      <c r="I2257" s="5" t="s">
        <v>809</v>
      </c>
      <c r="J2257" s="8">
        <f>417</f>
        <v>417</v>
      </c>
      <c r="K2257" s="5" t="s">
        <v>308</v>
      </c>
      <c r="L2257" s="7">
        <f>1</f>
        <v>1</v>
      </c>
      <c r="M2257" s="7">
        <f>1</f>
        <v>1</v>
      </c>
      <c r="N2257" s="5" t="s">
        <v>242</v>
      </c>
      <c r="O2257" s="5">
        <v>1</v>
      </c>
      <c r="P2257" s="5" t="s">
        <v>294</v>
      </c>
      <c r="Q2257" s="5" t="s">
        <v>266</v>
      </c>
      <c r="R2257" s="5" t="s">
        <v>240</v>
      </c>
      <c r="S2257" s="5" t="s">
        <v>240</v>
      </c>
      <c r="T2257" s="5" t="s">
        <v>296</v>
      </c>
      <c r="U2257" s="5" t="s">
        <v>244</v>
      </c>
      <c r="V2257" s="5" t="s">
        <v>240</v>
      </c>
      <c r="Y2257" s="5" t="s">
        <v>240</v>
      </c>
      <c r="Z2257" s="6" t="s">
        <v>298</v>
      </c>
      <c r="AB2257" s="6" t="s">
        <v>240</v>
      </c>
      <c r="AE2257" s="6" t="s">
        <v>299</v>
      </c>
      <c r="AF2257" s="5" t="s">
        <v>248</v>
      </c>
      <c r="AG2257" s="5" t="s">
        <v>249</v>
      </c>
      <c r="AW2257" s="5" t="s">
        <v>251</v>
      </c>
      <c r="AX2257" s="5" t="s">
        <v>240</v>
      </c>
      <c r="AY2257" s="5" t="s">
        <v>253</v>
      </c>
      <c r="AZ2257" s="5" t="s">
        <v>240</v>
      </c>
      <c r="BA2257" s="5" t="s">
        <v>255</v>
      </c>
      <c r="BB2257" s="5" t="s">
        <v>240</v>
      </c>
      <c r="BD2257" s="5" t="s">
        <v>240</v>
      </c>
      <c r="BF2257" s="5" t="s">
        <v>301</v>
      </c>
      <c r="BG2257" s="6" t="s">
        <v>299</v>
      </c>
      <c r="BH2257" s="5" t="s">
        <v>302</v>
      </c>
      <c r="BI2257" s="5" t="s">
        <v>303</v>
      </c>
      <c r="BJ2257" s="5" t="s">
        <v>240</v>
      </c>
      <c r="BK2257" s="8">
        <f>0</f>
        <v>0</v>
      </c>
      <c r="BL2257" s="7">
        <f>0</f>
        <v>0</v>
      </c>
      <c r="BM2257" s="5" t="s">
        <v>258</v>
      </c>
      <c r="BN2257" s="5" t="s">
        <v>259</v>
      </c>
      <c r="CB2257" s="5" t="s">
        <v>240</v>
      </c>
      <c r="CC2257" s="5" t="s">
        <v>240</v>
      </c>
      <c r="CG2257" s="5" t="s">
        <v>304</v>
      </c>
      <c r="CH2257" s="5" t="s">
        <v>305</v>
      </c>
      <c r="CI2257" s="5" t="s">
        <v>240</v>
      </c>
      <c r="CL2257" s="6" t="s">
        <v>261</v>
      </c>
      <c r="CM2257" s="5" t="s">
        <v>240</v>
      </c>
      <c r="CN2257" s="5" t="s">
        <v>263</v>
      </c>
      <c r="CO2257" s="5" t="s">
        <v>240</v>
      </c>
      <c r="CP2257" s="5" t="s">
        <v>240</v>
      </c>
      <c r="CQ2257" s="5">
        <v>0</v>
      </c>
      <c r="CR2257" s="5" t="s">
        <v>306</v>
      </c>
      <c r="CS2257" s="5" t="s">
        <v>307</v>
      </c>
      <c r="CT2257" s="5" t="s">
        <v>307</v>
      </c>
      <c r="CU2257" s="5" t="s">
        <v>260</v>
      </c>
      <c r="CX2257" s="7">
        <f>1</f>
        <v>1</v>
      </c>
      <c r="CY2257" s="7">
        <f>0</f>
        <v>0</v>
      </c>
      <c r="DA2257" s="7">
        <f>0</f>
        <v>0</v>
      </c>
      <c r="DC2257" s="5" t="s">
        <v>812</v>
      </c>
      <c r="DD2257" s="5" t="s">
        <v>240</v>
      </c>
      <c r="DF2257" s="5" t="s">
        <v>812</v>
      </c>
      <c r="DG2257" s="7">
        <f>2591</f>
        <v>2591</v>
      </c>
      <c r="DI2257" s="5" t="s">
        <v>240</v>
      </c>
      <c r="DJ2257" s="5" t="s">
        <v>240</v>
      </c>
      <c r="DK2257" s="5" t="s">
        <v>240</v>
      </c>
      <c r="DL2257" s="5" t="s">
        <v>240</v>
      </c>
      <c r="DP2257" s="5" t="s">
        <v>240</v>
      </c>
      <c r="DQ2257" s="5" t="s">
        <v>240</v>
      </c>
      <c r="DR2257" s="5" t="s">
        <v>240</v>
      </c>
      <c r="DS2257" s="5" t="s">
        <v>240</v>
      </c>
      <c r="DV2257" s="5" t="s">
        <v>813</v>
      </c>
      <c r="DW2257" s="5" t="s">
        <v>754</v>
      </c>
      <c r="HO2257" s="5" t="s">
        <v>312</v>
      </c>
    </row>
    <row r="2258" spans="1:223" x14ac:dyDescent="0.4">
      <c r="A2258" s="5">
        <v>3962</v>
      </c>
      <c r="B2258" s="5">
        <v>1</v>
      </c>
      <c r="C2258" s="5">
        <v>1</v>
      </c>
      <c r="D2258" s="5" t="s">
        <v>810</v>
      </c>
      <c r="E2258" s="5" t="s">
        <v>245</v>
      </c>
      <c r="F2258" s="5" t="s">
        <v>254</v>
      </c>
      <c r="G2258" s="5" t="s">
        <v>240</v>
      </c>
      <c r="H2258" s="6" t="s">
        <v>3984</v>
      </c>
      <c r="I2258" s="5" t="s">
        <v>809</v>
      </c>
      <c r="J2258" s="8">
        <f>210</f>
        <v>210</v>
      </c>
      <c r="K2258" s="5" t="s">
        <v>308</v>
      </c>
      <c r="L2258" s="7">
        <f>1</f>
        <v>1</v>
      </c>
      <c r="M2258" s="7">
        <f>1</f>
        <v>1</v>
      </c>
      <c r="N2258" s="5" t="s">
        <v>242</v>
      </c>
      <c r="O2258" s="5">
        <v>1</v>
      </c>
      <c r="P2258" s="5" t="s">
        <v>294</v>
      </c>
      <c r="Q2258" s="5" t="s">
        <v>266</v>
      </c>
      <c r="R2258" s="5" t="s">
        <v>240</v>
      </c>
      <c r="S2258" s="5" t="s">
        <v>240</v>
      </c>
      <c r="T2258" s="5" t="s">
        <v>296</v>
      </c>
      <c r="U2258" s="5" t="s">
        <v>244</v>
      </c>
      <c r="V2258" s="5" t="s">
        <v>240</v>
      </c>
      <c r="Y2258" s="5" t="s">
        <v>240</v>
      </c>
      <c r="Z2258" s="6" t="s">
        <v>298</v>
      </c>
      <c r="AB2258" s="6" t="s">
        <v>240</v>
      </c>
      <c r="AE2258" s="6" t="s">
        <v>299</v>
      </c>
      <c r="AF2258" s="5" t="s">
        <v>248</v>
      </c>
      <c r="AG2258" s="5" t="s">
        <v>249</v>
      </c>
      <c r="AW2258" s="5" t="s">
        <v>251</v>
      </c>
      <c r="AX2258" s="5" t="s">
        <v>240</v>
      </c>
      <c r="AY2258" s="5" t="s">
        <v>253</v>
      </c>
      <c r="AZ2258" s="5" t="s">
        <v>240</v>
      </c>
      <c r="BA2258" s="5" t="s">
        <v>255</v>
      </c>
      <c r="BB2258" s="5" t="s">
        <v>240</v>
      </c>
      <c r="BD2258" s="5" t="s">
        <v>240</v>
      </c>
      <c r="BF2258" s="5" t="s">
        <v>301</v>
      </c>
      <c r="BG2258" s="6" t="s">
        <v>299</v>
      </c>
      <c r="BH2258" s="5" t="s">
        <v>302</v>
      </c>
      <c r="BI2258" s="5" t="s">
        <v>303</v>
      </c>
      <c r="BJ2258" s="5" t="s">
        <v>240</v>
      </c>
      <c r="BK2258" s="8">
        <f>0</f>
        <v>0</v>
      </c>
      <c r="BL2258" s="7">
        <f>0</f>
        <v>0</v>
      </c>
      <c r="BM2258" s="5" t="s">
        <v>258</v>
      </c>
      <c r="BN2258" s="5" t="s">
        <v>259</v>
      </c>
      <c r="CB2258" s="5" t="s">
        <v>240</v>
      </c>
      <c r="CC2258" s="5" t="s">
        <v>240</v>
      </c>
      <c r="CG2258" s="5" t="s">
        <v>304</v>
      </c>
      <c r="CH2258" s="5" t="s">
        <v>305</v>
      </c>
      <c r="CI2258" s="5" t="s">
        <v>240</v>
      </c>
      <c r="CL2258" s="6" t="s">
        <v>261</v>
      </c>
      <c r="CM2258" s="5" t="s">
        <v>240</v>
      </c>
      <c r="CN2258" s="5" t="s">
        <v>263</v>
      </c>
      <c r="CO2258" s="5" t="s">
        <v>240</v>
      </c>
      <c r="CP2258" s="5" t="s">
        <v>240</v>
      </c>
      <c r="CQ2258" s="5">
        <v>0</v>
      </c>
      <c r="CR2258" s="5" t="s">
        <v>306</v>
      </c>
      <c r="CS2258" s="5" t="s">
        <v>307</v>
      </c>
      <c r="CT2258" s="5" t="s">
        <v>307</v>
      </c>
      <c r="CU2258" s="5" t="s">
        <v>260</v>
      </c>
      <c r="CX2258" s="7">
        <f>1</f>
        <v>1</v>
      </c>
      <c r="CY2258" s="7">
        <f>0</f>
        <v>0</v>
      </c>
      <c r="DA2258" s="7">
        <f>0</f>
        <v>0</v>
      </c>
      <c r="DC2258" s="5" t="s">
        <v>812</v>
      </c>
      <c r="DD2258" s="5" t="s">
        <v>240</v>
      </c>
      <c r="DF2258" s="5" t="s">
        <v>812</v>
      </c>
      <c r="DG2258" s="7">
        <f>2168</f>
        <v>2168</v>
      </c>
      <c r="DI2258" s="5" t="s">
        <v>240</v>
      </c>
      <c r="DJ2258" s="5" t="s">
        <v>240</v>
      </c>
      <c r="DK2258" s="5" t="s">
        <v>240</v>
      </c>
      <c r="DL2258" s="5" t="s">
        <v>240</v>
      </c>
      <c r="DP2258" s="5" t="s">
        <v>240</v>
      </c>
      <c r="DQ2258" s="5" t="s">
        <v>240</v>
      </c>
      <c r="DR2258" s="5" t="s">
        <v>240</v>
      </c>
      <c r="DS2258" s="5" t="s">
        <v>240</v>
      </c>
      <c r="DV2258" s="5" t="s">
        <v>813</v>
      </c>
      <c r="DW2258" s="5" t="s">
        <v>756</v>
      </c>
      <c r="HO2258" s="5" t="s">
        <v>312</v>
      </c>
    </row>
    <row r="2259" spans="1:223" x14ac:dyDescent="0.4">
      <c r="A2259" s="5">
        <v>3963</v>
      </c>
      <c r="B2259" s="5">
        <v>1</v>
      </c>
      <c r="C2259" s="5">
        <v>1</v>
      </c>
      <c r="D2259" s="5" t="s">
        <v>810</v>
      </c>
      <c r="E2259" s="5" t="s">
        <v>245</v>
      </c>
      <c r="F2259" s="5" t="s">
        <v>254</v>
      </c>
      <c r="G2259" s="5" t="s">
        <v>240</v>
      </c>
      <c r="H2259" s="6" t="s">
        <v>3982</v>
      </c>
      <c r="I2259" s="5" t="s">
        <v>809</v>
      </c>
      <c r="J2259" s="8">
        <f>754</f>
        <v>754</v>
      </c>
      <c r="K2259" s="5" t="s">
        <v>308</v>
      </c>
      <c r="L2259" s="7">
        <f>1</f>
        <v>1</v>
      </c>
      <c r="M2259" s="7">
        <f>1</f>
        <v>1</v>
      </c>
      <c r="N2259" s="5" t="s">
        <v>242</v>
      </c>
      <c r="O2259" s="5">
        <v>1</v>
      </c>
      <c r="P2259" s="5" t="s">
        <v>294</v>
      </c>
      <c r="Q2259" s="5" t="s">
        <v>266</v>
      </c>
      <c r="R2259" s="5" t="s">
        <v>240</v>
      </c>
      <c r="S2259" s="5" t="s">
        <v>240</v>
      </c>
      <c r="T2259" s="5" t="s">
        <v>296</v>
      </c>
      <c r="U2259" s="5" t="s">
        <v>244</v>
      </c>
      <c r="V2259" s="5" t="s">
        <v>240</v>
      </c>
      <c r="Y2259" s="5" t="s">
        <v>240</v>
      </c>
      <c r="Z2259" s="6" t="s">
        <v>298</v>
      </c>
      <c r="AB2259" s="6" t="s">
        <v>240</v>
      </c>
      <c r="AE2259" s="6" t="s">
        <v>299</v>
      </c>
      <c r="AF2259" s="5" t="s">
        <v>248</v>
      </c>
      <c r="AG2259" s="5" t="s">
        <v>249</v>
      </c>
      <c r="AW2259" s="5" t="s">
        <v>251</v>
      </c>
      <c r="AX2259" s="5" t="s">
        <v>240</v>
      </c>
      <c r="AY2259" s="5" t="s">
        <v>253</v>
      </c>
      <c r="AZ2259" s="5" t="s">
        <v>240</v>
      </c>
      <c r="BA2259" s="5" t="s">
        <v>255</v>
      </c>
      <c r="BB2259" s="5" t="s">
        <v>240</v>
      </c>
      <c r="BD2259" s="5" t="s">
        <v>240</v>
      </c>
      <c r="BF2259" s="5" t="s">
        <v>301</v>
      </c>
      <c r="BG2259" s="6" t="s">
        <v>299</v>
      </c>
      <c r="BH2259" s="5" t="s">
        <v>302</v>
      </c>
      <c r="BI2259" s="5" t="s">
        <v>303</v>
      </c>
      <c r="BJ2259" s="5" t="s">
        <v>240</v>
      </c>
      <c r="BK2259" s="8">
        <f>0</f>
        <v>0</v>
      </c>
      <c r="BL2259" s="7">
        <f>0</f>
        <v>0</v>
      </c>
      <c r="BM2259" s="5" t="s">
        <v>258</v>
      </c>
      <c r="BN2259" s="5" t="s">
        <v>259</v>
      </c>
      <c r="CB2259" s="5" t="s">
        <v>240</v>
      </c>
      <c r="CC2259" s="5" t="s">
        <v>240</v>
      </c>
      <c r="CG2259" s="5" t="s">
        <v>304</v>
      </c>
      <c r="CH2259" s="5" t="s">
        <v>305</v>
      </c>
      <c r="CI2259" s="5" t="s">
        <v>240</v>
      </c>
      <c r="CL2259" s="6" t="s">
        <v>261</v>
      </c>
      <c r="CM2259" s="5" t="s">
        <v>240</v>
      </c>
      <c r="CN2259" s="5" t="s">
        <v>263</v>
      </c>
      <c r="CO2259" s="5" t="s">
        <v>240</v>
      </c>
      <c r="CP2259" s="5" t="s">
        <v>240</v>
      </c>
      <c r="CQ2259" s="5">
        <v>0</v>
      </c>
      <c r="CR2259" s="5" t="s">
        <v>306</v>
      </c>
      <c r="CS2259" s="5" t="s">
        <v>307</v>
      </c>
      <c r="CT2259" s="5" t="s">
        <v>307</v>
      </c>
      <c r="CU2259" s="5" t="s">
        <v>260</v>
      </c>
      <c r="CX2259" s="7">
        <f>1</f>
        <v>1</v>
      </c>
      <c r="CY2259" s="7">
        <f>0</f>
        <v>0</v>
      </c>
      <c r="DA2259" s="7">
        <f>0</f>
        <v>0</v>
      </c>
      <c r="DC2259" s="5" t="s">
        <v>812</v>
      </c>
      <c r="DD2259" s="5" t="s">
        <v>240</v>
      </c>
      <c r="DF2259" s="5" t="s">
        <v>812</v>
      </c>
      <c r="DG2259" s="7">
        <f>825</f>
        <v>825</v>
      </c>
      <c r="DI2259" s="5" t="s">
        <v>240</v>
      </c>
      <c r="DJ2259" s="5" t="s">
        <v>240</v>
      </c>
      <c r="DK2259" s="5" t="s">
        <v>240</v>
      </c>
      <c r="DL2259" s="5" t="s">
        <v>240</v>
      </c>
      <c r="DP2259" s="5" t="s">
        <v>240</v>
      </c>
      <c r="DQ2259" s="5" t="s">
        <v>240</v>
      </c>
      <c r="DR2259" s="5" t="s">
        <v>240</v>
      </c>
      <c r="DS2259" s="5" t="s">
        <v>240</v>
      </c>
      <c r="DV2259" s="5" t="s">
        <v>813</v>
      </c>
      <c r="DW2259" s="5" t="s">
        <v>758</v>
      </c>
      <c r="HO2259" s="5" t="s">
        <v>312</v>
      </c>
    </row>
    <row r="2260" spans="1:223" x14ac:dyDescent="0.4">
      <c r="A2260" s="5">
        <v>3964</v>
      </c>
      <c r="B2260" s="5">
        <v>1</v>
      </c>
      <c r="C2260" s="5">
        <v>1</v>
      </c>
      <c r="D2260" s="5" t="s">
        <v>810</v>
      </c>
      <c r="E2260" s="5" t="s">
        <v>245</v>
      </c>
      <c r="F2260" s="5" t="s">
        <v>254</v>
      </c>
      <c r="G2260" s="5" t="s">
        <v>240</v>
      </c>
      <c r="H2260" s="6" t="s">
        <v>3980</v>
      </c>
      <c r="I2260" s="5" t="s">
        <v>809</v>
      </c>
      <c r="J2260" s="8">
        <f>52</f>
        <v>52</v>
      </c>
      <c r="K2260" s="5" t="s">
        <v>308</v>
      </c>
      <c r="L2260" s="7">
        <f>1</f>
        <v>1</v>
      </c>
      <c r="M2260" s="7">
        <f>1</f>
        <v>1</v>
      </c>
      <c r="N2260" s="5" t="s">
        <v>242</v>
      </c>
      <c r="O2260" s="5">
        <v>1</v>
      </c>
      <c r="P2260" s="5" t="s">
        <v>294</v>
      </c>
      <c r="Q2260" s="5" t="s">
        <v>266</v>
      </c>
      <c r="R2260" s="5" t="s">
        <v>240</v>
      </c>
      <c r="S2260" s="5" t="s">
        <v>240</v>
      </c>
      <c r="T2260" s="5" t="s">
        <v>296</v>
      </c>
      <c r="U2260" s="5" t="s">
        <v>244</v>
      </c>
      <c r="V2260" s="5" t="s">
        <v>240</v>
      </c>
      <c r="Y2260" s="5" t="s">
        <v>240</v>
      </c>
      <c r="Z2260" s="6" t="s">
        <v>298</v>
      </c>
      <c r="AB2260" s="6" t="s">
        <v>240</v>
      </c>
      <c r="AE2260" s="6" t="s">
        <v>299</v>
      </c>
      <c r="AF2260" s="5" t="s">
        <v>248</v>
      </c>
      <c r="AG2260" s="5" t="s">
        <v>249</v>
      </c>
      <c r="AW2260" s="5" t="s">
        <v>251</v>
      </c>
      <c r="AX2260" s="5" t="s">
        <v>240</v>
      </c>
      <c r="AY2260" s="5" t="s">
        <v>253</v>
      </c>
      <c r="AZ2260" s="5" t="s">
        <v>240</v>
      </c>
      <c r="BA2260" s="5" t="s">
        <v>255</v>
      </c>
      <c r="BB2260" s="5" t="s">
        <v>240</v>
      </c>
      <c r="BD2260" s="5" t="s">
        <v>240</v>
      </c>
      <c r="BF2260" s="5" t="s">
        <v>301</v>
      </c>
      <c r="BG2260" s="6" t="s">
        <v>299</v>
      </c>
      <c r="BH2260" s="5" t="s">
        <v>302</v>
      </c>
      <c r="BI2260" s="5" t="s">
        <v>303</v>
      </c>
      <c r="BJ2260" s="5" t="s">
        <v>240</v>
      </c>
      <c r="BK2260" s="8">
        <f>0</f>
        <v>0</v>
      </c>
      <c r="BL2260" s="7">
        <f>0</f>
        <v>0</v>
      </c>
      <c r="BM2260" s="5" t="s">
        <v>258</v>
      </c>
      <c r="BN2260" s="5" t="s">
        <v>259</v>
      </c>
      <c r="CB2260" s="5" t="s">
        <v>240</v>
      </c>
      <c r="CC2260" s="5" t="s">
        <v>240</v>
      </c>
      <c r="CG2260" s="5" t="s">
        <v>304</v>
      </c>
      <c r="CH2260" s="5" t="s">
        <v>305</v>
      </c>
      <c r="CI2260" s="5" t="s">
        <v>240</v>
      </c>
      <c r="CL2260" s="6" t="s">
        <v>261</v>
      </c>
      <c r="CM2260" s="5" t="s">
        <v>240</v>
      </c>
      <c r="CN2260" s="5" t="s">
        <v>263</v>
      </c>
      <c r="CO2260" s="5" t="s">
        <v>240</v>
      </c>
      <c r="CP2260" s="5" t="s">
        <v>240</v>
      </c>
      <c r="CQ2260" s="5">
        <v>0</v>
      </c>
      <c r="CR2260" s="5" t="s">
        <v>306</v>
      </c>
      <c r="CS2260" s="5" t="s">
        <v>307</v>
      </c>
      <c r="CT2260" s="5" t="s">
        <v>307</v>
      </c>
      <c r="CU2260" s="5" t="s">
        <v>260</v>
      </c>
      <c r="CX2260" s="7">
        <f>1</f>
        <v>1</v>
      </c>
      <c r="CY2260" s="7">
        <f>0</f>
        <v>0</v>
      </c>
      <c r="DA2260" s="7">
        <f>0</f>
        <v>0</v>
      </c>
      <c r="DC2260" s="5" t="s">
        <v>812</v>
      </c>
      <c r="DD2260" s="5" t="s">
        <v>240</v>
      </c>
      <c r="DF2260" s="5" t="s">
        <v>812</v>
      </c>
      <c r="DG2260" s="7">
        <f>3156</f>
        <v>3156</v>
      </c>
      <c r="DI2260" s="5" t="s">
        <v>240</v>
      </c>
      <c r="DJ2260" s="5" t="s">
        <v>240</v>
      </c>
      <c r="DK2260" s="5" t="s">
        <v>240</v>
      </c>
      <c r="DL2260" s="5" t="s">
        <v>240</v>
      </c>
      <c r="DP2260" s="5" t="s">
        <v>240</v>
      </c>
      <c r="DQ2260" s="5" t="s">
        <v>240</v>
      </c>
      <c r="DR2260" s="5" t="s">
        <v>240</v>
      </c>
      <c r="DS2260" s="5" t="s">
        <v>240</v>
      </c>
      <c r="DV2260" s="5" t="s">
        <v>813</v>
      </c>
      <c r="DW2260" s="5" t="s">
        <v>760</v>
      </c>
      <c r="HO2260" s="5" t="s">
        <v>312</v>
      </c>
    </row>
    <row r="2261" spans="1:223" x14ac:dyDescent="0.4">
      <c r="A2261" s="5">
        <v>3965</v>
      </c>
      <c r="B2261" s="5">
        <v>1</v>
      </c>
      <c r="C2261" s="5">
        <v>1</v>
      </c>
      <c r="D2261" s="5" t="s">
        <v>810</v>
      </c>
      <c r="E2261" s="5" t="s">
        <v>245</v>
      </c>
      <c r="F2261" s="5" t="s">
        <v>254</v>
      </c>
      <c r="G2261" s="5" t="s">
        <v>240</v>
      </c>
      <c r="H2261" s="6" t="s">
        <v>3978</v>
      </c>
      <c r="I2261" s="5" t="s">
        <v>809</v>
      </c>
      <c r="J2261" s="8">
        <f>296</f>
        <v>296</v>
      </c>
      <c r="K2261" s="5" t="s">
        <v>308</v>
      </c>
      <c r="L2261" s="7">
        <f>1</f>
        <v>1</v>
      </c>
      <c r="M2261" s="7">
        <f>1</f>
        <v>1</v>
      </c>
      <c r="N2261" s="5" t="s">
        <v>242</v>
      </c>
      <c r="O2261" s="5">
        <v>1</v>
      </c>
      <c r="P2261" s="5" t="s">
        <v>294</v>
      </c>
      <c r="Q2261" s="5" t="s">
        <v>266</v>
      </c>
      <c r="R2261" s="5" t="s">
        <v>240</v>
      </c>
      <c r="S2261" s="5" t="s">
        <v>240</v>
      </c>
      <c r="T2261" s="5" t="s">
        <v>296</v>
      </c>
      <c r="U2261" s="5" t="s">
        <v>244</v>
      </c>
      <c r="V2261" s="5" t="s">
        <v>240</v>
      </c>
      <c r="Y2261" s="5" t="s">
        <v>240</v>
      </c>
      <c r="Z2261" s="6" t="s">
        <v>298</v>
      </c>
      <c r="AB2261" s="6" t="s">
        <v>240</v>
      </c>
      <c r="AE2261" s="6" t="s">
        <v>299</v>
      </c>
      <c r="AF2261" s="5" t="s">
        <v>248</v>
      </c>
      <c r="AG2261" s="5" t="s">
        <v>249</v>
      </c>
      <c r="AW2261" s="5" t="s">
        <v>251</v>
      </c>
      <c r="AX2261" s="5" t="s">
        <v>240</v>
      </c>
      <c r="AY2261" s="5" t="s">
        <v>253</v>
      </c>
      <c r="AZ2261" s="5" t="s">
        <v>240</v>
      </c>
      <c r="BA2261" s="5" t="s">
        <v>255</v>
      </c>
      <c r="BB2261" s="5" t="s">
        <v>240</v>
      </c>
      <c r="BD2261" s="5" t="s">
        <v>240</v>
      </c>
      <c r="BF2261" s="5" t="s">
        <v>301</v>
      </c>
      <c r="BG2261" s="6" t="s">
        <v>299</v>
      </c>
      <c r="BH2261" s="5" t="s">
        <v>302</v>
      </c>
      <c r="BI2261" s="5" t="s">
        <v>303</v>
      </c>
      <c r="BJ2261" s="5" t="s">
        <v>240</v>
      </c>
      <c r="BK2261" s="8">
        <f>0</f>
        <v>0</v>
      </c>
      <c r="BL2261" s="7">
        <f>0</f>
        <v>0</v>
      </c>
      <c r="BM2261" s="5" t="s">
        <v>258</v>
      </c>
      <c r="BN2261" s="5" t="s">
        <v>259</v>
      </c>
      <c r="CB2261" s="5" t="s">
        <v>240</v>
      </c>
      <c r="CC2261" s="5" t="s">
        <v>240</v>
      </c>
      <c r="CG2261" s="5" t="s">
        <v>304</v>
      </c>
      <c r="CH2261" s="5" t="s">
        <v>305</v>
      </c>
      <c r="CI2261" s="5" t="s">
        <v>240</v>
      </c>
      <c r="CL2261" s="6" t="s">
        <v>261</v>
      </c>
      <c r="CM2261" s="5" t="s">
        <v>240</v>
      </c>
      <c r="CN2261" s="5" t="s">
        <v>263</v>
      </c>
      <c r="CO2261" s="5" t="s">
        <v>240</v>
      </c>
      <c r="CP2261" s="5" t="s">
        <v>240</v>
      </c>
      <c r="CQ2261" s="5">
        <v>0</v>
      </c>
      <c r="CR2261" s="5" t="s">
        <v>306</v>
      </c>
      <c r="CS2261" s="5" t="s">
        <v>307</v>
      </c>
      <c r="CT2261" s="5" t="s">
        <v>307</v>
      </c>
      <c r="CU2261" s="5" t="s">
        <v>260</v>
      </c>
      <c r="CX2261" s="7">
        <f>1</f>
        <v>1</v>
      </c>
      <c r="CY2261" s="7">
        <f>0</f>
        <v>0</v>
      </c>
      <c r="DA2261" s="7">
        <f>0</f>
        <v>0</v>
      </c>
      <c r="DC2261" s="5" t="s">
        <v>812</v>
      </c>
      <c r="DD2261" s="5" t="s">
        <v>240</v>
      </c>
      <c r="DF2261" s="5" t="s">
        <v>812</v>
      </c>
      <c r="DG2261" s="7">
        <f>978</f>
        <v>978</v>
      </c>
      <c r="DI2261" s="5" t="s">
        <v>240</v>
      </c>
      <c r="DJ2261" s="5" t="s">
        <v>240</v>
      </c>
      <c r="DK2261" s="5" t="s">
        <v>240</v>
      </c>
      <c r="DL2261" s="5" t="s">
        <v>240</v>
      </c>
      <c r="DP2261" s="5" t="s">
        <v>240</v>
      </c>
      <c r="DQ2261" s="5" t="s">
        <v>240</v>
      </c>
      <c r="DR2261" s="5" t="s">
        <v>240</v>
      </c>
      <c r="DS2261" s="5" t="s">
        <v>240</v>
      </c>
      <c r="DV2261" s="5" t="s">
        <v>813</v>
      </c>
      <c r="DW2261" s="5" t="s">
        <v>763</v>
      </c>
      <c r="HO2261" s="5" t="s">
        <v>312</v>
      </c>
    </row>
    <row r="2262" spans="1:223" x14ac:dyDescent="0.4">
      <c r="A2262" s="5">
        <v>3966</v>
      </c>
      <c r="B2262" s="5">
        <v>1</v>
      </c>
      <c r="C2262" s="5">
        <v>1</v>
      </c>
      <c r="D2262" s="5" t="s">
        <v>810</v>
      </c>
      <c r="E2262" s="5" t="s">
        <v>245</v>
      </c>
      <c r="F2262" s="5" t="s">
        <v>254</v>
      </c>
      <c r="G2262" s="5" t="s">
        <v>240</v>
      </c>
      <c r="H2262" s="6" t="s">
        <v>3976</v>
      </c>
      <c r="I2262" s="5" t="s">
        <v>809</v>
      </c>
      <c r="J2262" s="8">
        <f>168</f>
        <v>168</v>
      </c>
      <c r="K2262" s="5" t="s">
        <v>308</v>
      </c>
      <c r="L2262" s="7">
        <f>1</f>
        <v>1</v>
      </c>
      <c r="M2262" s="7">
        <f>1</f>
        <v>1</v>
      </c>
      <c r="N2262" s="5" t="s">
        <v>242</v>
      </c>
      <c r="O2262" s="5">
        <v>1</v>
      </c>
      <c r="P2262" s="5" t="s">
        <v>294</v>
      </c>
      <c r="Q2262" s="5" t="s">
        <v>613</v>
      </c>
      <c r="R2262" s="5" t="s">
        <v>240</v>
      </c>
      <c r="S2262" s="5" t="s">
        <v>240</v>
      </c>
      <c r="T2262" s="5" t="s">
        <v>243</v>
      </c>
      <c r="U2262" s="5" t="s">
        <v>244</v>
      </c>
      <c r="V2262" s="5" t="s">
        <v>240</v>
      </c>
      <c r="Y2262" s="5" t="s">
        <v>240</v>
      </c>
      <c r="Z2262" s="6" t="s">
        <v>298</v>
      </c>
      <c r="AB2262" s="6" t="s">
        <v>240</v>
      </c>
      <c r="AE2262" s="6" t="s">
        <v>299</v>
      </c>
      <c r="AF2262" s="5" t="s">
        <v>248</v>
      </c>
      <c r="AG2262" s="5" t="s">
        <v>249</v>
      </c>
      <c r="AW2262" s="5" t="s">
        <v>251</v>
      </c>
      <c r="AX2262" s="5" t="s">
        <v>240</v>
      </c>
      <c r="AY2262" s="5" t="s">
        <v>253</v>
      </c>
      <c r="AZ2262" s="5" t="s">
        <v>240</v>
      </c>
      <c r="BA2262" s="5" t="s">
        <v>255</v>
      </c>
      <c r="BB2262" s="5" t="s">
        <v>240</v>
      </c>
      <c r="BD2262" s="5" t="s">
        <v>240</v>
      </c>
      <c r="BF2262" s="5" t="s">
        <v>301</v>
      </c>
      <c r="BG2262" s="6" t="s">
        <v>299</v>
      </c>
      <c r="BH2262" s="5" t="s">
        <v>302</v>
      </c>
      <c r="BI2262" s="5" t="s">
        <v>303</v>
      </c>
      <c r="BJ2262" s="5" t="s">
        <v>240</v>
      </c>
      <c r="BK2262" s="8">
        <f>0</f>
        <v>0</v>
      </c>
      <c r="BL2262" s="7">
        <f>0</f>
        <v>0</v>
      </c>
      <c r="BM2262" s="5" t="s">
        <v>258</v>
      </c>
      <c r="BN2262" s="5" t="s">
        <v>259</v>
      </c>
      <c r="CB2262" s="5" t="s">
        <v>240</v>
      </c>
      <c r="CC2262" s="5" t="s">
        <v>240</v>
      </c>
      <c r="CG2262" s="5" t="s">
        <v>617</v>
      </c>
      <c r="CH2262" s="5" t="s">
        <v>305</v>
      </c>
      <c r="CI2262" s="5" t="s">
        <v>240</v>
      </c>
      <c r="CL2262" s="6" t="s">
        <v>261</v>
      </c>
      <c r="CM2262" s="5" t="s">
        <v>240</v>
      </c>
      <c r="CN2262" s="5" t="s">
        <v>263</v>
      </c>
      <c r="CO2262" s="5" t="s">
        <v>240</v>
      </c>
      <c r="CP2262" s="5" t="s">
        <v>240</v>
      </c>
      <c r="CQ2262" s="5">
        <v>0</v>
      </c>
      <c r="CR2262" s="5" t="s">
        <v>306</v>
      </c>
      <c r="CS2262" s="5" t="s">
        <v>307</v>
      </c>
      <c r="CT2262" s="5" t="s">
        <v>307</v>
      </c>
      <c r="CU2262" s="5" t="s">
        <v>260</v>
      </c>
      <c r="CX2262" s="7">
        <f>3676900</f>
        <v>3676900</v>
      </c>
      <c r="CY2262" s="7">
        <f>0</f>
        <v>0</v>
      </c>
      <c r="DA2262" s="7">
        <f>0</f>
        <v>0</v>
      </c>
      <c r="DC2262" s="5" t="s">
        <v>618</v>
      </c>
      <c r="DD2262" s="5" t="s">
        <v>240</v>
      </c>
      <c r="DF2262" s="5" t="s">
        <v>450</v>
      </c>
      <c r="DG2262" s="7">
        <f>0</f>
        <v>0</v>
      </c>
      <c r="DI2262" s="5" t="s">
        <v>618</v>
      </c>
      <c r="DJ2262" s="5" t="s">
        <v>240</v>
      </c>
      <c r="DK2262" s="5" t="s">
        <v>240</v>
      </c>
      <c r="DL2262" s="5" t="s">
        <v>240</v>
      </c>
      <c r="DP2262" s="5" t="s">
        <v>240</v>
      </c>
      <c r="DQ2262" s="5" t="s">
        <v>240</v>
      </c>
      <c r="DR2262" s="5" t="s">
        <v>240</v>
      </c>
      <c r="DS2262" s="5" t="s">
        <v>240</v>
      </c>
      <c r="DV2262" s="5" t="s">
        <v>1310</v>
      </c>
      <c r="DW2262" s="5" t="s">
        <v>691</v>
      </c>
      <c r="HO2262" s="5" t="s">
        <v>312</v>
      </c>
    </row>
    <row r="2263" spans="1:223" x14ac:dyDescent="0.4">
      <c r="A2263" s="5">
        <v>3967</v>
      </c>
      <c r="B2263" s="5">
        <v>1</v>
      </c>
      <c r="C2263" s="5">
        <v>1</v>
      </c>
      <c r="D2263" s="5" t="s">
        <v>810</v>
      </c>
      <c r="E2263" s="5" t="s">
        <v>245</v>
      </c>
      <c r="F2263" s="5" t="s">
        <v>254</v>
      </c>
      <c r="G2263" s="5" t="s">
        <v>240</v>
      </c>
      <c r="H2263" s="6" t="s">
        <v>3974</v>
      </c>
      <c r="I2263" s="5" t="s">
        <v>809</v>
      </c>
      <c r="J2263" s="8">
        <f>1224</f>
        <v>1224</v>
      </c>
      <c r="K2263" s="5" t="s">
        <v>308</v>
      </c>
      <c r="L2263" s="7">
        <f>1</f>
        <v>1</v>
      </c>
      <c r="M2263" s="7">
        <f>1</f>
        <v>1</v>
      </c>
      <c r="N2263" s="5" t="s">
        <v>242</v>
      </c>
      <c r="O2263" s="5">
        <v>1</v>
      </c>
      <c r="P2263" s="5" t="s">
        <v>294</v>
      </c>
      <c r="Q2263" s="5" t="s">
        <v>266</v>
      </c>
      <c r="R2263" s="5" t="s">
        <v>240</v>
      </c>
      <c r="S2263" s="5" t="s">
        <v>240</v>
      </c>
      <c r="T2263" s="5" t="s">
        <v>296</v>
      </c>
      <c r="U2263" s="5" t="s">
        <v>244</v>
      </c>
      <c r="V2263" s="5" t="s">
        <v>240</v>
      </c>
      <c r="Y2263" s="5" t="s">
        <v>240</v>
      </c>
      <c r="Z2263" s="6" t="s">
        <v>298</v>
      </c>
      <c r="AB2263" s="6" t="s">
        <v>240</v>
      </c>
      <c r="AE2263" s="6" t="s">
        <v>299</v>
      </c>
      <c r="AF2263" s="5" t="s">
        <v>248</v>
      </c>
      <c r="AG2263" s="5" t="s">
        <v>249</v>
      </c>
      <c r="AW2263" s="5" t="s">
        <v>251</v>
      </c>
      <c r="AX2263" s="5" t="s">
        <v>240</v>
      </c>
      <c r="AY2263" s="5" t="s">
        <v>253</v>
      </c>
      <c r="AZ2263" s="5" t="s">
        <v>240</v>
      </c>
      <c r="BA2263" s="5" t="s">
        <v>255</v>
      </c>
      <c r="BB2263" s="5" t="s">
        <v>240</v>
      </c>
      <c r="BD2263" s="5" t="s">
        <v>240</v>
      </c>
      <c r="BF2263" s="5" t="s">
        <v>301</v>
      </c>
      <c r="BG2263" s="6" t="s">
        <v>299</v>
      </c>
      <c r="BH2263" s="5" t="s">
        <v>302</v>
      </c>
      <c r="BI2263" s="5" t="s">
        <v>303</v>
      </c>
      <c r="BJ2263" s="5" t="s">
        <v>240</v>
      </c>
      <c r="BK2263" s="8">
        <f>0</f>
        <v>0</v>
      </c>
      <c r="BL2263" s="7">
        <f>0</f>
        <v>0</v>
      </c>
      <c r="BM2263" s="5" t="s">
        <v>258</v>
      </c>
      <c r="BN2263" s="5" t="s">
        <v>259</v>
      </c>
      <c r="CB2263" s="5" t="s">
        <v>240</v>
      </c>
      <c r="CC2263" s="5" t="s">
        <v>240</v>
      </c>
      <c r="CG2263" s="5" t="s">
        <v>304</v>
      </c>
      <c r="CH2263" s="5" t="s">
        <v>305</v>
      </c>
      <c r="CI2263" s="5" t="s">
        <v>240</v>
      </c>
      <c r="CL2263" s="6" t="s">
        <v>261</v>
      </c>
      <c r="CM2263" s="5" t="s">
        <v>240</v>
      </c>
      <c r="CN2263" s="5" t="s">
        <v>263</v>
      </c>
      <c r="CO2263" s="5" t="s">
        <v>240</v>
      </c>
      <c r="CP2263" s="5" t="s">
        <v>240</v>
      </c>
      <c r="CQ2263" s="5">
        <v>0</v>
      </c>
      <c r="CR2263" s="5" t="s">
        <v>306</v>
      </c>
      <c r="CS2263" s="5" t="s">
        <v>307</v>
      </c>
      <c r="CT2263" s="5" t="s">
        <v>307</v>
      </c>
      <c r="CU2263" s="5" t="s">
        <v>260</v>
      </c>
      <c r="CX2263" s="7">
        <f>1</f>
        <v>1</v>
      </c>
      <c r="CY2263" s="7">
        <f>0</f>
        <v>0</v>
      </c>
      <c r="DA2263" s="7">
        <f>0</f>
        <v>0</v>
      </c>
      <c r="DC2263" s="5" t="s">
        <v>812</v>
      </c>
      <c r="DD2263" s="5" t="s">
        <v>240</v>
      </c>
      <c r="DF2263" s="5" t="s">
        <v>812</v>
      </c>
      <c r="DG2263" s="7">
        <f>1376</f>
        <v>1376</v>
      </c>
      <c r="DI2263" s="5" t="s">
        <v>240</v>
      </c>
      <c r="DJ2263" s="5" t="s">
        <v>240</v>
      </c>
      <c r="DK2263" s="5" t="s">
        <v>240</v>
      </c>
      <c r="DL2263" s="5" t="s">
        <v>240</v>
      </c>
      <c r="DP2263" s="5" t="s">
        <v>240</v>
      </c>
      <c r="DQ2263" s="5" t="s">
        <v>240</v>
      </c>
      <c r="DR2263" s="5" t="s">
        <v>240</v>
      </c>
      <c r="DS2263" s="5" t="s">
        <v>240</v>
      </c>
      <c r="DV2263" s="5" t="s">
        <v>813</v>
      </c>
      <c r="DW2263" s="5" t="s">
        <v>769</v>
      </c>
      <c r="HO2263" s="5" t="s">
        <v>312</v>
      </c>
    </row>
    <row r="2264" spans="1:223" x14ac:dyDescent="0.4">
      <c r="A2264" s="5">
        <v>3968</v>
      </c>
      <c r="B2264" s="5">
        <v>1</v>
      </c>
      <c r="C2264" s="5">
        <v>1</v>
      </c>
      <c r="D2264" s="5" t="s">
        <v>810</v>
      </c>
      <c r="E2264" s="5" t="s">
        <v>245</v>
      </c>
      <c r="F2264" s="5" t="s">
        <v>254</v>
      </c>
      <c r="G2264" s="5" t="s">
        <v>240</v>
      </c>
      <c r="H2264" s="6" t="s">
        <v>3972</v>
      </c>
      <c r="I2264" s="5" t="s">
        <v>809</v>
      </c>
      <c r="J2264" s="8">
        <f>1565</f>
        <v>1565</v>
      </c>
      <c r="K2264" s="5" t="s">
        <v>308</v>
      </c>
      <c r="L2264" s="7">
        <f>1</f>
        <v>1</v>
      </c>
      <c r="M2264" s="7">
        <f>1</f>
        <v>1</v>
      </c>
      <c r="N2264" s="5" t="s">
        <v>242</v>
      </c>
      <c r="O2264" s="5">
        <v>1</v>
      </c>
      <c r="P2264" s="5" t="s">
        <v>294</v>
      </c>
      <c r="Q2264" s="5" t="s">
        <v>266</v>
      </c>
      <c r="R2264" s="5" t="s">
        <v>240</v>
      </c>
      <c r="S2264" s="5" t="s">
        <v>240</v>
      </c>
      <c r="T2264" s="5" t="s">
        <v>296</v>
      </c>
      <c r="U2264" s="5" t="s">
        <v>244</v>
      </c>
      <c r="V2264" s="5" t="s">
        <v>240</v>
      </c>
      <c r="Y2264" s="5" t="s">
        <v>240</v>
      </c>
      <c r="Z2264" s="6" t="s">
        <v>298</v>
      </c>
      <c r="AB2264" s="6" t="s">
        <v>240</v>
      </c>
      <c r="AE2264" s="6" t="s">
        <v>299</v>
      </c>
      <c r="AF2264" s="5" t="s">
        <v>248</v>
      </c>
      <c r="AG2264" s="5" t="s">
        <v>249</v>
      </c>
      <c r="AW2264" s="5" t="s">
        <v>251</v>
      </c>
      <c r="AX2264" s="5" t="s">
        <v>240</v>
      </c>
      <c r="AY2264" s="5" t="s">
        <v>253</v>
      </c>
      <c r="AZ2264" s="5" t="s">
        <v>240</v>
      </c>
      <c r="BA2264" s="5" t="s">
        <v>255</v>
      </c>
      <c r="BB2264" s="5" t="s">
        <v>240</v>
      </c>
      <c r="BD2264" s="5" t="s">
        <v>240</v>
      </c>
      <c r="BF2264" s="5" t="s">
        <v>301</v>
      </c>
      <c r="BG2264" s="6" t="s">
        <v>299</v>
      </c>
      <c r="BH2264" s="5" t="s">
        <v>302</v>
      </c>
      <c r="BI2264" s="5" t="s">
        <v>303</v>
      </c>
      <c r="BJ2264" s="5" t="s">
        <v>240</v>
      </c>
      <c r="BK2264" s="8">
        <f>0</f>
        <v>0</v>
      </c>
      <c r="BL2264" s="7">
        <f>0</f>
        <v>0</v>
      </c>
      <c r="BM2264" s="5" t="s">
        <v>258</v>
      </c>
      <c r="BN2264" s="5" t="s">
        <v>259</v>
      </c>
      <c r="CB2264" s="5" t="s">
        <v>240</v>
      </c>
      <c r="CC2264" s="5" t="s">
        <v>240</v>
      </c>
      <c r="CG2264" s="5" t="s">
        <v>304</v>
      </c>
      <c r="CH2264" s="5" t="s">
        <v>305</v>
      </c>
      <c r="CI2264" s="5" t="s">
        <v>240</v>
      </c>
      <c r="CL2264" s="6" t="s">
        <v>261</v>
      </c>
      <c r="CM2264" s="5" t="s">
        <v>240</v>
      </c>
      <c r="CN2264" s="5" t="s">
        <v>263</v>
      </c>
      <c r="CO2264" s="5" t="s">
        <v>240</v>
      </c>
      <c r="CP2264" s="5" t="s">
        <v>240</v>
      </c>
      <c r="CQ2264" s="5">
        <v>0</v>
      </c>
      <c r="CR2264" s="5" t="s">
        <v>306</v>
      </c>
      <c r="CS2264" s="5" t="s">
        <v>307</v>
      </c>
      <c r="CT2264" s="5" t="s">
        <v>307</v>
      </c>
      <c r="CU2264" s="5" t="s">
        <v>260</v>
      </c>
      <c r="CX2264" s="7">
        <f>1</f>
        <v>1</v>
      </c>
      <c r="CY2264" s="7">
        <f>0</f>
        <v>0</v>
      </c>
      <c r="DA2264" s="7">
        <f>0</f>
        <v>0</v>
      </c>
      <c r="DC2264" s="5" t="s">
        <v>812</v>
      </c>
      <c r="DD2264" s="5" t="s">
        <v>240</v>
      </c>
      <c r="DF2264" s="5" t="s">
        <v>812</v>
      </c>
      <c r="DG2264" s="7">
        <f>338</f>
        <v>338</v>
      </c>
      <c r="DI2264" s="5" t="s">
        <v>240</v>
      </c>
      <c r="DJ2264" s="5" t="s">
        <v>240</v>
      </c>
      <c r="DK2264" s="5" t="s">
        <v>240</v>
      </c>
      <c r="DL2264" s="5" t="s">
        <v>240</v>
      </c>
      <c r="DP2264" s="5" t="s">
        <v>240</v>
      </c>
      <c r="DQ2264" s="5" t="s">
        <v>240</v>
      </c>
      <c r="DR2264" s="5" t="s">
        <v>240</v>
      </c>
      <c r="DS2264" s="5" t="s">
        <v>240</v>
      </c>
      <c r="DV2264" s="5" t="s">
        <v>813</v>
      </c>
      <c r="DW2264" s="5" t="s">
        <v>772</v>
      </c>
      <c r="HO2264" s="5" t="s">
        <v>312</v>
      </c>
    </row>
    <row r="2265" spans="1:223" x14ac:dyDescent="0.4">
      <c r="A2265" s="5">
        <v>3969</v>
      </c>
      <c r="B2265" s="5">
        <v>1</v>
      </c>
      <c r="C2265" s="5">
        <v>1</v>
      </c>
      <c r="D2265" s="5" t="s">
        <v>810</v>
      </c>
      <c r="E2265" s="5" t="s">
        <v>245</v>
      </c>
      <c r="F2265" s="5" t="s">
        <v>254</v>
      </c>
      <c r="G2265" s="5" t="s">
        <v>240</v>
      </c>
      <c r="H2265" s="6" t="s">
        <v>811</v>
      </c>
      <c r="I2265" s="5" t="s">
        <v>809</v>
      </c>
      <c r="J2265" s="8">
        <f>702</f>
        <v>702</v>
      </c>
      <c r="K2265" s="5" t="s">
        <v>308</v>
      </c>
      <c r="L2265" s="7">
        <f>1</f>
        <v>1</v>
      </c>
      <c r="M2265" s="7">
        <f>1</f>
        <v>1</v>
      </c>
      <c r="N2265" s="5" t="s">
        <v>242</v>
      </c>
      <c r="O2265" s="5">
        <v>1</v>
      </c>
      <c r="P2265" s="5" t="s">
        <v>294</v>
      </c>
      <c r="Q2265" s="5" t="s">
        <v>266</v>
      </c>
      <c r="R2265" s="5" t="s">
        <v>240</v>
      </c>
      <c r="S2265" s="5" t="s">
        <v>240</v>
      </c>
      <c r="T2265" s="5" t="s">
        <v>296</v>
      </c>
      <c r="U2265" s="5" t="s">
        <v>244</v>
      </c>
      <c r="V2265" s="5" t="s">
        <v>240</v>
      </c>
      <c r="Y2265" s="5" t="s">
        <v>240</v>
      </c>
      <c r="Z2265" s="6" t="s">
        <v>298</v>
      </c>
      <c r="AB2265" s="6" t="s">
        <v>240</v>
      </c>
      <c r="AE2265" s="6" t="s">
        <v>299</v>
      </c>
      <c r="AF2265" s="5" t="s">
        <v>248</v>
      </c>
      <c r="AG2265" s="5" t="s">
        <v>249</v>
      </c>
      <c r="AW2265" s="5" t="s">
        <v>251</v>
      </c>
      <c r="AX2265" s="5" t="s">
        <v>240</v>
      </c>
      <c r="AY2265" s="5" t="s">
        <v>253</v>
      </c>
      <c r="AZ2265" s="5" t="s">
        <v>240</v>
      </c>
      <c r="BA2265" s="5" t="s">
        <v>255</v>
      </c>
      <c r="BB2265" s="5" t="s">
        <v>240</v>
      </c>
      <c r="BD2265" s="5" t="s">
        <v>240</v>
      </c>
      <c r="BF2265" s="5" t="s">
        <v>301</v>
      </c>
      <c r="BG2265" s="6" t="s">
        <v>299</v>
      </c>
      <c r="BH2265" s="5" t="s">
        <v>302</v>
      </c>
      <c r="BI2265" s="5" t="s">
        <v>303</v>
      </c>
      <c r="BJ2265" s="5" t="s">
        <v>240</v>
      </c>
      <c r="BK2265" s="8">
        <f>0</f>
        <v>0</v>
      </c>
      <c r="BL2265" s="7">
        <f>0</f>
        <v>0</v>
      </c>
      <c r="BM2265" s="5" t="s">
        <v>258</v>
      </c>
      <c r="BN2265" s="5" t="s">
        <v>259</v>
      </c>
      <c r="CB2265" s="5" t="s">
        <v>240</v>
      </c>
      <c r="CC2265" s="5" t="s">
        <v>240</v>
      </c>
      <c r="CG2265" s="5" t="s">
        <v>304</v>
      </c>
      <c r="CH2265" s="5" t="s">
        <v>305</v>
      </c>
      <c r="CI2265" s="5" t="s">
        <v>240</v>
      </c>
      <c r="CL2265" s="6" t="s">
        <v>261</v>
      </c>
      <c r="CM2265" s="5" t="s">
        <v>240</v>
      </c>
      <c r="CN2265" s="5" t="s">
        <v>263</v>
      </c>
      <c r="CO2265" s="5" t="s">
        <v>240</v>
      </c>
      <c r="CP2265" s="5" t="s">
        <v>240</v>
      </c>
      <c r="CQ2265" s="5">
        <v>0</v>
      </c>
      <c r="CR2265" s="5" t="s">
        <v>306</v>
      </c>
      <c r="CS2265" s="5" t="s">
        <v>307</v>
      </c>
      <c r="CT2265" s="5" t="s">
        <v>307</v>
      </c>
      <c r="CU2265" s="5" t="s">
        <v>260</v>
      </c>
      <c r="CX2265" s="7">
        <f>1</f>
        <v>1</v>
      </c>
      <c r="CY2265" s="7">
        <f>0</f>
        <v>0</v>
      </c>
      <c r="DA2265" s="7">
        <f>0</f>
        <v>0</v>
      </c>
      <c r="DC2265" s="5" t="s">
        <v>812</v>
      </c>
      <c r="DD2265" s="5" t="s">
        <v>240</v>
      </c>
      <c r="DF2265" s="5" t="s">
        <v>812</v>
      </c>
      <c r="DG2265" s="7">
        <f>250</f>
        <v>250</v>
      </c>
      <c r="DI2265" s="5" t="s">
        <v>240</v>
      </c>
      <c r="DJ2265" s="5" t="s">
        <v>240</v>
      </c>
      <c r="DK2265" s="5" t="s">
        <v>240</v>
      </c>
      <c r="DL2265" s="5" t="s">
        <v>240</v>
      </c>
      <c r="DP2265" s="5" t="s">
        <v>240</v>
      </c>
      <c r="DQ2265" s="5" t="s">
        <v>240</v>
      </c>
      <c r="DR2265" s="5" t="s">
        <v>240</v>
      </c>
      <c r="DS2265" s="5" t="s">
        <v>240</v>
      </c>
      <c r="DV2265" s="5" t="s">
        <v>813</v>
      </c>
      <c r="DW2265" s="5" t="s">
        <v>775</v>
      </c>
      <c r="HO2265" s="5" t="s">
        <v>312</v>
      </c>
    </row>
    <row r="2266" spans="1:223" x14ac:dyDescent="0.4">
      <c r="A2266" s="5">
        <v>3970</v>
      </c>
      <c r="B2266" s="5">
        <v>1</v>
      </c>
      <c r="C2266" s="5">
        <v>1</v>
      </c>
      <c r="D2266" s="5" t="s">
        <v>810</v>
      </c>
      <c r="E2266" s="5" t="s">
        <v>245</v>
      </c>
      <c r="F2266" s="5" t="s">
        <v>254</v>
      </c>
      <c r="G2266" s="5" t="s">
        <v>240</v>
      </c>
      <c r="H2266" s="6" t="s">
        <v>860</v>
      </c>
      <c r="I2266" s="5" t="s">
        <v>809</v>
      </c>
      <c r="J2266" s="8">
        <f>879</f>
        <v>879</v>
      </c>
      <c r="K2266" s="5" t="s">
        <v>308</v>
      </c>
      <c r="L2266" s="7">
        <f>1</f>
        <v>1</v>
      </c>
      <c r="M2266" s="7">
        <f>1</f>
        <v>1</v>
      </c>
      <c r="N2266" s="5" t="s">
        <v>242</v>
      </c>
      <c r="O2266" s="5">
        <v>1</v>
      </c>
      <c r="P2266" s="5" t="s">
        <v>294</v>
      </c>
      <c r="Q2266" s="5" t="s">
        <v>266</v>
      </c>
      <c r="R2266" s="5" t="s">
        <v>240</v>
      </c>
      <c r="S2266" s="5" t="s">
        <v>240</v>
      </c>
      <c r="T2266" s="5" t="s">
        <v>296</v>
      </c>
      <c r="U2266" s="5" t="s">
        <v>244</v>
      </c>
      <c r="V2266" s="5" t="s">
        <v>240</v>
      </c>
      <c r="Y2266" s="5" t="s">
        <v>240</v>
      </c>
      <c r="Z2266" s="6" t="s">
        <v>298</v>
      </c>
      <c r="AB2266" s="6" t="s">
        <v>240</v>
      </c>
      <c r="AE2266" s="6" t="s">
        <v>299</v>
      </c>
      <c r="AF2266" s="5" t="s">
        <v>248</v>
      </c>
      <c r="AG2266" s="5" t="s">
        <v>249</v>
      </c>
      <c r="AW2266" s="5" t="s">
        <v>251</v>
      </c>
      <c r="AX2266" s="5" t="s">
        <v>240</v>
      </c>
      <c r="AY2266" s="5" t="s">
        <v>253</v>
      </c>
      <c r="AZ2266" s="5" t="s">
        <v>240</v>
      </c>
      <c r="BA2266" s="5" t="s">
        <v>255</v>
      </c>
      <c r="BB2266" s="5" t="s">
        <v>240</v>
      </c>
      <c r="BD2266" s="5" t="s">
        <v>240</v>
      </c>
      <c r="BF2266" s="5" t="s">
        <v>301</v>
      </c>
      <c r="BG2266" s="6" t="s">
        <v>299</v>
      </c>
      <c r="BH2266" s="5" t="s">
        <v>302</v>
      </c>
      <c r="BI2266" s="5" t="s">
        <v>303</v>
      </c>
      <c r="BJ2266" s="5" t="s">
        <v>240</v>
      </c>
      <c r="BK2266" s="8">
        <f>0</f>
        <v>0</v>
      </c>
      <c r="BL2266" s="7">
        <f>0</f>
        <v>0</v>
      </c>
      <c r="BM2266" s="5" t="s">
        <v>258</v>
      </c>
      <c r="BN2266" s="5" t="s">
        <v>259</v>
      </c>
      <c r="CB2266" s="5" t="s">
        <v>240</v>
      </c>
      <c r="CC2266" s="5" t="s">
        <v>240</v>
      </c>
      <c r="CG2266" s="5" t="s">
        <v>304</v>
      </c>
      <c r="CH2266" s="5" t="s">
        <v>305</v>
      </c>
      <c r="CI2266" s="5" t="s">
        <v>240</v>
      </c>
      <c r="CL2266" s="6" t="s">
        <v>261</v>
      </c>
      <c r="CM2266" s="5" t="s">
        <v>240</v>
      </c>
      <c r="CN2266" s="5" t="s">
        <v>263</v>
      </c>
      <c r="CO2266" s="5" t="s">
        <v>240</v>
      </c>
      <c r="CP2266" s="5" t="s">
        <v>240</v>
      </c>
      <c r="CQ2266" s="5">
        <v>0</v>
      </c>
      <c r="CR2266" s="5" t="s">
        <v>306</v>
      </c>
      <c r="CS2266" s="5" t="s">
        <v>307</v>
      </c>
      <c r="CT2266" s="5" t="s">
        <v>307</v>
      </c>
      <c r="CU2266" s="5" t="s">
        <v>260</v>
      </c>
      <c r="CX2266" s="7">
        <f>1</f>
        <v>1</v>
      </c>
      <c r="CY2266" s="7">
        <f>0</f>
        <v>0</v>
      </c>
      <c r="DA2266" s="7">
        <f>0</f>
        <v>0</v>
      </c>
      <c r="DC2266" s="5" t="s">
        <v>812</v>
      </c>
      <c r="DD2266" s="5" t="s">
        <v>240</v>
      </c>
      <c r="DF2266" s="5" t="s">
        <v>812</v>
      </c>
      <c r="DG2266" s="7">
        <f>188</f>
        <v>188</v>
      </c>
      <c r="DI2266" s="5" t="s">
        <v>240</v>
      </c>
      <c r="DJ2266" s="5" t="s">
        <v>240</v>
      </c>
      <c r="DK2266" s="5" t="s">
        <v>240</v>
      </c>
      <c r="DL2266" s="5" t="s">
        <v>240</v>
      </c>
      <c r="DP2266" s="5" t="s">
        <v>240</v>
      </c>
      <c r="DQ2266" s="5" t="s">
        <v>240</v>
      </c>
      <c r="DR2266" s="5" t="s">
        <v>240</v>
      </c>
      <c r="DS2266" s="5" t="s">
        <v>240</v>
      </c>
      <c r="DV2266" s="5" t="s">
        <v>813</v>
      </c>
      <c r="DW2266" s="5" t="s">
        <v>958</v>
      </c>
      <c r="HO2266" s="5" t="s">
        <v>312</v>
      </c>
    </row>
    <row r="2267" spans="1:223" x14ac:dyDescent="0.4">
      <c r="A2267" s="5">
        <v>3971</v>
      </c>
      <c r="B2267" s="5">
        <v>1</v>
      </c>
      <c r="C2267" s="5">
        <v>1</v>
      </c>
      <c r="D2267" s="5" t="s">
        <v>810</v>
      </c>
      <c r="E2267" s="5" t="s">
        <v>245</v>
      </c>
      <c r="F2267" s="5" t="s">
        <v>254</v>
      </c>
      <c r="G2267" s="5" t="s">
        <v>240</v>
      </c>
      <c r="H2267" s="6" t="s">
        <v>924</v>
      </c>
      <c r="I2267" s="5" t="s">
        <v>809</v>
      </c>
      <c r="J2267" s="8">
        <f>934</f>
        <v>934</v>
      </c>
      <c r="K2267" s="5" t="s">
        <v>308</v>
      </c>
      <c r="L2267" s="7">
        <f>1</f>
        <v>1</v>
      </c>
      <c r="M2267" s="7">
        <f>1</f>
        <v>1</v>
      </c>
      <c r="N2267" s="5" t="s">
        <v>242</v>
      </c>
      <c r="O2267" s="5">
        <v>1</v>
      </c>
      <c r="P2267" s="5" t="s">
        <v>294</v>
      </c>
      <c r="Q2267" s="5" t="s">
        <v>266</v>
      </c>
      <c r="R2267" s="5" t="s">
        <v>240</v>
      </c>
      <c r="S2267" s="5" t="s">
        <v>240</v>
      </c>
      <c r="T2267" s="5" t="s">
        <v>296</v>
      </c>
      <c r="U2267" s="5" t="s">
        <v>244</v>
      </c>
      <c r="V2267" s="5" t="s">
        <v>240</v>
      </c>
      <c r="Y2267" s="5" t="s">
        <v>240</v>
      </c>
      <c r="Z2267" s="6" t="s">
        <v>298</v>
      </c>
      <c r="AB2267" s="6" t="s">
        <v>240</v>
      </c>
      <c r="AE2267" s="6" t="s">
        <v>299</v>
      </c>
      <c r="AF2267" s="5" t="s">
        <v>248</v>
      </c>
      <c r="AG2267" s="5" t="s">
        <v>249</v>
      </c>
      <c r="AW2267" s="5" t="s">
        <v>251</v>
      </c>
      <c r="AX2267" s="5" t="s">
        <v>240</v>
      </c>
      <c r="AY2267" s="5" t="s">
        <v>253</v>
      </c>
      <c r="AZ2267" s="5" t="s">
        <v>240</v>
      </c>
      <c r="BA2267" s="5" t="s">
        <v>255</v>
      </c>
      <c r="BB2267" s="5" t="s">
        <v>240</v>
      </c>
      <c r="BD2267" s="5" t="s">
        <v>240</v>
      </c>
      <c r="BF2267" s="5" t="s">
        <v>301</v>
      </c>
      <c r="BG2267" s="6" t="s">
        <v>299</v>
      </c>
      <c r="BH2267" s="5" t="s">
        <v>302</v>
      </c>
      <c r="BI2267" s="5" t="s">
        <v>303</v>
      </c>
      <c r="BJ2267" s="5" t="s">
        <v>240</v>
      </c>
      <c r="BK2267" s="8">
        <f>0</f>
        <v>0</v>
      </c>
      <c r="BL2267" s="7">
        <f>0</f>
        <v>0</v>
      </c>
      <c r="BM2267" s="5" t="s">
        <v>258</v>
      </c>
      <c r="BN2267" s="5" t="s">
        <v>259</v>
      </c>
      <c r="CB2267" s="5" t="s">
        <v>240</v>
      </c>
      <c r="CC2267" s="5" t="s">
        <v>240</v>
      </c>
      <c r="CG2267" s="5" t="s">
        <v>304</v>
      </c>
      <c r="CH2267" s="5" t="s">
        <v>305</v>
      </c>
      <c r="CI2267" s="5" t="s">
        <v>240</v>
      </c>
      <c r="CL2267" s="6" t="s">
        <v>261</v>
      </c>
      <c r="CM2267" s="5" t="s">
        <v>240</v>
      </c>
      <c r="CN2267" s="5" t="s">
        <v>263</v>
      </c>
      <c r="CO2267" s="5" t="s">
        <v>240</v>
      </c>
      <c r="CP2267" s="5" t="s">
        <v>240</v>
      </c>
      <c r="CQ2267" s="5">
        <v>0</v>
      </c>
      <c r="CR2267" s="5" t="s">
        <v>306</v>
      </c>
      <c r="CS2267" s="5" t="s">
        <v>307</v>
      </c>
      <c r="CT2267" s="5" t="s">
        <v>307</v>
      </c>
      <c r="CU2267" s="5" t="s">
        <v>260</v>
      </c>
      <c r="CX2267" s="7">
        <f>1</f>
        <v>1</v>
      </c>
      <c r="CY2267" s="7">
        <f>0</f>
        <v>0</v>
      </c>
      <c r="DA2267" s="7">
        <f>0</f>
        <v>0</v>
      </c>
      <c r="DC2267" s="5" t="s">
        <v>812</v>
      </c>
      <c r="DD2267" s="5" t="s">
        <v>240</v>
      </c>
      <c r="DF2267" s="5" t="s">
        <v>812</v>
      </c>
      <c r="DG2267" s="7">
        <f>650</f>
        <v>650</v>
      </c>
      <c r="DI2267" s="5" t="s">
        <v>240</v>
      </c>
      <c r="DJ2267" s="5" t="s">
        <v>240</v>
      </c>
      <c r="DK2267" s="5" t="s">
        <v>240</v>
      </c>
      <c r="DL2267" s="5" t="s">
        <v>240</v>
      </c>
      <c r="DP2267" s="5" t="s">
        <v>240</v>
      </c>
      <c r="DQ2267" s="5" t="s">
        <v>240</v>
      </c>
      <c r="DR2267" s="5" t="s">
        <v>240</v>
      </c>
      <c r="DS2267" s="5" t="s">
        <v>240</v>
      </c>
      <c r="DV2267" s="5" t="s">
        <v>813</v>
      </c>
      <c r="DW2267" s="5" t="s">
        <v>779</v>
      </c>
      <c r="HO2267" s="5" t="s">
        <v>312</v>
      </c>
    </row>
    <row r="2268" spans="1:223" x14ac:dyDescent="0.4">
      <c r="A2268" s="5">
        <v>3972</v>
      </c>
      <c r="B2268" s="5">
        <v>1</v>
      </c>
      <c r="C2268" s="5">
        <v>1</v>
      </c>
      <c r="D2268" s="5" t="s">
        <v>810</v>
      </c>
      <c r="E2268" s="5" t="s">
        <v>245</v>
      </c>
      <c r="F2268" s="5" t="s">
        <v>254</v>
      </c>
      <c r="G2268" s="5" t="s">
        <v>240</v>
      </c>
      <c r="H2268" s="6" t="s">
        <v>948</v>
      </c>
      <c r="I2268" s="5" t="s">
        <v>809</v>
      </c>
      <c r="J2268" s="8">
        <f>2319</f>
        <v>2319</v>
      </c>
      <c r="K2268" s="5" t="s">
        <v>308</v>
      </c>
      <c r="L2268" s="7">
        <f>1</f>
        <v>1</v>
      </c>
      <c r="M2268" s="7">
        <f>1</f>
        <v>1</v>
      </c>
      <c r="N2268" s="5" t="s">
        <v>242</v>
      </c>
      <c r="O2268" s="5">
        <v>1</v>
      </c>
      <c r="P2268" s="5" t="s">
        <v>294</v>
      </c>
      <c r="Q2268" s="5" t="s">
        <v>266</v>
      </c>
      <c r="R2268" s="5" t="s">
        <v>240</v>
      </c>
      <c r="S2268" s="5" t="s">
        <v>240</v>
      </c>
      <c r="T2268" s="5" t="s">
        <v>296</v>
      </c>
      <c r="U2268" s="5" t="s">
        <v>244</v>
      </c>
      <c r="V2268" s="5" t="s">
        <v>240</v>
      </c>
      <c r="Y2268" s="5" t="s">
        <v>240</v>
      </c>
      <c r="Z2268" s="6" t="s">
        <v>298</v>
      </c>
      <c r="AB2268" s="6" t="s">
        <v>240</v>
      </c>
      <c r="AE2268" s="6" t="s">
        <v>299</v>
      </c>
      <c r="AF2268" s="5" t="s">
        <v>248</v>
      </c>
      <c r="AG2268" s="5" t="s">
        <v>249</v>
      </c>
      <c r="AW2268" s="5" t="s">
        <v>251</v>
      </c>
      <c r="AX2268" s="5" t="s">
        <v>240</v>
      </c>
      <c r="AY2268" s="5" t="s">
        <v>253</v>
      </c>
      <c r="AZ2268" s="5" t="s">
        <v>240</v>
      </c>
      <c r="BA2268" s="5" t="s">
        <v>255</v>
      </c>
      <c r="BB2268" s="5" t="s">
        <v>240</v>
      </c>
      <c r="BD2268" s="5" t="s">
        <v>240</v>
      </c>
      <c r="BF2268" s="5" t="s">
        <v>301</v>
      </c>
      <c r="BG2268" s="6" t="s">
        <v>299</v>
      </c>
      <c r="BH2268" s="5" t="s">
        <v>302</v>
      </c>
      <c r="BI2268" s="5" t="s">
        <v>303</v>
      </c>
      <c r="BJ2268" s="5" t="s">
        <v>240</v>
      </c>
      <c r="BK2268" s="8">
        <f>0</f>
        <v>0</v>
      </c>
      <c r="BL2268" s="7">
        <f>0</f>
        <v>0</v>
      </c>
      <c r="BM2268" s="5" t="s">
        <v>258</v>
      </c>
      <c r="BN2268" s="5" t="s">
        <v>259</v>
      </c>
      <c r="CB2268" s="5" t="s">
        <v>240</v>
      </c>
      <c r="CC2268" s="5" t="s">
        <v>240</v>
      </c>
      <c r="CG2268" s="5" t="s">
        <v>304</v>
      </c>
      <c r="CH2268" s="5" t="s">
        <v>305</v>
      </c>
      <c r="CI2268" s="5" t="s">
        <v>240</v>
      </c>
      <c r="CL2268" s="6" t="s">
        <v>261</v>
      </c>
      <c r="CM2268" s="5" t="s">
        <v>240</v>
      </c>
      <c r="CN2268" s="5" t="s">
        <v>263</v>
      </c>
      <c r="CO2268" s="5" t="s">
        <v>240</v>
      </c>
      <c r="CP2268" s="5" t="s">
        <v>240</v>
      </c>
      <c r="CQ2268" s="5">
        <v>0</v>
      </c>
      <c r="CR2268" s="5" t="s">
        <v>306</v>
      </c>
      <c r="CS2268" s="5" t="s">
        <v>307</v>
      </c>
      <c r="CT2268" s="5" t="s">
        <v>307</v>
      </c>
      <c r="CU2268" s="5" t="s">
        <v>260</v>
      </c>
      <c r="CX2268" s="7">
        <f>1</f>
        <v>1</v>
      </c>
      <c r="CY2268" s="7">
        <f>0</f>
        <v>0</v>
      </c>
      <c r="DA2268" s="7">
        <f>0</f>
        <v>0</v>
      </c>
      <c r="DC2268" s="5" t="s">
        <v>812</v>
      </c>
      <c r="DD2268" s="5" t="s">
        <v>240</v>
      </c>
      <c r="DF2268" s="5" t="s">
        <v>812</v>
      </c>
      <c r="DG2268" s="7">
        <f>2955</f>
        <v>2955</v>
      </c>
      <c r="DI2268" s="5" t="s">
        <v>240</v>
      </c>
      <c r="DJ2268" s="5" t="s">
        <v>240</v>
      </c>
      <c r="DK2268" s="5" t="s">
        <v>240</v>
      </c>
      <c r="DL2268" s="5" t="s">
        <v>240</v>
      </c>
      <c r="DP2268" s="5" t="s">
        <v>240</v>
      </c>
      <c r="DQ2268" s="5" t="s">
        <v>240</v>
      </c>
      <c r="DR2268" s="5" t="s">
        <v>240</v>
      </c>
      <c r="DS2268" s="5" t="s">
        <v>240</v>
      </c>
      <c r="DV2268" s="5" t="s">
        <v>813</v>
      </c>
      <c r="DW2268" s="5" t="s">
        <v>781</v>
      </c>
      <c r="HO2268" s="5" t="s">
        <v>312</v>
      </c>
    </row>
    <row r="2269" spans="1:223" x14ac:dyDescent="0.4">
      <c r="A2269" s="5">
        <v>3973</v>
      </c>
      <c r="B2269" s="5">
        <v>1</v>
      </c>
      <c r="C2269" s="5">
        <v>1</v>
      </c>
      <c r="D2269" s="5" t="s">
        <v>810</v>
      </c>
      <c r="E2269" s="5" t="s">
        <v>245</v>
      </c>
      <c r="F2269" s="5" t="s">
        <v>254</v>
      </c>
      <c r="G2269" s="5" t="s">
        <v>240</v>
      </c>
      <c r="H2269" s="6" t="s">
        <v>1024</v>
      </c>
      <c r="I2269" s="5" t="s">
        <v>809</v>
      </c>
      <c r="J2269" s="8">
        <f>240</f>
        <v>240</v>
      </c>
      <c r="K2269" s="5" t="s">
        <v>308</v>
      </c>
      <c r="L2269" s="7">
        <f>1</f>
        <v>1</v>
      </c>
      <c r="M2269" s="7">
        <f>1</f>
        <v>1</v>
      </c>
      <c r="N2269" s="5" t="s">
        <v>242</v>
      </c>
      <c r="O2269" s="5">
        <v>1</v>
      </c>
      <c r="P2269" s="5" t="s">
        <v>294</v>
      </c>
      <c r="Q2269" s="5" t="s">
        <v>266</v>
      </c>
      <c r="R2269" s="5" t="s">
        <v>240</v>
      </c>
      <c r="S2269" s="5" t="s">
        <v>240</v>
      </c>
      <c r="T2269" s="5" t="s">
        <v>296</v>
      </c>
      <c r="U2269" s="5" t="s">
        <v>244</v>
      </c>
      <c r="V2269" s="5" t="s">
        <v>240</v>
      </c>
      <c r="Y2269" s="5" t="s">
        <v>240</v>
      </c>
      <c r="Z2269" s="6" t="s">
        <v>298</v>
      </c>
      <c r="AB2269" s="6" t="s">
        <v>240</v>
      </c>
      <c r="AE2269" s="6" t="s">
        <v>299</v>
      </c>
      <c r="AF2269" s="5" t="s">
        <v>248</v>
      </c>
      <c r="AG2269" s="5" t="s">
        <v>249</v>
      </c>
      <c r="AW2269" s="5" t="s">
        <v>251</v>
      </c>
      <c r="AX2269" s="5" t="s">
        <v>240</v>
      </c>
      <c r="AY2269" s="5" t="s">
        <v>253</v>
      </c>
      <c r="AZ2269" s="5" t="s">
        <v>240</v>
      </c>
      <c r="BA2269" s="5" t="s">
        <v>255</v>
      </c>
      <c r="BB2269" s="5" t="s">
        <v>240</v>
      </c>
      <c r="BD2269" s="5" t="s">
        <v>240</v>
      </c>
      <c r="BF2269" s="5" t="s">
        <v>301</v>
      </c>
      <c r="BG2269" s="6" t="s">
        <v>299</v>
      </c>
      <c r="BH2269" s="5" t="s">
        <v>302</v>
      </c>
      <c r="BI2269" s="5" t="s">
        <v>303</v>
      </c>
      <c r="BJ2269" s="5" t="s">
        <v>240</v>
      </c>
      <c r="BK2269" s="8">
        <f>0</f>
        <v>0</v>
      </c>
      <c r="BL2269" s="7">
        <f>0</f>
        <v>0</v>
      </c>
      <c r="BM2269" s="5" t="s">
        <v>258</v>
      </c>
      <c r="BN2269" s="5" t="s">
        <v>259</v>
      </c>
      <c r="CB2269" s="5" t="s">
        <v>240</v>
      </c>
      <c r="CC2269" s="5" t="s">
        <v>240</v>
      </c>
      <c r="CG2269" s="5" t="s">
        <v>304</v>
      </c>
      <c r="CH2269" s="5" t="s">
        <v>305</v>
      </c>
      <c r="CI2269" s="5" t="s">
        <v>240</v>
      </c>
      <c r="CL2269" s="6" t="s">
        <v>261</v>
      </c>
      <c r="CM2269" s="5" t="s">
        <v>240</v>
      </c>
      <c r="CN2269" s="5" t="s">
        <v>263</v>
      </c>
      <c r="CO2269" s="5" t="s">
        <v>240</v>
      </c>
      <c r="CP2269" s="5" t="s">
        <v>240</v>
      </c>
      <c r="CQ2269" s="5">
        <v>0</v>
      </c>
      <c r="CR2269" s="5" t="s">
        <v>306</v>
      </c>
      <c r="CS2269" s="5" t="s">
        <v>307</v>
      </c>
      <c r="CT2269" s="5" t="s">
        <v>307</v>
      </c>
      <c r="CU2269" s="5" t="s">
        <v>260</v>
      </c>
      <c r="CX2269" s="7">
        <f>1</f>
        <v>1</v>
      </c>
      <c r="CY2269" s="7">
        <f>0</f>
        <v>0</v>
      </c>
      <c r="DA2269" s="7">
        <f>0</f>
        <v>0</v>
      </c>
      <c r="DC2269" s="5" t="s">
        <v>812</v>
      </c>
      <c r="DD2269" s="5" t="s">
        <v>240</v>
      </c>
      <c r="DF2269" s="5" t="s">
        <v>812</v>
      </c>
      <c r="DG2269" s="7">
        <f>2284</f>
        <v>2284</v>
      </c>
      <c r="DI2269" s="5" t="s">
        <v>240</v>
      </c>
      <c r="DJ2269" s="5" t="s">
        <v>240</v>
      </c>
      <c r="DK2269" s="5" t="s">
        <v>240</v>
      </c>
      <c r="DL2269" s="5" t="s">
        <v>240</v>
      </c>
      <c r="DP2269" s="5" t="s">
        <v>240</v>
      </c>
      <c r="DQ2269" s="5" t="s">
        <v>240</v>
      </c>
      <c r="DR2269" s="5" t="s">
        <v>240</v>
      </c>
      <c r="DS2269" s="5" t="s">
        <v>240</v>
      </c>
      <c r="DV2269" s="5" t="s">
        <v>813</v>
      </c>
      <c r="DW2269" s="5" t="s">
        <v>785</v>
      </c>
      <c r="HO2269" s="5" t="s">
        <v>312</v>
      </c>
    </row>
    <row r="2270" spans="1:223" x14ac:dyDescent="0.4">
      <c r="A2270" s="5">
        <v>3974</v>
      </c>
      <c r="B2270" s="5">
        <v>1</v>
      </c>
      <c r="C2270" s="5">
        <v>1</v>
      </c>
      <c r="D2270" s="5" t="s">
        <v>810</v>
      </c>
      <c r="E2270" s="5" t="s">
        <v>245</v>
      </c>
      <c r="F2270" s="5" t="s">
        <v>254</v>
      </c>
      <c r="G2270" s="5" t="s">
        <v>240</v>
      </c>
      <c r="H2270" s="6" t="s">
        <v>1207</v>
      </c>
      <c r="I2270" s="5" t="s">
        <v>809</v>
      </c>
      <c r="J2270" s="8">
        <f>2142</f>
        <v>2142</v>
      </c>
      <c r="K2270" s="5" t="s">
        <v>308</v>
      </c>
      <c r="L2270" s="7">
        <f>1</f>
        <v>1</v>
      </c>
      <c r="M2270" s="7">
        <f>1</f>
        <v>1</v>
      </c>
      <c r="N2270" s="5" t="s">
        <v>242</v>
      </c>
      <c r="O2270" s="5">
        <v>1</v>
      </c>
      <c r="P2270" s="5" t="s">
        <v>294</v>
      </c>
      <c r="Q2270" s="5" t="s">
        <v>266</v>
      </c>
      <c r="R2270" s="5" t="s">
        <v>240</v>
      </c>
      <c r="S2270" s="5" t="s">
        <v>240</v>
      </c>
      <c r="T2270" s="5" t="s">
        <v>296</v>
      </c>
      <c r="U2270" s="5" t="s">
        <v>244</v>
      </c>
      <c r="V2270" s="5" t="s">
        <v>240</v>
      </c>
      <c r="Y2270" s="5" t="s">
        <v>240</v>
      </c>
      <c r="Z2270" s="6" t="s">
        <v>298</v>
      </c>
      <c r="AB2270" s="6" t="s">
        <v>240</v>
      </c>
      <c r="AE2270" s="6" t="s">
        <v>299</v>
      </c>
      <c r="AF2270" s="5" t="s">
        <v>248</v>
      </c>
      <c r="AG2270" s="5" t="s">
        <v>249</v>
      </c>
      <c r="AW2270" s="5" t="s">
        <v>251</v>
      </c>
      <c r="AX2270" s="5" t="s">
        <v>240</v>
      </c>
      <c r="AY2270" s="5" t="s">
        <v>253</v>
      </c>
      <c r="AZ2270" s="5" t="s">
        <v>240</v>
      </c>
      <c r="BA2270" s="5" t="s">
        <v>255</v>
      </c>
      <c r="BB2270" s="5" t="s">
        <v>240</v>
      </c>
      <c r="BD2270" s="5" t="s">
        <v>240</v>
      </c>
      <c r="BF2270" s="5" t="s">
        <v>301</v>
      </c>
      <c r="BG2270" s="6" t="s">
        <v>299</v>
      </c>
      <c r="BH2270" s="5" t="s">
        <v>302</v>
      </c>
      <c r="BI2270" s="5" t="s">
        <v>303</v>
      </c>
      <c r="BJ2270" s="5" t="s">
        <v>240</v>
      </c>
      <c r="BK2270" s="8">
        <f>0</f>
        <v>0</v>
      </c>
      <c r="BL2270" s="7">
        <f>0</f>
        <v>0</v>
      </c>
      <c r="BM2270" s="5" t="s">
        <v>258</v>
      </c>
      <c r="BN2270" s="5" t="s">
        <v>259</v>
      </c>
      <c r="CB2270" s="5" t="s">
        <v>240</v>
      </c>
      <c r="CC2270" s="5" t="s">
        <v>240</v>
      </c>
      <c r="CG2270" s="5" t="s">
        <v>304</v>
      </c>
      <c r="CH2270" s="5" t="s">
        <v>305</v>
      </c>
      <c r="CI2270" s="5" t="s">
        <v>240</v>
      </c>
      <c r="CL2270" s="6" t="s">
        <v>261</v>
      </c>
      <c r="CM2270" s="5" t="s">
        <v>240</v>
      </c>
      <c r="CN2270" s="5" t="s">
        <v>263</v>
      </c>
      <c r="CO2270" s="5" t="s">
        <v>240</v>
      </c>
      <c r="CP2270" s="5" t="s">
        <v>240</v>
      </c>
      <c r="CQ2270" s="5">
        <v>0</v>
      </c>
      <c r="CR2270" s="5" t="s">
        <v>306</v>
      </c>
      <c r="CS2270" s="5" t="s">
        <v>307</v>
      </c>
      <c r="CT2270" s="5" t="s">
        <v>307</v>
      </c>
      <c r="CU2270" s="5" t="s">
        <v>260</v>
      </c>
      <c r="CX2270" s="7">
        <f>1</f>
        <v>1</v>
      </c>
      <c r="CY2270" s="7">
        <f>0</f>
        <v>0</v>
      </c>
      <c r="DA2270" s="7">
        <f>0</f>
        <v>0</v>
      </c>
      <c r="DC2270" s="5" t="s">
        <v>812</v>
      </c>
      <c r="DD2270" s="5" t="s">
        <v>240</v>
      </c>
      <c r="DF2270" s="5" t="s">
        <v>812</v>
      </c>
      <c r="DG2270" s="7">
        <f>1267</f>
        <v>1267</v>
      </c>
      <c r="DI2270" s="5" t="s">
        <v>240</v>
      </c>
      <c r="DJ2270" s="5" t="s">
        <v>240</v>
      </c>
      <c r="DK2270" s="5" t="s">
        <v>240</v>
      </c>
      <c r="DL2270" s="5" t="s">
        <v>240</v>
      </c>
      <c r="DP2270" s="5" t="s">
        <v>240</v>
      </c>
      <c r="DQ2270" s="5" t="s">
        <v>240</v>
      </c>
      <c r="DR2270" s="5" t="s">
        <v>240</v>
      </c>
      <c r="DS2270" s="5" t="s">
        <v>240</v>
      </c>
      <c r="DV2270" s="5" t="s">
        <v>813</v>
      </c>
      <c r="DW2270" s="5" t="s">
        <v>787</v>
      </c>
      <c r="HO2270" s="5" t="s">
        <v>312</v>
      </c>
    </row>
    <row r="2271" spans="1:223" x14ac:dyDescent="0.4">
      <c r="A2271" s="5">
        <v>3975</v>
      </c>
      <c r="B2271" s="5">
        <v>1</v>
      </c>
      <c r="C2271" s="5">
        <v>1</v>
      </c>
      <c r="D2271" s="5" t="s">
        <v>810</v>
      </c>
      <c r="E2271" s="5" t="s">
        <v>245</v>
      </c>
      <c r="F2271" s="5" t="s">
        <v>254</v>
      </c>
      <c r="G2271" s="5" t="s">
        <v>240</v>
      </c>
      <c r="H2271" s="6" t="s">
        <v>1317</v>
      </c>
      <c r="I2271" s="5" t="s">
        <v>809</v>
      </c>
      <c r="J2271" s="8">
        <f>905</f>
        <v>905</v>
      </c>
      <c r="K2271" s="5" t="s">
        <v>308</v>
      </c>
      <c r="L2271" s="7">
        <f>1</f>
        <v>1</v>
      </c>
      <c r="M2271" s="7">
        <f>1</f>
        <v>1</v>
      </c>
      <c r="N2271" s="5" t="s">
        <v>242</v>
      </c>
      <c r="O2271" s="5">
        <v>1</v>
      </c>
      <c r="P2271" s="5" t="s">
        <v>294</v>
      </c>
      <c r="Q2271" s="5" t="s">
        <v>266</v>
      </c>
      <c r="R2271" s="5" t="s">
        <v>240</v>
      </c>
      <c r="S2271" s="5" t="s">
        <v>240</v>
      </c>
      <c r="T2271" s="5" t="s">
        <v>296</v>
      </c>
      <c r="U2271" s="5" t="s">
        <v>244</v>
      </c>
      <c r="V2271" s="5" t="s">
        <v>240</v>
      </c>
      <c r="Y2271" s="5" t="s">
        <v>240</v>
      </c>
      <c r="Z2271" s="6" t="s">
        <v>298</v>
      </c>
      <c r="AB2271" s="6" t="s">
        <v>240</v>
      </c>
      <c r="AE2271" s="6" t="s">
        <v>299</v>
      </c>
      <c r="AF2271" s="5" t="s">
        <v>248</v>
      </c>
      <c r="AG2271" s="5" t="s">
        <v>249</v>
      </c>
      <c r="AW2271" s="5" t="s">
        <v>251</v>
      </c>
      <c r="AX2271" s="5" t="s">
        <v>240</v>
      </c>
      <c r="AY2271" s="5" t="s">
        <v>253</v>
      </c>
      <c r="AZ2271" s="5" t="s">
        <v>240</v>
      </c>
      <c r="BA2271" s="5" t="s">
        <v>255</v>
      </c>
      <c r="BB2271" s="5" t="s">
        <v>240</v>
      </c>
      <c r="BD2271" s="5" t="s">
        <v>240</v>
      </c>
      <c r="BF2271" s="5" t="s">
        <v>301</v>
      </c>
      <c r="BG2271" s="6" t="s">
        <v>299</v>
      </c>
      <c r="BH2271" s="5" t="s">
        <v>302</v>
      </c>
      <c r="BI2271" s="5" t="s">
        <v>303</v>
      </c>
      <c r="BJ2271" s="5" t="s">
        <v>240</v>
      </c>
      <c r="BK2271" s="8">
        <f>0</f>
        <v>0</v>
      </c>
      <c r="BL2271" s="7">
        <f>0</f>
        <v>0</v>
      </c>
      <c r="BM2271" s="5" t="s">
        <v>258</v>
      </c>
      <c r="BN2271" s="5" t="s">
        <v>259</v>
      </c>
      <c r="CB2271" s="5" t="s">
        <v>240</v>
      </c>
      <c r="CC2271" s="5" t="s">
        <v>240</v>
      </c>
      <c r="CG2271" s="5" t="s">
        <v>304</v>
      </c>
      <c r="CH2271" s="5" t="s">
        <v>305</v>
      </c>
      <c r="CI2271" s="5" t="s">
        <v>240</v>
      </c>
      <c r="CL2271" s="6" t="s">
        <v>261</v>
      </c>
      <c r="CM2271" s="5" t="s">
        <v>240</v>
      </c>
      <c r="CN2271" s="5" t="s">
        <v>263</v>
      </c>
      <c r="CO2271" s="5" t="s">
        <v>240</v>
      </c>
      <c r="CP2271" s="5" t="s">
        <v>240</v>
      </c>
      <c r="CQ2271" s="5">
        <v>0</v>
      </c>
      <c r="CR2271" s="5" t="s">
        <v>306</v>
      </c>
      <c r="CS2271" s="5" t="s">
        <v>307</v>
      </c>
      <c r="CT2271" s="5" t="s">
        <v>307</v>
      </c>
      <c r="CU2271" s="5" t="s">
        <v>260</v>
      </c>
      <c r="CX2271" s="7">
        <f>1</f>
        <v>1</v>
      </c>
      <c r="CY2271" s="7">
        <f>0</f>
        <v>0</v>
      </c>
      <c r="DA2271" s="7">
        <f>0</f>
        <v>0</v>
      </c>
      <c r="DC2271" s="5" t="s">
        <v>812</v>
      </c>
      <c r="DD2271" s="5" t="s">
        <v>240</v>
      </c>
      <c r="DF2271" s="5" t="s">
        <v>812</v>
      </c>
      <c r="DG2271" s="7">
        <f>4614</f>
        <v>4614</v>
      </c>
      <c r="DI2271" s="5" t="s">
        <v>240</v>
      </c>
      <c r="DJ2271" s="5" t="s">
        <v>240</v>
      </c>
      <c r="DK2271" s="5" t="s">
        <v>240</v>
      </c>
      <c r="DL2271" s="5" t="s">
        <v>240</v>
      </c>
      <c r="DP2271" s="5" t="s">
        <v>240</v>
      </c>
      <c r="DQ2271" s="5" t="s">
        <v>240</v>
      </c>
      <c r="DR2271" s="5" t="s">
        <v>240</v>
      </c>
      <c r="DS2271" s="5" t="s">
        <v>240</v>
      </c>
      <c r="DV2271" s="5" t="s">
        <v>813</v>
      </c>
      <c r="DW2271" s="5" t="s">
        <v>789</v>
      </c>
      <c r="HO2271" s="5" t="s">
        <v>312</v>
      </c>
    </row>
    <row r="2272" spans="1:223" x14ac:dyDescent="0.4">
      <c r="A2272" s="5">
        <v>3976</v>
      </c>
      <c r="B2272" s="5">
        <v>1</v>
      </c>
      <c r="C2272" s="5">
        <v>1</v>
      </c>
      <c r="D2272" s="5" t="s">
        <v>810</v>
      </c>
      <c r="E2272" s="5" t="s">
        <v>245</v>
      </c>
      <c r="F2272" s="5" t="s">
        <v>254</v>
      </c>
      <c r="G2272" s="5" t="s">
        <v>240</v>
      </c>
      <c r="H2272" s="6" t="s">
        <v>1392</v>
      </c>
      <c r="I2272" s="5" t="s">
        <v>809</v>
      </c>
      <c r="J2272" s="8">
        <f>92</f>
        <v>92</v>
      </c>
      <c r="K2272" s="5" t="s">
        <v>308</v>
      </c>
      <c r="L2272" s="7">
        <f>1</f>
        <v>1</v>
      </c>
      <c r="M2272" s="7">
        <f>1</f>
        <v>1</v>
      </c>
      <c r="N2272" s="5" t="s">
        <v>242</v>
      </c>
      <c r="O2272" s="5">
        <v>1</v>
      </c>
      <c r="P2272" s="5" t="s">
        <v>294</v>
      </c>
      <c r="Q2272" s="5" t="s">
        <v>266</v>
      </c>
      <c r="R2272" s="5" t="s">
        <v>240</v>
      </c>
      <c r="S2272" s="5" t="s">
        <v>240</v>
      </c>
      <c r="T2272" s="5" t="s">
        <v>296</v>
      </c>
      <c r="U2272" s="5" t="s">
        <v>244</v>
      </c>
      <c r="V2272" s="5" t="s">
        <v>240</v>
      </c>
      <c r="Y2272" s="5" t="s">
        <v>240</v>
      </c>
      <c r="Z2272" s="6" t="s">
        <v>298</v>
      </c>
      <c r="AB2272" s="6" t="s">
        <v>240</v>
      </c>
      <c r="AE2272" s="6" t="s">
        <v>299</v>
      </c>
      <c r="AF2272" s="5" t="s">
        <v>248</v>
      </c>
      <c r="AG2272" s="5" t="s">
        <v>249</v>
      </c>
      <c r="AW2272" s="5" t="s">
        <v>251</v>
      </c>
      <c r="AX2272" s="5" t="s">
        <v>240</v>
      </c>
      <c r="AY2272" s="5" t="s">
        <v>253</v>
      </c>
      <c r="AZ2272" s="5" t="s">
        <v>240</v>
      </c>
      <c r="BA2272" s="5" t="s">
        <v>255</v>
      </c>
      <c r="BB2272" s="5" t="s">
        <v>240</v>
      </c>
      <c r="BD2272" s="5" t="s">
        <v>240</v>
      </c>
      <c r="BF2272" s="5" t="s">
        <v>301</v>
      </c>
      <c r="BG2272" s="6" t="s">
        <v>299</v>
      </c>
      <c r="BH2272" s="5" t="s">
        <v>302</v>
      </c>
      <c r="BI2272" s="5" t="s">
        <v>303</v>
      </c>
      <c r="BJ2272" s="5" t="s">
        <v>240</v>
      </c>
      <c r="BK2272" s="8">
        <f>0</f>
        <v>0</v>
      </c>
      <c r="BL2272" s="7">
        <f>0</f>
        <v>0</v>
      </c>
      <c r="BM2272" s="5" t="s">
        <v>258</v>
      </c>
      <c r="BN2272" s="5" t="s">
        <v>259</v>
      </c>
      <c r="CB2272" s="5" t="s">
        <v>240</v>
      </c>
      <c r="CC2272" s="5" t="s">
        <v>240</v>
      </c>
      <c r="CG2272" s="5" t="s">
        <v>304</v>
      </c>
      <c r="CH2272" s="5" t="s">
        <v>305</v>
      </c>
      <c r="CI2272" s="5" t="s">
        <v>240</v>
      </c>
      <c r="CL2272" s="6" t="s">
        <v>261</v>
      </c>
      <c r="CM2272" s="5" t="s">
        <v>240</v>
      </c>
      <c r="CN2272" s="5" t="s">
        <v>263</v>
      </c>
      <c r="CO2272" s="5" t="s">
        <v>240</v>
      </c>
      <c r="CP2272" s="5" t="s">
        <v>240</v>
      </c>
      <c r="CQ2272" s="5">
        <v>0</v>
      </c>
      <c r="CR2272" s="5" t="s">
        <v>306</v>
      </c>
      <c r="CS2272" s="5" t="s">
        <v>307</v>
      </c>
      <c r="CT2272" s="5" t="s">
        <v>307</v>
      </c>
      <c r="CU2272" s="5" t="s">
        <v>260</v>
      </c>
      <c r="CX2272" s="7">
        <f>1</f>
        <v>1</v>
      </c>
      <c r="CY2272" s="7">
        <f>0</f>
        <v>0</v>
      </c>
      <c r="DA2272" s="7">
        <f>0</f>
        <v>0</v>
      </c>
      <c r="DC2272" s="5" t="s">
        <v>812</v>
      </c>
      <c r="DD2272" s="5" t="s">
        <v>240</v>
      </c>
      <c r="DF2272" s="5" t="s">
        <v>812</v>
      </c>
      <c r="DG2272" s="7">
        <f>1398</f>
        <v>1398</v>
      </c>
      <c r="DI2272" s="5" t="s">
        <v>240</v>
      </c>
      <c r="DJ2272" s="5" t="s">
        <v>240</v>
      </c>
      <c r="DK2272" s="5" t="s">
        <v>240</v>
      </c>
      <c r="DL2272" s="5" t="s">
        <v>240</v>
      </c>
      <c r="DP2272" s="5" t="s">
        <v>240</v>
      </c>
      <c r="DQ2272" s="5" t="s">
        <v>240</v>
      </c>
      <c r="DR2272" s="5" t="s">
        <v>240</v>
      </c>
      <c r="DS2272" s="5" t="s">
        <v>240</v>
      </c>
      <c r="DV2272" s="5" t="s">
        <v>813</v>
      </c>
      <c r="DW2272" s="5" t="s">
        <v>825</v>
      </c>
      <c r="HO2272" s="5" t="s">
        <v>312</v>
      </c>
    </row>
    <row r="2273" spans="1:223" x14ac:dyDescent="0.4">
      <c r="A2273" s="5">
        <v>3977</v>
      </c>
      <c r="B2273" s="5">
        <v>1</v>
      </c>
      <c r="C2273" s="5">
        <v>1</v>
      </c>
      <c r="D2273" s="5" t="s">
        <v>810</v>
      </c>
      <c r="E2273" s="5" t="s">
        <v>245</v>
      </c>
      <c r="F2273" s="5" t="s">
        <v>254</v>
      </c>
      <c r="G2273" s="5" t="s">
        <v>240</v>
      </c>
      <c r="H2273" s="6" t="s">
        <v>1476</v>
      </c>
      <c r="I2273" s="5" t="s">
        <v>809</v>
      </c>
      <c r="J2273" s="8">
        <f>2099</f>
        <v>2099</v>
      </c>
      <c r="K2273" s="5" t="s">
        <v>308</v>
      </c>
      <c r="L2273" s="7">
        <f>1</f>
        <v>1</v>
      </c>
      <c r="M2273" s="7">
        <f>1</f>
        <v>1</v>
      </c>
      <c r="N2273" s="5" t="s">
        <v>242</v>
      </c>
      <c r="O2273" s="5">
        <v>1</v>
      </c>
      <c r="P2273" s="5" t="s">
        <v>294</v>
      </c>
      <c r="Q2273" s="5" t="s">
        <v>266</v>
      </c>
      <c r="R2273" s="5" t="s">
        <v>240</v>
      </c>
      <c r="S2273" s="5" t="s">
        <v>240</v>
      </c>
      <c r="T2273" s="5" t="s">
        <v>296</v>
      </c>
      <c r="U2273" s="5" t="s">
        <v>244</v>
      </c>
      <c r="V2273" s="5" t="s">
        <v>240</v>
      </c>
      <c r="Y2273" s="5" t="s">
        <v>240</v>
      </c>
      <c r="Z2273" s="6" t="s">
        <v>298</v>
      </c>
      <c r="AB2273" s="6" t="s">
        <v>240</v>
      </c>
      <c r="AE2273" s="6" t="s">
        <v>299</v>
      </c>
      <c r="AF2273" s="5" t="s">
        <v>248</v>
      </c>
      <c r="AG2273" s="5" t="s">
        <v>249</v>
      </c>
      <c r="AW2273" s="5" t="s">
        <v>251</v>
      </c>
      <c r="AX2273" s="5" t="s">
        <v>240</v>
      </c>
      <c r="AY2273" s="5" t="s">
        <v>253</v>
      </c>
      <c r="AZ2273" s="5" t="s">
        <v>240</v>
      </c>
      <c r="BA2273" s="5" t="s">
        <v>255</v>
      </c>
      <c r="BB2273" s="5" t="s">
        <v>240</v>
      </c>
      <c r="BD2273" s="5" t="s">
        <v>240</v>
      </c>
      <c r="BF2273" s="5" t="s">
        <v>301</v>
      </c>
      <c r="BG2273" s="6" t="s">
        <v>299</v>
      </c>
      <c r="BH2273" s="5" t="s">
        <v>302</v>
      </c>
      <c r="BI2273" s="5" t="s">
        <v>303</v>
      </c>
      <c r="BJ2273" s="5" t="s">
        <v>240</v>
      </c>
      <c r="BK2273" s="8">
        <f>0</f>
        <v>0</v>
      </c>
      <c r="BL2273" s="7">
        <f>0</f>
        <v>0</v>
      </c>
      <c r="BM2273" s="5" t="s">
        <v>258</v>
      </c>
      <c r="BN2273" s="5" t="s">
        <v>259</v>
      </c>
      <c r="CB2273" s="5" t="s">
        <v>240</v>
      </c>
      <c r="CC2273" s="5" t="s">
        <v>240</v>
      </c>
      <c r="CG2273" s="5" t="s">
        <v>304</v>
      </c>
      <c r="CH2273" s="5" t="s">
        <v>305</v>
      </c>
      <c r="CI2273" s="5" t="s">
        <v>240</v>
      </c>
      <c r="CL2273" s="6" t="s">
        <v>261</v>
      </c>
      <c r="CM2273" s="5" t="s">
        <v>240</v>
      </c>
      <c r="CN2273" s="5" t="s">
        <v>263</v>
      </c>
      <c r="CO2273" s="5" t="s">
        <v>240</v>
      </c>
      <c r="CP2273" s="5" t="s">
        <v>240</v>
      </c>
      <c r="CQ2273" s="5">
        <v>0</v>
      </c>
      <c r="CR2273" s="5" t="s">
        <v>306</v>
      </c>
      <c r="CS2273" s="5" t="s">
        <v>307</v>
      </c>
      <c r="CT2273" s="5" t="s">
        <v>307</v>
      </c>
      <c r="CU2273" s="5" t="s">
        <v>260</v>
      </c>
      <c r="CX2273" s="7">
        <f>1</f>
        <v>1</v>
      </c>
      <c r="CY2273" s="7">
        <f>0</f>
        <v>0</v>
      </c>
      <c r="DA2273" s="7">
        <f>0</f>
        <v>0</v>
      </c>
      <c r="DC2273" s="5" t="s">
        <v>812</v>
      </c>
      <c r="DD2273" s="5" t="s">
        <v>240</v>
      </c>
      <c r="DF2273" s="5" t="s">
        <v>812</v>
      </c>
      <c r="DG2273" s="7">
        <f>2184</f>
        <v>2184</v>
      </c>
      <c r="DI2273" s="5" t="s">
        <v>240</v>
      </c>
      <c r="DJ2273" s="5" t="s">
        <v>240</v>
      </c>
      <c r="DK2273" s="5" t="s">
        <v>240</v>
      </c>
      <c r="DL2273" s="5" t="s">
        <v>240</v>
      </c>
      <c r="DP2273" s="5" t="s">
        <v>240</v>
      </c>
      <c r="DQ2273" s="5" t="s">
        <v>240</v>
      </c>
      <c r="DR2273" s="5" t="s">
        <v>240</v>
      </c>
      <c r="DS2273" s="5" t="s">
        <v>240</v>
      </c>
      <c r="DV2273" s="5" t="s">
        <v>813</v>
      </c>
      <c r="DW2273" s="5" t="s">
        <v>791</v>
      </c>
      <c r="HO2273" s="5" t="s">
        <v>312</v>
      </c>
    </row>
    <row r="2274" spans="1:223" x14ac:dyDescent="0.4">
      <c r="A2274" s="5">
        <v>3978</v>
      </c>
      <c r="B2274" s="5">
        <v>1</v>
      </c>
      <c r="C2274" s="5">
        <v>1</v>
      </c>
      <c r="D2274" s="5" t="s">
        <v>810</v>
      </c>
      <c r="E2274" s="5" t="s">
        <v>245</v>
      </c>
      <c r="F2274" s="5" t="s">
        <v>254</v>
      </c>
      <c r="G2274" s="5" t="s">
        <v>240</v>
      </c>
      <c r="H2274" s="6" t="s">
        <v>1573</v>
      </c>
      <c r="I2274" s="5" t="s">
        <v>809</v>
      </c>
      <c r="J2274" s="8">
        <f>1232</f>
        <v>1232</v>
      </c>
      <c r="K2274" s="5" t="s">
        <v>308</v>
      </c>
      <c r="L2274" s="7">
        <f>1</f>
        <v>1</v>
      </c>
      <c r="M2274" s="7">
        <f>1</f>
        <v>1</v>
      </c>
      <c r="N2274" s="5" t="s">
        <v>242</v>
      </c>
      <c r="O2274" s="5">
        <v>1</v>
      </c>
      <c r="P2274" s="5" t="s">
        <v>294</v>
      </c>
      <c r="Q2274" s="5" t="s">
        <v>266</v>
      </c>
      <c r="R2274" s="5" t="s">
        <v>240</v>
      </c>
      <c r="S2274" s="5" t="s">
        <v>240</v>
      </c>
      <c r="T2274" s="5" t="s">
        <v>296</v>
      </c>
      <c r="U2274" s="5" t="s">
        <v>244</v>
      </c>
      <c r="V2274" s="5" t="s">
        <v>240</v>
      </c>
      <c r="Y2274" s="5" t="s">
        <v>240</v>
      </c>
      <c r="Z2274" s="6" t="s">
        <v>298</v>
      </c>
      <c r="AB2274" s="6" t="s">
        <v>240</v>
      </c>
      <c r="AE2274" s="6" t="s">
        <v>299</v>
      </c>
      <c r="AF2274" s="5" t="s">
        <v>248</v>
      </c>
      <c r="AG2274" s="5" t="s">
        <v>249</v>
      </c>
      <c r="AW2274" s="5" t="s">
        <v>251</v>
      </c>
      <c r="AX2274" s="5" t="s">
        <v>240</v>
      </c>
      <c r="AY2274" s="5" t="s">
        <v>253</v>
      </c>
      <c r="AZ2274" s="5" t="s">
        <v>240</v>
      </c>
      <c r="BA2274" s="5" t="s">
        <v>255</v>
      </c>
      <c r="BB2274" s="5" t="s">
        <v>240</v>
      </c>
      <c r="BD2274" s="5" t="s">
        <v>240</v>
      </c>
      <c r="BF2274" s="5" t="s">
        <v>301</v>
      </c>
      <c r="BG2274" s="6" t="s">
        <v>299</v>
      </c>
      <c r="BH2274" s="5" t="s">
        <v>302</v>
      </c>
      <c r="BI2274" s="5" t="s">
        <v>303</v>
      </c>
      <c r="BJ2274" s="5" t="s">
        <v>240</v>
      </c>
      <c r="BK2274" s="8">
        <f>0</f>
        <v>0</v>
      </c>
      <c r="BL2274" s="7">
        <f>0</f>
        <v>0</v>
      </c>
      <c r="BM2274" s="5" t="s">
        <v>258</v>
      </c>
      <c r="BN2274" s="5" t="s">
        <v>259</v>
      </c>
      <c r="CB2274" s="5" t="s">
        <v>240</v>
      </c>
      <c r="CC2274" s="5" t="s">
        <v>240</v>
      </c>
      <c r="CG2274" s="5" t="s">
        <v>304</v>
      </c>
      <c r="CH2274" s="5" t="s">
        <v>305</v>
      </c>
      <c r="CI2274" s="5" t="s">
        <v>240</v>
      </c>
      <c r="CL2274" s="6" t="s">
        <v>261</v>
      </c>
      <c r="CM2274" s="5" t="s">
        <v>240</v>
      </c>
      <c r="CN2274" s="5" t="s">
        <v>263</v>
      </c>
      <c r="CO2274" s="5" t="s">
        <v>240</v>
      </c>
      <c r="CP2274" s="5" t="s">
        <v>240</v>
      </c>
      <c r="CQ2274" s="5">
        <v>0</v>
      </c>
      <c r="CR2274" s="5" t="s">
        <v>306</v>
      </c>
      <c r="CS2274" s="5" t="s">
        <v>307</v>
      </c>
      <c r="CT2274" s="5" t="s">
        <v>307</v>
      </c>
      <c r="CU2274" s="5" t="s">
        <v>260</v>
      </c>
      <c r="CX2274" s="7">
        <f>1</f>
        <v>1</v>
      </c>
      <c r="CY2274" s="7">
        <f>0</f>
        <v>0</v>
      </c>
      <c r="DA2274" s="7">
        <f>0</f>
        <v>0</v>
      </c>
      <c r="DC2274" s="5" t="s">
        <v>812</v>
      </c>
      <c r="DD2274" s="5" t="s">
        <v>240</v>
      </c>
      <c r="DF2274" s="5" t="s">
        <v>812</v>
      </c>
      <c r="DG2274" s="7">
        <f>1093</f>
        <v>1093</v>
      </c>
      <c r="DI2274" s="5" t="s">
        <v>240</v>
      </c>
      <c r="DJ2274" s="5" t="s">
        <v>240</v>
      </c>
      <c r="DK2274" s="5" t="s">
        <v>240</v>
      </c>
      <c r="DL2274" s="5" t="s">
        <v>240</v>
      </c>
      <c r="DP2274" s="5" t="s">
        <v>240</v>
      </c>
      <c r="DQ2274" s="5" t="s">
        <v>240</v>
      </c>
      <c r="DR2274" s="5" t="s">
        <v>240</v>
      </c>
      <c r="DS2274" s="5" t="s">
        <v>240</v>
      </c>
      <c r="DV2274" s="5" t="s">
        <v>813</v>
      </c>
      <c r="DW2274" s="5" t="s">
        <v>793</v>
      </c>
      <c r="HO2274" s="5" t="s">
        <v>312</v>
      </c>
    </row>
    <row r="2275" spans="1:223" x14ac:dyDescent="0.4">
      <c r="A2275" s="5">
        <v>3979</v>
      </c>
      <c r="B2275" s="5">
        <v>1</v>
      </c>
      <c r="C2275" s="5">
        <v>1</v>
      </c>
      <c r="D2275" s="5" t="s">
        <v>810</v>
      </c>
      <c r="E2275" s="5" t="s">
        <v>245</v>
      </c>
      <c r="F2275" s="5" t="s">
        <v>254</v>
      </c>
      <c r="G2275" s="5" t="s">
        <v>240</v>
      </c>
      <c r="H2275" s="6" t="s">
        <v>1578</v>
      </c>
      <c r="I2275" s="5" t="s">
        <v>809</v>
      </c>
      <c r="J2275" s="8">
        <f>866</f>
        <v>866</v>
      </c>
      <c r="K2275" s="5" t="s">
        <v>308</v>
      </c>
      <c r="L2275" s="7">
        <f>1</f>
        <v>1</v>
      </c>
      <c r="M2275" s="7">
        <f>1</f>
        <v>1</v>
      </c>
      <c r="N2275" s="5" t="s">
        <v>242</v>
      </c>
      <c r="O2275" s="5">
        <v>1</v>
      </c>
      <c r="P2275" s="5" t="s">
        <v>294</v>
      </c>
      <c r="Q2275" s="5" t="s">
        <v>266</v>
      </c>
      <c r="R2275" s="5" t="s">
        <v>240</v>
      </c>
      <c r="S2275" s="5" t="s">
        <v>240</v>
      </c>
      <c r="T2275" s="5" t="s">
        <v>296</v>
      </c>
      <c r="U2275" s="5" t="s">
        <v>244</v>
      </c>
      <c r="V2275" s="5" t="s">
        <v>240</v>
      </c>
      <c r="Y2275" s="5" t="s">
        <v>240</v>
      </c>
      <c r="Z2275" s="6" t="s">
        <v>298</v>
      </c>
      <c r="AB2275" s="6" t="s">
        <v>240</v>
      </c>
      <c r="AE2275" s="6" t="s">
        <v>299</v>
      </c>
      <c r="AF2275" s="5" t="s">
        <v>248</v>
      </c>
      <c r="AG2275" s="5" t="s">
        <v>249</v>
      </c>
      <c r="AW2275" s="5" t="s">
        <v>251</v>
      </c>
      <c r="AX2275" s="5" t="s">
        <v>240</v>
      </c>
      <c r="AY2275" s="5" t="s">
        <v>253</v>
      </c>
      <c r="AZ2275" s="5" t="s">
        <v>240</v>
      </c>
      <c r="BA2275" s="5" t="s">
        <v>255</v>
      </c>
      <c r="BB2275" s="5" t="s">
        <v>240</v>
      </c>
      <c r="BD2275" s="5" t="s">
        <v>240</v>
      </c>
      <c r="BF2275" s="5" t="s">
        <v>301</v>
      </c>
      <c r="BG2275" s="6" t="s">
        <v>299</v>
      </c>
      <c r="BH2275" s="5" t="s">
        <v>302</v>
      </c>
      <c r="BI2275" s="5" t="s">
        <v>303</v>
      </c>
      <c r="BJ2275" s="5" t="s">
        <v>240</v>
      </c>
      <c r="BK2275" s="8">
        <f>0</f>
        <v>0</v>
      </c>
      <c r="BL2275" s="7">
        <f>0</f>
        <v>0</v>
      </c>
      <c r="BM2275" s="5" t="s">
        <v>258</v>
      </c>
      <c r="BN2275" s="5" t="s">
        <v>259</v>
      </c>
      <c r="CB2275" s="5" t="s">
        <v>240</v>
      </c>
      <c r="CC2275" s="5" t="s">
        <v>240</v>
      </c>
      <c r="CG2275" s="5" t="s">
        <v>304</v>
      </c>
      <c r="CH2275" s="5" t="s">
        <v>305</v>
      </c>
      <c r="CI2275" s="5" t="s">
        <v>240</v>
      </c>
      <c r="CL2275" s="6" t="s">
        <v>261</v>
      </c>
      <c r="CM2275" s="5" t="s">
        <v>240</v>
      </c>
      <c r="CN2275" s="5" t="s">
        <v>263</v>
      </c>
      <c r="CO2275" s="5" t="s">
        <v>240</v>
      </c>
      <c r="CP2275" s="5" t="s">
        <v>240</v>
      </c>
      <c r="CQ2275" s="5">
        <v>0</v>
      </c>
      <c r="CR2275" s="5" t="s">
        <v>306</v>
      </c>
      <c r="CS2275" s="5" t="s">
        <v>307</v>
      </c>
      <c r="CT2275" s="5" t="s">
        <v>307</v>
      </c>
      <c r="CU2275" s="5" t="s">
        <v>260</v>
      </c>
      <c r="CX2275" s="7">
        <f>1</f>
        <v>1</v>
      </c>
      <c r="CY2275" s="7">
        <f>0</f>
        <v>0</v>
      </c>
      <c r="DA2275" s="7">
        <f>0</f>
        <v>0</v>
      </c>
      <c r="DC2275" s="5" t="s">
        <v>812</v>
      </c>
      <c r="DD2275" s="5" t="s">
        <v>240</v>
      </c>
      <c r="DF2275" s="5" t="s">
        <v>812</v>
      </c>
      <c r="DG2275" s="7">
        <f>1154</f>
        <v>1154</v>
      </c>
      <c r="DI2275" s="5" t="s">
        <v>240</v>
      </c>
      <c r="DJ2275" s="5" t="s">
        <v>240</v>
      </c>
      <c r="DK2275" s="5" t="s">
        <v>240</v>
      </c>
      <c r="DL2275" s="5" t="s">
        <v>240</v>
      </c>
      <c r="DP2275" s="5" t="s">
        <v>240</v>
      </c>
      <c r="DQ2275" s="5" t="s">
        <v>240</v>
      </c>
      <c r="DR2275" s="5" t="s">
        <v>240</v>
      </c>
      <c r="DS2275" s="5" t="s">
        <v>240</v>
      </c>
      <c r="DV2275" s="5" t="s">
        <v>813</v>
      </c>
      <c r="DW2275" s="5" t="s">
        <v>795</v>
      </c>
      <c r="HO2275" s="5" t="s">
        <v>312</v>
      </c>
    </row>
    <row r="2276" spans="1:223" x14ac:dyDescent="0.4">
      <c r="A2276" s="5">
        <v>3980</v>
      </c>
      <c r="B2276" s="5">
        <v>1</v>
      </c>
      <c r="C2276" s="5">
        <v>1</v>
      </c>
      <c r="D2276" s="5" t="s">
        <v>810</v>
      </c>
      <c r="E2276" s="5" t="s">
        <v>245</v>
      </c>
      <c r="F2276" s="5" t="s">
        <v>254</v>
      </c>
      <c r="G2276" s="5" t="s">
        <v>240</v>
      </c>
      <c r="H2276" s="6" t="s">
        <v>1580</v>
      </c>
      <c r="I2276" s="5" t="s">
        <v>809</v>
      </c>
      <c r="J2276" s="8">
        <f>2279</f>
        <v>2279</v>
      </c>
      <c r="K2276" s="5" t="s">
        <v>308</v>
      </c>
      <c r="L2276" s="7">
        <f>1</f>
        <v>1</v>
      </c>
      <c r="M2276" s="7">
        <f>1</f>
        <v>1</v>
      </c>
      <c r="N2276" s="5" t="s">
        <v>242</v>
      </c>
      <c r="O2276" s="5">
        <v>1</v>
      </c>
      <c r="P2276" s="5" t="s">
        <v>294</v>
      </c>
      <c r="Q2276" s="5" t="s">
        <v>266</v>
      </c>
      <c r="R2276" s="5" t="s">
        <v>240</v>
      </c>
      <c r="S2276" s="5" t="s">
        <v>240</v>
      </c>
      <c r="T2276" s="5" t="s">
        <v>296</v>
      </c>
      <c r="U2276" s="5" t="s">
        <v>244</v>
      </c>
      <c r="V2276" s="5" t="s">
        <v>240</v>
      </c>
      <c r="Y2276" s="5" t="s">
        <v>240</v>
      </c>
      <c r="Z2276" s="6" t="s">
        <v>298</v>
      </c>
      <c r="AB2276" s="6" t="s">
        <v>240</v>
      </c>
      <c r="AE2276" s="6" t="s">
        <v>299</v>
      </c>
      <c r="AF2276" s="5" t="s">
        <v>248</v>
      </c>
      <c r="AG2276" s="5" t="s">
        <v>249</v>
      </c>
      <c r="AW2276" s="5" t="s">
        <v>251</v>
      </c>
      <c r="AX2276" s="5" t="s">
        <v>240</v>
      </c>
      <c r="AY2276" s="5" t="s">
        <v>253</v>
      </c>
      <c r="AZ2276" s="5" t="s">
        <v>240</v>
      </c>
      <c r="BA2276" s="5" t="s">
        <v>255</v>
      </c>
      <c r="BB2276" s="5" t="s">
        <v>240</v>
      </c>
      <c r="BD2276" s="5" t="s">
        <v>240</v>
      </c>
      <c r="BF2276" s="5" t="s">
        <v>301</v>
      </c>
      <c r="BG2276" s="6" t="s">
        <v>299</v>
      </c>
      <c r="BH2276" s="5" t="s">
        <v>302</v>
      </c>
      <c r="BI2276" s="5" t="s">
        <v>303</v>
      </c>
      <c r="BJ2276" s="5" t="s">
        <v>240</v>
      </c>
      <c r="BK2276" s="8">
        <f>0</f>
        <v>0</v>
      </c>
      <c r="BL2276" s="7">
        <f>0</f>
        <v>0</v>
      </c>
      <c r="BM2276" s="5" t="s">
        <v>258</v>
      </c>
      <c r="BN2276" s="5" t="s">
        <v>259</v>
      </c>
      <c r="CB2276" s="5" t="s">
        <v>240</v>
      </c>
      <c r="CC2276" s="5" t="s">
        <v>240</v>
      </c>
      <c r="CG2276" s="5" t="s">
        <v>304</v>
      </c>
      <c r="CH2276" s="5" t="s">
        <v>305</v>
      </c>
      <c r="CI2276" s="5" t="s">
        <v>240</v>
      </c>
      <c r="CL2276" s="6" t="s">
        <v>261</v>
      </c>
      <c r="CM2276" s="5" t="s">
        <v>240</v>
      </c>
      <c r="CN2276" s="5" t="s">
        <v>263</v>
      </c>
      <c r="CO2276" s="5" t="s">
        <v>240</v>
      </c>
      <c r="CP2276" s="5" t="s">
        <v>240</v>
      </c>
      <c r="CQ2276" s="5">
        <v>0</v>
      </c>
      <c r="CR2276" s="5" t="s">
        <v>306</v>
      </c>
      <c r="CS2276" s="5" t="s">
        <v>307</v>
      </c>
      <c r="CT2276" s="5" t="s">
        <v>307</v>
      </c>
      <c r="CU2276" s="5" t="s">
        <v>260</v>
      </c>
      <c r="CX2276" s="7">
        <f>1</f>
        <v>1</v>
      </c>
      <c r="CY2276" s="7">
        <f>0</f>
        <v>0</v>
      </c>
      <c r="DA2276" s="7">
        <f>0</f>
        <v>0</v>
      </c>
      <c r="DC2276" s="5" t="s">
        <v>812</v>
      </c>
      <c r="DD2276" s="5" t="s">
        <v>240</v>
      </c>
      <c r="DF2276" s="5" t="s">
        <v>812</v>
      </c>
      <c r="DG2276" s="7">
        <f>1201</f>
        <v>1201</v>
      </c>
      <c r="DI2276" s="5" t="s">
        <v>240</v>
      </c>
      <c r="DJ2276" s="5" t="s">
        <v>240</v>
      </c>
      <c r="DK2276" s="5" t="s">
        <v>240</v>
      </c>
      <c r="DL2276" s="5" t="s">
        <v>240</v>
      </c>
      <c r="DP2276" s="5" t="s">
        <v>240</v>
      </c>
      <c r="DQ2276" s="5" t="s">
        <v>240</v>
      </c>
      <c r="DR2276" s="5" t="s">
        <v>240</v>
      </c>
      <c r="DS2276" s="5" t="s">
        <v>240</v>
      </c>
      <c r="DV2276" s="5" t="s">
        <v>813</v>
      </c>
      <c r="DW2276" s="5" t="s">
        <v>799</v>
      </c>
      <c r="HO2276" s="5" t="s">
        <v>312</v>
      </c>
    </row>
    <row r="2277" spans="1:223" x14ac:dyDescent="0.4">
      <c r="A2277" s="5">
        <v>3981</v>
      </c>
      <c r="B2277" s="5">
        <v>1</v>
      </c>
      <c r="C2277" s="5">
        <v>1</v>
      </c>
      <c r="D2277" s="5" t="s">
        <v>810</v>
      </c>
      <c r="E2277" s="5" t="s">
        <v>245</v>
      </c>
      <c r="F2277" s="5" t="s">
        <v>254</v>
      </c>
      <c r="G2277" s="5" t="s">
        <v>240</v>
      </c>
      <c r="H2277" s="6" t="s">
        <v>1585</v>
      </c>
      <c r="I2277" s="5" t="s">
        <v>809</v>
      </c>
      <c r="J2277" s="8">
        <f>1333</f>
        <v>1333</v>
      </c>
      <c r="K2277" s="5" t="s">
        <v>308</v>
      </c>
      <c r="L2277" s="7">
        <f>1</f>
        <v>1</v>
      </c>
      <c r="M2277" s="7">
        <f>1</f>
        <v>1</v>
      </c>
      <c r="N2277" s="5" t="s">
        <v>242</v>
      </c>
      <c r="O2277" s="5">
        <v>1</v>
      </c>
      <c r="P2277" s="5" t="s">
        <v>294</v>
      </c>
      <c r="Q2277" s="5" t="s">
        <v>266</v>
      </c>
      <c r="R2277" s="5" t="s">
        <v>240</v>
      </c>
      <c r="S2277" s="5" t="s">
        <v>240</v>
      </c>
      <c r="T2277" s="5" t="s">
        <v>296</v>
      </c>
      <c r="U2277" s="5" t="s">
        <v>244</v>
      </c>
      <c r="V2277" s="5" t="s">
        <v>240</v>
      </c>
      <c r="Y2277" s="5" t="s">
        <v>240</v>
      </c>
      <c r="Z2277" s="6" t="s">
        <v>298</v>
      </c>
      <c r="AB2277" s="6" t="s">
        <v>240</v>
      </c>
      <c r="AE2277" s="6" t="s">
        <v>299</v>
      </c>
      <c r="AF2277" s="5" t="s">
        <v>248</v>
      </c>
      <c r="AG2277" s="5" t="s">
        <v>249</v>
      </c>
      <c r="AW2277" s="5" t="s">
        <v>251</v>
      </c>
      <c r="AX2277" s="5" t="s">
        <v>240</v>
      </c>
      <c r="AY2277" s="5" t="s">
        <v>253</v>
      </c>
      <c r="AZ2277" s="5" t="s">
        <v>240</v>
      </c>
      <c r="BA2277" s="5" t="s">
        <v>255</v>
      </c>
      <c r="BB2277" s="5" t="s">
        <v>240</v>
      </c>
      <c r="BD2277" s="5" t="s">
        <v>240</v>
      </c>
      <c r="BF2277" s="5" t="s">
        <v>301</v>
      </c>
      <c r="BG2277" s="6" t="s">
        <v>299</v>
      </c>
      <c r="BH2277" s="5" t="s">
        <v>302</v>
      </c>
      <c r="BI2277" s="5" t="s">
        <v>303</v>
      </c>
      <c r="BJ2277" s="5" t="s">
        <v>240</v>
      </c>
      <c r="BK2277" s="8">
        <f>0</f>
        <v>0</v>
      </c>
      <c r="BL2277" s="7">
        <f>0</f>
        <v>0</v>
      </c>
      <c r="BM2277" s="5" t="s">
        <v>258</v>
      </c>
      <c r="BN2277" s="5" t="s">
        <v>259</v>
      </c>
      <c r="CB2277" s="5" t="s">
        <v>240</v>
      </c>
      <c r="CC2277" s="5" t="s">
        <v>240</v>
      </c>
      <c r="CG2277" s="5" t="s">
        <v>304</v>
      </c>
      <c r="CH2277" s="5" t="s">
        <v>305</v>
      </c>
      <c r="CI2277" s="5" t="s">
        <v>240</v>
      </c>
      <c r="CL2277" s="6" t="s">
        <v>261</v>
      </c>
      <c r="CM2277" s="5" t="s">
        <v>240</v>
      </c>
      <c r="CN2277" s="5" t="s">
        <v>263</v>
      </c>
      <c r="CO2277" s="5" t="s">
        <v>240</v>
      </c>
      <c r="CP2277" s="5" t="s">
        <v>240</v>
      </c>
      <c r="CQ2277" s="5">
        <v>0</v>
      </c>
      <c r="CR2277" s="5" t="s">
        <v>306</v>
      </c>
      <c r="CS2277" s="5" t="s">
        <v>307</v>
      </c>
      <c r="CT2277" s="5" t="s">
        <v>307</v>
      </c>
      <c r="CU2277" s="5" t="s">
        <v>260</v>
      </c>
      <c r="CX2277" s="7">
        <f>1</f>
        <v>1</v>
      </c>
      <c r="CY2277" s="7">
        <f>0</f>
        <v>0</v>
      </c>
      <c r="DA2277" s="7">
        <f>0</f>
        <v>0</v>
      </c>
      <c r="DC2277" s="5" t="s">
        <v>812</v>
      </c>
      <c r="DD2277" s="5" t="s">
        <v>240</v>
      </c>
      <c r="DF2277" s="5" t="s">
        <v>812</v>
      </c>
      <c r="DG2277" s="7">
        <f>499</f>
        <v>499</v>
      </c>
      <c r="DI2277" s="5" t="s">
        <v>240</v>
      </c>
      <c r="DJ2277" s="5" t="s">
        <v>240</v>
      </c>
      <c r="DK2277" s="5" t="s">
        <v>240</v>
      </c>
      <c r="DL2277" s="5" t="s">
        <v>240</v>
      </c>
      <c r="DP2277" s="5" t="s">
        <v>240</v>
      </c>
      <c r="DQ2277" s="5" t="s">
        <v>240</v>
      </c>
      <c r="DR2277" s="5" t="s">
        <v>240</v>
      </c>
      <c r="DS2277" s="5" t="s">
        <v>240</v>
      </c>
      <c r="DV2277" s="5" t="s">
        <v>813</v>
      </c>
      <c r="DW2277" s="5" t="s">
        <v>801</v>
      </c>
      <c r="HO2277" s="5" t="s">
        <v>312</v>
      </c>
    </row>
    <row r="2278" spans="1:223" x14ac:dyDescent="0.4">
      <c r="A2278" s="5">
        <v>3982</v>
      </c>
      <c r="B2278" s="5">
        <v>1</v>
      </c>
      <c r="C2278" s="5">
        <v>1</v>
      </c>
      <c r="D2278" s="5" t="s">
        <v>810</v>
      </c>
      <c r="E2278" s="5" t="s">
        <v>245</v>
      </c>
      <c r="F2278" s="5" t="s">
        <v>254</v>
      </c>
      <c r="G2278" s="5" t="s">
        <v>240</v>
      </c>
      <c r="H2278" s="6" t="s">
        <v>1587</v>
      </c>
      <c r="I2278" s="5" t="s">
        <v>809</v>
      </c>
      <c r="J2278" s="8">
        <f>567</f>
        <v>567</v>
      </c>
      <c r="K2278" s="5" t="s">
        <v>308</v>
      </c>
      <c r="L2278" s="7">
        <f>1</f>
        <v>1</v>
      </c>
      <c r="M2278" s="7">
        <f>1</f>
        <v>1</v>
      </c>
      <c r="N2278" s="5" t="s">
        <v>242</v>
      </c>
      <c r="O2278" s="5">
        <v>1</v>
      </c>
      <c r="P2278" s="5" t="s">
        <v>294</v>
      </c>
      <c r="Q2278" s="5" t="s">
        <v>266</v>
      </c>
      <c r="R2278" s="5" t="s">
        <v>240</v>
      </c>
      <c r="S2278" s="5" t="s">
        <v>240</v>
      </c>
      <c r="T2278" s="5" t="s">
        <v>296</v>
      </c>
      <c r="U2278" s="5" t="s">
        <v>244</v>
      </c>
      <c r="V2278" s="5" t="s">
        <v>240</v>
      </c>
      <c r="Y2278" s="5" t="s">
        <v>240</v>
      </c>
      <c r="Z2278" s="6" t="s">
        <v>298</v>
      </c>
      <c r="AB2278" s="6" t="s">
        <v>240</v>
      </c>
      <c r="AE2278" s="6" t="s">
        <v>299</v>
      </c>
      <c r="AF2278" s="5" t="s">
        <v>248</v>
      </c>
      <c r="AG2278" s="5" t="s">
        <v>249</v>
      </c>
      <c r="AW2278" s="5" t="s">
        <v>251</v>
      </c>
      <c r="AX2278" s="5" t="s">
        <v>240</v>
      </c>
      <c r="AY2278" s="5" t="s">
        <v>253</v>
      </c>
      <c r="AZ2278" s="5" t="s">
        <v>240</v>
      </c>
      <c r="BA2278" s="5" t="s">
        <v>255</v>
      </c>
      <c r="BB2278" s="5" t="s">
        <v>240</v>
      </c>
      <c r="BD2278" s="5" t="s">
        <v>240</v>
      </c>
      <c r="BF2278" s="5" t="s">
        <v>301</v>
      </c>
      <c r="BG2278" s="6" t="s">
        <v>299</v>
      </c>
      <c r="BH2278" s="5" t="s">
        <v>302</v>
      </c>
      <c r="BI2278" s="5" t="s">
        <v>303</v>
      </c>
      <c r="BJ2278" s="5" t="s">
        <v>240</v>
      </c>
      <c r="BK2278" s="8">
        <f>0</f>
        <v>0</v>
      </c>
      <c r="BL2278" s="7">
        <f>0</f>
        <v>0</v>
      </c>
      <c r="BM2278" s="5" t="s">
        <v>258</v>
      </c>
      <c r="BN2278" s="5" t="s">
        <v>259</v>
      </c>
      <c r="CB2278" s="5" t="s">
        <v>240</v>
      </c>
      <c r="CC2278" s="5" t="s">
        <v>240</v>
      </c>
      <c r="CG2278" s="5" t="s">
        <v>304</v>
      </c>
      <c r="CH2278" s="5" t="s">
        <v>305</v>
      </c>
      <c r="CI2278" s="5" t="s">
        <v>240</v>
      </c>
      <c r="CL2278" s="6" t="s">
        <v>261</v>
      </c>
      <c r="CM2278" s="5" t="s">
        <v>240</v>
      </c>
      <c r="CN2278" s="5" t="s">
        <v>263</v>
      </c>
      <c r="CO2278" s="5" t="s">
        <v>240</v>
      </c>
      <c r="CP2278" s="5" t="s">
        <v>240</v>
      </c>
      <c r="CQ2278" s="5">
        <v>0</v>
      </c>
      <c r="CR2278" s="5" t="s">
        <v>306</v>
      </c>
      <c r="CS2278" s="5" t="s">
        <v>307</v>
      </c>
      <c r="CT2278" s="5" t="s">
        <v>307</v>
      </c>
      <c r="CU2278" s="5" t="s">
        <v>260</v>
      </c>
      <c r="CX2278" s="7">
        <f>1</f>
        <v>1</v>
      </c>
      <c r="CY2278" s="7">
        <f>0</f>
        <v>0</v>
      </c>
      <c r="DA2278" s="7">
        <f>0</f>
        <v>0</v>
      </c>
      <c r="DC2278" s="5" t="s">
        <v>812</v>
      </c>
      <c r="DD2278" s="5" t="s">
        <v>240</v>
      </c>
      <c r="DF2278" s="5" t="s">
        <v>812</v>
      </c>
      <c r="DG2278" s="7">
        <f>1438</f>
        <v>1438</v>
      </c>
      <c r="DI2278" s="5" t="s">
        <v>240</v>
      </c>
      <c r="DJ2278" s="5" t="s">
        <v>240</v>
      </c>
      <c r="DK2278" s="5" t="s">
        <v>240</v>
      </c>
      <c r="DL2278" s="5" t="s">
        <v>240</v>
      </c>
      <c r="DP2278" s="5" t="s">
        <v>240</v>
      </c>
      <c r="DQ2278" s="5" t="s">
        <v>240</v>
      </c>
      <c r="DR2278" s="5" t="s">
        <v>240</v>
      </c>
      <c r="DS2278" s="5" t="s">
        <v>240</v>
      </c>
      <c r="DV2278" s="5" t="s">
        <v>813</v>
      </c>
      <c r="DW2278" s="5" t="s">
        <v>804</v>
      </c>
      <c r="HO2278" s="5" t="s">
        <v>312</v>
      </c>
    </row>
    <row r="2279" spans="1:223" x14ac:dyDescent="0.4">
      <c r="A2279" s="5">
        <v>3983</v>
      </c>
      <c r="B2279" s="5">
        <v>1</v>
      </c>
      <c r="C2279" s="5">
        <v>1</v>
      </c>
      <c r="D2279" s="5" t="s">
        <v>810</v>
      </c>
      <c r="E2279" s="5" t="s">
        <v>245</v>
      </c>
      <c r="F2279" s="5" t="s">
        <v>254</v>
      </c>
      <c r="G2279" s="5" t="s">
        <v>240</v>
      </c>
      <c r="H2279" s="6" t="s">
        <v>1591</v>
      </c>
      <c r="I2279" s="5" t="s">
        <v>809</v>
      </c>
      <c r="J2279" s="8">
        <f>152</f>
        <v>152</v>
      </c>
      <c r="K2279" s="5" t="s">
        <v>308</v>
      </c>
      <c r="L2279" s="7">
        <f>1</f>
        <v>1</v>
      </c>
      <c r="M2279" s="7">
        <f>1</f>
        <v>1</v>
      </c>
      <c r="N2279" s="5" t="s">
        <v>242</v>
      </c>
      <c r="O2279" s="5">
        <v>1</v>
      </c>
      <c r="P2279" s="5" t="s">
        <v>294</v>
      </c>
      <c r="Q2279" s="5" t="s">
        <v>266</v>
      </c>
      <c r="R2279" s="5" t="s">
        <v>240</v>
      </c>
      <c r="S2279" s="5" t="s">
        <v>240</v>
      </c>
      <c r="T2279" s="5" t="s">
        <v>296</v>
      </c>
      <c r="U2279" s="5" t="s">
        <v>244</v>
      </c>
      <c r="V2279" s="5" t="s">
        <v>240</v>
      </c>
      <c r="Y2279" s="5" t="s">
        <v>240</v>
      </c>
      <c r="Z2279" s="6" t="s">
        <v>298</v>
      </c>
      <c r="AB2279" s="6" t="s">
        <v>240</v>
      </c>
      <c r="AE2279" s="6" t="s">
        <v>299</v>
      </c>
      <c r="AF2279" s="5" t="s">
        <v>248</v>
      </c>
      <c r="AG2279" s="5" t="s">
        <v>249</v>
      </c>
      <c r="AW2279" s="5" t="s">
        <v>251</v>
      </c>
      <c r="AX2279" s="5" t="s">
        <v>240</v>
      </c>
      <c r="AY2279" s="5" t="s">
        <v>253</v>
      </c>
      <c r="AZ2279" s="5" t="s">
        <v>240</v>
      </c>
      <c r="BA2279" s="5" t="s">
        <v>255</v>
      </c>
      <c r="BB2279" s="5" t="s">
        <v>240</v>
      </c>
      <c r="BD2279" s="5" t="s">
        <v>240</v>
      </c>
      <c r="BF2279" s="5" t="s">
        <v>301</v>
      </c>
      <c r="BG2279" s="6" t="s">
        <v>299</v>
      </c>
      <c r="BH2279" s="5" t="s">
        <v>302</v>
      </c>
      <c r="BI2279" s="5" t="s">
        <v>303</v>
      </c>
      <c r="BJ2279" s="5" t="s">
        <v>240</v>
      </c>
      <c r="BK2279" s="8">
        <f>0</f>
        <v>0</v>
      </c>
      <c r="BL2279" s="7">
        <f>0</f>
        <v>0</v>
      </c>
      <c r="BM2279" s="5" t="s">
        <v>258</v>
      </c>
      <c r="BN2279" s="5" t="s">
        <v>259</v>
      </c>
      <c r="CB2279" s="5" t="s">
        <v>240</v>
      </c>
      <c r="CC2279" s="5" t="s">
        <v>240</v>
      </c>
      <c r="CG2279" s="5" t="s">
        <v>304</v>
      </c>
      <c r="CH2279" s="5" t="s">
        <v>305</v>
      </c>
      <c r="CI2279" s="5" t="s">
        <v>240</v>
      </c>
      <c r="CL2279" s="6" t="s">
        <v>261</v>
      </c>
      <c r="CM2279" s="5" t="s">
        <v>240</v>
      </c>
      <c r="CN2279" s="5" t="s">
        <v>263</v>
      </c>
      <c r="CO2279" s="5" t="s">
        <v>240</v>
      </c>
      <c r="CP2279" s="5" t="s">
        <v>240</v>
      </c>
      <c r="CQ2279" s="5">
        <v>0</v>
      </c>
      <c r="CR2279" s="5" t="s">
        <v>306</v>
      </c>
      <c r="CS2279" s="5" t="s">
        <v>307</v>
      </c>
      <c r="CT2279" s="5" t="s">
        <v>307</v>
      </c>
      <c r="CU2279" s="5" t="s">
        <v>260</v>
      </c>
      <c r="CX2279" s="7">
        <f>1</f>
        <v>1</v>
      </c>
      <c r="CY2279" s="7">
        <f>0</f>
        <v>0</v>
      </c>
      <c r="DA2279" s="7">
        <f>0</f>
        <v>0</v>
      </c>
      <c r="DC2279" s="5" t="s">
        <v>812</v>
      </c>
      <c r="DD2279" s="5" t="s">
        <v>240</v>
      </c>
      <c r="DF2279" s="5" t="s">
        <v>812</v>
      </c>
      <c r="DG2279" s="7">
        <f>1089</f>
        <v>1089</v>
      </c>
      <c r="DI2279" s="5" t="s">
        <v>240</v>
      </c>
      <c r="DJ2279" s="5" t="s">
        <v>240</v>
      </c>
      <c r="DK2279" s="5" t="s">
        <v>240</v>
      </c>
      <c r="DL2279" s="5" t="s">
        <v>240</v>
      </c>
      <c r="DP2279" s="5" t="s">
        <v>240</v>
      </c>
      <c r="DQ2279" s="5" t="s">
        <v>240</v>
      </c>
      <c r="DR2279" s="5" t="s">
        <v>240</v>
      </c>
      <c r="DS2279" s="5" t="s">
        <v>240</v>
      </c>
      <c r="DV2279" s="5" t="s">
        <v>813</v>
      </c>
      <c r="DW2279" s="5" t="s">
        <v>808</v>
      </c>
      <c r="HO2279" s="5" t="s">
        <v>312</v>
      </c>
    </row>
    <row r="2280" spans="1:223" x14ac:dyDescent="0.4">
      <c r="A2280" s="5">
        <v>3984</v>
      </c>
      <c r="B2280" s="5">
        <v>1</v>
      </c>
      <c r="C2280" s="5">
        <v>1</v>
      </c>
      <c r="D2280" s="5" t="s">
        <v>810</v>
      </c>
      <c r="E2280" s="5" t="s">
        <v>245</v>
      </c>
      <c r="F2280" s="5" t="s">
        <v>254</v>
      </c>
      <c r="G2280" s="5" t="s">
        <v>240</v>
      </c>
      <c r="H2280" s="6" t="s">
        <v>1592</v>
      </c>
      <c r="I2280" s="5" t="s">
        <v>809</v>
      </c>
      <c r="J2280" s="8">
        <f>156</f>
        <v>156</v>
      </c>
      <c r="K2280" s="5" t="s">
        <v>308</v>
      </c>
      <c r="L2280" s="7">
        <f>1</f>
        <v>1</v>
      </c>
      <c r="M2280" s="7">
        <f>1</f>
        <v>1</v>
      </c>
      <c r="N2280" s="5" t="s">
        <v>242</v>
      </c>
      <c r="O2280" s="5">
        <v>1</v>
      </c>
      <c r="P2280" s="5" t="s">
        <v>294</v>
      </c>
      <c r="Q2280" s="5" t="s">
        <v>266</v>
      </c>
      <c r="R2280" s="5" t="s">
        <v>240</v>
      </c>
      <c r="S2280" s="5" t="s">
        <v>240</v>
      </c>
      <c r="T2280" s="5" t="s">
        <v>296</v>
      </c>
      <c r="U2280" s="5" t="s">
        <v>244</v>
      </c>
      <c r="V2280" s="5" t="s">
        <v>240</v>
      </c>
      <c r="Y2280" s="5" t="s">
        <v>240</v>
      </c>
      <c r="Z2280" s="6" t="s">
        <v>298</v>
      </c>
      <c r="AB2280" s="6" t="s">
        <v>240</v>
      </c>
      <c r="AE2280" s="6" t="s">
        <v>299</v>
      </c>
      <c r="AF2280" s="5" t="s">
        <v>248</v>
      </c>
      <c r="AG2280" s="5" t="s">
        <v>249</v>
      </c>
      <c r="AW2280" s="5" t="s">
        <v>251</v>
      </c>
      <c r="AX2280" s="5" t="s">
        <v>240</v>
      </c>
      <c r="AY2280" s="5" t="s">
        <v>253</v>
      </c>
      <c r="AZ2280" s="5" t="s">
        <v>240</v>
      </c>
      <c r="BA2280" s="5" t="s">
        <v>255</v>
      </c>
      <c r="BB2280" s="5" t="s">
        <v>240</v>
      </c>
      <c r="BD2280" s="5" t="s">
        <v>240</v>
      </c>
      <c r="BF2280" s="5" t="s">
        <v>301</v>
      </c>
      <c r="BG2280" s="6" t="s">
        <v>299</v>
      </c>
      <c r="BH2280" s="5" t="s">
        <v>302</v>
      </c>
      <c r="BI2280" s="5" t="s">
        <v>303</v>
      </c>
      <c r="BJ2280" s="5" t="s">
        <v>240</v>
      </c>
      <c r="BK2280" s="8">
        <f>0</f>
        <v>0</v>
      </c>
      <c r="BL2280" s="7">
        <f>0</f>
        <v>0</v>
      </c>
      <c r="BM2280" s="5" t="s">
        <v>258</v>
      </c>
      <c r="BN2280" s="5" t="s">
        <v>259</v>
      </c>
      <c r="CB2280" s="5" t="s">
        <v>240</v>
      </c>
      <c r="CC2280" s="5" t="s">
        <v>240</v>
      </c>
      <c r="CG2280" s="5" t="s">
        <v>304</v>
      </c>
      <c r="CH2280" s="5" t="s">
        <v>305</v>
      </c>
      <c r="CI2280" s="5" t="s">
        <v>240</v>
      </c>
      <c r="CL2280" s="6" t="s">
        <v>261</v>
      </c>
      <c r="CM2280" s="5" t="s">
        <v>240</v>
      </c>
      <c r="CN2280" s="5" t="s">
        <v>263</v>
      </c>
      <c r="CO2280" s="5" t="s">
        <v>240</v>
      </c>
      <c r="CP2280" s="5" t="s">
        <v>240</v>
      </c>
      <c r="CQ2280" s="5">
        <v>0</v>
      </c>
      <c r="CR2280" s="5" t="s">
        <v>306</v>
      </c>
      <c r="CS2280" s="5" t="s">
        <v>307</v>
      </c>
      <c r="CT2280" s="5" t="s">
        <v>307</v>
      </c>
      <c r="CU2280" s="5" t="s">
        <v>260</v>
      </c>
      <c r="CX2280" s="7">
        <f>1</f>
        <v>1</v>
      </c>
      <c r="CY2280" s="7">
        <f>0</f>
        <v>0</v>
      </c>
      <c r="DA2280" s="7">
        <f>0</f>
        <v>0</v>
      </c>
      <c r="DC2280" s="5" t="s">
        <v>812</v>
      </c>
      <c r="DD2280" s="5" t="s">
        <v>240</v>
      </c>
      <c r="DF2280" s="5" t="s">
        <v>812</v>
      </c>
      <c r="DG2280" s="7">
        <f>496</f>
        <v>496</v>
      </c>
      <c r="DI2280" s="5" t="s">
        <v>240</v>
      </c>
      <c r="DJ2280" s="5" t="s">
        <v>240</v>
      </c>
      <c r="DK2280" s="5" t="s">
        <v>240</v>
      </c>
      <c r="DL2280" s="5" t="s">
        <v>240</v>
      </c>
      <c r="DP2280" s="5" t="s">
        <v>240</v>
      </c>
      <c r="DQ2280" s="5" t="s">
        <v>240</v>
      </c>
      <c r="DR2280" s="5" t="s">
        <v>240</v>
      </c>
      <c r="DS2280" s="5" t="s">
        <v>240</v>
      </c>
      <c r="DV2280" s="5" t="s">
        <v>813</v>
      </c>
      <c r="DW2280" s="5" t="s">
        <v>1260</v>
      </c>
      <c r="HO2280" s="5" t="s">
        <v>312</v>
      </c>
    </row>
    <row r="2281" spans="1:223" x14ac:dyDescent="0.4">
      <c r="A2281" s="5">
        <v>3985</v>
      </c>
      <c r="B2281" s="5">
        <v>1</v>
      </c>
      <c r="C2281" s="5">
        <v>1</v>
      </c>
      <c r="D2281" s="5" t="s">
        <v>810</v>
      </c>
      <c r="E2281" s="5" t="s">
        <v>245</v>
      </c>
      <c r="F2281" s="5" t="s">
        <v>254</v>
      </c>
      <c r="G2281" s="5" t="s">
        <v>240</v>
      </c>
      <c r="H2281" s="6" t="s">
        <v>1609</v>
      </c>
      <c r="I2281" s="5" t="s">
        <v>809</v>
      </c>
      <c r="J2281" s="8">
        <f>92</f>
        <v>92</v>
      </c>
      <c r="K2281" s="5" t="s">
        <v>308</v>
      </c>
      <c r="L2281" s="7">
        <f>1</f>
        <v>1</v>
      </c>
      <c r="M2281" s="7">
        <f>1</f>
        <v>1</v>
      </c>
      <c r="N2281" s="5" t="s">
        <v>242</v>
      </c>
      <c r="O2281" s="5">
        <v>1</v>
      </c>
      <c r="P2281" s="5" t="s">
        <v>294</v>
      </c>
      <c r="Q2281" s="5" t="s">
        <v>266</v>
      </c>
      <c r="R2281" s="5" t="s">
        <v>240</v>
      </c>
      <c r="S2281" s="5" t="s">
        <v>240</v>
      </c>
      <c r="T2281" s="5" t="s">
        <v>296</v>
      </c>
      <c r="U2281" s="5" t="s">
        <v>244</v>
      </c>
      <c r="V2281" s="5" t="s">
        <v>240</v>
      </c>
      <c r="Y2281" s="5" t="s">
        <v>240</v>
      </c>
      <c r="Z2281" s="6" t="s">
        <v>298</v>
      </c>
      <c r="AB2281" s="6" t="s">
        <v>240</v>
      </c>
      <c r="AE2281" s="6" t="s">
        <v>299</v>
      </c>
      <c r="AF2281" s="5" t="s">
        <v>248</v>
      </c>
      <c r="AG2281" s="5" t="s">
        <v>249</v>
      </c>
      <c r="AW2281" s="5" t="s">
        <v>251</v>
      </c>
      <c r="AX2281" s="5" t="s">
        <v>240</v>
      </c>
      <c r="AY2281" s="5" t="s">
        <v>253</v>
      </c>
      <c r="AZ2281" s="5" t="s">
        <v>240</v>
      </c>
      <c r="BA2281" s="5" t="s">
        <v>255</v>
      </c>
      <c r="BB2281" s="5" t="s">
        <v>240</v>
      </c>
      <c r="BD2281" s="5" t="s">
        <v>240</v>
      </c>
      <c r="BF2281" s="5" t="s">
        <v>301</v>
      </c>
      <c r="BG2281" s="6" t="s">
        <v>299</v>
      </c>
      <c r="BH2281" s="5" t="s">
        <v>302</v>
      </c>
      <c r="BI2281" s="5" t="s">
        <v>303</v>
      </c>
      <c r="BJ2281" s="5" t="s">
        <v>240</v>
      </c>
      <c r="BK2281" s="8">
        <f>0</f>
        <v>0</v>
      </c>
      <c r="BL2281" s="7">
        <f>0</f>
        <v>0</v>
      </c>
      <c r="BM2281" s="5" t="s">
        <v>258</v>
      </c>
      <c r="BN2281" s="5" t="s">
        <v>259</v>
      </c>
      <c r="CB2281" s="5" t="s">
        <v>240</v>
      </c>
      <c r="CC2281" s="5" t="s">
        <v>240</v>
      </c>
      <c r="CG2281" s="5" t="s">
        <v>304</v>
      </c>
      <c r="CH2281" s="5" t="s">
        <v>305</v>
      </c>
      <c r="CI2281" s="5" t="s">
        <v>240</v>
      </c>
      <c r="CL2281" s="6" t="s">
        <v>261</v>
      </c>
      <c r="CM2281" s="5" t="s">
        <v>240</v>
      </c>
      <c r="CN2281" s="5" t="s">
        <v>263</v>
      </c>
      <c r="CO2281" s="5" t="s">
        <v>240</v>
      </c>
      <c r="CP2281" s="5" t="s">
        <v>240</v>
      </c>
      <c r="CQ2281" s="5">
        <v>0</v>
      </c>
      <c r="CR2281" s="5" t="s">
        <v>306</v>
      </c>
      <c r="CS2281" s="5" t="s">
        <v>307</v>
      </c>
      <c r="CT2281" s="5" t="s">
        <v>307</v>
      </c>
      <c r="CU2281" s="5" t="s">
        <v>260</v>
      </c>
      <c r="CX2281" s="7">
        <f>1</f>
        <v>1</v>
      </c>
      <c r="CY2281" s="7">
        <f>0</f>
        <v>0</v>
      </c>
      <c r="DA2281" s="7">
        <f>0</f>
        <v>0</v>
      </c>
      <c r="DC2281" s="5" t="s">
        <v>812</v>
      </c>
      <c r="DD2281" s="5" t="s">
        <v>240</v>
      </c>
      <c r="DF2281" s="5" t="s">
        <v>812</v>
      </c>
      <c r="DG2281" s="7">
        <f>1780</f>
        <v>1780</v>
      </c>
      <c r="DI2281" s="5" t="s">
        <v>240</v>
      </c>
      <c r="DJ2281" s="5" t="s">
        <v>240</v>
      </c>
      <c r="DK2281" s="5" t="s">
        <v>240</v>
      </c>
      <c r="DL2281" s="5" t="s">
        <v>240</v>
      </c>
      <c r="DP2281" s="5" t="s">
        <v>240</v>
      </c>
      <c r="DQ2281" s="5" t="s">
        <v>240</v>
      </c>
      <c r="DR2281" s="5" t="s">
        <v>240</v>
      </c>
      <c r="DS2281" s="5" t="s">
        <v>240</v>
      </c>
      <c r="DV2281" s="5" t="s">
        <v>813</v>
      </c>
      <c r="DW2281" s="5" t="s">
        <v>816</v>
      </c>
      <c r="HO2281" s="5" t="s">
        <v>312</v>
      </c>
    </row>
    <row r="2282" spans="1:223" x14ac:dyDescent="0.4">
      <c r="A2282" s="5">
        <v>3986</v>
      </c>
      <c r="B2282" s="5">
        <v>1</v>
      </c>
      <c r="C2282" s="5">
        <v>1</v>
      </c>
      <c r="D2282" s="5" t="s">
        <v>810</v>
      </c>
      <c r="E2282" s="5" t="s">
        <v>245</v>
      </c>
      <c r="F2282" s="5" t="s">
        <v>254</v>
      </c>
      <c r="G2282" s="5" t="s">
        <v>240</v>
      </c>
      <c r="H2282" s="6" t="s">
        <v>1610</v>
      </c>
      <c r="I2282" s="5" t="s">
        <v>809</v>
      </c>
      <c r="J2282" s="8">
        <f>335</f>
        <v>335</v>
      </c>
      <c r="K2282" s="5" t="s">
        <v>308</v>
      </c>
      <c r="L2282" s="7">
        <f>1</f>
        <v>1</v>
      </c>
      <c r="M2282" s="7">
        <f>1</f>
        <v>1</v>
      </c>
      <c r="N2282" s="5" t="s">
        <v>242</v>
      </c>
      <c r="O2282" s="5">
        <v>1</v>
      </c>
      <c r="P2282" s="5" t="s">
        <v>294</v>
      </c>
      <c r="Q2282" s="5" t="s">
        <v>266</v>
      </c>
      <c r="R2282" s="5" t="s">
        <v>240</v>
      </c>
      <c r="S2282" s="5" t="s">
        <v>240</v>
      </c>
      <c r="T2282" s="5" t="s">
        <v>296</v>
      </c>
      <c r="U2282" s="5" t="s">
        <v>244</v>
      </c>
      <c r="V2282" s="5" t="s">
        <v>240</v>
      </c>
      <c r="Y2282" s="5" t="s">
        <v>240</v>
      </c>
      <c r="Z2282" s="6" t="s">
        <v>298</v>
      </c>
      <c r="AB2282" s="6" t="s">
        <v>240</v>
      </c>
      <c r="AE2282" s="6" t="s">
        <v>299</v>
      </c>
      <c r="AF2282" s="5" t="s">
        <v>248</v>
      </c>
      <c r="AG2282" s="5" t="s">
        <v>249</v>
      </c>
      <c r="AW2282" s="5" t="s">
        <v>251</v>
      </c>
      <c r="AX2282" s="5" t="s">
        <v>240</v>
      </c>
      <c r="AY2282" s="5" t="s">
        <v>253</v>
      </c>
      <c r="AZ2282" s="5" t="s">
        <v>240</v>
      </c>
      <c r="BA2282" s="5" t="s">
        <v>255</v>
      </c>
      <c r="BB2282" s="5" t="s">
        <v>240</v>
      </c>
      <c r="BD2282" s="5" t="s">
        <v>240</v>
      </c>
      <c r="BF2282" s="5" t="s">
        <v>301</v>
      </c>
      <c r="BG2282" s="6" t="s">
        <v>299</v>
      </c>
      <c r="BH2282" s="5" t="s">
        <v>302</v>
      </c>
      <c r="BI2282" s="5" t="s">
        <v>303</v>
      </c>
      <c r="BJ2282" s="5" t="s">
        <v>240</v>
      </c>
      <c r="BK2282" s="8">
        <f>0</f>
        <v>0</v>
      </c>
      <c r="BL2282" s="7">
        <f>0</f>
        <v>0</v>
      </c>
      <c r="BM2282" s="5" t="s">
        <v>258</v>
      </c>
      <c r="BN2282" s="5" t="s">
        <v>259</v>
      </c>
      <c r="CB2282" s="5" t="s">
        <v>240</v>
      </c>
      <c r="CC2282" s="5" t="s">
        <v>240</v>
      </c>
      <c r="CG2282" s="5" t="s">
        <v>304</v>
      </c>
      <c r="CH2282" s="5" t="s">
        <v>305</v>
      </c>
      <c r="CI2282" s="5" t="s">
        <v>240</v>
      </c>
      <c r="CL2282" s="6" t="s">
        <v>261</v>
      </c>
      <c r="CM2282" s="5" t="s">
        <v>240</v>
      </c>
      <c r="CN2282" s="5" t="s">
        <v>263</v>
      </c>
      <c r="CO2282" s="5" t="s">
        <v>240</v>
      </c>
      <c r="CP2282" s="5" t="s">
        <v>240</v>
      </c>
      <c r="CQ2282" s="5">
        <v>0</v>
      </c>
      <c r="CR2282" s="5" t="s">
        <v>306</v>
      </c>
      <c r="CS2282" s="5" t="s">
        <v>307</v>
      </c>
      <c r="CT2282" s="5" t="s">
        <v>307</v>
      </c>
      <c r="CU2282" s="5" t="s">
        <v>260</v>
      </c>
      <c r="CX2282" s="7">
        <f>1</f>
        <v>1</v>
      </c>
      <c r="CY2282" s="7">
        <f>0</f>
        <v>0</v>
      </c>
      <c r="DA2282" s="7">
        <f>0</f>
        <v>0</v>
      </c>
      <c r="DC2282" s="5" t="s">
        <v>812</v>
      </c>
      <c r="DD2282" s="5" t="s">
        <v>240</v>
      </c>
      <c r="DF2282" s="5" t="s">
        <v>812</v>
      </c>
      <c r="DG2282" s="7">
        <f>863</f>
        <v>863</v>
      </c>
      <c r="DI2282" s="5" t="s">
        <v>240</v>
      </c>
      <c r="DJ2282" s="5" t="s">
        <v>240</v>
      </c>
      <c r="DK2282" s="5" t="s">
        <v>240</v>
      </c>
      <c r="DL2282" s="5" t="s">
        <v>240</v>
      </c>
      <c r="DP2282" s="5" t="s">
        <v>240</v>
      </c>
      <c r="DQ2282" s="5" t="s">
        <v>240</v>
      </c>
      <c r="DR2282" s="5" t="s">
        <v>240</v>
      </c>
      <c r="DS2282" s="5" t="s">
        <v>240</v>
      </c>
      <c r="DV2282" s="5" t="s">
        <v>813</v>
      </c>
      <c r="DW2282" s="5" t="s">
        <v>818</v>
      </c>
      <c r="HO2282" s="5" t="s">
        <v>312</v>
      </c>
    </row>
    <row r="2283" spans="1:223" x14ac:dyDescent="0.4">
      <c r="A2283" s="5">
        <v>3987</v>
      </c>
      <c r="B2283" s="5">
        <v>1</v>
      </c>
      <c r="C2283" s="5">
        <v>1</v>
      </c>
      <c r="D2283" s="5" t="s">
        <v>810</v>
      </c>
      <c r="E2283" s="5" t="s">
        <v>245</v>
      </c>
      <c r="F2283" s="5" t="s">
        <v>254</v>
      </c>
      <c r="G2283" s="5" t="s">
        <v>240</v>
      </c>
      <c r="H2283" s="6" t="s">
        <v>1613</v>
      </c>
      <c r="I2283" s="5" t="s">
        <v>809</v>
      </c>
      <c r="J2283" s="8">
        <f>2223</f>
        <v>2223</v>
      </c>
      <c r="K2283" s="5" t="s">
        <v>308</v>
      </c>
      <c r="L2283" s="7">
        <f>1</f>
        <v>1</v>
      </c>
      <c r="M2283" s="7">
        <f>1</f>
        <v>1</v>
      </c>
      <c r="N2283" s="5" t="s">
        <v>242</v>
      </c>
      <c r="O2283" s="5">
        <v>1</v>
      </c>
      <c r="P2283" s="5" t="s">
        <v>294</v>
      </c>
      <c r="Q2283" s="5" t="s">
        <v>266</v>
      </c>
      <c r="R2283" s="5" t="s">
        <v>240</v>
      </c>
      <c r="S2283" s="5" t="s">
        <v>240</v>
      </c>
      <c r="T2283" s="5" t="s">
        <v>296</v>
      </c>
      <c r="U2283" s="5" t="s">
        <v>244</v>
      </c>
      <c r="V2283" s="5" t="s">
        <v>240</v>
      </c>
      <c r="Y2283" s="5" t="s">
        <v>240</v>
      </c>
      <c r="Z2283" s="6" t="s">
        <v>298</v>
      </c>
      <c r="AB2283" s="6" t="s">
        <v>240</v>
      </c>
      <c r="AE2283" s="6" t="s">
        <v>299</v>
      </c>
      <c r="AF2283" s="5" t="s">
        <v>248</v>
      </c>
      <c r="AG2283" s="5" t="s">
        <v>249</v>
      </c>
      <c r="AW2283" s="5" t="s">
        <v>251</v>
      </c>
      <c r="AX2283" s="5" t="s">
        <v>240</v>
      </c>
      <c r="AY2283" s="5" t="s">
        <v>253</v>
      </c>
      <c r="AZ2283" s="5" t="s">
        <v>240</v>
      </c>
      <c r="BA2283" s="5" t="s">
        <v>255</v>
      </c>
      <c r="BB2283" s="5" t="s">
        <v>240</v>
      </c>
      <c r="BD2283" s="5" t="s">
        <v>240</v>
      </c>
      <c r="BF2283" s="5" t="s">
        <v>301</v>
      </c>
      <c r="BG2283" s="6" t="s">
        <v>299</v>
      </c>
      <c r="BH2283" s="5" t="s">
        <v>302</v>
      </c>
      <c r="BI2283" s="5" t="s">
        <v>303</v>
      </c>
      <c r="BJ2283" s="5" t="s">
        <v>240</v>
      </c>
      <c r="BK2283" s="8">
        <f>0</f>
        <v>0</v>
      </c>
      <c r="BL2283" s="7">
        <f>0</f>
        <v>0</v>
      </c>
      <c r="BM2283" s="5" t="s">
        <v>258</v>
      </c>
      <c r="BN2283" s="5" t="s">
        <v>259</v>
      </c>
      <c r="CB2283" s="5" t="s">
        <v>240</v>
      </c>
      <c r="CC2283" s="5" t="s">
        <v>240</v>
      </c>
      <c r="CG2283" s="5" t="s">
        <v>304</v>
      </c>
      <c r="CH2283" s="5" t="s">
        <v>305</v>
      </c>
      <c r="CI2283" s="5" t="s">
        <v>240</v>
      </c>
      <c r="CL2283" s="6" t="s">
        <v>261</v>
      </c>
      <c r="CM2283" s="5" t="s">
        <v>240</v>
      </c>
      <c r="CN2283" s="5" t="s">
        <v>263</v>
      </c>
      <c r="CO2283" s="5" t="s">
        <v>240</v>
      </c>
      <c r="CP2283" s="5" t="s">
        <v>240</v>
      </c>
      <c r="CQ2283" s="5">
        <v>0</v>
      </c>
      <c r="CR2283" s="5" t="s">
        <v>306</v>
      </c>
      <c r="CS2283" s="5" t="s">
        <v>307</v>
      </c>
      <c r="CT2283" s="5" t="s">
        <v>307</v>
      </c>
      <c r="CU2283" s="5" t="s">
        <v>260</v>
      </c>
      <c r="CX2283" s="7">
        <f>1</f>
        <v>1</v>
      </c>
      <c r="CY2283" s="7">
        <f>0</f>
        <v>0</v>
      </c>
      <c r="DA2283" s="7">
        <f>0</f>
        <v>0</v>
      </c>
      <c r="DC2283" s="5" t="s">
        <v>812</v>
      </c>
      <c r="DD2283" s="5" t="s">
        <v>240</v>
      </c>
      <c r="DF2283" s="5" t="s">
        <v>812</v>
      </c>
      <c r="DG2283" s="7">
        <f>385</f>
        <v>385</v>
      </c>
      <c r="DI2283" s="5" t="s">
        <v>240</v>
      </c>
      <c r="DJ2283" s="5" t="s">
        <v>240</v>
      </c>
      <c r="DK2283" s="5" t="s">
        <v>240</v>
      </c>
      <c r="DL2283" s="5" t="s">
        <v>240</v>
      </c>
      <c r="DP2283" s="5" t="s">
        <v>240</v>
      </c>
      <c r="DQ2283" s="5" t="s">
        <v>240</v>
      </c>
      <c r="DR2283" s="5" t="s">
        <v>240</v>
      </c>
      <c r="DS2283" s="5" t="s">
        <v>240</v>
      </c>
      <c r="DV2283" s="5" t="s">
        <v>813</v>
      </c>
      <c r="DW2283" s="5" t="s">
        <v>820</v>
      </c>
      <c r="HO2283" s="5" t="s">
        <v>312</v>
      </c>
    </row>
    <row r="2284" spans="1:223" x14ac:dyDescent="0.4">
      <c r="A2284" s="5">
        <v>3988</v>
      </c>
      <c r="B2284" s="5">
        <v>1</v>
      </c>
      <c r="C2284" s="5">
        <v>1</v>
      </c>
      <c r="D2284" s="5" t="s">
        <v>810</v>
      </c>
      <c r="E2284" s="5" t="s">
        <v>245</v>
      </c>
      <c r="F2284" s="5" t="s">
        <v>254</v>
      </c>
      <c r="G2284" s="5" t="s">
        <v>240</v>
      </c>
      <c r="H2284" s="6" t="s">
        <v>1614</v>
      </c>
      <c r="I2284" s="5" t="s">
        <v>809</v>
      </c>
      <c r="J2284" s="8">
        <f>306</f>
        <v>306</v>
      </c>
      <c r="K2284" s="5" t="s">
        <v>308</v>
      </c>
      <c r="L2284" s="7">
        <f>1</f>
        <v>1</v>
      </c>
      <c r="M2284" s="7">
        <f>1</f>
        <v>1</v>
      </c>
      <c r="N2284" s="5" t="s">
        <v>242</v>
      </c>
      <c r="O2284" s="5">
        <v>1</v>
      </c>
      <c r="P2284" s="5" t="s">
        <v>294</v>
      </c>
      <c r="Q2284" s="5" t="s">
        <v>266</v>
      </c>
      <c r="R2284" s="5" t="s">
        <v>240</v>
      </c>
      <c r="S2284" s="5" t="s">
        <v>240</v>
      </c>
      <c r="T2284" s="5" t="s">
        <v>296</v>
      </c>
      <c r="U2284" s="5" t="s">
        <v>244</v>
      </c>
      <c r="V2284" s="5" t="s">
        <v>240</v>
      </c>
      <c r="Y2284" s="5" t="s">
        <v>240</v>
      </c>
      <c r="Z2284" s="6" t="s">
        <v>298</v>
      </c>
      <c r="AB2284" s="6" t="s">
        <v>240</v>
      </c>
      <c r="AE2284" s="6" t="s">
        <v>299</v>
      </c>
      <c r="AF2284" s="5" t="s">
        <v>248</v>
      </c>
      <c r="AG2284" s="5" t="s">
        <v>249</v>
      </c>
      <c r="AW2284" s="5" t="s">
        <v>251</v>
      </c>
      <c r="AX2284" s="5" t="s">
        <v>240</v>
      </c>
      <c r="AY2284" s="5" t="s">
        <v>253</v>
      </c>
      <c r="AZ2284" s="5" t="s">
        <v>240</v>
      </c>
      <c r="BA2284" s="5" t="s">
        <v>255</v>
      </c>
      <c r="BB2284" s="5" t="s">
        <v>240</v>
      </c>
      <c r="BD2284" s="5" t="s">
        <v>240</v>
      </c>
      <c r="BF2284" s="5" t="s">
        <v>301</v>
      </c>
      <c r="BG2284" s="6" t="s">
        <v>299</v>
      </c>
      <c r="BH2284" s="5" t="s">
        <v>302</v>
      </c>
      <c r="BI2284" s="5" t="s">
        <v>303</v>
      </c>
      <c r="BJ2284" s="5" t="s">
        <v>240</v>
      </c>
      <c r="BK2284" s="8">
        <f>0</f>
        <v>0</v>
      </c>
      <c r="BL2284" s="7">
        <f>0</f>
        <v>0</v>
      </c>
      <c r="BM2284" s="5" t="s">
        <v>258</v>
      </c>
      <c r="BN2284" s="5" t="s">
        <v>259</v>
      </c>
      <c r="CB2284" s="5" t="s">
        <v>240</v>
      </c>
      <c r="CC2284" s="5" t="s">
        <v>240</v>
      </c>
      <c r="CG2284" s="5" t="s">
        <v>304</v>
      </c>
      <c r="CH2284" s="5" t="s">
        <v>305</v>
      </c>
      <c r="CI2284" s="5" t="s">
        <v>240</v>
      </c>
      <c r="CL2284" s="6" t="s">
        <v>261</v>
      </c>
      <c r="CM2284" s="5" t="s">
        <v>240</v>
      </c>
      <c r="CN2284" s="5" t="s">
        <v>263</v>
      </c>
      <c r="CO2284" s="5" t="s">
        <v>240</v>
      </c>
      <c r="CP2284" s="5" t="s">
        <v>240</v>
      </c>
      <c r="CQ2284" s="5">
        <v>0</v>
      </c>
      <c r="CR2284" s="5" t="s">
        <v>306</v>
      </c>
      <c r="CS2284" s="5" t="s">
        <v>307</v>
      </c>
      <c r="CT2284" s="5" t="s">
        <v>307</v>
      </c>
      <c r="CU2284" s="5" t="s">
        <v>260</v>
      </c>
      <c r="CX2284" s="7">
        <f>1</f>
        <v>1</v>
      </c>
      <c r="CY2284" s="7">
        <f>0</f>
        <v>0</v>
      </c>
      <c r="DA2284" s="7">
        <f>0</f>
        <v>0</v>
      </c>
      <c r="DC2284" s="5" t="s">
        <v>812</v>
      </c>
      <c r="DD2284" s="5" t="s">
        <v>240</v>
      </c>
      <c r="DF2284" s="5" t="s">
        <v>812</v>
      </c>
      <c r="DG2284" s="7">
        <f>1584</f>
        <v>1584</v>
      </c>
      <c r="DI2284" s="5" t="s">
        <v>240</v>
      </c>
      <c r="DJ2284" s="5" t="s">
        <v>240</v>
      </c>
      <c r="DK2284" s="5" t="s">
        <v>240</v>
      </c>
      <c r="DL2284" s="5" t="s">
        <v>240</v>
      </c>
      <c r="DP2284" s="5" t="s">
        <v>240</v>
      </c>
      <c r="DQ2284" s="5" t="s">
        <v>240</v>
      </c>
      <c r="DR2284" s="5" t="s">
        <v>240</v>
      </c>
      <c r="DS2284" s="5" t="s">
        <v>240</v>
      </c>
      <c r="DV2284" s="5" t="s">
        <v>813</v>
      </c>
      <c r="DW2284" s="5" t="s">
        <v>691</v>
      </c>
      <c r="HO2284" s="5" t="s">
        <v>312</v>
      </c>
    </row>
    <row r="2285" spans="1:223" x14ac:dyDescent="0.4">
      <c r="A2285" s="5">
        <v>3989</v>
      </c>
      <c r="B2285" s="5">
        <v>1</v>
      </c>
      <c r="C2285" s="5">
        <v>1</v>
      </c>
      <c r="D2285" s="5" t="s">
        <v>810</v>
      </c>
      <c r="E2285" s="5" t="s">
        <v>245</v>
      </c>
      <c r="F2285" s="5" t="s">
        <v>254</v>
      </c>
      <c r="G2285" s="5" t="s">
        <v>240</v>
      </c>
      <c r="H2285" s="6" t="s">
        <v>1618</v>
      </c>
      <c r="I2285" s="5" t="s">
        <v>809</v>
      </c>
      <c r="J2285" s="8">
        <f>242</f>
        <v>242</v>
      </c>
      <c r="K2285" s="5" t="s">
        <v>308</v>
      </c>
      <c r="L2285" s="7">
        <f>1</f>
        <v>1</v>
      </c>
      <c r="M2285" s="7">
        <f>1</f>
        <v>1</v>
      </c>
      <c r="N2285" s="5" t="s">
        <v>242</v>
      </c>
      <c r="O2285" s="5">
        <v>1</v>
      </c>
      <c r="P2285" s="5" t="s">
        <v>294</v>
      </c>
      <c r="Q2285" s="5" t="s">
        <v>266</v>
      </c>
      <c r="R2285" s="5" t="s">
        <v>240</v>
      </c>
      <c r="S2285" s="5" t="s">
        <v>240</v>
      </c>
      <c r="T2285" s="5" t="s">
        <v>296</v>
      </c>
      <c r="U2285" s="5" t="s">
        <v>244</v>
      </c>
      <c r="V2285" s="5" t="s">
        <v>240</v>
      </c>
      <c r="Y2285" s="5" t="s">
        <v>240</v>
      </c>
      <c r="Z2285" s="6" t="s">
        <v>298</v>
      </c>
      <c r="AB2285" s="6" t="s">
        <v>240</v>
      </c>
      <c r="AE2285" s="6" t="s">
        <v>299</v>
      </c>
      <c r="AF2285" s="5" t="s">
        <v>248</v>
      </c>
      <c r="AG2285" s="5" t="s">
        <v>249</v>
      </c>
      <c r="AW2285" s="5" t="s">
        <v>251</v>
      </c>
      <c r="AX2285" s="5" t="s">
        <v>240</v>
      </c>
      <c r="AY2285" s="5" t="s">
        <v>253</v>
      </c>
      <c r="AZ2285" s="5" t="s">
        <v>240</v>
      </c>
      <c r="BA2285" s="5" t="s">
        <v>255</v>
      </c>
      <c r="BB2285" s="5" t="s">
        <v>240</v>
      </c>
      <c r="BD2285" s="5" t="s">
        <v>240</v>
      </c>
      <c r="BF2285" s="5" t="s">
        <v>301</v>
      </c>
      <c r="BG2285" s="6" t="s">
        <v>299</v>
      </c>
      <c r="BH2285" s="5" t="s">
        <v>302</v>
      </c>
      <c r="BI2285" s="5" t="s">
        <v>303</v>
      </c>
      <c r="BJ2285" s="5" t="s">
        <v>240</v>
      </c>
      <c r="BK2285" s="8">
        <f>0</f>
        <v>0</v>
      </c>
      <c r="BL2285" s="7">
        <f>0</f>
        <v>0</v>
      </c>
      <c r="BM2285" s="5" t="s">
        <v>258</v>
      </c>
      <c r="BN2285" s="5" t="s">
        <v>259</v>
      </c>
      <c r="CB2285" s="5" t="s">
        <v>240</v>
      </c>
      <c r="CC2285" s="5" t="s">
        <v>240</v>
      </c>
      <c r="CG2285" s="5" t="s">
        <v>304</v>
      </c>
      <c r="CH2285" s="5" t="s">
        <v>305</v>
      </c>
      <c r="CI2285" s="5" t="s">
        <v>240</v>
      </c>
      <c r="CL2285" s="6" t="s">
        <v>261</v>
      </c>
      <c r="CM2285" s="5" t="s">
        <v>240</v>
      </c>
      <c r="CN2285" s="5" t="s">
        <v>263</v>
      </c>
      <c r="CO2285" s="5" t="s">
        <v>240</v>
      </c>
      <c r="CP2285" s="5" t="s">
        <v>240</v>
      </c>
      <c r="CQ2285" s="5">
        <v>0</v>
      </c>
      <c r="CR2285" s="5" t="s">
        <v>306</v>
      </c>
      <c r="CS2285" s="5" t="s">
        <v>307</v>
      </c>
      <c r="CT2285" s="5" t="s">
        <v>307</v>
      </c>
      <c r="CU2285" s="5" t="s">
        <v>260</v>
      </c>
      <c r="CX2285" s="7">
        <f>1</f>
        <v>1</v>
      </c>
      <c r="CY2285" s="7">
        <f>0</f>
        <v>0</v>
      </c>
      <c r="DA2285" s="7">
        <f>0</f>
        <v>0</v>
      </c>
      <c r="DC2285" s="5" t="s">
        <v>812</v>
      </c>
      <c r="DD2285" s="5" t="s">
        <v>240</v>
      </c>
      <c r="DF2285" s="5" t="s">
        <v>812</v>
      </c>
      <c r="DG2285" s="7">
        <f>1352</f>
        <v>1352</v>
      </c>
      <c r="DI2285" s="5" t="s">
        <v>240</v>
      </c>
      <c r="DJ2285" s="5" t="s">
        <v>240</v>
      </c>
      <c r="DK2285" s="5" t="s">
        <v>240</v>
      </c>
      <c r="DL2285" s="5" t="s">
        <v>240</v>
      </c>
      <c r="DP2285" s="5" t="s">
        <v>240</v>
      </c>
      <c r="DQ2285" s="5" t="s">
        <v>240</v>
      </c>
      <c r="DR2285" s="5" t="s">
        <v>240</v>
      </c>
      <c r="DS2285" s="5" t="s">
        <v>240</v>
      </c>
      <c r="DV2285" s="5" t="s">
        <v>813</v>
      </c>
      <c r="DW2285" s="5" t="s">
        <v>620</v>
      </c>
      <c r="HO2285" s="5" t="s">
        <v>312</v>
      </c>
    </row>
    <row r="2286" spans="1:223" x14ac:dyDescent="0.4">
      <c r="A2286" s="5">
        <v>3990</v>
      </c>
      <c r="B2286" s="5">
        <v>1</v>
      </c>
      <c r="C2286" s="5">
        <v>1</v>
      </c>
      <c r="D2286" s="5" t="s">
        <v>810</v>
      </c>
      <c r="E2286" s="5" t="s">
        <v>245</v>
      </c>
      <c r="F2286" s="5" t="s">
        <v>254</v>
      </c>
      <c r="G2286" s="5" t="s">
        <v>240</v>
      </c>
      <c r="H2286" s="6" t="s">
        <v>1619</v>
      </c>
      <c r="I2286" s="5" t="s">
        <v>809</v>
      </c>
      <c r="J2286" s="8">
        <f>467</f>
        <v>467</v>
      </c>
      <c r="K2286" s="5" t="s">
        <v>308</v>
      </c>
      <c r="L2286" s="7">
        <f>1</f>
        <v>1</v>
      </c>
      <c r="M2286" s="7">
        <f>1</f>
        <v>1</v>
      </c>
      <c r="N2286" s="5" t="s">
        <v>242</v>
      </c>
      <c r="O2286" s="5">
        <v>1</v>
      </c>
      <c r="P2286" s="5" t="s">
        <v>294</v>
      </c>
      <c r="Q2286" s="5" t="s">
        <v>266</v>
      </c>
      <c r="R2286" s="5" t="s">
        <v>240</v>
      </c>
      <c r="S2286" s="5" t="s">
        <v>240</v>
      </c>
      <c r="T2286" s="5" t="s">
        <v>296</v>
      </c>
      <c r="U2286" s="5" t="s">
        <v>244</v>
      </c>
      <c r="V2286" s="5" t="s">
        <v>240</v>
      </c>
      <c r="Y2286" s="5" t="s">
        <v>240</v>
      </c>
      <c r="Z2286" s="6" t="s">
        <v>298</v>
      </c>
      <c r="AB2286" s="6" t="s">
        <v>240</v>
      </c>
      <c r="AE2286" s="6" t="s">
        <v>299</v>
      </c>
      <c r="AF2286" s="5" t="s">
        <v>248</v>
      </c>
      <c r="AG2286" s="5" t="s">
        <v>249</v>
      </c>
      <c r="AW2286" s="5" t="s">
        <v>251</v>
      </c>
      <c r="AX2286" s="5" t="s">
        <v>240</v>
      </c>
      <c r="AY2286" s="5" t="s">
        <v>253</v>
      </c>
      <c r="AZ2286" s="5" t="s">
        <v>240</v>
      </c>
      <c r="BA2286" s="5" t="s">
        <v>255</v>
      </c>
      <c r="BB2286" s="5" t="s">
        <v>240</v>
      </c>
      <c r="BD2286" s="5" t="s">
        <v>240</v>
      </c>
      <c r="BF2286" s="5" t="s">
        <v>301</v>
      </c>
      <c r="BG2286" s="6" t="s">
        <v>299</v>
      </c>
      <c r="BH2286" s="5" t="s">
        <v>302</v>
      </c>
      <c r="BI2286" s="5" t="s">
        <v>303</v>
      </c>
      <c r="BJ2286" s="5" t="s">
        <v>240</v>
      </c>
      <c r="BK2286" s="8">
        <f>0</f>
        <v>0</v>
      </c>
      <c r="BL2286" s="7">
        <f>0</f>
        <v>0</v>
      </c>
      <c r="BM2286" s="5" t="s">
        <v>258</v>
      </c>
      <c r="BN2286" s="5" t="s">
        <v>259</v>
      </c>
      <c r="CB2286" s="5" t="s">
        <v>240</v>
      </c>
      <c r="CC2286" s="5" t="s">
        <v>240</v>
      </c>
      <c r="CG2286" s="5" t="s">
        <v>304</v>
      </c>
      <c r="CH2286" s="5" t="s">
        <v>305</v>
      </c>
      <c r="CI2286" s="5" t="s">
        <v>240</v>
      </c>
      <c r="CL2286" s="6" t="s">
        <v>261</v>
      </c>
      <c r="CM2286" s="5" t="s">
        <v>240</v>
      </c>
      <c r="CN2286" s="5" t="s">
        <v>263</v>
      </c>
      <c r="CO2286" s="5" t="s">
        <v>240</v>
      </c>
      <c r="CP2286" s="5" t="s">
        <v>240</v>
      </c>
      <c r="CQ2286" s="5">
        <v>0</v>
      </c>
      <c r="CR2286" s="5" t="s">
        <v>306</v>
      </c>
      <c r="CS2286" s="5" t="s">
        <v>307</v>
      </c>
      <c r="CT2286" s="5" t="s">
        <v>307</v>
      </c>
      <c r="CU2286" s="5" t="s">
        <v>260</v>
      </c>
      <c r="CX2286" s="7">
        <f>1</f>
        <v>1</v>
      </c>
      <c r="CY2286" s="7">
        <f>0</f>
        <v>0</v>
      </c>
      <c r="DA2286" s="7">
        <f>0</f>
        <v>0</v>
      </c>
      <c r="DC2286" s="5" t="s">
        <v>812</v>
      </c>
      <c r="DD2286" s="5" t="s">
        <v>240</v>
      </c>
      <c r="DF2286" s="5" t="s">
        <v>812</v>
      </c>
      <c r="DG2286" s="7">
        <f>1925</f>
        <v>1925</v>
      </c>
      <c r="DI2286" s="5" t="s">
        <v>240</v>
      </c>
      <c r="DJ2286" s="5" t="s">
        <v>240</v>
      </c>
      <c r="DK2286" s="5" t="s">
        <v>240</v>
      </c>
      <c r="DL2286" s="5" t="s">
        <v>240</v>
      </c>
      <c r="DP2286" s="5" t="s">
        <v>240</v>
      </c>
      <c r="DQ2286" s="5" t="s">
        <v>240</v>
      </c>
      <c r="DR2286" s="5" t="s">
        <v>240</v>
      </c>
      <c r="DS2286" s="5" t="s">
        <v>240</v>
      </c>
      <c r="DV2286" s="5" t="s">
        <v>813</v>
      </c>
      <c r="DW2286" s="5" t="s">
        <v>621</v>
      </c>
      <c r="HO2286" s="5" t="s">
        <v>312</v>
      </c>
    </row>
    <row r="2287" spans="1:223" x14ac:dyDescent="0.4">
      <c r="A2287" s="5">
        <v>3991</v>
      </c>
      <c r="B2287" s="5">
        <v>1</v>
      </c>
      <c r="C2287" s="5">
        <v>1</v>
      </c>
      <c r="D2287" s="5" t="s">
        <v>810</v>
      </c>
      <c r="E2287" s="5" t="s">
        <v>245</v>
      </c>
      <c r="F2287" s="5" t="s">
        <v>254</v>
      </c>
      <c r="G2287" s="5" t="s">
        <v>240</v>
      </c>
      <c r="H2287" s="6" t="s">
        <v>1622</v>
      </c>
      <c r="I2287" s="5" t="s">
        <v>809</v>
      </c>
      <c r="J2287" s="8">
        <f>151</f>
        <v>151</v>
      </c>
      <c r="K2287" s="5" t="s">
        <v>308</v>
      </c>
      <c r="L2287" s="7">
        <f>1</f>
        <v>1</v>
      </c>
      <c r="M2287" s="7">
        <f>1</f>
        <v>1</v>
      </c>
      <c r="N2287" s="5" t="s">
        <v>242</v>
      </c>
      <c r="O2287" s="5">
        <v>1</v>
      </c>
      <c r="P2287" s="5" t="s">
        <v>294</v>
      </c>
      <c r="Q2287" s="5" t="s">
        <v>266</v>
      </c>
      <c r="R2287" s="5" t="s">
        <v>240</v>
      </c>
      <c r="S2287" s="5" t="s">
        <v>240</v>
      </c>
      <c r="T2287" s="5" t="s">
        <v>296</v>
      </c>
      <c r="U2287" s="5" t="s">
        <v>244</v>
      </c>
      <c r="V2287" s="5" t="s">
        <v>240</v>
      </c>
      <c r="Y2287" s="5" t="s">
        <v>240</v>
      </c>
      <c r="Z2287" s="6" t="s">
        <v>298</v>
      </c>
      <c r="AB2287" s="6" t="s">
        <v>240</v>
      </c>
      <c r="AE2287" s="6" t="s">
        <v>299</v>
      </c>
      <c r="AF2287" s="5" t="s">
        <v>248</v>
      </c>
      <c r="AG2287" s="5" t="s">
        <v>249</v>
      </c>
      <c r="AW2287" s="5" t="s">
        <v>251</v>
      </c>
      <c r="AX2287" s="5" t="s">
        <v>240</v>
      </c>
      <c r="AY2287" s="5" t="s">
        <v>253</v>
      </c>
      <c r="AZ2287" s="5" t="s">
        <v>240</v>
      </c>
      <c r="BA2287" s="5" t="s">
        <v>255</v>
      </c>
      <c r="BB2287" s="5" t="s">
        <v>240</v>
      </c>
      <c r="BD2287" s="5" t="s">
        <v>842</v>
      </c>
      <c r="BF2287" s="5" t="s">
        <v>301</v>
      </c>
      <c r="BG2287" s="6" t="s">
        <v>299</v>
      </c>
      <c r="BH2287" s="5" t="s">
        <v>302</v>
      </c>
      <c r="BI2287" s="5" t="s">
        <v>303</v>
      </c>
      <c r="BJ2287" s="5" t="s">
        <v>240</v>
      </c>
      <c r="BK2287" s="8">
        <f>0</f>
        <v>0</v>
      </c>
      <c r="BL2287" s="7">
        <f>0</f>
        <v>0</v>
      </c>
      <c r="BM2287" s="5" t="s">
        <v>258</v>
      </c>
      <c r="BN2287" s="5" t="s">
        <v>259</v>
      </c>
      <c r="CB2287" s="5" t="s">
        <v>240</v>
      </c>
      <c r="CC2287" s="5" t="s">
        <v>240</v>
      </c>
      <c r="CG2287" s="5" t="s">
        <v>304</v>
      </c>
      <c r="CH2287" s="5" t="s">
        <v>305</v>
      </c>
      <c r="CI2287" s="5" t="s">
        <v>240</v>
      </c>
      <c r="CL2287" s="6" t="s">
        <v>261</v>
      </c>
      <c r="CM2287" s="5" t="s">
        <v>240</v>
      </c>
      <c r="CN2287" s="5" t="s">
        <v>263</v>
      </c>
      <c r="CO2287" s="5" t="s">
        <v>240</v>
      </c>
      <c r="CP2287" s="5" t="s">
        <v>240</v>
      </c>
      <c r="CQ2287" s="5">
        <v>0</v>
      </c>
      <c r="CR2287" s="5" t="s">
        <v>306</v>
      </c>
      <c r="CS2287" s="5" t="s">
        <v>307</v>
      </c>
      <c r="CT2287" s="5" t="s">
        <v>307</v>
      </c>
      <c r="CU2287" s="5" t="s">
        <v>260</v>
      </c>
      <c r="CX2287" s="7">
        <f>1</f>
        <v>1</v>
      </c>
      <c r="CY2287" s="7">
        <f>0</f>
        <v>0</v>
      </c>
      <c r="DA2287" s="7">
        <f>0</f>
        <v>0</v>
      </c>
      <c r="DC2287" s="5" t="s">
        <v>812</v>
      </c>
      <c r="DD2287" s="5" t="s">
        <v>240</v>
      </c>
      <c r="DF2287" s="5" t="s">
        <v>812</v>
      </c>
      <c r="DG2287" s="7">
        <f>56</f>
        <v>56</v>
      </c>
      <c r="DI2287" s="5" t="s">
        <v>240</v>
      </c>
      <c r="DJ2287" s="5" t="s">
        <v>240</v>
      </c>
      <c r="DK2287" s="5" t="s">
        <v>240</v>
      </c>
      <c r="DL2287" s="5" t="s">
        <v>240</v>
      </c>
      <c r="DP2287" s="5" t="s">
        <v>240</v>
      </c>
      <c r="DQ2287" s="5" t="s">
        <v>240</v>
      </c>
      <c r="DR2287" s="5" t="s">
        <v>240</v>
      </c>
      <c r="DS2287" s="5" t="s">
        <v>240</v>
      </c>
      <c r="DV2287" s="5" t="s">
        <v>813</v>
      </c>
      <c r="DW2287" s="5" t="s">
        <v>312</v>
      </c>
      <c r="HO2287" s="5" t="s">
        <v>312</v>
      </c>
    </row>
    <row r="2288" spans="1:223" x14ac:dyDescent="0.4">
      <c r="A2288" s="5">
        <v>3992</v>
      </c>
      <c r="B2288" s="5">
        <v>1</v>
      </c>
      <c r="C2288" s="5">
        <v>1</v>
      </c>
      <c r="D2288" s="5" t="s">
        <v>810</v>
      </c>
      <c r="E2288" s="5" t="s">
        <v>245</v>
      </c>
      <c r="F2288" s="5" t="s">
        <v>254</v>
      </c>
      <c r="G2288" s="5" t="s">
        <v>240</v>
      </c>
      <c r="H2288" s="6" t="s">
        <v>1623</v>
      </c>
      <c r="I2288" s="5" t="s">
        <v>809</v>
      </c>
      <c r="J2288" s="8">
        <f>782</f>
        <v>782</v>
      </c>
      <c r="K2288" s="5" t="s">
        <v>308</v>
      </c>
      <c r="L2288" s="7">
        <f>1</f>
        <v>1</v>
      </c>
      <c r="M2288" s="7">
        <f>1</f>
        <v>1</v>
      </c>
      <c r="N2288" s="5" t="s">
        <v>242</v>
      </c>
      <c r="O2288" s="5">
        <v>1</v>
      </c>
      <c r="P2288" s="5" t="s">
        <v>294</v>
      </c>
      <c r="Q2288" s="5" t="s">
        <v>266</v>
      </c>
      <c r="R2288" s="5" t="s">
        <v>240</v>
      </c>
      <c r="S2288" s="5" t="s">
        <v>240</v>
      </c>
      <c r="T2288" s="5" t="s">
        <v>296</v>
      </c>
      <c r="U2288" s="5" t="s">
        <v>244</v>
      </c>
      <c r="V2288" s="5" t="s">
        <v>240</v>
      </c>
      <c r="Y2288" s="5" t="s">
        <v>240</v>
      </c>
      <c r="Z2288" s="6" t="s">
        <v>298</v>
      </c>
      <c r="AB2288" s="6" t="s">
        <v>240</v>
      </c>
      <c r="AE2288" s="6" t="s">
        <v>299</v>
      </c>
      <c r="AF2288" s="5" t="s">
        <v>248</v>
      </c>
      <c r="AG2288" s="5" t="s">
        <v>249</v>
      </c>
      <c r="AW2288" s="5" t="s">
        <v>251</v>
      </c>
      <c r="AX2288" s="5" t="s">
        <v>240</v>
      </c>
      <c r="AY2288" s="5" t="s">
        <v>253</v>
      </c>
      <c r="AZ2288" s="5" t="s">
        <v>240</v>
      </c>
      <c r="BA2288" s="5" t="s">
        <v>255</v>
      </c>
      <c r="BB2288" s="5" t="s">
        <v>240</v>
      </c>
      <c r="BD2288" s="5" t="s">
        <v>240</v>
      </c>
      <c r="BF2288" s="5" t="s">
        <v>301</v>
      </c>
      <c r="BG2288" s="6" t="s">
        <v>299</v>
      </c>
      <c r="BH2288" s="5" t="s">
        <v>302</v>
      </c>
      <c r="BI2288" s="5" t="s">
        <v>303</v>
      </c>
      <c r="BJ2288" s="5" t="s">
        <v>240</v>
      </c>
      <c r="BK2288" s="8">
        <f>0</f>
        <v>0</v>
      </c>
      <c r="BL2288" s="7">
        <f>0</f>
        <v>0</v>
      </c>
      <c r="BM2288" s="5" t="s">
        <v>258</v>
      </c>
      <c r="BN2288" s="5" t="s">
        <v>259</v>
      </c>
      <c r="CB2288" s="5" t="s">
        <v>240</v>
      </c>
      <c r="CC2288" s="5" t="s">
        <v>240</v>
      </c>
      <c r="CG2288" s="5" t="s">
        <v>304</v>
      </c>
      <c r="CH2288" s="5" t="s">
        <v>305</v>
      </c>
      <c r="CI2288" s="5" t="s">
        <v>240</v>
      </c>
      <c r="CL2288" s="6" t="s">
        <v>261</v>
      </c>
      <c r="CM2288" s="5" t="s">
        <v>240</v>
      </c>
      <c r="CN2288" s="5" t="s">
        <v>263</v>
      </c>
      <c r="CO2288" s="5" t="s">
        <v>240</v>
      </c>
      <c r="CP2288" s="5" t="s">
        <v>240</v>
      </c>
      <c r="CQ2288" s="5">
        <v>0</v>
      </c>
      <c r="CR2288" s="5" t="s">
        <v>306</v>
      </c>
      <c r="CS2288" s="5" t="s">
        <v>307</v>
      </c>
      <c r="CT2288" s="5" t="s">
        <v>307</v>
      </c>
      <c r="CU2288" s="5" t="s">
        <v>260</v>
      </c>
      <c r="CX2288" s="7">
        <f>1</f>
        <v>1</v>
      </c>
      <c r="CY2288" s="7">
        <f>0</f>
        <v>0</v>
      </c>
      <c r="DA2288" s="7">
        <f>0</f>
        <v>0</v>
      </c>
      <c r="DC2288" s="5" t="s">
        <v>812</v>
      </c>
      <c r="DD2288" s="5" t="s">
        <v>240</v>
      </c>
      <c r="DF2288" s="5" t="s">
        <v>812</v>
      </c>
      <c r="DG2288" s="7">
        <f>1096</f>
        <v>1096</v>
      </c>
      <c r="DI2288" s="5" t="s">
        <v>240</v>
      </c>
      <c r="DJ2288" s="5" t="s">
        <v>240</v>
      </c>
      <c r="DK2288" s="5" t="s">
        <v>240</v>
      </c>
      <c r="DL2288" s="5" t="s">
        <v>240</v>
      </c>
      <c r="DP2288" s="5" t="s">
        <v>240</v>
      </c>
      <c r="DQ2288" s="5" t="s">
        <v>240</v>
      </c>
      <c r="DR2288" s="5" t="s">
        <v>240</v>
      </c>
      <c r="DS2288" s="5" t="s">
        <v>240</v>
      </c>
      <c r="DV2288" s="5" t="s">
        <v>813</v>
      </c>
      <c r="DW2288" s="5" t="s">
        <v>797</v>
      </c>
      <c r="HO2288" s="5" t="s">
        <v>312</v>
      </c>
    </row>
    <row r="2289" spans="1:223" x14ac:dyDescent="0.4">
      <c r="A2289" s="5">
        <v>3993</v>
      </c>
      <c r="B2289" s="5">
        <v>1</v>
      </c>
      <c r="C2289" s="5">
        <v>1</v>
      </c>
      <c r="D2289" s="5" t="s">
        <v>810</v>
      </c>
      <c r="E2289" s="5" t="s">
        <v>245</v>
      </c>
      <c r="F2289" s="5" t="s">
        <v>254</v>
      </c>
      <c r="G2289" s="5" t="s">
        <v>240</v>
      </c>
      <c r="H2289" s="6" t="s">
        <v>1640</v>
      </c>
      <c r="I2289" s="5" t="s">
        <v>809</v>
      </c>
      <c r="J2289" s="8">
        <f>309</f>
        <v>309</v>
      </c>
      <c r="K2289" s="5" t="s">
        <v>308</v>
      </c>
      <c r="L2289" s="7">
        <f>1</f>
        <v>1</v>
      </c>
      <c r="M2289" s="7">
        <f>1</f>
        <v>1</v>
      </c>
      <c r="N2289" s="5" t="s">
        <v>242</v>
      </c>
      <c r="O2289" s="5">
        <v>1</v>
      </c>
      <c r="P2289" s="5" t="s">
        <v>294</v>
      </c>
      <c r="Q2289" s="5" t="s">
        <v>266</v>
      </c>
      <c r="R2289" s="5" t="s">
        <v>240</v>
      </c>
      <c r="S2289" s="5" t="s">
        <v>240</v>
      </c>
      <c r="T2289" s="5" t="s">
        <v>296</v>
      </c>
      <c r="U2289" s="5" t="s">
        <v>244</v>
      </c>
      <c r="V2289" s="5" t="s">
        <v>240</v>
      </c>
      <c r="Y2289" s="5" t="s">
        <v>240</v>
      </c>
      <c r="Z2289" s="6" t="s">
        <v>298</v>
      </c>
      <c r="AB2289" s="6" t="s">
        <v>240</v>
      </c>
      <c r="AE2289" s="6" t="s">
        <v>299</v>
      </c>
      <c r="AF2289" s="5" t="s">
        <v>248</v>
      </c>
      <c r="AG2289" s="5" t="s">
        <v>249</v>
      </c>
      <c r="AW2289" s="5" t="s">
        <v>251</v>
      </c>
      <c r="AX2289" s="5" t="s">
        <v>240</v>
      </c>
      <c r="AY2289" s="5" t="s">
        <v>253</v>
      </c>
      <c r="AZ2289" s="5" t="s">
        <v>240</v>
      </c>
      <c r="BA2289" s="5" t="s">
        <v>255</v>
      </c>
      <c r="BB2289" s="5" t="s">
        <v>240</v>
      </c>
      <c r="BD2289" s="5" t="s">
        <v>240</v>
      </c>
      <c r="BF2289" s="5" t="s">
        <v>301</v>
      </c>
      <c r="BG2289" s="6" t="s">
        <v>299</v>
      </c>
      <c r="BH2289" s="5" t="s">
        <v>302</v>
      </c>
      <c r="BI2289" s="5" t="s">
        <v>303</v>
      </c>
      <c r="BJ2289" s="5" t="s">
        <v>240</v>
      </c>
      <c r="BK2289" s="8">
        <f>0</f>
        <v>0</v>
      </c>
      <c r="BL2289" s="7">
        <f>0</f>
        <v>0</v>
      </c>
      <c r="BM2289" s="5" t="s">
        <v>258</v>
      </c>
      <c r="BN2289" s="5" t="s">
        <v>259</v>
      </c>
      <c r="CB2289" s="5" t="s">
        <v>240</v>
      </c>
      <c r="CC2289" s="5" t="s">
        <v>240</v>
      </c>
      <c r="CG2289" s="5" t="s">
        <v>304</v>
      </c>
      <c r="CH2289" s="5" t="s">
        <v>305</v>
      </c>
      <c r="CI2289" s="5" t="s">
        <v>240</v>
      </c>
      <c r="CL2289" s="6" t="s">
        <v>261</v>
      </c>
      <c r="CM2289" s="5" t="s">
        <v>240</v>
      </c>
      <c r="CN2289" s="5" t="s">
        <v>263</v>
      </c>
      <c r="CO2289" s="5" t="s">
        <v>240</v>
      </c>
      <c r="CP2289" s="5" t="s">
        <v>240</v>
      </c>
      <c r="CQ2289" s="5">
        <v>0</v>
      </c>
      <c r="CR2289" s="5" t="s">
        <v>306</v>
      </c>
      <c r="CS2289" s="5" t="s">
        <v>307</v>
      </c>
      <c r="CT2289" s="5" t="s">
        <v>307</v>
      </c>
      <c r="CU2289" s="5" t="s">
        <v>260</v>
      </c>
      <c r="CX2289" s="7">
        <f>1</f>
        <v>1</v>
      </c>
      <c r="CY2289" s="7">
        <f>0</f>
        <v>0</v>
      </c>
      <c r="DA2289" s="7">
        <f>0</f>
        <v>0</v>
      </c>
      <c r="DC2289" s="5" t="s">
        <v>812</v>
      </c>
      <c r="DD2289" s="5" t="s">
        <v>240</v>
      </c>
      <c r="DF2289" s="5" t="s">
        <v>812</v>
      </c>
      <c r="DG2289" s="7">
        <f>1544</f>
        <v>1544</v>
      </c>
      <c r="DI2289" s="5" t="s">
        <v>240</v>
      </c>
      <c r="DJ2289" s="5" t="s">
        <v>240</v>
      </c>
      <c r="DK2289" s="5" t="s">
        <v>240</v>
      </c>
      <c r="DL2289" s="5" t="s">
        <v>240</v>
      </c>
      <c r="DP2289" s="5" t="s">
        <v>240</v>
      </c>
      <c r="DQ2289" s="5" t="s">
        <v>240</v>
      </c>
      <c r="DR2289" s="5" t="s">
        <v>240</v>
      </c>
      <c r="DS2289" s="5" t="s">
        <v>240</v>
      </c>
      <c r="DV2289" s="5" t="s">
        <v>813</v>
      </c>
      <c r="DW2289" s="5" t="s">
        <v>783</v>
      </c>
      <c r="HO2289" s="5" t="s">
        <v>312</v>
      </c>
    </row>
    <row r="2290" spans="1:223" x14ac:dyDescent="0.4">
      <c r="A2290" s="5">
        <v>3994</v>
      </c>
      <c r="B2290" s="5">
        <v>1</v>
      </c>
      <c r="C2290" s="5">
        <v>1</v>
      </c>
      <c r="D2290" s="5" t="s">
        <v>810</v>
      </c>
      <c r="E2290" s="5" t="s">
        <v>245</v>
      </c>
      <c r="F2290" s="5" t="s">
        <v>254</v>
      </c>
      <c r="G2290" s="5" t="s">
        <v>240</v>
      </c>
      <c r="H2290" s="6" t="s">
        <v>1641</v>
      </c>
      <c r="I2290" s="5" t="s">
        <v>809</v>
      </c>
      <c r="J2290" s="8">
        <f>814</f>
        <v>814</v>
      </c>
      <c r="K2290" s="5" t="s">
        <v>308</v>
      </c>
      <c r="L2290" s="7">
        <f>1</f>
        <v>1</v>
      </c>
      <c r="M2290" s="7">
        <f>1</f>
        <v>1</v>
      </c>
      <c r="N2290" s="5" t="s">
        <v>242</v>
      </c>
      <c r="O2290" s="5">
        <v>1</v>
      </c>
      <c r="P2290" s="5" t="s">
        <v>294</v>
      </c>
      <c r="Q2290" s="5" t="s">
        <v>266</v>
      </c>
      <c r="R2290" s="5" t="s">
        <v>240</v>
      </c>
      <c r="S2290" s="5" t="s">
        <v>240</v>
      </c>
      <c r="T2290" s="5" t="s">
        <v>296</v>
      </c>
      <c r="U2290" s="5" t="s">
        <v>244</v>
      </c>
      <c r="V2290" s="5" t="s">
        <v>240</v>
      </c>
      <c r="Y2290" s="5" t="s">
        <v>240</v>
      </c>
      <c r="Z2290" s="6" t="s">
        <v>298</v>
      </c>
      <c r="AB2290" s="6" t="s">
        <v>240</v>
      </c>
      <c r="AE2290" s="6" t="s">
        <v>299</v>
      </c>
      <c r="AF2290" s="5" t="s">
        <v>248</v>
      </c>
      <c r="AG2290" s="5" t="s">
        <v>249</v>
      </c>
      <c r="AW2290" s="5" t="s">
        <v>251</v>
      </c>
      <c r="AX2290" s="5" t="s">
        <v>240</v>
      </c>
      <c r="AY2290" s="5" t="s">
        <v>253</v>
      </c>
      <c r="AZ2290" s="5" t="s">
        <v>240</v>
      </c>
      <c r="BA2290" s="5" t="s">
        <v>255</v>
      </c>
      <c r="BB2290" s="5" t="s">
        <v>240</v>
      </c>
      <c r="BD2290" s="5" t="s">
        <v>240</v>
      </c>
      <c r="BF2290" s="5" t="s">
        <v>301</v>
      </c>
      <c r="BG2290" s="6" t="s">
        <v>299</v>
      </c>
      <c r="BH2290" s="5" t="s">
        <v>302</v>
      </c>
      <c r="BI2290" s="5" t="s">
        <v>303</v>
      </c>
      <c r="BJ2290" s="5" t="s">
        <v>240</v>
      </c>
      <c r="BK2290" s="8">
        <f>0</f>
        <v>0</v>
      </c>
      <c r="BL2290" s="7">
        <f>0</f>
        <v>0</v>
      </c>
      <c r="BM2290" s="5" t="s">
        <v>258</v>
      </c>
      <c r="BN2290" s="5" t="s">
        <v>259</v>
      </c>
      <c r="CB2290" s="5" t="s">
        <v>240</v>
      </c>
      <c r="CC2290" s="5" t="s">
        <v>240</v>
      </c>
      <c r="CG2290" s="5" t="s">
        <v>304</v>
      </c>
      <c r="CH2290" s="5" t="s">
        <v>305</v>
      </c>
      <c r="CI2290" s="5" t="s">
        <v>240</v>
      </c>
      <c r="CL2290" s="6" t="s">
        <v>261</v>
      </c>
      <c r="CM2290" s="5" t="s">
        <v>240</v>
      </c>
      <c r="CN2290" s="5" t="s">
        <v>263</v>
      </c>
      <c r="CO2290" s="5" t="s">
        <v>240</v>
      </c>
      <c r="CP2290" s="5" t="s">
        <v>240</v>
      </c>
      <c r="CQ2290" s="5">
        <v>0</v>
      </c>
      <c r="CR2290" s="5" t="s">
        <v>306</v>
      </c>
      <c r="CS2290" s="5" t="s">
        <v>307</v>
      </c>
      <c r="CT2290" s="5" t="s">
        <v>307</v>
      </c>
      <c r="CU2290" s="5" t="s">
        <v>260</v>
      </c>
      <c r="CX2290" s="7">
        <f>1</f>
        <v>1</v>
      </c>
      <c r="CY2290" s="7">
        <f>0</f>
        <v>0</v>
      </c>
      <c r="DA2290" s="7">
        <f>0</f>
        <v>0</v>
      </c>
      <c r="DC2290" s="5" t="s">
        <v>309</v>
      </c>
      <c r="DD2290" s="5" t="s">
        <v>240</v>
      </c>
      <c r="DF2290" s="5" t="s">
        <v>309</v>
      </c>
      <c r="DG2290" s="7">
        <f>327</f>
        <v>327</v>
      </c>
      <c r="DI2290" s="5" t="s">
        <v>240</v>
      </c>
      <c r="DJ2290" s="5" t="s">
        <v>240</v>
      </c>
      <c r="DK2290" s="5" t="s">
        <v>240</v>
      </c>
      <c r="DL2290" s="5" t="s">
        <v>240</v>
      </c>
      <c r="DP2290" s="5" t="s">
        <v>240</v>
      </c>
      <c r="DQ2290" s="5" t="s">
        <v>240</v>
      </c>
      <c r="DR2290" s="5" t="s">
        <v>240</v>
      </c>
      <c r="DS2290" s="5" t="s">
        <v>240</v>
      </c>
      <c r="DV2290" s="5" t="s">
        <v>310</v>
      </c>
      <c r="DW2290" s="5" t="s">
        <v>2628</v>
      </c>
      <c r="HO2290" s="5" t="s">
        <v>312</v>
      </c>
    </row>
    <row r="2291" spans="1:223" x14ac:dyDescent="0.4">
      <c r="A2291" s="5">
        <v>3995</v>
      </c>
      <c r="B2291" s="5">
        <v>1</v>
      </c>
      <c r="C2291" s="5">
        <v>1</v>
      </c>
      <c r="D2291" s="5" t="s">
        <v>810</v>
      </c>
      <c r="E2291" s="5" t="s">
        <v>245</v>
      </c>
      <c r="F2291" s="5" t="s">
        <v>254</v>
      </c>
      <c r="G2291" s="5" t="s">
        <v>240</v>
      </c>
      <c r="H2291" s="6" t="s">
        <v>1677</v>
      </c>
      <c r="I2291" s="5" t="s">
        <v>809</v>
      </c>
      <c r="J2291" s="8">
        <f>189</f>
        <v>189</v>
      </c>
      <c r="K2291" s="5" t="s">
        <v>308</v>
      </c>
      <c r="L2291" s="7">
        <f>1</f>
        <v>1</v>
      </c>
      <c r="M2291" s="7">
        <f>1</f>
        <v>1</v>
      </c>
      <c r="N2291" s="5" t="s">
        <v>242</v>
      </c>
      <c r="O2291" s="5">
        <v>1</v>
      </c>
      <c r="P2291" s="5" t="s">
        <v>294</v>
      </c>
      <c r="Q2291" s="5" t="s">
        <v>266</v>
      </c>
      <c r="R2291" s="5" t="s">
        <v>240</v>
      </c>
      <c r="S2291" s="5" t="s">
        <v>240</v>
      </c>
      <c r="T2291" s="5" t="s">
        <v>296</v>
      </c>
      <c r="U2291" s="5" t="s">
        <v>244</v>
      </c>
      <c r="V2291" s="5" t="s">
        <v>240</v>
      </c>
      <c r="Y2291" s="5" t="s">
        <v>240</v>
      </c>
      <c r="Z2291" s="6" t="s">
        <v>298</v>
      </c>
      <c r="AB2291" s="6" t="s">
        <v>240</v>
      </c>
      <c r="AE2291" s="6" t="s">
        <v>299</v>
      </c>
      <c r="AF2291" s="5" t="s">
        <v>248</v>
      </c>
      <c r="AG2291" s="5" t="s">
        <v>249</v>
      </c>
      <c r="AW2291" s="5" t="s">
        <v>251</v>
      </c>
      <c r="AX2291" s="5" t="s">
        <v>240</v>
      </c>
      <c r="AY2291" s="5" t="s">
        <v>253</v>
      </c>
      <c r="AZ2291" s="5" t="s">
        <v>240</v>
      </c>
      <c r="BA2291" s="5" t="s">
        <v>255</v>
      </c>
      <c r="BB2291" s="5" t="s">
        <v>240</v>
      </c>
      <c r="BD2291" s="5" t="s">
        <v>240</v>
      </c>
      <c r="BF2291" s="5" t="s">
        <v>301</v>
      </c>
      <c r="BG2291" s="6" t="s">
        <v>299</v>
      </c>
      <c r="BH2291" s="5" t="s">
        <v>302</v>
      </c>
      <c r="BI2291" s="5" t="s">
        <v>303</v>
      </c>
      <c r="BJ2291" s="5" t="s">
        <v>240</v>
      </c>
      <c r="BK2291" s="8">
        <f>0</f>
        <v>0</v>
      </c>
      <c r="BL2291" s="7">
        <f>0</f>
        <v>0</v>
      </c>
      <c r="BM2291" s="5" t="s">
        <v>258</v>
      </c>
      <c r="BN2291" s="5" t="s">
        <v>259</v>
      </c>
      <c r="CB2291" s="5" t="s">
        <v>240</v>
      </c>
      <c r="CC2291" s="5" t="s">
        <v>240</v>
      </c>
      <c r="CG2291" s="5" t="s">
        <v>304</v>
      </c>
      <c r="CH2291" s="5" t="s">
        <v>305</v>
      </c>
      <c r="CI2291" s="5" t="s">
        <v>240</v>
      </c>
      <c r="CL2291" s="6" t="s">
        <v>261</v>
      </c>
      <c r="CM2291" s="5" t="s">
        <v>240</v>
      </c>
      <c r="CN2291" s="5" t="s">
        <v>263</v>
      </c>
      <c r="CO2291" s="5" t="s">
        <v>240</v>
      </c>
      <c r="CP2291" s="5" t="s">
        <v>240</v>
      </c>
      <c r="CQ2291" s="5">
        <v>0</v>
      </c>
      <c r="CR2291" s="5" t="s">
        <v>306</v>
      </c>
      <c r="CS2291" s="5" t="s">
        <v>307</v>
      </c>
      <c r="CT2291" s="5" t="s">
        <v>307</v>
      </c>
      <c r="CU2291" s="5" t="s">
        <v>260</v>
      </c>
      <c r="CX2291" s="7">
        <f>1</f>
        <v>1</v>
      </c>
      <c r="CY2291" s="7">
        <f>0</f>
        <v>0</v>
      </c>
      <c r="DA2291" s="7">
        <f>0</f>
        <v>0</v>
      </c>
      <c r="DC2291" s="5" t="s">
        <v>309</v>
      </c>
      <c r="DD2291" s="5" t="s">
        <v>240</v>
      </c>
      <c r="DF2291" s="5" t="s">
        <v>309</v>
      </c>
      <c r="DG2291" s="7">
        <f>679</f>
        <v>679</v>
      </c>
      <c r="DI2291" s="5" t="s">
        <v>240</v>
      </c>
      <c r="DJ2291" s="5" t="s">
        <v>240</v>
      </c>
      <c r="DK2291" s="5" t="s">
        <v>240</v>
      </c>
      <c r="DL2291" s="5" t="s">
        <v>240</v>
      </c>
      <c r="DP2291" s="5" t="s">
        <v>240</v>
      </c>
      <c r="DQ2291" s="5" t="s">
        <v>240</v>
      </c>
      <c r="DR2291" s="5" t="s">
        <v>240</v>
      </c>
      <c r="DS2291" s="5" t="s">
        <v>240</v>
      </c>
      <c r="DV2291" s="5" t="s">
        <v>310</v>
      </c>
      <c r="DW2291" s="5" t="s">
        <v>2630</v>
      </c>
      <c r="HO2291" s="5" t="s">
        <v>312</v>
      </c>
    </row>
    <row r="2292" spans="1:223" x14ac:dyDescent="0.4">
      <c r="A2292" s="5">
        <v>3996</v>
      </c>
      <c r="B2292" s="5">
        <v>1</v>
      </c>
      <c r="C2292" s="5">
        <v>1</v>
      </c>
      <c r="D2292" s="5" t="s">
        <v>810</v>
      </c>
      <c r="E2292" s="5" t="s">
        <v>245</v>
      </c>
      <c r="F2292" s="5" t="s">
        <v>254</v>
      </c>
      <c r="G2292" s="5" t="s">
        <v>240</v>
      </c>
      <c r="H2292" s="6" t="s">
        <v>1692</v>
      </c>
      <c r="I2292" s="5" t="s">
        <v>809</v>
      </c>
      <c r="J2292" s="8">
        <f>464</f>
        <v>464</v>
      </c>
      <c r="K2292" s="5" t="s">
        <v>308</v>
      </c>
      <c r="L2292" s="7">
        <f>1</f>
        <v>1</v>
      </c>
      <c r="M2292" s="7">
        <f>1</f>
        <v>1</v>
      </c>
      <c r="N2292" s="5" t="s">
        <v>242</v>
      </c>
      <c r="O2292" s="5">
        <v>1</v>
      </c>
      <c r="P2292" s="5" t="s">
        <v>294</v>
      </c>
      <c r="Q2292" s="5" t="s">
        <v>266</v>
      </c>
      <c r="R2292" s="5" t="s">
        <v>240</v>
      </c>
      <c r="S2292" s="5" t="s">
        <v>240</v>
      </c>
      <c r="T2292" s="5" t="s">
        <v>296</v>
      </c>
      <c r="U2292" s="5" t="s">
        <v>244</v>
      </c>
      <c r="V2292" s="5" t="s">
        <v>240</v>
      </c>
      <c r="Y2292" s="5" t="s">
        <v>240</v>
      </c>
      <c r="Z2292" s="6" t="s">
        <v>298</v>
      </c>
      <c r="AB2292" s="6" t="s">
        <v>240</v>
      </c>
      <c r="AE2292" s="6" t="s">
        <v>299</v>
      </c>
      <c r="AF2292" s="5" t="s">
        <v>248</v>
      </c>
      <c r="AG2292" s="5" t="s">
        <v>249</v>
      </c>
      <c r="AW2292" s="5" t="s">
        <v>251</v>
      </c>
      <c r="AX2292" s="5" t="s">
        <v>240</v>
      </c>
      <c r="AY2292" s="5" t="s">
        <v>253</v>
      </c>
      <c r="AZ2292" s="5" t="s">
        <v>240</v>
      </c>
      <c r="BA2292" s="5" t="s">
        <v>255</v>
      </c>
      <c r="BB2292" s="5" t="s">
        <v>240</v>
      </c>
      <c r="BD2292" s="5" t="s">
        <v>240</v>
      </c>
      <c r="BF2292" s="5" t="s">
        <v>301</v>
      </c>
      <c r="BG2292" s="6" t="s">
        <v>299</v>
      </c>
      <c r="BH2292" s="5" t="s">
        <v>302</v>
      </c>
      <c r="BI2292" s="5" t="s">
        <v>303</v>
      </c>
      <c r="BJ2292" s="5" t="s">
        <v>240</v>
      </c>
      <c r="BK2292" s="8">
        <f>0</f>
        <v>0</v>
      </c>
      <c r="BL2292" s="7">
        <f>0</f>
        <v>0</v>
      </c>
      <c r="BM2292" s="5" t="s">
        <v>258</v>
      </c>
      <c r="BN2292" s="5" t="s">
        <v>259</v>
      </c>
      <c r="CB2292" s="5" t="s">
        <v>240</v>
      </c>
      <c r="CC2292" s="5" t="s">
        <v>240</v>
      </c>
      <c r="CG2292" s="5" t="s">
        <v>304</v>
      </c>
      <c r="CH2292" s="5" t="s">
        <v>305</v>
      </c>
      <c r="CI2292" s="5" t="s">
        <v>240</v>
      </c>
      <c r="CL2292" s="6" t="s">
        <v>261</v>
      </c>
      <c r="CM2292" s="5" t="s">
        <v>240</v>
      </c>
      <c r="CN2292" s="5" t="s">
        <v>263</v>
      </c>
      <c r="CO2292" s="5" t="s">
        <v>240</v>
      </c>
      <c r="CP2292" s="5" t="s">
        <v>240</v>
      </c>
      <c r="CQ2292" s="5">
        <v>0</v>
      </c>
      <c r="CR2292" s="5" t="s">
        <v>306</v>
      </c>
      <c r="CS2292" s="5" t="s">
        <v>307</v>
      </c>
      <c r="CT2292" s="5" t="s">
        <v>307</v>
      </c>
      <c r="CU2292" s="5" t="s">
        <v>260</v>
      </c>
      <c r="CX2292" s="7">
        <f>1</f>
        <v>1</v>
      </c>
      <c r="CY2292" s="7">
        <f>0</f>
        <v>0</v>
      </c>
      <c r="DA2292" s="7">
        <f>0</f>
        <v>0</v>
      </c>
      <c r="DC2292" s="5" t="s">
        <v>309</v>
      </c>
      <c r="DD2292" s="5" t="s">
        <v>240</v>
      </c>
      <c r="DF2292" s="5" t="s">
        <v>309</v>
      </c>
      <c r="DG2292" s="7">
        <f>530</f>
        <v>530</v>
      </c>
      <c r="DI2292" s="5" t="s">
        <v>240</v>
      </c>
      <c r="DJ2292" s="5" t="s">
        <v>240</v>
      </c>
      <c r="DK2292" s="5" t="s">
        <v>240</v>
      </c>
      <c r="DL2292" s="5" t="s">
        <v>240</v>
      </c>
      <c r="DP2292" s="5" t="s">
        <v>240</v>
      </c>
      <c r="DQ2292" s="5" t="s">
        <v>240</v>
      </c>
      <c r="DR2292" s="5" t="s">
        <v>240</v>
      </c>
      <c r="DS2292" s="5" t="s">
        <v>240</v>
      </c>
      <c r="DV2292" s="5" t="s">
        <v>310</v>
      </c>
      <c r="DW2292" s="5" t="s">
        <v>2632</v>
      </c>
      <c r="HO2292" s="5" t="s">
        <v>312</v>
      </c>
    </row>
    <row r="2293" spans="1:223" x14ac:dyDescent="0.4">
      <c r="A2293" s="5">
        <v>3997</v>
      </c>
      <c r="B2293" s="5">
        <v>1</v>
      </c>
      <c r="C2293" s="5">
        <v>1</v>
      </c>
      <c r="D2293" s="5" t="s">
        <v>810</v>
      </c>
      <c r="E2293" s="5" t="s">
        <v>245</v>
      </c>
      <c r="F2293" s="5" t="s">
        <v>254</v>
      </c>
      <c r="G2293" s="5" t="s">
        <v>240</v>
      </c>
      <c r="H2293" s="6" t="s">
        <v>1804</v>
      </c>
      <c r="I2293" s="5" t="s">
        <v>809</v>
      </c>
      <c r="J2293" s="8">
        <f>97</f>
        <v>97</v>
      </c>
      <c r="K2293" s="5" t="s">
        <v>308</v>
      </c>
      <c r="L2293" s="7">
        <f>1</f>
        <v>1</v>
      </c>
      <c r="M2293" s="7">
        <f>1</f>
        <v>1</v>
      </c>
      <c r="N2293" s="5" t="s">
        <v>242</v>
      </c>
      <c r="O2293" s="5">
        <v>1</v>
      </c>
      <c r="P2293" s="5" t="s">
        <v>294</v>
      </c>
      <c r="Q2293" s="5" t="s">
        <v>266</v>
      </c>
      <c r="R2293" s="5" t="s">
        <v>240</v>
      </c>
      <c r="S2293" s="5" t="s">
        <v>240</v>
      </c>
      <c r="T2293" s="5" t="s">
        <v>296</v>
      </c>
      <c r="U2293" s="5" t="s">
        <v>244</v>
      </c>
      <c r="V2293" s="5" t="s">
        <v>240</v>
      </c>
      <c r="Y2293" s="5" t="s">
        <v>240</v>
      </c>
      <c r="Z2293" s="6" t="s">
        <v>298</v>
      </c>
      <c r="AB2293" s="6" t="s">
        <v>240</v>
      </c>
      <c r="AE2293" s="6" t="s">
        <v>299</v>
      </c>
      <c r="AF2293" s="5" t="s">
        <v>248</v>
      </c>
      <c r="AG2293" s="5" t="s">
        <v>249</v>
      </c>
      <c r="AW2293" s="5" t="s">
        <v>251</v>
      </c>
      <c r="AX2293" s="5" t="s">
        <v>240</v>
      </c>
      <c r="AY2293" s="5" t="s">
        <v>253</v>
      </c>
      <c r="AZ2293" s="5" t="s">
        <v>240</v>
      </c>
      <c r="BA2293" s="5" t="s">
        <v>255</v>
      </c>
      <c r="BB2293" s="5" t="s">
        <v>240</v>
      </c>
      <c r="BD2293" s="5" t="s">
        <v>240</v>
      </c>
      <c r="BF2293" s="5" t="s">
        <v>301</v>
      </c>
      <c r="BG2293" s="6" t="s">
        <v>299</v>
      </c>
      <c r="BH2293" s="5" t="s">
        <v>302</v>
      </c>
      <c r="BI2293" s="5" t="s">
        <v>303</v>
      </c>
      <c r="BJ2293" s="5" t="s">
        <v>240</v>
      </c>
      <c r="BK2293" s="8">
        <f>0</f>
        <v>0</v>
      </c>
      <c r="BL2293" s="7">
        <f>0</f>
        <v>0</v>
      </c>
      <c r="BM2293" s="5" t="s">
        <v>258</v>
      </c>
      <c r="BN2293" s="5" t="s">
        <v>259</v>
      </c>
      <c r="CB2293" s="5" t="s">
        <v>240</v>
      </c>
      <c r="CC2293" s="5" t="s">
        <v>240</v>
      </c>
      <c r="CG2293" s="5" t="s">
        <v>304</v>
      </c>
      <c r="CH2293" s="5" t="s">
        <v>305</v>
      </c>
      <c r="CI2293" s="5" t="s">
        <v>240</v>
      </c>
      <c r="CL2293" s="6" t="s">
        <v>261</v>
      </c>
      <c r="CM2293" s="5" t="s">
        <v>240</v>
      </c>
      <c r="CN2293" s="5" t="s">
        <v>263</v>
      </c>
      <c r="CO2293" s="5" t="s">
        <v>240</v>
      </c>
      <c r="CP2293" s="5" t="s">
        <v>240</v>
      </c>
      <c r="CQ2293" s="5">
        <v>0</v>
      </c>
      <c r="CR2293" s="5" t="s">
        <v>306</v>
      </c>
      <c r="CS2293" s="5" t="s">
        <v>307</v>
      </c>
      <c r="CT2293" s="5" t="s">
        <v>307</v>
      </c>
      <c r="CU2293" s="5" t="s">
        <v>260</v>
      </c>
      <c r="CX2293" s="7">
        <f>1</f>
        <v>1</v>
      </c>
      <c r="CY2293" s="7">
        <f>0</f>
        <v>0</v>
      </c>
      <c r="DA2293" s="7">
        <f>0</f>
        <v>0</v>
      </c>
      <c r="DC2293" s="5" t="s">
        <v>309</v>
      </c>
      <c r="DD2293" s="5" t="s">
        <v>240</v>
      </c>
      <c r="DF2293" s="5" t="s">
        <v>309</v>
      </c>
      <c r="DG2293" s="7">
        <f>1852</f>
        <v>1852</v>
      </c>
      <c r="DI2293" s="5" t="s">
        <v>240</v>
      </c>
      <c r="DJ2293" s="5" t="s">
        <v>240</v>
      </c>
      <c r="DK2293" s="5" t="s">
        <v>240</v>
      </c>
      <c r="DL2293" s="5" t="s">
        <v>240</v>
      </c>
      <c r="DP2293" s="5" t="s">
        <v>240</v>
      </c>
      <c r="DQ2293" s="5" t="s">
        <v>240</v>
      </c>
      <c r="DR2293" s="5" t="s">
        <v>240</v>
      </c>
      <c r="DS2293" s="5" t="s">
        <v>240</v>
      </c>
      <c r="DV2293" s="5" t="s">
        <v>310</v>
      </c>
      <c r="DW2293" s="5" t="s">
        <v>2634</v>
      </c>
      <c r="HO2293" s="5" t="s">
        <v>312</v>
      </c>
    </row>
    <row r="2294" spans="1:223" x14ac:dyDescent="0.4">
      <c r="A2294" s="5">
        <v>3998</v>
      </c>
      <c r="B2294" s="5">
        <v>1</v>
      </c>
      <c r="C2294" s="5">
        <v>1</v>
      </c>
      <c r="D2294" s="5" t="s">
        <v>810</v>
      </c>
      <c r="E2294" s="5" t="s">
        <v>245</v>
      </c>
      <c r="F2294" s="5" t="s">
        <v>254</v>
      </c>
      <c r="G2294" s="5" t="s">
        <v>240</v>
      </c>
      <c r="H2294" s="6" t="s">
        <v>1828</v>
      </c>
      <c r="I2294" s="5" t="s">
        <v>809</v>
      </c>
      <c r="J2294" s="8">
        <f>741</f>
        <v>741</v>
      </c>
      <c r="K2294" s="5" t="s">
        <v>308</v>
      </c>
      <c r="L2294" s="7">
        <f>1</f>
        <v>1</v>
      </c>
      <c r="M2294" s="7">
        <f>1</f>
        <v>1</v>
      </c>
      <c r="N2294" s="5" t="s">
        <v>242</v>
      </c>
      <c r="O2294" s="5">
        <v>1</v>
      </c>
      <c r="P2294" s="5" t="s">
        <v>294</v>
      </c>
      <c r="Q2294" s="5" t="s">
        <v>613</v>
      </c>
      <c r="R2294" s="5" t="s">
        <v>240</v>
      </c>
      <c r="S2294" s="5" t="s">
        <v>240</v>
      </c>
      <c r="T2294" s="5" t="s">
        <v>243</v>
      </c>
      <c r="U2294" s="5" t="s">
        <v>244</v>
      </c>
      <c r="V2294" s="5" t="s">
        <v>240</v>
      </c>
      <c r="Y2294" s="5" t="s">
        <v>240</v>
      </c>
      <c r="Z2294" s="6" t="s">
        <v>298</v>
      </c>
      <c r="AB2294" s="6" t="s">
        <v>240</v>
      </c>
      <c r="AE2294" s="6" t="s">
        <v>299</v>
      </c>
      <c r="AF2294" s="5" t="s">
        <v>248</v>
      </c>
      <c r="AG2294" s="5" t="s">
        <v>249</v>
      </c>
      <c r="AW2294" s="5" t="s">
        <v>251</v>
      </c>
      <c r="AX2294" s="5" t="s">
        <v>240</v>
      </c>
      <c r="AY2294" s="5" t="s">
        <v>253</v>
      </c>
      <c r="AZ2294" s="5" t="s">
        <v>240</v>
      </c>
      <c r="BA2294" s="5" t="s">
        <v>255</v>
      </c>
      <c r="BB2294" s="5" t="s">
        <v>240</v>
      </c>
      <c r="BD2294" s="5" t="s">
        <v>240</v>
      </c>
      <c r="BF2294" s="5" t="s">
        <v>301</v>
      </c>
      <c r="BG2294" s="6" t="s">
        <v>299</v>
      </c>
      <c r="BH2294" s="5" t="s">
        <v>302</v>
      </c>
      <c r="BI2294" s="5" t="s">
        <v>303</v>
      </c>
      <c r="BJ2294" s="5" t="s">
        <v>240</v>
      </c>
      <c r="BK2294" s="8">
        <f>0</f>
        <v>0</v>
      </c>
      <c r="BL2294" s="7">
        <f>0</f>
        <v>0</v>
      </c>
      <c r="BM2294" s="5" t="s">
        <v>258</v>
      </c>
      <c r="BN2294" s="5" t="s">
        <v>259</v>
      </c>
      <c r="CB2294" s="5" t="s">
        <v>240</v>
      </c>
      <c r="CC2294" s="5" t="s">
        <v>240</v>
      </c>
      <c r="CG2294" s="5" t="s">
        <v>617</v>
      </c>
      <c r="CH2294" s="5" t="s">
        <v>305</v>
      </c>
      <c r="CI2294" s="5" t="s">
        <v>240</v>
      </c>
      <c r="CL2294" s="6" t="s">
        <v>261</v>
      </c>
      <c r="CM2294" s="5" t="s">
        <v>240</v>
      </c>
      <c r="CN2294" s="5" t="s">
        <v>263</v>
      </c>
      <c r="CO2294" s="5" t="s">
        <v>240</v>
      </c>
      <c r="CP2294" s="5" t="s">
        <v>240</v>
      </c>
      <c r="CQ2294" s="5">
        <v>0</v>
      </c>
      <c r="CR2294" s="5" t="s">
        <v>306</v>
      </c>
      <c r="CS2294" s="5" t="s">
        <v>307</v>
      </c>
      <c r="CT2294" s="5" t="s">
        <v>307</v>
      </c>
      <c r="CU2294" s="5" t="s">
        <v>260</v>
      </c>
      <c r="CX2294" s="7">
        <f>2066595</f>
        <v>2066595</v>
      </c>
      <c r="CY2294" s="7">
        <f>0</f>
        <v>0</v>
      </c>
      <c r="DA2294" s="7">
        <f>0</f>
        <v>0</v>
      </c>
      <c r="DC2294" s="5" t="s">
        <v>689</v>
      </c>
      <c r="DD2294" s="5" t="s">
        <v>240</v>
      </c>
      <c r="DF2294" s="5" t="s">
        <v>1247</v>
      </c>
      <c r="DG2294" s="7">
        <f>933</f>
        <v>933</v>
      </c>
      <c r="DI2294" s="5" t="s">
        <v>618</v>
      </c>
      <c r="DJ2294" s="5" t="s">
        <v>240</v>
      </c>
      <c r="DK2294" s="5" t="s">
        <v>240</v>
      </c>
      <c r="DL2294" s="5" t="s">
        <v>240</v>
      </c>
      <c r="DP2294" s="5" t="s">
        <v>240</v>
      </c>
      <c r="DQ2294" s="5" t="s">
        <v>240</v>
      </c>
      <c r="DR2294" s="5" t="s">
        <v>240</v>
      </c>
      <c r="DS2294" s="5" t="s">
        <v>240</v>
      </c>
      <c r="DV2294" s="5" t="s">
        <v>1334</v>
      </c>
      <c r="DW2294" s="5" t="s">
        <v>801</v>
      </c>
      <c r="HO2294" s="5" t="s">
        <v>312</v>
      </c>
    </row>
    <row r="2295" spans="1:223" x14ac:dyDescent="0.4">
      <c r="A2295" s="5">
        <v>3999</v>
      </c>
      <c r="B2295" s="5">
        <v>1</v>
      </c>
      <c r="C2295" s="5">
        <v>1</v>
      </c>
      <c r="D2295" s="5" t="s">
        <v>810</v>
      </c>
      <c r="E2295" s="5" t="s">
        <v>245</v>
      </c>
      <c r="F2295" s="5" t="s">
        <v>254</v>
      </c>
      <c r="G2295" s="5" t="s">
        <v>240</v>
      </c>
      <c r="H2295" s="6" t="s">
        <v>1873</v>
      </c>
      <c r="I2295" s="5" t="s">
        <v>809</v>
      </c>
      <c r="J2295" s="8">
        <f>237</f>
        <v>237</v>
      </c>
      <c r="K2295" s="5" t="s">
        <v>308</v>
      </c>
      <c r="L2295" s="7">
        <f>1</f>
        <v>1</v>
      </c>
      <c r="M2295" s="7">
        <f>1</f>
        <v>1</v>
      </c>
      <c r="N2295" s="5" t="s">
        <v>242</v>
      </c>
      <c r="O2295" s="5">
        <v>1</v>
      </c>
      <c r="P2295" s="5" t="s">
        <v>294</v>
      </c>
      <c r="Q2295" s="5" t="s">
        <v>266</v>
      </c>
      <c r="R2295" s="5" t="s">
        <v>240</v>
      </c>
      <c r="S2295" s="5" t="s">
        <v>240</v>
      </c>
      <c r="T2295" s="5" t="s">
        <v>296</v>
      </c>
      <c r="U2295" s="5" t="s">
        <v>244</v>
      </c>
      <c r="V2295" s="5" t="s">
        <v>240</v>
      </c>
      <c r="Y2295" s="5" t="s">
        <v>240</v>
      </c>
      <c r="Z2295" s="6" t="s">
        <v>298</v>
      </c>
      <c r="AB2295" s="6" t="s">
        <v>240</v>
      </c>
      <c r="AE2295" s="6" t="s">
        <v>299</v>
      </c>
      <c r="AF2295" s="5" t="s">
        <v>248</v>
      </c>
      <c r="AG2295" s="5" t="s">
        <v>249</v>
      </c>
      <c r="AW2295" s="5" t="s">
        <v>251</v>
      </c>
      <c r="AX2295" s="5" t="s">
        <v>240</v>
      </c>
      <c r="AY2295" s="5" t="s">
        <v>253</v>
      </c>
      <c r="AZ2295" s="5" t="s">
        <v>240</v>
      </c>
      <c r="BA2295" s="5" t="s">
        <v>255</v>
      </c>
      <c r="BB2295" s="5" t="s">
        <v>240</v>
      </c>
      <c r="BD2295" s="5" t="s">
        <v>240</v>
      </c>
      <c r="BF2295" s="5" t="s">
        <v>301</v>
      </c>
      <c r="BG2295" s="6" t="s">
        <v>299</v>
      </c>
      <c r="BH2295" s="5" t="s">
        <v>302</v>
      </c>
      <c r="BI2295" s="5" t="s">
        <v>303</v>
      </c>
      <c r="BJ2295" s="5" t="s">
        <v>240</v>
      </c>
      <c r="BK2295" s="8">
        <f>0</f>
        <v>0</v>
      </c>
      <c r="BL2295" s="7">
        <f>0</f>
        <v>0</v>
      </c>
      <c r="BM2295" s="5" t="s">
        <v>258</v>
      </c>
      <c r="BN2295" s="5" t="s">
        <v>259</v>
      </c>
      <c r="CB2295" s="5" t="s">
        <v>240</v>
      </c>
      <c r="CC2295" s="5" t="s">
        <v>240</v>
      </c>
      <c r="CG2295" s="5" t="s">
        <v>304</v>
      </c>
      <c r="CH2295" s="5" t="s">
        <v>305</v>
      </c>
      <c r="CI2295" s="5" t="s">
        <v>240</v>
      </c>
      <c r="CL2295" s="6" t="s">
        <v>261</v>
      </c>
      <c r="CM2295" s="5" t="s">
        <v>240</v>
      </c>
      <c r="CN2295" s="5" t="s">
        <v>263</v>
      </c>
      <c r="CO2295" s="5" t="s">
        <v>240</v>
      </c>
      <c r="CP2295" s="5" t="s">
        <v>240</v>
      </c>
      <c r="CQ2295" s="5">
        <v>0</v>
      </c>
      <c r="CR2295" s="5" t="s">
        <v>306</v>
      </c>
      <c r="CS2295" s="5" t="s">
        <v>307</v>
      </c>
      <c r="CT2295" s="5" t="s">
        <v>307</v>
      </c>
      <c r="CU2295" s="5" t="s">
        <v>260</v>
      </c>
      <c r="CX2295" s="7">
        <f>1</f>
        <v>1</v>
      </c>
      <c r="CY2295" s="7">
        <f>0</f>
        <v>0</v>
      </c>
      <c r="DA2295" s="7">
        <f>0</f>
        <v>0</v>
      </c>
      <c r="DC2295" s="5" t="s">
        <v>309</v>
      </c>
      <c r="DD2295" s="5" t="s">
        <v>240</v>
      </c>
      <c r="DF2295" s="5" t="s">
        <v>309</v>
      </c>
      <c r="DG2295" s="7">
        <f>6026</f>
        <v>6026</v>
      </c>
      <c r="DI2295" s="5" t="s">
        <v>240</v>
      </c>
      <c r="DJ2295" s="5" t="s">
        <v>240</v>
      </c>
      <c r="DK2295" s="5" t="s">
        <v>240</v>
      </c>
      <c r="DL2295" s="5" t="s">
        <v>240</v>
      </c>
      <c r="DP2295" s="5" t="s">
        <v>240</v>
      </c>
      <c r="DQ2295" s="5" t="s">
        <v>240</v>
      </c>
      <c r="DR2295" s="5" t="s">
        <v>240</v>
      </c>
      <c r="DS2295" s="5" t="s">
        <v>240</v>
      </c>
      <c r="DV2295" s="5" t="s">
        <v>310</v>
      </c>
      <c r="DW2295" s="5" t="s">
        <v>2638</v>
      </c>
      <c r="HO2295" s="5" t="s">
        <v>312</v>
      </c>
    </row>
    <row r="2296" spans="1:223" x14ac:dyDescent="0.4">
      <c r="A2296" s="5">
        <v>4000</v>
      </c>
      <c r="B2296" s="5">
        <v>1</v>
      </c>
      <c r="C2296" s="5">
        <v>1</v>
      </c>
      <c r="D2296" s="5" t="s">
        <v>810</v>
      </c>
      <c r="E2296" s="5" t="s">
        <v>245</v>
      </c>
      <c r="F2296" s="5" t="s">
        <v>254</v>
      </c>
      <c r="G2296" s="5" t="s">
        <v>240</v>
      </c>
      <c r="H2296" s="6" t="s">
        <v>1882</v>
      </c>
      <c r="I2296" s="5" t="s">
        <v>809</v>
      </c>
      <c r="J2296" s="8">
        <f>311</f>
        <v>311</v>
      </c>
      <c r="K2296" s="5" t="s">
        <v>308</v>
      </c>
      <c r="L2296" s="7">
        <f>1</f>
        <v>1</v>
      </c>
      <c r="M2296" s="7">
        <f>1</f>
        <v>1</v>
      </c>
      <c r="N2296" s="5" t="s">
        <v>242</v>
      </c>
      <c r="O2296" s="5">
        <v>1</v>
      </c>
      <c r="P2296" s="5" t="s">
        <v>294</v>
      </c>
      <c r="Q2296" s="5" t="s">
        <v>266</v>
      </c>
      <c r="R2296" s="5" t="s">
        <v>240</v>
      </c>
      <c r="S2296" s="5" t="s">
        <v>240</v>
      </c>
      <c r="T2296" s="5" t="s">
        <v>296</v>
      </c>
      <c r="U2296" s="5" t="s">
        <v>244</v>
      </c>
      <c r="V2296" s="5" t="s">
        <v>240</v>
      </c>
      <c r="Y2296" s="5" t="s">
        <v>240</v>
      </c>
      <c r="Z2296" s="6" t="s">
        <v>298</v>
      </c>
      <c r="AB2296" s="6" t="s">
        <v>240</v>
      </c>
      <c r="AE2296" s="6" t="s">
        <v>299</v>
      </c>
      <c r="AF2296" s="5" t="s">
        <v>248</v>
      </c>
      <c r="AG2296" s="5" t="s">
        <v>249</v>
      </c>
      <c r="AW2296" s="5" t="s">
        <v>251</v>
      </c>
      <c r="AX2296" s="5" t="s">
        <v>240</v>
      </c>
      <c r="AY2296" s="5" t="s">
        <v>253</v>
      </c>
      <c r="AZ2296" s="5" t="s">
        <v>240</v>
      </c>
      <c r="BA2296" s="5" t="s">
        <v>255</v>
      </c>
      <c r="BB2296" s="5" t="s">
        <v>240</v>
      </c>
      <c r="BD2296" s="5" t="s">
        <v>240</v>
      </c>
      <c r="BF2296" s="5" t="s">
        <v>301</v>
      </c>
      <c r="BG2296" s="6" t="s">
        <v>299</v>
      </c>
      <c r="BH2296" s="5" t="s">
        <v>302</v>
      </c>
      <c r="BI2296" s="5" t="s">
        <v>303</v>
      </c>
      <c r="BJ2296" s="5" t="s">
        <v>240</v>
      </c>
      <c r="BK2296" s="8">
        <f>0</f>
        <v>0</v>
      </c>
      <c r="BL2296" s="7">
        <f>0</f>
        <v>0</v>
      </c>
      <c r="BM2296" s="5" t="s">
        <v>258</v>
      </c>
      <c r="BN2296" s="5" t="s">
        <v>259</v>
      </c>
      <c r="CB2296" s="5" t="s">
        <v>240</v>
      </c>
      <c r="CC2296" s="5" t="s">
        <v>240</v>
      </c>
      <c r="CG2296" s="5" t="s">
        <v>304</v>
      </c>
      <c r="CH2296" s="5" t="s">
        <v>305</v>
      </c>
      <c r="CI2296" s="5" t="s">
        <v>240</v>
      </c>
      <c r="CL2296" s="6" t="s">
        <v>261</v>
      </c>
      <c r="CM2296" s="5" t="s">
        <v>240</v>
      </c>
      <c r="CN2296" s="5" t="s">
        <v>263</v>
      </c>
      <c r="CO2296" s="5" t="s">
        <v>240</v>
      </c>
      <c r="CP2296" s="5" t="s">
        <v>240</v>
      </c>
      <c r="CQ2296" s="5">
        <v>0</v>
      </c>
      <c r="CR2296" s="5" t="s">
        <v>306</v>
      </c>
      <c r="CS2296" s="5" t="s">
        <v>307</v>
      </c>
      <c r="CT2296" s="5" t="s">
        <v>307</v>
      </c>
      <c r="CU2296" s="5" t="s">
        <v>260</v>
      </c>
      <c r="CX2296" s="7">
        <f>1</f>
        <v>1</v>
      </c>
      <c r="CY2296" s="7">
        <f>0</f>
        <v>0</v>
      </c>
      <c r="DA2296" s="7">
        <f>0</f>
        <v>0</v>
      </c>
      <c r="DC2296" s="5" t="s">
        <v>309</v>
      </c>
      <c r="DD2296" s="5" t="s">
        <v>240</v>
      </c>
      <c r="DF2296" s="5" t="s">
        <v>309</v>
      </c>
      <c r="DG2296" s="7">
        <f>578</f>
        <v>578</v>
      </c>
      <c r="DI2296" s="5" t="s">
        <v>240</v>
      </c>
      <c r="DJ2296" s="5" t="s">
        <v>240</v>
      </c>
      <c r="DK2296" s="5" t="s">
        <v>240</v>
      </c>
      <c r="DL2296" s="5" t="s">
        <v>240</v>
      </c>
      <c r="DP2296" s="5" t="s">
        <v>240</v>
      </c>
      <c r="DQ2296" s="5" t="s">
        <v>240</v>
      </c>
      <c r="DR2296" s="5" t="s">
        <v>240</v>
      </c>
      <c r="DS2296" s="5" t="s">
        <v>240</v>
      </c>
      <c r="DV2296" s="5" t="s">
        <v>310</v>
      </c>
      <c r="DW2296" s="5" t="s">
        <v>2640</v>
      </c>
      <c r="HO2296" s="5" t="s">
        <v>312</v>
      </c>
    </row>
    <row r="2297" spans="1:223" x14ac:dyDescent="0.4">
      <c r="A2297" s="5">
        <v>4001</v>
      </c>
      <c r="B2297" s="5">
        <v>1</v>
      </c>
      <c r="C2297" s="5">
        <v>1</v>
      </c>
      <c r="D2297" s="5" t="s">
        <v>810</v>
      </c>
      <c r="E2297" s="5" t="s">
        <v>245</v>
      </c>
      <c r="F2297" s="5" t="s">
        <v>254</v>
      </c>
      <c r="G2297" s="5" t="s">
        <v>240</v>
      </c>
      <c r="H2297" s="6" t="s">
        <v>2012</v>
      </c>
      <c r="I2297" s="5" t="s">
        <v>809</v>
      </c>
      <c r="J2297" s="8">
        <f>757</f>
        <v>757</v>
      </c>
      <c r="K2297" s="5" t="s">
        <v>308</v>
      </c>
      <c r="L2297" s="7">
        <f>1</f>
        <v>1</v>
      </c>
      <c r="M2297" s="7">
        <f>1</f>
        <v>1</v>
      </c>
      <c r="N2297" s="5" t="s">
        <v>242</v>
      </c>
      <c r="O2297" s="5">
        <v>1</v>
      </c>
      <c r="P2297" s="5" t="s">
        <v>294</v>
      </c>
      <c r="Q2297" s="5" t="s">
        <v>266</v>
      </c>
      <c r="R2297" s="5" t="s">
        <v>240</v>
      </c>
      <c r="S2297" s="5" t="s">
        <v>240</v>
      </c>
      <c r="T2297" s="5" t="s">
        <v>296</v>
      </c>
      <c r="U2297" s="5" t="s">
        <v>244</v>
      </c>
      <c r="V2297" s="5" t="s">
        <v>240</v>
      </c>
      <c r="Y2297" s="5" t="s">
        <v>240</v>
      </c>
      <c r="Z2297" s="6" t="s">
        <v>298</v>
      </c>
      <c r="AB2297" s="6" t="s">
        <v>240</v>
      </c>
      <c r="AE2297" s="6" t="s">
        <v>299</v>
      </c>
      <c r="AF2297" s="5" t="s">
        <v>248</v>
      </c>
      <c r="AG2297" s="5" t="s">
        <v>249</v>
      </c>
      <c r="AW2297" s="5" t="s">
        <v>251</v>
      </c>
      <c r="AX2297" s="5" t="s">
        <v>240</v>
      </c>
      <c r="AY2297" s="5" t="s">
        <v>253</v>
      </c>
      <c r="AZ2297" s="5" t="s">
        <v>240</v>
      </c>
      <c r="BA2297" s="5" t="s">
        <v>255</v>
      </c>
      <c r="BB2297" s="5" t="s">
        <v>240</v>
      </c>
      <c r="BD2297" s="5" t="s">
        <v>240</v>
      </c>
      <c r="BF2297" s="5" t="s">
        <v>301</v>
      </c>
      <c r="BG2297" s="6" t="s">
        <v>299</v>
      </c>
      <c r="BH2297" s="5" t="s">
        <v>302</v>
      </c>
      <c r="BI2297" s="5" t="s">
        <v>303</v>
      </c>
      <c r="BJ2297" s="5" t="s">
        <v>240</v>
      </c>
      <c r="BK2297" s="8">
        <f>0</f>
        <v>0</v>
      </c>
      <c r="BL2297" s="7">
        <f>0</f>
        <v>0</v>
      </c>
      <c r="BM2297" s="5" t="s">
        <v>258</v>
      </c>
      <c r="BN2297" s="5" t="s">
        <v>259</v>
      </c>
      <c r="CB2297" s="5" t="s">
        <v>240</v>
      </c>
      <c r="CC2297" s="5" t="s">
        <v>240</v>
      </c>
      <c r="CG2297" s="5" t="s">
        <v>304</v>
      </c>
      <c r="CH2297" s="5" t="s">
        <v>305</v>
      </c>
      <c r="CI2297" s="5" t="s">
        <v>240</v>
      </c>
      <c r="CL2297" s="6" t="s">
        <v>261</v>
      </c>
      <c r="CM2297" s="5" t="s">
        <v>240</v>
      </c>
      <c r="CN2297" s="5" t="s">
        <v>263</v>
      </c>
      <c r="CO2297" s="5" t="s">
        <v>240</v>
      </c>
      <c r="CP2297" s="5" t="s">
        <v>240</v>
      </c>
      <c r="CQ2297" s="5">
        <v>0</v>
      </c>
      <c r="CR2297" s="5" t="s">
        <v>306</v>
      </c>
      <c r="CS2297" s="5" t="s">
        <v>307</v>
      </c>
      <c r="CT2297" s="5" t="s">
        <v>307</v>
      </c>
      <c r="CU2297" s="5" t="s">
        <v>260</v>
      </c>
      <c r="CX2297" s="7">
        <f>1</f>
        <v>1</v>
      </c>
      <c r="CY2297" s="7">
        <f>0</f>
        <v>0</v>
      </c>
      <c r="DA2297" s="7">
        <f>0</f>
        <v>0</v>
      </c>
      <c r="DC2297" s="5" t="s">
        <v>309</v>
      </c>
      <c r="DD2297" s="5" t="s">
        <v>240</v>
      </c>
      <c r="DF2297" s="5" t="s">
        <v>309</v>
      </c>
      <c r="DG2297" s="7">
        <f>2876</f>
        <v>2876</v>
      </c>
      <c r="DI2297" s="5" t="s">
        <v>240</v>
      </c>
      <c r="DJ2297" s="5" t="s">
        <v>240</v>
      </c>
      <c r="DK2297" s="5" t="s">
        <v>240</v>
      </c>
      <c r="DL2297" s="5" t="s">
        <v>240</v>
      </c>
      <c r="DP2297" s="5" t="s">
        <v>240</v>
      </c>
      <c r="DQ2297" s="5" t="s">
        <v>240</v>
      </c>
      <c r="DR2297" s="5" t="s">
        <v>240</v>
      </c>
      <c r="DS2297" s="5" t="s">
        <v>240</v>
      </c>
      <c r="DV2297" s="5" t="s">
        <v>310</v>
      </c>
      <c r="DW2297" s="5" t="s">
        <v>2642</v>
      </c>
      <c r="HO2297" s="5" t="s">
        <v>312</v>
      </c>
    </row>
    <row r="2298" spans="1:223" x14ac:dyDescent="0.4">
      <c r="A2298" s="5">
        <v>4002</v>
      </c>
      <c r="B2298" s="5">
        <v>1</v>
      </c>
      <c r="C2298" s="5">
        <v>1</v>
      </c>
      <c r="D2298" s="5" t="s">
        <v>810</v>
      </c>
      <c r="E2298" s="5" t="s">
        <v>245</v>
      </c>
      <c r="F2298" s="5" t="s">
        <v>254</v>
      </c>
      <c r="G2298" s="5" t="s">
        <v>240</v>
      </c>
      <c r="H2298" s="6" t="s">
        <v>2047</v>
      </c>
      <c r="I2298" s="5" t="s">
        <v>809</v>
      </c>
      <c r="J2298" s="8">
        <f>294</f>
        <v>294</v>
      </c>
      <c r="K2298" s="5" t="s">
        <v>308</v>
      </c>
      <c r="L2298" s="7">
        <f>1</f>
        <v>1</v>
      </c>
      <c r="M2298" s="7">
        <f>1</f>
        <v>1</v>
      </c>
      <c r="N2298" s="5" t="s">
        <v>242</v>
      </c>
      <c r="O2298" s="5">
        <v>1</v>
      </c>
      <c r="P2298" s="5" t="s">
        <v>294</v>
      </c>
      <c r="Q2298" s="5" t="s">
        <v>266</v>
      </c>
      <c r="R2298" s="5" t="s">
        <v>240</v>
      </c>
      <c r="S2298" s="5" t="s">
        <v>240</v>
      </c>
      <c r="T2298" s="5" t="s">
        <v>296</v>
      </c>
      <c r="U2298" s="5" t="s">
        <v>244</v>
      </c>
      <c r="V2298" s="5" t="s">
        <v>240</v>
      </c>
      <c r="Y2298" s="5" t="s">
        <v>240</v>
      </c>
      <c r="Z2298" s="6" t="s">
        <v>298</v>
      </c>
      <c r="AB2298" s="6" t="s">
        <v>240</v>
      </c>
      <c r="AE2298" s="6" t="s">
        <v>299</v>
      </c>
      <c r="AF2298" s="5" t="s">
        <v>248</v>
      </c>
      <c r="AG2298" s="5" t="s">
        <v>249</v>
      </c>
      <c r="AW2298" s="5" t="s">
        <v>251</v>
      </c>
      <c r="AX2298" s="5" t="s">
        <v>240</v>
      </c>
      <c r="AY2298" s="5" t="s">
        <v>253</v>
      </c>
      <c r="AZ2298" s="5" t="s">
        <v>240</v>
      </c>
      <c r="BA2298" s="5" t="s">
        <v>255</v>
      </c>
      <c r="BB2298" s="5" t="s">
        <v>240</v>
      </c>
      <c r="BD2298" s="5" t="s">
        <v>240</v>
      </c>
      <c r="BF2298" s="5" t="s">
        <v>301</v>
      </c>
      <c r="BG2298" s="6" t="s">
        <v>299</v>
      </c>
      <c r="BH2298" s="5" t="s">
        <v>302</v>
      </c>
      <c r="BI2298" s="5" t="s">
        <v>303</v>
      </c>
      <c r="BJ2298" s="5" t="s">
        <v>240</v>
      </c>
      <c r="BK2298" s="8">
        <f>0</f>
        <v>0</v>
      </c>
      <c r="BL2298" s="7">
        <f>0</f>
        <v>0</v>
      </c>
      <c r="BM2298" s="5" t="s">
        <v>258</v>
      </c>
      <c r="BN2298" s="5" t="s">
        <v>259</v>
      </c>
      <c r="CB2298" s="5" t="s">
        <v>240</v>
      </c>
      <c r="CC2298" s="5" t="s">
        <v>240</v>
      </c>
      <c r="CG2298" s="5" t="s">
        <v>304</v>
      </c>
      <c r="CH2298" s="5" t="s">
        <v>305</v>
      </c>
      <c r="CI2298" s="5" t="s">
        <v>240</v>
      </c>
      <c r="CL2298" s="6" t="s">
        <v>261</v>
      </c>
      <c r="CM2298" s="5" t="s">
        <v>240</v>
      </c>
      <c r="CN2298" s="5" t="s">
        <v>263</v>
      </c>
      <c r="CO2298" s="5" t="s">
        <v>240</v>
      </c>
      <c r="CP2298" s="5" t="s">
        <v>240</v>
      </c>
      <c r="CQ2298" s="5">
        <v>0</v>
      </c>
      <c r="CR2298" s="5" t="s">
        <v>306</v>
      </c>
      <c r="CS2298" s="5" t="s">
        <v>307</v>
      </c>
      <c r="CT2298" s="5" t="s">
        <v>307</v>
      </c>
      <c r="CU2298" s="5" t="s">
        <v>260</v>
      </c>
      <c r="CX2298" s="7">
        <f>1</f>
        <v>1</v>
      </c>
      <c r="CY2298" s="7">
        <f>0</f>
        <v>0</v>
      </c>
      <c r="DA2298" s="7">
        <f>0</f>
        <v>0</v>
      </c>
      <c r="DC2298" s="5" t="s">
        <v>309</v>
      </c>
      <c r="DD2298" s="5" t="s">
        <v>240</v>
      </c>
      <c r="DF2298" s="5" t="s">
        <v>309</v>
      </c>
      <c r="DG2298" s="7">
        <f>570</f>
        <v>570</v>
      </c>
      <c r="DI2298" s="5" t="s">
        <v>240</v>
      </c>
      <c r="DJ2298" s="5" t="s">
        <v>240</v>
      </c>
      <c r="DK2298" s="5" t="s">
        <v>240</v>
      </c>
      <c r="DL2298" s="5" t="s">
        <v>240</v>
      </c>
      <c r="DP2298" s="5" t="s">
        <v>240</v>
      </c>
      <c r="DQ2298" s="5" t="s">
        <v>240</v>
      </c>
      <c r="DR2298" s="5" t="s">
        <v>240</v>
      </c>
      <c r="DS2298" s="5" t="s">
        <v>240</v>
      </c>
      <c r="DV2298" s="5" t="s">
        <v>310</v>
      </c>
      <c r="DW2298" s="5" t="s">
        <v>2644</v>
      </c>
      <c r="HO2298" s="5" t="s">
        <v>312</v>
      </c>
    </row>
    <row r="2299" spans="1:223" x14ac:dyDescent="0.4">
      <c r="A2299" s="5">
        <v>4003</v>
      </c>
      <c r="B2299" s="5">
        <v>1</v>
      </c>
      <c r="C2299" s="5">
        <v>1</v>
      </c>
      <c r="D2299" s="5" t="s">
        <v>810</v>
      </c>
      <c r="E2299" s="5" t="s">
        <v>245</v>
      </c>
      <c r="F2299" s="5" t="s">
        <v>254</v>
      </c>
      <c r="G2299" s="5" t="s">
        <v>240</v>
      </c>
      <c r="H2299" s="6" t="s">
        <v>2084</v>
      </c>
      <c r="I2299" s="5" t="s">
        <v>809</v>
      </c>
      <c r="J2299" s="8">
        <f>756</f>
        <v>756</v>
      </c>
      <c r="K2299" s="5" t="s">
        <v>308</v>
      </c>
      <c r="L2299" s="7">
        <f>1</f>
        <v>1</v>
      </c>
      <c r="M2299" s="7">
        <f>1</f>
        <v>1</v>
      </c>
      <c r="N2299" s="5" t="s">
        <v>242</v>
      </c>
      <c r="O2299" s="5">
        <v>1</v>
      </c>
      <c r="P2299" s="5" t="s">
        <v>294</v>
      </c>
      <c r="Q2299" s="5" t="s">
        <v>266</v>
      </c>
      <c r="R2299" s="5" t="s">
        <v>240</v>
      </c>
      <c r="S2299" s="5" t="s">
        <v>240</v>
      </c>
      <c r="T2299" s="5" t="s">
        <v>296</v>
      </c>
      <c r="U2299" s="5" t="s">
        <v>244</v>
      </c>
      <c r="V2299" s="5" t="s">
        <v>240</v>
      </c>
      <c r="Y2299" s="5" t="s">
        <v>240</v>
      </c>
      <c r="Z2299" s="6" t="s">
        <v>298</v>
      </c>
      <c r="AB2299" s="6" t="s">
        <v>240</v>
      </c>
      <c r="AE2299" s="6" t="s">
        <v>299</v>
      </c>
      <c r="AF2299" s="5" t="s">
        <v>248</v>
      </c>
      <c r="AG2299" s="5" t="s">
        <v>249</v>
      </c>
      <c r="AW2299" s="5" t="s">
        <v>251</v>
      </c>
      <c r="AX2299" s="5" t="s">
        <v>240</v>
      </c>
      <c r="AY2299" s="5" t="s">
        <v>253</v>
      </c>
      <c r="AZ2299" s="5" t="s">
        <v>240</v>
      </c>
      <c r="BA2299" s="5" t="s">
        <v>255</v>
      </c>
      <c r="BB2299" s="5" t="s">
        <v>240</v>
      </c>
      <c r="BD2299" s="5" t="s">
        <v>240</v>
      </c>
      <c r="BF2299" s="5" t="s">
        <v>301</v>
      </c>
      <c r="BG2299" s="6" t="s">
        <v>299</v>
      </c>
      <c r="BH2299" s="5" t="s">
        <v>302</v>
      </c>
      <c r="BI2299" s="5" t="s">
        <v>303</v>
      </c>
      <c r="BJ2299" s="5" t="s">
        <v>240</v>
      </c>
      <c r="BK2299" s="8">
        <f>0</f>
        <v>0</v>
      </c>
      <c r="BL2299" s="7">
        <f>0</f>
        <v>0</v>
      </c>
      <c r="BM2299" s="5" t="s">
        <v>258</v>
      </c>
      <c r="BN2299" s="5" t="s">
        <v>259</v>
      </c>
      <c r="CB2299" s="5" t="s">
        <v>240</v>
      </c>
      <c r="CC2299" s="5" t="s">
        <v>240</v>
      </c>
      <c r="CG2299" s="5" t="s">
        <v>304</v>
      </c>
      <c r="CH2299" s="5" t="s">
        <v>305</v>
      </c>
      <c r="CI2299" s="5" t="s">
        <v>240</v>
      </c>
      <c r="CL2299" s="6" t="s">
        <v>261</v>
      </c>
      <c r="CM2299" s="5" t="s">
        <v>240</v>
      </c>
      <c r="CN2299" s="5" t="s">
        <v>263</v>
      </c>
      <c r="CO2299" s="5" t="s">
        <v>240</v>
      </c>
      <c r="CP2299" s="5" t="s">
        <v>240</v>
      </c>
      <c r="CQ2299" s="5">
        <v>0</v>
      </c>
      <c r="CR2299" s="5" t="s">
        <v>306</v>
      </c>
      <c r="CS2299" s="5" t="s">
        <v>307</v>
      </c>
      <c r="CT2299" s="5" t="s">
        <v>307</v>
      </c>
      <c r="CU2299" s="5" t="s">
        <v>260</v>
      </c>
      <c r="CX2299" s="7">
        <f>1</f>
        <v>1</v>
      </c>
      <c r="CY2299" s="7">
        <f>0</f>
        <v>0</v>
      </c>
      <c r="DA2299" s="7">
        <f>0</f>
        <v>0</v>
      </c>
      <c r="DC2299" s="5" t="s">
        <v>309</v>
      </c>
      <c r="DD2299" s="5" t="s">
        <v>240</v>
      </c>
      <c r="DF2299" s="5" t="s">
        <v>309</v>
      </c>
      <c r="DG2299" s="7">
        <f>3127</f>
        <v>3127</v>
      </c>
      <c r="DI2299" s="5" t="s">
        <v>240</v>
      </c>
      <c r="DJ2299" s="5" t="s">
        <v>240</v>
      </c>
      <c r="DK2299" s="5" t="s">
        <v>240</v>
      </c>
      <c r="DL2299" s="5" t="s">
        <v>240</v>
      </c>
      <c r="DP2299" s="5" t="s">
        <v>240</v>
      </c>
      <c r="DQ2299" s="5" t="s">
        <v>240</v>
      </c>
      <c r="DR2299" s="5" t="s">
        <v>240</v>
      </c>
      <c r="DS2299" s="5" t="s">
        <v>240</v>
      </c>
      <c r="DV2299" s="5" t="s">
        <v>310</v>
      </c>
      <c r="DW2299" s="5" t="s">
        <v>2646</v>
      </c>
      <c r="HO2299" s="5" t="s">
        <v>312</v>
      </c>
    </row>
    <row r="2300" spans="1:223" x14ac:dyDescent="0.4">
      <c r="A2300" s="5">
        <v>4004</v>
      </c>
      <c r="B2300" s="5">
        <v>1</v>
      </c>
      <c r="C2300" s="5">
        <v>1</v>
      </c>
      <c r="D2300" s="5" t="s">
        <v>810</v>
      </c>
      <c r="E2300" s="5" t="s">
        <v>245</v>
      </c>
      <c r="F2300" s="5" t="s">
        <v>254</v>
      </c>
      <c r="G2300" s="5" t="s">
        <v>240</v>
      </c>
      <c r="H2300" s="6" t="s">
        <v>2095</v>
      </c>
      <c r="I2300" s="5" t="s">
        <v>809</v>
      </c>
      <c r="J2300" s="8">
        <f>352</f>
        <v>352</v>
      </c>
      <c r="K2300" s="5" t="s">
        <v>308</v>
      </c>
      <c r="L2300" s="7">
        <f>1</f>
        <v>1</v>
      </c>
      <c r="M2300" s="7">
        <f>1</f>
        <v>1</v>
      </c>
      <c r="N2300" s="5" t="s">
        <v>242</v>
      </c>
      <c r="O2300" s="5">
        <v>1</v>
      </c>
      <c r="P2300" s="5" t="s">
        <v>294</v>
      </c>
      <c r="Q2300" s="5" t="s">
        <v>266</v>
      </c>
      <c r="R2300" s="5" t="s">
        <v>240</v>
      </c>
      <c r="S2300" s="5" t="s">
        <v>240</v>
      </c>
      <c r="T2300" s="5" t="s">
        <v>296</v>
      </c>
      <c r="U2300" s="5" t="s">
        <v>244</v>
      </c>
      <c r="V2300" s="5" t="s">
        <v>240</v>
      </c>
      <c r="Y2300" s="5" t="s">
        <v>240</v>
      </c>
      <c r="Z2300" s="6" t="s">
        <v>298</v>
      </c>
      <c r="AB2300" s="6" t="s">
        <v>240</v>
      </c>
      <c r="AE2300" s="6" t="s">
        <v>299</v>
      </c>
      <c r="AF2300" s="5" t="s">
        <v>248</v>
      </c>
      <c r="AG2300" s="5" t="s">
        <v>249</v>
      </c>
      <c r="AW2300" s="5" t="s">
        <v>251</v>
      </c>
      <c r="AX2300" s="5" t="s">
        <v>240</v>
      </c>
      <c r="AY2300" s="5" t="s">
        <v>253</v>
      </c>
      <c r="AZ2300" s="5" t="s">
        <v>240</v>
      </c>
      <c r="BA2300" s="5" t="s">
        <v>255</v>
      </c>
      <c r="BB2300" s="5" t="s">
        <v>240</v>
      </c>
      <c r="BD2300" s="5" t="s">
        <v>240</v>
      </c>
      <c r="BF2300" s="5" t="s">
        <v>301</v>
      </c>
      <c r="BG2300" s="6" t="s">
        <v>299</v>
      </c>
      <c r="BH2300" s="5" t="s">
        <v>302</v>
      </c>
      <c r="BI2300" s="5" t="s">
        <v>303</v>
      </c>
      <c r="BJ2300" s="5" t="s">
        <v>240</v>
      </c>
      <c r="BK2300" s="8">
        <f>0</f>
        <v>0</v>
      </c>
      <c r="BL2300" s="7">
        <f>0</f>
        <v>0</v>
      </c>
      <c r="BM2300" s="5" t="s">
        <v>258</v>
      </c>
      <c r="BN2300" s="5" t="s">
        <v>259</v>
      </c>
      <c r="CB2300" s="5" t="s">
        <v>240</v>
      </c>
      <c r="CC2300" s="5" t="s">
        <v>240</v>
      </c>
      <c r="CG2300" s="5" t="s">
        <v>304</v>
      </c>
      <c r="CH2300" s="5" t="s">
        <v>305</v>
      </c>
      <c r="CI2300" s="5" t="s">
        <v>240</v>
      </c>
      <c r="CL2300" s="6" t="s">
        <v>261</v>
      </c>
      <c r="CM2300" s="5" t="s">
        <v>240</v>
      </c>
      <c r="CN2300" s="5" t="s">
        <v>263</v>
      </c>
      <c r="CO2300" s="5" t="s">
        <v>240</v>
      </c>
      <c r="CP2300" s="5" t="s">
        <v>240</v>
      </c>
      <c r="CQ2300" s="5">
        <v>0</v>
      </c>
      <c r="CR2300" s="5" t="s">
        <v>306</v>
      </c>
      <c r="CS2300" s="5" t="s">
        <v>307</v>
      </c>
      <c r="CT2300" s="5" t="s">
        <v>307</v>
      </c>
      <c r="CU2300" s="5" t="s">
        <v>260</v>
      </c>
      <c r="CX2300" s="7">
        <f>1</f>
        <v>1</v>
      </c>
      <c r="CY2300" s="7">
        <f>0</f>
        <v>0</v>
      </c>
      <c r="DA2300" s="7">
        <f>0</f>
        <v>0</v>
      </c>
      <c r="DC2300" s="5" t="s">
        <v>309</v>
      </c>
      <c r="DD2300" s="5" t="s">
        <v>240</v>
      </c>
      <c r="DF2300" s="5" t="s">
        <v>309</v>
      </c>
      <c r="DG2300" s="7">
        <f>318</f>
        <v>318</v>
      </c>
      <c r="DI2300" s="5" t="s">
        <v>240</v>
      </c>
      <c r="DJ2300" s="5" t="s">
        <v>240</v>
      </c>
      <c r="DK2300" s="5" t="s">
        <v>240</v>
      </c>
      <c r="DL2300" s="5" t="s">
        <v>240</v>
      </c>
      <c r="DP2300" s="5" t="s">
        <v>240</v>
      </c>
      <c r="DQ2300" s="5" t="s">
        <v>240</v>
      </c>
      <c r="DR2300" s="5" t="s">
        <v>240</v>
      </c>
      <c r="DS2300" s="5" t="s">
        <v>240</v>
      </c>
      <c r="DV2300" s="5" t="s">
        <v>310</v>
      </c>
      <c r="DW2300" s="5" t="s">
        <v>2648</v>
      </c>
      <c r="HO2300" s="5" t="s">
        <v>312</v>
      </c>
    </row>
    <row r="2301" spans="1:223" x14ac:dyDescent="0.4">
      <c r="A2301" s="5">
        <v>4005</v>
      </c>
      <c r="B2301" s="5">
        <v>1</v>
      </c>
      <c r="C2301" s="5">
        <v>1</v>
      </c>
      <c r="D2301" s="5" t="s">
        <v>810</v>
      </c>
      <c r="E2301" s="5" t="s">
        <v>245</v>
      </c>
      <c r="F2301" s="5" t="s">
        <v>254</v>
      </c>
      <c r="G2301" s="5" t="s">
        <v>240</v>
      </c>
      <c r="H2301" s="6" t="s">
        <v>2138</v>
      </c>
      <c r="I2301" s="5" t="s">
        <v>809</v>
      </c>
      <c r="J2301" s="8">
        <f>409</f>
        <v>409</v>
      </c>
      <c r="K2301" s="5" t="s">
        <v>308</v>
      </c>
      <c r="L2301" s="7">
        <f>1</f>
        <v>1</v>
      </c>
      <c r="M2301" s="7">
        <f>1</f>
        <v>1</v>
      </c>
      <c r="N2301" s="5" t="s">
        <v>242</v>
      </c>
      <c r="O2301" s="5">
        <v>1</v>
      </c>
      <c r="P2301" s="5" t="s">
        <v>294</v>
      </c>
      <c r="Q2301" s="5" t="s">
        <v>266</v>
      </c>
      <c r="R2301" s="5" t="s">
        <v>240</v>
      </c>
      <c r="S2301" s="5" t="s">
        <v>240</v>
      </c>
      <c r="T2301" s="5" t="s">
        <v>296</v>
      </c>
      <c r="U2301" s="5" t="s">
        <v>244</v>
      </c>
      <c r="V2301" s="5" t="s">
        <v>240</v>
      </c>
      <c r="Y2301" s="5" t="s">
        <v>240</v>
      </c>
      <c r="Z2301" s="6" t="s">
        <v>298</v>
      </c>
      <c r="AB2301" s="6" t="s">
        <v>240</v>
      </c>
      <c r="AE2301" s="6" t="s">
        <v>299</v>
      </c>
      <c r="AF2301" s="5" t="s">
        <v>248</v>
      </c>
      <c r="AG2301" s="5" t="s">
        <v>249</v>
      </c>
      <c r="AW2301" s="5" t="s">
        <v>251</v>
      </c>
      <c r="AX2301" s="5" t="s">
        <v>240</v>
      </c>
      <c r="AY2301" s="5" t="s">
        <v>253</v>
      </c>
      <c r="AZ2301" s="5" t="s">
        <v>240</v>
      </c>
      <c r="BA2301" s="5" t="s">
        <v>255</v>
      </c>
      <c r="BB2301" s="5" t="s">
        <v>240</v>
      </c>
      <c r="BD2301" s="5" t="s">
        <v>240</v>
      </c>
      <c r="BF2301" s="5" t="s">
        <v>301</v>
      </c>
      <c r="BG2301" s="6" t="s">
        <v>299</v>
      </c>
      <c r="BH2301" s="5" t="s">
        <v>302</v>
      </c>
      <c r="BI2301" s="5" t="s">
        <v>303</v>
      </c>
      <c r="BJ2301" s="5" t="s">
        <v>240</v>
      </c>
      <c r="BK2301" s="8">
        <f>0</f>
        <v>0</v>
      </c>
      <c r="BL2301" s="7">
        <f>0</f>
        <v>0</v>
      </c>
      <c r="BM2301" s="5" t="s">
        <v>258</v>
      </c>
      <c r="BN2301" s="5" t="s">
        <v>259</v>
      </c>
      <c r="CB2301" s="5" t="s">
        <v>240</v>
      </c>
      <c r="CC2301" s="5" t="s">
        <v>240</v>
      </c>
      <c r="CG2301" s="5" t="s">
        <v>304</v>
      </c>
      <c r="CH2301" s="5" t="s">
        <v>305</v>
      </c>
      <c r="CI2301" s="5" t="s">
        <v>240</v>
      </c>
      <c r="CL2301" s="6" t="s">
        <v>261</v>
      </c>
      <c r="CM2301" s="5" t="s">
        <v>240</v>
      </c>
      <c r="CN2301" s="5" t="s">
        <v>263</v>
      </c>
      <c r="CO2301" s="5" t="s">
        <v>240</v>
      </c>
      <c r="CP2301" s="5" t="s">
        <v>240</v>
      </c>
      <c r="CQ2301" s="5">
        <v>0</v>
      </c>
      <c r="CR2301" s="5" t="s">
        <v>306</v>
      </c>
      <c r="CS2301" s="5" t="s">
        <v>307</v>
      </c>
      <c r="CT2301" s="5" t="s">
        <v>307</v>
      </c>
      <c r="CU2301" s="5" t="s">
        <v>260</v>
      </c>
      <c r="CX2301" s="7">
        <f>1</f>
        <v>1</v>
      </c>
      <c r="CY2301" s="7">
        <f>0</f>
        <v>0</v>
      </c>
      <c r="DA2301" s="7">
        <f>0</f>
        <v>0</v>
      </c>
      <c r="DC2301" s="5" t="s">
        <v>309</v>
      </c>
      <c r="DD2301" s="5" t="s">
        <v>240</v>
      </c>
      <c r="DF2301" s="5" t="s">
        <v>309</v>
      </c>
      <c r="DG2301" s="7">
        <f>1450</f>
        <v>1450</v>
      </c>
      <c r="DI2301" s="5" t="s">
        <v>240</v>
      </c>
      <c r="DJ2301" s="5" t="s">
        <v>240</v>
      </c>
      <c r="DK2301" s="5" t="s">
        <v>240</v>
      </c>
      <c r="DL2301" s="5" t="s">
        <v>240</v>
      </c>
      <c r="DP2301" s="5" t="s">
        <v>240</v>
      </c>
      <c r="DQ2301" s="5" t="s">
        <v>240</v>
      </c>
      <c r="DR2301" s="5" t="s">
        <v>240</v>
      </c>
      <c r="DS2301" s="5" t="s">
        <v>240</v>
      </c>
      <c r="DV2301" s="5" t="s">
        <v>310</v>
      </c>
      <c r="DW2301" s="5" t="s">
        <v>2650</v>
      </c>
      <c r="HO2301" s="5" t="s">
        <v>312</v>
      </c>
    </row>
    <row r="2302" spans="1:223" x14ac:dyDescent="0.4">
      <c r="A2302" s="5">
        <v>4006</v>
      </c>
      <c r="B2302" s="5">
        <v>1</v>
      </c>
      <c r="C2302" s="5">
        <v>1</v>
      </c>
      <c r="D2302" s="5" t="s">
        <v>810</v>
      </c>
      <c r="E2302" s="5" t="s">
        <v>245</v>
      </c>
      <c r="F2302" s="5" t="s">
        <v>254</v>
      </c>
      <c r="G2302" s="5" t="s">
        <v>240</v>
      </c>
      <c r="H2302" s="6" t="s">
        <v>2140</v>
      </c>
      <c r="I2302" s="5" t="s">
        <v>809</v>
      </c>
      <c r="J2302" s="8">
        <f>432</f>
        <v>432</v>
      </c>
      <c r="K2302" s="5" t="s">
        <v>308</v>
      </c>
      <c r="L2302" s="7">
        <f>1</f>
        <v>1</v>
      </c>
      <c r="M2302" s="7">
        <f>1</f>
        <v>1</v>
      </c>
      <c r="N2302" s="5" t="s">
        <v>242</v>
      </c>
      <c r="O2302" s="5">
        <v>1</v>
      </c>
      <c r="P2302" s="5" t="s">
        <v>294</v>
      </c>
      <c r="Q2302" s="5" t="s">
        <v>266</v>
      </c>
      <c r="R2302" s="5" t="s">
        <v>240</v>
      </c>
      <c r="S2302" s="5" t="s">
        <v>240</v>
      </c>
      <c r="T2302" s="5" t="s">
        <v>296</v>
      </c>
      <c r="U2302" s="5" t="s">
        <v>244</v>
      </c>
      <c r="V2302" s="5" t="s">
        <v>240</v>
      </c>
      <c r="Y2302" s="5" t="s">
        <v>240</v>
      </c>
      <c r="Z2302" s="6" t="s">
        <v>298</v>
      </c>
      <c r="AB2302" s="6" t="s">
        <v>240</v>
      </c>
      <c r="AE2302" s="6" t="s">
        <v>299</v>
      </c>
      <c r="AF2302" s="5" t="s">
        <v>248</v>
      </c>
      <c r="AG2302" s="5" t="s">
        <v>249</v>
      </c>
      <c r="AW2302" s="5" t="s">
        <v>251</v>
      </c>
      <c r="AX2302" s="5" t="s">
        <v>240</v>
      </c>
      <c r="AY2302" s="5" t="s">
        <v>253</v>
      </c>
      <c r="AZ2302" s="5" t="s">
        <v>240</v>
      </c>
      <c r="BA2302" s="5" t="s">
        <v>255</v>
      </c>
      <c r="BB2302" s="5" t="s">
        <v>240</v>
      </c>
      <c r="BD2302" s="5" t="s">
        <v>240</v>
      </c>
      <c r="BF2302" s="5" t="s">
        <v>301</v>
      </c>
      <c r="BG2302" s="6" t="s">
        <v>299</v>
      </c>
      <c r="BH2302" s="5" t="s">
        <v>302</v>
      </c>
      <c r="BI2302" s="5" t="s">
        <v>303</v>
      </c>
      <c r="BJ2302" s="5" t="s">
        <v>240</v>
      </c>
      <c r="BK2302" s="8">
        <f>0</f>
        <v>0</v>
      </c>
      <c r="BL2302" s="7">
        <f>0</f>
        <v>0</v>
      </c>
      <c r="BM2302" s="5" t="s">
        <v>258</v>
      </c>
      <c r="BN2302" s="5" t="s">
        <v>259</v>
      </c>
      <c r="CB2302" s="5" t="s">
        <v>240</v>
      </c>
      <c r="CC2302" s="5" t="s">
        <v>240</v>
      </c>
      <c r="CG2302" s="5" t="s">
        <v>304</v>
      </c>
      <c r="CH2302" s="5" t="s">
        <v>305</v>
      </c>
      <c r="CI2302" s="5" t="s">
        <v>240</v>
      </c>
      <c r="CL2302" s="6" t="s">
        <v>261</v>
      </c>
      <c r="CM2302" s="5" t="s">
        <v>240</v>
      </c>
      <c r="CN2302" s="5" t="s">
        <v>263</v>
      </c>
      <c r="CO2302" s="5" t="s">
        <v>240</v>
      </c>
      <c r="CP2302" s="5" t="s">
        <v>240</v>
      </c>
      <c r="CQ2302" s="5">
        <v>0</v>
      </c>
      <c r="CR2302" s="5" t="s">
        <v>306</v>
      </c>
      <c r="CS2302" s="5" t="s">
        <v>307</v>
      </c>
      <c r="CT2302" s="5" t="s">
        <v>307</v>
      </c>
      <c r="CU2302" s="5" t="s">
        <v>260</v>
      </c>
      <c r="CX2302" s="7">
        <f>1</f>
        <v>1</v>
      </c>
      <c r="CY2302" s="7">
        <f>0</f>
        <v>0</v>
      </c>
      <c r="DA2302" s="7">
        <f>0</f>
        <v>0</v>
      </c>
      <c r="DC2302" s="5" t="s">
        <v>309</v>
      </c>
      <c r="DD2302" s="5" t="s">
        <v>240</v>
      </c>
      <c r="DF2302" s="5" t="s">
        <v>309</v>
      </c>
      <c r="DG2302" s="7">
        <f>11</f>
        <v>11</v>
      </c>
      <c r="DI2302" s="5" t="s">
        <v>240</v>
      </c>
      <c r="DJ2302" s="5" t="s">
        <v>240</v>
      </c>
      <c r="DK2302" s="5" t="s">
        <v>240</v>
      </c>
      <c r="DL2302" s="5" t="s">
        <v>240</v>
      </c>
      <c r="DP2302" s="5" t="s">
        <v>240</v>
      </c>
      <c r="DQ2302" s="5" t="s">
        <v>240</v>
      </c>
      <c r="DR2302" s="5" t="s">
        <v>240</v>
      </c>
      <c r="DS2302" s="5" t="s">
        <v>240</v>
      </c>
      <c r="DV2302" s="5" t="s">
        <v>310</v>
      </c>
      <c r="DW2302" s="5" t="s">
        <v>2652</v>
      </c>
      <c r="HO2302" s="5" t="s">
        <v>312</v>
      </c>
    </row>
    <row r="2303" spans="1:223" x14ac:dyDescent="0.4">
      <c r="A2303" s="5">
        <v>4007</v>
      </c>
      <c r="B2303" s="5">
        <v>1</v>
      </c>
      <c r="C2303" s="5">
        <v>1</v>
      </c>
      <c r="D2303" s="5" t="s">
        <v>810</v>
      </c>
      <c r="E2303" s="5" t="s">
        <v>245</v>
      </c>
      <c r="F2303" s="5" t="s">
        <v>254</v>
      </c>
      <c r="G2303" s="5" t="s">
        <v>240</v>
      </c>
      <c r="H2303" s="6" t="s">
        <v>2143</v>
      </c>
      <c r="I2303" s="5" t="s">
        <v>809</v>
      </c>
      <c r="J2303" s="8">
        <f>829</f>
        <v>829</v>
      </c>
      <c r="K2303" s="5" t="s">
        <v>308</v>
      </c>
      <c r="L2303" s="7">
        <f>1</f>
        <v>1</v>
      </c>
      <c r="M2303" s="7">
        <f>1</f>
        <v>1</v>
      </c>
      <c r="N2303" s="5" t="s">
        <v>242</v>
      </c>
      <c r="O2303" s="5">
        <v>1</v>
      </c>
      <c r="P2303" s="5" t="s">
        <v>294</v>
      </c>
      <c r="Q2303" s="5" t="s">
        <v>266</v>
      </c>
      <c r="R2303" s="5" t="s">
        <v>240</v>
      </c>
      <c r="S2303" s="5" t="s">
        <v>240</v>
      </c>
      <c r="T2303" s="5" t="s">
        <v>296</v>
      </c>
      <c r="U2303" s="5" t="s">
        <v>244</v>
      </c>
      <c r="V2303" s="5" t="s">
        <v>240</v>
      </c>
      <c r="Y2303" s="5" t="s">
        <v>240</v>
      </c>
      <c r="Z2303" s="6" t="s">
        <v>298</v>
      </c>
      <c r="AB2303" s="6" t="s">
        <v>240</v>
      </c>
      <c r="AE2303" s="6" t="s">
        <v>299</v>
      </c>
      <c r="AF2303" s="5" t="s">
        <v>248</v>
      </c>
      <c r="AG2303" s="5" t="s">
        <v>249</v>
      </c>
      <c r="AW2303" s="5" t="s">
        <v>251</v>
      </c>
      <c r="AX2303" s="5" t="s">
        <v>240</v>
      </c>
      <c r="AY2303" s="5" t="s">
        <v>253</v>
      </c>
      <c r="AZ2303" s="5" t="s">
        <v>240</v>
      </c>
      <c r="BA2303" s="5" t="s">
        <v>255</v>
      </c>
      <c r="BB2303" s="5" t="s">
        <v>240</v>
      </c>
      <c r="BD2303" s="5" t="s">
        <v>240</v>
      </c>
      <c r="BF2303" s="5" t="s">
        <v>301</v>
      </c>
      <c r="BG2303" s="6" t="s">
        <v>299</v>
      </c>
      <c r="BH2303" s="5" t="s">
        <v>302</v>
      </c>
      <c r="BI2303" s="5" t="s">
        <v>303</v>
      </c>
      <c r="BJ2303" s="5" t="s">
        <v>240</v>
      </c>
      <c r="BK2303" s="8">
        <f>0</f>
        <v>0</v>
      </c>
      <c r="BL2303" s="7">
        <f>0</f>
        <v>0</v>
      </c>
      <c r="BM2303" s="5" t="s">
        <v>258</v>
      </c>
      <c r="BN2303" s="5" t="s">
        <v>259</v>
      </c>
      <c r="CB2303" s="5" t="s">
        <v>240</v>
      </c>
      <c r="CC2303" s="5" t="s">
        <v>240</v>
      </c>
      <c r="CG2303" s="5" t="s">
        <v>304</v>
      </c>
      <c r="CH2303" s="5" t="s">
        <v>305</v>
      </c>
      <c r="CI2303" s="5" t="s">
        <v>240</v>
      </c>
      <c r="CL2303" s="6" t="s">
        <v>261</v>
      </c>
      <c r="CM2303" s="5" t="s">
        <v>240</v>
      </c>
      <c r="CN2303" s="5" t="s">
        <v>263</v>
      </c>
      <c r="CO2303" s="5" t="s">
        <v>240</v>
      </c>
      <c r="CP2303" s="5" t="s">
        <v>240</v>
      </c>
      <c r="CQ2303" s="5">
        <v>0</v>
      </c>
      <c r="CR2303" s="5" t="s">
        <v>306</v>
      </c>
      <c r="CS2303" s="5" t="s">
        <v>307</v>
      </c>
      <c r="CT2303" s="5" t="s">
        <v>307</v>
      </c>
      <c r="CU2303" s="5" t="s">
        <v>260</v>
      </c>
      <c r="CX2303" s="7">
        <f>1</f>
        <v>1</v>
      </c>
      <c r="CY2303" s="7">
        <f>0</f>
        <v>0</v>
      </c>
      <c r="DA2303" s="7">
        <f>0</f>
        <v>0</v>
      </c>
      <c r="DC2303" s="5" t="s">
        <v>309</v>
      </c>
      <c r="DD2303" s="5" t="s">
        <v>240</v>
      </c>
      <c r="DF2303" s="5" t="s">
        <v>309</v>
      </c>
      <c r="DG2303" s="7">
        <f>74</f>
        <v>74</v>
      </c>
      <c r="DI2303" s="5" t="s">
        <v>240</v>
      </c>
      <c r="DJ2303" s="5" t="s">
        <v>240</v>
      </c>
      <c r="DK2303" s="5" t="s">
        <v>240</v>
      </c>
      <c r="DL2303" s="5" t="s">
        <v>240</v>
      </c>
      <c r="DP2303" s="5" t="s">
        <v>240</v>
      </c>
      <c r="DQ2303" s="5" t="s">
        <v>240</v>
      </c>
      <c r="DR2303" s="5" t="s">
        <v>240</v>
      </c>
      <c r="DS2303" s="5" t="s">
        <v>240</v>
      </c>
      <c r="DV2303" s="5" t="s">
        <v>310</v>
      </c>
      <c r="DW2303" s="5" t="s">
        <v>2654</v>
      </c>
      <c r="HO2303" s="5" t="s">
        <v>312</v>
      </c>
    </row>
    <row r="2304" spans="1:223" x14ac:dyDescent="0.4">
      <c r="A2304" s="5">
        <v>4008</v>
      </c>
      <c r="B2304" s="5">
        <v>1</v>
      </c>
      <c r="C2304" s="5">
        <v>1</v>
      </c>
      <c r="D2304" s="5" t="s">
        <v>810</v>
      </c>
      <c r="E2304" s="5" t="s">
        <v>245</v>
      </c>
      <c r="F2304" s="5" t="s">
        <v>254</v>
      </c>
      <c r="G2304" s="5" t="s">
        <v>240</v>
      </c>
      <c r="H2304" s="6" t="s">
        <v>2145</v>
      </c>
      <c r="I2304" s="5" t="s">
        <v>809</v>
      </c>
      <c r="J2304" s="8">
        <f>640</f>
        <v>640</v>
      </c>
      <c r="K2304" s="5" t="s">
        <v>308</v>
      </c>
      <c r="L2304" s="7">
        <f>1</f>
        <v>1</v>
      </c>
      <c r="M2304" s="7">
        <f>1</f>
        <v>1</v>
      </c>
      <c r="N2304" s="5" t="s">
        <v>242</v>
      </c>
      <c r="O2304" s="5">
        <v>1</v>
      </c>
      <c r="P2304" s="5" t="s">
        <v>294</v>
      </c>
      <c r="Q2304" s="5" t="s">
        <v>266</v>
      </c>
      <c r="R2304" s="5" t="s">
        <v>240</v>
      </c>
      <c r="S2304" s="5" t="s">
        <v>240</v>
      </c>
      <c r="T2304" s="5" t="s">
        <v>296</v>
      </c>
      <c r="U2304" s="5" t="s">
        <v>244</v>
      </c>
      <c r="V2304" s="5" t="s">
        <v>240</v>
      </c>
      <c r="Y2304" s="5" t="s">
        <v>240</v>
      </c>
      <c r="Z2304" s="6" t="s">
        <v>298</v>
      </c>
      <c r="AB2304" s="6" t="s">
        <v>240</v>
      </c>
      <c r="AE2304" s="6" t="s">
        <v>299</v>
      </c>
      <c r="AF2304" s="5" t="s">
        <v>248</v>
      </c>
      <c r="AG2304" s="5" t="s">
        <v>249</v>
      </c>
      <c r="AW2304" s="5" t="s">
        <v>251</v>
      </c>
      <c r="AX2304" s="5" t="s">
        <v>240</v>
      </c>
      <c r="AY2304" s="5" t="s">
        <v>253</v>
      </c>
      <c r="AZ2304" s="5" t="s">
        <v>240</v>
      </c>
      <c r="BA2304" s="5" t="s">
        <v>255</v>
      </c>
      <c r="BB2304" s="5" t="s">
        <v>240</v>
      </c>
      <c r="BD2304" s="5" t="s">
        <v>240</v>
      </c>
      <c r="BF2304" s="5" t="s">
        <v>301</v>
      </c>
      <c r="BG2304" s="6" t="s">
        <v>299</v>
      </c>
      <c r="BH2304" s="5" t="s">
        <v>302</v>
      </c>
      <c r="BI2304" s="5" t="s">
        <v>303</v>
      </c>
      <c r="BJ2304" s="5" t="s">
        <v>240</v>
      </c>
      <c r="BK2304" s="8">
        <f>0</f>
        <v>0</v>
      </c>
      <c r="BL2304" s="7">
        <f>0</f>
        <v>0</v>
      </c>
      <c r="BM2304" s="5" t="s">
        <v>258</v>
      </c>
      <c r="BN2304" s="5" t="s">
        <v>259</v>
      </c>
      <c r="CB2304" s="5" t="s">
        <v>240</v>
      </c>
      <c r="CC2304" s="5" t="s">
        <v>240</v>
      </c>
      <c r="CG2304" s="5" t="s">
        <v>304</v>
      </c>
      <c r="CH2304" s="5" t="s">
        <v>305</v>
      </c>
      <c r="CI2304" s="5" t="s">
        <v>240</v>
      </c>
      <c r="CL2304" s="6" t="s">
        <v>261</v>
      </c>
      <c r="CM2304" s="5" t="s">
        <v>240</v>
      </c>
      <c r="CN2304" s="5" t="s">
        <v>263</v>
      </c>
      <c r="CO2304" s="5" t="s">
        <v>240</v>
      </c>
      <c r="CP2304" s="5" t="s">
        <v>240</v>
      </c>
      <c r="CQ2304" s="5">
        <v>0</v>
      </c>
      <c r="CR2304" s="5" t="s">
        <v>306</v>
      </c>
      <c r="CS2304" s="5" t="s">
        <v>307</v>
      </c>
      <c r="CT2304" s="5" t="s">
        <v>307</v>
      </c>
      <c r="CU2304" s="5" t="s">
        <v>260</v>
      </c>
      <c r="CX2304" s="7">
        <f>1</f>
        <v>1</v>
      </c>
      <c r="CY2304" s="7">
        <f>0</f>
        <v>0</v>
      </c>
      <c r="DA2304" s="7">
        <f>0</f>
        <v>0</v>
      </c>
      <c r="DC2304" s="5" t="s">
        <v>309</v>
      </c>
      <c r="DD2304" s="5" t="s">
        <v>240</v>
      </c>
      <c r="DF2304" s="5" t="s">
        <v>309</v>
      </c>
      <c r="DG2304" s="7">
        <f>201</f>
        <v>201</v>
      </c>
      <c r="DI2304" s="5" t="s">
        <v>240</v>
      </c>
      <c r="DJ2304" s="5" t="s">
        <v>240</v>
      </c>
      <c r="DK2304" s="5" t="s">
        <v>240</v>
      </c>
      <c r="DL2304" s="5" t="s">
        <v>240</v>
      </c>
      <c r="DP2304" s="5" t="s">
        <v>240</v>
      </c>
      <c r="DQ2304" s="5" t="s">
        <v>240</v>
      </c>
      <c r="DR2304" s="5" t="s">
        <v>240</v>
      </c>
      <c r="DS2304" s="5" t="s">
        <v>240</v>
      </c>
      <c r="DV2304" s="5" t="s">
        <v>310</v>
      </c>
      <c r="DW2304" s="5" t="s">
        <v>2656</v>
      </c>
      <c r="HO2304" s="5" t="s">
        <v>312</v>
      </c>
    </row>
    <row r="2305" spans="1:223" x14ac:dyDescent="0.4">
      <c r="A2305" s="5">
        <v>4009</v>
      </c>
      <c r="B2305" s="5">
        <v>1</v>
      </c>
      <c r="C2305" s="5">
        <v>1</v>
      </c>
      <c r="D2305" s="5" t="s">
        <v>810</v>
      </c>
      <c r="E2305" s="5" t="s">
        <v>245</v>
      </c>
      <c r="F2305" s="5" t="s">
        <v>254</v>
      </c>
      <c r="G2305" s="5" t="s">
        <v>240</v>
      </c>
      <c r="H2305" s="6" t="s">
        <v>2149</v>
      </c>
      <c r="I2305" s="5" t="s">
        <v>809</v>
      </c>
      <c r="J2305" s="8">
        <f>349</f>
        <v>349</v>
      </c>
      <c r="K2305" s="5" t="s">
        <v>308</v>
      </c>
      <c r="L2305" s="7">
        <f>1</f>
        <v>1</v>
      </c>
      <c r="M2305" s="7">
        <f>1</f>
        <v>1</v>
      </c>
      <c r="N2305" s="5" t="s">
        <v>242</v>
      </c>
      <c r="O2305" s="5">
        <v>1</v>
      </c>
      <c r="P2305" s="5" t="s">
        <v>294</v>
      </c>
      <c r="Q2305" s="5" t="s">
        <v>266</v>
      </c>
      <c r="R2305" s="5" t="s">
        <v>240</v>
      </c>
      <c r="S2305" s="5" t="s">
        <v>240</v>
      </c>
      <c r="T2305" s="5" t="s">
        <v>296</v>
      </c>
      <c r="U2305" s="5" t="s">
        <v>244</v>
      </c>
      <c r="V2305" s="5" t="s">
        <v>240</v>
      </c>
      <c r="Y2305" s="5" t="s">
        <v>240</v>
      </c>
      <c r="Z2305" s="6" t="s">
        <v>298</v>
      </c>
      <c r="AB2305" s="6" t="s">
        <v>240</v>
      </c>
      <c r="AE2305" s="6" t="s">
        <v>299</v>
      </c>
      <c r="AF2305" s="5" t="s">
        <v>248</v>
      </c>
      <c r="AG2305" s="5" t="s">
        <v>249</v>
      </c>
      <c r="AW2305" s="5" t="s">
        <v>251</v>
      </c>
      <c r="AX2305" s="5" t="s">
        <v>240</v>
      </c>
      <c r="AY2305" s="5" t="s">
        <v>253</v>
      </c>
      <c r="AZ2305" s="5" t="s">
        <v>240</v>
      </c>
      <c r="BA2305" s="5" t="s">
        <v>255</v>
      </c>
      <c r="BB2305" s="5" t="s">
        <v>240</v>
      </c>
      <c r="BD2305" s="5" t="s">
        <v>240</v>
      </c>
      <c r="BF2305" s="5" t="s">
        <v>301</v>
      </c>
      <c r="BG2305" s="6" t="s">
        <v>299</v>
      </c>
      <c r="BH2305" s="5" t="s">
        <v>302</v>
      </c>
      <c r="BI2305" s="5" t="s">
        <v>303</v>
      </c>
      <c r="BJ2305" s="5" t="s">
        <v>240</v>
      </c>
      <c r="BK2305" s="8">
        <f>0</f>
        <v>0</v>
      </c>
      <c r="BL2305" s="7">
        <f>0</f>
        <v>0</v>
      </c>
      <c r="BM2305" s="5" t="s">
        <v>258</v>
      </c>
      <c r="BN2305" s="5" t="s">
        <v>259</v>
      </c>
      <c r="CB2305" s="5" t="s">
        <v>240</v>
      </c>
      <c r="CC2305" s="5" t="s">
        <v>240</v>
      </c>
      <c r="CG2305" s="5" t="s">
        <v>304</v>
      </c>
      <c r="CH2305" s="5" t="s">
        <v>305</v>
      </c>
      <c r="CI2305" s="5" t="s">
        <v>240</v>
      </c>
      <c r="CL2305" s="6" t="s">
        <v>261</v>
      </c>
      <c r="CM2305" s="5" t="s">
        <v>240</v>
      </c>
      <c r="CN2305" s="5" t="s">
        <v>263</v>
      </c>
      <c r="CO2305" s="5" t="s">
        <v>240</v>
      </c>
      <c r="CP2305" s="5" t="s">
        <v>240</v>
      </c>
      <c r="CQ2305" s="5">
        <v>0</v>
      </c>
      <c r="CR2305" s="5" t="s">
        <v>306</v>
      </c>
      <c r="CS2305" s="5" t="s">
        <v>307</v>
      </c>
      <c r="CT2305" s="5" t="s">
        <v>307</v>
      </c>
      <c r="CU2305" s="5" t="s">
        <v>260</v>
      </c>
      <c r="CX2305" s="7">
        <f>1</f>
        <v>1</v>
      </c>
      <c r="CY2305" s="7">
        <f>0</f>
        <v>0</v>
      </c>
      <c r="DA2305" s="7">
        <f>0</f>
        <v>0</v>
      </c>
      <c r="DC2305" s="5" t="s">
        <v>309</v>
      </c>
      <c r="DD2305" s="5" t="s">
        <v>240</v>
      </c>
      <c r="DF2305" s="5" t="s">
        <v>309</v>
      </c>
      <c r="DG2305" s="7">
        <f>1.21</f>
        <v>1.21</v>
      </c>
      <c r="DI2305" s="5" t="s">
        <v>240</v>
      </c>
      <c r="DJ2305" s="5" t="s">
        <v>240</v>
      </c>
      <c r="DK2305" s="5" t="s">
        <v>240</v>
      </c>
      <c r="DL2305" s="5" t="s">
        <v>240</v>
      </c>
      <c r="DP2305" s="5" t="s">
        <v>240</v>
      </c>
      <c r="DQ2305" s="5" t="s">
        <v>240</v>
      </c>
      <c r="DR2305" s="5" t="s">
        <v>240</v>
      </c>
      <c r="DS2305" s="5" t="s">
        <v>240</v>
      </c>
      <c r="DV2305" s="5" t="s">
        <v>310</v>
      </c>
      <c r="DW2305" s="5" t="s">
        <v>2658</v>
      </c>
      <c r="HO2305" s="5" t="s">
        <v>312</v>
      </c>
    </row>
    <row r="2306" spans="1:223" x14ac:dyDescent="0.4">
      <c r="A2306" s="5">
        <v>4010</v>
      </c>
      <c r="B2306" s="5">
        <v>1</v>
      </c>
      <c r="C2306" s="5">
        <v>1</v>
      </c>
      <c r="D2306" s="5" t="s">
        <v>810</v>
      </c>
      <c r="E2306" s="5" t="s">
        <v>245</v>
      </c>
      <c r="F2306" s="5" t="s">
        <v>254</v>
      </c>
      <c r="G2306" s="5" t="s">
        <v>240</v>
      </c>
      <c r="H2306" s="6" t="s">
        <v>2151</v>
      </c>
      <c r="I2306" s="5" t="s">
        <v>809</v>
      </c>
      <c r="J2306" s="8">
        <f>767</f>
        <v>767</v>
      </c>
      <c r="K2306" s="5" t="s">
        <v>308</v>
      </c>
      <c r="L2306" s="7">
        <f>1</f>
        <v>1</v>
      </c>
      <c r="M2306" s="7">
        <f>1</f>
        <v>1</v>
      </c>
      <c r="N2306" s="5" t="s">
        <v>242</v>
      </c>
      <c r="O2306" s="5">
        <v>1</v>
      </c>
      <c r="P2306" s="5" t="s">
        <v>294</v>
      </c>
      <c r="Q2306" s="5" t="s">
        <v>266</v>
      </c>
      <c r="R2306" s="5" t="s">
        <v>240</v>
      </c>
      <c r="S2306" s="5" t="s">
        <v>240</v>
      </c>
      <c r="T2306" s="5" t="s">
        <v>296</v>
      </c>
      <c r="U2306" s="5" t="s">
        <v>244</v>
      </c>
      <c r="V2306" s="5" t="s">
        <v>240</v>
      </c>
      <c r="Y2306" s="5" t="s">
        <v>240</v>
      </c>
      <c r="Z2306" s="6" t="s">
        <v>298</v>
      </c>
      <c r="AB2306" s="6" t="s">
        <v>240</v>
      </c>
      <c r="AE2306" s="6" t="s">
        <v>299</v>
      </c>
      <c r="AF2306" s="5" t="s">
        <v>248</v>
      </c>
      <c r="AG2306" s="5" t="s">
        <v>249</v>
      </c>
      <c r="AW2306" s="5" t="s">
        <v>251</v>
      </c>
      <c r="AX2306" s="5" t="s">
        <v>240</v>
      </c>
      <c r="AY2306" s="5" t="s">
        <v>253</v>
      </c>
      <c r="AZ2306" s="5" t="s">
        <v>240</v>
      </c>
      <c r="BA2306" s="5" t="s">
        <v>255</v>
      </c>
      <c r="BB2306" s="5" t="s">
        <v>240</v>
      </c>
      <c r="BD2306" s="5" t="s">
        <v>240</v>
      </c>
      <c r="BF2306" s="5" t="s">
        <v>301</v>
      </c>
      <c r="BG2306" s="6" t="s">
        <v>299</v>
      </c>
      <c r="BH2306" s="5" t="s">
        <v>302</v>
      </c>
      <c r="BI2306" s="5" t="s">
        <v>303</v>
      </c>
      <c r="BJ2306" s="5" t="s">
        <v>240</v>
      </c>
      <c r="BK2306" s="8">
        <f>0</f>
        <v>0</v>
      </c>
      <c r="BL2306" s="7">
        <f>0</f>
        <v>0</v>
      </c>
      <c r="BM2306" s="5" t="s">
        <v>258</v>
      </c>
      <c r="BN2306" s="5" t="s">
        <v>259</v>
      </c>
      <c r="CB2306" s="5" t="s">
        <v>240</v>
      </c>
      <c r="CC2306" s="5" t="s">
        <v>240</v>
      </c>
      <c r="CG2306" s="5" t="s">
        <v>304</v>
      </c>
      <c r="CH2306" s="5" t="s">
        <v>305</v>
      </c>
      <c r="CI2306" s="5" t="s">
        <v>240</v>
      </c>
      <c r="CL2306" s="6" t="s">
        <v>261</v>
      </c>
      <c r="CM2306" s="5" t="s">
        <v>240</v>
      </c>
      <c r="CN2306" s="5" t="s">
        <v>263</v>
      </c>
      <c r="CO2306" s="5" t="s">
        <v>240</v>
      </c>
      <c r="CP2306" s="5" t="s">
        <v>240</v>
      </c>
      <c r="CQ2306" s="5">
        <v>0</v>
      </c>
      <c r="CR2306" s="5" t="s">
        <v>306</v>
      </c>
      <c r="CS2306" s="5" t="s">
        <v>307</v>
      </c>
      <c r="CT2306" s="5" t="s">
        <v>307</v>
      </c>
      <c r="CU2306" s="5" t="s">
        <v>260</v>
      </c>
      <c r="CX2306" s="7">
        <f>1</f>
        <v>1</v>
      </c>
      <c r="CY2306" s="7">
        <f>0</f>
        <v>0</v>
      </c>
      <c r="DA2306" s="7">
        <f>0</f>
        <v>0</v>
      </c>
      <c r="DC2306" s="5" t="s">
        <v>309</v>
      </c>
      <c r="DD2306" s="5" t="s">
        <v>240</v>
      </c>
      <c r="DF2306" s="5" t="s">
        <v>309</v>
      </c>
      <c r="DG2306" s="7">
        <f>45</f>
        <v>45</v>
      </c>
      <c r="DI2306" s="5" t="s">
        <v>240</v>
      </c>
      <c r="DJ2306" s="5" t="s">
        <v>240</v>
      </c>
      <c r="DK2306" s="5" t="s">
        <v>240</v>
      </c>
      <c r="DL2306" s="5" t="s">
        <v>240</v>
      </c>
      <c r="DP2306" s="5" t="s">
        <v>240</v>
      </c>
      <c r="DQ2306" s="5" t="s">
        <v>240</v>
      </c>
      <c r="DR2306" s="5" t="s">
        <v>240</v>
      </c>
      <c r="DS2306" s="5" t="s">
        <v>240</v>
      </c>
      <c r="DV2306" s="5" t="s">
        <v>310</v>
      </c>
      <c r="DW2306" s="5" t="s">
        <v>2660</v>
      </c>
      <c r="HO2306" s="5" t="s">
        <v>312</v>
      </c>
    </row>
    <row r="2307" spans="1:223" x14ac:dyDescent="0.4">
      <c r="A2307" s="5">
        <v>4011</v>
      </c>
      <c r="B2307" s="5">
        <v>1</v>
      </c>
      <c r="C2307" s="5">
        <v>1</v>
      </c>
      <c r="D2307" s="5" t="s">
        <v>810</v>
      </c>
      <c r="E2307" s="5" t="s">
        <v>245</v>
      </c>
      <c r="F2307" s="5" t="s">
        <v>254</v>
      </c>
      <c r="G2307" s="5" t="s">
        <v>240</v>
      </c>
      <c r="H2307" s="6" t="s">
        <v>2205</v>
      </c>
      <c r="I2307" s="5" t="s">
        <v>809</v>
      </c>
      <c r="J2307" s="8">
        <f>2666</f>
        <v>2666</v>
      </c>
      <c r="K2307" s="5" t="s">
        <v>308</v>
      </c>
      <c r="L2307" s="7">
        <f>1</f>
        <v>1</v>
      </c>
      <c r="M2307" s="7">
        <f>1</f>
        <v>1</v>
      </c>
      <c r="N2307" s="5" t="s">
        <v>242</v>
      </c>
      <c r="O2307" s="5">
        <v>1</v>
      </c>
      <c r="P2307" s="5" t="s">
        <v>294</v>
      </c>
      <c r="Q2307" s="5" t="s">
        <v>266</v>
      </c>
      <c r="R2307" s="5" t="s">
        <v>240</v>
      </c>
      <c r="S2307" s="5" t="s">
        <v>240</v>
      </c>
      <c r="T2307" s="5" t="s">
        <v>296</v>
      </c>
      <c r="U2307" s="5" t="s">
        <v>244</v>
      </c>
      <c r="V2307" s="5" t="s">
        <v>240</v>
      </c>
      <c r="Y2307" s="5" t="s">
        <v>240</v>
      </c>
      <c r="Z2307" s="6" t="s">
        <v>298</v>
      </c>
      <c r="AB2307" s="6" t="s">
        <v>240</v>
      </c>
      <c r="AE2307" s="6" t="s">
        <v>299</v>
      </c>
      <c r="AF2307" s="5" t="s">
        <v>248</v>
      </c>
      <c r="AG2307" s="5" t="s">
        <v>249</v>
      </c>
      <c r="AW2307" s="5" t="s">
        <v>251</v>
      </c>
      <c r="AX2307" s="5" t="s">
        <v>240</v>
      </c>
      <c r="AY2307" s="5" t="s">
        <v>253</v>
      </c>
      <c r="AZ2307" s="5" t="s">
        <v>240</v>
      </c>
      <c r="BA2307" s="5" t="s">
        <v>255</v>
      </c>
      <c r="BB2307" s="5" t="s">
        <v>240</v>
      </c>
      <c r="BD2307" s="5" t="s">
        <v>240</v>
      </c>
      <c r="BF2307" s="5" t="s">
        <v>301</v>
      </c>
      <c r="BG2307" s="6" t="s">
        <v>299</v>
      </c>
      <c r="BH2307" s="5" t="s">
        <v>302</v>
      </c>
      <c r="BI2307" s="5" t="s">
        <v>303</v>
      </c>
      <c r="BJ2307" s="5" t="s">
        <v>240</v>
      </c>
      <c r="BK2307" s="8">
        <f>0</f>
        <v>0</v>
      </c>
      <c r="BL2307" s="7">
        <f>0</f>
        <v>0</v>
      </c>
      <c r="BM2307" s="5" t="s">
        <v>258</v>
      </c>
      <c r="BN2307" s="5" t="s">
        <v>259</v>
      </c>
      <c r="CB2307" s="5" t="s">
        <v>240</v>
      </c>
      <c r="CC2307" s="5" t="s">
        <v>240</v>
      </c>
      <c r="CG2307" s="5" t="s">
        <v>304</v>
      </c>
      <c r="CH2307" s="5" t="s">
        <v>305</v>
      </c>
      <c r="CI2307" s="5" t="s">
        <v>240</v>
      </c>
      <c r="CL2307" s="6" t="s">
        <v>261</v>
      </c>
      <c r="CM2307" s="5" t="s">
        <v>240</v>
      </c>
      <c r="CN2307" s="5" t="s">
        <v>263</v>
      </c>
      <c r="CO2307" s="5" t="s">
        <v>240</v>
      </c>
      <c r="CP2307" s="5" t="s">
        <v>240</v>
      </c>
      <c r="CQ2307" s="5">
        <v>0</v>
      </c>
      <c r="CR2307" s="5" t="s">
        <v>306</v>
      </c>
      <c r="CS2307" s="5" t="s">
        <v>307</v>
      </c>
      <c r="CT2307" s="5" t="s">
        <v>307</v>
      </c>
      <c r="CU2307" s="5" t="s">
        <v>260</v>
      </c>
      <c r="CX2307" s="7">
        <f>1</f>
        <v>1</v>
      </c>
      <c r="CY2307" s="7">
        <f>0</f>
        <v>0</v>
      </c>
      <c r="DA2307" s="7">
        <f>0</f>
        <v>0</v>
      </c>
      <c r="DC2307" s="5" t="s">
        <v>309</v>
      </c>
      <c r="DD2307" s="5" t="s">
        <v>240</v>
      </c>
      <c r="DF2307" s="5" t="s">
        <v>309</v>
      </c>
      <c r="DG2307" s="7">
        <f>670</f>
        <v>670</v>
      </c>
      <c r="DI2307" s="5" t="s">
        <v>240</v>
      </c>
      <c r="DJ2307" s="5" t="s">
        <v>240</v>
      </c>
      <c r="DK2307" s="5" t="s">
        <v>240</v>
      </c>
      <c r="DL2307" s="5" t="s">
        <v>240</v>
      </c>
      <c r="DP2307" s="5" t="s">
        <v>240</v>
      </c>
      <c r="DQ2307" s="5" t="s">
        <v>240</v>
      </c>
      <c r="DR2307" s="5" t="s">
        <v>240</v>
      </c>
      <c r="DS2307" s="5" t="s">
        <v>240</v>
      </c>
      <c r="DV2307" s="5" t="s">
        <v>310</v>
      </c>
      <c r="DW2307" s="5" t="s">
        <v>2662</v>
      </c>
      <c r="HO2307" s="5" t="s">
        <v>312</v>
      </c>
    </row>
    <row r="2308" spans="1:223" x14ac:dyDescent="0.4">
      <c r="A2308" s="5">
        <v>4012</v>
      </c>
      <c r="B2308" s="5">
        <v>1</v>
      </c>
      <c r="C2308" s="5">
        <v>1</v>
      </c>
      <c r="D2308" s="5" t="s">
        <v>810</v>
      </c>
      <c r="E2308" s="5" t="s">
        <v>245</v>
      </c>
      <c r="F2308" s="5" t="s">
        <v>254</v>
      </c>
      <c r="G2308" s="5" t="s">
        <v>240</v>
      </c>
      <c r="H2308" s="6" t="s">
        <v>2225</v>
      </c>
      <c r="I2308" s="5" t="s">
        <v>809</v>
      </c>
      <c r="J2308" s="8">
        <f>2812</f>
        <v>2812</v>
      </c>
      <c r="K2308" s="5" t="s">
        <v>308</v>
      </c>
      <c r="L2308" s="7">
        <f>1</f>
        <v>1</v>
      </c>
      <c r="M2308" s="7">
        <f>1</f>
        <v>1</v>
      </c>
      <c r="N2308" s="5" t="s">
        <v>242</v>
      </c>
      <c r="O2308" s="5">
        <v>1</v>
      </c>
      <c r="P2308" s="5" t="s">
        <v>294</v>
      </c>
      <c r="Q2308" s="5" t="s">
        <v>266</v>
      </c>
      <c r="R2308" s="5" t="s">
        <v>240</v>
      </c>
      <c r="S2308" s="5" t="s">
        <v>240</v>
      </c>
      <c r="T2308" s="5" t="s">
        <v>296</v>
      </c>
      <c r="U2308" s="5" t="s">
        <v>244</v>
      </c>
      <c r="V2308" s="5" t="s">
        <v>240</v>
      </c>
      <c r="Y2308" s="5" t="s">
        <v>240</v>
      </c>
      <c r="Z2308" s="6" t="s">
        <v>298</v>
      </c>
      <c r="AB2308" s="6" t="s">
        <v>240</v>
      </c>
      <c r="AE2308" s="6" t="s">
        <v>299</v>
      </c>
      <c r="AF2308" s="5" t="s">
        <v>248</v>
      </c>
      <c r="AG2308" s="5" t="s">
        <v>249</v>
      </c>
      <c r="AW2308" s="5" t="s">
        <v>251</v>
      </c>
      <c r="AX2308" s="5" t="s">
        <v>240</v>
      </c>
      <c r="AY2308" s="5" t="s">
        <v>253</v>
      </c>
      <c r="AZ2308" s="5" t="s">
        <v>240</v>
      </c>
      <c r="BA2308" s="5" t="s">
        <v>255</v>
      </c>
      <c r="BB2308" s="5" t="s">
        <v>240</v>
      </c>
      <c r="BD2308" s="5" t="s">
        <v>240</v>
      </c>
      <c r="BF2308" s="5" t="s">
        <v>301</v>
      </c>
      <c r="BG2308" s="6" t="s">
        <v>299</v>
      </c>
      <c r="BH2308" s="5" t="s">
        <v>302</v>
      </c>
      <c r="BI2308" s="5" t="s">
        <v>303</v>
      </c>
      <c r="BJ2308" s="5" t="s">
        <v>240</v>
      </c>
      <c r="BK2308" s="8">
        <f>0</f>
        <v>0</v>
      </c>
      <c r="BL2308" s="7">
        <f>0</f>
        <v>0</v>
      </c>
      <c r="BM2308" s="5" t="s">
        <v>258</v>
      </c>
      <c r="BN2308" s="5" t="s">
        <v>259</v>
      </c>
      <c r="CB2308" s="5" t="s">
        <v>240</v>
      </c>
      <c r="CC2308" s="5" t="s">
        <v>240</v>
      </c>
      <c r="CG2308" s="5" t="s">
        <v>304</v>
      </c>
      <c r="CH2308" s="5" t="s">
        <v>305</v>
      </c>
      <c r="CI2308" s="5" t="s">
        <v>240</v>
      </c>
      <c r="CL2308" s="6" t="s">
        <v>261</v>
      </c>
      <c r="CM2308" s="5" t="s">
        <v>240</v>
      </c>
      <c r="CN2308" s="5" t="s">
        <v>263</v>
      </c>
      <c r="CO2308" s="5" t="s">
        <v>240</v>
      </c>
      <c r="CP2308" s="5" t="s">
        <v>240</v>
      </c>
      <c r="CQ2308" s="5">
        <v>0</v>
      </c>
      <c r="CR2308" s="5" t="s">
        <v>306</v>
      </c>
      <c r="CS2308" s="5" t="s">
        <v>307</v>
      </c>
      <c r="CT2308" s="5" t="s">
        <v>307</v>
      </c>
      <c r="CU2308" s="5" t="s">
        <v>260</v>
      </c>
      <c r="CX2308" s="7">
        <f>1</f>
        <v>1</v>
      </c>
      <c r="CY2308" s="7">
        <f>0</f>
        <v>0</v>
      </c>
      <c r="DA2308" s="7">
        <f>0</f>
        <v>0</v>
      </c>
      <c r="DC2308" s="5" t="s">
        <v>309</v>
      </c>
      <c r="DD2308" s="5" t="s">
        <v>240</v>
      </c>
      <c r="DF2308" s="5" t="s">
        <v>309</v>
      </c>
      <c r="DG2308" s="7">
        <f>708</f>
        <v>708</v>
      </c>
      <c r="DI2308" s="5" t="s">
        <v>240</v>
      </c>
      <c r="DJ2308" s="5" t="s">
        <v>240</v>
      </c>
      <c r="DK2308" s="5" t="s">
        <v>240</v>
      </c>
      <c r="DL2308" s="5" t="s">
        <v>240</v>
      </c>
      <c r="DP2308" s="5" t="s">
        <v>240</v>
      </c>
      <c r="DQ2308" s="5" t="s">
        <v>240</v>
      </c>
      <c r="DR2308" s="5" t="s">
        <v>240</v>
      </c>
      <c r="DS2308" s="5" t="s">
        <v>240</v>
      </c>
      <c r="DV2308" s="5" t="s">
        <v>310</v>
      </c>
      <c r="DW2308" s="5" t="s">
        <v>2664</v>
      </c>
      <c r="HO2308" s="5" t="s">
        <v>312</v>
      </c>
    </row>
    <row r="2309" spans="1:223" x14ac:dyDescent="0.4">
      <c r="A2309" s="5">
        <v>4013</v>
      </c>
      <c r="B2309" s="5">
        <v>1</v>
      </c>
      <c r="C2309" s="5">
        <v>1</v>
      </c>
      <c r="D2309" s="5" t="s">
        <v>810</v>
      </c>
      <c r="E2309" s="5" t="s">
        <v>245</v>
      </c>
      <c r="F2309" s="5" t="s">
        <v>254</v>
      </c>
      <c r="G2309" s="5" t="s">
        <v>240</v>
      </c>
      <c r="H2309" s="6" t="s">
        <v>2398</v>
      </c>
      <c r="I2309" s="5" t="s">
        <v>809</v>
      </c>
      <c r="J2309" s="8">
        <f>477</f>
        <v>477</v>
      </c>
      <c r="K2309" s="5" t="s">
        <v>308</v>
      </c>
      <c r="L2309" s="7">
        <f>1</f>
        <v>1</v>
      </c>
      <c r="M2309" s="7">
        <f>1</f>
        <v>1</v>
      </c>
      <c r="N2309" s="5" t="s">
        <v>242</v>
      </c>
      <c r="O2309" s="5">
        <v>1</v>
      </c>
      <c r="P2309" s="5" t="s">
        <v>294</v>
      </c>
      <c r="Q2309" s="5" t="s">
        <v>266</v>
      </c>
      <c r="R2309" s="5" t="s">
        <v>240</v>
      </c>
      <c r="S2309" s="5" t="s">
        <v>240</v>
      </c>
      <c r="T2309" s="5" t="s">
        <v>296</v>
      </c>
      <c r="U2309" s="5" t="s">
        <v>244</v>
      </c>
      <c r="V2309" s="5" t="s">
        <v>240</v>
      </c>
      <c r="Y2309" s="5" t="s">
        <v>240</v>
      </c>
      <c r="Z2309" s="6" t="s">
        <v>298</v>
      </c>
      <c r="AB2309" s="6" t="s">
        <v>240</v>
      </c>
      <c r="AE2309" s="6" t="s">
        <v>299</v>
      </c>
      <c r="AF2309" s="5" t="s">
        <v>248</v>
      </c>
      <c r="AG2309" s="5" t="s">
        <v>249</v>
      </c>
      <c r="AW2309" s="5" t="s">
        <v>251</v>
      </c>
      <c r="AX2309" s="5" t="s">
        <v>240</v>
      </c>
      <c r="AY2309" s="5" t="s">
        <v>253</v>
      </c>
      <c r="AZ2309" s="5" t="s">
        <v>240</v>
      </c>
      <c r="BA2309" s="5" t="s">
        <v>255</v>
      </c>
      <c r="BB2309" s="5" t="s">
        <v>240</v>
      </c>
      <c r="BD2309" s="5" t="s">
        <v>240</v>
      </c>
      <c r="BF2309" s="5" t="s">
        <v>301</v>
      </c>
      <c r="BG2309" s="6" t="s">
        <v>299</v>
      </c>
      <c r="BH2309" s="5" t="s">
        <v>302</v>
      </c>
      <c r="BI2309" s="5" t="s">
        <v>303</v>
      </c>
      <c r="BJ2309" s="5" t="s">
        <v>240</v>
      </c>
      <c r="BK2309" s="8">
        <f>0</f>
        <v>0</v>
      </c>
      <c r="BL2309" s="7">
        <f>0</f>
        <v>0</v>
      </c>
      <c r="BM2309" s="5" t="s">
        <v>258</v>
      </c>
      <c r="BN2309" s="5" t="s">
        <v>259</v>
      </c>
      <c r="CB2309" s="5" t="s">
        <v>240</v>
      </c>
      <c r="CC2309" s="5" t="s">
        <v>240</v>
      </c>
      <c r="CG2309" s="5" t="s">
        <v>304</v>
      </c>
      <c r="CH2309" s="5" t="s">
        <v>305</v>
      </c>
      <c r="CI2309" s="5" t="s">
        <v>240</v>
      </c>
      <c r="CL2309" s="6" t="s">
        <v>261</v>
      </c>
      <c r="CM2309" s="5" t="s">
        <v>240</v>
      </c>
      <c r="CN2309" s="5" t="s">
        <v>263</v>
      </c>
      <c r="CO2309" s="5" t="s">
        <v>240</v>
      </c>
      <c r="CP2309" s="5" t="s">
        <v>240</v>
      </c>
      <c r="CQ2309" s="5">
        <v>0</v>
      </c>
      <c r="CR2309" s="5" t="s">
        <v>306</v>
      </c>
      <c r="CS2309" s="5" t="s">
        <v>307</v>
      </c>
      <c r="CT2309" s="5" t="s">
        <v>307</v>
      </c>
      <c r="CU2309" s="5" t="s">
        <v>260</v>
      </c>
      <c r="CX2309" s="7">
        <f>1</f>
        <v>1</v>
      </c>
      <c r="CY2309" s="7">
        <f>0</f>
        <v>0</v>
      </c>
      <c r="DA2309" s="7">
        <f>0</f>
        <v>0</v>
      </c>
      <c r="DC2309" s="5" t="s">
        <v>309</v>
      </c>
      <c r="DD2309" s="5" t="s">
        <v>240</v>
      </c>
      <c r="DF2309" s="5" t="s">
        <v>309</v>
      </c>
      <c r="DG2309" s="7">
        <f>1130</f>
        <v>1130</v>
      </c>
      <c r="DI2309" s="5" t="s">
        <v>240</v>
      </c>
      <c r="DJ2309" s="5" t="s">
        <v>240</v>
      </c>
      <c r="DK2309" s="5" t="s">
        <v>240</v>
      </c>
      <c r="DL2309" s="5" t="s">
        <v>240</v>
      </c>
      <c r="DP2309" s="5" t="s">
        <v>240</v>
      </c>
      <c r="DQ2309" s="5" t="s">
        <v>240</v>
      </c>
      <c r="DR2309" s="5" t="s">
        <v>240</v>
      </c>
      <c r="DS2309" s="5" t="s">
        <v>240</v>
      </c>
      <c r="DV2309" s="5" t="s">
        <v>310</v>
      </c>
      <c r="DW2309" s="5" t="s">
        <v>4395</v>
      </c>
      <c r="HO2309" s="5" t="s">
        <v>312</v>
      </c>
    </row>
    <row r="2310" spans="1:223" x14ac:dyDescent="0.4">
      <c r="A2310" s="5">
        <v>4014</v>
      </c>
      <c r="B2310" s="5">
        <v>1</v>
      </c>
      <c r="C2310" s="5">
        <v>1</v>
      </c>
      <c r="D2310" s="5" t="s">
        <v>810</v>
      </c>
      <c r="E2310" s="5" t="s">
        <v>245</v>
      </c>
      <c r="F2310" s="5" t="s">
        <v>254</v>
      </c>
      <c r="G2310" s="5" t="s">
        <v>240</v>
      </c>
      <c r="H2310" s="6" t="s">
        <v>2406</v>
      </c>
      <c r="I2310" s="5" t="s">
        <v>809</v>
      </c>
      <c r="J2310" s="8">
        <f>170</f>
        <v>170</v>
      </c>
      <c r="K2310" s="5" t="s">
        <v>308</v>
      </c>
      <c r="L2310" s="7">
        <f>1</f>
        <v>1</v>
      </c>
      <c r="M2310" s="7">
        <f>1</f>
        <v>1</v>
      </c>
      <c r="N2310" s="5" t="s">
        <v>242</v>
      </c>
      <c r="O2310" s="5">
        <v>1</v>
      </c>
      <c r="P2310" s="5" t="s">
        <v>294</v>
      </c>
      <c r="Q2310" s="5" t="s">
        <v>613</v>
      </c>
      <c r="R2310" s="5" t="s">
        <v>240</v>
      </c>
      <c r="S2310" s="5" t="s">
        <v>240</v>
      </c>
      <c r="T2310" s="5" t="s">
        <v>243</v>
      </c>
      <c r="U2310" s="5" t="s">
        <v>244</v>
      </c>
      <c r="V2310" s="5" t="s">
        <v>240</v>
      </c>
      <c r="Y2310" s="5" t="s">
        <v>240</v>
      </c>
      <c r="Z2310" s="6" t="s">
        <v>298</v>
      </c>
      <c r="AB2310" s="6" t="s">
        <v>240</v>
      </c>
      <c r="AE2310" s="6" t="s">
        <v>299</v>
      </c>
      <c r="AF2310" s="5" t="s">
        <v>248</v>
      </c>
      <c r="AG2310" s="5" t="s">
        <v>249</v>
      </c>
      <c r="AW2310" s="5" t="s">
        <v>251</v>
      </c>
      <c r="AX2310" s="5" t="s">
        <v>240</v>
      </c>
      <c r="AY2310" s="5" t="s">
        <v>253</v>
      </c>
      <c r="AZ2310" s="5" t="s">
        <v>240</v>
      </c>
      <c r="BA2310" s="5" t="s">
        <v>255</v>
      </c>
      <c r="BB2310" s="5" t="s">
        <v>240</v>
      </c>
      <c r="BD2310" s="5" t="s">
        <v>240</v>
      </c>
      <c r="BF2310" s="5" t="s">
        <v>301</v>
      </c>
      <c r="BG2310" s="6" t="s">
        <v>299</v>
      </c>
      <c r="BH2310" s="5" t="s">
        <v>302</v>
      </c>
      <c r="BI2310" s="5" t="s">
        <v>303</v>
      </c>
      <c r="BJ2310" s="5" t="s">
        <v>240</v>
      </c>
      <c r="BK2310" s="8">
        <f>0</f>
        <v>0</v>
      </c>
      <c r="BL2310" s="7">
        <f>0</f>
        <v>0</v>
      </c>
      <c r="BM2310" s="5" t="s">
        <v>258</v>
      </c>
      <c r="BN2310" s="5" t="s">
        <v>259</v>
      </c>
      <c r="CB2310" s="5" t="s">
        <v>240</v>
      </c>
      <c r="CC2310" s="5" t="s">
        <v>240</v>
      </c>
      <c r="CG2310" s="5" t="s">
        <v>617</v>
      </c>
      <c r="CH2310" s="5" t="s">
        <v>305</v>
      </c>
      <c r="CI2310" s="5" t="s">
        <v>240</v>
      </c>
      <c r="CL2310" s="6" t="s">
        <v>261</v>
      </c>
      <c r="CM2310" s="5" t="s">
        <v>240</v>
      </c>
      <c r="CN2310" s="5" t="s">
        <v>263</v>
      </c>
      <c r="CO2310" s="5" t="s">
        <v>240</v>
      </c>
      <c r="CP2310" s="5" t="s">
        <v>240</v>
      </c>
      <c r="CQ2310" s="5">
        <v>0</v>
      </c>
      <c r="CR2310" s="5" t="s">
        <v>306</v>
      </c>
      <c r="CS2310" s="5" t="s">
        <v>307</v>
      </c>
      <c r="CT2310" s="5" t="s">
        <v>307</v>
      </c>
      <c r="CU2310" s="5" t="s">
        <v>260</v>
      </c>
      <c r="CX2310" s="7">
        <f>1949200</f>
        <v>1949200</v>
      </c>
      <c r="CY2310" s="7">
        <f>0</f>
        <v>0</v>
      </c>
      <c r="DA2310" s="7">
        <f>0</f>
        <v>0</v>
      </c>
      <c r="DC2310" s="5" t="s">
        <v>689</v>
      </c>
      <c r="DD2310" s="5" t="s">
        <v>240</v>
      </c>
      <c r="DF2310" s="5" t="s">
        <v>689</v>
      </c>
      <c r="DG2310" s="7">
        <f>880</f>
        <v>880</v>
      </c>
      <c r="DI2310" s="5" t="s">
        <v>618</v>
      </c>
      <c r="DJ2310" s="5" t="s">
        <v>240</v>
      </c>
      <c r="DK2310" s="5" t="s">
        <v>240</v>
      </c>
      <c r="DL2310" s="5" t="s">
        <v>240</v>
      </c>
      <c r="DP2310" s="5" t="s">
        <v>240</v>
      </c>
      <c r="DQ2310" s="5" t="s">
        <v>240</v>
      </c>
      <c r="DR2310" s="5" t="s">
        <v>240</v>
      </c>
      <c r="DS2310" s="5" t="s">
        <v>240</v>
      </c>
      <c r="DV2310" s="5" t="s">
        <v>1415</v>
      </c>
      <c r="DW2310" s="5" t="s">
        <v>621</v>
      </c>
      <c r="HO2310" s="5" t="s">
        <v>312</v>
      </c>
    </row>
    <row r="2311" spans="1:223" x14ac:dyDescent="0.4">
      <c r="A2311" s="5">
        <v>4015</v>
      </c>
      <c r="B2311" s="5">
        <v>1</v>
      </c>
      <c r="C2311" s="5">
        <v>1</v>
      </c>
      <c r="D2311" s="5" t="s">
        <v>810</v>
      </c>
      <c r="E2311" s="5" t="s">
        <v>245</v>
      </c>
      <c r="F2311" s="5" t="s">
        <v>254</v>
      </c>
      <c r="G2311" s="5" t="s">
        <v>240</v>
      </c>
      <c r="H2311" s="6" t="s">
        <v>2476</v>
      </c>
      <c r="I2311" s="5" t="s">
        <v>809</v>
      </c>
      <c r="J2311" s="8">
        <f>233</f>
        <v>233</v>
      </c>
      <c r="K2311" s="5" t="s">
        <v>308</v>
      </c>
      <c r="L2311" s="7">
        <f>1</f>
        <v>1</v>
      </c>
      <c r="M2311" s="7">
        <f>1</f>
        <v>1</v>
      </c>
      <c r="N2311" s="5" t="s">
        <v>242</v>
      </c>
      <c r="O2311" s="5">
        <v>1</v>
      </c>
      <c r="P2311" s="5" t="s">
        <v>294</v>
      </c>
      <c r="Q2311" s="5" t="s">
        <v>266</v>
      </c>
      <c r="R2311" s="5" t="s">
        <v>240</v>
      </c>
      <c r="S2311" s="5" t="s">
        <v>240</v>
      </c>
      <c r="T2311" s="5" t="s">
        <v>296</v>
      </c>
      <c r="U2311" s="5" t="s">
        <v>244</v>
      </c>
      <c r="V2311" s="5" t="s">
        <v>240</v>
      </c>
      <c r="Y2311" s="5" t="s">
        <v>240</v>
      </c>
      <c r="Z2311" s="6" t="s">
        <v>298</v>
      </c>
      <c r="AB2311" s="6" t="s">
        <v>240</v>
      </c>
      <c r="AE2311" s="6" t="s">
        <v>299</v>
      </c>
      <c r="AF2311" s="5" t="s">
        <v>248</v>
      </c>
      <c r="AG2311" s="5" t="s">
        <v>249</v>
      </c>
      <c r="AW2311" s="5" t="s">
        <v>251</v>
      </c>
      <c r="AX2311" s="5" t="s">
        <v>240</v>
      </c>
      <c r="AY2311" s="5" t="s">
        <v>253</v>
      </c>
      <c r="AZ2311" s="5" t="s">
        <v>240</v>
      </c>
      <c r="BA2311" s="5" t="s">
        <v>255</v>
      </c>
      <c r="BB2311" s="5" t="s">
        <v>240</v>
      </c>
      <c r="BD2311" s="5" t="s">
        <v>240</v>
      </c>
      <c r="BF2311" s="5" t="s">
        <v>301</v>
      </c>
      <c r="BG2311" s="6" t="s">
        <v>299</v>
      </c>
      <c r="BH2311" s="5" t="s">
        <v>302</v>
      </c>
      <c r="BI2311" s="5" t="s">
        <v>303</v>
      </c>
      <c r="BJ2311" s="5" t="s">
        <v>240</v>
      </c>
      <c r="BK2311" s="8">
        <f>0</f>
        <v>0</v>
      </c>
      <c r="BL2311" s="7">
        <f>0</f>
        <v>0</v>
      </c>
      <c r="BM2311" s="5" t="s">
        <v>258</v>
      </c>
      <c r="BN2311" s="5" t="s">
        <v>259</v>
      </c>
      <c r="CB2311" s="5" t="s">
        <v>240</v>
      </c>
      <c r="CC2311" s="5" t="s">
        <v>240</v>
      </c>
      <c r="CG2311" s="5" t="s">
        <v>304</v>
      </c>
      <c r="CH2311" s="5" t="s">
        <v>305</v>
      </c>
      <c r="CI2311" s="5" t="s">
        <v>240</v>
      </c>
      <c r="CL2311" s="6" t="s">
        <v>261</v>
      </c>
      <c r="CM2311" s="5" t="s">
        <v>240</v>
      </c>
      <c r="CN2311" s="5" t="s">
        <v>263</v>
      </c>
      <c r="CO2311" s="5" t="s">
        <v>240</v>
      </c>
      <c r="CP2311" s="5" t="s">
        <v>240</v>
      </c>
      <c r="CQ2311" s="5">
        <v>0</v>
      </c>
      <c r="CR2311" s="5" t="s">
        <v>306</v>
      </c>
      <c r="CS2311" s="5" t="s">
        <v>307</v>
      </c>
      <c r="CT2311" s="5" t="s">
        <v>307</v>
      </c>
      <c r="CU2311" s="5" t="s">
        <v>260</v>
      </c>
      <c r="CX2311" s="7">
        <f>1</f>
        <v>1</v>
      </c>
      <c r="CY2311" s="7">
        <f>0</f>
        <v>0</v>
      </c>
      <c r="DA2311" s="7">
        <f>0</f>
        <v>0</v>
      </c>
      <c r="DC2311" s="5" t="s">
        <v>309</v>
      </c>
      <c r="DD2311" s="5" t="s">
        <v>240</v>
      </c>
      <c r="DF2311" s="5" t="s">
        <v>309</v>
      </c>
      <c r="DG2311" s="7">
        <f>811</f>
        <v>811</v>
      </c>
      <c r="DI2311" s="5" t="s">
        <v>240</v>
      </c>
      <c r="DJ2311" s="5" t="s">
        <v>240</v>
      </c>
      <c r="DK2311" s="5" t="s">
        <v>240</v>
      </c>
      <c r="DL2311" s="5" t="s">
        <v>240</v>
      </c>
      <c r="DP2311" s="5" t="s">
        <v>240</v>
      </c>
      <c r="DQ2311" s="5" t="s">
        <v>240</v>
      </c>
      <c r="DR2311" s="5" t="s">
        <v>240</v>
      </c>
      <c r="DS2311" s="5" t="s">
        <v>240</v>
      </c>
      <c r="DV2311" s="5" t="s">
        <v>310</v>
      </c>
      <c r="DW2311" s="5" t="s">
        <v>2672</v>
      </c>
      <c r="HO2311" s="5" t="s">
        <v>312</v>
      </c>
    </row>
    <row r="2312" spans="1:223" x14ac:dyDescent="0.4">
      <c r="A2312" s="5">
        <v>4016</v>
      </c>
      <c r="B2312" s="5">
        <v>1</v>
      </c>
      <c r="C2312" s="5">
        <v>1</v>
      </c>
      <c r="D2312" s="5" t="s">
        <v>810</v>
      </c>
      <c r="E2312" s="5" t="s">
        <v>245</v>
      </c>
      <c r="F2312" s="5" t="s">
        <v>254</v>
      </c>
      <c r="G2312" s="5" t="s">
        <v>240</v>
      </c>
      <c r="H2312" s="6" t="s">
        <v>2601</v>
      </c>
      <c r="I2312" s="5" t="s">
        <v>809</v>
      </c>
      <c r="J2312" s="8">
        <f>357</f>
        <v>357</v>
      </c>
      <c r="K2312" s="5" t="s">
        <v>308</v>
      </c>
      <c r="L2312" s="7">
        <f>1</f>
        <v>1</v>
      </c>
      <c r="M2312" s="7">
        <f>1</f>
        <v>1</v>
      </c>
      <c r="N2312" s="5" t="s">
        <v>242</v>
      </c>
      <c r="O2312" s="5">
        <v>1</v>
      </c>
      <c r="P2312" s="5" t="s">
        <v>294</v>
      </c>
      <c r="Q2312" s="5" t="s">
        <v>266</v>
      </c>
      <c r="R2312" s="5" t="s">
        <v>240</v>
      </c>
      <c r="S2312" s="5" t="s">
        <v>240</v>
      </c>
      <c r="T2312" s="5" t="s">
        <v>296</v>
      </c>
      <c r="U2312" s="5" t="s">
        <v>244</v>
      </c>
      <c r="V2312" s="5" t="s">
        <v>240</v>
      </c>
      <c r="Y2312" s="5" t="s">
        <v>240</v>
      </c>
      <c r="Z2312" s="6" t="s">
        <v>298</v>
      </c>
      <c r="AB2312" s="6" t="s">
        <v>240</v>
      </c>
      <c r="AE2312" s="6" t="s">
        <v>299</v>
      </c>
      <c r="AF2312" s="5" t="s">
        <v>248</v>
      </c>
      <c r="AG2312" s="5" t="s">
        <v>249</v>
      </c>
      <c r="AW2312" s="5" t="s">
        <v>251</v>
      </c>
      <c r="AX2312" s="5" t="s">
        <v>240</v>
      </c>
      <c r="AY2312" s="5" t="s">
        <v>253</v>
      </c>
      <c r="AZ2312" s="5" t="s">
        <v>240</v>
      </c>
      <c r="BA2312" s="5" t="s">
        <v>255</v>
      </c>
      <c r="BB2312" s="5" t="s">
        <v>240</v>
      </c>
      <c r="BD2312" s="5" t="s">
        <v>240</v>
      </c>
      <c r="BF2312" s="5" t="s">
        <v>301</v>
      </c>
      <c r="BG2312" s="6" t="s">
        <v>299</v>
      </c>
      <c r="BH2312" s="5" t="s">
        <v>302</v>
      </c>
      <c r="BI2312" s="5" t="s">
        <v>303</v>
      </c>
      <c r="BJ2312" s="5" t="s">
        <v>240</v>
      </c>
      <c r="BK2312" s="8">
        <f>0</f>
        <v>0</v>
      </c>
      <c r="BL2312" s="7">
        <f>0</f>
        <v>0</v>
      </c>
      <c r="BM2312" s="5" t="s">
        <v>258</v>
      </c>
      <c r="BN2312" s="5" t="s">
        <v>259</v>
      </c>
      <c r="CB2312" s="5" t="s">
        <v>240</v>
      </c>
      <c r="CC2312" s="5" t="s">
        <v>240</v>
      </c>
      <c r="CG2312" s="5" t="s">
        <v>304</v>
      </c>
      <c r="CH2312" s="5" t="s">
        <v>305</v>
      </c>
      <c r="CI2312" s="5" t="s">
        <v>240</v>
      </c>
      <c r="CL2312" s="6" t="s">
        <v>261</v>
      </c>
      <c r="CM2312" s="5" t="s">
        <v>240</v>
      </c>
      <c r="CN2312" s="5" t="s">
        <v>263</v>
      </c>
      <c r="CO2312" s="5" t="s">
        <v>240</v>
      </c>
      <c r="CP2312" s="5" t="s">
        <v>240</v>
      </c>
      <c r="CQ2312" s="5">
        <v>0</v>
      </c>
      <c r="CR2312" s="5" t="s">
        <v>306</v>
      </c>
      <c r="CS2312" s="5" t="s">
        <v>307</v>
      </c>
      <c r="CT2312" s="5" t="s">
        <v>307</v>
      </c>
      <c r="CU2312" s="5" t="s">
        <v>260</v>
      </c>
      <c r="CX2312" s="7">
        <f>1</f>
        <v>1</v>
      </c>
      <c r="CY2312" s="7">
        <f>0</f>
        <v>0</v>
      </c>
      <c r="DA2312" s="7">
        <f>0</f>
        <v>0</v>
      </c>
      <c r="DC2312" s="5" t="s">
        <v>309</v>
      </c>
      <c r="DD2312" s="5" t="s">
        <v>240</v>
      </c>
      <c r="DF2312" s="5" t="s">
        <v>309</v>
      </c>
      <c r="DG2312" s="7">
        <f>7631</f>
        <v>7631</v>
      </c>
      <c r="DI2312" s="5" t="s">
        <v>240</v>
      </c>
      <c r="DJ2312" s="5" t="s">
        <v>240</v>
      </c>
      <c r="DK2312" s="5" t="s">
        <v>240</v>
      </c>
      <c r="DL2312" s="5" t="s">
        <v>240</v>
      </c>
      <c r="DP2312" s="5" t="s">
        <v>240</v>
      </c>
      <c r="DQ2312" s="5" t="s">
        <v>240</v>
      </c>
      <c r="DR2312" s="5" t="s">
        <v>240</v>
      </c>
      <c r="DS2312" s="5" t="s">
        <v>240</v>
      </c>
      <c r="DV2312" s="5" t="s">
        <v>310</v>
      </c>
      <c r="DW2312" s="5" t="s">
        <v>2674</v>
      </c>
      <c r="HO2312" s="5" t="s">
        <v>312</v>
      </c>
    </row>
    <row r="2313" spans="1:223" x14ac:dyDescent="0.4">
      <c r="A2313" s="5">
        <v>4017</v>
      </c>
      <c r="B2313" s="5">
        <v>1</v>
      </c>
      <c r="C2313" s="5">
        <v>1</v>
      </c>
      <c r="D2313" s="5" t="s">
        <v>810</v>
      </c>
      <c r="E2313" s="5" t="s">
        <v>245</v>
      </c>
      <c r="F2313" s="5" t="s">
        <v>254</v>
      </c>
      <c r="G2313" s="5" t="s">
        <v>240</v>
      </c>
      <c r="H2313" s="6" t="s">
        <v>2958</v>
      </c>
      <c r="I2313" s="5" t="s">
        <v>809</v>
      </c>
      <c r="J2313" s="8">
        <f>1852</f>
        <v>1852</v>
      </c>
      <c r="K2313" s="5" t="s">
        <v>308</v>
      </c>
      <c r="L2313" s="7">
        <f>1</f>
        <v>1</v>
      </c>
      <c r="M2313" s="7">
        <f>1</f>
        <v>1</v>
      </c>
      <c r="N2313" s="5" t="s">
        <v>242</v>
      </c>
      <c r="O2313" s="5">
        <v>1</v>
      </c>
      <c r="P2313" s="5" t="s">
        <v>294</v>
      </c>
      <c r="Q2313" s="5" t="s">
        <v>266</v>
      </c>
      <c r="R2313" s="5" t="s">
        <v>240</v>
      </c>
      <c r="S2313" s="5" t="s">
        <v>240</v>
      </c>
      <c r="T2313" s="5" t="s">
        <v>296</v>
      </c>
      <c r="U2313" s="5" t="s">
        <v>244</v>
      </c>
      <c r="V2313" s="5" t="s">
        <v>240</v>
      </c>
      <c r="Y2313" s="5" t="s">
        <v>240</v>
      </c>
      <c r="Z2313" s="6" t="s">
        <v>298</v>
      </c>
      <c r="AB2313" s="6" t="s">
        <v>240</v>
      </c>
      <c r="AE2313" s="6" t="s">
        <v>299</v>
      </c>
      <c r="AF2313" s="5" t="s">
        <v>248</v>
      </c>
      <c r="AG2313" s="5" t="s">
        <v>249</v>
      </c>
      <c r="AW2313" s="5" t="s">
        <v>251</v>
      </c>
      <c r="AX2313" s="5" t="s">
        <v>240</v>
      </c>
      <c r="AY2313" s="5" t="s">
        <v>253</v>
      </c>
      <c r="AZ2313" s="5" t="s">
        <v>240</v>
      </c>
      <c r="BA2313" s="5" t="s">
        <v>255</v>
      </c>
      <c r="BB2313" s="5" t="s">
        <v>240</v>
      </c>
      <c r="BD2313" s="5" t="s">
        <v>240</v>
      </c>
      <c r="BF2313" s="5" t="s">
        <v>301</v>
      </c>
      <c r="BG2313" s="6" t="s">
        <v>299</v>
      </c>
      <c r="BH2313" s="5" t="s">
        <v>302</v>
      </c>
      <c r="BI2313" s="5" t="s">
        <v>303</v>
      </c>
      <c r="BJ2313" s="5" t="s">
        <v>240</v>
      </c>
      <c r="BK2313" s="8">
        <f>0</f>
        <v>0</v>
      </c>
      <c r="BL2313" s="7">
        <f>0</f>
        <v>0</v>
      </c>
      <c r="BM2313" s="5" t="s">
        <v>258</v>
      </c>
      <c r="BN2313" s="5" t="s">
        <v>259</v>
      </c>
      <c r="CB2313" s="5" t="s">
        <v>240</v>
      </c>
      <c r="CC2313" s="5" t="s">
        <v>240</v>
      </c>
      <c r="CG2313" s="5" t="s">
        <v>304</v>
      </c>
      <c r="CH2313" s="5" t="s">
        <v>305</v>
      </c>
      <c r="CI2313" s="5" t="s">
        <v>240</v>
      </c>
      <c r="CL2313" s="6" t="s">
        <v>261</v>
      </c>
      <c r="CM2313" s="5" t="s">
        <v>240</v>
      </c>
      <c r="CN2313" s="5" t="s">
        <v>263</v>
      </c>
      <c r="CO2313" s="5" t="s">
        <v>240</v>
      </c>
      <c r="CP2313" s="5" t="s">
        <v>240</v>
      </c>
      <c r="CQ2313" s="5">
        <v>0</v>
      </c>
      <c r="CR2313" s="5" t="s">
        <v>306</v>
      </c>
      <c r="CS2313" s="5" t="s">
        <v>307</v>
      </c>
      <c r="CT2313" s="5" t="s">
        <v>307</v>
      </c>
      <c r="CU2313" s="5" t="s">
        <v>260</v>
      </c>
      <c r="CX2313" s="7">
        <f>1</f>
        <v>1</v>
      </c>
      <c r="CY2313" s="7">
        <f>0</f>
        <v>0</v>
      </c>
      <c r="DA2313" s="7">
        <f>0</f>
        <v>0</v>
      </c>
      <c r="DC2313" s="5" t="s">
        <v>309</v>
      </c>
      <c r="DD2313" s="5" t="s">
        <v>240</v>
      </c>
      <c r="DF2313" s="5" t="s">
        <v>309</v>
      </c>
      <c r="DG2313" s="7">
        <f>152</f>
        <v>152</v>
      </c>
      <c r="DI2313" s="5" t="s">
        <v>240</v>
      </c>
      <c r="DJ2313" s="5" t="s">
        <v>240</v>
      </c>
      <c r="DK2313" s="5" t="s">
        <v>240</v>
      </c>
      <c r="DL2313" s="5" t="s">
        <v>240</v>
      </c>
      <c r="DP2313" s="5" t="s">
        <v>240</v>
      </c>
      <c r="DQ2313" s="5" t="s">
        <v>240</v>
      </c>
      <c r="DR2313" s="5" t="s">
        <v>240</v>
      </c>
      <c r="DS2313" s="5" t="s">
        <v>240</v>
      </c>
      <c r="DV2313" s="5" t="s">
        <v>310</v>
      </c>
      <c r="DW2313" s="5" t="s">
        <v>2676</v>
      </c>
      <c r="HO2313" s="5" t="s">
        <v>312</v>
      </c>
    </row>
    <row r="2314" spans="1:223" x14ac:dyDescent="0.4">
      <c r="A2314" s="5">
        <v>4018</v>
      </c>
      <c r="B2314" s="5">
        <v>1</v>
      </c>
      <c r="C2314" s="5">
        <v>1</v>
      </c>
      <c r="D2314" s="5" t="s">
        <v>810</v>
      </c>
      <c r="E2314" s="5" t="s">
        <v>245</v>
      </c>
      <c r="F2314" s="5" t="s">
        <v>254</v>
      </c>
      <c r="G2314" s="5" t="s">
        <v>240</v>
      </c>
      <c r="H2314" s="6" t="s">
        <v>2990</v>
      </c>
      <c r="I2314" s="5" t="s">
        <v>809</v>
      </c>
      <c r="J2314" s="8">
        <f>1028</f>
        <v>1028</v>
      </c>
      <c r="K2314" s="5" t="s">
        <v>308</v>
      </c>
      <c r="L2314" s="7">
        <f>1</f>
        <v>1</v>
      </c>
      <c r="M2314" s="7">
        <f>1</f>
        <v>1</v>
      </c>
      <c r="N2314" s="5" t="s">
        <v>242</v>
      </c>
      <c r="O2314" s="5">
        <v>1</v>
      </c>
      <c r="P2314" s="5" t="s">
        <v>294</v>
      </c>
      <c r="Q2314" s="5" t="s">
        <v>266</v>
      </c>
      <c r="R2314" s="5" t="s">
        <v>240</v>
      </c>
      <c r="S2314" s="5" t="s">
        <v>240</v>
      </c>
      <c r="T2314" s="5" t="s">
        <v>296</v>
      </c>
      <c r="U2314" s="5" t="s">
        <v>244</v>
      </c>
      <c r="V2314" s="5" t="s">
        <v>240</v>
      </c>
      <c r="Y2314" s="5" t="s">
        <v>240</v>
      </c>
      <c r="Z2314" s="6" t="s">
        <v>298</v>
      </c>
      <c r="AB2314" s="6" t="s">
        <v>240</v>
      </c>
      <c r="AE2314" s="6" t="s">
        <v>299</v>
      </c>
      <c r="AF2314" s="5" t="s">
        <v>248</v>
      </c>
      <c r="AG2314" s="5" t="s">
        <v>249</v>
      </c>
      <c r="AW2314" s="5" t="s">
        <v>251</v>
      </c>
      <c r="AX2314" s="5" t="s">
        <v>240</v>
      </c>
      <c r="AY2314" s="5" t="s">
        <v>253</v>
      </c>
      <c r="AZ2314" s="5" t="s">
        <v>240</v>
      </c>
      <c r="BA2314" s="5" t="s">
        <v>255</v>
      </c>
      <c r="BB2314" s="5" t="s">
        <v>240</v>
      </c>
      <c r="BD2314" s="5" t="s">
        <v>240</v>
      </c>
      <c r="BF2314" s="5" t="s">
        <v>301</v>
      </c>
      <c r="BG2314" s="6" t="s">
        <v>299</v>
      </c>
      <c r="BH2314" s="5" t="s">
        <v>302</v>
      </c>
      <c r="BI2314" s="5" t="s">
        <v>303</v>
      </c>
      <c r="BJ2314" s="5" t="s">
        <v>240</v>
      </c>
      <c r="BK2314" s="8">
        <f>0</f>
        <v>0</v>
      </c>
      <c r="BL2314" s="7">
        <f>0</f>
        <v>0</v>
      </c>
      <c r="BM2314" s="5" t="s">
        <v>258</v>
      </c>
      <c r="BN2314" s="5" t="s">
        <v>259</v>
      </c>
      <c r="CB2314" s="5" t="s">
        <v>240</v>
      </c>
      <c r="CC2314" s="5" t="s">
        <v>240</v>
      </c>
      <c r="CG2314" s="5" t="s">
        <v>304</v>
      </c>
      <c r="CH2314" s="5" t="s">
        <v>305</v>
      </c>
      <c r="CI2314" s="5" t="s">
        <v>240</v>
      </c>
      <c r="CL2314" s="6" t="s">
        <v>261</v>
      </c>
      <c r="CM2314" s="5" t="s">
        <v>240</v>
      </c>
      <c r="CN2314" s="5" t="s">
        <v>263</v>
      </c>
      <c r="CO2314" s="5" t="s">
        <v>240</v>
      </c>
      <c r="CP2314" s="5" t="s">
        <v>240</v>
      </c>
      <c r="CQ2314" s="5">
        <v>0</v>
      </c>
      <c r="CR2314" s="5" t="s">
        <v>306</v>
      </c>
      <c r="CS2314" s="5" t="s">
        <v>307</v>
      </c>
      <c r="CT2314" s="5" t="s">
        <v>307</v>
      </c>
      <c r="CU2314" s="5" t="s">
        <v>260</v>
      </c>
      <c r="CX2314" s="7">
        <f>1</f>
        <v>1</v>
      </c>
      <c r="CY2314" s="7">
        <f>0</f>
        <v>0</v>
      </c>
      <c r="DA2314" s="7">
        <f>0</f>
        <v>0</v>
      </c>
      <c r="DC2314" s="5" t="s">
        <v>309</v>
      </c>
      <c r="DD2314" s="5" t="s">
        <v>240</v>
      </c>
      <c r="DF2314" s="5" t="s">
        <v>309</v>
      </c>
      <c r="DG2314" s="7">
        <f>200</f>
        <v>200</v>
      </c>
      <c r="DI2314" s="5" t="s">
        <v>240</v>
      </c>
      <c r="DJ2314" s="5" t="s">
        <v>240</v>
      </c>
      <c r="DK2314" s="5" t="s">
        <v>240</v>
      </c>
      <c r="DL2314" s="5" t="s">
        <v>240</v>
      </c>
      <c r="DP2314" s="5" t="s">
        <v>240</v>
      </c>
      <c r="DQ2314" s="5" t="s">
        <v>240</v>
      </c>
      <c r="DR2314" s="5" t="s">
        <v>240</v>
      </c>
      <c r="DS2314" s="5" t="s">
        <v>240</v>
      </c>
      <c r="DV2314" s="5" t="s">
        <v>310</v>
      </c>
      <c r="DW2314" s="5" t="s">
        <v>2678</v>
      </c>
      <c r="HO2314" s="5" t="s">
        <v>312</v>
      </c>
    </row>
    <row r="2315" spans="1:223" x14ac:dyDescent="0.4">
      <c r="A2315" s="5">
        <v>4019</v>
      </c>
      <c r="B2315" s="5">
        <v>1</v>
      </c>
      <c r="C2315" s="5">
        <v>1</v>
      </c>
      <c r="D2315" s="5" t="s">
        <v>810</v>
      </c>
      <c r="E2315" s="5" t="s">
        <v>245</v>
      </c>
      <c r="F2315" s="5" t="s">
        <v>254</v>
      </c>
      <c r="G2315" s="5" t="s">
        <v>240</v>
      </c>
      <c r="H2315" s="6" t="s">
        <v>3085</v>
      </c>
      <c r="I2315" s="5" t="s">
        <v>809</v>
      </c>
      <c r="J2315" s="8">
        <f>2098</f>
        <v>2098</v>
      </c>
      <c r="K2315" s="5" t="s">
        <v>308</v>
      </c>
      <c r="L2315" s="7">
        <f>1</f>
        <v>1</v>
      </c>
      <c r="M2315" s="7">
        <f>1</f>
        <v>1</v>
      </c>
      <c r="N2315" s="5" t="s">
        <v>242</v>
      </c>
      <c r="O2315" s="5">
        <v>1</v>
      </c>
      <c r="P2315" s="5" t="s">
        <v>294</v>
      </c>
      <c r="Q2315" s="5" t="s">
        <v>266</v>
      </c>
      <c r="R2315" s="5" t="s">
        <v>240</v>
      </c>
      <c r="S2315" s="5" t="s">
        <v>240</v>
      </c>
      <c r="T2315" s="5" t="s">
        <v>296</v>
      </c>
      <c r="U2315" s="5" t="s">
        <v>244</v>
      </c>
      <c r="V2315" s="5" t="s">
        <v>240</v>
      </c>
      <c r="Y2315" s="5" t="s">
        <v>240</v>
      </c>
      <c r="Z2315" s="6" t="s">
        <v>298</v>
      </c>
      <c r="AB2315" s="6" t="s">
        <v>240</v>
      </c>
      <c r="AE2315" s="6" t="s">
        <v>299</v>
      </c>
      <c r="AF2315" s="5" t="s">
        <v>248</v>
      </c>
      <c r="AG2315" s="5" t="s">
        <v>249</v>
      </c>
      <c r="AW2315" s="5" t="s">
        <v>251</v>
      </c>
      <c r="AX2315" s="5" t="s">
        <v>240</v>
      </c>
      <c r="AY2315" s="5" t="s">
        <v>253</v>
      </c>
      <c r="AZ2315" s="5" t="s">
        <v>240</v>
      </c>
      <c r="BA2315" s="5" t="s">
        <v>255</v>
      </c>
      <c r="BB2315" s="5" t="s">
        <v>240</v>
      </c>
      <c r="BD2315" s="5" t="s">
        <v>240</v>
      </c>
      <c r="BF2315" s="5" t="s">
        <v>301</v>
      </c>
      <c r="BG2315" s="6" t="s">
        <v>299</v>
      </c>
      <c r="BH2315" s="5" t="s">
        <v>302</v>
      </c>
      <c r="BI2315" s="5" t="s">
        <v>303</v>
      </c>
      <c r="BJ2315" s="5" t="s">
        <v>240</v>
      </c>
      <c r="BK2315" s="8">
        <f>0</f>
        <v>0</v>
      </c>
      <c r="BL2315" s="7">
        <f>0</f>
        <v>0</v>
      </c>
      <c r="BM2315" s="5" t="s">
        <v>258</v>
      </c>
      <c r="BN2315" s="5" t="s">
        <v>259</v>
      </c>
      <c r="CB2315" s="5" t="s">
        <v>240</v>
      </c>
      <c r="CC2315" s="5" t="s">
        <v>240</v>
      </c>
      <c r="CG2315" s="5" t="s">
        <v>304</v>
      </c>
      <c r="CH2315" s="5" t="s">
        <v>305</v>
      </c>
      <c r="CI2315" s="5" t="s">
        <v>240</v>
      </c>
      <c r="CL2315" s="6" t="s">
        <v>261</v>
      </c>
      <c r="CM2315" s="5" t="s">
        <v>240</v>
      </c>
      <c r="CN2315" s="5" t="s">
        <v>263</v>
      </c>
      <c r="CO2315" s="5" t="s">
        <v>240</v>
      </c>
      <c r="CP2315" s="5" t="s">
        <v>240</v>
      </c>
      <c r="CQ2315" s="5">
        <v>0</v>
      </c>
      <c r="CR2315" s="5" t="s">
        <v>306</v>
      </c>
      <c r="CS2315" s="5" t="s">
        <v>307</v>
      </c>
      <c r="CT2315" s="5" t="s">
        <v>307</v>
      </c>
      <c r="CU2315" s="5" t="s">
        <v>260</v>
      </c>
      <c r="CX2315" s="7">
        <f>1</f>
        <v>1</v>
      </c>
      <c r="CY2315" s="7">
        <f>0</f>
        <v>0</v>
      </c>
      <c r="DA2315" s="7">
        <f>0</f>
        <v>0</v>
      </c>
      <c r="DC2315" s="5" t="s">
        <v>309</v>
      </c>
      <c r="DD2315" s="5" t="s">
        <v>240</v>
      </c>
      <c r="DF2315" s="5" t="s">
        <v>309</v>
      </c>
      <c r="DG2315" s="7">
        <f>70</f>
        <v>70</v>
      </c>
      <c r="DI2315" s="5" t="s">
        <v>240</v>
      </c>
      <c r="DJ2315" s="5" t="s">
        <v>240</v>
      </c>
      <c r="DK2315" s="5" t="s">
        <v>240</v>
      </c>
      <c r="DL2315" s="5" t="s">
        <v>240</v>
      </c>
      <c r="DP2315" s="5" t="s">
        <v>240</v>
      </c>
      <c r="DQ2315" s="5" t="s">
        <v>240</v>
      </c>
      <c r="DR2315" s="5" t="s">
        <v>240</v>
      </c>
      <c r="DS2315" s="5" t="s">
        <v>240</v>
      </c>
      <c r="DV2315" s="5" t="s">
        <v>310</v>
      </c>
      <c r="DW2315" s="5" t="s">
        <v>2680</v>
      </c>
      <c r="HO2315" s="5" t="s">
        <v>312</v>
      </c>
    </row>
    <row r="2316" spans="1:223" x14ac:dyDescent="0.4">
      <c r="A2316" s="5">
        <v>4020</v>
      </c>
      <c r="B2316" s="5">
        <v>1</v>
      </c>
      <c r="C2316" s="5">
        <v>1</v>
      </c>
      <c r="D2316" s="5" t="s">
        <v>810</v>
      </c>
      <c r="E2316" s="5" t="s">
        <v>245</v>
      </c>
      <c r="F2316" s="5" t="s">
        <v>254</v>
      </c>
      <c r="G2316" s="5" t="s">
        <v>240</v>
      </c>
      <c r="H2316" s="6" t="s">
        <v>3117</v>
      </c>
      <c r="I2316" s="5" t="s">
        <v>809</v>
      </c>
      <c r="J2316" s="8">
        <f>319</f>
        <v>319</v>
      </c>
      <c r="K2316" s="5" t="s">
        <v>308</v>
      </c>
      <c r="L2316" s="7">
        <f>1</f>
        <v>1</v>
      </c>
      <c r="M2316" s="7">
        <f>1</f>
        <v>1</v>
      </c>
      <c r="N2316" s="5" t="s">
        <v>242</v>
      </c>
      <c r="O2316" s="5">
        <v>1</v>
      </c>
      <c r="P2316" s="5" t="s">
        <v>294</v>
      </c>
      <c r="Q2316" s="5" t="s">
        <v>266</v>
      </c>
      <c r="R2316" s="5" t="s">
        <v>240</v>
      </c>
      <c r="S2316" s="5" t="s">
        <v>240</v>
      </c>
      <c r="T2316" s="5" t="s">
        <v>296</v>
      </c>
      <c r="U2316" s="5" t="s">
        <v>244</v>
      </c>
      <c r="V2316" s="5" t="s">
        <v>240</v>
      </c>
      <c r="Y2316" s="5" t="s">
        <v>240</v>
      </c>
      <c r="Z2316" s="6" t="s">
        <v>298</v>
      </c>
      <c r="AB2316" s="6" t="s">
        <v>240</v>
      </c>
      <c r="AE2316" s="6" t="s">
        <v>299</v>
      </c>
      <c r="AF2316" s="5" t="s">
        <v>248</v>
      </c>
      <c r="AG2316" s="5" t="s">
        <v>249</v>
      </c>
      <c r="AW2316" s="5" t="s">
        <v>251</v>
      </c>
      <c r="AX2316" s="5" t="s">
        <v>240</v>
      </c>
      <c r="AY2316" s="5" t="s">
        <v>253</v>
      </c>
      <c r="AZ2316" s="5" t="s">
        <v>240</v>
      </c>
      <c r="BA2316" s="5" t="s">
        <v>255</v>
      </c>
      <c r="BB2316" s="5" t="s">
        <v>240</v>
      </c>
      <c r="BD2316" s="5" t="s">
        <v>240</v>
      </c>
      <c r="BF2316" s="5" t="s">
        <v>301</v>
      </c>
      <c r="BG2316" s="6" t="s">
        <v>299</v>
      </c>
      <c r="BH2316" s="5" t="s">
        <v>302</v>
      </c>
      <c r="BI2316" s="5" t="s">
        <v>303</v>
      </c>
      <c r="BJ2316" s="5" t="s">
        <v>240</v>
      </c>
      <c r="BK2316" s="8">
        <f>0</f>
        <v>0</v>
      </c>
      <c r="BL2316" s="7">
        <f>0</f>
        <v>0</v>
      </c>
      <c r="BM2316" s="5" t="s">
        <v>258</v>
      </c>
      <c r="BN2316" s="5" t="s">
        <v>259</v>
      </c>
      <c r="CB2316" s="5" t="s">
        <v>240</v>
      </c>
      <c r="CC2316" s="5" t="s">
        <v>240</v>
      </c>
      <c r="CG2316" s="5" t="s">
        <v>304</v>
      </c>
      <c r="CH2316" s="5" t="s">
        <v>305</v>
      </c>
      <c r="CI2316" s="5" t="s">
        <v>240</v>
      </c>
      <c r="CL2316" s="6" t="s">
        <v>261</v>
      </c>
      <c r="CM2316" s="5" t="s">
        <v>240</v>
      </c>
      <c r="CN2316" s="5" t="s">
        <v>263</v>
      </c>
      <c r="CO2316" s="5" t="s">
        <v>240</v>
      </c>
      <c r="CP2316" s="5" t="s">
        <v>240</v>
      </c>
      <c r="CQ2316" s="5">
        <v>0</v>
      </c>
      <c r="CR2316" s="5" t="s">
        <v>306</v>
      </c>
      <c r="CS2316" s="5" t="s">
        <v>307</v>
      </c>
      <c r="CT2316" s="5" t="s">
        <v>307</v>
      </c>
      <c r="CU2316" s="5" t="s">
        <v>260</v>
      </c>
      <c r="CX2316" s="7">
        <f>1</f>
        <v>1</v>
      </c>
      <c r="CY2316" s="7">
        <f>0</f>
        <v>0</v>
      </c>
      <c r="DA2316" s="7">
        <f>0</f>
        <v>0</v>
      </c>
      <c r="DC2316" s="5" t="s">
        <v>309</v>
      </c>
      <c r="DD2316" s="5" t="s">
        <v>240</v>
      </c>
      <c r="DF2316" s="5" t="s">
        <v>309</v>
      </c>
      <c r="DG2316" s="7">
        <f>304</f>
        <v>304</v>
      </c>
      <c r="DI2316" s="5" t="s">
        <v>240</v>
      </c>
      <c r="DJ2316" s="5" t="s">
        <v>240</v>
      </c>
      <c r="DK2316" s="5" t="s">
        <v>240</v>
      </c>
      <c r="DL2316" s="5" t="s">
        <v>240</v>
      </c>
      <c r="DP2316" s="5" t="s">
        <v>240</v>
      </c>
      <c r="DQ2316" s="5" t="s">
        <v>240</v>
      </c>
      <c r="DR2316" s="5" t="s">
        <v>240</v>
      </c>
      <c r="DS2316" s="5" t="s">
        <v>240</v>
      </c>
      <c r="DV2316" s="5" t="s">
        <v>310</v>
      </c>
      <c r="DW2316" s="5" t="s">
        <v>2682</v>
      </c>
      <c r="HO2316" s="5" t="s">
        <v>312</v>
      </c>
    </row>
    <row r="2317" spans="1:223" x14ac:dyDescent="0.4">
      <c r="A2317" s="5">
        <v>4021</v>
      </c>
      <c r="B2317" s="5">
        <v>1</v>
      </c>
      <c r="C2317" s="5">
        <v>1</v>
      </c>
      <c r="D2317" s="5" t="s">
        <v>810</v>
      </c>
      <c r="E2317" s="5" t="s">
        <v>245</v>
      </c>
      <c r="F2317" s="5" t="s">
        <v>254</v>
      </c>
      <c r="G2317" s="5" t="s">
        <v>240</v>
      </c>
      <c r="H2317" s="6" t="s">
        <v>3179</v>
      </c>
      <c r="I2317" s="5" t="s">
        <v>809</v>
      </c>
      <c r="J2317" s="8">
        <f>253</f>
        <v>253</v>
      </c>
      <c r="K2317" s="5" t="s">
        <v>308</v>
      </c>
      <c r="L2317" s="7">
        <f>1</f>
        <v>1</v>
      </c>
      <c r="M2317" s="7">
        <f>1</f>
        <v>1</v>
      </c>
      <c r="N2317" s="5" t="s">
        <v>242</v>
      </c>
      <c r="O2317" s="5">
        <v>1</v>
      </c>
      <c r="P2317" s="5" t="s">
        <v>294</v>
      </c>
      <c r="Q2317" s="5" t="s">
        <v>266</v>
      </c>
      <c r="R2317" s="5" t="s">
        <v>240</v>
      </c>
      <c r="S2317" s="5" t="s">
        <v>240</v>
      </c>
      <c r="T2317" s="5" t="s">
        <v>296</v>
      </c>
      <c r="U2317" s="5" t="s">
        <v>244</v>
      </c>
      <c r="V2317" s="5" t="s">
        <v>240</v>
      </c>
      <c r="Y2317" s="5" t="s">
        <v>240</v>
      </c>
      <c r="Z2317" s="6" t="s">
        <v>298</v>
      </c>
      <c r="AB2317" s="6" t="s">
        <v>240</v>
      </c>
      <c r="AE2317" s="6" t="s">
        <v>299</v>
      </c>
      <c r="AF2317" s="5" t="s">
        <v>248</v>
      </c>
      <c r="AG2317" s="5" t="s">
        <v>249</v>
      </c>
      <c r="AW2317" s="5" t="s">
        <v>251</v>
      </c>
      <c r="AX2317" s="5" t="s">
        <v>240</v>
      </c>
      <c r="AY2317" s="5" t="s">
        <v>253</v>
      </c>
      <c r="AZ2317" s="5" t="s">
        <v>240</v>
      </c>
      <c r="BA2317" s="5" t="s">
        <v>255</v>
      </c>
      <c r="BB2317" s="5" t="s">
        <v>240</v>
      </c>
      <c r="BD2317" s="5" t="s">
        <v>240</v>
      </c>
      <c r="BF2317" s="5" t="s">
        <v>301</v>
      </c>
      <c r="BG2317" s="6" t="s">
        <v>299</v>
      </c>
      <c r="BH2317" s="5" t="s">
        <v>302</v>
      </c>
      <c r="BI2317" s="5" t="s">
        <v>303</v>
      </c>
      <c r="BJ2317" s="5" t="s">
        <v>240</v>
      </c>
      <c r="BK2317" s="8">
        <f>0</f>
        <v>0</v>
      </c>
      <c r="BL2317" s="7">
        <f>0</f>
        <v>0</v>
      </c>
      <c r="BM2317" s="5" t="s">
        <v>258</v>
      </c>
      <c r="BN2317" s="5" t="s">
        <v>259</v>
      </c>
      <c r="CB2317" s="5" t="s">
        <v>240</v>
      </c>
      <c r="CC2317" s="5" t="s">
        <v>240</v>
      </c>
      <c r="CG2317" s="5" t="s">
        <v>304</v>
      </c>
      <c r="CH2317" s="5" t="s">
        <v>305</v>
      </c>
      <c r="CI2317" s="5" t="s">
        <v>240</v>
      </c>
      <c r="CL2317" s="6" t="s">
        <v>261</v>
      </c>
      <c r="CM2317" s="5" t="s">
        <v>240</v>
      </c>
      <c r="CN2317" s="5" t="s">
        <v>263</v>
      </c>
      <c r="CO2317" s="5" t="s">
        <v>240</v>
      </c>
      <c r="CP2317" s="5" t="s">
        <v>240</v>
      </c>
      <c r="CQ2317" s="5">
        <v>0</v>
      </c>
      <c r="CR2317" s="5" t="s">
        <v>306</v>
      </c>
      <c r="CS2317" s="5" t="s">
        <v>307</v>
      </c>
      <c r="CT2317" s="5" t="s">
        <v>307</v>
      </c>
      <c r="CU2317" s="5" t="s">
        <v>260</v>
      </c>
      <c r="CX2317" s="7">
        <f>1</f>
        <v>1</v>
      </c>
      <c r="CY2317" s="7">
        <f>0</f>
        <v>0</v>
      </c>
      <c r="DA2317" s="7">
        <f>0</f>
        <v>0</v>
      </c>
      <c r="DC2317" s="5" t="s">
        <v>309</v>
      </c>
      <c r="DD2317" s="5" t="s">
        <v>240</v>
      </c>
      <c r="DF2317" s="5" t="s">
        <v>309</v>
      </c>
      <c r="DG2317" s="7">
        <f>1105</f>
        <v>1105</v>
      </c>
      <c r="DI2317" s="5" t="s">
        <v>240</v>
      </c>
      <c r="DJ2317" s="5" t="s">
        <v>240</v>
      </c>
      <c r="DK2317" s="5" t="s">
        <v>240</v>
      </c>
      <c r="DL2317" s="5" t="s">
        <v>240</v>
      </c>
      <c r="DP2317" s="5" t="s">
        <v>240</v>
      </c>
      <c r="DQ2317" s="5" t="s">
        <v>240</v>
      </c>
      <c r="DR2317" s="5" t="s">
        <v>240</v>
      </c>
      <c r="DS2317" s="5" t="s">
        <v>240</v>
      </c>
      <c r="DV2317" s="5" t="s">
        <v>310</v>
      </c>
      <c r="DW2317" s="5" t="s">
        <v>2684</v>
      </c>
      <c r="HO2317" s="5" t="s">
        <v>312</v>
      </c>
    </row>
    <row r="2318" spans="1:223" x14ac:dyDescent="0.4">
      <c r="A2318" s="5">
        <v>4022</v>
      </c>
      <c r="B2318" s="5">
        <v>1</v>
      </c>
      <c r="C2318" s="5">
        <v>1</v>
      </c>
      <c r="D2318" s="5" t="s">
        <v>810</v>
      </c>
      <c r="E2318" s="5" t="s">
        <v>245</v>
      </c>
      <c r="F2318" s="5" t="s">
        <v>254</v>
      </c>
      <c r="G2318" s="5" t="s">
        <v>240</v>
      </c>
      <c r="H2318" s="6" t="s">
        <v>3183</v>
      </c>
      <c r="I2318" s="5" t="s">
        <v>809</v>
      </c>
      <c r="J2318" s="8">
        <f>48</f>
        <v>48</v>
      </c>
      <c r="K2318" s="5" t="s">
        <v>308</v>
      </c>
      <c r="L2318" s="7">
        <f>1</f>
        <v>1</v>
      </c>
      <c r="M2318" s="7">
        <f>1</f>
        <v>1</v>
      </c>
      <c r="N2318" s="5" t="s">
        <v>242</v>
      </c>
      <c r="O2318" s="5">
        <v>1</v>
      </c>
      <c r="P2318" s="5" t="s">
        <v>294</v>
      </c>
      <c r="Q2318" s="5" t="s">
        <v>266</v>
      </c>
      <c r="R2318" s="5" t="s">
        <v>240</v>
      </c>
      <c r="S2318" s="5" t="s">
        <v>240</v>
      </c>
      <c r="T2318" s="5" t="s">
        <v>296</v>
      </c>
      <c r="U2318" s="5" t="s">
        <v>244</v>
      </c>
      <c r="V2318" s="5" t="s">
        <v>240</v>
      </c>
      <c r="Y2318" s="5" t="s">
        <v>240</v>
      </c>
      <c r="Z2318" s="6" t="s">
        <v>298</v>
      </c>
      <c r="AB2318" s="6" t="s">
        <v>240</v>
      </c>
      <c r="AE2318" s="6" t="s">
        <v>299</v>
      </c>
      <c r="AF2318" s="5" t="s">
        <v>248</v>
      </c>
      <c r="AG2318" s="5" t="s">
        <v>249</v>
      </c>
      <c r="AW2318" s="5" t="s">
        <v>251</v>
      </c>
      <c r="AX2318" s="5" t="s">
        <v>240</v>
      </c>
      <c r="AY2318" s="5" t="s">
        <v>253</v>
      </c>
      <c r="AZ2318" s="5" t="s">
        <v>240</v>
      </c>
      <c r="BA2318" s="5" t="s">
        <v>255</v>
      </c>
      <c r="BB2318" s="5" t="s">
        <v>240</v>
      </c>
      <c r="BD2318" s="5" t="s">
        <v>240</v>
      </c>
      <c r="BF2318" s="5" t="s">
        <v>301</v>
      </c>
      <c r="BG2318" s="6" t="s">
        <v>299</v>
      </c>
      <c r="BH2318" s="5" t="s">
        <v>302</v>
      </c>
      <c r="BI2318" s="5" t="s">
        <v>303</v>
      </c>
      <c r="BJ2318" s="5" t="s">
        <v>240</v>
      </c>
      <c r="BK2318" s="8">
        <f>0</f>
        <v>0</v>
      </c>
      <c r="BL2318" s="7">
        <f>0</f>
        <v>0</v>
      </c>
      <c r="BM2318" s="5" t="s">
        <v>258</v>
      </c>
      <c r="BN2318" s="5" t="s">
        <v>259</v>
      </c>
      <c r="CB2318" s="5" t="s">
        <v>240</v>
      </c>
      <c r="CC2318" s="5" t="s">
        <v>240</v>
      </c>
      <c r="CG2318" s="5" t="s">
        <v>304</v>
      </c>
      <c r="CH2318" s="5" t="s">
        <v>305</v>
      </c>
      <c r="CI2318" s="5" t="s">
        <v>240</v>
      </c>
      <c r="CL2318" s="6" t="s">
        <v>261</v>
      </c>
      <c r="CM2318" s="5" t="s">
        <v>240</v>
      </c>
      <c r="CN2318" s="5" t="s">
        <v>263</v>
      </c>
      <c r="CO2318" s="5" t="s">
        <v>240</v>
      </c>
      <c r="CP2318" s="5" t="s">
        <v>240</v>
      </c>
      <c r="CQ2318" s="5">
        <v>0</v>
      </c>
      <c r="CR2318" s="5" t="s">
        <v>306</v>
      </c>
      <c r="CS2318" s="5" t="s">
        <v>307</v>
      </c>
      <c r="CT2318" s="5" t="s">
        <v>307</v>
      </c>
      <c r="CU2318" s="5" t="s">
        <v>260</v>
      </c>
      <c r="CX2318" s="7">
        <f>1</f>
        <v>1</v>
      </c>
      <c r="CY2318" s="7">
        <f>0</f>
        <v>0</v>
      </c>
      <c r="DA2318" s="7">
        <f>0</f>
        <v>0</v>
      </c>
      <c r="DC2318" s="5" t="s">
        <v>309</v>
      </c>
      <c r="DD2318" s="5" t="s">
        <v>240</v>
      </c>
      <c r="DF2318" s="5" t="s">
        <v>309</v>
      </c>
      <c r="DG2318" s="7">
        <f>1694</f>
        <v>1694</v>
      </c>
      <c r="DI2318" s="5" t="s">
        <v>240</v>
      </c>
      <c r="DJ2318" s="5" t="s">
        <v>240</v>
      </c>
      <c r="DK2318" s="5" t="s">
        <v>240</v>
      </c>
      <c r="DL2318" s="5" t="s">
        <v>240</v>
      </c>
      <c r="DP2318" s="5" t="s">
        <v>240</v>
      </c>
      <c r="DQ2318" s="5" t="s">
        <v>240</v>
      </c>
      <c r="DR2318" s="5" t="s">
        <v>240</v>
      </c>
      <c r="DS2318" s="5" t="s">
        <v>240</v>
      </c>
      <c r="DV2318" s="5" t="s">
        <v>310</v>
      </c>
      <c r="DW2318" s="5" t="s">
        <v>2686</v>
      </c>
      <c r="HO2318" s="5" t="s">
        <v>312</v>
      </c>
    </row>
    <row r="2319" spans="1:223" x14ac:dyDescent="0.4">
      <c r="A2319" s="5">
        <v>4023</v>
      </c>
      <c r="B2319" s="5">
        <v>1</v>
      </c>
      <c r="C2319" s="5">
        <v>1</v>
      </c>
      <c r="D2319" s="5" t="s">
        <v>810</v>
      </c>
      <c r="E2319" s="5" t="s">
        <v>245</v>
      </c>
      <c r="F2319" s="5" t="s">
        <v>254</v>
      </c>
      <c r="G2319" s="5" t="s">
        <v>240</v>
      </c>
      <c r="H2319" s="6" t="s">
        <v>3198</v>
      </c>
      <c r="I2319" s="5" t="s">
        <v>809</v>
      </c>
      <c r="J2319" s="8">
        <f>553</f>
        <v>553</v>
      </c>
      <c r="K2319" s="5" t="s">
        <v>308</v>
      </c>
      <c r="L2319" s="7">
        <f>1</f>
        <v>1</v>
      </c>
      <c r="M2319" s="7">
        <f>1</f>
        <v>1</v>
      </c>
      <c r="N2319" s="5" t="s">
        <v>242</v>
      </c>
      <c r="O2319" s="5">
        <v>1</v>
      </c>
      <c r="P2319" s="5" t="s">
        <v>294</v>
      </c>
      <c r="Q2319" s="5" t="s">
        <v>266</v>
      </c>
      <c r="R2319" s="5" t="s">
        <v>240</v>
      </c>
      <c r="S2319" s="5" t="s">
        <v>240</v>
      </c>
      <c r="T2319" s="5" t="s">
        <v>296</v>
      </c>
      <c r="U2319" s="5" t="s">
        <v>244</v>
      </c>
      <c r="V2319" s="5" t="s">
        <v>240</v>
      </c>
      <c r="Y2319" s="5" t="s">
        <v>240</v>
      </c>
      <c r="Z2319" s="6" t="s">
        <v>298</v>
      </c>
      <c r="AB2319" s="6" t="s">
        <v>240</v>
      </c>
      <c r="AE2319" s="6" t="s">
        <v>299</v>
      </c>
      <c r="AF2319" s="5" t="s">
        <v>248</v>
      </c>
      <c r="AG2319" s="5" t="s">
        <v>249</v>
      </c>
      <c r="AW2319" s="5" t="s">
        <v>251</v>
      </c>
      <c r="AX2319" s="5" t="s">
        <v>240</v>
      </c>
      <c r="AY2319" s="5" t="s">
        <v>253</v>
      </c>
      <c r="AZ2319" s="5" t="s">
        <v>240</v>
      </c>
      <c r="BA2319" s="5" t="s">
        <v>255</v>
      </c>
      <c r="BB2319" s="5" t="s">
        <v>240</v>
      </c>
      <c r="BD2319" s="5" t="s">
        <v>240</v>
      </c>
      <c r="BF2319" s="5" t="s">
        <v>301</v>
      </c>
      <c r="BG2319" s="6" t="s">
        <v>299</v>
      </c>
      <c r="BH2319" s="5" t="s">
        <v>302</v>
      </c>
      <c r="BI2319" s="5" t="s">
        <v>303</v>
      </c>
      <c r="BJ2319" s="5" t="s">
        <v>240</v>
      </c>
      <c r="BK2319" s="8">
        <f>0</f>
        <v>0</v>
      </c>
      <c r="BL2319" s="7">
        <f>0</f>
        <v>0</v>
      </c>
      <c r="BM2319" s="5" t="s">
        <v>258</v>
      </c>
      <c r="BN2319" s="5" t="s">
        <v>259</v>
      </c>
      <c r="CB2319" s="5" t="s">
        <v>240</v>
      </c>
      <c r="CC2319" s="5" t="s">
        <v>240</v>
      </c>
      <c r="CG2319" s="5" t="s">
        <v>304</v>
      </c>
      <c r="CH2319" s="5" t="s">
        <v>305</v>
      </c>
      <c r="CI2319" s="5" t="s">
        <v>240</v>
      </c>
      <c r="CL2319" s="6" t="s">
        <v>261</v>
      </c>
      <c r="CM2319" s="5" t="s">
        <v>240</v>
      </c>
      <c r="CN2319" s="5" t="s">
        <v>263</v>
      </c>
      <c r="CO2319" s="5" t="s">
        <v>240</v>
      </c>
      <c r="CP2319" s="5" t="s">
        <v>240</v>
      </c>
      <c r="CQ2319" s="5">
        <v>0</v>
      </c>
      <c r="CR2319" s="5" t="s">
        <v>306</v>
      </c>
      <c r="CS2319" s="5" t="s">
        <v>307</v>
      </c>
      <c r="CT2319" s="5" t="s">
        <v>307</v>
      </c>
      <c r="CU2319" s="5" t="s">
        <v>260</v>
      </c>
      <c r="CX2319" s="7">
        <f>1</f>
        <v>1</v>
      </c>
      <c r="CY2319" s="7">
        <f>0</f>
        <v>0</v>
      </c>
      <c r="DA2319" s="7">
        <f>0</f>
        <v>0</v>
      </c>
      <c r="DC2319" s="5" t="s">
        <v>309</v>
      </c>
      <c r="DD2319" s="5" t="s">
        <v>240</v>
      </c>
      <c r="DF2319" s="5" t="s">
        <v>309</v>
      </c>
      <c r="DG2319" s="7">
        <f>1004</f>
        <v>1004</v>
      </c>
      <c r="DI2319" s="5" t="s">
        <v>240</v>
      </c>
      <c r="DJ2319" s="5" t="s">
        <v>240</v>
      </c>
      <c r="DK2319" s="5" t="s">
        <v>240</v>
      </c>
      <c r="DL2319" s="5" t="s">
        <v>240</v>
      </c>
      <c r="DP2319" s="5" t="s">
        <v>240</v>
      </c>
      <c r="DQ2319" s="5" t="s">
        <v>240</v>
      </c>
      <c r="DR2319" s="5" t="s">
        <v>240</v>
      </c>
      <c r="DS2319" s="5" t="s">
        <v>240</v>
      </c>
      <c r="DV2319" s="5" t="s">
        <v>310</v>
      </c>
      <c r="DW2319" s="5" t="s">
        <v>2688</v>
      </c>
      <c r="HO2319" s="5" t="s">
        <v>312</v>
      </c>
    </row>
    <row r="2320" spans="1:223" x14ac:dyDescent="0.4">
      <c r="A2320" s="5">
        <v>4024</v>
      </c>
      <c r="B2320" s="5">
        <v>1</v>
      </c>
      <c r="C2320" s="5">
        <v>1</v>
      </c>
      <c r="D2320" s="5" t="s">
        <v>810</v>
      </c>
      <c r="E2320" s="5" t="s">
        <v>245</v>
      </c>
      <c r="F2320" s="5" t="s">
        <v>254</v>
      </c>
      <c r="G2320" s="5" t="s">
        <v>240</v>
      </c>
      <c r="H2320" s="6" t="s">
        <v>3206</v>
      </c>
      <c r="I2320" s="5" t="s">
        <v>809</v>
      </c>
      <c r="J2320" s="8">
        <f>2119</f>
        <v>2119</v>
      </c>
      <c r="K2320" s="5" t="s">
        <v>308</v>
      </c>
      <c r="L2320" s="7">
        <f>1</f>
        <v>1</v>
      </c>
      <c r="M2320" s="7">
        <f>1</f>
        <v>1</v>
      </c>
      <c r="N2320" s="5" t="s">
        <v>242</v>
      </c>
      <c r="O2320" s="5">
        <v>1</v>
      </c>
      <c r="P2320" s="5" t="s">
        <v>294</v>
      </c>
      <c r="Q2320" s="5" t="s">
        <v>266</v>
      </c>
      <c r="R2320" s="5" t="s">
        <v>240</v>
      </c>
      <c r="S2320" s="5" t="s">
        <v>240</v>
      </c>
      <c r="T2320" s="5" t="s">
        <v>296</v>
      </c>
      <c r="U2320" s="5" t="s">
        <v>244</v>
      </c>
      <c r="V2320" s="5" t="s">
        <v>240</v>
      </c>
      <c r="Y2320" s="5" t="s">
        <v>240</v>
      </c>
      <c r="Z2320" s="6" t="s">
        <v>298</v>
      </c>
      <c r="AB2320" s="6" t="s">
        <v>240</v>
      </c>
      <c r="AE2320" s="6" t="s">
        <v>299</v>
      </c>
      <c r="AF2320" s="5" t="s">
        <v>248</v>
      </c>
      <c r="AG2320" s="5" t="s">
        <v>249</v>
      </c>
      <c r="AW2320" s="5" t="s">
        <v>251</v>
      </c>
      <c r="AX2320" s="5" t="s">
        <v>240</v>
      </c>
      <c r="AY2320" s="5" t="s">
        <v>253</v>
      </c>
      <c r="AZ2320" s="5" t="s">
        <v>240</v>
      </c>
      <c r="BA2320" s="5" t="s">
        <v>255</v>
      </c>
      <c r="BB2320" s="5" t="s">
        <v>240</v>
      </c>
      <c r="BD2320" s="5" t="s">
        <v>240</v>
      </c>
      <c r="BF2320" s="5" t="s">
        <v>301</v>
      </c>
      <c r="BG2320" s="6" t="s">
        <v>299</v>
      </c>
      <c r="BH2320" s="5" t="s">
        <v>302</v>
      </c>
      <c r="BI2320" s="5" t="s">
        <v>303</v>
      </c>
      <c r="BJ2320" s="5" t="s">
        <v>240</v>
      </c>
      <c r="BK2320" s="8">
        <f>0</f>
        <v>0</v>
      </c>
      <c r="BL2320" s="7">
        <f>0</f>
        <v>0</v>
      </c>
      <c r="BM2320" s="5" t="s">
        <v>258</v>
      </c>
      <c r="BN2320" s="5" t="s">
        <v>259</v>
      </c>
      <c r="CB2320" s="5" t="s">
        <v>240</v>
      </c>
      <c r="CC2320" s="5" t="s">
        <v>240</v>
      </c>
      <c r="CG2320" s="5" t="s">
        <v>304</v>
      </c>
      <c r="CH2320" s="5" t="s">
        <v>305</v>
      </c>
      <c r="CI2320" s="5" t="s">
        <v>240</v>
      </c>
      <c r="CL2320" s="6" t="s">
        <v>261</v>
      </c>
      <c r="CM2320" s="5" t="s">
        <v>240</v>
      </c>
      <c r="CN2320" s="5" t="s">
        <v>263</v>
      </c>
      <c r="CO2320" s="5" t="s">
        <v>240</v>
      </c>
      <c r="CP2320" s="5" t="s">
        <v>240</v>
      </c>
      <c r="CQ2320" s="5">
        <v>0</v>
      </c>
      <c r="CR2320" s="5" t="s">
        <v>306</v>
      </c>
      <c r="CS2320" s="5" t="s">
        <v>307</v>
      </c>
      <c r="CT2320" s="5" t="s">
        <v>307</v>
      </c>
      <c r="CU2320" s="5" t="s">
        <v>260</v>
      </c>
      <c r="CX2320" s="7">
        <f>1</f>
        <v>1</v>
      </c>
      <c r="CY2320" s="7">
        <f>0</f>
        <v>0</v>
      </c>
      <c r="DA2320" s="7">
        <f>0</f>
        <v>0</v>
      </c>
      <c r="DC2320" s="5" t="s">
        <v>309</v>
      </c>
      <c r="DD2320" s="5" t="s">
        <v>240</v>
      </c>
      <c r="DF2320" s="5" t="s">
        <v>309</v>
      </c>
      <c r="DG2320" s="7">
        <f>3602</f>
        <v>3602</v>
      </c>
      <c r="DI2320" s="5" t="s">
        <v>240</v>
      </c>
      <c r="DJ2320" s="5" t="s">
        <v>240</v>
      </c>
      <c r="DK2320" s="5" t="s">
        <v>240</v>
      </c>
      <c r="DL2320" s="5" t="s">
        <v>240</v>
      </c>
      <c r="DP2320" s="5" t="s">
        <v>240</v>
      </c>
      <c r="DQ2320" s="5" t="s">
        <v>240</v>
      </c>
      <c r="DR2320" s="5" t="s">
        <v>240</v>
      </c>
      <c r="DS2320" s="5" t="s">
        <v>240</v>
      </c>
      <c r="DV2320" s="5" t="s">
        <v>310</v>
      </c>
      <c r="DW2320" s="5" t="s">
        <v>2690</v>
      </c>
      <c r="HO2320" s="5" t="s">
        <v>312</v>
      </c>
    </row>
    <row r="2321" spans="1:223" x14ac:dyDescent="0.4">
      <c r="A2321" s="5">
        <v>4025</v>
      </c>
      <c r="B2321" s="5">
        <v>1</v>
      </c>
      <c r="C2321" s="5">
        <v>1</v>
      </c>
      <c r="D2321" s="5" t="s">
        <v>810</v>
      </c>
      <c r="E2321" s="5" t="s">
        <v>245</v>
      </c>
      <c r="F2321" s="5" t="s">
        <v>254</v>
      </c>
      <c r="G2321" s="5" t="s">
        <v>240</v>
      </c>
      <c r="H2321" s="6" t="s">
        <v>3240</v>
      </c>
      <c r="I2321" s="5" t="s">
        <v>809</v>
      </c>
      <c r="J2321" s="8">
        <f>1400</f>
        <v>1400</v>
      </c>
      <c r="K2321" s="5" t="s">
        <v>308</v>
      </c>
      <c r="L2321" s="7">
        <f>1</f>
        <v>1</v>
      </c>
      <c r="M2321" s="7">
        <f>1</f>
        <v>1</v>
      </c>
      <c r="N2321" s="5" t="s">
        <v>242</v>
      </c>
      <c r="O2321" s="5">
        <v>1</v>
      </c>
      <c r="P2321" s="5" t="s">
        <v>294</v>
      </c>
      <c r="Q2321" s="5" t="s">
        <v>266</v>
      </c>
      <c r="R2321" s="5" t="s">
        <v>240</v>
      </c>
      <c r="S2321" s="5" t="s">
        <v>240</v>
      </c>
      <c r="T2321" s="5" t="s">
        <v>296</v>
      </c>
      <c r="U2321" s="5" t="s">
        <v>244</v>
      </c>
      <c r="V2321" s="5" t="s">
        <v>240</v>
      </c>
      <c r="Y2321" s="5" t="s">
        <v>240</v>
      </c>
      <c r="Z2321" s="6" t="s">
        <v>298</v>
      </c>
      <c r="AB2321" s="6" t="s">
        <v>240</v>
      </c>
      <c r="AE2321" s="6" t="s">
        <v>299</v>
      </c>
      <c r="AF2321" s="5" t="s">
        <v>248</v>
      </c>
      <c r="AG2321" s="5" t="s">
        <v>249</v>
      </c>
      <c r="AW2321" s="5" t="s">
        <v>251</v>
      </c>
      <c r="AX2321" s="5" t="s">
        <v>240</v>
      </c>
      <c r="AY2321" s="5" t="s">
        <v>253</v>
      </c>
      <c r="AZ2321" s="5" t="s">
        <v>240</v>
      </c>
      <c r="BA2321" s="5" t="s">
        <v>255</v>
      </c>
      <c r="BB2321" s="5" t="s">
        <v>240</v>
      </c>
      <c r="BD2321" s="5" t="s">
        <v>240</v>
      </c>
      <c r="BF2321" s="5" t="s">
        <v>301</v>
      </c>
      <c r="BG2321" s="6" t="s">
        <v>299</v>
      </c>
      <c r="BH2321" s="5" t="s">
        <v>302</v>
      </c>
      <c r="BI2321" s="5" t="s">
        <v>303</v>
      </c>
      <c r="BJ2321" s="5" t="s">
        <v>240</v>
      </c>
      <c r="BK2321" s="8">
        <f>0</f>
        <v>0</v>
      </c>
      <c r="BL2321" s="7">
        <f>0</f>
        <v>0</v>
      </c>
      <c r="BM2321" s="5" t="s">
        <v>258</v>
      </c>
      <c r="BN2321" s="5" t="s">
        <v>259</v>
      </c>
      <c r="CB2321" s="5" t="s">
        <v>240</v>
      </c>
      <c r="CC2321" s="5" t="s">
        <v>240</v>
      </c>
      <c r="CG2321" s="5" t="s">
        <v>304</v>
      </c>
      <c r="CH2321" s="5" t="s">
        <v>305</v>
      </c>
      <c r="CI2321" s="5" t="s">
        <v>240</v>
      </c>
      <c r="CL2321" s="6" t="s">
        <v>261</v>
      </c>
      <c r="CM2321" s="5" t="s">
        <v>240</v>
      </c>
      <c r="CN2321" s="5" t="s">
        <v>263</v>
      </c>
      <c r="CO2321" s="5" t="s">
        <v>240</v>
      </c>
      <c r="CP2321" s="5" t="s">
        <v>240</v>
      </c>
      <c r="CQ2321" s="5">
        <v>0</v>
      </c>
      <c r="CR2321" s="5" t="s">
        <v>306</v>
      </c>
      <c r="CS2321" s="5" t="s">
        <v>307</v>
      </c>
      <c r="CT2321" s="5" t="s">
        <v>307</v>
      </c>
      <c r="CU2321" s="5" t="s">
        <v>260</v>
      </c>
      <c r="CX2321" s="7">
        <f>1</f>
        <v>1</v>
      </c>
      <c r="CY2321" s="7">
        <f>0</f>
        <v>0</v>
      </c>
      <c r="DA2321" s="7">
        <f>0</f>
        <v>0</v>
      </c>
      <c r="DC2321" s="5" t="s">
        <v>309</v>
      </c>
      <c r="DD2321" s="5" t="s">
        <v>240</v>
      </c>
      <c r="DF2321" s="5" t="s">
        <v>309</v>
      </c>
      <c r="DG2321" s="7">
        <f>551</f>
        <v>551</v>
      </c>
      <c r="DI2321" s="5" t="s">
        <v>240</v>
      </c>
      <c r="DJ2321" s="5" t="s">
        <v>240</v>
      </c>
      <c r="DK2321" s="5" t="s">
        <v>240</v>
      </c>
      <c r="DL2321" s="5" t="s">
        <v>240</v>
      </c>
      <c r="DP2321" s="5" t="s">
        <v>240</v>
      </c>
      <c r="DQ2321" s="5" t="s">
        <v>240</v>
      </c>
      <c r="DR2321" s="5" t="s">
        <v>240</v>
      </c>
      <c r="DS2321" s="5" t="s">
        <v>240</v>
      </c>
      <c r="DV2321" s="5" t="s">
        <v>310</v>
      </c>
      <c r="DW2321" s="5" t="s">
        <v>2692</v>
      </c>
      <c r="HO2321" s="5" t="s">
        <v>312</v>
      </c>
    </row>
    <row r="2322" spans="1:223" x14ac:dyDescent="0.4">
      <c r="A2322" s="5">
        <v>4026</v>
      </c>
      <c r="B2322" s="5">
        <v>1</v>
      </c>
      <c r="C2322" s="5">
        <v>1</v>
      </c>
      <c r="D2322" s="5" t="s">
        <v>810</v>
      </c>
      <c r="E2322" s="5" t="s">
        <v>245</v>
      </c>
      <c r="F2322" s="5" t="s">
        <v>254</v>
      </c>
      <c r="G2322" s="5" t="s">
        <v>240</v>
      </c>
      <c r="H2322" s="6" t="s">
        <v>3248</v>
      </c>
      <c r="I2322" s="5" t="s">
        <v>809</v>
      </c>
      <c r="J2322" s="8">
        <f>626</f>
        <v>626</v>
      </c>
      <c r="K2322" s="5" t="s">
        <v>308</v>
      </c>
      <c r="L2322" s="7">
        <f>1</f>
        <v>1</v>
      </c>
      <c r="M2322" s="7">
        <f>1</f>
        <v>1</v>
      </c>
      <c r="N2322" s="5" t="s">
        <v>242</v>
      </c>
      <c r="O2322" s="5">
        <v>1</v>
      </c>
      <c r="P2322" s="5" t="s">
        <v>294</v>
      </c>
      <c r="Q2322" s="5" t="s">
        <v>613</v>
      </c>
      <c r="R2322" s="5" t="s">
        <v>240</v>
      </c>
      <c r="S2322" s="5" t="s">
        <v>240</v>
      </c>
      <c r="T2322" s="5" t="s">
        <v>243</v>
      </c>
      <c r="U2322" s="5" t="s">
        <v>244</v>
      </c>
      <c r="V2322" s="5" t="s">
        <v>240</v>
      </c>
      <c r="Y2322" s="5" t="s">
        <v>240</v>
      </c>
      <c r="Z2322" s="6" t="s">
        <v>298</v>
      </c>
      <c r="AB2322" s="6" t="s">
        <v>240</v>
      </c>
      <c r="AE2322" s="6" t="s">
        <v>299</v>
      </c>
      <c r="AF2322" s="5" t="s">
        <v>248</v>
      </c>
      <c r="AG2322" s="5" t="s">
        <v>249</v>
      </c>
      <c r="AW2322" s="5" t="s">
        <v>251</v>
      </c>
      <c r="AX2322" s="5" t="s">
        <v>240</v>
      </c>
      <c r="AY2322" s="5" t="s">
        <v>253</v>
      </c>
      <c r="AZ2322" s="5" t="s">
        <v>240</v>
      </c>
      <c r="BA2322" s="5" t="s">
        <v>255</v>
      </c>
      <c r="BB2322" s="5" t="s">
        <v>240</v>
      </c>
      <c r="BD2322" s="5" t="s">
        <v>240</v>
      </c>
      <c r="BF2322" s="5" t="s">
        <v>301</v>
      </c>
      <c r="BG2322" s="6" t="s">
        <v>299</v>
      </c>
      <c r="BH2322" s="5" t="s">
        <v>302</v>
      </c>
      <c r="BI2322" s="5" t="s">
        <v>303</v>
      </c>
      <c r="BJ2322" s="5" t="s">
        <v>240</v>
      </c>
      <c r="BK2322" s="8">
        <f>0</f>
        <v>0</v>
      </c>
      <c r="BL2322" s="7">
        <f>0</f>
        <v>0</v>
      </c>
      <c r="BM2322" s="5" t="s">
        <v>258</v>
      </c>
      <c r="BN2322" s="5" t="s">
        <v>259</v>
      </c>
      <c r="CB2322" s="5" t="s">
        <v>240</v>
      </c>
      <c r="CC2322" s="5" t="s">
        <v>240</v>
      </c>
      <c r="CG2322" s="5" t="s">
        <v>617</v>
      </c>
      <c r="CH2322" s="5" t="s">
        <v>305</v>
      </c>
      <c r="CI2322" s="5" t="s">
        <v>240</v>
      </c>
      <c r="CL2322" s="6" t="s">
        <v>261</v>
      </c>
      <c r="CM2322" s="5" t="s">
        <v>240</v>
      </c>
      <c r="CN2322" s="5" t="s">
        <v>263</v>
      </c>
      <c r="CO2322" s="5" t="s">
        <v>240</v>
      </c>
      <c r="CP2322" s="5" t="s">
        <v>240</v>
      </c>
      <c r="CQ2322" s="5">
        <v>0</v>
      </c>
      <c r="CR2322" s="5" t="s">
        <v>306</v>
      </c>
      <c r="CS2322" s="5" t="s">
        <v>307</v>
      </c>
      <c r="CT2322" s="5" t="s">
        <v>307</v>
      </c>
      <c r="CU2322" s="5" t="s">
        <v>260</v>
      </c>
      <c r="CX2322" s="7">
        <f>17033</f>
        <v>17033</v>
      </c>
      <c r="CY2322" s="7">
        <f>0</f>
        <v>0</v>
      </c>
      <c r="DA2322" s="7">
        <f>0</f>
        <v>0</v>
      </c>
      <c r="DC2322" s="5" t="s">
        <v>689</v>
      </c>
      <c r="DD2322" s="5" t="s">
        <v>240</v>
      </c>
      <c r="DF2322" s="5" t="s">
        <v>450</v>
      </c>
      <c r="DG2322" s="7">
        <f>0</f>
        <v>0</v>
      </c>
      <c r="DI2322" s="5" t="s">
        <v>618</v>
      </c>
      <c r="DJ2322" s="5" t="s">
        <v>240</v>
      </c>
      <c r="DK2322" s="5" t="s">
        <v>240</v>
      </c>
      <c r="DL2322" s="5" t="s">
        <v>240</v>
      </c>
      <c r="DP2322" s="5" t="s">
        <v>240</v>
      </c>
      <c r="DQ2322" s="5" t="s">
        <v>240</v>
      </c>
      <c r="DR2322" s="5" t="s">
        <v>240</v>
      </c>
      <c r="DS2322" s="5" t="s">
        <v>240</v>
      </c>
      <c r="DV2322" s="5" t="s">
        <v>1466</v>
      </c>
      <c r="DW2322" s="5" t="s">
        <v>958</v>
      </c>
      <c r="HO2322" s="5" t="s">
        <v>312</v>
      </c>
    </row>
    <row r="2323" spans="1:223" x14ac:dyDescent="0.4">
      <c r="A2323" s="5">
        <v>4027</v>
      </c>
      <c r="B2323" s="5">
        <v>1</v>
      </c>
      <c r="C2323" s="5">
        <v>1</v>
      </c>
      <c r="D2323" s="5" t="s">
        <v>810</v>
      </c>
      <c r="E2323" s="5" t="s">
        <v>245</v>
      </c>
      <c r="F2323" s="5" t="s">
        <v>254</v>
      </c>
      <c r="G2323" s="5" t="s">
        <v>240</v>
      </c>
      <c r="H2323" s="6" t="s">
        <v>3279</v>
      </c>
      <c r="I2323" s="5" t="s">
        <v>809</v>
      </c>
      <c r="J2323" s="8">
        <f>1091</f>
        <v>1091</v>
      </c>
      <c r="K2323" s="5" t="s">
        <v>308</v>
      </c>
      <c r="L2323" s="7">
        <f>1</f>
        <v>1</v>
      </c>
      <c r="M2323" s="7">
        <f>1</f>
        <v>1</v>
      </c>
      <c r="N2323" s="5" t="s">
        <v>242</v>
      </c>
      <c r="O2323" s="5">
        <v>1</v>
      </c>
      <c r="P2323" s="5" t="s">
        <v>294</v>
      </c>
      <c r="Q2323" s="5" t="s">
        <v>266</v>
      </c>
      <c r="R2323" s="5" t="s">
        <v>240</v>
      </c>
      <c r="S2323" s="5" t="s">
        <v>240</v>
      </c>
      <c r="T2323" s="5" t="s">
        <v>296</v>
      </c>
      <c r="U2323" s="5" t="s">
        <v>244</v>
      </c>
      <c r="V2323" s="5" t="s">
        <v>240</v>
      </c>
      <c r="Y2323" s="5" t="s">
        <v>240</v>
      </c>
      <c r="Z2323" s="6" t="s">
        <v>298</v>
      </c>
      <c r="AB2323" s="6" t="s">
        <v>240</v>
      </c>
      <c r="AE2323" s="6" t="s">
        <v>299</v>
      </c>
      <c r="AF2323" s="5" t="s">
        <v>248</v>
      </c>
      <c r="AG2323" s="5" t="s">
        <v>249</v>
      </c>
      <c r="AW2323" s="5" t="s">
        <v>251</v>
      </c>
      <c r="AX2323" s="5" t="s">
        <v>240</v>
      </c>
      <c r="AY2323" s="5" t="s">
        <v>253</v>
      </c>
      <c r="AZ2323" s="5" t="s">
        <v>240</v>
      </c>
      <c r="BA2323" s="5" t="s">
        <v>255</v>
      </c>
      <c r="BB2323" s="5" t="s">
        <v>240</v>
      </c>
      <c r="BD2323" s="5" t="s">
        <v>240</v>
      </c>
      <c r="BF2323" s="5" t="s">
        <v>301</v>
      </c>
      <c r="BG2323" s="6" t="s">
        <v>299</v>
      </c>
      <c r="BH2323" s="5" t="s">
        <v>302</v>
      </c>
      <c r="BI2323" s="5" t="s">
        <v>303</v>
      </c>
      <c r="BJ2323" s="5" t="s">
        <v>240</v>
      </c>
      <c r="BK2323" s="8">
        <f>0</f>
        <v>0</v>
      </c>
      <c r="BL2323" s="7">
        <f>0</f>
        <v>0</v>
      </c>
      <c r="BM2323" s="5" t="s">
        <v>258</v>
      </c>
      <c r="BN2323" s="5" t="s">
        <v>259</v>
      </c>
      <c r="CB2323" s="5" t="s">
        <v>240</v>
      </c>
      <c r="CC2323" s="5" t="s">
        <v>240</v>
      </c>
      <c r="CG2323" s="5" t="s">
        <v>304</v>
      </c>
      <c r="CH2323" s="5" t="s">
        <v>305</v>
      </c>
      <c r="CI2323" s="5" t="s">
        <v>240</v>
      </c>
      <c r="CL2323" s="6" t="s">
        <v>261</v>
      </c>
      <c r="CM2323" s="5" t="s">
        <v>240</v>
      </c>
      <c r="CN2323" s="5" t="s">
        <v>263</v>
      </c>
      <c r="CO2323" s="5" t="s">
        <v>240</v>
      </c>
      <c r="CP2323" s="5" t="s">
        <v>240</v>
      </c>
      <c r="CQ2323" s="5">
        <v>0</v>
      </c>
      <c r="CR2323" s="5" t="s">
        <v>306</v>
      </c>
      <c r="CS2323" s="5" t="s">
        <v>307</v>
      </c>
      <c r="CT2323" s="5" t="s">
        <v>307</v>
      </c>
      <c r="CU2323" s="5" t="s">
        <v>260</v>
      </c>
      <c r="CX2323" s="7">
        <f>1</f>
        <v>1</v>
      </c>
      <c r="CY2323" s="7">
        <f>0</f>
        <v>0</v>
      </c>
      <c r="DA2323" s="7">
        <f>0</f>
        <v>0</v>
      </c>
      <c r="DC2323" s="5" t="s">
        <v>309</v>
      </c>
      <c r="DD2323" s="5" t="s">
        <v>240</v>
      </c>
      <c r="DF2323" s="5" t="s">
        <v>309</v>
      </c>
      <c r="DG2323" s="7">
        <f>906</f>
        <v>906</v>
      </c>
      <c r="DI2323" s="5" t="s">
        <v>240</v>
      </c>
      <c r="DJ2323" s="5" t="s">
        <v>240</v>
      </c>
      <c r="DK2323" s="5" t="s">
        <v>240</v>
      </c>
      <c r="DL2323" s="5" t="s">
        <v>240</v>
      </c>
      <c r="DP2323" s="5" t="s">
        <v>240</v>
      </c>
      <c r="DQ2323" s="5" t="s">
        <v>240</v>
      </c>
      <c r="DR2323" s="5" t="s">
        <v>240</v>
      </c>
      <c r="DS2323" s="5" t="s">
        <v>240</v>
      </c>
      <c r="DV2323" s="5" t="s">
        <v>310</v>
      </c>
      <c r="DW2323" s="5" t="s">
        <v>2696</v>
      </c>
      <c r="HO2323" s="5" t="s">
        <v>312</v>
      </c>
    </row>
    <row r="2324" spans="1:223" x14ac:dyDescent="0.4">
      <c r="A2324" s="5">
        <v>4028</v>
      </c>
      <c r="B2324" s="5">
        <v>1</v>
      </c>
      <c r="C2324" s="5">
        <v>1</v>
      </c>
      <c r="D2324" s="5" t="s">
        <v>810</v>
      </c>
      <c r="E2324" s="5" t="s">
        <v>245</v>
      </c>
      <c r="F2324" s="5" t="s">
        <v>254</v>
      </c>
      <c r="G2324" s="5" t="s">
        <v>240</v>
      </c>
      <c r="H2324" s="6" t="s">
        <v>3287</v>
      </c>
      <c r="I2324" s="5" t="s">
        <v>809</v>
      </c>
      <c r="J2324" s="8">
        <f>174</f>
        <v>174</v>
      </c>
      <c r="K2324" s="5" t="s">
        <v>308</v>
      </c>
      <c r="L2324" s="7">
        <f>1</f>
        <v>1</v>
      </c>
      <c r="M2324" s="7">
        <f>1</f>
        <v>1</v>
      </c>
      <c r="N2324" s="5" t="s">
        <v>242</v>
      </c>
      <c r="O2324" s="5">
        <v>1</v>
      </c>
      <c r="P2324" s="5" t="s">
        <v>294</v>
      </c>
      <c r="Q2324" s="5" t="s">
        <v>266</v>
      </c>
      <c r="R2324" s="5" t="s">
        <v>240</v>
      </c>
      <c r="S2324" s="5" t="s">
        <v>240</v>
      </c>
      <c r="T2324" s="5" t="s">
        <v>296</v>
      </c>
      <c r="U2324" s="5" t="s">
        <v>244</v>
      </c>
      <c r="V2324" s="5" t="s">
        <v>240</v>
      </c>
      <c r="Y2324" s="5" t="s">
        <v>240</v>
      </c>
      <c r="Z2324" s="6" t="s">
        <v>298</v>
      </c>
      <c r="AB2324" s="6" t="s">
        <v>240</v>
      </c>
      <c r="AE2324" s="6" t="s">
        <v>299</v>
      </c>
      <c r="AF2324" s="5" t="s">
        <v>248</v>
      </c>
      <c r="AG2324" s="5" t="s">
        <v>249</v>
      </c>
      <c r="AW2324" s="5" t="s">
        <v>251</v>
      </c>
      <c r="AX2324" s="5" t="s">
        <v>240</v>
      </c>
      <c r="AY2324" s="5" t="s">
        <v>253</v>
      </c>
      <c r="AZ2324" s="5" t="s">
        <v>240</v>
      </c>
      <c r="BA2324" s="5" t="s">
        <v>255</v>
      </c>
      <c r="BB2324" s="5" t="s">
        <v>240</v>
      </c>
      <c r="BD2324" s="5" t="s">
        <v>240</v>
      </c>
      <c r="BF2324" s="5" t="s">
        <v>301</v>
      </c>
      <c r="BG2324" s="6" t="s">
        <v>299</v>
      </c>
      <c r="BH2324" s="5" t="s">
        <v>302</v>
      </c>
      <c r="BI2324" s="5" t="s">
        <v>303</v>
      </c>
      <c r="BJ2324" s="5" t="s">
        <v>240</v>
      </c>
      <c r="BK2324" s="8">
        <f>0</f>
        <v>0</v>
      </c>
      <c r="BL2324" s="7">
        <f>0</f>
        <v>0</v>
      </c>
      <c r="BM2324" s="5" t="s">
        <v>258</v>
      </c>
      <c r="BN2324" s="5" t="s">
        <v>259</v>
      </c>
      <c r="CB2324" s="5" t="s">
        <v>240</v>
      </c>
      <c r="CC2324" s="5" t="s">
        <v>240</v>
      </c>
      <c r="CG2324" s="5" t="s">
        <v>304</v>
      </c>
      <c r="CH2324" s="5" t="s">
        <v>305</v>
      </c>
      <c r="CI2324" s="5" t="s">
        <v>240</v>
      </c>
      <c r="CL2324" s="6" t="s">
        <v>261</v>
      </c>
      <c r="CM2324" s="5" t="s">
        <v>240</v>
      </c>
      <c r="CN2324" s="5" t="s">
        <v>263</v>
      </c>
      <c r="CO2324" s="5" t="s">
        <v>240</v>
      </c>
      <c r="CP2324" s="5" t="s">
        <v>240</v>
      </c>
      <c r="CQ2324" s="5">
        <v>0</v>
      </c>
      <c r="CR2324" s="5" t="s">
        <v>306</v>
      </c>
      <c r="CS2324" s="5" t="s">
        <v>307</v>
      </c>
      <c r="CT2324" s="5" t="s">
        <v>307</v>
      </c>
      <c r="CU2324" s="5" t="s">
        <v>260</v>
      </c>
      <c r="CX2324" s="7">
        <f>1</f>
        <v>1</v>
      </c>
      <c r="CY2324" s="7">
        <f>0</f>
        <v>0</v>
      </c>
      <c r="DA2324" s="7">
        <f>0</f>
        <v>0</v>
      </c>
      <c r="DC2324" s="5" t="s">
        <v>309</v>
      </c>
      <c r="DD2324" s="5" t="s">
        <v>240</v>
      </c>
      <c r="DF2324" s="5" t="s">
        <v>309</v>
      </c>
      <c r="DG2324" s="7">
        <f>129</f>
        <v>129</v>
      </c>
      <c r="DI2324" s="5" t="s">
        <v>240</v>
      </c>
      <c r="DJ2324" s="5" t="s">
        <v>240</v>
      </c>
      <c r="DK2324" s="5" t="s">
        <v>240</v>
      </c>
      <c r="DL2324" s="5" t="s">
        <v>240</v>
      </c>
      <c r="DP2324" s="5" t="s">
        <v>240</v>
      </c>
      <c r="DQ2324" s="5" t="s">
        <v>240</v>
      </c>
      <c r="DR2324" s="5" t="s">
        <v>240</v>
      </c>
      <c r="DS2324" s="5" t="s">
        <v>240</v>
      </c>
      <c r="DV2324" s="5" t="s">
        <v>310</v>
      </c>
      <c r="DW2324" s="5" t="s">
        <v>2698</v>
      </c>
      <c r="HO2324" s="5" t="s">
        <v>312</v>
      </c>
    </row>
    <row r="2325" spans="1:223" x14ac:dyDescent="0.4">
      <c r="A2325" s="5">
        <v>4029</v>
      </c>
      <c r="B2325" s="5">
        <v>1</v>
      </c>
      <c r="C2325" s="5">
        <v>1</v>
      </c>
      <c r="D2325" s="5" t="s">
        <v>810</v>
      </c>
      <c r="E2325" s="5" t="s">
        <v>245</v>
      </c>
      <c r="F2325" s="5" t="s">
        <v>254</v>
      </c>
      <c r="G2325" s="5" t="s">
        <v>240</v>
      </c>
      <c r="H2325" s="6" t="s">
        <v>3307</v>
      </c>
      <c r="I2325" s="5" t="s">
        <v>809</v>
      </c>
      <c r="J2325" s="8">
        <f>726</f>
        <v>726</v>
      </c>
      <c r="K2325" s="5" t="s">
        <v>308</v>
      </c>
      <c r="L2325" s="7">
        <f>1</f>
        <v>1</v>
      </c>
      <c r="M2325" s="7">
        <f>1</f>
        <v>1</v>
      </c>
      <c r="N2325" s="5" t="s">
        <v>242</v>
      </c>
      <c r="O2325" s="5">
        <v>1</v>
      </c>
      <c r="P2325" s="5" t="s">
        <v>294</v>
      </c>
      <c r="Q2325" s="5" t="s">
        <v>266</v>
      </c>
      <c r="R2325" s="5" t="s">
        <v>240</v>
      </c>
      <c r="S2325" s="5" t="s">
        <v>240</v>
      </c>
      <c r="T2325" s="5" t="s">
        <v>296</v>
      </c>
      <c r="U2325" s="5" t="s">
        <v>244</v>
      </c>
      <c r="V2325" s="5" t="s">
        <v>240</v>
      </c>
      <c r="Y2325" s="5" t="s">
        <v>240</v>
      </c>
      <c r="Z2325" s="6" t="s">
        <v>298</v>
      </c>
      <c r="AB2325" s="6" t="s">
        <v>240</v>
      </c>
      <c r="AE2325" s="6" t="s">
        <v>299</v>
      </c>
      <c r="AF2325" s="5" t="s">
        <v>248</v>
      </c>
      <c r="AG2325" s="5" t="s">
        <v>249</v>
      </c>
      <c r="AW2325" s="5" t="s">
        <v>251</v>
      </c>
      <c r="AX2325" s="5" t="s">
        <v>240</v>
      </c>
      <c r="AY2325" s="5" t="s">
        <v>253</v>
      </c>
      <c r="AZ2325" s="5" t="s">
        <v>240</v>
      </c>
      <c r="BA2325" s="5" t="s">
        <v>255</v>
      </c>
      <c r="BB2325" s="5" t="s">
        <v>240</v>
      </c>
      <c r="BD2325" s="5" t="s">
        <v>240</v>
      </c>
      <c r="BF2325" s="5" t="s">
        <v>301</v>
      </c>
      <c r="BG2325" s="6" t="s">
        <v>299</v>
      </c>
      <c r="BH2325" s="5" t="s">
        <v>302</v>
      </c>
      <c r="BI2325" s="5" t="s">
        <v>303</v>
      </c>
      <c r="BJ2325" s="5" t="s">
        <v>240</v>
      </c>
      <c r="BK2325" s="8">
        <f>0</f>
        <v>0</v>
      </c>
      <c r="BL2325" s="7">
        <f>0</f>
        <v>0</v>
      </c>
      <c r="BM2325" s="5" t="s">
        <v>258</v>
      </c>
      <c r="BN2325" s="5" t="s">
        <v>259</v>
      </c>
      <c r="CB2325" s="5" t="s">
        <v>240</v>
      </c>
      <c r="CC2325" s="5" t="s">
        <v>240</v>
      </c>
      <c r="CG2325" s="5" t="s">
        <v>304</v>
      </c>
      <c r="CH2325" s="5" t="s">
        <v>305</v>
      </c>
      <c r="CI2325" s="5" t="s">
        <v>240</v>
      </c>
      <c r="CL2325" s="6" t="s">
        <v>261</v>
      </c>
      <c r="CM2325" s="5" t="s">
        <v>240</v>
      </c>
      <c r="CN2325" s="5" t="s">
        <v>263</v>
      </c>
      <c r="CO2325" s="5" t="s">
        <v>240</v>
      </c>
      <c r="CP2325" s="5" t="s">
        <v>240</v>
      </c>
      <c r="CQ2325" s="5">
        <v>0</v>
      </c>
      <c r="CR2325" s="5" t="s">
        <v>306</v>
      </c>
      <c r="CS2325" s="5" t="s">
        <v>307</v>
      </c>
      <c r="CT2325" s="5" t="s">
        <v>307</v>
      </c>
      <c r="CU2325" s="5" t="s">
        <v>260</v>
      </c>
      <c r="CX2325" s="7">
        <f>1</f>
        <v>1</v>
      </c>
      <c r="CY2325" s="7">
        <f>0</f>
        <v>0</v>
      </c>
      <c r="DA2325" s="7">
        <f>0</f>
        <v>0</v>
      </c>
      <c r="DC2325" s="5" t="s">
        <v>309</v>
      </c>
      <c r="DD2325" s="5" t="s">
        <v>240</v>
      </c>
      <c r="DF2325" s="5" t="s">
        <v>309</v>
      </c>
      <c r="DG2325" s="7">
        <f>40</f>
        <v>40</v>
      </c>
      <c r="DI2325" s="5" t="s">
        <v>240</v>
      </c>
      <c r="DJ2325" s="5" t="s">
        <v>240</v>
      </c>
      <c r="DK2325" s="5" t="s">
        <v>240</v>
      </c>
      <c r="DL2325" s="5" t="s">
        <v>240</v>
      </c>
      <c r="DP2325" s="5" t="s">
        <v>240</v>
      </c>
      <c r="DQ2325" s="5" t="s">
        <v>240</v>
      </c>
      <c r="DR2325" s="5" t="s">
        <v>240</v>
      </c>
      <c r="DS2325" s="5" t="s">
        <v>240</v>
      </c>
      <c r="DV2325" s="5" t="s">
        <v>310</v>
      </c>
      <c r="DW2325" s="5" t="s">
        <v>2700</v>
      </c>
      <c r="HO2325" s="5" t="s">
        <v>312</v>
      </c>
    </row>
    <row r="2326" spans="1:223" x14ac:dyDescent="0.4">
      <c r="A2326" s="5">
        <v>4030</v>
      </c>
      <c r="B2326" s="5">
        <v>1</v>
      </c>
      <c r="C2326" s="5">
        <v>1</v>
      </c>
      <c r="D2326" s="5" t="s">
        <v>810</v>
      </c>
      <c r="E2326" s="5" t="s">
        <v>245</v>
      </c>
      <c r="F2326" s="5" t="s">
        <v>254</v>
      </c>
      <c r="G2326" s="5" t="s">
        <v>240</v>
      </c>
      <c r="H2326" s="6" t="s">
        <v>3311</v>
      </c>
      <c r="I2326" s="5" t="s">
        <v>809</v>
      </c>
      <c r="J2326" s="8">
        <f>570</f>
        <v>570</v>
      </c>
      <c r="K2326" s="5" t="s">
        <v>308</v>
      </c>
      <c r="L2326" s="7">
        <f>1</f>
        <v>1</v>
      </c>
      <c r="M2326" s="7">
        <f>1</f>
        <v>1</v>
      </c>
      <c r="N2326" s="5" t="s">
        <v>242</v>
      </c>
      <c r="O2326" s="5">
        <v>1</v>
      </c>
      <c r="P2326" s="5" t="s">
        <v>294</v>
      </c>
      <c r="Q2326" s="5" t="s">
        <v>613</v>
      </c>
      <c r="R2326" s="5" t="s">
        <v>240</v>
      </c>
      <c r="S2326" s="5" t="s">
        <v>240</v>
      </c>
      <c r="T2326" s="5" t="s">
        <v>243</v>
      </c>
      <c r="U2326" s="5" t="s">
        <v>244</v>
      </c>
      <c r="V2326" s="5" t="s">
        <v>240</v>
      </c>
      <c r="Y2326" s="5" t="s">
        <v>240</v>
      </c>
      <c r="Z2326" s="6" t="s">
        <v>298</v>
      </c>
      <c r="AB2326" s="6" t="s">
        <v>240</v>
      </c>
      <c r="AE2326" s="6" t="s">
        <v>299</v>
      </c>
      <c r="AF2326" s="5" t="s">
        <v>248</v>
      </c>
      <c r="AG2326" s="5" t="s">
        <v>249</v>
      </c>
      <c r="AW2326" s="5" t="s">
        <v>251</v>
      </c>
      <c r="AX2326" s="5" t="s">
        <v>240</v>
      </c>
      <c r="AY2326" s="5" t="s">
        <v>253</v>
      </c>
      <c r="AZ2326" s="5" t="s">
        <v>240</v>
      </c>
      <c r="BA2326" s="5" t="s">
        <v>255</v>
      </c>
      <c r="BB2326" s="5" t="s">
        <v>240</v>
      </c>
      <c r="BD2326" s="5" t="s">
        <v>240</v>
      </c>
      <c r="BF2326" s="5" t="s">
        <v>301</v>
      </c>
      <c r="BG2326" s="6" t="s">
        <v>299</v>
      </c>
      <c r="BH2326" s="5" t="s">
        <v>302</v>
      </c>
      <c r="BI2326" s="5" t="s">
        <v>303</v>
      </c>
      <c r="BJ2326" s="5" t="s">
        <v>240</v>
      </c>
      <c r="BK2326" s="8">
        <f>0</f>
        <v>0</v>
      </c>
      <c r="BL2326" s="7">
        <f>0</f>
        <v>0</v>
      </c>
      <c r="BM2326" s="5" t="s">
        <v>258</v>
      </c>
      <c r="BN2326" s="5" t="s">
        <v>259</v>
      </c>
      <c r="CB2326" s="5" t="s">
        <v>240</v>
      </c>
      <c r="CC2326" s="5" t="s">
        <v>240</v>
      </c>
      <c r="CG2326" s="5" t="s">
        <v>617</v>
      </c>
      <c r="CH2326" s="5" t="s">
        <v>305</v>
      </c>
      <c r="CI2326" s="5" t="s">
        <v>240</v>
      </c>
      <c r="CL2326" s="6" t="s">
        <v>261</v>
      </c>
      <c r="CM2326" s="5" t="s">
        <v>240</v>
      </c>
      <c r="CN2326" s="5" t="s">
        <v>263</v>
      </c>
      <c r="CO2326" s="5" t="s">
        <v>240</v>
      </c>
      <c r="CP2326" s="5" t="s">
        <v>240</v>
      </c>
      <c r="CQ2326" s="5">
        <v>0</v>
      </c>
      <c r="CR2326" s="5" t="s">
        <v>306</v>
      </c>
      <c r="CS2326" s="5" t="s">
        <v>307</v>
      </c>
      <c r="CT2326" s="5" t="s">
        <v>307</v>
      </c>
      <c r="CU2326" s="5" t="s">
        <v>260</v>
      </c>
      <c r="CX2326" s="7">
        <f>25140250</f>
        <v>25140250</v>
      </c>
      <c r="CY2326" s="7">
        <f>0</f>
        <v>0</v>
      </c>
      <c r="DA2326" s="7">
        <f>0</f>
        <v>0</v>
      </c>
      <c r="DC2326" s="5" t="s">
        <v>689</v>
      </c>
      <c r="DD2326" s="5" t="s">
        <v>240</v>
      </c>
      <c r="DF2326" s="5" t="s">
        <v>450</v>
      </c>
      <c r="DG2326" s="7">
        <f>0</f>
        <v>0</v>
      </c>
      <c r="DI2326" s="5" t="s">
        <v>618</v>
      </c>
      <c r="DJ2326" s="5" t="s">
        <v>240</v>
      </c>
      <c r="DK2326" s="5" t="s">
        <v>240</v>
      </c>
      <c r="DL2326" s="5" t="s">
        <v>240</v>
      </c>
      <c r="DP2326" s="5" t="s">
        <v>240</v>
      </c>
      <c r="DQ2326" s="5" t="s">
        <v>240</v>
      </c>
      <c r="DR2326" s="5" t="s">
        <v>240</v>
      </c>
      <c r="DS2326" s="5" t="s">
        <v>240</v>
      </c>
      <c r="DV2326" s="5" t="s">
        <v>1466</v>
      </c>
      <c r="DW2326" s="5" t="s">
        <v>791</v>
      </c>
      <c r="HO2326" s="5" t="s">
        <v>312</v>
      </c>
    </row>
    <row r="2327" spans="1:223" x14ac:dyDescent="0.4">
      <c r="A2327" s="5">
        <v>4031</v>
      </c>
      <c r="B2327" s="5">
        <v>1</v>
      </c>
      <c r="C2327" s="5">
        <v>1</v>
      </c>
      <c r="D2327" s="5" t="s">
        <v>810</v>
      </c>
      <c r="E2327" s="5" t="s">
        <v>245</v>
      </c>
      <c r="F2327" s="5" t="s">
        <v>254</v>
      </c>
      <c r="G2327" s="5" t="s">
        <v>240</v>
      </c>
      <c r="H2327" s="6" t="s">
        <v>3374</v>
      </c>
      <c r="I2327" s="5" t="s">
        <v>809</v>
      </c>
      <c r="J2327" s="8">
        <f>263</f>
        <v>263</v>
      </c>
      <c r="K2327" s="5" t="s">
        <v>308</v>
      </c>
      <c r="L2327" s="7">
        <f>1</f>
        <v>1</v>
      </c>
      <c r="M2327" s="7">
        <f>1</f>
        <v>1</v>
      </c>
      <c r="N2327" s="5" t="s">
        <v>242</v>
      </c>
      <c r="O2327" s="5">
        <v>1</v>
      </c>
      <c r="P2327" s="5" t="s">
        <v>294</v>
      </c>
      <c r="Q2327" s="5" t="s">
        <v>266</v>
      </c>
      <c r="R2327" s="5" t="s">
        <v>240</v>
      </c>
      <c r="S2327" s="5" t="s">
        <v>240</v>
      </c>
      <c r="T2327" s="5" t="s">
        <v>296</v>
      </c>
      <c r="U2327" s="5" t="s">
        <v>244</v>
      </c>
      <c r="V2327" s="5" t="s">
        <v>240</v>
      </c>
      <c r="Y2327" s="5" t="s">
        <v>240</v>
      </c>
      <c r="Z2327" s="6" t="s">
        <v>298</v>
      </c>
      <c r="AB2327" s="6" t="s">
        <v>240</v>
      </c>
      <c r="AE2327" s="6" t="s">
        <v>299</v>
      </c>
      <c r="AF2327" s="5" t="s">
        <v>248</v>
      </c>
      <c r="AG2327" s="5" t="s">
        <v>249</v>
      </c>
      <c r="AW2327" s="5" t="s">
        <v>251</v>
      </c>
      <c r="AX2327" s="5" t="s">
        <v>240</v>
      </c>
      <c r="AY2327" s="5" t="s">
        <v>253</v>
      </c>
      <c r="AZ2327" s="5" t="s">
        <v>240</v>
      </c>
      <c r="BA2327" s="5" t="s">
        <v>255</v>
      </c>
      <c r="BB2327" s="5" t="s">
        <v>240</v>
      </c>
      <c r="BD2327" s="5" t="s">
        <v>240</v>
      </c>
      <c r="BF2327" s="5" t="s">
        <v>301</v>
      </c>
      <c r="BG2327" s="6" t="s">
        <v>299</v>
      </c>
      <c r="BH2327" s="5" t="s">
        <v>302</v>
      </c>
      <c r="BI2327" s="5" t="s">
        <v>303</v>
      </c>
      <c r="BJ2327" s="5" t="s">
        <v>240</v>
      </c>
      <c r="BK2327" s="8">
        <f>0</f>
        <v>0</v>
      </c>
      <c r="BL2327" s="7">
        <f>0</f>
        <v>0</v>
      </c>
      <c r="BM2327" s="5" t="s">
        <v>258</v>
      </c>
      <c r="BN2327" s="5" t="s">
        <v>259</v>
      </c>
      <c r="CB2327" s="5" t="s">
        <v>240</v>
      </c>
      <c r="CC2327" s="5" t="s">
        <v>240</v>
      </c>
      <c r="CG2327" s="5" t="s">
        <v>304</v>
      </c>
      <c r="CH2327" s="5" t="s">
        <v>305</v>
      </c>
      <c r="CI2327" s="5" t="s">
        <v>240</v>
      </c>
      <c r="CL2327" s="6" t="s">
        <v>261</v>
      </c>
      <c r="CM2327" s="5" t="s">
        <v>240</v>
      </c>
      <c r="CN2327" s="5" t="s">
        <v>263</v>
      </c>
      <c r="CO2327" s="5" t="s">
        <v>240</v>
      </c>
      <c r="CP2327" s="5" t="s">
        <v>240</v>
      </c>
      <c r="CQ2327" s="5">
        <v>0</v>
      </c>
      <c r="CR2327" s="5" t="s">
        <v>306</v>
      </c>
      <c r="CS2327" s="5" t="s">
        <v>307</v>
      </c>
      <c r="CT2327" s="5" t="s">
        <v>307</v>
      </c>
      <c r="CU2327" s="5" t="s">
        <v>260</v>
      </c>
      <c r="CX2327" s="7">
        <f>1</f>
        <v>1</v>
      </c>
      <c r="CY2327" s="7">
        <f>0</f>
        <v>0</v>
      </c>
      <c r="DA2327" s="7">
        <f>0</f>
        <v>0</v>
      </c>
      <c r="DC2327" s="5" t="s">
        <v>309</v>
      </c>
      <c r="DD2327" s="5" t="s">
        <v>240</v>
      </c>
      <c r="DF2327" s="5" t="s">
        <v>309</v>
      </c>
      <c r="DG2327" s="7">
        <f>57</f>
        <v>57</v>
      </c>
      <c r="DI2327" s="5" t="s">
        <v>240</v>
      </c>
      <c r="DJ2327" s="5" t="s">
        <v>240</v>
      </c>
      <c r="DK2327" s="5" t="s">
        <v>240</v>
      </c>
      <c r="DL2327" s="5" t="s">
        <v>240</v>
      </c>
      <c r="DP2327" s="5" t="s">
        <v>240</v>
      </c>
      <c r="DQ2327" s="5" t="s">
        <v>240</v>
      </c>
      <c r="DR2327" s="5" t="s">
        <v>240</v>
      </c>
      <c r="DS2327" s="5" t="s">
        <v>240</v>
      </c>
      <c r="DV2327" s="5" t="s">
        <v>310</v>
      </c>
      <c r="DW2327" s="5" t="s">
        <v>2704</v>
      </c>
      <c r="HO2327" s="5" t="s">
        <v>312</v>
      </c>
    </row>
    <row r="2328" spans="1:223" x14ac:dyDescent="0.4">
      <c r="A2328" s="5">
        <v>4032</v>
      </c>
      <c r="B2328" s="5">
        <v>1</v>
      </c>
      <c r="C2328" s="5">
        <v>1</v>
      </c>
      <c r="D2328" s="5" t="s">
        <v>810</v>
      </c>
      <c r="E2328" s="5" t="s">
        <v>245</v>
      </c>
      <c r="F2328" s="5" t="s">
        <v>254</v>
      </c>
      <c r="G2328" s="5" t="s">
        <v>240</v>
      </c>
      <c r="H2328" s="6" t="s">
        <v>3438</v>
      </c>
      <c r="I2328" s="5" t="s">
        <v>809</v>
      </c>
      <c r="J2328" s="8">
        <f>2201</f>
        <v>2201</v>
      </c>
      <c r="K2328" s="5" t="s">
        <v>308</v>
      </c>
      <c r="L2328" s="7">
        <f>1</f>
        <v>1</v>
      </c>
      <c r="M2328" s="7">
        <f>1</f>
        <v>1</v>
      </c>
      <c r="N2328" s="5" t="s">
        <v>242</v>
      </c>
      <c r="O2328" s="5">
        <v>1</v>
      </c>
      <c r="P2328" s="5" t="s">
        <v>294</v>
      </c>
      <c r="Q2328" s="5" t="s">
        <v>266</v>
      </c>
      <c r="R2328" s="5" t="s">
        <v>240</v>
      </c>
      <c r="S2328" s="5" t="s">
        <v>240</v>
      </c>
      <c r="T2328" s="5" t="s">
        <v>296</v>
      </c>
      <c r="U2328" s="5" t="s">
        <v>244</v>
      </c>
      <c r="V2328" s="5" t="s">
        <v>240</v>
      </c>
      <c r="Y2328" s="5" t="s">
        <v>240</v>
      </c>
      <c r="Z2328" s="6" t="s">
        <v>298</v>
      </c>
      <c r="AB2328" s="6" t="s">
        <v>240</v>
      </c>
      <c r="AE2328" s="6" t="s">
        <v>299</v>
      </c>
      <c r="AF2328" s="5" t="s">
        <v>248</v>
      </c>
      <c r="AG2328" s="5" t="s">
        <v>249</v>
      </c>
      <c r="AW2328" s="5" t="s">
        <v>251</v>
      </c>
      <c r="AX2328" s="5" t="s">
        <v>240</v>
      </c>
      <c r="AY2328" s="5" t="s">
        <v>253</v>
      </c>
      <c r="AZ2328" s="5" t="s">
        <v>240</v>
      </c>
      <c r="BA2328" s="5" t="s">
        <v>255</v>
      </c>
      <c r="BB2328" s="5" t="s">
        <v>240</v>
      </c>
      <c r="BD2328" s="5" t="s">
        <v>240</v>
      </c>
      <c r="BF2328" s="5" t="s">
        <v>301</v>
      </c>
      <c r="BG2328" s="6" t="s">
        <v>299</v>
      </c>
      <c r="BH2328" s="5" t="s">
        <v>302</v>
      </c>
      <c r="BI2328" s="5" t="s">
        <v>303</v>
      </c>
      <c r="BJ2328" s="5" t="s">
        <v>240</v>
      </c>
      <c r="BK2328" s="8">
        <f>0</f>
        <v>0</v>
      </c>
      <c r="BL2328" s="7">
        <f>0</f>
        <v>0</v>
      </c>
      <c r="BM2328" s="5" t="s">
        <v>258</v>
      </c>
      <c r="BN2328" s="5" t="s">
        <v>259</v>
      </c>
      <c r="CB2328" s="5" t="s">
        <v>240</v>
      </c>
      <c r="CC2328" s="5" t="s">
        <v>240</v>
      </c>
      <c r="CG2328" s="5" t="s">
        <v>304</v>
      </c>
      <c r="CH2328" s="5" t="s">
        <v>305</v>
      </c>
      <c r="CI2328" s="5" t="s">
        <v>240</v>
      </c>
      <c r="CL2328" s="6" t="s">
        <v>261</v>
      </c>
      <c r="CM2328" s="5" t="s">
        <v>240</v>
      </c>
      <c r="CN2328" s="5" t="s">
        <v>263</v>
      </c>
      <c r="CO2328" s="5" t="s">
        <v>240</v>
      </c>
      <c r="CP2328" s="5" t="s">
        <v>240</v>
      </c>
      <c r="CQ2328" s="5">
        <v>0</v>
      </c>
      <c r="CR2328" s="5" t="s">
        <v>306</v>
      </c>
      <c r="CS2328" s="5" t="s">
        <v>307</v>
      </c>
      <c r="CT2328" s="5" t="s">
        <v>307</v>
      </c>
      <c r="CU2328" s="5" t="s">
        <v>260</v>
      </c>
      <c r="CX2328" s="7">
        <f>1</f>
        <v>1</v>
      </c>
      <c r="CY2328" s="7">
        <f>0</f>
        <v>0</v>
      </c>
      <c r="DA2328" s="7">
        <f>0</f>
        <v>0</v>
      </c>
      <c r="DC2328" s="5" t="s">
        <v>309</v>
      </c>
      <c r="DD2328" s="5" t="s">
        <v>240</v>
      </c>
      <c r="DF2328" s="5" t="s">
        <v>309</v>
      </c>
      <c r="DG2328" s="7">
        <f>5458</f>
        <v>5458</v>
      </c>
      <c r="DI2328" s="5" t="s">
        <v>240</v>
      </c>
      <c r="DJ2328" s="5" t="s">
        <v>240</v>
      </c>
      <c r="DK2328" s="5" t="s">
        <v>240</v>
      </c>
      <c r="DL2328" s="5" t="s">
        <v>240</v>
      </c>
      <c r="DP2328" s="5" t="s">
        <v>240</v>
      </c>
      <c r="DQ2328" s="5" t="s">
        <v>240</v>
      </c>
      <c r="DR2328" s="5" t="s">
        <v>240</v>
      </c>
      <c r="DS2328" s="5" t="s">
        <v>240</v>
      </c>
      <c r="DV2328" s="5" t="s">
        <v>310</v>
      </c>
      <c r="DW2328" s="5" t="s">
        <v>2706</v>
      </c>
      <c r="HO2328" s="5" t="s">
        <v>312</v>
      </c>
    </row>
    <row r="2329" spans="1:223" x14ac:dyDescent="0.4">
      <c r="A2329" s="5">
        <v>4033</v>
      </c>
      <c r="B2329" s="5">
        <v>1</v>
      </c>
      <c r="C2329" s="5">
        <v>1</v>
      </c>
      <c r="D2329" s="5" t="s">
        <v>810</v>
      </c>
      <c r="E2329" s="5" t="s">
        <v>245</v>
      </c>
      <c r="F2329" s="5" t="s">
        <v>254</v>
      </c>
      <c r="G2329" s="5" t="s">
        <v>240</v>
      </c>
      <c r="H2329" s="6" t="s">
        <v>3486</v>
      </c>
      <c r="I2329" s="5" t="s">
        <v>809</v>
      </c>
      <c r="J2329" s="8">
        <f>3099</f>
        <v>3099</v>
      </c>
      <c r="K2329" s="5" t="s">
        <v>308</v>
      </c>
      <c r="L2329" s="7">
        <f>1</f>
        <v>1</v>
      </c>
      <c r="M2329" s="7">
        <f>1</f>
        <v>1</v>
      </c>
      <c r="N2329" s="5" t="s">
        <v>242</v>
      </c>
      <c r="O2329" s="5">
        <v>1</v>
      </c>
      <c r="P2329" s="5" t="s">
        <v>294</v>
      </c>
      <c r="Q2329" s="5" t="s">
        <v>266</v>
      </c>
      <c r="R2329" s="5" t="s">
        <v>240</v>
      </c>
      <c r="S2329" s="5" t="s">
        <v>240</v>
      </c>
      <c r="T2329" s="5" t="s">
        <v>296</v>
      </c>
      <c r="U2329" s="5" t="s">
        <v>244</v>
      </c>
      <c r="V2329" s="5" t="s">
        <v>240</v>
      </c>
      <c r="Y2329" s="5" t="s">
        <v>240</v>
      </c>
      <c r="Z2329" s="6" t="s">
        <v>298</v>
      </c>
      <c r="AB2329" s="6" t="s">
        <v>240</v>
      </c>
      <c r="AE2329" s="6" t="s">
        <v>299</v>
      </c>
      <c r="AF2329" s="5" t="s">
        <v>248</v>
      </c>
      <c r="AG2329" s="5" t="s">
        <v>249</v>
      </c>
      <c r="AW2329" s="5" t="s">
        <v>251</v>
      </c>
      <c r="AX2329" s="5" t="s">
        <v>240</v>
      </c>
      <c r="AY2329" s="5" t="s">
        <v>253</v>
      </c>
      <c r="AZ2329" s="5" t="s">
        <v>240</v>
      </c>
      <c r="BA2329" s="5" t="s">
        <v>255</v>
      </c>
      <c r="BB2329" s="5" t="s">
        <v>240</v>
      </c>
      <c r="BD2329" s="5" t="s">
        <v>240</v>
      </c>
      <c r="BF2329" s="5" t="s">
        <v>301</v>
      </c>
      <c r="BG2329" s="6" t="s">
        <v>299</v>
      </c>
      <c r="BH2329" s="5" t="s">
        <v>302</v>
      </c>
      <c r="BI2329" s="5" t="s">
        <v>303</v>
      </c>
      <c r="BJ2329" s="5" t="s">
        <v>240</v>
      </c>
      <c r="BK2329" s="8">
        <f>0</f>
        <v>0</v>
      </c>
      <c r="BL2329" s="7">
        <f>0</f>
        <v>0</v>
      </c>
      <c r="BM2329" s="5" t="s">
        <v>258</v>
      </c>
      <c r="BN2329" s="5" t="s">
        <v>259</v>
      </c>
      <c r="CB2329" s="5" t="s">
        <v>240</v>
      </c>
      <c r="CC2329" s="5" t="s">
        <v>240</v>
      </c>
      <c r="CG2329" s="5" t="s">
        <v>304</v>
      </c>
      <c r="CH2329" s="5" t="s">
        <v>305</v>
      </c>
      <c r="CI2329" s="5" t="s">
        <v>240</v>
      </c>
      <c r="CL2329" s="6" t="s">
        <v>261</v>
      </c>
      <c r="CM2329" s="5" t="s">
        <v>240</v>
      </c>
      <c r="CN2329" s="5" t="s">
        <v>263</v>
      </c>
      <c r="CO2329" s="5" t="s">
        <v>240</v>
      </c>
      <c r="CP2329" s="5" t="s">
        <v>240</v>
      </c>
      <c r="CQ2329" s="5">
        <v>0</v>
      </c>
      <c r="CR2329" s="5" t="s">
        <v>306</v>
      </c>
      <c r="CS2329" s="5" t="s">
        <v>307</v>
      </c>
      <c r="CT2329" s="5" t="s">
        <v>307</v>
      </c>
      <c r="CU2329" s="5" t="s">
        <v>260</v>
      </c>
      <c r="CX2329" s="7">
        <f>1</f>
        <v>1</v>
      </c>
      <c r="CY2329" s="7">
        <f>0</f>
        <v>0</v>
      </c>
      <c r="DA2329" s="7">
        <f>0</f>
        <v>0</v>
      </c>
      <c r="DC2329" s="5" t="s">
        <v>309</v>
      </c>
      <c r="DD2329" s="5" t="s">
        <v>240</v>
      </c>
      <c r="DF2329" s="5" t="s">
        <v>309</v>
      </c>
      <c r="DG2329" s="7">
        <f>28</f>
        <v>28</v>
      </c>
      <c r="DI2329" s="5" t="s">
        <v>240</v>
      </c>
      <c r="DJ2329" s="5" t="s">
        <v>240</v>
      </c>
      <c r="DK2329" s="5" t="s">
        <v>240</v>
      </c>
      <c r="DL2329" s="5" t="s">
        <v>240</v>
      </c>
      <c r="DP2329" s="5" t="s">
        <v>240</v>
      </c>
      <c r="DQ2329" s="5" t="s">
        <v>240</v>
      </c>
      <c r="DR2329" s="5" t="s">
        <v>240</v>
      </c>
      <c r="DS2329" s="5" t="s">
        <v>240</v>
      </c>
      <c r="DV2329" s="5" t="s">
        <v>310</v>
      </c>
      <c r="DW2329" s="5" t="s">
        <v>2708</v>
      </c>
      <c r="HO2329" s="5" t="s">
        <v>312</v>
      </c>
    </row>
    <row r="2330" spans="1:223" x14ac:dyDescent="0.4">
      <c r="A2330" s="5">
        <v>4034</v>
      </c>
      <c r="B2330" s="5">
        <v>1</v>
      </c>
      <c r="C2330" s="5">
        <v>1</v>
      </c>
      <c r="D2330" s="5" t="s">
        <v>810</v>
      </c>
      <c r="E2330" s="5" t="s">
        <v>245</v>
      </c>
      <c r="F2330" s="5" t="s">
        <v>254</v>
      </c>
      <c r="G2330" s="5" t="s">
        <v>240</v>
      </c>
      <c r="H2330" s="6" t="s">
        <v>3490</v>
      </c>
      <c r="I2330" s="5" t="s">
        <v>809</v>
      </c>
      <c r="J2330" s="8">
        <f>2765</f>
        <v>2765</v>
      </c>
      <c r="K2330" s="5" t="s">
        <v>308</v>
      </c>
      <c r="L2330" s="7">
        <f>1</f>
        <v>1</v>
      </c>
      <c r="M2330" s="7">
        <f>1</f>
        <v>1</v>
      </c>
      <c r="N2330" s="5" t="s">
        <v>242</v>
      </c>
      <c r="O2330" s="5">
        <v>1</v>
      </c>
      <c r="P2330" s="5" t="s">
        <v>294</v>
      </c>
      <c r="Q2330" s="5" t="s">
        <v>266</v>
      </c>
      <c r="R2330" s="5" t="s">
        <v>240</v>
      </c>
      <c r="S2330" s="5" t="s">
        <v>240</v>
      </c>
      <c r="T2330" s="5" t="s">
        <v>296</v>
      </c>
      <c r="U2330" s="5" t="s">
        <v>244</v>
      </c>
      <c r="V2330" s="5" t="s">
        <v>240</v>
      </c>
      <c r="Y2330" s="5" t="s">
        <v>240</v>
      </c>
      <c r="Z2330" s="6" t="s">
        <v>298</v>
      </c>
      <c r="AB2330" s="6" t="s">
        <v>240</v>
      </c>
      <c r="AE2330" s="6" t="s">
        <v>299</v>
      </c>
      <c r="AF2330" s="5" t="s">
        <v>248</v>
      </c>
      <c r="AG2330" s="5" t="s">
        <v>249</v>
      </c>
      <c r="AW2330" s="5" t="s">
        <v>251</v>
      </c>
      <c r="AX2330" s="5" t="s">
        <v>240</v>
      </c>
      <c r="AY2330" s="5" t="s">
        <v>253</v>
      </c>
      <c r="AZ2330" s="5" t="s">
        <v>240</v>
      </c>
      <c r="BA2330" s="5" t="s">
        <v>255</v>
      </c>
      <c r="BB2330" s="5" t="s">
        <v>240</v>
      </c>
      <c r="BD2330" s="5" t="s">
        <v>240</v>
      </c>
      <c r="BF2330" s="5" t="s">
        <v>301</v>
      </c>
      <c r="BG2330" s="6" t="s">
        <v>299</v>
      </c>
      <c r="BH2330" s="5" t="s">
        <v>302</v>
      </c>
      <c r="BI2330" s="5" t="s">
        <v>303</v>
      </c>
      <c r="BJ2330" s="5" t="s">
        <v>240</v>
      </c>
      <c r="BK2330" s="8">
        <f>0</f>
        <v>0</v>
      </c>
      <c r="BL2330" s="7">
        <f>0</f>
        <v>0</v>
      </c>
      <c r="BM2330" s="5" t="s">
        <v>258</v>
      </c>
      <c r="BN2330" s="5" t="s">
        <v>259</v>
      </c>
      <c r="CB2330" s="5" t="s">
        <v>240</v>
      </c>
      <c r="CC2330" s="5" t="s">
        <v>240</v>
      </c>
      <c r="CG2330" s="5" t="s">
        <v>304</v>
      </c>
      <c r="CH2330" s="5" t="s">
        <v>305</v>
      </c>
      <c r="CI2330" s="5" t="s">
        <v>240</v>
      </c>
      <c r="CL2330" s="6" t="s">
        <v>261</v>
      </c>
      <c r="CM2330" s="5" t="s">
        <v>240</v>
      </c>
      <c r="CN2330" s="5" t="s">
        <v>263</v>
      </c>
      <c r="CO2330" s="5" t="s">
        <v>240</v>
      </c>
      <c r="CP2330" s="5" t="s">
        <v>240</v>
      </c>
      <c r="CQ2330" s="5">
        <v>0</v>
      </c>
      <c r="CR2330" s="5" t="s">
        <v>306</v>
      </c>
      <c r="CS2330" s="5" t="s">
        <v>307</v>
      </c>
      <c r="CT2330" s="5" t="s">
        <v>307</v>
      </c>
      <c r="CU2330" s="5" t="s">
        <v>260</v>
      </c>
      <c r="CX2330" s="7">
        <f>1</f>
        <v>1</v>
      </c>
      <c r="CY2330" s="7">
        <f>0</f>
        <v>0</v>
      </c>
      <c r="DA2330" s="7">
        <f>0</f>
        <v>0</v>
      </c>
      <c r="DC2330" s="5" t="s">
        <v>309</v>
      </c>
      <c r="DD2330" s="5" t="s">
        <v>240</v>
      </c>
      <c r="DF2330" s="5" t="s">
        <v>309</v>
      </c>
      <c r="DG2330" s="7">
        <f>2711</f>
        <v>2711</v>
      </c>
      <c r="DI2330" s="5" t="s">
        <v>240</v>
      </c>
      <c r="DJ2330" s="5" t="s">
        <v>240</v>
      </c>
      <c r="DK2330" s="5" t="s">
        <v>240</v>
      </c>
      <c r="DL2330" s="5" t="s">
        <v>240</v>
      </c>
      <c r="DP2330" s="5" t="s">
        <v>240</v>
      </c>
      <c r="DQ2330" s="5" t="s">
        <v>240</v>
      </c>
      <c r="DR2330" s="5" t="s">
        <v>240</v>
      </c>
      <c r="DS2330" s="5" t="s">
        <v>240</v>
      </c>
      <c r="DV2330" s="5" t="s">
        <v>310</v>
      </c>
      <c r="DW2330" s="5" t="s">
        <v>2155</v>
      </c>
      <c r="HO2330" s="5" t="s">
        <v>312</v>
      </c>
    </row>
    <row r="2331" spans="1:223" x14ac:dyDescent="0.4">
      <c r="A2331" s="5">
        <v>4035</v>
      </c>
      <c r="B2331" s="5">
        <v>1</v>
      </c>
      <c r="C2331" s="5">
        <v>1</v>
      </c>
      <c r="D2331" s="5" t="s">
        <v>810</v>
      </c>
      <c r="E2331" s="5" t="s">
        <v>245</v>
      </c>
      <c r="F2331" s="5" t="s">
        <v>254</v>
      </c>
      <c r="G2331" s="5" t="s">
        <v>240</v>
      </c>
      <c r="H2331" s="6" t="s">
        <v>3501</v>
      </c>
      <c r="I2331" s="5" t="s">
        <v>809</v>
      </c>
      <c r="J2331" s="8">
        <f>1781</f>
        <v>1781</v>
      </c>
      <c r="K2331" s="5" t="s">
        <v>308</v>
      </c>
      <c r="L2331" s="7">
        <f>1</f>
        <v>1</v>
      </c>
      <c r="M2331" s="7">
        <f>1</f>
        <v>1</v>
      </c>
      <c r="N2331" s="5" t="s">
        <v>242</v>
      </c>
      <c r="O2331" s="5">
        <v>1</v>
      </c>
      <c r="P2331" s="5" t="s">
        <v>294</v>
      </c>
      <c r="Q2331" s="5" t="s">
        <v>266</v>
      </c>
      <c r="R2331" s="5" t="s">
        <v>240</v>
      </c>
      <c r="S2331" s="5" t="s">
        <v>240</v>
      </c>
      <c r="T2331" s="5" t="s">
        <v>296</v>
      </c>
      <c r="U2331" s="5" t="s">
        <v>244</v>
      </c>
      <c r="V2331" s="5" t="s">
        <v>240</v>
      </c>
      <c r="Y2331" s="5" t="s">
        <v>240</v>
      </c>
      <c r="Z2331" s="6" t="s">
        <v>298</v>
      </c>
      <c r="AB2331" s="6" t="s">
        <v>240</v>
      </c>
      <c r="AE2331" s="6" t="s">
        <v>299</v>
      </c>
      <c r="AF2331" s="5" t="s">
        <v>248</v>
      </c>
      <c r="AG2331" s="5" t="s">
        <v>249</v>
      </c>
      <c r="AW2331" s="5" t="s">
        <v>251</v>
      </c>
      <c r="AX2331" s="5" t="s">
        <v>240</v>
      </c>
      <c r="AY2331" s="5" t="s">
        <v>253</v>
      </c>
      <c r="AZ2331" s="5" t="s">
        <v>240</v>
      </c>
      <c r="BA2331" s="5" t="s">
        <v>255</v>
      </c>
      <c r="BB2331" s="5" t="s">
        <v>240</v>
      </c>
      <c r="BD2331" s="5" t="s">
        <v>240</v>
      </c>
      <c r="BF2331" s="5" t="s">
        <v>301</v>
      </c>
      <c r="BG2331" s="6" t="s">
        <v>299</v>
      </c>
      <c r="BH2331" s="5" t="s">
        <v>302</v>
      </c>
      <c r="BI2331" s="5" t="s">
        <v>303</v>
      </c>
      <c r="BJ2331" s="5" t="s">
        <v>240</v>
      </c>
      <c r="BK2331" s="8">
        <f>0</f>
        <v>0</v>
      </c>
      <c r="BL2331" s="7">
        <f>0</f>
        <v>0</v>
      </c>
      <c r="BM2331" s="5" t="s">
        <v>258</v>
      </c>
      <c r="BN2331" s="5" t="s">
        <v>259</v>
      </c>
      <c r="CB2331" s="5" t="s">
        <v>240</v>
      </c>
      <c r="CC2331" s="5" t="s">
        <v>240</v>
      </c>
      <c r="CG2331" s="5" t="s">
        <v>304</v>
      </c>
      <c r="CH2331" s="5" t="s">
        <v>305</v>
      </c>
      <c r="CI2331" s="5" t="s">
        <v>240</v>
      </c>
      <c r="CL2331" s="6" t="s">
        <v>261</v>
      </c>
      <c r="CM2331" s="5" t="s">
        <v>240</v>
      </c>
      <c r="CN2331" s="5" t="s">
        <v>263</v>
      </c>
      <c r="CO2331" s="5" t="s">
        <v>240</v>
      </c>
      <c r="CP2331" s="5" t="s">
        <v>240</v>
      </c>
      <c r="CQ2331" s="5">
        <v>0</v>
      </c>
      <c r="CR2331" s="5" t="s">
        <v>306</v>
      </c>
      <c r="CS2331" s="5" t="s">
        <v>307</v>
      </c>
      <c r="CT2331" s="5" t="s">
        <v>307</v>
      </c>
      <c r="CU2331" s="5" t="s">
        <v>260</v>
      </c>
      <c r="CX2331" s="7">
        <f>1</f>
        <v>1</v>
      </c>
      <c r="CY2331" s="7">
        <f>0</f>
        <v>0</v>
      </c>
      <c r="DA2331" s="7">
        <f>0</f>
        <v>0</v>
      </c>
      <c r="DC2331" s="5" t="s">
        <v>309</v>
      </c>
      <c r="DD2331" s="5" t="s">
        <v>240</v>
      </c>
      <c r="DF2331" s="5" t="s">
        <v>309</v>
      </c>
      <c r="DG2331" s="7">
        <f>2061</f>
        <v>2061</v>
      </c>
      <c r="DI2331" s="5" t="s">
        <v>240</v>
      </c>
      <c r="DJ2331" s="5" t="s">
        <v>240</v>
      </c>
      <c r="DK2331" s="5" t="s">
        <v>240</v>
      </c>
      <c r="DL2331" s="5" t="s">
        <v>240</v>
      </c>
      <c r="DP2331" s="5" t="s">
        <v>240</v>
      </c>
      <c r="DQ2331" s="5" t="s">
        <v>240</v>
      </c>
      <c r="DR2331" s="5" t="s">
        <v>240</v>
      </c>
      <c r="DS2331" s="5" t="s">
        <v>240</v>
      </c>
      <c r="DV2331" s="5" t="s">
        <v>310</v>
      </c>
      <c r="DW2331" s="5" t="s">
        <v>2710</v>
      </c>
      <c r="HO2331" s="5" t="s">
        <v>312</v>
      </c>
    </row>
    <row r="2332" spans="1:223" x14ac:dyDescent="0.4">
      <c r="A2332" s="5">
        <v>4036</v>
      </c>
      <c r="B2332" s="5">
        <v>1</v>
      </c>
      <c r="C2332" s="5">
        <v>1</v>
      </c>
      <c r="D2332" s="5" t="s">
        <v>810</v>
      </c>
      <c r="E2332" s="5" t="s">
        <v>245</v>
      </c>
      <c r="F2332" s="5" t="s">
        <v>254</v>
      </c>
      <c r="G2332" s="5" t="s">
        <v>240</v>
      </c>
      <c r="H2332" s="6" t="s">
        <v>3505</v>
      </c>
      <c r="I2332" s="5" t="s">
        <v>809</v>
      </c>
      <c r="J2332" s="8">
        <f>592</f>
        <v>592</v>
      </c>
      <c r="K2332" s="5" t="s">
        <v>308</v>
      </c>
      <c r="L2332" s="7">
        <f>1</f>
        <v>1</v>
      </c>
      <c r="M2332" s="7">
        <f>1</f>
        <v>1</v>
      </c>
      <c r="N2332" s="5" t="s">
        <v>242</v>
      </c>
      <c r="O2332" s="5">
        <v>1</v>
      </c>
      <c r="P2332" s="5" t="s">
        <v>294</v>
      </c>
      <c r="Q2332" s="5" t="s">
        <v>266</v>
      </c>
      <c r="R2332" s="5" t="s">
        <v>240</v>
      </c>
      <c r="S2332" s="5" t="s">
        <v>240</v>
      </c>
      <c r="T2332" s="5" t="s">
        <v>296</v>
      </c>
      <c r="U2332" s="5" t="s">
        <v>244</v>
      </c>
      <c r="V2332" s="5" t="s">
        <v>240</v>
      </c>
      <c r="Y2332" s="5" t="s">
        <v>240</v>
      </c>
      <c r="Z2332" s="6" t="s">
        <v>298</v>
      </c>
      <c r="AB2332" s="6" t="s">
        <v>240</v>
      </c>
      <c r="AE2332" s="6" t="s">
        <v>299</v>
      </c>
      <c r="AF2332" s="5" t="s">
        <v>248</v>
      </c>
      <c r="AG2332" s="5" t="s">
        <v>249</v>
      </c>
      <c r="AW2332" s="5" t="s">
        <v>251</v>
      </c>
      <c r="AX2332" s="5" t="s">
        <v>240</v>
      </c>
      <c r="AY2332" s="5" t="s">
        <v>253</v>
      </c>
      <c r="AZ2332" s="5" t="s">
        <v>240</v>
      </c>
      <c r="BA2332" s="5" t="s">
        <v>255</v>
      </c>
      <c r="BB2332" s="5" t="s">
        <v>240</v>
      </c>
      <c r="BD2332" s="5" t="s">
        <v>240</v>
      </c>
      <c r="BF2332" s="5" t="s">
        <v>301</v>
      </c>
      <c r="BG2332" s="6" t="s">
        <v>299</v>
      </c>
      <c r="BH2332" s="5" t="s">
        <v>302</v>
      </c>
      <c r="BI2332" s="5" t="s">
        <v>303</v>
      </c>
      <c r="BJ2332" s="5" t="s">
        <v>240</v>
      </c>
      <c r="BK2332" s="8">
        <f>0</f>
        <v>0</v>
      </c>
      <c r="BL2332" s="7">
        <f>0</f>
        <v>0</v>
      </c>
      <c r="BM2332" s="5" t="s">
        <v>258</v>
      </c>
      <c r="BN2332" s="5" t="s">
        <v>259</v>
      </c>
      <c r="CB2332" s="5" t="s">
        <v>240</v>
      </c>
      <c r="CC2332" s="5" t="s">
        <v>240</v>
      </c>
      <c r="CG2332" s="5" t="s">
        <v>304</v>
      </c>
      <c r="CH2332" s="5" t="s">
        <v>305</v>
      </c>
      <c r="CI2332" s="5" t="s">
        <v>240</v>
      </c>
      <c r="CL2332" s="6" t="s">
        <v>261</v>
      </c>
      <c r="CM2332" s="5" t="s">
        <v>240</v>
      </c>
      <c r="CN2332" s="5" t="s">
        <v>263</v>
      </c>
      <c r="CO2332" s="5" t="s">
        <v>240</v>
      </c>
      <c r="CP2332" s="5" t="s">
        <v>240</v>
      </c>
      <c r="CQ2332" s="5">
        <v>0</v>
      </c>
      <c r="CR2332" s="5" t="s">
        <v>306</v>
      </c>
      <c r="CS2332" s="5" t="s">
        <v>307</v>
      </c>
      <c r="CT2332" s="5" t="s">
        <v>307</v>
      </c>
      <c r="CU2332" s="5" t="s">
        <v>260</v>
      </c>
      <c r="CX2332" s="7">
        <f>1</f>
        <v>1</v>
      </c>
      <c r="CY2332" s="7">
        <f>0</f>
        <v>0</v>
      </c>
      <c r="DA2332" s="7">
        <f>0</f>
        <v>0</v>
      </c>
      <c r="DC2332" s="5" t="s">
        <v>309</v>
      </c>
      <c r="DD2332" s="5" t="s">
        <v>240</v>
      </c>
      <c r="DF2332" s="5" t="s">
        <v>309</v>
      </c>
      <c r="DG2332" s="7">
        <f>2856</f>
        <v>2856</v>
      </c>
      <c r="DI2332" s="5" t="s">
        <v>240</v>
      </c>
      <c r="DJ2332" s="5" t="s">
        <v>240</v>
      </c>
      <c r="DK2332" s="5" t="s">
        <v>240</v>
      </c>
      <c r="DL2332" s="5" t="s">
        <v>240</v>
      </c>
      <c r="DP2332" s="5" t="s">
        <v>240</v>
      </c>
      <c r="DQ2332" s="5" t="s">
        <v>240</v>
      </c>
      <c r="DR2332" s="5" t="s">
        <v>240</v>
      </c>
      <c r="DS2332" s="5" t="s">
        <v>240</v>
      </c>
      <c r="DV2332" s="5" t="s">
        <v>310</v>
      </c>
      <c r="DW2332" s="5" t="s">
        <v>2712</v>
      </c>
      <c r="HO2332" s="5" t="s">
        <v>312</v>
      </c>
    </row>
    <row r="2333" spans="1:223" x14ac:dyDescent="0.4">
      <c r="A2333" s="5">
        <v>4037</v>
      </c>
      <c r="B2333" s="5">
        <v>1</v>
      </c>
      <c r="C2333" s="5">
        <v>1</v>
      </c>
      <c r="D2333" s="5" t="s">
        <v>810</v>
      </c>
      <c r="E2333" s="5" t="s">
        <v>245</v>
      </c>
      <c r="F2333" s="5" t="s">
        <v>254</v>
      </c>
      <c r="G2333" s="5" t="s">
        <v>240</v>
      </c>
      <c r="H2333" s="6" t="s">
        <v>3567</v>
      </c>
      <c r="I2333" s="5" t="s">
        <v>809</v>
      </c>
      <c r="J2333" s="8">
        <f>155</f>
        <v>155</v>
      </c>
      <c r="K2333" s="5" t="s">
        <v>308</v>
      </c>
      <c r="L2333" s="7">
        <f>1</f>
        <v>1</v>
      </c>
      <c r="M2333" s="7">
        <f>1</f>
        <v>1</v>
      </c>
      <c r="N2333" s="5" t="s">
        <v>242</v>
      </c>
      <c r="O2333" s="5">
        <v>1</v>
      </c>
      <c r="P2333" s="5" t="s">
        <v>294</v>
      </c>
      <c r="Q2333" s="5" t="s">
        <v>266</v>
      </c>
      <c r="R2333" s="5" t="s">
        <v>240</v>
      </c>
      <c r="S2333" s="5" t="s">
        <v>240</v>
      </c>
      <c r="T2333" s="5" t="s">
        <v>296</v>
      </c>
      <c r="U2333" s="5" t="s">
        <v>244</v>
      </c>
      <c r="V2333" s="5" t="s">
        <v>240</v>
      </c>
      <c r="Y2333" s="5" t="s">
        <v>240</v>
      </c>
      <c r="Z2333" s="6" t="s">
        <v>298</v>
      </c>
      <c r="AB2333" s="6" t="s">
        <v>240</v>
      </c>
      <c r="AE2333" s="6" t="s">
        <v>299</v>
      </c>
      <c r="AF2333" s="5" t="s">
        <v>248</v>
      </c>
      <c r="AG2333" s="5" t="s">
        <v>249</v>
      </c>
      <c r="AW2333" s="5" t="s">
        <v>251</v>
      </c>
      <c r="AX2333" s="5" t="s">
        <v>240</v>
      </c>
      <c r="AY2333" s="5" t="s">
        <v>253</v>
      </c>
      <c r="AZ2333" s="5" t="s">
        <v>240</v>
      </c>
      <c r="BA2333" s="5" t="s">
        <v>255</v>
      </c>
      <c r="BB2333" s="5" t="s">
        <v>240</v>
      </c>
      <c r="BD2333" s="5" t="s">
        <v>240</v>
      </c>
      <c r="BF2333" s="5" t="s">
        <v>301</v>
      </c>
      <c r="BG2333" s="6" t="s">
        <v>299</v>
      </c>
      <c r="BH2333" s="5" t="s">
        <v>302</v>
      </c>
      <c r="BI2333" s="5" t="s">
        <v>303</v>
      </c>
      <c r="BJ2333" s="5" t="s">
        <v>240</v>
      </c>
      <c r="BK2333" s="8">
        <f>0</f>
        <v>0</v>
      </c>
      <c r="BL2333" s="7">
        <f>0</f>
        <v>0</v>
      </c>
      <c r="BM2333" s="5" t="s">
        <v>258</v>
      </c>
      <c r="BN2333" s="5" t="s">
        <v>259</v>
      </c>
      <c r="CB2333" s="5" t="s">
        <v>240</v>
      </c>
      <c r="CC2333" s="5" t="s">
        <v>240</v>
      </c>
      <c r="CG2333" s="5" t="s">
        <v>304</v>
      </c>
      <c r="CH2333" s="5" t="s">
        <v>305</v>
      </c>
      <c r="CI2333" s="5" t="s">
        <v>240</v>
      </c>
      <c r="CL2333" s="6" t="s">
        <v>261</v>
      </c>
      <c r="CM2333" s="5" t="s">
        <v>240</v>
      </c>
      <c r="CN2333" s="5" t="s">
        <v>263</v>
      </c>
      <c r="CO2333" s="5" t="s">
        <v>240</v>
      </c>
      <c r="CP2333" s="5" t="s">
        <v>240</v>
      </c>
      <c r="CQ2333" s="5">
        <v>0</v>
      </c>
      <c r="CR2333" s="5" t="s">
        <v>306</v>
      </c>
      <c r="CS2333" s="5" t="s">
        <v>307</v>
      </c>
      <c r="CT2333" s="5" t="s">
        <v>307</v>
      </c>
      <c r="CU2333" s="5" t="s">
        <v>260</v>
      </c>
      <c r="CX2333" s="7">
        <f>1</f>
        <v>1</v>
      </c>
      <c r="CY2333" s="7">
        <f>0</f>
        <v>0</v>
      </c>
      <c r="DA2333" s="7">
        <f>0</f>
        <v>0</v>
      </c>
      <c r="DC2333" s="5" t="s">
        <v>309</v>
      </c>
      <c r="DD2333" s="5" t="s">
        <v>240</v>
      </c>
      <c r="DF2333" s="5" t="s">
        <v>309</v>
      </c>
      <c r="DG2333" s="7">
        <f>1637</f>
        <v>1637</v>
      </c>
      <c r="DI2333" s="5" t="s">
        <v>240</v>
      </c>
      <c r="DJ2333" s="5" t="s">
        <v>240</v>
      </c>
      <c r="DK2333" s="5" t="s">
        <v>240</v>
      </c>
      <c r="DL2333" s="5" t="s">
        <v>240</v>
      </c>
      <c r="DP2333" s="5" t="s">
        <v>240</v>
      </c>
      <c r="DQ2333" s="5" t="s">
        <v>240</v>
      </c>
      <c r="DR2333" s="5" t="s">
        <v>240</v>
      </c>
      <c r="DS2333" s="5" t="s">
        <v>240</v>
      </c>
      <c r="DV2333" s="5" t="s">
        <v>310</v>
      </c>
      <c r="DW2333" s="5" t="s">
        <v>2714</v>
      </c>
      <c r="HO2333" s="5" t="s">
        <v>312</v>
      </c>
    </row>
    <row r="2334" spans="1:223" x14ac:dyDescent="0.4">
      <c r="A2334" s="5">
        <v>4038</v>
      </c>
      <c r="B2334" s="5">
        <v>1</v>
      </c>
      <c r="C2334" s="5">
        <v>1</v>
      </c>
      <c r="D2334" s="5" t="s">
        <v>810</v>
      </c>
      <c r="E2334" s="5" t="s">
        <v>245</v>
      </c>
      <c r="F2334" s="5" t="s">
        <v>254</v>
      </c>
      <c r="G2334" s="5" t="s">
        <v>240</v>
      </c>
      <c r="H2334" s="6" t="s">
        <v>3599</v>
      </c>
      <c r="I2334" s="5" t="s">
        <v>809</v>
      </c>
      <c r="J2334" s="8">
        <f>385</f>
        <v>385</v>
      </c>
      <c r="K2334" s="5" t="s">
        <v>308</v>
      </c>
      <c r="L2334" s="7">
        <f>1</f>
        <v>1</v>
      </c>
      <c r="M2334" s="7">
        <f>1</f>
        <v>1</v>
      </c>
      <c r="N2334" s="5" t="s">
        <v>242</v>
      </c>
      <c r="O2334" s="5">
        <v>1</v>
      </c>
      <c r="P2334" s="5" t="s">
        <v>294</v>
      </c>
      <c r="Q2334" s="5" t="s">
        <v>266</v>
      </c>
      <c r="R2334" s="5" t="s">
        <v>240</v>
      </c>
      <c r="S2334" s="5" t="s">
        <v>240</v>
      </c>
      <c r="T2334" s="5" t="s">
        <v>296</v>
      </c>
      <c r="U2334" s="5" t="s">
        <v>244</v>
      </c>
      <c r="V2334" s="5" t="s">
        <v>240</v>
      </c>
      <c r="Y2334" s="5" t="s">
        <v>240</v>
      </c>
      <c r="Z2334" s="6" t="s">
        <v>298</v>
      </c>
      <c r="AB2334" s="6" t="s">
        <v>240</v>
      </c>
      <c r="AE2334" s="6" t="s">
        <v>299</v>
      </c>
      <c r="AF2334" s="5" t="s">
        <v>248</v>
      </c>
      <c r="AG2334" s="5" t="s">
        <v>249</v>
      </c>
      <c r="AW2334" s="5" t="s">
        <v>251</v>
      </c>
      <c r="AX2334" s="5" t="s">
        <v>240</v>
      </c>
      <c r="AY2334" s="5" t="s">
        <v>253</v>
      </c>
      <c r="AZ2334" s="5" t="s">
        <v>240</v>
      </c>
      <c r="BA2334" s="5" t="s">
        <v>255</v>
      </c>
      <c r="BB2334" s="5" t="s">
        <v>240</v>
      </c>
      <c r="BD2334" s="5" t="s">
        <v>240</v>
      </c>
      <c r="BF2334" s="5" t="s">
        <v>301</v>
      </c>
      <c r="BG2334" s="6" t="s">
        <v>299</v>
      </c>
      <c r="BH2334" s="5" t="s">
        <v>302</v>
      </c>
      <c r="BI2334" s="5" t="s">
        <v>303</v>
      </c>
      <c r="BJ2334" s="5" t="s">
        <v>240</v>
      </c>
      <c r="BK2334" s="8">
        <f>0</f>
        <v>0</v>
      </c>
      <c r="BL2334" s="7">
        <f>0</f>
        <v>0</v>
      </c>
      <c r="BM2334" s="5" t="s">
        <v>258</v>
      </c>
      <c r="BN2334" s="5" t="s">
        <v>259</v>
      </c>
      <c r="CB2334" s="5" t="s">
        <v>240</v>
      </c>
      <c r="CC2334" s="5" t="s">
        <v>240</v>
      </c>
      <c r="CG2334" s="5" t="s">
        <v>304</v>
      </c>
      <c r="CH2334" s="5" t="s">
        <v>305</v>
      </c>
      <c r="CI2334" s="5" t="s">
        <v>240</v>
      </c>
      <c r="CL2334" s="6" t="s">
        <v>261</v>
      </c>
      <c r="CM2334" s="5" t="s">
        <v>240</v>
      </c>
      <c r="CN2334" s="5" t="s">
        <v>263</v>
      </c>
      <c r="CO2334" s="5" t="s">
        <v>240</v>
      </c>
      <c r="CP2334" s="5" t="s">
        <v>240</v>
      </c>
      <c r="CQ2334" s="5">
        <v>0</v>
      </c>
      <c r="CR2334" s="5" t="s">
        <v>306</v>
      </c>
      <c r="CS2334" s="5" t="s">
        <v>307</v>
      </c>
      <c r="CT2334" s="5" t="s">
        <v>307</v>
      </c>
      <c r="CU2334" s="5" t="s">
        <v>260</v>
      </c>
      <c r="CX2334" s="7">
        <f>1</f>
        <v>1</v>
      </c>
      <c r="CY2334" s="7">
        <f>0</f>
        <v>0</v>
      </c>
      <c r="DA2334" s="7">
        <f>0</f>
        <v>0</v>
      </c>
      <c r="DC2334" s="5" t="s">
        <v>309</v>
      </c>
      <c r="DD2334" s="5" t="s">
        <v>240</v>
      </c>
      <c r="DF2334" s="5" t="s">
        <v>309</v>
      </c>
      <c r="DG2334" s="7">
        <f>1538</f>
        <v>1538</v>
      </c>
      <c r="DI2334" s="5" t="s">
        <v>240</v>
      </c>
      <c r="DJ2334" s="5" t="s">
        <v>240</v>
      </c>
      <c r="DK2334" s="5" t="s">
        <v>240</v>
      </c>
      <c r="DL2334" s="5" t="s">
        <v>240</v>
      </c>
      <c r="DP2334" s="5" t="s">
        <v>240</v>
      </c>
      <c r="DQ2334" s="5" t="s">
        <v>240</v>
      </c>
      <c r="DR2334" s="5" t="s">
        <v>240</v>
      </c>
      <c r="DS2334" s="5" t="s">
        <v>240</v>
      </c>
      <c r="DV2334" s="5" t="s">
        <v>310</v>
      </c>
      <c r="DW2334" s="5" t="s">
        <v>2716</v>
      </c>
      <c r="HO2334" s="5" t="s">
        <v>312</v>
      </c>
    </row>
    <row r="2335" spans="1:223" x14ac:dyDescent="0.4">
      <c r="A2335" s="5">
        <v>4039</v>
      </c>
      <c r="B2335" s="5">
        <v>1</v>
      </c>
      <c r="C2335" s="5">
        <v>1</v>
      </c>
      <c r="D2335" s="5" t="s">
        <v>810</v>
      </c>
      <c r="E2335" s="5" t="s">
        <v>245</v>
      </c>
      <c r="F2335" s="5" t="s">
        <v>254</v>
      </c>
      <c r="G2335" s="5" t="s">
        <v>240</v>
      </c>
      <c r="H2335" s="6" t="s">
        <v>3662</v>
      </c>
      <c r="I2335" s="5" t="s">
        <v>809</v>
      </c>
      <c r="J2335" s="8">
        <f>1725</f>
        <v>1725</v>
      </c>
      <c r="K2335" s="5" t="s">
        <v>308</v>
      </c>
      <c r="L2335" s="7">
        <f>1</f>
        <v>1</v>
      </c>
      <c r="M2335" s="7">
        <f>1</f>
        <v>1</v>
      </c>
      <c r="N2335" s="5" t="s">
        <v>242</v>
      </c>
      <c r="O2335" s="5">
        <v>1</v>
      </c>
      <c r="P2335" s="5" t="s">
        <v>294</v>
      </c>
      <c r="Q2335" s="5" t="s">
        <v>266</v>
      </c>
      <c r="R2335" s="5" t="s">
        <v>240</v>
      </c>
      <c r="S2335" s="5" t="s">
        <v>240</v>
      </c>
      <c r="T2335" s="5" t="s">
        <v>296</v>
      </c>
      <c r="U2335" s="5" t="s">
        <v>244</v>
      </c>
      <c r="V2335" s="5" t="s">
        <v>240</v>
      </c>
      <c r="Y2335" s="5" t="s">
        <v>240</v>
      </c>
      <c r="Z2335" s="6" t="s">
        <v>298</v>
      </c>
      <c r="AB2335" s="6" t="s">
        <v>240</v>
      </c>
      <c r="AE2335" s="6" t="s">
        <v>299</v>
      </c>
      <c r="AF2335" s="5" t="s">
        <v>248</v>
      </c>
      <c r="AG2335" s="5" t="s">
        <v>249</v>
      </c>
      <c r="AW2335" s="5" t="s">
        <v>251</v>
      </c>
      <c r="AX2335" s="5" t="s">
        <v>240</v>
      </c>
      <c r="AY2335" s="5" t="s">
        <v>253</v>
      </c>
      <c r="AZ2335" s="5" t="s">
        <v>240</v>
      </c>
      <c r="BA2335" s="5" t="s">
        <v>255</v>
      </c>
      <c r="BB2335" s="5" t="s">
        <v>240</v>
      </c>
      <c r="BD2335" s="5" t="s">
        <v>240</v>
      </c>
      <c r="BF2335" s="5" t="s">
        <v>301</v>
      </c>
      <c r="BG2335" s="6" t="s">
        <v>299</v>
      </c>
      <c r="BH2335" s="5" t="s">
        <v>302</v>
      </c>
      <c r="BI2335" s="5" t="s">
        <v>303</v>
      </c>
      <c r="BJ2335" s="5" t="s">
        <v>240</v>
      </c>
      <c r="BK2335" s="8">
        <f>0</f>
        <v>0</v>
      </c>
      <c r="BL2335" s="7">
        <f>0</f>
        <v>0</v>
      </c>
      <c r="BM2335" s="5" t="s">
        <v>258</v>
      </c>
      <c r="BN2335" s="5" t="s">
        <v>259</v>
      </c>
      <c r="CB2335" s="5" t="s">
        <v>240</v>
      </c>
      <c r="CC2335" s="5" t="s">
        <v>240</v>
      </c>
      <c r="CG2335" s="5" t="s">
        <v>304</v>
      </c>
      <c r="CH2335" s="5" t="s">
        <v>305</v>
      </c>
      <c r="CI2335" s="5" t="s">
        <v>240</v>
      </c>
      <c r="CL2335" s="6" t="s">
        <v>261</v>
      </c>
      <c r="CM2335" s="5" t="s">
        <v>240</v>
      </c>
      <c r="CN2335" s="5" t="s">
        <v>263</v>
      </c>
      <c r="CO2335" s="5" t="s">
        <v>240</v>
      </c>
      <c r="CP2335" s="5" t="s">
        <v>240</v>
      </c>
      <c r="CQ2335" s="5">
        <v>0</v>
      </c>
      <c r="CR2335" s="5" t="s">
        <v>306</v>
      </c>
      <c r="CS2335" s="5" t="s">
        <v>307</v>
      </c>
      <c r="CT2335" s="5" t="s">
        <v>307</v>
      </c>
      <c r="CU2335" s="5" t="s">
        <v>260</v>
      </c>
      <c r="CX2335" s="7">
        <f>1</f>
        <v>1</v>
      </c>
      <c r="CY2335" s="7">
        <f>0</f>
        <v>0</v>
      </c>
      <c r="DA2335" s="7">
        <f>0</f>
        <v>0</v>
      </c>
      <c r="DC2335" s="5" t="s">
        <v>309</v>
      </c>
      <c r="DD2335" s="5" t="s">
        <v>240</v>
      </c>
      <c r="DF2335" s="5" t="s">
        <v>309</v>
      </c>
      <c r="DG2335" s="7">
        <f>1200</f>
        <v>1200</v>
      </c>
      <c r="DI2335" s="5" t="s">
        <v>240</v>
      </c>
      <c r="DJ2335" s="5" t="s">
        <v>240</v>
      </c>
      <c r="DK2335" s="5" t="s">
        <v>240</v>
      </c>
      <c r="DL2335" s="5" t="s">
        <v>240</v>
      </c>
      <c r="DP2335" s="5" t="s">
        <v>240</v>
      </c>
      <c r="DQ2335" s="5" t="s">
        <v>240</v>
      </c>
      <c r="DR2335" s="5" t="s">
        <v>240</v>
      </c>
      <c r="DS2335" s="5" t="s">
        <v>240</v>
      </c>
      <c r="DV2335" s="5" t="s">
        <v>310</v>
      </c>
      <c r="DW2335" s="5" t="s">
        <v>2718</v>
      </c>
      <c r="HO2335" s="5" t="s">
        <v>312</v>
      </c>
    </row>
    <row r="2336" spans="1:223" x14ac:dyDescent="0.4">
      <c r="A2336" s="5">
        <v>4040</v>
      </c>
      <c r="B2336" s="5">
        <v>1</v>
      </c>
      <c r="C2336" s="5">
        <v>1</v>
      </c>
      <c r="D2336" s="5" t="s">
        <v>810</v>
      </c>
      <c r="E2336" s="5" t="s">
        <v>245</v>
      </c>
      <c r="F2336" s="5" t="s">
        <v>254</v>
      </c>
      <c r="G2336" s="5" t="s">
        <v>240</v>
      </c>
      <c r="H2336" s="6" t="s">
        <v>3670</v>
      </c>
      <c r="I2336" s="5" t="s">
        <v>809</v>
      </c>
      <c r="J2336" s="8">
        <f>640</f>
        <v>640</v>
      </c>
      <c r="K2336" s="5" t="s">
        <v>308</v>
      </c>
      <c r="L2336" s="7">
        <f>1</f>
        <v>1</v>
      </c>
      <c r="M2336" s="7">
        <f>1</f>
        <v>1</v>
      </c>
      <c r="N2336" s="5" t="s">
        <v>242</v>
      </c>
      <c r="O2336" s="5">
        <v>1</v>
      </c>
      <c r="P2336" s="5" t="s">
        <v>294</v>
      </c>
      <c r="Q2336" s="5" t="s">
        <v>266</v>
      </c>
      <c r="R2336" s="5" t="s">
        <v>240</v>
      </c>
      <c r="S2336" s="5" t="s">
        <v>240</v>
      </c>
      <c r="T2336" s="5" t="s">
        <v>296</v>
      </c>
      <c r="U2336" s="5" t="s">
        <v>244</v>
      </c>
      <c r="V2336" s="5" t="s">
        <v>240</v>
      </c>
      <c r="Y2336" s="5" t="s">
        <v>240</v>
      </c>
      <c r="Z2336" s="6" t="s">
        <v>298</v>
      </c>
      <c r="AB2336" s="6" t="s">
        <v>240</v>
      </c>
      <c r="AE2336" s="6" t="s">
        <v>299</v>
      </c>
      <c r="AF2336" s="5" t="s">
        <v>248</v>
      </c>
      <c r="AG2336" s="5" t="s">
        <v>249</v>
      </c>
      <c r="AW2336" s="5" t="s">
        <v>251</v>
      </c>
      <c r="AX2336" s="5" t="s">
        <v>240</v>
      </c>
      <c r="AY2336" s="5" t="s">
        <v>253</v>
      </c>
      <c r="AZ2336" s="5" t="s">
        <v>240</v>
      </c>
      <c r="BA2336" s="5" t="s">
        <v>255</v>
      </c>
      <c r="BB2336" s="5" t="s">
        <v>240</v>
      </c>
      <c r="BD2336" s="5" t="s">
        <v>240</v>
      </c>
      <c r="BF2336" s="5" t="s">
        <v>301</v>
      </c>
      <c r="BG2336" s="6" t="s">
        <v>299</v>
      </c>
      <c r="BH2336" s="5" t="s">
        <v>302</v>
      </c>
      <c r="BI2336" s="5" t="s">
        <v>303</v>
      </c>
      <c r="BJ2336" s="5" t="s">
        <v>240</v>
      </c>
      <c r="BK2336" s="8">
        <f>0</f>
        <v>0</v>
      </c>
      <c r="BL2336" s="7">
        <f>0</f>
        <v>0</v>
      </c>
      <c r="BM2336" s="5" t="s">
        <v>258</v>
      </c>
      <c r="BN2336" s="5" t="s">
        <v>259</v>
      </c>
      <c r="CB2336" s="5" t="s">
        <v>240</v>
      </c>
      <c r="CC2336" s="5" t="s">
        <v>240</v>
      </c>
      <c r="CG2336" s="5" t="s">
        <v>304</v>
      </c>
      <c r="CH2336" s="5" t="s">
        <v>305</v>
      </c>
      <c r="CI2336" s="5" t="s">
        <v>240</v>
      </c>
      <c r="CL2336" s="6" t="s">
        <v>261</v>
      </c>
      <c r="CM2336" s="5" t="s">
        <v>240</v>
      </c>
      <c r="CN2336" s="5" t="s">
        <v>263</v>
      </c>
      <c r="CO2336" s="5" t="s">
        <v>240</v>
      </c>
      <c r="CP2336" s="5" t="s">
        <v>240</v>
      </c>
      <c r="CQ2336" s="5">
        <v>0</v>
      </c>
      <c r="CR2336" s="5" t="s">
        <v>306</v>
      </c>
      <c r="CS2336" s="5" t="s">
        <v>307</v>
      </c>
      <c r="CT2336" s="5" t="s">
        <v>307</v>
      </c>
      <c r="CU2336" s="5" t="s">
        <v>260</v>
      </c>
      <c r="CX2336" s="7">
        <f>1</f>
        <v>1</v>
      </c>
      <c r="CY2336" s="7">
        <f>0</f>
        <v>0</v>
      </c>
      <c r="DA2336" s="7">
        <f>0</f>
        <v>0</v>
      </c>
      <c r="DC2336" s="5" t="s">
        <v>309</v>
      </c>
      <c r="DD2336" s="5" t="s">
        <v>240</v>
      </c>
      <c r="DF2336" s="5" t="s">
        <v>309</v>
      </c>
      <c r="DG2336" s="7">
        <f>2841</f>
        <v>2841</v>
      </c>
      <c r="DI2336" s="5" t="s">
        <v>240</v>
      </c>
      <c r="DJ2336" s="5" t="s">
        <v>240</v>
      </c>
      <c r="DK2336" s="5" t="s">
        <v>240</v>
      </c>
      <c r="DL2336" s="5" t="s">
        <v>240</v>
      </c>
      <c r="DP2336" s="5" t="s">
        <v>240</v>
      </c>
      <c r="DQ2336" s="5" t="s">
        <v>240</v>
      </c>
      <c r="DR2336" s="5" t="s">
        <v>240</v>
      </c>
      <c r="DS2336" s="5" t="s">
        <v>240</v>
      </c>
      <c r="DV2336" s="5" t="s">
        <v>310</v>
      </c>
      <c r="DW2336" s="5" t="s">
        <v>2720</v>
      </c>
      <c r="HO2336" s="5" t="s">
        <v>312</v>
      </c>
    </row>
    <row r="2337" spans="1:223" x14ac:dyDescent="0.4">
      <c r="A2337" s="5">
        <v>4041</v>
      </c>
      <c r="B2337" s="5">
        <v>1</v>
      </c>
      <c r="C2337" s="5">
        <v>1</v>
      </c>
      <c r="D2337" s="5" t="s">
        <v>810</v>
      </c>
      <c r="E2337" s="5" t="s">
        <v>245</v>
      </c>
      <c r="F2337" s="5" t="s">
        <v>254</v>
      </c>
      <c r="G2337" s="5" t="s">
        <v>240</v>
      </c>
      <c r="H2337" s="6" t="s">
        <v>3698</v>
      </c>
      <c r="I2337" s="5" t="s">
        <v>809</v>
      </c>
      <c r="J2337" s="8">
        <f>743</f>
        <v>743</v>
      </c>
      <c r="K2337" s="5" t="s">
        <v>308</v>
      </c>
      <c r="L2337" s="7">
        <f>1</f>
        <v>1</v>
      </c>
      <c r="M2337" s="7">
        <f>1</f>
        <v>1</v>
      </c>
      <c r="N2337" s="5" t="s">
        <v>242</v>
      </c>
      <c r="O2337" s="5">
        <v>1</v>
      </c>
      <c r="P2337" s="5" t="s">
        <v>294</v>
      </c>
      <c r="Q2337" s="5" t="s">
        <v>266</v>
      </c>
      <c r="R2337" s="5" t="s">
        <v>240</v>
      </c>
      <c r="S2337" s="5" t="s">
        <v>240</v>
      </c>
      <c r="T2337" s="5" t="s">
        <v>296</v>
      </c>
      <c r="U2337" s="5" t="s">
        <v>244</v>
      </c>
      <c r="V2337" s="5" t="s">
        <v>240</v>
      </c>
      <c r="Y2337" s="5" t="s">
        <v>240</v>
      </c>
      <c r="Z2337" s="6" t="s">
        <v>298</v>
      </c>
      <c r="AB2337" s="6" t="s">
        <v>240</v>
      </c>
      <c r="AE2337" s="6" t="s">
        <v>299</v>
      </c>
      <c r="AF2337" s="5" t="s">
        <v>248</v>
      </c>
      <c r="AG2337" s="5" t="s">
        <v>249</v>
      </c>
      <c r="AW2337" s="5" t="s">
        <v>251</v>
      </c>
      <c r="AX2337" s="5" t="s">
        <v>240</v>
      </c>
      <c r="AY2337" s="5" t="s">
        <v>253</v>
      </c>
      <c r="AZ2337" s="5" t="s">
        <v>240</v>
      </c>
      <c r="BA2337" s="5" t="s">
        <v>255</v>
      </c>
      <c r="BB2337" s="5" t="s">
        <v>240</v>
      </c>
      <c r="BD2337" s="5" t="s">
        <v>240</v>
      </c>
      <c r="BF2337" s="5" t="s">
        <v>301</v>
      </c>
      <c r="BG2337" s="6" t="s">
        <v>299</v>
      </c>
      <c r="BH2337" s="5" t="s">
        <v>302</v>
      </c>
      <c r="BI2337" s="5" t="s">
        <v>303</v>
      </c>
      <c r="BJ2337" s="5" t="s">
        <v>240</v>
      </c>
      <c r="BK2337" s="8">
        <f>0</f>
        <v>0</v>
      </c>
      <c r="BL2337" s="7">
        <f>0</f>
        <v>0</v>
      </c>
      <c r="BM2337" s="5" t="s">
        <v>258</v>
      </c>
      <c r="BN2337" s="5" t="s">
        <v>259</v>
      </c>
      <c r="CB2337" s="5" t="s">
        <v>240</v>
      </c>
      <c r="CC2337" s="5" t="s">
        <v>240</v>
      </c>
      <c r="CG2337" s="5" t="s">
        <v>304</v>
      </c>
      <c r="CH2337" s="5" t="s">
        <v>305</v>
      </c>
      <c r="CI2337" s="5" t="s">
        <v>240</v>
      </c>
      <c r="CL2337" s="6" t="s">
        <v>261</v>
      </c>
      <c r="CM2337" s="5" t="s">
        <v>240</v>
      </c>
      <c r="CN2337" s="5" t="s">
        <v>263</v>
      </c>
      <c r="CO2337" s="5" t="s">
        <v>240</v>
      </c>
      <c r="CP2337" s="5" t="s">
        <v>240</v>
      </c>
      <c r="CQ2337" s="5">
        <v>0</v>
      </c>
      <c r="CR2337" s="5" t="s">
        <v>306</v>
      </c>
      <c r="CS2337" s="5" t="s">
        <v>307</v>
      </c>
      <c r="CT2337" s="5" t="s">
        <v>307</v>
      </c>
      <c r="CU2337" s="5" t="s">
        <v>260</v>
      </c>
      <c r="CX2337" s="7">
        <f>1</f>
        <v>1</v>
      </c>
      <c r="CY2337" s="7">
        <f>0</f>
        <v>0</v>
      </c>
      <c r="DA2337" s="7">
        <f>0</f>
        <v>0</v>
      </c>
      <c r="DC2337" s="5" t="s">
        <v>309</v>
      </c>
      <c r="DD2337" s="5" t="s">
        <v>240</v>
      </c>
      <c r="DF2337" s="5" t="s">
        <v>309</v>
      </c>
      <c r="DG2337" s="7">
        <f>3411</f>
        <v>3411</v>
      </c>
      <c r="DI2337" s="5" t="s">
        <v>240</v>
      </c>
      <c r="DJ2337" s="5" t="s">
        <v>240</v>
      </c>
      <c r="DK2337" s="5" t="s">
        <v>240</v>
      </c>
      <c r="DL2337" s="5" t="s">
        <v>240</v>
      </c>
      <c r="DP2337" s="5" t="s">
        <v>240</v>
      </c>
      <c r="DQ2337" s="5" t="s">
        <v>240</v>
      </c>
      <c r="DR2337" s="5" t="s">
        <v>240</v>
      </c>
      <c r="DS2337" s="5" t="s">
        <v>240</v>
      </c>
      <c r="DV2337" s="5" t="s">
        <v>310</v>
      </c>
      <c r="DW2337" s="5" t="s">
        <v>2722</v>
      </c>
      <c r="HO2337" s="5" t="s">
        <v>312</v>
      </c>
    </row>
    <row r="2338" spans="1:223" x14ac:dyDescent="0.4">
      <c r="A2338" s="5">
        <v>4042</v>
      </c>
      <c r="B2338" s="5">
        <v>1</v>
      </c>
      <c r="C2338" s="5">
        <v>1</v>
      </c>
      <c r="D2338" s="5" t="s">
        <v>810</v>
      </c>
      <c r="E2338" s="5" t="s">
        <v>245</v>
      </c>
      <c r="F2338" s="5" t="s">
        <v>254</v>
      </c>
      <c r="G2338" s="5" t="s">
        <v>240</v>
      </c>
      <c r="H2338" s="6" t="s">
        <v>3706</v>
      </c>
      <c r="I2338" s="5" t="s">
        <v>809</v>
      </c>
      <c r="J2338" s="8">
        <f>3889</f>
        <v>3889</v>
      </c>
      <c r="K2338" s="5" t="s">
        <v>308</v>
      </c>
      <c r="L2338" s="7">
        <f>1</f>
        <v>1</v>
      </c>
      <c r="M2338" s="7">
        <f>1</f>
        <v>1</v>
      </c>
      <c r="N2338" s="5" t="s">
        <v>242</v>
      </c>
      <c r="O2338" s="5">
        <v>1</v>
      </c>
      <c r="P2338" s="5" t="s">
        <v>294</v>
      </c>
      <c r="Q2338" s="5" t="s">
        <v>266</v>
      </c>
      <c r="R2338" s="5" t="s">
        <v>240</v>
      </c>
      <c r="S2338" s="5" t="s">
        <v>240</v>
      </c>
      <c r="T2338" s="5" t="s">
        <v>296</v>
      </c>
      <c r="U2338" s="5" t="s">
        <v>244</v>
      </c>
      <c r="V2338" s="5" t="s">
        <v>240</v>
      </c>
      <c r="Y2338" s="5" t="s">
        <v>240</v>
      </c>
      <c r="Z2338" s="6" t="s">
        <v>298</v>
      </c>
      <c r="AB2338" s="6" t="s">
        <v>240</v>
      </c>
      <c r="AE2338" s="6" t="s">
        <v>299</v>
      </c>
      <c r="AF2338" s="5" t="s">
        <v>248</v>
      </c>
      <c r="AG2338" s="5" t="s">
        <v>249</v>
      </c>
      <c r="AW2338" s="5" t="s">
        <v>251</v>
      </c>
      <c r="AX2338" s="5" t="s">
        <v>240</v>
      </c>
      <c r="AY2338" s="5" t="s">
        <v>253</v>
      </c>
      <c r="AZ2338" s="5" t="s">
        <v>240</v>
      </c>
      <c r="BA2338" s="5" t="s">
        <v>255</v>
      </c>
      <c r="BB2338" s="5" t="s">
        <v>240</v>
      </c>
      <c r="BD2338" s="5" t="s">
        <v>240</v>
      </c>
      <c r="BF2338" s="5" t="s">
        <v>301</v>
      </c>
      <c r="BG2338" s="6" t="s">
        <v>299</v>
      </c>
      <c r="BH2338" s="5" t="s">
        <v>302</v>
      </c>
      <c r="BI2338" s="5" t="s">
        <v>303</v>
      </c>
      <c r="BJ2338" s="5" t="s">
        <v>240</v>
      </c>
      <c r="BK2338" s="8">
        <f>0</f>
        <v>0</v>
      </c>
      <c r="BL2338" s="7">
        <f>0</f>
        <v>0</v>
      </c>
      <c r="BM2338" s="5" t="s">
        <v>258</v>
      </c>
      <c r="BN2338" s="5" t="s">
        <v>259</v>
      </c>
      <c r="CB2338" s="5" t="s">
        <v>240</v>
      </c>
      <c r="CC2338" s="5" t="s">
        <v>240</v>
      </c>
      <c r="CG2338" s="5" t="s">
        <v>304</v>
      </c>
      <c r="CH2338" s="5" t="s">
        <v>305</v>
      </c>
      <c r="CI2338" s="5" t="s">
        <v>240</v>
      </c>
      <c r="CL2338" s="6" t="s">
        <v>261</v>
      </c>
      <c r="CM2338" s="5" t="s">
        <v>240</v>
      </c>
      <c r="CN2338" s="5" t="s">
        <v>263</v>
      </c>
      <c r="CO2338" s="5" t="s">
        <v>240</v>
      </c>
      <c r="CP2338" s="5" t="s">
        <v>240</v>
      </c>
      <c r="CQ2338" s="5">
        <v>0</v>
      </c>
      <c r="CR2338" s="5" t="s">
        <v>306</v>
      </c>
      <c r="CS2338" s="5" t="s">
        <v>307</v>
      </c>
      <c r="CT2338" s="5" t="s">
        <v>307</v>
      </c>
      <c r="CU2338" s="5" t="s">
        <v>260</v>
      </c>
      <c r="CX2338" s="7">
        <f>1</f>
        <v>1</v>
      </c>
      <c r="CY2338" s="7">
        <f>0</f>
        <v>0</v>
      </c>
      <c r="DA2338" s="7">
        <f>0</f>
        <v>0</v>
      </c>
      <c r="DC2338" s="5" t="s">
        <v>309</v>
      </c>
      <c r="DD2338" s="5" t="s">
        <v>240</v>
      </c>
      <c r="DF2338" s="5" t="s">
        <v>309</v>
      </c>
      <c r="DG2338" s="7">
        <f>730</f>
        <v>730</v>
      </c>
      <c r="DI2338" s="5" t="s">
        <v>240</v>
      </c>
      <c r="DJ2338" s="5" t="s">
        <v>240</v>
      </c>
      <c r="DK2338" s="5" t="s">
        <v>240</v>
      </c>
      <c r="DL2338" s="5" t="s">
        <v>240</v>
      </c>
      <c r="DP2338" s="5" t="s">
        <v>240</v>
      </c>
      <c r="DQ2338" s="5" t="s">
        <v>240</v>
      </c>
      <c r="DR2338" s="5" t="s">
        <v>240</v>
      </c>
      <c r="DS2338" s="5" t="s">
        <v>240</v>
      </c>
      <c r="DV2338" s="5" t="s">
        <v>310</v>
      </c>
      <c r="DW2338" s="5" t="s">
        <v>2724</v>
      </c>
      <c r="HO2338" s="5" t="s">
        <v>312</v>
      </c>
    </row>
    <row r="2339" spans="1:223" x14ac:dyDescent="0.4">
      <c r="A2339" s="5">
        <v>4043</v>
      </c>
      <c r="B2339" s="5">
        <v>1</v>
      </c>
      <c r="C2339" s="5">
        <v>1</v>
      </c>
      <c r="D2339" s="5" t="s">
        <v>810</v>
      </c>
      <c r="E2339" s="5" t="s">
        <v>245</v>
      </c>
      <c r="F2339" s="5" t="s">
        <v>254</v>
      </c>
      <c r="G2339" s="5" t="s">
        <v>240</v>
      </c>
      <c r="H2339" s="6" t="s">
        <v>3721</v>
      </c>
      <c r="I2339" s="5" t="s">
        <v>809</v>
      </c>
      <c r="J2339" s="8">
        <f>2525</f>
        <v>2525</v>
      </c>
      <c r="K2339" s="5" t="s">
        <v>308</v>
      </c>
      <c r="L2339" s="7">
        <f>1</f>
        <v>1</v>
      </c>
      <c r="M2339" s="7">
        <f>1</f>
        <v>1</v>
      </c>
      <c r="N2339" s="5" t="s">
        <v>242</v>
      </c>
      <c r="O2339" s="5">
        <v>1</v>
      </c>
      <c r="P2339" s="5" t="s">
        <v>294</v>
      </c>
      <c r="Q2339" s="5" t="s">
        <v>266</v>
      </c>
      <c r="R2339" s="5" t="s">
        <v>240</v>
      </c>
      <c r="S2339" s="5" t="s">
        <v>240</v>
      </c>
      <c r="T2339" s="5" t="s">
        <v>296</v>
      </c>
      <c r="U2339" s="5" t="s">
        <v>244</v>
      </c>
      <c r="V2339" s="5" t="s">
        <v>240</v>
      </c>
      <c r="Y2339" s="5" t="s">
        <v>240</v>
      </c>
      <c r="Z2339" s="6" t="s">
        <v>298</v>
      </c>
      <c r="AB2339" s="6" t="s">
        <v>240</v>
      </c>
      <c r="AE2339" s="6" t="s">
        <v>299</v>
      </c>
      <c r="AF2339" s="5" t="s">
        <v>248</v>
      </c>
      <c r="AG2339" s="5" t="s">
        <v>249</v>
      </c>
      <c r="AW2339" s="5" t="s">
        <v>251</v>
      </c>
      <c r="AX2339" s="5" t="s">
        <v>240</v>
      </c>
      <c r="AY2339" s="5" t="s">
        <v>253</v>
      </c>
      <c r="AZ2339" s="5" t="s">
        <v>240</v>
      </c>
      <c r="BA2339" s="5" t="s">
        <v>255</v>
      </c>
      <c r="BB2339" s="5" t="s">
        <v>240</v>
      </c>
      <c r="BD2339" s="5" t="s">
        <v>240</v>
      </c>
      <c r="BF2339" s="5" t="s">
        <v>301</v>
      </c>
      <c r="BG2339" s="6" t="s">
        <v>299</v>
      </c>
      <c r="BH2339" s="5" t="s">
        <v>302</v>
      </c>
      <c r="BI2339" s="5" t="s">
        <v>303</v>
      </c>
      <c r="BJ2339" s="5" t="s">
        <v>240</v>
      </c>
      <c r="BK2339" s="8">
        <f>0</f>
        <v>0</v>
      </c>
      <c r="BL2339" s="7">
        <f>0</f>
        <v>0</v>
      </c>
      <c r="BM2339" s="5" t="s">
        <v>258</v>
      </c>
      <c r="BN2339" s="5" t="s">
        <v>259</v>
      </c>
      <c r="CB2339" s="5" t="s">
        <v>240</v>
      </c>
      <c r="CC2339" s="5" t="s">
        <v>240</v>
      </c>
      <c r="CG2339" s="5" t="s">
        <v>304</v>
      </c>
      <c r="CH2339" s="5" t="s">
        <v>305</v>
      </c>
      <c r="CI2339" s="5" t="s">
        <v>240</v>
      </c>
      <c r="CL2339" s="6" t="s">
        <v>261</v>
      </c>
      <c r="CM2339" s="5" t="s">
        <v>240</v>
      </c>
      <c r="CN2339" s="5" t="s">
        <v>263</v>
      </c>
      <c r="CO2339" s="5" t="s">
        <v>240</v>
      </c>
      <c r="CP2339" s="5" t="s">
        <v>240</v>
      </c>
      <c r="CQ2339" s="5">
        <v>0</v>
      </c>
      <c r="CR2339" s="5" t="s">
        <v>306</v>
      </c>
      <c r="CS2339" s="5" t="s">
        <v>307</v>
      </c>
      <c r="CT2339" s="5" t="s">
        <v>307</v>
      </c>
      <c r="CU2339" s="5" t="s">
        <v>260</v>
      </c>
      <c r="CX2339" s="7">
        <f>1</f>
        <v>1</v>
      </c>
      <c r="CY2339" s="7">
        <f>0</f>
        <v>0</v>
      </c>
      <c r="DA2339" s="7">
        <f>0</f>
        <v>0</v>
      </c>
      <c r="DC2339" s="5" t="s">
        <v>309</v>
      </c>
      <c r="DD2339" s="5" t="s">
        <v>240</v>
      </c>
      <c r="DF2339" s="5" t="s">
        <v>309</v>
      </c>
      <c r="DG2339" s="7">
        <f>121</f>
        <v>121</v>
      </c>
      <c r="DI2339" s="5" t="s">
        <v>240</v>
      </c>
      <c r="DJ2339" s="5" t="s">
        <v>240</v>
      </c>
      <c r="DK2339" s="5" t="s">
        <v>240</v>
      </c>
      <c r="DL2339" s="5" t="s">
        <v>240</v>
      </c>
      <c r="DP2339" s="5" t="s">
        <v>240</v>
      </c>
      <c r="DQ2339" s="5" t="s">
        <v>240</v>
      </c>
      <c r="DR2339" s="5" t="s">
        <v>240</v>
      </c>
      <c r="DS2339" s="5" t="s">
        <v>240</v>
      </c>
      <c r="DV2339" s="5" t="s">
        <v>310</v>
      </c>
      <c r="DW2339" s="5" t="s">
        <v>2726</v>
      </c>
      <c r="HO2339" s="5" t="s">
        <v>312</v>
      </c>
    </row>
    <row r="2340" spans="1:223" x14ac:dyDescent="0.4">
      <c r="A2340" s="5">
        <v>4044</v>
      </c>
      <c r="B2340" s="5">
        <v>1</v>
      </c>
      <c r="C2340" s="5">
        <v>1</v>
      </c>
      <c r="D2340" s="5" t="s">
        <v>810</v>
      </c>
      <c r="E2340" s="5" t="s">
        <v>245</v>
      </c>
      <c r="F2340" s="5" t="s">
        <v>254</v>
      </c>
      <c r="G2340" s="5" t="s">
        <v>240</v>
      </c>
      <c r="H2340" s="6" t="s">
        <v>3725</v>
      </c>
      <c r="I2340" s="5" t="s">
        <v>809</v>
      </c>
      <c r="J2340" s="8">
        <f>638</f>
        <v>638</v>
      </c>
      <c r="K2340" s="5" t="s">
        <v>308</v>
      </c>
      <c r="L2340" s="7">
        <f>1</f>
        <v>1</v>
      </c>
      <c r="M2340" s="7">
        <f>1</f>
        <v>1</v>
      </c>
      <c r="N2340" s="5" t="s">
        <v>242</v>
      </c>
      <c r="O2340" s="5">
        <v>1</v>
      </c>
      <c r="P2340" s="5" t="s">
        <v>294</v>
      </c>
      <c r="Q2340" s="5" t="s">
        <v>266</v>
      </c>
      <c r="R2340" s="5" t="s">
        <v>240</v>
      </c>
      <c r="S2340" s="5" t="s">
        <v>240</v>
      </c>
      <c r="T2340" s="5" t="s">
        <v>296</v>
      </c>
      <c r="U2340" s="5" t="s">
        <v>244</v>
      </c>
      <c r="V2340" s="5" t="s">
        <v>240</v>
      </c>
      <c r="Y2340" s="5" t="s">
        <v>240</v>
      </c>
      <c r="Z2340" s="6" t="s">
        <v>298</v>
      </c>
      <c r="AB2340" s="6" t="s">
        <v>240</v>
      </c>
      <c r="AE2340" s="6" t="s">
        <v>299</v>
      </c>
      <c r="AF2340" s="5" t="s">
        <v>248</v>
      </c>
      <c r="AG2340" s="5" t="s">
        <v>249</v>
      </c>
      <c r="AW2340" s="5" t="s">
        <v>251</v>
      </c>
      <c r="AX2340" s="5" t="s">
        <v>240</v>
      </c>
      <c r="AY2340" s="5" t="s">
        <v>253</v>
      </c>
      <c r="AZ2340" s="5" t="s">
        <v>240</v>
      </c>
      <c r="BA2340" s="5" t="s">
        <v>255</v>
      </c>
      <c r="BB2340" s="5" t="s">
        <v>240</v>
      </c>
      <c r="BD2340" s="5" t="s">
        <v>240</v>
      </c>
      <c r="BF2340" s="5" t="s">
        <v>301</v>
      </c>
      <c r="BG2340" s="6" t="s">
        <v>299</v>
      </c>
      <c r="BH2340" s="5" t="s">
        <v>302</v>
      </c>
      <c r="BI2340" s="5" t="s">
        <v>303</v>
      </c>
      <c r="BJ2340" s="5" t="s">
        <v>240</v>
      </c>
      <c r="BK2340" s="8">
        <f>0</f>
        <v>0</v>
      </c>
      <c r="BL2340" s="7">
        <f>0</f>
        <v>0</v>
      </c>
      <c r="BM2340" s="5" t="s">
        <v>258</v>
      </c>
      <c r="BN2340" s="5" t="s">
        <v>259</v>
      </c>
      <c r="CB2340" s="5" t="s">
        <v>240</v>
      </c>
      <c r="CC2340" s="5" t="s">
        <v>240</v>
      </c>
      <c r="CG2340" s="5" t="s">
        <v>304</v>
      </c>
      <c r="CH2340" s="5" t="s">
        <v>305</v>
      </c>
      <c r="CI2340" s="5" t="s">
        <v>240</v>
      </c>
      <c r="CL2340" s="6" t="s">
        <v>261</v>
      </c>
      <c r="CM2340" s="5" t="s">
        <v>240</v>
      </c>
      <c r="CN2340" s="5" t="s">
        <v>263</v>
      </c>
      <c r="CO2340" s="5" t="s">
        <v>240</v>
      </c>
      <c r="CP2340" s="5" t="s">
        <v>240</v>
      </c>
      <c r="CQ2340" s="5">
        <v>0</v>
      </c>
      <c r="CR2340" s="5" t="s">
        <v>306</v>
      </c>
      <c r="CS2340" s="5" t="s">
        <v>307</v>
      </c>
      <c r="CT2340" s="5" t="s">
        <v>307</v>
      </c>
      <c r="CU2340" s="5" t="s">
        <v>260</v>
      </c>
      <c r="CX2340" s="7">
        <f>1</f>
        <v>1</v>
      </c>
      <c r="CY2340" s="7">
        <f>0</f>
        <v>0</v>
      </c>
      <c r="DA2340" s="7">
        <f>0</f>
        <v>0</v>
      </c>
      <c r="DC2340" s="5" t="s">
        <v>309</v>
      </c>
      <c r="DD2340" s="5" t="s">
        <v>240</v>
      </c>
      <c r="DF2340" s="5" t="s">
        <v>309</v>
      </c>
      <c r="DG2340" s="7">
        <f>153</f>
        <v>153</v>
      </c>
      <c r="DI2340" s="5" t="s">
        <v>240</v>
      </c>
      <c r="DJ2340" s="5" t="s">
        <v>240</v>
      </c>
      <c r="DK2340" s="5" t="s">
        <v>240</v>
      </c>
      <c r="DL2340" s="5" t="s">
        <v>240</v>
      </c>
      <c r="DP2340" s="5" t="s">
        <v>240</v>
      </c>
      <c r="DQ2340" s="5" t="s">
        <v>240</v>
      </c>
      <c r="DR2340" s="5" t="s">
        <v>240</v>
      </c>
      <c r="DS2340" s="5" t="s">
        <v>240</v>
      </c>
      <c r="DV2340" s="5" t="s">
        <v>310</v>
      </c>
      <c r="DW2340" s="5" t="s">
        <v>2728</v>
      </c>
      <c r="HO2340" s="5" t="s">
        <v>312</v>
      </c>
    </row>
    <row r="2341" spans="1:223" x14ac:dyDescent="0.4">
      <c r="A2341" s="5">
        <v>4045</v>
      </c>
      <c r="B2341" s="5">
        <v>1</v>
      </c>
      <c r="C2341" s="5">
        <v>1</v>
      </c>
      <c r="D2341" s="5" t="s">
        <v>810</v>
      </c>
      <c r="E2341" s="5" t="s">
        <v>245</v>
      </c>
      <c r="F2341" s="5" t="s">
        <v>254</v>
      </c>
      <c r="G2341" s="5" t="s">
        <v>240</v>
      </c>
      <c r="H2341" s="6" t="s">
        <v>3761</v>
      </c>
      <c r="I2341" s="5" t="s">
        <v>809</v>
      </c>
      <c r="J2341" s="8">
        <f>211</f>
        <v>211</v>
      </c>
      <c r="K2341" s="5" t="s">
        <v>308</v>
      </c>
      <c r="L2341" s="7">
        <f>1</f>
        <v>1</v>
      </c>
      <c r="M2341" s="7">
        <f>1</f>
        <v>1</v>
      </c>
      <c r="N2341" s="5" t="s">
        <v>242</v>
      </c>
      <c r="O2341" s="5">
        <v>1</v>
      </c>
      <c r="P2341" s="5" t="s">
        <v>294</v>
      </c>
      <c r="Q2341" s="5" t="s">
        <v>266</v>
      </c>
      <c r="R2341" s="5" t="s">
        <v>240</v>
      </c>
      <c r="S2341" s="5" t="s">
        <v>240</v>
      </c>
      <c r="T2341" s="5" t="s">
        <v>296</v>
      </c>
      <c r="U2341" s="5" t="s">
        <v>244</v>
      </c>
      <c r="V2341" s="5" t="s">
        <v>240</v>
      </c>
      <c r="Y2341" s="5" t="s">
        <v>240</v>
      </c>
      <c r="Z2341" s="6" t="s">
        <v>298</v>
      </c>
      <c r="AB2341" s="6" t="s">
        <v>240</v>
      </c>
      <c r="AE2341" s="6" t="s">
        <v>299</v>
      </c>
      <c r="AF2341" s="5" t="s">
        <v>248</v>
      </c>
      <c r="AG2341" s="5" t="s">
        <v>249</v>
      </c>
      <c r="AW2341" s="5" t="s">
        <v>251</v>
      </c>
      <c r="AX2341" s="5" t="s">
        <v>240</v>
      </c>
      <c r="AY2341" s="5" t="s">
        <v>253</v>
      </c>
      <c r="AZ2341" s="5" t="s">
        <v>240</v>
      </c>
      <c r="BA2341" s="5" t="s">
        <v>255</v>
      </c>
      <c r="BB2341" s="5" t="s">
        <v>240</v>
      </c>
      <c r="BD2341" s="5" t="s">
        <v>240</v>
      </c>
      <c r="BF2341" s="5" t="s">
        <v>301</v>
      </c>
      <c r="BG2341" s="6" t="s">
        <v>299</v>
      </c>
      <c r="BH2341" s="5" t="s">
        <v>302</v>
      </c>
      <c r="BI2341" s="5" t="s">
        <v>303</v>
      </c>
      <c r="BJ2341" s="5" t="s">
        <v>240</v>
      </c>
      <c r="BK2341" s="8">
        <f>0</f>
        <v>0</v>
      </c>
      <c r="BL2341" s="7">
        <f>0</f>
        <v>0</v>
      </c>
      <c r="BM2341" s="5" t="s">
        <v>258</v>
      </c>
      <c r="BN2341" s="5" t="s">
        <v>259</v>
      </c>
      <c r="CB2341" s="5" t="s">
        <v>240</v>
      </c>
      <c r="CC2341" s="5" t="s">
        <v>240</v>
      </c>
      <c r="CG2341" s="5" t="s">
        <v>304</v>
      </c>
      <c r="CH2341" s="5" t="s">
        <v>305</v>
      </c>
      <c r="CI2341" s="5" t="s">
        <v>240</v>
      </c>
      <c r="CL2341" s="6" t="s">
        <v>261</v>
      </c>
      <c r="CM2341" s="5" t="s">
        <v>240</v>
      </c>
      <c r="CN2341" s="5" t="s">
        <v>263</v>
      </c>
      <c r="CO2341" s="5" t="s">
        <v>240</v>
      </c>
      <c r="CP2341" s="5" t="s">
        <v>240</v>
      </c>
      <c r="CQ2341" s="5">
        <v>0</v>
      </c>
      <c r="CR2341" s="5" t="s">
        <v>306</v>
      </c>
      <c r="CS2341" s="5" t="s">
        <v>307</v>
      </c>
      <c r="CT2341" s="5" t="s">
        <v>307</v>
      </c>
      <c r="CU2341" s="5" t="s">
        <v>260</v>
      </c>
      <c r="CX2341" s="7">
        <f>1</f>
        <v>1</v>
      </c>
      <c r="CY2341" s="7">
        <f>0</f>
        <v>0</v>
      </c>
      <c r="DA2341" s="7">
        <f>0</f>
        <v>0</v>
      </c>
      <c r="DC2341" s="5" t="s">
        <v>309</v>
      </c>
      <c r="DD2341" s="5" t="s">
        <v>240</v>
      </c>
      <c r="DF2341" s="5" t="s">
        <v>309</v>
      </c>
      <c r="DG2341" s="7">
        <f>169</f>
        <v>169</v>
      </c>
      <c r="DI2341" s="5" t="s">
        <v>240</v>
      </c>
      <c r="DJ2341" s="5" t="s">
        <v>240</v>
      </c>
      <c r="DK2341" s="5" t="s">
        <v>240</v>
      </c>
      <c r="DL2341" s="5" t="s">
        <v>240</v>
      </c>
      <c r="DP2341" s="5" t="s">
        <v>240</v>
      </c>
      <c r="DQ2341" s="5" t="s">
        <v>240</v>
      </c>
      <c r="DR2341" s="5" t="s">
        <v>240</v>
      </c>
      <c r="DS2341" s="5" t="s">
        <v>240</v>
      </c>
      <c r="DV2341" s="5" t="s">
        <v>310</v>
      </c>
      <c r="DW2341" s="5" t="s">
        <v>2730</v>
      </c>
      <c r="HO2341" s="5" t="s">
        <v>312</v>
      </c>
    </row>
    <row r="2342" spans="1:223" x14ac:dyDescent="0.4">
      <c r="A2342" s="5">
        <v>4046</v>
      </c>
      <c r="B2342" s="5">
        <v>1</v>
      </c>
      <c r="C2342" s="5">
        <v>1</v>
      </c>
      <c r="D2342" s="5" t="s">
        <v>810</v>
      </c>
      <c r="E2342" s="5" t="s">
        <v>245</v>
      </c>
      <c r="F2342" s="5" t="s">
        <v>254</v>
      </c>
      <c r="G2342" s="5" t="s">
        <v>240</v>
      </c>
      <c r="H2342" s="6" t="s">
        <v>3824</v>
      </c>
      <c r="I2342" s="5" t="s">
        <v>809</v>
      </c>
      <c r="J2342" s="8">
        <f>861</f>
        <v>861</v>
      </c>
      <c r="K2342" s="5" t="s">
        <v>308</v>
      </c>
      <c r="L2342" s="7">
        <f>1</f>
        <v>1</v>
      </c>
      <c r="M2342" s="7">
        <f>1</f>
        <v>1</v>
      </c>
      <c r="N2342" s="5" t="s">
        <v>242</v>
      </c>
      <c r="O2342" s="5">
        <v>1</v>
      </c>
      <c r="P2342" s="5" t="s">
        <v>294</v>
      </c>
      <c r="Q2342" s="5" t="s">
        <v>266</v>
      </c>
      <c r="R2342" s="5" t="s">
        <v>240</v>
      </c>
      <c r="S2342" s="5" t="s">
        <v>240</v>
      </c>
      <c r="T2342" s="5" t="s">
        <v>296</v>
      </c>
      <c r="U2342" s="5" t="s">
        <v>244</v>
      </c>
      <c r="V2342" s="5" t="s">
        <v>240</v>
      </c>
      <c r="Y2342" s="5" t="s">
        <v>240</v>
      </c>
      <c r="Z2342" s="6" t="s">
        <v>298</v>
      </c>
      <c r="AB2342" s="6" t="s">
        <v>240</v>
      </c>
      <c r="AE2342" s="6" t="s">
        <v>299</v>
      </c>
      <c r="AF2342" s="5" t="s">
        <v>248</v>
      </c>
      <c r="AG2342" s="5" t="s">
        <v>249</v>
      </c>
      <c r="AW2342" s="5" t="s">
        <v>251</v>
      </c>
      <c r="AX2342" s="5" t="s">
        <v>240</v>
      </c>
      <c r="AY2342" s="5" t="s">
        <v>253</v>
      </c>
      <c r="AZ2342" s="5" t="s">
        <v>240</v>
      </c>
      <c r="BA2342" s="5" t="s">
        <v>255</v>
      </c>
      <c r="BB2342" s="5" t="s">
        <v>240</v>
      </c>
      <c r="BD2342" s="5" t="s">
        <v>240</v>
      </c>
      <c r="BF2342" s="5" t="s">
        <v>301</v>
      </c>
      <c r="BG2342" s="6" t="s">
        <v>299</v>
      </c>
      <c r="BH2342" s="5" t="s">
        <v>302</v>
      </c>
      <c r="BI2342" s="5" t="s">
        <v>303</v>
      </c>
      <c r="BJ2342" s="5" t="s">
        <v>240</v>
      </c>
      <c r="BK2342" s="8">
        <f>0</f>
        <v>0</v>
      </c>
      <c r="BL2342" s="7">
        <f>0</f>
        <v>0</v>
      </c>
      <c r="BM2342" s="5" t="s">
        <v>258</v>
      </c>
      <c r="BN2342" s="5" t="s">
        <v>259</v>
      </c>
      <c r="CB2342" s="5" t="s">
        <v>240</v>
      </c>
      <c r="CC2342" s="5" t="s">
        <v>240</v>
      </c>
      <c r="CG2342" s="5" t="s">
        <v>304</v>
      </c>
      <c r="CH2342" s="5" t="s">
        <v>305</v>
      </c>
      <c r="CI2342" s="5" t="s">
        <v>240</v>
      </c>
      <c r="CL2342" s="6" t="s">
        <v>261</v>
      </c>
      <c r="CM2342" s="5" t="s">
        <v>240</v>
      </c>
      <c r="CN2342" s="5" t="s">
        <v>263</v>
      </c>
      <c r="CO2342" s="5" t="s">
        <v>240</v>
      </c>
      <c r="CP2342" s="5" t="s">
        <v>240</v>
      </c>
      <c r="CQ2342" s="5">
        <v>0</v>
      </c>
      <c r="CR2342" s="5" t="s">
        <v>306</v>
      </c>
      <c r="CS2342" s="5" t="s">
        <v>307</v>
      </c>
      <c r="CT2342" s="5" t="s">
        <v>307</v>
      </c>
      <c r="CU2342" s="5" t="s">
        <v>260</v>
      </c>
      <c r="CX2342" s="7">
        <f>1</f>
        <v>1</v>
      </c>
      <c r="CY2342" s="7">
        <f>0</f>
        <v>0</v>
      </c>
      <c r="DA2342" s="7">
        <f>0</f>
        <v>0</v>
      </c>
      <c r="DC2342" s="5" t="s">
        <v>309</v>
      </c>
      <c r="DD2342" s="5" t="s">
        <v>240</v>
      </c>
      <c r="DF2342" s="5" t="s">
        <v>309</v>
      </c>
      <c r="DG2342" s="7">
        <f>179</f>
        <v>179</v>
      </c>
      <c r="DI2342" s="5" t="s">
        <v>240</v>
      </c>
      <c r="DJ2342" s="5" t="s">
        <v>240</v>
      </c>
      <c r="DK2342" s="5" t="s">
        <v>240</v>
      </c>
      <c r="DL2342" s="5" t="s">
        <v>240</v>
      </c>
      <c r="DP2342" s="5" t="s">
        <v>240</v>
      </c>
      <c r="DQ2342" s="5" t="s">
        <v>240</v>
      </c>
      <c r="DR2342" s="5" t="s">
        <v>240</v>
      </c>
      <c r="DS2342" s="5" t="s">
        <v>240</v>
      </c>
      <c r="DV2342" s="5" t="s">
        <v>310</v>
      </c>
      <c r="DW2342" s="5" t="s">
        <v>4429</v>
      </c>
      <c r="HO2342" s="5" t="s">
        <v>312</v>
      </c>
    </row>
    <row r="2343" spans="1:223" x14ac:dyDescent="0.4">
      <c r="A2343" s="5">
        <v>4047</v>
      </c>
      <c r="B2343" s="5">
        <v>1</v>
      </c>
      <c r="C2343" s="5">
        <v>1</v>
      </c>
      <c r="D2343" s="5" t="s">
        <v>810</v>
      </c>
      <c r="E2343" s="5" t="s">
        <v>245</v>
      </c>
      <c r="F2343" s="5" t="s">
        <v>254</v>
      </c>
      <c r="G2343" s="5" t="s">
        <v>240</v>
      </c>
      <c r="H2343" s="6" t="s">
        <v>3852</v>
      </c>
      <c r="I2343" s="5" t="s">
        <v>809</v>
      </c>
      <c r="J2343" s="8">
        <f>596</f>
        <v>596</v>
      </c>
      <c r="K2343" s="5" t="s">
        <v>308</v>
      </c>
      <c r="L2343" s="7">
        <f>1</f>
        <v>1</v>
      </c>
      <c r="M2343" s="7">
        <f>1</f>
        <v>1</v>
      </c>
      <c r="N2343" s="5" t="s">
        <v>242</v>
      </c>
      <c r="O2343" s="5">
        <v>1</v>
      </c>
      <c r="P2343" s="5" t="s">
        <v>294</v>
      </c>
      <c r="Q2343" s="5" t="s">
        <v>266</v>
      </c>
      <c r="R2343" s="5" t="s">
        <v>240</v>
      </c>
      <c r="S2343" s="5" t="s">
        <v>240</v>
      </c>
      <c r="T2343" s="5" t="s">
        <v>296</v>
      </c>
      <c r="U2343" s="5" t="s">
        <v>244</v>
      </c>
      <c r="V2343" s="5" t="s">
        <v>240</v>
      </c>
      <c r="Y2343" s="5" t="s">
        <v>240</v>
      </c>
      <c r="Z2343" s="6" t="s">
        <v>298</v>
      </c>
      <c r="AB2343" s="6" t="s">
        <v>240</v>
      </c>
      <c r="AE2343" s="6" t="s">
        <v>299</v>
      </c>
      <c r="AF2343" s="5" t="s">
        <v>248</v>
      </c>
      <c r="AG2343" s="5" t="s">
        <v>249</v>
      </c>
      <c r="AW2343" s="5" t="s">
        <v>251</v>
      </c>
      <c r="AX2343" s="5" t="s">
        <v>240</v>
      </c>
      <c r="AY2343" s="5" t="s">
        <v>253</v>
      </c>
      <c r="AZ2343" s="5" t="s">
        <v>240</v>
      </c>
      <c r="BA2343" s="5" t="s">
        <v>255</v>
      </c>
      <c r="BB2343" s="5" t="s">
        <v>240</v>
      </c>
      <c r="BD2343" s="5" t="s">
        <v>240</v>
      </c>
      <c r="BF2343" s="5" t="s">
        <v>301</v>
      </c>
      <c r="BG2343" s="6" t="s">
        <v>299</v>
      </c>
      <c r="BH2343" s="5" t="s">
        <v>302</v>
      </c>
      <c r="BI2343" s="5" t="s">
        <v>303</v>
      </c>
      <c r="BJ2343" s="5" t="s">
        <v>240</v>
      </c>
      <c r="BK2343" s="8">
        <f>0</f>
        <v>0</v>
      </c>
      <c r="BL2343" s="7">
        <f>0</f>
        <v>0</v>
      </c>
      <c r="BM2343" s="5" t="s">
        <v>258</v>
      </c>
      <c r="BN2343" s="5" t="s">
        <v>259</v>
      </c>
      <c r="CB2343" s="5" t="s">
        <v>240</v>
      </c>
      <c r="CC2343" s="5" t="s">
        <v>240</v>
      </c>
      <c r="CG2343" s="5" t="s">
        <v>304</v>
      </c>
      <c r="CH2343" s="5" t="s">
        <v>305</v>
      </c>
      <c r="CI2343" s="5" t="s">
        <v>240</v>
      </c>
      <c r="CL2343" s="6" t="s">
        <v>261</v>
      </c>
      <c r="CM2343" s="5" t="s">
        <v>240</v>
      </c>
      <c r="CN2343" s="5" t="s">
        <v>263</v>
      </c>
      <c r="CO2343" s="5" t="s">
        <v>240</v>
      </c>
      <c r="CP2343" s="5" t="s">
        <v>240</v>
      </c>
      <c r="CQ2343" s="5">
        <v>0</v>
      </c>
      <c r="CR2343" s="5" t="s">
        <v>306</v>
      </c>
      <c r="CS2343" s="5" t="s">
        <v>307</v>
      </c>
      <c r="CT2343" s="5" t="s">
        <v>307</v>
      </c>
      <c r="CU2343" s="5" t="s">
        <v>260</v>
      </c>
      <c r="CX2343" s="7">
        <f>1</f>
        <v>1</v>
      </c>
      <c r="CY2343" s="7">
        <f>0</f>
        <v>0</v>
      </c>
      <c r="DA2343" s="7">
        <f>0</f>
        <v>0</v>
      </c>
      <c r="DC2343" s="5" t="s">
        <v>309</v>
      </c>
      <c r="DD2343" s="5" t="s">
        <v>240</v>
      </c>
      <c r="DF2343" s="5" t="s">
        <v>309</v>
      </c>
      <c r="DG2343" s="7">
        <f>431</f>
        <v>431</v>
      </c>
      <c r="DI2343" s="5" t="s">
        <v>240</v>
      </c>
      <c r="DJ2343" s="5" t="s">
        <v>240</v>
      </c>
      <c r="DK2343" s="5" t="s">
        <v>240</v>
      </c>
      <c r="DL2343" s="5" t="s">
        <v>240</v>
      </c>
      <c r="DP2343" s="5" t="s">
        <v>240</v>
      </c>
      <c r="DQ2343" s="5" t="s">
        <v>240</v>
      </c>
      <c r="DR2343" s="5" t="s">
        <v>240</v>
      </c>
      <c r="DS2343" s="5" t="s">
        <v>240</v>
      </c>
      <c r="DV2343" s="5" t="s">
        <v>310</v>
      </c>
      <c r="DW2343" s="5" t="s">
        <v>2739</v>
      </c>
      <c r="HO2343" s="5" t="s">
        <v>312</v>
      </c>
    </row>
    <row r="2344" spans="1:223" x14ac:dyDescent="0.4">
      <c r="A2344" s="5">
        <v>4048</v>
      </c>
      <c r="B2344" s="5">
        <v>1</v>
      </c>
      <c r="C2344" s="5">
        <v>1</v>
      </c>
      <c r="D2344" s="5" t="s">
        <v>810</v>
      </c>
      <c r="E2344" s="5" t="s">
        <v>245</v>
      </c>
      <c r="F2344" s="5" t="s">
        <v>254</v>
      </c>
      <c r="G2344" s="5" t="s">
        <v>240</v>
      </c>
      <c r="H2344" s="6" t="s">
        <v>3854</v>
      </c>
      <c r="I2344" s="5" t="s">
        <v>809</v>
      </c>
      <c r="J2344" s="8">
        <f>1496</f>
        <v>1496</v>
      </c>
      <c r="K2344" s="5" t="s">
        <v>308</v>
      </c>
      <c r="L2344" s="7">
        <f>1</f>
        <v>1</v>
      </c>
      <c r="M2344" s="7">
        <f>1</f>
        <v>1</v>
      </c>
      <c r="N2344" s="5" t="s">
        <v>242</v>
      </c>
      <c r="O2344" s="5">
        <v>1</v>
      </c>
      <c r="P2344" s="5" t="s">
        <v>294</v>
      </c>
      <c r="Q2344" s="5" t="s">
        <v>266</v>
      </c>
      <c r="R2344" s="5" t="s">
        <v>240</v>
      </c>
      <c r="S2344" s="5" t="s">
        <v>240</v>
      </c>
      <c r="T2344" s="5" t="s">
        <v>296</v>
      </c>
      <c r="U2344" s="5" t="s">
        <v>244</v>
      </c>
      <c r="V2344" s="5" t="s">
        <v>240</v>
      </c>
      <c r="Y2344" s="5" t="s">
        <v>240</v>
      </c>
      <c r="Z2344" s="6" t="s">
        <v>298</v>
      </c>
      <c r="AB2344" s="6" t="s">
        <v>240</v>
      </c>
      <c r="AE2344" s="6" t="s">
        <v>299</v>
      </c>
      <c r="AF2344" s="5" t="s">
        <v>248</v>
      </c>
      <c r="AG2344" s="5" t="s">
        <v>249</v>
      </c>
      <c r="AW2344" s="5" t="s">
        <v>251</v>
      </c>
      <c r="AX2344" s="5" t="s">
        <v>240</v>
      </c>
      <c r="AY2344" s="5" t="s">
        <v>253</v>
      </c>
      <c r="AZ2344" s="5" t="s">
        <v>240</v>
      </c>
      <c r="BA2344" s="5" t="s">
        <v>255</v>
      </c>
      <c r="BB2344" s="5" t="s">
        <v>240</v>
      </c>
      <c r="BD2344" s="5" t="s">
        <v>240</v>
      </c>
      <c r="BF2344" s="5" t="s">
        <v>301</v>
      </c>
      <c r="BG2344" s="6" t="s">
        <v>299</v>
      </c>
      <c r="BH2344" s="5" t="s">
        <v>302</v>
      </c>
      <c r="BI2344" s="5" t="s">
        <v>303</v>
      </c>
      <c r="BJ2344" s="5" t="s">
        <v>240</v>
      </c>
      <c r="BK2344" s="8">
        <f>0</f>
        <v>0</v>
      </c>
      <c r="BL2344" s="7">
        <f>0</f>
        <v>0</v>
      </c>
      <c r="BM2344" s="5" t="s">
        <v>258</v>
      </c>
      <c r="BN2344" s="5" t="s">
        <v>259</v>
      </c>
      <c r="CB2344" s="5" t="s">
        <v>240</v>
      </c>
      <c r="CC2344" s="5" t="s">
        <v>240</v>
      </c>
      <c r="CG2344" s="5" t="s">
        <v>304</v>
      </c>
      <c r="CH2344" s="5" t="s">
        <v>305</v>
      </c>
      <c r="CI2344" s="5" t="s">
        <v>240</v>
      </c>
      <c r="CL2344" s="6" t="s">
        <v>261</v>
      </c>
      <c r="CM2344" s="5" t="s">
        <v>240</v>
      </c>
      <c r="CN2344" s="5" t="s">
        <v>263</v>
      </c>
      <c r="CO2344" s="5" t="s">
        <v>240</v>
      </c>
      <c r="CP2344" s="5" t="s">
        <v>240</v>
      </c>
      <c r="CQ2344" s="5">
        <v>0</v>
      </c>
      <c r="CR2344" s="5" t="s">
        <v>306</v>
      </c>
      <c r="CS2344" s="5" t="s">
        <v>307</v>
      </c>
      <c r="CT2344" s="5" t="s">
        <v>307</v>
      </c>
      <c r="CU2344" s="5" t="s">
        <v>260</v>
      </c>
      <c r="CX2344" s="7">
        <f>1</f>
        <v>1</v>
      </c>
      <c r="CY2344" s="7">
        <f>0</f>
        <v>0</v>
      </c>
      <c r="DA2344" s="7">
        <f>0</f>
        <v>0</v>
      </c>
      <c r="DC2344" s="5" t="s">
        <v>309</v>
      </c>
      <c r="DD2344" s="5" t="s">
        <v>240</v>
      </c>
      <c r="DF2344" s="5" t="s">
        <v>309</v>
      </c>
      <c r="DG2344" s="7">
        <f>1730</f>
        <v>1730</v>
      </c>
      <c r="DI2344" s="5" t="s">
        <v>240</v>
      </c>
      <c r="DJ2344" s="5" t="s">
        <v>240</v>
      </c>
      <c r="DK2344" s="5" t="s">
        <v>240</v>
      </c>
      <c r="DL2344" s="5" t="s">
        <v>240</v>
      </c>
      <c r="DP2344" s="5" t="s">
        <v>240</v>
      </c>
      <c r="DQ2344" s="5" t="s">
        <v>240</v>
      </c>
      <c r="DR2344" s="5" t="s">
        <v>240</v>
      </c>
      <c r="DS2344" s="5" t="s">
        <v>240</v>
      </c>
      <c r="DV2344" s="5" t="s">
        <v>310</v>
      </c>
      <c r="DW2344" s="5" t="s">
        <v>2741</v>
      </c>
      <c r="HO2344" s="5" t="s">
        <v>312</v>
      </c>
    </row>
    <row r="2345" spans="1:223" x14ac:dyDescent="0.4">
      <c r="A2345" s="5">
        <v>4049</v>
      </c>
      <c r="B2345" s="5">
        <v>1</v>
      </c>
      <c r="C2345" s="5">
        <v>1</v>
      </c>
      <c r="D2345" s="5" t="s">
        <v>810</v>
      </c>
      <c r="E2345" s="5" t="s">
        <v>245</v>
      </c>
      <c r="F2345" s="5" t="s">
        <v>254</v>
      </c>
      <c r="G2345" s="5" t="s">
        <v>240</v>
      </c>
      <c r="H2345" s="6" t="s">
        <v>3860</v>
      </c>
      <c r="I2345" s="5" t="s">
        <v>809</v>
      </c>
      <c r="J2345" s="8">
        <f>2969</f>
        <v>2969</v>
      </c>
      <c r="K2345" s="5" t="s">
        <v>308</v>
      </c>
      <c r="L2345" s="7">
        <f>1</f>
        <v>1</v>
      </c>
      <c r="M2345" s="7">
        <f>1</f>
        <v>1</v>
      </c>
      <c r="N2345" s="5" t="s">
        <v>242</v>
      </c>
      <c r="O2345" s="5">
        <v>1</v>
      </c>
      <c r="P2345" s="5" t="s">
        <v>294</v>
      </c>
      <c r="Q2345" s="5" t="s">
        <v>266</v>
      </c>
      <c r="R2345" s="5" t="s">
        <v>240</v>
      </c>
      <c r="S2345" s="5" t="s">
        <v>240</v>
      </c>
      <c r="T2345" s="5" t="s">
        <v>296</v>
      </c>
      <c r="U2345" s="5" t="s">
        <v>244</v>
      </c>
      <c r="V2345" s="5" t="s">
        <v>240</v>
      </c>
      <c r="Y2345" s="5" t="s">
        <v>240</v>
      </c>
      <c r="Z2345" s="6" t="s">
        <v>298</v>
      </c>
      <c r="AB2345" s="6" t="s">
        <v>240</v>
      </c>
      <c r="AE2345" s="6" t="s">
        <v>299</v>
      </c>
      <c r="AF2345" s="5" t="s">
        <v>248</v>
      </c>
      <c r="AG2345" s="5" t="s">
        <v>249</v>
      </c>
      <c r="AW2345" s="5" t="s">
        <v>251</v>
      </c>
      <c r="AX2345" s="5" t="s">
        <v>240</v>
      </c>
      <c r="AY2345" s="5" t="s">
        <v>253</v>
      </c>
      <c r="AZ2345" s="5" t="s">
        <v>240</v>
      </c>
      <c r="BA2345" s="5" t="s">
        <v>255</v>
      </c>
      <c r="BB2345" s="5" t="s">
        <v>240</v>
      </c>
      <c r="BD2345" s="5" t="s">
        <v>240</v>
      </c>
      <c r="BF2345" s="5" t="s">
        <v>301</v>
      </c>
      <c r="BG2345" s="6" t="s">
        <v>299</v>
      </c>
      <c r="BH2345" s="5" t="s">
        <v>302</v>
      </c>
      <c r="BI2345" s="5" t="s">
        <v>303</v>
      </c>
      <c r="BJ2345" s="5" t="s">
        <v>240</v>
      </c>
      <c r="BK2345" s="8">
        <f>0</f>
        <v>0</v>
      </c>
      <c r="BL2345" s="7">
        <f>0</f>
        <v>0</v>
      </c>
      <c r="BM2345" s="5" t="s">
        <v>258</v>
      </c>
      <c r="BN2345" s="5" t="s">
        <v>259</v>
      </c>
      <c r="CB2345" s="5" t="s">
        <v>240</v>
      </c>
      <c r="CC2345" s="5" t="s">
        <v>240</v>
      </c>
      <c r="CG2345" s="5" t="s">
        <v>304</v>
      </c>
      <c r="CH2345" s="5" t="s">
        <v>305</v>
      </c>
      <c r="CI2345" s="5" t="s">
        <v>240</v>
      </c>
      <c r="CL2345" s="6" t="s">
        <v>261</v>
      </c>
      <c r="CM2345" s="5" t="s">
        <v>240</v>
      </c>
      <c r="CN2345" s="5" t="s">
        <v>263</v>
      </c>
      <c r="CO2345" s="5" t="s">
        <v>240</v>
      </c>
      <c r="CP2345" s="5" t="s">
        <v>240</v>
      </c>
      <c r="CQ2345" s="5">
        <v>0</v>
      </c>
      <c r="CR2345" s="5" t="s">
        <v>306</v>
      </c>
      <c r="CS2345" s="5" t="s">
        <v>307</v>
      </c>
      <c r="CT2345" s="5" t="s">
        <v>307</v>
      </c>
      <c r="CU2345" s="5" t="s">
        <v>260</v>
      </c>
      <c r="CX2345" s="7">
        <f>1</f>
        <v>1</v>
      </c>
      <c r="CY2345" s="7">
        <f>0</f>
        <v>0</v>
      </c>
      <c r="DA2345" s="7">
        <f>0</f>
        <v>0</v>
      </c>
      <c r="DC2345" s="5" t="s">
        <v>309</v>
      </c>
      <c r="DD2345" s="5" t="s">
        <v>240</v>
      </c>
      <c r="DF2345" s="5" t="s">
        <v>309</v>
      </c>
      <c r="DG2345" s="7">
        <f>802</f>
        <v>802</v>
      </c>
      <c r="DI2345" s="5" t="s">
        <v>240</v>
      </c>
      <c r="DJ2345" s="5" t="s">
        <v>240</v>
      </c>
      <c r="DK2345" s="5" t="s">
        <v>240</v>
      </c>
      <c r="DL2345" s="5" t="s">
        <v>240</v>
      </c>
      <c r="DP2345" s="5" t="s">
        <v>240</v>
      </c>
      <c r="DQ2345" s="5" t="s">
        <v>240</v>
      </c>
      <c r="DR2345" s="5" t="s">
        <v>240</v>
      </c>
      <c r="DS2345" s="5" t="s">
        <v>240</v>
      </c>
      <c r="DV2345" s="5" t="s">
        <v>310</v>
      </c>
      <c r="DW2345" s="5" t="s">
        <v>2743</v>
      </c>
      <c r="HO2345" s="5" t="s">
        <v>312</v>
      </c>
    </row>
    <row r="2346" spans="1:223" x14ac:dyDescent="0.4">
      <c r="A2346" s="5">
        <v>4050</v>
      </c>
      <c r="B2346" s="5">
        <v>1</v>
      </c>
      <c r="C2346" s="5">
        <v>1</v>
      </c>
      <c r="D2346" s="5" t="s">
        <v>810</v>
      </c>
      <c r="E2346" s="5" t="s">
        <v>245</v>
      </c>
      <c r="F2346" s="5" t="s">
        <v>254</v>
      </c>
      <c r="G2346" s="5" t="s">
        <v>240</v>
      </c>
      <c r="H2346" s="6" t="s">
        <v>3862</v>
      </c>
      <c r="I2346" s="5" t="s">
        <v>809</v>
      </c>
      <c r="J2346" s="8">
        <f>1665</f>
        <v>1665</v>
      </c>
      <c r="K2346" s="5" t="s">
        <v>308</v>
      </c>
      <c r="L2346" s="7">
        <f>1</f>
        <v>1</v>
      </c>
      <c r="M2346" s="7">
        <f>1</f>
        <v>1</v>
      </c>
      <c r="N2346" s="5" t="s">
        <v>242</v>
      </c>
      <c r="O2346" s="5">
        <v>1</v>
      </c>
      <c r="P2346" s="5" t="s">
        <v>294</v>
      </c>
      <c r="Q2346" s="5" t="s">
        <v>266</v>
      </c>
      <c r="R2346" s="5" t="s">
        <v>240</v>
      </c>
      <c r="S2346" s="5" t="s">
        <v>240</v>
      </c>
      <c r="T2346" s="5" t="s">
        <v>296</v>
      </c>
      <c r="U2346" s="5" t="s">
        <v>244</v>
      </c>
      <c r="V2346" s="5" t="s">
        <v>240</v>
      </c>
      <c r="Y2346" s="5" t="s">
        <v>240</v>
      </c>
      <c r="Z2346" s="6" t="s">
        <v>298</v>
      </c>
      <c r="AB2346" s="6" t="s">
        <v>240</v>
      </c>
      <c r="AE2346" s="6" t="s">
        <v>299</v>
      </c>
      <c r="AF2346" s="5" t="s">
        <v>248</v>
      </c>
      <c r="AG2346" s="5" t="s">
        <v>249</v>
      </c>
      <c r="AW2346" s="5" t="s">
        <v>251</v>
      </c>
      <c r="AX2346" s="5" t="s">
        <v>240</v>
      </c>
      <c r="AY2346" s="5" t="s">
        <v>253</v>
      </c>
      <c r="AZ2346" s="5" t="s">
        <v>240</v>
      </c>
      <c r="BA2346" s="5" t="s">
        <v>255</v>
      </c>
      <c r="BB2346" s="5" t="s">
        <v>240</v>
      </c>
      <c r="BD2346" s="5" t="s">
        <v>240</v>
      </c>
      <c r="BF2346" s="5" t="s">
        <v>301</v>
      </c>
      <c r="BG2346" s="6" t="s">
        <v>299</v>
      </c>
      <c r="BH2346" s="5" t="s">
        <v>302</v>
      </c>
      <c r="BI2346" s="5" t="s">
        <v>303</v>
      </c>
      <c r="BJ2346" s="5" t="s">
        <v>240</v>
      </c>
      <c r="BK2346" s="8">
        <f>0</f>
        <v>0</v>
      </c>
      <c r="BL2346" s="7">
        <f>0</f>
        <v>0</v>
      </c>
      <c r="BM2346" s="5" t="s">
        <v>258</v>
      </c>
      <c r="BN2346" s="5" t="s">
        <v>259</v>
      </c>
      <c r="CB2346" s="5" t="s">
        <v>240</v>
      </c>
      <c r="CC2346" s="5" t="s">
        <v>240</v>
      </c>
      <c r="CG2346" s="5" t="s">
        <v>304</v>
      </c>
      <c r="CH2346" s="5" t="s">
        <v>305</v>
      </c>
      <c r="CI2346" s="5" t="s">
        <v>240</v>
      </c>
      <c r="CL2346" s="6" t="s">
        <v>261</v>
      </c>
      <c r="CM2346" s="5" t="s">
        <v>240</v>
      </c>
      <c r="CN2346" s="5" t="s">
        <v>263</v>
      </c>
      <c r="CO2346" s="5" t="s">
        <v>240</v>
      </c>
      <c r="CP2346" s="5" t="s">
        <v>240</v>
      </c>
      <c r="CQ2346" s="5">
        <v>0</v>
      </c>
      <c r="CR2346" s="5" t="s">
        <v>306</v>
      </c>
      <c r="CS2346" s="5" t="s">
        <v>307</v>
      </c>
      <c r="CT2346" s="5" t="s">
        <v>307</v>
      </c>
      <c r="CU2346" s="5" t="s">
        <v>260</v>
      </c>
      <c r="CX2346" s="7">
        <f>1</f>
        <v>1</v>
      </c>
      <c r="CY2346" s="7">
        <f>0</f>
        <v>0</v>
      </c>
      <c r="DA2346" s="7">
        <f>0</f>
        <v>0</v>
      </c>
      <c r="DC2346" s="5" t="s">
        <v>309</v>
      </c>
      <c r="DD2346" s="5" t="s">
        <v>240</v>
      </c>
      <c r="DF2346" s="5" t="s">
        <v>309</v>
      </c>
      <c r="DG2346" s="7">
        <f>2523</f>
        <v>2523</v>
      </c>
      <c r="DI2346" s="5" t="s">
        <v>240</v>
      </c>
      <c r="DJ2346" s="5" t="s">
        <v>240</v>
      </c>
      <c r="DK2346" s="5" t="s">
        <v>240</v>
      </c>
      <c r="DL2346" s="5" t="s">
        <v>240</v>
      </c>
      <c r="DP2346" s="5" t="s">
        <v>240</v>
      </c>
      <c r="DQ2346" s="5" t="s">
        <v>240</v>
      </c>
      <c r="DR2346" s="5" t="s">
        <v>240</v>
      </c>
      <c r="DS2346" s="5" t="s">
        <v>240</v>
      </c>
      <c r="DV2346" s="5" t="s">
        <v>310</v>
      </c>
      <c r="DW2346" s="5" t="s">
        <v>2745</v>
      </c>
      <c r="HO2346" s="5" t="s">
        <v>312</v>
      </c>
    </row>
    <row r="2347" spans="1:223" x14ac:dyDescent="0.4">
      <c r="A2347" s="5">
        <v>4051</v>
      </c>
      <c r="B2347" s="5">
        <v>1</v>
      </c>
      <c r="C2347" s="5">
        <v>1</v>
      </c>
      <c r="D2347" s="5" t="s">
        <v>810</v>
      </c>
      <c r="E2347" s="5" t="s">
        <v>245</v>
      </c>
      <c r="F2347" s="5" t="s">
        <v>254</v>
      </c>
      <c r="G2347" s="5" t="s">
        <v>240</v>
      </c>
      <c r="H2347" s="6" t="s">
        <v>3865</v>
      </c>
      <c r="I2347" s="5" t="s">
        <v>809</v>
      </c>
      <c r="J2347" s="8">
        <f>777</f>
        <v>777</v>
      </c>
      <c r="K2347" s="5" t="s">
        <v>308</v>
      </c>
      <c r="L2347" s="7">
        <f>1</f>
        <v>1</v>
      </c>
      <c r="M2347" s="7">
        <f>1</f>
        <v>1</v>
      </c>
      <c r="N2347" s="5" t="s">
        <v>242</v>
      </c>
      <c r="O2347" s="5">
        <v>1</v>
      </c>
      <c r="P2347" s="5" t="s">
        <v>294</v>
      </c>
      <c r="Q2347" s="5" t="s">
        <v>266</v>
      </c>
      <c r="R2347" s="5" t="s">
        <v>240</v>
      </c>
      <c r="S2347" s="5" t="s">
        <v>240</v>
      </c>
      <c r="T2347" s="5" t="s">
        <v>296</v>
      </c>
      <c r="U2347" s="5" t="s">
        <v>244</v>
      </c>
      <c r="V2347" s="5" t="s">
        <v>240</v>
      </c>
      <c r="Y2347" s="5" t="s">
        <v>240</v>
      </c>
      <c r="Z2347" s="6" t="s">
        <v>298</v>
      </c>
      <c r="AB2347" s="6" t="s">
        <v>240</v>
      </c>
      <c r="AE2347" s="6" t="s">
        <v>299</v>
      </c>
      <c r="AF2347" s="5" t="s">
        <v>248</v>
      </c>
      <c r="AG2347" s="5" t="s">
        <v>249</v>
      </c>
      <c r="AW2347" s="5" t="s">
        <v>251</v>
      </c>
      <c r="AX2347" s="5" t="s">
        <v>240</v>
      </c>
      <c r="AY2347" s="5" t="s">
        <v>253</v>
      </c>
      <c r="AZ2347" s="5" t="s">
        <v>240</v>
      </c>
      <c r="BA2347" s="5" t="s">
        <v>255</v>
      </c>
      <c r="BB2347" s="5" t="s">
        <v>240</v>
      </c>
      <c r="BD2347" s="5" t="s">
        <v>240</v>
      </c>
      <c r="BF2347" s="5" t="s">
        <v>301</v>
      </c>
      <c r="BG2347" s="6" t="s">
        <v>299</v>
      </c>
      <c r="BH2347" s="5" t="s">
        <v>302</v>
      </c>
      <c r="BI2347" s="5" t="s">
        <v>303</v>
      </c>
      <c r="BJ2347" s="5" t="s">
        <v>240</v>
      </c>
      <c r="BK2347" s="8">
        <f>0</f>
        <v>0</v>
      </c>
      <c r="BL2347" s="7">
        <f>0</f>
        <v>0</v>
      </c>
      <c r="BM2347" s="5" t="s">
        <v>258</v>
      </c>
      <c r="BN2347" s="5" t="s">
        <v>259</v>
      </c>
      <c r="CB2347" s="5" t="s">
        <v>240</v>
      </c>
      <c r="CC2347" s="5" t="s">
        <v>240</v>
      </c>
      <c r="CG2347" s="5" t="s">
        <v>304</v>
      </c>
      <c r="CH2347" s="5" t="s">
        <v>305</v>
      </c>
      <c r="CI2347" s="5" t="s">
        <v>240</v>
      </c>
      <c r="CL2347" s="6" t="s">
        <v>261</v>
      </c>
      <c r="CM2347" s="5" t="s">
        <v>240</v>
      </c>
      <c r="CN2347" s="5" t="s">
        <v>263</v>
      </c>
      <c r="CO2347" s="5" t="s">
        <v>240</v>
      </c>
      <c r="CP2347" s="5" t="s">
        <v>240</v>
      </c>
      <c r="CQ2347" s="5">
        <v>0</v>
      </c>
      <c r="CR2347" s="5" t="s">
        <v>306</v>
      </c>
      <c r="CS2347" s="5" t="s">
        <v>307</v>
      </c>
      <c r="CT2347" s="5" t="s">
        <v>307</v>
      </c>
      <c r="CU2347" s="5" t="s">
        <v>260</v>
      </c>
      <c r="CX2347" s="7">
        <f>1</f>
        <v>1</v>
      </c>
      <c r="CY2347" s="7">
        <f>0</f>
        <v>0</v>
      </c>
      <c r="DA2347" s="7">
        <f>0</f>
        <v>0</v>
      </c>
      <c r="DC2347" s="5" t="s">
        <v>309</v>
      </c>
      <c r="DD2347" s="5" t="s">
        <v>240</v>
      </c>
      <c r="DF2347" s="5" t="s">
        <v>309</v>
      </c>
      <c r="DG2347" s="7">
        <f>1576</f>
        <v>1576</v>
      </c>
      <c r="DI2347" s="5" t="s">
        <v>240</v>
      </c>
      <c r="DJ2347" s="5" t="s">
        <v>240</v>
      </c>
      <c r="DK2347" s="5" t="s">
        <v>240</v>
      </c>
      <c r="DL2347" s="5" t="s">
        <v>240</v>
      </c>
      <c r="DP2347" s="5" t="s">
        <v>240</v>
      </c>
      <c r="DQ2347" s="5" t="s">
        <v>240</v>
      </c>
      <c r="DR2347" s="5" t="s">
        <v>240</v>
      </c>
      <c r="DS2347" s="5" t="s">
        <v>240</v>
      </c>
      <c r="DV2347" s="5" t="s">
        <v>310</v>
      </c>
      <c r="DW2347" s="5" t="s">
        <v>2747</v>
      </c>
      <c r="HO2347" s="5" t="s">
        <v>312</v>
      </c>
    </row>
    <row r="2348" spans="1:223" x14ac:dyDescent="0.4">
      <c r="A2348" s="5">
        <v>4052</v>
      </c>
      <c r="B2348" s="5">
        <v>1</v>
      </c>
      <c r="C2348" s="5">
        <v>1</v>
      </c>
      <c r="D2348" s="5" t="s">
        <v>810</v>
      </c>
      <c r="E2348" s="5" t="s">
        <v>245</v>
      </c>
      <c r="F2348" s="5" t="s">
        <v>254</v>
      </c>
      <c r="G2348" s="5" t="s">
        <v>240</v>
      </c>
      <c r="H2348" s="6" t="s">
        <v>3849</v>
      </c>
      <c r="I2348" s="5" t="s">
        <v>809</v>
      </c>
      <c r="J2348" s="8">
        <f>1530</f>
        <v>1530</v>
      </c>
      <c r="K2348" s="5" t="s">
        <v>308</v>
      </c>
      <c r="L2348" s="7">
        <f>1</f>
        <v>1</v>
      </c>
      <c r="M2348" s="7">
        <f>1</f>
        <v>1</v>
      </c>
      <c r="N2348" s="5" t="s">
        <v>242</v>
      </c>
      <c r="O2348" s="5">
        <v>1</v>
      </c>
      <c r="P2348" s="5" t="s">
        <v>294</v>
      </c>
      <c r="Q2348" s="5" t="s">
        <v>266</v>
      </c>
      <c r="R2348" s="5" t="s">
        <v>240</v>
      </c>
      <c r="S2348" s="5" t="s">
        <v>240</v>
      </c>
      <c r="T2348" s="5" t="s">
        <v>296</v>
      </c>
      <c r="U2348" s="5" t="s">
        <v>244</v>
      </c>
      <c r="V2348" s="5" t="s">
        <v>240</v>
      </c>
      <c r="Y2348" s="5" t="s">
        <v>240</v>
      </c>
      <c r="Z2348" s="6" t="s">
        <v>298</v>
      </c>
      <c r="AB2348" s="6" t="s">
        <v>240</v>
      </c>
      <c r="AE2348" s="6" t="s">
        <v>299</v>
      </c>
      <c r="AF2348" s="5" t="s">
        <v>248</v>
      </c>
      <c r="AG2348" s="5" t="s">
        <v>249</v>
      </c>
      <c r="AW2348" s="5" t="s">
        <v>251</v>
      </c>
      <c r="AX2348" s="5" t="s">
        <v>240</v>
      </c>
      <c r="AY2348" s="5" t="s">
        <v>253</v>
      </c>
      <c r="AZ2348" s="5" t="s">
        <v>240</v>
      </c>
      <c r="BA2348" s="5" t="s">
        <v>255</v>
      </c>
      <c r="BB2348" s="5" t="s">
        <v>240</v>
      </c>
      <c r="BD2348" s="5" t="s">
        <v>240</v>
      </c>
      <c r="BF2348" s="5" t="s">
        <v>301</v>
      </c>
      <c r="BG2348" s="6" t="s">
        <v>299</v>
      </c>
      <c r="BH2348" s="5" t="s">
        <v>302</v>
      </c>
      <c r="BI2348" s="5" t="s">
        <v>303</v>
      </c>
      <c r="BJ2348" s="5" t="s">
        <v>240</v>
      </c>
      <c r="BK2348" s="8">
        <f>0</f>
        <v>0</v>
      </c>
      <c r="BL2348" s="7">
        <f>0</f>
        <v>0</v>
      </c>
      <c r="BM2348" s="5" t="s">
        <v>258</v>
      </c>
      <c r="BN2348" s="5" t="s">
        <v>259</v>
      </c>
      <c r="CB2348" s="5" t="s">
        <v>240</v>
      </c>
      <c r="CC2348" s="5" t="s">
        <v>240</v>
      </c>
      <c r="CG2348" s="5" t="s">
        <v>304</v>
      </c>
      <c r="CH2348" s="5" t="s">
        <v>305</v>
      </c>
      <c r="CI2348" s="5" t="s">
        <v>240</v>
      </c>
      <c r="CL2348" s="6" t="s">
        <v>261</v>
      </c>
      <c r="CM2348" s="5" t="s">
        <v>240</v>
      </c>
      <c r="CN2348" s="5" t="s">
        <v>263</v>
      </c>
      <c r="CO2348" s="5" t="s">
        <v>240</v>
      </c>
      <c r="CP2348" s="5" t="s">
        <v>240</v>
      </c>
      <c r="CQ2348" s="5">
        <v>0</v>
      </c>
      <c r="CR2348" s="5" t="s">
        <v>306</v>
      </c>
      <c r="CS2348" s="5" t="s">
        <v>307</v>
      </c>
      <c r="CT2348" s="5" t="s">
        <v>307</v>
      </c>
      <c r="CU2348" s="5" t="s">
        <v>260</v>
      </c>
      <c r="CX2348" s="7">
        <f>1</f>
        <v>1</v>
      </c>
      <c r="CY2348" s="7">
        <f>0</f>
        <v>0</v>
      </c>
      <c r="DA2348" s="7">
        <f>0</f>
        <v>0</v>
      </c>
      <c r="DC2348" s="5" t="s">
        <v>309</v>
      </c>
      <c r="DD2348" s="5" t="s">
        <v>240</v>
      </c>
      <c r="DF2348" s="5" t="s">
        <v>309</v>
      </c>
      <c r="DG2348" s="7">
        <f>1048</f>
        <v>1048</v>
      </c>
      <c r="DI2348" s="5" t="s">
        <v>240</v>
      </c>
      <c r="DJ2348" s="5" t="s">
        <v>240</v>
      </c>
      <c r="DK2348" s="5" t="s">
        <v>240</v>
      </c>
      <c r="DL2348" s="5" t="s">
        <v>240</v>
      </c>
      <c r="DP2348" s="5" t="s">
        <v>240</v>
      </c>
      <c r="DQ2348" s="5" t="s">
        <v>240</v>
      </c>
      <c r="DR2348" s="5" t="s">
        <v>240</v>
      </c>
      <c r="DS2348" s="5" t="s">
        <v>240</v>
      </c>
      <c r="DV2348" s="5" t="s">
        <v>310</v>
      </c>
      <c r="DW2348" s="5" t="s">
        <v>2749</v>
      </c>
      <c r="HO2348" s="5" t="s">
        <v>312</v>
      </c>
    </row>
    <row r="2349" spans="1:223" x14ac:dyDescent="0.4">
      <c r="A2349" s="5">
        <v>4053</v>
      </c>
      <c r="B2349" s="5">
        <v>1</v>
      </c>
      <c r="C2349" s="5">
        <v>1</v>
      </c>
      <c r="D2349" s="5" t="s">
        <v>810</v>
      </c>
      <c r="E2349" s="5" t="s">
        <v>245</v>
      </c>
      <c r="F2349" s="5" t="s">
        <v>254</v>
      </c>
      <c r="G2349" s="5" t="s">
        <v>240</v>
      </c>
      <c r="H2349" s="6" t="s">
        <v>3847</v>
      </c>
      <c r="I2349" s="5" t="s">
        <v>809</v>
      </c>
      <c r="J2349" s="8">
        <f>1600</f>
        <v>1600</v>
      </c>
      <c r="K2349" s="5" t="s">
        <v>308</v>
      </c>
      <c r="L2349" s="7">
        <f>1</f>
        <v>1</v>
      </c>
      <c r="M2349" s="7">
        <f>1</f>
        <v>1</v>
      </c>
      <c r="N2349" s="5" t="s">
        <v>242</v>
      </c>
      <c r="O2349" s="5">
        <v>1</v>
      </c>
      <c r="P2349" s="5" t="s">
        <v>294</v>
      </c>
      <c r="Q2349" s="5" t="s">
        <v>266</v>
      </c>
      <c r="R2349" s="5" t="s">
        <v>240</v>
      </c>
      <c r="S2349" s="5" t="s">
        <v>240</v>
      </c>
      <c r="T2349" s="5" t="s">
        <v>296</v>
      </c>
      <c r="U2349" s="5" t="s">
        <v>244</v>
      </c>
      <c r="V2349" s="5" t="s">
        <v>240</v>
      </c>
      <c r="Y2349" s="5" t="s">
        <v>240</v>
      </c>
      <c r="Z2349" s="6" t="s">
        <v>298</v>
      </c>
      <c r="AB2349" s="6" t="s">
        <v>240</v>
      </c>
      <c r="AE2349" s="6" t="s">
        <v>299</v>
      </c>
      <c r="AF2349" s="5" t="s">
        <v>248</v>
      </c>
      <c r="AG2349" s="5" t="s">
        <v>249</v>
      </c>
      <c r="AW2349" s="5" t="s">
        <v>251</v>
      </c>
      <c r="AX2349" s="5" t="s">
        <v>240</v>
      </c>
      <c r="AY2349" s="5" t="s">
        <v>253</v>
      </c>
      <c r="AZ2349" s="5" t="s">
        <v>240</v>
      </c>
      <c r="BA2349" s="5" t="s">
        <v>255</v>
      </c>
      <c r="BB2349" s="5" t="s">
        <v>240</v>
      </c>
      <c r="BD2349" s="5" t="s">
        <v>240</v>
      </c>
      <c r="BF2349" s="5" t="s">
        <v>301</v>
      </c>
      <c r="BG2349" s="6" t="s">
        <v>299</v>
      </c>
      <c r="BH2349" s="5" t="s">
        <v>302</v>
      </c>
      <c r="BI2349" s="5" t="s">
        <v>303</v>
      </c>
      <c r="BJ2349" s="5" t="s">
        <v>240</v>
      </c>
      <c r="BK2349" s="8">
        <f>0</f>
        <v>0</v>
      </c>
      <c r="BL2349" s="7">
        <f>0</f>
        <v>0</v>
      </c>
      <c r="BM2349" s="5" t="s">
        <v>258</v>
      </c>
      <c r="BN2349" s="5" t="s">
        <v>259</v>
      </c>
      <c r="CB2349" s="5" t="s">
        <v>240</v>
      </c>
      <c r="CC2349" s="5" t="s">
        <v>240</v>
      </c>
      <c r="CG2349" s="5" t="s">
        <v>304</v>
      </c>
      <c r="CH2349" s="5" t="s">
        <v>305</v>
      </c>
      <c r="CI2349" s="5" t="s">
        <v>240</v>
      </c>
      <c r="CL2349" s="6" t="s">
        <v>261</v>
      </c>
      <c r="CM2349" s="5" t="s">
        <v>240</v>
      </c>
      <c r="CN2349" s="5" t="s">
        <v>263</v>
      </c>
      <c r="CO2349" s="5" t="s">
        <v>240</v>
      </c>
      <c r="CP2349" s="5" t="s">
        <v>240</v>
      </c>
      <c r="CQ2349" s="5">
        <v>0</v>
      </c>
      <c r="CR2349" s="5" t="s">
        <v>306</v>
      </c>
      <c r="CS2349" s="5" t="s">
        <v>307</v>
      </c>
      <c r="CT2349" s="5" t="s">
        <v>307</v>
      </c>
      <c r="CU2349" s="5" t="s">
        <v>260</v>
      </c>
      <c r="CX2349" s="7">
        <f>1</f>
        <v>1</v>
      </c>
      <c r="CY2349" s="7">
        <f>0</f>
        <v>0</v>
      </c>
      <c r="DA2349" s="7">
        <f>0</f>
        <v>0</v>
      </c>
      <c r="DC2349" s="5" t="s">
        <v>309</v>
      </c>
      <c r="DD2349" s="5" t="s">
        <v>240</v>
      </c>
      <c r="DF2349" s="5" t="s">
        <v>309</v>
      </c>
      <c r="DG2349" s="7">
        <f>78</f>
        <v>78</v>
      </c>
      <c r="DI2349" s="5" t="s">
        <v>240</v>
      </c>
      <c r="DJ2349" s="5" t="s">
        <v>240</v>
      </c>
      <c r="DK2349" s="5" t="s">
        <v>240</v>
      </c>
      <c r="DL2349" s="5" t="s">
        <v>240</v>
      </c>
      <c r="DP2349" s="5" t="s">
        <v>240</v>
      </c>
      <c r="DQ2349" s="5" t="s">
        <v>240</v>
      </c>
      <c r="DR2349" s="5" t="s">
        <v>240</v>
      </c>
      <c r="DS2349" s="5" t="s">
        <v>240</v>
      </c>
      <c r="DV2349" s="5" t="s">
        <v>310</v>
      </c>
      <c r="DW2349" s="5" t="s">
        <v>2751</v>
      </c>
      <c r="HO2349" s="5" t="s">
        <v>312</v>
      </c>
    </row>
    <row r="2350" spans="1:223" x14ac:dyDescent="0.4">
      <c r="A2350" s="5">
        <v>4054</v>
      </c>
      <c r="B2350" s="5">
        <v>1</v>
      </c>
      <c r="C2350" s="5">
        <v>1</v>
      </c>
      <c r="D2350" s="5" t="s">
        <v>810</v>
      </c>
      <c r="E2350" s="5" t="s">
        <v>245</v>
      </c>
      <c r="F2350" s="5" t="s">
        <v>254</v>
      </c>
      <c r="G2350" s="5" t="s">
        <v>240</v>
      </c>
      <c r="H2350" s="6" t="s">
        <v>3845</v>
      </c>
      <c r="I2350" s="5" t="s">
        <v>809</v>
      </c>
      <c r="J2350" s="8">
        <f>549</f>
        <v>549</v>
      </c>
      <c r="K2350" s="5" t="s">
        <v>308</v>
      </c>
      <c r="L2350" s="7">
        <f>1</f>
        <v>1</v>
      </c>
      <c r="M2350" s="7">
        <f>1</f>
        <v>1</v>
      </c>
      <c r="N2350" s="5" t="s">
        <v>242</v>
      </c>
      <c r="O2350" s="5">
        <v>1</v>
      </c>
      <c r="P2350" s="5" t="s">
        <v>294</v>
      </c>
      <c r="Q2350" s="5" t="s">
        <v>266</v>
      </c>
      <c r="R2350" s="5" t="s">
        <v>240</v>
      </c>
      <c r="S2350" s="5" t="s">
        <v>240</v>
      </c>
      <c r="T2350" s="5" t="s">
        <v>296</v>
      </c>
      <c r="U2350" s="5" t="s">
        <v>244</v>
      </c>
      <c r="V2350" s="5" t="s">
        <v>240</v>
      </c>
      <c r="Y2350" s="5" t="s">
        <v>240</v>
      </c>
      <c r="Z2350" s="6" t="s">
        <v>298</v>
      </c>
      <c r="AB2350" s="6" t="s">
        <v>240</v>
      </c>
      <c r="AE2350" s="6" t="s">
        <v>299</v>
      </c>
      <c r="AF2350" s="5" t="s">
        <v>248</v>
      </c>
      <c r="AG2350" s="5" t="s">
        <v>249</v>
      </c>
      <c r="AW2350" s="5" t="s">
        <v>251</v>
      </c>
      <c r="AX2350" s="5" t="s">
        <v>240</v>
      </c>
      <c r="AY2350" s="5" t="s">
        <v>253</v>
      </c>
      <c r="AZ2350" s="5" t="s">
        <v>240</v>
      </c>
      <c r="BA2350" s="5" t="s">
        <v>255</v>
      </c>
      <c r="BB2350" s="5" t="s">
        <v>240</v>
      </c>
      <c r="BD2350" s="5" t="s">
        <v>240</v>
      </c>
      <c r="BF2350" s="5" t="s">
        <v>301</v>
      </c>
      <c r="BG2350" s="6" t="s">
        <v>299</v>
      </c>
      <c r="BH2350" s="5" t="s">
        <v>302</v>
      </c>
      <c r="BI2350" s="5" t="s">
        <v>303</v>
      </c>
      <c r="BJ2350" s="5" t="s">
        <v>240</v>
      </c>
      <c r="BK2350" s="8">
        <f>0</f>
        <v>0</v>
      </c>
      <c r="BL2350" s="7">
        <f>0</f>
        <v>0</v>
      </c>
      <c r="BM2350" s="5" t="s">
        <v>258</v>
      </c>
      <c r="BN2350" s="5" t="s">
        <v>259</v>
      </c>
      <c r="CB2350" s="5" t="s">
        <v>240</v>
      </c>
      <c r="CC2350" s="5" t="s">
        <v>240</v>
      </c>
      <c r="CG2350" s="5" t="s">
        <v>304</v>
      </c>
      <c r="CH2350" s="5" t="s">
        <v>305</v>
      </c>
      <c r="CI2350" s="5" t="s">
        <v>240</v>
      </c>
      <c r="CL2350" s="6" t="s">
        <v>261</v>
      </c>
      <c r="CM2350" s="5" t="s">
        <v>240</v>
      </c>
      <c r="CN2350" s="5" t="s">
        <v>263</v>
      </c>
      <c r="CO2350" s="5" t="s">
        <v>240</v>
      </c>
      <c r="CP2350" s="5" t="s">
        <v>240</v>
      </c>
      <c r="CQ2350" s="5">
        <v>0</v>
      </c>
      <c r="CR2350" s="5" t="s">
        <v>306</v>
      </c>
      <c r="CS2350" s="5" t="s">
        <v>307</v>
      </c>
      <c r="CT2350" s="5" t="s">
        <v>307</v>
      </c>
      <c r="CU2350" s="5" t="s">
        <v>260</v>
      </c>
      <c r="CX2350" s="7">
        <f>1</f>
        <v>1</v>
      </c>
      <c r="CY2350" s="7">
        <f>0</f>
        <v>0</v>
      </c>
      <c r="DA2350" s="7">
        <f>0</f>
        <v>0</v>
      </c>
      <c r="DC2350" s="5" t="s">
        <v>309</v>
      </c>
      <c r="DD2350" s="5" t="s">
        <v>240</v>
      </c>
      <c r="DF2350" s="5" t="s">
        <v>309</v>
      </c>
      <c r="DG2350" s="7">
        <f>3990</f>
        <v>3990</v>
      </c>
      <c r="DI2350" s="5" t="s">
        <v>240</v>
      </c>
      <c r="DJ2350" s="5" t="s">
        <v>240</v>
      </c>
      <c r="DK2350" s="5" t="s">
        <v>240</v>
      </c>
      <c r="DL2350" s="5" t="s">
        <v>240</v>
      </c>
      <c r="DP2350" s="5" t="s">
        <v>240</v>
      </c>
      <c r="DQ2350" s="5" t="s">
        <v>240</v>
      </c>
      <c r="DR2350" s="5" t="s">
        <v>240</v>
      </c>
      <c r="DS2350" s="5" t="s">
        <v>240</v>
      </c>
      <c r="DV2350" s="5" t="s">
        <v>310</v>
      </c>
      <c r="DW2350" s="5" t="s">
        <v>2753</v>
      </c>
      <c r="HO2350" s="5" t="s">
        <v>312</v>
      </c>
    </row>
    <row r="2351" spans="1:223" x14ac:dyDescent="0.4">
      <c r="A2351" s="5">
        <v>4055</v>
      </c>
      <c r="B2351" s="5">
        <v>1</v>
      </c>
      <c r="C2351" s="5">
        <v>1</v>
      </c>
      <c r="D2351" s="5" t="s">
        <v>810</v>
      </c>
      <c r="E2351" s="5" t="s">
        <v>245</v>
      </c>
      <c r="F2351" s="5" t="s">
        <v>254</v>
      </c>
      <c r="G2351" s="5" t="s">
        <v>240</v>
      </c>
      <c r="H2351" s="6" t="s">
        <v>3843</v>
      </c>
      <c r="I2351" s="5" t="s">
        <v>809</v>
      </c>
      <c r="J2351" s="8">
        <f>307</f>
        <v>307</v>
      </c>
      <c r="K2351" s="5" t="s">
        <v>308</v>
      </c>
      <c r="L2351" s="7">
        <f>1</f>
        <v>1</v>
      </c>
      <c r="M2351" s="7">
        <f>1</f>
        <v>1</v>
      </c>
      <c r="N2351" s="5" t="s">
        <v>242</v>
      </c>
      <c r="O2351" s="5">
        <v>1</v>
      </c>
      <c r="P2351" s="5" t="s">
        <v>294</v>
      </c>
      <c r="Q2351" s="5" t="s">
        <v>266</v>
      </c>
      <c r="R2351" s="5" t="s">
        <v>240</v>
      </c>
      <c r="S2351" s="5" t="s">
        <v>240</v>
      </c>
      <c r="T2351" s="5" t="s">
        <v>296</v>
      </c>
      <c r="U2351" s="5" t="s">
        <v>244</v>
      </c>
      <c r="V2351" s="5" t="s">
        <v>240</v>
      </c>
      <c r="Y2351" s="5" t="s">
        <v>240</v>
      </c>
      <c r="Z2351" s="6" t="s">
        <v>298</v>
      </c>
      <c r="AB2351" s="6" t="s">
        <v>240</v>
      </c>
      <c r="AE2351" s="6" t="s">
        <v>299</v>
      </c>
      <c r="AF2351" s="5" t="s">
        <v>248</v>
      </c>
      <c r="AG2351" s="5" t="s">
        <v>249</v>
      </c>
      <c r="AW2351" s="5" t="s">
        <v>251</v>
      </c>
      <c r="AX2351" s="5" t="s">
        <v>240</v>
      </c>
      <c r="AY2351" s="5" t="s">
        <v>253</v>
      </c>
      <c r="AZ2351" s="5" t="s">
        <v>240</v>
      </c>
      <c r="BA2351" s="5" t="s">
        <v>255</v>
      </c>
      <c r="BB2351" s="5" t="s">
        <v>240</v>
      </c>
      <c r="BD2351" s="5" t="s">
        <v>240</v>
      </c>
      <c r="BF2351" s="5" t="s">
        <v>301</v>
      </c>
      <c r="BG2351" s="6" t="s">
        <v>299</v>
      </c>
      <c r="BH2351" s="5" t="s">
        <v>302</v>
      </c>
      <c r="BI2351" s="5" t="s">
        <v>303</v>
      </c>
      <c r="BJ2351" s="5" t="s">
        <v>240</v>
      </c>
      <c r="BK2351" s="8">
        <f>0</f>
        <v>0</v>
      </c>
      <c r="BL2351" s="7">
        <f>0</f>
        <v>0</v>
      </c>
      <c r="BM2351" s="5" t="s">
        <v>258</v>
      </c>
      <c r="BN2351" s="5" t="s">
        <v>259</v>
      </c>
      <c r="CB2351" s="5" t="s">
        <v>240</v>
      </c>
      <c r="CC2351" s="5" t="s">
        <v>240</v>
      </c>
      <c r="CG2351" s="5" t="s">
        <v>304</v>
      </c>
      <c r="CH2351" s="5" t="s">
        <v>305</v>
      </c>
      <c r="CI2351" s="5" t="s">
        <v>240</v>
      </c>
      <c r="CL2351" s="6" t="s">
        <v>261</v>
      </c>
      <c r="CM2351" s="5" t="s">
        <v>240</v>
      </c>
      <c r="CN2351" s="5" t="s">
        <v>263</v>
      </c>
      <c r="CO2351" s="5" t="s">
        <v>240</v>
      </c>
      <c r="CP2351" s="5" t="s">
        <v>240</v>
      </c>
      <c r="CQ2351" s="5">
        <v>0</v>
      </c>
      <c r="CR2351" s="5" t="s">
        <v>306</v>
      </c>
      <c r="CS2351" s="5" t="s">
        <v>307</v>
      </c>
      <c r="CT2351" s="5" t="s">
        <v>307</v>
      </c>
      <c r="CU2351" s="5" t="s">
        <v>260</v>
      </c>
      <c r="CX2351" s="7">
        <f>1</f>
        <v>1</v>
      </c>
      <c r="CY2351" s="7">
        <f>0</f>
        <v>0</v>
      </c>
      <c r="DA2351" s="7">
        <f>0</f>
        <v>0</v>
      </c>
      <c r="DC2351" s="5" t="s">
        <v>309</v>
      </c>
      <c r="DD2351" s="5" t="s">
        <v>240</v>
      </c>
      <c r="DF2351" s="5" t="s">
        <v>309</v>
      </c>
      <c r="DG2351" s="7">
        <f>130</f>
        <v>130</v>
      </c>
      <c r="DI2351" s="5" t="s">
        <v>240</v>
      </c>
      <c r="DJ2351" s="5" t="s">
        <v>240</v>
      </c>
      <c r="DK2351" s="5" t="s">
        <v>240</v>
      </c>
      <c r="DL2351" s="5" t="s">
        <v>240</v>
      </c>
      <c r="DP2351" s="5" t="s">
        <v>240</v>
      </c>
      <c r="DQ2351" s="5" t="s">
        <v>240</v>
      </c>
      <c r="DR2351" s="5" t="s">
        <v>240</v>
      </c>
      <c r="DS2351" s="5" t="s">
        <v>240</v>
      </c>
      <c r="DV2351" s="5" t="s">
        <v>310</v>
      </c>
      <c r="DW2351" s="5" t="s">
        <v>2755</v>
      </c>
      <c r="HO2351" s="5" t="s">
        <v>312</v>
      </c>
    </row>
    <row r="2352" spans="1:223" x14ac:dyDescent="0.4">
      <c r="A2352" s="5">
        <v>4056</v>
      </c>
      <c r="B2352" s="5">
        <v>1</v>
      </c>
      <c r="C2352" s="5">
        <v>1</v>
      </c>
      <c r="D2352" s="5" t="s">
        <v>810</v>
      </c>
      <c r="E2352" s="5" t="s">
        <v>245</v>
      </c>
      <c r="F2352" s="5" t="s">
        <v>254</v>
      </c>
      <c r="G2352" s="5" t="s">
        <v>240</v>
      </c>
      <c r="H2352" s="6" t="s">
        <v>3841</v>
      </c>
      <c r="I2352" s="5" t="s">
        <v>809</v>
      </c>
      <c r="J2352" s="8">
        <f>212</f>
        <v>212</v>
      </c>
      <c r="K2352" s="5" t="s">
        <v>308</v>
      </c>
      <c r="L2352" s="7">
        <f>1</f>
        <v>1</v>
      </c>
      <c r="M2352" s="7">
        <f>1</f>
        <v>1</v>
      </c>
      <c r="N2352" s="5" t="s">
        <v>242</v>
      </c>
      <c r="O2352" s="5">
        <v>1</v>
      </c>
      <c r="P2352" s="5" t="s">
        <v>294</v>
      </c>
      <c r="Q2352" s="5" t="s">
        <v>266</v>
      </c>
      <c r="R2352" s="5" t="s">
        <v>240</v>
      </c>
      <c r="S2352" s="5" t="s">
        <v>240</v>
      </c>
      <c r="T2352" s="5" t="s">
        <v>296</v>
      </c>
      <c r="U2352" s="5" t="s">
        <v>244</v>
      </c>
      <c r="V2352" s="5" t="s">
        <v>240</v>
      </c>
      <c r="Y2352" s="5" t="s">
        <v>240</v>
      </c>
      <c r="Z2352" s="6" t="s">
        <v>298</v>
      </c>
      <c r="AB2352" s="6" t="s">
        <v>240</v>
      </c>
      <c r="AE2352" s="6" t="s">
        <v>299</v>
      </c>
      <c r="AF2352" s="5" t="s">
        <v>248</v>
      </c>
      <c r="AG2352" s="5" t="s">
        <v>249</v>
      </c>
      <c r="AW2352" s="5" t="s">
        <v>251</v>
      </c>
      <c r="AX2352" s="5" t="s">
        <v>240</v>
      </c>
      <c r="AY2352" s="5" t="s">
        <v>253</v>
      </c>
      <c r="AZ2352" s="5" t="s">
        <v>240</v>
      </c>
      <c r="BA2352" s="5" t="s">
        <v>255</v>
      </c>
      <c r="BB2352" s="5" t="s">
        <v>240</v>
      </c>
      <c r="BD2352" s="5" t="s">
        <v>240</v>
      </c>
      <c r="BF2352" s="5" t="s">
        <v>301</v>
      </c>
      <c r="BG2352" s="6" t="s">
        <v>299</v>
      </c>
      <c r="BH2352" s="5" t="s">
        <v>302</v>
      </c>
      <c r="BI2352" s="5" t="s">
        <v>303</v>
      </c>
      <c r="BJ2352" s="5" t="s">
        <v>240</v>
      </c>
      <c r="BK2352" s="8">
        <f>0</f>
        <v>0</v>
      </c>
      <c r="BL2352" s="7">
        <f>0</f>
        <v>0</v>
      </c>
      <c r="BM2352" s="5" t="s">
        <v>258</v>
      </c>
      <c r="BN2352" s="5" t="s">
        <v>259</v>
      </c>
      <c r="CB2352" s="5" t="s">
        <v>240</v>
      </c>
      <c r="CC2352" s="5" t="s">
        <v>240</v>
      </c>
      <c r="CG2352" s="5" t="s">
        <v>304</v>
      </c>
      <c r="CH2352" s="5" t="s">
        <v>305</v>
      </c>
      <c r="CI2352" s="5" t="s">
        <v>240</v>
      </c>
      <c r="CL2352" s="6" t="s">
        <v>261</v>
      </c>
      <c r="CM2352" s="5" t="s">
        <v>240</v>
      </c>
      <c r="CN2352" s="5" t="s">
        <v>263</v>
      </c>
      <c r="CO2352" s="5" t="s">
        <v>240</v>
      </c>
      <c r="CP2352" s="5" t="s">
        <v>240</v>
      </c>
      <c r="CQ2352" s="5">
        <v>0</v>
      </c>
      <c r="CR2352" s="5" t="s">
        <v>306</v>
      </c>
      <c r="CS2352" s="5" t="s">
        <v>307</v>
      </c>
      <c r="CT2352" s="5" t="s">
        <v>307</v>
      </c>
      <c r="CU2352" s="5" t="s">
        <v>260</v>
      </c>
      <c r="CX2352" s="7">
        <f>1</f>
        <v>1</v>
      </c>
      <c r="CY2352" s="7">
        <f>0</f>
        <v>0</v>
      </c>
      <c r="DA2352" s="7">
        <f>0</f>
        <v>0</v>
      </c>
      <c r="DC2352" s="5" t="s">
        <v>309</v>
      </c>
      <c r="DD2352" s="5" t="s">
        <v>240</v>
      </c>
      <c r="DF2352" s="5" t="s">
        <v>309</v>
      </c>
      <c r="DG2352" s="7">
        <f>150</f>
        <v>150</v>
      </c>
      <c r="DI2352" s="5" t="s">
        <v>240</v>
      </c>
      <c r="DJ2352" s="5" t="s">
        <v>240</v>
      </c>
      <c r="DK2352" s="5" t="s">
        <v>240</v>
      </c>
      <c r="DL2352" s="5" t="s">
        <v>240</v>
      </c>
      <c r="DP2352" s="5" t="s">
        <v>240</v>
      </c>
      <c r="DQ2352" s="5" t="s">
        <v>240</v>
      </c>
      <c r="DR2352" s="5" t="s">
        <v>240</v>
      </c>
      <c r="DS2352" s="5" t="s">
        <v>240</v>
      </c>
      <c r="DV2352" s="5" t="s">
        <v>310</v>
      </c>
      <c r="DW2352" s="5" t="s">
        <v>2757</v>
      </c>
      <c r="HO2352" s="5" t="s">
        <v>312</v>
      </c>
    </row>
    <row r="2353" spans="1:223" x14ac:dyDescent="0.4">
      <c r="A2353" s="5">
        <v>4057</v>
      </c>
      <c r="B2353" s="5">
        <v>1</v>
      </c>
      <c r="C2353" s="5">
        <v>1</v>
      </c>
      <c r="D2353" s="5" t="s">
        <v>810</v>
      </c>
      <c r="E2353" s="5" t="s">
        <v>245</v>
      </c>
      <c r="F2353" s="5" t="s">
        <v>254</v>
      </c>
      <c r="G2353" s="5" t="s">
        <v>240</v>
      </c>
      <c r="H2353" s="6" t="s">
        <v>3839</v>
      </c>
      <c r="I2353" s="5" t="s">
        <v>809</v>
      </c>
      <c r="J2353" s="8">
        <f>321</f>
        <v>321</v>
      </c>
      <c r="K2353" s="5" t="s">
        <v>308</v>
      </c>
      <c r="L2353" s="7">
        <f>1</f>
        <v>1</v>
      </c>
      <c r="M2353" s="7">
        <f>1</f>
        <v>1</v>
      </c>
      <c r="N2353" s="5" t="s">
        <v>242</v>
      </c>
      <c r="O2353" s="5">
        <v>1</v>
      </c>
      <c r="P2353" s="5" t="s">
        <v>294</v>
      </c>
      <c r="Q2353" s="5" t="s">
        <v>266</v>
      </c>
      <c r="R2353" s="5" t="s">
        <v>240</v>
      </c>
      <c r="S2353" s="5" t="s">
        <v>240</v>
      </c>
      <c r="T2353" s="5" t="s">
        <v>296</v>
      </c>
      <c r="U2353" s="5" t="s">
        <v>244</v>
      </c>
      <c r="V2353" s="5" t="s">
        <v>240</v>
      </c>
      <c r="Y2353" s="5" t="s">
        <v>240</v>
      </c>
      <c r="Z2353" s="6" t="s">
        <v>298</v>
      </c>
      <c r="AB2353" s="6" t="s">
        <v>240</v>
      </c>
      <c r="AE2353" s="6" t="s">
        <v>299</v>
      </c>
      <c r="AF2353" s="5" t="s">
        <v>248</v>
      </c>
      <c r="AG2353" s="5" t="s">
        <v>249</v>
      </c>
      <c r="AW2353" s="5" t="s">
        <v>251</v>
      </c>
      <c r="AX2353" s="5" t="s">
        <v>240</v>
      </c>
      <c r="AY2353" s="5" t="s">
        <v>253</v>
      </c>
      <c r="AZ2353" s="5" t="s">
        <v>240</v>
      </c>
      <c r="BA2353" s="5" t="s">
        <v>255</v>
      </c>
      <c r="BB2353" s="5" t="s">
        <v>240</v>
      </c>
      <c r="BD2353" s="5" t="s">
        <v>240</v>
      </c>
      <c r="BF2353" s="5" t="s">
        <v>301</v>
      </c>
      <c r="BG2353" s="6" t="s">
        <v>299</v>
      </c>
      <c r="BH2353" s="5" t="s">
        <v>302</v>
      </c>
      <c r="BI2353" s="5" t="s">
        <v>303</v>
      </c>
      <c r="BJ2353" s="5" t="s">
        <v>240</v>
      </c>
      <c r="BK2353" s="8">
        <f>0</f>
        <v>0</v>
      </c>
      <c r="BL2353" s="7">
        <f>0</f>
        <v>0</v>
      </c>
      <c r="BM2353" s="5" t="s">
        <v>258</v>
      </c>
      <c r="BN2353" s="5" t="s">
        <v>259</v>
      </c>
      <c r="CB2353" s="5" t="s">
        <v>240</v>
      </c>
      <c r="CC2353" s="5" t="s">
        <v>240</v>
      </c>
      <c r="CG2353" s="5" t="s">
        <v>304</v>
      </c>
      <c r="CH2353" s="5" t="s">
        <v>305</v>
      </c>
      <c r="CI2353" s="5" t="s">
        <v>240</v>
      </c>
      <c r="CL2353" s="6" t="s">
        <v>261</v>
      </c>
      <c r="CM2353" s="5" t="s">
        <v>240</v>
      </c>
      <c r="CN2353" s="5" t="s">
        <v>263</v>
      </c>
      <c r="CO2353" s="5" t="s">
        <v>240</v>
      </c>
      <c r="CP2353" s="5" t="s">
        <v>240</v>
      </c>
      <c r="CQ2353" s="5">
        <v>0</v>
      </c>
      <c r="CR2353" s="5" t="s">
        <v>306</v>
      </c>
      <c r="CS2353" s="5" t="s">
        <v>307</v>
      </c>
      <c r="CT2353" s="5" t="s">
        <v>307</v>
      </c>
      <c r="CU2353" s="5" t="s">
        <v>260</v>
      </c>
      <c r="CX2353" s="7">
        <f>1</f>
        <v>1</v>
      </c>
      <c r="CY2353" s="7">
        <f>0</f>
        <v>0</v>
      </c>
      <c r="DA2353" s="7">
        <f>0</f>
        <v>0</v>
      </c>
      <c r="DC2353" s="5" t="s">
        <v>309</v>
      </c>
      <c r="DD2353" s="5" t="s">
        <v>240</v>
      </c>
      <c r="DF2353" s="5" t="s">
        <v>309</v>
      </c>
      <c r="DG2353" s="7">
        <f>211</f>
        <v>211</v>
      </c>
      <c r="DI2353" s="5" t="s">
        <v>240</v>
      </c>
      <c r="DJ2353" s="5" t="s">
        <v>240</v>
      </c>
      <c r="DK2353" s="5" t="s">
        <v>240</v>
      </c>
      <c r="DL2353" s="5" t="s">
        <v>240</v>
      </c>
      <c r="DP2353" s="5" t="s">
        <v>240</v>
      </c>
      <c r="DQ2353" s="5" t="s">
        <v>240</v>
      </c>
      <c r="DR2353" s="5" t="s">
        <v>240</v>
      </c>
      <c r="DS2353" s="5" t="s">
        <v>240</v>
      </c>
      <c r="DV2353" s="5" t="s">
        <v>310</v>
      </c>
      <c r="DW2353" s="5" t="s">
        <v>2759</v>
      </c>
      <c r="HO2353" s="5" t="s">
        <v>312</v>
      </c>
    </row>
    <row r="2354" spans="1:223" x14ac:dyDescent="0.4">
      <c r="A2354" s="5">
        <v>4058</v>
      </c>
      <c r="B2354" s="5">
        <v>1</v>
      </c>
      <c r="C2354" s="5">
        <v>1</v>
      </c>
      <c r="D2354" s="5" t="s">
        <v>810</v>
      </c>
      <c r="E2354" s="5" t="s">
        <v>245</v>
      </c>
      <c r="F2354" s="5" t="s">
        <v>254</v>
      </c>
      <c r="G2354" s="5" t="s">
        <v>240</v>
      </c>
      <c r="H2354" s="6" t="s">
        <v>3837</v>
      </c>
      <c r="I2354" s="5" t="s">
        <v>809</v>
      </c>
      <c r="J2354" s="8">
        <f>1112</f>
        <v>1112</v>
      </c>
      <c r="K2354" s="5" t="s">
        <v>308</v>
      </c>
      <c r="L2354" s="7">
        <f>1</f>
        <v>1</v>
      </c>
      <c r="M2354" s="7">
        <f>1</f>
        <v>1</v>
      </c>
      <c r="N2354" s="5" t="s">
        <v>242</v>
      </c>
      <c r="O2354" s="5">
        <v>1</v>
      </c>
      <c r="P2354" s="5" t="s">
        <v>294</v>
      </c>
      <c r="Q2354" s="5" t="s">
        <v>266</v>
      </c>
      <c r="R2354" s="5" t="s">
        <v>240</v>
      </c>
      <c r="S2354" s="5" t="s">
        <v>240</v>
      </c>
      <c r="T2354" s="5" t="s">
        <v>296</v>
      </c>
      <c r="U2354" s="5" t="s">
        <v>244</v>
      </c>
      <c r="V2354" s="5" t="s">
        <v>240</v>
      </c>
      <c r="Y2354" s="5" t="s">
        <v>240</v>
      </c>
      <c r="Z2354" s="6" t="s">
        <v>298</v>
      </c>
      <c r="AB2354" s="6" t="s">
        <v>240</v>
      </c>
      <c r="AE2354" s="6" t="s">
        <v>299</v>
      </c>
      <c r="AF2354" s="5" t="s">
        <v>248</v>
      </c>
      <c r="AG2354" s="5" t="s">
        <v>249</v>
      </c>
      <c r="AW2354" s="5" t="s">
        <v>251</v>
      </c>
      <c r="AX2354" s="5" t="s">
        <v>240</v>
      </c>
      <c r="AY2354" s="5" t="s">
        <v>253</v>
      </c>
      <c r="AZ2354" s="5" t="s">
        <v>240</v>
      </c>
      <c r="BA2354" s="5" t="s">
        <v>255</v>
      </c>
      <c r="BB2354" s="5" t="s">
        <v>240</v>
      </c>
      <c r="BD2354" s="5" t="s">
        <v>240</v>
      </c>
      <c r="BF2354" s="5" t="s">
        <v>301</v>
      </c>
      <c r="BG2354" s="6" t="s">
        <v>299</v>
      </c>
      <c r="BH2354" s="5" t="s">
        <v>302</v>
      </c>
      <c r="BI2354" s="5" t="s">
        <v>303</v>
      </c>
      <c r="BJ2354" s="5" t="s">
        <v>240</v>
      </c>
      <c r="BK2354" s="8">
        <f>0</f>
        <v>0</v>
      </c>
      <c r="BL2354" s="7">
        <f>0</f>
        <v>0</v>
      </c>
      <c r="BM2354" s="5" t="s">
        <v>258</v>
      </c>
      <c r="BN2354" s="5" t="s">
        <v>259</v>
      </c>
      <c r="CB2354" s="5" t="s">
        <v>240</v>
      </c>
      <c r="CC2354" s="5" t="s">
        <v>240</v>
      </c>
      <c r="CG2354" s="5" t="s">
        <v>304</v>
      </c>
      <c r="CH2354" s="5" t="s">
        <v>305</v>
      </c>
      <c r="CI2354" s="5" t="s">
        <v>240</v>
      </c>
      <c r="CL2354" s="6" t="s">
        <v>261</v>
      </c>
      <c r="CM2354" s="5" t="s">
        <v>240</v>
      </c>
      <c r="CN2354" s="5" t="s">
        <v>263</v>
      </c>
      <c r="CO2354" s="5" t="s">
        <v>240</v>
      </c>
      <c r="CP2354" s="5" t="s">
        <v>240</v>
      </c>
      <c r="CQ2354" s="5">
        <v>0</v>
      </c>
      <c r="CR2354" s="5" t="s">
        <v>306</v>
      </c>
      <c r="CS2354" s="5" t="s">
        <v>307</v>
      </c>
      <c r="CT2354" s="5" t="s">
        <v>307</v>
      </c>
      <c r="CU2354" s="5" t="s">
        <v>260</v>
      </c>
      <c r="CX2354" s="7">
        <f>1</f>
        <v>1</v>
      </c>
      <c r="CY2354" s="7">
        <f>0</f>
        <v>0</v>
      </c>
      <c r="DA2354" s="7">
        <f>0</f>
        <v>0</v>
      </c>
      <c r="DC2354" s="5" t="s">
        <v>309</v>
      </c>
      <c r="DD2354" s="5" t="s">
        <v>240</v>
      </c>
      <c r="DF2354" s="5" t="s">
        <v>309</v>
      </c>
      <c r="DG2354" s="7">
        <f>3759</f>
        <v>3759</v>
      </c>
      <c r="DI2354" s="5" t="s">
        <v>240</v>
      </c>
      <c r="DJ2354" s="5" t="s">
        <v>240</v>
      </c>
      <c r="DK2354" s="5" t="s">
        <v>240</v>
      </c>
      <c r="DL2354" s="5" t="s">
        <v>240</v>
      </c>
      <c r="DP2354" s="5" t="s">
        <v>240</v>
      </c>
      <c r="DQ2354" s="5" t="s">
        <v>240</v>
      </c>
      <c r="DR2354" s="5" t="s">
        <v>240</v>
      </c>
      <c r="DS2354" s="5" t="s">
        <v>240</v>
      </c>
      <c r="DV2354" s="5" t="s">
        <v>310</v>
      </c>
      <c r="DW2354" s="5" t="s">
        <v>2761</v>
      </c>
      <c r="HO2354" s="5" t="s">
        <v>312</v>
      </c>
    </row>
    <row r="2355" spans="1:223" x14ac:dyDescent="0.4">
      <c r="A2355" s="5">
        <v>4059</v>
      </c>
      <c r="B2355" s="5">
        <v>1</v>
      </c>
      <c r="C2355" s="5">
        <v>1</v>
      </c>
      <c r="D2355" s="5" t="s">
        <v>810</v>
      </c>
      <c r="E2355" s="5" t="s">
        <v>245</v>
      </c>
      <c r="F2355" s="5" t="s">
        <v>254</v>
      </c>
      <c r="G2355" s="5" t="s">
        <v>240</v>
      </c>
      <c r="H2355" s="6" t="s">
        <v>3835</v>
      </c>
      <c r="I2355" s="5" t="s">
        <v>809</v>
      </c>
      <c r="J2355" s="8">
        <f>287</f>
        <v>287</v>
      </c>
      <c r="K2355" s="5" t="s">
        <v>308</v>
      </c>
      <c r="L2355" s="7">
        <f>1</f>
        <v>1</v>
      </c>
      <c r="M2355" s="7">
        <f>1</f>
        <v>1</v>
      </c>
      <c r="N2355" s="5" t="s">
        <v>242</v>
      </c>
      <c r="O2355" s="5">
        <v>1</v>
      </c>
      <c r="P2355" s="5" t="s">
        <v>294</v>
      </c>
      <c r="Q2355" s="5" t="s">
        <v>266</v>
      </c>
      <c r="R2355" s="5" t="s">
        <v>240</v>
      </c>
      <c r="S2355" s="5" t="s">
        <v>240</v>
      </c>
      <c r="T2355" s="5" t="s">
        <v>296</v>
      </c>
      <c r="U2355" s="5" t="s">
        <v>244</v>
      </c>
      <c r="V2355" s="5" t="s">
        <v>240</v>
      </c>
      <c r="Y2355" s="5" t="s">
        <v>240</v>
      </c>
      <c r="Z2355" s="6" t="s">
        <v>298</v>
      </c>
      <c r="AB2355" s="6" t="s">
        <v>240</v>
      </c>
      <c r="AE2355" s="6" t="s">
        <v>299</v>
      </c>
      <c r="AF2355" s="5" t="s">
        <v>248</v>
      </c>
      <c r="AG2355" s="5" t="s">
        <v>249</v>
      </c>
      <c r="AW2355" s="5" t="s">
        <v>251</v>
      </c>
      <c r="AX2355" s="5" t="s">
        <v>240</v>
      </c>
      <c r="AY2355" s="5" t="s">
        <v>253</v>
      </c>
      <c r="AZ2355" s="5" t="s">
        <v>240</v>
      </c>
      <c r="BA2355" s="5" t="s">
        <v>255</v>
      </c>
      <c r="BB2355" s="5" t="s">
        <v>240</v>
      </c>
      <c r="BD2355" s="5" t="s">
        <v>240</v>
      </c>
      <c r="BF2355" s="5" t="s">
        <v>301</v>
      </c>
      <c r="BG2355" s="6" t="s">
        <v>299</v>
      </c>
      <c r="BH2355" s="5" t="s">
        <v>302</v>
      </c>
      <c r="BI2355" s="5" t="s">
        <v>303</v>
      </c>
      <c r="BJ2355" s="5" t="s">
        <v>240</v>
      </c>
      <c r="BK2355" s="8">
        <f>0</f>
        <v>0</v>
      </c>
      <c r="BL2355" s="7">
        <f>0</f>
        <v>0</v>
      </c>
      <c r="BM2355" s="5" t="s">
        <v>258</v>
      </c>
      <c r="BN2355" s="5" t="s">
        <v>259</v>
      </c>
      <c r="CB2355" s="5" t="s">
        <v>240</v>
      </c>
      <c r="CC2355" s="5" t="s">
        <v>240</v>
      </c>
      <c r="CG2355" s="5" t="s">
        <v>304</v>
      </c>
      <c r="CH2355" s="5" t="s">
        <v>305</v>
      </c>
      <c r="CI2355" s="5" t="s">
        <v>240</v>
      </c>
      <c r="CL2355" s="6" t="s">
        <v>261</v>
      </c>
      <c r="CM2355" s="5" t="s">
        <v>240</v>
      </c>
      <c r="CN2355" s="5" t="s">
        <v>263</v>
      </c>
      <c r="CO2355" s="5" t="s">
        <v>240</v>
      </c>
      <c r="CP2355" s="5" t="s">
        <v>240</v>
      </c>
      <c r="CQ2355" s="5">
        <v>0</v>
      </c>
      <c r="CR2355" s="5" t="s">
        <v>306</v>
      </c>
      <c r="CS2355" s="5" t="s">
        <v>307</v>
      </c>
      <c r="CT2355" s="5" t="s">
        <v>307</v>
      </c>
      <c r="CU2355" s="5" t="s">
        <v>260</v>
      </c>
      <c r="CX2355" s="7">
        <f>1</f>
        <v>1</v>
      </c>
      <c r="CY2355" s="7">
        <f>0</f>
        <v>0</v>
      </c>
      <c r="DA2355" s="7">
        <f>0</f>
        <v>0</v>
      </c>
      <c r="DC2355" s="5" t="s">
        <v>309</v>
      </c>
      <c r="DD2355" s="5" t="s">
        <v>240</v>
      </c>
      <c r="DF2355" s="5" t="s">
        <v>309</v>
      </c>
      <c r="DG2355" s="7">
        <f>2020</f>
        <v>2020</v>
      </c>
      <c r="DI2355" s="5" t="s">
        <v>240</v>
      </c>
      <c r="DJ2355" s="5" t="s">
        <v>240</v>
      </c>
      <c r="DK2355" s="5" t="s">
        <v>240</v>
      </c>
      <c r="DL2355" s="5" t="s">
        <v>240</v>
      </c>
      <c r="DP2355" s="5" t="s">
        <v>240</v>
      </c>
      <c r="DQ2355" s="5" t="s">
        <v>240</v>
      </c>
      <c r="DR2355" s="5" t="s">
        <v>240</v>
      </c>
      <c r="DS2355" s="5" t="s">
        <v>240</v>
      </c>
      <c r="DV2355" s="5" t="s">
        <v>310</v>
      </c>
      <c r="DW2355" s="5" t="s">
        <v>2763</v>
      </c>
      <c r="HO2355" s="5" t="s">
        <v>312</v>
      </c>
    </row>
    <row r="2356" spans="1:223" x14ac:dyDescent="0.4">
      <c r="A2356" s="5">
        <v>4060</v>
      </c>
      <c r="B2356" s="5">
        <v>1</v>
      </c>
      <c r="C2356" s="5">
        <v>1</v>
      </c>
      <c r="D2356" s="5" t="s">
        <v>810</v>
      </c>
      <c r="E2356" s="5" t="s">
        <v>245</v>
      </c>
      <c r="F2356" s="5" t="s">
        <v>254</v>
      </c>
      <c r="G2356" s="5" t="s">
        <v>240</v>
      </c>
      <c r="H2356" s="6" t="s">
        <v>3833</v>
      </c>
      <c r="I2356" s="5" t="s">
        <v>809</v>
      </c>
      <c r="J2356" s="8">
        <f>1279</f>
        <v>1279</v>
      </c>
      <c r="K2356" s="5" t="s">
        <v>308</v>
      </c>
      <c r="L2356" s="7">
        <f>1</f>
        <v>1</v>
      </c>
      <c r="M2356" s="7">
        <f>1</f>
        <v>1</v>
      </c>
      <c r="N2356" s="5" t="s">
        <v>242</v>
      </c>
      <c r="O2356" s="5">
        <v>1</v>
      </c>
      <c r="P2356" s="5" t="s">
        <v>294</v>
      </c>
      <c r="Q2356" s="5" t="s">
        <v>266</v>
      </c>
      <c r="R2356" s="5" t="s">
        <v>240</v>
      </c>
      <c r="S2356" s="5" t="s">
        <v>240</v>
      </c>
      <c r="T2356" s="5" t="s">
        <v>296</v>
      </c>
      <c r="U2356" s="5" t="s">
        <v>244</v>
      </c>
      <c r="V2356" s="5" t="s">
        <v>240</v>
      </c>
      <c r="Y2356" s="5" t="s">
        <v>240</v>
      </c>
      <c r="Z2356" s="6" t="s">
        <v>298</v>
      </c>
      <c r="AB2356" s="6" t="s">
        <v>240</v>
      </c>
      <c r="AE2356" s="6" t="s">
        <v>299</v>
      </c>
      <c r="AF2356" s="5" t="s">
        <v>248</v>
      </c>
      <c r="AG2356" s="5" t="s">
        <v>249</v>
      </c>
      <c r="AW2356" s="5" t="s">
        <v>251</v>
      </c>
      <c r="AX2356" s="5" t="s">
        <v>240</v>
      </c>
      <c r="AY2356" s="5" t="s">
        <v>253</v>
      </c>
      <c r="AZ2356" s="5" t="s">
        <v>240</v>
      </c>
      <c r="BA2356" s="5" t="s">
        <v>255</v>
      </c>
      <c r="BB2356" s="5" t="s">
        <v>240</v>
      </c>
      <c r="BD2356" s="5" t="s">
        <v>240</v>
      </c>
      <c r="BF2356" s="5" t="s">
        <v>301</v>
      </c>
      <c r="BG2356" s="6" t="s">
        <v>299</v>
      </c>
      <c r="BH2356" s="5" t="s">
        <v>302</v>
      </c>
      <c r="BI2356" s="5" t="s">
        <v>303</v>
      </c>
      <c r="BJ2356" s="5" t="s">
        <v>240</v>
      </c>
      <c r="BK2356" s="8">
        <f>0</f>
        <v>0</v>
      </c>
      <c r="BL2356" s="7">
        <f>0</f>
        <v>0</v>
      </c>
      <c r="BM2356" s="5" t="s">
        <v>258</v>
      </c>
      <c r="BN2356" s="5" t="s">
        <v>259</v>
      </c>
      <c r="CB2356" s="5" t="s">
        <v>240</v>
      </c>
      <c r="CC2356" s="5" t="s">
        <v>240</v>
      </c>
      <c r="CG2356" s="5" t="s">
        <v>304</v>
      </c>
      <c r="CH2356" s="5" t="s">
        <v>305</v>
      </c>
      <c r="CI2356" s="5" t="s">
        <v>240</v>
      </c>
      <c r="CL2356" s="6" t="s">
        <v>261</v>
      </c>
      <c r="CM2356" s="5" t="s">
        <v>240</v>
      </c>
      <c r="CN2356" s="5" t="s">
        <v>263</v>
      </c>
      <c r="CO2356" s="5" t="s">
        <v>240</v>
      </c>
      <c r="CP2356" s="5" t="s">
        <v>240</v>
      </c>
      <c r="CQ2356" s="5">
        <v>0</v>
      </c>
      <c r="CR2356" s="5" t="s">
        <v>306</v>
      </c>
      <c r="CS2356" s="5" t="s">
        <v>307</v>
      </c>
      <c r="CT2356" s="5" t="s">
        <v>307</v>
      </c>
      <c r="CU2356" s="5" t="s">
        <v>260</v>
      </c>
      <c r="CX2356" s="7">
        <f>1</f>
        <v>1</v>
      </c>
      <c r="CY2356" s="7">
        <f>0</f>
        <v>0</v>
      </c>
      <c r="DA2356" s="7">
        <f>0</f>
        <v>0</v>
      </c>
      <c r="DC2356" s="5" t="s">
        <v>309</v>
      </c>
      <c r="DD2356" s="5" t="s">
        <v>240</v>
      </c>
      <c r="DF2356" s="5" t="s">
        <v>309</v>
      </c>
      <c r="DG2356" s="7">
        <f>3153</f>
        <v>3153</v>
      </c>
      <c r="DI2356" s="5" t="s">
        <v>240</v>
      </c>
      <c r="DJ2356" s="5" t="s">
        <v>240</v>
      </c>
      <c r="DK2356" s="5" t="s">
        <v>240</v>
      </c>
      <c r="DL2356" s="5" t="s">
        <v>240</v>
      </c>
      <c r="DP2356" s="5" t="s">
        <v>240</v>
      </c>
      <c r="DQ2356" s="5" t="s">
        <v>240</v>
      </c>
      <c r="DR2356" s="5" t="s">
        <v>240</v>
      </c>
      <c r="DS2356" s="5" t="s">
        <v>240</v>
      </c>
      <c r="DV2356" s="5" t="s">
        <v>310</v>
      </c>
      <c r="DW2356" s="5" t="s">
        <v>2765</v>
      </c>
      <c r="HO2356" s="5" t="s">
        <v>312</v>
      </c>
    </row>
    <row r="2357" spans="1:223" x14ac:dyDescent="0.4">
      <c r="A2357" s="5">
        <v>4061</v>
      </c>
      <c r="B2357" s="5">
        <v>1</v>
      </c>
      <c r="C2357" s="5">
        <v>1</v>
      </c>
      <c r="D2357" s="5" t="s">
        <v>810</v>
      </c>
      <c r="E2357" s="5" t="s">
        <v>245</v>
      </c>
      <c r="F2357" s="5" t="s">
        <v>254</v>
      </c>
      <c r="G2357" s="5" t="s">
        <v>240</v>
      </c>
      <c r="H2357" s="6" t="s">
        <v>3831</v>
      </c>
      <c r="I2357" s="5" t="s">
        <v>809</v>
      </c>
      <c r="J2357" s="8">
        <f>928</f>
        <v>928</v>
      </c>
      <c r="K2357" s="5" t="s">
        <v>308</v>
      </c>
      <c r="L2357" s="7">
        <f>1</f>
        <v>1</v>
      </c>
      <c r="M2357" s="7">
        <f>1</f>
        <v>1</v>
      </c>
      <c r="N2357" s="5" t="s">
        <v>242</v>
      </c>
      <c r="O2357" s="5">
        <v>1</v>
      </c>
      <c r="P2357" s="5" t="s">
        <v>294</v>
      </c>
      <c r="Q2357" s="5" t="s">
        <v>266</v>
      </c>
      <c r="R2357" s="5" t="s">
        <v>240</v>
      </c>
      <c r="S2357" s="5" t="s">
        <v>240</v>
      </c>
      <c r="T2357" s="5" t="s">
        <v>296</v>
      </c>
      <c r="U2357" s="5" t="s">
        <v>244</v>
      </c>
      <c r="V2357" s="5" t="s">
        <v>240</v>
      </c>
      <c r="Y2357" s="5" t="s">
        <v>240</v>
      </c>
      <c r="Z2357" s="6" t="s">
        <v>298</v>
      </c>
      <c r="AB2357" s="6" t="s">
        <v>240</v>
      </c>
      <c r="AE2357" s="6" t="s">
        <v>299</v>
      </c>
      <c r="AF2357" s="5" t="s">
        <v>248</v>
      </c>
      <c r="AG2357" s="5" t="s">
        <v>249</v>
      </c>
      <c r="AW2357" s="5" t="s">
        <v>251</v>
      </c>
      <c r="AX2357" s="5" t="s">
        <v>240</v>
      </c>
      <c r="AY2357" s="5" t="s">
        <v>253</v>
      </c>
      <c r="AZ2357" s="5" t="s">
        <v>240</v>
      </c>
      <c r="BA2357" s="5" t="s">
        <v>255</v>
      </c>
      <c r="BB2357" s="5" t="s">
        <v>240</v>
      </c>
      <c r="BD2357" s="5" t="s">
        <v>240</v>
      </c>
      <c r="BF2357" s="5" t="s">
        <v>301</v>
      </c>
      <c r="BG2357" s="6" t="s">
        <v>299</v>
      </c>
      <c r="BH2357" s="5" t="s">
        <v>302</v>
      </c>
      <c r="BI2357" s="5" t="s">
        <v>303</v>
      </c>
      <c r="BJ2357" s="5" t="s">
        <v>240</v>
      </c>
      <c r="BK2357" s="8">
        <f>0</f>
        <v>0</v>
      </c>
      <c r="BL2357" s="7">
        <f>0</f>
        <v>0</v>
      </c>
      <c r="BM2357" s="5" t="s">
        <v>258</v>
      </c>
      <c r="BN2357" s="5" t="s">
        <v>259</v>
      </c>
      <c r="CB2357" s="5" t="s">
        <v>240</v>
      </c>
      <c r="CC2357" s="5" t="s">
        <v>240</v>
      </c>
      <c r="CG2357" s="5" t="s">
        <v>304</v>
      </c>
      <c r="CH2357" s="5" t="s">
        <v>305</v>
      </c>
      <c r="CI2357" s="5" t="s">
        <v>240</v>
      </c>
      <c r="CL2357" s="6" t="s">
        <v>261</v>
      </c>
      <c r="CM2357" s="5" t="s">
        <v>240</v>
      </c>
      <c r="CN2357" s="5" t="s">
        <v>263</v>
      </c>
      <c r="CO2357" s="5" t="s">
        <v>240</v>
      </c>
      <c r="CP2357" s="5" t="s">
        <v>240</v>
      </c>
      <c r="CQ2357" s="5">
        <v>0</v>
      </c>
      <c r="CR2357" s="5" t="s">
        <v>306</v>
      </c>
      <c r="CS2357" s="5" t="s">
        <v>307</v>
      </c>
      <c r="CT2357" s="5" t="s">
        <v>307</v>
      </c>
      <c r="CU2357" s="5" t="s">
        <v>260</v>
      </c>
      <c r="CX2357" s="7">
        <f>1</f>
        <v>1</v>
      </c>
      <c r="CY2357" s="7">
        <f>0</f>
        <v>0</v>
      </c>
      <c r="DA2357" s="7">
        <f>0</f>
        <v>0</v>
      </c>
      <c r="DC2357" s="5" t="s">
        <v>309</v>
      </c>
      <c r="DD2357" s="5" t="s">
        <v>240</v>
      </c>
      <c r="DF2357" s="5" t="s">
        <v>309</v>
      </c>
      <c r="DG2357" s="7">
        <f>507</f>
        <v>507</v>
      </c>
      <c r="DI2357" s="5" t="s">
        <v>240</v>
      </c>
      <c r="DJ2357" s="5" t="s">
        <v>240</v>
      </c>
      <c r="DK2357" s="5" t="s">
        <v>240</v>
      </c>
      <c r="DL2357" s="5" t="s">
        <v>240</v>
      </c>
      <c r="DP2357" s="5" t="s">
        <v>240</v>
      </c>
      <c r="DQ2357" s="5" t="s">
        <v>240</v>
      </c>
      <c r="DR2357" s="5" t="s">
        <v>240</v>
      </c>
      <c r="DS2357" s="5" t="s">
        <v>240</v>
      </c>
      <c r="DV2357" s="5" t="s">
        <v>310</v>
      </c>
      <c r="DW2357" s="5" t="s">
        <v>2767</v>
      </c>
      <c r="HO2357" s="5" t="s">
        <v>312</v>
      </c>
    </row>
    <row r="2358" spans="1:223" x14ac:dyDescent="0.4">
      <c r="A2358" s="5">
        <v>4062</v>
      </c>
      <c r="B2358" s="5">
        <v>1</v>
      </c>
      <c r="C2358" s="5">
        <v>1</v>
      </c>
      <c r="D2358" s="5" t="s">
        <v>810</v>
      </c>
      <c r="E2358" s="5" t="s">
        <v>245</v>
      </c>
      <c r="F2358" s="5" t="s">
        <v>254</v>
      </c>
      <c r="G2358" s="5" t="s">
        <v>240</v>
      </c>
      <c r="H2358" s="6" t="s">
        <v>3829</v>
      </c>
      <c r="I2358" s="5" t="s">
        <v>809</v>
      </c>
      <c r="J2358" s="8">
        <f>1930</f>
        <v>1930</v>
      </c>
      <c r="K2358" s="5" t="s">
        <v>308</v>
      </c>
      <c r="L2358" s="7">
        <f>1</f>
        <v>1</v>
      </c>
      <c r="M2358" s="7">
        <f>1</f>
        <v>1</v>
      </c>
      <c r="N2358" s="5" t="s">
        <v>242</v>
      </c>
      <c r="O2358" s="5">
        <v>1</v>
      </c>
      <c r="P2358" s="5" t="s">
        <v>294</v>
      </c>
      <c r="Q2358" s="5" t="s">
        <v>613</v>
      </c>
      <c r="R2358" s="5" t="s">
        <v>240</v>
      </c>
      <c r="S2358" s="5" t="s">
        <v>240</v>
      </c>
      <c r="T2358" s="5" t="s">
        <v>243</v>
      </c>
      <c r="U2358" s="5" t="s">
        <v>244</v>
      </c>
      <c r="V2358" s="5" t="s">
        <v>240</v>
      </c>
      <c r="Y2358" s="5" t="s">
        <v>240</v>
      </c>
      <c r="Z2358" s="6" t="s">
        <v>298</v>
      </c>
      <c r="AB2358" s="6" t="s">
        <v>240</v>
      </c>
      <c r="AE2358" s="6" t="s">
        <v>299</v>
      </c>
      <c r="AF2358" s="5" t="s">
        <v>248</v>
      </c>
      <c r="AG2358" s="5" t="s">
        <v>249</v>
      </c>
      <c r="AW2358" s="5" t="s">
        <v>251</v>
      </c>
      <c r="AX2358" s="5" t="s">
        <v>240</v>
      </c>
      <c r="AY2358" s="5" t="s">
        <v>253</v>
      </c>
      <c r="AZ2358" s="5" t="s">
        <v>240</v>
      </c>
      <c r="BA2358" s="5" t="s">
        <v>255</v>
      </c>
      <c r="BB2358" s="5" t="s">
        <v>240</v>
      </c>
      <c r="BD2358" s="5" t="s">
        <v>240</v>
      </c>
      <c r="BF2358" s="5" t="s">
        <v>301</v>
      </c>
      <c r="BG2358" s="6" t="s">
        <v>299</v>
      </c>
      <c r="BH2358" s="5" t="s">
        <v>302</v>
      </c>
      <c r="BI2358" s="5" t="s">
        <v>303</v>
      </c>
      <c r="BJ2358" s="5" t="s">
        <v>240</v>
      </c>
      <c r="BK2358" s="8">
        <f>0</f>
        <v>0</v>
      </c>
      <c r="BL2358" s="7">
        <f>0</f>
        <v>0</v>
      </c>
      <c r="BM2358" s="5" t="s">
        <v>258</v>
      </c>
      <c r="BN2358" s="5" t="s">
        <v>259</v>
      </c>
      <c r="CB2358" s="5" t="s">
        <v>240</v>
      </c>
      <c r="CC2358" s="5" t="s">
        <v>240</v>
      </c>
      <c r="CG2358" s="5" t="s">
        <v>617</v>
      </c>
      <c r="CH2358" s="5" t="s">
        <v>305</v>
      </c>
      <c r="CI2358" s="5" t="s">
        <v>240</v>
      </c>
      <c r="CL2358" s="6" t="s">
        <v>261</v>
      </c>
      <c r="CM2358" s="5" t="s">
        <v>240</v>
      </c>
      <c r="CN2358" s="5" t="s">
        <v>263</v>
      </c>
      <c r="CO2358" s="5" t="s">
        <v>240</v>
      </c>
      <c r="CP2358" s="5" t="s">
        <v>240</v>
      </c>
      <c r="CQ2358" s="5">
        <v>0</v>
      </c>
      <c r="CR2358" s="5" t="s">
        <v>306</v>
      </c>
      <c r="CS2358" s="5" t="s">
        <v>307</v>
      </c>
      <c r="CT2358" s="5" t="s">
        <v>307</v>
      </c>
      <c r="CU2358" s="5" t="s">
        <v>260</v>
      </c>
      <c r="CX2358" s="7">
        <f>843915</f>
        <v>843915</v>
      </c>
      <c r="CY2358" s="7">
        <f>0</f>
        <v>0</v>
      </c>
      <c r="DA2358" s="7">
        <f>0</f>
        <v>0</v>
      </c>
      <c r="DC2358" s="5" t="s">
        <v>689</v>
      </c>
      <c r="DD2358" s="5" t="s">
        <v>240</v>
      </c>
      <c r="DF2358" s="5" t="s">
        <v>689</v>
      </c>
      <c r="DG2358" s="7">
        <f>381</f>
        <v>381</v>
      </c>
      <c r="DH2358" s="6" t="s">
        <v>1556</v>
      </c>
      <c r="DI2358" s="5" t="s">
        <v>618</v>
      </c>
      <c r="DJ2358" s="5" t="s">
        <v>240</v>
      </c>
      <c r="DK2358" s="5" t="s">
        <v>240</v>
      </c>
      <c r="DL2358" s="5" t="s">
        <v>240</v>
      </c>
      <c r="DP2358" s="5" t="s">
        <v>240</v>
      </c>
      <c r="DQ2358" s="5" t="s">
        <v>240</v>
      </c>
      <c r="DR2358" s="5" t="s">
        <v>240</v>
      </c>
      <c r="DS2358" s="5" t="s">
        <v>240</v>
      </c>
      <c r="DV2358" s="5" t="s">
        <v>1570</v>
      </c>
      <c r="DW2358" s="5" t="s">
        <v>801</v>
      </c>
      <c r="HO2358" s="5" t="s">
        <v>312</v>
      </c>
    </row>
    <row r="2359" spans="1:223" x14ac:dyDescent="0.4">
      <c r="A2359" s="5">
        <v>4063</v>
      </c>
      <c r="B2359" s="5">
        <v>1</v>
      </c>
      <c r="C2359" s="5">
        <v>1</v>
      </c>
      <c r="D2359" s="5" t="s">
        <v>810</v>
      </c>
      <c r="E2359" s="5" t="s">
        <v>245</v>
      </c>
      <c r="F2359" s="5" t="s">
        <v>254</v>
      </c>
      <c r="G2359" s="5" t="s">
        <v>240</v>
      </c>
      <c r="H2359" s="6" t="s">
        <v>3827</v>
      </c>
      <c r="I2359" s="5" t="s">
        <v>809</v>
      </c>
      <c r="J2359" s="8">
        <f>579</f>
        <v>579</v>
      </c>
      <c r="K2359" s="5" t="s">
        <v>308</v>
      </c>
      <c r="L2359" s="7">
        <f>1</f>
        <v>1</v>
      </c>
      <c r="M2359" s="7">
        <f>1</f>
        <v>1</v>
      </c>
      <c r="N2359" s="5" t="s">
        <v>242</v>
      </c>
      <c r="O2359" s="5">
        <v>1</v>
      </c>
      <c r="P2359" s="5" t="s">
        <v>294</v>
      </c>
      <c r="Q2359" s="5" t="s">
        <v>266</v>
      </c>
      <c r="R2359" s="5" t="s">
        <v>240</v>
      </c>
      <c r="S2359" s="5" t="s">
        <v>240</v>
      </c>
      <c r="T2359" s="5" t="s">
        <v>296</v>
      </c>
      <c r="U2359" s="5" t="s">
        <v>244</v>
      </c>
      <c r="V2359" s="5" t="s">
        <v>240</v>
      </c>
      <c r="Y2359" s="5" t="s">
        <v>240</v>
      </c>
      <c r="Z2359" s="6" t="s">
        <v>298</v>
      </c>
      <c r="AB2359" s="6" t="s">
        <v>240</v>
      </c>
      <c r="AE2359" s="6" t="s">
        <v>299</v>
      </c>
      <c r="AF2359" s="5" t="s">
        <v>248</v>
      </c>
      <c r="AG2359" s="5" t="s">
        <v>249</v>
      </c>
      <c r="AW2359" s="5" t="s">
        <v>251</v>
      </c>
      <c r="AX2359" s="5" t="s">
        <v>240</v>
      </c>
      <c r="AY2359" s="5" t="s">
        <v>253</v>
      </c>
      <c r="AZ2359" s="5" t="s">
        <v>240</v>
      </c>
      <c r="BA2359" s="5" t="s">
        <v>255</v>
      </c>
      <c r="BB2359" s="5" t="s">
        <v>240</v>
      </c>
      <c r="BD2359" s="5" t="s">
        <v>240</v>
      </c>
      <c r="BF2359" s="5" t="s">
        <v>301</v>
      </c>
      <c r="BG2359" s="6" t="s">
        <v>299</v>
      </c>
      <c r="BH2359" s="5" t="s">
        <v>302</v>
      </c>
      <c r="BI2359" s="5" t="s">
        <v>303</v>
      </c>
      <c r="BJ2359" s="5" t="s">
        <v>240</v>
      </c>
      <c r="BK2359" s="8">
        <f>0</f>
        <v>0</v>
      </c>
      <c r="BL2359" s="7">
        <f>0</f>
        <v>0</v>
      </c>
      <c r="BM2359" s="5" t="s">
        <v>258</v>
      </c>
      <c r="BN2359" s="5" t="s">
        <v>259</v>
      </c>
      <c r="CB2359" s="5" t="s">
        <v>240</v>
      </c>
      <c r="CC2359" s="5" t="s">
        <v>240</v>
      </c>
      <c r="CG2359" s="5" t="s">
        <v>304</v>
      </c>
      <c r="CH2359" s="5" t="s">
        <v>305</v>
      </c>
      <c r="CI2359" s="5" t="s">
        <v>240</v>
      </c>
      <c r="CL2359" s="6" t="s">
        <v>261</v>
      </c>
      <c r="CM2359" s="5" t="s">
        <v>240</v>
      </c>
      <c r="CN2359" s="5" t="s">
        <v>263</v>
      </c>
      <c r="CO2359" s="5" t="s">
        <v>240</v>
      </c>
      <c r="CP2359" s="5" t="s">
        <v>240</v>
      </c>
      <c r="CQ2359" s="5">
        <v>0</v>
      </c>
      <c r="CR2359" s="5" t="s">
        <v>306</v>
      </c>
      <c r="CS2359" s="5" t="s">
        <v>307</v>
      </c>
      <c r="CT2359" s="5" t="s">
        <v>307</v>
      </c>
      <c r="CU2359" s="5" t="s">
        <v>260</v>
      </c>
      <c r="CX2359" s="7">
        <f>1</f>
        <v>1</v>
      </c>
      <c r="CY2359" s="7">
        <f>0</f>
        <v>0</v>
      </c>
      <c r="DA2359" s="7">
        <f>0</f>
        <v>0</v>
      </c>
      <c r="DC2359" s="5" t="s">
        <v>309</v>
      </c>
      <c r="DD2359" s="5" t="s">
        <v>240</v>
      </c>
      <c r="DF2359" s="5" t="s">
        <v>309</v>
      </c>
      <c r="DG2359" s="7">
        <f>166</f>
        <v>166</v>
      </c>
      <c r="DI2359" s="5" t="s">
        <v>240</v>
      </c>
      <c r="DJ2359" s="5" t="s">
        <v>240</v>
      </c>
      <c r="DK2359" s="5" t="s">
        <v>240</v>
      </c>
      <c r="DL2359" s="5" t="s">
        <v>240</v>
      </c>
      <c r="DP2359" s="5" t="s">
        <v>240</v>
      </c>
      <c r="DQ2359" s="5" t="s">
        <v>240</v>
      </c>
      <c r="DR2359" s="5" t="s">
        <v>240</v>
      </c>
      <c r="DS2359" s="5" t="s">
        <v>240</v>
      </c>
      <c r="DV2359" s="5" t="s">
        <v>310</v>
      </c>
      <c r="DW2359" s="5" t="s">
        <v>2771</v>
      </c>
      <c r="HO2359" s="5" t="s">
        <v>312</v>
      </c>
    </row>
    <row r="2360" spans="1:223" x14ac:dyDescent="0.4">
      <c r="A2360" s="5">
        <v>4064</v>
      </c>
      <c r="B2360" s="5">
        <v>1</v>
      </c>
      <c r="C2360" s="5">
        <v>1</v>
      </c>
      <c r="D2360" s="5" t="s">
        <v>810</v>
      </c>
      <c r="E2360" s="5" t="s">
        <v>245</v>
      </c>
      <c r="F2360" s="5" t="s">
        <v>254</v>
      </c>
      <c r="G2360" s="5" t="s">
        <v>240</v>
      </c>
      <c r="H2360" s="6" t="s">
        <v>3825</v>
      </c>
      <c r="I2360" s="5" t="s">
        <v>809</v>
      </c>
      <c r="J2360" s="8">
        <f>2748</f>
        <v>2748</v>
      </c>
      <c r="K2360" s="5" t="s">
        <v>308</v>
      </c>
      <c r="L2360" s="7">
        <f>1</f>
        <v>1</v>
      </c>
      <c r="M2360" s="7">
        <f>1</f>
        <v>1</v>
      </c>
      <c r="N2360" s="5" t="s">
        <v>242</v>
      </c>
      <c r="O2360" s="5">
        <v>1</v>
      </c>
      <c r="P2360" s="5" t="s">
        <v>294</v>
      </c>
      <c r="Q2360" s="5" t="s">
        <v>266</v>
      </c>
      <c r="R2360" s="5" t="s">
        <v>240</v>
      </c>
      <c r="S2360" s="5" t="s">
        <v>240</v>
      </c>
      <c r="T2360" s="5" t="s">
        <v>296</v>
      </c>
      <c r="U2360" s="5" t="s">
        <v>244</v>
      </c>
      <c r="V2360" s="5" t="s">
        <v>240</v>
      </c>
      <c r="Y2360" s="5" t="s">
        <v>240</v>
      </c>
      <c r="Z2360" s="6" t="s">
        <v>298</v>
      </c>
      <c r="AB2360" s="6" t="s">
        <v>240</v>
      </c>
      <c r="AE2360" s="6" t="s">
        <v>299</v>
      </c>
      <c r="AF2360" s="5" t="s">
        <v>248</v>
      </c>
      <c r="AG2360" s="5" t="s">
        <v>249</v>
      </c>
      <c r="AW2360" s="5" t="s">
        <v>251</v>
      </c>
      <c r="AX2360" s="5" t="s">
        <v>240</v>
      </c>
      <c r="AY2360" s="5" t="s">
        <v>253</v>
      </c>
      <c r="AZ2360" s="5" t="s">
        <v>240</v>
      </c>
      <c r="BA2360" s="5" t="s">
        <v>255</v>
      </c>
      <c r="BB2360" s="5" t="s">
        <v>240</v>
      </c>
      <c r="BD2360" s="5" t="s">
        <v>240</v>
      </c>
      <c r="BF2360" s="5" t="s">
        <v>301</v>
      </c>
      <c r="BG2360" s="6" t="s">
        <v>299</v>
      </c>
      <c r="BH2360" s="5" t="s">
        <v>302</v>
      </c>
      <c r="BI2360" s="5" t="s">
        <v>303</v>
      </c>
      <c r="BJ2360" s="5" t="s">
        <v>240</v>
      </c>
      <c r="BK2360" s="8">
        <f>0</f>
        <v>0</v>
      </c>
      <c r="BL2360" s="7">
        <f>0</f>
        <v>0</v>
      </c>
      <c r="BM2360" s="5" t="s">
        <v>258</v>
      </c>
      <c r="BN2360" s="5" t="s">
        <v>259</v>
      </c>
      <c r="CB2360" s="5" t="s">
        <v>240</v>
      </c>
      <c r="CC2360" s="5" t="s">
        <v>240</v>
      </c>
      <c r="CG2360" s="5" t="s">
        <v>304</v>
      </c>
      <c r="CH2360" s="5" t="s">
        <v>305</v>
      </c>
      <c r="CI2360" s="5" t="s">
        <v>240</v>
      </c>
      <c r="CL2360" s="6" t="s">
        <v>261</v>
      </c>
      <c r="CM2360" s="5" t="s">
        <v>240</v>
      </c>
      <c r="CN2360" s="5" t="s">
        <v>263</v>
      </c>
      <c r="CO2360" s="5" t="s">
        <v>240</v>
      </c>
      <c r="CP2360" s="5" t="s">
        <v>240</v>
      </c>
      <c r="CQ2360" s="5">
        <v>0</v>
      </c>
      <c r="CR2360" s="5" t="s">
        <v>306</v>
      </c>
      <c r="CS2360" s="5" t="s">
        <v>307</v>
      </c>
      <c r="CT2360" s="5" t="s">
        <v>307</v>
      </c>
      <c r="CU2360" s="5" t="s">
        <v>260</v>
      </c>
      <c r="CX2360" s="7">
        <f>1</f>
        <v>1</v>
      </c>
      <c r="CY2360" s="7">
        <f>0</f>
        <v>0</v>
      </c>
      <c r="DA2360" s="7">
        <f>0</f>
        <v>0</v>
      </c>
      <c r="DC2360" s="5" t="s">
        <v>309</v>
      </c>
      <c r="DD2360" s="5" t="s">
        <v>240</v>
      </c>
      <c r="DF2360" s="5" t="s">
        <v>309</v>
      </c>
      <c r="DG2360" s="7">
        <f>2008</f>
        <v>2008</v>
      </c>
      <c r="DI2360" s="5" t="s">
        <v>240</v>
      </c>
      <c r="DJ2360" s="5" t="s">
        <v>240</v>
      </c>
      <c r="DK2360" s="5" t="s">
        <v>240</v>
      </c>
      <c r="DL2360" s="5" t="s">
        <v>240</v>
      </c>
      <c r="DP2360" s="5" t="s">
        <v>240</v>
      </c>
      <c r="DQ2360" s="5" t="s">
        <v>240</v>
      </c>
      <c r="DR2360" s="5" t="s">
        <v>240</v>
      </c>
      <c r="DS2360" s="5" t="s">
        <v>240</v>
      </c>
      <c r="DV2360" s="5" t="s">
        <v>310</v>
      </c>
      <c r="DW2360" s="5" t="s">
        <v>2773</v>
      </c>
      <c r="HO2360" s="5" t="s">
        <v>312</v>
      </c>
    </row>
    <row r="2361" spans="1:223" x14ac:dyDescent="0.4">
      <c r="A2361" s="5">
        <v>4065</v>
      </c>
      <c r="B2361" s="5">
        <v>1</v>
      </c>
      <c r="C2361" s="5">
        <v>1</v>
      </c>
      <c r="D2361" s="5" t="s">
        <v>810</v>
      </c>
      <c r="E2361" s="5" t="s">
        <v>245</v>
      </c>
      <c r="F2361" s="5" t="s">
        <v>254</v>
      </c>
      <c r="G2361" s="5" t="s">
        <v>240</v>
      </c>
      <c r="H2361" s="6" t="s">
        <v>3887</v>
      </c>
      <c r="I2361" s="5" t="s">
        <v>809</v>
      </c>
      <c r="J2361" s="8">
        <f>917</f>
        <v>917</v>
      </c>
      <c r="K2361" s="5" t="s">
        <v>308</v>
      </c>
      <c r="L2361" s="7">
        <f>1</f>
        <v>1</v>
      </c>
      <c r="M2361" s="7">
        <f>1</f>
        <v>1</v>
      </c>
      <c r="N2361" s="5" t="s">
        <v>242</v>
      </c>
      <c r="O2361" s="5">
        <v>1</v>
      </c>
      <c r="P2361" s="5" t="s">
        <v>294</v>
      </c>
      <c r="Q2361" s="5" t="s">
        <v>266</v>
      </c>
      <c r="R2361" s="5" t="s">
        <v>240</v>
      </c>
      <c r="S2361" s="5" t="s">
        <v>240</v>
      </c>
      <c r="T2361" s="5" t="s">
        <v>296</v>
      </c>
      <c r="U2361" s="5" t="s">
        <v>244</v>
      </c>
      <c r="V2361" s="5" t="s">
        <v>240</v>
      </c>
      <c r="Y2361" s="5" t="s">
        <v>240</v>
      </c>
      <c r="Z2361" s="6" t="s">
        <v>298</v>
      </c>
      <c r="AB2361" s="6" t="s">
        <v>240</v>
      </c>
      <c r="AE2361" s="6" t="s">
        <v>299</v>
      </c>
      <c r="AF2361" s="5" t="s">
        <v>248</v>
      </c>
      <c r="AG2361" s="5" t="s">
        <v>249</v>
      </c>
      <c r="AW2361" s="5" t="s">
        <v>251</v>
      </c>
      <c r="AX2361" s="5" t="s">
        <v>240</v>
      </c>
      <c r="AY2361" s="5" t="s">
        <v>253</v>
      </c>
      <c r="AZ2361" s="5" t="s">
        <v>240</v>
      </c>
      <c r="BA2361" s="5" t="s">
        <v>255</v>
      </c>
      <c r="BB2361" s="5" t="s">
        <v>240</v>
      </c>
      <c r="BD2361" s="5" t="s">
        <v>240</v>
      </c>
      <c r="BF2361" s="5" t="s">
        <v>301</v>
      </c>
      <c r="BG2361" s="6" t="s">
        <v>299</v>
      </c>
      <c r="BH2361" s="5" t="s">
        <v>302</v>
      </c>
      <c r="BI2361" s="5" t="s">
        <v>303</v>
      </c>
      <c r="BJ2361" s="5" t="s">
        <v>240</v>
      </c>
      <c r="BK2361" s="8">
        <f>0</f>
        <v>0</v>
      </c>
      <c r="BL2361" s="7">
        <f>0</f>
        <v>0</v>
      </c>
      <c r="BM2361" s="5" t="s">
        <v>258</v>
      </c>
      <c r="BN2361" s="5" t="s">
        <v>259</v>
      </c>
      <c r="CB2361" s="5" t="s">
        <v>240</v>
      </c>
      <c r="CC2361" s="5" t="s">
        <v>240</v>
      </c>
      <c r="CG2361" s="5" t="s">
        <v>304</v>
      </c>
      <c r="CH2361" s="5" t="s">
        <v>305</v>
      </c>
      <c r="CI2361" s="5" t="s">
        <v>240</v>
      </c>
      <c r="CL2361" s="6" t="s">
        <v>261</v>
      </c>
      <c r="CM2361" s="5" t="s">
        <v>240</v>
      </c>
      <c r="CN2361" s="5" t="s">
        <v>263</v>
      </c>
      <c r="CO2361" s="5" t="s">
        <v>240</v>
      </c>
      <c r="CP2361" s="5" t="s">
        <v>240</v>
      </c>
      <c r="CQ2361" s="5">
        <v>0</v>
      </c>
      <c r="CR2361" s="5" t="s">
        <v>306</v>
      </c>
      <c r="CS2361" s="5" t="s">
        <v>307</v>
      </c>
      <c r="CT2361" s="5" t="s">
        <v>307</v>
      </c>
      <c r="CU2361" s="5" t="s">
        <v>260</v>
      </c>
      <c r="CX2361" s="7">
        <f>1</f>
        <v>1</v>
      </c>
      <c r="CY2361" s="7">
        <f>0</f>
        <v>0</v>
      </c>
      <c r="DA2361" s="7">
        <f>0</f>
        <v>0</v>
      </c>
      <c r="DC2361" s="5" t="s">
        <v>309</v>
      </c>
      <c r="DD2361" s="5" t="s">
        <v>240</v>
      </c>
      <c r="DF2361" s="5" t="s">
        <v>309</v>
      </c>
      <c r="DG2361" s="7">
        <f>384</f>
        <v>384</v>
      </c>
      <c r="DI2361" s="5" t="s">
        <v>240</v>
      </c>
      <c r="DJ2361" s="5" t="s">
        <v>240</v>
      </c>
      <c r="DK2361" s="5" t="s">
        <v>240</v>
      </c>
      <c r="DL2361" s="5" t="s">
        <v>240</v>
      </c>
      <c r="DP2361" s="5" t="s">
        <v>240</v>
      </c>
      <c r="DQ2361" s="5" t="s">
        <v>240</v>
      </c>
      <c r="DR2361" s="5" t="s">
        <v>240</v>
      </c>
      <c r="DS2361" s="5" t="s">
        <v>240</v>
      </c>
      <c r="DV2361" s="5" t="s">
        <v>310</v>
      </c>
      <c r="DW2361" s="5" t="s">
        <v>2775</v>
      </c>
      <c r="HO2361" s="5" t="s">
        <v>312</v>
      </c>
    </row>
    <row r="2362" spans="1:223" x14ac:dyDescent="0.4">
      <c r="A2362" s="5">
        <v>4066</v>
      </c>
      <c r="B2362" s="5">
        <v>1</v>
      </c>
      <c r="C2362" s="5">
        <v>1</v>
      </c>
      <c r="D2362" s="5" t="s">
        <v>810</v>
      </c>
      <c r="E2362" s="5" t="s">
        <v>245</v>
      </c>
      <c r="F2362" s="5" t="s">
        <v>254</v>
      </c>
      <c r="G2362" s="5" t="s">
        <v>240</v>
      </c>
      <c r="H2362" s="6" t="s">
        <v>3822</v>
      </c>
      <c r="I2362" s="5" t="s">
        <v>809</v>
      </c>
      <c r="J2362" s="8">
        <f>854</f>
        <v>854</v>
      </c>
      <c r="K2362" s="5" t="s">
        <v>308</v>
      </c>
      <c r="L2362" s="7">
        <f>1</f>
        <v>1</v>
      </c>
      <c r="M2362" s="7">
        <f>1</f>
        <v>1</v>
      </c>
      <c r="N2362" s="5" t="s">
        <v>242</v>
      </c>
      <c r="O2362" s="5">
        <v>1</v>
      </c>
      <c r="P2362" s="5" t="s">
        <v>294</v>
      </c>
      <c r="Q2362" s="5" t="s">
        <v>266</v>
      </c>
      <c r="R2362" s="5" t="s">
        <v>240</v>
      </c>
      <c r="S2362" s="5" t="s">
        <v>240</v>
      </c>
      <c r="T2362" s="5" t="s">
        <v>296</v>
      </c>
      <c r="U2362" s="5" t="s">
        <v>244</v>
      </c>
      <c r="V2362" s="5" t="s">
        <v>240</v>
      </c>
      <c r="Y2362" s="5" t="s">
        <v>240</v>
      </c>
      <c r="Z2362" s="6" t="s">
        <v>298</v>
      </c>
      <c r="AB2362" s="6" t="s">
        <v>240</v>
      </c>
      <c r="AE2362" s="6" t="s">
        <v>299</v>
      </c>
      <c r="AF2362" s="5" t="s">
        <v>248</v>
      </c>
      <c r="AG2362" s="5" t="s">
        <v>249</v>
      </c>
      <c r="AW2362" s="5" t="s">
        <v>251</v>
      </c>
      <c r="AX2362" s="5" t="s">
        <v>240</v>
      </c>
      <c r="AY2362" s="5" t="s">
        <v>253</v>
      </c>
      <c r="AZ2362" s="5" t="s">
        <v>240</v>
      </c>
      <c r="BA2362" s="5" t="s">
        <v>255</v>
      </c>
      <c r="BB2362" s="5" t="s">
        <v>240</v>
      </c>
      <c r="BD2362" s="5" t="s">
        <v>240</v>
      </c>
      <c r="BF2362" s="5" t="s">
        <v>301</v>
      </c>
      <c r="BG2362" s="6" t="s">
        <v>299</v>
      </c>
      <c r="BH2362" s="5" t="s">
        <v>302</v>
      </c>
      <c r="BI2362" s="5" t="s">
        <v>303</v>
      </c>
      <c r="BJ2362" s="5" t="s">
        <v>240</v>
      </c>
      <c r="BK2362" s="8">
        <f>0</f>
        <v>0</v>
      </c>
      <c r="BL2362" s="7">
        <f>0</f>
        <v>0</v>
      </c>
      <c r="BM2362" s="5" t="s">
        <v>258</v>
      </c>
      <c r="BN2362" s="5" t="s">
        <v>259</v>
      </c>
      <c r="CB2362" s="5" t="s">
        <v>240</v>
      </c>
      <c r="CC2362" s="5" t="s">
        <v>240</v>
      </c>
      <c r="CG2362" s="5" t="s">
        <v>304</v>
      </c>
      <c r="CH2362" s="5" t="s">
        <v>305</v>
      </c>
      <c r="CI2362" s="5" t="s">
        <v>240</v>
      </c>
      <c r="CL2362" s="6" t="s">
        <v>261</v>
      </c>
      <c r="CM2362" s="5" t="s">
        <v>240</v>
      </c>
      <c r="CN2362" s="5" t="s">
        <v>263</v>
      </c>
      <c r="CO2362" s="5" t="s">
        <v>240</v>
      </c>
      <c r="CP2362" s="5" t="s">
        <v>240</v>
      </c>
      <c r="CQ2362" s="5">
        <v>0</v>
      </c>
      <c r="CR2362" s="5" t="s">
        <v>306</v>
      </c>
      <c r="CS2362" s="5" t="s">
        <v>307</v>
      </c>
      <c r="CT2362" s="5" t="s">
        <v>307</v>
      </c>
      <c r="CU2362" s="5" t="s">
        <v>260</v>
      </c>
      <c r="CX2362" s="7">
        <f>1</f>
        <v>1</v>
      </c>
      <c r="CY2362" s="7">
        <f>0</f>
        <v>0</v>
      </c>
      <c r="DA2362" s="7">
        <f>0</f>
        <v>0</v>
      </c>
      <c r="DC2362" s="5" t="s">
        <v>309</v>
      </c>
      <c r="DD2362" s="5" t="s">
        <v>240</v>
      </c>
      <c r="DF2362" s="5" t="s">
        <v>309</v>
      </c>
      <c r="DG2362" s="7">
        <f>144</f>
        <v>144</v>
      </c>
      <c r="DI2362" s="5" t="s">
        <v>240</v>
      </c>
      <c r="DJ2362" s="5" t="s">
        <v>240</v>
      </c>
      <c r="DK2362" s="5" t="s">
        <v>240</v>
      </c>
      <c r="DL2362" s="5" t="s">
        <v>240</v>
      </c>
      <c r="DP2362" s="5" t="s">
        <v>240</v>
      </c>
      <c r="DQ2362" s="5" t="s">
        <v>240</v>
      </c>
      <c r="DR2362" s="5" t="s">
        <v>240</v>
      </c>
      <c r="DS2362" s="5" t="s">
        <v>240</v>
      </c>
      <c r="DV2362" s="5" t="s">
        <v>310</v>
      </c>
      <c r="DW2362" s="5" t="s">
        <v>2777</v>
      </c>
      <c r="HO2362" s="5" t="s">
        <v>312</v>
      </c>
    </row>
    <row r="2363" spans="1:223" x14ac:dyDescent="0.4">
      <c r="A2363" s="5">
        <v>4067</v>
      </c>
      <c r="B2363" s="5">
        <v>1</v>
      </c>
      <c r="C2363" s="5">
        <v>1</v>
      </c>
      <c r="D2363" s="5" t="s">
        <v>810</v>
      </c>
      <c r="E2363" s="5" t="s">
        <v>245</v>
      </c>
      <c r="F2363" s="5" t="s">
        <v>254</v>
      </c>
      <c r="G2363" s="5" t="s">
        <v>240</v>
      </c>
      <c r="H2363" s="6" t="s">
        <v>3820</v>
      </c>
      <c r="I2363" s="5" t="s">
        <v>809</v>
      </c>
      <c r="J2363" s="8">
        <f>3005</f>
        <v>3005</v>
      </c>
      <c r="K2363" s="5" t="s">
        <v>308</v>
      </c>
      <c r="L2363" s="7">
        <f>1</f>
        <v>1</v>
      </c>
      <c r="M2363" s="7">
        <f>1</f>
        <v>1</v>
      </c>
      <c r="N2363" s="5" t="s">
        <v>242</v>
      </c>
      <c r="O2363" s="5">
        <v>1</v>
      </c>
      <c r="P2363" s="5" t="s">
        <v>294</v>
      </c>
      <c r="Q2363" s="5" t="s">
        <v>266</v>
      </c>
      <c r="R2363" s="5" t="s">
        <v>240</v>
      </c>
      <c r="S2363" s="5" t="s">
        <v>240</v>
      </c>
      <c r="T2363" s="5" t="s">
        <v>296</v>
      </c>
      <c r="U2363" s="5" t="s">
        <v>244</v>
      </c>
      <c r="V2363" s="5" t="s">
        <v>240</v>
      </c>
      <c r="Y2363" s="5" t="s">
        <v>240</v>
      </c>
      <c r="Z2363" s="6" t="s">
        <v>298</v>
      </c>
      <c r="AB2363" s="6" t="s">
        <v>240</v>
      </c>
      <c r="AE2363" s="6" t="s">
        <v>299</v>
      </c>
      <c r="AF2363" s="5" t="s">
        <v>248</v>
      </c>
      <c r="AG2363" s="5" t="s">
        <v>249</v>
      </c>
      <c r="AW2363" s="5" t="s">
        <v>251</v>
      </c>
      <c r="AX2363" s="5" t="s">
        <v>240</v>
      </c>
      <c r="AY2363" s="5" t="s">
        <v>253</v>
      </c>
      <c r="AZ2363" s="5" t="s">
        <v>240</v>
      </c>
      <c r="BA2363" s="5" t="s">
        <v>255</v>
      </c>
      <c r="BB2363" s="5" t="s">
        <v>240</v>
      </c>
      <c r="BD2363" s="5" t="s">
        <v>240</v>
      </c>
      <c r="BF2363" s="5" t="s">
        <v>301</v>
      </c>
      <c r="BG2363" s="6" t="s">
        <v>299</v>
      </c>
      <c r="BH2363" s="5" t="s">
        <v>302</v>
      </c>
      <c r="BI2363" s="5" t="s">
        <v>303</v>
      </c>
      <c r="BJ2363" s="5" t="s">
        <v>240</v>
      </c>
      <c r="BK2363" s="8">
        <f>0</f>
        <v>0</v>
      </c>
      <c r="BL2363" s="7">
        <f>0</f>
        <v>0</v>
      </c>
      <c r="BM2363" s="5" t="s">
        <v>258</v>
      </c>
      <c r="BN2363" s="5" t="s">
        <v>259</v>
      </c>
      <c r="CB2363" s="5" t="s">
        <v>240</v>
      </c>
      <c r="CC2363" s="5" t="s">
        <v>240</v>
      </c>
      <c r="CG2363" s="5" t="s">
        <v>304</v>
      </c>
      <c r="CH2363" s="5" t="s">
        <v>305</v>
      </c>
      <c r="CI2363" s="5" t="s">
        <v>240</v>
      </c>
      <c r="CL2363" s="6" t="s">
        <v>261</v>
      </c>
      <c r="CM2363" s="5" t="s">
        <v>240</v>
      </c>
      <c r="CN2363" s="5" t="s">
        <v>263</v>
      </c>
      <c r="CO2363" s="5" t="s">
        <v>240</v>
      </c>
      <c r="CP2363" s="5" t="s">
        <v>240</v>
      </c>
      <c r="CQ2363" s="5">
        <v>0</v>
      </c>
      <c r="CR2363" s="5" t="s">
        <v>306</v>
      </c>
      <c r="CS2363" s="5" t="s">
        <v>307</v>
      </c>
      <c r="CT2363" s="5" t="s">
        <v>307</v>
      </c>
      <c r="CU2363" s="5" t="s">
        <v>260</v>
      </c>
      <c r="CX2363" s="7">
        <f>1</f>
        <v>1</v>
      </c>
      <c r="CY2363" s="7">
        <f>0</f>
        <v>0</v>
      </c>
      <c r="DA2363" s="7">
        <f>0</f>
        <v>0</v>
      </c>
      <c r="DC2363" s="5" t="s">
        <v>309</v>
      </c>
      <c r="DD2363" s="5" t="s">
        <v>240</v>
      </c>
      <c r="DF2363" s="5" t="s">
        <v>309</v>
      </c>
      <c r="DG2363" s="7">
        <f>4921</f>
        <v>4921</v>
      </c>
      <c r="DI2363" s="5" t="s">
        <v>240</v>
      </c>
      <c r="DJ2363" s="5" t="s">
        <v>240</v>
      </c>
      <c r="DK2363" s="5" t="s">
        <v>240</v>
      </c>
      <c r="DL2363" s="5" t="s">
        <v>240</v>
      </c>
      <c r="DP2363" s="5" t="s">
        <v>240</v>
      </c>
      <c r="DQ2363" s="5" t="s">
        <v>240</v>
      </c>
      <c r="DR2363" s="5" t="s">
        <v>240</v>
      </c>
      <c r="DS2363" s="5" t="s">
        <v>240</v>
      </c>
      <c r="DV2363" s="5" t="s">
        <v>310</v>
      </c>
      <c r="DW2363" s="5" t="s">
        <v>2779</v>
      </c>
      <c r="HO2363" s="5" t="s">
        <v>312</v>
      </c>
    </row>
    <row r="2364" spans="1:223" x14ac:dyDescent="0.4">
      <c r="A2364" s="5">
        <v>4068</v>
      </c>
      <c r="B2364" s="5">
        <v>1</v>
      </c>
      <c r="C2364" s="5">
        <v>1</v>
      </c>
      <c r="D2364" s="5" t="s">
        <v>810</v>
      </c>
      <c r="E2364" s="5" t="s">
        <v>245</v>
      </c>
      <c r="F2364" s="5" t="s">
        <v>254</v>
      </c>
      <c r="G2364" s="5" t="s">
        <v>240</v>
      </c>
      <c r="H2364" s="6" t="s">
        <v>3818</v>
      </c>
      <c r="I2364" s="5" t="s">
        <v>809</v>
      </c>
      <c r="J2364" s="8">
        <f>778</f>
        <v>778</v>
      </c>
      <c r="K2364" s="5" t="s">
        <v>308</v>
      </c>
      <c r="L2364" s="7">
        <f>1</f>
        <v>1</v>
      </c>
      <c r="M2364" s="7">
        <f>1</f>
        <v>1</v>
      </c>
      <c r="N2364" s="5" t="s">
        <v>242</v>
      </c>
      <c r="O2364" s="5">
        <v>1</v>
      </c>
      <c r="P2364" s="5" t="s">
        <v>294</v>
      </c>
      <c r="Q2364" s="5" t="s">
        <v>266</v>
      </c>
      <c r="R2364" s="5" t="s">
        <v>240</v>
      </c>
      <c r="S2364" s="5" t="s">
        <v>240</v>
      </c>
      <c r="T2364" s="5" t="s">
        <v>296</v>
      </c>
      <c r="U2364" s="5" t="s">
        <v>244</v>
      </c>
      <c r="V2364" s="5" t="s">
        <v>240</v>
      </c>
      <c r="Y2364" s="5" t="s">
        <v>240</v>
      </c>
      <c r="Z2364" s="6" t="s">
        <v>298</v>
      </c>
      <c r="AB2364" s="6" t="s">
        <v>240</v>
      </c>
      <c r="AE2364" s="6" t="s">
        <v>299</v>
      </c>
      <c r="AF2364" s="5" t="s">
        <v>248</v>
      </c>
      <c r="AG2364" s="5" t="s">
        <v>249</v>
      </c>
      <c r="AW2364" s="5" t="s">
        <v>251</v>
      </c>
      <c r="AX2364" s="5" t="s">
        <v>240</v>
      </c>
      <c r="AY2364" s="5" t="s">
        <v>253</v>
      </c>
      <c r="AZ2364" s="5" t="s">
        <v>240</v>
      </c>
      <c r="BA2364" s="5" t="s">
        <v>255</v>
      </c>
      <c r="BB2364" s="5" t="s">
        <v>240</v>
      </c>
      <c r="BD2364" s="5" t="s">
        <v>240</v>
      </c>
      <c r="BF2364" s="5" t="s">
        <v>301</v>
      </c>
      <c r="BG2364" s="6" t="s">
        <v>299</v>
      </c>
      <c r="BH2364" s="5" t="s">
        <v>302</v>
      </c>
      <c r="BI2364" s="5" t="s">
        <v>303</v>
      </c>
      <c r="BJ2364" s="5" t="s">
        <v>240</v>
      </c>
      <c r="BK2364" s="8">
        <f>0</f>
        <v>0</v>
      </c>
      <c r="BL2364" s="7">
        <f>0</f>
        <v>0</v>
      </c>
      <c r="BM2364" s="5" t="s">
        <v>258</v>
      </c>
      <c r="BN2364" s="5" t="s">
        <v>259</v>
      </c>
      <c r="CB2364" s="5" t="s">
        <v>240</v>
      </c>
      <c r="CC2364" s="5" t="s">
        <v>240</v>
      </c>
      <c r="CG2364" s="5" t="s">
        <v>304</v>
      </c>
      <c r="CH2364" s="5" t="s">
        <v>305</v>
      </c>
      <c r="CI2364" s="5" t="s">
        <v>240</v>
      </c>
      <c r="CL2364" s="6" t="s">
        <v>261</v>
      </c>
      <c r="CM2364" s="5" t="s">
        <v>240</v>
      </c>
      <c r="CN2364" s="5" t="s">
        <v>263</v>
      </c>
      <c r="CO2364" s="5" t="s">
        <v>240</v>
      </c>
      <c r="CP2364" s="5" t="s">
        <v>240</v>
      </c>
      <c r="CQ2364" s="5">
        <v>0</v>
      </c>
      <c r="CR2364" s="5" t="s">
        <v>306</v>
      </c>
      <c r="CS2364" s="5" t="s">
        <v>307</v>
      </c>
      <c r="CT2364" s="5" t="s">
        <v>307</v>
      </c>
      <c r="CU2364" s="5" t="s">
        <v>260</v>
      </c>
      <c r="CX2364" s="7">
        <f>1</f>
        <v>1</v>
      </c>
      <c r="CY2364" s="7">
        <f>0</f>
        <v>0</v>
      </c>
      <c r="DA2364" s="7">
        <f>0</f>
        <v>0</v>
      </c>
      <c r="DC2364" s="5" t="s">
        <v>309</v>
      </c>
      <c r="DD2364" s="5" t="s">
        <v>240</v>
      </c>
      <c r="DF2364" s="5" t="s">
        <v>309</v>
      </c>
      <c r="DG2364" s="7">
        <f>2239</f>
        <v>2239</v>
      </c>
      <c r="DI2364" s="5" t="s">
        <v>240</v>
      </c>
      <c r="DJ2364" s="5" t="s">
        <v>240</v>
      </c>
      <c r="DK2364" s="5" t="s">
        <v>240</v>
      </c>
      <c r="DL2364" s="5" t="s">
        <v>240</v>
      </c>
      <c r="DP2364" s="5" t="s">
        <v>240</v>
      </c>
      <c r="DQ2364" s="5" t="s">
        <v>240</v>
      </c>
      <c r="DR2364" s="5" t="s">
        <v>240</v>
      </c>
      <c r="DS2364" s="5" t="s">
        <v>240</v>
      </c>
      <c r="DV2364" s="5" t="s">
        <v>310</v>
      </c>
      <c r="DW2364" s="5" t="s">
        <v>2781</v>
      </c>
      <c r="HO2364" s="5" t="s">
        <v>312</v>
      </c>
    </row>
    <row r="2365" spans="1:223" x14ac:dyDescent="0.4">
      <c r="A2365" s="5">
        <v>4069</v>
      </c>
      <c r="B2365" s="5">
        <v>1</v>
      </c>
      <c r="C2365" s="5">
        <v>1</v>
      </c>
      <c r="D2365" s="5" t="s">
        <v>810</v>
      </c>
      <c r="E2365" s="5" t="s">
        <v>245</v>
      </c>
      <c r="F2365" s="5" t="s">
        <v>254</v>
      </c>
      <c r="G2365" s="5" t="s">
        <v>240</v>
      </c>
      <c r="H2365" s="6" t="s">
        <v>3816</v>
      </c>
      <c r="I2365" s="5" t="s">
        <v>809</v>
      </c>
      <c r="J2365" s="8">
        <f>803</f>
        <v>803</v>
      </c>
      <c r="K2365" s="5" t="s">
        <v>308</v>
      </c>
      <c r="L2365" s="7">
        <f>1</f>
        <v>1</v>
      </c>
      <c r="M2365" s="7">
        <f>1</f>
        <v>1</v>
      </c>
      <c r="N2365" s="5" t="s">
        <v>242</v>
      </c>
      <c r="O2365" s="5">
        <v>1</v>
      </c>
      <c r="P2365" s="5" t="s">
        <v>294</v>
      </c>
      <c r="Q2365" s="5" t="s">
        <v>266</v>
      </c>
      <c r="R2365" s="5" t="s">
        <v>240</v>
      </c>
      <c r="S2365" s="5" t="s">
        <v>240</v>
      </c>
      <c r="T2365" s="5" t="s">
        <v>296</v>
      </c>
      <c r="U2365" s="5" t="s">
        <v>244</v>
      </c>
      <c r="V2365" s="5" t="s">
        <v>240</v>
      </c>
      <c r="Y2365" s="5" t="s">
        <v>240</v>
      </c>
      <c r="Z2365" s="6" t="s">
        <v>298</v>
      </c>
      <c r="AB2365" s="6" t="s">
        <v>240</v>
      </c>
      <c r="AE2365" s="6" t="s">
        <v>299</v>
      </c>
      <c r="AF2365" s="5" t="s">
        <v>248</v>
      </c>
      <c r="AG2365" s="5" t="s">
        <v>249</v>
      </c>
      <c r="AW2365" s="5" t="s">
        <v>251</v>
      </c>
      <c r="AX2365" s="5" t="s">
        <v>240</v>
      </c>
      <c r="AY2365" s="5" t="s">
        <v>253</v>
      </c>
      <c r="AZ2365" s="5" t="s">
        <v>240</v>
      </c>
      <c r="BA2365" s="5" t="s">
        <v>255</v>
      </c>
      <c r="BB2365" s="5" t="s">
        <v>240</v>
      </c>
      <c r="BD2365" s="5" t="s">
        <v>240</v>
      </c>
      <c r="BF2365" s="5" t="s">
        <v>301</v>
      </c>
      <c r="BG2365" s="6" t="s">
        <v>299</v>
      </c>
      <c r="BH2365" s="5" t="s">
        <v>302</v>
      </c>
      <c r="BI2365" s="5" t="s">
        <v>303</v>
      </c>
      <c r="BJ2365" s="5" t="s">
        <v>240</v>
      </c>
      <c r="BK2365" s="8">
        <f>0</f>
        <v>0</v>
      </c>
      <c r="BL2365" s="7">
        <f>0</f>
        <v>0</v>
      </c>
      <c r="BM2365" s="5" t="s">
        <v>258</v>
      </c>
      <c r="BN2365" s="5" t="s">
        <v>259</v>
      </c>
      <c r="CB2365" s="5" t="s">
        <v>240</v>
      </c>
      <c r="CC2365" s="5" t="s">
        <v>240</v>
      </c>
      <c r="CG2365" s="5" t="s">
        <v>304</v>
      </c>
      <c r="CH2365" s="5" t="s">
        <v>305</v>
      </c>
      <c r="CI2365" s="5" t="s">
        <v>240</v>
      </c>
      <c r="CL2365" s="6" t="s">
        <v>261</v>
      </c>
      <c r="CM2365" s="5" t="s">
        <v>240</v>
      </c>
      <c r="CN2365" s="5" t="s">
        <v>263</v>
      </c>
      <c r="CO2365" s="5" t="s">
        <v>240</v>
      </c>
      <c r="CP2365" s="5" t="s">
        <v>240</v>
      </c>
      <c r="CQ2365" s="5">
        <v>0</v>
      </c>
      <c r="CR2365" s="5" t="s">
        <v>306</v>
      </c>
      <c r="CS2365" s="5" t="s">
        <v>307</v>
      </c>
      <c r="CT2365" s="5" t="s">
        <v>307</v>
      </c>
      <c r="CU2365" s="5" t="s">
        <v>260</v>
      </c>
      <c r="CX2365" s="7">
        <f>1</f>
        <v>1</v>
      </c>
      <c r="CY2365" s="7">
        <f>0</f>
        <v>0</v>
      </c>
      <c r="DA2365" s="7">
        <f>0</f>
        <v>0</v>
      </c>
      <c r="DC2365" s="5" t="s">
        <v>309</v>
      </c>
      <c r="DD2365" s="5" t="s">
        <v>240</v>
      </c>
      <c r="DF2365" s="5" t="s">
        <v>309</v>
      </c>
      <c r="DG2365" s="7">
        <f>839</f>
        <v>839</v>
      </c>
      <c r="DI2365" s="5" t="s">
        <v>240</v>
      </c>
      <c r="DJ2365" s="5" t="s">
        <v>240</v>
      </c>
      <c r="DK2365" s="5" t="s">
        <v>240</v>
      </c>
      <c r="DL2365" s="5" t="s">
        <v>240</v>
      </c>
      <c r="DP2365" s="5" t="s">
        <v>240</v>
      </c>
      <c r="DQ2365" s="5" t="s">
        <v>240</v>
      </c>
      <c r="DR2365" s="5" t="s">
        <v>240</v>
      </c>
      <c r="DS2365" s="5" t="s">
        <v>240</v>
      </c>
      <c r="DV2365" s="5" t="s">
        <v>310</v>
      </c>
      <c r="DW2365" s="5" t="s">
        <v>2783</v>
      </c>
      <c r="HO2365" s="5" t="s">
        <v>312</v>
      </c>
    </row>
    <row r="2366" spans="1:223" x14ac:dyDescent="0.4">
      <c r="A2366" s="5">
        <v>4070</v>
      </c>
      <c r="B2366" s="5">
        <v>1</v>
      </c>
      <c r="C2366" s="5">
        <v>1</v>
      </c>
      <c r="D2366" s="5" t="s">
        <v>810</v>
      </c>
      <c r="E2366" s="5" t="s">
        <v>245</v>
      </c>
      <c r="F2366" s="5" t="s">
        <v>254</v>
      </c>
      <c r="G2366" s="5" t="s">
        <v>240</v>
      </c>
      <c r="H2366" s="6" t="s">
        <v>3814</v>
      </c>
      <c r="I2366" s="5" t="s">
        <v>809</v>
      </c>
      <c r="J2366" s="8">
        <f>2479</f>
        <v>2479</v>
      </c>
      <c r="K2366" s="5" t="s">
        <v>308</v>
      </c>
      <c r="L2366" s="7">
        <f>1</f>
        <v>1</v>
      </c>
      <c r="M2366" s="7">
        <f>1</f>
        <v>1</v>
      </c>
      <c r="N2366" s="5" t="s">
        <v>242</v>
      </c>
      <c r="O2366" s="5">
        <v>1</v>
      </c>
      <c r="P2366" s="5" t="s">
        <v>294</v>
      </c>
      <c r="Q2366" s="5" t="s">
        <v>613</v>
      </c>
      <c r="R2366" s="5" t="s">
        <v>240</v>
      </c>
      <c r="S2366" s="5" t="s">
        <v>240</v>
      </c>
      <c r="T2366" s="5" t="s">
        <v>243</v>
      </c>
      <c r="U2366" s="5" t="s">
        <v>244</v>
      </c>
      <c r="V2366" s="5" t="s">
        <v>240</v>
      </c>
      <c r="Y2366" s="5" t="s">
        <v>240</v>
      </c>
      <c r="Z2366" s="6" t="s">
        <v>298</v>
      </c>
      <c r="AB2366" s="6" t="s">
        <v>240</v>
      </c>
      <c r="AE2366" s="6" t="s">
        <v>299</v>
      </c>
      <c r="AF2366" s="5" t="s">
        <v>248</v>
      </c>
      <c r="AG2366" s="5" t="s">
        <v>249</v>
      </c>
      <c r="AW2366" s="5" t="s">
        <v>251</v>
      </c>
      <c r="AX2366" s="5" t="s">
        <v>240</v>
      </c>
      <c r="AY2366" s="5" t="s">
        <v>253</v>
      </c>
      <c r="AZ2366" s="5" t="s">
        <v>240</v>
      </c>
      <c r="BA2366" s="5" t="s">
        <v>255</v>
      </c>
      <c r="BB2366" s="5" t="s">
        <v>240</v>
      </c>
      <c r="BD2366" s="5" t="s">
        <v>240</v>
      </c>
      <c r="BF2366" s="5" t="s">
        <v>301</v>
      </c>
      <c r="BG2366" s="6" t="s">
        <v>299</v>
      </c>
      <c r="BH2366" s="5" t="s">
        <v>302</v>
      </c>
      <c r="BI2366" s="5" t="s">
        <v>303</v>
      </c>
      <c r="BJ2366" s="5" t="s">
        <v>240</v>
      </c>
      <c r="BK2366" s="8">
        <f>0</f>
        <v>0</v>
      </c>
      <c r="BL2366" s="7">
        <f>0</f>
        <v>0</v>
      </c>
      <c r="BM2366" s="5" t="s">
        <v>258</v>
      </c>
      <c r="BN2366" s="5" t="s">
        <v>259</v>
      </c>
      <c r="CB2366" s="5" t="s">
        <v>240</v>
      </c>
      <c r="CC2366" s="5" t="s">
        <v>240</v>
      </c>
      <c r="CG2366" s="5" t="s">
        <v>617</v>
      </c>
      <c r="CH2366" s="5" t="s">
        <v>305</v>
      </c>
      <c r="CI2366" s="5" t="s">
        <v>240</v>
      </c>
      <c r="CL2366" s="6" t="s">
        <v>261</v>
      </c>
      <c r="CM2366" s="5" t="s">
        <v>240</v>
      </c>
      <c r="CN2366" s="5" t="s">
        <v>263</v>
      </c>
      <c r="CO2366" s="5" t="s">
        <v>240</v>
      </c>
      <c r="CP2366" s="5" t="s">
        <v>240</v>
      </c>
      <c r="CQ2366" s="5">
        <v>0</v>
      </c>
      <c r="CR2366" s="5" t="s">
        <v>306</v>
      </c>
      <c r="CS2366" s="5" t="s">
        <v>307</v>
      </c>
      <c r="CT2366" s="5" t="s">
        <v>307</v>
      </c>
      <c r="CU2366" s="5" t="s">
        <v>260</v>
      </c>
      <c r="CX2366" s="7">
        <f>438570</f>
        <v>438570</v>
      </c>
      <c r="CY2366" s="7">
        <f>0</f>
        <v>0</v>
      </c>
      <c r="DA2366" s="7">
        <f>0</f>
        <v>0</v>
      </c>
      <c r="DC2366" s="5" t="s">
        <v>689</v>
      </c>
      <c r="DD2366" s="5" t="s">
        <v>240</v>
      </c>
      <c r="DF2366" s="5" t="s">
        <v>689</v>
      </c>
      <c r="DG2366" s="7">
        <f>198</f>
        <v>198</v>
      </c>
      <c r="DH2366" s="6" t="s">
        <v>1556</v>
      </c>
      <c r="DI2366" s="5" t="s">
        <v>618</v>
      </c>
      <c r="DJ2366" s="5" t="s">
        <v>240</v>
      </c>
      <c r="DK2366" s="5" t="s">
        <v>240</v>
      </c>
      <c r="DL2366" s="5" t="s">
        <v>240</v>
      </c>
      <c r="DP2366" s="5" t="s">
        <v>240</v>
      </c>
      <c r="DQ2366" s="5" t="s">
        <v>240</v>
      </c>
      <c r="DR2366" s="5" t="s">
        <v>240</v>
      </c>
      <c r="DS2366" s="5" t="s">
        <v>240</v>
      </c>
      <c r="DV2366" s="5" t="s">
        <v>1570</v>
      </c>
      <c r="DW2366" s="5" t="s">
        <v>816</v>
      </c>
      <c r="HO2366" s="5" t="s">
        <v>312</v>
      </c>
    </row>
    <row r="2367" spans="1:223" x14ac:dyDescent="0.4">
      <c r="A2367" s="5">
        <v>4071</v>
      </c>
      <c r="B2367" s="5">
        <v>1</v>
      </c>
      <c r="C2367" s="5">
        <v>1</v>
      </c>
      <c r="D2367" s="5" t="s">
        <v>810</v>
      </c>
      <c r="E2367" s="5" t="s">
        <v>245</v>
      </c>
      <c r="F2367" s="5" t="s">
        <v>254</v>
      </c>
      <c r="G2367" s="5" t="s">
        <v>240</v>
      </c>
      <c r="H2367" s="6" t="s">
        <v>3812</v>
      </c>
      <c r="I2367" s="5" t="s">
        <v>809</v>
      </c>
      <c r="J2367" s="8">
        <f>916</f>
        <v>916</v>
      </c>
      <c r="K2367" s="5" t="s">
        <v>308</v>
      </c>
      <c r="L2367" s="7">
        <f>1</f>
        <v>1</v>
      </c>
      <c r="M2367" s="7">
        <f>1</f>
        <v>1</v>
      </c>
      <c r="N2367" s="5" t="s">
        <v>242</v>
      </c>
      <c r="O2367" s="5">
        <v>1</v>
      </c>
      <c r="P2367" s="5" t="s">
        <v>294</v>
      </c>
      <c r="Q2367" s="5" t="s">
        <v>266</v>
      </c>
      <c r="R2367" s="5" t="s">
        <v>240</v>
      </c>
      <c r="S2367" s="5" t="s">
        <v>240</v>
      </c>
      <c r="T2367" s="5" t="s">
        <v>296</v>
      </c>
      <c r="U2367" s="5" t="s">
        <v>244</v>
      </c>
      <c r="V2367" s="5" t="s">
        <v>240</v>
      </c>
      <c r="Y2367" s="5" t="s">
        <v>240</v>
      </c>
      <c r="Z2367" s="6" t="s">
        <v>298</v>
      </c>
      <c r="AB2367" s="6" t="s">
        <v>240</v>
      </c>
      <c r="AE2367" s="6" t="s">
        <v>299</v>
      </c>
      <c r="AF2367" s="5" t="s">
        <v>248</v>
      </c>
      <c r="AG2367" s="5" t="s">
        <v>249</v>
      </c>
      <c r="AW2367" s="5" t="s">
        <v>251</v>
      </c>
      <c r="AX2367" s="5" t="s">
        <v>240</v>
      </c>
      <c r="AY2367" s="5" t="s">
        <v>253</v>
      </c>
      <c r="AZ2367" s="5" t="s">
        <v>240</v>
      </c>
      <c r="BA2367" s="5" t="s">
        <v>255</v>
      </c>
      <c r="BB2367" s="5" t="s">
        <v>240</v>
      </c>
      <c r="BD2367" s="5" t="s">
        <v>240</v>
      </c>
      <c r="BF2367" s="5" t="s">
        <v>301</v>
      </c>
      <c r="BG2367" s="6" t="s">
        <v>299</v>
      </c>
      <c r="BH2367" s="5" t="s">
        <v>302</v>
      </c>
      <c r="BI2367" s="5" t="s">
        <v>303</v>
      </c>
      <c r="BJ2367" s="5" t="s">
        <v>240</v>
      </c>
      <c r="BK2367" s="8">
        <f>0</f>
        <v>0</v>
      </c>
      <c r="BL2367" s="7">
        <f>0</f>
        <v>0</v>
      </c>
      <c r="BM2367" s="5" t="s">
        <v>258</v>
      </c>
      <c r="BN2367" s="5" t="s">
        <v>259</v>
      </c>
      <c r="CB2367" s="5" t="s">
        <v>240</v>
      </c>
      <c r="CC2367" s="5" t="s">
        <v>240</v>
      </c>
      <c r="CG2367" s="5" t="s">
        <v>304</v>
      </c>
      <c r="CH2367" s="5" t="s">
        <v>305</v>
      </c>
      <c r="CI2367" s="5" t="s">
        <v>240</v>
      </c>
      <c r="CL2367" s="6" t="s">
        <v>261</v>
      </c>
      <c r="CM2367" s="5" t="s">
        <v>240</v>
      </c>
      <c r="CN2367" s="5" t="s">
        <v>263</v>
      </c>
      <c r="CO2367" s="5" t="s">
        <v>240</v>
      </c>
      <c r="CP2367" s="5" t="s">
        <v>240</v>
      </c>
      <c r="CQ2367" s="5">
        <v>0</v>
      </c>
      <c r="CR2367" s="5" t="s">
        <v>306</v>
      </c>
      <c r="CS2367" s="5" t="s">
        <v>307</v>
      </c>
      <c r="CT2367" s="5" t="s">
        <v>307</v>
      </c>
      <c r="CU2367" s="5" t="s">
        <v>260</v>
      </c>
      <c r="CX2367" s="7">
        <f>1</f>
        <v>1</v>
      </c>
      <c r="CY2367" s="7">
        <f>0</f>
        <v>0</v>
      </c>
      <c r="DA2367" s="7">
        <f>0</f>
        <v>0</v>
      </c>
      <c r="DC2367" s="5" t="s">
        <v>309</v>
      </c>
      <c r="DD2367" s="5" t="s">
        <v>240</v>
      </c>
      <c r="DF2367" s="5" t="s">
        <v>309</v>
      </c>
      <c r="DG2367" s="7">
        <f>1579</f>
        <v>1579</v>
      </c>
      <c r="DI2367" s="5" t="s">
        <v>240</v>
      </c>
      <c r="DJ2367" s="5" t="s">
        <v>240</v>
      </c>
      <c r="DK2367" s="5" t="s">
        <v>240</v>
      </c>
      <c r="DL2367" s="5" t="s">
        <v>240</v>
      </c>
      <c r="DP2367" s="5" t="s">
        <v>240</v>
      </c>
      <c r="DQ2367" s="5" t="s">
        <v>240</v>
      </c>
      <c r="DR2367" s="5" t="s">
        <v>240</v>
      </c>
      <c r="DS2367" s="5" t="s">
        <v>240</v>
      </c>
      <c r="DV2367" s="5" t="s">
        <v>310</v>
      </c>
      <c r="DW2367" s="5" t="s">
        <v>2787</v>
      </c>
      <c r="HO2367" s="5" t="s">
        <v>312</v>
      </c>
    </row>
    <row r="2368" spans="1:223" x14ac:dyDescent="0.4">
      <c r="A2368" s="5">
        <v>4072</v>
      </c>
      <c r="B2368" s="5">
        <v>1</v>
      </c>
      <c r="C2368" s="5">
        <v>1</v>
      </c>
      <c r="D2368" s="5" t="s">
        <v>810</v>
      </c>
      <c r="E2368" s="5" t="s">
        <v>245</v>
      </c>
      <c r="F2368" s="5" t="s">
        <v>254</v>
      </c>
      <c r="G2368" s="5" t="s">
        <v>240</v>
      </c>
      <c r="H2368" s="6" t="s">
        <v>3810</v>
      </c>
      <c r="I2368" s="5" t="s">
        <v>809</v>
      </c>
      <c r="J2368" s="8">
        <f>946</f>
        <v>946</v>
      </c>
      <c r="K2368" s="5" t="s">
        <v>308</v>
      </c>
      <c r="L2368" s="7">
        <f>1</f>
        <v>1</v>
      </c>
      <c r="M2368" s="7">
        <f>1</f>
        <v>1</v>
      </c>
      <c r="N2368" s="5" t="s">
        <v>242</v>
      </c>
      <c r="O2368" s="5">
        <v>1</v>
      </c>
      <c r="P2368" s="5" t="s">
        <v>294</v>
      </c>
      <c r="Q2368" s="5" t="s">
        <v>266</v>
      </c>
      <c r="R2368" s="5" t="s">
        <v>240</v>
      </c>
      <c r="S2368" s="5" t="s">
        <v>240</v>
      </c>
      <c r="T2368" s="5" t="s">
        <v>296</v>
      </c>
      <c r="U2368" s="5" t="s">
        <v>244</v>
      </c>
      <c r="V2368" s="5" t="s">
        <v>240</v>
      </c>
      <c r="Y2368" s="5" t="s">
        <v>240</v>
      </c>
      <c r="Z2368" s="6" t="s">
        <v>298</v>
      </c>
      <c r="AB2368" s="6" t="s">
        <v>240</v>
      </c>
      <c r="AE2368" s="6" t="s">
        <v>299</v>
      </c>
      <c r="AF2368" s="5" t="s">
        <v>248</v>
      </c>
      <c r="AG2368" s="5" t="s">
        <v>249</v>
      </c>
      <c r="AW2368" s="5" t="s">
        <v>251</v>
      </c>
      <c r="AX2368" s="5" t="s">
        <v>240</v>
      </c>
      <c r="AY2368" s="5" t="s">
        <v>253</v>
      </c>
      <c r="AZ2368" s="5" t="s">
        <v>240</v>
      </c>
      <c r="BA2368" s="5" t="s">
        <v>255</v>
      </c>
      <c r="BB2368" s="5" t="s">
        <v>240</v>
      </c>
      <c r="BD2368" s="5" t="s">
        <v>240</v>
      </c>
      <c r="BF2368" s="5" t="s">
        <v>301</v>
      </c>
      <c r="BG2368" s="6" t="s">
        <v>299</v>
      </c>
      <c r="BH2368" s="5" t="s">
        <v>302</v>
      </c>
      <c r="BI2368" s="5" t="s">
        <v>303</v>
      </c>
      <c r="BJ2368" s="5" t="s">
        <v>240</v>
      </c>
      <c r="BK2368" s="8">
        <f>0</f>
        <v>0</v>
      </c>
      <c r="BL2368" s="7">
        <f>0</f>
        <v>0</v>
      </c>
      <c r="BM2368" s="5" t="s">
        <v>258</v>
      </c>
      <c r="BN2368" s="5" t="s">
        <v>259</v>
      </c>
      <c r="CB2368" s="5" t="s">
        <v>240</v>
      </c>
      <c r="CC2368" s="5" t="s">
        <v>240</v>
      </c>
      <c r="CG2368" s="5" t="s">
        <v>304</v>
      </c>
      <c r="CH2368" s="5" t="s">
        <v>305</v>
      </c>
      <c r="CI2368" s="5" t="s">
        <v>240</v>
      </c>
      <c r="CL2368" s="6" t="s">
        <v>261</v>
      </c>
      <c r="CM2368" s="5" t="s">
        <v>240</v>
      </c>
      <c r="CN2368" s="5" t="s">
        <v>263</v>
      </c>
      <c r="CO2368" s="5" t="s">
        <v>240</v>
      </c>
      <c r="CP2368" s="5" t="s">
        <v>240</v>
      </c>
      <c r="CQ2368" s="5">
        <v>0</v>
      </c>
      <c r="CR2368" s="5" t="s">
        <v>306</v>
      </c>
      <c r="CS2368" s="5" t="s">
        <v>307</v>
      </c>
      <c r="CT2368" s="5" t="s">
        <v>307</v>
      </c>
      <c r="CU2368" s="5" t="s">
        <v>260</v>
      </c>
      <c r="CX2368" s="7">
        <f>1</f>
        <v>1</v>
      </c>
      <c r="CY2368" s="7">
        <f>0</f>
        <v>0</v>
      </c>
      <c r="DA2368" s="7">
        <f>0</f>
        <v>0</v>
      </c>
      <c r="DC2368" s="5" t="s">
        <v>309</v>
      </c>
      <c r="DD2368" s="5" t="s">
        <v>240</v>
      </c>
      <c r="DF2368" s="5" t="s">
        <v>309</v>
      </c>
      <c r="DG2368" s="7">
        <f>2837</f>
        <v>2837</v>
      </c>
      <c r="DI2368" s="5" t="s">
        <v>240</v>
      </c>
      <c r="DJ2368" s="5" t="s">
        <v>240</v>
      </c>
      <c r="DK2368" s="5" t="s">
        <v>240</v>
      </c>
      <c r="DL2368" s="5" t="s">
        <v>240</v>
      </c>
      <c r="DP2368" s="5" t="s">
        <v>240</v>
      </c>
      <c r="DQ2368" s="5" t="s">
        <v>240</v>
      </c>
      <c r="DR2368" s="5" t="s">
        <v>240</v>
      </c>
      <c r="DS2368" s="5" t="s">
        <v>240</v>
      </c>
      <c r="DV2368" s="5" t="s">
        <v>310</v>
      </c>
      <c r="DW2368" s="5" t="s">
        <v>2789</v>
      </c>
      <c r="HO2368" s="5" t="s">
        <v>312</v>
      </c>
    </row>
    <row r="2369" spans="1:223" x14ac:dyDescent="0.4">
      <c r="A2369" s="5">
        <v>4073</v>
      </c>
      <c r="B2369" s="5">
        <v>1</v>
      </c>
      <c r="C2369" s="5">
        <v>1</v>
      </c>
      <c r="D2369" s="5" t="s">
        <v>810</v>
      </c>
      <c r="E2369" s="5" t="s">
        <v>245</v>
      </c>
      <c r="F2369" s="5" t="s">
        <v>254</v>
      </c>
      <c r="G2369" s="5" t="s">
        <v>240</v>
      </c>
      <c r="H2369" s="6" t="s">
        <v>3808</v>
      </c>
      <c r="I2369" s="5" t="s">
        <v>809</v>
      </c>
      <c r="J2369" s="8">
        <f>2352</f>
        <v>2352</v>
      </c>
      <c r="K2369" s="5" t="s">
        <v>308</v>
      </c>
      <c r="L2369" s="7">
        <f>1</f>
        <v>1</v>
      </c>
      <c r="M2369" s="7">
        <f>1</f>
        <v>1</v>
      </c>
      <c r="N2369" s="5" t="s">
        <v>242</v>
      </c>
      <c r="O2369" s="5">
        <v>1</v>
      </c>
      <c r="P2369" s="5" t="s">
        <v>294</v>
      </c>
      <c r="Q2369" s="5" t="s">
        <v>266</v>
      </c>
      <c r="R2369" s="5" t="s">
        <v>240</v>
      </c>
      <c r="S2369" s="5" t="s">
        <v>240</v>
      </c>
      <c r="T2369" s="5" t="s">
        <v>296</v>
      </c>
      <c r="U2369" s="5" t="s">
        <v>244</v>
      </c>
      <c r="V2369" s="5" t="s">
        <v>240</v>
      </c>
      <c r="Y2369" s="5" t="s">
        <v>240</v>
      </c>
      <c r="Z2369" s="6" t="s">
        <v>298</v>
      </c>
      <c r="AB2369" s="6" t="s">
        <v>240</v>
      </c>
      <c r="AE2369" s="6" t="s">
        <v>299</v>
      </c>
      <c r="AF2369" s="5" t="s">
        <v>248</v>
      </c>
      <c r="AG2369" s="5" t="s">
        <v>249</v>
      </c>
      <c r="AW2369" s="5" t="s">
        <v>251</v>
      </c>
      <c r="AX2369" s="5" t="s">
        <v>240</v>
      </c>
      <c r="AY2369" s="5" t="s">
        <v>253</v>
      </c>
      <c r="AZ2369" s="5" t="s">
        <v>240</v>
      </c>
      <c r="BA2369" s="5" t="s">
        <v>255</v>
      </c>
      <c r="BB2369" s="5" t="s">
        <v>240</v>
      </c>
      <c r="BD2369" s="5" t="s">
        <v>240</v>
      </c>
      <c r="BF2369" s="5" t="s">
        <v>301</v>
      </c>
      <c r="BG2369" s="6" t="s">
        <v>299</v>
      </c>
      <c r="BH2369" s="5" t="s">
        <v>302</v>
      </c>
      <c r="BI2369" s="5" t="s">
        <v>303</v>
      </c>
      <c r="BJ2369" s="5" t="s">
        <v>240</v>
      </c>
      <c r="BK2369" s="8">
        <f>0</f>
        <v>0</v>
      </c>
      <c r="BL2369" s="7">
        <f>0</f>
        <v>0</v>
      </c>
      <c r="BM2369" s="5" t="s">
        <v>258</v>
      </c>
      <c r="BN2369" s="5" t="s">
        <v>259</v>
      </c>
      <c r="CB2369" s="5" t="s">
        <v>240</v>
      </c>
      <c r="CC2369" s="5" t="s">
        <v>240</v>
      </c>
      <c r="CG2369" s="5" t="s">
        <v>304</v>
      </c>
      <c r="CH2369" s="5" t="s">
        <v>305</v>
      </c>
      <c r="CI2369" s="5" t="s">
        <v>240</v>
      </c>
      <c r="CL2369" s="6" t="s">
        <v>261</v>
      </c>
      <c r="CM2369" s="5" t="s">
        <v>240</v>
      </c>
      <c r="CN2369" s="5" t="s">
        <v>263</v>
      </c>
      <c r="CO2369" s="5" t="s">
        <v>240</v>
      </c>
      <c r="CP2369" s="5" t="s">
        <v>240</v>
      </c>
      <c r="CQ2369" s="5">
        <v>0</v>
      </c>
      <c r="CR2369" s="5" t="s">
        <v>306</v>
      </c>
      <c r="CS2369" s="5" t="s">
        <v>307</v>
      </c>
      <c r="CT2369" s="5" t="s">
        <v>307</v>
      </c>
      <c r="CU2369" s="5" t="s">
        <v>260</v>
      </c>
      <c r="CX2369" s="7">
        <f>1</f>
        <v>1</v>
      </c>
      <c r="CY2369" s="7">
        <f>0</f>
        <v>0</v>
      </c>
      <c r="DA2369" s="7">
        <f>0</f>
        <v>0</v>
      </c>
      <c r="DC2369" s="5" t="s">
        <v>309</v>
      </c>
      <c r="DD2369" s="5" t="s">
        <v>240</v>
      </c>
      <c r="DF2369" s="5" t="s">
        <v>309</v>
      </c>
      <c r="DG2369" s="7">
        <f>703</f>
        <v>703</v>
      </c>
      <c r="DI2369" s="5" t="s">
        <v>240</v>
      </c>
      <c r="DJ2369" s="5" t="s">
        <v>240</v>
      </c>
      <c r="DK2369" s="5" t="s">
        <v>240</v>
      </c>
      <c r="DL2369" s="5" t="s">
        <v>240</v>
      </c>
      <c r="DP2369" s="5" t="s">
        <v>240</v>
      </c>
      <c r="DQ2369" s="5" t="s">
        <v>240</v>
      </c>
      <c r="DR2369" s="5" t="s">
        <v>240</v>
      </c>
      <c r="DS2369" s="5" t="s">
        <v>240</v>
      </c>
      <c r="DV2369" s="5" t="s">
        <v>310</v>
      </c>
      <c r="DW2369" s="5" t="s">
        <v>2791</v>
      </c>
      <c r="HO2369" s="5" t="s">
        <v>312</v>
      </c>
    </row>
    <row r="2370" spans="1:223" x14ac:dyDescent="0.4">
      <c r="A2370" s="5">
        <v>4074</v>
      </c>
      <c r="B2370" s="5">
        <v>1</v>
      </c>
      <c r="C2370" s="5">
        <v>1</v>
      </c>
      <c r="D2370" s="5" t="s">
        <v>810</v>
      </c>
      <c r="E2370" s="5" t="s">
        <v>245</v>
      </c>
      <c r="F2370" s="5" t="s">
        <v>254</v>
      </c>
      <c r="G2370" s="5" t="s">
        <v>240</v>
      </c>
      <c r="H2370" s="6" t="s">
        <v>3806</v>
      </c>
      <c r="I2370" s="5" t="s">
        <v>809</v>
      </c>
      <c r="J2370" s="8">
        <f>494</f>
        <v>494</v>
      </c>
      <c r="K2370" s="5" t="s">
        <v>308</v>
      </c>
      <c r="L2370" s="7">
        <f>1</f>
        <v>1</v>
      </c>
      <c r="M2370" s="7">
        <f>1</f>
        <v>1</v>
      </c>
      <c r="N2370" s="5" t="s">
        <v>242</v>
      </c>
      <c r="O2370" s="5">
        <v>1</v>
      </c>
      <c r="P2370" s="5" t="s">
        <v>294</v>
      </c>
      <c r="Q2370" s="5" t="s">
        <v>266</v>
      </c>
      <c r="R2370" s="5" t="s">
        <v>240</v>
      </c>
      <c r="S2370" s="5" t="s">
        <v>240</v>
      </c>
      <c r="T2370" s="5" t="s">
        <v>296</v>
      </c>
      <c r="U2370" s="5" t="s">
        <v>244</v>
      </c>
      <c r="V2370" s="5" t="s">
        <v>240</v>
      </c>
      <c r="Y2370" s="5" t="s">
        <v>240</v>
      </c>
      <c r="Z2370" s="6" t="s">
        <v>298</v>
      </c>
      <c r="AB2370" s="6" t="s">
        <v>240</v>
      </c>
      <c r="AE2370" s="6" t="s">
        <v>299</v>
      </c>
      <c r="AF2370" s="5" t="s">
        <v>248</v>
      </c>
      <c r="AG2370" s="5" t="s">
        <v>249</v>
      </c>
      <c r="AW2370" s="5" t="s">
        <v>251</v>
      </c>
      <c r="AX2370" s="5" t="s">
        <v>240</v>
      </c>
      <c r="AY2370" s="5" t="s">
        <v>253</v>
      </c>
      <c r="AZ2370" s="5" t="s">
        <v>240</v>
      </c>
      <c r="BA2370" s="5" t="s">
        <v>255</v>
      </c>
      <c r="BB2370" s="5" t="s">
        <v>240</v>
      </c>
      <c r="BD2370" s="5" t="s">
        <v>240</v>
      </c>
      <c r="BF2370" s="5" t="s">
        <v>301</v>
      </c>
      <c r="BG2370" s="6" t="s">
        <v>299</v>
      </c>
      <c r="BH2370" s="5" t="s">
        <v>302</v>
      </c>
      <c r="BI2370" s="5" t="s">
        <v>303</v>
      </c>
      <c r="BJ2370" s="5" t="s">
        <v>240</v>
      </c>
      <c r="BK2370" s="8">
        <f>0</f>
        <v>0</v>
      </c>
      <c r="BL2370" s="7">
        <f>0</f>
        <v>0</v>
      </c>
      <c r="BM2370" s="5" t="s">
        <v>258</v>
      </c>
      <c r="BN2370" s="5" t="s">
        <v>259</v>
      </c>
      <c r="CB2370" s="5" t="s">
        <v>240</v>
      </c>
      <c r="CC2370" s="5" t="s">
        <v>240</v>
      </c>
      <c r="CG2370" s="5" t="s">
        <v>304</v>
      </c>
      <c r="CH2370" s="5" t="s">
        <v>305</v>
      </c>
      <c r="CI2370" s="5" t="s">
        <v>240</v>
      </c>
      <c r="CL2370" s="6" t="s">
        <v>261</v>
      </c>
      <c r="CM2370" s="5" t="s">
        <v>240</v>
      </c>
      <c r="CN2370" s="5" t="s">
        <v>263</v>
      </c>
      <c r="CO2370" s="5" t="s">
        <v>240</v>
      </c>
      <c r="CP2370" s="5" t="s">
        <v>240</v>
      </c>
      <c r="CQ2370" s="5">
        <v>0</v>
      </c>
      <c r="CR2370" s="5" t="s">
        <v>306</v>
      </c>
      <c r="CS2370" s="5" t="s">
        <v>307</v>
      </c>
      <c r="CT2370" s="5" t="s">
        <v>307</v>
      </c>
      <c r="CU2370" s="5" t="s">
        <v>260</v>
      </c>
      <c r="CX2370" s="7">
        <f>1</f>
        <v>1</v>
      </c>
      <c r="CY2370" s="7">
        <f>0</f>
        <v>0</v>
      </c>
      <c r="DA2370" s="7">
        <f>0</f>
        <v>0</v>
      </c>
      <c r="DC2370" s="5" t="s">
        <v>309</v>
      </c>
      <c r="DD2370" s="5" t="s">
        <v>240</v>
      </c>
      <c r="DF2370" s="5" t="s">
        <v>309</v>
      </c>
      <c r="DG2370" s="7">
        <f>1961</f>
        <v>1961</v>
      </c>
      <c r="DI2370" s="5" t="s">
        <v>240</v>
      </c>
      <c r="DJ2370" s="5" t="s">
        <v>240</v>
      </c>
      <c r="DK2370" s="5" t="s">
        <v>240</v>
      </c>
      <c r="DL2370" s="5" t="s">
        <v>240</v>
      </c>
      <c r="DP2370" s="5" t="s">
        <v>240</v>
      </c>
      <c r="DQ2370" s="5" t="s">
        <v>240</v>
      </c>
      <c r="DR2370" s="5" t="s">
        <v>240</v>
      </c>
      <c r="DS2370" s="5" t="s">
        <v>240</v>
      </c>
      <c r="DV2370" s="5" t="s">
        <v>310</v>
      </c>
      <c r="DW2370" s="5" t="s">
        <v>3826</v>
      </c>
      <c r="HO2370" s="5" t="s">
        <v>312</v>
      </c>
    </row>
    <row r="2371" spans="1:223" x14ac:dyDescent="0.4">
      <c r="A2371" s="5">
        <v>4075</v>
      </c>
      <c r="B2371" s="5">
        <v>1</v>
      </c>
      <c r="C2371" s="5">
        <v>1</v>
      </c>
      <c r="D2371" s="5" t="s">
        <v>810</v>
      </c>
      <c r="E2371" s="5" t="s">
        <v>245</v>
      </c>
      <c r="F2371" s="5" t="s">
        <v>254</v>
      </c>
      <c r="G2371" s="5" t="s">
        <v>240</v>
      </c>
      <c r="H2371" s="6" t="s">
        <v>3804</v>
      </c>
      <c r="I2371" s="5" t="s">
        <v>809</v>
      </c>
      <c r="J2371" s="8">
        <f>82</f>
        <v>82</v>
      </c>
      <c r="K2371" s="5" t="s">
        <v>308</v>
      </c>
      <c r="L2371" s="7">
        <f>1</f>
        <v>1</v>
      </c>
      <c r="M2371" s="7">
        <f>1</f>
        <v>1</v>
      </c>
      <c r="N2371" s="5" t="s">
        <v>242</v>
      </c>
      <c r="O2371" s="5">
        <v>1</v>
      </c>
      <c r="P2371" s="5" t="s">
        <v>294</v>
      </c>
      <c r="Q2371" s="5" t="s">
        <v>266</v>
      </c>
      <c r="R2371" s="5" t="s">
        <v>240</v>
      </c>
      <c r="S2371" s="5" t="s">
        <v>240</v>
      </c>
      <c r="T2371" s="5" t="s">
        <v>296</v>
      </c>
      <c r="U2371" s="5" t="s">
        <v>244</v>
      </c>
      <c r="V2371" s="5" t="s">
        <v>240</v>
      </c>
      <c r="Y2371" s="5" t="s">
        <v>240</v>
      </c>
      <c r="Z2371" s="6" t="s">
        <v>298</v>
      </c>
      <c r="AB2371" s="6" t="s">
        <v>240</v>
      </c>
      <c r="AE2371" s="6" t="s">
        <v>299</v>
      </c>
      <c r="AF2371" s="5" t="s">
        <v>248</v>
      </c>
      <c r="AG2371" s="5" t="s">
        <v>249</v>
      </c>
      <c r="AW2371" s="5" t="s">
        <v>251</v>
      </c>
      <c r="AX2371" s="5" t="s">
        <v>240</v>
      </c>
      <c r="AY2371" s="5" t="s">
        <v>253</v>
      </c>
      <c r="AZ2371" s="5" t="s">
        <v>240</v>
      </c>
      <c r="BA2371" s="5" t="s">
        <v>255</v>
      </c>
      <c r="BB2371" s="5" t="s">
        <v>240</v>
      </c>
      <c r="BD2371" s="5" t="s">
        <v>240</v>
      </c>
      <c r="BF2371" s="5" t="s">
        <v>301</v>
      </c>
      <c r="BG2371" s="6" t="s">
        <v>299</v>
      </c>
      <c r="BH2371" s="5" t="s">
        <v>302</v>
      </c>
      <c r="BI2371" s="5" t="s">
        <v>303</v>
      </c>
      <c r="BJ2371" s="5" t="s">
        <v>240</v>
      </c>
      <c r="BK2371" s="8">
        <f>0</f>
        <v>0</v>
      </c>
      <c r="BL2371" s="7">
        <f>0</f>
        <v>0</v>
      </c>
      <c r="BM2371" s="5" t="s">
        <v>258</v>
      </c>
      <c r="BN2371" s="5" t="s">
        <v>259</v>
      </c>
      <c r="CB2371" s="5" t="s">
        <v>240</v>
      </c>
      <c r="CC2371" s="5" t="s">
        <v>240</v>
      </c>
      <c r="CG2371" s="5" t="s">
        <v>304</v>
      </c>
      <c r="CH2371" s="5" t="s">
        <v>305</v>
      </c>
      <c r="CI2371" s="5" t="s">
        <v>240</v>
      </c>
      <c r="CL2371" s="6" t="s">
        <v>261</v>
      </c>
      <c r="CM2371" s="5" t="s">
        <v>240</v>
      </c>
      <c r="CN2371" s="5" t="s">
        <v>263</v>
      </c>
      <c r="CO2371" s="5" t="s">
        <v>240</v>
      </c>
      <c r="CP2371" s="5" t="s">
        <v>240</v>
      </c>
      <c r="CQ2371" s="5">
        <v>0</v>
      </c>
      <c r="CR2371" s="5" t="s">
        <v>306</v>
      </c>
      <c r="CS2371" s="5" t="s">
        <v>307</v>
      </c>
      <c r="CT2371" s="5" t="s">
        <v>307</v>
      </c>
      <c r="CU2371" s="5" t="s">
        <v>260</v>
      </c>
      <c r="CX2371" s="7">
        <f>1</f>
        <v>1</v>
      </c>
      <c r="CY2371" s="7">
        <f>0</f>
        <v>0</v>
      </c>
      <c r="DA2371" s="7">
        <f>0</f>
        <v>0</v>
      </c>
      <c r="DC2371" s="5" t="s">
        <v>309</v>
      </c>
      <c r="DD2371" s="5" t="s">
        <v>240</v>
      </c>
      <c r="DF2371" s="5" t="s">
        <v>309</v>
      </c>
      <c r="DG2371" s="7">
        <f>3483</f>
        <v>3483</v>
      </c>
      <c r="DI2371" s="5" t="s">
        <v>240</v>
      </c>
      <c r="DJ2371" s="5" t="s">
        <v>240</v>
      </c>
      <c r="DK2371" s="5" t="s">
        <v>240</v>
      </c>
      <c r="DL2371" s="5" t="s">
        <v>240</v>
      </c>
      <c r="DP2371" s="5" t="s">
        <v>240</v>
      </c>
      <c r="DQ2371" s="5" t="s">
        <v>240</v>
      </c>
      <c r="DR2371" s="5" t="s">
        <v>240</v>
      </c>
      <c r="DS2371" s="5" t="s">
        <v>240</v>
      </c>
      <c r="DV2371" s="5" t="s">
        <v>310</v>
      </c>
      <c r="DW2371" s="5" t="s">
        <v>2795</v>
      </c>
      <c r="HO2371" s="5" t="s">
        <v>312</v>
      </c>
    </row>
    <row r="2372" spans="1:223" x14ac:dyDescent="0.4">
      <c r="A2372" s="5">
        <v>4076</v>
      </c>
      <c r="B2372" s="5">
        <v>1</v>
      </c>
      <c r="C2372" s="5">
        <v>1</v>
      </c>
      <c r="D2372" s="5" t="s">
        <v>810</v>
      </c>
      <c r="E2372" s="5" t="s">
        <v>245</v>
      </c>
      <c r="F2372" s="5" t="s">
        <v>254</v>
      </c>
      <c r="G2372" s="5" t="s">
        <v>240</v>
      </c>
      <c r="H2372" s="6" t="s">
        <v>3802</v>
      </c>
      <c r="I2372" s="5" t="s">
        <v>809</v>
      </c>
      <c r="J2372" s="8">
        <f>2853</f>
        <v>2853</v>
      </c>
      <c r="K2372" s="5" t="s">
        <v>308</v>
      </c>
      <c r="L2372" s="7">
        <f>1</f>
        <v>1</v>
      </c>
      <c r="M2372" s="7">
        <f>1</f>
        <v>1</v>
      </c>
      <c r="N2372" s="5" t="s">
        <v>242</v>
      </c>
      <c r="O2372" s="5">
        <v>1</v>
      </c>
      <c r="P2372" s="5" t="s">
        <v>294</v>
      </c>
      <c r="Q2372" s="5" t="s">
        <v>266</v>
      </c>
      <c r="R2372" s="5" t="s">
        <v>240</v>
      </c>
      <c r="S2372" s="5" t="s">
        <v>240</v>
      </c>
      <c r="T2372" s="5" t="s">
        <v>296</v>
      </c>
      <c r="U2372" s="5" t="s">
        <v>244</v>
      </c>
      <c r="V2372" s="5" t="s">
        <v>240</v>
      </c>
      <c r="Y2372" s="5" t="s">
        <v>240</v>
      </c>
      <c r="Z2372" s="6" t="s">
        <v>298</v>
      </c>
      <c r="AB2372" s="6" t="s">
        <v>240</v>
      </c>
      <c r="AE2372" s="6" t="s">
        <v>299</v>
      </c>
      <c r="AF2372" s="5" t="s">
        <v>248</v>
      </c>
      <c r="AG2372" s="5" t="s">
        <v>249</v>
      </c>
      <c r="AW2372" s="5" t="s">
        <v>251</v>
      </c>
      <c r="AX2372" s="5" t="s">
        <v>240</v>
      </c>
      <c r="AY2372" s="5" t="s">
        <v>253</v>
      </c>
      <c r="AZ2372" s="5" t="s">
        <v>240</v>
      </c>
      <c r="BA2372" s="5" t="s">
        <v>255</v>
      </c>
      <c r="BB2372" s="5" t="s">
        <v>240</v>
      </c>
      <c r="BD2372" s="5" t="s">
        <v>240</v>
      </c>
      <c r="BF2372" s="5" t="s">
        <v>301</v>
      </c>
      <c r="BG2372" s="6" t="s">
        <v>299</v>
      </c>
      <c r="BH2372" s="5" t="s">
        <v>302</v>
      </c>
      <c r="BI2372" s="5" t="s">
        <v>303</v>
      </c>
      <c r="BJ2372" s="5" t="s">
        <v>240</v>
      </c>
      <c r="BK2372" s="8">
        <f>0</f>
        <v>0</v>
      </c>
      <c r="BL2372" s="7">
        <f>0</f>
        <v>0</v>
      </c>
      <c r="BM2372" s="5" t="s">
        <v>258</v>
      </c>
      <c r="BN2372" s="5" t="s">
        <v>259</v>
      </c>
      <c r="CB2372" s="5" t="s">
        <v>240</v>
      </c>
      <c r="CC2372" s="5" t="s">
        <v>240</v>
      </c>
      <c r="CG2372" s="5" t="s">
        <v>304</v>
      </c>
      <c r="CH2372" s="5" t="s">
        <v>305</v>
      </c>
      <c r="CI2372" s="5" t="s">
        <v>240</v>
      </c>
      <c r="CL2372" s="6" t="s">
        <v>261</v>
      </c>
      <c r="CM2372" s="5" t="s">
        <v>240</v>
      </c>
      <c r="CN2372" s="5" t="s">
        <v>263</v>
      </c>
      <c r="CO2372" s="5" t="s">
        <v>240</v>
      </c>
      <c r="CP2372" s="5" t="s">
        <v>240</v>
      </c>
      <c r="CQ2372" s="5">
        <v>0</v>
      </c>
      <c r="CR2372" s="5" t="s">
        <v>306</v>
      </c>
      <c r="CS2372" s="5" t="s">
        <v>307</v>
      </c>
      <c r="CT2372" s="5" t="s">
        <v>307</v>
      </c>
      <c r="CU2372" s="5" t="s">
        <v>260</v>
      </c>
      <c r="CX2372" s="7">
        <f>1</f>
        <v>1</v>
      </c>
      <c r="CY2372" s="7">
        <f>0</f>
        <v>0</v>
      </c>
      <c r="DA2372" s="7">
        <f>0</f>
        <v>0</v>
      </c>
      <c r="DC2372" s="5" t="s">
        <v>309</v>
      </c>
      <c r="DD2372" s="5" t="s">
        <v>240</v>
      </c>
      <c r="DF2372" s="5" t="s">
        <v>309</v>
      </c>
      <c r="DG2372" s="7">
        <f>2234</f>
        <v>2234</v>
      </c>
      <c r="DI2372" s="5" t="s">
        <v>240</v>
      </c>
      <c r="DJ2372" s="5" t="s">
        <v>240</v>
      </c>
      <c r="DK2372" s="5" t="s">
        <v>240</v>
      </c>
      <c r="DL2372" s="5" t="s">
        <v>240</v>
      </c>
      <c r="DP2372" s="5" t="s">
        <v>240</v>
      </c>
      <c r="DQ2372" s="5" t="s">
        <v>240</v>
      </c>
      <c r="DR2372" s="5" t="s">
        <v>240</v>
      </c>
      <c r="DS2372" s="5" t="s">
        <v>240</v>
      </c>
      <c r="DV2372" s="5" t="s">
        <v>310</v>
      </c>
      <c r="DW2372" s="5" t="s">
        <v>2797</v>
      </c>
      <c r="HO2372" s="5" t="s">
        <v>312</v>
      </c>
    </row>
    <row r="2373" spans="1:223" x14ac:dyDescent="0.4">
      <c r="A2373" s="5">
        <v>4077</v>
      </c>
      <c r="B2373" s="5">
        <v>1</v>
      </c>
      <c r="C2373" s="5">
        <v>1</v>
      </c>
      <c r="D2373" s="5" t="s">
        <v>810</v>
      </c>
      <c r="E2373" s="5" t="s">
        <v>245</v>
      </c>
      <c r="F2373" s="5" t="s">
        <v>254</v>
      </c>
      <c r="G2373" s="5" t="s">
        <v>240</v>
      </c>
      <c r="H2373" s="6" t="s">
        <v>3800</v>
      </c>
      <c r="I2373" s="5" t="s">
        <v>809</v>
      </c>
      <c r="J2373" s="8">
        <f>449</f>
        <v>449</v>
      </c>
      <c r="K2373" s="5" t="s">
        <v>308</v>
      </c>
      <c r="L2373" s="7">
        <f>1</f>
        <v>1</v>
      </c>
      <c r="M2373" s="7">
        <f>1</f>
        <v>1</v>
      </c>
      <c r="N2373" s="5" t="s">
        <v>242</v>
      </c>
      <c r="O2373" s="5">
        <v>1</v>
      </c>
      <c r="P2373" s="5" t="s">
        <v>294</v>
      </c>
      <c r="Q2373" s="5" t="s">
        <v>266</v>
      </c>
      <c r="R2373" s="5" t="s">
        <v>240</v>
      </c>
      <c r="S2373" s="5" t="s">
        <v>240</v>
      </c>
      <c r="T2373" s="5" t="s">
        <v>296</v>
      </c>
      <c r="U2373" s="5" t="s">
        <v>244</v>
      </c>
      <c r="V2373" s="5" t="s">
        <v>240</v>
      </c>
      <c r="Y2373" s="5" t="s">
        <v>240</v>
      </c>
      <c r="Z2373" s="6" t="s">
        <v>298</v>
      </c>
      <c r="AB2373" s="6" t="s">
        <v>240</v>
      </c>
      <c r="AE2373" s="6" t="s">
        <v>299</v>
      </c>
      <c r="AF2373" s="5" t="s">
        <v>248</v>
      </c>
      <c r="AG2373" s="5" t="s">
        <v>249</v>
      </c>
      <c r="AW2373" s="5" t="s">
        <v>251</v>
      </c>
      <c r="AX2373" s="5" t="s">
        <v>240</v>
      </c>
      <c r="AY2373" s="5" t="s">
        <v>253</v>
      </c>
      <c r="AZ2373" s="5" t="s">
        <v>240</v>
      </c>
      <c r="BA2373" s="5" t="s">
        <v>255</v>
      </c>
      <c r="BB2373" s="5" t="s">
        <v>240</v>
      </c>
      <c r="BD2373" s="5" t="s">
        <v>240</v>
      </c>
      <c r="BF2373" s="5" t="s">
        <v>301</v>
      </c>
      <c r="BG2373" s="6" t="s">
        <v>299</v>
      </c>
      <c r="BH2373" s="5" t="s">
        <v>302</v>
      </c>
      <c r="BI2373" s="5" t="s">
        <v>303</v>
      </c>
      <c r="BJ2373" s="5" t="s">
        <v>240</v>
      </c>
      <c r="BK2373" s="8">
        <f>0</f>
        <v>0</v>
      </c>
      <c r="BL2373" s="7">
        <f>0</f>
        <v>0</v>
      </c>
      <c r="BM2373" s="5" t="s">
        <v>258</v>
      </c>
      <c r="BN2373" s="5" t="s">
        <v>259</v>
      </c>
      <c r="CB2373" s="5" t="s">
        <v>240</v>
      </c>
      <c r="CC2373" s="5" t="s">
        <v>240</v>
      </c>
      <c r="CG2373" s="5" t="s">
        <v>304</v>
      </c>
      <c r="CH2373" s="5" t="s">
        <v>305</v>
      </c>
      <c r="CI2373" s="5" t="s">
        <v>240</v>
      </c>
      <c r="CL2373" s="6" t="s">
        <v>261</v>
      </c>
      <c r="CM2373" s="5" t="s">
        <v>240</v>
      </c>
      <c r="CN2373" s="5" t="s">
        <v>263</v>
      </c>
      <c r="CO2373" s="5" t="s">
        <v>240</v>
      </c>
      <c r="CP2373" s="5" t="s">
        <v>240</v>
      </c>
      <c r="CQ2373" s="5">
        <v>0</v>
      </c>
      <c r="CR2373" s="5" t="s">
        <v>306</v>
      </c>
      <c r="CS2373" s="5" t="s">
        <v>307</v>
      </c>
      <c r="CT2373" s="5" t="s">
        <v>307</v>
      </c>
      <c r="CU2373" s="5" t="s">
        <v>260</v>
      </c>
      <c r="CX2373" s="7">
        <f>1</f>
        <v>1</v>
      </c>
      <c r="CY2373" s="7">
        <f>0</f>
        <v>0</v>
      </c>
      <c r="DA2373" s="7">
        <f>0</f>
        <v>0</v>
      </c>
      <c r="DC2373" s="5" t="s">
        <v>309</v>
      </c>
      <c r="DD2373" s="5" t="s">
        <v>240</v>
      </c>
      <c r="DF2373" s="5" t="s">
        <v>309</v>
      </c>
      <c r="DG2373" s="7">
        <f>685</f>
        <v>685</v>
      </c>
      <c r="DI2373" s="5" t="s">
        <v>240</v>
      </c>
      <c r="DJ2373" s="5" t="s">
        <v>240</v>
      </c>
      <c r="DK2373" s="5" t="s">
        <v>240</v>
      </c>
      <c r="DL2373" s="5" t="s">
        <v>240</v>
      </c>
      <c r="DP2373" s="5" t="s">
        <v>240</v>
      </c>
      <c r="DQ2373" s="5" t="s">
        <v>240</v>
      </c>
      <c r="DR2373" s="5" t="s">
        <v>240</v>
      </c>
      <c r="DS2373" s="5" t="s">
        <v>240</v>
      </c>
      <c r="DV2373" s="5" t="s">
        <v>310</v>
      </c>
      <c r="DW2373" s="5" t="s">
        <v>2799</v>
      </c>
      <c r="HO2373" s="5" t="s">
        <v>312</v>
      </c>
    </row>
    <row r="2374" spans="1:223" x14ac:dyDescent="0.4">
      <c r="A2374" s="5">
        <v>4078</v>
      </c>
      <c r="B2374" s="5">
        <v>1</v>
      </c>
      <c r="C2374" s="5">
        <v>1</v>
      </c>
      <c r="D2374" s="5" t="s">
        <v>810</v>
      </c>
      <c r="E2374" s="5" t="s">
        <v>245</v>
      </c>
      <c r="F2374" s="5" t="s">
        <v>254</v>
      </c>
      <c r="G2374" s="5" t="s">
        <v>240</v>
      </c>
      <c r="H2374" s="6" t="s">
        <v>3798</v>
      </c>
      <c r="I2374" s="5" t="s">
        <v>809</v>
      </c>
      <c r="J2374" s="8">
        <f>419</f>
        <v>419</v>
      </c>
      <c r="K2374" s="5" t="s">
        <v>308</v>
      </c>
      <c r="L2374" s="7">
        <f>1</f>
        <v>1</v>
      </c>
      <c r="M2374" s="7">
        <f>1</f>
        <v>1</v>
      </c>
      <c r="N2374" s="5" t="s">
        <v>242</v>
      </c>
      <c r="O2374" s="5">
        <v>1</v>
      </c>
      <c r="P2374" s="5" t="s">
        <v>294</v>
      </c>
      <c r="Q2374" s="5" t="s">
        <v>266</v>
      </c>
      <c r="R2374" s="5" t="s">
        <v>240</v>
      </c>
      <c r="S2374" s="5" t="s">
        <v>240</v>
      </c>
      <c r="T2374" s="5" t="s">
        <v>296</v>
      </c>
      <c r="U2374" s="5" t="s">
        <v>244</v>
      </c>
      <c r="V2374" s="5" t="s">
        <v>240</v>
      </c>
      <c r="Y2374" s="5" t="s">
        <v>240</v>
      </c>
      <c r="Z2374" s="6" t="s">
        <v>298</v>
      </c>
      <c r="AB2374" s="6" t="s">
        <v>240</v>
      </c>
      <c r="AE2374" s="6" t="s">
        <v>299</v>
      </c>
      <c r="AF2374" s="5" t="s">
        <v>248</v>
      </c>
      <c r="AG2374" s="5" t="s">
        <v>249</v>
      </c>
      <c r="AW2374" s="5" t="s">
        <v>251</v>
      </c>
      <c r="AX2374" s="5" t="s">
        <v>240</v>
      </c>
      <c r="AY2374" s="5" t="s">
        <v>253</v>
      </c>
      <c r="AZ2374" s="5" t="s">
        <v>240</v>
      </c>
      <c r="BA2374" s="5" t="s">
        <v>255</v>
      </c>
      <c r="BB2374" s="5" t="s">
        <v>240</v>
      </c>
      <c r="BD2374" s="5" t="s">
        <v>240</v>
      </c>
      <c r="BF2374" s="5" t="s">
        <v>301</v>
      </c>
      <c r="BG2374" s="6" t="s">
        <v>299</v>
      </c>
      <c r="BH2374" s="5" t="s">
        <v>302</v>
      </c>
      <c r="BI2374" s="5" t="s">
        <v>303</v>
      </c>
      <c r="BJ2374" s="5" t="s">
        <v>240</v>
      </c>
      <c r="BK2374" s="8">
        <f>0</f>
        <v>0</v>
      </c>
      <c r="BL2374" s="7">
        <f>0</f>
        <v>0</v>
      </c>
      <c r="BM2374" s="5" t="s">
        <v>258</v>
      </c>
      <c r="BN2374" s="5" t="s">
        <v>259</v>
      </c>
      <c r="CB2374" s="5" t="s">
        <v>240</v>
      </c>
      <c r="CC2374" s="5" t="s">
        <v>240</v>
      </c>
      <c r="CG2374" s="5" t="s">
        <v>304</v>
      </c>
      <c r="CH2374" s="5" t="s">
        <v>305</v>
      </c>
      <c r="CI2374" s="5" t="s">
        <v>240</v>
      </c>
      <c r="CL2374" s="6" t="s">
        <v>261</v>
      </c>
      <c r="CM2374" s="5" t="s">
        <v>240</v>
      </c>
      <c r="CN2374" s="5" t="s">
        <v>263</v>
      </c>
      <c r="CO2374" s="5" t="s">
        <v>240</v>
      </c>
      <c r="CP2374" s="5" t="s">
        <v>240</v>
      </c>
      <c r="CQ2374" s="5">
        <v>0</v>
      </c>
      <c r="CR2374" s="5" t="s">
        <v>306</v>
      </c>
      <c r="CS2374" s="5" t="s">
        <v>307</v>
      </c>
      <c r="CT2374" s="5" t="s">
        <v>307</v>
      </c>
      <c r="CU2374" s="5" t="s">
        <v>260</v>
      </c>
      <c r="CX2374" s="7">
        <f>1</f>
        <v>1</v>
      </c>
      <c r="CY2374" s="7">
        <f>0</f>
        <v>0</v>
      </c>
      <c r="DA2374" s="7">
        <f>0</f>
        <v>0</v>
      </c>
      <c r="DC2374" s="5" t="s">
        <v>309</v>
      </c>
      <c r="DD2374" s="5" t="s">
        <v>240</v>
      </c>
      <c r="DF2374" s="5" t="s">
        <v>309</v>
      </c>
      <c r="DG2374" s="7">
        <f>38</f>
        <v>38</v>
      </c>
      <c r="DI2374" s="5" t="s">
        <v>240</v>
      </c>
      <c r="DJ2374" s="5" t="s">
        <v>240</v>
      </c>
      <c r="DK2374" s="5" t="s">
        <v>240</v>
      </c>
      <c r="DL2374" s="5" t="s">
        <v>240</v>
      </c>
      <c r="DP2374" s="5" t="s">
        <v>240</v>
      </c>
      <c r="DQ2374" s="5" t="s">
        <v>240</v>
      </c>
      <c r="DR2374" s="5" t="s">
        <v>240</v>
      </c>
      <c r="DS2374" s="5" t="s">
        <v>240</v>
      </c>
      <c r="DV2374" s="5" t="s">
        <v>310</v>
      </c>
      <c r="DW2374" s="5" t="s">
        <v>3888</v>
      </c>
      <c r="HO2374" s="5" t="s">
        <v>312</v>
      </c>
    </row>
    <row r="2375" spans="1:223" x14ac:dyDescent="0.4">
      <c r="A2375" s="5">
        <v>4079</v>
      </c>
      <c r="B2375" s="5">
        <v>1</v>
      </c>
      <c r="C2375" s="5">
        <v>1</v>
      </c>
      <c r="D2375" s="5" t="s">
        <v>810</v>
      </c>
      <c r="E2375" s="5" t="s">
        <v>245</v>
      </c>
      <c r="F2375" s="5" t="s">
        <v>254</v>
      </c>
      <c r="G2375" s="5" t="s">
        <v>240</v>
      </c>
      <c r="H2375" s="6" t="s">
        <v>3796</v>
      </c>
      <c r="I2375" s="5" t="s">
        <v>809</v>
      </c>
      <c r="J2375" s="8">
        <f>97</f>
        <v>97</v>
      </c>
      <c r="K2375" s="5" t="s">
        <v>308</v>
      </c>
      <c r="L2375" s="7">
        <f>1</f>
        <v>1</v>
      </c>
      <c r="M2375" s="7">
        <f>1</f>
        <v>1</v>
      </c>
      <c r="N2375" s="5" t="s">
        <v>242</v>
      </c>
      <c r="O2375" s="5">
        <v>1</v>
      </c>
      <c r="P2375" s="5" t="s">
        <v>294</v>
      </c>
      <c r="Q2375" s="5" t="s">
        <v>266</v>
      </c>
      <c r="R2375" s="5" t="s">
        <v>240</v>
      </c>
      <c r="S2375" s="5" t="s">
        <v>240</v>
      </c>
      <c r="T2375" s="5" t="s">
        <v>296</v>
      </c>
      <c r="U2375" s="5" t="s">
        <v>244</v>
      </c>
      <c r="V2375" s="5" t="s">
        <v>240</v>
      </c>
      <c r="Y2375" s="5" t="s">
        <v>240</v>
      </c>
      <c r="Z2375" s="6" t="s">
        <v>298</v>
      </c>
      <c r="AB2375" s="6" t="s">
        <v>240</v>
      </c>
      <c r="AE2375" s="6" t="s">
        <v>299</v>
      </c>
      <c r="AF2375" s="5" t="s">
        <v>248</v>
      </c>
      <c r="AG2375" s="5" t="s">
        <v>249</v>
      </c>
      <c r="AW2375" s="5" t="s">
        <v>251</v>
      </c>
      <c r="AX2375" s="5" t="s">
        <v>240</v>
      </c>
      <c r="AY2375" s="5" t="s">
        <v>253</v>
      </c>
      <c r="AZ2375" s="5" t="s">
        <v>240</v>
      </c>
      <c r="BA2375" s="5" t="s">
        <v>255</v>
      </c>
      <c r="BB2375" s="5" t="s">
        <v>240</v>
      </c>
      <c r="BD2375" s="5" t="s">
        <v>240</v>
      </c>
      <c r="BF2375" s="5" t="s">
        <v>301</v>
      </c>
      <c r="BG2375" s="6" t="s">
        <v>299</v>
      </c>
      <c r="BH2375" s="5" t="s">
        <v>302</v>
      </c>
      <c r="BI2375" s="5" t="s">
        <v>303</v>
      </c>
      <c r="BJ2375" s="5" t="s">
        <v>240</v>
      </c>
      <c r="BK2375" s="8">
        <f>0</f>
        <v>0</v>
      </c>
      <c r="BL2375" s="7">
        <f>0</f>
        <v>0</v>
      </c>
      <c r="BM2375" s="5" t="s">
        <v>258</v>
      </c>
      <c r="BN2375" s="5" t="s">
        <v>259</v>
      </c>
      <c r="CB2375" s="5" t="s">
        <v>240</v>
      </c>
      <c r="CC2375" s="5" t="s">
        <v>240</v>
      </c>
      <c r="CG2375" s="5" t="s">
        <v>304</v>
      </c>
      <c r="CH2375" s="5" t="s">
        <v>305</v>
      </c>
      <c r="CI2375" s="5" t="s">
        <v>240</v>
      </c>
      <c r="CL2375" s="6" t="s">
        <v>261</v>
      </c>
      <c r="CM2375" s="5" t="s">
        <v>240</v>
      </c>
      <c r="CN2375" s="5" t="s">
        <v>263</v>
      </c>
      <c r="CO2375" s="5" t="s">
        <v>240</v>
      </c>
      <c r="CP2375" s="5" t="s">
        <v>240</v>
      </c>
      <c r="CQ2375" s="5">
        <v>0</v>
      </c>
      <c r="CR2375" s="5" t="s">
        <v>306</v>
      </c>
      <c r="CS2375" s="5" t="s">
        <v>307</v>
      </c>
      <c r="CT2375" s="5" t="s">
        <v>307</v>
      </c>
      <c r="CU2375" s="5" t="s">
        <v>260</v>
      </c>
      <c r="CX2375" s="7">
        <f>1</f>
        <v>1</v>
      </c>
      <c r="CY2375" s="7">
        <f>0</f>
        <v>0</v>
      </c>
      <c r="DA2375" s="7">
        <f>0</f>
        <v>0</v>
      </c>
      <c r="DC2375" s="5" t="s">
        <v>309</v>
      </c>
      <c r="DD2375" s="5" t="s">
        <v>240</v>
      </c>
      <c r="DF2375" s="5" t="s">
        <v>309</v>
      </c>
      <c r="DG2375" s="7">
        <f>824</f>
        <v>824</v>
      </c>
      <c r="DI2375" s="5" t="s">
        <v>240</v>
      </c>
      <c r="DJ2375" s="5" t="s">
        <v>240</v>
      </c>
      <c r="DK2375" s="5" t="s">
        <v>240</v>
      </c>
      <c r="DL2375" s="5" t="s">
        <v>240</v>
      </c>
      <c r="DP2375" s="5" t="s">
        <v>240</v>
      </c>
      <c r="DQ2375" s="5" t="s">
        <v>240</v>
      </c>
      <c r="DR2375" s="5" t="s">
        <v>240</v>
      </c>
      <c r="DS2375" s="5" t="s">
        <v>240</v>
      </c>
      <c r="DV2375" s="5" t="s">
        <v>310</v>
      </c>
      <c r="DW2375" s="5" t="s">
        <v>2803</v>
      </c>
      <c r="HO2375" s="5" t="s">
        <v>312</v>
      </c>
    </row>
    <row r="2376" spans="1:223" x14ac:dyDescent="0.4">
      <c r="A2376" s="5">
        <v>4080</v>
      </c>
      <c r="B2376" s="5">
        <v>1</v>
      </c>
      <c r="C2376" s="5">
        <v>1</v>
      </c>
      <c r="D2376" s="5" t="s">
        <v>810</v>
      </c>
      <c r="E2376" s="5" t="s">
        <v>245</v>
      </c>
      <c r="F2376" s="5" t="s">
        <v>254</v>
      </c>
      <c r="G2376" s="5" t="s">
        <v>240</v>
      </c>
      <c r="H2376" s="6" t="s">
        <v>3794</v>
      </c>
      <c r="I2376" s="5" t="s">
        <v>809</v>
      </c>
      <c r="J2376" s="8">
        <f>585</f>
        <v>585</v>
      </c>
      <c r="K2376" s="5" t="s">
        <v>308</v>
      </c>
      <c r="L2376" s="7">
        <f>1</f>
        <v>1</v>
      </c>
      <c r="M2376" s="7">
        <f>1</f>
        <v>1</v>
      </c>
      <c r="N2376" s="5" t="s">
        <v>242</v>
      </c>
      <c r="O2376" s="5">
        <v>1</v>
      </c>
      <c r="P2376" s="5" t="s">
        <v>294</v>
      </c>
      <c r="Q2376" s="5" t="s">
        <v>266</v>
      </c>
      <c r="R2376" s="5" t="s">
        <v>240</v>
      </c>
      <c r="S2376" s="5" t="s">
        <v>240</v>
      </c>
      <c r="T2376" s="5" t="s">
        <v>296</v>
      </c>
      <c r="U2376" s="5" t="s">
        <v>244</v>
      </c>
      <c r="V2376" s="5" t="s">
        <v>240</v>
      </c>
      <c r="Y2376" s="5" t="s">
        <v>240</v>
      </c>
      <c r="Z2376" s="6" t="s">
        <v>298</v>
      </c>
      <c r="AB2376" s="6" t="s">
        <v>240</v>
      </c>
      <c r="AE2376" s="6" t="s">
        <v>299</v>
      </c>
      <c r="AF2376" s="5" t="s">
        <v>248</v>
      </c>
      <c r="AG2376" s="5" t="s">
        <v>249</v>
      </c>
      <c r="AW2376" s="5" t="s">
        <v>251</v>
      </c>
      <c r="AX2376" s="5" t="s">
        <v>240</v>
      </c>
      <c r="AY2376" s="5" t="s">
        <v>253</v>
      </c>
      <c r="AZ2376" s="5" t="s">
        <v>240</v>
      </c>
      <c r="BA2376" s="5" t="s">
        <v>255</v>
      </c>
      <c r="BB2376" s="5" t="s">
        <v>240</v>
      </c>
      <c r="BD2376" s="5" t="s">
        <v>240</v>
      </c>
      <c r="BF2376" s="5" t="s">
        <v>301</v>
      </c>
      <c r="BG2376" s="6" t="s">
        <v>299</v>
      </c>
      <c r="BH2376" s="5" t="s">
        <v>302</v>
      </c>
      <c r="BI2376" s="5" t="s">
        <v>303</v>
      </c>
      <c r="BJ2376" s="5" t="s">
        <v>240</v>
      </c>
      <c r="BK2376" s="8">
        <f>0</f>
        <v>0</v>
      </c>
      <c r="BL2376" s="7">
        <f>0</f>
        <v>0</v>
      </c>
      <c r="BM2376" s="5" t="s">
        <v>258</v>
      </c>
      <c r="BN2376" s="5" t="s">
        <v>259</v>
      </c>
      <c r="CB2376" s="5" t="s">
        <v>240</v>
      </c>
      <c r="CC2376" s="5" t="s">
        <v>240</v>
      </c>
      <c r="CG2376" s="5" t="s">
        <v>304</v>
      </c>
      <c r="CH2376" s="5" t="s">
        <v>305</v>
      </c>
      <c r="CI2376" s="5" t="s">
        <v>240</v>
      </c>
      <c r="CL2376" s="6" t="s">
        <v>261</v>
      </c>
      <c r="CM2376" s="5" t="s">
        <v>240</v>
      </c>
      <c r="CN2376" s="5" t="s">
        <v>263</v>
      </c>
      <c r="CO2376" s="5" t="s">
        <v>240</v>
      </c>
      <c r="CP2376" s="5" t="s">
        <v>240</v>
      </c>
      <c r="CQ2376" s="5">
        <v>0</v>
      </c>
      <c r="CR2376" s="5" t="s">
        <v>306</v>
      </c>
      <c r="CS2376" s="5" t="s">
        <v>307</v>
      </c>
      <c r="CT2376" s="5" t="s">
        <v>307</v>
      </c>
      <c r="CU2376" s="5" t="s">
        <v>260</v>
      </c>
      <c r="CX2376" s="7">
        <f>1</f>
        <v>1</v>
      </c>
      <c r="CY2376" s="7">
        <f>0</f>
        <v>0</v>
      </c>
      <c r="DA2376" s="7">
        <f>0</f>
        <v>0</v>
      </c>
      <c r="DC2376" s="5" t="s">
        <v>309</v>
      </c>
      <c r="DD2376" s="5" t="s">
        <v>240</v>
      </c>
      <c r="DF2376" s="5" t="s">
        <v>309</v>
      </c>
      <c r="DG2376" s="7">
        <f>3911</f>
        <v>3911</v>
      </c>
      <c r="DI2376" s="5" t="s">
        <v>240</v>
      </c>
      <c r="DJ2376" s="5" t="s">
        <v>240</v>
      </c>
      <c r="DK2376" s="5" t="s">
        <v>240</v>
      </c>
      <c r="DL2376" s="5" t="s">
        <v>240</v>
      </c>
      <c r="DP2376" s="5" t="s">
        <v>240</v>
      </c>
      <c r="DQ2376" s="5" t="s">
        <v>240</v>
      </c>
      <c r="DR2376" s="5" t="s">
        <v>240</v>
      </c>
      <c r="DS2376" s="5" t="s">
        <v>240</v>
      </c>
      <c r="DV2376" s="5" t="s">
        <v>310</v>
      </c>
      <c r="DW2376" s="5" t="s">
        <v>2805</v>
      </c>
      <c r="HO2376" s="5" t="s">
        <v>312</v>
      </c>
    </row>
    <row r="2377" spans="1:223" x14ac:dyDescent="0.4">
      <c r="A2377" s="5">
        <v>4081</v>
      </c>
      <c r="B2377" s="5">
        <v>1</v>
      </c>
      <c r="C2377" s="5">
        <v>1</v>
      </c>
      <c r="D2377" s="5" t="s">
        <v>810</v>
      </c>
      <c r="E2377" s="5" t="s">
        <v>245</v>
      </c>
      <c r="F2377" s="5" t="s">
        <v>254</v>
      </c>
      <c r="G2377" s="5" t="s">
        <v>240</v>
      </c>
      <c r="H2377" s="6" t="s">
        <v>3792</v>
      </c>
      <c r="I2377" s="5" t="s">
        <v>809</v>
      </c>
      <c r="J2377" s="8">
        <f>3354</f>
        <v>3354</v>
      </c>
      <c r="K2377" s="5" t="s">
        <v>308</v>
      </c>
      <c r="L2377" s="7">
        <f>1</f>
        <v>1</v>
      </c>
      <c r="M2377" s="7">
        <f>1</f>
        <v>1</v>
      </c>
      <c r="N2377" s="5" t="s">
        <v>242</v>
      </c>
      <c r="O2377" s="5">
        <v>1</v>
      </c>
      <c r="P2377" s="5" t="s">
        <v>294</v>
      </c>
      <c r="Q2377" s="5" t="s">
        <v>266</v>
      </c>
      <c r="R2377" s="5" t="s">
        <v>240</v>
      </c>
      <c r="S2377" s="5" t="s">
        <v>240</v>
      </c>
      <c r="T2377" s="5" t="s">
        <v>296</v>
      </c>
      <c r="U2377" s="5" t="s">
        <v>244</v>
      </c>
      <c r="V2377" s="5" t="s">
        <v>240</v>
      </c>
      <c r="Y2377" s="5" t="s">
        <v>240</v>
      </c>
      <c r="Z2377" s="6" t="s">
        <v>298</v>
      </c>
      <c r="AB2377" s="6" t="s">
        <v>240</v>
      </c>
      <c r="AE2377" s="6" t="s">
        <v>299</v>
      </c>
      <c r="AF2377" s="5" t="s">
        <v>248</v>
      </c>
      <c r="AG2377" s="5" t="s">
        <v>249</v>
      </c>
      <c r="AW2377" s="5" t="s">
        <v>251</v>
      </c>
      <c r="AX2377" s="5" t="s">
        <v>240</v>
      </c>
      <c r="AY2377" s="5" t="s">
        <v>253</v>
      </c>
      <c r="AZ2377" s="5" t="s">
        <v>240</v>
      </c>
      <c r="BA2377" s="5" t="s">
        <v>255</v>
      </c>
      <c r="BB2377" s="5" t="s">
        <v>240</v>
      </c>
      <c r="BD2377" s="5" t="s">
        <v>240</v>
      </c>
      <c r="BF2377" s="5" t="s">
        <v>301</v>
      </c>
      <c r="BG2377" s="6" t="s">
        <v>299</v>
      </c>
      <c r="BH2377" s="5" t="s">
        <v>302</v>
      </c>
      <c r="BI2377" s="5" t="s">
        <v>303</v>
      </c>
      <c r="BJ2377" s="5" t="s">
        <v>240</v>
      </c>
      <c r="BK2377" s="8">
        <f>0</f>
        <v>0</v>
      </c>
      <c r="BL2377" s="7">
        <f>0</f>
        <v>0</v>
      </c>
      <c r="BM2377" s="5" t="s">
        <v>258</v>
      </c>
      <c r="BN2377" s="5" t="s">
        <v>259</v>
      </c>
      <c r="CB2377" s="5" t="s">
        <v>240</v>
      </c>
      <c r="CC2377" s="5" t="s">
        <v>240</v>
      </c>
      <c r="CG2377" s="5" t="s">
        <v>304</v>
      </c>
      <c r="CH2377" s="5" t="s">
        <v>305</v>
      </c>
      <c r="CI2377" s="5" t="s">
        <v>240</v>
      </c>
      <c r="CL2377" s="6" t="s">
        <v>261</v>
      </c>
      <c r="CM2377" s="5" t="s">
        <v>240</v>
      </c>
      <c r="CN2377" s="5" t="s">
        <v>263</v>
      </c>
      <c r="CO2377" s="5" t="s">
        <v>240</v>
      </c>
      <c r="CP2377" s="5" t="s">
        <v>240</v>
      </c>
      <c r="CQ2377" s="5">
        <v>0</v>
      </c>
      <c r="CR2377" s="5" t="s">
        <v>306</v>
      </c>
      <c r="CS2377" s="5" t="s">
        <v>307</v>
      </c>
      <c r="CT2377" s="5" t="s">
        <v>307</v>
      </c>
      <c r="CU2377" s="5" t="s">
        <v>260</v>
      </c>
      <c r="CX2377" s="7">
        <f>1</f>
        <v>1</v>
      </c>
      <c r="CY2377" s="7">
        <f>0</f>
        <v>0</v>
      </c>
      <c r="DA2377" s="7">
        <f>0</f>
        <v>0</v>
      </c>
      <c r="DC2377" s="5" t="s">
        <v>309</v>
      </c>
      <c r="DD2377" s="5" t="s">
        <v>240</v>
      </c>
      <c r="DF2377" s="5" t="s">
        <v>309</v>
      </c>
      <c r="DG2377" s="7">
        <f>139</f>
        <v>139</v>
      </c>
      <c r="DI2377" s="5" t="s">
        <v>240</v>
      </c>
      <c r="DJ2377" s="5" t="s">
        <v>240</v>
      </c>
      <c r="DK2377" s="5" t="s">
        <v>240</v>
      </c>
      <c r="DL2377" s="5" t="s">
        <v>240</v>
      </c>
      <c r="DP2377" s="5" t="s">
        <v>240</v>
      </c>
      <c r="DQ2377" s="5" t="s">
        <v>240</v>
      </c>
      <c r="DR2377" s="5" t="s">
        <v>240</v>
      </c>
      <c r="DS2377" s="5" t="s">
        <v>240</v>
      </c>
      <c r="DV2377" s="5" t="s">
        <v>310</v>
      </c>
      <c r="DW2377" s="5" t="s">
        <v>2807</v>
      </c>
      <c r="HO2377" s="5" t="s">
        <v>312</v>
      </c>
    </row>
    <row r="2378" spans="1:223" x14ac:dyDescent="0.4">
      <c r="A2378" s="5">
        <v>4082</v>
      </c>
      <c r="B2378" s="5">
        <v>1</v>
      </c>
      <c r="C2378" s="5">
        <v>1</v>
      </c>
      <c r="D2378" s="5" t="s">
        <v>810</v>
      </c>
      <c r="E2378" s="5" t="s">
        <v>245</v>
      </c>
      <c r="F2378" s="5" t="s">
        <v>254</v>
      </c>
      <c r="G2378" s="5" t="s">
        <v>240</v>
      </c>
      <c r="H2378" s="6" t="s">
        <v>3790</v>
      </c>
      <c r="I2378" s="5" t="s">
        <v>809</v>
      </c>
      <c r="J2378" s="8">
        <f>150</f>
        <v>150</v>
      </c>
      <c r="K2378" s="5" t="s">
        <v>308</v>
      </c>
      <c r="L2378" s="7">
        <f>1</f>
        <v>1</v>
      </c>
      <c r="M2378" s="7">
        <f>1</f>
        <v>1</v>
      </c>
      <c r="N2378" s="5" t="s">
        <v>242</v>
      </c>
      <c r="O2378" s="5">
        <v>1</v>
      </c>
      <c r="P2378" s="5" t="s">
        <v>294</v>
      </c>
      <c r="Q2378" s="5" t="s">
        <v>266</v>
      </c>
      <c r="R2378" s="5" t="s">
        <v>240</v>
      </c>
      <c r="S2378" s="5" t="s">
        <v>240</v>
      </c>
      <c r="T2378" s="5" t="s">
        <v>296</v>
      </c>
      <c r="U2378" s="5" t="s">
        <v>244</v>
      </c>
      <c r="V2378" s="5" t="s">
        <v>240</v>
      </c>
      <c r="Y2378" s="5" t="s">
        <v>240</v>
      </c>
      <c r="Z2378" s="6" t="s">
        <v>298</v>
      </c>
      <c r="AB2378" s="6" t="s">
        <v>240</v>
      </c>
      <c r="AE2378" s="6" t="s">
        <v>299</v>
      </c>
      <c r="AF2378" s="5" t="s">
        <v>248</v>
      </c>
      <c r="AG2378" s="5" t="s">
        <v>249</v>
      </c>
      <c r="AW2378" s="5" t="s">
        <v>251</v>
      </c>
      <c r="AX2378" s="5" t="s">
        <v>240</v>
      </c>
      <c r="AY2378" s="5" t="s">
        <v>253</v>
      </c>
      <c r="AZ2378" s="5" t="s">
        <v>240</v>
      </c>
      <c r="BA2378" s="5" t="s">
        <v>255</v>
      </c>
      <c r="BB2378" s="5" t="s">
        <v>240</v>
      </c>
      <c r="BD2378" s="5" t="s">
        <v>240</v>
      </c>
      <c r="BF2378" s="5" t="s">
        <v>301</v>
      </c>
      <c r="BG2378" s="6" t="s">
        <v>299</v>
      </c>
      <c r="BH2378" s="5" t="s">
        <v>302</v>
      </c>
      <c r="BI2378" s="5" t="s">
        <v>303</v>
      </c>
      <c r="BJ2378" s="5" t="s">
        <v>240</v>
      </c>
      <c r="BK2378" s="8">
        <f>0</f>
        <v>0</v>
      </c>
      <c r="BL2378" s="7">
        <f>0</f>
        <v>0</v>
      </c>
      <c r="BM2378" s="5" t="s">
        <v>258</v>
      </c>
      <c r="BN2378" s="5" t="s">
        <v>259</v>
      </c>
      <c r="CB2378" s="5" t="s">
        <v>240</v>
      </c>
      <c r="CC2378" s="5" t="s">
        <v>240</v>
      </c>
      <c r="CG2378" s="5" t="s">
        <v>304</v>
      </c>
      <c r="CH2378" s="5" t="s">
        <v>305</v>
      </c>
      <c r="CI2378" s="5" t="s">
        <v>240</v>
      </c>
      <c r="CL2378" s="6" t="s">
        <v>261</v>
      </c>
      <c r="CM2378" s="5" t="s">
        <v>240</v>
      </c>
      <c r="CN2378" s="5" t="s">
        <v>263</v>
      </c>
      <c r="CO2378" s="5" t="s">
        <v>240</v>
      </c>
      <c r="CP2378" s="5" t="s">
        <v>240</v>
      </c>
      <c r="CQ2378" s="5">
        <v>0</v>
      </c>
      <c r="CR2378" s="5" t="s">
        <v>306</v>
      </c>
      <c r="CS2378" s="5" t="s">
        <v>307</v>
      </c>
      <c r="CT2378" s="5" t="s">
        <v>307</v>
      </c>
      <c r="CU2378" s="5" t="s">
        <v>260</v>
      </c>
      <c r="CX2378" s="7">
        <f>1</f>
        <v>1</v>
      </c>
      <c r="CY2378" s="7">
        <f>0</f>
        <v>0</v>
      </c>
      <c r="DA2378" s="7">
        <f>0</f>
        <v>0</v>
      </c>
      <c r="DC2378" s="5" t="s">
        <v>309</v>
      </c>
      <c r="DD2378" s="5" t="s">
        <v>240</v>
      </c>
      <c r="DF2378" s="5" t="s">
        <v>309</v>
      </c>
      <c r="DG2378" s="7">
        <f>74</f>
        <v>74</v>
      </c>
      <c r="DI2378" s="5" t="s">
        <v>240</v>
      </c>
      <c r="DJ2378" s="5" t="s">
        <v>240</v>
      </c>
      <c r="DK2378" s="5" t="s">
        <v>240</v>
      </c>
      <c r="DL2378" s="5" t="s">
        <v>240</v>
      </c>
      <c r="DP2378" s="5" t="s">
        <v>240</v>
      </c>
      <c r="DQ2378" s="5" t="s">
        <v>240</v>
      </c>
      <c r="DR2378" s="5" t="s">
        <v>240</v>
      </c>
      <c r="DS2378" s="5" t="s">
        <v>240</v>
      </c>
      <c r="DV2378" s="5" t="s">
        <v>310</v>
      </c>
      <c r="DW2378" s="5" t="s">
        <v>2809</v>
      </c>
      <c r="HO2378" s="5" t="s">
        <v>312</v>
      </c>
    </row>
    <row r="2379" spans="1:223" x14ac:dyDescent="0.4">
      <c r="A2379" s="5">
        <v>4083</v>
      </c>
      <c r="B2379" s="5">
        <v>1</v>
      </c>
      <c r="C2379" s="5">
        <v>1</v>
      </c>
      <c r="D2379" s="5" t="s">
        <v>810</v>
      </c>
      <c r="E2379" s="5" t="s">
        <v>245</v>
      </c>
      <c r="F2379" s="5" t="s">
        <v>254</v>
      </c>
      <c r="G2379" s="5" t="s">
        <v>240</v>
      </c>
      <c r="H2379" s="6" t="s">
        <v>3788</v>
      </c>
      <c r="I2379" s="5" t="s">
        <v>809</v>
      </c>
      <c r="J2379" s="8">
        <f>308</f>
        <v>308</v>
      </c>
      <c r="K2379" s="5" t="s">
        <v>308</v>
      </c>
      <c r="L2379" s="7">
        <f>1</f>
        <v>1</v>
      </c>
      <c r="M2379" s="7">
        <f>1</f>
        <v>1</v>
      </c>
      <c r="N2379" s="5" t="s">
        <v>242</v>
      </c>
      <c r="O2379" s="5">
        <v>1</v>
      </c>
      <c r="P2379" s="5" t="s">
        <v>294</v>
      </c>
      <c r="Q2379" s="5" t="s">
        <v>266</v>
      </c>
      <c r="R2379" s="5" t="s">
        <v>240</v>
      </c>
      <c r="S2379" s="5" t="s">
        <v>240</v>
      </c>
      <c r="T2379" s="5" t="s">
        <v>296</v>
      </c>
      <c r="U2379" s="5" t="s">
        <v>244</v>
      </c>
      <c r="V2379" s="5" t="s">
        <v>240</v>
      </c>
      <c r="Y2379" s="5" t="s">
        <v>240</v>
      </c>
      <c r="Z2379" s="6" t="s">
        <v>298</v>
      </c>
      <c r="AB2379" s="6" t="s">
        <v>240</v>
      </c>
      <c r="AE2379" s="6" t="s">
        <v>299</v>
      </c>
      <c r="AF2379" s="5" t="s">
        <v>248</v>
      </c>
      <c r="AG2379" s="5" t="s">
        <v>249</v>
      </c>
      <c r="AW2379" s="5" t="s">
        <v>251</v>
      </c>
      <c r="AX2379" s="5" t="s">
        <v>240</v>
      </c>
      <c r="AY2379" s="5" t="s">
        <v>253</v>
      </c>
      <c r="AZ2379" s="5" t="s">
        <v>240</v>
      </c>
      <c r="BA2379" s="5" t="s">
        <v>255</v>
      </c>
      <c r="BB2379" s="5" t="s">
        <v>240</v>
      </c>
      <c r="BD2379" s="5" t="s">
        <v>240</v>
      </c>
      <c r="BF2379" s="5" t="s">
        <v>301</v>
      </c>
      <c r="BG2379" s="6" t="s">
        <v>299</v>
      </c>
      <c r="BH2379" s="5" t="s">
        <v>302</v>
      </c>
      <c r="BI2379" s="5" t="s">
        <v>303</v>
      </c>
      <c r="BJ2379" s="5" t="s">
        <v>240</v>
      </c>
      <c r="BK2379" s="8">
        <f>0</f>
        <v>0</v>
      </c>
      <c r="BL2379" s="7">
        <f>0</f>
        <v>0</v>
      </c>
      <c r="BM2379" s="5" t="s">
        <v>258</v>
      </c>
      <c r="BN2379" s="5" t="s">
        <v>259</v>
      </c>
      <c r="CB2379" s="5" t="s">
        <v>240</v>
      </c>
      <c r="CC2379" s="5" t="s">
        <v>240</v>
      </c>
      <c r="CG2379" s="5" t="s">
        <v>304</v>
      </c>
      <c r="CH2379" s="5" t="s">
        <v>305</v>
      </c>
      <c r="CI2379" s="5" t="s">
        <v>240</v>
      </c>
      <c r="CL2379" s="6" t="s">
        <v>261</v>
      </c>
      <c r="CM2379" s="5" t="s">
        <v>240</v>
      </c>
      <c r="CN2379" s="5" t="s">
        <v>263</v>
      </c>
      <c r="CO2379" s="5" t="s">
        <v>240</v>
      </c>
      <c r="CP2379" s="5" t="s">
        <v>240</v>
      </c>
      <c r="CQ2379" s="5">
        <v>0</v>
      </c>
      <c r="CR2379" s="5" t="s">
        <v>306</v>
      </c>
      <c r="CS2379" s="5" t="s">
        <v>307</v>
      </c>
      <c r="CT2379" s="5" t="s">
        <v>307</v>
      </c>
      <c r="CU2379" s="5" t="s">
        <v>260</v>
      </c>
      <c r="CX2379" s="7">
        <f>1</f>
        <v>1</v>
      </c>
      <c r="CY2379" s="7">
        <f>0</f>
        <v>0</v>
      </c>
      <c r="DA2379" s="7">
        <f>0</f>
        <v>0</v>
      </c>
      <c r="DC2379" s="5" t="s">
        <v>309</v>
      </c>
      <c r="DD2379" s="5" t="s">
        <v>240</v>
      </c>
      <c r="DF2379" s="5" t="s">
        <v>309</v>
      </c>
      <c r="DG2379" s="7">
        <f>1005</f>
        <v>1005</v>
      </c>
      <c r="DI2379" s="5" t="s">
        <v>240</v>
      </c>
      <c r="DJ2379" s="5" t="s">
        <v>240</v>
      </c>
      <c r="DK2379" s="5" t="s">
        <v>240</v>
      </c>
      <c r="DL2379" s="5" t="s">
        <v>240</v>
      </c>
      <c r="DP2379" s="5" t="s">
        <v>240</v>
      </c>
      <c r="DQ2379" s="5" t="s">
        <v>240</v>
      </c>
      <c r="DR2379" s="5" t="s">
        <v>240</v>
      </c>
      <c r="DS2379" s="5" t="s">
        <v>240</v>
      </c>
      <c r="DV2379" s="5" t="s">
        <v>310</v>
      </c>
      <c r="DW2379" s="5" t="s">
        <v>2811</v>
      </c>
      <c r="HO2379" s="5" t="s">
        <v>312</v>
      </c>
    </row>
    <row r="2380" spans="1:223" x14ac:dyDescent="0.4">
      <c r="A2380" s="5">
        <v>4084</v>
      </c>
      <c r="B2380" s="5">
        <v>1</v>
      </c>
      <c r="C2380" s="5">
        <v>1</v>
      </c>
      <c r="D2380" s="5" t="s">
        <v>810</v>
      </c>
      <c r="E2380" s="5" t="s">
        <v>245</v>
      </c>
      <c r="F2380" s="5" t="s">
        <v>254</v>
      </c>
      <c r="G2380" s="5" t="s">
        <v>240</v>
      </c>
      <c r="H2380" s="6" t="s">
        <v>3786</v>
      </c>
      <c r="I2380" s="5" t="s">
        <v>809</v>
      </c>
      <c r="J2380" s="8">
        <f>2080</f>
        <v>2080</v>
      </c>
      <c r="K2380" s="5" t="s">
        <v>308</v>
      </c>
      <c r="L2380" s="7">
        <f>1</f>
        <v>1</v>
      </c>
      <c r="M2380" s="7">
        <f>1</f>
        <v>1</v>
      </c>
      <c r="N2380" s="5" t="s">
        <v>242</v>
      </c>
      <c r="O2380" s="5">
        <v>1</v>
      </c>
      <c r="P2380" s="5" t="s">
        <v>294</v>
      </c>
      <c r="Q2380" s="5" t="s">
        <v>266</v>
      </c>
      <c r="R2380" s="5" t="s">
        <v>240</v>
      </c>
      <c r="S2380" s="5" t="s">
        <v>240</v>
      </c>
      <c r="T2380" s="5" t="s">
        <v>296</v>
      </c>
      <c r="U2380" s="5" t="s">
        <v>244</v>
      </c>
      <c r="V2380" s="5" t="s">
        <v>240</v>
      </c>
      <c r="Y2380" s="5" t="s">
        <v>240</v>
      </c>
      <c r="Z2380" s="6" t="s">
        <v>298</v>
      </c>
      <c r="AB2380" s="6" t="s">
        <v>240</v>
      </c>
      <c r="AE2380" s="6" t="s">
        <v>299</v>
      </c>
      <c r="AF2380" s="5" t="s">
        <v>248</v>
      </c>
      <c r="AG2380" s="5" t="s">
        <v>249</v>
      </c>
      <c r="AW2380" s="5" t="s">
        <v>251</v>
      </c>
      <c r="AX2380" s="5" t="s">
        <v>240</v>
      </c>
      <c r="AY2380" s="5" t="s">
        <v>253</v>
      </c>
      <c r="AZ2380" s="5" t="s">
        <v>240</v>
      </c>
      <c r="BA2380" s="5" t="s">
        <v>255</v>
      </c>
      <c r="BB2380" s="5" t="s">
        <v>240</v>
      </c>
      <c r="BD2380" s="5" t="s">
        <v>240</v>
      </c>
      <c r="BF2380" s="5" t="s">
        <v>301</v>
      </c>
      <c r="BG2380" s="6" t="s">
        <v>299</v>
      </c>
      <c r="BH2380" s="5" t="s">
        <v>302</v>
      </c>
      <c r="BI2380" s="5" t="s">
        <v>303</v>
      </c>
      <c r="BJ2380" s="5" t="s">
        <v>240</v>
      </c>
      <c r="BK2380" s="8">
        <f>0</f>
        <v>0</v>
      </c>
      <c r="BL2380" s="7">
        <f>0</f>
        <v>0</v>
      </c>
      <c r="BM2380" s="5" t="s">
        <v>258</v>
      </c>
      <c r="BN2380" s="5" t="s">
        <v>259</v>
      </c>
      <c r="CB2380" s="5" t="s">
        <v>240</v>
      </c>
      <c r="CC2380" s="5" t="s">
        <v>240</v>
      </c>
      <c r="CG2380" s="5" t="s">
        <v>304</v>
      </c>
      <c r="CH2380" s="5" t="s">
        <v>305</v>
      </c>
      <c r="CI2380" s="5" t="s">
        <v>240</v>
      </c>
      <c r="CL2380" s="6" t="s">
        <v>261</v>
      </c>
      <c r="CM2380" s="5" t="s">
        <v>240</v>
      </c>
      <c r="CN2380" s="5" t="s">
        <v>263</v>
      </c>
      <c r="CO2380" s="5" t="s">
        <v>240</v>
      </c>
      <c r="CP2380" s="5" t="s">
        <v>240</v>
      </c>
      <c r="CQ2380" s="5">
        <v>0</v>
      </c>
      <c r="CR2380" s="5" t="s">
        <v>306</v>
      </c>
      <c r="CS2380" s="5" t="s">
        <v>307</v>
      </c>
      <c r="CT2380" s="5" t="s">
        <v>307</v>
      </c>
      <c r="CU2380" s="5" t="s">
        <v>260</v>
      </c>
      <c r="CX2380" s="7">
        <f>1</f>
        <v>1</v>
      </c>
      <c r="CY2380" s="7">
        <f>0</f>
        <v>0</v>
      </c>
      <c r="DA2380" s="7">
        <f>0</f>
        <v>0</v>
      </c>
      <c r="DC2380" s="5" t="s">
        <v>309</v>
      </c>
      <c r="DD2380" s="5" t="s">
        <v>240</v>
      </c>
      <c r="DF2380" s="5" t="s">
        <v>309</v>
      </c>
      <c r="DG2380" s="7">
        <f>1631</f>
        <v>1631</v>
      </c>
      <c r="DI2380" s="5" t="s">
        <v>240</v>
      </c>
      <c r="DJ2380" s="5" t="s">
        <v>240</v>
      </c>
      <c r="DK2380" s="5" t="s">
        <v>240</v>
      </c>
      <c r="DL2380" s="5" t="s">
        <v>240</v>
      </c>
      <c r="DP2380" s="5" t="s">
        <v>240</v>
      </c>
      <c r="DQ2380" s="5" t="s">
        <v>240</v>
      </c>
      <c r="DR2380" s="5" t="s">
        <v>240</v>
      </c>
      <c r="DS2380" s="5" t="s">
        <v>240</v>
      </c>
      <c r="DV2380" s="5" t="s">
        <v>310</v>
      </c>
      <c r="DW2380" s="5" t="s">
        <v>2813</v>
      </c>
      <c r="HO2380" s="5" t="s">
        <v>312</v>
      </c>
    </row>
    <row r="2381" spans="1:223" x14ac:dyDescent="0.4">
      <c r="A2381" s="5">
        <v>4085</v>
      </c>
      <c r="B2381" s="5">
        <v>1</v>
      </c>
      <c r="C2381" s="5">
        <v>1</v>
      </c>
      <c r="D2381" s="5" t="s">
        <v>810</v>
      </c>
      <c r="E2381" s="5" t="s">
        <v>245</v>
      </c>
      <c r="F2381" s="5" t="s">
        <v>254</v>
      </c>
      <c r="G2381" s="5" t="s">
        <v>240</v>
      </c>
      <c r="H2381" s="6" t="s">
        <v>3784</v>
      </c>
      <c r="I2381" s="5" t="s">
        <v>809</v>
      </c>
      <c r="J2381" s="8">
        <f>132</f>
        <v>132</v>
      </c>
      <c r="K2381" s="5" t="s">
        <v>308</v>
      </c>
      <c r="L2381" s="7">
        <f>1</f>
        <v>1</v>
      </c>
      <c r="M2381" s="7">
        <f>1</f>
        <v>1</v>
      </c>
      <c r="N2381" s="5" t="s">
        <v>242</v>
      </c>
      <c r="O2381" s="5">
        <v>1</v>
      </c>
      <c r="P2381" s="5" t="s">
        <v>294</v>
      </c>
      <c r="Q2381" s="5" t="s">
        <v>266</v>
      </c>
      <c r="R2381" s="5" t="s">
        <v>240</v>
      </c>
      <c r="S2381" s="5" t="s">
        <v>240</v>
      </c>
      <c r="T2381" s="5" t="s">
        <v>296</v>
      </c>
      <c r="U2381" s="5" t="s">
        <v>244</v>
      </c>
      <c r="V2381" s="5" t="s">
        <v>240</v>
      </c>
      <c r="Y2381" s="5" t="s">
        <v>240</v>
      </c>
      <c r="Z2381" s="6" t="s">
        <v>298</v>
      </c>
      <c r="AB2381" s="6" t="s">
        <v>240</v>
      </c>
      <c r="AE2381" s="6" t="s">
        <v>299</v>
      </c>
      <c r="AF2381" s="5" t="s">
        <v>248</v>
      </c>
      <c r="AG2381" s="5" t="s">
        <v>249</v>
      </c>
      <c r="AW2381" s="5" t="s">
        <v>251</v>
      </c>
      <c r="AX2381" s="5" t="s">
        <v>240</v>
      </c>
      <c r="AY2381" s="5" t="s">
        <v>253</v>
      </c>
      <c r="AZ2381" s="5" t="s">
        <v>240</v>
      </c>
      <c r="BA2381" s="5" t="s">
        <v>255</v>
      </c>
      <c r="BB2381" s="5" t="s">
        <v>240</v>
      </c>
      <c r="BD2381" s="5" t="s">
        <v>240</v>
      </c>
      <c r="BF2381" s="5" t="s">
        <v>301</v>
      </c>
      <c r="BG2381" s="6" t="s">
        <v>299</v>
      </c>
      <c r="BH2381" s="5" t="s">
        <v>302</v>
      </c>
      <c r="BI2381" s="5" t="s">
        <v>303</v>
      </c>
      <c r="BJ2381" s="5" t="s">
        <v>240</v>
      </c>
      <c r="BK2381" s="8">
        <f>0</f>
        <v>0</v>
      </c>
      <c r="BL2381" s="7">
        <f>0</f>
        <v>0</v>
      </c>
      <c r="BM2381" s="5" t="s">
        <v>258</v>
      </c>
      <c r="BN2381" s="5" t="s">
        <v>259</v>
      </c>
      <c r="CB2381" s="5" t="s">
        <v>240</v>
      </c>
      <c r="CC2381" s="5" t="s">
        <v>240</v>
      </c>
      <c r="CG2381" s="5" t="s">
        <v>304</v>
      </c>
      <c r="CH2381" s="5" t="s">
        <v>305</v>
      </c>
      <c r="CI2381" s="5" t="s">
        <v>240</v>
      </c>
      <c r="CL2381" s="6" t="s">
        <v>261</v>
      </c>
      <c r="CM2381" s="5" t="s">
        <v>240</v>
      </c>
      <c r="CN2381" s="5" t="s">
        <v>263</v>
      </c>
      <c r="CO2381" s="5" t="s">
        <v>240</v>
      </c>
      <c r="CP2381" s="5" t="s">
        <v>240</v>
      </c>
      <c r="CQ2381" s="5">
        <v>0</v>
      </c>
      <c r="CR2381" s="5" t="s">
        <v>306</v>
      </c>
      <c r="CS2381" s="5" t="s">
        <v>307</v>
      </c>
      <c r="CT2381" s="5" t="s">
        <v>307</v>
      </c>
      <c r="CU2381" s="5" t="s">
        <v>260</v>
      </c>
      <c r="CX2381" s="7">
        <f>1</f>
        <v>1</v>
      </c>
      <c r="CY2381" s="7">
        <f>0</f>
        <v>0</v>
      </c>
      <c r="DA2381" s="7">
        <f>0</f>
        <v>0</v>
      </c>
      <c r="DC2381" s="5" t="s">
        <v>309</v>
      </c>
      <c r="DD2381" s="5" t="s">
        <v>240</v>
      </c>
      <c r="DF2381" s="5" t="s">
        <v>309</v>
      </c>
      <c r="DG2381" s="7">
        <f>326</f>
        <v>326</v>
      </c>
      <c r="DI2381" s="5" t="s">
        <v>240</v>
      </c>
      <c r="DJ2381" s="5" t="s">
        <v>240</v>
      </c>
      <c r="DK2381" s="5" t="s">
        <v>240</v>
      </c>
      <c r="DL2381" s="5" t="s">
        <v>240</v>
      </c>
      <c r="DP2381" s="5" t="s">
        <v>240</v>
      </c>
      <c r="DQ2381" s="5" t="s">
        <v>240</v>
      </c>
      <c r="DR2381" s="5" t="s">
        <v>240</v>
      </c>
      <c r="DS2381" s="5" t="s">
        <v>240</v>
      </c>
      <c r="DV2381" s="5" t="s">
        <v>310</v>
      </c>
      <c r="DW2381" s="5" t="s">
        <v>2815</v>
      </c>
      <c r="HO2381" s="5" t="s">
        <v>312</v>
      </c>
    </row>
    <row r="2382" spans="1:223" x14ac:dyDescent="0.4">
      <c r="A2382" s="5">
        <v>4086</v>
      </c>
      <c r="B2382" s="5">
        <v>1</v>
      </c>
      <c r="C2382" s="5">
        <v>1</v>
      </c>
      <c r="D2382" s="5" t="s">
        <v>810</v>
      </c>
      <c r="E2382" s="5" t="s">
        <v>245</v>
      </c>
      <c r="F2382" s="5" t="s">
        <v>254</v>
      </c>
      <c r="G2382" s="5" t="s">
        <v>240</v>
      </c>
      <c r="H2382" s="6" t="s">
        <v>3782</v>
      </c>
      <c r="I2382" s="5" t="s">
        <v>809</v>
      </c>
      <c r="J2382" s="8">
        <f>915</f>
        <v>915</v>
      </c>
      <c r="K2382" s="5" t="s">
        <v>308</v>
      </c>
      <c r="L2382" s="7">
        <f>1</f>
        <v>1</v>
      </c>
      <c r="M2382" s="7">
        <f>1</f>
        <v>1</v>
      </c>
      <c r="N2382" s="5" t="s">
        <v>242</v>
      </c>
      <c r="O2382" s="5">
        <v>1</v>
      </c>
      <c r="P2382" s="5" t="s">
        <v>294</v>
      </c>
      <c r="Q2382" s="5" t="s">
        <v>613</v>
      </c>
      <c r="R2382" s="5" t="s">
        <v>240</v>
      </c>
      <c r="S2382" s="5" t="s">
        <v>240</v>
      </c>
      <c r="T2382" s="5" t="s">
        <v>243</v>
      </c>
      <c r="U2382" s="5" t="s">
        <v>244</v>
      </c>
      <c r="V2382" s="5" t="s">
        <v>240</v>
      </c>
      <c r="Y2382" s="5" t="s">
        <v>240</v>
      </c>
      <c r="Z2382" s="6" t="s">
        <v>298</v>
      </c>
      <c r="AB2382" s="6" t="s">
        <v>240</v>
      </c>
      <c r="AE2382" s="6" t="s">
        <v>299</v>
      </c>
      <c r="AF2382" s="5" t="s">
        <v>248</v>
      </c>
      <c r="AG2382" s="5" t="s">
        <v>249</v>
      </c>
      <c r="AW2382" s="5" t="s">
        <v>251</v>
      </c>
      <c r="AX2382" s="5" t="s">
        <v>240</v>
      </c>
      <c r="AY2382" s="5" t="s">
        <v>253</v>
      </c>
      <c r="AZ2382" s="5" t="s">
        <v>240</v>
      </c>
      <c r="BA2382" s="5" t="s">
        <v>255</v>
      </c>
      <c r="BB2382" s="5" t="s">
        <v>240</v>
      </c>
      <c r="BD2382" s="5" t="s">
        <v>686</v>
      </c>
      <c r="BF2382" s="5" t="s">
        <v>301</v>
      </c>
      <c r="BG2382" s="6" t="s">
        <v>299</v>
      </c>
      <c r="BH2382" s="5" t="s">
        <v>302</v>
      </c>
      <c r="BI2382" s="5" t="s">
        <v>303</v>
      </c>
      <c r="BJ2382" s="5" t="s">
        <v>240</v>
      </c>
      <c r="BK2382" s="8">
        <f>0</f>
        <v>0</v>
      </c>
      <c r="BL2382" s="7">
        <f>0</f>
        <v>0</v>
      </c>
      <c r="BM2382" s="5" t="s">
        <v>258</v>
      </c>
      <c r="BN2382" s="5" t="s">
        <v>259</v>
      </c>
      <c r="CB2382" s="5" t="s">
        <v>240</v>
      </c>
      <c r="CC2382" s="5" t="s">
        <v>240</v>
      </c>
      <c r="CG2382" s="5" t="s">
        <v>617</v>
      </c>
      <c r="CH2382" s="5" t="s">
        <v>305</v>
      </c>
      <c r="CI2382" s="5" t="s">
        <v>240</v>
      </c>
      <c r="CL2382" s="6" t="s">
        <v>261</v>
      </c>
      <c r="CM2382" s="5" t="s">
        <v>240</v>
      </c>
      <c r="CN2382" s="5" t="s">
        <v>263</v>
      </c>
      <c r="CO2382" s="5" t="s">
        <v>240</v>
      </c>
      <c r="CP2382" s="5" t="s">
        <v>240</v>
      </c>
      <c r="CQ2382" s="5">
        <v>0</v>
      </c>
      <c r="CR2382" s="5" t="s">
        <v>306</v>
      </c>
      <c r="CS2382" s="5" t="s">
        <v>307</v>
      </c>
      <c r="CT2382" s="5" t="s">
        <v>307</v>
      </c>
      <c r="CU2382" s="5" t="s">
        <v>260</v>
      </c>
      <c r="CX2382" s="7">
        <f>24356700</f>
        <v>24356700</v>
      </c>
      <c r="CY2382" s="7">
        <f>0</f>
        <v>0</v>
      </c>
      <c r="DA2382" s="7">
        <f>0</f>
        <v>0</v>
      </c>
      <c r="DC2382" s="5" t="s">
        <v>843</v>
      </c>
      <c r="DD2382" s="5" t="s">
        <v>240</v>
      </c>
      <c r="DF2382" s="5" t="s">
        <v>843</v>
      </c>
      <c r="DG2382" s="7">
        <f>0</f>
        <v>0</v>
      </c>
      <c r="DI2382" s="5" t="s">
        <v>843</v>
      </c>
      <c r="DJ2382" s="5" t="s">
        <v>240</v>
      </c>
      <c r="DK2382" s="5" t="s">
        <v>240</v>
      </c>
      <c r="DL2382" s="5" t="s">
        <v>240</v>
      </c>
      <c r="DP2382" s="5" t="s">
        <v>240</v>
      </c>
      <c r="DQ2382" s="5" t="s">
        <v>240</v>
      </c>
      <c r="DR2382" s="5" t="s">
        <v>240</v>
      </c>
      <c r="DS2382" s="5" t="s">
        <v>240</v>
      </c>
      <c r="DV2382" s="5" t="s">
        <v>1656</v>
      </c>
      <c r="DW2382" s="5" t="s">
        <v>312</v>
      </c>
      <c r="HO2382" s="5" t="s">
        <v>312</v>
      </c>
    </row>
    <row r="2383" spans="1:223" x14ac:dyDescent="0.4">
      <c r="A2383" s="5">
        <v>4087</v>
      </c>
      <c r="B2383" s="5">
        <v>1</v>
      </c>
      <c r="C2383" s="5">
        <v>1</v>
      </c>
      <c r="D2383" s="5" t="s">
        <v>810</v>
      </c>
      <c r="E2383" s="5" t="s">
        <v>245</v>
      </c>
      <c r="F2383" s="5" t="s">
        <v>254</v>
      </c>
      <c r="G2383" s="5" t="s">
        <v>240</v>
      </c>
      <c r="H2383" s="6" t="s">
        <v>3780</v>
      </c>
      <c r="I2383" s="5" t="s">
        <v>809</v>
      </c>
      <c r="J2383" s="8">
        <f>269</f>
        <v>269</v>
      </c>
      <c r="K2383" s="5" t="s">
        <v>308</v>
      </c>
      <c r="L2383" s="7">
        <f>1</f>
        <v>1</v>
      </c>
      <c r="M2383" s="7">
        <f>1</f>
        <v>1</v>
      </c>
      <c r="N2383" s="5" t="s">
        <v>242</v>
      </c>
      <c r="O2383" s="5">
        <v>1</v>
      </c>
      <c r="P2383" s="5" t="s">
        <v>294</v>
      </c>
      <c r="Q2383" s="5" t="s">
        <v>266</v>
      </c>
      <c r="R2383" s="5" t="s">
        <v>240</v>
      </c>
      <c r="S2383" s="5" t="s">
        <v>240</v>
      </c>
      <c r="T2383" s="5" t="s">
        <v>296</v>
      </c>
      <c r="U2383" s="5" t="s">
        <v>244</v>
      </c>
      <c r="V2383" s="5" t="s">
        <v>240</v>
      </c>
      <c r="Y2383" s="5" t="s">
        <v>240</v>
      </c>
      <c r="Z2383" s="6" t="s">
        <v>298</v>
      </c>
      <c r="AB2383" s="6" t="s">
        <v>240</v>
      </c>
      <c r="AE2383" s="6" t="s">
        <v>299</v>
      </c>
      <c r="AF2383" s="5" t="s">
        <v>248</v>
      </c>
      <c r="AG2383" s="5" t="s">
        <v>249</v>
      </c>
      <c r="AW2383" s="5" t="s">
        <v>251</v>
      </c>
      <c r="AX2383" s="5" t="s">
        <v>240</v>
      </c>
      <c r="AY2383" s="5" t="s">
        <v>253</v>
      </c>
      <c r="AZ2383" s="5" t="s">
        <v>240</v>
      </c>
      <c r="BA2383" s="5" t="s">
        <v>255</v>
      </c>
      <c r="BB2383" s="5" t="s">
        <v>240</v>
      </c>
      <c r="BD2383" s="5" t="s">
        <v>240</v>
      </c>
      <c r="BF2383" s="5" t="s">
        <v>301</v>
      </c>
      <c r="BG2383" s="6" t="s">
        <v>299</v>
      </c>
      <c r="BH2383" s="5" t="s">
        <v>302</v>
      </c>
      <c r="BI2383" s="5" t="s">
        <v>303</v>
      </c>
      <c r="BJ2383" s="5" t="s">
        <v>240</v>
      </c>
      <c r="BK2383" s="8">
        <f>0</f>
        <v>0</v>
      </c>
      <c r="BL2383" s="7">
        <f>0</f>
        <v>0</v>
      </c>
      <c r="BM2383" s="5" t="s">
        <v>258</v>
      </c>
      <c r="BN2383" s="5" t="s">
        <v>259</v>
      </c>
      <c r="CB2383" s="5" t="s">
        <v>240</v>
      </c>
      <c r="CC2383" s="5" t="s">
        <v>240</v>
      </c>
      <c r="CG2383" s="5" t="s">
        <v>304</v>
      </c>
      <c r="CH2383" s="5" t="s">
        <v>305</v>
      </c>
      <c r="CI2383" s="5" t="s">
        <v>240</v>
      </c>
      <c r="CL2383" s="6" t="s">
        <v>261</v>
      </c>
      <c r="CM2383" s="5" t="s">
        <v>240</v>
      </c>
      <c r="CN2383" s="5" t="s">
        <v>263</v>
      </c>
      <c r="CO2383" s="5" t="s">
        <v>240</v>
      </c>
      <c r="CP2383" s="5" t="s">
        <v>240</v>
      </c>
      <c r="CQ2383" s="5">
        <v>0</v>
      </c>
      <c r="CR2383" s="5" t="s">
        <v>306</v>
      </c>
      <c r="CS2383" s="5" t="s">
        <v>307</v>
      </c>
      <c r="CT2383" s="5" t="s">
        <v>307</v>
      </c>
      <c r="CU2383" s="5" t="s">
        <v>260</v>
      </c>
      <c r="CX2383" s="7">
        <f>1</f>
        <v>1</v>
      </c>
      <c r="CY2383" s="7">
        <f>0</f>
        <v>0</v>
      </c>
      <c r="DA2383" s="7">
        <f>0</f>
        <v>0</v>
      </c>
      <c r="DC2383" s="5" t="s">
        <v>309</v>
      </c>
      <c r="DD2383" s="5" t="s">
        <v>240</v>
      </c>
      <c r="DF2383" s="5" t="s">
        <v>309</v>
      </c>
      <c r="DG2383" s="7">
        <f>440</f>
        <v>440</v>
      </c>
      <c r="DI2383" s="5" t="s">
        <v>240</v>
      </c>
      <c r="DJ2383" s="5" t="s">
        <v>240</v>
      </c>
      <c r="DK2383" s="5" t="s">
        <v>240</v>
      </c>
      <c r="DL2383" s="5" t="s">
        <v>240</v>
      </c>
      <c r="DP2383" s="5" t="s">
        <v>240</v>
      </c>
      <c r="DQ2383" s="5" t="s">
        <v>240</v>
      </c>
      <c r="DR2383" s="5" t="s">
        <v>240</v>
      </c>
      <c r="DS2383" s="5" t="s">
        <v>240</v>
      </c>
      <c r="DV2383" s="5" t="s">
        <v>310</v>
      </c>
      <c r="DW2383" s="5" t="s">
        <v>2819</v>
      </c>
      <c r="HO2383" s="5" t="s">
        <v>312</v>
      </c>
    </row>
    <row r="2384" spans="1:223" x14ac:dyDescent="0.4">
      <c r="A2384" s="5">
        <v>4088</v>
      </c>
      <c r="B2384" s="5">
        <v>1</v>
      </c>
      <c r="C2384" s="5">
        <v>1</v>
      </c>
      <c r="D2384" s="5" t="s">
        <v>810</v>
      </c>
      <c r="E2384" s="5" t="s">
        <v>245</v>
      </c>
      <c r="F2384" s="5" t="s">
        <v>254</v>
      </c>
      <c r="G2384" s="5" t="s">
        <v>240</v>
      </c>
      <c r="H2384" s="6" t="s">
        <v>3778</v>
      </c>
      <c r="I2384" s="5" t="s">
        <v>809</v>
      </c>
      <c r="J2384" s="8">
        <f>1535</f>
        <v>1535</v>
      </c>
      <c r="K2384" s="5" t="s">
        <v>308</v>
      </c>
      <c r="L2384" s="7">
        <f>1</f>
        <v>1</v>
      </c>
      <c r="M2384" s="7">
        <f>1</f>
        <v>1</v>
      </c>
      <c r="N2384" s="5" t="s">
        <v>242</v>
      </c>
      <c r="O2384" s="5">
        <v>1</v>
      </c>
      <c r="P2384" s="5" t="s">
        <v>294</v>
      </c>
      <c r="Q2384" s="5" t="s">
        <v>266</v>
      </c>
      <c r="R2384" s="5" t="s">
        <v>240</v>
      </c>
      <c r="S2384" s="5" t="s">
        <v>240</v>
      </c>
      <c r="T2384" s="5" t="s">
        <v>296</v>
      </c>
      <c r="U2384" s="5" t="s">
        <v>244</v>
      </c>
      <c r="V2384" s="5" t="s">
        <v>240</v>
      </c>
      <c r="Y2384" s="5" t="s">
        <v>240</v>
      </c>
      <c r="Z2384" s="6" t="s">
        <v>298</v>
      </c>
      <c r="AB2384" s="6" t="s">
        <v>240</v>
      </c>
      <c r="AE2384" s="6" t="s">
        <v>299</v>
      </c>
      <c r="AF2384" s="5" t="s">
        <v>248</v>
      </c>
      <c r="AG2384" s="5" t="s">
        <v>249</v>
      </c>
      <c r="AW2384" s="5" t="s">
        <v>251</v>
      </c>
      <c r="AX2384" s="5" t="s">
        <v>240</v>
      </c>
      <c r="AY2384" s="5" t="s">
        <v>253</v>
      </c>
      <c r="AZ2384" s="5" t="s">
        <v>240</v>
      </c>
      <c r="BA2384" s="5" t="s">
        <v>255</v>
      </c>
      <c r="BB2384" s="5" t="s">
        <v>240</v>
      </c>
      <c r="BD2384" s="5" t="s">
        <v>240</v>
      </c>
      <c r="BF2384" s="5" t="s">
        <v>301</v>
      </c>
      <c r="BG2384" s="6" t="s">
        <v>299</v>
      </c>
      <c r="BH2384" s="5" t="s">
        <v>302</v>
      </c>
      <c r="BI2384" s="5" t="s">
        <v>303</v>
      </c>
      <c r="BJ2384" s="5" t="s">
        <v>240</v>
      </c>
      <c r="BK2384" s="8">
        <f>0</f>
        <v>0</v>
      </c>
      <c r="BL2384" s="7">
        <f>0</f>
        <v>0</v>
      </c>
      <c r="BM2384" s="5" t="s">
        <v>258</v>
      </c>
      <c r="BN2384" s="5" t="s">
        <v>259</v>
      </c>
      <c r="CB2384" s="5" t="s">
        <v>240</v>
      </c>
      <c r="CC2384" s="5" t="s">
        <v>240</v>
      </c>
      <c r="CG2384" s="5" t="s">
        <v>304</v>
      </c>
      <c r="CH2384" s="5" t="s">
        <v>305</v>
      </c>
      <c r="CI2384" s="5" t="s">
        <v>240</v>
      </c>
      <c r="CL2384" s="6" t="s">
        <v>261</v>
      </c>
      <c r="CM2384" s="5" t="s">
        <v>240</v>
      </c>
      <c r="CN2384" s="5" t="s">
        <v>263</v>
      </c>
      <c r="CO2384" s="5" t="s">
        <v>240</v>
      </c>
      <c r="CP2384" s="5" t="s">
        <v>240</v>
      </c>
      <c r="CQ2384" s="5">
        <v>0</v>
      </c>
      <c r="CR2384" s="5" t="s">
        <v>306</v>
      </c>
      <c r="CS2384" s="5" t="s">
        <v>307</v>
      </c>
      <c r="CT2384" s="5" t="s">
        <v>307</v>
      </c>
      <c r="CU2384" s="5" t="s">
        <v>260</v>
      </c>
      <c r="CX2384" s="7">
        <f>1</f>
        <v>1</v>
      </c>
      <c r="CY2384" s="7">
        <f>0</f>
        <v>0</v>
      </c>
      <c r="DA2384" s="7">
        <f>0</f>
        <v>0</v>
      </c>
      <c r="DC2384" s="5" t="s">
        <v>309</v>
      </c>
      <c r="DD2384" s="5" t="s">
        <v>240</v>
      </c>
      <c r="DF2384" s="5" t="s">
        <v>309</v>
      </c>
      <c r="DG2384" s="7">
        <f>9.66</f>
        <v>9.66</v>
      </c>
      <c r="DI2384" s="5" t="s">
        <v>240</v>
      </c>
      <c r="DJ2384" s="5" t="s">
        <v>240</v>
      </c>
      <c r="DK2384" s="5" t="s">
        <v>240</v>
      </c>
      <c r="DL2384" s="5" t="s">
        <v>240</v>
      </c>
      <c r="DP2384" s="5" t="s">
        <v>240</v>
      </c>
      <c r="DQ2384" s="5" t="s">
        <v>240</v>
      </c>
      <c r="DR2384" s="5" t="s">
        <v>240</v>
      </c>
      <c r="DS2384" s="5" t="s">
        <v>240</v>
      </c>
      <c r="DV2384" s="5" t="s">
        <v>310</v>
      </c>
      <c r="DW2384" s="5" t="s">
        <v>2821</v>
      </c>
      <c r="HO2384" s="5" t="s">
        <v>312</v>
      </c>
    </row>
    <row r="2385" spans="1:223" x14ac:dyDescent="0.4">
      <c r="A2385" s="5">
        <v>4089</v>
      </c>
      <c r="B2385" s="5">
        <v>1</v>
      </c>
      <c r="C2385" s="5">
        <v>1</v>
      </c>
      <c r="D2385" s="5" t="s">
        <v>810</v>
      </c>
      <c r="E2385" s="5" t="s">
        <v>245</v>
      </c>
      <c r="F2385" s="5" t="s">
        <v>254</v>
      </c>
      <c r="G2385" s="5" t="s">
        <v>240</v>
      </c>
      <c r="H2385" s="6" t="s">
        <v>3776</v>
      </c>
      <c r="I2385" s="5" t="s">
        <v>809</v>
      </c>
      <c r="J2385" s="8">
        <f>87</f>
        <v>87</v>
      </c>
      <c r="K2385" s="5" t="s">
        <v>308</v>
      </c>
      <c r="L2385" s="7">
        <f>1</f>
        <v>1</v>
      </c>
      <c r="M2385" s="7">
        <f>1</f>
        <v>1</v>
      </c>
      <c r="N2385" s="5" t="s">
        <v>242</v>
      </c>
      <c r="O2385" s="5">
        <v>1</v>
      </c>
      <c r="P2385" s="5" t="s">
        <v>294</v>
      </c>
      <c r="Q2385" s="5" t="s">
        <v>266</v>
      </c>
      <c r="R2385" s="5" t="s">
        <v>240</v>
      </c>
      <c r="S2385" s="5" t="s">
        <v>240</v>
      </c>
      <c r="T2385" s="5" t="s">
        <v>296</v>
      </c>
      <c r="U2385" s="5" t="s">
        <v>244</v>
      </c>
      <c r="V2385" s="5" t="s">
        <v>240</v>
      </c>
      <c r="Y2385" s="5" t="s">
        <v>240</v>
      </c>
      <c r="Z2385" s="6" t="s">
        <v>298</v>
      </c>
      <c r="AB2385" s="6" t="s">
        <v>240</v>
      </c>
      <c r="AE2385" s="6" t="s">
        <v>299</v>
      </c>
      <c r="AF2385" s="5" t="s">
        <v>248</v>
      </c>
      <c r="AG2385" s="5" t="s">
        <v>249</v>
      </c>
      <c r="AW2385" s="5" t="s">
        <v>251</v>
      </c>
      <c r="AX2385" s="5" t="s">
        <v>240</v>
      </c>
      <c r="AY2385" s="5" t="s">
        <v>253</v>
      </c>
      <c r="AZ2385" s="5" t="s">
        <v>240</v>
      </c>
      <c r="BA2385" s="5" t="s">
        <v>255</v>
      </c>
      <c r="BB2385" s="5" t="s">
        <v>240</v>
      </c>
      <c r="BD2385" s="5" t="s">
        <v>240</v>
      </c>
      <c r="BF2385" s="5" t="s">
        <v>301</v>
      </c>
      <c r="BG2385" s="6" t="s">
        <v>299</v>
      </c>
      <c r="BH2385" s="5" t="s">
        <v>302</v>
      </c>
      <c r="BI2385" s="5" t="s">
        <v>303</v>
      </c>
      <c r="BJ2385" s="5" t="s">
        <v>240</v>
      </c>
      <c r="BK2385" s="8">
        <f>0</f>
        <v>0</v>
      </c>
      <c r="BL2385" s="7">
        <f>0</f>
        <v>0</v>
      </c>
      <c r="BM2385" s="5" t="s">
        <v>258</v>
      </c>
      <c r="BN2385" s="5" t="s">
        <v>259</v>
      </c>
      <c r="CB2385" s="5" t="s">
        <v>240</v>
      </c>
      <c r="CC2385" s="5" t="s">
        <v>240</v>
      </c>
      <c r="CG2385" s="5" t="s">
        <v>304</v>
      </c>
      <c r="CH2385" s="5" t="s">
        <v>305</v>
      </c>
      <c r="CI2385" s="5" t="s">
        <v>240</v>
      </c>
      <c r="CL2385" s="6" t="s">
        <v>261</v>
      </c>
      <c r="CM2385" s="5" t="s">
        <v>240</v>
      </c>
      <c r="CN2385" s="5" t="s">
        <v>263</v>
      </c>
      <c r="CO2385" s="5" t="s">
        <v>240</v>
      </c>
      <c r="CP2385" s="5" t="s">
        <v>240</v>
      </c>
      <c r="CQ2385" s="5">
        <v>0</v>
      </c>
      <c r="CR2385" s="5" t="s">
        <v>306</v>
      </c>
      <c r="CS2385" s="5" t="s">
        <v>307</v>
      </c>
      <c r="CT2385" s="5" t="s">
        <v>307</v>
      </c>
      <c r="CU2385" s="5" t="s">
        <v>260</v>
      </c>
      <c r="CX2385" s="7">
        <f>1</f>
        <v>1</v>
      </c>
      <c r="CY2385" s="7">
        <f>0</f>
        <v>0</v>
      </c>
      <c r="DA2385" s="7">
        <f>0</f>
        <v>0</v>
      </c>
      <c r="DC2385" s="5" t="s">
        <v>309</v>
      </c>
      <c r="DD2385" s="5" t="s">
        <v>240</v>
      </c>
      <c r="DF2385" s="5" t="s">
        <v>309</v>
      </c>
      <c r="DG2385" s="7">
        <f>702</f>
        <v>702</v>
      </c>
      <c r="DI2385" s="5" t="s">
        <v>240</v>
      </c>
      <c r="DJ2385" s="5" t="s">
        <v>240</v>
      </c>
      <c r="DK2385" s="5" t="s">
        <v>240</v>
      </c>
      <c r="DL2385" s="5" t="s">
        <v>240</v>
      </c>
      <c r="DP2385" s="5" t="s">
        <v>240</v>
      </c>
      <c r="DQ2385" s="5" t="s">
        <v>240</v>
      </c>
      <c r="DR2385" s="5" t="s">
        <v>240</v>
      </c>
      <c r="DS2385" s="5" t="s">
        <v>240</v>
      </c>
      <c r="DV2385" s="5" t="s">
        <v>310</v>
      </c>
      <c r="DW2385" s="5" t="s">
        <v>2823</v>
      </c>
      <c r="HO2385" s="5" t="s">
        <v>312</v>
      </c>
    </row>
    <row r="2386" spans="1:223" x14ac:dyDescent="0.4">
      <c r="A2386" s="5">
        <v>4090</v>
      </c>
      <c r="B2386" s="5">
        <v>1</v>
      </c>
      <c r="C2386" s="5">
        <v>1</v>
      </c>
      <c r="D2386" s="5" t="s">
        <v>810</v>
      </c>
      <c r="E2386" s="5" t="s">
        <v>245</v>
      </c>
      <c r="F2386" s="5" t="s">
        <v>254</v>
      </c>
      <c r="G2386" s="5" t="s">
        <v>240</v>
      </c>
      <c r="H2386" s="6" t="s">
        <v>3774</v>
      </c>
      <c r="I2386" s="5" t="s">
        <v>809</v>
      </c>
      <c r="J2386" s="8">
        <f>1119</f>
        <v>1119</v>
      </c>
      <c r="K2386" s="5" t="s">
        <v>308</v>
      </c>
      <c r="L2386" s="7">
        <f>1</f>
        <v>1</v>
      </c>
      <c r="M2386" s="7">
        <f>1</f>
        <v>1</v>
      </c>
      <c r="N2386" s="5" t="s">
        <v>242</v>
      </c>
      <c r="O2386" s="5">
        <v>1</v>
      </c>
      <c r="P2386" s="5" t="s">
        <v>294</v>
      </c>
      <c r="Q2386" s="5" t="s">
        <v>613</v>
      </c>
      <c r="R2386" s="5" t="s">
        <v>240</v>
      </c>
      <c r="S2386" s="5" t="s">
        <v>240</v>
      </c>
      <c r="T2386" s="5" t="s">
        <v>243</v>
      </c>
      <c r="U2386" s="5" t="s">
        <v>244</v>
      </c>
      <c r="V2386" s="5" t="s">
        <v>240</v>
      </c>
      <c r="Y2386" s="5" t="s">
        <v>240</v>
      </c>
      <c r="Z2386" s="6" t="s">
        <v>298</v>
      </c>
      <c r="AB2386" s="6" t="s">
        <v>240</v>
      </c>
      <c r="AE2386" s="6" t="s">
        <v>299</v>
      </c>
      <c r="AF2386" s="5" t="s">
        <v>248</v>
      </c>
      <c r="AG2386" s="5" t="s">
        <v>249</v>
      </c>
      <c r="AW2386" s="5" t="s">
        <v>251</v>
      </c>
      <c r="AX2386" s="5" t="s">
        <v>240</v>
      </c>
      <c r="AY2386" s="5" t="s">
        <v>253</v>
      </c>
      <c r="AZ2386" s="5" t="s">
        <v>240</v>
      </c>
      <c r="BA2386" s="5" t="s">
        <v>255</v>
      </c>
      <c r="BB2386" s="5" t="s">
        <v>240</v>
      </c>
      <c r="BD2386" s="5" t="s">
        <v>240</v>
      </c>
      <c r="BF2386" s="5" t="s">
        <v>301</v>
      </c>
      <c r="BG2386" s="6" t="s">
        <v>299</v>
      </c>
      <c r="BH2386" s="5" t="s">
        <v>302</v>
      </c>
      <c r="BI2386" s="5" t="s">
        <v>303</v>
      </c>
      <c r="BJ2386" s="5" t="s">
        <v>240</v>
      </c>
      <c r="BK2386" s="8">
        <f>0</f>
        <v>0</v>
      </c>
      <c r="BL2386" s="7">
        <f>0</f>
        <v>0</v>
      </c>
      <c r="BM2386" s="5" t="s">
        <v>258</v>
      </c>
      <c r="BN2386" s="5" t="s">
        <v>259</v>
      </c>
      <c r="CB2386" s="5" t="s">
        <v>240</v>
      </c>
      <c r="CC2386" s="5" t="s">
        <v>240</v>
      </c>
      <c r="CG2386" s="5" t="s">
        <v>617</v>
      </c>
      <c r="CH2386" s="5" t="s">
        <v>305</v>
      </c>
      <c r="CI2386" s="5" t="s">
        <v>240</v>
      </c>
      <c r="CL2386" s="6" t="s">
        <v>261</v>
      </c>
      <c r="CM2386" s="5" t="s">
        <v>240</v>
      </c>
      <c r="CN2386" s="5" t="s">
        <v>263</v>
      </c>
      <c r="CO2386" s="5" t="s">
        <v>240</v>
      </c>
      <c r="CP2386" s="5" t="s">
        <v>240</v>
      </c>
      <c r="CQ2386" s="5">
        <v>0</v>
      </c>
      <c r="CR2386" s="5" t="s">
        <v>306</v>
      </c>
      <c r="CS2386" s="5" t="s">
        <v>307</v>
      </c>
      <c r="CT2386" s="5" t="s">
        <v>307</v>
      </c>
      <c r="CU2386" s="5" t="s">
        <v>260</v>
      </c>
      <c r="CX2386" s="7">
        <f>163800</f>
        <v>163800</v>
      </c>
      <c r="CY2386" s="7">
        <f>0</f>
        <v>0</v>
      </c>
      <c r="DA2386" s="7">
        <f>0</f>
        <v>0</v>
      </c>
      <c r="DC2386" s="5" t="s">
        <v>1674</v>
      </c>
      <c r="DD2386" s="5" t="s">
        <v>240</v>
      </c>
      <c r="DF2386" s="5" t="s">
        <v>450</v>
      </c>
      <c r="DG2386" s="7">
        <f>0</f>
        <v>0</v>
      </c>
      <c r="DI2386" s="5" t="s">
        <v>843</v>
      </c>
      <c r="DJ2386" s="5" t="s">
        <v>240</v>
      </c>
      <c r="DK2386" s="5" t="s">
        <v>240</v>
      </c>
      <c r="DL2386" s="5" t="s">
        <v>240</v>
      </c>
      <c r="DP2386" s="5" t="s">
        <v>240</v>
      </c>
      <c r="DQ2386" s="5" t="s">
        <v>240</v>
      </c>
      <c r="DR2386" s="5" t="s">
        <v>240</v>
      </c>
      <c r="DS2386" s="5" t="s">
        <v>240</v>
      </c>
      <c r="DV2386" s="5" t="s">
        <v>1671</v>
      </c>
      <c r="DW2386" s="5" t="s">
        <v>818</v>
      </c>
      <c r="HO2386" s="5" t="s">
        <v>312</v>
      </c>
    </row>
    <row r="2387" spans="1:223" x14ac:dyDescent="0.4">
      <c r="A2387" s="5">
        <v>4091</v>
      </c>
      <c r="B2387" s="5">
        <v>1</v>
      </c>
      <c r="C2387" s="5">
        <v>1</v>
      </c>
      <c r="D2387" s="5" t="s">
        <v>810</v>
      </c>
      <c r="E2387" s="5" t="s">
        <v>245</v>
      </c>
      <c r="F2387" s="5" t="s">
        <v>254</v>
      </c>
      <c r="G2387" s="5" t="s">
        <v>240</v>
      </c>
      <c r="H2387" s="6" t="s">
        <v>3772</v>
      </c>
      <c r="I2387" s="5" t="s">
        <v>809</v>
      </c>
      <c r="J2387" s="8">
        <f>2382</f>
        <v>2382</v>
      </c>
      <c r="K2387" s="5" t="s">
        <v>308</v>
      </c>
      <c r="L2387" s="7">
        <f>1</f>
        <v>1</v>
      </c>
      <c r="M2387" s="7">
        <f>1</f>
        <v>1</v>
      </c>
      <c r="N2387" s="5" t="s">
        <v>242</v>
      </c>
      <c r="O2387" s="5">
        <v>1</v>
      </c>
      <c r="P2387" s="5" t="s">
        <v>294</v>
      </c>
      <c r="Q2387" s="5" t="s">
        <v>266</v>
      </c>
      <c r="R2387" s="5" t="s">
        <v>240</v>
      </c>
      <c r="S2387" s="5" t="s">
        <v>240</v>
      </c>
      <c r="T2387" s="5" t="s">
        <v>296</v>
      </c>
      <c r="U2387" s="5" t="s">
        <v>244</v>
      </c>
      <c r="V2387" s="5" t="s">
        <v>240</v>
      </c>
      <c r="Y2387" s="5" t="s">
        <v>240</v>
      </c>
      <c r="Z2387" s="6" t="s">
        <v>298</v>
      </c>
      <c r="AB2387" s="6" t="s">
        <v>240</v>
      </c>
      <c r="AE2387" s="6" t="s">
        <v>299</v>
      </c>
      <c r="AF2387" s="5" t="s">
        <v>248</v>
      </c>
      <c r="AG2387" s="5" t="s">
        <v>249</v>
      </c>
      <c r="AW2387" s="5" t="s">
        <v>251</v>
      </c>
      <c r="AX2387" s="5" t="s">
        <v>240</v>
      </c>
      <c r="AY2387" s="5" t="s">
        <v>253</v>
      </c>
      <c r="AZ2387" s="5" t="s">
        <v>240</v>
      </c>
      <c r="BA2387" s="5" t="s">
        <v>255</v>
      </c>
      <c r="BB2387" s="5" t="s">
        <v>240</v>
      </c>
      <c r="BD2387" s="5" t="s">
        <v>240</v>
      </c>
      <c r="BF2387" s="5" t="s">
        <v>301</v>
      </c>
      <c r="BG2387" s="6" t="s">
        <v>299</v>
      </c>
      <c r="BH2387" s="5" t="s">
        <v>302</v>
      </c>
      <c r="BI2387" s="5" t="s">
        <v>303</v>
      </c>
      <c r="BJ2387" s="5" t="s">
        <v>240</v>
      </c>
      <c r="BK2387" s="8">
        <f>0</f>
        <v>0</v>
      </c>
      <c r="BL2387" s="7">
        <f>0</f>
        <v>0</v>
      </c>
      <c r="BM2387" s="5" t="s">
        <v>258</v>
      </c>
      <c r="BN2387" s="5" t="s">
        <v>259</v>
      </c>
      <c r="CB2387" s="5" t="s">
        <v>240</v>
      </c>
      <c r="CC2387" s="5" t="s">
        <v>240</v>
      </c>
      <c r="CG2387" s="5" t="s">
        <v>304</v>
      </c>
      <c r="CH2387" s="5" t="s">
        <v>305</v>
      </c>
      <c r="CI2387" s="5" t="s">
        <v>240</v>
      </c>
      <c r="CL2387" s="6" t="s">
        <v>261</v>
      </c>
      <c r="CM2387" s="5" t="s">
        <v>240</v>
      </c>
      <c r="CN2387" s="5" t="s">
        <v>263</v>
      </c>
      <c r="CO2387" s="5" t="s">
        <v>240</v>
      </c>
      <c r="CP2387" s="5" t="s">
        <v>240</v>
      </c>
      <c r="CQ2387" s="5">
        <v>0</v>
      </c>
      <c r="CR2387" s="5" t="s">
        <v>306</v>
      </c>
      <c r="CS2387" s="5" t="s">
        <v>307</v>
      </c>
      <c r="CT2387" s="5" t="s">
        <v>307</v>
      </c>
      <c r="CU2387" s="5" t="s">
        <v>260</v>
      </c>
      <c r="CX2387" s="7">
        <f>1</f>
        <v>1</v>
      </c>
      <c r="CY2387" s="7">
        <f>0</f>
        <v>0</v>
      </c>
      <c r="DA2387" s="7">
        <f>0</f>
        <v>0</v>
      </c>
      <c r="DC2387" s="5" t="s">
        <v>309</v>
      </c>
      <c r="DD2387" s="5" t="s">
        <v>240</v>
      </c>
      <c r="DF2387" s="5" t="s">
        <v>309</v>
      </c>
      <c r="DG2387" s="7">
        <f>461</f>
        <v>461</v>
      </c>
      <c r="DI2387" s="5" t="s">
        <v>240</v>
      </c>
      <c r="DJ2387" s="5" t="s">
        <v>240</v>
      </c>
      <c r="DK2387" s="5" t="s">
        <v>240</v>
      </c>
      <c r="DL2387" s="5" t="s">
        <v>240</v>
      </c>
      <c r="DP2387" s="5" t="s">
        <v>240</v>
      </c>
      <c r="DQ2387" s="5" t="s">
        <v>240</v>
      </c>
      <c r="DR2387" s="5" t="s">
        <v>240</v>
      </c>
      <c r="DS2387" s="5" t="s">
        <v>240</v>
      </c>
      <c r="DV2387" s="5" t="s">
        <v>310</v>
      </c>
      <c r="DW2387" s="5" t="s">
        <v>2827</v>
      </c>
      <c r="HO2387" s="5" t="s">
        <v>312</v>
      </c>
    </row>
    <row r="2388" spans="1:223" x14ac:dyDescent="0.4">
      <c r="A2388" s="5">
        <v>4092</v>
      </c>
      <c r="B2388" s="5">
        <v>1</v>
      </c>
      <c r="C2388" s="5">
        <v>1</v>
      </c>
      <c r="D2388" s="5" t="s">
        <v>810</v>
      </c>
      <c r="E2388" s="5" t="s">
        <v>245</v>
      </c>
      <c r="F2388" s="5" t="s">
        <v>254</v>
      </c>
      <c r="G2388" s="5" t="s">
        <v>240</v>
      </c>
      <c r="H2388" s="6" t="s">
        <v>3770</v>
      </c>
      <c r="I2388" s="5" t="s">
        <v>809</v>
      </c>
      <c r="J2388" s="8">
        <f>3393</f>
        <v>3393</v>
      </c>
      <c r="K2388" s="5" t="s">
        <v>308</v>
      </c>
      <c r="L2388" s="7">
        <f>1</f>
        <v>1</v>
      </c>
      <c r="M2388" s="7">
        <f>1</f>
        <v>1</v>
      </c>
      <c r="N2388" s="5" t="s">
        <v>242</v>
      </c>
      <c r="O2388" s="5">
        <v>1</v>
      </c>
      <c r="P2388" s="5" t="s">
        <v>294</v>
      </c>
      <c r="Q2388" s="5" t="s">
        <v>266</v>
      </c>
      <c r="R2388" s="5" t="s">
        <v>240</v>
      </c>
      <c r="S2388" s="5" t="s">
        <v>240</v>
      </c>
      <c r="T2388" s="5" t="s">
        <v>296</v>
      </c>
      <c r="U2388" s="5" t="s">
        <v>244</v>
      </c>
      <c r="V2388" s="5" t="s">
        <v>240</v>
      </c>
      <c r="Y2388" s="5" t="s">
        <v>240</v>
      </c>
      <c r="Z2388" s="6" t="s">
        <v>298</v>
      </c>
      <c r="AB2388" s="6" t="s">
        <v>240</v>
      </c>
      <c r="AE2388" s="6" t="s">
        <v>299</v>
      </c>
      <c r="AF2388" s="5" t="s">
        <v>248</v>
      </c>
      <c r="AG2388" s="5" t="s">
        <v>249</v>
      </c>
      <c r="AW2388" s="5" t="s">
        <v>251</v>
      </c>
      <c r="AX2388" s="5" t="s">
        <v>240</v>
      </c>
      <c r="AY2388" s="5" t="s">
        <v>253</v>
      </c>
      <c r="AZ2388" s="5" t="s">
        <v>240</v>
      </c>
      <c r="BA2388" s="5" t="s">
        <v>255</v>
      </c>
      <c r="BB2388" s="5" t="s">
        <v>240</v>
      </c>
      <c r="BD2388" s="5" t="s">
        <v>240</v>
      </c>
      <c r="BF2388" s="5" t="s">
        <v>301</v>
      </c>
      <c r="BG2388" s="6" t="s">
        <v>299</v>
      </c>
      <c r="BH2388" s="5" t="s">
        <v>302</v>
      </c>
      <c r="BI2388" s="5" t="s">
        <v>303</v>
      </c>
      <c r="BJ2388" s="5" t="s">
        <v>240</v>
      </c>
      <c r="BK2388" s="8">
        <f>0</f>
        <v>0</v>
      </c>
      <c r="BL2388" s="7">
        <f>0</f>
        <v>0</v>
      </c>
      <c r="BM2388" s="5" t="s">
        <v>258</v>
      </c>
      <c r="BN2388" s="5" t="s">
        <v>259</v>
      </c>
      <c r="CB2388" s="5" t="s">
        <v>240</v>
      </c>
      <c r="CC2388" s="5" t="s">
        <v>240</v>
      </c>
      <c r="CG2388" s="5" t="s">
        <v>304</v>
      </c>
      <c r="CH2388" s="5" t="s">
        <v>305</v>
      </c>
      <c r="CI2388" s="5" t="s">
        <v>240</v>
      </c>
      <c r="CL2388" s="6" t="s">
        <v>261</v>
      </c>
      <c r="CM2388" s="5" t="s">
        <v>240</v>
      </c>
      <c r="CN2388" s="5" t="s">
        <v>263</v>
      </c>
      <c r="CO2388" s="5" t="s">
        <v>240</v>
      </c>
      <c r="CP2388" s="5" t="s">
        <v>240</v>
      </c>
      <c r="CQ2388" s="5">
        <v>0</v>
      </c>
      <c r="CR2388" s="5" t="s">
        <v>306</v>
      </c>
      <c r="CS2388" s="5" t="s">
        <v>307</v>
      </c>
      <c r="CT2388" s="5" t="s">
        <v>307</v>
      </c>
      <c r="CU2388" s="5" t="s">
        <v>260</v>
      </c>
      <c r="CX2388" s="7">
        <f>1</f>
        <v>1</v>
      </c>
      <c r="CY2388" s="7">
        <f>0</f>
        <v>0</v>
      </c>
      <c r="DA2388" s="7">
        <f>0</f>
        <v>0</v>
      </c>
      <c r="DC2388" s="5" t="s">
        <v>309</v>
      </c>
      <c r="DD2388" s="5" t="s">
        <v>240</v>
      </c>
      <c r="DF2388" s="5" t="s">
        <v>309</v>
      </c>
      <c r="DG2388" s="7">
        <f>720</f>
        <v>720</v>
      </c>
      <c r="DI2388" s="5" t="s">
        <v>240</v>
      </c>
      <c r="DJ2388" s="5" t="s">
        <v>240</v>
      </c>
      <c r="DK2388" s="5" t="s">
        <v>240</v>
      </c>
      <c r="DL2388" s="5" t="s">
        <v>240</v>
      </c>
      <c r="DP2388" s="5" t="s">
        <v>240</v>
      </c>
      <c r="DQ2388" s="5" t="s">
        <v>240</v>
      </c>
      <c r="DR2388" s="5" t="s">
        <v>240</v>
      </c>
      <c r="DS2388" s="5" t="s">
        <v>240</v>
      </c>
      <c r="DV2388" s="5" t="s">
        <v>310</v>
      </c>
      <c r="DW2388" s="5" t="s">
        <v>2829</v>
      </c>
      <c r="HO2388" s="5" t="s">
        <v>312</v>
      </c>
    </row>
    <row r="2389" spans="1:223" x14ac:dyDescent="0.4">
      <c r="A2389" s="5">
        <v>4093</v>
      </c>
      <c r="B2389" s="5">
        <v>1</v>
      </c>
      <c r="C2389" s="5">
        <v>1</v>
      </c>
      <c r="D2389" s="5" t="s">
        <v>810</v>
      </c>
      <c r="E2389" s="5" t="s">
        <v>245</v>
      </c>
      <c r="F2389" s="5" t="s">
        <v>254</v>
      </c>
      <c r="G2389" s="5" t="s">
        <v>240</v>
      </c>
      <c r="H2389" s="6" t="s">
        <v>3768</v>
      </c>
      <c r="I2389" s="5" t="s">
        <v>809</v>
      </c>
      <c r="J2389" s="8">
        <f>3242</f>
        <v>3242</v>
      </c>
      <c r="K2389" s="5" t="s">
        <v>308</v>
      </c>
      <c r="L2389" s="7">
        <f>1</f>
        <v>1</v>
      </c>
      <c r="M2389" s="7">
        <f>1</f>
        <v>1</v>
      </c>
      <c r="N2389" s="5" t="s">
        <v>242</v>
      </c>
      <c r="O2389" s="5">
        <v>1</v>
      </c>
      <c r="P2389" s="5" t="s">
        <v>294</v>
      </c>
      <c r="Q2389" s="5" t="s">
        <v>266</v>
      </c>
      <c r="R2389" s="5" t="s">
        <v>240</v>
      </c>
      <c r="S2389" s="5" t="s">
        <v>240</v>
      </c>
      <c r="T2389" s="5" t="s">
        <v>296</v>
      </c>
      <c r="U2389" s="5" t="s">
        <v>244</v>
      </c>
      <c r="V2389" s="5" t="s">
        <v>240</v>
      </c>
      <c r="Y2389" s="5" t="s">
        <v>240</v>
      </c>
      <c r="Z2389" s="6" t="s">
        <v>298</v>
      </c>
      <c r="AB2389" s="6" t="s">
        <v>240</v>
      </c>
      <c r="AE2389" s="6" t="s">
        <v>299</v>
      </c>
      <c r="AF2389" s="5" t="s">
        <v>248</v>
      </c>
      <c r="AG2389" s="5" t="s">
        <v>249</v>
      </c>
      <c r="AW2389" s="5" t="s">
        <v>251</v>
      </c>
      <c r="AX2389" s="5" t="s">
        <v>240</v>
      </c>
      <c r="AY2389" s="5" t="s">
        <v>253</v>
      </c>
      <c r="AZ2389" s="5" t="s">
        <v>240</v>
      </c>
      <c r="BA2389" s="5" t="s">
        <v>255</v>
      </c>
      <c r="BB2389" s="5" t="s">
        <v>240</v>
      </c>
      <c r="BD2389" s="5" t="s">
        <v>240</v>
      </c>
      <c r="BF2389" s="5" t="s">
        <v>301</v>
      </c>
      <c r="BG2389" s="6" t="s">
        <v>299</v>
      </c>
      <c r="BH2389" s="5" t="s">
        <v>302</v>
      </c>
      <c r="BI2389" s="5" t="s">
        <v>303</v>
      </c>
      <c r="BJ2389" s="5" t="s">
        <v>240</v>
      </c>
      <c r="BK2389" s="8">
        <f>0</f>
        <v>0</v>
      </c>
      <c r="BL2389" s="7">
        <f>0</f>
        <v>0</v>
      </c>
      <c r="BM2389" s="5" t="s">
        <v>258</v>
      </c>
      <c r="BN2389" s="5" t="s">
        <v>259</v>
      </c>
      <c r="CB2389" s="5" t="s">
        <v>240</v>
      </c>
      <c r="CC2389" s="5" t="s">
        <v>240</v>
      </c>
      <c r="CG2389" s="5" t="s">
        <v>304</v>
      </c>
      <c r="CH2389" s="5" t="s">
        <v>305</v>
      </c>
      <c r="CI2389" s="5" t="s">
        <v>240</v>
      </c>
      <c r="CL2389" s="6" t="s">
        <v>261</v>
      </c>
      <c r="CM2389" s="5" t="s">
        <v>240</v>
      </c>
      <c r="CN2389" s="5" t="s">
        <v>263</v>
      </c>
      <c r="CO2389" s="5" t="s">
        <v>240</v>
      </c>
      <c r="CP2389" s="5" t="s">
        <v>240</v>
      </c>
      <c r="CQ2389" s="5">
        <v>0</v>
      </c>
      <c r="CR2389" s="5" t="s">
        <v>306</v>
      </c>
      <c r="CS2389" s="5" t="s">
        <v>307</v>
      </c>
      <c r="CT2389" s="5" t="s">
        <v>307</v>
      </c>
      <c r="CU2389" s="5" t="s">
        <v>260</v>
      </c>
      <c r="CX2389" s="7">
        <f>1</f>
        <v>1</v>
      </c>
      <c r="CY2389" s="7">
        <f>0</f>
        <v>0</v>
      </c>
      <c r="DA2389" s="7">
        <f>0</f>
        <v>0</v>
      </c>
      <c r="DC2389" s="5" t="s">
        <v>309</v>
      </c>
      <c r="DD2389" s="5" t="s">
        <v>240</v>
      </c>
      <c r="DF2389" s="5" t="s">
        <v>309</v>
      </c>
      <c r="DG2389" s="7">
        <f>1257</f>
        <v>1257</v>
      </c>
      <c r="DI2389" s="5" t="s">
        <v>240</v>
      </c>
      <c r="DJ2389" s="5" t="s">
        <v>240</v>
      </c>
      <c r="DK2389" s="5" t="s">
        <v>240</v>
      </c>
      <c r="DL2389" s="5" t="s">
        <v>240</v>
      </c>
      <c r="DP2389" s="5" t="s">
        <v>240</v>
      </c>
      <c r="DQ2389" s="5" t="s">
        <v>240</v>
      </c>
      <c r="DR2389" s="5" t="s">
        <v>240</v>
      </c>
      <c r="DS2389" s="5" t="s">
        <v>240</v>
      </c>
      <c r="DV2389" s="5" t="s">
        <v>310</v>
      </c>
      <c r="DW2389" s="5" t="s">
        <v>2831</v>
      </c>
      <c r="HO2389" s="5" t="s">
        <v>312</v>
      </c>
    </row>
    <row r="2390" spans="1:223" x14ac:dyDescent="0.4">
      <c r="A2390" s="5">
        <v>4094</v>
      </c>
      <c r="B2390" s="5">
        <v>1</v>
      </c>
      <c r="C2390" s="5">
        <v>1</v>
      </c>
      <c r="D2390" s="5" t="s">
        <v>810</v>
      </c>
      <c r="E2390" s="5" t="s">
        <v>245</v>
      </c>
      <c r="F2390" s="5" t="s">
        <v>254</v>
      </c>
      <c r="G2390" s="5" t="s">
        <v>240</v>
      </c>
      <c r="H2390" s="6" t="s">
        <v>3767</v>
      </c>
      <c r="I2390" s="5" t="s">
        <v>809</v>
      </c>
      <c r="J2390" s="8">
        <f>1031</f>
        <v>1031</v>
      </c>
      <c r="K2390" s="5" t="s">
        <v>308</v>
      </c>
      <c r="L2390" s="7">
        <f>1</f>
        <v>1</v>
      </c>
      <c r="M2390" s="7">
        <f>1</f>
        <v>1</v>
      </c>
      <c r="N2390" s="5" t="s">
        <v>242</v>
      </c>
      <c r="O2390" s="5">
        <v>1</v>
      </c>
      <c r="P2390" s="5" t="s">
        <v>294</v>
      </c>
      <c r="Q2390" s="5" t="s">
        <v>613</v>
      </c>
      <c r="R2390" s="5" t="s">
        <v>240</v>
      </c>
      <c r="S2390" s="5" t="s">
        <v>240</v>
      </c>
      <c r="T2390" s="5" t="s">
        <v>243</v>
      </c>
      <c r="U2390" s="5" t="s">
        <v>244</v>
      </c>
      <c r="V2390" s="5" t="s">
        <v>240</v>
      </c>
      <c r="Y2390" s="5" t="s">
        <v>240</v>
      </c>
      <c r="Z2390" s="6" t="s">
        <v>298</v>
      </c>
      <c r="AB2390" s="6" t="s">
        <v>240</v>
      </c>
      <c r="AE2390" s="6" t="s">
        <v>299</v>
      </c>
      <c r="AF2390" s="5" t="s">
        <v>248</v>
      </c>
      <c r="AG2390" s="5" t="s">
        <v>249</v>
      </c>
      <c r="AW2390" s="5" t="s">
        <v>251</v>
      </c>
      <c r="AX2390" s="5" t="s">
        <v>240</v>
      </c>
      <c r="AY2390" s="5" t="s">
        <v>253</v>
      </c>
      <c r="AZ2390" s="5" t="s">
        <v>240</v>
      </c>
      <c r="BA2390" s="5" t="s">
        <v>255</v>
      </c>
      <c r="BB2390" s="5" t="s">
        <v>240</v>
      </c>
      <c r="BD2390" s="5" t="s">
        <v>240</v>
      </c>
      <c r="BF2390" s="5" t="s">
        <v>301</v>
      </c>
      <c r="BG2390" s="6" t="s">
        <v>299</v>
      </c>
      <c r="BH2390" s="5" t="s">
        <v>302</v>
      </c>
      <c r="BI2390" s="5" t="s">
        <v>303</v>
      </c>
      <c r="BJ2390" s="5" t="s">
        <v>240</v>
      </c>
      <c r="BK2390" s="8">
        <f>0</f>
        <v>0</v>
      </c>
      <c r="BL2390" s="7">
        <f>0</f>
        <v>0</v>
      </c>
      <c r="BM2390" s="5" t="s">
        <v>258</v>
      </c>
      <c r="BN2390" s="5" t="s">
        <v>259</v>
      </c>
      <c r="CB2390" s="5" t="s">
        <v>240</v>
      </c>
      <c r="CC2390" s="5" t="s">
        <v>240</v>
      </c>
      <c r="CG2390" s="5" t="s">
        <v>617</v>
      </c>
      <c r="CH2390" s="5" t="s">
        <v>305</v>
      </c>
      <c r="CI2390" s="5" t="s">
        <v>240</v>
      </c>
      <c r="CL2390" s="6" t="s">
        <v>261</v>
      </c>
      <c r="CM2390" s="5" t="s">
        <v>240</v>
      </c>
      <c r="CN2390" s="5" t="s">
        <v>263</v>
      </c>
      <c r="CO2390" s="5" t="s">
        <v>240</v>
      </c>
      <c r="CP2390" s="5" t="s">
        <v>240</v>
      </c>
      <c r="CQ2390" s="5">
        <v>0</v>
      </c>
      <c r="CR2390" s="5" t="s">
        <v>306</v>
      </c>
      <c r="CS2390" s="5" t="s">
        <v>307</v>
      </c>
      <c r="CT2390" s="5" t="s">
        <v>307</v>
      </c>
      <c r="CU2390" s="5" t="s">
        <v>260</v>
      </c>
      <c r="CX2390" s="7">
        <f>912580</f>
        <v>912580</v>
      </c>
      <c r="CY2390" s="7">
        <f>0</f>
        <v>0</v>
      </c>
      <c r="DA2390" s="7">
        <f>0</f>
        <v>0</v>
      </c>
      <c r="DC2390" s="5" t="s">
        <v>689</v>
      </c>
      <c r="DD2390" s="5" t="s">
        <v>240</v>
      </c>
      <c r="DF2390" s="5" t="s">
        <v>450</v>
      </c>
      <c r="DG2390" s="7">
        <f>0</f>
        <v>0</v>
      </c>
      <c r="DI2390" s="5" t="s">
        <v>618</v>
      </c>
      <c r="DJ2390" s="5" t="s">
        <v>240</v>
      </c>
      <c r="DK2390" s="5" t="s">
        <v>240</v>
      </c>
      <c r="DL2390" s="5" t="s">
        <v>240</v>
      </c>
      <c r="DP2390" s="5" t="s">
        <v>240</v>
      </c>
      <c r="DQ2390" s="5" t="s">
        <v>240</v>
      </c>
      <c r="DR2390" s="5" t="s">
        <v>240</v>
      </c>
      <c r="DS2390" s="5" t="s">
        <v>240</v>
      </c>
      <c r="DV2390" s="5" t="s">
        <v>2011</v>
      </c>
      <c r="DW2390" s="5" t="s">
        <v>621</v>
      </c>
      <c r="HO2390" s="5" t="s">
        <v>312</v>
      </c>
    </row>
    <row r="2391" spans="1:223" x14ac:dyDescent="0.4">
      <c r="A2391" s="5">
        <v>4095</v>
      </c>
      <c r="B2391" s="5">
        <v>1</v>
      </c>
      <c r="C2391" s="5">
        <v>1</v>
      </c>
      <c r="D2391" s="5" t="s">
        <v>810</v>
      </c>
      <c r="E2391" s="5" t="s">
        <v>245</v>
      </c>
      <c r="F2391" s="5" t="s">
        <v>254</v>
      </c>
      <c r="G2391" s="5" t="s">
        <v>240</v>
      </c>
      <c r="H2391" s="6" t="s">
        <v>3765</v>
      </c>
      <c r="I2391" s="5" t="s">
        <v>809</v>
      </c>
      <c r="J2391" s="8">
        <f>2164</f>
        <v>2164</v>
      </c>
      <c r="K2391" s="5" t="s">
        <v>308</v>
      </c>
      <c r="L2391" s="7">
        <f>1</f>
        <v>1</v>
      </c>
      <c r="M2391" s="7">
        <f>1</f>
        <v>1</v>
      </c>
      <c r="N2391" s="5" t="s">
        <v>242</v>
      </c>
      <c r="O2391" s="5">
        <v>1</v>
      </c>
      <c r="P2391" s="5" t="s">
        <v>294</v>
      </c>
      <c r="Q2391" s="5" t="s">
        <v>266</v>
      </c>
      <c r="R2391" s="5" t="s">
        <v>240</v>
      </c>
      <c r="S2391" s="5" t="s">
        <v>240</v>
      </c>
      <c r="T2391" s="5" t="s">
        <v>296</v>
      </c>
      <c r="U2391" s="5" t="s">
        <v>244</v>
      </c>
      <c r="V2391" s="5" t="s">
        <v>240</v>
      </c>
      <c r="Y2391" s="5" t="s">
        <v>240</v>
      </c>
      <c r="Z2391" s="6" t="s">
        <v>298</v>
      </c>
      <c r="AB2391" s="6" t="s">
        <v>240</v>
      </c>
      <c r="AE2391" s="6" t="s">
        <v>299</v>
      </c>
      <c r="AF2391" s="5" t="s">
        <v>248</v>
      </c>
      <c r="AG2391" s="5" t="s">
        <v>249</v>
      </c>
      <c r="AW2391" s="5" t="s">
        <v>251</v>
      </c>
      <c r="AX2391" s="5" t="s">
        <v>240</v>
      </c>
      <c r="AY2391" s="5" t="s">
        <v>253</v>
      </c>
      <c r="AZ2391" s="5" t="s">
        <v>240</v>
      </c>
      <c r="BA2391" s="5" t="s">
        <v>255</v>
      </c>
      <c r="BB2391" s="5" t="s">
        <v>240</v>
      </c>
      <c r="BD2391" s="5" t="s">
        <v>240</v>
      </c>
      <c r="BF2391" s="5" t="s">
        <v>301</v>
      </c>
      <c r="BG2391" s="6" t="s">
        <v>299</v>
      </c>
      <c r="BH2391" s="5" t="s">
        <v>302</v>
      </c>
      <c r="BI2391" s="5" t="s">
        <v>303</v>
      </c>
      <c r="BJ2391" s="5" t="s">
        <v>240</v>
      </c>
      <c r="BK2391" s="8">
        <f>0</f>
        <v>0</v>
      </c>
      <c r="BL2391" s="7">
        <f>0</f>
        <v>0</v>
      </c>
      <c r="BM2391" s="5" t="s">
        <v>258</v>
      </c>
      <c r="BN2391" s="5" t="s">
        <v>259</v>
      </c>
      <c r="CB2391" s="5" t="s">
        <v>240</v>
      </c>
      <c r="CC2391" s="5" t="s">
        <v>240</v>
      </c>
      <c r="CG2391" s="5" t="s">
        <v>304</v>
      </c>
      <c r="CH2391" s="5" t="s">
        <v>305</v>
      </c>
      <c r="CI2391" s="5" t="s">
        <v>240</v>
      </c>
      <c r="CL2391" s="6" t="s">
        <v>261</v>
      </c>
      <c r="CM2391" s="5" t="s">
        <v>240</v>
      </c>
      <c r="CN2391" s="5" t="s">
        <v>263</v>
      </c>
      <c r="CO2391" s="5" t="s">
        <v>240</v>
      </c>
      <c r="CP2391" s="5" t="s">
        <v>240</v>
      </c>
      <c r="CQ2391" s="5">
        <v>0</v>
      </c>
      <c r="CR2391" s="5" t="s">
        <v>306</v>
      </c>
      <c r="CS2391" s="5" t="s">
        <v>307</v>
      </c>
      <c r="CT2391" s="5" t="s">
        <v>307</v>
      </c>
      <c r="CU2391" s="5" t="s">
        <v>260</v>
      </c>
      <c r="CX2391" s="7">
        <f>1</f>
        <v>1</v>
      </c>
      <c r="CY2391" s="7">
        <f>0</f>
        <v>0</v>
      </c>
      <c r="DA2391" s="7">
        <f>0</f>
        <v>0</v>
      </c>
      <c r="DC2391" s="5" t="s">
        <v>309</v>
      </c>
      <c r="DD2391" s="5" t="s">
        <v>240</v>
      </c>
      <c r="DF2391" s="5" t="s">
        <v>309</v>
      </c>
      <c r="DG2391" s="7">
        <f>117</f>
        <v>117</v>
      </c>
      <c r="DI2391" s="5" t="s">
        <v>240</v>
      </c>
      <c r="DJ2391" s="5" t="s">
        <v>240</v>
      </c>
      <c r="DK2391" s="5" t="s">
        <v>240</v>
      </c>
      <c r="DL2391" s="5" t="s">
        <v>240</v>
      </c>
      <c r="DP2391" s="5" t="s">
        <v>240</v>
      </c>
      <c r="DQ2391" s="5" t="s">
        <v>240</v>
      </c>
      <c r="DR2391" s="5" t="s">
        <v>240</v>
      </c>
      <c r="DS2391" s="5" t="s">
        <v>240</v>
      </c>
      <c r="DV2391" s="5" t="s">
        <v>310</v>
      </c>
      <c r="DW2391" s="5" t="s">
        <v>2835</v>
      </c>
      <c r="HO2391" s="5" t="s">
        <v>312</v>
      </c>
    </row>
    <row r="2392" spans="1:223" x14ac:dyDescent="0.4">
      <c r="A2392" s="5">
        <v>4096</v>
      </c>
      <c r="B2392" s="5">
        <v>1</v>
      </c>
      <c r="C2392" s="5">
        <v>1</v>
      </c>
      <c r="D2392" s="5" t="s">
        <v>810</v>
      </c>
      <c r="E2392" s="5" t="s">
        <v>245</v>
      </c>
      <c r="F2392" s="5" t="s">
        <v>254</v>
      </c>
      <c r="G2392" s="5" t="s">
        <v>240</v>
      </c>
      <c r="H2392" s="6" t="s">
        <v>3763</v>
      </c>
      <c r="I2392" s="5" t="s">
        <v>809</v>
      </c>
      <c r="J2392" s="8">
        <f>784</f>
        <v>784</v>
      </c>
      <c r="K2392" s="5" t="s">
        <v>308</v>
      </c>
      <c r="L2392" s="7">
        <f>1</f>
        <v>1</v>
      </c>
      <c r="M2392" s="7">
        <f>1</f>
        <v>1</v>
      </c>
      <c r="N2392" s="5" t="s">
        <v>242</v>
      </c>
      <c r="O2392" s="5">
        <v>1</v>
      </c>
      <c r="P2392" s="5" t="s">
        <v>294</v>
      </c>
      <c r="Q2392" s="5" t="s">
        <v>266</v>
      </c>
      <c r="R2392" s="5" t="s">
        <v>240</v>
      </c>
      <c r="S2392" s="5" t="s">
        <v>240</v>
      </c>
      <c r="T2392" s="5" t="s">
        <v>296</v>
      </c>
      <c r="U2392" s="5" t="s">
        <v>244</v>
      </c>
      <c r="V2392" s="5" t="s">
        <v>240</v>
      </c>
      <c r="Y2392" s="5" t="s">
        <v>240</v>
      </c>
      <c r="Z2392" s="6" t="s">
        <v>298</v>
      </c>
      <c r="AB2392" s="6" t="s">
        <v>240</v>
      </c>
      <c r="AE2392" s="6" t="s">
        <v>299</v>
      </c>
      <c r="AF2392" s="5" t="s">
        <v>248</v>
      </c>
      <c r="AG2392" s="5" t="s">
        <v>249</v>
      </c>
      <c r="AW2392" s="5" t="s">
        <v>251</v>
      </c>
      <c r="AX2392" s="5" t="s">
        <v>240</v>
      </c>
      <c r="AY2392" s="5" t="s">
        <v>253</v>
      </c>
      <c r="AZ2392" s="5" t="s">
        <v>240</v>
      </c>
      <c r="BA2392" s="5" t="s">
        <v>255</v>
      </c>
      <c r="BB2392" s="5" t="s">
        <v>240</v>
      </c>
      <c r="BD2392" s="5" t="s">
        <v>240</v>
      </c>
      <c r="BF2392" s="5" t="s">
        <v>301</v>
      </c>
      <c r="BG2392" s="6" t="s">
        <v>299</v>
      </c>
      <c r="BH2392" s="5" t="s">
        <v>302</v>
      </c>
      <c r="BI2392" s="5" t="s">
        <v>303</v>
      </c>
      <c r="BJ2392" s="5" t="s">
        <v>240</v>
      </c>
      <c r="BK2392" s="8">
        <f>0</f>
        <v>0</v>
      </c>
      <c r="BL2392" s="7">
        <f>0</f>
        <v>0</v>
      </c>
      <c r="BM2392" s="5" t="s">
        <v>258</v>
      </c>
      <c r="BN2392" s="5" t="s">
        <v>259</v>
      </c>
      <c r="CB2392" s="5" t="s">
        <v>240</v>
      </c>
      <c r="CC2392" s="5" t="s">
        <v>240</v>
      </c>
      <c r="CG2392" s="5" t="s">
        <v>304</v>
      </c>
      <c r="CH2392" s="5" t="s">
        <v>305</v>
      </c>
      <c r="CI2392" s="5" t="s">
        <v>240</v>
      </c>
      <c r="CL2392" s="6" t="s">
        <v>261</v>
      </c>
      <c r="CM2392" s="5" t="s">
        <v>240</v>
      </c>
      <c r="CN2392" s="5" t="s">
        <v>263</v>
      </c>
      <c r="CO2392" s="5" t="s">
        <v>240</v>
      </c>
      <c r="CP2392" s="5" t="s">
        <v>240</v>
      </c>
      <c r="CQ2392" s="5">
        <v>0</v>
      </c>
      <c r="CR2392" s="5" t="s">
        <v>306</v>
      </c>
      <c r="CS2392" s="5" t="s">
        <v>307</v>
      </c>
      <c r="CT2392" s="5" t="s">
        <v>307</v>
      </c>
      <c r="CU2392" s="5" t="s">
        <v>260</v>
      </c>
      <c r="CX2392" s="7">
        <f>1</f>
        <v>1</v>
      </c>
      <c r="CY2392" s="7">
        <f>0</f>
        <v>0</v>
      </c>
      <c r="DA2392" s="7">
        <f>0</f>
        <v>0</v>
      </c>
      <c r="DC2392" s="5" t="s">
        <v>309</v>
      </c>
      <c r="DD2392" s="5" t="s">
        <v>240</v>
      </c>
      <c r="DF2392" s="5" t="s">
        <v>309</v>
      </c>
      <c r="DG2392" s="7">
        <f>1884</f>
        <v>1884</v>
      </c>
      <c r="DI2392" s="5" t="s">
        <v>240</v>
      </c>
      <c r="DJ2392" s="5" t="s">
        <v>240</v>
      </c>
      <c r="DK2392" s="5" t="s">
        <v>240</v>
      </c>
      <c r="DL2392" s="5" t="s">
        <v>240</v>
      </c>
      <c r="DP2392" s="5" t="s">
        <v>240</v>
      </c>
      <c r="DQ2392" s="5" t="s">
        <v>240</v>
      </c>
      <c r="DR2392" s="5" t="s">
        <v>240</v>
      </c>
      <c r="DS2392" s="5" t="s">
        <v>240</v>
      </c>
      <c r="DV2392" s="5" t="s">
        <v>310</v>
      </c>
      <c r="DW2392" s="5" t="s">
        <v>2837</v>
      </c>
      <c r="HO2392" s="5" t="s">
        <v>312</v>
      </c>
    </row>
    <row r="2393" spans="1:223" x14ac:dyDescent="0.4">
      <c r="A2393" s="5">
        <v>4097</v>
      </c>
      <c r="B2393" s="5">
        <v>1</v>
      </c>
      <c r="C2393" s="5">
        <v>1</v>
      </c>
      <c r="D2393" s="5" t="s">
        <v>810</v>
      </c>
      <c r="E2393" s="5" t="s">
        <v>245</v>
      </c>
      <c r="F2393" s="5" t="s">
        <v>254</v>
      </c>
      <c r="G2393" s="5" t="s">
        <v>240</v>
      </c>
      <c r="H2393" s="6" t="s">
        <v>3936</v>
      </c>
      <c r="I2393" s="5" t="s">
        <v>809</v>
      </c>
      <c r="J2393" s="8">
        <f>398</f>
        <v>398</v>
      </c>
      <c r="K2393" s="5" t="s">
        <v>308</v>
      </c>
      <c r="L2393" s="7">
        <f>1</f>
        <v>1</v>
      </c>
      <c r="M2393" s="7">
        <f>1</f>
        <v>1</v>
      </c>
      <c r="N2393" s="5" t="s">
        <v>242</v>
      </c>
      <c r="O2393" s="5">
        <v>1</v>
      </c>
      <c r="P2393" s="5" t="s">
        <v>294</v>
      </c>
      <c r="Q2393" s="5" t="s">
        <v>266</v>
      </c>
      <c r="R2393" s="5" t="s">
        <v>240</v>
      </c>
      <c r="S2393" s="5" t="s">
        <v>240</v>
      </c>
      <c r="T2393" s="5" t="s">
        <v>296</v>
      </c>
      <c r="U2393" s="5" t="s">
        <v>244</v>
      </c>
      <c r="V2393" s="5" t="s">
        <v>240</v>
      </c>
      <c r="Y2393" s="5" t="s">
        <v>240</v>
      </c>
      <c r="Z2393" s="6" t="s">
        <v>298</v>
      </c>
      <c r="AB2393" s="6" t="s">
        <v>240</v>
      </c>
      <c r="AE2393" s="6" t="s">
        <v>299</v>
      </c>
      <c r="AF2393" s="5" t="s">
        <v>248</v>
      </c>
      <c r="AG2393" s="5" t="s">
        <v>249</v>
      </c>
      <c r="AW2393" s="5" t="s">
        <v>251</v>
      </c>
      <c r="AX2393" s="5" t="s">
        <v>240</v>
      </c>
      <c r="AY2393" s="5" t="s">
        <v>253</v>
      </c>
      <c r="AZ2393" s="5" t="s">
        <v>240</v>
      </c>
      <c r="BA2393" s="5" t="s">
        <v>255</v>
      </c>
      <c r="BB2393" s="5" t="s">
        <v>240</v>
      </c>
      <c r="BD2393" s="5" t="s">
        <v>240</v>
      </c>
      <c r="BF2393" s="5" t="s">
        <v>301</v>
      </c>
      <c r="BG2393" s="6" t="s">
        <v>299</v>
      </c>
      <c r="BH2393" s="5" t="s">
        <v>302</v>
      </c>
      <c r="BI2393" s="5" t="s">
        <v>303</v>
      </c>
      <c r="BJ2393" s="5" t="s">
        <v>240</v>
      </c>
      <c r="BK2393" s="8">
        <f>0</f>
        <v>0</v>
      </c>
      <c r="BL2393" s="7">
        <f>0</f>
        <v>0</v>
      </c>
      <c r="BM2393" s="5" t="s">
        <v>258</v>
      </c>
      <c r="BN2393" s="5" t="s">
        <v>259</v>
      </c>
      <c r="CB2393" s="5" t="s">
        <v>240</v>
      </c>
      <c r="CC2393" s="5" t="s">
        <v>240</v>
      </c>
      <c r="CG2393" s="5" t="s">
        <v>304</v>
      </c>
      <c r="CH2393" s="5" t="s">
        <v>305</v>
      </c>
      <c r="CI2393" s="5" t="s">
        <v>240</v>
      </c>
      <c r="CL2393" s="6" t="s">
        <v>261</v>
      </c>
      <c r="CM2393" s="5" t="s">
        <v>240</v>
      </c>
      <c r="CN2393" s="5" t="s">
        <v>263</v>
      </c>
      <c r="CO2393" s="5" t="s">
        <v>240</v>
      </c>
      <c r="CP2393" s="5" t="s">
        <v>240</v>
      </c>
      <c r="CQ2393" s="5">
        <v>0</v>
      </c>
      <c r="CR2393" s="5" t="s">
        <v>306</v>
      </c>
      <c r="CS2393" s="5" t="s">
        <v>307</v>
      </c>
      <c r="CT2393" s="5" t="s">
        <v>307</v>
      </c>
      <c r="CU2393" s="5" t="s">
        <v>260</v>
      </c>
      <c r="CX2393" s="7">
        <f>1</f>
        <v>1</v>
      </c>
      <c r="CY2393" s="7">
        <f>0</f>
        <v>0</v>
      </c>
      <c r="DA2393" s="7">
        <f>0</f>
        <v>0</v>
      </c>
      <c r="DC2393" s="5" t="s">
        <v>309</v>
      </c>
      <c r="DD2393" s="5" t="s">
        <v>240</v>
      </c>
      <c r="DF2393" s="5" t="s">
        <v>309</v>
      </c>
      <c r="DG2393" s="7">
        <f>1493</f>
        <v>1493</v>
      </c>
      <c r="DI2393" s="5" t="s">
        <v>240</v>
      </c>
      <c r="DJ2393" s="5" t="s">
        <v>240</v>
      </c>
      <c r="DK2393" s="5" t="s">
        <v>240</v>
      </c>
      <c r="DL2393" s="5" t="s">
        <v>240</v>
      </c>
      <c r="DP2393" s="5" t="s">
        <v>240</v>
      </c>
      <c r="DQ2393" s="5" t="s">
        <v>240</v>
      </c>
      <c r="DR2393" s="5" t="s">
        <v>240</v>
      </c>
      <c r="DS2393" s="5" t="s">
        <v>240</v>
      </c>
      <c r="DV2393" s="5" t="s">
        <v>310</v>
      </c>
      <c r="DW2393" s="5" t="s">
        <v>2839</v>
      </c>
      <c r="HO2393" s="5" t="s">
        <v>312</v>
      </c>
    </row>
    <row r="2394" spans="1:223" x14ac:dyDescent="0.4">
      <c r="A2394" s="5">
        <v>4098</v>
      </c>
      <c r="B2394" s="5">
        <v>1</v>
      </c>
      <c r="C2394" s="5">
        <v>1</v>
      </c>
      <c r="D2394" s="5" t="s">
        <v>810</v>
      </c>
      <c r="E2394" s="5" t="s">
        <v>245</v>
      </c>
      <c r="F2394" s="5" t="s">
        <v>254</v>
      </c>
      <c r="G2394" s="5" t="s">
        <v>240</v>
      </c>
      <c r="H2394" s="6" t="s">
        <v>3759</v>
      </c>
      <c r="I2394" s="5" t="s">
        <v>809</v>
      </c>
      <c r="J2394" s="8">
        <f>222</f>
        <v>222</v>
      </c>
      <c r="K2394" s="5" t="s">
        <v>308</v>
      </c>
      <c r="L2394" s="7">
        <f>1</f>
        <v>1</v>
      </c>
      <c r="M2394" s="7">
        <f>1</f>
        <v>1</v>
      </c>
      <c r="N2394" s="5" t="s">
        <v>242</v>
      </c>
      <c r="O2394" s="5">
        <v>1</v>
      </c>
      <c r="P2394" s="5" t="s">
        <v>294</v>
      </c>
      <c r="Q2394" s="5" t="s">
        <v>266</v>
      </c>
      <c r="R2394" s="5" t="s">
        <v>240</v>
      </c>
      <c r="S2394" s="5" t="s">
        <v>240</v>
      </c>
      <c r="T2394" s="5" t="s">
        <v>296</v>
      </c>
      <c r="U2394" s="5" t="s">
        <v>244</v>
      </c>
      <c r="V2394" s="5" t="s">
        <v>240</v>
      </c>
      <c r="Y2394" s="5" t="s">
        <v>240</v>
      </c>
      <c r="Z2394" s="6" t="s">
        <v>298</v>
      </c>
      <c r="AB2394" s="6" t="s">
        <v>240</v>
      </c>
      <c r="AE2394" s="6" t="s">
        <v>299</v>
      </c>
      <c r="AF2394" s="5" t="s">
        <v>248</v>
      </c>
      <c r="AG2394" s="5" t="s">
        <v>249</v>
      </c>
      <c r="AW2394" s="5" t="s">
        <v>251</v>
      </c>
      <c r="AX2394" s="5" t="s">
        <v>240</v>
      </c>
      <c r="AY2394" s="5" t="s">
        <v>253</v>
      </c>
      <c r="AZ2394" s="5" t="s">
        <v>240</v>
      </c>
      <c r="BA2394" s="5" t="s">
        <v>255</v>
      </c>
      <c r="BB2394" s="5" t="s">
        <v>240</v>
      </c>
      <c r="BD2394" s="5" t="s">
        <v>240</v>
      </c>
      <c r="BF2394" s="5" t="s">
        <v>301</v>
      </c>
      <c r="BG2394" s="6" t="s">
        <v>299</v>
      </c>
      <c r="BH2394" s="5" t="s">
        <v>302</v>
      </c>
      <c r="BI2394" s="5" t="s">
        <v>303</v>
      </c>
      <c r="BJ2394" s="5" t="s">
        <v>240</v>
      </c>
      <c r="BK2394" s="8">
        <f>0</f>
        <v>0</v>
      </c>
      <c r="BL2394" s="7">
        <f>0</f>
        <v>0</v>
      </c>
      <c r="BM2394" s="5" t="s">
        <v>258</v>
      </c>
      <c r="BN2394" s="5" t="s">
        <v>259</v>
      </c>
      <c r="CB2394" s="5" t="s">
        <v>240</v>
      </c>
      <c r="CC2394" s="5" t="s">
        <v>240</v>
      </c>
      <c r="CG2394" s="5" t="s">
        <v>304</v>
      </c>
      <c r="CH2394" s="5" t="s">
        <v>305</v>
      </c>
      <c r="CI2394" s="5" t="s">
        <v>240</v>
      </c>
      <c r="CL2394" s="6" t="s">
        <v>261</v>
      </c>
      <c r="CM2394" s="5" t="s">
        <v>240</v>
      </c>
      <c r="CN2394" s="5" t="s">
        <v>263</v>
      </c>
      <c r="CO2394" s="5" t="s">
        <v>240</v>
      </c>
      <c r="CP2394" s="5" t="s">
        <v>240</v>
      </c>
      <c r="CQ2394" s="5">
        <v>0</v>
      </c>
      <c r="CR2394" s="5" t="s">
        <v>306</v>
      </c>
      <c r="CS2394" s="5" t="s">
        <v>307</v>
      </c>
      <c r="CT2394" s="5" t="s">
        <v>307</v>
      </c>
      <c r="CU2394" s="5" t="s">
        <v>260</v>
      </c>
      <c r="CX2394" s="7">
        <f>1</f>
        <v>1</v>
      </c>
      <c r="CY2394" s="7">
        <f>0</f>
        <v>0</v>
      </c>
      <c r="DA2394" s="7">
        <f>0</f>
        <v>0</v>
      </c>
      <c r="DC2394" s="5" t="s">
        <v>309</v>
      </c>
      <c r="DD2394" s="5" t="s">
        <v>240</v>
      </c>
      <c r="DF2394" s="5" t="s">
        <v>309</v>
      </c>
      <c r="DG2394" s="7">
        <f>2351</f>
        <v>2351</v>
      </c>
      <c r="DI2394" s="5" t="s">
        <v>240</v>
      </c>
      <c r="DJ2394" s="5" t="s">
        <v>240</v>
      </c>
      <c r="DK2394" s="5" t="s">
        <v>240</v>
      </c>
      <c r="DL2394" s="5" t="s">
        <v>240</v>
      </c>
      <c r="DP2394" s="5" t="s">
        <v>240</v>
      </c>
      <c r="DQ2394" s="5" t="s">
        <v>240</v>
      </c>
      <c r="DR2394" s="5" t="s">
        <v>240</v>
      </c>
      <c r="DS2394" s="5" t="s">
        <v>240</v>
      </c>
      <c r="DV2394" s="5" t="s">
        <v>310</v>
      </c>
      <c r="DW2394" s="5" t="s">
        <v>2841</v>
      </c>
      <c r="HO2394" s="5" t="s">
        <v>312</v>
      </c>
    </row>
    <row r="2395" spans="1:223" x14ac:dyDescent="0.4">
      <c r="A2395" s="5">
        <v>4099</v>
      </c>
      <c r="B2395" s="5">
        <v>1</v>
      </c>
      <c r="C2395" s="5">
        <v>1</v>
      </c>
      <c r="D2395" s="5" t="s">
        <v>810</v>
      </c>
      <c r="E2395" s="5" t="s">
        <v>245</v>
      </c>
      <c r="F2395" s="5" t="s">
        <v>254</v>
      </c>
      <c r="G2395" s="5" t="s">
        <v>240</v>
      </c>
      <c r="H2395" s="6" t="s">
        <v>3757</v>
      </c>
      <c r="I2395" s="5" t="s">
        <v>809</v>
      </c>
      <c r="J2395" s="8">
        <f>638</f>
        <v>638</v>
      </c>
      <c r="K2395" s="5" t="s">
        <v>308</v>
      </c>
      <c r="L2395" s="7">
        <f>1</f>
        <v>1</v>
      </c>
      <c r="M2395" s="7">
        <f>1</f>
        <v>1</v>
      </c>
      <c r="N2395" s="5" t="s">
        <v>242</v>
      </c>
      <c r="O2395" s="5">
        <v>1</v>
      </c>
      <c r="P2395" s="5" t="s">
        <v>294</v>
      </c>
      <c r="Q2395" s="5" t="s">
        <v>266</v>
      </c>
      <c r="R2395" s="5" t="s">
        <v>240</v>
      </c>
      <c r="S2395" s="5" t="s">
        <v>240</v>
      </c>
      <c r="T2395" s="5" t="s">
        <v>296</v>
      </c>
      <c r="U2395" s="5" t="s">
        <v>244</v>
      </c>
      <c r="V2395" s="5" t="s">
        <v>240</v>
      </c>
      <c r="Y2395" s="5" t="s">
        <v>240</v>
      </c>
      <c r="Z2395" s="6" t="s">
        <v>298</v>
      </c>
      <c r="AB2395" s="6" t="s">
        <v>240</v>
      </c>
      <c r="AE2395" s="6" t="s">
        <v>299</v>
      </c>
      <c r="AF2395" s="5" t="s">
        <v>248</v>
      </c>
      <c r="AG2395" s="5" t="s">
        <v>249</v>
      </c>
      <c r="AW2395" s="5" t="s">
        <v>251</v>
      </c>
      <c r="AX2395" s="5" t="s">
        <v>240</v>
      </c>
      <c r="AY2395" s="5" t="s">
        <v>253</v>
      </c>
      <c r="AZ2395" s="5" t="s">
        <v>240</v>
      </c>
      <c r="BA2395" s="5" t="s">
        <v>255</v>
      </c>
      <c r="BB2395" s="5" t="s">
        <v>240</v>
      </c>
      <c r="BD2395" s="5" t="s">
        <v>240</v>
      </c>
      <c r="BF2395" s="5" t="s">
        <v>301</v>
      </c>
      <c r="BG2395" s="6" t="s">
        <v>299</v>
      </c>
      <c r="BH2395" s="5" t="s">
        <v>302</v>
      </c>
      <c r="BI2395" s="5" t="s">
        <v>303</v>
      </c>
      <c r="BJ2395" s="5" t="s">
        <v>240</v>
      </c>
      <c r="BK2395" s="8">
        <f>0</f>
        <v>0</v>
      </c>
      <c r="BL2395" s="7">
        <f>0</f>
        <v>0</v>
      </c>
      <c r="BM2395" s="5" t="s">
        <v>258</v>
      </c>
      <c r="BN2395" s="5" t="s">
        <v>259</v>
      </c>
      <c r="CB2395" s="5" t="s">
        <v>240</v>
      </c>
      <c r="CC2395" s="5" t="s">
        <v>240</v>
      </c>
      <c r="CG2395" s="5" t="s">
        <v>304</v>
      </c>
      <c r="CH2395" s="5" t="s">
        <v>305</v>
      </c>
      <c r="CI2395" s="5" t="s">
        <v>240</v>
      </c>
      <c r="CL2395" s="6" t="s">
        <v>261</v>
      </c>
      <c r="CM2395" s="5" t="s">
        <v>240</v>
      </c>
      <c r="CN2395" s="5" t="s">
        <v>263</v>
      </c>
      <c r="CO2395" s="5" t="s">
        <v>240</v>
      </c>
      <c r="CP2395" s="5" t="s">
        <v>240</v>
      </c>
      <c r="CQ2395" s="5">
        <v>0</v>
      </c>
      <c r="CR2395" s="5" t="s">
        <v>306</v>
      </c>
      <c r="CS2395" s="5" t="s">
        <v>307</v>
      </c>
      <c r="CT2395" s="5" t="s">
        <v>307</v>
      </c>
      <c r="CU2395" s="5" t="s">
        <v>260</v>
      </c>
      <c r="CX2395" s="7">
        <f>1</f>
        <v>1</v>
      </c>
      <c r="CY2395" s="7">
        <f>0</f>
        <v>0</v>
      </c>
      <c r="DA2395" s="7">
        <f>0</f>
        <v>0</v>
      </c>
      <c r="DC2395" s="5" t="s">
        <v>309</v>
      </c>
      <c r="DD2395" s="5" t="s">
        <v>240</v>
      </c>
      <c r="DF2395" s="5" t="s">
        <v>309</v>
      </c>
      <c r="DG2395" s="7">
        <f>987</f>
        <v>987</v>
      </c>
      <c r="DI2395" s="5" t="s">
        <v>240</v>
      </c>
      <c r="DJ2395" s="5" t="s">
        <v>240</v>
      </c>
      <c r="DK2395" s="5" t="s">
        <v>240</v>
      </c>
      <c r="DL2395" s="5" t="s">
        <v>240</v>
      </c>
      <c r="DP2395" s="5" t="s">
        <v>240</v>
      </c>
      <c r="DQ2395" s="5" t="s">
        <v>240</v>
      </c>
      <c r="DR2395" s="5" t="s">
        <v>240</v>
      </c>
      <c r="DS2395" s="5" t="s">
        <v>240</v>
      </c>
      <c r="DV2395" s="5" t="s">
        <v>310</v>
      </c>
      <c r="DW2395" s="5" t="s">
        <v>2843</v>
      </c>
      <c r="HO2395" s="5" t="s">
        <v>312</v>
      </c>
    </row>
    <row r="2396" spans="1:223" x14ac:dyDescent="0.4">
      <c r="A2396" s="5">
        <v>4100</v>
      </c>
      <c r="B2396" s="5">
        <v>1</v>
      </c>
      <c r="C2396" s="5">
        <v>1</v>
      </c>
      <c r="D2396" s="5" t="s">
        <v>810</v>
      </c>
      <c r="E2396" s="5" t="s">
        <v>245</v>
      </c>
      <c r="F2396" s="5" t="s">
        <v>254</v>
      </c>
      <c r="G2396" s="5" t="s">
        <v>240</v>
      </c>
      <c r="H2396" s="6" t="s">
        <v>3755</v>
      </c>
      <c r="I2396" s="5" t="s">
        <v>809</v>
      </c>
      <c r="J2396" s="8">
        <f>1464</f>
        <v>1464</v>
      </c>
      <c r="K2396" s="5" t="s">
        <v>308</v>
      </c>
      <c r="L2396" s="7">
        <f>1</f>
        <v>1</v>
      </c>
      <c r="M2396" s="7">
        <f>1</f>
        <v>1</v>
      </c>
      <c r="N2396" s="5" t="s">
        <v>242</v>
      </c>
      <c r="O2396" s="5">
        <v>1</v>
      </c>
      <c r="P2396" s="5" t="s">
        <v>294</v>
      </c>
      <c r="Q2396" s="5" t="s">
        <v>266</v>
      </c>
      <c r="R2396" s="5" t="s">
        <v>240</v>
      </c>
      <c r="S2396" s="5" t="s">
        <v>240</v>
      </c>
      <c r="T2396" s="5" t="s">
        <v>296</v>
      </c>
      <c r="U2396" s="5" t="s">
        <v>244</v>
      </c>
      <c r="V2396" s="5" t="s">
        <v>240</v>
      </c>
      <c r="Y2396" s="5" t="s">
        <v>240</v>
      </c>
      <c r="Z2396" s="6" t="s">
        <v>298</v>
      </c>
      <c r="AB2396" s="6" t="s">
        <v>240</v>
      </c>
      <c r="AE2396" s="6" t="s">
        <v>299</v>
      </c>
      <c r="AF2396" s="5" t="s">
        <v>248</v>
      </c>
      <c r="AG2396" s="5" t="s">
        <v>249</v>
      </c>
      <c r="AW2396" s="5" t="s">
        <v>251</v>
      </c>
      <c r="AX2396" s="5" t="s">
        <v>240</v>
      </c>
      <c r="AY2396" s="5" t="s">
        <v>253</v>
      </c>
      <c r="AZ2396" s="5" t="s">
        <v>240</v>
      </c>
      <c r="BA2396" s="5" t="s">
        <v>255</v>
      </c>
      <c r="BB2396" s="5" t="s">
        <v>240</v>
      </c>
      <c r="BD2396" s="5" t="s">
        <v>240</v>
      </c>
      <c r="BF2396" s="5" t="s">
        <v>301</v>
      </c>
      <c r="BG2396" s="6" t="s">
        <v>299</v>
      </c>
      <c r="BH2396" s="5" t="s">
        <v>302</v>
      </c>
      <c r="BI2396" s="5" t="s">
        <v>303</v>
      </c>
      <c r="BJ2396" s="5" t="s">
        <v>240</v>
      </c>
      <c r="BK2396" s="8">
        <f>0</f>
        <v>0</v>
      </c>
      <c r="BL2396" s="7">
        <f>0</f>
        <v>0</v>
      </c>
      <c r="BM2396" s="5" t="s">
        <v>258</v>
      </c>
      <c r="BN2396" s="5" t="s">
        <v>259</v>
      </c>
      <c r="CB2396" s="5" t="s">
        <v>240</v>
      </c>
      <c r="CC2396" s="5" t="s">
        <v>240</v>
      </c>
      <c r="CG2396" s="5" t="s">
        <v>304</v>
      </c>
      <c r="CH2396" s="5" t="s">
        <v>305</v>
      </c>
      <c r="CI2396" s="5" t="s">
        <v>240</v>
      </c>
      <c r="CL2396" s="6" t="s">
        <v>261</v>
      </c>
      <c r="CM2396" s="5" t="s">
        <v>240</v>
      </c>
      <c r="CN2396" s="5" t="s">
        <v>263</v>
      </c>
      <c r="CO2396" s="5" t="s">
        <v>240</v>
      </c>
      <c r="CP2396" s="5" t="s">
        <v>240</v>
      </c>
      <c r="CQ2396" s="5">
        <v>0</v>
      </c>
      <c r="CR2396" s="5" t="s">
        <v>306</v>
      </c>
      <c r="CS2396" s="5" t="s">
        <v>307</v>
      </c>
      <c r="CT2396" s="5" t="s">
        <v>307</v>
      </c>
      <c r="CU2396" s="5" t="s">
        <v>260</v>
      </c>
      <c r="CX2396" s="7">
        <f>1</f>
        <v>1</v>
      </c>
      <c r="CY2396" s="7">
        <f>0</f>
        <v>0</v>
      </c>
      <c r="DA2396" s="7">
        <f>0</f>
        <v>0</v>
      </c>
      <c r="DC2396" s="5" t="s">
        <v>309</v>
      </c>
      <c r="DD2396" s="5" t="s">
        <v>240</v>
      </c>
      <c r="DF2396" s="5" t="s">
        <v>309</v>
      </c>
      <c r="DG2396" s="7">
        <f>1038</f>
        <v>1038</v>
      </c>
      <c r="DI2396" s="5" t="s">
        <v>240</v>
      </c>
      <c r="DJ2396" s="5" t="s">
        <v>240</v>
      </c>
      <c r="DK2396" s="5" t="s">
        <v>240</v>
      </c>
      <c r="DL2396" s="5" t="s">
        <v>240</v>
      </c>
      <c r="DP2396" s="5" t="s">
        <v>240</v>
      </c>
      <c r="DQ2396" s="5" t="s">
        <v>240</v>
      </c>
      <c r="DR2396" s="5" t="s">
        <v>240</v>
      </c>
      <c r="DS2396" s="5" t="s">
        <v>240</v>
      </c>
      <c r="DV2396" s="5" t="s">
        <v>310</v>
      </c>
      <c r="DW2396" s="5" t="s">
        <v>2845</v>
      </c>
      <c r="HO2396" s="5" t="s">
        <v>312</v>
      </c>
    </row>
    <row r="2397" spans="1:223" x14ac:dyDescent="0.4">
      <c r="A2397" s="5">
        <v>4101</v>
      </c>
      <c r="B2397" s="5">
        <v>1</v>
      </c>
      <c r="C2397" s="5">
        <v>1</v>
      </c>
      <c r="D2397" s="5" t="s">
        <v>810</v>
      </c>
      <c r="E2397" s="5" t="s">
        <v>245</v>
      </c>
      <c r="F2397" s="5" t="s">
        <v>254</v>
      </c>
      <c r="G2397" s="5" t="s">
        <v>240</v>
      </c>
      <c r="H2397" s="6" t="s">
        <v>3753</v>
      </c>
      <c r="I2397" s="5" t="s">
        <v>809</v>
      </c>
      <c r="J2397" s="8">
        <f>750</f>
        <v>750</v>
      </c>
      <c r="K2397" s="5" t="s">
        <v>308</v>
      </c>
      <c r="L2397" s="7">
        <f>1</f>
        <v>1</v>
      </c>
      <c r="M2397" s="7">
        <f>1</f>
        <v>1</v>
      </c>
      <c r="N2397" s="5" t="s">
        <v>242</v>
      </c>
      <c r="O2397" s="5">
        <v>1</v>
      </c>
      <c r="P2397" s="5" t="s">
        <v>294</v>
      </c>
      <c r="Q2397" s="5" t="s">
        <v>266</v>
      </c>
      <c r="R2397" s="5" t="s">
        <v>240</v>
      </c>
      <c r="S2397" s="5" t="s">
        <v>240</v>
      </c>
      <c r="T2397" s="5" t="s">
        <v>296</v>
      </c>
      <c r="U2397" s="5" t="s">
        <v>244</v>
      </c>
      <c r="V2397" s="5" t="s">
        <v>240</v>
      </c>
      <c r="Y2397" s="5" t="s">
        <v>240</v>
      </c>
      <c r="Z2397" s="6" t="s">
        <v>298</v>
      </c>
      <c r="AB2397" s="6" t="s">
        <v>240</v>
      </c>
      <c r="AE2397" s="6" t="s">
        <v>299</v>
      </c>
      <c r="AF2397" s="5" t="s">
        <v>248</v>
      </c>
      <c r="AG2397" s="5" t="s">
        <v>249</v>
      </c>
      <c r="AW2397" s="5" t="s">
        <v>251</v>
      </c>
      <c r="AX2397" s="5" t="s">
        <v>240</v>
      </c>
      <c r="AY2397" s="5" t="s">
        <v>253</v>
      </c>
      <c r="AZ2397" s="5" t="s">
        <v>240</v>
      </c>
      <c r="BA2397" s="5" t="s">
        <v>255</v>
      </c>
      <c r="BB2397" s="5" t="s">
        <v>240</v>
      </c>
      <c r="BD2397" s="5" t="s">
        <v>240</v>
      </c>
      <c r="BF2397" s="5" t="s">
        <v>301</v>
      </c>
      <c r="BG2397" s="6" t="s">
        <v>299</v>
      </c>
      <c r="BH2397" s="5" t="s">
        <v>302</v>
      </c>
      <c r="BI2397" s="5" t="s">
        <v>303</v>
      </c>
      <c r="BJ2397" s="5" t="s">
        <v>240</v>
      </c>
      <c r="BK2397" s="8">
        <f>0</f>
        <v>0</v>
      </c>
      <c r="BL2397" s="7">
        <f>0</f>
        <v>0</v>
      </c>
      <c r="BM2397" s="5" t="s">
        <v>258</v>
      </c>
      <c r="BN2397" s="5" t="s">
        <v>259</v>
      </c>
      <c r="CB2397" s="5" t="s">
        <v>240</v>
      </c>
      <c r="CC2397" s="5" t="s">
        <v>240</v>
      </c>
      <c r="CG2397" s="5" t="s">
        <v>304</v>
      </c>
      <c r="CH2397" s="5" t="s">
        <v>305</v>
      </c>
      <c r="CI2397" s="5" t="s">
        <v>240</v>
      </c>
      <c r="CL2397" s="6" t="s">
        <v>261</v>
      </c>
      <c r="CM2397" s="5" t="s">
        <v>240</v>
      </c>
      <c r="CN2397" s="5" t="s">
        <v>263</v>
      </c>
      <c r="CO2397" s="5" t="s">
        <v>240</v>
      </c>
      <c r="CP2397" s="5" t="s">
        <v>240</v>
      </c>
      <c r="CQ2397" s="5">
        <v>0</v>
      </c>
      <c r="CR2397" s="5" t="s">
        <v>306</v>
      </c>
      <c r="CS2397" s="5" t="s">
        <v>307</v>
      </c>
      <c r="CT2397" s="5" t="s">
        <v>307</v>
      </c>
      <c r="CU2397" s="5" t="s">
        <v>260</v>
      </c>
      <c r="CX2397" s="7">
        <f>1</f>
        <v>1</v>
      </c>
      <c r="CY2397" s="7">
        <f>0</f>
        <v>0</v>
      </c>
      <c r="DA2397" s="7">
        <f>0</f>
        <v>0</v>
      </c>
      <c r="DC2397" s="5" t="s">
        <v>309</v>
      </c>
      <c r="DD2397" s="5" t="s">
        <v>240</v>
      </c>
      <c r="DF2397" s="5" t="s">
        <v>309</v>
      </c>
      <c r="DG2397" s="7">
        <f>431</f>
        <v>431</v>
      </c>
      <c r="DI2397" s="5" t="s">
        <v>240</v>
      </c>
      <c r="DJ2397" s="5" t="s">
        <v>240</v>
      </c>
      <c r="DK2397" s="5" t="s">
        <v>240</v>
      </c>
      <c r="DL2397" s="5" t="s">
        <v>240</v>
      </c>
      <c r="DP2397" s="5" t="s">
        <v>240</v>
      </c>
      <c r="DQ2397" s="5" t="s">
        <v>240</v>
      </c>
      <c r="DR2397" s="5" t="s">
        <v>240</v>
      </c>
      <c r="DS2397" s="5" t="s">
        <v>240</v>
      </c>
      <c r="DV2397" s="5" t="s">
        <v>310</v>
      </c>
      <c r="DW2397" s="5" t="s">
        <v>2847</v>
      </c>
      <c r="HO2397" s="5" t="s">
        <v>312</v>
      </c>
    </row>
    <row r="2398" spans="1:223" x14ac:dyDescent="0.4">
      <c r="A2398" s="5">
        <v>4102</v>
      </c>
      <c r="B2398" s="5">
        <v>1</v>
      </c>
      <c r="C2398" s="5">
        <v>1</v>
      </c>
      <c r="D2398" s="5" t="s">
        <v>810</v>
      </c>
      <c r="E2398" s="5" t="s">
        <v>245</v>
      </c>
      <c r="F2398" s="5" t="s">
        <v>254</v>
      </c>
      <c r="G2398" s="5" t="s">
        <v>240</v>
      </c>
      <c r="H2398" s="6" t="s">
        <v>3751</v>
      </c>
      <c r="I2398" s="5" t="s">
        <v>809</v>
      </c>
      <c r="J2398" s="8">
        <f>868</f>
        <v>868</v>
      </c>
      <c r="K2398" s="5" t="s">
        <v>308</v>
      </c>
      <c r="L2398" s="7">
        <f>1</f>
        <v>1</v>
      </c>
      <c r="M2398" s="7">
        <f>1</f>
        <v>1</v>
      </c>
      <c r="N2398" s="5" t="s">
        <v>242</v>
      </c>
      <c r="O2398" s="5">
        <v>1</v>
      </c>
      <c r="P2398" s="5" t="s">
        <v>294</v>
      </c>
      <c r="Q2398" s="5" t="s">
        <v>613</v>
      </c>
      <c r="R2398" s="5" t="s">
        <v>240</v>
      </c>
      <c r="S2398" s="5" t="s">
        <v>240</v>
      </c>
      <c r="T2398" s="5" t="s">
        <v>243</v>
      </c>
      <c r="U2398" s="5" t="s">
        <v>244</v>
      </c>
      <c r="V2398" s="5" t="s">
        <v>240</v>
      </c>
      <c r="Y2398" s="5" t="s">
        <v>240</v>
      </c>
      <c r="Z2398" s="6" t="s">
        <v>298</v>
      </c>
      <c r="AB2398" s="6" t="s">
        <v>240</v>
      </c>
      <c r="AE2398" s="6" t="s">
        <v>299</v>
      </c>
      <c r="AF2398" s="5" t="s">
        <v>248</v>
      </c>
      <c r="AG2398" s="5" t="s">
        <v>249</v>
      </c>
      <c r="AW2398" s="5" t="s">
        <v>251</v>
      </c>
      <c r="AX2398" s="5" t="s">
        <v>240</v>
      </c>
      <c r="AY2398" s="5" t="s">
        <v>253</v>
      </c>
      <c r="AZ2398" s="5" t="s">
        <v>240</v>
      </c>
      <c r="BA2398" s="5" t="s">
        <v>255</v>
      </c>
      <c r="BB2398" s="5" t="s">
        <v>240</v>
      </c>
      <c r="BD2398" s="5" t="s">
        <v>240</v>
      </c>
      <c r="BF2398" s="5" t="s">
        <v>687</v>
      </c>
      <c r="BG2398" s="6" t="s">
        <v>688</v>
      </c>
      <c r="BH2398" s="5" t="s">
        <v>302</v>
      </c>
      <c r="BI2398" s="5" t="s">
        <v>303</v>
      </c>
      <c r="BJ2398" s="5" t="s">
        <v>240</v>
      </c>
      <c r="BK2398" s="8">
        <f>0</f>
        <v>0</v>
      </c>
      <c r="BL2398" s="7">
        <f>0</f>
        <v>0</v>
      </c>
      <c r="BM2398" s="5" t="s">
        <v>258</v>
      </c>
      <c r="BN2398" s="5" t="s">
        <v>259</v>
      </c>
      <c r="CB2398" s="5" t="s">
        <v>240</v>
      </c>
      <c r="CC2398" s="5" t="s">
        <v>240</v>
      </c>
      <c r="CG2398" s="5" t="s">
        <v>617</v>
      </c>
      <c r="CH2398" s="5" t="s">
        <v>305</v>
      </c>
      <c r="CI2398" s="5" t="s">
        <v>240</v>
      </c>
      <c r="CL2398" s="6" t="s">
        <v>261</v>
      </c>
      <c r="CM2398" s="5" t="s">
        <v>240</v>
      </c>
      <c r="CN2398" s="5" t="s">
        <v>263</v>
      </c>
      <c r="CO2398" s="5" t="s">
        <v>240</v>
      </c>
      <c r="CP2398" s="5" t="s">
        <v>240</v>
      </c>
      <c r="CQ2398" s="5">
        <v>0</v>
      </c>
      <c r="CR2398" s="5" t="s">
        <v>306</v>
      </c>
      <c r="CS2398" s="5" t="s">
        <v>307</v>
      </c>
      <c r="CT2398" s="5" t="s">
        <v>307</v>
      </c>
      <c r="CU2398" s="5" t="s">
        <v>260</v>
      </c>
      <c r="CX2398" s="7">
        <f>4935020</f>
        <v>4935020</v>
      </c>
      <c r="CY2398" s="7">
        <f>0</f>
        <v>0</v>
      </c>
      <c r="DA2398" s="7">
        <f>0</f>
        <v>0</v>
      </c>
      <c r="DC2398" s="5" t="s">
        <v>689</v>
      </c>
      <c r="DD2398" s="5" t="s">
        <v>240</v>
      </c>
      <c r="DF2398" s="5" t="s">
        <v>450</v>
      </c>
      <c r="DG2398" s="7">
        <f>0</f>
        <v>0</v>
      </c>
      <c r="DI2398" s="5" t="s">
        <v>618</v>
      </c>
      <c r="DJ2398" s="5" t="s">
        <v>240</v>
      </c>
      <c r="DK2398" s="5" t="s">
        <v>240</v>
      </c>
      <c r="DL2398" s="5" t="s">
        <v>240</v>
      </c>
      <c r="DP2398" s="5" t="s">
        <v>240</v>
      </c>
      <c r="DQ2398" s="5" t="s">
        <v>240</v>
      </c>
      <c r="DR2398" s="5" t="s">
        <v>240</v>
      </c>
      <c r="DS2398" s="5" t="s">
        <v>240</v>
      </c>
      <c r="DV2398" s="5" t="s">
        <v>4488</v>
      </c>
      <c r="DW2398" s="5" t="s">
        <v>312</v>
      </c>
      <c r="HO2398" s="5" t="s">
        <v>312</v>
      </c>
    </row>
    <row r="2399" spans="1:223" x14ac:dyDescent="0.4">
      <c r="A2399" s="5">
        <v>4103</v>
      </c>
      <c r="B2399" s="5">
        <v>1</v>
      </c>
      <c r="C2399" s="5">
        <v>1</v>
      </c>
      <c r="D2399" s="5" t="s">
        <v>810</v>
      </c>
      <c r="E2399" s="5" t="s">
        <v>245</v>
      </c>
      <c r="F2399" s="5" t="s">
        <v>254</v>
      </c>
      <c r="G2399" s="5" t="s">
        <v>240</v>
      </c>
      <c r="H2399" s="6" t="s">
        <v>3749</v>
      </c>
      <c r="I2399" s="5" t="s">
        <v>809</v>
      </c>
      <c r="J2399" s="8">
        <f>1006</f>
        <v>1006</v>
      </c>
      <c r="K2399" s="5" t="s">
        <v>308</v>
      </c>
      <c r="L2399" s="7">
        <f>1</f>
        <v>1</v>
      </c>
      <c r="M2399" s="7">
        <f>1</f>
        <v>1</v>
      </c>
      <c r="N2399" s="5" t="s">
        <v>242</v>
      </c>
      <c r="O2399" s="5">
        <v>1</v>
      </c>
      <c r="P2399" s="5" t="s">
        <v>294</v>
      </c>
      <c r="Q2399" s="5" t="s">
        <v>266</v>
      </c>
      <c r="R2399" s="5" t="s">
        <v>240</v>
      </c>
      <c r="S2399" s="5" t="s">
        <v>240</v>
      </c>
      <c r="T2399" s="5" t="s">
        <v>296</v>
      </c>
      <c r="U2399" s="5" t="s">
        <v>244</v>
      </c>
      <c r="V2399" s="5" t="s">
        <v>240</v>
      </c>
      <c r="Y2399" s="5" t="s">
        <v>240</v>
      </c>
      <c r="Z2399" s="6" t="s">
        <v>298</v>
      </c>
      <c r="AB2399" s="6" t="s">
        <v>240</v>
      </c>
      <c r="AE2399" s="6" t="s">
        <v>299</v>
      </c>
      <c r="AF2399" s="5" t="s">
        <v>248</v>
      </c>
      <c r="AG2399" s="5" t="s">
        <v>249</v>
      </c>
      <c r="AW2399" s="5" t="s">
        <v>251</v>
      </c>
      <c r="AX2399" s="5" t="s">
        <v>240</v>
      </c>
      <c r="AY2399" s="5" t="s">
        <v>253</v>
      </c>
      <c r="AZ2399" s="5" t="s">
        <v>240</v>
      </c>
      <c r="BA2399" s="5" t="s">
        <v>255</v>
      </c>
      <c r="BB2399" s="5" t="s">
        <v>240</v>
      </c>
      <c r="BD2399" s="5" t="s">
        <v>240</v>
      </c>
      <c r="BF2399" s="5" t="s">
        <v>301</v>
      </c>
      <c r="BG2399" s="6" t="s">
        <v>299</v>
      </c>
      <c r="BH2399" s="5" t="s">
        <v>302</v>
      </c>
      <c r="BI2399" s="5" t="s">
        <v>303</v>
      </c>
      <c r="BJ2399" s="5" t="s">
        <v>240</v>
      </c>
      <c r="BK2399" s="8">
        <f>0</f>
        <v>0</v>
      </c>
      <c r="BL2399" s="7">
        <f>0</f>
        <v>0</v>
      </c>
      <c r="BM2399" s="5" t="s">
        <v>258</v>
      </c>
      <c r="BN2399" s="5" t="s">
        <v>259</v>
      </c>
      <c r="CB2399" s="5" t="s">
        <v>240</v>
      </c>
      <c r="CC2399" s="5" t="s">
        <v>240</v>
      </c>
      <c r="CG2399" s="5" t="s">
        <v>304</v>
      </c>
      <c r="CH2399" s="5" t="s">
        <v>305</v>
      </c>
      <c r="CI2399" s="5" t="s">
        <v>240</v>
      </c>
      <c r="CL2399" s="6" t="s">
        <v>261</v>
      </c>
      <c r="CM2399" s="5" t="s">
        <v>240</v>
      </c>
      <c r="CN2399" s="5" t="s">
        <v>263</v>
      </c>
      <c r="CO2399" s="5" t="s">
        <v>240</v>
      </c>
      <c r="CP2399" s="5" t="s">
        <v>240</v>
      </c>
      <c r="CQ2399" s="5">
        <v>0</v>
      </c>
      <c r="CR2399" s="5" t="s">
        <v>306</v>
      </c>
      <c r="CS2399" s="5" t="s">
        <v>307</v>
      </c>
      <c r="CT2399" s="5" t="s">
        <v>307</v>
      </c>
      <c r="CU2399" s="5" t="s">
        <v>260</v>
      </c>
      <c r="CX2399" s="7">
        <f>1</f>
        <v>1</v>
      </c>
      <c r="CY2399" s="7">
        <f>0</f>
        <v>0</v>
      </c>
      <c r="DA2399" s="7">
        <f>0</f>
        <v>0</v>
      </c>
      <c r="DC2399" s="5" t="s">
        <v>309</v>
      </c>
      <c r="DD2399" s="5" t="s">
        <v>240</v>
      </c>
      <c r="DF2399" s="5" t="s">
        <v>309</v>
      </c>
      <c r="DG2399" s="7">
        <f>492</f>
        <v>492</v>
      </c>
      <c r="DI2399" s="5" t="s">
        <v>240</v>
      </c>
      <c r="DJ2399" s="5" t="s">
        <v>240</v>
      </c>
      <c r="DK2399" s="5" t="s">
        <v>240</v>
      </c>
      <c r="DL2399" s="5" t="s">
        <v>240</v>
      </c>
      <c r="DP2399" s="5" t="s">
        <v>240</v>
      </c>
      <c r="DQ2399" s="5" t="s">
        <v>240</v>
      </c>
      <c r="DR2399" s="5" t="s">
        <v>240</v>
      </c>
      <c r="DS2399" s="5" t="s">
        <v>240</v>
      </c>
      <c r="DV2399" s="5" t="s">
        <v>310</v>
      </c>
      <c r="DW2399" s="5" t="s">
        <v>2851</v>
      </c>
      <c r="HO2399" s="5" t="s">
        <v>312</v>
      </c>
    </row>
    <row r="2400" spans="1:223" x14ac:dyDescent="0.4">
      <c r="A2400" s="5">
        <v>4104</v>
      </c>
      <c r="B2400" s="5">
        <v>1</v>
      </c>
      <c r="C2400" s="5">
        <v>1</v>
      </c>
      <c r="D2400" s="5" t="s">
        <v>810</v>
      </c>
      <c r="E2400" s="5" t="s">
        <v>245</v>
      </c>
      <c r="F2400" s="5" t="s">
        <v>254</v>
      </c>
      <c r="G2400" s="5" t="s">
        <v>240</v>
      </c>
      <c r="H2400" s="6" t="s">
        <v>3747</v>
      </c>
      <c r="I2400" s="5" t="s">
        <v>809</v>
      </c>
      <c r="J2400" s="8">
        <f>20</f>
        <v>20</v>
      </c>
      <c r="K2400" s="5" t="s">
        <v>308</v>
      </c>
      <c r="L2400" s="7">
        <f>1</f>
        <v>1</v>
      </c>
      <c r="M2400" s="7">
        <f>1</f>
        <v>1</v>
      </c>
      <c r="N2400" s="5" t="s">
        <v>242</v>
      </c>
      <c r="O2400" s="5">
        <v>1</v>
      </c>
      <c r="P2400" s="5" t="s">
        <v>294</v>
      </c>
      <c r="Q2400" s="5" t="s">
        <v>266</v>
      </c>
      <c r="R2400" s="5" t="s">
        <v>240</v>
      </c>
      <c r="S2400" s="5" t="s">
        <v>240</v>
      </c>
      <c r="T2400" s="5" t="s">
        <v>296</v>
      </c>
      <c r="U2400" s="5" t="s">
        <v>244</v>
      </c>
      <c r="V2400" s="5" t="s">
        <v>240</v>
      </c>
      <c r="Y2400" s="5" t="s">
        <v>240</v>
      </c>
      <c r="Z2400" s="6" t="s">
        <v>298</v>
      </c>
      <c r="AB2400" s="6" t="s">
        <v>240</v>
      </c>
      <c r="AE2400" s="6" t="s">
        <v>299</v>
      </c>
      <c r="AF2400" s="5" t="s">
        <v>248</v>
      </c>
      <c r="AG2400" s="5" t="s">
        <v>249</v>
      </c>
      <c r="AW2400" s="5" t="s">
        <v>251</v>
      </c>
      <c r="AX2400" s="5" t="s">
        <v>240</v>
      </c>
      <c r="AY2400" s="5" t="s">
        <v>253</v>
      </c>
      <c r="AZ2400" s="5" t="s">
        <v>240</v>
      </c>
      <c r="BA2400" s="5" t="s">
        <v>255</v>
      </c>
      <c r="BB2400" s="5" t="s">
        <v>240</v>
      </c>
      <c r="BD2400" s="5" t="s">
        <v>240</v>
      </c>
      <c r="BF2400" s="5" t="s">
        <v>301</v>
      </c>
      <c r="BG2400" s="6" t="s">
        <v>299</v>
      </c>
      <c r="BH2400" s="5" t="s">
        <v>302</v>
      </c>
      <c r="BI2400" s="5" t="s">
        <v>303</v>
      </c>
      <c r="BJ2400" s="5" t="s">
        <v>240</v>
      </c>
      <c r="BK2400" s="8">
        <f>0</f>
        <v>0</v>
      </c>
      <c r="BL2400" s="7">
        <f>0</f>
        <v>0</v>
      </c>
      <c r="BM2400" s="5" t="s">
        <v>258</v>
      </c>
      <c r="BN2400" s="5" t="s">
        <v>259</v>
      </c>
      <c r="CB2400" s="5" t="s">
        <v>240</v>
      </c>
      <c r="CC2400" s="5" t="s">
        <v>240</v>
      </c>
      <c r="CG2400" s="5" t="s">
        <v>304</v>
      </c>
      <c r="CH2400" s="5" t="s">
        <v>305</v>
      </c>
      <c r="CI2400" s="5" t="s">
        <v>240</v>
      </c>
      <c r="CL2400" s="6" t="s">
        <v>261</v>
      </c>
      <c r="CM2400" s="5" t="s">
        <v>240</v>
      </c>
      <c r="CN2400" s="5" t="s">
        <v>263</v>
      </c>
      <c r="CO2400" s="5" t="s">
        <v>240</v>
      </c>
      <c r="CP2400" s="5" t="s">
        <v>240</v>
      </c>
      <c r="CQ2400" s="5">
        <v>0</v>
      </c>
      <c r="CR2400" s="5" t="s">
        <v>306</v>
      </c>
      <c r="CS2400" s="5" t="s">
        <v>307</v>
      </c>
      <c r="CT2400" s="5" t="s">
        <v>307</v>
      </c>
      <c r="CU2400" s="5" t="s">
        <v>260</v>
      </c>
      <c r="CX2400" s="7">
        <f>1</f>
        <v>1</v>
      </c>
      <c r="CY2400" s="7">
        <f>0</f>
        <v>0</v>
      </c>
      <c r="DA2400" s="7">
        <f>0</f>
        <v>0</v>
      </c>
      <c r="DC2400" s="5" t="s">
        <v>309</v>
      </c>
      <c r="DD2400" s="5" t="s">
        <v>240</v>
      </c>
      <c r="DF2400" s="5" t="s">
        <v>309</v>
      </c>
      <c r="DG2400" s="7">
        <f>728</f>
        <v>728</v>
      </c>
      <c r="DI2400" s="5" t="s">
        <v>240</v>
      </c>
      <c r="DJ2400" s="5" t="s">
        <v>240</v>
      </c>
      <c r="DK2400" s="5" t="s">
        <v>240</v>
      </c>
      <c r="DL2400" s="5" t="s">
        <v>240</v>
      </c>
      <c r="DP2400" s="5" t="s">
        <v>240</v>
      </c>
      <c r="DQ2400" s="5" t="s">
        <v>240</v>
      </c>
      <c r="DR2400" s="5" t="s">
        <v>240</v>
      </c>
      <c r="DS2400" s="5" t="s">
        <v>240</v>
      </c>
      <c r="DV2400" s="5" t="s">
        <v>310</v>
      </c>
      <c r="DW2400" s="5" t="s">
        <v>2853</v>
      </c>
      <c r="HO2400" s="5" t="s">
        <v>312</v>
      </c>
    </row>
    <row r="2401" spans="1:223" x14ac:dyDescent="0.4">
      <c r="A2401" s="5">
        <v>4105</v>
      </c>
      <c r="B2401" s="5">
        <v>1</v>
      </c>
      <c r="C2401" s="5">
        <v>1</v>
      </c>
      <c r="D2401" s="5" t="s">
        <v>810</v>
      </c>
      <c r="E2401" s="5" t="s">
        <v>245</v>
      </c>
      <c r="F2401" s="5" t="s">
        <v>254</v>
      </c>
      <c r="G2401" s="5" t="s">
        <v>240</v>
      </c>
      <c r="H2401" s="6" t="s">
        <v>3944</v>
      </c>
      <c r="I2401" s="5" t="s">
        <v>809</v>
      </c>
      <c r="J2401" s="8">
        <f>107</f>
        <v>107</v>
      </c>
      <c r="K2401" s="5" t="s">
        <v>308</v>
      </c>
      <c r="L2401" s="7">
        <f>1</f>
        <v>1</v>
      </c>
      <c r="M2401" s="7">
        <f>1</f>
        <v>1</v>
      </c>
      <c r="N2401" s="5" t="s">
        <v>242</v>
      </c>
      <c r="O2401" s="5">
        <v>1</v>
      </c>
      <c r="P2401" s="5" t="s">
        <v>294</v>
      </c>
      <c r="Q2401" s="5" t="s">
        <v>266</v>
      </c>
      <c r="R2401" s="5" t="s">
        <v>240</v>
      </c>
      <c r="S2401" s="5" t="s">
        <v>240</v>
      </c>
      <c r="T2401" s="5" t="s">
        <v>296</v>
      </c>
      <c r="U2401" s="5" t="s">
        <v>244</v>
      </c>
      <c r="V2401" s="5" t="s">
        <v>240</v>
      </c>
      <c r="Y2401" s="5" t="s">
        <v>240</v>
      </c>
      <c r="Z2401" s="6" t="s">
        <v>298</v>
      </c>
      <c r="AB2401" s="6" t="s">
        <v>240</v>
      </c>
      <c r="AE2401" s="6" t="s">
        <v>299</v>
      </c>
      <c r="AF2401" s="5" t="s">
        <v>248</v>
      </c>
      <c r="AG2401" s="5" t="s">
        <v>249</v>
      </c>
      <c r="AW2401" s="5" t="s">
        <v>251</v>
      </c>
      <c r="AX2401" s="5" t="s">
        <v>240</v>
      </c>
      <c r="AY2401" s="5" t="s">
        <v>253</v>
      </c>
      <c r="AZ2401" s="5" t="s">
        <v>240</v>
      </c>
      <c r="BA2401" s="5" t="s">
        <v>255</v>
      </c>
      <c r="BB2401" s="5" t="s">
        <v>240</v>
      </c>
      <c r="BD2401" s="5" t="s">
        <v>240</v>
      </c>
      <c r="BF2401" s="5" t="s">
        <v>301</v>
      </c>
      <c r="BG2401" s="6" t="s">
        <v>299</v>
      </c>
      <c r="BH2401" s="5" t="s">
        <v>302</v>
      </c>
      <c r="BI2401" s="5" t="s">
        <v>303</v>
      </c>
      <c r="BJ2401" s="5" t="s">
        <v>240</v>
      </c>
      <c r="BK2401" s="8">
        <f>0</f>
        <v>0</v>
      </c>
      <c r="BL2401" s="7">
        <f>0</f>
        <v>0</v>
      </c>
      <c r="BM2401" s="5" t="s">
        <v>258</v>
      </c>
      <c r="BN2401" s="5" t="s">
        <v>259</v>
      </c>
      <c r="CB2401" s="5" t="s">
        <v>240</v>
      </c>
      <c r="CC2401" s="5" t="s">
        <v>240</v>
      </c>
      <c r="CG2401" s="5" t="s">
        <v>304</v>
      </c>
      <c r="CH2401" s="5" t="s">
        <v>305</v>
      </c>
      <c r="CI2401" s="5" t="s">
        <v>240</v>
      </c>
      <c r="CL2401" s="6" t="s">
        <v>261</v>
      </c>
      <c r="CM2401" s="5" t="s">
        <v>240</v>
      </c>
      <c r="CN2401" s="5" t="s">
        <v>263</v>
      </c>
      <c r="CO2401" s="5" t="s">
        <v>240</v>
      </c>
      <c r="CP2401" s="5" t="s">
        <v>240</v>
      </c>
      <c r="CQ2401" s="5">
        <v>0</v>
      </c>
      <c r="CR2401" s="5" t="s">
        <v>306</v>
      </c>
      <c r="CS2401" s="5" t="s">
        <v>307</v>
      </c>
      <c r="CT2401" s="5" t="s">
        <v>307</v>
      </c>
      <c r="CU2401" s="5" t="s">
        <v>260</v>
      </c>
      <c r="CX2401" s="7">
        <f>1</f>
        <v>1</v>
      </c>
      <c r="CY2401" s="7">
        <f>0</f>
        <v>0</v>
      </c>
      <c r="DA2401" s="7">
        <f>0</f>
        <v>0</v>
      </c>
      <c r="DC2401" s="5" t="s">
        <v>309</v>
      </c>
      <c r="DD2401" s="5" t="s">
        <v>240</v>
      </c>
      <c r="DF2401" s="5" t="s">
        <v>309</v>
      </c>
      <c r="DG2401" s="7">
        <f>92</f>
        <v>92</v>
      </c>
      <c r="DI2401" s="5" t="s">
        <v>240</v>
      </c>
      <c r="DJ2401" s="5" t="s">
        <v>240</v>
      </c>
      <c r="DK2401" s="5" t="s">
        <v>240</v>
      </c>
      <c r="DL2401" s="5" t="s">
        <v>240</v>
      </c>
      <c r="DP2401" s="5" t="s">
        <v>240</v>
      </c>
      <c r="DQ2401" s="5" t="s">
        <v>240</v>
      </c>
      <c r="DR2401" s="5" t="s">
        <v>240</v>
      </c>
      <c r="DS2401" s="5" t="s">
        <v>240</v>
      </c>
      <c r="DV2401" s="5" t="s">
        <v>310</v>
      </c>
      <c r="DW2401" s="5" t="s">
        <v>2855</v>
      </c>
      <c r="HO2401" s="5" t="s">
        <v>312</v>
      </c>
    </row>
    <row r="2402" spans="1:223" x14ac:dyDescent="0.4">
      <c r="A2402" s="5">
        <v>4106</v>
      </c>
      <c r="B2402" s="5">
        <v>1</v>
      </c>
      <c r="C2402" s="5">
        <v>1</v>
      </c>
      <c r="D2402" s="5" t="s">
        <v>810</v>
      </c>
      <c r="E2402" s="5" t="s">
        <v>245</v>
      </c>
      <c r="F2402" s="5" t="s">
        <v>254</v>
      </c>
      <c r="G2402" s="5" t="s">
        <v>240</v>
      </c>
      <c r="H2402" s="6" t="s">
        <v>3744</v>
      </c>
      <c r="I2402" s="5" t="s">
        <v>809</v>
      </c>
      <c r="J2402" s="8">
        <f>957</f>
        <v>957</v>
      </c>
      <c r="K2402" s="5" t="s">
        <v>308</v>
      </c>
      <c r="L2402" s="7">
        <f>1</f>
        <v>1</v>
      </c>
      <c r="M2402" s="7">
        <f>1</f>
        <v>1</v>
      </c>
      <c r="N2402" s="5" t="s">
        <v>242</v>
      </c>
      <c r="O2402" s="5">
        <v>1</v>
      </c>
      <c r="P2402" s="5" t="s">
        <v>294</v>
      </c>
      <c r="Q2402" s="5" t="s">
        <v>266</v>
      </c>
      <c r="R2402" s="5" t="s">
        <v>240</v>
      </c>
      <c r="S2402" s="5" t="s">
        <v>240</v>
      </c>
      <c r="T2402" s="5" t="s">
        <v>296</v>
      </c>
      <c r="U2402" s="5" t="s">
        <v>244</v>
      </c>
      <c r="V2402" s="5" t="s">
        <v>240</v>
      </c>
      <c r="Y2402" s="5" t="s">
        <v>240</v>
      </c>
      <c r="Z2402" s="6" t="s">
        <v>298</v>
      </c>
      <c r="AB2402" s="6" t="s">
        <v>240</v>
      </c>
      <c r="AE2402" s="6" t="s">
        <v>299</v>
      </c>
      <c r="AF2402" s="5" t="s">
        <v>248</v>
      </c>
      <c r="AG2402" s="5" t="s">
        <v>249</v>
      </c>
      <c r="AW2402" s="5" t="s">
        <v>251</v>
      </c>
      <c r="AX2402" s="5" t="s">
        <v>240</v>
      </c>
      <c r="AY2402" s="5" t="s">
        <v>253</v>
      </c>
      <c r="AZ2402" s="5" t="s">
        <v>240</v>
      </c>
      <c r="BA2402" s="5" t="s">
        <v>255</v>
      </c>
      <c r="BB2402" s="5" t="s">
        <v>240</v>
      </c>
      <c r="BD2402" s="5" t="s">
        <v>240</v>
      </c>
      <c r="BF2402" s="5" t="s">
        <v>301</v>
      </c>
      <c r="BG2402" s="6" t="s">
        <v>299</v>
      </c>
      <c r="BH2402" s="5" t="s">
        <v>302</v>
      </c>
      <c r="BI2402" s="5" t="s">
        <v>303</v>
      </c>
      <c r="BJ2402" s="5" t="s">
        <v>240</v>
      </c>
      <c r="BK2402" s="8">
        <f>0</f>
        <v>0</v>
      </c>
      <c r="BL2402" s="7">
        <f>0</f>
        <v>0</v>
      </c>
      <c r="BM2402" s="5" t="s">
        <v>258</v>
      </c>
      <c r="BN2402" s="5" t="s">
        <v>259</v>
      </c>
      <c r="CB2402" s="5" t="s">
        <v>240</v>
      </c>
      <c r="CC2402" s="5" t="s">
        <v>240</v>
      </c>
      <c r="CG2402" s="5" t="s">
        <v>304</v>
      </c>
      <c r="CH2402" s="5" t="s">
        <v>305</v>
      </c>
      <c r="CI2402" s="5" t="s">
        <v>240</v>
      </c>
      <c r="CL2402" s="6" t="s">
        <v>261</v>
      </c>
      <c r="CM2402" s="5" t="s">
        <v>240</v>
      </c>
      <c r="CN2402" s="5" t="s">
        <v>263</v>
      </c>
      <c r="CO2402" s="5" t="s">
        <v>240</v>
      </c>
      <c r="CP2402" s="5" t="s">
        <v>240</v>
      </c>
      <c r="CQ2402" s="5">
        <v>0</v>
      </c>
      <c r="CR2402" s="5" t="s">
        <v>306</v>
      </c>
      <c r="CS2402" s="5" t="s">
        <v>307</v>
      </c>
      <c r="CT2402" s="5" t="s">
        <v>307</v>
      </c>
      <c r="CU2402" s="5" t="s">
        <v>260</v>
      </c>
      <c r="CX2402" s="7">
        <f>1</f>
        <v>1</v>
      </c>
      <c r="CY2402" s="7">
        <f>0</f>
        <v>0</v>
      </c>
      <c r="DA2402" s="7">
        <f>0</f>
        <v>0</v>
      </c>
      <c r="DC2402" s="5" t="s">
        <v>309</v>
      </c>
      <c r="DD2402" s="5" t="s">
        <v>240</v>
      </c>
      <c r="DF2402" s="5" t="s">
        <v>309</v>
      </c>
      <c r="DG2402" s="7">
        <f>2549</f>
        <v>2549</v>
      </c>
      <c r="DI2402" s="5" t="s">
        <v>240</v>
      </c>
      <c r="DJ2402" s="5" t="s">
        <v>240</v>
      </c>
      <c r="DK2402" s="5" t="s">
        <v>240</v>
      </c>
      <c r="DL2402" s="5" t="s">
        <v>240</v>
      </c>
      <c r="DP2402" s="5" t="s">
        <v>240</v>
      </c>
      <c r="DQ2402" s="5" t="s">
        <v>240</v>
      </c>
      <c r="DR2402" s="5" t="s">
        <v>240</v>
      </c>
      <c r="DS2402" s="5" t="s">
        <v>240</v>
      </c>
      <c r="DV2402" s="5" t="s">
        <v>310</v>
      </c>
      <c r="DW2402" s="5" t="s">
        <v>2857</v>
      </c>
      <c r="HO2402" s="5" t="s">
        <v>312</v>
      </c>
    </row>
    <row r="2403" spans="1:223" x14ac:dyDescent="0.4">
      <c r="A2403" s="5">
        <v>4107</v>
      </c>
      <c r="B2403" s="5">
        <v>1</v>
      </c>
      <c r="C2403" s="5">
        <v>1</v>
      </c>
      <c r="D2403" s="5" t="s">
        <v>810</v>
      </c>
      <c r="E2403" s="5" t="s">
        <v>245</v>
      </c>
      <c r="F2403" s="5" t="s">
        <v>254</v>
      </c>
      <c r="G2403" s="5" t="s">
        <v>240</v>
      </c>
      <c r="H2403" s="6" t="s">
        <v>3742</v>
      </c>
      <c r="I2403" s="5" t="s">
        <v>809</v>
      </c>
      <c r="J2403" s="8">
        <f>1893</f>
        <v>1893</v>
      </c>
      <c r="K2403" s="5" t="s">
        <v>308</v>
      </c>
      <c r="L2403" s="7">
        <f>1</f>
        <v>1</v>
      </c>
      <c r="M2403" s="7">
        <f>1</f>
        <v>1</v>
      </c>
      <c r="N2403" s="5" t="s">
        <v>242</v>
      </c>
      <c r="O2403" s="5">
        <v>1</v>
      </c>
      <c r="P2403" s="5" t="s">
        <v>294</v>
      </c>
      <c r="Q2403" s="5" t="s">
        <v>266</v>
      </c>
      <c r="R2403" s="5" t="s">
        <v>240</v>
      </c>
      <c r="S2403" s="5" t="s">
        <v>240</v>
      </c>
      <c r="T2403" s="5" t="s">
        <v>296</v>
      </c>
      <c r="U2403" s="5" t="s">
        <v>244</v>
      </c>
      <c r="V2403" s="5" t="s">
        <v>240</v>
      </c>
      <c r="Y2403" s="5" t="s">
        <v>240</v>
      </c>
      <c r="Z2403" s="6" t="s">
        <v>298</v>
      </c>
      <c r="AB2403" s="6" t="s">
        <v>240</v>
      </c>
      <c r="AE2403" s="6" t="s">
        <v>299</v>
      </c>
      <c r="AF2403" s="5" t="s">
        <v>248</v>
      </c>
      <c r="AG2403" s="5" t="s">
        <v>249</v>
      </c>
      <c r="AW2403" s="5" t="s">
        <v>251</v>
      </c>
      <c r="AX2403" s="5" t="s">
        <v>240</v>
      </c>
      <c r="AY2403" s="5" t="s">
        <v>253</v>
      </c>
      <c r="AZ2403" s="5" t="s">
        <v>240</v>
      </c>
      <c r="BA2403" s="5" t="s">
        <v>255</v>
      </c>
      <c r="BB2403" s="5" t="s">
        <v>240</v>
      </c>
      <c r="BD2403" s="5" t="s">
        <v>240</v>
      </c>
      <c r="BF2403" s="5" t="s">
        <v>301</v>
      </c>
      <c r="BG2403" s="6" t="s">
        <v>299</v>
      </c>
      <c r="BH2403" s="5" t="s">
        <v>302</v>
      </c>
      <c r="BI2403" s="5" t="s">
        <v>303</v>
      </c>
      <c r="BJ2403" s="5" t="s">
        <v>240</v>
      </c>
      <c r="BK2403" s="8">
        <f>0</f>
        <v>0</v>
      </c>
      <c r="BL2403" s="7">
        <f>0</f>
        <v>0</v>
      </c>
      <c r="BM2403" s="5" t="s">
        <v>258</v>
      </c>
      <c r="BN2403" s="5" t="s">
        <v>259</v>
      </c>
      <c r="CB2403" s="5" t="s">
        <v>240</v>
      </c>
      <c r="CC2403" s="5" t="s">
        <v>240</v>
      </c>
      <c r="CG2403" s="5" t="s">
        <v>304</v>
      </c>
      <c r="CH2403" s="5" t="s">
        <v>305</v>
      </c>
      <c r="CI2403" s="5" t="s">
        <v>240</v>
      </c>
      <c r="CL2403" s="6" t="s">
        <v>261</v>
      </c>
      <c r="CM2403" s="5" t="s">
        <v>240</v>
      </c>
      <c r="CN2403" s="5" t="s">
        <v>263</v>
      </c>
      <c r="CO2403" s="5" t="s">
        <v>240</v>
      </c>
      <c r="CP2403" s="5" t="s">
        <v>240</v>
      </c>
      <c r="CQ2403" s="5">
        <v>0</v>
      </c>
      <c r="CR2403" s="5" t="s">
        <v>306</v>
      </c>
      <c r="CS2403" s="5" t="s">
        <v>307</v>
      </c>
      <c r="CT2403" s="5" t="s">
        <v>307</v>
      </c>
      <c r="CU2403" s="5" t="s">
        <v>260</v>
      </c>
      <c r="CX2403" s="7">
        <f>1</f>
        <v>1</v>
      </c>
      <c r="CY2403" s="7">
        <f>0</f>
        <v>0</v>
      </c>
      <c r="DA2403" s="7">
        <f>0</f>
        <v>0</v>
      </c>
      <c r="DC2403" s="5" t="s">
        <v>309</v>
      </c>
      <c r="DD2403" s="5" t="s">
        <v>240</v>
      </c>
      <c r="DF2403" s="5" t="s">
        <v>309</v>
      </c>
      <c r="DG2403" s="7">
        <f>693</f>
        <v>693</v>
      </c>
      <c r="DI2403" s="5" t="s">
        <v>240</v>
      </c>
      <c r="DJ2403" s="5" t="s">
        <v>240</v>
      </c>
      <c r="DK2403" s="5" t="s">
        <v>240</v>
      </c>
      <c r="DL2403" s="5" t="s">
        <v>240</v>
      </c>
      <c r="DP2403" s="5" t="s">
        <v>240</v>
      </c>
      <c r="DQ2403" s="5" t="s">
        <v>240</v>
      </c>
      <c r="DR2403" s="5" t="s">
        <v>240</v>
      </c>
      <c r="DS2403" s="5" t="s">
        <v>240</v>
      </c>
      <c r="DV2403" s="5" t="s">
        <v>310</v>
      </c>
      <c r="DW2403" s="5" t="s">
        <v>2859</v>
      </c>
      <c r="HO2403" s="5" t="s">
        <v>312</v>
      </c>
    </row>
    <row r="2404" spans="1:223" x14ac:dyDescent="0.4">
      <c r="A2404" s="5">
        <v>4108</v>
      </c>
      <c r="B2404" s="5">
        <v>1</v>
      </c>
      <c r="C2404" s="5">
        <v>1</v>
      </c>
      <c r="D2404" s="5" t="s">
        <v>810</v>
      </c>
      <c r="E2404" s="5" t="s">
        <v>245</v>
      </c>
      <c r="F2404" s="5" t="s">
        <v>254</v>
      </c>
      <c r="G2404" s="5" t="s">
        <v>240</v>
      </c>
      <c r="H2404" s="6" t="s">
        <v>3740</v>
      </c>
      <c r="I2404" s="5" t="s">
        <v>809</v>
      </c>
      <c r="J2404" s="8">
        <f>1023</f>
        <v>1023</v>
      </c>
      <c r="K2404" s="5" t="s">
        <v>308</v>
      </c>
      <c r="L2404" s="7">
        <f>1</f>
        <v>1</v>
      </c>
      <c r="M2404" s="7">
        <f>1</f>
        <v>1</v>
      </c>
      <c r="N2404" s="5" t="s">
        <v>242</v>
      </c>
      <c r="O2404" s="5">
        <v>1</v>
      </c>
      <c r="P2404" s="5" t="s">
        <v>294</v>
      </c>
      <c r="Q2404" s="5" t="s">
        <v>266</v>
      </c>
      <c r="R2404" s="5" t="s">
        <v>240</v>
      </c>
      <c r="S2404" s="5" t="s">
        <v>240</v>
      </c>
      <c r="T2404" s="5" t="s">
        <v>296</v>
      </c>
      <c r="U2404" s="5" t="s">
        <v>244</v>
      </c>
      <c r="V2404" s="5" t="s">
        <v>240</v>
      </c>
      <c r="Y2404" s="5" t="s">
        <v>240</v>
      </c>
      <c r="Z2404" s="6" t="s">
        <v>298</v>
      </c>
      <c r="AB2404" s="6" t="s">
        <v>240</v>
      </c>
      <c r="AE2404" s="6" t="s">
        <v>299</v>
      </c>
      <c r="AF2404" s="5" t="s">
        <v>248</v>
      </c>
      <c r="AG2404" s="5" t="s">
        <v>249</v>
      </c>
      <c r="AW2404" s="5" t="s">
        <v>251</v>
      </c>
      <c r="AX2404" s="5" t="s">
        <v>240</v>
      </c>
      <c r="AY2404" s="5" t="s">
        <v>253</v>
      </c>
      <c r="AZ2404" s="5" t="s">
        <v>240</v>
      </c>
      <c r="BA2404" s="5" t="s">
        <v>255</v>
      </c>
      <c r="BB2404" s="5" t="s">
        <v>240</v>
      </c>
      <c r="BD2404" s="5" t="s">
        <v>240</v>
      </c>
      <c r="BF2404" s="5" t="s">
        <v>301</v>
      </c>
      <c r="BG2404" s="6" t="s">
        <v>299</v>
      </c>
      <c r="BH2404" s="5" t="s">
        <v>302</v>
      </c>
      <c r="BI2404" s="5" t="s">
        <v>303</v>
      </c>
      <c r="BJ2404" s="5" t="s">
        <v>240</v>
      </c>
      <c r="BK2404" s="8">
        <f>0</f>
        <v>0</v>
      </c>
      <c r="BL2404" s="7">
        <f>0</f>
        <v>0</v>
      </c>
      <c r="BM2404" s="5" t="s">
        <v>258</v>
      </c>
      <c r="BN2404" s="5" t="s">
        <v>259</v>
      </c>
      <c r="CB2404" s="5" t="s">
        <v>240</v>
      </c>
      <c r="CC2404" s="5" t="s">
        <v>240</v>
      </c>
      <c r="CG2404" s="5" t="s">
        <v>304</v>
      </c>
      <c r="CH2404" s="5" t="s">
        <v>305</v>
      </c>
      <c r="CI2404" s="5" t="s">
        <v>240</v>
      </c>
      <c r="CL2404" s="6" t="s">
        <v>261</v>
      </c>
      <c r="CM2404" s="5" t="s">
        <v>240</v>
      </c>
      <c r="CN2404" s="5" t="s">
        <v>263</v>
      </c>
      <c r="CO2404" s="5" t="s">
        <v>240</v>
      </c>
      <c r="CP2404" s="5" t="s">
        <v>240</v>
      </c>
      <c r="CQ2404" s="5">
        <v>0</v>
      </c>
      <c r="CR2404" s="5" t="s">
        <v>306</v>
      </c>
      <c r="CS2404" s="5" t="s">
        <v>307</v>
      </c>
      <c r="CT2404" s="5" t="s">
        <v>307</v>
      </c>
      <c r="CU2404" s="5" t="s">
        <v>260</v>
      </c>
      <c r="CX2404" s="7">
        <f>1</f>
        <v>1</v>
      </c>
      <c r="CY2404" s="7">
        <f>0</f>
        <v>0</v>
      </c>
      <c r="DA2404" s="7">
        <f>0</f>
        <v>0</v>
      </c>
      <c r="DC2404" s="5" t="s">
        <v>309</v>
      </c>
      <c r="DD2404" s="5" t="s">
        <v>240</v>
      </c>
      <c r="DF2404" s="5" t="s">
        <v>309</v>
      </c>
      <c r="DG2404" s="7">
        <f>2612</f>
        <v>2612</v>
      </c>
      <c r="DI2404" s="5" t="s">
        <v>240</v>
      </c>
      <c r="DJ2404" s="5" t="s">
        <v>240</v>
      </c>
      <c r="DK2404" s="5" t="s">
        <v>240</v>
      </c>
      <c r="DL2404" s="5" t="s">
        <v>240</v>
      </c>
      <c r="DP2404" s="5" t="s">
        <v>240</v>
      </c>
      <c r="DQ2404" s="5" t="s">
        <v>240</v>
      </c>
      <c r="DR2404" s="5" t="s">
        <v>240</v>
      </c>
      <c r="DS2404" s="5" t="s">
        <v>240</v>
      </c>
      <c r="DV2404" s="5" t="s">
        <v>310</v>
      </c>
      <c r="DW2404" s="5" t="s">
        <v>2861</v>
      </c>
      <c r="HO2404" s="5" t="s">
        <v>312</v>
      </c>
    </row>
    <row r="2405" spans="1:223" x14ac:dyDescent="0.4">
      <c r="A2405" s="5">
        <v>4109</v>
      </c>
      <c r="B2405" s="5">
        <v>1</v>
      </c>
      <c r="C2405" s="5">
        <v>1</v>
      </c>
      <c r="D2405" s="5" t="s">
        <v>810</v>
      </c>
      <c r="E2405" s="5" t="s">
        <v>245</v>
      </c>
      <c r="F2405" s="5" t="s">
        <v>254</v>
      </c>
      <c r="G2405" s="5" t="s">
        <v>240</v>
      </c>
      <c r="H2405" s="6" t="s">
        <v>3738</v>
      </c>
      <c r="I2405" s="5" t="s">
        <v>809</v>
      </c>
      <c r="J2405" s="8">
        <f>1038</f>
        <v>1038</v>
      </c>
      <c r="K2405" s="5" t="s">
        <v>308</v>
      </c>
      <c r="L2405" s="7">
        <f>1</f>
        <v>1</v>
      </c>
      <c r="M2405" s="7">
        <f>1</f>
        <v>1</v>
      </c>
      <c r="N2405" s="5" t="s">
        <v>242</v>
      </c>
      <c r="O2405" s="5">
        <v>1</v>
      </c>
      <c r="P2405" s="5" t="s">
        <v>294</v>
      </c>
      <c r="Q2405" s="5" t="s">
        <v>266</v>
      </c>
      <c r="R2405" s="5" t="s">
        <v>240</v>
      </c>
      <c r="S2405" s="5" t="s">
        <v>240</v>
      </c>
      <c r="T2405" s="5" t="s">
        <v>296</v>
      </c>
      <c r="U2405" s="5" t="s">
        <v>244</v>
      </c>
      <c r="V2405" s="5" t="s">
        <v>240</v>
      </c>
      <c r="Y2405" s="5" t="s">
        <v>240</v>
      </c>
      <c r="Z2405" s="6" t="s">
        <v>298</v>
      </c>
      <c r="AB2405" s="6" t="s">
        <v>240</v>
      </c>
      <c r="AE2405" s="6" t="s">
        <v>299</v>
      </c>
      <c r="AF2405" s="5" t="s">
        <v>248</v>
      </c>
      <c r="AG2405" s="5" t="s">
        <v>249</v>
      </c>
      <c r="AW2405" s="5" t="s">
        <v>251</v>
      </c>
      <c r="AX2405" s="5" t="s">
        <v>240</v>
      </c>
      <c r="AY2405" s="5" t="s">
        <v>253</v>
      </c>
      <c r="AZ2405" s="5" t="s">
        <v>240</v>
      </c>
      <c r="BA2405" s="5" t="s">
        <v>255</v>
      </c>
      <c r="BB2405" s="5" t="s">
        <v>240</v>
      </c>
      <c r="BD2405" s="5" t="s">
        <v>240</v>
      </c>
      <c r="BF2405" s="5" t="s">
        <v>301</v>
      </c>
      <c r="BG2405" s="6" t="s">
        <v>299</v>
      </c>
      <c r="BH2405" s="5" t="s">
        <v>302</v>
      </c>
      <c r="BI2405" s="5" t="s">
        <v>303</v>
      </c>
      <c r="BJ2405" s="5" t="s">
        <v>240</v>
      </c>
      <c r="BK2405" s="8">
        <f>0</f>
        <v>0</v>
      </c>
      <c r="BL2405" s="7">
        <f>0</f>
        <v>0</v>
      </c>
      <c r="BM2405" s="5" t="s">
        <v>258</v>
      </c>
      <c r="BN2405" s="5" t="s">
        <v>259</v>
      </c>
      <c r="CB2405" s="5" t="s">
        <v>240</v>
      </c>
      <c r="CC2405" s="5" t="s">
        <v>240</v>
      </c>
      <c r="CG2405" s="5" t="s">
        <v>304</v>
      </c>
      <c r="CH2405" s="5" t="s">
        <v>305</v>
      </c>
      <c r="CI2405" s="5" t="s">
        <v>240</v>
      </c>
      <c r="CL2405" s="6" t="s">
        <v>261</v>
      </c>
      <c r="CM2405" s="5" t="s">
        <v>240</v>
      </c>
      <c r="CN2405" s="5" t="s">
        <v>263</v>
      </c>
      <c r="CO2405" s="5" t="s">
        <v>240</v>
      </c>
      <c r="CP2405" s="5" t="s">
        <v>240</v>
      </c>
      <c r="CQ2405" s="5">
        <v>0</v>
      </c>
      <c r="CR2405" s="5" t="s">
        <v>306</v>
      </c>
      <c r="CS2405" s="5" t="s">
        <v>307</v>
      </c>
      <c r="CT2405" s="5" t="s">
        <v>307</v>
      </c>
      <c r="CU2405" s="5" t="s">
        <v>260</v>
      </c>
      <c r="CX2405" s="7">
        <f>1</f>
        <v>1</v>
      </c>
      <c r="CY2405" s="7">
        <f>0</f>
        <v>0</v>
      </c>
      <c r="DA2405" s="7">
        <f>0</f>
        <v>0</v>
      </c>
      <c r="DC2405" s="5" t="s">
        <v>309</v>
      </c>
      <c r="DD2405" s="5" t="s">
        <v>240</v>
      </c>
      <c r="DF2405" s="5" t="s">
        <v>309</v>
      </c>
      <c r="DG2405" s="7">
        <f>3415</f>
        <v>3415</v>
      </c>
      <c r="DI2405" s="5" t="s">
        <v>240</v>
      </c>
      <c r="DJ2405" s="5" t="s">
        <v>240</v>
      </c>
      <c r="DK2405" s="5" t="s">
        <v>240</v>
      </c>
      <c r="DL2405" s="5" t="s">
        <v>240</v>
      </c>
      <c r="DP2405" s="5" t="s">
        <v>240</v>
      </c>
      <c r="DQ2405" s="5" t="s">
        <v>240</v>
      </c>
      <c r="DR2405" s="5" t="s">
        <v>240</v>
      </c>
      <c r="DS2405" s="5" t="s">
        <v>240</v>
      </c>
      <c r="DV2405" s="5" t="s">
        <v>310</v>
      </c>
      <c r="DW2405" s="5" t="s">
        <v>2863</v>
      </c>
      <c r="HO2405" s="5" t="s">
        <v>312</v>
      </c>
    </row>
    <row r="2406" spans="1:223" x14ac:dyDescent="0.4">
      <c r="A2406" s="5">
        <v>4110</v>
      </c>
      <c r="B2406" s="5">
        <v>1</v>
      </c>
      <c r="C2406" s="5">
        <v>1</v>
      </c>
      <c r="D2406" s="5" t="s">
        <v>810</v>
      </c>
      <c r="E2406" s="5" t="s">
        <v>245</v>
      </c>
      <c r="F2406" s="5" t="s">
        <v>254</v>
      </c>
      <c r="G2406" s="5" t="s">
        <v>240</v>
      </c>
      <c r="H2406" s="6" t="s">
        <v>3736</v>
      </c>
      <c r="I2406" s="5" t="s">
        <v>809</v>
      </c>
      <c r="J2406" s="8">
        <f>1897</f>
        <v>1897</v>
      </c>
      <c r="K2406" s="5" t="s">
        <v>308</v>
      </c>
      <c r="L2406" s="7">
        <f>1</f>
        <v>1</v>
      </c>
      <c r="M2406" s="7">
        <f>1</f>
        <v>1</v>
      </c>
      <c r="N2406" s="5" t="s">
        <v>242</v>
      </c>
      <c r="O2406" s="5">
        <v>1</v>
      </c>
      <c r="P2406" s="5" t="s">
        <v>294</v>
      </c>
      <c r="Q2406" s="5" t="s">
        <v>613</v>
      </c>
      <c r="R2406" s="5" t="s">
        <v>240</v>
      </c>
      <c r="S2406" s="5" t="s">
        <v>240</v>
      </c>
      <c r="T2406" s="5" t="s">
        <v>243</v>
      </c>
      <c r="U2406" s="5" t="s">
        <v>244</v>
      </c>
      <c r="V2406" s="5" t="s">
        <v>240</v>
      </c>
      <c r="Y2406" s="5" t="s">
        <v>240</v>
      </c>
      <c r="Z2406" s="6" t="s">
        <v>298</v>
      </c>
      <c r="AB2406" s="6" t="s">
        <v>240</v>
      </c>
      <c r="AE2406" s="6" t="s">
        <v>299</v>
      </c>
      <c r="AF2406" s="5" t="s">
        <v>248</v>
      </c>
      <c r="AG2406" s="5" t="s">
        <v>249</v>
      </c>
      <c r="AW2406" s="5" t="s">
        <v>251</v>
      </c>
      <c r="AX2406" s="5" t="s">
        <v>240</v>
      </c>
      <c r="AY2406" s="5" t="s">
        <v>253</v>
      </c>
      <c r="AZ2406" s="5" t="s">
        <v>240</v>
      </c>
      <c r="BA2406" s="5" t="s">
        <v>255</v>
      </c>
      <c r="BB2406" s="5" t="s">
        <v>240</v>
      </c>
      <c r="BD2406" s="5" t="s">
        <v>240</v>
      </c>
      <c r="BF2406" s="5" t="s">
        <v>301</v>
      </c>
      <c r="BG2406" s="6" t="s">
        <v>299</v>
      </c>
      <c r="BH2406" s="5" t="s">
        <v>302</v>
      </c>
      <c r="BI2406" s="5" t="s">
        <v>303</v>
      </c>
      <c r="BJ2406" s="5" t="s">
        <v>240</v>
      </c>
      <c r="BK2406" s="8">
        <f>0</f>
        <v>0</v>
      </c>
      <c r="BL2406" s="7">
        <f>0</f>
        <v>0</v>
      </c>
      <c r="BM2406" s="5" t="s">
        <v>258</v>
      </c>
      <c r="BN2406" s="5" t="s">
        <v>259</v>
      </c>
      <c r="CB2406" s="5" t="s">
        <v>240</v>
      </c>
      <c r="CC2406" s="5" t="s">
        <v>240</v>
      </c>
      <c r="CG2406" s="5" t="s">
        <v>617</v>
      </c>
      <c r="CH2406" s="5" t="s">
        <v>305</v>
      </c>
      <c r="CI2406" s="5" t="s">
        <v>240</v>
      </c>
      <c r="CL2406" s="6" t="s">
        <v>261</v>
      </c>
      <c r="CM2406" s="5" t="s">
        <v>240</v>
      </c>
      <c r="CN2406" s="5" t="s">
        <v>263</v>
      </c>
      <c r="CO2406" s="5" t="s">
        <v>240</v>
      </c>
      <c r="CP2406" s="5" t="s">
        <v>240</v>
      </c>
      <c r="CQ2406" s="5">
        <v>0</v>
      </c>
      <c r="CR2406" s="5" t="s">
        <v>306</v>
      </c>
      <c r="CS2406" s="5" t="s">
        <v>307</v>
      </c>
      <c r="CT2406" s="5" t="s">
        <v>307</v>
      </c>
      <c r="CU2406" s="5" t="s">
        <v>260</v>
      </c>
      <c r="CX2406" s="7">
        <f>6638355</f>
        <v>6638355</v>
      </c>
      <c r="CY2406" s="7">
        <f>0</f>
        <v>0</v>
      </c>
      <c r="DA2406" s="7">
        <f>0</f>
        <v>0</v>
      </c>
      <c r="DC2406" s="5" t="s">
        <v>689</v>
      </c>
      <c r="DD2406" s="5" t="s">
        <v>240</v>
      </c>
      <c r="DF2406" s="5" t="s">
        <v>450</v>
      </c>
      <c r="DG2406" s="7">
        <f>0</f>
        <v>0</v>
      </c>
      <c r="DH2406" s="6" t="s">
        <v>4497</v>
      </c>
      <c r="DI2406" s="5" t="s">
        <v>618</v>
      </c>
      <c r="DJ2406" s="5" t="s">
        <v>240</v>
      </c>
      <c r="DK2406" s="5" t="s">
        <v>240</v>
      </c>
      <c r="DL2406" s="5" t="s">
        <v>240</v>
      </c>
      <c r="DP2406" s="5" t="s">
        <v>240</v>
      </c>
      <c r="DQ2406" s="5" t="s">
        <v>240</v>
      </c>
      <c r="DR2406" s="5" t="s">
        <v>240</v>
      </c>
      <c r="DS2406" s="5" t="s">
        <v>240</v>
      </c>
      <c r="DV2406" s="5" t="s">
        <v>2135</v>
      </c>
      <c r="DW2406" s="5" t="s">
        <v>621</v>
      </c>
      <c r="HO2406" s="5" t="s">
        <v>312</v>
      </c>
    </row>
    <row r="2407" spans="1:223" x14ac:dyDescent="0.4">
      <c r="A2407" s="5">
        <v>4111</v>
      </c>
      <c r="B2407" s="5">
        <v>1</v>
      </c>
      <c r="C2407" s="5">
        <v>1</v>
      </c>
      <c r="D2407" s="5" t="s">
        <v>810</v>
      </c>
      <c r="E2407" s="5" t="s">
        <v>245</v>
      </c>
      <c r="F2407" s="5" t="s">
        <v>254</v>
      </c>
      <c r="G2407" s="5" t="s">
        <v>240</v>
      </c>
      <c r="H2407" s="6" t="s">
        <v>3734</v>
      </c>
      <c r="I2407" s="5" t="s">
        <v>809</v>
      </c>
      <c r="J2407" s="8">
        <f>967</f>
        <v>967</v>
      </c>
      <c r="K2407" s="5" t="s">
        <v>308</v>
      </c>
      <c r="L2407" s="7">
        <f>1</f>
        <v>1</v>
      </c>
      <c r="M2407" s="7">
        <f>1</f>
        <v>1</v>
      </c>
      <c r="N2407" s="5" t="s">
        <v>242</v>
      </c>
      <c r="O2407" s="5">
        <v>1</v>
      </c>
      <c r="P2407" s="5" t="s">
        <v>294</v>
      </c>
      <c r="Q2407" s="5" t="s">
        <v>266</v>
      </c>
      <c r="R2407" s="5" t="s">
        <v>240</v>
      </c>
      <c r="S2407" s="5" t="s">
        <v>240</v>
      </c>
      <c r="T2407" s="5" t="s">
        <v>296</v>
      </c>
      <c r="U2407" s="5" t="s">
        <v>244</v>
      </c>
      <c r="V2407" s="5" t="s">
        <v>240</v>
      </c>
      <c r="Y2407" s="5" t="s">
        <v>240</v>
      </c>
      <c r="Z2407" s="6" t="s">
        <v>298</v>
      </c>
      <c r="AB2407" s="6" t="s">
        <v>240</v>
      </c>
      <c r="AE2407" s="6" t="s">
        <v>299</v>
      </c>
      <c r="AF2407" s="5" t="s">
        <v>248</v>
      </c>
      <c r="AG2407" s="5" t="s">
        <v>249</v>
      </c>
      <c r="AW2407" s="5" t="s">
        <v>251</v>
      </c>
      <c r="AX2407" s="5" t="s">
        <v>240</v>
      </c>
      <c r="AY2407" s="5" t="s">
        <v>253</v>
      </c>
      <c r="AZ2407" s="5" t="s">
        <v>240</v>
      </c>
      <c r="BA2407" s="5" t="s">
        <v>255</v>
      </c>
      <c r="BB2407" s="5" t="s">
        <v>240</v>
      </c>
      <c r="BD2407" s="5" t="s">
        <v>240</v>
      </c>
      <c r="BF2407" s="5" t="s">
        <v>301</v>
      </c>
      <c r="BG2407" s="6" t="s">
        <v>299</v>
      </c>
      <c r="BH2407" s="5" t="s">
        <v>302</v>
      </c>
      <c r="BI2407" s="5" t="s">
        <v>303</v>
      </c>
      <c r="BJ2407" s="5" t="s">
        <v>240</v>
      </c>
      <c r="BK2407" s="8">
        <f>0</f>
        <v>0</v>
      </c>
      <c r="BL2407" s="7">
        <f>0</f>
        <v>0</v>
      </c>
      <c r="BM2407" s="5" t="s">
        <v>258</v>
      </c>
      <c r="BN2407" s="5" t="s">
        <v>259</v>
      </c>
      <c r="CB2407" s="5" t="s">
        <v>240</v>
      </c>
      <c r="CC2407" s="5" t="s">
        <v>240</v>
      </c>
      <c r="CG2407" s="5" t="s">
        <v>304</v>
      </c>
      <c r="CH2407" s="5" t="s">
        <v>305</v>
      </c>
      <c r="CI2407" s="5" t="s">
        <v>240</v>
      </c>
      <c r="CL2407" s="6" t="s">
        <v>261</v>
      </c>
      <c r="CM2407" s="5" t="s">
        <v>240</v>
      </c>
      <c r="CN2407" s="5" t="s">
        <v>263</v>
      </c>
      <c r="CO2407" s="5" t="s">
        <v>240</v>
      </c>
      <c r="CP2407" s="5" t="s">
        <v>240</v>
      </c>
      <c r="CQ2407" s="5">
        <v>0</v>
      </c>
      <c r="CR2407" s="5" t="s">
        <v>306</v>
      </c>
      <c r="CS2407" s="5" t="s">
        <v>307</v>
      </c>
      <c r="CT2407" s="5" t="s">
        <v>307</v>
      </c>
      <c r="CU2407" s="5" t="s">
        <v>260</v>
      </c>
      <c r="CX2407" s="7">
        <f>1</f>
        <v>1</v>
      </c>
      <c r="CY2407" s="7">
        <f>0</f>
        <v>0</v>
      </c>
      <c r="DA2407" s="7">
        <f>0</f>
        <v>0</v>
      </c>
      <c r="DC2407" s="5" t="s">
        <v>309</v>
      </c>
      <c r="DD2407" s="5" t="s">
        <v>240</v>
      </c>
      <c r="DF2407" s="5" t="s">
        <v>309</v>
      </c>
      <c r="DG2407" s="7">
        <f>292</f>
        <v>292</v>
      </c>
      <c r="DI2407" s="5" t="s">
        <v>240</v>
      </c>
      <c r="DJ2407" s="5" t="s">
        <v>240</v>
      </c>
      <c r="DK2407" s="5" t="s">
        <v>240</v>
      </c>
      <c r="DL2407" s="5" t="s">
        <v>240</v>
      </c>
      <c r="DP2407" s="5" t="s">
        <v>240</v>
      </c>
      <c r="DQ2407" s="5" t="s">
        <v>240</v>
      </c>
      <c r="DR2407" s="5" t="s">
        <v>240</v>
      </c>
      <c r="DS2407" s="5" t="s">
        <v>240</v>
      </c>
      <c r="DV2407" s="5" t="s">
        <v>310</v>
      </c>
      <c r="DW2407" s="5" t="s">
        <v>2866</v>
      </c>
      <c r="HO2407" s="5" t="s">
        <v>312</v>
      </c>
    </row>
    <row r="2408" spans="1:223" x14ac:dyDescent="0.4">
      <c r="A2408" s="5">
        <v>4112</v>
      </c>
      <c r="B2408" s="5">
        <v>1</v>
      </c>
      <c r="C2408" s="5">
        <v>1</v>
      </c>
      <c r="D2408" s="5" t="s">
        <v>810</v>
      </c>
      <c r="E2408" s="5" t="s">
        <v>245</v>
      </c>
      <c r="F2408" s="5" t="s">
        <v>254</v>
      </c>
      <c r="G2408" s="5" t="s">
        <v>240</v>
      </c>
      <c r="H2408" s="6" t="s">
        <v>3732</v>
      </c>
      <c r="I2408" s="5" t="s">
        <v>809</v>
      </c>
      <c r="J2408" s="8">
        <f>284</f>
        <v>284</v>
      </c>
      <c r="K2408" s="5" t="s">
        <v>308</v>
      </c>
      <c r="L2408" s="7">
        <f>1</f>
        <v>1</v>
      </c>
      <c r="M2408" s="7">
        <f>1</f>
        <v>1</v>
      </c>
      <c r="N2408" s="5" t="s">
        <v>242</v>
      </c>
      <c r="O2408" s="5">
        <v>1</v>
      </c>
      <c r="P2408" s="5" t="s">
        <v>294</v>
      </c>
      <c r="Q2408" s="5" t="s">
        <v>266</v>
      </c>
      <c r="R2408" s="5" t="s">
        <v>240</v>
      </c>
      <c r="S2408" s="5" t="s">
        <v>240</v>
      </c>
      <c r="T2408" s="5" t="s">
        <v>296</v>
      </c>
      <c r="U2408" s="5" t="s">
        <v>244</v>
      </c>
      <c r="V2408" s="5" t="s">
        <v>240</v>
      </c>
      <c r="Y2408" s="5" t="s">
        <v>240</v>
      </c>
      <c r="Z2408" s="6" t="s">
        <v>298</v>
      </c>
      <c r="AB2408" s="6" t="s">
        <v>240</v>
      </c>
      <c r="AE2408" s="6" t="s">
        <v>299</v>
      </c>
      <c r="AF2408" s="5" t="s">
        <v>248</v>
      </c>
      <c r="AG2408" s="5" t="s">
        <v>249</v>
      </c>
      <c r="AW2408" s="5" t="s">
        <v>251</v>
      </c>
      <c r="AX2408" s="5" t="s">
        <v>240</v>
      </c>
      <c r="AY2408" s="5" t="s">
        <v>253</v>
      </c>
      <c r="AZ2408" s="5" t="s">
        <v>240</v>
      </c>
      <c r="BA2408" s="5" t="s">
        <v>255</v>
      </c>
      <c r="BB2408" s="5" t="s">
        <v>240</v>
      </c>
      <c r="BD2408" s="5" t="s">
        <v>240</v>
      </c>
      <c r="BF2408" s="5" t="s">
        <v>301</v>
      </c>
      <c r="BG2408" s="6" t="s">
        <v>299</v>
      </c>
      <c r="BH2408" s="5" t="s">
        <v>302</v>
      </c>
      <c r="BI2408" s="5" t="s">
        <v>303</v>
      </c>
      <c r="BJ2408" s="5" t="s">
        <v>240</v>
      </c>
      <c r="BK2408" s="8">
        <f>0</f>
        <v>0</v>
      </c>
      <c r="BL2408" s="7">
        <f>0</f>
        <v>0</v>
      </c>
      <c r="BM2408" s="5" t="s">
        <v>258</v>
      </c>
      <c r="BN2408" s="5" t="s">
        <v>259</v>
      </c>
      <c r="CB2408" s="5" t="s">
        <v>240</v>
      </c>
      <c r="CC2408" s="5" t="s">
        <v>240</v>
      </c>
      <c r="CG2408" s="5" t="s">
        <v>304</v>
      </c>
      <c r="CH2408" s="5" t="s">
        <v>305</v>
      </c>
      <c r="CI2408" s="5" t="s">
        <v>240</v>
      </c>
      <c r="CL2408" s="6" t="s">
        <v>261</v>
      </c>
      <c r="CM2408" s="5" t="s">
        <v>240</v>
      </c>
      <c r="CN2408" s="5" t="s">
        <v>263</v>
      </c>
      <c r="CO2408" s="5" t="s">
        <v>240</v>
      </c>
      <c r="CP2408" s="5" t="s">
        <v>240</v>
      </c>
      <c r="CQ2408" s="5">
        <v>0</v>
      </c>
      <c r="CR2408" s="5" t="s">
        <v>306</v>
      </c>
      <c r="CS2408" s="5" t="s">
        <v>307</v>
      </c>
      <c r="CT2408" s="5" t="s">
        <v>307</v>
      </c>
      <c r="CU2408" s="5" t="s">
        <v>260</v>
      </c>
      <c r="CX2408" s="7">
        <f>1</f>
        <v>1</v>
      </c>
      <c r="CY2408" s="7">
        <f>0</f>
        <v>0</v>
      </c>
      <c r="DA2408" s="7">
        <f>0</f>
        <v>0</v>
      </c>
      <c r="DC2408" s="5" t="s">
        <v>309</v>
      </c>
      <c r="DD2408" s="5" t="s">
        <v>240</v>
      </c>
      <c r="DF2408" s="5" t="s">
        <v>309</v>
      </c>
      <c r="DG2408" s="7">
        <f>2023</f>
        <v>2023</v>
      </c>
      <c r="DI2408" s="5" t="s">
        <v>240</v>
      </c>
      <c r="DJ2408" s="5" t="s">
        <v>240</v>
      </c>
      <c r="DK2408" s="5" t="s">
        <v>240</v>
      </c>
      <c r="DL2408" s="5" t="s">
        <v>240</v>
      </c>
      <c r="DP2408" s="5" t="s">
        <v>240</v>
      </c>
      <c r="DQ2408" s="5" t="s">
        <v>240</v>
      </c>
      <c r="DR2408" s="5" t="s">
        <v>240</v>
      </c>
      <c r="DS2408" s="5" t="s">
        <v>240</v>
      </c>
      <c r="DV2408" s="5" t="s">
        <v>310</v>
      </c>
      <c r="DW2408" s="5" t="s">
        <v>2868</v>
      </c>
      <c r="HO2408" s="5" t="s">
        <v>312</v>
      </c>
    </row>
    <row r="2409" spans="1:223" x14ac:dyDescent="0.4">
      <c r="A2409" s="5">
        <v>4113</v>
      </c>
      <c r="B2409" s="5">
        <v>1</v>
      </c>
      <c r="C2409" s="5">
        <v>1</v>
      </c>
      <c r="D2409" s="5" t="s">
        <v>810</v>
      </c>
      <c r="E2409" s="5" t="s">
        <v>245</v>
      </c>
      <c r="F2409" s="5" t="s">
        <v>254</v>
      </c>
      <c r="G2409" s="5" t="s">
        <v>240</v>
      </c>
      <c r="H2409" s="6" t="s">
        <v>3955</v>
      </c>
      <c r="I2409" s="5" t="s">
        <v>809</v>
      </c>
      <c r="J2409" s="8">
        <f>526</f>
        <v>526</v>
      </c>
      <c r="K2409" s="5" t="s">
        <v>308</v>
      </c>
      <c r="L2409" s="7">
        <f>1</f>
        <v>1</v>
      </c>
      <c r="M2409" s="7">
        <f>1</f>
        <v>1</v>
      </c>
      <c r="N2409" s="5" t="s">
        <v>242</v>
      </c>
      <c r="O2409" s="5">
        <v>1</v>
      </c>
      <c r="P2409" s="5" t="s">
        <v>294</v>
      </c>
      <c r="Q2409" s="5" t="s">
        <v>266</v>
      </c>
      <c r="R2409" s="5" t="s">
        <v>240</v>
      </c>
      <c r="S2409" s="5" t="s">
        <v>240</v>
      </c>
      <c r="T2409" s="5" t="s">
        <v>296</v>
      </c>
      <c r="U2409" s="5" t="s">
        <v>244</v>
      </c>
      <c r="V2409" s="5" t="s">
        <v>240</v>
      </c>
      <c r="Y2409" s="5" t="s">
        <v>240</v>
      </c>
      <c r="Z2409" s="6" t="s">
        <v>298</v>
      </c>
      <c r="AB2409" s="6" t="s">
        <v>240</v>
      </c>
      <c r="AE2409" s="6" t="s">
        <v>299</v>
      </c>
      <c r="AF2409" s="5" t="s">
        <v>248</v>
      </c>
      <c r="AG2409" s="5" t="s">
        <v>249</v>
      </c>
      <c r="AW2409" s="5" t="s">
        <v>251</v>
      </c>
      <c r="AX2409" s="5" t="s">
        <v>240</v>
      </c>
      <c r="AY2409" s="5" t="s">
        <v>253</v>
      </c>
      <c r="AZ2409" s="5" t="s">
        <v>240</v>
      </c>
      <c r="BA2409" s="5" t="s">
        <v>255</v>
      </c>
      <c r="BB2409" s="5" t="s">
        <v>240</v>
      </c>
      <c r="BD2409" s="5" t="s">
        <v>240</v>
      </c>
      <c r="BF2409" s="5" t="s">
        <v>301</v>
      </c>
      <c r="BG2409" s="6" t="s">
        <v>299</v>
      </c>
      <c r="BH2409" s="5" t="s">
        <v>302</v>
      </c>
      <c r="BI2409" s="5" t="s">
        <v>303</v>
      </c>
      <c r="BJ2409" s="5" t="s">
        <v>240</v>
      </c>
      <c r="BK2409" s="8">
        <f>0</f>
        <v>0</v>
      </c>
      <c r="BL2409" s="7">
        <f>0</f>
        <v>0</v>
      </c>
      <c r="BM2409" s="5" t="s">
        <v>258</v>
      </c>
      <c r="BN2409" s="5" t="s">
        <v>259</v>
      </c>
      <c r="CB2409" s="5" t="s">
        <v>240</v>
      </c>
      <c r="CC2409" s="5" t="s">
        <v>240</v>
      </c>
      <c r="CG2409" s="5" t="s">
        <v>304</v>
      </c>
      <c r="CH2409" s="5" t="s">
        <v>305</v>
      </c>
      <c r="CI2409" s="5" t="s">
        <v>240</v>
      </c>
      <c r="CL2409" s="6" t="s">
        <v>261</v>
      </c>
      <c r="CM2409" s="5" t="s">
        <v>240</v>
      </c>
      <c r="CN2409" s="5" t="s">
        <v>263</v>
      </c>
      <c r="CO2409" s="5" t="s">
        <v>240</v>
      </c>
      <c r="CP2409" s="5" t="s">
        <v>240</v>
      </c>
      <c r="CQ2409" s="5">
        <v>0</v>
      </c>
      <c r="CR2409" s="5" t="s">
        <v>306</v>
      </c>
      <c r="CS2409" s="5" t="s">
        <v>307</v>
      </c>
      <c r="CT2409" s="5" t="s">
        <v>307</v>
      </c>
      <c r="CU2409" s="5" t="s">
        <v>260</v>
      </c>
      <c r="CX2409" s="7">
        <f>1</f>
        <v>1</v>
      </c>
      <c r="CY2409" s="7">
        <f>0</f>
        <v>0</v>
      </c>
      <c r="DA2409" s="7">
        <f>0</f>
        <v>0</v>
      </c>
      <c r="DC2409" s="5" t="s">
        <v>309</v>
      </c>
      <c r="DD2409" s="5" t="s">
        <v>240</v>
      </c>
      <c r="DF2409" s="5" t="s">
        <v>309</v>
      </c>
      <c r="DG2409" s="7">
        <f>798</f>
        <v>798</v>
      </c>
      <c r="DI2409" s="5" t="s">
        <v>240</v>
      </c>
      <c r="DJ2409" s="5" t="s">
        <v>240</v>
      </c>
      <c r="DK2409" s="5" t="s">
        <v>240</v>
      </c>
      <c r="DL2409" s="5" t="s">
        <v>240</v>
      </c>
      <c r="DP2409" s="5" t="s">
        <v>240</v>
      </c>
      <c r="DQ2409" s="5" t="s">
        <v>240</v>
      </c>
      <c r="DR2409" s="5" t="s">
        <v>240</v>
      </c>
      <c r="DS2409" s="5" t="s">
        <v>240</v>
      </c>
      <c r="DV2409" s="5" t="s">
        <v>310</v>
      </c>
      <c r="DW2409" s="5" t="s">
        <v>2870</v>
      </c>
      <c r="HO2409" s="5" t="s">
        <v>312</v>
      </c>
    </row>
    <row r="2410" spans="1:223" x14ac:dyDescent="0.4">
      <c r="A2410" s="5">
        <v>4114</v>
      </c>
      <c r="B2410" s="5">
        <v>1</v>
      </c>
      <c r="C2410" s="5">
        <v>1</v>
      </c>
      <c r="D2410" s="5" t="s">
        <v>810</v>
      </c>
      <c r="E2410" s="5" t="s">
        <v>245</v>
      </c>
      <c r="F2410" s="5" t="s">
        <v>254</v>
      </c>
      <c r="G2410" s="5" t="s">
        <v>240</v>
      </c>
      <c r="H2410" s="6" t="s">
        <v>3727</v>
      </c>
      <c r="I2410" s="5" t="s">
        <v>809</v>
      </c>
      <c r="J2410" s="8">
        <f>596</f>
        <v>596</v>
      </c>
      <c r="K2410" s="5" t="s">
        <v>308</v>
      </c>
      <c r="L2410" s="7">
        <f>1</f>
        <v>1</v>
      </c>
      <c r="M2410" s="7">
        <f>1</f>
        <v>1</v>
      </c>
      <c r="N2410" s="5" t="s">
        <v>242</v>
      </c>
      <c r="O2410" s="5">
        <v>1</v>
      </c>
      <c r="P2410" s="5" t="s">
        <v>294</v>
      </c>
      <c r="Q2410" s="5" t="s">
        <v>266</v>
      </c>
      <c r="R2410" s="5" t="s">
        <v>240</v>
      </c>
      <c r="S2410" s="5" t="s">
        <v>240</v>
      </c>
      <c r="T2410" s="5" t="s">
        <v>296</v>
      </c>
      <c r="U2410" s="5" t="s">
        <v>244</v>
      </c>
      <c r="V2410" s="5" t="s">
        <v>240</v>
      </c>
      <c r="Y2410" s="5" t="s">
        <v>240</v>
      </c>
      <c r="Z2410" s="6" t="s">
        <v>298</v>
      </c>
      <c r="AB2410" s="6" t="s">
        <v>240</v>
      </c>
      <c r="AE2410" s="6" t="s">
        <v>299</v>
      </c>
      <c r="AF2410" s="5" t="s">
        <v>248</v>
      </c>
      <c r="AG2410" s="5" t="s">
        <v>249</v>
      </c>
      <c r="AW2410" s="5" t="s">
        <v>251</v>
      </c>
      <c r="AX2410" s="5" t="s">
        <v>240</v>
      </c>
      <c r="AY2410" s="5" t="s">
        <v>253</v>
      </c>
      <c r="AZ2410" s="5" t="s">
        <v>240</v>
      </c>
      <c r="BA2410" s="5" t="s">
        <v>255</v>
      </c>
      <c r="BB2410" s="5" t="s">
        <v>240</v>
      </c>
      <c r="BD2410" s="5" t="s">
        <v>240</v>
      </c>
      <c r="BF2410" s="5" t="s">
        <v>301</v>
      </c>
      <c r="BG2410" s="6" t="s">
        <v>299</v>
      </c>
      <c r="BH2410" s="5" t="s">
        <v>302</v>
      </c>
      <c r="BI2410" s="5" t="s">
        <v>303</v>
      </c>
      <c r="BJ2410" s="5" t="s">
        <v>240</v>
      </c>
      <c r="BK2410" s="8">
        <f>0</f>
        <v>0</v>
      </c>
      <c r="BL2410" s="7">
        <f>0</f>
        <v>0</v>
      </c>
      <c r="BM2410" s="5" t="s">
        <v>258</v>
      </c>
      <c r="BN2410" s="5" t="s">
        <v>259</v>
      </c>
      <c r="CB2410" s="5" t="s">
        <v>240</v>
      </c>
      <c r="CC2410" s="5" t="s">
        <v>240</v>
      </c>
      <c r="CG2410" s="5" t="s">
        <v>304</v>
      </c>
      <c r="CH2410" s="5" t="s">
        <v>305</v>
      </c>
      <c r="CI2410" s="5" t="s">
        <v>240</v>
      </c>
      <c r="CL2410" s="6" t="s">
        <v>261</v>
      </c>
      <c r="CM2410" s="5" t="s">
        <v>240</v>
      </c>
      <c r="CN2410" s="5" t="s">
        <v>263</v>
      </c>
      <c r="CO2410" s="5" t="s">
        <v>240</v>
      </c>
      <c r="CP2410" s="5" t="s">
        <v>240</v>
      </c>
      <c r="CQ2410" s="5">
        <v>0</v>
      </c>
      <c r="CR2410" s="5" t="s">
        <v>306</v>
      </c>
      <c r="CS2410" s="5" t="s">
        <v>307</v>
      </c>
      <c r="CT2410" s="5" t="s">
        <v>307</v>
      </c>
      <c r="CU2410" s="5" t="s">
        <v>260</v>
      </c>
      <c r="CX2410" s="7">
        <f>1</f>
        <v>1</v>
      </c>
      <c r="CY2410" s="7">
        <f>0</f>
        <v>0</v>
      </c>
      <c r="DA2410" s="7">
        <f>0</f>
        <v>0</v>
      </c>
      <c r="DC2410" s="5" t="s">
        <v>309</v>
      </c>
      <c r="DD2410" s="5" t="s">
        <v>240</v>
      </c>
      <c r="DF2410" s="5" t="s">
        <v>309</v>
      </c>
      <c r="DG2410" s="7">
        <f>114</f>
        <v>114</v>
      </c>
      <c r="DI2410" s="5" t="s">
        <v>240</v>
      </c>
      <c r="DJ2410" s="5" t="s">
        <v>240</v>
      </c>
      <c r="DK2410" s="5" t="s">
        <v>240</v>
      </c>
      <c r="DL2410" s="5" t="s">
        <v>240</v>
      </c>
      <c r="DP2410" s="5" t="s">
        <v>240</v>
      </c>
      <c r="DQ2410" s="5" t="s">
        <v>240</v>
      </c>
      <c r="DR2410" s="5" t="s">
        <v>240</v>
      </c>
      <c r="DS2410" s="5" t="s">
        <v>240</v>
      </c>
      <c r="DV2410" s="5" t="s">
        <v>310</v>
      </c>
      <c r="DW2410" s="5" t="s">
        <v>2872</v>
      </c>
      <c r="HO2410" s="5" t="s">
        <v>312</v>
      </c>
    </row>
    <row r="2411" spans="1:223" x14ac:dyDescent="0.4">
      <c r="A2411" s="5">
        <v>4115</v>
      </c>
      <c r="B2411" s="5">
        <v>1</v>
      </c>
      <c r="C2411" s="5">
        <v>1</v>
      </c>
      <c r="D2411" s="5" t="s">
        <v>810</v>
      </c>
      <c r="E2411" s="5" t="s">
        <v>245</v>
      </c>
      <c r="F2411" s="5" t="s">
        <v>254</v>
      </c>
      <c r="G2411" s="5" t="s">
        <v>240</v>
      </c>
      <c r="H2411" s="6" t="s">
        <v>3957</v>
      </c>
      <c r="I2411" s="5" t="s">
        <v>809</v>
      </c>
      <c r="J2411" s="8">
        <f>499</f>
        <v>499</v>
      </c>
      <c r="K2411" s="5" t="s">
        <v>308</v>
      </c>
      <c r="L2411" s="7">
        <f>1</f>
        <v>1</v>
      </c>
      <c r="M2411" s="7">
        <f>1</f>
        <v>1</v>
      </c>
      <c r="N2411" s="5" t="s">
        <v>242</v>
      </c>
      <c r="O2411" s="5">
        <v>1</v>
      </c>
      <c r="P2411" s="5" t="s">
        <v>294</v>
      </c>
      <c r="Q2411" s="5" t="s">
        <v>266</v>
      </c>
      <c r="R2411" s="5" t="s">
        <v>240</v>
      </c>
      <c r="S2411" s="5" t="s">
        <v>240</v>
      </c>
      <c r="T2411" s="5" t="s">
        <v>296</v>
      </c>
      <c r="U2411" s="5" t="s">
        <v>244</v>
      </c>
      <c r="V2411" s="5" t="s">
        <v>240</v>
      </c>
      <c r="Y2411" s="5" t="s">
        <v>240</v>
      </c>
      <c r="Z2411" s="6" t="s">
        <v>298</v>
      </c>
      <c r="AB2411" s="6" t="s">
        <v>240</v>
      </c>
      <c r="AE2411" s="6" t="s">
        <v>299</v>
      </c>
      <c r="AF2411" s="5" t="s">
        <v>248</v>
      </c>
      <c r="AG2411" s="5" t="s">
        <v>249</v>
      </c>
      <c r="AW2411" s="5" t="s">
        <v>251</v>
      </c>
      <c r="AX2411" s="5" t="s">
        <v>240</v>
      </c>
      <c r="AY2411" s="5" t="s">
        <v>253</v>
      </c>
      <c r="AZ2411" s="5" t="s">
        <v>240</v>
      </c>
      <c r="BA2411" s="5" t="s">
        <v>255</v>
      </c>
      <c r="BB2411" s="5" t="s">
        <v>240</v>
      </c>
      <c r="BD2411" s="5" t="s">
        <v>240</v>
      </c>
      <c r="BF2411" s="5" t="s">
        <v>301</v>
      </c>
      <c r="BG2411" s="6" t="s">
        <v>299</v>
      </c>
      <c r="BH2411" s="5" t="s">
        <v>302</v>
      </c>
      <c r="BI2411" s="5" t="s">
        <v>303</v>
      </c>
      <c r="BJ2411" s="5" t="s">
        <v>240</v>
      </c>
      <c r="BK2411" s="8">
        <f>0</f>
        <v>0</v>
      </c>
      <c r="BL2411" s="7">
        <f>0</f>
        <v>0</v>
      </c>
      <c r="BM2411" s="5" t="s">
        <v>258</v>
      </c>
      <c r="BN2411" s="5" t="s">
        <v>259</v>
      </c>
      <c r="CB2411" s="5" t="s">
        <v>240</v>
      </c>
      <c r="CC2411" s="5" t="s">
        <v>240</v>
      </c>
      <c r="CG2411" s="5" t="s">
        <v>304</v>
      </c>
      <c r="CH2411" s="5" t="s">
        <v>305</v>
      </c>
      <c r="CI2411" s="5" t="s">
        <v>240</v>
      </c>
      <c r="CL2411" s="6" t="s">
        <v>261</v>
      </c>
      <c r="CM2411" s="5" t="s">
        <v>240</v>
      </c>
      <c r="CN2411" s="5" t="s">
        <v>263</v>
      </c>
      <c r="CO2411" s="5" t="s">
        <v>240</v>
      </c>
      <c r="CP2411" s="5" t="s">
        <v>240</v>
      </c>
      <c r="CQ2411" s="5">
        <v>0</v>
      </c>
      <c r="CR2411" s="5" t="s">
        <v>306</v>
      </c>
      <c r="CS2411" s="5" t="s">
        <v>307</v>
      </c>
      <c r="CT2411" s="5" t="s">
        <v>307</v>
      </c>
      <c r="CU2411" s="5" t="s">
        <v>260</v>
      </c>
      <c r="CX2411" s="7">
        <f>1</f>
        <v>1</v>
      </c>
      <c r="CY2411" s="7">
        <f>0</f>
        <v>0</v>
      </c>
      <c r="DA2411" s="7">
        <f>0</f>
        <v>0</v>
      </c>
      <c r="DC2411" s="5" t="s">
        <v>309</v>
      </c>
      <c r="DD2411" s="5" t="s">
        <v>240</v>
      </c>
      <c r="DF2411" s="5" t="s">
        <v>309</v>
      </c>
      <c r="DG2411" s="7">
        <f>1096</f>
        <v>1096</v>
      </c>
      <c r="DI2411" s="5" t="s">
        <v>240</v>
      </c>
      <c r="DJ2411" s="5" t="s">
        <v>240</v>
      </c>
      <c r="DK2411" s="5" t="s">
        <v>240</v>
      </c>
      <c r="DL2411" s="5" t="s">
        <v>240</v>
      </c>
      <c r="DP2411" s="5" t="s">
        <v>240</v>
      </c>
      <c r="DQ2411" s="5" t="s">
        <v>240</v>
      </c>
      <c r="DR2411" s="5" t="s">
        <v>240</v>
      </c>
      <c r="DS2411" s="5" t="s">
        <v>240</v>
      </c>
      <c r="DV2411" s="5" t="s">
        <v>310</v>
      </c>
      <c r="DW2411" s="5" t="s">
        <v>2874</v>
      </c>
      <c r="HO2411" s="5" t="s">
        <v>312</v>
      </c>
    </row>
    <row r="2412" spans="1:223" x14ac:dyDescent="0.4">
      <c r="A2412" s="5">
        <v>4116</v>
      </c>
      <c r="B2412" s="5">
        <v>1</v>
      </c>
      <c r="C2412" s="5">
        <v>1</v>
      </c>
      <c r="D2412" s="5" t="s">
        <v>810</v>
      </c>
      <c r="E2412" s="5" t="s">
        <v>245</v>
      </c>
      <c r="F2412" s="5" t="s">
        <v>254</v>
      </c>
      <c r="G2412" s="5" t="s">
        <v>240</v>
      </c>
      <c r="H2412" s="6" t="s">
        <v>3723</v>
      </c>
      <c r="I2412" s="5" t="s">
        <v>809</v>
      </c>
      <c r="J2412" s="8">
        <f>2631</f>
        <v>2631</v>
      </c>
      <c r="K2412" s="5" t="s">
        <v>308</v>
      </c>
      <c r="L2412" s="7">
        <f>1</f>
        <v>1</v>
      </c>
      <c r="M2412" s="7">
        <f>1</f>
        <v>1</v>
      </c>
      <c r="N2412" s="5" t="s">
        <v>242</v>
      </c>
      <c r="O2412" s="5">
        <v>1</v>
      </c>
      <c r="P2412" s="5" t="s">
        <v>294</v>
      </c>
      <c r="Q2412" s="5" t="s">
        <v>266</v>
      </c>
      <c r="R2412" s="5" t="s">
        <v>240</v>
      </c>
      <c r="S2412" s="5" t="s">
        <v>240</v>
      </c>
      <c r="T2412" s="5" t="s">
        <v>296</v>
      </c>
      <c r="U2412" s="5" t="s">
        <v>244</v>
      </c>
      <c r="V2412" s="5" t="s">
        <v>240</v>
      </c>
      <c r="Y2412" s="5" t="s">
        <v>240</v>
      </c>
      <c r="Z2412" s="6" t="s">
        <v>298</v>
      </c>
      <c r="AB2412" s="6" t="s">
        <v>240</v>
      </c>
      <c r="AE2412" s="6" t="s">
        <v>299</v>
      </c>
      <c r="AF2412" s="5" t="s">
        <v>248</v>
      </c>
      <c r="AG2412" s="5" t="s">
        <v>249</v>
      </c>
      <c r="AW2412" s="5" t="s">
        <v>251</v>
      </c>
      <c r="AX2412" s="5" t="s">
        <v>240</v>
      </c>
      <c r="AY2412" s="5" t="s">
        <v>253</v>
      </c>
      <c r="AZ2412" s="5" t="s">
        <v>240</v>
      </c>
      <c r="BA2412" s="5" t="s">
        <v>255</v>
      </c>
      <c r="BB2412" s="5" t="s">
        <v>240</v>
      </c>
      <c r="BD2412" s="5" t="s">
        <v>240</v>
      </c>
      <c r="BF2412" s="5" t="s">
        <v>301</v>
      </c>
      <c r="BG2412" s="6" t="s">
        <v>299</v>
      </c>
      <c r="BH2412" s="5" t="s">
        <v>302</v>
      </c>
      <c r="BI2412" s="5" t="s">
        <v>303</v>
      </c>
      <c r="BJ2412" s="5" t="s">
        <v>240</v>
      </c>
      <c r="BK2412" s="8">
        <f>0</f>
        <v>0</v>
      </c>
      <c r="BL2412" s="7">
        <f>0</f>
        <v>0</v>
      </c>
      <c r="BM2412" s="5" t="s">
        <v>258</v>
      </c>
      <c r="BN2412" s="5" t="s">
        <v>259</v>
      </c>
      <c r="CB2412" s="5" t="s">
        <v>240</v>
      </c>
      <c r="CC2412" s="5" t="s">
        <v>240</v>
      </c>
      <c r="CG2412" s="5" t="s">
        <v>304</v>
      </c>
      <c r="CH2412" s="5" t="s">
        <v>305</v>
      </c>
      <c r="CI2412" s="5" t="s">
        <v>240</v>
      </c>
      <c r="CL2412" s="6" t="s">
        <v>261</v>
      </c>
      <c r="CM2412" s="5" t="s">
        <v>240</v>
      </c>
      <c r="CN2412" s="5" t="s">
        <v>263</v>
      </c>
      <c r="CO2412" s="5" t="s">
        <v>240</v>
      </c>
      <c r="CP2412" s="5" t="s">
        <v>240</v>
      </c>
      <c r="CQ2412" s="5">
        <v>0</v>
      </c>
      <c r="CR2412" s="5" t="s">
        <v>306</v>
      </c>
      <c r="CS2412" s="5" t="s">
        <v>307</v>
      </c>
      <c r="CT2412" s="5" t="s">
        <v>307</v>
      </c>
      <c r="CU2412" s="5" t="s">
        <v>260</v>
      </c>
      <c r="CX2412" s="7">
        <f>1</f>
        <v>1</v>
      </c>
      <c r="CY2412" s="7">
        <f>0</f>
        <v>0</v>
      </c>
      <c r="DA2412" s="7">
        <f>0</f>
        <v>0</v>
      </c>
      <c r="DC2412" s="5" t="s">
        <v>309</v>
      </c>
      <c r="DD2412" s="5" t="s">
        <v>240</v>
      </c>
      <c r="DF2412" s="5" t="s">
        <v>309</v>
      </c>
      <c r="DG2412" s="7">
        <f>1451</f>
        <v>1451</v>
      </c>
      <c r="DI2412" s="5" t="s">
        <v>240</v>
      </c>
      <c r="DJ2412" s="5" t="s">
        <v>240</v>
      </c>
      <c r="DK2412" s="5" t="s">
        <v>240</v>
      </c>
      <c r="DL2412" s="5" t="s">
        <v>240</v>
      </c>
      <c r="DP2412" s="5" t="s">
        <v>240</v>
      </c>
      <c r="DQ2412" s="5" t="s">
        <v>240</v>
      </c>
      <c r="DR2412" s="5" t="s">
        <v>240</v>
      </c>
      <c r="DS2412" s="5" t="s">
        <v>240</v>
      </c>
      <c r="DV2412" s="5" t="s">
        <v>310</v>
      </c>
      <c r="DW2412" s="5" t="s">
        <v>2876</v>
      </c>
      <c r="HO2412" s="5" t="s">
        <v>312</v>
      </c>
    </row>
    <row r="2413" spans="1:223" x14ac:dyDescent="0.4">
      <c r="A2413" s="5">
        <v>4117</v>
      </c>
      <c r="B2413" s="5">
        <v>1</v>
      </c>
      <c r="C2413" s="5">
        <v>1</v>
      </c>
      <c r="D2413" s="5" t="s">
        <v>810</v>
      </c>
      <c r="E2413" s="5" t="s">
        <v>245</v>
      </c>
      <c r="F2413" s="5" t="s">
        <v>254</v>
      </c>
      <c r="G2413" s="5" t="s">
        <v>240</v>
      </c>
      <c r="H2413" s="6" t="s">
        <v>3960</v>
      </c>
      <c r="I2413" s="5" t="s">
        <v>809</v>
      </c>
      <c r="J2413" s="8">
        <f>667</f>
        <v>667</v>
      </c>
      <c r="K2413" s="5" t="s">
        <v>308</v>
      </c>
      <c r="L2413" s="7">
        <f>1</f>
        <v>1</v>
      </c>
      <c r="M2413" s="7">
        <f>1</f>
        <v>1</v>
      </c>
      <c r="N2413" s="5" t="s">
        <v>242</v>
      </c>
      <c r="O2413" s="5">
        <v>1</v>
      </c>
      <c r="P2413" s="5" t="s">
        <v>294</v>
      </c>
      <c r="Q2413" s="5" t="s">
        <v>266</v>
      </c>
      <c r="R2413" s="5" t="s">
        <v>240</v>
      </c>
      <c r="S2413" s="5" t="s">
        <v>240</v>
      </c>
      <c r="T2413" s="5" t="s">
        <v>296</v>
      </c>
      <c r="U2413" s="5" t="s">
        <v>244</v>
      </c>
      <c r="V2413" s="5" t="s">
        <v>240</v>
      </c>
      <c r="Y2413" s="5" t="s">
        <v>240</v>
      </c>
      <c r="Z2413" s="6" t="s">
        <v>298</v>
      </c>
      <c r="AB2413" s="6" t="s">
        <v>240</v>
      </c>
      <c r="AE2413" s="6" t="s">
        <v>299</v>
      </c>
      <c r="AF2413" s="5" t="s">
        <v>248</v>
      </c>
      <c r="AG2413" s="5" t="s">
        <v>249</v>
      </c>
      <c r="AW2413" s="5" t="s">
        <v>251</v>
      </c>
      <c r="AX2413" s="5" t="s">
        <v>240</v>
      </c>
      <c r="AY2413" s="5" t="s">
        <v>253</v>
      </c>
      <c r="AZ2413" s="5" t="s">
        <v>240</v>
      </c>
      <c r="BA2413" s="5" t="s">
        <v>255</v>
      </c>
      <c r="BB2413" s="5" t="s">
        <v>240</v>
      </c>
      <c r="BD2413" s="5" t="s">
        <v>240</v>
      </c>
      <c r="BF2413" s="5" t="s">
        <v>301</v>
      </c>
      <c r="BG2413" s="6" t="s">
        <v>299</v>
      </c>
      <c r="BH2413" s="5" t="s">
        <v>302</v>
      </c>
      <c r="BI2413" s="5" t="s">
        <v>303</v>
      </c>
      <c r="BJ2413" s="5" t="s">
        <v>240</v>
      </c>
      <c r="BK2413" s="8">
        <f>0</f>
        <v>0</v>
      </c>
      <c r="BL2413" s="7">
        <f>0</f>
        <v>0</v>
      </c>
      <c r="BM2413" s="5" t="s">
        <v>258</v>
      </c>
      <c r="BN2413" s="5" t="s">
        <v>259</v>
      </c>
      <c r="CB2413" s="5" t="s">
        <v>240</v>
      </c>
      <c r="CC2413" s="5" t="s">
        <v>240</v>
      </c>
      <c r="CG2413" s="5" t="s">
        <v>304</v>
      </c>
      <c r="CH2413" s="5" t="s">
        <v>305</v>
      </c>
      <c r="CI2413" s="5" t="s">
        <v>240</v>
      </c>
      <c r="CL2413" s="6" t="s">
        <v>261</v>
      </c>
      <c r="CM2413" s="5" t="s">
        <v>240</v>
      </c>
      <c r="CN2413" s="5" t="s">
        <v>263</v>
      </c>
      <c r="CO2413" s="5" t="s">
        <v>240</v>
      </c>
      <c r="CP2413" s="5" t="s">
        <v>240</v>
      </c>
      <c r="CQ2413" s="5">
        <v>0</v>
      </c>
      <c r="CR2413" s="5" t="s">
        <v>306</v>
      </c>
      <c r="CS2413" s="5" t="s">
        <v>307</v>
      </c>
      <c r="CT2413" s="5" t="s">
        <v>307</v>
      </c>
      <c r="CU2413" s="5" t="s">
        <v>260</v>
      </c>
      <c r="CX2413" s="7">
        <f>1</f>
        <v>1</v>
      </c>
      <c r="CY2413" s="7">
        <f>0</f>
        <v>0</v>
      </c>
      <c r="DA2413" s="7">
        <f>0</f>
        <v>0</v>
      </c>
      <c r="DC2413" s="5" t="s">
        <v>309</v>
      </c>
      <c r="DD2413" s="5" t="s">
        <v>240</v>
      </c>
      <c r="DF2413" s="5" t="s">
        <v>309</v>
      </c>
      <c r="DG2413" s="7">
        <f>902</f>
        <v>902</v>
      </c>
      <c r="DI2413" s="5" t="s">
        <v>240</v>
      </c>
      <c r="DJ2413" s="5" t="s">
        <v>240</v>
      </c>
      <c r="DK2413" s="5" t="s">
        <v>240</v>
      </c>
      <c r="DL2413" s="5" t="s">
        <v>240</v>
      </c>
      <c r="DP2413" s="5" t="s">
        <v>240</v>
      </c>
      <c r="DQ2413" s="5" t="s">
        <v>240</v>
      </c>
      <c r="DR2413" s="5" t="s">
        <v>240</v>
      </c>
      <c r="DS2413" s="5" t="s">
        <v>240</v>
      </c>
      <c r="DV2413" s="5" t="s">
        <v>310</v>
      </c>
      <c r="DW2413" s="5" t="s">
        <v>2878</v>
      </c>
      <c r="HO2413" s="5" t="s">
        <v>312</v>
      </c>
    </row>
    <row r="2414" spans="1:223" x14ac:dyDescent="0.4">
      <c r="A2414" s="5">
        <v>4118</v>
      </c>
      <c r="B2414" s="5">
        <v>1</v>
      </c>
      <c r="C2414" s="5">
        <v>1</v>
      </c>
      <c r="D2414" s="5" t="s">
        <v>810</v>
      </c>
      <c r="E2414" s="5" t="s">
        <v>245</v>
      </c>
      <c r="F2414" s="5" t="s">
        <v>254</v>
      </c>
      <c r="G2414" s="5" t="s">
        <v>240</v>
      </c>
      <c r="H2414" s="6" t="s">
        <v>3719</v>
      </c>
      <c r="I2414" s="5" t="s">
        <v>809</v>
      </c>
      <c r="J2414" s="8">
        <f>215</f>
        <v>215</v>
      </c>
      <c r="K2414" s="5" t="s">
        <v>308</v>
      </c>
      <c r="L2414" s="7">
        <f>1</f>
        <v>1</v>
      </c>
      <c r="M2414" s="7">
        <f>1</f>
        <v>1</v>
      </c>
      <c r="N2414" s="5" t="s">
        <v>242</v>
      </c>
      <c r="O2414" s="5">
        <v>1</v>
      </c>
      <c r="P2414" s="5" t="s">
        <v>294</v>
      </c>
      <c r="Q2414" s="5" t="s">
        <v>613</v>
      </c>
      <c r="R2414" s="5" t="s">
        <v>240</v>
      </c>
      <c r="S2414" s="5" t="s">
        <v>240</v>
      </c>
      <c r="T2414" s="5" t="s">
        <v>243</v>
      </c>
      <c r="U2414" s="5" t="s">
        <v>244</v>
      </c>
      <c r="V2414" s="5" t="s">
        <v>240</v>
      </c>
      <c r="Y2414" s="5" t="s">
        <v>240</v>
      </c>
      <c r="Z2414" s="6" t="s">
        <v>298</v>
      </c>
      <c r="AB2414" s="6" t="s">
        <v>240</v>
      </c>
      <c r="AE2414" s="6" t="s">
        <v>299</v>
      </c>
      <c r="AF2414" s="5" t="s">
        <v>248</v>
      </c>
      <c r="AG2414" s="5" t="s">
        <v>249</v>
      </c>
      <c r="AW2414" s="5" t="s">
        <v>251</v>
      </c>
      <c r="AX2414" s="5" t="s">
        <v>240</v>
      </c>
      <c r="AY2414" s="5" t="s">
        <v>253</v>
      </c>
      <c r="AZ2414" s="5" t="s">
        <v>240</v>
      </c>
      <c r="BA2414" s="5" t="s">
        <v>255</v>
      </c>
      <c r="BB2414" s="5" t="s">
        <v>240</v>
      </c>
      <c r="BD2414" s="5" t="s">
        <v>686</v>
      </c>
      <c r="BF2414" s="5" t="s">
        <v>301</v>
      </c>
      <c r="BG2414" s="6" t="s">
        <v>299</v>
      </c>
      <c r="BH2414" s="5" t="s">
        <v>302</v>
      </c>
      <c r="BI2414" s="5" t="s">
        <v>303</v>
      </c>
      <c r="BJ2414" s="5" t="s">
        <v>240</v>
      </c>
      <c r="BK2414" s="8">
        <f>0</f>
        <v>0</v>
      </c>
      <c r="BL2414" s="7">
        <f>0</f>
        <v>0</v>
      </c>
      <c r="BM2414" s="5" t="s">
        <v>258</v>
      </c>
      <c r="BN2414" s="5" t="s">
        <v>259</v>
      </c>
      <c r="CB2414" s="5" t="s">
        <v>240</v>
      </c>
      <c r="CC2414" s="5" t="s">
        <v>240</v>
      </c>
      <c r="CG2414" s="5" t="s">
        <v>617</v>
      </c>
      <c r="CH2414" s="5" t="s">
        <v>305</v>
      </c>
      <c r="CI2414" s="5" t="s">
        <v>240</v>
      </c>
      <c r="CL2414" s="6" t="s">
        <v>261</v>
      </c>
      <c r="CM2414" s="5" t="s">
        <v>240</v>
      </c>
      <c r="CN2414" s="5" t="s">
        <v>263</v>
      </c>
      <c r="CO2414" s="5" t="s">
        <v>240</v>
      </c>
      <c r="CP2414" s="5" t="s">
        <v>240</v>
      </c>
      <c r="CQ2414" s="5">
        <v>0</v>
      </c>
      <c r="CR2414" s="5" t="s">
        <v>306</v>
      </c>
      <c r="CS2414" s="5" t="s">
        <v>307</v>
      </c>
      <c r="CT2414" s="5" t="s">
        <v>307</v>
      </c>
      <c r="CU2414" s="5" t="s">
        <v>260</v>
      </c>
      <c r="CX2414" s="7">
        <f>394270</f>
        <v>394270</v>
      </c>
      <c r="CY2414" s="7">
        <f>0</f>
        <v>0</v>
      </c>
      <c r="DA2414" s="7">
        <f>0</f>
        <v>0</v>
      </c>
      <c r="DC2414" s="5" t="s">
        <v>689</v>
      </c>
      <c r="DD2414" s="5" t="s">
        <v>240</v>
      </c>
      <c r="DF2414" s="5" t="s">
        <v>450</v>
      </c>
      <c r="DG2414" s="7">
        <f>0</f>
        <v>0</v>
      </c>
      <c r="DI2414" s="5" t="s">
        <v>618</v>
      </c>
      <c r="DJ2414" s="5" t="s">
        <v>240</v>
      </c>
      <c r="DK2414" s="5" t="s">
        <v>240</v>
      </c>
      <c r="DL2414" s="5" t="s">
        <v>240</v>
      </c>
      <c r="DP2414" s="5" t="s">
        <v>240</v>
      </c>
      <c r="DQ2414" s="5" t="s">
        <v>240</v>
      </c>
      <c r="DR2414" s="5" t="s">
        <v>240</v>
      </c>
      <c r="DS2414" s="5" t="s">
        <v>240</v>
      </c>
      <c r="DV2414" s="5" t="s">
        <v>1800</v>
      </c>
      <c r="DW2414" s="5" t="s">
        <v>312</v>
      </c>
      <c r="HO2414" s="5" t="s">
        <v>312</v>
      </c>
    </row>
    <row r="2415" spans="1:223" x14ac:dyDescent="0.4">
      <c r="A2415" s="5">
        <v>4119</v>
      </c>
      <c r="B2415" s="5">
        <v>1</v>
      </c>
      <c r="C2415" s="5">
        <v>1</v>
      </c>
      <c r="D2415" s="5" t="s">
        <v>810</v>
      </c>
      <c r="E2415" s="5" t="s">
        <v>245</v>
      </c>
      <c r="F2415" s="5" t="s">
        <v>254</v>
      </c>
      <c r="G2415" s="5" t="s">
        <v>240</v>
      </c>
      <c r="H2415" s="6" t="s">
        <v>3717</v>
      </c>
      <c r="I2415" s="5" t="s">
        <v>809</v>
      </c>
      <c r="J2415" s="8">
        <f>807</f>
        <v>807</v>
      </c>
      <c r="K2415" s="5" t="s">
        <v>308</v>
      </c>
      <c r="L2415" s="7">
        <f>1</f>
        <v>1</v>
      </c>
      <c r="M2415" s="7">
        <f>1</f>
        <v>1</v>
      </c>
      <c r="N2415" s="5" t="s">
        <v>242</v>
      </c>
      <c r="O2415" s="5">
        <v>1</v>
      </c>
      <c r="P2415" s="5" t="s">
        <v>294</v>
      </c>
      <c r="Q2415" s="5" t="s">
        <v>266</v>
      </c>
      <c r="R2415" s="5" t="s">
        <v>240</v>
      </c>
      <c r="S2415" s="5" t="s">
        <v>240</v>
      </c>
      <c r="T2415" s="5" t="s">
        <v>296</v>
      </c>
      <c r="U2415" s="5" t="s">
        <v>244</v>
      </c>
      <c r="V2415" s="5" t="s">
        <v>240</v>
      </c>
      <c r="Y2415" s="5" t="s">
        <v>240</v>
      </c>
      <c r="Z2415" s="6" t="s">
        <v>298</v>
      </c>
      <c r="AB2415" s="6" t="s">
        <v>240</v>
      </c>
      <c r="AE2415" s="6" t="s">
        <v>299</v>
      </c>
      <c r="AF2415" s="5" t="s">
        <v>248</v>
      </c>
      <c r="AG2415" s="5" t="s">
        <v>249</v>
      </c>
      <c r="AW2415" s="5" t="s">
        <v>251</v>
      </c>
      <c r="AX2415" s="5" t="s">
        <v>240</v>
      </c>
      <c r="AY2415" s="5" t="s">
        <v>253</v>
      </c>
      <c r="AZ2415" s="5" t="s">
        <v>240</v>
      </c>
      <c r="BA2415" s="5" t="s">
        <v>255</v>
      </c>
      <c r="BB2415" s="5" t="s">
        <v>240</v>
      </c>
      <c r="BD2415" s="5" t="s">
        <v>240</v>
      </c>
      <c r="BF2415" s="5" t="s">
        <v>301</v>
      </c>
      <c r="BG2415" s="6" t="s">
        <v>299</v>
      </c>
      <c r="BH2415" s="5" t="s">
        <v>302</v>
      </c>
      <c r="BI2415" s="5" t="s">
        <v>303</v>
      </c>
      <c r="BJ2415" s="5" t="s">
        <v>240</v>
      </c>
      <c r="BK2415" s="8">
        <f>0</f>
        <v>0</v>
      </c>
      <c r="BL2415" s="7">
        <f>0</f>
        <v>0</v>
      </c>
      <c r="BM2415" s="5" t="s">
        <v>258</v>
      </c>
      <c r="BN2415" s="5" t="s">
        <v>259</v>
      </c>
      <c r="CB2415" s="5" t="s">
        <v>240</v>
      </c>
      <c r="CC2415" s="5" t="s">
        <v>240</v>
      </c>
      <c r="CG2415" s="5" t="s">
        <v>304</v>
      </c>
      <c r="CH2415" s="5" t="s">
        <v>305</v>
      </c>
      <c r="CI2415" s="5" t="s">
        <v>240</v>
      </c>
      <c r="CL2415" s="6" t="s">
        <v>261</v>
      </c>
      <c r="CM2415" s="5" t="s">
        <v>240</v>
      </c>
      <c r="CN2415" s="5" t="s">
        <v>263</v>
      </c>
      <c r="CO2415" s="5" t="s">
        <v>240</v>
      </c>
      <c r="CP2415" s="5" t="s">
        <v>240</v>
      </c>
      <c r="CQ2415" s="5">
        <v>0</v>
      </c>
      <c r="CR2415" s="5" t="s">
        <v>306</v>
      </c>
      <c r="CS2415" s="5" t="s">
        <v>307</v>
      </c>
      <c r="CT2415" s="5" t="s">
        <v>307</v>
      </c>
      <c r="CU2415" s="5" t="s">
        <v>260</v>
      </c>
      <c r="CX2415" s="7">
        <f>1</f>
        <v>1</v>
      </c>
      <c r="CY2415" s="7">
        <f>0</f>
        <v>0</v>
      </c>
      <c r="DA2415" s="7">
        <f>0</f>
        <v>0</v>
      </c>
      <c r="DC2415" s="5" t="s">
        <v>309</v>
      </c>
      <c r="DD2415" s="5" t="s">
        <v>240</v>
      </c>
      <c r="DF2415" s="5" t="s">
        <v>309</v>
      </c>
      <c r="DG2415" s="7">
        <f>258</f>
        <v>258</v>
      </c>
      <c r="DI2415" s="5" t="s">
        <v>240</v>
      </c>
      <c r="DJ2415" s="5" t="s">
        <v>240</v>
      </c>
      <c r="DK2415" s="5" t="s">
        <v>240</v>
      </c>
      <c r="DL2415" s="5" t="s">
        <v>240</v>
      </c>
      <c r="DP2415" s="5" t="s">
        <v>240</v>
      </c>
      <c r="DQ2415" s="5" t="s">
        <v>240</v>
      </c>
      <c r="DR2415" s="5" t="s">
        <v>240</v>
      </c>
      <c r="DS2415" s="5" t="s">
        <v>240</v>
      </c>
      <c r="DV2415" s="5" t="s">
        <v>310</v>
      </c>
      <c r="DW2415" s="5" t="s">
        <v>2882</v>
      </c>
      <c r="HO2415" s="5" t="s">
        <v>312</v>
      </c>
    </row>
    <row r="2416" spans="1:223" x14ac:dyDescent="0.4">
      <c r="A2416" s="5">
        <v>4120</v>
      </c>
      <c r="B2416" s="5">
        <v>1</v>
      </c>
      <c r="C2416" s="5">
        <v>1</v>
      </c>
      <c r="D2416" s="5" t="s">
        <v>810</v>
      </c>
      <c r="E2416" s="5" t="s">
        <v>245</v>
      </c>
      <c r="F2416" s="5" t="s">
        <v>254</v>
      </c>
      <c r="G2416" s="5" t="s">
        <v>240</v>
      </c>
      <c r="H2416" s="6" t="s">
        <v>3715</v>
      </c>
      <c r="I2416" s="5" t="s">
        <v>809</v>
      </c>
      <c r="J2416" s="8">
        <f>808</f>
        <v>808</v>
      </c>
      <c r="K2416" s="5" t="s">
        <v>308</v>
      </c>
      <c r="L2416" s="7">
        <f>1</f>
        <v>1</v>
      </c>
      <c r="M2416" s="7">
        <f>1</f>
        <v>1</v>
      </c>
      <c r="N2416" s="5" t="s">
        <v>242</v>
      </c>
      <c r="O2416" s="5">
        <v>1</v>
      </c>
      <c r="P2416" s="5" t="s">
        <v>294</v>
      </c>
      <c r="Q2416" s="5" t="s">
        <v>266</v>
      </c>
      <c r="R2416" s="5" t="s">
        <v>240</v>
      </c>
      <c r="S2416" s="5" t="s">
        <v>240</v>
      </c>
      <c r="T2416" s="5" t="s">
        <v>296</v>
      </c>
      <c r="U2416" s="5" t="s">
        <v>244</v>
      </c>
      <c r="V2416" s="5" t="s">
        <v>240</v>
      </c>
      <c r="Y2416" s="5" t="s">
        <v>240</v>
      </c>
      <c r="Z2416" s="6" t="s">
        <v>298</v>
      </c>
      <c r="AB2416" s="6" t="s">
        <v>240</v>
      </c>
      <c r="AE2416" s="6" t="s">
        <v>299</v>
      </c>
      <c r="AF2416" s="5" t="s">
        <v>248</v>
      </c>
      <c r="AG2416" s="5" t="s">
        <v>249</v>
      </c>
      <c r="AW2416" s="5" t="s">
        <v>251</v>
      </c>
      <c r="AX2416" s="5" t="s">
        <v>240</v>
      </c>
      <c r="AY2416" s="5" t="s">
        <v>253</v>
      </c>
      <c r="AZ2416" s="5" t="s">
        <v>240</v>
      </c>
      <c r="BA2416" s="5" t="s">
        <v>255</v>
      </c>
      <c r="BB2416" s="5" t="s">
        <v>240</v>
      </c>
      <c r="BD2416" s="5" t="s">
        <v>240</v>
      </c>
      <c r="BF2416" s="5" t="s">
        <v>301</v>
      </c>
      <c r="BG2416" s="6" t="s">
        <v>299</v>
      </c>
      <c r="BH2416" s="5" t="s">
        <v>302</v>
      </c>
      <c r="BI2416" s="5" t="s">
        <v>303</v>
      </c>
      <c r="BJ2416" s="5" t="s">
        <v>240</v>
      </c>
      <c r="BK2416" s="8">
        <f>0</f>
        <v>0</v>
      </c>
      <c r="BL2416" s="7">
        <f>0</f>
        <v>0</v>
      </c>
      <c r="BM2416" s="5" t="s">
        <v>258</v>
      </c>
      <c r="BN2416" s="5" t="s">
        <v>259</v>
      </c>
      <c r="CB2416" s="5" t="s">
        <v>240</v>
      </c>
      <c r="CC2416" s="5" t="s">
        <v>240</v>
      </c>
      <c r="CG2416" s="5" t="s">
        <v>304</v>
      </c>
      <c r="CH2416" s="5" t="s">
        <v>305</v>
      </c>
      <c r="CI2416" s="5" t="s">
        <v>240</v>
      </c>
      <c r="CL2416" s="6" t="s">
        <v>261</v>
      </c>
      <c r="CM2416" s="5" t="s">
        <v>240</v>
      </c>
      <c r="CN2416" s="5" t="s">
        <v>263</v>
      </c>
      <c r="CO2416" s="5" t="s">
        <v>240</v>
      </c>
      <c r="CP2416" s="5" t="s">
        <v>240</v>
      </c>
      <c r="CQ2416" s="5">
        <v>0</v>
      </c>
      <c r="CR2416" s="5" t="s">
        <v>306</v>
      </c>
      <c r="CS2416" s="5" t="s">
        <v>307</v>
      </c>
      <c r="CT2416" s="5" t="s">
        <v>307</v>
      </c>
      <c r="CU2416" s="5" t="s">
        <v>260</v>
      </c>
      <c r="CX2416" s="7">
        <f>1</f>
        <v>1</v>
      </c>
      <c r="CY2416" s="7">
        <f>0</f>
        <v>0</v>
      </c>
      <c r="DA2416" s="7">
        <f>0</f>
        <v>0</v>
      </c>
      <c r="DC2416" s="5" t="s">
        <v>309</v>
      </c>
      <c r="DD2416" s="5" t="s">
        <v>240</v>
      </c>
      <c r="DF2416" s="5" t="s">
        <v>309</v>
      </c>
      <c r="DG2416" s="7">
        <f>3371</f>
        <v>3371</v>
      </c>
      <c r="DI2416" s="5" t="s">
        <v>240</v>
      </c>
      <c r="DJ2416" s="5" t="s">
        <v>240</v>
      </c>
      <c r="DK2416" s="5" t="s">
        <v>240</v>
      </c>
      <c r="DL2416" s="5" t="s">
        <v>240</v>
      </c>
      <c r="DP2416" s="5" t="s">
        <v>240</v>
      </c>
      <c r="DQ2416" s="5" t="s">
        <v>240</v>
      </c>
      <c r="DR2416" s="5" t="s">
        <v>240</v>
      </c>
      <c r="DS2416" s="5" t="s">
        <v>240</v>
      </c>
      <c r="DV2416" s="5" t="s">
        <v>310</v>
      </c>
      <c r="DW2416" s="5" t="s">
        <v>2884</v>
      </c>
      <c r="HO2416" s="5" t="s">
        <v>312</v>
      </c>
    </row>
    <row r="2417" spans="1:223" x14ac:dyDescent="0.4">
      <c r="A2417" s="5">
        <v>4121</v>
      </c>
      <c r="B2417" s="5">
        <v>1</v>
      </c>
      <c r="C2417" s="5">
        <v>1</v>
      </c>
      <c r="D2417" s="5" t="s">
        <v>810</v>
      </c>
      <c r="E2417" s="5" t="s">
        <v>245</v>
      </c>
      <c r="F2417" s="5" t="s">
        <v>254</v>
      </c>
      <c r="G2417" s="5" t="s">
        <v>240</v>
      </c>
      <c r="H2417" s="6" t="s">
        <v>3966</v>
      </c>
      <c r="I2417" s="5" t="s">
        <v>809</v>
      </c>
      <c r="J2417" s="8">
        <f>2368</f>
        <v>2368</v>
      </c>
      <c r="K2417" s="5" t="s">
        <v>308</v>
      </c>
      <c r="L2417" s="7">
        <f>1</f>
        <v>1</v>
      </c>
      <c r="M2417" s="7">
        <f>1</f>
        <v>1</v>
      </c>
      <c r="N2417" s="5" t="s">
        <v>242</v>
      </c>
      <c r="O2417" s="5">
        <v>1</v>
      </c>
      <c r="P2417" s="5" t="s">
        <v>294</v>
      </c>
      <c r="Q2417" s="5" t="s">
        <v>266</v>
      </c>
      <c r="R2417" s="5" t="s">
        <v>240</v>
      </c>
      <c r="S2417" s="5" t="s">
        <v>240</v>
      </c>
      <c r="T2417" s="5" t="s">
        <v>296</v>
      </c>
      <c r="U2417" s="5" t="s">
        <v>244</v>
      </c>
      <c r="V2417" s="5" t="s">
        <v>240</v>
      </c>
      <c r="Y2417" s="5" t="s">
        <v>240</v>
      </c>
      <c r="Z2417" s="6" t="s">
        <v>298</v>
      </c>
      <c r="AB2417" s="6" t="s">
        <v>240</v>
      </c>
      <c r="AE2417" s="6" t="s">
        <v>299</v>
      </c>
      <c r="AF2417" s="5" t="s">
        <v>248</v>
      </c>
      <c r="AG2417" s="5" t="s">
        <v>249</v>
      </c>
      <c r="AW2417" s="5" t="s">
        <v>251</v>
      </c>
      <c r="AX2417" s="5" t="s">
        <v>240</v>
      </c>
      <c r="AY2417" s="5" t="s">
        <v>253</v>
      </c>
      <c r="AZ2417" s="5" t="s">
        <v>240</v>
      </c>
      <c r="BA2417" s="5" t="s">
        <v>255</v>
      </c>
      <c r="BB2417" s="5" t="s">
        <v>240</v>
      </c>
      <c r="BD2417" s="5" t="s">
        <v>240</v>
      </c>
      <c r="BF2417" s="5" t="s">
        <v>301</v>
      </c>
      <c r="BG2417" s="6" t="s">
        <v>299</v>
      </c>
      <c r="BH2417" s="5" t="s">
        <v>302</v>
      </c>
      <c r="BI2417" s="5" t="s">
        <v>303</v>
      </c>
      <c r="BJ2417" s="5" t="s">
        <v>240</v>
      </c>
      <c r="BK2417" s="8">
        <f>0</f>
        <v>0</v>
      </c>
      <c r="BL2417" s="7">
        <f>0</f>
        <v>0</v>
      </c>
      <c r="BM2417" s="5" t="s">
        <v>258</v>
      </c>
      <c r="BN2417" s="5" t="s">
        <v>259</v>
      </c>
      <c r="CB2417" s="5" t="s">
        <v>240</v>
      </c>
      <c r="CC2417" s="5" t="s">
        <v>240</v>
      </c>
      <c r="CG2417" s="5" t="s">
        <v>304</v>
      </c>
      <c r="CH2417" s="5" t="s">
        <v>305</v>
      </c>
      <c r="CI2417" s="5" t="s">
        <v>240</v>
      </c>
      <c r="CL2417" s="6" t="s">
        <v>261</v>
      </c>
      <c r="CM2417" s="5" t="s">
        <v>240</v>
      </c>
      <c r="CN2417" s="5" t="s">
        <v>263</v>
      </c>
      <c r="CO2417" s="5" t="s">
        <v>240</v>
      </c>
      <c r="CP2417" s="5" t="s">
        <v>240</v>
      </c>
      <c r="CQ2417" s="5">
        <v>0</v>
      </c>
      <c r="CR2417" s="5" t="s">
        <v>306</v>
      </c>
      <c r="CS2417" s="5" t="s">
        <v>307</v>
      </c>
      <c r="CT2417" s="5" t="s">
        <v>307</v>
      </c>
      <c r="CU2417" s="5" t="s">
        <v>260</v>
      </c>
      <c r="CX2417" s="7">
        <f>1</f>
        <v>1</v>
      </c>
      <c r="CY2417" s="7">
        <f>0</f>
        <v>0</v>
      </c>
      <c r="DA2417" s="7">
        <f>0</f>
        <v>0</v>
      </c>
      <c r="DC2417" s="5" t="s">
        <v>309</v>
      </c>
      <c r="DD2417" s="5" t="s">
        <v>240</v>
      </c>
      <c r="DF2417" s="5" t="s">
        <v>309</v>
      </c>
      <c r="DG2417" s="7">
        <f>690</f>
        <v>690</v>
      </c>
      <c r="DI2417" s="5" t="s">
        <v>240</v>
      </c>
      <c r="DJ2417" s="5" t="s">
        <v>240</v>
      </c>
      <c r="DK2417" s="5" t="s">
        <v>240</v>
      </c>
      <c r="DL2417" s="5" t="s">
        <v>240</v>
      </c>
      <c r="DP2417" s="5" t="s">
        <v>240</v>
      </c>
      <c r="DQ2417" s="5" t="s">
        <v>240</v>
      </c>
      <c r="DR2417" s="5" t="s">
        <v>240</v>
      </c>
      <c r="DS2417" s="5" t="s">
        <v>240</v>
      </c>
      <c r="DV2417" s="5" t="s">
        <v>310</v>
      </c>
      <c r="DW2417" s="5" t="s">
        <v>2886</v>
      </c>
      <c r="HO2417" s="5" t="s">
        <v>312</v>
      </c>
    </row>
    <row r="2418" spans="1:223" x14ac:dyDescent="0.4">
      <c r="A2418" s="5">
        <v>4122</v>
      </c>
      <c r="B2418" s="5">
        <v>1</v>
      </c>
      <c r="C2418" s="5">
        <v>1</v>
      </c>
      <c r="D2418" s="5" t="s">
        <v>810</v>
      </c>
      <c r="E2418" s="5" t="s">
        <v>245</v>
      </c>
      <c r="F2418" s="5" t="s">
        <v>254</v>
      </c>
      <c r="G2418" s="5" t="s">
        <v>240</v>
      </c>
      <c r="H2418" s="6" t="s">
        <v>3712</v>
      </c>
      <c r="I2418" s="5" t="s">
        <v>809</v>
      </c>
      <c r="J2418" s="8">
        <f>245</f>
        <v>245</v>
      </c>
      <c r="K2418" s="5" t="s">
        <v>308</v>
      </c>
      <c r="L2418" s="7">
        <f>1</f>
        <v>1</v>
      </c>
      <c r="M2418" s="7">
        <f>1</f>
        <v>1</v>
      </c>
      <c r="N2418" s="5" t="s">
        <v>242</v>
      </c>
      <c r="O2418" s="5">
        <v>1</v>
      </c>
      <c r="P2418" s="5" t="s">
        <v>294</v>
      </c>
      <c r="Q2418" s="5" t="s">
        <v>613</v>
      </c>
      <c r="R2418" s="5" t="s">
        <v>240</v>
      </c>
      <c r="S2418" s="5" t="s">
        <v>240</v>
      </c>
      <c r="T2418" s="5" t="s">
        <v>243</v>
      </c>
      <c r="U2418" s="5" t="s">
        <v>244</v>
      </c>
      <c r="V2418" s="5" t="s">
        <v>240</v>
      </c>
      <c r="Y2418" s="5" t="s">
        <v>240</v>
      </c>
      <c r="Z2418" s="6" t="s">
        <v>298</v>
      </c>
      <c r="AB2418" s="6" t="s">
        <v>240</v>
      </c>
      <c r="AE2418" s="6" t="s">
        <v>299</v>
      </c>
      <c r="AF2418" s="5" t="s">
        <v>248</v>
      </c>
      <c r="AG2418" s="5" t="s">
        <v>249</v>
      </c>
      <c r="AW2418" s="5" t="s">
        <v>251</v>
      </c>
      <c r="AX2418" s="5" t="s">
        <v>240</v>
      </c>
      <c r="AY2418" s="5" t="s">
        <v>253</v>
      </c>
      <c r="AZ2418" s="5" t="s">
        <v>240</v>
      </c>
      <c r="BA2418" s="5" t="s">
        <v>255</v>
      </c>
      <c r="BB2418" s="5" t="s">
        <v>240</v>
      </c>
      <c r="BD2418" s="5" t="s">
        <v>240</v>
      </c>
      <c r="BF2418" s="5" t="s">
        <v>687</v>
      </c>
      <c r="BG2418" s="6" t="s">
        <v>1825</v>
      </c>
      <c r="BH2418" s="5" t="s">
        <v>302</v>
      </c>
      <c r="BI2418" s="5" t="s">
        <v>303</v>
      </c>
      <c r="BJ2418" s="5" t="s">
        <v>240</v>
      </c>
      <c r="BK2418" s="8">
        <f>0</f>
        <v>0</v>
      </c>
      <c r="BL2418" s="7">
        <f>0</f>
        <v>0</v>
      </c>
      <c r="BM2418" s="5" t="s">
        <v>258</v>
      </c>
      <c r="BN2418" s="5" t="s">
        <v>259</v>
      </c>
      <c r="CB2418" s="5" t="s">
        <v>240</v>
      </c>
      <c r="CC2418" s="5" t="s">
        <v>240</v>
      </c>
      <c r="CG2418" s="5" t="s">
        <v>617</v>
      </c>
      <c r="CH2418" s="5" t="s">
        <v>305</v>
      </c>
      <c r="CI2418" s="5" t="s">
        <v>240</v>
      </c>
      <c r="CL2418" s="6" t="s">
        <v>261</v>
      </c>
      <c r="CM2418" s="5" t="s">
        <v>240</v>
      </c>
      <c r="CN2418" s="5" t="s">
        <v>263</v>
      </c>
      <c r="CO2418" s="5" t="s">
        <v>240</v>
      </c>
      <c r="CP2418" s="5" t="s">
        <v>240</v>
      </c>
      <c r="CQ2418" s="5">
        <v>0</v>
      </c>
      <c r="CR2418" s="5" t="s">
        <v>306</v>
      </c>
      <c r="CS2418" s="5" t="s">
        <v>307</v>
      </c>
      <c r="CT2418" s="5" t="s">
        <v>307</v>
      </c>
      <c r="CU2418" s="5" t="s">
        <v>260</v>
      </c>
      <c r="CX2418" s="7">
        <f>383195</f>
        <v>383195</v>
      </c>
      <c r="CY2418" s="7">
        <f>0</f>
        <v>0</v>
      </c>
      <c r="DA2418" s="7">
        <f>0</f>
        <v>0</v>
      </c>
      <c r="DC2418" s="5" t="s">
        <v>450</v>
      </c>
      <c r="DD2418" s="5" t="s">
        <v>240</v>
      </c>
      <c r="DF2418" s="5" t="s">
        <v>450</v>
      </c>
      <c r="DG2418" s="7">
        <f>0</f>
        <v>0</v>
      </c>
      <c r="DI2418" s="5" t="s">
        <v>618</v>
      </c>
      <c r="DJ2418" s="5" t="s">
        <v>240</v>
      </c>
      <c r="DK2418" s="5" t="s">
        <v>240</v>
      </c>
      <c r="DL2418" s="5" t="s">
        <v>240</v>
      </c>
      <c r="DP2418" s="5" t="s">
        <v>240</v>
      </c>
      <c r="DQ2418" s="5" t="s">
        <v>240</v>
      </c>
      <c r="DR2418" s="5" t="s">
        <v>240</v>
      </c>
      <c r="DS2418" s="5" t="s">
        <v>240</v>
      </c>
      <c r="DV2418" s="5" t="s">
        <v>1826</v>
      </c>
      <c r="DW2418" s="5" t="s">
        <v>621</v>
      </c>
      <c r="HO2418" s="5" t="s">
        <v>312</v>
      </c>
    </row>
    <row r="2419" spans="1:223" x14ac:dyDescent="0.4">
      <c r="A2419" s="5">
        <v>4123</v>
      </c>
      <c r="B2419" s="5">
        <v>1</v>
      </c>
      <c r="C2419" s="5">
        <v>1</v>
      </c>
      <c r="D2419" s="5" t="s">
        <v>810</v>
      </c>
      <c r="E2419" s="5" t="s">
        <v>245</v>
      </c>
      <c r="F2419" s="5" t="s">
        <v>254</v>
      </c>
      <c r="G2419" s="5" t="s">
        <v>240</v>
      </c>
      <c r="H2419" s="6" t="s">
        <v>3710</v>
      </c>
      <c r="I2419" s="5" t="s">
        <v>809</v>
      </c>
      <c r="J2419" s="8">
        <f>911</f>
        <v>911</v>
      </c>
      <c r="K2419" s="5" t="s">
        <v>308</v>
      </c>
      <c r="L2419" s="7">
        <f>1</f>
        <v>1</v>
      </c>
      <c r="M2419" s="7">
        <f>1</f>
        <v>1</v>
      </c>
      <c r="N2419" s="5" t="s">
        <v>242</v>
      </c>
      <c r="O2419" s="5">
        <v>1</v>
      </c>
      <c r="P2419" s="5" t="s">
        <v>294</v>
      </c>
      <c r="Q2419" s="5" t="s">
        <v>266</v>
      </c>
      <c r="R2419" s="5" t="s">
        <v>240</v>
      </c>
      <c r="S2419" s="5" t="s">
        <v>240</v>
      </c>
      <c r="T2419" s="5" t="s">
        <v>296</v>
      </c>
      <c r="U2419" s="5" t="s">
        <v>244</v>
      </c>
      <c r="V2419" s="5" t="s">
        <v>240</v>
      </c>
      <c r="Y2419" s="5" t="s">
        <v>240</v>
      </c>
      <c r="Z2419" s="6" t="s">
        <v>298</v>
      </c>
      <c r="AB2419" s="6" t="s">
        <v>240</v>
      </c>
      <c r="AE2419" s="6" t="s">
        <v>299</v>
      </c>
      <c r="AF2419" s="5" t="s">
        <v>248</v>
      </c>
      <c r="AG2419" s="5" t="s">
        <v>249</v>
      </c>
      <c r="AW2419" s="5" t="s">
        <v>251</v>
      </c>
      <c r="AX2419" s="5" t="s">
        <v>240</v>
      </c>
      <c r="AY2419" s="5" t="s">
        <v>253</v>
      </c>
      <c r="AZ2419" s="5" t="s">
        <v>240</v>
      </c>
      <c r="BA2419" s="5" t="s">
        <v>255</v>
      </c>
      <c r="BB2419" s="5" t="s">
        <v>240</v>
      </c>
      <c r="BD2419" s="5" t="s">
        <v>240</v>
      </c>
      <c r="BF2419" s="5" t="s">
        <v>301</v>
      </c>
      <c r="BG2419" s="6" t="s">
        <v>299</v>
      </c>
      <c r="BH2419" s="5" t="s">
        <v>302</v>
      </c>
      <c r="BI2419" s="5" t="s">
        <v>303</v>
      </c>
      <c r="BJ2419" s="5" t="s">
        <v>240</v>
      </c>
      <c r="BK2419" s="8">
        <f>0</f>
        <v>0</v>
      </c>
      <c r="BL2419" s="7">
        <f>0</f>
        <v>0</v>
      </c>
      <c r="BM2419" s="5" t="s">
        <v>258</v>
      </c>
      <c r="BN2419" s="5" t="s">
        <v>259</v>
      </c>
      <c r="CB2419" s="5" t="s">
        <v>240</v>
      </c>
      <c r="CC2419" s="5" t="s">
        <v>240</v>
      </c>
      <c r="CG2419" s="5" t="s">
        <v>304</v>
      </c>
      <c r="CH2419" s="5" t="s">
        <v>305</v>
      </c>
      <c r="CI2419" s="5" t="s">
        <v>240</v>
      </c>
      <c r="CL2419" s="6" t="s">
        <v>261</v>
      </c>
      <c r="CM2419" s="5" t="s">
        <v>240</v>
      </c>
      <c r="CN2419" s="5" t="s">
        <v>263</v>
      </c>
      <c r="CO2419" s="5" t="s">
        <v>240</v>
      </c>
      <c r="CP2419" s="5" t="s">
        <v>240</v>
      </c>
      <c r="CQ2419" s="5">
        <v>0</v>
      </c>
      <c r="CR2419" s="5" t="s">
        <v>306</v>
      </c>
      <c r="CS2419" s="5" t="s">
        <v>307</v>
      </c>
      <c r="CT2419" s="5" t="s">
        <v>307</v>
      </c>
      <c r="CU2419" s="5" t="s">
        <v>260</v>
      </c>
      <c r="CX2419" s="7">
        <f>1</f>
        <v>1</v>
      </c>
      <c r="CY2419" s="7">
        <f>0</f>
        <v>0</v>
      </c>
      <c r="DA2419" s="7">
        <f>0</f>
        <v>0</v>
      </c>
      <c r="DC2419" s="5" t="s">
        <v>309</v>
      </c>
      <c r="DD2419" s="5" t="s">
        <v>240</v>
      </c>
      <c r="DF2419" s="5" t="s">
        <v>309</v>
      </c>
      <c r="DG2419" s="7">
        <f>3610</f>
        <v>3610</v>
      </c>
      <c r="DI2419" s="5" t="s">
        <v>240</v>
      </c>
      <c r="DJ2419" s="5" t="s">
        <v>240</v>
      </c>
      <c r="DK2419" s="5" t="s">
        <v>240</v>
      </c>
      <c r="DL2419" s="5" t="s">
        <v>240</v>
      </c>
      <c r="DP2419" s="5" t="s">
        <v>240</v>
      </c>
      <c r="DQ2419" s="5" t="s">
        <v>240</v>
      </c>
      <c r="DR2419" s="5" t="s">
        <v>240</v>
      </c>
      <c r="DS2419" s="5" t="s">
        <v>240</v>
      </c>
      <c r="DV2419" s="5" t="s">
        <v>310</v>
      </c>
      <c r="DW2419" s="5" t="s">
        <v>2890</v>
      </c>
      <c r="HO2419" s="5" t="s">
        <v>312</v>
      </c>
    </row>
    <row r="2420" spans="1:223" x14ac:dyDescent="0.4">
      <c r="A2420" s="5">
        <v>4124</v>
      </c>
      <c r="B2420" s="5">
        <v>1</v>
      </c>
      <c r="C2420" s="5">
        <v>1</v>
      </c>
      <c r="D2420" s="5" t="s">
        <v>810</v>
      </c>
      <c r="E2420" s="5" t="s">
        <v>245</v>
      </c>
      <c r="F2420" s="5" t="s">
        <v>254</v>
      </c>
      <c r="G2420" s="5" t="s">
        <v>240</v>
      </c>
      <c r="H2420" s="6" t="s">
        <v>3708</v>
      </c>
      <c r="I2420" s="5" t="s">
        <v>809</v>
      </c>
      <c r="J2420" s="8">
        <f>75</f>
        <v>75</v>
      </c>
      <c r="K2420" s="5" t="s">
        <v>308</v>
      </c>
      <c r="L2420" s="7">
        <f>1</f>
        <v>1</v>
      </c>
      <c r="M2420" s="7">
        <f>1</f>
        <v>1</v>
      </c>
      <c r="N2420" s="5" t="s">
        <v>242</v>
      </c>
      <c r="O2420" s="5">
        <v>1</v>
      </c>
      <c r="P2420" s="5" t="s">
        <v>294</v>
      </c>
      <c r="Q2420" s="5" t="s">
        <v>266</v>
      </c>
      <c r="R2420" s="5" t="s">
        <v>240</v>
      </c>
      <c r="S2420" s="5" t="s">
        <v>240</v>
      </c>
      <c r="T2420" s="5" t="s">
        <v>296</v>
      </c>
      <c r="U2420" s="5" t="s">
        <v>244</v>
      </c>
      <c r="V2420" s="5" t="s">
        <v>240</v>
      </c>
      <c r="Y2420" s="5" t="s">
        <v>240</v>
      </c>
      <c r="Z2420" s="6" t="s">
        <v>298</v>
      </c>
      <c r="AB2420" s="6" t="s">
        <v>240</v>
      </c>
      <c r="AE2420" s="6" t="s">
        <v>299</v>
      </c>
      <c r="AF2420" s="5" t="s">
        <v>248</v>
      </c>
      <c r="AG2420" s="5" t="s">
        <v>249</v>
      </c>
      <c r="AW2420" s="5" t="s">
        <v>251</v>
      </c>
      <c r="AX2420" s="5" t="s">
        <v>240</v>
      </c>
      <c r="AY2420" s="5" t="s">
        <v>253</v>
      </c>
      <c r="AZ2420" s="5" t="s">
        <v>240</v>
      </c>
      <c r="BA2420" s="5" t="s">
        <v>255</v>
      </c>
      <c r="BB2420" s="5" t="s">
        <v>240</v>
      </c>
      <c r="BD2420" s="5" t="s">
        <v>240</v>
      </c>
      <c r="BF2420" s="5" t="s">
        <v>301</v>
      </c>
      <c r="BG2420" s="6" t="s">
        <v>299</v>
      </c>
      <c r="BH2420" s="5" t="s">
        <v>302</v>
      </c>
      <c r="BI2420" s="5" t="s">
        <v>303</v>
      </c>
      <c r="BJ2420" s="5" t="s">
        <v>240</v>
      </c>
      <c r="BK2420" s="8">
        <f>0</f>
        <v>0</v>
      </c>
      <c r="BL2420" s="7">
        <f>0</f>
        <v>0</v>
      </c>
      <c r="BM2420" s="5" t="s">
        <v>258</v>
      </c>
      <c r="BN2420" s="5" t="s">
        <v>259</v>
      </c>
      <c r="CB2420" s="5" t="s">
        <v>240</v>
      </c>
      <c r="CC2420" s="5" t="s">
        <v>240</v>
      </c>
      <c r="CG2420" s="5" t="s">
        <v>304</v>
      </c>
      <c r="CH2420" s="5" t="s">
        <v>305</v>
      </c>
      <c r="CI2420" s="5" t="s">
        <v>240</v>
      </c>
      <c r="CL2420" s="6" t="s">
        <v>261</v>
      </c>
      <c r="CM2420" s="5" t="s">
        <v>240</v>
      </c>
      <c r="CN2420" s="5" t="s">
        <v>263</v>
      </c>
      <c r="CO2420" s="5" t="s">
        <v>240</v>
      </c>
      <c r="CP2420" s="5" t="s">
        <v>240</v>
      </c>
      <c r="CQ2420" s="5">
        <v>0</v>
      </c>
      <c r="CR2420" s="5" t="s">
        <v>306</v>
      </c>
      <c r="CS2420" s="5" t="s">
        <v>307</v>
      </c>
      <c r="CT2420" s="5" t="s">
        <v>307</v>
      </c>
      <c r="CU2420" s="5" t="s">
        <v>260</v>
      </c>
      <c r="CX2420" s="7">
        <f>1</f>
        <v>1</v>
      </c>
      <c r="CY2420" s="7">
        <f>0</f>
        <v>0</v>
      </c>
      <c r="DA2420" s="7">
        <f>0</f>
        <v>0</v>
      </c>
      <c r="DC2420" s="5" t="s">
        <v>309</v>
      </c>
      <c r="DD2420" s="5" t="s">
        <v>240</v>
      </c>
      <c r="DF2420" s="5" t="s">
        <v>309</v>
      </c>
      <c r="DG2420" s="7">
        <f>928</f>
        <v>928</v>
      </c>
      <c r="DI2420" s="5" t="s">
        <v>240</v>
      </c>
      <c r="DJ2420" s="5" t="s">
        <v>240</v>
      </c>
      <c r="DK2420" s="5" t="s">
        <v>240</v>
      </c>
      <c r="DL2420" s="5" t="s">
        <v>240</v>
      </c>
      <c r="DP2420" s="5" t="s">
        <v>240</v>
      </c>
      <c r="DQ2420" s="5" t="s">
        <v>240</v>
      </c>
      <c r="DR2420" s="5" t="s">
        <v>240</v>
      </c>
      <c r="DS2420" s="5" t="s">
        <v>240</v>
      </c>
      <c r="DV2420" s="5" t="s">
        <v>310</v>
      </c>
      <c r="DW2420" s="5" t="s">
        <v>2892</v>
      </c>
      <c r="HO2420" s="5" t="s">
        <v>312</v>
      </c>
    </row>
    <row r="2421" spans="1:223" x14ac:dyDescent="0.4">
      <c r="A2421" s="5">
        <v>4125</v>
      </c>
      <c r="B2421" s="5">
        <v>1</v>
      </c>
      <c r="C2421" s="5">
        <v>1</v>
      </c>
      <c r="D2421" s="5" t="s">
        <v>810</v>
      </c>
      <c r="E2421" s="5" t="s">
        <v>245</v>
      </c>
      <c r="F2421" s="5" t="s">
        <v>254</v>
      </c>
      <c r="G2421" s="5" t="s">
        <v>240</v>
      </c>
      <c r="H2421" s="6" t="s">
        <v>3970</v>
      </c>
      <c r="I2421" s="5" t="s">
        <v>809</v>
      </c>
      <c r="J2421" s="8">
        <f>533</f>
        <v>533</v>
      </c>
      <c r="K2421" s="5" t="s">
        <v>308</v>
      </c>
      <c r="L2421" s="7">
        <f>1</f>
        <v>1</v>
      </c>
      <c r="M2421" s="7">
        <f>1</f>
        <v>1</v>
      </c>
      <c r="N2421" s="5" t="s">
        <v>242</v>
      </c>
      <c r="O2421" s="5">
        <v>1</v>
      </c>
      <c r="P2421" s="5" t="s">
        <v>294</v>
      </c>
      <c r="Q2421" s="5" t="s">
        <v>266</v>
      </c>
      <c r="R2421" s="5" t="s">
        <v>240</v>
      </c>
      <c r="S2421" s="5" t="s">
        <v>240</v>
      </c>
      <c r="T2421" s="5" t="s">
        <v>296</v>
      </c>
      <c r="U2421" s="5" t="s">
        <v>244</v>
      </c>
      <c r="V2421" s="5" t="s">
        <v>240</v>
      </c>
      <c r="Y2421" s="5" t="s">
        <v>240</v>
      </c>
      <c r="Z2421" s="6" t="s">
        <v>298</v>
      </c>
      <c r="AB2421" s="6" t="s">
        <v>240</v>
      </c>
      <c r="AE2421" s="6" t="s">
        <v>299</v>
      </c>
      <c r="AF2421" s="5" t="s">
        <v>248</v>
      </c>
      <c r="AG2421" s="5" t="s">
        <v>249</v>
      </c>
      <c r="AW2421" s="5" t="s">
        <v>251</v>
      </c>
      <c r="AX2421" s="5" t="s">
        <v>240</v>
      </c>
      <c r="AY2421" s="5" t="s">
        <v>253</v>
      </c>
      <c r="AZ2421" s="5" t="s">
        <v>240</v>
      </c>
      <c r="BA2421" s="5" t="s">
        <v>255</v>
      </c>
      <c r="BB2421" s="5" t="s">
        <v>240</v>
      </c>
      <c r="BD2421" s="5" t="s">
        <v>240</v>
      </c>
      <c r="BF2421" s="5" t="s">
        <v>301</v>
      </c>
      <c r="BG2421" s="6" t="s">
        <v>299</v>
      </c>
      <c r="BH2421" s="5" t="s">
        <v>302</v>
      </c>
      <c r="BI2421" s="5" t="s">
        <v>303</v>
      </c>
      <c r="BJ2421" s="5" t="s">
        <v>240</v>
      </c>
      <c r="BK2421" s="8">
        <f>0</f>
        <v>0</v>
      </c>
      <c r="BL2421" s="7">
        <f>0</f>
        <v>0</v>
      </c>
      <c r="BM2421" s="5" t="s">
        <v>258</v>
      </c>
      <c r="BN2421" s="5" t="s">
        <v>259</v>
      </c>
      <c r="CB2421" s="5" t="s">
        <v>240</v>
      </c>
      <c r="CC2421" s="5" t="s">
        <v>240</v>
      </c>
      <c r="CG2421" s="5" t="s">
        <v>304</v>
      </c>
      <c r="CH2421" s="5" t="s">
        <v>305</v>
      </c>
      <c r="CI2421" s="5" t="s">
        <v>240</v>
      </c>
      <c r="CL2421" s="6" t="s">
        <v>261</v>
      </c>
      <c r="CM2421" s="5" t="s">
        <v>240</v>
      </c>
      <c r="CN2421" s="5" t="s">
        <v>263</v>
      </c>
      <c r="CO2421" s="5" t="s">
        <v>240</v>
      </c>
      <c r="CP2421" s="5" t="s">
        <v>240</v>
      </c>
      <c r="CQ2421" s="5">
        <v>0</v>
      </c>
      <c r="CR2421" s="5" t="s">
        <v>306</v>
      </c>
      <c r="CS2421" s="5" t="s">
        <v>307</v>
      </c>
      <c r="CT2421" s="5" t="s">
        <v>307</v>
      </c>
      <c r="CU2421" s="5" t="s">
        <v>260</v>
      </c>
      <c r="CX2421" s="7">
        <f>1</f>
        <v>1</v>
      </c>
      <c r="CY2421" s="7">
        <f>0</f>
        <v>0</v>
      </c>
      <c r="DA2421" s="7">
        <f>0</f>
        <v>0</v>
      </c>
      <c r="DC2421" s="5" t="s">
        <v>309</v>
      </c>
      <c r="DD2421" s="5" t="s">
        <v>240</v>
      </c>
      <c r="DF2421" s="5" t="s">
        <v>309</v>
      </c>
      <c r="DG2421" s="7">
        <f>2711</f>
        <v>2711</v>
      </c>
      <c r="DI2421" s="5" t="s">
        <v>240</v>
      </c>
      <c r="DJ2421" s="5" t="s">
        <v>240</v>
      </c>
      <c r="DK2421" s="5" t="s">
        <v>240</v>
      </c>
      <c r="DL2421" s="5" t="s">
        <v>240</v>
      </c>
      <c r="DP2421" s="5" t="s">
        <v>240</v>
      </c>
      <c r="DQ2421" s="5" t="s">
        <v>240</v>
      </c>
      <c r="DR2421" s="5" t="s">
        <v>240</v>
      </c>
      <c r="DS2421" s="5" t="s">
        <v>240</v>
      </c>
      <c r="DV2421" s="5" t="s">
        <v>310</v>
      </c>
      <c r="DW2421" s="5" t="s">
        <v>2894</v>
      </c>
      <c r="HO2421" s="5" t="s">
        <v>312</v>
      </c>
    </row>
    <row r="2422" spans="1:223" x14ac:dyDescent="0.4">
      <c r="A2422" s="5">
        <v>4126</v>
      </c>
      <c r="B2422" s="5">
        <v>1</v>
      </c>
      <c r="C2422" s="5">
        <v>1</v>
      </c>
      <c r="D2422" s="5" t="s">
        <v>810</v>
      </c>
      <c r="E2422" s="5" t="s">
        <v>245</v>
      </c>
      <c r="F2422" s="5" t="s">
        <v>254</v>
      </c>
      <c r="G2422" s="5" t="s">
        <v>240</v>
      </c>
      <c r="H2422" s="6" t="s">
        <v>3704</v>
      </c>
      <c r="I2422" s="5" t="s">
        <v>809</v>
      </c>
      <c r="J2422" s="8">
        <f>3268</f>
        <v>3268</v>
      </c>
      <c r="K2422" s="5" t="s">
        <v>308</v>
      </c>
      <c r="L2422" s="7">
        <f>1</f>
        <v>1</v>
      </c>
      <c r="M2422" s="7">
        <f>1</f>
        <v>1</v>
      </c>
      <c r="N2422" s="5" t="s">
        <v>242</v>
      </c>
      <c r="O2422" s="5">
        <v>1</v>
      </c>
      <c r="P2422" s="5" t="s">
        <v>294</v>
      </c>
      <c r="Q2422" s="5" t="s">
        <v>613</v>
      </c>
      <c r="R2422" s="5" t="s">
        <v>240</v>
      </c>
      <c r="S2422" s="5" t="s">
        <v>240</v>
      </c>
      <c r="T2422" s="5" t="s">
        <v>243</v>
      </c>
      <c r="U2422" s="5" t="s">
        <v>244</v>
      </c>
      <c r="V2422" s="5" t="s">
        <v>240</v>
      </c>
      <c r="Y2422" s="5" t="s">
        <v>240</v>
      </c>
      <c r="Z2422" s="6" t="s">
        <v>298</v>
      </c>
      <c r="AB2422" s="6" t="s">
        <v>240</v>
      </c>
      <c r="AE2422" s="6" t="s">
        <v>299</v>
      </c>
      <c r="AF2422" s="5" t="s">
        <v>248</v>
      </c>
      <c r="AG2422" s="5" t="s">
        <v>249</v>
      </c>
      <c r="AW2422" s="5" t="s">
        <v>251</v>
      </c>
      <c r="AX2422" s="5" t="s">
        <v>240</v>
      </c>
      <c r="AY2422" s="5" t="s">
        <v>253</v>
      </c>
      <c r="AZ2422" s="5" t="s">
        <v>240</v>
      </c>
      <c r="BA2422" s="5" t="s">
        <v>255</v>
      </c>
      <c r="BB2422" s="5" t="s">
        <v>240</v>
      </c>
      <c r="BD2422" s="5" t="s">
        <v>686</v>
      </c>
      <c r="BF2422" s="5" t="s">
        <v>301</v>
      </c>
      <c r="BG2422" s="6" t="s">
        <v>299</v>
      </c>
      <c r="BH2422" s="5" t="s">
        <v>302</v>
      </c>
      <c r="BI2422" s="5" t="s">
        <v>303</v>
      </c>
      <c r="BJ2422" s="5" t="s">
        <v>240</v>
      </c>
      <c r="BK2422" s="8">
        <f>0</f>
        <v>0</v>
      </c>
      <c r="BL2422" s="7">
        <f>0</f>
        <v>0</v>
      </c>
      <c r="BM2422" s="5" t="s">
        <v>258</v>
      </c>
      <c r="BN2422" s="5" t="s">
        <v>259</v>
      </c>
      <c r="CB2422" s="5" t="s">
        <v>240</v>
      </c>
      <c r="CC2422" s="5" t="s">
        <v>240</v>
      </c>
      <c r="CG2422" s="5" t="s">
        <v>617</v>
      </c>
      <c r="CH2422" s="5" t="s">
        <v>305</v>
      </c>
      <c r="CI2422" s="5" t="s">
        <v>240</v>
      </c>
      <c r="CL2422" s="6" t="s">
        <v>261</v>
      </c>
      <c r="CM2422" s="5" t="s">
        <v>240</v>
      </c>
      <c r="CN2422" s="5" t="s">
        <v>263</v>
      </c>
      <c r="CO2422" s="5" t="s">
        <v>240</v>
      </c>
      <c r="CP2422" s="5" t="s">
        <v>240</v>
      </c>
      <c r="CQ2422" s="5">
        <v>0</v>
      </c>
      <c r="CR2422" s="5" t="s">
        <v>306</v>
      </c>
      <c r="CS2422" s="5" t="s">
        <v>307</v>
      </c>
      <c r="CT2422" s="5" t="s">
        <v>307</v>
      </c>
      <c r="CU2422" s="5" t="s">
        <v>260</v>
      </c>
      <c r="CX2422" s="7">
        <f>308</f>
        <v>308</v>
      </c>
      <c r="CY2422" s="7">
        <f>0</f>
        <v>0</v>
      </c>
      <c r="DA2422" s="7">
        <f>0</f>
        <v>0</v>
      </c>
      <c r="DC2422" s="5" t="s">
        <v>450</v>
      </c>
      <c r="DD2422" s="5" t="s">
        <v>240</v>
      </c>
      <c r="DF2422" s="5" t="s">
        <v>854</v>
      </c>
      <c r="DG2422" s="7">
        <f>28</f>
        <v>28</v>
      </c>
      <c r="DI2422" s="5" t="s">
        <v>737</v>
      </c>
      <c r="DJ2422" s="5" t="s">
        <v>240</v>
      </c>
      <c r="DK2422" s="5" t="s">
        <v>240</v>
      </c>
      <c r="DL2422" s="5" t="s">
        <v>240</v>
      </c>
      <c r="DP2422" s="5" t="s">
        <v>240</v>
      </c>
      <c r="DQ2422" s="5" t="s">
        <v>240</v>
      </c>
      <c r="DR2422" s="5" t="s">
        <v>240</v>
      </c>
      <c r="DS2422" s="5" t="s">
        <v>240</v>
      </c>
      <c r="DV2422" s="5" t="s">
        <v>1839</v>
      </c>
      <c r="DW2422" s="5" t="s">
        <v>312</v>
      </c>
      <c r="HO2422" s="5" t="s">
        <v>312</v>
      </c>
    </row>
    <row r="2423" spans="1:223" x14ac:dyDescent="0.4">
      <c r="A2423" s="5">
        <v>4127</v>
      </c>
      <c r="B2423" s="5">
        <v>1</v>
      </c>
      <c r="C2423" s="5">
        <v>1</v>
      </c>
      <c r="D2423" s="5" t="s">
        <v>810</v>
      </c>
      <c r="E2423" s="5" t="s">
        <v>245</v>
      </c>
      <c r="F2423" s="5" t="s">
        <v>254</v>
      </c>
      <c r="G2423" s="5" t="s">
        <v>240</v>
      </c>
      <c r="H2423" s="6" t="s">
        <v>3702</v>
      </c>
      <c r="I2423" s="5" t="s">
        <v>809</v>
      </c>
      <c r="J2423" s="8">
        <f>169</f>
        <v>169</v>
      </c>
      <c r="K2423" s="5" t="s">
        <v>308</v>
      </c>
      <c r="L2423" s="7">
        <f>1</f>
        <v>1</v>
      </c>
      <c r="M2423" s="7">
        <f>1</f>
        <v>1</v>
      </c>
      <c r="N2423" s="5" t="s">
        <v>242</v>
      </c>
      <c r="O2423" s="5">
        <v>1</v>
      </c>
      <c r="P2423" s="5" t="s">
        <v>294</v>
      </c>
      <c r="Q2423" s="5" t="s">
        <v>266</v>
      </c>
      <c r="R2423" s="5" t="s">
        <v>240</v>
      </c>
      <c r="S2423" s="5" t="s">
        <v>240</v>
      </c>
      <c r="T2423" s="5" t="s">
        <v>296</v>
      </c>
      <c r="U2423" s="5" t="s">
        <v>244</v>
      </c>
      <c r="V2423" s="5" t="s">
        <v>240</v>
      </c>
      <c r="Y2423" s="5" t="s">
        <v>240</v>
      </c>
      <c r="Z2423" s="6" t="s">
        <v>298</v>
      </c>
      <c r="AB2423" s="6" t="s">
        <v>240</v>
      </c>
      <c r="AE2423" s="6" t="s">
        <v>299</v>
      </c>
      <c r="AF2423" s="5" t="s">
        <v>248</v>
      </c>
      <c r="AG2423" s="5" t="s">
        <v>249</v>
      </c>
      <c r="AW2423" s="5" t="s">
        <v>251</v>
      </c>
      <c r="AX2423" s="5" t="s">
        <v>240</v>
      </c>
      <c r="AY2423" s="5" t="s">
        <v>253</v>
      </c>
      <c r="AZ2423" s="5" t="s">
        <v>240</v>
      </c>
      <c r="BA2423" s="5" t="s">
        <v>255</v>
      </c>
      <c r="BB2423" s="5" t="s">
        <v>240</v>
      </c>
      <c r="BD2423" s="5" t="s">
        <v>240</v>
      </c>
      <c r="BF2423" s="5" t="s">
        <v>301</v>
      </c>
      <c r="BG2423" s="6" t="s">
        <v>299</v>
      </c>
      <c r="BH2423" s="5" t="s">
        <v>302</v>
      </c>
      <c r="BI2423" s="5" t="s">
        <v>303</v>
      </c>
      <c r="BJ2423" s="5" t="s">
        <v>240</v>
      </c>
      <c r="BK2423" s="8">
        <f>0</f>
        <v>0</v>
      </c>
      <c r="BL2423" s="7">
        <f>0</f>
        <v>0</v>
      </c>
      <c r="BM2423" s="5" t="s">
        <v>258</v>
      </c>
      <c r="BN2423" s="5" t="s">
        <v>259</v>
      </c>
      <c r="CB2423" s="5" t="s">
        <v>240</v>
      </c>
      <c r="CC2423" s="5" t="s">
        <v>240</v>
      </c>
      <c r="CG2423" s="5" t="s">
        <v>304</v>
      </c>
      <c r="CH2423" s="5" t="s">
        <v>305</v>
      </c>
      <c r="CI2423" s="5" t="s">
        <v>240</v>
      </c>
      <c r="CL2423" s="6" t="s">
        <v>261</v>
      </c>
      <c r="CM2423" s="5" t="s">
        <v>240</v>
      </c>
      <c r="CN2423" s="5" t="s">
        <v>263</v>
      </c>
      <c r="CO2423" s="5" t="s">
        <v>240</v>
      </c>
      <c r="CP2423" s="5" t="s">
        <v>240</v>
      </c>
      <c r="CQ2423" s="5">
        <v>0</v>
      </c>
      <c r="CR2423" s="5" t="s">
        <v>306</v>
      </c>
      <c r="CS2423" s="5" t="s">
        <v>307</v>
      </c>
      <c r="CT2423" s="5" t="s">
        <v>307</v>
      </c>
      <c r="CU2423" s="5" t="s">
        <v>260</v>
      </c>
      <c r="CX2423" s="7">
        <f>1</f>
        <v>1</v>
      </c>
      <c r="CY2423" s="7">
        <f>0</f>
        <v>0</v>
      </c>
      <c r="DA2423" s="7">
        <f>0</f>
        <v>0</v>
      </c>
      <c r="DC2423" s="5" t="s">
        <v>309</v>
      </c>
      <c r="DD2423" s="5" t="s">
        <v>240</v>
      </c>
      <c r="DF2423" s="5" t="s">
        <v>309</v>
      </c>
      <c r="DG2423" s="7">
        <f>157</f>
        <v>157</v>
      </c>
      <c r="DI2423" s="5" t="s">
        <v>240</v>
      </c>
      <c r="DJ2423" s="5" t="s">
        <v>240</v>
      </c>
      <c r="DK2423" s="5" t="s">
        <v>240</v>
      </c>
      <c r="DL2423" s="5" t="s">
        <v>240</v>
      </c>
      <c r="DP2423" s="5" t="s">
        <v>240</v>
      </c>
      <c r="DQ2423" s="5" t="s">
        <v>240</v>
      </c>
      <c r="DR2423" s="5" t="s">
        <v>240</v>
      </c>
      <c r="DS2423" s="5" t="s">
        <v>240</v>
      </c>
      <c r="DV2423" s="5" t="s">
        <v>310</v>
      </c>
      <c r="DW2423" s="5" t="s">
        <v>2898</v>
      </c>
      <c r="HO2423" s="5" t="s">
        <v>312</v>
      </c>
    </row>
    <row r="2424" spans="1:223" x14ac:dyDescent="0.4">
      <c r="A2424" s="5">
        <v>4128</v>
      </c>
      <c r="B2424" s="5">
        <v>1</v>
      </c>
      <c r="C2424" s="5">
        <v>1</v>
      </c>
      <c r="D2424" s="5" t="s">
        <v>810</v>
      </c>
      <c r="E2424" s="5" t="s">
        <v>245</v>
      </c>
      <c r="F2424" s="5" t="s">
        <v>254</v>
      </c>
      <c r="G2424" s="5" t="s">
        <v>240</v>
      </c>
      <c r="H2424" s="6" t="s">
        <v>3700</v>
      </c>
      <c r="I2424" s="5" t="s">
        <v>809</v>
      </c>
      <c r="J2424" s="8">
        <f>436</f>
        <v>436</v>
      </c>
      <c r="K2424" s="5" t="s">
        <v>308</v>
      </c>
      <c r="L2424" s="7">
        <f>1</f>
        <v>1</v>
      </c>
      <c r="M2424" s="7">
        <f>1</f>
        <v>1</v>
      </c>
      <c r="N2424" s="5" t="s">
        <v>242</v>
      </c>
      <c r="O2424" s="5">
        <v>1</v>
      </c>
      <c r="P2424" s="5" t="s">
        <v>294</v>
      </c>
      <c r="Q2424" s="5" t="s">
        <v>266</v>
      </c>
      <c r="R2424" s="5" t="s">
        <v>240</v>
      </c>
      <c r="S2424" s="5" t="s">
        <v>240</v>
      </c>
      <c r="T2424" s="5" t="s">
        <v>296</v>
      </c>
      <c r="U2424" s="5" t="s">
        <v>244</v>
      </c>
      <c r="V2424" s="5" t="s">
        <v>240</v>
      </c>
      <c r="Y2424" s="5" t="s">
        <v>240</v>
      </c>
      <c r="Z2424" s="6" t="s">
        <v>298</v>
      </c>
      <c r="AB2424" s="6" t="s">
        <v>240</v>
      </c>
      <c r="AE2424" s="6" t="s">
        <v>299</v>
      </c>
      <c r="AF2424" s="5" t="s">
        <v>248</v>
      </c>
      <c r="AG2424" s="5" t="s">
        <v>249</v>
      </c>
      <c r="AW2424" s="5" t="s">
        <v>251</v>
      </c>
      <c r="AX2424" s="5" t="s">
        <v>240</v>
      </c>
      <c r="AY2424" s="5" t="s">
        <v>253</v>
      </c>
      <c r="AZ2424" s="5" t="s">
        <v>240</v>
      </c>
      <c r="BA2424" s="5" t="s">
        <v>255</v>
      </c>
      <c r="BB2424" s="5" t="s">
        <v>240</v>
      </c>
      <c r="BD2424" s="5" t="s">
        <v>240</v>
      </c>
      <c r="BF2424" s="5" t="s">
        <v>301</v>
      </c>
      <c r="BG2424" s="6" t="s">
        <v>299</v>
      </c>
      <c r="BH2424" s="5" t="s">
        <v>302</v>
      </c>
      <c r="BI2424" s="5" t="s">
        <v>303</v>
      </c>
      <c r="BJ2424" s="5" t="s">
        <v>240</v>
      </c>
      <c r="BK2424" s="8">
        <f>0</f>
        <v>0</v>
      </c>
      <c r="BL2424" s="7">
        <f>0</f>
        <v>0</v>
      </c>
      <c r="BM2424" s="5" t="s">
        <v>258</v>
      </c>
      <c r="BN2424" s="5" t="s">
        <v>259</v>
      </c>
      <c r="CB2424" s="5" t="s">
        <v>240</v>
      </c>
      <c r="CC2424" s="5" t="s">
        <v>240</v>
      </c>
      <c r="CG2424" s="5" t="s">
        <v>304</v>
      </c>
      <c r="CH2424" s="5" t="s">
        <v>305</v>
      </c>
      <c r="CI2424" s="5" t="s">
        <v>240</v>
      </c>
      <c r="CL2424" s="6" t="s">
        <v>261</v>
      </c>
      <c r="CM2424" s="5" t="s">
        <v>240</v>
      </c>
      <c r="CN2424" s="5" t="s">
        <v>263</v>
      </c>
      <c r="CO2424" s="5" t="s">
        <v>240</v>
      </c>
      <c r="CP2424" s="5" t="s">
        <v>240</v>
      </c>
      <c r="CQ2424" s="5">
        <v>0</v>
      </c>
      <c r="CR2424" s="5" t="s">
        <v>306</v>
      </c>
      <c r="CS2424" s="5" t="s">
        <v>307</v>
      </c>
      <c r="CT2424" s="5" t="s">
        <v>307</v>
      </c>
      <c r="CU2424" s="5" t="s">
        <v>260</v>
      </c>
      <c r="CX2424" s="7">
        <f>1</f>
        <v>1</v>
      </c>
      <c r="CY2424" s="7">
        <f>0</f>
        <v>0</v>
      </c>
      <c r="DA2424" s="7">
        <f>0</f>
        <v>0</v>
      </c>
      <c r="DC2424" s="5" t="s">
        <v>309</v>
      </c>
      <c r="DD2424" s="5" t="s">
        <v>240</v>
      </c>
      <c r="DF2424" s="5" t="s">
        <v>309</v>
      </c>
      <c r="DG2424" s="7">
        <f>1154</f>
        <v>1154</v>
      </c>
      <c r="DI2424" s="5" t="s">
        <v>240</v>
      </c>
      <c r="DJ2424" s="5" t="s">
        <v>240</v>
      </c>
      <c r="DK2424" s="5" t="s">
        <v>240</v>
      </c>
      <c r="DL2424" s="5" t="s">
        <v>240</v>
      </c>
      <c r="DP2424" s="5" t="s">
        <v>240</v>
      </c>
      <c r="DQ2424" s="5" t="s">
        <v>240</v>
      </c>
      <c r="DR2424" s="5" t="s">
        <v>240</v>
      </c>
      <c r="DS2424" s="5" t="s">
        <v>240</v>
      </c>
      <c r="DV2424" s="5" t="s">
        <v>310</v>
      </c>
      <c r="DW2424" s="5" t="s">
        <v>2900</v>
      </c>
      <c r="HO2424" s="5" t="s">
        <v>312</v>
      </c>
    </row>
    <row r="2425" spans="1:223" x14ac:dyDescent="0.4">
      <c r="A2425" s="5">
        <v>4129</v>
      </c>
      <c r="B2425" s="5">
        <v>1</v>
      </c>
      <c r="C2425" s="5">
        <v>1</v>
      </c>
      <c r="D2425" s="5" t="s">
        <v>810</v>
      </c>
      <c r="E2425" s="5" t="s">
        <v>245</v>
      </c>
      <c r="F2425" s="5" t="s">
        <v>254</v>
      </c>
      <c r="G2425" s="5" t="s">
        <v>240</v>
      </c>
      <c r="H2425" s="6" t="s">
        <v>4603</v>
      </c>
      <c r="I2425" s="5" t="s">
        <v>809</v>
      </c>
      <c r="J2425" s="8">
        <f>487</f>
        <v>487</v>
      </c>
      <c r="K2425" s="5" t="s">
        <v>308</v>
      </c>
      <c r="L2425" s="7">
        <f>1</f>
        <v>1</v>
      </c>
      <c r="M2425" s="7">
        <f>1</f>
        <v>1</v>
      </c>
      <c r="N2425" s="5" t="s">
        <v>242</v>
      </c>
      <c r="O2425" s="5">
        <v>1</v>
      </c>
      <c r="P2425" s="5" t="s">
        <v>294</v>
      </c>
      <c r="Q2425" s="5" t="s">
        <v>266</v>
      </c>
      <c r="R2425" s="5" t="s">
        <v>240</v>
      </c>
      <c r="S2425" s="5" t="s">
        <v>240</v>
      </c>
      <c r="T2425" s="5" t="s">
        <v>296</v>
      </c>
      <c r="U2425" s="5" t="s">
        <v>244</v>
      </c>
      <c r="V2425" s="5" t="s">
        <v>240</v>
      </c>
      <c r="Y2425" s="5" t="s">
        <v>240</v>
      </c>
      <c r="Z2425" s="6" t="s">
        <v>298</v>
      </c>
      <c r="AB2425" s="6" t="s">
        <v>240</v>
      </c>
      <c r="AE2425" s="6" t="s">
        <v>299</v>
      </c>
      <c r="AF2425" s="5" t="s">
        <v>248</v>
      </c>
      <c r="AG2425" s="5" t="s">
        <v>249</v>
      </c>
      <c r="AW2425" s="5" t="s">
        <v>251</v>
      </c>
      <c r="AX2425" s="5" t="s">
        <v>240</v>
      </c>
      <c r="AY2425" s="5" t="s">
        <v>253</v>
      </c>
      <c r="AZ2425" s="5" t="s">
        <v>240</v>
      </c>
      <c r="BA2425" s="5" t="s">
        <v>255</v>
      </c>
      <c r="BB2425" s="5" t="s">
        <v>240</v>
      </c>
      <c r="BD2425" s="5" t="s">
        <v>240</v>
      </c>
      <c r="BF2425" s="5" t="s">
        <v>301</v>
      </c>
      <c r="BG2425" s="6" t="s">
        <v>299</v>
      </c>
      <c r="BH2425" s="5" t="s">
        <v>302</v>
      </c>
      <c r="BI2425" s="5" t="s">
        <v>303</v>
      </c>
      <c r="BJ2425" s="5" t="s">
        <v>240</v>
      </c>
      <c r="BK2425" s="8">
        <f>0</f>
        <v>0</v>
      </c>
      <c r="BL2425" s="7">
        <f>0</f>
        <v>0</v>
      </c>
      <c r="BM2425" s="5" t="s">
        <v>258</v>
      </c>
      <c r="BN2425" s="5" t="s">
        <v>259</v>
      </c>
      <c r="CB2425" s="5" t="s">
        <v>240</v>
      </c>
      <c r="CC2425" s="5" t="s">
        <v>240</v>
      </c>
      <c r="CG2425" s="5" t="s">
        <v>304</v>
      </c>
      <c r="CH2425" s="5" t="s">
        <v>305</v>
      </c>
      <c r="CI2425" s="5" t="s">
        <v>240</v>
      </c>
      <c r="CL2425" s="6" t="s">
        <v>261</v>
      </c>
      <c r="CM2425" s="5" t="s">
        <v>240</v>
      </c>
      <c r="CN2425" s="5" t="s">
        <v>263</v>
      </c>
      <c r="CO2425" s="5" t="s">
        <v>240</v>
      </c>
      <c r="CP2425" s="5" t="s">
        <v>240</v>
      </c>
      <c r="CQ2425" s="5">
        <v>0</v>
      </c>
      <c r="CR2425" s="5" t="s">
        <v>306</v>
      </c>
      <c r="CS2425" s="5" t="s">
        <v>307</v>
      </c>
      <c r="CT2425" s="5" t="s">
        <v>307</v>
      </c>
      <c r="CU2425" s="5" t="s">
        <v>260</v>
      </c>
      <c r="CX2425" s="7">
        <f>1</f>
        <v>1</v>
      </c>
      <c r="CY2425" s="7">
        <f>0</f>
        <v>0</v>
      </c>
      <c r="DA2425" s="7">
        <f>0</f>
        <v>0</v>
      </c>
      <c r="DC2425" s="5" t="s">
        <v>309</v>
      </c>
      <c r="DD2425" s="5" t="s">
        <v>240</v>
      </c>
      <c r="DF2425" s="5" t="s">
        <v>309</v>
      </c>
      <c r="DG2425" s="7">
        <f>40</f>
        <v>40</v>
      </c>
      <c r="DI2425" s="5" t="s">
        <v>240</v>
      </c>
      <c r="DJ2425" s="5" t="s">
        <v>240</v>
      </c>
      <c r="DK2425" s="5" t="s">
        <v>240</v>
      </c>
      <c r="DL2425" s="5" t="s">
        <v>240</v>
      </c>
      <c r="DP2425" s="5" t="s">
        <v>240</v>
      </c>
      <c r="DQ2425" s="5" t="s">
        <v>240</v>
      </c>
      <c r="DR2425" s="5" t="s">
        <v>240</v>
      </c>
      <c r="DS2425" s="5" t="s">
        <v>240</v>
      </c>
      <c r="DV2425" s="5" t="s">
        <v>310</v>
      </c>
      <c r="DW2425" s="5" t="s">
        <v>2902</v>
      </c>
      <c r="HO2425" s="5" t="s">
        <v>312</v>
      </c>
    </row>
    <row r="2426" spans="1:223" x14ac:dyDescent="0.4">
      <c r="A2426" s="5">
        <v>4130</v>
      </c>
      <c r="B2426" s="5">
        <v>1</v>
      </c>
      <c r="C2426" s="5">
        <v>1</v>
      </c>
      <c r="D2426" s="5" t="s">
        <v>810</v>
      </c>
      <c r="E2426" s="5" t="s">
        <v>245</v>
      </c>
      <c r="F2426" s="5" t="s">
        <v>254</v>
      </c>
      <c r="G2426" s="5" t="s">
        <v>240</v>
      </c>
      <c r="H2426" s="6" t="s">
        <v>3696</v>
      </c>
      <c r="I2426" s="5" t="s">
        <v>809</v>
      </c>
      <c r="J2426" s="8">
        <f>44</f>
        <v>44</v>
      </c>
      <c r="K2426" s="5" t="s">
        <v>308</v>
      </c>
      <c r="L2426" s="7">
        <f>1</f>
        <v>1</v>
      </c>
      <c r="M2426" s="7">
        <f>1</f>
        <v>1</v>
      </c>
      <c r="N2426" s="5" t="s">
        <v>242</v>
      </c>
      <c r="O2426" s="5">
        <v>1</v>
      </c>
      <c r="P2426" s="5" t="s">
        <v>294</v>
      </c>
      <c r="Q2426" s="5" t="s">
        <v>266</v>
      </c>
      <c r="R2426" s="5" t="s">
        <v>240</v>
      </c>
      <c r="S2426" s="5" t="s">
        <v>240</v>
      </c>
      <c r="T2426" s="5" t="s">
        <v>296</v>
      </c>
      <c r="U2426" s="5" t="s">
        <v>244</v>
      </c>
      <c r="V2426" s="5" t="s">
        <v>240</v>
      </c>
      <c r="Y2426" s="5" t="s">
        <v>240</v>
      </c>
      <c r="Z2426" s="6" t="s">
        <v>298</v>
      </c>
      <c r="AB2426" s="6" t="s">
        <v>240</v>
      </c>
      <c r="AE2426" s="6" t="s">
        <v>299</v>
      </c>
      <c r="AF2426" s="5" t="s">
        <v>248</v>
      </c>
      <c r="AG2426" s="5" t="s">
        <v>249</v>
      </c>
      <c r="AW2426" s="5" t="s">
        <v>251</v>
      </c>
      <c r="AX2426" s="5" t="s">
        <v>240</v>
      </c>
      <c r="AY2426" s="5" t="s">
        <v>253</v>
      </c>
      <c r="AZ2426" s="5" t="s">
        <v>240</v>
      </c>
      <c r="BA2426" s="5" t="s">
        <v>255</v>
      </c>
      <c r="BB2426" s="5" t="s">
        <v>240</v>
      </c>
      <c r="BD2426" s="5" t="s">
        <v>240</v>
      </c>
      <c r="BF2426" s="5" t="s">
        <v>301</v>
      </c>
      <c r="BG2426" s="6" t="s">
        <v>299</v>
      </c>
      <c r="BH2426" s="5" t="s">
        <v>302</v>
      </c>
      <c r="BI2426" s="5" t="s">
        <v>303</v>
      </c>
      <c r="BJ2426" s="5" t="s">
        <v>240</v>
      </c>
      <c r="BK2426" s="8">
        <f>0</f>
        <v>0</v>
      </c>
      <c r="BL2426" s="7">
        <f>0</f>
        <v>0</v>
      </c>
      <c r="BM2426" s="5" t="s">
        <v>258</v>
      </c>
      <c r="BN2426" s="5" t="s">
        <v>259</v>
      </c>
      <c r="CB2426" s="5" t="s">
        <v>240</v>
      </c>
      <c r="CC2426" s="5" t="s">
        <v>240</v>
      </c>
      <c r="CG2426" s="5" t="s">
        <v>304</v>
      </c>
      <c r="CH2426" s="5" t="s">
        <v>305</v>
      </c>
      <c r="CI2426" s="5" t="s">
        <v>240</v>
      </c>
      <c r="CL2426" s="6" t="s">
        <v>261</v>
      </c>
      <c r="CM2426" s="5" t="s">
        <v>240</v>
      </c>
      <c r="CN2426" s="5" t="s">
        <v>263</v>
      </c>
      <c r="CO2426" s="5" t="s">
        <v>240</v>
      </c>
      <c r="CP2426" s="5" t="s">
        <v>240</v>
      </c>
      <c r="CQ2426" s="5">
        <v>0</v>
      </c>
      <c r="CR2426" s="5" t="s">
        <v>306</v>
      </c>
      <c r="CS2426" s="5" t="s">
        <v>307</v>
      </c>
      <c r="CT2426" s="5" t="s">
        <v>307</v>
      </c>
      <c r="CU2426" s="5" t="s">
        <v>260</v>
      </c>
      <c r="CX2426" s="7">
        <f>1</f>
        <v>1</v>
      </c>
      <c r="CY2426" s="7">
        <f>0</f>
        <v>0</v>
      </c>
      <c r="DA2426" s="7">
        <f>0</f>
        <v>0</v>
      </c>
      <c r="DC2426" s="5" t="s">
        <v>309</v>
      </c>
      <c r="DD2426" s="5" t="s">
        <v>240</v>
      </c>
      <c r="DF2426" s="5" t="s">
        <v>309</v>
      </c>
      <c r="DG2426" s="7">
        <f>1168</f>
        <v>1168</v>
      </c>
      <c r="DI2426" s="5" t="s">
        <v>240</v>
      </c>
      <c r="DJ2426" s="5" t="s">
        <v>240</v>
      </c>
      <c r="DK2426" s="5" t="s">
        <v>240</v>
      </c>
      <c r="DL2426" s="5" t="s">
        <v>240</v>
      </c>
      <c r="DP2426" s="5" t="s">
        <v>240</v>
      </c>
      <c r="DQ2426" s="5" t="s">
        <v>240</v>
      </c>
      <c r="DR2426" s="5" t="s">
        <v>240</v>
      </c>
      <c r="DS2426" s="5" t="s">
        <v>240</v>
      </c>
      <c r="DV2426" s="5" t="s">
        <v>310</v>
      </c>
      <c r="DW2426" s="5" t="s">
        <v>2904</v>
      </c>
      <c r="HO2426" s="5" t="s">
        <v>312</v>
      </c>
    </row>
    <row r="2427" spans="1:223" x14ac:dyDescent="0.4">
      <c r="A2427" s="5">
        <v>4131</v>
      </c>
      <c r="B2427" s="5">
        <v>1</v>
      </c>
      <c r="C2427" s="5">
        <v>1</v>
      </c>
      <c r="D2427" s="5" t="s">
        <v>810</v>
      </c>
      <c r="E2427" s="5" t="s">
        <v>245</v>
      </c>
      <c r="F2427" s="5" t="s">
        <v>254</v>
      </c>
      <c r="G2427" s="5" t="s">
        <v>240</v>
      </c>
      <c r="H2427" s="6" t="s">
        <v>5041</v>
      </c>
      <c r="I2427" s="5" t="s">
        <v>809</v>
      </c>
      <c r="J2427" s="8">
        <f>736</f>
        <v>736</v>
      </c>
      <c r="K2427" s="5" t="s">
        <v>308</v>
      </c>
      <c r="L2427" s="7">
        <f>1</f>
        <v>1</v>
      </c>
      <c r="M2427" s="7">
        <f>1</f>
        <v>1</v>
      </c>
      <c r="N2427" s="5" t="s">
        <v>242</v>
      </c>
      <c r="O2427" s="5">
        <v>1</v>
      </c>
      <c r="P2427" s="5" t="s">
        <v>294</v>
      </c>
      <c r="Q2427" s="5" t="s">
        <v>266</v>
      </c>
      <c r="R2427" s="5" t="s">
        <v>240</v>
      </c>
      <c r="S2427" s="5" t="s">
        <v>240</v>
      </c>
      <c r="T2427" s="5" t="s">
        <v>296</v>
      </c>
      <c r="U2427" s="5" t="s">
        <v>244</v>
      </c>
      <c r="V2427" s="5" t="s">
        <v>240</v>
      </c>
      <c r="Y2427" s="5" t="s">
        <v>240</v>
      </c>
      <c r="Z2427" s="6" t="s">
        <v>298</v>
      </c>
      <c r="AB2427" s="6" t="s">
        <v>240</v>
      </c>
      <c r="AE2427" s="6" t="s">
        <v>299</v>
      </c>
      <c r="AF2427" s="5" t="s">
        <v>248</v>
      </c>
      <c r="AG2427" s="5" t="s">
        <v>249</v>
      </c>
      <c r="AW2427" s="5" t="s">
        <v>251</v>
      </c>
      <c r="AX2427" s="5" t="s">
        <v>240</v>
      </c>
      <c r="AY2427" s="5" t="s">
        <v>253</v>
      </c>
      <c r="AZ2427" s="5" t="s">
        <v>240</v>
      </c>
      <c r="BA2427" s="5" t="s">
        <v>255</v>
      </c>
      <c r="BB2427" s="5" t="s">
        <v>240</v>
      </c>
      <c r="BD2427" s="5" t="s">
        <v>240</v>
      </c>
      <c r="BF2427" s="5" t="s">
        <v>301</v>
      </c>
      <c r="BG2427" s="6" t="s">
        <v>299</v>
      </c>
      <c r="BH2427" s="5" t="s">
        <v>302</v>
      </c>
      <c r="BI2427" s="5" t="s">
        <v>303</v>
      </c>
      <c r="BJ2427" s="5" t="s">
        <v>240</v>
      </c>
      <c r="BK2427" s="8">
        <f>0</f>
        <v>0</v>
      </c>
      <c r="BL2427" s="7">
        <f>0</f>
        <v>0</v>
      </c>
      <c r="BM2427" s="5" t="s">
        <v>258</v>
      </c>
      <c r="BN2427" s="5" t="s">
        <v>259</v>
      </c>
      <c r="CB2427" s="5" t="s">
        <v>240</v>
      </c>
      <c r="CC2427" s="5" t="s">
        <v>240</v>
      </c>
      <c r="CG2427" s="5" t="s">
        <v>304</v>
      </c>
      <c r="CH2427" s="5" t="s">
        <v>305</v>
      </c>
      <c r="CI2427" s="5" t="s">
        <v>240</v>
      </c>
      <c r="CL2427" s="6" t="s">
        <v>261</v>
      </c>
      <c r="CM2427" s="5" t="s">
        <v>240</v>
      </c>
      <c r="CN2427" s="5" t="s">
        <v>263</v>
      </c>
      <c r="CO2427" s="5" t="s">
        <v>240</v>
      </c>
      <c r="CP2427" s="5" t="s">
        <v>240</v>
      </c>
      <c r="CQ2427" s="5">
        <v>0</v>
      </c>
      <c r="CR2427" s="5" t="s">
        <v>306</v>
      </c>
      <c r="CS2427" s="5" t="s">
        <v>307</v>
      </c>
      <c r="CT2427" s="5" t="s">
        <v>307</v>
      </c>
      <c r="CU2427" s="5" t="s">
        <v>260</v>
      </c>
      <c r="CX2427" s="7">
        <f>1</f>
        <v>1</v>
      </c>
      <c r="CY2427" s="7">
        <f>0</f>
        <v>0</v>
      </c>
      <c r="DA2427" s="7">
        <f>0</f>
        <v>0</v>
      </c>
      <c r="DC2427" s="5" t="s">
        <v>309</v>
      </c>
      <c r="DD2427" s="5" t="s">
        <v>240</v>
      </c>
      <c r="DF2427" s="5" t="s">
        <v>309</v>
      </c>
      <c r="DG2427" s="7">
        <f>810</f>
        <v>810</v>
      </c>
      <c r="DI2427" s="5" t="s">
        <v>240</v>
      </c>
      <c r="DJ2427" s="5" t="s">
        <v>240</v>
      </c>
      <c r="DK2427" s="5" t="s">
        <v>240</v>
      </c>
      <c r="DL2427" s="5" t="s">
        <v>240</v>
      </c>
      <c r="DP2427" s="5" t="s">
        <v>240</v>
      </c>
      <c r="DQ2427" s="5" t="s">
        <v>240</v>
      </c>
      <c r="DR2427" s="5" t="s">
        <v>240</v>
      </c>
      <c r="DS2427" s="5" t="s">
        <v>240</v>
      </c>
      <c r="DV2427" s="5" t="s">
        <v>310</v>
      </c>
      <c r="DW2427" s="5" t="s">
        <v>2906</v>
      </c>
      <c r="HO2427" s="5" t="s">
        <v>312</v>
      </c>
    </row>
    <row r="2428" spans="1:223" x14ac:dyDescent="0.4">
      <c r="A2428" s="5">
        <v>4132</v>
      </c>
      <c r="B2428" s="5">
        <v>1</v>
      </c>
      <c r="C2428" s="5">
        <v>1</v>
      </c>
      <c r="D2428" s="5" t="s">
        <v>810</v>
      </c>
      <c r="E2428" s="5" t="s">
        <v>245</v>
      </c>
      <c r="F2428" s="5" t="s">
        <v>254</v>
      </c>
      <c r="G2428" s="5" t="s">
        <v>240</v>
      </c>
      <c r="H2428" s="6" t="s">
        <v>3693</v>
      </c>
      <c r="I2428" s="5" t="s">
        <v>809</v>
      </c>
      <c r="J2428" s="8">
        <f>1991</f>
        <v>1991</v>
      </c>
      <c r="K2428" s="5" t="s">
        <v>308</v>
      </c>
      <c r="L2428" s="7">
        <f>1</f>
        <v>1</v>
      </c>
      <c r="M2428" s="7">
        <f>1</f>
        <v>1</v>
      </c>
      <c r="N2428" s="5" t="s">
        <v>242</v>
      </c>
      <c r="O2428" s="5">
        <v>1</v>
      </c>
      <c r="P2428" s="5" t="s">
        <v>294</v>
      </c>
      <c r="Q2428" s="5" t="s">
        <v>266</v>
      </c>
      <c r="R2428" s="5" t="s">
        <v>240</v>
      </c>
      <c r="S2428" s="5" t="s">
        <v>240</v>
      </c>
      <c r="T2428" s="5" t="s">
        <v>296</v>
      </c>
      <c r="U2428" s="5" t="s">
        <v>244</v>
      </c>
      <c r="V2428" s="5" t="s">
        <v>240</v>
      </c>
      <c r="Y2428" s="5" t="s">
        <v>240</v>
      </c>
      <c r="Z2428" s="6" t="s">
        <v>298</v>
      </c>
      <c r="AB2428" s="6" t="s">
        <v>240</v>
      </c>
      <c r="AE2428" s="6" t="s">
        <v>299</v>
      </c>
      <c r="AF2428" s="5" t="s">
        <v>248</v>
      </c>
      <c r="AG2428" s="5" t="s">
        <v>249</v>
      </c>
      <c r="AW2428" s="5" t="s">
        <v>251</v>
      </c>
      <c r="AX2428" s="5" t="s">
        <v>240</v>
      </c>
      <c r="AY2428" s="5" t="s">
        <v>253</v>
      </c>
      <c r="AZ2428" s="5" t="s">
        <v>240</v>
      </c>
      <c r="BA2428" s="5" t="s">
        <v>255</v>
      </c>
      <c r="BB2428" s="5" t="s">
        <v>240</v>
      </c>
      <c r="BD2428" s="5" t="s">
        <v>240</v>
      </c>
      <c r="BF2428" s="5" t="s">
        <v>301</v>
      </c>
      <c r="BG2428" s="6" t="s">
        <v>299</v>
      </c>
      <c r="BH2428" s="5" t="s">
        <v>302</v>
      </c>
      <c r="BI2428" s="5" t="s">
        <v>303</v>
      </c>
      <c r="BJ2428" s="5" t="s">
        <v>240</v>
      </c>
      <c r="BK2428" s="8">
        <f>0</f>
        <v>0</v>
      </c>
      <c r="BL2428" s="7">
        <f>0</f>
        <v>0</v>
      </c>
      <c r="BM2428" s="5" t="s">
        <v>258</v>
      </c>
      <c r="BN2428" s="5" t="s">
        <v>259</v>
      </c>
      <c r="CB2428" s="5" t="s">
        <v>240</v>
      </c>
      <c r="CC2428" s="5" t="s">
        <v>240</v>
      </c>
      <c r="CG2428" s="5" t="s">
        <v>304</v>
      </c>
      <c r="CH2428" s="5" t="s">
        <v>305</v>
      </c>
      <c r="CI2428" s="5" t="s">
        <v>240</v>
      </c>
      <c r="CL2428" s="6" t="s">
        <v>261</v>
      </c>
      <c r="CM2428" s="5" t="s">
        <v>240</v>
      </c>
      <c r="CN2428" s="5" t="s">
        <v>263</v>
      </c>
      <c r="CO2428" s="5" t="s">
        <v>240</v>
      </c>
      <c r="CP2428" s="5" t="s">
        <v>240</v>
      </c>
      <c r="CQ2428" s="5">
        <v>0</v>
      </c>
      <c r="CR2428" s="5" t="s">
        <v>306</v>
      </c>
      <c r="CS2428" s="5" t="s">
        <v>307</v>
      </c>
      <c r="CT2428" s="5" t="s">
        <v>307</v>
      </c>
      <c r="CU2428" s="5" t="s">
        <v>260</v>
      </c>
      <c r="CX2428" s="7">
        <f>1</f>
        <v>1</v>
      </c>
      <c r="CY2428" s="7">
        <f>0</f>
        <v>0</v>
      </c>
      <c r="DA2428" s="7">
        <f>0</f>
        <v>0</v>
      </c>
      <c r="DC2428" s="5" t="s">
        <v>309</v>
      </c>
      <c r="DD2428" s="5" t="s">
        <v>240</v>
      </c>
      <c r="DF2428" s="5" t="s">
        <v>309</v>
      </c>
      <c r="DG2428" s="7">
        <f>1863</f>
        <v>1863</v>
      </c>
      <c r="DI2428" s="5" t="s">
        <v>240</v>
      </c>
      <c r="DJ2428" s="5" t="s">
        <v>240</v>
      </c>
      <c r="DK2428" s="5" t="s">
        <v>240</v>
      </c>
      <c r="DL2428" s="5" t="s">
        <v>240</v>
      </c>
      <c r="DP2428" s="5" t="s">
        <v>240</v>
      </c>
      <c r="DQ2428" s="5" t="s">
        <v>240</v>
      </c>
      <c r="DR2428" s="5" t="s">
        <v>240</v>
      </c>
      <c r="DS2428" s="5" t="s">
        <v>240</v>
      </c>
      <c r="DV2428" s="5" t="s">
        <v>310</v>
      </c>
      <c r="DW2428" s="5" t="s">
        <v>2908</v>
      </c>
      <c r="HO2428" s="5" t="s">
        <v>312</v>
      </c>
    </row>
    <row r="2429" spans="1:223" x14ac:dyDescent="0.4">
      <c r="A2429" s="5">
        <v>4133</v>
      </c>
      <c r="B2429" s="5">
        <v>1</v>
      </c>
      <c r="C2429" s="5">
        <v>1</v>
      </c>
      <c r="D2429" s="5" t="s">
        <v>810</v>
      </c>
      <c r="E2429" s="5" t="s">
        <v>245</v>
      </c>
      <c r="F2429" s="5" t="s">
        <v>254</v>
      </c>
      <c r="G2429" s="5" t="s">
        <v>240</v>
      </c>
      <c r="H2429" s="6" t="s">
        <v>5043</v>
      </c>
      <c r="I2429" s="5" t="s">
        <v>809</v>
      </c>
      <c r="J2429" s="8">
        <f>47</f>
        <v>47</v>
      </c>
      <c r="K2429" s="5" t="s">
        <v>308</v>
      </c>
      <c r="L2429" s="7">
        <f>1</f>
        <v>1</v>
      </c>
      <c r="M2429" s="7">
        <f>1</f>
        <v>1</v>
      </c>
      <c r="N2429" s="5" t="s">
        <v>242</v>
      </c>
      <c r="O2429" s="5">
        <v>1</v>
      </c>
      <c r="P2429" s="5" t="s">
        <v>294</v>
      </c>
      <c r="Q2429" s="5" t="s">
        <v>266</v>
      </c>
      <c r="R2429" s="5" t="s">
        <v>240</v>
      </c>
      <c r="S2429" s="5" t="s">
        <v>240</v>
      </c>
      <c r="T2429" s="5" t="s">
        <v>296</v>
      </c>
      <c r="U2429" s="5" t="s">
        <v>244</v>
      </c>
      <c r="V2429" s="5" t="s">
        <v>240</v>
      </c>
      <c r="Y2429" s="5" t="s">
        <v>240</v>
      </c>
      <c r="Z2429" s="6" t="s">
        <v>298</v>
      </c>
      <c r="AB2429" s="6" t="s">
        <v>240</v>
      </c>
      <c r="AE2429" s="6" t="s">
        <v>299</v>
      </c>
      <c r="AF2429" s="5" t="s">
        <v>248</v>
      </c>
      <c r="AG2429" s="5" t="s">
        <v>249</v>
      </c>
      <c r="AW2429" s="5" t="s">
        <v>251</v>
      </c>
      <c r="AX2429" s="5" t="s">
        <v>240</v>
      </c>
      <c r="AY2429" s="5" t="s">
        <v>253</v>
      </c>
      <c r="AZ2429" s="5" t="s">
        <v>240</v>
      </c>
      <c r="BA2429" s="5" t="s">
        <v>255</v>
      </c>
      <c r="BB2429" s="5" t="s">
        <v>240</v>
      </c>
      <c r="BD2429" s="5" t="s">
        <v>240</v>
      </c>
      <c r="BF2429" s="5" t="s">
        <v>301</v>
      </c>
      <c r="BG2429" s="6" t="s">
        <v>299</v>
      </c>
      <c r="BH2429" s="5" t="s">
        <v>302</v>
      </c>
      <c r="BI2429" s="5" t="s">
        <v>303</v>
      </c>
      <c r="BJ2429" s="5" t="s">
        <v>240</v>
      </c>
      <c r="BK2429" s="8">
        <f>0</f>
        <v>0</v>
      </c>
      <c r="BL2429" s="7">
        <f>0</f>
        <v>0</v>
      </c>
      <c r="BM2429" s="5" t="s">
        <v>258</v>
      </c>
      <c r="BN2429" s="5" t="s">
        <v>259</v>
      </c>
      <c r="CB2429" s="5" t="s">
        <v>240</v>
      </c>
      <c r="CC2429" s="5" t="s">
        <v>240</v>
      </c>
      <c r="CG2429" s="5" t="s">
        <v>304</v>
      </c>
      <c r="CH2429" s="5" t="s">
        <v>305</v>
      </c>
      <c r="CI2429" s="5" t="s">
        <v>240</v>
      </c>
      <c r="CL2429" s="6" t="s">
        <v>261</v>
      </c>
      <c r="CM2429" s="5" t="s">
        <v>240</v>
      </c>
      <c r="CN2429" s="5" t="s">
        <v>263</v>
      </c>
      <c r="CO2429" s="5" t="s">
        <v>240</v>
      </c>
      <c r="CP2429" s="5" t="s">
        <v>240</v>
      </c>
      <c r="CQ2429" s="5">
        <v>0</v>
      </c>
      <c r="CR2429" s="5" t="s">
        <v>306</v>
      </c>
      <c r="CS2429" s="5" t="s">
        <v>307</v>
      </c>
      <c r="CT2429" s="5" t="s">
        <v>307</v>
      </c>
      <c r="CU2429" s="5" t="s">
        <v>260</v>
      </c>
      <c r="CX2429" s="7">
        <f>1</f>
        <v>1</v>
      </c>
      <c r="CY2429" s="7">
        <f>0</f>
        <v>0</v>
      </c>
      <c r="DA2429" s="7">
        <f>0</f>
        <v>0</v>
      </c>
      <c r="DC2429" s="5" t="s">
        <v>309</v>
      </c>
      <c r="DD2429" s="5" t="s">
        <v>240</v>
      </c>
      <c r="DF2429" s="5" t="s">
        <v>309</v>
      </c>
      <c r="DG2429" s="7">
        <f>62</f>
        <v>62</v>
      </c>
      <c r="DI2429" s="5" t="s">
        <v>240</v>
      </c>
      <c r="DJ2429" s="5" t="s">
        <v>240</v>
      </c>
      <c r="DK2429" s="5" t="s">
        <v>240</v>
      </c>
      <c r="DL2429" s="5" t="s">
        <v>240</v>
      </c>
      <c r="DP2429" s="5" t="s">
        <v>240</v>
      </c>
      <c r="DQ2429" s="5" t="s">
        <v>240</v>
      </c>
      <c r="DR2429" s="5" t="s">
        <v>240</v>
      </c>
      <c r="DS2429" s="5" t="s">
        <v>240</v>
      </c>
      <c r="DV2429" s="5" t="s">
        <v>310</v>
      </c>
      <c r="DW2429" s="5" t="s">
        <v>2910</v>
      </c>
      <c r="HO2429" s="5" t="s">
        <v>312</v>
      </c>
    </row>
    <row r="2430" spans="1:223" x14ac:dyDescent="0.4">
      <c r="A2430" s="5">
        <v>4134</v>
      </c>
      <c r="B2430" s="5">
        <v>1</v>
      </c>
      <c r="C2430" s="5">
        <v>1</v>
      </c>
      <c r="D2430" s="5" t="s">
        <v>810</v>
      </c>
      <c r="E2430" s="5" t="s">
        <v>245</v>
      </c>
      <c r="F2430" s="5" t="s">
        <v>254</v>
      </c>
      <c r="G2430" s="5" t="s">
        <v>240</v>
      </c>
      <c r="H2430" s="6" t="s">
        <v>3688</v>
      </c>
      <c r="I2430" s="5" t="s">
        <v>809</v>
      </c>
      <c r="J2430" s="8">
        <f>2112</f>
        <v>2112</v>
      </c>
      <c r="K2430" s="5" t="s">
        <v>308</v>
      </c>
      <c r="L2430" s="7">
        <f>1</f>
        <v>1</v>
      </c>
      <c r="M2430" s="7">
        <f>1</f>
        <v>1</v>
      </c>
      <c r="N2430" s="5" t="s">
        <v>242</v>
      </c>
      <c r="O2430" s="5">
        <v>1</v>
      </c>
      <c r="P2430" s="5" t="s">
        <v>294</v>
      </c>
      <c r="Q2430" s="5" t="s">
        <v>613</v>
      </c>
      <c r="R2430" s="5" t="s">
        <v>240</v>
      </c>
      <c r="S2430" s="5" t="s">
        <v>240</v>
      </c>
      <c r="T2430" s="5" t="s">
        <v>243</v>
      </c>
      <c r="U2430" s="5" t="s">
        <v>244</v>
      </c>
      <c r="V2430" s="5" t="s">
        <v>240</v>
      </c>
      <c r="Y2430" s="5" t="s">
        <v>240</v>
      </c>
      <c r="Z2430" s="6" t="s">
        <v>298</v>
      </c>
      <c r="AB2430" s="6" t="s">
        <v>240</v>
      </c>
      <c r="AE2430" s="6" t="s">
        <v>299</v>
      </c>
      <c r="AF2430" s="5" t="s">
        <v>248</v>
      </c>
      <c r="AG2430" s="5" t="s">
        <v>249</v>
      </c>
      <c r="AW2430" s="5" t="s">
        <v>251</v>
      </c>
      <c r="AX2430" s="5" t="s">
        <v>240</v>
      </c>
      <c r="AY2430" s="5" t="s">
        <v>253</v>
      </c>
      <c r="AZ2430" s="5" t="s">
        <v>240</v>
      </c>
      <c r="BA2430" s="5" t="s">
        <v>255</v>
      </c>
      <c r="BB2430" s="5" t="s">
        <v>240</v>
      </c>
      <c r="BD2430" s="5" t="s">
        <v>240</v>
      </c>
      <c r="BF2430" s="5" t="s">
        <v>301</v>
      </c>
      <c r="BG2430" s="6" t="s">
        <v>299</v>
      </c>
      <c r="BH2430" s="5" t="s">
        <v>302</v>
      </c>
      <c r="BI2430" s="5" t="s">
        <v>303</v>
      </c>
      <c r="BJ2430" s="5" t="s">
        <v>240</v>
      </c>
      <c r="BK2430" s="8">
        <f>0</f>
        <v>0</v>
      </c>
      <c r="BL2430" s="7">
        <f>0</f>
        <v>0</v>
      </c>
      <c r="BM2430" s="5" t="s">
        <v>258</v>
      </c>
      <c r="BN2430" s="5" t="s">
        <v>259</v>
      </c>
      <c r="CB2430" s="5" t="s">
        <v>240</v>
      </c>
      <c r="CC2430" s="5" t="s">
        <v>240</v>
      </c>
      <c r="CG2430" s="5" t="s">
        <v>617</v>
      </c>
      <c r="CH2430" s="5" t="s">
        <v>305</v>
      </c>
      <c r="CI2430" s="5" t="s">
        <v>240</v>
      </c>
      <c r="CL2430" s="6" t="s">
        <v>261</v>
      </c>
      <c r="CM2430" s="5" t="s">
        <v>240</v>
      </c>
      <c r="CN2430" s="5" t="s">
        <v>263</v>
      </c>
      <c r="CO2430" s="5" t="s">
        <v>240</v>
      </c>
      <c r="CP2430" s="5" t="s">
        <v>240</v>
      </c>
      <c r="CQ2430" s="5">
        <v>0</v>
      </c>
      <c r="CR2430" s="5" t="s">
        <v>306</v>
      </c>
      <c r="CS2430" s="5" t="s">
        <v>307</v>
      </c>
      <c r="CT2430" s="5" t="s">
        <v>307</v>
      </c>
      <c r="CU2430" s="5" t="s">
        <v>260</v>
      </c>
      <c r="CX2430" s="7">
        <f>1601900</f>
        <v>1601900</v>
      </c>
      <c r="CY2430" s="7">
        <f>0</f>
        <v>0</v>
      </c>
      <c r="DA2430" s="7">
        <f>0</f>
        <v>0</v>
      </c>
      <c r="DC2430" s="5" t="s">
        <v>843</v>
      </c>
      <c r="DD2430" s="5" t="s">
        <v>240</v>
      </c>
      <c r="DF2430" s="5" t="s">
        <v>1320</v>
      </c>
      <c r="DG2430" s="7">
        <f>160.19</f>
        <v>160.19</v>
      </c>
      <c r="DI2430" s="5" t="s">
        <v>843</v>
      </c>
      <c r="DJ2430" s="5" t="s">
        <v>240</v>
      </c>
      <c r="DK2430" s="5" t="s">
        <v>240</v>
      </c>
      <c r="DL2430" s="5" t="s">
        <v>240</v>
      </c>
      <c r="DP2430" s="5" t="s">
        <v>240</v>
      </c>
      <c r="DQ2430" s="5" t="s">
        <v>240</v>
      </c>
      <c r="DR2430" s="5" t="s">
        <v>240</v>
      </c>
      <c r="DS2430" s="5" t="s">
        <v>240</v>
      </c>
      <c r="DV2430" s="5" t="s">
        <v>1862</v>
      </c>
      <c r="DW2430" s="5" t="s">
        <v>797</v>
      </c>
      <c r="HO2430" s="5" t="s">
        <v>312</v>
      </c>
    </row>
    <row r="2431" spans="1:223" x14ac:dyDescent="0.4">
      <c r="A2431" s="5">
        <v>4135</v>
      </c>
      <c r="B2431" s="5">
        <v>1</v>
      </c>
      <c r="C2431" s="5">
        <v>1</v>
      </c>
      <c r="D2431" s="5" t="s">
        <v>810</v>
      </c>
      <c r="E2431" s="5" t="s">
        <v>245</v>
      </c>
      <c r="F2431" s="5" t="s">
        <v>254</v>
      </c>
      <c r="G2431" s="5" t="s">
        <v>240</v>
      </c>
      <c r="H2431" s="6" t="s">
        <v>3686</v>
      </c>
      <c r="I2431" s="5" t="s">
        <v>809</v>
      </c>
      <c r="J2431" s="8">
        <f>1161</f>
        <v>1161</v>
      </c>
      <c r="K2431" s="5" t="s">
        <v>308</v>
      </c>
      <c r="L2431" s="7">
        <f>1</f>
        <v>1</v>
      </c>
      <c r="M2431" s="7">
        <f>1</f>
        <v>1</v>
      </c>
      <c r="N2431" s="5" t="s">
        <v>242</v>
      </c>
      <c r="O2431" s="5">
        <v>1</v>
      </c>
      <c r="P2431" s="5" t="s">
        <v>294</v>
      </c>
      <c r="Q2431" s="5" t="s">
        <v>266</v>
      </c>
      <c r="R2431" s="5" t="s">
        <v>240</v>
      </c>
      <c r="S2431" s="5" t="s">
        <v>240</v>
      </c>
      <c r="T2431" s="5" t="s">
        <v>296</v>
      </c>
      <c r="U2431" s="5" t="s">
        <v>244</v>
      </c>
      <c r="V2431" s="5" t="s">
        <v>240</v>
      </c>
      <c r="Y2431" s="5" t="s">
        <v>240</v>
      </c>
      <c r="Z2431" s="6" t="s">
        <v>298</v>
      </c>
      <c r="AB2431" s="6" t="s">
        <v>240</v>
      </c>
      <c r="AE2431" s="6" t="s">
        <v>299</v>
      </c>
      <c r="AF2431" s="5" t="s">
        <v>248</v>
      </c>
      <c r="AG2431" s="5" t="s">
        <v>249</v>
      </c>
      <c r="AW2431" s="5" t="s">
        <v>251</v>
      </c>
      <c r="AX2431" s="5" t="s">
        <v>240</v>
      </c>
      <c r="AY2431" s="5" t="s">
        <v>253</v>
      </c>
      <c r="AZ2431" s="5" t="s">
        <v>240</v>
      </c>
      <c r="BA2431" s="5" t="s">
        <v>255</v>
      </c>
      <c r="BB2431" s="5" t="s">
        <v>240</v>
      </c>
      <c r="BD2431" s="5" t="s">
        <v>240</v>
      </c>
      <c r="BF2431" s="5" t="s">
        <v>301</v>
      </c>
      <c r="BG2431" s="6" t="s">
        <v>299</v>
      </c>
      <c r="BH2431" s="5" t="s">
        <v>302</v>
      </c>
      <c r="BI2431" s="5" t="s">
        <v>303</v>
      </c>
      <c r="BJ2431" s="5" t="s">
        <v>240</v>
      </c>
      <c r="BK2431" s="8">
        <f>0</f>
        <v>0</v>
      </c>
      <c r="BL2431" s="7">
        <f>0</f>
        <v>0</v>
      </c>
      <c r="BM2431" s="5" t="s">
        <v>258</v>
      </c>
      <c r="BN2431" s="5" t="s">
        <v>259</v>
      </c>
      <c r="CB2431" s="5" t="s">
        <v>240</v>
      </c>
      <c r="CC2431" s="5" t="s">
        <v>240</v>
      </c>
      <c r="CG2431" s="5" t="s">
        <v>304</v>
      </c>
      <c r="CH2431" s="5" t="s">
        <v>305</v>
      </c>
      <c r="CI2431" s="5" t="s">
        <v>240</v>
      </c>
      <c r="CL2431" s="6" t="s">
        <v>261</v>
      </c>
      <c r="CM2431" s="5" t="s">
        <v>240</v>
      </c>
      <c r="CN2431" s="5" t="s">
        <v>263</v>
      </c>
      <c r="CO2431" s="5" t="s">
        <v>240</v>
      </c>
      <c r="CP2431" s="5" t="s">
        <v>240</v>
      </c>
      <c r="CQ2431" s="5">
        <v>0</v>
      </c>
      <c r="CR2431" s="5" t="s">
        <v>306</v>
      </c>
      <c r="CS2431" s="5" t="s">
        <v>307</v>
      </c>
      <c r="CT2431" s="5" t="s">
        <v>307</v>
      </c>
      <c r="CU2431" s="5" t="s">
        <v>260</v>
      </c>
      <c r="CX2431" s="7">
        <f>1</f>
        <v>1</v>
      </c>
      <c r="CY2431" s="7">
        <f>0</f>
        <v>0</v>
      </c>
      <c r="DA2431" s="7">
        <f>0</f>
        <v>0</v>
      </c>
      <c r="DC2431" s="5" t="s">
        <v>309</v>
      </c>
      <c r="DD2431" s="5" t="s">
        <v>240</v>
      </c>
      <c r="DF2431" s="5" t="s">
        <v>309</v>
      </c>
      <c r="DG2431" s="7">
        <f>108</f>
        <v>108</v>
      </c>
      <c r="DI2431" s="5" t="s">
        <v>240</v>
      </c>
      <c r="DJ2431" s="5" t="s">
        <v>240</v>
      </c>
      <c r="DK2431" s="5" t="s">
        <v>240</v>
      </c>
      <c r="DL2431" s="5" t="s">
        <v>240</v>
      </c>
      <c r="DP2431" s="5" t="s">
        <v>240</v>
      </c>
      <c r="DQ2431" s="5" t="s">
        <v>240</v>
      </c>
      <c r="DR2431" s="5" t="s">
        <v>240</v>
      </c>
      <c r="DS2431" s="5" t="s">
        <v>240</v>
      </c>
      <c r="DV2431" s="5" t="s">
        <v>310</v>
      </c>
      <c r="DW2431" s="5" t="s">
        <v>2914</v>
      </c>
      <c r="HO2431" s="5" t="s">
        <v>312</v>
      </c>
    </row>
    <row r="2432" spans="1:223" x14ac:dyDescent="0.4">
      <c r="A2432" s="5">
        <v>4136</v>
      </c>
      <c r="B2432" s="5">
        <v>1</v>
      </c>
      <c r="C2432" s="5">
        <v>1</v>
      </c>
      <c r="D2432" s="5" t="s">
        <v>810</v>
      </c>
      <c r="E2432" s="5" t="s">
        <v>245</v>
      </c>
      <c r="F2432" s="5" t="s">
        <v>254</v>
      </c>
      <c r="G2432" s="5" t="s">
        <v>240</v>
      </c>
      <c r="H2432" s="6" t="s">
        <v>3684</v>
      </c>
      <c r="I2432" s="5" t="s">
        <v>809</v>
      </c>
      <c r="J2432" s="8">
        <f>134</f>
        <v>134</v>
      </c>
      <c r="K2432" s="5" t="s">
        <v>308</v>
      </c>
      <c r="L2432" s="7">
        <f>1</f>
        <v>1</v>
      </c>
      <c r="M2432" s="7">
        <f>1</f>
        <v>1</v>
      </c>
      <c r="N2432" s="5" t="s">
        <v>242</v>
      </c>
      <c r="O2432" s="5">
        <v>1</v>
      </c>
      <c r="P2432" s="5" t="s">
        <v>294</v>
      </c>
      <c r="Q2432" s="5" t="s">
        <v>266</v>
      </c>
      <c r="R2432" s="5" t="s">
        <v>240</v>
      </c>
      <c r="S2432" s="5" t="s">
        <v>240</v>
      </c>
      <c r="T2432" s="5" t="s">
        <v>296</v>
      </c>
      <c r="U2432" s="5" t="s">
        <v>244</v>
      </c>
      <c r="V2432" s="5" t="s">
        <v>240</v>
      </c>
      <c r="Y2432" s="5" t="s">
        <v>240</v>
      </c>
      <c r="Z2432" s="6" t="s">
        <v>298</v>
      </c>
      <c r="AB2432" s="6" t="s">
        <v>240</v>
      </c>
      <c r="AE2432" s="6" t="s">
        <v>299</v>
      </c>
      <c r="AF2432" s="5" t="s">
        <v>248</v>
      </c>
      <c r="AG2432" s="5" t="s">
        <v>249</v>
      </c>
      <c r="AW2432" s="5" t="s">
        <v>251</v>
      </c>
      <c r="AX2432" s="5" t="s">
        <v>240</v>
      </c>
      <c r="AY2432" s="5" t="s">
        <v>253</v>
      </c>
      <c r="AZ2432" s="5" t="s">
        <v>240</v>
      </c>
      <c r="BA2432" s="5" t="s">
        <v>255</v>
      </c>
      <c r="BB2432" s="5" t="s">
        <v>240</v>
      </c>
      <c r="BD2432" s="5" t="s">
        <v>240</v>
      </c>
      <c r="BF2432" s="5" t="s">
        <v>301</v>
      </c>
      <c r="BG2432" s="6" t="s">
        <v>299</v>
      </c>
      <c r="BH2432" s="5" t="s">
        <v>302</v>
      </c>
      <c r="BI2432" s="5" t="s">
        <v>303</v>
      </c>
      <c r="BJ2432" s="5" t="s">
        <v>240</v>
      </c>
      <c r="BK2432" s="8">
        <f>0</f>
        <v>0</v>
      </c>
      <c r="BL2432" s="7">
        <f>0</f>
        <v>0</v>
      </c>
      <c r="BM2432" s="5" t="s">
        <v>258</v>
      </c>
      <c r="BN2432" s="5" t="s">
        <v>259</v>
      </c>
      <c r="CB2432" s="5" t="s">
        <v>240</v>
      </c>
      <c r="CC2432" s="5" t="s">
        <v>240</v>
      </c>
      <c r="CG2432" s="5" t="s">
        <v>304</v>
      </c>
      <c r="CH2432" s="5" t="s">
        <v>305</v>
      </c>
      <c r="CI2432" s="5" t="s">
        <v>240</v>
      </c>
      <c r="CL2432" s="6" t="s">
        <v>261</v>
      </c>
      <c r="CM2432" s="5" t="s">
        <v>240</v>
      </c>
      <c r="CN2432" s="5" t="s">
        <v>263</v>
      </c>
      <c r="CO2432" s="5" t="s">
        <v>240</v>
      </c>
      <c r="CP2432" s="5" t="s">
        <v>240</v>
      </c>
      <c r="CQ2432" s="5">
        <v>0</v>
      </c>
      <c r="CR2432" s="5" t="s">
        <v>306</v>
      </c>
      <c r="CS2432" s="5" t="s">
        <v>307</v>
      </c>
      <c r="CT2432" s="5" t="s">
        <v>307</v>
      </c>
      <c r="CU2432" s="5" t="s">
        <v>260</v>
      </c>
      <c r="CX2432" s="7">
        <f>1</f>
        <v>1</v>
      </c>
      <c r="CY2432" s="7">
        <f>0</f>
        <v>0</v>
      </c>
      <c r="DA2432" s="7">
        <f>0</f>
        <v>0</v>
      </c>
      <c r="DC2432" s="5" t="s">
        <v>309</v>
      </c>
      <c r="DD2432" s="5" t="s">
        <v>240</v>
      </c>
      <c r="DF2432" s="5" t="s">
        <v>309</v>
      </c>
      <c r="DG2432" s="7">
        <f>20</f>
        <v>20</v>
      </c>
      <c r="DI2432" s="5" t="s">
        <v>240</v>
      </c>
      <c r="DJ2432" s="5" t="s">
        <v>240</v>
      </c>
      <c r="DK2432" s="5" t="s">
        <v>240</v>
      </c>
      <c r="DL2432" s="5" t="s">
        <v>240</v>
      </c>
      <c r="DP2432" s="5" t="s">
        <v>240</v>
      </c>
      <c r="DQ2432" s="5" t="s">
        <v>240</v>
      </c>
      <c r="DR2432" s="5" t="s">
        <v>240</v>
      </c>
      <c r="DS2432" s="5" t="s">
        <v>240</v>
      </c>
      <c r="DV2432" s="5" t="s">
        <v>310</v>
      </c>
      <c r="DW2432" s="5" t="s">
        <v>2916</v>
      </c>
      <c r="HO2432" s="5" t="s">
        <v>312</v>
      </c>
    </row>
    <row r="2433" spans="1:223" x14ac:dyDescent="0.4">
      <c r="A2433" s="5">
        <v>4137</v>
      </c>
      <c r="B2433" s="5">
        <v>1</v>
      </c>
      <c r="C2433" s="5">
        <v>1</v>
      </c>
      <c r="D2433" s="5" t="s">
        <v>810</v>
      </c>
      <c r="E2433" s="5" t="s">
        <v>245</v>
      </c>
      <c r="F2433" s="5" t="s">
        <v>254</v>
      </c>
      <c r="G2433" s="5" t="s">
        <v>240</v>
      </c>
      <c r="H2433" s="6" t="s">
        <v>5049</v>
      </c>
      <c r="I2433" s="5" t="s">
        <v>809</v>
      </c>
      <c r="J2433" s="8">
        <f>436</f>
        <v>436</v>
      </c>
      <c r="K2433" s="5" t="s">
        <v>308</v>
      </c>
      <c r="L2433" s="7">
        <f>1</f>
        <v>1</v>
      </c>
      <c r="M2433" s="7">
        <f>1</f>
        <v>1</v>
      </c>
      <c r="N2433" s="5" t="s">
        <v>242</v>
      </c>
      <c r="O2433" s="5">
        <v>1</v>
      </c>
      <c r="P2433" s="5" t="s">
        <v>294</v>
      </c>
      <c r="Q2433" s="5" t="s">
        <v>266</v>
      </c>
      <c r="R2433" s="5" t="s">
        <v>240</v>
      </c>
      <c r="S2433" s="5" t="s">
        <v>240</v>
      </c>
      <c r="T2433" s="5" t="s">
        <v>296</v>
      </c>
      <c r="U2433" s="5" t="s">
        <v>244</v>
      </c>
      <c r="V2433" s="5" t="s">
        <v>240</v>
      </c>
      <c r="Y2433" s="5" t="s">
        <v>240</v>
      </c>
      <c r="Z2433" s="6" t="s">
        <v>298</v>
      </c>
      <c r="AB2433" s="6" t="s">
        <v>240</v>
      </c>
      <c r="AE2433" s="6" t="s">
        <v>299</v>
      </c>
      <c r="AF2433" s="5" t="s">
        <v>248</v>
      </c>
      <c r="AG2433" s="5" t="s">
        <v>249</v>
      </c>
      <c r="AW2433" s="5" t="s">
        <v>251</v>
      </c>
      <c r="AX2433" s="5" t="s">
        <v>240</v>
      </c>
      <c r="AY2433" s="5" t="s">
        <v>253</v>
      </c>
      <c r="AZ2433" s="5" t="s">
        <v>240</v>
      </c>
      <c r="BA2433" s="5" t="s">
        <v>255</v>
      </c>
      <c r="BB2433" s="5" t="s">
        <v>240</v>
      </c>
      <c r="BD2433" s="5" t="s">
        <v>240</v>
      </c>
      <c r="BF2433" s="5" t="s">
        <v>301</v>
      </c>
      <c r="BG2433" s="6" t="s">
        <v>299</v>
      </c>
      <c r="BH2433" s="5" t="s">
        <v>302</v>
      </c>
      <c r="BI2433" s="5" t="s">
        <v>303</v>
      </c>
      <c r="BJ2433" s="5" t="s">
        <v>240</v>
      </c>
      <c r="BK2433" s="8">
        <f>0</f>
        <v>0</v>
      </c>
      <c r="BL2433" s="7">
        <f>0</f>
        <v>0</v>
      </c>
      <c r="BM2433" s="5" t="s">
        <v>258</v>
      </c>
      <c r="BN2433" s="5" t="s">
        <v>259</v>
      </c>
      <c r="CB2433" s="5" t="s">
        <v>240</v>
      </c>
      <c r="CC2433" s="5" t="s">
        <v>240</v>
      </c>
      <c r="CG2433" s="5" t="s">
        <v>304</v>
      </c>
      <c r="CH2433" s="5" t="s">
        <v>305</v>
      </c>
      <c r="CI2433" s="5" t="s">
        <v>240</v>
      </c>
      <c r="CL2433" s="6" t="s">
        <v>261</v>
      </c>
      <c r="CM2433" s="5" t="s">
        <v>240</v>
      </c>
      <c r="CN2433" s="5" t="s">
        <v>263</v>
      </c>
      <c r="CO2433" s="5" t="s">
        <v>240</v>
      </c>
      <c r="CP2433" s="5" t="s">
        <v>240</v>
      </c>
      <c r="CQ2433" s="5">
        <v>0</v>
      </c>
      <c r="CR2433" s="5" t="s">
        <v>306</v>
      </c>
      <c r="CS2433" s="5" t="s">
        <v>307</v>
      </c>
      <c r="CT2433" s="5" t="s">
        <v>307</v>
      </c>
      <c r="CU2433" s="5" t="s">
        <v>260</v>
      </c>
      <c r="CX2433" s="7">
        <f>1</f>
        <v>1</v>
      </c>
      <c r="CY2433" s="7">
        <f>0</f>
        <v>0</v>
      </c>
      <c r="DA2433" s="7">
        <f>0</f>
        <v>0</v>
      </c>
      <c r="DC2433" s="5" t="s">
        <v>309</v>
      </c>
      <c r="DD2433" s="5" t="s">
        <v>240</v>
      </c>
      <c r="DF2433" s="5" t="s">
        <v>309</v>
      </c>
      <c r="DG2433" s="7">
        <f>52</f>
        <v>52</v>
      </c>
      <c r="DI2433" s="5" t="s">
        <v>240</v>
      </c>
      <c r="DJ2433" s="5" t="s">
        <v>240</v>
      </c>
      <c r="DK2433" s="5" t="s">
        <v>240</v>
      </c>
      <c r="DL2433" s="5" t="s">
        <v>240</v>
      </c>
      <c r="DP2433" s="5" t="s">
        <v>240</v>
      </c>
      <c r="DQ2433" s="5" t="s">
        <v>240</v>
      </c>
      <c r="DR2433" s="5" t="s">
        <v>240</v>
      </c>
      <c r="DS2433" s="5" t="s">
        <v>240</v>
      </c>
      <c r="DV2433" s="5" t="s">
        <v>310</v>
      </c>
      <c r="DW2433" s="5" t="s">
        <v>2918</v>
      </c>
      <c r="HO2433" s="5" t="s">
        <v>312</v>
      </c>
    </row>
    <row r="2434" spans="1:223" x14ac:dyDescent="0.4">
      <c r="A2434" s="5">
        <v>4138</v>
      </c>
      <c r="B2434" s="5">
        <v>1</v>
      </c>
      <c r="C2434" s="5">
        <v>1</v>
      </c>
      <c r="D2434" s="5" t="s">
        <v>810</v>
      </c>
      <c r="E2434" s="5" t="s">
        <v>245</v>
      </c>
      <c r="F2434" s="5" t="s">
        <v>254</v>
      </c>
      <c r="G2434" s="5" t="s">
        <v>240</v>
      </c>
      <c r="H2434" s="6" t="s">
        <v>3676</v>
      </c>
      <c r="I2434" s="5" t="s">
        <v>809</v>
      </c>
      <c r="J2434" s="8">
        <f>219</f>
        <v>219</v>
      </c>
      <c r="K2434" s="5" t="s">
        <v>308</v>
      </c>
      <c r="L2434" s="7">
        <f>1</f>
        <v>1</v>
      </c>
      <c r="M2434" s="7">
        <f>1</f>
        <v>1</v>
      </c>
      <c r="N2434" s="5" t="s">
        <v>242</v>
      </c>
      <c r="O2434" s="5">
        <v>1</v>
      </c>
      <c r="P2434" s="5" t="s">
        <v>294</v>
      </c>
      <c r="Q2434" s="5" t="s">
        <v>613</v>
      </c>
      <c r="R2434" s="5" t="s">
        <v>240</v>
      </c>
      <c r="S2434" s="5" t="s">
        <v>240</v>
      </c>
      <c r="T2434" s="5" t="s">
        <v>243</v>
      </c>
      <c r="U2434" s="5" t="s">
        <v>244</v>
      </c>
      <c r="V2434" s="5" t="s">
        <v>240</v>
      </c>
      <c r="Y2434" s="5" t="s">
        <v>240</v>
      </c>
      <c r="Z2434" s="6" t="s">
        <v>298</v>
      </c>
      <c r="AB2434" s="6" t="s">
        <v>240</v>
      </c>
      <c r="AE2434" s="6" t="s">
        <v>299</v>
      </c>
      <c r="AF2434" s="5" t="s">
        <v>248</v>
      </c>
      <c r="AG2434" s="5" t="s">
        <v>249</v>
      </c>
      <c r="AW2434" s="5" t="s">
        <v>251</v>
      </c>
      <c r="AX2434" s="5" t="s">
        <v>240</v>
      </c>
      <c r="AY2434" s="5" t="s">
        <v>253</v>
      </c>
      <c r="AZ2434" s="5" t="s">
        <v>240</v>
      </c>
      <c r="BA2434" s="5" t="s">
        <v>255</v>
      </c>
      <c r="BB2434" s="5" t="s">
        <v>240</v>
      </c>
      <c r="BD2434" s="5" t="s">
        <v>240</v>
      </c>
      <c r="BF2434" s="5" t="s">
        <v>301</v>
      </c>
      <c r="BG2434" s="6" t="s">
        <v>299</v>
      </c>
      <c r="BH2434" s="5" t="s">
        <v>302</v>
      </c>
      <c r="BI2434" s="5" t="s">
        <v>303</v>
      </c>
      <c r="BJ2434" s="5" t="s">
        <v>240</v>
      </c>
      <c r="BK2434" s="8">
        <f>0</f>
        <v>0</v>
      </c>
      <c r="BL2434" s="7">
        <f>0</f>
        <v>0</v>
      </c>
      <c r="BM2434" s="5" t="s">
        <v>258</v>
      </c>
      <c r="BN2434" s="5" t="s">
        <v>259</v>
      </c>
      <c r="CB2434" s="5" t="s">
        <v>240</v>
      </c>
      <c r="CC2434" s="5" t="s">
        <v>240</v>
      </c>
      <c r="CG2434" s="5" t="s">
        <v>617</v>
      </c>
      <c r="CH2434" s="5" t="s">
        <v>305</v>
      </c>
      <c r="CI2434" s="5" t="s">
        <v>240</v>
      </c>
      <c r="CL2434" s="6" t="s">
        <v>261</v>
      </c>
      <c r="CM2434" s="5" t="s">
        <v>240</v>
      </c>
      <c r="CN2434" s="5" t="s">
        <v>263</v>
      </c>
      <c r="CO2434" s="5" t="s">
        <v>240</v>
      </c>
      <c r="CP2434" s="5" t="s">
        <v>240</v>
      </c>
      <c r="CQ2434" s="5">
        <v>0</v>
      </c>
      <c r="CR2434" s="5" t="s">
        <v>306</v>
      </c>
      <c r="CS2434" s="5" t="s">
        <v>307</v>
      </c>
      <c r="CT2434" s="5" t="s">
        <v>307</v>
      </c>
      <c r="CU2434" s="5" t="s">
        <v>260</v>
      </c>
      <c r="CX2434" s="7">
        <f>38587794</f>
        <v>38587794</v>
      </c>
      <c r="CY2434" s="7">
        <f>0</f>
        <v>0</v>
      </c>
      <c r="DA2434" s="7">
        <f>0</f>
        <v>0</v>
      </c>
      <c r="DC2434" s="5" t="s">
        <v>843</v>
      </c>
      <c r="DD2434" s="5" t="s">
        <v>240</v>
      </c>
      <c r="DF2434" s="5" t="s">
        <v>843</v>
      </c>
      <c r="DG2434" s="7">
        <f>3937.53</f>
        <v>3937.53</v>
      </c>
      <c r="DI2434" s="5" t="s">
        <v>843</v>
      </c>
      <c r="DJ2434" s="5" t="s">
        <v>240</v>
      </c>
      <c r="DK2434" s="5" t="s">
        <v>240</v>
      </c>
      <c r="DL2434" s="5" t="s">
        <v>240</v>
      </c>
      <c r="DP2434" s="5" t="s">
        <v>240</v>
      </c>
      <c r="DQ2434" s="5" t="s">
        <v>240</v>
      </c>
      <c r="DR2434" s="5" t="s">
        <v>240</v>
      </c>
      <c r="DS2434" s="5" t="s">
        <v>240</v>
      </c>
      <c r="DV2434" s="5" t="s">
        <v>1862</v>
      </c>
      <c r="DW2434" s="5" t="s">
        <v>820</v>
      </c>
      <c r="HO2434" s="5" t="s">
        <v>312</v>
      </c>
    </row>
    <row r="2435" spans="1:223" x14ac:dyDescent="0.4">
      <c r="A2435" s="5">
        <v>4139</v>
      </c>
      <c r="B2435" s="5">
        <v>1</v>
      </c>
      <c r="C2435" s="5">
        <v>1</v>
      </c>
      <c r="D2435" s="5" t="s">
        <v>810</v>
      </c>
      <c r="E2435" s="5" t="s">
        <v>245</v>
      </c>
      <c r="F2435" s="5" t="s">
        <v>254</v>
      </c>
      <c r="G2435" s="5" t="s">
        <v>240</v>
      </c>
      <c r="H2435" s="6" t="s">
        <v>3674</v>
      </c>
      <c r="I2435" s="5" t="s">
        <v>809</v>
      </c>
      <c r="J2435" s="8">
        <f>218</f>
        <v>218</v>
      </c>
      <c r="K2435" s="5" t="s">
        <v>308</v>
      </c>
      <c r="L2435" s="7">
        <f>1</f>
        <v>1</v>
      </c>
      <c r="M2435" s="7">
        <f>1</f>
        <v>1</v>
      </c>
      <c r="N2435" s="5" t="s">
        <v>242</v>
      </c>
      <c r="O2435" s="5">
        <v>1</v>
      </c>
      <c r="P2435" s="5" t="s">
        <v>294</v>
      </c>
      <c r="Q2435" s="5" t="s">
        <v>266</v>
      </c>
      <c r="R2435" s="5" t="s">
        <v>240</v>
      </c>
      <c r="S2435" s="5" t="s">
        <v>240</v>
      </c>
      <c r="T2435" s="5" t="s">
        <v>296</v>
      </c>
      <c r="U2435" s="5" t="s">
        <v>244</v>
      </c>
      <c r="V2435" s="5" t="s">
        <v>240</v>
      </c>
      <c r="Y2435" s="5" t="s">
        <v>240</v>
      </c>
      <c r="Z2435" s="6" t="s">
        <v>298</v>
      </c>
      <c r="AB2435" s="6" t="s">
        <v>240</v>
      </c>
      <c r="AE2435" s="6" t="s">
        <v>299</v>
      </c>
      <c r="AF2435" s="5" t="s">
        <v>248</v>
      </c>
      <c r="AG2435" s="5" t="s">
        <v>249</v>
      </c>
      <c r="AW2435" s="5" t="s">
        <v>251</v>
      </c>
      <c r="AX2435" s="5" t="s">
        <v>240</v>
      </c>
      <c r="AY2435" s="5" t="s">
        <v>253</v>
      </c>
      <c r="AZ2435" s="5" t="s">
        <v>240</v>
      </c>
      <c r="BA2435" s="5" t="s">
        <v>255</v>
      </c>
      <c r="BB2435" s="5" t="s">
        <v>240</v>
      </c>
      <c r="BD2435" s="5" t="s">
        <v>240</v>
      </c>
      <c r="BF2435" s="5" t="s">
        <v>301</v>
      </c>
      <c r="BG2435" s="6" t="s">
        <v>299</v>
      </c>
      <c r="BH2435" s="5" t="s">
        <v>302</v>
      </c>
      <c r="BI2435" s="5" t="s">
        <v>303</v>
      </c>
      <c r="BJ2435" s="5" t="s">
        <v>240</v>
      </c>
      <c r="BK2435" s="8">
        <f>0</f>
        <v>0</v>
      </c>
      <c r="BL2435" s="7">
        <f>0</f>
        <v>0</v>
      </c>
      <c r="BM2435" s="5" t="s">
        <v>258</v>
      </c>
      <c r="BN2435" s="5" t="s">
        <v>259</v>
      </c>
      <c r="CB2435" s="5" t="s">
        <v>240</v>
      </c>
      <c r="CC2435" s="5" t="s">
        <v>240</v>
      </c>
      <c r="CG2435" s="5" t="s">
        <v>304</v>
      </c>
      <c r="CH2435" s="5" t="s">
        <v>305</v>
      </c>
      <c r="CI2435" s="5" t="s">
        <v>240</v>
      </c>
      <c r="CL2435" s="6" t="s">
        <v>261</v>
      </c>
      <c r="CM2435" s="5" t="s">
        <v>240</v>
      </c>
      <c r="CN2435" s="5" t="s">
        <v>263</v>
      </c>
      <c r="CO2435" s="5" t="s">
        <v>240</v>
      </c>
      <c r="CP2435" s="5" t="s">
        <v>240</v>
      </c>
      <c r="CQ2435" s="5">
        <v>0</v>
      </c>
      <c r="CR2435" s="5" t="s">
        <v>306</v>
      </c>
      <c r="CS2435" s="5" t="s">
        <v>307</v>
      </c>
      <c r="CT2435" s="5" t="s">
        <v>307</v>
      </c>
      <c r="CU2435" s="5" t="s">
        <v>260</v>
      </c>
      <c r="CX2435" s="7">
        <f>1</f>
        <v>1</v>
      </c>
      <c r="CY2435" s="7">
        <f>0</f>
        <v>0</v>
      </c>
      <c r="DA2435" s="7">
        <f>0</f>
        <v>0</v>
      </c>
      <c r="DC2435" s="5" t="s">
        <v>309</v>
      </c>
      <c r="DD2435" s="5" t="s">
        <v>240</v>
      </c>
      <c r="DF2435" s="5" t="s">
        <v>309</v>
      </c>
      <c r="DG2435" s="7">
        <f>1146</f>
        <v>1146</v>
      </c>
      <c r="DI2435" s="5" t="s">
        <v>240</v>
      </c>
      <c r="DJ2435" s="5" t="s">
        <v>240</v>
      </c>
      <c r="DK2435" s="5" t="s">
        <v>240</v>
      </c>
      <c r="DL2435" s="5" t="s">
        <v>240</v>
      </c>
      <c r="DP2435" s="5" t="s">
        <v>240</v>
      </c>
      <c r="DQ2435" s="5" t="s">
        <v>240</v>
      </c>
      <c r="DR2435" s="5" t="s">
        <v>240</v>
      </c>
      <c r="DS2435" s="5" t="s">
        <v>240</v>
      </c>
      <c r="DV2435" s="5" t="s">
        <v>310</v>
      </c>
      <c r="DW2435" s="5" t="s">
        <v>2922</v>
      </c>
      <c r="HO2435" s="5" t="s">
        <v>312</v>
      </c>
    </row>
    <row r="2436" spans="1:223" x14ac:dyDescent="0.4">
      <c r="A2436" s="5">
        <v>4140</v>
      </c>
      <c r="B2436" s="5">
        <v>1</v>
      </c>
      <c r="C2436" s="5">
        <v>1</v>
      </c>
      <c r="D2436" s="5" t="s">
        <v>810</v>
      </c>
      <c r="E2436" s="5" t="s">
        <v>245</v>
      </c>
      <c r="F2436" s="5" t="s">
        <v>254</v>
      </c>
      <c r="G2436" s="5" t="s">
        <v>240</v>
      </c>
      <c r="H2436" s="6" t="s">
        <v>3672</v>
      </c>
      <c r="I2436" s="5" t="s">
        <v>809</v>
      </c>
      <c r="J2436" s="8">
        <f>1677</f>
        <v>1677</v>
      </c>
      <c r="K2436" s="5" t="s">
        <v>308</v>
      </c>
      <c r="L2436" s="7">
        <f>1</f>
        <v>1</v>
      </c>
      <c r="M2436" s="7">
        <f>1</f>
        <v>1</v>
      </c>
      <c r="N2436" s="5" t="s">
        <v>242</v>
      </c>
      <c r="O2436" s="5">
        <v>1</v>
      </c>
      <c r="P2436" s="5" t="s">
        <v>294</v>
      </c>
      <c r="Q2436" s="5" t="s">
        <v>266</v>
      </c>
      <c r="R2436" s="5" t="s">
        <v>240</v>
      </c>
      <c r="S2436" s="5" t="s">
        <v>240</v>
      </c>
      <c r="T2436" s="5" t="s">
        <v>296</v>
      </c>
      <c r="U2436" s="5" t="s">
        <v>244</v>
      </c>
      <c r="V2436" s="5" t="s">
        <v>240</v>
      </c>
      <c r="Y2436" s="5" t="s">
        <v>240</v>
      </c>
      <c r="Z2436" s="6" t="s">
        <v>298</v>
      </c>
      <c r="AB2436" s="6" t="s">
        <v>240</v>
      </c>
      <c r="AE2436" s="6" t="s">
        <v>299</v>
      </c>
      <c r="AF2436" s="5" t="s">
        <v>248</v>
      </c>
      <c r="AG2436" s="5" t="s">
        <v>249</v>
      </c>
      <c r="AW2436" s="5" t="s">
        <v>251</v>
      </c>
      <c r="AX2436" s="5" t="s">
        <v>240</v>
      </c>
      <c r="AY2436" s="5" t="s">
        <v>253</v>
      </c>
      <c r="AZ2436" s="5" t="s">
        <v>240</v>
      </c>
      <c r="BA2436" s="5" t="s">
        <v>255</v>
      </c>
      <c r="BB2436" s="5" t="s">
        <v>240</v>
      </c>
      <c r="BD2436" s="5" t="s">
        <v>240</v>
      </c>
      <c r="BF2436" s="5" t="s">
        <v>301</v>
      </c>
      <c r="BG2436" s="6" t="s">
        <v>299</v>
      </c>
      <c r="BH2436" s="5" t="s">
        <v>302</v>
      </c>
      <c r="BI2436" s="5" t="s">
        <v>303</v>
      </c>
      <c r="BJ2436" s="5" t="s">
        <v>240</v>
      </c>
      <c r="BK2436" s="8">
        <f>0</f>
        <v>0</v>
      </c>
      <c r="BL2436" s="7">
        <f>0</f>
        <v>0</v>
      </c>
      <c r="BM2436" s="5" t="s">
        <v>258</v>
      </c>
      <c r="BN2436" s="5" t="s">
        <v>259</v>
      </c>
      <c r="CB2436" s="5" t="s">
        <v>240</v>
      </c>
      <c r="CC2436" s="5" t="s">
        <v>240</v>
      </c>
      <c r="CG2436" s="5" t="s">
        <v>304</v>
      </c>
      <c r="CH2436" s="5" t="s">
        <v>305</v>
      </c>
      <c r="CI2436" s="5" t="s">
        <v>240</v>
      </c>
      <c r="CL2436" s="6" t="s">
        <v>261</v>
      </c>
      <c r="CM2436" s="5" t="s">
        <v>240</v>
      </c>
      <c r="CN2436" s="5" t="s">
        <v>263</v>
      </c>
      <c r="CO2436" s="5" t="s">
        <v>240</v>
      </c>
      <c r="CP2436" s="5" t="s">
        <v>240</v>
      </c>
      <c r="CQ2436" s="5">
        <v>0</v>
      </c>
      <c r="CR2436" s="5" t="s">
        <v>306</v>
      </c>
      <c r="CS2436" s="5" t="s">
        <v>307</v>
      </c>
      <c r="CT2436" s="5" t="s">
        <v>307</v>
      </c>
      <c r="CU2436" s="5" t="s">
        <v>260</v>
      </c>
      <c r="CX2436" s="7">
        <f>1</f>
        <v>1</v>
      </c>
      <c r="CY2436" s="7">
        <f>0</f>
        <v>0</v>
      </c>
      <c r="DA2436" s="7">
        <f>0</f>
        <v>0</v>
      </c>
      <c r="DC2436" s="5" t="s">
        <v>309</v>
      </c>
      <c r="DD2436" s="5" t="s">
        <v>240</v>
      </c>
      <c r="DF2436" s="5" t="s">
        <v>309</v>
      </c>
      <c r="DG2436" s="7">
        <f>144</f>
        <v>144</v>
      </c>
      <c r="DI2436" s="5" t="s">
        <v>240</v>
      </c>
      <c r="DJ2436" s="5" t="s">
        <v>240</v>
      </c>
      <c r="DK2436" s="5" t="s">
        <v>240</v>
      </c>
      <c r="DL2436" s="5" t="s">
        <v>240</v>
      </c>
      <c r="DP2436" s="5" t="s">
        <v>240</v>
      </c>
      <c r="DQ2436" s="5" t="s">
        <v>240</v>
      </c>
      <c r="DR2436" s="5" t="s">
        <v>240</v>
      </c>
      <c r="DS2436" s="5" t="s">
        <v>240</v>
      </c>
      <c r="DV2436" s="5" t="s">
        <v>310</v>
      </c>
      <c r="DW2436" s="5" t="s">
        <v>2924</v>
      </c>
      <c r="HO2436" s="5" t="s">
        <v>312</v>
      </c>
    </row>
    <row r="2437" spans="1:223" x14ac:dyDescent="0.4">
      <c r="A2437" s="5">
        <v>4141</v>
      </c>
      <c r="B2437" s="5">
        <v>1</v>
      </c>
      <c r="C2437" s="5">
        <v>1</v>
      </c>
      <c r="D2437" s="5" t="s">
        <v>810</v>
      </c>
      <c r="E2437" s="5" t="s">
        <v>245</v>
      </c>
      <c r="F2437" s="5" t="s">
        <v>254</v>
      </c>
      <c r="G2437" s="5" t="s">
        <v>240</v>
      </c>
      <c r="H2437" s="6" t="s">
        <v>5040</v>
      </c>
      <c r="I2437" s="5" t="s">
        <v>809</v>
      </c>
      <c r="J2437" s="8">
        <f>151</f>
        <v>151</v>
      </c>
      <c r="K2437" s="5" t="s">
        <v>308</v>
      </c>
      <c r="L2437" s="7">
        <f>1</f>
        <v>1</v>
      </c>
      <c r="M2437" s="7">
        <f>1</f>
        <v>1</v>
      </c>
      <c r="N2437" s="5" t="s">
        <v>242</v>
      </c>
      <c r="O2437" s="5">
        <v>1</v>
      </c>
      <c r="P2437" s="5" t="s">
        <v>294</v>
      </c>
      <c r="Q2437" s="5" t="s">
        <v>266</v>
      </c>
      <c r="R2437" s="5" t="s">
        <v>240</v>
      </c>
      <c r="S2437" s="5" t="s">
        <v>240</v>
      </c>
      <c r="T2437" s="5" t="s">
        <v>296</v>
      </c>
      <c r="U2437" s="5" t="s">
        <v>244</v>
      </c>
      <c r="V2437" s="5" t="s">
        <v>240</v>
      </c>
      <c r="Y2437" s="5" t="s">
        <v>240</v>
      </c>
      <c r="Z2437" s="6" t="s">
        <v>298</v>
      </c>
      <c r="AB2437" s="6" t="s">
        <v>240</v>
      </c>
      <c r="AE2437" s="6" t="s">
        <v>299</v>
      </c>
      <c r="AF2437" s="5" t="s">
        <v>248</v>
      </c>
      <c r="AG2437" s="5" t="s">
        <v>249</v>
      </c>
      <c r="AW2437" s="5" t="s">
        <v>251</v>
      </c>
      <c r="AX2437" s="5" t="s">
        <v>240</v>
      </c>
      <c r="AY2437" s="5" t="s">
        <v>253</v>
      </c>
      <c r="AZ2437" s="5" t="s">
        <v>240</v>
      </c>
      <c r="BA2437" s="5" t="s">
        <v>255</v>
      </c>
      <c r="BB2437" s="5" t="s">
        <v>240</v>
      </c>
      <c r="BD2437" s="5" t="s">
        <v>240</v>
      </c>
      <c r="BF2437" s="5" t="s">
        <v>301</v>
      </c>
      <c r="BG2437" s="6" t="s">
        <v>299</v>
      </c>
      <c r="BH2437" s="5" t="s">
        <v>302</v>
      </c>
      <c r="BI2437" s="5" t="s">
        <v>303</v>
      </c>
      <c r="BJ2437" s="5" t="s">
        <v>240</v>
      </c>
      <c r="BK2437" s="8">
        <f>0</f>
        <v>0</v>
      </c>
      <c r="BL2437" s="7">
        <f>0</f>
        <v>0</v>
      </c>
      <c r="BM2437" s="5" t="s">
        <v>258</v>
      </c>
      <c r="BN2437" s="5" t="s">
        <v>259</v>
      </c>
      <c r="CB2437" s="5" t="s">
        <v>240</v>
      </c>
      <c r="CC2437" s="5" t="s">
        <v>240</v>
      </c>
      <c r="CG2437" s="5" t="s">
        <v>304</v>
      </c>
      <c r="CH2437" s="5" t="s">
        <v>305</v>
      </c>
      <c r="CI2437" s="5" t="s">
        <v>240</v>
      </c>
      <c r="CL2437" s="6" t="s">
        <v>261</v>
      </c>
      <c r="CM2437" s="5" t="s">
        <v>240</v>
      </c>
      <c r="CN2437" s="5" t="s">
        <v>263</v>
      </c>
      <c r="CO2437" s="5" t="s">
        <v>240</v>
      </c>
      <c r="CP2437" s="5" t="s">
        <v>240</v>
      </c>
      <c r="CQ2437" s="5">
        <v>0</v>
      </c>
      <c r="CR2437" s="5" t="s">
        <v>306</v>
      </c>
      <c r="CS2437" s="5" t="s">
        <v>307</v>
      </c>
      <c r="CT2437" s="5" t="s">
        <v>307</v>
      </c>
      <c r="CU2437" s="5" t="s">
        <v>260</v>
      </c>
      <c r="CX2437" s="7">
        <f>1</f>
        <v>1</v>
      </c>
      <c r="CY2437" s="7">
        <f>0</f>
        <v>0</v>
      </c>
      <c r="DA2437" s="7">
        <f>0</f>
        <v>0</v>
      </c>
      <c r="DC2437" s="5" t="s">
        <v>309</v>
      </c>
      <c r="DD2437" s="5" t="s">
        <v>240</v>
      </c>
      <c r="DF2437" s="5" t="s">
        <v>309</v>
      </c>
      <c r="DG2437" s="7">
        <f>447</f>
        <v>447</v>
      </c>
      <c r="DI2437" s="5" t="s">
        <v>240</v>
      </c>
      <c r="DJ2437" s="5" t="s">
        <v>240</v>
      </c>
      <c r="DK2437" s="5" t="s">
        <v>240</v>
      </c>
      <c r="DL2437" s="5" t="s">
        <v>240</v>
      </c>
      <c r="DP2437" s="5" t="s">
        <v>240</v>
      </c>
      <c r="DQ2437" s="5" t="s">
        <v>240</v>
      </c>
      <c r="DR2437" s="5" t="s">
        <v>240</v>
      </c>
      <c r="DS2437" s="5" t="s">
        <v>240</v>
      </c>
      <c r="DV2437" s="5" t="s">
        <v>310</v>
      </c>
      <c r="DW2437" s="5" t="s">
        <v>2926</v>
      </c>
      <c r="HO2437" s="5" t="s">
        <v>312</v>
      </c>
    </row>
    <row r="2438" spans="1:223" x14ac:dyDescent="0.4">
      <c r="A2438" s="5">
        <v>4142</v>
      </c>
      <c r="B2438" s="5">
        <v>1</v>
      </c>
      <c r="C2438" s="5">
        <v>1</v>
      </c>
      <c r="D2438" s="5" t="s">
        <v>810</v>
      </c>
      <c r="E2438" s="5" t="s">
        <v>245</v>
      </c>
      <c r="F2438" s="5" t="s">
        <v>254</v>
      </c>
      <c r="G2438" s="5" t="s">
        <v>240</v>
      </c>
      <c r="H2438" s="6" t="s">
        <v>3668</v>
      </c>
      <c r="I2438" s="5" t="s">
        <v>809</v>
      </c>
      <c r="J2438" s="8">
        <f>65</f>
        <v>65</v>
      </c>
      <c r="K2438" s="5" t="s">
        <v>308</v>
      </c>
      <c r="L2438" s="7">
        <f>1</f>
        <v>1</v>
      </c>
      <c r="M2438" s="7">
        <f>1</f>
        <v>1</v>
      </c>
      <c r="N2438" s="5" t="s">
        <v>242</v>
      </c>
      <c r="O2438" s="5">
        <v>1</v>
      </c>
      <c r="P2438" s="5" t="s">
        <v>294</v>
      </c>
      <c r="Q2438" s="5" t="s">
        <v>613</v>
      </c>
      <c r="R2438" s="5" t="s">
        <v>240</v>
      </c>
      <c r="S2438" s="5" t="s">
        <v>240</v>
      </c>
      <c r="T2438" s="5" t="s">
        <v>243</v>
      </c>
      <c r="U2438" s="5" t="s">
        <v>244</v>
      </c>
      <c r="V2438" s="5" t="s">
        <v>240</v>
      </c>
      <c r="Y2438" s="5" t="s">
        <v>240</v>
      </c>
      <c r="Z2438" s="6" t="s">
        <v>298</v>
      </c>
      <c r="AB2438" s="6" t="s">
        <v>240</v>
      </c>
      <c r="AE2438" s="6" t="s">
        <v>299</v>
      </c>
      <c r="AF2438" s="5" t="s">
        <v>248</v>
      </c>
      <c r="AG2438" s="5" t="s">
        <v>249</v>
      </c>
      <c r="AW2438" s="5" t="s">
        <v>251</v>
      </c>
      <c r="AX2438" s="5" t="s">
        <v>240</v>
      </c>
      <c r="AY2438" s="5" t="s">
        <v>253</v>
      </c>
      <c r="AZ2438" s="5" t="s">
        <v>240</v>
      </c>
      <c r="BA2438" s="5" t="s">
        <v>255</v>
      </c>
      <c r="BB2438" s="5" t="s">
        <v>240</v>
      </c>
      <c r="BD2438" s="5" t="s">
        <v>240</v>
      </c>
      <c r="BF2438" s="5" t="s">
        <v>301</v>
      </c>
      <c r="BG2438" s="6" t="s">
        <v>299</v>
      </c>
      <c r="BH2438" s="5" t="s">
        <v>302</v>
      </c>
      <c r="BI2438" s="5" t="s">
        <v>303</v>
      </c>
      <c r="BJ2438" s="5" t="s">
        <v>240</v>
      </c>
      <c r="BK2438" s="8">
        <f>0</f>
        <v>0</v>
      </c>
      <c r="BL2438" s="7">
        <f>0</f>
        <v>0</v>
      </c>
      <c r="BM2438" s="5" t="s">
        <v>258</v>
      </c>
      <c r="BN2438" s="5" t="s">
        <v>259</v>
      </c>
      <c r="CB2438" s="5" t="s">
        <v>240</v>
      </c>
      <c r="CC2438" s="5" t="s">
        <v>240</v>
      </c>
      <c r="CG2438" s="5" t="s">
        <v>617</v>
      </c>
      <c r="CH2438" s="5" t="s">
        <v>305</v>
      </c>
      <c r="CI2438" s="5" t="s">
        <v>240</v>
      </c>
      <c r="CL2438" s="6" t="s">
        <v>261</v>
      </c>
      <c r="CM2438" s="5" t="s">
        <v>240</v>
      </c>
      <c r="CN2438" s="5" t="s">
        <v>263</v>
      </c>
      <c r="CO2438" s="5" t="s">
        <v>240</v>
      </c>
      <c r="CP2438" s="5" t="s">
        <v>240</v>
      </c>
      <c r="CQ2438" s="5">
        <v>0</v>
      </c>
      <c r="CR2438" s="5" t="s">
        <v>306</v>
      </c>
      <c r="CS2438" s="5" t="s">
        <v>307</v>
      </c>
      <c r="CT2438" s="5" t="s">
        <v>307</v>
      </c>
      <c r="CU2438" s="5" t="s">
        <v>260</v>
      </c>
      <c r="CX2438" s="7">
        <f>1484050</f>
        <v>1484050</v>
      </c>
      <c r="CY2438" s="7">
        <f>0</f>
        <v>0</v>
      </c>
      <c r="DA2438" s="7">
        <f>0</f>
        <v>0</v>
      </c>
      <c r="DC2438" s="5" t="s">
        <v>689</v>
      </c>
      <c r="DD2438" s="5" t="s">
        <v>240</v>
      </c>
      <c r="DF2438" s="5" t="s">
        <v>689</v>
      </c>
      <c r="DG2438" s="7">
        <f>670</f>
        <v>670</v>
      </c>
      <c r="DI2438" s="5" t="s">
        <v>618</v>
      </c>
      <c r="DJ2438" s="5" t="s">
        <v>240</v>
      </c>
      <c r="DK2438" s="5" t="s">
        <v>240</v>
      </c>
      <c r="DL2438" s="5" t="s">
        <v>240</v>
      </c>
      <c r="DP2438" s="5" t="s">
        <v>240</v>
      </c>
      <c r="DQ2438" s="5" t="s">
        <v>240</v>
      </c>
      <c r="DR2438" s="5" t="s">
        <v>240</v>
      </c>
      <c r="DS2438" s="5" t="s">
        <v>240</v>
      </c>
      <c r="DV2438" s="5" t="s">
        <v>1890</v>
      </c>
      <c r="DW2438" s="5" t="s">
        <v>691</v>
      </c>
      <c r="HO2438" s="5" t="s">
        <v>312</v>
      </c>
    </row>
    <row r="2439" spans="1:223" x14ac:dyDescent="0.4">
      <c r="A2439" s="5">
        <v>4143</v>
      </c>
      <c r="B2439" s="5">
        <v>1</v>
      </c>
      <c r="C2439" s="5">
        <v>1</v>
      </c>
      <c r="D2439" s="5" t="s">
        <v>810</v>
      </c>
      <c r="E2439" s="5" t="s">
        <v>245</v>
      </c>
      <c r="F2439" s="5" t="s">
        <v>254</v>
      </c>
      <c r="G2439" s="5" t="s">
        <v>240</v>
      </c>
      <c r="H2439" s="6" t="s">
        <v>3666</v>
      </c>
      <c r="I2439" s="5" t="s">
        <v>809</v>
      </c>
      <c r="J2439" s="8">
        <f>3358</f>
        <v>3358</v>
      </c>
      <c r="K2439" s="5" t="s">
        <v>308</v>
      </c>
      <c r="L2439" s="7">
        <f>1</f>
        <v>1</v>
      </c>
      <c r="M2439" s="7">
        <f>1</f>
        <v>1</v>
      </c>
      <c r="N2439" s="5" t="s">
        <v>242</v>
      </c>
      <c r="O2439" s="5">
        <v>1</v>
      </c>
      <c r="P2439" s="5" t="s">
        <v>294</v>
      </c>
      <c r="Q2439" s="5" t="s">
        <v>266</v>
      </c>
      <c r="R2439" s="5" t="s">
        <v>240</v>
      </c>
      <c r="S2439" s="5" t="s">
        <v>240</v>
      </c>
      <c r="T2439" s="5" t="s">
        <v>296</v>
      </c>
      <c r="U2439" s="5" t="s">
        <v>244</v>
      </c>
      <c r="V2439" s="5" t="s">
        <v>240</v>
      </c>
      <c r="Y2439" s="5" t="s">
        <v>240</v>
      </c>
      <c r="Z2439" s="6" t="s">
        <v>298</v>
      </c>
      <c r="AB2439" s="6" t="s">
        <v>240</v>
      </c>
      <c r="AE2439" s="6" t="s">
        <v>299</v>
      </c>
      <c r="AF2439" s="5" t="s">
        <v>248</v>
      </c>
      <c r="AG2439" s="5" t="s">
        <v>249</v>
      </c>
      <c r="AW2439" s="5" t="s">
        <v>251</v>
      </c>
      <c r="AX2439" s="5" t="s">
        <v>240</v>
      </c>
      <c r="AY2439" s="5" t="s">
        <v>253</v>
      </c>
      <c r="AZ2439" s="5" t="s">
        <v>240</v>
      </c>
      <c r="BA2439" s="5" t="s">
        <v>255</v>
      </c>
      <c r="BB2439" s="5" t="s">
        <v>240</v>
      </c>
      <c r="BD2439" s="5" t="s">
        <v>240</v>
      </c>
      <c r="BF2439" s="5" t="s">
        <v>301</v>
      </c>
      <c r="BG2439" s="6" t="s">
        <v>299</v>
      </c>
      <c r="BH2439" s="5" t="s">
        <v>302</v>
      </c>
      <c r="BI2439" s="5" t="s">
        <v>303</v>
      </c>
      <c r="BJ2439" s="5" t="s">
        <v>240</v>
      </c>
      <c r="BK2439" s="8">
        <f>0</f>
        <v>0</v>
      </c>
      <c r="BL2439" s="7">
        <f>0</f>
        <v>0</v>
      </c>
      <c r="BM2439" s="5" t="s">
        <v>258</v>
      </c>
      <c r="BN2439" s="5" t="s">
        <v>259</v>
      </c>
      <c r="CB2439" s="5" t="s">
        <v>240</v>
      </c>
      <c r="CC2439" s="5" t="s">
        <v>240</v>
      </c>
      <c r="CG2439" s="5" t="s">
        <v>304</v>
      </c>
      <c r="CH2439" s="5" t="s">
        <v>305</v>
      </c>
      <c r="CI2439" s="5" t="s">
        <v>240</v>
      </c>
      <c r="CL2439" s="6" t="s">
        <v>261</v>
      </c>
      <c r="CM2439" s="5" t="s">
        <v>240</v>
      </c>
      <c r="CN2439" s="5" t="s">
        <v>263</v>
      </c>
      <c r="CO2439" s="5" t="s">
        <v>240</v>
      </c>
      <c r="CP2439" s="5" t="s">
        <v>240</v>
      </c>
      <c r="CQ2439" s="5">
        <v>0</v>
      </c>
      <c r="CR2439" s="5" t="s">
        <v>306</v>
      </c>
      <c r="CS2439" s="5" t="s">
        <v>307</v>
      </c>
      <c r="CT2439" s="5" t="s">
        <v>307</v>
      </c>
      <c r="CU2439" s="5" t="s">
        <v>260</v>
      </c>
      <c r="CX2439" s="7">
        <f>1</f>
        <v>1</v>
      </c>
      <c r="CY2439" s="7">
        <f>0</f>
        <v>0</v>
      </c>
      <c r="DA2439" s="7">
        <f>0</f>
        <v>0</v>
      </c>
      <c r="DC2439" s="5" t="s">
        <v>309</v>
      </c>
      <c r="DD2439" s="5" t="s">
        <v>240</v>
      </c>
      <c r="DF2439" s="5" t="s">
        <v>309</v>
      </c>
      <c r="DG2439" s="7">
        <f>1208</f>
        <v>1208</v>
      </c>
      <c r="DI2439" s="5" t="s">
        <v>240</v>
      </c>
      <c r="DJ2439" s="5" t="s">
        <v>240</v>
      </c>
      <c r="DK2439" s="5" t="s">
        <v>240</v>
      </c>
      <c r="DL2439" s="5" t="s">
        <v>240</v>
      </c>
      <c r="DP2439" s="5" t="s">
        <v>240</v>
      </c>
      <c r="DQ2439" s="5" t="s">
        <v>240</v>
      </c>
      <c r="DR2439" s="5" t="s">
        <v>240</v>
      </c>
      <c r="DS2439" s="5" t="s">
        <v>240</v>
      </c>
      <c r="DV2439" s="5" t="s">
        <v>310</v>
      </c>
      <c r="DW2439" s="5" t="s">
        <v>2929</v>
      </c>
      <c r="HO2439" s="5" t="s">
        <v>312</v>
      </c>
    </row>
    <row r="2440" spans="1:223" x14ac:dyDescent="0.4">
      <c r="A2440" s="5">
        <v>4144</v>
      </c>
      <c r="B2440" s="5">
        <v>1</v>
      </c>
      <c r="C2440" s="5">
        <v>1</v>
      </c>
      <c r="D2440" s="5" t="s">
        <v>810</v>
      </c>
      <c r="E2440" s="5" t="s">
        <v>245</v>
      </c>
      <c r="F2440" s="5" t="s">
        <v>254</v>
      </c>
      <c r="G2440" s="5" t="s">
        <v>240</v>
      </c>
      <c r="H2440" s="6" t="s">
        <v>3664</v>
      </c>
      <c r="I2440" s="5" t="s">
        <v>809</v>
      </c>
      <c r="J2440" s="8">
        <f>177</f>
        <v>177</v>
      </c>
      <c r="K2440" s="5" t="s">
        <v>308</v>
      </c>
      <c r="L2440" s="7">
        <f>1</f>
        <v>1</v>
      </c>
      <c r="M2440" s="7">
        <f>1</f>
        <v>1</v>
      </c>
      <c r="N2440" s="5" t="s">
        <v>242</v>
      </c>
      <c r="O2440" s="5">
        <v>1</v>
      </c>
      <c r="P2440" s="5" t="s">
        <v>294</v>
      </c>
      <c r="Q2440" s="5" t="s">
        <v>266</v>
      </c>
      <c r="R2440" s="5" t="s">
        <v>240</v>
      </c>
      <c r="S2440" s="5" t="s">
        <v>240</v>
      </c>
      <c r="T2440" s="5" t="s">
        <v>296</v>
      </c>
      <c r="U2440" s="5" t="s">
        <v>244</v>
      </c>
      <c r="V2440" s="5" t="s">
        <v>240</v>
      </c>
      <c r="Y2440" s="5" t="s">
        <v>240</v>
      </c>
      <c r="Z2440" s="6" t="s">
        <v>298</v>
      </c>
      <c r="AB2440" s="6" t="s">
        <v>240</v>
      </c>
      <c r="AE2440" s="6" t="s">
        <v>299</v>
      </c>
      <c r="AF2440" s="5" t="s">
        <v>248</v>
      </c>
      <c r="AG2440" s="5" t="s">
        <v>249</v>
      </c>
      <c r="AW2440" s="5" t="s">
        <v>251</v>
      </c>
      <c r="AX2440" s="5" t="s">
        <v>240</v>
      </c>
      <c r="AY2440" s="5" t="s">
        <v>253</v>
      </c>
      <c r="AZ2440" s="5" t="s">
        <v>240</v>
      </c>
      <c r="BA2440" s="5" t="s">
        <v>255</v>
      </c>
      <c r="BB2440" s="5" t="s">
        <v>240</v>
      </c>
      <c r="BD2440" s="5" t="s">
        <v>240</v>
      </c>
      <c r="BF2440" s="5" t="s">
        <v>301</v>
      </c>
      <c r="BG2440" s="6" t="s">
        <v>299</v>
      </c>
      <c r="BH2440" s="5" t="s">
        <v>302</v>
      </c>
      <c r="BI2440" s="5" t="s">
        <v>303</v>
      </c>
      <c r="BJ2440" s="5" t="s">
        <v>240</v>
      </c>
      <c r="BK2440" s="8">
        <f>0</f>
        <v>0</v>
      </c>
      <c r="BL2440" s="7">
        <f>0</f>
        <v>0</v>
      </c>
      <c r="BM2440" s="5" t="s">
        <v>258</v>
      </c>
      <c r="BN2440" s="5" t="s">
        <v>259</v>
      </c>
      <c r="CB2440" s="5" t="s">
        <v>240</v>
      </c>
      <c r="CC2440" s="5" t="s">
        <v>240</v>
      </c>
      <c r="CG2440" s="5" t="s">
        <v>304</v>
      </c>
      <c r="CH2440" s="5" t="s">
        <v>305</v>
      </c>
      <c r="CI2440" s="5" t="s">
        <v>240</v>
      </c>
      <c r="CL2440" s="6" t="s">
        <v>261</v>
      </c>
      <c r="CM2440" s="5" t="s">
        <v>240</v>
      </c>
      <c r="CN2440" s="5" t="s">
        <v>263</v>
      </c>
      <c r="CO2440" s="5" t="s">
        <v>240</v>
      </c>
      <c r="CP2440" s="5" t="s">
        <v>240</v>
      </c>
      <c r="CQ2440" s="5">
        <v>0</v>
      </c>
      <c r="CR2440" s="5" t="s">
        <v>306</v>
      </c>
      <c r="CS2440" s="5" t="s">
        <v>307</v>
      </c>
      <c r="CT2440" s="5" t="s">
        <v>307</v>
      </c>
      <c r="CU2440" s="5" t="s">
        <v>260</v>
      </c>
      <c r="CX2440" s="7">
        <f>1</f>
        <v>1</v>
      </c>
      <c r="CY2440" s="7">
        <f>0</f>
        <v>0</v>
      </c>
      <c r="DA2440" s="7">
        <f>0</f>
        <v>0</v>
      </c>
      <c r="DC2440" s="5" t="s">
        <v>309</v>
      </c>
      <c r="DD2440" s="5" t="s">
        <v>240</v>
      </c>
      <c r="DF2440" s="5" t="s">
        <v>309</v>
      </c>
      <c r="DG2440" s="7">
        <f>1740</f>
        <v>1740</v>
      </c>
      <c r="DI2440" s="5" t="s">
        <v>240</v>
      </c>
      <c r="DJ2440" s="5" t="s">
        <v>240</v>
      </c>
      <c r="DK2440" s="5" t="s">
        <v>240</v>
      </c>
      <c r="DL2440" s="5" t="s">
        <v>240</v>
      </c>
      <c r="DP2440" s="5" t="s">
        <v>240</v>
      </c>
      <c r="DQ2440" s="5" t="s">
        <v>240</v>
      </c>
      <c r="DR2440" s="5" t="s">
        <v>240</v>
      </c>
      <c r="DS2440" s="5" t="s">
        <v>240</v>
      </c>
      <c r="DV2440" s="5" t="s">
        <v>310</v>
      </c>
      <c r="DW2440" s="5" t="s">
        <v>2931</v>
      </c>
      <c r="HO2440" s="5" t="s">
        <v>312</v>
      </c>
    </row>
    <row r="2441" spans="1:223" x14ac:dyDescent="0.4">
      <c r="A2441" s="5">
        <v>4145</v>
      </c>
      <c r="B2441" s="5">
        <v>1</v>
      </c>
      <c r="C2441" s="5">
        <v>1</v>
      </c>
      <c r="D2441" s="5" t="s">
        <v>810</v>
      </c>
      <c r="E2441" s="5" t="s">
        <v>245</v>
      </c>
      <c r="F2441" s="5" t="s">
        <v>254</v>
      </c>
      <c r="G2441" s="5" t="s">
        <v>240</v>
      </c>
      <c r="H2441" s="6" t="s">
        <v>5037</v>
      </c>
      <c r="I2441" s="5" t="s">
        <v>809</v>
      </c>
      <c r="J2441" s="8">
        <f>174</f>
        <v>174</v>
      </c>
      <c r="K2441" s="5" t="s">
        <v>308</v>
      </c>
      <c r="L2441" s="7">
        <f>1</f>
        <v>1</v>
      </c>
      <c r="M2441" s="7">
        <f>1</f>
        <v>1</v>
      </c>
      <c r="N2441" s="5" t="s">
        <v>242</v>
      </c>
      <c r="O2441" s="5">
        <v>1</v>
      </c>
      <c r="P2441" s="5" t="s">
        <v>294</v>
      </c>
      <c r="Q2441" s="5" t="s">
        <v>266</v>
      </c>
      <c r="R2441" s="5" t="s">
        <v>240</v>
      </c>
      <c r="S2441" s="5" t="s">
        <v>240</v>
      </c>
      <c r="T2441" s="5" t="s">
        <v>296</v>
      </c>
      <c r="U2441" s="5" t="s">
        <v>244</v>
      </c>
      <c r="V2441" s="5" t="s">
        <v>240</v>
      </c>
      <c r="Y2441" s="5" t="s">
        <v>240</v>
      </c>
      <c r="Z2441" s="6" t="s">
        <v>298</v>
      </c>
      <c r="AB2441" s="6" t="s">
        <v>240</v>
      </c>
      <c r="AE2441" s="6" t="s">
        <v>299</v>
      </c>
      <c r="AF2441" s="5" t="s">
        <v>248</v>
      </c>
      <c r="AG2441" s="5" t="s">
        <v>249</v>
      </c>
      <c r="AW2441" s="5" t="s">
        <v>251</v>
      </c>
      <c r="AX2441" s="5" t="s">
        <v>240</v>
      </c>
      <c r="AY2441" s="5" t="s">
        <v>253</v>
      </c>
      <c r="AZ2441" s="5" t="s">
        <v>240</v>
      </c>
      <c r="BA2441" s="5" t="s">
        <v>255</v>
      </c>
      <c r="BB2441" s="5" t="s">
        <v>240</v>
      </c>
      <c r="BD2441" s="5" t="s">
        <v>240</v>
      </c>
      <c r="BF2441" s="5" t="s">
        <v>301</v>
      </c>
      <c r="BG2441" s="6" t="s">
        <v>299</v>
      </c>
      <c r="BH2441" s="5" t="s">
        <v>302</v>
      </c>
      <c r="BI2441" s="5" t="s">
        <v>303</v>
      </c>
      <c r="BJ2441" s="5" t="s">
        <v>240</v>
      </c>
      <c r="BK2441" s="8">
        <f>0</f>
        <v>0</v>
      </c>
      <c r="BL2441" s="7">
        <f>0</f>
        <v>0</v>
      </c>
      <c r="BM2441" s="5" t="s">
        <v>258</v>
      </c>
      <c r="BN2441" s="5" t="s">
        <v>259</v>
      </c>
      <c r="CB2441" s="5" t="s">
        <v>240</v>
      </c>
      <c r="CC2441" s="5" t="s">
        <v>240</v>
      </c>
      <c r="CG2441" s="5" t="s">
        <v>304</v>
      </c>
      <c r="CH2441" s="5" t="s">
        <v>305</v>
      </c>
      <c r="CI2441" s="5" t="s">
        <v>240</v>
      </c>
      <c r="CL2441" s="6" t="s">
        <v>261</v>
      </c>
      <c r="CM2441" s="5" t="s">
        <v>240</v>
      </c>
      <c r="CN2441" s="5" t="s">
        <v>263</v>
      </c>
      <c r="CO2441" s="5" t="s">
        <v>240</v>
      </c>
      <c r="CP2441" s="5" t="s">
        <v>240</v>
      </c>
      <c r="CQ2441" s="5">
        <v>0</v>
      </c>
      <c r="CR2441" s="5" t="s">
        <v>306</v>
      </c>
      <c r="CS2441" s="5" t="s">
        <v>307</v>
      </c>
      <c r="CT2441" s="5" t="s">
        <v>307</v>
      </c>
      <c r="CU2441" s="5" t="s">
        <v>260</v>
      </c>
      <c r="CX2441" s="7">
        <f>1</f>
        <v>1</v>
      </c>
      <c r="CY2441" s="7">
        <f>0</f>
        <v>0</v>
      </c>
      <c r="DA2441" s="7">
        <f>0</f>
        <v>0</v>
      </c>
      <c r="DC2441" s="5" t="s">
        <v>309</v>
      </c>
      <c r="DD2441" s="5" t="s">
        <v>240</v>
      </c>
      <c r="DF2441" s="5" t="s">
        <v>309</v>
      </c>
      <c r="DG2441" s="7">
        <f>3490</f>
        <v>3490</v>
      </c>
      <c r="DI2441" s="5" t="s">
        <v>240</v>
      </c>
      <c r="DJ2441" s="5" t="s">
        <v>240</v>
      </c>
      <c r="DK2441" s="5" t="s">
        <v>240</v>
      </c>
      <c r="DL2441" s="5" t="s">
        <v>240</v>
      </c>
      <c r="DP2441" s="5" t="s">
        <v>240</v>
      </c>
      <c r="DQ2441" s="5" t="s">
        <v>240</v>
      </c>
      <c r="DR2441" s="5" t="s">
        <v>240</v>
      </c>
      <c r="DS2441" s="5" t="s">
        <v>240</v>
      </c>
      <c r="DV2441" s="5" t="s">
        <v>310</v>
      </c>
      <c r="DW2441" s="5" t="s">
        <v>2933</v>
      </c>
      <c r="HO2441" s="5" t="s">
        <v>312</v>
      </c>
    </row>
    <row r="2442" spans="1:223" x14ac:dyDescent="0.4">
      <c r="A2442" s="5">
        <v>4146</v>
      </c>
      <c r="B2442" s="5">
        <v>1</v>
      </c>
      <c r="C2442" s="5">
        <v>1</v>
      </c>
      <c r="D2442" s="5" t="s">
        <v>810</v>
      </c>
      <c r="E2442" s="5" t="s">
        <v>245</v>
      </c>
      <c r="F2442" s="5" t="s">
        <v>254</v>
      </c>
      <c r="G2442" s="5" t="s">
        <v>240</v>
      </c>
      <c r="H2442" s="6" t="s">
        <v>3660</v>
      </c>
      <c r="I2442" s="5" t="s">
        <v>809</v>
      </c>
      <c r="J2442" s="8">
        <f>218</f>
        <v>218</v>
      </c>
      <c r="K2442" s="5" t="s">
        <v>308</v>
      </c>
      <c r="L2442" s="7">
        <f>1</f>
        <v>1</v>
      </c>
      <c r="M2442" s="7">
        <f>1</f>
        <v>1</v>
      </c>
      <c r="N2442" s="5" t="s">
        <v>242</v>
      </c>
      <c r="O2442" s="5">
        <v>1</v>
      </c>
      <c r="P2442" s="5" t="s">
        <v>294</v>
      </c>
      <c r="Q2442" s="5" t="s">
        <v>266</v>
      </c>
      <c r="R2442" s="5" t="s">
        <v>240</v>
      </c>
      <c r="S2442" s="5" t="s">
        <v>240</v>
      </c>
      <c r="T2442" s="5" t="s">
        <v>296</v>
      </c>
      <c r="U2442" s="5" t="s">
        <v>244</v>
      </c>
      <c r="V2442" s="5" t="s">
        <v>240</v>
      </c>
      <c r="Y2442" s="5" t="s">
        <v>240</v>
      </c>
      <c r="Z2442" s="6" t="s">
        <v>298</v>
      </c>
      <c r="AB2442" s="6" t="s">
        <v>240</v>
      </c>
      <c r="AE2442" s="6" t="s">
        <v>299</v>
      </c>
      <c r="AF2442" s="5" t="s">
        <v>248</v>
      </c>
      <c r="AG2442" s="5" t="s">
        <v>249</v>
      </c>
      <c r="AW2442" s="5" t="s">
        <v>251</v>
      </c>
      <c r="AX2442" s="5" t="s">
        <v>240</v>
      </c>
      <c r="AY2442" s="5" t="s">
        <v>253</v>
      </c>
      <c r="AZ2442" s="5" t="s">
        <v>240</v>
      </c>
      <c r="BA2442" s="5" t="s">
        <v>255</v>
      </c>
      <c r="BB2442" s="5" t="s">
        <v>240</v>
      </c>
      <c r="BD2442" s="5" t="s">
        <v>240</v>
      </c>
      <c r="BF2442" s="5" t="s">
        <v>301</v>
      </c>
      <c r="BG2442" s="6" t="s">
        <v>299</v>
      </c>
      <c r="BH2442" s="5" t="s">
        <v>302</v>
      </c>
      <c r="BI2442" s="5" t="s">
        <v>303</v>
      </c>
      <c r="BJ2442" s="5" t="s">
        <v>240</v>
      </c>
      <c r="BK2442" s="8">
        <f>0</f>
        <v>0</v>
      </c>
      <c r="BL2442" s="7">
        <f>0</f>
        <v>0</v>
      </c>
      <c r="BM2442" s="5" t="s">
        <v>258</v>
      </c>
      <c r="BN2442" s="5" t="s">
        <v>259</v>
      </c>
      <c r="CB2442" s="5" t="s">
        <v>240</v>
      </c>
      <c r="CC2442" s="5" t="s">
        <v>240</v>
      </c>
      <c r="CG2442" s="5" t="s">
        <v>304</v>
      </c>
      <c r="CH2442" s="5" t="s">
        <v>305</v>
      </c>
      <c r="CI2442" s="5" t="s">
        <v>240</v>
      </c>
      <c r="CL2442" s="6" t="s">
        <v>261</v>
      </c>
      <c r="CM2442" s="5" t="s">
        <v>240</v>
      </c>
      <c r="CN2442" s="5" t="s">
        <v>263</v>
      </c>
      <c r="CO2442" s="5" t="s">
        <v>240</v>
      </c>
      <c r="CP2442" s="5" t="s">
        <v>240</v>
      </c>
      <c r="CQ2442" s="5">
        <v>0</v>
      </c>
      <c r="CR2442" s="5" t="s">
        <v>306</v>
      </c>
      <c r="CS2442" s="5" t="s">
        <v>307</v>
      </c>
      <c r="CT2442" s="5" t="s">
        <v>307</v>
      </c>
      <c r="CU2442" s="5" t="s">
        <v>260</v>
      </c>
      <c r="CX2442" s="7">
        <f>1</f>
        <v>1</v>
      </c>
      <c r="CY2442" s="7">
        <f>0</f>
        <v>0</v>
      </c>
      <c r="DA2442" s="7">
        <f>0</f>
        <v>0</v>
      </c>
      <c r="DC2442" s="5" t="s">
        <v>309</v>
      </c>
      <c r="DD2442" s="5" t="s">
        <v>240</v>
      </c>
      <c r="DF2442" s="5" t="s">
        <v>309</v>
      </c>
      <c r="DG2442" s="7">
        <f>2049</f>
        <v>2049</v>
      </c>
      <c r="DI2442" s="5" t="s">
        <v>240</v>
      </c>
      <c r="DJ2442" s="5" t="s">
        <v>240</v>
      </c>
      <c r="DK2442" s="5" t="s">
        <v>240</v>
      </c>
      <c r="DL2442" s="5" t="s">
        <v>240</v>
      </c>
      <c r="DP2442" s="5" t="s">
        <v>240</v>
      </c>
      <c r="DQ2442" s="5" t="s">
        <v>240</v>
      </c>
      <c r="DR2442" s="5" t="s">
        <v>240</v>
      </c>
      <c r="DS2442" s="5" t="s">
        <v>240</v>
      </c>
      <c r="DV2442" s="5" t="s">
        <v>310</v>
      </c>
      <c r="DW2442" s="5" t="s">
        <v>2935</v>
      </c>
      <c r="HO2442" s="5" t="s">
        <v>312</v>
      </c>
    </row>
    <row r="2443" spans="1:223" x14ac:dyDescent="0.4">
      <c r="A2443" s="5">
        <v>4147</v>
      </c>
      <c r="B2443" s="5">
        <v>1</v>
      </c>
      <c r="C2443" s="5">
        <v>1</v>
      </c>
      <c r="D2443" s="5" t="s">
        <v>810</v>
      </c>
      <c r="E2443" s="5" t="s">
        <v>245</v>
      </c>
      <c r="F2443" s="5" t="s">
        <v>254</v>
      </c>
      <c r="G2443" s="5" t="s">
        <v>240</v>
      </c>
      <c r="H2443" s="6" t="s">
        <v>3658</v>
      </c>
      <c r="I2443" s="5" t="s">
        <v>809</v>
      </c>
      <c r="J2443" s="8">
        <f>362</f>
        <v>362</v>
      </c>
      <c r="K2443" s="5" t="s">
        <v>308</v>
      </c>
      <c r="L2443" s="7">
        <f>1</f>
        <v>1</v>
      </c>
      <c r="M2443" s="7">
        <f>1</f>
        <v>1</v>
      </c>
      <c r="N2443" s="5" t="s">
        <v>242</v>
      </c>
      <c r="O2443" s="5">
        <v>1</v>
      </c>
      <c r="P2443" s="5" t="s">
        <v>294</v>
      </c>
      <c r="Q2443" s="5" t="s">
        <v>266</v>
      </c>
      <c r="R2443" s="5" t="s">
        <v>240</v>
      </c>
      <c r="S2443" s="5" t="s">
        <v>240</v>
      </c>
      <c r="T2443" s="5" t="s">
        <v>296</v>
      </c>
      <c r="U2443" s="5" t="s">
        <v>244</v>
      </c>
      <c r="V2443" s="5" t="s">
        <v>240</v>
      </c>
      <c r="Y2443" s="5" t="s">
        <v>240</v>
      </c>
      <c r="Z2443" s="6" t="s">
        <v>298</v>
      </c>
      <c r="AB2443" s="6" t="s">
        <v>240</v>
      </c>
      <c r="AE2443" s="6" t="s">
        <v>299</v>
      </c>
      <c r="AF2443" s="5" t="s">
        <v>248</v>
      </c>
      <c r="AG2443" s="5" t="s">
        <v>249</v>
      </c>
      <c r="AW2443" s="5" t="s">
        <v>251</v>
      </c>
      <c r="AX2443" s="5" t="s">
        <v>240</v>
      </c>
      <c r="AY2443" s="5" t="s">
        <v>253</v>
      </c>
      <c r="AZ2443" s="5" t="s">
        <v>240</v>
      </c>
      <c r="BA2443" s="5" t="s">
        <v>255</v>
      </c>
      <c r="BB2443" s="5" t="s">
        <v>240</v>
      </c>
      <c r="BD2443" s="5" t="s">
        <v>240</v>
      </c>
      <c r="BF2443" s="5" t="s">
        <v>301</v>
      </c>
      <c r="BG2443" s="6" t="s">
        <v>299</v>
      </c>
      <c r="BH2443" s="5" t="s">
        <v>302</v>
      </c>
      <c r="BI2443" s="5" t="s">
        <v>303</v>
      </c>
      <c r="BJ2443" s="5" t="s">
        <v>240</v>
      </c>
      <c r="BK2443" s="8">
        <f>0</f>
        <v>0</v>
      </c>
      <c r="BL2443" s="7">
        <f>0</f>
        <v>0</v>
      </c>
      <c r="BM2443" s="5" t="s">
        <v>258</v>
      </c>
      <c r="BN2443" s="5" t="s">
        <v>259</v>
      </c>
      <c r="CB2443" s="5" t="s">
        <v>240</v>
      </c>
      <c r="CC2443" s="5" t="s">
        <v>240</v>
      </c>
      <c r="CG2443" s="5" t="s">
        <v>304</v>
      </c>
      <c r="CH2443" s="5" t="s">
        <v>305</v>
      </c>
      <c r="CI2443" s="5" t="s">
        <v>240</v>
      </c>
      <c r="CL2443" s="6" t="s">
        <v>261</v>
      </c>
      <c r="CM2443" s="5" t="s">
        <v>240</v>
      </c>
      <c r="CN2443" s="5" t="s">
        <v>263</v>
      </c>
      <c r="CO2443" s="5" t="s">
        <v>240</v>
      </c>
      <c r="CP2443" s="5" t="s">
        <v>240</v>
      </c>
      <c r="CQ2443" s="5">
        <v>0</v>
      </c>
      <c r="CR2443" s="5" t="s">
        <v>306</v>
      </c>
      <c r="CS2443" s="5" t="s">
        <v>307</v>
      </c>
      <c r="CT2443" s="5" t="s">
        <v>307</v>
      </c>
      <c r="CU2443" s="5" t="s">
        <v>260</v>
      </c>
      <c r="CX2443" s="7">
        <f>1</f>
        <v>1</v>
      </c>
      <c r="CY2443" s="7">
        <f>0</f>
        <v>0</v>
      </c>
      <c r="DA2443" s="7">
        <f>0</f>
        <v>0</v>
      </c>
      <c r="DC2443" s="5" t="s">
        <v>309</v>
      </c>
      <c r="DD2443" s="5" t="s">
        <v>240</v>
      </c>
      <c r="DF2443" s="5" t="s">
        <v>309</v>
      </c>
      <c r="DG2443" s="7">
        <f>2008</f>
        <v>2008</v>
      </c>
      <c r="DI2443" s="5" t="s">
        <v>240</v>
      </c>
      <c r="DJ2443" s="5" t="s">
        <v>240</v>
      </c>
      <c r="DK2443" s="5" t="s">
        <v>240</v>
      </c>
      <c r="DL2443" s="5" t="s">
        <v>240</v>
      </c>
      <c r="DP2443" s="5" t="s">
        <v>240</v>
      </c>
      <c r="DQ2443" s="5" t="s">
        <v>240</v>
      </c>
      <c r="DR2443" s="5" t="s">
        <v>240</v>
      </c>
      <c r="DS2443" s="5" t="s">
        <v>240</v>
      </c>
      <c r="DV2443" s="5" t="s">
        <v>310</v>
      </c>
      <c r="DW2443" s="5" t="s">
        <v>2937</v>
      </c>
      <c r="HO2443" s="5" t="s">
        <v>312</v>
      </c>
    </row>
    <row r="2444" spans="1:223" x14ac:dyDescent="0.4">
      <c r="A2444" s="5">
        <v>4148</v>
      </c>
      <c r="B2444" s="5">
        <v>1</v>
      </c>
      <c r="C2444" s="5">
        <v>1</v>
      </c>
      <c r="D2444" s="5" t="s">
        <v>810</v>
      </c>
      <c r="E2444" s="5" t="s">
        <v>245</v>
      </c>
      <c r="F2444" s="5" t="s">
        <v>254</v>
      </c>
      <c r="G2444" s="5" t="s">
        <v>240</v>
      </c>
      <c r="H2444" s="6" t="s">
        <v>3656</v>
      </c>
      <c r="I2444" s="5" t="s">
        <v>809</v>
      </c>
      <c r="J2444" s="8">
        <f>1499</f>
        <v>1499</v>
      </c>
      <c r="K2444" s="5" t="s">
        <v>308</v>
      </c>
      <c r="L2444" s="7">
        <f>1</f>
        <v>1</v>
      </c>
      <c r="M2444" s="7">
        <f>1</f>
        <v>1</v>
      </c>
      <c r="N2444" s="5" t="s">
        <v>242</v>
      </c>
      <c r="O2444" s="5">
        <v>1</v>
      </c>
      <c r="P2444" s="5" t="s">
        <v>294</v>
      </c>
      <c r="Q2444" s="5" t="s">
        <v>266</v>
      </c>
      <c r="R2444" s="5" t="s">
        <v>240</v>
      </c>
      <c r="S2444" s="5" t="s">
        <v>240</v>
      </c>
      <c r="T2444" s="5" t="s">
        <v>296</v>
      </c>
      <c r="U2444" s="5" t="s">
        <v>244</v>
      </c>
      <c r="V2444" s="5" t="s">
        <v>240</v>
      </c>
      <c r="Y2444" s="5" t="s">
        <v>240</v>
      </c>
      <c r="Z2444" s="6" t="s">
        <v>298</v>
      </c>
      <c r="AB2444" s="6" t="s">
        <v>240</v>
      </c>
      <c r="AE2444" s="6" t="s">
        <v>299</v>
      </c>
      <c r="AF2444" s="5" t="s">
        <v>248</v>
      </c>
      <c r="AG2444" s="5" t="s">
        <v>249</v>
      </c>
      <c r="AW2444" s="5" t="s">
        <v>251</v>
      </c>
      <c r="AX2444" s="5" t="s">
        <v>240</v>
      </c>
      <c r="AY2444" s="5" t="s">
        <v>253</v>
      </c>
      <c r="AZ2444" s="5" t="s">
        <v>240</v>
      </c>
      <c r="BA2444" s="5" t="s">
        <v>255</v>
      </c>
      <c r="BB2444" s="5" t="s">
        <v>240</v>
      </c>
      <c r="BD2444" s="5" t="s">
        <v>240</v>
      </c>
      <c r="BF2444" s="5" t="s">
        <v>301</v>
      </c>
      <c r="BG2444" s="6" t="s">
        <v>299</v>
      </c>
      <c r="BH2444" s="5" t="s">
        <v>302</v>
      </c>
      <c r="BI2444" s="5" t="s">
        <v>303</v>
      </c>
      <c r="BJ2444" s="5" t="s">
        <v>240</v>
      </c>
      <c r="BK2444" s="8">
        <f>0</f>
        <v>0</v>
      </c>
      <c r="BL2444" s="7">
        <f>0</f>
        <v>0</v>
      </c>
      <c r="BM2444" s="5" t="s">
        <v>258</v>
      </c>
      <c r="BN2444" s="5" t="s">
        <v>259</v>
      </c>
      <c r="CB2444" s="5" t="s">
        <v>240</v>
      </c>
      <c r="CC2444" s="5" t="s">
        <v>240</v>
      </c>
      <c r="CG2444" s="5" t="s">
        <v>304</v>
      </c>
      <c r="CH2444" s="5" t="s">
        <v>305</v>
      </c>
      <c r="CI2444" s="5" t="s">
        <v>240</v>
      </c>
      <c r="CL2444" s="6" t="s">
        <v>261</v>
      </c>
      <c r="CM2444" s="5" t="s">
        <v>240</v>
      </c>
      <c r="CN2444" s="5" t="s">
        <v>263</v>
      </c>
      <c r="CO2444" s="5" t="s">
        <v>240</v>
      </c>
      <c r="CP2444" s="5" t="s">
        <v>240</v>
      </c>
      <c r="CQ2444" s="5">
        <v>0</v>
      </c>
      <c r="CR2444" s="5" t="s">
        <v>306</v>
      </c>
      <c r="CS2444" s="5" t="s">
        <v>307</v>
      </c>
      <c r="CT2444" s="5" t="s">
        <v>307</v>
      </c>
      <c r="CU2444" s="5" t="s">
        <v>260</v>
      </c>
      <c r="CX2444" s="7">
        <f>1</f>
        <v>1</v>
      </c>
      <c r="CY2444" s="7">
        <f>0</f>
        <v>0</v>
      </c>
      <c r="DA2444" s="7">
        <f>0</f>
        <v>0</v>
      </c>
      <c r="DC2444" s="5" t="s">
        <v>309</v>
      </c>
      <c r="DD2444" s="5" t="s">
        <v>240</v>
      </c>
      <c r="DF2444" s="5" t="s">
        <v>309</v>
      </c>
      <c r="DG2444" s="7">
        <f>1341</f>
        <v>1341</v>
      </c>
      <c r="DI2444" s="5" t="s">
        <v>240</v>
      </c>
      <c r="DJ2444" s="5" t="s">
        <v>240</v>
      </c>
      <c r="DK2444" s="5" t="s">
        <v>240</v>
      </c>
      <c r="DL2444" s="5" t="s">
        <v>240</v>
      </c>
      <c r="DP2444" s="5" t="s">
        <v>240</v>
      </c>
      <c r="DQ2444" s="5" t="s">
        <v>240</v>
      </c>
      <c r="DR2444" s="5" t="s">
        <v>240</v>
      </c>
      <c r="DS2444" s="5" t="s">
        <v>240</v>
      </c>
      <c r="DV2444" s="5" t="s">
        <v>310</v>
      </c>
      <c r="DW2444" s="5" t="s">
        <v>2939</v>
      </c>
      <c r="HO2444" s="5" t="s">
        <v>312</v>
      </c>
    </row>
    <row r="2445" spans="1:223" x14ac:dyDescent="0.4">
      <c r="A2445" s="5">
        <v>4149</v>
      </c>
      <c r="B2445" s="5">
        <v>1</v>
      </c>
      <c r="C2445" s="5">
        <v>1</v>
      </c>
      <c r="D2445" s="5" t="s">
        <v>810</v>
      </c>
      <c r="E2445" s="5" t="s">
        <v>245</v>
      </c>
      <c r="F2445" s="5" t="s">
        <v>254</v>
      </c>
      <c r="G2445" s="5" t="s">
        <v>240</v>
      </c>
      <c r="H2445" s="6" t="s">
        <v>3654</v>
      </c>
      <c r="I2445" s="5" t="s">
        <v>809</v>
      </c>
      <c r="J2445" s="8">
        <f>1664</f>
        <v>1664</v>
      </c>
      <c r="K2445" s="5" t="s">
        <v>308</v>
      </c>
      <c r="L2445" s="7">
        <f>1</f>
        <v>1</v>
      </c>
      <c r="M2445" s="7">
        <f>1</f>
        <v>1</v>
      </c>
      <c r="N2445" s="5" t="s">
        <v>242</v>
      </c>
      <c r="O2445" s="5">
        <v>1</v>
      </c>
      <c r="P2445" s="5" t="s">
        <v>294</v>
      </c>
      <c r="Q2445" s="5" t="s">
        <v>266</v>
      </c>
      <c r="R2445" s="5" t="s">
        <v>240</v>
      </c>
      <c r="S2445" s="5" t="s">
        <v>240</v>
      </c>
      <c r="T2445" s="5" t="s">
        <v>296</v>
      </c>
      <c r="U2445" s="5" t="s">
        <v>244</v>
      </c>
      <c r="V2445" s="5" t="s">
        <v>240</v>
      </c>
      <c r="Y2445" s="5" t="s">
        <v>240</v>
      </c>
      <c r="Z2445" s="6" t="s">
        <v>298</v>
      </c>
      <c r="AB2445" s="6" t="s">
        <v>240</v>
      </c>
      <c r="AE2445" s="6" t="s">
        <v>299</v>
      </c>
      <c r="AF2445" s="5" t="s">
        <v>248</v>
      </c>
      <c r="AG2445" s="5" t="s">
        <v>249</v>
      </c>
      <c r="AW2445" s="5" t="s">
        <v>251</v>
      </c>
      <c r="AX2445" s="5" t="s">
        <v>240</v>
      </c>
      <c r="AY2445" s="5" t="s">
        <v>253</v>
      </c>
      <c r="AZ2445" s="5" t="s">
        <v>240</v>
      </c>
      <c r="BA2445" s="5" t="s">
        <v>255</v>
      </c>
      <c r="BB2445" s="5" t="s">
        <v>240</v>
      </c>
      <c r="BD2445" s="5" t="s">
        <v>240</v>
      </c>
      <c r="BF2445" s="5" t="s">
        <v>301</v>
      </c>
      <c r="BG2445" s="6" t="s">
        <v>299</v>
      </c>
      <c r="BH2445" s="5" t="s">
        <v>302</v>
      </c>
      <c r="BI2445" s="5" t="s">
        <v>303</v>
      </c>
      <c r="BJ2445" s="5" t="s">
        <v>240</v>
      </c>
      <c r="BK2445" s="8">
        <f>0</f>
        <v>0</v>
      </c>
      <c r="BL2445" s="7">
        <f>0</f>
        <v>0</v>
      </c>
      <c r="BM2445" s="5" t="s">
        <v>258</v>
      </c>
      <c r="BN2445" s="5" t="s">
        <v>259</v>
      </c>
      <c r="CB2445" s="5" t="s">
        <v>240</v>
      </c>
      <c r="CC2445" s="5" t="s">
        <v>240</v>
      </c>
      <c r="CG2445" s="5" t="s">
        <v>304</v>
      </c>
      <c r="CH2445" s="5" t="s">
        <v>305</v>
      </c>
      <c r="CI2445" s="5" t="s">
        <v>240</v>
      </c>
      <c r="CL2445" s="6" t="s">
        <v>261</v>
      </c>
      <c r="CM2445" s="5" t="s">
        <v>240</v>
      </c>
      <c r="CN2445" s="5" t="s">
        <v>263</v>
      </c>
      <c r="CO2445" s="5" t="s">
        <v>240</v>
      </c>
      <c r="CP2445" s="5" t="s">
        <v>240</v>
      </c>
      <c r="CQ2445" s="5">
        <v>0</v>
      </c>
      <c r="CR2445" s="5" t="s">
        <v>306</v>
      </c>
      <c r="CS2445" s="5" t="s">
        <v>307</v>
      </c>
      <c r="CT2445" s="5" t="s">
        <v>307</v>
      </c>
      <c r="CU2445" s="5" t="s">
        <v>260</v>
      </c>
      <c r="CX2445" s="7">
        <f>1</f>
        <v>1</v>
      </c>
      <c r="CY2445" s="7">
        <f>0</f>
        <v>0</v>
      </c>
      <c r="DA2445" s="7">
        <f>0</f>
        <v>0</v>
      </c>
      <c r="DC2445" s="5" t="s">
        <v>309</v>
      </c>
      <c r="DD2445" s="5" t="s">
        <v>240</v>
      </c>
      <c r="DF2445" s="5" t="s">
        <v>309</v>
      </c>
      <c r="DG2445" s="7">
        <f>751</f>
        <v>751</v>
      </c>
      <c r="DI2445" s="5" t="s">
        <v>240</v>
      </c>
      <c r="DJ2445" s="5" t="s">
        <v>240</v>
      </c>
      <c r="DK2445" s="5" t="s">
        <v>240</v>
      </c>
      <c r="DL2445" s="5" t="s">
        <v>240</v>
      </c>
      <c r="DP2445" s="5" t="s">
        <v>240</v>
      </c>
      <c r="DQ2445" s="5" t="s">
        <v>240</v>
      </c>
      <c r="DR2445" s="5" t="s">
        <v>240</v>
      </c>
      <c r="DS2445" s="5" t="s">
        <v>240</v>
      </c>
      <c r="DV2445" s="5" t="s">
        <v>310</v>
      </c>
      <c r="DW2445" s="5" t="s">
        <v>2941</v>
      </c>
      <c r="HO2445" s="5" t="s">
        <v>312</v>
      </c>
    </row>
    <row r="2446" spans="1:223" x14ac:dyDescent="0.4">
      <c r="A2446" s="5">
        <v>4150</v>
      </c>
      <c r="B2446" s="5">
        <v>1</v>
      </c>
      <c r="C2446" s="5">
        <v>1</v>
      </c>
      <c r="D2446" s="5" t="s">
        <v>810</v>
      </c>
      <c r="E2446" s="5" t="s">
        <v>245</v>
      </c>
      <c r="F2446" s="5" t="s">
        <v>254</v>
      </c>
      <c r="G2446" s="5" t="s">
        <v>240</v>
      </c>
      <c r="H2446" s="6" t="s">
        <v>3652</v>
      </c>
      <c r="I2446" s="5" t="s">
        <v>809</v>
      </c>
      <c r="J2446" s="8">
        <f>2818</f>
        <v>2818</v>
      </c>
      <c r="K2446" s="5" t="s">
        <v>308</v>
      </c>
      <c r="L2446" s="7">
        <f>1</f>
        <v>1</v>
      </c>
      <c r="M2446" s="7">
        <f>1</f>
        <v>1</v>
      </c>
      <c r="N2446" s="5" t="s">
        <v>242</v>
      </c>
      <c r="O2446" s="5">
        <v>1</v>
      </c>
      <c r="P2446" s="5" t="s">
        <v>294</v>
      </c>
      <c r="Q2446" s="5" t="s">
        <v>613</v>
      </c>
      <c r="R2446" s="5" t="s">
        <v>240</v>
      </c>
      <c r="S2446" s="5" t="s">
        <v>240</v>
      </c>
      <c r="T2446" s="5" t="s">
        <v>243</v>
      </c>
      <c r="U2446" s="5" t="s">
        <v>244</v>
      </c>
      <c r="V2446" s="5" t="s">
        <v>240</v>
      </c>
      <c r="Y2446" s="5" t="s">
        <v>240</v>
      </c>
      <c r="Z2446" s="6" t="s">
        <v>298</v>
      </c>
      <c r="AB2446" s="6" t="s">
        <v>240</v>
      </c>
      <c r="AE2446" s="6" t="s">
        <v>299</v>
      </c>
      <c r="AF2446" s="5" t="s">
        <v>248</v>
      </c>
      <c r="AG2446" s="5" t="s">
        <v>249</v>
      </c>
      <c r="AW2446" s="5" t="s">
        <v>251</v>
      </c>
      <c r="AX2446" s="5" t="s">
        <v>240</v>
      </c>
      <c r="AY2446" s="5" t="s">
        <v>253</v>
      </c>
      <c r="AZ2446" s="5" t="s">
        <v>240</v>
      </c>
      <c r="BA2446" s="5" t="s">
        <v>255</v>
      </c>
      <c r="BB2446" s="5" t="s">
        <v>240</v>
      </c>
      <c r="BD2446" s="5" t="s">
        <v>686</v>
      </c>
      <c r="BF2446" s="5" t="s">
        <v>301</v>
      </c>
      <c r="BG2446" s="6" t="s">
        <v>299</v>
      </c>
      <c r="BH2446" s="5" t="s">
        <v>302</v>
      </c>
      <c r="BI2446" s="5" t="s">
        <v>303</v>
      </c>
      <c r="BJ2446" s="5" t="s">
        <v>240</v>
      </c>
      <c r="BK2446" s="8">
        <f>0</f>
        <v>0</v>
      </c>
      <c r="BL2446" s="7">
        <f>0</f>
        <v>0</v>
      </c>
      <c r="BM2446" s="5" t="s">
        <v>258</v>
      </c>
      <c r="BN2446" s="5" t="s">
        <v>259</v>
      </c>
      <c r="CB2446" s="5" t="s">
        <v>240</v>
      </c>
      <c r="CC2446" s="5" t="s">
        <v>240</v>
      </c>
      <c r="CG2446" s="5" t="s">
        <v>617</v>
      </c>
      <c r="CH2446" s="5" t="s">
        <v>305</v>
      </c>
      <c r="CI2446" s="5" t="s">
        <v>240</v>
      </c>
      <c r="CL2446" s="6" t="s">
        <v>261</v>
      </c>
      <c r="CM2446" s="5" t="s">
        <v>240</v>
      </c>
      <c r="CN2446" s="5" t="s">
        <v>263</v>
      </c>
      <c r="CO2446" s="5" t="s">
        <v>240</v>
      </c>
      <c r="CP2446" s="5" t="s">
        <v>240</v>
      </c>
      <c r="CQ2446" s="5">
        <v>0</v>
      </c>
      <c r="CR2446" s="5" t="s">
        <v>306</v>
      </c>
      <c r="CS2446" s="5" t="s">
        <v>307</v>
      </c>
      <c r="CT2446" s="5" t="s">
        <v>307</v>
      </c>
      <c r="CU2446" s="5" t="s">
        <v>260</v>
      </c>
      <c r="CX2446" s="7">
        <f>6108970</f>
        <v>6108970</v>
      </c>
      <c r="CY2446" s="7">
        <f>0</f>
        <v>0</v>
      </c>
      <c r="DA2446" s="7">
        <f>0</f>
        <v>0</v>
      </c>
      <c r="DC2446" s="5" t="s">
        <v>689</v>
      </c>
      <c r="DD2446" s="5" t="s">
        <v>240</v>
      </c>
      <c r="DF2446" s="5" t="s">
        <v>689</v>
      </c>
      <c r="DG2446" s="7">
        <f>2758</f>
        <v>2758</v>
      </c>
      <c r="DI2446" s="5" t="s">
        <v>618</v>
      </c>
      <c r="DJ2446" s="5" t="s">
        <v>240</v>
      </c>
      <c r="DK2446" s="5" t="s">
        <v>240</v>
      </c>
      <c r="DL2446" s="5" t="s">
        <v>240</v>
      </c>
      <c r="DP2446" s="5" t="s">
        <v>240</v>
      </c>
      <c r="DQ2446" s="5" t="s">
        <v>240</v>
      </c>
      <c r="DR2446" s="5" t="s">
        <v>240</v>
      </c>
      <c r="DS2446" s="5" t="s">
        <v>240</v>
      </c>
      <c r="DV2446" s="5" t="s">
        <v>1923</v>
      </c>
      <c r="DW2446" s="5" t="s">
        <v>312</v>
      </c>
      <c r="HO2446" s="5" t="s">
        <v>312</v>
      </c>
    </row>
    <row r="2447" spans="1:223" x14ac:dyDescent="0.4">
      <c r="A2447" s="5">
        <v>4151</v>
      </c>
      <c r="B2447" s="5">
        <v>1</v>
      </c>
      <c r="C2447" s="5">
        <v>1</v>
      </c>
      <c r="D2447" s="5" t="s">
        <v>810</v>
      </c>
      <c r="E2447" s="5" t="s">
        <v>245</v>
      </c>
      <c r="F2447" s="5" t="s">
        <v>254</v>
      </c>
      <c r="G2447" s="5" t="s">
        <v>240</v>
      </c>
      <c r="H2447" s="6" t="s">
        <v>3650</v>
      </c>
      <c r="I2447" s="5" t="s">
        <v>809</v>
      </c>
      <c r="J2447" s="8">
        <f>2429</f>
        <v>2429</v>
      </c>
      <c r="K2447" s="5" t="s">
        <v>308</v>
      </c>
      <c r="L2447" s="7">
        <f>1</f>
        <v>1</v>
      </c>
      <c r="M2447" s="7">
        <f>1</f>
        <v>1</v>
      </c>
      <c r="N2447" s="5" t="s">
        <v>242</v>
      </c>
      <c r="O2447" s="5">
        <v>1</v>
      </c>
      <c r="P2447" s="5" t="s">
        <v>294</v>
      </c>
      <c r="Q2447" s="5" t="s">
        <v>266</v>
      </c>
      <c r="R2447" s="5" t="s">
        <v>240</v>
      </c>
      <c r="S2447" s="5" t="s">
        <v>240</v>
      </c>
      <c r="T2447" s="5" t="s">
        <v>296</v>
      </c>
      <c r="U2447" s="5" t="s">
        <v>244</v>
      </c>
      <c r="V2447" s="5" t="s">
        <v>240</v>
      </c>
      <c r="Y2447" s="5" t="s">
        <v>240</v>
      </c>
      <c r="Z2447" s="6" t="s">
        <v>298</v>
      </c>
      <c r="AB2447" s="6" t="s">
        <v>240</v>
      </c>
      <c r="AE2447" s="6" t="s">
        <v>299</v>
      </c>
      <c r="AF2447" s="5" t="s">
        <v>248</v>
      </c>
      <c r="AG2447" s="5" t="s">
        <v>249</v>
      </c>
      <c r="AW2447" s="5" t="s">
        <v>251</v>
      </c>
      <c r="AX2447" s="5" t="s">
        <v>240</v>
      </c>
      <c r="AY2447" s="5" t="s">
        <v>253</v>
      </c>
      <c r="AZ2447" s="5" t="s">
        <v>240</v>
      </c>
      <c r="BA2447" s="5" t="s">
        <v>255</v>
      </c>
      <c r="BB2447" s="5" t="s">
        <v>240</v>
      </c>
      <c r="BD2447" s="5" t="s">
        <v>240</v>
      </c>
      <c r="BF2447" s="5" t="s">
        <v>301</v>
      </c>
      <c r="BG2447" s="6" t="s">
        <v>299</v>
      </c>
      <c r="BH2447" s="5" t="s">
        <v>302</v>
      </c>
      <c r="BI2447" s="5" t="s">
        <v>303</v>
      </c>
      <c r="BJ2447" s="5" t="s">
        <v>240</v>
      </c>
      <c r="BK2447" s="8">
        <f>0</f>
        <v>0</v>
      </c>
      <c r="BL2447" s="7">
        <f>0</f>
        <v>0</v>
      </c>
      <c r="BM2447" s="5" t="s">
        <v>258</v>
      </c>
      <c r="BN2447" s="5" t="s">
        <v>259</v>
      </c>
      <c r="CB2447" s="5" t="s">
        <v>240</v>
      </c>
      <c r="CC2447" s="5" t="s">
        <v>240</v>
      </c>
      <c r="CG2447" s="5" t="s">
        <v>304</v>
      </c>
      <c r="CH2447" s="5" t="s">
        <v>305</v>
      </c>
      <c r="CI2447" s="5" t="s">
        <v>240</v>
      </c>
      <c r="CL2447" s="6" t="s">
        <v>261</v>
      </c>
      <c r="CM2447" s="5" t="s">
        <v>240</v>
      </c>
      <c r="CN2447" s="5" t="s">
        <v>263</v>
      </c>
      <c r="CO2447" s="5" t="s">
        <v>240</v>
      </c>
      <c r="CP2447" s="5" t="s">
        <v>240</v>
      </c>
      <c r="CQ2447" s="5">
        <v>0</v>
      </c>
      <c r="CR2447" s="5" t="s">
        <v>306</v>
      </c>
      <c r="CS2447" s="5" t="s">
        <v>307</v>
      </c>
      <c r="CT2447" s="5" t="s">
        <v>307</v>
      </c>
      <c r="CU2447" s="5" t="s">
        <v>260</v>
      </c>
      <c r="CX2447" s="7">
        <f>1</f>
        <v>1</v>
      </c>
      <c r="CY2447" s="7">
        <f>0</f>
        <v>0</v>
      </c>
      <c r="DA2447" s="7">
        <f>0</f>
        <v>0</v>
      </c>
      <c r="DC2447" s="5" t="s">
        <v>309</v>
      </c>
      <c r="DD2447" s="5" t="s">
        <v>240</v>
      </c>
      <c r="DF2447" s="5" t="s">
        <v>309</v>
      </c>
      <c r="DG2447" s="7">
        <f>948</f>
        <v>948</v>
      </c>
      <c r="DI2447" s="5" t="s">
        <v>240</v>
      </c>
      <c r="DJ2447" s="5" t="s">
        <v>240</v>
      </c>
      <c r="DK2447" s="5" t="s">
        <v>240</v>
      </c>
      <c r="DL2447" s="5" t="s">
        <v>240</v>
      </c>
      <c r="DP2447" s="5" t="s">
        <v>240</v>
      </c>
      <c r="DQ2447" s="5" t="s">
        <v>240</v>
      </c>
      <c r="DR2447" s="5" t="s">
        <v>240</v>
      </c>
      <c r="DS2447" s="5" t="s">
        <v>240</v>
      </c>
      <c r="DV2447" s="5" t="s">
        <v>310</v>
      </c>
      <c r="DW2447" s="5" t="s">
        <v>2945</v>
      </c>
      <c r="HO2447" s="5" t="s">
        <v>312</v>
      </c>
    </row>
    <row r="2448" spans="1:223" x14ac:dyDescent="0.4">
      <c r="A2448" s="5">
        <v>4152</v>
      </c>
      <c r="B2448" s="5">
        <v>1</v>
      </c>
      <c r="C2448" s="5">
        <v>1</v>
      </c>
      <c r="D2448" s="5" t="s">
        <v>810</v>
      </c>
      <c r="E2448" s="5" t="s">
        <v>245</v>
      </c>
      <c r="F2448" s="5" t="s">
        <v>254</v>
      </c>
      <c r="G2448" s="5" t="s">
        <v>240</v>
      </c>
      <c r="H2448" s="6" t="s">
        <v>3648</v>
      </c>
      <c r="I2448" s="5" t="s">
        <v>809</v>
      </c>
      <c r="J2448" s="8">
        <f>1007</f>
        <v>1007</v>
      </c>
      <c r="K2448" s="5" t="s">
        <v>308</v>
      </c>
      <c r="L2448" s="7">
        <f>1</f>
        <v>1</v>
      </c>
      <c r="M2448" s="7">
        <f>1</f>
        <v>1</v>
      </c>
      <c r="N2448" s="5" t="s">
        <v>242</v>
      </c>
      <c r="O2448" s="5">
        <v>1</v>
      </c>
      <c r="P2448" s="5" t="s">
        <v>294</v>
      </c>
      <c r="Q2448" s="5" t="s">
        <v>266</v>
      </c>
      <c r="R2448" s="5" t="s">
        <v>240</v>
      </c>
      <c r="S2448" s="5" t="s">
        <v>240</v>
      </c>
      <c r="T2448" s="5" t="s">
        <v>296</v>
      </c>
      <c r="U2448" s="5" t="s">
        <v>244</v>
      </c>
      <c r="V2448" s="5" t="s">
        <v>240</v>
      </c>
      <c r="Y2448" s="5" t="s">
        <v>240</v>
      </c>
      <c r="Z2448" s="6" t="s">
        <v>298</v>
      </c>
      <c r="AB2448" s="6" t="s">
        <v>240</v>
      </c>
      <c r="AE2448" s="6" t="s">
        <v>299</v>
      </c>
      <c r="AF2448" s="5" t="s">
        <v>248</v>
      </c>
      <c r="AG2448" s="5" t="s">
        <v>249</v>
      </c>
      <c r="AW2448" s="5" t="s">
        <v>251</v>
      </c>
      <c r="AX2448" s="5" t="s">
        <v>240</v>
      </c>
      <c r="AY2448" s="5" t="s">
        <v>253</v>
      </c>
      <c r="AZ2448" s="5" t="s">
        <v>240</v>
      </c>
      <c r="BA2448" s="5" t="s">
        <v>255</v>
      </c>
      <c r="BB2448" s="5" t="s">
        <v>240</v>
      </c>
      <c r="BD2448" s="5" t="s">
        <v>240</v>
      </c>
      <c r="BF2448" s="5" t="s">
        <v>301</v>
      </c>
      <c r="BG2448" s="6" t="s">
        <v>299</v>
      </c>
      <c r="BH2448" s="5" t="s">
        <v>302</v>
      </c>
      <c r="BI2448" s="5" t="s">
        <v>303</v>
      </c>
      <c r="BJ2448" s="5" t="s">
        <v>240</v>
      </c>
      <c r="BK2448" s="8">
        <f>0</f>
        <v>0</v>
      </c>
      <c r="BL2448" s="7">
        <f>0</f>
        <v>0</v>
      </c>
      <c r="BM2448" s="5" t="s">
        <v>258</v>
      </c>
      <c r="BN2448" s="5" t="s">
        <v>259</v>
      </c>
      <c r="CB2448" s="5" t="s">
        <v>240</v>
      </c>
      <c r="CC2448" s="5" t="s">
        <v>240</v>
      </c>
      <c r="CG2448" s="5" t="s">
        <v>304</v>
      </c>
      <c r="CH2448" s="5" t="s">
        <v>305</v>
      </c>
      <c r="CI2448" s="5" t="s">
        <v>240</v>
      </c>
      <c r="CL2448" s="6" t="s">
        <v>261</v>
      </c>
      <c r="CM2448" s="5" t="s">
        <v>240</v>
      </c>
      <c r="CN2448" s="5" t="s">
        <v>263</v>
      </c>
      <c r="CO2448" s="5" t="s">
        <v>240</v>
      </c>
      <c r="CP2448" s="5" t="s">
        <v>240</v>
      </c>
      <c r="CQ2448" s="5">
        <v>0</v>
      </c>
      <c r="CR2448" s="5" t="s">
        <v>306</v>
      </c>
      <c r="CS2448" s="5" t="s">
        <v>307</v>
      </c>
      <c r="CT2448" s="5" t="s">
        <v>307</v>
      </c>
      <c r="CU2448" s="5" t="s">
        <v>260</v>
      </c>
      <c r="CX2448" s="7">
        <f>1</f>
        <v>1</v>
      </c>
      <c r="CY2448" s="7">
        <f>0</f>
        <v>0</v>
      </c>
      <c r="DA2448" s="7">
        <f>0</f>
        <v>0</v>
      </c>
      <c r="DC2448" s="5" t="s">
        <v>309</v>
      </c>
      <c r="DD2448" s="5" t="s">
        <v>240</v>
      </c>
      <c r="DF2448" s="5" t="s">
        <v>309</v>
      </c>
      <c r="DG2448" s="7">
        <f>789</f>
        <v>789</v>
      </c>
      <c r="DI2448" s="5" t="s">
        <v>240</v>
      </c>
      <c r="DJ2448" s="5" t="s">
        <v>240</v>
      </c>
      <c r="DK2448" s="5" t="s">
        <v>240</v>
      </c>
      <c r="DL2448" s="5" t="s">
        <v>240</v>
      </c>
      <c r="DP2448" s="5" t="s">
        <v>240</v>
      </c>
      <c r="DQ2448" s="5" t="s">
        <v>240</v>
      </c>
      <c r="DR2448" s="5" t="s">
        <v>240</v>
      </c>
      <c r="DS2448" s="5" t="s">
        <v>240</v>
      </c>
      <c r="DV2448" s="5" t="s">
        <v>310</v>
      </c>
      <c r="DW2448" s="5" t="s">
        <v>2947</v>
      </c>
      <c r="HO2448" s="5" t="s">
        <v>312</v>
      </c>
    </row>
    <row r="2449" spans="1:223" x14ac:dyDescent="0.4">
      <c r="A2449" s="5">
        <v>4153</v>
      </c>
      <c r="B2449" s="5">
        <v>1</v>
      </c>
      <c r="C2449" s="5">
        <v>1</v>
      </c>
      <c r="D2449" s="5" t="s">
        <v>810</v>
      </c>
      <c r="E2449" s="5" t="s">
        <v>245</v>
      </c>
      <c r="F2449" s="5" t="s">
        <v>254</v>
      </c>
      <c r="G2449" s="5" t="s">
        <v>240</v>
      </c>
      <c r="H2449" s="6" t="s">
        <v>3646</v>
      </c>
      <c r="I2449" s="5" t="s">
        <v>809</v>
      </c>
      <c r="J2449" s="8">
        <f>1661</f>
        <v>1661</v>
      </c>
      <c r="K2449" s="5" t="s">
        <v>308</v>
      </c>
      <c r="L2449" s="7">
        <f>1</f>
        <v>1</v>
      </c>
      <c r="M2449" s="7">
        <f>1</f>
        <v>1</v>
      </c>
      <c r="N2449" s="5" t="s">
        <v>242</v>
      </c>
      <c r="O2449" s="5">
        <v>1</v>
      </c>
      <c r="P2449" s="5" t="s">
        <v>294</v>
      </c>
      <c r="Q2449" s="5" t="s">
        <v>266</v>
      </c>
      <c r="R2449" s="5" t="s">
        <v>240</v>
      </c>
      <c r="S2449" s="5" t="s">
        <v>240</v>
      </c>
      <c r="T2449" s="5" t="s">
        <v>296</v>
      </c>
      <c r="U2449" s="5" t="s">
        <v>244</v>
      </c>
      <c r="V2449" s="5" t="s">
        <v>240</v>
      </c>
      <c r="Y2449" s="5" t="s">
        <v>240</v>
      </c>
      <c r="Z2449" s="6" t="s">
        <v>298</v>
      </c>
      <c r="AB2449" s="6" t="s">
        <v>240</v>
      </c>
      <c r="AE2449" s="6" t="s">
        <v>299</v>
      </c>
      <c r="AF2449" s="5" t="s">
        <v>248</v>
      </c>
      <c r="AG2449" s="5" t="s">
        <v>249</v>
      </c>
      <c r="AW2449" s="5" t="s">
        <v>251</v>
      </c>
      <c r="AX2449" s="5" t="s">
        <v>240</v>
      </c>
      <c r="AY2449" s="5" t="s">
        <v>253</v>
      </c>
      <c r="AZ2449" s="5" t="s">
        <v>240</v>
      </c>
      <c r="BA2449" s="5" t="s">
        <v>255</v>
      </c>
      <c r="BB2449" s="5" t="s">
        <v>240</v>
      </c>
      <c r="BD2449" s="5" t="s">
        <v>240</v>
      </c>
      <c r="BF2449" s="5" t="s">
        <v>301</v>
      </c>
      <c r="BG2449" s="6" t="s">
        <v>299</v>
      </c>
      <c r="BH2449" s="5" t="s">
        <v>302</v>
      </c>
      <c r="BI2449" s="5" t="s">
        <v>303</v>
      </c>
      <c r="BJ2449" s="5" t="s">
        <v>240</v>
      </c>
      <c r="BK2449" s="8">
        <f>0</f>
        <v>0</v>
      </c>
      <c r="BL2449" s="7">
        <f>0</f>
        <v>0</v>
      </c>
      <c r="BM2449" s="5" t="s">
        <v>258</v>
      </c>
      <c r="BN2449" s="5" t="s">
        <v>259</v>
      </c>
      <c r="CB2449" s="5" t="s">
        <v>240</v>
      </c>
      <c r="CC2449" s="5" t="s">
        <v>240</v>
      </c>
      <c r="CG2449" s="5" t="s">
        <v>304</v>
      </c>
      <c r="CH2449" s="5" t="s">
        <v>305</v>
      </c>
      <c r="CI2449" s="5" t="s">
        <v>240</v>
      </c>
      <c r="CL2449" s="6" t="s">
        <v>261</v>
      </c>
      <c r="CM2449" s="5" t="s">
        <v>240</v>
      </c>
      <c r="CN2449" s="5" t="s">
        <v>263</v>
      </c>
      <c r="CO2449" s="5" t="s">
        <v>240</v>
      </c>
      <c r="CP2449" s="5" t="s">
        <v>240</v>
      </c>
      <c r="CQ2449" s="5">
        <v>0</v>
      </c>
      <c r="CR2449" s="5" t="s">
        <v>306</v>
      </c>
      <c r="CS2449" s="5" t="s">
        <v>307</v>
      </c>
      <c r="CT2449" s="5" t="s">
        <v>307</v>
      </c>
      <c r="CU2449" s="5" t="s">
        <v>260</v>
      </c>
      <c r="CX2449" s="7">
        <f>1</f>
        <v>1</v>
      </c>
      <c r="CY2449" s="7">
        <f>0</f>
        <v>0</v>
      </c>
      <c r="DA2449" s="7">
        <f>0</f>
        <v>0</v>
      </c>
      <c r="DC2449" s="5" t="s">
        <v>309</v>
      </c>
      <c r="DD2449" s="5" t="s">
        <v>240</v>
      </c>
      <c r="DF2449" s="5" t="s">
        <v>309</v>
      </c>
      <c r="DG2449" s="7">
        <f>2567</f>
        <v>2567</v>
      </c>
      <c r="DI2449" s="5" t="s">
        <v>240</v>
      </c>
      <c r="DJ2449" s="5" t="s">
        <v>240</v>
      </c>
      <c r="DK2449" s="5" t="s">
        <v>240</v>
      </c>
      <c r="DL2449" s="5" t="s">
        <v>240</v>
      </c>
      <c r="DP2449" s="5" t="s">
        <v>240</v>
      </c>
      <c r="DQ2449" s="5" t="s">
        <v>240</v>
      </c>
      <c r="DR2449" s="5" t="s">
        <v>240</v>
      </c>
      <c r="DS2449" s="5" t="s">
        <v>240</v>
      </c>
      <c r="DV2449" s="5" t="s">
        <v>310</v>
      </c>
      <c r="DW2449" s="5" t="s">
        <v>2949</v>
      </c>
      <c r="HO2449" s="5" t="s">
        <v>312</v>
      </c>
    </row>
    <row r="2450" spans="1:223" x14ac:dyDescent="0.4">
      <c r="A2450" s="5">
        <v>4154</v>
      </c>
      <c r="B2450" s="5">
        <v>1</v>
      </c>
      <c r="C2450" s="5">
        <v>1</v>
      </c>
      <c r="D2450" s="5" t="s">
        <v>810</v>
      </c>
      <c r="E2450" s="5" t="s">
        <v>245</v>
      </c>
      <c r="F2450" s="5" t="s">
        <v>254</v>
      </c>
      <c r="G2450" s="5" t="s">
        <v>240</v>
      </c>
      <c r="H2450" s="6" t="s">
        <v>3644</v>
      </c>
      <c r="I2450" s="5" t="s">
        <v>809</v>
      </c>
      <c r="J2450" s="8">
        <f>1687</f>
        <v>1687</v>
      </c>
      <c r="K2450" s="5" t="s">
        <v>308</v>
      </c>
      <c r="L2450" s="7">
        <f>1</f>
        <v>1</v>
      </c>
      <c r="M2450" s="7">
        <f>1</f>
        <v>1</v>
      </c>
      <c r="N2450" s="5" t="s">
        <v>242</v>
      </c>
      <c r="O2450" s="5">
        <v>1</v>
      </c>
      <c r="P2450" s="5" t="s">
        <v>294</v>
      </c>
      <c r="Q2450" s="5" t="s">
        <v>613</v>
      </c>
      <c r="R2450" s="5" t="s">
        <v>240</v>
      </c>
      <c r="S2450" s="5" t="s">
        <v>240</v>
      </c>
      <c r="T2450" s="5" t="s">
        <v>243</v>
      </c>
      <c r="U2450" s="5" t="s">
        <v>244</v>
      </c>
      <c r="V2450" s="5" t="s">
        <v>240</v>
      </c>
      <c r="Y2450" s="5" t="s">
        <v>240</v>
      </c>
      <c r="Z2450" s="6" t="s">
        <v>298</v>
      </c>
      <c r="AB2450" s="6" t="s">
        <v>240</v>
      </c>
      <c r="AE2450" s="6" t="s">
        <v>299</v>
      </c>
      <c r="AF2450" s="5" t="s">
        <v>248</v>
      </c>
      <c r="AG2450" s="5" t="s">
        <v>249</v>
      </c>
      <c r="AW2450" s="5" t="s">
        <v>251</v>
      </c>
      <c r="AX2450" s="5" t="s">
        <v>240</v>
      </c>
      <c r="AY2450" s="5" t="s">
        <v>253</v>
      </c>
      <c r="AZ2450" s="5" t="s">
        <v>240</v>
      </c>
      <c r="BA2450" s="5" t="s">
        <v>255</v>
      </c>
      <c r="BB2450" s="5" t="s">
        <v>240</v>
      </c>
      <c r="BD2450" s="5" t="s">
        <v>686</v>
      </c>
      <c r="BF2450" s="5" t="s">
        <v>687</v>
      </c>
      <c r="BG2450" s="6" t="s">
        <v>1825</v>
      </c>
      <c r="BH2450" s="5" t="s">
        <v>302</v>
      </c>
      <c r="BI2450" s="5" t="s">
        <v>303</v>
      </c>
      <c r="BJ2450" s="5" t="s">
        <v>240</v>
      </c>
      <c r="BK2450" s="8">
        <f>0</f>
        <v>0</v>
      </c>
      <c r="BL2450" s="7">
        <f>0</f>
        <v>0</v>
      </c>
      <c r="BM2450" s="5" t="s">
        <v>258</v>
      </c>
      <c r="BN2450" s="5" t="s">
        <v>259</v>
      </c>
      <c r="CB2450" s="5" t="s">
        <v>240</v>
      </c>
      <c r="CC2450" s="5" t="s">
        <v>240</v>
      </c>
      <c r="CG2450" s="5" t="s">
        <v>617</v>
      </c>
      <c r="CH2450" s="5" t="s">
        <v>305</v>
      </c>
      <c r="CI2450" s="5" t="s">
        <v>240</v>
      </c>
      <c r="CL2450" s="6" t="s">
        <v>261</v>
      </c>
      <c r="CM2450" s="5" t="s">
        <v>240</v>
      </c>
      <c r="CN2450" s="5" t="s">
        <v>263</v>
      </c>
      <c r="CO2450" s="5" t="s">
        <v>240</v>
      </c>
      <c r="CP2450" s="5" t="s">
        <v>240</v>
      </c>
      <c r="CQ2450" s="5">
        <v>0</v>
      </c>
      <c r="CR2450" s="5" t="s">
        <v>306</v>
      </c>
      <c r="CS2450" s="5" t="s">
        <v>307</v>
      </c>
      <c r="CT2450" s="5" t="s">
        <v>307</v>
      </c>
      <c r="CU2450" s="5" t="s">
        <v>260</v>
      </c>
      <c r="CX2450" s="7">
        <f>4013314</f>
        <v>4013314</v>
      </c>
      <c r="CY2450" s="7">
        <f>0</f>
        <v>0</v>
      </c>
      <c r="DA2450" s="7">
        <f>0</f>
        <v>0</v>
      </c>
      <c r="DC2450" s="5" t="s">
        <v>689</v>
      </c>
      <c r="DD2450" s="5" t="s">
        <v>240</v>
      </c>
      <c r="DF2450" s="5" t="s">
        <v>689</v>
      </c>
      <c r="DG2450" s="7">
        <f>1811</f>
        <v>1811</v>
      </c>
      <c r="DI2450" s="5" t="s">
        <v>618</v>
      </c>
      <c r="DJ2450" s="5" t="s">
        <v>240</v>
      </c>
      <c r="DK2450" s="5" t="s">
        <v>240</v>
      </c>
      <c r="DL2450" s="5" t="s">
        <v>240</v>
      </c>
      <c r="DP2450" s="5" t="s">
        <v>240</v>
      </c>
      <c r="DQ2450" s="5" t="s">
        <v>240</v>
      </c>
      <c r="DR2450" s="5" t="s">
        <v>240</v>
      </c>
      <c r="DS2450" s="5" t="s">
        <v>240</v>
      </c>
      <c r="DV2450" s="5" t="s">
        <v>4544</v>
      </c>
      <c r="DW2450" s="5" t="s">
        <v>312</v>
      </c>
      <c r="HO2450" s="5" t="s">
        <v>312</v>
      </c>
    </row>
    <row r="2451" spans="1:223" x14ac:dyDescent="0.4">
      <c r="A2451" s="5">
        <v>4155</v>
      </c>
      <c r="B2451" s="5">
        <v>1</v>
      </c>
      <c r="C2451" s="5">
        <v>1</v>
      </c>
      <c r="D2451" s="5" t="s">
        <v>810</v>
      </c>
      <c r="E2451" s="5" t="s">
        <v>245</v>
      </c>
      <c r="F2451" s="5" t="s">
        <v>254</v>
      </c>
      <c r="G2451" s="5" t="s">
        <v>240</v>
      </c>
      <c r="H2451" s="6" t="s">
        <v>3642</v>
      </c>
      <c r="I2451" s="5" t="s">
        <v>809</v>
      </c>
      <c r="J2451" s="8">
        <f>140</f>
        <v>140</v>
      </c>
      <c r="K2451" s="5" t="s">
        <v>308</v>
      </c>
      <c r="L2451" s="7">
        <f>1</f>
        <v>1</v>
      </c>
      <c r="M2451" s="7">
        <f>1</f>
        <v>1</v>
      </c>
      <c r="N2451" s="5" t="s">
        <v>242</v>
      </c>
      <c r="O2451" s="5">
        <v>1</v>
      </c>
      <c r="P2451" s="5" t="s">
        <v>294</v>
      </c>
      <c r="Q2451" s="5" t="s">
        <v>266</v>
      </c>
      <c r="R2451" s="5" t="s">
        <v>240</v>
      </c>
      <c r="S2451" s="5" t="s">
        <v>240</v>
      </c>
      <c r="T2451" s="5" t="s">
        <v>296</v>
      </c>
      <c r="U2451" s="5" t="s">
        <v>244</v>
      </c>
      <c r="V2451" s="5" t="s">
        <v>240</v>
      </c>
      <c r="Y2451" s="5" t="s">
        <v>240</v>
      </c>
      <c r="Z2451" s="6" t="s">
        <v>298</v>
      </c>
      <c r="AB2451" s="6" t="s">
        <v>240</v>
      </c>
      <c r="AE2451" s="6" t="s">
        <v>299</v>
      </c>
      <c r="AF2451" s="5" t="s">
        <v>248</v>
      </c>
      <c r="AG2451" s="5" t="s">
        <v>249</v>
      </c>
      <c r="AW2451" s="5" t="s">
        <v>251</v>
      </c>
      <c r="AX2451" s="5" t="s">
        <v>240</v>
      </c>
      <c r="AY2451" s="5" t="s">
        <v>253</v>
      </c>
      <c r="AZ2451" s="5" t="s">
        <v>240</v>
      </c>
      <c r="BA2451" s="5" t="s">
        <v>255</v>
      </c>
      <c r="BB2451" s="5" t="s">
        <v>240</v>
      </c>
      <c r="BD2451" s="5" t="s">
        <v>240</v>
      </c>
      <c r="BF2451" s="5" t="s">
        <v>301</v>
      </c>
      <c r="BG2451" s="6" t="s">
        <v>299</v>
      </c>
      <c r="BH2451" s="5" t="s">
        <v>302</v>
      </c>
      <c r="BI2451" s="5" t="s">
        <v>303</v>
      </c>
      <c r="BJ2451" s="5" t="s">
        <v>240</v>
      </c>
      <c r="BK2451" s="8">
        <f>0</f>
        <v>0</v>
      </c>
      <c r="BL2451" s="7">
        <f>0</f>
        <v>0</v>
      </c>
      <c r="BM2451" s="5" t="s">
        <v>258</v>
      </c>
      <c r="BN2451" s="5" t="s">
        <v>259</v>
      </c>
      <c r="CB2451" s="5" t="s">
        <v>240</v>
      </c>
      <c r="CC2451" s="5" t="s">
        <v>240</v>
      </c>
      <c r="CG2451" s="5" t="s">
        <v>304</v>
      </c>
      <c r="CH2451" s="5" t="s">
        <v>305</v>
      </c>
      <c r="CI2451" s="5" t="s">
        <v>240</v>
      </c>
      <c r="CL2451" s="6" t="s">
        <v>261</v>
      </c>
      <c r="CM2451" s="5" t="s">
        <v>240</v>
      </c>
      <c r="CN2451" s="5" t="s">
        <v>263</v>
      </c>
      <c r="CO2451" s="5" t="s">
        <v>240</v>
      </c>
      <c r="CP2451" s="5" t="s">
        <v>240</v>
      </c>
      <c r="CQ2451" s="5">
        <v>0</v>
      </c>
      <c r="CR2451" s="5" t="s">
        <v>306</v>
      </c>
      <c r="CS2451" s="5" t="s">
        <v>307</v>
      </c>
      <c r="CT2451" s="5" t="s">
        <v>307</v>
      </c>
      <c r="CU2451" s="5" t="s">
        <v>260</v>
      </c>
      <c r="CX2451" s="7">
        <f>1</f>
        <v>1</v>
      </c>
      <c r="CY2451" s="7">
        <f>0</f>
        <v>0</v>
      </c>
      <c r="DA2451" s="7">
        <f>0</f>
        <v>0</v>
      </c>
      <c r="DC2451" s="5" t="s">
        <v>309</v>
      </c>
      <c r="DD2451" s="5" t="s">
        <v>240</v>
      </c>
      <c r="DF2451" s="5" t="s">
        <v>309</v>
      </c>
      <c r="DG2451" s="7">
        <f>1109</f>
        <v>1109</v>
      </c>
      <c r="DI2451" s="5" t="s">
        <v>240</v>
      </c>
      <c r="DJ2451" s="5" t="s">
        <v>240</v>
      </c>
      <c r="DK2451" s="5" t="s">
        <v>240</v>
      </c>
      <c r="DL2451" s="5" t="s">
        <v>240</v>
      </c>
      <c r="DP2451" s="5" t="s">
        <v>240</v>
      </c>
      <c r="DQ2451" s="5" t="s">
        <v>240</v>
      </c>
      <c r="DR2451" s="5" t="s">
        <v>240</v>
      </c>
      <c r="DS2451" s="5" t="s">
        <v>240</v>
      </c>
      <c r="DV2451" s="5" t="s">
        <v>310</v>
      </c>
      <c r="DW2451" s="5" t="s">
        <v>2953</v>
      </c>
      <c r="HO2451" s="5" t="s">
        <v>312</v>
      </c>
    </row>
    <row r="2452" spans="1:223" x14ac:dyDescent="0.4">
      <c r="A2452" s="5">
        <v>4156</v>
      </c>
      <c r="B2452" s="5">
        <v>1</v>
      </c>
      <c r="C2452" s="5">
        <v>1</v>
      </c>
      <c r="D2452" s="5" t="s">
        <v>810</v>
      </c>
      <c r="E2452" s="5" t="s">
        <v>245</v>
      </c>
      <c r="F2452" s="5" t="s">
        <v>254</v>
      </c>
      <c r="G2452" s="5" t="s">
        <v>240</v>
      </c>
      <c r="H2452" s="6" t="s">
        <v>3640</v>
      </c>
      <c r="I2452" s="5" t="s">
        <v>809</v>
      </c>
      <c r="J2452" s="8">
        <f>1728</f>
        <v>1728</v>
      </c>
      <c r="K2452" s="5" t="s">
        <v>308</v>
      </c>
      <c r="L2452" s="7">
        <f>1</f>
        <v>1</v>
      </c>
      <c r="M2452" s="7">
        <f>1</f>
        <v>1</v>
      </c>
      <c r="N2452" s="5" t="s">
        <v>242</v>
      </c>
      <c r="O2452" s="5">
        <v>1</v>
      </c>
      <c r="P2452" s="5" t="s">
        <v>294</v>
      </c>
      <c r="Q2452" s="5" t="s">
        <v>266</v>
      </c>
      <c r="R2452" s="5" t="s">
        <v>240</v>
      </c>
      <c r="S2452" s="5" t="s">
        <v>240</v>
      </c>
      <c r="T2452" s="5" t="s">
        <v>296</v>
      </c>
      <c r="U2452" s="5" t="s">
        <v>244</v>
      </c>
      <c r="V2452" s="5" t="s">
        <v>240</v>
      </c>
      <c r="Y2452" s="5" t="s">
        <v>240</v>
      </c>
      <c r="Z2452" s="6" t="s">
        <v>298</v>
      </c>
      <c r="AB2452" s="6" t="s">
        <v>240</v>
      </c>
      <c r="AE2452" s="6" t="s">
        <v>299</v>
      </c>
      <c r="AF2452" s="5" t="s">
        <v>248</v>
      </c>
      <c r="AG2452" s="5" t="s">
        <v>249</v>
      </c>
      <c r="AW2452" s="5" t="s">
        <v>251</v>
      </c>
      <c r="AX2452" s="5" t="s">
        <v>240</v>
      </c>
      <c r="AY2452" s="5" t="s">
        <v>253</v>
      </c>
      <c r="AZ2452" s="5" t="s">
        <v>240</v>
      </c>
      <c r="BA2452" s="5" t="s">
        <v>255</v>
      </c>
      <c r="BB2452" s="5" t="s">
        <v>240</v>
      </c>
      <c r="BD2452" s="5" t="s">
        <v>240</v>
      </c>
      <c r="BF2452" s="5" t="s">
        <v>301</v>
      </c>
      <c r="BG2452" s="6" t="s">
        <v>299</v>
      </c>
      <c r="BH2452" s="5" t="s">
        <v>302</v>
      </c>
      <c r="BI2452" s="5" t="s">
        <v>303</v>
      </c>
      <c r="BJ2452" s="5" t="s">
        <v>240</v>
      </c>
      <c r="BK2452" s="8">
        <f>0</f>
        <v>0</v>
      </c>
      <c r="BL2452" s="7">
        <f>0</f>
        <v>0</v>
      </c>
      <c r="BM2452" s="5" t="s">
        <v>258</v>
      </c>
      <c r="BN2452" s="5" t="s">
        <v>259</v>
      </c>
      <c r="CB2452" s="5" t="s">
        <v>240</v>
      </c>
      <c r="CC2452" s="5" t="s">
        <v>240</v>
      </c>
      <c r="CG2452" s="5" t="s">
        <v>304</v>
      </c>
      <c r="CH2452" s="5" t="s">
        <v>305</v>
      </c>
      <c r="CI2452" s="5" t="s">
        <v>240</v>
      </c>
      <c r="CL2452" s="6" t="s">
        <v>261</v>
      </c>
      <c r="CM2452" s="5" t="s">
        <v>240</v>
      </c>
      <c r="CN2452" s="5" t="s">
        <v>263</v>
      </c>
      <c r="CO2452" s="5" t="s">
        <v>240</v>
      </c>
      <c r="CP2452" s="5" t="s">
        <v>240</v>
      </c>
      <c r="CQ2452" s="5">
        <v>0</v>
      </c>
      <c r="CR2452" s="5" t="s">
        <v>306</v>
      </c>
      <c r="CS2452" s="5" t="s">
        <v>307</v>
      </c>
      <c r="CT2452" s="5" t="s">
        <v>307</v>
      </c>
      <c r="CU2452" s="5" t="s">
        <v>260</v>
      </c>
      <c r="CX2452" s="7">
        <f>1</f>
        <v>1</v>
      </c>
      <c r="CY2452" s="7">
        <f>0</f>
        <v>0</v>
      </c>
      <c r="DA2452" s="7">
        <f>0</f>
        <v>0</v>
      </c>
      <c r="DC2452" s="5" t="s">
        <v>309</v>
      </c>
      <c r="DD2452" s="5" t="s">
        <v>240</v>
      </c>
      <c r="DF2452" s="5" t="s">
        <v>309</v>
      </c>
      <c r="DG2452" s="7">
        <f>1661</f>
        <v>1661</v>
      </c>
      <c r="DI2452" s="5" t="s">
        <v>240</v>
      </c>
      <c r="DJ2452" s="5" t="s">
        <v>240</v>
      </c>
      <c r="DK2452" s="5" t="s">
        <v>240</v>
      </c>
      <c r="DL2452" s="5" t="s">
        <v>240</v>
      </c>
      <c r="DP2452" s="5" t="s">
        <v>240</v>
      </c>
      <c r="DQ2452" s="5" t="s">
        <v>240</v>
      </c>
      <c r="DR2452" s="5" t="s">
        <v>240</v>
      </c>
      <c r="DS2452" s="5" t="s">
        <v>240</v>
      </c>
      <c r="DV2452" s="5" t="s">
        <v>310</v>
      </c>
      <c r="DW2452" s="5" t="s">
        <v>2955</v>
      </c>
      <c r="HO2452" s="5" t="s">
        <v>312</v>
      </c>
    </row>
    <row r="2453" spans="1:223" x14ac:dyDescent="0.4">
      <c r="A2453" s="5">
        <v>4157</v>
      </c>
      <c r="B2453" s="5">
        <v>1</v>
      </c>
      <c r="C2453" s="5">
        <v>1</v>
      </c>
      <c r="D2453" s="5" t="s">
        <v>810</v>
      </c>
      <c r="E2453" s="5" t="s">
        <v>245</v>
      </c>
      <c r="F2453" s="5" t="s">
        <v>254</v>
      </c>
      <c r="G2453" s="5" t="s">
        <v>240</v>
      </c>
      <c r="H2453" s="6" t="s">
        <v>3638</v>
      </c>
      <c r="I2453" s="5" t="s">
        <v>809</v>
      </c>
      <c r="J2453" s="8">
        <f>1667</f>
        <v>1667</v>
      </c>
      <c r="K2453" s="5" t="s">
        <v>308</v>
      </c>
      <c r="L2453" s="7">
        <f>1</f>
        <v>1</v>
      </c>
      <c r="M2453" s="7">
        <f>1</f>
        <v>1</v>
      </c>
      <c r="N2453" s="5" t="s">
        <v>242</v>
      </c>
      <c r="O2453" s="5">
        <v>1</v>
      </c>
      <c r="P2453" s="5" t="s">
        <v>294</v>
      </c>
      <c r="Q2453" s="5" t="s">
        <v>266</v>
      </c>
      <c r="R2453" s="5" t="s">
        <v>240</v>
      </c>
      <c r="S2453" s="5" t="s">
        <v>240</v>
      </c>
      <c r="T2453" s="5" t="s">
        <v>296</v>
      </c>
      <c r="U2453" s="5" t="s">
        <v>244</v>
      </c>
      <c r="V2453" s="5" t="s">
        <v>240</v>
      </c>
      <c r="Y2453" s="5" t="s">
        <v>240</v>
      </c>
      <c r="Z2453" s="6" t="s">
        <v>298</v>
      </c>
      <c r="AB2453" s="6" t="s">
        <v>240</v>
      </c>
      <c r="AE2453" s="6" t="s">
        <v>299</v>
      </c>
      <c r="AF2453" s="5" t="s">
        <v>248</v>
      </c>
      <c r="AG2453" s="5" t="s">
        <v>249</v>
      </c>
      <c r="AW2453" s="5" t="s">
        <v>251</v>
      </c>
      <c r="AX2453" s="5" t="s">
        <v>240</v>
      </c>
      <c r="AY2453" s="5" t="s">
        <v>253</v>
      </c>
      <c r="AZ2453" s="5" t="s">
        <v>240</v>
      </c>
      <c r="BA2453" s="5" t="s">
        <v>255</v>
      </c>
      <c r="BB2453" s="5" t="s">
        <v>240</v>
      </c>
      <c r="BD2453" s="5" t="s">
        <v>240</v>
      </c>
      <c r="BF2453" s="5" t="s">
        <v>301</v>
      </c>
      <c r="BG2453" s="6" t="s">
        <v>299</v>
      </c>
      <c r="BH2453" s="5" t="s">
        <v>302</v>
      </c>
      <c r="BI2453" s="5" t="s">
        <v>303</v>
      </c>
      <c r="BJ2453" s="5" t="s">
        <v>240</v>
      </c>
      <c r="BK2453" s="8">
        <f>0</f>
        <v>0</v>
      </c>
      <c r="BL2453" s="7">
        <f>0</f>
        <v>0</v>
      </c>
      <c r="BM2453" s="5" t="s">
        <v>258</v>
      </c>
      <c r="BN2453" s="5" t="s">
        <v>259</v>
      </c>
      <c r="CB2453" s="5" t="s">
        <v>240</v>
      </c>
      <c r="CC2453" s="5" t="s">
        <v>240</v>
      </c>
      <c r="CG2453" s="5" t="s">
        <v>304</v>
      </c>
      <c r="CH2453" s="5" t="s">
        <v>305</v>
      </c>
      <c r="CI2453" s="5" t="s">
        <v>240</v>
      </c>
      <c r="CL2453" s="6" t="s">
        <v>261</v>
      </c>
      <c r="CM2453" s="5" t="s">
        <v>240</v>
      </c>
      <c r="CN2453" s="5" t="s">
        <v>263</v>
      </c>
      <c r="CO2453" s="5" t="s">
        <v>240</v>
      </c>
      <c r="CP2453" s="5" t="s">
        <v>240</v>
      </c>
      <c r="CQ2453" s="5">
        <v>0</v>
      </c>
      <c r="CR2453" s="5" t="s">
        <v>306</v>
      </c>
      <c r="CS2453" s="5" t="s">
        <v>307</v>
      </c>
      <c r="CT2453" s="5" t="s">
        <v>307</v>
      </c>
      <c r="CU2453" s="5" t="s">
        <v>260</v>
      </c>
      <c r="CX2453" s="7">
        <f>1</f>
        <v>1</v>
      </c>
      <c r="CY2453" s="7">
        <f>0</f>
        <v>0</v>
      </c>
      <c r="DA2453" s="7">
        <f>0</f>
        <v>0</v>
      </c>
      <c r="DC2453" s="5" t="s">
        <v>309</v>
      </c>
      <c r="DD2453" s="5" t="s">
        <v>240</v>
      </c>
      <c r="DF2453" s="5" t="s">
        <v>309</v>
      </c>
      <c r="DG2453" s="7">
        <f>2983</f>
        <v>2983</v>
      </c>
      <c r="DI2453" s="5" t="s">
        <v>240</v>
      </c>
      <c r="DJ2453" s="5" t="s">
        <v>240</v>
      </c>
      <c r="DK2453" s="5" t="s">
        <v>240</v>
      </c>
      <c r="DL2453" s="5" t="s">
        <v>240</v>
      </c>
      <c r="DP2453" s="5" t="s">
        <v>240</v>
      </c>
      <c r="DQ2453" s="5" t="s">
        <v>240</v>
      </c>
      <c r="DR2453" s="5" t="s">
        <v>240</v>
      </c>
      <c r="DS2453" s="5" t="s">
        <v>240</v>
      </c>
      <c r="DV2453" s="5" t="s">
        <v>310</v>
      </c>
      <c r="DW2453" s="5" t="s">
        <v>2957</v>
      </c>
      <c r="HO2453" s="5" t="s">
        <v>312</v>
      </c>
    </row>
    <row r="2454" spans="1:223" x14ac:dyDescent="0.4">
      <c r="A2454" s="5">
        <v>4158</v>
      </c>
      <c r="B2454" s="5">
        <v>1</v>
      </c>
      <c r="C2454" s="5">
        <v>1</v>
      </c>
      <c r="D2454" s="5" t="s">
        <v>810</v>
      </c>
      <c r="E2454" s="5" t="s">
        <v>245</v>
      </c>
      <c r="F2454" s="5" t="s">
        <v>254</v>
      </c>
      <c r="G2454" s="5" t="s">
        <v>240</v>
      </c>
      <c r="H2454" s="6" t="s">
        <v>3636</v>
      </c>
      <c r="I2454" s="5" t="s">
        <v>809</v>
      </c>
      <c r="J2454" s="8">
        <f>1391</f>
        <v>1391</v>
      </c>
      <c r="K2454" s="5" t="s">
        <v>308</v>
      </c>
      <c r="L2454" s="7">
        <f>1</f>
        <v>1</v>
      </c>
      <c r="M2454" s="7">
        <f>1</f>
        <v>1</v>
      </c>
      <c r="N2454" s="5" t="s">
        <v>242</v>
      </c>
      <c r="O2454" s="5">
        <v>1</v>
      </c>
      <c r="P2454" s="5" t="s">
        <v>294</v>
      </c>
      <c r="Q2454" s="5" t="s">
        <v>613</v>
      </c>
      <c r="R2454" s="5" t="s">
        <v>240</v>
      </c>
      <c r="S2454" s="5" t="s">
        <v>240</v>
      </c>
      <c r="T2454" s="5" t="s">
        <v>243</v>
      </c>
      <c r="U2454" s="5" t="s">
        <v>244</v>
      </c>
      <c r="V2454" s="5" t="s">
        <v>240</v>
      </c>
      <c r="Y2454" s="5" t="s">
        <v>240</v>
      </c>
      <c r="Z2454" s="6" t="s">
        <v>298</v>
      </c>
      <c r="AB2454" s="6" t="s">
        <v>240</v>
      </c>
      <c r="AE2454" s="6" t="s">
        <v>299</v>
      </c>
      <c r="AF2454" s="5" t="s">
        <v>248</v>
      </c>
      <c r="AG2454" s="5" t="s">
        <v>249</v>
      </c>
      <c r="AW2454" s="5" t="s">
        <v>251</v>
      </c>
      <c r="AX2454" s="5" t="s">
        <v>240</v>
      </c>
      <c r="AY2454" s="5" t="s">
        <v>253</v>
      </c>
      <c r="AZ2454" s="5" t="s">
        <v>240</v>
      </c>
      <c r="BA2454" s="5" t="s">
        <v>255</v>
      </c>
      <c r="BB2454" s="5" t="s">
        <v>240</v>
      </c>
      <c r="BD2454" s="5" t="s">
        <v>686</v>
      </c>
      <c r="BF2454" s="5" t="s">
        <v>301</v>
      </c>
      <c r="BG2454" s="6" t="s">
        <v>299</v>
      </c>
      <c r="BH2454" s="5" t="s">
        <v>302</v>
      </c>
      <c r="BI2454" s="5" t="s">
        <v>303</v>
      </c>
      <c r="BJ2454" s="5" t="s">
        <v>240</v>
      </c>
      <c r="BK2454" s="8">
        <f>0</f>
        <v>0</v>
      </c>
      <c r="BL2454" s="7">
        <f>0</f>
        <v>0</v>
      </c>
      <c r="BM2454" s="5" t="s">
        <v>258</v>
      </c>
      <c r="BN2454" s="5" t="s">
        <v>259</v>
      </c>
      <c r="CB2454" s="5" t="s">
        <v>240</v>
      </c>
      <c r="CC2454" s="5" t="s">
        <v>240</v>
      </c>
      <c r="CG2454" s="5" t="s">
        <v>617</v>
      </c>
      <c r="CH2454" s="5" t="s">
        <v>305</v>
      </c>
      <c r="CI2454" s="5" t="s">
        <v>240</v>
      </c>
      <c r="CL2454" s="6" t="s">
        <v>261</v>
      </c>
      <c r="CM2454" s="5" t="s">
        <v>240</v>
      </c>
      <c r="CN2454" s="5" t="s">
        <v>263</v>
      </c>
      <c r="CO2454" s="5" t="s">
        <v>240</v>
      </c>
      <c r="CP2454" s="5" t="s">
        <v>240</v>
      </c>
      <c r="CQ2454" s="5">
        <v>0</v>
      </c>
      <c r="CR2454" s="5" t="s">
        <v>306</v>
      </c>
      <c r="CS2454" s="5" t="s">
        <v>307</v>
      </c>
      <c r="CT2454" s="5" t="s">
        <v>307</v>
      </c>
      <c r="CU2454" s="5" t="s">
        <v>260</v>
      </c>
      <c r="CX2454" s="7">
        <f>10279815</f>
        <v>10279815</v>
      </c>
      <c r="CY2454" s="7">
        <f>0</f>
        <v>0</v>
      </c>
      <c r="DA2454" s="7">
        <f>0</f>
        <v>0</v>
      </c>
      <c r="DC2454" s="5" t="s">
        <v>689</v>
      </c>
      <c r="DD2454" s="5" t="s">
        <v>240</v>
      </c>
      <c r="DF2454" s="5" t="s">
        <v>689</v>
      </c>
      <c r="DG2454" s="7">
        <f>4641</f>
        <v>4641</v>
      </c>
      <c r="DH2454" s="6" t="s">
        <v>4551</v>
      </c>
      <c r="DI2454" s="5" t="s">
        <v>618</v>
      </c>
      <c r="DJ2454" s="5" t="s">
        <v>240</v>
      </c>
      <c r="DK2454" s="5" t="s">
        <v>240</v>
      </c>
      <c r="DL2454" s="5" t="s">
        <v>240</v>
      </c>
      <c r="DP2454" s="5" t="s">
        <v>240</v>
      </c>
      <c r="DQ2454" s="5" t="s">
        <v>240</v>
      </c>
      <c r="DR2454" s="5" t="s">
        <v>240</v>
      </c>
      <c r="DS2454" s="5" t="s">
        <v>240</v>
      </c>
      <c r="DV2454" s="5" t="s">
        <v>4552</v>
      </c>
      <c r="DW2454" s="5" t="s">
        <v>312</v>
      </c>
      <c r="HO2454" s="5" t="s">
        <v>312</v>
      </c>
    </row>
    <row r="2455" spans="1:223" x14ac:dyDescent="0.4">
      <c r="A2455" s="5">
        <v>4159</v>
      </c>
      <c r="B2455" s="5">
        <v>1</v>
      </c>
      <c r="C2455" s="5">
        <v>1</v>
      </c>
      <c r="D2455" s="5" t="s">
        <v>810</v>
      </c>
      <c r="E2455" s="5" t="s">
        <v>245</v>
      </c>
      <c r="F2455" s="5" t="s">
        <v>254</v>
      </c>
      <c r="G2455" s="5" t="s">
        <v>240</v>
      </c>
      <c r="H2455" s="6" t="s">
        <v>3634</v>
      </c>
      <c r="I2455" s="5" t="s">
        <v>809</v>
      </c>
      <c r="J2455" s="8">
        <f>1050</f>
        <v>1050</v>
      </c>
      <c r="K2455" s="5" t="s">
        <v>308</v>
      </c>
      <c r="L2455" s="7">
        <f>1</f>
        <v>1</v>
      </c>
      <c r="M2455" s="7">
        <f>1</f>
        <v>1</v>
      </c>
      <c r="N2455" s="5" t="s">
        <v>242</v>
      </c>
      <c r="O2455" s="5">
        <v>1</v>
      </c>
      <c r="P2455" s="5" t="s">
        <v>294</v>
      </c>
      <c r="Q2455" s="5" t="s">
        <v>266</v>
      </c>
      <c r="R2455" s="5" t="s">
        <v>240</v>
      </c>
      <c r="S2455" s="5" t="s">
        <v>240</v>
      </c>
      <c r="T2455" s="5" t="s">
        <v>296</v>
      </c>
      <c r="U2455" s="5" t="s">
        <v>244</v>
      </c>
      <c r="V2455" s="5" t="s">
        <v>240</v>
      </c>
      <c r="Y2455" s="5" t="s">
        <v>240</v>
      </c>
      <c r="Z2455" s="6" t="s">
        <v>298</v>
      </c>
      <c r="AB2455" s="6" t="s">
        <v>240</v>
      </c>
      <c r="AE2455" s="6" t="s">
        <v>299</v>
      </c>
      <c r="AF2455" s="5" t="s">
        <v>248</v>
      </c>
      <c r="AG2455" s="5" t="s">
        <v>249</v>
      </c>
      <c r="AW2455" s="5" t="s">
        <v>251</v>
      </c>
      <c r="AX2455" s="5" t="s">
        <v>240</v>
      </c>
      <c r="AY2455" s="5" t="s">
        <v>253</v>
      </c>
      <c r="AZ2455" s="5" t="s">
        <v>240</v>
      </c>
      <c r="BA2455" s="5" t="s">
        <v>255</v>
      </c>
      <c r="BB2455" s="5" t="s">
        <v>240</v>
      </c>
      <c r="BD2455" s="5" t="s">
        <v>240</v>
      </c>
      <c r="BF2455" s="5" t="s">
        <v>301</v>
      </c>
      <c r="BG2455" s="6" t="s">
        <v>299</v>
      </c>
      <c r="BH2455" s="5" t="s">
        <v>302</v>
      </c>
      <c r="BI2455" s="5" t="s">
        <v>303</v>
      </c>
      <c r="BJ2455" s="5" t="s">
        <v>240</v>
      </c>
      <c r="BK2455" s="8">
        <f>0</f>
        <v>0</v>
      </c>
      <c r="BL2455" s="7">
        <f>0</f>
        <v>0</v>
      </c>
      <c r="BM2455" s="5" t="s">
        <v>258</v>
      </c>
      <c r="BN2455" s="5" t="s">
        <v>259</v>
      </c>
      <c r="CB2455" s="5" t="s">
        <v>240</v>
      </c>
      <c r="CC2455" s="5" t="s">
        <v>240</v>
      </c>
      <c r="CG2455" s="5" t="s">
        <v>304</v>
      </c>
      <c r="CH2455" s="5" t="s">
        <v>305</v>
      </c>
      <c r="CI2455" s="5" t="s">
        <v>240</v>
      </c>
      <c r="CL2455" s="6" t="s">
        <v>261</v>
      </c>
      <c r="CM2455" s="5" t="s">
        <v>240</v>
      </c>
      <c r="CN2455" s="5" t="s">
        <v>263</v>
      </c>
      <c r="CO2455" s="5" t="s">
        <v>240</v>
      </c>
      <c r="CP2455" s="5" t="s">
        <v>240</v>
      </c>
      <c r="CQ2455" s="5">
        <v>0</v>
      </c>
      <c r="CR2455" s="5" t="s">
        <v>306</v>
      </c>
      <c r="CS2455" s="5" t="s">
        <v>307</v>
      </c>
      <c r="CT2455" s="5" t="s">
        <v>307</v>
      </c>
      <c r="CU2455" s="5" t="s">
        <v>260</v>
      </c>
      <c r="CX2455" s="7">
        <f>1</f>
        <v>1</v>
      </c>
      <c r="CY2455" s="7">
        <f>0</f>
        <v>0</v>
      </c>
      <c r="DA2455" s="7">
        <f>0</f>
        <v>0</v>
      </c>
      <c r="DC2455" s="5" t="s">
        <v>309</v>
      </c>
      <c r="DD2455" s="5" t="s">
        <v>240</v>
      </c>
      <c r="DF2455" s="5" t="s">
        <v>309</v>
      </c>
      <c r="DG2455" s="7">
        <f>1730</f>
        <v>1730</v>
      </c>
      <c r="DI2455" s="5" t="s">
        <v>240</v>
      </c>
      <c r="DJ2455" s="5" t="s">
        <v>240</v>
      </c>
      <c r="DK2455" s="5" t="s">
        <v>240</v>
      </c>
      <c r="DL2455" s="5" t="s">
        <v>240</v>
      </c>
      <c r="DP2455" s="5" t="s">
        <v>240</v>
      </c>
      <c r="DQ2455" s="5" t="s">
        <v>240</v>
      </c>
      <c r="DR2455" s="5" t="s">
        <v>240</v>
      </c>
      <c r="DS2455" s="5" t="s">
        <v>240</v>
      </c>
      <c r="DV2455" s="5" t="s">
        <v>310</v>
      </c>
      <c r="DW2455" s="5" t="s">
        <v>2961</v>
      </c>
      <c r="HO2455" s="5" t="s">
        <v>312</v>
      </c>
    </row>
    <row r="2456" spans="1:223" x14ac:dyDescent="0.4">
      <c r="A2456" s="5">
        <v>4160</v>
      </c>
      <c r="B2456" s="5">
        <v>1</v>
      </c>
      <c r="C2456" s="5">
        <v>1</v>
      </c>
      <c r="D2456" s="5" t="s">
        <v>810</v>
      </c>
      <c r="E2456" s="5" t="s">
        <v>245</v>
      </c>
      <c r="F2456" s="5" t="s">
        <v>254</v>
      </c>
      <c r="G2456" s="5" t="s">
        <v>240</v>
      </c>
      <c r="H2456" s="6" t="s">
        <v>3632</v>
      </c>
      <c r="I2456" s="5" t="s">
        <v>809</v>
      </c>
      <c r="J2456" s="8">
        <f>1348</f>
        <v>1348</v>
      </c>
      <c r="K2456" s="5" t="s">
        <v>308</v>
      </c>
      <c r="L2456" s="7">
        <f>1</f>
        <v>1</v>
      </c>
      <c r="M2456" s="7">
        <f>1</f>
        <v>1</v>
      </c>
      <c r="N2456" s="5" t="s">
        <v>242</v>
      </c>
      <c r="O2456" s="5">
        <v>1</v>
      </c>
      <c r="P2456" s="5" t="s">
        <v>294</v>
      </c>
      <c r="Q2456" s="5" t="s">
        <v>266</v>
      </c>
      <c r="R2456" s="5" t="s">
        <v>240</v>
      </c>
      <c r="S2456" s="5" t="s">
        <v>240</v>
      </c>
      <c r="T2456" s="5" t="s">
        <v>296</v>
      </c>
      <c r="U2456" s="5" t="s">
        <v>244</v>
      </c>
      <c r="V2456" s="5" t="s">
        <v>240</v>
      </c>
      <c r="Y2456" s="5" t="s">
        <v>240</v>
      </c>
      <c r="Z2456" s="6" t="s">
        <v>298</v>
      </c>
      <c r="AB2456" s="6" t="s">
        <v>240</v>
      </c>
      <c r="AE2456" s="6" t="s">
        <v>299</v>
      </c>
      <c r="AF2456" s="5" t="s">
        <v>248</v>
      </c>
      <c r="AG2456" s="5" t="s">
        <v>249</v>
      </c>
      <c r="AW2456" s="5" t="s">
        <v>251</v>
      </c>
      <c r="AX2456" s="5" t="s">
        <v>240</v>
      </c>
      <c r="AY2456" s="5" t="s">
        <v>253</v>
      </c>
      <c r="AZ2456" s="5" t="s">
        <v>240</v>
      </c>
      <c r="BA2456" s="5" t="s">
        <v>255</v>
      </c>
      <c r="BB2456" s="5" t="s">
        <v>240</v>
      </c>
      <c r="BD2456" s="5" t="s">
        <v>240</v>
      </c>
      <c r="BF2456" s="5" t="s">
        <v>301</v>
      </c>
      <c r="BG2456" s="6" t="s">
        <v>299</v>
      </c>
      <c r="BH2456" s="5" t="s">
        <v>302</v>
      </c>
      <c r="BI2456" s="5" t="s">
        <v>303</v>
      </c>
      <c r="BJ2456" s="5" t="s">
        <v>240</v>
      </c>
      <c r="BK2456" s="8">
        <f>0</f>
        <v>0</v>
      </c>
      <c r="BL2456" s="7">
        <f>0</f>
        <v>0</v>
      </c>
      <c r="BM2456" s="5" t="s">
        <v>258</v>
      </c>
      <c r="BN2456" s="5" t="s">
        <v>259</v>
      </c>
      <c r="CB2456" s="5" t="s">
        <v>240</v>
      </c>
      <c r="CC2456" s="5" t="s">
        <v>240</v>
      </c>
      <c r="CG2456" s="5" t="s">
        <v>304</v>
      </c>
      <c r="CH2456" s="5" t="s">
        <v>305</v>
      </c>
      <c r="CI2456" s="5" t="s">
        <v>240</v>
      </c>
      <c r="CL2456" s="6" t="s">
        <v>261</v>
      </c>
      <c r="CM2456" s="5" t="s">
        <v>240</v>
      </c>
      <c r="CN2456" s="5" t="s">
        <v>263</v>
      </c>
      <c r="CO2456" s="5" t="s">
        <v>240</v>
      </c>
      <c r="CP2456" s="5" t="s">
        <v>240</v>
      </c>
      <c r="CQ2456" s="5">
        <v>0</v>
      </c>
      <c r="CR2456" s="5" t="s">
        <v>306</v>
      </c>
      <c r="CS2456" s="5" t="s">
        <v>307</v>
      </c>
      <c r="CT2456" s="5" t="s">
        <v>307</v>
      </c>
      <c r="CU2456" s="5" t="s">
        <v>260</v>
      </c>
      <c r="CX2456" s="7">
        <f>1</f>
        <v>1</v>
      </c>
      <c r="CY2456" s="7">
        <f>0</f>
        <v>0</v>
      </c>
      <c r="DA2456" s="7">
        <f>0</f>
        <v>0</v>
      </c>
      <c r="DC2456" s="5" t="s">
        <v>309</v>
      </c>
      <c r="DD2456" s="5" t="s">
        <v>240</v>
      </c>
      <c r="DF2456" s="5" t="s">
        <v>309</v>
      </c>
      <c r="DG2456" s="7">
        <f>2369</f>
        <v>2369</v>
      </c>
      <c r="DI2456" s="5" t="s">
        <v>240</v>
      </c>
      <c r="DJ2456" s="5" t="s">
        <v>240</v>
      </c>
      <c r="DK2456" s="5" t="s">
        <v>240</v>
      </c>
      <c r="DL2456" s="5" t="s">
        <v>240</v>
      </c>
      <c r="DP2456" s="5" t="s">
        <v>240</v>
      </c>
      <c r="DQ2456" s="5" t="s">
        <v>240</v>
      </c>
      <c r="DR2456" s="5" t="s">
        <v>240</v>
      </c>
      <c r="DS2456" s="5" t="s">
        <v>240</v>
      </c>
      <c r="DV2456" s="5" t="s">
        <v>310</v>
      </c>
      <c r="DW2456" s="5" t="s">
        <v>2963</v>
      </c>
      <c r="HO2456" s="5" t="s">
        <v>312</v>
      </c>
    </row>
    <row r="2457" spans="1:223" x14ac:dyDescent="0.4">
      <c r="A2457" s="5">
        <v>4161</v>
      </c>
      <c r="B2457" s="5">
        <v>1</v>
      </c>
      <c r="C2457" s="5">
        <v>1</v>
      </c>
      <c r="D2457" s="5" t="s">
        <v>810</v>
      </c>
      <c r="E2457" s="5" t="s">
        <v>245</v>
      </c>
      <c r="F2457" s="5" t="s">
        <v>254</v>
      </c>
      <c r="G2457" s="5" t="s">
        <v>240</v>
      </c>
      <c r="H2457" s="6" t="s">
        <v>5028</v>
      </c>
      <c r="I2457" s="5" t="s">
        <v>809</v>
      </c>
      <c r="J2457" s="8">
        <f>173</f>
        <v>173</v>
      </c>
      <c r="K2457" s="5" t="s">
        <v>308</v>
      </c>
      <c r="L2457" s="7">
        <f>1</f>
        <v>1</v>
      </c>
      <c r="M2457" s="7">
        <f>1</f>
        <v>1</v>
      </c>
      <c r="N2457" s="5" t="s">
        <v>242</v>
      </c>
      <c r="O2457" s="5">
        <v>1</v>
      </c>
      <c r="P2457" s="5" t="s">
        <v>294</v>
      </c>
      <c r="Q2457" s="5" t="s">
        <v>266</v>
      </c>
      <c r="R2457" s="5" t="s">
        <v>240</v>
      </c>
      <c r="S2457" s="5" t="s">
        <v>240</v>
      </c>
      <c r="T2457" s="5" t="s">
        <v>296</v>
      </c>
      <c r="U2457" s="5" t="s">
        <v>244</v>
      </c>
      <c r="V2457" s="5" t="s">
        <v>240</v>
      </c>
      <c r="Y2457" s="5" t="s">
        <v>240</v>
      </c>
      <c r="Z2457" s="6" t="s">
        <v>298</v>
      </c>
      <c r="AB2457" s="6" t="s">
        <v>240</v>
      </c>
      <c r="AE2457" s="6" t="s">
        <v>299</v>
      </c>
      <c r="AF2457" s="5" t="s">
        <v>248</v>
      </c>
      <c r="AG2457" s="5" t="s">
        <v>249</v>
      </c>
      <c r="AW2457" s="5" t="s">
        <v>251</v>
      </c>
      <c r="AX2457" s="5" t="s">
        <v>240</v>
      </c>
      <c r="AY2457" s="5" t="s">
        <v>253</v>
      </c>
      <c r="AZ2457" s="5" t="s">
        <v>240</v>
      </c>
      <c r="BA2457" s="5" t="s">
        <v>255</v>
      </c>
      <c r="BB2457" s="5" t="s">
        <v>240</v>
      </c>
      <c r="BD2457" s="5" t="s">
        <v>240</v>
      </c>
      <c r="BF2457" s="5" t="s">
        <v>301</v>
      </c>
      <c r="BG2457" s="6" t="s">
        <v>299</v>
      </c>
      <c r="BH2457" s="5" t="s">
        <v>302</v>
      </c>
      <c r="BI2457" s="5" t="s">
        <v>303</v>
      </c>
      <c r="BJ2457" s="5" t="s">
        <v>240</v>
      </c>
      <c r="BK2457" s="8">
        <f>0</f>
        <v>0</v>
      </c>
      <c r="BL2457" s="7">
        <f>0</f>
        <v>0</v>
      </c>
      <c r="BM2457" s="5" t="s">
        <v>258</v>
      </c>
      <c r="BN2457" s="5" t="s">
        <v>259</v>
      </c>
      <c r="CB2457" s="5" t="s">
        <v>240</v>
      </c>
      <c r="CC2457" s="5" t="s">
        <v>240</v>
      </c>
      <c r="CG2457" s="5" t="s">
        <v>304</v>
      </c>
      <c r="CH2457" s="5" t="s">
        <v>305</v>
      </c>
      <c r="CI2457" s="5" t="s">
        <v>240</v>
      </c>
      <c r="CL2457" s="6" t="s">
        <v>261</v>
      </c>
      <c r="CM2457" s="5" t="s">
        <v>240</v>
      </c>
      <c r="CN2457" s="5" t="s">
        <v>263</v>
      </c>
      <c r="CO2457" s="5" t="s">
        <v>240</v>
      </c>
      <c r="CP2457" s="5" t="s">
        <v>240</v>
      </c>
      <c r="CQ2457" s="5">
        <v>0</v>
      </c>
      <c r="CR2457" s="5" t="s">
        <v>306</v>
      </c>
      <c r="CS2457" s="5" t="s">
        <v>307</v>
      </c>
      <c r="CT2457" s="5" t="s">
        <v>307</v>
      </c>
      <c r="CU2457" s="5" t="s">
        <v>260</v>
      </c>
      <c r="CX2457" s="7">
        <f>1</f>
        <v>1</v>
      </c>
      <c r="CY2457" s="7">
        <f>0</f>
        <v>0</v>
      </c>
      <c r="DA2457" s="7">
        <f>0</f>
        <v>0</v>
      </c>
      <c r="DC2457" s="5" t="s">
        <v>309</v>
      </c>
      <c r="DD2457" s="5" t="s">
        <v>240</v>
      </c>
      <c r="DF2457" s="5" t="s">
        <v>309</v>
      </c>
      <c r="DG2457" s="7">
        <f>367</f>
        <v>367</v>
      </c>
      <c r="DI2457" s="5" t="s">
        <v>240</v>
      </c>
      <c r="DJ2457" s="5" t="s">
        <v>240</v>
      </c>
      <c r="DK2457" s="5" t="s">
        <v>240</v>
      </c>
      <c r="DL2457" s="5" t="s">
        <v>240</v>
      </c>
      <c r="DP2457" s="5" t="s">
        <v>240</v>
      </c>
      <c r="DQ2457" s="5" t="s">
        <v>240</v>
      </c>
      <c r="DR2457" s="5" t="s">
        <v>240</v>
      </c>
      <c r="DS2457" s="5" t="s">
        <v>240</v>
      </c>
      <c r="DV2457" s="5" t="s">
        <v>310</v>
      </c>
      <c r="DW2457" s="5" t="s">
        <v>2965</v>
      </c>
      <c r="HO2457" s="5" t="s">
        <v>312</v>
      </c>
    </row>
    <row r="2458" spans="1:223" x14ac:dyDescent="0.4">
      <c r="A2458" s="5">
        <v>4162</v>
      </c>
      <c r="B2458" s="5">
        <v>1</v>
      </c>
      <c r="C2458" s="5">
        <v>1</v>
      </c>
      <c r="D2458" s="5" t="s">
        <v>810</v>
      </c>
      <c r="E2458" s="5" t="s">
        <v>245</v>
      </c>
      <c r="F2458" s="5" t="s">
        <v>254</v>
      </c>
      <c r="G2458" s="5" t="s">
        <v>240</v>
      </c>
      <c r="H2458" s="6" t="s">
        <v>3629</v>
      </c>
      <c r="I2458" s="5" t="s">
        <v>809</v>
      </c>
      <c r="J2458" s="8">
        <f>1266</f>
        <v>1266</v>
      </c>
      <c r="K2458" s="5" t="s">
        <v>308</v>
      </c>
      <c r="L2458" s="7">
        <f>1</f>
        <v>1</v>
      </c>
      <c r="M2458" s="7">
        <f>1</f>
        <v>1</v>
      </c>
      <c r="N2458" s="5" t="s">
        <v>242</v>
      </c>
      <c r="O2458" s="5">
        <v>1</v>
      </c>
      <c r="P2458" s="5" t="s">
        <v>294</v>
      </c>
      <c r="Q2458" s="5" t="s">
        <v>266</v>
      </c>
      <c r="R2458" s="5" t="s">
        <v>240</v>
      </c>
      <c r="S2458" s="5" t="s">
        <v>240</v>
      </c>
      <c r="T2458" s="5" t="s">
        <v>296</v>
      </c>
      <c r="U2458" s="5" t="s">
        <v>244</v>
      </c>
      <c r="V2458" s="5" t="s">
        <v>240</v>
      </c>
      <c r="Y2458" s="5" t="s">
        <v>240</v>
      </c>
      <c r="Z2458" s="6" t="s">
        <v>298</v>
      </c>
      <c r="AB2458" s="6" t="s">
        <v>240</v>
      </c>
      <c r="AE2458" s="6" t="s">
        <v>299</v>
      </c>
      <c r="AF2458" s="5" t="s">
        <v>248</v>
      </c>
      <c r="AG2458" s="5" t="s">
        <v>249</v>
      </c>
      <c r="AW2458" s="5" t="s">
        <v>251</v>
      </c>
      <c r="AX2458" s="5" t="s">
        <v>240</v>
      </c>
      <c r="AY2458" s="5" t="s">
        <v>253</v>
      </c>
      <c r="AZ2458" s="5" t="s">
        <v>240</v>
      </c>
      <c r="BA2458" s="5" t="s">
        <v>255</v>
      </c>
      <c r="BB2458" s="5" t="s">
        <v>240</v>
      </c>
      <c r="BD2458" s="5" t="s">
        <v>240</v>
      </c>
      <c r="BF2458" s="5" t="s">
        <v>301</v>
      </c>
      <c r="BG2458" s="6" t="s">
        <v>299</v>
      </c>
      <c r="BH2458" s="5" t="s">
        <v>302</v>
      </c>
      <c r="BI2458" s="5" t="s">
        <v>303</v>
      </c>
      <c r="BJ2458" s="5" t="s">
        <v>240</v>
      </c>
      <c r="BK2458" s="8">
        <f>0</f>
        <v>0</v>
      </c>
      <c r="BL2458" s="7">
        <f>0</f>
        <v>0</v>
      </c>
      <c r="BM2458" s="5" t="s">
        <v>258</v>
      </c>
      <c r="BN2458" s="5" t="s">
        <v>259</v>
      </c>
      <c r="CB2458" s="5" t="s">
        <v>240</v>
      </c>
      <c r="CC2458" s="5" t="s">
        <v>240</v>
      </c>
      <c r="CG2458" s="5" t="s">
        <v>304</v>
      </c>
      <c r="CH2458" s="5" t="s">
        <v>305</v>
      </c>
      <c r="CI2458" s="5" t="s">
        <v>240</v>
      </c>
      <c r="CL2458" s="6" t="s">
        <v>261</v>
      </c>
      <c r="CM2458" s="5" t="s">
        <v>240</v>
      </c>
      <c r="CN2458" s="5" t="s">
        <v>263</v>
      </c>
      <c r="CO2458" s="5" t="s">
        <v>240</v>
      </c>
      <c r="CP2458" s="5" t="s">
        <v>240</v>
      </c>
      <c r="CQ2458" s="5">
        <v>0</v>
      </c>
      <c r="CR2458" s="5" t="s">
        <v>306</v>
      </c>
      <c r="CS2458" s="5" t="s">
        <v>307</v>
      </c>
      <c r="CT2458" s="5" t="s">
        <v>307</v>
      </c>
      <c r="CU2458" s="5" t="s">
        <v>260</v>
      </c>
      <c r="CX2458" s="7">
        <f>1</f>
        <v>1</v>
      </c>
      <c r="CY2458" s="7">
        <f>0</f>
        <v>0</v>
      </c>
      <c r="DA2458" s="7">
        <f>0</f>
        <v>0</v>
      </c>
      <c r="DC2458" s="5" t="s">
        <v>309</v>
      </c>
      <c r="DD2458" s="5" t="s">
        <v>240</v>
      </c>
      <c r="DF2458" s="5" t="s">
        <v>309</v>
      </c>
      <c r="DG2458" s="7">
        <f>134</f>
        <v>134</v>
      </c>
      <c r="DI2458" s="5" t="s">
        <v>240</v>
      </c>
      <c r="DJ2458" s="5" t="s">
        <v>240</v>
      </c>
      <c r="DK2458" s="5" t="s">
        <v>240</v>
      </c>
      <c r="DL2458" s="5" t="s">
        <v>240</v>
      </c>
      <c r="DP2458" s="5" t="s">
        <v>240</v>
      </c>
      <c r="DQ2458" s="5" t="s">
        <v>240</v>
      </c>
      <c r="DR2458" s="5" t="s">
        <v>240</v>
      </c>
      <c r="DS2458" s="5" t="s">
        <v>240</v>
      </c>
      <c r="DV2458" s="5" t="s">
        <v>310</v>
      </c>
      <c r="DW2458" s="5" t="s">
        <v>2967</v>
      </c>
      <c r="HO2458" s="5" t="s">
        <v>312</v>
      </c>
    </row>
    <row r="2459" spans="1:223" x14ac:dyDescent="0.4">
      <c r="A2459" s="5">
        <v>4163</v>
      </c>
      <c r="B2459" s="5">
        <v>1</v>
      </c>
      <c r="C2459" s="5">
        <v>1</v>
      </c>
      <c r="D2459" s="5" t="s">
        <v>810</v>
      </c>
      <c r="E2459" s="5" t="s">
        <v>245</v>
      </c>
      <c r="F2459" s="5" t="s">
        <v>254</v>
      </c>
      <c r="G2459" s="5" t="s">
        <v>240</v>
      </c>
      <c r="H2459" s="6" t="s">
        <v>3627</v>
      </c>
      <c r="I2459" s="5" t="s">
        <v>809</v>
      </c>
      <c r="J2459" s="8">
        <f>10510</f>
        <v>10510</v>
      </c>
      <c r="K2459" s="5" t="s">
        <v>308</v>
      </c>
      <c r="L2459" s="7">
        <f>1</f>
        <v>1</v>
      </c>
      <c r="M2459" s="7">
        <f>1</f>
        <v>1</v>
      </c>
      <c r="N2459" s="5" t="s">
        <v>242</v>
      </c>
      <c r="O2459" s="5">
        <v>1</v>
      </c>
      <c r="P2459" s="5" t="s">
        <v>294</v>
      </c>
      <c r="Q2459" s="5" t="s">
        <v>266</v>
      </c>
      <c r="R2459" s="5" t="s">
        <v>240</v>
      </c>
      <c r="S2459" s="5" t="s">
        <v>240</v>
      </c>
      <c r="T2459" s="5" t="s">
        <v>296</v>
      </c>
      <c r="U2459" s="5" t="s">
        <v>244</v>
      </c>
      <c r="V2459" s="5" t="s">
        <v>240</v>
      </c>
      <c r="Y2459" s="5" t="s">
        <v>240</v>
      </c>
      <c r="Z2459" s="6" t="s">
        <v>298</v>
      </c>
      <c r="AB2459" s="6" t="s">
        <v>240</v>
      </c>
      <c r="AE2459" s="6" t="s">
        <v>299</v>
      </c>
      <c r="AF2459" s="5" t="s">
        <v>248</v>
      </c>
      <c r="AG2459" s="5" t="s">
        <v>249</v>
      </c>
      <c r="AW2459" s="5" t="s">
        <v>251</v>
      </c>
      <c r="AX2459" s="5" t="s">
        <v>240</v>
      </c>
      <c r="AY2459" s="5" t="s">
        <v>253</v>
      </c>
      <c r="AZ2459" s="5" t="s">
        <v>240</v>
      </c>
      <c r="BA2459" s="5" t="s">
        <v>255</v>
      </c>
      <c r="BB2459" s="5" t="s">
        <v>240</v>
      </c>
      <c r="BD2459" s="5" t="s">
        <v>240</v>
      </c>
      <c r="BF2459" s="5" t="s">
        <v>301</v>
      </c>
      <c r="BG2459" s="6" t="s">
        <v>299</v>
      </c>
      <c r="BH2459" s="5" t="s">
        <v>302</v>
      </c>
      <c r="BI2459" s="5" t="s">
        <v>303</v>
      </c>
      <c r="BJ2459" s="5" t="s">
        <v>240</v>
      </c>
      <c r="BK2459" s="8">
        <f>0</f>
        <v>0</v>
      </c>
      <c r="BL2459" s="7">
        <f>0</f>
        <v>0</v>
      </c>
      <c r="BM2459" s="5" t="s">
        <v>258</v>
      </c>
      <c r="BN2459" s="5" t="s">
        <v>259</v>
      </c>
      <c r="CB2459" s="5" t="s">
        <v>240</v>
      </c>
      <c r="CC2459" s="5" t="s">
        <v>240</v>
      </c>
      <c r="CG2459" s="5" t="s">
        <v>304</v>
      </c>
      <c r="CH2459" s="5" t="s">
        <v>305</v>
      </c>
      <c r="CI2459" s="5" t="s">
        <v>240</v>
      </c>
      <c r="CL2459" s="6" t="s">
        <v>261</v>
      </c>
      <c r="CM2459" s="5" t="s">
        <v>240</v>
      </c>
      <c r="CN2459" s="5" t="s">
        <v>263</v>
      </c>
      <c r="CO2459" s="5" t="s">
        <v>240</v>
      </c>
      <c r="CP2459" s="5" t="s">
        <v>240</v>
      </c>
      <c r="CQ2459" s="5">
        <v>0</v>
      </c>
      <c r="CR2459" s="5" t="s">
        <v>306</v>
      </c>
      <c r="CS2459" s="5" t="s">
        <v>307</v>
      </c>
      <c r="CT2459" s="5" t="s">
        <v>307</v>
      </c>
      <c r="CU2459" s="5" t="s">
        <v>260</v>
      </c>
      <c r="CX2459" s="7">
        <f>1</f>
        <v>1</v>
      </c>
      <c r="CY2459" s="7">
        <f>0</f>
        <v>0</v>
      </c>
      <c r="DA2459" s="7">
        <f>0</f>
        <v>0</v>
      </c>
      <c r="DC2459" s="5" t="s">
        <v>309</v>
      </c>
      <c r="DD2459" s="5" t="s">
        <v>240</v>
      </c>
      <c r="DF2459" s="5" t="s">
        <v>309</v>
      </c>
      <c r="DG2459" s="7">
        <f>172</f>
        <v>172</v>
      </c>
      <c r="DI2459" s="5" t="s">
        <v>240</v>
      </c>
      <c r="DJ2459" s="5" t="s">
        <v>240</v>
      </c>
      <c r="DK2459" s="5" t="s">
        <v>240</v>
      </c>
      <c r="DL2459" s="5" t="s">
        <v>240</v>
      </c>
      <c r="DP2459" s="5" t="s">
        <v>240</v>
      </c>
      <c r="DQ2459" s="5" t="s">
        <v>240</v>
      </c>
      <c r="DR2459" s="5" t="s">
        <v>240</v>
      </c>
      <c r="DS2459" s="5" t="s">
        <v>240</v>
      </c>
      <c r="DV2459" s="5" t="s">
        <v>310</v>
      </c>
      <c r="DW2459" s="5" t="s">
        <v>2969</v>
      </c>
      <c r="HO2459" s="5" t="s">
        <v>312</v>
      </c>
    </row>
    <row r="2460" spans="1:223" x14ac:dyDescent="0.4">
      <c r="A2460" s="5">
        <v>4164</v>
      </c>
      <c r="B2460" s="5">
        <v>1</v>
      </c>
      <c r="C2460" s="5">
        <v>1</v>
      </c>
      <c r="D2460" s="5" t="s">
        <v>810</v>
      </c>
      <c r="E2460" s="5" t="s">
        <v>245</v>
      </c>
      <c r="F2460" s="5" t="s">
        <v>254</v>
      </c>
      <c r="G2460" s="5" t="s">
        <v>240</v>
      </c>
      <c r="H2460" s="6" t="s">
        <v>3625</v>
      </c>
      <c r="I2460" s="5" t="s">
        <v>809</v>
      </c>
      <c r="J2460" s="8">
        <f>351</f>
        <v>351</v>
      </c>
      <c r="K2460" s="5" t="s">
        <v>308</v>
      </c>
      <c r="L2460" s="7">
        <f>1</f>
        <v>1</v>
      </c>
      <c r="M2460" s="7">
        <f>1</f>
        <v>1</v>
      </c>
      <c r="N2460" s="5" t="s">
        <v>242</v>
      </c>
      <c r="O2460" s="5">
        <v>1</v>
      </c>
      <c r="P2460" s="5" t="s">
        <v>294</v>
      </c>
      <c r="Q2460" s="5" t="s">
        <v>266</v>
      </c>
      <c r="R2460" s="5" t="s">
        <v>240</v>
      </c>
      <c r="S2460" s="5" t="s">
        <v>240</v>
      </c>
      <c r="T2460" s="5" t="s">
        <v>296</v>
      </c>
      <c r="U2460" s="5" t="s">
        <v>244</v>
      </c>
      <c r="V2460" s="5" t="s">
        <v>240</v>
      </c>
      <c r="Y2460" s="5" t="s">
        <v>240</v>
      </c>
      <c r="Z2460" s="6" t="s">
        <v>298</v>
      </c>
      <c r="AB2460" s="6" t="s">
        <v>240</v>
      </c>
      <c r="AE2460" s="6" t="s">
        <v>299</v>
      </c>
      <c r="AF2460" s="5" t="s">
        <v>248</v>
      </c>
      <c r="AG2460" s="5" t="s">
        <v>249</v>
      </c>
      <c r="AW2460" s="5" t="s">
        <v>251</v>
      </c>
      <c r="AX2460" s="5" t="s">
        <v>240</v>
      </c>
      <c r="AY2460" s="5" t="s">
        <v>253</v>
      </c>
      <c r="AZ2460" s="5" t="s">
        <v>240</v>
      </c>
      <c r="BA2460" s="5" t="s">
        <v>255</v>
      </c>
      <c r="BB2460" s="5" t="s">
        <v>240</v>
      </c>
      <c r="BD2460" s="5" t="s">
        <v>240</v>
      </c>
      <c r="BF2460" s="5" t="s">
        <v>301</v>
      </c>
      <c r="BG2460" s="6" t="s">
        <v>299</v>
      </c>
      <c r="BH2460" s="5" t="s">
        <v>302</v>
      </c>
      <c r="BI2460" s="5" t="s">
        <v>303</v>
      </c>
      <c r="BJ2460" s="5" t="s">
        <v>240</v>
      </c>
      <c r="BK2460" s="8">
        <f>0</f>
        <v>0</v>
      </c>
      <c r="BL2460" s="7">
        <f>0</f>
        <v>0</v>
      </c>
      <c r="BM2460" s="5" t="s">
        <v>258</v>
      </c>
      <c r="BN2460" s="5" t="s">
        <v>259</v>
      </c>
      <c r="CB2460" s="5" t="s">
        <v>240</v>
      </c>
      <c r="CC2460" s="5" t="s">
        <v>240</v>
      </c>
      <c r="CG2460" s="5" t="s">
        <v>304</v>
      </c>
      <c r="CH2460" s="5" t="s">
        <v>305</v>
      </c>
      <c r="CI2460" s="5" t="s">
        <v>240</v>
      </c>
      <c r="CL2460" s="6" t="s">
        <v>261</v>
      </c>
      <c r="CM2460" s="5" t="s">
        <v>240</v>
      </c>
      <c r="CN2460" s="5" t="s">
        <v>263</v>
      </c>
      <c r="CO2460" s="5" t="s">
        <v>240</v>
      </c>
      <c r="CP2460" s="5" t="s">
        <v>240</v>
      </c>
      <c r="CQ2460" s="5">
        <v>0</v>
      </c>
      <c r="CR2460" s="5" t="s">
        <v>306</v>
      </c>
      <c r="CS2460" s="5" t="s">
        <v>307</v>
      </c>
      <c r="CT2460" s="5" t="s">
        <v>307</v>
      </c>
      <c r="CU2460" s="5" t="s">
        <v>260</v>
      </c>
      <c r="CX2460" s="7">
        <f>1</f>
        <v>1</v>
      </c>
      <c r="CY2460" s="7">
        <f>0</f>
        <v>0</v>
      </c>
      <c r="DA2460" s="7">
        <f>0</f>
        <v>0</v>
      </c>
      <c r="DC2460" s="5" t="s">
        <v>309</v>
      </c>
      <c r="DD2460" s="5" t="s">
        <v>240</v>
      </c>
      <c r="DF2460" s="5" t="s">
        <v>309</v>
      </c>
      <c r="DG2460" s="7">
        <f>2141</f>
        <v>2141</v>
      </c>
      <c r="DI2460" s="5" t="s">
        <v>240</v>
      </c>
      <c r="DJ2460" s="5" t="s">
        <v>240</v>
      </c>
      <c r="DK2460" s="5" t="s">
        <v>240</v>
      </c>
      <c r="DL2460" s="5" t="s">
        <v>240</v>
      </c>
      <c r="DP2460" s="5" t="s">
        <v>240</v>
      </c>
      <c r="DQ2460" s="5" t="s">
        <v>240</v>
      </c>
      <c r="DR2460" s="5" t="s">
        <v>240</v>
      </c>
      <c r="DS2460" s="5" t="s">
        <v>240</v>
      </c>
      <c r="DV2460" s="5" t="s">
        <v>310</v>
      </c>
      <c r="DW2460" s="5" t="s">
        <v>2971</v>
      </c>
      <c r="HO2460" s="5" t="s">
        <v>312</v>
      </c>
    </row>
    <row r="2461" spans="1:223" x14ac:dyDescent="0.4">
      <c r="A2461" s="5">
        <v>4165</v>
      </c>
      <c r="B2461" s="5">
        <v>1</v>
      </c>
      <c r="C2461" s="5">
        <v>1</v>
      </c>
      <c r="D2461" s="5" t="s">
        <v>810</v>
      </c>
      <c r="E2461" s="5" t="s">
        <v>245</v>
      </c>
      <c r="F2461" s="5" t="s">
        <v>254</v>
      </c>
      <c r="G2461" s="5" t="s">
        <v>240</v>
      </c>
      <c r="H2461" s="6" t="s">
        <v>3623</v>
      </c>
      <c r="I2461" s="5" t="s">
        <v>809</v>
      </c>
      <c r="J2461" s="8">
        <f>97</f>
        <v>97</v>
      </c>
      <c r="K2461" s="5" t="s">
        <v>308</v>
      </c>
      <c r="L2461" s="7">
        <f>1</f>
        <v>1</v>
      </c>
      <c r="M2461" s="7">
        <f>1</f>
        <v>1</v>
      </c>
      <c r="N2461" s="5" t="s">
        <v>242</v>
      </c>
      <c r="O2461" s="5">
        <v>1</v>
      </c>
      <c r="P2461" s="5" t="s">
        <v>294</v>
      </c>
      <c r="Q2461" s="5" t="s">
        <v>266</v>
      </c>
      <c r="R2461" s="5" t="s">
        <v>240</v>
      </c>
      <c r="S2461" s="5" t="s">
        <v>240</v>
      </c>
      <c r="T2461" s="5" t="s">
        <v>296</v>
      </c>
      <c r="U2461" s="5" t="s">
        <v>244</v>
      </c>
      <c r="V2461" s="5" t="s">
        <v>240</v>
      </c>
      <c r="Y2461" s="5" t="s">
        <v>240</v>
      </c>
      <c r="Z2461" s="6" t="s">
        <v>298</v>
      </c>
      <c r="AB2461" s="6" t="s">
        <v>240</v>
      </c>
      <c r="AE2461" s="6" t="s">
        <v>299</v>
      </c>
      <c r="AF2461" s="5" t="s">
        <v>248</v>
      </c>
      <c r="AG2461" s="5" t="s">
        <v>249</v>
      </c>
      <c r="AW2461" s="5" t="s">
        <v>251</v>
      </c>
      <c r="AX2461" s="5" t="s">
        <v>240</v>
      </c>
      <c r="AY2461" s="5" t="s">
        <v>253</v>
      </c>
      <c r="AZ2461" s="5" t="s">
        <v>240</v>
      </c>
      <c r="BA2461" s="5" t="s">
        <v>255</v>
      </c>
      <c r="BB2461" s="5" t="s">
        <v>240</v>
      </c>
      <c r="BD2461" s="5" t="s">
        <v>240</v>
      </c>
      <c r="BF2461" s="5" t="s">
        <v>301</v>
      </c>
      <c r="BG2461" s="6" t="s">
        <v>299</v>
      </c>
      <c r="BH2461" s="5" t="s">
        <v>302</v>
      </c>
      <c r="BI2461" s="5" t="s">
        <v>303</v>
      </c>
      <c r="BJ2461" s="5" t="s">
        <v>240</v>
      </c>
      <c r="BK2461" s="8">
        <f>0</f>
        <v>0</v>
      </c>
      <c r="BL2461" s="7">
        <f>0</f>
        <v>0</v>
      </c>
      <c r="BM2461" s="5" t="s">
        <v>258</v>
      </c>
      <c r="BN2461" s="5" t="s">
        <v>259</v>
      </c>
      <c r="CB2461" s="5" t="s">
        <v>240</v>
      </c>
      <c r="CC2461" s="5" t="s">
        <v>240</v>
      </c>
      <c r="CG2461" s="5" t="s">
        <v>304</v>
      </c>
      <c r="CH2461" s="5" t="s">
        <v>305</v>
      </c>
      <c r="CI2461" s="5" t="s">
        <v>240</v>
      </c>
      <c r="CL2461" s="6" t="s">
        <v>261</v>
      </c>
      <c r="CM2461" s="5" t="s">
        <v>240</v>
      </c>
      <c r="CN2461" s="5" t="s">
        <v>263</v>
      </c>
      <c r="CO2461" s="5" t="s">
        <v>240</v>
      </c>
      <c r="CP2461" s="5" t="s">
        <v>240</v>
      </c>
      <c r="CQ2461" s="5">
        <v>0</v>
      </c>
      <c r="CR2461" s="5" t="s">
        <v>306</v>
      </c>
      <c r="CS2461" s="5" t="s">
        <v>307</v>
      </c>
      <c r="CT2461" s="5" t="s">
        <v>307</v>
      </c>
      <c r="CU2461" s="5" t="s">
        <v>260</v>
      </c>
      <c r="CX2461" s="7">
        <f>1</f>
        <v>1</v>
      </c>
      <c r="CY2461" s="7">
        <f>0</f>
        <v>0</v>
      </c>
      <c r="DA2461" s="7">
        <f>0</f>
        <v>0</v>
      </c>
      <c r="DC2461" s="5" t="s">
        <v>309</v>
      </c>
      <c r="DD2461" s="5" t="s">
        <v>240</v>
      </c>
      <c r="DF2461" s="5" t="s">
        <v>309</v>
      </c>
      <c r="DG2461" s="7">
        <f>854</f>
        <v>854</v>
      </c>
      <c r="DI2461" s="5" t="s">
        <v>240</v>
      </c>
      <c r="DJ2461" s="5" t="s">
        <v>240</v>
      </c>
      <c r="DK2461" s="5" t="s">
        <v>240</v>
      </c>
      <c r="DL2461" s="5" t="s">
        <v>240</v>
      </c>
      <c r="DP2461" s="5" t="s">
        <v>240</v>
      </c>
      <c r="DQ2461" s="5" t="s">
        <v>240</v>
      </c>
      <c r="DR2461" s="5" t="s">
        <v>240</v>
      </c>
      <c r="DS2461" s="5" t="s">
        <v>240</v>
      </c>
      <c r="DV2461" s="5" t="s">
        <v>310</v>
      </c>
      <c r="DW2461" s="5" t="s">
        <v>2973</v>
      </c>
      <c r="HO2461" s="5" t="s">
        <v>312</v>
      </c>
    </row>
    <row r="2462" spans="1:223" x14ac:dyDescent="0.4">
      <c r="A2462" s="5">
        <v>4166</v>
      </c>
      <c r="B2462" s="5">
        <v>1</v>
      </c>
      <c r="C2462" s="5">
        <v>1</v>
      </c>
      <c r="D2462" s="5" t="s">
        <v>810</v>
      </c>
      <c r="E2462" s="5" t="s">
        <v>245</v>
      </c>
      <c r="F2462" s="5" t="s">
        <v>254</v>
      </c>
      <c r="G2462" s="5" t="s">
        <v>240</v>
      </c>
      <c r="H2462" s="6" t="s">
        <v>3621</v>
      </c>
      <c r="I2462" s="5" t="s">
        <v>809</v>
      </c>
      <c r="J2462" s="8">
        <f>1580</f>
        <v>1580</v>
      </c>
      <c r="K2462" s="5" t="s">
        <v>308</v>
      </c>
      <c r="L2462" s="7">
        <f>1</f>
        <v>1</v>
      </c>
      <c r="M2462" s="7">
        <f>1</f>
        <v>1</v>
      </c>
      <c r="N2462" s="5" t="s">
        <v>242</v>
      </c>
      <c r="O2462" s="5">
        <v>1</v>
      </c>
      <c r="P2462" s="5" t="s">
        <v>294</v>
      </c>
      <c r="Q2462" s="5" t="s">
        <v>613</v>
      </c>
      <c r="R2462" s="5" t="s">
        <v>240</v>
      </c>
      <c r="S2462" s="5" t="s">
        <v>240</v>
      </c>
      <c r="T2462" s="5" t="s">
        <v>243</v>
      </c>
      <c r="U2462" s="5" t="s">
        <v>244</v>
      </c>
      <c r="V2462" s="5" t="s">
        <v>240</v>
      </c>
      <c r="Y2462" s="5" t="s">
        <v>240</v>
      </c>
      <c r="Z2462" s="6" t="s">
        <v>298</v>
      </c>
      <c r="AB2462" s="6" t="s">
        <v>240</v>
      </c>
      <c r="AE2462" s="6" t="s">
        <v>299</v>
      </c>
      <c r="AF2462" s="5" t="s">
        <v>248</v>
      </c>
      <c r="AG2462" s="5" t="s">
        <v>249</v>
      </c>
      <c r="AW2462" s="5" t="s">
        <v>251</v>
      </c>
      <c r="AX2462" s="5" t="s">
        <v>240</v>
      </c>
      <c r="AY2462" s="5" t="s">
        <v>253</v>
      </c>
      <c r="AZ2462" s="5" t="s">
        <v>240</v>
      </c>
      <c r="BA2462" s="5" t="s">
        <v>255</v>
      </c>
      <c r="BB2462" s="5" t="s">
        <v>240</v>
      </c>
      <c r="BD2462" s="5" t="s">
        <v>686</v>
      </c>
      <c r="BF2462" s="5" t="s">
        <v>301</v>
      </c>
      <c r="BG2462" s="6" t="s">
        <v>299</v>
      </c>
      <c r="BH2462" s="5" t="s">
        <v>302</v>
      </c>
      <c r="BI2462" s="5" t="s">
        <v>303</v>
      </c>
      <c r="BJ2462" s="5" t="s">
        <v>240</v>
      </c>
      <c r="BK2462" s="8">
        <f>0</f>
        <v>0</v>
      </c>
      <c r="BL2462" s="7">
        <f>0</f>
        <v>0</v>
      </c>
      <c r="BM2462" s="5" t="s">
        <v>258</v>
      </c>
      <c r="BN2462" s="5" t="s">
        <v>259</v>
      </c>
      <c r="CB2462" s="5" t="s">
        <v>240</v>
      </c>
      <c r="CC2462" s="5" t="s">
        <v>240</v>
      </c>
      <c r="CG2462" s="5" t="s">
        <v>617</v>
      </c>
      <c r="CH2462" s="5" t="s">
        <v>305</v>
      </c>
      <c r="CI2462" s="5" t="s">
        <v>240</v>
      </c>
      <c r="CL2462" s="6" t="s">
        <v>261</v>
      </c>
      <c r="CM2462" s="5" t="s">
        <v>240</v>
      </c>
      <c r="CN2462" s="5" t="s">
        <v>263</v>
      </c>
      <c r="CO2462" s="5" t="s">
        <v>240</v>
      </c>
      <c r="CP2462" s="5" t="s">
        <v>240</v>
      </c>
      <c r="CQ2462" s="5">
        <v>0</v>
      </c>
      <c r="CR2462" s="5" t="s">
        <v>306</v>
      </c>
      <c r="CS2462" s="5" t="s">
        <v>307</v>
      </c>
      <c r="CT2462" s="5" t="s">
        <v>307</v>
      </c>
      <c r="CU2462" s="5" t="s">
        <v>260</v>
      </c>
      <c r="CX2462" s="7">
        <f>3614880</f>
        <v>3614880</v>
      </c>
      <c r="CY2462" s="7">
        <f>0</f>
        <v>0</v>
      </c>
      <c r="DA2462" s="7">
        <f>0</f>
        <v>0</v>
      </c>
      <c r="DC2462" s="5" t="s">
        <v>689</v>
      </c>
      <c r="DD2462" s="5" t="s">
        <v>240</v>
      </c>
      <c r="DF2462" s="5" t="s">
        <v>450</v>
      </c>
      <c r="DG2462" s="7">
        <f>0</f>
        <v>0</v>
      </c>
      <c r="DI2462" s="5" t="s">
        <v>618</v>
      </c>
      <c r="DJ2462" s="5" t="s">
        <v>240</v>
      </c>
      <c r="DK2462" s="5" t="s">
        <v>240</v>
      </c>
      <c r="DL2462" s="5" t="s">
        <v>240</v>
      </c>
      <c r="DP2462" s="5" t="s">
        <v>240</v>
      </c>
      <c r="DQ2462" s="5" t="s">
        <v>240</v>
      </c>
      <c r="DR2462" s="5" t="s">
        <v>240</v>
      </c>
      <c r="DS2462" s="5" t="s">
        <v>240</v>
      </c>
      <c r="DV2462" s="5" t="s">
        <v>4563</v>
      </c>
      <c r="DW2462" s="5" t="s">
        <v>312</v>
      </c>
      <c r="HO2462" s="5" t="s">
        <v>312</v>
      </c>
    </row>
    <row r="2463" spans="1:223" x14ac:dyDescent="0.4">
      <c r="A2463" s="5">
        <v>4167</v>
      </c>
      <c r="B2463" s="5">
        <v>1</v>
      </c>
      <c r="C2463" s="5">
        <v>1</v>
      </c>
      <c r="D2463" s="5" t="s">
        <v>810</v>
      </c>
      <c r="E2463" s="5" t="s">
        <v>245</v>
      </c>
      <c r="F2463" s="5" t="s">
        <v>254</v>
      </c>
      <c r="G2463" s="5" t="s">
        <v>240</v>
      </c>
      <c r="H2463" s="6" t="s">
        <v>3619</v>
      </c>
      <c r="I2463" s="5" t="s">
        <v>809</v>
      </c>
      <c r="J2463" s="8">
        <f>525</f>
        <v>525</v>
      </c>
      <c r="K2463" s="5" t="s">
        <v>308</v>
      </c>
      <c r="L2463" s="7">
        <f>1</f>
        <v>1</v>
      </c>
      <c r="M2463" s="7">
        <f>1</f>
        <v>1</v>
      </c>
      <c r="N2463" s="5" t="s">
        <v>242</v>
      </c>
      <c r="O2463" s="5">
        <v>1</v>
      </c>
      <c r="P2463" s="5" t="s">
        <v>294</v>
      </c>
      <c r="Q2463" s="5" t="s">
        <v>266</v>
      </c>
      <c r="R2463" s="5" t="s">
        <v>240</v>
      </c>
      <c r="S2463" s="5" t="s">
        <v>240</v>
      </c>
      <c r="T2463" s="5" t="s">
        <v>296</v>
      </c>
      <c r="U2463" s="5" t="s">
        <v>244</v>
      </c>
      <c r="V2463" s="5" t="s">
        <v>240</v>
      </c>
      <c r="Y2463" s="5" t="s">
        <v>240</v>
      </c>
      <c r="Z2463" s="6" t="s">
        <v>298</v>
      </c>
      <c r="AB2463" s="6" t="s">
        <v>240</v>
      </c>
      <c r="AE2463" s="6" t="s">
        <v>299</v>
      </c>
      <c r="AF2463" s="5" t="s">
        <v>248</v>
      </c>
      <c r="AG2463" s="5" t="s">
        <v>249</v>
      </c>
      <c r="AW2463" s="5" t="s">
        <v>251</v>
      </c>
      <c r="AX2463" s="5" t="s">
        <v>240</v>
      </c>
      <c r="AY2463" s="5" t="s">
        <v>253</v>
      </c>
      <c r="AZ2463" s="5" t="s">
        <v>240</v>
      </c>
      <c r="BA2463" s="5" t="s">
        <v>255</v>
      </c>
      <c r="BB2463" s="5" t="s">
        <v>240</v>
      </c>
      <c r="BD2463" s="5" t="s">
        <v>240</v>
      </c>
      <c r="BF2463" s="5" t="s">
        <v>301</v>
      </c>
      <c r="BG2463" s="6" t="s">
        <v>299</v>
      </c>
      <c r="BH2463" s="5" t="s">
        <v>302</v>
      </c>
      <c r="BI2463" s="5" t="s">
        <v>303</v>
      </c>
      <c r="BJ2463" s="5" t="s">
        <v>240</v>
      </c>
      <c r="BK2463" s="8">
        <f>0</f>
        <v>0</v>
      </c>
      <c r="BL2463" s="7">
        <f>0</f>
        <v>0</v>
      </c>
      <c r="BM2463" s="5" t="s">
        <v>258</v>
      </c>
      <c r="BN2463" s="5" t="s">
        <v>259</v>
      </c>
      <c r="CB2463" s="5" t="s">
        <v>240</v>
      </c>
      <c r="CC2463" s="5" t="s">
        <v>240</v>
      </c>
      <c r="CG2463" s="5" t="s">
        <v>304</v>
      </c>
      <c r="CH2463" s="5" t="s">
        <v>305</v>
      </c>
      <c r="CI2463" s="5" t="s">
        <v>240</v>
      </c>
      <c r="CL2463" s="6" t="s">
        <v>261</v>
      </c>
      <c r="CM2463" s="5" t="s">
        <v>240</v>
      </c>
      <c r="CN2463" s="5" t="s">
        <v>263</v>
      </c>
      <c r="CO2463" s="5" t="s">
        <v>240</v>
      </c>
      <c r="CP2463" s="5" t="s">
        <v>240</v>
      </c>
      <c r="CQ2463" s="5">
        <v>0</v>
      </c>
      <c r="CR2463" s="5" t="s">
        <v>306</v>
      </c>
      <c r="CS2463" s="5" t="s">
        <v>307</v>
      </c>
      <c r="CT2463" s="5" t="s">
        <v>307</v>
      </c>
      <c r="CU2463" s="5" t="s">
        <v>260</v>
      </c>
      <c r="CX2463" s="7">
        <f>1</f>
        <v>1</v>
      </c>
      <c r="CY2463" s="7">
        <f>0</f>
        <v>0</v>
      </c>
      <c r="DA2463" s="7">
        <f>0</f>
        <v>0</v>
      </c>
      <c r="DC2463" s="5" t="s">
        <v>309</v>
      </c>
      <c r="DD2463" s="5" t="s">
        <v>240</v>
      </c>
      <c r="DF2463" s="5" t="s">
        <v>309</v>
      </c>
      <c r="DG2463" s="7">
        <f>1194</f>
        <v>1194</v>
      </c>
      <c r="DI2463" s="5" t="s">
        <v>240</v>
      </c>
      <c r="DJ2463" s="5" t="s">
        <v>240</v>
      </c>
      <c r="DK2463" s="5" t="s">
        <v>240</v>
      </c>
      <c r="DL2463" s="5" t="s">
        <v>240</v>
      </c>
      <c r="DP2463" s="5" t="s">
        <v>240</v>
      </c>
      <c r="DQ2463" s="5" t="s">
        <v>240</v>
      </c>
      <c r="DR2463" s="5" t="s">
        <v>240</v>
      </c>
      <c r="DS2463" s="5" t="s">
        <v>240</v>
      </c>
      <c r="DV2463" s="5" t="s">
        <v>310</v>
      </c>
      <c r="DW2463" s="5" t="s">
        <v>2977</v>
      </c>
      <c r="HO2463" s="5" t="s">
        <v>312</v>
      </c>
    </row>
    <row r="2464" spans="1:223" x14ac:dyDescent="0.4">
      <c r="A2464" s="5">
        <v>4168</v>
      </c>
      <c r="B2464" s="5">
        <v>1</v>
      </c>
      <c r="C2464" s="5">
        <v>1</v>
      </c>
      <c r="D2464" s="5" t="s">
        <v>810</v>
      </c>
      <c r="E2464" s="5" t="s">
        <v>245</v>
      </c>
      <c r="F2464" s="5" t="s">
        <v>254</v>
      </c>
      <c r="G2464" s="5" t="s">
        <v>240</v>
      </c>
      <c r="H2464" s="6" t="s">
        <v>3617</v>
      </c>
      <c r="I2464" s="5" t="s">
        <v>809</v>
      </c>
      <c r="J2464" s="8">
        <f>1167</f>
        <v>1167</v>
      </c>
      <c r="K2464" s="5" t="s">
        <v>308</v>
      </c>
      <c r="L2464" s="7">
        <f>1</f>
        <v>1</v>
      </c>
      <c r="M2464" s="7">
        <f>1</f>
        <v>1</v>
      </c>
      <c r="N2464" s="5" t="s">
        <v>242</v>
      </c>
      <c r="O2464" s="5">
        <v>1</v>
      </c>
      <c r="P2464" s="5" t="s">
        <v>294</v>
      </c>
      <c r="Q2464" s="5" t="s">
        <v>266</v>
      </c>
      <c r="R2464" s="5" t="s">
        <v>240</v>
      </c>
      <c r="S2464" s="5" t="s">
        <v>240</v>
      </c>
      <c r="T2464" s="5" t="s">
        <v>296</v>
      </c>
      <c r="U2464" s="5" t="s">
        <v>244</v>
      </c>
      <c r="V2464" s="5" t="s">
        <v>240</v>
      </c>
      <c r="Y2464" s="5" t="s">
        <v>240</v>
      </c>
      <c r="Z2464" s="6" t="s">
        <v>298</v>
      </c>
      <c r="AB2464" s="6" t="s">
        <v>240</v>
      </c>
      <c r="AE2464" s="6" t="s">
        <v>299</v>
      </c>
      <c r="AF2464" s="5" t="s">
        <v>248</v>
      </c>
      <c r="AG2464" s="5" t="s">
        <v>249</v>
      </c>
      <c r="AW2464" s="5" t="s">
        <v>251</v>
      </c>
      <c r="AX2464" s="5" t="s">
        <v>240</v>
      </c>
      <c r="AY2464" s="5" t="s">
        <v>253</v>
      </c>
      <c r="AZ2464" s="5" t="s">
        <v>240</v>
      </c>
      <c r="BA2464" s="5" t="s">
        <v>255</v>
      </c>
      <c r="BB2464" s="5" t="s">
        <v>240</v>
      </c>
      <c r="BD2464" s="5" t="s">
        <v>240</v>
      </c>
      <c r="BF2464" s="5" t="s">
        <v>301</v>
      </c>
      <c r="BG2464" s="6" t="s">
        <v>299</v>
      </c>
      <c r="BH2464" s="5" t="s">
        <v>302</v>
      </c>
      <c r="BI2464" s="5" t="s">
        <v>303</v>
      </c>
      <c r="BJ2464" s="5" t="s">
        <v>240</v>
      </c>
      <c r="BK2464" s="8">
        <f>0</f>
        <v>0</v>
      </c>
      <c r="BL2464" s="7">
        <f>0</f>
        <v>0</v>
      </c>
      <c r="BM2464" s="5" t="s">
        <v>258</v>
      </c>
      <c r="BN2464" s="5" t="s">
        <v>259</v>
      </c>
      <c r="CB2464" s="5" t="s">
        <v>240</v>
      </c>
      <c r="CC2464" s="5" t="s">
        <v>240</v>
      </c>
      <c r="CG2464" s="5" t="s">
        <v>304</v>
      </c>
      <c r="CH2464" s="5" t="s">
        <v>305</v>
      </c>
      <c r="CI2464" s="5" t="s">
        <v>240</v>
      </c>
      <c r="CL2464" s="6" t="s">
        <v>261</v>
      </c>
      <c r="CM2464" s="5" t="s">
        <v>240</v>
      </c>
      <c r="CN2464" s="5" t="s">
        <v>263</v>
      </c>
      <c r="CO2464" s="5" t="s">
        <v>240</v>
      </c>
      <c r="CP2464" s="5" t="s">
        <v>240</v>
      </c>
      <c r="CQ2464" s="5">
        <v>0</v>
      </c>
      <c r="CR2464" s="5" t="s">
        <v>306</v>
      </c>
      <c r="CS2464" s="5" t="s">
        <v>307</v>
      </c>
      <c r="CT2464" s="5" t="s">
        <v>307</v>
      </c>
      <c r="CU2464" s="5" t="s">
        <v>260</v>
      </c>
      <c r="CX2464" s="7">
        <f>1</f>
        <v>1</v>
      </c>
      <c r="CY2464" s="7">
        <f>0</f>
        <v>0</v>
      </c>
      <c r="DA2464" s="7">
        <f>0</f>
        <v>0</v>
      </c>
      <c r="DC2464" s="5" t="s">
        <v>309</v>
      </c>
      <c r="DD2464" s="5" t="s">
        <v>240</v>
      </c>
      <c r="DF2464" s="5" t="s">
        <v>309</v>
      </c>
      <c r="DG2464" s="7">
        <f>1389</f>
        <v>1389</v>
      </c>
      <c r="DI2464" s="5" t="s">
        <v>240</v>
      </c>
      <c r="DJ2464" s="5" t="s">
        <v>240</v>
      </c>
      <c r="DK2464" s="5" t="s">
        <v>240</v>
      </c>
      <c r="DL2464" s="5" t="s">
        <v>240</v>
      </c>
      <c r="DP2464" s="5" t="s">
        <v>240</v>
      </c>
      <c r="DQ2464" s="5" t="s">
        <v>240</v>
      </c>
      <c r="DR2464" s="5" t="s">
        <v>240</v>
      </c>
      <c r="DS2464" s="5" t="s">
        <v>240</v>
      </c>
      <c r="DV2464" s="5" t="s">
        <v>310</v>
      </c>
      <c r="DW2464" s="5" t="s">
        <v>2979</v>
      </c>
      <c r="HO2464" s="5" t="s">
        <v>312</v>
      </c>
    </row>
    <row r="2465" spans="1:223" x14ac:dyDescent="0.4">
      <c r="A2465" s="5">
        <v>4169</v>
      </c>
      <c r="B2465" s="5">
        <v>1</v>
      </c>
      <c r="C2465" s="5">
        <v>1</v>
      </c>
      <c r="D2465" s="5" t="s">
        <v>810</v>
      </c>
      <c r="E2465" s="5" t="s">
        <v>245</v>
      </c>
      <c r="F2465" s="5" t="s">
        <v>254</v>
      </c>
      <c r="G2465" s="5" t="s">
        <v>240</v>
      </c>
      <c r="H2465" s="6" t="s">
        <v>3615</v>
      </c>
      <c r="I2465" s="5" t="s">
        <v>809</v>
      </c>
      <c r="J2465" s="8">
        <f>493</f>
        <v>493</v>
      </c>
      <c r="K2465" s="5" t="s">
        <v>308</v>
      </c>
      <c r="L2465" s="7">
        <f>1</f>
        <v>1</v>
      </c>
      <c r="M2465" s="7">
        <f>1</f>
        <v>1</v>
      </c>
      <c r="N2465" s="5" t="s">
        <v>242</v>
      </c>
      <c r="O2465" s="5">
        <v>1</v>
      </c>
      <c r="P2465" s="5" t="s">
        <v>294</v>
      </c>
      <c r="Q2465" s="5" t="s">
        <v>266</v>
      </c>
      <c r="R2465" s="5" t="s">
        <v>240</v>
      </c>
      <c r="S2465" s="5" t="s">
        <v>240</v>
      </c>
      <c r="T2465" s="5" t="s">
        <v>296</v>
      </c>
      <c r="U2465" s="5" t="s">
        <v>244</v>
      </c>
      <c r="V2465" s="5" t="s">
        <v>240</v>
      </c>
      <c r="Y2465" s="5" t="s">
        <v>240</v>
      </c>
      <c r="Z2465" s="6" t="s">
        <v>298</v>
      </c>
      <c r="AB2465" s="6" t="s">
        <v>240</v>
      </c>
      <c r="AE2465" s="6" t="s">
        <v>299</v>
      </c>
      <c r="AF2465" s="5" t="s">
        <v>248</v>
      </c>
      <c r="AG2465" s="5" t="s">
        <v>249</v>
      </c>
      <c r="AW2465" s="5" t="s">
        <v>251</v>
      </c>
      <c r="AX2465" s="5" t="s">
        <v>240</v>
      </c>
      <c r="AY2465" s="5" t="s">
        <v>253</v>
      </c>
      <c r="AZ2465" s="5" t="s">
        <v>240</v>
      </c>
      <c r="BA2465" s="5" t="s">
        <v>255</v>
      </c>
      <c r="BB2465" s="5" t="s">
        <v>240</v>
      </c>
      <c r="BD2465" s="5" t="s">
        <v>240</v>
      </c>
      <c r="BF2465" s="5" t="s">
        <v>301</v>
      </c>
      <c r="BG2465" s="6" t="s">
        <v>299</v>
      </c>
      <c r="BH2465" s="5" t="s">
        <v>302</v>
      </c>
      <c r="BI2465" s="5" t="s">
        <v>303</v>
      </c>
      <c r="BJ2465" s="5" t="s">
        <v>240</v>
      </c>
      <c r="BK2465" s="8">
        <f>0</f>
        <v>0</v>
      </c>
      <c r="BL2465" s="7">
        <f>0</f>
        <v>0</v>
      </c>
      <c r="BM2465" s="5" t="s">
        <v>258</v>
      </c>
      <c r="BN2465" s="5" t="s">
        <v>259</v>
      </c>
      <c r="CB2465" s="5" t="s">
        <v>240</v>
      </c>
      <c r="CC2465" s="5" t="s">
        <v>240</v>
      </c>
      <c r="CG2465" s="5" t="s">
        <v>304</v>
      </c>
      <c r="CH2465" s="5" t="s">
        <v>305</v>
      </c>
      <c r="CI2465" s="5" t="s">
        <v>240</v>
      </c>
      <c r="CL2465" s="6" t="s">
        <v>261</v>
      </c>
      <c r="CM2465" s="5" t="s">
        <v>240</v>
      </c>
      <c r="CN2465" s="5" t="s">
        <v>263</v>
      </c>
      <c r="CO2465" s="5" t="s">
        <v>240</v>
      </c>
      <c r="CP2465" s="5" t="s">
        <v>240</v>
      </c>
      <c r="CQ2465" s="5">
        <v>0</v>
      </c>
      <c r="CR2465" s="5" t="s">
        <v>306</v>
      </c>
      <c r="CS2465" s="5" t="s">
        <v>307</v>
      </c>
      <c r="CT2465" s="5" t="s">
        <v>307</v>
      </c>
      <c r="CU2465" s="5" t="s">
        <v>260</v>
      </c>
      <c r="CX2465" s="7">
        <f>1</f>
        <v>1</v>
      </c>
      <c r="CY2465" s="7">
        <f>0</f>
        <v>0</v>
      </c>
      <c r="DA2465" s="7">
        <f>0</f>
        <v>0</v>
      </c>
      <c r="DC2465" s="5" t="s">
        <v>309</v>
      </c>
      <c r="DD2465" s="5" t="s">
        <v>240</v>
      </c>
      <c r="DF2465" s="5" t="s">
        <v>309</v>
      </c>
      <c r="DG2465" s="7">
        <f>5431</f>
        <v>5431</v>
      </c>
      <c r="DI2465" s="5" t="s">
        <v>240</v>
      </c>
      <c r="DJ2465" s="5" t="s">
        <v>240</v>
      </c>
      <c r="DK2465" s="5" t="s">
        <v>240</v>
      </c>
      <c r="DL2465" s="5" t="s">
        <v>240</v>
      </c>
      <c r="DP2465" s="5" t="s">
        <v>240</v>
      </c>
      <c r="DQ2465" s="5" t="s">
        <v>240</v>
      </c>
      <c r="DR2465" s="5" t="s">
        <v>240</v>
      </c>
      <c r="DS2465" s="5" t="s">
        <v>240</v>
      </c>
      <c r="DV2465" s="5" t="s">
        <v>310</v>
      </c>
      <c r="DW2465" s="5" t="s">
        <v>2981</v>
      </c>
      <c r="HO2465" s="5" t="s">
        <v>312</v>
      </c>
    </row>
    <row r="2466" spans="1:223" x14ac:dyDescent="0.4">
      <c r="A2466" s="5">
        <v>4170</v>
      </c>
      <c r="B2466" s="5">
        <v>1</v>
      </c>
      <c r="C2466" s="5">
        <v>1</v>
      </c>
      <c r="D2466" s="5" t="s">
        <v>810</v>
      </c>
      <c r="E2466" s="5" t="s">
        <v>245</v>
      </c>
      <c r="F2466" s="5" t="s">
        <v>254</v>
      </c>
      <c r="G2466" s="5" t="s">
        <v>240</v>
      </c>
      <c r="H2466" s="6" t="s">
        <v>3613</v>
      </c>
      <c r="I2466" s="5" t="s">
        <v>809</v>
      </c>
      <c r="J2466" s="8">
        <f>1127</f>
        <v>1127</v>
      </c>
      <c r="K2466" s="5" t="s">
        <v>308</v>
      </c>
      <c r="L2466" s="7">
        <f>1</f>
        <v>1</v>
      </c>
      <c r="M2466" s="7">
        <f>1</f>
        <v>1</v>
      </c>
      <c r="N2466" s="5" t="s">
        <v>242</v>
      </c>
      <c r="O2466" s="5">
        <v>1</v>
      </c>
      <c r="P2466" s="5" t="s">
        <v>294</v>
      </c>
      <c r="Q2466" s="5" t="s">
        <v>266</v>
      </c>
      <c r="R2466" s="5" t="s">
        <v>240</v>
      </c>
      <c r="S2466" s="5" t="s">
        <v>240</v>
      </c>
      <c r="T2466" s="5" t="s">
        <v>296</v>
      </c>
      <c r="U2466" s="5" t="s">
        <v>244</v>
      </c>
      <c r="V2466" s="5" t="s">
        <v>240</v>
      </c>
      <c r="Y2466" s="5" t="s">
        <v>240</v>
      </c>
      <c r="Z2466" s="6" t="s">
        <v>298</v>
      </c>
      <c r="AB2466" s="6" t="s">
        <v>240</v>
      </c>
      <c r="AE2466" s="6" t="s">
        <v>299</v>
      </c>
      <c r="AF2466" s="5" t="s">
        <v>248</v>
      </c>
      <c r="AG2466" s="5" t="s">
        <v>249</v>
      </c>
      <c r="AW2466" s="5" t="s">
        <v>251</v>
      </c>
      <c r="AX2466" s="5" t="s">
        <v>240</v>
      </c>
      <c r="AY2466" s="5" t="s">
        <v>253</v>
      </c>
      <c r="AZ2466" s="5" t="s">
        <v>240</v>
      </c>
      <c r="BA2466" s="5" t="s">
        <v>255</v>
      </c>
      <c r="BB2466" s="5" t="s">
        <v>240</v>
      </c>
      <c r="BD2466" s="5" t="s">
        <v>240</v>
      </c>
      <c r="BF2466" s="5" t="s">
        <v>301</v>
      </c>
      <c r="BG2466" s="6" t="s">
        <v>299</v>
      </c>
      <c r="BH2466" s="5" t="s">
        <v>302</v>
      </c>
      <c r="BI2466" s="5" t="s">
        <v>303</v>
      </c>
      <c r="BJ2466" s="5" t="s">
        <v>240</v>
      </c>
      <c r="BK2466" s="8">
        <f>0</f>
        <v>0</v>
      </c>
      <c r="BL2466" s="7">
        <f>0</f>
        <v>0</v>
      </c>
      <c r="BM2466" s="5" t="s">
        <v>258</v>
      </c>
      <c r="BN2466" s="5" t="s">
        <v>259</v>
      </c>
      <c r="CB2466" s="5" t="s">
        <v>240</v>
      </c>
      <c r="CC2466" s="5" t="s">
        <v>240</v>
      </c>
      <c r="CG2466" s="5" t="s">
        <v>304</v>
      </c>
      <c r="CH2466" s="5" t="s">
        <v>305</v>
      </c>
      <c r="CI2466" s="5" t="s">
        <v>240</v>
      </c>
      <c r="CL2466" s="6" t="s">
        <v>261</v>
      </c>
      <c r="CM2466" s="5" t="s">
        <v>240</v>
      </c>
      <c r="CN2466" s="5" t="s">
        <v>263</v>
      </c>
      <c r="CO2466" s="5" t="s">
        <v>240</v>
      </c>
      <c r="CP2466" s="5" t="s">
        <v>240</v>
      </c>
      <c r="CQ2466" s="5">
        <v>0</v>
      </c>
      <c r="CR2466" s="5" t="s">
        <v>306</v>
      </c>
      <c r="CS2466" s="5" t="s">
        <v>307</v>
      </c>
      <c r="CT2466" s="5" t="s">
        <v>307</v>
      </c>
      <c r="CU2466" s="5" t="s">
        <v>260</v>
      </c>
      <c r="CX2466" s="7">
        <f>1</f>
        <v>1</v>
      </c>
      <c r="CY2466" s="7">
        <f>0</f>
        <v>0</v>
      </c>
      <c r="DA2466" s="7">
        <f>0</f>
        <v>0</v>
      </c>
      <c r="DC2466" s="5" t="s">
        <v>309</v>
      </c>
      <c r="DD2466" s="5" t="s">
        <v>240</v>
      </c>
      <c r="DF2466" s="5" t="s">
        <v>309</v>
      </c>
      <c r="DG2466" s="7">
        <f>1066</f>
        <v>1066</v>
      </c>
      <c r="DI2466" s="5" t="s">
        <v>240</v>
      </c>
      <c r="DJ2466" s="5" t="s">
        <v>240</v>
      </c>
      <c r="DK2466" s="5" t="s">
        <v>240</v>
      </c>
      <c r="DL2466" s="5" t="s">
        <v>240</v>
      </c>
      <c r="DP2466" s="5" t="s">
        <v>240</v>
      </c>
      <c r="DQ2466" s="5" t="s">
        <v>240</v>
      </c>
      <c r="DR2466" s="5" t="s">
        <v>240</v>
      </c>
      <c r="DS2466" s="5" t="s">
        <v>240</v>
      </c>
      <c r="DV2466" s="5" t="s">
        <v>310</v>
      </c>
      <c r="DW2466" s="5" t="s">
        <v>2983</v>
      </c>
      <c r="HO2466" s="5" t="s">
        <v>312</v>
      </c>
    </row>
    <row r="2467" spans="1:223" x14ac:dyDescent="0.4">
      <c r="A2467" s="5">
        <v>4171</v>
      </c>
      <c r="B2467" s="5">
        <v>1</v>
      </c>
      <c r="C2467" s="5">
        <v>1</v>
      </c>
      <c r="D2467" s="5" t="s">
        <v>810</v>
      </c>
      <c r="E2467" s="5" t="s">
        <v>245</v>
      </c>
      <c r="F2467" s="5" t="s">
        <v>254</v>
      </c>
      <c r="G2467" s="5" t="s">
        <v>240</v>
      </c>
      <c r="H2467" s="6" t="s">
        <v>3611</v>
      </c>
      <c r="I2467" s="5" t="s">
        <v>809</v>
      </c>
      <c r="J2467" s="8">
        <f>446</f>
        <v>446</v>
      </c>
      <c r="K2467" s="5" t="s">
        <v>308</v>
      </c>
      <c r="L2467" s="7">
        <f>1</f>
        <v>1</v>
      </c>
      <c r="M2467" s="7">
        <f>1</f>
        <v>1</v>
      </c>
      <c r="N2467" s="5" t="s">
        <v>242</v>
      </c>
      <c r="O2467" s="5">
        <v>1</v>
      </c>
      <c r="P2467" s="5" t="s">
        <v>294</v>
      </c>
      <c r="Q2467" s="5" t="s">
        <v>266</v>
      </c>
      <c r="R2467" s="5" t="s">
        <v>240</v>
      </c>
      <c r="S2467" s="5" t="s">
        <v>240</v>
      </c>
      <c r="T2467" s="5" t="s">
        <v>296</v>
      </c>
      <c r="U2467" s="5" t="s">
        <v>244</v>
      </c>
      <c r="V2467" s="5" t="s">
        <v>240</v>
      </c>
      <c r="Y2467" s="5" t="s">
        <v>240</v>
      </c>
      <c r="Z2467" s="6" t="s">
        <v>298</v>
      </c>
      <c r="AB2467" s="6" t="s">
        <v>240</v>
      </c>
      <c r="AE2467" s="6" t="s">
        <v>299</v>
      </c>
      <c r="AF2467" s="5" t="s">
        <v>248</v>
      </c>
      <c r="AG2467" s="5" t="s">
        <v>249</v>
      </c>
      <c r="AW2467" s="5" t="s">
        <v>251</v>
      </c>
      <c r="AX2467" s="5" t="s">
        <v>240</v>
      </c>
      <c r="AY2467" s="5" t="s">
        <v>253</v>
      </c>
      <c r="AZ2467" s="5" t="s">
        <v>240</v>
      </c>
      <c r="BA2467" s="5" t="s">
        <v>255</v>
      </c>
      <c r="BB2467" s="5" t="s">
        <v>240</v>
      </c>
      <c r="BD2467" s="5" t="s">
        <v>240</v>
      </c>
      <c r="BF2467" s="5" t="s">
        <v>301</v>
      </c>
      <c r="BG2467" s="6" t="s">
        <v>299</v>
      </c>
      <c r="BH2467" s="5" t="s">
        <v>302</v>
      </c>
      <c r="BI2467" s="5" t="s">
        <v>303</v>
      </c>
      <c r="BJ2467" s="5" t="s">
        <v>240</v>
      </c>
      <c r="BK2467" s="8">
        <f>0</f>
        <v>0</v>
      </c>
      <c r="BL2467" s="7">
        <f>0</f>
        <v>0</v>
      </c>
      <c r="BM2467" s="5" t="s">
        <v>258</v>
      </c>
      <c r="BN2467" s="5" t="s">
        <v>259</v>
      </c>
      <c r="CB2467" s="5" t="s">
        <v>240</v>
      </c>
      <c r="CC2467" s="5" t="s">
        <v>240</v>
      </c>
      <c r="CG2467" s="5" t="s">
        <v>304</v>
      </c>
      <c r="CH2467" s="5" t="s">
        <v>305</v>
      </c>
      <c r="CI2467" s="5" t="s">
        <v>240</v>
      </c>
      <c r="CL2467" s="6" t="s">
        <v>261</v>
      </c>
      <c r="CM2467" s="5" t="s">
        <v>240</v>
      </c>
      <c r="CN2467" s="5" t="s">
        <v>263</v>
      </c>
      <c r="CO2467" s="5" t="s">
        <v>240</v>
      </c>
      <c r="CP2467" s="5" t="s">
        <v>240</v>
      </c>
      <c r="CQ2467" s="5">
        <v>0</v>
      </c>
      <c r="CR2467" s="5" t="s">
        <v>306</v>
      </c>
      <c r="CS2467" s="5" t="s">
        <v>307</v>
      </c>
      <c r="CT2467" s="5" t="s">
        <v>307</v>
      </c>
      <c r="CU2467" s="5" t="s">
        <v>260</v>
      </c>
      <c r="CX2467" s="7">
        <f>1</f>
        <v>1</v>
      </c>
      <c r="CY2467" s="7">
        <f>0</f>
        <v>0</v>
      </c>
      <c r="DA2467" s="7">
        <f>0</f>
        <v>0</v>
      </c>
      <c r="DC2467" s="5" t="s">
        <v>309</v>
      </c>
      <c r="DD2467" s="5" t="s">
        <v>240</v>
      </c>
      <c r="DF2467" s="5" t="s">
        <v>309</v>
      </c>
      <c r="DG2467" s="7">
        <f>206</f>
        <v>206</v>
      </c>
      <c r="DI2467" s="5" t="s">
        <v>240</v>
      </c>
      <c r="DJ2467" s="5" t="s">
        <v>240</v>
      </c>
      <c r="DK2467" s="5" t="s">
        <v>240</v>
      </c>
      <c r="DL2467" s="5" t="s">
        <v>240</v>
      </c>
      <c r="DP2467" s="5" t="s">
        <v>240</v>
      </c>
      <c r="DQ2467" s="5" t="s">
        <v>240</v>
      </c>
      <c r="DR2467" s="5" t="s">
        <v>240</v>
      </c>
      <c r="DS2467" s="5" t="s">
        <v>240</v>
      </c>
      <c r="DV2467" s="5" t="s">
        <v>310</v>
      </c>
      <c r="DW2467" s="5" t="s">
        <v>2985</v>
      </c>
      <c r="HO2467" s="5" t="s">
        <v>312</v>
      </c>
    </row>
    <row r="2468" spans="1:223" x14ac:dyDescent="0.4">
      <c r="A2468" s="5">
        <v>4172</v>
      </c>
      <c r="B2468" s="5">
        <v>1</v>
      </c>
      <c r="C2468" s="5">
        <v>1</v>
      </c>
      <c r="D2468" s="5" t="s">
        <v>810</v>
      </c>
      <c r="E2468" s="5" t="s">
        <v>245</v>
      </c>
      <c r="F2468" s="5" t="s">
        <v>254</v>
      </c>
      <c r="G2468" s="5" t="s">
        <v>240</v>
      </c>
      <c r="H2468" s="6" t="s">
        <v>3609</v>
      </c>
      <c r="I2468" s="5" t="s">
        <v>809</v>
      </c>
      <c r="J2468" s="8">
        <f>2452</f>
        <v>2452</v>
      </c>
      <c r="K2468" s="5" t="s">
        <v>308</v>
      </c>
      <c r="L2468" s="7">
        <f>1</f>
        <v>1</v>
      </c>
      <c r="M2468" s="7">
        <f>1</f>
        <v>1</v>
      </c>
      <c r="N2468" s="5" t="s">
        <v>242</v>
      </c>
      <c r="O2468" s="5">
        <v>1</v>
      </c>
      <c r="P2468" s="5" t="s">
        <v>294</v>
      </c>
      <c r="Q2468" s="5" t="s">
        <v>266</v>
      </c>
      <c r="R2468" s="5" t="s">
        <v>240</v>
      </c>
      <c r="S2468" s="5" t="s">
        <v>240</v>
      </c>
      <c r="T2468" s="5" t="s">
        <v>296</v>
      </c>
      <c r="U2468" s="5" t="s">
        <v>244</v>
      </c>
      <c r="V2468" s="5" t="s">
        <v>240</v>
      </c>
      <c r="Y2468" s="5" t="s">
        <v>240</v>
      </c>
      <c r="Z2468" s="6" t="s">
        <v>298</v>
      </c>
      <c r="AB2468" s="6" t="s">
        <v>240</v>
      </c>
      <c r="AE2468" s="6" t="s">
        <v>299</v>
      </c>
      <c r="AF2468" s="5" t="s">
        <v>248</v>
      </c>
      <c r="AG2468" s="5" t="s">
        <v>249</v>
      </c>
      <c r="AW2468" s="5" t="s">
        <v>251</v>
      </c>
      <c r="AX2468" s="5" t="s">
        <v>240</v>
      </c>
      <c r="AY2468" s="5" t="s">
        <v>253</v>
      </c>
      <c r="AZ2468" s="5" t="s">
        <v>240</v>
      </c>
      <c r="BA2468" s="5" t="s">
        <v>255</v>
      </c>
      <c r="BB2468" s="5" t="s">
        <v>240</v>
      </c>
      <c r="BD2468" s="5" t="s">
        <v>240</v>
      </c>
      <c r="BF2468" s="5" t="s">
        <v>301</v>
      </c>
      <c r="BG2468" s="6" t="s">
        <v>299</v>
      </c>
      <c r="BH2468" s="5" t="s">
        <v>302</v>
      </c>
      <c r="BI2468" s="5" t="s">
        <v>303</v>
      </c>
      <c r="BJ2468" s="5" t="s">
        <v>240</v>
      </c>
      <c r="BK2468" s="8">
        <f>0</f>
        <v>0</v>
      </c>
      <c r="BL2468" s="7">
        <f>0</f>
        <v>0</v>
      </c>
      <c r="BM2468" s="5" t="s">
        <v>258</v>
      </c>
      <c r="BN2468" s="5" t="s">
        <v>259</v>
      </c>
      <c r="CB2468" s="5" t="s">
        <v>240</v>
      </c>
      <c r="CC2468" s="5" t="s">
        <v>240</v>
      </c>
      <c r="CG2468" s="5" t="s">
        <v>304</v>
      </c>
      <c r="CH2468" s="5" t="s">
        <v>305</v>
      </c>
      <c r="CI2468" s="5" t="s">
        <v>240</v>
      </c>
      <c r="CL2468" s="6" t="s">
        <v>261</v>
      </c>
      <c r="CM2468" s="5" t="s">
        <v>240</v>
      </c>
      <c r="CN2468" s="5" t="s">
        <v>263</v>
      </c>
      <c r="CO2468" s="5" t="s">
        <v>240</v>
      </c>
      <c r="CP2468" s="5" t="s">
        <v>240</v>
      </c>
      <c r="CQ2468" s="5">
        <v>0</v>
      </c>
      <c r="CR2468" s="5" t="s">
        <v>306</v>
      </c>
      <c r="CS2468" s="5" t="s">
        <v>307</v>
      </c>
      <c r="CT2468" s="5" t="s">
        <v>307</v>
      </c>
      <c r="CU2468" s="5" t="s">
        <v>260</v>
      </c>
      <c r="CX2468" s="7">
        <f>1</f>
        <v>1</v>
      </c>
      <c r="CY2468" s="7">
        <f>0</f>
        <v>0</v>
      </c>
      <c r="DA2468" s="7">
        <f>0</f>
        <v>0</v>
      </c>
      <c r="DC2468" s="5" t="s">
        <v>309</v>
      </c>
      <c r="DD2468" s="5" t="s">
        <v>240</v>
      </c>
      <c r="DF2468" s="5" t="s">
        <v>309</v>
      </c>
      <c r="DG2468" s="7">
        <f>2898</f>
        <v>2898</v>
      </c>
      <c r="DI2468" s="5" t="s">
        <v>240</v>
      </c>
      <c r="DJ2468" s="5" t="s">
        <v>240</v>
      </c>
      <c r="DK2468" s="5" t="s">
        <v>240</v>
      </c>
      <c r="DL2468" s="5" t="s">
        <v>240</v>
      </c>
      <c r="DP2468" s="5" t="s">
        <v>240</v>
      </c>
      <c r="DQ2468" s="5" t="s">
        <v>240</v>
      </c>
      <c r="DR2468" s="5" t="s">
        <v>240</v>
      </c>
      <c r="DS2468" s="5" t="s">
        <v>240</v>
      </c>
      <c r="DV2468" s="5" t="s">
        <v>310</v>
      </c>
      <c r="DW2468" s="5" t="s">
        <v>2987</v>
      </c>
      <c r="HO2468" s="5" t="s">
        <v>312</v>
      </c>
    </row>
    <row r="2469" spans="1:223" x14ac:dyDescent="0.4">
      <c r="A2469" s="5">
        <v>4173</v>
      </c>
      <c r="B2469" s="5">
        <v>1</v>
      </c>
      <c r="C2469" s="5">
        <v>1</v>
      </c>
      <c r="D2469" s="5" t="s">
        <v>810</v>
      </c>
      <c r="E2469" s="5" t="s">
        <v>245</v>
      </c>
      <c r="F2469" s="5" t="s">
        <v>254</v>
      </c>
      <c r="G2469" s="5" t="s">
        <v>240</v>
      </c>
      <c r="H2469" s="6" t="s">
        <v>3607</v>
      </c>
      <c r="I2469" s="5" t="s">
        <v>809</v>
      </c>
      <c r="J2469" s="8">
        <f>1410</f>
        <v>1410</v>
      </c>
      <c r="K2469" s="5" t="s">
        <v>308</v>
      </c>
      <c r="L2469" s="7">
        <f>1</f>
        <v>1</v>
      </c>
      <c r="M2469" s="7">
        <f>1</f>
        <v>1</v>
      </c>
      <c r="N2469" s="5" t="s">
        <v>242</v>
      </c>
      <c r="O2469" s="5">
        <v>1</v>
      </c>
      <c r="P2469" s="5" t="s">
        <v>294</v>
      </c>
      <c r="Q2469" s="5" t="s">
        <v>266</v>
      </c>
      <c r="R2469" s="5" t="s">
        <v>240</v>
      </c>
      <c r="S2469" s="5" t="s">
        <v>240</v>
      </c>
      <c r="T2469" s="5" t="s">
        <v>296</v>
      </c>
      <c r="U2469" s="5" t="s">
        <v>244</v>
      </c>
      <c r="V2469" s="5" t="s">
        <v>240</v>
      </c>
      <c r="Y2469" s="5" t="s">
        <v>240</v>
      </c>
      <c r="Z2469" s="6" t="s">
        <v>298</v>
      </c>
      <c r="AB2469" s="6" t="s">
        <v>240</v>
      </c>
      <c r="AE2469" s="6" t="s">
        <v>299</v>
      </c>
      <c r="AF2469" s="5" t="s">
        <v>248</v>
      </c>
      <c r="AG2469" s="5" t="s">
        <v>249</v>
      </c>
      <c r="AW2469" s="5" t="s">
        <v>251</v>
      </c>
      <c r="AX2469" s="5" t="s">
        <v>240</v>
      </c>
      <c r="AY2469" s="5" t="s">
        <v>253</v>
      </c>
      <c r="AZ2469" s="5" t="s">
        <v>240</v>
      </c>
      <c r="BA2469" s="5" t="s">
        <v>255</v>
      </c>
      <c r="BB2469" s="5" t="s">
        <v>240</v>
      </c>
      <c r="BD2469" s="5" t="s">
        <v>240</v>
      </c>
      <c r="BF2469" s="5" t="s">
        <v>301</v>
      </c>
      <c r="BG2469" s="6" t="s">
        <v>299</v>
      </c>
      <c r="BH2469" s="5" t="s">
        <v>302</v>
      </c>
      <c r="BI2469" s="5" t="s">
        <v>303</v>
      </c>
      <c r="BJ2469" s="5" t="s">
        <v>240</v>
      </c>
      <c r="BK2469" s="8">
        <f>0</f>
        <v>0</v>
      </c>
      <c r="BL2469" s="7">
        <f>0</f>
        <v>0</v>
      </c>
      <c r="BM2469" s="5" t="s">
        <v>258</v>
      </c>
      <c r="BN2469" s="5" t="s">
        <v>259</v>
      </c>
      <c r="CB2469" s="5" t="s">
        <v>240</v>
      </c>
      <c r="CC2469" s="5" t="s">
        <v>240</v>
      </c>
      <c r="CG2469" s="5" t="s">
        <v>304</v>
      </c>
      <c r="CH2469" s="5" t="s">
        <v>305</v>
      </c>
      <c r="CI2469" s="5" t="s">
        <v>240</v>
      </c>
      <c r="CL2469" s="6" t="s">
        <v>261</v>
      </c>
      <c r="CM2469" s="5" t="s">
        <v>240</v>
      </c>
      <c r="CN2469" s="5" t="s">
        <v>263</v>
      </c>
      <c r="CO2469" s="5" t="s">
        <v>240</v>
      </c>
      <c r="CP2469" s="5" t="s">
        <v>240</v>
      </c>
      <c r="CQ2469" s="5">
        <v>0</v>
      </c>
      <c r="CR2469" s="5" t="s">
        <v>306</v>
      </c>
      <c r="CS2469" s="5" t="s">
        <v>307</v>
      </c>
      <c r="CT2469" s="5" t="s">
        <v>307</v>
      </c>
      <c r="CU2469" s="5" t="s">
        <v>260</v>
      </c>
      <c r="CX2469" s="7">
        <f>1</f>
        <v>1</v>
      </c>
      <c r="CY2469" s="7">
        <f>0</f>
        <v>0</v>
      </c>
      <c r="DA2469" s="7">
        <f>0</f>
        <v>0</v>
      </c>
      <c r="DC2469" s="5" t="s">
        <v>309</v>
      </c>
      <c r="DD2469" s="5" t="s">
        <v>240</v>
      </c>
      <c r="DF2469" s="5" t="s">
        <v>309</v>
      </c>
      <c r="DG2469" s="7">
        <f>1924</f>
        <v>1924</v>
      </c>
      <c r="DI2469" s="5" t="s">
        <v>240</v>
      </c>
      <c r="DJ2469" s="5" t="s">
        <v>240</v>
      </c>
      <c r="DK2469" s="5" t="s">
        <v>240</v>
      </c>
      <c r="DL2469" s="5" t="s">
        <v>240</v>
      </c>
      <c r="DP2469" s="5" t="s">
        <v>240</v>
      </c>
      <c r="DQ2469" s="5" t="s">
        <v>240</v>
      </c>
      <c r="DR2469" s="5" t="s">
        <v>240</v>
      </c>
      <c r="DS2469" s="5" t="s">
        <v>240</v>
      </c>
      <c r="DV2469" s="5" t="s">
        <v>310</v>
      </c>
      <c r="DW2469" s="5" t="s">
        <v>2989</v>
      </c>
      <c r="HO2469" s="5" t="s">
        <v>312</v>
      </c>
    </row>
    <row r="2470" spans="1:223" x14ac:dyDescent="0.4">
      <c r="A2470" s="5">
        <v>4174</v>
      </c>
      <c r="B2470" s="5">
        <v>1</v>
      </c>
      <c r="C2470" s="5">
        <v>1</v>
      </c>
      <c r="D2470" s="5" t="s">
        <v>810</v>
      </c>
      <c r="E2470" s="5" t="s">
        <v>245</v>
      </c>
      <c r="F2470" s="5" t="s">
        <v>254</v>
      </c>
      <c r="G2470" s="5" t="s">
        <v>240</v>
      </c>
      <c r="H2470" s="6" t="s">
        <v>3605</v>
      </c>
      <c r="I2470" s="5" t="s">
        <v>809</v>
      </c>
      <c r="J2470" s="8">
        <f>2354</f>
        <v>2354</v>
      </c>
      <c r="K2470" s="5" t="s">
        <v>308</v>
      </c>
      <c r="L2470" s="7">
        <f>1</f>
        <v>1</v>
      </c>
      <c r="M2470" s="7">
        <f>1</f>
        <v>1</v>
      </c>
      <c r="N2470" s="5" t="s">
        <v>242</v>
      </c>
      <c r="O2470" s="5">
        <v>1</v>
      </c>
      <c r="P2470" s="5" t="s">
        <v>294</v>
      </c>
      <c r="Q2470" s="5" t="s">
        <v>613</v>
      </c>
      <c r="R2470" s="5" t="s">
        <v>240</v>
      </c>
      <c r="S2470" s="5" t="s">
        <v>240</v>
      </c>
      <c r="T2470" s="5" t="s">
        <v>243</v>
      </c>
      <c r="U2470" s="5" t="s">
        <v>724</v>
      </c>
      <c r="V2470" s="5" t="s">
        <v>240</v>
      </c>
      <c r="Y2470" s="5" t="s">
        <v>240</v>
      </c>
      <c r="Z2470" s="6" t="s">
        <v>298</v>
      </c>
      <c r="AB2470" s="6" t="s">
        <v>240</v>
      </c>
      <c r="AE2470" s="6" t="s">
        <v>299</v>
      </c>
      <c r="AF2470" s="5" t="s">
        <v>248</v>
      </c>
      <c r="AG2470" s="5" t="s">
        <v>249</v>
      </c>
      <c r="AW2470" s="5" t="s">
        <v>251</v>
      </c>
      <c r="AX2470" s="5" t="s">
        <v>240</v>
      </c>
      <c r="AY2470" s="5" t="s">
        <v>253</v>
      </c>
      <c r="AZ2470" s="5" t="s">
        <v>240</v>
      </c>
      <c r="BA2470" s="5" t="s">
        <v>255</v>
      </c>
      <c r="BB2470" s="5" t="s">
        <v>240</v>
      </c>
      <c r="BD2470" s="5" t="s">
        <v>240</v>
      </c>
      <c r="BF2470" s="5" t="s">
        <v>301</v>
      </c>
      <c r="BG2470" s="6" t="s">
        <v>299</v>
      </c>
      <c r="BH2470" s="5" t="s">
        <v>302</v>
      </c>
      <c r="BI2470" s="5" t="s">
        <v>303</v>
      </c>
      <c r="BJ2470" s="5" t="s">
        <v>240</v>
      </c>
      <c r="BK2470" s="8">
        <f>0</f>
        <v>0</v>
      </c>
      <c r="BL2470" s="7">
        <f>0</f>
        <v>0</v>
      </c>
      <c r="BM2470" s="5" t="s">
        <v>258</v>
      </c>
      <c r="BN2470" s="5" t="s">
        <v>259</v>
      </c>
      <c r="CB2470" s="5" t="s">
        <v>240</v>
      </c>
      <c r="CC2470" s="5" t="s">
        <v>240</v>
      </c>
      <c r="CG2470" s="5" t="s">
        <v>617</v>
      </c>
      <c r="CH2470" s="5" t="s">
        <v>305</v>
      </c>
      <c r="CI2470" s="5" t="s">
        <v>240</v>
      </c>
      <c r="CL2470" s="6" t="s">
        <v>261</v>
      </c>
      <c r="CM2470" s="5" t="s">
        <v>240</v>
      </c>
      <c r="CN2470" s="5" t="s">
        <v>263</v>
      </c>
      <c r="CO2470" s="5" t="s">
        <v>240</v>
      </c>
      <c r="CP2470" s="5" t="s">
        <v>240</v>
      </c>
      <c r="CQ2470" s="5">
        <v>0</v>
      </c>
      <c r="CR2470" s="5" t="s">
        <v>306</v>
      </c>
      <c r="CS2470" s="5" t="s">
        <v>307</v>
      </c>
      <c r="CT2470" s="5" t="s">
        <v>307</v>
      </c>
      <c r="CU2470" s="5" t="s">
        <v>260</v>
      </c>
      <c r="CX2470" s="7">
        <f>7282</f>
        <v>7282</v>
      </c>
      <c r="CY2470" s="7">
        <f>0</f>
        <v>0</v>
      </c>
      <c r="DA2470" s="7">
        <f>0</f>
        <v>0</v>
      </c>
      <c r="DC2470" s="5" t="s">
        <v>854</v>
      </c>
      <c r="DD2470" s="5" t="s">
        <v>240</v>
      </c>
      <c r="DF2470" s="5" t="s">
        <v>450</v>
      </c>
      <c r="DG2470" s="7">
        <f>0</f>
        <v>0</v>
      </c>
      <c r="DI2470" s="5" t="s">
        <v>737</v>
      </c>
      <c r="DJ2470" s="5" t="s">
        <v>240</v>
      </c>
      <c r="DK2470" s="5" t="s">
        <v>240</v>
      </c>
      <c r="DL2470" s="5" t="s">
        <v>240</v>
      </c>
      <c r="DP2470" s="5" t="s">
        <v>240</v>
      </c>
      <c r="DQ2470" s="5" t="s">
        <v>240</v>
      </c>
      <c r="DR2470" s="5" t="s">
        <v>240</v>
      </c>
      <c r="DS2470" s="5" t="s">
        <v>240</v>
      </c>
      <c r="DV2470" s="5" t="s">
        <v>957</v>
      </c>
      <c r="DW2470" s="5" t="s">
        <v>481</v>
      </c>
      <c r="HO2470" s="5" t="s">
        <v>312</v>
      </c>
    </row>
    <row r="2471" spans="1:223" x14ac:dyDescent="0.4">
      <c r="A2471" s="5">
        <v>4175</v>
      </c>
      <c r="B2471" s="5">
        <v>1</v>
      </c>
      <c r="C2471" s="5">
        <v>1</v>
      </c>
      <c r="D2471" s="5" t="s">
        <v>810</v>
      </c>
      <c r="E2471" s="5" t="s">
        <v>245</v>
      </c>
      <c r="F2471" s="5" t="s">
        <v>254</v>
      </c>
      <c r="G2471" s="5" t="s">
        <v>240</v>
      </c>
      <c r="H2471" s="6" t="s">
        <v>3603</v>
      </c>
      <c r="I2471" s="5" t="s">
        <v>809</v>
      </c>
      <c r="J2471" s="8">
        <f>348</f>
        <v>348</v>
      </c>
      <c r="K2471" s="5" t="s">
        <v>308</v>
      </c>
      <c r="L2471" s="7">
        <f>1</f>
        <v>1</v>
      </c>
      <c r="M2471" s="7">
        <f>1</f>
        <v>1</v>
      </c>
      <c r="N2471" s="5" t="s">
        <v>242</v>
      </c>
      <c r="O2471" s="5">
        <v>1</v>
      </c>
      <c r="P2471" s="5" t="s">
        <v>294</v>
      </c>
      <c r="Q2471" s="5" t="s">
        <v>266</v>
      </c>
      <c r="R2471" s="5" t="s">
        <v>240</v>
      </c>
      <c r="S2471" s="5" t="s">
        <v>240</v>
      </c>
      <c r="T2471" s="5" t="s">
        <v>296</v>
      </c>
      <c r="U2471" s="5" t="s">
        <v>244</v>
      </c>
      <c r="V2471" s="5" t="s">
        <v>240</v>
      </c>
      <c r="Y2471" s="5" t="s">
        <v>240</v>
      </c>
      <c r="Z2471" s="6" t="s">
        <v>298</v>
      </c>
      <c r="AB2471" s="6" t="s">
        <v>240</v>
      </c>
      <c r="AE2471" s="6" t="s">
        <v>299</v>
      </c>
      <c r="AF2471" s="5" t="s">
        <v>248</v>
      </c>
      <c r="AG2471" s="5" t="s">
        <v>249</v>
      </c>
      <c r="AW2471" s="5" t="s">
        <v>251</v>
      </c>
      <c r="AX2471" s="5" t="s">
        <v>240</v>
      </c>
      <c r="AY2471" s="5" t="s">
        <v>253</v>
      </c>
      <c r="AZ2471" s="5" t="s">
        <v>240</v>
      </c>
      <c r="BA2471" s="5" t="s">
        <v>255</v>
      </c>
      <c r="BB2471" s="5" t="s">
        <v>240</v>
      </c>
      <c r="BD2471" s="5" t="s">
        <v>240</v>
      </c>
      <c r="BF2471" s="5" t="s">
        <v>301</v>
      </c>
      <c r="BG2471" s="6" t="s">
        <v>299</v>
      </c>
      <c r="BH2471" s="5" t="s">
        <v>302</v>
      </c>
      <c r="BI2471" s="5" t="s">
        <v>303</v>
      </c>
      <c r="BJ2471" s="5" t="s">
        <v>240</v>
      </c>
      <c r="BK2471" s="8">
        <f>0</f>
        <v>0</v>
      </c>
      <c r="BL2471" s="7">
        <f>0</f>
        <v>0</v>
      </c>
      <c r="BM2471" s="5" t="s">
        <v>258</v>
      </c>
      <c r="BN2471" s="5" t="s">
        <v>259</v>
      </c>
      <c r="CB2471" s="5" t="s">
        <v>240</v>
      </c>
      <c r="CC2471" s="5" t="s">
        <v>240</v>
      </c>
      <c r="CG2471" s="5" t="s">
        <v>304</v>
      </c>
      <c r="CH2471" s="5" t="s">
        <v>305</v>
      </c>
      <c r="CI2471" s="5" t="s">
        <v>240</v>
      </c>
      <c r="CL2471" s="6" t="s">
        <v>261</v>
      </c>
      <c r="CM2471" s="5" t="s">
        <v>240</v>
      </c>
      <c r="CN2471" s="5" t="s">
        <v>263</v>
      </c>
      <c r="CO2471" s="5" t="s">
        <v>240</v>
      </c>
      <c r="CP2471" s="5" t="s">
        <v>240</v>
      </c>
      <c r="CQ2471" s="5">
        <v>0</v>
      </c>
      <c r="CR2471" s="5" t="s">
        <v>306</v>
      </c>
      <c r="CS2471" s="5" t="s">
        <v>307</v>
      </c>
      <c r="CT2471" s="5" t="s">
        <v>307</v>
      </c>
      <c r="CU2471" s="5" t="s">
        <v>260</v>
      </c>
      <c r="CX2471" s="7">
        <f>1</f>
        <v>1</v>
      </c>
      <c r="CY2471" s="7">
        <f>0</f>
        <v>0</v>
      </c>
      <c r="DA2471" s="7">
        <f>0</f>
        <v>0</v>
      </c>
      <c r="DC2471" s="5" t="s">
        <v>309</v>
      </c>
      <c r="DD2471" s="5" t="s">
        <v>240</v>
      </c>
      <c r="DF2471" s="5" t="s">
        <v>309</v>
      </c>
      <c r="DG2471" s="7">
        <f>1768</f>
        <v>1768</v>
      </c>
      <c r="DI2471" s="5" t="s">
        <v>240</v>
      </c>
      <c r="DJ2471" s="5" t="s">
        <v>240</v>
      </c>
      <c r="DK2471" s="5" t="s">
        <v>240</v>
      </c>
      <c r="DL2471" s="5" t="s">
        <v>240</v>
      </c>
      <c r="DP2471" s="5" t="s">
        <v>240</v>
      </c>
      <c r="DQ2471" s="5" t="s">
        <v>240</v>
      </c>
      <c r="DR2471" s="5" t="s">
        <v>240</v>
      </c>
      <c r="DS2471" s="5" t="s">
        <v>240</v>
      </c>
      <c r="DV2471" s="5" t="s">
        <v>310</v>
      </c>
      <c r="DW2471" s="5" t="s">
        <v>2993</v>
      </c>
      <c r="HO2471" s="5" t="s">
        <v>312</v>
      </c>
    </row>
    <row r="2472" spans="1:223" x14ac:dyDescent="0.4">
      <c r="A2472" s="5">
        <v>4176</v>
      </c>
      <c r="B2472" s="5">
        <v>1</v>
      </c>
      <c r="C2472" s="5">
        <v>1</v>
      </c>
      <c r="D2472" s="5" t="s">
        <v>810</v>
      </c>
      <c r="E2472" s="5" t="s">
        <v>245</v>
      </c>
      <c r="F2472" s="5" t="s">
        <v>254</v>
      </c>
      <c r="G2472" s="5" t="s">
        <v>240</v>
      </c>
      <c r="H2472" s="6" t="s">
        <v>3601</v>
      </c>
      <c r="I2472" s="5" t="s">
        <v>809</v>
      </c>
      <c r="J2472" s="8">
        <f>2158</f>
        <v>2158</v>
      </c>
      <c r="K2472" s="5" t="s">
        <v>308</v>
      </c>
      <c r="L2472" s="7">
        <f>1</f>
        <v>1</v>
      </c>
      <c r="M2472" s="7">
        <f>1</f>
        <v>1</v>
      </c>
      <c r="N2472" s="5" t="s">
        <v>242</v>
      </c>
      <c r="O2472" s="5">
        <v>1</v>
      </c>
      <c r="P2472" s="5" t="s">
        <v>294</v>
      </c>
      <c r="Q2472" s="5" t="s">
        <v>266</v>
      </c>
      <c r="R2472" s="5" t="s">
        <v>240</v>
      </c>
      <c r="S2472" s="5" t="s">
        <v>240</v>
      </c>
      <c r="T2472" s="5" t="s">
        <v>296</v>
      </c>
      <c r="U2472" s="5" t="s">
        <v>244</v>
      </c>
      <c r="V2472" s="5" t="s">
        <v>240</v>
      </c>
      <c r="Y2472" s="5" t="s">
        <v>240</v>
      </c>
      <c r="Z2472" s="6" t="s">
        <v>298</v>
      </c>
      <c r="AB2472" s="6" t="s">
        <v>240</v>
      </c>
      <c r="AE2472" s="6" t="s">
        <v>299</v>
      </c>
      <c r="AF2472" s="5" t="s">
        <v>248</v>
      </c>
      <c r="AG2472" s="5" t="s">
        <v>249</v>
      </c>
      <c r="AW2472" s="5" t="s">
        <v>251</v>
      </c>
      <c r="AX2472" s="5" t="s">
        <v>240</v>
      </c>
      <c r="AY2472" s="5" t="s">
        <v>253</v>
      </c>
      <c r="AZ2472" s="5" t="s">
        <v>240</v>
      </c>
      <c r="BA2472" s="5" t="s">
        <v>255</v>
      </c>
      <c r="BB2472" s="5" t="s">
        <v>240</v>
      </c>
      <c r="BD2472" s="5" t="s">
        <v>240</v>
      </c>
      <c r="BF2472" s="5" t="s">
        <v>301</v>
      </c>
      <c r="BG2472" s="6" t="s">
        <v>299</v>
      </c>
      <c r="BH2472" s="5" t="s">
        <v>302</v>
      </c>
      <c r="BI2472" s="5" t="s">
        <v>303</v>
      </c>
      <c r="BJ2472" s="5" t="s">
        <v>240</v>
      </c>
      <c r="BK2472" s="8">
        <f>0</f>
        <v>0</v>
      </c>
      <c r="BL2472" s="7">
        <f>0</f>
        <v>0</v>
      </c>
      <c r="BM2472" s="5" t="s">
        <v>258</v>
      </c>
      <c r="BN2472" s="5" t="s">
        <v>259</v>
      </c>
      <c r="CB2472" s="5" t="s">
        <v>240</v>
      </c>
      <c r="CC2472" s="5" t="s">
        <v>240</v>
      </c>
      <c r="CG2472" s="5" t="s">
        <v>304</v>
      </c>
      <c r="CH2472" s="5" t="s">
        <v>305</v>
      </c>
      <c r="CI2472" s="5" t="s">
        <v>240</v>
      </c>
      <c r="CL2472" s="6" t="s">
        <v>261</v>
      </c>
      <c r="CM2472" s="5" t="s">
        <v>240</v>
      </c>
      <c r="CN2472" s="5" t="s">
        <v>263</v>
      </c>
      <c r="CO2472" s="5" t="s">
        <v>240</v>
      </c>
      <c r="CP2472" s="5" t="s">
        <v>240</v>
      </c>
      <c r="CQ2472" s="5">
        <v>0</v>
      </c>
      <c r="CR2472" s="5" t="s">
        <v>306</v>
      </c>
      <c r="CS2472" s="5" t="s">
        <v>307</v>
      </c>
      <c r="CT2472" s="5" t="s">
        <v>307</v>
      </c>
      <c r="CU2472" s="5" t="s">
        <v>260</v>
      </c>
      <c r="CX2472" s="7">
        <f>1</f>
        <v>1</v>
      </c>
      <c r="CY2472" s="7">
        <f>0</f>
        <v>0</v>
      </c>
      <c r="DA2472" s="7">
        <f>0</f>
        <v>0</v>
      </c>
      <c r="DC2472" s="5" t="s">
        <v>309</v>
      </c>
      <c r="DD2472" s="5" t="s">
        <v>240</v>
      </c>
      <c r="DF2472" s="5" t="s">
        <v>309</v>
      </c>
      <c r="DG2472" s="7">
        <f>2015</f>
        <v>2015</v>
      </c>
      <c r="DI2472" s="5" t="s">
        <v>240</v>
      </c>
      <c r="DJ2472" s="5" t="s">
        <v>240</v>
      </c>
      <c r="DK2472" s="5" t="s">
        <v>240</v>
      </c>
      <c r="DL2472" s="5" t="s">
        <v>240</v>
      </c>
      <c r="DP2472" s="5" t="s">
        <v>240</v>
      </c>
      <c r="DQ2472" s="5" t="s">
        <v>240</v>
      </c>
      <c r="DR2472" s="5" t="s">
        <v>240</v>
      </c>
      <c r="DS2472" s="5" t="s">
        <v>240</v>
      </c>
      <c r="DV2472" s="5" t="s">
        <v>310</v>
      </c>
      <c r="DW2472" s="5" t="s">
        <v>2995</v>
      </c>
      <c r="HO2472" s="5" t="s">
        <v>312</v>
      </c>
    </row>
    <row r="2473" spans="1:223" x14ac:dyDescent="0.4">
      <c r="A2473" s="5">
        <v>4177</v>
      </c>
      <c r="B2473" s="5">
        <v>1</v>
      </c>
      <c r="C2473" s="5">
        <v>1</v>
      </c>
      <c r="D2473" s="5" t="s">
        <v>810</v>
      </c>
      <c r="E2473" s="5" t="s">
        <v>245</v>
      </c>
      <c r="F2473" s="5" t="s">
        <v>254</v>
      </c>
      <c r="G2473" s="5" t="s">
        <v>240</v>
      </c>
      <c r="H2473" s="6" t="s">
        <v>5019</v>
      </c>
      <c r="I2473" s="5" t="s">
        <v>809</v>
      </c>
      <c r="J2473" s="8">
        <f>981</f>
        <v>981</v>
      </c>
      <c r="K2473" s="5" t="s">
        <v>308</v>
      </c>
      <c r="L2473" s="7">
        <f>1</f>
        <v>1</v>
      </c>
      <c r="M2473" s="7">
        <f>1</f>
        <v>1</v>
      </c>
      <c r="N2473" s="5" t="s">
        <v>242</v>
      </c>
      <c r="O2473" s="5">
        <v>1</v>
      </c>
      <c r="P2473" s="5" t="s">
        <v>294</v>
      </c>
      <c r="Q2473" s="5" t="s">
        <v>266</v>
      </c>
      <c r="R2473" s="5" t="s">
        <v>240</v>
      </c>
      <c r="S2473" s="5" t="s">
        <v>240</v>
      </c>
      <c r="T2473" s="5" t="s">
        <v>296</v>
      </c>
      <c r="U2473" s="5" t="s">
        <v>244</v>
      </c>
      <c r="V2473" s="5" t="s">
        <v>240</v>
      </c>
      <c r="Y2473" s="5" t="s">
        <v>240</v>
      </c>
      <c r="Z2473" s="6" t="s">
        <v>298</v>
      </c>
      <c r="AB2473" s="6" t="s">
        <v>240</v>
      </c>
      <c r="AE2473" s="6" t="s">
        <v>299</v>
      </c>
      <c r="AF2473" s="5" t="s">
        <v>248</v>
      </c>
      <c r="AG2473" s="5" t="s">
        <v>249</v>
      </c>
      <c r="AW2473" s="5" t="s">
        <v>251</v>
      </c>
      <c r="AX2473" s="5" t="s">
        <v>240</v>
      </c>
      <c r="AY2473" s="5" t="s">
        <v>253</v>
      </c>
      <c r="AZ2473" s="5" t="s">
        <v>240</v>
      </c>
      <c r="BA2473" s="5" t="s">
        <v>255</v>
      </c>
      <c r="BB2473" s="5" t="s">
        <v>240</v>
      </c>
      <c r="BD2473" s="5" t="s">
        <v>240</v>
      </c>
      <c r="BF2473" s="5" t="s">
        <v>301</v>
      </c>
      <c r="BG2473" s="6" t="s">
        <v>299</v>
      </c>
      <c r="BH2473" s="5" t="s">
        <v>302</v>
      </c>
      <c r="BI2473" s="5" t="s">
        <v>303</v>
      </c>
      <c r="BJ2473" s="5" t="s">
        <v>240</v>
      </c>
      <c r="BK2473" s="8">
        <f>0</f>
        <v>0</v>
      </c>
      <c r="BL2473" s="7">
        <f>0</f>
        <v>0</v>
      </c>
      <c r="BM2473" s="5" t="s">
        <v>258</v>
      </c>
      <c r="BN2473" s="5" t="s">
        <v>259</v>
      </c>
      <c r="CB2473" s="5" t="s">
        <v>240</v>
      </c>
      <c r="CC2473" s="5" t="s">
        <v>240</v>
      </c>
      <c r="CG2473" s="5" t="s">
        <v>304</v>
      </c>
      <c r="CH2473" s="5" t="s">
        <v>305</v>
      </c>
      <c r="CI2473" s="5" t="s">
        <v>240</v>
      </c>
      <c r="CL2473" s="6" t="s">
        <v>261</v>
      </c>
      <c r="CM2473" s="5" t="s">
        <v>240</v>
      </c>
      <c r="CN2473" s="5" t="s">
        <v>263</v>
      </c>
      <c r="CO2473" s="5" t="s">
        <v>240</v>
      </c>
      <c r="CP2473" s="5" t="s">
        <v>240</v>
      </c>
      <c r="CQ2473" s="5">
        <v>0</v>
      </c>
      <c r="CR2473" s="5" t="s">
        <v>306</v>
      </c>
      <c r="CS2473" s="5" t="s">
        <v>307</v>
      </c>
      <c r="CT2473" s="5" t="s">
        <v>307</v>
      </c>
      <c r="CU2473" s="5" t="s">
        <v>260</v>
      </c>
      <c r="CX2473" s="7">
        <f>1</f>
        <v>1</v>
      </c>
      <c r="CY2473" s="7">
        <f>0</f>
        <v>0</v>
      </c>
      <c r="DA2473" s="7">
        <f>0</f>
        <v>0</v>
      </c>
      <c r="DC2473" s="5" t="s">
        <v>309</v>
      </c>
      <c r="DD2473" s="5" t="s">
        <v>240</v>
      </c>
      <c r="DF2473" s="5" t="s">
        <v>309</v>
      </c>
      <c r="DG2473" s="7">
        <f>222</f>
        <v>222</v>
      </c>
      <c r="DI2473" s="5" t="s">
        <v>240</v>
      </c>
      <c r="DJ2473" s="5" t="s">
        <v>240</v>
      </c>
      <c r="DK2473" s="5" t="s">
        <v>240</v>
      </c>
      <c r="DL2473" s="5" t="s">
        <v>240</v>
      </c>
      <c r="DP2473" s="5" t="s">
        <v>240</v>
      </c>
      <c r="DQ2473" s="5" t="s">
        <v>240</v>
      </c>
      <c r="DR2473" s="5" t="s">
        <v>240</v>
      </c>
      <c r="DS2473" s="5" t="s">
        <v>240</v>
      </c>
      <c r="DV2473" s="5" t="s">
        <v>310</v>
      </c>
      <c r="DW2473" s="5" t="s">
        <v>2997</v>
      </c>
      <c r="HO2473" s="5" t="s">
        <v>312</v>
      </c>
    </row>
    <row r="2474" spans="1:223" x14ac:dyDescent="0.4">
      <c r="A2474" s="5">
        <v>4178</v>
      </c>
      <c r="B2474" s="5">
        <v>1</v>
      </c>
      <c r="C2474" s="5">
        <v>1</v>
      </c>
      <c r="D2474" s="5" t="s">
        <v>810</v>
      </c>
      <c r="E2474" s="5" t="s">
        <v>245</v>
      </c>
      <c r="F2474" s="5" t="s">
        <v>254</v>
      </c>
      <c r="G2474" s="5" t="s">
        <v>240</v>
      </c>
      <c r="H2474" s="6" t="s">
        <v>3597</v>
      </c>
      <c r="I2474" s="5" t="s">
        <v>809</v>
      </c>
      <c r="J2474" s="8">
        <f>924</f>
        <v>924</v>
      </c>
      <c r="K2474" s="5" t="s">
        <v>308</v>
      </c>
      <c r="L2474" s="7">
        <f>1</f>
        <v>1</v>
      </c>
      <c r="M2474" s="7">
        <f>1</f>
        <v>1</v>
      </c>
      <c r="N2474" s="5" t="s">
        <v>242</v>
      </c>
      <c r="O2474" s="5">
        <v>1</v>
      </c>
      <c r="P2474" s="5" t="s">
        <v>294</v>
      </c>
      <c r="Q2474" s="5" t="s">
        <v>266</v>
      </c>
      <c r="R2474" s="5" t="s">
        <v>240</v>
      </c>
      <c r="S2474" s="5" t="s">
        <v>240</v>
      </c>
      <c r="T2474" s="5" t="s">
        <v>296</v>
      </c>
      <c r="U2474" s="5" t="s">
        <v>244</v>
      </c>
      <c r="V2474" s="5" t="s">
        <v>240</v>
      </c>
      <c r="Y2474" s="5" t="s">
        <v>240</v>
      </c>
      <c r="Z2474" s="6" t="s">
        <v>298</v>
      </c>
      <c r="AB2474" s="6" t="s">
        <v>240</v>
      </c>
      <c r="AE2474" s="6" t="s">
        <v>299</v>
      </c>
      <c r="AF2474" s="5" t="s">
        <v>248</v>
      </c>
      <c r="AG2474" s="5" t="s">
        <v>249</v>
      </c>
      <c r="AW2474" s="5" t="s">
        <v>251</v>
      </c>
      <c r="AX2474" s="5" t="s">
        <v>240</v>
      </c>
      <c r="AY2474" s="5" t="s">
        <v>253</v>
      </c>
      <c r="AZ2474" s="5" t="s">
        <v>240</v>
      </c>
      <c r="BA2474" s="5" t="s">
        <v>255</v>
      </c>
      <c r="BB2474" s="5" t="s">
        <v>240</v>
      </c>
      <c r="BD2474" s="5" t="s">
        <v>240</v>
      </c>
      <c r="BF2474" s="5" t="s">
        <v>301</v>
      </c>
      <c r="BG2474" s="6" t="s">
        <v>299</v>
      </c>
      <c r="BH2474" s="5" t="s">
        <v>302</v>
      </c>
      <c r="BI2474" s="5" t="s">
        <v>303</v>
      </c>
      <c r="BJ2474" s="5" t="s">
        <v>240</v>
      </c>
      <c r="BK2474" s="8">
        <f>0</f>
        <v>0</v>
      </c>
      <c r="BL2474" s="7">
        <f>0</f>
        <v>0</v>
      </c>
      <c r="BM2474" s="5" t="s">
        <v>258</v>
      </c>
      <c r="BN2474" s="5" t="s">
        <v>259</v>
      </c>
      <c r="CB2474" s="5" t="s">
        <v>240</v>
      </c>
      <c r="CC2474" s="5" t="s">
        <v>240</v>
      </c>
      <c r="CG2474" s="5" t="s">
        <v>304</v>
      </c>
      <c r="CH2474" s="5" t="s">
        <v>305</v>
      </c>
      <c r="CI2474" s="5" t="s">
        <v>240</v>
      </c>
      <c r="CL2474" s="6" t="s">
        <v>261</v>
      </c>
      <c r="CM2474" s="5" t="s">
        <v>240</v>
      </c>
      <c r="CN2474" s="5" t="s">
        <v>263</v>
      </c>
      <c r="CO2474" s="5" t="s">
        <v>240</v>
      </c>
      <c r="CP2474" s="5" t="s">
        <v>240</v>
      </c>
      <c r="CQ2474" s="5">
        <v>0</v>
      </c>
      <c r="CR2474" s="5" t="s">
        <v>306</v>
      </c>
      <c r="CS2474" s="5" t="s">
        <v>307</v>
      </c>
      <c r="CT2474" s="5" t="s">
        <v>307</v>
      </c>
      <c r="CU2474" s="5" t="s">
        <v>260</v>
      </c>
      <c r="CX2474" s="7">
        <f>1</f>
        <v>1</v>
      </c>
      <c r="CY2474" s="7">
        <f>0</f>
        <v>0</v>
      </c>
      <c r="DA2474" s="7">
        <f>0</f>
        <v>0</v>
      </c>
      <c r="DC2474" s="5" t="s">
        <v>309</v>
      </c>
      <c r="DD2474" s="5" t="s">
        <v>240</v>
      </c>
      <c r="DF2474" s="5" t="s">
        <v>309</v>
      </c>
      <c r="DG2474" s="7">
        <f>1730</f>
        <v>1730</v>
      </c>
      <c r="DI2474" s="5" t="s">
        <v>240</v>
      </c>
      <c r="DJ2474" s="5" t="s">
        <v>240</v>
      </c>
      <c r="DK2474" s="5" t="s">
        <v>240</v>
      </c>
      <c r="DL2474" s="5" t="s">
        <v>240</v>
      </c>
      <c r="DP2474" s="5" t="s">
        <v>240</v>
      </c>
      <c r="DQ2474" s="5" t="s">
        <v>240</v>
      </c>
      <c r="DR2474" s="5" t="s">
        <v>240</v>
      </c>
      <c r="DS2474" s="5" t="s">
        <v>240</v>
      </c>
      <c r="DV2474" s="5" t="s">
        <v>310</v>
      </c>
      <c r="DW2474" s="5" t="s">
        <v>2999</v>
      </c>
      <c r="HO2474" s="5" t="s">
        <v>312</v>
      </c>
    </row>
    <row r="2475" spans="1:223" x14ac:dyDescent="0.4">
      <c r="A2475" s="5">
        <v>4179</v>
      </c>
      <c r="B2475" s="5">
        <v>1</v>
      </c>
      <c r="C2475" s="5">
        <v>1</v>
      </c>
      <c r="D2475" s="5" t="s">
        <v>810</v>
      </c>
      <c r="E2475" s="5" t="s">
        <v>245</v>
      </c>
      <c r="F2475" s="5" t="s">
        <v>254</v>
      </c>
      <c r="G2475" s="5" t="s">
        <v>240</v>
      </c>
      <c r="H2475" s="6" t="s">
        <v>3595</v>
      </c>
      <c r="I2475" s="5" t="s">
        <v>809</v>
      </c>
      <c r="J2475" s="8">
        <f>2466</f>
        <v>2466</v>
      </c>
      <c r="K2475" s="5" t="s">
        <v>308</v>
      </c>
      <c r="L2475" s="7">
        <f>1</f>
        <v>1</v>
      </c>
      <c r="M2475" s="7">
        <f>1</f>
        <v>1</v>
      </c>
      <c r="N2475" s="5" t="s">
        <v>242</v>
      </c>
      <c r="O2475" s="5">
        <v>1</v>
      </c>
      <c r="P2475" s="5" t="s">
        <v>294</v>
      </c>
      <c r="Q2475" s="5" t="s">
        <v>266</v>
      </c>
      <c r="R2475" s="5" t="s">
        <v>240</v>
      </c>
      <c r="S2475" s="5" t="s">
        <v>240</v>
      </c>
      <c r="T2475" s="5" t="s">
        <v>296</v>
      </c>
      <c r="U2475" s="5" t="s">
        <v>244</v>
      </c>
      <c r="V2475" s="5" t="s">
        <v>240</v>
      </c>
      <c r="Y2475" s="5" t="s">
        <v>240</v>
      </c>
      <c r="Z2475" s="6" t="s">
        <v>298</v>
      </c>
      <c r="AB2475" s="6" t="s">
        <v>240</v>
      </c>
      <c r="AE2475" s="6" t="s">
        <v>299</v>
      </c>
      <c r="AF2475" s="5" t="s">
        <v>248</v>
      </c>
      <c r="AG2475" s="5" t="s">
        <v>249</v>
      </c>
      <c r="AW2475" s="5" t="s">
        <v>251</v>
      </c>
      <c r="AX2475" s="5" t="s">
        <v>240</v>
      </c>
      <c r="AY2475" s="5" t="s">
        <v>253</v>
      </c>
      <c r="AZ2475" s="5" t="s">
        <v>240</v>
      </c>
      <c r="BA2475" s="5" t="s">
        <v>255</v>
      </c>
      <c r="BB2475" s="5" t="s">
        <v>240</v>
      </c>
      <c r="BD2475" s="5" t="s">
        <v>240</v>
      </c>
      <c r="BF2475" s="5" t="s">
        <v>301</v>
      </c>
      <c r="BG2475" s="6" t="s">
        <v>299</v>
      </c>
      <c r="BH2475" s="5" t="s">
        <v>302</v>
      </c>
      <c r="BI2475" s="5" t="s">
        <v>303</v>
      </c>
      <c r="BJ2475" s="5" t="s">
        <v>240</v>
      </c>
      <c r="BK2475" s="8">
        <f>0</f>
        <v>0</v>
      </c>
      <c r="BL2475" s="7">
        <f>0</f>
        <v>0</v>
      </c>
      <c r="BM2475" s="5" t="s">
        <v>258</v>
      </c>
      <c r="BN2475" s="5" t="s">
        <v>259</v>
      </c>
      <c r="CB2475" s="5" t="s">
        <v>240</v>
      </c>
      <c r="CC2475" s="5" t="s">
        <v>240</v>
      </c>
      <c r="CG2475" s="5" t="s">
        <v>304</v>
      </c>
      <c r="CH2475" s="5" t="s">
        <v>305</v>
      </c>
      <c r="CI2475" s="5" t="s">
        <v>240</v>
      </c>
      <c r="CL2475" s="6" t="s">
        <v>261</v>
      </c>
      <c r="CM2475" s="5" t="s">
        <v>240</v>
      </c>
      <c r="CN2475" s="5" t="s">
        <v>263</v>
      </c>
      <c r="CO2475" s="5" t="s">
        <v>240</v>
      </c>
      <c r="CP2475" s="5" t="s">
        <v>240</v>
      </c>
      <c r="CQ2475" s="5">
        <v>0</v>
      </c>
      <c r="CR2475" s="5" t="s">
        <v>306</v>
      </c>
      <c r="CS2475" s="5" t="s">
        <v>307</v>
      </c>
      <c r="CT2475" s="5" t="s">
        <v>307</v>
      </c>
      <c r="CU2475" s="5" t="s">
        <v>260</v>
      </c>
      <c r="CX2475" s="7">
        <f>1</f>
        <v>1</v>
      </c>
      <c r="CY2475" s="7">
        <f>0</f>
        <v>0</v>
      </c>
      <c r="DA2475" s="7">
        <f>0</f>
        <v>0</v>
      </c>
      <c r="DC2475" s="5" t="s">
        <v>309</v>
      </c>
      <c r="DD2475" s="5" t="s">
        <v>240</v>
      </c>
      <c r="DF2475" s="5" t="s">
        <v>309</v>
      </c>
      <c r="DG2475" s="7">
        <f>110</f>
        <v>110</v>
      </c>
      <c r="DI2475" s="5" t="s">
        <v>240</v>
      </c>
      <c r="DJ2475" s="5" t="s">
        <v>240</v>
      </c>
      <c r="DK2475" s="5" t="s">
        <v>240</v>
      </c>
      <c r="DL2475" s="5" t="s">
        <v>240</v>
      </c>
      <c r="DP2475" s="5" t="s">
        <v>240</v>
      </c>
      <c r="DQ2475" s="5" t="s">
        <v>240</v>
      </c>
      <c r="DR2475" s="5" t="s">
        <v>240</v>
      </c>
      <c r="DS2475" s="5" t="s">
        <v>240</v>
      </c>
      <c r="DV2475" s="5" t="s">
        <v>310</v>
      </c>
      <c r="DW2475" s="5" t="s">
        <v>3001</v>
      </c>
      <c r="HO2475" s="5" t="s">
        <v>312</v>
      </c>
    </row>
    <row r="2476" spans="1:223" x14ac:dyDescent="0.4">
      <c r="A2476" s="5">
        <v>4180</v>
      </c>
      <c r="B2476" s="5">
        <v>1</v>
      </c>
      <c r="C2476" s="5">
        <v>1</v>
      </c>
      <c r="D2476" s="5" t="s">
        <v>810</v>
      </c>
      <c r="E2476" s="5" t="s">
        <v>245</v>
      </c>
      <c r="F2476" s="5" t="s">
        <v>254</v>
      </c>
      <c r="G2476" s="5" t="s">
        <v>240</v>
      </c>
      <c r="H2476" s="6" t="s">
        <v>3593</v>
      </c>
      <c r="I2476" s="5" t="s">
        <v>809</v>
      </c>
      <c r="J2476" s="8">
        <f>185</f>
        <v>185</v>
      </c>
      <c r="K2476" s="5" t="s">
        <v>308</v>
      </c>
      <c r="L2476" s="7">
        <f>1</f>
        <v>1</v>
      </c>
      <c r="M2476" s="7">
        <f>1</f>
        <v>1</v>
      </c>
      <c r="N2476" s="5" t="s">
        <v>242</v>
      </c>
      <c r="O2476" s="5">
        <v>1</v>
      </c>
      <c r="P2476" s="5" t="s">
        <v>294</v>
      </c>
      <c r="Q2476" s="5" t="s">
        <v>266</v>
      </c>
      <c r="R2476" s="5" t="s">
        <v>240</v>
      </c>
      <c r="S2476" s="5" t="s">
        <v>240</v>
      </c>
      <c r="T2476" s="5" t="s">
        <v>296</v>
      </c>
      <c r="U2476" s="5" t="s">
        <v>244</v>
      </c>
      <c r="V2476" s="5" t="s">
        <v>240</v>
      </c>
      <c r="Y2476" s="5" t="s">
        <v>240</v>
      </c>
      <c r="Z2476" s="6" t="s">
        <v>298</v>
      </c>
      <c r="AB2476" s="6" t="s">
        <v>240</v>
      </c>
      <c r="AE2476" s="6" t="s">
        <v>299</v>
      </c>
      <c r="AF2476" s="5" t="s">
        <v>248</v>
      </c>
      <c r="AG2476" s="5" t="s">
        <v>249</v>
      </c>
      <c r="AW2476" s="5" t="s">
        <v>251</v>
      </c>
      <c r="AX2476" s="5" t="s">
        <v>240</v>
      </c>
      <c r="AY2476" s="5" t="s">
        <v>253</v>
      </c>
      <c r="AZ2476" s="5" t="s">
        <v>240</v>
      </c>
      <c r="BA2476" s="5" t="s">
        <v>255</v>
      </c>
      <c r="BB2476" s="5" t="s">
        <v>240</v>
      </c>
      <c r="BD2476" s="5" t="s">
        <v>240</v>
      </c>
      <c r="BF2476" s="5" t="s">
        <v>301</v>
      </c>
      <c r="BG2476" s="6" t="s">
        <v>299</v>
      </c>
      <c r="BH2476" s="5" t="s">
        <v>302</v>
      </c>
      <c r="BI2476" s="5" t="s">
        <v>303</v>
      </c>
      <c r="BJ2476" s="5" t="s">
        <v>240</v>
      </c>
      <c r="BK2476" s="8">
        <f>0</f>
        <v>0</v>
      </c>
      <c r="BL2476" s="7">
        <f>0</f>
        <v>0</v>
      </c>
      <c r="BM2476" s="5" t="s">
        <v>258</v>
      </c>
      <c r="BN2476" s="5" t="s">
        <v>259</v>
      </c>
      <c r="CB2476" s="5" t="s">
        <v>240</v>
      </c>
      <c r="CC2476" s="5" t="s">
        <v>240</v>
      </c>
      <c r="CG2476" s="5" t="s">
        <v>304</v>
      </c>
      <c r="CH2476" s="5" t="s">
        <v>305</v>
      </c>
      <c r="CI2476" s="5" t="s">
        <v>240</v>
      </c>
      <c r="CL2476" s="6" t="s">
        <v>261</v>
      </c>
      <c r="CM2476" s="5" t="s">
        <v>240</v>
      </c>
      <c r="CN2476" s="5" t="s">
        <v>263</v>
      </c>
      <c r="CO2476" s="5" t="s">
        <v>240</v>
      </c>
      <c r="CP2476" s="5" t="s">
        <v>240</v>
      </c>
      <c r="CQ2476" s="5">
        <v>0</v>
      </c>
      <c r="CR2476" s="5" t="s">
        <v>306</v>
      </c>
      <c r="CS2476" s="5" t="s">
        <v>307</v>
      </c>
      <c r="CT2476" s="5" t="s">
        <v>307</v>
      </c>
      <c r="CU2476" s="5" t="s">
        <v>260</v>
      </c>
      <c r="CX2476" s="7">
        <f>1</f>
        <v>1</v>
      </c>
      <c r="CY2476" s="7">
        <f>0</f>
        <v>0</v>
      </c>
      <c r="DA2476" s="7">
        <f>0</f>
        <v>0</v>
      </c>
      <c r="DC2476" s="5" t="s">
        <v>309</v>
      </c>
      <c r="DD2476" s="5" t="s">
        <v>240</v>
      </c>
      <c r="DF2476" s="5" t="s">
        <v>309</v>
      </c>
      <c r="DG2476" s="7">
        <f>100</f>
        <v>100</v>
      </c>
      <c r="DI2476" s="5" t="s">
        <v>240</v>
      </c>
      <c r="DJ2476" s="5" t="s">
        <v>240</v>
      </c>
      <c r="DK2476" s="5" t="s">
        <v>240</v>
      </c>
      <c r="DL2476" s="5" t="s">
        <v>240</v>
      </c>
      <c r="DP2476" s="5" t="s">
        <v>240</v>
      </c>
      <c r="DQ2476" s="5" t="s">
        <v>240</v>
      </c>
      <c r="DR2476" s="5" t="s">
        <v>240</v>
      </c>
      <c r="DS2476" s="5" t="s">
        <v>240</v>
      </c>
      <c r="DV2476" s="5" t="s">
        <v>310</v>
      </c>
      <c r="DW2476" s="5" t="s">
        <v>3003</v>
      </c>
      <c r="HO2476" s="5" t="s">
        <v>312</v>
      </c>
    </row>
    <row r="2477" spans="1:223" x14ac:dyDescent="0.4">
      <c r="A2477" s="5">
        <v>4181</v>
      </c>
      <c r="B2477" s="5">
        <v>1</v>
      </c>
      <c r="C2477" s="5">
        <v>1</v>
      </c>
      <c r="D2477" s="5" t="s">
        <v>810</v>
      </c>
      <c r="E2477" s="5" t="s">
        <v>245</v>
      </c>
      <c r="F2477" s="5" t="s">
        <v>254</v>
      </c>
      <c r="G2477" s="5" t="s">
        <v>240</v>
      </c>
      <c r="H2477" s="6" t="s">
        <v>3591</v>
      </c>
      <c r="I2477" s="5" t="s">
        <v>809</v>
      </c>
      <c r="J2477" s="8">
        <f>261</f>
        <v>261</v>
      </c>
      <c r="K2477" s="5" t="s">
        <v>308</v>
      </c>
      <c r="L2477" s="7">
        <f>1</f>
        <v>1</v>
      </c>
      <c r="M2477" s="7">
        <f>1</f>
        <v>1</v>
      </c>
      <c r="N2477" s="5" t="s">
        <v>242</v>
      </c>
      <c r="O2477" s="5">
        <v>1</v>
      </c>
      <c r="P2477" s="5" t="s">
        <v>294</v>
      </c>
      <c r="Q2477" s="5" t="s">
        <v>266</v>
      </c>
      <c r="R2477" s="5" t="s">
        <v>240</v>
      </c>
      <c r="S2477" s="5" t="s">
        <v>240</v>
      </c>
      <c r="T2477" s="5" t="s">
        <v>296</v>
      </c>
      <c r="U2477" s="5" t="s">
        <v>244</v>
      </c>
      <c r="V2477" s="5" t="s">
        <v>240</v>
      </c>
      <c r="Y2477" s="5" t="s">
        <v>240</v>
      </c>
      <c r="Z2477" s="6" t="s">
        <v>298</v>
      </c>
      <c r="AB2477" s="6" t="s">
        <v>240</v>
      </c>
      <c r="AE2477" s="6" t="s">
        <v>299</v>
      </c>
      <c r="AF2477" s="5" t="s">
        <v>248</v>
      </c>
      <c r="AG2477" s="5" t="s">
        <v>249</v>
      </c>
      <c r="AW2477" s="5" t="s">
        <v>251</v>
      </c>
      <c r="AX2477" s="5" t="s">
        <v>240</v>
      </c>
      <c r="AY2477" s="5" t="s">
        <v>253</v>
      </c>
      <c r="AZ2477" s="5" t="s">
        <v>240</v>
      </c>
      <c r="BA2477" s="5" t="s">
        <v>255</v>
      </c>
      <c r="BB2477" s="5" t="s">
        <v>240</v>
      </c>
      <c r="BD2477" s="5" t="s">
        <v>240</v>
      </c>
      <c r="BF2477" s="5" t="s">
        <v>301</v>
      </c>
      <c r="BG2477" s="6" t="s">
        <v>299</v>
      </c>
      <c r="BH2477" s="5" t="s">
        <v>302</v>
      </c>
      <c r="BI2477" s="5" t="s">
        <v>303</v>
      </c>
      <c r="BJ2477" s="5" t="s">
        <v>240</v>
      </c>
      <c r="BK2477" s="8">
        <f>0</f>
        <v>0</v>
      </c>
      <c r="BL2477" s="7">
        <f>0</f>
        <v>0</v>
      </c>
      <c r="BM2477" s="5" t="s">
        <v>258</v>
      </c>
      <c r="BN2477" s="5" t="s">
        <v>259</v>
      </c>
      <c r="CB2477" s="5" t="s">
        <v>240</v>
      </c>
      <c r="CC2477" s="5" t="s">
        <v>240</v>
      </c>
      <c r="CG2477" s="5" t="s">
        <v>304</v>
      </c>
      <c r="CH2477" s="5" t="s">
        <v>305</v>
      </c>
      <c r="CI2477" s="5" t="s">
        <v>240</v>
      </c>
      <c r="CL2477" s="6" t="s">
        <v>261</v>
      </c>
      <c r="CM2477" s="5" t="s">
        <v>240</v>
      </c>
      <c r="CN2477" s="5" t="s">
        <v>263</v>
      </c>
      <c r="CO2477" s="5" t="s">
        <v>240</v>
      </c>
      <c r="CP2477" s="5" t="s">
        <v>240</v>
      </c>
      <c r="CQ2477" s="5">
        <v>0</v>
      </c>
      <c r="CR2477" s="5" t="s">
        <v>306</v>
      </c>
      <c r="CS2477" s="5" t="s">
        <v>307</v>
      </c>
      <c r="CT2477" s="5" t="s">
        <v>307</v>
      </c>
      <c r="CU2477" s="5" t="s">
        <v>260</v>
      </c>
      <c r="CX2477" s="7">
        <f>1</f>
        <v>1</v>
      </c>
      <c r="CY2477" s="7">
        <f>0</f>
        <v>0</v>
      </c>
      <c r="DA2477" s="7">
        <f>0</f>
        <v>0</v>
      </c>
      <c r="DC2477" s="5" t="s">
        <v>309</v>
      </c>
      <c r="DD2477" s="5" t="s">
        <v>240</v>
      </c>
      <c r="DF2477" s="5" t="s">
        <v>309</v>
      </c>
      <c r="DG2477" s="7">
        <f>271</f>
        <v>271</v>
      </c>
      <c r="DI2477" s="5" t="s">
        <v>240</v>
      </c>
      <c r="DJ2477" s="5" t="s">
        <v>240</v>
      </c>
      <c r="DK2477" s="5" t="s">
        <v>240</v>
      </c>
      <c r="DL2477" s="5" t="s">
        <v>240</v>
      </c>
      <c r="DP2477" s="5" t="s">
        <v>240</v>
      </c>
      <c r="DQ2477" s="5" t="s">
        <v>240</v>
      </c>
      <c r="DR2477" s="5" t="s">
        <v>240</v>
      </c>
      <c r="DS2477" s="5" t="s">
        <v>240</v>
      </c>
      <c r="DV2477" s="5" t="s">
        <v>310</v>
      </c>
      <c r="DW2477" s="5" t="s">
        <v>3005</v>
      </c>
      <c r="HO2477" s="5" t="s">
        <v>312</v>
      </c>
    </row>
    <row r="2478" spans="1:223" x14ac:dyDescent="0.4">
      <c r="A2478" s="5">
        <v>4182</v>
      </c>
      <c r="B2478" s="5">
        <v>1</v>
      </c>
      <c r="C2478" s="5">
        <v>1</v>
      </c>
      <c r="D2478" s="5" t="s">
        <v>810</v>
      </c>
      <c r="E2478" s="5" t="s">
        <v>245</v>
      </c>
      <c r="F2478" s="5" t="s">
        <v>254</v>
      </c>
      <c r="G2478" s="5" t="s">
        <v>240</v>
      </c>
      <c r="H2478" s="6" t="s">
        <v>3589</v>
      </c>
      <c r="I2478" s="5" t="s">
        <v>809</v>
      </c>
      <c r="J2478" s="8">
        <f>2476</f>
        <v>2476</v>
      </c>
      <c r="K2478" s="5" t="s">
        <v>308</v>
      </c>
      <c r="L2478" s="7">
        <f>1</f>
        <v>1</v>
      </c>
      <c r="M2478" s="7">
        <f>1</f>
        <v>1</v>
      </c>
      <c r="N2478" s="5" t="s">
        <v>242</v>
      </c>
      <c r="O2478" s="5">
        <v>1</v>
      </c>
      <c r="P2478" s="5" t="s">
        <v>294</v>
      </c>
      <c r="Q2478" s="5" t="s">
        <v>266</v>
      </c>
      <c r="R2478" s="5" t="s">
        <v>240</v>
      </c>
      <c r="S2478" s="5" t="s">
        <v>240</v>
      </c>
      <c r="T2478" s="5" t="s">
        <v>296</v>
      </c>
      <c r="U2478" s="5" t="s">
        <v>244</v>
      </c>
      <c r="V2478" s="5" t="s">
        <v>240</v>
      </c>
      <c r="Y2478" s="5" t="s">
        <v>240</v>
      </c>
      <c r="Z2478" s="6" t="s">
        <v>298</v>
      </c>
      <c r="AB2478" s="6" t="s">
        <v>240</v>
      </c>
      <c r="AE2478" s="6" t="s">
        <v>299</v>
      </c>
      <c r="AF2478" s="5" t="s">
        <v>248</v>
      </c>
      <c r="AG2478" s="5" t="s">
        <v>249</v>
      </c>
      <c r="AW2478" s="5" t="s">
        <v>251</v>
      </c>
      <c r="AX2478" s="5" t="s">
        <v>240</v>
      </c>
      <c r="AY2478" s="5" t="s">
        <v>253</v>
      </c>
      <c r="AZ2478" s="5" t="s">
        <v>240</v>
      </c>
      <c r="BA2478" s="5" t="s">
        <v>255</v>
      </c>
      <c r="BB2478" s="5" t="s">
        <v>240</v>
      </c>
      <c r="BD2478" s="5" t="s">
        <v>240</v>
      </c>
      <c r="BF2478" s="5" t="s">
        <v>301</v>
      </c>
      <c r="BG2478" s="6" t="s">
        <v>299</v>
      </c>
      <c r="BH2478" s="5" t="s">
        <v>302</v>
      </c>
      <c r="BI2478" s="5" t="s">
        <v>303</v>
      </c>
      <c r="BJ2478" s="5" t="s">
        <v>240</v>
      </c>
      <c r="BK2478" s="8">
        <f>0</f>
        <v>0</v>
      </c>
      <c r="BL2478" s="7">
        <f>0</f>
        <v>0</v>
      </c>
      <c r="BM2478" s="5" t="s">
        <v>258</v>
      </c>
      <c r="BN2478" s="5" t="s">
        <v>259</v>
      </c>
      <c r="CB2478" s="5" t="s">
        <v>240</v>
      </c>
      <c r="CC2478" s="5" t="s">
        <v>240</v>
      </c>
      <c r="CG2478" s="5" t="s">
        <v>304</v>
      </c>
      <c r="CH2478" s="5" t="s">
        <v>305</v>
      </c>
      <c r="CI2478" s="5" t="s">
        <v>240</v>
      </c>
      <c r="CL2478" s="6" t="s">
        <v>261</v>
      </c>
      <c r="CM2478" s="5" t="s">
        <v>240</v>
      </c>
      <c r="CN2478" s="5" t="s">
        <v>263</v>
      </c>
      <c r="CO2478" s="5" t="s">
        <v>240</v>
      </c>
      <c r="CP2478" s="5" t="s">
        <v>240</v>
      </c>
      <c r="CQ2478" s="5">
        <v>0</v>
      </c>
      <c r="CR2478" s="5" t="s">
        <v>306</v>
      </c>
      <c r="CS2478" s="5" t="s">
        <v>307</v>
      </c>
      <c r="CT2478" s="5" t="s">
        <v>307</v>
      </c>
      <c r="CU2478" s="5" t="s">
        <v>260</v>
      </c>
      <c r="CX2478" s="7">
        <f>1</f>
        <v>1</v>
      </c>
      <c r="CY2478" s="7">
        <f>0</f>
        <v>0</v>
      </c>
      <c r="DA2478" s="7">
        <f>0</f>
        <v>0</v>
      </c>
      <c r="DC2478" s="5" t="s">
        <v>309</v>
      </c>
      <c r="DD2478" s="5" t="s">
        <v>240</v>
      </c>
      <c r="DF2478" s="5" t="s">
        <v>309</v>
      </c>
      <c r="DG2478" s="7">
        <f>2056</f>
        <v>2056</v>
      </c>
      <c r="DI2478" s="5" t="s">
        <v>240</v>
      </c>
      <c r="DJ2478" s="5" t="s">
        <v>240</v>
      </c>
      <c r="DK2478" s="5" t="s">
        <v>240</v>
      </c>
      <c r="DL2478" s="5" t="s">
        <v>240</v>
      </c>
      <c r="DP2478" s="5" t="s">
        <v>240</v>
      </c>
      <c r="DQ2478" s="5" t="s">
        <v>240</v>
      </c>
      <c r="DR2478" s="5" t="s">
        <v>240</v>
      </c>
      <c r="DS2478" s="5" t="s">
        <v>240</v>
      </c>
      <c r="DV2478" s="5" t="s">
        <v>310</v>
      </c>
      <c r="DW2478" s="5" t="s">
        <v>1216</v>
      </c>
      <c r="HO2478" s="5" t="s">
        <v>312</v>
      </c>
    </row>
    <row r="2479" spans="1:223" x14ac:dyDescent="0.4">
      <c r="A2479" s="5">
        <v>4183</v>
      </c>
      <c r="B2479" s="5">
        <v>1</v>
      </c>
      <c r="C2479" s="5">
        <v>1</v>
      </c>
      <c r="D2479" s="5" t="s">
        <v>810</v>
      </c>
      <c r="E2479" s="5" t="s">
        <v>245</v>
      </c>
      <c r="F2479" s="5" t="s">
        <v>254</v>
      </c>
      <c r="G2479" s="5" t="s">
        <v>240</v>
      </c>
      <c r="H2479" s="6" t="s">
        <v>3587</v>
      </c>
      <c r="I2479" s="5" t="s">
        <v>809</v>
      </c>
      <c r="J2479" s="8">
        <f>53</f>
        <v>53</v>
      </c>
      <c r="K2479" s="5" t="s">
        <v>308</v>
      </c>
      <c r="L2479" s="7">
        <f>1</f>
        <v>1</v>
      </c>
      <c r="M2479" s="7">
        <f>1</f>
        <v>1</v>
      </c>
      <c r="N2479" s="5" t="s">
        <v>242</v>
      </c>
      <c r="O2479" s="5">
        <v>1</v>
      </c>
      <c r="P2479" s="5" t="s">
        <v>294</v>
      </c>
      <c r="Q2479" s="5" t="s">
        <v>266</v>
      </c>
      <c r="R2479" s="5" t="s">
        <v>240</v>
      </c>
      <c r="S2479" s="5" t="s">
        <v>240</v>
      </c>
      <c r="T2479" s="5" t="s">
        <v>296</v>
      </c>
      <c r="U2479" s="5" t="s">
        <v>244</v>
      </c>
      <c r="V2479" s="5" t="s">
        <v>240</v>
      </c>
      <c r="Y2479" s="5" t="s">
        <v>240</v>
      </c>
      <c r="Z2479" s="6" t="s">
        <v>298</v>
      </c>
      <c r="AB2479" s="6" t="s">
        <v>240</v>
      </c>
      <c r="AE2479" s="6" t="s">
        <v>299</v>
      </c>
      <c r="AF2479" s="5" t="s">
        <v>248</v>
      </c>
      <c r="AG2479" s="5" t="s">
        <v>249</v>
      </c>
      <c r="AW2479" s="5" t="s">
        <v>251</v>
      </c>
      <c r="AX2479" s="5" t="s">
        <v>240</v>
      </c>
      <c r="AY2479" s="5" t="s">
        <v>253</v>
      </c>
      <c r="AZ2479" s="5" t="s">
        <v>240</v>
      </c>
      <c r="BA2479" s="5" t="s">
        <v>255</v>
      </c>
      <c r="BB2479" s="5" t="s">
        <v>240</v>
      </c>
      <c r="BD2479" s="5" t="s">
        <v>240</v>
      </c>
      <c r="BF2479" s="5" t="s">
        <v>301</v>
      </c>
      <c r="BG2479" s="6" t="s">
        <v>299</v>
      </c>
      <c r="BH2479" s="5" t="s">
        <v>302</v>
      </c>
      <c r="BI2479" s="5" t="s">
        <v>303</v>
      </c>
      <c r="BJ2479" s="5" t="s">
        <v>240</v>
      </c>
      <c r="BK2479" s="8">
        <f>0</f>
        <v>0</v>
      </c>
      <c r="BL2479" s="7">
        <f>0</f>
        <v>0</v>
      </c>
      <c r="BM2479" s="5" t="s">
        <v>258</v>
      </c>
      <c r="BN2479" s="5" t="s">
        <v>259</v>
      </c>
      <c r="CB2479" s="5" t="s">
        <v>240</v>
      </c>
      <c r="CC2479" s="5" t="s">
        <v>240</v>
      </c>
      <c r="CG2479" s="5" t="s">
        <v>304</v>
      </c>
      <c r="CH2479" s="5" t="s">
        <v>305</v>
      </c>
      <c r="CI2479" s="5" t="s">
        <v>240</v>
      </c>
      <c r="CL2479" s="6" t="s">
        <v>261</v>
      </c>
      <c r="CM2479" s="5" t="s">
        <v>240</v>
      </c>
      <c r="CN2479" s="5" t="s">
        <v>263</v>
      </c>
      <c r="CO2479" s="5" t="s">
        <v>240</v>
      </c>
      <c r="CP2479" s="5" t="s">
        <v>240</v>
      </c>
      <c r="CQ2479" s="5">
        <v>0</v>
      </c>
      <c r="CR2479" s="5" t="s">
        <v>306</v>
      </c>
      <c r="CS2479" s="5" t="s">
        <v>307</v>
      </c>
      <c r="CT2479" s="5" t="s">
        <v>307</v>
      </c>
      <c r="CU2479" s="5" t="s">
        <v>260</v>
      </c>
      <c r="CX2479" s="7">
        <f>1</f>
        <v>1</v>
      </c>
      <c r="CY2479" s="7">
        <f>0</f>
        <v>0</v>
      </c>
      <c r="DA2479" s="7">
        <f>0</f>
        <v>0</v>
      </c>
      <c r="DC2479" s="5" t="s">
        <v>309</v>
      </c>
      <c r="DD2479" s="5" t="s">
        <v>240</v>
      </c>
      <c r="DF2479" s="5" t="s">
        <v>309</v>
      </c>
      <c r="DG2479" s="7">
        <f>40</f>
        <v>40</v>
      </c>
      <c r="DI2479" s="5" t="s">
        <v>240</v>
      </c>
      <c r="DJ2479" s="5" t="s">
        <v>240</v>
      </c>
      <c r="DK2479" s="5" t="s">
        <v>240</v>
      </c>
      <c r="DL2479" s="5" t="s">
        <v>240</v>
      </c>
      <c r="DP2479" s="5" t="s">
        <v>240</v>
      </c>
      <c r="DQ2479" s="5" t="s">
        <v>240</v>
      </c>
      <c r="DR2479" s="5" t="s">
        <v>240</v>
      </c>
      <c r="DS2479" s="5" t="s">
        <v>240</v>
      </c>
      <c r="DV2479" s="5" t="s">
        <v>310</v>
      </c>
      <c r="DW2479" s="5" t="s">
        <v>3009</v>
      </c>
      <c r="HO2479" s="5" t="s">
        <v>312</v>
      </c>
    </row>
    <row r="2480" spans="1:223" x14ac:dyDescent="0.4">
      <c r="A2480" s="5">
        <v>4184</v>
      </c>
      <c r="B2480" s="5">
        <v>1</v>
      </c>
      <c r="C2480" s="5">
        <v>1</v>
      </c>
      <c r="D2480" s="5" t="s">
        <v>810</v>
      </c>
      <c r="E2480" s="5" t="s">
        <v>245</v>
      </c>
      <c r="F2480" s="5" t="s">
        <v>254</v>
      </c>
      <c r="G2480" s="5" t="s">
        <v>240</v>
      </c>
      <c r="H2480" s="6" t="s">
        <v>3585</v>
      </c>
      <c r="I2480" s="5" t="s">
        <v>809</v>
      </c>
      <c r="J2480" s="8">
        <f>158</f>
        <v>158</v>
      </c>
      <c r="K2480" s="5" t="s">
        <v>308</v>
      </c>
      <c r="L2480" s="7">
        <f>1</f>
        <v>1</v>
      </c>
      <c r="M2480" s="7">
        <f>1</f>
        <v>1</v>
      </c>
      <c r="N2480" s="5" t="s">
        <v>242</v>
      </c>
      <c r="O2480" s="5">
        <v>1</v>
      </c>
      <c r="P2480" s="5" t="s">
        <v>294</v>
      </c>
      <c r="Q2480" s="5" t="s">
        <v>266</v>
      </c>
      <c r="R2480" s="5" t="s">
        <v>240</v>
      </c>
      <c r="S2480" s="5" t="s">
        <v>240</v>
      </c>
      <c r="T2480" s="5" t="s">
        <v>296</v>
      </c>
      <c r="U2480" s="5" t="s">
        <v>244</v>
      </c>
      <c r="V2480" s="5" t="s">
        <v>240</v>
      </c>
      <c r="Y2480" s="5" t="s">
        <v>240</v>
      </c>
      <c r="Z2480" s="6" t="s">
        <v>298</v>
      </c>
      <c r="AB2480" s="6" t="s">
        <v>240</v>
      </c>
      <c r="AE2480" s="6" t="s">
        <v>299</v>
      </c>
      <c r="AF2480" s="5" t="s">
        <v>248</v>
      </c>
      <c r="AG2480" s="5" t="s">
        <v>249</v>
      </c>
      <c r="AW2480" s="5" t="s">
        <v>251</v>
      </c>
      <c r="AX2480" s="5" t="s">
        <v>240</v>
      </c>
      <c r="AY2480" s="5" t="s">
        <v>253</v>
      </c>
      <c r="AZ2480" s="5" t="s">
        <v>240</v>
      </c>
      <c r="BA2480" s="5" t="s">
        <v>255</v>
      </c>
      <c r="BB2480" s="5" t="s">
        <v>240</v>
      </c>
      <c r="BD2480" s="5" t="s">
        <v>240</v>
      </c>
      <c r="BF2480" s="5" t="s">
        <v>301</v>
      </c>
      <c r="BG2480" s="6" t="s">
        <v>299</v>
      </c>
      <c r="BH2480" s="5" t="s">
        <v>302</v>
      </c>
      <c r="BI2480" s="5" t="s">
        <v>303</v>
      </c>
      <c r="BJ2480" s="5" t="s">
        <v>240</v>
      </c>
      <c r="BK2480" s="8">
        <f>0</f>
        <v>0</v>
      </c>
      <c r="BL2480" s="7">
        <f>0</f>
        <v>0</v>
      </c>
      <c r="BM2480" s="5" t="s">
        <v>258</v>
      </c>
      <c r="BN2480" s="5" t="s">
        <v>259</v>
      </c>
      <c r="CB2480" s="5" t="s">
        <v>240</v>
      </c>
      <c r="CC2480" s="5" t="s">
        <v>240</v>
      </c>
      <c r="CG2480" s="5" t="s">
        <v>304</v>
      </c>
      <c r="CH2480" s="5" t="s">
        <v>305</v>
      </c>
      <c r="CI2480" s="5" t="s">
        <v>240</v>
      </c>
      <c r="CL2480" s="6" t="s">
        <v>261</v>
      </c>
      <c r="CM2480" s="5" t="s">
        <v>240</v>
      </c>
      <c r="CN2480" s="5" t="s">
        <v>263</v>
      </c>
      <c r="CO2480" s="5" t="s">
        <v>240</v>
      </c>
      <c r="CP2480" s="5" t="s">
        <v>240</v>
      </c>
      <c r="CQ2480" s="5">
        <v>0</v>
      </c>
      <c r="CR2480" s="5" t="s">
        <v>306</v>
      </c>
      <c r="CS2480" s="5" t="s">
        <v>307</v>
      </c>
      <c r="CT2480" s="5" t="s">
        <v>307</v>
      </c>
      <c r="CU2480" s="5" t="s">
        <v>260</v>
      </c>
      <c r="CX2480" s="7">
        <f>1</f>
        <v>1</v>
      </c>
      <c r="CY2480" s="7">
        <f>0</f>
        <v>0</v>
      </c>
      <c r="DA2480" s="7">
        <f>0</f>
        <v>0</v>
      </c>
      <c r="DC2480" s="5" t="s">
        <v>309</v>
      </c>
      <c r="DD2480" s="5" t="s">
        <v>240</v>
      </c>
      <c r="DF2480" s="5" t="s">
        <v>309</v>
      </c>
      <c r="DG2480" s="7">
        <f>1586</f>
        <v>1586</v>
      </c>
      <c r="DI2480" s="5" t="s">
        <v>240</v>
      </c>
      <c r="DJ2480" s="5" t="s">
        <v>240</v>
      </c>
      <c r="DK2480" s="5" t="s">
        <v>240</v>
      </c>
      <c r="DL2480" s="5" t="s">
        <v>240</v>
      </c>
      <c r="DP2480" s="5" t="s">
        <v>240</v>
      </c>
      <c r="DQ2480" s="5" t="s">
        <v>240</v>
      </c>
      <c r="DR2480" s="5" t="s">
        <v>240</v>
      </c>
      <c r="DS2480" s="5" t="s">
        <v>240</v>
      </c>
      <c r="DV2480" s="5" t="s">
        <v>310</v>
      </c>
      <c r="DW2480" s="5" t="s">
        <v>3011</v>
      </c>
      <c r="HO2480" s="5" t="s">
        <v>312</v>
      </c>
    </row>
    <row r="2481" spans="1:223" x14ac:dyDescent="0.4">
      <c r="A2481" s="5">
        <v>4185</v>
      </c>
      <c r="B2481" s="5">
        <v>1</v>
      </c>
      <c r="C2481" s="5">
        <v>1</v>
      </c>
      <c r="D2481" s="5" t="s">
        <v>810</v>
      </c>
      <c r="E2481" s="5" t="s">
        <v>245</v>
      </c>
      <c r="F2481" s="5" t="s">
        <v>254</v>
      </c>
      <c r="G2481" s="5" t="s">
        <v>240</v>
      </c>
      <c r="H2481" s="6" t="s">
        <v>3583</v>
      </c>
      <c r="I2481" s="5" t="s">
        <v>809</v>
      </c>
      <c r="J2481" s="8">
        <f>314</f>
        <v>314</v>
      </c>
      <c r="K2481" s="5" t="s">
        <v>308</v>
      </c>
      <c r="L2481" s="7">
        <f>1</f>
        <v>1</v>
      </c>
      <c r="M2481" s="7">
        <f>1</f>
        <v>1</v>
      </c>
      <c r="N2481" s="5" t="s">
        <v>242</v>
      </c>
      <c r="O2481" s="5">
        <v>1</v>
      </c>
      <c r="P2481" s="5" t="s">
        <v>294</v>
      </c>
      <c r="Q2481" s="5" t="s">
        <v>266</v>
      </c>
      <c r="R2481" s="5" t="s">
        <v>240</v>
      </c>
      <c r="S2481" s="5" t="s">
        <v>240</v>
      </c>
      <c r="T2481" s="5" t="s">
        <v>296</v>
      </c>
      <c r="U2481" s="5" t="s">
        <v>244</v>
      </c>
      <c r="V2481" s="5" t="s">
        <v>240</v>
      </c>
      <c r="Y2481" s="5" t="s">
        <v>240</v>
      </c>
      <c r="Z2481" s="6" t="s">
        <v>298</v>
      </c>
      <c r="AB2481" s="6" t="s">
        <v>240</v>
      </c>
      <c r="AE2481" s="6" t="s">
        <v>299</v>
      </c>
      <c r="AF2481" s="5" t="s">
        <v>248</v>
      </c>
      <c r="AG2481" s="5" t="s">
        <v>249</v>
      </c>
      <c r="AW2481" s="5" t="s">
        <v>251</v>
      </c>
      <c r="AX2481" s="5" t="s">
        <v>240</v>
      </c>
      <c r="AY2481" s="5" t="s">
        <v>253</v>
      </c>
      <c r="AZ2481" s="5" t="s">
        <v>240</v>
      </c>
      <c r="BA2481" s="5" t="s">
        <v>255</v>
      </c>
      <c r="BB2481" s="5" t="s">
        <v>240</v>
      </c>
      <c r="BD2481" s="5" t="s">
        <v>240</v>
      </c>
      <c r="BF2481" s="5" t="s">
        <v>301</v>
      </c>
      <c r="BG2481" s="6" t="s">
        <v>299</v>
      </c>
      <c r="BH2481" s="5" t="s">
        <v>302</v>
      </c>
      <c r="BI2481" s="5" t="s">
        <v>303</v>
      </c>
      <c r="BJ2481" s="5" t="s">
        <v>240</v>
      </c>
      <c r="BK2481" s="8">
        <f>0</f>
        <v>0</v>
      </c>
      <c r="BL2481" s="7">
        <f>0</f>
        <v>0</v>
      </c>
      <c r="BM2481" s="5" t="s">
        <v>258</v>
      </c>
      <c r="BN2481" s="5" t="s">
        <v>259</v>
      </c>
      <c r="CB2481" s="5" t="s">
        <v>240</v>
      </c>
      <c r="CC2481" s="5" t="s">
        <v>240</v>
      </c>
      <c r="CG2481" s="5" t="s">
        <v>304</v>
      </c>
      <c r="CH2481" s="5" t="s">
        <v>305</v>
      </c>
      <c r="CI2481" s="5" t="s">
        <v>240</v>
      </c>
      <c r="CL2481" s="6" t="s">
        <v>261</v>
      </c>
      <c r="CM2481" s="5" t="s">
        <v>240</v>
      </c>
      <c r="CN2481" s="5" t="s">
        <v>263</v>
      </c>
      <c r="CO2481" s="5" t="s">
        <v>240</v>
      </c>
      <c r="CP2481" s="5" t="s">
        <v>240</v>
      </c>
      <c r="CQ2481" s="5">
        <v>0</v>
      </c>
      <c r="CR2481" s="5" t="s">
        <v>306</v>
      </c>
      <c r="CS2481" s="5" t="s">
        <v>307</v>
      </c>
      <c r="CT2481" s="5" t="s">
        <v>307</v>
      </c>
      <c r="CU2481" s="5" t="s">
        <v>260</v>
      </c>
      <c r="CX2481" s="7">
        <f>1</f>
        <v>1</v>
      </c>
      <c r="CY2481" s="7">
        <f>0</f>
        <v>0</v>
      </c>
      <c r="DA2481" s="7">
        <f>0</f>
        <v>0</v>
      </c>
      <c r="DC2481" s="5" t="s">
        <v>309</v>
      </c>
      <c r="DD2481" s="5" t="s">
        <v>240</v>
      </c>
      <c r="DF2481" s="5" t="s">
        <v>309</v>
      </c>
      <c r="DG2481" s="7">
        <f>378</f>
        <v>378</v>
      </c>
      <c r="DI2481" s="5" t="s">
        <v>240</v>
      </c>
      <c r="DJ2481" s="5" t="s">
        <v>240</v>
      </c>
      <c r="DK2481" s="5" t="s">
        <v>240</v>
      </c>
      <c r="DL2481" s="5" t="s">
        <v>240</v>
      </c>
      <c r="DP2481" s="5" t="s">
        <v>240</v>
      </c>
      <c r="DQ2481" s="5" t="s">
        <v>240</v>
      </c>
      <c r="DR2481" s="5" t="s">
        <v>240</v>
      </c>
      <c r="DS2481" s="5" t="s">
        <v>240</v>
      </c>
      <c r="DV2481" s="5" t="s">
        <v>310</v>
      </c>
      <c r="DW2481" s="5" t="s">
        <v>3013</v>
      </c>
      <c r="HO2481" s="5" t="s">
        <v>312</v>
      </c>
    </row>
    <row r="2482" spans="1:223" x14ac:dyDescent="0.4">
      <c r="A2482" s="5">
        <v>4186</v>
      </c>
      <c r="B2482" s="5">
        <v>1</v>
      </c>
      <c r="C2482" s="5">
        <v>1</v>
      </c>
      <c r="D2482" s="5" t="s">
        <v>810</v>
      </c>
      <c r="E2482" s="5" t="s">
        <v>245</v>
      </c>
      <c r="F2482" s="5" t="s">
        <v>254</v>
      </c>
      <c r="G2482" s="5" t="s">
        <v>240</v>
      </c>
      <c r="H2482" s="6" t="s">
        <v>3581</v>
      </c>
      <c r="I2482" s="5" t="s">
        <v>809</v>
      </c>
      <c r="J2482" s="8">
        <f>26</f>
        <v>26</v>
      </c>
      <c r="K2482" s="5" t="s">
        <v>308</v>
      </c>
      <c r="L2482" s="7">
        <f>1</f>
        <v>1</v>
      </c>
      <c r="M2482" s="7">
        <f>1</f>
        <v>1</v>
      </c>
      <c r="N2482" s="5" t="s">
        <v>242</v>
      </c>
      <c r="O2482" s="5">
        <v>1</v>
      </c>
      <c r="P2482" s="5" t="s">
        <v>294</v>
      </c>
      <c r="Q2482" s="5" t="s">
        <v>266</v>
      </c>
      <c r="R2482" s="5" t="s">
        <v>240</v>
      </c>
      <c r="S2482" s="5" t="s">
        <v>240</v>
      </c>
      <c r="T2482" s="5" t="s">
        <v>296</v>
      </c>
      <c r="U2482" s="5" t="s">
        <v>244</v>
      </c>
      <c r="V2482" s="5" t="s">
        <v>240</v>
      </c>
      <c r="Y2482" s="5" t="s">
        <v>240</v>
      </c>
      <c r="Z2482" s="6" t="s">
        <v>298</v>
      </c>
      <c r="AB2482" s="6" t="s">
        <v>240</v>
      </c>
      <c r="AE2482" s="6" t="s">
        <v>299</v>
      </c>
      <c r="AF2482" s="5" t="s">
        <v>248</v>
      </c>
      <c r="AG2482" s="5" t="s">
        <v>249</v>
      </c>
      <c r="AW2482" s="5" t="s">
        <v>251</v>
      </c>
      <c r="AX2482" s="5" t="s">
        <v>240</v>
      </c>
      <c r="AY2482" s="5" t="s">
        <v>253</v>
      </c>
      <c r="AZ2482" s="5" t="s">
        <v>240</v>
      </c>
      <c r="BA2482" s="5" t="s">
        <v>255</v>
      </c>
      <c r="BB2482" s="5" t="s">
        <v>240</v>
      </c>
      <c r="BD2482" s="5" t="s">
        <v>240</v>
      </c>
      <c r="BF2482" s="5" t="s">
        <v>301</v>
      </c>
      <c r="BG2482" s="6" t="s">
        <v>299</v>
      </c>
      <c r="BH2482" s="5" t="s">
        <v>302</v>
      </c>
      <c r="BI2482" s="5" t="s">
        <v>303</v>
      </c>
      <c r="BJ2482" s="5" t="s">
        <v>240</v>
      </c>
      <c r="BK2482" s="8">
        <f>0</f>
        <v>0</v>
      </c>
      <c r="BL2482" s="7">
        <f>0</f>
        <v>0</v>
      </c>
      <c r="BM2482" s="5" t="s">
        <v>258</v>
      </c>
      <c r="BN2482" s="5" t="s">
        <v>259</v>
      </c>
      <c r="CB2482" s="5" t="s">
        <v>240</v>
      </c>
      <c r="CC2482" s="5" t="s">
        <v>240</v>
      </c>
      <c r="CG2482" s="5" t="s">
        <v>304</v>
      </c>
      <c r="CH2482" s="5" t="s">
        <v>305</v>
      </c>
      <c r="CI2482" s="5" t="s">
        <v>240</v>
      </c>
      <c r="CL2482" s="6" t="s">
        <v>261</v>
      </c>
      <c r="CM2482" s="5" t="s">
        <v>240</v>
      </c>
      <c r="CN2482" s="5" t="s">
        <v>263</v>
      </c>
      <c r="CO2482" s="5" t="s">
        <v>240</v>
      </c>
      <c r="CP2482" s="5" t="s">
        <v>240</v>
      </c>
      <c r="CQ2482" s="5">
        <v>0</v>
      </c>
      <c r="CR2482" s="5" t="s">
        <v>306</v>
      </c>
      <c r="CS2482" s="5" t="s">
        <v>307</v>
      </c>
      <c r="CT2482" s="5" t="s">
        <v>307</v>
      </c>
      <c r="CU2482" s="5" t="s">
        <v>260</v>
      </c>
      <c r="CX2482" s="7">
        <f>1</f>
        <v>1</v>
      </c>
      <c r="CY2482" s="7">
        <f>0</f>
        <v>0</v>
      </c>
      <c r="DA2482" s="7">
        <f>0</f>
        <v>0</v>
      </c>
      <c r="DC2482" s="5" t="s">
        <v>309</v>
      </c>
      <c r="DD2482" s="5" t="s">
        <v>240</v>
      </c>
      <c r="DF2482" s="5" t="s">
        <v>309</v>
      </c>
      <c r="DG2482" s="7">
        <f>4603</f>
        <v>4603</v>
      </c>
      <c r="DI2482" s="5" t="s">
        <v>240</v>
      </c>
      <c r="DJ2482" s="5" t="s">
        <v>240</v>
      </c>
      <c r="DK2482" s="5" t="s">
        <v>240</v>
      </c>
      <c r="DL2482" s="5" t="s">
        <v>240</v>
      </c>
      <c r="DP2482" s="5" t="s">
        <v>240</v>
      </c>
      <c r="DQ2482" s="5" t="s">
        <v>240</v>
      </c>
      <c r="DR2482" s="5" t="s">
        <v>240</v>
      </c>
      <c r="DS2482" s="5" t="s">
        <v>240</v>
      </c>
      <c r="DV2482" s="5" t="s">
        <v>310</v>
      </c>
      <c r="DW2482" s="5" t="s">
        <v>3015</v>
      </c>
      <c r="HO2482" s="5" t="s">
        <v>312</v>
      </c>
    </row>
    <row r="2483" spans="1:223" x14ac:dyDescent="0.4">
      <c r="A2483" s="5">
        <v>4187</v>
      </c>
      <c r="B2483" s="5">
        <v>1</v>
      </c>
      <c r="C2483" s="5">
        <v>1</v>
      </c>
      <c r="D2483" s="5" t="s">
        <v>810</v>
      </c>
      <c r="E2483" s="5" t="s">
        <v>245</v>
      </c>
      <c r="F2483" s="5" t="s">
        <v>254</v>
      </c>
      <c r="G2483" s="5" t="s">
        <v>240</v>
      </c>
      <c r="H2483" s="6" t="s">
        <v>3579</v>
      </c>
      <c r="I2483" s="5" t="s">
        <v>809</v>
      </c>
      <c r="J2483" s="8">
        <f>2441</f>
        <v>2441</v>
      </c>
      <c r="K2483" s="5" t="s">
        <v>308</v>
      </c>
      <c r="L2483" s="7">
        <f>1</f>
        <v>1</v>
      </c>
      <c r="M2483" s="7">
        <f>1</f>
        <v>1</v>
      </c>
      <c r="N2483" s="5" t="s">
        <v>242</v>
      </c>
      <c r="O2483" s="5">
        <v>1</v>
      </c>
      <c r="P2483" s="5" t="s">
        <v>294</v>
      </c>
      <c r="Q2483" s="5" t="s">
        <v>266</v>
      </c>
      <c r="R2483" s="5" t="s">
        <v>240</v>
      </c>
      <c r="S2483" s="5" t="s">
        <v>240</v>
      </c>
      <c r="T2483" s="5" t="s">
        <v>296</v>
      </c>
      <c r="U2483" s="5" t="s">
        <v>244</v>
      </c>
      <c r="V2483" s="5" t="s">
        <v>240</v>
      </c>
      <c r="Y2483" s="5" t="s">
        <v>240</v>
      </c>
      <c r="Z2483" s="6" t="s">
        <v>298</v>
      </c>
      <c r="AB2483" s="6" t="s">
        <v>240</v>
      </c>
      <c r="AE2483" s="6" t="s">
        <v>299</v>
      </c>
      <c r="AF2483" s="5" t="s">
        <v>248</v>
      </c>
      <c r="AG2483" s="5" t="s">
        <v>249</v>
      </c>
      <c r="AW2483" s="5" t="s">
        <v>251</v>
      </c>
      <c r="AX2483" s="5" t="s">
        <v>240</v>
      </c>
      <c r="AY2483" s="5" t="s">
        <v>253</v>
      </c>
      <c r="AZ2483" s="5" t="s">
        <v>240</v>
      </c>
      <c r="BA2483" s="5" t="s">
        <v>255</v>
      </c>
      <c r="BB2483" s="5" t="s">
        <v>240</v>
      </c>
      <c r="BD2483" s="5" t="s">
        <v>240</v>
      </c>
      <c r="BF2483" s="5" t="s">
        <v>301</v>
      </c>
      <c r="BG2483" s="6" t="s">
        <v>299</v>
      </c>
      <c r="BH2483" s="5" t="s">
        <v>302</v>
      </c>
      <c r="BI2483" s="5" t="s">
        <v>303</v>
      </c>
      <c r="BJ2483" s="5" t="s">
        <v>240</v>
      </c>
      <c r="BK2483" s="8">
        <f>0</f>
        <v>0</v>
      </c>
      <c r="BL2483" s="7">
        <f>0</f>
        <v>0</v>
      </c>
      <c r="BM2483" s="5" t="s">
        <v>258</v>
      </c>
      <c r="BN2483" s="5" t="s">
        <v>259</v>
      </c>
      <c r="CB2483" s="5" t="s">
        <v>240</v>
      </c>
      <c r="CC2483" s="5" t="s">
        <v>240</v>
      </c>
      <c r="CG2483" s="5" t="s">
        <v>304</v>
      </c>
      <c r="CH2483" s="5" t="s">
        <v>305</v>
      </c>
      <c r="CI2483" s="5" t="s">
        <v>240</v>
      </c>
      <c r="CL2483" s="6" t="s">
        <v>261</v>
      </c>
      <c r="CM2483" s="5" t="s">
        <v>240</v>
      </c>
      <c r="CN2483" s="5" t="s">
        <v>263</v>
      </c>
      <c r="CO2483" s="5" t="s">
        <v>240</v>
      </c>
      <c r="CP2483" s="5" t="s">
        <v>240</v>
      </c>
      <c r="CQ2483" s="5">
        <v>0</v>
      </c>
      <c r="CR2483" s="5" t="s">
        <v>306</v>
      </c>
      <c r="CS2483" s="5" t="s">
        <v>307</v>
      </c>
      <c r="CT2483" s="5" t="s">
        <v>307</v>
      </c>
      <c r="CU2483" s="5" t="s">
        <v>260</v>
      </c>
      <c r="CX2483" s="7">
        <f>1</f>
        <v>1</v>
      </c>
      <c r="CY2483" s="7">
        <f>0</f>
        <v>0</v>
      </c>
      <c r="DA2483" s="7">
        <f>0</f>
        <v>0</v>
      </c>
      <c r="DC2483" s="5" t="s">
        <v>309</v>
      </c>
      <c r="DD2483" s="5" t="s">
        <v>240</v>
      </c>
      <c r="DF2483" s="5" t="s">
        <v>309</v>
      </c>
      <c r="DG2483" s="7">
        <f>816</f>
        <v>816</v>
      </c>
      <c r="DI2483" s="5" t="s">
        <v>240</v>
      </c>
      <c r="DJ2483" s="5" t="s">
        <v>240</v>
      </c>
      <c r="DK2483" s="5" t="s">
        <v>240</v>
      </c>
      <c r="DL2483" s="5" t="s">
        <v>240</v>
      </c>
      <c r="DP2483" s="5" t="s">
        <v>240</v>
      </c>
      <c r="DQ2483" s="5" t="s">
        <v>240</v>
      </c>
      <c r="DR2483" s="5" t="s">
        <v>240</v>
      </c>
      <c r="DS2483" s="5" t="s">
        <v>240</v>
      </c>
      <c r="DV2483" s="5" t="s">
        <v>310</v>
      </c>
      <c r="DW2483" s="5" t="s">
        <v>3017</v>
      </c>
      <c r="HO2483" s="5" t="s">
        <v>312</v>
      </c>
    </row>
    <row r="2484" spans="1:223" x14ac:dyDescent="0.4">
      <c r="A2484" s="5">
        <v>4188</v>
      </c>
      <c r="B2484" s="5">
        <v>1</v>
      </c>
      <c r="C2484" s="5">
        <v>1</v>
      </c>
      <c r="D2484" s="5" t="s">
        <v>810</v>
      </c>
      <c r="E2484" s="5" t="s">
        <v>245</v>
      </c>
      <c r="F2484" s="5" t="s">
        <v>254</v>
      </c>
      <c r="G2484" s="5" t="s">
        <v>240</v>
      </c>
      <c r="H2484" s="6" t="s">
        <v>3577</v>
      </c>
      <c r="I2484" s="5" t="s">
        <v>809</v>
      </c>
      <c r="J2484" s="8">
        <f>317</f>
        <v>317</v>
      </c>
      <c r="K2484" s="5" t="s">
        <v>308</v>
      </c>
      <c r="L2484" s="7">
        <f>1</f>
        <v>1</v>
      </c>
      <c r="M2484" s="7">
        <f>1</f>
        <v>1</v>
      </c>
      <c r="N2484" s="5" t="s">
        <v>242</v>
      </c>
      <c r="O2484" s="5">
        <v>1</v>
      </c>
      <c r="P2484" s="5" t="s">
        <v>294</v>
      </c>
      <c r="Q2484" s="5" t="s">
        <v>266</v>
      </c>
      <c r="R2484" s="5" t="s">
        <v>240</v>
      </c>
      <c r="S2484" s="5" t="s">
        <v>240</v>
      </c>
      <c r="T2484" s="5" t="s">
        <v>296</v>
      </c>
      <c r="U2484" s="5" t="s">
        <v>244</v>
      </c>
      <c r="V2484" s="5" t="s">
        <v>240</v>
      </c>
      <c r="Y2484" s="5" t="s">
        <v>240</v>
      </c>
      <c r="Z2484" s="6" t="s">
        <v>298</v>
      </c>
      <c r="AB2484" s="6" t="s">
        <v>240</v>
      </c>
      <c r="AE2484" s="6" t="s">
        <v>299</v>
      </c>
      <c r="AF2484" s="5" t="s">
        <v>248</v>
      </c>
      <c r="AG2484" s="5" t="s">
        <v>249</v>
      </c>
      <c r="AW2484" s="5" t="s">
        <v>251</v>
      </c>
      <c r="AX2484" s="5" t="s">
        <v>240</v>
      </c>
      <c r="AY2484" s="5" t="s">
        <v>253</v>
      </c>
      <c r="AZ2484" s="5" t="s">
        <v>240</v>
      </c>
      <c r="BA2484" s="5" t="s">
        <v>255</v>
      </c>
      <c r="BB2484" s="5" t="s">
        <v>240</v>
      </c>
      <c r="BD2484" s="5" t="s">
        <v>240</v>
      </c>
      <c r="BF2484" s="5" t="s">
        <v>301</v>
      </c>
      <c r="BG2484" s="6" t="s">
        <v>299</v>
      </c>
      <c r="BH2484" s="5" t="s">
        <v>302</v>
      </c>
      <c r="BI2484" s="5" t="s">
        <v>303</v>
      </c>
      <c r="BJ2484" s="5" t="s">
        <v>240</v>
      </c>
      <c r="BK2484" s="8">
        <f>0</f>
        <v>0</v>
      </c>
      <c r="BL2484" s="7">
        <f>0</f>
        <v>0</v>
      </c>
      <c r="BM2484" s="5" t="s">
        <v>258</v>
      </c>
      <c r="BN2484" s="5" t="s">
        <v>259</v>
      </c>
      <c r="CB2484" s="5" t="s">
        <v>240</v>
      </c>
      <c r="CC2484" s="5" t="s">
        <v>240</v>
      </c>
      <c r="CG2484" s="5" t="s">
        <v>304</v>
      </c>
      <c r="CH2484" s="5" t="s">
        <v>305</v>
      </c>
      <c r="CI2484" s="5" t="s">
        <v>240</v>
      </c>
      <c r="CL2484" s="6" t="s">
        <v>261</v>
      </c>
      <c r="CM2484" s="5" t="s">
        <v>240</v>
      </c>
      <c r="CN2484" s="5" t="s">
        <v>263</v>
      </c>
      <c r="CO2484" s="5" t="s">
        <v>240</v>
      </c>
      <c r="CP2484" s="5" t="s">
        <v>240</v>
      </c>
      <c r="CQ2484" s="5">
        <v>0</v>
      </c>
      <c r="CR2484" s="5" t="s">
        <v>306</v>
      </c>
      <c r="CS2484" s="5" t="s">
        <v>307</v>
      </c>
      <c r="CT2484" s="5" t="s">
        <v>307</v>
      </c>
      <c r="CU2484" s="5" t="s">
        <v>260</v>
      </c>
      <c r="CX2484" s="7">
        <f>1</f>
        <v>1</v>
      </c>
      <c r="CY2484" s="7">
        <f>0</f>
        <v>0</v>
      </c>
      <c r="DA2484" s="7">
        <f>0</f>
        <v>0</v>
      </c>
      <c r="DC2484" s="5" t="s">
        <v>309</v>
      </c>
      <c r="DD2484" s="5" t="s">
        <v>240</v>
      </c>
      <c r="DF2484" s="5" t="s">
        <v>309</v>
      </c>
      <c r="DG2484" s="7">
        <f>1296</f>
        <v>1296</v>
      </c>
      <c r="DI2484" s="5" t="s">
        <v>240</v>
      </c>
      <c r="DJ2484" s="5" t="s">
        <v>240</v>
      </c>
      <c r="DK2484" s="5" t="s">
        <v>240</v>
      </c>
      <c r="DL2484" s="5" t="s">
        <v>240</v>
      </c>
      <c r="DP2484" s="5" t="s">
        <v>240</v>
      </c>
      <c r="DQ2484" s="5" t="s">
        <v>240</v>
      </c>
      <c r="DR2484" s="5" t="s">
        <v>240</v>
      </c>
      <c r="DS2484" s="5" t="s">
        <v>240</v>
      </c>
      <c r="DV2484" s="5" t="s">
        <v>310</v>
      </c>
      <c r="DW2484" s="5" t="s">
        <v>3019</v>
      </c>
      <c r="HO2484" s="5" t="s">
        <v>312</v>
      </c>
    </row>
    <row r="2485" spans="1:223" x14ac:dyDescent="0.4">
      <c r="A2485" s="5">
        <v>4189</v>
      </c>
      <c r="B2485" s="5">
        <v>1</v>
      </c>
      <c r="C2485" s="5">
        <v>1</v>
      </c>
      <c r="D2485" s="5" t="s">
        <v>810</v>
      </c>
      <c r="E2485" s="5" t="s">
        <v>245</v>
      </c>
      <c r="F2485" s="5" t="s">
        <v>254</v>
      </c>
      <c r="G2485" s="5" t="s">
        <v>240</v>
      </c>
      <c r="H2485" s="6" t="s">
        <v>3575</v>
      </c>
      <c r="I2485" s="5" t="s">
        <v>809</v>
      </c>
      <c r="J2485" s="8">
        <f>286</f>
        <v>286</v>
      </c>
      <c r="K2485" s="5" t="s">
        <v>308</v>
      </c>
      <c r="L2485" s="7">
        <f>1</f>
        <v>1</v>
      </c>
      <c r="M2485" s="7">
        <f>1</f>
        <v>1</v>
      </c>
      <c r="N2485" s="5" t="s">
        <v>242</v>
      </c>
      <c r="O2485" s="5">
        <v>1</v>
      </c>
      <c r="P2485" s="5" t="s">
        <v>294</v>
      </c>
      <c r="Q2485" s="5" t="s">
        <v>266</v>
      </c>
      <c r="R2485" s="5" t="s">
        <v>240</v>
      </c>
      <c r="S2485" s="5" t="s">
        <v>240</v>
      </c>
      <c r="T2485" s="5" t="s">
        <v>296</v>
      </c>
      <c r="U2485" s="5" t="s">
        <v>244</v>
      </c>
      <c r="V2485" s="5" t="s">
        <v>240</v>
      </c>
      <c r="Y2485" s="5" t="s">
        <v>240</v>
      </c>
      <c r="Z2485" s="6" t="s">
        <v>298</v>
      </c>
      <c r="AB2485" s="6" t="s">
        <v>240</v>
      </c>
      <c r="AE2485" s="6" t="s">
        <v>299</v>
      </c>
      <c r="AF2485" s="5" t="s">
        <v>248</v>
      </c>
      <c r="AG2485" s="5" t="s">
        <v>249</v>
      </c>
      <c r="AW2485" s="5" t="s">
        <v>251</v>
      </c>
      <c r="AX2485" s="5" t="s">
        <v>240</v>
      </c>
      <c r="AY2485" s="5" t="s">
        <v>253</v>
      </c>
      <c r="AZ2485" s="5" t="s">
        <v>240</v>
      </c>
      <c r="BA2485" s="5" t="s">
        <v>255</v>
      </c>
      <c r="BB2485" s="5" t="s">
        <v>240</v>
      </c>
      <c r="BD2485" s="5" t="s">
        <v>240</v>
      </c>
      <c r="BF2485" s="5" t="s">
        <v>301</v>
      </c>
      <c r="BG2485" s="6" t="s">
        <v>299</v>
      </c>
      <c r="BH2485" s="5" t="s">
        <v>302</v>
      </c>
      <c r="BI2485" s="5" t="s">
        <v>303</v>
      </c>
      <c r="BJ2485" s="5" t="s">
        <v>240</v>
      </c>
      <c r="BK2485" s="8">
        <f>0</f>
        <v>0</v>
      </c>
      <c r="BL2485" s="7">
        <f>0</f>
        <v>0</v>
      </c>
      <c r="BM2485" s="5" t="s">
        <v>258</v>
      </c>
      <c r="BN2485" s="5" t="s">
        <v>259</v>
      </c>
      <c r="CB2485" s="5" t="s">
        <v>240</v>
      </c>
      <c r="CC2485" s="5" t="s">
        <v>240</v>
      </c>
      <c r="CG2485" s="5" t="s">
        <v>304</v>
      </c>
      <c r="CH2485" s="5" t="s">
        <v>305</v>
      </c>
      <c r="CI2485" s="5" t="s">
        <v>240</v>
      </c>
      <c r="CL2485" s="6" t="s">
        <v>261</v>
      </c>
      <c r="CM2485" s="5" t="s">
        <v>240</v>
      </c>
      <c r="CN2485" s="5" t="s">
        <v>263</v>
      </c>
      <c r="CO2485" s="5" t="s">
        <v>240</v>
      </c>
      <c r="CP2485" s="5" t="s">
        <v>240</v>
      </c>
      <c r="CQ2485" s="5">
        <v>0</v>
      </c>
      <c r="CR2485" s="5" t="s">
        <v>306</v>
      </c>
      <c r="CS2485" s="5" t="s">
        <v>307</v>
      </c>
      <c r="CT2485" s="5" t="s">
        <v>307</v>
      </c>
      <c r="CU2485" s="5" t="s">
        <v>260</v>
      </c>
      <c r="CX2485" s="7">
        <f>1</f>
        <v>1</v>
      </c>
      <c r="CY2485" s="7">
        <f>0</f>
        <v>0</v>
      </c>
      <c r="DA2485" s="7">
        <f>0</f>
        <v>0</v>
      </c>
      <c r="DC2485" s="5" t="s">
        <v>309</v>
      </c>
      <c r="DD2485" s="5" t="s">
        <v>240</v>
      </c>
      <c r="DF2485" s="5" t="s">
        <v>309</v>
      </c>
      <c r="DG2485" s="7">
        <f>1694</f>
        <v>1694</v>
      </c>
      <c r="DI2485" s="5" t="s">
        <v>240</v>
      </c>
      <c r="DJ2485" s="5" t="s">
        <v>240</v>
      </c>
      <c r="DK2485" s="5" t="s">
        <v>240</v>
      </c>
      <c r="DL2485" s="5" t="s">
        <v>240</v>
      </c>
      <c r="DP2485" s="5" t="s">
        <v>240</v>
      </c>
      <c r="DQ2485" s="5" t="s">
        <v>240</v>
      </c>
      <c r="DR2485" s="5" t="s">
        <v>240</v>
      </c>
      <c r="DS2485" s="5" t="s">
        <v>240</v>
      </c>
      <c r="DV2485" s="5" t="s">
        <v>310</v>
      </c>
      <c r="DW2485" s="5" t="s">
        <v>3021</v>
      </c>
      <c r="HO2485" s="5" t="s">
        <v>312</v>
      </c>
    </row>
    <row r="2486" spans="1:223" x14ac:dyDescent="0.4">
      <c r="A2486" s="5">
        <v>4190</v>
      </c>
      <c r="B2486" s="5">
        <v>1</v>
      </c>
      <c r="C2486" s="5">
        <v>1</v>
      </c>
      <c r="D2486" s="5" t="s">
        <v>810</v>
      </c>
      <c r="E2486" s="5" t="s">
        <v>245</v>
      </c>
      <c r="F2486" s="5" t="s">
        <v>254</v>
      </c>
      <c r="G2486" s="5" t="s">
        <v>240</v>
      </c>
      <c r="H2486" s="6" t="s">
        <v>3573</v>
      </c>
      <c r="I2486" s="5" t="s">
        <v>809</v>
      </c>
      <c r="J2486" s="8">
        <f>728</f>
        <v>728</v>
      </c>
      <c r="K2486" s="5" t="s">
        <v>308</v>
      </c>
      <c r="L2486" s="7">
        <f>1</f>
        <v>1</v>
      </c>
      <c r="M2486" s="7">
        <f>1</f>
        <v>1</v>
      </c>
      <c r="N2486" s="5" t="s">
        <v>242</v>
      </c>
      <c r="O2486" s="5">
        <v>1</v>
      </c>
      <c r="P2486" s="5" t="s">
        <v>294</v>
      </c>
      <c r="Q2486" s="5" t="s">
        <v>613</v>
      </c>
      <c r="R2486" s="5" t="s">
        <v>240</v>
      </c>
      <c r="S2486" s="5" t="s">
        <v>240</v>
      </c>
      <c r="T2486" s="5" t="s">
        <v>243</v>
      </c>
      <c r="U2486" s="5" t="s">
        <v>724</v>
      </c>
      <c r="V2486" s="5" t="s">
        <v>240</v>
      </c>
      <c r="Y2486" s="5" t="s">
        <v>240</v>
      </c>
      <c r="Z2486" s="6" t="s">
        <v>298</v>
      </c>
      <c r="AB2486" s="6" t="s">
        <v>240</v>
      </c>
      <c r="AE2486" s="6" t="s">
        <v>299</v>
      </c>
      <c r="AF2486" s="5" t="s">
        <v>248</v>
      </c>
      <c r="AG2486" s="5" t="s">
        <v>249</v>
      </c>
      <c r="AW2486" s="5" t="s">
        <v>251</v>
      </c>
      <c r="AX2486" s="5" t="s">
        <v>240</v>
      </c>
      <c r="AY2486" s="5" t="s">
        <v>253</v>
      </c>
      <c r="AZ2486" s="5" t="s">
        <v>240</v>
      </c>
      <c r="BA2486" s="5" t="s">
        <v>255</v>
      </c>
      <c r="BB2486" s="5" t="s">
        <v>240</v>
      </c>
      <c r="BD2486" s="5" t="s">
        <v>240</v>
      </c>
      <c r="BF2486" s="5" t="s">
        <v>301</v>
      </c>
      <c r="BG2486" s="6" t="s">
        <v>299</v>
      </c>
      <c r="BH2486" s="5" t="s">
        <v>302</v>
      </c>
      <c r="BI2486" s="5" t="s">
        <v>303</v>
      </c>
      <c r="BJ2486" s="5" t="s">
        <v>240</v>
      </c>
      <c r="BK2486" s="8">
        <f>0</f>
        <v>0</v>
      </c>
      <c r="BL2486" s="7">
        <f>0</f>
        <v>0</v>
      </c>
      <c r="BM2486" s="5" t="s">
        <v>258</v>
      </c>
      <c r="BN2486" s="5" t="s">
        <v>259</v>
      </c>
      <c r="CB2486" s="5" t="s">
        <v>240</v>
      </c>
      <c r="CC2486" s="5" t="s">
        <v>240</v>
      </c>
      <c r="CG2486" s="5" t="s">
        <v>617</v>
      </c>
      <c r="CH2486" s="5" t="s">
        <v>305</v>
      </c>
      <c r="CI2486" s="5" t="s">
        <v>240</v>
      </c>
      <c r="CL2486" s="6" t="s">
        <v>261</v>
      </c>
      <c r="CM2486" s="5" t="s">
        <v>240</v>
      </c>
      <c r="CN2486" s="5" t="s">
        <v>263</v>
      </c>
      <c r="CO2486" s="5" t="s">
        <v>240</v>
      </c>
      <c r="CP2486" s="5" t="s">
        <v>240</v>
      </c>
      <c r="CQ2486" s="5">
        <v>0</v>
      </c>
      <c r="CR2486" s="5" t="s">
        <v>306</v>
      </c>
      <c r="CS2486" s="5" t="s">
        <v>307</v>
      </c>
      <c r="CT2486" s="5" t="s">
        <v>307</v>
      </c>
      <c r="CU2486" s="5" t="s">
        <v>260</v>
      </c>
      <c r="CX2486" s="7">
        <f>7282</f>
        <v>7282</v>
      </c>
      <c r="CY2486" s="7">
        <f>0</f>
        <v>0</v>
      </c>
      <c r="DA2486" s="7">
        <f>0</f>
        <v>0</v>
      </c>
      <c r="DC2486" s="5" t="s">
        <v>854</v>
      </c>
      <c r="DD2486" s="5" t="s">
        <v>240</v>
      </c>
      <c r="DF2486" s="5" t="s">
        <v>450</v>
      </c>
      <c r="DG2486" s="7">
        <f>0</f>
        <v>0</v>
      </c>
      <c r="DI2486" s="5" t="s">
        <v>737</v>
      </c>
      <c r="DJ2486" s="5" t="s">
        <v>240</v>
      </c>
      <c r="DK2486" s="5" t="s">
        <v>240</v>
      </c>
      <c r="DL2486" s="5" t="s">
        <v>240</v>
      </c>
      <c r="DP2486" s="5" t="s">
        <v>240</v>
      </c>
      <c r="DQ2486" s="5" t="s">
        <v>240</v>
      </c>
      <c r="DR2486" s="5" t="s">
        <v>240</v>
      </c>
      <c r="DS2486" s="5" t="s">
        <v>240</v>
      </c>
      <c r="DV2486" s="5" t="s">
        <v>957</v>
      </c>
      <c r="DW2486" s="5" t="s">
        <v>434</v>
      </c>
      <c r="HO2486" s="5" t="s">
        <v>312</v>
      </c>
    </row>
    <row r="2487" spans="1:223" x14ac:dyDescent="0.4">
      <c r="A2487" s="5">
        <v>4191</v>
      </c>
      <c r="B2487" s="5">
        <v>1</v>
      </c>
      <c r="C2487" s="5">
        <v>1</v>
      </c>
      <c r="D2487" s="5" t="s">
        <v>810</v>
      </c>
      <c r="E2487" s="5" t="s">
        <v>245</v>
      </c>
      <c r="F2487" s="5" t="s">
        <v>254</v>
      </c>
      <c r="G2487" s="5" t="s">
        <v>240</v>
      </c>
      <c r="H2487" s="6" t="s">
        <v>3571</v>
      </c>
      <c r="I2487" s="5" t="s">
        <v>809</v>
      </c>
      <c r="J2487" s="8">
        <f>470</f>
        <v>470</v>
      </c>
      <c r="K2487" s="5" t="s">
        <v>308</v>
      </c>
      <c r="L2487" s="7">
        <f>1</f>
        <v>1</v>
      </c>
      <c r="M2487" s="7">
        <f>1</f>
        <v>1</v>
      </c>
      <c r="N2487" s="5" t="s">
        <v>242</v>
      </c>
      <c r="O2487" s="5">
        <v>1</v>
      </c>
      <c r="P2487" s="5" t="s">
        <v>294</v>
      </c>
      <c r="Q2487" s="5" t="s">
        <v>266</v>
      </c>
      <c r="R2487" s="5" t="s">
        <v>240</v>
      </c>
      <c r="S2487" s="5" t="s">
        <v>240</v>
      </c>
      <c r="T2487" s="5" t="s">
        <v>296</v>
      </c>
      <c r="U2487" s="5" t="s">
        <v>244</v>
      </c>
      <c r="V2487" s="5" t="s">
        <v>240</v>
      </c>
      <c r="Y2487" s="5" t="s">
        <v>240</v>
      </c>
      <c r="Z2487" s="6" t="s">
        <v>298</v>
      </c>
      <c r="AB2487" s="6" t="s">
        <v>240</v>
      </c>
      <c r="AE2487" s="6" t="s">
        <v>299</v>
      </c>
      <c r="AF2487" s="5" t="s">
        <v>248</v>
      </c>
      <c r="AG2487" s="5" t="s">
        <v>249</v>
      </c>
      <c r="AW2487" s="5" t="s">
        <v>251</v>
      </c>
      <c r="AX2487" s="5" t="s">
        <v>240</v>
      </c>
      <c r="AY2487" s="5" t="s">
        <v>253</v>
      </c>
      <c r="AZ2487" s="5" t="s">
        <v>240</v>
      </c>
      <c r="BA2487" s="5" t="s">
        <v>255</v>
      </c>
      <c r="BB2487" s="5" t="s">
        <v>240</v>
      </c>
      <c r="BD2487" s="5" t="s">
        <v>240</v>
      </c>
      <c r="BF2487" s="5" t="s">
        <v>301</v>
      </c>
      <c r="BG2487" s="6" t="s">
        <v>299</v>
      </c>
      <c r="BH2487" s="5" t="s">
        <v>302</v>
      </c>
      <c r="BI2487" s="5" t="s">
        <v>303</v>
      </c>
      <c r="BJ2487" s="5" t="s">
        <v>240</v>
      </c>
      <c r="BK2487" s="8">
        <f>0</f>
        <v>0</v>
      </c>
      <c r="BL2487" s="7">
        <f>0</f>
        <v>0</v>
      </c>
      <c r="BM2487" s="5" t="s">
        <v>258</v>
      </c>
      <c r="BN2487" s="5" t="s">
        <v>259</v>
      </c>
      <c r="CB2487" s="5" t="s">
        <v>240</v>
      </c>
      <c r="CC2487" s="5" t="s">
        <v>240</v>
      </c>
      <c r="CG2487" s="5" t="s">
        <v>304</v>
      </c>
      <c r="CH2487" s="5" t="s">
        <v>305</v>
      </c>
      <c r="CI2487" s="5" t="s">
        <v>240</v>
      </c>
      <c r="CL2487" s="6" t="s">
        <v>261</v>
      </c>
      <c r="CM2487" s="5" t="s">
        <v>240</v>
      </c>
      <c r="CN2487" s="5" t="s">
        <v>263</v>
      </c>
      <c r="CO2487" s="5" t="s">
        <v>240</v>
      </c>
      <c r="CP2487" s="5" t="s">
        <v>240</v>
      </c>
      <c r="CQ2487" s="5">
        <v>0</v>
      </c>
      <c r="CR2487" s="5" t="s">
        <v>306</v>
      </c>
      <c r="CS2487" s="5" t="s">
        <v>307</v>
      </c>
      <c r="CT2487" s="5" t="s">
        <v>307</v>
      </c>
      <c r="CU2487" s="5" t="s">
        <v>260</v>
      </c>
      <c r="CX2487" s="7">
        <f>1</f>
        <v>1</v>
      </c>
      <c r="CY2487" s="7">
        <f>0</f>
        <v>0</v>
      </c>
      <c r="DA2487" s="7">
        <f>0</f>
        <v>0</v>
      </c>
      <c r="DC2487" s="5" t="s">
        <v>309</v>
      </c>
      <c r="DD2487" s="5" t="s">
        <v>240</v>
      </c>
      <c r="DF2487" s="5" t="s">
        <v>309</v>
      </c>
      <c r="DG2487" s="7">
        <f>1512</f>
        <v>1512</v>
      </c>
      <c r="DI2487" s="5" t="s">
        <v>240</v>
      </c>
      <c r="DJ2487" s="5" t="s">
        <v>240</v>
      </c>
      <c r="DK2487" s="5" t="s">
        <v>240</v>
      </c>
      <c r="DL2487" s="5" t="s">
        <v>240</v>
      </c>
      <c r="DP2487" s="5" t="s">
        <v>240</v>
      </c>
      <c r="DQ2487" s="5" t="s">
        <v>240</v>
      </c>
      <c r="DR2487" s="5" t="s">
        <v>240</v>
      </c>
      <c r="DS2487" s="5" t="s">
        <v>240</v>
      </c>
      <c r="DV2487" s="5" t="s">
        <v>310</v>
      </c>
      <c r="DW2487" s="5" t="s">
        <v>3025</v>
      </c>
      <c r="HO2487" s="5" t="s">
        <v>312</v>
      </c>
    </row>
    <row r="2488" spans="1:223" x14ac:dyDescent="0.4">
      <c r="A2488" s="5">
        <v>4192</v>
      </c>
      <c r="B2488" s="5">
        <v>1</v>
      </c>
      <c r="C2488" s="5">
        <v>1</v>
      </c>
      <c r="D2488" s="5" t="s">
        <v>810</v>
      </c>
      <c r="E2488" s="5" t="s">
        <v>245</v>
      </c>
      <c r="F2488" s="5" t="s">
        <v>254</v>
      </c>
      <c r="G2488" s="5" t="s">
        <v>240</v>
      </c>
      <c r="H2488" s="6" t="s">
        <v>3569</v>
      </c>
      <c r="I2488" s="5" t="s">
        <v>809</v>
      </c>
      <c r="J2488" s="8">
        <f>1087</f>
        <v>1087</v>
      </c>
      <c r="K2488" s="5" t="s">
        <v>308</v>
      </c>
      <c r="L2488" s="7">
        <f>1</f>
        <v>1</v>
      </c>
      <c r="M2488" s="7">
        <f>1</f>
        <v>1</v>
      </c>
      <c r="N2488" s="5" t="s">
        <v>242</v>
      </c>
      <c r="O2488" s="5">
        <v>1</v>
      </c>
      <c r="P2488" s="5" t="s">
        <v>294</v>
      </c>
      <c r="Q2488" s="5" t="s">
        <v>266</v>
      </c>
      <c r="R2488" s="5" t="s">
        <v>240</v>
      </c>
      <c r="S2488" s="5" t="s">
        <v>240</v>
      </c>
      <c r="T2488" s="5" t="s">
        <v>296</v>
      </c>
      <c r="U2488" s="5" t="s">
        <v>244</v>
      </c>
      <c r="V2488" s="5" t="s">
        <v>240</v>
      </c>
      <c r="Y2488" s="5" t="s">
        <v>240</v>
      </c>
      <c r="Z2488" s="6" t="s">
        <v>298</v>
      </c>
      <c r="AB2488" s="6" t="s">
        <v>240</v>
      </c>
      <c r="AE2488" s="6" t="s">
        <v>299</v>
      </c>
      <c r="AF2488" s="5" t="s">
        <v>248</v>
      </c>
      <c r="AG2488" s="5" t="s">
        <v>249</v>
      </c>
      <c r="AW2488" s="5" t="s">
        <v>251</v>
      </c>
      <c r="AX2488" s="5" t="s">
        <v>240</v>
      </c>
      <c r="AY2488" s="5" t="s">
        <v>253</v>
      </c>
      <c r="AZ2488" s="5" t="s">
        <v>240</v>
      </c>
      <c r="BA2488" s="5" t="s">
        <v>255</v>
      </c>
      <c r="BB2488" s="5" t="s">
        <v>240</v>
      </c>
      <c r="BD2488" s="5" t="s">
        <v>240</v>
      </c>
      <c r="BF2488" s="5" t="s">
        <v>301</v>
      </c>
      <c r="BG2488" s="6" t="s">
        <v>299</v>
      </c>
      <c r="BH2488" s="5" t="s">
        <v>302</v>
      </c>
      <c r="BI2488" s="5" t="s">
        <v>303</v>
      </c>
      <c r="BJ2488" s="5" t="s">
        <v>240</v>
      </c>
      <c r="BK2488" s="8">
        <f>0</f>
        <v>0</v>
      </c>
      <c r="BL2488" s="7">
        <f>0</f>
        <v>0</v>
      </c>
      <c r="BM2488" s="5" t="s">
        <v>258</v>
      </c>
      <c r="BN2488" s="5" t="s">
        <v>259</v>
      </c>
      <c r="CB2488" s="5" t="s">
        <v>240</v>
      </c>
      <c r="CC2488" s="5" t="s">
        <v>240</v>
      </c>
      <c r="CG2488" s="5" t="s">
        <v>304</v>
      </c>
      <c r="CH2488" s="5" t="s">
        <v>305</v>
      </c>
      <c r="CI2488" s="5" t="s">
        <v>240</v>
      </c>
      <c r="CL2488" s="6" t="s">
        <v>261</v>
      </c>
      <c r="CM2488" s="5" t="s">
        <v>240</v>
      </c>
      <c r="CN2488" s="5" t="s">
        <v>263</v>
      </c>
      <c r="CO2488" s="5" t="s">
        <v>240</v>
      </c>
      <c r="CP2488" s="5" t="s">
        <v>240</v>
      </c>
      <c r="CQ2488" s="5">
        <v>0</v>
      </c>
      <c r="CR2488" s="5" t="s">
        <v>306</v>
      </c>
      <c r="CS2488" s="5" t="s">
        <v>307</v>
      </c>
      <c r="CT2488" s="5" t="s">
        <v>307</v>
      </c>
      <c r="CU2488" s="5" t="s">
        <v>260</v>
      </c>
      <c r="CX2488" s="7">
        <f>1</f>
        <v>1</v>
      </c>
      <c r="CY2488" s="7">
        <f>0</f>
        <v>0</v>
      </c>
      <c r="DA2488" s="7">
        <f>0</f>
        <v>0</v>
      </c>
      <c r="DC2488" s="5" t="s">
        <v>309</v>
      </c>
      <c r="DD2488" s="5" t="s">
        <v>240</v>
      </c>
      <c r="DF2488" s="5" t="s">
        <v>309</v>
      </c>
      <c r="DG2488" s="7">
        <f>331</f>
        <v>331</v>
      </c>
      <c r="DI2488" s="5" t="s">
        <v>240</v>
      </c>
      <c r="DJ2488" s="5" t="s">
        <v>240</v>
      </c>
      <c r="DK2488" s="5" t="s">
        <v>240</v>
      </c>
      <c r="DL2488" s="5" t="s">
        <v>240</v>
      </c>
      <c r="DP2488" s="5" t="s">
        <v>240</v>
      </c>
      <c r="DQ2488" s="5" t="s">
        <v>240</v>
      </c>
      <c r="DR2488" s="5" t="s">
        <v>240</v>
      </c>
      <c r="DS2488" s="5" t="s">
        <v>240</v>
      </c>
      <c r="DV2488" s="5" t="s">
        <v>310</v>
      </c>
      <c r="DW2488" s="5" t="s">
        <v>3027</v>
      </c>
      <c r="HO2488" s="5" t="s">
        <v>312</v>
      </c>
    </row>
    <row r="2489" spans="1:223" x14ac:dyDescent="0.4">
      <c r="A2489" s="5">
        <v>4193</v>
      </c>
      <c r="B2489" s="5">
        <v>1</v>
      </c>
      <c r="C2489" s="5">
        <v>1</v>
      </c>
      <c r="D2489" s="5" t="s">
        <v>810</v>
      </c>
      <c r="E2489" s="5" t="s">
        <v>245</v>
      </c>
      <c r="F2489" s="5" t="s">
        <v>254</v>
      </c>
      <c r="G2489" s="5" t="s">
        <v>240</v>
      </c>
      <c r="H2489" s="6" t="s">
        <v>5010</v>
      </c>
      <c r="I2489" s="5" t="s">
        <v>809</v>
      </c>
      <c r="J2489" s="8">
        <f>906</f>
        <v>906</v>
      </c>
      <c r="K2489" s="5" t="s">
        <v>308</v>
      </c>
      <c r="L2489" s="7">
        <f>1</f>
        <v>1</v>
      </c>
      <c r="M2489" s="7">
        <f>1</f>
        <v>1</v>
      </c>
      <c r="N2489" s="5" t="s">
        <v>242</v>
      </c>
      <c r="O2489" s="5">
        <v>1</v>
      </c>
      <c r="P2489" s="5" t="s">
        <v>294</v>
      </c>
      <c r="Q2489" s="5" t="s">
        <v>266</v>
      </c>
      <c r="R2489" s="5" t="s">
        <v>240</v>
      </c>
      <c r="S2489" s="5" t="s">
        <v>240</v>
      </c>
      <c r="T2489" s="5" t="s">
        <v>296</v>
      </c>
      <c r="U2489" s="5" t="s">
        <v>244</v>
      </c>
      <c r="V2489" s="5" t="s">
        <v>240</v>
      </c>
      <c r="Y2489" s="5" t="s">
        <v>240</v>
      </c>
      <c r="Z2489" s="6" t="s">
        <v>298</v>
      </c>
      <c r="AB2489" s="6" t="s">
        <v>240</v>
      </c>
      <c r="AE2489" s="6" t="s">
        <v>299</v>
      </c>
      <c r="AF2489" s="5" t="s">
        <v>248</v>
      </c>
      <c r="AG2489" s="5" t="s">
        <v>249</v>
      </c>
      <c r="AW2489" s="5" t="s">
        <v>251</v>
      </c>
      <c r="AX2489" s="5" t="s">
        <v>240</v>
      </c>
      <c r="AY2489" s="5" t="s">
        <v>253</v>
      </c>
      <c r="AZ2489" s="5" t="s">
        <v>240</v>
      </c>
      <c r="BA2489" s="5" t="s">
        <v>255</v>
      </c>
      <c r="BB2489" s="5" t="s">
        <v>240</v>
      </c>
      <c r="BD2489" s="5" t="s">
        <v>240</v>
      </c>
      <c r="BF2489" s="5" t="s">
        <v>301</v>
      </c>
      <c r="BG2489" s="6" t="s">
        <v>299</v>
      </c>
      <c r="BH2489" s="5" t="s">
        <v>302</v>
      </c>
      <c r="BI2489" s="5" t="s">
        <v>303</v>
      </c>
      <c r="BJ2489" s="5" t="s">
        <v>240</v>
      </c>
      <c r="BK2489" s="8">
        <f>0</f>
        <v>0</v>
      </c>
      <c r="BL2489" s="7">
        <f>0</f>
        <v>0</v>
      </c>
      <c r="BM2489" s="5" t="s">
        <v>258</v>
      </c>
      <c r="BN2489" s="5" t="s">
        <v>259</v>
      </c>
      <c r="CB2489" s="5" t="s">
        <v>240</v>
      </c>
      <c r="CC2489" s="5" t="s">
        <v>240</v>
      </c>
      <c r="CG2489" s="5" t="s">
        <v>304</v>
      </c>
      <c r="CH2489" s="5" t="s">
        <v>305</v>
      </c>
      <c r="CI2489" s="5" t="s">
        <v>240</v>
      </c>
      <c r="CL2489" s="6" t="s">
        <v>261</v>
      </c>
      <c r="CM2489" s="5" t="s">
        <v>240</v>
      </c>
      <c r="CN2489" s="5" t="s">
        <v>263</v>
      </c>
      <c r="CO2489" s="5" t="s">
        <v>240</v>
      </c>
      <c r="CP2489" s="5" t="s">
        <v>240</v>
      </c>
      <c r="CQ2489" s="5">
        <v>0</v>
      </c>
      <c r="CR2489" s="5" t="s">
        <v>306</v>
      </c>
      <c r="CS2489" s="5" t="s">
        <v>307</v>
      </c>
      <c r="CT2489" s="5" t="s">
        <v>307</v>
      </c>
      <c r="CU2489" s="5" t="s">
        <v>260</v>
      </c>
      <c r="CX2489" s="7">
        <f>1</f>
        <v>1</v>
      </c>
      <c r="CY2489" s="7">
        <f>0</f>
        <v>0</v>
      </c>
      <c r="DA2489" s="7">
        <f>0</f>
        <v>0</v>
      </c>
      <c r="DC2489" s="5" t="s">
        <v>309</v>
      </c>
      <c r="DD2489" s="5" t="s">
        <v>240</v>
      </c>
      <c r="DF2489" s="5" t="s">
        <v>309</v>
      </c>
      <c r="DG2489" s="7">
        <f>6345</f>
        <v>6345</v>
      </c>
      <c r="DI2489" s="5" t="s">
        <v>240</v>
      </c>
      <c r="DJ2489" s="5" t="s">
        <v>240</v>
      </c>
      <c r="DK2489" s="5" t="s">
        <v>240</v>
      </c>
      <c r="DL2489" s="5" t="s">
        <v>240</v>
      </c>
      <c r="DP2489" s="5" t="s">
        <v>240</v>
      </c>
      <c r="DQ2489" s="5" t="s">
        <v>240</v>
      </c>
      <c r="DR2489" s="5" t="s">
        <v>240</v>
      </c>
      <c r="DS2489" s="5" t="s">
        <v>240</v>
      </c>
      <c r="DV2489" s="5" t="s">
        <v>310</v>
      </c>
      <c r="DW2489" s="5" t="s">
        <v>3029</v>
      </c>
      <c r="HO2489" s="5" t="s">
        <v>312</v>
      </c>
    </row>
    <row r="2490" spans="1:223" x14ac:dyDescent="0.4">
      <c r="A2490" s="5">
        <v>4194</v>
      </c>
      <c r="B2490" s="5">
        <v>1</v>
      </c>
      <c r="C2490" s="5">
        <v>1</v>
      </c>
      <c r="D2490" s="5" t="s">
        <v>810</v>
      </c>
      <c r="E2490" s="5" t="s">
        <v>245</v>
      </c>
      <c r="F2490" s="5" t="s">
        <v>254</v>
      </c>
      <c r="G2490" s="5" t="s">
        <v>240</v>
      </c>
      <c r="H2490" s="6" t="s">
        <v>3565</v>
      </c>
      <c r="I2490" s="5" t="s">
        <v>809</v>
      </c>
      <c r="J2490" s="8">
        <f>1009</f>
        <v>1009</v>
      </c>
      <c r="K2490" s="5" t="s">
        <v>308</v>
      </c>
      <c r="L2490" s="7">
        <f>1</f>
        <v>1</v>
      </c>
      <c r="M2490" s="7">
        <f>1</f>
        <v>1</v>
      </c>
      <c r="N2490" s="5" t="s">
        <v>242</v>
      </c>
      <c r="O2490" s="5">
        <v>1</v>
      </c>
      <c r="P2490" s="5" t="s">
        <v>294</v>
      </c>
      <c r="Q2490" s="5" t="s">
        <v>266</v>
      </c>
      <c r="R2490" s="5" t="s">
        <v>240</v>
      </c>
      <c r="S2490" s="5" t="s">
        <v>240</v>
      </c>
      <c r="T2490" s="5" t="s">
        <v>296</v>
      </c>
      <c r="U2490" s="5" t="s">
        <v>244</v>
      </c>
      <c r="V2490" s="5" t="s">
        <v>240</v>
      </c>
      <c r="Y2490" s="5" t="s">
        <v>240</v>
      </c>
      <c r="Z2490" s="6" t="s">
        <v>298</v>
      </c>
      <c r="AB2490" s="6" t="s">
        <v>240</v>
      </c>
      <c r="AE2490" s="6" t="s">
        <v>299</v>
      </c>
      <c r="AF2490" s="5" t="s">
        <v>248</v>
      </c>
      <c r="AG2490" s="5" t="s">
        <v>249</v>
      </c>
      <c r="AW2490" s="5" t="s">
        <v>251</v>
      </c>
      <c r="AX2490" s="5" t="s">
        <v>240</v>
      </c>
      <c r="AY2490" s="5" t="s">
        <v>253</v>
      </c>
      <c r="AZ2490" s="5" t="s">
        <v>240</v>
      </c>
      <c r="BA2490" s="5" t="s">
        <v>255</v>
      </c>
      <c r="BB2490" s="5" t="s">
        <v>240</v>
      </c>
      <c r="BD2490" s="5" t="s">
        <v>240</v>
      </c>
      <c r="BF2490" s="5" t="s">
        <v>301</v>
      </c>
      <c r="BG2490" s="6" t="s">
        <v>299</v>
      </c>
      <c r="BH2490" s="5" t="s">
        <v>302</v>
      </c>
      <c r="BI2490" s="5" t="s">
        <v>303</v>
      </c>
      <c r="BJ2490" s="5" t="s">
        <v>240</v>
      </c>
      <c r="BK2490" s="8">
        <f>0</f>
        <v>0</v>
      </c>
      <c r="BL2490" s="7">
        <f>0</f>
        <v>0</v>
      </c>
      <c r="BM2490" s="5" t="s">
        <v>258</v>
      </c>
      <c r="BN2490" s="5" t="s">
        <v>259</v>
      </c>
      <c r="CB2490" s="5" t="s">
        <v>240</v>
      </c>
      <c r="CC2490" s="5" t="s">
        <v>240</v>
      </c>
      <c r="CG2490" s="5" t="s">
        <v>304</v>
      </c>
      <c r="CH2490" s="5" t="s">
        <v>305</v>
      </c>
      <c r="CI2490" s="5" t="s">
        <v>240</v>
      </c>
      <c r="CL2490" s="6" t="s">
        <v>261</v>
      </c>
      <c r="CM2490" s="5" t="s">
        <v>240</v>
      </c>
      <c r="CN2490" s="5" t="s">
        <v>263</v>
      </c>
      <c r="CO2490" s="5" t="s">
        <v>240</v>
      </c>
      <c r="CP2490" s="5" t="s">
        <v>240</v>
      </c>
      <c r="CQ2490" s="5">
        <v>0</v>
      </c>
      <c r="CR2490" s="5" t="s">
        <v>306</v>
      </c>
      <c r="CS2490" s="5" t="s">
        <v>307</v>
      </c>
      <c r="CT2490" s="5" t="s">
        <v>307</v>
      </c>
      <c r="CU2490" s="5" t="s">
        <v>260</v>
      </c>
      <c r="CX2490" s="7">
        <f>1</f>
        <v>1</v>
      </c>
      <c r="CY2490" s="7">
        <f>0</f>
        <v>0</v>
      </c>
      <c r="DA2490" s="7">
        <f>0</f>
        <v>0</v>
      </c>
      <c r="DC2490" s="5" t="s">
        <v>309</v>
      </c>
      <c r="DD2490" s="5" t="s">
        <v>240</v>
      </c>
      <c r="DF2490" s="5" t="s">
        <v>309</v>
      </c>
      <c r="DG2490" s="7">
        <f>1519</f>
        <v>1519</v>
      </c>
      <c r="DI2490" s="5" t="s">
        <v>240</v>
      </c>
      <c r="DJ2490" s="5" t="s">
        <v>240</v>
      </c>
      <c r="DK2490" s="5" t="s">
        <v>240</v>
      </c>
      <c r="DL2490" s="5" t="s">
        <v>240</v>
      </c>
      <c r="DP2490" s="5" t="s">
        <v>240</v>
      </c>
      <c r="DQ2490" s="5" t="s">
        <v>240</v>
      </c>
      <c r="DR2490" s="5" t="s">
        <v>240</v>
      </c>
      <c r="DS2490" s="5" t="s">
        <v>240</v>
      </c>
      <c r="DV2490" s="5" t="s">
        <v>310</v>
      </c>
      <c r="DW2490" s="5" t="s">
        <v>3031</v>
      </c>
      <c r="HO2490" s="5" t="s">
        <v>312</v>
      </c>
    </row>
    <row r="2491" spans="1:223" x14ac:dyDescent="0.4">
      <c r="A2491" s="5">
        <v>4195</v>
      </c>
      <c r="B2491" s="5">
        <v>1</v>
      </c>
      <c r="C2491" s="5">
        <v>1</v>
      </c>
      <c r="D2491" s="5" t="s">
        <v>810</v>
      </c>
      <c r="E2491" s="5" t="s">
        <v>245</v>
      </c>
      <c r="F2491" s="5" t="s">
        <v>254</v>
      </c>
      <c r="G2491" s="5" t="s">
        <v>240</v>
      </c>
      <c r="H2491" s="6" t="s">
        <v>3563</v>
      </c>
      <c r="I2491" s="5" t="s">
        <v>809</v>
      </c>
      <c r="J2491" s="8">
        <f>197</f>
        <v>197</v>
      </c>
      <c r="K2491" s="5" t="s">
        <v>308</v>
      </c>
      <c r="L2491" s="7">
        <f>1</f>
        <v>1</v>
      </c>
      <c r="M2491" s="7">
        <f>1</f>
        <v>1</v>
      </c>
      <c r="N2491" s="5" t="s">
        <v>242</v>
      </c>
      <c r="O2491" s="5">
        <v>1</v>
      </c>
      <c r="P2491" s="5" t="s">
        <v>294</v>
      </c>
      <c r="Q2491" s="5" t="s">
        <v>266</v>
      </c>
      <c r="R2491" s="5" t="s">
        <v>240</v>
      </c>
      <c r="S2491" s="5" t="s">
        <v>240</v>
      </c>
      <c r="T2491" s="5" t="s">
        <v>296</v>
      </c>
      <c r="U2491" s="5" t="s">
        <v>244</v>
      </c>
      <c r="V2491" s="5" t="s">
        <v>240</v>
      </c>
      <c r="Y2491" s="5" t="s">
        <v>240</v>
      </c>
      <c r="Z2491" s="6" t="s">
        <v>298</v>
      </c>
      <c r="AB2491" s="6" t="s">
        <v>240</v>
      </c>
      <c r="AE2491" s="6" t="s">
        <v>299</v>
      </c>
      <c r="AF2491" s="5" t="s">
        <v>248</v>
      </c>
      <c r="AG2491" s="5" t="s">
        <v>249</v>
      </c>
      <c r="AW2491" s="5" t="s">
        <v>251</v>
      </c>
      <c r="AX2491" s="5" t="s">
        <v>240</v>
      </c>
      <c r="AY2491" s="5" t="s">
        <v>253</v>
      </c>
      <c r="AZ2491" s="5" t="s">
        <v>240</v>
      </c>
      <c r="BA2491" s="5" t="s">
        <v>255</v>
      </c>
      <c r="BB2491" s="5" t="s">
        <v>240</v>
      </c>
      <c r="BD2491" s="5" t="s">
        <v>240</v>
      </c>
      <c r="BF2491" s="5" t="s">
        <v>301</v>
      </c>
      <c r="BG2491" s="6" t="s">
        <v>299</v>
      </c>
      <c r="BH2491" s="5" t="s">
        <v>302</v>
      </c>
      <c r="BI2491" s="5" t="s">
        <v>303</v>
      </c>
      <c r="BJ2491" s="5" t="s">
        <v>240</v>
      </c>
      <c r="BK2491" s="8">
        <f>0</f>
        <v>0</v>
      </c>
      <c r="BL2491" s="7">
        <f>0</f>
        <v>0</v>
      </c>
      <c r="BM2491" s="5" t="s">
        <v>258</v>
      </c>
      <c r="BN2491" s="5" t="s">
        <v>259</v>
      </c>
      <c r="CB2491" s="5" t="s">
        <v>240</v>
      </c>
      <c r="CC2491" s="5" t="s">
        <v>240</v>
      </c>
      <c r="CG2491" s="5" t="s">
        <v>304</v>
      </c>
      <c r="CH2491" s="5" t="s">
        <v>305</v>
      </c>
      <c r="CI2491" s="5" t="s">
        <v>240</v>
      </c>
      <c r="CL2491" s="6" t="s">
        <v>261</v>
      </c>
      <c r="CM2491" s="5" t="s">
        <v>240</v>
      </c>
      <c r="CN2491" s="5" t="s">
        <v>263</v>
      </c>
      <c r="CO2491" s="5" t="s">
        <v>240</v>
      </c>
      <c r="CP2491" s="5" t="s">
        <v>240</v>
      </c>
      <c r="CQ2491" s="5">
        <v>0</v>
      </c>
      <c r="CR2491" s="5" t="s">
        <v>306</v>
      </c>
      <c r="CS2491" s="5" t="s">
        <v>307</v>
      </c>
      <c r="CT2491" s="5" t="s">
        <v>307</v>
      </c>
      <c r="CU2491" s="5" t="s">
        <v>260</v>
      </c>
      <c r="CX2491" s="7">
        <f>1</f>
        <v>1</v>
      </c>
      <c r="CY2491" s="7">
        <f>0</f>
        <v>0</v>
      </c>
      <c r="DA2491" s="7">
        <f>0</f>
        <v>0</v>
      </c>
      <c r="DC2491" s="5" t="s">
        <v>309</v>
      </c>
      <c r="DD2491" s="5" t="s">
        <v>240</v>
      </c>
      <c r="DF2491" s="5" t="s">
        <v>309</v>
      </c>
      <c r="DG2491" s="7">
        <f>505</f>
        <v>505</v>
      </c>
      <c r="DI2491" s="5" t="s">
        <v>240</v>
      </c>
      <c r="DJ2491" s="5" t="s">
        <v>240</v>
      </c>
      <c r="DK2491" s="5" t="s">
        <v>240</v>
      </c>
      <c r="DL2491" s="5" t="s">
        <v>240</v>
      </c>
      <c r="DP2491" s="5" t="s">
        <v>240</v>
      </c>
      <c r="DQ2491" s="5" t="s">
        <v>240</v>
      </c>
      <c r="DR2491" s="5" t="s">
        <v>240</v>
      </c>
      <c r="DS2491" s="5" t="s">
        <v>240</v>
      </c>
      <c r="DV2491" s="5" t="s">
        <v>310</v>
      </c>
      <c r="DW2491" s="5" t="s">
        <v>3033</v>
      </c>
      <c r="HO2491" s="5" t="s">
        <v>312</v>
      </c>
    </row>
    <row r="2492" spans="1:223" x14ac:dyDescent="0.4">
      <c r="A2492" s="5">
        <v>4196</v>
      </c>
      <c r="B2492" s="5">
        <v>1</v>
      </c>
      <c r="C2492" s="5">
        <v>1</v>
      </c>
      <c r="D2492" s="5" t="s">
        <v>810</v>
      </c>
      <c r="E2492" s="5" t="s">
        <v>245</v>
      </c>
      <c r="F2492" s="5" t="s">
        <v>254</v>
      </c>
      <c r="G2492" s="5" t="s">
        <v>240</v>
      </c>
      <c r="H2492" s="6" t="s">
        <v>3561</v>
      </c>
      <c r="I2492" s="5" t="s">
        <v>809</v>
      </c>
      <c r="J2492" s="8">
        <f>92</f>
        <v>92</v>
      </c>
      <c r="K2492" s="5" t="s">
        <v>308</v>
      </c>
      <c r="L2492" s="7">
        <f>1</f>
        <v>1</v>
      </c>
      <c r="M2492" s="7">
        <f>1</f>
        <v>1</v>
      </c>
      <c r="N2492" s="5" t="s">
        <v>242</v>
      </c>
      <c r="O2492" s="5">
        <v>1</v>
      </c>
      <c r="P2492" s="5" t="s">
        <v>294</v>
      </c>
      <c r="Q2492" s="5" t="s">
        <v>266</v>
      </c>
      <c r="R2492" s="5" t="s">
        <v>240</v>
      </c>
      <c r="S2492" s="5" t="s">
        <v>240</v>
      </c>
      <c r="T2492" s="5" t="s">
        <v>296</v>
      </c>
      <c r="U2492" s="5" t="s">
        <v>244</v>
      </c>
      <c r="V2492" s="5" t="s">
        <v>240</v>
      </c>
      <c r="Y2492" s="5" t="s">
        <v>240</v>
      </c>
      <c r="Z2492" s="6" t="s">
        <v>298</v>
      </c>
      <c r="AB2492" s="6" t="s">
        <v>240</v>
      </c>
      <c r="AE2492" s="6" t="s">
        <v>299</v>
      </c>
      <c r="AF2492" s="5" t="s">
        <v>248</v>
      </c>
      <c r="AG2492" s="5" t="s">
        <v>249</v>
      </c>
      <c r="AW2492" s="5" t="s">
        <v>251</v>
      </c>
      <c r="AX2492" s="5" t="s">
        <v>240</v>
      </c>
      <c r="AY2492" s="5" t="s">
        <v>253</v>
      </c>
      <c r="AZ2492" s="5" t="s">
        <v>240</v>
      </c>
      <c r="BA2492" s="5" t="s">
        <v>255</v>
      </c>
      <c r="BB2492" s="5" t="s">
        <v>240</v>
      </c>
      <c r="BD2492" s="5" t="s">
        <v>240</v>
      </c>
      <c r="BF2492" s="5" t="s">
        <v>301</v>
      </c>
      <c r="BG2492" s="6" t="s">
        <v>299</v>
      </c>
      <c r="BH2492" s="5" t="s">
        <v>302</v>
      </c>
      <c r="BI2492" s="5" t="s">
        <v>303</v>
      </c>
      <c r="BJ2492" s="5" t="s">
        <v>240</v>
      </c>
      <c r="BK2492" s="8">
        <f>0</f>
        <v>0</v>
      </c>
      <c r="BL2492" s="7">
        <f>0</f>
        <v>0</v>
      </c>
      <c r="BM2492" s="5" t="s">
        <v>258</v>
      </c>
      <c r="BN2492" s="5" t="s">
        <v>259</v>
      </c>
      <c r="CB2492" s="5" t="s">
        <v>240</v>
      </c>
      <c r="CC2492" s="5" t="s">
        <v>240</v>
      </c>
      <c r="CG2492" s="5" t="s">
        <v>304</v>
      </c>
      <c r="CH2492" s="5" t="s">
        <v>305</v>
      </c>
      <c r="CI2492" s="5" t="s">
        <v>240</v>
      </c>
      <c r="CL2492" s="6" t="s">
        <v>261</v>
      </c>
      <c r="CM2492" s="5" t="s">
        <v>240</v>
      </c>
      <c r="CN2492" s="5" t="s">
        <v>263</v>
      </c>
      <c r="CO2492" s="5" t="s">
        <v>240</v>
      </c>
      <c r="CP2492" s="5" t="s">
        <v>240</v>
      </c>
      <c r="CQ2492" s="5">
        <v>0</v>
      </c>
      <c r="CR2492" s="5" t="s">
        <v>306</v>
      </c>
      <c r="CS2492" s="5" t="s">
        <v>307</v>
      </c>
      <c r="CT2492" s="5" t="s">
        <v>307</v>
      </c>
      <c r="CU2492" s="5" t="s">
        <v>260</v>
      </c>
      <c r="CX2492" s="7">
        <f>1</f>
        <v>1</v>
      </c>
      <c r="CY2492" s="7">
        <f>0</f>
        <v>0</v>
      </c>
      <c r="DA2492" s="7">
        <f>0</f>
        <v>0</v>
      </c>
      <c r="DC2492" s="5" t="s">
        <v>309</v>
      </c>
      <c r="DD2492" s="5" t="s">
        <v>240</v>
      </c>
      <c r="DF2492" s="5" t="s">
        <v>309</v>
      </c>
      <c r="DG2492" s="7">
        <f>2673</f>
        <v>2673</v>
      </c>
      <c r="DI2492" s="5" t="s">
        <v>240</v>
      </c>
      <c r="DJ2492" s="5" t="s">
        <v>240</v>
      </c>
      <c r="DK2492" s="5" t="s">
        <v>240</v>
      </c>
      <c r="DL2492" s="5" t="s">
        <v>240</v>
      </c>
      <c r="DP2492" s="5" t="s">
        <v>240</v>
      </c>
      <c r="DQ2492" s="5" t="s">
        <v>240</v>
      </c>
      <c r="DR2492" s="5" t="s">
        <v>240</v>
      </c>
      <c r="DS2492" s="5" t="s">
        <v>240</v>
      </c>
      <c r="DV2492" s="5" t="s">
        <v>310</v>
      </c>
      <c r="DW2492" s="5" t="s">
        <v>3035</v>
      </c>
      <c r="HO2492" s="5" t="s">
        <v>312</v>
      </c>
    </row>
    <row r="2493" spans="1:223" x14ac:dyDescent="0.4">
      <c r="A2493" s="5">
        <v>4197</v>
      </c>
      <c r="B2493" s="5">
        <v>1</v>
      </c>
      <c r="C2493" s="5">
        <v>1</v>
      </c>
      <c r="D2493" s="5" t="s">
        <v>810</v>
      </c>
      <c r="E2493" s="5" t="s">
        <v>245</v>
      </c>
      <c r="F2493" s="5" t="s">
        <v>254</v>
      </c>
      <c r="G2493" s="5" t="s">
        <v>240</v>
      </c>
      <c r="H2493" s="6" t="s">
        <v>3559</v>
      </c>
      <c r="I2493" s="5" t="s">
        <v>809</v>
      </c>
      <c r="J2493" s="8">
        <f>645</f>
        <v>645</v>
      </c>
      <c r="K2493" s="5" t="s">
        <v>308</v>
      </c>
      <c r="L2493" s="7">
        <f>1</f>
        <v>1</v>
      </c>
      <c r="M2493" s="7">
        <f>1</f>
        <v>1</v>
      </c>
      <c r="N2493" s="5" t="s">
        <v>242</v>
      </c>
      <c r="O2493" s="5">
        <v>1</v>
      </c>
      <c r="P2493" s="5" t="s">
        <v>294</v>
      </c>
      <c r="Q2493" s="5" t="s">
        <v>266</v>
      </c>
      <c r="R2493" s="5" t="s">
        <v>240</v>
      </c>
      <c r="S2493" s="5" t="s">
        <v>240</v>
      </c>
      <c r="T2493" s="5" t="s">
        <v>296</v>
      </c>
      <c r="U2493" s="5" t="s">
        <v>244</v>
      </c>
      <c r="V2493" s="5" t="s">
        <v>240</v>
      </c>
      <c r="Y2493" s="5" t="s">
        <v>240</v>
      </c>
      <c r="Z2493" s="6" t="s">
        <v>298</v>
      </c>
      <c r="AB2493" s="6" t="s">
        <v>240</v>
      </c>
      <c r="AE2493" s="6" t="s">
        <v>299</v>
      </c>
      <c r="AF2493" s="5" t="s">
        <v>248</v>
      </c>
      <c r="AG2493" s="5" t="s">
        <v>249</v>
      </c>
      <c r="AW2493" s="5" t="s">
        <v>251</v>
      </c>
      <c r="AX2493" s="5" t="s">
        <v>240</v>
      </c>
      <c r="AY2493" s="5" t="s">
        <v>253</v>
      </c>
      <c r="AZ2493" s="5" t="s">
        <v>240</v>
      </c>
      <c r="BA2493" s="5" t="s">
        <v>255</v>
      </c>
      <c r="BB2493" s="5" t="s">
        <v>240</v>
      </c>
      <c r="BD2493" s="5" t="s">
        <v>240</v>
      </c>
      <c r="BF2493" s="5" t="s">
        <v>301</v>
      </c>
      <c r="BG2493" s="6" t="s">
        <v>299</v>
      </c>
      <c r="BH2493" s="5" t="s">
        <v>302</v>
      </c>
      <c r="BI2493" s="5" t="s">
        <v>303</v>
      </c>
      <c r="BJ2493" s="5" t="s">
        <v>240</v>
      </c>
      <c r="BK2493" s="8">
        <f>0</f>
        <v>0</v>
      </c>
      <c r="BL2493" s="7">
        <f>0</f>
        <v>0</v>
      </c>
      <c r="BM2493" s="5" t="s">
        <v>258</v>
      </c>
      <c r="BN2493" s="5" t="s">
        <v>259</v>
      </c>
      <c r="CB2493" s="5" t="s">
        <v>240</v>
      </c>
      <c r="CC2493" s="5" t="s">
        <v>240</v>
      </c>
      <c r="CG2493" s="5" t="s">
        <v>304</v>
      </c>
      <c r="CH2493" s="5" t="s">
        <v>305</v>
      </c>
      <c r="CI2493" s="5" t="s">
        <v>240</v>
      </c>
      <c r="CL2493" s="6" t="s">
        <v>261</v>
      </c>
      <c r="CM2493" s="5" t="s">
        <v>240</v>
      </c>
      <c r="CN2493" s="5" t="s">
        <v>263</v>
      </c>
      <c r="CO2493" s="5" t="s">
        <v>240</v>
      </c>
      <c r="CP2493" s="5" t="s">
        <v>240</v>
      </c>
      <c r="CQ2493" s="5">
        <v>0</v>
      </c>
      <c r="CR2493" s="5" t="s">
        <v>306</v>
      </c>
      <c r="CS2493" s="5" t="s">
        <v>307</v>
      </c>
      <c r="CT2493" s="5" t="s">
        <v>307</v>
      </c>
      <c r="CU2493" s="5" t="s">
        <v>260</v>
      </c>
      <c r="CX2493" s="7">
        <f>1</f>
        <v>1</v>
      </c>
      <c r="CY2493" s="7">
        <f>0</f>
        <v>0</v>
      </c>
      <c r="DA2493" s="7">
        <f>0</f>
        <v>0</v>
      </c>
      <c r="DC2493" s="5" t="s">
        <v>309</v>
      </c>
      <c r="DD2493" s="5" t="s">
        <v>240</v>
      </c>
      <c r="DF2493" s="5" t="s">
        <v>309</v>
      </c>
      <c r="DG2493" s="7">
        <f>2725</f>
        <v>2725</v>
      </c>
      <c r="DI2493" s="5" t="s">
        <v>240</v>
      </c>
      <c r="DJ2493" s="5" t="s">
        <v>240</v>
      </c>
      <c r="DK2493" s="5" t="s">
        <v>240</v>
      </c>
      <c r="DL2493" s="5" t="s">
        <v>240</v>
      </c>
      <c r="DP2493" s="5" t="s">
        <v>240</v>
      </c>
      <c r="DQ2493" s="5" t="s">
        <v>240</v>
      </c>
      <c r="DR2493" s="5" t="s">
        <v>240</v>
      </c>
      <c r="DS2493" s="5" t="s">
        <v>240</v>
      </c>
      <c r="DV2493" s="5" t="s">
        <v>310</v>
      </c>
      <c r="DW2493" s="5" t="s">
        <v>3037</v>
      </c>
      <c r="HO2493" s="5" t="s">
        <v>312</v>
      </c>
    </row>
    <row r="2494" spans="1:223" x14ac:dyDescent="0.4">
      <c r="A2494" s="5">
        <v>4198</v>
      </c>
      <c r="B2494" s="5">
        <v>1</v>
      </c>
      <c r="C2494" s="5">
        <v>1</v>
      </c>
      <c r="D2494" s="5" t="s">
        <v>810</v>
      </c>
      <c r="E2494" s="5" t="s">
        <v>245</v>
      </c>
      <c r="F2494" s="5" t="s">
        <v>254</v>
      </c>
      <c r="G2494" s="5" t="s">
        <v>240</v>
      </c>
      <c r="H2494" s="6" t="s">
        <v>3557</v>
      </c>
      <c r="I2494" s="5" t="s">
        <v>809</v>
      </c>
      <c r="J2494" s="8">
        <f>276</f>
        <v>276</v>
      </c>
      <c r="K2494" s="5" t="s">
        <v>308</v>
      </c>
      <c r="L2494" s="7">
        <f>1</f>
        <v>1</v>
      </c>
      <c r="M2494" s="7">
        <f>1</f>
        <v>1</v>
      </c>
      <c r="N2494" s="5" t="s">
        <v>242</v>
      </c>
      <c r="O2494" s="5">
        <v>1</v>
      </c>
      <c r="P2494" s="5" t="s">
        <v>294</v>
      </c>
      <c r="Q2494" s="5" t="s">
        <v>266</v>
      </c>
      <c r="R2494" s="5" t="s">
        <v>240</v>
      </c>
      <c r="S2494" s="5" t="s">
        <v>240</v>
      </c>
      <c r="T2494" s="5" t="s">
        <v>296</v>
      </c>
      <c r="U2494" s="5" t="s">
        <v>244</v>
      </c>
      <c r="V2494" s="5" t="s">
        <v>240</v>
      </c>
      <c r="Y2494" s="5" t="s">
        <v>240</v>
      </c>
      <c r="Z2494" s="6" t="s">
        <v>298</v>
      </c>
      <c r="AB2494" s="6" t="s">
        <v>240</v>
      </c>
      <c r="AE2494" s="6" t="s">
        <v>299</v>
      </c>
      <c r="AF2494" s="5" t="s">
        <v>248</v>
      </c>
      <c r="AG2494" s="5" t="s">
        <v>249</v>
      </c>
      <c r="AW2494" s="5" t="s">
        <v>251</v>
      </c>
      <c r="AX2494" s="5" t="s">
        <v>240</v>
      </c>
      <c r="AY2494" s="5" t="s">
        <v>253</v>
      </c>
      <c r="AZ2494" s="5" t="s">
        <v>240</v>
      </c>
      <c r="BA2494" s="5" t="s">
        <v>255</v>
      </c>
      <c r="BB2494" s="5" t="s">
        <v>240</v>
      </c>
      <c r="BD2494" s="5" t="s">
        <v>240</v>
      </c>
      <c r="BF2494" s="5" t="s">
        <v>301</v>
      </c>
      <c r="BG2494" s="6" t="s">
        <v>299</v>
      </c>
      <c r="BH2494" s="5" t="s">
        <v>302</v>
      </c>
      <c r="BI2494" s="5" t="s">
        <v>303</v>
      </c>
      <c r="BJ2494" s="5" t="s">
        <v>240</v>
      </c>
      <c r="BK2494" s="8">
        <f>0</f>
        <v>0</v>
      </c>
      <c r="BL2494" s="7">
        <f>0</f>
        <v>0</v>
      </c>
      <c r="BM2494" s="5" t="s">
        <v>258</v>
      </c>
      <c r="BN2494" s="5" t="s">
        <v>259</v>
      </c>
      <c r="CB2494" s="5" t="s">
        <v>240</v>
      </c>
      <c r="CC2494" s="5" t="s">
        <v>240</v>
      </c>
      <c r="CG2494" s="5" t="s">
        <v>304</v>
      </c>
      <c r="CH2494" s="5" t="s">
        <v>305</v>
      </c>
      <c r="CI2494" s="5" t="s">
        <v>240</v>
      </c>
      <c r="CL2494" s="6" t="s">
        <v>261</v>
      </c>
      <c r="CM2494" s="5" t="s">
        <v>240</v>
      </c>
      <c r="CN2494" s="5" t="s">
        <v>263</v>
      </c>
      <c r="CO2494" s="5" t="s">
        <v>240</v>
      </c>
      <c r="CP2494" s="5" t="s">
        <v>240</v>
      </c>
      <c r="CQ2494" s="5">
        <v>0</v>
      </c>
      <c r="CR2494" s="5" t="s">
        <v>306</v>
      </c>
      <c r="CS2494" s="5" t="s">
        <v>307</v>
      </c>
      <c r="CT2494" s="5" t="s">
        <v>307</v>
      </c>
      <c r="CU2494" s="5" t="s">
        <v>260</v>
      </c>
      <c r="CX2494" s="7">
        <f>1</f>
        <v>1</v>
      </c>
      <c r="CY2494" s="7">
        <f>0</f>
        <v>0</v>
      </c>
      <c r="DA2494" s="7">
        <f>0</f>
        <v>0</v>
      </c>
      <c r="DC2494" s="5" t="s">
        <v>309</v>
      </c>
      <c r="DD2494" s="5" t="s">
        <v>240</v>
      </c>
      <c r="DF2494" s="5" t="s">
        <v>309</v>
      </c>
      <c r="DG2494" s="7">
        <f>2303</f>
        <v>2303</v>
      </c>
      <c r="DI2494" s="5" t="s">
        <v>240</v>
      </c>
      <c r="DJ2494" s="5" t="s">
        <v>240</v>
      </c>
      <c r="DK2494" s="5" t="s">
        <v>240</v>
      </c>
      <c r="DL2494" s="5" t="s">
        <v>240</v>
      </c>
      <c r="DP2494" s="5" t="s">
        <v>240</v>
      </c>
      <c r="DQ2494" s="5" t="s">
        <v>240</v>
      </c>
      <c r="DR2494" s="5" t="s">
        <v>240</v>
      </c>
      <c r="DS2494" s="5" t="s">
        <v>240</v>
      </c>
      <c r="DV2494" s="5" t="s">
        <v>310</v>
      </c>
      <c r="DW2494" s="5" t="s">
        <v>3039</v>
      </c>
      <c r="HO2494" s="5" t="s">
        <v>312</v>
      </c>
    </row>
    <row r="2495" spans="1:223" x14ac:dyDescent="0.4">
      <c r="A2495" s="5">
        <v>4199</v>
      </c>
      <c r="B2495" s="5">
        <v>1</v>
      </c>
      <c r="C2495" s="5">
        <v>1</v>
      </c>
      <c r="D2495" s="5" t="s">
        <v>810</v>
      </c>
      <c r="E2495" s="5" t="s">
        <v>245</v>
      </c>
      <c r="F2495" s="5" t="s">
        <v>254</v>
      </c>
      <c r="G2495" s="5" t="s">
        <v>240</v>
      </c>
      <c r="H2495" s="6" t="s">
        <v>3555</v>
      </c>
      <c r="I2495" s="5" t="s">
        <v>809</v>
      </c>
      <c r="J2495" s="8">
        <f>615</f>
        <v>615</v>
      </c>
      <c r="K2495" s="5" t="s">
        <v>308</v>
      </c>
      <c r="L2495" s="7">
        <f>1</f>
        <v>1</v>
      </c>
      <c r="M2495" s="7">
        <f>1</f>
        <v>1</v>
      </c>
      <c r="N2495" s="5" t="s">
        <v>242</v>
      </c>
      <c r="O2495" s="5">
        <v>1</v>
      </c>
      <c r="P2495" s="5" t="s">
        <v>294</v>
      </c>
      <c r="Q2495" s="5" t="s">
        <v>266</v>
      </c>
      <c r="R2495" s="5" t="s">
        <v>240</v>
      </c>
      <c r="S2495" s="5" t="s">
        <v>240</v>
      </c>
      <c r="T2495" s="5" t="s">
        <v>296</v>
      </c>
      <c r="U2495" s="5" t="s">
        <v>244</v>
      </c>
      <c r="V2495" s="5" t="s">
        <v>240</v>
      </c>
      <c r="Y2495" s="5" t="s">
        <v>240</v>
      </c>
      <c r="Z2495" s="6" t="s">
        <v>298</v>
      </c>
      <c r="AB2495" s="6" t="s">
        <v>240</v>
      </c>
      <c r="AE2495" s="6" t="s">
        <v>299</v>
      </c>
      <c r="AF2495" s="5" t="s">
        <v>248</v>
      </c>
      <c r="AG2495" s="5" t="s">
        <v>249</v>
      </c>
      <c r="AW2495" s="5" t="s">
        <v>251</v>
      </c>
      <c r="AX2495" s="5" t="s">
        <v>240</v>
      </c>
      <c r="AY2495" s="5" t="s">
        <v>253</v>
      </c>
      <c r="AZ2495" s="5" t="s">
        <v>240</v>
      </c>
      <c r="BA2495" s="5" t="s">
        <v>255</v>
      </c>
      <c r="BB2495" s="5" t="s">
        <v>240</v>
      </c>
      <c r="BD2495" s="5" t="s">
        <v>240</v>
      </c>
      <c r="BF2495" s="5" t="s">
        <v>301</v>
      </c>
      <c r="BG2495" s="6" t="s">
        <v>299</v>
      </c>
      <c r="BH2495" s="5" t="s">
        <v>302</v>
      </c>
      <c r="BI2495" s="5" t="s">
        <v>303</v>
      </c>
      <c r="BJ2495" s="5" t="s">
        <v>240</v>
      </c>
      <c r="BK2495" s="8">
        <f>0</f>
        <v>0</v>
      </c>
      <c r="BL2495" s="7">
        <f>0</f>
        <v>0</v>
      </c>
      <c r="BM2495" s="5" t="s">
        <v>258</v>
      </c>
      <c r="BN2495" s="5" t="s">
        <v>259</v>
      </c>
      <c r="CB2495" s="5" t="s">
        <v>240</v>
      </c>
      <c r="CC2495" s="5" t="s">
        <v>240</v>
      </c>
      <c r="CG2495" s="5" t="s">
        <v>304</v>
      </c>
      <c r="CH2495" s="5" t="s">
        <v>305</v>
      </c>
      <c r="CI2495" s="5" t="s">
        <v>240</v>
      </c>
      <c r="CL2495" s="6" t="s">
        <v>261</v>
      </c>
      <c r="CM2495" s="5" t="s">
        <v>240</v>
      </c>
      <c r="CN2495" s="5" t="s">
        <v>263</v>
      </c>
      <c r="CO2495" s="5" t="s">
        <v>240</v>
      </c>
      <c r="CP2495" s="5" t="s">
        <v>240</v>
      </c>
      <c r="CQ2495" s="5">
        <v>0</v>
      </c>
      <c r="CR2495" s="5" t="s">
        <v>306</v>
      </c>
      <c r="CS2495" s="5" t="s">
        <v>307</v>
      </c>
      <c r="CT2495" s="5" t="s">
        <v>307</v>
      </c>
      <c r="CU2495" s="5" t="s">
        <v>260</v>
      </c>
      <c r="CX2495" s="7">
        <f>1</f>
        <v>1</v>
      </c>
      <c r="CY2495" s="7">
        <f>0</f>
        <v>0</v>
      </c>
      <c r="DA2495" s="7">
        <f>0</f>
        <v>0</v>
      </c>
      <c r="DC2495" s="5" t="s">
        <v>309</v>
      </c>
      <c r="DD2495" s="5" t="s">
        <v>240</v>
      </c>
      <c r="DF2495" s="5" t="s">
        <v>309</v>
      </c>
      <c r="DG2495" s="7">
        <f>1785</f>
        <v>1785</v>
      </c>
      <c r="DI2495" s="5" t="s">
        <v>240</v>
      </c>
      <c r="DJ2495" s="5" t="s">
        <v>240</v>
      </c>
      <c r="DK2495" s="5" t="s">
        <v>240</v>
      </c>
      <c r="DL2495" s="5" t="s">
        <v>240</v>
      </c>
      <c r="DP2495" s="5" t="s">
        <v>240</v>
      </c>
      <c r="DQ2495" s="5" t="s">
        <v>240</v>
      </c>
      <c r="DR2495" s="5" t="s">
        <v>240</v>
      </c>
      <c r="DS2495" s="5" t="s">
        <v>240</v>
      </c>
      <c r="DV2495" s="5" t="s">
        <v>310</v>
      </c>
      <c r="DW2495" s="5" t="s">
        <v>3041</v>
      </c>
      <c r="HO2495" s="5" t="s">
        <v>312</v>
      </c>
    </row>
    <row r="2496" spans="1:223" x14ac:dyDescent="0.4">
      <c r="A2496" s="5">
        <v>4200</v>
      </c>
      <c r="B2496" s="5">
        <v>1</v>
      </c>
      <c r="C2496" s="5">
        <v>1</v>
      </c>
      <c r="D2496" s="5" t="s">
        <v>810</v>
      </c>
      <c r="E2496" s="5" t="s">
        <v>245</v>
      </c>
      <c r="F2496" s="5" t="s">
        <v>254</v>
      </c>
      <c r="G2496" s="5" t="s">
        <v>240</v>
      </c>
      <c r="H2496" s="6" t="s">
        <v>3553</v>
      </c>
      <c r="I2496" s="5" t="s">
        <v>809</v>
      </c>
      <c r="J2496" s="8">
        <f>1234</f>
        <v>1234</v>
      </c>
      <c r="K2496" s="5" t="s">
        <v>308</v>
      </c>
      <c r="L2496" s="7">
        <f>1</f>
        <v>1</v>
      </c>
      <c r="M2496" s="7">
        <f>1</f>
        <v>1</v>
      </c>
      <c r="N2496" s="5" t="s">
        <v>242</v>
      </c>
      <c r="O2496" s="5">
        <v>1</v>
      </c>
      <c r="P2496" s="5" t="s">
        <v>294</v>
      </c>
      <c r="Q2496" s="5" t="s">
        <v>266</v>
      </c>
      <c r="R2496" s="5" t="s">
        <v>240</v>
      </c>
      <c r="S2496" s="5" t="s">
        <v>240</v>
      </c>
      <c r="T2496" s="5" t="s">
        <v>296</v>
      </c>
      <c r="U2496" s="5" t="s">
        <v>244</v>
      </c>
      <c r="V2496" s="5" t="s">
        <v>240</v>
      </c>
      <c r="Y2496" s="5" t="s">
        <v>240</v>
      </c>
      <c r="Z2496" s="6" t="s">
        <v>298</v>
      </c>
      <c r="AB2496" s="6" t="s">
        <v>240</v>
      </c>
      <c r="AE2496" s="6" t="s">
        <v>299</v>
      </c>
      <c r="AF2496" s="5" t="s">
        <v>248</v>
      </c>
      <c r="AG2496" s="5" t="s">
        <v>249</v>
      </c>
      <c r="AW2496" s="5" t="s">
        <v>251</v>
      </c>
      <c r="AX2496" s="5" t="s">
        <v>240</v>
      </c>
      <c r="AY2496" s="5" t="s">
        <v>253</v>
      </c>
      <c r="AZ2496" s="5" t="s">
        <v>240</v>
      </c>
      <c r="BA2496" s="5" t="s">
        <v>255</v>
      </c>
      <c r="BB2496" s="5" t="s">
        <v>240</v>
      </c>
      <c r="BD2496" s="5" t="s">
        <v>240</v>
      </c>
      <c r="BF2496" s="5" t="s">
        <v>301</v>
      </c>
      <c r="BG2496" s="6" t="s">
        <v>299</v>
      </c>
      <c r="BH2496" s="5" t="s">
        <v>302</v>
      </c>
      <c r="BI2496" s="5" t="s">
        <v>303</v>
      </c>
      <c r="BJ2496" s="5" t="s">
        <v>240</v>
      </c>
      <c r="BK2496" s="8">
        <f>0</f>
        <v>0</v>
      </c>
      <c r="BL2496" s="7">
        <f>0</f>
        <v>0</v>
      </c>
      <c r="BM2496" s="5" t="s">
        <v>258</v>
      </c>
      <c r="BN2496" s="5" t="s">
        <v>259</v>
      </c>
      <c r="CB2496" s="5" t="s">
        <v>240</v>
      </c>
      <c r="CC2496" s="5" t="s">
        <v>240</v>
      </c>
      <c r="CG2496" s="5" t="s">
        <v>304</v>
      </c>
      <c r="CH2496" s="5" t="s">
        <v>305</v>
      </c>
      <c r="CI2496" s="5" t="s">
        <v>240</v>
      </c>
      <c r="CL2496" s="6" t="s">
        <v>261</v>
      </c>
      <c r="CM2496" s="5" t="s">
        <v>240</v>
      </c>
      <c r="CN2496" s="5" t="s">
        <v>263</v>
      </c>
      <c r="CO2496" s="5" t="s">
        <v>240</v>
      </c>
      <c r="CP2496" s="5" t="s">
        <v>240</v>
      </c>
      <c r="CQ2496" s="5">
        <v>0</v>
      </c>
      <c r="CR2496" s="5" t="s">
        <v>306</v>
      </c>
      <c r="CS2496" s="5" t="s">
        <v>307</v>
      </c>
      <c r="CT2496" s="5" t="s">
        <v>307</v>
      </c>
      <c r="CU2496" s="5" t="s">
        <v>260</v>
      </c>
      <c r="CX2496" s="7">
        <f>1</f>
        <v>1</v>
      </c>
      <c r="CY2496" s="7">
        <f>0</f>
        <v>0</v>
      </c>
      <c r="DA2496" s="7">
        <f>0</f>
        <v>0</v>
      </c>
      <c r="DC2496" s="5" t="s">
        <v>309</v>
      </c>
      <c r="DD2496" s="5" t="s">
        <v>240</v>
      </c>
      <c r="DF2496" s="5" t="s">
        <v>309</v>
      </c>
      <c r="DG2496" s="7">
        <f>3217</f>
        <v>3217</v>
      </c>
      <c r="DI2496" s="5" t="s">
        <v>240</v>
      </c>
      <c r="DJ2496" s="5" t="s">
        <v>240</v>
      </c>
      <c r="DK2496" s="5" t="s">
        <v>240</v>
      </c>
      <c r="DL2496" s="5" t="s">
        <v>240</v>
      </c>
      <c r="DP2496" s="5" t="s">
        <v>240</v>
      </c>
      <c r="DQ2496" s="5" t="s">
        <v>240</v>
      </c>
      <c r="DR2496" s="5" t="s">
        <v>240</v>
      </c>
      <c r="DS2496" s="5" t="s">
        <v>240</v>
      </c>
      <c r="DV2496" s="5" t="s">
        <v>310</v>
      </c>
      <c r="DW2496" s="5" t="s">
        <v>3043</v>
      </c>
      <c r="HO2496" s="5" t="s">
        <v>312</v>
      </c>
    </row>
    <row r="2497" spans="1:223" x14ac:dyDescent="0.4">
      <c r="A2497" s="5">
        <v>4201</v>
      </c>
      <c r="B2497" s="5">
        <v>1</v>
      </c>
      <c r="C2497" s="5">
        <v>1</v>
      </c>
      <c r="D2497" s="5" t="s">
        <v>810</v>
      </c>
      <c r="E2497" s="5" t="s">
        <v>245</v>
      </c>
      <c r="F2497" s="5" t="s">
        <v>254</v>
      </c>
      <c r="G2497" s="5" t="s">
        <v>240</v>
      </c>
      <c r="H2497" s="6" t="s">
        <v>3551</v>
      </c>
      <c r="I2497" s="5" t="s">
        <v>809</v>
      </c>
      <c r="J2497" s="8">
        <f>320</f>
        <v>320</v>
      </c>
      <c r="K2497" s="5" t="s">
        <v>308</v>
      </c>
      <c r="L2497" s="7">
        <f>1</f>
        <v>1</v>
      </c>
      <c r="M2497" s="7">
        <f>1</f>
        <v>1</v>
      </c>
      <c r="N2497" s="5" t="s">
        <v>242</v>
      </c>
      <c r="O2497" s="5">
        <v>1</v>
      </c>
      <c r="P2497" s="5" t="s">
        <v>294</v>
      </c>
      <c r="Q2497" s="5" t="s">
        <v>266</v>
      </c>
      <c r="R2497" s="5" t="s">
        <v>240</v>
      </c>
      <c r="S2497" s="5" t="s">
        <v>240</v>
      </c>
      <c r="T2497" s="5" t="s">
        <v>296</v>
      </c>
      <c r="U2497" s="5" t="s">
        <v>244</v>
      </c>
      <c r="V2497" s="5" t="s">
        <v>240</v>
      </c>
      <c r="Y2497" s="5" t="s">
        <v>240</v>
      </c>
      <c r="Z2497" s="6" t="s">
        <v>298</v>
      </c>
      <c r="AB2497" s="6" t="s">
        <v>240</v>
      </c>
      <c r="AE2497" s="6" t="s">
        <v>299</v>
      </c>
      <c r="AF2497" s="5" t="s">
        <v>248</v>
      </c>
      <c r="AG2497" s="5" t="s">
        <v>249</v>
      </c>
      <c r="AW2497" s="5" t="s">
        <v>251</v>
      </c>
      <c r="AX2497" s="5" t="s">
        <v>240</v>
      </c>
      <c r="AY2497" s="5" t="s">
        <v>253</v>
      </c>
      <c r="AZ2497" s="5" t="s">
        <v>240</v>
      </c>
      <c r="BA2497" s="5" t="s">
        <v>255</v>
      </c>
      <c r="BB2497" s="5" t="s">
        <v>240</v>
      </c>
      <c r="BD2497" s="5" t="s">
        <v>240</v>
      </c>
      <c r="BF2497" s="5" t="s">
        <v>301</v>
      </c>
      <c r="BG2497" s="6" t="s">
        <v>299</v>
      </c>
      <c r="BH2497" s="5" t="s">
        <v>302</v>
      </c>
      <c r="BI2497" s="5" t="s">
        <v>303</v>
      </c>
      <c r="BJ2497" s="5" t="s">
        <v>240</v>
      </c>
      <c r="BK2497" s="8">
        <f>0</f>
        <v>0</v>
      </c>
      <c r="BL2497" s="7">
        <f>0</f>
        <v>0</v>
      </c>
      <c r="BM2497" s="5" t="s">
        <v>258</v>
      </c>
      <c r="BN2497" s="5" t="s">
        <v>259</v>
      </c>
      <c r="CB2497" s="5" t="s">
        <v>240</v>
      </c>
      <c r="CC2497" s="5" t="s">
        <v>240</v>
      </c>
      <c r="CG2497" s="5" t="s">
        <v>304</v>
      </c>
      <c r="CH2497" s="5" t="s">
        <v>305</v>
      </c>
      <c r="CI2497" s="5" t="s">
        <v>240</v>
      </c>
      <c r="CL2497" s="6" t="s">
        <v>261</v>
      </c>
      <c r="CM2497" s="5" t="s">
        <v>240</v>
      </c>
      <c r="CN2497" s="5" t="s">
        <v>263</v>
      </c>
      <c r="CO2497" s="5" t="s">
        <v>240</v>
      </c>
      <c r="CP2497" s="5" t="s">
        <v>240</v>
      </c>
      <c r="CQ2497" s="5">
        <v>0</v>
      </c>
      <c r="CR2497" s="5" t="s">
        <v>306</v>
      </c>
      <c r="CS2497" s="5" t="s">
        <v>307</v>
      </c>
      <c r="CT2497" s="5" t="s">
        <v>307</v>
      </c>
      <c r="CU2497" s="5" t="s">
        <v>260</v>
      </c>
      <c r="CX2497" s="7">
        <f>1</f>
        <v>1</v>
      </c>
      <c r="CY2497" s="7">
        <f>0</f>
        <v>0</v>
      </c>
      <c r="DA2497" s="7">
        <f>0</f>
        <v>0</v>
      </c>
      <c r="DC2497" s="5" t="s">
        <v>309</v>
      </c>
      <c r="DD2497" s="5" t="s">
        <v>240</v>
      </c>
      <c r="DF2497" s="5" t="s">
        <v>309</v>
      </c>
      <c r="DG2497" s="7">
        <f>138</f>
        <v>138</v>
      </c>
      <c r="DI2497" s="5" t="s">
        <v>240</v>
      </c>
      <c r="DJ2497" s="5" t="s">
        <v>240</v>
      </c>
      <c r="DK2497" s="5" t="s">
        <v>240</v>
      </c>
      <c r="DL2497" s="5" t="s">
        <v>240</v>
      </c>
      <c r="DP2497" s="5" t="s">
        <v>240</v>
      </c>
      <c r="DQ2497" s="5" t="s">
        <v>240</v>
      </c>
      <c r="DR2497" s="5" t="s">
        <v>240</v>
      </c>
      <c r="DS2497" s="5" t="s">
        <v>240</v>
      </c>
      <c r="DV2497" s="5" t="s">
        <v>310</v>
      </c>
      <c r="DW2497" s="5" t="s">
        <v>3045</v>
      </c>
      <c r="HO2497" s="5" t="s">
        <v>312</v>
      </c>
    </row>
    <row r="2498" spans="1:223" x14ac:dyDescent="0.4">
      <c r="A2498" s="5">
        <v>4202</v>
      </c>
      <c r="B2498" s="5">
        <v>1</v>
      </c>
      <c r="C2498" s="5">
        <v>1</v>
      </c>
      <c r="D2498" s="5" t="s">
        <v>810</v>
      </c>
      <c r="E2498" s="5" t="s">
        <v>245</v>
      </c>
      <c r="F2498" s="5" t="s">
        <v>254</v>
      </c>
      <c r="G2498" s="5" t="s">
        <v>240</v>
      </c>
      <c r="H2498" s="6" t="s">
        <v>3549</v>
      </c>
      <c r="I2498" s="5" t="s">
        <v>809</v>
      </c>
      <c r="J2498" s="8">
        <f>756</f>
        <v>756</v>
      </c>
      <c r="K2498" s="5" t="s">
        <v>308</v>
      </c>
      <c r="L2498" s="7">
        <f>1</f>
        <v>1</v>
      </c>
      <c r="M2498" s="7">
        <f>1</f>
        <v>1</v>
      </c>
      <c r="N2498" s="5" t="s">
        <v>242</v>
      </c>
      <c r="O2498" s="5">
        <v>1</v>
      </c>
      <c r="P2498" s="5" t="s">
        <v>294</v>
      </c>
      <c r="Q2498" s="5" t="s">
        <v>266</v>
      </c>
      <c r="R2498" s="5" t="s">
        <v>240</v>
      </c>
      <c r="S2498" s="5" t="s">
        <v>240</v>
      </c>
      <c r="T2498" s="5" t="s">
        <v>296</v>
      </c>
      <c r="U2498" s="5" t="s">
        <v>244</v>
      </c>
      <c r="V2498" s="5" t="s">
        <v>240</v>
      </c>
      <c r="Y2498" s="5" t="s">
        <v>240</v>
      </c>
      <c r="Z2498" s="6" t="s">
        <v>298</v>
      </c>
      <c r="AB2498" s="6" t="s">
        <v>240</v>
      </c>
      <c r="AE2498" s="6" t="s">
        <v>299</v>
      </c>
      <c r="AF2498" s="5" t="s">
        <v>248</v>
      </c>
      <c r="AG2498" s="5" t="s">
        <v>249</v>
      </c>
      <c r="AW2498" s="5" t="s">
        <v>251</v>
      </c>
      <c r="AX2498" s="5" t="s">
        <v>240</v>
      </c>
      <c r="AY2498" s="5" t="s">
        <v>253</v>
      </c>
      <c r="AZ2498" s="5" t="s">
        <v>240</v>
      </c>
      <c r="BA2498" s="5" t="s">
        <v>255</v>
      </c>
      <c r="BB2498" s="5" t="s">
        <v>240</v>
      </c>
      <c r="BD2498" s="5" t="s">
        <v>240</v>
      </c>
      <c r="BF2498" s="5" t="s">
        <v>301</v>
      </c>
      <c r="BG2498" s="6" t="s">
        <v>299</v>
      </c>
      <c r="BH2498" s="5" t="s">
        <v>302</v>
      </c>
      <c r="BI2498" s="5" t="s">
        <v>303</v>
      </c>
      <c r="BJ2498" s="5" t="s">
        <v>240</v>
      </c>
      <c r="BK2498" s="8">
        <f>0</f>
        <v>0</v>
      </c>
      <c r="BL2498" s="7">
        <f>0</f>
        <v>0</v>
      </c>
      <c r="BM2498" s="5" t="s">
        <v>258</v>
      </c>
      <c r="BN2498" s="5" t="s">
        <v>259</v>
      </c>
      <c r="CB2498" s="5" t="s">
        <v>240</v>
      </c>
      <c r="CC2498" s="5" t="s">
        <v>240</v>
      </c>
      <c r="CG2498" s="5" t="s">
        <v>304</v>
      </c>
      <c r="CH2498" s="5" t="s">
        <v>305</v>
      </c>
      <c r="CI2498" s="5" t="s">
        <v>240</v>
      </c>
      <c r="CL2498" s="6" t="s">
        <v>261</v>
      </c>
      <c r="CM2498" s="5" t="s">
        <v>240</v>
      </c>
      <c r="CN2498" s="5" t="s">
        <v>263</v>
      </c>
      <c r="CO2498" s="5" t="s">
        <v>240</v>
      </c>
      <c r="CP2498" s="5" t="s">
        <v>240</v>
      </c>
      <c r="CQ2498" s="5">
        <v>0</v>
      </c>
      <c r="CR2498" s="5" t="s">
        <v>306</v>
      </c>
      <c r="CS2498" s="5" t="s">
        <v>307</v>
      </c>
      <c r="CT2498" s="5" t="s">
        <v>307</v>
      </c>
      <c r="CU2498" s="5" t="s">
        <v>260</v>
      </c>
      <c r="CX2498" s="7">
        <f>1</f>
        <v>1</v>
      </c>
      <c r="CY2498" s="7">
        <f>0</f>
        <v>0</v>
      </c>
      <c r="DA2498" s="7">
        <f>0</f>
        <v>0</v>
      </c>
      <c r="DC2498" s="5" t="s">
        <v>309</v>
      </c>
      <c r="DD2498" s="5" t="s">
        <v>240</v>
      </c>
      <c r="DF2498" s="5" t="s">
        <v>309</v>
      </c>
      <c r="DG2498" s="7">
        <f>1180</f>
        <v>1180</v>
      </c>
      <c r="DI2498" s="5" t="s">
        <v>240</v>
      </c>
      <c r="DJ2498" s="5" t="s">
        <v>240</v>
      </c>
      <c r="DK2498" s="5" t="s">
        <v>240</v>
      </c>
      <c r="DL2498" s="5" t="s">
        <v>240</v>
      </c>
      <c r="DP2498" s="5" t="s">
        <v>240</v>
      </c>
      <c r="DQ2498" s="5" t="s">
        <v>240</v>
      </c>
      <c r="DR2498" s="5" t="s">
        <v>240</v>
      </c>
      <c r="DS2498" s="5" t="s">
        <v>240</v>
      </c>
      <c r="DV2498" s="5" t="s">
        <v>310</v>
      </c>
      <c r="DW2498" s="5" t="s">
        <v>3047</v>
      </c>
      <c r="HO2498" s="5" t="s">
        <v>312</v>
      </c>
    </row>
    <row r="2499" spans="1:223" x14ac:dyDescent="0.4">
      <c r="A2499" s="5">
        <v>4203</v>
      </c>
      <c r="B2499" s="5">
        <v>1</v>
      </c>
      <c r="C2499" s="5">
        <v>1</v>
      </c>
      <c r="D2499" s="5" t="s">
        <v>810</v>
      </c>
      <c r="E2499" s="5" t="s">
        <v>245</v>
      </c>
      <c r="F2499" s="5" t="s">
        <v>254</v>
      </c>
      <c r="G2499" s="5" t="s">
        <v>240</v>
      </c>
      <c r="H2499" s="6" t="s">
        <v>3547</v>
      </c>
      <c r="I2499" s="5" t="s">
        <v>809</v>
      </c>
      <c r="J2499" s="8">
        <f>1068</f>
        <v>1068</v>
      </c>
      <c r="K2499" s="5" t="s">
        <v>308</v>
      </c>
      <c r="L2499" s="7">
        <f>1</f>
        <v>1</v>
      </c>
      <c r="M2499" s="7">
        <f>1</f>
        <v>1</v>
      </c>
      <c r="N2499" s="5" t="s">
        <v>242</v>
      </c>
      <c r="O2499" s="5">
        <v>1</v>
      </c>
      <c r="P2499" s="5" t="s">
        <v>294</v>
      </c>
      <c r="Q2499" s="5" t="s">
        <v>266</v>
      </c>
      <c r="R2499" s="5" t="s">
        <v>240</v>
      </c>
      <c r="S2499" s="5" t="s">
        <v>240</v>
      </c>
      <c r="T2499" s="5" t="s">
        <v>296</v>
      </c>
      <c r="U2499" s="5" t="s">
        <v>244</v>
      </c>
      <c r="V2499" s="5" t="s">
        <v>240</v>
      </c>
      <c r="Y2499" s="5" t="s">
        <v>240</v>
      </c>
      <c r="Z2499" s="6" t="s">
        <v>298</v>
      </c>
      <c r="AB2499" s="6" t="s">
        <v>240</v>
      </c>
      <c r="AE2499" s="6" t="s">
        <v>299</v>
      </c>
      <c r="AF2499" s="5" t="s">
        <v>248</v>
      </c>
      <c r="AG2499" s="5" t="s">
        <v>249</v>
      </c>
      <c r="AW2499" s="5" t="s">
        <v>251</v>
      </c>
      <c r="AX2499" s="5" t="s">
        <v>240</v>
      </c>
      <c r="AY2499" s="5" t="s">
        <v>253</v>
      </c>
      <c r="AZ2499" s="5" t="s">
        <v>240</v>
      </c>
      <c r="BA2499" s="5" t="s">
        <v>255</v>
      </c>
      <c r="BB2499" s="5" t="s">
        <v>240</v>
      </c>
      <c r="BD2499" s="5" t="s">
        <v>240</v>
      </c>
      <c r="BF2499" s="5" t="s">
        <v>301</v>
      </c>
      <c r="BG2499" s="6" t="s">
        <v>299</v>
      </c>
      <c r="BH2499" s="5" t="s">
        <v>302</v>
      </c>
      <c r="BI2499" s="5" t="s">
        <v>303</v>
      </c>
      <c r="BJ2499" s="5" t="s">
        <v>240</v>
      </c>
      <c r="BK2499" s="8">
        <f>0</f>
        <v>0</v>
      </c>
      <c r="BL2499" s="7">
        <f>0</f>
        <v>0</v>
      </c>
      <c r="BM2499" s="5" t="s">
        <v>258</v>
      </c>
      <c r="BN2499" s="5" t="s">
        <v>259</v>
      </c>
      <c r="CB2499" s="5" t="s">
        <v>240</v>
      </c>
      <c r="CC2499" s="5" t="s">
        <v>240</v>
      </c>
      <c r="CG2499" s="5" t="s">
        <v>304</v>
      </c>
      <c r="CH2499" s="5" t="s">
        <v>305</v>
      </c>
      <c r="CI2499" s="5" t="s">
        <v>240</v>
      </c>
      <c r="CL2499" s="6" t="s">
        <v>261</v>
      </c>
      <c r="CM2499" s="5" t="s">
        <v>240</v>
      </c>
      <c r="CN2499" s="5" t="s">
        <v>263</v>
      </c>
      <c r="CO2499" s="5" t="s">
        <v>240</v>
      </c>
      <c r="CP2499" s="5" t="s">
        <v>240</v>
      </c>
      <c r="CQ2499" s="5">
        <v>0</v>
      </c>
      <c r="CR2499" s="5" t="s">
        <v>306</v>
      </c>
      <c r="CS2499" s="5" t="s">
        <v>307</v>
      </c>
      <c r="CT2499" s="5" t="s">
        <v>307</v>
      </c>
      <c r="CU2499" s="5" t="s">
        <v>260</v>
      </c>
      <c r="CX2499" s="7">
        <f>1</f>
        <v>1</v>
      </c>
      <c r="CY2499" s="7">
        <f>0</f>
        <v>0</v>
      </c>
      <c r="DA2499" s="7">
        <f>0</f>
        <v>0</v>
      </c>
      <c r="DC2499" s="5" t="s">
        <v>309</v>
      </c>
      <c r="DD2499" s="5" t="s">
        <v>240</v>
      </c>
      <c r="DF2499" s="5" t="s">
        <v>309</v>
      </c>
      <c r="DG2499" s="7">
        <f>2056</f>
        <v>2056</v>
      </c>
      <c r="DI2499" s="5" t="s">
        <v>240</v>
      </c>
      <c r="DJ2499" s="5" t="s">
        <v>240</v>
      </c>
      <c r="DK2499" s="5" t="s">
        <v>240</v>
      </c>
      <c r="DL2499" s="5" t="s">
        <v>240</v>
      </c>
      <c r="DP2499" s="5" t="s">
        <v>240</v>
      </c>
      <c r="DQ2499" s="5" t="s">
        <v>240</v>
      </c>
      <c r="DR2499" s="5" t="s">
        <v>240</v>
      </c>
      <c r="DS2499" s="5" t="s">
        <v>240</v>
      </c>
      <c r="DV2499" s="5" t="s">
        <v>310</v>
      </c>
      <c r="DW2499" s="5" t="s">
        <v>3049</v>
      </c>
      <c r="HO2499" s="5" t="s">
        <v>312</v>
      </c>
    </row>
    <row r="2500" spans="1:223" x14ac:dyDescent="0.4">
      <c r="A2500" s="5">
        <v>4204</v>
      </c>
      <c r="B2500" s="5">
        <v>1</v>
      </c>
      <c r="C2500" s="5">
        <v>1</v>
      </c>
      <c r="D2500" s="5" t="s">
        <v>810</v>
      </c>
      <c r="E2500" s="5" t="s">
        <v>245</v>
      </c>
      <c r="F2500" s="5" t="s">
        <v>254</v>
      </c>
      <c r="G2500" s="5" t="s">
        <v>240</v>
      </c>
      <c r="H2500" s="6" t="s">
        <v>3545</v>
      </c>
      <c r="I2500" s="5" t="s">
        <v>809</v>
      </c>
      <c r="J2500" s="8">
        <f>390</f>
        <v>390</v>
      </c>
      <c r="K2500" s="5" t="s">
        <v>308</v>
      </c>
      <c r="L2500" s="7">
        <f>1</f>
        <v>1</v>
      </c>
      <c r="M2500" s="7">
        <f>1</f>
        <v>1</v>
      </c>
      <c r="N2500" s="5" t="s">
        <v>242</v>
      </c>
      <c r="O2500" s="5">
        <v>1</v>
      </c>
      <c r="P2500" s="5" t="s">
        <v>294</v>
      </c>
      <c r="Q2500" s="5" t="s">
        <v>266</v>
      </c>
      <c r="R2500" s="5" t="s">
        <v>240</v>
      </c>
      <c r="S2500" s="5" t="s">
        <v>240</v>
      </c>
      <c r="T2500" s="5" t="s">
        <v>296</v>
      </c>
      <c r="U2500" s="5" t="s">
        <v>244</v>
      </c>
      <c r="V2500" s="5" t="s">
        <v>240</v>
      </c>
      <c r="Y2500" s="5" t="s">
        <v>240</v>
      </c>
      <c r="Z2500" s="6" t="s">
        <v>298</v>
      </c>
      <c r="AB2500" s="6" t="s">
        <v>240</v>
      </c>
      <c r="AE2500" s="6" t="s">
        <v>299</v>
      </c>
      <c r="AF2500" s="5" t="s">
        <v>248</v>
      </c>
      <c r="AG2500" s="5" t="s">
        <v>249</v>
      </c>
      <c r="AW2500" s="5" t="s">
        <v>251</v>
      </c>
      <c r="AX2500" s="5" t="s">
        <v>240</v>
      </c>
      <c r="AY2500" s="5" t="s">
        <v>253</v>
      </c>
      <c r="AZ2500" s="5" t="s">
        <v>240</v>
      </c>
      <c r="BA2500" s="5" t="s">
        <v>255</v>
      </c>
      <c r="BB2500" s="5" t="s">
        <v>240</v>
      </c>
      <c r="BD2500" s="5" t="s">
        <v>240</v>
      </c>
      <c r="BF2500" s="5" t="s">
        <v>301</v>
      </c>
      <c r="BG2500" s="6" t="s">
        <v>299</v>
      </c>
      <c r="BH2500" s="5" t="s">
        <v>302</v>
      </c>
      <c r="BI2500" s="5" t="s">
        <v>303</v>
      </c>
      <c r="BJ2500" s="5" t="s">
        <v>240</v>
      </c>
      <c r="BK2500" s="8">
        <f>0</f>
        <v>0</v>
      </c>
      <c r="BL2500" s="7">
        <f>0</f>
        <v>0</v>
      </c>
      <c r="BM2500" s="5" t="s">
        <v>258</v>
      </c>
      <c r="BN2500" s="5" t="s">
        <v>259</v>
      </c>
      <c r="CB2500" s="5" t="s">
        <v>240</v>
      </c>
      <c r="CC2500" s="5" t="s">
        <v>240</v>
      </c>
      <c r="CG2500" s="5" t="s">
        <v>304</v>
      </c>
      <c r="CH2500" s="5" t="s">
        <v>305</v>
      </c>
      <c r="CI2500" s="5" t="s">
        <v>240</v>
      </c>
      <c r="CL2500" s="6" t="s">
        <v>261</v>
      </c>
      <c r="CM2500" s="5" t="s">
        <v>240</v>
      </c>
      <c r="CN2500" s="5" t="s">
        <v>263</v>
      </c>
      <c r="CO2500" s="5" t="s">
        <v>240</v>
      </c>
      <c r="CP2500" s="5" t="s">
        <v>240</v>
      </c>
      <c r="CQ2500" s="5">
        <v>0</v>
      </c>
      <c r="CR2500" s="5" t="s">
        <v>306</v>
      </c>
      <c r="CS2500" s="5" t="s">
        <v>307</v>
      </c>
      <c r="CT2500" s="5" t="s">
        <v>307</v>
      </c>
      <c r="CU2500" s="5" t="s">
        <v>260</v>
      </c>
      <c r="CX2500" s="7">
        <f>1</f>
        <v>1</v>
      </c>
      <c r="CY2500" s="7">
        <f>0</f>
        <v>0</v>
      </c>
      <c r="DA2500" s="7">
        <f>0</f>
        <v>0</v>
      </c>
      <c r="DC2500" s="5" t="s">
        <v>309</v>
      </c>
      <c r="DD2500" s="5" t="s">
        <v>240</v>
      </c>
      <c r="DF2500" s="5" t="s">
        <v>309</v>
      </c>
      <c r="DG2500" s="7">
        <f>450</f>
        <v>450</v>
      </c>
      <c r="DI2500" s="5" t="s">
        <v>240</v>
      </c>
      <c r="DJ2500" s="5" t="s">
        <v>240</v>
      </c>
      <c r="DK2500" s="5" t="s">
        <v>240</v>
      </c>
      <c r="DL2500" s="5" t="s">
        <v>240</v>
      </c>
      <c r="DP2500" s="5" t="s">
        <v>240</v>
      </c>
      <c r="DQ2500" s="5" t="s">
        <v>240</v>
      </c>
      <c r="DR2500" s="5" t="s">
        <v>240</v>
      </c>
      <c r="DS2500" s="5" t="s">
        <v>240</v>
      </c>
      <c r="DV2500" s="5" t="s">
        <v>310</v>
      </c>
      <c r="DW2500" s="5" t="s">
        <v>3051</v>
      </c>
      <c r="HO2500" s="5" t="s">
        <v>312</v>
      </c>
    </row>
    <row r="2501" spans="1:223" x14ac:dyDescent="0.4">
      <c r="A2501" s="5">
        <v>4205</v>
      </c>
      <c r="B2501" s="5">
        <v>1</v>
      </c>
      <c r="C2501" s="5">
        <v>1</v>
      </c>
      <c r="D2501" s="5" t="s">
        <v>810</v>
      </c>
      <c r="E2501" s="5" t="s">
        <v>245</v>
      </c>
      <c r="F2501" s="5" t="s">
        <v>254</v>
      </c>
      <c r="G2501" s="5" t="s">
        <v>240</v>
      </c>
      <c r="H2501" s="6" t="s">
        <v>3543</v>
      </c>
      <c r="I2501" s="5" t="s">
        <v>809</v>
      </c>
      <c r="J2501" s="8">
        <f>940</f>
        <v>940</v>
      </c>
      <c r="K2501" s="5" t="s">
        <v>308</v>
      </c>
      <c r="L2501" s="7">
        <f>1</f>
        <v>1</v>
      </c>
      <c r="M2501" s="7">
        <f>1</f>
        <v>1</v>
      </c>
      <c r="N2501" s="5" t="s">
        <v>242</v>
      </c>
      <c r="O2501" s="5">
        <v>1</v>
      </c>
      <c r="P2501" s="5" t="s">
        <v>294</v>
      </c>
      <c r="Q2501" s="5" t="s">
        <v>266</v>
      </c>
      <c r="R2501" s="5" t="s">
        <v>240</v>
      </c>
      <c r="S2501" s="5" t="s">
        <v>240</v>
      </c>
      <c r="T2501" s="5" t="s">
        <v>296</v>
      </c>
      <c r="U2501" s="5" t="s">
        <v>244</v>
      </c>
      <c r="V2501" s="5" t="s">
        <v>240</v>
      </c>
      <c r="Y2501" s="5" t="s">
        <v>240</v>
      </c>
      <c r="Z2501" s="6" t="s">
        <v>298</v>
      </c>
      <c r="AB2501" s="6" t="s">
        <v>240</v>
      </c>
      <c r="AE2501" s="6" t="s">
        <v>299</v>
      </c>
      <c r="AF2501" s="5" t="s">
        <v>248</v>
      </c>
      <c r="AG2501" s="5" t="s">
        <v>249</v>
      </c>
      <c r="AW2501" s="5" t="s">
        <v>251</v>
      </c>
      <c r="AX2501" s="5" t="s">
        <v>240</v>
      </c>
      <c r="AY2501" s="5" t="s">
        <v>253</v>
      </c>
      <c r="AZ2501" s="5" t="s">
        <v>240</v>
      </c>
      <c r="BA2501" s="5" t="s">
        <v>255</v>
      </c>
      <c r="BB2501" s="5" t="s">
        <v>240</v>
      </c>
      <c r="BD2501" s="5" t="s">
        <v>240</v>
      </c>
      <c r="BF2501" s="5" t="s">
        <v>301</v>
      </c>
      <c r="BG2501" s="6" t="s">
        <v>299</v>
      </c>
      <c r="BH2501" s="5" t="s">
        <v>302</v>
      </c>
      <c r="BI2501" s="5" t="s">
        <v>303</v>
      </c>
      <c r="BJ2501" s="5" t="s">
        <v>240</v>
      </c>
      <c r="BK2501" s="8">
        <f>0</f>
        <v>0</v>
      </c>
      <c r="BL2501" s="7">
        <f>0</f>
        <v>0</v>
      </c>
      <c r="BM2501" s="5" t="s">
        <v>258</v>
      </c>
      <c r="BN2501" s="5" t="s">
        <v>259</v>
      </c>
      <c r="CB2501" s="5" t="s">
        <v>240</v>
      </c>
      <c r="CC2501" s="5" t="s">
        <v>240</v>
      </c>
      <c r="CG2501" s="5" t="s">
        <v>304</v>
      </c>
      <c r="CH2501" s="5" t="s">
        <v>305</v>
      </c>
      <c r="CI2501" s="5" t="s">
        <v>240</v>
      </c>
      <c r="CL2501" s="6" t="s">
        <v>261</v>
      </c>
      <c r="CM2501" s="5" t="s">
        <v>240</v>
      </c>
      <c r="CN2501" s="5" t="s">
        <v>263</v>
      </c>
      <c r="CO2501" s="5" t="s">
        <v>240</v>
      </c>
      <c r="CP2501" s="5" t="s">
        <v>240</v>
      </c>
      <c r="CQ2501" s="5">
        <v>0</v>
      </c>
      <c r="CR2501" s="5" t="s">
        <v>306</v>
      </c>
      <c r="CS2501" s="5" t="s">
        <v>307</v>
      </c>
      <c r="CT2501" s="5" t="s">
        <v>307</v>
      </c>
      <c r="CU2501" s="5" t="s">
        <v>260</v>
      </c>
      <c r="CX2501" s="7">
        <f>1</f>
        <v>1</v>
      </c>
      <c r="CY2501" s="7">
        <f>0</f>
        <v>0</v>
      </c>
      <c r="DA2501" s="7">
        <f>0</f>
        <v>0</v>
      </c>
      <c r="DC2501" s="5" t="s">
        <v>309</v>
      </c>
      <c r="DD2501" s="5" t="s">
        <v>240</v>
      </c>
      <c r="DF2501" s="5" t="s">
        <v>309</v>
      </c>
      <c r="DG2501" s="7">
        <f>52</f>
        <v>52</v>
      </c>
      <c r="DI2501" s="5" t="s">
        <v>240</v>
      </c>
      <c r="DJ2501" s="5" t="s">
        <v>240</v>
      </c>
      <c r="DK2501" s="5" t="s">
        <v>240</v>
      </c>
      <c r="DL2501" s="5" t="s">
        <v>240</v>
      </c>
      <c r="DP2501" s="5" t="s">
        <v>240</v>
      </c>
      <c r="DQ2501" s="5" t="s">
        <v>240</v>
      </c>
      <c r="DR2501" s="5" t="s">
        <v>240</v>
      </c>
      <c r="DS2501" s="5" t="s">
        <v>240</v>
      </c>
      <c r="DV2501" s="5" t="s">
        <v>310</v>
      </c>
      <c r="DW2501" s="5" t="s">
        <v>3053</v>
      </c>
      <c r="HO2501" s="5" t="s">
        <v>312</v>
      </c>
    </row>
    <row r="2502" spans="1:223" x14ac:dyDescent="0.4">
      <c r="A2502" s="5">
        <v>4206</v>
      </c>
      <c r="B2502" s="5">
        <v>1</v>
      </c>
      <c r="C2502" s="5">
        <v>1</v>
      </c>
      <c r="D2502" s="5" t="s">
        <v>810</v>
      </c>
      <c r="E2502" s="5" t="s">
        <v>245</v>
      </c>
      <c r="F2502" s="5" t="s">
        <v>254</v>
      </c>
      <c r="G2502" s="5" t="s">
        <v>240</v>
      </c>
      <c r="H2502" s="6" t="s">
        <v>3541</v>
      </c>
      <c r="I2502" s="5" t="s">
        <v>809</v>
      </c>
      <c r="J2502" s="8">
        <f>899</f>
        <v>899</v>
      </c>
      <c r="K2502" s="5" t="s">
        <v>308</v>
      </c>
      <c r="L2502" s="7">
        <f>1</f>
        <v>1</v>
      </c>
      <c r="M2502" s="7">
        <f>1</f>
        <v>1</v>
      </c>
      <c r="N2502" s="5" t="s">
        <v>242</v>
      </c>
      <c r="O2502" s="5">
        <v>1</v>
      </c>
      <c r="P2502" s="5" t="s">
        <v>294</v>
      </c>
      <c r="Q2502" s="5" t="s">
        <v>266</v>
      </c>
      <c r="R2502" s="5" t="s">
        <v>240</v>
      </c>
      <c r="S2502" s="5" t="s">
        <v>240</v>
      </c>
      <c r="T2502" s="5" t="s">
        <v>296</v>
      </c>
      <c r="U2502" s="5" t="s">
        <v>244</v>
      </c>
      <c r="V2502" s="5" t="s">
        <v>240</v>
      </c>
      <c r="Y2502" s="5" t="s">
        <v>240</v>
      </c>
      <c r="Z2502" s="6" t="s">
        <v>298</v>
      </c>
      <c r="AB2502" s="6" t="s">
        <v>240</v>
      </c>
      <c r="AE2502" s="6" t="s">
        <v>299</v>
      </c>
      <c r="AF2502" s="5" t="s">
        <v>248</v>
      </c>
      <c r="AG2502" s="5" t="s">
        <v>249</v>
      </c>
      <c r="AW2502" s="5" t="s">
        <v>251</v>
      </c>
      <c r="AX2502" s="5" t="s">
        <v>240</v>
      </c>
      <c r="AY2502" s="5" t="s">
        <v>253</v>
      </c>
      <c r="AZ2502" s="5" t="s">
        <v>240</v>
      </c>
      <c r="BA2502" s="5" t="s">
        <v>255</v>
      </c>
      <c r="BB2502" s="5" t="s">
        <v>240</v>
      </c>
      <c r="BD2502" s="5" t="s">
        <v>240</v>
      </c>
      <c r="BF2502" s="5" t="s">
        <v>301</v>
      </c>
      <c r="BG2502" s="6" t="s">
        <v>299</v>
      </c>
      <c r="BH2502" s="5" t="s">
        <v>302</v>
      </c>
      <c r="BI2502" s="5" t="s">
        <v>303</v>
      </c>
      <c r="BJ2502" s="5" t="s">
        <v>240</v>
      </c>
      <c r="BK2502" s="8">
        <f>0</f>
        <v>0</v>
      </c>
      <c r="BL2502" s="7">
        <f>0</f>
        <v>0</v>
      </c>
      <c r="BM2502" s="5" t="s">
        <v>258</v>
      </c>
      <c r="BN2502" s="5" t="s">
        <v>259</v>
      </c>
      <c r="CB2502" s="5" t="s">
        <v>240</v>
      </c>
      <c r="CC2502" s="5" t="s">
        <v>240</v>
      </c>
      <c r="CG2502" s="5" t="s">
        <v>304</v>
      </c>
      <c r="CH2502" s="5" t="s">
        <v>305</v>
      </c>
      <c r="CI2502" s="5" t="s">
        <v>240</v>
      </c>
      <c r="CL2502" s="6" t="s">
        <v>261</v>
      </c>
      <c r="CM2502" s="5" t="s">
        <v>240</v>
      </c>
      <c r="CN2502" s="5" t="s">
        <v>263</v>
      </c>
      <c r="CO2502" s="5" t="s">
        <v>240</v>
      </c>
      <c r="CP2502" s="5" t="s">
        <v>240</v>
      </c>
      <c r="CQ2502" s="5">
        <v>0</v>
      </c>
      <c r="CR2502" s="5" t="s">
        <v>306</v>
      </c>
      <c r="CS2502" s="5" t="s">
        <v>307</v>
      </c>
      <c r="CT2502" s="5" t="s">
        <v>307</v>
      </c>
      <c r="CU2502" s="5" t="s">
        <v>260</v>
      </c>
      <c r="CX2502" s="7">
        <f>1</f>
        <v>1</v>
      </c>
      <c r="CY2502" s="7">
        <f>0</f>
        <v>0</v>
      </c>
      <c r="DA2502" s="7">
        <f>0</f>
        <v>0</v>
      </c>
      <c r="DC2502" s="5" t="s">
        <v>812</v>
      </c>
      <c r="DD2502" s="5" t="s">
        <v>240</v>
      </c>
      <c r="DF2502" s="5" t="s">
        <v>812</v>
      </c>
      <c r="DG2502" s="7">
        <f>487</f>
        <v>487</v>
      </c>
      <c r="DI2502" s="5" t="s">
        <v>240</v>
      </c>
      <c r="DJ2502" s="5" t="s">
        <v>240</v>
      </c>
      <c r="DK2502" s="5" t="s">
        <v>240</v>
      </c>
      <c r="DL2502" s="5" t="s">
        <v>240</v>
      </c>
      <c r="DP2502" s="5" t="s">
        <v>240</v>
      </c>
      <c r="DQ2502" s="5" t="s">
        <v>240</v>
      </c>
      <c r="DR2502" s="5" t="s">
        <v>240</v>
      </c>
      <c r="DS2502" s="5" t="s">
        <v>240</v>
      </c>
      <c r="DV2502" s="5" t="s">
        <v>813</v>
      </c>
      <c r="DW2502" s="5" t="s">
        <v>4604</v>
      </c>
      <c r="HO2502" s="5" t="s">
        <v>312</v>
      </c>
    </row>
    <row r="2503" spans="1:223" x14ac:dyDescent="0.4">
      <c r="A2503" s="5">
        <v>4207</v>
      </c>
      <c r="B2503" s="5">
        <v>1</v>
      </c>
      <c r="C2503" s="5">
        <v>1</v>
      </c>
      <c r="D2503" s="5" t="s">
        <v>810</v>
      </c>
      <c r="E2503" s="5" t="s">
        <v>245</v>
      </c>
      <c r="F2503" s="5" t="s">
        <v>254</v>
      </c>
      <c r="G2503" s="5" t="s">
        <v>240</v>
      </c>
      <c r="H2503" s="6" t="s">
        <v>3539</v>
      </c>
      <c r="I2503" s="5" t="s">
        <v>809</v>
      </c>
      <c r="J2503" s="8">
        <f>288</f>
        <v>288</v>
      </c>
      <c r="K2503" s="5" t="s">
        <v>308</v>
      </c>
      <c r="L2503" s="7">
        <f>1</f>
        <v>1</v>
      </c>
      <c r="M2503" s="7">
        <f>1</f>
        <v>1</v>
      </c>
      <c r="N2503" s="5" t="s">
        <v>242</v>
      </c>
      <c r="O2503" s="5">
        <v>1</v>
      </c>
      <c r="P2503" s="5" t="s">
        <v>294</v>
      </c>
      <c r="Q2503" s="5" t="s">
        <v>266</v>
      </c>
      <c r="R2503" s="5" t="s">
        <v>240</v>
      </c>
      <c r="S2503" s="5" t="s">
        <v>240</v>
      </c>
      <c r="T2503" s="5" t="s">
        <v>296</v>
      </c>
      <c r="U2503" s="5" t="s">
        <v>244</v>
      </c>
      <c r="V2503" s="5" t="s">
        <v>240</v>
      </c>
      <c r="Y2503" s="5" t="s">
        <v>240</v>
      </c>
      <c r="Z2503" s="6" t="s">
        <v>298</v>
      </c>
      <c r="AB2503" s="6" t="s">
        <v>240</v>
      </c>
      <c r="AE2503" s="6" t="s">
        <v>299</v>
      </c>
      <c r="AF2503" s="5" t="s">
        <v>248</v>
      </c>
      <c r="AG2503" s="5" t="s">
        <v>249</v>
      </c>
      <c r="AW2503" s="5" t="s">
        <v>251</v>
      </c>
      <c r="AX2503" s="5" t="s">
        <v>240</v>
      </c>
      <c r="AY2503" s="5" t="s">
        <v>253</v>
      </c>
      <c r="AZ2503" s="5" t="s">
        <v>240</v>
      </c>
      <c r="BA2503" s="5" t="s">
        <v>255</v>
      </c>
      <c r="BB2503" s="5" t="s">
        <v>240</v>
      </c>
      <c r="BD2503" s="5" t="s">
        <v>240</v>
      </c>
      <c r="BF2503" s="5" t="s">
        <v>301</v>
      </c>
      <c r="BG2503" s="6" t="s">
        <v>299</v>
      </c>
      <c r="BH2503" s="5" t="s">
        <v>302</v>
      </c>
      <c r="BI2503" s="5" t="s">
        <v>303</v>
      </c>
      <c r="BJ2503" s="5" t="s">
        <v>240</v>
      </c>
      <c r="BK2503" s="8">
        <f>0</f>
        <v>0</v>
      </c>
      <c r="BL2503" s="7">
        <f>0</f>
        <v>0</v>
      </c>
      <c r="BM2503" s="5" t="s">
        <v>258</v>
      </c>
      <c r="BN2503" s="5" t="s">
        <v>259</v>
      </c>
      <c r="CB2503" s="5" t="s">
        <v>240</v>
      </c>
      <c r="CC2503" s="5" t="s">
        <v>240</v>
      </c>
      <c r="CG2503" s="5" t="s">
        <v>304</v>
      </c>
      <c r="CH2503" s="5" t="s">
        <v>305</v>
      </c>
      <c r="CI2503" s="5" t="s">
        <v>240</v>
      </c>
      <c r="CL2503" s="6" t="s">
        <v>261</v>
      </c>
      <c r="CM2503" s="5" t="s">
        <v>240</v>
      </c>
      <c r="CN2503" s="5" t="s">
        <v>263</v>
      </c>
      <c r="CO2503" s="5" t="s">
        <v>240</v>
      </c>
      <c r="CP2503" s="5" t="s">
        <v>240</v>
      </c>
      <c r="CQ2503" s="5">
        <v>0</v>
      </c>
      <c r="CR2503" s="5" t="s">
        <v>306</v>
      </c>
      <c r="CS2503" s="5" t="s">
        <v>307</v>
      </c>
      <c r="CT2503" s="5" t="s">
        <v>307</v>
      </c>
      <c r="CU2503" s="5" t="s">
        <v>260</v>
      </c>
      <c r="CX2503" s="7">
        <f>1</f>
        <v>1</v>
      </c>
      <c r="CY2503" s="7">
        <f>0</f>
        <v>0</v>
      </c>
      <c r="DA2503" s="7">
        <f>0</f>
        <v>0</v>
      </c>
      <c r="DC2503" s="5" t="s">
        <v>309</v>
      </c>
      <c r="DD2503" s="5" t="s">
        <v>240</v>
      </c>
      <c r="DF2503" s="5" t="s">
        <v>309</v>
      </c>
      <c r="DG2503" s="7">
        <f>1610</f>
        <v>1610</v>
      </c>
      <c r="DI2503" s="5" t="s">
        <v>240</v>
      </c>
      <c r="DJ2503" s="5" t="s">
        <v>240</v>
      </c>
      <c r="DK2503" s="5" t="s">
        <v>240</v>
      </c>
      <c r="DL2503" s="5" t="s">
        <v>240</v>
      </c>
      <c r="DP2503" s="5" t="s">
        <v>240</v>
      </c>
      <c r="DQ2503" s="5" t="s">
        <v>240</v>
      </c>
      <c r="DR2503" s="5" t="s">
        <v>240</v>
      </c>
      <c r="DS2503" s="5" t="s">
        <v>240</v>
      </c>
      <c r="DV2503" s="5" t="s">
        <v>310</v>
      </c>
      <c r="DW2503" s="5" t="s">
        <v>3056</v>
      </c>
      <c r="HO2503" s="5" t="s">
        <v>312</v>
      </c>
    </row>
    <row r="2504" spans="1:223" x14ac:dyDescent="0.4">
      <c r="A2504" s="5">
        <v>4208</v>
      </c>
      <c r="B2504" s="5">
        <v>1</v>
      </c>
      <c r="C2504" s="5">
        <v>1</v>
      </c>
      <c r="D2504" s="5" t="s">
        <v>810</v>
      </c>
      <c r="E2504" s="5" t="s">
        <v>245</v>
      </c>
      <c r="F2504" s="5" t="s">
        <v>254</v>
      </c>
      <c r="G2504" s="5" t="s">
        <v>240</v>
      </c>
      <c r="H2504" s="6" t="s">
        <v>3537</v>
      </c>
      <c r="I2504" s="5" t="s">
        <v>809</v>
      </c>
      <c r="J2504" s="8">
        <f>236</f>
        <v>236</v>
      </c>
      <c r="K2504" s="5" t="s">
        <v>308</v>
      </c>
      <c r="L2504" s="7">
        <f>1</f>
        <v>1</v>
      </c>
      <c r="M2504" s="7">
        <f>1</f>
        <v>1</v>
      </c>
      <c r="N2504" s="5" t="s">
        <v>242</v>
      </c>
      <c r="O2504" s="5">
        <v>1</v>
      </c>
      <c r="P2504" s="5" t="s">
        <v>294</v>
      </c>
      <c r="Q2504" s="5" t="s">
        <v>266</v>
      </c>
      <c r="R2504" s="5" t="s">
        <v>240</v>
      </c>
      <c r="S2504" s="5" t="s">
        <v>240</v>
      </c>
      <c r="T2504" s="5" t="s">
        <v>296</v>
      </c>
      <c r="U2504" s="5" t="s">
        <v>244</v>
      </c>
      <c r="V2504" s="5" t="s">
        <v>240</v>
      </c>
      <c r="Y2504" s="5" t="s">
        <v>240</v>
      </c>
      <c r="Z2504" s="6" t="s">
        <v>298</v>
      </c>
      <c r="AB2504" s="6" t="s">
        <v>240</v>
      </c>
      <c r="AE2504" s="6" t="s">
        <v>299</v>
      </c>
      <c r="AF2504" s="5" t="s">
        <v>248</v>
      </c>
      <c r="AG2504" s="5" t="s">
        <v>249</v>
      </c>
      <c r="AW2504" s="5" t="s">
        <v>251</v>
      </c>
      <c r="AX2504" s="5" t="s">
        <v>240</v>
      </c>
      <c r="AY2504" s="5" t="s">
        <v>253</v>
      </c>
      <c r="AZ2504" s="5" t="s">
        <v>240</v>
      </c>
      <c r="BA2504" s="5" t="s">
        <v>255</v>
      </c>
      <c r="BB2504" s="5" t="s">
        <v>240</v>
      </c>
      <c r="BD2504" s="5" t="s">
        <v>240</v>
      </c>
      <c r="BF2504" s="5" t="s">
        <v>301</v>
      </c>
      <c r="BG2504" s="6" t="s">
        <v>299</v>
      </c>
      <c r="BH2504" s="5" t="s">
        <v>302</v>
      </c>
      <c r="BI2504" s="5" t="s">
        <v>303</v>
      </c>
      <c r="BJ2504" s="5" t="s">
        <v>240</v>
      </c>
      <c r="BK2504" s="8">
        <f>0</f>
        <v>0</v>
      </c>
      <c r="BL2504" s="7">
        <f>0</f>
        <v>0</v>
      </c>
      <c r="BM2504" s="5" t="s">
        <v>258</v>
      </c>
      <c r="BN2504" s="5" t="s">
        <v>259</v>
      </c>
      <c r="CB2504" s="5" t="s">
        <v>240</v>
      </c>
      <c r="CC2504" s="5" t="s">
        <v>240</v>
      </c>
      <c r="CG2504" s="5" t="s">
        <v>304</v>
      </c>
      <c r="CH2504" s="5" t="s">
        <v>305</v>
      </c>
      <c r="CI2504" s="5" t="s">
        <v>240</v>
      </c>
      <c r="CL2504" s="6" t="s">
        <v>261</v>
      </c>
      <c r="CM2504" s="5" t="s">
        <v>240</v>
      </c>
      <c r="CN2504" s="5" t="s">
        <v>263</v>
      </c>
      <c r="CO2504" s="5" t="s">
        <v>240</v>
      </c>
      <c r="CP2504" s="5" t="s">
        <v>240</v>
      </c>
      <c r="CQ2504" s="5">
        <v>0</v>
      </c>
      <c r="CR2504" s="5" t="s">
        <v>306</v>
      </c>
      <c r="CS2504" s="5" t="s">
        <v>307</v>
      </c>
      <c r="CT2504" s="5" t="s">
        <v>307</v>
      </c>
      <c r="CU2504" s="5" t="s">
        <v>260</v>
      </c>
      <c r="CX2504" s="7">
        <f>1</f>
        <v>1</v>
      </c>
      <c r="CY2504" s="7">
        <f>0</f>
        <v>0</v>
      </c>
      <c r="DA2504" s="7">
        <f>0</f>
        <v>0</v>
      </c>
      <c r="DC2504" s="5" t="s">
        <v>309</v>
      </c>
      <c r="DD2504" s="5" t="s">
        <v>240</v>
      </c>
      <c r="DF2504" s="5" t="s">
        <v>309</v>
      </c>
      <c r="DG2504" s="7">
        <f>995</f>
        <v>995</v>
      </c>
      <c r="DI2504" s="5" t="s">
        <v>240</v>
      </c>
      <c r="DJ2504" s="5" t="s">
        <v>240</v>
      </c>
      <c r="DK2504" s="5" t="s">
        <v>240</v>
      </c>
      <c r="DL2504" s="5" t="s">
        <v>240</v>
      </c>
      <c r="DP2504" s="5" t="s">
        <v>240</v>
      </c>
      <c r="DQ2504" s="5" t="s">
        <v>240</v>
      </c>
      <c r="DR2504" s="5" t="s">
        <v>240</v>
      </c>
      <c r="DS2504" s="5" t="s">
        <v>240</v>
      </c>
      <c r="DV2504" s="5" t="s">
        <v>310</v>
      </c>
      <c r="DW2504" s="5" t="s">
        <v>3058</v>
      </c>
      <c r="HO2504" s="5" t="s">
        <v>312</v>
      </c>
    </row>
    <row r="2505" spans="1:223" x14ac:dyDescent="0.4">
      <c r="A2505" s="5">
        <v>4209</v>
      </c>
      <c r="B2505" s="5">
        <v>1</v>
      </c>
      <c r="C2505" s="5">
        <v>1</v>
      </c>
      <c r="D2505" s="5" t="s">
        <v>810</v>
      </c>
      <c r="E2505" s="5" t="s">
        <v>245</v>
      </c>
      <c r="F2505" s="5" t="s">
        <v>254</v>
      </c>
      <c r="G2505" s="5" t="s">
        <v>240</v>
      </c>
      <c r="H2505" s="6" t="s">
        <v>3535</v>
      </c>
      <c r="I2505" s="5" t="s">
        <v>809</v>
      </c>
      <c r="J2505" s="8">
        <f>172</f>
        <v>172</v>
      </c>
      <c r="K2505" s="5" t="s">
        <v>308</v>
      </c>
      <c r="L2505" s="7">
        <f>1</f>
        <v>1</v>
      </c>
      <c r="M2505" s="7">
        <f>1</f>
        <v>1</v>
      </c>
      <c r="N2505" s="5" t="s">
        <v>242</v>
      </c>
      <c r="O2505" s="5">
        <v>1</v>
      </c>
      <c r="P2505" s="5" t="s">
        <v>294</v>
      </c>
      <c r="Q2505" s="5" t="s">
        <v>266</v>
      </c>
      <c r="R2505" s="5" t="s">
        <v>240</v>
      </c>
      <c r="S2505" s="5" t="s">
        <v>240</v>
      </c>
      <c r="T2505" s="5" t="s">
        <v>296</v>
      </c>
      <c r="U2505" s="5" t="s">
        <v>244</v>
      </c>
      <c r="V2505" s="5" t="s">
        <v>240</v>
      </c>
      <c r="Y2505" s="5" t="s">
        <v>240</v>
      </c>
      <c r="Z2505" s="6" t="s">
        <v>298</v>
      </c>
      <c r="AB2505" s="6" t="s">
        <v>240</v>
      </c>
      <c r="AE2505" s="6" t="s">
        <v>299</v>
      </c>
      <c r="AF2505" s="5" t="s">
        <v>248</v>
      </c>
      <c r="AG2505" s="5" t="s">
        <v>249</v>
      </c>
      <c r="AW2505" s="5" t="s">
        <v>251</v>
      </c>
      <c r="AX2505" s="5" t="s">
        <v>240</v>
      </c>
      <c r="AY2505" s="5" t="s">
        <v>253</v>
      </c>
      <c r="AZ2505" s="5" t="s">
        <v>240</v>
      </c>
      <c r="BA2505" s="5" t="s">
        <v>255</v>
      </c>
      <c r="BB2505" s="5" t="s">
        <v>240</v>
      </c>
      <c r="BD2505" s="5" t="s">
        <v>240</v>
      </c>
      <c r="BF2505" s="5" t="s">
        <v>301</v>
      </c>
      <c r="BG2505" s="6" t="s">
        <v>299</v>
      </c>
      <c r="BH2505" s="5" t="s">
        <v>302</v>
      </c>
      <c r="BI2505" s="5" t="s">
        <v>303</v>
      </c>
      <c r="BJ2505" s="5" t="s">
        <v>240</v>
      </c>
      <c r="BK2505" s="8">
        <f>0</f>
        <v>0</v>
      </c>
      <c r="BL2505" s="7">
        <f>0</f>
        <v>0</v>
      </c>
      <c r="BM2505" s="5" t="s">
        <v>258</v>
      </c>
      <c r="BN2505" s="5" t="s">
        <v>259</v>
      </c>
      <c r="CB2505" s="5" t="s">
        <v>240</v>
      </c>
      <c r="CC2505" s="5" t="s">
        <v>240</v>
      </c>
      <c r="CG2505" s="5" t="s">
        <v>304</v>
      </c>
      <c r="CH2505" s="5" t="s">
        <v>305</v>
      </c>
      <c r="CI2505" s="5" t="s">
        <v>240</v>
      </c>
      <c r="CL2505" s="6" t="s">
        <v>261</v>
      </c>
      <c r="CM2505" s="5" t="s">
        <v>240</v>
      </c>
      <c r="CN2505" s="5" t="s">
        <v>263</v>
      </c>
      <c r="CO2505" s="5" t="s">
        <v>240</v>
      </c>
      <c r="CP2505" s="5" t="s">
        <v>240</v>
      </c>
      <c r="CQ2505" s="5">
        <v>0</v>
      </c>
      <c r="CR2505" s="5" t="s">
        <v>306</v>
      </c>
      <c r="CS2505" s="5" t="s">
        <v>307</v>
      </c>
      <c r="CT2505" s="5" t="s">
        <v>307</v>
      </c>
      <c r="CU2505" s="5" t="s">
        <v>260</v>
      </c>
      <c r="CX2505" s="7">
        <f>1</f>
        <v>1</v>
      </c>
      <c r="CY2505" s="7">
        <f>0</f>
        <v>0</v>
      </c>
      <c r="DA2505" s="7">
        <f>0</f>
        <v>0</v>
      </c>
      <c r="DC2505" s="5" t="s">
        <v>309</v>
      </c>
      <c r="DD2505" s="5" t="s">
        <v>240</v>
      </c>
      <c r="DF2505" s="5" t="s">
        <v>309</v>
      </c>
      <c r="DG2505" s="7">
        <f>105</f>
        <v>105</v>
      </c>
      <c r="DI2505" s="5" t="s">
        <v>240</v>
      </c>
      <c r="DJ2505" s="5" t="s">
        <v>240</v>
      </c>
      <c r="DK2505" s="5" t="s">
        <v>240</v>
      </c>
      <c r="DL2505" s="5" t="s">
        <v>240</v>
      </c>
      <c r="DP2505" s="5" t="s">
        <v>240</v>
      </c>
      <c r="DQ2505" s="5" t="s">
        <v>240</v>
      </c>
      <c r="DR2505" s="5" t="s">
        <v>240</v>
      </c>
      <c r="DS2505" s="5" t="s">
        <v>240</v>
      </c>
      <c r="DV2505" s="5" t="s">
        <v>310</v>
      </c>
      <c r="DW2505" s="5" t="s">
        <v>3060</v>
      </c>
      <c r="HO2505" s="5" t="s">
        <v>312</v>
      </c>
    </row>
    <row r="2506" spans="1:223" x14ac:dyDescent="0.4">
      <c r="A2506" s="5">
        <v>4210</v>
      </c>
      <c r="B2506" s="5">
        <v>1</v>
      </c>
      <c r="C2506" s="5">
        <v>1</v>
      </c>
      <c r="D2506" s="5" t="s">
        <v>810</v>
      </c>
      <c r="E2506" s="5" t="s">
        <v>245</v>
      </c>
      <c r="F2506" s="5" t="s">
        <v>254</v>
      </c>
      <c r="G2506" s="5" t="s">
        <v>240</v>
      </c>
      <c r="H2506" s="6" t="s">
        <v>3533</v>
      </c>
      <c r="I2506" s="5" t="s">
        <v>809</v>
      </c>
      <c r="J2506" s="8">
        <f>104</f>
        <v>104</v>
      </c>
      <c r="K2506" s="5" t="s">
        <v>308</v>
      </c>
      <c r="L2506" s="7">
        <f>1</f>
        <v>1</v>
      </c>
      <c r="M2506" s="7">
        <f>1</f>
        <v>1</v>
      </c>
      <c r="N2506" s="5" t="s">
        <v>242</v>
      </c>
      <c r="O2506" s="5">
        <v>1</v>
      </c>
      <c r="P2506" s="5" t="s">
        <v>294</v>
      </c>
      <c r="Q2506" s="5" t="s">
        <v>266</v>
      </c>
      <c r="R2506" s="5" t="s">
        <v>240</v>
      </c>
      <c r="S2506" s="5" t="s">
        <v>240</v>
      </c>
      <c r="T2506" s="5" t="s">
        <v>296</v>
      </c>
      <c r="U2506" s="5" t="s">
        <v>244</v>
      </c>
      <c r="V2506" s="5" t="s">
        <v>240</v>
      </c>
      <c r="Y2506" s="5" t="s">
        <v>240</v>
      </c>
      <c r="Z2506" s="6" t="s">
        <v>298</v>
      </c>
      <c r="AB2506" s="6" t="s">
        <v>240</v>
      </c>
      <c r="AE2506" s="6" t="s">
        <v>299</v>
      </c>
      <c r="AF2506" s="5" t="s">
        <v>248</v>
      </c>
      <c r="AG2506" s="5" t="s">
        <v>249</v>
      </c>
      <c r="AW2506" s="5" t="s">
        <v>251</v>
      </c>
      <c r="AX2506" s="5" t="s">
        <v>240</v>
      </c>
      <c r="AY2506" s="5" t="s">
        <v>253</v>
      </c>
      <c r="AZ2506" s="5" t="s">
        <v>240</v>
      </c>
      <c r="BA2506" s="5" t="s">
        <v>255</v>
      </c>
      <c r="BB2506" s="5" t="s">
        <v>240</v>
      </c>
      <c r="BD2506" s="5" t="s">
        <v>240</v>
      </c>
      <c r="BF2506" s="5" t="s">
        <v>301</v>
      </c>
      <c r="BG2506" s="6" t="s">
        <v>299</v>
      </c>
      <c r="BH2506" s="5" t="s">
        <v>302</v>
      </c>
      <c r="BI2506" s="5" t="s">
        <v>303</v>
      </c>
      <c r="BJ2506" s="5" t="s">
        <v>240</v>
      </c>
      <c r="BK2506" s="8">
        <f>0</f>
        <v>0</v>
      </c>
      <c r="BL2506" s="7">
        <f>0</f>
        <v>0</v>
      </c>
      <c r="BM2506" s="5" t="s">
        <v>258</v>
      </c>
      <c r="BN2506" s="5" t="s">
        <v>259</v>
      </c>
      <c r="CB2506" s="5" t="s">
        <v>240</v>
      </c>
      <c r="CC2506" s="5" t="s">
        <v>240</v>
      </c>
      <c r="CG2506" s="5" t="s">
        <v>304</v>
      </c>
      <c r="CH2506" s="5" t="s">
        <v>305</v>
      </c>
      <c r="CI2506" s="5" t="s">
        <v>240</v>
      </c>
      <c r="CL2506" s="6" t="s">
        <v>261</v>
      </c>
      <c r="CM2506" s="5" t="s">
        <v>240</v>
      </c>
      <c r="CN2506" s="5" t="s">
        <v>263</v>
      </c>
      <c r="CO2506" s="5" t="s">
        <v>240</v>
      </c>
      <c r="CP2506" s="5" t="s">
        <v>240</v>
      </c>
      <c r="CQ2506" s="5">
        <v>0</v>
      </c>
      <c r="CR2506" s="5" t="s">
        <v>306</v>
      </c>
      <c r="CS2506" s="5" t="s">
        <v>307</v>
      </c>
      <c r="CT2506" s="5" t="s">
        <v>307</v>
      </c>
      <c r="CU2506" s="5" t="s">
        <v>260</v>
      </c>
      <c r="CX2506" s="7">
        <f>1</f>
        <v>1</v>
      </c>
      <c r="CY2506" s="7">
        <f>0</f>
        <v>0</v>
      </c>
      <c r="DA2506" s="7">
        <f>0</f>
        <v>0</v>
      </c>
      <c r="DC2506" s="5" t="s">
        <v>309</v>
      </c>
      <c r="DD2506" s="5" t="s">
        <v>240</v>
      </c>
      <c r="DF2506" s="5" t="s">
        <v>309</v>
      </c>
      <c r="DG2506" s="7">
        <f>508</f>
        <v>508</v>
      </c>
      <c r="DI2506" s="5" t="s">
        <v>240</v>
      </c>
      <c r="DJ2506" s="5" t="s">
        <v>240</v>
      </c>
      <c r="DK2506" s="5" t="s">
        <v>240</v>
      </c>
      <c r="DL2506" s="5" t="s">
        <v>240</v>
      </c>
      <c r="DP2506" s="5" t="s">
        <v>240</v>
      </c>
      <c r="DQ2506" s="5" t="s">
        <v>240</v>
      </c>
      <c r="DR2506" s="5" t="s">
        <v>240</v>
      </c>
      <c r="DS2506" s="5" t="s">
        <v>240</v>
      </c>
      <c r="DV2506" s="5" t="s">
        <v>310</v>
      </c>
      <c r="DW2506" s="5" t="s">
        <v>3062</v>
      </c>
      <c r="HO2506" s="5" t="s">
        <v>312</v>
      </c>
    </row>
    <row r="2507" spans="1:223" x14ac:dyDescent="0.4">
      <c r="A2507" s="5">
        <v>4211</v>
      </c>
      <c r="B2507" s="5">
        <v>1</v>
      </c>
      <c r="C2507" s="5">
        <v>1</v>
      </c>
      <c r="D2507" s="5" t="s">
        <v>810</v>
      </c>
      <c r="E2507" s="5" t="s">
        <v>245</v>
      </c>
      <c r="F2507" s="5" t="s">
        <v>254</v>
      </c>
      <c r="G2507" s="5" t="s">
        <v>240</v>
      </c>
      <c r="H2507" s="6" t="s">
        <v>3531</v>
      </c>
      <c r="I2507" s="5" t="s">
        <v>809</v>
      </c>
      <c r="J2507" s="8">
        <f>1235</f>
        <v>1235</v>
      </c>
      <c r="K2507" s="5" t="s">
        <v>308</v>
      </c>
      <c r="L2507" s="7">
        <f>1</f>
        <v>1</v>
      </c>
      <c r="M2507" s="7">
        <f>1</f>
        <v>1</v>
      </c>
      <c r="N2507" s="5" t="s">
        <v>242</v>
      </c>
      <c r="O2507" s="5">
        <v>1</v>
      </c>
      <c r="P2507" s="5" t="s">
        <v>294</v>
      </c>
      <c r="Q2507" s="5" t="s">
        <v>266</v>
      </c>
      <c r="R2507" s="5" t="s">
        <v>240</v>
      </c>
      <c r="S2507" s="5" t="s">
        <v>240</v>
      </c>
      <c r="T2507" s="5" t="s">
        <v>296</v>
      </c>
      <c r="U2507" s="5" t="s">
        <v>244</v>
      </c>
      <c r="V2507" s="5" t="s">
        <v>240</v>
      </c>
      <c r="Y2507" s="5" t="s">
        <v>240</v>
      </c>
      <c r="Z2507" s="6" t="s">
        <v>298</v>
      </c>
      <c r="AB2507" s="6" t="s">
        <v>240</v>
      </c>
      <c r="AE2507" s="6" t="s">
        <v>299</v>
      </c>
      <c r="AF2507" s="5" t="s">
        <v>248</v>
      </c>
      <c r="AG2507" s="5" t="s">
        <v>249</v>
      </c>
      <c r="AW2507" s="5" t="s">
        <v>251</v>
      </c>
      <c r="AX2507" s="5" t="s">
        <v>240</v>
      </c>
      <c r="AY2507" s="5" t="s">
        <v>253</v>
      </c>
      <c r="AZ2507" s="5" t="s">
        <v>240</v>
      </c>
      <c r="BA2507" s="5" t="s">
        <v>255</v>
      </c>
      <c r="BB2507" s="5" t="s">
        <v>240</v>
      </c>
      <c r="BD2507" s="5" t="s">
        <v>240</v>
      </c>
      <c r="BF2507" s="5" t="s">
        <v>301</v>
      </c>
      <c r="BG2507" s="6" t="s">
        <v>299</v>
      </c>
      <c r="BH2507" s="5" t="s">
        <v>302</v>
      </c>
      <c r="BI2507" s="5" t="s">
        <v>303</v>
      </c>
      <c r="BJ2507" s="5" t="s">
        <v>240</v>
      </c>
      <c r="BK2507" s="8">
        <f>0</f>
        <v>0</v>
      </c>
      <c r="BL2507" s="7">
        <f>0</f>
        <v>0</v>
      </c>
      <c r="BM2507" s="5" t="s">
        <v>258</v>
      </c>
      <c r="BN2507" s="5" t="s">
        <v>259</v>
      </c>
      <c r="CB2507" s="5" t="s">
        <v>240</v>
      </c>
      <c r="CC2507" s="5" t="s">
        <v>240</v>
      </c>
      <c r="CG2507" s="5" t="s">
        <v>304</v>
      </c>
      <c r="CH2507" s="5" t="s">
        <v>305</v>
      </c>
      <c r="CI2507" s="5" t="s">
        <v>240</v>
      </c>
      <c r="CL2507" s="6" t="s">
        <v>261</v>
      </c>
      <c r="CM2507" s="5" t="s">
        <v>240</v>
      </c>
      <c r="CN2507" s="5" t="s">
        <v>263</v>
      </c>
      <c r="CO2507" s="5" t="s">
        <v>240</v>
      </c>
      <c r="CP2507" s="5" t="s">
        <v>240</v>
      </c>
      <c r="CQ2507" s="5">
        <v>0</v>
      </c>
      <c r="CR2507" s="5" t="s">
        <v>306</v>
      </c>
      <c r="CS2507" s="5" t="s">
        <v>307</v>
      </c>
      <c r="CT2507" s="5" t="s">
        <v>307</v>
      </c>
      <c r="CU2507" s="5" t="s">
        <v>260</v>
      </c>
      <c r="CX2507" s="7">
        <f>1</f>
        <v>1</v>
      </c>
      <c r="CY2507" s="7">
        <f>0</f>
        <v>0</v>
      </c>
      <c r="DA2507" s="7">
        <f>0</f>
        <v>0</v>
      </c>
      <c r="DC2507" s="5" t="s">
        <v>309</v>
      </c>
      <c r="DD2507" s="5" t="s">
        <v>240</v>
      </c>
      <c r="DF2507" s="5" t="s">
        <v>309</v>
      </c>
      <c r="DG2507" s="7">
        <f>136</f>
        <v>136</v>
      </c>
      <c r="DI2507" s="5" t="s">
        <v>240</v>
      </c>
      <c r="DJ2507" s="5" t="s">
        <v>240</v>
      </c>
      <c r="DK2507" s="5" t="s">
        <v>240</v>
      </c>
      <c r="DL2507" s="5" t="s">
        <v>240</v>
      </c>
      <c r="DP2507" s="5" t="s">
        <v>240</v>
      </c>
      <c r="DQ2507" s="5" t="s">
        <v>240</v>
      </c>
      <c r="DR2507" s="5" t="s">
        <v>240</v>
      </c>
      <c r="DS2507" s="5" t="s">
        <v>240</v>
      </c>
      <c r="DV2507" s="5" t="s">
        <v>310</v>
      </c>
      <c r="DW2507" s="5" t="s">
        <v>3064</v>
      </c>
      <c r="HO2507" s="5" t="s">
        <v>312</v>
      </c>
    </row>
    <row r="2508" spans="1:223" x14ac:dyDescent="0.4">
      <c r="A2508" s="5">
        <v>4212</v>
      </c>
      <c r="B2508" s="5">
        <v>1</v>
      </c>
      <c r="C2508" s="5">
        <v>1</v>
      </c>
      <c r="D2508" s="5" t="s">
        <v>810</v>
      </c>
      <c r="E2508" s="5" t="s">
        <v>245</v>
      </c>
      <c r="F2508" s="5" t="s">
        <v>254</v>
      </c>
      <c r="G2508" s="5" t="s">
        <v>240</v>
      </c>
      <c r="H2508" s="6" t="s">
        <v>3529</v>
      </c>
      <c r="I2508" s="5" t="s">
        <v>809</v>
      </c>
      <c r="J2508" s="8">
        <f>916</f>
        <v>916</v>
      </c>
      <c r="K2508" s="5" t="s">
        <v>308</v>
      </c>
      <c r="L2508" s="7">
        <f>1</f>
        <v>1</v>
      </c>
      <c r="M2508" s="7">
        <f>1</f>
        <v>1</v>
      </c>
      <c r="N2508" s="5" t="s">
        <v>242</v>
      </c>
      <c r="O2508" s="5">
        <v>1</v>
      </c>
      <c r="P2508" s="5" t="s">
        <v>294</v>
      </c>
      <c r="Q2508" s="5" t="s">
        <v>266</v>
      </c>
      <c r="R2508" s="5" t="s">
        <v>240</v>
      </c>
      <c r="S2508" s="5" t="s">
        <v>240</v>
      </c>
      <c r="T2508" s="5" t="s">
        <v>296</v>
      </c>
      <c r="U2508" s="5" t="s">
        <v>244</v>
      </c>
      <c r="V2508" s="5" t="s">
        <v>240</v>
      </c>
      <c r="Y2508" s="5" t="s">
        <v>240</v>
      </c>
      <c r="Z2508" s="6" t="s">
        <v>298</v>
      </c>
      <c r="AB2508" s="6" t="s">
        <v>240</v>
      </c>
      <c r="AE2508" s="6" t="s">
        <v>299</v>
      </c>
      <c r="AF2508" s="5" t="s">
        <v>248</v>
      </c>
      <c r="AG2508" s="5" t="s">
        <v>249</v>
      </c>
      <c r="AW2508" s="5" t="s">
        <v>251</v>
      </c>
      <c r="AX2508" s="5" t="s">
        <v>240</v>
      </c>
      <c r="AY2508" s="5" t="s">
        <v>253</v>
      </c>
      <c r="AZ2508" s="5" t="s">
        <v>240</v>
      </c>
      <c r="BA2508" s="5" t="s">
        <v>255</v>
      </c>
      <c r="BB2508" s="5" t="s">
        <v>240</v>
      </c>
      <c r="BD2508" s="5" t="s">
        <v>240</v>
      </c>
      <c r="BF2508" s="5" t="s">
        <v>301</v>
      </c>
      <c r="BG2508" s="6" t="s">
        <v>299</v>
      </c>
      <c r="BH2508" s="5" t="s">
        <v>302</v>
      </c>
      <c r="BI2508" s="5" t="s">
        <v>303</v>
      </c>
      <c r="BJ2508" s="5" t="s">
        <v>240</v>
      </c>
      <c r="BK2508" s="8">
        <f>0</f>
        <v>0</v>
      </c>
      <c r="BL2508" s="7">
        <f>0</f>
        <v>0</v>
      </c>
      <c r="BM2508" s="5" t="s">
        <v>258</v>
      </c>
      <c r="BN2508" s="5" t="s">
        <v>259</v>
      </c>
      <c r="CB2508" s="5" t="s">
        <v>240</v>
      </c>
      <c r="CC2508" s="5" t="s">
        <v>240</v>
      </c>
      <c r="CG2508" s="5" t="s">
        <v>304</v>
      </c>
      <c r="CH2508" s="5" t="s">
        <v>305</v>
      </c>
      <c r="CI2508" s="5" t="s">
        <v>240</v>
      </c>
      <c r="CL2508" s="6" t="s">
        <v>261</v>
      </c>
      <c r="CM2508" s="5" t="s">
        <v>240</v>
      </c>
      <c r="CN2508" s="5" t="s">
        <v>263</v>
      </c>
      <c r="CO2508" s="5" t="s">
        <v>240</v>
      </c>
      <c r="CP2508" s="5" t="s">
        <v>240</v>
      </c>
      <c r="CQ2508" s="5">
        <v>0</v>
      </c>
      <c r="CR2508" s="5" t="s">
        <v>306</v>
      </c>
      <c r="CS2508" s="5" t="s">
        <v>307</v>
      </c>
      <c r="CT2508" s="5" t="s">
        <v>307</v>
      </c>
      <c r="CU2508" s="5" t="s">
        <v>260</v>
      </c>
      <c r="CX2508" s="7">
        <f>1</f>
        <v>1</v>
      </c>
      <c r="CY2508" s="7">
        <f>0</f>
        <v>0</v>
      </c>
      <c r="DA2508" s="7">
        <f>0</f>
        <v>0</v>
      </c>
      <c r="DC2508" s="5" t="s">
        <v>309</v>
      </c>
      <c r="DD2508" s="5" t="s">
        <v>240</v>
      </c>
      <c r="DF2508" s="5" t="s">
        <v>309</v>
      </c>
      <c r="DG2508" s="7">
        <f>119</f>
        <v>119</v>
      </c>
      <c r="DI2508" s="5" t="s">
        <v>240</v>
      </c>
      <c r="DJ2508" s="5" t="s">
        <v>240</v>
      </c>
      <c r="DK2508" s="5" t="s">
        <v>240</v>
      </c>
      <c r="DL2508" s="5" t="s">
        <v>240</v>
      </c>
      <c r="DP2508" s="5" t="s">
        <v>240</v>
      </c>
      <c r="DQ2508" s="5" t="s">
        <v>240</v>
      </c>
      <c r="DR2508" s="5" t="s">
        <v>240</v>
      </c>
      <c r="DS2508" s="5" t="s">
        <v>240</v>
      </c>
      <c r="DV2508" s="5" t="s">
        <v>310</v>
      </c>
      <c r="DW2508" s="5" t="s">
        <v>3066</v>
      </c>
      <c r="HO2508" s="5" t="s">
        <v>312</v>
      </c>
    </row>
    <row r="2509" spans="1:223" x14ac:dyDescent="0.4">
      <c r="A2509" s="5">
        <v>4213</v>
      </c>
      <c r="B2509" s="5">
        <v>1</v>
      </c>
      <c r="C2509" s="5">
        <v>1</v>
      </c>
      <c r="D2509" s="5" t="s">
        <v>810</v>
      </c>
      <c r="E2509" s="5" t="s">
        <v>245</v>
      </c>
      <c r="F2509" s="5" t="s">
        <v>254</v>
      </c>
      <c r="G2509" s="5" t="s">
        <v>240</v>
      </c>
      <c r="H2509" s="6" t="s">
        <v>3527</v>
      </c>
      <c r="I2509" s="5" t="s">
        <v>809</v>
      </c>
      <c r="J2509" s="8">
        <f>88</f>
        <v>88</v>
      </c>
      <c r="K2509" s="5" t="s">
        <v>308</v>
      </c>
      <c r="L2509" s="7">
        <f>1</f>
        <v>1</v>
      </c>
      <c r="M2509" s="7">
        <f>1</f>
        <v>1</v>
      </c>
      <c r="N2509" s="5" t="s">
        <v>242</v>
      </c>
      <c r="O2509" s="5">
        <v>1</v>
      </c>
      <c r="P2509" s="5" t="s">
        <v>294</v>
      </c>
      <c r="Q2509" s="5" t="s">
        <v>266</v>
      </c>
      <c r="R2509" s="5" t="s">
        <v>240</v>
      </c>
      <c r="S2509" s="5" t="s">
        <v>240</v>
      </c>
      <c r="T2509" s="5" t="s">
        <v>296</v>
      </c>
      <c r="U2509" s="5" t="s">
        <v>244</v>
      </c>
      <c r="V2509" s="5" t="s">
        <v>240</v>
      </c>
      <c r="Y2509" s="5" t="s">
        <v>240</v>
      </c>
      <c r="Z2509" s="6" t="s">
        <v>298</v>
      </c>
      <c r="AB2509" s="6" t="s">
        <v>240</v>
      </c>
      <c r="AE2509" s="6" t="s">
        <v>299</v>
      </c>
      <c r="AF2509" s="5" t="s">
        <v>248</v>
      </c>
      <c r="AG2509" s="5" t="s">
        <v>249</v>
      </c>
      <c r="AW2509" s="5" t="s">
        <v>251</v>
      </c>
      <c r="AX2509" s="5" t="s">
        <v>240</v>
      </c>
      <c r="AY2509" s="5" t="s">
        <v>253</v>
      </c>
      <c r="AZ2509" s="5" t="s">
        <v>240</v>
      </c>
      <c r="BA2509" s="5" t="s">
        <v>255</v>
      </c>
      <c r="BB2509" s="5" t="s">
        <v>240</v>
      </c>
      <c r="BD2509" s="5" t="s">
        <v>240</v>
      </c>
      <c r="BF2509" s="5" t="s">
        <v>301</v>
      </c>
      <c r="BG2509" s="6" t="s">
        <v>299</v>
      </c>
      <c r="BH2509" s="5" t="s">
        <v>302</v>
      </c>
      <c r="BI2509" s="5" t="s">
        <v>303</v>
      </c>
      <c r="BJ2509" s="5" t="s">
        <v>240</v>
      </c>
      <c r="BK2509" s="8">
        <f>0</f>
        <v>0</v>
      </c>
      <c r="BL2509" s="7">
        <f>0</f>
        <v>0</v>
      </c>
      <c r="BM2509" s="5" t="s">
        <v>258</v>
      </c>
      <c r="BN2509" s="5" t="s">
        <v>259</v>
      </c>
      <c r="CB2509" s="5" t="s">
        <v>240</v>
      </c>
      <c r="CC2509" s="5" t="s">
        <v>240</v>
      </c>
      <c r="CG2509" s="5" t="s">
        <v>304</v>
      </c>
      <c r="CH2509" s="5" t="s">
        <v>305</v>
      </c>
      <c r="CI2509" s="5" t="s">
        <v>240</v>
      </c>
      <c r="CL2509" s="6" t="s">
        <v>261</v>
      </c>
      <c r="CM2509" s="5" t="s">
        <v>240</v>
      </c>
      <c r="CN2509" s="5" t="s">
        <v>263</v>
      </c>
      <c r="CO2509" s="5" t="s">
        <v>240</v>
      </c>
      <c r="CP2509" s="5" t="s">
        <v>240</v>
      </c>
      <c r="CQ2509" s="5">
        <v>0</v>
      </c>
      <c r="CR2509" s="5" t="s">
        <v>306</v>
      </c>
      <c r="CS2509" s="5" t="s">
        <v>307</v>
      </c>
      <c r="CT2509" s="5" t="s">
        <v>307</v>
      </c>
      <c r="CU2509" s="5" t="s">
        <v>260</v>
      </c>
      <c r="CX2509" s="7">
        <f>1</f>
        <v>1</v>
      </c>
      <c r="CY2509" s="7">
        <f>0</f>
        <v>0</v>
      </c>
      <c r="DA2509" s="7">
        <f>0</f>
        <v>0</v>
      </c>
      <c r="DC2509" s="5" t="s">
        <v>309</v>
      </c>
      <c r="DD2509" s="5" t="s">
        <v>240</v>
      </c>
      <c r="DF2509" s="5" t="s">
        <v>309</v>
      </c>
      <c r="DG2509" s="7">
        <f>607</f>
        <v>607</v>
      </c>
      <c r="DI2509" s="5" t="s">
        <v>240</v>
      </c>
      <c r="DJ2509" s="5" t="s">
        <v>240</v>
      </c>
      <c r="DK2509" s="5" t="s">
        <v>240</v>
      </c>
      <c r="DL2509" s="5" t="s">
        <v>240</v>
      </c>
      <c r="DP2509" s="5" t="s">
        <v>240</v>
      </c>
      <c r="DQ2509" s="5" t="s">
        <v>240</v>
      </c>
      <c r="DR2509" s="5" t="s">
        <v>240</v>
      </c>
      <c r="DS2509" s="5" t="s">
        <v>240</v>
      </c>
      <c r="DV2509" s="5" t="s">
        <v>310</v>
      </c>
      <c r="DW2509" s="5" t="s">
        <v>3068</v>
      </c>
      <c r="HO2509" s="5" t="s">
        <v>312</v>
      </c>
    </row>
    <row r="2510" spans="1:223" x14ac:dyDescent="0.4">
      <c r="A2510" s="5">
        <v>4214</v>
      </c>
      <c r="B2510" s="5">
        <v>1</v>
      </c>
      <c r="C2510" s="5">
        <v>1</v>
      </c>
      <c r="D2510" s="5" t="s">
        <v>810</v>
      </c>
      <c r="E2510" s="5" t="s">
        <v>245</v>
      </c>
      <c r="F2510" s="5" t="s">
        <v>254</v>
      </c>
      <c r="G2510" s="5" t="s">
        <v>240</v>
      </c>
      <c r="H2510" s="6" t="s">
        <v>3525</v>
      </c>
      <c r="I2510" s="5" t="s">
        <v>809</v>
      </c>
      <c r="J2510" s="8">
        <f>142</f>
        <v>142</v>
      </c>
      <c r="K2510" s="5" t="s">
        <v>308</v>
      </c>
      <c r="L2510" s="7">
        <f>1</f>
        <v>1</v>
      </c>
      <c r="M2510" s="7">
        <f>1</f>
        <v>1</v>
      </c>
      <c r="N2510" s="5" t="s">
        <v>242</v>
      </c>
      <c r="O2510" s="5">
        <v>1</v>
      </c>
      <c r="P2510" s="5" t="s">
        <v>294</v>
      </c>
      <c r="Q2510" s="5" t="s">
        <v>266</v>
      </c>
      <c r="R2510" s="5" t="s">
        <v>240</v>
      </c>
      <c r="S2510" s="5" t="s">
        <v>240</v>
      </c>
      <c r="T2510" s="5" t="s">
        <v>296</v>
      </c>
      <c r="U2510" s="5" t="s">
        <v>244</v>
      </c>
      <c r="V2510" s="5" t="s">
        <v>240</v>
      </c>
      <c r="Y2510" s="5" t="s">
        <v>240</v>
      </c>
      <c r="Z2510" s="6" t="s">
        <v>298</v>
      </c>
      <c r="AB2510" s="6" t="s">
        <v>240</v>
      </c>
      <c r="AE2510" s="6" t="s">
        <v>299</v>
      </c>
      <c r="AF2510" s="5" t="s">
        <v>248</v>
      </c>
      <c r="AG2510" s="5" t="s">
        <v>249</v>
      </c>
      <c r="AW2510" s="5" t="s">
        <v>251</v>
      </c>
      <c r="AX2510" s="5" t="s">
        <v>240</v>
      </c>
      <c r="AY2510" s="5" t="s">
        <v>253</v>
      </c>
      <c r="AZ2510" s="5" t="s">
        <v>240</v>
      </c>
      <c r="BA2510" s="5" t="s">
        <v>255</v>
      </c>
      <c r="BB2510" s="5" t="s">
        <v>240</v>
      </c>
      <c r="BD2510" s="5" t="s">
        <v>240</v>
      </c>
      <c r="BF2510" s="5" t="s">
        <v>301</v>
      </c>
      <c r="BG2510" s="6" t="s">
        <v>299</v>
      </c>
      <c r="BH2510" s="5" t="s">
        <v>302</v>
      </c>
      <c r="BI2510" s="5" t="s">
        <v>303</v>
      </c>
      <c r="BJ2510" s="5" t="s">
        <v>240</v>
      </c>
      <c r="BK2510" s="8">
        <f>0</f>
        <v>0</v>
      </c>
      <c r="BL2510" s="7">
        <f>0</f>
        <v>0</v>
      </c>
      <c r="BM2510" s="5" t="s">
        <v>258</v>
      </c>
      <c r="BN2510" s="5" t="s">
        <v>259</v>
      </c>
      <c r="CB2510" s="5" t="s">
        <v>240</v>
      </c>
      <c r="CC2510" s="5" t="s">
        <v>240</v>
      </c>
      <c r="CG2510" s="5" t="s">
        <v>304</v>
      </c>
      <c r="CH2510" s="5" t="s">
        <v>305</v>
      </c>
      <c r="CI2510" s="5" t="s">
        <v>240</v>
      </c>
      <c r="CL2510" s="6" t="s">
        <v>261</v>
      </c>
      <c r="CM2510" s="5" t="s">
        <v>240</v>
      </c>
      <c r="CN2510" s="5" t="s">
        <v>263</v>
      </c>
      <c r="CO2510" s="5" t="s">
        <v>240</v>
      </c>
      <c r="CP2510" s="5" t="s">
        <v>240</v>
      </c>
      <c r="CQ2510" s="5">
        <v>0</v>
      </c>
      <c r="CR2510" s="5" t="s">
        <v>306</v>
      </c>
      <c r="CS2510" s="5" t="s">
        <v>307</v>
      </c>
      <c r="CT2510" s="5" t="s">
        <v>307</v>
      </c>
      <c r="CU2510" s="5" t="s">
        <v>260</v>
      </c>
      <c r="CX2510" s="7">
        <f>1</f>
        <v>1</v>
      </c>
      <c r="CY2510" s="7">
        <f>0</f>
        <v>0</v>
      </c>
      <c r="DA2510" s="7">
        <f>0</f>
        <v>0</v>
      </c>
      <c r="DC2510" s="5" t="s">
        <v>309</v>
      </c>
      <c r="DD2510" s="5" t="s">
        <v>240</v>
      </c>
      <c r="DF2510" s="5" t="s">
        <v>309</v>
      </c>
      <c r="DG2510" s="7">
        <f>556</f>
        <v>556</v>
      </c>
      <c r="DI2510" s="5" t="s">
        <v>240</v>
      </c>
      <c r="DJ2510" s="5" t="s">
        <v>240</v>
      </c>
      <c r="DK2510" s="5" t="s">
        <v>240</v>
      </c>
      <c r="DL2510" s="5" t="s">
        <v>240</v>
      </c>
      <c r="DP2510" s="5" t="s">
        <v>240</v>
      </c>
      <c r="DQ2510" s="5" t="s">
        <v>240</v>
      </c>
      <c r="DR2510" s="5" t="s">
        <v>240</v>
      </c>
      <c r="DS2510" s="5" t="s">
        <v>240</v>
      </c>
      <c r="DV2510" s="5" t="s">
        <v>310</v>
      </c>
      <c r="DW2510" s="5" t="s">
        <v>3070</v>
      </c>
      <c r="HO2510" s="5" t="s">
        <v>312</v>
      </c>
    </row>
    <row r="2511" spans="1:223" x14ac:dyDescent="0.4">
      <c r="A2511" s="5">
        <v>4215</v>
      </c>
      <c r="B2511" s="5">
        <v>1</v>
      </c>
      <c r="C2511" s="5">
        <v>1</v>
      </c>
      <c r="D2511" s="5" t="s">
        <v>810</v>
      </c>
      <c r="E2511" s="5" t="s">
        <v>245</v>
      </c>
      <c r="F2511" s="5" t="s">
        <v>254</v>
      </c>
      <c r="G2511" s="5" t="s">
        <v>240</v>
      </c>
      <c r="H2511" s="6" t="s">
        <v>3523</v>
      </c>
      <c r="I2511" s="5" t="s">
        <v>809</v>
      </c>
      <c r="J2511" s="8">
        <f>915</f>
        <v>915</v>
      </c>
      <c r="K2511" s="5" t="s">
        <v>308</v>
      </c>
      <c r="L2511" s="7">
        <f>1</f>
        <v>1</v>
      </c>
      <c r="M2511" s="7">
        <f>1</f>
        <v>1</v>
      </c>
      <c r="N2511" s="5" t="s">
        <v>242</v>
      </c>
      <c r="O2511" s="5">
        <v>1</v>
      </c>
      <c r="P2511" s="5" t="s">
        <v>294</v>
      </c>
      <c r="Q2511" s="5" t="s">
        <v>266</v>
      </c>
      <c r="R2511" s="5" t="s">
        <v>240</v>
      </c>
      <c r="S2511" s="5" t="s">
        <v>240</v>
      </c>
      <c r="T2511" s="5" t="s">
        <v>296</v>
      </c>
      <c r="U2511" s="5" t="s">
        <v>244</v>
      </c>
      <c r="V2511" s="5" t="s">
        <v>240</v>
      </c>
      <c r="Y2511" s="5" t="s">
        <v>240</v>
      </c>
      <c r="Z2511" s="6" t="s">
        <v>298</v>
      </c>
      <c r="AB2511" s="6" t="s">
        <v>240</v>
      </c>
      <c r="AE2511" s="6" t="s">
        <v>299</v>
      </c>
      <c r="AF2511" s="5" t="s">
        <v>248</v>
      </c>
      <c r="AG2511" s="5" t="s">
        <v>249</v>
      </c>
      <c r="AW2511" s="5" t="s">
        <v>251</v>
      </c>
      <c r="AX2511" s="5" t="s">
        <v>240</v>
      </c>
      <c r="AY2511" s="5" t="s">
        <v>253</v>
      </c>
      <c r="AZ2511" s="5" t="s">
        <v>240</v>
      </c>
      <c r="BA2511" s="5" t="s">
        <v>255</v>
      </c>
      <c r="BB2511" s="5" t="s">
        <v>240</v>
      </c>
      <c r="BD2511" s="5" t="s">
        <v>240</v>
      </c>
      <c r="BF2511" s="5" t="s">
        <v>301</v>
      </c>
      <c r="BG2511" s="6" t="s">
        <v>299</v>
      </c>
      <c r="BH2511" s="5" t="s">
        <v>302</v>
      </c>
      <c r="BI2511" s="5" t="s">
        <v>303</v>
      </c>
      <c r="BJ2511" s="5" t="s">
        <v>240</v>
      </c>
      <c r="BK2511" s="8">
        <f>0</f>
        <v>0</v>
      </c>
      <c r="BL2511" s="7">
        <f>0</f>
        <v>0</v>
      </c>
      <c r="BM2511" s="5" t="s">
        <v>258</v>
      </c>
      <c r="BN2511" s="5" t="s">
        <v>259</v>
      </c>
      <c r="CB2511" s="5" t="s">
        <v>240</v>
      </c>
      <c r="CC2511" s="5" t="s">
        <v>240</v>
      </c>
      <c r="CG2511" s="5" t="s">
        <v>304</v>
      </c>
      <c r="CH2511" s="5" t="s">
        <v>305</v>
      </c>
      <c r="CI2511" s="5" t="s">
        <v>240</v>
      </c>
      <c r="CL2511" s="6" t="s">
        <v>261</v>
      </c>
      <c r="CM2511" s="5" t="s">
        <v>240</v>
      </c>
      <c r="CN2511" s="5" t="s">
        <v>263</v>
      </c>
      <c r="CO2511" s="5" t="s">
        <v>240</v>
      </c>
      <c r="CP2511" s="5" t="s">
        <v>240</v>
      </c>
      <c r="CQ2511" s="5">
        <v>0</v>
      </c>
      <c r="CR2511" s="5" t="s">
        <v>306</v>
      </c>
      <c r="CS2511" s="5" t="s">
        <v>307</v>
      </c>
      <c r="CT2511" s="5" t="s">
        <v>307</v>
      </c>
      <c r="CU2511" s="5" t="s">
        <v>260</v>
      </c>
      <c r="CX2511" s="7">
        <f>1</f>
        <v>1</v>
      </c>
      <c r="CY2511" s="7">
        <f>0</f>
        <v>0</v>
      </c>
      <c r="DA2511" s="7">
        <f>0</f>
        <v>0</v>
      </c>
      <c r="DC2511" s="5" t="s">
        <v>309</v>
      </c>
      <c r="DD2511" s="5" t="s">
        <v>240</v>
      </c>
      <c r="DF2511" s="5" t="s">
        <v>309</v>
      </c>
      <c r="DG2511" s="7">
        <f>177</f>
        <v>177</v>
      </c>
      <c r="DI2511" s="5" t="s">
        <v>240</v>
      </c>
      <c r="DJ2511" s="5" t="s">
        <v>240</v>
      </c>
      <c r="DK2511" s="5" t="s">
        <v>240</v>
      </c>
      <c r="DL2511" s="5" t="s">
        <v>240</v>
      </c>
      <c r="DP2511" s="5" t="s">
        <v>240</v>
      </c>
      <c r="DQ2511" s="5" t="s">
        <v>240</v>
      </c>
      <c r="DR2511" s="5" t="s">
        <v>240</v>
      </c>
      <c r="DS2511" s="5" t="s">
        <v>240</v>
      </c>
      <c r="DV2511" s="5" t="s">
        <v>310</v>
      </c>
      <c r="DW2511" s="5" t="s">
        <v>3072</v>
      </c>
      <c r="HO2511" s="5" t="s">
        <v>312</v>
      </c>
    </row>
    <row r="2512" spans="1:223" x14ac:dyDescent="0.4">
      <c r="A2512" s="5">
        <v>4216</v>
      </c>
      <c r="B2512" s="5">
        <v>1</v>
      </c>
      <c r="C2512" s="5">
        <v>1</v>
      </c>
      <c r="D2512" s="5" t="s">
        <v>810</v>
      </c>
      <c r="E2512" s="5" t="s">
        <v>245</v>
      </c>
      <c r="F2512" s="5" t="s">
        <v>254</v>
      </c>
      <c r="G2512" s="5" t="s">
        <v>240</v>
      </c>
      <c r="H2512" s="6" t="s">
        <v>3521</v>
      </c>
      <c r="I2512" s="5" t="s">
        <v>809</v>
      </c>
      <c r="J2512" s="8">
        <f>1287</f>
        <v>1287</v>
      </c>
      <c r="K2512" s="5" t="s">
        <v>308</v>
      </c>
      <c r="L2512" s="7">
        <f>1</f>
        <v>1</v>
      </c>
      <c r="M2512" s="7">
        <f>1</f>
        <v>1</v>
      </c>
      <c r="N2512" s="5" t="s">
        <v>242</v>
      </c>
      <c r="O2512" s="5">
        <v>1</v>
      </c>
      <c r="P2512" s="5" t="s">
        <v>294</v>
      </c>
      <c r="Q2512" s="5" t="s">
        <v>266</v>
      </c>
      <c r="R2512" s="5" t="s">
        <v>240</v>
      </c>
      <c r="S2512" s="5" t="s">
        <v>240</v>
      </c>
      <c r="T2512" s="5" t="s">
        <v>296</v>
      </c>
      <c r="U2512" s="5" t="s">
        <v>244</v>
      </c>
      <c r="V2512" s="5" t="s">
        <v>240</v>
      </c>
      <c r="Y2512" s="5" t="s">
        <v>240</v>
      </c>
      <c r="Z2512" s="6" t="s">
        <v>298</v>
      </c>
      <c r="AB2512" s="6" t="s">
        <v>240</v>
      </c>
      <c r="AE2512" s="6" t="s">
        <v>299</v>
      </c>
      <c r="AF2512" s="5" t="s">
        <v>248</v>
      </c>
      <c r="AG2512" s="5" t="s">
        <v>249</v>
      </c>
      <c r="AW2512" s="5" t="s">
        <v>251</v>
      </c>
      <c r="AX2512" s="5" t="s">
        <v>240</v>
      </c>
      <c r="AY2512" s="5" t="s">
        <v>253</v>
      </c>
      <c r="AZ2512" s="5" t="s">
        <v>240</v>
      </c>
      <c r="BA2512" s="5" t="s">
        <v>255</v>
      </c>
      <c r="BB2512" s="5" t="s">
        <v>240</v>
      </c>
      <c r="BD2512" s="5" t="s">
        <v>240</v>
      </c>
      <c r="BF2512" s="5" t="s">
        <v>301</v>
      </c>
      <c r="BG2512" s="6" t="s">
        <v>299</v>
      </c>
      <c r="BH2512" s="5" t="s">
        <v>302</v>
      </c>
      <c r="BI2512" s="5" t="s">
        <v>303</v>
      </c>
      <c r="BJ2512" s="5" t="s">
        <v>240</v>
      </c>
      <c r="BK2512" s="8">
        <f>0</f>
        <v>0</v>
      </c>
      <c r="BL2512" s="7">
        <f>0</f>
        <v>0</v>
      </c>
      <c r="BM2512" s="5" t="s">
        <v>258</v>
      </c>
      <c r="BN2512" s="5" t="s">
        <v>259</v>
      </c>
      <c r="CB2512" s="5" t="s">
        <v>240</v>
      </c>
      <c r="CC2512" s="5" t="s">
        <v>240</v>
      </c>
      <c r="CG2512" s="5" t="s">
        <v>304</v>
      </c>
      <c r="CH2512" s="5" t="s">
        <v>305</v>
      </c>
      <c r="CI2512" s="5" t="s">
        <v>240</v>
      </c>
      <c r="CL2512" s="6" t="s">
        <v>261</v>
      </c>
      <c r="CM2512" s="5" t="s">
        <v>240</v>
      </c>
      <c r="CN2512" s="5" t="s">
        <v>263</v>
      </c>
      <c r="CO2512" s="5" t="s">
        <v>240</v>
      </c>
      <c r="CP2512" s="5" t="s">
        <v>240</v>
      </c>
      <c r="CQ2512" s="5">
        <v>0</v>
      </c>
      <c r="CR2512" s="5" t="s">
        <v>306</v>
      </c>
      <c r="CS2512" s="5" t="s">
        <v>307</v>
      </c>
      <c r="CT2512" s="5" t="s">
        <v>307</v>
      </c>
      <c r="CU2512" s="5" t="s">
        <v>260</v>
      </c>
      <c r="CX2512" s="7">
        <f>1</f>
        <v>1</v>
      </c>
      <c r="CY2512" s="7">
        <f>0</f>
        <v>0</v>
      </c>
      <c r="DA2512" s="7">
        <f>0</f>
        <v>0</v>
      </c>
      <c r="DC2512" s="5" t="s">
        <v>309</v>
      </c>
      <c r="DD2512" s="5" t="s">
        <v>240</v>
      </c>
      <c r="DF2512" s="5" t="s">
        <v>309</v>
      </c>
      <c r="DG2512" s="7">
        <f>1096</f>
        <v>1096</v>
      </c>
      <c r="DI2512" s="5" t="s">
        <v>240</v>
      </c>
      <c r="DJ2512" s="5" t="s">
        <v>240</v>
      </c>
      <c r="DK2512" s="5" t="s">
        <v>240</v>
      </c>
      <c r="DL2512" s="5" t="s">
        <v>240</v>
      </c>
      <c r="DP2512" s="5" t="s">
        <v>240</v>
      </c>
      <c r="DQ2512" s="5" t="s">
        <v>240</v>
      </c>
      <c r="DR2512" s="5" t="s">
        <v>240</v>
      </c>
      <c r="DS2512" s="5" t="s">
        <v>240</v>
      </c>
      <c r="DV2512" s="5" t="s">
        <v>310</v>
      </c>
      <c r="DW2512" s="5" t="s">
        <v>3074</v>
      </c>
      <c r="HO2512" s="5" t="s">
        <v>312</v>
      </c>
    </row>
    <row r="2513" spans="1:223" x14ac:dyDescent="0.4">
      <c r="A2513" s="5">
        <v>4217</v>
      </c>
      <c r="B2513" s="5">
        <v>1</v>
      </c>
      <c r="C2513" s="5">
        <v>1</v>
      </c>
      <c r="D2513" s="5" t="s">
        <v>810</v>
      </c>
      <c r="E2513" s="5" t="s">
        <v>245</v>
      </c>
      <c r="F2513" s="5" t="s">
        <v>254</v>
      </c>
      <c r="G2513" s="5" t="s">
        <v>240</v>
      </c>
      <c r="H2513" s="6" t="s">
        <v>4997</v>
      </c>
      <c r="I2513" s="5" t="s">
        <v>809</v>
      </c>
      <c r="J2513" s="8">
        <f>191</f>
        <v>191</v>
      </c>
      <c r="K2513" s="5" t="s">
        <v>308</v>
      </c>
      <c r="L2513" s="7">
        <f>1</f>
        <v>1</v>
      </c>
      <c r="M2513" s="7">
        <f>1</f>
        <v>1</v>
      </c>
      <c r="N2513" s="5" t="s">
        <v>242</v>
      </c>
      <c r="O2513" s="5">
        <v>1</v>
      </c>
      <c r="P2513" s="5" t="s">
        <v>294</v>
      </c>
      <c r="Q2513" s="5" t="s">
        <v>266</v>
      </c>
      <c r="R2513" s="5" t="s">
        <v>240</v>
      </c>
      <c r="S2513" s="5" t="s">
        <v>240</v>
      </c>
      <c r="T2513" s="5" t="s">
        <v>296</v>
      </c>
      <c r="U2513" s="5" t="s">
        <v>244</v>
      </c>
      <c r="V2513" s="5" t="s">
        <v>240</v>
      </c>
      <c r="Y2513" s="5" t="s">
        <v>240</v>
      </c>
      <c r="Z2513" s="6" t="s">
        <v>298</v>
      </c>
      <c r="AB2513" s="6" t="s">
        <v>240</v>
      </c>
      <c r="AE2513" s="6" t="s">
        <v>299</v>
      </c>
      <c r="AF2513" s="5" t="s">
        <v>248</v>
      </c>
      <c r="AG2513" s="5" t="s">
        <v>249</v>
      </c>
      <c r="AW2513" s="5" t="s">
        <v>251</v>
      </c>
      <c r="AX2513" s="5" t="s">
        <v>240</v>
      </c>
      <c r="AY2513" s="5" t="s">
        <v>253</v>
      </c>
      <c r="AZ2513" s="5" t="s">
        <v>240</v>
      </c>
      <c r="BA2513" s="5" t="s">
        <v>255</v>
      </c>
      <c r="BB2513" s="5" t="s">
        <v>240</v>
      </c>
      <c r="BD2513" s="5" t="s">
        <v>240</v>
      </c>
      <c r="BF2513" s="5" t="s">
        <v>301</v>
      </c>
      <c r="BG2513" s="6" t="s">
        <v>299</v>
      </c>
      <c r="BH2513" s="5" t="s">
        <v>302</v>
      </c>
      <c r="BI2513" s="5" t="s">
        <v>303</v>
      </c>
      <c r="BJ2513" s="5" t="s">
        <v>240</v>
      </c>
      <c r="BK2513" s="8">
        <f>0</f>
        <v>0</v>
      </c>
      <c r="BL2513" s="7">
        <f>0</f>
        <v>0</v>
      </c>
      <c r="BM2513" s="5" t="s">
        <v>258</v>
      </c>
      <c r="BN2513" s="5" t="s">
        <v>259</v>
      </c>
      <c r="CB2513" s="5" t="s">
        <v>240</v>
      </c>
      <c r="CC2513" s="5" t="s">
        <v>240</v>
      </c>
      <c r="CG2513" s="5" t="s">
        <v>304</v>
      </c>
      <c r="CH2513" s="5" t="s">
        <v>305</v>
      </c>
      <c r="CI2513" s="5" t="s">
        <v>240</v>
      </c>
      <c r="CL2513" s="6" t="s">
        <v>261</v>
      </c>
      <c r="CM2513" s="5" t="s">
        <v>240</v>
      </c>
      <c r="CN2513" s="5" t="s">
        <v>263</v>
      </c>
      <c r="CO2513" s="5" t="s">
        <v>240</v>
      </c>
      <c r="CP2513" s="5" t="s">
        <v>240</v>
      </c>
      <c r="CQ2513" s="5">
        <v>0</v>
      </c>
      <c r="CR2513" s="5" t="s">
        <v>306</v>
      </c>
      <c r="CS2513" s="5" t="s">
        <v>307</v>
      </c>
      <c r="CT2513" s="5" t="s">
        <v>307</v>
      </c>
      <c r="CU2513" s="5" t="s">
        <v>260</v>
      </c>
      <c r="CX2513" s="7">
        <f>1</f>
        <v>1</v>
      </c>
      <c r="CY2513" s="7">
        <f>0</f>
        <v>0</v>
      </c>
      <c r="DA2513" s="7">
        <f>0</f>
        <v>0</v>
      </c>
      <c r="DC2513" s="5" t="s">
        <v>309</v>
      </c>
      <c r="DD2513" s="5" t="s">
        <v>240</v>
      </c>
      <c r="DF2513" s="5" t="s">
        <v>309</v>
      </c>
      <c r="DG2513" s="7">
        <f>3353</f>
        <v>3353</v>
      </c>
      <c r="DI2513" s="5" t="s">
        <v>240</v>
      </c>
      <c r="DJ2513" s="5" t="s">
        <v>240</v>
      </c>
      <c r="DK2513" s="5" t="s">
        <v>240</v>
      </c>
      <c r="DL2513" s="5" t="s">
        <v>240</v>
      </c>
      <c r="DP2513" s="5" t="s">
        <v>240</v>
      </c>
      <c r="DQ2513" s="5" t="s">
        <v>240</v>
      </c>
      <c r="DR2513" s="5" t="s">
        <v>240</v>
      </c>
      <c r="DS2513" s="5" t="s">
        <v>240</v>
      </c>
      <c r="DV2513" s="5" t="s">
        <v>310</v>
      </c>
      <c r="DW2513" s="5" t="s">
        <v>3076</v>
      </c>
      <c r="HO2513" s="5" t="s">
        <v>312</v>
      </c>
    </row>
    <row r="2514" spans="1:223" x14ac:dyDescent="0.4">
      <c r="A2514" s="5">
        <v>4218</v>
      </c>
      <c r="B2514" s="5">
        <v>1</v>
      </c>
      <c r="C2514" s="5">
        <v>1</v>
      </c>
      <c r="D2514" s="5" t="s">
        <v>810</v>
      </c>
      <c r="E2514" s="5" t="s">
        <v>245</v>
      </c>
      <c r="F2514" s="5" t="s">
        <v>254</v>
      </c>
      <c r="G2514" s="5" t="s">
        <v>240</v>
      </c>
      <c r="H2514" s="6" t="s">
        <v>3518</v>
      </c>
      <c r="I2514" s="5" t="s">
        <v>809</v>
      </c>
      <c r="J2514" s="8">
        <f>146</f>
        <v>146</v>
      </c>
      <c r="K2514" s="5" t="s">
        <v>308</v>
      </c>
      <c r="L2514" s="7">
        <f>1</f>
        <v>1</v>
      </c>
      <c r="M2514" s="7">
        <f>1</f>
        <v>1</v>
      </c>
      <c r="N2514" s="5" t="s">
        <v>242</v>
      </c>
      <c r="O2514" s="5">
        <v>1</v>
      </c>
      <c r="P2514" s="5" t="s">
        <v>294</v>
      </c>
      <c r="Q2514" s="5" t="s">
        <v>266</v>
      </c>
      <c r="R2514" s="5" t="s">
        <v>240</v>
      </c>
      <c r="S2514" s="5" t="s">
        <v>240</v>
      </c>
      <c r="T2514" s="5" t="s">
        <v>296</v>
      </c>
      <c r="U2514" s="5" t="s">
        <v>244</v>
      </c>
      <c r="V2514" s="5" t="s">
        <v>240</v>
      </c>
      <c r="Y2514" s="5" t="s">
        <v>240</v>
      </c>
      <c r="Z2514" s="6" t="s">
        <v>298</v>
      </c>
      <c r="AB2514" s="6" t="s">
        <v>240</v>
      </c>
      <c r="AE2514" s="6" t="s">
        <v>4616</v>
      </c>
      <c r="AF2514" s="5" t="s">
        <v>248</v>
      </c>
      <c r="AG2514" s="5" t="s">
        <v>249</v>
      </c>
      <c r="AW2514" s="5" t="s">
        <v>251</v>
      </c>
      <c r="AX2514" s="5" t="s">
        <v>240</v>
      </c>
      <c r="AY2514" s="5" t="s">
        <v>253</v>
      </c>
      <c r="AZ2514" s="5" t="s">
        <v>240</v>
      </c>
      <c r="BA2514" s="5" t="s">
        <v>255</v>
      </c>
      <c r="BB2514" s="5" t="s">
        <v>240</v>
      </c>
      <c r="BD2514" s="5" t="s">
        <v>240</v>
      </c>
      <c r="BF2514" s="5" t="s">
        <v>687</v>
      </c>
      <c r="BG2514" s="6" t="s">
        <v>4616</v>
      </c>
      <c r="BH2514" s="5" t="s">
        <v>302</v>
      </c>
      <c r="BI2514" s="5" t="s">
        <v>303</v>
      </c>
      <c r="BJ2514" s="5" t="s">
        <v>240</v>
      </c>
      <c r="BK2514" s="8">
        <f>0</f>
        <v>0</v>
      </c>
      <c r="BL2514" s="7">
        <f>0</f>
        <v>0</v>
      </c>
      <c r="BM2514" s="5" t="s">
        <v>258</v>
      </c>
      <c r="BN2514" s="5" t="s">
        <v>259</v>
      </c>
      <c r="CB2514" s="5" t="s">
        <v>240</v>
      </c>
      <c r="CC2514" s="5" t="s">
        <v>240</v>
      </c>
      <c r="CG2514" s="5" t="s">
        <v>304</v>
      </c>
      <c r="CH2514" s="5" t="s">
        <v>305</v>
      </c>
      <c r="CI2514" s="5" t="s">
        <v>240</v>
      </c>
      <c r="CL2514" s="6" t="s">
        <v>261</v>
      </c>
      <c r="CM2514" s="5" t="s">
        <v>240</v>
      </c>
      <c r="CN2514" s="5" t="s">
        <v>263</v>
      </c>
      <c r="CO2514" s="5" t="s">
        <v>240</v>
      </c>
      <c r="CP2514" s="5" t="s">
        <v>240</v>
      </c>
      <c r="CQ2514" s="5">
        <v>0</v>
      </c>
      <c r="CR2514" s="5" t="s">
        <v>306</v>
      </c>
      <c r="CS2514" s="5" t="s">
        <v>307</v>
      </c>
      <c r="CT2514" s="5" t="s">
        <v>307</v>
      </c>
      <c r="CU2514" s="5" t="s">
        <v>260</v>
      </c>
      <c r="CX2514" s="7">
        <f>1</f>
        <v>1</v>
      </c>
      <c r="CY2514" s="7">
        <f>0</f>
        <v>0</v>
      </c>
      <c r="DA2514" s="7">
        <f>0</f>
        <v>0</v>
      </c>
      <c r="DC2514" s="5" t="s">
        <v>812</v>
      </c>
      <c r="DD2514" s="5" t="s">
        <v>240</v>
      </c>
      <c r="DF2514" s="5" t="s">
        <v>812</v>
      </c>
      <c r="DG2514" s="7">
        <f>98</f>
        <v>98</v>
      </c>
      <c r="DI2514" s="5" t="s">
        <v>240</v>
      </c>
      <c r="DJ2514" s="5" t="s">
        <v>240</v>
      </c>
      <c r="DK2514" s="5" t="s">
        <v>240</v>
      </c>
      <c r="DL2514" s="5" t="s">
        <v>240</v>
      </c>
      <c r="DP2514" s="5" t="s">
        <v>240</v>
      </c>
      <c r="DQ2514" s="5" t="s">
        <v>240</v>
      </c>
      <c r="DR2514" s="5" t="s">
        <v>240</v>
      </c>
      <c r="DS2514" s="5" t="s">
        <v>240</v>
      </c>
      <c r="DV2514" s="5" t="s">
        <v>813</v>
      </c>
      <c r="DW2514" s="5" t="s">
        <v>4618</v>
      </c>
      <c r="HO2514" s="5" t="s">
        <v>312</v>
      </c>
    </row>
    <row r="2515" spans="1:223" x14ac:dyDescent="0.4">
      <c r="A2515" s="5">
        <v>4219</v>
      </c>
      <c r="B2515" s="5">
        <v>1</v>
      </c>
      <c r="C2515" s="5">
        <v>1</v>
      </c>
      <c r="D2515" s="5" t="s">
        <v>810</v>
      </c>
      <c r="E2515" s="5" t="s">
        <v>245</v>
      </c>
      <c r="F2515" s="5" t="s">
        <v>254</v>
      </c>
      <c r="G2515" s="5" t="s">
        <v>240</v>
      </c>
      <c r="H2515" s="6" t="s">
        <v>3516</v>
      </c>
      <c r="I2515" s="5" t="s">
        <v>809</v>
      </c>
      <c r="J2515" s="8">
        <f>1181</f>
        <v>1181</v>
      </c>
      <c r="K2515" s="5" t="s">
        <v>308</v>
      </c>
      <c r="L2515" s="7">
        <f>1</f>
        <v>1</v>
      </c>
      <c r="M2515" s="7">
        <f>1</f>
        <v>1</v>
      </c>
      <c r="N2515" s="5" t="s">
        <v>242</v>
      </c>
      <c r="O2515" s="5">
        <v>1</v>
      </c>
      <c r="P2515" s="5" t="s">
        <v>294</v>
      </c>
      <c r="Q2515" s="5" t="s">
        <v>266</v>
      </c>
      <c r="R2515" s="5" t="s">
        <v>240</v>
      </c>
      <c r="S2515" s="5" t="s">
        <v>240</v>
      </c>
      <c r="T2515" s="5" t="s">
        <v>296</v>
      </c>
      <c r="U2515" s="5" t="s">
        <v>244</v>
      </c>
      <c r="V2515" s="5" t="s">
        <v>240</v>
      </c>
      <c r="Y2515" s="5" t="s">
        <v>240</v>
      </c>
      <c r="Z2515" s="6" t="s">
        <v>298</v>
      </c>
      <c r="AB2515" s="6" t="s">
        <v>240</v>
      </c>
      <c r="AE2515" s="6" t="s">
        <v>299</v>
      </c>
      <c r="AF2515" s="5" t="s">
        <v>248</v>
      </c>
      <c r="AG2515" s="5" t="s">
        <v>249</v>
      </c>
      <c r="AW2515" s="5" t="s">
        <v>251</v>
      </c>
      <c r="AX2515" s="5" t="s">
        <v>240</v>
      </c>
      <c r="AY2515" s="5" t="s">
        <v>253</v>
      </c>
      <c r="AZ2515" s="5" t="s">
        <v>240</v>
      </c>
      <c r="BA2515" s="5" t="s">
        <v>255</v>
      </c>
      <c r="BB2515" s="5" t="s">
        <v>240</v>
      </c>
      <c r="BD2515" s="5" t="s">
        <v>240</v>
      </c>
      <c r="BF2515" s="5" t="s">
        <v>301</v>
      </c>
      <c r="BG2515" s="6" t="s">
        <v>299</v>
      </c>
      <c r="BH2515" s="5" t="s">
        <v>302</v>
      </c>
      <c r="BI2515" s="5" t="s">
        <v>303</v>
      </c>
      <c r="BJ2515" s="5" t="s">
        <v>240</v>
      </c>
      <c r="BK2515" s="8">
        <f>0</f>
        <v>0</v>
      </c>
      <c r="BL2515" s="7">
        <f>0</f>
        <v>0</v>
      </c>
      <c r="BM2515" s="5" t="s">
        <v>258</v>
      </c>
      <c r="BN2515" s="5" t="s">
        <v>259</v>
      </c>
      <c r="CB2515" s="5" t="s">
        <v>240</v>
      </c>
      <c r="CC2515" s="5" t="s">
        <v>240</v>
      </c>
      <c r="CG2515" s="5" t="s">
        <v>304</v>
      </c>
      <c r="CH2515" s="5" t="s">
        <v>305</v>
      </c>
      <c r="CI2515" s="5" t="s">
        <v>240</v>
      </c>
      <c r="CL2515" s="6" t="s">
        <v>261</v>
      </c>
      <c r="CM2515" s="5" t="s">
        <v>240</v>
      </c>
      <c r="CN2515" s="5" t="s">
        <v>263</v>
      </c>
      <c r="CO2515" s="5" t="s">
        <v>240</v>
      </c>
      <c r="CP2515" s="5" t="s">
        <v>240</v>
      </c>
      <c r="CQ2515" s="5">
        <v>0</v>
      </c>
      <c r="CR2515" s="5" t="s">
        <v>306</v>
      </c>
      <c r="CS2515" s="5" t="s">
        <v>307</v>
      </c>
      <c r="CT2515" s="5" t="s">
        <v>307</v>
      </c>
      <c r="CU2515" s="5" t="s">
        <v>260</v>
      </c>
      <c r="CX2515" s="7">
        <f>1</f>
        <v>1</v>
      </c>
      <c r="CY2515" s="7">
        <f>0</f>
        <v>0</v>
      </c>
      <c r="DA2515" s="7">
        <f>0</f>
        <v>0</v>
      </c>
      <c r="DC2515" s="5" t="s">
        <v>309</v>
      </c>
      <c r="DD2515" s="5" t="s">
        <v>240</v>
      </c>
      <c r="DF2515" s="5" t="s">
        <v>309</v>
      </c>
      <c r="DG2515" s="7">
        <f>1329</f>
        <v>1329</v>
      </c>
      <c r="DI2515" s="5" t="s">
        <v>240</v>
      </c>
      <c r="DJ2515" s="5" t="s">
        <v>240</v>
      </c>
      <c r="DK2515" s="5" t="s">
        <v>240</v>
      </c>
      <c r="DL2515" s="5" t="s">
        <v>240</v>
      </c>
      <c r="DP2515" s="5" t="s">
        <v>240</v>
      </c>
      <c r="DQ2515" s="5" t="s">
        <v>240</v>
      </c>
      <c r="DR2515" s="5" t="s">
        <v>240</v>
      </c>
      <c r="DS2515" s="5" t="s">
        <v>240</v>
      </c>
      <c r="DV2515" s="5" t="s">
        <v>310</v>
      </c>
      <c r="DW2515" s="5" t="s">
        <v>3080</v>
      </c>
      <c r="HO2515" s="5" t="s">
        <v>312</v>
      </c>
    </row>
    <row r="2516" spans="1:223" x14ac:dyDescent="0.4">
      <c r="A2516" s="5">
        <v>4220</v>
      </c>
      <c r="B2516" s="5">
        <v>1</v>
      </c>
      <c r="C2516" s="5">
        <v>1</v>
      </c>
      <c r="D2516" s="5" t="s">
        <v>810</v>
      </c>
      <c r="E2516" s="5" t="s">
        <v>245</v>
      </c>
      <c r="F2516" s="5" t="s">
        <v>254</v>
      </c>
      <c r="G2516" s="5" t="s">
        <v>240</v>
      </c>
      <c r="H2516" s="6" t="s">
        <v>3514</v>
      </c>
      <c r="I2516" s="5" t="s">
        <v>809</v>
      </c>
      <c r="J2516" s="8">
        <f>859</f>
        <v>859</v>
      </c>
      <c r="K2516" s="5" t="s">
        <v>308</v>
      </c>
      <c r="L2516" s="7">
        <f>1</f>
        <v>1</v>
      </c>
      <c r="M2516" s="7">
        <f>1</f>
        <v>1</v>
      </c>
      <c r="N2516" s="5" t="s">
        <v>242</v>
      </c>
      <c r="O2516" s="5">
        <v>1</v>
      </c>
      <c r="P2516" s="5" t="s">
        <v>294</v>
      </c>
      <c r="Q2516" s="5" t="s">
        <v>266</v>
      </c>
      <c r="R2516" s="5" t="s">
        <v>240</v>
      </c>
      <c r="S2516" s="5" t="s">
        <v>240</v>
      </c>
      <c r="T2516" s="5" t="s">
        <v>296</v>
      </c>
      <c r="U2516" s="5" t="s">
        <v>244</v>
      </c>
      <c r="V2516" s="5" t="s">
        <v>240</v>
      </c>
      <c r="Y2516" s="5" t="s">
        <v>240</v>
      </c>
      <c r="Z2516" s="6" t="s">
        <v>298</v>
      </c>
      <c r="AB2516" s="6" t="s">
        <v>240</v>
      </c>
      <c r="AE2516" s="6" t="s">
        <v>299</v>
      </c>
      <c r="AF2516" s="5" t="s">
        <v>248</v>
      </c>
      <c r="AG2516" s="5" t="s">
        <v>249</v>
      </c>
      <c r="AW2516" s="5" t="s">
        <v>251</v>
      </c>
      <c r="AX2516" s="5" t="s">
        <v>240</v>
      </c>
      <c r="AY2516" s="5" t="s">
        <v>253</v>
      </c>
      <c r="AZ2516" s="5" t="s">
        <v>240</v>
      </c>
      <c r="BA2516" s="5" t="s">
        <v>255</v>
      </c>
      <c r="BB2516" s="5" t="s">
        <v>240</v>
      </c>
      <c r="BD2516" s="5" t="s">
        <v>240</v>
      </c>
      <c r="BF2516" s="5" t="s">
        <v>301</v>
      </c>
      <c r="BG2516" s="6" t="s">
        <v>299</v>
      </c>
      <c r="BH2516" s="5" t="s">
        <v>302</v>
      </c>
      <c r="BI2516" s="5" t="s">
        <v>303</v>
      </c>
      <c r="BJ2516" s="5" t="s">
        <v>240</v>
      </c>
      <c r="BK2516" s="8">
        <f>0</f>
        <v>0</v>
      </c>
      <c r="BL2516" s="7">
        <f>0</f>
        <v>0</v>
      </c>
      <c r="BM2516" s="5" t="s">
        <v>258</v>
      </c>
      <c r="BN2516" s="5" t="s">
        <v>259</v>
      </c>
      <c r="CB2516" s="5" t="s">
        <v>240</v>
      </c>
      <c r="CC2516" s="5" t="s">
        <v>240</v>
      </c>
      <c r="CG2516" s="5" t="s">
        <v>304</v>
      </c>
      <c r="CH2516" s="5" t="s">
        <v>305</v>
      </c>
      <c r="CI2516" s="5" t="s">
        <v>240</v>
      </c>
      <c r="CL2516" s="6" t="s">
        <v>261</v>
      </c>
      <c r="CM2516" s="5" t="s">
        <v>240</v>
      </c>
      <c r="CN2516" s="5" t="s">
        <v>263</v>
      </c>
      <c r="CO2516" s="5" t="s">
        <v>240</v>
      </c>
      <c r="CP2516" s="5" t="s">
        <v>240</v>
      </c>
      <c r="CQ2516" s="5">
        <v>0</v>
      </c>
      <c r="CR2516" s="5" t="s">
        <v>306</v>
      </c>
      <c r="CS2516" s="5" t="s">
        <v>307</v>
      </c>
      <c r="CT2516" s="5" t="s">
        <v>307</v>
      </c>
      <c r="CU2516" s="5" t="s">
        <v>260</v>
      </c>
      <c r="CX2516" s="7">
        <f>1</f>
        <v>1</v>
      </c>
      <c r="CY2516" s="7">
        <f>0</f>
        <v>0</v>
      </c>
      <c r="DA2516" s="7">
        <f>0</f>
        <v>0</v>
      </c>
      <c r="DC2516" s="5" t="s">
        <v>309</v>
      </c>
      <c r="DD2516" s="5" t="s">
        <v>240</v>
      </c>
      <c r="DF2516" s="5" t="s">
        <v>309</v>
      </c>
      <c r="DG2516" s="7">
        <f>520</f>
        <v>520</v>
      </c>
      <c r="DI2516" s="5" t="s">
        <v>240</v>
      </c>
      <c r="DJ2516" s="5" t="s">
        <v>240</v>
      </c>
      <c r="DK2516" s="5" t="s">
        <v>240</v>
      </c>
      <c r="DL2516" s="5" t="s">
        <v>240</v>
      </c>
      <c r="DP2516" s="5" t="s">
        <v>240</v>
      </c>
      <c r="DQ2516" s="5" t="s">
        <v>240</v>
      </c>
      <c r="DR2516" s="5" t="s">
        <v>240</v>
      </c>
      <c r="DS2516" s="5" t="s">
        <v>240</v>
      </c>
      <c r="DV2516" s="5" t="s">
        <v>310</v>
      </c>
      <c r="DW2516" s="5" t="s">
        <v>3082</v>
      </c>
      <c r="HO2516" s="5" t="s">
        <v>312</v>
      </c>
    </row>
    <row r="2517" spans="1:223" x14ac:dyDescent="0.4">
      <c r="A2517" s="5">
        <v>4221</v>
      </c>
      <c r="B2517" s="5">
        <v>1</v>
      </c>
      <c r="C2517" s="5">
        <v>1</v>
      </c>
      <c r="D2517" s="5" t="s">
        <v>810</v>
      </c>
      <c r="E2517" s="5" t="s">
        <v>245</v>
      </c>
      <c r="F2517" s="5" t="s">
        <v>254</v>
      </c>
      <c r="G2517" s="5" t="s">
        <v>240</v>
      </c>
      <c r="H2517" s="6" t="s">
        <v>4995</v>
      </c>
      <c r="I2517" s="5" t="s">
        <v>809</v>
      </c>
      <c r="J2517" s="8">
        <f>1357</f>
        <v>1357</v>
      </c>
      <c r="K2517" s="5" t="s">
        <v>308</v>
      </c>
      <c r="L2517" s="7">
        <f>1</f>
        <v>1</v>
      </c>
      <c r="M2517" s="7">
        <f>1</f>
        <v>1</v>
      </c>
      <c r="N2517" s="5" t="s">
        <v>242</v>
      </c>
      <c r="O2517" s="5">
        <v>1</v>
      </c>
      <c r="P2517" s="5" t="s">
        <v>294</v>
      </c>
      <c r="Q2517" s="5" t="s">
        <v>266</v>
      </c>
      <c r="R2517" s="5" t="s">
        <v>240</v>
      </c>
      <c r="S2517" s="5" t="s">
        <v>240</v>
      </c>
      <c r="T2517" s="5" t="s">
        <v>296</v>
      </c>
      <c r="U2517" s="5" t="s">
        <v>244</v>
      </c>
      <c r="V2517" s="5" t="s">
        <v>240</v>
      </c>
      <c r="Y2517" s="5" t="s">
        <v>240</v>
      </c>
      <c r="Z2517" s="6" t="s">
        <v>298</v>
      </c>
      <c r="AB2517" s="6" t="s">
        <v>240</v>
      </c>
      <c r="AE2517" s="6" t="s">
        <v>299</v>
      </c>
      <c r="AF2517" s="5" t="s">
        <v>248</v>
      </c>
      <c r="AG2517" s="5" t="s">
        <v>249</v>
      </c>
      <c r="AW2517" s="5" t="s">
        <v>251</v>
      </c>
      <c r="AX2517" s="5" t="s">
        <v>240</v>
      </c>
      <c r="AY2517" s="5" t="s">
        <v>253</v>
      </c>
      <c r="AZ2517" s="5" t="s">
        <v>240</v>
      </c>
      <c r="BA2517" s="5" t="s">
        <v>255</v>
      </c>
      <c r="BB2517" s="5" t="s">
        <v>240</v>
      </c>
      <c r="BD2517" s="5" t="s">
        <v>240</v>
      </c>
      <c r="BF2517" s="5" t="s">
        <v>301</v>
      </c>
      <c r="BG2517" s="6" t="s">
        <v>299</v>
      </c>
      <c r="BH2517" s="5" t="s">
        <v>302</v>
      </c>
      <c r="BI2517" s="5" t="s">
        <v>303</v>
      </c>
      <c r="BJ2517" s="5" t="s">
        <v>240</v>
      </c>
      <c r="BK2517" s="8">
        <f>0</f>
        <v>0</v>
      </c>
      <c r="BL2517" s="7">
        <f>0</f>
        <v>0</v>
      </c>
      <c r="BM2517" s="5" t="s">
        <v>258</v>
      </c>
      <c r="BN2517" s="5" t="s">
        <v>259</v>
      </c>
      <c r="CB2517" s="5" t="s">
        <v>240</v>
      </c>
      <c r="CC2517" s="5" t="s">
        <v>240</v>
      </c>
      <c r="CG2517" s="5" t="s">
        <v>304</v>
      </c>
      <c r="CH2517" s="5" t="s">
        <v>305</v>
      </c>
      <c r="CI2517" s="5" t="s">
        <v>240</v>
      </c>
      <c r="CL2517" s="6" t="s">
        <v>261</v>
      </c>
      <c r="CM2517" s="5" t="s">
        <v>240</v>
      </c>
      <c r="CN2517" s="5" t="s">
        <v>263</v>
      </c>
      <c r="CO2517" s="5" t="s">
        <v>240</v>
      </c>
      <c r="CP2517" s="5" t="s">
        <v>240</v>
      </c>
      <c r="CQ2517" s="5">
        <v>0</v>
      </c>
      <c r="CR2517" s="5" t="s">
        <v>306</v>
      </c>
      <c r="CS2517" s="5" t="s">
        <v>307</v>
      </c>
      <c r="CT2517" s="5" t="s">
        <v>307</v>
      </c>
      <c r="CU2517" s="5" t="s">
        <v>260</v>
      </c>
      <c r="CX2517" s="7">
        <f>1</f>
        <v>1</v>
      </c>
      <c r="CY2517" s="7">
        <f>0</f>
        <v>0</v>
      </c>
      <c r="DA2517" s="7">
        <f>0</f>
        <v>0</v>
      </c>
      <c r="DC2517" s="5" t="s">
        <v>309</v>
      </c>
      <c r="DD2517" s="5" t="s">
        <v>240</v>
      </c>
      <c r="DF2517" s="5" t="s">
        <v>309</v>
      </c>
      <c r="DG2517" s="7">
        <f>2759</f>
        <v>2759</v>
      </c>
      <c r="DI2517" s="5" t="s">
        <v>240</v>
      </c>
      <c r="DJ2517" s="5" t="s">
        <v>240</v>
      </c>
      <c r="DK2517" s="5" t="s">
        <v>240</v>
      </c>
      <c r="DL2517" s="5" t="s">
        <v>240</v>
      </c>
      <c r="DP2517" s="5" t="s">
        <v>240</v>
      </c>
      <c r="DQ2517" s="5" t="s">
        <v>240</v>
      </c>
      <c r="DR2517" s="5" t="s">
        <v>240</v>
      </c>
      <c r="DS2517" s="5" t="s">
        <v>240</v>
      </c>
      <c r="DV2517" s="5" t="s">
        <v>310</v>
      </c>
      <c r="DW2517" s="5" t="s">
        <v>3084</v>
      </c>
      <c r="HO2517" s="5" t="s">
        <v>312</v>
      </c>
    </row>
    <row r="2518" spans="1:223" x14ac:dyDescent="0.4">
      <c r="A2518" s="5">
        <v>4222</v>
      </c>
      <c r="B2518" s="5">
        <v>1</v>
      </c>
      <c r="C2518" s="5">
        <v>1</v>
      </c>
      <c r="D2518" s="5" t="s">
        <v>810</v>
      </c>
      <c r="E2518" s="5" t="s">
        <v>245</v>
      </c>
      <c r="F2518" s="5" t="s">
        <v>254</v>
      </c>
      <c r="G2518" s="5" t="s">
        <v>240</v>
      </c>
      <c r="H2518" s="6" t="s">
        <v>3511</v>
      </c>
      <c r="I2518" s="5" t="s">
        <v>809</v>
      </c>
      <c r="J2518" s="8">
        <f>149</f>
        <v>149</v>
      </c>
      <c r="K2518" s="5" t="s">
        <v>308</v>
      </c>
      <c r="L2518" s="7">
        <f>1</f>
        <v>1</v>
      </c>
      <c r="M2518" s="7">
        <f>1</f>
        <v>1</v>
      </c>
      <c r="N2518" s="5" t="s">
        <v>242</v>
      </c>
      <c r="O2518" s="5">
        <v>1</v>
      </c>
      <c r="P2518" s="5" t="s">
        <v>294</v>
      </c>
      <c r="Q2518" s="5" t="s">
        <v>266</v>
      </c>
      <c r="R2518" s="5" t="s">
        <v>240</v>
      </c>
      <c r="S2518" s="5" t="s">
        <v>240</v>
      </c>
      <c r="T2518" s="5" t="s">
        <v>296</v>
      </c>
      <c r="U2518" s="5" t="s">
        <v>244</v>
      </c>
      <c r="V2518" s="5" t="s">
        <v>240</v>
      </c>
      <c r="Y2518" s="5" t="s">
        <v>240</v>
      </c>
      <c r="Z2518" s="6" t="s">
        <v>298</v>
      </c>
      <c r="AB2518" s="6" t="s">
        <v>240</v>
      </c>
      <c r="AE2518" s="6" t="s">
        <v>299</v>
      </c>
      <c r="AF2518" s="5" t="s">
        <v>248</v>
      </c>
      <c r="AG2518" s="5" t="s">
        <v>249</v>
      </c>
      <c r="AW2518" s="5" t="s">
        <v>251</v>
      </c>
      <c r="AX2518" s="5" t="s">
        <v>240</v>
      </c>
      <c r="AY2518" s="5" t="s">
        <v>253</v>
      </c>
      <c r="AZ2518" s="5" t="s">
        <v>240</v>
      </c>
      <c r="BA2518" s="5" t="s">
        <v>255</v>
      </c>
      <c r="BB2518" s="5" t="s">
        <v>240</v>
      </c>
      <c r="BD2518" s="5" t="s">
        <v>240</v>
      </c>
      <c r="BF2518" s="5" t="s">
        <v>301</v>
      </c>
      <c r="BG2518" s="6" t="s">
        <v>299</v>
      </c>
      <c r="BH2518" s="5" t="s">
        <v>302</v>
      </c>
      <c r="BI2518" s="5" t="s">
        <v>303</v>
      </c>
      <c r="BJ2518" s="5" t="s">
        <v>240</v>
      </c>
      <c r="BK2518" s="8">
        <f>0</f>
        <v>0</v>
      </c>
      <c r="BL2518" s="7">
        <f>0</f>
        <v>0</v>
      </c>
      <c r="BM2518" s="5" t="s">
        <v>258</v>
      </c>
      <c r="BN2518" s="5" t="s">
        <v>259</v>
      </c>
      <c r="CB2518" s="5" t="s">
        <v>240</v>
      </c>
      <c r="CC2518" s="5" t="s">
        <v>240</v>
      </c>
      <c r="CG2518" s="5" t="s">
        <v>304</v>
      </c>
      <c r="CH2518" s="5" t="s">
        <v>305</v>
      </c>
      <c r="CI2518" s="5" t="s">
        <v>240</v>
      </c>
      <c r="CL2518" s="6" t="s">
        <v>261</v>
      </c>
      <c r="CM2518" s="5" t="s">
        <v>240</v>
      </c>
      <c r="CN2518" s="5" t="s">
        <v>263</v>
      </c>
      <c r="CO2518" s="5" t="s">
        <v>240</v>
      </c>
      <c r="CP2518" s="5" t="s">
        <v>240</v>
      </c>
      <c r="CQ2518" s="5">
        <v>0</v>
      </c>
      <c r="CR2518" s="5" t="s">
        <v>306</v>
      </c>
      <c r="CS2518" s="5" t="s">
        <v>307</v>
      </c>
      <c r="CT2518" s="5" t="s">
        <v>307</v>
      </c>
      <c r="CU2518" s="5" t="s">
        <v>260</v>
      </c>
      <c r="CX2518" s="7">
        <f>1</f>
        <v>1</v>
      </c>
      <c r="CY2518" s="7">
        <f>0</f>
        <v>0</v>
      </c>
      <c r="DA2518" s="7">
        <f>0</f>
        <v>0</v>
      </c>
      <c r="DC2518" s="5" t="s">
        <v>812</v>
      </c>
      <c r="DD2518" s="5" t="s">
        <v>240</v>
      </c>
      <c r="DF2518" s="5" t="s">
        <v>812</v>
      </c>
      <c r="DG2518" s="7">
        <f>25</f>
        <v>25</v>
      </c>
      <c r="DI2518" s="5" t="s">
        <v>240</v>
      </c>
      <c r="DJ2518" s="5" t="s">
        <v>240</v>
      </c>
      <c r="DK2518" s="5" t="s">
        <v>240</v>
      </c>
      <c r="DL2518" s="5" t="s">
        <v>240</v>
      </c>
      <c r="DP2518" s="5" t="s">
        <v>240</v>
      </c>
      <c r="DQ2518" s="5" t="s">
        <v>240</v>
      </c>
      <c r="DR2518" s="5" t="s">
        <v>240</v>
      </c>
      <c r="DS2518" s="5" t="s">
        <v>240</v>
      </c>
      <c r="DV2518" s="5" t="s">
        <v>813</v>
      </c>
      <c r="DW2518" s="5" t="s">
        <v>4623</v>
      </c>
      <c r="HO2518" s="5" t="s">
        <v>312</v>
      </c>
    </row>
    <row r="2519" spans="1:223" x14ac:dyDescent="0.4">
      <c r="A2519" s="5">
        <v>4223</v>
      </c>
      <c r="B2519" s="5">
        <v>1</v>
      </c>
      <c r="C2519" s="5">
        <v>1</v>
      </c>
      <c r="D2519" s="5" t="s">
        <v>810</v>
      </c>
      <c r="E2519" s="5" t="s">
        <v>245</v>
      </c>
      <c r="F2519" s="5" t="s">
        <v>254</v>
      </c>
      <c r="G2519" s="5" t="s">
        <v>240</v>
      </c>
      <c r="H2519" s="6" t="s">
        <v>3509</v>
      </c>
      <c r="I2519" s="5" t="s">
        <v>809</v>
      </c>
      <c r="J2519" s="8">
        <f>266</f>
        <v>266</v>
      </c>
      <c r="K2519" s="5" t="s">
        <v>308</v>
      </c>
      <c r="L2519" s="7">
        <f>1</f>
        <v>1</v>
      </c>
      <c r="M2519" s="7">
        <f>1</f>
        <v>1</v>
      </c>
      <c r="N2519" s="5" t="s">
        <v>242</v>
      </c>
      <c r="O2519" s="5">
        <v>1</v>
      </c>
      <c r="P2519" s="5" t="s">
        <v>294</v>
      </c>
      <c r="Q2519" s="5" t="s">
        <v>266</v>
      </c>
      <c r="R2519" s="5" t="s">
        <v>240</v>
      </c>
      <c r="S2519" s="5" t="s">
        <v>240</v>
      </c>
      <c r="T2519" s="5" t="s">
        <v>296</v>
      </c>
      <c r="U2519" s="5" t="s">
        <v>244</v>
      </c>
      <c r="V2519" s="5" t="s">
        <v>240</v>
      </c>
      <c r="Y2519" s="5" t="s">
        <v>240</v>
      </c>
      <c r="Z2519" s="6" t="s">
        <v>298</v>
      </c>
      <c r="AB2519" s="6" t="s">
        <v>240</v>
      </c>
      <c r="AE2519" s="6" t="s">
        <v>299</v>
      </c>
      <c r="AF2519" s="5" t="s">
        <v>248</v>
      </c>
      <c r="AG2519" s="5" t="s">
        <v>249</v>
      </c>
      <c r="AW2519" s="5" t="s">
        <v>251</v>
      </c>
      <c r="AX2519" s="5" t="s">
        <v>240</v>
      </c>
      <c r="AY2519" s="5" t="s">
        <v>253</v>
      </c>
      <c r="AZ2519" s="5" t="s">
        <v>240</v>
      </c>
      <c r="BA2519" s="5" t="s">
        <v>255</v>
      </c>
      <c r="BB2519" s="5" t="s">
        <v>240</v>
      </c>
      <c r="BD2519" s="5" t="s">
        <v>240</v>
      </c>
      <c r="BF2519" s="5" t="s">
        <v>301</v>
      </c>
      <c r="BG2519" s="6" t="s">
        <v>299</v>
      </c>
      <c r="BH2519" s="5" t="s">
        <v>302</v>
      </c>
      <c r="BI2519" s="5" t="s">
        <v>303</v>
      </c>
      <c r="BJ2519" s="5" t="s">
        <v>240</v>
      </c>
      <c r="BK2519" s="8">
        <f>0</f>
        <v>0</v>
      </c>
      <c r="BL2519" s="7">
        <f>0</f>
        <v>0</v>
      </c>
      <c r="BM2519" s="5" t="s">
        <v>258</v>
      </c>
      <c r="BN2519" s="5" t="s">
        <v>259</v>
      </c>
      <c r="CB2519" s="5" t="s">
        <v>240</v>
      </c>
      <c r="CC2519" s="5" t="s">
        <v>240</v>
      </c>
      <c r="CG2519" s="5" t="s">
        <v>304</v>
      </c>
      <c r="CH2519" s="5" t="s">
        <v>305</v>
      </c>
      <c r="CI2519" s="5" t="s">
        <v>240</v>
      </c>
      <c r="CL2519" s="6" t="s">
        <v>261</v>
      </c>
      <c r="CM2519" s="5" t="s">
        <v>240</v>
      </c>
      <c r="CN2519" s="5" t="s">
        <v>263</v>
      </c>
      <c r="CO2519" s="5" t="s">
        <v>240</v>
      </c>
      <c r="CP2519" s="5" t="s">
        <v>240</v>
      </c>
      <c r="CQ2519" s="5">
        <v>0</v>
      </c>
      <c r="CR2519" s="5" t="s">
        <v>306</v>
      </c>
      <c r="CS2519" s="5" t="s">
        <v>307</v>
      </c>
      <c r="CT2519" s="5" t="s">
        <v>307</v>
      </c>
      <c r="CU2519" s="5" t="s">
        <v>260</v>
      </c>
      <c r="CX2519" s="7">
        <f>1</f>
        <v>1</v>
      </c>
      <c r="CY2519" s="7">
        <f>0</f>
        <v>0</v>
      </c>
      <c r="DA2519" s="7">
        <f>0</f>
        <v>0</v>
      </c>
      <c r="DC2519" s="5" t="s">
        <v>309</v>
      </c>
      <c r="DD2519" s="5" t="s">
        <v>240</v>
      </c>
      <c r="DF2519" s="5" t="s">
        <v>309</v>
      </c>
      <c r="DG2519" s="7">
        <f>157</f>
        <v>157</v>
      </c>
      <c r="DI2519" s="5" t="s">
        <v>240</v>
      </c>
      <c r="DJ2519" s="5" t="s">
        <v>240</v>
      </c>
      <c r="DK2519" s="5" t="s">
        <v>240</v>
      </c>
      <c r="DL2519" s="5" t="s">
        <v>240</v>
      </c>
      <c r="DP2519" s="5" t="s">
        <v>240</v>
      </c>
      <c r="DQ2519" s="5" t="s">
        <v>240</v>
      </c>
      <c r="DR2519" s="5" t="s">
        <v>240</v>
      </c>
      <c r="DS2519" s="5" t="s">
        <v>240</v>
      </c>
      <c r="DV2519" s="5" t="s">
        <v>310</v>
      </c>
      <c r="DW2519" s="5" t="s">
        <v>3088</v>
      </c>
      <c r="HO2519" s="5" t="s">
        <v>312</v>
      </c>
    </row>
    <row r="2520" spans="1:223" x14ac:dyDescent="0.4">
      <c r="A2520" s="5">
        <v>4224</v>
      </c>
      <c r="B2520" s="5">
        <v>1</v>
      </c>
      <c r="C2520" s="5">
        <v>1</v>
      </c>
      <c r="D2520" s="5" t="s">
        <v>810</v>
      </c>
      <c r="E2520" s="5" t="s">
        <v>245</v>
      </c>
      <c r="F2520" s="5" t="s">
        <v>254</v>
      </c>
      <c r="G2520" s="5" t="s">
        <v>240</v>
      </c>
      <c r="H2520" s="6" t="s">
        <v>3507</v>
      </c>
      <c r="I2520" s="5" t="s">
        <v>809</v>
      </c>
      <c r="J2520" s="8">
        <f>2692</f>
        <v>2692</v>
      </c>
      <c r="K2520" s="5" t="s">
        <v>308</v>
      </c>
      <c r="L2520" s="7">
        <f>1</f>
        <v>1</v>
      </c>
      <c r="M2520" s="7">
        <f>1</f>
        <v>1</v>
      </c>
      <c r="N2520" s="5" t="s">
        <v>242</v>
      </c>
      <c r="O2520" s="5">
        <v>1</v>
      </c>
      <c r="P2520" s="5" t="s">
        <v>294</v>
      </c>
      <c r="Q2520" s="5" t="s">
        <v>266</v>
      </c>
      <c r="R2520" s="5" t="s">
        <v>240</v>
      </c>
      <c r="S2520" s="5" t="s">
        <v>240</v>
      </c>
      <c r="T2520" s="5" t="s">
        <v>296</v>
      </c>
      <c r="U2520" s="5" t="s">
        <v>244</v>
      </c>
      <c r="V2520" s="5" t="s">
        <v>240</v>
      </c>
      <c r="Y2520" s="5" t="s">
        <v>240</v>
      </c>
      <c r="Z2520" s="6" t="s">
        <v>298</v>
      </c>
      <c r="AB2520" s="6" t="s">
        <v>240</v>
      </c>
      <c r="AE2520" s="6" t="s">
        <v>299</v>
      </c>
      <c r="AF2520" s="5" t="s">
        <v>248</v>
      </c>
      <c r="AG2520" s="5" t="s">
        <v>249</v>
      </c>
      <c r="AW2520" s="5" t="s">
        <v>251</v>
      </c>
      <c r="AX2520" s="5" t="s">
        <v>240</v>
      </c>
      <c r="AY2520" s="5" t="s">
        <v>253</v>
      </c>
      <c r="AZ2520" s="5" t="s">
        <v>240</v>
      </c>
      <c r="BA2520" s="5" t="s">
        <v>255</v>
      </c>
      <c r="BB2520" s="5" t="s">
        <v>240</v>
      </c>
      <c r="BD2520" s="5" t="s">
        <v>240</v>
      </c>
      <c r="BF2520" s="5" t="s">
        <v>301</v>
      </c>
      <c r="BG2520" s="6" t="s">
        <v>299</v>
      </c>
      <c r="BH2520" s="5" t="s">
        <v>302</v>
      </c>
      <c r="BI2520" s="5" t="s">
        <v>303</v>
      </c>
      <c r="BJ2520" s="5" t="s">
        <v>240</v>
      </c>
      <c r="BK2520" s="8">
        <f>0</f>
        <v>0</v>
      </c>
      <c r="BL2520" s="7">
        <f>0</f>
        <v>0</v>
      </c>
      <c r="BM2520" s="5" t="s">
        <v>258</v>
      </c>
      <c r="BN2520" s="5" t="s">
        <v>259</v>
      </c>
      <c r="CB2520" s="5" t="s">
        <v>240</v>
      </c>
      <c r="CC2520" s="5" t="s">
        <v>240</v>
      </c>
      <c r="CG2520" s="5" t="s">
        <v>304</v>
      </c>
      <c r="CH2520" s="5" t="s">
        <v>305</v>
      </c>
      <c r="CI2520" s="5" t="s">
        <v>240</v>
      </c>
      <c r="CL2520" s="6" t="s">
        <v>261</v>
      </c>
      <c r="CM2520" s="5" t="s">
        <v>240</v>
      </c>
      <c r="CN2520" s="5" t="s">
        <v>263</v>
      </c>
      <c r="CO2520" s="5" t="s">
        <v>240</v>
      </c>
      <c r="CP2520" s="5" t="s">
        <v>240</v>
      </c>
      <c r="CQ2520" s="5">
        <v>0</v>
      </c>
      <c r="CR2520" s="5" t="s">
        <v>306</v>
      </c>
      <c r="CS2520" s="5" t="s">
        <v>307</v>
      </c>
      <c r="CT2520" s="5" t="s">
        <v>307</v>
      </c>
      <c r="CU2520" s="5" t="s">
        <v>260</v>
      </c>
      <c r="CX2520" s="7">
        <f>1</f>
        <v>1</v>
      </c>
      <c r="CY2520" s="7">
        <f>0</f>
        <v>0</v>
      </c>
      <c r="DA2520" s="7">
        <f>0</f>
        <v>0</v>
      </c>
      <c r="DC2520" s="5" t="s">
        <v>309</v>
      </c>
      <c r="DD2520" s="5" t="s">
        <v>240</v>
      </c>
      <c r="DF2520" s="5" t="s">
        <v>309</v>
      </c>
      <c r="DG2520" s="7">
        <f>694</f>
        <v>694</v>
      </c>
      <c r="DI2520" s="5" t="s">
        <v>240</v>
      </c>
      <c r="DJ2520" s="5" t="s">
        <v>240</v>
      </c>
      <c r="DK2520" s="5" t="s">
        <v>240</v>
      </c>
      <c r="DL2520" s="5" t="s">
        <v>240</v>
      </c>
      <c r="DP2520" s="5" t="s">
        <v>240</v>
      </c>
      <c r="DQ2520" s="5" t="s">
        <v>240</v>
      </c>
      <c r="DR2520" s="5" t="s">
        <v>240</v>
      </c>
      <c r="DS2520" s="5" t="s">
        <v>240</v>
      </c>
      <c r="DV2520" s="5" t="s">
        <v>310</v>
      </c>
      <c r="DW2520" s="5" t="s">
        <v>3090</v>
      </c>
      <c r="HO2520" s="5" t="s">
        <v>312</v>
      </c>
    </row>
    <row r="2521" spans="1:223" x14ac:dyDescent="0.4">
      <c r="A2521" s="5">
        <v>4225</v>
      </c>
      <c r="B2521" s="5">
        <v>1</v>
      </c>
      <c r="C2521" s="5">
        <v>1</v>
      </c>
      <c r="D2521" s="5" t="s">
        <v>810</v>
      </c>
      <c r="E2521" s="5" t="s">
        <v>245</v>
      </c>
      <c r="F2521" s="5" t="s">
        <v>254</v>
      </c>
      <c r="G2521" s="5" t="s">
        <v>240</v>
      </c>
      <c r="H2521" s="6" t="s">
        <v>4992</v>
      </c>
      <c r="I2521" s="5" t="s">
        <v>809</v>
      </c>
      <c r="J2521" s="8">
        <f>326</f>
        <v>326</v>
      </c>
      <c r="K2521" s="5" t="s">
        <v>308</v>
      </c>
      <c r="L2521" s="7">
        <f>1</f>
        <v>1</v>
      </c>
      <c r="M2521" s="7">
        <f>1</f>
        <v>1</v>
      </c>
      <c r="N2521" s="5" t="s">
        <v>242</v>
      </c>
      <c r="O2521" s="5">
        <v>1</v>
      </c>
      <c r="P2521" s="5" t="s">
        <v>294</v>
      </c>
      <c r="Q2521" s="5" t="s">
        <v>266</v>
      </c>
      <c r="R2521" s="5" t="s">
        <v>240</v>
      </c>
      <c r="S2521" s="5" t="s">
        <v>240</v>
      </c>
      <c r="T2521" s="5" t="s">
        <v>296</v>
      </c>
      <c r="U2521" s="5" t="s">
        <v>244</v>
      </c>
      <c r="V2521" s="5" t="s">
        <v>240</v>
      </c>
      <c r="Y2521" s="5" t="s">
        <v>240</v>
      </c>
      <c r="Z2521" s="6" t="s">
        <v>298</v>
      </c>
      <c r="AB2521" s="6" t="s">
        <v>240</v>
      </c>
      <c r="AE2521" s="6" t="s">
        <v>299</v>
      </c>
      <c r="AF2521" s="5" t="s">
        <v>248</v>
      </c>
      <c r="AG2521" s="5" t="s">
        <v>249</v>
      </c>
      <c r="AW2521" s="5" t="s">
        <v>251</v>
      </c>
      <c r="AX2521" s="5" t="s">
        <v>240</v>
      </c>
      <c r="AY2521" s="5" t="s">
        <v>253</v>
      </c>
      <c r="AZ2521" s="5" t="s">
        <v>240</v>
      </c>
      <c r="BA2521" s="5" t="s">
        <v>255</v>
      </c>
      <c r="BB2521" s="5" t="s">
        <v>240</v>
      </c>
      <c r="BD2521" s="5" t="s">
        <v>240</v>
      </c>
      <c r="BF2521" s="5" t="s">
        <v>301</v>
      </c>
      <c r="BG2521" s="6" t="s">
        <v>299</v>
      </c>
      <c r="BH2521" s="5" t="s">
        <v>302</v>
      </c>
      <c r="BI2521" s="5" t="s">
        <v>303</v>
      </c>
      <c r="BJ2521" s="5" t="s">
        <v>240</v>
      </c>
      <c r="BK2521" s="8">
        <f>0</f>
        <v>0</v>
      </c>
      <c r="BL2521" s="7">
        <f>0</f>
        <v>0</v>
      </c>
      <c r="BM2521" s="5" t="s">
        <v>258</v>
      </c>
      <c r="BN2521" s="5" t="s">
        <v>259</v>
      </c>
      <c r="CB2521" s="5" t="s">
        <v>240</v>
      </c>
      <c r="CC2521" s="5" t="s">
        <v>240</v>
      </c>
      <c r="CG2521" s="5" t="s">
        <v>304</v>
      </c>
      <c r="CH2521" s="5" t="s">
        <v>305</v>
      </c>
      <c r="CI2521" s="5" t="s">
        <v>240</v>
      </c>
      <c r="CL2521" s="6" t="s">
        <v>261</v>
      </c>
      <c r="CM2521" s="5" t="s">
        <v>240</v>
      </c>
      <c r="CN2521" s="5" t="s">
        <v>263</v>
      </c>
      <c r="CO2521" s="5" t="s">
        <v>240</v>
      </c>
      <c r="CP2521" s="5" t="s">
        <v>240</v>
      </c>
      <c r="CQ2521" s="5">
        <v>0</v>
      </c>
      <c r="CR2521" s="5" t="s">
        <v>306</v>
      </c>
      <c r="CS2521" s="5" t="s">
        <v>307</v>
      </c>
      <c r="CT2521" s="5" t="s">
        <v>307</v>
      </c>
      <c r="CU2521" s="5" t="s">
        <v>260</v>
      </c>
      <c r="CX2521" s="7">
        <f>1</f>
        <v>1</v>
      </c>
      <c r="CY2521" s="7">
        <f>0</f>
        <v>0</v>
      </c>
      <c r="DA2521" s="7">
        <f>0</f>
        <v>0</v>
      </c>
      <c r="DC2521" s="5" t="s">
        <v>309</v>
      </c>
      <c r="DD2521" s="5" t="s">
        <v>240</v>
      </c>
      <c r="DF2521" s="5" t="s">
        <v>309</v>
      </c>
      <c r="DG2521" s="7">
        <f>382</f>
        <v>382</v>
      </c>
      <c r="DI2521" s="5" t="s">
        <v>240</v>
      </c>
      <c r="DJ2521" s="5" t="s">
        <v>240</v>
      </c>
      <c r="DK2521" s="5" t="s">
        <v>240</v>
      </c>
      <c r="DL2521" s="5" t="s">
        <v>240</v>
      </c>
      <c r="DP2521" s="5" t="s">
        <v>240</v>
      </c>
      <c r="DQ2521" s="5" t="s">
        <v>240</v>
      </c>
      <c r="DR2521" s="5" t="s">
        <v>240</v>
      </c>
      <c r="DS2521" s="5" t="s">
        <v>240</v>
      </c>
      <c r="DV2521" s="5" t="s">
        <v>310</v>
      </c>
      <c r="DW2521" s="5" t="s">
        <v>3092</v>
      </c>
      <c r="HO2521" s="5" t="s">
        <v>312</v>
      </c>
    </row>
    <row r="2522" spans="1:223" x14ac:dyDescent="0.4">
      <c r="A2522" s="5">
        <v>4226</v>
      </c>
      <c r="B2522" s="5">
        <v>1</v>
      </c>
      <c r="C2522" s="5">
        <v>1</v>
      </c>
      <c r="D2522" s="5" t="s">
        <v>810</v>
      </c>
      <c r="E2522" s="5" t="s">
        <v>245</v>
      </c>
      <c r="F2522" s="5" t="s">
        <v>254</v>
      </c>
      <c r="G2522" s="5" t="s">
        <v>240</v>
      </c>
      <c r="H2522" s="6" t="s">
        <v>3503</v>
      </c>
      <c r="I2522" s="5" t="s">
        <v>809</v>
      </c>
      <c r="J2522" s="8">
        <f>308</f>
        <v>308</v>
      </c>
      <c r="K2522" s="5" t="s">
        <v>308</v>
      </c>
      <c r="L2522" s="7">
        <f>1</f>
        <v>1</v>
      </c>
      <c r="M2522" s="7">
        <f>1</f>
        <v>1</v>
      </c>
      <c r="N2522" s="5" t="s">
        <v>242</v>
      </c>
      <c r="O2522" s="5">
        <v>1</v>
      </c>
      <c r="P2522" s="5" t="s">
        <v>294</v>
      </c>
      <c r="Q2522" s="5" t="s">
        <v>266</v>
      </c>
      <c r="R2522" s="5" t="s">
        <v>240</v>
      </c>
      <c r="S2522" s="5" t="s">
        <v>240</v>
      </c>
      <c r="T2522" s="5" t="s">
        <v>296</v>
      </c>
      <c r="U2522" s="5" t="s">
        <v>244</v>
      </c>
      <c r="V2522" s="5" t="s">
        <v>240</v>
      </c>
      <c r="Y2522" s="5" t="s">
        <v>240</v>
      </c>
      <c r="Z2522" s="6" t="s">
        <v>298</v>
      </c>
      <c r="AB2522" s="6" t="s">
        <v>240</v>
      </c>
      <c r="AE2522" s="6" t="s">
        <v>299</v>
      </c>
      <c r="AF2522" s="5" t="s">
        <v>248</v>
      </c>
      <c r="AG2522" s="5" t="s">
        <v>249</v>
      </c>
      <c r="AW2522" s="5" t="s">
        <v>251</v>
      </c>
      <c r="AX2522" s="5" t="s">
        <v>240</v>
      </c>
      <c r="AY2522" s="5" t="s">
        <v>253</v>
      </c>
      <c r="AZ2522" s="5" t="s">
        <v>240</v>
      </c>
      <c r="BA2522" s="5" t="s">
        <v>255</v>
      </c>
      <c r="BB2522" s="5" t="s">
        <v>240</v>
      </c>
      <c r="BD2522" s="5" t="s">
        <v>240</v>
      </c>
      <c r="BF2522" s="5" t="s">
        <v>301</v>
      </c>
      <c r="BG2522" s="6" t="s">
        <v>299</v>
      </c>
      <c r="BH2522" s="5" t="s">
        <v>302</v>
      </c>
      <c r="BI2522" s="5" t="s">
        <v>303</v>
      </c>
      <c r="BJ2522" s="5" t="s">
        <v>240</v>
      </c>
      <c r="BK2522" s="8">
        <f>0</f>
        <v>0</v>
      </c>
      <c r="BL2522" s="7">
        <f>0</f>
        <v>0</v>
      </c>
      <c r="BM2522" s="5" t="s">
        <v>258</v>
      </c>
      <c r="BN2522" s="5" t="s">
        <v>259</v>
      </c>
      <c r="CB2522" s="5" t="s">
        <v>240</v>
      </c>
      <c r="CC2522" s="5" t="s">
        <v>240</v>
      </c>
      <c r="CG2522" s="5" t="s">
        <v>304</v>
      </c>
      <c r="CH2522" s="5" t="s">
        <v>305</v>
      </c>
      <c r="CI2522" s="5" t="s">
        <v>240</v>
      </c>
      <c r="CL2522" s="6" t="s">
        <v>261</v>
      </c>
      <c r="CM2522" s="5" t="s">
        <v>240</v>
      </c>
      <c r="CN2522" s="5" t="s">
        <v>263</v>
      </c>
      <c r="CO2522" s="5" t="s">
        <v>240</v>
      </c>
      <c r="CP2522" s="5" t="s">
        <v>240</v>
      </c>
      <c r="CQ2522" s="5">
        <v>0</v>
      </c>
      <c r="CR2522" s="5" t="s">
        <v>306</v>
      </c>
      <c r="CS2522" s="5" t="s">
        <v>307</v>
      </c>
      <c r="CT2522" s="5" t="s">
        <v>307</v>
      </c>
      <c r="CU2522" s="5" t="s">
        <v>260</v>
      </c>
      <c r="CX2522" s="7">
        <f>1</f>
        <v>1</v>
      </c>
      <c r="CY2522" s="7">
        <f>0</f>
        <v>0</v>
      </c>
      <c r="DA2522" s="7">
        <f>0</f>
        <v>0</v>
      </c>
      <c r="DC2522" s="5" t="s">
        <v>812</v>
      </c>
      <c r="DD2522" s="5" t="s">
        <v>240</v>
      </c>
      <c r="DF2522" s="5" t="s">
        <v>812</v>
      </c>
      <c r="DG2522" s="7">
        <f>180</f>
        <v>180</v>
      </c>
      <c r="DI2522" s="5" t="s">
        <v>240</v>
      </c>
      <c r="DJ2522" s="5" t="s">
        <v>240</v>
      </c>
      <c r="DK2522" s="5" t="s">
        <v>240</v>
      </c>
      <c r="DL2522" s="5" t="s">
        <v>240</v>
      </c>
      <c r="DP2522" s="5" t="s">
        <v>240</v>
      </c>
      <c r="DQ2522" s="5" t="s">
        <v>240</v>
      </c>
      <c r="DR2522" s="5" t="s">
        <v>240</v>
      </c>
      <c r="DS2522" s="5" t="s">
        <v>240</v>
      </c>
      <c r="DV2522" s="5" t="s">
        <v>813</v>
      </c>
      <c r="DW2522" s="5" t="s">
        <v>4628</v>
      </c>
      <c r="HO2522" s="5" t="s">
        <v>312</v>
      </c>
    </row>
    <row r="2523" spans="1:223" x14ac:dyDescent="0.4">
      <c r="A2523" s="5">
        <v>4227</v>
      </c>
      <c r="B2523" s="5">
        <v>1</v>
      </c>
      <c r="C2523" s="5">
        <v>1</v>
      </c>
      <c r="D2523" s="5" t="s">
        <v>810</v>
      </c>
      <c r="E2523" s="5" t="s">
        <v>245</v>
      </c>
      <c r="F2523" s="5" t="s">
        <v>254</v>
      </c>
      <c r="G2523" s="5" t="s">
        <v>240</v>
      </c>
      <c r="H2523" s="6" t="s">
        <v>4991</v>
      </c>
      <c r="I2523" s="5" t="s">
        <v>809</v>
      </c>
      <c r="J2523" s="8">
        <f>1346</f>
        <v>1346</v>
      </c>
      <c r="K2523" s="5" t="s">
        <v>308</v>
      </c>
      <c r="L2523" s="7">
        <f>1</f>
        <v>1</v>
      </c>
      <c r="M2523" s="7">
        <f>1</f>
        <v>1</v>
      </c>
      <c r="N2523" s="5" t="s">
        <v>242</v>
      </c>
      <c r="O2523" s="5">
        <v>1</v>
      </c>
      <c r="P2523" s="5" t="s">
        <v>294</v>
      </c>
      <c r="Q2523" s="5" t="s">
        <v>266</v>
      </c>
      <c r="R2523" s="5" t="s">
        <v>240</v>
      </c>
      <c r="S2523" s="5" t="s">
        <v>240</v>
      </c>
      <c r="T2523" s="5" t="s">
        <v>296</v>
      </c>
      <c r="U2523" s="5" t="s">
        <v>244</v>
      </c>
      <c r="V2523" s="5" t="s">
        <v>240</v>
      </c>
      <c r="Y2523" s="5" t="s">
        <v>240</v>
      </c>
      <c r="Z2523" s="6" t="s">
        <v>298</v>
      </c>
      <c r="AB2523" s="6" t="s">
        <v>240</v>
      </c>
      <c r="AE2523" s="6" t="s">
        <v>299</v>
      </c>
      <c r="AF2523" s="5" t="s">
        <v>248</v>
      </c>
      <c r="AG2523" s="5" t="s">
        <v>249</v>
      </c>
      <c r="AW2523" s="5" t="s">
        <v>251</v>
      </c>
      <c r="AX2523" s="5" t="s">
        <v>240</v>
      </c>
      <c r="AY2523" s="5" t="s">
        <v>253</v>
      </c>
      <c r="AZ2523" s="5" t="s">
        <v>240</v>
      </c>
      <c r="BA2523" s="5" t="s">
        <v>255</v>
      </c>
      <c r="BB2523" s="5" t="s">
        <v>240</v>
      </c>
      <c r="BD2523" s="5" t="s">
        <v>240</v>
      </c>
      <c r="BF2523" s="5" t="s">
        <v>301</v>
      </c>
      <c r="BG2523" s="6" t="s">
        <v>299</v>
      </c>
      <c r="BH2523" s="5" t="s">
        <v>302</v>
      </c>
      <c r="BI2523" s="5" t="s">
        <v>303</v>
      </c>
      <c r="BJ2523" s="5" t="s">
        <v>240</v>
      </c>
      <c r="BK2523" s="8">
        <f>0</f>
        <v>0</v>
      </c>
      <c r="BL2523" s="7">
        <f>0</f>
        <v>0</v>
      </c>
      <c r="BM2523" s="5" t="s">
        <v>258</v>
      </c>
      <c r="BN2523" s="5" t="s">
        <v>259</v>
      </c>
      <c r="CB2523" s="5" t="s">
        <v>240</v>
      </c>
      <c r="CC2523" s="5" t="s">
        <v>240</v>
      </c>
      <c r="CG2523" s="5" t="s">
        <v>304</v>
      </c>
      <c r="CH2523" s="5" t="s">
        <v>305</v>
      </c>
      <c r="CI2523" s="5" t="s">
        <v>240</v>
      </c>
      <c r="CL2523" s="6" t="s">
        <v>261</v>
      </c>
      <c r="CM2523" s="5" t="s">
        <v>240</v>
      </c>
      <c r="CN2523" s="5" t="s">
        <v>263</v>
      </c>
      <c r="CO2523" s="5" t="s">
        <v>240</v>
      </c>
      <c r="CP2523" s="5" t="s">
        <v>240</v>
      </c>
      <c r="CQ2523" s="5">
        <v>0</v>
      </c>
      <c r="CR2523" s="5" t="s">
        <v>306</v>
      </c>
      <c r="CS2523" s="5" t="s">
        <v>307</v>
      </c>
      <c r="CT2523" s="5" t="s">
        <v>307</v>
      </c>
      <c r="CU2523" s="5" t="s">
        <v>260</v>
      </c>
      <c r="CX2523" s="7">
        <f>1</f>
        <v>1</v>
      </c>
      <c r="CY2523" s="7">
        <f>0</f>
        <v>0</v>
      </c>
      <c r="DA2523" s="7">
        <f>0</f>
        <v>0</v>
      </c>
      <c r="DC2523" s="5" t="s">
        <v>309</v>
      </c>
      <c r="DD2523" s="5" t="s">
        <v>240</v>
      </c>
      <c r="DF2523" s="5" t="s">
        <v>309</v>
      </c>
      <c r="DG2523" s="7">
        <f>293</f>
        <v>293</v>
      </c>
      <c r="DI2523" s="5" t="s">
        <v>240</v>
      </c>
      <c r="DJ2523" s="5" t="s">
        <v>240</v>
      </c>
      <c r="DK2523" s="5" t="s">
        <v>240</v>
      </c>
      <c r="DL2523" s="5" t="s">
        <v>240</v>
      </c>
      <c r="DP2523" s="5" t="s">
        <v>240</v>
      </c>
      <c r="DQ2523" s="5" t="s">
        <v>240</v>
      </c>
      <c r="DR2523" s="5" t="s">
        <v>240</v>
      </c>
      <c r="DS2523" s="5" t="s">
        <v>240</v>
      </c>
      <c r="DV2523" s="5" t="s">
        <v>310</v>
      </c>
      <c r="DW2523" s="5" t="s">
        <v>3096</v>
      </c>
      <c r="HO2523" s="5" t="s">
        <v>312</v>
      </c>
    </row>
    <row r="2524" spans="1:223" x14ac:dyDescent="0.4">
      <c r="A2524" s="5">
        <v>4228</v>
      </c>
      <c r="B2524" s="5">
        <v>1</v>
      </c>
      <c r="C2524" s="5">
        <v>1</v>
      </c>
      <c r="D2524" s="5" t="s">
        <v>810</v>
      </c>
      <c r="E2524" s="5" t="s">
        <v>245</v>
      </c>
      <c r="F2524" s="5" t="s">
        <v>254</v>
      </c>
      <c r="G2524" s="5" t="s">
        <v>240</v>
      </c>
      <c r="H2524" s="6" t="s">
        <v>3499</v>
      </c>
      <c r="I2524" s="5" t="s">
        <v>809</v>
      </c>
      <c r="J2524" s="8">
        <f>109</f>
        <v>109</v>
      </c>
      <c r="K2524" s="5" t="s">
        <v>308</v>
      </c>
      <c r="L2524" s="7">
        <f>1</f>
        <v>1</v>
      </c>
      <c r="M2524" s="7">
        <f>1</f>
        <v>1</v>
      </c>
      <c r="N2524" s="5" t="s">
        <v>242</v>
      </c>
      <c r="O2524" s="5">
        <v>1</v>
      </c>
      <c r="P2524" s="5" t="s">
        <v>294</v>
      </c>
      <c r="Q2524" s="5" t="s">
        <v>266</v>
      </c>
      <c r="R2524" s="5" t="s">
        <v>240</v>
      </c>
      <c r="S2524" s="5" t="s">
        <v>240</v>
      </c>
      <c r="T2524" s="5" t="s">
        <v>296</v>
      </c>
      <c r="U2524" s="5" t="s">
        <v>244</v>
      </c>
      <c r="V2524" s="5" t="s">
        <v>240</v>
      </c>
      <c r="Y2524" s="5" t="s">
        <v>240</v>
      </c>
      <c r="Z2524" s="6" t="s">
        <v>298</v>
      </c>
      <c r="AB2524" s="6" t="s">
        <v>240</v>
      </c>
      <c r="AE2524" s="6" t="s">
        <v>299</v>
      </c>
      <c r="AF2524" s="5" t="s">
        <v>248</v>
      </c>
      <c r="AG2524" s="5" t="s">
        <v>249</v>
      </c>
      <c r="AW2524" s="5" t="s">
        <v>251</v>
      </c>
      <c r="AX2524" s="5" t="s">
        <v>240</v>
      </c>
      <c r="AY2524" s="5" t="s">
        <v>253</v>
      </c>
      <c r="AZ2524" s="5" t="s">
        <v>240</v>
      </c>
      <c r="BA2524" s="5" t="s">
        <v>255</v>
      </c>
      <c r="BB2524" s="5" t="s">
        <v>240</v>
      </c>
      <c r="BD2524" s="5" t="s">
        <v>240</v>
      </c>
      <c r="BF2524" s="5" t="s">
        <v>301</v>
      </c>
      <c r="BG2524" s="6" t="s">
        <v>299</v>
      </c>
      <c r="BH2524" s="5" t="s">
        <v>302</v>
      </c>
      <c r="BI2524" s="5" t="s">
        <v>303</v>
      </c>
      <c r="BJ2524" s="5" t="s">
        <v>240</v>
      </c>
      <c r="BK2524" s="8">
        <f>0</f>
        <v>0</v>
      </c>
      <c r="BL2524" s="7">
        <f>0</f>
        <v>0</v>
      </c>
      <c r="BM2524" s="5" t="s">
        <v>258</v>
      </c>
      <c r="BN2524" s="5" t="s">
        <v>259</v>
      </c>
      <c r="CB2524" s="5" t="s">
        <v>240</v>
      </c>
      <c r="CC2524" s="5" t="s">
        <v>240</v>
      </c>
      <c r="CG2524" s="5" t="s">
        <v>304</v>
      </c>
      <c r="CH2524" s="5" t="s">
        <v>305</v>
      </c>
      <c r="CI2524" s="5" t="s">
        <v>240</v>
      </c>
      <c r="CL2524" s="6" t="s">
        <v>261</v>
      </c>
      <c r="CM2524" s="5" t="s">
        <v>240</v>
      </c>
      <c r="CN2524" s="5" t="s">
        <v>263</v>
      </c>
      <c r="CO2524" s="5" t="s">
        <v>240</v>
      </c>
      <c r="CP2524" s="5" t="s">
        <v>240</v>
      </c>
      <c r="CQ2524" s="5">
        <v>0</v>
      </c>
      <c r="CR2524" s="5" t="s">
        <v>306</v>
      </c>
      <c r="CS2524" s="5" t="s">
        <v>307</v>
      </c>
      <c r="CT2524" s="5" t="s">
        <v>307</v>
      </c>
      <c r="CU2524" s="5" t="s">
        <v>260</v>
      </c>
      <c r="CX2524" s="7">
        <f>1</f>
        <v>1</v>
      </c>
      <c r="CY2524" s="7">
        <f>0</f>
        <v>0</v>
      </c>
      <c r="DA2524" s="7">
        <f>0</f>
        <v>0</v>
      </c>
      <c r="DC2524" s="5" t="s">
        <v>309</v>
      </c>
      <c r="DD2524" s="5" t="s">
        <v>240</v>
      </c>
      <c r="DF2524" s="5" t="s">
        <v>309</v>
      </c>
      <c r="DG2524" s="7">
        <f>745</f>
        <v>745</v>
      </c>
      <c r="DI2524" s="5" t="s">
        <v>240</v>
      </c>
      <c r="DJ2524" s="5" t="s">
        <v>240</v>
      </c>
      <c r="DK2524" s="5" t="s">
        <v>240</v>
      </c>
      <c r="DL2524" s="5" t="s">
        <v>240</v>
      </c>
      <c r="DP2524" s="5" t="s">
        <v>240</v>
      </c>
      <c r="DQ2524" s="5" t="s">
        <v>240</v>
      </c>
      <c r="DR2524" s="5" t="s">
        <v>240</v>
      </c>
      <c r="DS2524" s="5" t="s">
        <v>240</v>
      </c>
      <c r="DV2524" s="5" t="s">
        <v>310</v>
      </c>
      <c r="DW2524" s="5" t="s">
        <v>3098</v>
      </c>
      <c r="HO2524" s="5" t="s">
        <v>312</v>
      </c>
    </row>
    <row r="2525" spans="1:223" x14ac:dyDescent="0.4">
      <c r="A2525" s="5">
        <v>4229</v>
      </c>
      <c r="B2525" s="5">
        <v>1</v>
      </c>
      <c r="C2525" s="5">
        <v>1</v>
      </c>
      <c r="D2525" s="5" t="s">
        <v>810</v>
      </c>
      <c r="E2525" s="5" t="s">
        <v>245</v>
      </c>
      <c r="F2525" s="5" t="s">
        <v>254</v>
      </c>
      <c r="G2525" s="5" t="s">
        <v>240</v>
      </c>
      <c r="H2525" s="6" t="s">
        <v>4990</v>
      </c>
      <c r="I2525" s="5" t="s">
        <v>809</v>
      </c>
      <c r="J2525" s="8">
        <f>140</f>
        <v>140</v>
      </c>
      <c r="K2525" s="5" t="s">
        <v>308</v>
      </c>
      <c r="L2525" s="7">
        <f>1</f>
        <v>1</v>
      </c>
      <c r="M2525" s="7">
        <f>1</f>
        <v>1</v>
      </c>
      <c r="N2525" s="5" t="s">
        <v>242</v>
      </c>
      <c r="O2525" s="5">
        <v>1</v>
      </c>
      <c r="P2525" s="5" t="s">
        <v>294</v>
      </c>
      <c r="Q2525" s="5" t="s">
        <v>266</v>
      </c>
      <c r="R2525" s="5" t="s">
        <v>240</v>
      </c>
      <c r="S2525" s="5" t="s">
        <v>240</v>
      </c>
      <c r="T2525" s="5" t="s">
        <v>296</v>
      </c>
      <c r="U2525" s="5" t="s">
        <v>244</v>
      </c>
      <c r="V2525" s="5" t="s">
        <v>240</v>
      </c>
      <c r="Y2525" s="5" t="s">
        <v>240</v>
      </c>
      <c r="Z2525" s="6" t="s">
        <v>298</v>
      </c>
      <c r="AB2525" s="6" t="s">
        <v>240</v>
      </c>
      <c r="AE2525" s="6" t="s">
        <v>299</v>
      </c>
      <c r="AF2525" s="5" t="s">
        <v>248</v>
      </c>
      <c r="AG2525" s="5" t="s">
        <v>249</v>
      </c>
      <c r="AW2525" s="5" t="s">
        <v>251</v>
      </c>
      <c r="AX2525" s="5" t="s">
        <v>240</v>
      </c>
      <c r="AY2525" s="5" t="s">
        <v>253</v>
      </c>
      <c r="AZ2525" s="5" t="s">
        <v>240</v>
      </c>
      <c r="BA2525" s="5" t="s">
        <v>255</v>
      </c>
      <c r="BB2525" s="5" t="s">
        <v>240</v>
      </c>
      <c r="BD2525" s="5" t="s">
        <v>240</v>
      </c>
      <c r="BF2525" s="5" t="s">
        <v>301</v>
      </c>
      <c r="BG2525" s="6" t="s">
        <v>299</v>
      </c>
      <c r="BH2525" s="5" t="s">
        <v>302</v>
      </c>
      <c r="BI2525" s="5" t="s">
        <v>303</v>
      </c>
      <c r="BJ2525" s="5" t="s">
        <v>240</v>
      </c>
      <c r="BK2525" s="8">
        <f>0</f>
        <v>0</v>
      </c>
      <c r="BL2525" s="7">
        <f>0</f>
        <v>0</v>
      </c>
      <c r="BM2525" s="5" t="s">
        <v>258</v>
      </c>
      <c r="BN2525" s="5" t="s">
        <v>259</v>
      </c>
      <c r="CB2525" s="5" t="s">
        <v>240</v>
      </c>
      <c r="CC2525" s="5" t="s">
        <v>240</v>
      </c>
      <c r="CG2525" s="5" t="s">
        <v>304</v>
      </c>
      <c r="CH2525" s="5" t="s">
        <v>305</v>
      </c>
      <c r="CI2525" s="5" t="s">
        <v>240</v>
      </c>
      <c r="CL2525" s="6" t="s">
        <v>261</v>
      </c>
      <c r="CM2525" s="5" t="s">
        <v>240</v>
      </c>
      <c r="CN2525" s="5" t="s">
        <v>263</v>
      </c>
      <c r="CO2525" s="5" t="s">
        <v>240</v>
      </c>
      <c r="CP2525" s="5" t="s">
        <v>240</v>
      </c>
      <c r="CQ2525" s="5">
        <v>0</v>
      </c>
      <c r="CR2525" s="5" t="s">
        <v>306</v>
      </c>
      <c r="CS2525" s="5" t="s">
        <v>307</v>
      </c>
      <c r="CT2525" s="5" t="s">
        <v>307</v>
      </c>
      <c r="CU2525" s="5" t="s">
        <v>260</v>
      </c>
      <c r="CX2525" s="7">
        <f>1</f>
        <v>1</v>
      </c>
      <c r="CY2525" s="7">
        <f>0</f>
        <v>0</v>
      </c>
      <c r="DA2525" s="7">
        <f>0</f>
        <v>0</v>
      </c>
      <c r="DC2525" s="5" t="s">
        <v>309</v>
      </c>
      <c r="DD2525" s="5" t="s">
        <v>240</v>
      </c>
      <c r="DF2525" s="5" t="s">
        <v>309</v>
      </c>
      <c r="DG2525" s="7">
        <f>1759</f>
        <v>1759</v>
      </c>
      <c r="DI2525" s="5" t="s">
        <v>240</v>
      </c>
      <c r="DJ2525" s="5" t="s">
        <v>240</v>
      </c>
      <c r="DK2525" s="5" t="s">
        <v>240</v>
      </c>
      <c r="DL2525" s="5" t="s">
        <v>240</v>
      </c>
      <c r="DP2525" s="5" t="s">
        <v>240</v>
      </c>
      <c r="DQ2525" s="5" t="s">
        <v>240</v>
      </c>
      <c r="DR2525" s="5" t="s">
        <v>240</v>
      </c>
      <c r="DS2525" s="5" t="s">
        <v>240</v>
      </c>
      <c r="DV2525" s="5" t="s">
        <v>310</v>
      </c>
      <c r="DW2525" s="5" t="s">
        <v>3100</v>
      </c>
      <c r="HO2525" s="5" t="s">
        <v>312</v>
      </c>
    </row>
    <row r="2526" spans="1:223" x14ac:dyDescent="0.4">
      <c r="A2526" s="5">
        <v>4230</v>
      </c>
      <c r="B2526" s="5">
        <v>1</v>
      </c>
      <c r="C2526" s="5">
        <v>1</v>
      </c>
      <c r="D2526" s="5" t="s">
        <v>810</v>
      </c>
      <c r="E2526" s="5" t="s">
        <v>245</v>
      </c>
      <c r="F2526" s="5" t="s">
        <v>254</v>
      </c>
      <c r="G2526" s="5" t="s">
        <v>240</v>
      </c>
      <c r="H2526" s="6" t="s">
        <v>3496</v>
      </c>
      <c r="I2526" s="5" t="s">
        <v>809</v>
      </c>
      <c r="J2526" s="8">
        <f>208</f>
        <v>208</v>
      </c>
      <c r="K2526" s="5" t="s">
        <v>308</v>
      </c>
      <c r="L2526" s="7">
        <f>1</f>
        <v>1</v>
      </c>
      <c r="M2526" s="7">
        <f>1</f>
        <v>1</v>
      </c>
      <c r="N2526" s="5" t="s">
        <v>242</v>
      </c>
      <c r="O2526" s="5">
        <v>1</v>
      </c>
      <c r="P2526" s="5" t="s">
        <v>294</v>
      </c>
      <c r="Q2526" s="5" t="s">
        <v>266</v>
      </c>
      <c r="R2526" s="5" t="s">
        <v>240</v>
      </c>
      <c r="S2526" s="5" t="s">
        <v>240</v>
      </c>
      <c r="T2526" s="5" t="s">
        <v>296</v>
      </c>
      <c r="U2526" s="5" t="s">
        <v>244</v>
      </c>
      <c r="V2526" s="5" t="s">
        <v>240</v>
      </c>
      <c r="Y2526" s="5" t="s">
        <v>240</v>
      </c>
      <c r="Z2526" s="6" t="s">
        <v>298</v>
      </c>
      <c r="AB2526" s="6" t="s">
        <v>240</v>
      </c>
      <c r="AE2526" s="6" t="s">
        <v>299</v>
      </c>
      <c r="AF2526" s="5" t="s">
        <v>248</v>
      </c>
      <c r="AG2526" s="5" t="s">
        <v>249</v>
      </c>
      <c r="AW2526" s="5" t="s">
        <v>251</v>
      </c>
      <c r="AX2526" s="5" t="s">
        <v>240</v>
      </c>
      <c r="AY2526" s="5" t="s">
        <v>253</v>
      </c>
      <c r="AZ2526" s="5" t="s">
        <v>240</v>
      </c>
      <c r="BA2526" s="5" t="s">
        <v>255</v>
      </c>
      <c r="BB2526" s="5" t="s">
        <v>240</v>
      </c>
      <c r="BD2526" s="5" t="s">
        <v>240</v>
      </c>
      <c r="BF2526" s="5" t="s">
        <v>301</v>
      </c>
      <c r="BG2526" s="6" t="s">
        <v>299</v>
      </c>
      <c r="BH2526" s="5" t="s">
        <v>302</v>
      </c>
      <c r="BI2526" s="5" t="s">
        <v>303</v>
      </c>
      <c r="BJ2526" s="5" t="s">
        <v>240</v>
      </c>
      <c r="BK2526" s="8">
        <f>0</f>
        <v>0</v>
      </c>
      <c r="BL2526" s="7">
        <f>0</f>
        <v>0</v>
      </c>
      <c r="BM2526" s="5" t="s">
        <v>258</v>
      </c>
      <c r="BN2526" s="5" t="s">
        <v>259</v>
      </c>
      <c r="CB2526" s="5" t="s">
        <v>240</v>
      </c>
      <c r="CC2526" s="5" t="s">
        <v>240</v>
      </c>
      <c r="CG2526" s="5" t="s">
        <v>304</v>
      </c>
      <c r="CH2526" s="5" t="s">
        <v>305</v>
      </c>
      <c r="CI2526" s="5" t="s">
        <v>240</v>
      </c>
      <c r="CL2526" s="6" t="s">
        <v>261</v>
      </c>
      <c r="CM2526" s="5" t="s">
        <v>240</v>
      </c>
      <c r="CN2526" s="5" t="s">
        <v>263</v>
      </c>
      <c r="CO2526" s="5" t="s">
        <v>240</v>
      </c>
      <c r="CP2526" s="5" t="s">
        <v>240</v>
      </c>
      <c r="CQ2526" s="5">
        <v>0</v>
      </c>
      <c r="CR2526" s="5" t="s">
        <v>306</v>
      </c>
      <c r="CS2526" s="5" t="s">
        <v>307</v>
      </c>
      <c r="CT2526" s="5" t="s">
        <v>307</v>
      </c>
      <c r="CU2526" s="5" t="s">
        <v>260</v>
      </c>
      <c r="CX2526" s="7">
        <f>1</f>
        <v>1</v>
      </c>
      <c r="CY2526" s="7">
        <f>0</f>
        <v>0</v>
      </c>
      <c r="DA2526" s="7">
        <f>0</f>
        <v>0</v>
      </c>
      <c r="DC2526" s="5" t="s">
        <v>309</v>
      </c>
      <c r="DD2526" s="5" t="s">
        <v>240</v>
      </c>
      <c r="DF2526" s="5" t="s">
        <v>309</v>
      </c>
      <c r="DG2526" s="7">
        <f>259</f>
        <v>259</v>
      </c>
      <c r="DI2526" s="5" t="s">
        <v>240</v>
      </c>
      <c r="DJ2526" s="5" t="s">
        <v>240</v>
      </c>
      <c r="DK2526" s="5" t="s">
        <v>240</v>
      </c>
      <c r="DL2526" s="5" t="s">
        <v>240</v>
      </c>
      <c r="DP2526" s="5" t="s">
        <v>240</v>
      </c>
      <c r="DQ2526" s="5" t="s">
        <v>240</v>
      </c>
      <c r="DR2526" s="5" t="s">
        <v>240</v>
      </c>
      <c r="DS2526" s="5" t="s">
        <v>240</v>
      </c>
      <c r="DV2526" s="5" t="s">
        <v>310</v>
      </c>
      <c r="DW2526" s="5" t="s">
        <v>3102</v>
      </c>
      <c r="HO2526" s="5" t="s">
        <v>312</v>
      </c>
    </row>
    <row r="2527" spans="1:223" x14ac:dyDescent="0.4">
      <c r="A2527" s="5">
        <v>4231</v>
      </c>
      <c r="B2527" s="5">
        <v>1</v>
      </c>
      <c r="C2527" s="5">
        <v>1</v>
      </c>
      <c r="D2527" s="5" t="s">
        <v>810</v>
      </c>
      <c r="E2527" s="5" t="s">
        <v>245</v>
      </c>
      <c r="F2527" s="5" t="s">
        <v>254</v>
      </c>
      <c r="G2527" s="5" t="s">
        <v>240</v>
      </c>
      <c r="H2527" s="6" t="s">
        <v>3494</v>
      </c>
      <c r="I2527" s="5" t="s">
        <v>809</v>
      </c>
      <c r="J2527" s="8">
        <f>500</f>
        <v>500</v>
      </c>
      <c r="K2527" s="5" t="s">
        <v>308</v>
      </c>
      <c r="L2527" s="7">
        <f>1</f>
        <v>1</v>
      </c>
      <c r="M2527" s="7">
        <f>1</f>
        <v>1</v>
      </c>
      <c r="N2527" s="5" t="s">
        <v>242</v>
      </c>
      <c r="O2527" s="5">
        <v>1</v>
      </c>
      <c r="P2527" s="5" t="s">
        <v>294</v>
      </c>
      <c r="Q2527" s="5" t="s">
        <v>266</v>
      </c>
      <c r="R2527" s="5" t="s">
        <v>240</v>
      </c>
      <c r="S2527" s="5" t="s">
        <v>240</v>
      </c>
      <c r="T2527" s="5" t="s">
        <v>296</v>
      </c>
      <c r="U2527" s="5" t="s">
        <v>244</v>
      </c>
      <c r="V2527" s="5" t="s">
        <v>240</v>
      </c>
      <c r="Y2527" s="5" t="s">
        <v>240</v>
      </c>
      <c r="Z2527" s="6" t="s">
        <v>298</v>
      </c>
      <c r="AB2527" s="6" t="s">
        <v>240</v>
      </c>
      <c r="AE2527" s="6" t="s">
        <v>299</v>
      </c>
      <c r="AF2527" s="5" t="s">
        <v>248</v>
      </c>
      <c r="AG2527" s="5" t="s">
        <v>249</v>
      </c>
      <c r="AW2527" s="5" t="s">
        <v>251</v>
      </c>
      <c r="AX2527" s="5" t="s">
        <v>240</v>
      </c>
      <c r="AY2527" s="5" t="s">
        <v>253</v>
      </c>
      <c r="AZ2527" s="5" t="s">
        <v>240</v>
      </c>
      <c r="BA2527" s="5" t="s">
        <v>255</v>
      </c>
      <c r="BB2527" s="5" t="s">
        <v>240</v>
      </c>
      <c r="BD2527" s="5" t="s">
        <v>240</v>
      </c>
      <c r="BF2527" s="5" t="s">
        <v>301</v>
      </c>
      <c r="BG2527" s="6" t="s">
        <v>299</v>
      </c>
      <c r="BH2527" s="5" t="s">
        <v>302</v>
      </c>
      <c r="BI2527" s="5" t="s">
        <v>303</v>
      </c>
      <c r="BJ2527" s="5" t="s">
        <v>240</v>
      </c>
      <c r="BK2527" s="8">
        <f>0</f>
        <v>0</v>
      </c>
      <c r="BL2527" s="7">
        <f>0</f>
        <v>0</v>
      </c>
      <c r="BM2527" s="5" t="s">
        <v>258</v>
      </c>
      <c r="BN2527" s="5" t="s">
        <v>259</v>
      </c>
      <c r="CB2527" s="5" t="s">
        <v>240</v>
      </c>
      <c r="CC2527" s="5" t="s">
        <v>240</v>
      </c>
      <c r="CG2527" s="5" t="s">
        <v>304</v>
      </c>
      <c r="CH2527" s="5" t="s">
        <v>305</v>
      </c>
      <c r="CI2527" s="5" t="s">
        <v>240</v>
      </c>
      <c r="CL2527" s="6" t="s">
        <v>261</v>
      </c>
      <c r="CM2527" s="5" t="s">
        <v>240</v>
      </c>
      <c r="CN2527" s="5" t="s">
        <v>263</v>
      </c>
      <c r="CO2527" s="5" t="s">
        <v>240</v>
      </c>
      <c r="CP2527" s="5" t="s">
        <v>240</v>
      </c>
      <c r="CQ2527" s="5">
        <v>0</v>
      </c>
      <c r="CR2527" s="5" t="s">
        <v>306</v>
      </c>
      <c r="CS2527" s="5" t="s">
        <v>307</v>
      </c>
      <c r="CT2527" s="5" t="s">
        <v>307</v>
      </c>
      <c r="CU2527" s="5" t="s">
        <v>260</v>
      </c>
      <c r="CX2527" s="7">
        <f>1</f>
        <v>1</v>
      </c>
      <c r="CY2527" s="7">
        <f>0</f>
        <v>0</v>
      </c>
      <c r="DA2527" s="7">
        <f>0</f>
        <v>0</v>
      </c>
      <c r="DC2527" s="5" t="s">
        <v>309</v>
      </c>
      <c r="DD2527" s="5" t="s">
        <v>240</v>
      </c>
      <c r="DF2527" s="5" t="s">
        <v>309</v>
      </c>
      <c r="DG2527" s="7">
        <f>561</f>
        <v>561</v>
      </c>
      <c r="DI2527" s="5" t="s">
        <v>240</v>
      </c>
      <c r="DJ2527" s="5" t="s">
        <v>240</v>
      </c>
      <c r="DK2527" s="5" t="s">
        <v>240</v>
      </c>
      <c r="DL2527" s="5" t="s">
        <v>240</v>
      </c>
      <c r="DP2527" s="5" t="s">
        <v>240</v>
      </c>
      <c r="DQ2527" s="5" t="s">
        <v>240</v>
      </c>
      <c r="DR2527" s="5" t="s">
        <v>240</v>
      </c>
      <c r="DS2527" s="5" t="s">
        <v>240</v>
      </c>
      <c r="DV2527" s="5" t="s">
        <v>310</v>
      </c>
      <c r="DW2527" s="5" t="s">
        <v>3104</v>
      </c>
      <c r="HO2527" s="5" t="s">
        <v>312</v>
      </c>
    </row>
    <row r="2528" spans="1:223" x14ac:dyDescent="0.4">
      <c r="A2528" s="5">
        <v>4232</v>
      </c>
      <c r="B2528" s="5">
        <v>1</v>
      </c>
      <c r="C2528" s="5">
        <v>1</v>
      </c>
      <c r="D2528" s="5" t="s">
        <v>810</v>
      </c>
      <c r="E2528" s="5" t="s">
        <v>245</v>
      </c>
      <c r="F2528" s="5" t="s">
        <v>254</v>
      </c>
      <c r="G2528" s="5" t="s">
        <v>240</v>
      </c>
      <c r="H2528" s="6" t="s">
        <v>3492</v>
      </c>
      <c r="I2528" s="5" t="s">
        <v>809</v>
      </c>
      <c r="J2528" s="8">
        <f>743</f>
        <v>743</v>
      </c>
      <c r="K2528" s="5" t="s">
        <v>308</v>
      </c>
      <c r="L2528" s="7">
        <f>1</f>
        <v>1</v>
      </c>
      <c r="M2528" s="7">
        <f>1</f>
        <v>1</v>
      </c>
      <c r="N2528" s="5" t="s">
        <v>242</v>
      </c>
      <c r="O2528" s="5">
        <v>1</v>
      </c>
      <c r="P2528" s="5" t="s">
        <v>294</v>
      </c>
      <c r="Q2528" s="5" t="s">
        <v>266</v>
      </c>
      <c r="R2528" s="5" t="s">
        <v>240</v>
      </c>
      <c r="S2528" s="5" t="s">
        <v>240</v>
      </c>
      <c r="T2528" s="5" t="s">
        <v>296</v>
      </c>
      <c r="U2528" s="5" t="s">
        <v>244</v>
      </c>
      <c r="V2528" s="5" t="s">
        <v>240</v>
      </c>
      <c r="Y2528" s="5" t="s">
        <v>240</v>
      </c>
      <c r="Z2528" s="6" t="s">
        <v>298</v>
      </c>
      <c r="AB2528" s="6" t="s">
        <v>240</v>
      </c>
      <c r="AE2528" s="6" t="s">
        <v>299</v>
      </c>
      <c r="AF2528" s="5" t="s">
        <v>248</v>
      </c>
      <c r="AG2528" s="5" t="s">
        <v>249</v>
      </c>
      <c r="AW2528" s="5" t="s">
        <v>251</v>
      </c>
      <c r="AX2528" s="5" t="s">
        <v>240</v>
      </c>
      <c r="AY2528" s="5" t="s">
        <v>253</v>
      </c>
      <c r="AZ2528" s="5" t="s">
        <v>240</v>
      </c>
      <c r="BA2528" s="5" t="s">
        <v>255</v>
      </c>
      <c r="BB2528" s="5" t="s">
        <v>240</v>
      </c>
      <c r="BD2528" s="5" t="s">
        <v>240</v>
      </c>
      <c r="BF2528" s="5" t="s">
        <v>301</v>
      </c>
      <c r="BG2528" s="6" t="s">
        <v>299</v>
      </c>
      <c r="BH2528" s="5" t="s">
        <v>302</v>
      </c>
      <c r="BI2528" s="5" t="s">
        <v>303</v>
      </c>
      <c r="BJ2528" s="5" t="s">
        <v>240</v>
      </c>
      <c r="BK2528" s="8">
        <f>0</f>
        <v>0</v>
      </c>
      <c r="BL2528" s="7">
        <f>0</f>
        <v>0</v>
      </c>
      <c r="BM2528" s="5" t="s">
        <v>258</v>
      </c>
      <c r="BN2528" s="5" t="s">
        <v>259</v>
      </c>
      <c r="CB2528" s="5" t="s">
        <v>240</v>
      </c>
      <c r="CC2528" s="5" t="s">
        <v>240</v>
      </c>
      <c r="CG2528" s="5" t="s">
        <v>304</v>
      </c>
      <c r="CH2528" s="5" t="s">
        <v>305</v>
      </c>
      <c r="CI2528" s="5" t="s">
        <v>240</v>
      </c>
      <c r="CL2528" s="6" t="s">
        <v>261</v>
      </c>
      <c r="CM2528" s="5" t="s">
        <v>240</v>
      </c>
      <c r="CN2528" s="5" t="s">
        <v>263</v>
      </c>
      <c r="CO2528" s="5" t="s">
        <v>240</v>
      </c>
      <c r="CP2528" s="5" t="s">
        <v>240</v>
      </c>
      <c r="CQ2528" s="5">
        <v>0</v>
      </c>
      <c r="CR2528" s="5" t="s">
        <v>306</v>
      </c>
      <c r="CS2528" s="5" t="s">
        <v>307</v>
      </c>
      <c r="CT2528" s="5" t="s">
        <v>307</v>
      </c>
      <c r="CU2528" s="5" t="s">
        <v>260</v>
      </c>
      <c r="CX2528" s="7">
        <f>1</f>
        <v>1</v>
      </c>
      <c r="CY2528" s="7">
        <f>0</f>
        <v>0</v>
      </c>
      <c r="DA2528" s="7">
        <f>0</f>
        <v>0</v>
      </c>
      <c r="DC2528" s="5" t="s">
        <v>309</v>
      </c>
      <c r="DD2528" s="5" t="s">
        <v>240</v>
      </c>
      <c r="DF2528" s="5" t="s">
        <v>309</v>
      </c>
      <c r="DG2528" s="7">
        <f>1933</f>
        <v>1933</v>
      </c>
      <c r="DI2528" s="5" t="s">
        <v>240</v>
      </c>
      <c r="DJ2528" s="5" t="s">
        <v>240</v>
      </c>
      <c r="DK2528" s="5" t="s">
        <v>240</v>
      </c>
      <c r="DL2528" s="5" t="s">
        <v>240</v>
      </c>
      <c r="DP2528" s="5" t="s">
        <v>240</v>
      </c>
      <c r="DQ2528" s="5" t="s">
        <v>240</v>
      </c>
      <c r="DR2528" s="5" t="s">
        <v>240</v>
      </c>
      <c r="DS2528" s="5" t="s">
        <v>240</v>
      </c>
      <c r="DV2528" s="5" t="s">
        <v>310</v>
      </c>
      <c r="DW2528" s="5" t="s">
        <v>3106</v>
      </c>
      <c r="HO2528" s="5" t="s">
        <v>312</v>
      </c>
    </row>
    <row r="2529" spans="1:223" x14ac:dyDescent="0.4">
      <c r="A2529" s="5">
        <v>4233</v>
      </c>
      <c r="B2529" s="5">
        <v>1</v>
      </c>
      <c r="C2529" s="5">
        <v>1</v>
      </c>
      <c r="D2529" s="5" t="s">
        <v>810</v>
      </c>
      <c r="E2529" s="5" t="s">
        <v>245</v>
      </c>
      <c r="F2529" s="5" t="s">
        <v>254</v>
      </c>
      <c r="G2529" s="5" t="s">
        <v>240</v>
      </c>
      <c r="H2529" s="6" t="s">
        <v>4988</v>
      </c>
      <c r="I2529" s="5" t="s">
        <v>809</v>
      </c>
      <c r="J2529" s="8">
        <f>268</f>
        <v>268</v>
      </c>
      <c r="K2529" s="5" t="s">
        <v>308</v>
      </c>
      <c r="L2529" s="7">
        <f>1</f>
        <v>1</v>
      </c>
      <c r="M2529" s="7">
        <f>1</f>
        <v>1</v>
      </c>
      <c r="N2529" s="5" t="s">
        <v>242</v>
      </c>
      <c r="O2529" s="5">
        <v>1</v>
      </c>
      <c r="P2529" s="5" t="s">
        <v>294</v>
      </c>
      <c r="Q2529" s="5" t="s">
        <v>266</v>
      </c>
      <c r="R2529" s="5" t="s">
        <v>240</v>
      </c>
      <c r="S2529" s="5" t="s">
        <v>240</v>
      </c>
      <c r="T2529" s="5" t="s">
        <v>296</v>
      </c>
      <c r="U2529" s="5" t="s">
        <v>244</v>
      </c>
      <c r="V2529" s="5" t="s">
        <v>240</v>
      </c>
      <c r="Y2529" s="5" t="s">
        <v>240</v>
      </c>
      <c r="Z2529" s="6" t="s">
        <v>298</v>
      </c>
      <c r="AB2529" s="6" t="s">
        <v>240</v>
      </c>
      <c r="AE2529" s="6" t="s">
        <v>299</v>
      </c>
      <c r="AF2529" s="5" t="s">
        <v>248</v>
      </c>
      <c r="AG2529" s="5" t="s">
        <v>249</v>
      </c>
      <c r="AW2529" s="5" t="s">
        <v>251</v>
      </c>
      <c r="AX2529" s="5" t="s">
        <v>240</v>
      </c>
      <c r="AY2529" s="5" t="s">
        <v>253</v>
      </c>
      <c r="AZ2529" s="5" t="s">
        <v>240</v>
      </c>
      <c r="BA2529" s="5" t="s">
        <v>255</v>
      </c>
      <c r="BB2529" s="5" t="s">
        <v>240</v>
      </c>
      <c r="BD2529" s="5" t="s">
        <v>240</v>
      </c>
      <c r="BF2529" s="5" t="s">
        <v>301</v>
      </c>
      <c r="BG2529" s="6" t="s">
        <v>299</v>
      </c>
      <c r="BH2529" s="5" t="s">
        <v>302</v>
      </c>
      <c r="BI2529" s="5" t="s">
        <v>303</v>
      </c>
      <c r="BJ2529" s="5" t="s">
        <v>240</v>
      </c>
      <c r="BK2529" s="8">
        <f>0</f>
        <v>0</v>
      </c>
      <c r="BL2529" s="7">
        <f>0</f>
        <v>0</v>
      </c>
      <c r="BM2529" s="5" t="s">
        <v>258</v>
      </c>
      <c r="BN2529" s="5" t="s">
        <v>259</v>
      </c>
      <c r="CB2529" s="5" t="s">
        <v>240</v>
      </c>
      <c r="CC2529" s="5" t="s">
        <v>240</v>
      </c>
      <c r="CG2529" s="5" t="s">
        <v>304</v>
      </c>
      <c r="CH2529" s="5" t="s">
        <v>305</v>
      </c>
      <c r="CI2529" s="5" t="s">
        <v>240</v>
      </c>
      <c r="CL2529" s="6" t="s">
        <v>261</v>
      </c>
      <c r="CM2529" s="5" t="s">
        <v>240</v>
      </c>
      <c r="CN2529" s="5" t="s">
        <v>263</v>
      </c>
      <c r="CO2529" s="5" t="s">
        <v>240</v>
      </c>
      <c r="CP2529" s="5" t="s">
        <v>240</v>
      </c>
      <c r="CQ2529" s="5">
        <v>0</v>
      </c>
      <c r="CR2529" s="5" t="s">
        <v>306</v>
      </c>
      <c r="CS2529" s="5" t="s">
        <v>307</v>
      </c>
      <c r="CT2529" s="5" t="s">
        <v>307</v>
      </c>
      <c r="CU2529" s="5" t="s">
        <v>260</v>
      </c>
      <c r="CX2529" s="7">
        <f>1</f>
        <v>1</v>
      </c>
      <c r="CY2529" s="7">
        <f>0</f>
        <v>0</v>
      </c>
      <c r="DA2529" s="7">
        <f>0</f>
        <v>0</v>
      </c>
      <c r="DC2529" s="5" t="s">
        <v>309</v>
      </c>
      <c r="DD2529" s="5" t="s">
        <v>240</v>
      </c>
      <c r="DF2529" s="5" t="s">
        <v>309</v>
      </c>
      <c r="DG2529" s="7">
        <f>1004</f>
        <v>1004</v>
      </c>
      <c r="DI2529" s="5" t="s">
        <v>240</v>
      </c>
      <c r="DJ2529" s="5" t="s">
        <v>240</v>
      </c>
      <c r="DK2529" s="5" t="s">
        <v>240</v>
      </c>
      <c r="DL2529" s="5" t="s">
        <v>240</v>
      </c>
      <c r="DP2529" s="5" t="s">
        <v>240</v>
      </c>
      <c r="DQ2529" s="5" t="s">
        <v>240</v>
      </c>
      <c r="DR2529" s="5" t="s">
        <v>240</v>
      </c>
      <c r="DS2529" s="5" t="s">
        <v>240</v>
      </c>
      <c r="DV2529" s="5" t="s">
        <v>310</v>
      </c>
      <c r="DW2529" s="5" t="s">
        <v>3108</v>
      </c>
      <c r="HO2529" s="5" t="s">
        <v>312</v>
      </c>
    </row>
    <row r="2530" spans="1:223" x14ac:dyDescent="0.4">
      <c r="A2530" s="5">
        <v>4234</v>
      </c>
      <c r="B2530" s="5">
        <v>1</v>
      </c>
      <c r="C2530" s="5">
        <v>1</v>
      </c>
      <c r="D2530" s="5" t="s">
        <v>810</v>
      </c>
      <c r="E2530" s="5" t="s">
        <v>245</v>
      </c>
      <c r="F2530" s="5" t="s">
        <v>254</v>
      </c>
      <c r="G2530" s="5" t="s">
        <v>240</v>
      </c>
      <c r="H2530" s="6" t="s">
        <v>3488</v>
      </c>
      <c r="I2530" s="5" t="s">
        <v>809</v>
      </c>
      <c r="J2530" s="8">
        <f>2641</f>
        <v>2641</v>
      </c>
      <c r="K2530" s="5" t="s">
        <v>308</v>
      </c>
      <c r="L2530" s="7">
        <f>1</f>
        <v>1</v>
      </c>
      <c r="M2530" s="7">
        <f>1</f>
        <v>1</v>
      </c>
      <c r="N2530" s="5" t="s">
        <v>242</v>
      </c>
      <c r="O2530" s="5">
        <v>1</v>
      </c>
      <c r="P2530" s="5" t="s">
        <v>294</v>
      </c>
      <c r="Q2530" s="5" t="s">
        <v>266</v>
      </c>
      <c r="R2530" s="5" t="s">
        <v>240</v>
      </c>
      <c r="S2530" s="5" t="s">
        <v>240</v>
      </c>
      <c r="T2530" s="5" t="s">
        <v>296</v>
      </c>
      <c r="U2530" s="5" t="s">
        <v>244</v>
      </c>
      <c r="V2530" s="5" t="s">
        <v>240</v>
      </c>
      <c r="Y2530" s="5" t="s">
        <v>240</v>
      </c>
      <c r="Z2530" s="6" t="s">
        <v>298</v>
      </c>
      <c r="AB2530" s="6" t="s">
        <v>240</v>
      </c>
      <c r="AE2530" s="6" t="s">
        <v>299</v>
      </c>
      <c r="AF2530" s="5" t="s">
        <v>248</v>
      </c>
      <c r="AG2530" s="5" t="s">
        <v>249</v>
      </c>
      <c r="AW2530" s="5" t="s">
        <v>251</v>
      </c>
      <c r="AX2530" s="5" t="s">
        <v>240</v>
      </c>
      <c r="AY2530" s="5" t="s">
        <v>253</v>
      </c>
      <c r="AZ2530" s="5" t="s">
        <v>240</v>
      </c>
      <c r="BA2530" s="5" t="s">
        <v>255</v>
      </c>
      <c r="BB2530" s="5" t="s">
        <v>240</v>
      </c>
      <c r="BD2530" s="5" t="s">
        <v>240</v>
      </c>
      <c r="BF2530" s="5" t="s">
        <v>301</v>
      </c>
      <c r="BG2530" s="6" t="s">
        <v>299</v>
      </c>
      <c r="BH2530" s="5" t="s">
        <v>302</v>
      </c>
      <c r="BI2530" s="5" t="s">
        <v>303</v>
      </c>
      <c r="BJ2530" s="5" t="s">
        <v>240</v>
      </c>
      <c r="BK2530" s="8">
        <f>0</f>
        <v>0</v>
      </c>
      <c r="BL2530" s="7">
        <f>0</f>
        <v>0</v>
      </c>
      <c r="BM2530" s="5" t="s">
        <v>258</v>
      </c>
      <c r="BN2530" s="5" t="s">
        <v>259</v>
      </c>
      <c r="CB2530" s="5" t="s">
        <v>240</v>
      </c>
      <c r="CC2530" s="5" t="s">
        <v>240</v>
      </c>
      <c r="CG2530" s="5" t="s">
        <v>304</v>
      </c>
      <c r="CH2530" s="5" t="s">
        <v>305</v>
      </c>
      <c r="CI2530" s="5" t="s">
        <v>240</v>
      </c>
      <c r="CL2530" s="6" t="s">
        <v>261</v>
      </c>
      <c r="CM2530" s="5" t="s">
        <v>240</v>
      </c>
      <c r="CN2530" s="5" t="s">
        <v>263</v>
      </c>
      <c r="CO2530" s="5" t="s">
        <v>240</v>
      </c>
      <c r="CP2530" s="5" t="s">
        <v>240</v>
      </c>
      <c r="CQ2530" s="5">
        <v>0</v>
      </c>
      <c r="CR2530" s="5" t="s">
        <v>306</v>
      </c>
      <c r="CS2530" s="5" t="s">
        <v>307</v>
      </c>
      <c r="CT2530" s="5" t="s">
        <v>307</v>
      </c>
      <c r="CU2530" s="5" t="s">
        <v>260</v>
      </c>
      <c r="CX2530" s="7">
        <f>1</f>
        <v>1</v>
      </c>
      <c r="CY2530" s="7">
        <f>0</f>
        <v>0</v>
      </c>
      <c r="DA2530" s="7">
        <f>0</f>
        <v>0</v>
      </c>
      <c r="DC2530" s="5" t="s">
        <v>309</v>
      </c>
      <c r="DD2530" s="5" t="s">
        <v>240</v>
      </c>
      <c r="DF2530" s="5" t="s">
        <v>309</v>
      </c>
      <c r="DG2530" s="7">
        <f>290</f>
        <v>290</v>
      </c>
      <c r="DI2530" s="5" t="s">
        <v>240</v>
      </c>
      <c r="DJ2530" s="5" t="s">
        <v>240</v>
      </c>
      <c r="DK2530" s="5" t="s">
        <v>240</v>
      </c>
      <c r="DL2530" s="5" t="s">
        <v>240</v>
      </c>
      <c r="DP2530" s="5" t="s">
        <v>240</v>
      </c>
      <c r="DQ2530" s="5" t="s">
        <v>240</v>
      </c>
      <c r="DR2530" s="5" t="s">
        <v>240</v>
      </c>
      <c r="DS2530" s="5" t="s">
        <v>240</v>
      </c>
      <c r="DV2530" s="5" t="s">
        <v>310</v>
      </c>
      <c r="DW2530" s="5" t="s">
        <v>3110</v>
      </c>
      <c r="HO2530" s="5" t="s">
        <v>312</v>
      </c>
    </row>
    <row r="2531" spans="1:223" x14ac:dyDescent="0.4">
      <c r="A2531" s="5">
        <v>4235</v>
      </c>
      <c r="B2531" s="5">
        <v>1</v>
      </c>
      <c r="C2531" s="5">
        <v>1</v>
      </c>
      <c r="D2531" s="5" t="s">
        <v>810</v>
      </c>
      <c r="E2531" s="5" t="s">
        <v>245</v>
      </c>
      <c r="F2531" s="5" t="s">
        <v>254</v>
      </c>
      <c r="G2531" s="5" t="s">
        <v>240</v>
      </c>
      <c r="H2531" s="6" t="s">
        <v>4987</v>
      </c>
      <c r="I2531" s="5" t="s">
        <v>809</v>
      </c>
      <c r="J2531" s="8">
        <f>2271</f>
        <v>2271</v>
      </c>
      <c r="K2531" s="5" t="s">
        <v>308</v>
      </c>
      <c r="L2531" s="7">
        <f>1</f>
        <v>1</v>
      </c>
      <c r="M2531" s="7">
        <f>1</f>
        <v>1</v>
      </c>
      <c r="N2531" s="5" t="s">
        <v>242</v>
      </c>
      <c r="O2531" s="5">
        <v>1</v>
      </c>
      <c r="P2531" s="5" t="s">
        <v>294</v>
      </c>
      <c r="Q2531" s="5" t="s">
        <v>266</v>
      </c>
      <c r="R2531" s="5" t="s">
        <v>240</v>
      </c>
      <c r="S2531" s="5" t="s">
        <v>240</v>
      </c>
      <c r="T2531" s="5" t="s">
        <v>296</v>
      </c>
      <c r="U2531" s="5" t="s">
        <v>244</v>
      </c>
      <c r="V2531" s="5" t="s">
        <v>240</v>
      </c>
      <c r="Y2531" s="5" t="s">
        <v>240</v>
      </c>
      <c r="Z2531" s="6" t="s">
        <v>298</v>
      </c>
      <c r="AB2531" s="6" t="s">
        <v>240</v>
      </c>
      <c r="AE2531" s="6" t="s">
        <v>299</v>
      </c>
      <c r="AF2531" s="5" t="s">
        <v>248</v>
      </c>
      <c r="AG2531" s="5" t="s">
        <v>249</v>
      </c>
      <c r="AW2531" s="5" t="s">
        <v>251</v>
      </c>
      <c r="AX2531" s="5" t="s">
        <v>240</v>
      </c>
      <c r="AY2531" s="5" t="s">
        <v>253</v>
      </c>
      <c r="AZ2531" s="5" t="s">
        <v>240</v>
      </c>
      <c r="BA2531" s="5" t="s">
        <v>255</v>
      </c>
      <c r="BB2531" s="5" t="s">
        <v>240</v>
      </c>
      <c r="BD2531" s="5" t="s">
        <v>240</v>
      </c>
      <c r="BF2531" s="5" t="s">
        <v>301</v>
      </c>
      <c r="BG2531" s="6" t="s">
        <v>299</v>
      </c>
      <c r="BH2531" s="5" t="s">
        <v>302</v>
      </c>
      <c r="BI2531" s="5" t="s">
        <v>303</v>
      </c>
      <c r="BJ2531" s="5" t="s">
        <v>240</v>
      </c>
      <c r="BK2531" s="8">
        <f>0</f>
        <v>0</v>
      </c>
      <c r="BL2531" s="7">
        <f>0</f>
        <v>0</v>
      </c>
      <c r="BM2531" s="5" t="s">
        <v>258</v>
      </c>
      <c r="BN2531" s="5" t="s">
        <v>259</v>
      </c>
      <c r="CB2531" s="5" t="s">
        <v>240</v>
      </c>
      <c r="CC2531" s="5" t="s">
        <v>240</v>
      </c>
      <c r="CG2531" s="5" t="s">
        <v>304</v>
      </c>
      <c r="CH2531" s="5" t="s">
        <v>305</v>
      </c>
      <c r="CI2531" s="5" t="s">
        <v>240</v>
      </c>
      <c r="CL2531" s="6" t="s">
        <v>261</v>
      </c>
      <c r="CM2531" s="5" t="s">
        <v>240</v>
      </c>
      <c r="CN2531" s="5" t="s">
        <v>263</v>
      </c>
      <c r="CO2531" s="5" t="s">
        <v>240</v>
      </c>
      <c r="CP2531" s="5" t="s">
        <v>240</v>
      </c>
      <c r="CQ2531" s="5">
        <v>0</v>
      </c>
      <c r="CR2531" s="5" t="s">
        <v>306</v>
      </c>
      <c r="CS2531" s="5" t="s">
        <v>307</v>
      </c>
      <c r="CT2531" s="5" t="s">
        <v>307</v>
      </c>
      <c r="CU2531" s="5" t="s">
        <v>260</v>
      </c>
      <c r="CX2531" s="7">
        <f>1</f>
        <v>1</v>
      </c>
      <c r="CY2531" s="7">
        <f>0</f>
        <v>0</v>
      </c>
      <c r="DA2531" s="7">
        <f>0</f>
        <v>0</v>
      </c>
      <c r="DC2531" s="5" t="s">
        <v>309</v>
      </c>
      <c r="DD2531" s="5" t="s">
        <v>240</v>
      </c>
      <c r="DF2531" s="5" t="s">
        <v>309</v>
      </c>
      <c r="DG2531" s="7">
        <f>102</f>
        <v>102</v>
      </c>
      <c r="DI2531" s="5" t="s">
        <v>240</v>
      </c>
      <c r="DJ2531" s="5" t="s">
        <v>240</v>
      </c>
      <c r="DK2531" s="5" t="s">
        <v>240</v>
      </c>
      <c r="DL2531" s="5" t="s">
        <v>240</v>
      </c>
      <c r="DP2531" s="5" t="s">
        <v>240</v>
      </c>
      <c r="DQ2531" s="5" t="s">
        <v>240</v>
      </c>
      <c r="DR2531" s="5" t="s">
        <v>240</v>
      </c>
      <c r="DS2531" s="5" t="s">
        <v>240</v>
      </c>
      <c r="DV2531" s="5" t="s">
        <v>310</v>
      </c>
      <c r="DW2531" s="5" t="s">
        <v>3112</v>
      </c>
      <c r="HO2531" s="5" t="s">
        <v>312</v>
      </c>
    </row>
    <row r="2532" spans="1:223" x14ac:dyDescent="0.4">
      <c r="A2532" s="5">
        <v>4236</v>
      </c>
      <c r="B2532" s="5">
        <v>1</v>
      </c>
      <c r="C2532" s="5">
        <v>1</v>
      </c>
      <c r="D2532" s="5" t="s">
        <v>810</v>
      </c>
      <c r="E2532" s="5" t="s">
        <v>245</v>
      </c>
      <c r="F2532" s="5" t="s">
        <v>254</v>
      </c>
      <c r="G2532" s="5" t="s">
        <v>240</v>
      </c>
      <c r="H2532" s="6" t="s">
        <v>3484</v>
      </c>
      <c r="I2532" s="5" t="s">
        <v>809</v>
      </c>
      <c r="J2532" s="8">
        <f>188</f>
        <v>188</v>
      </c>
      <c r="K2532" s="5" t="s">
        <v>308</v>
      </c>
      <c r="L2532" s="7">
        <f>1</f>
        <v>1</v>
      </c>
      <c r="M2532" s="7">
        <f>1</f>
        <v>1</v>
      </c>
      <c r="N2532" s="5" t="s">
        <v>242</v>
      </c>
      <c r="O2532" s="5">
        <v>1</v>
      </c>
      <c r="P2532" s="5" t="s">
        <v>294</v>
      </c>
      <c r="Q2532" s="5" t="s">
        <v>266</v>
      </c>
      <c r="R2532" s="5" t="s">
        <v>240</v>
      </c>
      <c r="S2532" s="5" t="s">
        <v>240</v>
      </c>
      <c r="T2532" s="5" t="s">
        <v>296</v>
      </c>
      <c r="U2532" s="5" t="s">
        <v>244</v>
      </c>
      <c r="V2532" s="5" t="s">
        <v>240</v>
      </c>
      <c r="Y2532" s="5" t="s">
        <v>240</v>
      </c>
      <c r="Z2532" s="6" t="s">
        <v>298</v>
      </c>
      <c r="AB2532" s="6" t="s">
        <v>240</v>
      </c>
      <c r="AE2532" s="6" t="s">
        <v>299</v>
      </c>
      <c r="AF2532" s="5" t="s">
        <v>248</v>
      </c>
      <c r="AG2532" s="5" t="s">
        <v>249</v>
      </c>
      <c r="AW2532" s="5" t="s">
        <v>251</v>
      </c>
      <c r="AX2532" s="5" t="s">
        <v>240</v>
      </c>
      <c r="AY2532" s="5" t="s">
        <v>253</v>
      </c>
      <c r="AZ2532" s="5" t="s">
        <v>240</v>
      </c>
      <c r="BA2532" s="5" t="s">
        <v>255</v>
      </c>
      <c r="BB2532" s="5" t="s">
        <v>240</v>
      </c>
      <c r="BD2532" s="5" t="s">
        <v>240</v>
      </c>
      <c r="BF2532" s="5" t="s">
        <v>301</v>
      </c>
      <c r="BG2532" s="6" t="s">
        <v>299</v>
      </c>
      <c r="BH2532" s="5" t="s">
        <v>302</v>
      </c>
      <c r="BI2532" s="5" t="s">
        <v>303</v>
      </c>
      <c r="BJ2532" s="5" t="s">
        <v>240</v>
      </c>
      <c r="BK2532" s="8">
        <f>0</f>
        <v>0</v>
      </c>
      <c r="BL2532" s="7">
        <f>0</f>
        <v>0</v>
      </c>
      <c r="BM2532" s="5" t="s">
        <v>258</v>
      </c>
      <c r="BN2532" s="5" t="s">
        <v>259</v>
      </c>
      <c r="CB2532" s="5" t="s">
        <v>240</v>
      </c>
      <c r="CC2532" s="5" t="s">
        <v>240</v>
      </c>
      <c r="CG2532" s="5" t="s">
        <v>304</v>
      </c>
      <c r="CH2532" s="5" t="s">
        <v>305</v>
      </c>
      <c r="CI2532" s="5" t="s">
        <v>240</v>
      </c>
      <c r="CL2532" s="6" t="s">
        <v>261</v>
      </c>
      <c r="CM2532" s="5" t="s">
        <v>240</v>
      </c>
      <c r="CN2532" s="5" t="s">
        <v>263</v>
      </c>
      <c r="CO2532" s="5" t="s">
        <v>240</v>
      </c>
      <c r="CP2532" s="5" t="s">
        <v>240</v>
      </c>
      <c r="CQ2532" s="5">
        <v>0</v>
      </c>
      <c r="CR2532" s="5" t="s">
        <v>306</v>
      </c>
      <c r="CS2532" s="5" t="s">
        <v>307</v>
      </c>
      <c r="CT2532" s="5" t="s">
        <v>307</v>
      </c>
      <c r="CU2532" s="5" t="s">
        <v>260</v>
      </c>
      <c r="CX2532" s="7">
        <f>1</f>
        <v>1</v>
      </c>
      <c r="CY2532" s="7">
        <f>0</f>
        <v>0</v>
      </c>
      <c r="DA2532" s="7">
        <f>0</f>
        <v>0</v>
      </c>
      <c r="DC2532" s="5" t="s">
        <v>309</v>
      </c>
      <c r="DD2532" s="5" t="s">
        <v>240</v>
      </c>
      <c r="DF2532" s="5" t="s">
        <v>309</v>
      </c>
      <c r="DG2532" s="7">
        <f>979</f>
        <v>979</v>
      </c>
      <c r="DI2532" s="5" t="s">
        <v>240</v>
      </c>
      <c r="DJ2532" s="5" t="s">
        <v>240</v>
      </c>
      <c r="DK2532" s="5" t="s">
        <v>240</v>
      </c>
      <c r="DL2532" s="5" t="s">
        <v>240</v>
      </c>
      <c r="DP2532" s="5" t="s">
        <v>240</v>
      </c>
      <c r="DQ2532" s="5" t="s">
        <v>240</v>
      </c>
      <c r="DR2532" s="5" t="s">
        <v>240</v>
      </c>
      <c r="DS2532" s="5" t="s">
        <v>240</v>
      </c>
      <c r="DV2532" s="5" t="s">
        <v>310</v>
      </c>
      <c r="DW2532" s="5" t="s">
        <v>3114</v>
      </c>
      <c r="HO2532" s="5" t="s">
        <v>312</v>
      </c>
    </row>
    <row r="2533" spans="1:223" x14ac:dyDescent="0.4">
      <c r="A2533" s="5">
        <v>4237</v>
      </c>
      <c r="B2533" s="5">
        <v>1</v>
      </c>
      <c r="C2533" s="5">
        <v>1</v>
      </c>
      <c r="D2533" s="5" t="s">
        <v>810</v>
      </c>
      <c r="E2533" s="5" t="s">
        <v>245</v>
      </c>
      <c r="F2533" s="5" t="s">
        <v>254</v>
      </c>
      <c r="G2533" s="5" t="s">
        <v>240</v>
      </c>
      <c r="H2533" s="6" t="s">
        <v>4986</v>
      </c>
      <c r="I2533" s="5" t="s">
        <v>809</v>
      </c>
      <c r="J2533" s="8">
        <f>78</f>
        <v>78</v>
      </c>
      <c r="K2533" s="5" t="s">
        <v>308</v>
      </c>
      <c r="L2533" s="7">
        <f>1</f>
        <v>1</v>
      </c>
      <c r="M2533" s="7">
        <f>1</f>
        <v>1</v>
      </c>
      <c r="N2533" s="5" t="s">
        <v>242</v>
      </c>
      <c r="O2533" s="5">
        <v>1</v>
      </c>
      <c r="P2533" s="5" t="s">
        <v>294</v>
      </c>
      <c r="Q2533" s="5" t="s">
        <v>266</v>
      </c>
      <c r="R2533" s="5" t="s">
        <v>240</v>
      </c>
      <c r="S2533" s="5" t="s">
        <v>240</v>
      </c>
      <c r="T2533" s="5" t="s">
        <v>296</v>
      </c>
      <c r="U2533" s="5" t="s">
        <v>244</v>
      </c>
      <c r="V2533" s="5" t="s">
        <v>240</v>
      </c>
      <c r="Y2533" s="5" t="s">
        <v>240</v>
      </c>
      <c r="Z2533" s="6" t="s">
        <v>298</v>
      </c>
      <c r="AB2533" s="6" t="s">
        <v>240</v>
      </c>
      <c r="AE2533" s="6" t="s">
        <v>299</v>
      </c>
      <c r="AF2533" s="5" t="s">
        <v>248</v>
      </c>
      <c r="AG2533" s="5" t="s">
        <v>249</v>
      </c>
      <c r="AW2533" s="5" t="s">
        <v>251</v>
      </c>
      <c r="AX2533" s="5" t="s">
        <v>240</v>
      </c>
      <c r="AY2533" s="5" t="s">
        <v>253</v>
      </c>
      <c r="AZ2533" s="5" t="s">
        <v>240</v>
      </c>
      <c r="BA2533" s="5" t="s">
        <v>255</v>
      </c>
      <c r="BB2533" s="5" t="s">
        <v>240</v>
      </c>
      <c r="BD2533" s="5" t="s">
        <v>240</v>
      </c>
      <c r="BF2533" s="5" t="s">
        <v>301</v>
      </c>
      <c r="BG2533" s="6" t="s">
        <v>299</v>
      </c>
      <c r="BH2533" s="5" t="s">
        <v>302</v>
      </c>
      <c r="BI2533" s="5" t="s">
        <v>303</v>
      </c>
      <c r="BJ2533" s="5" t="s">
        <v>240</v>
      </c>
      <c r="BK2533" s="8">
        <f>0</f>
        <v>0</v>
      </c>
      <c r="BL2533" s="7">
        <f>0</f>
        <v>0</v>
      </c>
      <c r="BM2533" s="5" t="s">
        <v>258</v>
      </c>
      <c r="BN2533" s="5" t="s">
        <v>259</v>
      </c>
      <c r="CB2533" s="5" t="s">
        <v>240</v>
      </c>
      <c r="CC2533" s="5" t="s">
        <v>240</v>
      </c>
      <c r="CG2533" s="5" t="s">
        <v>304</v>
      </c>
      <c r="CH2533" s="5" t="s">
        <v>305</v>
      </c>
      <c r="CI2533" s="5" t="s">
        <v>240</v>
      </c>
      <c r="CL2533" s="6" t="s">
        <v>261</v>
      </c>
      <c r="CM2533" s="5" t="s">
        <v>240</v>
      </c>
      <c r="CN2533" s="5" t="s">
        <v>263</v>
      </c>
      <c r="CO2533" s="5" t="s">
        <v>240</v>
      </c>
      <c r="CP2533" s="5" t="s">
        <v>240</v>
      </c>
      <c r="CQ2533" s="5">
        <v>0</v>
      </c>
      <c r="CR2533" s="5" t="s">
        <v>306</v>
      </c>
      <c r="CS2533" s="5" t="s">
        <v>307</v>
      </c>
      <c r="CT2533" s="5" t="s">
        <v>307</v>
      </c>
      <c r="CU2533" s="5" t="s">
        <v>260</v>
      </c>
      <c r="CX2533" s="7">
        <f>1</f>
        <v>1</v>
      </c>
      <c r="CY2533" s="7">
        <f>0</f>
        <v>0</v>
      </c>
      <c r="DA2533" s="7">
        <f>0</f>
        <v>0</v>
      </c>
      <c r="DC2533" s="5" t="s">
        <v>309</v>
      </c>
      <c r="DD2533" s="5" t="s">
        <v>240</v>
      </c>
      <c r="DF2533" s="5" t="s">
        <v>309</v>
      </c>
      <c r="DG2533" s="7">
        <f>8161</f>
        <v>8161</v>
      </c>
      <c r="DI2533" s="5" t="s">
        <v>240</v>
      </c>
      <c r="DJ2533" s="5" t="s">
        <v>240</v>
      </c>
      <c r="DK2533" s="5" t="s">
        <v>240</v>
      </c>
      <c r="DL2533" s="5" t="s">
        <v>240</v>
      </c>
      <c r="DP2533" s="5" t="s">
        <v>240</v>
      </c>
      <c r="DQ2533" s="5" t="s">
        <v>240</v>
      </c>
      <c r="DR2533" s="5" t="s">
        <v>240</v>
      </c>
      <c r="DS2533" s="5" t="s">
        <v>240</v>
      </c>
      <c r="DV2533" s="5" t="s">
        <v>310</v>
      </c>
      <c r="DW2533" s="5" t="s">
        <v>3116</v>
      </c>
      <c r="HO2533" s="5" t="s">
        <v>312</v>
      </c>
    </row>
    <row r="2534" spans="1:223" x14ac:dyDescent="0.4">
      <c r="A2534" s="5">
        <v>4238</v>
      </c>
      <c r="B2534" s="5">
        <v>1</v>
      </c>
      <c r="C2534" s="5">
        <v>1</v>
      </c>
      <c r="D2534" s="5" t="s">
        <v>810</v>
      </c>
      <c r="E2534" s="5" t="s">
        <v>245</v>
      </c>
      <c r="F2534" s="5" t="s">
        <v>254</v>
      </c>
      <c r="G2534" s="5" t="s">
        <v>240</v>
      </c>
      <c r="H2534" s="6" t="s">
        <v>3481</v>
      </c>
      <c r="I2534" s="5" t="s">
        <v>809</v>
      </c>
      <c r="J2534" s="8">
        <f>581</f>
        <v>581</v>
      </c>
      <c r="K2534" s="5" t="s">
        <v>308</v>
      </c>
      <c r="L2534" s="7">
        <f>1</f>
        <v>1</v>
      </c>
      <c r="M2534" s="7">
        <f>1</f>
        <v>1</v>
      </c>
      <c r="N2534" s="5" t="s">
        <v>242</v>
      </c>
      <c r="O2534" s="5">
        <v>1</v>
      </c>
      <c r="P2534" s="5" t="s">
        <v>294</v>
      </c>
      <c r="Q2534" s="5" t="s">
        <v>266</v>
      </c>
      <c r="R2534" s="5" t="s">
        <v>240</v>
      </c>
      <c r="S2534" s="5" t="s">
        <v>240</v>
      </c>
      <c r="T2534" s="5" t="s">
        <v>296</v>
      </c>
      <c r="U2534" s="5" t="s">
        <v>244</v>
      </c>
      <c r="V2534" s="5" t="s">
        <v>240</v>
      </c>
      <c r="Y2534" s="5" t="s">
        <v>240</v>
      </c>
      <c r="Z2534" s="6" t="s">
        <v>298</v>
      </c>
      <c r="AB2534" s="6" t="s">
        <v>240</v>
      </c>
      <c r="AE2534" s="6" t="s">
        <v>299</v>
      </c>
      <c r="AF2534" s="5" t="s">
        <v>248</v>
      </c>
      <c r="AG2534" s="5" t="s">
        <v>249</v>
      </c>
      <c r="AW2534" s="5" t="s">
        <v>251</v>
      </c>
      <c r="AX2534" s="5" t="s">
        <v>240</v>
      </c>
      <c r="AY2534" s="5" t="s">
        <v>253</v>
      </c>
      <c r="AZ2534" s="5" t="s">
        <v>240</v>
      </c>
      <c r="BA2534" s="5" t="s">
        <v>255</v>
      </c>
      <c r="BB2534" s="5" t="s">
        <v>240</v>
      </c>
      <c r="BD2534" s="5" t="s">
        <v>240</v>
      </c>
      <c r="BF2534" s="5" t="s">
        <v>301</v>
      </c>
      <c r="BG2534" s="6" t="s">
        <v>299</v>
      </c>
      <c r="BH2534" s="5" t="s">
        <v>302</v>
      </c>
      <c r="BI2534" s="5" t="s">
        <v>303</v>
      </c>
      <c r="BJ2534" s="5" t="s">
        <v>240</v>
      </c>
      <c r="BK2534" s="8">
        <f>0</f>
        <v>0</v>
      </c>
      <c r="BL2534" s="7">
        <f>0</f>
        <v>0</v>
      </c>
      <c r="BM2534" s="5" t="s">
        <v>258</v>
      </c>
      <c r="BN2534" s="5" t="s">
        <v>259</v>
      </c>
      <c r="CB2534" s="5" t="s">
        <v>240</v>
      </c>
      <c r="CC2534" s="5" t="s">
        <v>240</v>
      </c>
      <c r="CG2534" s="5" t="s">
        <v>304</v>
      </c>
      <c r="CH2534" s="5" t="s">
        <v>305</v>
      </c>
      <c r="CI2534" s="5" t="s">
        <v>240</v>
      </c>
      <c r="CL2534" s="6" t="s">
        <v>261</v>
      </c>
      <c r="CM2534" s="5" t="s">
        <v>240</v>
      </c>
      <c r="CN2534" s="5" t="s">
        <v>263</v>
      </c>
      <c r="CO2534" s="5" t="s">
        <v>240</v>
      </c>
      <c r="CP2534" s="5" t="s">
        <v>240</v>
      </c>
      <c r="CQ2534" s="5">
        <v>0</v>
      </c>
      <c r="CR2534" s="5" t="s">
        <v>306</v>
      </c>
      <c r="CS2534" s="5" t="s">
        <v>307</v>
      </c>
      <c r="CT2534" s="5" t="s">
        <v>307</v>
      </c>
      <c r="CU2534" s="5" t="s">
        <v>260</v>
      </c>
      <c r="CX2534" s="7">
        <f>1</f>
        <v>1</v>
      </c>
      <c r="CY2534" s="7">
        <f>0</f>
        <v>0</v>
      </c>
      <c r="DA2534" s="7">
        <f>0</f>
        <v>0</v>
      </c>
      <c r="DC2534" s="5" t="s">
        <v>309</v>
      </c>
      <c r="DD2534" s="5" t="s">
        <v>240</v>
      </c>
      <c r="DF2534" s="5" t="s">
        <v>309</v>
      </c>
      <c r="DG2534" s="7">
        <f>8131</f>
        <v>8131</v>
      </c>
      <c r="DI2534" s="5" t="s">
        <v>240</v>
      </c>
      <c r="DJ2534" s="5" t="s">
        <v>240</v>
      </c>
      <c r="DK2534" s="5" t="s">
        <v>240</v>
      </c>
      <c r="DL2534" s="5" t="s">
        <v>240</v>
      </c>
      <c r="DP2534" s="5" t="s">
        <v>240</v>
      </c>
      <c r="DQ2534" s="5" t="s">
        <v>240</v>
      </c>
      <c r="DR2534" s="5" t="s">
        <v>240</v>
      </c>
      <c r="DS2534" s="5" t="s">
        <v>240</v>
      </c>
      <c r="DV2534" s="5" t="s">
        <v>310</v>
      </c>
      <c r="DW2534" s="5" t="s">
        <v>4641</v>
      </c>
      <c r="HO2534" s="5" t="s">
        <v>312</v>
      </c>
    </row>
    <row r="2535" spans="1:223" x14ac:dyDescent="0.4">
      <c r="A2535" s="5">
        <v>4239</v>
      </c>
      <c r="B2535" s="5">
        <v>1</v>
      </c>
      <c r="C2535" s="5">
        <v>1</v>
      </c>
      <c r="D2535" s="5" t="s">
        <v>810</v>
      </c>
      <c r="E2535" s="5" t="s">
        <v>245</v>
      </c>
      <c r="F2535" s="5" t="s">
        <v>254</v>
      </c>
      <c r="G2535" s="5" t="s">
        <v>240</v>
      </c>
      <c r="H2535" s="6" t="s">
        <v>3479</v>
      </c>
      <c r="I2535" s="5" t="s">
        <v>809</v>
      </c>
      <c r="J2535" s="8">
        <f>340</f>
        <v>340</v>
      </c>
      <c r="K2535" s="5" t="s">
        <v>308</v>
      </c>
      <c r="L2535" s="7">
        <f>1</f>
        <v>1</v>
      </c>
      <c r="M2535" s="7">
        <f>1</f>
        <v>1</v>
      </c>
      <c r="N2535" s="5" t="s">
        <v>242</v>
      </c>
      <c r="O2535" s="5">
        <v>1</v>
      </c>
      <c r="P2535" s="5" t="s">
        <v>294</v>
      </c>
      <c r="Q2535" s="5" t="s">
        <v>266</v>
      </c>
      <c r="R2535" s="5" t="s">
        <v>240</v>
      </c>
      <c r="S2535" s="5" t="s">
        <v>240</v>
      </c>
      <c r="T2535" s="5" t="s">
        <v>296</v>
      </c>
      <c r="U2535" s="5" t="s">
        <v>244</v>
      </c>
      <c r="V2535" s="5" t="s">
        <v>240</v>
      </c>
      <c r="Y2535" s="5" t="s">
        <v>240</v>
      </c>
      <c r="Z2535" s="6" t="s">
        <v>298</v>
      </c>
      <c r="AB2535" s="6" t="s">
        <v>240</v>
      </c>
      <c r="AE2535" s="6" t="s">
        <v>299</v>
      </c>
      <c r="AF2535" s="5" t="s">
        <v>248</v>
      </c>
      <c r="AG2535" s="5" t="s">
        <v>249</v>
      </c>
      <c r="AW2535" s="5" t="s">
        <v>251</v>
      </c>
      <c r="AX2535" s="5" t="s">
        <v>240</v>
      </c>
      <c r="AY2535" s="5" t="s">
        <v>253</v>
      </c>
      <c r="AZ2535" s="5" t="s">
        <v>240</v>
      </c>
      <c r="BA2535" s="5" t="s">
        <v>255</v>
      </c>
      <c r="BB2535" s="5" t="s">
        <v>240</v>
      </c>
      <c r="BD2535" s="5" t="s">
        <v>240</v>
      </c>
      <c r="BF2535" s="5" t="s">
        <v>301</v>
      </c>
      <c r="BG2535" s="6" t="s">
        <v>299</v>
      </c>
      <c r="BH2535" s="5" t="s">
        <v>302</v>
      </c>
      <c r="BI2535" s="5" t="s">
        <v>303</v>
      </c>
      <c r="BJ2535" s="5" t="s">
        <v>240</v>
      </c>
      <c r="BK2535" s="8">
        <f>0</f>
        <v>0</v>
      </c>
      <c r="BL2535" s="7">
        <f>0</f>
        <v>0</v>
      </c>
      <c r="BM2535" s="5" t="s">
        <v>258</v>
      </c>
      <c r="BN2535" s="5" t="s">
        <v>259</v>
      </c>
      <c r="CB2535" s="5" t="s">
        <v>240</v>
      </c>
      <c r="CC2535" s="5" t="s">
        <v>240</v>
      </c>
      <c r="CG2535" s="5" t="s">
        <v>304</v>
      </c>
      <c r="CH2535" s="5" t="s">
        <v>305</v>
      </c>
      <c r="CI2535" s="5" t="s">
        <v>240</v>
      </c>
      <c r="CL2535" s="6" t="s">
        <v>261</v>
      </c>
      <c r="CM2535" s="5" t="s">
        <v>240</v>
      </c>
      <c r="CN2535" s="5" t="s">
        <v>263</v>
      </c>
      <c r="CO2535" s="5" t="s">
        <v>240</v>
      </c>
      <c r="CP2535" s="5" t="s">
        <v>240</v>
      </c>
      <c r="CQ2535" s="5">
        <v>0</v>
      </c>
      <c r="CR2535" s="5" t="s">
        <v>306</v>
      </c>
      <c r="CS2535" s="5" t="s">
        <v>307</v>
      </c>
      <c r="CT2535" s="5" t="s">
        <v>307</v>
      </c>
      <c r="CU2535" s="5" t="s">
        <v>260</v>
      </c>
      <c r="CX2535" s="7">
        <f>1</f>
        <v>1</v>
      </c>
      <c r="CY2535" s="7">
        <f>0</f>
        <v>0</v>
      </c>
      <c r="DA2535" s="7">
        <f>0</f>
        <v>0</v>
      </c>
      <c r="DC2535" s="5" t="s">
        <v>309</v>
      </c>
      <c r="DD2535" s="5" t="s">
        <v>240</v>
      </c>
      <c r="DF2535" s="5" t="s">
        <v>309</v>
      </c>
      <c r="DG2535" s="7">
        <f>1467</f>
        <v>1467</v>
      </c>
      <c r="DI2535" s="5" t="s">
        <v>240</v>
      </c>
      <c r="DJ2535" s="5" t="s">
        <v>240</v>
      </c>
      <c r="DK2535" s="5" t="s">
        <v>240</v>
      </c>
      <c r="DL2535" s="5" t="s">
        <v>240</v>
      </c>
      <c r="DP2535" s="5" t="s">
        <v>240</v>
      </c>
      <c r="DQ2535" s="5" t="s">
        <v>240</v>
      </c>
      <c r="DR2535" s="5" t="s">
        <v>240</v>
      </c>
      <c r="DS2535" s="5" t="s">
        <v>240</v>
      </c>
      <c r="DV2535" s="5" t="s">
        <v>310</v>
      </c>
      <c r="DW2535" s="5" t="s">
        <v>3120</v>
      </c>
      <c r="HO2535" s="5" t="s">
        <v>312</v>
      </c>
    </row>
    <row r="2536" spans="1:223" x14ac:dyDescent="0.4">
      <c r="A2536" s="5">
        <v>4240</v>
      </c>
      <c r="B2536" s="5">
        <v>1</v>
      </c>
      <c r="C2536" s="5">
        <v>1</v>
      </c>
      <c r="D2536" s="5" t="s">
        <v>810</v>
      </c>
      <c r="E2536" s="5" t="s">
        <v>245</v>
      </c>
      <c r="F2536" s="5" t="s">
        <v>254</v>
      </c>
      <c r="G2536" s="5" t="s">
        <v>240</v>
      </c>
      <c r="H2536" s="6" t="s">
        <v>3477</v>
      </c>
      <c r="I2536" s="5" t="s">
        <v>809</v>
      </c>
      <c r="J2536" s="8">
        <f>682</f>
        <v>682</v>
      </c>
      <c r="K2536" s="5" t="s">
        <v>308</v>
      </c>
      <c r="L2536" s="7">
        <f>1</f>
        <v>1</v>
      </c>
      <c r="M2536" s="7">
        <f>1</f>
        <v>1</v>
      </c>
      <c r="N2536" s="5" t="s">
        <v>242</v>
      </c>
      <c r="O2536" s="5">
        <v>1</v>
      </c>
      <c r="P2536" s="5" t="s">
        <v>294</v>
      </c>
      <c r="Q2536" s="5" t="s">
        <v>266</v>
      </c>
      <c r="R2536" s="5" t="s">
        <v>240</v>
      </c>
      <c r="S2536" s="5" t="s">
        <v>240</v>
      </c>
      <c r="T2536" s="5" t="s">
        <v>296</v>
      </c>
      <c r="U2536" s="5" t="s">
        <v>244</v>
      </c>
      <c r="V2536" s="5" t="s">
        <v>240</v>
      </c>
      <c r="Y2536" s="5" t="s">
        <v>240</v>
      </c>
      <c r="Z2536" s="6" t="s">
        <v>298</v>
      </c>
      <c r="AB2536" s="6" t="s">
        <v>240</v>
      </c>
      <c r="AE2536" s="6" t="s">
        <v>299</v>
      </c>
      <c r="AF2536" s="5" t="s">
        <v>248</v>
      </c>
      <c r="AG2536" s="5" t="s">
        <v>249</v>
      </c>
      <c r="AW2536" s="5" t="s">
        <v>251</v>
      </c>
      <c r="AX2536" s="5" t="s">
        <v>240</v>
      </c>
      <c r="AY2536" s="5" t="s">
        <v>253</v>
      </c>
      <c r="AZ2536" s="5" t="s">
        <v>240</v>
      </c>
      <c r="BA2536" s="5" t="s">
        <v>255</v>
      </c>
      <c r="BB2536" s="5" t="s">
        <v>240</v>
      </c>
      <c r="BD2536" s="5" t="s">
        <v>240</v>
      </c>
      <c r="BF2536" s="5" t="s">
        <v>301</v>
      </c>
      <c r="BG2536" s="6" t="s">
        <v>299</v>
      </c>
      <c r="BH2536" s="5" t="s">
        <v>302</v>
      </c>
      <c r="BI2536" s="5" t="s">
        <v>303</v>
      </c>
      <c r="BJ2536" s="5" t="s">
        <v>240</v>
      </c>
      <c r="BK2536" s="8">
        <f>0</f>
        <v>0</v>
      </c>
      <c r="BL2536" s="7">
        <f>0</f>
        <v>0</v>
      </c>
      <c r="BM2536" s="5" t="s">
        <v>258</v>
      </c>
      <c r="BN2536" s="5" t="s">
        <v>259</v>
      </c>
      <c r="CB2536" s="5" t="s">
        <v>240</v>
      </c>
      <c r="CC2536" s="5" t="s">
        <v>240</v>
      </c>
      <c r="CG2536" s="5" t="s">
        <v>304</v>
      </c>
      <c r="CH2536" s="5" t="s">
        <v>305</v>
      </c>
      <c r="CI2536" s="5" t="s">
        <v>240</v>
      </c>
      <c r="CL2536" s="6" t="s">
        <v>261</v>
      </c>
      <c r="CM2536" s="5" t="s">
        <v>240</v>
      </c>
      <c r="CN2536" s="5" t="s">
        <v>263</v>
      </c>
      <c r="CO2536" s="5" t="s">
        <v>240</v>
      </c>
      <c r="CP2536" s="5" t="s">
        <v>240</v>
      </c>
      <c r="CQ2536" s="5">
        <v>0</v>
      </c>
      <c r="CR2536" s="5" t="s">
        <v>306</v>
      </c>
      <c r="CS2536" s="5" t="s">
        <v>307</v>
      </c>
      <c r="CT2536" s="5" t="s">
        <v>307</v>
      </c>
      <c r="CU2536" s="5" t="s">
        <v>260</v>
      </c>
      <c r="CX2536" s="7">
        <f>1</f>
        <v>1</v>
      </c>
      <c r="CY2536" s="7">
        <f>0</f>
        <v>0</v>
      </c>
      <c r="DA2536" s="7">
        <f>0</f>
        <v>0</v>
      </c>
      <c r="DC2536" s="5" t="s">
        <v>309</v>
      </c>
      <c r="DD2536" s="5" t="s">
        <v>240</v>
      </c>
      <c r="DF2536" s="5" t="s">
        <v>309</v>
      </c>
      <c r="DG2536" s="7">
        <f>1552</f>
        <v>1552</v>
      </c>
      <c r="DI2536" s="5" t="s">
        <v>240</v>
      </c>
      <c r="DJ2536" s="5" t="s">
        <v>240</v>
      </c>
      <c r="DK2536" s="5" t="s">
        <v>240</v>
      </c>
      <c r="DL2536" s="5" t="s">
        <v>240</v>
      </c>
      <c r="DP2536" s="5" t="s">
        <v>240</v>
      </c>
      <c r="DQ2536" s="5" t="s">
        <v>240</v>
      </c>
      <c r="DR2536" s="5" t="s">
        <v>240</v>
      </c>
      <c r="DS2536" s="5" t="s">
        <v>240</v>
      </c>
      <c r="DV2536" s="5" t="s">
        <v>310</v>
      </c>
      <c r="DW2536" s="5" t="s">
        <v>3122</v>
      </c>
      <c r="HO2536" s="5" t="s">
        <v>312</v>
      </c>
    </row>
    <row r="2537" spans="1:223" x14ac:dyDescent="0.4">
      <c r="A2537" s="5">
        <v>4241</v>
      </c>
      <c r="B2537" s="5">
        <v>1</v>
      </c>
      <c r="C2537" s="5">
        <v>1</v>
      </c>
      <c r="D2537" s="5" t="s">
        <v>810</v>
      </c>
      <c r="E2537" s="5" t="s">
        <v>245</v>
      </c>
      <c r="F2537" s="5" t="s">
        <v>254</v>
      </c>
      <c r="G2537" s="5" t="s">
        <v>240</v>
      </c>
      <c r="H2537" s="6" t="s">
        <v>4983</v>
      </c>
      <c r="I2537" s="5" t="s">
        <v>809</v>
      </c>
      <c r="J2537" s="8">
        <f>977</f>
        <v>977</v>
      </c>
      <c r="K2537" s="5" t="s">
        <v>308</v>
      </c>
      <c r="L2537" s="7">
        <f>1</f>
        <v>1</v>
      </c>
      <c r="M2537" s="7">
        <f>1</f>
        <v>1</v>
      </c>
      <c r="N2537" s="5" t="s">
        <v>242</v>
      </c>
      <c r="O2537" s="5">
        <v>1</v>
      </c>
      <c r="P2537" s="5" t="s">
        <v>294</v>
      </c>
      <c r="Q2537" s="5" t="s">
        <v>266</v>
      </c>
      <c r="R2537" s="5" t="s">
        <v>240</v>
      </c>
      <c r="S2537" s="5" t="s">
        <v>240</v>
      </c>
      <c r="T2537" s="5" t="s">
        <v>296</v>
      </c>
      <c r="U2537" s="5" t="s">
        <v>244</v>
      </c>
      <c r="V2537" s="5" t="s">
        <v>240</v>
      </c>
      <c r="Y2537" s="5" t="s">
        <v>240</v>
      </c>
      <c r="Z2537" s="6" t="s">
        <v>298</v>
      </c>
      <c r="AB2537" s="6" t="s">
        <v>240</v>
      </c>
      <c r="AE2537" s="6" t="s">
        <v>299</v>
      </c>
      <c r="AF2537" s="5" t="s">
        <v>248</v>
      </c>
      <c r="AG2537" s="5" t="s">
        <v>249</v>
      </c>
      <c r="AW2537" s="5" t="s">
        <v>251</v>
      </c>
      <c r="AX2537" s="5" t="s">
        <v>240</v>
      </c>
      <c r="AY2537" s="5" t="s">
        <v>253</v>
      </c>
      <c r="AZ2537" s="5" t="s">
        <v>240</v>
      </c>
      <c r="BA2537" s="5" t="s">
        <v>255</v>
      </c>
      <c r="BB2537" s="5" t="s">
        <v>240</v>
      </c>
      <c r="BD2537" s="5" t="s">
        <v>240</v>
      </c>
      <c r="BF2537" s="5" t="s">
        <v>301</v>
      </c>
      <c r="BG2537" s="6" t="s">
        <v>299</v>
      </c>
      <c r="BH2537" s="5" t="s">
        <v>302</v>
      </c>
      <c r="BI2537" s="5" t="s">
        <v>303</v>
      </c>
      <c r="BJ2537" s="5" t="s">
        <v>240</v>
      </c>
      <c r="BK2537" s="8">
        <f>0</f>
        <v>0</v>
      </c>
      <c r="BL2537" s="7">
        <f>0</f>
        <v>0</v>
      </c>
      <c r="BM2537" s="5" t="s">
        <v>258</v>
      </c>
      <c r="BN2537" s="5" t="s">
        <v>259</v>
      </c>
      <c r="CB2537" s="5" t="s">
        <v>240</v>
      </c>
      <c r="CC2537" s="5" t="s">
        <v>240</v>
      </c>
      <c r="CG2537" s="5" t="s">
        <v>304</v>
      </c>
      <c r="CH2537" s="5" t="s">
        <v>305</v>
      </c>
      <c r="CI2537" s="5" t="s">
        <v>240</v>
      </c>
      <c r="CL2537" s="6" t="s">
        <v>261</v>
      </c>
      <c r="CM2537" s="5" t="s">
        <v>240</v>
      </c>
      <c r="CN2537" s="5" t="s">
        <v>263</v>
      </c>
      <c r="CO2537" s="5" t="s">
        <v>240</v>
      </c>
      <c r="CP2537" s="5" t="s">
        <v>240</v>
      </c>
      <c r="CQ2537" s="5">
        <v>0</v>
      </c>
      <c r="CR2537" s="5" t="s">
        <v>306</v>
      </c>
      <c r="CS2537" s="5" t="s">
        <v>307</v>
      </c>
      <c r="CT2537" s="5" t="s">
        <v>307</v>
      </c>
      <c r="CU2537" s="5" t="s">
        <v>260</v>
      </c>
      <c r="CX2537" s="7">
        <f>1</f>
        <v>1</v>
      </c>
      <c r="CY2537" s="7">
        <f>0</f>
        <v>0</v>
      </c>
      <c r="DA2537" s="7">
        <f>0</f>
        <v>0</v>
      </c>
      <c r="DC2537" s="5" t="s">
        <v>309</v>
      </c>
      <c r="DD2537" s="5" t="s">
        <v>240</v>
      </c>
      <c r="DF2537" s="5" t="s">
        <v>309</v>
      </c>
      <c r="DG2537" s="7">
        <f>2101</f>
        <v>2101</v>
      </c>
      <c r="DI2537" s="5" t="s">
        <v>240</v>
      </c>
      <c r="DJ2537" s="5" t="s">
        <v>240</v>
      </c>
      <c r="DK2537" s="5" t="s">
        <v>240</v>
      </c>
      <c r="DL2537" s="5" t="s">
        <v>240</v>
      </c>
      <c r="DP2537" s="5" t="s">
        <v>240</v>
      </c>
      <c r="DQ2537" s="5" t="s">
        <v>240</v>
      </c>
      <c r="DR2537" s="5" t="s">
        <v>240</v>
      </c>
      <c r="DS2537" s="5" t="s">
        <v>240</v>
      </c>
      <c r="DV2537" s="5" t="s">
        <v>310</v>
      </c>
      <c r="DW2537" s="5" t="s">
        <v>3124</v>
      </c>
      <c r="HO2537" s="5" t="s">
        <v>312</v>
      </c>
    </row>
    <row r="2538" spans="1:223" x14ac:dyDescent="0.4">
      <c r="A2538" s="5">
        <v>4242</v>
      </c>
      <c r="B2538" s="5">
        <v>1</v>
      </c>
      <c r="C2538" s="5">
        <v>1</v>
      </c>
      <c r="D2538" s="5" t="s">
        <v>810</v>
      </c>
      <c r="E2538" s="5" t="s">
        <v>245</v>
      </c>
      <c r="F2538" s="5" t="s">
        <v>254</v>
      </c>
      <c r="G2538" s="5" t="s">
        <v>240</v>
      </c>
      <c r="H2538" s="6" t="s">
        <v>3474</v>
      </c>
      <c r="I2538" s="5" t="s">
        <v>809</v>
      </c>
      <c r="J2538" s="8">
        <f>188</f>
        <v>188</v>
      </c>
      <c r="K2538" s="5" t="s">
        <v>308</v>
      </c>
      <c r="L2538" s="7">
        <f>1</f>
        <v>1</v>
      </c>
      <c r="M2538" s="7">
        <f>1</f>
        <v>1</v>
      </c>
      <c r="N2538" s="5" t="s">
        <v>242</v>
      </c>
      <c r="O2538" s="5">
        <v>1</v>
      </c>
      <c r="P2538" s="5" t="s">
        <v>294</v>
      </c>
      <c r="Q2538" s="5" t="s">
        <v>266</v>
      </c>
      <c r="R2538" s="5" t="s">
        <v>240</v>
      </c>
      <c r="S2538" s="5" t="s">
        <v>240</v>
      </c>
      <c r="T2538" s="5" t="s">
        <v>296</v>
      </c>
      <c r="U2538" s="5" t="s">
        <v>244</v>
      </c>
      <c r="V2538" s="5" t="s">
        <v>240</v>
      </c>
      <c r="Y2538" s="5" t="s">
        <v>240</v>
      </c>
      <c r="Z2538" s="6" t="s">
        <v>298</v>
      </c>
      <c r="AB2538" s="6" t="s">
        <v>240</v>
      </c>
      <c r="AE2538" s="6" t="s">
        <v>299</v>
      </c>
      <c r="AF2538" s="5" t="s">
        <v>248</v>
      </c>
      <c r="AG2538" s="5" t="s">
        <v>249</v>
      </c>
      <c r="AW2538" s="5" t="s">
        <v>251</v>
      </c>
      <c r="AX2538" s="5" t="s">
        <v>240</v>
      </c>
      <c r="AY2538" s="5" t="s">
        <v>253</v>
      </c>
      <c r="AZ2538" s="5" t="s">
        <v>240</v>
      </c>
      <c r="BA2538" s="5" t="s">
        <v>255</v>
      </c>
      <c r="BB2538" s="5" t="s">
        <v>240</v>
      </c>
      <c r="BD2538" s="5" t="s">
        <v>240</v>
      </c>
      <c r="BF2538" s="5" t="s">
        <v>301</v>
      </c>
      <c r="BG2538" s="6" t="s">
        <v>299</v>
      </c>
      <c r="BH2538" s="5" t="s">
        <v>302</v>
      </c>
      <c r="BI2538" s="5" t="s">
        <v>303</v>
      </c>
      <c r="BJ2538" s="5" t="s">
        <v>240</v>
      </c>
      <c r="BK2538" s="8">
        <f>0</f>
        <v>0</v>
      </c>
      <c r="BL2538" s="7">
        <f>0</f>
        <v>0</v>
      </c>
      <c r="BM2538" s="5" t="s">
        <v>258</v>
      </c>
      <c r="BN2538" s="5" t="s">
        <v>259</v>
      </c>
      <c r="CB2538" s="5" t="s">
        <v>240</v>
      </c>
      <c r="CC2538" s="5" t="s">
        <v>240</v>
      </c>
      <c r="CG2538" s="5" t="s">
        <v>304</v>
      </c>
      <c r="CH2538" s="5" t="s">
        <v>305</v>
      </c>
      <c r="CI2538" s="5" t="s">
        <v>240</v>
      </c>
      <c r="CL2538" s="6" t="s">
        <v>261</v>
      </c>
      <c r="CM2538" s="5" t="s">
        <v>240</v>
      </c>
      <c r="CN2538" s="5" t="s">
        <v>263</v>
      </c>
      <c r="CO2538" s="5" t="s">
        <v>240</v>
      </c>
      <c r="CP2538" s="5" t="s">
        <v>240</v>
      </c>
      <c r="CQ2538" s="5">
        <v>0</v>
      </c>
      <c r="CR2538" s="5" t="s">
        <v>306</v>
      </c>
      <c r="CS2538" s="5" t="s">
        <v>307</v>
      </c>
      <c r="CT2538" s="5" t="s">
        <v>307</v>
      </c>
      <c r="CU2538" s="5" t="s">
        <v>260</v>
      </c>
      <c r="CX2538" s="7">
        <f>1</f>
        <v>1</v>
      </c>
      <c r="CY2538" s="7">
        <f>0</f>
        <v>0</v>
      </c>
      <c r="DA2538" s="7">
        <f>0</f>
        <v>0</v>
      </c>
      <c r="DC2538" s="5" t="s">
        <v>309</v>
      </c>
      <c r="DD2538" s="5" t="s">
        <v>240</v>
      </c>
      <c r="DF2538" s="5" t="s">
        <v>309</v>
      </c>
      <c r="DG2538" s="7">
        <f>2520</f>
        <v>2520</v>
      </c>
      <c r="DI2538" s="5" t="s">
        <v>240</v>
      </c>
      <c r="DJ2538" s="5" t="s">
        <v>240</v>
      </c>
      <c r="DK2538" s="5" t="s">
        <v>240</v>
      </c>
      <c r="DL2538" s="5" t="s">
        <v>240</v>
      </c>
      <c r="DP2538" s="5" t="s">
        <v>240</v>
      </c>
      <c r="DQ2538" s="5" t="s">
        <v>240</v>
      </c>
      <c r="DR2538" s="5" t="s">
        <v>240</v>
      </c>
      <c r="DS2538" s="5" t="s">
        <v>240</v>
      </c>
      <c r="DV2538" s="5" t="s">
        <v>310</v>
      </c>
      <c r="DW2538" s="5" t="s">
        <v>3126</v>
      </c>
      <c r="HO2538" s="5" t="s">
        <v>312</v>
      </c>
    </row>
    <row r="2539" spans="1:223" x14ac:dyDescent="0.4">
      <c r="A2539" s="5">
        <v>4243</v>
      </c>
      <c r="B2539" s="5">
        <v>1</v>
      </c>
      <c r="C2539" s="5">
        <v>1</v>
      </c>
      <c r="D2539" s="5" t="s">
        <v>810</v>
      </c>
      <c r="E2539" s="5" t="s">
        <v>245</v>
      </c>
      <c r="F2539" s="5" t="s">
        <v>254</v>
      </c>
      <c r="G2539" s="5" t="s">
        <v>240</v>
      </c>
      <c r="H2539" s="6" t="s">
        <v>4982</v>
      </c>
      <c r="I2539" s="5" t="s">
        <v>809</v>
      </c>
      <c r="J2539" s="8">
        <f>362</f>
        <v>362</v>
      </c>
      <c r="K2539" s="5" t="s">
        <v>308</v>
      </c>
      <c r="L2539" s="7">
        <f>1</f>
        <v>1</v>
      </c>
      <c r="M2539" s="7">
        <f>1</f>
        <v>1</v>
      </c>
      <c r="N2539" s="5" t="s">
        <v>242</v>
      </c>
      <c r="O2539" s="5">
        <v>1</v>
      </c>
      <c r="P2539" s="5" t="s">
        <v>294</v>
      </c>
      <c r="Q2539" s="5" t="s">
        <v>266</v>
      </c>
      <c r="R2539" s="5" t="s">
        <v>240</v>
      </c>
      <c r="S2539" s="5" t="s">
        <v>240</v>
      </c>
      <c r="T2539" s="5" t="s">
        <v>296</v>
      </c>
      <c r="U2539" s="5" t="s">
        <v>244</v>
      </c>
      <c r="V2539" s="5" t="s">
        <v>240</v>
      </c>
      <c r="Y2539" s="5" t="s">
        <v>240</v>
      </c>
      <c r="Z2539" s="6" t="s">
        <v>298</v>
      </c>
      <c r="AB2539" s="6" t="s">
        <v>240</v>
      </c>
      <c r="AE2539" s="6" t="s">
        <v>299</v>
      </c>
      <c r="AF2539" s="5" t="s">
        <v>248</v>
      </c>
      <c r="AG2539" s="5" t="s">
        <v>249</v>
      </c>
      <c r="AW2539" s="5" t="s">
        <v>251</v>
      </c>
      <c r="AX2539" s="5" t="s">
        <v>240</v>
      </c>
      <c r="AY2539" s="5" t="s">
        <v>253</v>
      </c>
      <c r="AZ2539" s="5" t="s">
        <v>240</v>
      </c>
      <c r="BA2539" s="5" t="s">
        <v>255</v>
      </c>
      <c r="BB2539" s="5" t="s">
        <v>240</v>
      </c>
      <c r="BD2539" s="5" t="s">
        <v>240</v>
      </c>
      <c r="BF2539" s="5" t="s">
        <v>301</v>
      </c>
      <c r="BG2539" s="6" t="s">
        <v>299</v>
      </c>
      <c r="BH2539" s="5" t="s">
        <v>302</v>
      </c>
      <c r="BI2539" s="5" t="s">
        <v>303</v>
      </c>
      <c r="BJ2539" s="5" t="s">
        <v>240</v>
      </c>
      <c r="BK2539" s="8">
        <f>0</f>
        <v>0</v>
      </c>
      <c r="BL2539" s="7">
        <f>0</f>
        <v>0</v>
      </c>
      <c r="BM2539" s="5" t="s">
        <v>258</v>
      </c>
      <c r="BN2539" s="5" t="s">
        <v>259</v>
      </c>
      <c r="CB2539" s="5" t="s">
        <v>240</v>
      </c>
      <c r="CC2539" s="5" t="s">
        <v>240</v>
      </c>
      <c r="CG2539" s="5" t="s">
        <v>304</v>
      </c>
      <c r="CH2539" s="5" t="s">
        <v>305</v>
      </c>
      <c r="CI2539" s="5" t="s">
        <v>240</v>
      </c>
      <c r="CL2539" s="6" t="s">
        <v>261</v>
      </c>
      <c r="CM2539" s="5" t="s">
        <v>240</v>
      </c>
      <c r="CN2539" s="5" t="s">
        <v>263</v>
      </c>
      <c r="CO2539" s="5" t="s">
        <v>240</v>
      </c>
      <c r="CP2539" s="5" t="s">
        <v>240</v>
      </c>
      <c r="CQ2539" s="5">
        <v>0</v>
      </c>
      <c r="CR2539" s="5" t="s">
        <v>306</v>
      </c>
      <c r="CS2539" s="5" t="s">
        <v>307</v>
      </c>
      <c r="CT2539" s="5" t="s">
        <v>307</v>
      </c>
      <c r="CU2539" s="5" t="s">
        <v>260</v>
      </c>
      <c r="CX2539" s="7">
        <f>1</f>
        <v>1</v>
      </c>
      <c r="CY2539" s="7">
        <f>0</f>
        <v>0</v>
      </c>
      <c r="DA2539" s="7">
        <f>0</f>
        <v>0</v>
      </c>
      <c r="DC2539" s="5" t="s">
        <v>309</v>
      </c>
      <c r="DD2539" s="5" t="s">
        <v>240</v>
      </c>
      <c r="DF2539" s="5" t="s">
        <v>309</v>
      </c>
      <c r="DG2539" s="7">
        <f>441</f>
        <v>441</v>
      </c>
      <c r="DI2539" s="5" t="s">
        <v>240</v>
      </c>
      <c r="DJ2539" s="5" t="s">
        <v>240</v>
      </c>
      <c r="DK2539" s="5" t="s">
        <v>240</v>
      </c>
      <c r="DL2539" s="5" t="s">
        <v>240</v>
      </c>
      <c r="DP2539" s="5" t="s">
        <v>240</v>
      </c>
      <c r="DQ2539" s="5" t="s">
        <v>240</v>
      </c>
      <c r="DR2539" s="5" t="s">
        <v>240</v>
      </c>
      <c r="DS2539" s="5" t="s">
        <v>240</v>
      </c>
      <c r="DV2539" s="5" t="s">
        <v>310</v>
      </c>
      <c r="DW2539" s="5" t="s">
        <v>3128</v>
      </c>
      <c r="HO2539" s="5" t="s">
        <v>312</v>
      </c>
    </row>
    <row r="2540" spans="1:223" x14ac:dyDescent="0.4">
      <c r="A2540" s="5">
        <v>4244</v>
      </c>
      <c r="B2540" s="5">
        <v>1</v>
      </c>
      <c r="C2540" s="5">
        <v>1</v>
      </c>
      <c r="D2540" s="5" t="s">
        <v>810</v>
      </c>
      <c r="E2540" s="5" t="s">
        <v>245</v>
      </c>
      <c r="F2540" s="5" t="s">
        <v>254</v>
      </c>
      <c r="G2540" s="5" t="s">
        <v>240</v>
      </c>
      <c r="H2540" s="6" t="s">
        <v>3467</v>
      </c>
      <c r="I2540" s="5" t="s">
        <v>809</v>
      </c>
      <c r="J2540" s="8">
        <f>286</f>
        <v>286</v>
      </c>
      <c r="K2540" s="5" t="s">
        <v>308</v>
      </c>
      <c r="L2540" s="7">
        <f>1</f>
        <v>1</v>
      </c>
      <c r="M2540" s="7">
        <f>1</f>
        <v>1</v>
      </c>
      <c r="N2540" s="5" t="s">
        <v>242</v>
      </c>
      <c r="O2540" s="5">
        <v>1</v>
      </c>
      <c r="P2540" s="5" t="s">
        <v>294</v>
      </c>
      <c r="Q2540" s="5" t="s">
        <v>266</v>
      </c>
      <c r="R2540" s="5" t="s">
        <v>240</v>
      </c>
      <c r="S2540" s="5" t="s">
        <v>240</v>
      </c>
      <c r="T2540" s="5" t="s">
        <v>296</v>
      </c>
      <c r="U2540" s="5" t="s">
        <v>244</v>
      </c>
      <c r="V2540" s="5" t="s">
        <v>240</v>
      </c>
      <c r="Y2540" s="5" t="s">
        <v>240</v>
      </c>
      <c r="Z2540" s="6" t="s">
        <v>298</v>
      </c>
      <c r="AB2540" s="6" t="s">
        <v>240</v>
      </c>
      <c r="AE2540" s="6" t="s">
        <v>299</v>
      </c>
      <c r="AF2540" s="5" t="s">
        <v>248</v>
      </c>
      <c r="AG2540" s="5" t="s">
        <v>249</v>
      </c>
      <c r="AW2540" s="5" t="s">
        <v>251</v>
      </c>
      <c r="AX2540" s="5" t="s">
        <v>240</v>
      </c>
      <c r="AY2540" s="5" t="s">
        <v>253</v>
      </c>
      <c r="AZ2540" s="5" t="s">
        <v>240</v>
      </c>
      <c r="BA2540" s="5" t="s">
        <v>255</v>
      </c>
      <c r="BB2540" s="5" t="s">
        <v>240</v>
      </c>
      <c r="BD2540" s="5" t="s">
        <v>240</v>
      </c>
      <c r="BF2540" s="5" t="s">
        <v>301</v>
      </c>
      <c r="BG2540" s="6" t="s">
        <v>299</v>
      </c>
      <c r="BH2540" s="5" t="s">
        <v>302</v>
      </c>
      <c r="BI2540" s="5" t="s">
        <v>303</v>
      </c>
      <c r="BJ2540" s="5" t="s">
        <v>240</v>
      </c>
      <c r="BK2540" s="8">
        <f>0</f>
        <v>0</v>
      </c>
      <c r="BL2540" s="7">
        <f>0</f>
        <v>0</v>
      </c>
      <c r="BM2540" s="5" t="s">
        <v>258</v>
      </c>
      <c r="BN2540" s="5" t="s">
        <v>259</v>
      </c>
      <c r="CB2540" s="5" t="s">
        <v>240</v>
      </c>
      <c r="CC2540" s="5" t="s">
        <v>240</v>
      </c>
      <c r="CG2540" s="5" t="s">
        <v>304</v>
      </c>
      <c r="CH2540" s="5" t="s">
        <v>305</v>
      </c>
      <c r="CI2540" s="5" t="s">
        <v>240</v>
      </c>
      <c r="CL2540" s="6" t="s">
        <v>261</v>
      </c>
      <c r="CM2540" s="5" t="s">
        <v>240</v>
      </c>
      <c r="CN2540" s="5" t="s">
        <v>263</v>
      </c>
      <c r="CO2540" s="5" t="s">
        <v>240</v>
      </c>
      <c r="CP2540" s="5" t="s">
        <v>240</v>
      </c>
      <c r="CQ2540" s="5">
        <v>0</v>
      </c>
      <c r="CR2540" s="5" t="s">
        <v>306</v>
      </c>
      <c r="CS2540" s="5" t="s">
        <v>307</v>
      </c>
      <c r="CT2540" s="5" t="s">
        <v>307</v>
      </c>
      <c r="CU2540" s="5" t="s">
        <v>260</v>
      </c>
      <c r="CX2540" s="7">
        <f>1</f>
        <v>1</v>
      </c>
      <c r="CY2540" s="7">
        <f>0</f>
        <v>0</v>
      </c>
      <c r="DA2540" s="7">
        <f>0</f>
        <v>0</v>
      </c>
      <c r="DC2540" s="5" t="s">
        <v>309</v>
      </c>
      <c r="DD2540" s="5" t="s">
        <v>240</v>
      </c>
      <c r="DF2540" s="5" t="s">
        <v>309</v>
      </c>
      <c r="DG2540" s="7">
        <f>94</f>
        <v>94</v>
      </c>
      <c r="DI2540" s="5" t="s">
        <v>240</v>
      </c>
      <c r="DJ2540" s="5" t="s">
        <v>240</v>
      </c>
      <c r="DK2540" s="5" t="s">
        <v>240</v>
      </c>
      <c r="DL2540" s="5" t="s">
        <v>240</v>
      </c>
      <c r="DP2540" s="5" t="s">
        <v>240</v>
      </c>
      <c r="DQ2540" s="5" t="s">
        <v>240</v>
      </c>
      <c r="DR2540" s="5" t="s">
        <v>240</v>
      </c>
      <c r="DS2540" s="5" t="s">
        <v>240</v>
      </c>
      <c r="DV2540" s="5" t="s">
        <v>310</v>
      </c>
      <c r="DW2540" s="5" t="s">
        <v>3130</v>
      </c>
      <c r="HO2540" s="5" t="s">
        <v>312</v>
      </c>
    </row>
    <row r="2541" spans="1:223" x14ac:dyDescent="0.4">
      <c r="A2541" s="5">
        <v>4245</v>
      </c>
      <c r="B2541" s="5">
        <v>1</v>
      </c>
      <c r="C2541" s="5">
        <v>1</v>
      </c>
      <c r="D2541" s="5" t="s">
        <v>810</v>
      </c>
      <c r="E2541" s="5" t="s">
        <v>245</v>
      </c>
      <c r="F2541" s="5" t="s">
        <v>254</v>
      </c>
      <c r="G2541" s="5" t="s">
        <v>240</v>
      </c>
      <c r="H2541" s="6" t="s">
        <v>4981</v>
      </c>
      <c r="I2541" s="5" t="s">
        <v>809</v>
      </c>
      <c r="J2541" s="8">
        <f>450</f>
        <v>450</v>
      </c>
      <c r="K2541" s="5" t="s">
        <v>308</v>
      </c>
      <c r="L2541" s="7">
        <f>1</f>
        <v>1</v>
      </c>
      <c r="M2541" s="7">
        <f>1</f>
        <v>1</v>
      </c>
      <c r="N2541" s="5" t="s">
        <v>242</v>
      </c>
      <c r="O2541" s="5">
        <v>1</v>
      </c>
      <c r="P2541" s="5" t="s">
        <v>294</v>
      </c>
      <c r="Q2541" s="5" t="s">
        <v>266</v>
      </c>
      <c r="R2541" s="5" t="s">
        <v>240</v>
      </c>
      <c r="S2541" s="5" t="s">
        <v>240</v>
      </c>
      <c r="T2541" s="5" t="s">
        <v>296</v>
      </c>
      <c r="U2541" s="5" t="s">
        <v>244</v>
      </c>
      <c r="V2541" s="5" t="s">
        <v>240</v>
      </c>
      <c r="Y2541" s="5" t="s">
        <v>240</v>
      </c>
      <c r="Z2541" s="6" t="s">
        <v>298</v>
      </c>
      <c r="AB2541" s="6" t="s">
        <v>240</v>
      </c>
      <c r="AE2541" s="6" t="s">
        <v>299</v>
      </c>
      <c r="AF2541" s="5" t="s">
        <v>248</v>
      </c>
      <c r="AG2541" s="5" t="s">
        <v>249</v>
      </c>
      <c r="AW2541" s="5" t="s">
        <v>251</v>
      </c>
      <c r="AX2541" s="5" t="s">
        <v>240</v>
      </c>
      <c r="AY2541" s="5" t="s">
        <v>253</v>
      </c>
      <c r="AZ2541" s="5" t="s">
        <v>240</v>
      </c>
      <c r="BA2541" s="5" t="s">
        <v>255</v>
      </c>
      <c r="BB2541" s="5" t="s">
        <v>240</v>
      </c>
      <c r="BD2541" s="5" t="s">
        <v>240</v>
      </c>
      <c r="BF2541" s="5" t="s">
        <v>301</v>
      </c>
      <c r="BG2541" s="6" t="s">
        <v>299</v>
      </c>
      <c r="BH2541" s="5" t="s">
        <v>302</v>
      </c>
      <c r="BI2541" s="5" t="s">
        <v>303</v>
      </c>
      <c r="BJ2541" s="5" t="s">
        <v>240</v>
      </c>
      <c r="BK2541" s="8">
        <f>0</f>
        <v>0</v>
      </c>
      <c r="BL2541" s="7">
        <f>0</f>
        <v>0</v>
      </c>
      <c r="BM2541" s="5" t="s">
        <v>258</v>
      </c>
      <c r="BN2541" s="5" t="s">
        <v>259</v>
      </c>
      <c r="CB2541" s="5" t="s">
        <v>240</v>
      </c>
      <c r="CC2541" s="5" t="s">
        <v>240</v>
      </c>
      <c r="CG2541" s="5" t="s">
        <v>304</v>
      </c>
      <c r="CH2541" s="5" t="s">
        <v>305</v>
      </c>
      <c r="CI2541" s="5" t="s">
        <v>240</v>
      </c>
      <c r="CL2541" s="6" t="s">
        <v>261</v>
      </c>
      <c r="CM2541" s="5" t="s">
        <v>240</v>
      </c>
      <c r="CN2541" s="5" t="s">
        <v>263</v>
      </c>
      <c r="CO2541" s="5" t="s">
        <v>240</v>
      </c>
      <c r="CP2541" s="5" t="s">
        <v>240</v>
      </c>
      <c r="CQ2541" s="5">
        <v>0</v>
      </c>
      <c r="CR2541" s="5" t="s">
        <v>306</v>
      </c>
      <c r="CS2541" s="5" t="s">
        <v>307</v>
      </c>
      <c r="CT2541" s="5" t="s">
        <v>307</v>
      </c>
      <c r="CU2541" s="5" t="s">
        <v>260</v>
      </c>
      <c r="CX2541" s="7">
        <f>1</f>
        <v>1</v>
      </c>
      <c r="CY2541" s="7">
        <f>0</f>
        <v>0</v>
      </c>
      <c r="DA2541" s="7">
        <f>0</f>
        <v>0</v>
      </c>
      <c r="DC2541" s="5" t="s">
        <v>309</v>
      </c>
      <c r="DD2541" s="5" t="s">
        <v>240</v>
      </c>
      <c r="DF2541" s="5" t="s">
        <v>309</v>
      </c>
      <c r="DG2541" s="7">
        <f>29</f>
        <v>29</v>
      </c>
      <c r="DI2541" s="5" t="s">
        <v>240</v>
      </c>
      <c r="DJ2541" s="5" t="s">
        <v>240</v>
      </c>
      <c r="DK2541" s="5" t="s">
        <v>240</v>
      </c>
      <c r="DL2541" s="5" t="s">
        <v>240</v>
      </c>
      <c r="DP2541" s="5" t="s">
        <v>240</v>
      </c>
      <c r="DQ2541" s="5" t="s">
        <v>240</v>
      </c>
      <c r="DR2541" s="5" t="s">
        <v>240</v>
      </c>
      <c r="DS2541" s="5" t="s">
        <v>240</v>
      </c>
      <c r="DV2541" s="5" t="s">
        <v>310</v>
      </c>
      <c r="DW2541" s="5" t="s">
        <v>3132</v>
      </c>
      <c r="HO2541" s="5" t="s">
        <v>312</v>
      </c>
    </row>
    <row r="2542" spans="1:223" x14ac:dyDescent="0.4">
      <c r="A2542" s="5">
        <v>4246</v>
      </c>
      <c r="B2542" s="5">
        <v>1</v>
      </c>
      <c r="C2542" s="5">
        <v>1</v>
      </c>
      <c r="D2542" s="5" t="s">
        <v>810</v>
      </c>
      <c r="E2542" s="5" t="s">
        <v>245</v>
      </c>
      <c r="F2542" s="5" t="s">
        <v>254</v>
      </c>
      <c r="G2542" s="5" t="s">
        <v>240</v>
      </c>
      <c r="H2542" s="6" t="s">
        <v>3461</v>
      </c>
      <c r="I2542" s="5" t="s">
        <v>809</v>
      </c>
      <c r="J2542" s="8">
        <f>1268</f>
        <v>1268</v>
      </c>
      <c r="K2542" s="5" t="s">
        <v>308</v>
      </c>
      <c r="L2542" s="7">
        <f>1</f>
        <v>1</v>
      </c>
      <c r="M2542" s="7">
        <f>1</f>
        <v>1</v>
      </c>
      <c r="N2542" s="5" t="s">
        <v>242</v>
      </c>
      <c r="O2542" s="5">
        <v>1</v>
      </c>
      <c r="P2542" s="5" t="s">
        <v>294</v>
      </c>
      <c r="Q2542" s="5" t="s">
        <v>266</v>
      </c>
      <c r="R2542" s="5" t="s">
        <v>240</v>
      </c>
      <c r="S2542" s="5" t="s">
        <v>240</v>
      </c>
      <c r="T2542" s="5" t="s">
        <v>296</v>
      </c>
      <c r="U2542" s="5" t="s">
        <v>244</v>
      </c>
      <c r="V2542" s="5" t="s">
        <v>240</v>
      </c>
      <c r="Y2542" s="5" t="s">
        <v>240</v>
      </c>
      <c r="Z2542" s="6" t="s">
        <v>298</v>
      </c>
      <c r="AB2542" s="6" t="s">
        <v>240</v>
      </c>
      <c r="AE2542" s="6" t="s">
        <v>299</v>
      </c>
      <c r="AF2542" s="5" t="s">
        <v>248</v>
      </c>
      <c r="AG2542" s="5" t="s">
        <v>249</v>
      </c>
      <c r="AW2542" s="5" t="s">
        <v>251</v>
      </c>
      <c r="AX2542" s="5" t="s">
        <v>240</v>
      </c>
      <c r="AY2542" s="5" t="s">
        <v>253</v>
      </c>
      <c r="AZ2542" s="5" t="s">
        <v>240</v>
      </c>
      <c r="BA2542" s="5" t="s">
        <v>255</v>
      </c>
      <c r="BB2542" s="5" t="s">
        <v>240</v>
      </c>
      <c r="BD2542" s="5" t="s">
        <v>240</v>
      </c>
      <c r="BF2542" s="5" t="s">
        <v>301</v>
      </c>
      <c r="BG2542" s="6" t="s">
        <v>299</v>
      </c>
      <c r="BH2542" s="5" t="s">
        <v>302</v>
      </c>
      <c r="BI2542" s="5" t="s">
        <v>303</v>
      </c>
      <c r="BJ2542" s="5" t="s">
        <v>240</v>
      </c>
      <c r="BK2542" s="8">
        <f>0</f>
        <v>0</v>
      </c>
      <c r="BL2542" s="7">
        <f>0</f>
        <v>0</v>
      </c>
      <c r="BM2542" s="5" t="s">
        <v>258</v>
      </c>
      <c r="BN2542" s="5" t="s">
        <v>259</v>
      </c>
      <c r="CB2542" s="5" t="s">
        <v>240</v>
      </c>
      <c r="CC2542" s="5" t="s">
        <v>240</v>
      </c>
      <c r="CG2542" s="5" t="s">
        <v>304</v>
      </c>
      <c r="CH2542" s="5" t="s">
        <v>305</v>
      </c>
      <c r="CI2542" s="5" t="s">
        <v>240</v>
      </c>
      <c r="CL2542" s="6" t="s">
        <v>261</v>
      </c>
      <c r="CM2542" s="5" t="s">
        <v>240</v>
      </c>
      <c r="CN2542" s="5" t="s">
        <v>263</v>
      </c>
      <c r="CO2542" s="5" t="s">
        <v>240</v>
      </c>
      <c r="CP2542" s="5" t="s">
        <v>240</v>
      </c>
      <c r="CQ2542" s="5">
        <v>0</v>
      </c>
      <c r="CR2542" s="5" t="s">
        <v>306</v>
      </c>
      <c r="CS2542" s="5" t="s">
        <v>307</v>
      </c>
      <c r="CT2542" s="5" t="s">
        <v>307</v>
      </c>
      <c r="CU2542" s="5" t="s">
        <v>260</v>
      </c>
      <c r="CX2542" s="7">
        <f>1</f>
        <v>1</v>
      </c>
      <c r="CY2542" s="7">
        <f>0</f>
        <v>0</v>
      </c>
      <c r="DA2542" s="7">
        <f>0</f>
        <v>0</v>
      </c>
      <c r="DC2542" s="5" t="s">
        <v>309</v>
      </c>
      <c r="DD2542" s="5" t="s">
        <v>240</v>
      </c>
      <c r="DF2542" s="5" t="s">
        <v>309</v>
      </c>
      <c r="DG2542" s="7">
        <f>94</f>
        <v>94</v>
      </c>
      <c r="DI2542" s="5" t="s">
        <v>240</v>
      </c>
      <c r="DJ2542" s="5" t="s">
        <v>240</v>
      </c>
      <c r="DK2542" s="5" t="s">
        <v>240</v>
      </c>
      <c r="DL2542" s="5" t="s">
        <v>240</v>
      </c>
      <c r="DP2542" s="5" t="s">
        <v>240</v>
      </c>
      <c r="DQ2542" s="5" t="s">
        <v>240</v>
      </c>
      <c r="DR2542" s="5" t="s">
        <v>240</v>
      </c>
      <c r="DS2542" s="5" t="s">
        <v>240</v>
      </c>
      <c r="DV2542" s="5" t="s">
        <v>310</v>
      </c>
      <c r="DW2542" s="5" t="s">
        <v>3134</v>
      </c>
      <c r="HO2542" s="5" t="s">
        <v>312</v>
      </c>
    </row>
    <row r="2543" spans="1:223" x14ac:dyDescent="0.4">
      <c r="A2543" s="5">
        <v>4247</v>
      </c>
      <c r="B2543" s="5">
        <v>1</v>
      </c>
      <c r="C2543" s="5">
        <v>1</v>
      </c>
      <c r="D2543" s="5" t="s">
        <v>810</v>
      </c>
      <c r="E2543" s="5" t="s">
        <v>245</v>
      </c>
      <c r="F2543" s="5" t="s">
        <v>254</v>
      </c>
      <c r="G2543" s="5" t="s">
        <v>240</v>
      </c>
      <c r="H2543" s="6" t="s">
        <v>3459</v>
      </c>
      <c r="I2543" s="5" t="s">
        <v>809</v>
      </c>
      <c r="J2543" s="8">
        <f>105</f>
        <v>105</v>
      </c>
      <c r="K2543" s="5" t="s">
        <v>308</v>
      </c>
      <c r="L2543" s="7">
        <f>1</f>
        <v>1</v>
      </c>
      <c r="M2543" s="7">
        <f>1</f>
        <v>1</v>
      </c>
      <c r="N2543" s="5" t="s">
        <v>242</v>
      </c>
      <c r="O2543" s="5">
        <v>1</v>
      </c>
      <c r="P2543" s="5" t="s">
        <v>294</v>
      </c>
      <c r="Q2543" s="5" t="s">
        <v>266</v>
      </c>
      <c r="R2543" s="5" t="s">
        <v>240</v>
      </c>
      <c r="S2543" s="5" t="s">
        <v>240</v>
      </c>
      <c r="T2543" s="5" t="s">
        <v>296</v>
      </c>
      <c r="U2543" s="5" t="s">
        <v>244</v>
      </c>
      <c r="V2543" s="5" t="s">
        <v>240</v>
      </c>
      <c r="Y2543" s="5" t="s">
        <v>240</v>
      </c>
      <c r="Z2543" s="6" t="s">
        <v>298</v>
      </c>
      <c r="AB2543" s="6" t="s">
        <v>240</v>
      </c>
      <c r="AE2543" s="6" t="s">
        <v>299</v>
      </c>
      <c r="AF2543" s="5" t="s">
        <v>248</v>
      </c>
      <c r="AG2543" s="5" t="s">
        <v>249</v>
      </c>
      <c r="AW2543" s="5" t="s">
        <v>251</v>
      </c>
      <c r="AX2543" s="5" t="s">
        <v>240</v>
      </c>
      <c r="AY2543" s="5" t="s">
        <v>253</v>
      </c>
      <c r="AZ2543" s="5" t="s">
        <v>240</v>
      </c>
      <c r="BA2543" s="5" t="s">
        <v>255</v>
      </c>
      <c r="BB2543" s="5" t="s">
        <v>240</v>
      </c>
      <c r="BD2543" s="5" t="s">
        <v>240</v>
      </c>
      <c r="BF2543" s="5" t="s">
        <v>301</v>
      </c>
      <c r="BG2543" s="6" t="s">
        <v>299</v>
      </c>
      <c r="BH2543" s="5" t="s">
        <v>302</v>
      </c>
      <c r="BI2543" s="5" t="s">
        <v>303</v>
      </c>
      <c r="BJ2543" s="5" t="s">
        <v>240</v>
      </c>
      <c r="BK2543" s="8">
        <f>0</f>
        <v>0</v>
      </c>
      <c r="BL2543" s="7">
        <f>0</f>
        <v>0</v>
      </c>
      <c r="BM2543" s="5" t="s">
        <v>258</v>
      </c>
      <c r="BN2543" s="5" t="s">
        <v>259</v>
      </c>
      <c r="CB2543" s="5" t="s">
        <v>240</v>
      </c>
      <c r="CC2543" s="5" t="s">
        <v>240</v>
      </c>
      <c r="CG2543" s="5" t="s">
        <v>304</v>
      </c>
      <c r="CH2543" s="5" t="s">
        <v>305</v>
      </c>
      <c r="CI2543" s="5" t="s">
        <v>240</v>
      </c>
      <c r="CL2543" s="6" t="s">
        <v>261</v>
      </c>
      <c r="CM2543" s="5" t="s">
        <v>240</v>
      </c>
      <c r="CN2543" s="5" t="s">
        <v>263</v>
      </c>
      <c r="CO2543" s="5" t="s">
        <v>240</v>
      </c>
      <c r="CP2543" s="5" t="s">
        <v>240</v>
      </c>
      <c r="CQ2543" s="5">
        <v>0</v>
      </c>
      <c r="CR2543" s="5" t="s">
        <v>306</v>
      </c>
      <c r="CS2543" s="5" t="s">
        <v>307</v>
      </c>
      <c r="CT2543" s="5" t="s">
        <v>307</v>
      </c>
      <c r="CU2543" s="5" t="s">
        <v>260</v>
      </c>
      <c r="CX2543" s="7">
        <f>1</f>
        <v>1</v>
      </c>
      <c r="CY2543" s="7">
        <f>0</f>
        <v>0</v>
      </c>
      <c r="DA2543" s="7">
        <f>0</f>
        <v>0</v>
      </c>
      <c r="DC2543" s="5" t="s">
        <v>309</v>
      </c>
      <c r="DD2543" s="5" t="s">
        <v>240</v>
      </c>
      <c r="DF2543" s="5" t="s">
        <v>309</v>
      </c>
      <c r="DG2543" s="7">
        <f>10</f>
        <v>10</v>
      </c>
      <c r="DI2543" s="5" t="s">
        <v>240</v>
      </c>
      <c r="DJ2543" s="5" t="s">
        <v>240</v>
      </c>
      <c r="DK2543" s="5" t="s">
        <v>240</v>
      </c>
      <c r="DL2543" s="5" t="s">
        <v>240</v>
      </c>
      <c r="DP2543" s="5" t="s">
        <v>240</v>
      </c>
      <c r="DQ2543" s="5" t="s">
        <v>240</v>
      </c>
      <c r="DR2543" s="5" t="s">
        <v>240</v>
      </c>
      <c r="DS2543" s="5" t="s">
        <v>240</v>
      </c>
      <c r="DV2543" s="5" t="s">
        <v>310</v>
      </c>
      <c r="DW2543" s="5" t="s">
        <v>3136</v>
      </c>
      <c r="HO2543" s="5" t="s">
        <v>312</v>
      </c>
    </row>
    <row r="2544" spans="1:223" x14ac:dyDescent="0.4">
      <c r="A2544" s="5">
        <v>4248</v>
      </c>
      <c r="B2544" s="5">
        <v>1</v>
      </c>
      <c r="C2544" s="5">
        <v>1</v>
      </c>
      <c r="D2544" s="5" t="s">
        <v>810</v>
      </c>
      <c r="E2544" s="5" t="s">
        <v>245</v>
      </c>
      <c r="F2544" s="5" t="s">
        <v>254</v>
      </c>
      <c r="G2544" s="5" t="s">
        <v>240</v>
      </c>
      <c r="H2544" s="6" t="s">
        <v>3457</v>
      </c>
      <c r="I2544" s="5" t="s">
        <v>809</v>
      </c>
      <c r="J2544" s="8">
        <f>72</f>
        <v>72</v>
      </c>
      <c r="K2544" s="5" t="s">
        <v>308</v>
      </c>
      <c r="L2544" s="7">
        <f>1</f>
        <v>1</v>
      </c>
      <c r="M2544" s="7">
        <f>1</f>
        <v>1</v>
      </c>
      <c r="N2544" s="5" t="s">
        <v>242</v>
      </c>
      <c r="O2544" s="5">
        <v>1</v>
      </c>
      <c r="P2544" s="5" t="s">
        <v>294</v>
      </c>
      <c r="Q2544" s="5" t="s">
        <v>266</v>
      </c>
      <c r="R2544" s="5" t="s">
        <v>240</v>
      </c>
      <c r="S2544" s="5" t="s">
        <v>240</v>
      </c>
      <c r="T2544" s="5" t="s">
        <v>296</v>
      </c>
      <c r="U2544" s="5" t="s">
        <v>244</v>
      </c>
      <c r="V2544" s="5" t="s">
        <v>240</v>
      </c>
      <c r="Y2544" s="5" t="s">
        <v>240</v>
      </c>
      <c r="Z2544" s="6" t="s">
        <v>298</v>
      </c>
      <c r="AB2544" s="6" t="s">
        <v>240</v>
      </c>
      <c r="AE2544" s="6" t="s">
        <v>299</v>
      </c>
      <c r="AF2544" s="5" t="s">
        <v>248</v>
      </c>
      <c r="AG2544" s="5" t="s">
        <v>249</v>
      </c>
      <c r="AW2544" s="5" t="s">
        <v>251</v>
      </c>
      <c r="AX2544" s="5" t="s">
        <v>240</v>
      </c>
      <c r="AY2544" s="5" t="s">
        <v>253</v>
      </c>
      <c r="AZ2544" s="5" t="s">
        <v>240</v>
      </c>
      <c r="BA2544" s="5" t="s">
        <v>255</v>
      </c>
      <c r="BB2544" s="5" t="s">
        <v>240</v>
      </c>
      <c r="BD2544" s="5" t="s">
        <v>240</v>
      </c>
      <c r="BF2544" s="5" t="s">
        <v>301</v>
      </c>
      <c r="BG2544" s="6" t="s">
        <v>299</v>
      </c>
      <c r="BH2544" s="5" t="s">
        <v>302</v>
      </c>
      <c r="BI2544" s="5" t="s">
        <v>303</v>
      </c>
      <c r="BJ2544" s="5" t="s">
        <v>240</v>
      </c>
      <c r="BK2544" s="8">
        <f>0</f>
        <v>0</v>
      </c>
      <c r="BL2544" s="7">
        <f>0</f>
        <v>0</v>
      </c>
      <c r="BM2544" s="5" t="s">
        <v>258</v>
      </c>
      <c r="BN2544" s="5" t="s">
        <v>259</v>
      </c>
      <c r="CB2544" s="5" t="s">
        <v>240</v>
      </c>
      <c r="CC2544" s="5" t="s">
        <v>240</v>
      </c>
      <c r="CG2544" s="5" t="s">
        <v>304</v>
      </c>
      <c r="CH2544" s="5" t="s">
        <v>305</v>
      </c>
      <c r="CI2544" s="5" t="s">
        <v>240</v>
      </c>
      <c r="CL2544" s="6" t="s">
        <v>261</v>
      </c>
      <c r="CM2544" s="5" t="s">
        <v>240</v>
      </c>
      <c r="CN2544" s="5" t="s">
        <v>263</v>
      </c>
      <c r="CO2544" s="5" t="s">
        <v>240</v>
      </c>
      <c r="CP2544" s="5" t="s">
        <v>240</v>
      </c>
      <c r="CQ2544" s="5">
        <v>0</v>
      </c>
      <c r="CR2544" s="5" t="s">
        <v>306</v>
      </c>
      <c r="CS2544" s="5" t="s">
        <v>307</v>
      </c>
      <c r="CT2544" s="5" t="s">
        <v>307</v>
      </c>
      <c r="CU2544" s="5" t="s">
        <v>260</v>
      </c>
      <c r="CX2544" s="7">
        <f>1</f>
        <v>1</v>
      </c>
      <c r="CY2544" s="7">
        <f>0</f>
        <v>0</v>
      </c>
      <c r="DA2544" s="7">
        <f>0</f>
        <v>0</v>
      </c>
      <c r="DC2544" s="5" t="s">
        <v>309</v>
      </c>
      <c r="DD2544" s="5" t="s">
        <v>240</v>
      </c>
      <c r="DF2544" s="5" t="s">
        <v>309</v>
      </c>
      <c r="DG2544" s="7">
        <f>604</f>
        <v>604</v>
      </c>
      <c r="DI2544" s="5" t="s">
        <v>240</v>
      </c>
      <c r="DJ2544" s="5" t="s">
        <v>240</v>
      </c>
      <c r="DK2544" s="5" t="s">
        <v>240</v>
      </c>
      <c r="DL2544" s="5" t="s">
        <v>240</v>
      </c>
      <c r="DP2544" s="5" t="s">
        <v>240</v>
      </c>
      <c r="DQ2544" s="5" t="s">
        <v>240</v>
      </c>
      <c r="DR2544" s="5" t="s">
        <v>240</v>
      </c>
      <c r="DS2544" s="5" t="s">
        <v>240</v>
      </c>
      <c r="DV2544" s="5" t="s">
        <v>310</v>
      </c>
      <c r="DW2544" s="5" t="s">
        <v>3138</v>
      </c>
      <c r="HO2544" s="5" t="s">
        <v>312</v>
      </c>
    </row>
    <row r="2545" spans="1:223" x14ac:dyDescent="0.4">
      <c r="A2545" s="5">
        <v>4249</v>
      </c>
      <c r="B2545" s="5">
        <v>1</v>
      </c>
      <c r="C2545" s="5">
        <v>1</v>
      </c>
      <c r="D2545" s="5" t="s">
        <v>810</v>
      </c>
      <c r="E2545" s="5" t="s">
        <v>245</v>
      </c>
      <c r="F2545" s="5" t="s">
        <v>254</v>
      </c>
      <c r="G2545" s="5" t="s">
        <v>240</v>
      </c>
      <c r="H2545" s="6" t="s">
        <v>4978</v>
      </c>
      <c r="I2545" s="5" t="s">
        <v>809</v>
      </c>
      <c r="J2545" s="8">
        <f>246</f>
        <v>246</v>
      </c>
      <c r="K2545" s="5" t="s">
        <v>308</v>
      </c>
      <c r="L2545" s="7">
        <f>1</f>
        <v>1</v>
      </c>
      <c r="M2545" s="7">
        <f>1</f>
        <v>1</v>
      </c>
      <c r="N2545" s="5" t="s">
        <v>242</v>
      </c>
      <c r="O2545" s="5">
        <v>1</v>
      </c>
      <c r="P2545" s="5" t="s">
        <v>294</v>
      </c>
      <c r="Q2545" s="5" t="s">
        <v>266</v>
      </c>
      <c r="R2545" s="5" t="s">
        <v>240</v>
      </c>
      <c r="S2545" s="5" t="s">
        <v>240</v>
      </c>
      <c r="T2545" s="5" t="s">
        <v>296</v>
      </c>
      <c r="U2545" s="5" t="s">
        <v>244</v>
      </c>
      <c r="V2545" s="5" t="s">
        <v>240</v>
      </c>
      <c r="Y2545" s="5" t="s">
        <v>240</v>
      </c>
      <c r="Z2545" s="6" t="s">
        <v>298</v>
      </c>
      <c r="AB2545" s="6" t="s">
        <v>240</v>
      </c>
      <c r="AE2545" s="6" t="s">
        <v>299</v>
      </c>
      <c r="AF2545" s="5" t="s">
        <v>248</v>
      </c>
      <c r="AG2545" s="5" t="s">
        <v>249</v>
      </c>
      <c r="AW2545" s="5" t="s">
        <v>251</v>
      </c>
      <c r="AX2545" s="5" t="s">
        <v>240</v>
      </c>
      <c r="AY2545" s="5" t="s">
        <v>253</v>
      </c>
      <c r="AZ2545" s="5" t="s">
        <v>240</v>
      </c>
      <c r="BA2545" s="5" t="s">
        <v>255</v>
      </c>
      <c r="BB2545" s="5" t="s">
        <v>240</v>
      </c>
      <c r="BD2545" s="5" t="s">
        <v>240</v>
      </c>
      <c r="BF2545" s="5" t="s">
        <v>301</v>
      </c>
      <c r="BG2545" s="6" t="s">
        <v>299</v>
      </c>
      <c r="BH2545" s="5" t="s">
        <v>302</v>
      </c>
      <c r="BI2545" s="5" t="s">
        <v>303</v>
      </c>
      <c r="BJ2545" s="5" t="s">
        <v>240</v>
      </c>
      <c r="BK2545" s="8">
        <f>0</f>
        <v>0</v>
      </c>
      <c r="BL2545" s="7">
        <f>0</f>
        <v>0</v>
      </c>
      <c r="BM2545" s="5" t="s">
        <v>258</v>
      </c>
      <c r="BN2545" s="5" t="s">
        <v>259</v>
      </c>
      <c r="CB2545" s="5" t="s">
        <v>240</v>
      </c>
      <c r="CC2545" s="5" t="s">
        <v>240</v>
      </c>
      <c r="CG2545" s="5" t="s">
        <v>304</v>
      </c>
      <c r="CH2545" s="5" t="s">
        <v>305</v>
      </c>
      <c r="CI2545" s="5" t="s">
        <v>240</v>
      </c>
      <c r="CL2545" s="6" t="s">
        <v>261</v>
      </c>
      <c r="CM2545" s="5" t="s">
        <v>240</v>
      </c>
      <c r="CN2545" s="5" t="s">
        <v>263</v>
      </c>
      <c r="CO2545" s="5" t="s">
        <v>240</v>
      </c>
      <c r="CP2545" s="5" t="s">
        <v>240</v>
      </c>
      <c r="CQ2545" s="5">
        <v>0</v>
      </c>
      <c r="CR2545" s="5" t="s">
        <v>306</v>
      </c>
      <c r="CS2545" s="5" t="s">
        <v>307</v>
      </c>
      <c r="CT2545" s="5" t="s">
        <v>307</v>
      </c>
      <c r="CU2545" s="5" t="s">
        <v>260</v>
      </c>
      <c r="CX2545" s="7">
        <f>1</f>
        <v>1</v>
      </c>
      <c r="CY2545" s="7">
        <f>0</f>
        <v>0</v>
      </c>
      <c r="DA2545" s="7">
        <f>0</f>
        <v>0</v>
      </c>
      <c r="DC2545" s="5" t="s">
        <v>309</v>
      </c>
      <c r="DD2545" s="5" t="s">
        <v>240</v>
      </c>
      <c r="DF2545" s="5" t="s">
        <v>309</v>
      </c>
      <c r="DG2545" s="7">
        <f>2041</f>
        <v>2041</v>
      </c>
      <c r="DI2545" s="5" t="s">
        <v>240</v>
      </c>
      <c r="DJ2545" s="5" t="s">
        <v>240</v>
      </c>
      <c r="DK2545" s="5" t="s">
        <v>240</v>
      </c>
      <c r="DL2545" s="5" t="s">
        <v>240</v>
      </c>
      <c r="DP2545" s="5" t="s">
        <v>240</v>
      </c>
      <c r="DQ2545" s="5" t="s">
        <v>240</v>
      </c>
      <c r="DR2545" s="5" t="s">
        <v>240</v>
      </c>
      <c r="DS2545" s="5" t="s">
        <v>240</v>
      </c>
      <c r="DV2545" s="5" t="s">
        <v>310</v>
      </c>
      <c r="DW2545" s="5" t="s">
        <v>3140</v>
      </c>
      <c r="HO2545" s="5" t="s">
        <v>312</v>
      </c>
    </row>
    <row r="2546" spans="1:223" x14ac:dyDescent="0.4">
      <c r="A2546" s="5">
        <v>4250</v>
      </c>
      <c r="B2546" s="5">
        <v>1</v>
      </c>
      <c r="C2546" s="5">
        <v>1</v>
      </c>
      <c r="D2546" s="5" t="s">
        <v>810</v>
      </c>
      <c r="E2546" s="5" t="s">
        <v>245</v>
      </c>
      <c r="F2546" s="5" t="s">
        <v>254</v>
      </c>
      <c r="G2546" s="5" t="s">
        <v>240</v>
      </c>
      <c r="H2546" s="6" t="s">
        <v>3452</v>
      </c>
      <c r="I2546" s="5" t="s">
        <v>809</v>
      </c>
      <c r="J2546" s="8">
        <f>174</f>
        <v>174</v>
      </c>
      <c r="K2546" s="5" t="s">
        <v>308</v>
      </c>
      <c r="L2546" s="7">
        <f>1</f>
        <v>1</v>
      </c>
      <c r="M2546" s="7">
        <f>1</f>
        <v>1</v>
      </c>
      <c r="N2546" s="5" t="s">
        <v>242</v>
      </c>
      <c r="O2546" s="5">
        <v>1</v>
      </c>
      <c r="P2546" s="5" t="s">
        <v>294</v>
      </c>
      <c r="Q2546" s="5" t="s">
        <v>266</v>
      </c>
      <c r="R2546" s="5" t="s">
        <v>240</v>
      </c>
      <c r="S2546" s="5" t="s">
        <v>240</v>
      </c>
      <c r="T2546" s="5" t="s">
        <v>296</v>
      </c>
      <c r="U2546" s="5" t="s">
        <v>244</v>
      </c>
      <c r="V2546" s="5" t="s">
        <v>240</v>
      </c>
      <c r="Y2546" s="5" t="s">
        <v>240</v>
      </c>
      <c r="Z2546" s="6" t="s">
        <v>298</v>
      </c>
      <c r="AB2546" s="6" t="s">
        <v>240</v>
      </c>
      <c r="AE2546" s="6" t="s">
        <v>299</v>
      </c>
      <c r="AF2546" s="5" t="s">
        <v>248</v>
      </c>
      <c r="AG2546" s="5" t="s">
        <v>249</v>
      </c>
      <c r="AW2546" s="5" t="s">
        <v>251</v>
      </c>
      <c r="AX2546" s="5" t="s">
        <v>240</v>
      </c>
      <c r="AY2546" s="5" t="s">
        <v>253</v>
      </c>
      <c r="AZ2546" s="5" t="s">
        <v>240</v>
      </c>
      <c r="BA2546" s="5" t="s">
        <v>255</v>
      </c>
      <c r="BB2546" s="5" t="s">
        <v>240</v>
      </c>
      <c r="BD2546" s="5" t="s">
        <v>240</v>
      </c>
      <c r="BF2546" s="5" t="s">
        <v>301</v>
      </c>
      <c r="BG2546" s="6" t="s">
        <v>299</v>
      </c>
      <c r="BH2546" s="5" t="s">
        <v>302</v>
      </c>
      <c r="BI2546" s="5" t="s">
        <v>303</v>
      </c>
      <c r="BJ2546" s="5" t="s">
        <v>240</v>
      </c>
      <c r="BK2546" s="8">
        <f>0</f>
        <v>0</v>
      </c>
      <c r="BL2546" s="7">
        <f>0</f>
        <v>0</v>
      </c>
      <c r="BM2546" s="5" t="s">
        <v>258</v>
      </c>
      <c r="BN2546" s="5" t="s">
        <v>259</v>
      </c>
      <c r="CB2546" s="5" t="s">
        <v>240</v>
      </c>
      <c r="CC2546" s="5" t="s">
        <v>240</v>
      </c>
      <c r="CG2546" s="5" t="s">
        <v>304</v>
      </c>
      <c r="CH2546" s="5" t="s">
        <v>305</v>
      </c>
      <c r="CI2546" s="5" t="s">
        <v>240</v>
      </c>
      <c r="CL2546" s="6" t="s">
        <v>261</v>
      </c>
      <c r="CM2546" s="5" t="s">
        <v>240</v>
      </c>
      <c r="CN2546" s="5" t="s">
        <v>263</v>
      </c>
      <c r="CO2546" s="5" t="s">
        <v>240</v>
      </c>
      <c r="CP2546" s="5" t="s">
        <v>240</v>
      </c>
      <c r="CQ2546" s="5">
        <v>0</v>
      </c>
      <c r="CR2546" s="5" t="s">
        <v>306</v>
      </c>
      <c r="CS2546" s="5" t="s">
        <v>307</v>
      </c>
      <c r="CT2546" s="5" t="s">
        <v>307</v>
      </c>
      <c r="CU2546" s="5" t="s">
        <v>260</v>
      </c>
      <c r="CX2546" s="7">
        <f>1</f>
        <v>1</v>
      </c>
      <c r="CY2546" s="7">
        <f>0</f>
        <v>0</v>
      </c>
      <c r="DA2546" s="7">
        <f>0</f>
        <v>0</v>
      </c>
      <c r="DC2546" s="5" t="s">
        <v>309</v>
      </c>
      <c r="DD2546" s="5" t="s">
        <v>240</v>
      </c>
      <c r="DF2546" s="5" t="s">
        <v>309</v>
      </c>
      <c r="DG2546" s="7">
        <f>648</f>
        <v>648</v>
      </c>
      <c r="DI2546" s="5" t="s">
        <v>240</v>
      </c>
      <c r="DJ2546" s="5" t="s">
        <v>240</v>
      </c>
      <c r="DK2546" s="5" t="s">
        <v>240</v>
      </c>
      <c r="DL2546" s="5" t="s">
        <v>240</v>
      </c>
      <c r="DP2546" s="5" t="s">
        <v>240</v>
      </c>
      <c r="DQ2546" s="5" t="s">
        <v>240</v>
      </c>
      <c r="DR2546" s="5" t="s">
        <v>240</v>
      </c>
      <c r="DS2546" s="5" t="s">
        <v>240</v>
      </c>
      <c r="DV2546" s="5" t="s">
        <v>310</v>
      </c>
      <c r="DW2546" s="5" t="s">
        <v>3142</v>
      </c>
      <c r="HO2546" s="5" t="s">
        <v>312</v>
      </c>
    </row>
    <row r="2547" spans="1:223" x14ac:dyDescent="0.4">
      <c r="A2547" s="5">
        <v>4251</v>
      </c>
      <c r="B2547" s="5">
        <v>1</v>
      </c>
      <c r="C2547" s="5">
        <v>1</v>
      </c>
      <c r="D2547" s="5" t="s">
        <v>810</v>
      </c>
      <c r="E2547" s="5" t="s">
        <v>245</v>
      </c>
      <c r="F2547" s="5" t="s">
        <v>254</v>
      </c>
      <c r="G2547" s="5" t="s">
        <v>240</v>
      </c>
      <c r="H2547" s="6" t="s">
        <v>3450</v>
      </c>
      <c r="I2547" s="5" t="s">
        <v>809</v>
      </c>
      <c r="J2547" s="8">
        <f>1752</f>
        <v>1752</v>
      </c>
      <c r="K2547" s="5" t="s">
        <v>308</v>
      </c>
      <c r="L2547" s="7">
        <f>1</f>
        <v>1</v>
      </c>
      <c r="M2547" s="7">
        <f>1</f>
        <v>1</v>
      </c>
      <c r="N2547" s="5" t="s">
        <v>242</v>
      </c>
      <c r="O2547" s="5">
        <v>1</v>
      </c>
      <c r="P2547" s="5" t="s">
        <v>294</v>
      </c>
      <c r="Q2547" s="5" t="s">
        <v>266</v>
      </c>
      <c r="R2547" s="5" t="s">
        <v>240</v>
      </c>
      <c r="S2547" s="5" t="s">
        <v>240</v>
      </c>
      <c r="T2547" s="5" t="s">
        <v>296</v>
      </c>
      <c r="U2547" s="5" t="s">
        <v>244</v>
      </c>
      <c r="V2547" s="5" t="s">
        <v>240</v>
      </c>
      <c r="Y2547" s="5" t="s">
        <v>240</v>
      </c>
      <c r="Z2547" s="6" t="s">
        <v>298</v>
      </c>
      <c r="AB2547" s="6" t="s">
        <v>240</v>
      </c>
      <c r="AE2547" s="6" t="s">
        <v>299</v>
      </c>
      <c r="AF2547" s="5" t="s">
        <v>248</v>
      </c>
      <c r="AG2547" s="5" t="s">
        <v>249</v>
      </c>
      <c r="AW2547" s="5" t="s">
        <v>251</v>
      </c>
      <c r="AX2547" s="5" t="s">
        <v>240</v>
      </c>
      <c r="AY2547" s="5" t="s">
        <v>253</v>
      </c>
      <c r="AZ2547" s="5" t="s">
        <v>240</v>
      </c>
      <c r="BA2547" s="5" t="s">
        <v>255</v>
      </c>
      <c r="BB2547" s="5" t="s">
        <v>240</v>
      </c>
      <c r="BD2547" s="5" t="s">
        <v>240</v>
      </c>
      <c r="BF2547" s="5" t="s">
        <v>301</v>
      </c>
      <c r="BG2547" s="6" t="s">
        <v>299</v>
      </c>
      <c r="BH2547" s="5" t="s">
        <v>302</v>
      </c>
      <c r="BI2547" s="5" t="s">
        <v>303</v>
      </c>
      <c r="BJ2547" s="5" t="s">
        <v>240</v>
      </c>
      <c r="BK2547" s="8">
        <f>0</f>
        <v>0</v>
      </c>
      <c r="BL2547" s="7">
        <f>0</f>
        <v>0</v>
      </c>
      <c r="BM2547" s="5" t="s">
        <v>258</v>
      </c>
      <c r="BN2547" s="5" t="s">
        <v>259</v>
      </c>
      <c r="CB2547" s="5" t="s">
        <v>240</v>
      </c>
      <c r="CC2547" s="5" t="s">
        <v>240</v>
      </c>
      <c r="CG2547" s="5" t="s">
        <v>304</v>
      </c>
      <c r="CH2547" s="5" t="s">
        <v>305</v>
      </c>
      <c r="CI2547" s="5" t="s">
        <v>240</v>
      </c>
      <c r="CL2547" s="6" t="s">
        <v>261</v>
      </c>
      <c r="CM2547" s="5" t="s">
        <v>240</v>
      </c>
      <c r="CN2547" s="5" t="s">
        <v>263</v>
      </c>
      <c r="CO2547" s="5" t="s">
        <v>240</v>
      </c>
      <c r="CP2547" s="5" t="s">
        <v>240</v>
      </c>
      <c r="CQ2547" s="5">
        <v>0</v>
      </c>
      <c r="CR2547" s="5" t="s">
        <v>306</v>
      </c>
      <c r="CS2547" s="5" t="s">
        <v>307</v>
      </c>
      <c r="CT2547" s="5" t="s">
        <v>307</v>
      </c>
      <c r="CU2547" s="5" t="s">
        <v>260</v>
      </c>
      <c r="CX2547" s="7">
        <f>1</f>
        <v>1</v>
      </c>
      <c r="CY2547" s="7">
        <f>0</f>
        <v>0</v>
      </c>
      <c r="DA2547" s="7">
        <f>0</f>
        <v>0</v>
      </c>
      <c r="DC2547" s="5" t="s">
        <v>309</v>
      </c>
      <c r="DD2547" s="5" t="s">
        <v>240</v>
      </c>
      <c r="DF2547" s="5" t="s">
        <v>309</v>
      </c>
      <c r="DG2547" s="7">
        <f>852</f>
        <v>852</v>
      </c>
      <c r="DI2547" s="5" t="s">
        <v>240</v>
      </c>
      <c r="DJ2547" s="5" t="s">
        <v>240</v>
      </c>
      <c r="DK2547" s="5" t="s">
        <v>240</v>
      </c>
      <c r="DL2547" s="5" t="s">
        <v>240</v>
      </c>
      <c r="DP2547" s="5" t="s">
        <v>240</v>
      </c>
      <c r="DQ2547" s="5" t="s">
        <v>240</v>
      </c>
      <c r="DR2547" s="5" t="s">
        <v>240</v>
      </c>
      <c r="DS2547" s="5" t="s">
        <v>240</v>
      </c>
      <c r="DV2547" s="5" t="s">
        <v>310</v>
      </c>
      <c r="DW2547" s="5" t="s">
        <v>3144</v>
      </c>
      <c r="HO2547" s="5" t="s">
        <v>312</v>
      </c>
    </row>
    <row r="2548" spans="1:223" x14ac:dyDescent="0.4">
      <c r="A2548" s="5">
        <v>4252</v>
      </c>
      <c r="B2548" s="5">
        <v>1</v>
      </c>
      <c r="C2548" s="5">
        <v>1</v>
      </c>
      <c r="D2548" s="5" t="s">
        <v>810</v>
      </c>
      <c r="E2548" s="5" t="s">
        <v>245</v>
      </c>
      <c r="F2548" s="5" t="s">
        <v>254</v>
      </c>
      <c r="G2548" s="5" t="s">
        <v>240</v>
      </c>
      <c r="H2548" s="6" t="s">
        <v>3448</v>
      </c>
      <c r="I2548" s="5" t="s">
        <v>809</v>
      </c>
      <c r="J2548" s="8">
        <f>122</f>
        <v>122</v>
      </c>
      <c r="K2548" s="5" t="s">
        <v>308</v>
      </c>
      <c r="L2548" s="7">
        <f>1</f>
        <v>1</v>
      </c>
      <c r="M2548" s="7">
        <f>1</f>
        <v>1</v>
      </c>
      <c r="N2548" s="5" t="s">
        <v>242</v>
      </c>
      <c r="O2548" s="5">
        <v>1</v>
      </c>
      <c r="P2548" s="5" t="s">
        <v>294</v>
      </c>
      <c r="Q2548" s="5" t="s">
        <v>266</v>
      </c>
      <c r="R2548" s="5" t="s">
        <v>240</v>
      </c>
      <c r="S2548" s="5" t="s">
        <v>240</v>
      </c>
      <c r="T2548" s="5" t="s">
        <v>296</v>
      </c>
      <c r="U2548" s="5" t="s">
        <v>244</v>
      </c>
      <c r="V2548" s="5" t="s">
        <v>240</v>
      </c>
      <c r="Y2548" s="5" t="s">
        <v>240</v>
      </c>
      <c r="Z2548" s="6" t="s">
        <v>298</v>
      </c>
      <c r="AB2548" s="6" t="s">
        <v>240</v>
      </c>
      <c r="AE2548" s="6" t="s">
        <v>299</v>
      </c>
      <c r="AF2548" s="5" t="s">
        <v>248</v>
      </c>
      <c r="AG2548" s="5" t="s">
        <v>249</v>
      </c>
      <c r="AW2548" s="5" t="s">
        <v>251</v>
      </c>
      <c r="AX2548" s="5" t="s">
        <v>240</v>
      </c>
      <c r="AY2548" s="5" t="s">
        <v>253</v>
      </c>
      <c r="AZ2548" s="5" t="s">
        <v>240</v>
      </c>
      <c r="BA2548" s="5" t="s">
        <v>255</v>
      </c>
      <c r="BB2548" s="5" t="s">
        <v>240</v>
      </c>
      <c r="BD2548" s="5" t="s">
        <v>240</v>
      </c>
      <c r="BF2548" s="5" t="s">
        <v>301</v>
      </c>
      <c r="BG2548" s="6" t="s">
        <v>299</v>
      </c>
      <c r="BH2548" s="5" t="s">
        <v>302</v>
      </c>
      <c r="BI2548" s="5" t="s">
        <v>303</v>
      </c>
      <c r="BJ2548" s="5" t="s">
        <v>240</v>
      </c>
      <c r="BK2548" s="8">
        <f>0</f>
        <v>0</v>
      </c>
      <c r="BL2548" s="7">
        <f>0</f>
        <v>0</v>
      </c>
      <c r="BM2548" s="5" t="s">
        <v>258</v>
      </c>
      <c r="BN2548" s="5" t="s">
        <v>259</v>
      </c>
      <c r="CB2548" s="5" t="s">
        <v>240</v>
      </c>
      <c r="CC2548" s="5" t="s">
        <v>240</v>
      </c>
      <c r="CG2548" s="5" t="s">
        <v>304</v>
      </c>
      <c r="CH2548" s="5" t="s">
        <v>305</v>
      </c>
      <c r="CI2548" s="5" t="s">
        <v>240</v>
      </c>
      <c r="CL2548" s="6" t="s">
        <v>261</v>
      </c>
      <c r="CM2548" s="5" t="s">
        <v>240</v>
      </c>
      <c r="CN2548" s="5" t="s">
        <v>263</v>
      </c>
      <c r="CO2548" s="5" t="s">
        <v>240</v>
      </c>
      <c r="CP2548" s="5" t="s">
        <v>240</v>
      </c>
      <c r="CQ2548" s="5">
        <v>0</v>
      </c>
      <c r="CR2548" s="5" t="s">
        <v>306</v>
      </c>
      <c r="CS2548" s="5" t="s">
        <v>307</v>
      </c>
      <c r="CT2548" s="5" t="s">
        <v>307</v>
      </c>
      <c r="CU2548" s="5" t="s">
        <v>260</v>
      </c>
      <c r="CX2548" s="7">
        <f>1</f>
        <v>1</v>
      </c>
      <c r="CY2548" s="7">
        <f>0</f>
        <v>0</v>
      </c>
      <c r="DA2548" s="7">
        <f>0</f>
        <v>0</v>
      </c>
      <c r="DC2548" s="5" t="s">
        <v>309</v>
      </c>
      <c r="DD2548" s="5" t="s">
        <v>240</v>
      </c>
      <c r="DF2548" s="5" t="s">
        <v>309</v>
      </c>
      <c r="DG2548" s="7">
        <f>1314</f>
        <v>1314</v>
      </c>
      <c r="DI2548" s="5" t="s">
        <v>240</v>
      </c>
      <c r="DJ2548" s="5" t="s">
        <v>240</v>
      </c>
      <c r="DK2548" s="5" t="s">
        <v>240</v>
      </c>
      <c r="DL2548" s="5" t="s">
        <v>240</v>
      </c>
      <c r="DP2548" s="5" t="s">
        <v>240</v>
      </c>
      <c r="DQ2548" s="5" t="s">
        <v>240</v>
      </c>
      <c r="DR2548" s="5" t="s">
        <v>240</v>
      </c>
      <c r="DS2548" s="5" t="s">
        <v>240</v>
      </c>
      <c r="DV2548" s="5" t="s">
        <v>310</v>
      </c>
      <c r="DW2548" s="5" t="s">
        <v>3146</v>
      </c>
      <c r="HO2548" s="5" t="s">
        <v>312</v>
      </c>
    </row>
    <row r="2549" spans="1:223" x14ac:dyDescent="0.4">
      <c r="A2549" s="5">
        <v>4253</v>
      </c>
      <c r="B2549" s="5">
        <v>1</v>
      </c>
      <c r="C2549" s="5">
        <v>1</v>
      </c>
      <c r="D2549" s="5" t="s">
        <v>810</v>
      </c>
      <c r="E2549" s="5" t="s">
        <v>245</v>
      </c>
      <c r="F2549" s="5" t="s">
        <v>254</v>
      </c>
      <c r="G2549" s="5" t="s">
        <v>240</v>
      </c>
      <c r="H2549" s="6" t="s">
        <v>3446</v>
      </c>
      <c r="I2549" s="5" t="s">
        <v>809</v>
      </c>
      <c r="J2549" s="8">
        <f>812</f>
        <v>812</v>
      </c>
      <c r="K2549" s="5" t="s">
        <v>308</v>
      </c>
      <c r="L2549" s="7">
        <f>1</f>
        <v>1</v>
      </c>
      <c r="M2549" s="7">
        <f>1</f>
        <v>1</v>
      </c>
      <c r="N2549" s="5" t="s">
        <v>242</v>
      </c>
      <c r="O2549" s="5">
        <v>1</v>
      </c>
      <c r="P2549" s="5" t="s">
        <v>294</v>
      </c>
      <c r="Q2549" s="5" t="s">
        <v>266</v>
      </c>
      <c r="R2549" s="5" t="s">
        <v>240</v>
      </c>
      <c r="S2549" s="5" t="s">
        <v>240</v>
      </c>
      <c r="T2549" s="5" t="s">
        <v>296</v>
      </c>
      <c r="U2549" s="5" t="s">
        <v>244</v>
      </c>
      <c r="V2549" s="5" t="s">
        <v>240</v>
      </c>
      <c r="Y2549" s="5" t="s">
        <v>240</v>
      </c>
      <c r="Z2549" s="6" t="s">
        <v>298</v>
      </c>
      <c r="AB2549" s="6" t="s">
        <v>240</v>
      </c>
      <c r="AE2549" s="6" t="s">
        <v>299</v>
      </c>
      <c r="AF2549" s="5" t="s">
        <v>248</v>
      </c>
      <c r="AG2549" s="5" t="s">
        <v>249</v>
      </c>
      <c r="AW2549" s="5" t="s">
        <v>251</v>
      </c>
      <c r="AX2549" s="5" t="s">
        <v>240</v>
      </c>
      <c r="AY2549" s="5" t="s">
        <v>253</v>
      </c>
      <c r="AZ2549" s="5" t="s">
        <v>240</v>
      </c>
      <c r="BA2549" s="5" t="s">
        <v>255</v>
      </c>
      <c r="BB2549" s="5" t="s">
        <v>240</v>
      </c>
      <c r="BD2549" s="5" t="s">
        <v>240</v>
      </c>
      <c r="BF2549" s="5" t="s">
        <v>301</v>
      </c>
      <c r="BG2549" s="6" t="s">
        <v>299</v>
      </c>
      <c r="BH2549" s="5" t="s">
        <v>302</v>
      </c>
      <c r="BI2549" s="5" t="s">
        <v>303</v>
      </c>
      <c r="BJ2549" s="5" t="s">
        <v>240</v>
      </c>
      <c r="BK2549" s="8">
        <f>0</f>
        <v>0</v>
      </c>
      <c r="BL2549" s="7">
        <f>0</f>
        <v>0</v>
      </c>
      <c r="BM2549" s="5" t="s">
        <v>258</v>
      </c>
      <c r="BN2549" s="5" t="s">
        <v>259</v>
      </c>
      <c r="CB2549" s="5" t="s">
        <v>240</v>
      </c>
      <c r="CC2549" s="5" t="s">
        <v>240</v>
      </c>
      <c r="CG2549" s="5" t="s">
        <v>304</v>
      </c>
      <c r="CH2549" s="5" t="s">
        <v>305</v>
      </c>
      <c r="CI2549" s="5" t="s">
        <v>240</v>
      </c>
      <c r="CL2549" s="6" t="s">
        <v>261</v>
      </c>
      <c r="CM2549" s="5" t="s">
        <v>240</v>
      </c>
      <c r="CN2549" s="5" t="s">
        <v>263</v>
      </c>
      <c r="CO2549" s="5" t="s">
        <v>240</v>
      </c>
      <c r="CP2549" s="5" t="s">
        <v>240</v>
      </c>
      <c r="CQ2549" s="5">
        <v>0</v>
      </c>
      <c r="CR2549" s="5" t="s">
        <v>306</v>
      </c>
      <c r="CS2549" s="5" t="s">
        <v>307</v>
      </c>
      <c r="CT2549" s="5" t="s">
        <v>307</v>
      </c>
      <c r="CU2549" s="5" t="s">
        <v>260</v>
      </c>
      <c r="CX2549" s="7">
        <f>1</f>
        <v>1</v>
      </c>
      <c r="CY2549" s="7">
        <f>0</f>
        <v>0</v>
      </c>
      <c r="DA2549" s="7">
        <f>0</f>
        <v>0</v>
      </c>
      <c r="DC2549" s="5" t="s">
        <v>309</v>
      </c>
      <c r="DD2549" s="5" t="s">
        <v>240</v>
      </c>
      <c r="DF2549" s="5" t="s">
        <v>309</v>
      </c>
      <c r="DG2549" s="7">
        <f>1474</f>
        <v>1474</v>
      </c>
      <c r="DI2549" s="5" t="s">
        <v>240</v>
      </c>
      <c r="DJ2549" s="5" t="s">
        <v>240</v>
      </c>
      <c r="DK2549" s="5" t="s">
        <v>240</v>
      </c>
      <c r="DL2549" s="5" t="s">
        <v>240</v>
      </c>
      <c r="DP2549" s="5" t="s">
        <v>240</v>
      </c>
      <c r="DQ2549" s="5" t="s">
        <v>240</v>
      </c>
      <c r="DR2549" s="5" t="s">
        <v>240</v>
      </c>
      <c r="DS2549" s="5" t="s">
        <v>240</v>
      </c>
      <c r="DV2549" s="5" t="s">
        <v>310</v>
      </c>
      <c r="DW2549" s="5" t="s">
        <v>3148</v>
      </c>
      <c r="HO2549" s="5" t="s">
        <v>312</v>
      </c>
    </row>
    <row r="2550" spans="1:223" x14ac:dyDescent="0.4">
      <c r="A2550" s="5">
        <v>4254</v>
      </c>
      <c r="B2550" s="5">
        <v>1</v>
      </c>
      <c r="C2550" s="5">
        <v>1</v>
      </c>
      <c r="D2550" s="5" t="s">
        <v>810</v>
      </c>
      <c r="E2550" s="5" t="s">
        <v>245</v>
      </c>
      <c r="F2550" s="5" t="s">
        <v>254</v>
      </c>
      <c r="G2550" s="5" t="s">
        <v>240</v>
      </c>
      <c r="H2550" s="6" t="s">
        <v>3444</v>
      </c>
      <c r="I2550" s="5" t="s">
        <v>809</v>
      </c>
      <c r="J2550" s="8">
        <f>302</f>
        <v>302</v>
      </c>
      <c r="K2550" s="5" t="s">
        <v>308</v>
      </c>
      <c r="L2550" s="7">
        <f>1</f>
        <v>1</v>
      </c>
      <c r="M2550" s="7">
        <f>1</f>
        <v>1</v>
      </c>
      <c r="N2550" s="5" t="s">
        <v>242</v>
      </c>
      <c r="O2550" s="5">
        <v>1</v>
      </c>
      <c r="P2550" s="5" t="s">
        <v>294</v>
      </c>
      <c r="Q2550" s="5" t="s">
        <v>266</v>
      </c>
      <c r="R2550" s="5" t="s">
        <v>240</v>
      </c>
      <c r="S2550" s="5" t="s">
        <v>240</v>
      </c>
      <c r="T2550" s="5" t="s">
        <v>296</v>
      </c>
      <c r="U2550" s="5" t="s">
        <v>244</v>
      </c>
      <c r="V2550" s="5" t="s">
        <v>240</v>
      </c>
      <c r="Y2550" s="5" t="s">
        <v>240</v>
      </c>
      <c r="Z2550" s="6" t="s">
        <v>298</v>
      </c>
      <c r="AB2550" s="6" t="s">
        <v>240</v>
      </c>
      <c r="AE2550" s="6" t="s">
        <v>299</v>
      </c>
      <c r="AF2550" s="5" t="s">
        <v>248</v>
      </c>
      <c r="AG2550" s="5" t="s">
        <v>249</v>
      </c>
      <c r="AW2550" s="5" t="s">
        <v>251</v>
      </c>
      <c r="AX2550" s="5" t="s">
        <v>240</v>
      </c>
      <c r="AY2550" s="5" t="s">
        <v>253</v>
      </c>
      <c r="AZ2550" s="5" t="s">
        <v>240</v>
      </c>
      <c r="BA2550" s="5" t="s">
        <v>255</v>
      </c>
      <c r="BB2550" s="5" t="s">
        <v>240</v>
      </c>
      <c r="BD2550" s="5" t="s">
        <v>240</v>
      </c>
      <c r="BF2550" s="5" t="s">
        <v>301</v>
      </c>
      <c r="BG2550" s="6" t="s">
        <v>299</v>
      </c>
      <c r="BH2550" s="5" t="s">
        <v>302</v>
      </c>
      <c r="BI2550" s="5" t="s">
        <v>303</v>
      </c>
      <c r="BJ2550" s="5" t="s">
        <v>240</v>
      </c>
      <c r="BK2550" s="8">
        <f>0</f>
        <v>0</v>
      </c>
      <c r="BL2550" s="7">
        <f>0</f>
        <v>0</v>
      </c>
      <c r="BM2550" s="5" t="s">
        <v>258</v>
      </c>
      <c r="BN2550" s="5" t="s">
        <v>259</v>
      </c>
      <c r="CB2550" s="5" t="s">
        <v>240</v>
      </c>
      <c r="CC2550" s="5" t="s">
        <v>240</v>
      </c>
      <c r="CG2550" s="5" t="s">
        <v>304</v>
      </c>
      <c r="CH2550" s="5" t="s">
        <v>305</v>
      </c>
      <c r="CI2550" s="5" t="s">
        <v>240</v>
      </c>
      <c r="CL2550" s="6" t="s">
        <v>261</v>
      </c>
      <c r="CM2550" s="5" t="s">
        <v>240</v>
      </c>
      <c r="CN2550" s="5" t="s">
        <v>263</v>
      </c>
      <c r="CO2550" s="5" t="s">
        <v>240</v>
      </c>
      <c r="CP2550" s="5" t="s">
        <v>240</v>
      </c>
      <c r="CQ2550" s="5">
        <v>0</v>
      </c>
      <c r="CR2550" s="5" t="s">
        <v>306</v>
      </c>
      <c r="CS2550" s="5" t="s">
        <v>307</v>
      </c>
      <c r="CT2550" s="5" t="s">
        <v>307</v>
      </c>
      <c r="CU2550" s="5" t="s">
        <v>260</v>
      </c>
      <c r="CX2550" s="7">
        <f>1</f>
        <v>1</v>
      </c>
      <c r="CY2550" s="7">
        <f>0</f>
        <v>0</v>
      </c>
      <c r="DA2550" s="7">
        <f>0</f>
        <v>0</v>
      </c>
      <c r="DC2550" s="5" t="s">
        <v>812</v>
      </c>
      <c r="DD2550" s="5" t="s">
        <v>240</v>
      </c>
      <c r="DF2550" s="5" t="s">
        <v>812</v>
      </c>
      <c r="DG2550" s="7">
        <f>464</f>
        <v>464</v>
      </c>
      <c r="DI2550" s="5" t="s">
        <v>240</v>
      </c>
      <c r="DJ2550" s="5" t="s">
        <v>240</v>
      </c>
      <c r="DK2550" s="5" t="s">
        <v>240</v>
      </c>
      <c r="DL2550" s="5" t="s">
        <v>240</v>
      </c>
      <c r="DP2550" s="5" t="s">
        <v>240</v>
      </c>
      <c r="DQ2550" s="5" t="s">
        <v>240</v>
      </c>
      <c r="DR2550" s="5" t="s">
        <v>240</v>
      </c>
      <c r="DS2550" s="5" t="s">
        <v>240</v>
      </c>
      <c r="DV2550" s="5" t="s">
        <v>813</v>
      </c>
      <c r="DW2550" s="5" t="s">
        <v>4658</v>
      </c>
      <c r="HO2550" s="5" t="s">
        <v>312</v>
      </c>
    </row>
    <row r="2551" spans="1:223" x14ac:dyDescent="0.4">
      <c r="A2551" s="5">
        <v>4255</v>
      </c>
      <c r="B2551" s="5">
        <v>1</v>
      </c>
      <c r="C2551" s="5">
        <v>1</v>
      </c>
      <c r="D2551" s="5" t="s">
        <v>810</v>
      </c>
      <c r="E2551" s="5" t="s">
        <v>245</v>
      </c>
      <c r="F2551" s="5" t="s">
        <v>254</v>
      </c>
      <c r="G2551" s="5" t="s">
        <v>240</v>
      </c>
      <c r="H2551" s="6" t="s">
        <v>3442</v>
      </c>
      <c r="I2551" s="5" t="s">
        <v>809</v>
      </c>
      <c r="J2551" s="8">
        <f>3831</f>
        <v>3831</v>
      </c>
      <c r="K2551" s="5" t="s">
        <v>308</v>
      </c>
      <c r="L2551" s="7">
        <f>1</f>
        <v>1</v>
      </c>
      <c r="M2551" s="7">
        <f>1</f>
        <v>1</v>
      </c>
      <c r="N2551" s="5" t="s">
        <v>242</v>
      </c>
      <c r="O2551" s="5">
        <v>1</v>
      </c>
      <c r="P2551" s="5" t="s">
        <v>294</v>
      </c>
      <c r="Q2551" s="5" t="s">
        <v>266</v>
      </c>
      <c r="R2551" s="5" t="s">
        <v>240</v>
      </c>
      <c r="S2551" s="5" t="s">
        <v>240</v>
      </c>
      <c r="T2551" s="5" t="s">
        <v>296</v>
      </c>
      <c r="U2551" s="5" t="s">
        <v>244</v>
      </c>
      <c r="V2551" s="5" t="s">
        <v>240</v>
      </c>
      <c r="Y2551" s="5" t="s">
        <v>240</v>
      </c>
      <c r="Z2551" s="6" t="s">
        <v>298</v>
      </c>
      <c r="AB2551" s="6" t="s">
        <v>240</v>
      </c>
      <c r="AE2551" s="6" t="s">
        <v>299</v>
      </c>
      <c r="AF2551" s="5" t="s">
        <v>248</v>
      </c>
      <c r="AG2551" s="5" t="s">
        <v>249</v>
      </c>
      <c r="AW2551" s="5" t="s">
        <v>251</v>
      </c>
      <c r="AX2551" s="5" t="s">
        <v>240</v>
      </c>
      <c r="AY2551" s="5" t="s">
        <v>253</v>
      </c>
      <c r="AZ2551" s="5" t="s">
        <v>240</v>
      </c>
      <c r="BA2551" s="5" t="s">
        <v>255</v>
      </c>
      <c r="BB2551" s="5" t="s">
        <v>240</v>
      </c>
      <c r="BD2551" s="5" t="s">
        <v>240</v>
      </c>
      <c r="BF2551" s="5" t="s">
        <v>301</v>
      </c>
      <c r="BG2551" s="6" t="s">
        <v>299</v>
      </c>
      <c r="BH2551" s="5" t="s">
        <v>302</v>
      </c>
      <c r="BI2551" s="5" t="s">
        <v>303</v>
      </c>
      <c r="BJ2551" s="5" t="s">
        <v>240</v>
      </c>
      <c r="BK2551" s="8">
        <f>0</f>
        <v>0</v>
      </c>
      <c r="BL2551" s="7">
        <f>0</f>
        <v>0</v>
      </c>
      <c r="BM2551" s="5" t="s">
        <v>258</v>
      </c>
      <c r="BN2551" s="5" t="s">
        <v>259</v>
      </c>
      <c r="CB2551" s="5" t="s">
        <v>240</v>
      </c>
      <c r="CC2551" s="5" t="s">
        <v>240</v>
      </c>
      <c r="CG2551" s="5" t="s">
        <v>304</v>
      </c>
      <c r="CH2551" s="5" t="s">
        <v>305</v>
      </c>
      <c r="CI2551" s="5" t="s">
        <v>240</v>
      </c>
      <c r="CL2551" s="6" t="s">
        <v>261</v>
      </c>
      <c r="CM2551" s="5" t="s">
        <v>240</v>
      </c>
      <c r="CN2551" s="5" t="s">
        <v>263</v>
      </c>
      <c r="CO2551" s="5" t="s">
        <v>240</v>
      </c>
      <c r="CP2551" s="5" t="s">
        <v>240</v>
      </c>
      <c r="CQ2551" s="5">
        <v>0</v>
      </c>
      <c r="CR2551" s="5" t="s">
        <v>306</v>
      </c>
      <c r="CS2551" s="5" t="s">
        <v>307</v>
      </c>
      <c r="CT2551" s="5" t="s">
        <v>307</v>
      </c>
      <c r="CU2551" s="5" t="s">
        <v>260</v>
      </c>
      <c r="CX2551" s="7">
        <f>1</f>
        <v>1</v>
      </c>
      <c r="CY2551" s="7">
        <f>0</f>
        <v>0</v>
      </c>
      <c r="DA2551" s="7">
        <f>0</f>
        <v>0</v>
      </c>
      <c r="DC2551" s="5" t="s">
        <v>309</v>
      </c>
      <c r="DD2551" s="5" t="s">
        <v>240</v>
      </c>
      <c r="DF2551" s="5" t="s">
        <v>309</v>
      </c>
      <c r="DG2551" s="7">
        <f>724</f>
        <v>724</v>
      </c>
      <c r="DI2551" s="5" t="s">
        <v>240</v>
      </c>
      <c r="DJ2551" s="5" t="s">
        <v>240</v>
      </c>
      <c r="DK2551" s="5" t="s">
        <v>240</v>
      </c>
      <c r="DL2551" s="5" t="s">
        <v>240</v>
      </c>
      <c r="DP2551" s="5" t="s">
        <v>240</v>
      </c>
      <c r="DQ2551" s="5" t="s">
        <v>240</v>
      </c>
      <c r="DR2551" s="5" t="s">
        <v>240</v>
      </c>
      <c r="DS2551" s="5" t="s">
        <v>240</v>
      </c>
      <c r="DV2551" s="5" t="s">
        <v>310</v>
      </c>
      <c r="DW2551" s="5" t="s">
        <v>3152</v>
      </c>
      <c r="HO2551" s="5" t="s">
        <v>312</v>
      </c>
    </row>
    <row r="2552" spans="1:223" x14ac:dyDescent="0.4">
      <c r="A2552" s="5">
        <v>4256</v>
      </c>
      <c r="B2552" s="5">
        <v>1</v>
      </c>
      <c r="C2552" s="5">
        <v>1</v>
      </c>
      <c r="D2552" s="5" t="s">
        <v>810</v>
      </c>
      <c r="E2552" s="5" t="s">
        <v>245</v>
      </c>
      <c r="F2552" s="5" t="s">
        <v>254</v>
      </c>
      <c r="G2552" s="5" t="s">
        <v>240</v>
      </c>
      <c r="H2552" s="6" t="s">
        <v>3440</v>
      </c>
      <c r="I2552" s="5" t="s">
        <v>809</v>
      </c>
      <c r="J2552" s="8">
        <f>904</f>
        <v>904</v>
      </c>
      <c r="K2552" s="5" t="s">
        <v>308</v>
      </c>
      <c r="L2552" s="7">
        <f>1</f>
        <v>1</v>
      </c>
      <c r="M2552" s="7">
        <f>1</f>
        <v>1</v>
      </c>
      <c r="N2552" s="5" t="s">
        <v>242</v>
      </c>
      <c r="O2552" s="5">
        <v>1</v>
      </c>
      <c r="P2552" s="5" t="s">
        <v>294</v>
      </c>
      <c r="Q2552" s="5" t="s">
        <v>266</v>
      </c>
      <c r="R2552" s="5" t="s">
        <v>240</v>
      </c>
      <c r="S2552" s="5" t="s">
        <v>240</v>
      </c>
      <c r="T2552" s="5" t="s">
        <v>296</v>
      </c>
      <c r="U2552" s="5" t="s">
        <v>244</v>
      </c>
      <c r="V2552" s="5" t="s">
        <v>240</v>
      </c>
      <c r="Y2552" s="5" t="s">
        <v>240</v>
      </c>
      <c r="Z2552" s="6" t="s">
        <v>298</v>
      </c>
      <c r="AB2552" s="6" t="s">
        <v>240</v>
      </c>
      <c r="AE2552" s="6" t="s">
        <v>299</v>
      </c>
      <c r="AF2552" s="5" t="s">
        <v>248</v>
      </c>
      <c r="AG2552" s="5" t="s">
        <v>249</v>
      </c>
      <c r="AW2552" s="5" t="s">
        <v>251</v>
      </c>
      <c r="AX2552" s="5" t="s">
        <v>240</v>
      </c>
      <c r="AY2552" s="5" t="s">
        <v>253</v>
      </c>
      <c r="AZ2552" s="5" t="s">
        <v>240</v>
      </c>
      <c r="BA2552" s="5" t="s">
        <v>255</v>
      </c>
      <c r="BB2552" s="5" t="s">
        <v>240</v>
      </c>
      <c r="BD2552" s="5" t="s">
        <v>240</v>
      </c>
      <c r="BF2552" s="5" t="s">
        <v>301</v>
      </c>
      <c r="BG2552" s="6" t="s">
        <v>299</v>
      </c>
      <c r="BH2552" s="5" t="s">
        <v>302</v>
      </c>
      <c r="BI2552" s="5" t="s">
        <v>303</v>
      </c>
      <c r="BJ2552" s="5" t="s">
        <v>240</v>
      </c>
      <c r="BK2552" s="8">
        <f>0</f>
        <v>0</v>
      </c>
      <c r="BL2552" s="7">
        <f>0</f>
        <v>0</v>
      </c>
      <c r="BM2552" s="5" t="s">
        <v>258</v>
      </c>
      <c r="BN2552" s="5" t="s">
        <v>259</v>
      </c>
      <c r="CB2552" s="5" t="s">
        <v>240</v>
      </c>
      <c r="CC2552" s="5" t="s">
        <v>240</v>
      </c>
      <c r="CG2552" s="5" t="s">
        <v>304</v>
      </c>
      <c r="CH2552" s="5" t="s">
        <v>305</v>
      </c>
      <c r="CI2552" s="5" t="s">
        <v>240</v>
      </c>
      <c r="CL2552" s="6" t="s">
        <v>261</v>
      </c>
      <c r="CM2552" s="5" t="s">
        <v>240</v>
      </c>
      <c r="CN2552" s="5" t="s">
        <v>263</v>
      </c>
      <c r="CO2552" s="5" t="s">
        <v>240</v>
      </c>
      <c r="CP2552" s="5" t="s">
        <v>240</v>
      </c>
      <c r="CQ2552" s="5">
        <v>0</v>
      </c>
      <c r="CR2552" s="5" t="s">
        <v>306</v>
      </c>
      <c r="CS2552" s="5" t="s">
        <v>307</v>
      </c>
      <c r="CT2552" s="5" t="s">
        <v>307</v>
      </c>
      <c r="CU2552" s="5" t="s">
        <v>260</v>
      </c>
      <c r="CX2552" s="7">
        <f>1</f>
        <v>1</v>
      </c>
      <c r="CY2552" s="7">
        <f>0</f>
        <v>0</v>
      </c>
      <c r="DA2552" s="7">
        <f>0</f>
        <v>0</v>
      </c>
      <c r="DC2552" s="5" t="s">
        <v>309</v>
      </c>
      <c r="DD2552" s="5" t="s">
        <v>240</v>
      </c>
      <c r="DF2552" s="5" t="s">
        <v>309</v>
      </c>
      <c r="DG2552" s="7">
        <f>308</f>
        <v>308</v>
      </c>
      <c r="DI2552" s="5" t="s">
        <v>240</v>
      </c>
      <c r="DJ2552" s="5" t="s">
        <v>240</v>
      </c>
      <c r="DK2552" s="5" t="s">
        <v>240</v>
      </c>
      <c r="DL2552" s="5" t="s">
        <v>240</v>
      </c>
      <c r="DP2552" s="5" t="s">
        <v>240</v>
      </c>
      <c r="DQ2552" s="5" t="s">
        <v>240</v>
      </c>
      <c r="DR2552" s="5" t="s">
        <v>240</v>
      </c>
      <c r="DS2552" s="5" t="s">
        <v>240</v>
      </c>
      <c r="DV2552" s="5" t="s">
        <v>310</v>
      </c>
      <c r="DW2552" s="5" t="s">
        <v>3154</v>
      </c>
      <c r="HO2552" s="5" t="s">
        <v>312</v>
      </c>
    </row>
    <row r="2553" spans="1:223" x14ac:dyDescent="0.4">
      <c r="A2553" s="5">
        <v>4257</v>
      </c>
      <c r="B2553" s="5">
        <v>1</v>
      </c>
      <c r="C2553" s="5">
        <v>1</v>
      </c>
      <c r="D2553" s="5" t="s">
        <v>810</v>
      </c>
      <c r="E2553" s="5" t="s">
        <v>245</v>
      </c>
      <c r="F2553" s="5" t="s">
        <v>254</v>
      </c>
      <c r="G2553" s="5" t="s">
        <v>240</v>
      </c>
      <c r="H2553" s="6" t="s">
        <v>4973</v>
      </c>
      <c r="I2553" s="5" t="s">
        <v>809</v>
      </c>
      <c r="J2553" s="8">
        <f>321</f>
        <v>321</v>
      </c>
      <c r="K2553" s="5" t="s">
        <v>308</v>
      </c>
      <c r="L2553" s="7">
        <f>1</f>
        <v>1</v>
      </c>
      <c r="M2553" s="7">
        <f>1</f>
        <v>1</v>
      </c>
      <c r="N2553" s="5" t="s">
        <v>242</v>
      </c>
      <c r="O2553" s="5">
        <v>1</v>
      </c>
      <c r="P2553" s="5" t="s">
        <v>294</v>
      </c>
      <c r="Q2553" s="5" t="s">
        <v>266</v>
      </c>
      <c r="R2553" s="5" t="s">
        <v>240</v>
      </c>
      <c r="S2553" s="5" t="s">
        <v>240</v>
      </c>
      <c r="T2553" s="5" t="s">
        <v>296</v>
      </c>
      <c r="U2553" s="5" t="s">
        <v>244</v>
      </c>
      <c r="V2553" s="5" t="s">
        <v>240</v>
      </c>
      <c r="Y2553" s="5" t="s">
        <v>240</v>
      </c>
      <c r="Z2553" s="6" t="s">
        <v>298</v>
      </c>
      <c r="AB2553" s="6" t="s">
        <v>240</v>
      </c>
      <c r="AE2553" s="6" t="s">
        <v>299</v>
      </c>
      <c r="AF2553" s="5" t="s">
        <v>248</v>
      </c>
      <c r="AG2553" s="5" t="s">
        <v>249</v>
      </c>
      <c r="AW2553" s="5" t="s">
        <v>251</v>
      </c>
      <c r="AX2553" s="5" t="s">
        <v>240</v>
      </c>
      <c r="AY2553" s="5" t="s">
        <v>253</v>
      </c>
      <c r="AZ2553" s="5" t="s">
        <v>240</v>
      </c>
      <c r="BA2553" s="5" t="s">
        <v>255</v>
      </c>
      <c r="BB2553" s="5" t="s">
        <v>240</v>
      </c>
      <c r="BD2553" s="5" t="s">
        <v>240</v>
      </c>
      <c r="BF2553" s="5" t="s">
        <v>301</v>
      </c>
      <c r="BG2553" s="6" t="s">
        <v>299</v>
      </c>
      <c r="BH2553" s="5" t="s">
        <v>302</v>
      </c>
      <c r="BI2553" s="5" t="s">
        <v>303</v>
      </c>
      <c r="BJ2553" s="5" t="s">
        <v>240</v>
      </c>
      <c r="BK2553" s="8">
        <f>0</f>
        <v>0</v>
      </c>
      <c r="BL2553" s="7">
        <f>0</f>
        <v>0</v>
      </c>
      <c r="BM2553" s="5" t="s">
        <v>258</v>
      </c>
      <c r="BN2553" s="5" t="s">
        <v>259</v>
      </c>
      <c r="CB2553" s="5" t="s">
        <v>240</v>
      </c>
      <c r="CC2553" s="5" t="s">
        <v>240</v>
      </c>
      <c r="CG2553" s="5" t="s">
        <v>304</v>
      </c>
      <c r="CH2553" s="5" t="s">
        <v>305</v>
      </c>
      <c r="CI2553" s="5" t="s">
        <v>240</v>
      </c>
      <c r="CL2553" s="6" t="s">
        <v>261</v>
      </c>
      <c r="CM2553" s="5" t="s">
        <v>240</v>
      </c>
      <c r="CN2553" s="5" t="s">
        <v>263</v>
      </c>
      <c r="CO2553" s="5" t="s">
        <v>240</v>
      </c>
      <c r="CP2553" s="5" t="s">
        <v>240</v>
      </c>
      <c r="CQ2553" s="5">
        <v>0</v>
      </c>
      <c r="CR2553" s="5" t="s">
        <v>306</v>
      </c>
      <c r="CS2553" s="5" t="s">
        <v>307</v>
      </c>
      <c r="CT2553" s="5" t="s">
        <v>307</v>
      </c>
      <c r="CU2553" s="5" t="s">
        <v>260</v>
      </c>
      <c r="CX2553" s="7">
        <f>1</f>
        <v>1</v>
      </c>
      <c r="CY2553" s="7">
        <f>0</f>
        <v>0</v>
      </c>
      <c r="DA2553" s="7">
        <f>0</f>
        <v>0</v>
      </c>
      <c r="DC2553" s="5" t="s">
        <v>309</v>
      </c>
      <c r="DD2553" s="5" t="s">
        <v>240</v>
      </c>
      <c r="DF2553" s="5" t="s">
        <v>309</v>
      </c>
      <c r="DG2553" s="7">
        <f>1440</f>
        <v>1440</v>
      </c>
      <c r="DI2553" s="5" t="s">
        <v>240</v>
      </c>
      <c r="DJ2553" s="5" t="s">
        <v>240</v>
      </c>
      <c r="DK2553" s="5" t="s">
        <v>240</v>
      </c>
      <c r="DL2553" s="5" t="s">
        <v>240</v>
      </c>
      <c r="DP2553" s="5" t="s">
        <v>240</v>
      </c>
      <c r="DQ2553" s="5" t="s">
        <v>240</v>
      </c>
      <c r="DR2553" s="5" t="s">
        <v>240</v>
      </c>
      <c r="DS2553" s="5" t="s">
        <v>240</v>
      </c>
      <c r="DV2553" s="5" t="s">
        <v>310</v>
      </c>
      <c r="DW2553" s="5" t="s">
        <v>3156</v>
      </c>
      <c r="HO2553" s="5" t="s">
        <v>312</v>
      </c>
    </row>
    <row r="2554" spans="1:223" x14ac:dyDescent="0.4">
      <c r="A2554" s="5">
        <v>4258</v>
      </c>
      <c r="B2554" s="5">
        <v>1</v>
      </c>
      <c r="C2554" s="5">
        <v>1</v>
      </c>
      <c r="D2554" s="5" t="s">
        <v>810</v>
      </c>
      <c r="E2554" s="5" t="s">
        <v>245</v>
      </c>
      <c r="F2554" s="5" t="s">
        <v>254</v>
      </c>
      <c r="G2554" s="5" t="s">
        <v>240</v>
      </c>
      <c r="H2554" s="6" t="s">
        <v>3436</v>
      </c>
      <c r="I2554" s="5" t="s">
        <v>809</v>
      </c>
      <c r="J2554" s="8">
        <f>247</f>
        <v>247</v>
      </c>
      <c r="K2554" s="5" t="s">
        <v>308</v>
      </c>
      <c r="L2554" s="7">
        <f>1</f>
        <v>1</v>
      </c>
      <c r="M2554" s="7">
        <f>1</f>
        <v>1</v>
      </c>
      <c r="N2554" s="5" t="s">
        <v>242</v>
      </c>
      <c r="O2554" s="5">
        <v>1</v>
      </c>
      <c r="P2554" s="5" t="s">
        <v>294</v>
      </c>
      <c r="Q2554" s="5" t="s">
        <v>266</v>
      </c>
      <c r="R2554" s="5" t="s">
        <v>240</v>
      </c>
      <c r="S2554" s="5" t="s">
        <v>240</v>
      </c>
      <c r="T2554" s="5" t="s">
        <v>296</v>
      </c>
      <c r="U2554" s="5" t="s">
        <v>244</v>
      </c>
      <c r="V2554" s="5" t="s">
        <v>240</v>
      </c>
      <c r="Y2554" s="5" t="s">
        <v>240</v>
      </c>
      <c r="Z2554" s="6" t="s">
        <v>298</v>
      </c>
      <c r="AB2554" s="6" t="s">
        <v>240</v>
      </c>
      <c r="AE2554" s="6" t="s">
        <v>299</v>
      </c>
      <c r="AF2554" s="5" t="s">
        <v>248</v>
      </c>
      <c r="AG2554" s="5" t="s">
        <v>249</v>
      </c>
      <c r="AW2554" s="5" t="s">
        <v>251</v>
      </c>
      <c r="AX2554" s="5" t="s">
        <v>240</v>
      </c>
      <c r="AY2554" s="5" t="s">
        <v>253</v>
      </c>
      <c r="AZ2554" s="5" t="s">
        <v>240</v>
      </c>
      <c r="BA2554" s="5" t="s">
        <v>255</v>
      </c>
      <c r="BB2554" s="5" t="s">
        <v>240</v>
      </c>
      <c r="BD2554" s="5" t="s">
        <v>240</v>
      </c>
      <c r="BF2554" s="5" t="s">
        <v>301</v>
      </c>
      <c r="BG2554" s="6" t="s">
        <v>299</v>
      </c>
      <c r="BH2554" s="5" t="s">
        <v>302</v>
      </c>
      <c r="BI2554" s="5" t="s">
        <v>303</v>
      </c>
      <c r="BJ2554" s="5" t="s">
        <v>240</v>
      </c>
      <c r="BK2554" s="8">
        <f>0</f>
        <v>0</v>
      </c>
      <c r="BL2554" s="7">
        <f>0</f>
        <v>0</v>
      </c>
      <c r="BM2554" s="5" t="s">
        <v>258</v>
      </c>
      <c r="BN2554" s="5" t="s">
        <v>259</v>
      </c>
      <c r="CB2554" s="5" t="s">
        <v>240</v>
      </c>
      <c r="CC2554" s="5" t="s">
        <v>240</v>
      </c>
      <c r="CG2554" s="5" t="s">
        <v>304</v>
      </c>
      <c r="CH2554" s="5" t="s">
        <v>305</v>
      </c>
      <c r="CI2554" s="5" t="s">
        <v>240</v>
      </c>
      <c r="CL2554" s="6" t="s">
        <v>261</v>
      </c>
      <c r="CM2554" s="5" t="s">
        <v>240</v>
      </c>
      <c r="CN2554" s="5" t="s">
        <v>263</v>
      </c>
      <c r="CO2554" s="5" t="s">
        <v>240</v>
      </c>
      <c r="CP2554" s="5" t="s">
        <v>240</v>
      </c>
      <c r="CQ2554" s="5">
        <v>0</v>
      </c>
      <c r="CR2554" s="5" t="s">
        <v>306</v>
      </c>
      <c r="CS2554" s="5" t="s">
        <v>307</v>
      </c>
      <c r="CT2554" s="5" t="s">
        <v>307</v>
      </c>
      <c r="CU2554" s="5" t="s">
        <v>260</v>
      </c>
      <c r="CX2554" s="7">
        <f>1</f>
        <v>1</v>
      </c>
      <c r="CY2554" s="7">
        <f>0</f>
        <v>0</v>
      </c>
      <c r="DA2554" s="7">
        <f>0</f>
        <v>0</v>
      </c>
      <c r="DC2554" s="5" t="s">
        <v>309</v>
      </c>
      <c r="DD2554" s="5" t="s">
        <v>240</v>
      </c>
      <c r="DF2554" s="5" t="s">
        <v>309</v>
      </c>
      <c r="DG2554" s="7">
        <f>4549</f>
        <v>4549</v>
      </c>
      <c r="DI2554" s="5" t="s">
        <v>240</v>
      </c>
      <c r="DJ2554" s="5" t="s">
        <v>240</v>
      </c>
      <c r="DK2554" s="5" t="s">
        <v>240</v>
      </c>
      <c r="DL2554" s="5" t="s">
        <v>240</v>
      </c>
      <c r="DP2554" s="5" t="s">
        <v>240</v>
      </c>
      <c r="DQ2554" s="5" t="s">
        <v>240</v>
      </c>
      <c r="DR2554" s="5" t="s">
        <v>240</v>
      </c>
      <c r="DS2554" s="5" t="s">
        <v>240</v>
      </c>
      <c r="DV2554" s="5" t="s">
        <v>310</v>
      </c>
      <c r="DW2554" s="5" t="s">
        <v>3158</v>
      </c>
      <c r="HO2554" s="5" t="s">
        <v>312</v>
      </c>
    </row>
    <row r="2555" spans="1:223" x14ac:dyDescent="0.4">
      <c r="A2555" s="5">
        <v>4259</v>
      </c>
      <c r="B2555" s="5">
        <v>1</v>
      </c>
      <c r="C2555" s="5">
        <v>1</v>
      </c>
      <c r="D2555" s="5" t="s">
        <v>810</v>
      </c>
      <c r="E2555" s="5" t="s">
        <v>245</v>
      </c>
      <c r="F2555" s="5" t="s">
        <v>254</v>
      </c>
      <c r="G2555" s="5" t="s">
        <v>240</v>
      </c>
      <c r="H2555" s="6" t="s">
        <v>3434</v>
      </c>
      <c r="I2555" s="5" t="s">
        <v>809</v>
      </c>
      <c r="J2555" s="8">
        <f>54</f>
        <v>54</v>
      </c>
      <c r="K2555" s="5" t="s">
        <v>308</v>
      </c>
      <c r="L2555" s="7">
        <f>1</f>
        <v>1</v>
      </c>
      <c r="M2555" s="7">
        <f>1</f>
        <v>1</v>
      </c>
      <c r="N2555" s="5" t="s">
        <v>242</v>
      </c>
      <c r="O2555" s="5">
        <v>1</v>
      </c>
      <c r="P2555" s="5" t="s">
        <v>294</v>
      </c>
      <c r="Q2555" s="5" t="s">
        <v>266</v>
      </c>
      <c r="R2555" s="5" t="s">
        <v>240</v>
      </c>
      <c r="S2555" s="5" t="s">
        <v>240</v>
      </c>
      <c r="T2555" s="5" t="s">
        <v>296</v>
      </c>
      <c r="U2555" s="5" t="s">
        <v>244</v>
      </c>
      <c r="V2555" s="5" t="s">
        <v>240</v>
      </c>
      <c r="Y2555" s="5" t="s">
        <v>240</v>
      </c>
      <c r="Z2555" s="6" t="s">
        <v>298</v>
      </c>
      <c r="AB2555" s="6" t="s">
        <v>240</v>
      </c>
      <c r="AE2555" s="6" t="s">
        <v>299</v>
      </c>
      <c r="AF2555" s="5" t="s">
        <v>248</v>
      </c>
      <c r="AG2555" s="5" t="s">
        <v>249</v>
      </c>
      <c r="AW2555" s="5" t="s">
        <v>251</v>
      </c>
      <c r="AX2555" s="5" t="s">
        <v>240</v>
      </c>
      <c r="AY2555" s="5" t="s">
        <v>253</v>
      </c>
      <c r="AZ2555" s="5" t="s">
        <v>240</v>
      </c>
      <c r="BA2555" s="5" t="s">
        <v>255</v>
      </c>
      <c r="BB2555" s="5" t="s">
        <v>240</v>
      </c>
      <c r="BD2555" s="5" t="s">
        <v>240</v>
      </c>
      <c r="BF2555" s="5" t="s">
        <v>301</v>
      </c>
      <c r="BG2555" s="6" t="s">
        <v>299</v>
      </c>
      <c r="BH2555" s="5" t="s">
        <v>302</v>
      </c>
      <c r="BI2555" s="5" t="s">
        <v>303</v>
      </c>
      <c r="BJ2555" s="5" t="s">
        <v>240</v>
      </c>
      <c r="BK2555" s="8">
        <f>0</f>
        <v>0</v>
      </c>
      <c r="BL2555" s="7">
        <f>0</f>
        <v>0</v>
      </c>
      <c r="BM2555" s="5" t="s">
        <v>258</v>
      </c>
      <c r="BN2555" s="5" t="s">
        <v>259</v>
      </c>
      <c r="CB2555" s="5" t="s">
        <v>240</v>
      </c>
      <c r="CC2555" s="5" t="s">
        <v>240</v>
      </c>
      <c r="CG2555" s="5" t="s">
        <v>304</v>
      </c>
      <c r="CH2555" s="5" t="s">
        <v>305</v>
      </c>
      <c r="CI2555" s="5" t="s">
        <v>240</v>
      </c>
      <c r="CL2555" s="6" t="s">
        <v>261</v>
      </c>
      <c r="CM2555" s="5" t="s">
        <v>240</v>
      </c>
      <c r="CN2555" s="5" t="s">
        <v>263</v>
      </c>
      <c r="CO2555" s="5" t="s">
        <v>240</v>
      </c>
      <c r="CP2555" s="5" t="s">
        <v>240</v>
      </c>
      <c r="CQ2555" s="5">
        <v>0</v>
      </c>
      <c r="CR2555" s="5" t="s">
        <v>306</v>
      </c>
      <c r="CS2555" s="5" t="s">
        <v>307</v>
      </c>
      <c r="CT2555" s="5" t="s">
        <v>307</v>
      </c>
      <c r="CU2555" s="5" t="s">
        <v>260</v>
      </c>
      <c r="CX2555" s="7">
        <f>1</f>
        <v>1</v>
      </c>
      <c r="CY2555" s="7">
        <f>0</f>
        <v>0</v>
      </c>
      <c r="DA2555" s="7">
        <f>0</f>
        <v>0</v>
      </c>
      <c r="DC2555" s="5" t="s">
        <v>309</v>
      </c>
      <c r="DD2555" s="5" t="s">
        <v>240</v>
      </c>
      <c r="DF2555" s="5" t="s">
        <v>309</v>
      </c>
      <c r="DG2555" s="7">
        <f>2993</f>
        <v>2993</v>
      </c>
      <c r="DI2555" s="5" t="s">
        <v>240</v>
      </c>
      <c r="DJ2555" s="5" t="s">
        <v>240</v>
      </c>
      <c r="DK2555" s="5" t="s">
        <v>240</v>
      </c>
      <c r="DL2555" s="5" t="s">
        <v>240</v>
      </c>
      <c r="DP2555" s="5" t="s">
        <v>240</v>
      </c>
      <c r="DQ2555" s="5" t="s">
        <v>240</v>
      </c>
      <c r="DR2555" s="5" t="s">
        <v>240</v>
      </c>
      <c r="DS2555" s="5" t="s">
        <v>240</v>
      </c>
      <c r="DV2555" s="5" t="s">
        <v>310</v>
      </c>
      <c r="DW2555" s="5" t="s">
        <v>3160</v>
      </c>
      <c r="HO2555" s="5" t="s">
        <v>312</v>
      </c>
    </row>
    <row r="2556" spans="1:223" x14ac:dyDescent="0.4">
      <c r="A2556" s="5">
        <v>4260</v>
      </c>
      <c r="B2556" s="5">
        <v>1</v>
      </c>
      <c r="C2556" s="5">
        <v>1</v>
      </c>
      <c r="D2556" s="5" t="s">
        <v>810</v>
      </c>
      <c r="E2556" s="5" t="s">
        <v>245</v>
      </c>
      <c r="F2556" s="5" t="s">
        <v>254</v>
      </c>
      <c r="G2556" s="5" t="s">
        <v>240</v>
      </c>
      <c r="H2556" s="6" t="s">
        <v>3432</v>
      </c>
      <c r="I2556" s="5" t="s">
        <v>809</v>
      </c>
      <c r="J2556" s="8">
        <f>210</f>
        <v>210</v>
      </c>
      <c r="K2556" s="5" t="s">
        <v>308</v>
      </c>
      <c r="L2556" s="7">
        <f>1</f>
        <v>1</v>
      </c>
      <c r="M2556" s="7">
        <f>1</f>
        <v>1</v>
      </c>
      <c r="N2556" s="5" t="s">
        <v>242</v>
      </c>
      <c r="O2556" s="5">
        <v>1</v>
      </c>
      <c r="P2556" s="5" t="s">
        <v>294</v>
      </c>
      <c r="Q2556" s="5" t="s">
        <v>266</v>
      </c>
      <c r="R2556" s="5" t="s">
        <v>240</v>
      </c>
      <c r="S2556" s="5" t="s">
        <v>240</v>
      </c>
      <c r="T2556" s="5" t="s">
        <v>296</v>
      </c>
      <c r="U2556" s="5" t="s">
        <v>244</v>
      </c>
      <c r="V2556" s="5" t="s">
        <v>240</v>
      </c>
      <c r="Y2556" s="5" t="s">
        <v>240</v>
      </c>
      <c r="Z2556" s="6" t="s">
        <v>298</v>
      </c>
      <c r="AB2556" s="6" t="s">
        <v>240</v>
      </c>
      <c r="AE2556" s="6" t="s">
        <v>299</v>
      </c>
      <c r="AF2556" s="5" t="s">
        <v>248</v>
      </c>
      <c r="AG2556" s="5" t="s">
        <v>249</v>
      </c>
      <c r="AW2556" s="5" t="s">
        <v>251</v>
      </c>
      <c r="AX2556" s="5" t="s">
        <v>240</v>
      </c>
      <c r="AY2556" s="5" t="s">
        <v>253</v>
      </c>
      <c r="AZ2556" s="5" t="s">
        <v>240</v>
      </c>
      <c r="BA2556" s="5" t="s">
        <v>255</v>
      </c>
      <c r="BB2556" s="5" t="s">
        <v>240</v>
      </c>
      <c r="BD2556" s="5" t="s">
        <v>240</v>
      </c>
      <c r="BF2556" s="5" t="s">
        <v>301</v>
      </c>
      <c r="BG2556" s="6" t="s">
        <v>299</v>
      </c>
      <c r="BH2556" s="5" t="s">
        <v>302</v>
      </c>
      <c r="BI2556" s="5" t="s">
        <v>303</v>
      </c>
      <c r="BJ2556" s="5" t="s">
        <v>240</v>
      </c>
      <c r="BK2556" s="8">
        <f>0</f>
        <v>0</v>
      </c>
      <c r="BL2556" s="7">
        <f>0</f>
        <v>0</v>
      </c>
      <c r="BM2556" s="5" t="s">
        <v>258</v>
      </c>
      <c r="BN2556" s="5" t="s">
        <v>259</v>
      </c>
      <c r="CB2556" s="5" t="s">
        <v>240</v>
      </c>
      <c r="CC2556" s="5" t="s">
        <v>240</v>
      </c>
      <c r="CG2556" s="5" t="s">
        <v>304</v>
      </c>
      <c r="CH2556" s="5" t="s">
        <v>305</v>
      </c>
      <c r="CI2556" s="5" t="s">
        <v>240</v>
      </c>
      <c r="CL2556" s="6" t="s">
        <v>261</v>
      </c>
      <c r="CM2556" s="5" t="s">
        <v>240</v>
      </c>
      <c r="CN2556" s="5" t="s">
        <v>263</v>
      </c>
      <c r="CO2556" s="5" t="s">
        <v>240</v>
      </c>
      <c r="CP2556" s="5" t="s">
        <v>240</v>
      </c>
      <c r="CQ2556" s="5">
        <v>0</v>
      </c>
      <c r="CR2556" s="5" t="s">
        <v>306</v>
      </c>
      <c r="CS2556" s="5" t="s">
        <v>307</v>
      </c>
      <c r="CT2556" s="5" t="s">
        <v>307</v>
      </c>
      <c r="CU2556" s="5" t="s">
        <v>260</v>
      </c>
      <c r="CX2556" s="7">
        <f>1</f>
        <v>1</v>
      </c>
      <c r="CY2556" s="7">
        <f>0</f>
        <v>0</v>
      </c>
      <c r="DA2556" s="7">
        <f>0</f>
        <v>0</v>
      </c>
      <c r="DC2556" s="5" t="s">
        <v>309</v>
      </c>
      <c r="DD2556" s="5" t="s">
        <v>240</v>
      </c>
      <c r="DF2556" s="5" t="s">
        <v>309</v>
      </c>
      <c r="DG2556" s="7">
        <f>2931</f>
        <v>2931</v>
      </c>
      <c r="DI2556" s="5" t="s">
        <v>240</v>
      </c>
      <c r="DJ2556" s="5" t="s">
        <v>240</v>
      </c>
      <c r="DK2556" s="5" t="s">
        <v>240</v>
      </c>
      <c r="DL2556" s="5" t="s">
        <v>240</v>
      </c>
      <c r="DP2556" s="5" t="s">
        <v>240</v>
      </c>
      <c r="DQ2556" s="5" t="s">
        <v>240</v>
      </c>
      <c r="DR2556" s="5" t="s">
        <v>240</v>
      </c>
      <c r="DS2556" s="5" t="s">
        <v>240</v>
      </c>
      <c r="DV2556" s="5" t="s">
        <v>310</v>
      </c>
      <c r="DW2556" s="5" t="s">
        <v>3162</v>
      </c>
      <c r="HO2556" s="5" t="s">
        <v>312</v>
      </c>
    </row>
    <row r="2557" spans="1:223" x14ac:dyDescent="0.4">
      <c r="A2557" s="5">
        <v>4261</v>
      </c>
      <c r="B2557" s="5">
        <v>1</v>
      </c>
      <c r="C2557" s="5">
        <v>1</v>
      </c>
      <c r="D2557" s="5" t="s">
        <v>810</v>
      </c>
      <c r="E2557" s="5" t="s">
        <v>245</v>
      </c>
      <c r="F2557" s="5" t="s">
        <v>254</v>
      </c>
      <c r="G2557" s="5" t="s">
        <v>240</v>
      </c>
      <c r="H2557" s="6" t="s">
        <v>3430</v>
      </c>
      <c r="I2557" s="5" t="s">
        <v>809</v>
      </c>
      <c r="J2557" s="8">
        <f>221</f>
        <v>221</v>
      </c>
      <c r="K2557" s="5" t="s">
        <v>308</v>
      </c>
      <c r="L2557" s="7">
        <f>1</f>
        <v>1</v>
      </c>
      <c r="M2557" s="7">
        <f>1</f>
        <v>1</v>
      </c>
      <c r="N2557" s="5" t="s">
        <v>242</v>
      </c>
      <c r="O2557" s="5">
        <v>1</v>
      </c>
      <c r="P2557" s="5" t="s">
        <v>294</v>
      </c>
      <c r="Q2557" s="5" t="s">
        <v>266</v>
      </c>
      <c r="R2557" s="5" t="s">
        <v>240</v>
      </c>
      <c r="S2557" s="5" t="s">
        <v>240</v>
      </c>
      <c r="T2557" s="5" t="s">
        <v>296</v>
      </c>
      <c r="U2557" s="5" t="s">
        <v>244</v>
      </c>
      <c r="V2557" s="5" t="s">
        <v>240</v>
      </c>
      <c r="Y2557" s="5" t="s">
        <v>240</v>
      </c>
      <c r="Z2557" s="6" t="s">
        <v>298</v>
      </c>
      <c r="AB2557" s="6" t="s">
        <v>240</v>
      </c>
      <c r="AE2557" s="6" t="s">
        <v>299</v>
      </c>
      <c r="AF2557" s="5" t="s">
        <v>248</v>
      </c>
      <c r="AG2557" s="5" t="s">
        <v>249</v>
      </c>
      <c r="AW2557" s="5" t="s">
        <v>251</v>
      </c>
      <c r="AX2557" s="5" t="s">
        <v>240</v>
      </c>
      <c r="AY2557" s="5" t="s">
        <v>253</v>
      </c>
      <c r="AZ2557" s="5" t="s">
        <v>240</v>
      </c>
      <c r="BA2557" s="5" t="s">
        <v>255</v>
      </c>
      <c r="BB2557" s="5" t="s">
        <v>240</v>
      </c>
      <c r="BD2557" s="5" t="s">
        <v>240</v>
      </c>
      <c r="BF2557" s="5" t="s">
        <v>301</v>
      </c>
      <c r="BG2557" s="6" t="s">
        <v>299</v>
      </c>
      <c r="BH2557" s="5" t="s">
        <v>302</v>
      </c>
      <c r="BI2557" s="5" t="s">
        <v>303</v>
      </c>
      <c r="BJ2557" s="5" t="s">
        <v>240</v>
      </c>
      <c r="BK2557" s="8">
        <f>0</f>
        <v>0</v>
      </c>
      <c r="BL2557" s="7">
        <f>0</f>
        <v>0</v>
      </c>
      <c r="BM2557" s="5" t="s">
        <v>258</v>
      </c>
      <c r="BN2557" s="5" t="s">
        <v>259</v>
      </c>
      <c r="CB2557" s="5" t="s">
        <v>240</v>
      </c>
      <c r="CC2557" s="5" t="s">
        <v>240</v>
      </c>
      <c r="CG2557" s="5" t="s">
        <v>304</v>
      </c>
      <c r="CH2557" s="5" t="s">
        <v>305</v>
      </c>
      <c r="CI2557" s="5" t="s">
        <v>240</v>
      </c>
      <c r="CL2557" s="6" t="s">
        <v>261</v>
      </c>
      <c r="CM2557" s="5" t="s">
        <v>240</v>
      </c>
      <c r="CN2557" s="5" t="s">
        <v>263</v>
      </c>
      <c r="CO2557" s="5" t="s">
        <v>240</v>
      </c>
      <c r="CP2557" s="5" t="s">
        <v>240</v>
      </c>
      <c r="CQ2557" s="5">
        <v>0</v>
      </c>
      <c r="CR2557" s="5" t="s">
        <v>306</v>
      </c>
      <c r="CS2557" s="5" t="s">
        <v>307</v>
      </c>
      <c r="CT2557" s="5" t="s">
        <v>307</v>
      </c>
      <c r="CU2557" s="5" t="s">
        <v>260</v>
      </c>
      <c r="CX2557" s="7">
        <f>1</f>
        <v>1</v>
      </c>
      <c r="CY2557" s="7">
        <f>0</f>
        <v>0</v>
      </c>
      <c r="DA2557" s="7">
        <f>0</f>
        <v>0</v>
      </c>
      <c r="DC2557" s="5" t="s">
        <v>309</v>
      </c>
      <c r="DD2557" s="5" t="s">
        <v>240</v>
      </c>
      <c r="DF2557" s="5" t="s">
        <v>309</v>
      </c>
      <c r="DG2557" s="7">
        <f>2986</f>
        <v>2986</v>
      </c>
      <c r="DI2557" s="5" t="s">
        <v>240</v>
      </c>
      <c r="DJ2557" s="5" t="s">
        <v>240</v>
      </c>
      <c r="DK2557" s="5" t="s">
        <v>240</v>
      </c>
      <c r="DL2557" s="5" t="s">
        <v>240</v>
      </c>
      <c r="DP2557" s="5" t="s">
        <v>240</v>
      </c>
      <c r="DQ2557" s="5" t="s">
        <v>240</v>
      </c>
      <c r="DR2557" s="5" t="s">
        <v>240</v>
      </c>
      <c r="DS2557" s="5" t="s">
        <v>240</v>
      </c>
      <c r="DV2557" s="5" t="s">
        <v>310</v>
      </c>
      <c r="DW2557" s="5" t="s">
        <v>3164</v>
      </c>
      <c r="HO2557" s="5" t="s">
        <v>312</v>
      </c>
    </row>
    <row r="2558" spans="1:223" x14ac:dyDescent="0.4">
      <c r="A2558" s="5">
        <v>4262</v>
      </c>
      <c r="B2558" s="5">
        <v>1</v>
      </c>
      <c r="C2558" s="5">
        <v>1</v>
      </c>
      <c r="D2558" s="5" t="s">
        <v>810</v>
      </c>
      <c r="E2558" s="5" t="s">
        <v>245</v>
      </c>
      <c r="F2558" s="5" t="s">
        <v>254</v>
      </c>
      <c r="G2558" s="5" t="s">
        <v>240</v>
      </c>
      <c r="H2558" s="6" t="s">
        <v>3428</v>
      </c>
      <c r="I2558" s="5" t="s">
        <v>809</v>
      </c>
      <c r="J2558" s="8">
        <f>179</f>
        <v>179</v>
      </c>
      <c r="K2558" s="5" t="s">
        <v>308</v>
      </c>
      <c r="L2558" s="7">
        <f>1</f>
        <v>1</v>
      </c>
      <c r="M2558" s="7">
        <f>1</f>
        <v>1</v>
      </c>
      <c r="N2558" s="5" t="s">
        <v>242</v>
      </c>
      <c r="O2558" s="5">
        <v>1</v>
      </c>
      <c r="P2558" s="5" t="s">
        <v>294</v>
      </c>
      <c r="Q2558" s="5" t="s">
        <v>266</v>
      </c>
      <c r="R2558" s="5" t="s">
        <v>240</v>
      </c>
      <c r="S2558" s="5" t="s">
        <v>240</v>
      </c>
      <c r="T2558" s="5" t="s">
        <v>296</v>
      </c>
      <c r="U2558" s="5" t="s">
        <v>244</v>
      </c>
      <c r="V2558" s="5" t="s">
        <v>240</v>
      </c>
      <c r="Y2558" s="5" t="s">
        <v>240</v>
      </c>
      <c r="Z2558" s="6" t="s">
        <v>298</v>
      </c>
      <c r="AB2558" s="6" t="s">
        <v>240</v>
      </c>
      <c r="AE2558" s="6" t="s">
        <v>299</v>
      </c>
      <c r="AF2558" s="5" t="s">
        <v>248</v>
      </c>
      <c r="AG2558" s="5" t="s">
        <v>249</v>
      </c>
      <c r="AW2558" s="5" t="s">
        <v>251</v>
      </c>
      <c r="AX2558" s="5" t="s">
        <v>240</v>
      </c>
      <c r="AY2558" s="5" t="s">
        <v>253</v>
      </c>
      <c r="AZ2558" s="5" t="s">
        <v>240</v>
      </c>
      <c r="BA2558" s="5" t="s">
        <v>255</v>
      </c>
      <c r="BB2558" s="5" t="s">
        <v>240</v>
      </c>
      <c r="BD2558" s="5" t="s">
        <v>240</v>
      </c>
      <c r="BF2558" s="5" t="s">
        <v>301</v>
      </c>
      <c r="BG2558" s="6" t="s">
        <v>299</v>
      </c>
      <c r="BH2558" s="5" t="s">
        <v>302</v>
      </c>
      <c r="BI2558" s="5" t="s">
        <v>303</v>
      </c>
      <c r="BJ2558" s="5" t="s">
        <v>240</v>
      </c>
      <c r="BK2558" s="8">
        <f>0</f>
        <v>0</v>
      </c>
      <c r="BL2558" s="7">
        <f>0</f>
        <v>0</v>
      </c>
      <c r="BM2558" s="5" t="s">
        <v>258</v>
      </c>
      <c r="BN2558" s="5" t="s">
        <v>259</v>
      </c>
      <c r="CB2558" s="5" t="s">
        <v>240</v>
      </c>
      <c r="CC2558" s="5" t="s">
        <v>240</v>
      </c>
      <c r="CG2558" s="5" t="s">
        <v>304</v>
      </c>
      <c r="CH2558" s="5" t="s">
        <v>305</v>
      </c>
      <c r="CI2558" s="5" t="s">
        <v>240</v>
      </c>
      <c r="CL2558" s="6" t="s">
        <v>261</v>
      </c>
      <c r="CM2558" s="5" t="s">
        <v>240</v>
      </c>
      <c r="CN2558" s="5" t="s">
        <v>263</v>
      </c>
      <c r="CO2558" s="5" t="s">
        <v>240</v>
      </c>
      <c r="CP2558" s="5" t="s">
        <v>240</v>
      </c>
      <c r="CQ2558" s="5">
        <v>0</v>
      </c>
      <c r="CR2558" s="5" t="s">
        <v>306</v>
      </c>
      <c r="CS2558" s="5" t="s">
        <v>307</v>
      </c>
      <c r="CT2558" s="5" t="s">
        <v>307</v>
      </c>
      <c r="CU2558" s="5" t="s">
        <v>260</v>
      </c>
      <c r="CX2558" s="7">
        <f>1</f>
        <v>1</v>
      </c>
      <c r="CY2558" s="7">
        <f>0</f>
        <v>0</v>
      </c>
      <c r="DA2558" s="7">
        <f>0</f>
        <v>0</v>
      </c>
      <c r="DC2558" s="5" t="s">
        <v>309</v>
      </c>
      <c r="DD2558" s="5" t="s">
        <v>240</v>
      </c>
      <c r="DF2558" s="5" t="s">
        <v>309</v>
      </c>
      <c r="DG2558" s="7">
        <f>295</f>
        <v>295</v>
      </c>
      <c r="DI2558" s="5" t="s">
        <v>240</v>
      </c>
      <c r="DJ2558" s="5" t="s">
        <v>240</v>
      </c>
      <c r="DK2558" s="5" t="s">
        <v>240</v>
      </c>
      <c r="DL2558" s="5" t="s">
        <v>240</v>
      </c>
      <c r="DP2558" s="5" t="s">
        <v>240</v>
      </c>
      <c r="DQ2558" s="5" t="s">
        <v>240</v>
      </c>
      <c r="DR2558" s="5" t="s">
        <v>240</v>
      </c>
      <c r="DS2558" s="5" t="s">
        <v>240</v>
      </c>
      <c r="DV2558" s="5" t="s">
        <v>310</v>
      </c>
      <c r="DW2558" s="5" t="s">
        <v>4667</v>
      </c>
      <c r="HO2558" s="5" t="s">
        <v>312</v>
      </c>
    </row>
    <row r="2559" spans="1:223" x14ac:dyDescent="0.4">
      <c r="A2559" s="5">
        <v>4263</v>
      </c>
      <c r="B2559" s="5">
        <v>1</v>
      </c>
      <c r="C2559" s="5">
        <v>1</v>
      </c>
      <c r="D2559" s="5" t="s">
        <v>810</v>
      </c>
      <c r="E2559" s="5" t="s">
        <v>245</v>
      </c>
      <c r="F2559" s="5" t="s">
        <v>254</v>
      </c>
      <c r="G2559" s="5" t="s">
        <v>240</v>
      </c>
      <c r="H2559" s="6" t="s">
        <v>3426</v>
      </c>
      <c r="I2559" s="5" t="s">
        <v>809</v>
      </c>
      <c r="J2559" s="8">
        <f>34</f>
        <v>34</v>
      </c>
      <c r="K2559" s="5" t="s">
        <v>308</v>
      </c>
      <c r="L2559" s="7">
        <f>1</f>
        <v>1</v>
      </c>
      <c r="M2559" s="7">
        <f>1</f>
        <v>1</v>
      </c>
      <c r="N2559" s="5" t="s">
        <v>242</v>
      </c>
      <c r="O2559" s="5">
        <v>1</v>
      </c>
      <c r="P2559" s="5" t="s">
        <v>294</v>
      </c>
      <c r="Q2559" s="5" t="s">
        <v>266</v>
      </c>
      <c r="R2559" s="5" t="s">
        <v>240</v>
      </c>
      <c r="S2559" s="5" t="s">
        <v>240</v>
      </c>
      <c r="T2559" s="5" t="s">
        <v>296</v>
      </c>
      <c r="U2559" s="5" t="s">
        <v>244</v>
      </c>
      <c r="V2559" s="5" t="s">
        <v>240</v>
      </c>
      <c r="Y2559" s="5" t="s">
        <v>240</v>
      </c>
      <c r="Z2559" s="6" t="s">
        <v>298</v>
      </c>
      <c r="AB2559" s="6" t="s">
        <v>240</v>
      </c>
      <c r="AE2559" s="6" t="s">
        <v>299</v>
      </c>
      <c r="AF2559" s="5" t="s">
        <v>248</v>
      </c>
      <c r="AG2559" s="5" t="s">
        <v>249</v>
      </c>
      <c r="AW2559" s="5" t="s">
        <v>251</v>
      </c>
      <c r="AX2559" s="5" t="s">
        <v>240</v>
      </c>
      <c r="AY2559" s="5" t="s">
        <v>253</v>
      </c>
      <c r="AZ2559" s="5" t="s">
        <v>240</v>
      </c>
      <c r="BA2559" s="5" t="s">
        <v>255</v>
      </c>
      <c r="BB2559" s="5" t="s">
        <v>240</v>
      </c>
      <c r="BD2559" s="5" t="s">
        <v>240</v>
      </c>
      <c r="BF2559" s="5" t="s">
        <v>301</v>
      </c>
      <c r="BG2559" s="6" t="s">
        <v>299</v>
      </c>
      <c r="BH2559" s="5" t="s">
        <v>302</v>
      </c>
      <c r="BI2559" s="5" t="s">
        <v>303</v>
      </c>
      <c r="BJ2559" s="5" t="s">
        <v>240</v>
      </c>
      <c r="BK2559" s="8">
        <f>0</f>
        <v>0</v>
      </c>
      <c r="BL2559" s="7">
        <f>0</f>
        <v>0</v>
      </c>
      <c r="BM2559" s="5" t="s">
        <v>258</v>
      </c>
      <c r="BN2559" s="5" t="s">
        <v>259</v>
      </c>
      <c r="CB2559" s="5" t="s">
        <v>240</v>
      </c>
      <c r="CC2559" s="5" t="s">
        <v>240</v>
      </c>
      <c r="CG2559" s="5" t="s">
        <v>304</v>
      </c>
      <c r="CH2559" s="5" t="s">
        <v>305</v>
      </c>
      <c r="CI2559" s="5" t="s">
        <v>240</v>
      </c>
      <c r="CL2559" s="6" t="s">
        <v>261</v>
      </c>
      <c r="CM2559" s="5" t="s">
        <v>240</v>
      </c>
      <c r="CN2559" s="5" t="s">
        <v>263</v>
      </c>
      <c r="CO2559" s="5" t="s">
        <v>240</v>
      </c>
      <c r="CP2559" s="5" t="s">
        <v>240</v>
      </c>
      <c r="CQ2559" s="5">
        <v>0</v>
      </c>
      <c r="CR2559" s="5" t="s">
        <v>306</v>
      </c>
      <c r="CS2559" s="5" t="s">
        <v>307</v>
      </c>
      <c r="CT2559" s="5" t="s">
        <v>307</v>
      </c>
      <c r="CU2559" s="5" t="s">
        <v>260</v>
      </c>
      <c r="CX2559" s="7">
        <f>1</f>
        <v>1</v>
      </c>
      <c r="CY2559" s="7">
        <f>0</f>
        <v>0</v>
      </c>
      <c r="DA2559" s="7">
        <f>0</f>
        <v>0</v>
      </c>
      <c r="DC2559" s="5" t="s">
        <v>309</v>
      </c>
      <c r="DD2559" s="5" t="s">
        <v>240</v>
      </c>
      <c r="DF2559" s="5" t="s">
        <v>309</v>
      </c>
      <c r="DG2559" s="7">
        <f>3121</f>
        <v>3121</v>
      </c>
      <c r="DI2559" s="5" t="s">
        <v>240</v>
      </c>
      <c r="DJ2559" s="5" t="s">
        <v>240</v>
      </c>
      <c r="DK2559" s="5" t="s">
        <v>240</v>
      </c>
      <c r="DL2559" s="5" t="s">
        <v>240</v>
      </c>
      <c r="DP2559" s="5" t="s">
        <v>240</v>
      </c>
      <c r="DQ2559" s="5" t="s">
        <v>240</v>
      </c>
      <c r="DR2559" s="5" t="s">
        <v>240</v>
      </c>
      <c r="DS2559" s="5" t="s">
        <v>240</v>
      </c>
      <c r="DV2559" s="5" t="s">
        <v>310</v>
      </c>
      <c r="DW2559" s="5" t="s">
        <v>3171</v>
      </c>
      <c r="HO2559" s="5" t="s">
        <v>312</v>
      </c>
    </row>
    <row r="2560" spans="1:223" x14ac:dyDescent="0.4">
      <c r="A2560" s="5">
        <v>4264</v>
      </c>
      <c r="B2560" s="5">
        <v>1</v>
      </c>
      <c r="C2560" s="5">
        <v>1</v>
      </c>
      <c r="D2560" s="5" t="s">
        <v>810</v>
      </c>
      <c r="E2560" s="5" t="s">
        <v>245</v>
      </c>
      <c r="F2560" s="5" t="s">
        <v>254</v>
      </c>
      <c r="G2560" s="5" t="s">
        <v>240</v>
      </c>
      <c r="H2560" s="6" t="s">
        <v>3424</v>
      </c>
      <c r="I2560" s="5" t="s">
        <v>809</v>
      </c>
      <c r="J2560" s="8">
        <f>826</f>
        <v>826</v>
      </c>
      <c r="K2560" s="5" t="s">
        <v>308</v>
      </c>
      <c r="L2560" s="7">
        <f>1</f>
        <v>1</v>
      </c>
      <c r="M2560" s="7">
        <f>1</f>
        <v>1</v>
      </c>
      <c r="N2560" s="5" t="s">
        <v>242</v>
      </c>
      <c r="O2560" s="5">
        <v>1</v>
      </c>
      <c r="P2560" s="5" t="s">
        <v>294</v>
      </c>
      <c r="Q2560" s="5" t="s">
        <v>266</v>
      </c>
      <c r="R2560" s="5" t="s">
        <v>240</v>
      </c>
      <c r="S2560" s="5" t="s">
        <v>240</v>
      </c>
      <c r="T2560" s="5" t="s">
        <v>296</v>
      </c>
      <c r="U2560" s="5" t="s">
        <v>244</v>
      </c>
      <c r="V2560" s="5" t="s">
        <v>240</v>
      </c>
      <c r="Y2560" s="5" t="s">
        <v>240</v>
      </c>
      <c r="Z2560" s="6" t="s">
        <v>298</v>
      </c>
      <c r="AB2560" s="6" t="s">
        <v>240</v>
      </c>
      <c r="AE2560" s="6" t="s">
        <v>299</v>
      </c>
      <c r="AF2560" s="5" t="s">
        <v>248</v>
      </c>
      <c r="AG2560" s="5" t="s">
        <v>249</v>
      </c>
      <c r="AW2560" s="5" t="s">
        <v>251</v>
      </c>
      <c r="AX2560" s="5" t="s">
        <v>240</v>
      </c>
      <c r="AY2560" s="5" t="s">
        <v>253</v>
      </c>
      <c r="AZ2560" s="5" t="s">
        <v>240</v>
      </c>
      <c r="BA2560" s="5" t="s">
        <v>255</v>
      </c>
      <c r="BB2560" s="5" t="s">
        <v>240</v>
      </c>
      <c r="BD2560" s="5" t="s">
        <v>240</v>
      </c>
      <c r="BF2560" s="5" t="s">
        <v>301</v>
      </c>
      <c r="BG2560" s="6" t="s">
        <v>299</v>
      </c>
      <c r="BH2560" s="5" t="s">
        <v>302</v>
      </c>
      <c r="BI2560" s="5" t="s">
        <v>303</v>
      </c>
      <c r="BJ2560" s="5" t="s">
        <v>240</v>
      </c>
      <c r="BK2560" s="8">
        <f>0</f>
        <v>0</v>
      </c>
      <c r="BL2560" s="7">
        <f>0</f>
        <v>0</v>
      </c>
      <c r="BM2560" s="5" t="s">
        <v>258</v>
      </c>
      <c r="BN2560" s="5" t="s">
        <v>259</v>
      </c>
      <c r="CB2560" s="5" t="s">
        <v>240</v>
      </c>
      <c r="CC2560" s="5" t="s">
        <v>240</v>
      </c>
      <c r="CG2560" s="5" t="s">
        <v>304</v>
      </c>
      <c r="CH2560" s="5" t="s">
        <v>305</v>
      </c>
      <c r="CI2560" s="5" t="s">
        <v>240</v>
      </c>
      <c r="CL2560" s="6" t="s">
        <v>261</v>
      </c>
      <c r="CM2560" s="5" t="s">
        <v>240</v>
      </c>
      <c r="CN2560" s="5" t="s">
        <v>263</v>
      </c>
      <c r="CO2560" s="5" t="s">
        <v>240</v>
      </c>
      <c r="CP2560" s="5" t="s">
        <v>240</v>
      </c>
      <c r="CQ2560" s="5">
        <v>0</v>
      </c>
      <c r="CR2560" s="5" t="s">
        <v>306</v>
      </c>
      <c r="CS2560" s="5" t="s">
        <v>307</v>
      </c>
      <c r="CT2560" s="5" t="s">
        <v>307</v>
      </c>
      <c r="CU2560" s="5" t="s">
        <v>260</v>
      </c>
      <c r="CX2560" s="7">
        <f>1</f>
        <v>1</v>
      </c>
      <c r="CY2560" s="7">
        <f>0</f>
        <v>0</v>
      </c>
      <c r="DA2560" s="7">
        <f>0</f>
        <v>0</v>
      </c>
      <c r="DC2560" s="5" t="s">
        <v>309</v>
      </c>
      <c r="DD2560" s="5" t="s">
        <v>240</v>
      </c>
      <c r="DF2560" s="5" t="s">
        <v>309</v>
      </c>
      <c r="DG2560" s="7">
        <f>3145</f>
        <v>3145</v>
      </c>
      <c r="DI2560" s="5" t="s">
        <v>240</v>
      </c>
      <c r="DJ2560" s="5" t="s">
        <v>240</v>
      </c>
      <c r="DK2560" s="5" t="s">
        <v>240</v>
      </c>
      <c r="DL2560" s="5" t="s">
        <v>240</v>
      </c>
      <c r="DP2560" s="5" t="s">
        <v>240</v>
      </c>
      <c r="DQ2560" s="5" t="s">
        <v>240</v>
      </c>
      <c r="DR2560" s="5" t="s">
        <v>240</v>
      </c>
      <c r="DS2560" s="5" t="s">
        <v>240</v>
      </c>
      <c r="DV2560" s="5" t="s">
        <v>310</v>
      </c>
      <c r="DW2560" s="5" t="s">
        <v>3173</v>
      </c>
      <c r="HO2560" s="5" t="s">
        <v>312</v>
      </c>
    </row>
    <row r="2561" spans="1:223" x14ac:dyDescent="0.4">
      <c r="A2561" s="5">
        <v>4265</v>
      </c>
      <c r="B2561" s="5">
        <v>1</v>
      </c>
      <c r="C2561" s="5">
        <v>1</v>
      </c>
      <c r="D2561" s="5" t="s">
        <v>810</v>
      </c>
      <c r="E2561" s="5" t="s">
        <v>245</v>
      </c>
      <c r="F2561" s="5" t="s">
        <v>254</v>
      </c>
      <c r="G2561" s="5" t="s">
        <v>240</v>
      </c>
      <c r="H2561" s="6" t="s">
        <v>3422</v>
      </c>
      <c r="I2561" s="5" t="s">
        <v>809</v>
      </c>
      <c r="J2561" s="8">
        <f>110</f>
        <v>110</v>
      </c>
      <c r="K2561" s="5" t="s">
        <v>308</v>
      </c>
      <c r="L2561" s="7">
        <f>1</f>
        <v>1</v>
      </c>
      <c r="M2561" s="7">
        <f>1</f>
        <v>1</v>
      </c>
      <c r="N2561" s="5" t="s">
        <v>242</v>
      </c>
      <c r="O2561" s="5">
        <v>1</v>
      </c>
      <c r="P2561" s="5" t="s">
        <v>294</v>
      </c>
      <c r="Q2561" s="5" t="s">
        <v>266</v>
      </c>
      <c r="R2561" s="5" t="s">
        <v>240</v>
      </c>
      <c r="S2561" s="5" t="s">
        <v>240</v>
      </c>
      <c r="T2561" s="5" t="s">
        <v>296</v>
      </c>
      <c r="U2561" s="5" t="s">
        <v>244</v>
      </c>
      <c r="V2561" s="5" t="s">
        <v>240</v>
      </c>
      <c r="Y2561" s="5" t="s">
        <v>240</v>
      </c>
      <c r="Z2561" s="6" t="s">
        <v>298</v>
      </c>
      <c r="AB2561" s="6" t="s">
        <v>240</v>
      </c>
      <c r="AE2561" s="6" t="s">
        <v>299</v>
      </c>
      <c r="AF2561" s="5" t="s">
        <v>248</v>
      </c>
      <c r="AG2561" s="5" t="s">
        <v>249</v>
      </c>
      <c r="AW2561" s="5" t="s">
        <v>251</v>
      </c>
      <c r="AX2561" s="5" t="s">
        <v>240</v>
      </c>
      <c r="AY2561" s="5" t="s">
        <v>253</v>
      </c>
      <c r="AZ2561" s="5" t="s">
        <v>240</v>
      </c>
      <c r="BA2561" s="5" t="s">
        <v>255</v>
      </c>
      <c r="BB2561" s="5" t="s">
        <v>240</v>
      </c>
      <c r="BD2561" s="5" t="s">
        <v>240</v>
      </c>
      <c r="BF2561" s="5" t="s">
        <v>301</v>
      </c>
      <c r="BG2561" s="6" t="s">
        <v>299</v>
      </c>
      <c r="BH2561" s="5" t="s">
        <v>302</v>
      </c>
      <c r="BI2561" s="5" t="s">
        <v>303</v>
      </c>
      <c r="BJ2561" s="5" t="s">
        <v>240</v>
      </c>
      <c r="BK2561" s="8">
        <f>0</f>
        <v>0</v>
      </c>
      <c r="BL2561" s="7">
        <f>0</f>
        <v>0</v>
      </c>
      <c r="BM2561" s="5" t="s">
        <v>258</v>
      </c>
      <c r="BN2561" s="5" t="s">
        <v>259</v>
      </c>
      <c r="CB2561" s="5" t="s">
        <v>240</v>
      </c>
      <c r="CC2561" s="5" t="s">
        <v>240</v>
      </c>
      <c r="CG2561" s="5" t="s">
        <v>304</v>
      </c>
      <c r="CH2561" s="5" t="s">
        <v>305</v>
      </c>
      <c r="CI2561" s="5" t="s">
        <v>240</v>
      </c>
      <c r="CL2561" s="6" t="s">
        <v>261</v>
      </c>
      <c r="CM2561" s="5" t="s">
        <v>240</v>
      </c>
      <c r="CN2561" s="5" t="s">
        <v>263</v>
      </c>
      <c r="CO2561" s="5" t="s">
        <v>240</v>
      </c>
      <c r="CP2561" s="5" t="s">
        <v>240</v>
      </c>
      <c r="CQ2561" s="5">
        <v>0</v>
      </c>
      <c r="CR2561" s="5" t="s">
        <v>306</v>
      </c>
      <c r="CS2561" s="5" t="s">
        <v>307</v>
      </c>
      <c r="CT2561" s="5" t="s">
        <v>307</v>
      </c>
      <c r="CU2561" s="5" t="s">
        <v>260</v>
      </c>
      <c r="CX2561" s="7">
        <f>1</f>
        <v>1</v>
      </c>
      <c r="CY2561" s="7">
        <f>0</f>
        <v>0</v>
      </c>
      <c r="DA2561" s="7">
        <f>0</f>
        <v>0</v>
      </c>
      <c r="DC2561" s="5" t="s">
        <v>309</v>
      </c>
      <c r="DD2561" s="5" t="s">
        <v>240</v>
      </c>
      <c r="DF2561" s="5" t="s">
        <v>309</v>
      </c>
      <c r="DG2561" s="7">
        <f>3137</f>
        <v>3137</v>
      </c>
      <c r="DI2561" s="5" t="s">
        <v>240</v>
      </c>
      <c r="DJ2561" s="5" t="s">
        <v>240</v>
      </c>
      <c r="DK2561" s="5" t="s">
        <v>240</v>
      </c>
      <c r="DL2561" s="5" t="s">
        <v>240</v>
      </c>
      <c r="DP2561" s="5" t="s">
        <v>240</v>
      </c>
      <c r="DQ2561" s="5" t="s">
        <v>240</v>
      </c>
      <c r="DR2561" s="5" t="s">
        <v>240</v>
      </c>
      <c r="DS2561" s="5" t="s">
        <v>240</v>
      </c>
      <c r="DV2561" s="5" t="s">
        <v>310</v>
      </c>
      <c r="DW2561" s="5" t="s">
        <v>3175</v>
      </c>
      <c r="HO2561" s="5" t="s">
        <v>312</v>
      </c>
    </row>
    <row r="2562" spans="1:223" x14ac:dyDescent="0.4">
      <c r="A2562" s="5">
        <v>4266</v>
      </c>
      <c r="B2562" s="5">
        <v>1</v>
      </c>
      <c r="C2562" s="5">
        <v>1</v>
      </c>
      <c r="D2562" s="5" t="s">
        <v>810</v>
      </c>
      <c r="E2562" s="5" t="s">
        <v>245</v>
      </c>
      <c r="F2562" s="5" t="s">
        <v>254</v>
      </c>
      <c r="G2562" s="5" t="s">
        <v>240</v>
      </c>
      <c r="H2562" s="6" t="s">
        <v>3420</v>
      </c>
      <c r="I2562" s="5" t="s">
        <v>809</v>
      </c>
      <c r="J2562" s="8">
        <f>716</f>
        <v>716</v>
      </c>
      <c r="K2562" s="5" t="s">
        <v>308</v>
      </c>
      <c r="L2562" s="7">
        <f>1</f>
        <v>1</v>
      </c>
      <c r="M2562" s="7">
        <f>1</f>
        <v>1</v>
      </c>
      <c r="N2562" s="5" t="s">
        <v>242</v>
      </c>
      <c r="O2562" s="5">
        <v>1</v>
      </c>
      <c r="P2562" s="5" t="s">
        <v>294</v>
      </c>
      <c r="Q2562" s="5" t="s">
        <v>266</v>
      </c>
      <c r="R2562" s="5" t="s">
        <v>240</v>
      </c>
      <c r="S2562" s="5" t="s">
        <v>240</v>
      </c>
      <c r="T2562" s="5" t="s">
        <v>296</v>
      </c>
      <c r="U2562" s="5" t="s">
        <v>244</v>
      </c>
      <c r="V2562" s="5" t="s">
        <v>240</v>
      </c>
      <c r="Y2562" s="5" t="s">
        <v>240</v>
      </c>
      <c r="Z2562" s="6" t="s">
        <v>298</v>
      </c>
      <c r="AB2562" s="6" t="s">
        <v>240</v>
      </c>
      <c r="AE2562" s="6" t="s">
        <v>299</v>
      </c>
      <c r="AF2562" s="5" t="s">
        <v>248</v>
      </c>
      <c r="AG2562" s="5" t="s">
        <v>249</v>
      </c>
      <c r="AW2562" s="5" t="s">
        <v>251</v>
      </c>
      <c r="AX2562" s="5" t="s">
        <v>240</v>
      </c>
      <c r="AY2562" s="5" t="s">
        <v>253</v>
      </c>
      <c r="AZ2562" s="5" t="s">
        <v>240</v>
      </c>
      <c r="BA2562" s="5" t="s">
        <v>255</v>
      </c>
      <c r="BB2562" s="5" t="s">
        <v>240</v>
      </c>
      <c r="BD2562" s="5" t="s">
        <v>240</v>
      </c>
      <c r="BF2562" s="5" t="s">
        <v>301</v>
      </c>
      <c r="BG2562" s="6" t="s">
        <v>299</v>
      </c>
      <c r="BH2562" s="5" t="s">
        <v>302</v>
      </c>
      <c r="BI2562" s="5" t="s">
        <v>303</v>
      </c>
      <c r="BJ2562" s="5" t="s">
        <v>240</v>
      </c>
      <c r="BK2562" s="8">
        <f>0</f>
        <v>0</v>
      </c>
      <c r="BL2562" s="7">
        <f>0</f>
        <v>0</v>
      </c>
      <c r="BM2562" s="5" t="s">
        <v>258</v>
      </c>
      <c r="BN2562" s="5" t="s">
        <v>259</v>
      </c>
      <c r="CB2562" s="5" t="s">
        <v>240</v>
      </c>
      <c r="CC2562" s="5" t="s">
        <v>240</v>
      </c>
      <c r="CG2562" s="5" t="s">
        <v>304</v>
      </c>
      <c r="CH2562" s="5" t="s">
        <v>305</v>
      </c>
      <c r="CI2562" s="5" t="s">
        <v>240</v>
      </c>
      <c r="CL2562" s="6" t="s">
        <v>261</v>
      </c>
      <c r="CM2562" s="5" t="s">
        <v>240</v>
      </c>
      <c r="CN2562" s="5" t="s">
        <v>263</v>
      </c>
      <c r="CO2562" s="5" t="s">
        <v>240</v>
      </c>
      <c r="CP2562" s="5" t="s">
        <v>240</v>
      </c>
      <c r="CQ2562" s="5">
        <v>0</v>
      </c>
      <c r="CR2562" s="5" t="s">
        <v>306</v>
      </c>
      <c r="CS2562" s="5" t="s">
        <v>307</v>
      </c>
      <c r="CT2562" s="5" t="s">
        <v>307</v>
      </c>
      <c r="CU2562" s="5" t="s">
        <v>260</v>
      </c>
      <c r="CX2562" s="7">
        <f>1</f>
        <v>1</v>
      </c>
      <c r="CY2562" s="7">
        <f>0</f>
        <v>0</v>
      </c>
      <c r="DA2562" s="7">
        <f>0</f>
        <v>0</v>
      </c>
      <c r="DC2562" s="5" t="s">
        <v>812</v>
      </c>
      <c r="DD2562" s="5" t="s">
        <v>240</v>
      </c>
      <c r="DF2562" s="5" t="s">
        <v>812</v>
      </c>
      <c r="DG2562" s="7">
        <f>70</f>
        <v>70</v>
      </c>
      <c r="DI2562" s="5" t="s">
        <v>240</v>
      </c>
      <c r="DJ2562" s="5" t="s">
        <v>240</v>
      </c>
      <c r="DK2562" s="5" t="s">
        <v>240</v>
      </c>
      <c r="DL2562" s="5" t="s">
        <v>240</v>
      </c>
      <c r="DP2562" s="5" t="s">
        <v>240</v>
      </c>
      <c r="DQ2562" s="5" t="s">
        <v>240</v>
      </c>
      <c r="DR2562" s="5" t="s">
        <v>240</v>
      </c>
      <c r="DS2562" s="5" t="s">
        <v>240</v>
      </c>
      <c r="DV2562" s="5" t="s">
        <v>813</v>
      </c>
      <c r="DW2562" s="5" t="s">
        <v>4672</v>
      </c>
      <c r="HO2562" s="5" t="s">
        <v>312</v>
      </c>
    </row>
    <row r="2563" spans="1:223" x14ac:dyDescent="0.4">
      <c r="A2563" s="5">
        <v>4267</v>
      </c>
      <c r="B2563" s="5">
        <v>1</v>
      </c>
      <c r="C2563" s="5">
        <v>1</v>
      </c>
      <c r="D2563" s="5" t="s">
        <v>810</v>
      </c>
      <c r="E2563" s="5" t="s">
        <v>245</v>
      </c>
      <c r="F2563" s="5" t="s">
        <v>254</v>
      </c>
      <c r="G2563" s="5" t="s">
        <v>240</v>
      </c>
      <c r="H2563" s="6" t="s">
        <v>3418</v>
      </c>
      <c r="I2563" s="5" t="s">
        <v>809</v>
      </c>
      <c r="J2563" s="8">
        <f>206</f>
        <v>206</v>
      </c>
      <c r="K2563" s="5" t="s">
        <v>308</v>
      </c>
      <c r="L2563" s="7">
        <f>1</f>
        <v>1</v>
      </c>
      <c r="M2563" s="7">
        <f>1</f>
        <v>1</v>
      </c>
      <c r="N2563" s="5" t="s">
        <v>242</v>
      </c>
      <c r="O2563" s="5">
        <v>1</v>
      </c>
      <c r="P2563" s="5" t="s">
        <v>294</v>
      </c>
      <c r="Q2563" s="5" t="s">
        <v>266</v>
      </c>
      <c r="R2563" s="5" t="s">
        <v>240</v>
      </c>
      <c r="S2563" s="5" t="s">
        <v>240</v>
      </c>
      <c r="T2563" s="5" t="s">
        <v>296</v>
      </c>
      <c r="U2563" s="5" t="s">
        <v>244</v>
      </c>
      <c r="V2563" s="5" t="s">
        <v>240</v>
      </c>
      <c r="Y2563" s="5" t="s">
        <v>240</v>
      </c>
      <c r="Z2563" s="6" t="s">
        <v>298</v>
      </c>
      <c r="AB2563" s="6" t="s">
        <v>240</v>
      </c>
      <c r="AE2563" s="6" t="s">
        <v>299</v>
      </c>
      <c r="AF2563" s="5" t="s">
        <v>248</v>
      </c>
      <c r="AG2563" s="5" t="s">
        <v>249</v>
      </c>
      <c r="AW2563" s="5" t="s">
        <v>251</v>
      </c>
      <c r="AX2563" s="5" t="s">
        <v>240</v>
      </c>
      <c r="AY2563" s="5" t="s">
        <v>253</v>
      </c>
      <c r="AZ2563" s="5" t="s">
        <v>240</v>
      </c>
      <c r="BA2563" s="5" t="s">
        <v>255</v>
      </c>
      <c r="BB2563" s="5" t="s">
        <v>240</v>
      </c>
      <c r="BD2563" s="5" t="s">
        <v>240</v>
      </c>
      <c r="BF2563" s="5" t="s">
        <v>301</v>
      </c>
      <c r="BG2563" s="6" t="s">
        <v>299</v>
      </c>
      <c r="BH2563" s="5" t="s">
        <v>302</v>
      </c>
      <c r="BI2563" s="5" t="s">
        <v>303</v>
      </c>
      <c r="BJ2563" s="5" t="s">
        <v>240</v>
      </c>
      <c r="BK2563" s="8">
        <f>0</f>
        <v>0</v>
      </c>
      <c r="BL2563" s="7">
        <f>0</f>
        <v>0</v>
      </c>
      <c r="BM2563" s="5" t="s">
        <v>258</v>
      </c>
      <c r="BN2563" s="5" t="s">
        <v>259</v>
      </c>
      <c r="CB2563" s="5" t="s">
        <v>240</v>
      </c>
      <c r="CC2563" s="5" t="s">
        <v>240</v>
      </c>
      <c r="CG2563" s="5" t="s">
        <v>304</v>
      </c>
      <c r="CH2563" s="5" t="s">
        <v>305</v>
      </c>
      <c r="CI2563" s="5" t="s">
        <v>240</v>
      </c>
      <c r="CL2563" s="6" t="s">
        <v>261</v>
      </c>
      <c r="CM2563" s="5" t="s">
        <v>240</v>
      </c>
      <c r="CN2563" s="5" t="s">
        <v>263</v>
      </c>
      <c r="CO2563" s="5" t="s">
        <v>240</v>
      </c>
      <c r="CP2563" s="5" t="s">
        <v>240</v>
      </c>
      <c r="CQ2563" s="5">
        <v>0</v>
      </c>
      <c r="CR2563" s="5" t="s">
        <v>306</v>
      </c>
      <c r="CS2563" s="5" t="s">
        <v>307</v>
      </c>
      <c r="CT2563" s="5" t="s">
        <v>307</v>
      </c>
      <c r="CU2563" s="5" t="s">
        <v>260</v>
      </c>
      <c r="CX2563" s="7">
        <f>1</f>
        <v>1</v>
      </c>
      <c r="CY2563" s="7">
        <f>0</f>
        <v>0</v>
      </c>
      <c r="DA2563" s="7">
        <f>0</f>
        <v>0</v>
      </c>
      <c r="DC2563" s="5" t="s">
        <v>309</v>
      </c>
      <c r="DD2563" s="5" t="s">
        <v>240</v>
      </c>
      <c r="DF2563" s="5" t="s">
        <v>309</v>
      </c>
      <c r="DG2563" s="7">
        <f>3108</f>
        <v>3108</v>
      </c>
      <c r="DI2563" s="5" t="s">
        <v>240</v>
      </c>
      <c r="DJ2563" s="5" t="s">
        <v>240</v>
      </c>
      <c r="DK2563" s="5" t="s">
        <v>240</v>
      </c>
      <c r="DL2563" s="5" t="s">
        <v>240</v>
      </c>
      <c r="DP2563" s="5" t="s">
        <v>240</v>
      </c>
      <c r="DQ2563" s="5" t="s">
        <v>240</v>
      </c>
      <c r="DR2563" s="5" t="s">
        <v>240</v>
      </c>
      <c r="DS2563" s="5" t="s">
        <v>240</v>
      </c>
      <c r="DV2563" s="5" t="s">
        <v>310</v>
      </c>
      <c r="DW2563" s="5" t="s">
        <v>3178</v>
      </c>
      <c r="HO2563" s="5" t="s">
        <v>312</v>
      </c>
    </row>
    <row r="2564" spans="1:223" x14ac:dyDescent="0.4">
      <c r="A2564" s="5">
        <v>4268</v>
      </c>
      <c r="B2564" s="5">
        <v>1</v>
      </c>
      <c r="C2564" s="5">
        <v>1</v>
      </c>
      <c r="D2564" s="5" t="s">
        <v>810</v>
      </c>
      <c r="E2564" s="5" t="s">
        <v>245</v>
      </c>
      <c r="F2564" s="5" t="s">
        <v>254</v>
      </c>
      <c r="G2564" s="5" t="s">
        <v>240</v>
      </c>
      <c r="H2564" s="6" t="s">
        <v>3416</v>
      </c>
      <c r="I2564" s="5" t="s">
        <v>809</v>
      </c>
      <c r="J2564" s="8">
        <f>235</f>
        <v>235</v>
      </c>
      <c r="K2564" s="5" t="s">
        <v>308</v>
      </c>
      <c r="L2564" s="7">
        <f>1</f>
        <v>1</v>
      </c>
      <c r="M2564" s="7">
        <f>1</f>
        <v>1</v>
      </c>
      <c r="N2564" s="5" t="s">
        <v>242</v>
      </c>
      <c r="O2564" s="5">
        <v>1</v>
      </c>
      <c r="P2564" s="5" t="s">
        <v>294</v>
      </c>
      <c r="Q2564" s="5" t="s">
        <v>266</v>
      </c>
      <c r="R2564" s="5" t="s">
        <v>240</v>
      </c>
      <c r="S2564" s="5" t="s">
        <v>240</v>
      </c>
      <c r="T2564" s="5" t="s">
        <v>296</v>
      </c>
      <c r="U2564" s="5" t="s">
        <v>244</v>
      </c>
      <c r="V2564" s="5" t="s">
        <v>240</v>
      </c>
      <c r="Y2564" s="5" t="s">
        <v>240</v>
      </c>
      <c r="Z2564" s="6" t="s">
        <v>298</v>
      </c>
      <c r="AB2564" s="6" t="s">
        <v>240</v>
      </c>
      <c r="AE2564" s="6" t="s">
        <v>299</v>
      </c>
      <c r="AF2564" s="5" t="s">
        <v>248</v>
      </c>
      <c r="AG2564" s="5" t="s">
        <v>249</v>
      </c>
      <c r="AW2564" s="5" t="s">
        <v>251</v>
      </c>
      <c r="AX2564" s="5" t="s">
        <v>240</v>
      </c>
      <c r="AY2564" s="5" t="s">
        <v>253</v>
      </c>
      <c r="AZ2564" s="5" t="s">
        <v>240</v>
      </c>
      <c r="BA2564" s="5" t="s">
        <v>255</v>
      </c>
      <c r="BB2564" s="5" t="s">
        <v>240</v>
      </c>
      <c r="BD2564" s="5" t="s">
        <v>240</v>
      </c>
      <c r="BF2564" s="5" t="s">
        <v>301</v>
      </c>
      <c r="BG2564" s="6" t="s">
        <v>299</v>
      </c>
      <c r="BH2564" s="5" t="s">
        <v>302</v>
      </c>
      <c r="BI2564" s="5" t="s">
        <v>303</v>
      </c>
      <c r="BJ2564" s="5" t="s">
        <v>240</v>
      </c>
      <c r="BK2564" s="8">
        <f>0</f>
        <v>0</v>
      </c>
      <c r="BL2564" s="7">
        <f>0</f>
        <v>0</v>
      </c>
      <c r="BM2564" s="5" t="s">
        <v>258</v>
      </c>
      <c r="BN2564" s="5" t="s">
        <v>259</v>
      </c>
      <c r="CB2564" s="5" t="s">
        <v>240</v>
      </c>
      <c r="CC2564" s="5" t="s">
        <v>240</v>
      </c>
      <c r="CG2564" s="5" t="s">
        <v>304</v>
      </c>
      <c r="CH2564" s="5" t="s">
        <v>305</v>
      </c>
      <c r="CI2564" s="5" t="s">
        <v>240</v>
      </c>
      <c r="CL2564" s="6" t="s">
        <v>261</v>
      </c>
      <c r="CM2564" s="5" t="s">
        <v>240</v>
      </c>
      <c r="CN2564" s="5" t="s">
        <v>263</v>
      </c>
      <c r="CO2564" s="5" t="s">
        <v>240</v>
      </c>
      <c r="CP2564" s="5" t="s">
        <v>240</v>
      </c>
      <c r="CQ2564" s="5">
        <v>0</v>
      </c>
      <c r="CR2564" s="5" t="s">
        <v>306</v>
      </c>
      <c r="CS2564" s="5" t="s">
        <v>307</v>
      </c>
      <c r="CT2564" s="5" t="s">
        <v>307</v>
      </c>
      <c r="CU2564" s="5" t="s">
        <v>260</v>
      </c>
      <c r="CX2564" s="7">
        <f>1</f>
        <v>1</v>
      </c>
      <c r="CY2564" s="7">
        <f>0</f>
        <v>0</v>
      </c>
      <c r="DA2564" s="7">
        <f>0</f>
        <v>0</v>
      </c>
      <c r="DC2564" s="5" t="s">
        <v>812</v>
      </c>
      <c r="DD2564" s="5" t="s">
        <v>240</v>
      </c>
      <c r="DF2564" s="5" t="s">
        <v>812</v>
      </c>
      <c r="DG2564" s="7">
        <f>1508</f>
        <v>1508</v>
      </c>
      <c r="DI2564" s="5" t="s">
        <v>240</v>
      </c>
      <c r="DJ2564" s="5" t="s">
        <v>240</v>
      </c>
      <c r="DK2564" s="5" t="s">
        <v>240</v>
      </c>
      <c r="DL2564" s="5" t="s">
        <v>240</v>
      </c>
      <c r="DP2564" s="5" t="s">
        <v>240</v>
      </c>
      <c r="DQ2564" s="5" t="s">
        <v>240</v>
      </c>
      <c r="DR2564" s="5" t="s">
        <v>240</v>
      </c>
      <c r="DS2564" s="5" t="s">
        <v>240</v>
      </c>
      <c r="DV2564" s="5" t="s">
        <v>813</v>
      </c>
      <c r="DW2564" s="5" t="s">
        <v>4675</v>
      </c>
      <c r="HO2564" s="5" t="s">
        <v>312</v>
      </c>
    </row>
    <row r="2565" spans="1:223" x14ac:dyDescent="0.4">
      <c r="A2565" s="5">
        <v>4269</v>
      </c>
      <c r="B2565" s="5">
        <v>1</v>
      </c>
      <c r="C2565" s="5">
        <v>1</v>
      </c>
      <c r="D2565" s="5" t="s">
        <v>810</v>
      </c>
      <c r="E2565" s="5" t="s">
        <v>245</v>
      </c>
      <c r="F2565" s="5" t="s">
        <v>254</v>
      </c>
      <c r="G2565" s="5" t="s">
        <v>240</v>
      </c>
      <c r="H2565" s="6" t="s">
        <v>3414</v>
      </c>
      <c r="I2565" s="5" t="s">
        <v>809</v>
      </c>
      <c r="J2565" s="8">
        <f>327</f>
        <v>327</v>
      </c>
      <c r="K2565" s="5" t="s">
        <v>308</v>
      </c>
      <c r="L2565" s="7">
        <f>1</f>
        <v>1</v>
      </c>
      <c r="M2565" s="7">
        <f>1</f>
        <v>1</v>
      </c>
      <c r="N2565" s="5" t="s">
        <v>242</v>
      </c>
      <c r="O2565" s="5">
        <v>1</v>
      </c>
      <c r="P2565" s="5" t="s">
        <v>294</v>
      </c>
      <c r="Q2565" s="5" t="s">
        <v>266</v>
      </c>
      <c r="R2565" s="5" t="s">
        <v>240</v>
      </c>
      <c r="S2565" s="5" t="s">
        <v>240</v>
      </c>
      <c r="T2565" s="5" t="s">
        <v>296</v>
      </c>
      <c r="U2565" s="5" t="s">
        <v>244</v>
      </c>
      <c r="V2565" s="5" t="s">
        <v>240</v>
      </c>
      <c r="Y2565" s="5" t="s">
        <v>240</v>
      </c>
      <c r="Z2565" s="6" t="s">
        <v>298</v>
      </c>
      <c r="AB2565" s="6" t="s">
        <v>240</v>
      </c>
      <c r="AE2565" s="6" t="s">
        <v>299</v>
      </c>
      <c r="AF2565" s="5" t="s">
        <v>248</v>
      </c>
      <c r="AG2565" s="5" t="s">
        <v>249</v>
      </c>
      <c r="AW2565" s="5" t="s">
        <v>251</v>
      </c>
      <c r="AX2565" s="5" t="s">
        <v>240</v>
      </c>
      <c r="AY2565" s="5" t="s">
        <v>253</v>
      </c>
      <c r="AZ2565" s="5" t="s">
        <v>240</v>
      </c>
      <c r="BA2565" s="5" t="s">
        <v>255</v>
      </c>
      <c r="BB2565" s="5" t="s">
        <v>240</v>
      </c>
      <c r="BD2565" s="5" t="s">
        <v>240</v>
      </c>
      <c r="BF2565" s="5" t="s">
        <v>301</v>
      </c>
      <c r="BG2565" s="6" t="s">
        <v>299</v>
      </c>
      <c r="BH2565" s="5" t="s">
        <v>302</v>
      </c>
      <c r="BI2565" s="5" t="s">
        <v>303</v>
      </c>
      <c r="BJ2565" s="5" t="s">
        <v>240</v>
      </c>
      <c r="BK2565" s="8">
        <f>0</f>
        <v>0</v>
      </c>
      <c r="BL2565" s="7">
        <f>0</f>
        <v>0</v>
      </c>
      <c r="BM2565" s="5" t="s">
        <v>258</v>
      </c>
      <c r="BN2565" s="5" t="s">
        <v>259</v>
      </c>
      <c r="CB2565" s="5" t="s">
        <v>240</v>
      </c>
      <c r="CC2565" s="5" t="s">
        <v>240</v>
      </c>
      <c r="CG2565" s="5" t="s">
        <v>304</v>
      </c>
      <c r="CH2565" s="5" t="s">
        <v>305</v>
      </c>
      <c r="CI2565" s="5" t="s">
        <v>240</v>
      </c>
      <c r="CL2565" s="6" t="s">
        <v>261</v>
      </c>
      <c r="CM2565" s="5" t="s">
        <v>240</v>
      </c>
      <c r="CN2565" s="5" t="s">
        <v>263</v>
      </c>
      <c r="CO2565" s="5" t="s">
        <v>240</v>
      </c>
      <c r="CP2565" s="5" t="s">
        <v>240</v>
      </c>
      <c r="CQ2565" s="5">
        <v>0</v>
      </c>
      <c r="CR2565" s="5" t="s">
        <v>306</v>
      </c>
      <c r="CS2565" s="5" t="s">
        <v>307</v>
      </c>
      <c r="CT2565" s="5" t="s">
        <v>307</v>
      </c>
      <c r="CU2565" s="5" t="s">
        <v>260</v>
      </c>
      <c r="CX2565" s="7">
        <f>1</f>
        <v>1</v>
      </c>
      <c r="CY2565" s="7">
        <f>0</f>
        <v>0</v>
      </c>
      <c r="DA2565" s="7">
        <f>0</f>
        <v>0</v>
      </c>
      <c r="DC2565" s="5" t="s">
        <v>309</v>
      </c>
      <c r="DD2565" s="5" t="s">
        <v>240</v>
      </c>
      <c r="DF2565" s="5" t="s">
        <v>309</v>
      </c>
      <c r="DG2565" s="7">
        <f>2919</f>
        <v>2919</v>
      </c>
      <c r="DI2565" s="5" t="s">
        <v>240</v>
      </c>
      <c r="DJ2565" s="5" t="s">
        <v>240</v>
      </c>
      <c r="DK2565" s="5" t="s">
        <v>240</v>
      </c>
      <c r="DL2565" s="5" t="s">
        <v>240</v>
      </c>
      <c r="DP2565" s="5" t="s">
        <v>240</v>
      </c>
      <c r="DQ2565" s="5" t="s">
        <v>240</v>
      </c>
      <c r="DR2565" s="5" t="s">
        <v>240</v>
      </c>
      <c r="DS2565" s="5" t="s">
        <v>240</v>
      </c>
      <c r="DV2565" s="5" t="s">
        <v>310</v>
      </c>
      <c r="DW2565" s="5" t="s">
        <v>3182</v>
      </c>
      <c r="HO2565" s="5" t="s">
        <v>312</v>
      </c>
    </row>
    <row r="2566" spans="1:223" x14ac:dyDescent="0.4">
      <c r="A2566" s="5">
        <v>4270</v>
      </c>
      <c r="B2566" s="5">
        <v>1</v>
      </c>
      <c r="C2566" s="5">
        <v>1</v>
      </c>
      <c r="D2566" s="5" t="s">
        <v>810</v>
      </c>
      <c r="E2566" s="5" t="s">
        <v>245</v>
      </c>
      <c r="F2566" s="5" t="s">
        <v>254</v>
      </c>
      <c r="G2566" s="5" t="s">
        <v>240</v>
      </c>
      <c r="H2566" s="6" t="s">
        <v>3412</v>
      </c>
      <c r="I2566" s="5" t="s">
        <v>809</v>
      </c>
      <c r="J2566" s="8">
        <f>84</f>
        <v>84</v>
      </c>
      <c r="K2566" s="5" t="s">
        <v>308</v>
      </c>
      <c r="L2566" s="7">
        <f>1</f>
        <v>1</v>
      </c>
      <c r="M2566" s="7">
        <f>1</f>
        <v>1</v>
      </c>
      <c r="N2566" s="5" t="s">
        <v>242</v>
      </c>
      <c r="O2566" s="5">
        <v>1</v>
      </c>
      <c r="P2566" s="5" t="s">
        <v>294</v>
      </c>
      <c r="Q2566" s="5" t="s">
        <v>266</v>
      </c>
      <c r="R2566" s="5" t="s">
        <v>240</v>
      </c>
      <c r="S2566" s="5" t="s">
        <v>240</v>
      </c>
      <c r="T2566" s="5" t="s">
        <v>296</v>
      </c>
      <c r="U2566" s="5" t="s">
        <v>244</v>
      </c>
      <c r="V2566" s="5" t="s">
        <v>240</v>
      </c>
      <c r="Y2566" s="5" t="s">
        <v>240</v>
      </c>
      <c r="Z2566" s="6" t="s">
        <v>298</v>
      </c>
      <c r="AB2566" s="6" t="s">
        <v>240</v>
      </c>
      <c r="AE2566" s="6" t="s">
        <v>299</v>
      </c>
      <c r="AF2566" s="5" t="s">
        <v>248</v>
      </c>
      <c r="AG2566" s="5" t="s">
        <v>249</v>
      </c>
      <c r="AW2566" s="5" t="s">
        <v>251</v>
      </c>
      <c r="AX2566" s="5" t="s">
        <v>240</v>
      </c>
      <c r="AY2566" s="5" t="s">
        <v>253</v>
      </c>
      <c r="AZ2566" s="5" t="s">
        <v>240</v>
      </c>
      <c r="BA2566" s="5" t="s">
        <v>255</v>
      </c>
      <c r="BB2566" s="5" t="s">
        <v>240</v>
      </c>
      <c r="BD2566" s="5" t="s">
        <v>240</v>
      </c>
      <c r="BF2566" s="5" t="s">
        <v>301</v>
      </c>
      <c r="BG2566" s="6" t="s">
        <v>299</v>
      </c>
      <c r="BH2566" s="5" t="s">
        <v>302</v>
      </c>
      <c r="BI2566" s="5" t="s">
        <v>303</v>
      </c>
      <c r="BJ2566" s="5" t="s">
        <v>240</v>
      </c>
      <c r="BK2566" s="8">
        <f>0</f>
        <v>0</v>
      </c>
      <c r="BL2566" s="7">
        <f>0</f>
        <v>0</v>
      </c>
      <c r="BM2566" s="5" t="s">
        <v>258</v>
      </c>
      <c r="BN2566" s="5" t="s">
        <v>259</v>
      </c>
      <c r="CB2566" s="5" t="s">
        <v>240</v>
      </c>
      <c r="CC2566" s="5" t="s">
        <v>240</v>
      </c>
      <c r="CG2566" s="5" t="s">
        <v>304</v>
      </c>
      <c r="CH2566" s="5" t="s">
        <v>305</v>
      </c>
      <c r="CI2566" s="5" t="s">
        <v>240</v>
      </c>
      <c r="CL2566" s="6" t="s">
        <v>261</v>
      </c>
      <c r="CM2566" s="5" t="s">
        <v>240</v>
      </c>
      <c r="CN2566" s="5" t="s">
        <v>263</v>
      </c>
      <c r="CO2566" s="5" t="s">
        <v>240</v>
      </c>
      <c r="CP2566" s="5" t="s">
        <v>240</v>
      </c>
      <c r="CQ2566" s="5">
        <v>0</v>
      </c>
      <c r="CR2566" s="5" t="s">
        <v>306</v>
      </c>
      <c r="CS2566" s="5" t="s">
        <v>307</v>
      </c>
      <c r="CT2566" s="5" t="s">
        <v>307</v>
      </c>
      <c r="CU2566" s="5" t="s">
        <v>260</v>
      </c>
      <c r="CX2566" s="7">
        <f>1</f>
        <v>1</v>
      </c>
      <c r="CY2566" s="7">
        <f>0</f>
        <v>0</v>
      </c>
      <c r="DA2566" s="7">
        <f>0</f>
        <v>0</v>
      </c>
      <c r="DC2566" s="5" t="s">
        <v>812</v>
      </c>
      <c r="DD2566" s="5" t="s">
        <v>240</v>
      </c>
      <c r="DF2566" s="5" t="s">
        <v>812</v>
      </c>
      <c r="DG2566" s="7">
        <f>713</f>
        <v>713</v>
      </c>
      <c r="DI2566" s="5" t="s">
        <v>240</v>
      </c>
      <c r="DJ2566" s="5" t="s">
        <v>240</v>
      </c>
      <c r="DK2566" s="5" t="s">
        <v>240</v>
      </c>
      <c r="DL2566" s="5" t="s">
        <v>240</v>
      </c>
      <c r="DP2566" s="5" t="s">
        <v>240</v>
      </c>
      <c r="DQ2566" s="5" t="s">
        <v>240</v>
      </c>
      <c r="DR2566" s="5" t="s">
        <v>240</v>
      </c>
      <c r="DS2566" s="5" t="s">
        <v>240</v>
      </c>
      <c r="DV2566" s="5" t="s">
        <v>813</v>
      </c>
      <c r="DW2566" s="5" t="s">
        <v>4678</v>
      </c>
      <c r="HO2566" s="5" t="s">
        <v>312</v>
      </c>
    </row>
    <row r="2567" spans="1:223" x14ac:dyDescent="0.4">
      <c r="A2567" s="5">
        <v>4271</v>
      </c>
      <c r="B2567" s="5">
        <v>1</v>
      </c>
      <c r="C2567" s="5">
        <v>1</v>
      </c>
      <c r="D2567" s="5" t="s">
        <v>810</v>
      </c>
      <c r="E2567" s="5" t="s">
        <v>245</v>
      </c>
      <c r="F2567" s="5" t="s">
        <v>254</v>
      </c>
      <c r="G2567" s="5" t="s">
        <v>240</v>
      </c>
      <c r="H2567" s="6" t="s">
        <v>3410</v>
      </c>
      <c r="I2567" s="5" t="s">
        <v>809</v>
      </c>
      <c r="J2567" s="8">
        <f>1126</f>
        <v>1126</v>
      </c>
      <c r="K2567" s="5" t="s">
        <v>308</v>
      </c>
      <c r="L2567" s="7">
        <f>1</f>
        <v>1</v>
      </c>
      <c r="M2567" s="7">
        <f>1</f>
        <v>1</v>
      </c>
      <c r="N2567" s="5" t="s">
        <v>242</v>
      </c>
      <c r="O2567" s="5">
        <v>1</v>
      </c>
      <c r="P2567" s="5" t="s">
        <v>294</v>
      </c>
      <c r="Q2567" s="5" t="s">
        <v>266</v>
      </c>
      <c r="R2567" s="5" t="s">
        <v>240</v>
      </c>
      <c r="S2567" s="5" t="s">
        <v>240</v>
      </c>
      <c r="T2567" s="5" t="s">
        <v>296</v>
      </c>
      <c r="U2567" s="5" t="s">
        <v>244</v>
      </c>
      <c r="V2567" s="5" t="s">
        <v>240</v>
      </c>
      <c r="Y2567" s="5" t="s">
        <v>240</v>
      </c>
      <c r="Z2567" s="6" t="s">
        <v>298</v>
      </c>
      <c r="AB2567" s="6" t="s">
        <v>240</v>
      </c>
      <c r="AE2567" s="6" t="s">
        <v>299</v>
      </c>
      <c r="AF2567" s="5" t="s">
        <v>248</v>
      </c>
      <c r="AG2567" s="5" t="s">
        <v>249</v>
      </c>
      <c r="AW2567" s="5" t="s">
        <v>251</v>
      </c>
      <c r="AX2567" s="5" t="s">
        <v>240</v>
      </c>
      <c r="AY2567" s="5" t="s">
        <v>253</v>
      </c>
      <c r="AZ2567" s="5" t="s">
        <v>240</v>
      </c>
      <c r="BA2567" s="5" t="s">
        <v>255</v>
      </c>
      <c r="BB2567" s="5" t="s">
        <v>240</v>
      </c>
      <c r="BD2567" s="5" t="s">
        <v>240</v>
      </c>
      <c r="BF2567" s="5" t="s">
        <v>301</v>
      </c>
      <c r="BG2567" s="6" t="s">
        <v>299</v>
      </c>
      <c r="BH2567" s="5" t="s">
        <v>302</v>
      </c>
      <c r="BI2567" s="5" t="s">
        <v>303</v>
      </c>
      <c r="BJ2567" s="5" t="s">
        <v>240</v>
      </c>
      <c r="BK2567" s="8">
        <f>0</f>
        <v>0</v>
      </c>
      <c r="BL2567" s="7">
        <f>0</f>
        <v>0</v>
      </c>
      <c r="BM2567" s="5" t="s">
        <v>258</v>
      </c>
      <c r="BN2567" s="5" t="s">
        <v>259</v>
      </c>
      <c r="CB2567" s="5" t="s">
        <v>240</v>
      </c>
      <c r="CC2567" s="5" t="s">
        <v>240</v>
      </c>
      <c r="CG2567" s="5" t="s">
        <v>304</v>
      </c>
      <c r="CH2567" s="5" t="s">
        <v>305</v>
      </c>
      <c r="CI2567" s="5" t="s">
        <v>240</v>
      </c>
      <c r="CL2567" s="6" t="s">
        <v>261</v>
      </c>
      <c r="CM2567" s="5" t="s">
        <v>240</v>
      </c>
      <c r="CN2567" s="5" t="s">
        <v>263</v>
      </c>
      <c r="CO2567" s="5" t="s">
        <v>240</v>
      </c>
      <c r="CP2567" s="5" t="s">
        <v>240</v>
      </c>
      <c r="CQ2567" s="5">
        <v>0</v>
      </c>
      <c r="CR2567" s="5" t="s">
        <v>306</v>
      </c>
      <c r="CS2567" s="5" t="s">
        <v>307</v>
      </c>
      <c r="CT2567" s="5" t="s">
        <v>307</v>
      </c>
      <c r="CU2567" s="5" t="s">
        <v>260</v>
      </c>
      <c r="CX2567" s="7">
        <f>1</f>
        <v>1</v>
      </c>
      <c r="CY2567" s="7">
        <f>0</f>
        <v>0</v>
      </c>
      <c r="DA2567" s="7">
        <f>0</f>
        <v>0</v>
      </c>
      <c r="DC2567" s="5" t="s">
        <v>309</v>
      </c>
      <c r="DD2567" s="5" t="s">
        <v>240</v>
      </c>
      <c r="DF2567" s="5" t="s">
        <v>309</v>
      </c>
      <c r="DG2567" s="7">
        <f>1485</f>
        <v>1485</v>
      </c>
      <c r="DI2567" s="5" t="s">
        <v>240</v>
      </c>
      <c r="DJ2567" s="5" t="s">
        <v>240</v>
      </c>
      <c r="DK2567" s="5" t="s">
        <v>240</v>
      </c>
      <c r="DL2567" s="5" t="s">
        <v>240</v>
      </c>
      <c r="DP2567" s="5" t="s">
        <v>240</v>
      </c>
      <c r="DQ2567" s="5" t="s">
        <v>240</v>
      </c>
      <c r="DR2567" s="5" t="s">
        <v>240</v>
      </c>
      <c r="DS2567" s="5" t="s">
        <v>240</v>
      </c>
      <c r="DV2567" s="5" t="s">
        <v>310</v>
      </c>
      <c r="DW2567" s="5" t="s">
        <v>3186</v>
      </c>
      <c r="HO2567" s="5" t="s">
        <v>312</v>
      </c>
    </row>
    <row r="2568" spans="1:223" x14ac:dyDescent="0.4">
      <c r="A2568" s="5">
        <v>4272</v>
      </c>
      <c r="B2568" s="5">
        <v>1</v>
      </c>
      <c r="C2568" s="5">
        <v>1</v>
      </c>
      <c r="D2568" s="5" t="s">
        <v>810</v>
      </c>
      <c r="E2568" s="5" t="s">
        <v>245</v>
      </c>
      <c r="F2568" s="5" t="s">
        <v>254</v>
      </c>
      <c r="G2568" s="5" t="s">
        <v>240</v>
      </c>
      <c r="H2568" s="6" t="s">
        <v>3408</v>
      </c>
      <c r="I2568" s="5" t="s">
        <v>809</v>
      </c>
      <c r="J2568" s="8">
        <f>1299</f>
        <v>1299</v>
      </c>
      <c r="K2568" s="5" t="s">
        <v>308</v>
      </c>
      <c r="L2568" s="7">
        <f>1</f>
        <v>1</v>
      </c>
      <c r="M2568" s="7">
        <f>1</f>
        <v>1</v>
      </c>
      <c r="N2568" s="5" t="s">
        <v>242</v>
      </c>
      <c r="O2568" s="5">
        <v>1</v>
      </c>
      <c r="P2568" s="5" t="s">
        <v>294</v>
      </c>
      <c r="Q2568" s="5" t="s">
        <v>266</v>
      </c>
      <c r="R2568" s="5" t="s">
        <v>240</v>
      </c>
      <c r="S2568" s="5" t="s">
        <v>240</v>
      </c>
      <c r="T2568" s="5" t="s">
        <v>296</v>
      </c>
      <c r="U2568" s="5" t="s">
        <v>244</v>
      </c>
      <c r="V2568" s="5" t="s">
        <v>240</v>
      </c>
      <c r="Y2568" s="5" t="s">
        <v>240</v>
      </c>
      <c r="Z2568" s="6" t="s">
        <v>298</v>
      </c>
      <c r="AB2568" s="6" t="s">
        <v>240</v>
      </c>
      <c r="AE2568" s="6" t="s">
        <v>299</v>
      </c>
      <c r="AF2568" s="5" t="s">
        <v>248</v>
      </c>
      <c r="AG2568" s="5" t="s">
        <v>249</v>
      </c>
      <c r="AW2568" s="5" t="s">
        <v>251</v>
      </c>
      <c r="AX2568" s="5" t="s">
        <v>240</v>
      </c>
      <c r="AY2568" s="5" t="s">
        <v>253</v>
      </c>
      <c r="AZ2568" s="5" t="s">
        <v>240</v>
      </c>
      <c r="BA2568" s="5" t="s">
        <v>255</v>
      </c>
      <c r="BB2568" s="5" t="s">
        <v>240</v>
      </c>
      <c r="BD2568" s="5" t="s">
        <v>240</v>
      </c>
      <c r="BF2568" s="5" t="s">
        <v>301</v>
      </c>
      <c r="BG2568" s="6" t="s">
        <v>299</v>
      </c>
      <c r="BH2568" s="5" t="s">
        <v>302</v>
      </c>
      <c r="BI2568" s="5" t="s">
        <v>303</v>
      </c>
      <c r="BJ2568" s="5" t="s">
        <v>240</v>
      </c>
      <c r="BK2568" s="8">
        <f>0</f>
        <v>0</v>
      </c>
      <c r="BL2568" s="7">
        <f>0</f>
        <v>0</v>
      </c>
      <c r="BM2568" s="5" t="s">
        <v>258</v>
      </c>
      <c r="BN2568" s="5" t="s">
        <v>259</v>
      </c>
      <c r="CB2568" s="5" t="s">
        <v>240</v>
      </c>
      <c r="CC2568" s="5" t="s">
        <v>240</v>
      </c>
      <c r="CG2568" s="5" t="s">
        <v>304</v>
      </c>
      <c r="CH2568" s="5" t="s">
        <v>305</v>
      </c>
      <c r="CI2568" s="5" t="s">
        <v>240</v>
      </c>
      <c r="CL2568" s="6" t="s">
        <v>261</v>
      </c>
      <c r="CM2568" s="5" t="s">
        <v>240</v>
      </c>
      <c r="CN2568" s="5" t="s">
        <v>263</v>
      </c>
      <c r="CO2568" s="5" t="s">
        <v>240</v>
      </c>
      <c r="CP2568" s="5" t="s">
        <v>240</v>
      </c>
      <c r="CQ2568" s="5">
        <v>0</v>
      </c>
      <c r="CR2568" s="5" t="s">
        <v>306</v>
      </c>
      <c r="CS2568" s="5" t="s">
        <v>307</v>
      </c>
      <c r="CT2568" s="5" t="s">
        <v>307</v>
      </c>
      <c r="CU2568" s="5" t="s">
        <v>260</v>
      </c>
      <c r="CX2568" s="7">
        <f>1</f>
        <v>1</v>
      </c>
      <c r="CY2568" s="7">
        <f>0</f>
        <v>0</v>
      </c>
      <c r="DA2568" s="7">
        <f>0</f>
        <v>0</v>
      </c>
      <c r="DC2568" s="5" t="s">
        <v>309</v>
      </c>
      <c r="DD2568" s="5" t="s">
        <v>240</v>
      </c>
      <c r="DF2568" s="5" t="s">
        <v>309</v>
      </c>
      <c r="DG2568" s="7">
        <f>5366</f>
        <v>5366</v>
      </c>
      <c r="DI2568" s="5" t="s">
        <v>240</v>
      </c>
      <c r="DJ2568" s="5" t="s">
        <v>240</v>
      </c>
      <c r="DK2568" s="5" t="s">
        <v>240</v>
      </c>
      <c r="DL2568" s="5" t="s">
        <v>240</v>
      </c>
      <c r="DP2568" s="5" t="s">
        <v>240</v>
      </c>
      <c r="DQ2568" s="5" t="s">
        <v>240</v>
      </c>
      <c r="DR2568" s="5" t="s">
        <v>240</v>
      </c>
      <c r="DS2568" s="5" t="s">
        <v>240</v>
      </c>
      <c r="DV2568" s="5" t="s">
        <v>310</v>
      </c>
      <c r="DW2568" s="5" t="s">
        <v>3188</v>
      </c>
      <c r="HO2568" s="5" t="s">
        <v>312</v>
      </c>
    </row>
    <row r="2569" spans="1:223" x14ac:dyDescent="0.4">
      <c r="A2569" s="5">
        <v>4273</v>
      </c>
      <c r="B2569" s="5">
        <v>1</v>
      </c>
      <c r="C2569" s="5">
        <v>1</v>
      </c>
      <c r="D2569" s="5" t="s">
        <v>810</v>
      </c>
      <c r="E2569" s="5" t="s">
        <v>245</v>
      </c>
      <c r="F2569" s="5" t="s">
        <v>254</v>
      </c>
      <c r="G2569" s="5" t="s">
        <v>240</v>
      </c>
      <c r="H2569" s="6" t="s">
        <v>3406</v>
      </c>
      <c r="I2569" s="5" t="s">
        <v>809</v>
      </c>
      <c r="J2569" s="8">
        <f>500</f>
        <v>500</v>
      </c>
      <c r="K2569" s="5" t="s">
        <v>308</v>
      </c>
      <c r="L2569" s="7">
        <f>1</f>
        <v>1</v>
      </c>
      <c r="M2569" s="7">
        <f>1</f>
        <v>1</v>
      </c>
      <c r="N2569" s="5" t="s">
        <v>242</v>
      </c>
      <c r="O2569" s="5">
        <v>1</v>
      </c>
      <c r="P2569" s="5" t="s">
        <v>294</v>
      </c>
      <c r="Q2569" s="5" t="s">
        <v>266</v>
      </c>
      <c r="R2569" s="5" t="s">
        <v>240</v>
      </c>
      <c r="S2569" s="5" t="s">
        <v>240</v>
      </c>
      <c r="T2569" s="5" t="s">
        <v>296</v>
      </c>
      <c r="U2569" s="5" t="s">
        <v>244</v>
      </c>
      <c r="V2569" s="5" t="s">
        <v>240</v>
      </c>
      <c r="Y2569" s="5" t="s">
        <v>240</v>
      </c>
      <c r="Z2569" s="6" t="s">
        <v>298</v>
      </c>
      <c r="AB2569" s="6" t="s">
        <v>240</v>
      </c>
      <c r="AE2569" s="6" t="s">
        <v>299</v>
      </c>
      <c r="AF2569" s="5" t="s">
        <v>248</v>
      </c>
      <c r="AG2569" s="5" t="s">
        <v>249</v>
      </c>
      <c r="AW2569" s="5" t="s">
        <v>251</v>
      </c>
      <c r="AX2569" s="5" t="s">
        <v>240</v>
      </c>
      <c r="AY2569" s="5" t="s">
        <v>253</v>
      </c>
      <c r="AZ2569" s="5" t="s">
        <v>240</v>
      </c>
      <c r="BA2569" s="5" t="s">
        <v>255</v>
      </c>
      <c r="BB2569" s="5" t="s">
        <v>240</v>
      </c>
      <c r="BD2569" s="5" t="s">
        <v>240</v>
      </c>
      <c r="BF2569" s="5" t="s">
        <v>301</v>
      </c>
      <c r="BG2569" s="6" t="s">
        <v>299</v>
      </c>
      <c r="BH2569" s="5" t="s">
        <v>302</v>
      </c>
      <c r="BI2569" s="5" t="s">
        <v>303</v>
      </c>
      <c r="BJ2569" s="5" t="s">
        <v>240</v>
      </c>
      <c r="BK2569" s="8">
        <f>0</f>
        <v>0</v>
      </c>
      <c r="BL2569" s="7">
        <f>0</f>
        <v>0</v>
      </c>
      <c r="BM2569" s="5" t="s">
        <v>258</v>
      </c>
      <c r="BN2569" s="5" t="s">
        <v>259</v>
      </c>
      <c r="CB2569" s="5" t="s">
        <v>240</v>
      </c>
      <c r="CC2569" s="5" t="s">
        <v>240</v>
      </c>
      <c r="CG2569" s="5" t="s">
        <v>304</v>
      </c>
      <c r="CH2569" s="5" t="s">
        <v>305</v>
      </c>
      <c r="CI2569" s="5" t="s">
        <v>240</v>
      </c>
      <c r="CL2569" s="6" t="s">
        <v>261</v>
      </c>
      <c r="CM2569" s="5" t="s">
        <v>240</v>
      </c>
      <c r="CN2569" s="5" t="s">
        <v>263</v>
      </c>
      <c r="CO2569" s="5" t="s">
        <v>240</v>
      </c>
      <c r="CP2569" s="5" t="s">
        <v>240</v>
      </c>
      <c r="CQ2569" s="5">
        <v>0</v>
      </c>
      <c r="CR2569" s="5" t="s">
        <v>306</v>
      </c>
      <c r="CS2569" s="5" t="s">
        <v>307</v>
      </c>
      <c r="CT2569" s="5" t="s">
        <v>307</v>
      </c>
      <c r="CU2569" s="5" t="s">
        <v>260</v>
      </c>
      <c r="CX2569" s="7">
        <f>1</f>
        <v>1</v>
      </c>
      <c r="CY2569" s="7">
        <f>0</f>
        <v>0</v>
      </c>
      <c r="DA2569" s="7">
        <f>0</f>
        <v>0</v>
      </c>
      <c r="DC2569" s="5" t="s">
        <v>309</v>
      </c>
      <c r="DD2569" s="5" t="s">
        <v>240</v>
      </c>
      <c r="DF2569" s="5" t="s">
        <v>309</v>
      </c>
      <c r="DG2569" s="7">
        <f>5833</f>
        <v>5833</v>
      </c>
      <c r="DI2569" s="5" t="s">
        <v>240</v>
      </c>
      <c r="DJ2569" s="5" t="s">
        <v>240</v>
      </c>
      <c r="DK2569" s="5" t="s">
        <v>240</v>
      </c>
      <c r="DL2569" s="5" t="s">
        <v>240</v>
      </c>
      <c r="DP2569" s="5" t="s">
        <v>240</v>
      </c>
      <c r="DQ2569" s="5" t="s">
        <v>240</v>
      </c>
      <c r="DR2569" s="5" t="s">
        <v>240</v>
      </c>
      <c r="DS2569" s="5" t="s">
        <v>240</v>
      </c>
      <c r="DV2569" s="5" t="s">
        <v>310</v>
      </c>
      <c r="DW2569" s="5" t="s">
        <v>3190</v>
      </c>
      <c r="HO2569" s="5" t="s">
        <v>312</v>
      </c>
    </row>
    <row r="2570" spans="1:223" x14ac:dyDescent="0.4">
      <c r="A2570" s="5">
        <v>4274</v>
      </c>
      <c r="B2570" s="5">
        <v>1</v>
      </c>
      <c r="C2570" s="5">
        <v>1</v>
      </c>
      <c r="D2570" s="5" t="s">
        <v>810</v>
      </c>
      <c r="E2570" s="5" t="s">
        <v>245</v>
      </c>
      <c r="F2570" s="5" t="s">
        <v>254</v>
      </c>
      <c r="G2570" s="5" t="s">
        <v>240</v>
      </c>
      <c r="H2570" s="6" t="s">
        <v>3404</v>
      </c>
      <c r="I2570" s="5" t="s">
        <v>809</v>
      </c>
      <c r="J2570" s="8">
        <f>109</f>
        <v>109</v>
      </c>
      <c r="K2570" s="5" t="s">
        <v>308</v>
      </c>
      <c r="L2570" s="7">
        <f>1</f>
        <v>1</v>
      </c>
      <c r="M2570" s="7">
        <f>1</f>
        <v>1</v>
      </c>
      <c r="N2570" s="5" t="s">
        <v>242</v>
      </c>
      <c r="O2570" s="5">
        <v>1</v>
      </c>
      <c r="P2570" s="5" t="s">
        <v>294</v>
      </c>
      <c r="Q2570" s="5" t="s">
        <v>266</v>
      </c>
      <c r="R2570" s="5" t="s">
        <v>240</v>
      </c>
      <c r="S2570" s="5" t="s">
        <v>240</v>
      </c>
      <c r="T2570" s="5" t="s">
        <v>296</v>
      </c>
      <c r="U2570" s="5" t="s">
        <v>244</v>
      </c>
      <c r="V2570" s="5" t="s">
        <v>240</v>
      </c>
      <c r="Y2570" s="5" t="s">
        <v>240</v>
      </c>
      <c r="Z2570" s="6" t="s">
        <v>298</v>
      </c>
      <c r="AB2570" s="6" t="s">
        <v>240</v>
      </c>
      <c r="AE2570" s="6" t="s">
        <v>299</v>
      </c>
      <c r="AF2570" s="5" t="s">
        <v>248</v>
      </c>
      <c r="AG2570" s="5" t="s">
        <v>249</v>
      </c>
      <c r="AW2570" s="5" t="s">
        <v>251</v>
      </c>
      <c r="AX2570" s="5" t="s">
        <v>240</v>
      </c>
      <c r="AY2570" s="5" t="s">
        <v>253</v>
      </c>
      <c r="AZ2570" s="5" t="s">
        <v>240</v>
      </c>
      <c r="BA2570" s="5" t="s">
        <v>255</v>
      </c>
      <c r="BB2570" s="5" t="s">
        <v>240</v>
      </c>
      <c r="BD2570" s="5" t="s">
        <v>240</v>
      </c>
      <c r="BF2570" s="5" t="s">
        <v>301</v>
      </c>
      <c r="BG2570" s="6" t="s">
        <v>299</v>
      </c>
      <c r="BH2570" s="5" t="s">
        <v>302</v>
      </c>
      <c r="BI2570" s="5" t="s">
        <v>303</v>
      </c>
      <c r="BJ2570" s="5" t="s">
        <v>240</v>
      </c>
      <c r="BK2570" s="8">
        <f>0</f>
        <v>0</v>
      </c>
      <c r="BL2570" s="7">
        <f>0</f>
        <v>0</v>
      </c>
      <c r="BM2570" s="5" t="s">
        <v>258</v>
      </c>
      <c r="BN2570" s="5" t="s">
        <v>259</v>
      </c>
      <c r="CB2570" s="5" t="s">
        <v>240</v>
      </c>
      <c r="CC2570" s="5" t="s">
        <v>240</v>
      </c>
      <c r="CG2570" s="5" t="s">
        <v>304</v>
      </c>
      <c r="CH2570" s="5" t="s">
        <v>305</v>
      </c>
      <c r="CI2570" s="5" t="s">
        <v>240</v>
      </c>
      <c r="CL2570" s="6" t="s">
        <v>261</v>
      </c>
      <c r="CM2570" s="5" t="s">
        <v>240</v>
      </c>
      <c r="CN2570" s="5" t="s">
        <v>263</v>
      </c>
      <c r="CO2570" s="5" t="s">
        <v>240</v>
      </c>
      <c r="CP2570" s="5" t="s">
        <v>240</v>
      </c>
      <c r="CQ2570" s="5">
        <v>0</v>
      </c>
      <c r="CR2570" s="5" t="s">
        <v>306</v>
      </c>
      <c r="CS2570" s="5" t="s">
        <v>307</v>
      </c>
      <c r="CT2570" s="5" t="s">
        <v>307</v>
      </c>
      <c r="CU2570" s="5" t="s">
        <v>260</v>
      </c>
      <c r="CX2570" s="7">
        <f>1</f>
        <v>1</v>
      </c>
      <c r="CY2570" s="7">
        <f>0</f>
        <v>0</v>
      </c>
      <c r="DA2570" s="7">
        <f>0</f>
        <v>0</v>
      </c>
      <c r="DC2570" s="5" t="s">
        <v>309</v>
      </c>
      <c r="DD2570" s="5" t="s">
        <v>240</v>
      </c>
      <c r="DF2570" s="5" t="s">
        <v>309</v>
      </c>
      <c r="DG2570" s="7">
        <f>373</f>
        <v>373</v>
      </c>
      <c r="DI2570" s="5" t="s">
        <v>240</v>
      </c>
      <c r="DJ2570" s="5" t="s">
        <v>240</v>
      </c>
      <c r="DK2570" s="5" t="s">
        <v>240</v>
      </c>
      <c r="DL2570" s="5" t="s">
        <v>240</v>
      </c>
      <c r="DP2570" s="5" t="s">
        <v>240</v>
      </c>
      <c r="DQ2570" s="5" t="s">
        <v>240</v>
      </c>
      <c r="DR2570" s="5" t="s">
        <v>240</v>
      </c>
      <c r="DS2570" s="5" t="s">
        <v>240</v>
      </c>
      <c r="DV2570" s="5" t="s">
        <v>310</v>
      </c>
      <c r="DW2570" s="5" t="s">
        <v>4683</v>
      </c>
      <c r="HO2570" s="5" t="s">
        <v>312</v>
      </c>
    </row>
    <row r="2571" spans="1:223" x14ac:dyDescent="0.4">
      <c r="A2571" s="5">
        <v>4275</v>
      </c>
      <c r="B2571" s="5">
        <v>1</v>
      </c>
      <c r="C2571" s="5">
        <v>1</v>
      </c>
      <c r="D2571" s="5" t="s">
        <v>810</v>
      </c>
      <c r="E2571" s="5" t="s">
        <v>245</v>
      </c>
      <c r="F2571" s="5" t="s">
        <v>254</v>
      </c>
      <c r="G2571" s="5" t="s">
        <v>240</v>
      </c>
      <c r="H2571" s="6" t="s">
        <v>3402</v>
      </c>
      <c r="I2571" s="5" t="s">
        <v>809</v>
      </c>
      <c r="J2571" s="8">
        <f>892</f>
        <v>892</v>
      </c>
      <c r="K2571" s="5" t="s">
        <v>308</v>
      </c>
      <c r="L2571" s="7">
        <f>1</f>
        <v>1</v>
      </c>
      <c r="M2571" s="7">
        <f>1</f>
        <v>1</v>
      </c>
      <c r="N2571" s="5" t="s">
        <v>242</v>
      </c>
      <c r="O2571" s="5">
        <v>1</v>
      </c>
      <c r="P2571" s="5" t="s">
        <v>294</v>
      </c>
      <c r="Q2571" s="5" t="s">
        <v>266</v>
      </c>
      <c r="R2571" s="5" t="s">
        <v>240</v>
      </c>
      <c r="S2571" s="5" t="s">
        <v>240</v>
      </c>
      <c r="T2571" s="5" t="s">
        <v>296</v>
      </c>
      <c r="U2571" s="5" t="s">
        <v>244</v>
      </c>
      <c r="V2571" s="5" t="s">
        <v>240</v>
      </c>
      <c r="Y2571" s="5" t="s">
        <v>240</v>
      </c>
      <c r="Z2571" s="6" t="s">
        <v>298</v>
      </c>
      <c r="AB2571" s="6" t="s">
        <v>240</v>
      </c>
      <c r="AE2571" s="6" t="s">
        <v>299</v>
      </c>
      <c r="AF2571" s="5" t="s">
        <v>248</v>
      </c>
      <c r="AG2571" s="5" t="s">
        <v>249</v>
      </c>
      <c r="AW2571" s="5" t="s">
        <v>251</v>
      </c>
      <c r="AX2571" s="5" t="s">
        <v>240</v>
      </c>
      <c r="AY2571" s="5" t="s">
        <v>253</v>
      </c>
      <c r="AZ2571" s="5" t="s">
        <v>240</v>
      </c>
      <c r="BA2571" s="5" t="s">
        <v>255</v>
      </c>
      <c r="BB2571" s="5" t="s">
        <v>240</v>
      </c>
      <c r="BD2571" s="5" t="s">
        <v>240</v>
      </c>
      <c r="BF2571" s="5" t="s">
        <v>301</v>
      </c>
      <c r="BG2571" s="6" t="s">
        <v>299</v>
      </c>
      <c r="BH2571" s="5" t="s">
        <v>302</v>
      </c>
      <c r="BI2571" s="5" t="s">
        <v>303</v>
      </c>
      <c r="BJ2571" s="5" t="s">
        <v>240</v>
      </c>
      <c r="BK2571" s="8">
        <f>0</f>
        <v>0</v>
      </c>
      <c r="BL2571" s="7">
        <f>0</f>
        <v>0</v>
      </c>
      <c r="BM2571" s="5" t="s">
        <v>258</v>
      </c>
      <c r="BN2571" s="5" t="s">
        <v>259</v>
      </c>
      <c r="CB2571" s="5" t="s">
        <v>240</v>
      </c>
      <c r="CC2571" s="5" t="s">
        <v>240</v>
      </c>
      <c r="CG2571" s="5" t="s">
        <v>304</v>
      </c>
      <c r="CH2571" s="5" t="s">
        <v>305</v>
      </c>
      <c r="CI2571" s="5" t="s">
        <v>240</v>
      </c>
      <c r="CL2571" s="6" t="s">
        <v>261</v>
      </c>
      <c r="CM2571" s="5" t="s">
        <v>240</v>
      </c>
      <c r="CN2571" s="5" t="s">
        <v>263</v>
      </c>
      <c r="CO2571" s="5" t="s">
        <v>240</v>
      </c>
      <c r="CP2571" s="5" t="s">
        <v>240</v>
      </c>
      <c r="CQ2571" s="5">
        <v>0</v>
      </c>
      <c r="CR2571" s="5" t="s">
        <v>306</v>
      </c>
      <c r="CS2571" s="5" t="s">
        <v>307</v>
      </c>
      <c r="CT2571" s="5" t="s">
        <v>307</v>
      </c>
      <c r="CU2571" s="5" t="s">
        <v>260</v>
      </c>
      <c r="CX2571" s="7">
        <f>1</f>
        <v>1</v>
      </c>
      <c r="CY2571" s="7">
        <f>0</f>
        <v>0</v>
      </c>
      <c r="DA2571" s="7">
        <f>0</f>
        <v>0</v>
      </c>
      <c r="DC2571" s="5" t="s">
        <v>309</v>
      </c>
      <c r="DD2571" s="5" t="s">
        <v>240</v>
      </c>
      <c r="DF2571" s="5" t="s">
        <v>309</v>
      </c>
      <c r="DG2571" s="7">
        <f>6872</f>
        <v>6872</v>
      </c>
      <c r="DI2571" s="5" t="s">
        <v>240</v>
      </c>
      <c r="DJ2571" s="5" t="s">
        <v>240</v>
      </c>
      <c r="DK2571" s="5" t="s">
        <v>240</v>
      </c>
      <c r="DL2571" s="5" t="s">
        <v>240</v>
      </c>
      <c r="DP2571" s="5" t="s">
        <v>240</v>
      </c>
      <c r="DQ2571" s="5" t="s">
        <v>240</v>
      </c>
      <c r="DR2571" s="5" t="s">
        <v>240</v>
      </c>
      <c r="DS2571" s="5" t="s">
        <v>240</v>
      </c>
      <c r="DV2571" s="5" t="s">
        <v>310</v>
      </c>
      <c r="DW2571" s="5" t="s">
        <v>3193</v>
      </c>
      <c r="HO2571" s="5" t="s">
        <v>312</v>
      </c>
    </row>
    <row r="2572" spans="1:223" x14ac:dyDescent="0.4">
      <c r="A2572" s="5">
        <v>4276</v>
      </c>
      <c r="B2572" s="5">
        <v>1</v>
      </c>
      <c r="C2572" s="5">
        <v>1</v>
      </c>
      <c r="D2572" s="5" t="s">
        <v>810</v>
      </c>
      <c r="E2572" s="5" t="s">
        <v>245</v>
      </c>
      <c r="F2572" s="5" t="s">
        <v>254</v>
      </c>
      <c r="G2572" s="5" t="s">
        <v>240</v>
      </c>
      <c r="H2572" s="6" t="s">
        <v>3400</v>
      </c>
      <c r="I2572" s="5" t="s">
        <v>809</v>
      </c>
      <c r="J2572" s="8">
        <f>2346</f>
        <v>2346</v>
      </c>
      <c r="K2572" s="5" t="s">
        <v>308</v>
      </c>
      <c r="L2572" s="7">
        <f>1</f>
        <v>1</v>
      </c>
      <c r="M2572" s="7">
        <f>1</f>
        <v>1</v>
      </c>
      <c r="N2572" s="5" t="s">
        <v>242</v>
      </c>
      <c r="O2572" s="5">
        <v>1</v>
      </c>
      <c r="P2572" s="5" t="s">
        <v>294</v>
      </c>
      <c r="Q2572" s="5" t="s">
        <v>266</v>
      </c>
      <c r="R2572" s="5" t="s">
        <v>240</v>
      </c>
      <c r="S2572" s="5" t="s">
        <v>240</v>
      </c>
      <c r="T2572" s="5" t="s">
        <v>296</v>
      </c>
      <c r="U2572" s="5" t="s">
        <v>244</v>
      </c>
      <c r="V2572" s="5" t="s">
        <v>240</v>
      </c>
      <c r="Y2572" s="5" t="s">
        <v>240</v>
      </c>
      <c r="Z2572" s="6" t="s">
        <v>298</v>
      </c>
      <c r="AB2572" s="6" t="s">
        <v>240</v>
      </c>
      <c r="AE2572" s="6" t="s">
        <v>299</v>
      </c>
      <c r="AF2572" s="5" t="s">
        <v>248</v>
      </c>
      <c r="AG2572" s="5" t="s">
        <v>249</v>
      </c>
      <c r="AW2572" s="5" t="s">
        <v>251</v>
      </c>
      <c r="AX2572" s="5" t="s">
        <v>240</v>
      </c>
      <c r="AY2572" s="5" t="s">
        <v>253</v>
      </c>
      <c r="AZ2572" s="5" t="s">
        <v>240</v>
      </c>
      <c r="BA2572" s="5" t="s">
        <v>255</v>
      </c>
      <c r="BB2572" s="5" t="s">
        <v>240</v>
      </c>
      <c r="BD2572" s="5" t="s">
        <v>240</v>
      </c>
      <c r="BF2572" s="5" t="s">
        <v>301</v>
      </c>
      <c r="BG2572" s="6" t="s">
        <v>299</v>
      </c>
      <c r="BH2572" s="5" t="s">
        <v>302</v>
      </c>
      <c r="BI2572" s="5" t="s">
        <v>303</v>
      </c>
      <c r="BJ2572" s="5" t="s">
        <v>240</v>
      </c>
      <c r="BK2572" s="8">
        <f>0</f>
        <v>0</v>
      </c>
      <c r="BL2572" s="7">
        <f>0</f>
        <v>0</v>
      </c>
      <c r="BM2572" s="5" t="s">
        <v>258</v>
      </c>
      <c r="BN2572" s="5" t="s">
        <v>259</v>
      </c>
      <c r="CB2572" s="5" t="s">
        <v>240</v>
      </c>
      <c r="CC2572" s="5" t="s">
        <v>240</v>
      </c>
      <c r="CG2572" s="5" t="s">
        <v>304</v>
      </c>
      <c r="CH2572" s="5" t="s">
        <v>305</v>
      </c>
      <c r="CI2572" s="5" t="s">
        <v>240</v>
      </c>
      <c r="CL2572" s="6" t="s">
        <v>261</v>
      </c>
      <c r="CM2572" s="5" t="s">
        <v>240</v>
      </c>
      <c r="CN2572" s="5" t="s">
        <v>263</v>
      </c>
      <c r="CO2572" s="5" t="s">
        <v>240</v>
      </c>
      <c r="CP2572" s="5" t="s">
        <v>240</v>
      </c>
      <c r="CQ2572" s="5">
        <v>0</v>
      </c>
      <c r="CR2572" s="5" t="s">
        <v>306</v>
      </c>
      <c r="CS2572" s="5" t="s">
        <v>307</v>
      </c>
      <c r="CT2572" s="5" t="s">
        <v>307</v>
      </c>
      <c r="CU2572" s="5" t="s">
        <v>260</v>
      </c>
      <c r="CX2572" s="7">
        <f>1</f>
        <v>1</v>
      </c>
      <c r="CY2572" s="7">
        <f>0</f>
        <v>0</v>
      </c>
      <c r="DA2572" s="7">
        <f>0</f>
        <v>0</v>
      </c>
      <c r="DC2572" s="5" t="s">
        <v>309</v>
      </c>
      <c r="DD2572" s="5" t="s">
        <v>240</v>
      </c>
      <c r="DF2572" s="5" t="s">
        <v>309</v>
      </c>
      <c r="DG2572" s="7">
        <f>2791</f>
        <v>2791</v>
      </c>
      <c r="DI2572" s="5" t="s">
        <v>240</v>
      </c>
      <c r="DJ2572" s="5" t="s">
        <v>240</v>
      </c>
      <c r="DK2572" s="5" t="s">
        <v>240</v>
      </c>
      <c r="DL2572" s="5" t="s">
        <v>240</v>
      </c>
      <c r="DP2572" s="5" t="s">
        <v>240</v>
      </c>
      <c r="DQ2572" s="5" t="s">
        <v>240</v>
      </c>
      <c r="DR2572" s="5" t="s">
        <v>240</v>
      </c>
      <c r="DS2572" s="5" t="s">
        <v>240</v>
      </c>
      <c r="DV2572" s="5" t="s">
        <v>310</v>
      </c>
      <c r="DW2572" s="5" t="s">
        <v>3195</v>
      </c>
      <c r="HO2572" s="5" t="s">
        <v>312</v>
      </c>
    </row>
    <row r="2573" spans="1:223" x14ac:dyDescent="0.4">
      <c r="A2573" s="5">
        <v>4277</v>
      </c>
      <c r="B2573" s="5">
        <v>1</v>
      </c>
      <c r="C2573" s="5">
        <v>1</v>
      </c>
      <c r="D2573" s="5" t="s">
        <v>810</v>
      </c>
      <c r="E2573" s="5" t="s">
        <v>245</v>
      </c>
      <c r="F2573" s="5" t="s">
        <v>254</v>
      </c>
      <c r="G2573" s="5" t="s">
        <v>240</v>
      </c>
      <c r="H2573" s="6" t="s">
        <v>3398</v>
      </c>
      <c r="I2573" s="5" t="s">
        <v>809</v>
      </c>
      <c r="J2573" s="8">
        <f>808</f>
        <v>808</v>
      </c>
      <c r="K2573" s="5" t="s">
        <v>308</v>
      </c>
      <c r="L2573" s="7">
        <f>1</f>
        <v>1</v>
      </c>
      <c r="M2573" s="7">
        <f>1</f>
        <v>1</v>
      </c>
      <c r="N2573" s="5" t="s">
        <v>242</v>
      </c>
      <c r="O2573" s="5">
        <v>1</v>
      </c>
      <c r="P2573" s="5" t="s">
        <v>294</v>
      </c>
      <c r="Q2573" s="5" t="s">
        <v>266</v>
      </c>
      <c r="R2573" s="5" t="s">
        <v>240</v>
      </c>
      <c r="S2573" s="5" t="s">
        <v>240</v>
      </c>
      <c r="T2573" s="5" t="s">
        <v>296</v>
      </c>
      <c r="U2573" s="5" t="s">
        <v>244</v>
      </c>
      <c r="V2573" s="5" t="s">
        <v>240</v>
      </c>
      <c r="Y2573" s="5" t="s">
        <v>240</v>
      </c>
      <c r="Z2573" s="6" t="s">
        <v>298</v>
      </c>
      <c r="AB2573" s="6" t="s">
        <v>240</v>
      </c>
      <c r="AE2573" s="6" t="s">
        <v>299</v>
      </c>
      <c r="AF2573" s="5" t="s">
        <v>248</v>
      </c>
      <c r="AG2573" s="5" t="s">
        <v>249</v>
      </c>
      <c r="AW2573" s="5" t="s">
        <v>251</v>
      </c>
      <c r="AX2573" s="5" t="s">
        <v>240</v>
      </c>
      <c r="AY2573" s="5" t="s">
        <v>253</v>
      </c>
      <c r="AZ2573" s="5" t="s">
        <v>240</v>
      </c>
      <c r="BA2573" s="5" t="s">
        <v>255</v>
      </c>
      <c r="BB2573" s="5" t="s">
        <v>240</v>
      </c>
      <c r="BD2573" s="5" t="s">
        <v>240</v>
      </c>
      <c r="BF2573" s="5" t="s">
        <v>301</v>
      </c>
      <c r="BG2573" s="6" t="s">
        <v>299</v>
      </c>
      <c r="BH2573" s="5" t="s">
        <v>302</v>
      </c>
      <c r="BI2573" s="5" t="s">
        <v>303</v>
      </c>
      <c r="BJ2573" s="5" t="s">
        <v>240</v>
      </c>
      <c r="BK2573" s="8">
        <f>0</f>
        <v>0</v>
      </c>
      <c r="BL2573" s="7">
        <f>0</f>
        <v>0</v>
      </c>
      <c r="BM2573" s="5" t="s">
        <v>258</v>
      </c>
      <c r="BN2573" s="5" t="s">
        <v>259</v>
      </c>
      <c r="CB2573" s="5" t="s">
        <v>240</v>
      </c>
      <c r="CC2573" s="5" t="s">
        <v>240</v>
      </c>
      <c r="CG2573" s="5" t="s">
        <v>304</v>
      </c>
      <c r="CH2573" s="5" t="s">
        <v>305</v>
      </c>
      <c r="CI2573" s="5" t="s">
        <v>240</v>
      </c>
      <c r="CL2573" s="6" t="s">
        <v>261</v>
      </c>
      <c r="CM2573" s="5" t="s">
        <v>240</v>
      </c>
      <c r="CN2573" s="5" t="s">
        <v>263</v>
      </c>
      <c r="CO2573" s="5" t="s">
        <v>240</v>
      </c>
      <c r="CP2573" s="5" t="s">
        <v>240</v>
      </c>
      <c r="CQ2573" s="5">
        <v>0</v>
      </c>
      <c r="CR2573" s="5" t="s">
        <v>306</v>
      </c>
      <c r="CS2573" s="5" t="s">
        <v>307</v>
      </c>
      <c r="CT2573" s="5" t="s">
        <v>307</v>
      </c>
      <c r="CU2573" s="5" t="s">
        <v>260</v>
      </c>
      <c r="CX2573" s="7">
        <f>1</f>
        <v>1</v>
      </c>
      <c r="CY2573" s="7">
        <f>0</f>
        <v>0</v>
      </c>
      <c r="DA2573" s="7">
        <f>0</f>
        <v>0</v>
      </c>
      <c r="DC2573" s="5" t="s">
        <v>309</v>
      </c>
      <c r="DD2573" s="5" t="s">
        <v>240</v>
      </c>
      <c r="DF2573" s="5" t="s">
        <v>309</v>
      </c>
      <c r="DG2573" s="7">
        <f>2608</f>
        <v>2608</v>
      </c>
      <c r="DI2573" s="5" t="s">
        <v>240</v>
      </c>
      <c r="DJ2573" s="5" t="s">
        <v>240</v>
      </c>
      <c r="DK2573" s="5" t="s">
        <v>240</v>
      </c>
      <c r="DL2573" s="5" t="s">
        <v>240</v>
      </c>
      <c r="DP2573" s="5" t="s">
        <v>240</v>
      </c>
      <c r="DQ2573" s="5" t="s">
        <v>240</v>
      </c>
      <c r="DR2573" s="5" t="s">
        <v>240</v>
      </c>
      <c r="DS2573" s="5" t="s">
        <v>240</v>
      </c>
      <c r="DV2573" s="5" t="s">
        <v>310</v>
      </c>
      <c r="DW2573" s="5" t="s">
        <v>3197</v>
      </c>
      <c r="HO2573" s="5" t="s">
        <v>312</v>
      </c>
    </row>
    <row r="2574" spans="1:223" x14ac:dyDescent="0.4">
      <c r="A2574" s="5">
        <v>4278</v>
      </c>
      <c r="B2574" s="5">
        <v>1</v>
      </c>
      <c r="C2574" s="5">
        <v>1</v>
      </c>
      <c r="D2574" s="5" t="s">
        <v>810</v>
      </c>
      <c r="E2574" s="5" t="s">
        <v>245</v>
      </c>
      <c r="F2574" s="5" t="s">
        <v>254</v>
      </c>
      <c r="G2574" s="5" t="s">
        <v>240</v>
      </c>
      <c r="H2574" s="6" t="s">
        <v>3396</v>
      </c>
      <c r="I2574" s="5" t="s">
        <v>809</v>
      </c>
      <c r="J2574" s="8">
        <f>2690</f>
        <v>2690</v>
      </c>
      <c r="K2574" s="5" t="s">
        <v>308</v>
      </c>
      <c r="L2574" s="7">
        <f>1</f>
        <v>1</v>
      </c>
      <c r="M2574" s="7">
        <f>1</f>
        <v>1</v>
      </c>
      <c r="N2574" s="5" t="s">
        <v>242</v>
      </c>
      <c r="O2574" s="5">
        <v>1</v>
      </c>
      <c r="P2574" s="5" t="s">
        <v>294</v>
      </c>
      <c r="Q2574" s="5" t="s">
        <v>266</v>
      </c>
      <c r="R2574" s="5" t="s">
        <v>240</v>
      </c>
      <c r="S2574" s="5" t="s">
        <v>240</v>
      </c>
      <c r="T2574" s="5" t="s">
        <v>296</v>
      </c>
      <c r="U2574" s="5" t="s">
        <v>244</v>
      </c>
      <c r="V2574" s="5" t="s">
        <v>240</v>
      </c>
      <c r="Y2574" s="5" t="s">
        <v>240</v>
      </c>
      <c r="Z2574" s="6" t="s">
        <v>298</v>
      </c>
      <c r="AB2574" s="6" t="s">
        <v>240</v>
      </c>
      <c r="AE2574" s="6" t="s">
        <v>299</v>
      </c>
      <c r="AF2574" s="5" t="s">
        <v>248</v>
      </c>
      <c r="AG2574" s="5" t="s">
        <v>249</v>
      </c>
      <c r="AW2574" s="5" t="s">
        <v>251</v>
      </c>
      <c r="AX2574" s="5" t="s">
        <v>240</v>
      </c>
      <c r="AY2574" s="5" t="s">
        <v>253</v>
      </c>
      <c r="AZ2574" s="5" t="s">
        <v>240</v>
      </c>
      <c r="BA2574" s="5" t="s">
        <v>255</v>
      </c>
      <c r="BB2574" s="5" t="s">
        <v>240</v>
      </c>
      <c r="BD2574" s="5" t="s">
        <v>240</v>
      </c>
      <c r="BF2574" s="5" t="s">
        <v>301</v>
      </c>
      <c r="BG2574" s="6" t="s">
        <v>299</v>
      </c>
      <c r="BH2574" s="5" t="s">
        <v>302</v>
      </c>
      <c r="BI2574" s="5" t="s">
        <v>303</v>
      </c>
      <c r="BJ2574" s="5" t="s">
        <v>240</v>
      </c>
      <c r="BK2574" s="8">
        <f>0</f>
        <v>0</v>
      </c>
      <c r="BL2574" s="7">
        <f>0</f>
        <v>0</v>
      </c>
      <c r="BM2574" s="5" t="s">
        <v>258</v>
      </c>
      <c r="BN2574" s="5" t="s">
        <v>259</v>
      </c>
      <c r="CB2574" s="5" t="s">
        <v>240</v>
      </c>
      <c r="CC2574" s="5" t="s">
        <v>240</v>
      </c>
      <c r="CG2574" s="5" t="s">
        <v>304</v>
      </c>
      <c r="CH2574" s="5" t="s">
        <v>305</v>
      </c>
      <c r="CI2574" s="5" t="s">
        <v>240</v>
      </c>
      <c r="CL2574" s="6" t="s">
        <v>261</v>
      </c>
      <c r="CM2574" s="5" t="s">
        <v>240</v>
      </c>
      <c r="CN2574" s="5" t="s">
        <v>263</v>
      </c>
      <c r="CO2574" s="5" t="s">
        <v>240</v>
      </c>
      <c r="CP2574" s="5" t="s">
        <v>240</v>
      </c>
      <c r="CQ2574" s="5">
        <v>0</v>
      </c>
      <c r="CR2574" s="5" t="s">
        <v>306</v>
      </c>
      <c r="CS2574" s="5" t="s">
        <v>307</v>
      </c>
      <c r="CT2574" s="5" t="s">
        <v>307</v>
      </c>
      <c r="CU2574" s="5" t="s">
        <v>260</v>
      </c>
      <c r="CX2574" s="7">
        <f>1</f>
        <v>1</v>
      </c>
      <c r="CY2574" s="7">
        <f>0</f>
        <v>0</v>
      </c>
      <c r="DA2574" s="7">
        <f>0</f>
        <v>0</v>
      </c>
      <c r="DC2574" s="5" t="s">
        <v>309</v>
      </c>
      <c r="DD2574" s="5" t="s">
        <v>240</v>
      </c>
      <c r="DF2574" s="5" t="s">
        <v>309</v>
      </c>
      <c r="DG2574" s="7">
        <f>5214</f>
        <v>5214</v>
      </c>
      <c r="DI2574" s="5" t="s">
        <v>240</v>
      </c>
      <c r="DJ2574" s="5" t="s">
        <v>240</v>
      </c>
      <c r="DK2574" s="5" t="s">
        <v>240</v>
      </c>
      <c r="DL2574" s="5" t="s">
        <v>240</v>
      </c>
      <c r="DP2574" s="5" t="s">
        <v>240</v>
      </c>
      <c r="DQ2574" s="5" t="s">
        <v>240</v>
      </c>
      <c r="DR2574" s="5" t="s">
        <v>240</v>
      </c>
      <c r="DS2574" s="5" t="s">
        <v>240</v>
      </c>
      <c r="DV2574" s="5" t="s">
        <v>310</v>
      </c>
      <c r="DW2574" s="5" t="s">
        <v>4688</v>
      </c>
      <c r="HO2574" s="5" t="s">
        <v>312</v>
      </c>
    </row>
    <row r="2575" spans="1:223" x14ac:dyDescent="0.4">
      <c r="A2575" s="5">
        <v>4279</v>
      </c>
      <c r="B2575" s="5">
        <v>1</v>
      </c>
      <c r="C2575" s="5">
        <v>1</v>
      </c>
      <c r="D2575" s="5" t="s">
        <v>810</v>
      </c>
      <c r="E2575" s="5" t="s">
        <v>245</v>
      </c>
      <c r="F2575" s="5" t="s">
        <v>254</v>
      </c>
      <c r="G2575" s="5" t="s">
        <v>240</v>
      </c>
      <c r="H2575" s="6" t="s">
        <v>3394</v>
      </c>
      <c r="I2575" s="5" t="s">
        <v>809</v>
      </c>
      <c r="J2575" s="8">
        <f>4235</f>
        <v>4235</v>
      </c>
      <c r="K2575" s="5" t="s">
        <v>308</v>
      </c>
      <c r="L2575" s="7">
        <f>1</f>
        <v>1</v>
      </c>
      <c r="M2575" s="7">
        <f>1</f>
        <v>1</v>
      </c>
      <c r="N2575" s="5" t="s">
        <v>242</v>
      </c>
      <c r="O2575" s="5">
        <v>1</v>
      </c>
      <c r="P2575" s="5" t="s">
        <v>294</v>
      </c>
      <c r="Q2575" s="5" t="s">
        <v>266</v>
      </c>
      <c r="R2575" s="5" t="s">
        <v>240</v>
      </c>
      <c r="S2575" s="5" t="s">
        <v>240</v>
      </c>
      <c r="T2575" s="5" t="s">
        <v>296</v>
      </c>
      <c r="U2575" s="5" t="s">
        <v>244</v>
      </c>
      <c r="V2575" s="5" t="s">
        <v>240</v>
      </c>
      <c r="Y2575" s="5" t="s">
        <v>240</v>
      </c>
      <c r="Z2575" s="6" t="s">
        <v>298</v>
      </c>
      <c r="AB2575" s="6" t="s">
        <v>240</v>
      </c>
      <c r="AE2575" s="6" t="s">
        <v>299</v>
      </c>
      <c r="AF2575" s="5" t="s">
        <v>248</v>
      </c>
      <c r="AG2575" s="5" t="s">
        <v>249</v>
      </c>
      <c r="AW2575" s="5" t="s">
        <v>251</v>
      </c>
      <c r="AX2575" s="5" t="s">
        <v>240</v>
      </c>
      <c r="AY2575" s="5" t="s">
        <v>253</v>
      </c>
      <c r="AZ2575" s="5" t="s">
        <v>240</v>
      </c>
      <c r="BA2575" s="5" t="s">
        <v>255</v>
      </c>
      <c r="BB2575" s="5" t="s">
        <v>240</v>
      </c>
      <c r="BD2575" s="5" t="s">
        <v>240</v>
      </c>
      <c r="BF2575" s="5" t="s">
        <v>301</v>
      </c>
      <c r="BG2575" s="6" t="s">
        <v>299</v>
      </c>
      <c r="BH2575" s="5" t="s">
        <v>302</v>
      </c>
      <c r="BI2575" s="5" t="s">
        <v>303</v>
      </c>
      <c r="BJ2575" s="5" t="s">
        <v>240</v>
      </c>
      <c r="BK2575" s="8">
        <f>0</f>
        <v>0</v>
      </c>
      <c r="BL2575" s="7">
        <f>0</f>
        <v>0</v>
      </c>
      <c r="BM2575" s="5" t="s">
        <v>258</v>
      </c>
      <c r="BN2575" s="5" t="s">
        <v>259</v>
      </c>
      <c r="CB2575" s="5" t="s">
        <v>240</v>
      </c>
      <c r="CC2575" s="5" t="s">
        <v>240</v>
      </c>
      <c r="CG2575" s="5" t="s">
        <v>304</v>
      </c>
      <c r="CH2575" s="5" t="s">
        <v>305</v>
      </c>
      <c r="CI2575" s="5" t="s">
        <v>240</v>
      </c>
      <c r="CL2575" s="6" t="s">
        <v>261</v>
      </c>
      <c r="CM2575" s="5" t="s">
        <v>240</v>
      </c>
      <c r="CN2575" s="5" t="s">
        <v>263</v>
      </c>
      <c r="CO2575" s="5" t="s">
        <v>240</v>
      </c>
      <c r="CP2575" s="5" t="s">
        <v>240</v>
      </c>
      <c r="CQ2575" s="5">
        <v>0</v>
      </c>
      <c r="CR2575" s="5" t="s">
        <v>306</v>
      </c>
      <c r="CS2575" s="5" t="s">
        <v>307</v>
      </c>
      <c r="CT2575" s="5" t="s">
        <v>307</v>
      </c>
      <c r="CU2575" s="5" t="s">
        <v>260</v>
      </c>
      <c r="CX2575" s="7">
        <f>1</f>
        <v>1</v>
      </c>
      <c r="CY2575" s="7">
        <f>0</f>
        <v>0</v>
      </c>
      <c r="DA2575" s="7">
        <f>0</f>
        <v>0</v>
      </c>
      <c r="DC2575" s="5" t="s">
        <v>309</v>
      </c>
      <c r="DD2575" s="5" t="s">
        <v>240</v>
      </c>
      <c r="DF2575" s="5" t="s">
        <v>309</v>
      </c>
      <c r="DG2575" s="7">
        <f>2501</f>
        <v>2501</v>
      </c>
      <c r="DI2575" s="5" t="s">
        <v>240</v>
      </c>
      <c r="DJ2575" s="5" t="s">
        <v>240</v>
      </c>
      <c r="DK2575" s="5" t="s">
        <v>240</v>
      </c>
      <c r="DL2575" s="5" t="s">
        <v>240</v>
      </c>
      <c r="DP2575" s="5" t="s">
        <v>240</v>
      </c>
      <c r="DQ2575" s="5" t="s">
        <v>240</v>
      </c>
      <c r="DR2575" s="5" t="s">
        <v>240</v>
      </c>
      <c r="DS2575" s="5" t="s">
        <v>240</v>
      </c>
      <c r="DV2575" s="5" t="s">
        <v>310</v>
      </c>
      <c r="DW2575" s="5" t="s">
        <v>3201</v>
      </c>
      <c r="HO2575" s="5" t="s">
        <v>312</v>
      </c>
    </row>
    <row r="2576" spans="1:223" x14ac:dyDescent="0.4">
      <c r="A2576" s="5">
        <v>4280</v>
      </c>
      <c r="B2576" s="5">
        <v>1</v>
      </c>
      <c r="C2576" s="5">
        <v>1</v>
      </c>
      <c r="D2576" s="5" t="s">
        <v>810</v>
      </c>
      <c r="E2576" s="5" t="s">
        <v>245</v>
      </c>
      <c r="F2576" s="5" t="s">
        <v>254</v>
      </c>
      <c r="G2576" s="5" t="s">
        <v>240</v>
      </c>
      <c r="H2576" s="6" t="s">
        <v>3392</v>
      </c>
      <c r="I2576" s="5" t="s">
        <v>809</v>
      </c>
      <c r="J2576" s="8">
        <f>225</f>
        <v>225</v>
      </c>
      <c r="K2576" s="5" t="s">
        <v>308</v>
      </c>
      <c r="L2576" s="7">
        <f>1</f>
        <v>1</v>
      </c>
      <c r="M2576" s="7">
        <f>1</f>
        <v>1</v>
      </c>
      <c r="N2576" s="5" t="s">
        <v>242</v>
      </c>
      <c r="O2576" s="5">
        <v>1</v>
      </c>
      <c r="P2576" s="5" t="s">
        <v>294</v>
      </c>
      <c r="Q2576" s="5" t="s">
        <v>266</v>
      </c>
      <c r="R2576" s="5" t="s">
        <v>240</v>
      </c>
      <c r="S2576" s="5" t="s">
        <v>240</v>
      </c>
      <c r="T2576" s="5" t="s">
        <v>296</v>
      </c>
      <c r="U2576" s="5" t="s">
        <v>244</v>
      </c>
      <c r="V2576" s="5" t="s">
        <v>240</v>
      </c>
      <c r="Y2576" s="5" t="s">
        <v>240</v>
      </c>
      <c r="Z2576" s="6" t="s">
        <v>298</v>
      </c>
      <c r="AB2576" s="6" t="s">
        <v>240</v>
      </c>
      <c r="AE2576" s="6" t="s">
        <v>299</v>
      </c>
      <c r="AF2576" s="5" t="s">
        <v>248</v>
      </c>
      <c r="AG2576" s="5" t="s">
        <v>249</v>
      </c>
      <c r="AW2576" s="5" t="s">
        <v>251</v>
      </c>
      <c r="AX2576" s="5" t="s">
        <v>240</v>
      </c>
      <c r="AY2576" s="5" t="s">
        <v>253</v>
      </c>
      <c r="AZ2576" s="5" t="s">
        <v>240</v>
      </c>
      <c r="BA2576" s="5" t="s">
        <v>255</v>
      </c>
      <c r="BB2576" s="5" t="s">
        <v>240</v>
      </c>
      <c r="BD2576" s="5" t="s">
        <v>240</v>
      </c>
      <c r="BF2576" s="5" t="s">
        <v>301</v>
      </c>
      <c r="BG2576" s="6" t="s">
        <v>299</v>
      </c>
      <c r="BH2576" s="5" t="s">
        <v>302</v>
      </c>
      <c r="BI2576" s="5" t="s">
        <v>303</v>
      </c>
      <c r="BJ2576" s="5" t="s">
        <v>240</v>
      </c>
      <c r="BK2576" s="8">
        <f>0</f>
        <v>0</v>
      </c>
      <c r="BL2576" s="7">
        <f>0</f>
        <v>0</v>
      </c>
      <c r="BM2576" s="5" t="s">
        <v>258</v>
      </c>
      <c r="BN2576" s="5" t="s">
        <v>259</v>
      </c>
      <c r="CB2576" s="5" t="s">
        <v>240</v>
      </c>
      <c r="CC2576" s="5" t="s">
        <v>240</v>
      </c>
      <c r="CG2576" s="5" t="s">
        <v>304</v>
      </c>
      <c r="CH2576" s="5" t="s">
        <v>305</v>
      </c>
      <c r="CI2576" s="5" t="s">
        <v>240</v>
      </c>
      <c r="CL2576" s="6" t="s">
        <v>261</v>
      </c>
      <c r="CM2576" s="5" t="s">
        <v>240</v>
      </c>
      <c r="CN2576" s="5" t="s">
        <v>263</v>
      </c>
      <c r="CO2576" s="5" t="s">
        <v>240</v>
      </c>
      <c r="CP2576" s="5" t="s">
        <v>240</v>
      </c>
      <c r="CQ2576" s="5">
        <v>0</v>
      </c>
      <c r="CR2576" s="5" t="s">
        <v>306</v>
      </c>
      <c r="CS2576" s="5" t="s">
        <v>307</v>
      </c>
      <c r="CT2576" s="5" t="s">
        <v>307</v>
      </c>
      <c r="CU2576" s="5" t="s">
        <v>260</v>
      </c>
      <c r="CX2576" s="7">
        <f>1</f>
        <v>1</v>
      </c>
      <c r="CY2576" s="7">
        <f>0</f>
        <v>0</v>
      </c>
      <c r="DA2576" s="7">
        <f>0</f>
        <v>0</v>
      </c>
      <c r="DC2576" s="5" t="s">
        <v>309</v>
      </c>
      <c r="DD2576" s="5" t="s">
        <v>240</v>
      </c>
      <c r="DF2576" s="5" t="s">
        <v>309</v>
      </c>
      <c r="DG2576" s="7">
        <f>4097</f>
        <v>4097</v>
      </c>
      <c r="DI2576" s="5" t="s">
        <v>240</v>
      </c>
      <c r="DJ2576" s="5" t="s">
        <v>240</v>
      </c>
      <c r="DK2576" s="5" t="s">
        <v>240</v>
      </c>
      <c r="DL2576" s="5" t="s">
        <v>240</v>
      </c>
      <c r="DP2576" s="5" t="s">
        <v>240</v>
      </c>
      <c r="DQ2576" s="5" t="s">
        <v>240</v>
      </c>
      <c r="DR2576" s="5" t="s">
        <v>240</v>
      </c>
      <c r="DS2576" s="5" t="s">
        <v>240</v>
      </c>
      <c r="DV2576" s="5" t="s">
        <v>310</v>
      </c>
      <c r="DW2576" s="5" t="s">
        <v>3203</v>
      </c>
      <c r="HO2576" s="5" t="s">
        <v>312</v>
      </c>
    </row>
    <row r="2577" spans="1:223" x14ac:dyDescent="0.4">
      <c r="A2577" s="5">
        <v>4281</v>
      </c>
      <c r="B2577" s="5">
        <v>1</v>
      </c>
      <c r="C2577" s="5">
        <v>1</v>
      </c>
      <c r="D2577" s="5" t="s">
        <v>810</v>
      </c>
      <c r="E2577" s="5" t="s">
        <v>245</v>
      </c>
      <c r="F2577" s="5" t="s">
        <v>254</v>
      </c>
      <c r="G2577" s="5" t="s">
        <v>240</v>
      </c>
      <c r="H2577" s="6" t="s">
        <v>3390</v>
      </c>
      <c r="I2577" s="5" t="s">
        <v>809</v>
      </c>
      <c r="J2577" s="8">
        <f>1081</f>
        <v>1081</v>
      </c>
      <c r="K2577" s="5" t="s">
        <v>308</v>
      </c>
      <c r="L2577" s="7">
        <f>1</f>
        <v>1</v>
      </c>
      <c r="M2577" s="7">
        <f>1</f>
        <v>1</v>
      </c>
      <c r="N2577" s="5" t="s">
        <v>242</v>
      </c>
      <c r="O2577" s="5">
        <v>1</v>
      </c>
      <c r="P2577" s="5" t="s">
        <v>294</v>
      </c>
      <c r="Q2577" s="5" t="s">
        <v>266</v>
      </c>
      <c r="R2577" s="5" t="s">
        <v>240</v>
      </c>
      <c r="S2577" s="5" t="s">
        <v>240</v>
      </c>
      <c r="T2577" s="5" t="s">
        <v>296</v>
      </c>
      <c r="U2577" s="5" t="s">
        <v>244</v>
      </c>
      <c r="V2577" s="5" t="s">
        <v>240</v>
      </c>
      <c r="Y2577" s="5" t="s">
        <v>240</v>
      </c>
      <c r="Z2577" s="6" t="s">
        <v>298</v>
      </c>
      <c r="AB2577" s="6" t="s">
        <v>240</v>
      </c>
      <c r="AE2577" s="6" t="s">
        <v>299</v>
      </c>
      <c r="AF2577" s="5" t="s">
        <v>248</v>
      </c>
      <c r="AG2577" s="5" t="s">
        <v>249</v>
      </c>
      <c r="AW2577" s="5" t="s">
        <v>251</v>
      </c>
      <c r="AX2577" s="5" t="s">
        <v>240</v>
      </c>
      <c r="AY2577" s="5" t="s">
        <v>253</v>
      </c>
      <c r="AZ2577" s="5" t="s">
        <v>240</v>
      </c>
      <c r="BA2577" s="5" t="s">
        <v>255</v>
      </c>
      <c r="BB2577" s="5" t="s">
        <v>240</v>
      </c>
      <c r="BD2577" s="5" t="s">
        <v>240</v>
      </c>
      <c r="BF2577" s="5" t="s">
        <v>301</v>
      </c>
      <c r="BG2577" s="6" t="s">
        <v>299</v>
      </c>
      <c r="BH2577" s="5" t="s">
        <v>302</v>
      </c>
      <c r="BI2577" s="5" t="s">
        <v>303</v>
      </c>
      <c r="BJ2577" s="5" t="s">
        <v>240</v>
      </c>
      <c r="BK2577" s="8">
        <f>0</f>
        <v>0</v>
      </c>
      <c r="BL2577" s="7">
        <f>0</f>
        <v>0</v>
      </c>
      <c r="BM2577" s="5" t="s">
        <v>258</v>
      </c>
      <c r="BN2577" s="5" t="s">
        <v>259</v>
      </c>
      <c r="CB2577" s="5" t="s">
        <v>240</v>
      </c>
      <c r="CC2577" s="5" t="s">
        <v>240</v>
      </c>
      <c r="CG2577" s="5" t="s">
        <v>304</v>
      </c>
      <c r="CH2577" s="5" t="s">
        <v>305</v>
      </c>
      <c r="CI2577" s="5" t="s">
        <v>240</v>
      </c>
      <c r="CL2577" s="6" t="s">
        <v>261</v>
      </c>
      <c r="CM2577" s="5" t="s">
        <v>240</v>
      </c>
      <c r="CN2577" s="5" t="s">
        <v>263</v>
      </c>
      <c r="CO2577" s="5" t="s">
        <v>240</v>
      </c>
      <c r="CP2577" s="5" t="s">
        <v>240</v>
      </c>
      <c r="CQ2577" s="5">
        <v>0</v>
      </c>
      <c r="CR2577" s="5" t="s">
        <v>306</v>
      </c>
      <c r="CS2577" s="5" t="s">
        <v>307</v>
      </c>
      <c r="CT2577" s="5" t="s">
        <v>307</v>
      </c>
      <c r="CU2577" s="5" t="s">
        <v>260</v>
      </c>
      <c r="CX2577" s="7">
        <f>1</f>
        <v>1</v>
      </c>
      <c r="CY2577" s="7">
        <f>0</f>
        <v>0</v>
      </c>
      <c r="DA2577" s="7">
        <f>0</f>
        <v>0</v>
      </c>
      <c r="DC2577" s="5" t="s">
        <v>309</v>
      </c>
      <c r="DD2577" s="5" t="s">
        <v>240</v>
      </c>
      <c r="DF2577" s="5" t="s">
        <v>309</v>
      </c>
      <c r="DG2577" s="7">
        <f>2890</f>
        <v>2890</v>
      </c>
      <c r="DI2577" s="5" t="s">
        <v>240</v>
      </c>
      <c r="DJ2577" s="5" t="s">
        <v>240</v>
      </c>
      <c r="DK2577" s="5" t="s">
        <v>240</v>
      </c>
      <c r="DL2577" s="5" t="s">
        <v>240</v>
      </c>
      <c r="DP2577" s="5" t="s">
        <v>240</v>
      </c>
      <c r="DQ2577" s="5" t="s">
        <v>240</v>
      </c>
      <c r="DR2577" s="5" t="s">
        <v>240</v>
      </c>
      <c r="DS2577" s="5" t="s">
        <v>240</v>
      </c>
      <c r="DV2577" s="5" t="s">
        <v>310</v>
      </c>
      <c r="DW2577" s="5" t="s">
        <v>3205</v>
      </c>
      <c r="HO2577" s="5" t="s">
        <v>312</v>
      </c>
    </row>
    <row r="2578" spans="1:223" x14ac:dyDescent="0.4">
      <c r="A2578" s="5">
        <v>4282</v>
      </c>
      <c r="B2578" s="5">
        <v>1</v>
      </c>
      <c r="C2578" s="5">
        <v>1</v>
      </c>
      <c r="D2578" s="5" t="s">
        <v>810</v>
      </c>
      <c r="E2578" s="5" t="s">
        <v>245</v>
      </c>
      <c r="F2578" s="5" t="s">
        <v>254</v>
      </c>
      <c r="G2578" s="5" t="s">
        <v>240</v>
      </c>
      <c r="H2578" s="6" t="s">
        <v>3388</v>
      </c>
      <c r="I2578" s="5" t="s">
        <v>809</v>
      </c>
      <c r="J2578" s="8">
        <f>1889</f>
        <v>1889</v>
      </c>
      <c r="K2578" s="5" t="s">
        <v>308</v>
      </c>
      <c r="L2578" s="7">
        <f>1</f>
        <v>1</v>
      </c>
      <c r="M2578" s="7">
        <f>1</f>
        <v>1</v>
      </c>
      <c r="N2578" s="5" t="s">
        <v>242</v>
      </c>
      <c r="O2578" s="5">
        <v>1</v>
      </c>
      <c r="P2578" s="5" t="s">
        <v>294</v>
      </c>
      <c r="Q2578" s="5" t="s">
        <v>266</v>
      </c>
      <c r="R2578" s="5" t="s">
        <v>240</v>
      </c>
      <c r="S2578" s="5" t="s">
        <v>240</v>
      </c>
      <c r="T2578" s="5" t="s">
        <v>296</v>
      </c>
      <c r="U2578" s="5" t="s">
        <v>244</v>
      </c>
      <c r="V2578" s="5" t="s">
        <v>240</v>
      </c>
      <c r="Y2578" s="5" t="s">
        <v>240</v>
      </c>
      <c r="Z2578" s="6" t="s">
        <v>298</v>
      </c>
      <c r="AB2578" s="6" t="s">
        <v>240</v>
      </c>
      <c r="AE2578" s="6" t="s">
        <v>299</v>
      </c>
      <c r="AF2578" s="5" t="s">
        <v>248</v>
      </c>
      <c r="AG2578" s="5" t="s">
        <v>249</v>
      </c>
      <c r="AW2578" s="5" t="s">
        <v>251</v>
      </c>
      <c r="AX2578" s="5" t="s">
        <v>240</v>
      </c>
      <c r="AY2578" s="5" t="s">
        <v>253</v>
      </c>
      <c r="AZ2578" s="5" t="s">
        <v>240</v>
      </c>
      <c r="BA2578" s="5" t="s">
        <v>255</v>
      </c>
      <c r="BB2578" s="5" t="s">
        <v>240</v>
      </c>
      <c r="BD2578" s="5" t="s">
        <v>240</v>
      </c>
      <c r="BF2578" s="5" t="s">
        <v>301</v>
      </c>
      <c r="BG2578" s="6" t="s">
        <v>299</v>
      </c>
      <c r="BH2578" s="5" t="s">
        <v>302</v>
      </c>
      <c r="BI2578" s="5" t="s">
        <v>303</v>
      </c>
      <c r="BJ2578" s="5" t="s">
        <v>240</v>
      </c>
      <c r="BK2578" s="8">
        <f>0</f>
        <v>0</v>
      </c>
      <c r="BL2578" s="7">
        <f>0</f>
        <v>0</v>
      </c>
      <c r="BM2578" s="5" t="s">
        <v>258</v>
      </c>
      <c r="BN2578" s="5" t="s">
        <v>259</v>
      </c>
      <c r="CB2578" s="5" t="s">
        <v>240</v>
      </c>
      <c r="CC2578" s="5" t="s">
        <v>240</v>
      </c>
      <c r="CG2578" s="5" t="s">
        <v>304</v>
      </c>
      <c r="CH2578" s="5" t="s">
        <v>305</v>
      </c>
      <c r="CI2578" s="5" t="s">
        <v>240</v>
      </c>
      <c r="CL2578" s="6" t="s">
        <v>261</v>
      </c>
      <c r="CM2578" s="5" t="s">
        <v>240</v>
      </c>
      <c r="CN2578" s="5" t="s">
        <v>263</v>
      </c>
      <c r="CO2578" s="5" t="s">
        <v>240</v>
      </c>
      <c r="CP2578" s="5" t="s">
        <v>240</v>
      </c>
      <c r="CQ2578" s="5">
        <v>0</v>
      </c>
      <c r="CR2578" s="5" t="s">
        <v>306</v>
      </c>
      <c r="CS2578" s="5" t="s">
        <v>307</v>
      </c>
      <c r="CT2578" s="5" t="s">
        <v>307</v>
      </c>
      <c r="CU2578" s="5" t="s">
        <v>260</v>
      </c>
      <c r="CX2578" s="7">
        <f>1</f>
        <v>1</v>
      </c>
      <c r="CY2578" s="7">
        <f>0</f>
        <v>0</v>
      </c>
      <c r="DA2578" s="7">
        <f>0</f>
        <v>0</v>
      </c>
      <c r="DC2578" s="5" t="s">
        <v>309</v>
      </c>
      <c r="DD2578" s="5" t="s">
        <v>240</v>
      </c>
      <c r="DF2578" s="5" t="s">
        <v>309</v>
      </c>
      <c r="DG2578" s="7">
        <f>6030</f>
        <v>6030</v>
      </c>
      <c r="DI2578" s="5" t="s">
        <v>240</v>
      </c>
      <c r="DJ2578" s="5" t="s">
        <v>240</v>
      </c>
      <c r="DK2578" s="5" t="s">
        <v>240</v>
      </c>
      <c r="DL2578" s="5" t="s">
        <v>240</v>
      </c>
      <c r="DP2578" s="5" t="s">
        <v>240</v>
      </c>
      <c r="DQ2578" s="5" t="s">
        <v>240</v>
      </c>
      <c r="DR2578" s="5" t="s">
        <v>240</v>
      </c>
      <c r="DS2578" s="5" t="s">
        <v>240</v>
      </c>
      <c r="DV2578" s="5" t="s">
        <v>310</v>
      </c>
      <c r="DW2578" s="5" t="s">
        <v>4693</v>
      </c>
      <c r="HO2578" s="5" t="s">
        <v>312</v>
      </c>
    </row>
    <row r="2579" spans="1:223" x14ac:dyDescent="0.4">
      <c r="A2579" s="5">
        <v>4283</v>
      </c>
      <c r="B2579" s="5">
        <v>1</v>
      </c>
      <c r="C2579" s="5">
        <v>1</v>
      </c>
      <c r="D2579" s="5" t="s">
        <v>810</v>
      </c>
      <c r="E2579" s="5" t="s">
        <v>245</v>
      </c>
      <c r="F2579" s="5" t="s">
        <v>254</v>
      </c>
      <c r="G2579" s="5" t="s">
        <v>240</v>
      </c>
      <c r="H2579" s="6" t="s">
        <v>3386</v>
      </c>
      <c r="I2579" s="5" t="s">
        <v>809</v>
      </c>
      <c r="J2579" s="8">
        <f>1780</f>
        <v>1780</v>
      </c>
      <c r="K2579" s="5" t="s">
        <v>308</v>
      </c>
      <c r="L2579" s="7">
        <f>1</f>
        <v>1</v>
      </c>
      <c r="M2579" s="7">
        <f>1</f>
        <v>1</v>
      </c>
      <c r="N2579" s="5" t="s">
        <v>242</v>
      </c>
      <c r="O2579" s="5">
        <v>1</v>
      </c>
      <c r="P2579" s="5" t="s">
        <v>294</v>
      </c>
      <c r="Q2579" s="5" t="s">
        <v>266</v>
      </c>
      <c r="R2579" s="5" t="s">
        <v>240</v>
      </c>
      <c r="S2579" s="5" t="s">
        <v>240</v>
      </c>
      <c r="T2579" s="5" t="s">
        <v>296</v>
      </c>
      <c r="U2579" s="5" t="s">
        <v>244</v>
      </c>
      <c r="V2579" s="5" t="s">
        <v>240</v>
      </c>
      <c r="Y2579" s="5" t="s">
        <v>240</v>
      </c>
      <c r="Z2579" s="6" t="s">
        <v>298</v>
      </c>
      <c r="AB2579" s="6" t="s">
        <v>240</v>
      </c>
      <c r="AE2579" s="6" t="s">
        <v>299</v>
      </c>
      <c r="AF2579" s="5" t="s">
        <v>248</v>
      </c>
      <c r="AG2579" s="5" t="s">
        <v>249</v>
      </c>
      <c r="AW2579" s="5" t="s">
        <v>251</v>
      </c>
      <c r="AX2579" s="5" t="s">
        <v>240</v>
      </c>
      <c r="AY2579" s="5" t="s">
        <v>253</v>
      </c>
      <c r="AZ2579" s="5" t="s">
        <v>240</v>
      </c>
      <c r="BA2579" s="5" t="s">
        <v>255</v>
      </c>
      <c r="BB2579" s="5" t="s">
        <v>240</v>
      </c>
      <c r="BD2579" s="5" t="s">
        <v>240</v>
      </c>
      <c r="BF2579" s="5" t="s">
        <v>301</v>
      </c>
      <c r="BG2579" s="6" t="s">
        <v>299</v>
      </c>
      <c r="BH2579" s="5" t="s">
        <v>302</v>
      </c>
      <c r="BI2579" s="5" t="s">
        <v>303</v>
      </c>
      <c r="BJ2579" s="5" t="s">
        <v>240</v>
      </c>
      <c r="BK2579" s="8">
        <f>0</f>
        <v>0</v>
      </c>
      <c r="BL2579" s="7">
        <f>0</f>
        <v>0</v>
      </c>
      <c r="BM2579" s="5" t="s">
        <v>258</v>
      </c>
      <c r="BN2579" s="5" t="s">
        <v>259</v>
      </c>
      <c r="CB2579" s="5" t="s">
        <v>240</v>
      </c>
      <c r="CC2579" s="5" t="s">
        <v>240</v>
      </c>
      <c r="CG2579" s="5" t="s">
        <v>304</v>
      </c>
      <c r="CH2579" s="5" t="s">
        <v>305</v>
      </c>
      <c r="CI2579" s="5" t="s">
        <v>240</v>
      </c>
      <c r="CL2579" s="6" t="s">
        <v>261</v>
      </c>
      <c r="CM2579" s="5" t="s">
        <v>240</v>
      </c>
      <c r="CN2579" s="5" t="s">
        <v>263</v>
      </c>
      <c r="CO2579" s="5" t="s">
        <v>240</v>
      </c>
      <c r="CP2579" s="5" t="s">
        <v>240</v>
      </c>
      <c r="CQ2579" s="5">
        <v>0</v>
      </c>
      <c r="CR2579" s="5" t="s">
        <v>306</v>
      </c>
      <c r="CS2579" s="5" t="s">
        <v>307</v>
      </c>
      <c r="CT2579" s="5" t="s">
        <v>307</v>
      </c>
      <c r="CU2579" s="5" t="s">
        <v>260</v>
      </c>
      <c r="CX2579" s="7">
        <f>1</f>
        <v>1</v>
      </c>
      <c r="CY2579" s="7">
        <f>0</f>
        <v>0</v>
      </c>
      <c r="DA2579" s="7">
        <f>0</f>
        <v>0</v>
      </c>
      <c r="DC2579" s="5" t="s">
        <v>309</v>
      </c>
      <c r="DD2579" s="5" t="s">
        <v>240</v>
      </c>
      <c r="DF2579" s="5" t="s">
        <v>309</v>
      </c>
      <c r="DG2579" s="7">
        <f>5685</f>
        <v>5685</v>
      </c>
      <c r="DI2579" s="5" t="s">
        <v>240</v>
      </c>
      <c r="DJ2579" s="5" t="s">
        <v>240</v>
      </c>
      <c r="DK2579" s="5" t="s">
        <v>240</v>
      </c>
      <c r="DL2579" s="5" t="s">
        <v>240</v>
      </c>
      <c r="DP2579" s="5" t="s">
        <v>240</v>
      </c>
      <c r="DQ2579" s="5" t="s">
        <v>240</v>
      </c>
      <c r="DR2579" s="5" t="s">
        <v>240</v>
      </c>
      <c r="DS2579" s="5" t="s">
        <v>240</v>
      </c>
      <c r="DV2579" s="5" t="s">
        <v>310</v>
      </c>
      <c r="DW2579" s="5" t="s">
        <v>3209</v>
      </c>
      <c r="HO2579" s="5" t="s">
        <v>312</v>
      </c>
    </row>
    <row r="2580" spans="1:223" x14ac:dyDescent="0.4">
      <c r="A2580" s="5">
        <v>4284</v>
      </c>
      <c r="B2580" s="5">
        <v>1</v>
      </c>
      <c r="C2580" s="5">
        <v>1</v>
      </c>
      <c r="D2580" s="5" t="s">
        <v>810</v>
      </c>
      <c r="E2580" s="5" t="s">
        <v>245</v>
      </c>
      <c r="F2580" s="5" t="s">
        <v>254</v>
      </c>
      <c r="G2580" s="5" t="s">
        <v>240</v>
      </c>
      <c r="H2580" s="6" t="s">
        <v>3384</v>
      </c>
      <c r="I2580" s="5" t="s">
        <v>809</v>
      </c>
      <c r="J2580" s="8">
        <f>922</f>
        <v>922</v>
      </c>
      <c r="K2580" s="5" t="s">
        <v>308</v>
      </c>
      <c r="L2580" s="7">
        <f>1</f>
        <v>1</v>
      </c>
      <c r="M2580" s="7">
        <f>1</f>
        <v>1</v>
      </c>
      <c r="N2580" s="5" t="s">
        <v>242</v>
      </c>
      <c r="O2580" s="5">
        <v>1</v>
      </c>
      <c r="P2580" s="5" t="s">
        <v>294</v>
      </c>
      <c r="Q2580" s="5" t="s">
        <v>266</v>
      </c>
      <c r="R2580" s="5" t="s">
        <v>240</v>
      </c>
      <c r="S2580" s="5" t="s">
        <v>240</v>
      </c>
      <c r="T2580" s="5" t="s">
        <v>296</v>
      </c>
      <c r="U2580" s="5" t="s">
        <v>244</v>
      </c>
      <c r="V2580" s="5" t="s">
        <v>240</v>
      </c>
      <c r="Y2580" s="5" t="s">
        <v>240</v>
      </c>
      <c r="Z2580" s="6" t="s">
        <v>298</v>
      </c>
      <c r="AB2580" s="6" t="s">
        <v>240</v>
      </c>
      <c r="AE2580" s="6" t="s">
        <v>299</v>
      </c>
      <c r="AF2580" s="5" t="s">
        <v>248</v>
      </c>
      <c r="AG2580" s="5" t="s">
        <v>249</v>
      </c>
      <c r="AW2580" s="5" t="s">
        <v>251</v>
      </c>
      <c r="AX2580" s="5" t="s">
        <v>240</v>
      </c>
      <c r="AY2580" s="5" t="s">
        <v>253</v>
      </c>
      <c r="AZ2580" s="5" t="s">
        <v>240</v>
      </c>
      <c r="BA2580" s="5" t="s">
        <v>255</v>
      </c>
      <c r="BB2580" s="5" t="s">
        <v>240</v>
      </c>
      <c r="BD2580" s="5" t="s">
        <v>240</v>
      </c>
      <c r="BF2580" s="5" t="s">
        <v>301</v>
      </c>
      <c r="BG2580" s="6" t="s">
        <v>299</v>
      </c>
      <c r="BH2580" s="5" t="s">
        <v>302</v>
      </c>
      <c r="BI2580" s="5" t="s">
        <v>303</v>
      </c>
      <c r="BJ2580" s="5" t="s">
        <v>240</v>
      </c>
      <c r="BK2580" s="8">
        <f>0</f>
        <v>0</v>
      </c>
      <c r="BL2580" s="7">
        <f>0</f>
        <v>0</v>
      </c>
      <c r="BM2580" s="5" t="s">
        <v>258</v>
      </c>
      <c r="BN2580" s="5" t="s">
        <v>259</v>
      </c>
      <c r="CB2580" s="5" t="s">
        <v>240</v>
      </c>
      <c r="CC2580" s="5" t="s">
        <v>240</v>
      </c>
      <c r="CG2580" s="5" t="s">
        <v>304</v>
      </c>
      <c r="CH2580" s="5" t="s">
        <v>305</v>
      </c>
      <c r="CI2580" s="5" t="s">
        <v>240</v>
      </c>
      <c r="CL2580" s="6" t="s">
        <v>261</v>
      </c>
      <c r="CM2580" s="5" t="s">
        <v>240</v>
      </c>
      <c r="CN2580" s="5" t="s">
        <v>263</v>
      </c>
      <c r="CO2580" s="5" t="s">
        <v>240</v>
      </c>
      <c r="CP2580" s="5" t="s">
        <v>240</v>
      </c>
      <c r="CQ2580" s="5">
        <v>0</v>
      </c>
      <c r="CR2580" s="5" t="s">
        <v>306</v>
      </c>
      <c r="CS2580" s="5" t="s">
        <v>307</v>
      </c>
      <c r="CT2580" s="5" t="s">
        <v>307</v>
      </c>
      <c r="CU2580" s="5" t="s">
        <v>260</v>
      </c>
      <c r="CX2580" s="7">
        <f>1</f>
        <v>1</v>
      </c>
      <c r="CY2580" s="7">
        <f>0</f>
        <v>0</v>
      </c>
      <c r="DA2580" s="7">
        <f>0</f>
        <v>0</v>
      </c>
      <c r="DC2580" s="5" t="s">
        <v>309</v>
      </c>
      <c r="DD2580" s="5" t="s">
        <v>240</v>
      </c>
      <c r="DF2580" s="5" t="s">
        <v>309</v>
      </c>
      <c r="DG2580" s="7">
        <f>2923</f>
        <v>2923</v>
      </c>
      <c r="DI2580" s="5" t="s">
        <v>240</v>
      </c>
      <c r="DJ2580" s="5" t="s">
        <v>240</v>
      </c>
      <c r="DK2580" s="5" t="s">
        <v>240</v>
      </c>
      <c r="DL2580" s="5" t="s">
        <v>240</v>
      </c>
      <c r="DP2580" s="5" t="s">
        <v>240</v>
      </c>
      <c r="DQ2580" s="5" t="s">
        <v>240</v>
      </c>
      <c r="DR2580" s="5" t="s">
        <v>240</v>
      </c>
      <c r="DS2580" s="5" t="s">
        <v>240</v>
      </c>
      <c r="DV2580" s="5" t="s">
        <v>310</v>
      </c>
      <c r="DW2580" s="5" t="s">
        <v>4696</v>
      </c>
      <c r="HO2580" s="5" t="s">
        <v>312</v>
      </c>
    </row>
    <row r="2581" spans="1:223" x14ac:dyDescent="0.4">
      <c r="A2581" s="5">
        <v>4285</v>
      </c>
      <c r="B2581" s="5">
        <v>1</v>
      </c>
      <c r="C2581" s="5">
        <v>1</v>
      </c>
      <c r="D2581" s="5" t="s">
        <v>810</v>
      </c>
      <c r="E2581" s="5" t="s">
        <v>245</v>
      </c>
      <c r="F2581" s="5" t="s">
        <v>254</v>
      </c>
      <c r="G2581" s="5" t="s">
        <v>240</v>
      </c>
      <c r="H2581" s="6" t="s">
        <v>3382</v>
      </c>
      <c r="I2581" s="5" t="s">
        <v>809</v>
      </c>
      <c r="J2581" s="8">
        <f>1488</f>
        <v>1488</v>
      </c>
      <c r="K2581" s="5" t="s">
        <v>308</v>
      </c>
      <c r="L2581" s="7">
        <f>1</f>
        <v>1</v>
      </c>
      <c r="M2581" s="7">
        <f>1</f>
        <v>1</v>
      </c>
      <c r="N2581" s="5" t="s">
        <v>242</v>
      </c>
      <c r="O2581" s="5">
        <v>1</v>
      </c>
      <c r="P2581" s="5" t="s">
        <v>294</v>
      </c>
      <c r="Q2581" s="5" t="s">
        <v>266</v>
      </c>
      <c r="R2581" s="5" t="s">
        <v>240</v>
      </c>
      <c r="S2581" s="5" t="s">
        <v>240</v>
      </c>
      <c r="T2581" s="5" t="s">
        <v>296</v>
      </c>
      <c r="U2581" s="5" t="s">
        <v>244</v>
      </c>
      <c r="V2581" s="5" t="s">
        <v>240</v>
      </c>
      <c r="Y2581" s="5" t="s">
        <v>240</v>
      </c>
      <c r="Z2581" s="6" t="s">
        <v>298</v>
      </c>
      <c r="AB2581" s="6" t="s">
        <v>240</v>
      </c>
      <c r="AE2581" s="6" t="s">
        <v>299</v>
      </c>
      <c r="AF2581" s="5" t="s">
        <v>248</v>
      </c>
      <c r="AG2581" s="5" t="s">
        <v>249</v>
      </c>
      <c r="AW2581" s="5" t="s">
        <v>251</v>
      </c>
      <c r="AX2581" s="5" t="s">
        <v>240</v>
      </c>
      <c r="AY2581" s="5" t="s">
        <v>253</v>
      </c>
      <c r="AZ2581" s="5" t="s">
        <v>240</v>
      </c>
      <c r="BA2581" s="5" t="s">
        <v>255</v>
      </c>
      <c r="BB2581" s="5" t="s">
        <v>240</v>
      </c>
      <c r="BD2581" s="5" t="s">
        <v>240</v>
      </c>
      <c r="BF2581" s="5" t="s">
        <v>301</v>
      </c>
      <c r="BG2581" s="6" t="s">
        <v>299</v>
      </c>
      <c r="BH2581" s="5" t="s">
        <v>302</v>
      </c>
      <c r="BI2581" s="5" t="s">
        <v>303</v>
      </c>
      <c r="BJ2581" s="5" t="s">
        <v>240</v>
      </c>
      <c r="BK2581" s="8">
        <f>0</f>
        <v>0</v>
      </c>
      <c r="BL2581" s="7">
        <f>0</f>
        <v>0</v>
      </c>
      <c r="BM2581" s="5" t="s">
        <v>258</v>
      </c>
      <c r="BN2581" s="5" t="s">
        <v>259</v>
      </c>
      <c r="CB2581" s="5" t="s">
        <v>240</v>
      </c>
      <c r="CC2581" s="5" t="s">
        <v>240</v>
      </c>
      <c r="CG2581" s="5" t="s">
        <v>304</v>
      </c>
      <c r="CH2581" s="5" t="s">
        <v>305</v>
      </c>
      <c r="CI2581" s="5" t="s">
        <v>240</v>
      </c>
      <c r="CL2581" s="6" t="s">
        <v>261</v>
      </c>
      <c r="CM2581" s="5" t="s">
        <v>240</v>
      </c>
      <c r="CN2581" s="5" t="s">
        <v>263</v>
      </c>
      <c r="CO2581" s="5" t="s">
        <v>240</v>
      </c>
      <c r="CP2581" s="5" t="s">
        <v>240</v>
      </c>
      <c r="CQ2581" s="5">
        <v>0</v>
      </c>
      <c r="CR2581" s="5" t="s">
        <v>306</v>
      </c>
      <c r="CS2581" s="5" t="s">
        <v>307</v>
      </c>
      <c r="CT2581" s="5" t="s">
        <v>307</v>
      </c>
      <c r="CU2581" s="5" t="s">
        <v>260</v>
      </c>
      <c r="CX2581" s="7">
        <f>1</f>
        <v>1</v>
      </c>
      <c r="CY2581" s="7">
        <f>0</f>
        <v>0</v>
      </c>
      <c r="DA2581" s="7">
        <f>0</f>
        <v>0</v>
      </c>
      <c r="DC2581" s="5" t="s">
        <v>309</v>
      </c>
      <c r="DD2581" s="5" t="s">
        <v>240</v>
      </c>
      <c r="DF2581" s="5" t="s">
        <v>309</v>
      </c>
      <c r="DG2581" s="7">
        <f>4053</f>
        <v>4053</v>
      </c>
      <c r="DI2581" s="5" t="s">
        <v>240</v>
      </c>
      <c r="DJ2581" s="5" t="s">
        <v>240</v>
      </c>
      <c r="DK2581" s="5" t="s">
        <v>240</v>
      </c>
      <c r="DL2581" s="5" t="s">
        <v>240</v>
      </c>
      <c r="DP2581" s="5" t="s">
        <v>240</v>
      </c>
      <c r="DQ2581" s="5" t="s">
        <v>240</v>
      </c>
      <c r="DR2581" s="5" t="s">
        <v>240</v>
      </c>
      <c r="DS2581" s="5" t="s">
        <v>240</v>
      </c>
      <c r="DV2581" s="5" t="s">
        <v>310</v>
      </c>
      <c r="DW2581" s="5" t="s">
        <v>3217</v>
      </c>
      <c r="HO2581" s="5" t="s">
        <v>312</v>
      </c>
    </row>
    <row r="2582" spans="1:223" x14ac:dyDescent="0.4">
      <c r="A2582" s="5">
        <v>4286</v>
      </c>
      <c r="B2582" s="5">
        <v>1</v>
      </c>
      <c r="C2582" s="5">
        <v>1</v>
      </c>
      <c r="D2582" s="5" t="s">
        <v>810</v>
      </c>
      <c r="E2582" s="5" t="s">
        <v>245</v>
      </c>
      <c r="F2582" s="5" t="s">
        <v>254</v>
      </c>
      <c r="G2582" s="5" t="s">
        <v>240</v>
      </c>
      <c r="H2582" s="6" t="s">
        <v>3380</v>
      </c>
      <c r="I2582" s="5" t="s">
        <v>809</v>
      </c>
      <c r="J2582" s="8">
        <f>382</f>
        <v>382</v>
      </c>
      <c r="K2582" s="5" t="s">
        <v>308</v>
      </c>
      <c r="L2582" s="7">
        <f>1</f>
        <v>1</v>
      </c>
      <c r="M2582" s="7">
        <f>1</f>
        <v>1</v>
      </c>
      <c r="N2582" s="5" t="s">
        <v>242</v>
      </c>
      <c r="O2582" s="5">
        <v>1</v>
      </c>
      <c r="P2582" s="5" t="s">
        <v>294</v>
      </c>
      <c r="Q2582" s="5" t="s">
        <v>266</v>
      </c>
      <c r="R2582" s="5" t="s">
        <v>240</v>
      </c>
      <c r="S2582" s="5" t="s">
        <v>240</v>
      </c>
      <c r="T2582" s="5" t="s">
        <v>296</v>
      </c>
      <c r="U2582" s="5" t="s">
        <v>244</v>
      </c>
      <c r="V2582" s="5" t="s">
        <v>240</v>
      </c>
      <c r="Y2582" s="5" t="s">
        <v>240</v>
      </c>
      <c r="Z2582" s="6" t="s">
        <v>298</v>
      </c>
      <c r="AB2582" s="6" t="s">
        <v>240</v>
      </c>
      <c r="AE2582" s="6" t="s">
        <v>299</v>
      </c>
      <c r="AF2582" s="5" t="s">
        <v>248</v>
      </c>
      <c r="AG2582" s="5" t="s">
        <v>249</v>
      </c>
      <c r="AW2582" s="5" t="s">
        <v>251</v>
      </c>
      <c r="AX2582" s="5" t="s">
        <v>240</v>
      </c>
      <c r="AY2582" s="5" t="s">
        <v>253</v>
      </c>
      <c r="AZ2582" s="5" t="s">
        <v>240</v>
      </c>
      <c r="BA2582" s="5" t="s">
        <v>255</v>
      </c>
      <c r="BB2582" s="5" t="s">
        <v>240</v>
      </c>
      <c r="BD2582" s="5" t="s">
        <v>240</v>
      </c>
      <c r="BF2582" s="5" t="s">
        <v>301</v>
      </c>
      <c r="BG2582" s="6" t="s">
        <v>299</v>
      </c>
      <c r="BH2582" s="5" t="s">
        <v>302</v>
      </c>
      <c r="BI2582" s="5" t="s">
        <v>303</v>
      </c>
      <c r="BJ2582" s="5" t="s">
        <v>240</v>
      </c>
      <c r="BK2582" s="8">
        <f>0</f>
        <v>0</v>
      </c>
      <c r="BL2582" s="7">
        <f>0</f>
        <v>0</v>
      </c>
      <c r="BM2582" s="5" t="s">
        <v>258</v>
      </c>
      <c r="BN2582" s="5" t="s">
        <v>259</v>
      </c>
      <c r="CB2582" s="5" t="s">
        <v>240</v>
      </c>
      <c r="CC2582" s="5" t="s">
        <v>240</v>
      </c>
      <c r="CG2582" s="5" t="s">
        <v>304</v>
      </c>
      <c r="CH2582" s="5" t="s">
        <v>305</v>
      </c>
      <c r="CI2582" s="5" t="s">
        <v>240</v>
      </c>
      <c r="CL2582" s="6" t="s">
        <v>261</v>
      </c>
      <c r="CM2582" s="5" t="s">
        <v>240</v>
      </c>
      <c r="CN2582" s="5" t="s">
        <v>263</v>
      </c>
      <c r="CO2582" s="5" t="s">
        <v>240</v>
      </c>
      <c r="CP2582" s="5" t="s">
        <v>240</v>
      </c>
      <c r="CQ2582" s="5">
        <v>0</v>
      </c>
      <c r="CR2582" s="5" t="s">
        <v>306</v>
      </c>
      <c r="CS2582" s="5" t="s">
        <v>307</v>
      </c>
      <c r="CT2582" s="5" t="s">
        <v>307</v>
      </c>
      <c r="CU2582" s="5" t="s">
        <v>260</v>
      </c>
      <c r="CX2582" s="7">
        <f>1</f>
        <v>1</v>
      </c>
      <c r="CY2582" s="7">
        <f>0</f>
        <v>0</v>
      </c>
      <c r="DA2582" s="7">
        <f>0</f>
        <v>0</v>
      </c>
      <c r="DC2582" s="5" t="s">
        <v>812</v>
      </c>
      <c r="DD2582" s="5" t="s">
        <v>240</v>
      </c>
      <c r="DF2582" s="5" t="s">
        <v>812</v>
      </c>
      <c r="DG2582" s="7">
        <f>1938</f>
        <v>1938</v>
      </c>
      <c r="DI2582" s="5" t="s">
        <v>240</v>
      </c>
      <c r="DJ2582" s="5" t="s">
        <v>240</v>
      </c>
      <c r="DK2582" s="5" t="s">
        <v>240</v>
      </c>
      <c r="DL2582" s="5" t="s">
        <v>240</v>
      </c>
      <c r="DP2582" s="5" t="s">
        <v>240</v>
      </c>
      <c r="DQ2582" s="5" t="s">
        <v>240</v>
      </c>
      <c r="DR2582" s="5" t="s">
        <v>240</v>
      </c>
      <c r="DS2582" s="5" t="s">
        <v>240</v>
      </c>
      <c r="DV2582" s="5" t="s">
        <v>813</v>
      </c>
      <c r="DW2582" s="5" t="s">
        <v>3882</v>
      </c>
      <c r="HO2582" s="5" t="s">
        <v>312</v>
      </c>
    </row>
    <row r="2583" spans="1:223" x14ac:dyDescent="0.4">
      <c r="A2583" s="5">
        <v>4287</v>
      </c>
      <c r="B2583" s="5">
        <v>1</v>
      </c>
      <c r="C2583" s="5">
        <v>1</v>
      </c>
      <c r="D2583" s="5" t="s">
        <v>810</v>
      </c>
      <c r="E2583" s="5" t="s">
        <v>245</v>
      </c>
      <c r="F2583" s="5" t="s">
        <v>254</v>
      </c>
      <c r="G2583" s="5" t="s">
        <v>240</v>
      </c>
      <c r="H2583" s="6" t="s">
        <v>3378</v>
      </c>
      <c r="I2583" s="5" t="s">
        <v>809</v>
      </c>
      <c r="J2583" s="8">
        <f>58</f>
        <v>58</v>
      </c>
      <c r="K2583" s="5" t="s">
        <v>308</v>
      </c>
      <c r="L2583" s="7">
        <f>1</f>
        <v>1</v>
      </c>
      <c r="M2583" s="7">
        <f>1</f>
        <v>1</v>
      </c>
      <c r="N2583" s="5" t="s">
        <v>242</v>
      </c>
      <c r="O2583" s="5">
        <v>1</v>
      </c>
      <c r="P2583" s="5" t="s">
        <v>294</v>
      </c>
      <c r="Q2583" s="5" t="s">
        <v>266</v>
      </c>
      <c r="R2583" s="5" t="s">
        <v>240</v>
      </c>
      <c r="S2583" s="5" t="s">
        <v>240</v>
      </c>
      <c r="T2583" s="5" t="s">
        <v>296</v>
      </c>
      <c r="U2583" s="5" t="s">
        <v>244</v>
      </c>
      <c r="V2583" s="5" t="s">
        <v>240</v>
      </c>
      <c r="Y2583" s="5" t="s">
        <v>240</v>
      </c>
      <c r="Z2583" s="6" t="s">
        <v>298</v>
      </c>
      <c r="AB2583" s="6" t="s">
        <v>240</v>
      </c>
      <c r="AE2583" s="6" t="s">
        <v>299</v>
      </c>
      <c r="AF2583" s="5" t="s">
        <v>248</v>
      </c>
      <c r="AG2583" s="5" t="s">
        <v>249</v>
      </c>
      <c r="AW2583" s="5" t="s">
        <v>251</v>
      </c>
      <c r="AX2583" s="5" t="s">
        <v>240</v>
      </c>
      <c r="AY2583" s="5" t="s">
        <v>253</v>
      </c>
      <c r="AZ2583" s="5" t="s">
        <v>240</v>
      </c>
      <c r="BA2583" s="5" t="s">
        <v>255</v>
      </c>
      <c r="BB2583" s="5" t="s">
        <v>240</v>
      </c>
      <c r="BD2583" s="5" t="s">
        <v>240</v>
      </c>
      <c r="BF2583" s="5" t="s">
        <v>301</v>
      </c>
      <c r="BG2583" s="6" t="s">
        <v>299</v>
      </c>
      <c r="BH2583" s="5" t="s">
        <v>302</v>
      </c>
      <c r="BI2583" s="5" t="s">
        <v>303</v>
      </c>
      <c r="BJ2583" s="5" t="s">
        <v>240</v>
      </c>
      <c r="BK2583" s="8">
        <f>0</f>
        <v>0</v>
      </c>
      <c r="BL2583" s="7">
        <f>0</f>
        <v>0</v>
      </c>
      <c r="BM2583" s="5" t="s">
        <v>258</v>
      </c>
      <c r="BN2583" s="5" t="s">
        <v>259</v>
      </c>
      <c r="CB2583" s="5" t="s">
        <v>240</v>
      </c>
      <c r="CC2583" s="5" t="s">
        <v>240</v>
      </c>
      <c r="CG2583" s="5" t="s">
        <v>304</v>
      </c>
      <c r="CH2583" s="5" t="s">
        <v>305</v>
      </c>
      <c r="CI2583" s="5" t="s">
        <v>240</v>
      </c>
      <c r="CL2583" s="6" t="s">
        <v>261</v>
      </c>
      <c r="CM2583" s="5" t="s">
        <v>240</v>
      </c>
      <c r="CN2583" s="5" t="s">
        <v>263</v>
      </c>
      <c r="CO2583" s="5" t="s">
        <v>240</v>
      </c>
      <c r="CP2583" s="5" t="s">
        <v>240</v>
      </c>
      <c r="CQ2583" s="5">
        <v>0</v>
      </c>
      <c r="CR2583" s="5" t="s">
        <v>306</v>
      </c>
      <c r="CS2583" s="5" t="s">
        <v>307</v>
      </c>
      <c r="CT2583" s="5" t="s">
        <v>307</v>
      </c>
      <c r="CU2583" s="5" t="s">
        <v>260</v>
      </c>
      <c r="CX2583" s="7">
        <f>1</f>
        <v>1</v>
      </c>
      <c r="CY2583" s="7">
        <f>0</f>
        <v>0</v>
      </c>
      <c r="DA2583" s="7">
        <f>0</f>
        <v>0</v>
      </c>
      <c r="DC2583" s="5" t="s">
        <v>309</v>
      </c>
      <c r="DD2583" s="5" t="s">
        <v>240</v>
      </c>
      <c r="DF2583" s="5" t="s">
        <v>309</v>
      </c>
      <c r="DG2583" s="7">
        <f>900</f>
        <v>900</v>
      </c>
      <c r="DI2583" s="5" t="s">
        <v>240</v>
      </c>
      <c r="DJ2583" s="5" t="s">
        <v>240</v>
      </c>
      <c r="DK2583" s="5" t="s">
        <v>240</v>
      </c>
      <c r="DL2583" s="5" t="s">
        <v>240</v>
      </c>
      <c r="DP2583" s="5" t="s">
        <v>240</v>
      </c>
      <c r="DQ2583" s="5" t="s">
        <v>240</v>
      </c>
      <c r="DR2583" s="5" t="s">
        <v>240</v>
      </c>
      <c r="DS2583" s="5" t="s">
        <v>240</v>
      </c>
      <c r="DV2583" s="5" t="s">
        <v>310</v>
      </c>
      <c r="DW2583" s="5" t="s">
        <v>3220</v>
      </c>
      <c r="HO2583" s="5" t="s">
        <v>312</v>
      </c>
    </row>
    <row r="2584" spans="1:223" x14ac:dyDescent="0.4">
      <c r="A2584" s="5">
        <v>4288</v>
      </c>
      <c r="B2584" s="5">
        <v>1</v>
      </c>
      <c r="C2584" s="5">
        <v>1</v>
      </c>
      <c r="D2584" s="5" t="s">
        <v>810</v>
      </c>
      <c r="E2584" s="5" t="s">
        <v>245</v>
      </c>
      <c r="F2584" s="5" t="s">
        <v>254</v>
      </c>
      <c r="G2584" s="5" t="s">
        <v>240</v>
      </c>
      <c r="H2584" s="6" t="s">
        <v>3376</v>
      </c>
      <c r="I2584" s="5" t="s">
        <v>295</v>
      </c>
      <c r="J2584" s="8">
        <f>1617</f>
        <v>1617</v>
      </c>
      <c r="K2584" s="5" t="s">
        <v>308</v>
      </c>
      <c r="L2584" s="7">
        <f>1</f>
        <v>1</v>
      </c>
      <c r="M2584" s="7">
        <f>1</f>
        <v>1</v>
      </c>
      <c r="N2584" s="5" t="s">
        <v>242</v>
      </c>
      <c r="O2584" s="5">
        <v>1</v>
      </c>
      <c r="P2584" s="5" t="s">
        <v>294</v>
      </c>
      <c r="Q2584" s="5" t="s">
        <v>266</v>
      </c>
      <c r="R2584" s="5" t="s">
        <v>240</v>
      </c>
      <c r="S2584" s="5" t="s">
        <v>240</v>
      </c>
      <c r="T2584" s="5" t="s">
        <v>296</v>
      </c>
      <c r="U2584" s="5" t="s">
        <v>244</v>
      </c>
      <c r="V2584" s="5" t="s">
        <v>240</v>
      </c>
      <c r="Y2584" s="5" t="s">
        <v>240</v>
      </c>
      <c r="Z2584" s="6" t="s">
        <v>298</v>
      </c>
      <c r="AB2584" s="6" t="s">
        <v>240</v>
      </c>
      <c r="AE2584" s="6" t="s">
        <v>299</v>
      </c>
      <c r="AF2584" s="5" t="s">
        <v>248</v>
      </c>
      <c r="AG2584" s="5" t="s">
        <v>249</v>
      </c>
      <c r="AW2584" s="5" t="s">
        <v>251</v>
      </c>
      <c r="AX2584" s="5" t="s">
        <v>240</v>
      </c>
      <c r="AY2584" s="5" t="s">
        <v>253</v>
      </c>
      <c r="AZ2584" s="5" t="s">
        <v>240</v>
      </c>
      <c r="BA2584" s="5" t="s">
        <v>255</v>
      </c>
      <c r="BB2584" s="5" t="s">
        <v>240</v>
      </c>
      <c r="BD2584" s="5" t="s">
        <v>240</v>
      </c>
      <c r="BF2584" s="5" t="s">
        <v>301</v>
      </c>
      <c r="BG2584" s="6" t="s">
        <v>299</v>
      </c>
      <c r="BH2584" s="5" t="s">
        <v>302</v>
      </c>
      <c r="BI2584" s="5" t="s">
        <v>303</v>
      </c>
      <c r="BJ2584" s="5" t="s">
        <v>240</v>
      </c>
      <c r="BK2584" s="8">
        <f>0</f>
        <v>0</v>
      </c>
      <c r="BL2584" s="7">
        <f>0</f>
        <v>0</v>
      </c>
      <c r="BM2584" s="5" t="s">
        <v>258</v>
      </c>
      <c r="BN2584" s="5" t="s">
        <v>259</v>
      </c>
      <c r="CB2584" s="5" t="s">
        <v>240</v>
      </c>
      <c r="CC2584" s="5" t="s">
        <v>240</v>
      </c>
      <c r="CG2584" s="5" t="s">
        <v>304</v>
      </c>
      <c r="CH2584" s="5" t="s">
        <v>305</v>
      </c>
      <c r="CI2584" s="5" t="s">
        <v>240</v>
      </c>
      <c r="CL2584" s="6" t="s">
        <v>261</v>
      </c>
      <c r="CM2584" s="5" t="s">
        <v>240</v>
      </c>
      <c r="CN2584" s="5" t="s">
        <v>263</v>
      </c>
      <c r="CO2584" s="5" t="s">
        <v>240</v>
      </c>
      <c r="CP2584" s="5" t="s">
        <v>240</v>
      </c>
      <c r="CQ2584" s="5">
        <v>0</v>
      </c>
      <c r="CR2584" s="5" t="s">
        <v>306</v>
      </c>
      <c r="CS2584" s="5" t="s">
        <v>307</v>
      </c>
      <c r="CT2584" s="5" t="s">
        <v>307</v>
      </c>
      <c r="CU2584" s="5" t="s">
        <v>260</v>
      </c>
      <c r="CX2584" s="7">
        <f>1</f>
        <v>1</v>
      </c>
      <c r="CY2584" s="7">
        <f>0</f>
        <v>0</v>
      </c>
      <c r="DA2584" s="7">
        <f>0</f>
        <v>0</v>
      </c>
      <c r="DC2584" s="5" t="s">
        <v>309</v>
      </c>
      <c r="DD2584" s="5" t="s">
        <v>240</v>
      </c>
      <c r="DF2584" s="5" t="s">
        <v>309</v>
      </c>
      <c r="DG2584" s="7">
        <f>5697</f>
        <v>5697</v>
      </c>
      <c r="DI2584" s="5" t="s">
        <v>240</v>
      </c>
      <c r="DJ2584" s="5" t="s">
        <v>240</v>
      </c>
      <c r="DK2584" s="5" t="s">
        <v>240</v>
      </c>
      <c r="DL2584" s="5" t="s">
        <v>240</v>
      </c>
      <c r="DP2584" s="5" t="s">
        <v>240</v>
      </c>
      <c r="DQ2584" s="5" t="s">
        <v>240</v>
      </c>
      <c r="DR2584" s="5" t="s">
        <v>240</v>
      </c>
      <c r="DS2584" s="5" t="s">
        <v>240</v>
      </c>
      <c r="DV2584" s="5" t="s">
        <v>310</v>
      </c>
      <c r="DW2584" s="5" t="s">
        <v>3222</v>
      </c>
      <c r="HO2584" s="5" t="s">
        <v>312</v>
      </c>
    </row>
    <row r="2585" spans="1:223" x14ac:dyDescent="0.4">
      <c r="A2585" s="5">
        <v>4289</v>
      </c>
      <c r="B2585" s="5">
        <v>1</v>
      </c>
      <c r="C2585" s="5">
        <v>1</v>
      </c>
      <c r="D2585" s="5" t="s">
        <v>810</v>
      </c>
      <c r="E2585" s="5" t="s">
        <v>245</v>
      </c>
      <c r="F2585" s="5" t="s">
        <v>254</v>
      </c>
      <c r="G2585" s="5" t="s">
        <v>240</v>
      </c>
      <c r="H2585" s="6" t="s">
        <v>4953</v>
      </c>
      <c r="I2585" s="5" t="s">
        <v>809</v>
      </c>
      <c r="J2585" s="8">
        <f>241</f>
        <v>241</v>
      </c>
      <c r="K2585" s="5" t="s">
        <v>308</v>
      </c>
      <c r="L2585" s="7">
        <f>1</f>
        <v>1</v>
      </c>
      <c r="M2585" s="7">
        <f>1</f>
        <v>1</v>
      </c>
      <c r="N2585" s="5" t="s">
        <v>242</v>
      </c>
      <c r="O2585" s="5">
        <v>1</v>
      </c>
      <c r="P2585" s="5" t="s">
        <v>294</v>
      </c>
      <c r="Q2585" s="5" t="s">
        <v>266</v>
      </c>
      <c r="R2585" s="5" t="s">
        <v>240</v>
      </c>
      <c r="S2585" s="5" t="s">
        <v>240</v>
      </c>
      <c r="T2585" s="5" t="s">
        <v>296</v>
      </c>
      <c r="U2585" s="5" t="s">
        <v>244</v>
      </c>
      <c r="V2585" s="5" t="s">
        <v>240</v>
      </c>
      <c r="Y2585" s="5" t="s">
        <v>240</v>
      </c>
      <c r="Z2585" s="6" t="s">
        <v>298</v>
      </c>
      <c r="AB2585" s="6" t="s">
        <v>240</v>
      </c>
      <c r="AE2585" s="6" t="s">
        <v>299</v>
      </c>
      <c r="AF2585" s="5" t="s">
        <v>248</v>
      </c>
      <c r="AG2585" s="5" t="s">
        <v>249</v>
      </c>
      <c r="AW2585" s="5" t="s">
        <v>251</v>
      </c>
      <c r="AX2585" s="5" t="s">
        <v>240</v>
      </c>
      <c r="AY2585" s="5" t="s">
        <v>253</v>
      </c>
      <c r="AZ2585" s="5" t="s">
        <v>240</v>
      </c>
      <c r="BA2585" s="5" t="s">
        <v>255</v>
      </c>
      <c r="BB2585" s="5" t="s">
        <v>240</v>
      </c>
      <c r="BD2585" s="5" t="s">
        <v>240</v>
      </c>
      <c r="BF2585" s="5" t="s">
        <v>301</v>
      </c>
      <c r="BG2585" s="6" t="s">
        <v>299</v>
      </c>
      <c r="BH2585" s="5" t="s">
        <v>302</v>
      </c>
      <c r="BI2585" s="5" t="s">
        <v>303</v>
      </c>
      <c r="BJ2585" s="5" t="s">
        <v>240</v>
      </c>
      <c r="BK2585" s="8">
        <f>0</f>
        <v>0</v>
      </c>
      <c r="BL2585" s="7">
        <f>0</f>
        <v>0</v>
      </c>
      <c r="BM2585" s="5" t="s">
        <v>258</v>
      </c>
      <c r="BN2585" s="5" t="s">
        <v>259</v>
      </c>
      <c r="CB2585" s="5" t="s">
        <v>240</v>
      </c>
      <c r="CC2585" s="5" t="s">
        <v>240</v>
      </c>
      <c r="CG2585" s="5" t="s">
        <v>304</v>
      </c>
      <c r="CH2585" s="5" t="s">
        <v>305</v>
      </c>
      <c r="CI2585" s="5" t="s">
        <v>240</v>
      </c>
      <c r="CL2585" s="6" t="s">
        <v>261</v>
      </c>
      <c r="CM2585" s="5" t="s">
        <v>240</v>
      </c>
      <c r="CN2585" s="5" t="s">
        <v>263</v>
      </c>
      <c r="CO2585" s="5" t="s">
        <v>240</v>
      </c>
      <c r="CP2585" s="5" t="s">
        <v>240</v>
      </c>
      <c r="CQ2585" s="5">
        <v>0</v>
      </c>
      <c r="CR2585" s="5" t="s">
        <v>306</v>
      </c>
      <c r="CS2585" s="5" t="s">
        <v>307</v>
      </c>
      <c r="CT2585" s="5" t="s">
        <v>307</v>
      </c>
      <c r="CU2585" s="5" t="s">
        <v>260</v>
      </c>
      <c r="CX2585" s="7">
        <f>1</f>
        <v>1</v>
      </c>
      <c r="CY2585" s="7">
        <f>0</f>
        <v>0</v>
      </c>
      <c r="DA2585" s="7">
        <f>0</f>
        <v>0</v>
      </c>
      <c r="DC2585" s="5" t="s">
        <v>309</v>
      </c>
      <c r="DD2585" s="5" t="s">
        <v>240</v>
      </c>
      <c r="DF2585" s="5" t="s">
        <v>309</v>
      </c>
      <c r="DG2585" s="7">
        <f>3991</f>
        <v>3991</v>
      </c>
      <c r="DI2585" s="5" t="s">
        <v>240</v>
      </c>
      <c r="DJ2585" s="5" t="s">
        <v>240</v>
      </c>
      <c r="DK2585" s="5" t="s">
        <v>240</v>
      </c>
      <c r="DL2585" s="5" t="s">
        <v>240</v>
      </c>
      <c r="DP2585" s="5" t="s">
        <v>240</v>
      </c>
      <c r="DQ2585" s="5" t="s">
        <v>240</v>
      </c>
      <c r="DR2585" s="5" t="s">
        <v>240</v>
      </c>
      <c r="DS2585" s="5" t="s">
        <v>240</v>
      </c>
      <c r="DV2585" s="5" t="s">
        <v>310</v>
      </c>
      <c r="DW2585" s="5" t="s">
        <v>3224</v>
      </c>
      <c r="HO2585" s="5" t="s">
        <v>312</v>
      </c>
    </row>
    <row r="2586" spans="1:223" x14ac:dyDescent="0.4">
      <c r="A2586" s="5">
        <v>4290</v>
      </c>
      <c r="B2586" s="5">
        <v>1</v>
      </c>
      <c r="C2586" s="5">
        <v>1</v>
      </c>
      <c r="D2586" s="5" t="s">
        <v>810</v>
      </c>
      <c r="E2586" s="5" t="s">
        <v>245</v>
      </c>
      <c r="F2586" s="5" t="s">
        <v>254</v>
      </c>
      <c r="G2586" s="5" t="s">
        <v>240</v>
      </c>
      <c r="H2586" s="6" t="s">
        <v>3372</v>
      </c>
      <c r="I2586" s="5" t="s">
        <v>809</v>
      </c>
      <c r="J2586" s="8">
        <f>90</f>
        <v>90</v>
      </c>
      <c r="K2586" s="5" t="s">
        <v>308</v>
      </c>
      <c r="L2586" s="7">
        <f>1</f>
        <v>1</v>
      </c>
      <c r="M2586" s="7">
        <f>1</f>
        <v>1</v>
      </c>
      <c r="N2586" s="5" t="s">
        <v>242</v>
      </c>
      <c r="O2586" s="5">
        <v>1</v>
      </c>
      <c r="P2586" s="5" t="s">
        <v>294</v>
      </c>
      <c r="Q2586" s="5" t="s">
        <v>266</v>
      </c>
      <c r="R2586" s="5" t="s">
        <v>240</v>
      </c>
      <c r="S2586" s="5" t="s">
        <v>240</v>
      </c>
      <c r="T2586" s="5" t="s">
        <v>296</v>
      </c>
      <c r="U2586" s="5" t="s">
        <v>244</v>
      </c>
      <c r="V2586" s="5" t="s">
        <v>240</v>
      </c>
      <c r="Y2586" s="5" t="s">
        <v>240</v>
      </c>
      <c r="Z2586" s="6" t="s">
        <v>298</v>
      </c>
      <c r="AB2586" s="6" t="s">
        <v>240</v>
      </c>
      <c r="AE2586" s="6" t="s">
        <v>299</v>
      </c>
      <c r="AF2586" s="5" t="s">
        <v>248</v>
      </c>
      <c r="AG2586" s="5" t="s">
        <v>249</v>
      </c>
      <c r="AW2586" s="5" t="s">
        <v>251</v>
      </c>
      <c r="AX2586" s="5" t="s">
        <v>240</v>
      </c>
      <c r="AY2586" s="5" t="s">
        <v>253</v>
      </c>
      <c r="AZ2586" s="5" t="s">
        <v>240</v>
      </c>
      <c r="BA2586" s="5" t="s">
        <v>255</v>
      </c>
      <c r="BB2586" s="5" t="s">
        <v>240</v>
      </c>
      <c r="BD2586" s="5" t="s">
        <v>240</v>
      </c>
      <c r="BF2586" s="5" t="s">
        <v>301</v>
      </c>
      <c r="BG2586" s="6" t="s">
        <v>299</v>
      </c>
      <c r="BH2586" s="5" t="s">
        <v>302</v>
      </c>
      <c r="BI2586" s="5" t="s">
        <v>303</v>
      </c>
      <c r="BJ2586" s="5" t="s">
        <v>240</v>
      </c>
      <c r="BK2586" s="8">
        <f>0</f>
        <v>0</v>
      </c>
      <c r="BL2586" s="7">
        <f>0</f>
        <v>0</v>
      </c>
      <c r="BM2586" s="5" t="s">
        <v>258</v>
      </c>
      <c r="BN2586" s="5" t="s">
        <v>259</v>
      </c>
      <c r="CB2586" s="5" t="s">
        <v>240</v>
      </c>
      <c r="CC2586" s="5" t="s">
        <v>240</v>
      </c>
      <c r="CG2586" s="5" t="s">
        <v>304</v>
      </c>
      <c r="CH2586" s="5" t="s">
        <v>305</v>
      </c>
      <c r="CI2586" s="5" t="s">
        <v>240</v>
      </c>
      <c r="CL2586" s="6" t="s">
        <v>261</v>
      </c>
      <c r="CM2586" s="5" t="s">
        <v>240</v>
      </c>
      <c r="CN2586" s="5" t="s">
        <v>263</v>
      </c>
      <c r="CO2586" s="5" t="s">
        <v>240</v>
      </c>
      <c r="CP2586" s="5" t="s">
        <v>240</v>
      </c>
      <c r="CQ2586" s="5">
        <v>0</v>
      </c>
      <c r="CR2586" s="5" t="s">
        <v>306</v>
      </c>
      <c r="CS2586" s="5" t="s">
        <v>307</v>
      </c>
      <c r="CT2586" s="5" t="s">
        <v>307</v>
      </c>
      <c r="CU2586" s="5" t="s">
        <v>260</v>
      </c>
      <c r="CX2586" s="7">
        <f>1</f>
        <v>1</v>
      </c>
      <c r="CY2586" s="7">
        <f>0</f>
        <v>0</v>
      </c>
      <c r="DA2586" s="7">
        <f>0</f>
        <v>0</v>
      </c>
      <c r="DC2586" s="5" t="s">
        <v>309</v>
      </c>
      <c r="DD2586" s="5" t="s">
        <v>240</v>
      </c>
      <c r="DF2586" s="5" t="s">
        <v>309</v>
      </c>
      <c r="DG2586" s="7">
        <f>4496</f>
        <v>4496</v>
      </c>
      <c r="DI2586" s="5" t="s">
        <v>240</v>
      </c>
      <c r="DJ2586" s="5" t="s">
        <v>240</v>
      </c>
      <c r="DK2586" s="5" t="s">
        <v>240</v>
      </c>
      <c r="DL2586" s="5" t="s">
        <v>240</v>
      </c>
      <c r="DP2586" s="5" t="s">
        <v>240</v>
      </c>
      <c r="DQ2586" s="5" t="s">
        <v>240</v>
      </c>
      <c r="DR2586" s="5" t="s">
        <v>240</v>
      </c>
      <c r="DS2586" s="5" t="s">
        <v>240</v>
      </c>
      <c r="DV2586" s="5" t="s">
        <v>310</v>
      </c>
      <c r="DW2586" s="5" t="s">
        <v>3226</v>
      </c>
      <c r="HO2586" s="5" t="s">
        <v>312</v>
      </c>
    </row>
    <row r="2587" spans="1:223" x14ac:dyDescent="0.4">
      <c r="A2587" s="5">
        <v>4291</v>
      </c>
      <c r="B2587" s="5">
        <v>1</v>
      </c>
      <c r="C2587" s="5">
        <v>1</v>
      </c>
      <c r="D2587" s="5" t="s">
        <v>810</v>
      </c>
      <c r="E2587" s="5" t="s">
        <v>245</v>
      </c>
      <c r="F2587" s="5" t="s">
        <v>254</v>
      </c>
      <c r="G2587" s="5" t="s">
        <v>240</v>
      </c>
      <c r="H2587" s="6" t="s">
        <v>3370</v>
      </c>
      <c r="I2587" s="5" t="s">
        <v>809</v>
      </c>
      <c r="J2587" s="8">
        <f>483</f>
        <v>483</v>
      </c>
      <c r="K2587" s="5" t="s">
        <v>308</v>
      </c>
      <c r="L2587" s="7">
        <f>1</f>
        <v>1</v>
      </c>
      <c r="M2587" s="7">
        <f>1</f>
        <v>1</v>
      </c>
      <c r="N2587" s="5" t="s">
        <v>242</v>
      </c>
      <c r="O2587" s="5">
        <v>1</v>
      </c>
      <c r="P2587" s="5" t="s">
        <v>294</v>
      </c>
      <c r="Q2587" s="5" t="s">
        <v>266</v>
      </c>
      <c r="R2587" s="5" t="s">
        <v>240</v>
      </c>
      <c r="S2587" s="5" t="s">
        <v>240</v>
      </c>
      <c r="T2587" s="5" t="s">
        <v>296</v>
      </c>
      <c r="U2587" s="5" t="s">
        <v>244</v>
      </c>
      <c r="V2587" s="5" t="s">
        <v>240</v>
      </c>
      <c r="Y2587" s="5" t="s">
        <v>240</v>
      </c>
      <c r="Z2587" s="6" t="s">
        <v>298</v>
      </c>
      <c r="AB2587" s="6" t="s">
        <v>240</v>
      </c>
      <c r="AE2587" s="6" t="s">
        <v>299</v>
      </c>
      <c r="AF2587" s="5" t="s">
        <v>248</v>
      </c>
      <c r="AG2587" s="5" t="s">
        <v>249</v>
      </c>
      <c r="AW2587" s="5" t="s">
        <v>251</v>
      </c>
      <c r="AX2587" s="5" t="s">
        <v>240</v>
      </c>
      <c r="AY2587" s="5" t="s">
        <v>253</v>
      </c>
      <c r="AZ2587" s="5" t="s">
        <v>240</v>
      </c>
      <c r="BA2587" s="5" t="s">
        <v>255</v>
      </c>
      <c r="BB2587" s="5" t="s">
        <v>240</v>
      </c>
      <c r="BD2587" s="5" t="s">
        <v>240</v>
      </c>
      <c r="BF2587" s="5" t="s">
        <v>301</v>
      </c>
      <c r="BG2587" s="6" t="s">
        <v>299</v>
      </c>
      <c r="BH2587" s="5" t="s">
        <v>302</v>
      </c>
      <c r="BI2587" s="5" t="s">
        <v>303</v>
      </c>
      <c r="BJ2587" s="5" t="s">
        <v>240</v>
      </c>
      <c r="BK2587" s="8">
        <f>0</f>
        <v>0</v>
      </c>
      <c r="BL2587" s="7">
        <f>0</f>
        <v>0</v>
      </c>
      <c r="BM2587" s="5" t="s">
        <v>258</v>
      </c>
      <c r="BN2587" s="5" t="s">
        <v>259</v>
      </c>
      <c r="CB2587" s="5" t="s">
        <v>240</v>
      </c>
      <c r="CC2587" s="5" t="s">
        <v>240</v>
      </c>
      <c r="CG2587" s="5" t="s">
        <v>304</v>
      </c>
      <c r="CH2587" s="5" t="s">
        <v>305</v>
      </c>
      <c r="CI2587" s="5" t="s">
        <v>240</v>
      </c>
      <c r="CL2587" s="6" t="s">
        <v>261</v>
      </c>
      <c r="CM2587" s="5" t="s">
        <v>240</v>
      </c>
      <c r="CN2587" s="5" t="s">
        <v>263</v>
      </c>
      <c r="CO2587" s="5" t="s">
        <v>240</v>
      </c>
      <c r="CP2587" s="5" t="s">
        <v>240</v>
      </c>
      <c r="CQ2587" s="5">
        <v>0</v>
      </c>
      <c r="CR2587" s="5" t="s">
        <v>306</v>
      </c>
      <c r="CS2587" s="5" t="s">
        <v>307</v>
      </c>
      <c r="CT2587" s="5" t="s">
        <v>307</v>
      </c>
      <c r="CU2587" s="5" t="s">
        <v>260</v>
      </c>
      <c r="CX2587" s="7">
        <f>1</f>
        <v>1</v>
      </c>
      <c r="CY2587" s="7">
        <f>0</f>
        <v>0</v>
      </c>
      <c r="DA2587" s="7">
        <f>0</f>
        <v>0</v>
      </c>
      <c r="DC2587" s="5" t="s">
        <v>309</v>
      </c>
      <c r="DD2587" s="5" t="s">
        <v>240</v>
      </c>
      <c r="DF2587" s="5" t="s">
        <v>309</v>
      </c>
      <c r="DG2587" s="7">
        <f>2994</f>
        <v>2994</v>
      </c>
      <c r="DI2587" s="5" t="s">
        <v>240</v>
      </c>
      <c r="DJ2587" s="5" t="s">
        <v>240</v>
      </c>
      <c r="DK2587" s="5" t="s">
        <v>240</v>
      </c>
      <c r="DL2587" s="5" t="s">
        <v>240</v>
      </c>
      <c r="DP2587" s="5" t="s">
        <v>240</v>
      </c>
      <c r="DQ2587" s="5" t="s">
        <v>240</v>
      </c>
      <c r="DR2587" s="5" t="s">
        <v>240</v>
      </c>
      <c r="DS2587" s="5" t="s">
        <v>240</v>
      </c>
      <c r="DV2587" s="5" t="s">
        <v>310</v>
      </c>
      <c r="DW2587" s="5" t="s">
        <v>3228</v>
      </c>
      <c r="HO2587" s="5" t="s">
        <v>312</v>
      </c>
    </row>
    <row r="2588" spans="1:223" x14ac:dyDescent="0.4">
      <c r="A2588" s="5">
        <v>4292</v>
      </c>
      <c r="B2588" s="5">
        <v>1</v>
      </c>
      <c r="C2588" s="5">
        <v>1</v>
      </c>
      <c r="D2588" s="5" t="s">
        <v>810</v>
      </c>
      <c r="E2588" s="5" t="s">
        <v>245</v>
      </c>
      <c r="F2588" s="5" t="s">
        <v>254</v>
      </c>
      <c r="G2588" s="5" t="s">
        <v>240</v>
      </c>
      <c r="H2588" s="6" t="s">
        <v>3368</v>
      </c>
      <c r="I2588" s="5" t="s">
        <v>809</v>
      </c>
      <c r="J2588" s="8">
        <f>363</f>
        <v>363</v>
      </c>
      <c r="K2588" s="5" t="s">
        <v>308</v>
      </c>
      <c r="L2588" s="7">
        <f>1</f>
        <v>1</v>
      </c>
      <c r="M2588" s="7">
        <f>1</f>
        <v>1</v>
      </c>
      <c r="N2588" s="5" t="s">
        <v>242</v>
      </c>
      <c r="O2588" s="5">
        <v>1</v>
      </c>
      <c r="P2588" s="5" t="s">
        <v>294</v>
      </c>
      <c r="Q2588" s="5" t="s">
        <v>266</v>
      </c>
      <c r="R2588" s="5" t="s">
        <v>240</v>
      </c>
      <c r="S2588" s="5" t="s">
        <v>240</v>
      </c>
      <c r="T2588" s="5" t="s">
        <v>296</v>
      </c>
      <c r="U2588" s="5" t="s">
        <v>244</v>
      </c>
      <c r="V2588" s="5" t="s">
        <v>240</v>
      </c>
      <c r="Y2588" s="5" t="s">
        <v>240</v>
      </c>
      <c r="Z2588" s="6" t="s">
        <v>298</v>
      </c>
      <c r="AB2588" s="6" t="s">
        <v>240</v>
      </c>
      <c r="AE2588" s="6" t="s">
        <v>299</v>
      </c>
      <c r="AF2588" s="5" t="s">
        <v>248</v>
      </c>
      <c r="AG2588" s="5" t="s">
        <v>249</v>
      </c>
      <c r="AW2588" s="5" t="s">
        <v>251</v>
      </c>
      <c r="AX2588" s="5" t="s">
        <v>240</v>
      </c>
      <c r="AY2588" s="5" t="s">
        <v>253</v>
      </c>
      <c r="AZ2588" s="5" t="s">
        <v>240</v>
      </c>
      <c r="BA2588" s="5" t="s">
        <v>255</v>
      </c>
      <c r="BB2588" s="5" t="s">
        <v>240</v>
      </c>
      <c r="BD2588" s="5" t="s">
        <v>240</v>
      </c>
      <c r="BF2588" s="5" t="s">
        <v>301</v>
      </c>
      <c r="BG2588" s="6" t="s">
        <v>299</v>
      </c>
      <c r="BH2588" s="5" t="s">
        <v>302</v>
      </c>
      <c r="BI2588" s="5" t="s">
        <v>303</v>
      </c>
      <c r="BJ2588" s="5" t="s">
        <v>240</v>
      </c>
      <c r="BK2588" s="8">
        <f>0</f>
        <v>0</v>
      </c>
      <c r="BL2588" s="7">
        <f>0</f>
        <v>0</v>
      </c>
      <c r="BM2588" s="5" t="s">
        <v>258</v>
      </c>
      <c r="BN2588" s="5" t="s">
        <v>259</v>
      </c>
      <c r="CB2588" s="5" t="s">
        <v>240</v>
      </c>
      <c r="CC2588" s="5" t="s">
        <v>240</v>
      </c>
      <c r="CG2588" s="5" t="s">
        <v>304</v>
      </c>
      <c r="CH2588" s="5" t="s">
        <v>305</v>
      </c>
      <c r="CI2588" s="5" t="s">
        <v>240</v>
      </c>
      <c r="CL2588" s="6" t="s">
        <v>261</v>
      </c>
      <c r="CM2588" s="5" t="s">
        <v>240</v>
      </c>
      <c r="CN2588" s="5" t="s">
        <v>263</v>
      </c>
      <c r="CO2588" s="5" t="s">
        <v>240</v>
      </c>
      <c r="CP2588" s="5" t="s">
        <v>240</v>
      </c>
      <c r="CQ2588" s="5">
        <v>0</v>
      </c>
      <c r="CR2588" s="5" t="s">
        <v>306</v>
      </c>
      <c r="CS2588" s="5" t="s">
        <v>307</v>
      </c>
      <c r="CT2588" s="5" t="s">
        <v>307</v>
      </c>
      <c r="CU2588" s="5" t="s">
        <v>260</v>
      </c>
      <c r="CX2588" s="7">
        <f>1</f>
        <v>1</v>
      </c>
      <c r="CY2588" s="7">
        <f>0</f>
        <v>0</v>
      </c>
      <c r="DA2588" s="7">
        <f>0</f>
        <v>0</v>
      </c>
      <c r="DC2588" s="5" t="s">
        <v>309</v>
      </c>
      <c r="DD2588" s="5" t="s">
        <v>240</v>
      </c>
      <c r="DF2588" s="5" t="s">
        <v>309</v>
      </c>
      <c r="DG2588" s="7">
        <f>3017</f>
        <v>3017</v>
      </c>
      <c r="DI2588" s="5" t="s">
        <v>240</v>
      </c>
      <c r="DJ2588" s="5" t="s">
        <v>240</v>
      </c>
      <c r="DK2588" s="5" t="s">
        <v>240</v>
      </c>
      <c r="DL2588" s="5" t="s">
        <v>240</v>
      </c>
      <c r="DP2588" s="5" t="s">
        <v>240</v>
      </c>
      <c r="DQ2588" s="5" t="s">
        <v>240</v>
      </c>
      <c r="DR2588" s="5" t="s">
        <v>240</v>
      </c>
      <c r="DS2588" s="5" t="s">
        <v>240</v>
      </c>
      <c r="DV2588" s="5" t="s">
        <v>310</v>
      </c>
      <c r="DW2588" s="5" t="s">
        <v>3230</v>
      </c>
      <c r="HO2588" s="5" t="s">
        <v>312</v>
      </c>
    </row>
    <row r="2589" spans="1:223" x14ac:dyDescent="0.4">
      <c r="A2589" s="5">
        <v>4293</v>
      </c>
      <c r="B2589" s="5">
        <v>1</v>
      </c>
      <c r="C2589" s="5">
        <v>1</v>
      </c>
      <c r="D2589" s="5" t="s">
        <v>810</v>
      </c>
      <c r="E2589" s="5" t="s">
        <v>245</v>
      </c>
      <c r="F2589" s="5" t="s">
        <v>254</v>
      </c>
      <c r="G2589" s="5" t="s">
        <v>240</v>
      </c>
      <c r="H2589" s="6" t="s">
        <v>3366</v>
      </c>
      <c r="I2589" s="5" t="s">
        <v>809</v>
      </c>
      <c r="J2589" s="8">
        <f>701</f>
        <v>701</v>
      </c>
      <c r="K2589" s="5" t="s">
        <v>308</v>
      </c>
      <c r="L2589" s="7">
        <f>1</f>
        <v>1</v>
      </c>
      <c r="M2589" s="7">
        <f>1</f>
        <v>1</v>
      </c>
      <c r="N2589" s="5" t="s">
        <v>242</v>
      </c>
      <c r="O2589" s="5">
        <v>1</v>
      </c>
      <c r="P2589" s="5" t="s">
        <v>294</v>
      </c>
      <c r="Q2589" s="5" t="s">
        <v>266</v>
      </c>
      <c r="R2589" s="5" t="s">
        <v>240</v>
      </c>
      <c r="S2589" s="5" t="s">
        <v>240</v>
      </c>
      <c r="T2589" s="5" t="s">
        <v>296</v>
      </c>
      <c r="U2589" s="5" t="s">
        <v>244</v>
      </c>
      <c r="V2589" s="5" t="s">
        <v>240</v>
      </c>
      <c r="Y2589" s="5" t="s">
        <v>240</v>
      </c>
      <c r="Z2589" s="6" t="s">
        <v>298</v>
      </c>
      <c r="AB2589" s="6" t="s">
        <v>240</v>
      </c>
      <c r="AE2589" s="6" t="s">
        <v>299</v>
      </c>
      <c r="AF2589" s="5" t="s">
        <v>248</v>
      </c>
      <c r="AG2589" s="5" t="s">
        <v>249</v>
      </c>
      <c r="AW2589" s="5" t="s">
        <v>251</v>
      </c>
      <c r="AX2589" s="5" t="s">
        <v>240</v>
      </c>
      <c r="AY2589" s="5" t="s">
        <v>253</v>
      </c>
      <c r="AZ2589" s="5" t="s">
        <v>240</v>
      </c>
      <c r="BA2589" s="5" t="s">
        <v>255</v>
      </c>
      <c r="BB2589" s="5" t="s">
        <v>240</v>
      </c>
      <c r="BD2589" s="5" t="s">
        <v>240</v>
      </c>
      <c r="BF2589" s="5" t="s">
        <v>301</v>
      </c>
      <c r="BG2589" s="6" t="s">
        <v>299</v>
      </c>
      <c r="BH2589" s="5" t="s">
        <v>302</v>
      </c>
      <c r="BI2589" s="5" t="s">
        <v>303</v>
      </c>
      <c r="BJ2589" s="5" t="s">
        <v>240</v>
      </c>
      <c r="BK2589" s="8">
        <f>0</f>
        <v>0</v>
      </c>
      <c r="BL2589" s="7">
        <f>0</f>
        <v>0</v>
      </c>
      <c r="BM2589" s="5" t="s">
        <v>258</v>
      </c>
      <c r="BN2589" s="5" t="s">
        <v>259</v>
      </c>
      <c r="CB2589" s="5" t="s">
        <v>240</v>
      </c>
      <c r="CC2589" s="5" t="s">
        <v>240</v>
      </c>
      <c r="CG2589" s="5" t="s">
        <v>304</v>
      </c>
      <c r="CH2589" s="5" t="s">
        <v>305</v>
      </c>
      <c r="CI2589" s="5" t="s">
        <v>240</v>
      </c>
      <c r="CL2589" s="6" t="s">
        <v>261</v>
      </c>
      <c r="CM2589" s="5" t="s">
        <v>240</v>
      </c>
      <c r="CN2589" s="5" t="s">
        <v>263</v>
      </c>
      <c r="CO2589" s="5" t="s">
        <v>240</v>
      </c>
      <c r="CP2589" s="5" t="s">
        <v>240</v>
      </c>
      <c r="CQ2589" s="5">
        <v>0</v>
      </c>
      <c r="CR2589" s="5" t="s">
        <v>306</v>
      </c>
      <c r="CS2589" s="5" t="s">
        <v>307</v>
      </c>
      <c r="CT2589" s="5" t="s">
        <v>307</v>
      </c>
      <c r="CU2589" s="5" t="s">
        <v>260</v>
      </c>
      <c r="CX2589" s="7">
        <f>1</f>
        <v>1</v>
      </c>
      <c r="CY2589" s="7">
        <f>0</f>
        <v>0</v>
      </c>
      <c r="DA2589" s="7">
        <f>0</f>
        <v>0</v>
      </c>
      <c r="DC2589" s="5" t="s">
        <v>309</v>
      </c>
      <c r="DD2589" s="5" t="s">
        <v>240</v>
      </c>
      <c r="DF2589" s="5" t="s">
        <v>309</v>
      </c>
      <c r="DG2589" s="7">
        <f>4555</f>
        <v>4555</v>
      </c>
      <c r="DI2589" s="5" t="s">
        <v>240</v>
      </c>
      <c r="DJ2589" s="5" t="s">
        <v>240</v>
      </c>
      <c r="DK2589" s="5" t="s">
        <v>240</v>
      </c>
      <c r="DL2589" s="5" t="s">
        <v>240</v>
      </c>
      <c r="DP2589" s="5" t="s">
        <v>240</v>
      </c>
      <c r="DQ2589" s="5" t="s">
        <v>240</v>
      </c>
      <c r="DR2589" s="5" t="s">
        <v>240</v>
      </c>
      <c r="DS2589" s="5" t="s">
        <v>240</v>
      </c>
      <c r="DV2589" s="5" t="s">
        <v>310</v>
      </c>
      <c r="DW2589" s="5" t="s">
        <v>3232</v>
      </c>
      <c r="HO2589" s="5" t="s">
        <v>312</v>
      </c>
    </row>
    <row r="2590" spans="1:223" x14ac:dyDescent="0.4">
      <c r="A2590" s="5">
        <v>4294</v>
      </c>
      <c r="B2590" s="5">
        <v>1</v>
      </c>
      <c r="C2590" s="5">
        <v>1</v>
      </c>
      <c r="D2590" s="5" t="s">
        <v>810</v>
      </c>
      <c r="E2590" s="5" t="s">
        <v>245</v>
      </c>
      <c r="F2590" s="5" t="s">
        <v>254</v>
      </c>
      <c r="G2590" s="5" t="s">
        <v>240</v>
      </c>
      <c r="H2590" s="6" t="s">
        <v>3364</v>
      </c>
      <c r="I2590" s="5" t="s">
        <v>809</v>
      </c>
      <c r="J2590" s="8">
        <f>226</f>
        <v>226</v>
      </c>
      <c r="K2590" s="5" t="s">
        <v>308</v>
      </c>
      <c r="L2590" s="7">
        <f>1</f>
        <v>1</v>
      </c>
      <c r="M2590" s="7">
        <f>1</f>
        <v>1</v>
      </c>
      <c r="N2590" s="5" t="s">
        <v>242</v>
      </c>
      <c r="O2590" s="5">
        <v>1</v>
      </c>
      <c r="P2590" s="5" t="s">
        <v>294</v>
      </c>
      <c r="Q2590" s="5" t="s">
        <v>266</v>
      </c>
      <c r="R2590" s="5" t="s">
        <v>240</v>
      </c>
      <c r="S2590" s="5" t="s">
        <v>240</v>
      </c>
      <c r="T2590" s="5" t="s">
        <v>296</v>
      </c>
      <c r="U2590" s="5" t="s">
        <v>244</v>
      </c>
      <c r="V2590" s="5" t="s">
        <v>240</v>
      </c>
      <c r="Y2590" s="5" t="s">
        <v>240</v>
      </c>
      <c r="Z2590" s="6" t="s">
        <v>298</v>
      </c>
      <c r="AB2590" s="6" t="s">
        <v>240</v>
      </c>
      <c r="AE2590" s="6" t="s">
        <v>299</v>
      </c>
      <c r="AF2590" s="5" t="s">
        <v>248</v>
      </c>
      <c r="AG2590" s="5" t="s">
        <v>249</v>
      </c>
      <c r="AW2590" s="5" t="s">
        <v>251</v>
      </c>
      <c r="AX2590" s="5" t="s">
        <v>240</v>
      </c>
      <c r="AY2590" s="5" t="s">
        <v>253</v>
      </c>
      <c r="AZ2590" s="5" t="s">
        <v>240</v>
      </c>
      <c r="BA2590" s="5" t="s">
        <v>255</v>
      </c>
      <c r="BB2590" s="5" t="s">
        <v>240</v>
      </c>
      <c r="BD2590" s="5" t="s">
        <v>240</v>
      </c>
      <c r="BF2590" s="5" t="s">
        <v>301</v>
      </c>
      <c r="BG2590" s="6" t="s">
        <v>299</v>
      </c>
      <c r="BH2590" s="5" t="s">
        <v>302</v>
      </c>
      <c r="BI2590" s="5" t="s">
        <v>303</v>
      </c>
      <c r="BJ2590" s="5" t="s">
        <v>240</v>
      </c>
      <c r="BK2590" s="8">
        <f>0</f>
        <v>0</v>
      </c>
      <c r="BL2590" s="7">
        <f>0</f>
        <v>0</v>
      </c>
      <c r="BM2590" s="5" t="s">
        <v>258</v>
      </c>
      <c r="BN2590" s="5" t="s">
        <v>259</v>
      </c>
      <c r="CB2590" s="5" t="s">
        <v>240</v>
      </c>
      <c r="CC2590" s="5" t="s">
        <v>240</v>
      </c>
      <c r="CG2590" s="5" t="s">
        <v>304</v>
      </c>
      <c r="CH2590" s="5" t="s">
        <v>305</v>
      </c>
      <c r="CI2590" s="5" t="s">
        <v>240</v>
      </c>
      <c r="CL2590" s="6" t="s">
        <v>261</v>
      </c>
      <c r="CM2590" s="5" t="s">
        <v>240</v>
      </c>
      <c r="CN2590" s="5" t="s">
        <v>263</v>
      </c>
      <c r="CO2590" s="5" t="s">
        <v>240</v>
      </c>
      <c r="CP2590" s="5" t="s">
        <v>240</v>
      </c>
      <c r="CQ2590" s="5">
        <v>0</v>
      </c>
      <c r="CR2590" s="5" t="s">
        <v>306</v>
      </c>
      <c r="CS2590" s="5" t="s">
        <v>307</v>
      </c>
      <c r="CT2590" s="5" t="s">
        <v>307</v>
      </c>
      <c r="CU2590" s="5" t="s">
        <v>260</v>
      </c>
      <c r="CX2590" s="7">
        <f>1</f>
        <v>1</v>
      </c>
      <c r="CY2590" s="7">
        <f>0</f>
        <v>0</v>
      </c>
      <c r="DA2590" s="7">
        <f>0</f>
        <v>0</v>
      </c>
      <c r="DC2590" s="5" t="s">
        <v>309</v>
      </c>
      <c r="DD2590" s="5" t="s">
        <v>240</v>
      </c>
      <c r="DF2590" s="5" t="s">
        <v>309</v>
      </c>
      <c r="DG2590" s="7">
        <f>6575</f>
        <v>6575</v>
      </c>
      <c r="DI2590" s="5" t="s">
        <v>240</v>
      </c>
      <c r="DJ2590" s="5" t="s">
        <v>240</v>
      </c>
      <c r="DK2590" s="5" t="s">
        <v>240</v>
      </c>
      <c r="DL2590" s="5" t="s">
        <v>240</v>
      </c>
      <c r="DP2590" s="5" t="s">
        <v>240</v>
      </c>
      <c r="DQ2590" s="5" t="s">
        <v>240</v>
      </c>
      <c r="DR2590" s="5" t="s">
        <v>240</v>
      </c>
      <c r="DS2590" s="5" t="s">
        <v>240</v>
      </c>
      <c r="DV2590" s="5" t="s">
        <v>310</v>
      </c>
      <c r="DW2590" s="5" t="s">
        <v>4707</v>
      </c>
      <c r="HO2590" s="5" t="s">
        <v>312</v>
      </c>
    </row>
    <row r="2591" spans="1:223" x14ac:dyDescent="0.4">
      <c r="A2591" s="5">
        <v>4295</v>
      </c>
      <c r="B2591" s="5">
        <v>1</v>
      </c>
      <c r="C2591" s="5">
        <v>1</v>
      </c>
      <c r="D2591" s="5" t="s">
        <v>810</v>
      </c>
      <c r="E2591" s="5" t="s">
        <v>245</v>
      </c>
      <c r="F2591" s="5" t="s">
        <v>254</v>
      </c>
      <c r="G2591" s="5" t="s">
        <v>240</v>
      </c>
      <c r="H2591" s="6" t="s">
        <v>3362</v>
      </c>
      <c r="I2591" s="5" t="s">
        <v>809</v>
      </c>
      <c r="J2591" s="8">
        <f>1796</f>
        <v>1796</v>
      </c>
      <c r="K2591" s="5" t="s">
        <v>308</v>
      </c>
      <c r="L2591" s="7">
        <f>1</f>
        <v>1</v>
      </c>
      <c r="M2591" s="7">
        <f>1</f>
        <v>1</v>
      </c>
      <c r="N2591" s="5" t="s">
        <v>242</v>
      </c>
      <c r="O2591" s="5">
        <v>1</v>
      </c>
      <c r="P2591" s="5" t="s">
        <v>294</v>
      </c>
      <c r="Q2591" s="5" t="s">
        <v>266</v>
      </c>
      <c r="R2591" s="5" t="s">
        <v>240</v>
      </c>
      <c r="S2591" s="5" t="s">
        <v>240</v>
      </c>
      <c r="T2591" s="5" t="s">
        <v>296</v>
      </c>
      <c r="U2591" s="5" t="s">
        <v>244</v>
      </c>
      <c r="V2591" s="5" t="s">
        <v>240</v>
      </c>
      <c r="Y2591" s="5" t="s">
        <v>240</v>
      </c>
      <c r="Z2591" s="6" t="s">
        <v>298</v>
      </c>
      <c r="AB2591" s="6" t="s">
        <v>240</v>
      </c>
      <c r="AE2591" s="6" t="s">
        <v>299</v>
      </c>
      <c r="AF2591" s="5" t="s">
        <v>248</v>
      </c>
      <c r="AG2591" s="5" t="s">
        <v>249</v>
      </c>
      <c r="AW2591" s="5" t="s">
        <v>251</v>
      </c>
      <c r="AX2591" s="5" t="s">
        <v>240</v>
      </c>
      <c r="AY2591" s="5" t="s">
        <v>253</v>
      </c>
      <c r="AZ2591" s="5" t="s">
        <v>240</v>
      </c>
      <c r="BA2591" s="5" t="s">
        <v>255</v>
      </c>
      <c r="BB2591" s="5" t="s">
        <v>240</v>
      </c>
      <c r="BD2591" s="5" t="s">
        <v>240</v>
      </c>
      <c r="BF2591" s="5" t="s">
        <v>301</v>
      </c>
      <c r="BG2591" s="6" t="s">
        <v>299</v>
      </c>
      <c r="BH2591" s="5" t="s">
        <v>302</v>
      </c>
      <c r="BI2591" s="5" t="s">
        <v>303</v>
      </c>
      <c r="BJ2591" s="5" t="s">
        <v>240</v>
      </c>
      <c r="BK2591" s="8">
        <f>0</f>
        <v>0</v>
      </c>
      <c r="BL2591" s="7">
        <f>0</f>
        <v>0</v>
      </c>
      <c r="BM2591" s="5" t="s">
        <v>258</v>
      </c>
      <c r="BN2591" s="5" t="s">
        <v>259</v>
      </c>
      <c r="CB2591" s="5" t="s">
        <v>240</v>
      </c>
      <c r="CC2591" s="5" t="s">
        <v>240</v>
      </c>
      <c r="CG2591" s="5" t="s">
        <v>304</v>
      </c>
      <c r="CH2591" s="5" t="s">
        <v>305</v>
      </c>
      <c r="CI2591" s="5" t="s">
        <v>240</v>
      </c>
      <c r="CL2591" s="6" t="s">
        <v>261</v>
      </c>
      <c r="CM2591" s="5" t="s">
        <v>240</v>
      </c>
      <c r="CN2591" s="5" t="s">
        <v>263</v>
      </c>
      <c r="CO2591" s="5" t="s">
        <v>240</v>
      </c>
      <c r="CP2591" s="5" t="s">
        <v>240</v>
      </c>
      <c r="CQ2591" s="5">
        <v>0</v>
      </c>
      <c r="CR2591" s="5" t="s">
        <v>306</v>
      </c>
      <c r="CS2591" s="5" t="s">
        <v>307</v>
      </c>
      <c r="CT2591" s="5" t="s">
        <v>307</v>
      </c>
      <c r="CU2591" s="5" t="s">
        <v>260</v>
      </c>
      <c r="CX2591" s="7">
        <f>1</f>
        <v>1</v>
      </c>
      <c r="CY2591" s="7">
        <f>0</f>
        <v>0</v>
      </c>
      <c r="DA2591" s="7">
        <f>0</f>
        <v>0</v>
      </c>
      <c r="DC2591" s="5" t="s">
        <v>309</v>
      </c>
      <c r="DD2591" s="5" t="s">
        <v>240</v>
      </c>
      <c r="DF2591" s="5" t="s">
        <v>309</v>
      </c>
      <c r="DG2591" s="7">
        <f>964</f>
        <v>964</v>
      </c>
      <c r="DI2591" s="5" t="s">
        <v>240</v>
      </c>
      <c r="DJ2591" s="5" t="s">
        <v>240</v>
      </c>
      <c r="DK2591" s="5" t="s">
        <v>240</v>
      </c>
      <c r="DL2591" s="5" t="s">
        <v>240</v>
      </c>
      <c r="DP2591" s="5" t="s">
        <v>240</v>
      </c>
      <c r="DQ2591" s="5" t="s">
        <v>240</v>
      </c>
      <c r="DR2591" s="5" t="s">
        <v>240</v>
      </c>
      <c r="DS2591" s="5" t="s">
        <v>240</v>
      </c>
      <c r="DV2591" s="5" t="s">
        <v>310</v>
      </c>
      <c r="DW2591" s="5" t="s">
        <v>3235</v>
      </c>
      <c r="HO2591" s="5" t="s">
        <v>312</v>
      </c>
    </row>
    <row r="2592" spans="1:223" x14ac:dyDescent="0.4">
      <c r="A2592" s="5">
        <v>4296</v>
      </c>
      <c r="B2592" s="5">
        <v>1</v>
      </c>
      <c r="C2592" s="5">
        <v>1</v>
      </c>
      <c r="D2592" s="5" t="s">
        <v>810</v>
      </c>
      <c r="E2592" s="5" t="s">
        <v>245</v>
      </c>
      <c r="F2592" s="5" t="s">
        <v>254</v>
      </c>
      <c r="G2592" s="5" t="s">
        <v>240</v>
      </c>
      <c r="H2592" s="6" t="s">
        <v>3360</v>
      </c>
      <c r="I2592" s="5" t="s">
        <v>809</v>
      </c>
      <c r="J2592" s="8">
        <f>80</f>
        <v>80</v>
      </c>
      <c r="K2592" s="5" t="s">
        <v>308</v>
      </c>
      <c r="L2592" s="7">
        <f>1</f>
        <v>1</v>
      </c>
      <c r="M2592" s="7">
        <f>1</f>
        <v>1</v>
      </c>
      <c r="N2592" s="5" t="s">
        <v>242</v>
      </c>
      <c r="O2592" s="5">
        <v>1</v>
      </c>
      <c r="P2592" s="5" t="s">
        <v>294</v>
      </c>
      <c r="Q2592" s="5" t="s">
        <v>266</v>
      </c>
      <c r="R2592" s="5" t="s">
        <v>240</v>
      </c>
      <c r="S2592" s="5" t="s">
        <v>240</v>
      </c>
      <c r="T2592" s="5" t="s">
        <v>296</v>
      </c>
      <c r="U2592" s="5" t="s">
        <v>244</v>
      </c>
      <c r="V2592" s="5" t="s">
        <v>240</v>
      </c>
      <c r="Y2592" s="5" t="s">
        <v>240</v>
      </c>
      <c r="Z2592" s="6" t="s">
        <v>298</v>
      </c>
      <c r="AB2592" s="6" t="s">
        <v>240</v>
      </c>
      <c r="AE2592" s="6" t="s">
        <v>299</v>
      </c>
      <c r="AF2592" s="5" t="s">
        <v>248</v>
      </c>
      <c r="AG2592" s="5" t="s">
        <v>249</v>
      </c>
      <c r="AW2592" s="5" t="s">
        <v>251</v>
      </c>
      <c r="AX2592" s="5" t="s">
        <v>240</v>
      </c>
      <c r="AY2592" s="5" t="s">
        <v>253</v>
      </c>
      <c r="AZ2592" s="5" t="s">
        <v>240</v>
      </c>
      <c r="BA2592" s="5" t="s">
        <v>255</v>
      </c>
      <c r="BB2592" s="5" t="s">
        <v>240</v>
      </c>
      <c r="BD2592" s="5" t="s">
        <v>240</v>
      </c>
      <c r="BF2592" s="5" t="s">
        <v>301</v>
      </c>
      <c r="BG2592" s="6" t="s">
        <v>299</v>
      </c>
      <c r="BH2592" s="5" t="s">
        <v>302</v>
      </c>
      <c r="BI2592" s="5" t="s">
        <v>303</v>
      </c>
      <c r="BJ2592" s="5" t="s">
        <v>240</v>
      </c>
      <c r="BK2592" s="8">
        <f>0</f>
        <v>0</v>
      </c>
      <c r="BL2592" s="7">
        <f>0</f>
        <v>0</v>
      </c>
      <c r="BM2592" s="5" t="s">
        <v>258</v>
      </c>
      <c r="BN2592" s="5" t="s">
        <v>259</v>
      </c>
      <c r="CB2592" s="5" t="s">
        <v>240</v>
      </c>
      <c r="CC2592" s="5" t="s">
        <v>240</v>
      </c>
      <c r="CG2592" s="5" t="s">
        <v>304</v>
      </c>
      <c r="CH2592" s="5" t="s">
        <v>305</v>
      </c>
      <c r="CI2592" s="5" t="s">
        <v>240</v>
      </c>
      <c r="CL2592" s="6" t="s">
        <v>261</v>
      </c>
      <c r="CM2592" s="5" t="s">
        <v>240</v>
      </c>
      <c r="CN2592" s="5" t="s">
        <v>263</v>
      </c>
      <c r="CO2592" s="5" t="s">
        <v>240</v>
      </c>
      <c r="CP2592" s="5" t="s">
        <v>240</v>
      </c>
      <c r="CQ2592" s="5">
        <v>0</v>
      </c>
      <c r="CR2592" s="5" t="s">
        <v>306</v>
      </c>
      <c r="CS2592" s="5" t="s">
        <v>307</v>
      </c>
      <c r="CT2592" s="5" t="s">
        <v>307</v>
      </c>
      <c r="CU2592" s="5" t="s">
        <v>260</v>
      </c>
      <c r="CX2592" s="7">
        <f>1</f>
        <v>1</v>
      </c>
      <c r="CY2592" s="7">
        <f>0</f>
        <v>0</v>
      </c>
      <c r="DA2592" s="7">
        <f>0</f>
        <v>0</v>
      </c>
      <c r="DC2592" s="5" t="s">
        <v>309</v>
      </c>
      <c r="DD2592" s="5" t="s">
        <v>240</v>
      </c>
      <c r="DF2592" s="5" t="s">
        <v>309</v>
      </c>
      <c r="DG2592" s="7">
        <f>1495</f>
        <v>1495</v>
      </c>
      <c r="DI2592" s="5" t="s">
        <v>240</v>
      </c>
      <c r="DJ2592" s="5" t="s">
        <v>240</v>
      </c>
      <c r="DK2592" s="5" t="s">
        <v>240</v>
      </c>
      <c r="DL2592" s="5" t="s">
        <v>240</v>
      </c>
      <c r="DP2592" s="5" t="s">
        <v>240</v>
      </c>
      <c r="DQ2592" s="5" t="s">
        <v>240</v>
      </c>
      <c r="DR2592" s="5" t="s">
        <v>240</v>
      </c>
      <c r="DS2592" s="5" t="s">
        <v>240</v>
      </c>
      <c r="DV2592" s="5" t="s">
        <v>310</v>
      </c>
      <c r="DW2592" s="5" t="s">
        <v>3237</v>
      </c>
      <c r="HO2592" s="5" t="s">
        <v>312</v>
      </c>
    </row>
    <row r="2593" spans="1:223" x14ac:dyDescent="0.4">
      <c r="A2593" s="5">
        <v>4297</v>
      </c>
      <c r="B2593" s="5">
        <v>1</v>
      </c>
      <c r="C2593" s="5">
        <v>1</v>
      </c>
      <c r="D2593" s="5" t="s">
        <v>810</v>
      </c>
      <c r="E2593" s="5" t="s">
        <v>245</v>
      </c>
      <c r="F2593" s="5" t="s">
        <v>254</v>
      </c>
      <c r="G2593" s="5" t="s">
        <v>240</v>
      </c>
      <c r="H2593" s="6" t="s">
        <v>3358</v>
      </c>
      <c r="I2593" s="5" t="s">
        <v>809</v>
      </c>
      <c r="J2593" s="8">
        <f>180</f>
        <v>180</v>
      </c>
      <c r="K2593" s="5" t="s">
        <v>308</v>
      </c>
      <c r="L2593" s="7">
        <f>1</f>
        <v>1</v>
      </c>
      <c r="M2593" s="7">
        <f>1</f>
        <v>1</v>
      </c>
      <c r="N2593" s="5" t="s">
        <v>242</v>
      </c>
      <c r="O2593" s="5">
        <v>1</v>
      </c>
      <c r="P2593" s="5" t="s">
        <v>294</v>
      </c>
      <c r="Q2593" s="5" t="s">
        <v>266</v>
      </c>
      <c r="R2593" s="5" t="s">
        <v>240</v>
      </c>
      <c r="S2593" s="5" t="s">
        <v>240</v>
      </c>
      <c r="T2593" s="5" t="s">
        <v>296</v>
      </c>
      <c r="U2593" s="5" t="s">
        <v>244</v>
      </c>
      <c r="V2593" s="5" t="s">
        <v>240</v>
      </c>
      <c r="Y2593" s="5" t="s">
        <v>240</v>
      </c>
      <c r="Z2593" s="6" t="s">
        <v>298</v>
      </c>
      <c r="AB2593" s="6" t="s">
        <v>240</v>
      </c>
      <c r="AE2593" s="6" t="s">
        <v>299</v>
      </c>
      <c r="AF2593" s="5" t="s">
        <v>248</v>
      </c>
      <c r="AG2593" s="5" t="s">
        <v>249</v>
      </c>
      <c r="AW2593" s="5" t="s">
        <v>251</v>
      </c>
      <c r="AX2593" s="5" t="s">
        <v>240</v>
      </c>
      <c r="AY2593" s="5" t="s">
        <v>253</v>
      </c>
      <c r="AZ2593" s="5" t="s">
        <v>240</v>
      </c>
      <c r="BA2593" s="5" t="s">
        <v>255</v>
      </c>
      <c r="BB2593" s="5" t="s">
        <v>240</v>
      </c>
      <c r="BD2593" s="5" t="s">
        <v>240</v>
      </c>
      <c r="BF2593" s="5" t="s">
        <v>301</v>
      </c>
      <c r="BG2593" s="6" t="s">
        <v>299</v>
      </c>
      <c r="BH2593" s="5" t="s">
        <v>302</v>
      </c>
      <c r="BI2593" s="5" t="s">
        <v>303</v>
      </c>
      <c r="BJ2593" s="5" t="s">
        <v>240</v>
      </c>
      <c r="BK2593" s="8">
        <f>0</f>
        <v>0</v>
      </c>
      <c r="BL2593" s="7">
        <f>0</f>
        <v>0</v>
      </c>
      <c r="BM2593" s="5" t="s">
        <v>258</v>
      </c>
      <c r="BN2593" s="5" t="s">
        <v>259</v>
      </c>
      <c r="CB2593" s="5" t="s">
        <v>240</v>
      </c>
      <c r="CC2593" s="5" t="s">
        <v>240</v>
      </c>
      <c r="CG2593" s="5" t="s">
        <v>304</v>
      </c>
      <c r="CH2593" s="5" t="s">
        <v>305</v>
      </c>
      <c r="CI2593" s="5" t="s">
        <v>240</v>
      </c>
      <c r="CL2593" s="6" t="s">
        <v>261</v>
      </c>
      <c r="CM2593" s="5" t="s">
        <v>240</v>
      </c>
      <c r="CN2593" s="5" t="s">
        <v>263</v>
      </c>
      <c r="CO2593" s="5" t="s">
        <v>240</v>
      </c>
      <c r="CP2593" s="5" t="s">
        <v>240</v>
      </c>
      <c r="CQ2593" s="5">
        <v>0</v>
      </c>
      <c r="CR2593" s="5" t="s">
        <v>306</v>
      </c>
      <c r="CS2593" s="5" t="s">
        <v>307</v>
      </c>
      <c r="CT2593" s="5" t="s">
        <v>307</v>
      </c>
      <c r="CU2593" s="5" t="s">
        <v>260</v>
      </c>
      <c r="CX2593" s="7">
        <f>1</f>
        <v>1</v>
      </c>
      <c r="CY2593" s="7">
        <f>0</f>
        <v>0</v>
      </c>
      <c r="DA2593" s="7">
        <f>0</f>
        <v>0</v>
      </c>
      <c r="DC2593" s="5" t="s">
        <v>309</v>
      </c>
      <c r="DD2593" s="5" t="s">
        <v>240</v>
      </c>
      <c r="DF2593" s="5" t="s">
        <v>309</v>
      </c>
      <c r="DG2593" s="7">
        <f>271</f>
        <v>271</v>
      </c>
      <c r="DI2593" s="5" t="s">
        <v>240</v>
      </c>
      <c r="DJ2593" s="5" t="s">
        <v>240</v>
      </c>
      <c r="DK2593" s="5" t="s">
        <v>240</v>
      </c>
      <c r="DL2593" s="5" t="s">
        <v>240</v>
      </c>
      <c r="DP2593" s="5" t="s">
        <v>240</v>
      </c>
      <c r="DQ2593" s="5" t="s">
        <v>240</v>
      </c>
      <c r="DR2593" s="5" t="s">
        <v>240</v>
      </c>
      <c r="DS2593" s="5" t="s">
        <v>240</v>
      </c>
      <c r="DV2593" s="5" t="s">
        <v>310</v>
      </c>
      <c r="DW2593" s="5" t="s">
        <v>3239</v>
      </c>
      <c r="HO2593" s="5" t="s">
        <v>312</v>
      </c>
    </row>
    <row r="2594" spans="1:223" x14ac:dyDescent="0.4">
      <c r="A2594" s="5">
        <v>4298</v>
      </c>
      <c r="B2594" s="5">
        <v>1</v>
      </c>
      <c r="C2594" s="5">
        <v>1</v>
      </c>
      <c r="D2594" s="5" t="s">
        <v>810</v>
      </c>
      <c r="E2594" s="5" t="s">
        <v>245</v>
      </c>
      <c r="F2594" s="5" t="s">
        <v>254</v>
      </c>
      <c r="G2594" s="5" t="s">
        <v>240</v>
      </c>
      <c r="H2594" s="6" t="s">
        <v>3356</v>
      </c>
      <c r="I2594" s="5" t="s">
        <v>809</v>
      </c>
      <c r="J2594" s="8">
        <f>2437</f>
        <v>2437</v>
      </c>
      <c r="K2594" s="5" t="s">
        <v>308</v>
      </c>
      <c r="L2594" s="7">
        <f>1</f>
        <v>1</v>
      </c>
      <c r="M2594" s="7">
        <f>1</f>
        <v>1</v>
      </c>
      <c r="N2594" s="5" t="s">
        <v>242</v>
      </c>
      <c r="O2594" s="5">
        <v>1</v>
      </c>
      <c r="P2594" s="5" t="s">
        <v>294</v>
      </c>
      <c r="Q2594" s="5" t="s">
        <v>266</v>
      </c>
      <c r="R2594" s="5" t="s">
        <v>240</v>
      </c>
      <c r="S2594" s="5" t="s">
        <v>240</v>
      </c>
      <c r="T2594" s="5" t="s">
        <v>296</v>
      </c>
      <c r="U2594" s="5" t="s">
        <v>244</v>
      </c>
      <c r="V2594" s="5" t="s">
        <v>240</v>
      </c>
      <c r="Y2594" s="5" t="s">
        <v>240</v>
      </c>
      <c r="Z2594" s="6" t="s">
        <v>298</v>
      </c>
      <c r="AB2594" s="6" t="s">
        <v>240</v>
      </c>
      <c r="AE2594" s="6" t="s">
        <v>299</v>
      </c>
      <c r="AF2594" s="5" t="s">
        <v>248</v>
      </c>
      <c r="AG2594" s="5" t="s">
        <v>249</v>
      </c>
      <c r="AW2594" s="5" t="s">
        <v>251</v>
      </c>
      <c r="AX2594" s="5" t="s">
        <v>240</v>
      </c>
      <c r="AY2594" s="5" t="s">
        <v>253</v>
      </c>
      <c r="AZ2594" s="5" t="s">
        <v>240</v>
      </c>
      <c r="BA2594" s="5" t="s">
        <v>255</v>
      </c>
      <c r="BB2594" s="5" t="s">
        <v>240</v>
      </c>
      <c r="BD2594" s="5" t="s">
        <v>240</v>
      </c>
      <c r="BF2594" s="5" t="s">
        <v>301</v>
      </c>
      <c r="BG2594" s="6" t="s">
        <v>299</v>
      </c>
      <c r="BH2594" s="5" t="s">
        <v>302</v>
      </c>
      <c r="BI2594" s="5" t="s">
        <v>303</v>
      </c>
      <c r="BJ2594" s="5" t="s">
        <v>240</v>
      </c>
      <c r="BK2594" s="8">
        <f>0</f>
        <v>0</v>
      </c>
      <c r="BL2594" s="7">
        <f>0</f>
        <v>0</v>
      </c>
      <c r="BM2594" s="5" t="s">
        <v>258</v>
      </c>
      <c r="BN2594" s="5" t="s">
        <v>259</v>
      </c>
      <c r="CB2594" s="5" t="s">
        <v>240</v>
      </c>
      <c r="CC2594" s="5" t="s">
        <v>240</v>
      </c>
      <c r="CG2594" s="5" t="s">
        <v>304</v>
      </c>
      <c r="CH2594" s="5" t="s">
        <v>305</v>
      </c>
      <c r="CI2594" s="5" t="s">
        <v>240</v>
      </c>
      <c r="CL2594" s="6" t="s">
        <v>261</v>
      </c>
      <c r="CM2594" s="5" t="s">
        <v>240</v>
      </c>
      <c r="CN2594" s="5" t="s">
        <v>263</v>
      </c>
      <c r="CO2594" s="5" t="s">
        <v>240</v>
      </c>
      <c r="CP2594" s="5" t="s">
        <v>240</v>
      </c>
      <c r="CQ2594" s="5">
        <v>0</v>
      </c>
      <c r="CR2594" s="5" t="s">
        <v>306</v>
      </c>
      <c r="CS2594" s="5" t="s">
        <v>307</v>
      </c>
      <c r="CT2594" s="5" t="s">
        <v>307</v>
      </c>
      <c r="CU2594" s="5" t="s">
        <v>260</v>
      </c>
      <c r="CX2594" s="7">
        <f>1</f>
        <v>1</v>
      </c>
      <c r="CY2594" s="7">
        <f>0</f>
        <v>0</v>
      </c>
      <c r="DA2594" s="7">
        <f>0</f>
        <v>0</v>
      </c>
      <c r="DC2594" s="5" t="s">
        <v>309</v>
      </c>
      <c r="DD2594" s="5" t="s">
        <v>240</v>
      </c>
      <c r="DF2594" s="5" t="s">
        <v>309</v>
      </c>
      <c r="DG2594" s="7">
        <f>1804</f>
        <v>1804</v>
      </c>
      <c r="DI2594" s="5" t="s">
        <v>240</v>
      </c>
      <c r="DJ2594" s="5" t="s">
        <v>240</v>
      </c>
      <c r="DK2594" s="5" t="s">
        <v>240</v>
      </c>
      <c r="DL2594" s="5" t="s">
        <v>240</v>
      </c>
      <c r="DP2594" s="5" t="s">
        <v>240</v>
      </c>
      <c r="DQ2594" s="5" t="s">
        <v>240</v>
      </c>
      <c r="DR2594" s="5" t="s">
        <v>240</v>
      </c>
      <c r="DS2594" s="5" t="s">
        <v>240</v>
      </c>
      <c r="DV2594" s="5" t="s">
        <v>310</v>
      </c>
      <c r="DW2594" s="5" t="s">
        <v>4712</v>
      </c>
      <c r="HO2594" s="5" t="s">
        <v>312</v>
      </c>
    </row>
    <row r="2595" spans="1:223" x14ac:dyDescent="0.4">
      <c r="A2595" s="5">
        <v>4299</v>
      </c>
      <c r="B2595" s="5">
        <v>1</v>
      </c>
      <c r="C2595" s="5">
        <v>1</v>
      </c>
      <c r="D2595" s="5" t="s">
        <v>810</v>
      </c>
      <c r="E2595" s="5" t="s">
        <v>245</v>
      </c>
      <c r="F2595" s="5" t="s">
        <v>254</v>
      </c>
      <c r="G2595" s="5" t="s">
        <v>240</v>
      </c>
      <c r="H2595" s="6" t="s">
        <v>3354</v>
      </c>
      <c r="I2595" s="5" t="s">
        <v>809</v>
      </c>
      <c r="J2595" s="8">
        <f>3591</f>
        <v>3591</v>
      </c>
      <c r="K2595" s="5" t="s">
        <v>308</v>
      </c>
      <c r="L2595" s="7">
        <f>1</f>
        <v>1</v>
      </c>
      <c r="M2595" s="7">
        <f>1</f>
        <v>1</v>
      </c>
      <c r="N2595" s="5" t="s">
        <v>242</v>
      </c>
      <c r="O2595" s="5">
        <v>1</v>
      </c>
      <c r="P2595" s="5" t="s">
        <v>294</v>
      </c>
      <c r="Q2595" s="5" t="s">
        <v>266</v>
      </c>
      <c r="R2595" s="5" t="s">
        <v>240</v>
      </c>
      <c r="S2595" s="5" t="s">
        <v>240</v>
      </c>
      <c r="T2595" s="5" t="s">
        <v>296</v>
      </c>
      <c r="U2595" s="5" t="s">
        <v>244</v>
      </c>
      <c r="V2595" s="5" t="s">
        <v>240</v>
      </c>
      <c r="Y2595" s="5" t="s">
        <v>240</v>
      </c>
      <c r="Z2595" s="6" t="s">
        <v>298</v>
      </c>
      <c r="AB2595" s="6" t="s">
        <v>240</v>
      </c>
      <c r="AE2595" s="6" t="s">
        <v>299</v>
      </c>
      <c r="AF2595" s="5" t="s">
        <v>248</v>
      </c>
      <c r="AG2595" s="5" t="s">
        <v>249</v>
      </c>
      <c r="AW2595" s="5" t="s">
        <v>251</v>
      </c>
      <c r="AX2595" s="5" t="s">
        <v>240</v>
      </c>
      <c r="AY2595" s="5" t="s">
        <v>253</v>
      </c>
      <c r="AZ2595" s="5" t="s">
        <v>240</v>
      </c>
      <c r="BA2595" s="5" t="s">
        <v>255</v>
      </c>
      <c r="BB2595" s="5" t="s">
        <v>240</v>
      </c>
      <c r="BD2595" s="5" t="s">
        <v>240</v>
      </c>
      <c r="BF2595" s="5" t="s">
        <v>301</v>
      </c>
      <c r="BG2595" s="6" t="s">
        <v>299</v>
      </c>
      <c r="BH2595" s="5" t="s">
        <v>302</v>
      </c>
      <c r="BI2595" s="5" t="s">
        <v>303</v>
      </c>
      <c r="BJ2595" s="5" t="s">
        <v>240</v>
      </c>
      <c r="BK2595" s="8">
        <f>0</f>
        <v>0</v>
      </c>
      <c r="BL2595" s="7">
        <f>0</f>
        <v>0</v>
      </c>
      <c r="BM2595" s="5" t="s">
        <v>258</v>
      </c>
      <c r="BN2595" s="5" t="s">
        <v>259</v>
      </c>
      <c r="CB2595" s="5" t="s">
        <v>240</v>
      </c>
      <c r="CC2595" s="5" t="s">
        <v>240</v>
      </c>
      <c r="CG2595" s="5" t="s">
        <v>304</v>
      </c>
      <c r="CH2595" s="5" t="s">
        <v>305</v>
      </c>
      <c r="CI2595" s="5" t="s">
        <v>240</v>
      </c>
      <c r="CL2595" s="6" t="s">
        <v>261</v>
      </c>
      <c r="CM2595" s="5" t="s">
        <v>240</v>
      </c>
      <c r="CN2595" s="5" t="s">
        <v>263</v>
      </c>
      <c r="CO2595" s="5" t="s">
        <v>240</v>
      </c>
      <c r="CP2595" s="5" t="s">
        <v>240</v>
      </c>
      <c r="CQ2595" s="5">
        <v>0</v>
      </c>
      <c r="CR2595" s="5" t="s">
        <v>306</v>
      </c>
      <c r="CS2595" s="5" t="s">
        <v>307</v>
      </c>
      <c r="CT2595" s="5" t="s">
        <v>307</v>
      </c>
      <c r="CU2595" s="5" t="s">
        <v>260</v>
      </c>
      <c r="CX2595" s="7">
        <f>1</f>
        <v>1</v>
      </c>
      <c r="CY2595" s="7">
        <f>0</f>
        <v>0</v>
      </c>
      <c r="DA2595" s="7">
        <f>0</f>
        <v>0</v>
      </c>
      <c r="DC2595" s="5" t="s">
        <v>309</v>
      </c>
      <c r="DD2595" s="5" t="s">
        <v>240</v>
      </c>
      <c r="DF2595" s="5" t="s">
        <v>309</v>
      </c>
      <c r="DG2595" s="7">
        <f>1362</f>
        <v>1362</v>
      </c>
      <c r="DI2595" s="5" t="s">
        <v>240</v>
      </c>
      <c r="DJ2595" s="5" t="s">
        <v>240</v>
      </c>
      <c r="DK2595" s="5" t="s">
        <v>240</v>
      </c>
      <c r="DL2595" s="5" t="s">
        <v>240</v>
      </c>
      <c r="DP2595" s="5" t="s">
        <v>240</v>
      </c>
      <c r="DQ2595" s="5" t="s">
        <v>240</v>
      </c>
      <c r="DR2595" s="5" t="s">
        <v>240</v>
      </c>
      <c r="DS2595" s="5" t="s">
        <v>240</v>
      </c>
      <c r="DV2595" s="5" t="s">
        <v>310</v>
      </c>
      <c r="DW2595" s="5" t="s">
        <v>3243</v>
      </c>
      <c r="HO2595" s="5" t="s">
        <v>312</v>
      </c>
    </row>
    <row r="2596" spans="1:223" x14ac:dyDescent="0.4">
      <c r="A2596" s="5">
        <v>4300</v>
      </c>
      <c r="B2596" s="5">
        <v>1</v>
      </c>
      <c r="C2596" s="5">
        <v>1</v>
      </c>
      <c r="D2596" s="5" t="s">
        <v>810</v>
      </c>
      <c r="E2596" s="5" t="s">
        <v>245</v>
      </c>
      <c r="F2596" s="5" t="s">
        <v>254</v>
      </c>
      <c r="G2596" s="5" t="s">
        <v>240</v>
      </c>
      <c r="H2596" s="6" t="s">
        <v>3352</v>
      </c>
      <c r="I2596" s="5" t="s">
        <v>809</v>
      </c>
      <c r="J2596" s="8">
        <f>2112</f>
        <v>2112</v>
      </c>
      <c r="K2596" s="5" t="s">
        <v>308</v>
      </c>
      <c r="L2596" s="7">
        <f>1</f>
        <v>1</v>
      </c>
      <c r="M2596" s="7">
        <f>1</f>
        <v>1</v>
      </c>
      <c r="N2596" s="5" t="s">
        <v>242</v>
      </c>
      <c r="O2596" s="5">
        <v>1</v>
      </c>
      <c r="P2596" s="5" t="s">
        <v>294</v>
      </c>
      <c r="Q2596" s="5" t="s">
        <v>266</v>
      </c>
      <c r="R2596" s="5" t="s">
        <v>240</v>
      </c>
      <c r="S2596" s="5" t="s">
        <v>240</v>
      </c>
      <c r="T2596" s="5" t="s">
        <v>296</v>
      </c>
      <c r="U2596" s="5" t="s">
        <v>244</v>
      </c>
      <c r="V2596" s="5" t="s">
        <v>240</v>
      </c>
      <c r="Y2596" s="5" t="s">
        <v>240</v>
      </c>
      <c r="Z2596" s="6" t="s">
        <v>298</v>
      </c>
      <c r="AB2596" s="6" t="s">
        <v>240</v>
      </c>
      <c r="AE2596" s="6" t="s">
        <v>299</v>
      </c>
      <c r="AF2596" s="5" t="s">
        <v>248</v>
      </c>
      <c r="AG2596" s="5" t="s">
        <v>249</v>
      </c>
      <c r="AW2596" s="5" t="s">
        <v>251</v>
      </c>
      <c r="AX2596" s="5" t="s">
        <v>240</v>
      </c>
      <c r="AY2596" s="5" t="s">
        <v>253</v>
      </c>
      <c r="AZ2596" s="5" t="s">
        <v>240</v>
      </c>
      <c r="BA2596" s="5" t="s">
        <v>255</v>
      </c>
      <c r="BB2596" s="5" t="s">
        <v>240</v>
      </c>
      <c r="BD2596" s="5" t="s">
        <v>240</v>
      </c>
      <c r="BF2596" s="5" t="s">
        <v>301</v>
      </c>
      <c r="BG2596" s="6" t="s">
        <v>299</v>
      </c>
      <c r="BH2596" s="5" t="s">
        <v>302</v>
      </c>
      <c r="BI2596" s="5" t="s">
        <v>303</v>
      </c>
      <c r="BJ2596" s="5" t="s">
        <v>240</v>
      </c>
      <c r="BK2596" s="8">
        <f>0</f>
        <v>0</v>
      </c>
      <c r="BL2596" s="7">
        <f>0</f>
        <v>0</v>
      </c>
      <c r="BM2596" s="5" t="s">
        <v>258</v>
      </c>
      <c r="BN2596" s="5" t="s">
        <v>259</v>
      </c>
      <c r="CB2596" s="5" t="s">
        <v>240</v>
      </c>
      <c r="CC2596" s="5" t="s">
        <v>240</v>
      </c>
      <c r="CG2596" s="5" t="s">
        <v>304</v>
      </c>
      <c r="CH2596" s="5" t="s">
        <v>305</v>
      </c>
      <c r="CI2596" s="5" t="s">
        <v>240</v>
      </c>
      <c r="CL2596" s="6" t="s">
        <v>261</v>
      </c>
      <c r="CM2596" s="5" t="s">
        <v>240</v>
      </c>
      <c r="CN2596" s="5" t="s">
        <v>263</v>
      </c>
      <c r="CO2596" s="5" t="s">
        <v>240</v>
      </c>
      <c r="CP2596" s="5" t="s">
        <v>240</v>
      </c>
      <c r="CQ2596" s="5">
        <v>0</v>
      </c>
      <c r="CR2596" s="5" t="s">
        <v>306</v>
      </c>
      <c r="CS2596" s="5" t="s">
        <v>307</v>
      </c>
      <c r="CT2596" s="5" t="s">
        <v>307</v>
      </c>
      <c r="CU2596" s="5" t="s">
        <v>260</v>
      </c>
      <c r="CX2596" s="7">
        <f>1</f>
        <v>1</v>
      </c>
      <c r="CY2596" s="7">
        <f>0</f>
        <v>0</v>
      </c>
      <c r="DA2596" s="7">
        <f>0</f>
        <v>0</v>
      </c>
      <c r="DC2596" s="5" t="s">
        <v>309</v>
      </c>
      <c r="DD2596" s="5" t="s">
        <v>240</v>
      </c>
      <c r="DF2596" s="5" t="s">
        <v>309</v>
      </c>
      <c r="DG2596" s="7">
        <f>2203</f>
        <v>2203</v>
      </c>
      <c r="DI2596" s="5" t="s">
        <v>240</v>
      </c>
      <c r="DJ2596" s="5" t="s">
        <v>240</v>
      </c>
      <c r="DK2596" s="5" t="s">
        <v>240</v>
      </c>
      <c r="DL2596" s="5" t="s">
        <v>240</v>
      </c>
      <c r="DP2596" s="5" t="s">
        <v>240</v>
      </c>
      <c r="DQ2596" s="5" t="s">
        <v>240</v>
      </c>
      <c r="DR2596" s="5" t="s">
        <v>240</v>
      </c>
      <c r="DS2596" s="5" t="s">
        <v>240</v>
      </c>
      <c r="DV2596" s="5" t="s">
        <v>310</v>
      </c>
      <c r="DW2596" s="5" t="s">
        <v>3245</v>
      </c>
      <c r="HO2596" s="5" t="s">
        <v>312</v>
      </c>
    </row>
    <row r="2597" spans="1:223" x14ac:dyDescent="0.4">
      <c r="A2597" s="5">
        <v>4301</v>
      </c>
      <c r="B2597" s="5">
        <v>1</v>
      </c>
      <c r="C2597" s="5">
        <v>1</v>
      </c>
      <c r="D2597" s="5" t="s">
        <v>810</v>
      </c>
      <c r="E2597" s="5" t="s">
        <v>245</v>
      </c>
      <c r="F2597" s="5" t="s">
        <v>254</v>
      </c>
      <c r="G2597" s="5" t="s">
        <v>240</v>
      </c>
      <c r="H2597" s="6" t="s">
        <v>3350</v>
      </c>
      <c r="I2597" s="5" t="s">
        <v>809</v>
      </c>
      <c r="J2597" s="8">
        <f>1690</f>
        <v>1690</v>
      </c>
      <c r="K2597" s="5" t="s">
        <v>308</v>
      </c>
      <c r="L2597" s="7">
        <f>1</f>
        <v>1</v>
      </c>
      <c r="M2597" s="7">
        <f>1</f>
        <v>1</v>
      </c>
      <c r="N2597" s="5" t="s">
        <v>242</v>
      </c>
      <c r="O2597" s="5">
        <v>1</v>
      </c>
      <c r="P2597" s="5" t="s">
        <v>294</v>
      </c>
      <c r="Q2597" s="5" t="s">
        <v>266</v>
      </c>
      <c r="R2597" s="5" t="s">
        <v>240</v>
      </c>
      <c r="S2597" s="5" t="s">
        <v>240</v>
      </c>
      <c r="T2597" s="5" t="s">
        <v>296</v>
      </c>
      <c r="U2597" s="5" t="s">
        <v>244</v>
      </c>
      <c r="V2597" s="5" t="s">
        <v>240</v>
      </c>
      <c r="Y2597" s="5" t="s">
        <v>240</v>
      </c>
      <c r="Z2597" s="6" t="s">
        <v>298</v>
      </c>
      <c r="AB2597" s="6" t="s">
        <v>240</v>
      </c>
      <c r="AE2597" s="6" t="s">
        <v>299</v>
      </c>
      <c r="AF2597" s="5" t="s">
        <v>248</v>
      </c>
      <c r="AG2597" s="5" t="s">
        <v>249</v>
      </c>
      <c r="AW2597" s="5" t="s">
        <v>251</v>
      </c>
      <c r="AX2597" s="5" t="s">
        <v>240</v>
      </c>
      <c r="AY2597" s="5" t="s">
        <v>253</v>
      </c>
      <c r="AZ2597" s="5" t="s">
        <v>240</v>
      </c>
      <c r="BA2597" s="5" t="s">
        <v>255</v>
      </c>
      <c r="BB2597" s="5" t="s">
        <v>240</v>
      </c>
      <c r="BD2597" s="5" t="s">
        <v>240</v>
      </c>
      <c r="BF2597" s="5" t="s">
        <v>301</v>
      </c>
      <c r="BG2597" s="6" t="s">
        <v>299</v>
      </c>
      <c r="BH2597" s="5" t="s">
        <v>302</v>
      </c>
      <c r="BI2597" s="5" t="s">
        <v>303</v>
      </c>
      <c r="BJ2597" s="5" t="s">
        <v>240</v>
      </c>
      <c r="BK2597" s="8">
        <f>0</f>
        <v>0</v>
      </c>
      <c r="BL2597" s="7">
        <f>0</f>
        <v>0</v>
      </c>
      <c r="BM2597" s="5" t="s">
        <v>258</v>
      </c>
      <c r="BN2597" s="5" t="s">
        <v>259</v>
      </c>
      <c r="CB2597" s="5" t="s">
        <v>240</v>
      </c>
      <c r="CC2597" s="5" t="s">
        <v>240</v>
      </c>
      <c r="CG2597" s="5" t="s">
        <v>304</v>
      </c>
      <c r="CH2597" s="5" t="s">
        <v>305</v>
      </c>
      <c r="CI2597" s="5" t="s">
        <v>240</v>
      </c>
      <c r="CL2597" s="6" t="s">
        <v>261</v>
      </c>
      <c r="CM2597" s="5" t="s">
        <v>240</v>
      </c>
      <c r="CN2597" s="5" t="s">
        <v>263</v>
      </c>
      <c r="CO2597" s="5" t="s">
        <v>240</v>
      </c>
      <c r="CP2597" s="5" t="s">
        <v>240</v>
      </c>
      <c r="CQ2597" s="5">
        <v>0</v>
      </c>
      <c r="CR2597" s="5" t="s">
        <v>306</v>
      </c>
      <c r="CS2597" s="5" t="s">
        <v>307</v>
      </c>
      <c r="CT2597" s="5" t="s">
        <v>307</v>
      </c>
      <c r="CU2597" s="5" t="s">
        <v>260</v>
      </c>
      <c r="CX2597" s="7">
        <f>1</f>
        <v>1</v>
      </c>
      <c r="CY2597" s="7">
        <f>0</f>
        <v>0</v>
      </c>
      <c r="DA2597" s="7">
        <f>0</f>
        <v>0</v>
      </c>
      <c r="DC2597" s="5" t="s">
        <v>309</v>
      </c>
      <c r="DD2597" s="5" t="s">
        <v>240</v>
      </c>
      <c r="DF2597" s="5" t="s">
        <v>309</v>
      </c>
      <c r="DG2597" s="7">
        <f>2079</f>
        <v>2079</v>
      </c>
      <c r="DI2597" s="5" t="s">
        <v>240</v>
      </c>
      <c r="DJ2597" s="5" t="s">
        <v>240</v>
      </c>
      <c r="DK2597" s="5" t="s">
        <v>240</v>
      </c>
      <c r="DL2597" s="5" t="s">
        <v>240</v>
      </c>
      <c r="DP2597" s="5" t="s">
        <v>240</v>
      </c>
      <c r="DQ2597" s="5" t="s">
        <v>240</v>
      </c>
      <c r="DR2597" s="5" t="s">
        <v>240</v>
      </c>
      <c r="DS2597" s="5" t="s">
        <v>240</v>
      </c>
      <c r="DV2597" s="5" t="s">
        <v>310</v>
      </c>
      <c r="DW2597" s="5" t="s">
        <v>3247</v>
      </c>
      <c r="HO2597" s="5" t="s">
        <v>312</v>
      </c>
    </row>
    <row r="2598" spans="1:223" x14ac:dyDescent="0.4">
      <c r="A2598" s="5">
        <v>4302</v>
      </c>
      <c r="B2598" s="5">
        <v>1</v>
      </c>
      <c r="C2598" s="5">
        <v>1</v>
      </c>
      <c r="D2598" s="5" t="s">
        <v>810</v>
      </c>
      <c r="E2598" s="5" t="s">
        <v>245</v>
      </c>
      <c r="F2598" s="5" t="s">
        <v>254</v>
      </c>
      <c r="G2598" s="5" t="s">
        <v>240</v>
      </c>
      <c r="H2598" s="6" t="s">
        <v>3348</v>
      </c>
      <c r="I2598" s="5" t="s">
        <v>809</v>
      </c>
      <c r="J2598" s="8">
        <f>2643</f>
        <v>2643</v>
      </c>
      <c r="K2598" s="5" t="s">
        <v>308</v>
      </c>
      <c r="L2598" s="7">
        <f>1</f>
        <v>1</v>
      </c>
      <c r="M2598" s="7">
        <f>1</f>
        <v>1</v>
      </c>
      <c r="N2598" s="5" t="s">
        <v>242</v>
      </c>
      <c r="O2598" s="5">
        <v>1</v>
      </c>
      <c r="P2598" s="5" t="s">
        <v>294</v>
      </c>
      <c r="Q2598" s="5" t="s">
        <v>266</v>
      </c>
      <c r="R2598" s="5" t="s">
        <v>240</v>
      </c>
      <c r="S2598" s="5" t="s">
        <v>240</v>
      </c>
      <c r="T2598" s="5" t="s">
        <v>296</v>
      </c>
      <c r="U2598" s="5" t="s">
        <v>244</v>
      </c>
      <c r="V2598" s="5" t="s">
        <v>240</v>
      </c>
      <c r="Y2598" s="5" t="s">
        <v>240</v>
      </c>
      <c r="Z2598" s="6" t="s">
        <v>298</v>
      </c>
      <c r="AB2598" s="6" t="s">
        <v>240</v>
      </c>
      <c r="AE2598" s="6" t="s">
        <v>299</v>
      </c>
      <c r="AF2598" s="5" t="s">
        <v>248</v>
      </c>
      <c r="AG2598" s="5" t="s">
        <v>249</v>
      </c>
      <c r="AW2598" s="5" t="s">
        <v>251</v>
      </c>
      <c r="AX2598" s="5" t="s">
        <v>240</v>
      </c>
      <c r="AY2598" s="5" t="s">
        <v>253</v>
      </c>
      <c r="AZ2598" s="5" t="s">
        <v>240</v>
      </c>
      <c r="BA2598" s="5" t="s">
        <v>255</v>
      </c>
      <c r="BB2598" s="5" t="s">
        <v>240</v>
      </c>
      <c r="BD2598" s="5" t="s">
        <v>240</v>
      </c>
      <c r="BF2598" s="5" t="s">
        <v>301</v>
      </c>
      <c r="BG2598" s="6" t="s">
        <v>299</v>
      </c>
      <c r="BH2598" s="5" t="s">
        <v>302</v>
      </c>
      <c r="BI2598" s="5" t="s">
        <v>303</v>
      </c>
      <c r="BJ2598" s="5" t="s">
        <v>240</v>
      </c>
      <c r="BK2598" s="8">
        <f>0</f>
        <v>0</v>
      </c>
      <c r="BL2598" s="7">
        <f>0</f>
        <v>0</v>
      </c>
      <c r="BM2598" s="5" t="s">
        <v>258</v>
      </c>
      <c r="BN2598" s="5" t="s">
        <v>259</v>
      </c>
      <c r="CB2598" s="5" t="s">
        <v>240</v>
      </c>
      <c r="CC2598" s="5" t="s">
        <v>240</v>
      </c>
      <c r="CG2598" s="5" t="s">
        <v>304</v>
      </c>
      <c r="CH2598" s="5" t="s">
        <v>305</v>
      </c>
      <c r="CI2598" s="5" t="s">
        <v>240</v>
      </c>
      <c r="CL2598" s="6" t="s">
        <v>261</v>
      </c>
      <c r="CM2598" s="5" t="s">
        <v>240</v>
      </c>
      <c r="CN2598" s="5" t="s">
        <v>263</v>
      </c>
      <c r="CO2598" s="5" t="s">
        <v>240</v>
      </c>
      <c r="CP2598" s="5" t="s">
        <v>240</v>
      </c>
      <c r="CQ2598" s="5">
        <v>0</v>
      </c>
      <c r="CR2598" s="5" t="s">
        <v>306</v>
      </c>
      <c r="CS2598" s="5" t="s">
        <v>307</v>
      </c>
      <c r="CT2598" s="5" t="s">
        <v>307</v>
      </c>
      <c r="CU2598" s="5" t="s">
        <v>260</v>
      </c>
      <c r="CX2598" s="7">
        <f>1</f>
        <v>1</v>
      </c>
      <c r="CY2598" s="7">
        <f>0</f>
        <v>0</v>
      </c>
      <c r="DA2598" s="7">
        <f>0</f>
        <v>0</v>
      </c>
      <c r="DC2598" s="5" t="s">
        <v>309</v>
      </c>
      <c r="DD2598" s="5" t="s">
        <v>240</v>
      </c>
      <c r="DF2598" s="5" t="s">
        <v>309</v>
      </c>
      <c r="DG2598" s="7">
        <f>6989</f>
        <v>6989</v>
      </c>
      <c r="DI2598" s="5" t="s">
        <v>240</v>
      </c>
      <c r="DJ2598" s="5" t="s">
        <v>240</v>
      </c>
      <c r="DK2598" s="5" t="s">
        <v>240</v>
      </c>
      <c r="DL2598" s="5" t="s">
        <v>240</v>
      </c>
      <c r="DP2598" s="5" t="s">
        <v>240</v>
      </c>
      <c r="DQ2598" s="5" t="s">
        <v>240</v>
      </c>
      <c r="DR2598" s="5" t="s">
        <v>240</v>
      </c>
      <c r="DS2598" s="5" t="s">
        <v>240</v>
      </c>
      <c r="DV2598" s="5" t="s">
        <v>310</v>
      </c>
      <c r="DW2598" s="5" t="s">
        <v>4717</v>
      </c>
      <c r="HO2598" s="5" t="s">
        <v>312</v>
      </c>
    </row>
    <row r="2599" spans="1:223" x14ac:dyDescent="0.4">
      <c r="A2599" s="5">
        <v>4303</v>
      </c>
      <c r="B2599" s="5">
        <v>1</v>
      </c>
      <c r="C2599" s="5">
        <v>1</v>
      </c>
      <c r="D2599" s="5" t="s">
        <v>810</v>
      </c>
      <c r="E2599" s="5" t="s">
        <v>245</v>
      </c>
      <c r="F2599" s="5" t="s">
        <v>254</v>
      </c>
      <c r="G2599" s="5" t="s">
        <v>240</v>
      </c>
      <c r="H2599" s="6" t="s">
        <v>3346</v>
      </c>
      <c r="I2599" s="5" t="s">
        <v>809</v>
      </c>
      <c r="J2599" s="8">
        <f>30</f>
        <v>30</v>
      </c>
      <c r="K2599" s="5" t="s">
        <v>308</v>
      </c>
      <c r="L2599" s="7">
        <f>1</f>
        <v>1</v>
      </c>
      <c r="M2599" s="7">
        <f>1</f>
        <v>1</v>
      </c>
      <c r="N2599" s="5" t="s">
        <v>242</v>
      </c>
      <c r="O2599" s="5">
        <v>1</v>
      </c>
      <c r="P2599" s="5" t="s">
        <v>294</v>
      </c>
      <c r="Q2599" s="5" t="s">
        <v>266</v>
      </c>
      <c r="R2599" s="5" t="s">
        <v>240</v>
      </c>
      <c r="S2599" s="5" t="s">
        <v>240</v>
      </c>
      <c r="T2599" s="5" t="s">
        <v>296</v>
      </c>
      <c r="U2599" s="5" t="s">
        <v>244</v>
      </c>
      <c r="V2599" s="5" t="s">
        <v>240</v>
      </c>
      <c r="Y2599" s="5" t="s">
        <v>240</v>
      </c>
      <c r="Z2599" s="6" t="s">
        <v>298</v>
      </c>
      <c r="AB2599" s="6" t="s">
        <v>240</v>
      </c>
      <c r="AE2599" s="6" t="s">
        <v>299</v>
      </c>
      <c r="AF2599" s="5" t="s">
        <v>248</v>
      </c>
      <c r="AG2599" s="5" t="s">
        <v>249</v>
      </c>
      <c r="AW2599" s="5" t="s">
        <v>251</v>
      </c>
      <c r="AX2599" s="5" t="s">
        <v>240</v>
      </c>
      <c r="AY2599" s="5" t="s">
        <v>253</v>
      </c>
      <c r="AZ2599" s="5" t="s">
        <v>240</v>
      </c>
      <c r="BA2599" s="5" t="s">
        <v>255</v>
      </c>
      <c r="BB2599" s="5" t="s">
        <v>240</v>
      </c>
      <c r="BD2599" s="5" t="s">
        <v>240</v>
      </c>
      <c r="BF2599" s="5" t="s">
        <v>301</v>
      </c>
      <c r="BG2599" s="6" t="s">
        <v>299</v>
      </c>
      <c r="BH2599" s="5" t="s">
        <v>302</v>
      </c>
      <c r="BI2599" s="5" t="s">
        <v>303</v>
      </c>
      <c r="BJ2599" s="5" t="s">
        <v>240</v>
      </c>
      <c r="BK2599" s="8">
        <f>0</f>
        <v>0</v>
      </c>
      <c r="BL2599" s="7">
        <f>0</f>
        <v>0</v>
      </c>
      <c r="BM2599" s="5" t="s">
        <v>258</v>
      </c>
      <c r="BN2599" s="5" t="s">
        <v>259</v>
      </c>
      <c r="CB2599" s="5" t="s">
        <v>240</v>
      </c>
      <c r="CC2599" s="5" t="s">
        <v>240</v>
      </c>
      <c r="CG2599" s="5" t="s">
        <v>304</v>
      </c>
      <c r="CH2599" s="5" t="s">
        <v>305</v>
      </c>
      <c r="CI2599" s="5" t="s">
        <v>240</v>
      </c>
      <c r="CL2599" s="6" t="s">
        <v>261</v>
      </c>
      <c r="CM2599" s="5" t="s">
        <v>240</v>
      </c>
      <c r="CN2599" s="5" t="s">
        <v>263</v>
      </c>
      <c r="CO2599" s="5" t="s">
        <v>240</v>
      </c>
      <c r="CP2599" s="5" t="s">
        <v>240</v>
      </c>
      <c r="CQ2599" s="5">
        <v>0</v>
      </c>
      <c r="CR2599" s="5" t="s">
        <v>306</v>
      </c>
      <c r="CS2599" s="5" t="s">
        <v>307</v>
      </c>
      <c r="CT2599" s="5" t="s">
        <v>307</v>
      </c>
      <c r="CU2599" s="5" t="s">
        <v>260</v>
      </c>
      <c r="CX2599" s="7">
        <f>1</f>
        <v>1</v>
      </c>
      <c r="CY2599" s="7">
        <f>0</f>
        <v>0</v>
      </c>
      <c r="DA2599" s="7">
        <f>0</f>
        <v>0</v>
      </c>
      <c r="DC2599" s="5" t="s">
        <v>309</v>
      </c>
      <c r="DD2599" s="5" t="s">
        <v>240</v>
      </c>
      <c r="DF2599" s="5" t="s">
        <v>309</v>
      </c>
      <c r="DG2599" s="7">
        <f>2180</f>
        <v>2180</v>
      </c>
      <c r="DI2599" s="5" t="s">
        <v>240</v>
      </c>
      <c r="DJ2599" s="5" t="s">
        <v>240</v>
      </c>
      <c r="DK2599" s="5" t="s">
        <v>240</v>
      </c>
      <c r="DL2599" s="5" t="s">
        <v>240</v>
      </c>
      <c r="DP2599" s="5" t="s">
        <v>240</v>
      </c>
      <c r="DQ2599" s="5" t="s">
        <v>240</v>
      </c>
      <c r="DR2599" s="5" t="s">
        <v>240</v>
      </c>
      <c r="DS2599" s="5" t="s">
        <v>240</v>
      </c>
      <c r="DV2599" s="5" t="s">
        <v>310</v>
      </c>
      <c r="DW2599" s="5" t="s">
        <v>3251</v>
      </c>
      <c r="HO2599" s="5" t="s">
        <v>312</v>
      </c>
    </row>
    <row r="2600" spans="1:223" x14ac:dyDescent="0.4">
      <c r="A2600" s="5">
        <v>4304</v>
      </c>
      <c r="B2600" s="5">
        <v>1</v>
      </c>
      <c r="C2600" s="5">
        <v>1</v>
      </c>
      <c r="D2600" s="5" t="s">
        <v>810</v>
      </c>
      <c r="E2600" s="5" t="s">
        <v>245</v>
      </c>
      <c r="F2600" s="5" t="s">
        <v>254</v>
      </c>
      <c r="G2600" s="5" t="s">
        <v>240</v>
      </c>
      <c r="H2600" s="6" t="s">
        <v>3344</v>
      </c>
      <c r="I2600" s="5" t="s">
        <v>809</v>
      </c>
      <c r="J2600" s="8">
        <f>690</f>
        <v>690</v>
      </c>
      <c r="K2600" s="5" t="s">
        <v>308</v>
      </c>
      <c r="L2600" s="7">
        <f>1</f>
        <v>1</v>
      </c>
      <c r="M2600" s="7">
        <f>1</f>
        <v>1</v>
      </c>
      <c r="N2600" s="5" t="s">
        <v>242</v>
      </c>
      <c r="O2600" s="5">
        <v>1</v>
      </c>
      <c r="P2600" s="5" t="s">
        <v>294</v>
      </c>
      <c r="Q2600" s="5" t="s">
        <v>266</v>
      </c>
      <c r="R2600" s="5" t="s">
        <v>240</v>
      </c>
      <c r="S2600" s="5" t="s">
        <v>240</v>
      </c>
      <c r="T2600" s="5" t="s">
        <v>296</v>
      </c>
      <c r="U2600" s="5" t="s">
        <v>244</v>
      </c>
      <c r="V2600" s="5" t="s">
        <v>240</v>
      </c>
      <c r="Y2600" s="5" t="s">
        <v>240</v>
      </c>
      <c r="Z2600" s="6" t="s">
        <v>298</v>
      </c>
      <c r="AB2600" s="6" t="s">
        <v>240</v>
      </c>
      <c r="AE2600" s="6" t="s">
        <v>299</v>
      </c>
      <c r="AF2600" s="5" t="s">
        <v>248</v>
      </c>
      <c r="AG2600" s="5" t="s">
        <v>249</v>
      </c>
      <c r="AW2600" s="5" t="s">
        <v>251</v>
      </c>
      <c r="AX2600" s="5" t="s">
        <v>240</v>
      </c>
      <c r="AY2600" s="5" t="s">
        <v>253</v>
      </c>
      <c r="AZ2600" s="5" t="s">
        <v>240</v>
      </c>
      <c r="BA2600" s="5" t="s">
        <v>255</v>
      </c>
      <c r="BB2600" s="5" t="s">
        <v>240</v>
      </c>
      <c r="BD2600" s="5" t="s">
        <v>240</v>
      </c>
      <c r="BF2600" s="5" t="s">
        <v>301</v>
      </c>
      <c r="BG2600" s="6" t="s">
        <v>299</v>
      </c>
      <c r="BH2600" s="5" t="s">
        <v>302</v>
      </c>
      <c r="BI2600" s="5" t="s">
        <v>303</v>
      </c>
      <c r="BJ2600" s="5" t="s">
        <v>240</v>
      </c>
      <c r="BK2600" s="8">
        <f>0</f>
        <v>0</v>
      </c>
      <c r="BL2600" s="7">
        <f>0</f>
        <v>0</v>
      </c>
      <c r="BM2600" s="5" t="s">
        <v>258</v>
      </c>
      <c r="BN2600" s="5" t="s">
        <v>259</v>
      </c>
      <c r="CB2600" s="5" t="s">
        <v>240</v>
      </c>
      <c r="CC2600" s="5" t="s">
        <v>240</v>
      </c>
      <c r="CG2600" s="5" t="s">
        <v>304</v>
      </c>
      <c r="CH2600" s="5" t="s">
        <v>305</v>
      </c>
      <c r="CI2600" s="5" t="s">
        <v>240</v>
      </c>
      <c r="CL2600" s="6" t="s">
        <v>261</v>
      </c>
      <c r="CM2600" s="5" t="s">
        <v>240</v>
      </c>
      <c r="CN2600" s="5" t="s">
        <v>263</v>
      </c>
      <c r="CO2600" s="5" t="s">
        <v>240</v>
      </c>
      <c r="CP2600" s="5" t="s">
        <v>240</v>
      </c>
      <c r="CQ2600" s="5">
        <v>0</v>
      </c>
      <c r="CR2600" s="5" t="s">
        <v>306</v>
      </c>
      <c r="CS2600" s="5" t="s">
        <v>307</v>
      </c>
      <c r="CT2600" s="5" t="s">
        <v>307</v>
      </c>
      <c r="CU2600" s="5" t="s">
        <v>260</v>
      </c>
      <c r="CX2600" s="7">
        <f>1</f>
        <v>1</v>
      </c>
      <c r="CY2600" s="7">
        <f>0</f>
        <v>0</v>
      </c>
      <c r="DA2600" s="7">
        <f>0</f>
        <v>0</v>
      </c>
      <c r="DC2600" s="5" t="s">
        <v>309</v>
      </c>
      <c r="DD2600" s="5" t="s">
        <v>240</v>
      </c>
      <c r="DF2600" s="5" t="s">
        <v>309</v>
      </c>
      <c r="DG2600" s="7">
        <f>554</f>
        <v>554</v>
      </c>
      <c r="DI2600" s="5" t="s">
        <v>240</v>
      </c>
      <c r="DJ2600" s="5" t="s">
        <v>240</v>
      </c>
      <c r="DK2600" s="5" t="s">
        <v>240</v>
      </c>
      <c r="DL2600" s="5" t="s">
        <v>240</v>
      </c>
      <c r="DP2600" s="5" t="s">
        <v>240</v>
      </c>
      <c r="DQ2600" s="5" t="s">
        <v>240</v>
      </c>
      <c r="DR2600" s="5" t="s">
        <v>240</v>
      </c>
      <c r="DS2600" s="5" t="s">
        <v>240</v>
      </c>
      <c r="DV2600" s="5" t="s">
        <v>310</v>
      </c>
      <c r="DW2600" s="5" t="s">
        <v>3253</v>
      </c>
      <c r="HO2600" s="5" t="s">
        <v>312</v>
      </c>
    </row>
    <row r="2601" spans="1:223" x14ac:dyDescent="0.4">
      <c r="A2601" s="5">
        <v>4305</v>
      </c>
      <c r="B2601" s="5">
        <v>1</v>
      </c>
      <c r="C2601" s="5">
        <v>1</v>
      </c>
      <c r="D2601" s="5" t="s">
        <v>810</v>
      </c>
      <c r="E2601" s="5" t="s">
        <v>245</v>
      </c>
      <c r="F2601" s="5" t="s">
        <v>254</v>
      </c>
      <c r="G2601" s="5" t="s">
        <v>240</v>
      </c>
      <c r="H2601" s="6" t="s">
        <v>4944</v>
      </c>
      <c r="I2601" s="5" t="s">
        <v>809</v>
      </c>
      <c r="J2601" s="8">
        <f>943</f>
        <v>943</v>
      </c>
      <c r="K2601" s="5" t="s">
        <v>308</v>
      </c>
      <c r="L2601" s="7">
        <f>1</f>
        <v>1</v>
      </c>
      <c r="M2601" s="7">
        <f>1</f>
        <v>1</v>
      </c>
      <c r="N2601" s="5" t="s">
        <v>242</v>
      </c>
      <c r="O2601" s="5">
        <v>1</v>
      </c>
      <c r="P2601" s="5" t="s">
        <v>294</v>
      </c>
      <c r="Q2601" s="5" t="s">
        <v>266</v>
      </c>
      <c r="R2601" s="5" t="s">
        <v>240</v>
      </c>
      <c r="S2601" s="5" t="s">
        <v>240</v>
      </c>
      <c r="T2601" s="5" t="s">
        <v>296</v>
      </c>
      <c r="U2601" s="5" t="s">
        <v>244</v>
      </c>
      <c r="V2601" s="5" t="s">
        <v>240</v>
      </c>
      <c r="Y2601" s="5" t="s">
        <v>240</v>
      </c>
      <c r="Z2601" s="6" t="s">
        <v>298</v>
      </c>
      <c r="AB2601" s="6" t="s">
        <v>240</v>
      </c>
      <c r="AE2601" s="6" t="s">
        <v>299</v>
      </c>
      <c r="AF2601" s="5" t="s">
        <v>248</v>
      </c>
      <c r="AG2601" s="5" t="s">
        <v>249</v>
      </c>
      <c r="AW2601" s="5" t="s">
        <v>251</v>
      </c>
      <c r="AX2601" s="5" t="s">
        <v>240</v>
      </c>
      <c r="AY2601" s="5" t="s">
        <v>253</v>
      </c>
      <c r="AZ2601" s="5" t="s">
        <v>240</v>
      </c>
      <c r="BA2601" s="5" t="s">
        <v>255</v>
      </c>
      <c r="BB2601" s="5" t="s">
        <v>240</v>
      </c>
      <c r="BD2601" s="5" t="s">
        <v>240</v>
      </c>
      <c r="BF2601" s="5" t="s">
        <v>301</v>
      </c>
      <c r="BG2601" s="6" t="s">
        <v>299</v>
      </c>
      <c r="BH2601" s="5" t="s">
        <v>302</v>
      </c>
      <c r="BI2601" s="5" t="s">
        <v>303</v>
      </c>
      <c r="BJ2601" s="5" t="s">
        <v>240</v>
      </c>
      <c r="BK2601" s="8">
        <f>0</f>
        <v>0</v>
      </c>
      <c r="BL2601" s="7">
        <f>0</f>
        <v>0</v>
      </c>
      <c r="BM2601" s="5" t="s">
        <v>258</v>
      </c>
      <c r="BN2601" s="5" t="s">
        <v>259</v>
      </c>
      <c r="CB2601" s="5" t="s">
        <v>240</v>
      </c>
      <c r="CC2601" s="5" t="s">
        <v>240</v>
      </c>
      <c r="CG2601" s="5" t="s">
        <v>304</v>
      </c>
      <c r="CH2601" s="5" t="s">
        <v>305</v>
      </c>
      <c r="CI2601" s="5" t="s">
        <v>240</v>
      </c>
      <c r="CL2601" s="6" t="s">
        <v>261</v>
      </c>
      <c r="CM2601" s="5" t="s">
        <v>240</v>
      </c>
      <c r="CN2601" s="5" t="s">
        <v>263</v>
      </c>
      <c r="CO2601" s="5" t="s">
        <v>240</v>
      </c>
      <c r="CP2601" s="5" t="s">
        <v>240</v>
      </c>
      <c r="CQ2601" s="5">
        <v>0</v>
      </c>
      <c r="CR2601" s="5" t="s">
        <v>306</v>
      </c>
      <c r="CS2601" s="5" t="s">
        <v>307</v>
      </c>
      <c r="CT2601" s="5" t="s">
        <v>307</v>
      </c>
      <c r="CU2601" s="5" t="s">
        <v>260</v>
      </c>
      <c r="CX2601" s="7">
        <f>1</f>
        <v>1</v>
      </c>
      <c r="CY2601" s="7">
        <f>0</f>
        <v>0</v>
      </c>
      <c r="DA2601" s="7">
        <f>0</f>
        <v>0</v>
      </c>
      <c r="DC2601" s="5" t="s">
        <v>309</v>
      </c>
      <c r="DD2601" s="5" t="s">
        <v>240</v>
      </c>
      <c r="DF2601" s="5" t="s">
        <v>309</v>
      </c>
      <c r="DG2601" s="7">
        <f>5531</f>
        <v>5531</v>
      </c>
      <c r="DI2601" s="5" t="s">
        <v>240</v>
      </c>
      <c r="DJ2601" s="5" t="s">
        <v>240</v>
      </c>
      <c r="DK2601" s="5" t="s">
        <v>240</v>
      </c>
      <c r="DL2601" s="5" t="s">
        <v>240</v>
      </c>
      <c r="DP2601" s="5" t="s">
        <v>240</v>
      </c>
      <c r="DQ2601" s="5" t="s">
        <v>240</v>
      </c>
      <c r="DR2601" s="5" t="s">
        <v>240</v>
      </c>
      <c r="DS2601" s="5" t="s">
        <v>240</v>
      </c>
      <c r="DV2601" s="5" t="s">
        <v>310</v>
      </c>
      <c r="DW2601" s="5" t="s">
        <v>3255</v>
      </c>
      <c r="HO2601" s="5" t="s">
        <v>312</v>
      </c>
    </row>
    <row r="2602" spans="1:223" x14ac:dyDescent="0.4">
      <c r="A2602" s="5">
        <v>4306</v>
      </c>
      <c r="B2602" s="5">
        <v>1</v>
      </c>
      <c r="C2602" s="5">
        <v>1</v>
      </c>
      <c r="D2602" s="5" t="s">
        <v>810</v>
      </c>
      <c r="E2602" s="5" t="s">
        <v>245</v>
      </c>
      <c r="F2602" s="5" t="s">
        <v>254</v>
      </c>
      <c r="G2602" s="5" t="s">
        <v>240</v>
      </c>
      <c r="H2602" s="6" t="s">
        <v>3341</v>
      </c>
      <c r="I2602" s="5" t="s">
        <v>809</v>
      </c>
      <c r="J2602" s="8">
        <f>327</f>
        <v>327</v>
      </c>
      <c r="K2602" s="5" t="s">
        <v>308</v>
      </c>
      <c r="L2602" s="7">
        <f>1</f>
        <v>1</v>
      </c>
      <c r="M2602" s="7">
        <f>1</f>
        <v>1</v>
      </c>
      <c r="N2602" s="5" t="s">
        <v>242</v>
      </c>
      <c r="O2602" s="5">
        <v>1</v>
      </c>
      <c r="P2602" s="5" t="s">
        <v>294</v>
      </c>
      <c r="Q2602" s="5" t="s">
        <v>266</v>
      </c>
      <c r="R2602" s="5" t="s">
        <v>240</v>
      </c>
      <c r="S2602" s="5" t="s">
        <v>240</v>
      </c>
      <c r="T2602" s="5" t="s">
        <v>296</v>
      </c>
      <c r="U2602" s="5" t="s">
        <v>244</v>
      </c>
      <c r="V2602" s="5" t="s">
        <v>240</v>
      </c>
      <c r="Y2602" s="5" t="s">
        <v>240</v>
      </c>
      <c r="Z2602" s="6" t="s">
        <v>298</v>
      </c>
      <c r="AB2602" s="6" t="s">
        <v>240</v>
      </c>
      <c r="AE2602" s="6" t="s">
        <v>299</v>
      </c>
      <c r="AF2602" s="5" t="s">
        <v>248</v>
      </c>
      <c r="AG2602" s="5" t="s">
        <v>249</v>
      </c>
      <c r="AW2602" s="5" t="s">
        <v>251</v>
      </c>
      <c r="AX2602" s="5" t="s">
        <v>240</v>
      </c>
      <c r="AY2602" s="5" t="s">
        <v>253</v>
      </c>
      <c r="AZ2602" s="5" t="s">
        <v>240</v>
      </c>
      <c r="BA2602" s="5" t="s">
        <v>255</v>
      </c>
      <c r="BB2602" s="5" t="s">
        <v>240</v>
      </c>
      <c r="BD2602" s="5" t="s">
        <v>240</v>
      </c>
      <c r="BF2602" s="5" t="s">
        <v>301</v>
      </c>
      <c r="BG2602" s="6" t="s">
        <v>299</v>
      </c>
      <c r="BH2602" s="5" t="s">
        <v>302</v>
      </c>
      <c r="BI2602" s="5" t="s">
        <v>303</v>
      </c>
      <c r="BJ2602" s="5" t="s">
        <v>240</v>
      </c>
      <c r="BK2602" s="8">
        <f>0</f>
        <v>0</v>
      </c>
      <c r="BL2602" s="7">
        <f>0</f>
        <v>0</v>
      </c>
      <c r="BM2602" s="5" t="s">
        <v>258</v>
      </c>
      <c r="BN2602" s="5" t="s">
        <v>259</v>
      </c>
      <c r="CB2602" s="5" t="s">
        <v>240</v>
      </c>
      <c r="CC2602" s="5" t="s">
        <v>240</v>
      </c>
      <c r="CG2602" s="5" t="s">
        <v>304</v>
      </c>
      <c r="CH2602" s="5" t="s">
        <v>305</v>
      </c>
      <c r="CI2602" s="5" t="s">
        <v>240</v>
      </c>
      <c r="CL2602" s="6" t="s">
        <v>261</v>
      </c>
      <c r="CM2602" s="5" t="s">
        <v>240</v>
      </c>
      <c r="CN2602" s="5" t="s">
        <v>263</v>
      </c>
      <c r="CO2602" s="5" t="s">
        <v>240</v>
      </c>
      <c r="CP2602" s="5" t="s">
        <v>240</v>
      </c>
      <c r="CQ2602" s="5">
        <v>0</v>
      </c>
      <c r="CR2602" s="5" t="s">
        <v>306</v>
      </c>
      <c r="CS2602" s="5" t="s">
        <v>307</v>
      </c>
      <c r="CT2602" s="5" t="s">
        <v>307</v>
      </c>
      <c r="CU2602" s="5" t="s">
        <v>260</v>
      </c>
      <c r="CX2602" s="7">
        <f>1</f>
        <v>1</v>
      </c>
      <c r="CY2602" s="7">
        <f>0</f>
        <v>0</v>
      </c>
      <c r="DA2602" s="7">
        <f>0</f>
        <v>0</v>
      </c>
      <c r="DC2602" s="5" t="s">
        <v>309</v>
      </c>
      <c r="DD2602" s="5" t="s">
        <v>240</v>
      </c>
      <c r="DF2602" s="5" t="s">
        <v>309</v>
      </c>
      <c r="DG2602" s="7">
        <f>2228</f>
        <v>2228</v>
      </c>
      <c r="DI2602" s="5" t="s">
        <v>240</v>
      </c>
      <c r="DJ2602" s="5" t="s">
        <v>240</v>
      </c>
      <c r="DK2602" s="5" t="s">
        <v>240</v>
      </c>
      <c r="DL2602" s="5" t="s">
        <v>240</v>
      </c>
      <c r="DP2602" s="5" t="s">
        <v>240</v>
      </c>
      <c r="DQ2602" s="5" t="s">
        <v>240</v>
      </c>
      <c r="DR2602" s="5" t="s">
        <v>240</v>
      </c>
      <c r="DS2602" s="5" t="s">
        <v>240</v>
      </c>
      <c r="DV2602" s="5" t="s">
        <v>310</v>
      </c>
      <c r="DW2602" s="5" t="s">
        <v>3257</v>
      </c>
      <c r="HO2602" s="5" t="s">
        <v>312</v>
      </c>
    </row>
    <row r="2603" spans="1:223" x14ac:dyDescent="0.4">
      <c r="A2603" s="5">
        <v>4307</v>
      </c>
      <c r="B2603" s="5">
        <v>1</v>
      </c>
      <c r="C2603" s="5">
        <v>1</v>
      </c>
      <c r="D2603" s="5" t="s">
        <v>810</v>
      </c>
      <c r="E2603" s="5" t="s">
        <v>245</v>
      </c>
      <c r="F2603" s="5" t="s">
        <v>254</v>
      </c>
      <c r="G2603" s="5" t="s">
        <v>240</v>
      </c>
      <c r="H2603" s="6" t="s">
        <v>3339</v>
      </c>
      <c r="I2603" s="5" t="s">
        <v>809</v>
      </c>
      <c r="J2603" s="8">
        <f>359</f>
        <v>359</v>
      </c>
      <c r="K2603" s="5" t="s">
        <v>308</v>
      </c>
      <c r="L2603" s="7">
        <f>1</f>
        <v>1</v>
      </c>
      <c r="M2603" s="7">
        <f>1</f>
        <v>1</v>
      </c>
      <c r="N2603" s="5" t="s">
        <v>242</v>
      </c>
      <c r="O2603" s="5">
        <v>1</v>
      </c>
      <c r="P2603" s="5" t="s">
        <v>294</v>
      </c>
      <c r="Q2603" s="5" t="s">
        <v>266</v>
      </c>
      <c r="R2603" s="5" t="s">
        <v>240</v>
      </c>
      <c r="S2603" s="5" t="s">
        <v>240</v>
      </c>
      <c r="T2603" s="5" t="s">
        <v>296</v>
      </c>
      <c r="U2603" s="5" t="s">
        <v>244</v>
      </c>
      <c r="V2603" s="5" t="s">
        <v>240</v>
      </c>
      <c r="Y2603" s="5" t="s">
        <v>240</v>
      </c>
      <c r="Z2603" s="6" t="s">
        <v>298</v>
      </c>
      <c r="AB2603" s="6" t="s">
        <v>240</v>
      </c>
      <c r="AE2603" s="6" t="s">
        <v>299</v>
      </c>
      <c r="AF2603" s="5" t="s">
        <v>248</v>
      </c>
      <c r="AG2603" s="5" t="s">
        <v>249</v>
      </c>
      <c r="AW2603" s="5" t="s">
        <v>251</v>
      </c>
      <c r="AX2603" s="5" t="s">
        <v>240</v>
      </c>
      <c r="AY2603" s="5" t="s">
        <v>253</v>
      </c>
      <c r="AZ2603" s="5" t="s">
        <v>240</v>
      </c>
      <c r="BA2603" s="5" t="s">
        <v>255</v>
      </c>
      <c r="BB2603" s="5" t="s">
        <v>240</v>
      </c>
      <c r="BD2603" s="5" t="s">
        <v>240</v>
      </c>
      <c r="BF2603" s="5" t="s">
        <v>301</v>
      </c>
      <c r="BG2603" s="6" t="s">
        <v>299</v>
      </c>
      <c r="BH2603" s="5" t="s">
        <v>302</v>
      </c>
      <c r="BI2603" s="5" t="s">
        <v>303</v>
      </c>
      <c r="BJ2603" s="5" t="s">
        <v>240</v>
      </c>
      <c r="BK2603" s="8">
        <f>0</f>
        <v>0</v>
      </c>
      <c r="BL2603" s="7">
        <f>0</f>
        <v>0</v>
      </c>
      <c r="BM2603" s="5" t="s">
        <v>258</v>
      </c>
      <c r="BN2603" s="5" t="s">
        <v>259</v>
      </c>
      <c r="CB2603" s="5" t="s">
        <v>240</v>
      </c>
      <c r="CC2603" s="5" t="s">
        <v>240</v>
      </c>
      <c r="CG2603" s="5" t="s">
        <v>304</v>
      </c>
      <c r="CH2603" s="5" t="s">
        <v>305</v>
      </c>
      <c r="CI2603" s="5" t="s">
        <v>240</v>
      </c>
      <c r="CL2603" s="6" t="s">
        <v>261</v>
      </c>
      <c r="CM2603" s="5" t="s">
        <v>240</v>
      </c>
      <c r="CN2603" s="5" t="s">
        <v>263</v>
      </c>
      <c r="CO2603" s="5" t="s">
        <v>240</v>
      </c>
      <c r="CP2603" s="5" t="s">
        <v>240</v>
      </c>
      <c r="CQ2603" s="5">
        <v>0</v>
      </c>
      <c r="CR2603" s="5" t="s">
        <v>306</v>
      </c>
      <c r="CS2603" s="5" t="s">
        <v>307</v>
      </c>
      <c r="CT2603" s="5" t="s">
        <v>307</v>
      </c>
      <c r="CU2603" s="5" t="s">
        <v>260</v>
      </c>
      <c r="CX2603" s="7">
        <f>1</f>
        <v>1</v>
      </c>
      <c r="CY2603" s="7">
        <f>0</f>
        <v>0</v>
      </c>
      <c r="DA2603" s="7">
        <f>0</f>
        <v>0</v>
      </c>
      <c r="DC2603" s="5" t="s">
        <v>309</v>
      </c>
      <c r="DD2603" s="5" t="s">
        <v>240</v>
      </c>
      <c r="DF2603" s="5" t="s">
        <v>309</v>
      </c>
      <c r="DG2603" s="7">
        <f>4240</f>
        <v>4240</v>
      </c>
      <c r="DI2603" s="5" t="s">
        <v>240</v>
      </c>
      <c r="DJ2603" s="5" t="s">
        <v>240</v>
      </c>
      <c r="DK2603" s="5" t="s">
        <v>240</v>
      </c>
      <c r="DL2603" s="5" t="s">
        <v>240</v>
      </c>
      <c r="DP2603" s="5" t="s">
        <v>240</v>
      </c>
      <c r="DQ2603" s="5" t="s">
        <v>240</v>
      </c>
      <c r="DR2603" s="5" t="s">
        <v>240</v>
      </c>
      <c r="DS2603" s="5" t="s">
        <v>240</v>
      </c>
      <c r="DV2603" s="5" t="s">
        <v>310</v>
      </c>
      <c r="DW2603" s="5" t="s">
        <v>3259</v>
      </c>
      <c r="HO2603" s="5" t="s">
        <v>312</v>
      </c>
    </row>
    <row r="2604" spans="1:223" x14ac:dyDescent="0.4">
      <c r="A2604" s="5">
        <v>4308</v>
      </c>
      <c r="B2604" s="5">
        <v>1</v>
      </c>
      <c r="C2604" s="5">
        <v>1</v>
      </c>
      <c r="D2604" s="5" t="s">
        <v>810</v>
      </c>
      <c r="E2604" s="5" t="s">
        <v>245</v>
      </c>
      <c r="F2604" s="5" t="s">
        <v>254</v>
      </c>
      <c r="G2604" s="5" t="s">
        <v>240</v>
      </c>
      <c r="H2604" s="6" t="s">
        <v>3337</v>
      </c>
      <c r="I2604" s="5" t="s">
        <v>809</v>
      </c>
      <c r="J2604" s="8">
        <f>177</f>
        <v>177</v>
      </c>
      <c r="K2604" s="5" t="s">
        <v>308</v>
      </c>
      <c r="L2604" s="7">
        <f>1</f>
        <v>1</v>
      </c>
      <c r="M2604" s="7">
        <f>1</f>
        <v>1</v>
      </c>
      <c r="N2604" s="5" t="s">
        <v>242</v>
      </c>
      <c r="O2604" s="5">
        <v>1</v>
      </c>
      <c r="P2604" s="5" t="s">
        <v>294</v>
      </c>
      <c r="Q2604" s="5" t="s">
        <v>266</v>
      </c>
      <c r="R2604" s="5" t="s">
        <v>240</v>
      </c>
      <c r="S2604" s="5" t="s">
        <v>240</v>
      </c>
      <c r="T2604" s="5" t="s">
        <v>296</v>
      </c>
      <c r="U2604" s="5" t="s">
        <v>244</v>
      </c>
      <c r="V2604" s="5" t="s">
        <v>240</v>
      </c>
      <c r="Y2604" s="5" t="s">
        <v>240</v>
      </c>
      <c r="Z2604" s="6" t="s">
        <v>298</v>
      </c>
      <c r="AB2604" s="6" t="s">
        <v>240</v>
      </c>
      <c r="AE2604" s="6" t="s">
        <v>299</v>
      </c>
      <c r="AF2604" s="5" t="s">
        <v>248</v>
      </c>
      <c r="AG2604" s="5" t="s">
        <v>249</v>
      </c>
      <c r="AW2604" s="5" t="s">
        <v>251</v>
      </c>
      <c r="AX2604" s="5" t="s">
        <v>240</v>
      </c>
      <c r="AY2604" s="5" t="s">
        <v>253</v>
      </c>
      <c r="AZ2604" s="5" t="s">
        <v>240</v>
      </c>
      <c r="BA2604" s="5" t="s">
        <v>255</v>
      </c>
      <c r="BB2604" s="5" t="s">
        <v>240</v>
      </c>
      <c r="BD2604" s="5" t="s">
        <v>240</v>
      </c>
      <c r="BF2604" s="5" t="s">
        <v>301</v>
      </c>
      <c r="BG2604" s="6" t="s">
        <v>299</v>
      </c>
      <c r="BH2604" s="5" t="s">
        <v>302</v>
      </c>
      <c r="BI2604" s="5" t="s">
        <v>303</v>
      </c>
      <c r="BJ2604" s="5" t="s">
        <v>240</v>
      </c>
      <c r="BK2604" s="8">
        <f>0</f>
        <v>0</v>
      </c>
      <c r="BL2604" s="7">
        <f>0</f>
        <v>0</v>
      </c>
      <c r="BM2604" s="5" t="s">
        <v>258</v>
      </c>
      <c r="BN2604" s="5" t="s">
        <v>259</v>
      </c>
      <c r="CB2604" s="5" t="s">
        <v>240</v>
      </c>
      <c r="CC2604" s="5" t="s">
        <v>240</v>
      </c>
      <c r="CG2604" s="5" t="s">
        <v>304</v>
      </c>
      <c r="CH2604" s="5" t="s">
        <v>305</v>
      </c>
      <c r="CI2604" s="5" t="s">
        <v>240</v>
      </c>
      <c r="CL2604" s="6" t="s">
        <v>261</v>
      </c>
      <c r="CM2604" s="5" t="s">
        <v>240</v>
      </c>
      <c r="CN2604" s="5" t="s">
        <v>263</v>
      </c>
      <c r="CO2604" s="5" t="s">
        <v>240</v>
      </c>
      <c r="CP2604" s="5" t="s">
        <v>240</v>
      </c>
      <c r="CQ2604" s="5">
        <v>0</v>
      </c>
      <c r="CR2604" s="5" t="s">
        <v>306</v>
      </c>
      <c r="CS2604" s="5" t="s">
        <v>307</v>
      </c>
      <c r="CT2604" s="5" t="s">
        <v>307</v>
      </c>
      <c r="CU2604" s="5" t="s">
        <v>260</v>
      </c>
      <c r="CX2604" s="7">
        <f>1</f>
        <v>1</v>
      </c>
      <c r="CY2604" s="7">
        <f>0</f>
        <v>0</v>
      </c>
      <c r="DA2604" s="7">
        <f>0</f>
        <v>0</v>
      </c>
      <c r="DC2604" s="5" t="s">
        <v>309</v>
      </c>
      <c r="DD2604" s="5" t="s">
        <v>240</v>
      </c>
      <c r="DF2604" s="5" t="s">
        <v>309</v>
      </c>
      <c r="DG2604" s="7">
        <f>1630</f>
        <v>1630</v>
      </c>
      <c r="DI2604" s="5" t="s">
        <v>240</v>
      </c>
      <c r="DJ2604" s="5" t="s">
        <v>240</v>
      </c>
      <c r="DK2604" s="5" t="s">
        <v>240</v>
      </c>
      <c r="DL2604" s="5" t="s">
        <v>240</v>
      </c>
      <c r="DP2604" s="5" t="s">
        <v>240</v>
      </c>
      <c r="DQ2604" s="5" t="s">
        <v>240</v>
      </c>
      <c r="DR2604" s="5" t="s">
        <v>240</v>
      </c>
      <c r="DS2604" s="5" t="s">
        <v>240</v>
      </c>
      <c r="DV2604" s="5" t="s">
        <v>310</v>
      </c>
      <c r="DW2604" s="5" t="s">
        <v>3261</v>
      </c>
      <c r="HO2604" s="5" t="s">
        <v>312</v>
      </c>
    </row>
    <row r="2605" spans="1:223" x14ac:dyDescent="0.4">
      <c r="A2605" s="5">
        <v>4309</v>
      </c>
      <c r="B2605" s="5">
        <v>1</v>
      </c>
      <c r="C2605" s="5">
        <v>1</v>
      </c>
      <c r="D2605" s="5" t="s">
        <v>810</v>
      </c>
      <c r="E2605" s="5" t="s">
        <v>245</v>
      </c>
      <c r="F2605" s="5" t="s">
        <v>254</v>
      </c>
      <c r="G2605" s="5" t="s">
        <v>240</v>
      </c>
      <c r="H2605" s="6" t="s">
        <v>3335</v>
      </c>
      <c r="I2605" s="5" t="s">
        <v>809</v>
      </c>
      <c r="J2605" s="8">
        <f>42</f>
        <v>42</v>
      </c>
      <c r="K2605" s="5" t="s">
        <v>308</v>
      </c>
      <c r="L2605" s="7">
        <f>1</f>
        <v>1</v>
      </c>
      <c r="M2605" s="7">
        <f>1</f>
        <v>1</v>
      </c>
      <c r="N2605" s="5" t="s">
        <v>242</v>
      </c>
      <c r="O2605" s="5">
        <v>1</v>
      </c>
      <c r="P2605" s="5" t="s">
        <v>294</v>
      </c>
      <c r="Q2605" s="5" t="s">
        <v>266</v>
      </c>
      <c r="R2605" s="5" t="s">
        <v>240</v>
      </c>
      <c r="S2605" s="5" t="s">
        <v>240</v>
      </c>
      <c r="T2605" s="5" t="s">
        <v>296</v>
      </c>
      <c r="U2605" s="5" t="s">
        <v>244</v>
      </c>
      <c r="V2605" s="5" t="s">
        <v>240</v>
      </c>
      <c r="Y2605" s="5" t="s">
        <v>240</v>
      </c>
      <c r="Z2605" s="6" t="s">
        <v>298</v>
      </c>
      <c r="AB2605" s="6" t="s">
        <v>240</v>
      </c>
      <c r="AE2605" s="6" t="s">
        <v>299</v>
      </c>
      <c r="AF2605" s="5" t="s">
        <v>248</v>
      </c>
      <c r="AG2605" s="5" t="s">
        <v>249</v>
      </c>
      <c r="AW2605" s="5" t="s">
        <v>251</v>
      </c>
      <c r="AX2605" s="5" t="s">
        <v>240</v>
      </c>
      <c r="AY2605" s="5" t="s">
        <v>253</v>
      </c>
      <c r="AZ2605" s="5" t="s">
        <v>240</v>
      </c>
      <c r="BA2605" s="5" t="s">
        <v>255</v>
      </c>
      <c r="BB2605" s="5" t="s">
        <v>240</v>
      </c>
      <c r="BD2605" s="5" t="s">
        <v>240</v>
      </c>
      <c r="BF2605" s="5" t="s">
        <v>301</v>
      </c>
      <c r="BG2605" s="6" t="s">
        <v>299</v>
      </c>
      <c r="BH2605" s="5" t="s">
        <v>302</v>
      </c>
      <c r="BI2605" s="5" t="s">
        <v>303</v>
      </c>
      <c r="BJ2605" s="5" t="s">
        <v>240</v>
      </c>
      <c r="BK2605" s="8">
        <f>0</f>
        <v>0</v>
      </c>
      <c r="BL2605" s="7">
        <f>0</f>
        <v>0</v>
      </c>
      <c r="BM2605" s="5" t="s">
        <v>258</v>
      </c>
      <c r="BN2605" s="5" t="s">
        <v>259</v>
      </c>
      <c r="CB2605" s="5" t="s">
        <v>240</v>
      </c>
      <c r="CC2605" s="5" t="s">
        <v>240</v>
      </c>
      <c r="CG2605" s="5" t="s">
        <v>304</v>
      </c>
      <c r="CH2605" s="5" t="s">
        <v>305</v>
      </c>
      <c r="CI2605" s="5" t="s">
        <v>240</v>
      </c>
      <c r="CL2605" s="6" t="s">
        <v>261</v>
      </c>
      <c r="CM2605" s="5" t="s">
        <v>240</v>
      </c>
      <c r="CN2605" s="5" t="s">
        <v>263</v>
      </c>
      <c r="CO2605" s="5" t="s">
        <v>240</v>
      </c>
      <c r="CP2605" s="5" t="s">
        <v>240</v>
      </c>
      <c r="CQ2605" s="5">
        <v>0</v>
      </c>
      <c r="CR2605" s="5" t="s">
        <v>306</v>
      </c>
      <c r="CS2605" s="5" t="s">
        <v>307</v>
      </c>
      <c r="CT2605" s="5" t="s">
        <v>307</v>
      </c>
      <c r="CU2605" s="5" t="s">
        <v>260</v>
      </c>
      <c r="CX2605" s="7">
        <f>1</f>
        <v>1</v>
      </c>
      <c r="CY2605" s="7">
        <f>0</f>
        <v>0</v>
      </c>
      <c r="DA2605" s="7">
        <f>0</f>
        <v>0</v>
      </c>
      <c r="DC2605" s="5" t="s">
        <v>309</v>
      </c>
      <c r="DD2605" s="5" t="s">
        <v>240</v>
      </c>
      <c r="DF2605" s="5" t="s">
        <v>309</v>
      </c>
      <c r="DG2605" s="7">
        <f>1670</f>
        <v>1670</v>
      </c>
      <c r="DI2605" s="5" t="s">
        <v>240</v>
      </c>
      <c r="DJ2605" s="5" t="s">
        <v>240</v>
      </c>
      <c r="DK2605" s="5" t="s">
        <v>240</v>
      </c>
      <c r="DL2605" s="5" t="s">
        <v>240</v>
      </c>
      <c r="DP2605" s="5" t="s">
        <v>240</v>
      </c>
      <c r="DQ2605" s="5" t="s">
        <v>240</v>
      </c>
      <c r="DR2605" s="5" t="s">
        <v>240</v>
      </c>
      <c r="DS2605" s="5" t="s">
        <v>240</v>
      </c>
      <c r="DV2605" s="5" t="s">
        <v>310</v>
      </c>
      <c r="DW2605" s="5" t="s">
        <v>3263</v>
      </c>
      <c r="HO2605" s="5" t="s">
        <v>312</v>
      </c>
    </row>
    <row r="2606" spans="1:223" x14ac:dyDescent="0.4">
      <c r="A2606" s="5">
        <v>4310</v>
      </c>
      <c r="B2606" s="5">
        <v>1</v>
      </c>
      <c r="C2606" s="5">
        <v>1</v>
      </c>
      <c r="D2606" s="5" t="s">
        <v>810</v>
      </c>
      <c r="E2606" s="5" t="s">
        <v>245</v>
      </c>
      <c r="F2606" s="5" t="s">
        <v>254</v>
      </c>
      <c r="G2606" s="5" t="s">
        <v>240</v>
      </c>
      <c r="H2606" s="6" t="s">
        <v>3333</v>
      </c>
      <c r="I2606" s="5" t="s">
        <v>809</v>
      </c>
      <c r="J2606" s="8">
        <f>397</f>
        <v>397</v>
      </c>
      <c r="K2606" s="5" t="s">
        <v>308</v>
      </c>
      <c r="L2606" s="7">
        <f>1</f>
        <v>1</v>
      </c>
      <c r="M2606" s="7">
        <f>1</f>
        <v>1</v>
      </c>
      <c r="N2606" s="5" t="s">
        <v>242</v>
      </c>
      <c r="O2606" s="5">
        <v>1</v>
      </c>
      <c r="P2606" s="5" t="s">
        <v>294</v>
      </c>
      <c r="Q2606" s="5" t="s">
        <v>266</v>
      </c>
      <c r="R2606" s="5" t="s">
        <v>240</v>
      </c>
      <c r="S2606" s="5" t="s">
        <v>240</v>
      </c>
      <c r="T2606" s="5" t="s">
        <v>296</v>
      </c>
      <c r="U2606" s="5" t="s">
        <v>244</v>
      </c>
      <c r="V2606" s="5" t="s">
        <v>240</v>
      </c>
      <c r="Y2606" s="5" t="s">
        <v>240</v>
      </c>
      <c r="Z2606" s="6" t="s">
        <v>298</v>
      </c>
      <c r="AB2606" s="6" t="s">
        <v>240</v>
      </c>
      <c r="AE2606" s="6" t="s">
        <v>299</v>
      </c>
      <c r="AF2606" s="5" t="s">
        <v>248</v>
      </c>
      <c r="AG2606" s="5" t="s">
        <v>249</v>
      </c>
      <c r="AW2606" s="5" t="s">
        <v>251</v>
      </c>
      <c r="AX2606" s="5" t="s">
        <v>240</v>
      </c>
      <c r="AY2606" s="5" t="s">
        <v>253</v>
      </c>
      <c r="AZ2606" s="5" t="s">
        <v>240</v>
      </c>
      <c r="BA2606" s="5" t="s">
        <v>255</v>
      </c>
      <c r="BB2606" s="5" t="s">
        <v>240</v>
      </c>
      <c r="BD2606" s="5" t="s">
        <v>240</v>
      </c>
      <c r="BF2606" s="5" t="s">
        <v>301</v>
      </c>
      <c r="BG2606" s="6" t="s">
        <v>299</v>
      </c>
      <c r="BH2606" s="5" t="s">
        <v>302</v>
      </c>
      <c r="BI2606" s="5" t="s">
        <v>303</v>
      </c>
      <c r="BJ2606" s="5" t="s">
        <v>240</v>
      </c>
      <c r="BK2606" s="8">
        <f>0</f>
        <v>0</v>
      </c>
      <c r="BL2606" s="7">
        <f>0</f>
        <v>0</v>
      </c>
      <c r="BM2606" s="5" t="s">
        <v>258</v>
      </c>
      <c r="BN2606" s="5" t="s">
        <v>259</v>
      </c>
      <c r="CB2606" s="5" t="s">
        <v>240</v>
      </c>
      <c r="CC2606" s="5" t="s">
        <v>240</v>
      </c>
      <c r="CG2606" s="5" t="s">
        <v>304</v>
      </c>
      <c r="CH2606" s="5" t="s">
        <v>305</v>
      </c>
      <c r="CI2606" s="5" t="s">
        <v>240</v>
      </c>
      <c r="CL2606" s="6" t="s">
        <v>261</v>
      </c>
      <c r="CM2606" s="5" t="s">
        <v>240</v>
      </c>
      <c r="CN2606" s="5" t="s">
        <v>263</v>
      </c>
      <c r="CO2606" s="5" t="s">
        <v>240</v>
      </c>
      <c r="CP2606" s="5" t="s">
        <v>240</v>
      </c>
      <c r="CQ2606" s="5">
        <v>0</v>
      </c>
      <c r="CR2606" s="5" t="s">
        <v>306</v>
      </c>
      <c r="CS2606" s="5" t="s">
        <v>307</v>
      </c>
      <c r="CT2606" s="5" t="s">
        <v>307</v>
      </c>
      <c r="CU2606" s="5" t="s">
        <v>260</v>
      </c>
      <c r="CX2606" s="7">
        <f>1</f>
        <v>1</v>
      </c>
      <c r="CY2606" s="7">
        <f>0</f>
        <v>0</v>
      </c>
      <c r="DA2606" s="7">
        <f>0</f>
        <v>0</v>
      </c>
      <c r="DC2606" s="5" t="s">
        <v>309</v>
      </c>
      <c r="DD2606" s="5" t="s">
        <v>240</v>
      </c>
      <c r="DF2606" s="5" t="s">
        <v>309</v>
      </c>
      <c r="DG2606" s="7">
        <f>2150</f>
        <v>2150</v>
      </c>
      <c r="DI2606" s="5" t="s">
        <v>240</v>
      </c>
      <c r="DJ2606" s="5" t="s">
        <v>240</v>
      </c>
      <c r="DK2606" s="5" t="s">
        <v>240</v>
      </c>
      <c r="DL2606" s="5" t="s">
        <v>240</v>
      </c>
      <c r="DP2606" s="5" t="s">
        <v>240</v>
      </c>
      <c r="DQ2606" s="5" t="s">
        <v>240</v>
      </c>
      <c r="DR2606" s="5" t="s">
        <v>240</v>
      </c>
      <c r="DS2606" s="5" t="s">
        <v>240</v>
      </c>
      <c r="DV2606" s="5" t="s">
        <v>310</v>
      </c>
      <c r="DW2606" s="5" t="s">
        <v>3265</v>
      </c>
      <c r="HO2606" s="5" t="s">
        <v>312</v>
      </c>
    </row>
    <row r="2607" spans="1:223" x14ac:dyDescent="0.4">
      <c r="A2607" s="5">
        <v>4311</v>
      </c>
      <c r="B2607" s="5">
        <v>1</v>
      </c>
      <c r="C2607" s="5">
        <v>1</v>
      </c>
      <c r="D2607" s="5" t="s">
        <v>810</v>
      </c>
      <c r="E2607" s="5" t="s">
        <v>245</v>
      </c>
      <c r="F2607" s="5" t="s">
        <v>254</v>
      </c>
      <c r="G2607" s="5" t="s">
        <v>240</v>
      </c>
      <c r="H2607" s="6" t="s">
        <v>3331</v>
      </c>
      <c r="I2607" s="5" t="s">
        <v>809</v>
      </c>
      <c r="J2607" s="8">
        <f>2976</f>
        <v>2976</v>
      </c>
      <c r="K2607" s="5" t="s">
        <v>308</v>
      </c>
      <c r="L2607" s="7">
        <f>1</f>
        <v>1</v>
      </c>
      <c r="M2607" s="7">
        <f>1</f>
        <v>1</v>
      </c>
      <c r="N2607" s="5" t="s">
        <v>242</v>
      </c>
      <c r="O2607" s="5">
        <v>1</v>
      </c>
      <c r="P2607" s="5" t="s">
        <v>294</v>
      </c>
      <c r="Q2607" s="5" t="s">
        <v>266</v>
      </c>
      <c r="R2607" s="5" t="s">
        <v>240</v>
      </c>
      <c r="S2607" s="5" t="s">
        <v>240</v>
      </c>
      <c r="T2607" s="5" t="s">
        <v>296</v>
      </c>
      <c r="U2607" s="5" t="s">
        <v>244</v>
      </c>
      <c r="V2607" s="5" t="s">
        <v>240</v>
      </c>
      <c r="Y2607" s="5" t="s">
        <v>240</v>
      </c>
      <c r="Z2607" s="6" t="s">
        <v>298</v>
      </c>
      <c r="AB2607" s="6" t="s">
        <v>240</v>
      </c>
      <c r="AE2607" s="6" t="s">
        <v>299</v>
      </c>
      <c r="AF2607" s="5" t="s">
        <v>248</v>
      </c>
      <c r="AG2607" s="5" t="s">
        <v>249</v>
      </c>
      <c r="AW2607" s="5" t="s">
        <v>251</v>
      </c>
      <c r="AX2607" s="5" t="s">
        <v>240</v>
      </c>
      <c r="AY2607" s="5" t="s">
        <v>253</v>
      </c>
      <c r="AZ2607" s="5" t="s">
        <v>240</v>
      </c>
      <c r="BA2607" s="5" t="s">
        <v>255</v>
      </c>
      <c r="BB2607" s="5" t="s">
        <v>240</v>
      </c>
      <c r="BD2607" s="5" t="s">
        <v>240</v>
      </c>
      <c r="BF2607" s="5" t="s">
        <v>301</v>
      </c>
      <c r="BG2607" s="6" t="s">
        <v>299</v>
      </c>
      <c r="BH2607" s="5" t="s">
        <v>302</v>
      </c>
      <c r="BI2607" s="5" t="s">
        <v>303</v>
      </c>
      <c r="BJ2607" s="5" t="s">
        <v>240</v>
      </c>
      <c r="BK2607" s="8">
        <f>0</f>
        <v>0</v>
      </c>
      <c r="BL2607" s="7">
        <f>0</f>
        <v>0</v>
      </c>
      <c r="BM2607" s="5" t="s">
        <v>258</v>
      </c>
      <c r="BN2607" s="5" t="s">
        <v>259</v>
      </c>
      <c r="CB2607" s="5" t="s">
        <v>240</v>
      </c>
      <c r="CC2607" s="5" t="s">
        <v>240</v>
      </c>
      <c r="CG2607" s="5" t="s">
        <v>304</v>
      </c>
      <c r="CH2607" s="5" t="s">
        <v>305</v>
      </c>
      <c r="CI2607" s="5" t="s">
        <v>240</v>
      </c>
      <c r="CL2607" s="6" t="s">
        <v>261</v>
      </c>
      <c r="CM2607" s="5" t="s">
        <v>240</v>
      </c>
      <c r="CN2607" s="5" t="s">
        <v>263</v>
      </c>
      <c r="CO2607" s="5" t="s">
        <v>240</v>
      </c>
      <c r="CP2607" s="5" t="s">
        <v>240</v>
      </c>
      <c r="CQ2607" s="5">
        <v>0</v>
      </c>
      <c r="CR2607" s="5" t="s">
        <v>306</v>
      </c>
      <c r="CS2607" s="5" t="s">
        <v>307</v>
      </c>
      <c r="CT2607" s="5" t="s">
        <v>307</v>
      </c>
      <c r="CU2607" s="5" t="s">
        <v>260</v>
      </c>
      <c r="CX2607" s="7">
        <f>1</f>
        <v>1</v>
      </c>
      <c r="CY2607" s="7">
        <f>0</f>
        <v>0</v>
      </c>
      <c r="DA2607" s="7">
        <f>0</f>
        <v>0</v>
      </c>
      <c r="DC2607" s="5" t="s">
        <v>309</v>
      </c>
      <c r="DD2607" s="5" t="s">
        <v>240</v>
      </c>
      <c r="DF2607" s="5" t="s">
        <v>309</v>
      </c>
      <c r="DG2607" s="7">
        <f>5093</f>
        <v>5093</v>
      </c>
      <c r="DI2607" s="5" t="s">
        <v>240</v>
      </c>
      <c r="DJ2607" s="5" t="s">
        <v>240</v>
      </c>
      <c r="DK2607" s="5" t="s">
        <v>240</v>
      </c>
      <c r="DL2607" s="5" t="s">
        <v>240</v>
      </c>
      <c r="DP2607" s="5" t="s">
        <v>240</v>
      </c>
      <c r="DQ2607" s="5" t="s">
        <v>240</v>
      </c>
      <c r="DR2607" s="5" t="s">
        <v>240</v>
      </c>
      <c r="DS2607" s="5" t="s">
        <v>240</v>
      </c>
      <c r="DV2607" s="5" t="s">
        <v>310</v>
      </c>
      <c r="DW2607" s="5" t="s">
        <v>3267</v>
      </c>
      <c r="HO2607" s="5" t="s">
        <v>312</v>
      </c>
    </row>
    <row r="2608" spans="1:223" x14ac:dyDescent="0.4">
      <c r="A2608" s="5">
        <v>4312</v>
      </c>
      <c r="B2608" s="5">
        <v>1</v>
      </c>
      <c r="C2608" s="5">
        <v>1</v>
      </c>
      <c r="D2608" s="5" t="s">
        <v>810</v>
      </c>
      <c r="E2608" s="5" t="s">
        <v>245</v>
      </c>
      <c r="F2608" s="5" t="s">
        <v>254</v>
      </c>
      <c r="G2608" s="5" t="s">
        <v>240</v>
      </c>
      <c r="H2608" s="6" t="s">
        <v>3329</v>
      </c>
      <c r="I2608" s="5" t="s">
        <v>809</v>
      </c>
      <c r="J2608" s="8">
        <f>947</f>
        <v>947</v>
      </c>
      <c r="K2608" s="5" t="s">
        <v>308</v>
      </c>
      <c r="L2608" s="7">
        <f>1</f>
        <v>1</v>
      </c>
      <c r="M2608" s="7">
        <f>1</f>
        <v>1</v>
      </c>
      <c r="N2608" s="5" t="s">
        <v>242</v>
      </c>
      <c r="O2608" s="5">
        <v>1</v>
      </c>
      <c r="P2608" s="5" t="s">
        <v>294</v>
      </c>
      <c r="Q2608" s="5" t="s">
        <v>266</v>
      </c>
      <c r="R2608" s="5" t="s">
        <v>240</v>
      </c>
      <c r="S2608" s="5" t="s">
        <v>240</v>
      </c>
      <c r="T2608" s="5" t="s">
        <v>296</v>
      </c>
      <c r="U2608" s="5" t="s">
        <v>244</v>
      </c>
      <c r="V2608" s="5" t="s">
        <v>240</v>
      </c>
      <c r="Y2608" s="5" t="s">
        <v>240</v>
      </c>
      <c r="Z2608" s="6" t="s">
        <v>298</v>
      </c>
      <c r="AB2608" s="6" t="s">
        <v>240</v>
      </c>
      <c r="AE2608" s="6" t="s">
        <v>299</v>
      </c>
      <c r="AF2608" s="5" t="s">
        <v>248</v>
      </c>
      <c r="AG2608" s="5" t="s">
        <v>249</v>
      </c>
      <c r="AW2608" s="5" t="s">
        <v>251</v>
      </c>
      <c r="AX2608" s="5" t="s">
        <v>240</v>
      </c>
      <c r="AY2608" s="5" t="s">
        <v>253</v>
      </c>
      <c r="AZ2608" s="5" t="s">
        <v>240</v>
      </c>
      <c r="BA2608" s="5" t="s">
        <v>255</v>
      </c>
      <c r="BB2608" s="5" t="s">
        <v>240</v>
      </c>
      <c r="BD2608" s="5" t="s">
        <v>240</v>
      </c>
      <c r="BF2608" s="5" t="s">
        <v>301</v>
      </c>
      <c r="BG2608" s="6" t="s">
        <v>299</v>
      </c>
      <c r="BH2608" s="5" t="s">
        <v>302</v>
      </c>
      <c r="BI2608" s="5" t="s">
        <v>303</v>
      </c>
      <c r="BJ2608" s="5" t="s">
        <v>240</v>
      </c>
      <c r="BK2608" s="8">
        <f>0</f>
        <v>0</v>
      </c>
      <c r="BL2608" s="7">
        <f>0</f>
        <v>0</v>
      </c>
      <c r="BM2608" s="5" t="s">
        <v>258</v>
      </c>
      <c r="BN2608" s="5" t="s">
        <v>259</v>
      </c>
      <c r="CB2608" s="5" t="s">
        <v>240</v>
      </c>
      <c r="CC2608" s="5" t="s">
        <v>240</v>
      </c>
      <c r="CG2608" s="5" t="s">
        <v>304</v>
      </c>
      <c r="CH2608" s="5" t="s">
        <v>305</v>
      </c>
      <c r="CI2608" s="5" t="s">
        <v>240</v>
      </c>
      <c r="CL2608" s="6" t="s">
        <v>261</v>
      </c>
      <c r="CM2608" s="5" t="s">
        <v>240</v>
      </c>
      <c r="CN2608" s="5" t="s">
        <v>263</v>
      </c>
      <c r="CO2608" s="5" t="s">
        <v>240</v>
      </c>
      <c r="CP2608" s="5" t="s">
        <v>240</v>
      </c>
      <c r="CQ2608" s="5">
        <v>0</v>
      </c>
      <c r="CR2608" s="5" t="s">
        <v>306</v>
      </c>
      <c r="CS2608" s="5" t="s">
        <v>307</v>
      </c>
      <c r="CT2608" s="5" t="s">
        <v>307</v>
      </c>
      <c r="CU2608" s="5" t="s">
        <v>260</v>
      </c>
      <c r="CX2608" s="7">
        <f>1</f>
        <v>1</v>
      </c>
      <c r="CY2608" s="7">
        <f>0</f>
        <v>0</v>
      </c>
      <c r="DA2608" s="7">
        <f>0</f>
        <v>0</v>
      </c>
      <c r="DC2608" s="5" t="s">
        <v>309</v>
      </c>
      <c r="DD2608" s="5" t="s">
        <v>240</v>
      </c>
      <c r="DF2608" s="5" t="s">
        <v>309</v>
      </c>
      <c r="DG2608" s="7">
        <f>4512</f>
        <v>4512</v>
      </c>
      <c r="DI2608" s="5" t="s">
        <v>240</v>
      </c>
      <c r="DJ2608" s="5" t="s">
        <v>240</v>
      </c>
      <c r="DK2608" s="5" t="s">
        <v>240</v>
      </c>
      <c r="DL2608" s="5" t="s">
        <v>240</v>
      </c>
      <c r="DP2608" s="5" t="s">
        <v>240</v>
      </c>
      <c r="DQ2608" s="5" t="s">
        <v>240</v>
      </c>
      <c r="DR2608" s="5" t="s">
        <v>240</v>
      </c>
      <c r="DS2608" s="5" t="s">
        <v>240</v>
      </c>
      <c r="DV2608" s="5" t="s">
        <v>310</v>
      </c>
      <c r="DW2608" s="5" t="s">
        <v>3269</v>
      </c>
      <c r="HO2608" s="5" t="s">
        <v>312</v>
      </c>
    </row>
    <row r="2609" spans="1:223" x14ac:dyDescent="0.4">
      <c r="A2609" s="5">
        <v>4313</v>
      </c>
      <c r="B2609" s="5">
        <v>1</v>
      </c>
      <c r="C2609" s="5">
        <v>1</v>
      </c>
      <c r="D2609" s="5" t="s">
        <v>810</v>
      </c>
      <c r="E2609" s="5" t="s">
        <v>245</v>
      </c>
      <c r="F2609" s="5" t="s">
        <v>254</v>
      </c>
      <c r="G2609" s="5" t="s">
        <v>240</v>
      </c>
      <c r="H2609" s="6" t="s">
        <v>3327</v>
      </c>
      <c r="I2609" s="5" t="s">
        <v>809</v>
      </c>
      <c r="J2609" s="8">
        <f>103</f>
        <v>103</v>
      </c>
      <c r="K2609" s="5" t="s">
        <v>308</v>
      </c>
      <c r="L2609" s="7">
        <f>1</f>
        <v>1</v>
      </c>
      <c r="M2609" s="7">
        <f>1</f>
        <v>1</v>
      </c>
      <c r="N2609" s="5" t="s">
        <v>242</v>
      </c>
      <c r="O2609" s="5">
        <v>1</v>
      </c>
      <c r="P2609" s="5" t="s">
        <v>294</v>
      </c>
      <c r="Q2609" s="5" t="s">
        <v>266</v>
      </c>
      <c r="R2609" s="5" t="s">
        <v>240</v>
      </c>
      <c r="S2609" s="5" t="s">
        <v>240</v>
      </c>
      <c r="T2609" s="5" t="s">
        <v>296</v>
      </c>
      <c r="U2609" s="5" t="s">
        <v>244</v>
      </c>
      <c r="V2609" s="5" t="s">
        <v>240</v>
      </c>
      <c r="Y2609" s="5" t="s">
        <v>240</v>
      </c>
      <c r="Z2609" s="6" t="s">
        <v>298</v>
      </c>
      <c r="AB2609" s="6" t="s">
        <v>240</v>
      </c>
      <c r="AE2609" s="6" t="s">
        <v>299</v>
      </c>
      <c r="AF2609" s="5" t="s">
        <v>248</v>
      </c>
      <c r="AG2609" s="5" t="s">
        <v>249</v>
      </c>
      <c r="AW2609" s="5" t="s">
        <v>251</v>
      </c>
      <c r="AX2609" s="5" t="s">
        <v>240</v>
      </c>
      <c r="AY2609" s="5" t="s">
        <v>253</v>
      </c>
      <c r="AZ2609" s="5" t="s">
        <v>240</v>
      </c>
      <c r="BA2609" s="5" t="s">
        <v>255</v>
      </c>
      <c r="BB2609" s="5" t="s">
        <v>240</v>
      </c>
      <c r="BD2609" s="5" t="s">
        <v>240</v>
      </c>
      <c r="BF2609" s="5" t="s">
        <v>301</v>
      </c>
      <c r="BG2609" s="6" t="s">
        <v>299</v>
      </c>
      <c r="BH2609" s="5" t="s">
        <v>302</v>
      </c>
      <c r="BI2609" s="5" t="s">
        <v>303</v>
      </c>
      <c r="BJ2609" s="5" t="s">
        <v>240</v>
      </c>
      <c r="BK2609" s="8">
        <f>0</f>
        <v>0</v>
      </c>
      <c r="BL2609" s="7">
        <f>0</f>
        <v>0</v>
      </c>
      <c r="BM2609" s="5" t="s">
        <v>258</v>
      </c>
      <c r="BN2609" s="5" t="s">
        <v>259</v>
      </c>
      <c r="CB2609" s="5" t="s">
        <v>240</v>
      </c>
      <c r="CC2609" s="5" t="s">
        <v>240</v>
      </c>
      <c r="CG2609" s="5" t="s">
        <v>304</v>
      </c>
      <c r="CH2609" s="5" t="s">
        <v>305</v>
      </c>
      <c r="CI2609" s="5" t="s">
        <v>240</v>
      </c>
      <c r="CL2609" s="6" t="s">
        <v>261</v>
      </c>
      <c r="CM2609" s="5" t="s">
        <v>240</v>
      </c>
      <c r="CN2609" s="5" t="s">
        <v>263</v>
      </c>
      <c r="CO2609" s="5" t="s">
        <v>240</v>
      </c>
      <c r="CP2609" s="5" t="s">
        <v>240</v>
      </c>
      <c r="CQ2609" s="5">
        <v>0</v>
      </c>
      <c r="CR2609" s="5" t="s">
        <v>306</v>
      </c>
      <c r="CS2609" s="5" t="s">
        <v>307</v>
      </c>
      <c r="CT2609" s="5" t="s">
        <v>307</v>
      </c>
      <c r="CU2609" s="5" t="s">
        <v>260</v>
      </c>
      <c r="CX2609" s="7">
        <f>1</f>
        <v>1</v>
      </c>
      <c r="CY2609" s="7">
        <f>0</f>
        <v>0</v>
      </c>
      <c r="DA2609" s="7">
        <f>0</f>
        <v>0</v>
      </c>
      <c r="DC2609" s="5" t="s">
        <v>309</v>
      </c>
      <c r="DD2609" s="5" t="s">
        <v>240</v>
      </c>
      <c r="DF2609" s="5" t="s">
        <v>309</v>
      </c>
      <c r="DG2609" s="7">
        <f>1953</f>
        <v>1953</v>
      </c>
      <c r="DI2609" s="5" t="s">
        <v>240</v>
      </c>
      <c r="DJ2609" s="5" t="s">
        <v>240</v>
      </c>
      <c r="DK2609" s="5" t="s">
        <v>240</v>
      </c>
      <c r="DL2609" s="5" t="s">
        <v>240</v>
      </c>
      <c r="DP2609" s="5" t="s">
        <v>240</v>
      </c>
      <c r="DQ2609" s="5" t="s">
        <v>240</v>
      </c>
      <c r="DR2609" s="5" t="s">
        <v>240</v>
      </c>
      <c r="DS2609" s="5" t="s">
        <v>240</v>
      </c>
      <c r="DV2609" s="5" t="s">
        <v>310</v>
      </c>
      <c r="DW2609" s="5" t="s">
        <v>3271</v>
      </c>
      <c r="HO2609" s="5" t="s">
        <v>312</v>
      </c>
    </row>
    <row r="2610" spans="1:223" x14ac:dyDescent="0.4">
      <c r="A2610" s="5">
        <v>4314</v>
      </c>
      <c r="B2610" s="5">
        <v>1</v>
      </c>
      <c r="C2610" s="5">
        <v>1</v>
      </c>
      <c r="D2610" s="5" t="s">
        <v>810</v>
      </c>
      <c r="E2610" s="5" t="s">
        <v>245</v>
      </c>
      <c r="F2610" s="5" t="s">
        <v>254</v>
      </c>
      <c r="G2610" s="5" t="s">
        <v>240</v>
      </c>
      <c r="H2610" s="6" t="s">
        <v>3325</v>
      </c>
      <c r="I2610" s="5" t="s">
        <v>809</v>
      </c>
      <c r="J2610" s="8">
        <f>905</f>
        <v>905</v>
      </c>
      <c r="K2610" s="5" t="s">
        <v>308</v>
      </c>
      <c r="L2610" s="7">
        <f>1</f>
        <v>1</v>
      </c>
      <c r="M2610" s="7">
        <f>1</f>
        <v>1</v>
      </c>
      <c r="N2610" s="5" t="s">
        <v>242</v>
      </c>
      <c r="O2610" s="5">
        <v>1</v>
      </c>
      <c r="P2610" s="5" t="s">
        <v>294</v>
      </c>
      <c r="Q2610" s="5" t="s">
        <v>266</v>
      </c>
      <c r="R2610" s="5" t="s">
        <v>240</v>
      </c>
      <c r="S2610" s="5" t="s">
        <v>240</v>
      </c>
      <c r="T2610" s="5" t="s">
        <v>296</v>
      </c>
      <c r="U2610" s="5" t="s">
        <v>244</v>
      </c>
      <c r="V2610" s="5" t="s">
        <v>240</v>
      </c>
      <c r="Y2610" s="5" t="s">
        <v>240</v>
      </c>
      <c r="Z2610" s="6" t="s">
        <v>298</v>
      </c>
      <c r="AB2610" s="6" t="s">
        <v>240</v>
      </c>
      <c r="AE2610" s="6" t="s">
        <v>299</v>
      </c>
      <c r="AF2610" s="5" t="s">
        <v>248</v>
      </c>
      <c r="AG2610" s="5" t="s">
        <v>249</v>
      </c>
      <c r="AW2610" s="5" t="s">
        <v>251</v>
      </c>
      <c r="AX2610" s="5" t="s">
        <v>240</v>
      </c>
      <c r="AY2610" s="5" t="s">
        <v>253</v>
      </c>
      <c r="AZ2610" s="5" t="s">
        <v>240</v>
      </c>
      <c r="BA2610" s="5" t="s">
        <v>255</v>
      </c>
      <c r="BB2610" s="5" t="s">
        <v>240</v>
      </c>
      <c r="BD2610" s="5" t="s">
        <v>240</v>
      </c>
      <c r="BF2610" s="5" t="s">
        <v>301</v>
      </c>
      <c r="BG2610" s="6" t="s">
        <v>299</v>
      </c>
      <c r="BH2610" s="5" t="s">
        <v>302</v>
      </c>
      <c r="BI2610" s="5" t="s">
        <v>303</v>
      </c>
      <c r="BJ2610" s="5" t="s">
        <v>240</v>
      </c>
      <c r="BK2610" s="8">
        <f>0</f>
        <v>0</v>
      </c>
      <c r="BL2610" s="7">
        <f>0</f>
        <v>0</v>
      </c>
      <c r="BM2610" s="5" t="s">
        <v>258</v>
      </c>
      <c r="BN2610" s="5" t="s">
        <v>259</v>
      </c>
      <c r="CB2610" s="5" t="s">
        <v>240</v>
      </c>
      <c r="CC2610" s="5" t="s">
        <v>240</v>
      </c>
      <c r="CG2610" s="5" t="s">
        <v>304</v>
      </c>
      <c r="CH2610" s="5" t="s">
        <v>305</v>
      </c>
      <c r="CI2610" s="5" t="s">
        <v>240</v>
      </c>
      <c r="CL2610" s="6" t="s">
        <v>261</v>
      </c>
      <c r="CM2610" s="5" t="s">
        <v>240</v>
      </c>
      <c r="CN2610" s="5" t="s">
        <v>263</v>
      </c>
      <c r="CO2610" s="5" t="s">
        <v>240</v>
      </c>
      <c r="CP2610" s="5" t="s">
        <v>240</v>
      </c>
      <c r="CQ2610" s="5">
        <v>0</v>
      </c>
      <c r="CR2610" s="5" t="s">
        <v>306</v>
      </c>
      <c r="CS2610" s="5" t="s">
        <v>307</v>
      </c>
      <c r="CT2610" s="5" t="s">
        <v>307</v>
      </c>
      <c r="CU2610" s="5" t="s">
        <v>260</v>
      </c>
      <c r="CX2610" s="7">
        <f>1</f>
        <v>1</v>
      </c>
      <c r="CY2610" s="7">
        <f>0</f>
        <v>0</v>
      </c>
      <c r="DA2610" s="7">
        <f>0</f>
        <v>0</v>
      </c>
      <c r="DC2610" s="5" t="s">
        <v>309</v>
      </c>
      <c r="DD2610" s="5" t="s">
        <v>240</v>
      </c>
      <c r="DF2610" s="5" t="s">
        <v>309</v>
      </c>
      <c r="DG2610" s="7">
        <f>1005</f>
        <v>1005</v>
      </c>
      <c r="DI2610" s="5" t="s">
        <v>240</v>
      </c>
      <c r="DJ2610" s="5" t="s">
        <v>240</v>
      </c>
      <c r="DK2610" s="5" t="s">
        <v>240</v>
      </c>
      <c r="DL2610" s="5" t="s">
        <v>240</v>
      </c>
      <c r="DP2610" s="5" t="s">
        <v>240</v>
      </c>
      <c r="DQ2610" s="5" t="s">
        <v>240</v>
      </c>
      <c r="DR2610" s="5" t="s">
        <v>240</v>
      </c>
      <c r="DS2610" s="5" t="s">
        <v>240</v>
      </c>
      <c r="DV2610" s="5" t="s">
        <v>310</v>
      </c>
      <c r="DW2610" s="5" t="s">
        <v>4730</v>
      </c>
      <c r="HO2610" s="5" t="s">
        <v>312</v>
      </c>
    </row>
    <row r="2611" spans="1:223" x14ac:dyDescent="0.4">
      <c r="A2611" s="5">
        <v>4315</v>
      </c>
      <c r="B2611" s="5">
        <v>1</v>
      </c>
      <c r="C2611" s="5">
        <v>1</v>
      </c>
      <c r="D2611" s="5" t="s">
        <v>810</v>
      </c>
      <c r="E2611" s="5" t="s">
        <v>245</v>
      </c>
      <c r="F2611" s="5" t="s">
        <v>254</v>
      </c>
      <c r="G2611" s="5" t="s">
        <v>240</v>
      </c>
      <c r="H2611" s="6" t="s">
        <v>3323</v>
      </c>
      <c r="I2611" s="5" t="s">
        <v>809</v>
      </c>
      <c r="J2611" s="8">
        <f>1965</f>
        <v>1965</v>
      </c>
      <c r="K2611" s="5" t="s">
        <v>308</v>
      </c>
      <c r="L2611" s="7">
        <f>1</f>
        <v>1</v>
      </c>
      <c r="M2611" s="7">
        <f>1</f>
        <v>1</v>
      </c>
      <c r="N2611" s="5" t="s">
        <v>242</v>
      </c>
      <c r="O2611" s="5">
        <v>1</v>
      </c>
      <c r="P2611" s="5" t="s">
        <v>294</v>
      </c>
      <c r="Q2611" s="5" t="s">
        <v>266</v>
      </c>
      <c r="R2611" s="5" t="s">
        <v>240</v>
      </c>
      <c r="S2611" s="5" t="s">
        <v>240</v>
      </c>
      <c r="T2611" s="5" t="s">
        <v>296</v>
      </c>
      <c r="U2611" s="5" t="s">
        <v>244</v>
      </c>
      <c r="V2611" s="5" t="s">
        <v>240</v>
      </c>
      <c r="Y2611" s="5" t="s">
        <v>240</v>
      </c>
      <c r="Z2611" s="6" t="s">
        <v>298</v>
      </c>
      <c r="AB2611" s="6" t="s">
        <v>240</v>
      </c>
      <c r="AE2611" s="6" t="s">
        <v>299</v>
      </c>
      <c r="AF2611" s="5" t="s">
        <v>248</v>
      </c>
      <c r="AG2611" s="5" t="s">
        <v>249</v>
      </c>
      <c r="AW2611" s="5" t="s">
        <v>251</v>
      </c>
      <c r="AX2611" s="5" t="s">
        <v>240</v>
      </c>
      <c r="AY2611" s="5" t="s">
        <v>253</v>
      </c>
      <c r="AZ2611" s="5" t="s">
        <v>240</v>
      </c>
      <c r="BA2611" s="5" t="s">
        <v>255</v>
      </c>
      <c r="BB2611" s="5" t="s">
        <v>240</v>
      </c>
      <c r="BD2611" s="5" t="s">
        <v>240</v>
      </c>
      <c r="BF2611" s="5" t="s">
        <v>301</v>
      </c>
      <c r="BG2611" s="6" t="s">
        <v>299</v>
      </c>
      <c r="BH2611" s="5" t="s">
        <v>302</v>
      </c>
      <c r="BI2611" s="5" t="s">
        <v>303</v>
      </c>
      <c r="BJ2611" s="5" t="s">
        <v>240</v>
      </c>
      <c r="BK2611" s="8">
        <f>0</f>
        <v>0</v>
      </c>
      <c r="BL2611" s="7">
        <f>0</f>
        <v>0</v>
      </c>
      <c r="BM2611" s="5" t="s">
        <v>258</v>
      </c>
      <c r="BN2611" s="5" t="s">
        <v>259</v>
      </c>
      <c r="CB2611" s="5" t="s">
        <v>240</v>
      </c>
      <c r="CC2611" s="5" t="s">
        <v>240</v>
      </c>
      <c r="CG2611" s="5" t="s">
        <v>304</v>
      </c>
      <c r="CH2611" s="5" t="s">
        <v>305</v>
      </c>
      <c r="CI2611" s="5" t="s">
        <v>240</v>
      </c>
      <c r="CL2611" s="6" t="s">
        <v>261</v>
      </c>
      <c r="CM2611" s="5" t="s">
        <v>240</v>
      </c>
      <c r="CN2611" s="5" t="s">
        <v>263</v>
      </c>
      <c r="CO2611" s="5" t="s">
        <v>240</v>
      </c>
      <c r="CP2611" s="5" t="s">
        <v>240</v>
      </c>
      <c r="CQ2611" s="5">
        <v>0</v>
      </c>
      <c r="CR2611" s="5" t="s">
        <v>306</v>
      </c>
      <c r="CS2611" s="5" t="s">
        <v>307</v>
      </c>
      <c r="CT2611" s="5" t="s">
        <v>307</v>
      </c>
      <c r="CU2611" s="5" t="s">
        <v>260</v>
      </c>
      <c r="CX2611" s="7">
        <f>1</f>
        <v>1</v>
      </c>
      <c r="CY2611" s="7">
        <f>0</f>
        <v>0</v>
      </c>
      <c r="DA2611" s="7">
        <f>0</f>
        <v>0</v>
      </c>
      <c r="DC2611" s="5" t="s">
        <v>309</v>
      </c>
      <c r="DD2611" s="5" t="s">
        <v>240</v>
      </c>
      <c r="DF2611" s="5" t="s">
        <v>309</v>
      </c>
      <c r="DG2611" s="7">
        <f>2172</f>
        <v>2172</v>
      </c>
      <c r="DI2611" s="5" t="s">
        <v>240</v>
      </c>
      <c r="DJ2611" s="5" t="s">
        <v>240</v>
      </c>
      <c r="DK2611" s="5" t="s">
        <v>240</v>
      </c>
      <c r="DL2611" s="5" t="s">
        <v>240</v>
      </c>
      <c r="DP2611" s="5" t="s">
        <v>240</v>
      </c>
      <c r="DQ2611" s="5" t="s">
        <v>240</v>
      </c>
      <c r="DR2611" s="5" t="s">
        <v>240</v>
      </c>
      <c r="DS2611" s="5" t="s">
        <v>240</v>
      </c>
      <c r="DV2611" s="5" t="s">
        <v>310</v>
      </c>
      <c r="DW2611" s="5" t="s">
        <v>3274</v>
      </c>
      <c r="HO2611" s="5" t="s">
        <v>312</v>
      </c>
    </row>
    <row r="2612" spans="1:223" x14ac:dyDescent="0.4">
      <c r="A2612" s="5">
        <v>4316</v>
      </c>
      <c r="B2612" s="5">
        <v>1</v>
      </c>
      <c r="C2612" s="5">
        <v>1</v>
      </c>
      <c r="D2612" s="5" t="s">
        <v>810</v>
      </c>
      <c r="E2612" s="5" t="s">
        <v>245</v>
      </c>
      <c r="F2612" s="5" t="s">
        <v>254</v>
      </c>
      <c r="G2612" s="5" t="s">
        <v>240</v>
      </c>
      <c r="H2612" s="6" t="s">
        <v>3321</v>
      </c>
      <c r="I2612" s="5" t="s">
        <v>809</v>
      </c>
      <c r="J2612" s="8">
        <f>322</f>
        <v>322</v>
      </c>
      <c r="K2612" s="5" t="s">
        <v>308</v>
      </c>
      <c r="L2612" s="7">
        <f>1</f>
        <v>1</v>
      </c>
      <c r="M2612" s="7">
        <f>1</f>
        <v>1</v>
      </c>
      <c r="N2612" s="5" t="s">
        <v>242</v>
      </c>
      <c r="O2612" s="5">
        <v>1</v>
      </c>
      <c r="P2612" s="5" t="s">
        <v>294</v>
      </c>
      <c r="Q2612" s="5" t="s">
        <v>266</v>
      </c>
      <c r="R2612" s="5" t="s">
        <v>240</v>
      </c>
      <c r="S2612" s="5" t="s">
        <v>240</v>
      </c>
      <c r="T2612" s="5" t="s">
        <v>296</v>
      </c>
      <c r="U2612" s="5" t="s">
        <v>244</v>
      </c>
      <c r="V2612" s="5" t="s">
        <v>240</v>
      </c>
      <c r="Y2612" s="5" t="s">
        <v>240</v>
      </c>
      <c r="Z2612" s="6" t="s">
        <v>298</v>
      </c>
      <c r="AB2612" s="6" t="s">
        <v>240</v>
      </c>
      <c r="AE2612" s="6" t="s">
        <v>299</v>
      </c>
      <c r="AF2612" s="5" t="s">
        <v>248</v>
      </c>
      <c r="AG2612" s="5" t="s">
        <v>249</v>
      </c>
      <c r="AW2612" s="5" t="s">
        <v>251</v>
      </c>
      <c r="AX2612" s="5" t="s">
        <v>240</v>
      </c>
      <c r="AY2612" s="5" t="s">
        <v>253</v>
      </c>
      <c r="AZ2612" s="5" t="s">
        <v>240</v>
      </c>
      <c r="BA2612" s="5" t="s">
        <v>255</v>
      </c>
      <c r="BB2612" s="5" t="s">
        <v>240</v>
      </c>
      <c r="BD2612" s="5" t="s">
        <v>240</v>
      </c>
      <c r="BF2612" s="5" t="s">
        <v>301</v>
      </c>
      <c r="BG2612" s="6" t="s">
        <v>299</v>
      </c>
      <c r="BH2612" s="5" t="s">
        <v>302</v>
      </c>
      <c r="BI2612" s="5" t="s">
        <v>303</v>
      </c>
      <c r="BJ2612" s="5" t="s">
        <v>240</v>
      </c>
      <c r="BK2612" s="8">
        <f>0</f>
        <v>0</v>
      </c>
      <c r="BL2612" s="7">
        <f>0</f>
        <v>0</v>
      </c>
      <c r="BM2612" s="5" t="s">
        <v>258</v>
      </c>
      <c r="BN2612" s="5" t="s">
        <v>259</v>
      </c>
      <c r="CB2612" s="5" t="s">
        <v>240</v>
      </c>
      <c r="CC2612" s="5" t="s">
        <v>240</v>
      </c>
      <c r="CG2612" s="5" t="s">
        <v>304</v>
      </c>
      <c r="CH2612" s="5" t="s">
        <v>305</v>
      </c>
      <c r="CI2612" s="5" t="s">
        <v>240</v>
      </c>
      <c r="CL2612" s="6" t="s">
        <v>261</v>
      </c>
      <c r="CM2612" s="5" t="s">
        <v>240</v>
      </c>
      <c r="CN2612" s="5" t="s">
        <v>263</v>
      </c>
      <c r="CO2612" s="5" t="s">
        <v>240</v>
      </c>
      <c r="CP2612" s="5" t="s">
        <v>240</v>
      </c>
      <c r="CQ2612" s="5">
        <v>0</v>
      </c>
      <c r="CR2612" s="5" t="s">
        <v>306</v>
      </c>
      <c r="CS2612" s="5" t="s">
        <v>307</v>
      </c>
      <c r="CT2612" s="5" t="s">
        <v>307</v>
      </c>
      <c r="CU2612" s="5" t="s">
        <v>260</v>
      </c>
      <c r="CX2612" s="7">
        <f>1</f>
        <v>1</v>
      </c>
      <c r="CY2612" s="7">
        <f>0</f>
        <v>0</v>
      </c>
      <c r="DA2612" s="7">
        <f>0</f>
        <v>0</v>
      </c>
      <c r="DC2612" s="5" t="s">
        <v>309</v>
      </c>
      <c r="DD2612" s="5" t="s">
        <v>240</v>
      </c>
      <c r="DF2612" s="5" t="s">
        <v>309</v>
      </c>
      <c r="DG2612" s="7">
        <f>4279</f>
        <v>4279</v>
      </c>
      <c r="DI2612" s="5" t="s">
        <v>240</v>
      </c>
      <c r="DJ2612" s="5" t="s">
        <v>240</v>
      </c>
      <c r="DK2612" s="5" t="s">
        <v>240</v>
      </c>
      <c r="DL2612" s="5" t="s">
        <v>240</v>
      </c>
      <c r="DP2612" s="5" t="s">
        <v>240</v>
      </c>
      <c r="DQ2612" s="5" t="s">
        <v>240</v>
      </c>
      <c r="DR2612" s="5" t="s">
        <v>240</v>
      </c>
      <c r="DS2612" s="5" t="s">
        <v>240</v>
      </c>
      <c r="DV2612" s="5" t="s">
        <v>310</v>
      </c>
      <c r="DW2612" s="5" t="s">
        <v>3276</v>
      </c>
      <c r="HO2612" s="5" t="s">
        <v>312</v>
      </c>
    </row>
    <row r="2613" spans="1:223" x14ac:dyDescent="0.4">
      <c r="A2613" s="5">
        <v>4317</v>
      </c>
      <c r="B2613" s="5">
        <v>1</v>
      </c>
      <c r="C2613" s="5">
        <v>1</v>
      </c>
      <c r="D2613" s="5" t="s">
        <v>810</v>
      </c>
      <c r="E2613" s="5" t="s">
        <v>245</v>
      </c>
      <c r="F2613" s="5" t="s">
        <v>254</v>
      </c>
      <c r="G2613" s="5" t="s">
        <v>240</v>
      </c>
      <c r="H2613" s="6" t="s">
        <v>3319</v>
      </c>
      <c r="I2613" s="5" t="s">
        <v>809</v>
      </c>
      <c r="J2613" s="8">
        <f>1305</f>
        <v>1305</v>
      </c>
      <c r="K2613" s="5" t="s">
        <v>308</v>
      </c>
      <c r="L2613" s="7">
        <f>1</f>
        <v>1</v>
      </c>
      <c r="M2613" s="7">
        <f>1</f>
        <v>1</v>
      </c>
      <c r="N2613" s="5" t="s">
        <v>242</v>
      </c>
      <c r="O2613" s="5">
        <v>1</v>
      </c>
      <c r="P2613" s="5" t="s">
        <v>294</v>
      </c>
      <c r="Q2613" s="5" t="s">
        <v>266</v>
      </c>
      <c r="R2613" s="5" t="s">
        <v>240</v>
      </c>
      <c r="S2613" s="5" t="s">
        <v>240</v>
      </c>
      <c r="T2613" s="5" t="s">
        <v>296</v>
      </c>
      <c r="U2613" s="5" t="s">
        <v>244</v>
      </c>
      <c r="V2613" s="5" t="s">
        <v>240</v>
      </c>
      <c r="Y2613" s="5" t="s">
        <v>240</v>
      </c>
      <c r="Z2613" s="6" t="s">
        <v>298</v>
      </c>
      <c r="AB2613" s="6" t="s">
        <v>240</v>
      </c>
      <c r="AE2613" s="6" t="s">
        <v>299</v>
      </c>
      <c r="AF2613" s="5" t="s">
        <v>248</v>
      </c>
      <c r="AG2613" s="5" t="s">
        <v>249</v>
      </c>
      <c r="AW2613" s="5" t="s">
        <v>251</v>
      </c>
      <c r="AX2613" s="5" t="s">
        <v>240</v>
      </c>
      <c r="AY2613" s="5" t="s">
        <v>253</v>
      </c>
      <c r="AZ2613" s="5" t="s">
        <v>240</v>
      </c>
      <c r="BA2613" s="5" t="s">
        <v>255</v>
      </c>
      <c r="BB2613" s="5" t="s">
        <v>240</v>
      </c>
      <c r="BD2613" s="5" t="s">
        <v>240</v>
      </c>
      <c r="BF2613" s="5" t="s">
        <v>301</v>
      </c>
      <c r="BG2613" s="6" t="s">
        <v>299</v>
      </c>
      <c r="BH2613" s="5" t="s">
        <v>302</v>
      </c>
      <c r="BI2613" s="5" t="s">
        <v>303</v>
      </c>
      <c r="BJ2613" s="5" t="s">
        <v>240</v>
      </c>
      <c r="BK2613" s="8">
        <f>0</f>
        <v>0</v>
      </c>
      <c r="BL2613" s="7">
        <f>0</f>
        <v>0</v>
      </c>
      <c r="BM2613" s="5" t="s">
        <v>258</v>
      </c>
      <c r="BN2613" s="5" t="s">
        <v>259</v>
      </c>
      <c r="CB2613" s="5" t="s">
        <v>240</v>
      </c>
      <c r="CC2613" s="5" t="s">
        <v>240</v>
      </c>
      <c r="CG2613" s="5" t="s">
        <v>304</v>
      </c>
      <c r="CH2613" s="5" t="s">
        <v>305</v>
      </c>
      <c r="CI2613" s="5" t="s">
        <v>240</v>
      </c>
      <c r="CL2613" s="6" t="s">
        <v>261</v>
      </c>
      <c r="CM2613" s="5" t="s">
        <v>240</v>
      </c>
      <c r="CN2613" s="5" t="s">
        <v>263</v>
      </c>
      <c r="CO2613" s="5" t="s">
        <v>240</v>
      </c>
      <c r="CP2613" s="5" t="s">
        <v>240</v>
      </c>
      <c r="CQ2613" s="5">
        <v>0</v>
      </c>
      <c r="CR2613" s="5" t="s">
        <v>306</v>
      </c>
      <c r="CS2613" s="5" t="s">
        <v>307</v>
      </c>
      <c r="CT2613" s="5" t="s">
        <v>307</v>
      </c>
      <c r="CU2613" s="5" t="s">
        <v>260</v>
      </c>
      <c r="CX2613" s="7">
        <f>1</f>
        <v>1</v>
      </c>
      <c r="CY2613" s="7">
        <f>0</f>
        <v>0</v>
      </c>
      <c r="DA2613" s="7">
        <f>0</f>
        <v>0</v>
      </c>
      <c r="DC2613" s="5" t="s">
        <v>309</v>
      </c>
      <c r="DD2613" s="5" t="s">
        <v>240</v>
      </c>
      <c r="DF2613" s="5" t="s">
        <v>309</v>
      </c>
      <c r="DG2613" s="7">
        <f>7176</f>
        <v>7176</v>
      </c>
      <c r="DI2613" s="5" t="s">
        <v>240</v>
      </c>
      <c r="DJ2613" s="5" t="s">
        <v>240</v>
      </c>
      <c r="DK2613" s="5" t="s">
        <v>240</v>
      </c>
      <c r="DL2613" s="5" t="s">
        <v>240</v>
      </c>
      <c r="DP2613" s="5" t="s">
        <v>240</v>
      </c>
      <c r="DQ2613" s="5" t="s">
        <v>240</v>
      </c>
      <c r="DR2613" s="5" t="s">
        <v>240</v>
      </c>
      <c r="DS2613" s="5" t="s">
        <v>240</v>
      </c>
      <c r="DV2613" s="5" t="s">
        <v>310</v>
      </c>
      <c r="DW2613" s="5" t="s">
        <v>3278</v>
      </c>
      <c r="HO2613" s="5" t="s">
        <v>312</v>
      </c>
    </row>
    <row r="2614" spans="1:223" x14ac:dyDescent="0.4">
      <c r="A2614" s="5">
        <v>4318</v>
      </c>
      <c r="B2614" s="5">
        <v>1</v>
      </c>
      <c r="C2614" s="5">
        <v>1</v>
      </c>
      <c r="D2614" s="5" t="s">
        <v>810</v>
      </c>
      <c r="E2614" s="5" t="s">
        <v>245</v>
      </c>
      <c r="F2614" s="5" t="s">
        <v>254</v>
      </c>
      <c r="G2614" s="5" t="s">
        <v>240</v>
      </c>
      <c r="H2614" s="6" t="s">
        <v>3317</v>
      </c>
      <c r="I2614" s="5" t="s">
        <v>809</v>
      </c>
      <c r="J2614" s="8">
        <f>122</f>
        <v>122</v>
      </c>
      <c r="K2614" s="5" t="s">
        <v>308</v>
      </c>
      <c r="L2614" s="7">
        <f>1</f>
        <v>1</v>
      </c>
      <c r="M2614" s="7">
        <f>1</f>
        <v>1</v>
      </c>
      <c r="N2614" s="5" t="s">
        <v>242</v>
      </c>
      <c r="O2614" s="5">
        <v>1</v>
      </c>
      <c r="P2614" s="5" t="s">
        <v>294</v>
      </c>
      <c r="Q2614" s="5" t="s">
        <v>266</v>
      </c>
      <c r="R2614" s="5" t="s">
        <v>240</v>
      </c>
      <c r="S2614" s="5" t="s">
        <v>240</v>
      </c>
      <c r="T2614" s="5" t="s">
        <v>296</v>
      </c>
      <c r="U2614" s="5" t="s">
        <v>244</v>
      </c>
      <c r="V2614" s="5" t="s">
        <v>240</v>
      </c>
      <c r="Y2614" s="5" t="s">
        <v>240</v>
      </c>
      <c r="Z2614" s="6" t="s">
        <v>298</v>
      </c>
      <c r="AB2614" s="6" t="s">
        <v>240</v>
      </c>
      <c r="AE2614" s="6" t="s">
        <v>299</v>
      </c>
      <c r="AF2614" s="5" t="s">
        <v>248</v>
      </c>
      <c r="AG2614" s="5" t="s">
        <v>249</v>
      </c>
      <c r="AW2614" s="5" t="s">
        <v>251</v>
      </c>
      <c r="AX2614" s="5" t="s">
        <v>240</v>
      </c>
      <c r="AY2614" s="5" t="s">
        <v>253</v>
      </c>
      <c r="AZ2614" s="5" t="s">
        <v>240</v>
      </c>
      <c r="BA2614" s="5" t="s">
        <v>255</v>
      </c>
      <c r="BB2614" s="5" t="s">
        <v>240</v>
      </c>
      <c r="BD2614" s="5" t="s">
        <v>240</v>
      </c>
      <c r="BF2614" s="5" t="s">
        <v>301</v>
      </c>
      <c r="BG2614" s="6" t="s">
        <v>299</v>
      </c>
      <c r="BH2614" s="5" t="s">
        <v>302</v>
      </c>
      <c r="BI2614" s="5" t="s">
        <v>303</v>
      </c>
      <c r="BJ2614" s="5" t="s">
        <v>240</v>
      </c>
      <c r="BK2614" s="8">
        <f>0</f>
        <v>0</v>
      </c>
      <c r="BL2614" s="7">
        <f>0</f>
        <v>0</v>
      </c>
      <c r="BM2614" s="5" t="s">
        <v>258</v>
      </c>
      <c r="BN2614" s="5" t="s">
        <v>259</v>
      </c>
      <c r="CB2614" s="5" t="s">
        <v>240</v>
      </c>
      <c r="CC2614" s="5" t="s">
        <v>240</v>
      </c>
      <c r="CG2614" s="5" t="s">
        <v>304</v>
      </c>
      <c r="CH2614" s="5" t="s">
        <v>305</v>
      </c>
      <c r="CI2614" s="5" t="s">
        <v>240</v>
      </c>
      <c r="CL2614" s="6" t="s">
        <v>261</v>
      </c>
      <c r="CM2614" s="5" t="s">
        <v>240</v>
      </c>
      <c r="CN2614" s="5" t="s">
        <v>263</v>
      </c>
      <c r="CO2614" s="5" t="s">
        <v>240</v>
      </c>
      <c r="CP2614" s="5" t="s">
        <v>240</v>
      </c>
      <c r="CQ2614" s="5">
        <v>0</v>
      </c>
      <c r="CR2614" s="5" t="s">
        <v>306</v>
      </c>
      <c r="CS2614" s="5" t="s">
        <v>307</v>
      </c>
      <c r="CT2614" s="5" t="s">
        <v>307</v>
      </c>
      <c r="CU2614" s="5" t="s">
        <v>260</v>
      </c>
      <c r="CX2614" s="7">
        <f>1</f>
        <v>1</v>
      </c>
      <c r="CY2614" s="7">
        <f>0</f>
        <v>0</v>
      </c>
      <c r="DA2614" s="7">
        <f>0</f>
        <v>0</v>
      </c>
      <c r="DC2614" s="5" t="s">
        <v>812</v>
      </c>
      <c r="DD2614" s="5" t="s">
        <v>240</v>
      </c>
      <c r="DF2614" s="5" t="s">
        <v>812</v>
      </c>
      <c r="DG2614" s="7">
        <f>616</f>
        <v>616</v>
      </c>
      <c r="DI2614" s="5" t="s">
        <v>240</v>
      </c>
      <c r="DJ2614" s="5" t="s">
        <v>240</v>
      </c>
      <c r="DK2614" s="5" t="s">
        <v>240</v>
      </c>
      <c r="DL2614" s="5" t="s">
        <v>240</v>
      </c>
      <c r="DP2614" s="5" t="s">
        <v>240</v>
      </c>
      <c r="DQ2614" s="5" t="s">
        <v>240</v>
      </c>
      <c r="DR2614" s="5" t="s">
        <v>240</v>
      </c>
      <c r="DS2614" s="5" t="s">
        <v>240</v>
      </c>
      <c r="DV2614" s="5" t="s">
        <v>813</v>
      </c>
      <c r="DW2614" s="5" t="s">
        <v>4735</v>
      </c>
      <c r="HO2614" s="5" t="s">
        <v>312</v>
      </c>
    </row>
    <row r="2615" spans="1:223" x14ac:dyDescent="0.4">
      <c r="A2615" s="5">
        <v>4319</v>
      </c>
      <c r="B2615" s="5">
        <v>1</v>
      </c>
      <c r="C2615" s="5">
        <v>1</v>
      </c>
      <c r="D2615" s="5" t="s">
        <v>810</v>
      </c>
      <c r="E2615" s="5" t="s">
        <v>245</v>
      </c>
      <c r="F2615" s="5" t="s">
        <v>254</v>
      </c>
      <c r="G2615" s="5" t="s">
        <v>240</v>
      </c>
      <c r="H2615" s="6" t="s">
        <v>3315</v>
      </c>
      <c r="I2615" s="5" t="s">
        <v>809</v>
      </c>
      <c r="J2615" s="8">
        <f>335</f>
        <v>335</v>
      </c>
      <c r="K2615" s="5" t="s">
        <v>308</v>
      </c>
      <c r="L2615" s="7">
        <f>1</f>
        <v>1</v>
      </c>
      <c r="M2615" s="7">
        <f>1</f>
        <v>1</v>
      </c>
      <c r="N2615" s="5" t="s">
        <v>242</v>
      </c>
      <c r="O2615" s="5">
        <v>1</v>
      </c>
      <c r="P2615" s="5" t="s">
        <v>294</v>
      </c>
      <c r="Q2615" s="5" t="s">
        <v>266</v>
      </c>
      <c r="R2615" s="5" t="s">
        <v>240</v>
      </c>
      <c r="S2615" s="5" t="s">
        <v>240</v>
      </c>
      <c r="T2615" s="5" t="s">
        <v>296</v>
      </c>
      <c r="U2615" s="5" t="s">
        <v>244</v>
      </c>
      <c r="V2615" s="5" t="s">
        <v>240</v>
      </c>
      <c r="Y2615" s="5" t="s">
        <v>240</v>
      </c>
      <c r="Z2615" s="6" t="s">
        <v>298</v>
      </c>
      <c r="AB2615" s="6" t="s">
        <v>240</v>
      </c>
      <c r="AE2615" s="6" t="s">
        <v>299</v>
      </c>
      <c r="AF2615" s="5" t="s">
        <v>248</v>
      </c>
      <c r="AG2615" s="5" t="s">
        <v>249</v>
      </c>
      <c r="AW2615" s="5" t="s">
        <v>251</v>
      </c>
      <c r="AX2615" s="5" t="s">
        <v>240</v>
      </c>
      <c r="AY2615" s="5" t="s">
        <v>253</v>
      </c>
      <c r="AZ2615" s="5" t="s">
        <v>240</v>
      </c>
      <c r="BA2615" s="5" t="s">
        <v>255</v>
      </c>
      <c r="BB2615" s="5" t="s">
        <v>240</v>
      </c>
      <c r="BD2615" s="5" t="s">
        <v>240</v>
      </c>
      <c r="BF2615" s="5" t="s">
        <v>301</v>
      </c>
      <c r="BG2615" s="6" t="s">
        <v>299</v>
      </c>
      <c r="BH2615" s="5" t="s">
        <v>302</v>
      </c>
      <c r="BI2615" s="5" t="s">
        <v>303</v>
      </c>
      <c r="BJ2615" s="5" t="s">
        <v>240</v>
      </c>
      <c r="BK2615" s="8">
        <f>0</f>
        <v>0</v>
      </c>
      <c r="BL2615" s="7">
        <f>0</f>
        <v>0</v>
      </c>
      <c r="BM2615" s="5" t="s">
        <v>258</v>
      </c>
      <c r="BN2615" s="5" t="s">
        <v>259</v>
      </c>
      <c r="CB2615" s="5" t="s">
        <v>240</v>
      </c>
      <c r="CC2615" s="5" t="s">
        <v>240</v>
      </c>
      <c r="CG2615" s="5" t="s">
        <v>304</v>
      </c>
      <c r="CH2615" s="5" t="s">
        <v>305</v>
      </c>
      <c r="CI2615" s="5" t="s">
        <v>240</v>
      </c>
      <c r="CL2615" s="6" t="s">
        <v>261</v>
      </c>
      <c r="CM2615" s="5" t="s">
        <v>240</v>
      </c>
      <c r="CN2615" s="5" t="s">
        <v>263</v>
      </c>
      <c r="CO2615" s="5" t="s">
        <v>240</v>
      </c>
      <c r="CP2615" s="5" t="s">
        <v>240</v>
      </c>
      <c r="CQ2615" s="5">
        <v>0</v>
      </c>
      <c r="CR2615" s="5" t="s">
        <v>306</v>
      </c>
      <c r="CS2615" s="5" t="s">
        <v>307</v>
      </c>
      <c r="CT2615" s="5" t="s">
        <v>307</v>
      </c>
      <c r="CU2615" s="5" t="s">
        <v>260</v>
      </c>
      <c r="CX2615" s="7">
        <f>1</f>
        <v>1</v>
      </c>
      <c r="CY2615" s="7">
        <f>0</f>
        <v>0</v>
      </c>
      <c r="DA2615" s="7">
        <f>0</f>
        <v>0</v>
      </c>
      <c r="DC2615" s="5" t="s">
        <v>309</v>
      </c>
      <c r="DD2615" s="5" t="s">
        <v>240</v>
      </c>
      <c r="DF2615" s="5" t="s">
        <v>309</v>
      </c>
      <c r="DG2615" s="7">
        <f>195</f>
        <v>195</v>
      </c>
      <c r="DI2615" s="5" t="s">
        <v>240</v>
      </c>
      <c r="DJ2615" s="5" t="s">
        <v>240</v>
      </c>
      <c r="DK2615" s="5" t="s">
        <v>240</v>
      </c>
      <c r="DL2615" s="5" t="s">
        <v>240</v>
      </c>
      <c r="DP2615" s="5" t="s">
        <v>240</v>
      </c>
      <c r="DQ2615" s="5" t="s">
        <v>240</v>
      </c>
      <c r="DR2615" s="5" t="s">
        <v>240</v>
      </c>
      <c r="DS2615" s="5" t="s">
        <v>240</v>
      </c>
      <c r="DV2615" s="5" t="s">
        <v>310</v>
      </c>
      <c r="DW2615" s="5" t="s">
        <v>3282</v>
      </c>
      <c r="HO2615" s="5" t="s">
        <v>312</v>
      </c>
    </row>
    <row r="2616" spans="1:223" x14ac:dyDescent="0.4">
      <c r="A2616" s="5">
        <v>4320</v>
      </c>
      <c r="B2616" s="5">
        <v>1</v>
      </c>
      <c r="C2616" s="5">
        <v>1</v>
      </c>
      <c r="D2616" s="5" t="s">
        <v>810</v>
      </c>
      <c r="E2616" s="5" t="s">
        <v>245</v>
      </c>
      <c r="F2616" s="5" t="s">
        <v>254</v>
      </c>
      <c r="G2616" s="5" t="s">
        <v>240</v>
      </c>
      <c r="H2616" s="6" t="s">
        <v>3313</v>
      </c>
      <c r="I2616" s="5" t="s">
        <v>809</v>
      </c>
      <c r="J2616" s="8">
        <f>356</f>
        <v>356</v>
      </c>
      <c r="K2616" s="5" t="s">
        <v>308</v>
      </c>
      <c r="L2616" s="7">
        <f>1</f>
        <v>1</v>
      </c>
      <c r="M2616" s="7">
        <f>1</f>
        <v>1</v>
      </c>
      <c r="N2616" s="5" t="s">
        <v>242</v>
      </c>
      <c r="O2616" s="5">
        <v>1</v>
      </c>
      <c r="P2616" s="5" t="s">
        <v>294</v>
      </c>
      <c r="Q2616" s="5" t="s">
        <v>266</v>
      </c>
      <c r="R2616" s="5" t="s">
        <v>240</v>
      </c>
      <c r="S2616" s="5" t="s">
        <v>240</v>
      </c>
      <c r="T2616" s="5" t="s">
        <v>296</v>
      </c>
      <c r="U2616" s="5" t="s">
        <v>244</v>
      </c>
      <c r="V2616" s="5" t="s">
        <v>240</v>
      </c>
      <c r="Y2616" s="5" t="s">
        <v>240</v>
      </c>
      <c r="Z2616" s="6" t="s">
        <v>298</v>
      </c>
      <c r="AB2616" s="6" t="s">
        <v>240</v>
      </c>
      <c r="AE2616" s="6" t="s">
        <v>299</v>
      </c>
      <c r="AF2616" s="5" t="s">
        <v>248</v>
      </c>
      <c r="AG2616" s="5" t="s">
        <v>249</v>
      </c>
      <c r="AW2616" s="5" t="s">
        <v>251</v>
      </c>
      <c r="AX2616" s="5" t="s">
        <v>240</v>
      </c>
      <c r="AY2616" s="5" t="s">
        <v>253</v>
      </c>
      <c r="AZ2616" s="5" t="s">
        <v>240</v>
      </c>
      <c r="BA2616" s="5" t="s">
        <v>255</v>
      </c>
      <c r="BB2616" s="5" t="s">
        <v>240</v>
      </c>
      <c r="BD2616" s="5" t="s">
        <v>240</v>
      </c>
      <c r="BF2616" s="5" t="s">
        <v>301</v>
      </c>
      <c r="BG2616" s="6" t="s">
        <v>299</v>
      </c>
      <c r="BH2616" s="5" t="s">
        <v>302</v>
      </c>
      <c r="BI2616" s="5" t="s">
        <v>303</v>
      </c>
      <c r="BJ2616" s="5" t="s">
        <v>240</v>
      </c>
      <c r="BK2616" s="8">
        <f>0</f>
        <v>0</v>
      </c>
      <c r="BL2616" s="7">
        <f>0</f>
        <v>0</v>
      </c>
      <c r="BM2616" s="5" t="s">
        <v>258</v>
      </c>
      <c r="BN2616" s="5" t="s">
        <v>259</v>
      </c>
      <c r="CB2616" s="5" t="s">
        <v>240</v>
      </c>
      <c r="CC2616" s="5" t="s">
        <v>240</v>
      </c>
      <c r="CG2616" s="5" t="s">
        <v>304</v>
      </c>
      <c r="CH2616" s="5" t="s">
        <v>305</v>
      </c>
      <c r="CI2616" s="5" t="s">
        <v>240</v>
      </c>
      <c r="CL2616" s="6" t="s">
        <v>261</v>
      </c>
      <c r="CM2616" s="5" t="s">
        <v>240</v>
      </c>
      <c r="CN2616" s="5" t="s">
        <v>263</v>
      </c>
      <c r="CO2616" s="5" t="s">
        <v>240</v>
      </c>
      <c r="CP2616" s="5" t="s">
        <v>240</v>
      </c>
      <c r="CQ2616" s="5">
        <v>0</v>
      </c>
      <c r="CR2616" s="5" t="s">
        <v>306</v>
      </c>
      <c r="CS2616" s="5" t="s">
        <v>307</v>
      </c>
      <c r="CT2616" s="5" t="s">
        <v>307</v>
      </c>
      <c r="CU2616" s="5" t="s">
        <v>260</v>
      </c>
      <c r="CX2616" s="7">
        <f>1</f>
        <v>1</v>
      </c>
      <c r="CY2616" s="7">
        <f>0</f>
        <v>0</v>
      </c>
      <c r="DA2616" s="7">
        <f>0</f>
        <v>0</v>
      </c>
      <c r="DC2616" s="5" t="s">
        <v>309</v>
      </c>
      <c r="DD2616" s="5" t="s">
        <v>240</v>
      </c>
      <c r="DF2616" s="5" t="s">
        <v>309</v>
      </c>
      <c r="DG2616" s="7">
        <f>4257</f>
        <v>4257</v>
      </c>
      <c r="DI2616" s="5" t="s">
        <v>240</v>
      </c>
      <c r="DJ2616" s="5" t="s">
        <v>240</v>
      </c>
      <c r="DK2616" s="5" t="s">
        <v>240</v>
      </c>
      <c r="DL2616" s="5" t="s">
        <v>240</v>
      </c>
      <c r="DP2616" s="5" t="s">
        <v>240</v>
      </c>
      <c r="DQ2616" s="5" t="s">
        <v>240</v>
      </c>
      <c r="DR2616" s="5" t="s">
        <v>240</v>
      </c>
      <c r="DS2616" s="5" t="s">
        <v>240</v>
      </c>
      <c r="DV2616" s="5" t="s">
        <v>310</v>
      </c>
      <c r="DW2616" s="5" t="s">
        <v>3284</v>
      </c>
      <c r="HO2616" s="5" t="s">
        <v>312</v>
      </c>
    </row>
    <row r="2617" spans="1:223" x14ac:dyDescent="0.4">
      <c r="A2617" s="5">
        <v>4321</v>
      </c>
      <c r="B2617" s="5">
        <v>1</v>
      </c>
      <c r="C2617" s="5">
        <v>1</v>
      </c>
      <c r="D2617" s="5" t="s">
        <v>810</v>
      </c>
      <c r="E2617" s="5" t="s">
        <v>245</v>
      </c>
      <c r="F2617" s="5" t="s">
        <v>254</v>
      </c>
      <c r="G2617" s="5" t="s">
        <v>240</v>
      </c>
      <c r="H2617" s="6" t="s">
        <v>4935</v>
      </c>
      <c r="I2617" s="5" t="s">
        <v>809</v>
      </c>
      <c r="J2617" s="8">
        <f>753</f>
        <v>753</v>
      </c>
      <c r="K2617" s="5" t="s">
        <v>308</v>
      </c>
      <c r="L2617" s="7">
        <f>1</f>
        <v>1</v>
      </c>
      <c r="M2617" s="7">
        <f>1</f>
        <v>1</v>
      </c>
      <c r="N2617" s="5" t="s">
        <v>242</v>
      </c>
      <c r="O2617" s="5">
        <v>1</v>
      </c>
      <c r="P2617" s="5" t="s">
        <v>294</v>
      </c>
      <c r="Q2617" s="5" t="s">
        <v>266</v>
      </c>
      <c r="R2617" s="5" t="s">
        <v>240</v>
      </c>
      <c r="S2617" s="5" t="s">
        <v>240</v>
      </c>
      <c r="T2617" s="5" t="s">
        <v>296</v>
      </c>
      <c r="U2617" s="5" t="s">
        <v>244</v>
      </c>
      <c r="V2617" s="5" t="s">
        <v>240</v>
      </c>
      <c r="Y2617" s="5" t="s">
        <v>240</v>
      </c>
      <c r="Z2617" s="6" t="s">
        <v>298</v>
      </c>
      <c r="AB2617" s="6" t="s">
        <v>240</v>
      </c>
      <c r="AE2617" s="6" t="s">
        <v>299</v>
      </c>
      <c r="AF2617" s="5" t="s">
        <v>248</v>
      </c>
      <c r="AG2617" s="5" t="s">
        <v>249</v>
      </c>
      <c r="AW2617" s="5" t="s">
        <v>251</v>
      </c>
      <c r="AX2617" s="5" t="s">
        <v>240</v>
      </c>
      <c r="AY2617" s="5" t="s">
        <v>253</v>
      </c>
      <c r="AZ2617" s="5" t="s">
        <v>240</v>
      </c>
      <c r="BA2617" s="5" t="s">
        <v>255</v>
      </c>
      <c r="BB2617" s="5" t="s">
        <v>240</v>
      </c>
      <c r="BD2617" s="5" t="s">
        <v>240</v>
      </c>
      <c r="BF2617" s="5" t="s">
        <v>301</v>
      </c>
      <c r="BG2617" s="6" t="s">
        <v>299</v>
      </c>
      <c r="BH2617" s="5" t="s">
        <v>302</v>
      </c>
      <c r="BI2617" s="5" t="s">
        <v>303</v>
      </c>
      <c r="BJ2617" s="5" t="s">
        <v>240</v>
      </c>
      <c r="BK2617" s="8">
        <f>0</f>
        <v>0</v>
      </c>
      <c r="BL2617" s="7">
        <f>0</f>
        <v>0</v>
      </c>
      <c r="BM2617" s="5" t="s">
        <v>258</v>
      </c>
      <c r="BN2617" s="5" t="s">
        <v>259</v>
      </c>
      <c r="CB2617" s="5" t="s">
        <v>240</v>
      </c>
      <c r="CC2617" s="5" t="s">
        <v>240</v>
      </c>
      <c r="CG2617" s="5" t="s">
        <v>304</v>
      </c>
      <c r="CH2617" s="5" t="s">
        <v>305</v>
      </c>
      <c r="CI2617" s="5" t="s">
        <v>240</v>
      </c>
      <c r="CL2617" s="6" t="s">
        <v>261</v>
      </c>
      <c r="CM2617" s="5" t="s">
        <v>240</v>
      </c>
      <c r="CN2617" s="5" t="s">
        <v>263</v>
      </c>
      <c r="CO2617" s="5" t="s">
        <v>240</v>
      </c>
      <c r="CP2617" s="5" t="s">
        <v>240</v>
      </c>
      <c r="CQ2617" s="5">
        <v>0</v>
      </c>
      <c r="CR2617" s="5" t="s">
        <v>306</v>
      </c>
      <c r="CS2617" s="5" t="s">
        <v>307</v>
      </c>
      <c r="CT2617" s="5" t="s">
        <v>307</v>
      </c>
      <c r="CU2617" s="5" t="s">
        <v>260</v>
      </c>
      <c r="CX2617" s="7">
        <f>1</f>
        <v>1</v>
      </c>
      <c r="CY2617" s="7">
        <f>0</f>
        <v>0</v>
      </c>
      <c r="DA2617" s="7">
        <f>0</f>
        <v>0</v>
      </c>
      <c r="DC2617" s="5" t="s">
        <v>309</v>
      </c>
      <c r="DD2617" s="5" t="s">
        <v>240</v>
      </c>
      <c r="DF2617" s="5" t="s">
        <v>309</v>
      </c>
      <c r="DG2617" s="7">
        <f>4426</f>
        <v>4426</v>
      </c>
      <c r="DI2617" s="5" t="s">
        <v>240</v>
      </c>
      <c r="DJ2617" s="5" t="s">
        <v>240</v>
      </c>
      <c r="DK2617" s="5" t="s">
        <v>240</v>
      </c>
      <c r="DL2617" s="5" t="s">
        <v>240</v>
      </c>
      <c r="DP2617" s="5" t="s">
        <v>240</v>
      </c>
      <c r="DQ2617" s="5" t="s">
        <v>240</v>
      </c>
      <c r="DR2617" s="5" t="s">
        <v>240</v>
      </c>
      <c r="DS2617" s="5" t="s">
        <v>240</v>
      </c>
      <c r="DV2617" s="5" t="s">
        <v>310</v>
      </c>
      <c r="DW2617" s="5" t="s">
        <v>3286</v>
      </c>
      <c r="HO2617" s="5" t="s">
        <v>312</v>
      </c>
    </row>
    <row r="2618" spans="1:223" x14ac:dyDescent="0.4">
      <c r="A2618" s="5">
        <v>4322</v>
      </c>
      <c r="B2618" s="5">
        <v>1</v>
      </c>
      <c r="C2618" s="5">
        <v>1</v>
      </c>
      <c r="D2618" s="5" t="s">
        <v>810</v>
      </c>
      <c r="E2618" s="5" t="s">
        <v>245</v>
      </c>
      <c r="F2618" s="5" t="s">
        <v>254</v>
      </c>
      <c r="G2618" s="5" t="s">
        <v>240</v>
      </c>
      <c r="H2618" s="6" t="s">
        <v>3309</v>
      </c>
      <c r="I2618" s="5" t="s">
        <v>809</v>
      </c>
      <c r="J2618" s="8">
        <f>100</f>
        <v>100</v>
      </c>
      <c r="K2618" s="5" t="s">
        <v>308</v>
      </c>
      <c r="L2618" s="7">
        <f>1</f>
        <v>1</v>
      </c>
      <c r="M2618" s="7">
        <f>1</f>
        <v>1</v>
      </c>
      <c r="N2618" s="5" t="s">
        <v>242</v>
      </c>
      <c r="O2618" s="5">
        <v>1</v>
      </c>
      <c r="P2618" s="5" t="s">
        <v>294</v>
      </c>
      <c r="Q2618" s="5" t="s">
        <v>266</v>
      </c>
      <c r="R2618" s="5" t="s">
        <v>240</v>
      </c>
      <c r="S2618" s="5" t="s">
        <v>240</v>
      </c>
      <c r="T2618" s="5" t="s">
        <v>296</v>
      </c>
      <c r="U2618" s="5" t="s">
        <v>244</v>
      </c>
      <c r="V2618" s="5" t="s">
        <v>240</v>
      </c>
      <c r="Y2618" s="5" t="s">
        <v>240</v>
      </c>
      <c r="Z2618" s="6" t="s">
        <v>298</v>
      </c>
      <c r="AB2618" s="6" t="s">
        <v>240</v>
      </c>
      <c r="AE2618" s="6" t="s">
        <v>299</v>
      </c>
      <c r="AF2618" s="5" t="s">
        <v>248</v>
      </c>
      <c r="AG2618" s="5" t="s">
        <v>249</v>
      </c>
      <c r="AW2618" s="5" t="s">
        <v>251</v>
      </c>
      <c r="AX2618" s="5" t="s">
        <v>240</v>
      </c>
      <c r="AY2618" s="5" t="s">
        <v>253</v>
      </c>
      <c r="AZ2618" s="5" t="s">
        <v>240</v>
      </c>
      <c r="BA2618" s="5" t="s">
        <v>255</v>
      </c>
      <c r="BB2618" s="5" t="s">
        <v>240</v>
      </c>
      <c r="BD2618" s="5" t="s">
        <v>240</v>
      </c>
      <c r="BF2618" s="5" t="s">
        <v>301</v>
      </c>
      <c r="BG2618" s="6" t="s">
        <v>299</v>
      </c>
      <c r="BH2618" s="5" t="s">
        <v>302</v>
      </c>
      <c r="BI2618" s="5" t="s">
        <v>303</v>
      </c>
      <c r="BJ2618" s="5" t="s">
        <v>240</v>
      </c>
      <c r="BK2618" s="8">
        <f>0</f>
        <v>0</v>
      </c>
      <c r="BL2618" s="7">
        <f>0</f>
        <v>0</v>
      </c>
      <c r="BM2618" s="5" t="s">
        <v>258</v>
      </c>
      <c r="BN2618" s="5" t="s">
        <v>259</v>
      </c>
      <c r="CB2618" s="5" t="s">
        <v>240</v>
      </c>
      <c r="CC2618" s="5" t="s">
        <v>240</v>
      </c>
      <c r="CG2618" s="5" t="s">
        <v>304</v>
      </c>
      <c r="CH2618" s="5" t="s">
        <v>305</v>
      </c>
      <c r="CI2618" s="5" t="s">
        <v>240</v>
      </c>
      <c r="CL2618" s="6" t="s">
        <v>261</v>
      </c>
      <c r="CM2618" s="5" t="s">
        <v>240</v>
      </c>
      <c r="CN2618" s="5" t="s">
        <v>263</v>
      </c>
      <c r="CO2618" s="5" t="s">
        <v>240</v>
      </c>
      <c r="CP2618" s="5" t="s">
        <v>240</v>
      </c>
      <c r="CQ2618" s="5">
        <v>0</v>
      </c>
      <c r="CR2618" s="5" t="s">
        <v>306</v>
      </c>
      <c r="CS2618" s="5" t="s">
        <v>307</v>
      </c>
      <c r="CT2618" s="5" t="s">
        <v>307</v>
      </c>
      <c r="CU2618" s="5" t="s">
        <v>260</v>
      </c>
      <c r="CX2618" s="7">
        <f>1</f>
        <v>1</v>
      </c>
      <c r="CY2618" s="7">
        <f>0</f>
        <v>0</v>
      </c>
      <c r="DA2618" s="7">
        <f>0</f>
        <v>0</v>
      </c>
      <c r="DC2618" s="5" t="s">
        <v>309</v>
      </c>
      <c r="DD2618" s="5" t="s">
        <v>240</v>
      </c>
      <c r="DF2618" s="5" t="s">
        <v>309</v>
      </c>
      <c r="DG2618" s="7">
        <f>2497</f>
        <v>2497</v>
      </c>
      <c r="DI2618" s="5" t="s">
        <v>240</v>
      </c>
      <c r="DJ2618" s="5" t="s">
        <v>240</v>
      </c>
      <c r="DK2618" s="5" t="s">
        <v>240</v>
      </c>
      <c r="DL2618" s="5" t="s">
        <v>240</v>
      </c>
      <c r="DP2618" s="5" t="s">
        <v>240</v>
      </c>
      <c r="DQ2618" s="5" t="s">
        <v>240</v>
      </c>
      <c r="DR2618" s="5" t="s">
        <v>240</v>
      </c>
      <c r="DS2618" s="5" t="s">
        <v>240</v>
      </c>
      <c r="DV2618" s="5" t="s">
        <v>310</v>
      </c>
      <c r="DW2618" s="5" t="s">
        <v>4740</v>
      </c>
      <c r="HO2618" s="5" t="s">
        <v>312</v>
      </c>
    </row>
    <row r="2619" spans="1:223" x14ac:dyDescent="0.4">
      <c r="A2619" s="5">
        <v>4323</v>
      </c>
      <c r="B2619" s="5">
        <v>1</v>
      </c>
      <c r="C2619" s="5">
        <v>1</v>
      </c>
      <c r="D2619" s="5" t="s">
        <v>810</v>
      </c>
      <c r="E2619" s="5" t="s">
        <v>245</v>
      </c>
      <c r="F2619" s="5" t="s">
        <v>254</v>
      </c>
      <c r="G2619" s="5" t="s">
        <v>240</v>
      </c>
      <c r="H2619" s="6" t="s">
        <v>4934</v>
      </c>
      <c r="I2619" s="5" t="s">
        <v>809</v>
      </c>
      <c r="J2619" s="8">
        <f>187</f>
        <v>187</v>
      </c>
      <c r="K2619" s="5" t="s">
        <v>308</v>
      </c>
      <c r="L2619" s="7">
        <f>1</f>
        <v>1</v>
      </c>
      <c r="M2619" s="7">
        <f>1</f>
        <v>1</v>
      </c>
      <c r="N2619" s="5" t="s">
        <v>242</v>
      </c>
      <c r="O2619" s="5">
        <v>1</v>
      </c>
      <c r="P2619" s="5" t="s">
        <v>294</v>
      </c>
      <c r="Q2619" s="5" t="s">
        <v>266</v>
      </c>
      <c r="R2619" s="5" t="s">
        <v>240</v>
      </c>
      <c r="S2619" s="5" t="s">
        <v>240</v>
      </c>
      <c r="T2619" s="5" t="s">
        <v>296</v>
      </c>
      <c r="U2619" s="5" t="s">
        <v>244</v>
      </c>
      <c r="V2619" s="5" t="s">
        <v>240</v>
      </c>
      <c r="Y2619" s="5" t="s">
        <v>240</v>
      </c>
      <c r="Z2619" s="6" t="s">
        <v>298</v>
      </c>
      <c r="AB2619" s="6" t="s">
        <v>240</v>
      </c>
      <c r="AE2619" s="6" t="s">
        <v>299</v>
      </c>
      <c r="AF2619" s="5" t="s">
        <v>248</v>
      </c>
      <c r="AG2619" s="5" t="s">
        <v>249</v>
      </c>
      <c r="AW2619" s="5" t="s">
        <v>251</v>
      </c>
      <c r="AX2619" s="5" t="s">
        <v>240</v>
      </c>
      <c r="AY2619" s="5" t="s">
        <v>253</v>
      </c>
      <c r="AZ2619" s="5" t="s">
        <v>240</v>
      </c>
      <c r="BA2619" s="5" t="s">
        <v>255</v>
      </c>
      <c r="BB2619" s="5" t="s">
        <v>240</v>
      </c>
      <c r="BD2619" s="5" t="s">
        <v>240</v>
      </c>
      <c r="BF2619" s="5" t="s">
        <v>301</v>
      </c>
      <c r="BG2619" s="6" t="s">
        <v>299</v>
      </c>
      <c r="BH2619" s="5" t="s">
        <v>302</v>
      </c>
      <c r="BI2619" s="5" t="s">
        <v>303</v>
      </c>
      <c r="BJ2619" s="5" t="s">
        <v>240</v>
      </c>
      <c r="BK2619" s="8">
        <f>0</f>
        <v>0</v>
      </c>
      <c r="BL2619" s="7">
        <f>0</f>
        <v>0</v>
      </c>
      <c r="BM2619" s="5" t="s">
        <v>258</v>
      </c>
      <c r="BN2619" s="5" t="s">
        <v>259</v>
      </c>
      <c r="CB2619" s="5" t="s">
        <v>240</v>
      </c>
      <c r="CC2619" s="5" t="s">
        <v>240</v>
      </c>
      <c r="CG2619" s="5" t="s">
        <v>304</v>
      </c>
      <c r="CH2619" s="5" t="s">
        <v>305</v>
      </c>
      <c r="CI2619" s="5" t="s">
        <v>240</v>
      </c>
      <c r="CL2619" s="6" t="s">
        <v>261</v>
      </c>
      <c r="CM2619" s="5" t="s">
        <v>240</v>
      </c>
      <c r="CN2619" s="5" t="s">
        <v>263</v>
      </c>
      <c r="CO2619" s="5" t="s">
        <v>240</v>
      </c>
      <c r="CP2619" s="5" t="s">
        <v>240</v>
      </c>
      <c r="CQ2619" s="5">
        <v>0</v>
      </c>
      <c r="CR2619" s="5" t="s">
        <v>306</v>
      </c>
      <c r="CS2619" s="5" t="s">
        <v>307</v>
      </c>
      <c r="CT2619" s="5" t="s">
        <v>307</v>
      </c>
      <c r="CU2619" s="5" t="s">
        <v>260</v>
      </c>
      <c r="CX2619" s="7">
        <f>1</f>
        <v>1</v>
      </c>
      <c r="CY2619" s="7">
        <f>0</f>
        <v>0</v>
      </c>
      <c r="DA2619" s="7">
        <f>0</f>
        <v>0</v>
      </c>
      <c r="DC2619" s="5" t="s">
        <v>309</v>
      </c>
      <c r="DD2619" s="5" t="s">
        <v>240</v>
      </c>
      <c r="DF2619" s="5" t="s">
        <v>309</v>
      </c>
      <c r="DG2619" s="7">
        <f>458</f>
        <v>458</v>
      </c>
      <c r="DI2619" s="5" t="s">
        <v>240</v>
      </c>
      <c r="DJ2619" s="5" t="s">
        <v>240</v>
      </c>
      <c r="DK2619" s="5" t="s">
        <v>240</v>
      </c>
      <c r="DL2619" s="5" t="s">
        <v>240</v>
      </c>
      <c r="DP2619" s="5" t="s">
        <v>240</v>
      </c>
      <c r="DQ2619" s="5" t="s">
        <v>240</v>
      </c>
      <c r="DR2619" s="5" t="s">
        <v>240</v>
      </c>
      <c r="DS2619" s="5" t="s">
        <v>240</v>
      </c>
      <c r="DV2619" s="5" t="s">
        <v>310</v>
      </c>
      <c r="DW2619" s="5" t="s">
        <v>3290</v>
      </c>
      <c r="HO2619" s="5" t="s">
        <v>312</v>
      </c>
    </row>
    <row r="2620" spans="1:223" x14ac:dyDescent="0.4">
      <c r="A2620" s="5">
        <v>4324</v>
      </c>
      <c r="B2620" s="5">
        <v>1</v>
      </c>
      <c r="C2620" s="5">
        <v>1</v>
      </c>
      <c r="D2620" s="5" t="s">
        <v>810</v>
      </c>
      <c r="E2620" s="5" t="s">
        <v>245</v>
      </c>
      <c r="F2620" s="5" t="s">
        <v>254</v>
      </c>
      <c r="G2620" s="5" t="s">
        <v>240</v>
      </c>
      <c r="H2620" s="6" t="s">
        <v>3305</v>
      </c>
      <c r="I2620" s="5" t="s">
        <v>809</v>
      </c>
      <c r="J2620" s="8">
        <f>678</f>
        <v>678</v>
      </c>
      <c r="K2620" s="5" t="s">
        <v>308</v>
      </c>
      <c r="L2620" s="7">
        <f>1</f>
        <v>1</v>
      </c>
      <c r="M2620" s="7">
        <f>1</f>
        <v>1</v>
      </c>
      <c r="N2620" s="5" t="s">
        <v>242</v>
      </c>
      <c r="O2620" s="5">
        <v>1</v>
      </c>
      <c r="P2620" s="5" t="s">
        <v>294</v>
      </c>
      <c r="Q2620" s="5" t="s">
        <v>266</v>
      </c>
      <c r="R2620" s="5" t="s">
        <v>240</v>
      </c>
      <c r="S2620" s="5" t="s">
        <v>240</v>
      </c>
      <c r="T2620" s="5" t="s">
        <v>296</v>
      </c>
      <c r="U2620" s="5" t="s">
        <v>244</v>
      </c>
      <c r="V2620" s="5" t="s">
        <v>240</v>
      </c>
      <c r="Y2620" s="5" t="s">
        <v>240</v>
      </c>
      <c r="Z2620" s="6" t="s">
        <v>298</v>
      </c>
      <c r="AB2620" s="6" t="s">
        <v>240</v>
      </c>
      <c r="AE2620" s="6" t="s">
        <v>299</v>
      </c>
      <c r="AF2620" s="5" t="s">
        <v>248</v>
      </c>
      <c r="AG2620" s="5" t="s">
        <v>249</v>
      </c>
      <c r="AW2620" s="5" t="s">
        <v>251</v>
      </c>
      <c r="AX2620" s="5" t="s">
        <v>240</v>
      </c>
      <c r="AY2620" s="5" t="s">
        <v>253</v>
      </c>
      <c r="AZ2620" s="5" t="s">
        <v>240</v>
      </c>
      <c r="BA2620" s="5" t="s">
        <v>255</v>
      </c>
      <c r="BB2620" s="5" t="s">
        <v>240</v>
      </c>
      <c r="BD2620" s="5" t="s">
        <v>240</v>
      </c>
      <c r="BF2620" s="5" t="s">
        <v>301</v>
      </c>
      <c r="BG2620" s="6" t="s">
        <v>299</v>
      </c>
      <c r="BH2620" s="5" t="s">
        <v>302</v>
      </c>
      <c r="BI2620" s="5" t="s">
        <v>303</v>
      </c>
      <c r="BJ2620" s="5" t="s">
        <v>240</v>
      </c>
      <c r="BK2620" s="8">
        <f>0</f>
        <v>0</v>
      </c>
      <c r="BL2620" s="7">
        <f>0</f>
        <v>0</v>
      </c>
      <c r="BM2620" s="5" t="s">
        <v>258</v>
      </c>
      <c r="BN2620" s="5" t="s">
        <v>259</v>
      </c>
      <c r="CB2620" s="5" t="s">
        <v>240</v>
      </c>
      <c r="CC2620" s="5" t="s">
        <v>240</v>
      </c>
      <c r="CG2620" s="5" t="s">
        <v>304</v>
      </c>
      <c r="CH2620" s="5" t="s">
        <v>305</v>
      </c>
      <c r="CI2620" s="5" t="s">
        <v>240</v>
      </c>
      <c r="CL2620" s="6" t="s">
        <v>261</v>
      </c>
      <c r="CM2620" s="5" t="s">
        <v>240</v>
      </c>
      <c r="CN2620" s="5" t="s">
        <v>263</v>
      </c>
      <c r="CO2620" s="5" t="s">
        <v>240</v>
      </c>
      <c r="CP2620" s="5" t="s">
        <v>240</v>
      </c>
      <c r="CQ2620" s="5">
        <v>0</v>
      </c>
      <c r="CR2620" s="5" t="s">
        <v>306</v>
      </c>
      <c r="CS2620" s="5" t="s">
        <v>307</v>
      </c>
      <c r="CT2620" s="5" t="s">
        <v>307</v>
      </c>
      <c r="CU2620" s="5" t="s">
        <v>260</v>
      </c>
      <c r="CX2620" s="7">
        <f>1</f>
        <v>1</v>
      </c>
      <c r="CY2620" s="7">
        <f>0</f>
        <v>0</v>
      </c>
      <c r="DA2620" s="7">
        <f>0</f>
        <v>0</v>
      </c>
      <c r="DC2620" s="5" t="s">
        <v>309</v>
      </c>
      <c r="DD2620" s="5" t="s">
        <v>240</v>
      </c>
      <c r="DF2620" s="5" t="s">
        <v>309</v>
      </c>
      <c r="DG2620" s="7">
        <f>325</f>
        <v>325</v>
      </c>
      <c r="DI2620" s="5" t="s">
        <v>240</v>
      </c>
      <c r="DJ2620" s="5" t="s">
        <v>240</v>
      </c>
      <c r="DK2620" s="5" t="s">
        <v>240</v>
      </c>
      <c r="DL2620" s="5" t="s">
        <v>240</v>
      </c>
      <c r="DP2620" s="5" t="s">
        <v>240</v>
      </c>
      <c r="DQ2620" s="5" t="s">
        <v>240</v>
      </c>
      <c r="DR2620" s="5" t="s">
        <v>240</v>
      </c>
      <c r="DS2620" s="5" t="s">
        <v>240</v>
      </c>
      <c r="DV2620" s="5" t="s">
        <v>310</v>
      </c>
      <c r="DW2620" s="5" t="s">
        <v>3292</v>
      </c>
      <c r="HO2620" s="5" t="s">
        <v>312</v>
      </c>
    </row>
    <row r="2621" spans="1:223" x14ac:dyDescent="0.4">
      <c r="A2621" s="5">
        <v>4325</v>
      </c>
      <c r="B2621" s="5">
        <v>1</v>
      </c>
      <c r="C2621" s="5">
        <v>1</v>
      </c>
      <c r="D2621" s="5" t="s">
        <v>810</v>
      </c>
      <c r="E2621" s="5" t="s">
        <v>245</v>
      </c>
      <c r="F2621" s="5" t="s">
        <v>254</v>
      </c>
      <c r="G2621" s="5" t="s">
        <v>240</v>
      </c>
      <c r="H2621" s="6" t="s">
        <v>4933</v>
      </c>
      <c r="I2621" s="5" t="s">
        <v>809</v>
      </c>
      <c r="J2621" s="8">
        <f>1056</f>
        <v>1056</v>
      </c>
      <c r="K2621" s="5" t="s">
        <v>308</v>
      </c>
      <c r="L2621" s="7">
        <f>1</f>
        <v>1</v>
      </c>
      <c r="M2621" s="7">
        <f>1</f>
        <v>1</v>
      </c>
      <c r="N2621" s="5" t="s">
        <v>242</v>
      </c>
      <c r="O2621" s="5">
        <v>1</v>
      </c>
      <c r="P2621" s="5" t="s">
        <v>294</v>
      </c>
      <c r="Q2621" s="5" t="s">
        <v>266</v>
      </c>
      <c r="R2621" s="5" t="s">
        <v>240</v>
      </c>
      <c r="S2621" s="5" t="s">
        <v>240</v>
      </c>
      <c r="T2621" s="5" t="s">
        <v>296</v>
      </c>
      <c r="U2621" s="5" t="s">
        <v>244</v>
      </c>
      <c r="V2621" s="5" t="s">
        <v>240</v>
      </c>
      <c r="Y2621" s="5" t="s">
        <v>240</v>
      </c>
      <c r="Z2621" s="6" t="s">
        <v>298</v>
      </c>
      <c r="AB2621" s="6" t="s">
        <v>240</v>
      </c>
      <c r="AE2621" s="6" t="s">
        <v>299</v>
      </c>
      <c r="AF2621" s="5" t="s">
        <v>248</v>
      </c>
      <c r="AG2621" s="5" t="s">
        <v>249</v>
      </c>
      <c r="AW2621" s="5" t="s">
        <v>251</v>
      </c>
      <c r="AX2621" s="5" t="s">
        <v>240</v>
      </c>
      <c r="AY2621" s="5" t="s">
        <v>253</v>
      </c>
      <c r="AZ2621" s="5" t="s">
        <v>240</v>
      </c>
      <c r="BA2621" s="5" t="s">
        <v>255</v>
      </c>
      <c r="BB2621" s="5" t="s">
        <v>240</v>
      </c>
      <c r="BD2621" s="5" t="s">
        <v>240</v>
      </c>
      <c r="BF2621" s="5" t="s">
        <v>301</v>
      </c>
      <c r="BG2621" s="6" t="s">
        <v>299</v>
      </c>
      <c r="BH2621" s="5" t="s">
        <v>302</v>
      </c>
      <c r="BI2621" s="5" t="s">
        <v>303</v>
      </c>
      <c r="BJ2621" s="5" t="s">
        <v>240</v>
      </c>
      <c r="BK2621" s="8">
        <f>0</f>
        <v>0</v>
      </c>
      <c r="BL2621" s="7">
        <f>0</f>
        <v>0</v>
      </c>
      <c r="BM2621" s="5" t="s">
        <v>258</v>
      </c>
      <c r="BN2621" s="5" t="s">
        <v>259</v>
      </c>
      <c r="CB2621" s="5" t="s">
        <v>240</v>
      </c>
      <c r="CC2621" s="5" t="s">
        <v>240</v>
      </c>
      <c r="CG2621" s="5" t="s">
        <v>304</v>
      </c>
      <c r="CH2621" s="5" t="s">
        <v>305</v>
      </c>
      <c r="CI2621" s="5" t="s">
        <v>240</v>
      </c>
      <c r="CL2621" s="6" t="s">
        <v>261</v>
      </c>
      <c r="CM2621" s="5" t="s">
        <v>240</v>
      </c>
      <c r="CN2621" s="5" t="s">
        <v>263</v>
      </c>
      <c r="CO2621" s="5" t="s">
        <v>240</v>
      </c>
      <c r="CP2621" s="5" t="s">
        <v>240</v>
      </c>
      <c r="CQ2621" s="5">
        <v>0</v>
      </c>
      <c r="CR2621" s="5" t="s">
        <v>306</v>
      </c>
      <c r="CS2621" s="5" t="s">
        <v>307</v>
      </c>
      <c r="CT2621" s="5" t="s">
        <v>307</v>
      </c>
      <c r="CU2621" s="5" t="s">
        <v>260</v>
      </c>
      <c r="CX2621" s="7">
        <f>1</f>
        <v>1</v>
      </c>
      <c r="CY2621" s="7">
        <f>0</f>
        <v>0</v>
      </c>
      <c r="DA2621" s="7">
        <f>0</f>
        <v>0</v>
      </c>
      <c r="DC2621" s="5" t="s">
        <v>309</v>
      </c>
      <c r="DD2621" s="5" t="s">
        <v>240</v>
      </c>
      <c r="DF2621" s="5" t="s">
        <v>309</v>
      </c>
      <c r="DG2621" s="7">
        <f>3590</f>
        <v>3590</v>
      </c>
      <c r="DI2621" s="5" t="s">
        <v>240</v>
      </c>
      <c r="DJ2621" s="5" t="s">
        <v>240</v>
      </c>
      <c r="DK2621" s="5" t="s">
        <v>240</v>
      </c>
      <c r="DL2621" s="5" t="s">
        <v>240</v>
      </c>
      <c r="DP2621" s="5" t="s">
        <v>240</v>
      </c>
      <c r="DQ2621" s="5" t="s">
        <v>240</v>
      </c>
      <c r="DR2621" s="5" t="s">
        <v>240</v>
      </c>
      <c r="DS2621" s="5" t="s">
        <v>240</v>
      </c>
      <c r="DV2621" s="5" t="s">
        <v>310</v>
      </c>
      <c r="DW2621" s="5" t="s">
        <v>3294</v>
      </c>
      <c r="HO2621" s="5" t="s">
        <v>312</v>
      </c>
    </row>
    <row r="2622" spans="1:223" x14ac:dyDescent="0.4">
      <c r="A2622" s="5">
        <v>4326</v>
      </c>
      <c r="B2622" s="5">
        <v>1</v>
      </c>
      <c r="C2622" s="5">
        <v>1</v>
      </c>
      <c r="D2622" s="5" t="s">
        <v>810</v>
      </c>
      <c r="E2622" s="5" t="s">
        <v>245</v>
      </c>
      <c r="F2622" s="5" t="s">
        <v>254</v>
      </c>
      <c r="G2622" s="5" t="s">
        <v>240</v>
      </c>
      <c r="H2622" s="6" t="s">
        <v>3302</v>
      </c>
      <c r="I2622" s="5" t="s">
        <v>809</v>
      </c>
      <c r="J2622" s="8">
        <f>988</f>
        <v>988</v>
      </c>
      <c r="K2622" s="5" t="s">
        <v>308</v>
      </c>
      <c r="L2622" s="7">
        <f>1</f>
        <v>1</v>
      </c>
      <c r="M2622" s="7">
        <f>1</f>
        <v>1</v>
      </c>
      <c r="N2622" s="5" t="s">
        <v>242</v>
      </c>
      <c r="O2622" s="5">
        <v>1</v>
      </c>
      <c r="P2622" s="5" t="s">
        <v>294</v>
      </c>
      <c r="Q2622" s="5" t="s">
        <v>266</v>
      </c>
      <c r="R2622" s="5" t="s">
        <v>240</v>
      </c>
      <c r="S2622" s="5" t="s">
        <v>240</v>
      </c>
      <c r="T2622" s="5" t="s">
        <v>296</v>
      </c>
      <c r="U2622" s="5" t="s">
        <v>244</v>
      </c>
      <c r="V2622" s="5" t="s">
        <v>240</v>
      </c>
      <c r="Y2622" s="5" t="s">
        <v>240</v>
      </c>
      <c r="Z2622" s="6" t="s">
        <v>298</v>
      </c>
      <c r="AB2622" s="6" t="s">
        <v>240</v>
      </c>
      <c r="AE2622" s="6" t="s">
        <v>299</v>
      </c>
      <c r="AF2622" s="5" t="s">
        <v>248</v>
      </c>
      <c r="AG2622" s="5" t="s">
        <v>249</v>
      </c>
      <c r="AW2622" s="5" t="s">
        <v>251</v>
      </c>
      <c r="AX2622" s="5" t="s">
        <v>240</v>
      </c>
      <c r="AY2622" s="5" t="s">
        <v>253</v>
      </c>
      <c r="AZ2622" s="5" t="s">
        <v>240</v>
      </c>
      <c r="BA2622" s="5" t="s">
        <v>255</v>
      </c>
      <c r="BB2622" s="5" t="s">
        <v>240</v>
      </c>
      <c r="BD2622" s="5" t="s">
        <v>240</v>
      </c>
      <c r="BF2622" s="5" t="s">
        <v>301</v>
      </c>
      <c r="BG2622" s="6" t="s">
        <v>299</v>
      </c>
      <c r="BH2622" s="5" t="s">
        <v>302</v>
      </c>
      <c r="BI2622" s="5" t="s">
        <v>303</v>
      </c>
      <c r="BJ2622" s="5" t="s">
        <v>240</v>
      </c>
      <c r="BK2622" s="8">
        <f>0</f>
        <v>0</v>
      </c>
      <c r="BL2622" s="7">
        <f>0</f>
        <v>0</v>
      </c>
      <c r="BM2622" s="5" t="s">
        <v>258</v>
      </c>
      <c r="BN2622" s="5" t="s">
        <v>259</v>
      </c>
      <c r="CB2622" s="5" t="s">
        <v>240</v>
      </c>
      <c r="CC2622" s="5" t="s">
        <v>240</v>
      </c>
      <c r="CG2622" s="5" t="s">
        <v>304</v>
      </c>
      <c r="CH2622" s="5" t="s">
        <v>305</v>
      </c>
      <c r="CI2622" s="5" t="s">
        <v>240</v>
      </c>
      <c r="CL2622" s="6" t="s">
        <v>261</v>
      </c>
      <c r="CM2622" s="5" t="s">
        <v>240</v>
      </c>
      <c r="CN2622" s="5" t="s">
        <v>263</v>
      </c>
      <c r="CO2622" s="5" t="s">
        <v>240</v>
      </c>
      <c r="CP2622" s="5" t="s">
        <v>240</v>
      </c>
      <c r="CQ2622" s="5">
        <v>0</v>
      </c>
      <c r="CR2622" s="5" t="s">
        <v>306</v>
      </c>
      <c r="CS2622" s="5" t="s">
        <v>307</v>
      </c>
      <c r="CT2622" s="5" t="s">
        <v>307</v>
      </c>
      <c r="CU2622" s="5" t="s">
        <v>260</v>
      </c>
      <c r="CX2622" s="7">
        <f>1</f>
        <v>1</v>
      </c>
      <c r="CY2622" s="7">
        <f>0</f>
        <v>0</v>
      </c>
      <c r="DA2622" s="7">
        <f>0</f>
        <v>0</v>
      </c>
      <c r="DC2622" s="5" t="s">
        <v>309</v>
      </c>
      <c r="DD2622" s="5" t="s">
        <v>240</v>
      </c>
      <c r="DF2622" s="5" t="s">
        <v>309</v>
      </c>
      <c r="DG2622" s="7">
        <f>4257</f>
        <v>4257</v>
      </c>
      <c r="DI2622" s="5" t="s">
        <v>240</v>
      </c>
      <c r="DJ2622" s="5" t="s">
        <v>240</v>
      </c>
      <c r="DK2622" s="5" t="s">
        <v>240</v>
      </c>
      <c r="DL2622" s="5" t="s">
        <v>240</v>
      </c>
      <c r="DP2622" s="5" t="s">
        <v>240</v>
      </c>
      <c r="DQ2622" s="5" t="s">
        <v>240</v>
      </c>
      <c r="DR2622" s="5" t="s">
        <v>240</v>
      </c>
      <c r="DS2622" s="5" t="s">
        <v>240</v>
      </c>
      <c r="DV2622" s="5" t="s">
        <v>310</v>
      </c>
      <c r="DW2622" s="5" t="s">
        <v>4745</v>
      </c>
      <c r="HO2622" s="5" t="s">
        <v>312</v>
      </c>
    </row>
    <row r="2623" spans="1:223" x14ac:dyDescent="0.4">
      <c r="A2623" s="5">
        <v>4327</v>
      </c>
      <c r="B2623" s="5">
        <v>1</v>
      </c>
      <c r="C2623" s="5">
        <v>1</v>
      </c>
      <c r="D2623" s="5" t="s">
        <v>810</v>
      </c>
      <c r="E2623" s="5" t="s">
        <v>245</v>
      </c>
      <c r="F2623" s="5" t="s">
        <v>254</v>
      </c>
      <c r="G2623" s="5" t="s">
        <v>240</v>
      </c>
      <c r="H2623" s="6" t="s">
        <v>3300</v>
      </c>
      <c r="I2623" s="5" t="s">
        <v>809</v>
      </c>
      <c r="J2623" s="8">
        <f>173</f>
        <v>173</v>
      </c>
      <c r="K2623" s="5" t="s">
        <v>308</v>
      </c>
      <c r="L2623" s="7">
        <f>1</f>
        <v>1</v>
      </c>
      <c r="M2623" s="7">
        <f>1</f>
        <v>1</v>
      </c>
      <c r="N2623" s="5" t="s">
        <v>242</v>
      </c>
      <c r="O2623" s="5">
        <v>1</v>
      </c>
      <c r="P2623" s="5" t="s">
        <v>294</v>
      </c>
      <c r="Q2623" s="5" t="s">
        <v>266</v>
      </c>
      <c r="R2623" s="5" t="s">
        <v>240</v>
      </c>
      <c r="S2623" s="5" t="s">
        <v>240</v>
      </c>
      <c r="T2623" s="5" t="s">
        <v>296</v>
      </c>
      <c r="U2623" s="5" t="s">
        <v>244</v>
      </c>
      <c r="V2623" s="5" t="s">
        <v>240</v>
      </c>
      <c r="Y2623" s="5" t="s">
        <v>240</v>
      </c>
      <c r="Z2623" s="6" t="s">
        <v>298</v>
      </c>
      <c r="AB2623" s="6" t="s">
        <v>240</v>
      </c>
      <c r="AE2623" s="6" t="s">
        <v>299</v>
      </c>
      <c r="AF2623" s="5" t="s">
        <v>248</v>
      </c>
      <c r="AG2623" s="5" t="s">
        <v>249</v>
      </c>
      <c r="AW2623" s="5" t="s">
        <v>251</v>
      </c>
      <c r="AX2623" s="5" t="s">
        <v>240</v>
      </c>
      <c r="AY2623" s="5" t="s">
        <v>253</v>
      </c>
      <c r="AZ2623" s="5" t="s">
        <v>240</v>
      </c>
      <c r="BA2623" s="5" t="s">
        <v>255</v>
      </c>
      <c r="BB2623" s="5" t="s">
        <v>240</v>
      </c>
      <c r="BD2623" s="5" t="s">
        <v>240</v>
      </c>
      <c r="BF2623" s="5" t="s">
        <v>301</v>
      </c>
      <c r="BG2623" s="6" t="s">
        <v>299</v>
      </c>
      <c r="BH2623" s="5" t="s">
        <v>302</v>
      </c>
      <c r="BI2623" s="5" t="s">
        <v>303</v>
      </c>
      <c r="BJ2623" s="5" t="s">
        <v>240</v>
      </c>
      <c r="BK2623" s="8">
        <f>0</f>
        <v>0</v>
      </c>
      <c r="BL2623" s="7">
        <f>0</f>
        <v>0</v>
      </c>
      <c r="BM2623" s="5" t="s">
        <v>258</v>
      </c>
      <c r="BN2623" s="5" t="s">
        <v>259</v>
      </c>
      <c r="CB2623" s="5" t="s">
        <v>240</v>
      </c>
      <c r="CC2623" s="5" t="s">
        <v>240</v>
      </c>
      <c r="CG2623" s="5" t="s">
        <v>304</v>
      </c>
      <c r="CH2623" s="5" t="s">
        <v>305</v>
      </c>
      <c r="CI2623" s="5" t="s">
        <v>240</v>
      </c>
      <c r="CL2623" s="6" t="s">
        <v>261</v>
      </c>
      <c r="CM2623" s="5" t="s">
        <v>240</v>
      </c>
      <c r="CN2623" s="5" t="s">
        <v>263</v>
      </c>
      <c r="CO2623" s="5" t="s">
        <v>240</v>
      </c>
      <c r="CP2623" s="5" t="s">
        <v>240</v>
      </c>
      <c r="CQ2623" s="5">
        <v>0</v>
      </c>
      <c r="CR2623" s="5" t="s">
        <v>306</v>
      </c>
      <c r="CS2623" s="5" t="s">
        <v>307</v>
      </c>
      <c r="CT2623" s="5" t="s">
        <v>307</v>
      </c>
      <c r="CU2623" s="5" t="s">
        <v>260</v>
      </c>
      <c r="CX2623" s="7">
        <f>1</f>
        <v>1</v>
      </c>
      <c r="CY2623" s="7">
        <f>0</f>
        <v>0</v>
      </c>
      <c r="DA2623" s="7">
        <f>0</f>
        <v>0</v>
      </c>
      <c r="DC2623" s="5" t="s">
        <v>309</v>
      </c>
      <c r="DD2623" s="5" t="s">
        <v>240</v>
      </c>
      <c r="DF2623" s="5" t="s">
        <v>309</v>
      </c>
      <c r="DG2623" s="7">
        <f>1250</f>
        <v>1250</v>
      </c>
      <c r="DI2623" s="5" t="s">
        <v>240</v>
      </c>
      <c r="DJ2623" s="5" t="s">
        <v>240</v>
      </c>
      <c r="DK2623" s="5" t="s">
        <v>240</v>
      </c>
      <c r="DL2623" s="5" t="s">
        <v>240</v>
      </c>
      <c r="DP2623" s="5" t="s">
        <v>240</v>
      </c>
      <c r="DQ2623" s="5" t="s">
        <v>240</v>
      </c>
      <c r="DR2623" s="5" t="s">
        <v>240</v>
      </c>
      <c r="DS2623" s="5" t="s">
        <v>240</v>
      </c>
      <c r="DV2623" s="5" t="s">
        <v>310</v>
      </c>
      <c r="DW2623" s="5" t="s">
        <v>3299</v>
      </c>
      <c r="HO2623" s="5" t="s">
        <v>312</v>
      </c>
    </row>
    <row r="2624" spans="1:223" x14ac:dyDescent="0.4">
      <c r="A2624" s="5">
        <v>4328</v>
      </c>
      <c r="B2624" s="5">
        <v>1</v>
      </c>
      <c r="C2624" s="5">
        <v>1</v>
      </c>
      <c r="D2624" s="5" t="s">
        <v>810</v>
      </c>
      <c r="E2624" s="5" t="s">
        <v>245</v>
      </c>
      <c r="F2624" s="5" t="s">
        <v>254</v>
      </c>
      <c r="G2624" s="5" t="s">
        <v>240</v>
      </c>
      <c r="H2624" s="6" t="s">
        <v>3298</v>
      </c>
      <c r="I2624" s="5" t="s">
        <v>809</v>
      </c>
      <c r="J2624" s="8">
        <f>423</f>
        <v>423</v>
      </c>
      <c r="K2624" s="5" t="s">
        <v>308</v>
      </c>
      <c r="L2624" s="7">
        <f>1</f>
        <v>1</v>
      </c>
      <c r="M2624" s="7">
        <f>1</f>
        <v>1</v>
      </c>
      <c r="N2624" s="5" t="s">
        <v>242</v>
      </c>
      <c r="O2624" s="5">
        <v>1</v>
      </c>
      <c r="P2624" s="5" t="s">
        <v>294</v>
      </c>
      <c r="Q2624" s="5" t="s">
        <v>266</v>
      </c>
      <c r="R2624" s="5" t="s">
        <v>240</v>
      </c>
      <c r="S2624" s="5" t="s">
        <v>240</v>
      </c>
      <c r="T2624" s="5" t="s">
        <v>296</v>
      </c>
      <c r="U2624" s="5" t="s">
        <v>244</v>
      </c>
      <c r="V2624" s="5" t="s">
        <v>240</v>
      </c>
      <c r="Y2624" s="5" t="s">
        <v>240</v>
      </c>
      <c r="Z2624" s="6" t="s">
        <v>298</v>
      </c>
      <c r="AB2624" s="6" t="s">
        <v>240</v>
      </c>
      <c r="AE2624" s="6" t="s">
        <v>299</v>
      </c>
      <c r="AF2624" s="5" t="s">
        <v>248</v>
      </c>
      <c r="AG2624" s="5" t="s">
        <v>249</v>
      </c>
      <c r="AW2624" s="5" t="s">
        <v>251</v>
      </c>
      <c r="AX2624" s="5" t="s">
        <v>240</v>
      </c>
      <c r="AY2624" s="5" t="s">
        <v>253</v>
      </c>
      <c r="AZ2624" s="5" t="s">
        <v>240</v>
      </c>
      <c r="BA2624" s="5" t="s">
        <v>255</v>
      </c>
      <c r="BB2624" s="5" t="s">
        <v>240</v>
      </c>
      <c r="BD2624" s="5" t="s">
        <v>240</v>
      </c>
      <c r="BF2624" s="5" t="s">
        <v>301</v>
      </c>
      <c r="BG2624" s="6" t="s">
        <v>299</v>
      </c>
      <c r="BH2624" s="5" t="s">
        <v>302</v>
      </c>
      <c r="BI2624" s="5" t="s">
        <v>303</v>
      </c>
      <c r="BJ2624" s="5" t="s">
        <v>240</v>
      </c>
      <c r="BK2624" s="8">
        <f>0</f>
        <v>0</v>
      </c>
      <c r="BL2624" s="7">
        <f>0</f>
        <v>0</v>
      </c>
      <c r="BM2624" s="5" t="s">
        <v>258</v>
      </c>
      <c r="BN2624" s="5" t="s">
        <v>259</v>
      </c>
      <c r="CB2624" s="5" t="s">
        <v>240</v>
      </c>
      <c r="CC2624" s="5" t="s">
        <v>240</v>
      </c>
      <c r="CG2624" s="5" t="s">
        <v>304</v>
      </c>
      <c r="CH2624" s="5" t="s">
        <v>305</v>
      </c>
      <c r="CI2624" s="5" t="s">
        <v>240</v>
      </c>
      <c r="CL2624" s="6" t="s">
        <v>261</v>
      </c>
      <c r="CM2624" s="5" t="s">
        <v>240</v>
      </c>
      <c r="CN2624" s="5" t="s">
        <v>263</v>
      </c>
      <c r="CO2624" s="5" t="s">
        <v>240</v>
      </c>
      <c r="CP2624" s="5" t="s">
        <v>240</v>
      </c>
      <c r="CQ2624" s="5">
        <v>0</v>
      </c>
      <c r="CR2624" s="5" t="s">
        <v>306</v>
      </c>
      <c r="CS2624" s="5" t="s">
        <v>307</v>
      </c>
      <c r="CT2624" s="5" t="s">
        <v>307</v>
      </c>
      <c r="CU2624" s="5" t="s">
        <v>260</v>
      </c>
      <c r="CX2624" s="7">
        <f>1</f>
        <v>1</v>
      </c>
      <c r="CY2624" s="7">
        <f>0</f>
        <v>0</v>
      </c>
      <c r="DA2624" s="7">
        <f>0</f>
        <v>0</v>
      </c>
      <c r="DC2624" s="5" t="s">
        <v>309</v>
      </c>
      <c r="DD2624" s="5" t="s">
        <v>240</v>
      </c>
      <c r="DF2624" s="5" t="s">
        <v>309</v>
      </c>
      <c r="DG2624" s="7">
        <f>357</f>
        <v>357</v>
      </c>
      <c r="DI2624" s="5" t="s">
        <v>240</v>
      </c>
      <c r="DJ2624" s="5" t="s">
        <v>240</v>
      </c>
      <c r="DK2624" s="5" t="s">
        <v>240</v>
      </c>
      <c r="DL2624" s="5" t="s">
        <v>240</v>
      </c>
      <c r="DP2624" s="5" t="s">
        <v>240</v>
      </c>
      <c r="DQ2624" s="5" t="s">
        <v>240</v>
      </c>
      <c r="DR2624" s="5" t="s">
        <v>240</v>
      </c>
      <c r="DS2624" s="5" t="s">
        <v>240</v>
      </c>
      <c r="DV2624" s="5" t="s">
        <v>310</v>
      </c>
      <c r="DW2624" s="5" t="s">
        <v>3301</v>
      </c>
      <c r="HO2624" s="5" t="s">
        <v>312</v>
      </c>
    </row>
    <row r="2625" spans="1:223" x14ac:dyDescent="0.4">
      <c r="A2625" s="5">
        <v>4329</v>
      </c>
      <c r="B2625" s="5">
        <v>1</v>
      </c>
      <c r="C2625" s="5">
        <v>1</v>
      </c>
      <c r="D2625" s="5" t="s">
        <v>810</v>
      </c>
      <c r="E2625" s="5" t="s">
        <v>245</v>
      </c>
      <c r="F2625" s="5" t="s">
        <v>254</v>
      </c>
      <c r="G2625" s="5" t="s">
        <v>240</v>
      </c>
      <c r="H2625" s="6" t="s">
        <v>4931</v>
      </c>
      <c r="I2625" s="5" t="s">
        <v>809</v>
      </c>
      <c r="J2625" s="8">
        <f>950</f>
        <v>950</v>
      </c>
      <c r="K2625" s="5" t="s">
        <v>308</v>
      </c>
      <c r="L2625" s="7">
        <f>1</f>
        <v>1</v>
      </c>
      <c r="M2625" s="7">
        <f>1</f>
        <v>1</v>
      </c>
      <c r="N2625" s="5" t="s">
        <v>242</v>
      </c>
      <c r="O2625" s="5">
        <v>1</v>
      </c>
      <c r="P2625" s="5" t="s">
        <v>294</v>
      </c>
      <c r="Q2625" s="5" t="s">
        <v>266</v>
      </c>
      <c r="R2625" s="5" t="s">
        <v>240</v>
      </c>
      <c r="S2625" s="5" t="s">
        <v>240</v>
      </c>
      <c r="T2625" s="5" t="s">
        <v>296</v>
      </c>
      <c r="U2625" s="5" t="s">
        <v>244</v>
      </c>
      <c r="V2625" s="5" t="s">
        <v>240</v>
      </c>
      <c r="Y2625" s="5" t="s">
        <v>240</v>
      </c>
      <c r="Z2625" s="6" t="s">
        <v>298</v>
      </c>
      <c r="AB2625" s="6" t="s">
        <v>240</v>
      </c>
      <c r="AE2625" s="6" t="s">
        <v>299</v>
      </c>
      <c r="AF2625" s="5" t="s">
        <v>248</v>
      </c>
      <c r="AG2625" s="5" t="s">
        <v>249</v>
      </c>
      <c r="AW2625" s="5" t="s">
        <v>251</v>
      </c>
      <c r="AX2625" s="5" t="s">
        <v>240</v>
      </c>
      <c r="AY2625" s="5" t="s">
        <v>253</v>
      </c>
      <c r="AZ2625" s="5" t="s">
        <v>240</v>
      </c>
      <c r="BA2625" s="5" t="s">
        <v>255</v>
      </c>
      <c r="BB2625" s="5" t="s">
        <v>240</v>
      </c>
      <c r="BD2625" s="5" t="s">
        <v>240</v>
      </c>
      <c r="BF2625" s="5" t="s">
        <v>301</v>
      </c>
      <c r="BG2625" s="6" t="s">
        <v>299</v>
      </c>
      <c r="BH2625" s="5" t="s">
        <v>302</v>
      </c>
      <c r="BI2625" s="5" t="s">
        <v>303</v>
      </c>
      <c r="BJ2625" s="5" t="s">
        <v>240</v>
      </c>
      <c r="BK2625" s="8">
        <f>0</f>
        <v>0</v>
      </c>
      <c r="BL2625" s="7">
        <f>0</f>
        <v>0</v>
      </c>
      <c r="BM2625" s="5" t="s">
        <v>258</v>
      </c>
      <c r="BN2625" s="5" t="s">
        <v>259</v>
      </c>
      <c r="CB2625" s="5" t="s">
        <v>240</v>
      </c>
      <c r="CC2625" s="5" t="s">
        <v>240</v>
      </c>
      <c r="CG2625" s="5" t="s">
        <v>304</v>
      </c>
      <c r="CH2625" s="5" t="s">
        <v>305</v>
      </c>
      <c r="CI2625" s="5" t="s">
        <v>240</v>
      </c>
      <c r="CL2625" s="6" t="s">
        <v>261</v>
      </c>
      <c r="CM2625" s="5" t="s">
        <v>240</v>
      </c>
      <c r="CN2625" s="5" t="s">
        <v>263</v>
      </c>
      <c r="CO2625" s="5" t="s">
        <v>240</v>
      </c>
      <c r="CP2625" s="5" t="s">
        <v>240</v>
      </c>
      <c r="CQ2625" s="5">
        <v>0</v>
      </c>
      <c r="CR2625" s="5" t="s">
        <v>306</v>
      </c>
      <c r="CS2625" s="5" t="s">
        <v>307</v>
      </c>
      <c r="CT2625" s="5" t="s">
        <v>307</v>
      </c>
      <c r="CU2625" s="5" t="s">
        <v>260</v>
      </c>
      <c r="CX2625" s="7">
        <f>1</f>
        <v>1</v>
      </c>
      <c r="CY2625" s="7">
        <f>0</f>
        <v>0</v>
      </c>
      <c r="DA2625" s="7">
        <f>0</f>
        <v>0</v>
      </c>
      <c r="DC2625" s="5" t="s">
        <v>309</v>
      </c>
      <c r="DD2625" s="5" t="s">
        <v>240</v>
      </c>
      <c r="DF2625" s="5" t="s">
        <v>309</v>
      </c>
      <c r="DG2625" s="7">
        <f>2172</f>
        <v>2172</v>
      </c>
      <c r="DI2625" s="5" t="s">
        <v>240</v>
      </c>
      <c r="DJ2625" s="5" t="s">
        <v>240</v>
      </c>
      <c r="DK2625" s="5" t="s">
        <v>240</v>
      </c>
      <c r="DL2625" s="5" t="s">
        <v>240</v>
      </c>
      <c r="DP2625" s="5" t="s">
        <v>240</v>
      </c>
      <c r="DQ2625" s="5" t="s">
        <v>240</v>
      </c>
      <c r="DR2625" s="5" t="s">
        <v>240</v>
      </c>
      <c r="DS2625" s="5" t="s">
        <v>240</v>
      </c>
      <c r="DV2625" s="5" t="s">
        <v>310</v>
      </c>
      <c r="DW2625" s="5" t="s">
        <v>3303</v>
      </c>
      <c r="HO2625" s="5" t="s">
        <v>312</v>
      </c>
    </row>
    <row r="2626" spans="1:223" x14ac:dyDescent="0.4">
      <c r="A2626" s="5">
        <v>4330</v>
      </c>
      <c r="B2626" s="5">
        <v>1</v>
      </c>
      <c r="C2626" s="5">
        <v>1</v>
      </c>
      <c r="D2626" s="5" t="s">
        <v>810</v>
      </c>
      <c r="E2626" s="5" t="s">
        <v>245</v>
      </c>
      <c r="F2626" s="5" t="s">
        <v>254</v>
      </c>
      <c r="G2626" s="5" t="s">
        <v>240</v>
      </c>
      <c r="H2626" s="6" t="s">
        <v>3293</v>
      </c>
      <c r="I2626" s="5" t="s">
        <v>809</v>
      </c>
      <c r="J2626" s="8">
        <f>352</f>
        <v>352</v>
      </c>
      <c r="K2626" s="5" t="s">
        <v>308</v>
      </c>
      <c r="L2626" s="7">
        <f>1</f>
        <v>1</v>
      </c>
      <c r="M2626" s="7">
        <f>1</f>
        <v>1</v>
      </c>
      <c r="N2626" s="5" t="s">
        <v>242</v>
      </c>
      <c r="O2626" s="5">
        <v>1</v>
      </c>
      <c r="P2626" s="5" t="s">
        <v>294</v>
      </c>
      <c r="Q2626" s="5" t="s">
        <v>266</v>
      </c>
      <c r="R2626" s="5" t="s">
        <v>240</v>
      </c>
      <c r="S2626" s="5" t="s">
        <v>240</v>
      </c>
      <c r="T2626" s="5" t="s">
        <v>296</v>
      </c>
      <c r="U2626" s="5" t="s">
        <v>244</v>
      </c>
      <c r="V2626" s="5" t="s">
        <v>240</v>
      </c>
      <c r="Y2626" s="5" t="s">
        <v>240</v>
      </c>
      <c r="Z2626" s="6" t="s">
        <v>298</v>
      </c>
      <c r="AB2626" s="6" t="s">
        <v>240</v>
      </c>
      <c r="AE2626" s="6" t="s">
        <v>299</v>
      </c>
      <c r="AF2626" s="5" t="s">
        <v>248</v>
      </c>
      <c r="AG2626" s="5" t="s">
        <v>249</v>
      </c>
      <c r="AW2626" s="5" t="s">
        <v>251</v>
      </c>
      <c r="AX2626" s="5" t="s">
        <v>240</v>
      </c>
      <c r="AY2626" s="5" t="s">
        <v>253</v>
      </c>
      <c r="AZ2626" s="5" t="s">
        <v>240</v>
      </c>
      <c r="BA2626" s="5" t="s">
        <v>255</v>
      </c>
      <c r="BB2626" s="5" t="s">
        <v>240</v>
      </c>
      <c r="BD2626" s="5" t="s">
        <v>240</v>
      </c>
      <c r="BF2626" s="5" t="s">
        <v>301</v>
      </c>
      <c r="BG2626" s="6" t="s">
        <v>299</v>
      </c>
      <c r="BH2626" s="5" t="s">
        <v>302</v>
      </c>
      <c r="BI2626" s="5" t="s">
        <v>303</v>
      </c>
      <c r="BJ2626" s="5" t="s">
        <v>240</v>
      </c>
      <c r="BK2626" s="8">
        <f>0</f>
        <v>0</v>
      </c>
      <c r="BL2626" s="7">
        <f>0</f>
        <v>0</v>
      </c>
      <c r="BM2626" s="5" t="s">
        <v>258</v>
      </c>
      <c r="BN2626" s="5" t="s">
        <v>259</v>
      </c>
      <c r="CB2626" s="5" t="s">
        <v>240</v>
      </c>
      <c r="CC2626" s="5" t="s">
        <v>240</v>
      </c>
      <c r="CG2626" s="5" t="s">
        <v>304</v>
      </c>
      <c r="CH2626" s="5" t="s">
        <v>305</v>
      </c>
      <c r="CI2626" s="5" t="s">
        <v>240</v>
      </c>
      <c r="CL2626" s="6" t="s">
        <v>261</v>
      </c>
      <c r="CM2626" s="5" t="s">
        <v>240</v>
      </c>
      <c r="CN2626" s="5" t="s">
        <v>263</v>
      </c>
      <c r="CO2626" s="5" t="s">
        <v>240</v>
      </c>
      <c r="CP2626" s="5" t="s">
        <v>240</v>
      </c>
      <c r="CQ2626" s="5">
        <v>0</v>
      </c>
      <c r="CR2626" s="5" t="s">
        <v>306</v>
      </c>
      <c r="CS2626" s="5" t="s">
        <v>307</v>
      </c>
      <c r="CT2626" s="5" t="s">
        <v>307</v>
      </c>
      <c r="CU2626" s="5" t="s">
        <v>260</v>
      </c>
      <c r="CX2626" s="7">
        <f>1</f>
        <v>1</v>
      </c>
      <c r="CY2626" s="7">
        <f>0</f>
        <v>0</v>
      </c>
      <c r="DA2626" s="7">
        <f>0</f>
        <v>0</v>
      </c>
      <c r="DC2626" s="5" t="s">
        <v>309</v>
      </c>
      <c r="DD2626" s="5" t="s">
        <v>240</v>
      </c>
      <c r="DF2626" s="5" t="s">
        <v>309</v>
      </c>
      <c r="DG2626" s="7">
        <f>889</f>
        <v>889</v>
      </c>
      <c r="DI2626" s="5" t="s">
        <v>240</v>
      </c>
      <c r="DJ2626" s="5" t="s">
        <v>240</v>
      </c>
      <c r="DK2626" s="5" t="s">
        <v>240</v>
      </c>
      <c r="DL2626" s="5" t="s">
        <v>240</v>
      </c>
      <c r="DP2626" s="5" t="s">
        <v>240</v>
      </c>
      <c r="DQ2626" s="5" t="s">
        <v>240</v>
      </c>
      <c r="DR2626" s="5" t="s">
        <v>240</v>
      </c>
      <c r="DS2626" s="5" t="s">
        <v>240</v>
      </c>
      <c r="DV2626" s="5" t="s">
        <v>310</v>
      </c>
      <c r="DW2626" s="5" t="s">
        <v>4750</v>
      </c>
      <c r="HO2626" s="5" t="s">
        <v>312</v>
      </c>
    </row>
    <row r="2627" spans="1:223" x14ac:dyDescent="0.4">
      <c r="A2627" s="5">
        <v>4331</v>
      </c>
      <c r="B2627" s="5">
        <v>1</v>
      </c>
      <c r="C2627" s="5">
        <v>1</v>
      </c>
      <c r="D2627" s="5" t="s">
        <v>810</v>
      </c>
      <c r="E2627" s="5" t="s">
        <v>245</v>
      </c>
      <c r="F2627" s="5" t="s">
        <v>254</v>
      </c>
      <c r="G2627" s="5" t="s">
        <v>240</v>
      </c>
      <c r="H2627" s="6" t="s">
        <v>3291</v>
      </c>
      <c r="I2627" s="5" t="s">
        <v>809</v>
      </c>
      <c r="J2627" s="8">
        <f>542</f>
        <v>542</v>
      </c>
      <c r="K2627" s="5" t="s">
        <v>308</v>
      </c>
      <c r="L2627" s="7">
        <f>1</f>
        <v>1</v>
      </c>
      <c r="M2627" s="7">
        <f>1</f>
        <v>1</v>
      </c>
      <c r="N2627" s="5" t="s">
        <v>242</v>
      </c>
      <c r="O2627" s="5">
        <v>1</v>
      </c>
      <c r="P2627" s="5" t="s">
        <v>294</v>
      </c>
      <c r="Q2627" s="5" t="s">
        <v>266</v>
      </c>
      <c r="R2627" s="5" t="s">
        <v>240</v>
      </c>
      <c r="S2627" s="5" t="s">
        <v>240</v>
      </c>
      <c r="T2627" s="5" t="s">
        <v>296</v>
      </c>
      <c r="U2627" s="5" t="s">
        <v>244</v>
      </c>
      <c r="V2627" s="5" t="s">
        <v>240</v>
      </c>
      <c r="Y2627" s="5" t="s">
        <v>240</v>
      </c>
      <c r="Z2627" s="6" t="s">
        <v>298</v>
      </c>
      <c r="AB2627" s="6" t="s">
        <v>240</v>
      </c>
      <c r="AE2627" s="6" t="s">
        <v>299</v>
      </c>
      <c r="AF2627" s="5" t="s">
        <v>248</v>
      </c>
      <c r="AG2627" s="5" t="s">
        <v>249</v>
      </c>
      <c r="AW2627" s="5" t="s">
        <v>251</v>
      </c>
      <c r="AX2627" s="5" t="s">
        <v>240</v>
      </c>
      <c r="AY2627" s="5" t="s">
        <v>253</v>
      </c>
      <c r="AZ2627" s="5" t="s">
        <v>240</v>
      </c>
      <c r="BA2627" s="5" t="s">
        <v>255</v>
      </c>
      <c r="BB2627" s="5" t="s">
        <v>240</v>
      </c>
      <c r="BD2627" s="5" t="s">
        <v>240</v>
      </c>
      <c r="BF2627" s="5" t="s">
        <v>301</v>
      </c>
      <c r="BG2627" s="6" t="s">
        <v>299</v>
      </c>
      <c r="BH2627" s="5" t="s">
        <v>302</v>
      </c>
      <c r="BI2627" s="5" t="s">
        <v>303</v>
      </c>
      <c r="BJ2627" s="5" t="s">
        <v>240</v>
      </c>
      <c r="BK2627" s="8">
        <f>0</f>
        <v>0</v>
      </c>
      <c r="BL2627" s="7">
        <f>0</f>
        <v>0</v>
      </c>
      <c r="BM2627" s="5" t="s">
        <v>258</v>
      </c>
      <c r="BN2627" s="5" t="s">
        <v>259</v>
      </c>
      <c r="CB2627" s="5" t="s">
        <v>240</v>
      </c>
      <c r="CC2627" s="5" t="s">
        <v>240</v>
      </c>
      <c r="CG2627" s="5" t="s">
        <v>304</v>
      </c>
      <c r="CH2627" s="5" t="s">
        <v>305</v>
      </c>
      <c r="CI2627" s="5" t="s">
        <v>240</v>
      </c>
      <c r="CL2627" s="6" t="s">
        <v>261</v>
      </c>
      <c r="CM2627" s="5" t="s">
        <v>240</v>
      </c>
      <c r="CN2627" s="5" t="s">
        <v>263</v>
      </c>
      <c r="CO2627" s="5" t="s">
        <v>240</v>
      </c>
      <c r="CP2627" s="5" t="s">
        <v>240</v>
      </c>
      <c r="CQ2627" s="5">
        <v>0</v>
      </c>
      <c r="CR2627" s="5" t="s">
        <v>306</v>
      </c>
      <c r="CS2627" s="5" t="s">
        <v>307</v>
      </c>
      <c r="CT2627" s="5" t="s">
        <v>307</v>
      </c>
      <c r="CU2627" s="5" t="s">
        <v>260</v>
      </c>
      <c r="CX2627" s="7">
        <f>1</f>
        <v>1</v>
      </c>
      <c r="CY2627" s="7">
        <f>0</f>
        <v>0</v>
      </c>
      <c r="DA2627" s="7">
        <f>0</f>
        <v>0</v>
      </c>
      <c r="DC2627" s="5" t="s">
        <v>309</v>
      </c>
      <c r="DD2627" s="5" t="s">
        <v>240</v>
      </c>
      <c r="DF2627" s="5" t="s">
        <v>309</v>
      </c>
      <c r="DG2627" s="7">
        <f>260</f>
        <v>260</v>
      </c>
      <c r="DI2627" s="5" t="s">
        <v>240</v>
      </c>
      <c r="DJ2627" s="5" t="s">
        <v>240</v>
      </c>
      <c r="DK2627" s="5" t="s">
        <v>240</v>
      </c>
      <c r="DL2627" s="5" t="s">
        <v>240</v>
      </c>
      <c r="DP2627" s="5" t="s">
        <v>240</v>
      </c>
      <c r="DQ2627" s="5" t="s">
        <v>240</v>
      </c>
      <c r="DR2627" s="5" t="s">
        <v>240</v>
      </c>
      <c r="DS2627" s="5" t="s">
        <v>240</v>
      </c>
      <c r="DV2627" s="5" t="s">
        <v>310</v>
      </c>
      <c r="DW2627" s="5" t="s">
        <v>3306</v>
      </c>
      <c r="HO2627" s="5" t="s">
        <v>312</v>
      </c>
    </row>
    <row r="2628" spans="1:223" x14ac:dyDescent="0.4">
      <c r="A2628" s="5">
        <v>4332</v>
      </c>
      <c r="B2628" s="5">
        <v>1</v>
      </c>
      <c r="C2628" s="5">
        <v>1</v>
      </c>
      <c r="D2628" s="5" t="s">
        <v>810</v>
      </c>
      <c r="E2628" s="5" t="s">
        <v>245</v>
      </c>
      <c r="F2628" s="5" t="s">
        <v>254</v>
      </c>
      <c r="G2628" s="5" t="s">
        <v>240</v>
      </c>
      <c r="H2628" s="6" t="s">
        <v>3289</v>
      </c>
      <c r="I2628" s="5" t="s">
        <v>809</v>
      </c>
      <c r="J2628" s="8">
        <f>1211</f>
        <v>1211</v>
      </c>
      <c r="K2628" s="5" t="s">
        <v>308</v>
      </c>
      <c r="L2628" s="7">
        <f>1</f>
        <v>1</v>
      </c>
      <c r="M2628" s="7">
        <f>1</f>
        <v>1</v>
      </c>
      <c r="N2628" s="5" t="s">
        <v>242</v>
      </c>
      <c r="O2628" s="5">
        <v>1</v>
      </c>
      <c r="P2628" s="5" t="s">
        <v>294</v>
      </c>
      <c r="Q2628" s="5" t="s">
        <v>266</v>
      </c>
      <c r="R2628" s="5" t="s">
        <v>240</v>
      </c>
      <c r="S2628" s="5" t="s">
        <v>240</v>
      </c>
      <c r="T2628" s="5" t="s">
        <v>296</v>
      </c>
      <c r="U2628" s="5" t="s">
        <v>244</v>
      </c>
      <c r="V2628" s="5" t="s">
        <v>240</v>
      </c>
      <c r="Y2628" s="5" t="s">
        <v>240</v>
      </c>
      <c r="Z2628" s="6" t="s">
        <v>298</v>
      </c>
      <c r="AB2628" s="6" t="s">
        <v>240</v>
      </c>
      <c r="AE2628" s="6" t="s">
        <v>299</v>
      </c>
      <c r="AF2628" s="5" t="s">
        <v>248</v>
      </c>
      <c r="AG2628" s="5" t="s">
        <v>249</v>
      </c>
      <c r="AW2628" s="5" t="s">
        <v>251</v>
      </c>
      <c r="AX2628" s="5" t="s">
        <v>240</v>
      </c>
      <c r="AY2628" s="5" t="s">
        <v>253</v>
      </c>
      <c r="AZ2628" s="5" t="s">
        <v>240</v>
      </c>
      <c r="BA2628" s="5" t="s">
        <v>255</v>
      </c>
      <c r="BB2628" s="5" t="s">
        <v>240</v>
      </c>
      <c r="BD2628" s="5" t="s">
        <v>240</v>
      </c>
      <c r="BF2628" s="5" t="s">
        <v>301</v>
      </c>
      <c r="BG2628" s="6" t="s">
        <v>299</v>
      </c>
      <c r="BH2628" s="5" t="s">
        <v>302</v>
      </c>
      <c r="BI2628" s="5" t="s">
        <v>303</v>
      </c>
      <c r="BJ2628" s="5" t="s">
        <v>240</v>
      </c>
      <c r="BK2628" s="8">
        <f>0</f>
        <v>0</v>
      </c>
      <c r="BL2628" s="7">
        <f>0</f>
        <v>0</v>
      </c>
      <c r="BM2628" s="5" t="s">
        <v>258</v>
      </c>
      <c r="BN2628" s="5" t="s">
        <v>259</v>
      </c>
      <c r="CB2628" s="5" t="s">
        <v>240</v>
      </c>
      <c r="CC2628" s="5" t="s">
        <v>240</v>
      </c>
      <c r="CG2628" s="5" t="s">
        <v>304</v>
      </c>
      <c r="CH2628" s="5" t="s">
        <v>305</v>
      </c>
      <c r="CI2628" s="5" t="s">
        <v>240</v>
      </c>
      <c r="CL2628" s="6" t="s">
        <v>261</v>
      </c>
      <c r="CM2628" s="5" t="s">
        <v>240</v>
      </c>
      <c r="CN2628" s="5" t="s">
        <v>263</v>
      </c>
      <c r="CO2628" s="5" t="s">
        <v>240</v>
      </c>
      <c r="CP2628" s="5" t="s">
        <v>240</v>
      </c>
      <c r="CQ2628" s="5">
        <v>0</v>
      </c>
      <c r="CR2628" s="5" t="s">
        <v>306</v>
      </c>
      <c r="CS2628" s="5" t="s">
        <v>307</v>
      </c>
      <c r="CT2628" s="5" t="s">
        <v>307</v>
      </c>
      <c r="CU2628" s="5" t="s">
        <v>260</v>
      </c>
      <c r="CX2628" s="7">
        <f>1</f>
        <v>1</v>
      </c>
      <c r="CY2628" s="7">
        <f>0</f>
        <v>0</v>
      </c>
      <c r="DA2628" s="7">
        <f>0</f>
        <v>0</v>
      </c>
      <c r="DC2628" s="5" t="s">
        <v>309</v>
      </c>
      <c r="DD2628" s="5" t="s">
        <v>240</v>
      </c>
      <c r="DF2628" s="5" t="s">
        <v>309</v>
      </c>
      <c r="DG2628" s="7">
        <f>1310</f>
        <v>1310</v>
      </c>
      <c r="DI2628" s="5" t="s">
        <v>240</v>
      </c>
      <c r="DJ2628" s="5" t="s">
        <v>240</v>
      </c>
      <c r="DK2628" s="5" t="s">
        <v>240</v>
      </c>
      <c r="DL2628" s="5" t="s">
        <v>240</v>
      </c>
      <c r="DP2628" s="5" t="s">
        <v>240</v>
      </c>
      <c r="DQ2628" s="5" t="s">
        <v>240</v>
      </c>
      <c r="DR2628" s="5" t="s">
        <v>240</v>
      </c>
      <c r="DS2628" s="5" t="s">
        <v>240</v>
      </c>
      <c r="DV2628" s="5" t="s">
        <v>310</v>
      </c>
      <c r="DW2628" s="5" t="s">
        <v>4753</v>
      </c>
      <c r="HO2628" s="5" t="s">
        <v>312</v>
      </c>
    </row>
    <row r="2629" spans="1:223" x14ac:dyDescent="0.4">
      <c r="A2629" s="5">
        <v>4333</v>
      </c>
      <c r="B2629" s="5">
        <v>1</v>
      </c>
      <c r="C2629" s="5">
        <v>1</v>
      </c>
      <c r="D2629" s="5" t="s">
        <v>810</v>
      </c>
      <c r="E2629" s="5" t="s">
        <v>245</v>
      </c>
      <c r="F2629" s="5" t="s">
        <v>254</v>
      </c>
      <c r="G2629" s="5" t="s">
        <v>240</v>
      </c>
      <c r="H2629" s="6" t="s">
        <v>4929</v>
      </c>
      <c r="I2629" s="5" t="s">
        <v>809</v>
      </c>
      <c r="J2629" s="8">
        <f>1220</f>
        <v>1220</v>
      </c>
      <c r="K2629" s="5" t="s">
        <v>308</v>
      </c>
      <c r="L2629" s="7">
        <f>1</f>
        <v>1</v>
      </c>
      <c r="M2629" s="7">
        <f>1</f>
        <v>1</v>
      </c>
      <c r="N2629" s="5" t="s">
        <v>242</v>
      </c>
      <c r="O2629" s="5">
        <v>1</v>
      </c>
      <c r="P2629" s="5" t="s">
        <v>294</v>
      </c>
      <c r="Q2629" s="5" t="s">
        <v>266</v>
      </c>
      <c r="R2629" s="5" t="s">
        <v>240</v>
      </c>
      <c r="S2629" s="5" t="s">
        <v>240</v>
      </c>
      <c r="T2629" s="5" t="s">
        <v>296</v>
      </c>
      <c r="U2629" s="5" t="s">
        <v>244</v>
      </c>
      <c r="V2629" s="5" t="s">
        <v>240</v>
      </c>
      <c r="Y2629" s="5" t="s">
        <v>240</v>
      </c>
      <c r="Z2629" s="6" t="s">
        <v>298</v>
      </c>
      <c r="AB2629" s="6" t="s">
        <v>240</v>
      </c>
      <c r="AE2629" s="6" t="s">
        <v>299</v>
      </c>
      <c r="AF2629" s="5" t="s">
        <v>248</v>
      </c>
      <c r="AG2629" s="5" t="s">
        <v>249</v>
      </c>
      <c r="AW2629" s="5" t="s">
        <v>251</v>
      </c>
      <c r="AX2629" s="5" t="s">
        <v>240</v>
      </c>
      <c r="AY2629" s="5" t="s">
        <v>253</v>
      </c>
      <c r="AZ2629" s="5" t="s">
        <v>240</v>
      </c>
      <c r="BA2629" s="5" t="s">
        <v>255</v>
      </c>
      <c r="BB2629" s="5" t="s">
        <v>240</v>
      </c>
      <c r="BD2629" s="5" t="s">
        <v>240</v>
      </c>
      <c r="BF2629" s="5" t="s">
        <v>301</v>
      </c>
      <c r="BG2629" s="6" t="s">
        <v>299</v>
      </c>
      <c r="BH2629" s="5" t="s">
        <v>302</v>
      </c>
      <c r="BI2629" s="5" t="s">
        <v>303</v>
      </c>
      <c r="BJ2629" s="5" t="s">
        <v>240</v>
      </c>
      <c r="BK2629" s="8">
        <f>0</f>
        <v>0</v>
      </c>
      <c r="BL2629" s="7">
        <f>0</f>
        <v>0</v>
      </c>
      <c r="BM2629" s="5" t="s">
        <v>258</v>
      </c>
      <c r="BN2629" s="5" t="s">
        <v>259</v>
      </c>
      <c r="CB2629" s="5" t="s">
        <v>240</v>
      </c>
      <c r="CC2629" s="5" t="s">
        <v>240</v>
      </c>
      <c r="CG2629" s="5" t="s">
        <v>304</v>
      </c>
      <c r="CH2629" s="5" t="s">
        <v>305</v>
      </c>
      <c r="CI2629" s="5" t="s">
        <v>240</v>
      </c>
      <c r="CL2629" s="6" t="s">
        <v>261</v>
      </c>
      <c r="CM2629" s="5" t="s">
        <v>240</v>
      </c>
      <c r="CN2629" s="5" t="s">
        <v>263</v>
      </c>
      <c r="CO2629" s="5" t="s">
        <v>240</v>
      </c>
      <c r="CP2629" s="5" t="s">
        <v>240</v>
      </c>
      <c r="CQ2629" s="5">
        <v>0</v>
      </c>
      <c r="CR2629" s="5" t="s">
        <v>306</v>
      </c>
      <c r="CS2629" s="5" t="s">
        <v>307</v>
      </c>
      <c r="CT2629" s="5" t="s">
        <v>307</v>
      </c>
      <c r="CU2629" s="5" t="s">
        <v>260</v>
      </c>
      <c r="CX2629" s="7">
        <f>1</f>
        <v>1</v>
      </c>
      <c r="CY2629" s="7">
        <f>0</f>
        <v>0</v>
      </c>
      <c r="DA2629" s="7">
        <f>0</f>
        <v>0</v>
      </c>
      <c r="DC2629" s="5" t="s">
        <v>309</v>
      </c>
      <c r="DD2629" s="5" t="s">
        <v>240</v>
      </c>
      <c r="DF2629" s="5" t="s">
        <v>309</v>
      </c>
      <c r="DG2629" s="7">
        <f>384</f>
        <v>384</v>
      </c>
      <c r="DI2629" s="5" t="s">
        <v>240</v>
      </c>
      <c r="DJ2629" s="5" t="s">
        <v>240</v>
      </c>
      <c r="DK2629" s="5" t="s">
        <v>240</v>
      </c>
      <c r="DL2629" s="5" t="s">
        <v>240</v>
      </c>
      <c r="DP2629" s="5" t="s">
        <v>240</v>
      </c>
      <c r="DQ2629" s="5" t="s">
        <v>240</v>
      </c>
      <c r="DR2629" s="5" t="s">
        <v>240</v>
      </c>
      <c r="DS2629" s="5" t="s">
        <v>240</v>
      </c>
      <c r="DV2629" s="5" t="s">
        <v>310</v>
      </c>
      <c r="DW2629" s="5" t="s">
        <v>3310</v>
      </c>
      <c r="HO2629" s="5" t="s">
        <v>312</v>
      </c>
    </row>
    <row r="2630" spans="1:223" x14ac:dyDescent="0.4">
      <c r="A2630" s="5">
        <v>4334</v>
      </c>
      <c r="B2630" s="5">
        <v>1</v>
      </c>
      <c r="C2630" s="5">
        <v>1</v>
      </c>
      <c r="D2630" s="5" t="s">
        <v>810</v>
      </c>
      <c r="E2630" s="5" t="s">
        <v>245</v>
      </c>
      <c r="F2630" s="5" t="s">
        <v>254</v>
      </c>
      <c r="G2630" s="5" t="s">
        <v>240</v>
      </c>
      <c r="H2630" s="6" t="s">
        <v>3285</v>
      </c>
      <c r="I2630" s="5" t="s">
        <v>809</v>
      </c>
      <c r="J2630" s="8">
        <f>2141</f>
        <v>2141</v>
      </c>
      <c r="K2630" s="5" t="s">
        <v>308</v>
      </c>
      <c r="L2630" s="7">
        <f>1</f>
        <v>1</v>
      </c>
      <c r="M2630" s="7">
        <f>1</f>
        <v>1</v>
      </c>
      <c r="N2630" s="5" t="s">
        <v>242</v>
      </c>
      <c r="O2630" s="5">
        <v>1</v>
      </c>
      <c r="P2630" s="5" t="s">
        <v>294</v>
      </c>
      <c r="Q2630" s="5" t="s">
        <v>266</v>
      </c>
      <c r="R2630" s="5" t="s">
        <v>240</v>
      </c>
      <c r="S2630" s="5" t="s">
        <v>240</v>
      </c>
      <c r="T2630" s="5" t="s">
        <v>296</v>
      </c>
      <c r="U2630" s="5" t="s">
        <v>244</v>
      </c>
      <c r="V2630" s="5" t="s">
        <v>240</v>
      </c>
      <c r="Y2630" s="5" t="s">
        <v>240</v>
      </c>
      <c r="Z2630" s="6" t="s">
        <v>298</v>
      </c>
      <c r="AB2630" s="6" t="s">
        <v>240</v>
      </c>
      <c r="AE2630" s="6" t="s">
        <v>299</v>
      </c>
      <c r="AF2630" s="5" t="s">
        <v>248</v>
      </c>
      <c r="AG2630" s="5" t="s">
        <v>249</v>
      </c>
      <c r="AW2630" s="5" t="s">
        <v>251</v>
      </c>
      <c r="AX2630" s="5" t="s">
        <v>240</v>
      </c>
      <c r="AY2630" s="5" t="s">
        <v>253</v>
      </c>
      <c r="AZ2630" s="5" t="s">
        <v>240</v>
      </c>
      <c r="BA2630" s="5" t="s">
        <v>255</v>
      </c>
      <c r="BB2630" s="5" t="s">
        <v>240</v>
      </c>
      <c r="BD2630" s="5" t="s">
        <v>240</v>
      </c>
      <c r="BF2630" s="5" t="s">
        <v>301</v>
      </c>
      <c r="BG2630" s="6" t="s">
        <v>299</v>
      </c>
      <c r="BH2630" s="5" t="s">
        <v>302</v>
      </c>
      <c r="BI2630" s="5" t="s">
        <v>303</v>
      </c>
      <c r="BJ2630" s="5" t="s">
        <v>240</v>
      </c>
      <c r="BK2630" s="8">
        <f>0</f>
        <v>0</v>
      </c>
      <c r="BL2630" s="7">
        <f>0</f>
        <v>0</v>
      </c>
      <c r="BM2630" s="5" t="s">
        <v>258</v>
      </c>
      <c r="BN2630" s="5" t="s">
        <v>259</v>
      </c>
      <c r="CB2630" s="5" t="s">
        <v>240</v>
      </c>
      <c r="CC2630" s="5" t="s">
        <v>240</v>
      </c>
      <c r="CG2630" s="5" t="s">
        <v>304</v>
      </c>
      <c r="CH2630" s="5" t="s">
        <v>305</v>
      </c>
      <c r="CI2630" s="5" t="s">
        <v>240</v>
      </c>
      <c r="CL2630" s="6" t="s">
        <v>261</v>
      </c>
      <c r="CM2630" s="5" t="s">
        <v>240</v>
      </c>
      <c r="CN2630" s="5" t="s">
        <v>263</v>
      </c>
      <c r="CO2630" s="5" t="s">
        <v>240</v>
      </c>
      <c r="CP2630" s="5" t="s">
        <v>240</v>
      </c>
      <c r="CQ2630" s="5">
        <v>0</v>
      </c>
      <c r="CR2630" s="5" t="s">
        <v>306</v>
      </c>
      <c r="CS2630" s="5" t="s">
        <v>307</v>
      </c>
      <c r="CT2630" s="5" t="s">
        <v>307</v>
      </c>
      <c r="CU2630" s="5" t="s">
        <v>260</v>
      </c>
      <c r="CX2630" s="7">
        <f>1</f>
        <v>1</v>
      </c>
      <c r="CY2630" s="7">
        <f>0</f>
        <v>0</v>
      </c>
      <c r="DA2630" s="7">
        <f>0</f>
        <v>0</v>
      </c>
      <c r="DC2630" s="5" t="s">
        <v>812</v>
      </c>
      <c r="DD2630" s="5" t="s">
        <v>240</v>
      </c>
      <c r="DF2630" s="5" t="s">
        <v>812</v>
      </c>
      <c r="DG2630" s="7">
        <f>536</f>
        <v>536</v>
      </c>
      <c r="DI2630" s="5" t="s">
        <v>240</v>
      </c>
      <c r="DJ2630" s="5" t="s">
        <v>240</v>
      </c>
      <c r="DK2630" s="5" t="s">
        <v>240</v>
      </c>
      <c r="DL2630" s="5" t="s">
        <v>240</v>
      </c>
      <c r="DP2630" s="5" t="s">
        <v>240</v>
      </c>
      <c r="DQ2630" s="5" t="s">
        <v>240</v>
      </c>
      <c r="DR2630" s="5" t="s">
        <v>240</v>
      </c>
      <c r="DS2630" s="5" t="s">
        <v>240</v>
      </c>
      <c r="DV2630" s="5" t="s">
        <v>813</v>
      </c>
      <c r="DW2630" s="5" t="s">
        <v>4395</v>
      </c>
      <c r="HO2630" s="5" t="s">
        <v>312</v>
      </c>
    </row>
    <row r="2631" spans="1:223" x14ac:dyDescent="0.4">
      <c r="A2631" s="5">
        <v>4335</v>
      </c>
      <c r="B2631" s="5">
        <v>1</v>
      </c>
      <c r="C2631" s="5">
        <v>1</v>
      </c>
      <c r="D2631" s="5" t="s">
        <v>810</v>
      </c>
      <c r="E2631" s="5" t="s">
        <v>245</v>
      </c>
      <c r="F2631" s="5" t="s">
        <v>254</v>
      </c>
      <c r="G2631" s="5" t="s">
        <v>240</v>
      </c>
      <c r="H2631" s="6" t="s">
        <v>3283</v>
      </c>
      <c r="I2631" s="5" t="s">
        <v>809</v>
      </c>
      <c r="J2631" s="8">
        <f>123</f>
        <v>123</v>
      </c>
      <c r="K2631" s="5" t="s">
        <v>308</v>
      </c>
      <c r="L2631" s="7">
        <f>1</f>
        <v>1</v>
      </c>
      <c r="M2631" s="7">
        <f>1</f>
        <v>1</v>
      </c>
      <c r="N2631" s="5" t="s">
        <v>242</v>
      </c>
      <c r="O2631" s="5">
        <v>1</v>
      </c>
      <c r="P2631" s="5" t="s">
        <v>294</v>
      </c>
      <c r="Q2631" s="5" t="s">
        <v>266</v>
      </c>
      <c r="R2631" s="5" t="s">
        <v>240</v>
      </c>
      <c r="S2631" s="5" t="s">
        <v>240</v>
      </c>
      <c r="T2631" s="5" t="s">
        <v>296</v>
      </c>
      <c r="U2631" s="5" t="s">
        <v>244</v>
      </c>
      <c r="V2631" s="5" t="s">
        <v>240</v>
      </c>
      <c r="Y2631" s="5" t="s">
        <v>240</v>
      </c>
      <c r="Z2631" s="6" t="s">
        <v>298</v>
      </c>
      <c r="AB2631" s="6" t="s">
        <v>240</v>
      </c>
      <c r="AE2631" s="6" t="s">
        <v>299</v>
      </c>
      <c r="AF2631" s="5" t="s">
        <v>248</v>
      </c>
      <c r="AG2631" s="5" t="s">
        <v>249</v>
      </c>
      <c r="AW2631" s="5" t="s">
        <v>251</v>
      </c>
      <c r="AX2631" s="5" t="s">
        <v>240</v>
      </c>
      <c r="AY2631" s="5" t="s">
        <v>253</v>
      </c>
      <c r="AZ2631" s="5" t="s">
        <v>240</v>
      </c>
      <c r="BA2631" s="5" t="s">
        <v>255</v>
      </c>
      <c r="BB2631" s="5" t="s">
        <v>240</v>
      </c>
      <c r="BD2631" s="5" t="s">
        <v>240</v>
      </c>
      <c r="BF2631" s="5" t="s">
        <v>301</v>
      </c>
      <c r="BG2631" s="6" t="s">
        <v>299</v>
      </c>
      <c r="BH2631" s="5" t="s">
        <v>302</v>
      </c>
      <c r="BI2631" s="5" t="s">
        <v>303</v>
      </c>
      <c r="BJ2631" s="5" t="s">
        <v>240</v>
      </c>
      <c r="BK2631" s="8">
        <f>0</f>
        <v>0</v>
      </c>
      <c r="BL2631" s="7">
        <f>0</f>
        <v>0</v>
      </c>
      <c r="BM2631" s="5" t="s">
        <v>258</v>
      </c>
      <c r="BN2631" s="5" t="s">
        <v>259</v>
      </c>
      <c r="CB2631" s="5" t="s">
        <v>240</v>
      </c>
      <c r="CC2631" s="5" t="s">
        <v>240</v>
      </c>
      <c r="CG2631" s="5" t="s">
        <v>304</v>
      </c>
      <c r="CH2631" s="5" t="s">
        <v>305</v>
      </c>
      <c r="CI2631" s="5" t="s">
        <v>240</v>
      </c>
      <c r="CL2631" s="6" t="s">
        <v>261</v>
      </c>
      <c r="CM2631" s="5" t="s">
        <v>240</v>
      </c>
      <c r="CN2631" s="5" t="s">
        <v>263</v>
      </c>
      <c r="CO2631" s="5" t="s">
        <v>240</v>
      </c>
      <c r="CP2631" s="5" t="s">
        <v>240</v>
      </c>
      <c r="CQ2631" s="5">
        <v>0</v>
      </c>
      <c r="CR2631" s="5" t="s">
        <v>306</v>
      </c>
      <c r="CS2631" s="5" t="s">
        <v>307</v>
      </c>
      <c r="CT2631" s="5" t="s">
        <v>307</v>
      </c>
      <c r="CU2631" s="5" t="s">
        <v>260</v>
      </c>
      <c r="CX2631" s="7">
        <f>1</f>
        <v>1</v>
      </c>
      <c r="CY2631" s="7">
        <f>0</f>
        <v>0</v>
      </c>
      <c r="DA2631" s="7">
        <f>0</f>
        <v>0</v>
      </c>
      <c r="DC2631" s="5" t="s">
        <v>309</v>
      </c>
      <c r="DD2631" s="5" t="s">
        <v>240</v>
      </c>
      <c r="DF2631" s="5" t="s">
        <v>309</v>
      </c>
      <c r="DG2631" s="7">
        <f>1214</f>
        <v>1214</v>
      </c>
      <c r="DI2631" s="5" t="s">
        <v>240</v>
      </c>
      <c r="DJ2631" s="5" t="s">
        <v>240</v>
      </c>
      <c r="DK2631" s="5" t="s">
        <v>240</v>
      </c>
      <c r="DL2631" s="5" t="s">
        <v>240</v>
      </c>
      <c r="DP2631" s="5" t="s">
        <v>240</v>
      </c>
      <c r="DQ2631" s="5" t="s">
        <v>240</v>
      </c>
      <c r="DR2631" s="5" t="s">
        <v>240</v>
      </c>
      <c r="DS2631" s="5" t="s">
        <v>240</v>
      </c>
      <c r="DV2631" s="5" t="s">
        <v>310</v>
      </c>
      <c r="DW2631" s="5" t="s">
        <v>3314</v>
      </c>
      <c r="HO2631" s="5" t="s">
        <v>312</v>
      </c>
    </row>
    <row r="2632" spans="1:223" x14ac:dyDescent="0.4">
      <c r="A2632" s="5">
        <v>4336</v>
      </c>
      <c r="B2632" s="5">
        <v>1</v>
      </c>
      <c r="C2632" s="5">
        <v>1</v>
      </c>
      <c r="D2632" s="5" t="s">
        <v>810</v>
      </c>
      <c r="E2632" s="5" t="s">
        <v>245</v>
      </c>
      <c r="F2632" s="5" t="s">
        <v>254</v>
      </c>
      <c r="G2632" s="5" t="s">
        <v>240</v>
      </c>
      <c r="H2632" s="6" t="s">
        <v>3281</v>
      </c>
      <c r="I2632" s="5" t="s">
        <v>809</v>
      </c>
      <c r="J2632" s="8">
        <f>51</f>
        <v>51</v>
      </c>
      <c r="K2632" s="5" t="s">
        <v>308</v>
      </c>
      <c r="L2632" s="7">
        <f>1</f>
        <v>1</v>
      </c>
      <c r="M2632" s="7">
        <f>1</f>
        <v>1</v>
      </c>
      <c r="N2632" s="5" t="s">
        <v>242</v>
      </c>
      <c r="O2632" s="5">
        <v>1</v>
      </c>
      <c r="P2632" s="5" t="s">
        <v>294</v>
      </c>
      <c r="Q2632" s="5" t="s">
        <v>266</v>
      </c>
      <c r="R2632" s="5" t="s">
        <v>240</v>
      </c>
      <c r="S2632" s="5" t="s">
        <v>240</v>
      </c>
      <c r="T2632" s="5" t="s">
        <v>296</v>
      </c>
      <c r="U2632" s="5" t="s">
        <v>244</v>
      </c>
      <c r="V2632" s="5" t="s">
        <v>240</v>
      </c>
      <c r="Y2632" s="5" t="s">
        <v>240</v>
      </c>
      <c r="Z2632" s="6" t="s">
        <v>298</v>
      </c>
      <c r="AB2632" s="6" t="s">
        <v>240</v>
      </c>
      <c r="AE2632" s="6" t="s">
        <v>299</v>
      </c>
      <c r="AF2632" s="5" t="s">
        <v>248</v>
      </c>
      <c r="AG2632" s="5" t="s">
        <v>249</v>
      </c>
      <c r="AW2632" s="5" t="s">
        <v>251</v>
      </c>
      <c r="AX2632" s="5" t="s">
        <v>240</v>
      </c>
      <c r="AY2632" s="5" t="s">
        <v>253</v>
      </c>
      <c r="AZ2632" s="5" t="s">
        <v>240</v>
      </c>
      <c r="BA2632" s="5" t="s">
        <v>255</v>
      </c>
      <c r="BB2632" s="5" t="s">
        <v>240</v>
      </c>
      <c r="BD2632" s="5" t="s">
        <v>240</v>
      </c>
      <c r="BF2632" s="5" t="s">
        <v>301</v>
      </c>
      <c r="BG2632" s="6" t="s">
        <v>299</v>
      </c>
      <c r="BH2632" s="5" t="s">
        <v>302</v>
      </c>
      <c r="BI2632" s="5" t="s">
        <v>303</v>
      </c>
      <c r="BJ2632" s="5" t="s">
        <v>240</v>
      </c>
      <c r="BK2632" s="8">
        <f>0</f>
        <v>0</v>
      </c>
      <c r="BL2632" s="7">
        <f>0</f>
        <v>0</v>
      </c>
      <c r="BM2632" s="5" t="s">
        <v>258</v>
      </c>
      <c r="BN2632" s="5" t="s">
        <v>259</v>
      </c>
      <c r="CB2632" s="5" t="s">
        <v>240</v>
      </c>
      <c r="CC2632" s="5" t="s">
        <v>240</v>
      </c>
      <c r="CG2632" s="5" t="s">
        <v>304</v>
      </c>
      <c r="CH2632" s="5" t="s">
        <v>305</v>
      </c>
      <c r="CI2632" s="5" t="s">
        <v>240</v>
      </c>
      <c r="CL2632" s="6" t="s">
        <v>261</v>
      </c>
      <c r="CM2632" s="5" t="s">
        <v>240</v>
      </c>
      <c r="CN2632" s="5" t="s">
        <v>263</v>
      </c>
      <c r="CO2632" s="5" t="s">
        <v>240</v>
      </c>
      <c r="CP2632" s="5" t="s">
        <v>240</v>
      </c>
      <c r="CQ2632" s="5">
        <v>0</v>
      </c>
      <c r="CR2632" s="5" t="s">
        <v>306</v>
      </c>
      <c r="CS2632" s="5" t="s">
        <v>307</v>
      </c>
      <c r="CT2632" s="5" t="s">
        <v>307</v>
      </c>
      <c r="CU2632" s="5" t="s">
        <v>260</v>
      </c>
      <c r="CX2632" s="7">
        <f>1</f>
        <v>1</v>
      </c>
      <c r="CY2632" s="7">
        <f>0</f>
        <v>0</v>
      </c>
      <c r="DA2632" s="7">
        <f>0</f>
        <v>0</v>
      </c>
      <c r="DC2632" s="5" t="s">
        <v>309</v>
      </c>
      <c r="DD2632" s="5" t="s">
        <v>240</v>
      </c>
      <c r="DF2632" s="5" t="s">
        <v>309</v>
      </c>
      <c r="DG2632" s="7">
        <f>182</f>
        <v>182</v>
      </c>
      <c r="DI2632" s="5" t="s">
        <v>240</v>
      </c>
      <c r="DJ2632" s="5" t="s">
        <v>240</v>
      </c>
      <c r="DK2632" s="5" t="s">
        <v>240</v>
      </c>
      <c r="DL2632" s="5" t="s">
        <v>240</v>
      </c>
      <c r="DP2632" s="5" t="s">
        <v>240</v>
      </c>
      <c r="DQ2632" s="5" t="s">
        <v>240</v>
      </c>
      <c r="DR2632" s="5" t="s">
        <v>240</v>
      </c>
      <c r="DS2632" s="5" t="s">
        <v>240</v>
      </c>
      <c r="DV2632" s="5" t="s">
        <v>310</v>
      </c>
      <c r="DW2632" s="5" t="s">
        <v>3316</v>
      </c>
      <c r="HO2632" s="5" t="s">
        <v>312</v>
      </c>
    </row>
    <row r="2633" spans="1:223" x14ac:dyDescent="0.4">
      <c r="A2633" s="5">
        <v>4337</v>
      </c>
      <c r="B2633" s="5">
        <v>1</v>
      </c>
      <c r="C2633" s="5">
        <v>1</v>
      </c>
      <c r="D2633" s="5" t="s">
        <v>810</v>
      </c>
      <c r="E2633" s="5" t="s">
        <v>245</v>
      </c>
      <c r="F2633" s="5" t="s">
        <v>254</v>
      </c>
      <c r="G2633" s="5" t="s">
        <v>240</v>
      </c>
      <c r="H2633" s="6" t="s">
        <v>4926</v>
      </c>
      <c r="I2633" s="5" t="s">
        <v>809</v>
      </c>
      <c r="J2633" s="8">
        <f>225</f>
        <v>225</v>
      </c>
      <c r="K2633" s="5" t="s">
        <v>308</v>
      </c>
      <c r="L2633" s="7">
        <f>1</f>
        <v>1</v>
      </c>
      <c r="M2633" s="7">
        <f>1</f>
        <v>1</v>
      </c>
      <c r="N2633" s="5" t="s">
        <v>242</v>
      </c>
      <c r="O2633" s="5">
        <v>1</v>
      </c>
      <c r="P2633" s="5" t="s">
        <v>294</v>
      </c>
      <c r="Q2633" s="5" t="s">
        <v>266</v>
      </c>
      <c r="R2633" s="5" t="s">
        <v>240</v>
      </c>
      <c r="S2633" s="5" t="s">
        <v>240</v>
      </c>
      <c r="T2633" s="5" t="s">
        <v>296</v>
      </c>
      <c r="U2633" s="5" t="s">
        <v>244</v>
      </c>
      <c r="V2633" s="5" t="s">
        <v>240</v>
      </c>
      <c r="Y2633" s="5" t="s">
        <v>240</v>
      </c>
      <c r="Z2633" s="6" t="s">
        <v>298</v>
      </c>
      <c r="AB2633" s="6" t="s">
        <v>240</v>
      </c>
      <c r="AE2633" s="6" t="s">
        <v>299</v>
      </c>
      <c r="AF2633" s="5" t="s">
        <v>248</v>
      </c>
      <c r="AG2633" s="5" t="s">
        <v>249</v>
      </c>
      <c r="AW2633" s="5" t="s">
        <v>251</v>
      </c>
      <c r="AX2633" s="5" t="s">
        <v>240</v>
      </c>
      <c r="AY2633" s="5" t="s">
        <v>253</v>
      </c>
      <c r="AZ2633" s="5" t="s">
        <v>240</v>
      </c>
      <c r="BA2633" s="5" t="s">
        <v>255</v>
      </c>
      <c r="BB2633" s="5" t="s">
        <v>240</v>
      </c>
      <c r="BD2633" s="5" t="s">
        <v>240</v>
      </c>
      <c r="BF2633" s="5" t="s">
        <v>301</v>
      </c>
      <c r="BG2633" s="6" t="s">
        <v>299</v>
      </c>
      <c r="BH2633" s="5" t="s">
        <v>302</v>
      </c>
      <c r="BI2633" s="5" t="s">
        <v>303</v>
      </c>
      <c r="BJ2633" s="5" t="s">
        <v>240</v>
      </c>
      <c r="BK2633" s="8">
        <f>0</f>
        <v>0</v>
      </c>
      <c r="BL2633" s="7">
        <f>0</f>
        <v>0</v>
      </c>
      <c r="BM2633" s="5" t="s">
        <v>258</v>
      </c>
      <c r="BN2633" s="5" t="s">
        <v>259</v>
      </c>
      <c r="CB2633" s="5" t="s">
        <v>240</v>
      </c>
      <c r="CC2633" s="5" t="s">
        <v>240</v>
      </c>
      <c r="CG2633" s="5" t="s">
        <v>304</v>
      </c>
      <c r="CH2633" s="5" t="s">
        <v>305</v>
      </c>
      <c r="CI2633" s="5" t="s">
        <v>240</v>
      </c>
      <c r="CL2633" s="6" t="s">
        <v>261</v>
      </c>
      <c r="CM2633" s="5" t="s">
        <v>240</v>
      </c>
      <c r="CN2633" s="5" t="s">
        <v>263</v>
      </c>
      <c r="CO2633" s="5" t="s">
        <v>240</v>
      </c>
      <c r="CP2633" s="5" t="s">
        <v>240</v>
      </c>
      <c r="CQ2633" s="5">
        <v>0</v>
      </c>
      <c r="CR2633" s="5" t="s">
        <v>306</v>
      </c>
      <c r="CS2633" s="5" t="s">
        <v>307</v>
      </c>
      <c r="CT2633" s="5" t="s">
        <v>307</v>
      </c>
      <c r="CU2633" s="5" t="s">
        <v>260</v>
      </c>
      <c r="CX2633" s="7">
        <f>1</f>
        <v>1</v>
      </c>
      <c r="CY2633" s="7">
        <f>0</f>
        <v>0</v>
      </c>
      <c r="DA2633" s="7">
        <f>0</f>
        <v>0</v>
      </c>
      <c r="DC2633" s="5" t="s">
        <v>309</v>
      </c>
      <c r="DD2633" s="5" t="s">
        <v>240</v>
      </c>
      <c r="DF2633" s="5" t="s">
        <v>309</v>
      </c>
      <c r="DG2633" s="7">
        <f>363</f>
        <v>363</v>
      </c>
      <c r="DI2633" s="5" t="s">
        <v>240</v>
      </c>
      <c r="DJ2633" s="5" t="s">
        <v>240</v>
      </c>
      <c r="DK2633" s="5" t="s">
        <v>240</v>
      </c>
      <c r="DL2633" s="5" t="s">
        <v>240</v>
      </c>
      <c r="DP2633" s="5" t="s">
        <v>240</v>
      </c>
      <c r="DQ2633" s="5" t="s">
        <v>240</v>
      </c>
      <c r="DR2633" s="5" t="s">
        <v>240</v>
      </c>
      <c r="DS2633" s="5" t="s">
        <v>240</v>
      </c>
      <c r="DV2633" s="5" t="s">
        <v>310</v>
      </c>
      <c r="DW2633" s="5" t="s">
        <v>3318</v>
      </c>
      <c r="HO2633" s="5" t="s">
        <v>312</v>
      </c>
    </row>
    <row r="2634" spans="1:223" x14ac:dyDescent="0.4">
      <c r="A2634" s="5">
        <v>4338</v>
      </c>
      <c r="B2634" s="5">
        <v>1</v>
      </c>
      <c r="C2634" s="5">
        <v>1</v>
      </c>
      <c r="D2634" s="5" t="s">
        <v>810</v>
      </c>
      <c r="E2634" s="5" t="s">
        <v>245</v>
      </c>
      <c r="F2634" s="5" t="s">
        <v>254</v>
      </c>
      <c r="G2634" s="5" t="s">
        <v>240</v>
      </c>
      <c r="H2634" s="6" t="s">
        <v>3277</v>
      </c>
      <c r="I2634" s="5" t="s">
        <v>809</v>
      </c>
      <c r="J2634" s="8">
        <f>3013</f>
        <v>3013</v>
      </c>
      <c r="K2634" s="5" t="s">
        <v>308</v>
      </c>
      <c r="L2634" s="7">
        <f>1</f>
        <v>1</v>
      </c>
      <c r="M2634" s="7">
        <f>1</f>
        <v>1</v>
      </c>
      <c r="N2634" s="5" t="s">
        <v>242</v>
      </c>
      <c r="O2634" s="5">
        <v>1</v>
      </c>
      <c r="P2634" s="5" t="s">
        <v>294</v>
      </c>
      <c r="Q2634" s="5" t="s">
        <v>266</v>
      </c>
      <c r="R2634" s="5" t="s">
        <v>240</v>
      </c>
      <c r="S2634" s="5" t="s">
        <v>240</v>
      </c>
      <c r="T2634" s="5" t="s">
        <v>296</v>
      </c>
      <c r="U2634" s="5" t="s">
        <v>244</v>
      </c>
      <c r="V2634" s="5" t="s">
        <v>240</v>
      </c>
      <c r="Y2634" s="5" t="s">
        <v>240</v>
      </c>
      <c r="Z2634" s="6" t="s">
        <v>298</v>
      </c>
      <c r="AB2634" s="6" t="s">
        <v>240</v>
      </c>
      <c r="AE2634" s="6" t="s">
        <v>299</v>
      </c>
      <c r="AF2634" s="5" t="s">
        <v>248</v>
      </c>
      <c r="AG2634" s="5" t="s">
        <v>249</v>
      </c>
      <c r="AW2634" s="5" t="s">
        <v>251</v>
      </c>
      <c r="AX2634" s="5" t="s">
        <v>240</v>
      </c>
      <c r="AY2634" s="5" t="s">
        <v>253</v>
      </c>
      <c r="AZ2634" s="5" t="s">
        <v>240</v>
      </c>
      <c r="BA2634" s="5" t="s">
        <v>255</v>
      </c>
      <c r="BB2634" s="5" t="s">
        <v>240</v>
      </c>
      <c r="BD2634" s="5" t="s">
        <v>240</v>
      </c>
      <c r="BF2634" s="5" t="s">
        <v>301</v>
      </c>
      <c r="BG2634" s="6" t="s">
        <v>299</v>
      </c>
      <c r="BH2634" s="5" t="s">
        <v>302</v>
      </c>
      <c r="BI2634" s="5" t="s">
        <v>303</v>
      </c>
      <c r="BJ2634" s="5" t="s">
        <v>240</v>
      </c>
      <c r="BK2634" s="8">
        <f>0</f>
        <v>0</v>
      </c>
      <c r="BL2634" s="7">
        <f>0</f>
        <v>0</v>
      </c>
      <c r="BM2634" s="5" t="s">
        <v>258</v>
      </c>
      <c r="BN2634" s="5" t="s">
        <v>259</v>
      </c>
      <c r="CB2634" s="5" t="s">
        <v>240</v>
      </c>
      <c r="CC2634" s="5" t="s">
        <v>240</v>
      </c>
      <c r="CG2634" s="5" t="s">
        <v>304</v>
      </c>
      <c r="CH2634" s="5" t="s">
        <v>305</v>
      </c>
      <c r="CI2634" s="5" t="s">
        <v>240</v>
      </c>
      <c r="CL2634" s="6" t="s">
        <v>261</v>
      </c>
      <c r="CM2634" s="5" t="s">
        <v>240</v>
      </c>
      <c r="CN2634" s="5" t="s">
        <v>263</v>
      </c>
      <c r="CO2634" s="5" t="s">
        <v>240</v>
      </c>
      <c r="CP2634" s="5" t="s">
        <v>240</v>
      </c>
      <c r="CQ2634" s="5">
        <v>0</v>
      </c>
      <c r="CR2634" s="5" t="s">
        <v>306</v>
      </c>
      <c r="CS2634" s="5" t="s">
        <v>307</v>
      </c>
      <c r="CT2634" s="5" t="s">
        <v>307</v>
      </c>
      <c r="CU2634" s="5" t="s">
        <v>260</v>
      </c>
      <c r="CX2634" s="7">
        <f>1</f>
        <v>1</v>
      </c>
      <c r="CY2634" s="7">
        <f>0</f>
        <v>0</v>
      </c>
      <c r="DA2634" s="7">
        <f>0</f>
        <v>0</v>
      </c>
      <c r="DC2634" s="5" t="s">
        <v>309</v>
      </c>
      <c r="DD2634" s="5" t="s">
        <v>240</v>
      </c>
      <c r="DF2634" s="5" t="s">
        <v>309</v>
      </c>
      <c r="DG2634" s="7">
        <f>1690</f>
        <v>1690</v>
      </c>
      <c r="DI2634" s="5" t="s">
        <v>240</v>
      </c>
      <c r="DJ2634" s="5" t="s">
        <v>240</v>
      </c>
      <c r="DK2634" s="5" t="s">
        <v>240</v>
      </c>
      <c r="DL2634" s="5" t="s">
        <v>240</v>
      </c>
      <c r="DP2634" s="5" t="s">
        <v>240</v>
      </c>
      <c r="DQ2634" s="5" t="s">
        <v>240</v>
      </c>
      <c r="DR2634" s="5" t="s">
        <v>240</v>
      </c>
      <c r="DS2634" s="5" t="s">
        <v>240</v>
      </c>
      <c r="DV2634" s="5" t="s">
        <v>310</v>
      </c>
      <c r="DW2634" s="5" t="s">
        <v>3320</v>
      </c>
      <c r="HO2634" s="5" t="s">
        <v>312</v>
      </c>
    </row>
    <row r="2635" spans="1:223" x14ac:dyDescent="0.4">
      <c r="A2635" s="5">
        <v>4339</v>
      </c>
      <c r="B2635" s="5">
        <v>1</v>
      </c>
      <c r="C2635" s="5">
        <v>1</v>
      </c>
      <c r="D2635" s="5" t="s">
        <v>810</v>
      </c>
      <c r="E2635" s="5" t="s">
        <v>245</v>
      </c>
      <c r="F2635" s="5" t="s">
        <v>254</v>
      </c>
      <c r="G2635" s="5" t="s">
        <v>240</v>
      </c>
      <c r="H2635" s="6" t="s">
        <v>3275</v>
      </c>
      <c r="I2635" s="5" t="s">
        <v>809</v>
      </c>
      <c r="J2635" s="8">
        <f>86</f>
        <v>86</v>
      </c>
      <c r="K2635" s="5" t="s">
        <v>308</v>
      </c>
      <c r="L2635" s="7">
        <f>1</f>
        <v>1</v>
      </c>
      <c r="M2635" s="7">
        <f>1</f>
        <v>1</v>
      </c>
      <c r="N2635" s="5" t="s">
        <v>242</v>
      </c>
      <c r="O2635" s="5">
        <v>1</v>
      </c>
      <c r="P2635" s="5" t="s">
        <v>294</v>
      </c>
      <c r="Q2635" s="5" t="s">
        <v>266</v>
      </c>
      <c r="R2635" s="5" t="s">
        <v>240</v>
      </c>
      <c r="S2635" s="5" t="s">
        <v>240</v>
      </c>
      <c r="T2635" s="5" t="s">
        <v>296</v>
      </c>
      <c r="U2635" s="5" t="s">
        <v>244</v>
      </c>
      <c r="V2635" s="5" t="s">
        <v>240</v>
      </c>
      <c r="Y2635" s="5" t="s">
        <v>240</v>
      </c>
      <c r="Z2635" s="6" t="s">
        <v>298</v>
      </c>
      <c r="AB2635" s="6" t="s">
        <v>240</v>
      </c>
      <c r="AE2635" s="6" t="s">
        <v>299</v>
      </c>
      <c r="AF2635" s="5" t="s">
        <v>248</v>
      </c>
      <c r="AG2635" s="5" t="s">
        <v>249</v>
      </c>
      <c r="AW2635" s="5" t="s">
        <v>251</v>
      </c>
      <c r="AX2635" s="5" t="s">
        <v>240</v>
      </c>
      <c r="AY2635" s="5" t="s">
        <v>253</v>
      </c>
      <c r="AZ2635" s="5" t="s">
        <v>240</v>
      </c>
      <c r="BA2635" s="5" t="s">
        <v>255</v>
      </c>
      <c r="BB2635" s="5" t="s">
        <v>240</v>
      </c>
      <c r="BD2635" s="5" t="s">
        <v>240</v>
      </c>
      <c r="BF2635" s="5" t="s">
        <v>301</v>
      </c>
      <c r="BG2635" s="6" t="s">
        <v>299</v>
      </c>
      <c r="BH2635" s="5" t="s">
        <v>302</v>
      </c>
      <c r="BI2635" s="5" t="s">
        <v>303</v>
      </c>
      <c r="BJ2635" s="5" t="s">
        <v>240</v>
      </c>
      <c r="BK2635" s="8">
        <f>0</f>
        <v>0</v>
      </c>
      <c r="BL2635" s="7">
        <f>0</f>
        <v>0</v>
      </c>
      <c r="BM2635" s="5" t="s">
        <v>258</v>
      </c>
      <c r="BN2635" s="5" t="s">
        <v>259</v>
      </c>
      <c r="CB2635" s="5" t="s">
        <v>240</v>
      </c>
      <c r="CC2635" s="5" t="s">
        <v>240</v>
      </c>
      <c r="CG2635" s="5" t="s">
        <v>304</v>
      </c>
      <c r="CH2635" s="5" t="s">
        <v>305</v>
      </c>
      <c r="CI2635" s="5" t="s">
        <v>240</v>
      </c>
      <c r="CL2635" s="6" t="s">
        <v>261</v>
      </c>
      <c r="CM2635" s="5" t="s">
        <v>240</v>
      </c>
      <c r="CN2635" s="5" t="s">
        <v>263</v>
      </c>
      <c r="CO2635" s="5" t="s">
        <v>240</v>
      </c>
      <c r="CP2635" s="5" t="s">
        <v>240</v>
      </c>
      <c r="CQ2635" s="5">
        <v>0</v>
      </c>
      <c r="CR2635" s="5" t="s">
        <v>306</v>
      </c>
      <c r="CS2635" s="5" t="s">
        <v>307</v>
      </c>
      <c r="CT2635" s="5" t="s">
        <v>307</v>
      </c>
      <c r="CU2635" s="5" t="s">
        <v>260</v>
      </c>
      <c r="CX2635" s="7">
        <f>1</f>
        <v>1</v>
      </c>
      <c r="CY2635" s="7">
        <f>0</f>
        <v>0</v>
      </c>
      <c r="DA2635" s="7">
        <f>0</f>
        <v>0</v>
      </c>
      <c r="DC2635" s="5" t="s">
        <v>309</v>
      </c>
      <c r="DD2635" s="5" t="s">
        <v>240</v>
      </c>
      <c r="DF2635" s="5" t="s">
        <v>309</v>
      </c>
      <c r="DG2635" s="7">
        <f>1437</f>
        <v>1437</v>
      </c>
      <c r="DI2635" s="5" t="s">
        <v>240</v>
      </c>
      <c r="DJ2635" s="5" t="s">
        <v>240</v>
      </c>
      <c r="DK2635" s="5" t="s">
        <v>240</v>
      </c>
      <c r="DL2635" s="5" t="s">
        <v>240</v>
      </c>
      <c r="DP2635" s="5" t="s">
        <v>240</v>
      </c>
      <c r="DQ2635" s="5" t="s">
        <v>240</v>
      </c>
      <c r="DR2635" s="5" t="s">
        <v>240</v>
      </c>
      <c r="DS2635" s="5" t="s">
        <v>240</v>
      </c>
      <c r="DV2635" s="5" t="s">
        <v>310</v>
      </c>
      <c r="DW2635" s="5" t="s">
        <v>3322</v>
      </c>
      <c r="HO2635" s="5" t="s">
        <v>312</v>
      </c>
    </row>
    <row r="2636" spans="1:223" x14ac:dyDescent="0.4">
      <c r="A2636" s="5">
        <v>4340</v>
      </c>
      <c r="B2636" s="5">
        <v>1</v>
      </c>
      <c r="C2636" s="5">
        <v>1</v>
      </c>
      <c r="D2636" s="5" t="s">
        <v>810</v>
      </c>
      <c r="E2636" s="5" t="s">
        <v>245</v>
      </c>
      <c r="F2636" s="5" t="s">
        <v>254</v>
      </c>
      <c r="G2636" s="5" t="s">
        <v>240</v>
      </c>
      <c r="H2636" s="6" t="s">
        <v>3273</v>
      </c>
      <c r="I2636" s="5" t="s">
        <v>809</v>
      </c>
      <c r="J2636" s="8">
        <f>2440</f>
        <v>2440</v>
      </c>
      <c r="K2636" s="5" t="s">
        <v>308</v>
      </c>
      <c r="L2636" s="7">
        <f>1</f>
        <v>1</v>
      </c>
      <c r="M2636" s="7">
        <f>1</f>
        <v>1</v>
      </c>
      <c r="N2636" s="5" t="s">
        <v>242</v>
      </c>
      <c r="O2636" s="5">
        <v>1</v>
      </c>
      <c r="P2636" s="5" t="s">
        <v>294</v>
      </c>
      <c r="Q2636" s="5" t="s">
        <v>266</v>
      </c>
      <c r="R2636" s="5" t="s">
        <v>240</v>
      </c>
      <c r="S2636" s="5" t="s">
        <v>240</v>
      </c>
      <c r="T2636" s="5" t="s">
        <v>296</v>
      </c>
      <c r="U2636" s="5" t="s">
        <v>244</v>
      </c>
      <c r="V2636" s="5" t="s">
        <v>240</v>
      </c>
      <c r="Y2636" s="5" t="s">
        <v>240</v>
      </c>
      <c r="Z2636" s="6" t="s">
        <v>298</v>
      </c>
      <c r="AB2636" s="6" t="s">
        <v>240</v>
      </c>
      <c r="AE2636" s="6" t="s">
        <v>299</v>
      </c>
      <c r="AF2636" s="5" t="s">
        <v>248</v>
      </c>
      <c r="AG2636" s="5" t="s">
        <v>249</v>
      </c>
      <c r="AW2636" s="5" t="s">
        <v>251</v>
      </c>
      <c r="AX2636" s="5" t="s">
        <v>240</v>
      </c>
      <c r="AY2636" s="5" t="s">
        <v>253</v>
      </c>
      <c r="AZ2636" s="5" t="s">
        <v>240</v>
      </c>
      <c r="BA2636" s="5" t="s">
        <v>255</v>
      </c>
      <c r="BB2636" s="5" t="s">
        <v>240</v>
      </c>
      <c r="BD2636" s="5" t="s">
        <v>240</v>
      </c>
      <c r="BF2636" s="5" t="s">
        <v>301</v>
      </c>
      <c r="BG2636" s="6" t="s">
        <v>299</v>
      </c>
      <c r="BH2636" s="5" t="s">
        <v>302</v>
      </c>
      <c r="BI2636" s="5" t="s">
        <v>303</v>
      </c>
      <c r="BJ2636" s="5" t="s">
        <v>240</v>
      </c>
      <c r="BK2636" s="8">
        <f>0</f>
        <v>0</v>
      </c>
      <c r="BL2636" s="7">
        <f>0</f>
        <v>0</v>
      </c>
      <c r="BM2636" s="5" t="s">
        <v>258</v>
      </c>
      <c r="BN2636" s="5" t="s">
        <v>259</v>
      </c>
      <c r="CB2636" s="5" t="s">
        <v>240</v>
      </c>
      <c r="CC2636" s="5" t="s">
        <v>240</v>
      </c>
      <c r="CG2636" s="5" t="s">
        <v>304</v>
      </c>
      <c r="CH2636" s="5" t="s">
        <v>305</v>
      </c>
      <c r="CI2636" s="5" t="s">
        <v>240</v>
      </c>
      <c r="CL2636" s="6" t="s">
        <v>261</v>
      </c>
      <c r="CM2636" s="5" t="s">
        <v>240</v>
      </c>
      <c r="CN2636" s="5" t="s">
        <v>263</v>
      </c>
      <c r="CO2636" s="5" t="s">
        <v>240</v>
      </c>
      <c r="CP2636" s="5" t="s">
        <v>240</v>
      </c>
      <c r="CQ2636" s="5">
        <v>0</v>
      </c>
      <c r="CR2636" s="5" t="s">
        <v>306</v>
      </c>
      <c r="CS2636" s="5" t="s">
        <v>307</v>
      </c>
      <c r="CT2636" s="5" t="s">
        <v>307</v>
      </c>
      <c r="CU2636" s="5" t="s">
        <v>260</v>
      </c>
      <c r="CX2636" s="7">
        <f>1</f>
        <v>1</v>
      </c>
      <c r="CY2636" s="7">
        <f>0</f>
        <v>0</v>
      </c>
      <c r="DA2636" s="7">
        <f>0</f>
        <v>0</v>
      </c>
      <c r="DC2636" s="5" t="s">
        <v>309</v>
      </c>
      <c r="DD2636" s="5" t="s">
        <v>240</v>
      </c>
      <c r="DF2636" s="5" t="s">
        <v>309</v>
      </c>
      <c r="DG2636" s="7">
        <f>58</f>
        <v>58</v>
      </c>
      <c r="DI2636" s="5" t="s">
        <v>240</v>
      </c>
      <c r="DJ2636" s="5" t="s">
        <v>240</v>
      </c>
      <c r="DK2636" s="5" t="s">
        <v>240</v>
      </c>
      <c r="DL2636" s="5" t="s">
        <v>240</v>
      </c>
      <c r="DP2636" s="5" t="s">
        <v>240</v>
      </c>
      <c r="DQ2636" s="5" t="s">
        <v>240</v>
      </c>
      <c r="DR2636" s="5" t="s">
        <v>240</v>
      </c>
      <c r="DS2636" s="5" t="s">
        <v>240</v>
      </c>
      <c r="DV2636" s="5" t="s">
        <v>310</v>
      </c>
      <c r="DW2636" s="5" t="s">
        <v>3324</v>
      </c>
      <c r="HO2636" s="5" t="s">
        <v>312</v>
      </c>
    </row>
    <row r="2637" spans="1:223" x14ac:dyDescent="0.4">
      <c r="A2637" s="5">
        <v>4341</v>
      </c>
      <c r="B2637" s="5">
        <v>1</v>
      </c>
      <c r="C2637" s="5">
        <v>1</v>
      </c>
      <c r="D2637" s="5" t="s">
        <v>810</v>
      </c>
      <c r="E2637" s="5" t="s">
        <v>245</v>
      </c>
      <c r="F2637" s="5" t="s">
        <v>254</v>
      </c>
      <c r="G2637" s="5" t="s">
        <v>240</v>
      </c>
      <c r="H2637" s="6" t="s">
        <v>4924</v>
      </c>
      <c r="I2637" s="5" t="s">
        <v>809</v>
      </c>
      <c r="J2637" s="8">
        <f>1115</f>
        <v>1115</v>
      </c>
      <c r="K2637" s="5" t="s">
        <v>308</v>
      </c>
      <c r="L2637" s="7">
        <f>1</f>
        <v>1</v>
      </c>
      <c r="M2637" s="7">
        <f>1</f>
        <v>1</v>
      </c>
      <c r="N2637" s="5" t="s">
        <v>242</v>
      </c>
      <c r="O2637" s="5">
        <v>1</v>
      </c>
      <c r="P2637" s="5" t="s">
        <v>294</v>
      </c>
      <c r="Q2637" s="5" t="s">
        <v>266</v>
      </c>
      <c r="R2637" s="5" t="s">
        <v>240</v>
      </c>
      <c r="S2637" s="5" t="s">
        <v>240</v>
      </c>
      <c r="T2637" s="5" t="s">
        <v>296</v>
      </c>
      <c r="U2637" s="5" t="s">
        <v>244</v>
      </c>
      <c r="V2637" s="5" t="s">
        <v>240</v>
      </c>
      <c r="Y2637" s="5" t="s">
        <v>240</v>
      </c>
      <c r="Z2637" s="6" t="s">
        <v>298</v>
      </c>
      <c r="AB2637" s="6" t="s">
        <v>240</v>
      </c>
      <c r="AE2637" s="6" t="s">
        <v>299</v>
      </c>
      <c r="AF2637" s="5" t="s">
        <v>248</v>
      </c>
      <c r="AG2637" s="5" t="s">
        <v>249</v>
      </c>
      <c r="AW2637" s="5" t="s">
        <v>251</v>
      </c>
      <c r="AX2637" s="5" t="s">
        <v>240</v>
      </c>
      <c r="AY2637" s="5" t="s">
        <v>253</v>
      </c>
      <c r="AZ2637" s="5" t="s">
        <v>240</v>
      </c>
      <c r="BA2637" s="5" t="s">
        <v>255</v>
      </c>
      <c r="BB2637" s="5" t="s">
        <v>240</v>
      </c>
      <c r="BD2637" s="5" t="s">
        <v>240</v>
      </c>
      <c r="BF2637" s="5" t="s">
        <v>301</v>
      </c>
      <c r="BG2637" s="6" t="s">
        <v>299</v>
      </c>
      <c r="BH2637" s="5" t="s">
        <v>302</v>
      </c>
      <c r="BI2637" s="5" t="s">
        <v>303</v>
      </c>
      <c r="BJ2637" s="5" t="s">
        <v>240</v>
      </c>
      <c r="BK2637" s="8">
        <f>0</f>
        <v>0</v>
      </c>
      <c r="BL2637" s="7">
        <f>0</f>
        <v>0</v>
      </c>
      <c r="BM2637" s="5" t="s">
        <v>258</v>
      </c>
      <c r="BN2637" s="5" t="s">
        <v>259</v>
      </c>
      <c r="CB2637" s="5" t="s">
        <v>240</v>
      </c>
      <c r="CC2637" s="5" t="s">
        <v>240</v>
      </c>
      <c r="CG2637" s="5" t="s">
        <v>304</v>
      </c>
      <c r="CH2637" s="5" t="s">
        <v>305</v>
      </c>
      <c r="CI2637" s="5" t="s">
        <v>240</v>
      </c>
      <c r="CL2637" s="6" t="s">
        <v>261</v>
      </c>
      <c r="CM2637" s="5" t="s">
        <v>240</v>
      </c>
      <c r="CN2637" s="5" t="s">
        <v>263</v>
      </c>
      <c r="CO2637" s="5" t="s">
        <v>240</v>
      </c>
      <c r="CP2637" s="5" t="s">
        <v>240</v>
      </c>
      <c r="CQ2637" s="5">
        <v>0</v>
      </c>
      <c r="CR2637" s="5" t="s">
        <v>306</v>
      </c>
      <c r="CS2637" s="5" t="s">
        <v>307</v>
      </c>
      <c r="CT2637" s="5" t="s">
        <v>307</v>
      </c>
      <c r="CU2637" s="5" t="s">
        <v>260</v>
      </c>
      <c r="CX2637" s="7">
        <f>1</f>
        <v>1</v>
      </c>
      <c r="CY2637" s="7">
        <f>0</f>
        <v>0</v>
      </c>
      <c r="DA2637" s="7">
        <f>0</f>
        <v>0</v>
      </c>
      <c r="DC2637" s="5" t="s">
        <v>309</v>
      </c>
      <c r="DD2637" s="5" t="s">
        <v>240</v>
      </c>
      <c r="DF2637" s="5" t="s">
        <v>309</v>
      </c>
      <c r="DG2637" s="7">
        <f>1704</f>
        <v>1704</v>
      </c>
      <c r="DI2637" s="5" t="s">
        <v>240</v>
      </c>
      <c r="DJ2637" s="5" t="s">
        <v>240</v>
      </c>
      <c r="DK2637" s="5" t="s">
        <v>240</v>
      </c>
      <c r="DL2637" s="5" t="s">
        <v>240</v>
      </c>
      <c r="DP2637" s="5" t="s">
        <v>240</v>
      </c>
      <c r="DQ2637" s="5" t="s">
        <v>240</v>
      </c>
      <c r="DR2637" s="5" t="s">
        <v>240</v>
      </c>
      <c r="DS2637" s="5" t="s">
        <v>240</v>
      </c>
      <c r="DV2637" s="5" t="s">
        <v>310</v>
      </c>
      <c r="DW2637" s="5" t="s">
        <v>3326</v>
      </c>
      <c r="HO2637" s="5" t="s">
        <v>312</v>
      </c>
    </row>
    <row r="2638" spans="1:223" x14ac:dyDescent="0.4">
      <c r="A2638" s="5">
        <v>4342</v>
      </c>
      <c r="B2638" s="5">
        <v>1</v>
      </c>
      <c r="C2638" s="5">
        <v>1</v>
      </c>
      <c r="D2638" s="5" t="s">
        <v>810</v>
      </c>
      <c r="E2638" s="5" t="s">
        <v>245</v>
      </c>
      <c r="F2638" s="5" t="s">
        <v>254</v>
      </c>
      <c r="G2638" s="5" t="s">
        <v>240</v>
      </c>
      <c r="H2638" s="6" t="s">
        <v>3270</v>
      </c>
      <c r="I2638" s="5" t="s">
        <v>809</v>
      </c>
      <c r="J2638" s="8">
        <f>247</f>
        <v>247</v>
      </c>
      <c r="K2638" s="5" t="s">
        <v>308</v>
      </c>
      <c r="L2638" s="7">
        <f>1</f>
        <v>1</v>
      </c>
      <c r="M2638" s="7">
        <f>1</f>
        <v>1</v>
      </c>
      <c r="N2638" s="5" t="s">
        <v>242</v>
      </c>
      <c r="O2638" s="5">
        <v>1</v>
      </c>
      <c r="P2638" s="5" t="s">
        <v>294</v>
      </c>
      <c r="Q2638" s="5" t="s">
        <v>266</v>
      </c>
      <c r="R2638" s="5" t="s">
        <v>240</v>
      </c>
      <c r="S2638" s="5" t="s">
        <v>240</v>
      </c>
      <c r="T2638" s="5" t="s">
        <v>296</v>
      </c>
      <c r="U2638" s="5" t="s">
        <v>244</v>
      </c>
      <c r="V2638" s="5" t="s">
        <v>240</v>
      </c>
      <c r="Y2638" s="5" t="s">
        <v>240</v>
      </c>
      <c r="Z2638" s="6" t="s">
        <v>298</v>
      </c>
      <c r="AB2638" s="6" t="s">
        <v>240</v>
      </c>
      <c r="AE2638" s="6" t="s">
        <v>299</v>
      </c>
      <c r="AF2638" s="5" t="s">
        <v>248</v>
      </c>
      <c r="AG2638" s="5" t="s">
        <v>249</v>
      </c>
      <c r="AW2638" s="5" t="s">
        <v>251</v>
      </c>
      <c r="AX2638" s="5" t="s">
        <v>240</v>
      </c>
      <c r="AY2638" s="5" t="s">
        <v>253</v>
      </c>
      <c r="AZ2638" s="5" t="s">
        <v>240</v>
      </c>
      <c r="BA2638" s="5" t="s">
        <v>255</v>
      </c>
      <c r="BB2638" s="5" t="s">
        <v>240</v>
      </c>
      <c r="BD2638" s="5" t="s">
        <v>240</v>
      </c>
      <c r="BF2638" s="5" t="s">
        <v>301</v>
      </c>
      <c r="BG2638" s="6" t="s">
        <v>299</v>
      </c>
      <c r="BH2638" s="5" t="s">
        <v>302</v>
      </c>
      <c r="BI2638" s="5" t="s">
        <v>303</v>
      </c>
      <c r="BJ2638" s="5" t="s">
        <v>240</v>
      </c>
      <c r="BK2638" s="8">
        <f>0</f>
        <v>0</v>
      </c>
      <c r="BL2638" s="7">
        <f>0</f>
        <v>0</v>
      </c>
      <c r="BM2638" s="5" t="s">
        <v>258</v>
      </c>
      <c r="BN2638" s="5" t="s">
        <v>259</v>
      </c>
      <c r="CB2638" s="5" t="s">
        <v>240</v>
      </c>
      <c r="CC2638" s="5" t="s">
        <v>240</v>
      </c>
      <c r="CG2638" s="5" t="s">
        <v>304</v>
      </c>
      <c r="CH2638" s="5" t="s">
        <v>305</v>
      </c>
      <c r="CI2638" s="5" t="s">
        <v>240</v>
      </c>
      <c r="CL2638" s="6" t="s">
        <v>261</v>
      </c>
      <c r="CM2638" s="5" t="s">
        <v>240</v>
      </c>
      <c r="CN2638" s="5" t="s">
        <v>263</v>
      </c>
      <c r="CO2638" s="5" t="s">
        <v>240</v>
      </c>
      <c r="CP2638" s="5" t="s">
        <v>240</v>
      </c>
      <c r="CQ2638" s="5">
        <v>0</v>
      </c>
      <c r="CR2638" s="5" t="s">
        <v>306</v>
      </c>
      <c r="CS2638" s="5" t="s">
        <v>307</v>
      </c>
      <c r="CT2638" s="5" t="s">
        <v>307</v>
      </c>
      <c r="CU2638" s="5" t="s">
        <v>260</v>
      </c>
      <c r="CX2638" s="7">
        <f>1</f>
        <v>1</v>
      </c>
      <c r="CY2638" s="7">
        <f>0</f>
        <v>0</v>
      </c>
      <c r="DA2638" s="7">
        <f>0</f>
        <v>0</v>
      </c>
      <c r="DC2638" s="5" t="s">
        <v>309</v>
      </c>
      <c r="DD2638" s="5" t="s">
        <v>240</v>
      </c>
      <c r="DF2638" s="5" t="s">
        <v>309</v>
      </c>
      <c r="DG2638" s="7">
        <f>358</f>
        <v>358</v>
      </c>
      <c r="DI2638" s="5" t="s">
        <v>240</v>
      </c>
      <c r="DJ2638" s="5" t="s">
        <v>240</v>
      </c>
      <c r="DK2638" s="5" t="s">
        <v>240</v>
      </c>
      <c r="DL2638" s="5" t="s">
        <v>240</v>
      </c>
      <c r="DP2638" s="5" t="s">
        <v>240</v>
      </c>
      <c r="DQ2638" s="5" t="s">
        <v>240</v>
      </c>
      <c r="DR2638" s="5" t="s">
        <v>240</v>
      </c>
      <c r="DS2638" s="5" t="s">
        <v>240</v>
      </c>
      <c r="DV2638" s="5" t="s">
        <v>310</v>
      </c>
      <c r="DW2638" s="5" t="s">
        <v>3328</v>
      </c>
      <c r="HO2638" s="5" t="s">
        <v>312</v>
      </c>
    </row>
    <row r="2639" spans="1:223" x14ac:dyDescent="0.4">
      <c r="A2639" s="5">
        <v>4343</v>
      </c>
      <c r="B2639" s="5">
        <v>1</v>
      </c>
      <c r="C2639" s="5">
        <v>1</v>
      </c>
      <c r="D2639" s="5" t="s">
        <v>810</v>
      </c>
      <c r="E2639" s="5" t="s">
        <v>245</v>
      </c>
      <c r="F2639" s="5" t="s">
        <v>254</v>
      </c>
      <c r="G2639" s="5" t="s">
        <v>240</v>
      </c>
      <c r="H2639" s="6" t="s">
        <v>3268</v>
      </c>
      <c r="I2639" s="5" t="s">
        <v>809</v>
      </c>
      <c r="J2639" s="8">
        <f>1687</f>
        <v>1687</v>
      </c>
      <c r="K2639" s="5" t="s">
        <v>308</v>
      </c>
      <c r="L2639" s="7">
        <f>1</f>
        <v>1</v>
      </c>
      <c r="M2639" s="7">
        <f>1</f>
        <v>1</v>
      </c>
      <c r="N2639" s="5" t="s">
        <v>242</v>
      </c>
      <c r="O2639" s="5">
        <v>1</v>
      </c>
      <c r="P2639" s="5" t="s">
        <v>294</v>
      </c>
      <c r="Q2639" s="5" t="s">
        <v>266</v>
      </c>
      <c r="R2639" s="5" t="s">
        <v>240</v>
      </c>
      <c r="S2639" s="5" t="s">
        <v>240</v>
      </c>
      <c r="T2639" s="5" t="s">
        <v>296</v>
      </c>
      <c r="U2639" s="5" t="s">
        <v>244</v>
      </c>
      <c r="V2639" s="5" t="s">
        <v>240</v>
      </c>
      <c r="Y2639" s="5" t="s">
        <v>240</v>
      </c>
      <c r="Z2639" s="6" t="s">
        <v>298</v>
      </c>
      <c r="AB2639" s="6" t="s">
        <v>240</v>
      </c>
      <c r="AE2639" s="6" t="s">
        <v>299</v>
      </c>
      <c r="AF2639" s="5" t="s">
        <v>248</v>
      </c>
      <c r="AG2639" s="5" t="s">
        <v>249</v>
      </c>
      <c r="AW2639" s="5" t="s">
        <v>251</v>
      </c>
      <c r="AX2639" s="5" t="s">
        <v>240</v>
      </c>
      <c r="AY2639" s="5" t="s">
        <v>253</v>
      </c>
      <c r="AZ2639" s="5" t="s">
        <v>240</v>
      </c>
      <c r="BA2639" s="5" t="s">
        <v>255</v>
      </c>
      <c r="BB2639" s="5" t="s">
        <v>240</v>
      </c>
      <c r="BD2639" s="5" t="s">
        <v>240</v>
      </c>
      <c r="BF2639" s="5" t="s">
        <v>301</v>
      </c>
      <c r="BG2639" s="6" t="s">
        <v>299</v>
      </c>
      <c r="BH2639" s="5" t="s">
        <v>302</v>
      </c>
      <c r="BI2639" s="5" t="s">
        <v>303</v>
      </c>
      <c r="BJ2639" s="5" t="s">
        <v>240</v>
      </c>
      <c r="BK2639" s="8">
        <f>0</f>
        <v>0</v>
      </c>
      <c r="BL2639" s="7">
        <f>0</f>
        <v>0</v>
      </c>
      <c r="BM2639" s="5" t="s">
        <v>258</v>
      </c>
      <c r="BN2639" s="5" t="s">
        <v>259</v>
      </c>
      <c r="CB2639" s="5" t="s">
        <v>240</v>
      </c>
      <c r="CC2639" s="5" t="s">
        <v>240</v>
      </c>
      <c r="CG2639" s="5" t="s">
        <v>304</v>
      </c>
      <c r="CH2639" s="5" t="s">
        <v>305</v>
      </c>
      <c r="CI2639" s="5" t="s">
        <v>240</v>
      </c>
      <c r="CL2639" s="6" t="s">
        <v>261</v>
      </c>
      <c r="CM2639" s="5" t="s">
        <v>240</v>
      </c>
      <c r="CN2639" s="5" t="s">
        <v>263</v>
      </c>
      <c r="CO2639" s="5" t="s">
        <v>240</v>
      </c>
      <c r="CP2639" s="5" t="s">
        <v>240</v>
      </c>
      <c r="CQ2639" s="5">
        <v>0</v>
      </c>
      <c r="CR2639" s="5" t="s">
        <v>306</v>
      </c>
      <c r="CS2639" s="5" t="s">
        <v>307</v>
      </c>
      <c r="CT2639" s="5" t="s">
        <v>307</v>
      </c>
      <c r="CU2639" s="5" t="s">
        <v>260</v>
      </c>
      <c r="CX2639" s="7">
        <f>1</f>
        <v>1</v>
      </c>
      <c r="CY2639" s="7">
        <f>0</f>
        <v>0</v>
      </c>
      <c r="DA2639" s="7">
        <f>0</f>
        <v>0</v>
      </c>
      <c r="DC2639" s="5" t="s">
        <v>309</v>
      </c>
      <c r="DD2639" s="5" t="s">
        <v>240</v>
      </c>
      <c r="DF2639" s="5" t="s">
        <v>309</v>
      </c>
      <c r="DG2639" s="7">
        <f>1364</f>
        <v>1364</v>
      </c>
      <c r="DI2639" s="5" t="s">
        <v>240</v>
      </c>
      <c r="DJ2639" s="5" t="s">
        <v>240</v>
      </c>
      <c r="DK2639" s="5" t="s">
        <v>240</v>
      </c>
      <c r="DL2639" s="5" t="s">
        <v>240</v>
      </c>
      <c r="DP2639" s="5" t="s">
        <v>240</v>
      </c>
      <c r="DQ2639" s="5" t="s">
        <v>240</v>
      </c>
      <c r="DR2639" s="5" t="s">
        <v>240</v>
      </c>
      <c r="DS2639" s="5" t="s">
        <v>240</v>
      </c>
      <c r="DV2639" s="5" t="s">
        <v>310</v>
      </c>
      <c r="DW2639" s="5" t="s">
        <v>3330</v>
      </c>
      <c r="HO2639" s="5" t="s">
        <v>312</v>
      </c>
    </row>
    <row r="2640" spans="1:223" x14ac:dyDescent="0.4">
      <c r="A2640" s="5">
        <v>4344</v>
      </c>
      <c r="B2640" s="5">
        <v>1</v>
      </c>
      <c r="C2640" s="5">
        <v>1</v>
      </c>
      <c r="D2640" s="5" t="s">
        <v>810</v>
      </c>
      <c r="E2640" s="5" t="s">
        <v>245</v>
      </c>
      <c r="F2640" s="5" t="s">
        <v>254</v>
      </c>
      <c r="G2640" s="5" t="s">
        <v>240</v>
      </c>
      <c r="H2640" s="6" t="s">
        <v>3266</v>
      </c>
      <c r="I2640" s="5" t="s">
        <v>809</v>
      </c>
      <c r="J2640" s="8">
        <f>1538</f>
        <v>1538</v>
      </c>
      <c r="K2640" s="5" t="s">
        <v>308</v>
      </c>
      <c r="L2640" s="7">
        <f>1</f>
        <v>1</v>
      </c>
      <c r="M2640" s="7">
        <f>1</f>
        <v>1</v>
      </c>
      <c r="N2640" s="5" t="s">
        <v>242</v>
      </c>
      <c r="O2640" s="5">
        <v>1</v>
      </c>
      <c r="P2640" s="5" t="s">
        <v>294</v>
      </c>
      <c r="Q2640" s="5" t="s">
        <v>266</v>
      </c>
      <c r="R2640" s="5" t="s">
        <v>240</v>
      </c>
      <c r="S2640" s="5" t="s">
        <v>240</v>
      </c>
      <c r="T2640" s="5" t="s">
        <v>296</v>
      </c>
      <c r="U2640" s="5" t="s">
        <v>244</v>
      </c>
      <c r="V2640" s="5" t="s">
        <v>240</v>
      </c>
      <c r="Y2640" s="5" t="s">
        <v>240</v>
      </c>
      <c r="Z2640" s="6" t="s">
        <v>298</v>
      </c>
      <c r="AB2640" s="6" t="s">
        <v>240</v>
      </c>
      <c r="AE2640" s="6" t="s">
        <v>299</v>
      </c>
      <c r="AF2640" s="5" t="s">
        <v>248</v>
      </c>
      <c r="AG2640" s="5" t="s">
        <v>249</v>
      </c>
      <c r="AW2640" s="5" t="s">
        <v>251</v>
      </c>
      <c r="AX2640" s="5" t="s">
        <v>240</v>
      </c>
      <c r="AY2640" s="5" t="s">
        <v>253</v>
      </c>
      <c r="AZ2640" s="5" t="s">
        <v>240</v>
      </c>
      <c r="BA2640" s="5" t="s">
        <v>255</v>
      </c>
      <c r="BB2640" s="5" t="s">
        <v>240</v>
      </c>
      <c r="BD2640" s="5" t="s">
        <v>240</v>
      </c>
      <c r="BF2640" s="5" t="s">
        <v>301</v>
      </c>
      <c r="BG2640" s="6" t="s">
        <v>299</v>
      </c>
      <c r="BH2640" s="5" t="s">
        <v>302</v>
      </c>
      <c r="BI2640" s="5" t="s">
        <v>303</v>
      </c>
      <c r="BJ2640" s="5" t="s">
        <v>240</v>
      </c>
      <c r="BK2640" s="8">
        <f>0</f>
        <v>0</v>
      </c>
      <c r="BL2640" s="7">
        <f>0</f>
        <v>0</v>
      </c>
      <c r="BM2640" s="5" t="s">
        <v>258</v>
      </c>
      <c r="BN2640" s="5" t="s">
        <v>259</v>
      </c>
      <c r="CB2640" s="5" t="s">
        <v>240</v>
      </c>
      <c r="CC2640" s="5" t="s">
        <v>240</v>
      </c>
      <c r="CG2640" s="5" t="s">
        <v>304</v>
      </c>
      <c r="CH2640" s="5" t="s">
        <v>305</v>
      </c>
      <c r="CI2640" s="5" t="s">
        <v>240</v>
      </c>
      <c r="CL2640" s="6" t="s">
        <v>261</v>
      </c>
      <c r="CM2640" s="5" t="s">
        <v>240</v>
      </c>
      <c r="CN2640" s="5" t="s">
        <v>263</v>
      </c>
      <c r="CO2640" s="5" t="s">
        <v>240</v>
      </c>
      <c r="CP2640" s="5" t="s">
        <v>240</v>
      </c>
      <c r="CQ2640" s="5">
        <v>0</v>
      </c>
      <c r="CR2640" s="5" t="s">
        <v>306</v>
      </c>
      <c r="CS2640" s="5" t="s">
        <v>307</v>
      </c>
      <c r="CT2640" s="5" t="s">
        <v>307</v>
      </c>
      <c r="CU2640" s="5" t="s">
        <v>260</v>
      </c>
      <c r="CX2640" s="7">
        <f>1</f>
        <v>1</v>
      </c>
      <c r="CY2640" s="7">
        <f>0</f>
        <v>0</v>
      </c>
      <c r="DA2640" s="7">
        <f>0</f>
        <v>0</v>
      </c>
      <c r="DC2640" s="5" t="s">
        <v>309</v>
      </c>
      <c r="DD2640" s="5" t="s">
        <v>240</v>
      </c>
      <c r="DF2640" s="5" t="s">
        <v>309</v>
      </c>
      <c r="DG2640" s="7">
        <f>1511</f>
        <v>1511</v>
      </c>
      <c r="DI2640" s="5" t="s">
        <v>240</v>
      </c>
      <c r="DJ2640" s="5" t="s">
        <v>240</v>
      </c>
      <c r="DK2640" s="5" t="s">
        <v>240</v>
      </c>
      <c r="DL2640" s="5" t="s">
        <v>240</v>
      </c>
      <c r="DP2640" s="5" t="s">
        <v>240</v>
      </c>
      <c r="DQ2640" s="5" t="s">
        <v>240</v>
      </c>
      <c r="DR2640" s="5" t="s">
        <v>240</v>
      </c>
      <c r="DS2640" s="5" t="s">
        <v>240</v>
      </c>
      <c r="DV2640" s="5" t="s">
        <v>310</v>
      </c>
      <c r="DW2640" s="5" t="s">
        <v>3332</v>
      </c>
      <c r="HO2640" s="5" t="s">
        <v>312</v>
      </c>
    </row>
    <row r="2641" spans="1:223" x14ac:dyDescent="0.4">
      <c r="A2641" s="5">
        <v>4345</v>
      </c>
      <c r="B2641" s="5">
        <v>1</v>
      </c>
      <c r="C2641" s="5">
        <v>1</v>
      </c>
      <c r="D2641" s="5" t="s">
        <v>810</v>
      </c>
      <c r="E2641" s="5" t="s">
        <v>245</v>
      </c>
      <c r="F2641" s="5" t="s">
        <v>254</v>
      </c>
      <c r="G2641" s="5" t="s">
        <v>240</v>
      </c>
      <c r="H2641" s="6" t="s">
        <v>3264</v>
      </c>
      <c r="I2641" s="5" t="s">
        <v>809</v>
      </c>
      <c r="J2641" s="8">
        <f>1683</f>
        <v>1683</v>
      </c>
      <c r="K2641" s="5" t="s">
        <v>308</v>
      </c>
      <c r="L2641" s="7">
        <f>1</f>
        <v>1</v>
      </c>
      <c r="M2641" s="7">
        <f>1</f>
        <v>1</v>
      </c>
      <c r="N2641" s="5" t="s">
        <v>242</v>
      </c>
      <c r="O2641" s="5">
        <v>1</v>
      </c>
      <c r="P2641" s="5" t="s">
        <v>294</v>
      </c>
      <c r="Q2641" s="5" t="s">
        <v>266</v>
      </c>
      <c r="R2641" s="5" t="s">
        <v>240</v>
      </c>
      <c r="S2641" s="5" t="s">
        <v>240</v>
      </c>
      <c r="T2641" s="5" t="s">
        <v>296</v>
      </c>
      <c r="U2641" s="5" t="s">
        <v>244</v>
      </c>
      <c r="V2641" s="5" t="s">
        <v>240</v>
      </c>
      <c r="Y2641" s="5" t="s">
        <v>240</v>
      </c>
      <c r="Z2641" s="6" t="s">
        <v>298</v>
      </c>
      <c r="AB2641" s="6" t="s">
        <v>240</v>
      </c>
      <c r="AE2641" s="6" t="s">
        <v>299</v>
      </c>
      <c r="AF2641" s="5" t="s">
        <v>248</v>
      </c>
      <c r="AG2641" s="5" t="s">
        <v>249</v>
      </c>
      <c r="AW2641" s="5" t="s">
        <v>251</v>
      </c>
      <c r="AX2641" s="5" t="s">
        <v>240</v>
      </c>
      <c r="AY2641" s="5" t="s">
        <v>253</v>
      </c>
      <c r="AZ2641" s="5" t="s">
        <v>240</v>
      </c>
      <c r="BA2641" s="5" t="s">
        <v>255</v>
      </c>
      <c r="BB2641" s="5" t="s">
        <v>240</v>
      </c>
      <c r="BD2641" s="5" t="s">
        <v>240</v>
      </c>
      <c r="BF2641" s="5" t="s">
        <v>301</v>
      </c>
      <c r="BG2641" s="6" t="s">
        <v>299</v>
      </c>
      <c r="BH2641" s="5" t="s">
        <v>302</v>
      </c>
      <c r="BI2641" s="5" t="s">
        <v>303</v>
      </c>
      <c r="BJ2641" s="5" t="s">
        <v>240</v>
      </c>
      <c r="BK2641" s="8">
        <f>0</f>
        <v>0</v>
      </c>
      <c r="BL2641" s="7">
        <f>0</f>
        <v>0</v>
      </c>
      <c r="BM2641" s="5" t="s">
        <v>258</v>
      </c>
      <c r="BN2641" s="5" t="s">
        <v>259</v>
      </c>
      <c r="CB2641" s="5" t="s">
        <v>240</v>
      </c>
      <c r="CC2641" s="5" t="s">
        <v>240</v>
      </c>
      <c r="CG2641" s="5" t="s">
        <v>304</v>
      </c>
      <c r="CH2641" s="5" t="s">
        <v>305</v>
      </c>
      <c r="CI2641" s="5" t="s">
        <v>240</v>
      </c>
      <c r="CL2641" s="6" t="s">
        <v>261</v>
      </c>
      <c r="CM2641" s="5" t="s">
        <v>240</v>
      </c>
      <c r="CN2641" s="5" t="s">
        <v>263</v>
      </c>
      <c r="CO2641" s="5" t="s">
        <v>240</v>
      </c>
      <c r="CP2641" s="5" t="s">
        <v>240</v>
      </c>
      <c r="CQ2641" s="5">
        <v>0</v>
      </c>
      <c r="CR2641" s="5" t="s">
        <v>306</v>
      </c>
      <c r="CS2641" s="5" t="s">
        <v>307</v>
      </c>
      <c r="CT2641" s="5" t="s">
        <v>307</v>
      </c>
      <c r="CU2641" s="5" t="s">
        <v>260</v>
      </c>
      <c r="CX2641" s="7">
        <f>1</f>
        <v>1</v>
      </c>
      <c r="CY2641" s="7">
        <f>0</f>
        <v>0</v>
      </c>
      <c r="DA2641" s="7">
        <f>0</f>
        <v>0</v>
      </c>
      <c r="DC2641" s="5" t="s">
        <v>309</v>
      </c>
      <c r="DD2641" s="5" t="s">
        <v>240</v>
      </c>
      <c r="DF2641" s="5" t="s">
        <v>309</v>
      </c>
      <c r="DG2641" s="7">
        <f>925</f>
        <v>925</v>
      </c>
      <c r="DI2641" s="5" t="s">
        <v>240</v>
      </c>
      <c r="DJ2641" s="5" t="s">
        <v>240</v>
      </c>
      <c r="DK2641" s="5" t="s">
        <v>240</v>
      </c>
      <c r="DL2641" s="5" t="s">
        <v>240</v>
      </c>
      <c r="DP2641" s="5" t="s">
        <v>240</v>
      </c>
      <c r="DQ2641" s="5" t="s">
        <v>240</v>
      </c>
      <c r="DR2641" s="5" t="s">
        <v>240</v>
      </c>
      <c r="DS2641" s="5" t="s">
        <v>240</v>
      </c>
      <c r="DV2641" s="5" t="s">
        <v>310</v>
      </c>
      <c r="DW2641" s="5" t="s">
        <v>3334</v>
      </c>
      <c r="HO2641" s="5" t="s">
        <v>312</v>
      </c>
    </row>
    <row r="2642" spans="1:223" x14ac:dyDescent="0.4">
      <c r="A2642" s="5">
        <v>4346</v>
      </c>
      <c r="B2642" s="5">
        <v>1</v>
      </c>
      <c r="C2642" s="5">
        <v>1</v>
      </c>
      <c r="D2642" s="5" t="s">
        <v>810</v>
      </c>
      <c r="E2642" s="5" t="s">
        <v>245</v>
      </c>
      <c r="F2642" s="5" t="s">
        <v>254</v>
      </c>
      <c r="G2642" s="5" t="s">
        <v>240</v>
      </c>
      <c r="H2642" s="6" t="s">
        <v>3262</v>
      </c>
      <c r="I2642" s="5" t="s">
        <v>809</v>
      </c>
      <c r="J2642" s="8">
        <f>459</f>
        <v>459</v>
      </c>
      <c r="K2642" s="5" t="s">
        <v>308</v>
      </c>
      <c r="L2642" s="7">
        <f>1</f>
        <v>1</v>
      </c>
      <c r="M2642" s="7">
        <f>1</f>
        <v>1</v>
      </c>
      <c r="N2642" s="5" t="s">
        <v>242</v>
      </c>
      <c r="O2642" s="5">
        <v>1</v>
      </c>
      <c r="P2642" s="5" t="s">
        <v>294</v>
      </c>
      <c r="Q2642" s="5" t="s">
        <v>266</v>
      </c>
      <c r="R2642" s="5" t="s">
        <v>240</v>
      </c>
      <c r="S2642" s="5" t="s">
        <v>240</v>
      </c>
      <c r="T2642" s="5" t="s">
        <v>296</v>
      </c>
      <c r="U2642" s="5" t="s">
        <v>244</v>
      </c>
      <c r="V2642" s="5" t="s">
        <v>240</v>
      </c>
      <c r="Y2642" s="5" t="s">
        <v>240</v>
      </c>
      <c r="Z2642" s="6" t="s">
        <v>298</v>
      </c>
      <c r="AB2642" s="6" t="s">
        <v>240</v>
      </c>
      <c r="AE2642" s="6" t="s">
        <v>299</v>
      </c>
      <c r="AF2642" s="5" t="s">
        <v>248</v>
      </c>
      <c r="AG2642" s="5" t="s">
        <v>249</v>
      </c>
      <c r="AW2642" s="5" t="s">
        <v>251</v>
      </c>
      <c r="AX2642" s="5" t="s">
        <v>240</v>
      </c>
      <c r="AY2642" s="5" t="s">
        <v>253</v>
      </c>
      <c r="AZ2642" s="5" t="s">
        <v>240</v>
      </c>
      <c r="BA2642" s="5" t="s">
        <v>255</v>
      </c>
      <c r="BB2642" s="5" t="s">
        <v>240</v>
      </c>
      <c r="BD2642" s="5" t="s">
        <v>240</v>
      </c>
      <c r="BF2642" s="5" t="s">
        <v>301</v>
      </c>
      <c r="BG2642" s="6" t="s">
        <v>299</v>
      </c>
      <c r="BH2642" s="5" t="s">
        <v>302</v>
      </c>
      <c r="BI2642" s="5" t="s">
        <v>303</v>
      </c>
      <c r="BJ2642" s="5" t="s">
        <v>240</v>
      </c>
      <c r="BK2642" s="8">
        <f>0</f>
        <v>0</v>
      </c>
      <c r="BL2642" s="7">
        <f>0</f>
        <v>0</v>
      </c>
      <c r="BM2642" s="5" t="s">
        <v>258</v>
      </c>
      <c r="BN2642" s="5" t="s">
        <v>259</v>
      </c>
      <c r="CB2642" s="5" t="s">
        <v>240</v>
      </c>
      <c r="CC2642" s="5" t="s">
        <v>240</v>
      </c>
      <c r="CG2642" s="5" t="s">
        <v>304</v>
      </c>
      <c r="CH2642" s="5" t="s">
        <v>305</v>
      </c>
      <c r="CI2642" s="5" t="s">
        <v>240</v>
      </c>
      <c r="CL2642" s="6" t="s">
        <v>261</v>
      </c>
      <c r="CM2642" s="5" t="s">
        <v>240</v>
      </c>
      <c r="CN2642" s="5" t="s">
        <v>263</v>
      </c>
      <c r="CO2642" s="5" t="s">
        <v>240</v>
      </c>
      <c r="CP2642" s="5" t="s">
        <v>240</v>
      </c>
      <c r="CQ2642" s="5">
        <v>0</v>
      </c>
      <c r="CR2642" s="5" t="s">
        <v>306</v>
      </c>
      <c r="CS2642" s="5" t="s">
        <v>307</v>
      </c>
      <c r="CT2642" s="5" t="s">
        <v>307</v>
      </c>
      <c r="CU2642" s="5" t="s">
        <v>260</v>
      </c>
      <c r="CX2642" s="7">
        <f>1</f>
        <v>1</v>
      </c>
      <c r="CY2642" s="7">
        <f>0</f>
        <v>0</v>
      </c>
      <c r="DA2642" s="7">
        <f>0</f>
        <v>0</v>
      </c>
      <c r="DC2642" s="5" t="s">
        <v>309</v>
      </c>
      <c r="DD2642" s="5" t="s">
        <v>240</v>
      </c>
      <c r="DF2642" s="5" t="s">
        <v>309</v>
      </c>
      <c r="DG2642" s="7">
        <f>104</f>
        <v>104</v>
      </c>
      <c r="DI2642" s="5" t="s">
        <v>240</v>
      </c>
      <c r="DJ2642" s="5" t="s">
        <v>240</v>
      </c>
      <c r="DK2642" s="5" t="s">
        <v>240</v>
      </c>
      <c r="DL2642" s="5" t="s">
        <v>240</v>
      </c>
      <c r="DP2642" s="5" t="s">
        <v>240</v>
      </c>
      <c r="DQ2642" s="5" t="s">
        <v>240</v>
      </c>
      <c r="DR2642" s="5" t="s">
        <v>240</v>
      </c>
      <c r="DS2642" s="5" t="s">
        <v>240</v>
      </c>
      <c r="DV2642" s="5" t="s">
        <v>310</v>
      </c>
      <c r="DW2642" s="5" t="s">
        <v>3336</v>
      </c>
      <c r="HO2642" s="5" t="s">
        <v>312</v>
      </c>
    </row>
    <row r="2643" spans="1:223" x14ac:dyDescent="0.4">
      <c r="A2643" s="5">
        <v>4347</v>
      </c>
      <c r="B2643" s="5">
        <v>1</v>
      </c>
      <c r="C2643" s="5">
        <v>1</v>
      </c>
      <c r="D2643" s="5" t="s">
        <v>810</v>
      </c>
      <c r="E2643" s="5" t="s">
        <v>245</v>
      </c>
      <c r="F2643" s="5" t="s">
        <v>254</v>
      </c>
      <c r="G2643" s="5" t="s">
        <v>240</v>
      </c>
      <c r="H2643" s="6" t="s">
        <v>3260</v>
      </c>
      <c r="I2643" s="5" t="s">
        <v>809</v>
      </c>
      <c r="J2643" s="8">
        <f>178</f>
        <v>178</v>
      </c>
      <c r="K2643" s="5" t="s">
        <v>308</v>
      </c>
      <c r="L2643" s="7">
        <f>1</f>
        <v>1</v>
      </c>
      <c r="M2643" s="7">
        <f>1</f>
        <v>1</v>
      </c>
      <c r="N2643" s="5" t="s">
        <v>242</v>
      </c>
      <c r="O2643" s="5">
        <v>1</v>
      </c>
      <c r="P2643" s="5" t="s">
        <v>294</v>
      </c>
      <c r="Q2643" s="5" t="s">
        <v>266</v>
      </c>
      <c r="R2643" s="5" t="s">
        <v>240</v>
      </c>
      <c r="S2643" s="5" t="s">
        <v>240</v>
      </c>
      <c r="T2643" s="5" t="s">
        <v>296</v>
      </c>
      <c r="U2643" s="5" t="s">
        <v>244</v>
      </c>
      <c r="V2643" s="5" t="s">
        <v>240</v>
      </c>
      <c r="Y2643" s="5" t="s">
        <v>240</v>
      </c>
      <c r="Z2643" s="6" t="s">
        <v>298</v>
      </c>
      <c r="AB2643" s="6" t="s">
        <v>240</v>
      </c>
      <c r="AE2643" s="6" t="s">
        <v>299</v>
      </c>
      <c r="AF2643" s="5" t="s">
        <v>248</v>
      </c>
      <c r="AG2643" s="5" t="s">
        <v>249</v>
      </c>
      <c r="AW2643" s="5" t="s">
        <v>251</v>
      </c>
      <c r="AX2643" s="5" t="s">
        <v>240</v>
      </c>
      <c r="AY2643" s="5" t="s">
        <v>253</v>
      </c>
      <c r="AZ2643" s="5" t="s">
        <v>240</v>
      </c>
      <c r="BA2643" s="5" t="s">
        <v>255</v>
      </c>
      <c r="BB2643" s="5" t="s">
        <v>240</v>
      </c>
      <c r="BD2643" s="5" t="s">
        <v>240</v>
      </c>
      <c r="BF2643" s="5" t="s">
        <v>301</v>
      </c>
      <c r="BG2643" s="6" t="s">
        <v>299</v>
      </c>
      <c r="BH2643" s="5" t="s">
        <v>302</v>
      </c>
      <c r="BI2643" s="5" t="s">
        <v>303</v>
      </c>
      <c r="BJ2643" s="5" t="s">
        <v>240</v>
      </c>
      <c r="BK2643" s="8">
        <f>0</f>
        <v>0</v>
      </c>
      <c r="BL2643" s="7">
        <f>0</f>
        <v>0</v>
      </c>
      <c r="BM2643" s="5" t="s">
        <v>258</v>
      </c>
      <c r="BN2643" s="5" t="s">
        <v>259</v>
      </c>
      <c r="CB2643" s="5" t="s">
        <v>240</v>
      </c>
      <c r="CC2643" s="5" t="s">
        <v>240</v>
      </c>
      <c r="CG2643" s="5" t="s">
        <v>304</v>
      </c>
      <c r="CH2643" s="5" t="s">
        <v>305</v>
      </c>
      <c r="CI2643" s="5" t="s">
        <v>240</v>
      </c>
      <c r="CL2643" s="6" t="s">
        <v>261</v>
      </c>
      <c r="CM2643" s="5" t="s">
        <v>240</v>
      </c>
      <c r="CN2643" s="5" t="s">
        <v>263</v>
      </c>
      <c r="CO2643" s="5" t="s">
        <v>240</v>
      </c>
      <c r="CP2643" s="5" t="s">
        <v>240</v>
      </c>
      <c r="CQ2643" s="5">
        <v>0</v>
      </c>
      <c r="CR2643" s="5" t="s">
        <v>306</v>
      </c>
      <c r="CS2643" s="5" t="s">
        <v>307</v>
      </c>
      <c r="CT2643" s="5" t="s">
        <v>307</v>
      </c>
      <c r="CU2643" s="5" t="s">
        <v>260</v>
      </c>
      <c r="CX2643" s="7">
        <f>1</f>
        <v>1</v>
      </c>
      <c r="CY2643" s="7">
        <f>0</f>
        <v>0</v>
      </c>
      <c r="DA2643" s="7">
        <f>0</f>
        <v>0</v>
      </c>
      <c r="DC2643" s="5" t="s">
        <v>309</v>
      </c>
      <c r="DD2643" s="5" t="s">
        <v>240</v>
      </c>
      <c r="DF2643" s="5" t="s">
        <v>309</v>
      </c>
      <c r="DG2643" s="7">
        <f>37</f>
        <v>37</v>
      </c>
      <c r="DI2643" s="5" t="s">
        <v>240</v>
      </c>
      <c r="DJ2643" s="5" t="s">
        <v>240</v>
      </c>
      <c r="DK2643" s="5" t="s">
        <v>240</v>
      </c>
      <c r="DL2643" s="5" t="s">
        <v>240</v>
      </c>
      <c r="DP2643" s="5" t="s">
        <v>240</v>
      </c>
      <c r="DQ2643" s="5" t="s">
        <v>240</v>
      </c>
      <c r="DR2643" s="5" t="s">
        <v>240</v>
      </c>
      <c r="DS2643" s="5" t="s">
        <v>240</v>
      </c>
      <c r="DV2643" s="5" t="s">
        <v>310</v>
      </c>
      <c r="DW2643" s="5" t="s">
        <v>3338</v>
      </c>
      <c r="HO2643" s="5" t="s">
        <v>312</v>
      </c>
    </row>
    <row r="2644" spans="1:223" x14ac:dyDescent="0.4">
      <c r="A2644" s="5">
        <v>4348</v>
      </c>
      <c r="B2644" s="5">
        <v>1</v>
      </c>
      <c r="C2644" s="5">
        <v>1</v>
      </c>
      <c r="D2644" s="5" t="s">
        <v>810</v>
      </c>
      <c r="E2644" s="5" t="s">
        <v>245</v>
      </c>
      <c r="F2644" s="5" t="s">
        <v>254</v>
      </c>
      <c r="G2644" s="5" t="s">
        <v>240</v>
      </c>
      <c r="H2644" s="6" t="s">
        <v>3258</v>
      </c>
      <c r="I2644" s="5" t="s">
        <v>809</v>
      </c>
      <c r="J2644" s="8">
        <f>530</f>
        <v>530</v>
      </c>
      <c r="K2644" s="5" t="s">
        <v>308</v>
      </c>
      <c r="L2644" s="7">
        <f>1</f>
        <v>1</v>
      </c>
      <c r="M2644" s="7">
        <f>1</f>
        <v>1</v>
      </c>
      <c r="N2644" s="5" t="s">
        <v>242</v>
      </c>
      <c r="O2644" s="5">
        <v>1</v>
      </c>
      <c r="P2644" s="5" t="s">
        <v>294</v>
      </c>
      <c r="Q2644" s="5" t="s">
        <v>266</v>
      </c>
      <c r="R2644" s="5" t="s">
        <v>240</v>
      </c>
      <c r="S2644" s="5" t="s">
        <v>240</v>
      </c>
      <c r="T2644" s="5" t="s">
        <v>296</v>
      </c>
      <c r="U2644" s="5" t="s">
        <v>244</v>
      </c>
      <c r="V2644" s="5" t="s">
        <v>240</v>
      </c>
      <c r="Y2644" s="5" t="s">
        <v>240</v>
      </c>
      <c r="Z2644" s="6" t="s">
        <v>298</v>
      </c>
      <c r="AB2644" s="6" t="s">
        <v>240</v>
      </c>
      <c r="AE2644" s="6" t="s">
        <v>299</v>
      </c>
      <c r="AF2644" s="5" t="s">
        <v>248</v>
      </c>
      <c r="AG2644" s="5" t="s">
        <v>249</v>
      </c>
      <c r="AW2644" s="5" t="s">
        <v>251</v>
      </c>
      <c r="AX2644" s="5" t="s">
        <v>240</v>
      </c>
      <c r="AY2644" s="5" t="s">
        <v>253</v>
      </c>
      <c r="AZ2644" s="5" t="s">
        <v>240</v>
      </c>
      <c r="BA2644" s="5" t="s">
        <v>255</v>
      </c>
      <c r="BB2644" s="5" t="s">
        <v>240</v>
      </c>
      <c r="BD2644" s="5" t="s">
        <v>240</v>
      </c>
      <c r="BF2644" s="5" t="s">
        <v>301</v>
      </c>
      <c r="BG2644" s="6" t="s">
        <v>299</v>
      </c>
      <c r="BH2644" s="5" t="s">
        <v>302</v>
      </c>
      <c r="BI2644" s="5" t="s">
        <v>303</v>
      </c>
      <c r="BJ2644" s="5" t="s">
        <v>240</v>
      </c>
      <c r="BK2644" s="8">
        <f>0</f>
        <v>0</v>
      </c>
      <c r="BL2644" s="7">
        <f>0</f>
        <v>0</v>
      </c>
      <c r="BM2644" s="5" t="s">
        <v>258</v>
      </c>
      <c r="BN2644" s="5" t="s">
        <v>259</v>
      </c>
      <c r="CB2644" s="5" t="s">
        <v>240</v>
      </c>
      <c r="CC2644" s="5" t="s">
        <v>240</v>
      </c>
      <c r="CG2644" s="5" t="s">
        <v>304</v>
      </c>
      <c r="CH2644" s="5" t="s">
        <v>305</v>
      </c>
      <c r="CI2644" s="5" t="s">
        <v>240</v>
      </c>
      <c r="CL2644" s="6" t="s">
        <v>261</v>
      </c>
      <c r="CM2644" s="5" t="s">
        <v>240</v>
      </c>
      <c r="CN2644" s="5" t="s">
        <v>263</v>
      </c>
      <c r="CO2644" s="5" t="s">
        <v>240</v>
      </c>
      <c r="CP2644" s="5" t="s">
        <v>240</v>
      </c>
      <c r="CQ2644" s="5">
        <v>0</v>
      </c>
      <c r="CR2644" s="5" t="s">
        <v>306</v>
      </c>
      <c r="CS2644" s="5" t="s">
        <v>307</v>
      </c>
      <c r="CT2644" s="5" t="s">
        <v>307</v>
      </c>
      <c r="CU2644" s="5" t="s">
        <v>260</v>
      </c>
      <c r="CX2644" s="7">
        <f>1</f>
        <v>1</v>
      </c>
      <c r="CY2644" s="7">
        <f>0</f>
        <v>0</v>
      </c>
      <c r="DA2644" s="7">
        <f>0</f>
        <v>0</v>
      </c>
      <c r="DC2644" s="5" t="s">
        <v>309</v>
      </c>
      <c r="DD2644" s="5" t="s">
        <v>240</v>
      </c>
      <c r="DF2644" s="5" t="s">
        <v>309</v>
      </c>
      <c r="DG2644" s="7">
        <f>3656</f>
        <v>3656</v>
      </c>
      <c r="DI2644" s="5" t="s">
        <v>240</v>
      </c>
      <c r="DJ2644" s="5" t="s">
        <v>240</v>
      </c>
      <c r="DK2644" s="5" t="s">
        <v>240</v>
      </c>
      <c r="DL2644" s="5" t="s">
        <v>240</v>
      </c>
      <c r="DP2644" s="5" t="s">
        <v>240</v>
      </c>
      <c r="DQ2644" s="5" t="s">
        <v>240</v>
      </c>
      <c r="DR2644" s="5" t="s">
        <v>240</v>
      </c>
      <c r="DS2644" s="5" t="s">
        <v>240</v>
      </c>
      <c r="DV2644" s="5" t="s">
        <v>310</v>
      </c>
      <c r="DW2644" s="5" t="s">
        <v>3340</v>
      </c>
      <c r="HO2644" s="5" t="s">
        <v>312</v>
      </c>
    </row>
    <row r="2645" spans="1:223" x14ac:dyDescent="0.4">
      <c r="A2645" s="5">
        <v>4349</v>
      </c>
      <c r="B2645" s="5">
        <v>1</v>
      </c>
      <c r="C2645" s="5">
        <v>1</v>
      </c>
      <c r="D2645" s="5" t="s">
        <v>810</v>
      </c>
      <c r="E2645" s="5" t="s">
        <v>245</v>
      </c>
      <c r="F2645" s="5" t="s">
        <v>254</v>
      </c>
      <c r="G2645" s="5" t="s">
        <v>240</v>
      </c>
      <c r="H2645" s="6" t="s">
        <v>3256</v>
      </c>
      <c r="I2645" s="5" t="s">
        <v>809</v>
      </c>
      <c r="J2645" s="8">
        <f>43</f>
        <v>43</v>
      </c>
      <c r="K2645" s="5" t="s">
        <v>308</v>
      </c>
      <c r="L2645" s="7">
        <f>1</f>
        <v>1</v>
      </c>
      <c r="M2645" s="7">
        <f>1</f>
        <v>1</v>
      </c>
      <c r="N2645" s="5" t="s">
        <v>242</v>
      </c>
      <c r="O2645" s="5">
        <v>1</v>
      </c>
      <c r="P2645" s="5" t="s">
        <v>294</v>
      </c>
      <c r="Q2645" s="5" t="s">
        <v>266</v>
      </c>
      <c r="R2645" s="5" t="s">
        <v>240</v>
      </c>
      <c r="S2645" s="5" t="s">
        <v>240</v>
      </c>
      <c r="T2645" s="5" t="s">
        <v>296</v>
      </c>
      <c r="U2645" s="5" t="s">
        <v>244</v>
      </c>
      <c r="V2645" s="5" t="s">
        <v>240</v>
      </c>
      <c r="Y2645" s="5" t="s">
        <v>240</v>
      </c>
      <c r="Z2645" s="6" t="s">
        <v>298</v>
      </c>
      <c r="AB2645" s="6" t="s">
        <v>240</v>
      </c>
      <c r="AE2645" s="6" t="s">
        <v>299</v>
      </c>
      <c r="AF2645" s="5" t="s">
        <v>248</v>
      </c>
      <c r="AG2645" s="5" t="s">
        <v>249</v>
      </c>
      <c r="AW2645" s="5" t="s">
        <v>251</v>
      </c>
      <c r="AX2645" s="5" t="s">
        <v>240</v>
      </c>
      <c r="AY2645" s="5" t="s">
        <v>253</v>
      </c>
      <c r="AZ2645" s="5" t="s">
        <v>240</v>
      </c>
      <c r="BA2645" s="5" t="s">
        <v>255</v>
      </c>
      <c r="BB2645" s="5" t="s">
        <v>240</v>
      </c>
      <c r="BD2645" s="5" t="s">
        <v>240</v>
      </c>
      <c r="BF2645" s="5" t="s">
        <v>301</v>
      </c>
      <c r="BG2645" s="6" t="s">
        <v>299</v>
      </c>
      <c r="BH2645" s="5" t="s">
        <v>302</v>
      </c>
      <c r="BI2645" s="5" t="s">
        <v>303</v>
      </c>
      <c r="BJ2645" s="5" t="s">
        <v>240</v>
      </c>
      <c r="BK2645" s="8">
        <f>0</f>
        <v>0</v>
      </c>
      <c r="BL2645" s="7">
        <f>0</f>
        <v>0</v>
      </c>
      <c r="BM2645" s="5" t="s">
        <v>258</v>
      </c>
      <c r="BN2645" s="5" t="s">
        <v>259</v>
      </c>
      <c r="CB2645" s="5" t="s">
        <v>240</v>
      </c>
      <c r="CC2645" s="5" t="s">
        <v>240</v>
      </c>
      <c r="CG2645" s="5" t="s">
        <v>304</v>
      </c>
      <c r="CH2645" s="5" t="s">
        <v>305</v>
      </c>
      <c r="CI2645" s="5" t="s">
        <v>240</v>
      </c>
      <c r="CL2645" s="6" t="s">
        <v>261</v>
      </c>
      <c r="CM2645" s="5" t="s">
        <v>240</v>
      </c>
      <c r="CN2645" s="5" t="s">
        <v>263</v>
      </c>
      <c r="CO2645" s="5" t="s">
        <v>240</v>
      </c>
      <c r="CP2645" s="5" t="s">
        <v>240</v>
      </c>
      <c r="CQ2645" s="5">
        <v>0</v>
      </c>
      <c r="CR2645" s="5" t="s">
        <v>306</v>
      </c>
      <c r="CS2645" s="5" t="s">
        <v>307</v>
      </c>
      <c r="CT2645" s="5" t="s">
        <v>307</v>
      </c>
      <c r="CU2645" s="5" t="s">
        <v>260</v>
      </c>
      <c r="CX2645" s="7">
        <f>1</f>
        <v>1</v>
      </c>
      <c r="CY2645" s="7">
        <f>0</f>
        <v>0</v>
      </c>
      <c r="DA2645" s="7">
        <f>0</f>
        <v>0</v>
      </c>
      <c r="DC2645" s="5" t="s">
        <v>309</v>
      </c>
      <c r="DD2645" s="5" t="s">
        <v>240</v>
      </c>
      <c r="DF2645" s="5" t="s">
        <v>309</v>
      </c>
      <c r="DG2645" s="7">
        <f>73</f>
        <v>73</v>
      </c>
      <c r="DI2645" s="5" t="s">
        <v>240</v>
      </c>
      <c r="DJ2645" s="5" t="s">
        <v>240</v>
      </c>
      <c r="DK2645" s="5" t="s">
        <v>240</v>
      </c>
      <c r="DL2645" s="5" t="s">
        <v>240</v>
      </c>
      <c r="DP2645" s="5" t="s">
        <v>240</v>
      </c>
      <c r="DQ2645" s="5" t="s">
        <v>240</v>
      </c>
      <c r="DR2645" s="5" t="s">
        <v>240</v>
      </c>
      <c r="DS2645" s="5" t="s">
        <v>240</v>
      </c>
      <c r="DV2645" s="5" t="s">
        <v>310</v>
      </c>
      <c r="DW2645" s="5" t="s">
        <v>3342</v>
      </c>
      <c r="HO2645" s="5" t="s">
        <v>312</v>
      </c>
    </row>
    <row r="2646" spans="1:223" x14ac:dyDescent="0.4">
      <c r="A2646" s="5">
        <v>4350</v>
      </c>
      <c r="B2646" s="5">
        <v>1</v>
      </c>
      <c r="C2646" s="5">
        <v>1</v>
      </c>
      <c r="D2646" s="5" t="s">
        <v>810</v>
      </c>
      <c r="E2646" s="5" t="s">
        <v>245</v>
      </c>
      <c r="F2646" s="5" t="s">
        <v>254</v>
      </c>
      <c r="G2646" s="5" t="s">
        <v>240</v>
      </c>
      <c r="H2646" s="6" t="s">
        <v>3254</v>
      </c>
      <c r="I2646" s="5" t="s">
        <v>809</v>
      </c>
      <c r="J2646" s="8">
        <f>328</f>
        <v>328</v>
      </c>
      <c r="K2646" s="5" t="s">
        <v>308</v>
      </c>
      <c r="L2646" s="7">
        <f>1</f>
        <v>1</v>
      </c>
      <c r="M2646" s="7">
        <f>1</f>
        <v>1</v>
      </c>
      <c r="N2646" s="5" t="s">
        <v>242</v>
      </c>
      <c r="O2646" s="5">
        <v>1</v>
      </c>
      <c r="P2646" s="5" t="s">
        <v>294</v>
      </c>
      <c r="Q2646" s="5" t="s">
        <v>266</v>
      </c>
      <c r="R2646" s="5" t="s">
        <v>240</v>
      </c>
      <c r="S2646" s="5" t="s">
        <v>240</v>
      </c>
      <c r="T2646" s="5" t="s">
        <v>296</v>
      </c>
      <c r="U2646" s="5" t="s">
        <v>244</v>
      </c>
      <c r="V2646" s="5" t="s">
        <v>240</v>
      </c>
      <c r="Y2646" s="5" t="s">
        <v>240</v>
      </c>
      <c r="Z2646" s="6" t="s">
        <v>298</v>
      </c>
      <c r="AB2646" s="6" t="s">
        <v>240</v>
      </c>
      <c r="AE2646" s="6" t="s">
        <v>299</v>
      </c>
      <c r="AF2646" s="5" t="s">
        <v>248</v>
      </c>
      <c r="AG2646" s="5" t="s">
        <v>249</v>
      </c>
      <c r="AW2646" s="5" t="s">
        <v>251</v>
      </c>
      <c r="AX2646" s="5" t="s">
        <v>240</v>
      </c>
      <c r="AY2646" s="5" t="s">
        <v>253</v>
      </c>
      <c r="AZ2646" s="5" t="s">
        <v>240</v>
      </c>
      <c r="BA2646" s="5" t="s">
        <v>255</v>
      </c>
      <c r="BB2646" s="5" t="s">
        <v>240</v>
      </c>
      <c r="BD2646" s="5" t="s">
        <v>240</v>
      </c>
      <c r="BF2646" s="5" t="s">
        <v>301</v>
      </c>
      <c r="BG2646" s="6" t="s">
        <v>299</v>
      </c>
      <c r="BH2646" s="5" t="s">
        <v>302</v>
      </c>
      <c r="BI2646" s="5" t="s">
        <v>303</v>
      </c>
      <c r="BJ2646" s="5" t="s">
        <v>240</v>
      </c>
      <c r="BK2646" s="8">
        <f>0</f>
        <v>0</v>
      </c>
      <c r="BL2646" s="7">
        <f>0</f>
        <v>0</v>
      </c>
      <c r="BM2646" s="5" t="s">
        <v>258</v>
      </c>
      <c r="BN2646" s="5" t="s">
        <v>259</v>
      </c>
      <c r="CB2646" s="5" t="s">
        <v>240</v>
      </c>
      <c r="CC2646" s="5" t="s">
        <v>240</v>
      </c>
      <c r="CG2646" s="5" t="s">
        <v>304</v>
      </c>
      <c r="CH2646" s="5" t="s">
        <v>305</v>
      </c>
      <c r="CI2646" s="5" t="s">
        <v>240</v>
      </c>
      <c r="CL2646" s="6" t="s">
        <v>261</v>
      </c>
      <c r="CM2646" s="5" t="s">
        <v>240</v>
      </c>
      <c r="CN2646" s="5" t="s">
        <v>263</v>
      </c>
      <c r="CO2646" s="5" t="s">
        <v>240</v>
      </c>
      <c r="CP2646" s="5" t="s">
        <v>240</v>
      </c>
      <c r="CQ2646" s="5">
        <v>0</v>
      </c>
      <c r="CR2646" s="5" t="s">
        <v>306</v>
      </c>
      <c r="CS2646" s="5" t="s">
        <v>307</v>
      </c>
      <c r="CT2646" s="5" t="s">
        <v>307</v>
      </c>
      <c r="CU2646" s="5" t="s">
        <v>260</v>
      </c>
      <c r="CX2646" s="7">
        <f>1</f>
        <v>1</v>
      </c>
      <c r="CY2646" s="7">
        <f>0</f>
        <v>0</v>
      </c>
      <c r="DA2646" s="7">
        <f>0</f>
        <v>0</v>
      </c>
      <c r="DC2646" s="5" t="s">
        <v>812</v>
      </c>
      <c r="DD2646" s="5" t="s">
        <v>240</v>
      </c>
      <c r="DF2646" s="5" t="s">
        <v>812</v>
      </c>
      <c r="DG2646" s="7">
        <f>259</f>
        <v>259</v>
      </c>
      <c r="DI2646" s="5" t="s">
        <v>240</v>
      </c>
      <c r="DJ2646" s="5" t="s">
        <v>240</v>
      </c>
      <c r="DK2646" s="5" t="s">
        <v>240</v>
      </c>
      <c r="DL2646" s="5" t="s">
        <v>240</v>
      </c>
      <c r="DP2646" s="5" t="s">
        <v>240</v>
      </c>
      <c r="DQ2646" s="5" t="s">
        <v>240</v>
      </c>
      <c r="DR2646" s="5" t="s">
        <v>240</v>
      </c>
      <c r="DS2646" s="5" t="s">
        <v>240</v>
      </c>
      <c r="DV2646" s="5" t="s">
        <v>813</v>
      </c>
      <c r="DW2646" s="5" t="s">
        <v>4429</v>
      </c>
      <c r="HO2646" s="5" t="s">
        <v>312</v>
      </c>
    </row>
    <row r="2647" spans="1:223" x14ac:dyDescent="0.4">
      <c r="A2647" s="5">
        <v>4351</v>
      </c>
      <c r="B2647" s="5">
        <v>1</v>
      </c>
      <c r="C2647" s="5">
        <v>1</v>
      </c>
      <c r="D2647" s="5" t="s">
        <v>810</v>
      </c>
      <c r="E2647" s="5" t="s">
        <v>245</v>
      </c>
      <c r="F2647" s="5" t="s">
        <v>254</v>
      </c>
      <c r="G2647" s="5" t="s">
        <v>240</v>
      </c>
      <c r="H2647" s="6" t="s">
        <v>3252</v>
      </c>
      <c r="I2647" s="5" t="s">
        <v>809</v>
      </c>
      <c r="J2647" s="8">
        <f>48</f>
        <v>48</v>
      </c>
      <c r="K2647" s="5" t="s">
        <v>308</v>
      </c>
      <c r="L2647" s="7">
        <f>1</f>
        <v>1</v>
      </c>
      <c r="M2647" s="7">
        <f>1</f>
        <v>1</v>
      </c>
      <c r="N2647" s="5" t="s">
        <v>242</v>
      </c>
      <c r="O2647" s="5">
        <v>1</v>
      </c>
      <c r="P2647" s="5" t="s">
        <v>294</v>
      </c>
      <c r="Q2647" s="5" t="s">
        <v>266</v>
      </c>
      <c r="R2647" s="5" t="s">
        <v>240</v>
      </c>
      <c r="S2647" s="5" t="s">
        <v>240</v>
      </c>
      <c r="T2647" s="5" t="s">
        <v>296</v>
      </c>
      <c r="U2647" s="5" t="s">
        <v>244</v>
      </c>
      <c r="V2647" s="5" t="s">
        <v>240</v>
      </c>
      <c r="Y2647" s="5" t="s">
        <v>240</v>
      </c>
      <c r="Z2647" s="6" t="s">
        <v>298</v>
      </c>
      <c r="AB2647" s="6" t="s">
        <v>240</v>
      </c>
      <c r="AE2647" s="6" t="s">
        <v>299</v>
      </c>
      <c r="AF2647" s="5" t="s">
        <v>248</v>
      </c>
      <c r="AG2647" s="5" t="s">
        <v>249</v>
      </c>
      <c r="AW2647" s="5" t="s">
        <v>251</v>
      </c>
      <c r="AX2647" s="5" t="s">
        <v>240</v>
      </c>
      <c r="AY2647" s="5" t="s">
        <v>253</v>
      </c>
      <c r="AZ2647" s="5" t="s">
        <v>240</v>
      </c>
      <c r="BA2647" s="5" t="s">
        <v>255</v>
      </c>
      <c r="BB2647" s="5" t="s">
        <v>240</v>
      </c>
      <c r="BD2647" s="5" t="s">
        <v>240</v>
      </c>
      <c r="BF2647" s="5" t="s">
        <v>301</v>
      </c>
      <c r="BG2647" s="6" t="s">
        <v>299</v>
      </c>
      <c r="BH2647" s="5" t="s">
        <v>302</v>
      </c>
      <c r="BI2647" s="5" t="s">
        <v>303</v>
      </c>
      <c r="BJ2647" s="5" t="s">
        <v>240</v>
      </c>
      <c r="BK2647" s="8">
        <f>0</f>
        <v>0</v>
      </c>
      <c r="BL2647" s="7">
        <f>0</f>
        <v>0</v>
      </c>
      <c r="BM2647" s="5" t="s">
        <v>258</v>
      </c>
      <c r="BN2647" s="5" t="s">
        <v>259</v>
      </c>
      <c r="CB2647" s="5" t="s">
        <v>240</v>
      </c>
      <c r="CC2647" s="5" t="s">
        <v>240</v>
      </c>
      <c r="CG2647" s="5" t="s">
        <v>304</v>
      </c>
      <c r="CH2647" s="5" t="s">
        <v>305</v>
      </c>
      <c r="CI2647" s="5" t="s">
        <v>240</v>
      </c>
      <c r="CL2647" s="6" t="s">
        <v>261</v>
      </c>
      <c r="CM2647" s="5" t="s">
        <v>240</v>
      </c>
      <c r="CN2647" s="5" t="s">
        <v>263</v>
      </c>
      <c r="CO2647" s="5" t="s">
        <v>240</v>
      </c>
      <c r="CP2647" s="5" t="s">
        <v>240</v>
      </c>
      <c r="CQ2647" s="5">
        <v>0</v>
      </c>
      <c r="CR2647" s="5" t="s">
        <v>306</v>
      </c>
      <c r="CS2647" s="5" t="s">
        <v>307</v>
      </c>
      <c r="CT2647" s="5" t="s">
        <v>307</v>
      </c>
      <c r="CU2647" s="5" t="s">
        <v>260</v>
      </c>
      <c r="CX2647" s="7">
        <f>1</f>
        <v>1</v>
      </c>
      <c r="CY2647" s="7">
        <f>0</f>
        <v>0</v>
      </c>
      <c r="DA2647" s="7">
        <f>0</f>
        <v>0</v>
      </c>
      <c r="DC2647" s="5" t="s">
        <v>309</v>
      </c>
      <c r="DD2647" s="5" t="s">
        <v>240</v>
      </c>
      <c r="DF2647" s="5" t="s">
        <v>309</v>
      </c>
      <c r="DG2647" s="7">
        <f>212</f>
        <v>212</v>
      </c>
      <c r="DI2647" s="5" t="s">
        <v>240</v>
      </c>
      <c r="DJ2647" s="5" t="s">
        <v>240</v>
      </c>
      <c r="DK2647" s="5" t="s">
        <v>240</v>
      </c>
      <c r="DL2647" s="5" t="s">
        <v>240</v>
      </c>
      <c r="DP2647" s="5" t="s">
        <v>240</v>
      </c>
      <c r="DQ2647" s="5" t="s">
        <v>240</v>
      </c>
      <c r="DR2647" s="5" t="s">
        <v>240</v>
      </c>
      <c r="DS2647" s="5" t="s">
        <v>240</v>
      </c>
      <c r="DV2647" s="5" t="s">
        <v>310</v>
      </c>
      <c r="DW2647" s="5" t="s">
        <v>3345</v>
      </c>
      <c r="HO2647" s="5" t="s">
        <v>312</v>
      </c>
    </row>
    <row r="2648" spans="1:223" x14ac:dyDescent="0.4">
      <c r="A2648" s="5">
        <v>4352</v>
      </c>
      <c r="B2648" s="5">
        <v>1</v>
      </c>
      <c r="C2648" s="5">
        <v>1</v>
      </c>
      <c r="D2648" s="5" t="s">
        <v>810</v>
      </c>
      <c r="E2648" s="5" t="s">
        <v>245</v>
      </c>
      <c r="F2648" s="5" t="s">
        <v>254</v>
      </c>
      <c r="G2648" s="5" t="s">
        <v>240</v>
      </c>
      <c r="H2648" s="6" t="s">
        <v>3250</v>
      </c>
      <c r="I2648" s="5" t="s">
        <v>809</v>
      </c>
      <c r="J2648" s="8">
        <f>623</f>
        <v>623</v>
      </c>
      <c r="K2648" s="5" t="s">
        <v>308</v>
      </c>
      <c r="L2648" s="7">
        <f>1</f>
        <v>1</v>
      </c>
      <c r="M2648" s="7">
        <f>1</f>
        <v>1</v>
      </c>
      <c r="N2648" s="5" t="s">
        <v>242</v>
      </c>
      <c r="O2648" s="5">
        <v>1</v>
      </c>
      <c r="P2648" s="5" t="s">
        <v>294</v>
      </c>
      <c r="Q2648" s="5" t="s">
        <v>266</v>
      </c>
      <c r="R2648" s="5" t="s">
        <v>240</v>
      </c>
      <c r="S2648" s="5" t="s">
        <v>240</v>
      </c>
      <c r="T2648" s="5" t="s">
        <v>296</v>
      </c>
      <c r="U2648" s="5" t="s">
        <v>244</v>
      </c>
      <c r="V2648" s="5" t="s">
        <v>240</v>
      </c>
      <c r="Y2648" s="5" t="s">
        <v>240</v>
      </c>
      <c r="Z2648" s="6" t="s">
        <v>298</v>
      </c>
      <c r="AB2648" s="6" t="s">
        <v>240</v>
      </c>
      <c r="AE2648" s="6" t="s">
        <v>299</v>
      </c>
      <c r="AF2648" s="5" t="s">
        <v>248</v>
      </c>
      <c r="AG2648" s="5" t="s">
        <v>249</v>
      </c>
      <c r="AW2648" s="5" t="s">
        <v>251</v>
      </c>
      <c r="AX2648" s="5" t="s">
        <v>240</v>
      </c>
      <c r="AY2648" s="5" t="s">
        <v>253</v>
      </c>
      <c r="AZ2648" s="5" t="s">
        <v>240</v>
      </c>
      <c r="BA2648" s="5" t="s">
        <v>255</v>
      </c>
      <c r="BB2648" s="5" t="s">
        <v>240</v>
      </c>
      <c r="BD2648" s="5" t="s">
        <v>240</v>
      </c>
      <c r="BF2648" s="5" t="s">
        <v>301</v>
      </c>
      <c r="BG2648" s="6" t="s">
        <v>299</v>
      </c>
      <c r="BH2648" s="5" t="s">
        <v>302</v>
      </c>
      <c r="BI2648" s="5" t="s">
        <v>303</v>
      </c>
      <c r="BJ2648" s="5" t="s">
        <v>240</v>
      </c>
      <c r="BK2648" s="8">
        <f>0</f>
        <v>0</v>
      </c>
      <c r="BL2648" s="7">
        <f>0</f>
        <v>0</v>
      </c>
      <c r="BM2648" s="5" t="s">
        <v>258</v>
      </c>
      <c r="BN2648" s="5" t="s">
        <v>259</v>
      </c>
      <c r="CB2648" s="5" t="s">
        <v>240</v>
      </c>
      <c r="CC2648" s="5" t="s">
        <v>240</v>
      </c>
      <c r="CG2648" s="5" t="s">
        <v>304</v>
      </c>
      <c r="CH2648" s="5" t="s">
        <v>305</v>
      </c>
      <c r="CI2648" s="5" t="s">
        <v>240</v>
      </c>
      <c r="CL2648" s="6" t="s">
        <v>261</v>
      </c>
      <c r="CM2648" s="5" t="s">
        <v>240</v>
      </c>
      <c r="CN2648" s="5" t="s">
        <v>263</v>
      </c>
      <c r="CO2648" s="5" t="s">
        <v>240</v>
      </c>
      <c r="CP2648" s="5" t="s">
        <v>240</v>
      </c>
      <c r="CQ2648" s="5">
        <v>0</v>
      </c>
      <c r="CR2648" s="5" t="s">
        <v>306</v>
      </c>
      <c r="CS2648" s="5" t="s">
        <v>307</v>
      </c>
      <c r="CT2648" s="5" t="s">
        <v>307</v>
      </c>
      <c r="CU2648" s="5" t="s">
        <v>260</v>
      </c>
      <c r="CX2648" s="7">
        <f>1</f>
        <v>1</v>
      </c>
      <c r="CY2648" s="7">
        <f>0</f>
        <v>0</v>
      </c>
      <c r="DA2648" s="7">
        <f>0</f>
        <v>0</v>
      </c>
      <c r="DC2648" s="5" t="s">
        <v>309</v>
      </c>
      <c r="DD2648" s="5" t="s">
        <v>240</v>
      </c>
      <c r="DF2648" s="5" t="s">
        <v>309</v>
      </c>
      <c r="DG2648" s="7">
        <f>1041</f>
        <v>1041</v>
      </c>
      <c r="DI2648" s="5" t="s">
        <v>240</v>
      </c>
      <c r="DJ2648" s="5" t="s">
        <v>240</v>
      </c>
      <c r="DK2648" s="5" t="s">
        <v>240</v>
      </c>
      <c r="DL2648" s="5" t="s">
        <v>240</v>
      </c>
      <c r="DP2648" s="5" t="s">
        <v>240</v>
      </c>
      <c r="DQ2648" s="5" t="s">
        <v>240</v>
      </c>
      <c r="DR2648" s="5" t="s">
        <v>240</v>
      </c>
      <c r="DS2648" s="5" t="s">
        <v>240</v>
      </c>
      <c r="DV2648" s="5" t="s">
        <v>310</v>
      </c>
      <c r="DW2648" s="5" t="s">
        <v>3347</v>
      </c>
      <c r="HO2648" s="5" t="s">
        <v>312</v>
      </c>
    </row>
    <row r="2649" spans="1:223" x14ac:dyDescent="0.4">
      <c r="A2649" s="5">
        <v>4353</v>
      </c>
      <c r="B2649" s="5">
        <v>1</v>
      </c>
      <c r="C2649" s="5">
        <v>1</v>
      </c>
      <c r="D2649" s="5" t="s">
        <v>810</v>
      </c>
      <c r="E2649" s="5" t="s">
        <v>245</v>
      </c>
      <c r="F2649" s="5" t="s">
        <v>254</v>
      </c>
      <c r="G2649" s="5" t="s">
        <v>240</v>
      </c>
      <c r="H2649" s="6" t="s">
        <v>4918</v>
      </c>
      <c r="I2649" s="5" t="s">
        <v>809</v>
      </c>
      <c r="J2649" s="8">
        <f>43</f>
        <v>43</v>
      </c>
      <c r="K2649" s="5" t="s">
        <v>308</v>
      </c>
      <c r="L2649" s="7">
        <f>1</f>
        <v>1</v>
      </c>
      <c r="M2649" s="7">
        <f>1</f>
        <v>1</v>
      </c>
      <c r="N2649" s="5" t="s">
        <v>242</v>
      </c>
      <c r="O2649" s="5">
        <v>1</v>
      </c>
      <c r="P2649" s="5" t="s">
        <v>294</v>
      </c>
      <c r="Q2649" s="5" t="s">
        <v>266</v>
      </c>
      <c r="R2649" s="5" t="s">
        <v>240</v>
      </c>
      <c r="S2649" s="5" t="s">
        <v>240</v>
      </c>
      <c r="T2649" s="5" t="s">
        <v>296</v>
      </c>
      <c r="U2649" s="5" t="s">
        <v>244</v>
      </c>
      <c r="V2649" s="5" t="s">
        <v>240</v>
      </c>
      <c r="Y2649" s="5" t="s">
        <v>240</v>
      </c>
      <c r="Z2649" s="6" t="s">
        <v>298</v>
      </c>
      <c r="AB2649" s="6" t="s">
        <v>240</v>
      </c>
      <c r="AE2649" s="6" t="s">
        <v>299</v>
      </c>
      <c r="AF2649" s="5" t="s">
        <v>248</v>
      </c>
      <c r="AG2649" s="5" t="s">
        <v>249</v>
      </c>
      <c r="AW2649" s="5" t="s">
        <v>251</v>
      </c>
      <c r="AX2649" s="5" t="s">
        <v>240</v>
      </c>
      <c r="AY2649" s="5" t="s">
        <v>253</v>
      </c>
      <c r="AZ2649" s="5" t="s">
        <v>240</v>
      </c>
      <c r="BA2649" s="5" t="s">
        <v>255</v>
      </c>
      <c r="BB2649" s="5" t="s">
        <v>240</v>
      </c>
      <c r="BD2649" s="5" t="s">
        <v>240</v>
      </c>
      <c r="BF2649" s="5" t="s">
        <v>301</v>
      </c>
      <c r="BG2649" s="6" t="s">
        <v>299</v>
      </c>
      <c r="BH2649" s="5" t="s">
        <v>302</v>
      </c>
      <c r="BI2649" s="5" t="s">
        <v>303</v>
      </c>
      <c r="BJ2649" s="5" t="s">
        <v>240</v>
      </c>
      <c r="BK2649" s="8">
        <f>0</f>
        <v>0</v>
      </c>
      <c r="BL2649" s="7">
        <f>0</f>
        <v>0</v>
      </c>
      <c r="BM2649" s="5" t="s">
        <v>258</v>
      </c>
      <c r="BN2649" s="5" t="s">
        <v>259</v>
      </c>
      <c r="CB2649" s="5" t="s">
        <v>240</v>
      </c>
      <c r="CC2649" s="5" t="s">
        <v>240</v>
      </c>
      <c r="CG2649" s="5" t="s">
        <v>304</v>
      </c>
      <c r="CH2649" s="5" t="s">
        <v>305</v>
      </c>
      <c r="CI2649" s="5" t="s">
        <v>240</v>
      </c>
      <c r="CL2649" s="6" t="s">
        <v>261</v>
      </c>
      <c r="CM2649" s="5" t="s">
        <v>240</v>
      </c>
      <c r="CN2649" s="5" t="s">
        <v>263</v>
      </c>
      <c r="CO2649" s="5" t="s">
        <v>240</v>
      </c>
      <c r="CP2649" s="5" t="s">
        <v>240</v>
      </c>
      <c r="CQ2649" s="5">
        <v>0</v>
      </c>
      <c r="CR2649" s="5" t="s">
        <v>306</v>
      </c>
      <c r="CS2649" s="5" t="s">
        <v>307</v>
      </c>
      <c r="CT2649" s="5" t="s">
        <v>307</v>
      </c>
      <c r="CU2649" s="5" t="s">
        <v>260</v>
      </c>
      <c r="CX2649" s="7">
        <f>1</f>
        <v>1</v>
      </c>
      <c r="CY2649" s="7">
        <f>0</f>
        <v>0</v>
      </c>
      <c r="DA2649" s="7">
        <f>0</f>
        <v>0</v>
      </c>
      <c r="DC2649" s="5" t="s">
        <v>309</v>
      </c>
      <c r="DD2649" s="5" t="s">
        <v>240</v>
      </c>
      <c r="DF2649" s="5" t="s">
        <v>309</v>
      </c>
      <c r="DG2649" s="7">
        <f>1599</f>
        <v>1599</v>
      </c>
      <c r="DI2649" s="5" t="s">
        <v>240</v>
      </c>
      <c r="DJ2649" s="5" t="s">
        <v>240</v>
      </c>
      <c r="DK2649" s="5" t="s">
        <v>240</v>
      </c>
      <c r="DL2649" s="5" t="s">
        <v>240</v>
      </c>
      <c r="DP2649" s="5" t="s">
        <v>240</v>
      </c>
      <c r="DQ2649" s="5" t="s">
        <v>240</v>
      </c>
      <c r="DR2649" s="5" t="s">
        <v>240</v>
      </c>
      <c r="DS2649" s="5" t="s">
        <v>240</v>
      </c>
      <c r="DV2649" s="5" t="s">
        <v>310</v>
      </c>
      <c r="DW2649" s="5" t="s">
        <v>3349</v>
      </c>
      <c r="HO2649" s="5" t="s">
        <v>312</v>
      </c>
    </row>
    <row r="2650" spans="1:223" x14ac:dyDescent="0.4">
      <c r="A2650" s="5">
        <v>4354</v>
      </c>
      <c r="B2650" s="5">
        <v>1</v>
      </c>
      <c r="C2650" s="5">
        <v>1</v>
      </c>
      <c r="D2650" s="5" t="s">
        <v>810</v>
      </c>
      <c r="E2650" s="5" t="s">
        <v>245</v>
      </c>
      <c r="F2650" s="5" t="s">
        <v>254</v>
      </c>
      <c r="G2650" s="5" t="s">
        <v>240</v>
      </c>
      <c r="H2650" s="6" t="s">
        <v>3246</v>
      </c>
      <c r="I2650" s="5" t="s">
        <v>809</v>
      </c>
      <c r="J2650" s="8">
        <f>615</f>
        <v>615</v>
      </c>
      <c r="K2650" s="5" t="s">
        <v>308</v>
      </c>
      <c r="L2650" s="7">
        <f>1</f>
        <v>1</v>
      </c>
      <c r="M2650" s="7">
        <f>1</f>
        <v>1</v>
      </c>
      <c r="N2650" s="5" t="s">
        <v>242</v>
      </c>
      <c r="O2650" s="5">
        <v>1</v>
      </c>
      <c r="P2650" s="5" t="s">
        <v>294</v>
      </c>
      <c r="Q2650" s="5" t="s">
        <v>266</v>
      </c>
      <c r="R2650" s="5" t="s">
        <v>240</v>
      </c>
      <c r="S2650" s="5" t="s">
        <v>240</v>
      </c>
      <c r="T2650" s="5" t="s">
        <v>296</v>
      </c>
      <c r="U2650" s="5" t="s">
        <v>244</v>
      </c>
      <c r="V2650" s="5" t="s">
        <v>240</v>
      </c>
      <c r="Y2650" s="5" t="s">
        <v>240</v>
      </c>
      <c r="Z2650" s="6" t="s">
        <v>298</v>
      </c>
      <c r="AB2650" s="6" t="s">
        <v>240</v>
      </c>
      <c r="AE2650" s="6" t="s">
        <v>299</v>
      </c>
      <c r="AF2650" s="5" t="s">
        <v>248</v>
      </c>
      <c r="AG2650" s="5" t="s">
        <v>249</v>
      </c>
      <c r="AW2650" s="5" t="s">
        <v>251</v>
      </c>
      <c r="AX2650" s="5" t="s">
        <v>240</v>
      </c>
      <c r="AY2650" s="5" t="s">
        <v>253</v>
      </c>
      <c r="AZ2650" s="5" t="s">
        <v>240</v>
      </c>
      <c r="BA2650" s="5" t="s">
        <v>255</v>
      </c>
      <c r="BB2650" s="5" t="s">
        <v>240</v>
      </c>
      <c r="BD2650" s="5" t="s">
        <v>240</v>
      </c>
      <c r="BF2650" s="5" t="s">
        <v>301</v>
      </c>
      <c r="BG2650" s="6" t="s">
        <v>299</v>
      </c>
      <c r="BH2650" s="5" t="s">
        <v>302</v>
      </c>
      <c r="BI2650" s="5" t="s">
        <v>303</v>
      </c>
      <c r="BJ2650" s="5" t="s">
        <v>240</v>
      </c>
      <c r="BK2650" s="8">
        <f>0</f>
        <v>0</v>
      </c>
      <c r="BL2650" s="7">
        <f>0</f>
        <v>0</v>
      </c>
      <c r="BM2650" s="5" t="s">
        <v>258</v>
      </c>
      <c r="BN2650" s="5" t="s">
        <v>259</v>
      </c>
      <c r="CB2650" s="5" t="s">
        <v>240</v>
      </c>
      <c r="CC2650" s="5" t="s">
        <v>240</v>
      </c>
      <c r="CG2650" s="5" t="s">
        <v>304</v>
      </c>
      <c r="CH2650" s="5" t="s">
        <v>305</v>
      </c>
      <c r="CI2650" s="5" t="s">
        <v>240</v>
      </c>
      <c r="CL2650" s="6" t="s">
        <v>261</v>
      </c>
      <c r="CM2650" s="5" t="s">
        <v>240</v>
      </c>
      <c r="CN2650" s="5" t="s">
        <v>263</v>
      </c>
      <c r="CO2650" s="5" t="s">
        <v>240</v>
      </c>
      <c r="CP2650" s="5" t="s">
        <v>240</v>
      </c>
      <c r="CQ2650" s="5">
        <v>0</v>
      </c>
      <c r="CR2650" s="5" t="s">
        <v>306</v>
      </c>
      <c r="CS2650" s="5" t="s">
        <v>307</v>
      </c>
      <c r="CT2650" s="5" t="s">
        <v>307</v>
      </c>
      <c r="CU2650" s="5" t="s">
        <v>260</v>
      </c>
      <c r="CX2650" s="7">
        <f>1</f>
        <v>1</v>
      </c>
      <c r="CY2650" s="7">
        <f>0</f>
        <v>0</v>
      </c>
      <c r="DA2650" s="7">
        <f>0</f>
        <v>0</v>
      </c>
      <c r="DC2650" s="5" t="s">
        <v>309</v>
      </c>
      <c r="DD2650" s="5" t="s">
        <v>240</v>
      </c>
      <c r="DF2650" s="5" t="s">
        <v>309</v>
      </c>
      <c r="DG2650" s="7">
        <f>2086</f>
        <v>2086</v>
      </c>
      <c r="DI2650" s="5" t="s">
        <v>240</v>
      </c>
      <c r="DJ2650" s="5" t="s">
        <v>240</v>
      </c>
      <c r="DK2650" s="5" t="s">
        <v>240</v>
      </c>
      <c r="DL2650" s="5" t="s">
        <v>240</v>
      </c>
      <c r="DP2650" s="5" t="s">
        <v>240</v>
      </c>
      <c r="DQ2650" s="5" t="s">
        <v>240</v>
      </c>
      <c r="DR2650" s="5" t="s">
        <v>240</v>
      </c>
      <c r="DS2650" s="5" t="s">
        <v>240</v>
      </c>
      <c r="DV2650" s="5" t="s">
        <v>310</v>
      </c>
      <c r="DW2650" s="5" t="s">
        <v>3351</v>
      </c>
      <c r="HO2650" s="5" t="s">
        <v>312</v>
      </c>
    </row>
    <row r="2651" spans="1:223" x14ac:dyDescent="0.4">
      <c r="A2651" s="5">
        <v>4355</v>
      </c>
      <c r="B2651" s="5">
        <v>1</v>
      </c>
      <c r="C2651" s="5">
        <v>1</v>
      </c>
      <c r="D2651" s="5" t="s">
        <v>810</v>
      </c>
      <c r="E2651" s="5" t="s">
        <v>245</v>
      </c>
      <c r="F2651" s="5" t="s">
        <v>254</v>
      </c>
      <c r="G2651" s="5" t="s">
        <v>240</v>
      </c>
      <c r="H2651" s="6" t="s">
        <v>3244</v>
      </c>
      <c r="I2651" s="5" t="s">
        <v>809</v>
      </c>
      <c r="J2651" s="8">
        <f>273</f>
        <v>273</v>
      </c>
      <c r="K2651" s="5" t="s">
        <v>308</v>
      </c>
      <c r="L2651" s="7">
        <f>1</f>
        <v>1</v>
      </c>
      <c r="M2651" s="7">
        <f>1</f>
        <v>1</v>
      </c>
      <c r="N2651" s="5" t="s">
        <v>242</v>
      </c>
      <c r="O2651" s="5">
        <v>1</v>
      </c>
      <c r="P2651" s="5" t="s">
        <v>294</v>
      </c>
      <c r="Q2651" s="5" t="s">
        <v>266</v>
      </c>
      <c r="R2651" s="5" t="s">
        <v>240</v>
      </c>
      <c r="S2651" s="5" t="s">
        <v>240</v>
      </c>
      <c r="T2651" s="5" t="s">
        <v>296</v>
      </c>
      <c r="U2651" s="5" t="s">
        <v>244</v>
      </c>
      <c r="V2651" s="5" t="s">
        <v>240</v>
      </c>
      <c r="Y2651" s="5" t="s">
        <v>240</v>
      </c>
      <c r="Z2651" s="6" t="s">
        <v>298</v>
      </c>
      <c r="AB2651" s="6" t="s">
        <v>240</v>
      </c>
      <c r="AE2651" s="6" t="s">
        <v>299</v>
      </c>
      <c r="AF2651" s="5" t="s">
        <v>248</v>
      </c>
      <c r="AG2651" s="5" t="s">
        <v>249</v>
      </c>
      <c r="AW2651" s="5" t="s">
        <v>251</v>
      </c>
      <c r="AX2651" s="5" t="s">
        <v>240</v>
      </c>
      <c r="AY2651" s="5" t="s">
        <v>253</v>
      </c>
      <c r="AZ2651" s="5" t="s">
        <v>240</v>
      </c>
      <c r="BA2651" s="5" t="s">
        <v>255</v>
      </c>
      <c r="BB2651" s="5" t="s">
        <v>240</v>
      </c>
      <c r="BD2651" s="5" t="s">
        <v>240</v>
      </c>
      <c r="BF2651" s="5" t="s">
        <v>301</v>
      </c>
      <c r="BG2651" s="6" t="s">
        <v>299</v>
      </c>
      <c r="BH2651" s="5" t="s">
        <v>302</v>
      </c>
      <c r="BI2651" s="5" t="s">
        <v>303</v>
      </c>
      <c r="BJ2651" s="5" t="s">
        <v>240</v>
      </c>
      <c r="BK2651" s="8">
        <f>0</f>
        <v>0</v>
      </c>
      <c r="BL2651" s="7">
        <f>0</f>
        <v>0</v>
      </c>
      <c r="BM2651" s="5" t="s">
        <v>258</v>
      </c>
      <c r="BN2651" s="5" t="s">
        <v>259</v>
      </c>
      <c r="CB2651" s="5" t="s">
        <v>240</v>
      </c>
      <c r="CC2651" s="5" t="s">
        <v>240</v>
      </c>
      <c r="CG2651" s="5" t="s">
        <v>304</v>
      </c>
      <c r="CH2651" s="5" t="s">
        <v>305</v>
      </c>
      <c r="CI2651" s="5" t="s">
        <v>240</v>
      </c>
      <c r="CL2651" s="6" t="s">
        <v>261</v>
      </c>
      <c r="CM2651" s="5" t="s">
        <v>240</v>
      </c>
      <c r="CN2651" s="5" t="s">
        <v>263</v>
      </c>
      <c r="CO2651" s="5" t="s">
        <v>240</v>
      </c>
      <c r="CP2651" s="5" t="s">
        <v>240</v>
      </c>
      <c r="CQ2651" s="5">
        <v>0</v>
      </c>
      <c r="CR2651" s="5" t="s">
        <v>306</v>
      </c>
      <c r="CS2651" s="5" t="s">
        <v>307</v>
      </c>
      <c r="CT2651" s="5" t="s">
        <v>307</v>
      </c>
      <c r="CU2651" s="5" t="s">
        <v>260</v>
      </c>
      <c r="CX2651" s="7">
        <f>1</f>
        <v>1</v>
      </c>
      <c r="CY2651" s="7">
        <f>0</f>
        <v>0</v>
      </c>
      <c r="DA2651" s="7">
        <f>0</f>
        <v>0</v>
      </c>
      <c r="DC2651" s="5" t="s">
        <v>309</v>
      </c>
      <c r="DD2651" s="5" t="s">
        <v>240</v>
      </c>
      <c r="DF2651" s="5" t="s">
        <v>309</v>
      </c>
      <c r="DG2651" s="7">
        <f>3153</f>
        <v>3153</v>
      </c>
      <c r="DI2651" s="5" t="s">
        <v>240</v>
      </c>
      <c r="DJ2651" s="5" t="s">
        <v>240</v>
      </c>
      <c r="DK2651" s="5" t="s">
        <v>240</v>
      </c>
      <c r="DL2651" s="5" t="s">
        <v>240</v>
      </c>
      <c r="DP2651" s="5" t="s">
        <v>240</v>
      </c>
      <c r="DQ2651" s="5" t="s">
        <v>240</v>
      </c>
      <c r="DR2651" s="5" t="s">
        <v>240</v>
      </c>
      <c r="DS2651" s="5" t="s">
        <v>240</v>
      </c>
      <c r="DV2651" s="5" t="s">
        <v>310</v>
      </c>
      <c r="DW2651" s="5" t="s">
        <v>3353</v>
      </c>
      <c r="HO2651" s="5" t="s">
        <v>312</v>
      </c>
    </row>
    <row r="2652" spans="1:223" x14ac:dyDescent="0.4">
      <c r="A2652" s="5">
        <v>4356</v>
      </c>
      <c r="B2652" s="5">
        <v>1</v>
      </c>
      <c r="C2652" s="5">
        <v>1</v>
      </c>
      <c r="D2652" s="5" t="s">
        <v>810</v>
      </c>
      <c r="E2652" s="5" t="s">
        <v>245</v>
      </c>
      <c r="F2652" s="5" t="s">
        <v>254</v>
      </c>
      <c r="G2652" s="5" t="s">
        <v>240</v>
      </c>
      <c r="H2652" s="6" t="s">
        <v>3242</v>
      </c>
      <c r="I2652" s="5" t="s">
        <v>809</v>
      </c>
      <c r="J2652" s="8">
        <f>694</f>
        <v>694</v>
      </c>
      <c r="K2652" s="5" t="s">
        <v>308</v>
      </c>
      <c r="L2652" s="7">
        <f>1</f>
        <v>1</v>
      </c>
      <c r="M2652" s="7">
        <f>1</f>
        <v>1</v>
      </c>
      <c r="N2652" s="5" t="s">
        <v>242</v>
      </c>
      <c r="O2652" s="5">
        <v>1</v>
      </c>
      <c r="P2652" s="5" t="s">
        <v>294</v>
      </c>
      <c r="Q2652" s="5" t="s">
        <v>266</v>
      </c>
      <c r="R2652" s="5" t="s">
        <v>240</v>
      </c>
      <c r="S2652" s="5" t="s">
        <v>240</v>
      </c>
      <c r="T2652" s="5" t="s">
        <v>296</v>
      </c>
      <c r="U2652" s="5" t="s">
        <v>244</v>
      </c>
      <c r="V2652" s="5" t="s">
        <v>240</v>
      </c>
      <c r="Y2652" s="5" t="s">
        <v>240</v>
      </c>
      <c r="Z2652" s="6" t="s">
        <v>298</v>
      </c>
      <c r="AB2652" s="6" t="s">
        <v>240</v>
      </c>
      <c r="AE2652" s="6" t="s">
        <v>299</v>
      </c>
      <c r="AF2652" s="5" t="s">
        <v>248</v>
      </c>
      <c r="AG2652" s="5" t="s">
        <v>249</v>
      </c>
      <c r="AW2652" s="5" t="s">
        <v>251</v>
      </c>
      <c r="AX2652" s="5" t="s">
        <v>240</v>
      </c>
      <c r="AY2652" s="5" t="s">
        <v>253</v>
      </c>
      <c r="AZ2652" s="5" t="s">
        <v>240</v>
      </c>
      <c r="BA2652" s="5" t="s">
        <v>255</v>
      </c>
      <c r="BB2652" s="5" t="s">
        <v>240</v>
      </c>
      <c r="BD2652" s="5" t="s">
        <v>240</v>
      </c>
      <c r="BF2652" s="5" t="s">
        <v>301</v>
      </c>
      <c r="BG2652" s="6" t="s">
        <v>299</v>
      </c>
      <c r="BH2652" s="5" t="s">
        <v>302</v>
      </c>
      <c r="BI2652" s="5" t="s">
        <v>303</v>
      </c>
      <c r="BJ2652" s="5" t="s">
        <v>240</v>
      </c>
      <c r="BK2652" s="8">
        <f>0</f>
        <v>0</v>
      </c>
      <c r="BL2652" s="7">
        <f>0</f>
        <v>0</v>
      </c>
      <c r="BM2652" s="5" t="s">
        <v>258</v>
      </c>
      <c r="BN2652" s="5" t="s">
        <v>259</v>
      </c>
      <c r="CB2652" s="5" t="s">
        <v>240</v>
      </c>
      <c r="CC2652" s="5" t="s">
        <v>240</v>
      </c>
      <c r="CG2652" s="5" t="s">
        <v>304</v>
      </c>
      <c r="CH2652" s="5" t="s">
        <v>305</v>
      </c>
      <c r="CI2652" s="5" t="s">
        <v>240</v>
      </c>
      <c r="CL2652" s="6" t="s">
        <v>261</v>
      </c>
      <c r="CM2652" s="5" t="s">
        <v>240</v>
      </c>
      <c r="CN2652" s="5" t="s">
        <v>263</v>
      </c>
      <c r="CO2652" s="5" t="s">
        <v>240</v>
      </c>
      <c r="CP2652" s="5" t="s">
        <v>240</v>
      </c>
      <c r="CQ2652" s="5">
        <v>0</v>
      </c>
      <c r="CR2652" s="5" t="s">
        <v>306</v>
      </c>
      <c r="CS2652" s="5" t="s">
        <v>307</v>
      </c>
      <c r="CT2652" s="5" t="s">
        <v>307</v>
      </c>
      <c r="CU2652" s="5" t="s">
        <v>260</v>
      </c>
      <c r="CX2652" s="7">
        <f>1</f>
        <v>1</v>
      </c>
      <c r="CY2652" s="7">
        <f>0</f>
        <v>0</v>
      </c>
      <c r="DA2652" s="7">
        <f>0</f>
        <v>0</v>
      </c>
      <c r="DC2652" s="5" t="s">
        <v>309</v>
      </c>
      <c r="DD2652" s="5" t="s">
        <v>240</v>
      </c>
      <c r="DF2652" s="5" t="s">
        <v>309</v>
      </c>
      <c r="DG2652" s="7">
        <f>1444</f>
        <v>1444</v>
      </c>
      <c r="DI2652" s="5" t="s">
        <v>240</v>
      </c>
      <c r="DJ2652" s="5" t="s">
        <v>240</v>
      </c>
      <c r="DK2652" s="5" t="s">
        <v>240</v>
      </c>
      <c r="DL2652" s="5" t="s">
        <v>240</v>
      </c>
      <c r="DP2652" s="5" t="s">
        <v>240</v>
      </c>
      <c r="DQ2652" s="5" t="s">
        <v>240</v>
      </c>
      <c r="DR2652" s="5" t="s">
        <v>240</v>
      </c>
      <c r="DS2652" s="5" t="s">
        <v>240</v>
      </c>
      <c r="DV2652" s="5" t="s">
        <v>310</v>
      </c>
      <c r="DW2652" s="5" t="s">
        <v>3355</v>
      </c>
      <c r="HO2652" s="5" t="s">
        <v>312</v>
      </c>
    </row>
    <row r="2653" spans="1:223" x14ac:dyDescent="0.4">
      <c r="A2653" s="5">
        <v>4357</v>
      </c>
      <c r="B2653" s="5">
        <v>1</v>
      </c>
      <c r="C2653" s="5">
        <v>1</v>
      </c>
      <c r="D2653" s="5" t="s">
        <v>810</v>
      </c>
      <c r="E2653" s="5" t="s">
        <v>245</v>
      </c>
      <c r="F2653" s="5" t="s">
        <v>254</v>
      </c>
      <c r="G2653" s="5" t="s">
        <v>240</v>
      </c>
      <c r="H2653" s="6" t="s">
        <v>4916</v>
      </c>
      <c r="I2653" s="5" t="s">
        <v>809</v>
      </c>
      <c r="J2653" s="8">
        <f>1938</f>
        <v>1938</v>
      </c>
      <c r="K2653" s="5" t="s">
        <v>308</v>
      </c>
      <c r="L2653" s="7">
        <f>1</f>
        <v>1</v>
      </c>
      <c r="M2653" s="7">
        <f>1</f>
        <v>1</v>
      </c>
      <c r="N2653" s="5" t="s">
        <v>242</v>
      </c>
      <c r="O2653" s="5">
        <v>1</v>
      </c>
      <c r="P2653" s="5" t="s">
        <v>294</v>
      </c>
      <c r="Q2653" s="5" t="s">
        <v>266</v>
      </c>
      <c r="R2653" s="5" t="s">
        <v>240</v>
      </c>
      <c r="S2653" s="5" t="s">
        <v>240</v>
      </c>
      <c r="T2653" s="5" t="s">
        <v>296</v>
      </c>
      <c r="U2653" s="5" t="s">
        <v>244</v>
      </c>
      <c r="V2653" s="5" t="s">
        <v>240</v>
      </c>
      <c r="Y2653" s="5" t="s">
        <v>240</v>
      </c>
      <c r="Z2653" s="6" t="s">
        <v>298</v>
      </c>
      <c r="AB2653" s="6" t="s">
        <v>240</v>
      </c>
      <c r="AE2653" s="6" t="s">
        <v>299</v>
      </c>
      <c r="AF2653" s="5" t="s">
        <v>248</v>
      </c>
      <c r="AG2653" s="5" t="s">
        <v>249</v>
      </c>
      <c r="AW2653" s="5" t="s">
        <v>251</v>
      </c>
      <c r="AX2653" s="5" t="s">
        <v>240</v>
      </c>
      <c r="AY2653" s="5" t="s">
        <v>253</v>
      </c>
      <c r="AZ2653" s="5" t="s">
        <v>240</v>
      </c>
      <c r="BA2653" s="5" t="s">
        <v>255</v>
      </c>
      <c r="BB2653" s="5" t="s">
        <v>240</v>
      </c>
      <c r="BD2653" s="5" t="s">
        <v>240</v>
      </c>
      <c r="BF2653" s="5" t="s">
        <v>301</v>
      </c>
      <c r="BG2653" s="6" t="s">
        <v>299</v>
      </c>
      <c r="BH2653" s="5" t="s">
        <v>302</v>
      </c>
      <c r="BI2653" s="5" t="s">
        <v>303</v>
      </c>
      <c r="BJ2653" s="5" t="s">
        <v>240</v>
      </c>
      <c r="BK2653" s="8">
        <f>0</f>
        <v>0</v>
      </c>
      <c r="BL2653" s="7">
        <f>0</f>
        <v>0</v>
      </c>
      <c r="BM2653" s="5" t="s">
        <v>258</v>
      </c>
      <c r="BN2653" s="5" t="s">
        <v>259</v>
      </c>
      <c r="CB2653" s="5" t="s">
        <v>240</v>
      </c>
      <c r="CC2653" s="5" t="s">
        <v>240</v>
      </c>
      <c r="CG2653" s="5" t="s">
        <v>304</v>
      </c>
      <c r="CH2653" s="5" t="s">
        <v>305</v>
      </c>
      <c r="CI2653" s="5" t="s">
        <v>240</v>
      </c>
      <c r="CL2653" s="6" t="s">
        <v>261</v>
      </c>
      <c r="CM2653" s="5" t="s">
        <v>240</v>
      </c>
      <c r="CN2653" s="5" t="s">
        <v>263</v>
      </c>
      <c r="CO2653" s="5" t="s">
        <v>240</v>
      </c>
      <c r="CP2653" s="5" t="s">
        <v>240</v>
      </c>
      <c r="CQ2653" s="5">
        <v>0</v>
      </c>
      <c r="CR2653" s="5" t="s">
        <v>306</v>
      </c>
      <c r="CS2653" s="5" t="s">
        <v>307</v>
      </c>
      <c r="CT2653" s="5" t="s">
        <v>307</v>
      </c>
      <c r="CU2653" s="5" t="s">
        <v>260</v>
      </c>
      <c r="CX2653" s="7">
        <f>1</f>
        <v>1</v>
      </c>
      <c r="CY2653" s="7">
        <f>0</f>
        <v>0</v>
      </c>
      <c r="DA2653" s="7">
        <f>0</f>
        <v>0</v>
      </c>
      <c r="DC2653" s="5" t="s">
        <v>309</v>
      </c>
      <c r="DD2653" s="5" t="s">
        <v>240</v>
      </c>
      <c r="DF2653" s="5" t="s">
        <v>309</v>
      </c>
      <c r="DG2653" s="7">
        <f>3123</f>
        <v>3123</v>
      </c>
      <c r="DI2653" s="5" t="s">
        <v>240</v>
      </c>
      <c r="DJ2653" s="5" t="s">
        <v>240</v>
      </c>
      <c r="DK2653" s="5" t="s">
        <v>240</v>
      </c>
      <c r="DL2653" s="5" t="s">
        <v>240</v>
      </c>
      <c r="DP2653" s="5" t="s">
        <v>240</v>
      </c>
      <c r="DQ2653" s="5" t="s">
        <v>240</v>
      </c>
      <c r="DR2653" s="5" t="s">
        <v>240</v>
      </c>
      <c r="DS2653" s="5" t="s">
        <v>240</v>
      </c>
      <c r="DV2653" s="5" t="s">
        <v>310</v>
      </c>
      <c r="DW2653" s="5" t="s">
        <v>3357</v>
      </c>
      <c r="HO2653" s="5" t="s">
        <v>312</v>
      </c>
    </row>
    <row r="2654" spans="1:223" x14ac:dyDescent="0.4">
      <c r="A2654" s="5">
        <v>4358</v>
      </c>
      <c r="B2654" s="5">
        <v>1</v>
      </c>
      <c r="C2654" s="5">
        <v>1</v>
      </c>
      <c r="D2654" s="5" t="s">
        <v>810</v>
      </c>
      <c r="E2654" s="5" t="s">
        <v>245</v>
      </c>
      <c r="F2654" s="5" t="s">
        <v>254</v>
      </c>
      <c r="G2654" s="5" t="s">
        <v>240</v>
      </c>
      <c r="H2654" s="6" t="s">
        <v>3238</v>
      </c>
      <c r="I2654" s="5" t="s">
        <v>809</v>
      </c>
      <c r="J2654" s="8">
        <f>52</f>
        <v>52</v>
      </c>
      <c r="K2654" s="5" t="s">
        <v>308</v>
      </c>
      <c r="L2654" s="7">
        <f>1</f>
        <v>1</v>
      </c>
      <c r="M2654" s="7">
        <f>1</f>
        <v>1</v>
      </c>
      <c r="N2654" s="5" t="s">
        <v>242</v>
      </c>
      <c r="O2654" s="5">
        <v>1</v>
      </c>
      <c r="P2654" s="5" t="s">
        <v>294</v>
      </c>
      <c r="Q2654" s="5" t="s">
        <v>266</v>
      </c>
      <c r="R2654" s="5" t="s">
        <v>240</v>
      </c>
      <c r="S2654" s="5" t="s">
        <v>240</v>
      </c>
      <c r="T2654" s="5" t="s">
        <v>296</v>
      </c>
      <c r="U2654" s="5" t="s">
        <v>244</v>
      </c>
      <c r="V2654" s="5" t="s">
        <v>240</v>
      </c>
      <c r="Y2654" s="5" t="s">
        <v>240</v>
      </c>
      <c r="Z2654" s="6" t="s">
        <v>298</v>
      </c>
      <c r="AB2654" s="6" t="s">
        <v>240</v>
      </c>
      <c r="AE2654" s="6" t="s">
        <v>299</v>
      </c>
      <c r="AF2654" s="5" t="s">
        <v>248</v>
      </c>
      <c r="AG2654" s="5" t="s">
        <v>249</v>
      </c>
      <c r="AW2654" s="5" t="s">
        <v>251</v>
      </c>
      <c r="AX2654" s="5" t="s">
        <v>240</v>
      </c>
      <c r="AY2654" s="5" t="s">
        <v>253</v>
      </c>
      <c r="AZ2654" s="5" t="s">
        <v>240</v>
      </c>
      <c r="BA2654" s="5" t="s">
        <v>255</v>
      </c>
      <c r="BB2654" s="5" t="s">
        <v>240</v>
      </c>
      <c r="BD2654" s="5" t="s">
        <v>240</v>
      </c>
      <c r="BF2654" s="5" t="s">
        <v>301</v>
      </c>
      <c r="BG2654" s="6" t="s">
        <v>299</v>
      </c>
      <c r="BH2654" s="5" t="s">
        <v>302</v>
      </c>
      <c r="BI2654" s="5" t="s">
        <v>303</v>
      </c>
      <c r="BJ2654" s="5" t="s">
        <v>240</v>
      </c>
      <c r="BK2654" s="8">
        <f>0</f>
        <v>0</v>
      </c>
      <c r="BL2654" s="7">
        <f>0</f>
        <v>0</v>
      </c>
      <c r="BM2654" s="5" t="s">
        <v>258</v>
      </c>
      <c r="BN2654" s="5" t="s">
        <v>259</v>
      </c>
      <c r="CB2654" s="5" t="s">
        <v>240</v>
      </c>
      <c r="CC2654" s="5" t="s">
        <v>240</v>
      </c>
      <c r="CG2654" s="5" t="s">
        <v>304</v>
      </c>
      <c r="CH2654" s="5" t="s">
        <v>305</v>
      </c>
      <c r="CI2654" s="5" t="s">
        <v>240</v>
      </c>
      <c r="CL2654" s="6" t="s">
        <v>261</v>
      </c>
      <c r="CM2654" s="5" t="s">
        <v>240</v>
      </c>
      <c r="CN2654" s="5" t="s">
        <v>263</v>
      </c>
      <c r="CO2654" s="5" t="s">
        <v>240</v>
      </c>
      <c r="CP2654" s="5" t="s">
        <v>240</v>
      </c>
      <c r="CQ2654" s="5">
        <v>0</v>
      </c>
      <c r="CR2654" s="5" t="s">
        <v>306</v>
      </c>
      <c r="CS2654" s="5" t="s">
        <v>307</v>
      </c>
      <c r="CT2654" s="5" t="s">
        <v>307</v>
      </c>
      <c r="CU2654" s="5" t="s">
        <v>260</v>
      </c>
      <c r="CX2654" s="7">
        <f>1</f>
        <v>1</v>
      </c>
      <c r="CY2654" s="7">
        <f>0</f>
        <v>0</v>
      </c>
      <c r="DA2654" s="7">
        <f>0</f>
        <v>0</v>
      </c>
      <c r="DC2654" s="5" t="s">
        <v>309</v>
      </c>
      <c r="DD2654" s="5" t="s">
        <v>240</v>
      </c>
      <c r="DF2654" s="5" t="s">
        <v>309</v>
      </c>
      <c r="DG2654" s="7">
        <f>472</f>
        <v>472</v>
      </c>
      <c r="DI2654" s="5" t="s">
        <v>240</v>
      </c>
      <c r="DJ2654" s="5" t="s">
        <v>240</v>
      </c>
      <c r="DK2654" s="5" t="s">
        <v>240</v>
      </c>
      <c r="DL2654" s="5" t="s">
        <v>240</v>
      </c>
      <c r="DP2654" s="5" t="s">
        <v>240</v>
      </c>
      <c r="DQ2654" s="5" t="s">
        <v>240</v>
      </c>
      <c r="DR2654" s="5" t="s">
        <v>240</v>
      </c>
      <c r="DS2654" s="5" t="s">
        <v>240</v>
      </c>
      <c r="DV2654" s="5" t="s">
        <v>310</v>
      </c>
      <c r="DW2654" s="5" t="s">
        <v>3359</v>
      </c>
      <c r="HO2654" s="5" t="s">
        <v>312</v>
      </c>
    </row>
    <row r="2655" spans="1:223" x14ac:dyDescent="0.4">
      <c r="A2655" s="5">
        <v>4359</v>
      </c>
      <c r="B2655" s="5">
        <v>1</v>
      </c>
      <c r="C2655" s="5">
        <v>1</v>
      </c>
      <c r="D2655" s="5" t="s">
        <v>810</v>
      </c>
      <c r="E2655" s="5" t="s">
        <v>245</v>
      </c>
      <c r="F2655" s="5" t="s">
        <v>254</v>
      </c>
      <c r="G2655" s="5" t="s">
        <v>240</v>
      </c>
      <c r="H2655" s="6" t="s">
        <v>3236</v>
      </c>
      <c r="I2655" s="5" t="s">
        <v>809</v>
      </c>
      <c r="J2655" s="8">
        <f>496</f>
        <v>496</v>
      </c>
      <c r="K2655" s="5" t="s">
        <v>308</v>
      </c>
      <c r="L2655" s="7">
        <f>1</f>
        <v>1</v>
      </c>
      <c r="M2655" s="7">
        <f>1</f>
        <v>1</v>
      </c>
      <c r="N2655" s="5" t="s">
        <v>242</v>
      </c>
      <c r="O2655" s="5">
        <v>1</v>
      </c>
      <c r="P2655" s="5" t="s">
        <v>294</v>
      </c>
      <c r="Q2655" s="5" t="s">
        <v>266</v>
      </c>
      <c r="R2655" s="5" t="s">
        <v>240</v>
      </c>
      <c r="S2655" s="5" t="s">
        <v>240</v>
      </c>
      <c r="T2655" s="5" t="s">
        <v>296</v>
      </c>
      <c r="U2655" s="5" t="s">
        <v>244</v>
      </c>
      <c r="V2655" s="5" t="s">
        <v>240</v>
      </c>
      <c r="Y2655" s="5" t="s">
        <v>240</v>
      </c>
      <c r="Z2655" s="6" t="s">
        <v>298</v>
      </c>
      <c r="AB2655" s="6" t="s">
        <v>240</v>
      </c>
      <c r="AE2655" s="6" t="s">
        <v>299</v>
      </c>
      <c r="AF2655" s="5" t="s">
        <v>248</v>
      </c>
      <c r="AG2655" s="5" t="s">
        <v>249</v>
      </c>
      <c r="AW2655" s="5" t="s">
        <v>251</v>
      </c>
      <c r="AX2655" s="5" t="s">
        <v>240</v>
      </c>
      <c r="AY2655" s="5" t="s">
        <v>253</v>
      </c>
      <c r="AZ2655" s="5" t="s">
        <v>240</v>
      </c>
      <c r="BA2655" s="5" t="s">
        <v>255</v>
      </c>
      <c r="BB2655" s="5" t="s">
        <v>240</v>
      </c>
      <c r="BD2655" s="5" t="s">
        <v>240</v>
      </c>
      <c r="BF2655" s="5" t="s">
        <v>301</v>
      </c>
      <c r="BG2655" s="6" t="s">
        <v>299</v>
      </c>
      <c r="BH2655" s="5" t="s">
        <v>302</v>
      </c>
      <c r="BI2655" s="5" t="s">
        <v>303</v>
      </c>
      <c r="BJ2655" s="5" t="s">
        <v>240</v>
      </c>
      <c r="BK2655" s="8">
        <f>0</f>
        <v>0</v>
      </c>
      <c r="BL2655" s="7">
        <f>0</f>
        <v>0</v>
      </c>
      <c r="BM2655" s="5" t="s">
        <v>258</v>
      </c>
      <c r="BN2655" s="5" t="s">
        <v>259</v>
      </c>
      <c r="CB2655" s="5" t="s">
        <v>240</v>
      </c>
      <c r="CC2655" s="5" t="s">
        <v>240</v>
      </c>
      <c r="CG2655" s="5" t="s">
        <v>304</v>
      </c>
      <c r="CH2655" s="5" t="s">
        <v>305</v>
      </c>
      <c r="CI2655" s="5" t="s">
        <v>240</v>
      </c>
      <c r="CL2655" s="6" t="s">
        <v>261</v>
      </c>
      <c r="CM2655" s="5" t="s">
        <v>240</v>
      </c>
      <c r="CN2655" s="5" t="s">
        <v>263</v>
      </c>
      <c r="CO2655" s="5" t="s">
        <v>240</v>
      </c>
      <c r="CP2655" s="5" t="s">
        <v>240</v>
      </c>
      <c r="CQ2655" s="5">
        <v>0</v>
      </c>
      <c r="CR2655" s="5" t="s">
        <v>306</v>
      </c>
      <c r="CS2655" s="5" t="s">
        <v>307</v>
      </c>
      <c r="CT2655" s="5" t="s">
        <v>307</v>
      </c>
      <c r="CU2655" s="5" t="s">
        <v>260</v>
      </c>
      <c r="CX2655" s="7">
        <f>1</f>
        <v>1</v>
      </c>
      <c r="CY2655" s="7">
        <f>0</f>
        <v>0</v>
      </c>
      <c r="DA2655" s="7">
        <f>0</f>
        <v>0</v>
      </c>
      <c r="DC2655" s="5" t="s">
        <v>309</v>
      </c>
      <c r="DD2655" s="5" t="s">
        <v>240</v>
      </c>
      <c r="DF2655" s="5" t="s">
        <v>309</v>
      </c>
      <c r="DG2655" s="7">
        <f>3157</f>
        <v>3157</v>
      </c>
      <c r="DI2655" s="5" t="s">
        <v>240</v>
      </c>
      <c r="DJ2655" s="5" t="s">
        <v>240</v>
      </c>
      <c r="DK2655" s="5" t="s">
        <v>240</v>
      </c>
      <c r="DL2655" s="5" t="s">
        <v>240</v>
      </c>
      <c r="DP2655" s="5" t="s">
        <v>240</v>
      </c>
      <c r="DQ2655" s="5" t="s">
        <v>240</v>
      </c>
      <c r="DR2655" s="5" t="s">
        <v>240</v>
      </c>
      <c r="DS2655" s="5" t="s">
        <v>240</v>
      </c>
      <c r="DV2655" s="5" t="s">
        <v>310</v>
      </c>
      <c r="DW2655" s="5" t="s">
        <v>3361</v>
      </c>
      <c r="HO2655" s="5" t="s">
        <v>312</v>
      </c>
    </row>
    <row r="2656" spans="1:223" x14ac:dyDescent="0.4">
      <c r="A2656" s="5">
        <v>4360</v>
      </c>
      <c r="B2656" s="5">
        <v>1</v>
      </c>
      <c r="C2656" s="5">
        <v>1</v>
      </c>
      <c r="D2656" s="5" t="s">
        <v>810</v>
      </c>
      <c r="E2656" s="5" t="s">
        <v>245</v>
      </c>
      <c r="F2656" s="5" t="s">
        <v>254</v>
      </c>
      <c r="G2656" s="5" t="s">
        <v>240</v>
      </c>
      <c r="H2656" s="6" t="s">
        <v>3234</v>
      </c>
      <c r="I2656" s="5" t="s">
        <v>809</v>
      </c>
      <c r="J2656" s="8">
        <f>2302</f>
        <v>2302</v>
      </c>
      <c r="K2656" s="5" t="s">
        <v>308</v>
      </c>
      <c r="L2656" s="7">
        <f>1</f>
        <v>1</v>
      </c>
      <c r="M2656" s="7">
        <f>1</f>
        <v>1</v>
      </c>
      <c r="N2656" s="5" t="s">
        <v>242</v>
      </c>
      <c r="O2656" s="5">
        <v>1</v>
      </c>
      <c r="P2656" s="5" t="s">
        <v>294</v>
      </c>
      <c r="Q2656" s="5" t="s">
        <v>266</v>
      </c>
      <c r="R2656" s="5" t="s">
        <v>240</v>
      </c>
      <c r="S2656" s="5" t="s">
        <v>240</v>
      </c>
      <c r="T2656" s="5" t="s">
        <v>296</v>
      </c>
      <c r="U2656" s="5" t="s">
        <v>244</v>
      </c>
      <c r="V2656" s="5" t="s">
        <v>240</v>
      </c>
      <c r="Y2656" s="5" t="s">
        <v>240</v>
      </c>
      <c r="Z2656" s="6" t="s">
        <v>298</v>
      </c>
      <c r="AB2656" s="6" t="s">
        <v>240</v>
      </c>
      <c r="AE2656" s="6" t="s">
        <v>299</v>
      </c>
      <c r="AF2656" s="5" t="s">
        <v>248</v>
      </c>
      <c r="AG2656" s="5" t="s">
        <v>249</v>
      </c>
      <c r="AW2656" s="5" t="s">
        <v>251</v>
      </c>
      <c r="AX2656" s="5" t="s">
        <v>240</v>
      </c>
      <c r="AY2656" s="5" t="s">
        <v>253</v>
      </c>
      <c r="AZ2656" s="5" t="s">
        <v>240</v>
      </c>
      <c r="BA2656" s="5" t="s">
        <v>255</v>
      </c>
      <c r="BB2656" s="5" t="s">
        <v>240</v>
      </c>
      <c r="BD2656" s="5" t="s">
        <v>240</v>
      </c>
      <c r="BF2656" s="5" t="s">
        <v>301</v>
      </c>
      <c r="BG2656" s="6" t="s">
        <v>299</v>
      </c>
      <c r="BH2656" s="5" t="s">
        <v>302</v>
      </c>
      <c r="BI2656" s="5" t="s">
        <v>303</v>
      </c>
      <c r="BJ2656" s="5" t="s">
        <v>240</v>
      </c>
      <c r="BK2656" s="8">
        <f>0</f>
        <v>0</v>
      </c>
      <c r="BL2656" s="7">
        <f>0</f>
        <v>0</v>
      </c>
      <c r="BM2656" s="5" t="s">
        <v>258</v>
      </c>
      <c r="BN2656" s="5" t="s">
        <v>259</v>
      </c>
      <c r="CB2656" s="5" t="s">
        <v>240</v>
      </c>
      <c r="CC2656" s="5" t="s">
        <v>240</v>
      </c>
      <c r="CG2656" s="5" t="s">
        <v>304</v>
      </c>
      <c r="CH2656" s="5" t="s">
        <v>305</v>
      </c>
      <c r="CI2656" s="5" t="s">
        <v>240</v>
      </c>
      <c r="CL2656" s="6" t="s">
        <v>261</v>
      </c>
      <c r="CM2656" s="5" t="s">
        <v>240</v>
      </c>
      <c r="CN2656" s="5" t="s">
        <v>263</v>
      </c>
      <c r="CO2656" s="5" t="s">
        <v>240</v>
      </c>
      <c r="CP2656" s="5" t="s">
        <v>240</v>
      </c>
      <c r="CQ2656" s="5">
        <v>0</v>
      </c>
      <c r="CR2656" s="5" t="s">
        <v>306</v>
      </c>
      <c r="CS2656" s="5" t="s">
        <v>307</v>
      </c>
      <c r="CT2656" s="5" t="s">
        <v>307</v>
      </c>
      <c r="CU2656" s="5" t="s">
        <v>260</v>
      </c>
      <c r="CX2656" s="7">
        <f>1</f>
        <v>1</v>
      </c>
      <c r="CY2656" s="7">
        <f>0</f>
        <v>0</v>
      </c>
      <c r="DA2656" s="7">
        <f>0</f>
        <v>0</v>
      </c>
      <c r="DC2656" s="5" t="s">
        <v>309</v>
      </c>
      <c r="DD2656" s="5" t="s">
        <v>240</v>
      </c>
      <c r="DF2656" s="5" t="s">
        <v>309</v>
      </c>
      <c r="DG2656" s="7">
        <f>935</f>
        <v>935</v>
      </c>
      <c r="DI2656" s="5" t="s">
        <v>240</v>
      </c>
      <c r="DJ2656" s="5" t="s">
        <v>240</v>
      </c>
      <c r="DK2656" s="5" t="s">
        <v>240</v>
      </c>
      <c r="DL2656" s="5" t="s">
        <v>240</v>
      </c>
      <c r="DP2656" s="5" t="s">
        <v>240</v>
      </c>
      <c r="DQ2656" s="5" t="s">
        <v>240</v>
      </c>
      <c r="DR2656" s="5" t="s">
        <v>240</v>
      </c>
      <c r="DS2656" s="5" t="s">
        <v>240</v>
      </c>
      <c r="DV2656" s="5" t="s">
        <v>310</v>
      </c>
      <c r="DW2656" s="5" t="s">
        <v>3363</v>
      </c>
      <c r="HO2656" s="5" t="s">
        <v>312</v>
      </c>
    </row>
    <row r="2657" spans="1:223" x14ac:dyDescent="0.4">
      <c r="A2657" s="5">
        <v>4361</v>
      </c>
      <c r="B2657" s="5">
        <v>1</v>
      </c>
      <c r="C2657" s="5">
        <v>1</v>
      </c>
      <c r="D2657" s="5" t="s">
        <v>810</v>
      </c>
      <c r="E2657" s="5" t="s">
        <v>245</v>
      </c>
      <c r="F2657" s="5" t="s">
        <v>254</v>
      </c>
      <c r="G2657" s="5" t="s">
        <v>240</v>
      </c>
      <c r="H2657" s="6" t="s">
        <v>4914</v>
      </c>
      <c r="I2657" s="5" t="s">
        <v>809</v>
      </c>
      <c r="J2657" s="8">
        <f>934</f>
        <v>934</v>
      </c>
      <c r="K2657" s="5" t="s">
        <v>308</v>
      </c>
      <c r="L2657" s="7">
        <f>1</f>
        <v>1</v>
      </c>
      <c r="M2657" s="7">
        <f>1</f>
        <v>1</v>
      </c>
      <c r="N2657" s="5" t="s">
        <v>242</v>
      </c>
      <c r="O2657" s="5">
        <v>1</v>
      </c>
      <c r="P2657" s="5" t="s">
        <v>294</v>
      </c>
      <c r="Q2657" s="5" t="s">
        <v>266</v>
      </c>
      <c r="R2657" s="5" t="s">
        <v>240</v>
      </c>
      <c r="S2657" s="5" t="s">
        <v>240</v>
      </c>
      <c r="T2657" s="5" t="s">
        <v>296</v>
      </c>
      <c r="U2657" s="5" t="s">
        <v>244</v>
      </c>
      <c r="V2657" s="5" t="s">
        <v>240</v>
      </c>
      <c r="Y2657" s="5" t="s">
        <v>240</v>
      </c>
      <c r="Z2657" s="6" t="s">
        <v>298</v>
      </c>
      <c r="AB2657" s="6" t="s">
        <v>240</v>
      </c>
      <c r="AE2657" s="6" t="s">
        <v>299</v>
      </c>
      <c r="AF2657" s="5" t="s">
        <v>248</v>
      </c>
      <c r="AG2657" s="5" t="s">
        <v>249</v>
      </c>
      <c r="AW2657" s="5" t="s">
        <v>251</v>
      </c>
      <c r="AX2657" s="5" t="s">
        <v>240</v>
      </c>
      <c r="AY2657" s="5" t="s">
        <v>253</v>
      </c>
      <c r="AZ2657" s="5" t="s">
        <v>240</v>
      </c>
      <c r="BA2657" s="5" t="s">
        <v>255</v>
      </c>
      <c r="BB2657" s="5" t="s">
        <v>240</v>
      </c>
      <c r="BD2657" s="5" t="s">
        <v>240</v>
      </c>
      <c r="BF2657" s="5" t="s">
        <v>301</v>
      </c>
      <c r="BG2657" s="6" t="s">
        <v>299</v>
      </c>
      <c r="BH2657" s="5" t="s">
        <v>302</v>
      </c>
      <c r="BI2657" s="5" t="s">
        <v>303</v>
      </c>
      <c r="BJ2657" s="5" t="s">
        <v>240</v>
      </c>
      <c r="BK2657" s="8">
        <f>0</f>
        <v>0</v>
      </c>
      <c r="BL2657" s="7">
        <f>0</f>
        <v>0</v>
      </c>
      <c r="BM2657" s="5" t="s">
        <v>258</v>
      </c>
      <c r="BN2657" s="5" t="s">
        <v>259</v>
      </c>
      <c r="CB2657" s="5" t="s">
        <v>240</v>
      </c>
      <c r="CC2657" s="5" t="s">
        <v>240</v>
      </c>
      <c r="CG2657" s="5" t="s">
        <v>304</v>
      </c>
      <c r="CH2657" s="5" t="s">
        <v>305</v>
      </c>
      <c r="CI2657" s="5" t="s">
        <v>240</v>
      </c>
      <c r="CL2657" s="6" t="s">
        <v>261</v>
      </c>
      <c r="CM2657" s="5" t="s">
        <v>240</v>
      </c>
      <c r="CN2657" s="5" t="s">
        <v>263</v>
      </c>
      <c r="CO2657" s="5" t="s">
        <v>240</v>
      </c>
      <c r="CP2657" s="5" t="s">
        <v>240</v>
      </c>
      <c r="CQ2657" s="5">
        <v>0</v>
      </c>
      <c r="CR2657" s="5" t="s">
        <v>306</v>
      </c>
      <c r="CS2657" s="5" t="s">
        <v>307</v>
      </c>
      <c r="CT2657" s="5" t="s">
        <v>307</v>
      </c>
      <c r="CU2657" s="5" t="s">
        <v>260</v>
      </c>
      <c r="CX2657" s="7">
        <f>1</f>
        <v>1</v>
      </c>
      <c r="CY2657" s="7">
        <f>0</f>
        <v>0</v>
      </c>
      <c r="DA2657" s="7">
        <f>0</f>
        <v>0</v>
      </c>
      <c r="DC2657" s="5" t="s">
        <v>309</v>
      </c>
      <c r="DD2657" s="5" t="s">
        <v>240</v>
      </c>
      <c r="DF2657" s="5" t="s">
        <v>309</v>
      </c>
      <c r="DG2657" s="7">
        <f>1074</f>
        <v>1074</v>
      </c>
      <c r="DI2657" s="5" t="s">
        <v>240</v>
      </c>
      <c r="DJ2657" s="5" t="s">
        <v>240</v>
      </c>
      <c r="DK2657" s="5" t="s">
        <v>240</v>
      </c>
      <c r="DL2657" s="5" t="s">
        <v>240</v>
      </c>
      <c r="DP2657" s="5" t="s">
        <v>240</v>
      </c>
      <c r="DQ2657" s="5" t="s">
        <v>240</v>
      </c>
      <c r="DR2657" s="5" t="s">
        <v>240</v>
      </c>
      <c r="DS2657" s="5" t="s">
        <v>240</v>
      </c>
      <c r="DV2657" s="5" t="s">
        <v>310</v>
      </c>
      <c r="DW2657" s="5" t="s">
        <v>3365</v>
      </c>
      <c r="HO2657" s="5" t="s">
        <v>312</v>
      </c>
    </row>
    <row r="2658" spans="1:223" x14ac:dyDescent="0.4">
      <c r="A2658" s="5">
        <v>4362</v>
      </c>
      <c r="B2658" s="5">
        <v>1</v>
      </c>
      <c r="C2658" s="5">
        <v>1</v>
      </c>
      <c r="D2658" s="5" t="s">
        <v>810</v>
      </c>
      <c r="E2658" s="5" t="s">
        <v>245</v>
      </c>
      <c r="F2658" s="5" t="s">
        <v>254</v>
      </c>
      <c r="G2658" s="5" t="s">
        <v>240</v>
      </c>
      <c r="H2658" s="6" t="s">
        <v>3231</v>
      </c>
      <c r="I2658" s="5" t="s">
        <v>809</v>
      </c>
      <c r="J2658" s="8">
        <f>2879</f>
        <v>2879</v>
      </c>
      <c r="K2658" s="5" t="s">
        <v>308</v>
      </c>
      <c r="L2658" s="7">
        <f>1</f>
        <v>1</v>
      </c>
      <c r="M2658" s="7">
        <f>1</f>
        <v>1</v>
      </c>
      <c r="N2658" s="5" t="s">
        <v>242</v>
      </c>
      <c r="O2658" s="5">
        <v>1</v>
      </c>
      <c r="P2658" s="5" t="s">
        <v>294</v>
      </c>
      <c r="Q2658" s="5" t="s">
        <v>266</v>
      </c>
      <c r="R2658" s="5" t="s">
        <v>240</v>
      </c>
      <c r="S2658" s="5" t="s">
        <v>240</v>
      </c>
      <c r="T2658" s="5" t="s">
        <v>296</v>
      </c>
      <c r="U2658" s="5" t="s">
        <v>244</v>
      </c>
      <c r="V2658" s="5" t="s">
        <v>240</v>
      </c>
      <c r="Y2658" s="5" t="s">
        <v>240</v>
      </c>
      <c r="Z2658" s="6" t="s">
        <v>298</v>
      </c>
      <c r="AB2658" s="6" t="s">
        <v>240</v>
      </c>
      <c r="AE2658" s="6" t="s">
        <v>299</v>
      </c>
      <c r="AF2658" s="5" t="s">
        <v>248</v>
      </c>
      <c r="AG2658" s="5" t="s">
        <v>249</v>
      </c>
      <c r="AW2658" s="5" t="s">
        <v>251</v>
      </c>
      <c r="AX2658" s="5" t="s">
        <v>240</v>
      </c>
      <c r="AY2658" s="5" t="s">
        <v>253</v>
      </c>
      <c r="AZ2658" s="5" t="s">
        <v>240</v>
      </c>
      <c r="BA2658" s="5" t="s">
        <v>255</v>
      </c>
      <c r="BB2658" s="5" t="s">
        <v>240</v>
      </c>
      <c r="BD2658" s="5" t="s">
        <v>240</v>
      </c>
      <c r="BF2658" s="5" t="s">
        <v>301</v>
      </c>
      <c r="BG2658" s="6" t="s">
        <v>299</v>
      </c>
      <c r="BH2658" s="5" t="s">
        <v>302</v>
      </c>
      <c r="BI2658" s="5" t="s">
        <v>303</v>
      </c>
      <c r="BJ2658" s="5" t="s">
        <v>240</v>
      </c>
      <c r="BK2658" s="8">
        <f>0</f>
        <v>0</v>
      </c>
      <c r="BL2658" s="7">
        <f>0</f>
        <v>0</v>
      </c>
      <c r="BM2658" s="5" t="s">
        <v>258</v>
      </c>
      <c r="BN2658" s="5" t="s">
        <v>259</v>
      </c>
      <c r="CB2658" s="5" t="s">
        <v>240</v>
      </c>
      <c r="CC2658" s="5" t="s">
        <v>240</v>
      </c>
      <c r="CG2658" s="5" t="s">
        <v>304</v>
      </c>
      <c r="CH2658" s="5" t="s">
        <v>305</v>
      </c>
      <c r="CI2658" s="5" t="s">
        <v>240</v>
      </c>
      <c r="CL2658" s="6" t="s">
        <v>261</v>
      </c>
      <c r="CM2658" s="5" t="s">
        <v>240</v>
      </c>
      <c r="CN2658" s="5" t="s">
        <v>263</v>
      </c>
      <c r="CO2658" s="5" t="s">
        <v>240</v>
      </c>
      <c r="CP2658" s="5" t="s">
        <v>240</v>
      </c>
      <c r="CQ2658" s="5">
        <v>0</v>
      </c>
      <c r="CR2658" s="5" t="s">
        <v>306</v>
      </c>
      <c r="CS2658" s="5" t="s">
        <v>307</v>
      </c>
      <c r="CT2658" s="5" t="s">
        <v>307</v>
      </c>
      <c r="CU2658" s="5" t="s">
        <v>260</v>
      </c>
      <c r="CX2658" s="7">
        <f>1</f>
        <v>1</v>
      </c>
      <c r="CY2658" s="7">
        <f>0</f>
        <v>0</v>
      </c>
      <c r="DA2658" s="7">
        <f>0</f>
        <v>0</v>
      </c>
      <c r="DC2658" s="5" t="s">
        <v>309</v>
      </c>
      <c r="DD2658" s="5" t="s">
        <v>240</v>
      </c>
      <c r="DF2658" s="5" t="s">
        <v>309</v>
      </c>
      <c r="DG2658" s="7">
        <f>1766</f>
        <v>1766</v>
      </c>
      <c r="DI2658" s="5" t="s">
        <v>240</v>
      </c>
      <c r="DJ2658" s="5" t="s">
        <v>240</v>
      </c>
      <c r="DK2658" s="5" t="s">
        <v>240</v>
      </c>
      <c r="DL2658" s="5" t="s">
        <v>240</v>
      </c>
      <c r="DP2658" s="5" t="s">
        <v>240</v>
      </c>
      <c r="DQ2658" s="5" t="s">
        <v>240</v>
      </c>
      <c r="DR2658" s="5" t="s">
        <v>240</v>
      </c>
      <c r="DS2658" s="5" t="s">
        <v>240</v>
      </c>
      <c r="DV2658" s="5" t="s">
        <v>310</v>
      </c>
      <c r="DW2658" s="5" t="s">
        <v>3367</v>
      </c>
      <c r="HO2658" s="5" t="s">
        <v>312</v>
      </c>
    </row>
    <row r="2659" spans="1:223" x14ac:dyDescent="0.4">
      <c r="A2659" s="5">
        <v>4363</v>
      </c>
      <c r="B2659" s="5">
        <v>1</v>
      </c>
      <c r="C2659" s="5">
        <v>1</v>
      </c>
      <c r="D2659" s="5" t="s">
        <v>810</v>
      </c>
      <c r="E2659" s="5" t="s">
        <v>245</v>
      </c>
      <c r="F2659" s="5" t="s">
        <v>254</v>
      </c>
      <c r="G2659" s="5" t="s">
        <v>240</v>
      </c>
      <c r="H2659" s="6" t="s">
        <v>3229</v>
      </c>
      <c r="I2659" s="5" t="s">
        <v>809</v>
      </c>
      <c r="J2659" s="8">
        <f>279</f>
        <v>279</v>
      </c>
      <c r="K2659" s="5" t="s">
        <v>308</v>
      </c>
      <c r="L2659" s="7">
        <f>1</f>
        <v>1</v>
      </c>
      <c r="M2659" s="7">
        <f>1</f>
        <v>1</v>
      </c>
      <c r="N2659" s="5" t="s">
        <v>242</v>
      </c>
      <c r="O2659" s="5">
        <v>1</v>
      </c>
      <c r="P2659" s="5" t="s">
        <v>294</v>
      </c>
      <c r="Q2659" s="5" t="s">
        <v>266</v>
      </c>
      <c r="R2659" s="5" t="s">
        <v>240</v>
      </c>
      <c r="S2659" s="5" t="s">
        <v>240</v>
      </c>
      <c r="T2659" s="5" t="s">
        <v>296</v>
      </c>
      <c r="U2659" s="5" t="s">
        <v>244</v>
      </c>
      <c r="V2659" s="5" t="s">
        <v>240</v>
      </c>
      <c r="Y2659" s="5" t="s">
        <v>240</v>
      </c>
      <c r="Z2659" s="6" t="s">
        <v>298</v>
      </c>
      <c r="AB2659" s="6" t="s">
        <v>240</v>
      </c>
      <c r="AE2659" s="6" t="s">
        <v>299</v>
      </c>
      <c r="AF2659" s="5" t="s">
        <v>248</v>
      </c>
      <c r="AG2659" s="5" t="s">
        <v>249</v>
      </c>
      <c r="AW2659" s="5" t="s">
        <v>251</v>
      </c>
      <c r="AX2659" s="5" t="s">
        <v>240</v>
      </c>
      <c r="AY2659" s="5" t="s">
        <v>253</v>
      </c>
      <c r="AZ2659" s="5" t="s">
        <v>240</v>
      </c>
      <c r="BA2659" s="5" t="s">
        <v>255</v>
      </c>
      <c r="BB2659" s="5" t="s">
        <v>240</v>
      </c>
      <c r="BD2659" s="5" t="s">
        <v>240</v>
      </c>
      <c r="BF2659" s="5" t="s">
        <v>301</v>
      </c>
      <c r="BG2659" s="6" t="s">
        <v>299</v>
      </c>
      <c r="BH2659" s="5" t="s">
        <v>302</v>
      </c>
      <c r="BI2659" s="5" t="s">
        <v>303</v>
      </c>
      <c r="BJ2659" s="5" t="s">
        <v>240</v>
      </c>
      <c r="BK2659" s="8">
        <f>0</f>
        <v>0</v>
      </c>
      <c r="BL2659" s="7">
        <f>0</f>
        <v>0</v>
      </c>
      <c r="BM2659" s="5" t="s">
        <v>258</v>
      </c>
      <c r="BN2659" s="5" t="s">
        <v>259</v>
      </c>
      <c r="CB2659" s="5" t="s">
        <v>240</v>
      </c>
      <c r="CC2659" s="5" t="s">
        <v>240</v>
      </c>
      <c r="CG2659" s="5" t="s">
        <v>304</v>
      </c>
      <c r="CH2659" s="5" t="s">
        <v>305</v>
      </c>
      <c r="CI2659" s="5" t="s">
        <v>240</v>
      </c>
      <c r="CL2659" s="6" t="s">
        <v>261</v>
      </c>
      <c r="CM2659" s="5" t="s">
        <v>240</v>
      </c>
      <c r="CN2659" s="5" t="s">
        <v>263</v>
      </c>
      <c r="CO2659" s="5" t="s">
        <v>240</v>
      </c>
      <c r="CP2659" s="5" t="s">
        <v>240</v>
      </c>
      <c r="CQ2659" s="5">
        <v>0</v>
      </c>
      <c r="CR2659" s="5" t="s">
        <v>306</v>
      </c>
      <c r="CS2659" s="5" t="s">
        <v>307</v>
      </c>
      <c r="CT2659" s="5" t="s">
        <v>307</v>
      </c>
      <c r="CU2659" s="5" t="s">
        <v>260</v>
      </c>
      <c r="CX2659" s="7">
        <f>1</f>
        <v>1</v>
      </c>
      <c r="CY2659" s="7">
        <f>0</f>
        <v>0</v>
      </c>
      <c r="DA2659" s="7">
        <f>0</f>
        <v>0</v>
      </c>
      <c r="DC2659" s="5" t="s">
        <v>309</v>
      </c>
      <c r="DD2659" s="5" t="s">
        <v>240</v>
      </c>
      <c r="DF2659" s="5" t="s">
        <v>309</v>
      </c>
      <c r="DG2659" s="7">
        <f>3026</f>
        <v>3026</v>
      </c>
      <c r="DI2659" s="5" t="s">
        <v>240</v>
      </c>
      <c r="DJ2659" s="5" t="s">
        <v>240</v>
      </c>
      <c r="DK2659" s="5" t="s">
        <v>240</v>
      </c>
      <c r="DL2659" s="5" t="s">
        <v>240</v>
      </c>
      <c r="DP2659" s="5" t="s">
        <v>240</v>
      </c>
      <c r="DQ2659" s="5" t="s">
        <v>240</v>
      </c>
      <c r="DR2659" s="5" t="s">
        <v>240</v>
      </c>
      <c r="DS2659" s="5" t="s">
        <v>240</v>
      </c>
      <c r="DV2659" s="5" t="s">
        <v>310</v>
      </c>
      <c r="DW2659" s="5" t="s">
        <v>3369</v>
      </c>
      <c r="HO2659" s="5" t="s">
        <v>312</v>
      </c>
    </row>
    <row r="2660" spans="1:223" x14ac:dyDescent="0.4">
      <c r="A2660" s="5">
        <v>4364</v>
      </c>
      <c r="B2660" s="5">
        <v>1</v>
      </c>
      <c r="C2660" s="5">
        <v>1</v>
      </c>
      <c r="D2660" s="5" t="s">
        <v>810</v>
      </c>
      <c r="E2660" s="5" t="s">
        <v>245</v>
      </c>
      <c r="F2660" s="5" t="s">
        <v>254</v>
      </c>
      <c r="G2660" s="5" t="s">
        <v>240</v>
      </c>
      <c r="H2660" s="6" t="s">
        <v>3227</v>
      </c>
      <c r="I2660" s="5" t="s">
        <v>809</v>
      </c>
      <c r="J2660" s="8">
        <f>985</f>
        <v>985</v>
      </c>
      <c r="K2660" s="5" t="s">
        <v>308</v>
      </c>
      <c r="L2660" s="7">
        <f>1</f>
        <v>1</v>
      </c>
      <c r="M2660" s="7">
        <f>1</f>
        <v>1</v>
      </c>
      <c r="N2660" s="5" t="s">
        <v>242</v>
      </c>
      <c r="O2660" s="5">
        <v>1</v>
      </c>
      <c r="P2660" s="5" t="s">
        <v>294</v>
      </c>
      <c r="Q2660" s="5" t="s">
        <v>266</v>
      </c>
      <c r="R2660" s="5" t="s">
        <v>240</v>
      </c>
      <c r="S2660" s="5" t="s">
        <v>240</v>
      </c>
      <c r="T2660" s="5" t="s">
        <v>296</v>
      </c>
      <c r="U2660" s="5" t="s">
        <v>244</v>
      </c>
      <c r="V2660" s="5" t="s">
        <v>240</v>
      </c>
      <c r="Y2660" s="5" t="s">
        <v>240</v>
      </c>
      <c r="Z2660" s="6" t="s">
        <v>298</v>
      </c>
      <c r="AB2660" s="6" t="s">
        <v>240</v>
      </c>
      <c r="AE2660" s="6" t="s">
        <v>299</v>
      </c>
      <c r="AF2660" s="5" t="s">
        <v>248</v>
      </c>
      <c r="AG2660" s="5" t="s">
        <v>249</v>
      </c>
      <c r="AW2660" s="5" t="s">
        <v>251</v>
      </c>
      <c r="AX2660" s="5" t="s">
        <v>240</v>
      </c>
      <c r="AY2660" s="5" t="s">
        <v>253</v>
      </c>
      <c r="AZ2660" s="5" t="s">
        <v>240</v>
      </c>
      <c r="BA2660" s="5" t="s">
        <v>255</v>
      </c>
      <c r="BB2660" s="5" t="s">
        <v>240</v>
      </c>
      <c r="BD2660" s="5" t="s">
        <v>240</v>
      </c>
      <c r="BF2660" s="5" t="s">
        <v>301</v>
      </c>
      <c r="BG2660" s="6" t="s">
        <v>299</v>
      </c>
      <c r="BH2660" s="5" t="s">
        <v>302</v>
      </c>
      <c r="BI2660" s="5" t="s">
        <v>303</v>
      </c>
      <c r="BJ2660" s="5" t="s">
        <v>240</v>
      </c>
      <c r="BK2660" s="8">
        <f>0</f>
        <v>0</v>
      </c>
      <c r="BL2660" s="7">
        <f>0</f>
        <v>0</v>
      </c>
      <c r="BM2660" s="5" t="s">
        <v>258</v>
      </c>
      <c r="BN2660" s="5" t="s">
        <v>259</v>
      </c>
      <c r="CB2660" s="5" t="s">
        <v>240</v>
      </c>
      <c r="CC2660" s="5" t="s">
        <v>240</v>
      </c>
      <c r="CG2660" s="5" t="s">
        <v>304</v>
      </c>
      <c r="CH2660" s="5" t="s">
        <v>305</v>
      </c>
      <c r="CI2660" s="5" t="s">
        <v>240</v>
      </c>
      <c r="CL2660" s="6" t="s">
        <v>261</v>
      </c>
      <c r="CM2660" s="5" t="s">
        <v>240</v>
      </c>
      <c r="CN2660" s="5" t="s">
        <v>263</v>
      </c>
      <c r="CO2660" s="5" t="s">
        <v>240</v>
      </c>
      <c r="CP2660" s="5" t="s">
        <v>240</v>
      </c>
      <c r="CQ2660" s="5">
        <v>0</v>
      </c>
      <c r="CR2660" s="5" t="s">
        <v>306</v>
      </c>
      <c r="CS2660" s="5" t="s">
        <v>307</v>
      </c>
      <c r="CT2660" s="5" t="s">
        <v>307</v>
      </c>
      <c r="CU2660" s="5" t="s">
        <v>260</v>
      </c>
      <c r="CX2660" s="7">
        <f>1</f>
        <v>1</v>
      </c>
      <c r="CY2660" s="7">
        <f>0</f>
        <v>0</v>
      </c>
      <c r="DA2660" s="7">
        <f>0</f>
        <v>0</v>
      </c>
      <c r="DC2660" s="5" t="s">
        <v>309</v>
      </c>
      <c r="DD2660" s="5" t="s">
        <v>240</v>
      </c>
      <c r="DF2660" s="5" t="s">
        <v>309</v>
      </c>
      <c r="DG2660" s="7">
        <f>222</f>
        <v>222</v>
      </c>
      <c r="DI2660" s="5" t="s">
        <v>240</v>
      </c>
      <c r="DJ2660" s="5" t="s">
        <v>240</v>
      </c>
      <c r="DK2660" s="5" t="s">
        <v>240</v>
      </c>
      <c r="DL2660" s="5" t="s">
        <v>240</v>
      </c>
      <c r="DP2660" s="5" t="s">
        <v>240</v>
      </c>
      <c r="DQ2660" s="5" t="s">
        <v>240</v>
      </c>
      <c r="DR2660" s="5" t="s">
        <v>240</v>
      </c>
      <c r="DS2660" s="5" t="s">
        <v>240</v>
      </c>
      <c r="DV2660" s="5" t="s">
        <v>310</v>
      </c>
      <c r="DW2660" s="5" t="s">
        <v>3371</v>
      </c>
      <c r="HO2660" s="5" t="s">
        <v>312</v>
      </c>
    </row>
    <row r="2661" spans="1:223" x14ac:dyDescent="0.4">
      <c r="A2661" s="5">
        <v>4365</v>
      </c>
      <c r="B2661" s="5">
        <v>1</v>
      </c>
      <c r="C2661" s="5">
        <v>1</v>
      </c>
      <c r="D2661" s="5" t="s">
        <v>810</v>
      </c>
      <c r="E2661" s="5" t="s">
        <v>245</v>
      </c>
      <c r="F2661" s="5" t="s">
        <v>254</v>
      </c>
      <c r="G2661" s="5" t="s">
        <v>240</v>
      </c>
      <c r="H2661" s="6" t="s">
        <v>3225</v>
      </c>
      <c r="I2661" s="5" t="s">
        <v>809</v>
      </c>
      <c r="J2661" s="8">
        <f>1024</f>
        <v>1024</v>
      </c>
      <c r="K2661" s="5" t="s">
        <v>308</v>
      </c>
      <c r="L2661" s="7">
        <f>1</f>
        <v>1</v>
      </c>
      <c r="M2661" s="7">
        <f>1</f>
        <v>1</v>
      </c>
      <c r="N2661" s="5" t="s">
        <v>242</v>
      </c>
      <c r="O2661" s="5">
        <v>1</v>
      </c>
      <c r="P2661" s="5" t="s">
        <v>294</v>
      </c>
      <c r="Q2661" s="5" t="s">
        <v>266</v>
      </c>
      <c r="R2661" s="5" t="s">
        <v>240</v>
      </c>
      <c r="S2661" s="5" t="s">
        <v>240</v>
      </c>
      <c r="T2661" s="5" t="s">
        <v>296</v>
      </c>
      <c r="U2661" s="5" t="s">
        <v>244</v>
      </c>
      <c r="V2661" s="5" t="s">
        <v>240</v>
      </c>
      <c r="Y2661" s="5" t="s">
        <v>240</v>
      </c>
      <c r="Z2661" s="6" t="s">
        <v>298</v>
      </c>
      <c r="AB2661" s="6" t="s">
        <v>240</v>
      </c>
      <c r="AE2661" s="6" t="s">
        <v>299</v>
      </c>
      <c r="AF2661" s="5" t="s">
        <v>248</v>
      </c>
      <c r="AG2661" s="5" t="s">
        <v>249</v>
      </c>
      <c r="AW2661" s="5" t="s">
        <v>251</v>
      </c>
      <c r="AX2661" s="5" t="s">
        <v>240</v>
      </c>
      <c r="AY2661" s="5" t="s">
        <v>253</v>
      </c>
      <c r="AZ2661" s="5" t="s">
        <v>240</v>
      </c>
      <c r="BA2661" s="5" t="s">
        <v>255</v>
      </c>
      <c r="BB2661" s="5" t="s">
        <v>240</v>
      </c>
      <c r="BD2661" s="5" t="s">
        <v>240</v>
      </c>
      <c r="BF2661" s="5" t="s">
        <v>301</v>
      </c>
      <c r="BG2661" s="6" t="s">
        <v>299</v>
      </c>
      <c r="BH2661" s="5" t="s">
        <v>302</v>
      </c>
      <c r="BI2661" s="5" t="s">
        <v>303</v>
      </c>
      <c r="BJ2661" s="5" t="s">
        <v>240</v>
      </c>
      <c r="BK2661" s="8">
        <f>0</f>
        <v>0</v>
      </c>
      <c r="BL2661" s="7">
        <f>0</f>
        <v>0</v>
      </c>
      <c r="BM2661" s="5" t="s">
        <v>258</v>
      </c>
      <c r="BN2661" s="5" t="s">
        <v>259</v>
      </c>
      <c r="CB2661" s="5" t="s">
        <v>240</v>
      </c>
      <c r="CC2661" s="5" t="s">
        <v>240</v>
      </c>
      <c r="CG2661" s="5" t="s">
        <v>304</v>
      </c>
      <c r="CH2661" s="5" t="s">
        <v>305</v>
      </c>
      <c r="CI2661" s="5" t="s">
        <v>240</v>
      </c>
      <c r="CL2661" s="6" t="s">
        <v>261</v>
      </c>
      <c r="CM2661" s="5" t="s">
        <v>240</v>
      </c>
      <c r="CN2661" s="5" t="s">
        <v>263</v>
      </c>
      <c r="CO2661" s="5" t="s">
        <v>240</v>
      </c>
      <c r="CP2661" s="5" t="s">
        <v>240</v>
      </c>
      <c r="CQ2661" s="5">
        <v>0</v>
      </c>
      <c r="CR2661" s="5" t="s">
        <v>306</v>
      </c>
      <c r="CS2661" s="5" t="s">
        <v>307</v>
      </c>
      <c r="CT2661" s="5" t="s">
        <v>307</v>
      </c>
      <c r="CU2661" s="5" t="s">
        <v>260</v>
      </c>
      <c r="CX2661" s="7">
        <f>1</f>
        <v>1</v>
      </c>
      <c r="CY2661" s="7">
        <f>0</f>
        <v>0</v>
      </c>
      <c r="DA2661" s="7">
        <f>0</f>
        <v>0</v>
      </c>
      <c r="DC2661" s="5" t="s">
        <v>309</v>
      </c>
      <c r="DD2661" s="5" t="s">
        <v>240</v>
      </c>
      <c r="DF2661" s="5" t="s">
        <v>309</v>
      </c>
      <c r="DG2661" s="7">
        <f>1301</f>
        <v>1301</v>
      </c>
      <c r="DI2661" s="5" t="s">
        <v>240</v>
      </c>
      <c r="DJ2661" s="5" t="s">
        <v>240</v>
      </c>
      <c r="DK2661" s="5" t="s">
        <v>240</v>
      </c>
      <c r="DL2661" s="5" t="s">
        <v>240</v>
      </c>
      <c r="DP2661" s="5" t="s">
        <v>240</v>
      </c>
      <c r="DQ2661" s="5" t="s">
        <v>240</v>
      </c>
      <c r="DR2661" s="5" t="s">
        <v>240</v>
      </c>
      <c r="DS2661" s="5" t="s">
        <v>240</v>
      </c>
      <c r="DV2661" s="5" t="s">
        <v>310</v>
      </c>
      <c r="DW2661" s="5" t="s">
        <v>3373</v>
      </c>
      <c r="HO2661" s="5" t="s">
        <v>312</v>
      </c>
    </row>
    <row r="2662" spans="1:223" x14ac:dyDescent="0.4">
      <c r="A2662" s="5">
        <v>4366</v>
      </c>
      <c r="B2662" s="5">
        <v>1</v>
      </c>
      <c r="C2662" s="5">
        <v>1</v>
      </c>
      <c r="D2662" s="5" t="s">
        <v>810</v>
      </c>
      <c r="E2662" s="5" t="s">
        <v>245</v>
      </c>
      <c r="F2662" s="5" t="s">
        <v>254</v>
      </c>
      <c r="G2662" s="5" t="s">
        <v>240</v>
      </c>
      <c r="H2662" s="6" t="s">
        <v>3223</v>
      </c>
      <c r="I2662" s="5" t="s">
        <v>809</v>
      </c>
      <c r="J2662" s="8">
        <f>1110</f>
        <v>1110</v>
      </c>
      <c r="K2662" s="5" t="s">
        <v>308</v>
      </c>
      <c r="L2662" s="7">
        <f>1</f>
        <v>1</v>
      </c>
      <c r="M2662" s="7">
        <f>1</f>
        <v>1</v>
      </c>
      <c r="N2662" s="5" t="s">
        <v>242</v>
      </c>
      <c r="O2662" s="5">
        <v>1</v>
      </c>
      <c r="P2662" s="5" t="s">
        <v>294</v>
      </c>
      <c r="Q2662" s="5" t="s">
        <v>266</v>
      </c>
      <c r="R2662" s="5" t="s">
        <v>240</v>
      </c>
      <c r="S2662" s="5" t="s">
        <v>240</v>
      </c>
      <c r="T2662" s="5" t="s">
        <v>296</v>
      </c>
      <c r="U2662" s="5" t="s">
        <v>244</v>
      </c>
      <c r="V2662" s="5" t="s">
        <v>240</v>
      </c>
      <c r="Y2662" s="5" t="s">
        <v>240</v>
      </c>
      <c r="Z2662" s="6" t="s">
        <v>298</v>
      </c>
      <c r="AB2662" s="6" t="s">
        <v>240</v>
      </c>
      <c r="AE2662" s="6" t="s">
        <v>299</v>
      </c>
      <c r="AF2662" s="5" t="s">
        <v>248</v>
      </c>
      <c r="AG2662" s="5" t="s">
        <v>249</v>
      </c>
      <c r="AW2662" s="5" t="s">
        <v>251</v>
      </c>
      <c r="AX2662" s="5" t="s">
        <v>240</v>
      </c>
      <c r="AY2662" s="5" t="s">
        <v>253</v>
      </c>
      <c r="AZ2662" s="5" t="s">
        <v>240</v>
      </c>
      <c r="BA2662" s="5" t="s">
        <v>255</v>
      </c>
      <c r="BB2662" s="5" t="s">
        <v>240</v>
      </c>
      <c r="BD2662" s="5" t="s">
        <v>240</v>
      </c>
      <c r="BF2662" s="5" t="s">
        <v>301</v>
      </c>
      <c r="BG2662" s="6" t="s">
        <v>299</v>
      </c>
      <c r="BH2662" s="5" t="s">
        <v>302</v>
      </c>
      <c r="BI2662" s="5" t="s">
        <v>303</v>
      </c>
      <c r="BJ2662" s="5" t="s">
        <v>240</v>
      </c>
      <c r="BK2662" s="8">
        <f>0</f>
        <v>0</v>
      </c>
      <c r="BL2662" s="7">
        <f>0</f>
        <v>0</v>
      </c>
      <c r="BM2662" s="5" t="s">
        <v>258</v>
      </c>
      <c r="BN2662" s="5" t="s">
        <v>259</v>
      </c>
      <c r="CB2662" s="5" t="s">
        <v>240</v>
      </c>
      <c r="CC2662" s="5" t="s">
        <v>240</v>
      </c>
      <c r="CG2662" s="5" t="s">
        <v>304</v>
      </c>
      <c r="CH2662" s="5" t="s">
        <v>305</v>
      </c>
      <c r="CI2662" s="5" t="s">
        <v>240</v>
      </c>
      <c r="CL2662" s="6" t="s">
        <v>261</v>
      </c>
      <c r="CM2662" s="5" t="s">
        <v>240</v>
      </c>
      <c r="CN2662" s="5" t="s">
        <v>263</v>
      </c>
      <c r="CO2662" s="5" t="s">
        <v>240</v>
      </c>
      <c r="CP2662" s="5" t="s">
        <v>240</v>
      </c>
      <c r="CQ2662" s="5">
        <v>0</v>
      </c>
      <c r="CR2662" s="5" t="s">
        <v>306</v>
      </c>
      <c r="CS2662" s="5" t="s">
        <v>307</v>
      </c>
      <c r="CT2662" s="5" t="s">
        <v>307</v>
      </c>
      <c r="CU2662" s="5" t="s">
        <v>260</v>
      </c>
      <c r="CX2662" s="7">
        <f>1</f>
        <v>1</v>
      </c>
      <c r="CY2662" s="7">
        <f>0</f>
        <v>0</v>
      </c>
      <c r="DA2662" s="7">
        <f>0</f>
        <v>0</v>
      </c>
      <c r="DC2662" s="5" t="s">
        <v>309</v>
      </c>
      <c r="DD2662" s="5" t="s">
        <v>240</v>
      </c>
      <c r="DF2662" s="5" t="s">
        <v>309</v>
      </c>
      <c r="DG2662" s="7">
        <f>556</f>
        <v>556</v>
      </c>
      <c r="DI2662" s="5" t="s">
        <v>240</v>
      </c>
      <c r="DJ2662" s="5" t="s">
        <v>240</v>
      </c>
      <c r="DK2662" s="5" t="s">
        <v>240</v>
      </c>
      <c r="DL2662" s="5" t="s">
        <v>240</v>
      </c>
      <c r="DP2662" s="5" t="s">
        <v>240</v>
      </c>
      <c r="DQ2662" s="5" t="s">
        <v>240</v>
      </c>
      <c r="DR2662" s="5" t="s">
        <v>240</v>
      </c>
      <c r="DS2662" s="5" t="s">
        <v>240</v>
      </c>
      <c r="DV2662" s="5" t="s">
        <v>310</v>
      </c>
      <c r="DW2662" s="5" t="s">
        <v>4788</v>
      </c>
      <c r="HO2662" s="5" t="s">
        <v>312</v>
      </c>
    </row>
    <row r="2663" spans="1:223" x14ac:dyDescent="0.4">
      <c r="A2663" s="5">
        <v>4367</v>
      </c>
      <c r="B2663" s="5">
        <v>1</v>
      </c>
      <c r="C2663" s="5">
        <v>1</v>
      </c>
      <c r="D2663" s="5" t="s">
        <v>810</v>
      </c>
      <c r="E2663" s="5" t="s">
        <v>245</v>
      </c>
      <c r="F2663" s="5" t="s">
        <v>254</v>
      </c>
      <c r="G2663" s="5" t="s">
        <v>240</v>
      </c>
      <c r="H2663" s="6" t="s">
        <v>3221</v>
      </c>
      <c r="I2663" s="5" t="s">
        <v>809</v>
      </c>
      <c r="J2663" s="8">
        <f>1205</f>
        <v>1205</v>
      </c>
      <c r="K2663" s="5" t="s">
        <v>308</v>
      </c>
      <c r="L2663" s="7">
        <f>1</f>
        <v>1</v>
      </c>
      <c r="M2663" s="7">
        <f>1</f>
        <v>1</v>
      </c>
      <c r="N2663" s="5" t="s">
        <v>242</v>
      </c>
      <c r="O2663" s="5">
        <v>1</v>
      </c>
      <c r="P2663" s="5" t="s">
        <v>294</v>
      </c>
      <c r="Q2663" s="5" t="s">
        <v>266</v>
      </c>
      <c r="R2663" s="5" t="s">
        <v>240</v>
      </c>
      <c r="S2663" s="5" t="s">
        <v>240</v>
      </c>
      <c r="T2663" s="5" t="s">
        <v>296</v>
      </c>
      <c r="U2663" s="5" t="s">
        <v>244</v>
      </c>
      <c r="V2663" s="5" t="s">
        <v>240</v>
      </c>
      <c r="Y2663" s="5" t="s">
        <v>240</v>
      </c>
      <c r="Z2663" s="6" t="s">
        <v>298</v>
      </c>
      <c r="AB2663" s="6" t="s">
        <v>240</v>
      </c>
      <c r="AE2663" s="6" t="s">
        <v>299</v>
      </c>
      <c r="AF2663" s="5" t="s">
        <v>248</v>
      </c>
      <c r="AG2663" s="5" t="s">
        <v>249</v>
      </c>
      <c r="AW2663" s="5" t="s">
        <v>251</v>
      </c>
      <c r="AX2663" s="5" t="s">
        <v>240</v>
      </c>
      <c r="AY2663" s="5" t="s">
        <v>253</v>
      </c>
      <c r="AZ2663" s="5" t="s">
        <v>240</v>
      </c>
      <c r="BA2663" s="5" t="s">
        <v>255</v>
      </c>
      <c r="BB2663" s="5" t="s">
        <v>240</v>
      </c>
      <c r="BD2663" s="5" t="s">
        <v>240</v>
      </c>
      <c r="BF2663" s="5" t="s">
        <v>301</v>
      </c>
      <c r="BG2663" s="6" t="s">
        <v>299</v>
      </c>
      <c r="BH2663" s="5" t="s">
        <v>302</v>
      </c>
      <c r="BI2663" s="5" t="s">
        <v>303</v>
      </c>
      <c r="BJ2663" s="5" t="s">
        <v>240</v>
      </c>
      <c r="BK2663" s="8">
        <f>0</f>
        <v>0</v>
      </c>
      <c r="BL2663" s="7">
        <f>0</f>
        <v>0</v>
      </c>
      <c r="BM2663" s="5" t="s">
        <v>258</v>
      </c>
      <c r="BN2663" s="5" t="s">
        <v>259</v>
      </c>
      <c r="CB2663" s="5" t="s">
        <v>240</v>
      </c>
      <c r="CC2663" s="5" t="s">
        <v>240</v>
      </c>
      <c r="CG2663" s="5" t="s">
        <v>304</v>
      </c>
      <c r="CH2663" s="5" t="s">
        <v>305</v>
      </c>
      <c r="CI2663" s="5" t="s">
        <v>240</v>
      </c>
      <c r="CL2663" s="6" t="s">
        <v>261</v>
      </c>
      <c r="CM2663" s="5" t="s">
        <v>240</v>
      </c>
      <c r="CN2663" s="5" t="s">
        <v>263</v>
      </c>
      <c r="CO2663" s="5" t="s">
        <v>240</v>
      </c>
      <c r="CP2663" s="5" t="s">
        <v>240</v>
      </c>
      <c r="CQ2663" s="5">
        <v>0</v>
      </c>
      <c r="CR2663" s="5" t="s">
        <v>306</v>
      </c>
      <c r="CS2663" s="5" t="s">
        <v>307</v>
      </c>
      <c r="CT2663" s="5" t="s">
        <v>307</v>
      </c>
      <c r="CU2663" s="5" t="s">
        <v>260</v>
      </c>
      <c r="CX2663" s="7">
        <f>1</f>
        <v>1</v>
      </c>
      <c r="CY2663" s="7">
        <f>0</f>
        <v>0</v>
      </c>
      <c r="DA2663" s="7">
        <f>0</f>
        <v>0</v>
      </c>
      <c r="DC2663" s="5" t="s">
        <v>309</v>
      </c>
      <c r="DD2663" s="5" t="s">
        <v>240</v>
      </c>
      <c r="DF2663" s="5" t="s">
        <v>309</v>
      </c>
      <c r="DG2663" s="7">
        <f>2084</f>
        <v>2084</v>
      </c>
      <c r="DI2663" s="5" t="s">
        <v>240</v>
      </c>
      <c r="DJ2663" s="5" t="s">
        <v>240</v>
      </c>
      <c r="DK2663" s="5" t="s">
        <v>240</v>
      </c>
      <c r="DL2663" s="5" t="s">
        <v>240</v>
      </c>
      <c r="DP2663" s="5" t="s">
        <v>240</v>
      </c>
      <c r="DQ2663" s="5" t="s">
        <v>240</v>
      </c>
      <c r="DR2663" s="5" t="s">
        <v>240</v>
      </c>
      <c r="DS2663" s="5" t="s">
        <v>240</v>
      </c>
      <c r="DV2663" s="5" t="s">
        <v>310</v>
      </c>
      <c r="DW2663" s="5" t="s">
        <v>3377</v>
      </c>
      <c r="HO2663" s="5" t="s">
        <v>312</v>
      </c>
    </row>
    <row r="2664" spans="1:223" x14ac:dyDescent="0.4">
      <c r="A2664" s="5">
        <v>4368</v>
      </c>
      <c r="B2664" s="5">
        <v>1</v>
      </c>
      <c r="C2664" s="5">
        <v>1</v>
      </c>
      <c r="D2664" s="5" t="s">
        <v>810</v>
      </c>
      <c r="E2664" s="5" t="s">
        <v>245</v>
      </c>
      <c r="F2664" s="5" t="s">
        <v>254</v>
      </c>
      <c r="G2664" s="5" t="s">
        <v>240</v>
      </c>
      <c r="H2664" s="6" t="s">
        <v>3219</v>
      </c>
      <c r="I2664" s="5" t="s">
        <v>809</v>
      </c>
      <c r="J2664" s="8">
        <f>2598</f>
        <v>2598</v>
      </c>
      <c r="K2664" s="5" t="s">
        <v>308</v>
      </c>
      <c r="L2664" s="7">
        <f>1</f>
        <v>1</v>
      </c>
      <c r="M2664" s="7">
        <f>1</f>
        <v>1</v>
      </c>
      <c r="N2664" s="5" t="s">
        <v>242</v>
      </c>
      <c r="O2664" s="5">
        <v>1</v>
      </c>
      <c r="P2664" s="5" t="s">
        <v>294</v>
      </c>
      <c r="Q2664" s="5" t="s">
        <v>266</v>
      </c>
      <c r="R2664" s="5" t="s">
        <v>240</v>
      </c>
      <c r="S2664" s="5" t="s">
        <v>240</v>
      </c>
      <c r="T2664" s="5" t="s">
        <v>296</v>
      </c>
      <c r="U2664" s="5" t="s">
        <v>244</v>
      </c>
      <c r="V2664" s="5" t="s">
        <v>240</v>
      </c>
      <c r="Y2664" s="5" t="s">
        <v>240</v>
      </c>
      <c r="Z2664" s="6" t="s">
        <v>298</v>
      </c>
      <c r="AB2664" s="6" t="s">
        <v>240</v>
      </c>
      <c r="AE2664" s="6" t="s">
        <v>299</v>
      </c>
      <c r="AF2664" s="5" t="s">
        <v>248</v>
      </c>
      <c r="AG2664" s="5" t="s">
        <v>249</v>
      </c>
      <c r="AW2664" s="5" t="s">
        <v>251</v>
      </c>
      <c r="AX2664" s="5" t="s">
        <v>240</v>
      </c>
      <c r="AY2664" s="5" t="s">
        <v>253</v>
      </c>
      <c r="AZ2664" s="5" t="s">
        <v>240</v>
      </c>
      <c r="BA2664" s="5" t="s">
        <v>255</v>
      </c>
      <c r="BB2664" s="5" t="s">
        <v>240</v>
      </c>
      <c r="BD2664" s="5" t="s">
        <v>240</v>
      </c>
      <c r="BF2664" s="5" t="s">
        <v>301</v>
      </c>
      <c r="BG2664" s="6" t="s">
        <v>299</v>
      </c>
      <c r="BH2664" s="5" t="s">
        <v>302</v>
      </c>
      <c r="BI2664" s="5" t="s">
        <v>303</v>
      </c>
      <c r="BJ2664" s="5" t="s">
        <v>240</v>
      </c>
      <c r="BK2664" s="8">
        <f>0</f>
        <v>0</v>
      </c>
      <c r="BL2664" s="7">
        <f>0</f>
        <v>0</v>
      </c>
      <c r="BM2664" s="5" t="s">
        <v>258</v>
      </c>
      <c r="BN2664" s="5" t="s">
        <v>259</v>
      </c>
      <c r="CB2664" s="5" t="s">
        <v>240</v>
      </c>
      <c r="CC2664" s="5" t="s">
        <v>240</v>
      </c>
      <c r="CG2664" s="5" t="s">
        <v>304</v>
      </c>
      <c r="CH2664" s="5" t="s">
        <v>305</v>
      </c>
      <c r="CI2664" s="5" t="s">
        <v>240</v>
      </c>
      <c r="CL2664" s="6" t="s">
        <v>261</v>
      </c>
      <c r="CM2664" s="5" t="s">
        <v>240</v>
      </c>
      <c r="CN2664" s="5" t="s">
        <v>263</v>
      </c>
      <c r="CO2664" s="5" t="s">
        <v>240</v>
      </c>
      <c r="CP2664" s="5" t="s">
        <v>240</v>
      </c>
      <c r="CQ2664" s="5">
        <v>0</v>
      </c>
      <c r="CR2664" s="5" t="s">
        <v>306</v>
      </c>
      <c r="CS2664" s="5" t="s">
        <v>307</v>
      </c>
      <c r="CT2664" s="5" t="s">
        <v>307</v>
      </c>
      <c r="CU2664" s="5" t="s">
        <v>260</v>
      </c>
      <c r="CX2664" s="7">
        <f>1</f>
        <v>1</v>
      </c>
      <c r="CY2664" s="7">
        <f>0</f>
        <v>0</v>
      </c>
      <c r="DA2664" s="7">
        <f>0</f>
        <v>0</v>
      </c>
      <c r="DC2664" s="5" t="s">
        <v>309</v>
      </c>
      <c r="DD2664" s="5" t="s">
        <v>240</v>
      </c>
      <c r="DF2664" s="5" t="s">
        <v>309</v>
      </c>
      <c r="DG2664" s="7">
        <f>772</f>
        <v>772</v>
      </c>
      <c r="DI2664" s="5" t="s">
        <v>240</v>
      </c>
      <c r="DJ2664" s="5" t="s">
        <v>240</v>
      </c>
      <c r="DK2664" s="5" t="s">
        <v>240</v>
      </c>
      <c r="DL2664" s="5" t="s">
        <v>240</v>
      </c>
      <c r="DP2664" s="5" t="s">
        <v>240</v>
      </c>
      <c r="DQ2664" s="5" t="s">
        <v>240</v>
      </c>
      <c r="DR2664" s="5" t="s">
        <v>240</v>
      </c>
      <c r="DS2664" s="5" t="s">
        <v>240</v>
      </c>
      <c r="DV2664" s="5" t="s">
        <v>310</v>
      </c>
      <c r="DW2664" s="5" t="s">
        <v>3379</v>
      </c>
      <c r="HO2664" s="5" t="s">
        <v>312</v>
      </c>
    </row>
    <row r="2665" spans="1:223" x14ac:dyDescent="0.4">
      <c r="A2665" s="5">
        <v>4369</v>
      </c>
      <c r="B2665" s="5">
        <v>1</v>
      </c>
      <c r="C2665" s="5">
        <v>1</v>
      </c>
      <c r="D2665" s="5" t="s">
        <v>810</v>
      </c>
      <c r="E2665" s="5" t="s">
        <v>245</v>
      </c>
      <c r="F2665" s="5" t="s">
        <v>254</v>
      </c>
      <c r="G2665" s="5" t="s">
        <v>240</v>
      </c>
      <c r="H2665" s="6" t="s">
        <v>4909</v>
      </c>
      <c r="I2665" s="5" t="s">
        <v>809</v>
      </c>
      <c r="J2665" s="8">
        <f>249</f>
        <v>249</v>
      </c>
      <c r="K2665" s="5" t="s">
        <v>308</v>
      </c>
      <c r="L2665" s="7">
        <f>1</f>
        <v>1</v>
      </c>
      <c r="M2665" s="7">
        <f>1</f>
        <v>1</v>
      </c>
      <c r="N2665" s="5" t="s">
        <v>242</v>
      </c>
      <c r="O2665" s="5">
        <v>1</v>
      </c>
      <c r="P2665" s="5" t="s">
        <v>294</v>
      </c>
      <c r="Q2665" s="5" t="s">
        <v>266</v>
      </c>
      <c r="R2665" s="5" t="s">
        <v>240</v>
      </c>
      <c r="S2665" s="5" t="s">
        <v>240</v>
      </c>
      <c r="T2665" s="5" t="s">
        <v>296</v>
      </c>
      <c r="U2665" s="5" t="s">
        <v>244</v>
      </c>
      <c r="V2665" s="5" t="s">
        <v>240</v>
      </c>
      <c r="Y2665" s="5" t="s">
        <v>240</v>
      </c>
      <c r="Z2665" s="6" t="s">
        <v>298</v>
      </c>
      <c r="AB2665" s="6" t="s">
        <v>240</v>
      </c>
      <c r="AE2665" s="6" t="s">
        <v>299</v>
      </c>
      <c r="AF2665" s="5" t="s">
        <v>248</v>
      </c>
      <c r="AG2665" s="5" t="s">
        <v>249</v>
      </c>
      <c r="AW2665" s="5" t="s">
        <v>251</v>
      </c>
      <c r="AX2665" s="5" t="s">
        <v>240</v>
      </c>
      <c r="AY2665" s="5" t="s">
        <v>253</v>
      </c>
      <c r="AZ2665" s="5" t="s">
        <v>240</v>
      </c>
      <c r="BA2665" s="5" t="s">
        <v>255</v>
      </c>
      <c r="BB2665" s="5" t="s">
        <v>240</v>
      </c>
      <c r="BD2665" s="5" t="s">
        <v>240</v>
      </c>
      <c r="BF2665" s="5" t="s">
        <v>301</v>
      </c>
      <c r="BG2665" s="6" t="s">
        <v>299</v>
      </c>
      <c r="BH2665" s="5" t="s">
        <v>302</v>
      </c>
      <c r="BI2665" s="5" t="s">
        <v>303</v>
      </c>
      <c r="BJ2665" s="5" t="s">
        <v>240</v>
      </c>
      <c r="BK2665" s="8">
        <f>0</f>
        <v>0</v>
      </c>
      <c r="BL2665" s="7">
        <f>0</f>
        <v>0</v>
      </c>
      <c r="BM2665" s="5" t="s">
        <v>258</v>
      </c>
      <c r="BN2665" s="5" t="s">
        <v>259</v>
      </c>
      <c r="CB2665" s="5" t="s">
        <v>240</v>
      </c>
      <c r="CC2665" s="5" t="s">
        <v>240</v>
      </c>
      <c r="CG2665" s="5" t="s">
        <v>304</v>
      </c>
      <c r="CH2665" s="5" t="s">
        <v>305</v>
      </c>
      <c r="CI2665" s="5" t="s">
        <v>240</v>
      </c>
      <c r="CL2665" s="6" t="s">
        <v>261</v>
      </c>
      <c r="CM2665" s="5" t="s">
        <v>240</v>
      </c>
      <c r="CN2665" s="5" t="s">
        <v>263</v>
      </c>
      <c r="CO2665" s="5" t="s">
        <v>240</v>
      </c>
      <c r="CP2665" s="5" t="s">
        <v>240</v>
      </c>
      <c r="CQ2665" s="5">
        <v>0</v>
      </c>
      <c r="CR2665" s="5" t="s">
        <v>306</v>
      </c>
      <c r="CS2665" s="5" t="s">
        <v>307</v>
      </c>
      <c r="CT2665" s="5" t="s">
        <v>307</v>
      </c>
      <c r="CU2665" s="5" t="s">
        <v>260</v>
      </c>
      <c r="CX2665" s="7">
        <f>1</f>
        <v>1</v>
      </c>
      <c r="CY2665" s="7">
        <f>0</f>
        <v>0</v>
      </c>
      <c r="DA2665" s="7">
        <f>0</f>
        <v>0</v>
      </c>
      <c r="DC2665" s="5" t="s">
        <v>309</v>
      </c>
      <c r="DD2665" s="5" t="s">
        <v>240</v>
      </c>
      <c r="DF2665" s="5" t="s">
        <v>309</v>
      </c>
      <c r="DG2665" s="7">
        <f>1769</f>
        <v>1769</v>
      </c>
      <c r="DI2665" s="5" t="s">
        <v>240</v>
      </c>
      <c r="DJ2665" s="5" t="s">
        <v>240</v>
      </c>
      <c r="DK2665" s="5" t="s">
        <v>240</v>
      </c>
      <c r="DL2665" s="5" t="s">
        <v>240</v>
      </c>
      <c r="DP2665" s="5" t="s">
        <v>240</v>
      </c>
      <c r="DQ2665" s="5" t="s">
        <v>240</v>
      </c>
      <c r="DR2665" s="5" t="s">
        <v>240</v>
      </c>
      <c r="DS2665" s="5" t="s">
        <v>240</v>
      </c>
      <c r="DV2665" s="5" t="s">
        <v>310</v>
      </c>
      <c r="DW2665" s="5" t="s">
        <v>3381</v>
      </c>
      <c r="HO2665" s="5" t="s">
        <v>312</v>
      </c>
    </row>
    <row r="2666" spans="1:223" x14ac:dyDescent="0.4">
      <c r="A2666" s="5">
        <v>4370</v>
      </c>
      <c r="B2666" s="5">
        <v>1</v>
      </c>
      <c r="C2666" s="5">
        <v>1</v>
      </c>
      <c r="D2666" s="5" t="s">
        <v>810</v>
      </c>
      <c r="E2666" s="5" t="s">
        <v>245</v>
      </c>
      <c r="F2666" s="5" t="s">
        <v>254</v>
      </c>
      <c r="G2666" s="5" t="s">
        <v>240</v>
      </c>
      <c r="H2666" s="6" t="s">
        <v>3216</v>
      </c>
      <c r="I2666" s="5" t="s">
        <v>809</v>
      </c>
      <c r="J2666" s="8">
        <f>856</f>
        <v>856</v>
      </c>
      <c r="K2666" s="5" t="s">
        <v>308</v>
      </c>
      <c r="L2666" s="7">
        <f>1</f>
        <v>1</v>
      </c>
      <c r="M2666" s="7">
        <f>1</f>
        <v>1</v>
      </c>
      <c r="N2666" s="5" t="s">
        <v>242</v>
      </c>
      <c r="O2666" s="5">
        <v>1</v>
      </c>
      <c r="P2666" s="5" t="s">
        <v>294</v>
      </c>
      <c r="Q2666" s="5" t="s">
        <v>266</v>
      </c>
      <c r="R2666" s="5" t="s">
        <v>240</v>
      </c>
      <c r="S2666" s="5" t="s">
        <v>240</v>
      </c>
      <c r="T2666" s="5" t="s">
        <v>296</v>
      </c>
      <c r="U2666" s="5" t="s">
        <v>244</v>
      </c>
      <c r="V2666" s="5" t="s">
        <v>240</v>
      </c>
      <c r="Y2666" s="5" t="s">
        <v>240</v>
      </c>
      <c r="Z2666" s="6" t="s">
        <v>298</v>
      </c>
      <c r="AB2666" s="6" t="s">
        <v>240</v>
      </c>
      <c r="AE2666" s="6" t="s">
        <v>299</v>
      </c>
      <c r="AF2666" s="5" t="s">
        <v>248</v>
      </c>
      <c r="AG2666" s="5" t="s">
        <v>249</v>
      </c>
      <c r="AW2666" s="5" t="s">
        <v>251</v>
      </c>
      <c r="AX2666" s="5" t="s">
        <v>240</v>
      </c>
      <c r="AY2666" s="5" t="s">
        <v>253</v>
      </c>
      <c r="AZ2666" s="5" t="s">
        <v>240</v>
      </c>
      <c r="BA2666" s="5" t="s">
        <v>255</v>
      </c>
      <c r="BB2666" s="5" t="s">
        <v>240</v>
      </c>
      <c r="BD2666" s="5" t="s">
        <v>240</v>
      </c>
      <c r="BF2666" s="5" t="s">
        <v>301</v>
      </c>
      <c r="BG2666" s="6" t="s">
        <v>299</v>
      </c>
      <c r="BH2666" s="5" t="s">
        <v>302</v>
      </c>
      <c r="BI2666" s="5" t="s">
        <v>303</v>
      </c>
      <c r="BJ2666" s="5" t="s">
        <v>240</v>
      </c>
      <c r="BK2666" s="8">
        <f>0</f>
        <v>0</v>
      </c>
      <c r="BL2666" s="7">
        <f>0</f>
        <v>0</v>
      </c>
      <c r="BM2666" s="5" t="s">
        <v>258</v>
      </c>
      <c r="BN2666" s="5" t="s">
        <v>259</v>
      </c>
      <c r="CB2666" s="5" t="s">
        <v>240</v>
      </c>
      <c r="CC2666" s="5" t="s">
        <v>240</v>
      </c>
      <c r="CG2666" s="5" t="s">
        <v>304</v>
      </c>
      <c r="CH2666" s="5" t="s">
        <v>305</v>
      </c>
      <c r="CI2666" s="5" t="s">
        <v>240</v>
      </c>
      <c r="CL2666" s="6" t="s">
        <v>261</v>
      </c>
      <c r="CM2666" s="5" t="s">
        <v>240</v>
      </c>
      <c r="CN2666" s="5" t="s">
        <v>263</v>
      </c>
      <c r="CO2666" s="5" t="s">
        <v>240</v>
      </c>
      <c r="CP2666" s="5" t="s">
        <v>240</v>
      </c>
      <c r="CQ2666" s="5">
        <v>0</v>
      </c>
      <c r="CR2666" s="5" t="s">
        <v>306</v>
      </c>
      <c r="CS2666" s="5" t="s">
        <v>307</v>
      </c>
      <c r="CT2666" s="5" t="s">
        <v>307</v>
      </c>
      <c r="CU2666" s="5" t="s">
        <v>260</v>
      </c>
      <c r="CX2666" s="7">
        <f>1</f>
        <v>1</v>
      </c>
      <c r="CY2666" s="7">
        <f>0</f>
        <v>0</v>
      </c>
      <c r="DA2666" s="7">
        <f>0</f>
        <v>0</v>
      </c>
      <c r="DC2666" s="5" t="s">
        <v>309</v>
      </c>
      <c r="DD2666" s="5" t="s">
        <v>240</v>
      </c>
      <c r="DF2666" s="5" t="s">
        <v>309</v>
      </c>
      <c r="DG2666" s="7">
        <f>1016</f>
        <v>1016</v>
      </c>
      <c r="DI2666" s="5" t="s">
        <v>240</v>
      </c>
      <c r="DJ2666" s="5" t="s">
        <v>240</v>
      </c>
      <c r="DK2666" s="5" t="s">
        <v>240</v>
      </c>
      <c r="DL2666" s="5" t="s">
        <v>240</v>
      </c>
      <c r="DP2666" s="5" t="s">
        <v>240</v>
      </c>
      <c r="DQ2666" s="5" t="s">
        <v>240</v>
      </c>
      <c r="DR2666" s="5" t="s">
        <v>240</v>
      </c>
      <c r="DS2666" s="5" t="s">
        <v>240</v>
      </c>
      <c r="DV2666" s="5" t="s">
        <v>310</v>
      </c>
      <c r="DW2666" s="5" t="s">
        <v>3383</v>
      </c>
      <c r="HO2666" s="5" t="s">
        <v>312</v>
      </c>
    </row>
    <row r="2667" spans="1:223" x14ac:dyDescent="0.4">
      <c r="A2667" s="5">
        <v>4371</v>
      </c>
      <c r="B2667" s="5">
        <v>1</v>
      </c>
      <c r="C2667" s="5">
        <v>1</v>
      </c>
      <c r="D2667" s="5" t="s">
        <v>810</v>
      </c>
      <c r="E2667" s="5" t="s">
        <v>245</v>
      </c>
      <c r="F2667" s="5" t="s">
        <v>254</v>
      </c>
      <c r="G2667" s="5" t="s">
        <v>240</v>
      </c>
      <c r="H2667" s="6" t="s">
        <v>4908</v>
      </c>
      <c r="I2667" s="5" t="s">
        <v>809</v>
      </c>
      <c r="J2667" s="8">
        <f>800</f>
        <v>800</v>
      </c>
      <c r="K2667" s="5" t="s">
        <v>308</v>
      </c>
      <c r="L2667" s="7">
        <f>1</f>
        <v>1</v>
      </c>
      <c r="M2667" s="7">
        <f>1</f>
        <v>1</v>
      </c>
      <c r="N2667" s="5" t="s">
        <v>242</v>
      </c>
      <c r="O2667" s="5">
        <v>1</v>
      </c>
      <c r="P2667" s="5" t="s">
        <v>294</v>
      </c>
      <c r="Q2667" s="5" t="s">
        <v>266</v>
      </c>
      <c r="R2667" s="5" t="s">
        <v>240</v>
      </c>
      <c r="S2667" s="5" t="s">
        <v>240</v>
      </c>
      <c r="T2667" s="5" t="s">
        <v>296</v>
      </c>
      <c r="U2667" s="5" t="s">
        <v>244</v>
      </c>
      <c r="V2667" s="5" t="s">
        <v>240</v>
      </c>
      <c r="Y2667" s="5" t="s">
        <v>240</v>
      </c>
      <c r="Z2667" s="6" t="s">
        <v>298</v>
      </c>
      <c r="AB2667" s="6" t="s">
        <v>240</v>
      </c>
      <c r="AE2667" s="6" t="s">
        <v>299</v>
      </c>
      <c r="AF2667" s="5" t="s">
        <v>248</v>
      </c>
      <c r="AG2667" s="5" t="s">
        <v>249</v>
      </c>
      <c r="AW2667" s="5" t="s">
        <v>251</v>
      </c>
      <c r="AX2667" s="5" t="s">
        <v>240</v>
      </c>
      <c r="AY2667" s="5" t="s">
        <v>253</v>
      </c>
      <c r="AZ2667" s="5" t="s">
        <v>240</v>
      </c>
      <c r="BA2667" s="5" t="s">
        <v>255</v>
      </c>
      <c r="BB2667" s="5" t="s">
        <v>240</v>
      </c>
      <c r="BD2667" s="5" t="s">
        <v>240</v>
      </c>
      <c r="BF2667" s="5" t="s">
        <v>301</v>
      </c>
      <c r="BG2667" s="6" t="s">
        <v>299</v>
      </c>
      <c r="BH2667" s="5" t="s">
        <v>302</v>
      </c>
      <c r="BI2667" s="5" t="s">
        <v>303</v>
      </c>
      <c r="BJ2667" s="5" t="s">
        <v>240</v>
      </c>
      <c r="BK2667" s="8">
        <f>0</f>
        <v>0</v>
      </c>
      <c r="BL2667" s="7">
        <f>0</f>
        <v>0</v>
      </c>
      <c r="BM2667" s="5" t="s">
        <v>258</v>
      </c>
      <c r="BN2667" s="5" t="s">
        <v>259</v>
      </c>
      <c r="CB2667" s="5" t="s">
        <v>240</v>
      </c>
      <c r="CC2667" s="5" t="s">
        <v>240</v>
      </c>
      <c r="CG2667" s="5" t="s">
        <v>304</v>
      </c>
      <c r="CH2667" s="5" t="s">
        <v>305</v>
      </c>
      <c r="CI2667" s="5" t="s">
        <v>240</v>
      </c>
      <c r="CL2667" s="6" t="s">
        <v>261</v>
      </c>
      <c r="CM2667" s="5" t="s">
        <v>240</v>
      </c>
      <c r="CN2667" s="5" t="s">
        <v>263</v>
      </c>
      <c r="CO2667" s="5" t="s">
        <v>240</v>
      </c>
      <c r="CP2667" s="5" t="s">
        <v>240</v>
      </c>
      <c r="CQ2667" s="5">
        <v>0</v>
      </c>
      <c r="CR2667" s="5" t="s">
        <v>306</v>
      </c>
      <c r="CS2667" s="5" t="s">
        <v>307</v>
      </c>
      <c r="CT2667" s="5" t="s">
        <v>307</v>
      </c>
      <c r="CU2667" s="5" t="s">
        <v>260</v>
      </c>
      <c r="CX2667" s="7">
        <f>1</f>
        <v>1</v>
      </c>
      <c r="CY2667" s="7">
        <f>0</f>
        <v>0</v>
      </c>
      <c r="DA2667" s="7">
        <f>0</f>
        <v>0</v>
      </c>
      <c r="DC2667" s="5" t="s">
        <v>309</v>
      </c>
      <c r="DD2667" s="5" t="s">
        <v>240</v>
      </c>
      <c r="DF2667" s="5" t="s">
        <v>309</v>
      </c>
      <c r="DG2667" s="7">
        <f>973</f>
        <v>973</v>
      </c>
      <c r="DI2667" s="5" t="s">
        <v>240</v>
      </c>
      <c r="DJ2667" s="5" t="s">
        <v>240</v>
      </c>
      <c r="DK2667" s="5" t="s">
        <v>240</v>
      </c>
      <c r="DL2667" s="5" t="s">
        <v>240</v>
      </c>
      <c r="DP2667" s="5" t="s">
        <v>240</v>
      </c>
      <c r="DQ2667" s="5" t="s">
        <v>240</v>
      </c>
      <c r="DR2667" s="5" t="s">
        <v>240</v>
      </c>
      <c r="DS2667" s="5" t="s">
        <v>240</v>
      </c>
      <c r="DV2667" s="5" t="s">
        <v>310</v>
      </c>
      <c r="DW2667" s="5" t="s">
        <v>3385</v>
      </c>
      <c r="HO2667" s="5" t="s">
        <v>312</v>
      </c>
    </row>
    <row r="2668" spans="1:223" x14ac:dyDescent="0.4">
      <c r="A2668" s="5">
        <v>4372</v>
      </c>
      <c r="B2668" s="5">
        <v>1</v>
      </c>
      <c r="C2668" s="5">
        <v>1</v>
      </c>
      <c r="D2668" s="5" t="s">
        <v>810</v>
      </c>
      <c r="E2668" s="5" t="s">
        <v>245</v>
      </c>
      <c r="F2668" s="5" t="s">
        <v>254</v>
      </c>
      <c r="G2668" s="5" t="s">
        <v>240</v>
      </c>
      <c r="H2668" s="6" t="s">
        <v>3208</v>
      </c>
      <c r="I2668" s="5" t="s">
        <v>809</v>
      </c>
      <c r="J2668" s="8">
        <f>319</f>
        <v>319</v>
      </c>
      <c r="K2668" s="5" t="s">
        <v>308</v>
      </c>
      <c r="L2668" s="7">
        <f>1</f>
        <v>1</v>
      </c>
      <c r="M2668" s="7">
        <f>1</f>
        <v>1</v>
      </c>
      <c r="N2668" s="5" t="s">
        <v>242</v>
      </c>
      <c r="O2668" s="5">
        <v>1</v>
      </c>
      <c r="P2668" s="5" t="s">
        <v>294</v>
      </c>
      <c r="Q2668" s="5" t="s">
        <v>266</v>
      </c>
      <c r="R2668" s="5" t="s">
        <v>240</v>
      </c>
      <c r="S2668" s="5" t="s">
        <v>240</v>
      </c>
      <c r="T2668" s="5" t="s">
        <v>296</v>
      </c>
      <c r="U2668" s="5" t="s">
        <v>244</v>
      </c>
      <c r="V2668" s="5" t="s">
        <v>240</v>
      </c>
      <c r="Y2668" s="5" t="s">
        <v>240</v>
      </c>
      <c r="Z2668" s="6" t="s">
        <v>298</v>
      </c>
      <c r="AB2668" s="6" t="s">
        <v>240</v>
      </c>
      <c r="AE2668" s="6" t="s">
        <v>299</v>
      </c>
      <c r="AF2668" s="5" t="s">
        <v>248</v>
      </c>
      <c r="AG2668" s="5" t="s">
        <v>249</v>
      </c>
      <c r="AW2668" s="5" t="s">
        <v>251</v>
      </c>
      <c r="AX2668" s="5" t="s">
        <v>240</v>
      </c>
      <c r="AY2668" s="5" t="s">
        <v>253</v>
      </c>
      <c r="AZ2668" s="5" t="s">
        <v>240</v>
      </c>
      <c r="BA2668" s="5" t="s">
        <v>255</v>
      </c>
      <c r="BB2668" s="5" t="s">
        <v>240</v>
      </c>
      <c r="BD2668" s="5" t="s">
        <v>240</v>
      </c>
      <c r="BF2668" s="5" t="s">
        <v>301</v>
      </c>
      <c r="BG2668" s="6" t="s">
        <v>299</v>
      </c>
      <c r="BH2668" s="5" t="s">
        <v>302</v>
      </c>
      <c r="BI2668" s="5" t="s">
        <v>303</v>
      </c>
      <c r="BJ2668" s="5" t="s">
        <v>240</v>
      </c>
      <c r="BK2668" s="8">
        <f>0</f>
        <v>0</v>
      </c>
      <c r="BL2668" s="7">
        <f>0</f>
        <v>0</v>
      </c>
      <c r="BM2668" s="5" t="s">
        <v>258</v>
      </c>
      <c r="BN2668" s="5" t="s">
        <v>259</v>
      </c>
      <c r="CB2668" s="5" t="s">
        <v>240</v>
      </c>
      <c r="CC2668" s="5" t="s">
        <v>240</v>
      </c>
      <c r="CG2668" s="5" t="s">
        <v>304</v>
      </c>
      <c r="CH2668" s="5" t="s">
        <v>305</v>
      </c>
      <c r="CI2668" s="5" t="s">
        <v>240</v>
      </c>
      <c r="CL2668" s="6" t="s">
        <v>261</v>
      </c>
      <c r="CM2668" s="5" t="s">
        <v>240</v>
      </c>
      <c r="CN2668" s="5" t="s">
        <v>263</v>
      </c>
      <c r="CO2668" s="5" t="s">
        <v>240</v>
      </c>
      <c r="CP2668" s="5" t="s">
        <v>240</v>
      </c>
      <c r="CQ2668" s="5">
        <v>0</v>
      </c>
      <c r="CR2668" s="5" t="s">
        <v>306</v>
      </c>
      <c r="CS2668" s="5" t="s">
        <v>307</v>
      </c>
      <c r="CT2668" s="5" t="s">
        <v>307</v>
      </c>
      <c r="CU2668" s="5" t="s">
        <v>260</v>
      </c>
      <c r="CX2668" s="7">
        <f>1</f>
        <v>1</v>
      </c>
      <c r="CY2668" s="7">
        <f>0</f>
        <v>0</v>
      </c>
      <c r="DA2668" s="7">
        <f>0</f>
        <v>0</v>
      </c>
      <c r="DC2668" s="5" t="s">
        <v>309</v>
      </c>
      <c r="DD2668" s="5" t="s">
        <v>240</v>
      </c>
      <c r="DF2668" s="5" t="s">
        <v>309</v>
      </c>
      <c r="DG2668" s="7">
        <f>410</f>
        <v>410</v>
      </c>
      <c r="DI2668" s="5" t="s">
        <v>240</v>
      </c>
      <c r="DJ2668" s="5" t="s">
        <v>240</v>
      </c>
      <c r="DK2668" s="5" t="s">
        <v>240</v>
      </c>
      <c r="DL2668" s="5" t="s">
        <v>240</v>
      </c>
      <c r="DP2668" s="5" t="s">
        <v>240</v>
      </c>
      <c r="DQ2668" s="5" t="s">
        <v>240</v>
      </c>
      <c r="DR2668" s="5" t="s">
        <v>240</v>
      </c>
      <c r="DS2668" s="5" t="s">
        <v>240</v>
      </c>
      <c r="DV2668" s="5" t="s">
        <v>310</v>
      </c>
      <c r="DW2668" s="5" t="s">
        <v>3387</v>
      </c>
      <c r="HO2668" s="5" t="s">
        <v>312</v>
      </c>
    </row>
    <row r="2669" spans="1:223" x14ac:dyDescent="0.4">
      <c r="A2669" s="5">
        <v>4373</v>
      </c>
      <c r="B2669" s="5">
        <v>1</v>
      </c>
      <c r="C2669" s="5">
        <v>1</v>
      </c>
      <c r="D2669" s="5" t="s">
        <v>810</v>
      </c>
      <c r="E2669" s="5" t="s">
        <v>245</v>
      </c>
      <c r="F2669" s="5" t="s">
        <v>254</v>
      </c>
      <c r="G2669" s="5" t="s">
        <v>240</v>
      </c>
      <c r="H2669" s="6" t="s">
        <v>4907</v>
      </c>
      <c r="I2669" s="5" t="s">
        <v>809</v>
      </c>
      <c r="J2669" s="8">
        <f>1839</f>
        <v>1839</v>
      </c>
      <c r="K2669" s="5" t="s">
        <v>308</v>
      </c>
      <c r="L2669" s="7">
        <f>1</f>
        <v>1</v>
      </c>
      <c r="M2669" s="7">
        <f>1</f>
        <v>1</v>
      </c>
      <c r="N2669" s="5" t="s">
        <v>242</v>
      </c>
      <c r="O2669" s="5">
        <v>1</v>
      </c>
      <c r="P2669" s="5" t="s">
        <v>294</v>
      </c>
      <c r="Q2669" s="5" t="s">
        <v>266</v>
      </c>
      <c r="R2669" s="5" t="s">
        <v>240</v>
      </c>
      <c r="S2669" s="5" t="s">
        <v>240</v>
      </c>
      <c r="T2669" s="5" t="s">
        <v>296</v>
      </c>
      <c r="U2669" s="5" t="s">
        <v>244</v>
      </c>
      <c r="V2669" s="5" t="s">
        <v>240</v>
      </c>
      <c r="Y2669" s="5" t="s">
        <v>240</v>
      </c>
      <c r="Z2669" s="6" t="s">
        <v>298</v>
      </c>
      <c r="AB2669" s="6" t="s">
        <v>240</v>
      </c>
      <c r="AE2669" s="6" t="s">
        <v>299</v>
      </c>
      <c r="AF2669" s="5" t="s">
        <v>248</v>
      </c>
      <c r="AG2669" s="5" t="s">
        <v>249</v>
      </c>
      <c r="AW2669" s="5" t="s">
        <v>251</v>
      </c>
      <c r="AX2669" s="5" t="s">
        <v>240</v>
      </c>
      <c r="AY2669" s="5" t="s">
        <v>253</v>
      </c>
      <c r="AZ2669" s="5" t="s">
        <v>240</v>
      </c>
      <c r="BA2669" s="5" t="s">
        <v>255</v>
      </c>
      <c r="BB2669" s="5" t="s">
        <v>240</v>
      </c>
      <c r="BD2669" s="5" t="s">
        <v>240</v>
      </c>
      <c r="BF2669" s="5" t="s">
        <v>301</v>
      </c>
      <c r="BG2669" s="6" t="s">
        <v>299</v>
      </c>
      <c r="BH2669" s="5" t="s">
        <v>302</v>
      </c>
      <c r="BI2669" s="5" t="s">
        <v>303</v>
      </c>
      <c r="BJ2669" s="5" t="s">
        <v>240</v>
      </c>
      <c r="BK2669" s="8">
        <f>0</f>
        <v>0</v>
      </c>
      <c r="BL2669" s="7">
        <f>0</f>
        <v>0</v>
      </c>
      <c r="BM2669" s="5" t="s">
        <v>258</v>
      </c>
      <c r="BN2669" s="5" t="s">
        <v>259</v>
      </c>
      <c r="CB2669" s="5" t="s">
        <v>240</v>
      </c>
      <c r="CC2669" s="5" t="s">
        <v>240</v>
      </c>
      <c r="CG2669" s="5" t="s">
        <v>304</v>
      </c>
      <c r="CH2669" s="5" t="s">
        <v>305</v>
      </c>
      <c r="CI2669" s="5" t="s">
        <v>240</v>
      </c>
      <c r="CL2669" s="6" t="s">
        <v>261</v>
      </c>
      <c r="CM2669" s="5" t="s">
        <v>240</v>
      </c>
      <c r="CN2669" s="5" t="s">
        <v>263</v>
      </c>
      <c r="CO2669" s="5" t="s">
        <v>240</v>
      </c>
      <c r="CP2669" s="5" t="s">
        <v>240</v>
      </c>
      <c r="CQ2669" s="5">
        <v>0</v>
      </c>
      <c r="CR2669" s="5" t="s">
        <v>306</v>
      </c>
      <c r="CS2669" s="5" t="s">
        <v>307</v>
      </c>
      <c r="CT2669" s="5" t="s">
        <v>307</v>
      </c>
      <c r="CU2669" s="5" t="s">
        <v>260</v>
      </c>
      <c r="CX2669" s="7">
        <f>1</f>
        <v>1</v>
      </c>
      <c r="CY2669" s="7">
        <f>0</f>
        <v>0</v>
      </c>
      <c r="DA2669" s="7">
        <f>0</f>
        <v>0</v>
      </c>
      <c r="DC2669" s="5" t="s">
        <v>309</v>
      </c>
      <c r="DD2669" s="5" t="s">
        <v>240</v>
      </c>
      <c r="DF2669" s="5" t="s">
        <v>309</v>
      </c>
      <c r="DG2669" s="7">
        <f>1549</f>
        <v>1549</v>
      </c>
      <c r="DI2669" s="5" t="s">
        <v>240</v>
      </c>
      <c r="DJ2669" s="5" t="s">
        <v>240</v>
      </c>
      <c r="DK2669" s="5" t="s">
        <v>240</v>
      </c>
      <c r="DL2669" s="5" t="s">
        <v>240</v>
      </c>
      <c r="DP2669" s="5" t="s">
        <v>240</v>
      </c>
      <c r="DQ2669" s="5" t="s">
        <v>240</v>
      </c>
      <c r="DR2669" s="5" t="s">
        <v>240</v>
      </c>
      <c r="DS2669" s="5" t="s">
        <v>240</v>
      </c>
      <c r="DV2669" s="5" t="s">
        <v>310</v>
      </c>
      <c r="DW2669" s="5" t="s">
        <v>3389</v>
      </c>
      <c r="HO2669" s="5" t="s">
        <v>312</v>
      </c>
    </row>
    <row r="2670" spans="1:223" x14ac:dyDescent="0.4">
      <c r="A2670" s="5">
        <v>4374</v>
      </c>
      <c r="B2670" s="5">
        <v>1</v>
      </c>
      <c r="C2670" s="5">
        <v>1</v>
      </c>
      <c r="D2670" s="5" t="s">
        <v>810</v>
      </c>
      <c r="E2670" s="5" t="s">
        <v>245</v>
      </c>
      <c r="F2670" s="5" t="s">
        <v>254</v>
      </c>
      <c r="G2670" s="5" t="s">
        <v>240</v>
      </c>
      <c r="H2670" s="6" t="s">
        <v>3204</v>
      </c>
      <c r="I2670" s="5" t="s">
        <v>809</v>
      </c>
      <c r="J2670" s="8">
        <f>229</f>
        <v>229</v>
      </c>
      <c r="K2670" s="5" t="s">
        <v>308</v>
      </c>
      <c r="L2670" s="7">
        <f>1</f>
        <v>1</v>
      </c>
      <c r="M2670" s="7">
        <f>1</f>
        <v>1</v>
      </c>
      <c r="N2670" s="5" t="s">
        <v>242</v>
      </c>
      <c r="O2670" s="5">
        <v>1</v>
      </c>
      <c r="P2670" s="5" t="s">
        <v>294</v>
      </c>
      <c r="Q2670" s="5" t="s">
        <v>266</v>
      </c>
      <c r="R2670" s="5" t="s">
        <v>240</v>
      </c>
      <c r="S2670" s="5" t="s">
        <v>240</v>
      </c>
      <c r="T2670" s="5" t="s">
        <v>296</v>
      </c>
      <c r="U2670" s="5" t="s">
        <v>244</v>
      </c>
      <c r="V2670" s="5" t="s">
        <v>240</v>
      </c>
      <c r="Y2670" s="5" t="s">
        <v>240</v>
      </c>
      <c r="Z2670" s="6" t="s">
        <v>298</v>
      </c>
      <c r="AB2670" s="6" t="s">
        <v>240</v>
      </c>
      <c r="AE2670" s="6" t="s">
        <v>299</v>
      </c>
      <c r="AF2670" s="5" t="s">
        <v>248</v>
      </c>
      <c r="AG2670" s="5" t="s">
        <v>249</v>
      </c>
      <c r="AW2670" s="5" t="s">
        <v>251</v>
      </c>
      <c r="AX2670" s="5" t="s">
        <v>240</v>
      </c>
      <c r="AY2670" s="5" t="s">
        <v>253</v>
      </c>
      <c r="AZ2670" s="5" t="s">
        <v>240</v>
      </c>
      <c r="BA2670" s="5" t="s">
        <v>255</v>
      </c>
      <c r="BB2670" s="5" t="s">
        <v>240</v>
      </c>
      <c r="BD2670" s="5" t="s">
        <v>240</v>
      </c>
      <c r="BF2670" s="5" t="s">
        <v>301</v>
      </c>
      <c r="BG2670" s="6" t="s">
        <v>299</v>
      </c>
      <c r="BH2670" s="5" t="s">
        <v>302</v>
      </c>
      <c r="BI2670" s="5" t="s">
        <v>303</v>
      </c>
      <c r="BJ2670" s="5" t="s">
        <v>240</v>
      </c>
      <c r="BK2670" s="8">
        <f>0</f>
        <v>0</v>
      </c>
      <c r="BL2670" s="7">
        <f>0</f>
        <v>0</v>
      </c>
      <c r="BM2670" s="5" t="s">
        <v>258</v>
      </c>
      <c r="BN2670" s="5" t="s">
        <v>259</v>
      </c>
      <c r="CB2670" s="5" t="s">
        <v>240</v>
      </c>
      <c r="CC2670" s="5" t="s">
        <v>240</v>
      </c>
      <c r="CG2670" s="5" t="s">
        <v>304</v>
      </c>
      <c r="CH2670" s="5" t="s">
        <v>305</v>
      </c>
      <c r="CI2670" s="5" t="s">
        <v>240</v>
      </c>
      <c r="CL2670" s="6" t="s">
        <v>261</v>
      </c>
      <c r="CM2670" s="5" t="s">
        <v>240</v>
      </c>
      <c r="CN2670" s="5" t="s">
        <v>263</v>
      </c>
      <c r="CO2670" s="5" t="s">
        <v>240</v>
      </c>
      <c r="CP2670" s="5" t="s">
        <v>240</v>
      </c>
      <c r="CQ2670" s="5">
        <v>0</v>
      </c>
      <c r="CR2670" s="5" t="s">
        <v>306</v>
      </c>
      <c r="CS2670" s="5" t="s">
        <v>307</v>
      </c>
      <c r="CT2670" s="5" t="s">
        <v>307</v>
      </c>
      <c r="CU2670" s="5" t="s">
        <v>260</v>
      </c>
      <c r="CX2670" s="7">
        <f>1</f>
        <v>1</v>
      </c>
      <c r="CY2670" s="7">
        <f>0</f>
        <v>0</v>
      </c>
      <c r="DA2670" s="7">
        <f>0</f>
        <v>0</v>
      </c>
      <c r="DC2670" s="5" t="s">
        <v>309</v>
      </c>
      <c r="DD2670" s="5" t="s">
        <v>240</v>
      </c>
      <c r="DF2670" s="5" t="s">
        <v>309</v>
      </c>
      <c r="DG2670" s="7">
        <f>677</f>
        <v>677</v>
      </c>
      <c r="DI2670" s="5" t="s">
        <v>240</v>
      </c>
      <c r="DJ2670" s="5" t="s">
        <v>240</v>
      </c>
      <c r="DK2670" s="5" t="s">
        <v>240</v>
      </c>
      <c r="DL2670" s="5" t="s">
        <v>240</v>
      </c>
      <c r="DP2670" s="5" t="s">
        <v>240</v>
      </c>
      <c r="DQ2670" s="5" t="s">
        <v>240</v>
      </c>
      <c r="DR2670" s="5" t="s">
        <v>240</v>
      </c>
      <c r="DS2670" s="5" t="s">
        <v>240</v>
      </c>
      <c r="DV2670" s="5" t="s">
        <v>310</v>
      </c>
      <c r="DW2670" s="5" t="s">
        <v>3391</v>
      </c>
      <c r="HO2670" s="5" t="s">
        <v>312</v>
      </c>
    </row>
    <row r="2671" spans="1:223" x14ac:dyDescent="0.4">
      <c r="A2671" s="5">
        <v>4375</v>
      </c>
      <c r="B2671" s="5">
        <v>1</v>
      </c>
      <c r="C2671" s="5">
        <v>1</v>
      </c>
      <c r="D2671" s="5" t="s">
        <v>810</v>
      </c>
      <c r="E2671" s="5" t="s">
        <v>245</v>
      </c>
      <c r="F2671" s="5" t="s">
        <v>254</v>
      </c>
      <c r="G2671" s="5" t="s">
        <v>240</v>
      </c>
      <c r="H2671" s="6" t="s">
        <v>3202</v>
      </c>
      <c r="I2671" s="5" t="s">
        <v>809</v>
      </c>
      <c r="J2671" s="8">
        <f>156</f>
        <v>156</v>
      </c>
      <c r="K2671" s="5" t="s">
        <v>308</v>
      </c>
      <c r="L2671" s="7">
        <f>1</f>
        <v>1</v>
      </c>
      <c r="M2671" s="7">
        <f>1</f>
        <v>1</v>
      </c>
      <c r="N2671" s="5" t="s">
        <v>242</v>
      </c>
      <c r="O2671" s="5">
        <v>1</v>
      </c>
      <c r="P2671" s="5" t="s">
        <v>294</v>
      </c>
      <c r="Q2671" s="5" t="s">
        <v>266</v>
      </c>
      <c r="R2671" s="5" t="s">
        <v>240</v>
      </c>
      <c r="S2671" s="5" t="s">
        <v>240</v>
      </c>
      <c r="T2671" s="5" t="s">
        <v>296</v>
      </c>
      <c r="U2671" s="5" t="s">
        <v>244</v>
      </c>
      <c r="V2671" s="5" t="s">
        <v>240</v>
      </c>
      <c r="Y2671" s="5" t="s">
        <v>240</v>
      </c>
      <c r="Z2671" s="6" t="s">
        <v>298</v>
      </c>
      <c r="AB2671" s="6" t="s">
        <v>240</v>
      </c>
      <c r="AE2671" s="6" t="s">
        <v>299</v>
      </c>
      <c r="AF2671" s="5" t="s">
        <v>248</v>
      </c>
      <c r="AG2671" s="5" t="s">
        <v>249</v>
      </c>
      <c r="AW2671" s="5" t="s">
        <v>251</v>
      </c>
      <c r="AX2671" s="5" t="s">
        <v>240</v>
      </c>
      <c r="AY2671" s="5" t="s">
        <v>253</v>
      </c>
      <c r="AZ2671" s="5" t="s">
        <v>240</v>
      </c>
      <c r="BA2671" s="5" t="s">
        <v>255</v>
      </c>
      <c r="BB2671" s="5" t="s">
        <v>240</v>
      </c>
      <c r="BD2671" s="5" t="s">
        <v>240</v>
      </c>
      <c r="BF2671" s="5" t="s">
        <v>301</v>
      </c>
      <c r="BG2671" s="6" t="s">
        <v>299</v>
      </c>
      <c r="BH2671" s="5" t="s">
        <v>302</v>
      </c>
      <c r="BI2671" s="5" t="s">
        <v>303</v>
      </c>
      <c r="BJ2671" s="5" t="s">
        <v>240</v>
      </c>
      <c r="BK2671" s="8">
        <f>0</f>
        <v>0</v>
      </c>
      <c r="BL2671" s="7">
        <f>0</f>
        <v>0</v>
      </c>
      <c r="BM2671" s="5" t="s">
        <v>258</v>
      </c>
      <c r="BN2671" s="5" t="s">
        <v>259</v>
      </c>
      <c r="CB2671" s="5" t="s">
        <v>240</v>
      </c>
      <c r="CC2671" s="5" t="s">
        <v>240</v>
      </c>
      <c r="CG2671" s="5" t="s">
        <v>304</v>
      </c>
      <c r="CH2671" s="5" t="s">
        <v>305</v>
      </c>
      <c r="CI2671" s="5" t="s">
        <v>240</v>
      </c>
      <c r="CL2671" s="6" t="s">
        <v>261</v>
      </c>
      <c r="CM2671" s="5" t="s">
        <v>240</v>
      </c>
      <c r="CN2671" s="5" t="s">
        <v>263</v>
      </c>
      <c r="CO2671" s="5" t="s">
        <v>240</v>
      </c>
      <c r="CP2671" s="5" t="s">
        <v>240</v>
      </c>
      <c r="CQ2671" s="5">
        <v>0</v>
      </c>
      <c r="CR2671" s="5" t="s">
        <v>306</v>
      </c>
      <c r="CS2671" s="5" t="s">
        <v>307</v>
      </c>
      <c r="CT2671" s="5" t="s">
        <v>307</v>
      </c>
      <c r="CU2671" s="5" t="s">
        <v>260</v>
      </c>
      <c r="CX2671" s="7">
        <f>1</f>
        <v>1</v>
      </c>
      <c r="CY2671" s="7">
        <f>0</f>
        <v>0</v>
      </c>
      <c r="DA2671" s="7">
        <f>0</f>
        <v>0</v>
      </c>
      <c r="DC2671" s="5" t="s">
        <v>309</v>
      </c>
      <c r="DD2671" s="5" t="s">
        <v>240</v>
      </c>
      <c r="DF2671" s="5" t="s">
        <v>309</v>
      </c>
      <c r="DG2671" s="7">
        <f>255</f>
        <v>255</v>
      </c>
      <c r="DI2671" s="5" t="s">
        <v>240</v>
      </c>
      <c r="DJ2671" s="5" t="s">
        <v>240</v>
      </c>
      <c r="DK2671" s="5" t="s">
        <v>240</v>
      </c>
      <c r="DL2671" s="5" t="s">
        <v>240</v>
      </c>
      <c r="DP2671" s="5" t="s">
        <v>240</v>
      </c>
      <c r="DQ2671" s="5" t="s">
        <v>240</v>
      </c>
      <c r="DR2671" s="5" t="s">
        <v>240</v>
      </c>
      <c r="DS2671" s="5" t="s">
        <v>240</v>
      </c>
      <c r="DV2671" s="5" t="s">
        <v>310</v>
      </c>
      <c r="DW2671" s="5" t="s">
        <v>3393</v>
      </c>
      <c r="HO2671" s="5" t="s">
        <v>312</v>
      </c>
    </row>
    <row r="2672" spans="1:223" x14ac:dyDescent="0.4">
      <c r="A2672" s="5">
        <v>4376</v>
      </c>
      <c r="B2672" s="5">
        <v>1</v>
      </c>
      <c r="C2672" s="5">
        <v>1</v>
      </c>
      <c r="D2672" s="5" t="s">
        <v>810</v>
      </c>
      <c r="E2672" s="5" t="s">
        <v>245</v>
      </c>
      <c r="F2672" s="5" t="s">
        <v>254</v>
      </c>
      <c r="G2672" s="5" t="s">
        <v>240</v>
      </c>
      <c r="H2672" s="6" t="s">
        <v>3200</v>
      </c>
      <c r="I2672" s="5" t="s">
        <v>809</v>
      </c>
      <c r="J2672" s="8">
        <f>137</f>
        <v>137</v>
      </c>
      <c r="K2672" s="5" t="s">
        <v>308</v>
      </c>
      <c r="L2672" s="7">
        <f>1</f>
        <v>1</v>
      </c>
      <c r="M2672" s="7">
        <f>1</f>
        <v>1</v>
      </c>
      <c r="N2672" s="5" t="s">
        <v>242</v>
      </c>
      <c r="O2672" s="5">
        <v>1</v>
      </c>
      <c r="P2672" s="5" t="s">
        <v>294</v>
      </c>
      <c r="Q2672" s="5" t="s">
        <v>266</v>
      </c>
      <c r="R2672" s="5" t="s">
        <v>240</v>
      </c>
      <c r="S2672" s="5" t="s">
        <v>240</v>
      </c>
      <c r="T2672" s="5" t="s">
        <v>296</v>
      </c>
      <c r="U2672" s="5" t="s">
        <v>244</v>
      </c>
      <c r="V2672" s="5" t="s">
        <v>240</v>
      </c>
      <c r="Y2672" s="5" t="s">
        <v>240</v>
      </c>
      <c r="Z2672" s="6" t="s">
        <v>298</v>
      </c>
      <c r="AB2672" s="6" t="s">
        <v>240</v>
      </c>
      <c r="AE2672" s="6" t="s">
        <v>299</v>
      </c>
      <c r="AF2672" s="5" t="s">
        <v>248</v>
      </c>
      <c r="AG2672" s="5" t="s">
        <v>249</v>
      </c>
      <c r="AW2672" s="5" t="s">
        <v>251</v>
      </c>
      <c r="AX2672" s="5" t="s">
        <v>240</v>
      </c>
      <c r="AY2672" s="5" t="s">
        <v>253</v>
      </c>
      <c r="AZ2672" s="5" t="s">
        <v>240</v>
      </c>
      <c r="BA2672" s="5" t="s">
        <v>255</v>
      </c>
      <c r="BB2672" s="5" t="s">
        <v>240</v>
      </c>
      <c r="BD2672" s="5" t="s">
        <v>240</v>
      </c>
      <c r="BF2672" s="5" t="s">
        <v>301</v>
      </c>
      <c r="BG2672" s="6" t="s">
        <v>299</v>
      </c>
      <c r="BH2672" s="5" t="s">
        <v>302</v>
      </c>
      <c r="BI2672" s="5" t="s">
        <v>303</v>
      </c>
      <c r="BJ2672" s="5" t="s">
        <v>240</v>
      </c>
      <c r="BK2672" s="8">
        <f>0</f>
        <v>0</v>
      </c>
      <c r="BL2672" s="7">
        <f>0</f>
        <v>0</v>
      </c>
      <c r="BM2672" s="5" t="s">
        <v>258</v>
      </c>
      <c r="BN2672" s="5" t="s">
        <v>259</v>
      </c>
      <c r="CB2672" s="5" t="s">
        <v>240</v>
      </c>
      <c r="CC2672" s="5" t="s">
        <v>240</v>
      </c>
      <c r="CG2672" s="5" t="s">
        <v>304</v>
      </c>
      <c r="CH2672" s="5" t="s">
        <v>305</v>
      </c>
      <c r="CI2672" s="5" t="s">
        <v>240</v>
      </c>
      <c r="CL2672" s="6" t="s">
        <v>261</v>
      </c>
      <c r="CM2672" s="5" t="s">
        <v>240</v>
      </c>
      <c r="CN2672" s="5" t="s">
        <v>263</v>
      </c>
      <c r="CO2672" s="5" t="s">
        <v>240</v>
      </c>
      <c r="CP2672" s="5" t="s">
        <v>240</v>
      </c>
      <c r="CQ2672" s="5">
        <v>0</v>
      </c>
      <c r="CR2672" s="5" t="s">
        <v>306</v>
      </c>
      <c r="CS2672" s="5" t="s">
        <v>307</v>
      </c>
      <c r="CT2672" s="5" t="s">
        <v>307</v>
      </c>
      <c r="CU2672" s="5" t="s">
        <v>260</v>
      </c>
      <c r="CX2672" s="7">
        <f>1</f>
        <v>1</v>
      </c>
      <c r="CY2672" s="7">
        <f>0</f>
        <v>0</v>
      </c>
      <c r="DA2672" s="7">
        <f>0</f>
        <v>0</v>
      </c>
      <c r="DC2672" s="5" t="s">
        <v>309</v>
      </c>
      <c r="DD2672" s="5" t="s">
        <v>240</v>
      </c>
      <c r="DF2672" s="5" t="s">
        <v>309</v>
      </c>
      <c r="DG2672" s="7">
        <f>1511</f>
        <v>1511</v>
      </c>
      <c r="DI2672" s="5" t="s">
        <v>240</v>
      </c>
      <c r="DJ2672" s="5" t="s">
        <v>240</v>
      </c>
      <c r="DK2672" s="5" t="s">
        <v>240</v>
      </c>
      <c r="DL2672" s="5" t="s">
        <v>240</v>
      </c>
      <c r="DP2672" s="5" t="s">
        <v>240</v>
      </c>
      <c r="DQ2672" s="5" t="s">
        <v>240</v>
      </c>
      <c r="DR2672" s="5" t="s">
        <v>240</v>
      </c>
      <c r="DS2672" s="5" t="s">
        <v>240</v>
      </c>
      <c r="DV2672" s="5" t="s">
        <v>310</v>
      </c>
      <c r="DW2672" s="5" t="s">
        <v>3395</v>
      </c>
      <c r="HO2672" s="5" t="s">
        <v>312</v>
      </c>
    </row>
    <row r="2673" spans="1:223" x14ac:dyDescent="0.4">
      <c r="A2673" s="5">
        <v>4377</v>
      </c>
      <c r="B2673" s="5">
        <v>1</v>
      </c>
      <c r="C2673" s="5">
        <v>1</v>
      </c>
      <c r="D2673" s="5" t="s">
        <v>810</v>
      </c>
      <c r="E2673" s="5" t="s">
        <v>245</v>
      </c>
      <c r="F2673" s="5" t="s">
        <v>254</v>
      </c>
      <c r="G2673" s="5" t="s">
        <v>240</v>
      </c>
      <c r="H2673" s="6" t="s">
        <v>4905</v>
      </c>
      <c r="I2673" s="5" t="s">
        <v>809</v>
      </c>
      <c r="J2673" s="8">
        <f>75</f>
        <v>75</v>
      </c>
      <c r="K2673" s="5" t="s">
        <v>308</v>
      </c>
      <c r="L2673" s="7">
        <f>1</f>
        <v>1</v>
      </c>
      <c r="M2673" s="7">
        <f>1</f>
        <v>1</v>
      </c>
      <c r="N2673" s="5" t="s">
        <v>242</v>
      </c>
      <c r="O2673" s="5">
        <v>1</v>
      </c>
      <c r="P2673" s="5" t="s">
        <v>294</v>
      </c>
      <c r="Q2673" s="5" t="s">
        <v>266</v>
      </c>
      <c r="R2673" s="5" t="s">
        <v>240</v>
      </c>
      <c r="S2673" s="5" t="s">
        <v>240</v>
      </c>
      <c r="T2673" s="5" t="s">
        <v>296</v>
      </c>
      <c r="U2673" s="5" t="s">
        <v>244</v>
      </c>
      <c r="V2673" s="5" t="s">
        <v>240</v>
      </c>
      <c r="Y2673" s="5" t="s">
        <v>240</v>
      </c>
      <c r="Z2673" s="6" t="s">
        <v>298</v>
      </c>
      <c r="AB2673" s="6" t="s">
        <v>240</v>
      </c>
      <c r="AE2673" s="6" t="s">
        <v>299</v>
      </c>
      <c r="AF2673" s="5" t="s">
        <v>248</v>
      </c>
      <c r="AG2673" s="5" t="s">
        <v>249</v>
      </c>
      <c r="AW2673" s="5" t="s">
        <v>251</v>
      </c>
      <c r="AX2673" s="5" t="s">
        <v>240</v>
      </c>
      <c r="AY2673" s="5" t="s">
        <v>253</v>
      </c>
      <c r="AZ2673" s="5" t="s">
        <v>240</v>
      </c>
      <c r="BA2673" s="5" t="s">
        <v>255</v>
      </c>
      <c r="BB2673" s="5" t="s">
        <v>240</v>
      </c>
      <c r="BD2673" s="5" t="s">
        <v>240</v>
      </c>
      <c r="BF2673" s="5" t="s">
        <v>301</v>
      </c>
      <c r="BG2673" s="6" t="s">
        <v>299</v>
      </c>
      <c r="BH2673" s="5" t="s">
        <v>302</v>
      </c>
      <c r="BI2673" s="5" t="s">
        <v>303</v>
      </c>
      <c r="BJ2673" s="5" t="s">
        <v>240</v>
      </c>
      <c r="BK2673" s="8">
        <f>0</f>
        <v>0</v>
      </c>
      <c r="BL2673" s="7">
        <f>0</f>
        <v>0</v>
      </c>
      <c r="BM2673" s="5" t="s">
        <v>258</v>
      </c>
      <c r="BN2673" s="5" t="s">
        <v>259</v>
      </c>
      <c r="CB2673" s="5" t="s">
        <v>240</v>
      </c>
      <c r="CC2673" s="5" t="s">
        <v>240</v>
      </c>
      <c r="CG2673" s="5" t="s">
        <v>304</v>
      </c>
      <c r="CH2673" s="5" t="s">
        <v>305</v>
      </c>
      <c r="CI2673" s="5" t="s">
        <v>240</v>
      </c>
      <c r="CL2673" s="6" t="s">
        <v>261</v>
      </c>
      <c r="CM2673" s="5" t="s">
        <v>240</v>
      </c>
      <c r="CN2673" s="5" t="s">
        <v>263</v>
      </c>
      <c r="CO2673" s="5" t="s">
        <v>240</v>
      </c>
      <c r="CP2673" s="5" t="s">
        <v>240</v>
      </c>
      <c r="CQ2673" s="5">
        <v>0</v>
      </c>
      <c r="CR2673" s="5" t="s">
        <v>306</v>
      </c>
      <c r="CS2673" s="5" t="s">
        <v>307</v>
      </c>
      <c r="CT2673" s="5" t="s">
        <v>307</v>
      </c>
      <c r="CU2673" s="5" t="s">
        <v>260</v>
      </c>
      <c r="CX2673" s="7">
        <f>1</f>
        <v>1</v>
      </c>
      <c r="CY2673" s="7">
        <f>0</f>
        <v>0</v>
      </c>
      <c r="DA2673" s="7">
        <f>0</f>
        <v>0</v>
      </c>
      <c r="DC2673" s="5" t="s">
        <v>309</v>
      </c>
      <c r="DD2673" s="5" t="s">
        <v>240</v>
      </c>
      <c r="DF2673" s="5" t="s">
        <v>309</v>
      </c>
      <c r="DG2673" s="7">
        <f>5775</f>
        <v>5775</v>
      </c>
      <c r="DI2673" s="5" t="s">
        <v>240</v>
      </c>
      <c r="DJ2673" s="5" t="s">
        <v>240</v>
      </c>
      <c r="DK2673" s="5" t="s">
        <v>240</v>
      </c>
      <c r="DL2673" s="5" t="s">
        <v>240</v>
      </c>
      <c r="DP2673" s="5" t="s">
        <v>240</v>
      </c>
      <c r="DQ2673" s="5" t="s">
        <v>240</v>
      </c>
      <c r="DR2673" s="5" t="s">
        <v>240</v>
      </c>
      <c r="DS2673" s="5" t="s">
        <v>240</v>
      </c>
      <c r="DV2673" s="5" t="s">
        <v>310</v>
      </c>
      <c r="DW2673" s="5" t="s">
        <v>3397</v>
      </c>
      <c r="HO2673" s="5" t="s">
        <v>312</v>
      </c>
    </row>
    <row r="2674" spans="1:223" x14ac:dyDescent="0.4">
      <c r="A2674" s="5">
        <v>4378</v>
      </c>
      <c r="B2674" s="5">
        <v>1</v>
      </c>
      <c r="C2674" s="5">
        <v>1</v>
      </c>
      <c r="D2674" s="5" t="s">
        <v>810</v>
      </c>
      <c r="E2674" s="5" t="s">
        <v>245</v>
      </c>
      <c r="F2674" s="5" t="s">
        <v>254</v>
      </c>
      <c r="G2674" s="5" t="s">
        <v>240</v>
      </c>
      <c r="H2674" s="6" t="s">
        <v>3196</v>
      </c>
      <c r="I2674" s="5" t="s">
        <v>809</v>
      </c>
      <c r="J2674" s="8">
        <f>344</f>
        <v>344</v>
      </c>
      <c r="K2674" s="5" t="s">
        <v>308</v>
      </c>
      <c r="L2674" s="7">
        <f>1</f>
        <v>1</v>
      </c>
      <c r="M2674" s="7">
        <f>1</f>
        <v>1</v>
      </c>
      <c r="N2674" s="5" t="s">
        <v>242</v>
      </c>
      <c r="O2674" s="5">
        <v>1</v>
      </c>
      <c r="P2674" s="5" t="s">
        <v>294</v>
      </c>
      <c r="Q2674" s="5" t="s">
        <v>266</v>
      </c>
      <c r="R2674" s="5" t="s">
        <v>240</v>
      </c>
      <c r="S2674" s="5" t="s">
        <v>240</v>
      </c>
      <c r="T2674" s="5" t="s">
        <v>296</v>
      </c>
      <c r="U2674" s="5" t="s">
        <v>244</v>
      </c>
      <c r="V2674" s="5" t="s">
        <v>240</v>
      </c>
      <c r="Y2674" s="5" t="s">
        <v>240</v>
      </c>
      <c r="Z2674" s="6" t="s">
        <v>298</v>
      </c>
      <c r="AB2674" s="6" t="s">
        <v>240</v>
      </c>
      <c r="AE2674" s="6" t="s">
        <v>299</v>
      </c>
      <c r="AF2674" s="5" t="s">
        <v>248</v>
      </c>
      <c r="AG2674" s="5" t="s">
        <v>249</v>
      </c>
      <c r="AW2674" s="5" t="s">
        <v>251</v>
      </c>
      <c r="AX2674" s="5" t="s">
        <v>240</v>
      </c>
      <c r="AY2674" s="5" t="s">
        <v>253</v>
      </c>
      <c r="AZ2674" s="5" t="s">
        <v>240</v>
      </c>
      <c r="BA2674" s="5" t="s">
        <v>255</v>
      </c>
      <c r="BB2674" s="5" t="s">
        <v>240</v>
      </c>
      <c r="BD2674" s="5" t="s">
        <v>240</v>
      </c>
      <c r="BF2674" s="5" t="s">
        <v>301</v>
      </c>
      <c r="BG2674" s="6" t="s">
        <v>299</v>
      </c>
      <c r="BH2674" s="5" t="s">
        <v>302</v>
      </c>
      <c r="BI2674" s="5" t="s">
        <v>303</v>
      </c>
      <c r="BJ2674" s="5" t="s">
        <v>240</v>
      </c>
      <c r="BK2674" s="8">
        <f>0</f>
        <v>0</v>
      </c>
      <c r="BL2674" s="7">
        <f>0</f>
        <v>0</v>
      </c>
      <c r="BM2674" s="5" t="s">
        <v>258</v>
      </c>
      <c r="BN2674" s="5" t="s">
        <v>259</v>
      </c>
      <c r="CB2674" s="5" t="s">
        <v>240</v>
      </c>
      <c r="CC2674" s="5" t="s">
        <v>240</v>
      </c>
      <c r="CG2674" s="5" t="s">
        <v>304</v>
      </c>
      <c r="CH2674" s="5" t="s">
        <v>305</v>
      </c>
      <c r="CI2674" s="5" t="s">
        <v>240</v>
      </c>
      <c r="CL2674" s="6" t="s">
        <v>261</v>
      </c>
      <c r="CM2674" s="5" t="s">
        <v>240</v>
      </c>
      <c r="CN2674" s="5" t="s">
        <v>263</v>
      </c>
      <c r="CO2674" s="5" t="s">
        <v>240</v>
      </c>
      <c r="CP2674" s="5" t="s">
        <v>240</v>
      </c>
      <c r="CQ2674" s="5">
        <v>0</v>
      </c>
      <c r="CR2674" s="5" t="s">
        <v>306</v>
      </c>
      <c r="CS2674" s="5" t="s">
        <v>307</v>
      </c>
      <c r="CT2674" s="5" t="s">
        <v>307</v>
      </c>
      <c r="CU2674" s="5" t="s">
        <v>260</v>
      </c>
      <c r="CX2674" s="7">
        <f>1</f>
        <v>1</v>
      </c>
      <c r="CY2674" s="7">
        <f>0</f>
        <v>0</v>
      </c>
      <c r="DA2674" s="7">
        <f>0</f>
        <v>0</v>
      </c>
      <c r="DC2674" s="5" t="s">
        <v>309</v>
      </c>
      <c r="DD2674" s="5" t="s">
        <v>240</v>
      </c>
      <c r="DF2674" s="5" t="s">
        <v>309</v>
      </c>
      <c r="DG2674" s="7">
        <f>1754</f>
        <v>1754</v>
      </c>
      <c r="DI2674" s="5" t="s">
        <v>240</v>
      </c>
      <c r="DJ2674" s="5" t="s">
        <v>240</v>
      </c>
      <c r="DK2674" s="5" t="s">
        <v>240</v>
      </c>
      <c r="DL2674" s="5" t="s">
        <v>240</v>
      </c>
      <c r="DP2674" s="5" t="s">
        <v>240</v>
      </c>
      <c r="DQ2674" s="5" t="s">
        <v>240</v>
      </c>
      <c r="DR2674" s="5" t="s">
        <v>240</v>
      </c>
      <c r="DS2674" s="5" t="s">
        <v>240</v>
      </c>
      <c r="DV2674" s="5" t="s">
        <v>310</v>
      </c>
      <c r="DW2674" s="5" t="s">
        <v>3399</v>
      </c>
      <c r="HO2674" s="5" t="s">
        <v>312</v>
      </c>
    </row>
    <row r="2675" spans="1:223" x14ac:dyDescent="0.4">
      <c r="A2675" s="5">
        <v>4379</v>
      </c>
      <c r="B2675" s="5">
        <v>1</v>
      </c>
      <c r="C2675" s="5">
        <v>1</v>
      </c>
      <c r="D2675" s="5" t="s">
        <v>810</v>
      </c>
      <c r="E2675" s="5" t="s">
        <v>245</v>
      </c>
      <c r="F2675" s="5" t="s">
        <v>254</v>
      </c>
      <c r="G2675" s="5" t="s">
        <v>240</v>
      </c>
      <c r="H2675" s="6" t="s">
        <v>3194</v>
      </c>
      <c r="I2675" s="5" t="s">
        <v>809</v>
      </c>
      <c r="J2675" s="8">
        <f>316</f>
        <v>316</v>
      </c>
      <c r="K2675" s="5" t="s">
        <v>308</v>
      </c>
      <c r="L2675" s="7">
        <f>1</f>
        <v>1</v>
      </c>
      <c r="M2675" s="7">
        <f>1</f>
        <v>1</v>
      </c>
      <c r="N2675" s="5" t="s">
        <v>242</v>
      </c>
      <c r="O2675" s="5">
        <v>1</v>
      </c>
      <c r="P2675" s="5" t="s">
        <v>294</v>
      </c>
      <c r="Q2675" s="5" t="s">
        <v>266</v>
      </c>
      <c r="R2675" s="5" t="s">
        <v>240</v>
      </c>
      <c r="S2675" s="5" t="s">
        <v>240</v>
      </c>
      <c r="T2675" s="5" t="s">
        <v>296</v>
      </c>
      <c r="U2675" s="5" t="s">
        <v>244</v>
      </c>
      <c r="V2675" s="5" t="s">
        <v>240</v>
      </c>
      <c r="Y2675" s="5" t="s">
        <v>240</v>
      </c>
      <c r="Z2675" s="6" t="s">
        <v>298</v>
      </c>
      <c r="AB2675" s="6" t="s">
        <v>240</v>
      </c>
      <c r="AE2675" s="6" t="s">
        <v>299</v>
      </c>
      <c r="AF2675" s="5" t="s">
        <v>248</v>
      </c>
      <c r="AG2675" s="5" t="s">
        <v>249</v>
      </c>
      <c r="AW2675" s="5" t="s">
        <v>251</v>
      </c>
      <c r="AX2675" s="5" t="s">
        <v>240</v>
      </c>
      <c r="AY2675" s="5" t="s">
        <v>253</v>
      </c>
      <c r="AZ2675" s="5" t="s">
        <v>240</v>
      </c>
      <c r="BA2675" s="5" t="s">
        <v>255</v>
      </c>
      <c r="BB2675" s="5" t="s">
        <v>240</v>
      </c>
      <c r="BD2675" s="5" t="s">
        <v>240</v>
      </c>
      <c r="BF2675" s="5" t="s">
        <v>301</v>
      </c>
      <c r="BG2675" s="6" t="s">
        <v>299</v>
      </c>
      <c r="BH2675" s="5" t="s">
        <v>302</v>
      </c>
      <c r="BI2675" s="5" t="s">
        <v>303</v>
      </c>
      <c r="BJ2675" s="5" t="s">
        <v>240</v>
      </c>
      <c r="BK2675" s="8">
        <f>0</f>
        <v>0</v>
      </c>
      <c r="BL2675" s="7">
        <f>0</f>
        <v>0</v>
      </c>
      <c r="BM2675" s="5" t="s">
        <v>258</v>
      </c>
      <c r="BN2675" s="5" t="s">
        <v>259</v>
      </c>
      <c r="CB2675" s="5" t="s">
        <v>240</v>
      </c>
      <c r="CC2675" s="5" t="s">
        <v>240</v>
      </c>
      <c r="CG2675" s="5" t="s">
        <v>304</v>
      </c>
      <c r="CH2675" s="5" t="s">
        <v>305</v>
      </c>
      <c r="CI2675" s="5" t="s">
        <v>240</v>
      </c>
      <c r="CL2675" s="6" t="s">
        <v>261</v>
      </c>
      <c r="CM2675" s="5" t="s">
        <v>240</v>
      </c>
      <c r="CN2675" s="5" t="s">
        <v>263</v>
      </c>
      <c r="CO2675" s="5" t="s">
        <v>240</v>
      </c>
      <c r="CP2675" s="5" t="s">
        <v>240</v>
      </c>
      <c r="CQ2675" s="5">
        <v>0</v>
      </c>
      <c r="CR2675" s="5" t="s">
        <v>306</v>
      </c>
      <c r="CS2675" s="5" t="s">
        <v>307</v>
      </c>
      <c r="CT2675" s="5" t="s">
        <v>307</v>
      </c>
      <c r="CU2675" s="5" t="s">
        <v>260</v>
      </c>
      <c r="CX2675" s="7">
        <f>1</f>
        <v>1</v>
      </c>
      <c r="CY2675" s="7">
        <f>0</f>
        <v>0</v>
      </c>
      <c r="DA2675" s="7">
        <f>0</f>
        <v>0</v>
      </c>
      <c r="DC2675" s="5" t="s">
        <v>309</v>
      </c>
      <c r="DD2675" s="5" t="s">
        <v>240</v>
      </c>
      <c r="DF2675" s="5" t="s">
        <v>309</v>
      </c>
      <c r="DG2675" s="7">
        <f>1039</f>
        <v>1039</v>
      </c>
      <c r="DI2675" s="5" t="s">
        <v>240</v>
      </c>
      <c r="DJ2675" s="5" t="s">
        <v>240</v>
      </c>
      <c r="DK2675" s="5" t="s">
        <v>240</v>
      </c>
      <c r="DL2675" s="5" t="s">
        <v>240</v>
      </c>
      <c r="DP2675" s="5" t="s">
        <v>240</v>
      </c>
      <c r="DQ2675" s="5" t="s">
        <v>240</v>
      </c>
      <c r="DR2675" s="5" t="s">
        <v>240</v>
      </c>
      <c r="DS2675" s="5" t="s">
        <v>240</v>
      </c>
      <c r="DV2675" s="5" t="s">
        <v>310</v>
      </c>
      <c r="DW2675" s="5" t="s">
        <v>3401</v>
      </c>
      <c r="HO2675" s="5" t="s">
        <v>312</v>
      </c>
    </row>
    <row r="2676" spans="1:223" x14ac:dyDescent="0.4">
      <c r="A2676" s="5">
        <v>4380</v>
      </c>
      <c r="B2676" s="5">
        <v>1</v>
      </c>
      <c r="C2676" s="5">
        <v>1</v>
      </c>
      <c r="D2676" s="5" t="s">
        <v>810</v>
      </c>
      <c r="E2676" s="5" t="s">
        <v>245</v>
      </c>
      <c r="F2676" s="5" t="s">
        <v>254</v>
      </c>
      <c r="G2676" s="5" t="s">
        <v>240</v>
      </c>
      <c r="H2676" s="6" t="s">
        <v>3192</v>
      </c>
      <c r="I2676" s="5" t="s">
        <v>809</v>
      </c>
      <c r="J2676" s="8">
        <f>762</f>
        <v>762</v>
      </c>
      <c r="K2676" s="5" t="s">
        <v>308</v>
      </c>
      <c r="L2676" s="7">
        <f>1</f>
        <v>1</v>
      </c>
      <c r="M2676" s="7">
        <f>1</f>
        <v>1</v>
      </c>
      <c r="N2676" s="5" t="s">
        <v>242</v>
      </c>
      <c r="O2676" s="5">
        <v>1</v>
      </c>
      <c r="P2676" s="5" t="s">
        <v>294</v>
      </c>
      <c r="Q2676" s="5" t="s">
        <v>266</v>
      </c>
      <c r="R2676" s="5" t="s">
        <v>240</v>
      </c>
      <c r="S2676" s="5" t="s">
        <v>240</v>
      </c>
      <c r="T2676" s="5" t="s">
        <v>296</v>
      </c>
      <c r="U2676" s="5" t="s">
        <v>244</v>
      </c>
      <c r="V2676" s="5" t="s">
        <v>240</v>
      </c>
      <c r="Y2676" s="5" t="s">
        <v>240</v>
      </c>
      <c r="Z2676" s="6" t="s">
        <v>298</v>
      </c>
      <c r="AB2676" s="6" t="s">
        <v>240</v>
      </c>
      <c r="AE2676" s="6" t="s">
        <v>299</v>
      </c>
      <c r="AF2676" s="5" t="s">
        <v>248</v>
      </c>
      <c r="AG2676" s="5" t="s">
        <v>249</v>
      </c>
      <c r="AW2676" s="5" t="s">
        <v>251</v>
      </c>
      <c r="AX2676" s="5" t="s">
        <v>240</v>
      </c>
      <c r="AY2676" s="5" t="s">
        <v>253</v>
      </c>
      <c r="AZ2676" s="5" t="s">
        <v>240</v>
      </c>
      <c r="BA2676" s="5" t="s">
        <v>255</v>
      </c>
      <c r="BB2676" s="5" t="s">
        <v>240</v>
      </c>
      <c r="BD2676" s="5" t="s">
        <v>240</v>
      </c>
      <c r="BF2676" s="5" t="s">
        <v>301</v>
      </c>
      <c r="BG2676" s="6" t="s">
        <v>299</v>
      </c>
      <c r="BH2676" s="5" t="s">
        <v>302</v>
      </c>
      <c r="BI2676" s="5" t="s">
        <v>303</v>
      </c>
      <c r="BJ2676" s="5" t="s">
        <v>240</v>
      </c>
      <c r="BK2676" s="8">
        <f>0</f>
        <v>0</v>
      </c>
      <c r="BL2676" s="7">
        <f>0</f>
        <v>0</v>
      </c>
      <c r="BM2676" s="5" t="s">
        <v>258</v>
      </c>
      <c r="BN2676" s="5" t="s">
        <v>259</v>
      </c>
      <c r="CB2676" s="5" t="s">
        <v>240</v>
      </c>
      <c r="CC2676" s="5" t="s">
        <v>240</v>
      </c>
      <c r="CG2676" s="5" t="s">
        <v>304</v>
      </c>
      <c r="CH2676" s="5" t="s">
        <v>305</v>
      </c>
      <c r="CI2676" s="5" t="s">
        <v>240</v>
      </c>
      <c r="CL2676" s="6" t="s">
        <v>261</v>
      </c>
      <c r="CM2676" s="5" t="s">
        <v>240</v>
      </c>
      <c r="CN2676" s="5" t="s">
        <v>263</v>
      </c>
      <c r="CO2676" s="5" t="s">
        <v>240</v>
      </c>
      <c r="CP2676" s="5" t="s">
        <v>240</v>
      </c>
      <c r="CQ2676" s="5">
        <v>0</v>
      </c>
      <c r="CR2676" s="5" t="s">
        <v>306</v>
      </c>
      <c r="CS2676" s="5" t="s">
        <v>307</v>
      </c>
      <c r="CT2676" s="5" t="s">
        <v>307</v>
      </c>
      <c r="CU2676" s="5" t="s">
        <v>260</v>
      </c>
      <c r="CX2676" s="7">
        <f>1</f>
        <v>1</v>
      </c>
      <c r="CY2676" s="7">
        <f>0</f>
        <v>0</v>
      </c>
      <c r="DA2676" s="7">
        <f>0</f>
        <v>0</v>
      </c>
      <c r="DC2676" s="5" t="s">
        <v>309</v>
      </c>
      <c r="DD2676" s="5" t="s">
        <v>240</v>
      </c>
      <c r="DF2676" s="5" t="s">
        <v>309</v>
      </c>
      <c r="DG2676" s="7">
        <f>2848</f>
        <v>2848</v>
      </c>
      <c r="DI2676" s="5" t="s">
        <v>240</v>
      </c>
      <c r="DJ2676" s="5" t="s">
        <v>240</v>
      </c>
      <c r="DK2676" s="5" t="s">
        <v>240</v>
      </c>
      <c r="DL2676" s="5" t="s">
        <v>240</v>
      </c>
      <c r="DP2676" s="5" t="s">
        <v>240</v>
      </c>
      <c r="DQ2676" s="5" t="s">
        <v>240</v>
      </c>
      <c r="DR2676" s="5" t="s">
        <v>240</v>
      </c>
      <c r="DS2676" s="5" t="s">
        <v>240</v>
      </c>
      <c r="DV2676" s="5" t="s">
        <v>310</v>
      </c>
      <c r="DW2676" s="5" t="s">
        <v>3403</v>
      </c>
      <c r="HO2676" s="5" t="s">
        <v>312</v>
      </c>
    </row>
    <row r="2677" spans="1:223" x14ac:dyDescent="0.4">
      <c r="A2677" s="5">
        <v>4381</v>
      </c>
      <c r="B2677" s="5">
        <v>1</v>
      </c>
      <c r="C2677" s="5">
        <v>1</v>
      </c>
      <c r="D2677" s="5" t="s">
        <v>810</v>
      </c>
      <c r="E2677" s="5" t="s">
        <v>245</v>
      </c>
      <c r="F2677" s="5" t="s">
        <v>254</v>
      </c>
      <c r="G2677" s="5" t="s">
        <v>240</v>
      </c>
      <c r="H2677" s="6" t="s">
        <v>4903</v>
      </c>
      <c r="I2677" s="5" t="s">
        <v>809</v>
      </c>
      <c r="J2677" s="8">
        <f>332</f>
        <v>332</v>
      </c>
      <c r="K2677" s="5" t="s">
        <v>308</v>
      </c>
      <c r="L2677" s="7">
        <f>1</f>
        <v>1</v>
      </c>
      <c r="M2677" s="7">
        <f>1</f>
        <v>1</v>
      </c>
      <c r="N2677" s="5" t="s">
        <v>242</v>
      </c>
      <c r="O2677" s="5">
        <v>1</v>
      </c>
      <c r="P2677" s="5" t="s">
        <v>294</v>
      </c>
      <c r="Q2677" s="5" t="s">
        <v>266</v>
      </c>
      <c r="R2677" s="5" t="s">
        <v>240</v>
      </c>
      <c r="S2677" s="5" t="s">
        <v>240</v>
      </c>
      <c r="T2677" s="5" t="s">
        <v>296</v>
      </c>
      <c r="U2677" s="5" t="s">
        <v>244</v>
      </c>
      <c r="V2677" s="5" t="s">
        <v>240</v>
      </c>
      <c r="Y2677" s="5" t="s">
        <v>240</v>
      </c>
      <c r="Z2677" s="6" t="s">
        <v>298</v>
      </c>
      <c r="AB2677" s="6" t="s">
        <v>240</v>
      </c>
      <c r="AE2677" s="6" t="s">
        <v>299</v>
      </c>
      <c r="AF2677" s="5" t="s">
        <v>248</v>
      </c>
      <c r="AG2677" s="5" t="s">
        <v>249</v>
      </c>
      <c r="AW2677" s="5" t="s">
        <v>251</v>
      </c>
      <c r="AX2677" s="5" t="s">
        <v>240</v>
      </c>
      <c r="AY2677" s="5" t="s">
        <v>253</v>
      </c>
      <c r="AZ2677" s="5" t="s">
        <v>240</v>
      </c>
      <c r="BA2677" s="5" t="s">
        <v>255</v>
      </c>
      <c r="BB2677" s="5" t="s">
        <v>240</v>
      </c>
      <c r="BD2677" s="5" t="s">
        <v>240</v>
      </c>
      <c r="BF2677" s="5" t="s">
        <v>301</v>
      </c>
      <c r="BG2677" s="6" t="s">
        <v>299</v>
      </c>
      <c r="BH2677" s="5" t="s">
        <v>302</v>
      </c>
      <c r="BI2677" s="5" t="s">
        <v>303</v>
      </c>
      <c r="BJ2677" s="5" t="s">
        <v>240</v>
      </c>
      <c r="BK2677" s="8">
        <f>0</f>
        <v>0</v>
      </c>
      <c r="BL2677" s="7">
        <f>0</f>
        <v>0</v>
      </c>
      <c r="BM2677" s="5" t="s">
        <v>258</v>
      </c>
      <c r="BN2677" s="5" t="s">
        <v>259</v>
      </c>
      <c r="CB2677" s="5" t="s">
        <v>240</v>
      </c>
      <c r="CC2677" s="5" t="s">
        <v>240</v>
      </c>
      <c r="CG2677" s="5" t="s">
        <v>304</v>
      </c>
      <c r="CH2677" s="5" t="s">
        <v>305</v>
      </c>
      <c r="CI2677" s="5" t="s">
        <v>240</v>
      </c>
      <c r="CL2677" s="6" t="s">
        <v>261</v>
      </c>
      <c r="CM2677" s="5" t="s">
        <v>240</v>
      </c>
      <c r="CN2677" s="5" t="s">
        <v>263</v>
      </c>
      <c r="CO2677" s="5" t="s">
        <v>240</v>
      </c>
      <c r="CP2677" s="5" t="s">
        <v>240</v>
      </c>
      <c r="CQ2677" s="5">
        <v>0</v>
      </c>
      <c r="CR2677" s="5" t="s">
        <v>306</v>
      </c>
      <c r="CS2677" s="5" t="s">
        <v>307</v>
      </c>
      <c r="CT2677" s="5" t="s">
        <v>307</v>
      </c>
      <c r="CU2677" s="5" t="s">
        <v>260</v>
      </c>
      <c r="CX2677" s="7">
        <f>1</f>
        <v>1</v>
      </c>
      <c r="CY2677" s="7">
        <f>0</f>
        <v>0</v>
      </c>
      <c r="DA2677" s="7">
        <f>0</f>
        <v>0</v>
      </c>
      <c r="DC2677" s="5" t="s">
        <v>309</v>
      </c>
      <c r="DD2677" s="5" t="s">
        <v>240</v>
      </c>
      <c r="DF2677" s="5" t="s">
        <v>309</v>
      </c>
      <c r="DG2677" s="7">
        <f>2678</f>
        <v>2678</v>
      </c>
      <c r="DI2677" s="5" t="s">
        <v>240</v>
      </c>
      <c r="DJ2677" s="5" t="s">
        <v>240</v>
      </c>
      <c r="DK2677" s="5" t="s">
        <v>240</v>
      </c>
      <c r="DL2677" s="5" t="s">
        <v>240</v>
      </c>
      <c r="DP2677" s="5" t="s">
        <v>240</v>
      </c>
      <c r="DQ2677" s="5" t="s">
        <v>240</v>
      </c>
      <c r="DR2677" s="5" t="s">
        <v>240</v>
      </c>
      <c r="DS2677" s="5" t="s">
        <v>240</v>
      </c>
      <c r="DV2677" s="5" t="s">
        <v>310</v>
      </c>
      <c r="DW2677" s="5" t="s">
        <v>3405</v>
      </c>
      <c r="HO2677" s="5" t="s">
        <v>312</v>
      </c>
    </row>
    <row r="2678" spans="1:223" x14ac:dyDescent="0.4">
      <c r="A2678" s="5">
        <v>4382</v>
      </c>
      <c r="B2678" s="5">
        <v>1</v>
      </c>
      <c r="C2678" s="5">
        <v>1</v>
      </c>
      <c r="D2678" s="5" t="s">
        <v>810</v>
      </c>
      <c r="E2678" s="5" t="s">
        <v>245</v>
      </c>
      <c r="F2678" s="5" t="s">
        <v>254</v>
      </c>
      <c r="G2678" s="5" t="s">
        <v>240</v>
      </c>
      <c r="H2678" s="6" t="s">
        <v>3189</v>
      </c>
      <c r="I2678" s="5" t="s">
        <v>809</v>
      </c>
      <c r="J2678" s="8">
        <f>2344</f>
        <v>2344</v>
      </c>
      <c r="K2678" s="5" t="s">
        <v>308</v>
      </c>
      <c r="L2678" s="7">
        <f>1</f>
        <v>1</v>
      </c>
      <c r="M2678" s="7">
        <f>1</f>
        <v>1</v>
      </c>
      <c r="N2678" s="5" t="s">
        <v>242</v>
      </c>
      <c r="O2678" s="5">
        <v>1</v>
      </c>
      <c r="P2678" s="5" t="s">
        <v>294</v>
      </c>
      <c r="Q2678" s="5" t="s">
        <v>266</v>
      </c>
      <c r="R2678" s="5" t="s">
        <v>240</v>
      </c>
      <c r="S2678" s="5" t="s">
        <v>240</v>
      </c>
      <c r="T2678" s="5" t="s">
        <v>296</v>
      </c>
      <c r="U2678" s="5" t="s">
        <v>244</v>
      </c>
      <c r="V2678" s="5" t="s">
        <v>240</v>
      </c>
      <c r="Y2678" s="5" t="s">
        <v>240</v>
      </c>
      <c r="Z2678" s="6" t="s">
        <v>298</v>
      </c>
      <c r="AB2678" s="6" t="s">
        <v>240</v>
      </c>
      <c r="AE2678" s="6" t="s">
        <v>299</v>
      </c>
      <c r="AF2678" s="5" t="s">
        <v>248</v>
      </c>
      <c r="AG2678" s="5" t="s">
        <v>249</v>
      </c>
      <c r="AW2678" s="5" t="s">
        <v>251</v>
      </c>
      <c r="AX2678" s="5" t="s">
        <v>240</v>
      </c>
      <c r="AY2678" s="5" t="s">
        <v>253</v>
      </c>
      <c r="AZ2678" s="5" t="s">
        <v>240</v>
      </c>
      <c r="BA2678" s="5" t="s">
        <v>255</v>
      </c>
      <c r="BB2678" s="5" t="s">
        <v>240</v>
      </c>
      <c r="BD2678" s="5" t="s">
        <v>240</v>
      </c>
      <c r="BF2678" s="5" t="s">
        <v>301</v>
      </c>
      <c r="BG2678" s="6" t="s">
        <v>299</v>
      </c>
      <c r="BH2678" s="5" t="s">
        <v>302</v>
      </c>
      <c r="BI2678" s="5" t="s">
        <v>303</v>
      </c>
      <c r="BJ2678" s="5" t="s">
        <v>240</v>
      </c>
      <c r="BK2678" s="8">
        <f>0</f>
        <v>0</v>
      </c>
      <c r="BL2678" s="7">
        <f>0</f>
        <v>0</v>
      </c>
      <c r="BM2678" s="5" t="s">
        <v>258</v>
      </c>
      <c r="BN2678" s="5" t="s">
        <v>259</v>
      </c>
      <c r="CB2678" s="5" t="s">
        <v>240</v>
      </c>
      <c r="CC2678" s="5" t="s">
        <v>240</v>
      </c>
      <c r="CG2678" s="5" t="s">
        <v>304</v>
      </c>
      <c r="CH2678" s="5" t="s">
        <v>305</v>
      </c>
      <c r="CI2678" s="5" t="s">
        <v>240</v>
      </c>
      <c r="CL2678" s="6" t="s">
        <v>261</v>
      </c>
      <c r="CM2678" s="5" t="s">
        <v>240</v>
      </c>
      <c r="CN2678" s="5" t="s">
        <v>263</v>
      </c>
      <c r="CO2678" s="5" t="s">
        <v>240</v>
      </c>
      <c r="CP2678" s="5" t="s">
        <v>240</v>
      </c>
      <c r="CQ2678" s="5">
        <v>0</v>
      </c>
      <c r="CR2678" s="5" t="s">
        <v>306</v>
      </c>
      <c r="CS2678" s="5" t="s">
        <v>307</v>
      </c>
      <c r="CT2678" s="5" t="s">
        <v>307</v>
      </c>
      <c r="CU2678" s="5" t="s">
        <v>260</v>
      </c>
      <c r="CX2678" s="7">
        <f>1</f>
        <v>1</v>
      </c>
      <c r="CY2678" s="7">
        <f>0</f>
        <v>0</v>
      </c>
      <c r="DA2678" s="7">
        <f>0</f>
        <v>0</v>
      </c>
      <c r="DC2678" s="5" t="s">
        <v>812</v>
      </c>
      <c r="DD2678" s="5" t="s">
        <v>240</v>
      </c>
      <c r="DF2678" s="5" t="s">
        <v>812</v>
      </c>
      <c r="DG2678" s="7">
        <f>1402</f>
        <v>1402</v>
      </c>
      <c r="DI2678" s="5" t="s">
        <v>240</v>
      </c>
      <c r="DJ2678" s="5" t="s">
        <v>240</v>
      </c>
      <c r="DK2678" s="5" t="s">
        <v>240</v>
      </c>
      <c r="DL2678" s="5" t="s">
        <v>240</v>
      </c>
      <c r="DP2678" s="5" t="s">
        <v>240</v>
      </c>
      <c r="DQ2678" s="5" t="s">
        <v>240</v>
      </c>
      <c r="DR2678" s="5" t="s">
        <v>240</v>
      </c>
      <c r="DS2678" s="5" t="s">
        <v>240</v>
      </c>
      <c r="DV2678" s="5" t="s">
        <v>813</v>
      </c>
      <c r="DW2678" s="5" t="s">
        <v>4805</v>
      </c>
      <c r="HO2678" s="5" t="s">
        <v>312</v>
      </c>
    </row>
    <row r="2679" spans="1:223" x14ac:dyDescent="0.4">
      <c r="A2679" s="5">
        <v>4383</v>
      </c>
      <c r="B2679" s="5">
        <v>1</v>
      </c>
      <c r="C2679" s="5">
        <v>1</v>
      </c>
      <c r="D2679" s="5" t="s">
        <v>810</v>
      </c>
      <c r="E2679" s="5" t="s">
        <v>245</v>
      </c>
      <c r="F2679" s="5" t="s">
        <v>254</v>
      </c>
      <c r="G2679" s="5" t="s">
        <v>240</v>
      </c>
      <c r="H2679" s="6" t="s">
        <v>3187</v>
      </c>
      <c r="I2679" s="5" t="s">
        <v>809</v>
      </c>
      <c r="J2679" s="8">
        <f>1541</f>
        <v>1541</v>
      </c>
      <c r="K2679" s="5" t="s">
        <v>308</v>
      </c>
      <c r="L2679" s="7">
        <f>1</f>
        <v>1</v>
      </c>
      <c r="M2679" s="7">
        <f>1</f>
        <v>1</v>
      </c>
      <c r="N2679" s="5" t="s">
        <v>242</v>
      </c>
      <c r="O2679" s="5">
        <v>1</v>
      </c>
      <c r="P2679" s="5" t="s">
        <v>294</v>
      </c>
      <c r="Q2679" s="5" t="s">
        <v>266</v>
      </c>
      <c r="R2679" s="5" t="s">
        <v>240</v>
      </c>
      <c r="S2679" s="5" t="s">
        <v>240</v>
      </c>
      <c r="T2679" s="5" t="s">
        <v>296</v>
      </c>
      <c r="U2679" s="5" t="s">
        <v>244</v>
      </c>
      <c r="V2679" s="5" t="s">
        <v>240</v>
      </c>
      <c r="Y2679" s="5" t="s">
        <v>240</v>
      </c>
      <c r="Z2679" s="6" t="s">
        <v>298</v>
      </c>
      <c r="AB2679" s="6" t="s">
        <v>240</v>
      </c>
      <c r="AE2679" s="6" t="s">
        <v>299</v>
      </c>
      <c r="AF2679" s="5" t="s">
        <v>248</v>
      </c>
      <c r="AG2679" s="5" t="s">
        <v>249</v>
      </c>
      <c r="AW2679" s="5" t="s">
        <v>251</v>
      </c>
      <c r="AX2679" s="5" t="s">
        <v>240</v>
      </c>
      <c r="AY2679" s="5" t="s">
        <v>253</v>
      </c>
      <c r="AZ2679" s="5" t="s">
        <v>240</v>
      </c>
      <c r="BA2679" s="5" t="s">
        <v>255</v>
      </c>
      <c r="BB2679" s="5" t="s">
        <v>240</v>
      </c>
      <c r="BD2679" s="5" t="s">
        <v>240</v>
      </c>
      <c r="BF2679" s="5" t="s">
        <v>301</v>
      </c>
      <c r="BG2679" s="6" t="s">
        <v>299</v>
      </c>
      <c r="BH2679" s="5" t="s">
        <v>302</v>
      </c>
      <c r="BI2679" s="5" t="s">
        <v>303</v>
      </c>
      <c r="BJ2679" s="5" t="s">
        <v>240</v>
      </c>
      <c r="BK2679" s="8">
        <f>0</f>
        <v>0</v>
      </c>
      <c r="BL2679" s="7">
        <f>0</f>
        <v>0</v>
      </c>
      <c r="BM2679" s="5" t="s">
        <v>258</v>
      </c>
      <c r="BN2679" s="5" t="s">
        <v>259</v>
      </c>
      <c r="CB2679" s="5" t="s">
        <v>240</v>
      </c>
      <c r="CC2679" s="5" t="s">
        <v>240</v>
      </c>
      <c r="CG2679" s="5" t="s">
        <v>304</v>
      </c>
      <c r="CH2679" s="5" t="s">
        <v>305</v>
      </c>
      <c r="CI2679" s="5" t="s">
        <v>240</v>
      </c>
      <c r="CL2679" s="6" t="s">
        <v>261</v>
      </c>
      <c r="CM2679" s="5" t="s">
        <v>240</v>
      </c>
      <c r="CN2679" s="5" t="s">
        <v>263</v>
      </c>
      <c r="CO2679" s="5" t="s">
        <v>240</v>
      </c>
      <c r="CP2679" s="5" t="s">
        <v>240</v>
      </c>
      <c r="CQ2679" s="5">
        <v>0</v>
      </c>
      <c r="CR2679" s="5" t="s">
        <v>306</v>
      </c>
      <c r="CS2679" s="5" t="s">
        <v>307</v>
      </c>
      <c r="CT2679" s="5" t="s">
        <v>307</v>
      </c>
      <c r="CU2679" s="5" t="s">
        <v>260</v>
      </c>
      <c r="CX2679" s="7">
        <f>1</f>
        <v>1</v>
      </c>
      <c r="CY2679" s="7">
        <f>0</f>
        <v>0</v>
      </c>
      <c r="DA2679" s="7">
        <f>0</f>
        <v>0</v>
      </c>
      <c r="DC2679" s="5" t="s">
        <v>309</v>
      </c>
      <c r="DD2679" s="5" t="s">
        <v>240</v>
      </c>
      <c r="DF2679" s="5" t="s">
        <v>309</v>
      </c>
      <c r="DG2679" s="7">
        <f>2230</f>
        <v>2230</v>
      </c>
      <c r="DI2679" s="5" t="s">
        <v>240</v>
      </c>
      <c r="DJ2679" s="5" t="s">
        <v>240</v>
      </c>
      <c r="DK2679" s="5" t="s">
        <v>240</v>
      </c>
      <c r="DL2679" s="5" t="s">
        <v>240</v>
      </c>
      <c r="DP2679" s="5" t="s">
        <v>240</v>
      </c>
      <c r="DQ2679" s="5" t="s">
        <v>240</v>
      </c>
      <c r="DR2679" s="5" t="s">
        <v>240</v>
      </c>
      <c r="DS2679" s="5" t="s">
        <v>240</v>
      </c>
      <c r="DV2679" s="5" t="s">
        <v>310</v>
      </c>
      <c r="DW2679" s="5" t="s">
        <v>3409</v>
      </c>
      <c r="HO2679" s="5" t="s">
        <v>312</v>
      </c>
    </row>
    <row r="2680" spans="1:223" x14ac:dyDescent="0.4">
      <c r="A2680" s="5">
        <v>4384</v>
      </c>
      <c r="B2680" s="5">
        <v>1</v>
      </c>
      <c r="C2680" s="5">
        <v>1</v>
      </c>
      <c r="D2680" s="5" t="s">
        <v>810</v>
      </c>
      <c r="E2680" s="5" t="s">
        <v>245</v>
      </c>
      <c r="F2680" s="5" t="s">
        <v>254</v>
      </c>
      <c r="G2680" s="5" t="s">
        <v>240</v>
      </c>
      <c r="H2680" s="6" t="s">
        <v>3185</v>
      </c>
      <c r="I2680" s="5" t="s">
        <v>809</v>
      </c>
      <c r="J2680" s="8">
        <f>2352</f>
        <v>2352</v>
      </c>
      <c r="K2680" s="5" t="s">
        <v>308</v>
      </c>
      <c r="L2680" s="7">
        <f>1</f>
        <v>1</v>
      </c>
      <c r="M2680" s="7">
        <f>1</f>
        <v>1</v>
      </c>
      <c r="N2680" s="5" t="s">
        <v>242</v>
      </c>
      <c r="O2680" s="5">
        <v>1</v>
      </c>
      <c r="P2680" s="5" t="s">
        <v>294</v>
      </c>
      <c r="Q2680" s="5" t="s">
        <v>266</v>
      </c>
      <c r="R2680" s="5" t="s">
        <v>240</v>
      </c>
      <c r="S2680" s="5" t="s">
        <v>240</v>
      </c>
      <c r="T2680" s="5" t="s">
        <v>296</v>
      </c>
      <c r="U2680" s="5" t="s">
        <v>244</v>
      </c>
      <c r="V2680" s="5" t="s">
        <v>240</v>
      </c>
      <c r="Y2680" s="5" t="s">
        <v>240</v>
      </c>
      <c r="Z2680" s="6" t="s">
        <v>298</v>
      </c>
      <c r="AB2680" s="6" t="s">
        <v>240</v>
      </c>
      <c r="AE2680" s="6" t="s">
        <v>299</v>
      </c>
      <c r="AF2680" s="5" t="s">
        <v>248</v>
      </c>
      <c r="AG2680" s="5" t="s">
        <v>249</v>
      </c>
      <c r="AW2680" s="5" t="s">
        <v>251</v>
      </c>
      <c r="AX2680" s="5" t="s">
        <v>240</v>
      </c>
      <c r="AY2680" s="5" t="s">
        <v>253</v>
      </c>
      <c r="AZ2680" s="5" t="s">
        <v>240</v>
      </c>
      <c r="BA2680" s="5" t="s">
        <v>255</v>
      </c>
      <c r="BB2680" s="5" t="s">
        <v>240</v>
      </c>
      <c r="BD2680" s="5" t="s">
        <v>240</v>
      </c>
      <c r="BF2680" s="5" t="s">
        <v>301</v>
      </c>
      <c r="BG2680" s="6" t="s">
        <v>299</v>
      </c>
      <c r="BH2680" s="5" t="s">
        <v>302</v>
      </c>
      <c r="BI2680" s="5" t="s">
        <v>303</v>
      </c>
      <c r="BJ2680" s="5" t="s">
        <v>240</v>
      </c>
      <c r="BK2680" s="8">
        <f>0</f>
        <v>0</v>
      </c>
      <c r="BL2680" s="7">
        <f>0</f>
        <v>0</v>
      </c>
      <c r="BM2680" s="5" t="s">
        <v>258</v>
      </c>
      <c r="BN2680" s="5" t="s">
        <v>259</v>
      </c>
      <c r="CB2680" s="5" t="s">
        <v>240</v>
      </c>
      <c r="CC2680" s="5" t="s">
        <v>240</v>
      </c>
      <c r="CG2680" s="5" t="s">
        <v>304</v>
      </c>
      <c r="CH2680" s="5" t="s">
        <v>305</v>
      </c>
      <c r="CI2680" s="5" t="s">
        <v>240</v>
      </c>
      <c r="CL2680" s="6" t="s">
        <v>261</v>
      </c>
      <c r="CM2680" s="5" t="s">
        <v>240</v>
      </c>
      <c r="CN2680" s="5" t="s">
        <v>263</v>
      </c>
      <c r="CO2680" s="5" t="s">
        <v>240</v>
      </c>
      <c r="CP2680" s="5" t="s">
        <v>240</v>
      </c>
      <c r="CQ2680" s="5">
        <v>0</v>
      </c>
      <c r="CR2680" s="5" t="s">
        <v>306</v>
      </c>
      <c r="CS2680" s="5" t="s">
        <v>307</v>
      </c>
      <c r="CT2680" s="5" t="s">
        <v>307</v>
      </c>
      <c r="CU2680" s="5" t="s">
        <v>260</v>
      </c>
      <c r="CX2680" s="7">
        <f>1</f>
        <v>1</v>
      </c>
      <c r="CY2680" s="7">
        <f>0</f>
        <v>0</v>
      </c>
      <c r="DA2680" s="7">
        <f>0</f>
        <v>0</v>
      </c>
      <c r="DC2680" s="5" t="s">
        <v>309</v>
      </c>
      <c r="DD2680" s="5" t="s">
        <v>240</v>
      </c>
      <c r="DF2680" s="5" t="s">
        <v>309</v>
      </c>
      <c r="DG2680" s="7">
        <f>444</f>
        <v>444</v>
      </c>
      <c r="DI2680" s="5" t="s">
        <v>240</v>
      </c>
      <c r="DJ2680" s="5" t="s">
        <v>240</v>
      </c>
      <c r="DK2680" s="5" t="s">
        <v>240</v>
      </c>
      <c r="DL2680" s="5" t="s">
        <v>240</v>
      </c>
      <c r="DP2680" s="5" t="s">
        <v>240</v>
      </c>
      <c r="DQ2680" s="5" t="s">
        <v>240</v>
      </c>
      <c r="DR2680" s="5" t="s">
        <v>240</v>
      </c>
      <c r="DS2680" s="5" t="s">
        <v>240</v>
      </c>
      <c r="DV2680" s="5" t="s">
        <v>310</v>
      </c>
      <c r="DW2680" s="5" t="s">
        <v>3411</v>
      </c>
      <c r="HO2680" s="5" t="s">
        <v>312</v>
      </c>
    </row>
    <row r="2681" spans="1:223" x14ac:dyDescent="0.4">
      <c r="A2681" s="5">
        <v>4385</v>
      </c>
      <c r="B2681" s="5">
        <v>1</v>
      </c>
      <c r="C2681" s="5">
        <v>1</v>
      </c>
      <c r="D2681" s="5" t="s">
        <v>810</v>
      </c>
      <c r="E2681" s="5" t="s">
        <v>245</v>
      </c>
      <c r="F2681" s="5" t="s">
        <v>254</v>
      </c>
      <c r="G2681" s="5" t="s">
        <v>240</v>
      </c>
      <c r="H2681" s="6" t="s">
        <v>4900</v>
      </c>
      <c r="I2681" s="5" t="s">
        <v>809</v>
      </c>
      <c r="J2681" s="8">
        <f>524</f>
        <v>524</v>
      </c>
      <c r="K2681" s="5" t="s">
        <v>308</v>
      </c>
      <c r="L2681" s="7">
        <f>1</f>
        <v>1</v>
      </c>
      <c r="M2681" s="7">
        <f>1</f>
        <v>1</v>
      </c>
      <c r="N2681" s="5" t="s">
        <v>242</v>
      </c>
      <c r="O2681" s="5">
        <v>1</v>
      </c>
      <c r="P2681" s="5" t="s">
        <v>294</v>
      </c>
      <c r="Q2681" s="5" t="s">
        <v>266</v>
      </c>
      <c r="R2681" s="5" t="s">
        <v>240</v>
      </c>
      <c r="S2681" s="5" t="s">
        <v>240</v>
      </c>
      <c r="T2681" s="5" t="s">
        <v>296</v>
      </c>
      <c r="U2681" s="5" t="s">
        <v>244</v>
      </c>
      <c r="V2681" s="5" t="s">
        <v>240</v>
      </c>
      <c r="Y2681" s="5" t="s">
        <v>240</v>
      </c>
      <c r="Z2681" s="6" t="s">
        <v>298</v>
      </c>
      <c r="AB2681" s="6" t="s">
        <v>240</v>
      </c>
      <c r="AE2681" s="6" t="s">
        <v>299</v>
      </c>
      <c r="AF2681" s="5" t="s">
        <v>248</v>
      </c>
      <c r="AG2681" s="5" t="s">
        <v>249</v>
      </c>
      <c r="AW2681" s="5" t="s">
        <v>251</v>
      </c>
      <c r="AX2681" s="5" t="s">
        <v>240</v>
      </c>
      <c r="AY2681" s="5" t="s">
        <v>253</v>
      </c>
      <c r="AZ2681" s="5" t="s">
        <v>240</v>
      </c>
      <c r="BA2681" s="5" t="s">
        <v>255</v>
      </c>
      <c r="BB2681" s="5" t="s">
        <v>240</v>
      </c>
      <c r="BD2681" s="5" t="s">
        <v>240</v>
      </c>
      <c r="BF2681" s="5" t="s">
        <v>301</v>
      </c>
      <c r="BG2681" s="6" t="s">
        <v>299</v>
      </c>
      <c r="BH2681" s="5" t="s">
        <v>302</v>
      </c>
      <c r="BI2681" s="5" t="s">
        <v>303</v>
      </c>
      <c r="BJ2681" s="5" t="s">
        <v>240</v>
      </c>
      <c r="BK2681" s="8">
        <f>0</f>
        <v>0</v>
      </c>
      <c r="BL2681" s="7">
        <f>0</f>
        <v>0</v>
      </c>
      <c r="BM2681" s="5" t="s">
        <v>258</v>
      </c>
      <c r="BN2681" s="5" t="s">
        <v>259</v>
      </c>
      <c r="CB2681" s="5" t="s">
        <v>240</v>
      </c>
      <c r="CC2681" s="5" t="s">
        <v>240</v>
      </c>
      <c r="CG2681" s="5" t="s">
        <v>304</v>
      </c>
      <c r="CH2681" s="5" t="s">
        <v>305</v>
      </c>
      <c r="CI2681" s="5" t="s">
        <v>240</v>
      </c>
      <c r="CL2681" s="6" t="s">
        <v>261</v>
      </c>
      <c r="CM2681" s="5" t="s">
        <v>240</v>
      </c>
      <c r="CN2681" s="5" t="s">
        <v>263</v>
      </c>
      <c r="CO2681" s="5" t="s">
        <v>240</v>
      </c>
      <c r="CP2681" s="5" t="s">
        <v>240</v>
      </c>
      <c r="CQ2681" s="5">
        <v>0</v>
      </c>
      <c r="CR2681" s="5" t="s">
        <v>306</v>
      </c>
      <c r="CS2681" s="5" t="s">
        <v>307</v>
      </c>
      <c r="CT2681" s="5" t="s">
        <v>307</v>
      </c>
      <c r="CU2681" s="5" t="s">
        <v>260</v>
      </c>
      <c r="CX2681" s="7">
        <f>1</f>
        <v>1</v>
      </c>
      <c r="CY2681" s="7">
        <f>0</f>
        <v>0</v>
      </c>
      <c r="DA2681" s="7">
        <f>0</f>
        <v>0</v>
      </c>
      <c r="DC2681" s="5" t="s">
        <v>309</v>
      </c>
      <c r="DD2681" s="5" t="s">
        <v>240</v>
      </c>
      <c r="DF2681" s="5" t="s">
        <v>309</v>
      </c>
      <c r="DG2681" s="7">
        <f>1175</f>
        <v>1175</v>
      </c>
      <c r="DI2681" s="5" t="s">
        <v>240</v>
      </c>
      <c r="DJ2681" s="5" t="s">
        <v>240</v>
      </c>
      <c r="DK2681" s="5" t="s">
        <v>240</v>
      </c>
      <c r="DL2681" s="5" t="s">
        <v>240</v>
      </c>
      <c r="DP2681" s="5" t="s">
        <v>240</v>
      </c>
      <c r="DQ2681" s="5" t="s">
        <v>240</v>
      </c>
      <c r="DR2681" s="5" t="s">
        <v>240</v>
      </c>
      <c r="DS2681" s="5" t="s">
        <v>240</v>
      </c>
      <c r="DV2681" s="5" t="s">
        <v>310</v>
      </c>
      <c r="DW2681" s="5" t="s">
        <v>3413</v>
      </c>
      <c r="HO2681" s="5" t="s">
        <v>312</v>
      </c>
    </row>
    <row r="2682" spans="1:223" x14ac:dyDescent="0.4">
      <c r="A2682" s="5">
        <v>4386</v>
      </c>
      <c r="B2682" s="5">
        <v>1</v>
      </c>
      <c r="C2682" s="5">
        <v>1</v>
      </c>
      <c r="D2682" s="5" t="s">
        <v>810</v>
      </c>
      <c r="E2682" s="5" t="s">
        <v>245</v>
      </c>
      <c r="F2682" s="5" t="s">
        <v>254</v>
      </c>
      <c r="G2682" s="5" t="s">
        <v>240</v>
      </c>
      <c r="H2682" s="6" t="s">
        <v>3181</v>
      </c>
      <c r="I2682" s="5" t="s">
        <v>809</v>
      </c>
      <c r="J2682" s="8">
        <f>300</f>
        <v>300</v>
      </c>
      <c r="K2682" s="5" t="s">
        <v>308</v>
      </c>
      <c r="L2682" s="7">
        <f>1</f>
        <v>1</v>
      </c>
      <c r="M2682" s="7">
        <f>1</f>
        <v>1</v>
      </c>
      <c r="N2682" s="5" t="s">
        <v>242</v>
      </c>
      <c r="O2682" s="5">
        <v>1</v>
      </c>
      <c r="P2682" s="5" t="s">
        <v>294</v>
      </c>
      <c r="Q2682" s="5" t="s">
        <v>266</v>
      </c>
      <c r="R2682" s="5" t="s">
        <v>240</v>
      </c>
      <c r="S2682" s="5" t="s">
        <v>240</v>
      </c>
      <c r="T2682" s="5" t="s">
        <v>296</v>
      </c>
      <c r="U2682" s="5" t="s">
        <v>244</v>
      </c>
      <c r="V2682" s="5" t="s">
        <v>240</v>
      </c>
      <c r="Y2682" s="5" t="s">
        <v>240</v>
      </c>
      <c r="Z2682" s="6" t="s">
        <v>298</v>
      </c>
      <c r="AB2682" s="6" t="s">
        <v>240</v>
      </c>
      <c r="AE2682" s="6" t="s">
        <v>299</v>
      </c>
      <c r="AF2682" s="5" t="s">
        <v>248</v>
      </c>
      <c r="AG2682" s="5" t="s">
        <v>249</v>
      </c>
      <c r="AW2682" s="5" t="s">
        <v>251</v>
      </c>
      <c r="AX2682" s="5" t="s">
        <v>240</v>
      </c>
      <c r="AY2682" s="5" t="s">
        <v>253</v>
      </c>
      <c r="AZ2682" s="5" t="s">
        <v>240</v>
      </c>
      <c r="BA2682" s="5" t="s">
        <v>255</v>
      </c>
      <c r="BB2682" s="5" t="s">
        <v>240</v>
      </c>
      <c r="BD2682" s="5" t="s">
        <v>240</v>
      </c>
      <c r="BF2682" s="5" t="s">
        <v>301</v>
      </c>
      <c r="BG2682" s="6" t="s">
        <v>299</v>
      </c>
      <c r="BH2682" s="5" t="s">
        <v>302</v>
      </c>
      <c r="BI2682" s="5" t="s">
        <v>303</v>
      </c>
      <c r="BJ2682" s="5" t="s">
        <v>240</v>
      </c>
      <c r="BK2682" s="8">
        <f>0</f>
        <v>0</v>
      </c>
      <c r="BL2682" s="7">
        <f>0</f>
        <v>0</v>
      </c>
      <c r="BM2682" s="5" t="s">
        <v>258</v>
      </c>
      <c r="BN2682" s="5" t="s">
        <v>259</v>
      </c>
      <c r="CB2682" s="5" t="s">
        <v>240</v>
      </c>
      <c r="CC2682" s="5" t="s">
        <v>240</v>
      </c>
      <c r="CG2682" s="5" t="s">
        <v>304</v>
      </c>
      <c r="CH2682" s="5" t="s">
        <v>305</v>
      </c>
      <c r="CI2682" s="5" t="s">
        <v>240</v>
      </c>
      <c r="CL2682" s="6" t="s">
        <v>261</v>
      </c>
      <c r="CM2682" s="5" t="s">
        <v>240</v>
      </c>
      <c r="CN2682" s="5" t="s">
        <v>263</v>
      </c>
      <c r="CO2682" s="5" t="s">
        <v>240</v>
      </c>
      <c r="CP2682" s="5" t="s">
        <v>240</v>
      </c>
      <c r="CQ2682" s="5">
        <v>0</v>
      </c>
      <c r="CR2682" s="5" t="s">
        <v>306</v>
      </c>
      <c r="CS2682" s="5" t="s">
        <v>307</v>
      </c>
      <c r="CT2682" s="5" t="s">
        <v>307</v>
      </c>
      <c r="CU2682" s="5" t="s">
        <v>260</v>
      </c>
      <c r="CX2682" s="7">
        <f>1</f>
        <v>1</v>
      </c>
      <c r="CY2682" s="7">
        <f>0</f>
        <v>0</v>
      </c>
      <c r="DA2682" s="7">
        <f>0</f>
        <v>0</v>
      </c>
      <c r="DC2682" s="5" t="s">
        <v>309</v>
      </c>
      <c r="DD2682" s="5" t="s">
        <v>240</v>
      </c>
      <c r="DF2682" s="5" t="s">
        <v>309</v>
      </c>
      <c r="DG2682" s="7">
        <f>1174</f>
        <v>1174</v>
      </c>
      <c r="DI2682" s="5" t="s">
        <v>240</v>
      </c>
      <c r="DJ2682" s="5" t="s">
        <v>240</v>
      </c>
      <c r="DK2682" s="5" t="s">
        <v>240</v>
      </c>
      <c r="DL2682" s="5" t="s">
        <v>240</v>
      </c>
      <c r="DP2682" s="5" t="s">
        <v>240</v>
      </c>
      <c r="DQ2682" s="5" t="s">
        <v>240</v>
      </c>
      <c r="DR2682" s="5" t="s">
        <v>240</v>
      </c>
      <c r="DS2682" s="5" t="s">
        <v>240</v>
      </c>
      <c r="DV2682" s="5" t="s">
        <v>310</v>
      </c>
      <c r="DW2682" s="5" t="s">
        <v>3415</v>
      </c>
      <c r="HO2682" s="5" t="s">
        <v>312</v>
      </c>
    </row>
    <row r="2683" spans="1:223" x14ac:dyDescent="0.4">
      <c r="A2683" s="5">
        <v>4387</v>
      </c>
      <c r="B2683" s="5">
        <v>1</v>
      </c>
      <c r="C2683" s="5">
        <v>1</v>
      </c>
      <c r="D2683" s="5" t="s">
        <v>810</v>
      </c>
      <c r="E2683" s="5" t="s">
        <v>245</v>
      </c>
      <c r="F2683" s="5" t="s">
        <v>254</v>
      </c>
      <c r="G2683" s="5" t="s">
        <v>240</v>
      </c>
      <c r="H2683" s="6" t="s">
        <v>4898</v>
      </c>
      <c r="I2683" s="5" t="s">
        <v>809</v>
      </c>
      <c r="J2683" s="8">
        <f>1188</f>
        <v>1188</v>
      </c>
      <c r="K2683" s="5" t="s">
        <v>308</v>
      </c>
      <c r="L2683" s="7">
        <f>1</f>
        <v>1</v>
      </c>
      <c r="M2683" s="7">
        <f>1</f>
        <v>1</v>
      </c>
      <c r="N2683" s="5" t="s">
        <v>242</v>
      </c>
      <c r="O2683" s="5">
        <v>1</v>
      </c>
      <c r="P2683" s="5" t="s">
        <v>294</v>
      </c>
      <c r="Q2683" s="5" t="s">
        <v>266</v>
      </c>
      <c r="R2683" s="5" t="s">
        <v>240</v>
      </c>
      <c r="S2683" s="5" t="s">
        <v>240</v>
      </c>
      <c r="T2683" s="5" t="s">
        <v>296</v>
      </c>
      <c r="U2683" s="5" t="s">
        <v>244</v>
      </c>
      <c r="V2683" s="5" t="s">
        <v>240</v>
      </c>
      <c r="Y2683" s="5" t="s">
        <v>240</v>
      </c>
      <c r="Z2683" s="6" t="s">
        <v>298</v>
      </c>
      <c r="AB2683" s="6" t="s">
        <v>240</v>
      </c>
      <c r="AE2683" s="6" t="s">
        <v>299</v>
      </c>
      <c r="AF2683" s="5" t="s">
        <v>248</v>
      </c>
      <c r="AG2683" s="5" t="s">
        <v>249</v>
      </c>
      <c r="AW2683" s="5" t="s">
        <v>251</v>
      </c>
      <c r="AX2683" s="5" t="s">
        <v>240</v>
      </c>
      <c r="AY2683" s="5" t="s">
        <v>253</v>
      </c>
      <c r="AZ2683" s="5" t="s">
        <v>240</v>
      </c>
      <c r="BA2683" s="5" t="s">
        <v>255</v>
      </c>
      <c r="BB2683" s="5" t="s">
        <v>240</v>
      </c>
      <c r="BD2683" s="5" t="s">
        <v>240</v>
      </c>
      <c r="BF2683" s="5" t="s">
        <v>301</v>
      </c>
      <c r="BG2683" s="6" t="s">
        <v>299</v>
      </c>
      <c r="BH2683" s="5" t="s">
        <v>302</v>
      </c>
      <c r="BI2683" s="5" t="s">
        <v>303</v>
      </c>
      <c r="BJ2683" s="5" t="s">
        <v>240</v>
      </c>
      <c r="BK2683" s="8">
        <f>0</f>
        <v>0</v>
      </c>
      <c r="BL2683" s="7">
        <f>0</f>
        <v>0</v>
      </c>
      <c r="BM2683" s="5" t="s">
        <v>258</v>
      </c>
      <c r="BN2683" s="5" t="s">
        <v>259</v>
      </c>
      <c r="CB2683" s="5" t="s">
        <v>240</v>
      </c>
      <c r="CC2683" s="5" t="s">
        <v>240</v>
      </c>
      <c r="CG2683" s="5" t="s">
        <v>304</v>
      </c>
      <c r="CH2683" s="5" t="s">
        <v>305</v>
      </c>
      <c r="CI2683" s="5" t="s">
        <v>240</v>
      </c>
      <c r="CL2683" s="6" t="s">
        <v>261</v>
      </c>
      <c r="CM2683" s="5" t="s">
        <v>240</v>
      </c>
      <c r="CN2683" s="5" t="s">
        <v>263</v>
      </c>
      <c r="CO2683" s="5" t="s">
        <v>240</v>
      </c>
      <c r="CP2683" s="5" t="s">
        <v>240</v>
      </c>
      <c r="CQ2683" s="5">
        <v>0</v>
      </c>
      <c r="CR2683" s="5" t="s">
        <v>306</v>
      </c>
      <c r="CS2683" s="5" t="s">
        <v>307</v>
      </c>
      <c r="CT2683" s="5" t="s">
        <v>307</v>
      </c>
      <c r="CU2683" s="5" t="s">
        <v>260</v>
      </c>
      <c r="CX2683" s="7">
        <f>1</f>
        <v>1</v>
      </c>
      <c r="CY2683" s="7">
        <f>0</f>
        <v>0</v>
      </c>
      <c r="DA2683" s="7">
        <f>0</f>
        <v>0</v>
      </c>
      <c r="DC2683" s="5" t="s">
        <v>309</v>
      </c>
      <c r="DD2683" s="5" t="s">
        <v>240</v>
      </c>
      <c r="DF2683" s="5" t="s">
        <v>309</v>
      </c>
      <c r="DG2683" s="7">
        <f>2081</f>
        <v>2081</v>
      </c>
      <c r="DI2683" s="5" t="s">
        <v>240</v>
      </c>
      <c r="DJ2683" s="5" t="s">
        <v>240</v>
      </c>
      <c r="DK2683" s="5" t="s">
        <v>240</v>
      </c>
      <c r="DL2683" s="5" t="s">
        <v>240</v>
      </c>
      <c r="DP2683" s="5" t="s">
        <v>240</v>
      </c>
      <c r="DQ2683" s="5" t="s">
        <v>240</v>
      </c>
      <c r="DR2683" s="5" t="s">
        <v>240</v>
      </c>
      <c r="DS2683" s="5" t="s">
        <v>240</v>
      </c>
      <c r="DV2683" s="5" t="s">
        <v>310</v>
      </c>
      <c r="DW2683" s="5" t="s">
        <v>3417</v>
      </c>
      <c r="HO2683" s="5" t="s">
        <v>312</v>
      </c>
    </row>
    <row r="2684" spans="1:223" x14ac:dyDescent="0.4">
      <c r="A2684" s="5">
        <v>4388</v>
      </c>
      <c r="B2684" s="5">
        <v>1</v>
      </c>
      <c r="C2684" s="5">
        <v>1</v>
      </c>
      <c r="D2684" s="5" t="s">
        <v>810</v>
      </c>
      <c r="E2684" s="5" t="s">
        <v>245</v>
      </c>
      <c r="F2684" s="5" t="s">
        <v>254</v>
      </c>
      <c r="G2684" s="5" t="s">
        <v>240</v>
      </c>
      <c r="H2684" s="6" t="s">
        <v>3177</v>
      </c>
      <c r="I2684" s="5" t="s">
        <v>809</v>
      </c>
      <c r="J2684" s="8">
        <f>335</f>
        <v>335</v>
      </c>
      <c r="K2684" s="5" t="s">
        <v>308</v>
      </c>
      <c r="L2684" s="7">
        <f>1</f>
        <v>1</v>
      </c>
      <c r="M2684" s="7">
        <f>1</f>
        <v>1</v>
      </c>
      <c r="N2684" s="5" t="s">
        <v>242</v>
      </c>
      <c r="O2684" s="5">
        <v>1</v>
      </c>
      <c r="P2684" s="5" t="s">
        <v>294</v>
      </c>
      <c r="Q2684" s="5" t="s">
        <v>266</v>
      </c>
      <c r="R2684" s="5" t="s">
        <v>240</v>
      </c>
      <c r="S2684" s="5" t="s">
        <v>240</v>
      </c>
      <c r="T2684" s="5" t="s">
        <v>296</v>
      </c>
      <c r="U2684" s="5" t="s">
        <v>244</v>
      </c>
      <c r="V2684" s="5" t="s">
        <v>240</v>
      </c>
      <c r="Y2684" s="5" t="s">
        <v>240</v>
      </c>
      <c r="Z2684" s="6" t="s">
        <v>298</v>
      </c>
      <c r="AB2684" s="6" t="s">
        <v>240</v>
      </c>
      <c r="AE2684" s="6" t="s">
        <v>299</v>
      </c>
      <c r="AF2684" s="5" t="s">
        <v>248</v>
      </c>
      <c r="AG2684" s="5" t="s">
        <v>249</v>
      </c>
      <c r="AW2684" s="5" t="s">
        <v>251</v>
      </c>
      <c r="AX2684" s="5" t="s">
        <v>240</v>
      </c>
      <c r="AY2684" s="5" t="s">
        <v>253</v>
      </c>
      <c r="AZ2684" s="5" t="s">
        <v>240</v>
      </c>
      <c r="BA2684" s="5" t="s">
        <v>255</v>
      </c>
      <c r="BB2684" s="5" t="s">
        <v>240</v>
      </c>
      <c r="BD2684" s="5" t="s">
        <v>240</v>
      </c>
      <c r="BF2684" s="5" t="s">
        <v>301</v>
      </c>
      <c r="BG2684" s="6" t="s">
        <v>299</v>
      </c>
      <c r="BH2684" s="5" t="s">
        <v>302</v>
      </c>
      <c r="BI2684" s="5" t="s">
        <v>303</v>
      </c>
      <c r="BJ2684" s="5" t="s">
        <v>240</v>
      </c>
      <c r="BK2684" s="8">
        <f>0</f>
        <v>0</v>
      </c>
      <c r="BL2684" s="7">
        <f>0</f>
        <v>0</v>
      </c>
      <c r="BM2684" s="5" t="s">
        <v>258</v>
      </c>
      <c r="BN2684" s="5" t="s">
        <v>259</v>
      </c>
      <c r="CB2684" s="5" t="s">
        <v>240</v>
      </c>
      <c r="CC2684" s="5" t="s">
        <v>240</v>
      </c>
      <c r="CG2684" s="5" t="s">
        <v>304</v>
      </c>
      <c r="CH2684" s="5" t="s">
        <v>305</v>
      </c>
      <c r="CI2684" s="5" t="s">
        <v>240</v>
      </c>
      <c r="CL2684" s="6" t="s">
        <v>261</v>
      </c>
      <c r="CM2684" s="5" t="s">
        <v>240</v>
      </c>
      <c r="CN2684" s="5" t="s">
        <v>263</v>
      </c>
      <c r="CO2684" s="5" t="s">
        <v>240</v>
      </c>
      <c r="CP2684" s="5" t="s">
        <v>240</v>
      </c>
      <c r="CQ2684" s="5">
        <v>0</v>
      </c>
      <c r="CR2684" s="5" t="s">
        <v>306</v>
      </c>
      <c r="CS2684" s="5" t="s">
        <v>307</v>
      </c>
      <c r="CT2684" s="5" t="s">
        <v>307</v>
      </c>
      <c r="CU2684" s="5" t="s">
        <v>260</v>
      </c>
      <c r="CX2684" s="7">
        <f>1</f>
        <v>1</v>
      </c>
      <c r="CY2684" s="7">
        <f>0</f>
        <v>0</v>
      </c>
      <c r="DA2684" s="7">
        <f>0</f>
        <v>0</v>
      </c>
      <c r="DC2684" s="5" t="s">
        <v>309</v>
      </c>
      <c r="DD2684" s="5" t="s">
        <v>240</v>
      </c>
      <c r="DF2684" s="5" t="s">
        <v>309</v>
      </c>
      <c r="DG2684" s="7">
        <f>259</f>
        <v>259</v>
      </c>
      <c r="DI2684" s="5" t="s">
        <v>240</v>
      </c>
      <c r="DJ2684" s="5" t="s">
        <v>240</v>
      </c>
      <c r="DK2684" s="5" t="s">
        <v>240</v>
      </c>
      <c r="DL2684" s="5" t="s">
        <v>240</v>
      </c>
      <c r="DP2684" s="5" t="s">
        <v>240</v>
      </c>
      <c r="DQ2684" s="5" t="s">
        <v>240</v>
      </c>
      <c r="DR2684" s="5" t="s">
        <v>240</v>
      </c>
      <c r="DS2684" s="5" t="s">
        <v>240</v>
      </c>
      <c r="DV2684" s="5" t="s">
        <v>310</v>
      </c>
      <c r="DW2684" s="5" t="s">
        <v>3419</v>
      </c>
      <c r="HO2684" s="5" t="s">
        <v>312</v>
      </c>
    </row>
    <row r="2685" spans="1:223" x14ac:dyDescent="0.4">
      <c r="A2685" s="5">
        <v>4389</v>
      </c>
      <c r="B2685" s="5">
        <v>1</v>
      </c>
      <c r="C2685" s="5">
        <v>1</v>
      </c>
      <c r="D2685" s="5" t="s">
        <v>810</v>
      </c>
      <c r="E2685" s="5" t="s">
        <v>245</v>
      </c>
      <c r="F2685" s="5" t="s">
        <v>254</v>
      </c>
      <c r="G2685" s="5" t="s">
        <v>240</v>
      </c>
      <c r="H2685" s="6" t="s">
        <v>4896</v>
      </c>
      <c r="I2685" s="5" t="s">
        <v>809</v>
      </c>
      <c r="J2685" s="8">
        <f>1058</f>
        <v>1058</v>
      </c>
      <c r="K2685" s="5" t="s">
        <v>308</v>
      </c>
      <c r="L2685" s="7">
        <f>1</f>
        <v>1</v>
      </c>
      <c r="M2685" s="7">
        <f>1</f>
        <v>1</v>
      </c>
      <c r="N2685" s="5" t="s">
        <v>242</v>
      </c>
      <c r="O2685" s="5">
        <v>1</v>
      </c>
      <c r="P2685" s="5" t="s">
        <v>294</v>
      </c>
      <c r="Q2685" s="5" t="s">
        <v>266</v>
      </c>
      <c r="R2685" s="5" t="s">
        <v>240</v>
      </c>
      <c r="S2685" s="5" t="s">
        <v>240</v>
      </c>
      <c r="T2685" s="5" t="s">
        <v>296</v>
      </c>
      <c r="U2685" s="5" t="s">
        <v>244</v>
      </c>
      <c r="V2685" s="5" t="s">
        <v>240</v>
      </c>
      <c r="Y2685" s="5" t="s">
        <v>240</v>
      </c>
      <c r="Z2685" s="6" t="s">
        <v>298</v>
      </c>
      <c r="AB2685" s="6" t="s">
        <v>240</v>
      </c>
      <c r="AE2685" s="6" t="s">
        <v>299</v>
      </c>
      <c r="AF2685" s="5" t="s">
        <v>248</v>
      </c>
      <c r="AG2685" s="5" t="s">
        <v>249</v>
      </c>
      <c r="AW2685" s="5" t="s">
        <v>251</v>
      </c>
      <c r="AX2685" s="5" t="s">
        <v>240</v>
      </c>
      <c r="AY2685" s="5" t="s">
        <v>253</v>
      </c>
      <c r="AZ2685" s="5" t="s">
        <v>240</v>
      </c>
      <c r="BA2685" s="5" t="s">
        <v>255</v>
      </c>
      <c r="BB2685" s="5" t="s">
        <v>240</v>
      </c>
      <c r="BD2685" s="5" t="s">
        <v>240</v>
      </c>
      <c r="BF2685" s="5" t="s">
        <v>301</v>
      </c>
      <c r="BG2685" s="6" t="s">
        <v>299</v>
      </c>
      <c r="BH2685" s="5" t="s">
        <v>302</v>
      </c>
      <c r="BI2685" s="5" t="s">
        <v>303</v>
      </c>
      <c r="BJ2685" s="5" t="s">
        <v>240</v>
      </c>
      <c r="BK2685" s="8">
        <f>0</f>
        <v>0</v>
      </c>
      <c r="BL2685" s="7">
        <f>0</f>
        <v>0</v>
      </c>
      <c r="BM2685" s="5" t="s">
        <v>258</v>
      </c>
      <c r="BN2685" s="5" t="s">
        <v>259</v>
      </c>
      <c r="CB2685" s="5" t="s">
        <v>240</v>
      </c>
      <c r="CC2685" s="5" t="s">
        <v>240</v>
      </c>
      <c r="CG2685" s="5" t="s">
        <v>304</v>
      </c>
      <c r="CH2685" s="5" t="s">
        <v>305</v>
      </c>
      <c r="CI2685" s="5" t="s">
        <v>240</v>
      </c>
      <c r="CL2685" s="6" t="s">
        <v>261</v>
      </c>
      <c r="CM2685" s="5" t="s">
        <v>240</v>
      </c>
      <c r="CN2685" s="5" t="s">
        <v>263</v>
      </c>
      <c r="CO2685" s="5" t="s">
        <v>240</v>
      </c>
      <c r="CP2685" s="5" t="s">
        <v>240</v>
      </c>
      <c r="CQ2685" s="5">
        <v>0</v>
      </c>
      <c r="CR2685" s="5" t="s">
        <v>306</v>
      </c>
      <c r="CS2685" s="5" t="s">
        <v>307</v>
      </c>
      <c r="CT2685" s="5" t="s">
        <v>307</v>
      </c>
      <c r="CU2685" s="5" t="s">
        <v>260</v>
      </c>
      <c r="CX2685" s="7">
        <f>1</f>
        <v>1</v>
      </c>
      <c r="CY2685" s="7">
        <f>0</f>
        <v>0</v>
      </c>
      <c r="DA2685" s="7">
        <f>0</f>
        <v>0</v>
      </c>
      <c r="DC2685" s="5" t="s">
        <v>309</v>
      </c>
      <c r="DD2685" s="5" t="s">
        <v>240</v>
      </c>
      <c r="DF2685" s="5" t="s">
        <v>309</v>
      </c>
      <c r="DG2685" s="7">
        <f>592</f>
        <v>592</v>
      </c>
      <c r="DI2685" s="5" t="s">
        <v>240</v>
      </c>
      <c r="DJ2685" s="5" t="s">
        <v>240</v>
      </c>
      <c r="DK2685" s="5" t="s">
        <v>240</v>
      </c>
      <c r="DL2685" s="5" t="s">
        <v>240</v>
      </c>
      <c r="DP2685" s="5" t="s">
        <v>240</v>
      </c>
      <c r="DQ2685" s="5" t="s">
        <v>240</v>
      </c>
      <c r="DR2685" s="5" t="s">
        <v>240</v>
      </c>
      <c r="DS2685" s="5" t="s">
        <v>240</v>
      </c>
      <c r="DV2685" s="5" t="s">
        <v>310</v>
      </c>
      <c r="DW2685" s="5" t="s">
        <v>3421</v>
      </c>
      <c r="HO2685" s="5" t="s">
        <v>312</v>
      </c>
    </row>
    <row r="2686" spans="1:223" x14ac:dyDescent="0.4">
      <c r="A2686" s="5">
        <v>4390</v>
      </c>
      <c r="B2686" s="5">
        <v>1</v>
      </c>
      <c r="C2686" s="5">
        <v>1</v>
      </c>
      <c r="D2686" s="5" t="s">
        <v>810</v>
      </c>
      <c r="E2686" s="5" t="s">
        <v>245</v>
      </c>
      <c r="F2686" s="5" t="s">
        <v>254</v>
      </c>
      <c r="G2686" s="5" t="s">
        <v>240</v>
      </c>
      <c r="H2686" s="6" t="s">
        <v>3174</v>
      </c>
      <c r="I2686" s="5" t="s">
        <v>809</v>
      </c>
      <c r="J2686" s="8">
        <f>651</f>
        <v>651</v>
      </c>
      <c r="K2686" s="5" t="s">
        <v>308</v>
      </c>
      <c r="L2686" s="7">
        <f>1</f>
        <v>1</v>
      </c>
      <c r="M2686" s="7">
        <f>1</f>
        <v>1</v>
      </c>
      <c r="N2686" s="5" t="s">
        <v>242</v>
      </c>
      <c r="O2686" s="5">
        <v>1</v>
      </c>
      <c r="P2686" s="5" t="s">
        <v>294</v>
      </c>
      <c r="Q2686" s="5" t="s">
        <v>266</v>
      </c>
      <c r="R2686" s="5" t="s">
        <v>240</v>
      </c>
      <c r="S2686" s="5" t="s">
        <v>240</v>
      </c>
      <c r="T2686" s="5" t="s">
        <v>296</v>
      </c>
      <c r="U2686" s="5" t="s">
        <v>244</v>
      </c>
      <c r="V2686" s="5" t="s">
        <v>240</v>
      </c>
      <c r="Y2686" s="5" t="s">
        <v>240</v>
      </c>
      <c r="Z2686" s="6" t="s">
        <v>298</v>
      </c>
      <c r="AB2686" s="6" t="s">
        <v>240</v>
      </c>
      <c r="AE2686" s="6" t="s">
        <v>299</v>
      </c>
      <c r="AF2686" s="5" t="s">
        <v>248</v>
      </c>
      <c r="AG2686" s="5" t="s">
        <v>249</v>
      </c>
      <c r="AW2686" s="5" t="s">
        <v>251</v>
      </c>
      <c r="AX2686" s="5" t="s">
        <v>240</v>
      </c>
      <c r="AY2686" s="5" t="s">
        <v>253</v>
      </c>
      <c r="AZ2686" s="5" t="s">
        <v>240</v>
      </c>
      <c r="BA2686" s="5" t="s">
        <v>255</v>
      </c>
      <c r="BB2686" s="5" t="s">
        <v>240</v>
      </c>
      <c r="BD2686" s="5" t="s">
        <v>240</v>
      </c>
      <c r="BF2686" s="5" t="s">
        <v>301</v>
      </c>
      <c r="BG2686" s="6" t="s">
        <v>299</v>
      </c>
      <c r="BH2686" s="5" t="s">
        <v>302</v>
      </c>
      <c r="BI2686" s="5" t="s">
        <v>303</v>
      </c>
      <c r="BJ2686" s="5" t="s">
        <v>240</v>
      </c>
      <c r="BK2686" s="8">
        <f>0</f>
        <v>0</v>
      </c>
      <c r="BL2686" s="7">
        <f>0</f>
        <v>0</v>
      </c>
      <c r="BM2686" s="5" t="s">
        <v>258</v>
      </c>
      <c r="BN2686" s="5" t="s">
        <v>259</v>
      </c>
      <c r="CB2686" s="5" t="s">
        <v>240</v>
      </c>
      <c r="CC2686" s="5" t="s">
        <v>240</v>
      </c>
      <c r="CG2686" s="5" t="s">
        <v>304</v>
      </c>
      <c r="CH2686" s="5" t="s">
        <v>305</v>
      </c>
      <c r="CI2686" s="5" t="s">
        <v>240</v>
      </c>
      <c r="CL2686" s="6" t="s">
        <v>261</v>
      </c>
      <c r="CM2686" s="5" t="s">
        <v>240</v>
      </c>
      <c r="CN2686" s="5" t="s">
        <v>263</v>
      </c>
      <c r="CO2686" s="5" t="s">
        <v>240</v>
      </c>
      <c r="CP2686" s="5" t="s">
        <v>240</v>
      </c>
      <c r="CQ2686" s="5">
        <v>0</v>
      </c>
      <c r="CR2686" s="5" t="s">
        <v>306</v>
      </c>
      <c r="CS2686" s="5" t="s">
        <v>307</v>
      </c>
      <c r="CT2686" s="5" t="s">
        <v>307</v>
      </c>
      <c r="CU2686" s="5" t="s">
        <v>260</v>
      </c>
      <c r="CX2686" s="7">
        <f>1</f>
        <v>1</v>
      </c>
      <c r="CY2686" s="7">
        <f>0</f>
        <v>0</v>
      </c>
      <c r="DA2686" s="7">
        <f>0</f>
        <v>0</v>
      </c>
      <c r="DC2686" s="5" t="s">
        <v>309</v>
      </c>
      <c r="DD2686" s="5" t="s">
        <v>240</v>
      </c>
      <c r="DF2686" s="5" t="s">
        <v>309</v>
      </c>
      <c r="DG2686" s="7">
        <f>1456</f>
        <v>1456</v>
      </c>
      <c r="DI2686" s="5" t="s">
        <v>240</v>
      </c>
      <c r="DJ2686" s="5" t="s">
        <v>240</v>
      </c>
      <c r="DK2686" s="5" t="s">
        <v>240</v>
      </c>
      <c r="DL2686" s="5" t="s">
        <v>240</v>
      </c>
      <c r="DP2686" s="5" t="s">
        <v>240</v>
      </c>
      <c r="DQ2686" s="5" t="s">
        <v>240</v>
      </c>
      <c r="DR2686" s="5" t="s">
        <v>240</v>
      </c>
      <c r="DS2686" s="5" t="s">
        <v>240</v>
      </c>
      <c r="DV2686" s="5" t="s">
        <v>310</v>
      </c>
      <c r="DW2686" s="5" t="s">
        <v>3423</v>
      </c>
      <c r="HO2686" s="5" t="s">
        <v>312</v>
      </c>
    </row>
    <row r="2687" spans="1:223" x14ac:dyDescent="0.4">
      <c r="A2687" s="5">
        <v>4391</v>
      </c>
      <c r="B2687" s="5">
        <v>1</v>
      </c>
      <c r="C2687" s="5">
        <v>1</v>
      </c>
      <c r="D2687" s="5" t="s">
        <v>810</v>
      </c>
      <c r="E2687" s="5" t="s">
        <v>245</v>
      </c>
      <c r="F2687" s="5" t="s">
        <v>254</v>
      </c>
      <c r="G2687" s="5" t="s">
        <v>240</v>
      </c>
      <c r="H2687" s="6" t="s">
        <v>3172</v>
      </c>
      <c r="I2687" s="5" t="s">
        <v>809</v>
      </c>
      <c r="J2687" s="8">
        <f>419</f>
        <v>419</v>
      </c>
      <c r="K2687" s="5" t="s">
        <v>308</v>
      </c>
      <c r="L2687" s="7">
        <f>1</f>
        <v>1</v>
      </c>
      <c r="M2687" s="7">
        <f>1</f>
        <v>1</v>
      </c>
      <c r="N2687" s="5" t="s">
        <v>242</v>
      </c>
      <c r="O2687" s="5">
        <v>1</v>
      </c>
      <c r="P2687" s="5" t="s">
        <v>294</v>
      </c>
      <c r="Q2687" s="5" t="s">
        <v>266</v>
      </c>
      <c r="R2687" s="5" t="s">
        <v>240</v>
      </c>
      <c r="S2687" s="5" t="s">
        <v>240</v>
      </c>
      <c r="T2687" s="5" t="s">
        <v>296</v>
      </c>
      <c r="U2687" s="5" t="s">
        <v>244</v>
      </c>
      <c r="V2687" s="5" t="s">
        <v>240</v>
      </c>
      <c r="Y2687" s="5" t="s">
        <v>240</v>
      </c>
      <c r="Z2687" s="6" t="s">
        <v>298</v>
      </c>
      <c r="AB2687" s="6" t="s">
        <v>240</v>
      </c>
      <c r="AE2687" s="6" t="s">
        <v>299</v>
      </c>
      <c r="AF2687" s="5" t="s">
        <v>248</v>
      </c>
      <c r="AG2687" s="5" t="s">
        <v>249</v>
      </c>
      <c r="AW2687" s="5" t="s">
        <v>251</v>
      </c>
      <c r="AX2687" s="5" t="s">
        <v>240</v>
      </c>
      <c r="AY2687" s="5" t="s">
        <v>253</v>
      </c>
      <c r="AZ2687" s="5" t="s">
        <v>240</v>
      </c>
      <c r="BA2687" s="5" t="s">
        <v>255</v>
      </c>
      <c r="BB2687" s="5" t="s">
        <v>240</v>
      </c>
      <c r="BD2687" s="5" t="s">
        <v>240</v>
      </c>
      <c r="BF2687" s="5" t="s">
        <v>301</v>
      </c>
      <c r="BG2687" s="6" t="s">
        <v>299</v>
      </c>
      <c r="BH2687" s="5" t="s">
        <v>302</v>
      </c>
      <c r="BI2687" s="5" t="s">
        <v>303</v>
      </c>
      <c r="BJ2687" s="5" t="s">
        <v>240</v>
      </c>
      <c r="BK2687" s="8">
        <f>0</f>
        <v>0</v>
      </c>
      <c r="BL2687" s="7">
        <f>0</f>
        <v>0</v>
      </c>
      <c r="BM2687" s="5" t="s">
        <v>258</v>
      </c>
      <c r="BN2687" s="5" t="s">
        <v>259</v>
      </c>
      <c r="CB2687" s="5" t="s">
        <v>240</v>
      </c>
      <c r="CC2687" s="5" t="s">
        <v>240</v>
      </c>
      <c r="CG2687" s="5" t="s">
        <v>304</v>
      </c>
      <c r="CH2687" s="5" t="s">
        <v>305</v>
      </c>
      <c r="CI2687" s="5" t="s">
        <v>240</v>
      </c>
      <c r="CL2687" s="6" t="s">
        <v>261</v>
      </c>
      <c r="CM2687" s="5" t="s">
        <v>240</v>
      </c>
      <c r="CN2687" s="5" t="s">
        <v>263</v>
      </c>
      <c r="CO2687" s="5" t="s">
        <v>240</v>
      </c>
      <c r="CP2687" s="5" t="s">
        <v>240</v>
      </c>
      <c r="CQ2687" s="5">
        <v>0</v>
      </c>
      <c r="CR2687" s="5" t="s">
        <v>306</v>
      </c>
      <c r="CS2687" s="5" t="s">
        <v>307</v>
      </c>
      <c r="CT2687" s="5" t="s">
        <v>307</v>
      </c>
      <c r="CU2687" s="5" t="s">
        <v>260</v>
      </c>
      <c r="CX2687" s="7">
        <f>1</f>
        <v>1</v>
      </c>
      <c r="CY2687" s="7">
        <f>0</f>
        <v>0</v>
      </c>
      <c r="DA2687" s="7">
        <f>0</f>
        <v>0</v>
      </c>
      <c r="DC2687" s="5" t="s">
        <v>309</v>
      </c>
      <c r="DD2687" s="5" t="s">
        <v>240</v>
      </c>
      <c r="DF2687" s="5" t="s">
        <v>309</v>
      </c>
      <c r="DG2687" s="7">
        <f>558</f>
        <v>558</v>
      </c>
      <c r="DI2687" s="5" t="s">
        <v>240</v>
      </c>
      <c r="DJ2687" s="5" t="s">
        <v>240</v>
      </c>
      <c r="DK2687" s="5" t="s">
        <v>240</v>
      </c>
      <c r="DL2687" s="5" t="s">
        <v>240</v>
      </c>
      <c r="DP2687" s="5" t="s">
        <v>240</v>
      </c>
      <c r="DQ2687" s="5" t="s">
        <v>240</v>
      </c>
      <c r="DR2687" s="5" t="s">
        <v>240</v>
      </c>
      <c r="DS2687" s="5" t="s">
        <v>240</v>
      </c>
      <c r="DV2687" s="5" t="s">
        <v>310</v>
      </c>
      <c r="DW2687" s="5" t="s">
        <v>3425</v>
      </c>
      <c r="HO2687" s="5" t="s">
        <v>312</v>
      </c>
    </row>
    <row r="2688" spans="1:223" x14ac:dyDescent="0.4">
      <c r="A2688" s="5">
        <v>4392</v>
      </c>
      <c r="B2688" s="5">
        <v>1</v>
      </c>
      <c r="C2688" s="5">
        <v>1</v>
      </c>
      <c r="D2688" s="5" t="s">
        <v>810</v>
      </c>
      <c r="E2688" s="5" t="s">
        <v>245</v>
      </c>
      <c r="F2688" s="5" t="s">
        <v>254</v>
      </c>
      <c r="G2688" s="5" t="s">
        <v>240</v>
      </c>
      <c r="H2688" s="6" t="s">
        <v>3170</v>
      </c>
      <c r="I2688" s="5" t="s">
        <v>809</v>
      </c>
      <c r="J2688" s="8">
        <f>126</f>
        <v>126</v>
      </c>
      <c r="K2688" s="5" t="s">
        <v>308</v>
      </c>
      <c r="L2688" s="7">
        <f>1</f>
        <v>1</v>
      </c>
      <c r="M2688" s="7">
        <f>1</f>
        <v>1</v>
      </c>
      <c r="N2688" s="5" t="s">
        <v>242</v>
      </c>
      <c r="O2688" s="5">
        <v>1</v>
      </c>
      <c r="P2688" s="5" t="s">
        <v>294</v>
      </c>
      <c r="Q2688" s="5" t="s">
        <v>266</v>
      </c>
      <c r="R2688" s="5" t="s">
        <v>240</v>
      </c>
      <c r="S2688" s="5" t="s">
        <v>240</v>
      </c>
      <c r="T2688" s="5" t="s">
        <v>296</v>
      </c>
      <c r="U2688" s="5" t="s">
        <v>244</v>
      </c>
      <c r="V2688" s="5" t="s">
        <v>240</v>
      </c>
      <c r="Y2688" s="5" t="s">
        <v>240</v>
      </c>
      <c r="Z2688" s="6" t="s">
        <v>298</v>
      </c>
      <c r="AB2688" s="6" t="s">
        <v>240</v>
      </c>
      <c r="AE2688" s="6" t="s">
        <v>299</v>
      </c>
      <c r="AF2688" s="5" t="s">
        <v>248</v>
      </c>
      <c r="AG2688" s="5" t="s">
        <v>249</v>
      </c>
      <c r="AW2688" s="5" t="s">
        <v>251</v>
      </c>
      <c r="AX2688" s="5" t="s">
        <v>240</v>
      </c>
      <c r="AY2688" s="5" t="s">
        <v>253</v>
      </c>
      <c r="AZ2688" s="5" t="s">
        <v>240</v>
      </c>
      <c r="BA2688" s="5" t="s">
        <v>255</v>
      </c>
      <c r="BB2688" s="5" t="s">
        <v>240</v>
      </c>
      <c r="BD2688" s="5" t="s">
        <v>240</v>
      </c>
      <c r="BF2688" s="5" t="s">
        <v>301</v>
      </c>
      <c r="BG2688" s="6" t="s">
        <v>299</v>
      </c>
      <c r="BH2688" s="5" t="s">
        <v>302</v>
      </c>
      <c r="BI2688" s="5" t="s">
        <v>303</v>
      </c>
      <c r="BJ2688" s="5" t="s">
        <v>240</v>
      </c>
      <c r="BK2688" s="8">
        <f>0</f>
        <v>0</v>
      </c>
      <c r="BL2688" s="7">
        <f>0</f>
        <v>0</v>
      </c>
      <c r="BM2688" s="5" t="s">
        <v>258</v>
      </c>
      <c r="BN2688" s="5" t="s">
        <v>259</v>
      </c>
      <c r="CB2688" s="5" t="s">
        <v>240</v>
      </c>
      <c r="CC2688" s="5" t="s">
        <v>240</v>
      </c>
      <c r="CG2688" s="5" t="s">
        <v>304</v>
      </c>
      <c r="CH2688" s="5" t="s">
        <v>305</v>
      </c>
      <c r="CI2688" s="5" t="s">
        <v>240</v>
      </c>
      <c r="CL2688" s="6" t="s">
        <v>261</v>
      </c>
      <c r="CM2688" s="5" t="s">
        <v>240</v>
      </c>
      <c r="CN2688" s="5" t="s">
        <v>263</v>
      </c>
      <c r="CO2688" s="5" t="s">
        <v>240</v>
      </c>
      <c r="CP2688" s="5" t="s">
        <v>240</v>
      </c>
      <c r="CQ2688" s="5">
        <v>0</v>
      </c>
      <c r="CR2688" s="5" t="s">
        <v>306</v>
      </c>
      <c r="CS2688" s="5" t="s">
        <v>307</v>
      </c>
      <c r="CT2688" s="5" t="s">
        <v>307</v>
      </c>
      <c r="CU2688" s="5" t="s">
        <v>260</v>
      </c>
      <c r="CX2688" s="7">
        <f>1</f>
        <v>1</v>
      </c>
      <c r="CY2688" s="7">
        <f>0</f>
        <v>0</v>
      </c>
      <c r="DA2688" s="7">
        <f>0</f>
        <v>0</v>
      </c>
      <c r="DC2688" s="5" t="s">
        <v>309</v>
      </c>
      <c r="DD2688" s="5" t="s">
        <v>240</v>
      </c>
      <c r="DF2688" s="5" t="s">
        <v>309</v>
      </c>
      <c r="DG2688" s="7">
        <f>1394</f>
        <v>1394</v>
      </c>
      <c r="DI2688" s="5" t="s">
        <v>240</v>
      </c>
      <c r="DJ2688" s="5" t="s">
        <v>240</v>
      </c>
      <c r="DK2688" s="5" t="s">
        <v>240</v>
      </c>
      <c r="DL2688" s="5" t="s">
        <v>240</v>
      </c>
      <c r="DP2688" s="5" t="s">
        <v>240</v>
      </c>
      <c r="DQ2688" s="5" t="s">
        <v>240</v>
      </c>
      <c r="DR2688" s="5" t="s">
        <v>240</v>
      </c>
      <c r="DS2688" s="5" t="s">
        <v>240</v>
      </c>
      <c r="DV2688" s="5" t="s">
        <v>310</v>
      </c>
      <c r="DW2688" s="5" t="s">
        <v>3427</v>
      </c>
      <c r="HO2688" s="5" t="s">
        <v>312</v>
      </c>
    </row>
    <row r="2689" spans="1:223" x14ac:dyDescent="0.4">
      <c r="A2689" s="5">
        <v>4393</v>
      </c>
      <c r="B2689" s="5">
        <v>1</v>
      </c>
      <c r="C2689" s="5">
        <v>1</v>
      </c>
      <c r="D2689" s="5" t="s">
        <v>810</v>
      </c>
      <c r="E2689" s="5" t="s">
        <v>245</v>
      </c>
      <c r="F2689" s="5" t="s">
        <v>254</v>
      </c>
      <c r="G2689" s="5" t="s">
        <v>240</v>
      </c>
      <c r="H2689" s="6" t="s">
        <v>4894</v>
      </c>
      <c r="I2689" s="5" t="s">
        <v>809</v>
      </c>
      <c r="J2689" s="8">
        <f>392</f>
        <v>392</v>
      </c>
      <c r="K2689" s="5" t="s">
        <v>308</v>
      </c>
      <c r="L2689" s="7">
        <f>1</f>
        <v>1</v>
      </c>
      <c r="M2689" s="7">
        <f>1</f>
        <v>1</v>
      </c>
      <c r="N2689" s="5" t="s">
        <v>242</v>
      </c>
      <c r="O2689" s="5">
        <v>1</v>
      </c>
      <c r="P2689" s="5" t="s">
        <v>294</v>
      </c>
      <c r="Q2689" s="5" t="s">
        <v>266</v>
      </c>
      <c r="R2689" s="5" t="s">
        <v>240</v>
      </c>
      <c r="S2689" s="5" t="s">
        <v>240</v>
      </c>
      <c r="T2689" s="5" t="s">
        <v>296</v>
      </c>
      <c r="U2689" s="5" t="s">
        <v>244</v>
      </c>
      <c r="V2689" s="5" t="s">
        <v>240</v>
      </c>
      <c r="Y2689" s="5" t="s">
        <v>240</v>
      </c>
      <c r="Z2689" s="6" t="s">
        <v>298</v>
      </c>
      <c r="AB2689" s="6" t="s">
        <v>240</v>
      </c>
      <c r="AE2689" s="6" t="s">
        <v>299</v>
      </c>
      <c r="AF2689" s="5" t="s">
        <v>248</v>
      </c>
      <c r="AG2689" s="5" t="s">
        <v>249</v>
      </c>
      <c r="AW2689" s="5" t="s">
        <v>251</v>
      </c>
      <c r="AX2689" s="5" t="s">
        <v>240</v>
      </c>
      <c r="AY2689" s="5" t="s">
        <v>253</v>
      </c>
      <c r="AZ2689" s="5" t="s">
        <v>240</v>
      </c>
      <c r="BA2689" s="5" t="s">
        <v>255</v>
      </c>
      <c r="BB2689" s="5" t="s">
        <v>240</v>
      </c>
      <c r="BD2689" s="5" t="s">
        <v>240</v>
      </c>
      <c r="BF2689" s="5" t="s">
        <v>301</v>
      </c>
      <c r="BG2689" s="6" t="s">
        <v>299</v>
      </c>
      <c r="BH2689" s="5" t="s">
        <v>302</v>
      </c>
      <c r="BI2689" s="5" t="s">
        <v>303</v>
      </c>
      <c r="BJ2689" s="5" t="s">
        <v>240</v>
      </c>
      <c r="BK2689" s="8">
        <f>0</f>
        <v>0</v>
      </c>
      <c r="BL2689" s="7">
        <f>0</f>
        <v>0</v>
      </c>
      <c r="BM2689" s="5" t="s">
        <v>258</v>
      </c>
      <c r="BN2689" s="5" t="s">
        <v>259</v>
      </c>
      <c r="CB2689" s="5" t="s">
        <v>240</v>
      </c>
      <c r="CC2689" s="5" t="s">
        <v>240</v>
      </c>
      <c r="CG2689" s="5" t="s">
        <v>304</v>
      </c>
      <c r="CH2689" s="5" t="s">
        <v>305</v>
      </c>
      <c r="CI2689" s="5" t="s">
        <v>240</v>
      </c>
      <c r="CL2689" s="6" t="s">
        <v>261</v>
      </c>
      <c r="CM2689" s="5" t="s">
        <v>240</v>
      </c>
      <c r="CN2689" s="5" t="s">
        <v>263</v>
      </c>
      <c r="CO2689" s="5" t="s">
        <v>240</v>
      </c>
      <c r="CP2689" s="5" t="s">
        <v>240</v>
      </c>
      <c r="CQ2689" s="5">
        <v>0</v>
      </c>
      <c r="CR2689" s="5" t="s">
        <v>306</v>
      </c>
      <c r="CS2689" s="5" t="s">
        <v>307</v>
      </c>
      <c r="CT2689" s="5" t="s">
        <v>307</v>
      </c>
      <c r="CU2689" s="5" t="s">
        <v>260</v>
      </c>
      <c r="CX2689" s="7">
        <f>1</f>
        <v>1</v>
      </c>
      <c r="CY2689" s="7">
        <f>0</f>
        <v>0</v>
      </c>
      <c r="DA2689" s="7">
        <f>0</f>
        <v>0</v>
      </c>
      <c r="DC2689" s="5" t="s">
        <v>309</v>
      </c>
      <c r="DD2689" s="5" t="s">
        <v>240</v>
      </c>
      <c r="DF2689" s="5" t="s">
        <v>309</v>
      </c>
      <c r="DG2689" s="7">
        <f>643</f>
        <v>643</v>
      </c>
      <c r="DI2689" s="5" t="s">
        <v>240</v>
      </c>
      <c r="DJ2689" s="5" t="s">
        <v>240</v>
      </c>
      <c r="DK2689" s="5" t="s">
        <v>240</v>
      </c>
      <c r="DL2689" s="5" t="s">
        <v>240</v>
      </c>
      <c r="DP2689" s="5" t="s">
        <v>240</v>
      </c>
      <c r="DQ2689" s="5" t="s">
        <v>240</v>
      </c>
      <c r="DR2689" s="5" t="s">
        <v>240</v>
      </c>
      <c r="DS2689" s="5" t="s">
        <v>240</v>
      </c>
      <c r="DV2689" s="5" t="s">
        <v>310</v>
      </c>
      <c r="DW2689" s="5" t="s">
        <v>3429</v>
      </c>
      <c r="HO2689" s="5" t="s">
        <v>312</v>
      </c>
    </row>
    <row r="2690" spans="1:223" x14ac:dyDescent="0.4">
      <c r="A2690" s="5">
        <v>4394</v>
      </c>
      <c r="B2690" s="5">
        <v>1</v>
      </c>
      <c r="C2690" s="5">
        <v>1</v>
      </c>
      <c r="D2690" s="5" t="s">
        <v>810</v>
      </c>
      <c r="E2690" s="5" t="s">
        <v>245</v>
      </c>
      <c r="F2690" s="5" t="s">
        <v>254</v>
      </c>
      <c r="G2690" s="5" t="s">
        <v>240</v>
      </c>
      <c r="H2690" s="6" t="s">
        <v>3163</v>
      </c>
      <c r="I2690" s="5" t="s">
        <v>809</v>
      </c>
      <c r="J2690" s="8">
        <f>517</f>
        <v>517</v>
      </c>
      <c r="K2690" s="5" t="s">
        <v>308</v>
      </c>
      <c r="L2690" s="7">
        <f>1</f>
        <v>1</v>
      </c>
      <c r="M2690" s="7">
        <f>1</f>
        <v>1</v>
      </c>
      <c r="N2690" s="5" t="s">
        <v>242</v>
      </c>
      <c r="O2690" s="5">
        <v>1</v>
      </c>
      <c r="P2690" s="5" t="s">
        <v>294</v>
      </c>
      <c r="Q2690" s="5" t="s">
        <v>266</v>
      </c>
      <c r="R2690" s="5" t="s">
        <v>240</v>
      </c>
      <c r="S2690" s="5" t="s">
        <v>240</v>
      </c>
      <c r="T2690" s="5" t="s">
        <v>296</v>
      </c>
      <c r="U2690" s="5" t="s">
        <v>244</v>
      </c>
      <c r="V2690" s="5" t="s">
        <v>240</v>
      </c>
      <c r="Y2690" s="5" t="s">
        <v>240</v>
      </c>
      <c r="Z2690" s="6" t="s">
        <v>298</v>
      </c>
      <c r="AB2690" s="6" t="s">
        <v>240</v>
      </c>
      <c r="AE2690" s="6" t="s">
        <v>299</v>
      </c>
      <c r="AF2690" s="5" t="s">
        <v>248</v>
      </c>
      <c r="AG2690" s="5" t="s">
        <v>249</v>
      </c>
      <c r="AW2690" s="5" t="s">
        <v>251</v>
      </c>
      <c r="AX2690" s="5" t="s">
        <v>240</v>
      </c>
      <c r="AY2690" s="5" t="s">
        <v>253</v>
      </c>
      <c r="AZ2690" s="5" t="s">
        <v>240</v>
      </c>
      <c r="BA2690" s="5" t="s">
        <v>255</v>
      </c>
      <c r="BB2690" s="5" t="s">
        <v>240</v>
      </c>
      <c r="BD2690" s="5" t="s">
        <v>240</v>
      </c>
      <c r="BF2690" s="5" t="s">
        <v>301</v>
      </c>
      <c r="BG2690" s="6" t="s">
        <v>299</v>
      </c>
      <c r="BH2690" s="5" t="s">
        <v>302</v>
      </c>
      <c r="BI2690" s="5" t="s">
        <v>303</v>
      </c>
      <c r="BJ2690" s="5" t="s">
        <v>240</v>
      </c>
      <c r="BK2690" s="8">
        <f>0</f>
        <v>0</v>
      </c>
      <c r="BL2690" s="7">
        <f>0</f>
        <v>0</v>
      </c>
      <c r="BM2690" s="5" t="s">
        <v>258</v>
      </c>
      <c r="BN2690" s="5" t="s">
        <v>259</v>
      </c>
      <c r="CB2690" s="5" t="s">
        <v>240</v>
      </c>
      <c r="CC2690" s="5" t="s">
        <v>240</v>
      </c>
      <c r="CG2690" s="5" t="s">
        <v>304</v>
      </c>
      <c r="CH2690" s="5" t="s">
        <v>305</v>
      </c>
      <c r="CI2690" s="5" t="s">
        <v>240</v>
      </c>
      <c r="CL2690" s="6" t="s">
        <v>261</v>
      </c>
      <c r="CM2690" s="5" t="s">
        <v>240</v>
      </c>
      <c r="CN2690" s="5" t="s">
        <v>263</v>
      </c>
      <c r="CO2690" s="5" t="s">
        <v>240</v>
      </c>
      <c r="CP2690" s="5" t="s">
        <v>240</v>
      </c>
      <c r="CQ2690" s="5">
        <v>0</v>
      </c>
      <c r="CR2690" s="5" t="s">
        <v>306</v>
      </c>
      <c r="CS2690" s="5" t="s">
        <v>307</v>
      </c>
      <c r="CT2690" s="5" t="s">
        <v>307</v>
      </c>
      <c r="CU2690" s="5" t="s">
        <v>260</v>
      </c>
      <c r="CX2690" s="7">
        <f>1</f>
        <v>1</v>
      </c>
      <c r="CY2690" s="7">
        <f>0</f>
        <v>0</v>
      </c>
      <c r="DA2690" s="7">
        <f>0</f>
        <v>0</v>
      </c>
      <c r="DC2690" s="5" t="s">
        <v>309</v>
      </c>
      <c r="DD2690" s="5" t="s">
        <v>240</v>
      </c>
      <c r="DF2690" s="5" t="s">
        <v>309</v>
      </c>
      <c r="DG2690" s="7">
        <f>2586</f>
        <v>2586</v>
      </c>
      <c r="DI2690" s="5" t="s">
        <v>240</v>
      </c>
      <c r="DJ2690" s="5" t="s">
        <v>240</v>
      </c>
      <c r="DK2690" s="5" t="s">
        <v>240</v>
      </c>
      <c r="DL2690" s="5" t="s">
        <v>240</v>
      </c>
      <c r="DP2690" s="5" t="s">
        <v>240</v>
      </c>
      <c r="DQ2690" s="5" t="s">
        <v>240</v>
      </c>
      <c r="DR2690" s="5" t="s">
        <v>240</v>
      </c>
      <c r="DS2690" s="5" t="s">
        <v>240</v>
      </c>
      <c r="DV2690" s="5" t="s">
        <v>310</v>
      </c>
      <c r="DW2690" s="5" t="s">
        <v>3431</v>
      </c>
      <c r="HO2690" s="5" t="s">
        <v>312</v>
      </c>
    </row>
    <row r="2691" spans="1:223" x14ac:dyDescent="0.4">
      <c r="A2691" s="5">
        <v>4395</v>
      </c>
      <c r="B2691" s="5">
        <v>1</v>
      </c>
      <c r="C2691" s="5">
        <v>1</v>
      </c>
      <c r="D2691" s="5" t="s">
        <v>810</v>
      </c>
      <c r="E2691" s="5" t="s">
        <v>245</v>
      </c>
      <c r="F2691" s="5" t="s">
        <v>254</v>
      </c>
      <c r="G2691" s="5" t="s">
        <v>240</v>
      </c>
      <c r="H2691" s="6" t="s">
        <v>3161</v>
      </c>
      <c r="I2691" s="5" t="s">
        <v>809</v>
      </c>
      <c r="J2691" s="8">
        <f>152</f>
        <v>152</v>
      </c>
      <c r="K2691" s="5" t="s">
        <v>308</v>
      </c>
      <c r="L2691" s="7">
        <f>1</f>
        <v>1</v>
      </c>
      <c r="M2691" s="7">
        <f>1</f>
        <v>1</v>
      </c>
      <c r="N2691" s="5" t="s">
        <v>242</v>
      </c>
      <c r="O2691" s="5">
        <v>1</v>
      </c>
      <c r="P2691" s="5" t="s">
        <v>294</v>
      </c>
      <c r="Q2691" s="5" t="s">
        <v>266</v>
      </c>
      <c r="R2691" s="5" t="s">
        <v>240</v>
      </c>
      <c r="S2691" s="5" t="s">
        <v>240</v>
      </c>
      <c r="T2691" s="5" t="s">
        <v>296</v>
      </c>
      <c r="U2691" s="5" t="s">
        <v>244</v>
      </c>
      <c r="V2691" s="5" t="s">
        <v>240</v>
      </c>
      <c r="Y2691" s="5" t="s">
        <v>240</v>
      </c>
      <c r="Z2691" s="6" t="s">
        <v>298</v>
      </c>
      <c r="AB2691" s="6" t="s">
        <v>240</v>
      </c>
      <c r="AE2691" s="6" t="s">
        <v>299</v>
      </c>
      <c r="AF2691" s="5" t="s">
        <v>248</v>
      </c>
      <c r="AG2691" s="5" t="s">
        <v>249</v>
      </c>
      <c r="AW2691" s="5" t="s">
        <v>251</v>
      </c>
      <c r="AX2691" s="5" t="s">
        <v>240</v>
      </c>
      <c r="AY2691" s="5" t="s">
        <v>253</v>
      </c>
      <c r="AZ2691" s="5" t="s">
        <v>240</v>
      </c>
      <c r="BA2691" s="5" t="s">
        <v>255</v>
      </c>
      <c r="BB2691" s="5" t="s">
        <v>240</v>
      </c>
      <c r="BD2691" s="5" t="s">
        <v>240</v>
      </c>
      <c r="BF2691" s="5" t="s">
        <v>301</v>
      </c>
      <c r="BG2691" s="6" t="s">
        <v>299</v>
      </c>
      <c r="BH2691" s="5" t="s">
        <v>302</v>
      </c>
      <c r="BI2691" s="5" t="s">
        <v>303</v>
      </c>
      <c r="BJ2691" s="5" t="s">
        <v>240</v>
      </c>
      <c r="BK2691" s="8">
        <f>0</f>
        <v>0</v>
      </c>
      <c r="BL2691" s="7">
        <f>0</f>
        <v>0</v>
      </c>
      <c r="BM2691" s="5" t="s">
        <v>258</v>
      </c>
      <c r="BN2691" s="5" t="s">
        <v>259</v>
      </c>
      <c r="CB2691" s="5" t="s">
        <v>240</v>
      </c>
      <c r="CC2691" s="5" t="s">
        <v>240</v>
      </c>
      <c r="CG2691" s="5" t="s">
        <v>304</v>
      </c>
      <c r="CH2691" s="5" t="s">
        <v>305</v>
      </c>
      <c r="CI2691" s="5" t="s">
        <v>240</v>
      </c>
      <c r="CL2691" s="6" t="s">
        <v>261</v>
      </c>
      <c r="CM2691" s="5" t="s">
        <v>240</v>
      </c>
      <c r="CN2691" s="5" t="s">
        <v>263</v>
      </c>
      <c r="CO2691" s="5" t="s">
        <v>240</v>
      </c>
      <c r="CP2691" s="5" t="s">
        <v>240</v>
      </c>
      <c r="CQ2691" s="5">
        <v>0</v>
      </c>
      <c r="CR2691" s="5" t="s">
        <v>306</v>
      </c>
      <c r="CS2691" s="5" t="s">
        <v>307</v>
      </c>
      <c r="CT2691" s="5" t="s">
        <v>307</v>
      </c>
      <c r="CU2691" s="5" t="s">
        <v>260</v>
      </c>
      <c r="CX2691" s="7">
        <f>1</f>
        <v>1</v>
      </c>
      <c r="CY2691" s="7">
        <f>0</f>
        <v>0</v>
      </c>
      <c r="DA2691" s="7">
        <f>0</f>
        <v>0</v>
      </c>
      <c r="DC2691" s="5" t="s">
        <v>309</v>
      </c>
      <c r="DD2691" s="5" t="s">
        <v>240</v>
      </c>
      <c r="DF2691" s="5" t="s">
        <v>309</v>
      </c>
      <c r="DG2691" s="7">
        <f>848</f>
        <v>848</v>
      </c>
      <c r="DI2691" s="5" t="s">
        <v>240</v>
      </c>
      <c r="DJ2691" s="5" t="s">
        <v>240</v>
      </c>
      <c r="DK2691" s="5" t="s">
        <v>240</v>
      </c>
      <c r="DL2691" s="5" t="s">
        <v>240</v>
      </c>
      <c r="DP2691" s="5" t="s">
        <v>240</v>
      </c>
      <c r="DQ2691" s="5" t="s">
        <v>240</v>
      </c>
      <c r="DR2691" s="5" t="s">
        <v>240</v>
      </c>
      <c r="DS2691" s="5" t="s">
        <v>240</v>
      </c>
      <c r="DV2691" s="5" t="s">
        <v>310</v>
      </c>
      <c r="DW2691" s="5" t="s">
        <v>3433</v>
      </c>
      <c r="HO2691" s="5" t="s">
        <v>312</v>
      </c>
    </row>
    <row r="2692" spans="1:223" x14ac:dyDescent="0.4">
      <c r="A2692" s="5">
        <v>4396</v>
      </c>
      <c r="B2692" s="5">
        <v>1</v>
      </c>
      <c r="C2692" s="5">
        <v>1</v>
      </c>
      <c r="D2692" s="5" t="s">
        <v>810</v>
      </c>
      <c r="E2692" s="5" t="s">
        <v>245</v>
      </c>
      <c r="F2692" s="5" t="s">
        <v>254</v>
      </c>
      <c r="G2692" s="5" t="s">
        <v>240</v>
      </c>
      <c r="H2692" s="6" t="s">
        <v>3159</v>
      </c>
      <c r="I2692" s="5" t="s">
        <v>809</v>
      </c>
      <c r="J2692" s="8">
        <f>122</f>
        <v>122</v>
      </c>
      <c r="K2692" s="5" t="s">
        <v>308</v>
      </c>
      <c r="L2692" s="7">
        <f>1</f>
        <v>1</v>
      </c>
      <c r="M2692" s="7">
        <f>1</f>
        <v>1</v>
      </c>
      <c r="N2692" s="5" t="s">
        <v>242</v>
      </c>
      <c r="O2692" s="5">
        <v>1</v>
      </c>
      <c r="P2692" s="5" t="s">
        <v>294</v>
      </c>
      <c r="Q2692" s="5" t="s">
        <v>266</v>
      </c>
      <c r="R2692" s="5" t="s">
        <v>240</v>
      </c>
      <c r="S2692" s="5" t="s">
        <v>240</v>
      </c>
      <c r="T2692" s="5" t="s">
        <v>296</v>
      </c>
      <c r="U2692" s="5" t="s">
        <v>244</v>
      </c>
      <c r="V2692" s="5" t="s">
        <v>240</v>
      </c>
      <c r="Y2692" s="5" t="s">
        <v>240</v>
      </c>
      <c r="Z2692" s="6" t="s">
        <v>298</v>
      </c>
      <c r="AB2692" s="6" t="s">
        <v>240</v>
      </c>
      <c r="AE2692" s="6" t="s">
        <v>299</v>
      </c>
      <c r="AF2692" s="5" t="s">
        <v>248</v>
      </c>
      <c r="AG2692" s="5" t="s">
        <v>249</v>
      </c>
      <c r="AW2692" s="5" t="s">
        <v>251</v>
      </c>
      <c r="AX2692" s="5" t="s">
        <v>240</v>
      </c>
      <c r="AY2692" s="5" t="s">
        <v>253</v>
      </c>
      <c r="AZ2692" s="5" t="s">
        <v>240</v>
      </c>
      <c r="BA2692" s="5" t="s">
        <v>255</v>
      </c>
      <c r="BB2692" s="5" t="s">
        <v>240</v>
      </c>
      <c r="BD2692" s="5" t="s">
        <v>240</v>
      </c>
      <c r="BF2692" s="5" t="s">
        <v>301</v>
      </c>
      <c r="BG2692" s="6" t="s">
        <v>299</v>
      </c>
      <c r="BH2692" s="5" t="s">
        <v>302</v>
      </c>
      <c r="BI2692" s="5" t="s">
        <v>303</v>
      </c>
      <c r="BJ2692" s="5" t="s">
        <v>240</v>
      </c>
      <c r="BK2692" s="8">
        <f>0</f>
        <v>0</v>
      </c>
      <c r="BL2692" s="7">
        <f>0</f>
        <v>0</v>
      </c>
      <c r="BM2692" s="5" t="s">
        <v>258</v>
      </c>
      <c r="BN2692" s="5" t="s">
        <v>259</v>
      </c>
      <c r="CB2692" s="5" t="s">
        <v>240</v>
      </c>
      <c r="CC2692" s="5" t="s">
        <v>240</v>
      </c>
      <c r="CG2692" s="5" t="s">
        <v>304</v>
      </c>
      <c r="CH2692" s="5" t="s">
        <v>305</v>
      </c>
      <c r="CI2692" s="5" t="s">
        <v>240</v>
      </c>
      <c r="CL2692" s="6" t="s">
        <v>261</v>
      </c>
      <c r="CM2692" s="5" t="s">
        <v>240</v>
      </c>
      <c r="CN2692" s="5" t="s">
        <v>263</v>
      </c>
      <c r="CO2692" s="5" t="s">
        <v>240</v>
      </c>
      <c r="CP2692" s="5" t="s">
        <v>240</v>
      </c>
      <c r="CQ2692" s="5">
        <v>0</v>
      </c>
      <c r="CR2692" s="5" t="s">
        <v>306</v>
      </c>
      <c r="CS2692" s="5" t="s">
        <v>307</v>
      </c>
      <c r="CT2692" s="5" t="s">
        <v>307</v>
      </c>
      <c r="CU2692" s="5" t="s">
        <v>260</v>
      </c>
      <c r="CX2692" s="7">
        <f>1</f>
        <v>1</v>
      </c>
      <c r="CY2692" s="7">
        <f>0</f>
        <v>0</v>
      </c>
      <c r="DA2692" s="7">
        <f>0</f>
        <v>0</v>
      </c>
      <c r="DC2692" s="5" t="s">
        <v>309</v>
      </c>
      <c r="DD2692" s="5" t="s">
        <v>240</v>
      </c>
      <c r="DF2692" s="5" t="s">
        <v>309</v>
      </c>
      <c r="DG2692" s="7">
        <f>1382</f>
        <v>1382</v>
      </c>
      <c r="DI2692" s="5" t="s">
        <v>240</v>
      </c>
      <c r="DJ2692" s="5" t="s">
        <v>240</v>
      </c>
      <c r="DK2692" s="5" t="s">
        <v>240</v>
      </c>
      <c r="DL2692" s="5" t="s">
        <v>240</v>
      </c>
      <c r="DP2692" s="5" t="s">
        <v>240</v>
      </c>
      <c r="DQ2692" s="5" t="s">
        <v>240</v>
      </c>
      <c r="DR2692" s="5" t="s">
        <v>240</v>
      </c>
      <c r="DS2692" s="5" t="s">
        <v>240</v>
      </c>
      <c r="DV2692" s="5" t="s">
        <v>310</v>
      </c>
      <c r="DW2692" s="5" t="s">
        <v>3435</v>
      </c>
      <c r="HO2692" s="5" t="s">
        <v>312</v>
      </c>
    </row>
    <row r="2693" spans="1:223" x14ac:dyDescent="0.4">
      <c r="A2693" s="5">
        <v>4397</v>
      </c>
      <c r="B2693" s="5">
        <v>1</v>
      </c>
      <c r="C2693" s="5">
        <v>1</v>
      </c>
      <c r="D2693" s="5" t="s">
        <v>810</v>
      </c>
      <c r="E2693" s="5" t="s">
        <v>245</v>
      </c>
      <c r="F2693" s="5" t="s">
        <v>254</v>
      </c>
      <c r="G2693" s="5" t="s">
        <v>240</v>
      </c>
      <c r="H2693" s="6" t="s">
        <v>3157</v>
      </c>
      <c r="I2693" s="5" t="s">
        <v>809</v>
      </c>
      <c r="J2693" s="8">
        <f>1455</f>
        <v>1455</v>
      </c>
      <c r="K2693" s="5" t="s">
        <v>308</v>
      </c>
      <c r="L2693" s="7">
        <f>1</f>
        <v>1</v>
      </c>
      <c r="M2693" s="7">
        <f>1</f>
        <v>1</v>
      </c>
      <c r="N2693" s="5" t="s">
        <v>242</v>
      </c>
      <c r="O2693" s="5">
        <v>1</v>
      </c>
      <c r="P2693" s="5" t="s">
        <v>294</v>
      </c>
      <c r="Q2693" s="5" t="s">
        <v>266</v>
      </c>
      <c r="R2693" s="5" t="s">
        <v>240</v>
      </c>
      <c r="S2693" s="5" t="s">
        <v>240</v>
      </c>
      <c r="T2693" s="5" t="s">
        <v>296</v>
      </c>
      <c r="U2693" s="5" t="s">
        <v>244</v>
      </c>
      <c r="V2693" s="5" t="s">
        <v>240</v>
      </c>
      <c r="Y2693" s="5" t="s">
        <v>240</v>
      </c>
      <c r="Z2693" s="6" t="s">
        <v>298</v>
      </c>
      <c r="AB2693" s="6" t="s">
        <v>240</v>
      </c>
      <c r="AE2693" s="6" t="s">
        <v>299</v>
      </c>
      <c r="AF2693" s="5" t="s">
        <v>248</v>
      </c>
      <c r="AG2693" s="5" t="s">
        <v>249</v>
      </c>
      <c r="AW2693" s="5" t="s">
        <v>251</v>
      </c>
      <c r="AX2693" s="5" t="s">
        <v>240</v>
      </c>
      <c r="AY2693" s="5" t="s">
        <v>253</v>
      </c>
      <c r="AZ2693" s="5" t="s">
        <v>240</v>
      </c>
      <c r="BA2693" s="5" t="s">
        <v>255</v>
      </c>
      <c r="BB2693" s="5" t="s">
        <v>240</v>
      </c>
      <c r="BD2693" s="5" t="s">
        <v>240</v>
      </c>
      <c r="BF2693" s="5" t="s">
        <v>301</v>
      </c>
      <c r="BG2693" s="6" t="s">
        <v>299</v>
      </c>
      <c r="BH2693" s="5" t="s">
        <v>302</v>
      </c>
      <c r="BI2693" s="5" t="s">
        <v>303</v>
      </c>
      <c r="BJ2693" s="5" t="s">
        <v>240</v>
      </c>
      <c r="BK2693" s="8">
        <f>0</f>
        <v>0</v>
      </c>
      <c r="BL2693" s="7">
        <f>0</f>
        <v>0</v>
      </c>
      <c r="BM2693" s="5" t="s">
        <v>258</v>
      </c>
      <c r="BN2693" s="5" t="s">
        <v>259</v>
      </c>
      <c r="CB2693" s="5" t="s">
        <v>240</v>
      </c>
      <c r="CC2693" s="5" t="s">
        <v>240</v>
      </c>
      <c r="CG2693" s="5" t="s">
        <v>304</v>
      </c>
      <c r="CH2693" s="5" t="s">
        <v>305</v>
      </c>
      <c r="CI2693" s="5" t="s">
        <v>240</v>
      </c>
      <c r="CL2693" s="6" t="s">
        <v>261</v>
      </c>
      <c r="CM2693" s="5" t="s">
        <v>240</v>
      </c>
      <c r="CN2693" s="5" t="s">
        <v>263</v>
      </c>
      <c r="CO2693" s="5" t="s">
        <v>240</v>
      </c>
      <c r="CP2693" s="5" t="s">
        <v>240</v>
      </c>
      <c r="CQ2693" s="5">
        <v>0</v>
      </c>
      <c r="CR2693" s="5" t="s">
        <v>306</v>
      </c>
      <c r="CS2693" s="5" t="s">
        <v>307</v>
      </c>
      <c r="CT2693" s="5" t="s">
        <v>307</v>
      </c>
      <c r="CU2693" s="5" t="s">
        <v>260</v>
      </c>
      <c r="CX2693" s="7">
        <f>1</f>
        <v>1</v>
      </c>
      <c r="CY2693" s="7">
        <f>0</f>
        <v>0</v>
      </c>
      <c r="DA2693" s="7">
        <f>0</f>
        <v>0</v>
      </c>
      <c r="DC2693" s="5" t="s">
        <v>309</v>
      </c>
      <c r="DD2693" s="5" t="s">
        <v>240</v>
      </c>
      <c r="DF2693" s="5" t="s">
        <v>309</v>
      </c>
      <c r="DG2693" s="7">
        <f>275</f>
        <v>275</v>
      </c>
      <c r="DI2693" s="5" t="s">
        <v>240</v>
      </c>
      <c r="DJ2693" s="5" t="s">
        <v>240</v>
      </c>
      <c r="DK2693" s="5" t="s">
        <v>240</v>
      </c>
      <c r="DL2693" s="5" t="s">
        <v>240</v>
      </c>
      <c r="DP2693" s="5" t="s">
        <v>240</v>
      </c>
      <c r="DQ2693" s="5" t="s">
        <v>240</v>
      </c>
      <c r="DR2693" s="5" t="s">
        <v>240</v>
      </c>
      <c r="DS2693" s="5" t="s">
        <v>240</v>
      </c>
      <c r="DV2693" s="5" t="s">
        <v>310</v>
      </c>
      <c r="DW2693" s="5" t="s">
        <v>3437</v>
      </c>
      <c r="HO2693" s="5" t="s">
        <v>312</v>
      </c>
    </row>
    <row r="2694" spans="1:223" x14ac:dyDescent="0.4">
      <c r="A2694" s="5">
        <v>4398</v>
      </c>
      <c r="B2694" s="5">
        <v>1</v>
      </c>
      <c r="C2694" s="5">
        <v>1</v>
      </c>
      <c r="D2694" s="5" t="s">
        <v>810</v>
      </c>
      <c r="E2694" s="5" t="s">
        <v>245</v>
      </c>
      <c r="F2694" s="5" t="s">
        <v>254</v>
      </c>
      <c r="G2694" s="5" t="s">
        <v>240</v>
      </c>
      <c r="H2694" s="6" t="s">
        <v>3155</v>
      </c>
      <c r="I2694" s="5" t="s">
        <v>809</v>
      </c>
      <c r="J2694" s="8">
        <f>632</f>
        <v>632</v>
      </c>
      <c r="K2694" s="5" t="s">
        <v>308</v>
      </c>
      <c r="L2694" s="7">
        <f>1</f>
        <v>1</v>
      </c>
      <c r="M2694" s="7">
        <f>1</f>
        <v>1</v>
      </c>
      <c r="N2694" s="5" t="s">
        <v>242</v>
      </c>
      <c r="O2694" s="5">
        <v>1</v>
      </c>
      <c r="P2694" s="5" t="s">
        <v>294</v>
      </c>
      <c r="Q2694" s="5" t="s">
        <v>266</v>
      </c>
      <c r="R2694" s="5" t="s">
        <v>240</v>
      </c>
      <c r="S2694" s="5" t="s">
        <v>240</v>
      </c>
      <c r="T2694" s="5" t="s">
        <v>296</v>
      </c>
      <c r="U2694" s="5" t="s">
        <v>244</v>
      </c>
      <c r="V2694" s="5" t="s">
        <v>240</v>
      </c>
      <c r="Y2694" s="5" t="s">
        <v>240</v>
      </c>
      <c r="Z2694" s="6" t="s">
        <v>298</v>
      </c>
      <c r="AB2694" s="6" t="s">
        <v>240</v>
      </c>
      <c r="AE2694" s="6" t="s">
        <v>299</v>
      </c>
      <c r="AF2694" s="5" t="s">
        <v>248</v>
      </c>
      <c r="AG2694" s="5" t="s">
        <v>249</v>
      </c>
      <c r="AW2694" s="5" t="s">
        <v>251</v>
      </c>
      <c r="AX2694" s="5" t="s">
        <v>240</v>
      </c>
      <c r="AY2694" s="5" t="s">
        <v>253</v>
      </c>
      <c r="AZ2694" s="5" t="s">
        <v>240</v>
      </c>
      <c r="BA2694" s="5" t="s">
        <v>255</v>
      </c>
      <c r="BB2694" s="5" t="s">
        <v>240</v>
      </c>
      <c r="BD2694" s="5" t="s">
        <v>240</v>
      </c>
      <c r="BF2694" s="5" t="s">
        <v>301</v>
      </c>
      <c r="BG2694" s="6" t="s">
        <v>299</v>
      </c>
      <c r="BH2694" s="5" t="s">
        <v>302</v>
      </c>
      <c r="BI2694" s="5" t="s">
        <v>303</v>
      </c>
      <c r="BJ2694" s="5" t="s">
        <v>240</v>
      </c>
      <c r="BK2694" s="8">
        <f>0</f>
        <v>0</v>
      </c>
      <c r="BL2694" s="7">
        <f>0</f>
        <v>0</v>
      </c>
      <c r="BM2694" s="5" t="s">
        <v>258</v>
      </c>
      <c r="BN2694" s="5" t="s">
        <v>259</v>
      </c>
      <c r="CB2694" s="5" t="s">
        <v>240</v>
      </c>
      <c r="CC2694" s="5" t="s">
        <v>240</v>
      </c>
      <c r="CG2694" s="5" t="s">
        <v>304</v>
      </c>
      <c r="CH2694" s="5" t="s">
        <v>305</v>
      </c>
      <c r="CI2694" s="5" t="s">
        <v>240</v>
      </c>
      <c r="CL2694" s="6" t="s">
        <v>261</v>
      </c>
      <c r="CM2694" s="5" t="s">
        <v>240</v>
      </c>
      <c r="CN2694" s="5" t="s">
        <v>263</v>
      </c>
      <c r="CO2694" s="5" t="s">
        <v>240</v>
      </c>
      <c r="CP2694" s="5" t="s">
        <v>240</v>
      </c>
      <c r="CQ2694" s="5">
        <v>0</v>
      </c>
      <c r="CR2694" s="5" t="s">
        <v>306</v>
      </c>
      <c r="CS2694" s="5" t="s">
        <v>307</v>
      </c>
      <c r="CT2694" s="5" t="s">
        <v>307</v>
      </c>
      <c r="CU2694" s="5" t="s">
        <v>260</v>
      </c>
      <c r="CX2694" s="7">
        <f>1</f>
        <v>1</v>
      </c>
      <c r="CY2694" s="7">
        <f>0</f>
        <v>0</v>
      </c>
      <c r="DA2694" s="7">
        <f>0</f>
        <v>0</v>
      </c>
      <c r="DC2694" s="5" t="s">
        <v>812</v>
      </c>
      <c r="DD2694" s="5" t="s">
        <v>240</v>
      </c>
      <c r="DF2694" s="5" t="s">
        <v>812</v>
      </c>
      <c r="DG2694" s="7">
        <f>2084</f>
        <v>2084</v>
      </c>
      <c r="DI2694" s="5" t="s">
        <v>240</v>
      </c>
      <c r="DJ2694" s="5" t="s">
        <v>240</v>
      </c>
      <c r="DK2694" s="5" t="s">
        <v>240</v>
      </c>
      <c r="DL2694" s="5" t="s">
        <v>240</v>
      </c>
      <c r="DP2694" s="5" t="s">
        <v>240</v>
      </c>
      <c r="DQ2694" s="5" t="s">
        <v>240</v>
      </c>
      <c r="DR2694" s="5" t="s">
        <v>240</v>
      </c>
      <c r="DS2694" s="5" t="s">
        <v>240</v>
      </c>
      <c r="DV2694" s="5" t="s">
        <v>813</v>
      </c>
      <c r="DW2694" s="5" t="s">
        <v>4822</v>
      </c>
      <c r="HO2694" s="5" t="s">
        <v>312</v>
      </c>
    </row>
    <row r="2695" spans="1:223" x14ac:dyDescent="0.4">
      <c r="A2695" s="5">
        <v>4399</v>
      </c>
      <c r="B2695" s="5">
        <v>1</v>
      </c>
      <c r="C2695" s="5">
        <v>1</v>
      </c>
      <c r="D2695" s="5" t="s">
        <v>810</v>
      </c>
      <c r="E2695" s="5" t="s">
        <v>245</v>
      </c>
      <c r="F2695" s="5" t="s">
        <v>254</v>
      </c>
      <c r="G2695" s="5" t="s">
        <v>240</v>
      </c>
      <c r="H2695" s="6" t="s">
        <v>3153</v>
      </c>
      <c r="I2695" s="5" t="s">
        <v>809</v>
      </c>
      <c r="J2695" s="8">
        <f>1966</f>
        <v>1966</v>
      </c>
      <c r="K2695" s="5" t="s">
        <v>308</v>
      </c>
      <c r="L2695" s="7">
        <f>1</f>
        <v>1</v>
      </c>
      <c r="M2695" s="7">
        <f>1</f>
        <v>1</v>
      </c>
      <c r="N2695" s="5" t="s">
        <v>242</v>
      </c>
      <c r="O2695" s="5">
        <v>1</v>
      </c>
      <c r="P2695" s="5" t="s">
        <v>294</v>
      </c>
      <c r="Q2695" s="5" t="s">
        <v>266</v>
      </c>
      <c r="R2695" s="5" t="s">
        <v>240</v>
      </c>
      <c r="S2695" s="5" t="s">
        <v>240</v>
      </c>
      <c r="T2695" s="5" t="s">
        <v>296</v>
      </c>
      <c r="U2695" s="5" t="s">
        <v>244</v>
      </c>
      <c r="V2695" s="5" t="s">
        <v>240</v>
      </c>
      <c r="Y2695" s="5" t="s">
        <v>240</v>
      </c>
      <c r="Z2695" s="6" t="s">
        <v>298</v>
      </c>
      <c r="AB2695" s="6" t="s">
        <v>240</v>
      </c>
      <c r="AE2695" s="6" t="s">
        <v>299</v>
      </c>
      <c r="AF2695" s="5" t="s">
        <v>248</v>
      </c>
      <c r="AG2695" s="5" t="s">
        <v>249</v>
      </c>
      <c r="AW2695" s="5" t="s">
        <v>251</v>
      </c>
      <c r="AX2695" s="5" t="s">
        <v>240</v>
      </c>
      <c r="AY2695" s="5" t="s">
        <v>253</v>
      </c>
      <c r="AZ2695" s="5" t="s">
        <v>240</v>
      </c>
      <c r="BA2695" s="5" t="s">
        <v>255</v>
      </c>
      <c r="BB2695" s="5" t="s">
        <v>240</v>
      </c>
      <c r="BD2695" s="5" t="s">
        <v>240</v>
      </c>
      <c r="BF2695" s="5" t="s">
        <v>301</v>
      </c>
      <c r="BG2695" s="6" t="s">
        <v>299</v>
      </c>
      <c r="BH2695" s="5" t="s">
        <v>302</v>
      </c>
      <c r="BI2695" s="5" t="s">
        <v>303</v>
      </c>
      <c r="BJ2695" s="5" t="s">
        <v>240</v>
      </c>
      <c r="BK2695" s="8">
        <f>0</f>
        <v>0</v>
      </c>
      <c r="BL2695" s="7">
        <f>0</f>
        <v>0</v>
      </c>
      <c r="BM2695" s="5" t="s">
        <v>258</v>
      </c>
      <c r="BN2695" s="5" t="s">
        <v>259</v>
      </c>
      <c r="CB2695" s="5" t="s">
        <v>240</v>
      </c>
      <c r="CC2695" s="5" t="s">
        <v>240</v>
      </c>
      <c r="CG2695" s="5" t="s">
        <v>304</v>
      </c>
      <c r="CH2695" s="5" t="s">
        <v>305</v>
      </c>
      <c r="CI2695" s="5" t="s">
        <v>240</v>
      </c>
      <c r="CL2695" s="6" t="s">
        <v>261</v>
      </c>
      <c r="CM2695" s="5" t="s">
        <v>240</v>
      </c>
      <c r="CN2695" s="5" t="s">
        <v>263</v>
      </c>
      <c r="CO2695" s="5" t="s">
        <v>240</v>
      </c>
      <c r="CP2695" s="5" t="s">
        <v>240</v>
      </c>
      <c r="CQ2695" s="5">
        <v>0</v>
      </c>
      <c r="CR2695" s="5" t="s">
        <v>306</v>
      </c>
      <c r="CS2695" s="5" t="s">
        <v>307</v>
      </c>
      <c r="CT2695" s="5" t="s">
        <v>307</v>
      </c>
      <c r="CU2695" s="5" t="s">
        <v>260</v>
      </c>
      <c r="CX2695" s="7">
        <f>1</f>
        <v>1</v>
      </c>
      <c r="CY2695" s="7">
        <f>0</f>
        <v>0</v>
      </c>
      <c r="DA2695" s="7">
        <f>0</f>
        <v>0</v>
      </c>
      <c r="DC2695" s="5" t="s">
        <v>309</v>
      </c>
      <c r="DD2695" s="5" t="s">
        <v>240</v>
      </c>
      <c r="DF2695" s="5" t="s">
        <v>309</v>
      </c>
      <c r="DG2695" s="7">
        <f>159</f>
        <v>159</v>
      </c>
      <c r="DI2695" s="5" t="s">
        <v>240</v>
      </c>
      <c r="DJ2695" s="5" t="s">
        <v>240</v>
      </c>
      <c r="DK2695" s="5" t="s">
        <v>240</v>
      </c>
      <c r="DL2695" s="5" t="s">
        <v>240</v>
      </c>
      <c r="DP2695" s="5" t="s">
        <v>240</v>
      </c>
      <c r="DQ2695" s="5" t="s">
        <v>240</v>
      </c>
      <c r="DR2695" s="5" t="s">
        <v>240</v>
      </c>
      <c r="DS2695" s="5" t="s">
        <v>240</v>
      </c>
      <c r="DV2695" s="5" t="s">
        <v>310</v>
      </c>
      <c r="DW2695" s="5" t="s">
        <v>3441</v>
      </c>
      <c r="HO2695" s="5" t="s">
        <v>312</v>
      </c>
    </row>
    <row r="2696" spans="1:223" x14ac:dyDescent="0.4">
      <c r="A2696" s="5">
        <v>4400</v>
      </c>
      <c r="B2696" s="5">
        <v>1</v>
      </c>
      <c r="C2696" s="5">
        <v>1</v>
      </c>
      <c r="D2696" s="5" t="s">
        <v>810</v>
      </c>
      <c r="E2696" s="5" t="s">
        <v>245</v>
      </c>
      <c r="F2696" s="5" t="s">
        <v>254</v>
      </c>
      <c r="G2696" s="5" t="s">
        <v>240</v>
      </c>
      <c r="H2696" s="6" t="s">
        <v>3151</v>
      </c>
      <c r="I2696" s="5" t="s">
        <v>809</v>
      </c>
      <c r="J2696" s="8">
        <f>2082</f>
        <v>2082</v>
      </c>
      <c r="K2696" s="5" t="s">
        <v>308</v>
      </c>
      <c r="L2696" s="7">
        <f>1</f>
        <v>1</v>
      </c>
      <c r="M2696" s="7">
        <f>1</f>
        <v>1</v>
      </c>
      <c r="N2696" s="5" t="s">
        <v>242</v>
      </c>
      <c r="O2696" s="5">
        <v>1</v>
      </c>
      <c r="P2696" s="5" t="s">
        <v>294</v>
      </c>
      <c r="Q2696" s="5" t="s">
        <v>266</v>
      </c>
      <c r="R2696" s="5" t="s">
        <v>240</v>
      </c>
      <c r="S2696" s="5" t="s">
        <v>240</v>
      </c>
      <c r="T2696" s="5" t="s">
        <v>296</v>
      </c>
      <c r="U2696" s="5" t="s">
        <v>244</v>
      </c>
      <c r="V2696" s="5" t="s">
        <v>240</v>
      </c>
      <c r="Y2696" s="5" t="s">
        <v>240</v>
      </c>
      <c r="Z2696" s="6" t="s">
        <v>298</v>
      </c>
      <c r="AB2696" s="6" t="s">
        <v>240</v>
      </c>
      <c r="AE2696" s="6" t="s">
        <v>299</v>
      </c>
      <c r="AF2696" s="5" t="s">
        <v>248</v>
      </c>
      <c r="AG2696" s="5" t="s">
        <v>249</v>
      </c>
      <c r="AW2696" s="5" t="s">
        <v>251</v>
      </c>
      <c r="AX2696" s="5" t="s">
        <v>240</v>
      </c>
      <c r="AY2696" s="5" t="s">
        <v>253</v>
      </c>
      <c r="AZ2696" s="5" t="s">
        <v>240</v>
      </c>
      <c r="BA2696" s="5" t="s">
        <v>255</v>
      </c>
      <c r="BB2696" s="5" t="s">
        <v>240</v>
      </c>
      <c r="BD2696" s="5" t="s">
        <v>240</v>
      </c>
      <c r="BF2696" s="5" t="s">
        <v>301</v>
      </c>
      <c r="BG2696" s="6" t="s">
        <v>299</v>
      </c>
      <c r="BH2696" s="5" t="s">
        <v>302</v>
      </c>
      <c r="BI2696" s="5" t="s">
        <v>303</v>
      </c>
      <c r="BJ2696" s="5" t="s">
        <v>240</v>
      </c>
      <c r="BK2696" s="8">
        <f>0</f>
        <v>0</v>
      </c>
      <c r="BL2696" s="7">
        <f>0</f>
        <v>0</v>
      </c>
      <c r="BM2696" s="5" t="s">
        <v>258</v>
      </c>
      <c r="BN2696" s="5" t="s">
        <v>259</v>
      </c>
      <c r="CB2696" s="5" t="s">
        <v>240</v>
      </c>
      <c r="CC2696" s="5" t="s">
        <v>240</v>
      </c>
      <c r="CG2696" s="5" t="s">
        <v>304</v>
      </c>
      <c r="CH2696" s="5" t="s">
        <v>305</v>
      </c>
      <c r="CI2696" s="5" t="s">
        <v>240</v>
      </c>
      <c r="CL2696" s="6" t="s">
        <v>261</v>
      </c>
      <c r="CM2696" s="5" t="s">
        <v>240</v>
      </c>
      <c r="CN2696" s="5" t="s">
        <v>263</v>
      </c>
      <c r="CO2696" s="5" t="s">
        <v>240</v>
      </c>
      <c r="CP2696" s="5" t="s">
        <v>240</v>
      </c>
      <c r="CQ2696" s="5">
        <v>0</v>
      </c>
      <c r="CR2696" s="5" t="s">
        <v>306</v>
      </c>
      <c r="CS2696" s="5" t="s">
        <v>307</v>
      </c>
      <c r="CT2696" s="5" t="s">
        <v>307</v>
      </c>
      <c r="CU2696" s="5" t="s">
        <v>260</v>
      </c>
      <c r="CX2696" s="7">
        <f>1</f>
        <v>1</v>
      </c>
      <c r="CY2696" s="7">
        <f>0</f>
        <v>0</v>
      </c>
      <c r="DA2696" s="7">
        <f>0</f>
        <v>0</v>
      </c>
      <c r="DC2696" s="5" t="s">
        <v>309</v>
      </c>
      <c r="DD2696" s="5" t="s">
        <v>240</v>
      </c>
      <c r="DF2696" s="5" t="s">
        <v>309</v>
      </c>
      <c r="DG2696" s="7">
        <f>1617</f>
        <v>1617</v>
      </c>
      <c r="DI2696" s="5" t="s">
        <v>240</v>
      </c>
      <c r="DJ2696" s="5" t="s">
        <v>240</v>
      </c>
      <c r="DK2696" s="5" t="s">
        <v>240</v>
      </c>
      <c r="DL2696" s="5" t="s">
        <v>240</v>
      </c>
      <c r="DP2696" s="5" t="s">
        <v>240</v>
      </c>
      <c r="DQ2696" s="5" t="s">
        <v>240</v>
      </c>
      <c r="DR2696" s="5" t="s">
        <v>240</v>
      </c>
      <c r="DS2696" s="5" t="s">
        <v>240</v>
      </c>
      <c r="DV2696" s="5" t="s">
        <v>310</v>
      </c>
      <c r="DW2696" s="5" t="s">
        <v>3443</v>
      </c>
      <c r="HO2696" s="5" t="s">
        <v>312</v>
      </c>
    </row>
    <row r="2697" spans="1:223" x14ac:dyDescent="0.4">
      <c r="A2697" s="5">
        <v>4401</v>
      </c>
      <c r="B2697" s="5">
        <v>1</v>
      </c>
      <c r="C2697" s="5">
        <v>1</v>
      </c>
      <c r="D2697" s="5" t="s">
        <v>810</v>
      </c>
      <c r="E2697" s="5" t="s">
        <v>245</v>
      </c>
      <c r="F2697" s="5" t="s">
        <v>254</v>
      </c>
      <c r="G2697" s="5" t="s">
        <v>240</v>
      </c>
      <c r="H2697" s="6" t="s">
        <v>3149</v>
      </c>
      <c r="I2697" s="5" t="s">
        <v>809</v>
      </c>
      <c r="J2697" s="8">
        <f>308</f>
        <v>308</v>
      </c>
      <c r="K2697" s="5" t="s">
        <v>308</v>
      </c>
      <c r="L2697" s="7">
        <f>1</f>
        <v>1</v>
      </c>
      <c r="M2697" s="7">
        <f>1</f>
        <v>1</v>
      </c>
      <c r="N2697" s="5" t="s">
        <v>242</v>
      </c>
      <c r="O2697" s="5">
        <v>1</v>
      </c>
      <c r="P2697" s="5" t="s">
        <v>294</v>
      </c>
      <c r="Q2697" s="5" t="s">
        <v>266</v>
      </c>
      <c r="R2697" s="5" t="s">
        <v>240</v>
      </c>
      <c r="S2697" s="5" t="s">
        <v>240</v>
      </c>
      <c r="T2697" s="5" t="s">
        <v>296</v>
      </c>
      <c r="U2697" s="5" t="s">
        <v>244</v>
      </c>
      <c r="V2697" s="5" t="s">
        <v>240</v>
      </c>
      <c r="Y2697" s="5" t="s">
        <v>240</v>
      </c>
      <c r="Z2697" s="6" t="s">
        <v>298</v>
      </c>
      <c r="AB2697" s="6" t="s">
        <v>240</v>
      </c>
      <c r="AE2697" s="6" t="s">
        <v>299</v>
      </c>
      <c r="AF2697" s="5" t="s">
        <v>248</v>
      </c>
      <c r="AG2697" s="5" t="s">
        <v>249</v>
      </c>
      <c r="AW2697" s="5" t="s">
        <v>251</v>
      </c>
      <c r="AX2697" s="5" t="s">
        <v>240</v>
      </c>
      <c r="AY2697" s="5" t="s">
        <v>253</v>
      </c>
      <c r="AZ2697" s="5" t="s">
        <v>240</v>
      </c>
      <c r="BA2697" s="5" t="s">
        <v>255</v>
      </c>
      <c r="BB2697" s="5" t="s">
        <v>240</v>
      </c>
      <c r="BD2697" s="5" t="s">
        <v>240</v>
      </c>
      <c r="BF2697" s="5" t="s">
        <v>301</v>
      </c>
      <c r="BG2697" s="6" t="s">
        <v>299</v>
      </c>
      <c r="BH2697" s="5" t="s">
        <v>302</v>
      </c>
      <c r="BI2697" s="5" t="s">
        <v>303</v>
      </c>
      <c r="BJ2697" s="5" t="s">
        <v>240</v>
      </c>
      <c r="BK2697" s="8">
        <f>0</f>
        <v>0</v>
      </c>
      <c r="BL2697" s="7">
        <f>0</f>
        <v>0</v>
      </c>
      <c r="BM2697" s="5" t="s">
        <v>258</v>
      </c>
      <c r="BN2697" s="5" t="s">
        <v>259</v>
      </c>
      <c r="CB2697" s="5" t="s">
        <v>240</v>
      </c>
      <c r="CC2697" s="5" t="s">
        <v>240</v>
      </c>
      <c r="CG2697" s="5" t="s">
        <v>304</v>
      </c>
      <c r="CH2697" s="5" t="s">
        <v>305</v>
      </c>
      <c r="CI2697" s="5" t="s">
        <v>240</v>
      </c>
      <c r="CL2697" s="6" t="s">
        <v>261</v>
      </c>
      <c r="CM2697" s="5" t="s">
        <v>240</v>
      </c>
      <c r="CN2697" s="5" t="s">
        <v>263</v>
      </c>
      <c r="CO2697" s="5" t="s">
        <v>240</v>
      </c>
      <c r="CP2697" s="5" t="s">
        <v>240</v>
      </c>
      <c r="CQ2697" s="5">
        <v>0</v>
      </c>
      <c r="CR2697" s="5" t="s">
        <v>306</v>
      </c>
      <c r="CS2697" s="5" t="s">
        <v>307</v>
      </c>
      <c r="CT2697" s="5" t="s">
        <v>307</v>
      </c>
      <c r="CU2697" s="5" t="s">
        <v>260</v>
      </c>
      <c r="CX2697" s="7">
        <f>1</f>
        <v>1</v>
      </c>
      <c r="CY2697" s="7">
        <f>0</f>
        <v>0</v>
      </c>
      <c r="DA2697" s="7">
        <f>0</f>
        <v>0</v>
      </c>
      <c r="DC2697" s="5" t="s">
        <v>309</v>
      </c>
      <c r="DD2697" s="5" t="s">
        <v>240</v>
      </c>
      <c r="DF2697" s="5" t="s">
        <v>309</v>
      </c>
      <c r="DG2697" s="7">
        <f>2253</f>
        <v>2253</v>
      </c>
      <c r="DI2697" s="5" t="s">
        <v>240</v>
      </c>
      <c r="DJ2697" s="5" t="s">
        <v>240</v>
      </c>
      <c r="DK2697" s="5" t="s">
        <v>240</v>
      </c>
      <c r="DL2697" s="5" t="s">
        <v>240</v>
      </c>
      <c r="DP2697" s="5" t="s">
        <v>240</v>
      </c>
      <c r="DQ2697" s="5" t="s">
        <v>240</v>
      </c>
      <c r="DR2697" s="5" t="s">
        <v>240</v>
      </c>
      <c r="DS2697" s="5" t="s">
        <v>240</v>
      </c>
      <c r="DV2697" s="5" t="s">
        <v>310</v>
      </c>
      <c r="DW2697" s="5" t="s">
        <v>3445</v>
      </c>
      <c r="HO2697" s="5" t="s">
        <v>312</v>
      </c>
    </row>
    <row r="2698" spans="1:223" x14ac:dyDescent="0.4">
      <c r="A2698" s="5">
        <v>4402</v>
      </c>
      <c r="B2698" s="5">
        <v>1</v>
      </c>
      <c r="C2698" s="5">
        <v>1</v>
      </c>
      <c r="D2698" s="5" t="s">
        <v>810</v>
      </c>
      <c r="E2698" s="5" t="s">
        <v>245</v>
      </c>
      <c r="F2698" s="5" t="s">
        <v>254</v>
      </c>
      <c r="G2698" s="5" t="s">
        <v>240</v>
      </c>
      <c r="H2698" s="6" t="s">
        <v>3147</v>
      </c>
      <c r="I2698" s="5" t="s">
        <v>809</v>
      </c>
      <c r="J2698" s="8">
        <f>234</f>
        <v>234</v>
      </c>
      <c r="K2698" s="5" t="s">
        <v>308</v>
      </c>
      <c r="L2698" s="7">
        <f>1</f>
        <v>1</v>
      </c>
      <c r="M2698" s="7">
        <f>1</f>
        <v>1</v>
      </c>
      <c r="N2698" s="5" t="s">
        <v>242</v>
      </c>
      <c r="O2698" s="5">
        <v>1</v>
      </c>
      <c r="P2698" s="5" t="s">
        <v>294</v>
      </c>
      <c r="Q2698" s="5" t="s">
        <v>266</v>
      </c>
      <c r="R2698" s="5" t="s">
        <v>240</v>
      </c>
      <c r="S2698" s="5" t="s">
        <v>240</v>
      </c>
      <c r="T2698" s="5" t="s">
        <v>296</v>
      </c>
      <c r="U2698" s="5" t="s">
        <v>244</v>
      </c>
      <c r="V2698" s="5" t="s">
        <v>240</v>
      </c>
      <c r="Y2698" s="5" t="s">
        <v>240</v>
      </c>
      <c r="Z2698" s="6" t="s">
        <v>298</v>
      </c>
      <c r="AB2698" s="6" t="s">
        <v>240</v>
      </c>
      <c r="AE2698" s="6" t="s">
        <v>299</v>
      </c>
      <c r="AF2698" s="5" t="s">
        <v>248</v>
      </c>
      <c r="AG2698" s="5" t="s">
        <v>249</v>
      </c>
      <c r="AW2698" s="5" t="s">
        <v>251</v>
      </c>
      <c r="AX2698" s="5" t="s">
        <v>240</v>
      </c>
      <c r="AY2698" s="5" t="s">
        <v>253</v>
      </c>
      <c r="AZ2698" s="5" t="s">
        <v>240</v>
      </c>
      <c r="BA2698" s="5" t="s">
        <v>255</v>
      </c>
      <c r="BB2698" s="5" t="s">
        <v>240</v>
      </c>
      <c r="BD2698" s="5" t="s">
        <v>240</v>
      </c>
      <c r="BF2698" s="5" t="s">
        <v>301</v>
      </c>
      <c r="BG2698" s="6" t="s">
        <v>299</v>
      </c>
      <c r="BH2698" s="5" t="s">
        <v>302</v>
      </c>
      <c r="BI2698" s="5" t="s">
        <v>303</v>
      </c>
      <c r="BJ2698" s="5" t="s">
        <v>240</v>
      </c>
      <c r="BK2698" s="8">
        <f>0</f>
        <v>0</v>
      </c>
      <c r="BL2698" s="7">
        <f>0</f>
        <v>0</v>
      </c>
      <c r="BM2698" s="5" t="s">
        <v>258</v>
      </c>
      <c r="BN2698" s="5" t="s">
        <v>259</v>
      </c>
      <c r="CB2698" s="5" t="s">
        <v>240</v>
      </c>
      <c r="CC2698" s="5" t="s">
        <v>240</v>
      </c>
      <c r="CG2698" s="5" t="s">
        <v>304</v>
      </c>
      <c r="CH2698" s="5" t="s">
        <v>305</v>
      </c>
      <c r="CI2698" s="5" t="s">
        <v>240</v>
      </c>
      <c r="CL2698" s="6" t="s">
        <v>261</v>
      </c>
      <c r="CM2698" s="5" t="s">
        <v>240</v>
      </c>
      <c r="CN2698" s="5" t="s">
        <v>263</v>
      </c>
      <c r="CO2698" s="5" t="s">
        <v>240</v>
      </c>
      <c r="CP2698" s="5" t="s">
        <v>240</v>
      </c>
      <c r="CQ2698" s="5">
        <v>0</v>
      </c>
      <c r="CR2698" s="5" t="s">
        <v>306</v>
      </c>
      <c r="CS2698" s="5" t="s">
        <v>307</v>
      </c>
      <c r="CT2698" s="5" t="s">
        <v>307</v>
      </c>
      <c r="CU2698" s="5" t="s">
        <v>260</v>
      </c>
      <c r="CX2698" s="7">
        <f>1</f>
        <v>1</v>
      </c>
      <c r="CY2698" s="7">
        <f>0</f>
        <v>0</v>
      </c>
      <c r="DA2698" s="7">
        <f>0</f>
        <v>0</v>
      </c>
      <c r="DC2698" s="5" t="s">
        <v>309</v>
      </c>
      <c r="DD2698" s="5" t="s">
        <v>240</v>
      </c>
      <c r="DF2698" s="5" t="s">
        <v>309</v>
      </c>
      <c r="DG2698" s="7">
        <f>662</f>
        <v>662</v>
      </c>
      <c r="DI2698" s="5" t="s">
        <v>240</v>
      </c>
      <c r="DJ2698" s="5" t="s">
        <v>240</v>
      </c>
      <c r="DK2698" s="5" t="s">
        <v>240</v>
      </c>
      <c r="DL2698" s="5" t="s">
        <v>240</v>
      </c>
      <c r="DP2698" s="5" t="s">
        <v>240</v>
      </c>
      <c r="DQ2698" s="5" t="s">
        <v>240</v>
      </c>
      <c r="DR2698" s="5" t="s">
        <v>240</v>
      </c>
      <c r="DS2698" s="5" t="s">
        <v>240</v>
      </c>
      <c r="DV2698" s="5" t="s">
        <v>310</v>
      </c>
      <c r="DW2698" s="5" t="s">
        <v>3447</v>
      </c>
      <c r="HO2698" s="5" t="s">
        <v>312</v>
      </c>
    </row>
    <row r="2699" spans="1:223" x14ac:dyDescent="0.4">
      <c r="A2699" s="5">
        <v>4403</v>
      </c>
      <c r="B2699" s="5">
        <v>1</v>
      </c>
      <c r="C2699" s="5">
        <v>1</v>
      </c>
      <c r="D2699" s="5" t="s">
        <v>810</v>
      </c>
      <c r="E2699" s="5" t="s">
        <v>245</v>
      </c>
      <c r="F2699" s="5" t="s">
        <v>254</v>
      </c>
      <c r="G2699" s="5" t="s">
        <v>240</v>
      </c>
      <c r="H2699" s="6" t="s">
        <v>3145</v>
      </c>
      <c r="I2699" s="5" t="s">
        <v>809</v>
      </c>
      <c r="J2699" s="8">
        <f>770</f>
        <v>770</v>
      </c>
      <c r="K2699" s="5" t="s">
        <v>308</v>
      </c>
      <c r="L2699" s="7">
        <f>1</f>
        <v>1</v>
      </c>
      <c r="M2699" s="7">
        <f>1</f>
        <v>1</v>
      </c>
      <c r="N2699" s="5" t="s">
        <v>242</v>
      </c>
      <c r="O2699" s="5">
        <v>1</v>
      </c>
      <c r="P2699" s="5" t="s">
        <v>294</v>
      </c>
      <c r="Q2699" s="5" t="s">
        <v>266</v>
      </c>
      <c r="R2699" s="5" t="s">
        <v>240</v>
      </c>
      <c r="S2699" s="5" t="s">
        <v>240</v>
      </c>
      <c r="T2699" s="5" t="s">
        <v>296</v>
      </c>
      <c r="U2699" s="5" t="s">
        <v>244</v>
      </c>
      <c r="V2699" s="5" t="s">
        <v>240</v>
      </c>
      <c r="Y2699" s="5" t="s">
        <v>240</v>
      </c>
      <c r="Z2699" s="6" t="s">
        <v>298</v>
      </c>
      <c r="AB2699" s="6" t="s">
        <v>240</v>
      </c>
      <c r="AE2699" s="6" t="s">
        <v>299</v>
      </c>
      <c r="AF2699" s="5" t="s">
        <v>248</v>
      </c>
      <c r="AG2699" s="5" t="s">
        <v>249</v>
      </c>
      <c r="AW2699" s="5" t="s">
        <v>251</v>
      </c>
      <c r="AX2699" s="5" t="s">
        <v>240</v>
      </c>
      <c r="AY2699" s="5" t="s">
        <v>253</v>
      </c>
      <c r="AZ2699" s="5" t="s">
        <v>240</v>
      </c>
      <c r="BA2699" s="5" t="s">
        <v>255</v>
      </c>
      <c r="BB2699" s="5" t="s">
        <v>240</v>
      </c>
      <c r="BD2699" s="5" t="s">
        <v>240</v>
      </c>
      <c r="BF2699" s="5" t="s">
        <v>301</v>
      </c>
      <c r="BG2699" s="6" t="s">
        <v>299</v>
      </c>
      <c r="BH2699" s="5" t="s">
        <v>302</v>
      </c>
      <c r="BI2699" s="5" t="s">
        <v>303</v>
      </c>
      <c r="BJ2699" s="5" t="s">
        <v>240</v>
      </c>
      <c r="BK2699" s="8">
        <f>0</f>
        <v>0</v>
      </c>
      <c r="BL2699" s="7">
        <f>0</f>
        <v>0</v>
      </c>
      <c r="BM2699" s="5" t="s">
        <v>258</v>
      </c>
      <c r="BN2699" s="5" t="s">
        <v>259</v>
      </c>
      <c r="CB2699" s="5" t="s">
        <v>240</v>
      </c>
      <c r="CC2699" s="5" t="s">
        <v>240</v>
      </c>
      <c r="CG2699" s="5" t="s">
        <v>304</v>
      </c>
      <c r="CH2699" s="5" t="s">
        <v>305</v>
      </c>
      <c r="CI2699" s="5" t="s">
        <v>240</v>
      </c>
      <c r="CL2699" s="6" t="s">
        <v>261</v>
      </c>
      <c r="CM2699" s="5" t="s">
        <v>240</v>
      </c>
      <c r="CN2699" s="5" t="s">
        <v>263</v>
      </c>
      <c r="CO2699" s="5" t="s">
        <v>240</v>
      </c>
      <c r="CP2699" s="5" t="s">
        <v>240</v>
      </c>
      <c r="CQ2699" s="5">
        <v>0</v>
      </c>
      <c r="CR2699" s="5" t="s">
        <v>306</v>
      </c>
      <c r="CS2699" s="5" t="s">
        <v>307</v>
      </c>
      <c r="CT2699" s="5" t="s">
        <v>307</v>
      </c>
      <c r="CU2699" s="5" t="s">
        <v>260</v>
      </c>
      <c r="CX2699" s="7">
        <f>1</f>
        <v>1</v>
      </c>
      <c r="CY2699" s="7">
        <f>0</f>
        <v>0</v>
      </c>
      <c r="DA2699" s="7">
        <f>0</f>
        <v>0</v>
      </c>
      <c r="DC2699" s="5" t="s">
        <v>309</v>
      </c>
      <c r="DD2699" s="5" t="s">
        <v>240</v>
      </c>
      <c r="DF2699" s="5" t="s">
        <v>309</v>
      </c>
      <c r="DG2699" s="7">
        <f>2978</f>
        <v>2978</v>
      </c>
      <c r="DI2699" s="5" t="s">
        <v>240</v>
      </c>
      <c r="DJ2699" s="5" t="s">
        <v>240</v>
      </c>
      <c r="DK2699" s="5" t="s">
        <v>240</v>
      </c>
      <c r="DL2699" s="5" t="s">
        <v>240</v>
      </c>
      <c r="DP2699" s="5" t="s">
        <v>240</v>
      </c>
      <c r="DQ2699" s="5" t="s">
        <v>240</v>
      </c>
      <c r="DR2699" s="5" t="s">
        <v>240</v>
      </c>
      <c r="DS2699" s="5" t="s">
        <v>240</v>
      </c>
      <c r="DV2699" s="5" t="s">
        <v>310</v>
      </c>
      <c r="DW2699" s="5" t="s">
        <v>3449</v>
      </c>
      <c r="HO2699" s="5" t="s">
        <v>312</v>
      </c>
    </row>
    <row r="2700" spans="1:223" x14ac:dyDescent="0.4">
      <c r="A2700" s="5">
        <v>4404</v>
      </c>
      <c r="B2700" s="5">
        <v>1</v>
      </c>
      <c r="C2700" s="5">
        <v>1</v>
      </c>
      <c r="D2700" s="5" t="s">
        <v>810</v>
      </c>
      <c r="E2700" s="5" t="s">
        <v>245</v>
      </c>
      <c r="F2700" s="5" t="s">
        <v>254</v>
      </c>
      <c r="G2700" s="5" t="s">
        <v>240</v>
      </c>
      <c r="H2700" s="6" t="s">
        <v>3143</v>
      </c>
      <c r="I2700" s="5" t="s">
        <v>809</v>
      </c>
      <c r="J2700" s="8">
        <f>833</f>
        <v>833</v>
      </c>
      <c r="K2700" s="5" t="s">
        <v>308</v>
      </c>
      <c r="L2700" s="7">
        <f>1</f>
        <v>1</v>
      </c>
      <c r="M2700" s="7">
        <f>1</f>
        <v>1</v>
      </c>
      <c r="N2700" s="5" t="s">
        <v>242</v>
      </c>
      <c r="O2700" s="5">
        <v>1</v>
      </c>
      <c r="P2700" s="5" t="s">
        <v>294</v>
      </c>
      <c r="Q2700" s="5" t="s">
        <v>266</v>
      </c>
      <c r="R2700" s="5" t="s">
        <v>240</v>
      </c>
      <c r="S2700" s="5" t="s">
        <v>240</v>
      </c>
      <c r="T2700" s="5" t="s">
        <v>296</v>
      </c>
      <c r="U2700" s="5" t="s">
        <v>244</v>
      </c>
      <c r="V2700" s="5" t="s">
        <v>240</v>
      </c>
      <c r="Y2700" s="5" t="s">
        <v>240</v>
      </c>
      <c r="Z2700" s="6" t="s">
        <v>298</v>
      </c>
      <c r="AB2700" s="6" t="s">
        <v>240</v>
      </c>
      <c r="AE2700" s="6" t="s">
        <v>299</v>
      </c>
      <c r="AF2700" s="5" t="s">
        <v>248</v>
      </c>
      <c r="AG2700" s="5" t="s">
        <v>249</v>
      </c>
      <c r="AW2700" s="5" t="s">
        <v>251</v>
      </c>
      <c r="AX2700" s="5" t="s">
        <v>240</v>
      </c>
      <c r="AY2700" s="5" t="s">
        <v>253</v>
      </c>
      <c r="AZ2700" s="5" t="s">
        <v>240</v>
      </c>
      <c r="BA2700" s="5" t="s">
        <v>255</v>
      </c>
      <c r="BB2700" s="5" t="s">
        <v>240</v>
      </c>
      <c r="BD2700" s="5" t="s">
        <v>240</v>
      </c>
      <c r="BF2700" s="5" t="s">
        <v>301</v>
      </c>
      <c r="BG2700" s="6" t="s">
        <v>299</v>
      </c>
      <c r="BH2700" s="5" t="s">
        <v>302</v>
      </c>
      <c r="BI2700" s="5" t="s">
        <v>303</v>
      </c>
      <c r="BJ2700" s="5" t="s">
        <v>240</v>
      </c>
      <c r="BK2700" s="8">
        <f>0</f>
        <v>0</v>
      </c>
      <c r="BL2700" s="7">
        <f>0</f>
        <v>0</v>
      </c>
      <c r="BM2700" s="5" t="s">
        <v>258</v>
      </c>
      <c r="BN2700" s="5" t="s">
        <v>259</v>
      </c>
      <c r="CB2700" s="5" t="s">
        <v>240</v>
      </c>
      <c r="CC2700" s="5" t="s">
        <v>240</v>
      </c>
      <c r="CG2700" s="5" t="s">
        <v>304</v>
      </c>
      <c r="CH2700" s="5" t="s">
        <v>305</v>
      </c>
      <c r="CI2700" s="5" t="s">
        <v>240</v>
      </c>
      <c r="CL2700" s="6" t="s">
        <v>261</v>
      </c>
      <c r="CM2700" s="5" t="s">
        <v>240</v>
      </c>
      <c r="CN2700" s="5" t="s">
        <v>263</v>
      </c>
      <c r="CO2700" s="5" t="s">
        <v>240</v>
      </c>
      <c r="CP2700" s="5" t="s">
        <v>240</v>
      </c>
      <c r="CQ2700" s="5">
        <v>0</v>
      </c>
      <c r="CR2700" s="5" t="s">
        <v>306</v>
      </c>
      <c r="CS2700" s="5" t="s">
        <v>307</v>
      </c>
      <c r="CT2700" s="5" t="s">
        <v>307</v>
      </c>
      <c r="CU2700" s="5" t="s">
        <v>260</v>
      </c>
      <c r="CX2700" s="7">
        <f>1</f>
        <v>1</v>
      </c>
      <c r="CY2700" s="7">
        <f>0</f>
        <v>0</v>
      </c>
      <c r="DA2700" s="7">
        <f>0</f>
        <v>0</v>
      </c>
      <c r="DC2700" s="5" t="s">
        <v>309</v>
      </c>
      <c r="DD2700" s="5" t="s">
        <v>240</v>
      </c>
      <c r="DF2700" s="5" t="s">
        <v>309</v>
      </c>
      <c r="DG2700" s="7">
        <f>244</f>
        <v>244</v>
      </c>
      <c r="DI2700" s="5" t="s">
        <v>240</v>
      </c>
      <c r="DJ2700" s="5" t="s">
        <v>240</v>
      </c>
      <c r="DK2700" s="5" t="s">
        <v>240</v>
      </c>
      <c r="DL2700" s="5" t="s">
        <v>240</v>
      </c>
      <c r="DP2700" s="5" t="s">
        <v>240</v>
      </c>
      <c r="DQ2700" s="5" t="s">
        <v>240</v>
      </c>
      <c r="DR2700" s="5" t="s">
        <v>240</v>
      </c>
      <c r="DS2700" s="5" t="s">
        <v>240</v>
      </c>
      <c r="DV2700" s="5" t="s">
        <v>310</v>
      </c>
      <c r="DW2700" s="5" t="s">
        <v>3451</v>
      </c>
      <c r="HO2700" s="5" t="s">
        <v>312</v>
      </c>
    </row>
    <row r="2701" spans="1:223" x14ac:dyDescent="0.4">
      <c r="A2701" s="5">
        <v>4405</v>
      </c>
      <c r="B2701" s="5">
        <v>1</v>
      </c>
      <c r="C2701" s="5">
        <v>1</v>
      </c>
      <c r="D2701" s="5" t="s">
        <v>810</v>
      </c>
      <c r="E2701" s="5" t="s">
        <v>245</v>
      </c>
      <c r="F2701" s="5" t="s">
        <v>254</v>
      </c>
      <c r="G2701" s="5" t="s">
        <v>240</v>
      </c>
      <c r="H2701" s="6" t="s">
        <v>3141</v>
      </c>
      <c r="I2701" s="5" t="s">
        <v>809</v>
      </c>
      <c r="J2701" s="8">
        <f>1453</f>
        <v>1453</v>
      </c>
      <c r="K2701" s="5" t="s">
        <v>308</v>
      </c>
      <c r="L2701" s="7">
        <f>1</f>
        <v>1</v>
      </c>
      <c r="M2701" s="7">
        <f>1</f>
        <v>1</v>
      </c>
      <c r="N2701" s="5" t="s">
        <v>242</v>
      </c>
      <c r="O2701" s="5">
        <v>1</v>
      </c>
      <c r="P2701" s="5" t="s">
        <v>294</v>
      </c>
      <c r="Q2701" s="5" t="s">
        <v>266</v>
      </c>
      <c r="R2701" s="5" t="s">
        <v>240</v>
      </c>
      <c r="S2701" s="5" t="s">
        <v>240</v>
      </c>
      <c r="T2701" s="5" t="s">
        <v>296</v>
      </c>
      <c r="U2701" s="5" t="s">
        <v>244</v>
      </c>
      <c r="V2701" s="5" t="s">
        <v>240</v>
      </c>
      <c r="Y2701" s="5" t="s">
        <v>240</v>
      </c>
      <c r="Z2701" s="6" t="s">
        <v>298</v>
      </c>
      <c r="AB2701" s="6" t="s">
        <v>240</v>
      </c>
      <c r="AE2701" s="6" t="s">
        <v>299</v>
      </c>
      <c r="AF2701" s="5" t="s">
        <v>248</v>
      </c>
      <c r="AG2701" s="5" t="s">
        <v>249</v>
      </c>
      <c r="AW2701" s="5" t="s">
        <v>251</v>
      </c>
      <c r="AX2701" s="5" t="s">
        <v>240</v>
      </c>
      <c r="AY2701" s="5" t="s">
        <v>253</v>
      </c>
      <c r="AZ2701" s="5" t="s">
        <v>240</v>
      </c>
      <c r="BA2701" s="5" t="s">
        <v>255</v>
      </c>
      <c r="BB2701" s="5" t="s">
        <v>240</v>
      </c>
      <c r="BD2701" s="5" t="s">
        <v>240</v>
      </c>
      <c r="BF2701" s="5" t="s">
        <v>301</v>
      </c>
      <c r="BG2701" s="6" t="s">
        <v>299</v>
      </c>
      <c r="BH2701" s="5" t="s">
        <v>302</v>
      </c>
      <c r="BI2701" s="5" t="s">
        <v>303</v>
      </c>
      <c r="BJ2701" s="5" t="s">
        <v>240</v>
      </c>
      <c r="BK2701" s="8">
        <f>0</f>
        <v>0</v>
      </c>
      <c r="BL2701" s="7">
        <f>0</f>
        <v>0</v>
      </c>
      <c r="BM2701" s="5" t="s">
        <v>258</v>
      </c>
      <c r="BN2701" s="5" t="s">
        <v>259</v>
      </c>
      <c r="CB2701" s="5" t="s">
        <v>240</v>
      </c>
      <c r="CC2701" s="5" t="s">
        <v>240</v>
      </c>
      <c r="CG2701" s="5" t="s">
        <v>304</v>
      </c>
      <c r="CH2701" s="5" t="s">
        <v>305</v>
      </c>
      <c r="CI2701" s="5" t="s">
        <v>240</v>
      </c>
      <c r="CL2701" s="6" t="s">
        <v>261</v>
      </c>
      <c r="CM2701" s="5" t="s">
        <v>240</v>
      </c>
      <c r="CN2701" s="5" t="s">
        <v>263</v>
      </c>
      <c r="CO2701" s="5" t="s">
        <v>240</v>
      </c>
      <c r="CP2701" s="5" t="s">
        <v>240</v>
      </c>
      <c r="CQ2701" s="5">
        <v>0</v>
      </c>
      <c r="CR2701" s="5" t="s">
        <v>306</v>
      </c>
      <c r="CS2701" s="5" t="s">
        <v>307</v>
      </c>
      <c r="CT2701" s="5" t="s">
        <v>307</v>
      </c>
      <c r="CU2701" s="5" t="s">
        <v>260</v>
      </c>
      <c r="CX2701" s="7">
        <f>1</f>
        <v>1</v>
      </c>
      <c r="CY2701" s="7">
        <f>0</f>
        <v>0</v>
      </c>
      <c r="DA2701" s="7">
        <f>0</f>
        <v>0</v>
      </c>
      <c r="DC2701" s="5" t="s">
        <v>309</v>
      </c>
      <c r="DD2701" s="5" t="s">
        <v>240</v>
      </c>
      <c r="DF2701" s="5" t="s">
        <v>309</v>
      </c>
      <c r="DG2701" s="7">
        <f>177</f>
        <v>177</v>
      </c>
      <c r="DI2701" s="5" t="s">
        <v>240</v>
      </c>
      <c r="DJ2701" s="5" t="s">
        <v>240</v>
      </c>
      <c r="DK2701" s="5" t="s">
        <v>240</v>
      </c>
      <c r="DL2701" s="5" t="s">
        <v>240</v>
      </c>
      <c r="DP2701" s="5" t="s">
        <v>240</v>
      </c>
      <c r="DQ2701" s="5" t="s">
        <v>240</v>
      </c>
      <c r="DR2701" s="5" t="s">
        <v>240</v>
      </c>
      <c r="DS2701" s="5" t="s">
        <v>240</v>
      </c>
      <c r="DV2701" s="5" t="s">
        <v>310</v>
      </c>
      <c r="DW2701" s="5" t="s">
        <v>3453</v>
      </c>
      <c r="HO2701" s="5" t="s">
        <v>312</v>
      </c>
    </row>
    <row r="2702" spans="1:223" x14ac:dyDescent="0.4">
      <c r="A2702" s="5">
        <v>4406</v>
      </c>
      <c r="B2702" s="5">
        <v>1</v>
      </c>
      <c r="C2702" s="5">
        <v>1</v>
      </c>
      <c r="D2702" s="5" t="s">
        <v>810</v>
      </c>
      <c r="E2702" s="5" t="s">
        <v>245</v>
      </c>
      <c r="F2702" s="5" t="s">
        <v>254</v>
      </c>
      <c r="G2702" s="5" t="s">
        <v>240</v>
      </c>
      <c r="H2702" s="6" t="s">
        <v>3139</v>
      </c>
      <c r="I2702" s="5" t="s">
        <v>809</v>
      </c>
      <c r="J2702" s="8">
        <f>1397</f>
        <v>1397</v>
      </c>
      <c r="K2702" s="5" t="s">
        <v>308</v>
      </c>
      <c r="L2702" s="7">
        <f>1</f>
        <v>1</v>
      </c>
      <c r="M2702" s="7">
        <f>1</f>
        <v>1</v>
      </c>
      <c r="N2702" s="5" t="s">
        <v>242</v>
      </c>
      <c r="O2702" s="5">
        <v>1</v>
      </c>
      <c r="P2702" s="5" t="s">
        <v>294</v>
      </c>
      <c r="Q2702" s="5" t="s">
        <v>266</v>
      </c>
      <c r="R2702" s="5" t="s">
        <v>240</v>
      </c>
      <c r="S2702" s="5" t="s">
        <v>240</v>
      </c>
      <c r="T2702" s="5" t="s">
        <v>296</v>
      </c>
      <c r="U2702" s="5" t="s">
        <v>244</v>
      </c>
      <c r="V2702" s="5" t="s">
        <v>240</v>
      </c>
      <c r="Y2702" s="5" t="s">
        <v>240</v>
      </c>
      <c r="Z2702" s="6" t="s">
        <v>298</v>
      </c>
      <c r="AB2702" s="6" t="s">
        <v>240</v>
      </c>
      <c r="AE2702" s="6" t="s">
        <v>299</v>
      </c>
      <c r="AF2702" s="5" t="s">
        <v>248</v>
      </c>
      <c r="AG2702" s="5" t="s">
        <v>249</v>
      </c>
      <c r="AW2702" s="5" t="s">
        <v>251</v>
      </c>
      <c r="AX2702" s="5" t="s">
        <v>240</v>
      </c>
      <c r="AY2702" s="5" t="s">
        <v>253</v>
      </c>
      <c r="AZ2702" s="5" t="s">
        <v>240</v>
      </c>
      <c r="BA2702" s="5" t="s">
        <v>255</v>
      </c>
      <c r="BB2702" s="5" t="s">
        <v>240</v>
      </c>
      <c r="BD2702" s="5" t="s">
        <v>240</v>
      </c>
      <c r="BF2702" s="5" t="s">
        <v>301</v>
      </c>
      <c r="BG2702" s="6" t="s">
        <v>299</v>
      </c>
      <c r="BH2702" s="5" t="s">
        <v>302</v>
      </c>
      <c r="BI2702" s="5" t="s">
        <v>303</v>
      </c>
      <c r="BJ2702" s="5" t="s">
        <v>240</v>
      </c>
      <c r="BK2702" s="8">
        <f>0</f>
        <v>0</v>
      </c>
      <c r="BL2702" s="7">
        <f>0</f>
        <v>0</v>
      </c>
      <c r="BM2702" s="5" t="s">
        <v>258</v>
      </c>
      <c r="BN2702" s="5" t="s">
        <v>259</v>
      </c>
      <c r="CB2702" s="5" t="s">
        <v>240</v>
      </c>
      <c r="CC2702" s="5" t="s">
        <v>240</v>
      </c>
      <c r="CG2702" s="5" t="s">
        <v>304</v>
      </c>
      <c r="CH2702" s="5" t="s">
        <v>305</v>
      </c>
      <c r="CI2702" s="5" t="s">
        <v>240</v>
      </c>
      <c r="CL2702" s="6" t="s">
        <v>261</v>
      </c>
      <c r="CM2702" s="5" t="s">
        <v>240</v>
      </c>
      <c r="CN2702" s="5" t="s">
        <v>263</v>
      </c>
      <c r="CO2702" s="5" t="s">
        <v>240</v>
      </c>
      <c r="CP2702" s="5" t="s">
        <v>240</v>
      </c>
      <c r="CQ2702" s="5">
        <v>0</v>
      </c>
      <c r="CR2702" s="5" t="s">
        <v>306</v>
      </c>
      <c r="CS2702" s="5" t="s">
        <v>307</v>
      </c>
      <c r="CT2702" s="5" t="s">
        <v>307</v>
      </c>
      <c r="CU2702" s="5" t="s">
        <v>260</v>
      </c>
      <c r="CX2702" s="7">
        <f>1</f>
        <v>1</v>
      </c>
      <c r="CY2702" s="7">
        <f>0</f>
        <v>0</v>
      </c>
      <c r="DA2702" s="7">
        <f>0</f>
        <v>0</v>
      </c>
      <c r="DC2702" s="5" t="s">
        <v>812</v>
      </c>
      <c r="DD2702" s="5" t="s">
        <v>240</v>
      </c>
      <c r="DF2702" s="5" t="s">
        <v>812</v>
      </c>
      <c r="DG2702" s="7">
        <f>129</f>
        <v>129</v>
      </c>
      <c r="DI2702" s="5" t="s">
        <v>240</v>
      </c>
      <c r="DJ2702" s="5" t="s">
        <v>240</v>
      </c>
      <c r="DK2702" s="5" t="s">
        <v>240</v>
      </c>
      <c r="DL2702" s="5" t="s">
        <v>240</v>
      </c>
      <c r="DP2702" s="5" t="s">
        <v>240</v>
      </c>
      <c r="DQ2702" s="5" t="s">
        <v>240</v>
      </c>
      <c r="DR2702" s="5" t="s">
        <v>240</v>
      </c>
      <c r="DS2702" s="5" t="s">
        <v>240</v>
      </c>
      <c r="DV2702" s="5" t="s">
        <v>813</v>
      </c>
      <c r="DW2702" s="5" t="s">
        <v>4831</v>
      </c>
      <c r="HO2702" s="5" t="s">
        <v>312</v>
      </c>
    </row>
    <row r="2703" spans="1:223" x14ac:dyDescent="0.4">
      <c r="A2703" s="5">
        <v>4407</v>
      </c>
      <c r="B2703" s="5">
        <v>1</v>
      </c>
      <c r="C2703" s="5">
        <v>1</v>
      </c>
      <c r="D2703" s="5" t="s">
        <v>810</v>
      </c>
      <c r="E2703" s="5" t="s">
        <v>245</v>
      </c>
      <c r="F2703" s="5" t="s">
        <v>254</v>
      </c>
      <c r="G2703" s="5" t="s">
        <v>240</v>
      </c>
      <c r="H2703" s="6" t="s">
        <v>3137</v>
      </c>
      <c r="I2703" s="5" t="s">
        <v>809</v>
      </c>
      <c r="J2703" s="8">
        <f>654</f>
        <v>654</v>
      </c>
      <c r="K2703" s="5" t="s">
        <v>308</v>
      </c>
      <c r="L2703" s="7">
        <f>1</f>
        <v>1</v>
      </c>
      <c r="M2703" s="7">
        <f>1</f>
        <v>1</v>
      </c>
      <c r="N2703" s="5" t="s">
        <v>242</v>
      </c>
      <c r="O2703" s="5">
        <v>1</v>
      </c>
      <c r="P2703" s="5" t="s">
        <v>294</v>
      </c>
      <c r="Q2703" s="5" t="s">
        <v>266</v>
      </c>
      <c r="R2703" s="5" t="s">
        <v>240</v>
      </c>
      <c r="S2703" s="5" t="s">
        <v>240</v>
      </c>
      <c r="T2703" s="5" t="s">
        <v>296</v>
      </c>
      <c r="U2703" s="5" t="s">
        <v>244</v>
      </c>
      <c r="V2703" s="5" t="s">
        <v>240</v>
      </c>
      <c r="Y2703" s="5" t="s">
        <v>240</v>
      </c>
      <c r="Z2703" s="6" t="s">
        <v>298</v>
      </c>
      <c r="AB2703" s="6" t="s">
        <v>240</v>
      </c>
      <c r="AE2703" s="6" t="s">
        <v>299</v>
      </c>
      <c r="AF2703" s="5" t="s">
        <v>248</v>
      </c>
      <c r="AG2703" s="5" t="s">
        <v>249</v>
      </c>
      <c r="AW2703" s="5" t="s">
        <v>251</v>
      </c>
      <c r="AX2703" s="5" t="s">
        <v>240</v>
      </c>
      <c r="AY2703" s="5" t="s">
        <v>253</v>
      </c>
      <c r="AZ2703" s="5" t="s">
        <v>240</v>
      </c>
      <c r="BA2703" s="5" t="s">
        <v>255</v>
      </c>
      <c r="BB2703" s="5" t="s">
        <v>240</v>
      </c>
      <c r="BD2703" s="5" t="s">
        <v>240</v>
      </c>
      <c r="BF2703" s="5" t="s">
        <v>301</v>
      </c>
      <c r="BG2703" s="6" t="s">
        <v>299</v>
      </c>
      <c r="BH2703" s="5" t="s">
        <v>302</v>
      </c>
      <c r="BI2703" s="5" t="s">
        <v>303</v>
      </c>
      <c r="BJ2703" s="5" t="s">
        <v>240</v>
      </c>
      <c r="BK2703" s="8">
        <f>0</f>
        <v>0</v>
      </c>
      <c r="BL2703" s="7">
        <f>0</f>
        <v>0</v>
      </c>
      <c r="BM2703" s="5" t="s">
        <v>258</v>
      </c>
      <c r="BN2703" s="5" t="s">
        <v>259</v>
      </c>
      <c r="CB2703" s="5" t="s">
        <v>240</v>
      </c>
      <c r="CC2703" s="5" t="s">
        <v>240</v>
      </c>
      <c r="CG2703" s="5" t="s">
        <v>304</v>
      </c>
      <c r="CH2703" s="5" t="s">
        <v>305</v>
      </c>
      <c r="CI2703" s="5" t="s">
        <v>240</v>
      </c>
      <c r="CL2703" s="6" t="s">
        <v>261</v>
      </c>
      <c r="CM2703" s="5" t="s">
        <v>240</v>
      </c>
      <c r="CN2703" s="5" t="s">
        <v>263</v>
      </c>
      <c r="CO2703" s="5" t="s">
        <v>240</v>
      </c>
      <c r="CP2703" s="5" t="s">
        <v>240</v>
      </c>
      <c r="CQ2703" s="5">
        <v>0</v>
      </c>
      <c r="CR2703" s="5" t="s">
        <v>306</v>
      </c>
      <c r="CS2703" s="5" t="s">
        <v>307</v>
      </c>
      <c r="CT2703" s="5" t="s">
        <v>307</v>
      </c>
      <c r="CU2703" s="5" t="s">
        <v>260</v>
      </c>
      <c r="CX2703" s="7">
        <f>1</f>
        <v>1</v>
      </c>
      <c r="CY2703" s="7">
        <f>0</f>
        <v>0</v>
      </c>
      <c r="DA2703" s="7">
        <f>0</f>
        <v>0</v>
      </c>
      <c r="DC2703" s="5" t="s">
        <v>309</v>
      </c>
      <c r="DD2703" s="5" t="s">
        <v>240</v>
      </c>
      <c r="DF2703" s="5" t="s">
        <v>309</v>
      </c>
      <c r="DG2703" s="7">
        <f>7676</f>
        <v>7676</v>
      </c>
      <c r="DI2703" s="5" t="s">
        <v>240</v>
      </c>
      <c r="DJ2703" s="5" t="s">
        <v>240</v>
      </c>
      <c r="DK2703" s="5" t="s">
        <v>240</v>
      </c>
      <c r="DL2703" s="5" t="s">
        <v>240</v>
      </c>
      <c r="DP2703" s="5" t="s">
        <v>240</v>
      </c>
      <c r="DQ2703" s="5" t="s">
        <v>240</v>
      </c>
      <c r="DR2703" s="5" t="s">
        <v>240</v>
      </c>
      <c r="DS2703" s="5" t="s">
        <v>240</v>
      </c>
      <c r="DV2703" s="5" t="s">
        <v>310</v>
      </c>
      <c r="DW2703" s="5" t="s">
        <v>3458</v>
      </c>
      <c r="HO2703" s="5" t="s">
        <v>312</v>
      </c>
    </row>
    <row r="2704" spans="1:223" x14ac:dyDescent="0.4">
      <c r="A2704" s="5">
        <v>4408</v>
      </c>
      <c r="B2704" s="5">
        <v>1</v>
      </c>
      <c r="C2704" s="5">
        <v>1</v>
      </c>
      <c r="D2704" s="5" t="s">
        <v>810</v>
      </c>
      <c r="E2704" s="5" t="s">
        <v>245</v>
      </c>
      <c r="F2704" s="5" t="s">
        <v>254</v>
      </c>
      <c r="G2704" s="5" t="s">
        <v>240</v>
      </c>
      <c r="H2704" s="6" t="s">
        <v>3135</v>
      </c>
      <c r="I2704" s="5" t="s">
        <v>809</v>
      </c>
      <c r="J2704" s="8">
        <f>1614</f>
        <v>1614</v>
      </c>
      <c r="K2704" s="5" t="s">
        <v>308</v>
      </c>
      <c r="L2704" s="7">
        <f>1</f>
        <v>1</v>
      </c>
      <c r="M2704" s="7">
        <f>1</f>
        <v>1</v>
      </c>
      <c r="N2704" s="5" t="s">
        <v>242</v>
      </c>
      <c r="O2704" s="5">
        <v>1</v>
      </c>
      <c r="P2704" s="5" t="s">
        <v>294</v>
      </c>
      <c r="Q2704" s="5" t="s">
        <v>266</v>
      </c>
      <c r="R2704" s="5" t="s">
        <v>240</v>
      </c>
      <c r="S2704" s="5" t="s">
        <v>240</v>
      </c>
      <c r="T2704" s="5" t="s">
        <v>296</v>
      </c>
      <c r="U2704" s="5" t="s">
        <v>244</v>
      </c>
      <c r="V2704" s="5" t="s">
        <v>240</v>
      </c>
      <c r="Y2704" s="5" t="s">
        <v>240</v>
      </c>
      <c r="Z2704" s="6" t="s">
        <v>298</v>
      </c>
      <c r="AB2704" s="6" t="s">
        <v>240</v>
      </c>
      <c r="AE2704" s="6" t="s">
        <v>299</v>
      </c>
      <c r="AF2704" s="5" t="s">
        <v>248</v>
      </c>
      <c r="AG2704" s="5" t="s">
        <v>249</v>
      </c>
      <c r="AW2704" s="5" t="s">
        <v>251</v>
      </c>
      <c r="AX2704" s="5" t="s">
        <v>240</v>
      </c>
      <c r="AY2704" s="5" t="s">
        <v>253</v>
      </c>
      <c r="AZ2704" s="5" t="s">
        <v>240</v>
      </c>
      <c r="BA2704" s="5" t="s">
        <v>255</v>
      </c>
      <c r="BB2704" s="5" t="s">
        <v>240</v>
      </c>
      <c r="BD2704" s="5" t="s">
        <v>240</v>
      </c>
      <c r="BF2704" s="5" t="s">
        <v>301</v>
      </c>
      <c r="BG2704" s="6" t="s">
        <v>299</v>
      </c>
      <c r="BH2704" s="5" t="s">
        <v>302</v>
      </c>
      <c r="BI2704" s="5" t="s">
        <v>303</v>
      </c>
      <c r="BJ2704" s="5" t="s">
        <v>240</v>
      </c>
      <c r="BK2704" s="8">
        <f>0</f>
        <v>0</v>
      </c>
      <c r="BL2704" s="7">
        <f>0</f>
        <v>0</v>
      </c>
      <c r="BM2704" s="5" t="s">
        <v>258</v>
      </c>
      <c r="BN2704" s="5" t="s">
        <v>259</v>
      </c>
      <c r="CB2704" s="5" t="s">
        <v>240</v>
      </c>
      <c r="CC2704" s="5" t="s">
        <v>240</v>
      </c>
      <c r="CG2704" s="5" t="s">
        <v>304</v>
      </c>
      <c r="CH2704" s="5" t="s">
        <v>305</v>
      </c>
      <c r="CI2704" s="5" t="s">
        <v>240</v>
      </c>
      <c r="CL2704" s="6" t="s">
        <v>261</v>
      </c>
      <c r="CM2704" s="5" t="s">
        <v>240</v>
      </c>
      <c r="CN2704" s="5" t="s">
        <v>263</v>
      </c>
      <c r="CO2704" s="5" t="s">
        <v>240</v>
      </c>
      <c r="CP2704" s="5" t="s">
        <v>240</v>
      </c>
      <c r="CQ2704" s="5">
        <v>0</v>
      </c>
      <c r="CR2704" s="5" t="s">
        <v>306</v>
      </c>
      <c r="CS2704" s="5" t="s">
        <v>307</v>
      </c>
      <c r="CT2704" s="5" t="s">
        <v>307</v>
      </c>
      <c r="CU2704" s="5" t="s">
        <v>260</v>
      </c>
      <c r="CX2704" s="7">
        <f>1</f>
        <v>1</v>
      </c>
      <c r="CY2704" s="7">
        <f>0</f>
        <v>0</v>
      </c>
      <c r="DA2704" s="7">
        <f>0</f>
        <v>0</v>
      </c>
      <c r="DC2704" s="5" t="s">
        <v>309</v>
      </c>
      <c r="DD2704" s="5" t="s">
        <v>240</v>
      </c>
      <c r="DF2704" s="5" t="s">
        <v>309</v>
      </c>
      <c r="DG2704" s="7">
        <f>219</f>
        <v>219</v>
      </c>
      <c r="DI2704" s="5" t="s">
        <v>240</v>
      </c>
      <c r="DJ2704" s="5" t="s">
        <v>240</v>
      </c>
      <c r="DK2704" s="5" t="s">
        <v>240</v>
      </c>
      <c r="DL2704" s="5" t="s">
        <v>240</v>
      </c>
      <c r="DP2704" s="5" t="s">
        <v>240</v>
      </c>
      <c r="DQ2704" s="5" t="s">
        <v>240</v>
      </c>
      <c r="DR2704" s="5" t="s">
        <v>240</v>
      </c>
      <c r="DS2704" s="5" t="s">
        <v>240</v>
      </c>
      <c r="DV2704" s="5" t="s">
        <v>310</v>
      </c>
      <c r="DW2704" s="5" t="s">
        <v>3460</v>
      </c>
      <c r="HO2704" s="5" t="s">
        <v>312</v>
      </c>
    </row>
    <row r="2705" spans="1:223" x14ac:dyDescent="0.4">
      <c r="A2705" s="5">
        <v>4409</v>
      </c>
      <c r="B2705" s="5">
        <v>1</v>
      </c>
      <c r="C2705" s="5">
        <v>1</v>
      </c>
      <c r="D2705" s="5" t="s">
        <v>810</v>
      </c>
      <c r="E2705" s="5" t="s">
        <v>245</v>
      </c>
      <c r="F2705" s="5" t="s">
        <v>254</v>
      </c>
      <c r="G2705" s="5" t="s">
        <v>240</v>
      </c>
      <c r="H2705" s="6" t="s">
        <v>3133</v>
      </c>
      <c r="I2705" s="5" t="s">
        <v>809</v>
      </c>
      <c r="J2705" s="8">
        <f>2234</f>
        <v>2234</v>
      </c>
      <c r="K2705" s="5" t="s">
        <v>308</v>
      </c>
      <c r="L2705" s="7">
        <f>1</f>
        <v>1</v>
      </c>
      <c r="M2705" s="7">
        <f>1</f>
        <v>1</v>
      </c>
      <c r="N2705" s="5" t="s">
        <v>242</v>
      </c>
      <c r="O2705" s="5">
        <v>1</v>
      </c>
      <c r="P2705" s="5" t="s">
        <v>294</v>
      </c>
      <c r="Q2705" s="5" t="s">
        <v>266</v>
      </c>
      <c r="R2705" s="5" t="s">
        <v>240</v>
      </c>
      <c r="S2705" s="5" t="s">
        <v>240</v>
      </c>
      <c r="T2705" s="5" t="s">
        <v>296</v>
      </c>
      <c r="U2705" s="5" t="s">
        <v>244</v>
      </c>
      <c r="V2705" s="5" t="s">
        <v>240</v>
      </c>
      <c r="Y2705" s="5" t="s">
        <v>240</v>
      </c>
      <c r="Z2705" s="6" t="s">
        <v>298</v>
      </c>
      <c r="AB2705" s="6" t="s">
        <v>240</v>
      </c>
      <c r="AE2705" s="6" t="s">
        <v>299</v>
      </c>
      <c r="AF2705" s="5" t="s">
        <v>248</v>
      </c>
      <c r="AG2705" s="5" t="s">
        <v>249</v>
      </c>
      <c r="AW2705" s="5" t="s">
        <v>251</v>
      </c>
      <c r="AX2705" s="5" t="s">
        <v>240</v>
      </c>
      <c r="AY2705" s="5" t="s">
        <v>253</v>
      </c>
      <c r="AZ2705" s="5" t="s">
        <v>240</v>
      </c>
      <c r="BA2705" s="5" t="s">
        <v>255</v>
      </c>
      <c r="BB2705" s="5" t="s">
        <v>240</v>
      </c>
      <c r="BD2705" s="5" t="s">
        <v>240</v>
      </c>
      <c r="BF2705" s="5" t="s">
        <v>301</v>
      </c>
      <c r="BG2705" s="6" t="s">
        <v>299</v>
      </c>
      <c r="BH2705" s="5" t="s">
        <v>302</v>
      </c>
      <c r="BI2705" s="5" t="s">
        <v>303</v>
      </c>
      <c r="BJ2705" s="5" t="s">
        <v>240</v>
      </c>
      <c r="BK2705" s="8">
        <f>0</f>
        <v>0</v>
      </c>
      <c r="BL2705" s="7">
        <f>0</f>
        <v>0</v>
      </c>
      <c r="BM2705" s="5" t="s">
        <v>258</v>
      </c>
      <c r="BN2705" s="5" t="s">
        <v>259</v>
      </c>
      <c r="CB2705" s="5" t="s">
        <v>240</v>
      </c>
      <c r="CC2705" s="5" t="s">
        <v>240</v>
      </c>
      <c r="CG2705" s="5" t="s">
        <v>304</v>
      </c>
      <c r="CH2705" s="5" t="s">
        <v>305</v>
      </c>
      <c r="CI2705" s="5" t="s">
        <v>240</v>
      </c>
      <c r="CL2705" s="6" t="s">
        <v>261</v>
      </c>
      <c r="CM2705" s="5" t="s">
        <v>240</v>
      </c>
      <c r="CN2705" s="5" t="s">
        <v>263</v>
      </c>
      <c r="CO2705" s="5" t="s">
        <v>240</v>
      </c>
      <c r="CP2705" s="5" t="s">
        <v>240</v>
      </c>
      <c r="CQ2705" s="5">
        <v>0</v>
      </c>
      <c r="CR2705" s="5" t="s">
        <v>306</v>
      </c>
      <c r="CS2705" s="5" t="s">
        <v>307</v>
      </c>
      <c r="CT2705" s="5" t="s">
        <v>307</v>
      </c>
      <c r="CU2705" s="5" t="s">
        <v>260</v>
      </c>
      <c r="CX2705" s="7">
        <f>1</f>
        <v>1</v>
      </c>
      <c r="CY2705" s="7">
        <f>0</f>
        <v>0</v>
      </c>
      <c r="DA2705" s="7">
        <f>0</f>
        <v>0</v>
      </c>
      <c r="DC2705" s="5" t="s">
        <v>309</v>
      </c>
      <c r="DD2705" s="5" t="s">
        <v>240</v>
      </c>
      <c r="DF2705" s="5" t="s">
        <v>309</v>
      </c>
      <c r="DG2705" s="7">
        <f>1989</f>
        <v>1989</v>
      </c>
      <c r="DI2705" s="5" t="s">
        <v>240</v>
      </c>
      <c r="DJ2705" s="5" t="s">
        <v>240</v>
      </c>
      <c r="DK2705" s="5" t="s">
        <v>240</v>
      </c>
      <c r="DL2705" s="5" t="s">
        <v>240</v>
      </c>
      <c r="DP2705" s="5" t="s">
        <v>240</v>
      </c>
      <c r="DQ2705" s="5" t="s">
        <v>240</v>
      </c>
      <c r="DR2705" s="5" t="s">
        <v>240</v>
      </c>
      <c r="DS2705" s="5" t="s">
        <v>240</v>
      </c>
      <c r="DV2705" s="5" t="s">
        <v>310</v>
      </c>
      <c r="DW2705" s="5" t="s">
        <v>3462</v>
      </c>
      <c r="HO2705" s="5" t="s">
        <v>312</v>
      </c>
    </row>
    <row r="2706" spans="1:223" x14ac:dyDescent="0.4">
      <c r="A2706" s="5">
        <v>4410</v>
      </c>
      <c r="B2706" s="5">
        <v>1</v>
      </c>
      <c r="C2706" s="5">
        <v>1</v>
      </c>
      <c r="D2706" s="5" t="s">
        <v>810</v>
      </c>
      <c r="E2706" s="5" t="s">
        <v>245</v>
      </c>
      <c r="F2706" s="5" t="s">
        <v>254</v>
      </c>
      <c r="G2706" s="5" t="s">
        <v>240</v>
      </c>
      <c r="H2706" s="6" t="s">
        <v>3131</v>
      </c>
      <c r="I2706" s="5" t="s">
        <v>809</v>
      </c>
      <c r="J2706" s="8">
        <f>952</f>
        <v>952</v>
      </c>
      <c r="K2706" s="5" t="s">
        <v>308</v>
      </c>
      <c r="L2706" s="7">
        <f>1</f>
        <v>1</v>
      </c>
      <c r="M2706" s="7">
        <f>1</f>
        <v>1</v>
      </c>
      <c r="N2706" s="5" t="s">
        <v>242</v>
      </c>
      <c r="O2706" s="5">
        <v>1</v>
      </c>
      <c r="P2706" s="5" t="s">
        <v>294</v>
      </c>
      <c r="Q2706" s="5" t="s">
        <v>266</v>
      </c>
      <c r="R2706" s="5" t="s">
        <v>240</v>
      </c>
      <c r="S2706" s="5" t="s">
        <v>240</v>
      </c>
      <c r="T2706" s="5" t="s">
        <v>296</v>
      </c>
      <c r="U2706" s="5" t="s">
        <v>244</v>
      </c>
      <c r="V2706" s="5" t="s">
        <v>240</v>
      </c>
      <c r="Y2706" s="5" t="s">
        <v>240</v>
      </c>
      <c r="Z2706" s="6" t="s">
        <v>298</v>
      </c>
      <c r="AB2706" s="6" t="s">
        <v>240</v>
      </c>
      <c r="AE2706" s="6" t="s">
        <v>299</v>
      </c>
      <c r="AF2706" s="5" t="s">
        <v>248</v>
      </c>
      <c r="AG2706" s="5" t="s">
        <v>249</v>
      </c>
      <c r="AW2706" s="5" t="s">
        <v>251</v>
      </c>
      <c r="AX2706" s="5" t="s">
        <v>240</v>
      </c>
      <c r="AY2706" s="5" t="s">
        <v>253</v>
      </c>
      <c r="AZ2706" s="5" t="s">
        <v>240</v>
      </c>
      <c r="BA2706" s="5" t="s">
        <v>255</v>
      </c>
      <c r="BB2706" s="5" t="s">
        <v>240</v>
      </c>
      <c r="BD2706" s="5" t="s">
        <v>240</v>
      </c>
      <c r="BF2706" s="5" t="s">
        <v>301</v>
      </c>
      <c r="BG2706" s="6" t="s">
        <v>299</v>
      </c>
      <c r="BH2706" s="5" t="s">
        <v>302</v>
      </c>
      <c r="BI2706" s="5" t="s">
        <v>303</v>
      </c>
      <c r="BJ2706" s="5" t="s">
        <v>240</v>
      </c>
      <c r="BK2706" s="8">
        <f>0</f>
        <v>0</v>
      </c>
      <c r="BL2706" s="7">
        <f>0</f>
        <v>0</v>
      </c>
      <c r="BM2706" s="5" t="s">
        <v>258</v>
      </c>
      <c r="BN2706" s="5" t="s">
        <v>259</v>
      </c>
      <c r="CB2706" s="5" t="s">
        <v>240</v>
      </c>
      <c r="CC2706" s="5" t="s">
        <v>240</v>
      </c>
      <c r="CG2706" s="5" t="s">
        <v>304</v>
      </c>
      <c r="CH2706" s="5" t="s">
        <v>305</v>
      </c>
      <c r="CI2706" s="5" t="s">
        <v>240</v>
      </c>
      <c r="CL2706" s="6" t="s">
        <v>261</v>
      </c>
      <c r="CM2706" s="5" t="s">
        <v>240</v>
      </c>
      <c r="CN2706" s="5" t="s">
        <v>263</v>
      </c>
      <c r="CO2706" s="5" t="s">
        <v>240</v>
      </c>
      <c r="CP2706" s="5" t="s">
        <v>240</v>
      </c>
      <c r="CQ2706" s="5">
        <v>0</v>
      </c>
      <c r="CR2706" s="5" t="s">
        <v>306</v>
      </c>
      <c r="CS2706" s="5" t="s">
        <v>307</v>
      </c>
      <c r="CT2706" s="5" t="s">
        <v>307</v>
      </c>
      <c r="CU2706" s="5" t="s">
        <v>260</v>
      </c>
      <c r="CX2706" s="7">
        <f>1</f>
        <v>1</v>
      </c>
      <c r="CY2706" s="7">
        <f>0</f>
        <v>0</v>
      </c>
      <c r="DA2706" s="7">
        <f>0</f>
        <v>0</v>
      </c>
      <c r="DC2706" s="5" t="s">
        <v>309</v>
      </c>
      <c r="DD2706" s="5" t="s">
        <v>240</v>
      </c>
      <c r="DF2706" s="5" t="s">
        <v>309</v>
      </c>
      <c r="DG2706" s="7">
        <f>2345</f>
        <v>2345</v>
      </c>
      <c r="DI2706" s="5" t="s">
        <v>240</v>
      </c>
      <c r="DJ2706" s="5" t="s">
        <v>240</v>
      </c>
      <c r="DK2706" s="5" t="s">
        <v>240</v>
      </c>
      <c r="DL2706" s="5" t="s">
        <v>240</v>
      </c>
      <c r="DP2706" s="5" t="s">
        <v>240</v>
      </c>
      <c r="DQ2706" s="5" t="s">
        <v>240</v>
      </c>
      <c r="DR2706" s="5" t="s">
        <v>240</v>
      </c>
      <c r="DS2706" s="5" t="s">
        <v>240</v>
      </c>
      <c r="DV2706" s="5" t="s">
        <v>310</v>
      </c>
      <c r="DW2706" s="5" t="s">
        <v>4836</v>
      </c>
      <c r="HO2706" s="5" t="s">
        <v>312</v>
      </c>
    </row>
    <row r="2707" spans="1:223" x14ac:dyDescent="0.4">
      <c r="A2707" s="5">
        <v>4411</v>
      </c>
      <c r="B2707" s="5">
        <v>1</v>
      </c>
      <c r="C2707" s="5">
        <v>1</v>
      </c>
      <c r="D2707" s="5" t="s">
        <v>810</v>
      </c>
      <c r="E2707" s="5" t="s">
        <v>245</v>
      </c>
      <c r="F2707" s="5" t="s">
        <v>254</v>
      </c>
      <c r="G2707" s="5" t="s">
        <v>240</v>
      </c>
      <c r="H2707" s="6" t="s">
        <v>3129</v>
      </c>
      <c r="I2707" s="5" t="s">
        <v>809</v>
      </c>
      <c r="J2707" s="8">
        <f>737</f>
        <v>737</v>
      </c>
      <c r="K2707" s="5" t="s">
        <v>308</v>
      </c>
      <c r="L2707" s="7">
        <f>1</f>
        <v>1</v>
      </c>
      <c r="M2707" s="7">
        <f>1</f>
        <v>1</v>
      </c>
      <c r="N2707" s="5" t="s">
        <v>242</v>
      </c>
      <c r="O2707" s="5">
        <v>1</v>
      </c>
      <c r="P2707" s="5" t="s">
        <v>294</v>
      </c>
      <c r="Q2707" s="5" t="s">
        <v>266</v>
      </c>
      <c r="R2707" s="5" t="s">
        <v>240</v>
      </c>
      <c r="S2707" s="5" t="s">
        <v>240</v>
      </c>
      <c r="T2707" s="5" t="s">
        <v>296</v>
      </c>
      <c r="U2707" s="5" t="s">
        <v>244</v>
      </c>
      <c r="V2707" s="5" t="s">
        <v>240</v>
      </c>
      <c r="Y2707" s="5" t="s">
        <v>240</v>
      </c>
      <c r="Z2707" s="6" t="s">
        <v>298</v>
      </c>
      <c r="AB2707" s="6" t="s">
        <v>240</v>
      </c>
      <c r="AE2707" s="6" t="s">
        <v>299</v>
      </c>
      <c r="AF2707" s="5" t="s">
        <v>248</v>
      </c>
      <c r="AG2707" s="5" t="s">
        <v>249</v>
      </c>
      <c r="AW2707" s="5" t="s">
        <v>251</v>
      </c>
      <c r="AX2707" s="5" t="s">
        <v>240</v>
      </c>
      <c r="AY2707" s="5" t="s">
        <v>253</v>
      </c>
      <c r="AZ2707" s="5" t="s">
        <v>240</v>
      </c>
      <c r="BA2707" s="5" t="s">
        <v>255</v>
      </c>
      <c r="BB2707" s="5" t="s">
        <v>240</v>
      </c>
      <c r="BD2707" s="5" t="s">
        <v>240</v>
      </c>
      <c r="BF2707" s="5" t="s">
        <v>301</v>
      </c>
      <c r="BG2707" s="6" t="s">
        <v>299</v>
      </c>
      <c r="BH2707" s="5" t="s">
        <v>302</v>
      </c>
      <c r="BI2707" s="5" t="s">
        <v>303</v>
      </c>
      <c r="BJ2707" s="5" t="s">
        <v>240</v>
      </c>
      <c r="BK2707" s="8">
        <f>0</f>
        <v>0</v>
      </c>
      <c r="BL2707" s="7">
        <f>0</f>
        <v>0</v>
      </c>
      <c r="BM2707" s="5" t="s">
        <v>258</v>
      </c>
      <c r="BN2707" s="5" t="s">
        <v>259</v>
      </c>
      <c r="CB2707" s="5" t="s">
        <v>240</v>
      </c>
      <c r="CC2707" s="5" t="s">
        <v>240</v>
      </c>
      <c r="CG2707" s="5" t="s">
        <v>304</v>
      </c>
      <c r="CH2707" s="5" t="s">
        <v>305</v>
      </c>
      <c r="CI2707" s="5" t="s">
        <v>240</v>
      </c>
      <c r="CL2707" s="6" t="s">
        <v>261</v>
      </c>
      <c r="CM2707" s="5" t="s">
        <v>240</v>
      </c>
      <c r="CN2707" s="5" t="s">
        <v>263</v>
      </c>
      <c r="CO2707" s="5" t="s">
        <v>240</v>
      </c>
      <c r="CP2707" s="5" t="s">
        <v>240</v>
      </c>
      <c r="CQ2707" s="5">
        <v>0</v>
      </c>
      <c r="CR2707" s="5" t="s">
        <v>306</v>
      </c>
      <c r="CS2707" s="5" t="s">
        <v>307</v>
      </c>
      <c r="CT2707" s="5" t="s">
        <v>307</v>
      </c>
      <c r="CU2707" s="5" t="s">
        <v>260</v>
      </c>
      <c r="CX2707" s="7">
        <f>1</f>
        <v>1</v>
      </c>
      <c r="CY2707" s="7">
        <f>0</f>
        <v>0</v>
      </c>
      <c r="DA2707" s="7">
        <f>0</f>
        <v>0</v>
      </c>
      <c r="DC2707" s="5" t="s">
        <v>309</v>
      </c>
      <c r="DD2707" s="5" t="s">
        <v>240</v>
      </c>
      <c r="DF2707" s="5" t="s">
        <v>309</v>
      </c>
      <c r="DG2707" s="7">
        <f>2832</f>
        <v>2832</v>
      </c>
      <c r="DI2707" s="5" t="s">
        <v>240</v>
      </c>
      <c r="DJ2707" s="5" t="s">
        <v>240</v>
      </c>
      <c r="DK2707" s="5" t="s">
        <v>240</v>
      </c>
      <c r="DL2707" s="5" t="s">
        <v>240</v>
      </c>
      <c r="DP2707" s="5" t="s">
        <v>240</v>
      </c>
      <c r="DQ2707" s="5" t="s">
        <v>240</v>
      </c>
      <c r="DR2707" s="5" t="s">
        <v>240</v>
      </c>
      <c r="DS2707" s="5" t="s">
        <v>240</v>
      </c>
      <c r="DV2707" s="5" t="s">
        <v>310</v>
      </c>
      <c r="DW2707" s="5" t="s">
        <v>3468</v>
      </c>
      <c r="HO2707" s="5" t="s">
        <v>312</v>
      </c>
    </row>
    <row r="2708" spans="1:223" x14ac:dyDescent="0.4">
      <c r="A2708" s="5">
        <v>4412</v>
      </c>
      <c r="B2708" s="5">
        <v>1</v>
      </c>
      <c r="C2708" s="5">
        <v>1</v>
      </c>
      <c r="D2708" s="5" t="s">
        <v>810</v>
      </c>
      <c r="E2708" s="5" t="s">
        <v>245</v>
      </c>
      <c r="F2708" s="5" t="s">
        <v>254</v>
      </c>
      <c r="G2708" s="5" t="s">
        <v>240</v>
      </c>
      <c r="H2708" s="6" t="s">
        <v>3127</v>
      </c>
      <c r="I2708" s="5" t="s">
        <v>809</v>
      </c>
      <c r="J2708" s="8">
        <f>1336</f>
        <v>1336</v>
      </c>
      <c r="K2708" s="5" t="s">
        <v>308</v>
      </c>
      <c r="L2708" s="7">
        <f>1</f>
        <v>1</v>
      </c>
      <c r="M2708" s="7">
        <f>1</f>
        <v>1</v>
      </c>
      <c r="N2708" s="5" t="s">
        <v>242</v>
      </c>
      <c r="O2708" s="5">
        <v>1</v>
      </c>
      <c r="P2708" s="5" t="s">
        <v>294</v>
      </c>
      <c r="Q2708" s="5" t="s">
        <v>266</v>
      </c>
      <c r="R2708" s="5" t="s">
        <v>240</v>
      </c>
      <c r="S2708" s="5" t="s">
        <v>240</v>
      </c>
      <c r="T2708" s="5" t="s">
        <v>296</v>
      </c>
      <c r="U2708" s="5" t="s">
        <v>244</v>
      </c>
      <c r="V2708" s="5" t="s">
        <v>240</v>
      </c>
      <c r="Y2708" s="5" t="s">
        <v>240</v>
      </c>
      <c r="Z2708" s="6" t="s">
        <v>298</v>
      </c>
      <c r="AB2708" s="6" t="s">
        <v>240</v>
      </c>
      <c r="AE2708" s="6" t="s">
        <v>299</v>
      </c>
      <c r="AF2708" s="5" t="s">
        <v>248</v>
      </c>
      <c r="AG2708" s="5" t="s">
        <v>249</v>
      </c>
      <c r="AW2708" s="5" t="s">
        <v>251</v>
      </c>
      <c r="AX2708" s="5" t="s">
        <v>240</v>
      </c>
      <c r="AY2708" s="5" t="s">
        <v>253</v>
      </c>
      <c r="AZ2708" s="5" t="s">
        <v>240</v>
      </c>
      <c r="BA2708" s="5" t="s">
        <v>255</v>
      </c>
      <c r="BB2708" s="5" t="s">
        <v>240</v>
      </c>
      <c r="BD2708" s="5" t="s">
        <v>240</v>
      </c>
      <c r="BF2708" s="5" t="s">
        <v>301</v>
      </c>
      <c r="BG2708" s="6" t="s">
        <v>299</v>
      </c>
      <c r="BH2708" s="5" t="s">
        <v>302</v>
      </c>
      <c r="BI2708" s="5" t="s">
        <v>303</v>
      </c>
      <c r="BJ2708" s="5" t="s">
        <v>240</v>
      </c>
      <c r="BK2708" s="8">
        <f>0</f>
        <v>0</v>
      </c>
      <c r="BL2708" s="7">
        <f>0</f>
        <v>0</v>
      </c>
      <c r="BM2708" s="5" t="s">
        <v>258</v>
      </c>
      <c r="BN2708" s="5" t="s">
        <v>259</v>
      </c>
      <c r="CB2708" s="5" t="s">
        <v>240</v>
      </c>
      <c r="CC2708" s="5" t="s">
        <v>240</v>
      </c>
      <c r="CG2708" s="5" t="s">
        <v>304</v>
      </c>
      <c r="CH2708" s="5" t="s">
        <v>305</v>
      </c>
      <c r="CI2708" s="5" t="s">
        <v>240</v>
      </c>
      <c r="CL2708" s="6" t="s">
        <v>261</v>
      </c>
      <c r="CM2708" s="5" t="s">
        <v>240</v>
      </c>
      <c r="CN2708" s="5" t="s">
        <v>263</v>
      </c>
      <c r="CO2708" s="5" t="s">
        <v>240</v>
      </c>
      <c r="CP2708" s="5" t="s">
        <v>240</v>
      </c>
      <c r="CQ2708" s="5">
        <v>0</v>
      </c>
      <c r="CR2708" s="5" t="s">
        <v>306</v>
      </c>
      <c r="CS2708" s="5" t="s">
        <v>307</v>
      </c>
      <c r="CT2708" s="5" t="s">
        <v>307</v>
      </c>
      <c r="CU2708" s="5" t="s">
        <v>260</v>
      </c>
      <c r="CX2708" s="7">
        <f>1</f>
        <v>1</v>
      </c>
      <c r="CY2708" s="7">
        <f>0</f>
        <v>0</v>
      </c>
      <c r="DA2708" s="7">
        <f>0</f>
        <v>0</v>
      </c>
      <c r="DC2708" s="5" t="s">
        <v>309</v>
      </c>
      <c r="DD2708" s="5" t="s">
        <v>240</v>
      </c>
      <c r="DF2708" s="5" t="s">
        <v>309</v>
      </c>
      <c r="DG2708" s="7">
        <f>1886</f>
        <v>1886</v>
      </c>
      <c r="DI2708" s="5" t="s">
        <v>240</v>
      </c>
      <c r="DJ2708" s="5" t="s">
        <v>240</v>
      </c>
      <c r="DK2708" s="5" t="s">
        <v>240</v>
      </c>
      <c r="DL2708" s="5" t="s">
        <v>240</v>
      </c>
      <c r="DP2708" s="5" t="s">
        <v>240</v>
      </c>
      <c r="DQ2708" s="5" t="s">
        <v>240</v>
      </c>
      <c r="DR2708" s="5" t="s">
        <v>240</v>
      </c>
      <c r="DS2708" s="5" t="s">
        <v>240</v>
      </c>
      <c r="DV2708" s="5" t="s">
        <v>310</v>
      </c>
      <c r="DW2708" s="5" t="s">
        <v>4839</v>
      </c>
      <c r="HO2708" s="5" t="s">
        <v>312</v>
      </c>
    </row>
    <row r="2709" spans="1:223" x14ac:dyDescent="0.4">
      <c r="A2709" s="5">
        <v>4413</v>
      </c>
      <c r="B2709" s="5">
        <v>1</v>
      </c>
      <c r="C2709" s="5">
        <v>1</v>
      </c>
      <c r="D2709" s="5" t="s">
        <v>810</v>
      </c>
      <c r="E2709" s="5" t="s">
        <v>245</v>
      </c>
      <c r="F2709" s="5" t="s">
        <v>254</v>
      </c>
      <c r="G2709" s="5" t="s">
        <v>240</v>
      </c>
      <c r="H2709" s="6" t="s">
        <v>3125</v>
      </c>
      <c r="I2709" s="5" t="s">
        <v>809</v>
      </c>
      <c r="J2709" s="8">
        <f>1285</f>
        <v>1285</v>
      </c>
      <c r="K2709" s="5" t="s">
        <v>308</v>
      </c>
      <c r="L2709" s="7">
        <f>1</f>
        <v>1</v>
      </c>
      <c r="M2709" s="7">
        <f>1</f>
        <v>1</v>
      </c>
      <c r="N2709" s="5" t="s">
        <v>242</v>
      </c>
      <c r="O2709" s="5">
        <v>1</v>
      </c>
      <c r="P2709" s="5" t="s">
        <v>294</v>
      </c>
      <c r="Q2709" s="5" t="s">
        <v>266</v>
      </c>
      <c r="R2709" s="5" t="s">
        <v>240</v>
      </c>
      <c r="S2709" s="5" t="s">
        <v>240</v>
      </c>
      <c r="T2709" s="5" t="s">
        <v>296</v>
      </c>
      <c r="U2709" s="5" t="s">
        <v>244</v>
      </c>
      <c r="V2709" s="5" t="s">
        <v>240</v>
      </c>
      <c r="Y2709" s="5" t="s">
        <v>240</v>
      </c>
      <c r="Z2709" s="6" t="s">
        <v>298</v>
      </c>
      <c r="AB2709" s="6" t="s">
        <v>240</v>
      </c>
      <c r="AE2709" s="6" t="s">
        <v>299</v>
      </c>
      <c r="AF2709" s="5" t="s">
        <v>248</v>
      </c>
      <c r="AG2709" s="5" t="s">
        <v>249</v>
      </c>
      <c r="AW2709" s="5" t="s">
        <v>251</v>
      </c>
      <c r="AX2709" s="5" t="s">
        <v>240</v>
      </c>
      <c r="AY2709" s="5" t="s">
        <v>253</v>
      </c>
      <c r="AZ2709" s="5" t="s">
        <v>240</v>
      </c>
      <c r="BA2709" s="5" t="s">
        <v>255</v>
      </c>
      <c r="BB2709" s="5" t="s">
        <v>240</v>
      </c>
      <c r="BD2709" s="5" t="s">
        <v>240</v>
      </c>
      <c r="BF2709" s="5" t="s">
        <v>301</v>
      </c>
      <c r="BG2709" s="6" t="s">
        <v>299</v>
      </c>
      <c r="BH2709" s="5" t="s">
        <v>302</v>
      </c>
      <c r="BI2709" s="5" t="s">
        <v>303</v>
      </c>
      <c r="BJ2709" s="5" t="s">
        <v>240</v>
      </c>
      <c r="BK2709" s="8">
        <f>0</f>
        <v>0</v>
      </c>
      <c r="BL2709" s="7">
        <f>0</f>
        <v>0</v>
      </c>
      <c r="BM2709" s="5" t="s">
        <v>258</v>
      </c>
      <c r="BN2709" s="5" t="s">
        <v>259</v>
      </c>
      <c r="CB2709" s="5" t="s">
        <v>240</v>
      </c>
      <c r="CC2709" s="5" t="s">
        <v>240</v>
      </c>
      <c r="CG2709" s="5" t="s">
        <v>304</v>
      </c>
      <c r="CH2709" s="5" t="s">
        <v>305</v>
      </c>
      <c r="CI2709" s="5" t="s">
        <v>240</v>
      </c>
      <c r="CL2709" s="6" t="s">
        <v>261</v>
      </c>
      <c r="CM2709" s="5" t="s">
        <v>240</v>
      </c>
      <c r="CN2709" s="5" t="s">
        <v>263</v>
      </c>
      <c r="CO2709" s="5" t="s">
        <v>240</v>
      </c>
      <c r="CP2709" s="5" t="s">
        <v>240</v>
      </c>
      <c r="CQ2709" s="5">
        <v>0</v>
      </c>
      <c r="CR2709" s="5" t="s">
        <v>306</v>
      </c>
      <c r="CS2709" s="5" t="s">
        <v>307</v>
      </c>
      <c r="CT2709" s="5" t="s">
        <v>307</v>
      </c>
      <c r="CU2709" s="5" t="s">
        <v>260</v>
      </c>
      <c r="CX2709" s="7">
        <f>1</f>
        <v>1</v>
      </c>
      <c r="CY2709" s="7">
        <f>0</f>
        <v>0</v>
      </c>
      <c r="DA2709" s="7">
        <f>0</f>
        <v>0</v>
      </c>
      <c r="DC2709" s="5" t="s">
        <v>309</v>
      </c>
      <c r="DD2709" s="5" t="s">
        <v>240</v>
      </c>
      <c r="DF2709" s="5" t="s">
        <v>309</v>
      </c>
      <c r="DG2709" s="7">
        <f>8361</f>
        <v>8361</v>
      </c>
      <c r="DI2709" s="5" t="s">
        <v>240</v>
      </c>
      <c r="DJ2709" s="5" t="s">
        <v>240</v>
      </c>
      <c r="DK2709" s="5" t="s">
        <v>240</v>
      </c>
      <c r="DL2709" s="5" t="s">
        <v>240</v>
      </c>
      <c r="DP2709" s="5" t="s">
        <v>240</v>
      </c>
      <c r="DQ2709" s="5" t="s">
        <v>240</v>
      </c>
      <c r="DR2709" s="5" t="s">
        <v>240</v>
      </c>
      <c r="DS2709" s="5" t="s">
        <v>240</v>
      </c>
      <c r="DV2709" s="5" t="s">
        <v>310</v>
      </c>
      <c r="DW2709" s="5" t="s">
        <v>3475</v>
      </c>
      <c r="HO2709" s="5" t="s">
        <v>312</v>
      </c>
    </row>
    <row r="2710" spans="1:223" x14ac:dyDescent="0.4">
      <c r="A2710" s="5">
        <v>4414</v>
      </c>
      <c r="B2710" s="5">
        <v>1</v>
      </c>
      <c r="C2710" s="5">
        <v>1</v>
      </c>
      <c r="D2710" s="5" t="s">
        <v>810</v>
      </c>
      <c r="E2710" s="5" t="s">
        <v>245</v>
      </c>
      <c r="F2710" s="5" t="s">
        <v>254</v>
      </c>
      <c r="G2710" s="5" t="s">
        <v>240</v>
      </c>
      <c r="H2710" s="6" t="s">
        <v>3123</v>
      </c>
      <c r="I2710" s="5" t="s">
        <v>809</v>
      </c>
      <c r="J2710" s="8">
        <f>548</f>
        <v>548</v>
      </c>
      <c r="K2710" s="5" t="s">
        <v>308</v>
      </c>
      <c r="L2710" s="7">
        <f>1</f>
        <v>1</v>
      </c>
      <c r="M2710" s="7">
        <f>1</f>
        <v>1</v>
      </c>
      <c r="N2710" s="5" t="s">
        <v>242</v>
      </c>
      <c r="O2710" s="5">
        <v>1</v>
      </c>
      <c r="P2710" s="5" t="s">
        <v>294</v>
      </c>
      <c r="Q2710" s="5" t="s">
        <v>266</v>
      </c>
      <c r="R2710" s="5" t="s">
        <v>240</v>
      </c>
      <c r="S2710" s="5" t="s">
        <v>240</v>
      </c>
      <c r="T2710" s="5" t="s">
        <v>296</v>
      </c>
      <c r="U2710" s="5" t="s">
        <v>244</v>
      </c>
      <c r="V2710" s="5" t="s">
        <v>240</v>
      </c>
      <c r="Y2710" s="5" t="s">
        <v>240</v>
      </c>
      <c r="Z2710" s="6" t="s">
        <v>298</v>
      </c>
      <c r="AB2710" s="6" t="s">
        <v>240</v>
      </c>
      <c r="AE2710" s="6" t="s">
        <v>299</v>
      </c>
      <c r="AF2710" s="5" t="s">
        <v>248</v>
      </c>
      <c r="AG2710" s="5" t="s">
        <v>249</v>
      </c>
      <c r="AW2710" s="5" t="s">
        <v>251</v>
      </c>
      <c r="AX2710" s="5" t="s">
        <v>240</v>
      </c>
      <c r="AY2710" s="5" t="s">
        <v>253</v>
      </c>
      <c r="AZ2710" s="5" t="s">
        <v>240</v>
      </c>
      <c r="BA2710" s="5" t="s">
        <v>255</v>
      </c>
      <c r="BB2710" s="5" t="s">
        <v>240</v>
      </c>
      <c r="BD2710" s="5" t="s">
        <v>240</v>
      </c>
      <c r="BF2710" s="5" t="s">
        <v>301</v>
      </c>
      <c r="BG2710" s="6" t="s">
        <v>299</v>
      </c>
      <c r="BH2710" s="5" t="s">
        <v>302</v>
      </c>
      <c r="BI2710" s="5" t="s">
        <v>303</v>
      </c>
      <c r="BJ2710" s="5" t="s">
        <v>240</v>
      </c>
      <c r="BK2710" s="8">
        <f>0</f>
        <v>0</v>
      </c>
      <c r="BL2710" s="7">
        <f>0</f>
        <v>0</v>
      </c>
      <c r="BM2710" s="5" t="s">
        <v>258</v>
      </c>
      <c r="BN2710" s="5" t="s">
        <v>259</v>
      </c>
      <c r="CB2710" s="5" t="s">
        <v>240</v>
      </c>
      <c r="CC2710" s="5" t="s">
        <v>240</v>
      </c>
      <c r="CG2710" s="5" t="s">
        <v>304</v>
      </c>
      <c r="CH2710" s="5" t="s">
        <v>305</v>
      </c>
      <c r="CI2710" s="5" t="s">
        <v>240</v>
      </c>
      <c r="CL2710" s="6" t="s">
        <v>261</v>
      </c>
      <c r="CM2710" s="5" t="s">
        <v>240</v>
      </c>
      <c r="CN2710" s="5" t="s">
        <v>263</v>
      </c>
      <c r="CO2710" s="5" t="s">
        <v>240</v>
      </c>
      <c r="CP2710" s="5" t="s">
        <v>240</v>
      </c>
      <c r="CQ2710" s="5">
        <v>0</v>
      </c>
      <c r="CR2710" s="5" t="s">
        <v>306</v>
      </c>
      <c r="CS2710" s="5" t="s">
        <v>307</v>
      </c>
      <c r="CT2710" s="5" t="s">
        <v>307</v>
      </c>
      <c r="CU2710" s="5" t="s">
        <v>260</v>
      </c>
      <c r="CX2710" s="7">
        <f>1</f>
        <v>1</v>
      </c>
      <c r="CY2710" s="7">
        <f>0</f>
        <v>0</v>
      </c>
      <c r="DA2710" s="7">
        <f>0</f>
        <v>0</v>
      </c>
      <c r="DC2710" s="5" t="s">
        <v>812</v>
      </c>
      <c r="DD2710" s="5" t="s">
        <v>240</v>
      </c>
      <c r="DF2710" s="5" t="s">
        <v>812</v>
      </c>
      <c r="DG2710" s="7">
        <f>750</f>
        <v>750</v>
      </c>
      <c r="DI2710" s="5" t="s">
        <v>240</v>
      </c>
      <c r="DJ2710" s="5" t="s">
        <v>240</v>
      </c>
      <c r="DK2710" s="5" t="s">
        <v>240</v>
      </c>
      <c r="DL2710" s="5" t="s">
        <v>240</v>
      </c>
      <c r="DP2710" s="5" t="s">
        <v>240</v>
      </c>
      <c r="DQ2710" s="5" t="s">
        <v>240</v>
      </c>
      <c r="DR2710" s="5" t="s">
        <v>240</v>
      </c>
      <c r="DS2710" s="5" t="s">
        <v>240</v>
      </c>
      <c r="DV2710" s="5" t="s">
        <v>813</v>
      </c>
      <c r="DW2710" s="5" t="s">
        <v>4842</v>
      </c>
      <c r="HO2710" s="5" t="s">
        <v>312</v>
      </c>
    </row>
    <row r="2711" spans="1:223" x14ac:dyDescent="0.4">
      <c r="A2711" s="5">
        <v>4415</v>
      </c>
      <c r="B2711" s="5">
        <v>1</v>
      </c>
      <c r="C2711" s="5">
        <v>1</v>
      </c>
      <c r="D2711" s="5" t="s">
        <v>810</v>
      </c>
      <c r="E2711" s="5" t="s">
        <v>245</v>
      </c>
      <c r="F2711" s="5" t="s">
        <v>254</v>
      </c>
      <c r="G2711" s="5" t="s">
        <v>240</v>
      </c>
      <c r="H2711" s="6" t="s">
        <v>3121</v>
      </c>
      <c r="I2711" s="5" t="s">
        <v>809</v>
      </c>
      <c r="J2711" s="8">
        <f>980</f>
        <v>980</v>
      </c>
      <c r="K2711" s="5" t="s">
        <v>308</v>
      </c>
      <c r="L2711" s="7">
        <f>1</f>
        <v>1</v>
      </c>
      <c r="M2711" s="7">
        <f>1</f>
        <v>1</v>
      </c>
      <c r="N2711" s="5" t="s">
        <v>242</v>
      </c>
      <c r="O2711" s="5">
        <v>1</v>
      </c>
      <c r="P2711" s="5" t="s">
        <v>294</v>
      </c>
      <c r="Q2711" s="5" t="s">
        <v>266</v>
      </c>
      <c r="R2711" s="5" t="s">
        <v>240</v>
      </c>
      <c r="S2711" s="5" t="s">
        <v>240</v>
      </c>
      <c r="T2711" s="5" t="s">
        <v>296</v>
      </c>
      <c r="U2711" s="5" t="s">
        <v>244</v>
      </c>
      <c r="V2711" s="5" t="s">
        <v>240</v>
      </c>
      <c r="Y2711" s="5" t="s">
        <v>240</v>
      </c>
      <c r="Z2711" s="6" t="s">
        <v>298</v>
      </c>
      <c r="AB2711" s="6" t="s">
        <v>240</v>
      </c>
      <c r="AE2711" s="6" t="s">
        <v>299</v>
      </c>
      <c r="AF2711" s="5" t="s">
        <v>248</v>
      </c>
      <c r="AG2711" s="5" t="s">
        <v>249</v>
      </c>
      <c r="AW2711" s="5" t="s">
        <v>251</v>
      </c>
      <c r="AX2711" s="5" t="s">
        <v>240</v>
      </c>
      <c r="AY2711" s="5" t="s">
        <v>253</v>
      </c>
      <c r="AZ2711" s="5" t="s">
        <v>240</v>
      </c>
      <c r="BA2711" s="5" t="s">
        <v>255</v>
      </c>
      <c r="BB2711" s="5" t="s">
        <v>240</v>
      </c>
      <c r="BD2711" s="5" t="s">
        <v>240</v>
      </c>
      <c r="BF2711" s="5" t="s">
        <v>301</v>
      </c>
      <c r="BG2711" s="6" t="s">
        <v>299</v>
      </c>
      <c r="BH2711" s="5" t="s">
        <v>302</v>
      </c>
      <c r="BI2711" s="5" t="s">
        <v>303</v>
      </c>
      <c r="BJ2711" s="5" t="s">
        <v>240</v>
      </c>
      <c r="BK2711" s="8">
        <f>0</f>
        <v>0</v>
      </c>
      <c r="BL2711" s="7">
        <f>0</f>
        <v>0</v>
      </c>
      <c r="BM2711" s="5" t="s">
        <v>258</v>
      </c>
      <c r="BN2711" s="5" t="s">
        <v>259</v>
      </c>
      <c r="CB2711" s="5" t="s">
        <v>240</v>
      </c>
      <c r="CC2711" s="5" t="s">
        <v>240</v>
      </c>
      <c r="CG2711" s="5" t="s">
        <v>304</v>
      </c>
      <c r="CH2711" s="5" t="s">
        <v>305</v>
      </c>
      <c r="CI2711" s="5" t="s">
        <v>240</v>
      </c>
      <c r="CL2711" s="6" t="s">
        <v>261</v>
      </c>
      <c r="CM2711" s="5" t="s">
        <v>240</v>
      </c>
      <c r="CN2711" s="5" t="s">
        <v>263</v>
      </c>
      <c r="CO2711" s="5" t="s">
        <v>240</v>
      </c>
      <c r="CP2711" s="5" t="s">
        <v>240</v>
      </c>
      <c r="CQ2711" s="5">
        <v>0</v>
      </c>
      <c r="CR2711" s="5" t="s">
        <v>306</v>
      </c>
      <c r="CS2711" s="5" t="s">
        <v>307</v>
      </c>
      <c r="CT2711" s="5" t="s">
        <v>307</v>
      </c>
      <c r="CU2711" s="5" t="s">
        <v>260</v>
      </c>
      <c r="CX2711" s="7">
        <f>1</f>
        <v>1</v>
      </c>
      <c r="CY2711" s="7">
        <f>0</f>
        <v>0</v>
      </c>
      <c r="DA2711" s="7">
        <f>0</f>
        <v>0</v>
      </c>
      <c r="DC2711" s="5" t="s">
        <v>309</v>
      </c>
      <c r="DD2711" s="5" t="s">
        <v>240</v>
      </c>
      <c r="DF2711" s="5" t="s">
        <v>309</v>
      </c>
      <c r="DG2711" s="7">
        <f>2504</f>
        <v>2504</v>
      </c>
      <c r="DI2711" s="5" t="s">
        <v>240</v>
      </c>
      <c r="DJ2711" s="5" t="s">
        <v>240</v>
      </c>
      <c r="DK2711" s="5" t="s">
        <v>240</v>
      </c>
      <c r="DL2711" s="5" t="s">
        <v>240</v>
      </c>
      <c r="DP2711" s="5" t="s">
        <v>240</v>
      </c>
      <c r="DQ2711" s="5" t="s">
        <v>240</v>
      </c>
      <c r="DR2711" s="5" t="s">
        <v>240</v>
      </c>
      <c r="DS2711" s="5" t="s">
        <v>240</v>
      </c>
      <c r="DV2711" s="5" t="s">
        <v>310</v>
      </c>
      <c r="DW2711" s="5" t="s">
        <v>3478</v>
      </c>
      <c r="HO2711" s="5" t="s">
        <v>312</v>
      </c>
    </row>
    <row r="2712" spans="1:223" x14ac:dyDescent="0.4">
      <c r="A2712" s="5">
        <v>4416</v>
      </c>
      <c r="B2712" s="5">
        <v>1</v>
      </c>
      <c r="C2712" s="5">
        <v>1</v>
      </c>
      <c r="D2712" s="5" t="s">
        <v>810</v>
      </c>
      <c r="E2712" s="5" t="s">
        <v>245</v>
      </c>
      <c r="F2712" s="5" t="s">
        <v>254</v>
      </c>
      <c r="G2712" s="5" t="s">
        <v>240</v>
      </c>
      <c r="H2712" s="6" t="s">
        <v>3119</v>
      </c>
      <c r="I2712" s="5" t="s">
        <v>809</v>
      </c>
      <c r="J2712" s="8">
        <f>268</f>
        <v>268</v>
      </c>
      <c r="K2712" s="5" t="s">
        <v>308</v>
      </c>
      <c r="L2712" s="7">
        <f>1</f>
        <v>1</v>
      </c>
      <c r="M2712" s="7">
        <f>1</f>
        <v>1</v>
      </c>
      <c r="N2712" s="5" t="s">
        <v>242</v>
      </c>
      <c r="O2712" s="5">
        <v>1</v>
      </c>
      <c r="P2712" s="5" t="s">
        <v>294</v>
      </c>
      <c r="Q2712" s="5" t="s">
        <v>266</v>
      </c>
      <c r="R2712" s="5" t="s">
        <v>240</v>
      </c>
      <c r="S2712" s="5" t="s">
        <v>240</v>
      </c>
      <c r="T2712" s="5" t="s">
        <v>296</v>
      </c>
      <c r="U2712" s="5" t="s">
        <v>244</v>
      </c>
      <c r="V2712" s="5" t="s">
        <v>240</v>
      </c>
      <c r="Y2712" s="5" t="s">
        <v>240</v>
      </c>
      <c r="Z2712" s="6" t="s">
        <v>298</v>
      </c>
      <c r="AB2712" s="6" t="s">
        <v>240</v>
      </c>
      <c r="AE2712" s="6" t="s">
        <v>299</v>
      </c>
      <c r="AF2712" s="5" t="s">
        <v>248</v>
      </c>
      <c r="AG2712" s="5" t="s">
        <v>249</v>
      </c>
      <c r="AW2712" s="5" t="s">
        <v>251</v>
      </c>
      <c r="AX2712" s="5" t="s">
        <v>240</v>
      </c>
      <c r="AY2712" s="5" t="s">
        <v>253</v>
      </c>
      <c r="AZ2712" s="5" t="s">
        <v>240</v>
      </c>
      <c r="BA2712" s="5" t="s">
        <v>255</v>
      </c>
      <c r="BB2712" s="5" t="s">
        <v>240</v>
      </c>
      <c r="BD2712" s="5" t="s">
        <v>240</v>
      </c>
      <c r="BF2712" s="5" t="s">
        <v>301</v>
      </c>
      <c r="BG2712" s="6" t="s">
        <v>299</v>
      </c>
      <c r="BH2712" s="5" t="s">
        <v>302</v>
      </c>
      <c r="BI2712" s="5" t="s">
        <v>303</v>
      </c>
      <c r="BJ2712" s="5" t="s">
        <v>240</v>
      </c>
      <c r="BK2712" s="8">
        <f>0</f>
        <v>0</v>
      </c>
      <c r="BL2712" s="7">
        <f>0</f>
        <v>0</v>
      </c>
      <c r="BM2712" s="5" t="s">
        <v>258</v>
      </c>
      <c r="BN2712" s="5" t="s">
        <v>259</v>
      </c>
      <c r="CB2712" s="5" t="s">
        <v>240</v>
      </c>
      <c r="CC2712" s="5" t="s">
        <v>240</v>
      </c>
      <c r="CG2712" s="5" t="s">
        <v>304</v>
      </c>
      <c r="CH2712" s="5" t="s">
        <v>305</v>
      </c>
      <c r="CI2712" s="5" t="s">
        <v>240</v>
      </c>
      <c r="CL2712" s="6" t="s">
        <v>261</v>
      </c>
      <c r="CM2712" s="5" t="s">
        <v>240</v>
      </c>
      <c r="CN2712" s="5" t="s">
        <v>263</v>
      </c>
      <c r="CO2712" s="5" t="s">
        <v>240</v>
      </c>
      <c r="CP2712" s="5" t="s">
        <v>240</v>
      </c>
      <c r="CQ2712" s="5">
        <v>0</v>
      </c>
      <c r="CR2712" s="5" t="s">
        <v>306</v>
      </c>
      <c r="CS2712" s="5" t="s">
        <v>307</v>
      </c>
      <c r="CT2712" s="5" t="s">
        <v>307</v>
      </c>
      <c r="CU2712" s="5" t="s">
        <v>260</v>
      </c>
      <c r="CX2712" s="7">
        <f>1</f>
        <v>1</v>
      </c>
      <c r="CY2712" s="7">
        <f>0</f>
        <v>0</v>
      </c>
      <c r="DA2712" s="7">
        <f>0</f>
        <v>0</v>
      </c>
      <c r="DC2712" s="5" t="s">
        <v>309</v>
      </c>
      <c r="DD2712" s="5" t="s">
        <v>240</v>
      </c>
      <c r="DF2712" s="5" t="s">
        <v>309</v>
      </c>
      <c r="DG2712" s="7">
        <f>2822</f>
        <v>2822</v>
      </c>
      <c r="DI2712" s="5" t="s">
        <v>240</v>
      </c>
      <c r="DJ2712" s="5" t="s">
        <v>240</v>
      </c>
      <c r="DK2712" s="5" t="s">
        <v>240</v>
      </c>
      <c r="DL2712" s="5" t="s">
        <v>240</v>
      </c>
      <c r="DP2712" s="5" t="s">
        <v>240</v>
      </c>
      <c r="DQ2712" s="5" t="s">
        <v>240</v>
      </c>
      <c r="DR2712" s="5" t="s">
        <v>240</v>
      </c>
      <c r="DS2712" s="5" t="s">
        <v>240</v>
      </c>
      <c r="DV2712" s="5" t="s">
        <v>310</v>
      </c>
      <c r="DW2712" s="5" t="s">
        <v>3480</v>
      </c>
      <c r="HO2712" s="5" t="s">
        <v>312</v>
      </c>
    </row>
    <row r="2713" spans="1:223" x14ac:dyDescent="0.4">
      <c r="A2713" s="5">
        <v>4417</v>
      </c>
      <c r="B2713" s="5">
        <v>1</v>
      </c>
      <c r="C2713" s="5">
        <v>1</v>
      </c>
      <c r="D2713" s="5" t="s">
        <v>810</v>
      </c>
      <c r="E2713" s="5" t="s">
        <v>245</v>
      </c>
      <c r="F2713" s="5" t="s">
        <v>254</v>
      </c>
      <c r="G2713" s="5" t="s">
        <v>240</v>
      </c>
      <c r="H2713" s="6" t="s">
        <v>4882</v>
      </c>
      <c r="I2713" s="5" t="s">
        <v>809</v>
      </c>
      <c r="J2713" s="8">
        <f>510</f>
        <v>510</v>
      </c>
      <c r="K2713" s="5" t="s">
        <v>308</v>
      </c>
      <c r="L2713" s="7">
        <f>1</f>
        <v>1</v>
      </c>
      <c r="M2713" s="7">
        <f>1</f>
        <v>1</v>
      </c>
      <c r="N2713" s="5" t="s">
        <v>242</v>
      </c>
      <c r="O2713" s="5">
        <v>1</v>
      </c>
      <c r="P2713" s="5" t="s">
        <v>294</v>
      </c>
      <c r="Q2713" s="5" t="s">
        <v>266</v>
      </c>
      <c r="R2713" s="5" t="s">
        <v>240</v>
      </c>
      <c r="S2713" s="5" t="s">
        <v>240</v>
      </c>
      <c r="T2713" s="5" t="s">
        <v>296</v>
      </c>
      <c r="U2713" s="5" t="s">
        <v>244</v>
      </c>
      <c r="V2713" s="5" t="s">
        <v>240</v>
      </c>
      <c r="Y2713" s="5" t="s">
        <v>240</v>
      </c>
      <c r="Z2713" s="6" t="s">
        <v>298</v>
      </c>
      <c r="AB2713" s="6" t="s">
        <v>240</v>
      </c>
      <c r="AE2713" s="6" t="s">
        <v>299</v>
      </c>
      <c r="AF2713" s="5" t="s">
        <v>248</v>
      </c>
      <c r="AG2713" s="5" t="s">
        <v>249</v>
      </c>
      <c r="AW2713" s="5" t="s">
        <v>251</v>
      </c>
      <c r="AX2713" s="5" t="s">
        <v>240</v>
      </c>
      <c r="AY2713" s="5" t="s">
        <v>253</v>
      </c>
      <c r="AZ2713" s="5" t="s">
        <v>240</v>
      </c>
      <c r="BA2713" s="5" t="s">
        <v>255</v>
      </c>
      <c r="BB2713" s="5" t="s">
        <v>240</v>
      </c>
      <c r="BD2713" s="5" t="s">
        <v>240</v>
      </c>
      <c r="BF2713" s="5" t="s">
        <v>301</v>
      </c>
      <c r="BG2713" s="6" t="s">
        <v>299</v>
      </c>
      <c r="BH2713" s="5" t="s">
        <v>302</v>
      </c>
      <c r="BI2713" s="5" t="s">
        <v>303</v>
      </c>
      <c r="BJ2713" s="5" t="s">
        <v>240</v>
      </c>
      <c r="BK2713" s="8">
        <f>0</f>
        <v>0</v>
      </c>
      <c r="BL2713" s="7">
        <f>0</f>
        <v>0</v>
      </c>
      <c r="BM2713" s="5" t="s">
        <v>258</v>
      </c>
      <c r="BN2713" s="5" t="s">
        <v>259</v>
      </c>
      <c r="CB2713" s="5" t="s">
        <v>240</v>
      </c>
      <c r="CC2713" s="5" t="s">
        <v>240</v>
      </c>
      <c r="CG2713" s="5" t="s">
        <v>304</v>
      </c>
      <c r="CH2713" s="5" t="s">
        <v>305</v>
      </c>
      <c r="CI2713" s="5" t="s">
        <v>240</v>
      </c>
      <c r="CL2713" s="6" t="s">
        <v>261</v>
      </c>
      <c r="CM2713" s="5" t="s">
        <v>240</v>
      </c>
      <c r="CN2713" s="5" t="s">
        <v>263</v>
      </c>
      <c r="CO2713" s="5" t="s">
        <v>240</v>
      </c>
      <c r="CP2713" s="5" t="s">
        <v>240</v>
      </c>
      <c r="CQ2713" s="5">
        <v>0</v>
      </c>
      <c r="CR2713" s="5" t="s">
        <v>306</v>
      </c>
      <c r="CS2713" s="5" t="s">
        <v>307</v>
      </c>
      <c r="CT2713" s="5" t="s">
        <v>307</v>
      </c>
      <c r="CU2713" s="5" t="s">
        <v>260</v>
      </c>
      <c r="CX2713" s="7">
        <f>1</f>
        <v>1</v>
      </c>
      <c r="CY2713" s="7">
        <f>0</f>
        <v>0</v>
      </c>
      <c r="DA2713" s="7">
        <f>0</f>
        <v>0</v>
      </c>
      <c r="DC2713" s="5" t="s">
        <v>309</v>
      </c>
      <c r="DD2713" s="5" t="s">
        <v>240</v>
      </c>
      <c r="DF2713" s="5" t="s">
        <v>309</v>
      </c>
      <c r="DG2713" s="7">
        <f>2476</f>
        <v>2476</v>
      </c>
      <c r="DI2713" s="5" t="s">
        <v>240</v>
      </c>
      <c r="DJ2713" s="5" t="s">
        <v>240</v>
      </c>
      <c r="DK2713" s="5" t="s">
        <v>240</v>
      </c>
      <c r="DL2713" s="5" t="s">
        <v>240</v>
      </c>
      <c r="DP2713" s="5" t="s">
        <v>240</v>
      </c>
      <c r="DQ2713" s="5" t="s">
        <v>240</v>
      </c>
      <c r="DR2713" s="5" t="s">
        <v>240</v>
      </c>
      <c r="DS2713" s="5" t="s">
        <v>240</v>
      </c>
      <c r="DV2713" s="5" t="s">
        <v>310</v>
      </c>
      <c r="DW2713" s="5" t="s">
        <v>3482</v>
      </c>
      <c r="HO2713" s="5" t="s">
        <v>312</v>
      </c>
    </row>
    <row r="2714" spans="1:223" x14ac:dyDescent="0.4">
      <c r="A2714" s="5">
        <v>4418</v>
      </c>
      <c r="B2714" s="5">
        <v>1</v>
      </c>
      <c r="C2714" s="5">
        <v>1</v>
      </c>
      <c r="D2714" s="5" t="s">
        <v>810</v>
      </c>
      <c r="E2714" s="5" t="s">
        <v>245</v>
      </c>
      <c r="F2714" s="5" t="s">
        <v>254</v>
      </c>
      <c r="G2714" s="5" t="s">
        <v>240</v>
      </c>
      <c r="H2714" s="6" t="s">
        <v>3115</v>
      </c>
      <c r="I2714" s="5" t="s">
        <v>809</v>
      </c>
      <c r="J2714" s="8">
        <f>381</f>
        <v>381</v>
      </c>
      <c r="K2714" s="5" t="s">
        <v>308</v>
      </c>
      <c r="L2714" s="7">
        <f>1</f>
        <v>1</v>
      </c>
      <c r="M2714" s="7">
        <f>1</f>
        <v>1</v>
      </c>
      <c r="N2714" s="5" t="s">
        <v>242</v>
      </c>
      <c r="O2714" s="5">
        <v>1</v>
      </c>
      <c r="P2714" s="5" t="s">
        <v>294</v>
      </c>
      <c r="Q2714" s="5" t="s">
        <v>266</v>
      </c>
      <c r="R2714" s="5" t="s">
        <v>240</v>
      </c>
      <c r="S2714" s="5" t="s">
        <v>240</v>
      </c>
      <c r="T2714" s="5" t="s">
        <v>296</v>
      </c>
      <c r="U2714" s="5" t="s">
        <v>244</v>
      </c>
      <c r="V2714" s="5" t="s">
        <v>240</v>
      </c>
      <c r="Y2714" s="5" t="s">
        <v>240</v>
      </c>
      <c r="Z2714" s="6" t="s">
        <v>298</v>
      </c>
      <c r="AB2714" s="6" t="s">
        <v>240</v>
      </c>
      <c r="AE2714" s="6" t="s">
        <v>299</v>
      </c>
      <c r="AF2714" s="5" t="s">
        <v>248</v>
      </c>
      <c r="AG2714" s="5" t="s">
        <v>249</v>
      </c>
      <c r="AW2714" s="5" t="s">
        <v>251</v>
      </c>
      <c r="AX2714" s="5" t="s">
        <v>240</v>
      </c>
      <c r="AY2714" s="5" t="s">
        <v>253</v>
      </c>
      <c r="AZ2714" s="5" t="s">
        <v>240</v>
      </c>
      <c r="BA2714" s="5" t="s">
        <v>255</v>
      </c>
      <c r="BB2714" s="5" t="s">
        <v>240</v>
      </c>
      <c r="BD2714" s="5" t="s">
        <v>240</v>
      </c>
      <c r="BF2714" s="5" t="s">
        <v>301</v>
      </c>
      <c r="BG2714" s="6" t="s">
        <v>299</v>
      </c>
      <c r="BH2714" s="5" t="s">
        <v>302</v>
      </c>
      <c r="BI2714" s="5" t="s">
        <v>303</v>
      </c>
      <c r="BJ2714" s="5" t="s">
        <v>240</v>
      </c>
      <c r="BK2714" s="8">
        <f>0</f>
        <v>0</v>
      </c>
      <c r="BL2714" s="7">
        <f>0</f>
        <v>0</v>
      </c>
      <c r="BM2714" s="5" t="s">
        <v>258</v>
      </c>
      <c r="BN2714" s="5" t="s">
        <v>259</v>
      </c>
      <c r="CB2714" s="5" t="s">
        <v>240</v>
      </c>
      <c r="CC2714" s="5" t="s">
        <v>240</v>
      </c>
      <c r="CG2714" s="5" t="s">
        <v>304</v>
      </c>
      <c r="CH2714" s="5" t="s">
        <v>305</v>
      </c>
      <c r="CI2714" s="5" t="s">
        <v>240</v>
      </c>
      <c r="CL2714" s="6" t="s">
        <v>261</v>
      </c>
      <c r="CM2714" s="5" t="s">
        <v>240</v>
      </c>
      <c r="CN2714" s="5" t="s">
        <v>263</v>
      </c>
      <c r="CO2714" s="5" t="s">
        <v>240</v>
      </c>
      <c r="CP2714" s="5" t="s">
        <v>240</v>
      </c>
      <c r="CQ2714" s="5">
        <v>0</v>
      </c>
      <c r="CR2714" s="5" t="s">
        <v>306</v>
      </c>
      <c r="CS2714" s="5" t="s">
        <v>307</v>
      </c>
      <c r="CT2714" s="5" t="s">
        <v>307</v>
      </c>
      <c r="CU2714" s="5" t="s">
        <v>260</v>
      </c>
      <c r="CX2714" s="7">
        <f>1</f>
        <v>1</v>
      </c>
      <c r="CY2714" s="7">
        <f>0</f>
        <v>0</v>
      </c>
      <c r="DA2714" s="7">
        <f>0</f>
        <v>0</v>
      </c>
      <c r="DC2714" s="5" t="s">
        <v>309</v>
      </c>
      <c r="DD2714" s="5" t="s">
        <v>240</v>
      </c>
      <c r="DF2714" s="5" t="s">
        <v>309</v>
      </c>
      <c r="DG2714" s="7">
        <f>1142</f>
        <v>1142</v>
      </c>
      <c r="DI2714" s="5" t="s">
        <v>240</v>
      </c>
      <c r="DJ2714" s="5" t="s">
        <v>240</v>
      </c>
      <c r="DK2714" s="5" t="s">
        <v>240</v>
      </c>
      <c r="DL2714" s="5" t="s">
        <v>240</v>
      </c>
      <c r="DP2714" s="5" t="s">
        <v>240</v>
      </c>
      <c r="DQ2714" s="5" t="s">
        <v>240</v>
      </c>
      <c r="DR2714" s="5" t="s">
        <v>240</v>
      </c>
      <c r="DS2714" s="5" t="s">
        <v>240</v>
      </c>
      <c r="DV2714" s="5" t="s">
        <v>310</v>
      </c>
      <c r="DW2714" s="5" t="s">
        <v>4847</v>
      </c>
      <c r="HO2714" s="5" t="s">
        <v>312</v>
      </c>
    </row>
    <row r="2715" spans="1:223" x14ac:dyDescent="0.4">
      <c r="A2715" s="5">
        <v>4419</v>
      </c>
      <c r="B2715" s="5">
        <v>1</v>
      </c>
      <c r="C2715" s="5">
        <v>1</v>
      </c>
      <c r="D2715" s="5" t="s">
        <v>810</v>
      </c>
      <c r="E2715" s="5" t="s">
        <v>245</v>
      </c>
      <c r="F2715" s="5" t="s">
        <v>254</v>
      </c>
      <c r="G2715" s="5" t="s">
        <v>240</v>
      </c>
      <c r="H2715" s="6" t="s">
        <v>3113</v>
      </c>
      <c r="I2715" s="5" t="s">
        <v>809</v>
      </c>
      <c r="J2715" s="8">
        <f>267</f>
        <v>267</v>
      </c>
      <c r="K2715" s="5" t="s">
        <v>308</v>
      </c>
      <c r="L2715" s="7">
        <f>1</f>
        <v>1</v>
      </c>
      <c r="M2715" s="7">
        <f>1</f>
        <v>1</v>
      </c>
      <c r="N2715" s="5" t="s">
        <v>242</v>
      </c>
      <c r="O2715" s="5">
        <v>1</v>
      </c>
      <c r="P2715" s="5" t="s">
        <v>294</v>
      </c>
      <c r="Q2715" s="5" t="s">
        <v>266</v>
      </c>
      <c r="R2715" s="5" t="s">
        <v>240</v>
      </c>
      <c r="S2715" s="5" t="s">
        <v>240</v>
      </c>
      <c r="T2715" s="5" t="s">
        <v>296</v>
      </c>
      <c r="U2715" s="5" t="s">
        <v>244</v>
      </c>
      <c r="V2715" s="5" t="s">
        <v>240</v>
      </c>
      <c r="Y2715" s="5" t="s">
        <v>240</v>
      </c>
      <c r="Z2715" s="6" t="s">
        <v>298</v>
      </c>
      <c r="AB2715" s="6" t="s">
        <v>240</v>
      </c>
      <c r="AE2715" s="6" t="s">
        <v>299</v>
      </c>
      <c r="AF2715" s="5" t="s">
        <v>248</v>
      </c>
      <c r="AG2715" s="5" t="s">
        <v>249</v>
      </c>
      <c r="AW2715" s="5" t="s">
        <v>251</v>
      </c>
      <c r="AX2715" s="5" t="s">
        <v>240</v>
      </c>
      <c r="AY2715" s="5" t="s">
        <v>253</v>
      </c>
      <c r="AZ2715" s="5" t="s">
        <v>240</v>
      </c>
      <c r="BA2715" s="5" t="s">
        <v>255</v>
      </c>
      <c r="BB2715" s="5" t="s">
        <v>240</v>
      </c>
      <c r="BD2715" s="5" t="s">
        <v>240</v>
      </c>
      <c r="BF2715" s="5" t="s">
        <v>301</v>
      </c>
      <c r="BG2715" s="6" t="s">
        <v>299</v>
      </c>
      <c r="BH2715" s="5" t="s">
        <v>302</v>
      </c>
      <c r="BI2715" s="5" t="s">
        <v>303</v>
      </c>
      <c r="BJ2715" s="5" t="s">
        <v>240</v>
      </c>
      <c r="BK2715" s="8">
        <f>0</f>
        <v>0</v>
      </c>
      <c r="BL2715" s="7">
        <f>0</f>
        <v>0</v>
      </c>
      <c r="BM2715" s="5" t="s">
        <v>258</v>
      </c>
      <c r="BN2715" s="5" t="s">
        <v>259</v>
      </c>
      <c r="CB2715" s="5" t="s">
        <v>240</v>
      </c>
      <c r="CC2715" s="5" t="s">
        <v>240</v>
      </c>
      <c r="CG2715" s="5" t="s">
        <v>304</v>
      </c>
      <c r="CH2715" s="5" t="s">
        <v>305</v>
      </c>
      <c r="CI2715" s="5" t="s">
        <v>240</v>
      </c>
      <c r="CL2715" s="6" t="s">
        <v>261</v>
      </c>
      <c r="CM2715" s="5" t="s">
        <v>240</v>
      </c>
      <c r="CN2715" s="5" t="s">
        <v>263</v>
      </c>
      <c r="CO2715" s="5" t="s">
        <v>240</v>
      </c>
      <c r="CP2715" s="5" t="s">
        <v>240</v>
      </c>
      <c r="CQ2715" s="5">
        <v>0</v>
      </c>
      <c r="CR2715" s="5" t="s">
        <v>306</v>
      </c>
      <c r="CS2715" s="5" t="s">
        <v>307</v>
      </c>
      <c r="CT2715" s="5" t="s">
        <v>307</v>
      </c>
      <c r="CU2715" s="5" t="s">
        <v>260</v>
      </c>
      <c r="CX2715" s="7">
        <f>1</f>
        <v>1</v>
      </c>
      <c r="CY2715" s="7">
        <f>0</f>
        <v>0</v>
      </c>
      <c r="DA2715" s="7">
        <f>0</f>
        <v>0</v>
      </c>
      <c r="DC2715" s="5" t="s">
        <v>309</v>
      </c>
      <c r="DD2715" s="5" t="s">
        <v>240</v>
      </c>
      <c r="DF2715" s="5" t="s">
        <v>309</v>
      </c>
      <c r="DG2715" s="7">
        <f>598</f>
        <v>598</v>
      </c>
      <c r="DI2715" s="5" t="s">
        <v>240</v>
      </c>
      <c r="DJ2715" s="5" t="s">
        <v>240</v>
      </c>
      <c r="DK2715" s="5" t="s">
        <v>240</v>
      </c>
      <c r="DL2715" s="5" t="s">
        <v>240</v>
      </c>
      <c r="DP2715" s="5" t="s">
        <v>240</v>
      </c>
      <c r="DQ2715" s="5" t="s">
        <v>240</v>
      </c>
      <c r="DR2715" s="5" t="s">
        <v>240</v>
      </c>
      <c r="DS2715" s="5" t="s">
        <v>240</v>
      </c>
      <c r="DV2715" s="5" t="s">
        <v>310</v>
      </c>
      <c r="DW2715" s="5" t="s">
        <v>3485</v>
      </c>
      <c r="HO2715" s="5" t="s">
        <v>312</v>
      </c>
    </row>
    <row r="2716" spans="1:223" x14ac:dyDescent="0.4">
      <c r="A2716" s="5">
        <v>4420</v>
      </c>
      <c r="B2716" s="5">
        <v>1</v>
      </c>
      <c r="C2716" s="5">
        <v>1</v>
      </c>
      <c r="D2716" s="5" t="s">
        <v>810</v>
      </c>
      <c r="E2716" s="5" t="s">
        <v>245</v>
      </c>
      <c r="F2716" s="5" t="s">
        <v>254</v>
      </c>
      <c r="G2716" s="5" t="s">
        <v>240</v>
      </c>
      <c r="H2716" s="6" t="s">
        <v>3111</v>
      </c>
      <c r="I2716" s="5" t="s">
        <v>809</v>
      </c>
      <c r="J2716" s="8">
        <f>743</f>
        <v>743</v>
      </c>
      <c r="K2716" s="5" t="s">
        <v>308</v>
      </c>
      <c r="L2716" s="7">
        <f>1</f>
        <v>1</v>
      </c>
      <c r="M2716" s="7">
        <f>1</f>
        <v>1</v>
      </c>
      <c r="N2716" s="5" t="s">
        <v>242</v>
      </c>
      <c r="O2716" s="5">
        <v>1</v>
      </c>
      <c r="P2716" s="5" t="s">
        <v>294</v>
      </c>
      <c r="Q2716" s="5" t="s">
        <v>266</v>
      </c>
      <c r="R2716" s="5" t="s">
        <v>240</v>
      </c>
      <c r="S2716" s="5" t="s">
        <v>240</v>
      </c>
      <c r="T2716" s="5" t="s">
        <v>296</v>
      </c>
      <c r="U2716" s="5" t="s">
        <v>244</v>
      </c>
      <c r="V2716" s="5" t="s">
        <v>240</v>
      </c>
      <c r="Y2716" s="5" t="s">
        <v>240</v>
      </c>
      <c r="Z2716" s="6" t="s">
        <v>298</v>
      </c>
      <c r="AB2716" s="6" t="s">
        <v>240</v>
      </c>
      <c r="AE2716" s="6" t="s">
        <v>299</v>
      </c>
      <c r="AF2716" s="5" t="s">
        <v>248</v>
      </c>
      <c r="AG2716" s="5" t="s">
        <v>249</v>
      </c>
      <c r="AW2716" s="5" t="s">
        <v>251</v>
      </c>
      <c r="AX2716" s="5" t="s">
        <v>240</v>
      </c>
      <c r="AY2716" s="5" t="s">
        <v>253</v>
      </c>
      <c r="AZ2716" s="5" t="s">
        <v>240</v>
      </c>
      <c r="BA2716" s="5" t="s">
        <v>255</v>
      </c>
      <c r="BB2716" s="5" t="s">
        <v>240</v>
      </c>
      <c r="BD2716" s="5" t="s">
        <v>240</v>
      </c>
      <c r="BF2716" s="5" t="s">
        <v>301</v>
      </c>
      <c r="BG2716" s="6" t="s">
        <v>299</v>
      </c>
      <c r="BH2716" s="5" t="s">
        <v>302</v>
      </c>
      <c r="BI2716" s="5" t="s">
        <v>303</v>
      </c>
      <c r="BJ2716" s="5" t="s">
        <v>240</v>
      </c>
      <c r="BK2716" s="8">
        <f>0</f>
        <v>0</v>
      </c>
      <c r="BL2716" s="7">
        <f>0</f>
        <v>0</v>
      </c>
      <c r="BM2716" s="5" t="s">
        <v>258</v>
      </c>
      <c r="BN2716" s="5" t="s">
        <v>259</v>
      </c>
      <c r="CB2716" s="5" t="s">
        <v>240</v>
      </c>
      <c r="CC2716" s="5" t="s">
        <v>240</v>
      </c>
      <c r="CG2716" s="5" t="s">
        <v>304</v>
      </c>
      <c r="CH2716" s="5" t="s">
        <v>305</v>
      </c>
      <c r="CI2716" s="5" t="s">
        <v>240</v>
      </c>
      <c r="CL2716" s="6" t="s">
        <v>261</v>
      </c>
      <c r="CM2716" s="5" t="s">
        <v>240</v>
      </c>
      <c r="CN2716" s="5" t="s">
        <v>263</v>
      </c>
      <c r="CO2716" s="5" t="s">
        <v>240</v>
      </c>
      <c r="CP2716" s="5" t="s">
        <v>240</v>
      </c>
      <c r="CQ2716" s="5">
        <v>0</v>
      </c>
      <c r="CR2716" s="5" t="s">
        <v>306</v>
      </c>
      <c r="CS2716" s="5" t="s">
        <v>307</v>
      </c>
      <c r="CT2716" s="5" t="s">
        <v>307</v>
      </c>
      <c r="CU2716" s="5" t="s">
        <v>260</v>
      </c>
      <c r="CX2716" s="7">
        <f>1</f>
        <v>1</v>
      </c>
      <c r="CY2716" s="7">
        <f>0</f>
        <v>0</v>
      </c>
      <c r="DA2716" s="7">
        <f>0</f>
        <v>0</v>
      </c>
      <c r="DC2716" s="5" t="s">
        <v>309</v>
      </c>
      <c r="DD2716" s="5" t="s">
        <v>240</v>
      </c>
      <c r="DF2716" s="5" t="s">
        <v>309</v>
      </c>
      <c r="DG2716" s="7">
        <f>2642</f>
        <v>2642</v>
      </c>
      <c r="DI2716" s="5" t="s">
        <v>240</v>
      </c>
      <c r="DJ2716" s="5" t="s">
        <v>240</v>
      </c>
      <c r="DK2716" s="5" t="s">
        <v>240</v>
      </c>
      <c r="DL2716" s="5" t="s">
        <v>240</v>
      </c>
      <c r="DP2716" s="5" t="s">
        <v>240</v>
      </c>
      <c r="DQ2716" s="5" t="s">
        <v>240</v>
      </c>
      <c r="DR2716" s="5" t="s">
        <v>240</v>
      </c>
      <c r="DS2716" s="5" t="s">
        <v>240</v>
      </c>
      <c r="DV2716" s="5" t="s">
        <v>310</v>
      </c>
      <c r="DW2716" s="5" t="s">
        <v>4850</v>
      </c>
      <c r="HO2716" s="5" t="s">
        <v>312</v>
      </c>
    </row>
    <row r="2717" spans="1:223" x14ac:dyDescent="0.4">
      <c r="A2717" s="5">
        <v>4421</v>
      </c>
      <c r="B2717" s="5">
        <v>1</v>
      </c>
      <c r="C2717" s="5">
        <v>1</v>
      </c>
      <c r="D2717" s="5" t="s">
        <v>810</v>
      </c>
      <c r="E2717" s="5" t="s">
        <v>245</v>
      </c>
      <c r="F2717" s="5" t="s">
        <v>254</v>
      </c>
      <c r="G2717" s="5" t="s">
        <v>240</v>
      </c>
      <c r="H2717" s="6" t="s">
        <v>3109</v>
      </c>
      <c r="I2717" s="5" t="s">
        <v>809</v>
      </c>
      <c r="J2717" s="8">
        <f>478</f>
        <v>478</v>
      </c>
      <c r="K2717" s="5" t="s">
        <v>308</v>
      </c>
      <c r="L2717" s="7">
        <f>1</f>
        <v>1</v>
      </c>
      <c r="M2717" s="7">
        <f>1</f>
        <v>1</v>
      </c>
      <c r="N2717" s="5" t="s">
        <v>242</v>
      </c>
      <c r="O2717" s="5">
        <v>1</v>
      </c>
      <c r="P2717" s="5" t="s">
        <v>294</v>
      </c>
      <c r="Q2717" s="5" t="s">
        <v>266</v>
      </c>
      <c r="R2717" s="5" t="s">
        <v>240</v>
      </c>
      <c r="S2717" s="5" t="s">
        <v>240</v>
      </c>
      <c r="T2717" s="5" t="s">
        <v>296</v>
      </c>
      <c r="U2717" s="5" t="s">
        <v>244</v>
      </c>
      <c r="V2717" s="5" t="s">
        <v>240</v>
      </c>
      <c r="Y2717" s="5" t="s">
        <v>240</v>
      </c>
      <c r="Z2717" s="6" t="s">
        <v>298</v>
      </c>
      <c r="AB2717" s="6" t="s">
        <v>240</v>
      </c>
      <c r="AE2717" s="6" t="s">
        <v>299</v>
      </c>
      <c r="AF2717" s="5" t="s">
        <v>248</v>
      </c>
      <c r="AG2717" s="5" t="s">
        <v>249</v>
      </c>
      <c r="AW2717" s="5" t="s">
        <v>251</v>
      </c>
      <c r="AX2717" s="5" t="s">
        <v>240</v>
      </c>
      <c r="AY2717" s="5" t="s">
        <v>253</v>
      </c>
      <c r="AZ2717" s="5" t="s">
        <v>240</v>
      </c>
      <c r="BA2717" s="5" t="s">
        <v>255</v>
      </c>
      <c r="BB2717" s="5" t="s">
        <v>240</v>
      </c>
      <c r="BD2717" s="5" t="s">
        <v>240</v>
      </c>
      <c r="BF2717" s="5" t="s">
        <v>301</v>
      </c>
      <c r="BG2717" s="6" t="s">
        <v>299</v>
      </c>
      <c r="BH2717" s="5" t="s">
        <v>302</v>
      </c>
      <c r="BI2717" s="5" t="s">
        <v>303</v>
      </c>
      <c r="BJ2717" s="5" t="s">
        <v>240</v>
      </c>
      <c r="BK2717" s="8">
        <f>0</f>
        <v>0</v>
      </c>
      <c r="BL2717" s="7">
        <f>0</f>
        <v>0</v>
      </c>
      <c r="BM2717" s="5" t="s">
        <v>258</v>
      </c>
      <c r="BN2717" s="5" t="s">
        <v>259</v>
      </c>
      <c r="CB2717" s="5" t="s">
        <v>240</v>
      </c>
      <c r="CC2717" s="5" t="s">
        <v>240</v>
      </c>
      <c r="CG2717" s="5" t="s">
        <v>304</v>
      </c>
      <c r="CH2717" s="5" t="s">
        <v>305</v>
      </c>
      <c r="CI2717" s="5" t="s">
        <v>240</v>
      </c>
      <c r="CL2717" s="6" t="s">
        <v>261</v>
      </c>
      <c r="CM2717" s="5" t="s">
        <v>240</v>
      </c>
      <c r="CN2717" s="5" t="s">
        <v>263</v>
      </c>
      <c r="CO2717" s="5" t="s">
        <v>240</v>
      </c>
      <c r="CP2717" s="5" t="s">
        <v>240</v>
      </c>
      <c r="CQ2717" s="5">
        <v>0</v>
      </c>
      <c r="CR2717" s="5" t="s">
        <v>306</v>
      </c>
      <c r="CS2717" s="5" t="s">
        <v>307</v>
      </c>
      <c r="CT2717" s="5" t="s">
        <v>307</v>
      </c>
      <c r="CU2717" s="5" t="s">
        <v>260</v>
      </c>
      <c r="CX2717" s="7">
        <f>1</f>
        <v>1</v>
      </c>
      <c r="CY2717" s="7">
        <f>0</f>
        <v>0</v>
      </c>
      <c r="DA2717" s="7">
        <f>0</f>
        <v>0</v>
      </c>
      <c r="DC2717" s="5" t="s">
        <v>309</v>
      </c>
      <c r="DD2717" s="5" t="s">
        <v>240</v>
      </c>
      <c r="DF2717" s="5" t="s">
        <v>309</v>
      </c>
      <c r="DG2717" s="7">
        <f>1891</f>
        <v>1891</v>
      </c>
      <c r="DI2717" s="5" t="s">
        <v>240</v>
      </c>
      <c r="DJ2717" s="5" t="s">
        <v>240</v>
      </c>
      <c r="DK2717" s="5" t="s">
        <v>240</v>
      </c>
      <c r="DL2717" s="5" t="s">
        <v>240</v>
      </c>
      <c r="DP2717" s="5" t="s">
        <v>240</v>
      </c>
      <c r="DQ2717" s="5" t="s">
        <v>240</v>
      </c>
      <c r="DR2717" s="5" t="s">
        <v>240</v>
      </c>
      <c r="DS2717" s="5" t="s">
        <v>240</v>
      </c>
      <c r="DV2717" s="5" t="s">
        <v>310</v>
      </c>
      <c r="DW2717" s="5" t="s">
        <v>3489</v>
      </c>
      <c r="HO2717" s="5" t="s">
        <v>312</v>
      </c>
    </row>
    <row r="2718" spans="1:223" x14ac:dyDescent="0.4">
      <c r="A2718" s="5">
        <v>4422</v>
      </c>
      <c r="B2718" s="5">
        <v>1</v>
      </c>
      <c r="C2718" s="5">
        <v>1</v>
      </c>
      <c r="D2718" s="5" t="s">
        <v>810</v>
      </c>
      <c r="E2718" s="5" t="s">
        <v>245</v>
      </c>
      <c r="F2718" s="5" t="s">
        <v>254</v>
      </c>
      <c r="G2718" s="5" t="s">
        <v>240</v>
      </c>
      <c r="H2718" s="6" t="s">
        <v>3107</v>
      </c>
      <c r="I2718" s="5" t="s">
        <v>809</v>
      </c>
      <c r="J2718" s="8">
        <f>1343</f>
        <v>1343</v>
      </c>
      <c r="K2718" s="5" t="s">
        <v>308</v>
      </c>
      <c r="L2718" s="7">
        <f>1</f>
        <v>1</v>
      </c>
      <c r="M2718" s="7">
        <f>1</f>
        <v>1</v>
      </c>
      <c r="N2718" s="5" t="s">
        <v>242</v>
      </c>
      <c r="O2718" s="5">
        <v>1</v>
      </c>
      <c r="P2718" s="5" t="s">
        <v>294</v>
      </c>
      <c r="Q2718" s="5" t="s">
        <v>266</v>
      </c>
      <c r="R2718" s="5" t="s">
        <v>240</v>
      </c>
      <c r="S2718" s="5" t="s">
        <v>240</v>
      </c>
      <c r="T2718" s="5" t="s">
        <v>296</v>
      </c>
      <c r="U2718" s="5" t="s">
        <v>244</v>
      </c>
      <c r="V2718" s="5" t="s">
        <v>240</v>
      </c>
      <c r="Y2718" s="5" t="s">
        <v>240</v>
      </c>
      <c r="Z2718" s="6" t="s">
        <v>298</v>
      </c>
      <c r="AB2718" s="6" t="s">
        <v>240</v>
      </c>
      <c r="AE2718" s="6" t="s">
        <v>299</v>
      </c>
      <c r="AF2718" s="5" t="s">
        <v>248</v>
      </c>
      <c r="AG2718" s="5" t="s">
        <v>249</v>
      </c>
      <c r="AW2718" s="5" t="s">
        <v>251</v>
      </c>
      <c r="AX2718" s="5" t="s">
        <v>240</v>
      </c>
      <c r="AY2718" s="5" t="s">
        <v>253</v>
      </c>
      <c r="AZ2718" s="5" t="s">
        <v>240</v>
      </c>
      <c r="BA2718" s="5" t="s">
        <v>255</v>
      </c>
      <c r="BB2718" s="5" t="s">
        <v>240</v>
      </c>
      <c r="BD2718" s="5" t="s">
        <v>240</v>
      </c>
      <c r="BF2718" s="5" t="s">
        <v>301</v>
      </c>
      <c r="BG2718" s="6" t="s">
        <v>299</v>
      </c>
      <c r="BH2718" s="5" t="s">
        <v>302</v>
      </c>
      <c r="BI2718" s="5" t="s">
        <v>303</v>
      </c>
      <c r="BJ2718" s="5" t="s">
        <v>240</v>
      </c>
      <c r="BK2718" s="8">
        <f>0</f>
        <v>0</v>
      </c>
      <c r="BL2718" s="7">
        <f>0</f>
        <v>0</v>
      </c>
      <c r="BM2718" s="5" t="s">
        <v>258</v>
      </c>
      <c r="BN2718" s="5" t="s">
        <v>259</v>
      </c>
      <c r="CB2718" s="5" t="s">
        <v>240</v>
      </c>
      <c r="CC2718" s="5" t="s">
        <v>240</v>
      </c>
      <c r="CG2718" s="5" t="s">
        <v>304</v>
      </c>
      <c r="CH2718" s="5" t="s">
        <v>305</v>
      </c>
      <c r="CI2718" s="5" t="s">
        <v>240</v>
      </c>
      <c r="CL2718" s="6" t="s">
        <v>261</v>
      </c>
      <c r="CM2718" s="5" t="s">
        <v>240</v>
      </c>
      <c r="CN2718" s="5" t="s">
        <v>263</v>
      </c>
      <c r="CO2718" s="5" t="s">
        <v>240</v>
      </c>
      <c r="CP2718" s="5" t="s">
        <v>240</v>
      </c>
      <c r="CQ2718" s="5">
        <v>0</v>
      </c>
      <c r="CR2718" s="5" t="s">
        <v>306</v>
      </c>
      <c r="CS2718" s="5" t="s">
        <v>307</v>
      </c>
      <c r="CT2718" s="5" t="s">
        <v>307</v>
      </c>
      <c r="CU2718" s="5" t="s">
        <v>260</v>
      </c>
      <c r="CX2718" s="7">
        <f>1</f>
        <v>1</v>
      </c>
      <c r="CY2718" s="7">
        <f>0</f>
        <v>0</v>
      </c>
      <c r="DA2718" s="7">
        <f>0</f>
        <v>0</v>
      </c>
      <c r="DC2718" s="5" t="s">
        <v>309</v>
      </c>
      <c r="DD2718" s="5" t="s">
        <v>240</v>
      </c>
      <c r="DF2718" s="5" t="s">
        <v>309</v>
      </c>
      <c r="DG2718" s="7">
        <f>2113</f>
        <v>2113</v>
      </c>
      <c r="DI2718" s="5" t="s">
        <v>240</v>
      </c>
      <c r="DJ2718" s="5" t="s">
        <v>240</v>
      </c>
      <c r="DK2718" s="5" t="s">
        <v>240</v>
      </c>
      <c r="DL2718" s="5" t="s">
        <v>240</v>
      </c>
      <c r="DP2718" s="5" t="s">
        <v>240</v>
      </c>
      <c r="DQ2718" s="5" t="s">
        <v>240</v>
      </c>
      <c r="DR2718" s="5" t="s">
        <v>240</v>
      </c>
      <c r="DS2718" s="5" t="s">
        <v>240</v>
      </c>
      <c r="DV2718" s="5" t="s">
        <v>310</v>
      </c>
      <c r="DW2718" s="5" t="s">
        <v>4853</v>
      </c>
      <c r="HO2718" s="5" t="s">
        <v>312</v>
      </c>
    </row>
    <row r="2719" spans="1:223" x14ac:dyDescent="0.4">
      <c r="A2719" s="5">
        <v>4423</v>
      </c>
      <c r="B2719" s="5">
        <v>1</v>
      </c>
      <c r="C2719" s="5">
        <v>1</v>
      </c>
      <c r="D2719" s="5" t="s">
        <v>810</v>
      </c>
      <c r="E2719" s="5" t="s">
        <v>245</v>
      </c>
      <c r="F2719" s="5" t="s">
        <v>254</v>
      </c>
      <c r="G2719" s="5" t="s">
        <v>240</v>
      </c>
      <c r="H2719" s="6" t="s">
        <v>3105</v>
      </c>
      <c r="I2719" s="5" t="s">
        <v>809</v>
      </c>
      <c r="J2719" s="8">
        <f>393</f>
        <v>393</v>
      </c>
      <c r="K2719" s="5" t="s">
        <v>308</v>
      </c>
      <c r="L2719" s="7">
        <f>1</f>
        <v>1</v>
      </c>
      <c r="M2719" s="7">
        <f>1</f>
        <v>1</v>
      </c>
      <c r="N2719" s="5" t="s">
        <v>242</v>
      </c>
      <c r="O2719" s="5">
        <v>1</v>
      </c>
      <c r="P2719" s="5" t="s">
        <v>294</v>
      </c>
      <c r="Q2719" s="5" t="s">
        <v>266</v>
      </c>
      <c r="R2719" s="5" t="s">
        <v>240</v>
      </c>
      <c r="S2719" s="5" t="s">
        <v>240</v>
      </c>
      <c r="T2719" s="5" t="s">
        <v>296</v>
      </c>
      <c r="U2719" s="5" t="s">
        <v>244</v>
      </c>
      <c r="V2719" s="5" t="s">
        <v>240</v>
      </c>
      <c r="Y2719" s="5" t="s">
        <v>240</v>
      </c>
      <c r="Z2719" s="6" t="s">
        <v>298</v>
      </c>
      <c r="AB2719" s="6" t="s">
        <v>240</v>
      </c>
      <c r="AE2719" s="6" t="s">
        <v>299</v>
      </c>
      <c r="AF2719" s="5" t="s">
        <v>248</v>
      </c>
      <c r="AG2719" s="5" t="s">
        <v>249</v>
      </c>
      <c r="AW2719" s="5" t="s">
        <v>251</v>
      </c>
      <c r="AX2719" s="5" t="s">
        <v>240</v>
      </c>
      <c r="AY2719" s="5" t="s">
        <v>253</v>
      </c>
      <c r="AZ2719" s="5" t="s">
        <v>240</v>
      </c>
      <c r="BA2719" s="5" t="s">
        <v>255</v>
      </c>
      <c r="BB2719" s="5" t="s">
        <v>240</v>
      </c>
      <c r="BD2719" s="5" t="s">
        <v>240</v>
      </c>
      <c r="BF2719" s="5" t="s">
        <v>301</v>
      </c>
      <c r="BG2719" s="6" t="s">
        <v>299</v>
      </c>
      <c r="BH2719" s="5" t="s">
        <v>302</v>
      </c>
      <c r="BI2719" s="5" t="s">
        <v>303</v>
      </c>
      <c r="BJ2719" s="5" t="s">
        <v>240</v>
      </c>
      <c r="BK2719" s="8">
        <f>0</f>
        <v>0</v>
      </c>
      <c r="BL2719" s="7">
        <f>0</f>
        <v>0</v>
      </c>
      <c r="BM2719" s="5" t="s">
        <v>258</v>
      </c>
      <c r="BN2719" s="5" t="s">
        <v>259</v>
      </c>
      <c r="CB2719" s="5" t="s">
        <v>240</v>
      </c>
      <c r="CC2719" s="5" t="s">
        <v>240</v>
      </c>
      <c r="CG2719" s="5" t="s">
        <v>304</v>
      </c>
      <c r="CH2719" s="5" t="s">
        <v>305</v>
      </c>
      <c r="CI2719" s="5" t="s">
        <v>240</v>
      </c>
      <c r="CL2719" s="6" t="s">
        <v>261</v>
      </c>
      <c r="CM2719" s="5" t="s">
        <v>240</v>
      </c>
      <c r="CN2719" s="5" t="s">
        <v>263</v>
      </c>
      <c r="CO2719" s="5" t="s">
        <v>240</v>
      </c>
      <c r="CP2719" s="5" t="s">
        <v>240</v>
      </c>
      <c r="CQ2719" s="5">
        <v>0</v>
      </c>
      <c r="CR2719" s="5" t="s">
        <v>306</v>
      </c>
      <c r="CS2719" s="5" t="s">
        <v>307</v>
      </c>
      <c r="CT2719" s="5" t="s">
        <v>307</v>
      </c>
      <c r="CU2719" s="5" t="s">
        <v>260</v>
      </c>
      <c r="CX2719" s="7">
        <f>1</f>
        <v>1</v>
      </c>
      <c r="CY2719" s="7">
        <f>0</f>
        <v>0</v>
      </c>
      <c r="DA2719" s="7">
        <f>0</f>
        <v>0</v>
      </c>
      <c r="DC2719" s="5" t="s">
        <v>309</v>
      </c>
      <c r="DD2719" s="5" t="s">
        <v>240</v>
      </c>
      <c r="DF2719" s="5" t="s">
        <v>309</v>
      </c>
      <c r="DG2719" s="7">
        <f>2056</f>
        <v>2056</v>
      </c>
      <c r="DI2719" s="5" t="s">
        <v>240</v>
      </c>
      <c r="DJ2719" s="5" t="s">
        <v>240</v>
      </c>
      <c r="DK2719" s="5" t="s">
        <v>240</v>
      </c>
      <c r="DL2719" s="5" t="s">
        <v>240</v>
      </c>
      <c r="DP2719" s="5" t="s">
        <v>240</v>
      </c>
      <c r="DQ2719" s="5" t="s">
        <v>240</v>
      </c>
      <c r="DR2719" s="5" t="s">
        <v>240</v>
      </c>
      <c r="DS2719" s="5" t="s">
        <v>240</v>
      </c>
      <c r="DV2719" s="5" t="s">
        <v>310</v>
      </c>
      <c r="DW2719" s="5" t="s">
        <v>3493</v>
      </c>
      <c r="HO2719" s="5" t="s">
        <v>312</v>
      </c>
    </row>
    <row r="2720" spans="1:223" x14ac:dyDescent="0.4">
      <c r="A2720" s="5">
        <v>4424</v>
      </c>
      <c r="B2720" s="5">
        <v>1</v>
      </c>
      <c r="C2720" s="5">
        <v>1</v>
      </c>
      <c r="D2720" s="5" t="s">
        <v>810</v>
      </c>
      <c r="E2720" s="5" t="s">
        <v>245</v>
      </c>
      <c r="F2720" s="5" t="s">
        <v>254</v>
      </c>
      <c r="G2720" s="5" t="s">
        <v>240</v>
      </c>
      <c r="H2720" s="6" t="s">
        <v>3103</v>
      </c>
      <c r="I2720" s="5" t="s">
        <v>809</v>
      </c>
      <c r="J2720" s="8">
        <f>181</f>
        <v>181</v>
      </c>
      <c r="K2720" s="5" t="s">
        <v>308</v>
      </c>
      <c r="L2720" s="7">
        <f>1</f>
        <v>1</v>
      </c>
      <c r="M2720" s="7">
        <f>1</f>
        <v>1</v>
      </c>
      <c r="N2720" s="5" t="s">
        <v>242</v>
      </c>
      <c r="O2720" s="5">
        <v>1</v>
      </c>
      <c r="P2720" s="5" t="s">
        <v>294</v>
      </c>
      <c r="Q2720" s="5" t="s">
        <v>266</v>
      </c>
      <c r="R2720" s="5" t="s">
        <v>240</v>
      </c>
      <c r="S2720" s="5" t="s">
        <v>240</v>
      </c>
      <c r="T2720" s="5" t="s">
        <v>296</v>
      </c>
      <c r="U2720" s="5" t="s">
        <v>244</v>
      </c>
      <c r="V2720" s="5" t="s">
        <v>240</v>
      </c>
      <c r="Y2720" s="5" t="s">
        <v>240</v>
      </c>
      <c r="Z2720" s="6" t="s">
        <v>298</v>
      </c>
      <c r="AB2720" s="6" t="s">
        <v>240</v>
      </c>
      <c r="AE2720" s="6" t="s">
        <v>299</v>
      </c>
      <c r="AF2720" s="5" t="s">
        <v>248</v>
      </c>
      <c r="AG2720" s="5" t="s">
        <v>249</v>
      </c>
      <c r="AW2720" s="5" t="s">
        <v>251</v>
      </c>
      <c r="AX2720" s="5" t="s">
        <v>240</v>
      </c>
      <c r="AY2720" s="5" t="s">
        <v>253</v>
      </c>
      <c r="AZ2720" s="5" t="s">
        <v>240</v>
      </c>
      <c r="BA2720" s="5" t="s">
        <v>255</v>
      </c>
      <c r="BB2720" s="5" t="s">
        <v>240</v>
      </c>
      <c r="BD2720" s="5" t="s">
        <v>240</v>
      </c>
      <c r="BF2720" s="5" t="s">
        <v>301</v>
      </c>
      <c r="BG2720" s="6" t="s">
        <v>299</v>
      </c>
      <c r="BH2720" s="5" t="s">
        <v>302</v>
      </c>
      <c r="BI2720" s="5" t="s">
        <v>303</v>
      </c>
      <c r="BJ2720" s="5" t="s">
        <v>240</v>
      </c>
      <c r="BK2720" s="8">
        <f>0</f>
        <v>0</v>
      </c>
      <c r="BL2720" s="7">
        <f>0</f>
        <v>0</v>
      </c>
      <c r="BM2720" s="5" t="s">
        <v>258</v>
      </c>
      <c r="BN2720" s="5" t="s">
        <v>259</v>
      </c>
      <c r="CB2720" s="5" t="s">
        <v>240</v>
      </c>
      <c r="CC2720" s="5" t="s">
        <v>240</v>
      </c>
      <c r="CG2720" s="5" t="s">
        <v>304</v>
      </c>
      <c r="CH2720" s="5" t="s">
        <v>305</v>
      </c>
      <c r="CI2720" s="5" t="s">
        <v>240</v>
      </c>
      <c r="CL2720" s="6" t="s">
        <v>261</v>
      </c>
      <c r="CM2720" s="5" t="s">
        <v>240</v>
      </c>
      <c r="CN2720" s="5" t="s">
        <v>263</v>
      </c>
      <c r="CO2720" s="5" t="s">
        <v>240</v>
      </c>
      <c r="CP2720" s="5" t="s">
        <v>240</v>
      </c>
      <c r="CQ2720" s="5">
        <v>0</v>
      </c>
      <c r="CR2720" s="5" t="s">
        <v>306</v>
      </c>
      <c r="CS2720" s="5" t="s">
        <v>307</v>
      </c>
      <c r="CT2720" s="5" t="s">
        <v>307</v>
      </c>
      <c r="CU2720" s="5" t="s">
        <v>260</v>
      </c>
      <c r="CX2720" s="7">
        <f>1</f>
        <v>1</v>
      </c>
      <c r="CY2720" s="7">
        <f>0</f>
        <v>0</v>
      </c>
      <c r="DA2720" s="7">
        <f>0</f>
        <v>0</v>
      </c>
      <c r="DC2720" s="5" t="s">
        <v>309</v>
      </c>
      <c r="DD2720" s="5" t="s">
        <v>240</v>
      </c>
      <c r="DF2720" s="5" t="s">
        <v>309</v>
      </c>
      <c r="DG2720" s="7">
        <f>1432</f>
        <v>1432</v>
      </c>
      <c r="DI2720" s="5" t="s">
        <v>240</v>
      </c>
      <c r="DJ2720" s="5" t="s">
        <v>240</v>
      </c>
      <c r="DK2720" s="5" t="s">
        <v>240</v>
      </c>
      <c r="DL2720" s="5" t="s">
        <v>240</v>
      </c>
      <c r="DP2720" s="5" t="s">
        <v>240</v>
      </c>
      <c r="DQ2720" s="5" t="s">
        <v>240</v>
      </c>
      <c r="DR2720" s="5" t="s">
        <v>240</v>
      </c>
      <c r="DS2720" s="5" t="s">
        <v>240</v>
      </c>
      <c r="DV2720" s="5" t="s">
        <v>310</v>
      </c>
      <c r="DW2720" s="5" t="s">
        <v>3495</v>
      </c>
      <c r="HO2720" s="5" t="s">
        <v>312</v>
      </c>
    </row>
    <row r="2721" spans="1:223" x14ac:dyDescent="0.4">
      <c r="A2721" s="5">
        <v>4425</v>
      </c>
      <c r="B2721" s="5">
        <v>1</v>
      </c>
      <c r="C2721" s="5">
        <v>1</v>
      </c>
      <c r="D2721" s="5" t="s">
        <v>810</v>
      </c>
      <c r="E2721" s="5" t="s">
        <v>245</v>
      </c>
      <c r="F2721" s="5" t="s">
        <v>254</v>
      </c>
      <c r="G2721" s="5" t="s">
        <v>240</v>
      </c>
      <c r="H2721" s="6" t="s">
        <v>3101</v>
      </c>
      <c r="I2721" s="5" t="s">
        <v>809</v>
      </c>
      <c r="J2721" s="8">
        <f>788</f>
        <v>788</v>
      </c>
      <c r="K2721" s="5" t="s">
        <v>308</v>
      </c>
      <c r="L2721" s="7">
        <f>1</f>
        <v>1</v>
      </c>
      <c r="M2721" s="7">
        <f>1</f>
        <v>1</v>
      </c>
      <c r="N2721" s="5" t="s">
        <v>242</v>
      </c>
      <c r="O2721" s="5">
        <v>1</v>
      </c>
      <c r="P2721" s="5" t="s">
        <v>294</v>
      </c>
      <c r="Q2721" s="5" t="s">
        <v>266</v>
      </c>
      <c r="R2721" s="5" t="s">
        <v>240</v>
      </c>
      <c r="S2721" s="5" t="s">
        <v>240</v>
      </c>
      <c r="T2721" s="5" t="s">
        <v>296</v>
      </c>
      <c r="U2721" s="5" t="s">
        <v>244</v>
      </c>
      <c r="V2721" s="5" t="s">
        <v>240</v>
      </c>
      <c r="Y2721" s="5" t="s">
        <v>240</v>
      </c>
      <c r="Z2721" s="6" t="s">
        <v>298</v>
      </c>
      <c r="AB2721" s="6" t="s">
        <v>240</v>
      </c>
      <c r="AE2721" s="6" t="s">
        <v>299</v>
      </c>
      <c r="AF2721" s="5" t="s">
        <v>248</v>
      </c>
      <c r="AG2721" s="5" t="s">
        <v>249</v>
      </c>
      <c r="AW2721" s="5" t="s">
        <v>251</v>
      </c>
      <c r="AX2721" s="5" t="s">
        <v>240</v>
      </c>
      <c r="AY2721" s="5" t="s">
        <v>253</v>
      </c>
      <c r="AZ2721" s="5" t="s">
        <v>240</v>
      </c>
      <c r="BA2721" s="5" t="s">
        <v>255</v>
      </c>
      <c r="BB2721" s="5" t="s">
        <v>240</v>
      </c>
      <c r="BD2721" s="5" t="s">
        <v>240</v>
      </c>
      <c r="BF2721" s="5" t="s">
        <v>301</v>
      </c>
      <c r="BG2721" s="6" t="s">
        <v>299</v>
      </c>
      <c r="BH2721" s="5" t="s">
        <v>302</v>
      </c>
      <c r="BI2721" s="5" t="s">
        <v>303</v>
      </c>
      <c r="BJ2721" s="5" t="s">
        <v>240</v>
      </c>
      <c r="BK2721" s="8">
        <f>0</f>
        <v>0</v>
      </c>
      <c r="BL2721" s="7">
        <f>0</f>
        <v>0</v>
      </c>
      <c r="BM2721" s="5" t="s">
        <v>258</v>
      </c>
      <c r="BN2721" s="5" t="s">
        <v>259</v>
      </c>
      <c r="CB2721" s="5" t="s">
        <v>240</v>
      </c>
      <c r="CC2721" s="5" t="s">
        <v>240</v>
      </c>
      <c r="CG2721" s="5" t="s">
        <v>304</v>
      </c>
      <c r="CH2721" s="5" t="s">
        <v>305</v>
      </c>
      <c r="CI2721" s="5" t="s">
        <v>240</v>
      </c>
      <c r="CL2721" s="6" t="s">
        <v>261</v>
      </c>
      <c r="CM2721" s="5" t="s">
        <v>240</v>
      </c>
      <c r="CN2721" s="5" t="s">
        <v>263</v>
      </c>
      <c r="CO2721" s="5" t="s">
        <v>240</v>
      </c>
      <c r="CP2721" s="5" t="s">
        <v>240</v>
      </c>
      <c r="CQ2721" s="5">
        <v>0</v>
      </c>
      <c r="CR2721" s="5" t="s">
        <v>306</v>
      </c>
      <c r="CS2721" s="5" t="s">
        <v>307</v>
      </c>
      <c r="CT2721" s="5" t="s">
        <v>307</v>
      </c>
      <c r="CU2721" s="5" t="s">
        <v>260</v>
      </c>
      <c r="CX2721" s="7">
        <f>1</f>
        <v>1</v>
      </c>
      <c r="CY2721" s="7">
        <f>0</f>
        <v>0</v>
      </c>
      <c r="DA2721" s="7">
        <f>0</f>
        <v>0</v>
      </c>
      <c r="DC2721" s="5" t="s">
        <v>309</v>
      </c>
      <c r="DD2721" s="5" t="s">
        <v>240</v>
      </c>
      <c r="DF2721" s="5" t="s">
        <v>309</v>
      </c>
      <c r="DG2721" s="7">
        <f>6420</f>
        <v>6420</v>
      </c>
      <c r="DI2721" s="5" t="s">
        <v>240</v>
      </c>
      <c r="DJ2721" s="5" t="s">
        <v>240</v>
      </c>
      <c r="DK2721" s="5" t="s">
        <v>240</v>
      </c>
      <c r="DL2721" s="5" t="s">
        <v>240</v>
      </c>
      <c r="DP2721" s="5" t="s">
        <v>240</v>
      </c>
      <c r="DQ2721" s="5" t="s">
        <v>240</v>
      </c>
      <c r="DR2721" s="5" t="s">
        <v>240</v>
      </c>
      <c r="DS2721" s="5" t="s">
        <v>240</v>
      </c>
      <c r="DV2721" s="5" t="s">
        <v>310</v>
      </c>
      <c r="DW2721" s="5" t="s">
        <v>3497</v>
      </c>
      <c r="HO2721" s="5" t="s">
        <v>312</v>
      </c>
    </row>
    <row r="2722" spans="1:223" x14ac:dyDescent="0.4">
      <c r="A2722" s="5">
        <v>4426</v>
      </c>
      <c r="B2722" s="5">
        <v>1</v>
      </c>
      <c r="C2722" s="5">
        <v>1</v>
      </c>
      <c r="D2722" s="5" t="s">
        <v>810</v>
      </c>
      <c r="E2722" s="5" t="s">
        <v>245</v>
      </c>
      <c r="F2722" s="5" t="s">
        <v>254</v>
      </c>
      <c r="G2722" s="5" t="s">
        <v>240</v>
      </c>
      <c r="H2722" s="6" t="s">
        <v>3099</v>
      </c>
      <c r="I2722" s="5" t="s">
        <v>809</v>
      </c>
      <c r="J2722" s="8">
        <f>489</f>
        <v>489</v>
      </c>
      <c r="K2722" s="5" t="s">
        <v>308</v>
      </c>
      <c r="L2722" s="7">
        <f>1</f>
        <v>1</v>
      </c>
      <c r="M2722" s="7">
        <f>1</f>
        <v>1</v>
      </c>
      <c r="N2722" s="5" t="s">
        <v>242</v>
      </c>
      <c r="O2722" s="5">
        <v>1</v>
      </c>
      <c r="P2722" s="5" t="s">
        <v>294</v>
      </c>
      <c r="Q2722" s="5" t="s">
        <v>266</v>
      </c>
      <c r="R2722" s="5" t="s">
        <v>240</v>
      </c>
      <c r="S2722" s="5" t="s">
        <v>240</v>
      </c>
      <c r="T2722" s="5" t="s">
        <v>296</v>
      </c>
      <c r="U2722" s="5" t="s">
        <v>244</v>
      </c>
      <c r="V2722" s="5" t="s">
        <v>240</v>
      </c>
      <c r="Y2722" s="5" t="s">
        <v>240</v>
      </c>
      <c r="Z2722" s="6" t="s">
        <v>298</v>
      </c>
      <c r="AB2722" s="6" t="s">
        <v>240</v>
      </c>
      <c r="AE2722" s="6" t="s">
        <v>299</v>
      </c>
      <c r="AF2722" s="5" t="s">
        <v>248</v>
      </c>
      <c r="AG2722" s="5" t="s">
        <v>249</v>
      </c>
      <c r="AW2722" s="5" t="s">
        <v>251</v>
      </c>
      <c r="AX2722" s="5" t="s">
        <v>240</v>
      </c>
      <c r="AY2722" s="5" t="s">
        <v>253</v>
      </c>
      <c r="AZ2722" s="5" t="s">
        <v>240</v>
      </c>
      <c r="BA2722" s="5" t="s">
        <v>255</v>
      </c>
      <c r="BB2722" s="5" t="s">
        <v>240</v>
      </c>
      <c r="BD2722" s="5" t="s">
        <v>240</v>
      </c>
      <c r="BF2722" s="5" t="s">
        <v>301</v>
      </c>
      <c r="BG2722" s="6" t="s">
        <v>299</v>
      </c>
      <c r="BH2722" s="5" t="s">
        <v>302</v>
      </c>
      <c r="BI2722" s="5" t="s">
        <v>303</v>
      </c>
      <c r="BJ2722" s="5" t="s">
        <v>240</v>
      </c>
      <c r="BK2722" s="8">
        <f>0</f>
        <v>0</v>
      </c>
      <c r="BL2722" s="7">
        <f>0</f>
        <v>0</v>
      </c>
      <c r="BM2722" s="5" t="s">
        <v>258</v>
      </c>
      <c r="BN2722" s="5" t="s">
        <v>259</v>
      </c>
      <c r="CB2722" s="5" t="s">
        <v>240</v>
      </c>
      <c r="CC2722" s="5" t="s">
        <v>240</v>
      </c>
      <c r="CG2722" s="5" t="s">
        <v>304</v>
      </c>
      <c r="CH2722" s="5" t="s">
        <v>305</v>
      </c>
      <c r="CI2722" s="5" t="s">
        <v>240</v>
      </c>
      <c r="CL2722" s="6" t="s">
        <v>261</v>
      </c>
      <c r="CM2722" s="5" t="s">
        <v>240</v>
      </c>
      <c r="CN2722" s="5" t="s">
        <v>263</v>
      </c>
      <c r="CO2722" s="5" t="s">
        <v>240</v>
      </c>
      <c r="CP2722" s="5" t="s">
        <v>240</v>
      </c>
      <c r="CQ2722" s="5">
        <v>0</v>
      </c>
      <c r="CR2722" s="5" t="s">
        <v>306</v>
      </c>
      <c r="CS2722" s="5" t="s">
        <v>307</v>
      </c>
      <c r="CT2722" s="5" t="s">
        <v>307</v>
      </c>
      <c r="CU2722" s="5" t="s">
        <v>260</v>
      </c>
      <c r="CX2722" s="7">
        <f>1</f>
        <v>1</v>
      </c>
      <c r="CY2722" s="7">
        <f>0</f>
        <v>0</v>
      </c>
      <c r="DA2722" s="7">
        <f>0</f>
        <v>0</v>
      </c>
      <c r="DC2722" s="5" t="s">
        <v>309</v>
      </c>
      <c r="DD2722" s="5" t="s">
        <v>240</v>
      </c>
      <c r="DF2722" s="5" t="s">
        <v>309</v>
      </c>
      <c r="DG2722" s="7">
        <f>4265</f>
        <v>4265</v>
      </c>
      <c r="DI2722" s="5" t="s">
        <v>240</v>
      </c>
      <c r="DJ2722" s="5" t="s">
        <v>240</v>
      </c>
      <c r="DK2722" s="5" t="s">
        <v>240</v>
      </c>
      <c r="DL2722" s="5" t="s">
        <v>240</v>
      </c>
      <c r="DP2722" s="5" t="s">
        <v>240</v>
      </c>
      <c r="DQ2722" s="5" t="s">
        <v>240</v>
      </c>
      <c r="DR2722" s="5" t="s">
        <v>240</v>
      </c>
      <c r="DS2722" s="5" t="s">
        <v>240</v>
      </c>
      <c r="DV2722" s="5" t="s">
        <v>310</v>
      </c>
      <c r="DW2722" s="5" t="s">
        <v>4858</v>
      </c>
      <c r="HO2722" s="5" t="s">
        <v>312</v>
      </c>
    </row>
    <row r="2723" spans="1:223" x14ac:dyDescent="0.4">
      <c r="A2723" s="5">
        <v>4427</v>
      </c>
      <c r="B2723" s="5">
        <v>1</v>
      </c>
      <c r="C2723" s="5">
        <v>1</v>
      </c>
      <c r="D2723" s="5" t="s">
        <v>810</v>
      </c>
      <c r="E2723" s="5" t="s">
        <v>245</v>
      </c>
      <c r="F2723" s="5" t="s">
        <v>254</v>
      </c>
      <c r="G2723" s="5" t="s">
        <v>240</v>
      </c>
      <c r="H2723" s="6" t="s">
        <v>3097</v>
      </c>
      <c r="I2723" s="5" t="s">
        <v>809</v>
      </c>
      <c r="J2723" s="8">
        <f>390</f>
        <v>390</v>
      </c>
      <c r="K2723" s="5" t="s">
        <v>308</v>
      </c>
      <c r="L2723" s="7">
        <f>1</f>
        <v>1</v>
      </c>
      <c r="M2723" s="7">
        <f>1</f>
        <v>1</v>
      </c>
      <c r="N2723" s="5" t="s">
        <v>242</v>
      </c>
      <c r="O2723" s="5">
        <v>1</v>
      </c>
      <c r="P2723" s="5" t="s">
        <v>294</v>
      </c>
      <c r="Q2723" s="5" t="s">
        <v>266</v>
      </c>
      <c r="R2723" s="5" t="s">
        <v>240</v>
      </c>
      <c r="S2723" s="5" t="s">
        <v>240</v>
      </c>
      <c r="T2723" s="5" t="s">
        <v>296</v>
      </c>
      <c r="U2723" s="5" t="s">
        <v>244</v>
      </c>
      <c r="V2723" s="5" t="s">
        <v>240</v>
      </c>
      <c r="Y2723" s="5" t="s">
        <v>240</v>
      </c>
      <c r="Z2723" s="6" t="s">
        <v>298</v>
      </c>
      <c r="AB2723" s="6" t="s">
        <v>240</v>
      </c>
      <c r="AE2723" s="6" t="s">
        <v>299</v>
      </c>
      <c r="AF2723" s="5" t="s">
        <v>248</v>
      </c>
      <c r="AG2723" s="5" t="s">
        <v>249</v>
      </c>
      <c r="AW2723" s="5" t="s">
        <v>251</v>
      </c>
      <c r="AX2723" s="5" t="s">
        <v>240</v>
      </c>
      <c r="AY2723" s="5" t="s">
        <v>253</v>
      </c>
      <c r="AZ2723" s="5" t="s">
        <v>240</v>
      </c>
      <c r="BA2723" s="5" t="s">
        <v>255</v>
      </c>
      <c r="BB2723" s="5" t="s">
        <v>240</v>
      </c>
      <c r="BD2723" s="5" t="s">
        <v>240</v>
      </c>
      <c r="BF2723" s="5" t="s">
        <v>301</v>
      </c>
      <c r="BG2723" s="6" t="s">
        <v>299</v>
      </c>
      <c r="BH2723" s="5" t="s">
        <v>302</v>
      </c>
      <c r="BI2723" s="5" t="s">
        <v>303</v>
      </c>
      <c r="BJ2723" s="5" t="s">
        <v>240</v>
      </c>
      <c r="BK2723" s="8">
        <f>0</f>
        <v>0</v>
      </c>
      <c r="BL2723" s="7">
        <f>0</f>
        <v>0</v>
      </c>
      <c r="BM2723" s="5" t="s">
        <v>258</v>
      </c>
      <c r="BN2723" s="5" t="s">
        <v>259</v>
      </c>
      <c r="CB2723" s="5" t="s">
        <v>240</v>
      </c>
      <c r="CC2723" s="5" t="s">
        <v>240</v>
      </c>
      <c r="CG2723" s="5" t="s">
        <v>304</v>
      </c>
      <c r="CH2723" s="5" t="s">
        <v>305</v>
      </c>
      <c r="CI2723" s="5" t="s">
        <v>240</v>
      </c>
      <c r="CL2723" s="6" t="s">
        <v>261</v>
      </c>
      <c r="CM2723" s="5" t="s">
        <v>240</v>
      </c>
      <c r="CN2723" s="5" t="s">
        <v>263</v>
      </c>
      <c r="CO2723" s="5" t="s">
        <v>240</v>
      </c>
      <c r="CP2723" s="5" t="s">
        <v>240</v>
      </c>
      <c r="CQ2723" s="5">
        <v>0</v>
      </c>
      <c r="CR2723" s="5" t="s">
        <v>306</v>
      </c>
      <c r="CS2723" s="5" t="s">
        <v>307</v>
      </c>
      <c r="CT2723" s="5" t="s">
        <v>307</v>
      </c>
      <c r="CU2723" s="5" t="s">
        <v>260</v>
      </c>
      <c r="CX2723" s="7">
        <f>1</f>
        <v>1</v>
      </c>
      <c r="CY2723" s="7">
        <f>0</f>
        <v>0</v>
      </c>
      <c r="DA2723" s="7">
        <f>0</f>
        <v>0</v>
      </c>
      <c r="DC2723" s="5" t="s">
        <v>309</v>
      </c>
      <c r="DD2723" s="5" t="s">
        <v>240</v>
      </c>
      <c r="DF2723" s="5" t="s">
        <v>309</v>
      </c>
      <c r="DG2723" s="7">
        <f>3871</f>
        <v>3871</v>
      </c>
      <c r="DI2723" s="5" t="s">
        <v>240</v>
      </c>
      <c r="DJ2723" s="5" t="s">
        <v>240</v>
      </c>
      <c r="DK2723" s="5" t="s">
        <v>240</v>
      </c>
      <c r="DL2723" s="5" t="s">
        <v>240</v>
      </c>
      <c r="DP2723" s="5" t="s">
        <v>240</v>
      </c>
      <c r="DQ2723" s="5" t="s">
        <v>240</v>
      </c>
      <c r="DR2723" s="5" t="s">
        <v>240</v>
      </c>
      <c r="DS2723" s="5" t="s">
        <v>240</v>
      </c>
      <c r="DV2723" s="5" t="s">
        <v>310</v>
      </c>
      <c r="DW2723" s="5" t="s">
        <v>3500</v>
      </c>
      <c r="HO2723" s="5" t="s">
        <v>312</v>
      </c>
    </row>
    <row r="2724" spans="1:223" x14ac:dyDescent="0.4">
      <c r="A2724" s="5">
        <v>4428</v>
      </c>
      <c r="B2724" s="5">
        <v>1</v>
      </c>
      <c r="C2724" s="5">
        <v>1</v>
      </c>
      <c r="D2724" s="5" t="s">
        <v>810</v>
      </c>
      <c r="E2724" s="5" t="s">
        <v>245</v>
      </c>
      <c r="F2724" s="5" t="s">
        <v>254</v>
      </c>
      <c r="G2724" s="5" t="s">
        <v>240</v>
      </c>
      <c r="H2724" s="6" t="s">
        <v>3095</v>
      </c>
      <c r="I2724" s="5" t="s">
        <v>809</v>
      </c>
      <c r="J2724" s="8">
        <f>1905</f>
        <v>1905</v>
      </c>
      <c r="K2724" s="5" t="s">
        <v>308</v>
      </c>
      <c r="L2724" s="7">
        <f>1</f>
        <v>1</v>
      </c>
      <c r="M2724" s="7">
        <f>1</f>
        <v>1</v>
      </c>
      <c r="N2724" s="5" t="s">
        <v>242</v>
      </c>
      <c r="O2724" s="5">
        <v>1</v>
      </c>
      <c r="P2724" s="5" t="s">
        <v>294</v>
      </c>
      <c r="Q2724" s="5" t="s">
        <v>266</v>
      </c>
      <c r="R2724" s="5" t="s">
        <v>240</v>
      </c>
      <c r="S2724" s="5" t="s">
        <v>240</v>
      </c>
      <c r="T2724" s="5" t="s">
        <v>296</v>
      </c>
      <c r="U2724" s="5" t="s">
        <v>244</v>
      </c>
      <c r="V2724" s="5" t="s">
        <v>240</v>
      </c>
      <c r="Y2724" s="5" t="s">
        <v>240</v>
      </c>
      <c r="Z2724" s="6" t="s">
        <v>298</v>
      </c>
      <c r="AB2724" s="6" t="s">
        <v>240</v>
      </c>
      <c r="AE2724" s="6" t="s">
        <v>299</v>
      </c>
      <c r="AF2724" s="5" t="s">
        <v>248</v>
      </c>
      <c r="AG2724" s="5" t="s">
        <v>249</v>
      </c>
      <c r="AW2724" s="5" t="s">
        <v>251</v>
      </c>
      <c r="AX2724" s="5" t="s">
        <v>240</v>
      </c>
      <c r="AY2724" s="5" t="s">
        <v>253</v>
      </c>
      <c r="AZ2724" s="5" t="s">
        <v>240</v>
      </c>
      <c r="BA2724" s="5" t="s">
        <v>255</v>
      </c>
      <c r="BB2724" s="5" t="s">
        <v>240</v>
      </c>
      <c r="BD2724" s="5" t="s">
        <v>240</v>
      </c>
      <c r="BF2724" s="5" t="s">
        <v>301</v>
      </c>
      <c r="BG2724" s="6" t="s">
        <v>299</v>
      </c>
      <c r="BH2724" s="5" t="s">
        <v>302</v>
      </c>
      <c r="BI2724" s="5" t="s">
        <v>303</v>
      </c>
      <c r="BJ2724" s="5" t="s">
        <v>240</v>
      </c>
      <c r="BK2724" s="8">
        <f>0</f>
        <v>0</v>
      </c>
      <c r="BL2724" s="7">
        <f>0</f>
        <v>0</v>
      </c>
      <c r="BM2724" s="5" t="s">
        <v>258</v>
      </c>
      <c r="BN2724" s="5" t="s">
        <v>259</v>
      </c>
      <c r="CB2724" s="5" t="s">
        <v>240</v>
      </c>
      <c r="CC2724" s="5" t="s">
        <v>240</v>
      </c>
      <c r="CG2724" s="5" t="s">
        <v>304</v>
      </c>
      <c r="CH2724" s="5" t="s">
        <v>305</v>
      </c>
      <c r="CI2724" s="5" t="s">
        <v>240</v>
      </c>
      <c r="CL2724" s="6" t="s">
        <v>261</v>
      </c>
      <c r="CM2724" s="5" t="s">
        <v>240</v>
      </c>
      <c r="CN2724" s="5" t="s">
        <v>263</v>
      </c>
      <c r="CO2724" s="5" t="s">
        <v>240</v>
      </c>
      <c r="CP2724" s="5" t="s">
        <v>240</v>
      </c>
      <c r="CQ2724" s="5">
        <v>0</v>
      </c>
      <c r="CR2724" s="5" t="s">
        <v>306</v>
      </c>
      <c r="CS2724" s="5" t="s">
        <v>307</v>
      </c>
      <c r="CT2724" s="5" t="s">
        <v>307</v>
      </c>
      <c r="CU2724" s="5" t="s">
        <v>260</v>
      </c>
      <c r="CX2724" s="7">
        <f>1</f>
        <v>1</v>
      </c>
      <c r="CY2724" s="7">
        <f>0</f>
        <v>0</v>
      </c>
      <c r="DA2724" s="7">
        <f>0</f>
        <v>0</v>
      </c>
      <c r="DC2724" s="5" t="s">
        <v>309</v>
      </c>
      <c r="DD2724" s="5" t="s">
        <v>240</v>
      </c>
      <c r="DF2724" s="5" t="s">
        <v>309</v>
      </c>
      <c r="DG2724" s="7">
        <f>2418</f>
        <v>2418</v>
      </c>
      <c r="DI2724" s="5" t="s">
        <v>240</v>
      </c>
      <c r="DJ2724" s="5" t="s">
        <v>240</v>
      </c>
      <c r="DK2724" s="5" t="s">
        <v>240</v>
      </c>
      <c r="DL2724" s="5" t="s">
        <v>240</v>
      </c>
      <c r="DP2724" s="5" t="s">
        <v>240</v>
      </c>
      <c r="DQ2724" s="5" t="s">
        <v>240</v>
      </c>
      <c r="DR2724" s="5" t="s">
        <v>240</v>
      </c>
      <c r="DS2724" s="5" t="s">
        <v>240</v>
      </c>
      <c r="DV2724" s="5" t="s">
        <v>310</v>
      </c>
      <c r="DW2724" s="5" t="s">
        <v>4861</v>
      </c>
      <c r="HO2724" s="5" t="s">
        <v>312</v>
      </c>
    </row>
    <row r="2725" spans="1:223" x14ac:dyDescent="0.4">
      <c r="A2725" s="5">
        <v>4429</v>
      </c>
      <c r="B2725" s="5">
        <v>1</v>
      </c>
      <c r="C2725" s="5">
        <v>1</v>
      </c>
      <c r="D2725" s="5" t="s">
        <v>810</v>
      </c>
      <c r="E2725" s="5" t="s">
        <v>245</v>
      </c>
      <c r="F2725" s="5" t="s">
        <v>254</v>
      </c>
      <c r="G2725" s="5" t="s">
        <v>240</v>
      </c>
      <c r="H2725" s="6" t="s">
        <v>3093</v>
      </c>
      <c r="I2725" s="5" t="s">
        <v>809</v>
      </c>
      <c r="J2725" s="8">
        <f>514</f>
        <v>514</v>
      </c>
      <c r="K2725" s="5" t="s">
        <v>308</v>
      </c>
      <c r="L2725" s="7">
        <f>1</f>
        <v>1</v>
      </c>
      <c r="M2725" s="7">
        <f>1</f>
        <v>1</v>
      </c>
      <c r="N2725" s="5" t="s">
        <v>242</v>
      </c>
      <c r="O2725" s="5">
        <v>1</v>
      </c>
      <c r="P2725" s="5" t="s">
        <v>294</v>
      </c>
      <c r="Q2725" s="5" t="s">
        <v>266</v>
      </c>
      <c r="R2725" s="5" t="s">
        <v>240</v>
      </c>
      <c r="S2725" s="5" t="s">
        <v>240</v>
      </c>
      <c r="T2725" s="5" t="s">
        <v>296</v>
      </c>
      <c r="U2725" s="5" t="s">
        <v>244</v>
      </c>
      <c r="V2725" s="5" t="s">
        <v>240</v>
      </c>
      <c r="Y2725" s="5" t="s">
        <v>240</v>
      </c>
      <c r="Z2725" s="6" t="s">
        <v>298</v>
      </c>
      <c r="AB2725" s="6" t="s">
        <v>240</v>
      </c>
      <c r="AE2725" s="6" t="s">
        <v>299</v>
      </c>
      <c r="AF2725" s="5" t="s">
        <v>248</v>
      </c>
      <c r="AG2725" s="5" t="s">
        <v>249</v>
      </c>
      <c r="AW2725" s="5" t="s">
        <v>251</v>
      </c>
      <c r="AX2725" s="5" t="s">
        <v>240</v>
      </c>
      <c r="AY2725" s="5" t="s">
        <v>253</v>
      </c>
      <c r="AZ2725" s="5" t="s">
        <v>240</v>
      </c>
      <c r="BA2725" s="5" t="s">
        <v>255</v>
      </c>
      <c r="BB2725" s="5" t="s">
        <v>240</v>
      </c>
      <c r="BD2725" s="5" t="s">
        <v>240</v>
      </c>
      <c r="BF2725" s="5" t="s">
        <v>301</v>
      </c>
      <c r="BG2725" s="6" t="s">
        <v>299</v>
      </c>
      <c r="BH2725" s="5" t="s">
        <v>302</v>
      </c>
      <c r="BI2725" s="5" t="s">
        <v>303</v>
      </c>
      <c r="BJ2725" s="5" t="s">
        <v>240</v>
      </c>
      <c r="BK2725" s="8">
        <f>0</f>
        <v>0</v>
      </c>
      <c r="BL2725" s="7">
        <f>0</f>
        <v>0</v>
      </c>
      <c r="BM2725" s="5" t="s">
        <v>258</v>
      </c>
      <c r="BN2725" s="5" t="s">
        <v>259</v>
      </c>
      <c r="CB2725" s="5" t="s">
        <v>240</v>
      </c>
      <c r="CC2725" s="5" t="s">
        <v>240</v>
      </c>
      <c r="CG2725" s="5" t="s">
        <v>304</v>
      </c>
      <c r="CH2725" s="5" t="s">
        <v>305</v>
      </c>
      <c r="CI2725" s="5" t="s">
        <v>240</v>
      </c>
      <c r="CL2725" s="6" t="s">
        <v>261</v>
      </c>
      <c r="CM2725" s="5" t="s">
        <v>240</v>
      </c>
      <c r="CN2725" s="5" t="s">
        <v>263</v>
      </c>
      <c r="CO2725" s="5" t="s">
        <v>240</v>
      </c>
      <c r="CP2725" s="5" t="s">
        <v>240</v>
      </c>
      <c r="CQ2725" s="5">
        <v>0</v>
      </c>
      <c r="CR2725" s="5" t="s">
        <v>306</v>
      </c>
      <c r="CS2725" s="5" t="s">
        <v>307</v>
      </c>
      <c r="CT2725" s="5" t="s">
        <v>307</v>
      </c>
      <c r="CU2725" s="5" t="s">
        <v>260</v>
      </c>
      <c r="CX2725" s="7">
        <f>1</f>
        <v>1</v>
      </c>
      <c r="CY2725" s="7">
        <f>0</f>
        <v>0</v>
      </c>
      <c r="DA2725" s="7">
        <f>0</f>
        <v>0</v>
      </c>
      <c r="DC2725" s="5" t="s">
        <v>309</v>
      </c>
      <c r="DD2725" s="5" t="s">
        <v>240</v>
      </c>
      <c r="DF2725" s="5" t="s">
        <v>309</v>
      </c>
      <c r="DG2725" s="7">
        <f>3064</f>
        <v>3064</v>
      </c>
      <c r="DI2725" s="5" t="s">
        <v>240</v>
      </c>
      <c r="DJ2725" s="5" t="s">
        <v>240</v>
      </c>
      <c r="DK2725" s="5" t="s">
        <v>240</v>
      </c>
      <c r="DL2725" s="5" t="s">
        <v>240</v>
      </c>
      <c r="DP2725" s="5" t="s">
        <v>240</v>
      </c>
      <c r="DQ2725" s="5" t="s">
        <v>240</v>
      </c>
      <c r="DR2725" s="5" t="s">
        <v>240</v>
      </c>
      <c r="DS2725" s="5" t="s">
        <v>240</v>
      </c>
      <c r="DV2725" s="5" t="s">
        <v>310</v>
      </c>
      <c r="DW2725" s="5" t="s">
        <v>3504</v>
      </c>
      <c r="HO2725" s="5" t="s">
        <v>312</v>
      </c>
    </row>
    <row r="2726" spans="1:223" x14ac:dyDescent="0.4">
      <c r="A2726" s="5">
        <v>4430</v>
      </c>
      <c r="B2726" s="5">
        <v>1</v>
      </c>
      <c r="C2726" s="5">
        <v>1</v>
      </c>
      <c r="D2726" s="5" t="s">
        <v>810</v>
      </c>
      <c r="E2726" s="5" t="s">
        <v>245</v>
      </c>
      <c r="F2726" s="5" t="s">
        <v>254</v>
      </c>
      <c r="G2726" s="5" t="s">
        <v>240</v>
      </c>
      <c r="H2726" s="6" t="s">
        <v>3091</v>
      </c>
      <c r="I2726" s="5" t="s">
        <v>809</v>
      </c>
      <c r="J2726" s="8">
        <f>1031</f>
        <v>1031</v>
      </c>
      <c r="K2726" s="5" t="s">
        <v>308</v>
      </c>
      <c r="L2726" s="7">
        <f>1</f>
        <v>1</v>
      </c>
      <c r="M2726" s="7">
        <f>1</f>
        <v>1</v>
      </c>
      <c r="N2726" s="5" t="s">
        <v>242</v>
      </c>
      <c r="O2726" s="5">
        <v>1</v>
      </c>
      <c r="P2726" s="5" t="s">
        <v>294</v>
      </c>
      <c r="Q2726" s="5" t="s">
        <v>266</v>
      </c>
      <c r="R2726" s="5" t="s">
        <v>240</v>
      </c>
      <c r="S2726" s="5" t="s">
        <v>240</v>
      </c>
      <c r="T2726" s="5" t="s">
        <v>296</v>
      </c>
      <c r="U2726" s="5" t="s">
        <v>244</v>
      </c>
      <c r="V2726" s="5" t="s">
        <v>240</v>
      </c>
      <c r="Y2726" s="5" t="s">
        <v>240</v>
      </c>
      <c r="Z2726" s="6" t="s">
        <v>298</v>
      </c>
      <c r="AB2726" s="6" t="s">
        <v>240</v>
      </c>
      <c r="AE2726" s="6" t="s">
        <v>299</v>
      </c>
      <c r="AF2726" s="5" t="s">
        <v>248</v>
      </c>
      <c r="AG2726" s="5" t="s">
        <v>249</v>
      </c>
      <c r="AW2726" s="5" t="s">
        <v>251</v>
      </c>
      <c r="AX2726" s="5" t="s">
        <v>240</v>
      </c>
      <c r="AY2726" s="5" t="s">
        <v>253</v>
      </c>
      <c r="AZ2726" s="5" t="s">
        <v>240</v>
      </c>
      <c r="BA2726" s="5" t="s">
        <v>255</v>
      </c>
      <c r="BB2726" s="5" t="s">
        <v>240</v>
      </c>
      <c r="BD2726" s="5" t="s">
        <v>240</v>
      </c>
      <c r="BF2726" s="5" t="s">
        <v>301</v>
      </c>
      <c r="BG2726" s="6" t="s">
        <v>299</v>
      </c>
      <c r="BH2726" s="5" t="s">
        <v>302</v>
      </c>
      <c r="BI2726" s="5" t="s">
        <v>303</v>
      </c>
      <c r="BJ2726" s="5" t="s">
        <v>240</v>
      </c>
      <c r="BK2726" s="8">
        <f>0</f>
        <v>0</v>
      </c>
      <c r="BL2726" s="7">
        <f>0</f>
        <v>0</v>
      </c>
      <c r="BM2726" s="5" t="s">
        <v>258</v>
      </c>
      <c r="BN2726" s="5" t="s">
        <v>259</v>
      </c>
      <c r="CB2726" s="5" t="s">
        <v>240</v>
      </c>
      <c r="CC2726" s="5" t="s">
        <v>240</v>
      </c>
      <c r="CG2726" s="5" t="s">
        <v>304</v>
      </c>
      <c r="CH2726" s="5" t="s">
        <v>305</v>
      </c>
      <c r="CI2726" s="5" t="s">
        <v>240</v>
      </c>
      <c r="CL2726" s="6" t="s">
        <v>261</v>
      </c>
      <c r="CM2726" s="5" t="s">
        <v>240</v>
      </c>
      <c r="CN2726" s="5" t="s">
        <v>263</v>
      </c>
      <c r="CO2726" s="5" t="s">
        <v>240</v>
      </c>
      <c r="CP2726" s="5" t="s">
        <v>240</v>
      </c>
      <c r="CQ2726" s="5">
        <v>0</v>
      </c>
      <c r="CR2726" s="5" t="s">
        <v>306</v>
      </c>
      <c r="CS2726" s="5" t="s">
        <v>307</v>
      </c>
      <c r="CT2726" s="5" t="s">
        <v>307</v>
      </c>
      <c r="CU2726" s="5" t="s">
        <v>260</v>
      </c>
      <c r="CX2726" s="7">
        <f>1</f>
        <v>1</v>
      </c>
      <c r="CY2726" s="7">
        <f>0</f>
        <v>0</v>
      </c>
      <c r="DA2726" s="7">
        <f>0</f>
        <v>0</v>
      </c>
      <c r="DC2726" s="5" t="s">
        <v>812</v>
      </c>
      <c r="DD2726" s="5" t="s">
        <v>240</v>
      </c>
      <c r="DF2726" s="5" t="s">
        <v>812</v>
      </c>
      <c r="DG2726" s="7">
        <f>105</f>
        <v>105</v>
      </c>
      <c r="DI2726" s="5" t="s">
        <v>240</v>
      </c>
      <c r="DJ2726" s="5" t="s">
        <v>240</v>
      </c>
      <c r="DK2726" s="5" t="s">
        <v>240</v>
      </c>
      <c r="DL2726" s="5" t="s">
        <v>240</v>
      </c>
      <c r="DP2726" s="5" t="s">
        <v>240</v>
      </c>
      <c r="DQ2726" s="5" t="s">
        <v>240</v>
      </c>
      <c r="DR2726" s="5" t="s">
        <v>240</v>
      </c>
      <c r="DS2726" s="5" t="s">
        <v>240</v>
      </c>
      <c r="DV2726" s="5" t="s">
        <v>813</v>
      </c>
      <c r="DW2726" s="5" t="s">
        <v>4864</v>
      </c>
      <c r="HO2726" s="5" t="s">
        <v>312</v>
      </c>
    </row>
    <row r="2727" spans="1:223" x14ac:dyDescent="0.4">
      <c r="A2727" s="5">
        <v>4431</v>
      </c>
      <c r="B2727" s="5">
        <v>1</v>
      </c>
      <c r="C2727" s="5">
        <v>1</v>
      </c>
      <c r="D2727" s="5" t="s">
        <v>810</v>
      </c>
      <c r="E2727" s="5" t="s">
        <v>245</v>
      </c>
      <c r="F2727" s="5" t="s">
        <v>254</v>
      </c>
      <c r="G2727" s="5" t="s">
        <v>240</v>
      </c>
      <c r="H2727" s="6" t="s">
        <v>3089</v>
      </c>
      <c r="I2727" s="5" t="s">
        <v>809</v>
      </c>
      <c r="J2727" s="8">
        <f>182</f>
        <v>182</v>
      </c>
      <c r="K2727" s="5" t="s">
        <v>308</v>
      </c>
      <c r="L2727" s="7">
        <f>1</f>
        <v>1</v>
      </c>
      <c r="M2727" s="7">
        <f>1</f>
        <v>1</v>
      </c>
      <c r="N2727" s="5" t="s">
        <v>242</v>
      </c>
      <c r="O2727" s="5">
        <v>1</v>
      </c>
      <c r="P2727" s="5" t="s">
        <v>294</v>
      </c>
      <c r="Q2727" s="5" t="s">
        <v>266</v>
      </c>
      <c r="R2727" s="5" t="s">
        <v>240</v>
      </c>
      <c r="S2727" s="5" t="s">
        <v>240</v>
      </c>
      <c r="T2727" s="5" t="s">
        <v>296</v>
      </c>
      <c r="U2727" s="5" t="s">
        <v>244</v>
      </c>
      <c r="V2727" s="5" t="s">
        <v>240</v>
      </c>
      <c r="Y2727" s="5" t="s">
        <v>240</v>
      </c>
      <c r="Z2727" s="6" t="s">
        <v>298</v>
      </c>
      <c r="AB2727" s="6" t="s">
        <v>240</v>
      </c>
      <c r="AE2727" s="6" t="s">
        <v>299</v>
      </c>
      <c r="AF2727" s="5" t="s">
        <v>248</v>
      </c>
      <c r="AG2727" s="5" t="s">
        <v>249</v>
      </c>
      <c r="AW2727" s="5" t="s">
        <v>251</v>
      </c>
      <c r="AX2727" s="5" t="s">
        <v>240</v>
      </c>
      <c r="AY2727" s="5" t="s">
        <v>253</v>
      </c>
      <c r="AZ2727" s="5" t="s">
        <v>240</v>
      </c>
      <c r="BA2727" s="5" t="s">
        <v>255</v>
      </c>
      <c r="BB2727" s="5" t="s">
        <v>240</v>
      </c>
      <c r="BD2727" s="5" t="s">
        <v>240</v>
      </c>
      <c r="BF2727" s="5" t="s">
        <v>301</v>
      </c>
      <c r="BG2727" s="6" t="s">
        <v>299</v>
      </c>
      <c r="BH2727" s="5" t="s">
        <v>302</v>
      </c>
      <c r="BI2727" s="5" t="s">
        <v>303</v>
      </c>
      <c r="BJ2727" s="5" t="s">
        <v>240</v>
      </c>
      <c r="BK2727" s="8">
        <f>0</f>
        <v>0</v>
      </c>
      <c r="BL2727" s="7">
        <f>0</f>
        <v>0</v>
      </c>
      <c r="BM2727" s="5" t="s">
        <v>258</v>
      </c>
      <c r="BN2727" s="5" t="s">
        <v>259</v>
      </c>
      <c r="CB2727" s="5" t="s">
        <v>240</v>
      </c>
      <c r="CC2727" s="5" t="s">
        <v>240</v>
      </c>
      <c r="CG2727" s="5" t="s">
        <v>304</v>
      </c>
      <c r="CH2727" s="5" t="s">
        <v>305</v>
      </c>
      <c r="CI2727" s="5" t="s">
        <v>240</v>
      </c>
      <c r="CL2727" s="6" t="s">
        <v>261</v>
      </c>
      <c r="CM2727" s="5" t="s">
        <v>240</v>
      </c>
      <c r="CN2727" s="5" t="s">
        <v>263</v>
      </c>
      <c r="CO2727" s="5" t="s">
        <v>240</v>
      </c>
      <c r="CP2727" s="5" t="s">
        <v>240</v>
      </c>
      <c r="CQ2727" s="5">
        <v>0</v>
      </c>
      <c r="CR2727" s="5" t="s">
        <v>306</v>
      </c>
      <c r="CS2727" s="5" t="s">
        <v>307</v>
      </c>
      <c r="CT2727" s="5" t="s">
        <v>307</v>
      </c>
      <c r="CU2727" s="5" t="s">
        <v>260</v>
      </c>
      <c r="CX2727" s="7">
        <f>1</f>
        <v>1</v>
      </c>
      <c r="CY2727" s="7">
        <f>0</f>
        <v>0</v>
      </c>
      <c r="DA2727" s="7">
        <f>0</f>
        <v>0</v>
      </c>
      <c r="DC2727" s="5" t="s">
        <v>309</v>
      </c>
      <c r="DD2727" s="5" t="s">
        <v>240</v>
      </c>
      <c r="DF2727" s="5" t="s">
        <v>309</v>
      </c>
      <c r="DG2727" s="7">
        <f>232</f>
        <v>232</v>
      </c>
      <c r="DI2727" s="5" t="s">
        <v>240</v>
      </c>
      <c r="DJ2727" s="5" t="s">
        <v>240</v>
      </c>
      <c r="DK2727" s="5" t="s">
        <v>240</v>
      </c>
      <c r="DL2727" s="5" t="s">
        <v>240</v>
      </c>
      <c r="DP2727" s="5" t="s">
        <v>240</v>
      </c>
      <c r="DQ2727" s="5" t="s">
        <v>240</v>
      </c>
      <c r="DR2727" s="5" t="s">
        <v>240</v>
      </c>
      <c r="DS2727" s="5" t="s">
        <v>240</v>
      </c>
      <c r="DV2727" s="5" t="s">
        <v>310</v>
      </c>
      <c r="DW2727" s="5" t="s">
        <v>3508</v>
      </c>
      <c r="HO2727" s="5" t="s">
        <v>312</v>
      </c>
    </row>
    <row r="2728" spans="1:223" x14ac:dyDescent="0.4">
      <c r="A2728" s="5">
        <v>4432</v>
      </c>
      <c r="B2728" s="5">
        <v>1</v>
      </c>
      <c r="C2728" s="5">
        <v>1</v>
      </c>
      <c r="D2728" s="5" t="s">
        <v>810</v>
      </c>
      <c r="E2728" s="5" t="s">
        <v>245</v>
      </c>
      <c r="F2728" s="5" t="s">
        <v>254</v>
      </c>
      <c r="G2728" s="5" t="s">
        <v>240</v>
      </c>
      <c r="H2728" s="6" t="s">
        <v>3087</v>
      </c>
      <c r="I2728" s="5" t="s">
        <v>809</v>
      </c>
      <c r="J2728" s="8">
        <f>333</f>
        <v>333</v>
      </c>
      <c r="K2728" s="5" t="s">
        <v>308</v>
      </c>
      <c r="L2728" s="7">
        <f>1</f>
        <v>1</v>
      </c>
      <c r="M2728" s="7">
        <f>1</f>
        <v>1</v>
      </c>
      <c r="N2728" s="5" t="s">
        <v>242</v>
      </c>
      <c r="O2728" s="5">
        <v>1</v>
      </c>
      <c r="P2728" s="5" t="s">
        <v>294</v>
      </c>
      <c r="Q2728" s="5" t="s">
        <v>266</v>
      </c>
      <c r="R2728" s="5" t="s">
        <v>240</v>
      </c>
      <c r="S2728" s="5" t="s">
        <v>240</v>
      </c>
      <c r="T2728" s="5" t="s">
        <v>296</v>
      </c>
      <c r="U2728" s="5" t="s">
        <v>244</v>
      </c>
      <c r="V2728" s="5" t="s">
        <v>240</v>
      </c>
      <c r="Y2728" s="5" t="s">
        <v>240</v>
      </c>
      <c r="Z2728" s="6" t="s">
        <v>298</v>
      </c>
      <c r="AB2728" s="6" t="s">
        <v>240</v>
      </c>
      <c r="AE2728" s="6" t="s">
        <v>299</v>
      </c>
      <c r="AF2728" s="5" t="s">
        <v>248</v>
      </c>
      <c r="AG2728" s="5" t="s">
        <v>249</v>
      </c>
      <c r="AW2728" s="5" t="s">
        <v>251</v>
      </c>
      <c r="AX2728" s="5" t="s">
        <v>240</v>
      </c>
      <c r="AY2728" s="5" t="s">
        <v>253</v>
      </c>
      <c r="AZ2728" s="5" t="s">
        <v>240</v>
      </c>
      <c r="BA2728" s="5" t="s">
        <v>255</v>
      </c>
      <c r="BB2728" s="5" t="s">
        <v>240</v>
      </c>
      <c r="BD2728" s="5" t="s">
        <v>240</v>
      </c>
      <c r="BF2728" s="5" t="s">
        <v>301</v>
      </c>
      <c r="BG2728" s="6" t="s">
        <v>299</v>
      </c>
      <c r="BH2728" s="5" t="s">
        <v>302</v>
      </c>
      <c r="BI2728" s="5" t="s">
        <v>303</v>
      </c>
      <c r="BJ2728" s="5" t="s">
        <v>240</v>
      </c>
      <c r="BK2728" s="8">
        <f>0</f>
        <v>0</v>
      </c>
      <c r="BL2728" s="7">
        <f>0</f>
        <v>0</v>
      </c>
      <c r="BM2728" s="5" t="s">
        <v>258</v>
      </c>
      <c r="BN2728" s="5" t="s">
        <v>259</v>
      </c>
      <c r="CB2728" s="5" t="s">
        <v>240</v>
      </c>
      <c r="CC2728" s="5" t="s">
        <v>240</v>
      </c>
      <c r="CG2728" s="5" t="s">
        <v>304</v>
      </c>
      <c r="CH2728" s="5" t="s">
        <v>305</v>
      </c>
      <c r="CI2728" s="5" t="s">
        <v>240</v>
      </c>
      <c r="CL2728" s="6" t="s">
        <v>261</v>
      </c>
      <c r="CM2728" s="5" t="s">
        <v>240</v>
      </c>
      <c r="CN2728" s="5" t="s">
        <v>263</v>
      </c>
      <c r="CO2728" s="5" t="s">
        <v>240</v>
      </c>
      <c r="CP2728" s="5" t="s">
        <v>240</v>
      </c>
      <c r="CQ2728" s="5">
        <v>0</v>
      </c>
      <c r="CR2728" s="5" t="s">
        <v>306</v>
      </c>
      <c r="CS2728" s="5" t="s">
        <v>307</v>
      </c>
      <c r="CT2728" s="5" t="s">
        <v>307</v>
      </c>
      <c r="CU2728" s="5" t="s">
        <v>260</v>
      </c>
      <c r="CX2728" s="7">
        <f>1</f>
        <v>1</v>
      </c>
      <c r="CY2728" s="7">
        <f>0</f>
        <v>0</v>
      </c>
      <c r="DA2728" s="7">
        <f>0</f>
        <v>0</v>
      </c>
      <c r="DC2728" s="5" t="s">
        <v>309</v>
      </c>
      <c r="DD2728" s="5" t="s">
        <v>240</v>
      </c>
      <c r="DF2728" s="5" t="s">
        <v>309</v>
      </c>
      <c r="DG2728" s="7">
        <f>218</f>
        <v>218</v>
      </c>
      <c r="DI2728" s="5" t="s">
        <v>240</v>
      </c>
      <c r="DJ2728" s="5" t="s">
        <v>240</v>
      </c>
      <c r="DK2728" s="5" t="s">
        <v>240</v>
      </c>
      <c r="DL2728" s="5" t="s">
        <v>240</v>
      </c>
      <c r="DP2728" s="5" t="s">
        <v>240</v>
      </c>
      <c r="DQ2728" s="5" t="s">
        <v>240</v>
      </c>
      <c r="DR2728" s="5" t="s">
        <v>240</v>
      </c>
      <c r="DS2728" s="5" t="s">
        <v>240</v>
      </c>
      <c r="DV2728" s="5" t="s">
        <v>310</v>
      </c>
      <c r="DW2728" s="5" t="s">
        <v>3510</v>
      </c>
      <c r="HO2728" s="5" t="s">
        <v>312</v>
      </c>
    </row>
    <row r="2729" spans="1:223" x14ac:dyDescent="0.4">
      <c r="A2729" s="5">
        <v>4433</v>
      </c>
      <c r="B2729" s="5">
        <v>1</v>
      </c>
      <c r="C2729" s="5">
        <v>1</v>
      </c>
      <c r="D2729" s="5" t="s">
        <v>810</v>
      </c>
      <c r="E2729" s="5" t="s">
        <v>245</v>
      </c>
      <c r="F2729" s="5" t="s">
        <v>254</v>
      </c>
      <c r="G2729" s="5" t="s">
        <v>240</v>
      </c>
      <c r="H2729" s="6" t="s">
        <v>4873</v>
      </c>
      <c r="I2729" s="5" t="s">
        <v>809</v>
      </c>
      <c r="J2729" s="8">
        <f>1260</f>
        <v>1260</v>
      </c>
      <c r="K2729" s="5" t="s">
        <v>308</v>
      </c>
      <c r="L2729" s="7">
        <f>1</f>
        <v>1</v>
      </c>
      <c r="M2729" s="7">
        <f>1</f>
        <v>1</v>
      </c>
      <c r="N2729" s="5" t="s">
        <v>242</v>
      </c>
      <c r="O2729" s="5">
        <v>1</v>
      </c>
      <c r="P2729" s="5" t="s">
        <v>294</v>
      </c>
      <c r="Q2729" s="5" t="s">
        <v>266</v>
      </c>
      <c r="R2729" s="5" t="s">
        <v>240</v>
      </c>
      <c r="S2729" s="5" t="s">
        <v>240</v>
      </c>
      <c r="T2729" s="5" t="s">
        <v>296</v>
      </c>
      <c r="U2729" s="5" t="s">
        <v>244</v>
      </c>
      <c r="V2729" s="5" t="s">
        <v>240</v>
      </c>
      <c r="Y2729" s="5" t="s">
        <v>240</v>
      </c>
      <c r="Z2729" s="6" t="s">
        <v>298</v>
      </c>
      <c r="AB2729" s="6" t="s">
        <v>240</v>
      </c>
      <c r="AE2729" s="6" t="s">
        <v>299</v>
      </c>
      <c r="AF2729" s="5" t="s">
        <v>248</v>
      </c>
      <c r="AG2729" s="5" t="s">
        <v>249</v>
      </c>
      <c r="AW2729" s="5" t="s">
        <v>251</v>
      </c>
      <c r="AX2729" s="5" t="s">
        <v>240</v>
      </c>
      <c r="AY2729" s="5" t="s">
        <v>253</v>
      </c>
      <c r="AZ2729" s="5" t="s">
        <v>240</v>
      </c>
      <c r="BA2729" s="5" t="s">
        <v>255</v>
      </c>
      <c r="BB2729" s="5" t="s">
        <v>240</v>
      </c>
      <c r="BD2729" s="5" t="s">
        <v>240</v>
      </c>
      <c r="BF2729" s="5" t="s">
        <v>301</v>
      </c>
      <c r="BG2729" s="6" t="s">
        <v>299</v>
      </c>
      <c r="BH2729" s="5" t="s">
        <v>302</v>
      </c>
      <c r="BI2729" s="5" t="s">
        <v>303</v>
      </c>
      <c r="BJ2729" s="5" t="s">
        <v>240</v>
      </c>
      <c r="BK2729" s="8">
        <f>0</f>
        <v>0</v>
      </c>
      <c r="BL2729" s="7">
        <f>0</f>
        <v>0</v>
      </c>
      <c r="BM2729" s="5" t="s">
        <v>258</v>
      </c>
      <c r="BN2729" s="5" t="s">
        <v>259</v>
      </c>
      <c r="CB2729" s="5" t="s">
        <v>240</v>
      </c>
      <c r="CC2729" s="5" t="s">
        <v>240</v>
      </c>
      <c r="CG2729" s="5" t="s">
        <v>304</v>
      </c>
      <c r="CH2729" s="5" t="s">
        <v>305</v>
      </c>
      <c r="CI2729" s="5" t="s">
        <v>240</v>
      </c>
      <c r="CL2729" s="6" t="s">
        <v>261</v>
      </c>
      <c r="CM2729" s="5" t="s">
        <v>240</v>
      </c>
      <c r="CN2729" s="5" t="s">
        <v>263</v>
      </c>
      <c r="CO2729" s="5" t="s">
        <v>240</v>
      </c>
      <c r="CP2729" s="5" t="s">
        <v>240</v>
      </c>
      <c r="CQ2729" s="5">
        <v>0</v>
      </c>
      <c r="CR2729" s="5" t="s">
        <v>306</v>
      </c>
      <c r="CS2729" s="5" t="s">
        <v>307</v>
      </c>
      <c r="CT2729" s="5" t="s">
        <v>307</v>
      </c>
      <c r="CU2729" s="5" t="s">
        <v>260</v>
      </c>
      <c r="CX2729" s="7">
        <f>1</f>
        <v>1</v>
      </c>
      <c r="CY2729" s="7">
        <f>0</f>
        <v>0</v>
      </c>
      <c r="DA2729" s="7">
        <f>0</f>
        <v>0</v>
      </c>
      <c r="DC2729" s="5" t="s">
        <v>309</v>
      </c>
      <c r="DD2729" s="5" t="s">
        <v>240</v>
      </c>
      <c r="DF2729" s="5" t="s">
        <v>309</v>
      </c>
      <c r="DG2729" s="7">
        <f>2265</f>
        <v>2265</v>
      </c>
      <c r="DI2729" s="5" t="s">
        <v>240</v>
      </c>
      <c r="DJ2729" s="5" t="s">
        <v>240</v>
      </c>
      <c r="DK2729" s="5" t="s">
        <v>240</v>
      </c>
      <c r="DL2729" s="5" t="s">
        <v>240</v>
      </c>
      <c r="DP2729" s="5" t="s">
        <v>240</v>
      </c>
      <c r="DQ2729" s="5" t="s">
        <v>240</v>
      </c>
      <c r="DR2729" s="5" t="s">
        <v>240</v>
      </c>
      <c r="DS2729" s="5" t="s">
        <v>240</v>
      </c>
      <c r="DV2729" s="5" t="s">
        <v>310</v>
      </c>
      <c r="DW2729" s="5" t="s">
        <v>3512</v>
      </c>
      <c r="HO2729" s="5" t="s">
        <v>312</v>
      </c>
    </row>
    <row r="2730" spans="1:223" x14ac:dyDescent="0.4">
      <c r="A2730" s="5">
        <v>4434</v>
      </c>
      <c r="B2730" s="5">
        <v>1</v>
      </c>
      <c r="C2730" s="5">
        <v>1</v>
      </c>
      <c r="D2730" s="5" t="s">
        <v>810</v>
      </c>
      <c r="E2730" s="5" t="s">
        <v>245</v>
      </c>
      <c r="F2730" s="5" t="s">
        <v>254</v>
      </c>
      <c r="G2730" s="5" t="s">
        <v>240</v>
      </c>
      <c r="H2730" s="6" t="s">
        <v>3083</v>
      </c>
      <c r="I2730" s="5" t="s">
        <v>809</v>
      </c>
      <c r="J2730" s="8">
        <f>188</f>
        <v>188</v>
      </c>
      <c r="K2730" s="5" t="s">
        <v>308</v>
      </c>
      <c r="L2730" s="7">
        <f>1</f>
        <v>1</v>
      </c>
      <c r="M2730" s="7">
        <f>1</f>
        <v>1</v>
      </c>
      <c r="N2730" s="5" t="s">
        <v>242</v>
      </c>
      <c r="O2730" s="5">
        <v>1</v>
      </c>
      <c r="P2730" s="5" t="s">
        <v>294</v>
      </c>
      <c r="Q2730" s="5" t="s">
        <v>266</v>
      </c>
      <c r="R2730" s="5" t="s">
        <v>240</v>
      </c>
      <c r="S2730" s="5" t="s">
        <v>240</v>
      </c>
      <c r="T2730" s="5" t="s">
        <v>296</v>
      </c>
      <c r="U2730" s="5" t="s">
        <v>244</v>
      </c>
      <c r="V2730" s="5" t="s">
        <v>240</v>
      </c>
      <c r="Y2730" s="5" t="s">
        <v>240</v>
      </c>
      <c r="Z2730" s="6" t="s">
        <v>298</v>
      </c>
      <c r="AB2730" s="6" t="s">
        <v>240</v>
      </c>
      <c r="AE2730" s="6" t="s">
        <v>299</v>
      </c>
      <c r="AF2730" s="5" t="s">
        <v>248</v>
      </c>
      <c r="AG2730" s="5" t="s">
        <v>249</v>
      </c>
      <c r="AW2730" s="5" t="s">
        <v>251</v>
      </c>
      <c r="AX2730" s="5" t="s">
        <v>240</v>
      </c>
      <c r="AY2730" s="5" t="s">
        <v>253</v>
      </c>
      <c r="AZ2730" s="5" t="s">
        <v>240</v>
      </c>
      <c r="BA2730" s="5" t="s">
        <v>255</v>
      </c>
      <c r="BB2730" s="5" t="s">
        <v>240</v>
      </c>
      <c r="BD2730" s="5" t="s">
        <v>240</v>
      </c>
      <c r="BF2730" s="5" t="s">
        <v>301</v>
      </c>
      <c r="BG2730" s="6" t="s">
        <v>299</v>
      </c>
      <c r="BH2730" s="5" t="s">
        <v>302</v>
      </c>
      <c r="BI2730" s="5" t="s">
        <v>303</v>
      </c>
      <c r="BJ2730" s="5" t="s">
        <v>240</v>
      </c>
      <c r="BK2730" s="8">
        <f>0</f>
        <v>0</v>
      </c>
      <c r="BL2730" s="7">
        <f>0</f>
        <v>0</v>
      </c>
      <c r="BM2730" s="5" t="s">
        <v>258</v>
      </c>
      <c r="BN2730" s="5" t="s">
        <v>259</v>
      </c>
      <c r="CB2730" s="5" t="s">
        <v>240</v>
      </c>
      <c r="CC2730" s="5" t="s">
        <v>240</v>
      </c>
      <c r="CG2730" s="5" t="s">
        <v>304</v>
      </c>
      <c r="CH2730" s="5" t="s">
        <v>305</v>
      </c>
      <c r="CI2730" s="5" t="s">
        <v>240</v>
      </c>
      <c r="CL2730" s="6" t="s">
        <v>261</v>
      </c>
      <c r="CM2730" s="5" t="s">
        <v>240</v>
      </c>
      <c r="CN2730" s="5" t="s">
        <v>263</v>
      </c>
      <c r="CO2730" s="5" t="s">
        <v>240</v>
      </c>
      <c r="CP2730" s="5" t="s">
        <v>240</v>
      </c>
      <c r="CQ2730" s="5">
        <v>0</v>
      </c>
      <c r="CR2730" s="5" t="s">
        <v>306</v>
      </c>
      <c r="CS2730" s="5" t="s">
        <v>307</v>
      </c>
      <c r="CT2730" s="5" t="s">
        <v>307</v>
      </c>
      <c r="CU2730" s="5" t="s">
        <v>260</v>
      </c>
      <c r="CX2730" s="7">
        <f>1</f>
        <v>1</v>
      </c>
      <c r="CY2730" s="7">
        <f>0</f>
        <v>0</v>
      </c>
      <c r="DA2730" s="7">
        <f>0</f>
        <v>0</v>
      </c>
      <c r="DC2730" s="5" t="s">
        <v>309</v>
      </c>
      <c r="DD2730" s="5" t="s">
        <v>240</v>
      </c>
      <c r="DF2730" s="5" t="s">
        <v>309</v>
      </c>
      <c r="DG2730" s="7">
        <f>662</f>
        <v>662</v>
      </c>
      <c r="DI2730" s="5" t="s">
        <v>240</v>
      </c>
      <c r="DJ2730" s="5" t="s">
        <v>240</v>
      </c>
      <c r="DK2730" s="5" t="s">
        <v>240</v>
      </c>
      <c r="DL2730" s="5" t="s">
        <v>240</v>
      </c>
      <c r="DP2730" s="5" t="s">
        <v>240</v>
      </c>
      <c r="DQ2730" s="5" t="s">
        <v>240</v>
      </c>
      <c r="DR2730" s="5" t="s">
        <v>240</v>
      </c>
      <c r="DS2730" s="5" t="s">
        <v>240</v>
      </c>
      <c r="DV2730" s="5" t="s">
        <v>310</v>
      </c>
      <c r="DW2730" s="5" t="s">
        <v>4869</v>
      </c>
      <c r="HO2730" s="5" t="s">
        <v>312</v>
      </c>
    </row>
    <row r="2731" spans="1:223" x14ac:dyDescent="0.4">
      <c r="A2731" s="5">
        <v>4435</v>
      </c>
      <c r="B2731" s="5">
        <v>1</v>
      </c>
      <c r="C2731" s="5">
        <v>1</v>
      </c>
      <c r="D2731" s="5" t="s">
        <v>810</v>
      </c>
      <c r="E2731" s="5" t="s">
        <v>245</v>
      </c>
      <c r="F2731" s="5" t="s">
        <v>254</v>
      </c>
      <c r="G2731" s="5" t="s">
        <v>240</v>
      </c>
      <c r="H2731" s="6" t="s">
        <v>3081</v>
      </c>
      <c r="I2731" s="5" t="s">
        <v>809</v>
      </c>
      <c r="J2731" s="8">
        <f>129</f>
        <v>129</v>
      </c>
      <c r="K2731" s="5" t="s">
        <v>308</v>
      </c>
      <c r="L2731" s="7">
        <f>1</f>
        <v>1</v>
      </c>
      <c r="M2731" s="7">
        <f>1</f>
        <v>1</v>
      </c>
      <c r="N2731" s="5" t="s">
        <v>242</v>
      </c>
      <c r="O2731" s="5">
        <v>1</v>
      </c>
      <c r="P2731" s="5" t="s">
        <v>294</v>
      </c>
      <c r="Q2731" s="5" t="s">
        <v>266</v>
      </c>
      <c r="R2731" s="5" t="s">
        <v>240</v>
      </c>
      <c r="S2731" s="5" t="s">
        <v>240</v>
      </c>
      <c r="T2731" s="5" t="s">
        <v>296</v>
      </c>
      <c r="U2731" s="5" t="s">
        <v>244</v>
      </c>
      <c r="V2731" s="5" t="s">
        <v>240</v>
      </c>
      <c r="Y2731" s="5" t="s">
        <v>240</v>
      </c>
      <c r="Z2731" s="6" t="s">
        <v>298</v>
      </c>
      <c r="AB2731" s="6" t="s">
        <v>240</v>
      </c>
      <c r="AE2731" s="6" t="s">
        <v>299</v>
      </c>
      <c r="AF2731" s="5" t="s">
        <v>248</v>
      </c>
      <c r="AG2731" s="5" t="s">
        <v>249</v>
      </c>
      <c r="AW2731" s="5" t="s">
        <v>251</v>
      </c>
      <c r="AX2731" s="5" t="s">
        <v>240</v>
      </c>
      <c r="AY2731" s="5" t="s">
        <v>253</v>
      </c>
      <c r="AZ2731" s="5" t="s">
        <v>240</v>
      </c>
      <c r="BA2731" s="5" t="s">
        <v>255</v>
      </c>
      <c r="BB2731" s="5" t="s">
        <v>240</v>
      </c>
      <c r="BD2731" s="5" t="s">
        <v>240</v>
      </c>
      <c r="BF2731" s="5" t="s">
        <v>301</v>
      </c>
      <c r="BG2731" s="6" t="s">
        <v>299</v>
      </c>
      <c r="BH2731" s="5" t="s">
        <v>302</v>
      </c>
      <c r="BI2731" s="5" t="s">
        <v>303</v>
      </c>
      <c r="BJ2731" s="5" t="s">
        <v>240</v>
      </c>
      <c r="BK2731" s="8">
        <f>0</f>
        <v>0</v>
      </c>
      <c r="BL2731" s="7">
        <f>0</f>
        <v>0</v>
      </c>
      <c r="BM2731" s="5" t="s">
        <v>258</v>
      </c>
      <c r="BN2731" s="5" t="s">
        <v>259</v>
      </c>
      <c r="CB2731" s="5" t="s">
        <v>240</v>
      </c>
      <c r="CC2731" s="5" t="s">
        <v>240</v>
      </c>
      <c r="CG2731" s="5" t="s">
        <v>304</v>
      </c>
      <c r="CH2731" s="5" t="s">
        <v>305</v>
      </c>
      <c r="CI2731" s="5" t="s">
        <v>240</v>
      </c>
      <c r="CL2731" s="6" t="s">
        <v>261</v>
      </c>
      <c r="CM2731" s="5" t="s">
        <v>240</v>
      </c>
      <c r="CN2731" s="5" t="s">
        <v>263</v>
      </c>
      <c r="CO2731" s="5" t="s">
        <v>240</v>
      </c>
      <c r="CP2731" s="5" t="s">
        <v>240</v>
      </c>
      <c r="CQ2731" s="5">
        <v>0</v>
      </c>
      <c r="CR2731" s="5" t="s">
        <v>306</v>
      </c>
      <c r="CS2731" s="5" t="s">
        <v>307</v>
      </c>
      <c r="CT2731" s="5" t="s">
        <v>307</v>
      </c>
      <c r="CU2731" s="5" t="s">
        <v>260</v>
      </c>
      <c r="CX2731" s="7">
        <f>1</f>
        <v>1</v>
      </c>
      <c r="CY2731" s="7">
        <f>0</f>
        <v>0</v>
      </c>
      <c r="DA2731" s="7">
        <f>0</f>
        <v>0</v>
      </c>
      <c r="DC2731" s="5" t="s">
        <v>309</v>
      </c>
      <c r="DD2731" s="5" t="s">
        <v>240</v>
      </c>
      <c r="DF2731" s="5" t="s">
        <v>309</v>
      </c>
      <c r="DG2731" s="7">
        <f>724</f>
        <v>724</v>
      </c>
      <c r="DI2731" s="5" t="s">
        <v>240</v>
      </c>
      <c r="DJ2731" s="5" t="s">
        <v>240</v>
      </c>
      <c r="DK2731" s="5" t="s">
        <v>240</v>
      </c>
      <c r="DL2731" s="5" t="s">
        <v>240</v>
      </c>
      <c r="DP2731" s="5" t="s">
        <v>240</v>
      </c>
      <c r="DQ2731" s="5" t="s">
        <v>240</v>
      </c>
      <c r="DR2731" s="5" t="s">
        <v>240</v>
      </c>
      <c r="DS2731" s="5" t="s">
        <v>240</v>
      </c>
      <c r="DV2731" s="5" t="s">
        <v>310</v>
      </c>
      <c r="DW2731" s="5" t="s">
        <v>3515</v>
      </c>
      <c r="HO2731" s="5" t="s">
        <v>312</v>
      </c>
    </row>
    <row r="2732" spans="1:223" x14ac:dyDescent="0.4">
      <c r="A2732" s="5">
        <v>4436</v>
      </c>
      <c r="B2732" s="5">
        <v>1</v>
      </c>
      <c r="C2732" s="5">
        <v>1</v>
      </c>
      <c r="D2732" s="5" t="s">
        <v>810</v>
      </c>
      <c r="E2732" s="5" t="s">
        <v>245</v>
      </c>
      <c r="F2732" s="5" t="s">
        <v>254</v>
      </c>
      <c r="G2732" s="5" t="s">
        <v>240</v>
      </c>
      <c r="H2732" s="6" t="s">
        <v>3079</v>
      </c>
      <c r="I2732" s="5" t="s">
        <v>809</v>
      </c>
      <c r="J2732" s="8">
        <f>269</f>
        <v>269</v>
      </c>
      <c r="K2732" s="5" t="s">
        <v>308</v>
      </c>
      <c r="L2732" s="7">
        <f>1</f>
        <v>1</v>
      </c>
      <c r="M2732" s="7">
        <f>1</f>
        <v>1</v>
      </c>
      <c r="N2732" s="5" t="s">
        <v>242</v>
      </c>
      <c r="O2732" s="5">
        <v>1</v>
      </c>
      <c r="P2732" s="5" t="s">
        <v>294</v>
      </c>
      <c r="Q2732" s="5" t="s">
        <v>266</v>
      </c>
      <c r="R2732" s="5" t="s">
        <v>240</v>
      </c>
      <c r="S2732" s="5" t="s">
        <v>240</v>
      </c>
      <c r="T2732" s="5" t="s">
        <v>296</v>
      </c>
      <c r="U2732" s="5" t="s">
        <v>244</v>
      </c>
      <c r="V2732" s="5" t="s">
        <v>240</v>
      </c>
      <c r="Y2732" s="5" t="s">
        <v>240</v>
      </c>
      <c r="Z2732" s="6" t="s">
        <v>298</v>
      </c>
      <c r="AB2732" s="6" t="s">
        <v>240</v>
      </c>
      <c r="AE2732" s="6" t="s">
        <v>299</v>
      </c>
      <c r="AF2732" s="5" t="s">
        <v>248</v>
      </c>
      <c r="AG2732" s="5" t="s">
        <v>249</v>
      </c>
      <c r="AW2732" s="5" t="s">
        <v>251</v>
      </c>
      <c r="AX2732" s="5" t="s">
        <v>240</v>
      </c>
      <c r="AY2732" s="5" t="s">
        <v>253</v>
      </c>
      <c r="AZ2732" s="5" t="s">
        <v>240</v>
      </c>
      <c r="BA2732" s="5" t="s">
        <v>255</v>
      </c>
      <c r="BB2732" s="5" t="s">
        <v>240</v>
      </c>
      <c r="BD2732" s="5" t="s">
        <v>240</v>
      </c>
      <c r="BF2732" s="5" t="s">
        <v>301</v>
      </c>
      <c r="BG2732" s="6" t="s">
        <v>299</v>
      </c>
      <c r="BH2732" s="5" t="s">
        <v>302</v>
      </c>
      <c r="BI2732" s="5" t="s">
        <v>303</v>
      </c>
      <c r="BJ2732" s="5" t="s">
        <v>240</v>
      </c>
      <c r="BK2732" s="8">
        <f>0</f>
        <v>0</v>
      </c>
      <c r="BL2732" s="7">
        <f>0</f>
        <v>0</v>
      </c>
      <c r="BM2732" s="5" t="s">
        <v>258</v>
      </c>
      <c r="BN2732" s="5" t="s">
        <v>259</v>
      </c>
      <c r="CB2732" s="5" t="s">
        <v>240</v>
      </c>
      <c r="CC2732" s="5" t="s">
        <v>240</v>
      </c>
      <c r="CG2732" s="5" t="s">
        <v>304</v>
      </c>
      <c r="CH2732" s="5" t="s">
        <v>305</v>
      </c>
      <c r="CI2732" s="5" t="s">
        <v>240</v>
      </c>
      <c r="CL2732" s="6" t="s">
        <v>261</v>
      </c>
      <c r="CM2732" s="5" t="s">
        <v>240</v>
      </c>
      <c r="CN2732" s="5" t="s">
        <v>263</v>
      </c>
      <c r="CO2732" s="5" t="s">
        <v>240</v>
      </c>
      <c r="CP2732" s="5" t="s">
        <v>240</v>
      </c>
      <c r="CQ2732" s="5">
        <v>0</v>
      </c>
      <c r="CR2732" s="5" t="s">
        <v>306</v>
      </c>
      <c r="CS2732" s="5" t="s">
        <v>307</v>
      </c>
      <c r="CT2732" s="5" t="s">
        <v>307</v>
      </c>
      <c r="CU2732" s="5" t="s">
        <v>260</v>
      </c>
      <c r="CX2732" s="7">
        <f>1</f>
        <v>1</v>
      </c>
      <c r="CY2732" s="7">
        <f>0</f>
        <v>0</v>
      </c>
      <c r="DA2732" s="7">
        <f>0</f>
        <v>0</v>
      </c>
      <c r="DC2732" s="5" t="s">
        <v>309</v>
      </c>
      <c r="DD2732" s="5" t="s">
        <v>240</v>
      </c>
      <c r="DF2732" s="5" t="s">
        <v>309</v>
      </c>
      <c r="DG2732" s="7">
        <f>3543</f>
        <v>3543</v>
      </c>
      <c r="DI2732" s="5" t="s">
        <v>240</v>
      </c>
      <c r="DJ2732" s="5" t="s">
        <v>240</v>
      </c>
      <c r="DK2732" s="5" t="s">
        <v>240</v>
      </c>
      <c r="DL2732" s="5" t="s">
        <v>240</v>
      </c>
      <c r="DP2732" s="5" t="s">
        <v>240</v>
      </c>
      <c r="DQ2732" s="5" t="s">
        <v>240</v>
      </c>
      <c r="DR2732" s="5" t="s">
        <v>240</v>
      </c>
      <c r="DS2732" s="5" t="s">
        <v>240</v>
      </c>
      <c r="DV2732" s="5" t="s">
        <v>310</v>
      </c>
      <c r="DW2732" s="5" t="s">
        <v>3517</v>
      </c>
      <c r="HO2732" s="5" t="s">
        <v>312</v>
      </c>
    </row>
    <row r="2733" spans="1:223" x14ac:dyDescent="0.4">
      <c r="A2733" s="5">
        <v>4437</v>
      </c>
      <c r="B2733" s="5">
        <v>1</v>
      </c>
      <c r="C2733" s="5">
        <v>1</v>
      </c>
      <c r="D2733" s="5" t="s">
        <v>810</v>
      </c>
      <c r="E2733" s="5" t="s">
        <v>245</v>
      </c>
      <c r="F2733" s="5" t="s">
        <v>254</v>
      </c>
      <c r="G2733" s="5" t="s">
        <v>240</v>
      </c>
      <c r="H2733" s="6" t="s">
        <v>3077</v>
      </c>
      <c r="I2733" s="5" t="s">
        <v>809</v>
      </c>
      <c r="J2733" s="8">
        <f>930</f>
        <v>930</v>
      </c>
      <c r="K2733" s="5" t="s">
        <v>308</v>
      </c>
      <c r="L2733" s="7">
        <f>1</f>
        <v>1</v>
      </c>
      <c r="M2733" s="7">
        <f>1</f>
        <v>1</v>
      </c>
      <c r="N2733" s="5" t="s">
        <v>242</v>
      </c>
      <c r="O2733" s="5">
        <v>1</v>
      </c>
      <c r="P2733" s="5" t="s">
        <v>294</v>
      </c>
      <c r="Q2733" s="5" t="s">
        <v>266</v>
      </c>
      <c r="R2733" s="5" t="s">
        <v>240</v>
      </c>
      <c r="S2733" s="5" t="s">
        <v>240</v>
      </c>
      <c r="T2733" s="5" t="s">
        <v>296</v>
      </c>
      <c r="U2733" s="5" t="s">
        <v>244</v>
      </c>
      <c r="V2733" s="5" t="s">
        <v>240</v>
      </c>
      <c r="Y2733" s="5" t="s">
        <v>240</v>
      </c>
      <c r="Z2733" s="6" t="s">
        <v>298</v>
      </c>
      <c r="AB2733" s="6" t="s">
        <v>240</v>
      </c>
      <c r="AE2733" s="6" t="s">
        <v>299</v>
      </c>
      <c r="AF2733" s="5" t="s">
        <v>248</v>
      </c>
      <c r="AG2733" s="5" t="s">
        <v>249</v>
      </c>
      <c r="AW2733" s="5" t="s">
        <v>251</v>
      </c>
      <c r="AX2733" s="5" t="s">
        <v>240</v>
      </c>
      <c r="AY2733" s="5" t="s">
        <v>253</v>
      </c>
      <c r="AZ2733" s="5" t="s">
        <v>240</v>
      </c>
      <c r="BA2733" s="5" t="s">
        <v>255</v>
      </c>
      <c r="BB2733" s="5" t="s">
        <v>240</v>
      </c>
      <c r="BD2733" s="5" t="s">
        <v>240</v>
      </c>
      <c r="BF2733" s="5" t="s">
        <v>301</v>
      </c>
      <c r="BG2733" s="6" t="s">
        <v>299</v>
      </c>
      <c r="BH2733" s="5" t="s">
        <v>302</v>
      </c>
      <c r="BI2733" s="5" t="s">
        <v>303</v>
      </c>
      <c r="BJ2733" s="5" t="s">
        <v>240</v>
      </c>
      <c r="BK2733" s="8">
        <f>0</f>
        <v>0</v>
      </c>
      <c r="BL2733" s="7">
        <f>0</f>
        <v>0</v>
      </c>
      <c r="BM2733" s="5" t="s">
        <v>258</v>
      </c>
      <c r="BN2733" s="5" t="s">
        <v>259</v>
      </c>
      <c r="CB2733" s="5" t="s">
        <v>240</v>
      </c>
      <c r="CC2733" s="5" t="s">
        <v>240</v>
      </c>
      <c r="CG2733" s="5" t="s">
        <v>304</v>
      </c>
      <c r="CH2733" s="5" t="s">
        <v>305</v>
      </c>
      <c r="CI2733" s="5" t="s">
        <v>240</v>
      </c>
      <c r="CL2733" s="6" t="s">
        <v>261</v>
      </c>
      <c r="CM2733" s="5" t="s">
        <v>240</v>
      </c>
      <c r="CN2733" s="5" t="s">
        <v>263</v>
      </c>
      <c r="CO2733" s="5" t="s">
        <v>240</v>
      </c>
      <c r="CP2733" s="5" t="s">
        <v>240</v>
      </c>
      <c r="CQ2733" s="5">
        <v>0</v>
      </c>
      <c r="CR2733" s="5" t="s">
        <v>306</v>
      </c>
      <c r="CS2733" s="5" t="s">
        <v>307</v>
      </c>
      <c r="CT2733" s="5" t="s">
        <v>307</v>
      </c>
      <c r="CU2733" s="5" t="s">
        <v>260</v>
      </c>
      <c r="CX2733" s="7">
        <f>1</f>
        <v>1</v>
      </c>
      <c r="CY2733" s="7">
        <f>0</f>
        <v>0</v>
      </c>
      <c r="DA2733" s="7">
        <f>0</f>
        <v>0</v>
      </c>
      <c r="DC2733" s="5" t="s">
        <v>309</v>
      </c>
      <c r="DD2733" s="5" t="s">
        <v>240</v>
      </c>
      <c r="DF2733" s="5" t="s">
        <v>309</v>
      </c>
      <c r="DG2733" s="7">
        <f>1355</f>
        <v>1355</v>
      </c>
      <c r="DI2733" s="5" t="s">
        <v>240</v>
      </c>
      <c r="DJ2733" s="5" t="s">
        <v>240</v>
      </c>
      <c r="DK2733" s="5" t="s">
        <v>240</v>
      </c>
      <c r="DL2733" s="5" t="s">
        <v>240</v>
      </c>
      <c r="DP2733" s="5" t="s">
        <v>240</v>
      </c>
      <c r="DQ2733" s="5" t="s">
        <v>240</v>
      </c>
      <c r="DR2733" s="5" t="s">
        <v>240</v>
      </c>
      <c r="DS2733" s="5" t="s">
        <v>240</v>
      </c>
      <c r="DV2733" s="5" t="s">
        <v>310</v>
      </c>
      <c r="DW2733" s="5" t="s">
        <v>3519</v>
      </c>
      <c r="HO2733" s="5" t="s">
        <v>312</v>
      </c>
    </row>
    <row r="2734" spans="1:223" x14ac:dyDescent="0.4">
      <c r="A2734" s="5">
        <v>4438</v>
      </c>
      <c r="B2734" s="5">
        <v>1</v>
      </c>
      <c r="C2734" s="5">
        <v>1</v>
      </c>
      <c r="D2734" s="5" t="s">
        <v>810</v>
      </c>
      <c r="E2734" s="5" t="s">
        <v>245</v>
      </c>
      <c r="F2734" s="5" t="s">
        <v>254</v>
      </c>
      <c r="G2734" s="5" t="s">
        <v>240</v>
      </c>
      <c r="H2734" s="6" t="s">
        <v>3075</v>
      </c>
      <c r="I2734" s="5" t="s">
        <v>809</v>
      </c>
      <c r="J2734" s="8">
        <f>2084</f>
        <v>2084</v>
      </c>
      <c r="K2734" s="5" t="s">
        <v>308</v>
      </c>
      <c r="L2734" s="7">
        <f>1</f>
        <v>1</v>
      </c>
      <c r="M2734" s="7">
        <f>1</f>
        <v>1</v>
      </c>
      <c r="N2734" s="5" t="s">
        <v>242</v>
      </c>
      <c r="O2734" s="5">
        <v>1</v>
      </c>
      <c r="P2734" s="5" t="s">
        <v>294</v>
      </c>
      <c r="Q2734" s="5" t="s">
        <v>266</v>
      </c>
      <c r="R2734" s="5" t="s">
        <v>240</v>
      </c>
      <c r="S2734" s="5" t="s">
        <v>240</v>
      </c>
      <c r="T2734" s="5" t="s">
        <v>296</v>
      </c>
      <c r="U2734" s="5" t="s">
        <v>244</v>
      </c>
      <c r="V2734" s="5" t="s">
        <v>240</v>
      </c>
      <c r="Y2734" s="5" t="s">
        <v>240</v>
      </c>
      <c r="Z2734" s="6" t="s">
        <v>298</v>
      </c>
      <c r="AB2734" s="6" t="s">
        <v>240</v>
      </c>
      <c r="AE2734" s="6" t="s">
        <v>299</v>
      </c>
      <c r="AF2734" s="5" t="s">
        <v>248</v>
      </c>
      <c r="AG2734" s="5" t="s">
        <v>249</v>
      </c>
      <c r="AW2734" s="5" t="s">
        <v>251</v>
      </c>
      <c r="AX2734" s="5" t="s">
        <v>240</v>
      </c>
      <c r="AY2734" s="5" t="s">
        <v>253</v>
      </c>
      <c r="AZ2734" s="5" t="s">
        <v>240</v>
      </c>
      <c r="BA2734" s="5" t="s">
        <v>255</v>
      </c>
      <c r="BB2734" s="5" t="s">
        <v>240</v>
      </c>
      <c r="BD2734" s="5" t="s">
        <v>240</v>
      </c>
      <c r="BF2734" s="5" t="s">
        <v>301</v>
      </c>
      <c r="BG2734" s="6" t="s">
        <v>299</v>
      </c>
      <c r="BH2734" s="5" t="s">
        <v>302</v>
      </c>
      <c r="BI2734" s="5" t="s">
        <v>303</v>
      </c>
      <c r="BJ2734" s="5" t="s">
        <v>240</v>
      </c>
      <c r="BK2734" s="8">
        <f>0</f>
        <v>0</v>
      </c>
      <c r="BL2734" s="7">
        <f>0</f>
        <v>0</v>
      </c>
      <c r="BM2734" s="5" t="s">
        <v>258</v>
      </c>
      <c r="BN2734" s="5" t="s">
        <v>259</v>
      </c>
      <c r="CB2734" s="5" t="s">
        <v>240</v>
      </c>
      <c r="CC2734" s="5" t="s">
        <v>240</v>
      </c>
      <c r="CG2734" s="5" t="s">
        <v>304</v>
      </c>
      <c r="CH2734" s="5" t="s">
        <v>305</v>
      </c>
      <c r="CI2734" s="5" t="s">
        <v>240</v>
      </c>
      <c r="CL2734" s="6" t="s">
        <v>261</v>
      </c>
      <c r="CM2734" s="5" t="s">
        <v>240</v>
      </c>
      <c r="CN2734" s="5" t="s">
        <v>263</v>
      </c>
      <c r="CO2734" s="5" t="s">
        <v>240</v>
      </c>
      <c r="CP2734" s="5" t="s">
        <v>240</v>
      </c>
      <c r="CQ2734" s="5">
        <v>0</v>
      </c>
      <c r="CR2734" s="5" t="s">
        <v>306</v>
      </c>
      <c r="CS2734" s="5" t="s">
        <v>307</v>
      </c>
      <c r="CT2734" s="5" t="s">
        <v>307</v>
      </c>
      <c r="CU2734" s="5" t="s">
        <v>260</v>
      </c>
      <c r="CX2734" s="7">
        <f>1</f>
        <v>1</v>
      </c>
      <c r="CY2734" s="7">
        <f>0</f>
        <v>0</v>
      </c>
      <c r="DA2734" s="7">
        <f>0</f>
        <v>0</v>
      </c>
      <c r="DC2734" s="5" t="s">
        <v>812</v>
      </c>
      <c r="DD2734" s="5" t="s">
        <v>240</v>
      </c>
      <c r="DF2734" s="5" t="s">
        <v>812</v>
      </c>
      <c r="DG2734" s="7">
        <f>1260</f>
        <v>1260</v>
      </c>
      <c r="DI2734" s="5" t="s">
        <v>240</v>
      </c>
      <c r="DJ2734" s="5" t="s">
        <v>240</v>
      </c>
      <c r="DK2734" s="5" t="s">
        <v>240</v>
      </c>
      <c r="DL2734" s="5" t="s">
        <v>240</v>
      </c>
      <c r="DP2734" s="5" t="s">
        <v>240</v>
      </c>
      <c r="DQ2734" s="5" t="s">
        <v>240</v>
      </c>
      <c r="DR2734" s="5" t="s">
        <v>240</v>
      </c>
      <c r="DS2734" s="5" t="s">
        <v>240</v>
      </c>
      <c r="DV2734" s="5" t="s">
        <v>813</v>
      </c>
      <c r="DW2734" s="5" t="s">
        <v>4874</v>
      </c>
      <c r="HO2734" s="5" t="s">
        <v>312</v>
      </c>
    </row>
    <row r="2735" spans="1:223" x14ac:dyDescent="0.4">
      <c r="A2735" s="5">
        <v>4439</v>
      </c>
      <c r="B2735" s="5">
        <v>1</v>
      </c>
      <c r="C2735" s="5">
        <v>1</v>
      </c>
      <c r="D2735" s="5" t="s">
        <v>810</v>
      </c>
      <c r="E2735" s="5" t="s">
        <v>245</v>
      </c>
      <c r="F2735" s="5" t="s">
        <v>254</v>
      </c>
      <c r="G2735" s="5" t="s">
        <v>240</v>
      </c>
      <c r="H2735" s="6" t="s">
        <v>3073</v>
      </c>
      <c r="I2735" s="5" t="s">
        <v>809</v>
      </c>
      <c r="J2735" s="8">
        <f>9.94</f>
        <v>9.94</v>
      </c>
      <c r="K2735" s="5" t="s">
        <v>308</v>
      </c>
      <c r="L2735" s="7">
        <f>1</f>
        <v>1</v>
      </c>
      <c r="M2735" s="7">
        <f>1</f>
        <v>1</v>
      </c>
      <c r="N2735" s="5" t="s">
        <v>242</v>
      </c>
      <c r="O2735" s="5">
        <v>1</v>
      </c>
      <c r="P2735" s="5" t="s">
        <v>294</v>
      </c>
      <c r="Q2735" s="5" t="s">
        <v>266</v>
      </c>
      <c r="R2735" s="5" t="s">
        <v>240</v>
      </c>
      <c r="S2735" s="5" t="s">
        <v>240</v>
      </c>
      <c r="T2735" s="5" t="s">
        <v>296</v>
      </c>
      <c r="U2735" s="5" t="s">
        <v>244</v>
      </c>
      <c r="V2735" s="5" t="s">
        <v>240</v>
      </c>
      <c r="Y2735" s="5" t="s">
        <v>240</v>
      </c>
      <c r="Z2735" s="6" t="s">
        <v>298</v>
      </c>
      <c r="AB2735" s="6" t="s">
        <v>240</v>
      </c>
      <c r="AE2735" s="6" t="s">
        <v>299</v>
      </c>
      <c r="AF2735" s="5" t="s">
        <v>248</v>
      </c>
      <c r="AG2735" s="5" t="s">
        <v>249</v>
      </c>
      <c r="AW2735" s="5" t="s">
        <v>251</v>
      </c>
      <c r="AX2735" s="5" t="s">
        <v>240</v>
      </c>
      <c r="AY2735" s="5" t="s">
        <v>253</v>
      </c>
      <c r="AZ2735" s="5" t="s">
        <v>240</v>
      </c>
      <c r="BA2735" s="5" t="s">
        <v>255</v>
      </c>
      <c r="BB2735" s="5" t="s">
        <v>240</v>
      </c>
      <c r="BD2735" s="5" t="s">
        <v>240</v>
      </c>
      <c r="BF2735" s="5" t="s">
        <v>301</v>
      </c>
      <c r="BG2735" s="6" t="s">
        <v>299</v>
      </c>
      <c r="BH2735" s="5" t="s">
        <v>302</v>
      </c>
      <c r="BI2735" s="5" t="s">
        <v>303</v>
      </c>
      <c r="BJ2735" s="5" t="s">
        <v>240</v>
      </c>
      <c r="BK2735" s="8">
        <f>0</f>
        <v>0</v>
      </c>
      <c r="BL2735" s="7">
        <f>0</f>
        <v>0</v>
      </c>
      <c r="BM2735" s="5" t="s">
        <v>258</v>
      </c>
      <c r="BN2735" s="5" t="s">
        <v>259</v>
      </c>
      <c r="CB2735" s="5" t="s">
        <v>240</v>
      </c>
      <c r="CC2735" s="5" t="s">
        <v>240</v>
      </c>
      <c r="CG2735" s="5" t="s">
        <v>304</v>
      </c>
      <c r="CH2735" s="5" t="s">
        <v>305</v>
      </c>
      <c r="CI2735" s="5" t="s">
        <v>240</v>
      </c>
      <c r="CL2735" s="6" t="s">
        <v>261</v>
      </c>
      <c r="CM2735" s="5" t="s">
        <v>240</v>
      </c>
      <c r="CN2735" s="5" t="s">
        <v>263</v>
      </c>
      <c r="CO2735" s="5" t="s">
        <v>240</v>
      </c>
      <c r="CP2735" s="5" t="s">
        <v>240</v>
      </c>
      <c r="CQ2735" s="5">
        <v>0</v>
      </c>
      <c r="CR2735" s="5" t="s">
        <v>306</v>
      </c>
      <c r="CS2735" s="5" t="s">
        <v>307</v>
      </c>
      <c r="CT2735" s="5" t="s">
        <v>307</v>
      </c>
      <c r="CU2735" s="5" t="s">
        <v>260</v>
      </c>
      <c r="CX2735" s="7">
        <f>1</f>
        <v>1</v>
      </c>
      <c r="CY2735" s="7">
        <f>0</f>
        <v>0</v>
      </c>
      <c r="DA2735" s="7">
        <f>0</f>
        <v>0</v>
      </c>
      <c r="DC2735" s="5" t="s">
        <v>309</v>
      </c>
      <c r="DD2735" s="5" t="s">
        <v>240</v>
      </c>
      <c r="DF2735" s="5" t="s">
        <v>309</v>
      </c>
      <c r="DG2735" s="7">
        <f>1979</f>
        <v>1979</v>
      </c>
      <c r="DI2735" s="5" t="s">
        <v>240</v>
      </c>
      <c r="DJ2735" s="5" t="s">
        <v>240</v>
      </c>
      <c r="DK2735" s="5" t="s">
        <v>240</v>
      </c>
      <c r="DL2735" s="5" t="s">
        <v>240</v>
      </c>
      <c r="DP2735" s="5" t="s">
        <v>240</v>
      </c>
      <c r="DQ2735" s="5" t="s">
        <v>240</v>
      </c>
      <c r="DR2735" s="5" t="s">
        <v>240</v>
      </c>
      <c r="DS2735" s="5" t="s">
        <v>240</v>
      </c>
      <c r="DV2735" s="5" t="s">
        <v>310</v>
      </c>
      <c r="DW2735" s="5" t="s">
        <v>3522</v>
      </c>
      <c r="HO2735" s="5" t="s">
        <v>312</v>
      </c>
    </row>
    <row r="2736" spans="1:223" x14ac:dyDescent="0.4">
      <c r="A2736" s="5">
        <v>4440</v>
      </c>
      <c r="B2736" s="5">
        <v>1</v>
      </c>
      <c r="C2736" s="5">
        <v>1</v>
      </c>
      <c r="D2736" s="5" t="s">
        <v>810</v>
      </c>
      <c r="E2736" s="5" t="s">
        <v>245</v>
      </c>
      <c r="F2736" s="5" t="s">
        <v>254</v>
      </c>
      <c r="G2736" s="5" t="s">
        <v>240</v>
      </c>
      <c r="H2736" s="6" t="s">
        <v>3071</v>
      </c>
      <c r="I2736" s="5" t="s">
        <v>809</v>
      </c>
      <c r="J2736" s="8">
        <f>95</f>
        <v>95</v>
      </c>
      <c r="K2736" s="5" t="s">
        <v>308</v>
      </c>
      <c r="L2736" s="7">
        <f>1</f>
        <v>1</v>
      </c>
      <c r="M2736" s="7">
        <f>1</f>
        <v>1</v>
      </c>
      <c r="N2736" s="5" t="s">
        <v>242</v>
      </c>
      <c r="O2736" s="5">
        <v>1</v>
      </c>
      <c r="P2736" s="5" t="s">
        <v>294</v>
      </c>
      <c r="Q2736" s="5" t="s">
        <v>266</v>
      </c>
      <c r="R2736" s="5" t="s">
        <v>240</v>
      </c>
      <c r="S2736" s="5" t="s">
        <v>240</v>
      </c>
      <c r="T2736" s="5" t="s">
        <v>296</v>
      </c>
      <c r="U2736" s="5" t="s">
        <v>244</v>
      </c>
      <c r="V2736" s="5" t="s">
        <v>240</v>
      </c>
      <c r="Y2736" s="5" t="s">
        <v>240</v>
      </c>
      <c r="Z2736" s="6" t="s">
        <v>298</v>
      </c>
      <c r="AB2736" s="6" t="s">
        <v>240</v>
      </c>
      <c r="AE2736" s="6" t="s">
        <v>299</v>
      </c>
      <c r="AF2736" s="5" t="s">
        <v>248</v>
      </c>
      <c r="AG2736" s="5" t="s">
        <v>249</v>
      </c>
      <c r="AW2736" s="5" t="s">
        <v>251</v>
      </c>
      <c r="AX2736" s="5" t="s">
        <v>240</v>
      </c>
      <c r="AY2736" s="5" t="s">
        <v>253</v>
      </c>
      <c r="AZ2736" s="5" t="s">
        <v>240</v>
      </c>
      <c r="BA2736" s="5" t="s">
        <v>255</v>
      </c>
      <c r="BB2736" s="5" t="s">
        <v>240</v>
      </c>
      <c r="BD2736" s="5" t="s">
        <v>240</v>
      </c>
      <c r="BF2736" s="5" t="s">
        <v>301</v>
      </c>
      <c r="BG2736" s="6" t="s">
        <v>299</v>
      </c>
      <c r="BH2736" s="5" t="s">
        <v>302</v>
      </c>
      <c r="BI2736" s="5" t="s">
        <v>303</v>
      </c>
      <c r="BJ2736" s="5" t="s">
        <v>240</v>
      </c>
      <c r="BK2736" s="8">
        <f>0</f>
        <v>0</v>
      </c>
      <c r="BL2736" s="7">
        <f>0</f>
        <v>0</v>
      </c>
      <c r="BM2736" s="5" t="s">
        <v>258</v>
      </c>
      <c r="BN2736" s="5" t="s">
        <v>259</v>
      </c>
      <c r="CB2736" s="5" t="s">
        <v>240</v>
      </c>
      <c r="CC2736" s="5" t="s">
        <v>240</v>
      </c>
      <c r="CG2736" s="5" t="s">
        <v>304</v>
      </c>
      <c r="CH2736" s="5" t="s">
        <v>305</v>
      </c>
      <c r="CI2736" s="5" t="s">
        <v>240</v>
      </c>
      <c r="CL2736" s="6" t="s">
        <v>261</v>
      </c>
      <c r="CM2736" s="5" t="s">
        <v>240</v>
      </c>
      <c r="CN2736" s="5" t="s">
        <v>263</v>
      </c>
      <c r="CO2736" s="5" t="s">
        <v>240</v>
      </c>
      <c r="CP2736" s="5" t="s">
        <v>240</v>
      </c>
      <c r="CQ2736" s="5">
        <v>0</v>
      </c>
      <c r="CR2736" s="5" t="s">
        <v>306</v>
      </c>
      <c r="CS2736" s="5" t="s">
        <v>307</v>
      </c>
      <c r="CT2736" s="5" t="s">
        <v>307</v>
      </c>
      <c r="CU2736" s="5" t="s">
        <v>260</v>
      </c>
      <c r="CX2736" s="7">
        <f>1</f>
        <v>1</v>
      </c>
      <c r="CY2736" s="7">
        <f>0</f>
        <v>0</v>
      </c>
      <c r="DA2736" s="7">
        <f>0</f>
        <v>0</v>
      </c>
      <c r="DC2736" s="5" t="s">
        <v>309</v>
      </c>
      <c r="DD2736" s="5" t="s">
        <v>240</v>
      </c>
      <c r="DF2736" s="5" t="s">
        <v>309</v>
      </c>
      <c r="DG2736" s="7">
        <f>5345</f>
        <v>5345</v>
      </c>
      <c r="DI2736" s="5" t="s">
        <v>240</v>
      </c>
      <c r="DJ2736" s="5" t="s">
        <v>240</v>
      </c>
      <c r="DK2736" s="5" t="s">
        <v>240</v>
      </c>
      <c r="DL2736" s="5" t="s">
        <v>240</v>
      </c>
      <c r="DP2736" s="5" t="s">
        <v>240</v>
      </c>
      <c r="DQ2736" s="5" t="s">
        <v>240</v>
      </c>
      <c r="DR2736" s="5" t="s">
        <v>240</v>
      </c>
      <c r="DS2736" s="5" t="s">
        <v>240</v>
      </c>
      <c r="DV2736" s="5" t="s">
        <v>310</v>
      </c>
      <c r="DW2736" s="5" t="s">
        <v>3524</v>
      </c>
      <c r="HO2736" s="5" t="s">
        <v>312</v>
      </c>
    </row>
    <row r="2737" spans="1:223" x14ac:dyDescent="0.4">
      <c r="A2737" s="5">
        <v>4441</v>
      </c>
      <c r="B2737" s="5">
        <v>1</v>
      </c>
      <c r="C2737" s="5">
        <v>1</v>
      </c>
      <c r="D2737" s="5" t="s">
        <v>810</v>
      </c>
      <c r="E2737" s="5" t="s">
        <v>245</v>
      </c>
      <c r="F2737" s="5" t="s">
        <v>254</v>
      </c>
      <c r="G2737" s="5" t="s">
        <v>240</v>
      </c>
      <c r="H2737" s="6" t="s">
        <v>3069</v>
      </c>
      <c r="I2737" s="5" t="s">
        <v>809</v>
      </c>
      <c r="J2737" s="8">
        <f>1880</f>
        <v>1880</v>
      </c>
      <c r="K2737" s="5" t="s">
        <v>308</v>
      </c>
      <c r="L2737" s="7">
        <f>1</f>
        <v>1</v>
      </c>
      <c r="M2737" s="7">
        <f>1</f>
        <v>1</v>
      </c>
      <c r="N2737" s="5" t="s">
        <v>242</v>
      </c>
      <c r="O2737" s="5">
        <v>1</v>
      </c>
      <c r="P2737" s="5" t="s">
        <v>294</v>
      </c>
      <c r="Q2737" s="5" t="s">
        <v>266</v>
      </c>
      <c r="R2737" s="5" t="s">
        <v>240</v>
      </c>
      <c r="S2737" s="5" t="s">
        <v>240</v>
      </c>
      <c r="T2737" s="5" t="s">
        <v>296</v>
      </c>
      <c r="U2737" s="5" t="s">
        <v>244</v>
      </c>
      <c r="V2737" s="5" t="s">
        <v>240</v>
      </c>
      <c r="Y2737" s="5" t="s">
        <v>240</v>
      </c>
      <c r="Z2737" s="6" t="s">
        <v>298</v>
      </c>
      <c r="AB2737" s="6" t="s">
        <v>240</v>
      </c>
      <c r="AE2737" s="6" t="s">
        <v>299</v>
      </c>
      <c r="AF2737" s="5" t="s">
        <v>248</v>
      </c>
      <c r="AG2737" s="5" t="s">
        <v>249</v>
      </c>
      <c r="AW2737" s="5" t="s">
        <v>251</v>
      </c>
      <c r="AX2737" s="5" t="s">
        <v>240</v>
      </c>
      <c r="AY2737" s="5" t="s">
        <v>253</v>
      </c>
      <c r="AZ2737" s="5" t="s">
        <v>240</v>
      </c>
      <c r="BA2737" s="5" t="s">
        <v>255</v>
      </c>
      <c r="BB2737" s="5" t="s">
        <v>240</v>
      </c>
      <c r="BD2737" s="5" t="s">
        <v>240</v>
      </c>
      <c r="BF2737" s="5" t="s">
        <v>301</v>
      </c>
      <c r="BG2737" s="6" t="s">
        <v>299</v>
      </c>
      <c r="BH2737" s="5" t="s">
        <v>302</v>
      </c>
      <c r="BI2737" s="5" t="s">
        <v>303</v>
      </c>
      <c r="BJ2737" s="5" t="s">
        <v>240</v>
      </c>
      <c r="BK2737" s="8">
        <f>0</f>
        <v>0</v>
      </c>
      <c r="BL2737" s="7">
        <f>0</f>
        <v>0</v>
      </c>
      <c r="BM2737" s="5" t="s">
        <v>258</v>
      </c>
      <c r="BN2737" s="5" t="s">
        <v>259</v>
      </c>
      <c r="CB2737" s="5" t="s">
        <v>240</v>
      </c>
      <c r="CC2737" s="5" t="s">
        <v>240</v>
      </c>
      <c r="CG2737" s="5" t="s">
        <v>304</v>
      </c>
      <c r="CH2737" s="5" t="s">
        <v>305</v>
      </c>
      <c r="CI2737" s="5" t="s">
        <v>240</v>
      </c>
      <c r="CL2737" s="6" t="s">
        <v>261</v>
      </c>
      <c r="CM2737" s="5" t="s">
        <v>240</v>
      </c>
      <c r="CN2737" s="5" t="s">
        <v>263</v>
      </c>
      <c r="CO2737" s="5" t="s">
        <v>240</v>
      </c>
      <c r="CP2737" s="5" t="s">
        <v>240</v>
      </c>
      <c r="CQ2737" s="5">
        <v>0</v>
      </c>
      <c r="CR2737" s="5" t="s">
        <v>306</v>
      </c>
      <c r="CS2737" s="5" t="s">
        <v>307</v>
      </c>
      <c r="CT2737" s="5" t="s">
        <v>307</v>
      </c>
      <c r="CU2737" s="5" t="s">
        <v>260</v>
      </c>
      <c r="CX2737" s="7">
        <f>1</f>
        <v>1</v>
      </c>
      <c r="CY2737" s="7">
        <f>0</f>
        <v>0</v>
      </c>
      <c r="DA2737" s="7">
        <f>0</f>
        <v>0</v>
      </c>
      <c r="DC2737" s="5" t="s">
        <v>309</v>
      </c>
      <c r="DD2737" s="5" t="s">
        <v>240</v>
      </c>
      <c r="DF2737" s="5" t="s">
        <v>309</v>
      </c>
      <c r="DG2737" s="7">
        <f>388</f>
        <v>388</v>
      </c>
      <c r="DI2737" s="5" t="s">
        <v>240</v>
      </c>
      <c r="DJ2737" s="5" t="s">
        <v>240</v>
      </c>
      <c r="DK2737" s="5" t="s">
        <v>240</v>
      </c>
      <c r="DL2737" s="5" t="s">
        <v>240</v>
      </c>
      <c r="DP2737" s="5" t="s">
        <v>240</v>
      </c>
      <c r="DQ2737" s="5" t="s">
        <v>240</v>
      </c>
      <c r="DR2737" s="5" t="s">
        <v>240</v>
      </c>
      <c r="DS2737" s="5" t="s">
        <v>240</v>
      </c>
      <c r="DV2737" s="5" t="s">
        <v>310</v>
      </c>
      <c r="DW2737" s="5" t="s">
        <v>3526</v>
      </c>
      <c r="HO2737" s="5" t="s">
        <v>312</v>
      </c>
    </row>
    <row r="2738" spans="1:223" x14ac:dyDescent="0.4">
      <c r="A2738" s="5">
        <v>4442</v>
      </c>
      <c r="B2738" s="5">
        <v>1</v>
      </c>
      <c r="C2738" s="5">
        <v>1</v>
      </c>
      <c r="D2738" s="5" t="s">
        <v>810</v>
      </c>
      <c r="E2738" s="5" t="s">
        <v>245</v>
      </c>
      <c r="F2738" s="5" t="s">
        <v>254</v>
      </c>
      <c r="G2738" s="5" t="s">
        <v>240</v>
      </c>
      <c r="H2738" s="6" t="s">
        <v>3067</v>
      </c>
      <c r="I2738" s="5" t="s">
        <v>809</v>
      </c>
      <c r="J2738" s="8">
        <f>1012</f>
        <v>1012</v>
      </c>
      <c r="K2738" s="5" t="s">
        <v>308</v>
      </c>
      <c r="L2738" s="7">
        <f>1</f>
        <v>1</v>
      </c>
      <c r="M2738" s="7">
        <f>1</f>
        <v>1</v>
      </c>
      <c r="N2738" s="5" t="s">
        <v>242</v>
      </c>
      <c r="O2738" s="5">
        <v>1</v>
      </c>
      <c r="P2738" s="5" t="s">
        <v>294</v>
      </c>
      <c r="Q2738" s="5" t="s">
        <v>266</v>
      </c>
      <c r="R2738" s="5" t="s">
        <v>240</v>
      </c>
      <c r="S2738" s="5" t="s">
        <v>240</v>
      </c>
      <c r="T2738" s="5" t="s">
        <v>296</v>
      </c>
      <c r="U2738" s="5" t="s">
        <v>244</v>
      </c>
      <c r="V2738" s="5" t="s">
        <v>240</v>
      </c>
      <c r="Y2738" s="5" t="s">
        <v>240</v>
      </c>
      <c r="Z2738" s="6" t="s">
        <v>298</v>
      </c>
      <c r="AB2738" s="6" t="s">
        <v>240</v>
      </c>
      <c r="AE2738" s="6" t="s">
        <v>299</v>
      </c>
      <c r="AF2738" s="5" t="s">
        <v>248</v>
      </c>
      <c r="AG2738" s="5" t="s">
        <v>249</v>
      </c>
      <c r="AW2738" s="5" t="s">
        <v>251</v>
      </c>
      <c r="AX2738" s="5" t="s">
        <v>240</v>
      </c>
      <c r="AY2738" s="5" t="s">
        <v>253</v>
      </c>
      <c r="AZ2738" s="5" t="s">
        <v>240</v>
      </c>
      <c r="BA2738" s="5" t="s">
        <v>255</v>
      </c>
      <c r="BB2738" s="5" t="s">
        <v>240</v>
      </c>
      <c r="BD2738" s="5" t="s">
        <v>240</v>
      </c>
      <c r="BF2738" s="5" t="s">
        <v>301</v>
      </c>
      <c r="BG2738" s="6" t="s">
        <v>299</v>
      </c>
      <c r="BH2738" s="5" t="s">
        <v>302</v>
      </c>
      <c r="BI2738" s="5" t="s">
        <v>303</v>
      </c>
      <c r="BJ2738" s="5" t="s">
        <v>240</v>
      </c>
      <c r="BK2738" s="8">
        <f>0</f>
        <v>0</v>
      </c>
      <c r="BL2738" s="7">
        <f>0</f>
        <v>0</v>
      </c>
      <c r="BM2738" s="5" t="s">
        <v>258</v>
      </c>
      <c r="BN2738" s="5" t="s">
        <v>259</v>
      </c>
      <c r="CB2738" s="5" t="s">
        <v>240</v>
      </c>
      <c r="CC2738" s="5" t="s">
        <v>240</v>
      </c>
      <c r="CG2738" s="5" t="s">
        <v>304</v>
      </c>
      <c r="CH2738" s="5" t="s">
        <v>305</v>
      </c>
      <c r="CI2738" s="5" t="s">
        <v>240</v>
      </c>
      <c r="CL2738" s="6" t="s">
        <v>261</v>
      </c>
      <c r="CM2738" s="5" t="s">
        <v>240</v>
      </c>
      <c r="CN2738" s="5" t="s">
        <v>263</v>
      </c>
      <c r="CO2738" s="5" t="s">
        <v>240</v>
      </c>
      <c r="CP2738" s="5" t="s">
        <v>240</v>
      </c>
      <c r="CQ2738" s="5">
        <v>0</v>
      </c>
      <c r="CR2738" s="5" t="s">
        <v>306</v>
      </c>
      <c r="CS2738" s="5" t="s">
        <v>307</v>
      </c>
      <c r="CT2738" s="5" t="s">
        <v>307</v>
      </c>
      <c r="CU2738" s="5" t="s">
        <v>260</v>
      </c>
      <c r="CX2738" s="7">
        <f>1</f>
        <v>1</v>
      </c>
      <c r="CY2738" s="7">
        <f>0</f>
        <v>0</v>
      </c>
      <c r="DA2738" s="7">
        <f>0</f>
        <v>0</v>
      </c>
      <c r="DC2738" s="5" t="s">
        <v>309</v>
      </c>
      <c r="DD2738" s="5" t="s">
        <v>240</v>
      </c>
      <c r="DF2738" s="5" t="s">
        <v>309</v>
      </c>
      <c r="DG2738" s="7">
        <f>412</f>
        <v>412</v>
      </c>
      <c r="DI2738" s="5" t="s">
        <v>240</v>
      </c>
      <c r="DJ2738" s="5" t="s">
        <v>240</v>
      </c>
      <c r="DK2738" s="5" t="s">
        <v>240</v>
      </c>
      <c r="DL2738" s="5" t="s">
        <v>240</v>
      </c>
      <c r="DP2738" s="5" t="s">
        <v>240</v>
      </c>
      <c r="DQ2738" s="5" t="s">
        <v>240</v>
      </c>
      <c r="DR2738" s="5" t="s">
        <v>240</v>
      </c>
      <c r="DS2738" s="5" t="s">
        <v>240</v>
      </c>
      <c r="DV2738" s="5" t="s">
        <v>310</v>
      </c>
      <c r="DW2738" s="5" t="s">
        <v>3528</v>
      </c>
      <c r="HO2738" s="5" t="s">
        <v>312</v>
      </c>
    </row>
    <row r="2739" spans="1:223" x14ac:dyDescent="0.4">
      <c r="A2739" s="5">
        <v>4443</v>
      </c>
      <c r="B2739" s="5">
        <v>1</v>
      </c>
      <c r="C2739" s="5">
        <v>1</v>
      </c>
      <c r="D2739" s="5" t="s">
        <v>810</v>
      </c>
      <c r="E2739" s="5" t="s">
        <v>245</v>
      </c>
      <c r="F2739" s="5" t="s">
        <v>254</v>
      </c>
      <c r="G2739" s="5" t="s">
        <v>240</v>
      </c>
      <c r="H2739" s="6" t="s">
        <v>3065</v>
      </c>
      <c r="I2739" s="5" t="s">
        <v>809</v>
      </c>
      <c r="J2739" s="8">
        <f>171</f>
        <v>171</v>
      </c>
      <c r="K2739" s="5" t="s">
        <v>308</v>
      </c>
      <c r="L2739" s="7">
        <f>1</f>
        <v>1</v>
      </c>
      <c r="M2739" s="7">
        <f>1</f>
        <v>1</v>
      </c>
      <c r="N2739" s="5" t="s">
        <v>242</v>
      </c>
      <c r="O2739" s="5">
        <v>1</v>
      </c>
      <c r="P2739" s="5" t="s">
        <v>294</v>
      </c>
      <c r="Q2739" s="5" t="s">
        <v>266</v>
      </c>
      <c r="R2739" s="5" t="s">
        <v>240</v>
      </c>
      <c r="S2739" s="5" t="s">
        <v>240</v>
      </c>
      <c r="T2739" s="5" t="s">
        <v>296</v>
      </c>
      <c r="U2739" s="5" t="s">
        <v>244</v>
      </c>
      <c r="V2739" s="5" t="s">
        <v>240</v>
      </c>
      <c r="Y2739" s="5" t="s">
        <v>240</v>
      </c>
      <c r="Z2739" s="6" t="s">
        <v>298</v>
      </c>
      <c r="AB2739" s="6" t="s">
        <v>240</v>
      </c>
      <c r="AE2739" s="6" t="s">
        <v>299</v>
      </c>
      <c r="AF2739" s="5" t="s">
        <v>248</v>
      </c>
      <c r="AG2739" s="5" t="s">
        <v>249</v>
      </c>
      <c r="AW2739" s="5" t="s">
        <v>251</v>
      </c>
      <c r="AX2739" s="5" t="s">
        <v>240</v>
      </c>
      <c r="AY2739" s="5" t="s">
        <v>253</v>
      </c>
      <c r="AZ2739" s="5" t="s">
        <v>240</v>
      </c>
      <c r="BA2739" s="5" t="s">
        <v>255</v>
      </c>
      <c r="BB2739" s="5" t="s">
        <v>240</v>
      </c>
      <c r="BD2739" s="5" t="s">
        <v>240</v>
      </c>
      <c r="BF2739" s="5" t="s">
        <v>301</v>
      </c>
      <c r="BG2739" s="6" t="s">
        <v>299</v>
      </c>
      <c r="BH2739" s="5" t="s">
        <v>302</v>
      </c>
      <c r="BI2739" s="5" t="s">
        <v>303</v>
      </c>
      <c r="BJ2739" s="5" t="s">
        <v>240</v>
      </c>
      <c r="BK2739" s="8">
        <f>0</f>
        <v>0</v>
      </c>
      <c r="BL2739" s="7">
        <f>0</f>
        <v>0</v>
      </c>
      <c r="BM2739" s="5" t="s">
        <v>258</v>
      </c>
      <c r="BN2739" s="5" t="s">
        <v>259</v>
      </c>
      <c r="CB2739" s="5" t="s">
        <v>240</v>
      </c>
      <c r="CC2739" s="5" t="s">
        <v>240</v>
      </c>
      <c r="CG2739" s="5" t="s">
        <v>304</v>
      </c>
      <c r="CH2739" s="5" t="s">
        <v>305</v>
      </c>
      <c r="CI2739" s="5" t="s">
        <v>240</v>
      </c>
      <c r="CL2739" s="6" t="s">
        <v>261</v>
      </c>
      <c r="CM2739" s="5" t="s">
        <v>240</v>
      </c>
      <c r="CN2739" s="5" t="s">
        <v>263</v>
      </c>
      <c r="CO2739" s="5" t="s">
        <v>240</v>
      </c>
      <c r="CP2739" s="5" t="s">
        <v>240</v>
      </c>
      <c r="CQ2739" s="5">
        <v>0</v>
      </c>
      <c r="CR2739" s="5" t="s">
        <v>306</v>
      </c>
      <c r="CS2739" s="5" t="s">
        <v>307</v>
      </c>
      <c r="CT2739" s="5" t="s">
        <v>307</v>
      </c>
      <c r="CU2739" s="5" t="s">
        <v>260</v>
      </c>
      <c r="CX2739" s="7">
        <f>1</f>
        <v>1</v>
      </c>
      <c r="CY2739" s="7">
        <f>0</f>
        <v>0</v>
      </c>
      <c r="DA2739" s="7">
        <f>0</f>
        <v>0</v>
      </c>
      <c r="DC2739" s="5" t="s">
        <v>309</v>
      </c>
      <c r="DD2739" s="5" t="s">
        <v>240</v>
      </c>
      <c r="DF2739" s="5" t="s">
        <v>309</v>
      </c>
      <c r="DG2739" s="7">
        <f>519</f>
        <v>519</v>
      </c>
      <c r="DI2739" s="5" t="s">
        <v>240</v>
      </c>
      <c r="DJ2739" s="5" t="s">
        <v>240</v>
      </c>
      <c r="DK2739" s="5" t="s">
        <v>240</v>
      </c>
      <c r="DL2739" s="5" t="s">
        <v>240</v>
      </c>
      <c r="DP2739" s="5" t="s">
        <v>240</v>
      </c>
      <c r="DQ2739" s="5" t="s">
        <v>240</v>
      </c>
      <c r="DR2739" s="5" t="s">
        <v>240</v>
      </c>
      <c r="DS2739" s="5" t="s">
        <v>240</v>
      </c>
      <c r="DV2739" s="5" t="s">
        <v>310</v>
      </c>
      <c r="DW2739" s="5" t="s">
        <v>3530</v>
      </c>
      <c r="HO2739" s="5" t="s">
        <v>312</v>
      </c>
    </row>
    <row r="2740" spans="1:223" x14ac:dyDescent="0.4">
      <c r="A2740" s="5">
        <v>4444</v>
      </c>
      <c r="B2740" s="5">
        <v>1</v>
      </c>
      <c r="C2740" s="5">
        <v>1</v>
      </c>
      <c r="D2740" s="5" t="s">
        <v>810</v>
      </c>
      <c r="E2740" s="5" t="s">
        <v>245</v>
      </c>
      <c r="F2740" s="5" t="s">
        <v>254</v>
      </c>
      <c r="G2740" s="5" t="s">
        <v>240</v>
      </c>
      <c r="H2740" s="6" t="s">
        <v>3063</v>
      </c>
      <c r="I2740" s="5" t="s">
        <v>809</v>
      </c>
      <c r="J2740" s="8">
        <f>1412</f>
        <v>1412</v>
      </c>
      <c r="K2740" s="5" t="s">
        <v>308</v>
      </c>
      <c r="L2740" s="7">
        <f>1</f>
        <v>1</v>
      </c>
      <c r="M2740" s="7">
        <f>1</f>
        <v>1</v>
      </c>
      <c r="N2740" s="5" t="s">
        <v>242</v>
      </c>
      <c r="O2740" s="5">
        <v>1</v>
      </c>
      <c r="P2740" s="5" t="s">
        <v>294</v>
      </c>
      <c r="Q2740" s="5" t="s">
        <v>266</v>
      </c>
      <c r="R2740" s="5" t="s">
        <v>240</v>
      </c>
      <c r="S2740" s="5" t="s">
        <v>240</v>
      </c>
      <c r="T2740" s="5" t="s">
        <v>296</v>
      </c>
      <c r="U2740" s="5" t="s">
        <v>244</v>
      </c>
      <c r="V2740" s="5" t="s">
        <v>240</v>
      </c>
      <c r="Y2740" s="5" t="s">
        <v>240</v>
      </c>
      <c r="Z2740" s="6" t="s">
        <v>298</v>
      </c>
      <c r="AB2740" s="6" t="s">
        <v>240</v>
      </c>
      <c r="AE2740" s="6" t="s">
        <v>299</v>
      </c>
      <c r="AF2740" s="5" t="s">
        <v>248</v>
      </c>
      <c r="AG2740" s="5" t="s">
        <v>249</v>
      </c>
      <c r="AW2740" s="5" t="s">
        <v>251</v>
      </c>
      <c r="AX2740" s="5" t="s">
        <v>240</v>
      </c>
      <c r="AY2740" s="5" t="s">
        <v>253</v>
      </c>
      <c r="AZ2740" s="5" t="s">
        <v>240</v>
      </c>
      <c r="BA2740" s="5" t="s">
        <v>255</v>
      </c>
      <c r="BB2740" s="5" t="s">
        <v>240</v>
      </c>
      <c r="BD2740" s="5" t="s">
        <v>240</v>
      </c>
      <c r="BF2740" s="5" t="s">
        <v>301</v>
      </c>
      <c r="BG2740" s="6" t="s">
        <v>299</v>
      </c>
      <c r="BH2740" s="5" t="s">
        <v>302</v>
      </c>
      <c r="BI2740" s="5" t="s">
        <v>303</v>
      </c>
      <c r="BJ2740" s="5" t="s">
        <v>240</v>
      </c>
      <c r="BK2740" s="8">
        <f>0</f>
        <v>0</v>
      </c>
      <c r="BL2740" s="7">
        <f>0</f>
        <v>0</v>
      </c>
      <c r="BM2740" s="5" t="s">
        <v>258</v>
      </c>
      <c r="BN2740" s="5" t="s">
        <v>259</v>
      </c>
      <c r="CB2740" s="5" t="s">
        <v>240</v>
      </c>
      <c r="CC2740" s="5" t="s">
        <v>240</v>
      </c>
      <c r="CG2740" s="5" t="s">
        <v>304</v>
      </c>
      <c r="CH2740" s="5" t="s">
        <v>305</v>
      </c>
      <c r="CI2740" s="5" t="s">
        <v>240</v>
      </c>
      <c r="CL2740" s="6" t="s">
        <v>261</v>
      </c>
      <c r="CM2740" s="5" t="s">
        <v>240</v>
      </c>
      <c r="CN2740" s="5" t="s">
        <v>263</v>
      </c>
      <c r="CO2740" s="5" t="s">
        <v>240</v>
      </c>
      <c r="CP2740" s="5" t="s">
        <v>240</v>
      </c>
      <c r="CQ2740" s="5">
        <v>0</v>
      </c>
      <c r="CR2740" s="5" t="s">
        <v>306</v>
      </c>
      <c r="CS2740" s="5" t="s">
        <v>307</v>
      </c>
      <c r="CT2740" s="5" t="s">
        <v>307</v>
      </c>
      <c r="CU2740" s="5" t="s">
        <v>260</v>
      </c>
      <c r="CX2740" s="7">
        <f>1</f>
        <v>1</v>
      </c>
      <c r="CY2740" s="7">
        <f>0</f>
        <v>0</v>
      </c>
      <c r="DA2740" s="7">
        <f>0</f>
        <v>0</v>
      </c>
      <c r="DC2740" s="5" t="s">
        <v>309</v>
      </c>
      <c r="DD2740" s="5" t="s">
        <v>240</v>
      </c>
      <c r="DF2740" s="5" t="s">
        <v>309</v>
      </c>
      <c r="DG2740" s="7">
        <f>1463</f>
        <v>1463</v>
      </c>
      <c r="DI2740" s="5" t="s">
        <v>240</v>
      </c>
      <c r="DJ2740" s="5" t="s">
        <v>240</v>
      </c>
      <c r="DK2740" s="5" t="s">
        <v>240</v>
      </c>
      <c r="DL2740" s="5" t="s">
        <v>240</v>
      </c>
      <c r="DP2740" s="5" t="s">
        <v>240</v>
      </c>
      <c r="DQ2740" s="5" t="s">
        <v>240</v>
      </c>
      <c r="DR2740" s="5" t="s">
        <v>240</v>
      </c>
      <c r="DS2740" s="5" t="s">
        <v>240</v>
      </c>
      <c r="DV2740" s="5" t="s">
        <v>310</v>
      </c>
      <c r="DW2740" s="5" t="s">
        <v>3532</v>
      </c>
      <c r="HO2740" s="5" t="s">
        <v>312</v>
      </c>
    </row>
    <row r="2741" spans="1:223" x14ac:dyDescent="0.4">
      <c r="A2741" s="5">
        <v>4445</v>
      </c>
      <c r="B2741" s="5">
        <v>1</v>
      </c>
      <c r="C2741" s="5">
        <v>1</v>
      </c>
      <c r="D2741" s="5" t="s">
        <v>810</v>
      </c>
      <c r="E2741" s="5" t="s">
        <v>245</v>
      </c>
      <c r="F2741" s="5" t="s">
        <v>254</v>
      </c>
      <c r="G2741" s="5" t="s">
        <v>240</v>
      </c>
      <c r="H2741" s="6" t="s">
        <v>3061</v>
      </c>
      <c r="I2741" s="5" t="s">
        <v>809</v>
      </c>
      <c r="J2741" s="8">
        <f>206</f>
        <v>206</v>
      </c>
      <c r="K2741" s="5" t="s">
        <v>308</v>
      </c>
      <c r="L2741" s="7">
        <f>1</f>
        <v>1</v>
      </c>
      <c r="M2741" s="7">
        <f>1</f>
        <v>1</v>
      </c>
      <c r="N2741" s="5" t="s">
        <v>242</v>
      </c>
      <c r="O2741" s="5">
        <v>1</v>
      </c>
      <c r="P2741" s="5" t="s">
        <v>294</v>
      </c>
      <c r="Q2741" s="5" t="s">
        <v>266</v>
      </c>
      <c r="R2741" s="5" t="s">
        <v>240</v>
      </c>
      <c r="S2741" s="5" t="s">
        <v>240</v>
      </c>
      <c r="T2741" s="5" t="s">
        <v>296</v>
      </c>
      <c r="U2741" s="5" t="s">
        <v>244</v>
      </c>
      <c r="V2741" s="5" t="s">
        <v>240</v>
      </c>
      <c r="Y2741" s="5" t="s">
        <v>240</v>
      </c>
      <c r="Z2741" s="6" t="s">
        <v>298</v>
      </c>
      <c r="AB2741" s="6" t="s">
        <v>240</v>
      </c>
      <c r="AE2741" s="6" t="s">
        <v>299</v>
      </c>
      <c r="AF2741" s="5" t="s">
        <v>248</v>
      </c>
      <c r="AG2741" s="5" t="s">
        <v>249</v>
      </c>
      <c r="AW2741" s="5" t="s">
        <v>251</v>
      </c>
      <c r="AX2741" s="5" t="s">
        <v>240</v>
      </c>
      <c r="AY2741" s="5" t="s">
        <v>253</v>
      </c>
      <c r="AZ2741" s="5" t="s">
        <v>240</v>
      </c>
      <c r="BA2741" s="5" t="s">
        <v>255</v>
      </c>
      <c r="BB2741" s="5" t="s">
        <v>240</v>
      </c>
      <c r="BD2741" s="5" t="s">
        <v>240</v>
      </c>
      <c r="BF2741" s="5" t="s">
        <v>301</v>
      </c>
      <c r="BG2741" s="6" t="s">
        <v>299</v>
      </c>
      <c r="BH2741" s="5" t="s">
        <v>302</v>
      </c>
      <c r="BI2741" s="5" t="s">
        <v>303</v>
      </c>
      <c r="BJ2741" s="5" t="s">
        <v>240</v>
      </c>
      <c r="BK2741" s="8">
        <f>0</f>
        <v>0</v>
      </c>
      <c r="BL2741" s="7">
        <f>0</f>
        <v>0</v>
      </c>
      <c r="BM2741" s="5" t="s">
        <v>258</v>
      </c>
      <c r="BN2741" s="5" t="s">
        <v>259</v>
      </c>
      <c r="CB2741" s="5" t="s">
        <v>240</v>
      </c>
      <c r="CC2741" s="5" t="s">
        <v>240</v>
      </c>
      <c r="CG2741" s="5" t="s">
        <v>304</v>
      </c>
      <c r="CH2741" s="5" t="s">
        <v>305</v>
      </c>
      <c r="CI2741" s="5" t="s">
        <v>240</v>
      </c>
      <c r="CL2741" s="6" t="s">
        <v>261</v>
      </c>
      <c r="CM2741" s="5" t="s">
        <v>240</v>
      </c>
      <c r="CN2741" s="5" t="s">
        <v>263</v>
      </c>
      <c r="CO2741" s="5" t="s">
        <v>240</v>
      </c>
      <c r="CP2741" s="5" t="s">
        <v>240</v>
      </c>
      <c r="CQ2741" s="5">
        <v>0</v>
      </c>
      <c r="CR2741" s="5" t="s">
        <v>306</v>
      </c>
      <c r="CS2741" s="5" t="s">
        <v>307</v>
      </c>
      <c r="CT2741" s="5" t="s">
        <v>307</v>
      </c>
      <c r="CU2741" s="5" t="s">
        <v>260</v>
      </c>
      <c r="CX2741" s="7">
        <f>1</f>
        <v>1</v>
      </c>
      <c r="CY2741" s="7">
        <f>0</f>
        <v>0</v>
      </c>
      <c r="DA2741" s="7">
        <f>0</f>
        <v>0</v>
      </c>
      <c r="DC2741" s="5" t="s">
        <v>309</v>
      </c>
      <c r="DD2741" s="5" t="s">
        <v>240</v>
      </c>
      <c r="DF2741" s="5" t="s">
        <v>309</v>
      </c>
      <c r="DG2741" s="7">
        <f>1448</f>
        <v>1448</v>
      </c>
      <c r="DI2741" s="5" t="s">
        <v>240</v>
      </c>
      <c r="DJ2741" s="5" t="s">
        <v>240</v>
      </c>
      <c r="DK2741" s="5" t="s">
        <v>240</v>
      </c>
      <c r="DL2741" s="5" t="s">
        <v>240</v>
      </c>
      <c r="DP2741" s="5" t="s">
        <v>240</v>
      </c>
      <c r="DQ2741" s="5" t="s">
        <v>240</v>
      </c>
      <c r="DR2741" s="5" t="s">
        <v>240</v>
      </c>
      <c r="DS2741" s="5" t="s">
        <v>240</v>
      </c>
      <c r="DV2741" s="5" t="s">
        <v>310</v>
      </c>
      <c r="DW2741" s="5" t="s">
        <v>3534</v>
      </c>
      <c r="HO2741" s="5" t="s">
        <v>312</v>
      </c>
    </row>
    <row r="2742" spans="1:223" x14ac:dyDescent="0.4">
      <c r="A2742" s="5">
        <v>4446</v>
      </c>
      <c r="B2742" s="5">
        <v>1</v>
      </c>
      <c r="C2742" s="5">
        <v>1</v>
      </c>
      <c r="D2742" s="5" t="s">
        <v>810</v>
      </c>
      <c r="E2742" s="5" t="s">
        <v>245</v>
      </c>
      <c r="F2742" s="5" t="s">
        <v>254</v>
      </c>
      <c r="G2742" s="5" t="s">
        <v>240</v>
      </c>
      <c r="H2742" s="6" t="s">
        <v>3059</v>
      </c>
      <c r="I2742" s="5" t="s">
        <v>809</v>
      </c>
      <c r="J2742" s="8">
        <f>848</f>
        <v>848</v>
      </c>
      <c r="K2742" s="5" t="s">
        <v>308</v>
      </c>
      <c r="L2742" s="7">
        <f>1</f>
        <v>1</v>
      </c>
      <c r="M2742" s="7">
        <f>1</f>
        <v>1</v>
      </c>
      <c r="N2742" s="5" t="s">
        <v>242</v>
      </c>
      <c r="O2742" s="5">
        <v>1</v>
      </c>
      <c r="P2742" s="5" t="s">
        <v>294</v>
      </c>
      <c r="Q2742" s="5" t="s">
        <v>266</v>
      </c>
      <c r="R2742" s="5" t="s">
        <v>240</v>
      </c>
      <c r="S2742" s="5" t="s">
        <v>240</v>
      </c>
      <c r="T2742" s="5" t="s">
        <v>296</v>
      </c>
      <c r="U2742" s="5" t="s">
        <v>244</v>
      </c>
      <c r="V2742" s="5" t="s">
        <v>240</v>
      </c>
      <c r="Y2742" s="5" t="s">
        <v>240</v>
      </c>
      <c r="Z2742" s="6" t="s">
        <v>298</v>
      </c>
      <c r="AB2742" s="6" t="s">
        <v>240</v>
      </c>
      <c r="AE2742" s="6" t="s">
        <v>299</v>
      </c>
      <c r="AF2742" s="5" t="s">
        <v>248</v>
      </c>
      <c r="AG2742" s="5" t="s">
        <v>249</v>
      </c>
      <c r="AW2742" s="5" t="s">
        <v>251</v>
      </c>
      <c r="AX2742" s="5" t="s">
        <v>240</v>
      </c>
      <c r="AY2742" s="5" t="s">
        <v>253</v>
      </c>
      <c r="AZ2742" s="5" t="s">
        <v>240</v>
      </c>
      <c r="BA2742" s="5" t="s">
        <v>255</v>
      </c>
      <c r="BB2742" s="5" t="s">
        <v>240</v>
      </c>
      <c r="BD2742" s="5" t="s">
        <v>240</v>
      </c>
      <c r="BF2742" s="5" t="s">
        <v>301</v>
      </c>
      <c r="BG2742" s="6" t="s">
        <v>299</v>
      </c>
      <c r="BH2742" s="5" t="s">
        <v>302</v>
      </c>
      <c r="BI2742" s="5" t="s">
        <v>303</v>
      </c>
      <c r="BJ2742" s="5" t="s">
        <v>240</v>
      </c>
      <c r="BK2742" s="8">
        <f>0</f>
        <v>0</v>
      </c>
      <c r="BL2742" s="7">
        <f>0</f>
        <v>0</v>
      </c>
      <c r="BM2742" s="5" t="s">
        <v>258</v>
      </c>
      <c r="BN2742" s="5" t="s">
        <v>259</v>
      </c>
      <c r="CB2742" s="5" t="s">
        <v>240</v>
      </c>
      <c r="CC2742" s="5" t="s">
        <v>240</v>
      </c>
      <c r="CG2742" s="5" t="s">
        <v>304</v>
      </c>
      <c r="CH2742" s="5" t="s">
        <v>305</v>
      </c>
      <c r="CI2742" s="5" t="s">
        <v>240</v>
      </c>
      <c r="CL2742" s="6" t="s">
        <v>261</v>
      </c>
      <c r="CM2742" s="5" t="s">
        <v>240</v>
      </c>
      <c r="CN2742" s="5" t="s">
        <v>263</v>
      </c>
      <c r="CO2742" s="5" t="s">
        <v>240</v>
      </c>
      <c r="CP2742" s="5" t="s">
        <v>240</v>
      </c>
      <c r="CQ2742" s="5">
        <v>0</v>
      </c>
      <c r="CR2742" s="5" t="s">
        <v>306</v>
      </c>
      <c r="CS2742" s="5" t="s">
        <v>307</v>
      </c>
      <c r="CT2742" s="5" t="s">
        <v>307</v>
      </c>
      <c r="CU2742" s="5" t="s">
        <v>260</v>
      </c>
      <c r="CX2742" s="7">
        <f>1</f>
        <v>1</v>
      </c>
      <c r="CY2742" s="7">
        <f>0</f>
        <v>0</v>
      </c>
      <c r="DA2742" s="7">
        <f>0</f>
        <v>0</v>
      </c>
      <c r="DC2742" s="5" t="s">
        <v>812</v>
      </c>
      <c r="DD2742" s="5" t="s">
        <v>240</v>
      </c>
      <c r="DF2742" s="5" t="s">
        <v>812</v>
      </c>
      <c r="DG2742" s="7">
        <f>510</f>
        <v>510</v>
      </c>
      <c r="DI2742" s="5" t="s">
        <v>240</v>
      </c>
      <c r="DJ2742" s="5" t="s">
        <v>240</v>
      </c>
      <c r="DK2742" s="5" t="s">
        <v>240</v>
      </c>
      <c r="DL2742" s="5" t="s">
        <v>240</v>
      </c>
      <c r="DP2742" s="5" t="s">
        <v>240</v>
      </c>
      <c r="DQ2742" s="5" t="s">
        <v>240</v>
      </c>
      <c r="DR2742" s="5" t="s">
        <v>240</v>
      </c>
      <c r="DS2742" s="5" t="s">
        <v>240</v>
      </c>
      <c r="DV2742" s="5" t="s">
        <v>813</v>
      </c>
      <c r="DW2742" s="5" t="s">
        <v>4641</v>
      </c>
      <c r="HO2742" s="5" t="s">
        <v>312</v>
      </c>
    </row>
    <row r="2743" spans="1:223" x14ac:dyDescent="0.4">
      <c r="A2743" s="5">
        <v>4447</v>
      </c>
      <c r="B2743" s="5">
        <v>1</v>
      </c>
      <c r="C2743" s="5">
        <v>1</v>
      </c>
      <c r="D2743" s="5" t="s">
        <v>810</v>
      </c>
      <c r="E2743" s="5" t="s">
        <v>245</v>
      </c>
      <c r="F2743" s="5" t="s">
        <v>254</v>
      </c>
      <c r="G2743" s="5" t="s">
        <v>240</v>
      </c>
      <c r="H2743" s="6" t="s">
        <v>3057</v>
      </c>
      <c r="I2743" s="5" t="s">
        <v>809</v>
      </c>
      <c r="J2743" s="8">
        <f>1618</f>
        <v>1618</v>
      </c>
      <c r="K2743" s="5" t="s">
        <v>308</v>
      </c>
      <c r="L2743" s="7">
        <f>1</f>
        <v>1</v>
      </c>
      <c r="M2743" s="7">
        <f>1</f>
        <v>1</v>
      </c>
      <c r="N2743" s="5" t="s">
        <v>242</v>
      </c>
      <c r="O2743" s="5">
        <v>1</v>
      </c>
      <c r="P2743" s="5" t="s">
        <v>294</v>
      </c>
      <c r="Q2743" s="5" t="s">
        <v>266</v>
      </c>
      <c r="R2743" s="5" t="s">
        <v>240</v>
      </c>
      <c r="S2743" s="5" t="s">
        <v>240</v>
      </c>
      <c r="T2743" s="5" t="s">
        <v>296</v>
      </c>
      <c r="U2743" s="5" t="s">
        <v>244</v>
      </c>
      <c r="V2743" s="5" t="s">
        <v>240</v>
      </c>
      <c r="Y2743" s="5" t="s">
        <v>240</v>
      </c>
      <c r="Z2743" s="6" t="s">
        <v>298</v>
      </c>
      <c r="AB2743" s="6" t="s">
        <v>240</v>
      </c>
      <c r="AE2743" s="6" t="s">
        <v>299</v>
      </c>
      <c r="AF2743" s="5" t="s">
        <v>248</v>
      </c>
      <c r="AG2743" s="5" t="s">
        <v>249</v>
      </c>
      <c r="AW2743" s="5" t="s">
        <v>251</v>
      </c>
      <c r="AX2743" s="5" t="s">
        <v>240</v>
      </c>
      <c r="AY2743" s="5" t="s">
        <v>253</v>
      </c>
      <c r="AZ2743" s="5" t="s">
        <v>240</v>
      </c>
      <c r="BA2743" s="5" t="s">
        <v>255</v>
      </c>
      <c r="BB2743" s="5" t="s">
        <v>240</v>
      </c>
      <c r="BD2743" s="5" t="s">
        <v>240</v>
      </c>
      <c r="BF2743" s="5" t="s">
        <v>301</v>
      </c>
      <c r="BG2743" s="6" t="s">
        <v>299</v>
      </c>
      <c r="BH2743" s="5" t="s">
        <v>302</v>
      </c>
      <c r="BI2743" s="5" t="s">
        <v>303</v>
      </c>
      <c r="BJ2743" s="5" t="s">
        <v>240</v>
      </c>
      <c r="BK2743" s="8">
        <f>0</f>
        <v>0</v>
      </c>
      <c r="BL2743" s="7">
        <f>0</f>
        <v>0</v>
      </c>
      <c r="BM2743" s="5" t="s">
        <v>258</v>
      </c>
      <c r="BN2743" s="5" t="s">
        <v>259</v>
      </c>
      <c r="CB2743" s="5" t="s">
        <v>240</v>
      </c>
      <c r="CC2743" s="5" t="s">
        <v>240</v>
      </c>
      <c r="CG2743" s="5" t="s">
        <v>304</v>
      </c>
      <c r="CH2743" s="5" t="s">
        <v>305</v>
      </c>
      <c r="CI2743" s="5" t="s">
        <v>240</v>
      </c>
      <c r="CL2743" s="6" t="s">
        <v>261</v>
      </c>
      <c r="CM2743" s="5" t="s">
        <v>240</v>
      </c>
      <c r="CN2743" s="5" t="s">
        <v>263</v>
      </c>
      <c r="CO2743" s="5" t="s">
        <v>240</v>
      </c>
      <c r="CP2743" s="5" t="s">
        <v>240</v>
      </c>
      <c r="CQ2743" s="5">
        <v>0</v>
      </c>
      <c r="CR2743" s="5" t="s">
        <v>306</v>
      </c>
      <c r="CS2743" s="5" t="s">
        <v>307</v>
      </c>
      <c r="CT2743" s="5" t="s">
        <v>307</v>
      </c>
      <c r="CU2743" s="5" t="s">
        <v>260</v>
      </c>
      <c r="CX2743" s="7">
        <f>1</f>
        <v>1</v>
      </c>
      <c r="CY2743" s="7">
        <f>0</f>
        <v>0</v>
      </c>
      <c r="DA2743" s="7">
        <f>0</f>
        <v>0</v>
      </c>
      <c r="DC2743" s="5" t="s">
        <v>309</v>
      </c>
      <c r="DD2743" s="5" t="s">
        <v>240</v>
      </c>
      <c r="DF2743" s="5" t="s">
        <v>309</v>
      </c>
      <c r="DG2743" s="7">
        <f>976</f>
        <v>976</v>
      </c>
      <c r="DI2743" s="5" t="s">
        <v>240</v>
      </c>
      <c r="DJ2743" s="5" t="s">
        <v>240</v>
      </c>
      <c r="DK2743" s="5" t="s">
        <v>240</v>
      </c>
      <c r="DL2743" s="5" t="s">
        <v>240</v>
      </c>
      <c r="DP2743" s="5" t="s">
        <v>240</v>
      </c>
      <c r="DQ2743" s="5" t="s">
        <v>240</v>
      </c>
      <c r="DR2743" s="5" t="s">
        <v>240</v>
      </c>
      <c r="DS2743" s="5" t="s">
        <v>240</v>
      </c>
      <c r="DV2743" s="5" t="s">
        <v>310</v>
      </c>
      <c r="DW2743" s="5" t="s">
        <v>3538</v>
      </c>
      <c r="HO2743" s="5" t="s">
        <v>312</v>
      </c>
    </row>
    <row r="2744" spans="1:223" x14ac:dyDescent="0.4">
      <c r="A2744" s="5">
        <v>4448</v>
      </c>
      <c r="B2744" s="5">
        <v>1</v>
      </c>
      <c r="C2744" s="5">
        <v>1</v>
      </c>
      <c r="D2744" s="5" t="s">
        <v>810</v>
      </c>
      <c r="E2744" s="5" t="s">
        <v>245</v>
      </c>
      <c r="F2744" s="5" t="s">
        <v>254</v>
      </c>
      <c r="G2744" s="5" t="s">
        <v>240</v>
      </c>
      <c r="H2744" s="6" t="s">
        <v>3055</v>
      </c>
      <c r="I2744" s="5" t="s">
        <v>809</v>
      </c>
      <c r="J2744" s="8">
        <f>394</f>
        <v>394</v>
      </c>
      <c r="K2744" s="5" t="s">
        <v>308</v>
      </c>
      <c r="L2744" s="7">
        <f>1</f>
        <v>1</v>
      </c>
      <c r="M2744" s="7">
        <f>1</f>
        <v>1</v>
      </c>
      <c r="N2744" s="5" t="s">
        <v>242</v>
      </c>
      <c r="O2744" s="5">
        <v>1</v>
      </c>
      <c r="P2744" s="5" t="s">
        <v>294</v>
      </c>
      <c r="Q2744" s="5" t="s">
        <v>266</v>
      </c>
      <c r="R2744" s="5" t="s">
        <v>240</v>
      </c>
      <c r="S2744" s="5" t="s">
        <v>240</v>
      </c>
      <c r="T2744" s="5" t="s">
        <v>296</v>
      </c>
      <c r="U2744" s="5" t="s">
        <v>244</v>
      </c>
      <c r="V2744" s="5" t="s">
        <v>240</v>
      </c>
      <c r="Y2744" s="5" t="s">
        <v>240</v>
      </c>
      <c r="Z2744" s="6" t="s">
        <v>298</v>
      </c>
      <c r="AB2744" s="6" t="s">
        <v>240</v>
      </c>
      <c r="AE2744" s="6" t="s">
        <v>299</v>
      </c>
      <c r="AF2744" s="5" t="s">
        <v>248</v>
      </c>
      <c r="AG2744" s="5" t="s">
        <v>249</v>
      </c>
      <c r="AW2744" s="5" t="s">
        <v>251</v>
      </c>
      <c r="AX2744" s="5" t="s">
        <v>240</v>
      </c>
      <c r="AY2744" s="5" t="s">
        <v>253</v>
      </c>
      <c r="AZ2744" s="5" t="s">
        <v>240</v>
      </c>
      <c r="BA2744" s="5" t="s">
        <v>255</v>
      </c>
      <c r="BB2744" s="5" t="s">
        <v>240</v>
      </c>
      <c r="BD2744" s="5" t="s">
        <v>240</v>
      </c>
      <c r="BF2744" s="5" t="s">
        <v>301</v>
      </c>
      <c r="BG2744" s="6" t="s">
        <v>299</v>
      </c>
      <c r="BH2744" s="5" t="s">
        <v>302</v>
      </c>
      <c r="BI2744" s="5" t="s">
        <v>303</v>
      </c>
      <c r="BJ2744" s="5" t="s">
        <v>240</v>
      </c>
      <c r="BK2744" s="8">
        <f>0</f>
        <v>0</v>
      </c>
      <c r="BL2744" s="7">
        <f>0</f>
        <v>0</v>
      </c>
      <c r="BM2744" s="5" t="s">
        <v>258</v>
      </c>
      <c r="BN2744" s="5" t="s">
        <v>259</v>
      </c>
      <c r="CB2744" s="5" t="s">
        <v>240</v>
      </c>
      <c r="CC2744" s="5" t="s">
        <v>240</v>
      </c>
      <c r="CG2744" s="5" t="s">
        <v>304</v>
      </c>
      <c r="CH2744" s="5" t="s">
        <v>305</v>
      </c>
      <c r="CI2744" s="5" t="s">
        <v>240</v>
      </c>
      <c r="CL2744" s="6" t="s">
        <v>261</v>
      </c>
      <c r="CM2744" s="5" t="s">
        <v>240</v>
      </c>
      <c r="CN2744" s="5" t="s">
        <v>263</v>
      </c>
      <c r="CO2744" s="5" t="s">
        <v>240</v>
      </c>
      <c r="CP2744" s="5" t="s">
        <v>240</v>
      </c>
      <c r="CQ2744" s="5">
        <v>0</v>
      </c>
      <c r="CR2744" s="5" t="s">
        <v>306</v>
      </c>
      <c r="CS2744" s="5" t="s">
        <v>307</v>
      </c>
      <c r="CT2744" s="5" t="s">
        <v>307</v>
      </c>
      <c r="CU2744" s="5" t="s">
        <v>260</v>
      </c>
      <c r="CX2744" s="7">
        <f>1</f>
        <v>1</v>
      </c>
      <c r="CY2744" s="7">
        <f>0</f>
        <v>0</v>
      </c>
      <c r="DA2744" s="7">
        <f>0</f>
        <v>0</v>
      </c>
      <c r="DC2744" s="5" t="s">
        <v>309</v>
      </c>
      <c r="DD2744" s="5" t="s">
        <v>240</v>
      </c>
      <c r="DF2744" s="5" t="s">
        <v>309</v>
      </c>
      <c r="DG2744" s="7">
        <f>2286</f>
        <v>2286</v>
      </c>
      <c r="DI2744" s="5" t="s">
        <v>240</v>
      </c>
      <c r="DJ2744" s="5" t="s">
        <v>240</v>
      </c>
      <c r="DK2744" s="5" t="s">
        <v>240</v>
      </c>
      <c r="DL2744" s="5" t="s">
        <v>240</v>
      </c>
      <c r="DP2744" s="5" t="s">
        <v>240</v>
      </c>
      <c r="DQ2744" s="5" t="s">
        <v>240</v>
      </c>
      <c r="DR2744" s="5" t="s">
        <v>240</v>
      </c>
      <c r="DS2744" s="5" t="s">
        <v>240</v>
      </c>
      <c r="DV2744" s="5" t="s">
        <v>310</v>
      </c>
      <c r="DW2744" s="5" t="s">
        <v>3540</v>
      </c>
      <c r="HO2744" s="5" t="s">
        <v>312</v>
      </c>
    </row>
    <row r="2745" spans="1:223" x14ac:dyDescent="0.4">
      <c r="A2745" s="5">
        <v>4449</v>
      </c>
      <c r="B2745" s="5">
        <v>1</v>
      </c>
      <c r="C2745" s="5">
        <v>1</v>
      </c>
      <c r="D2745" s="5" t="s">
        <v>810</v>
      </c>
      <c r="E2745" s="5" t="s">
        <v>245</v>
      </c>
      <c r="F2745" s="5" t="s">
        <v>254</v>
      </c>
      <c r="G2745" s="5" t="s">
        <v>240</v>
      </c>
      <c r="H2745" s="6" t="s">
        <v>4863</v>
      </c>
      <c r="I2745" s="5" t="s">
        <v>809</v>
      </c>
      <c r="J2745" s="8">
        <f>105</f>
        <v>105</v>
      </c>
      <c r="K2745" s="5" t="s">
        <v>308</v>
      </c>
      <c r="L2745" s="7">
        <f>1</f>
        <v>1</v>
      </c>
      <c r="M2745" s="7">
        <f>1</f>
        <v>1</v>
      </c>
      <c r="N2745" s="5" t="s">
        <v>242</v>
      </c>
      <c r="O2745" s="5">
        <v>1</v>
      </c>
      <c r="P2745" s="5" t="s">
        <v>294</v>
      </c>
      <c r="Q2745" s="5" t="s">
        <v>266</v>
      </c>
      <c r="R2745" s="5" t="s">
        <v>240</v>
      </c>
      <c r="S2745" s="5" t="s">
        <v>240</v>
      </c>
      <c r="T2745" s="5" t="s">
        <v>296</v>
      </c>
      <c r="U2745" s="5" t="s">
        <v>244</v>
      </c>
      <c r="V2745" s="5" t="s">
        <v>240</v>
      </c>
      <c r="Y2745" s="5" t="s">
        <v>240</v>
      </c>
      <c r="Z2745" s="6" t="s">
        <v>298</v>
      </c>
      <c r="AB2745" s="6" t="s">
        <v>240</v>
      </c>
      <c r="AE2745" s="6" t="s">
        <v>299</v>
      </c>
      <c r="AF2745" s="5" t="s">
        <v>248</v>
      </c>
      <c r="AG2745" s="5" t="s">
        <v>249</v>
      </c>
      <c r="AW2745" s="5" t="s">
        <v>251</v>
      </c>
      <c r="AX2745" s="5" t="s">
        <v>240</v>
      </c>
      <c r="AY2745" s="5" t="s">
        <v>253</v>
      </c>
      <c r="AZ2745" s="5" t="s">
        <v>240</v>
      </c>
      <c r="BA2745" s="5" t="s">
        <v>255</v>
      </c>
      <c r="BB2745" s="5" t="s">
        <v>240</v>
      </c>
      <c r="BD2745" s="5" t="s">
        <v>240</v>
      </c>
      <c r="BF2745" s="5" t="s">
        <v>301</v>
      </c>
      <c r="BG2745" s="6" t="s">
        <v>299</v>
      </c>
      <c r="BH2745" s="5" t="s">
        <v>302</v>
      </c>
      <c r="BI2745" s="5" t="s">
        <v>303</v>
      </c>
      <c r="BJ2745" s="5" t="s">
        <v>240</v>
      </c>
      <c r="BK2745" s="8">
        <f>0</f>
        <v>0</v>
      </c>
      <c r="BL2745" s="7">
        <f>0</f>
        <v>0</v>
      </c>
      <c r="BM2745" s="5" t="s">
        <v>258</v>
      </c>
      <c r="BN2745" s="5" t="s">
        <v>259</v>
      </c>
      <c r="CB2745" s="5" t="s">
        <v>240</v>
      </c>
      <c r="CC2745" s="5" t="s">
        <v>240</v>
      </c>
      <c r="CG2745" s="5" t="s">
        <v>304</v>
      </c>
      <c r="CH2745" s="5" t="s">
        <v>305</v>
      </c>
      <c r="CI2745" s="5" t="s">
        <v>240</v>
      </c>
      <c r="CL2745" s="6" t="s">
        <v>261</v>
      </c>
      <c r="CM2745" s="5" t="s">
        <v>240</v>
      </c>
      <c r="CN2745" s="5" t="s">
        <v>263</v>
      </c>
      <c r="CO2745" s="5" t="s">
        <v>240</v>
      </c>
      <c r="CP2745" s="5" t="s">
        <v>240</v>
      </c>
      <c r="CQ2745" s="5">
        <v>0</v>
      </c>
      <c r="CR2745" s="5" t="s">
        <v>306</v>
      </c>
      <c r="CS2745" s="5" t="s">
        <v>307</v>
      </c>
      <c r="CT2745" s="5" t="s">
        <v>307</v>
      </c>
      <c r="CU2745" s="5" t="s">
        <v>260</v>
      </c>
      <c r="CX2745" s="7">
        <f>1</f>
        <v>1</v>
      </c>
      <c r="CY2745" s="7">
        <f>0</f>
        <v>0</v>
      </c>
      <c r="DA2745" s="7">
        <f>0</f>
        <v>0</v>
      </c>
      <c r="DC2745" s="5" t="s">
        <v>309</v>
      </c>
      <c r="DD2745" s="5" t="s">
        <v>240</v>
      </c>
      <c r="DF2745" s="5" t="s">
        <v>309</v>
      </c>
      <c r="DG2745" s="7">
        <f>1206</f>
        <v>1206</v>
      </c>
      <c r="DI2745" s="5" t="s">
        <v>240</v>
      </c>
      <c r="DJ2745" s="5" t="s">
        <v>240</v>
      </c>
      <c r="DK2745" s="5" t="s">
        <v>240</v>
      </c>
      <c r="DL2745" s="5" t="s">
        <v>240</v>
      </c>
      <c r="DP2745" s="5" t="s">
        <v>240</v>
      </c>
      <c r="DQ2745" s="5" t="s">
        <v>240</v>
      </c>
      <c r="DR2745" s="5" t="s">
        <v>240</v>
      </c>
      <c r="DS2745" s="5" t="s">
        <v>240</v>
      </c>
      <c r="DV2745" s="5" t="s">
        <v>310</v>
      </c>
      <c r="DW2745" s="5" t="s">
        <v>3542</v>
      </c>
      <c r="HO2745" s="5" t="s">
        <v>312</v>
      </c>
    </row>
    <row r="2746" spans="1:223" x14ac:dyDescent="0.4">
      <c r="A2746" s="5">
        <v>4450</v>
      </c>
      <c r="B2746" s="5">
        <v>1</v>
      </c>
      <c r="C2746" s="5">
        <v>1</v>
      </c>
      <c r="D2746" s="5" t="s">
        <v>810</v>
      </c>
      <c r="E2746" s="5" t="s">
        <v>245</v>
      </c>
      <c r="F2746" s="5" t="s">
        <v>254</v>
      </c>
      <c r="G2746" s="5" t="s">
        <v>240</v>
      </c>
      <c r="H2746" s="6" t="s">
        <v>3052</v>
      </c>
      <c r="I2746" s="5" t="s">
        <v>809</v>
      </c>
      <c r="J2746" s="8">
        <f>368</f>
        <v>368</v>
      </c>
      <c r="K2746" s="5" t="s">
        <v>308</v>
      </c>
      <c r="L2746" s="7">
        <f>1</f>
        <v>1</v>
      </c>
      <c r="M2746" s="7">
        <f>1</f>
        <v>1</v>
      </c>
      <c r="N2746" s="5" t="s">
        <v>242</v>
      </c>
      <c r="O2746" s="5">
        <v>1</v>
      </c>
      <c r="P2746" s="5" t="s">
        <v>294</v>
      </c>
      <c r="Q2746" s="5" t="s">
        <v>266</v>
      </c>
      <c r="R2746" s="5" t="s">
        <v>240</v>
      </c>
      <c r="S2746" s="5" t="s">
        <v>240</v>
      </c>
      <c r="T2746" s="5" t="s">
        <v>296</v>
      </c>
      <c r="U2746" s="5" t="s">
        <v>244</v>
      </c>
      <c r="V2746" s="5" t="s">
        <v>240</v>
      </c>
      <c r="Y2746" s="5" t="s">
        <v>240</v>
      </c>
      <c r="Z2746" s="6" t="s">
        <v>298</v>
      </c>
      <c r="AB2746" s="6" t="s">
        <v>240</v>
      </c>
      <c r="AE2746" s="6" t="s">
        <v>299</v>
      </c>
      <c r="AF2746" s="5" t="s">
        <v>248</v>
      </c>
      <c r="AG2746" s="5" t="s">
        <v>249</v>
      </c>
      <c r="AW2746" s="5" t="s">
        <v>251</v>
      </c>
      <c r="AX2746" s="5" t="s">
        <v>240</v>
      </c>
      <c r="AY2746" s="5" t="s">
        <v>253</v>
      </c>
      <c r="AZ2746" s="5" t="s">
        <v>240</v>
      </c>
      <c r="BA2746" s="5" t="s">
        <v>255</v>
      </c>
      <c r="BB2746" s="5" t="s">
        <v>240</v>
      </c>
      <c r="BD2746" s="5" t="s">
        <v>240</v>
      </c>
      <c r="BF2746" s="5" t="s">
        <v>301</v>
      </c>
      <c r="BG2746" s="6" t="s">
        <v>299</v>
      </c>
      <c r="BH2746" s="5" t="s">
        <v>302</v>
      </c>
      <c r="BI2746" s="5" t="s">
        <v>303</v>
      </c>
      <c r="BJ2746" s="5" t="s">
        <v>240</v>
      </c>
      <c r="BK2746" s="8">
        <f>0</f>
        <v>0</v>
      </c>
      <c r="BL2746" s="7">
        <f>0</f>
        <v>0</v>
      </c>
      <c r="BM2746" s="5" t="s">
        <v>258</v>
      </c>
      <c r="BN2746" s="5" t="s">
        <v>259</v>
      </c>
      <c r="CB2746" s="5" t="s">
        <v>240</v>
      </c>
      <c r="CC2746" s="5" t="s">
        <v>240</v>
      </c>
      <c r="CG2746" s="5" t="s">
        <v>304</v>
      </c>
      <c r="CH2746" s="5" t="s">
        <v>305</v>
      </c>
      <c r="CI2746" s="5" t="s">
        <v>240</v>
      </c>
      <c r="CL2746" s="6" t="s">
        <v>261</v>
      </c>
      <c r="CM2746" s="5" t="s">
        <v>240</v>
      </c>
      <c r="CN2746" s="5" t="s">
        <v>263</v>
      </c>
      <c r="CO2746" s="5" t="s">
        <v>240</v>
      </c>
      <c r="CP2746" s="5" t="s">
        <v>240</v>
      </c>
      <c r="CQ2746" s="5">
        <v>0</v>
      </c>
      <c r="CR2746" s="5" t="s">
        <v>306</v>
      </c>
      <c r="CS2746" s="5" t="s">
        <v>307</v>
      </c>
      <c r="CT2746" s="5" t="s">
        <v>307</v>
      </c>
      <c r="CU2746" s="5" t="s">
        <v>260</v>
      </c>
      <c r="CX2746" s="7">
        <f>1</f>
        <v>1</v>
      </c>
      <c r="CY2746" s="7">
        <f>0</f>
        <v>0</v>
      </c>
      <c r="DA2746" s="7">
        <f>0</f>
        <v>0</v>
      </c>
      <c r="DC2746" s="5" t="s">
        <v>309</v>
      </c>
      <c r="DD2746" s="5" t="s">
        <v>240</v>
      </c>
      <c r="DF2746" s="5" t="s">
        <v>309</v>
      </c>
      <c r="DG2746" s="7">
        <f>95</f>
        <v>95</v>
      </c>
      <c r="DI2746" s="5" t="s">
        <v>240</v>
      </c>
      <c r="DJ2746" s="5" t="s">
        <v>240</v>
      </c>
      <c r="DK2746" s="5" t="s">
        <v>240</v>
      </c>
      <c r="DL2746" s="5" t="s">
        <v>240</v>
      </c>
      <c r="DP2746" s="5" t="s">
        <v>240</v>
      </c>
      <c r="DQ2746" s="5" t="s">
        <v>240</v>
      </c>
      <c r="DR2746" s="5" t="s">
        <v>240</v>
      </c>
      <c r="DS2746" s="5" t="s">
        <v>240</v>
      </c>
      <c r="DV2746" s="5" t="s">
        <v>310</v>
      </c>
      <c r="DW2746" s="5" t="s">
        <v>3544</v>
      </c>
      <c r="HO2746" s="5" t="s">
        <v>312</v>
      </c>
    </row>
    <row r="2747" spans="1:223" x14ac:dyDescent="0.4">
      <c r="A2747" s="5">
        <v>4451</v>
      </c>
      <c r="B2747" s="5">
        <v>1</v>
      </c>
      <c r="C2747" s="5">
        <v>1</v>
      </c>
      <c r="D2747" s="5" t="s">
        <v>810</v>
      </c>
      <c r="E2747" s="5" t="s">
        <v>245</v>
      </c>
      <c r="F2747" s="5" t="s">
        <v>254</v>
      </c>
      <c r="G2747" s="5" t="s">
        <v>240</v>
      </c>
      <c r="H2747" s="6" t="s">
        <v>3050</v>
      </c>
      <c r="I2747" s="5" t="s">
        <v>809</v>
      </c>
      <c r="J2747" s="8">
        <f>2600</f>
        <v>2600</v>
      </c>
      <c r="K2747" s="5" t="s">
        <v>308</v>
      </c>
      <c r="L2747" s="7">
        <f>1</f>
        <v>1</v>
      </c>
      <c r="M2747" s="7">
        <f>1</f>
        <v>1</v>
      </c>
      <c r="N2747" s="5" t="s">
        <v>242</v>
      </c>
      <c r="O2747" s="5">
        <v>1</v>
      </c>
      <c r="P2747" s="5" t="s">
        <v>294</v>
      </c>
      <c r="Q2747" s="5" t="s">
        <v>266</v>
      </c>
      <c r="R2747" s="5" t="s">
        <v>240</v>
      </c>
      <c r="S2747" s="5" t="s">
        <v>240</v>
      </c>
      <c r="T2747" s="5" t="s">
        <v>296</v>
      </c>
      <c r="U2747" s="5" t="s">
        <v>244</v>
      </c>
      <c r="V2747" s="5" t="s">
        <v>240</v>
      </c>
      <c r="Y2747" s="5" t="s">
        <v>240</v>
      </c>
      <c r="Z2747" s="6" t="s">
        <v>298</v>
      </c>
      <c r="AB2747" s="6" t="s">
        <v>240</v>
      </c>
      <c r="AE2747" s="6" t="s">
        <v>299</v>
      </c>
      <c r="AF2747" s="5" t="s">
        <v>248</v>
      </c>
      <c r="AG2747" s="5" t="s">
        <v>249</v>
      </c>
      <c r="AW2747" s="5" t="s">
        <v>251</v>
      </c>
      <c r="AX2747" s="5" t="s">
        <v>240</v>
      </c>
      <c r="AY2747" s="5" t="s">
        <v>253</v>
      </c>
      <c r="AZ2747" s="5" t="s">
        <v>240</v>
      </c>
      <c r="BA2747" s="5" t="s">
        <v>255</v>
      </c>
      <c r="BB2747" s="5" t="s">
        <v>240</v>
      </c>
      <c r="BD2747" s="5" t="s">
        <v>240</v>
      </c>
      <c r="BF2747" s="5" t="s">
        <v>301</v>
      </c>
      <c r="BG2747" s="6" t="s">
        <v>299</v>
      </c>
      <c r="BH2747" s="5" t="s">
        <v>302</v>
      </c>
      <c r="BI2747" s="5" t="s">
        <v>303</v>
      </c>
      <c r="BJ2747" s="5" t="s">
        <v>240</v>
      </c>
      <c r="BK2747" s="8">
        <f>0</f>
        <v>0</v>
      </c>
      <c r="BL2747" s="7">
        <f>0</f>
        <v>0</v>
      </c>
      <c r="BM2747" s="5" t="s">
        <v>258</v>
      </c>
      <c r="BN2747" s="5" t="s">
        <v>259</v>
      </c>
      <c r="CB2747" s="5" t="s">
        <v>240</v>
      </c>
      <c r="CC2747" s="5" t="s">
        <v>240</v>
      </c>
      <c r="CG2747" s="5" t="s">
        <v>304</v>
      </c>
      <c r="CH2747" s="5" t="s">
        <v>305</v>
      </c>
      <c r="CI2747" s="5" t="s">
        <v>240</v>
      </c>
      <c r="CL2747" s="6" t="s">
        <v>261</v>
      </c>
      <c r="CM2747" s="5" t="s">
        <v>240</v>
      </c>
      <c r="CN2747" s="5" t="s">
        <v>263</v>
      </c>
      <c r="CO2747" s="5" t="s">
        <v>240</v>
      </c>
      <c r="CP2747" s="5" t="s">
        <v>240</v>
      </c>
      <c r="CQ2747" s="5">
        <v>0</v>
      </c>
      <c r="CR2747" s="5" t="s">
        <v>306</v>
      </c>
      <c r="CS2747" s="5" t="s">
        <v>307</v>
      </c>
      <c r="CT2747" s="5" t="s">
        <v>307</v>
      </c>
      <c r="CU2747" s="5" t="s">
        <v>260</v>
      </c>
      <c r="CX2747" s="7">
        <f>1</f>
        <v>1</v>
      </c>
      <c r="CY2747" s="7">
        <f>0</f>
        <v>0</v>
      </c>
      <c r="DA2747" s="7">
        <f>0</f>
        <v>0</v>
      </c>
      <c r="DC2747" s="5" t="s">
        <v>309</v>
      </c>
      <c r="DD2747" s="5" t="s">
        <v>240</v>
      </c>
      <c r="DF2747" s="5" t="s">
        <v>309</v>
      </c>
      <c r="DG2747" s="7">
        <f>169</f>
        <v>169</v>
      </c>
      <c r="DI2747" s="5" t="s">
        <v>240</v>
      </c>
      <c r="DJ2747" s="5" t="s">
        <v>240</v>
      </c>
      <c r="DK2747" s="5" t="s">
        <v>240</v>
      </c>
      <c r="DL2747" s="5" t="s">
        <v>240</v>
      </c>
      <c r="DP2747" s="5" t="s">
        <v>240</v>
      </c>
      <c r="DQ2747" s="5" t="s">
        <v>240</v>
      </c>
      <c r="DR2747" s="5" t="s">
        <v>240</v>
      </c>
      <c r="DS2747" s="5" t="s">
        <v>240</v>
      </c>
      <c r="DV2747" s="5" t="s">
        <v>310</v>
      </c>
      <c r="DW2747" s="5" t="s">
        <v>3546</v>
      </c>
      <c r="HO2747" s="5" t="s">
        <v>312</v>
      </c>
    </row>
    <row r="2748" spans="1:223" x14ac:dyDescent="0.4">
      <c r="A2748" s="5">
        <v>4452</v>
      </c>
      <c r="B2748" s="5">
        <v>1</v>
      </c>
      <c r="C2748" s="5">
        <v>1</v>
      </c>
      <c r="D2748" s="5" t="s">
        <v>810</v>
      </c>
      <c r="E2748" s="5" t="s">
        <v>245</v>
      </c>
      <c r="F2748" s="5" t="s">
        <v>254</v>
      </c>
      <c r="G2748" s="5" t="s">
        <v>240</v>
      </c>
      <c r="H2748" s="6" t="s">
        <v>3048</v>
      </c>
      <c r="I2748" s="5" t="s">
        <v>809</v>
      </c>
      <c r="J2748" s="8">
        <f>3184</f>
        <v>3184</v>
      </c>
      <c r="K2748" s="5" t="s">
        <v>308</v>
      </c>
      <c r="L2748" s="7">
        <f>1</f>
        <v>1</v>
      </c>
      <c r="M2748" s="7">
        <f>1</f>
        <v>1</v>
      </c>
      <c r="N2748" s="5" t="s">
        <v>242</v>
      </c>
      <c r="O2748" s="5">
        <v>1</v>
      </c>
      <c r="P2748" s="5" t="s">
        <v>294</v>
      </c>
      <c r="Q2748" s="5" t="s">
        <v>266</v>
      </c>
      <c r="R2748" s="5" t="s">
        <v>240</v>
      </c>
      <c r="S2748" s="5" t="s">
        <v>240</v>
      </c>
      <c r="T2748" s="5" t="s">
        <v>296</v>
      </c>
      <c r="U2748" s="5" t="s">
        <v>244</v>
      </c>
      <c r="V2748" s="5" t="s">
        <v>240</v>
      </c>
      <c r="Y2748" s="5" t="s">
        <v>240</v>
      </c>
      <c r="Z2748" s="6" t="s">
        <v>298</v>
      </c>
      <c r="AB2748" s="6" t="s">
        <v>240</v>
      </c>
      <c r="AE2748" s="6" t="s">
        <v>299</v>
      </c>
      <c r="AF2748" s="5" t="s">
        <v>248</v>
      </c>
      <c r="AG2748" s="5" t="s">
        <v>249</v>
      </c>
      <c r="AW2748" s="5" t="s">
        <v>251</v>
      </c>
      <c r="AX2748" s="5" t="s">
        <v>240</v>
      </c>
      <c r="AY2748" s="5" t="s">
        <v>253</v>
      </c>
      <c r="AZ2748" s="5" t="s">
        <v>240</v>
      </c>
      <c r="BA2748" s="5" t="s">
        <v>255</v>
      </c>
      <c r="BB2748" s="5" t="s">
        <v>240</v>
      </c>
      <c r="BD2748" s="5" t="s">
        <v>240</v>
      </c>
      <c r="BF2748" s="5" t="s">
        <v>301</v>
      </c>
      <c r="BG2748" s="6" t="s">
        <v>299</v>
      </c>
      <c r="BH2748" s="5" t="s">
        <v>302</v>
      </c>
      <c r="BI2748" s="5" t="s">
        <v>303</v>
      </c>
      <c r="BJ2748" s="5" t="s">
        <v>240</v>
      </c>
      <c r="BK2748" s="8">
        <f>0</f>
        <v>0</v>
      </c>
      <c r="BL2748" s="7">
        <f>0</f>
        <v>0</v>
      </c>
      <c r="BM2748" s="5" t="s">
        <v>258</v>
      </c>
      <c r="BN2748" s="5" t="s">
        <v>259</v>
      </c>
      <c r="CB2748" s="5" t="s">
        <v>240</v>
      </c>
      <c r="CC2748" s="5" t="s">
        <v>240</v>
      </c>
      <c r="CG2748" s="5" t="s">
        <v>304</v>
      </c>
      <c r="CH2748" s="5" t="s">
        <v>305</v>
      </c>
      <c r="CI2748" s="5" t="s">
        <v>240</v>
      </c>
      <c r="CL2748" s="6" t="s">
        <v>261</v>
      </c>
      <c r="CM2748" s="5" t="s">
        <v>240</v>
      </c>
      <c r="CN2748" s="5" t="s">
        <v>263</v>
      </c>
      <c r="CO2748" s="5" t="s">
        <v>240</v>
      </c>
      <c r="CP2748" s="5" t="s">
        <v>240</v>
      </c>
      <c r="CQ2748" s="5">
        <v>0</v>
      </c>
      <c r="CR2748" s="5" t="s">
        <v>306</v>
      </c>
      <c r="CS2748" s="5" t="s">
        <v>307</v>
      </c>
      <c r="CT2748" s="5" t="s">
        <v>307</v>
      </c>
      <c r="CU2748" s="5" t="s">
        <v>260</v>
      </c>
      <c r="CX2748" s="7">
        <f>1</f>
        <v>1</v>
      </c>
      <c r="CY2748" s="7">
        <f>0</f>
        <v>0</v>
      </c>
      <c r="DA2748" s="7">
        <f>0</f>
        <v>0</v>
      </c>
      <c r="DC2748" s="5" t="s">
        <v>309</v>
      </c>
      <c r="DD2748" s="5" t="s">
        <v>240</v>
      </c>
      <c r="DF2748" s="5" t="s">
        <v>309</v>
      </c>
      <c r="DG2748" s="7">
        <f>1565</f>
        <v>1565</v>
      </c>
      <c r="DI2748" s="5" t="s">
        <v>240</v>
      </c>
      <c r="DJ2748" s="5" t="s">
        <v>240</v>
      </c>
      <c r="DK2748" s="5" t="s">
        <v>240</v>
      </c>
      <c r="DL2748" s="5" t="s">
        <v>240</v>
      </c>
      <c r="DP2748" s="5" t="s">
        <v>240</v>
      </c>
      <c r="DQ2748" s="5" t="s">
        <v>240</v>
      </c>
      <c r="DR2748" s="5" t="s">
        <v>240</v>
      </c>
      <c r="DS2748" s="5" t="s">
        <v>240</v>
      </c>
      <c r="DV2748" s="5" t="s">
        <v>310</v>
      </c>
      <c r="DW2748" s="5" t="s">
        <v>3548</v>
      </c>
      <c r="HO2748" s="5" t="s">
        <v>312</v>
      </c>
    </row>
    <row r="2749" spans="1:223" x14ac:dyDescent="0.4">
      <c r="A2749" s="5">
        <v>4453</v>
      </c>
      <c r="B2749" s="5">
        <v>1</v>
      </c>
      <c r="C2749" s="5">
        <v>1</v>
      </c>
      <c r="D2749" s="5" t="s">
        <v>810</v>
      </c>
      <c r="E2749" s="5" t="s">
        <v>245</v>
      </c>
      <c r="F2749" s="5" t="s">
        <v>254</v>
      </c>
      <c r="G2749" s="5" t="s">
        <v>240</v>
      </c>
      <c r="H2749" s="6" t="s">
        <v>3046</v>
      </c>
      <c r="I2749" s="5" t="s">
        <v>809</v>
      </c>
      <c r="J2749" s="8">
        <f>877</f>
        <v>877</v>
      </c>
      <c r="K2749" s="5" t="s">
        <v>308</v>
      </c>
      <c r="L2749" s="7">
        <f>1</f>
        <v>1</v>
      </c>
      <c r="M2749" s="7">
        <f>1</f>
        <v>1</v>
      </c>
      <c r="N2749" s="5" t="s">
        <v>242</v>
      </c>
      <c r="O2749" s="5">
        <v>1</v>
      </c>
      <c r="P2749" s="5" t="s">
        <v>294</v>
      </c>
      <c r="Q2749" s="5" t="s">
        <v>266</v>
      </c>
      <c r="R2749" s="5" t="s">
        <v>240</v>
      </c>
      <c r="S2749" s="5" t="s">
        <v>240</v>
      </c>
      <c r="T2749" s="5" t="s">
        <v>296</v>
      </c>
      <c r="U2749" s="5" t="s">
        <v>244</v>
      </c>
      <c r="V2749" s="5" t="s">
        <v>240</v>
      </c>
      <c r="Y2749" s="5" t="s">
        <v>240</v>
      </c>
      <c r="Z2749" s="6" t="s">
        <v>298</v>
      </c>
      <c r="AB2749" s="6" t="s">
        <v>240</v>
      </c>
      <c r="AE2749" s="6" t="s">
        <v>299</v>
      </c>
      <c r="AF2749" s="5" t="s">
        <v>248</v>
      </c>
      <c r="AG2749" s="5" t="s">
        <v>249</v>
      </c>
      <c r="AW2749" s="5" t="s">
        <v>251</v>
      </c>
      <c r="AX2749" s="5" t="s">
        <v>240</v>
      </c>
      <c r="AY2749" s="5" t="s">
        <v>253</v>
      </c>
      <c r="AZ2749" s="5" t="s">
        <v>240</v>
      </c>
      <c r="BA2749" s="5" t="s">
        <v>255</v>
      </c>
      <c r="BB2749" s="5" t="s">
        <v>240</v>
      </c>
      <c r="BD2749" s="5" t="s">
        <v>240</v>
      </c>
      <c r="BF2749" s="5" t="s">
        <v>301</v>
      </c>
      <c r="BG2749" s="6" t="s">
        <v>299</v>
      </c>
      <c r="BH2749" s="5" t="s">
        <v>302</v>
      </c>
      <c r="BI2749" s="5" t="s">
        <v>303</v>
      </c>
      <c r="BJ2749" s="5" t="s">
        <v>240</v>
      </c>
      <c r="BK2749" s="8">
        <f>0</f>
        <v>0</v>
      </c>
      <c r="BL2749" s="7">
        <f>0</f>
        <v>0</v>
      </c>
      <c r="BM2749" s="5" t="s">
        <v>258</v>
      </c>
      <c r="BN2749" s="5" t="s">
        <v>259</v>
      </c>
      <c r="CB2749" s="5" t="s">
        <v>240</v>
      </c>
      <c r="CC2749" s="5" t="s">
        <v>240</v>
      </c>
      <c r="CG2749" s="5" t="s">
        <v>304</v>
      </c>
      <c r="CH2749" s="5" t="s">
        <v>305</v>
      </c>
      <c r="CI2749" s="5" t="s">
        <v>240</v>
      </c>
      <c r="CL2749" s="6" t="s">
        <v>261</v>
      </c>
      <c r="CM2749" s="5" t="s">
        <v>240</v>
      </c>
      <c r="CN2749" s="5" t="s">
        <v>263</v>
      </c>
      <c r="CO2749" s="5" t="s">
        <v>240</v>
      </c>
      <c r="CP2749" s="5" t="s">
        <v>240</v>
      </c>
      <c r="CQ2749" s="5">
        <v>0</v>
      </c>
      <c r="CR2749" s="5" t="s">
        <v>306</v>
      </c>
      <c r="CS2749" s="5" t="s">
        <v>307</v>
      </c>
      <c r="CT2749" s="5" t="s">
        <v>307</v>
      </c>
      <c r="CU2749" s="5" t="s">
        <v>260</v>
      </c>
      <c r="CX2749" s="7">
        <f>1</f>
        <v>1</v>
      </c>
      <c r="CY2749" s="7">
        <f>0</f>
        <v>0</v>
      </c>
      <c r="DA2749" s="7">
        <f>0</f>
        <v>0</v>
      </c>
      <c r="DC2749" s="5" t="s">
        <v>309</v>
      </c>
      <c r="DD2749" s="5" t="s">
        <v>240</v>
      </c>
      <c r="DF2749" s="5" t="s">
        <v>309</v>
      </c>
      <c r="DG2749" s="7">
        <f>958</f>
        <v>958</v>
      </c>
      <c r="DI2749" s="5" t="s">
        <v>240</v>
      </c>
      <c r="DJ2749" s="5" t="s">
        <v>240</v>
      </c>
      <c r="DK2749" s="5" t="s">
        <v>240</v>
      </c>
      <c r="DL2749" s="5" t="s">
        <v>240</v>
      </c>
      <c r="DP2749" s="5" t="s">
        <v>240</v>
      </c>
      <c r="DQ2749" s="5" t="s">
        <v>240</v>
      </c>
      <c r="DR2749" s="5" t="s">
        <v>240</v>
      </c>
      <c r="DS2749" s="5" t="s">
        <v>240</v>
      </c>
      <c r="DV2749" s="5" t="s">
        <v>310</v>
      </c>
      <c r="DW2749" s="5" t="s">
        <v>3550</v>
      </c>
      <c r="HO2749" s="5" t="s">
        <v>312</v>
      </c>
    </row>
    <row r="2750" spans="1:223" x14ac:dyDescent="0.4">
      <c r="A2750" s="5">
        <v>4454</v>
      </c>
      <c r="B2750" s="5">
        <v>1</v>
      </c>
      <c r="C2750" s="5">
        <v>1</v>
      </c>
      <c r="D2750" s="5" t="s">
        <v>810</v>
      </c>
      <c r="E2750" s="5" t="s">
        <v>245</v>
      </c>
      <c r="F2750" s="5" t="s">
        <v>254</v>
      </c>
      <c r="G2750" s="5" t="s">
        <v>240</v>
      </c>
      <c r="H2750" s="6" t="s">
        <v>3044</v>
      </c>
      <c r="I2750" s="5" t="s">
        <v>809</v>
      </c>
      <c r="J2750" s="8">
        <f>1796</f>
        <v>1796</v>
      </c>
      <c r="K2750" s="5" t="s">
        <v>308</v>
      </c>
      <c r="L2750" s="7">
        <f>1</f>
        <v>1</v>
      </c>
      <c r="M2750" s="7">
        <f>1</f>
        <v>1</v>
      </c>
      <c r="N2750" s="5" t="s">
        <v>242</v>
      </c>
      <c r="O2750" s="5">
        <v>1</v>
      </c>
      <c r="P2750" s="5" t="s">
        <v>294</v>
      </c>
      <c r="Q2750" s="5" t="s">
        <v>266</v>
      </c>
      <c r="R2750" s="5" t="s">
        <v>240</v>
      </c>
      <c r="S2750" s="5" t="s">
        <v>240</v>
      </c>
      <c r="T2750" s="5" t="s">
        <v>296</v>
      </c>
      <c r="U2750" s="5" t="s">
        <v>244</v>
      </c>
      <c r="V2750" s="5" t="s">
        <v>240</v>
      </c>
      <c r="Y2750" s="5" t="s">
        <v>240</v>
      </c>
      <c r="Z2750" s="6" t="s">
        <v>298</v>
      </c>
      <c r="AB2750" s="6" t="s">
        <v>240</v>
      </c>
      <c r="AE2750" s="6" t="s">
        <v>299</v>
      </c>
      <c r="AF2750" s="5" t="s">
        <v>248</v>
      </c>
      <c r="AG2750" s="5" t="s">
        <v>249</v>
      </c>
      <c r="AW2750" s="5" t="s">
        <v>251</v>
      </c>
      <c r="AX2750" s="5" t="s">
        <v>240</v>
      </c>
      <c r="AY2750" s="5" t="s">
        <v>253</v>
      </c>
      <c r="AZ2750" s="5" t="s">
        <v>240</v>
      </c>
      <c r="BA2750" s="5" t="s">
        <v>255</v>
      </c>
      <c r="BB2750" s="5" t="s">
        <v>240</v>
      </c>
      <c r="BD2750" s="5" t="s">
        <v>240</v>
      </c>
      <c r="BF2750" s="5" t="s">
        <v>301</v>
      </c>
      <c r="BG2750" s="6" t="s">
        <v>299</v>
      </c>
      <c r="BH2750" s="5" t="s">
        <v>302</v>
      </c>
      <c r="BI2750" s="5" t="s">
        <v>303</v>
      </c>
      <c r="BJ2750" s="5" t="s">
        <v>240</v>
      </c>
      <c r="BK2750" s="8">
        <f>0</f>
        <v>0</v>
      </c>
      <c r="BL2750" s="7">
        <f>0</f>
        <v>0</v>
      </c>
      <c r="BM2750" s="5" t="s">
        <v>258</v>
      </c>
      <c r="BN2750" s="5" t="s">
        <v>259</v>
      </c>
      <c r="CB2750" s="5" t="s">
        <v>240</v>
      </c>
      <c r="CC2750" s="5" t="s">
        <v>240</v>
      </c>
      <c r="CG2750" s="5" t="s">
        <v>304</v>
      </c>
      <c r="CH2750" s="5" t="s">
        <v>305</v>
      </c>
      <c r="CI2750" s="5" t="s">
        <v>240</v>
      </c>
      <c r="CL2750" s="6" t="s">
        <v>261</v>
      </c>
      <c r="CM2750" s="5" t="s">
        <v>240</v>
      </c>
      <c r="CN2750" s="5" t="s">
        <v>263</v>
      </c>
      <c r="CO2750" s="5" t="s">
        <v>240</v>
      </c>
      <c r="CP2750" s="5" t="s">
        <v>240</v>
      </c>
      <c r="CQ2750" s="5">
        <v>0</v>
      </c>
      <c r="CR2750" s="5" t="s">
        <v>306</v>
      </c>
      <c r="CS2750" s="5" t="s">
        <v>307</v>
      </c>
      <c r="CT2750" s="5" t="s">
        <v>307</v>
      </c>
      <c r="CU2750" s="5" t="s">
        <v>260</v>
      </c>
      <c r="CX2750" s="7">
        <f>1</f>
        <v>1</v>
      </c>
      <c r="CY2750" s="7">
        <f>0</f>
        <v>0</v>
      </c>
      <c r="DA2750" s="7">
        <f>0</f>
        <v>0</v>
      </c>
      <c r="DC2750" s="5" t="s">
        <v>309</v>
      </c>
      <c r="DD2750" s="5" t="s">
        <v>240</v>
      </c>
      <c r="DF2750" s="5" t="s">
        <v>309</v>
      </c>
      <c r="DG2750" s="7">
        <f>284</f>
        <v>284</v>
      </c>
      <c r="DI2750" s="5" t="s">
        <v>240</v>
      </c>
      <c r="DJ2750" s="5" t="s">
        <v>240</v>
      </c>
      <c r="DK2750" s="5" t="s">
        <v>240</v>
      </c>
      <c r="DL2750" s="5" t="s">
        <v>240</v>
      </c>
      <c r="DP2750" s="5" t="s">
        <v>240</v>
      </c>
      <c r="DQ2750" s="5" t="s">
        <v>240</v>
      </c>
      <c r="DR2750" s="5" t="s">
        <v>240</v>
      </c>
      <c r="DS2750" s="5" t="s">
        <v>240</v>
      </c>
      <c r="DV2750" s="5" t="s">
        <v>310</v>
      </c>
      <c r="DW2750" s="5" t="s">
        <v>3552</v>
      </c>
      <c r="HO2750" s="5" t="s">
        <v>312</v>
      </c>
    </row>
    <row r="2751" spans="1:223" x14ac:dyDescent="0.4">
      <c r="A2751" s="5">
        <v>4455</v>
      </c>
      <c r="B2751" s="5">
        <v>1</v>
      </c>
      <c r="C2751" s="5">
        <v>1</v>
      </c>
      <c r="D2751" s="5" t="s">
        <v>810</v>
      </c>
      <c r="E2751" s="5" t="s">
        <v>245</v>
      </c>
      <c r="F2751" s="5" t="s">
        <v>254</v>
      </c>
      <c r="G2751" s="5" t="s">
        <v>240</v>
      </c>
      <c r="H2751" s="6" t="s">
        <v>3042</v>
      </c>
      <c r="I2751" s="5" t="s">
        <v>809</v>
      </c>
      <c r="J2751" s="8">
        <f>1223</f>
        <v>1223</v>
      </c>
      <c r="K2751" s="5" t="s">
        <v>308</v>
      </c>
      <c r="L2751" s="7">
        <f>1</f>
        <v>1</v>
      </c>
      <c r="M2751" s="7">
        <f>1</f>
        <v>1</v>
      </c>
      <c r="N2751" s="5" t="s">
        <v>242</v>
      </c>
      <c r="O2751" s="5">
        <v>1</v>
      </c>
      <c r="P2751" s="5" t="s">
        <v>294</v>
      </c>
      <c r="Q2751" s="5" t="s">
        <v>266</v>
      </c>
      <c r="R2751" s="5" t="s">
        <v>240</v>
      </c>
      <c r="S2751" s="5" t="s">
        <v>240</v>
      </c>
      <c r="T2751" s="5" t="s">
        <v>296</v>
      </c>
      <c r="U2751" s="5" t="s">
        <v>244</v>
      </c>
      <c r="V2751" s="5" t="s">
        <v>240</v>
      </c>
      <c r="Y2751" s="5" t="s">
        <v>240</v>
      </c>
      <c r="Z2751" s="6" t="s">
        <v>298</v>
      </c>
      <c r="AB2751" s="6" t="s">
        <v>240</v>
      </c>
      <c r="AE2751" s="6" t="s">
        <v>299</v>
      </c>
      <c r="AF2751" s="5" t="s">
        <v>248</v>
      </c>
      <c r="AG2751" s="5" t="s">
        <v>249</v>
      </c>
      <c r="AW2751" s="5" t="s">
        <v>251</v>
      </c>
      <c r="AX2751" s="5" t="s">
        <v>240</v>
      </c>
      <c r="AY2751" s="5" t="s">
        <v>253</v>
      </c>
      <c r="AZ2751" s="5" t="s">
        <v>240</v>
      </c>
      <c r="BA2751" s="5" t="s">
        <v>255</v>
      </c>
      <c r="BB2751" s="5" t="s">
        <v>240</v>
      </c>
      <c r="BD2751" s="5" t="s">
        <v>240</v>
      </c>
      <c r="BF2751" s="5" t="s">
        <v>301</v>
      </c>
      <c r="BG2751" s="6" t="s">
        <v>299</v>
      </c>
      <c r="BH2751" s="5" t="s">
        <v>302</v>
      </c>
      <c r="BI2751" s="5" t="s">
        <v>303</v>
      </c>
      <c r="BJ2751" s="5" t="s">
        <v>240</v>
      </c>
      <c r="BK2751" s="8">
        <f>0</f>
        <v>0</v>
      </c>
      <c r="BL2751" s="7">
        <f>0</f>
        <v>0</v>
      </c>
      <c r="BM2751" s="5" t="s">
        <v>258</v>
      </c>
      <c r="BN2751" s="5" t="s">
        <v>259</v>
      </c>
      <c r="CB2751" s="5" t="s">
        <v>240</v>
      </c>
      <c r="CC2751" s="5" t="s">
        <v>240</v>
      </c>
      <c r="CG2751" s="5" t="s">
        <v>304</v>
      </c>
      <c r="CH2751" s="5" t="s">
        <v>305</v>
      </c>
      <c r="CI2751" s="5" t="s">
        <v>240</v>
      </c>
      <c r="CL2751" s="6" t="s">
        <v>261</v>
      </c>
      <c r="CM2751" s="5" t="s">
        <v>240</v>
      </c>
      <c r="CN2751" s="5" t="s">
        <v>263</v>
      </c>
      <c r="CO2751" s="5" t="s">
        <v>240</v>
      </c>
      <c r="CP2751" s="5" t="s">
        <v>240</v>
      </c>
      <c r="CQ2751" s="5">
        <v>0</v>
      </c>
      <c r="CR2751" s="5" t="s">
        <v>306</v>
      </c>
      <c r="CS2751" s="5" t="s">
        <v>307</v>
      </c>
      <c r="CT2751" s="5" t="s">
        <v>307</v>
      </c>
      <c r="CU2751" s="5" t="s">
        <v>260</v>
      </c>
      <c r="CX2751" s="7">
        <f>1</f>
        <v>1</v>
      </c>
      <c r="CY2751" s="7">
        <f>0</f>
        <v>0</v>
      </c>
      <c r="DA2751" s="7">
        <f>0</f>
        <v>0</v>
      </c>
      <c r="DC2751" s="5" t="s">
        <v>309</v>
      </c>
      <c r="DD2751" s="5" t="s">
        <v>240</v>
      </c>
      <c r="DF2751" s="5" t="s">
        <v>309</v>
      </c>
      <c r="DG2751" s="7">
        <f>2490</f>
        <v>2490</v>
      </c>
      <c r="DI2751" s="5" t="s">
        <v>240</v>
      </c>
      <c r="DJ2751" s="5" t="s">
        <v>240</v>
      </c>
      <c r="DK2751" s="5" t="s">
        <v>240</v>
      </c>
      <c r="DL2751" s="5" t="s">
        <v>240</v>
      </c>
      <c r="DP2751" s="5" t="s">
        <v>240</v>
      </c>
      <c r="DQ2751" s="5" t="s">
        <v>240</v>
      </c>
      <c r="DR2751" s="5" t="s">
        <v>240</v>
      </c>
      <c r="DS2751" s="5" t="s">
        <v>240</v>
      </c>
      <c r="DV2751" s="5" t="s">
        <v>310</v>
      </c>
      <c r="DW2751" s="5" t="s">
        <v>3554</v>
      </c>
      <c r="HO2751" s="5" t="s">
        <v>312</v>
      </c>
    </row>
    <row r="2752" spans="1:223" x14ac:dyDescent="0.4">
      <c r="A2752" s="5">
        <v>4456</v>
      </c>
      <c r="B2752" s="5">
        <v>1</v>
      </c>
      <c r="C2752" s="5">
        <v>1</v>
      </c>
      <c r="D2752" s="5" t="s">
        <v>810</v>
      </c>
      <c r="E2752" s="5" t="s">
        <v>245</v>
      </c>
      <c r="F2752" s="5" t="s">
        <v>254</v>
      </c>
      <c r="G2752" s="5" t="s">
        <v>240</v>
      </c>
      <c r="H2752" s="6" t="s">
        <v>3040</v>
      </c>
      <c r="I2752" s="5" t="s">
        <v>809</v>
      </c>
      <c r="J2752" s="8">
        <f>383</f>
        <v>383</v>
      </c>
      <c r="K2752" s="5" t="s">
        <v>308</v>
      </c>
      <c r="L2752" s="7">
        <f>1</f>
        <v>1</v>
      </c>
      <c r="M2752" s="7">
        <f>1</f>
        <v>1</v>
      </c>
      <c r="N2752" s="5" t="s">
        <v>242</v>
      </c>
      <c r="O2752" s="5">
        <v>1</v>
      </c>
      <c r="P2752" s="5" t="s">
        <v>294</v>
      </c>
      <c r="Q2752" s="5" t="s">
        <v>266</v>
      </c>
      <c r="R2752" s="5" t="s">
        <v>240</v>
      </c>
      <c r="S2752" s="5" t="s">
        <v>240</v>
      </c>
      <c r="T2752" s="5" t="s">
        <v>296</v>
      </c>
      <c r="U2752" s="5" t="s">
        <v>244</v>
      </c>
      <c r="V2752" s="5" t="s">
        <v>240</v>
      </c>
      <c r="Y2752" s="5" t="s">
        <v>240</v>
      </c>
      <c r="Z2752" s="6" t="s">
        <v>298</v>
      </c>
      <c r="AB2752" s="6" t="s">
        <v>240</v>
      </c>
      <c r="AE2752" s="6" t="s">
        <v>299</v>
      </c>
      <c r="AF2752" s="5" t="s">
        <v>248</v>
      </c>
      <c r="AG2752" s="5" t="s">
        <v>249</v>
      </c>
      <c r="AW2752" s="5" t="s">
        <v>251</v>
      </c>
      <c r="AX2752" s="5" t="s">
        <v>240</v>
      </c>
      <c r="AY2752" s="5" t="s">
        <v>253</v>
      </c>
      <c r="AZ2752" s="5" t="s">
        <v>240</v>
      </c>
      <c r="BA2752" s="5" t="s">
        <v>255</v>
      </c>
      <c r="BB2752" s="5" t="s">
        <v>240</v>
      </c>
      <c r="BD2752" s="5" t="s">
        <v>240</v>
      </c>
      <c r="BF2752" s="5" t="s">
        <v>301</v>
      </c>
      <c r="BG2752" s="6" t="s">
        <v>299</v>
      </c>
      <c r="BH2752" s="5" t="s">
        <v>302</v>
      </c>
      <c r="BI2752" s="5" t="s">
        <v>303</v>
      </c>
      <c r="BJ2752" s="5" t="s">
        <v>240</v>
      </c>
      <c r="BK2752" s="8">
        <f>0</f>
        <v>0</v>
      </c>
      <c r="BL2752" s="7">
        <f>0</f>
        <v>0</v>
      </c>
      <c r="BM2752" s="5" t="s">
        <v>258</v>
      </c>
      <c r="BN2752" s="5" t="s">
        <v>259</v>
      </c>
      <c r="CB2752" s="5" t="s">
        <v>240</v>
      </c>
      <c r="CC2752" s="5" t="s">
        <v>240</v>
      </c>
      <c r="CG2752" s="5" t="s">
        <v>304</v>
      </c>
      <c r="CH2752" s="5" t="s">
        <v>305</v>
      </c>
      <c r="CI2752" s="5" t="s">
        <v>240</v>
      </c>
      <c r="CL2752" s="6" t="s">
        <v>261</v>
      </c>
      <c r="CM2752" s="5" t="s">
        <v>240</v>
      </c>
      <c r="CN2752" s="5" t="s">
        <v>263</v>
      </c>
      <c r="CO2752" s="5" t="s">
        <v>240</v>
      </c>
      <c r="CP2752" s="5" t="s">
        <v>240</v>
      </c>
      <c r="CQ2752" s="5">
        <v>0</v>
      </c>
      <c r="CR2752" s="5" t="s">
        <v>306</v>
      </c>
      <c r="CS2752" s="5" t="s">
        <v>307</v>
      </c>
      <c r="CT2752" s="5" t="s">
        <v>307</v>
      </c>
      <c r="CU2752" s="5" t="s">
        <v>260</v>
      </c>
      <c r="CX2752" s="7">
        <f>1</f>
        <v>1</v>
      </c>
      <c r="CY2752" s="7">
        <f>0</f>
        <v>0</v>
      </c>
      <c r="DA2752" s="7">
        <f>0</f>
        <v>0</v>
      </c>
      <c r="DC2752" s="5" t="s">
        <v>309</v>
      </c>
      <c r="DD2752" s="5" t="s">
        <v>240</v>
      </c>
      <c r="DF2752" s="5" t="s">
        <v>309</v>
      </c>
      <c r="DG2752" s="7">
        <f>787</f>
        <v>787</v>
      </c>
      <c r="DI2752" s="5" t="s">
        <v>240</v>
      </c>
      <c r="DJ2752" s="5" t="s">
        <v>240</v>
      </c>
      <c r="DK2752" s="5" t="s">
        <v>240</v>
      </c>
      <c r="DL2752" s="5" t="s">
        <v>240</v>
      </c>
      <c r="DP2752" s="5" t="s">
        <v>240</v>
      </c>
      <c r="DQ2752" s="5" t="s">
        <v>240</v>
      </c>
      <c r="DR2752" s="5" t="s">
        <v>240</v>
      </c>
      <c r="DS2752" s="5" t="s">
        <v>240</v>
      </c>
      <c r="DV2752" s="5" t="s">
        <v>310</v>
      </c>
      <c r="DW2752" s="5" t="s">
        <v>3556</v>
      </c>
      <c r="HO2752" s="5" t="s">
        <v>312</v>
      </c>
    </row>
    <row r="2753" spans="1:223" x14ac:dyDescent="0.4">
      <c r="A2753" s="5">
        <v>4457</v>
      </c>
      <c r="B2753" s="5">
        <v>1</v>
      </c>
      <c r="C2753" s="5">
        <v>1</v>
      </c>
      <c r="D2753" s="5" t="s">
        <v>810</v>
      </c>
      <c r="E2753" s="5" t="s">
        <v>245</v>
      </c>
      <c r="F2753" s="5" t="s">
        <v>254</v>
      </c>
      <c r="G2753" s="5" t="s">
        <v>240</v>
      </c>
      <c r="H2753" s="6" t="s">
        <v>3038</v>
      </c>
      <c r="I2753" s="5" t="s">
        <v>809</v>
      </c>
      <c r="J2753" s="8">
        <f>91</f>
        <v>91</v>
      </c>
      <c r="K2753" s="5" t="s">
        <v>308</v>
      </c>
      <c r="L2753" s="7">
        <f>1</f>
        <v>1</v>
      </c>
      <c r="M2753" s="7">
        <f>1</f>
        <v>1</v>
      </c>
      <c r="N2753" s="5" t="s">
        <v>242</v>
      </c>
      <c r="O2753" s="5">
        <v>1</v>
      </c>
      <c r="P2753" s="5" t="s">
        <v>294</v>
      </c>
      <c r="Q2753" s="5" t="s">
        <v>266</v>
      </c>
      <c r="R2753" s="5" t="s">
        <v>240</v>
      </c>
      <c r="S2753" s="5" t="s">
        <v>240</v>
      </c>
      <c r="T2753" s="5" t="s">
        <v>296</v>
      </c>
      <c r="U2753" s="5" t="s">
        <v>244</v>
      </c>
      <c r="V2753" s="5" t="s">
        <v>240</v>
      </c>
      <c r="Y2753" s="5" t="s">
        <v>240</v>
      </c>
      <c r="Z2753" s="6" t="s">
        <v>298</v>
      </c>
      <c r="AB2753" s="6" t="s">
        <v>240</v>
      </c>
      <c r="AE2753" s="6" t="s">
        <v>299</v>
      </c>
      <c r="AF2753" s="5" t="s">
        <v>248</v>
      </c>
      <c r="AG2753" s="5" t="s">
        <v>249</v>
      </c>
      <c r="AW2753" s="5" t="s">
        <v>251</v>
      </c>
      <c r="AX2753" s="5" t="s">
        <v>240</v>
      </c>
      <c r="AY2753" s="5" t="s">
        <v>253</v>
      </c>
      <c r="AZ2753" s="5" t="s">
        <v>240</v>
      </c>
      <c r="BA2753" s="5" t="s">
        <v>255</v>
      </c>
      <c r="BB2753" s="5" t="s">
        <v>240</v>
      </c>
      <c r="BD2753" s="5" t="s">
        <v>240</v>
      </c>
      <c r="BF2753" s="5" t="s">
        <v>301</v>
      </c>
      <c r="BG2753" s="6" t="s">
        <v>299</v>
      </c>
      <c r="BH2753" s="5" t="s">
        <v>302</v>
      </c>
      <c r="BI2753" s="5" t="s">
        <v>303</v>
      </c>
      <c r="BJ2753" s="5" t="s">
        <v>240</v>
      </c>
      <c r="BK2753" s="8">
        <f>0</f>
        <v>0</v>
      </c>
      <c r="BL2753" s="7">
        <f>0</f>
        <v>0</v>
      </c>
      <c r="BM2753" s="5" t="s">
        <v>258</v>
      </c>
      <c r="BN2753" s="5" t="s">
        <v>259</v>
      </c>
      <c r="CB2753" s="5" t="s">
        <v>240</v>
      </c>
      <c r="CC2753" s="5" t="s">
        <v>240</v>
      </c>
      <c r="CG2753" s="5" t="s">
        <v>304</v>
      </c>
      <c r="CH2753" s="5" t="s">
        <v>305</v>
      </c>
      <c r="CI2753" s="5" t="s">
        <v>240</v>
      </c>
      <c r="CL2753" s="6" t="s">
        <v>261</v>
      </c>
      <c r="CM2753" s="5" t="s">
        <v>240</v>
      </c>
      <c r="CN2753" s="5" t="s">
        <v>263</v>
      </c>
      <c r="CO2753" s="5" t="s">
        <v>240</v>
      </c>
      <c r="CP2753" s="5" t="s">
        <v>240</v>
      </c>
      <c r="CQ2753" s="5">
        <v>0</v>
      </c>
      <c r="CR2753" s="5" t="s">
        <v>306</v>
      </c>
      <c r="CS2753" s="5" t="s">
        <v>307</v>
      </c>
      <c r="CT2753" s="5" t="s">
        <v>307</v>
      </c>
      <c r="CU2753" s="5" t="s">
        <v>260</v>
      </c>
      <c r="CX2753" s="7">
        <f>1</f>
        <v>1</v>
      </c>
      <c r="CY2753" s="7">
        <f>0</f>
        <v>0</v>
      </c>
      <c r="DA2753" s="7">
        <f>0</f>
        <v>0</v>
      </c>
      <c r="DC2753" s="5" t="s">
        <v>309</v>
      </c>
      <c r="DD2753" s="5" t="s">
        <v>240</v>
      </c>
      <c r="DF2753" s="5" t="s">
        <v>309</v>
      </c>
      <c r="DG2753" s="7">
        <f>81</f>
        <v>81</v>
      </c>
      <c r="DI2753" s="5" t="s">
        <v>240</v>
      </c>
      <c r="DJ2753" s="5" t="s">
        <v>240</v>
      </c>
      <c r="DK2753" s="5" t="s">
        <v>240</v>
      </c>
      <c r="DL2753" s="5" t="s">
        <v>240</v>
      </c>
      <c r="DP2753" s="5" t="s">
        <v>240</v>
      </c>
      <c r="DQ2753" s="5" t="s">
        <v>240</v>
      </c>
      <c r="DR2753" s="5" t="s">
        <v>240</v>
      </c>
      <c r="DS2753" s="5" t="s">
        <v>240</v>
      </c>
      <c r="DV2753" s="5" t="s">
        <v>310</v>
      </c>
      <c r="DW2753" s="5" t="s">
        <v>3558</v>
      </c>
      <c r="HO2753" s="5" t="s">
        <v>312</v>
      </c>
    </row>
    <row r="2754" spans="1:223" x14ac:dyDescent="0.4">
      <c r="A2754" s="5">
        <v>4458</v>
      </c>
      <c r="B2754" s="5">
        <v>1</v>
      </c>
      <c r="C2754" s="5">
        <v>1</v>
      </c>
      <c r="D2754" s="5" t="s">
        <v>810</v>
      </c>
      <c r="E2754" s="5" t="s">
        <v>245</v>
      </c>
      <c r="F2754" s="5" t="s">
        <v>254</v>
      </c>
      <c r="G2754" s="5" t="s">
        <v>240</v>
      </c>
      <c r="H2754" s="6" t="s">
        <v>3036</v>
      </c>
      <c r="I2754" s="5" t="s">
        <v>809</v>
      </c>
      <c r="J2754" s="8">
        <f>105</f>
        <v>105</v>
      </c>
      <c r="K2754" s="5" t="s">
        <v>308</v>
      </c>
      <c r="L2754" s="7">
        <f>1</f>
        <v>1</v>
      </c>
      <c r="M2754" s="7">
        <f>1</f>
        <v>1</v>
      </c>
      <c r="N2754" s="5" t="s">
        <v>242</v>
      </c>
      <c r="O2754" s="5">
        <v>1</v>
      </c>
      <c r="P2754" s="5" t="s">
        <v>294</v>
      </c>
      <c r="Q2754" s="5" t="s">
        <v>266</v>
      </c>
      <c r="R2754" s="5" t="s">
        <v>240</v>
      </c>
      <c r="S2754" s="5" t="s">
        <v>240</v>
      </c>
      <c r="T2754" s="5" t="s">
        <v>296</v>
      </c>
      <c r="U2754" s="5" t="s">
        <v>244</v>
      </c>
      <c r="V2754" s="5" t="s">
        <v>240</v>
      </c>
      <c r="Y2754" s="5" t="s">
        <v>240</v>
      </c>
      <c r="Z2754" s="6" t="s">
        <v>298</v>
      </c>
      <c r="AB2754" s="6" t="s">
        <v>240</v>
      </c>
      <c r="AE2754" s="6" t="s">
        <v>299</v>
      </c>
      <c r="AF2754" s="5" t="s">
        <v>248</v>
      </c>
      <c r="AG2754" s="5" t="s">
        <v>249</v>
      </c>
      <c r="AW2754" s="5" t="s">
        <v>251</v>
      </c>
      <c r="AX2754" s="5" t="s">
        <v>240</v>
      </c>
      <c r="AY2754" s="5" t="s">
        <v>253</v>
      </c>
      <c r="AZ2754" s="5" t="s">
        <v>240</v>
      </c>
      <c r="BA2754" s="5" t="s">
        <v>255</v>
      </c>
      <c r="BB2754" s="5" t="s">
        <v>240</v>
      </c>
      <c r="BD2754" s="5" t="s">
        <v>240</v>
      </c>
      <c r="BF2754" s="5" t="s">
        <v>301</v>
      </c>
      <c r="BG2754" s="6" t="s">
        <v>299</v>
      </c>
      <c r="BH2754" s="5" t="s">
        <v>302</v>
      </c>
      <c r="BI2754" s="5" t="s">
        <v>303</v>
      </c>
      <c r="BJ2754" s="5" t="s">
        <v>240</v>
      </c>
      <c r="BK2754" s="8">
        <f>0</f>
        <v>0</v>
      </c>
      <c r="BL2754" s="7">
        <f>0</f>
        <v>0</v>
      </c>
      <c r="BM2754" s="5" t="s">
        <v>258</v>
      </c>
      <c r="BN2754" s="5" t="s">
        <v>259</v>
      </c>
      <c r="CB2754" s="5" t="s">
        <v>240</v>
      </c>
      <c r="CC2754" s="5" t="s">
        <v>240</v>
      </c>
      <c r="CG2754" s="5" t="s">
        <v>304</v>
      </c>
      <c r="CH2754" s="5" t="s">
        <v>305</v>
      </c>
      <c r="CI2754" s="5" t="s">
        <v>240</v>
      </c>
      <c r="CL2754" s="6" t="s">
        <v>261</v>
      </c>
      <c r="CM2754" s="5" t="s">
        <v>240</v>
      </c>
      <c r="CN2754" s="5" t="s">
        <v>263</v>
      </c>
      <c r="CO2754" s="5" t="s">
        <v>240</v>
      </c>
      <c r="CP2754" s="5" t="s">
        <v>240</v>
      </c>
      <c r="CQ2754" s="5">
        <v>0</v>
      </c>
      <c r="CR2754" s="5" t="s">
        <v>306</v>
      </c>
      <c r="CS2754" s="5" t="s">
        <v>307</v>
      </c>
      <c r="CT2754" s="5" t="s">
        <v>307</v>
      </c>
      <c r="CU2754" s="5" t="s">
        <v>260</v>
      </c>
      <c r="CX2754" s="7">
        <f>1</f>
        <v>1</v>
      </c>
      <c r="CY2754" s="7">
        <f>0</f>
        <v>0</v>
      </c>
      <c r="DA2754" s="7">
        <f>0</f>
        <v>0</v>
      </c>
      <c r="DC2754" s="5" t="s">
        <v>812</v>
      </c>
      <c r="DD2754" s="5" t="s">
        <v>240</v>
      </c>
      <c r="DF2754" s="5" t="s">
        <v>812</v>
      </c>
      <c r="DG2754" s="7">
        <f>392</f>
        <v>392</v>
      </c>
      <c r="DI2754" s="5" t="s">
        <v>240</v>
      </c>
      <c r="DJ2754" s="5" t="s">
        <v>240</v>
      </c>
      <c r="DK2754" s="5" t="s">
        <v>240</v>
      </c>
      <c r="DL2754" s="5" t="s">
        <v>240</v>
      </c>
      <c r="DP2754" s="5" t="s">
        <v>240</v>
      </c>
      <c r="DQ2754" s="5" t="s">
        <v>240</v>
      </c>
      <c r="DR2754" s="5" t="s">
        <v>240</v>
      </c>
      <c r="DS2754" s="5" t="s">
        <v>240</v>
      </c>
      <c r="DV2754" s="5" t="s">
        <v>813</v>
      </c>
      <c r="DW2754" s="5" t="s">
        <v>4667</v>
      </c>
      <c r="HO2754" s="5" t="s">
        <v>312</v>
      </c>
    </row>
    <row r="2755" spans="1:223" x14ac:dyDescent="0.4">
      <c r="A2755" s="5">
        <v>4459</v>
      </c>
      <c r="B2755" s="5">
        <v>1</v>
      </c>
      <c r="C2755" s="5">
        <v>1</v>
      </c>
      <c r="D2755" s="5" t="s">
        <v>810</v>
      </c>
      <c r="E2755" s="5" t="s">
        <v>245</v>
      </c>
      <c r="F2755" s="5" t="s">
        <v>254</v>
      </c>
      <c r="G2755" s="5" t="s">
        <v>240</v>
      </c>
      <c r="H2755" s="6" t="s">
        <v>3034</v>
      </c>
      <c r="I2755" s="5" t="s">
        <v>809</v>
      </c>
      <c r="J2755" s="8">
        <f>171</f>
        <v>171</v>
      </c>
      <c r="K2755" s="5" t="s">
        <v>308</v>
      </c>
      <c r="L2755" s="7">
        <f>1</f>
        <v>1</v>
      </c>
      <c r="M2755" s="7">
        <f>1</f>
        <v>1</v>
      </c>
      <c r="N2755" s="5" t="s">
        <v>242</v>
      </c>
      <c r="O2755" s="5">
        <v>1</v>
      </c>
      <c r="P2755" s="5" t="s">
        <v>294</v>
      </c>
      <c r="Q2755" s="5" t="s">
        <v>266</v>
      </c>
      <c r="R2755" s="5" t="s">
        <v>240</v>
      </c>
      <c r="S2755" s="5" t="s">
        <v>240</v>
      </c>
      <c r="T2755" s="5" t="s">
        <v>296</v>
      </c>
      <c r="U2755" s="5" t="s">
        <v>244</v>
      </c>
      <c r="V2755" s="5" t="s">
        <v>240</v>
      </c>
      <c r="Y2755" s="5" t="s">
        <v>240</v>
      </c>
      <c r="Z2755" s="6" t="s">
        <v>298</v>
      </c>
      <c r="AB2755" s="6" t="s">
        <v>240</v>
      </c>
      <c r="AE2755" s="6" t="s">
        <v>299</v>
      </c>
      <c r="AF2755" s="5" t="s">
        <v>248</v>
      </c>
      <c r="AG2755" s="5" t="s">
        <v>249</v>
      </c>
      <c r="AW2755" s="5" t="s">
        <v>251</v>
      </c>
      <c r="AX2755" s="5" t="s">
        <v>240</v>
      </c>
      <c r="AY2755" s="5" t="s">
        <v>253</v>
      </c>
      <c r="AZ2755" s="5" t="s">
        <v>240</v>
      </c>
      <c r="BA2755" s="5" t="s">
        <v>255</v>
      </c>
      <c r="BB2755" s="5" t="s">
        <v>240</v>
      </c>
      <c r="BD2755" s="5" t="s">
        <v>240</v>
      </c>
      <c r="BF2755" s="5" t="s">
        <v>301</v>
      </c>
      <c r="BG2755" s="6" t="s">
        <v>299</v>
      </c>
      <c r="BH2755" s="5" t="s">
        <v>302</v>
      </c>
      <c r="BI2755" s="5" t="s">
        <v>303</v>
      </c>
      <c r="BJ2755" s="5" t="s">
        <v>240</v>
      </c>
      <c r="BK2755" s="8">
        <f>0</f>
        <v>0</v>
      </c>
      <c r="BL2755" s="7">
        <f>0</f>
        <v>0</v>
      </c>
      <c r="BM2755" s="5" t="s">
        <v>258</v>
      </c>
      <c r="BN2755" s="5" t="s">
        <v>259</v>
      </c>
      <c r="CB2755" s="5" t="s">
        <v>240</v>
      </c>
      <c r="CC2755" s="5" t="s">
        <v>240</v>
      </c>
      <c r="CG2755" s="5" t="s">
        <v>304</v>
      </c>
      <c r="CH2755" s="5" t="s">
        <v>305</v>
      </c>
      <c r="CI2755" s="5" t="s">
        <v>240</v>
      </c>
      <c r="CL2755" s="6" t="s">
        <v>261</v>
      </c>
      <c r="CM2755" s="5" t="s">
        <v>240</v>
      </c>
      <c r="CN2755" s="5" t="s">
        <v>263</v>
      </c>
      <c r="CO2755" s="5" t="s">
        <v>240</v>
      </c>
      <c r="CP2755" s="5" t="s">
        <v>240</v>
      </c>
      <c r="CQ2755" s="5">
        <v>0</v>
      </c>
      <c r="CR2755" s="5" t="s">
        <v>306</v>
      </c>
      <c r="CS2755" s="5" t="s">
        <v>307</v>
      </c>
      <c r="CT2755" s="5" t="s">
        <v>307</v>
      </c>
      <c r="CU2755" s="5" t="s">
        <v>260</v>
      </c>
      <c r="CX2755" s="7">
        <f>1</f>
        <v>1</v>
      </c>
      <c r="CY2755" s="7">
        <f>0</f>
        <v>0</v>
      </c>
      <c r="DA2755" s="7">
        <f>0</f>
        <v>0</v>
      </c>
      <c r="DC2755" s="5" t="s">
        <v>309</v>
      </c>
      <c r="DD2755" s="5" t="s">
        <v>240</v>
      </c>
      <c r="DF2755" s="5" t="s">
        <v>309</v>
      </c>
      <c r="DG2755" s="7">
        <f>1301</f>
        <v>1301</v>
      </c>
      <c r="DI2755" s="5" t="s">
        <v>240</v>
      </c>
      <c r="DJ2755" s="5" t="s">
        <v>240</v>
      </c>
      <c r="DK2755" s="5" t="s">
        <v>240</v>
      </c>
      <c r="DL2755" s="5" t="s">
        <v>240</v>
      </c>
      <c r="DP2755" s="5" t="s">
        <v>240</v>
      </c>
      <c r="DQ2755" s="5" t="s">
        <v>240</v>
      </c>
      <c r="DR2755" s="5" t="s">
        <v>240</v>
      </c>
      <c r="DS2755" s="5" t="s">
        <v>240</v>
      </c>
      <c r="DV2755" s="5" t="s">
        <v>310</v>
      </c>
      <c r="DW2755" s="5" t="s">
        <v>3562</v>
      </c>
      <c r="HO2755" s="5" t="s">
        <v>312</v>
      </c>
    </row>
    <row r="2756" spans="1:223" x14ac:dyDescent="0.4">
      <c r="A2756" s="5">
        <v>4460</v>
      </c>
      <c r="B2756" s="5">
        <v>1</v>
      </c>
      <c r="C2756" s="5">
        <v>1</v>
      </c>
      <c r="D2756" s="5" t="s">
        <v>810</v>
      </c>
      <c r="E2756" s="5" t="s">
        <v>245</v>
      </c>
      <c r="F2756" s="5" t="s">
        <v>254</v>
      </c>
      <c r="G2756" s="5" t="s">
        <v>240</v>
      </c>
      <c r="H2756" s="6" t="s">
        <v>3032</v>
      </c>
      <c r="I2756" s="5" t="s">
        <v>809</v>
      </c>
      <c r="J2756" s="8">
        <f>512</f>
        <v>512</v>
      </c>
      <c r="K2756" s="5" t="s">
        <v>308</v>
      </c>
      <c r="L2756" s="7">
        <f>1</f>
        <v>1</v>
      </c>
      <c r="M2756" s="7">
        <f>1</f>
        <v>1</v>
      </c>
      <c r="N2756" s="5" t="s">
        <v>242</v>
      </c>
      <c r="O2756" s="5">
        <v>1</v>
      </c>
      <c r="P2756" s="5" t="s">
        <v>294</v>
      </c>
      <c r="Q2756" s="5" t="s">
        <v>266</v>
      </c>
      <c r="R2756" s="5" t="s">
        <v>240</v>
      </c>
      <c r="S2756" s="5" t="s">
        <v>240</v>
      </c>
      <c r="T2756" s="5" t="s">
        <v>296</v>
      </c>
      <c r="U2756" s="5" t="s">
        <v>244</v>
      </c>
      <c r="V2756" s="5" t="s">
        <v>240</v>
      </c>
      <c r="Y2756" s="5" t="s">
        <v>240</v>
      </c>
      <c r="Z2756" s="6" t="s">
        <v>298</v>
      </c>
      <c r="AB2756" s="6" t="s">
        <v>240</v>
      </c>
      <c r="AE2756" s="6" t="s">
        <v>299</v>
      </c>
      <c r="AF2756" s="5" t="s">
        <v>248</v>
      </c>
      <c r="AG2756" s="5" t="s">
        <v>249</v>
      </c>
      <c r="AW2756" s="5" t="s">
        <v>251</v>
      </c>
      <c r="AX2756" s="5" t="s">
        <v>240</v>
      </c>
      <c r="AY2756" s="5" t="s">
        <v>253</v>
      </c>
      <c r="AZ2756" s="5" t="s">
        <v>240</v>
      </c>
      <c r="BA2756" s="5" t="s">
        <v>255</v>
      </c>
      <c r="BB2756" s="5" t="s">
        <v>240</v>
      </c>
      <c r="BD2756" s="5" t="s">
        <v>240</v>
      </c>
      <c r="BF2756" s="5" t="s">
        <v>301</v>
      </c>
      <c r="BG2756" s="6" t="s">
        <v>299</v>
      </c>
      <c r="BH2756" s="5" t="s">
        <v>302</v>
      </c>
      <c r="BI2756" s="5" t="s">
        <v>303</v>
      </c>
      <c r="BJ2756" s="5" t="s">
        <v>240</v>
      </c>
      <c r="BK2756" s="8">
        <f>0</f>
        <v>0</v>
      </c>
      <c r="BL2756" s="7">
        <f>0</f>
        <v>0</v>
      </c>
      <c r="BM2756" s="5" t="s">
        <v>258</v>
      </c>
      <c r="BN2756" s="5" t="s">
        <v>259</v>
      </c>
      <c r="CB2756" s="5" t="s">
        <v>240</v>
      </c>
      <c r="CC2756" s="5" t="s">
        <v>240</v>
      </c>
      <c r="CG2756" s="5" t="s">
        <v>304</v>
      </c>
      <c r="CH2756" s="5" t="s">
        <v>305</v>
      </c>
      <c r="CI2756" s="5" t="s">
        <v>240</v>
      </c>
      <c r="CL2756" s="6" t="s">
        <v>261</v>
      </c>
      <c r="CM2756" s="5" t="s">
        <v>240</v>
      </c>
      <c r="CN2756" s="5" t="s">
        <v>263</v>
      </c>
      <c r="CO2756" s="5" t="s">
        <v>240</v>
      </c>
      <c r="CP2756" s="5" t="s">
        <v>240</v>
      </c>
      <c r="CQ2756" s="5">
        <v>0</v>
      </c>
      <c r="CR2756" s="5" t="s">
        <v>306</v>
      </c>
      <c r="CS2756" s="5" t="s">
        <v>307</v>
      </c>
      <c r="CT2756" s="5" t="s">
        <v>307</v>
      </c>
      <c r="CU2756" s="5" t="s">
        <v>260</v>
      </c>
      <c r="CX2756" s="7">
        <f>1</f>
        <v>1</v>
      </c>
      <c r="CY2756" s="7">
        <f>0</f>
        <v>0</v>
      </c>
      <c r="DA2756" s="7">
        <f>0</f>
        <v>0</v>
      </c>
      <c r="DC2756" s="5" t="s">
        <v>812</v>
      </c>
      <c r="DD2756" s="5" t="s">
        <v>240</v>
      </c>
      <c r="DF2756" s="5" t="s">
        <v>812</v>
      </c>
      <c r="DG2756" s="7">
        <f>1058</f>
        <v>1058</v>
      </c>
      <c r="DI2756" s="5" t="s">
        <v>240</v>
      </c>
      <c r="DJ2756" s="5" t="s">
        <v>240</v>
      </c>
      <c r="DK2756" s="5" t="s">
        <v>240</v>
      </c>
      <c r="DL2756" s="5" t="s">
        <v>240</v>
      </c>
      <c r="DP2756" s="5" t="s">
        <v>240</v>
      </c>
      <c r="DQ2756" s="5" t="s">
        <v>240</v>
      </c>
      <c r="DR2756" s="5" t="s">
        <v>240</v>
      </c>
      <c r="DS2756" s="5" t="s">
        <v>240</v>
      </c>
      <c r="DV2756" s="5" t="s">
        <v>813</v>
      </c>
      <c r="DW2756" s="5" t="s">
        <v>4897</v>
      </c>
      <c r="HO2756" s="5" t="s">
        <v>312</v>
      </c>
    </row>
    <row r="2757" spans="1:223" x14ac:dyDescent="0.4">
      <c r="A2757" s="5">
        <v>4461</v>
      </c>
      <c r="B2757" s="5">
        <v>1</v>
      </c>
      <c r="C2757" s="5">
        <v>1</v>
      </c>
      <c r="D2757" s="5" t="s">
        <v>810</v>
      </c>
      <c r="E2757" s="5" t="s">
        <v>245</v>
      </c>
      <c r="F2757" s="5" t="s">
        <v>254</v>
      </c>
      <c r="G2757" s="5" t="s">
        <v>240</v>
      </c>
      <c r="H2757" s="6" t="s">
        <v>3030</v>
      </c>
      <c r="I2757" s="5" t="s">
        <v>809</v>
      </c>
      <c r="J2757" s="8">
        <f>275</f>
        <v>275</v>
      </c>
      <c r="K2757" s="5" t="s">
        <v>308</v>
      </c>
      <c r="L2757" s="7">
        <f>1</f>
        <v>1</v>
      </c>
      <c r="M2757" s="7">
        <f>1</f>
        <v>1</v>
      </c>
      <c r="N2757" s="5" t="s">
        <v>242</v>
      </c>
      <c r="O2757" s="5">
        <v>1</v>
      </c>
      <c r="P2757" s="5" t="s">
        <v>294</v>
      </c>
      <c r="Q2757" s="5" t="s">
        <v>266</v>
      </c>
      <c r="R2757" s="5" t="s">
        <v>240</v>
      </c>
      <c r="S2757" s="5" t="s">
        <v>240</v>
      </c>
      <c r="T2757" s="5" t="s">
        <v>296</v>
      </c>
      <c r="U2757" s="5" t="s">
        <v>244</v>
      </c>
      <c r="V2757" s="5" t="s">
        <v>240</v>
      </c>
      <c r="Y2757" s="5" t="s">
        <v>240</v>
      </c>
      <c r="Z2757" s="6" t="s">
        <v>298</v>
      </c>
      <c r="AB2757" s="6" t="s">
        <v>240</v>
      </c>
      <c r="AE2757" s="6" t="s">
        <v>299</v>
      </c>
      <c r="AF2757" s="5" t="s">
        <v>248</v>
      </c>
      <c r="AG2757" s="5" t="s">
        <v>249</v>
      </c>
      <c r="AW2757" s="5" t="s">
        <v>251</v>
      </c>
      <c r="AX2757" s="5" t="s">
        <v>240</v>
      </c>
      <c r="AY2757" s="5" t="s">
        <v>253</v>
      </c>
      <c r="AZ2757" s="5" t="s">
        <v>240</v>
      </c>
      <c r="BA2757" s="5" t="s">
        <v>255</v>
      </c>
      <c r="BB2757" s="5" t="s">
        <v>240</v>
      </c>
      <c r="BD2757" s="5" t="s">
        <v>240</v>
      </c>
      <c r="BF2757" s="5" t="s">
        <v>301</v>
      </c>
      <c r="BG2757" s="6" t="s">
        <v>299</v>
      </c>
      <c r="BH2757" s="5" t="s">
        <v>302</v>
      </c>
      <c r="BI2757" s="5" t="s">
        <v>303</v>
      </c>
      <c r="BJ2757" s="5" t="s">
        <v>240</v>
      </c>
      <c r="BK2757" s="8">
        <f>0</f>
        <v>0</v>
      </c>
      <c r="BL2757" s="7">
        <f>0</f>
        <v>0</v>
      </c>
      <c r="BM2757" s="5" t="s">
        <v>258</v>
      </c>
      <c r="BN2757" s="5" t="s">
        <v>259</v>
      </c>
      <c r="CB2757" s="5" t="s">
        <v>240</v>
      </c>
      <c r="CC2757" s="5" t="s">
        <v>240</v>
      </c>
      <c r="CG2757" s="5" t="s">
        <v>304</v>
      </c>
      <c r="CH2757" s="5" t="s">
        <v>305</v>
      </c>
      <c r="CI2757" s="5" t="s">
        <v>240</v>
      </c>
      <c r="CL2757" s="6" t="s">
        <v>261</v>
      </c>
      <c r="CM2757" s="5" t="s">
        <v>240</v>
      </c>
      <c r="CN2757" s="5" t="s">
        <v>263</v>
      </c>
      <c r="CO2757" s="5" t="s">
        <v>240</v>
      </c>
      <c r="CP2757" s="5" t="s">
        <v>240</v>
      </c>
      <c r="CQ2757" s="5">
        <v>0</v>
      </c>
      <c r="CR2757" s="5" t="s">
        <v>306</v>
      </c>
      <c r="CS2757" s="5" t="s">
        <v>307</v>
      </c>
      <c r="CT2757" s="5" t="s">
        <v>307</v>
      </c>
      <c r="CU2757" s="5" t="s">
        <v>260</v>
      </c>
      <c r="CX2757" s="7">
        <f>1</f>
        <v>1</v>
      </c>
      <c r="CY2757" s="7">
        <f>0</f>
        <v>0</v>
      </c>
      <c r="DA2757" s="7">
        <f>0</f>
        <v>0</v>
      </c>
      <c r="DC2757" s="5" t="s">
        <v>812</v>
      </c>
      <c r="DD2757" s="5" t="s">
        <v>240</v>
      </c>
      <c r="DF2757" s="5" t="s">
        <v>812</v>
      </c>
      <c r="DG2757" s="7">
        <f>1188</f>
        <v>1188</v>
      </c>
      <c r="DI2757" s="5" t="s">
        <v>240</v>
      </c>
      <c r="DJ2757" s="5" t="s">
        <v>240</v>
      </c>
      <c r="DK2757" s="5" t="s">
        <v>240</v>
      </c>
      <c r="DL2757" s="5" t="s">
        <v>240</v>
      </c>
      <c r="DP2757" s="5" t="s">
        <v>240</v>
      </c>
      <c r="DQ2757" s="5" t="s">
        <v>240</v>
      </c>
      <c r="DR2757" s="5" t="s">
        <v>240</v>
      </c>
      <c r="DS2757" s="5" t="s">
        <v>240</v>
      </c>
      <c r="DV2757" s="5" t="s">
        <v>813</v>
      </c>
      <c r="DW2757" s="5" t="s">
        <v>4899</v>
      </c>
      <c r="HO2757" s="5" t="s">
        <v>312</v>
      </c>
    </row>
    <row r="2758" spans="1:223" x14ac:dyDescent="0.4">
      <c r="A2758" s="5">
        <v>4462</v>
      </c>
      <c r="B2758" s="5">
        <v>1</v>
      </c>
      <c r="C2758" s="5">
        <v>1</v>
      </c>
      <c r="D2758" s="5" t="s">
        <v>810</v>
      </c>
      <c r="E2758" s="5" t="s">
        <v>245</v>
      </c>
      <c r="F2758" s="5" t="s">
        <v>254</v>
      </c>
      <c r="G2758" s="5" t="s">
        <v>240</v>
      </c>
      <c r="H2758" s="6" t="s">
        <v>3028</v>
      </c>
      <c r="I2758" s="5" t="s">
        <v>809</v>
      </c>
      <c r="J2758" s="8">
        <f>147</f>
        <v>147</v>
      </c>
      <c r="K2758" s="5" t="s">
        <v>308</v>
      </c>
      <c r="L2758" s="7">
        <f>1</f>
        <v>1</v>
      </c>
      <c r="M2758" s="7">
        <f>1</f>
        <v>1</v>
      </c>
      <c r="N2758" s="5" t="s">
        <v>242</v>
      </c>
      <c r="O2758" s="5">
        <v>1</v>
      </c>
      <c r="P2758" s="5" t="s">
        <v>294</v>
      </c>
      <c r="Q2758" s="5" t="s">
        <v>266</v>
      </c>
      <c r="R2758" s="5" t="s">
        <v>240</v>
      </c>
      <c r="S2758" s="5" t="s">
        <v>240</v>
      </c>
      <c r="T2758" s="5" t="s">
        <v>296</v>
      </c>
      <c r="U2758" s="5" t="s">
        <v>244</v>
      </c>
      <c r="V2758" s="5" t="s">
        <v>240</v>
      </c>
      <c r="Y2758" s="5" t="s">
        <v>240</v>
      </c>
      <c r="Z2758" s="6" t="s">
        <v>298</v>
      </c>
      <c r="AB2758" s="6" t="s">
        <v>240</v>
      </c>
      <c r="AE2758" s="6" t="s">
        <v>299</v>
      </c>
      <c r="AF2758" s="5" t="s">
        <v>248</v>
      </c>
      <c r="AG2758" s="5" t="s">
        <v>249</v>
      </c>
      <c r="AW2758" s="5" t="s">
        <v>251</v>
      </c>
      <c r="AX2758" s="5" t="s">
        <v>240</v>
      </c>
      <c r="AY2758" s="5" t="s">
        <v>253</v>
      </c>
      <c r="AZ2758" s="5" t="s">
        <v>240</v>
      </c>
      <c r="BA2758" s="5" t="s">
        <v>255</v>
      </c>
      <c r="BB2758" s="5" t="s">
        <v>240</v>
      </c>
      <c r="BD2758" s="5" t="s">
        <v>240</v>
      </c>
      <c r="BF2758" s="5" t="s">
        <v>301</v>
      </c>
      <c r="BG2758" s="6" t="s">
        <v>299</v>
      </c>
      <c r="BH2758" s="5" t="s">
        <v>302</v>
      </c>
      <c r="BI2758" s="5" t="s">
        <v>303</v>
      </c>
      <c r="BJ2758" s="5" t="s">
        <v>240</v>
      </c>
      <c r="BK2758" s="8">
        <f>0</f>
        <v>0</v>
      </c>
      <c r="BL2758" s="7">
        <f>0</f>
        <v>0</v>
      </c>
      <c r="BM2758" s="5" t="s">
        <v>258</v>
      </c>
      <c r="BN2758" s="5" t="s">
        <v>259</v>
      </c>
      <c r="CB2758" s="5" t="s">
        <v>240</v>
      </c>
      <c r="CC2758" s="5" t="s">
        <v>240</v>
      </c>
      <c r="CG2758" s="5" t="s">
        <v>304</v>
      </c>
      <c r="CH2758" s="5" t="s">
        <v>305</v>
      </c>
      <c r="CI2758" s="5" t="s">
        <v>240</v>
      </c>
      <c r="CL2758" s="6" t="s">
        <v>261</v>
      </c>
      <c r="CM2758" s="5" t="s">
        <v>240</v>
      </c>
      <c r="CN2758" s="5" t="s">
        <v>263</v>
      </c>
      <c r="CO2758" s="5" t="s">
        <v>240</v>
      </c>
      <c r="CP2758" s="5" t="s">
        <v>240</v>
      </c>
      <c r="CQ2758" s="5">
        <v>0</v>
      </c>
      <c r="CR2758" s="5" t="s">
        <v>306</v>
      </c>
      <c r="CS2758" s="5" t="s">
        <v>307</v>
      </c>
      <c r="CT2758" s="5" t="s">
        <v>307</v>
      </c>
      <c r="CU2758" s="5" t="s">
        <v>260</v>
      </c>
      <c r="CX2758" s="7">
        <f>1</f>
        <v>1</v>
      </c>
      <c r="CY2758" s="7">
        <f>0</f>
        <v>0</v>
      </c>
      <c r="DA2758" s="7">
        <f>0</f>
        <v>0</v>
      </c>
      <c r="DC2758" s="5" t="s">
        <v>812</v>
      </c>
      <c r="DD2758" s="5" t="s">
        <v>240</v>
      </c>
      <c r="DF2758" s="5" t="s">
        <v>812</v>
      </c>
      <c r="DG2758" s="7">
        <f>524</f>
        <v>524</v>
      </c>
      <c r="DI2758" s="5" t="s">
        <v>240</v>
      </c>
      <c r="DJ2758" s="5" t="s">
        <v>240</v>
      </c>
      <c r="DK2758" s="5" t="s">
        <v>240</v>
      </c>
      <c r="DL2758" s="5" t="s">
        <v>240</v>
      </c>
      <c r="DP2758" s="5" t="s">
        <v>240</v>
      </c>
      <c r="DQ2758" s="5" t="s">
        <v>240</v>
      </c>
      <c r="DR2758" s="5" t="s">
        <v>240</v>
      </c>
      <c r="DS2758" s="5" t="s">
        <v>240</v>
      </c>
      <c r="DV2758" s="5" t="s">
        <v>813</v>
      </c>
      <c r="DW2758" s="5" t="s">
        <v>4901</v>
      </c>
      <c r="HO2758" s="5" t="s">
        <v>312</v>
      </c>
    </row>
    <row r="2759" spans="1:223" x14ac:dyDescent="0.4">
      <c r="A2759" s="5">
        <v>4463</v>
      </c>
      <c r="B2759" s="5">
        <v>1</v>
      </c>
      <c r="C2759" s="5">
        <v>1</v>
      </c>
      <c r="D2759" s="5" t="s">
        <v>810</v>
      </c>
      <c r="E2759" s="5" t="s">
        <v>245</v>
      </c>
      <c r="F2759" s="5" t="s">
        <v>254</v>
      </c>
      <c r="G2759" s="5" t="s">
        <v>240</v>
      </c>
      <c r="H2759" s="6" t="s">
        <v>3026</v>
      </c>
      <c r="I2759" s="5" t="s">
        <v>809</v>
      </c>
      <c r="J2759" s="8">
        <f>1438</f>
        <v>1438</v>
      </c>
      <c r="K2759" s="5" t="s">
        <v>308</v>
      </c>
      <c r="L2759" s="7">
        <f>1</f>
        <v>1</v>
      </c>
      <c r="M2759" s="7">
        <f>1</f>
        <v>1</v>
      </c>
      <c r="N2759" s="5" t="s">
        <v>242</v>
      </c>
      <c r="O2759" s="5">
        <v>1</v>
      </c>
      <c r="P2759" s="5" t="s">
        <v>294</v>
      </c>
      <c r="Q2759" s="5" t="s">
        <v>266</v>
      </c>
      <c r="R2759" s="5" t="s">
        <v>240</v>
      </c>
      <c r="S2759" s="5" t="s">
        <v>240</v>
      </c>
      <c r="T2759" s="5" t="s">
        <v>296</v>
      </c>
      <c r="U2759" s="5" t="s">
        <v>244</v>
      </c>
      <c r="V2759" s="5" t="s">
        <v>240</v>
      </c>
      <c r="Y2759" s="5" t="s">
        <v>240</v>
      </c>
      <c r="Z2759" s="6" t="s">
        <v>298</v>
      </c>
      <c r="AB2759" s="6" t="s">
        <v>240</v>
      </c>
      <c r="AE2759" s="6" t="s">
        <v>299</v>
      </c>
      <c r="AF2759" s="5" t="s">
        <v>248</v>
      </c>
      <c r="AG2759" s="5" t="s">
        <v>249</v>
      </c>
      <c r="AW2759" s="5" t="s">
        <v>251</v>
      </c>
      <c r="AX2759" s="5" t="s">
        <v>240</v>
      </c>
      <c r="AY2759" s="5" t="s">
        <v>253</v>
      </c>
      <c r="AZ2759" s="5" t="s">
        <v>240</v>
      </c>
      <c r="BA2759" s="5" t="s">
        <v>255</v>
      </c>
      <c r="BB2759" s="5" t="s">
        <v>240</v>
      </c>
      <c r="BD2759" s="5" t="s">
        <v>240</v>
      </c>
      <c r="BF2759" s="5" t="s">
        <v>301</v>
      </c>
      <c r="BG2759" s="6" t="s">
        <v>299</v>
      </c>
      <c r="BH2759" s="5" t="s">
        <v>302</v>
      </c>
      <c r="BI2759" s="5" t="s">
        <v>303</v>
      </c>
      <c r="BJ2759" s="5" t="s">
        <v>240</v>
      </c>
      <c r="BK2759" s="8">
        <f>0</f>
        <v>0</v>
      </c>
      <c r="BL2759" s="7">
        <f>0</f>
        <v>0</v>
      </c>
      <c r="BM2759" s="5" t="s">
        <v>258</v>
      </c>
      <c r="BN2759" s="5" t="s">
        <v>259</v>
      </c>
      <c r="CB2759" s="5" t="s">
        <v>240</v>
      </c>
      <c r="CC2759" s="5" t="s">
        <v>240</v>
      </c>
      <c r="CG2759" s="5" t="s">
        <v>304</v>
      </c>
      <c r="CH2759" s="5" t="s">
        <v>305</v>
      </c>
      <c r="CI2759" s="5" t="s">
        <v>240</v>
      </c>
      <c r="CL2759" s="6" t="s">
        <v>261</v>
      </c>
      <c r="CM2759" s="5" t="s">
        <v>240</v>
      </c>
      <c r="CN2759" s="5" t="s">
        <v>263</v>
      </c>
      <c r="CO2759" s="5" t="s">
        <v>240</v>
      </c>
      <c r="CP2759" s="5" t="s">
        <v>240</v>
      </c>
      <c r="CQ2759" s="5">
        <v>0</v>
      </c>
      <c r="CR2759" s="5" t="s">
        <v>306</v>
      </c>
      <c r="CS2759" s="5" t="s">
        <v>307</v>
      </c>
      <c r="CT2759" s="5" t="s">
        <v>307</v>
      </c>
      <c r="CU2759" s="5" t="s">
        <v>260</v>
      </c>
      <c r="CX2759" s="7">
        <f>1</f>
        <v>1</v>
      </c>
      <c r="CY2759" s="7">
        <f>0</f>
        <v>0</v>
      </c>
      <c r="DA2759" s="7">
        <f>0</f>
        <v>0</v>
      </c>
      <c r="DC2759" s="5" t="s">
        <v>309</v>
      </c>
      <c r="DD2759" s="5" t="s">
        <v>240</v>
      </c>
      <c r="DF2759" s="5" t="s">
        <v>309</v>
      </c>
      <c r="DG2759" s="7">
        <f>1478</f>
        <v>1478</v>
      </c>
      <c r="DI2759" s="5" t="s">
        <v>240</v>
      </c>
      <c r="DJ2759" s="5" t="s">
        <v>240</v>
      </c>
      <c r="DK2759" s="5" t="s">
        <v>240</v>
      </c>
      <c r="DL2759" s="5" t="s">
        <v>240</v>
      </c>
      <c r="DP2759" s="5" t="s">
        <v>240</v>
      </c>
      <c r="DQ2759" s="5" t="s">
        <v>240</v>
      </c>
      <c r="DR2759" s="5" t="s">
        <v>240</v>
      </c>
      <c r="DS2759" s="5" t="s">
        <v>240</v>
      </c>
      <c r="DV2759" s="5" t="s">
        <v>310</v>
      </c>
      <c r="DW2759" s="5" t="s">
        <v>3570</v>
      </c>
      <c r="HO2759" s="5" t="s">
        <v>312</v>
      </c>
    </row>
    <row r="2760" spans="1:223" x14ac:dyDescent="0.4">
      <c r="A2760" s="5">
        <v>4464</v>
      </c>
      <c r="B2760" s="5">
        <v>1</v>
      </c>
      <c r="C2760" s="5">
        <v>1</v>
      </c>
      <c r="D2760" s="5" t="s">
        <v>810</v>
      </c>
      <c r="E2760" s="5" t="s">
        <v>245</v>
      </c>
      <c r="F2760" s="5" t="s">
        <v>254</v>
      </c>
      <c r="G2760" s="5" t="s">
        <v>240</v>
      </c>
      <c r="H2760" s="6" t="s">
        <v>3024</v>
      </c>
      <c r="I2760" s="5" t="s">
        <v>809</v>
      </c>
      <c r="J2760" s="8">
        <f>572</f>
        <v>572</v>
      </c>
      <c r="K2760" s="5" t="s">
        <v>308</v>
      </c>
      <c r="L2760" s="7">
        <f>1</f>
        <v>1</v>
      </c>
      <c r="M2760" s="7">
        <f>1</f>
        <v>1</v>
      </c>
      <c r="N2760" s="5" t="s">
        <v>242</v>
      </c>
      <c r="O2760" s="5">
        <v>1</v>
      </c>
      <c r="P2760" s="5" t="s">
        <v>294</v>
      </c>
      <c r="Q2760" s="5" t="s">
        <v>266</v>
      </c>
      <c r="R2760" s="5" t="s">
        <v>240</v>
      </c>
      <c r="S2760" s="5" t="s">
        <v>240</v>
      </c>
      <c r="T2760" s="5" t="s">
        <v>296</v>
      </c>
      <c r="U2760" s="5" t="s">
        <v>244</v>
      </c>
      <c r="V2760" s="5" t="s">
        <v>240</v>
      </c>
      <c r="Y2760" s="5" t="s">
        <v>240</v>
      </c>
      <c r="Z2760" s="6" t="s">
        <v>298</v>
      </c>
      <c r="AB2760" s="6" t="s">
        <v>240</v>
      </c>
      <c r="AE2760" s="6" t="s">
        <v>299</v>
      </c>
      <c r="AF2760" s="5" t="s">
        <v>248</v>
      </c>
      <c r="AG2760" s="5" t="s">
        <v>249</v>
      </c>
      <c r="AW2760" s="5" t="s">
        <v>251</v>
      </c>
      <c r="AX2760" s="5" t="s">
        <v>240</v>
      </c>
      <c r="AY2760" s="5" t="s">
        <v>253</v>
      </c>
      <c r="AZ2760" s="5" t="s">
        <v>240</v>
      </c>
      <c r="BA2760" s="5" t="s">
        <v>255</v>
      </c>
      <c r="BB2760" s="5" t="s">
        <v>240</v>
      </c>
      <c r="BD2760" s="5" t="s">
        <v>240</v>
      </c>
      <c r="BF2760" s="5" t="s">
        <v>301</v>
      </c>
      <c r="BG2760" s="6" t="s">
        <v>299</v>
      </c>
      <c r="BH2760" s="5" t="s">
        <v>302</v>
      </c>
      <c r="BI2760" s="5" t="s">
        <v>303</v>
      </c>
      <c r="BJ2760" s="5" t="s">
        <v>240</v>
      </c>
      <c r="BK2760" s="8">
        <f>0</f>
        <v>0</v>
      </c>
      <c r="BL2760" s="7">
        <f>0</f>
        <v>0</v>
      </c>
      <c r="BM2760" s="5" t="s">
        <v>258</v>
      </c>
      <c r="BN2760" s="5" t="s">
        <v>259</v>
      </c>
      <c r="CB2760" s="5" t="s">
        <v>240</v>
      </c>
      <c r="CC2760" s="5" t="s">
        <v>240</v>
      </c>
      <c r="CG2760" s="5" t="s">
        <v>304</v>
      </c>
      <c r="CH2760" s="5" t="s">
        <v>305</v>
      </c>
      <c r="CI2760" s="5" t="s">
        <v>240</v>
      </c>
      <c r="CL2760" s="6" t="s">
        <v>261</v>
      </c>
      <c r="CM2760" s="5" t="s">
        <v>240</v>
      </c>
      <c r="CN2760" s="5" t="s">
        <v>263</v>
      </c>
      <c r="CO2760" s="5" t="s">
        <v>240</v>
      </c>
      <c r="CP2760" s="5" t="s">
        <v>240</v>
      </c>
      <c r="CQ2760" s="5">
        <v>0</v>
      </c>
      <c r="CR2760" s="5" t="s">
        <v>306</v>
      </c>
      <c r="CS2760" s="5" t="s">
        <v>307</v>
      </c>
      <c r="CT2760" s="5" t="s">
        <v>307</v>
      </c>
      <c r="CU2760" s="5" t="s">
        <v>260</v>
      </c>
      <c r="CX2760" s="7">
        <f>1</f>
        <v>1</v>
      </c>
      <c r="CY2760" s="7">
        <f>0</f>
        <v>0</v>
      </c>
      <c r="DA2760" s="7">
        <f>0</f>
        <v>0</v>
      </c>
      <c r="DC2760" s="5" t="s">
        <v>812</v>
      </c>
      <c r="DD2760" s="5" t="s">
        <v>240</v>
      </c>
      <c r="DF2760" s="5" t="s">
        <v>812</v>
      </c>
      <c r="DG2760" s="7">
        <f>332</f>
        <v>332</v>
      </c>
      <c r="DI2760" s="5" t="s">
        <v>240</v>
      </c>
      <c r="DJ2760" s="5" t="s">
        <v>240</v>
      </c>
      <c r="DK2760" s="5" t="s">
        <v>240</v>
      </c>
      <c r="DL2760" s="5" t="s">
        <v>240</v>
      </c>
      <c r="DP2760" s="5" t="s">
        <v>240</v>
      </c>
      <c r="DQ2760" s="5" t="s">
        <v>240</v>
      </c>
      <c r="DR2760" s="5" t="s">
        <v>240</v>
      </c>
      <c r="DS2760" s="5" t="s">
        <v>240</v>
      </c>
      <c r="DV2760" s="5" t="s">
        <v>813</v>
      </c>
      <c r="DW2760" s="5" t="s">
        <v>4683</v>
      </c>
      <c r="HO2760" s="5" t="s">
        <v>312</v>
      </c>
    </row>
    <row r="2761" spans="1:223" x14ac:dyDescent="0.4">
      <c r="A2761" s="5">
        <v>4465</v>
      </c>
      <c r="B2761" s="5">
        <v>1</v>
      </c>
      <c r="C2761" s="5">
        <v>1</v>
      </c>
      <c r="D2761" s="5" t="s">
        <v>810</v>
      </c>
      <c r="E2761" s="5" t="s">
        <v>245</v>
      </c>
      <c r="F2761" s="5" t="s">
        <v>254</v>
      </c>
      <c r="G2761" s="5" t="s">
        <v>240</v>
      </c>
      <c r="H2761" s="6" t="s">
        <v>3022</v>
      </c>
      <c r="I2761" s="5" t="s">
        <v>809</v>
      </c>
      <c r="J2761" s="8">
        <f>825</f>
        <v>825</v>
      </c>
      <c r="K2761" s="5" t="s">
        <v>308</v>
      </c>
      <c r="L2761" s="7">
        <f>1</f>
        <v>1</v>
      </c>
      <c r="M2761" s="7">
        <f>1</f>
        <v>1</v>
      </c>
      <c r="N2761" s="5" t="s">
        <v>242</v>
      </c>
      <c r="O2761" s="5">
        <v>1</v>
      </c>
      <c r="P2761" s="5" t="s">
        <v>294</v>
      </c>
      <c r="Q2761" s="5" t="s">
        <v>266</v>
      </c>
      <c r="R2761" s="5" t="s">
        <v>240</v>
      </c>
      <c r="S2761" s="5" t="s">
        <v>240</v>
      </c>
      <c r="T2761" s="5" t="s">
        <v>296</v>
      </c>
      <c r="U2761" s="5" t="s">
        <v>244</v>
      </c>
      <c r="V2761" s="5" t="s">
        <v>240</v>
      </c>
      <c r="Y2761" s="5" t="s">
        <v>240</v>
      </c>
      <c r="Z2761" s="6" t="s">
        <v>298</v>
      </c>
      <c r="AB2761" s="6" t="s">
        <v>240</v>
      </c>
      <c r="AE2761" s="6" t="s">
        <v>299</v>
      </c>
      <c r="AF2761" s="5" t="s">
        <v>248</v>
      </c>
      <c r="AG2761" s="5" t="s">
        <v>249</v>
      </c>
      <c r="AW2761" s="5" t="s">
        <v>251</v>
      </c>
      <c r="AX2761" s="5" t="s">
        <v>240</v>
      </c>
      <c r="AY2761" s="5" t="s">
        <v>253</v>
      </c>
      <c r="AZ2761" s="5" t="s">
        <v>240</v>
      </c>
      <c r="BA2761" s="5" t="s">
        <v>255</v>
      </c>
      <c r="BB2761" s="5" t="s">
        <v>240</v>
      </c>
      <c r="BD2761" s="5" t="s">
        <v>240</v>
      </c>
      <c r="BF2761" s="5" t="s">
        <v>301</v>
      </c>
      <c r="BG2761" s="6" t="s">
        <v>299</v>
      </c>
      <c r="BH2761" s="5" t="s">
        <v>302</v>
      </c>
      <c r="BI2761" s="5" t="s">
        <v>303</v>
      </c>
      <c r="BJ2761" s="5" t="s">
        <v>240</v>
      </c>
      <c r="BK2761" s="8">
        <f>0</f>
        <v>0</v>
      </c>
      <c r="BL2761" s="7">
        <f>0</f>
        <v>0</v>
      </c>
      <c r="BM2761" s="5" t="s">
        <v>258</v>
      </c>
      <c r="BN2761" s="5" t="s">
        <v>259</v>
      </c>
      <c r="CB2761" s="5" t="s">
        <v>240</v>
      </c>
      <c r="CC2761" s="5" t="s">
        <v>240</v>
      </c>
      <c r="CG2761" s="5" t="s">
        <v>304</v>
      </c>
      <c r="CH2761" s="5" t="s">
        <v>305</v>
      </c>
      <c r="CI2761" s="5" t="s">
        <v>240</v>
      </c>
      <c r="CL2761" s="6" t="s">
        <v>261</v>
      </c>
      <c r="CM2761" s="5" t="s">
        <v>240</v>
      </c>
      <c r="CN2761" s="5" t="s">
        <v>263</v>
      </c>
      <c r="CO2761" s="5" t="s">
        <v>240</v>
      </c>
      <c r="CP2761" s="5" t="s">
        <v>240</v>
      </c>
      <c r="CQ2761" s="5">
        <v>0</v>
      </c>
      <c r="CR2761" s="5" t="s">
        <v>306</v>
      </c>
      <c r="CS2761" s="5" t="s">
        <v>307</v>
      </c>
      <c r="CT2761" s="5" t="s">
        <v>307</v>
      </c>
      <c r="CU2761" s="5" t="s">
        <v>260</v>
      </c>
      <c r="CX2761" s="7">
        <f>1</f>
        <v>1</v>
      </c>
      <c r="CY2761" s="7">
        <f>0</f>
        <v>0</v>
      </c>
      <c r="DA2761" s="7">
        <f>0</f>
        <v>0</v>
      </c>
      <c r="DC2761" s="5" t="s">
        <v>309</v>
      </c>
      <c r="DD2761" s="5" t="s">
        <v>240</v>
      </c>
      <c r="DF2761" s="5" t="s">
        <v>309</v>
      </c>
      <c r="DG2761" s="7">
        <f>505</f>
        <v>505</v>
      </c>
      <c r="DI2761" s="5" t="s">
        <v>240</v>
      </c>
      <c r="DJ2761" s="5" t="s">
        <v>240</v>
      </c>
      <c r="DK2761" s="5" t="s">
        <v>240</v>
      </c>
      <c r="DL2761" s="5" t="s">
        <v>240</v>
      </c>
      <c r="DP2761" s="5" t="s">
        <v>240</v>
      </c>
      <c r="DQ2761" s="5" t="s">
        <v>240</v>
      </c>
      <c r="DR2761" s="5" t="s">
        <v>240</v>
      </c>
      <c r="DS2761" s="5" t="s">
        <v>240</v>
      </c>
      <c r="DV2761" s="5" t="s">
        <v>310</v>
      </c>
      <c r="DW2761" s="5" t="s">
        <v>3574</v>
      </c>
      <c r="HO2761" s="5" t="s">
        <v>312</v>
      </c>
    </row>
    <row r="2762" spans="1:223" x14ac:dyDescent="0.4">
      <c r="A2762" s="5">
        <v>4466</v>
      </c>
      <c r="B2762" s="5">
        <v>1</v>
      </c>
      <c r="C2762" s="5">
        <v>1</v>
      </c>
      <c r="D2762" s="5" t="s">
        <v>810</v>
      </c>
      <c r="E2762" s="5" t="s">
        <v>245</v>
      </c>
      <c r="F2762" s="5" t="s">
        <v>254</v>
      </c>
      <c r="G2762" s="5" t="s">
        <v>240</v>
      </c>
      <c r="H2762" s="6" t="s">
        <v>3020</v>
      </c>
      <c r="I2762" s="5" t="s">
        <v>809</v>
      </c>
      <c r="J2762" s="8">
        <f>503</f>
        <v>503</v>
      </c>
      <c r="K2762" s="5" t="s">
        <v>308</v>
      </c>
      <c r="L2762" s="7">
        <f>1</f>
        <v>1</v>
      </c>
      <c r="M2762" s="7">
        <f>1</f>
        <v>1</v>
      </c>
      <c r="N2762" s="5" t="s">
        <v>242</v>
      </c>
      <c r="O2762" s="5">
        <v>1</v>
      </c>
      <c r="P2762" s="5" t="s">
        <v>294</v>
      </c>
      <c r="Q2762" s="5" t="s">
        <v>266</v>
      </c>
      <c r="R2762" s="5" t="s">
        <v>240</v>
      </c>
      <c r="S2762" s="5" t="s">
        <v>240</v>
      </c>
      <c r="T2762" s="5" t="s">
        <v>296</v>
      </c>
      <c r="U2762" s="5" t="s">
        <v>244</v>
      </c>
      <c r="V2762" s="5" t="s">
        <v>240</v>
      </c>
      <c r="Y2762" s="5" t="s">
        <v>240</v>
      </c>
      <c r="Z2762" s="6" t="s">
        <v>298</v>
      </c>
      <c r="AB2762" s="6" t="s">
        <v>240</v>
      </c>
      <c r="AE2762" s="6" t="s">
        <v>299</v>
      </c>
      <c r="AF2762" s="5" t="s">
        <v>248</v>
      </c>
      <c r="AG2762" s="5" t="s">
        <v>249</v>
      </c>
      <c r="AW2762" s="5" t="s">
        <v>251</v>
      </c>
      <c r="AX2762" s="5" t="s">
        <v>240</v>
      </c>
      <c r="AY2762" s="5" t="s">
        <v>253</v>
      </c>
      <c r="AZ2762" s="5" t="s">
        <v>240</v>
      </c>
      <c r="BA2762" s="5" t="s">
        <v>255</v>
      </c>
      <c r="BB2762" s="5" t="s">
        <v>240</v>
      </c>
      <c r="BD2762" s="5" t="s">
        <v>240</v>
      </c>
      <c r="BF2762" s="5" t="s">
        <v>301</v>
      </c>
      <c r="BG2762" s="6" t="s">
        <v>299</v>
      </c>
      <c r="BH2762" s="5" t="s">
        <v>302</v>
      </c>
      <c r="BI2762" s="5" t="s">
        <v>303</v>
      </c>
      <c r="BJ2762" s="5" t="s">
        <v>240</v>
      </c>
      <c r="BK2762" s="8">
        <f>0</f>
        <v>0</v>
      </c>
      <c r="BL2762" s="7">
        <f>0</f>
        <v>0</v>
      </c>
      <c r="BM2762" s="5" t="s">
        <v>258</v>
      </c>
      <c r="BN2762" s="5" t="s">
        <v>259</v>
      </c>
      <c r="CB2762" s="5" t="s">
        <v>240</v>
      </c>
      <c r="CC2762" s="5" t="s">
        <v>240</v>
      </c>
      <c r="CG2762" s="5" t="s">
        <v>304</v>
      </c>
      <c r="CH2762" s="5" t="s">
        <v>305</v>
      </c>
      <c r="CI2762" s="5" t="s">
        <v>240</v>
      </c>
      <c r="CL2762" s="6" t="s">
        <v>261</v>
      </c>
      <c r="CM2762" s="5" t="s">
        <v>240</v>
      </c>
      <c r="CN2762" s="5" t="s">
        <v>263</v>
      </c>
      <c r="CO2762" s="5" t="s">
        <v>240</v>
      </c>
      <c r="CP2762" s="5" t="s">
        <v>240</v>
      </c>
      <c r="CQ2762" s="5">
        <v>0</v>
      </c>
      <c r="CR2762" s="5" t="s">
        <v>306</v>
      </c>
      <c r="CS2762" s="5" t="s">
        <v>307</v>
      </c>
      <c r="CT2762" s="5" t="s">
        <v>307</v>
      </c>
      <c r="CU2762" s="5" t="s">
        <v>260</v>
      </c>
      <c r="CX2762" s="7">
        <f>1</f>
        <v>1</v>
      </c>
      <c r="CY2762" s="7">
        <f>0</f>
        <v>0</v>
      </c>
      <c r="DA2762" s="7">
        <f>0</f>
        <v>0</v>
      </c>
      <c r="DC2762" s="5" t="s">
        <v>812</v>
      </c>
      <c r="DD2762" s="5" t="s">
        <v>240</v>
      </c>
      <c r="DF2762" s="5" t="s">
        <v>812</v>
      </c>
      <c r="DG2762" s="7">
        <f>75</f>
        <v>75</v>
      </c>
      <c r="DI2762" s="5" t="s">
        <v>240</v>
      </c>
      <c r="DJ2762" s="5" t="s">
        <v>240</v>
      </c>
      <c r="DK2762" s="5" t="s">
        <v>240</v>
      </c>
      <c r="DL2762" s="5" t="s">
        <v>240</v>
      </c>
      <c r="DP2762" s="5" t="s">
        <v>240</v>
      </c>
      <c r="DQ2762" s="5" t="s">
        <v>240</v>
      </c>
      <c r="DR2762" s="5" t="s">
        <v>240</v>
      </c>
      <c r="DS2762" s="5" t="s">
        <v>240</v>
      </c>
      <c r="DV2762" s="5" t="s">
        <v>813</v>
      </c>
      <c r="DW2762" s="5" t="s">
        <v>4688</v>
      </c>
      <c r="HO2762" s="5" t="s">
        <v>312</v>
      </c>
    </row>
    <row r="2763" spans="1:223" x14ac:dyDescent="0.4">
      <c r="A2763" s="5">
        <v>4467</v>
      </c>
      <c r="B2763" s="5">
        <v>1</v>
      </c>
      <c r="C2763" s="5">
        <v>1</v>
      </c>
      <c r="D2763" s="5" t="s">
        <v>810</v>
      </c>
      <c r="E2763" s="5" t="s">
        <v>245</v>
      </c>
      <c r="F2763" s="5" t="s">
        <v>254</v>
      </c>
      <c r="G2763" s="5" t="s">
        <v>240</v>
      </c>
      <c r="H2763" s="6" t="s">
        <v>3018</v>
      </c>
      <c r="I2763" s="5" t="s">
        <v>809</v>
      </c>
      <c r="J2763" s="8">
        <f>1661</f>
        <v>1661</v>
      </c>
      <c r="K2763" s="5" t="s">
        <v>308</v>
      </c>
      <c r="L2763" s="7">
        <f>1</f>
        <v>1</v>
      </c>
      <c r="M2763" s="7">
        <f>1</f>
        <v>1</v>
      </c>
      <c r="N2763" s="5" t="s">
        <v>242</v>
      </c>
      <c r="O2763" s="5">
        <v>1</v>
      </c>
      <c r="P2763" s="5" t="s">
        <v>294</v>
      </c>
      <c r="Q2763" s="5" t="s">
        <v>266</v>
      </c>
      <c r="R2763" s="5" t="s">
        <v>240</v>
      </c>
      <c r="S2763" s="5" t="s">
        <v>240</v>
      </c>
      <c r="T2763" s="5" t="s">
        <v>296</v>
      </c>
      <c r="U2763" s="5" t="s">
        <v>244</v>
      </c>
      <c r="V2763" s="5" t="s">
        <v>240</v>
      </c>
      <c r="Y2763" s="5" t="s">
        <v>240</v>
      </c>
      <c r="Z2763" s="6" t="s">
        <v>298</v>
      </c>
      <c r="AB2763" s="6" t="s">
        <v>240</v>
      </c>
      <c r="AE2763" s="6" t="s">
        <v>299</v>
      </c>
      <c r="AF2763" s="5" t="s">
        <v>248</v>
      </c>
      <c r="AG2763" s="5" t="s">
        <v>249</v>
      </c>
      <c r="AW2763" s="5" t="s">
        <v>251</v>
      </c>
      <c r="AX2763" s="5" t="s">
        <v>240</v>
      </c>
      <c r="AY2763" s="5" t="s">
        <v>253</v>
      </c>
      <c r="AZ2763" s="5" t="s">
        <v>240</v>
      </c>
      <c r="BA2763" s="5" t="s">
        <v>255</v>
      </c>
      <c r="BB2763" s="5" t="s">
        <v>240</v>
      </c>
      <c r="BD2763" s="5" t="s">
        <v>240</v>
      </c>
      <c r="BF2763" s="5" t="s">
        <v>301</v>
      </c>
      <c r="BG2763" s="6" t="s">
        <v>299</v>
      </c>
      <c r="BH2763" s="5" t="s">
        <v>302</v>
      </c>
      <c r="BI2763" s="5" t="s">
        <v>303</v>
      </c>
      <c r="BJ2763" s="5" t="s">
        <v>240</v>
      </c>
      <c r="BK2763" s="8">
        <f>0</f>
        <v>0</v>
      </c>
      <c r="BL2763" s="7">
        <f>0</f>
        <v>0</v>
      </c>
      <c r="BM2763" s="5" t="s">
        <v>258</v>
      </c>
      <c r="BN2763" s="5" t="s">
        <v>259</v>
      </c>
      <c r="CB2763" s="5" t="s">
        <v>240</v>
      </c>
      <c r="CC2763" s="5" t="s">
        <v>240</v>
      </c>
      <c r="CG2763" s="5" t="s">
        <v>304</v>
      </c>
      <c r="CH2763" s="5" t="s">
        <v>305</v>
      </c>
      <c r="CI2763" s="5" t="s">
        <v>240</v>
      </c>
      <c r="CL2763" s="6" t="s">
        <v>261</v>
      </c>
      <c r="CM2763" s="5" t="s">
        <v>240</v>
      </c>
      <c r="CN2763" s="5" t="s">
        <v>263</v>
      </c>
      <c r="CO2763" s="5" t="s">
        <v>240</v>
      </c>
      <c r="CP2763" s="5" t="s">
        <v>240</v>
      </c>
      <c r="CQ2763" s="5">
        <v>0</v>
      </c>
      <c r="CR2763" s="5" t="s">
        <v>306</v>
      </c>
      <c r="CS2763" s="5" t="s">
        <v>307</v>
      </c>
      <c r="CT2763" s="5" t="s">
        <v>307</v>
      </c>
      <c r="CU2763" s="5" t="s">
        <v>260</v>
      </c>
      <c r="CX2763" s="7">
        <f>1</f>
        <v>1</v>
      </c>
      <c r="CY2763" s="7">
        <f>0</f>
        <v>0</v>
      </c>
      <c r="DA2763" s="7">
        <f>0</f>
        <v>0</v>
      </c>
      <c r="DC2763" s="5" t="s">
        <v>309</v>
      </c>
      <c r="DD2763" s="5" t="s">
        <v>240</v>
      </c>
      <c r="DF2763" s="5" t="s">
        <v>309</v>
      </c>
      <c r="DG2763" s="7">
        <f>701</f>
        <v>701</v>
      </c>
      <c r="DI2763" s="5" t="s">
        <v>240</v>
      </c>
      <c r="DJ2763" s="5" t="s">
        <v>240</v>
      </c>
      <c r="DK2763" s="5" t="s">
        <v>240</v>
      </c>
      <c r="DL2763" s="5" t="s">
        <v>240</v>
      </c>
      <c r="DP2763" s="5" t="s">
        <v>240</v>
      </c>
      <c r="DQ2763" s="5" t="s">
        <v>240</v>
      </c>
      <c r="DR2763" s="5" t="s">
        <v>240</v>
      </c>
      <c r="DS2763" s="5" t="s">
        <v>240</v>
      </c>
      <c r="DV2763" s="5" t="s">
        <v>310</v>
      </c>
      <c r="DW2763" s="5" t="s">
        <v>3578</v>
      </c>
      <c r="HO2763" s="5" t="s">
        <v>312</v>
      </c>
    </row>
    <row r="2764" spans="1:223" x14ac:dyDescent="0.4">
      <c r="A2764" s="5">
        <v>4468</v>
      </c>
      <c r="B2764" s="5">
        <v>1</v>
      </c>
      <c r="C2764" s="5">
        <v>1</v>
      </c>
      <c r="D2764" s="5" t="s">
        <v>810</v>
      </c>
      <c r="E2764" s="5" t="s">
        <v>245</v>
      </c>
      <c r="F2764" s="5" t="s">
        <v>254</v>
      </c>
      <c r="G2764" s="5" t="s">
        <v>240</v>
      </c>
      <c r="H2764" s="6" t="s">
        <v>3016</v>
      </c>
      <c r="I2764" s="5" t="s">
        <v>809</v>
      </c>
      <c r="J2764" s="8">
        <f>720</f>
        <v>720</v>
      </c>
      <c r="K2764" s="5" t="s">
        <v>308</v>
      </c>
      <c r="L2764" s="7">
        <f>1</f>
        <v>1</v>
      </c>
      <c r="M2764" s="7">
        <f>1</f>
        <v>1</v>
      </c>
      <c r="N2764" s="5" t="s">
        <v>242</v>
      </c>
      <c r="O2764" s="5">
        <v>1</v>
      </c>
      <c r="P2764" s="5" t="s">
        <v>294</v>
      </c>
      <c r="Q2764" s="5" t="s">
        <v>266</v>
      </c>
      <c r="R2764" s="5" t="s">
        <v>240</v>
      </c>
      <c r="S2764" s="5" t="s">
        <v>240</v>
      </c>
      <c r="T2764" s="5" t="s">
        <v>296</v>
      </c>
      <c r="U2764" s="5" t="s">
        <v>244</v>
      </c>
      <c r="V2764" s="5" t="s">
        <v>240</v>
      </c>
      <c r="Y2764" s="5" t="s">
        <v>240</v>
      </c>
      <c r="Z2764" s="6" t="s">
        <v>298</v>
      </c>
      <c r="AB2764" s="6" t="s">
        <v>240</v>
      </c>
      <c r="AE2764" s="6" t="s">
        <v>299</v>
      </c>
      <c r="AF2764" s="5" t="s">
        <v>248</v>
      </c>
      <c r="AG2764" s="5" t="s">
        <v>249</v>
      </c>
      <c r="AW2764" s="5" t="s">
        <v>251</v>
      </c>
      <c r="AX2764" s="5" t="s">
        <v>240</v>
      </c>
      <c r="AY2764" s="5" t="s">
        <v>253</v>
      </c>
      <c r="AZ2764" s="5" t="s">
        <v>240</v>
      </c>
      <c r="BA2764" s="5" t="s">
        <v>255</v>
      </c>
      <c r="BB2764" s="5" t="s">
        <v>240</v>
      </c>
      <c r="BD2764" s="5" t="s">
        <v>240</v>
      </c>
      <c r="BF2764" s="5" t="s">
        <v>301</v>
      </c>
      <c r="BG2764" s="6" t="s">
        <v>299</v>
      </c>
      <c r="BH2764" s="5" t="s">
        <v>302</v>
      </c>
      <c r="BI2764" s="5" t="s">
        <v>303</v>
      </c>
      <c r="BJ2764" s="5" t="s">
        <v>240</v>
      </c>
      <c r="BK2764" s="8">
        <f>0</f>
        <v>0</v>
      </c>
      <c r="BL2764" s="7">
        <f>0</f>
        <v>0</v>
      </c>
      <c r="BM2764" s="5" t="s">
        <v>258</v>
      </c>
      <c r="BN2764" s="5" t="s">
        <v>259</v>
      </c>
      <c r="CB2764" s="5" t="s">
        <v>240</v>
      </c>
      <c r="CC2764" s="5" t="s">
        <v>240</v>
      </c>
      <c r="CG2764" s="5" t="s">
        <v>304</v>
      </c>
      <c r="CH2764" s="5" t="s">
        <v>305</v>
      </c>
      <c r="CI2764" s="5" t="s">
        <v>240</v>
      </c>
      <c r="CL2764" s="6" t="s">
        <v>261</v>
      </c>
      <c r="CM2764" s="5" t="s">
        <v>240</v>
      </c>
      <c r="CN2764" s="5" t="s">
        <v>263</v>
      </c>
      <c r="CO2764" s="5" t="s">
        <v>240</v>
      </c>
      <c r="CP2764" s="5" t="s">
        <v>240</v>
      </c>
      <c r="CQ2764" s="5">
        <v>0</v>
      </c>
      <c r="CR2764" s="5" t="s">
        <v>306</v>
      </c>
      <c r="CS2764" s="5" t="s">
        <v>307</v>
      </c>
      <c r="CT2764" s="5" t="s">
        <v>307</v>
      </c>
      <c r="CU2764" s="5" t="s">
        <v>260</v>
      </c>
      <c r="CX2764" s="7">
        <f>1</f>
        <v>1</v>
      </c>
      <c r="CY2764" s="7">
        <f>0</f>
        <v>0</v>
      </c>
      <c r="DA2764" s="7">
        <f>0</f>
        <v>0</v>
      </c>
      <c r="DC2764" s="5" t="s">
        <v>812</v>
      </c>
      <c r="DD2764" s="5" t="s">
        <v>240</v>
      </c>
      <c r="DF2764" s="5" t="s">
        <v>812</v>
      </c>
      <c r="DG2764" s="7">
        <f>1839</f>
        <v>1839</v>
      </c>
      <c r="DI2764" s="5" t="s">
        <v>240</v>
      </c>
      <c r="DJ2764" s="5" t="s">
        <v>240</v>
      </c>
      <c r="DK2764" s="5" t="s">
        <v>240</v>
      </c>
      <c r="DL2764" s="5" t="s">
        <v>240</v>
      </c>
      <c r="DP2764" s="5" t="s">
        <v>240</v>
      </c>
      <c r="DQ2764" s="5" t="s">
        <v>240</v>
      </c>
      <c r="DR2764" s="5" t="s">
        <v>240</v>
      </c>
      <c r="DS2764" s="5" t="s">
        <v>240</v>
      </c>
      <c r="DV2764" s="5" t="s">
        <v>813</v>
      </c>
      <c r="DW2764" s="5" t="s">
        <v>4693</v>
      </c>
      <c r="HO2764" s="5" t="s">
        <v>312</v>
      </c>
    </row>
    <row r="2765" spans="1:223" x14ac:dyDescent="0.4">
      <c r="A2765" s="5">
        <v>4469</v>
      </c>
      <c r="B2765" s="5">
        <v>1</v>
      </c>
      <c r="C2765" s="5">
        <v>1</v>
      </c>
      <c r="D2765" s="5" t="s">
        <v>810</v>
      </c>
      <c r="E2765" s="5" t="s">
        <v>245</v>
      </c>
      <c r="F2765" s="5" t="s">
        <v>254</v>
      </c>
      <c r="G2765" s="5" t="s">
        <v>240</v>
      </c>
      <c r="H2765" s="6" t="s">
        <v>3014</v>
      </c>
      <c r="I2765" s="5" t="s">
        <v>809</v>
      </c>
      <c r="J2765" s="8">
        <f>382</f>
        <v>382</v>
      </c>
      <c r="K2765" s="5" t="s">
        <v>308</v>
      </c>
      <c r="L2765" s="7">
        <f>1</f>
        <v>1</v>
      </c>
      <c r="M2765" s="7">
        <f>1</f>
        <v>1</v>
      </c>
      <c r="N2765" s="5" t="s">
        <v>242</v>
      </c>
      <c r="O2765" s="5">
        <v>1</v>
      </c>
      <c r="P2765" s="5" t="s">
        <v>294</v>
      </c>
      <c r="Q2765" s="5" t="s">
        <v>266</v>
      </c>
      <c r="R2765" s="5" t="s">
        <v>240</v>
      </c>
      <c r="S2765" s="5" t="s">
        <v>240</v>
      </c>
      <c r="T2765" s="5" t="s">
        <v>296</v>
      </c>
      <c r="U2765" s="5" t="s">
        <v>244</v>
      </c>
      <c r="V2765" s="5" t="s">
        <v>240</v>
      </c>
      <c r="Y2765" s="5" t="s">
        <v>240</v>
      </c>
      <c r="Z2765" s="6" t="s">
        <v>298</v>
      </c>
      <c r="AB2765" s="6" t="s">
        <v>240</v>
      </c>
      <c r="AE2765" s="6" t="s">
        <v>299</v>
      </c>
      <c r="AF2765" s="5" t="s">
        <v>248</v>
      </c>
      <c r="AG2765" s="5" t="s">
        <v>249</v>
      </c>
      <c r="AW2765" s="5" t="s">
        <v>251</v>
      </c>
      <c r="AX2765" s="5" t="s">
        <v>240</v>
      </c>
      <c r="AY2765" s="5" t="s">
        <v>253</v>
      </c>
      <c r="AZ2765" s="5" t="s">
        <v>240</v>
      </c>
      <c r="BA2765" s="5" t="s">
        <v>255</v>
      </c>
      <c r="BB2765" s="5" t="s">
        <v>240</v>
      </c>
      <c r="BD2765" s="5" t="s">
        <v>240</v>
      </c>
      <c r="BF2765" s="5" t="s">
        <v>301</v>
      </c>
      <c r="BG2765" s="6" t="s">
        <v>299</v>
      </c>
      <c r="BH2765" s="5" t="s">
        <v>302</v>
      </c>
      <c r="BI2765" s="5" t="s">
        <v>303</v>
      </c>
      <c r="BJ2765" s="5" t="s">
        <v>240</v>
      </c>
      <c r="BK2765" s="8">
        <f>0</f>
        <v>0</v>
      </c>
      <c r="BL2765" s="7">
        <f>0</f>
        <v>0</v>
      </c>
      <c r="BM2765" s="5" t="s">
        <v>258</v>
      </c>
      <c r="BN2765" s="5" t="s">
        <v>259</v>
      </c>
      <c r="CB2765" s="5" t="s">
        <v>240</v>
      </c>
      <c r="CC2765" s="5" t="s">
        <v>240</v>
      </c>
      <c r="CG2765" s="5" t="s">
        <v>304</v>
      </c>
      <c r="CH2765" s="5" t="s">
        <v>305</v>
      </c>
      <c r="CI2765" s="5" t="s">
        <v>240</v>
      </c>
      <c r="CL2765" s="6" t="s">
        <v>261</v>
      </c>
      <c r="CM2765" s="5" t="s">
        <v>240</v>
      </c>
      <c r="CN2765" s="5" t="s">
        <v>263</v>
      </c>
      <c r="CO2765" s="5" t="s">
        <v>240</v>
      </c>
      <c r="CP2765" s="5" t="s">
        <v>240</v>
      </c>
      <c r="CQ2765" s="5">
        <v>0</v>
      </c>
      <c r="CR2765" s="5" t="s">
        <v>306</v>
      </c>
      <c r="CS2765" s="5" t="s">
        <v>307</v>
      </c>
      <c r="CT2765" s="5" t="s">
        <v>307</v>
      </c>
      <c r="CU2765" s="5" t="s">
        <v>260</v>
      </c>
      <c r="CX2765" s="7">
        <f>1</f>
        <v>1</v>
      </c>
      <c r="CY2765" s="7">
        <f>0</f>
        <v>0</v>
      </c>
      <c r="DA2765" s="7">
        <f>0</f>
        <v>0</v>
      </c>
      <c r="DC2765" s="5" t="s">
        <v>812</v>
      </c>
      <c r="DD2765" s="5" t="s">
        <v>240</v>
      </c>
      <c r="DF2765" s="5" t="s">
        <v>812</v>
      </c>
      <c r="DG2765" s="7">
        <f>800</f>
        <v>800</v>
      </c>
      <c r="DI2765" s="5" t="s">
        <v>240</v>
      </c>
      <c r="DJ2765" s="5" t="s">
        <v>240</v>
      </c>
      <c r="DK2765" s="5" t="s">
        <v>240</v>
      </c>
      <c r="DL2765" s="5" t="s">
        <v>240</v>
      </c>
      <c r="DP2765" s="5" t="s">
        <v>240</v>
      </c>
      <c r="DQ2765" s="5" t="s">
        <v>240</v>
      </c>
      <c r="DR2765" s="5" t="s">
        <v>240</v>
      </c>
      <c r="DS2765" s="5" t="s">
        <v>240</v>
      </c>
      <c r="DV2765" s="5" t="s">
        <v>813</v>
      </c>
      <c r="DW2765" s="5" t="s">
        <v>4696</v>
      </c>
      <c r="HO2765" s="5" t="s">
        <v>312</v>
      </c>
    </row>
    <row r="2766" spans="1:223" x14ac:dyDescent="0.4">
      <c r="A2766" s="5">
        <v>4470</v>
      </c>
      <c r="B2766" s="5">
        <v>1</v>
      </c>
      <c r="C2766" s="5">
        <v>1</v>
      </c>
      <c r="D2766" s="5" t="s">
        <v>810</v>
      </c>
      <c r="E2766" s="5" t="s">
        <v>245</v>
      </c>
      <c r="F2766" s="5" t="s">
        <v>254</v>
      </c>
      <c r="G2766" s="5" t="s">
        <v>240</v>
      </c>
      <c r="H2766" s="6" t="s">
        <v>3012</v>
      </c>
      <c r="I2766" s="5" t="s">
        <v>809</v>
      </c>
      <c r="J2766" s="8">
        <f>132</f>
        <v>132</v>
      </c>
      <c r="K2766" s="5" t="s">
        <v>308</v>
      </c>
      <c r="L2766" s="7">
        <f>1</f>
        <v>1</v>
      </c>
      <c r="M2766" s="7">
        <f>1</f>
        <v>1</v>
      </c>
      <c r="N2766" s="5" t="s">
        <v>242</v>
      </c>
      <c r="O2766" s="5">
        <v>1</v>
      </c>
      <c r="P2766" s="5" t="s">
        <v>294</v>
      </c>
      <c r="Q2766" s="5" t="s">
        <v>266</v>
      </c>
      <c r="R2766" s="5" t="s">
        <v>240</v>
      </c>
      <c r="S2766" s="5" t="s">
        <v>240</v>
      </c>
      <c r="T2766" s="5" t="s">
        <v>296</v>
      </c>
      <c r="U2766" s="5" t="s">
        <v>244</v>
      </c>
      <c r="V2766" s="5" t="s">
        <v>240</v>
      </c>
      <c r="Y2766" s="5" t="s">
        <v>240</v>
      </c>
      <c r="Z2766" s="6" t="s">
        <v>298</v>
      </c>
      <c r="AB2766" s="6" t="s">
        <v>240</v>
      </c>
      <c r="AE2766" s="6" t="s">
        <v>299</v>
      </c>
      <c r="AF2766" s="5" t="s">
        <v>248</v>
      </c>
      <c r="AG2766" s="5" t="s">
        <v>249</v>
      </c>
      <c r="AW2766" s="5" t="s">
        <v>251</v>
      </c>
      <c r="AX2766" s="5" t="s">
        <v>240</v>
      </c>
      <c r="AY2766" s="5" t="s">
        <v>253</v>
      </c>
      <c r="AZ2766" s="5" t="s">
        <v>240</v>
      </c>
      <c r="BA2766" s="5" t="s">
        <v>255</v>
      </c>
      <c r="BB2766" s="5" t="s">
        <v>240</v>
      </c>
      <c r="BD2766" s="5" t="s">
        <v>240</v>
      </c>
      <c r="BF2766" s="5" t="s">
        <v>301</v>
      </c>
      <c r="BG2766" s="6" t="s">
        <v>299</v>
      </c>
      <c r="BH2766" s="5" t="s">
        <v>302</v>
      </c>
      <c r="BI2766" s="5" t="s">
        <v>303</v>
      </c>
      <c r="BJ2766" s="5" t="s">
        <v>240</v>
      </c>
      <c r="BK2766" s="8">
        <f>0</f>
        <v>0</v>
      </c>
      <c r="BL2766" s="7">
        <f>0</f>
        <v>0</v>
      </c>
      <c r="BM2766" s="5" t="s">
        <v>258</v>
      </c>
      <c r="BN2766" s="5" t="s">
        <v>259</v>
      </c>
      <c r="CB2766" s="5" t="s">
        <v>240</v>
      </c>
      <c r="CC2766" s="5" t="s">
        <v>240</v>
      </c>
      <c r="CG2766" s="5" t="s">
        <v>304</v>
      </c>
      <c r="CH2766" s="5" t="s">
        <v>305</v>
      </c>
      <c r="CI2766" s="5" t="s">
        <v>240</v>
      </c>
      <c r="CL2766" s="6" t="s">
        <v>261</v>
      </c>
      <c r="CM2766" s="5" t="s">
        <v>240</v>
      </c>
      <c r="CN2766" s="5" t="s">
        <v>263</v>
      </c>
      <c r="CO2766" s="5" t="s">
        <v>240</v>
      </c>
      <c r="CP2766" s="5" t="s">
        <v>240</v>
      </c>
      <c r="CQ2766" s="5">
        <v>0</v>
      </c>
      <c r="CR2766" s="5" t="s">
        <v>306</v>
      </c>
      <c r="CS2766" s="5" t="s">
        <v>307</v>
      </c>
      <c r="CT2766" s="5" t="s">
        <v>307</v>
      </c>
      <c r="CU2766" s="5" t="s">
        <v>260</v>
      </c>
      <c r="CX2766" s="7">
        <f>1</f>
        <v>1</v>
      </c>
      <c r="CY2766" s="7">
        <f>0</f>
        <v>0</v>
      </c>
      <c r="DA2766" s="7">
        <f>0</f>
        <v>0</v>
      </c>
      <c r="DC2766" s="5" t="s">
        <v>812</v>
      </c>
      <c r="DD2766" s="5" t="s">
        <v>240</v>
      </c>
      <c r="DF2766" s="5" t="s">
        <v>812</v>
      </c>
      <c r="DG2766" s="7">
        <f>249</f>
        <v>249</v>
      </c>
      <c r="DI2766" s="5" t="s">
        <v>240</v>
      </c>
      <c r="DJ2766" s="5" t="s">
        <v>240</v>
      </c>
      <c r="DK2766" s="5" t="s">
        <v>240</v>
      </c>
      <c r="DL2766" s="5" t="s">
        <v>240</v>
      </c>
      <c r="DP2766" s="5" t="s">
        <v>240</v>
      </c>
      <c r="DQ2766" s="5" t="s">
        <v>240</v>
      </c>
      <c r="DR2766" s="5" t="s">
        <v>240</v>
      </c>
      <c r="DS2766" s="5" t="s">
        <v>240</v>
      </c>
      <c r="DV2766" s="5" t="s">
        <v>813</v>
      </c>
      <c r="DW2766" s="5" t="s">
        <v>4910</v>
      </c>
      <c r="HO2766" s="5" t="s">
        <v>312</v>
      </c>
    </row>
    <row r="2767" spans="1:223" x14ac:dyDescent="0.4">
      <c r="A2767" s="5">
        <v>4471</v>
      </c>
      <c r="B2767" s="5">
        <v>1</v>
      </c>
      <c r="C2767" s="5">
        <v>1</v>
      </c>
      <c r="D2767" s="5" t="s">
        <v>810</v>
      </c>
      <c r="E2767" s="5" t="s">
        <v>245</v>
      </c>
      <c r="F2767" s="5" t="s">
        <v>254</v>
      </c>
      <c r="G2767" s="5" t="s">
        <v>240</v>
      </c>
      <c r="H2767" s="6" t="s">
        <v>3010</v>
      </c>
      <c r="I2767" s="5" t="s">
        <v>809</v>
      </c>
      <c r="J2767" s="8">
        <f>1591</f>
        <v>1591</v>
      </c>
      <c r="K2767" s="5" t="s">
        <v>308</v>
      </c>
      <c r="L2767" s="7">
        <f>1</f>
        <v>1</v>
      </c>
      <c r="M2767" s="7">
        <f>1</f>
        <v>1</v>
      </c>
      <c r="N2767" s="5" t="s">
        <v>242</v>
      </c>
      <c r="O2767" s="5">
        <v>1</v>
      </c>
      <c r="P2767" s="5" t="s">
        <v>294</v>
      </c>
      <c r="Q2767" s="5" t="s">
        <v>266</v>
      </c>
      <c r="R2767" s="5" t="s">
        <v>240</v>
      </c>
      <c r="S2767" s="5" t="s">
        <v>240</v>
      </c>
      <c r="T2767" s="5" t="s">
        <v>296</v>
      </c>
      <c r="U2767" s="5" t="s">
        <v>244</v>
      </c>
      <c r="V2767" s="5" t="s">
        <v>240</v>
      </c>
      <c r="Y2767" s="5" t="s">
        <v>240</v>
      </c>
      <c r="Z2767" s="6" t="s">
        <v>298</v>
      </c>
      <c r="AB2767" s="6" t="s">
        <v>240</v>
      </c>
      <c r="AE2767" s="6" t="s">
        <v>299</v>
      </c>
      <c r="AF2767" s="5" t="s">
        <v>248</v>
      </c>
      <c r="AG2767" s="5" t="s">
        <v>249</v>
      </c>
      <c r="AW2767" s="5" t="s">
        <v>251</v>
      </c>
      <c r="AX2767" s="5" t="s">
        <v>240</v>
      </c>
      <c r="AY2767" s="5" t="s">
        <v>253</v>
      </c>
      <c r="AZ2767" s="5" t="s">
        <v>240</v>
      </c>
      <c r="BA2767" s="5" t="s">
        <v>255</v>
      </c>
      <c r="BB2767" s="5" t="s">
        <v>240</v>
      </c>
      <c r="BD2767" s="5" t="s">
        <v>240</v>
      </c>
      <c r="BF2767" s="5" t="s">
        <v>301</v>
      </c>
      <c r="BG2767" s="6" t="s">
        <v>299</v>
      </c>
      <c r="BH2767" s="5" t="s">
        <v>302</v>
      </c>
      <c r="BI2767" s="5" t="s">
        <v>303</v>
      </c>
      <c r="BJ2767" s="5" t="s">
        <v>240</v>
      </c>
      <c r="BK2767" s="8">
        <f>0</f>
        <v>0</v>
      </c>
      <c r="BL2767" s="7">
        <f>0</f>
        <v>0</v>
      </c>
      <c r="BM2767" s="5" t="s">
        <v>258</v>
      </c>
      <c r="BN2767" s="5" t="s">
        <v>259</v>
      </c>
      <c r="CB2767" s="5" t="s">
        <v>240</v>
      </c>
      <c r="CC2767" s="5" t="s">
        <v>240</v>
      </c>
      <c r="CG2767" s="5" t="s">
        <v>304</v>
      </c>
      <c r="CH2767" s="5" t="s">
        <v>305</v>
      </c>
      <c r="CI2767" s="5" t="s">
        <v>240</v>
      </c>
      <c r="CL2767" s="6" t="s">
        <v>261</v>
      </c>
      <c r="CM2767" s="5" t="s">
        <v>240</v>
      </c>
      <c r="CN2767" s="5" t="s">
        <v>263</v>
      </c>
      <c r="CO2767" s="5" t="s">
        <v>240</v>
      </c>
      <c r="CP2767" s="5" t="s">
        <v>240</v>
      </c>
      <c r="CQ2767" s="5">
        <v>0</v>
      </c>
      <c r="CR2767" s="5" t="s">
        <v>306</v>
      </c>
      <c r="CS2767" s="5" t="s">
        <v>307</v>
      </c>
      <c r="CT2767" s="5" t="s">
        <v>307</v>
      </c>
      <c r="CU2767" s="5" t="s">
        <v>260</v>
      </c>
      <c r="CX2767" s="7">
        <f>1</f>
        <v>1</v>
      </c>
      <c r="CY2767" s="7">
        <f>0</f>
        <v>0</v>
      </c>
      <c r="DA2767" s="7">
        <f>0</f>
        <v>0</v>
      </c>
      <c r="DC2767" s="5" t="s">
        <v>309</v>
      </c>
      <c r="DD2767" s="5" t="s">
        <v>240</v>
      </c>
      <c r="DF2767" s="5" t="s">
        <v>309</v>
      </c>
      <c r="DG2767" s="7">
        <f>5119</f>
        <v>5119</v>
      </c>
      <c r="DI2767" s="5" t="s">
        <v>240</v>
      </c>
      <c r="DJ2767" s="5" t="s">
        <v>240</v>
      </c>
      <c r="DK2767" s="5" t="s">
        <v>240</v>
      </c>
      <c r="DL2767" s="5" t="s">
        <v>240</v>
      </c>
      <c r="DP2767" s="5" t="s">
        <v>240</v>
      </c>
      <c r="DQ2767" s="5" t="s">
        <v>240</v>
      </c>
      <c r="DR2767" s="5" t="s">
        <v>240</v>
      </c>
      <c r="DS2767" s="5" t="s">
        <v>240</v>
      </c>
      <c r="DV2767" s="5" t="s">
        <v>310</v>
      </c>
      <c r="DW2767" s="5" t="s">
        <v>3586</v>
      </c>
      <c r="HO2767" s="5" t="s">
        <v>312</v>
      </c>
    </row>
    <row r="2768" spans="1:223" x14ac:dyDescent="0.4">
      <c r="A2768" s="5">
        <v>4472</v>
      </c>
      <c r="B2768" s="5">
        <v>1</v>
      </c>
      <c r="C2768" s="5">
        <v>1</v>
      </c>
      <c r="D2768" s="5" t="s">
        <v>810</v>
      </c>
      <c r="E2768" s="5" t="s">
        <v>245</v>
      </c>
      <c r="F2768" s="5" t="s">
        <v>254</v>
      </c>
      <c r="G2768" s="5" t="s">
        <v>240</v>
      </c>
      <c r="H2768" s="6" t="s">
        <v>3008</v>
      </c>
      <c r="I2768" s="5" t="s">
        <v>809</v>
      </c>
      <c r="J2768" s="8">
        <f>1266</f>
        <v>1266</v>
      </c>
      <c r="K2768" s="5" t="s">
        <v>308</v>
      </c>
      <c r="L2768" s="7">
        <f>1</f>
        <v>1</v>
      </c>
      <c r="M2768" s="7">
        <f>1</f>
        <v>1</v>
      </c>
      <c r="N2768" s="5" t="s">
        <v>242</v>
      </c>
      <c r="O2768" s="5">
        <v>1</v>
      </c>
      <c r="P2768" s="5" t="s">
        <v>294</v>
      </c>
      <c r="Q2768" s="5" t="s">
        <v>266</v>
      </c>
      <c r="R2768" s="5" t="s">
        <v>240</v>
      </c>
      <c r="S2768" s="5" t="s">
        <v>240</v>
      </c>
      <c r="T2768" s="5" t="s">
        <v>296</v>
      </c>
      <c r="U2768" s="5" t="s">
        <v>244</v>
      </c>
      <c r="V2768" s="5" t="s">
        <v>240</v>
      </c>
      <c r="Y2768" s="5" t="s">
        <v>240</v>
      </c>
      <c r="Z2768" s="6" t="s">
        <v>298</v>
      </c>
      <c r="AB2768" s="6" t="s">
        <v>240</v>
      </c>
      <c r="AE2768" s="6" t="s">
        <v>299</v>
      </c>
      <c r="AF2768" s="5" t="s">
        <v>248</v>
      </c>
      <c r="AG2768" s="5" t="s">
        <v>249</v>
      </c>
      <c r="AW2768" s="5" t="s">
        <v>251</v>
      </c>
      <c r="AX2768" s="5" t="s">
        <v>240</v>
      </c>
      <c r="AY2768" s="5" t="s">
        <v>253</v>
      </c>
      <c r="AZ2768" s="5" t="s">
        <v>240</v>
      </c>
      <c r="BA2768" s="5" t="s">
        <v>255</v>
      </c>
      <c r="BB2768" s="5" t="s">
        <v>240</v>
      </c>
      <c r="BD2768" s="5" t="s">
        <v>240</v>
      </c>
      <c r="BF2768" s="5" t="s">
        <v>301</v>
      </c>
      <c r="BG2768" s="6" t="s">
        <v>299</v>
      </c>
      <c r="BH2768" s="5" t="s">
        <v>302</v>
      </c>
      <c r="BI2768" s="5" t="s">
        <v>303</v>
      </c>
      <c r="BJ2768" s="5" t="s">
        <v>240</v>
      </c>
      <c r="BK2768" s="8">
        <f>0</f>
        <v>0</v>
      </c>
      <c r="BL2768" s="7">
        <f>0</f>
        <v>0</v>
      </c>
      <c r="BM2768" s="5" t="s">
        <v>258</v>
      </c>
      <c r="BN2768" s="5" t="s">
        <v>259</v>
      </c>
      <c r="CB2768" s="5" t="s">
        <v>240</v>
      </c>
      <c r="CC2768" s="5" t="s">
        <v>240</v>
      </c>
      <c r="CG2768" s="5" t="s">
        <v>304</v>
      </c>
      <c r="CH2768" s="5" t="s">
        <v>305</v>
      </c>
      <c r="CI2768" s="5" t="s">
        <v>240</v>
      </c>
      <c r="CL2768" s="6" t="s">
        <v>261</v>
      </c>
      <c r="CM2768" s="5" t="s">
        <v>240</v>
      </c>
      <c r="CN2768" s="5" t="s">
        <v>263</v>
      </c>
      <c r="CO2768" s="5" t="s">
        <v>240</v>
      </c>
      <c r="CP2768" s="5" t="s">
        <v>240</v>
      </c>
      <c r="CQ2768" s="5">
        <v>0</v>
      </c>
      <c r="CR2768" s="5" t="s">
        <v>306</v>
      </c>
      <c r="CS2768" s="5" t="s">
        <v>307</v>
      </c>
      <c r="CT2768" s="5" t="s">
        <v>307</v>
      </c>
      <c r="CU2768" s="5" t="s">
        <v>260</v>
      </c>
      <c r="CX2768" s="7">
        <f>1</f>
        <v>1</v>
      </c>
      <c r="CY2768" s="7">
        <f>0</f>
        <v>0</v>
      </c>
      <c r="DA2768" s="7">
        <f>0</f>
        <v>0</v>
      </c>
      <c r="DC2768" s="5" t="s">
        <v>309</v>
      </c>
      <c r="DD2768" s="5" t="s">
        <v>240</v>
      </c>
      <c r="DF2768" s="5" t="s">
        <v>309</v>
      </c>
      <c r="DG2768" s="7">
        <f>4303</f>
        <v>4303</v>
      </c>
      <c r="DI2768" s="5" t="s">
        <v>240</v>
      </c>
      <c r="DJ2768" s="5" t="s">
        <v>240</v>
      </c>
      <c r="DK2768" s="5" t="s">
        <v>240</v>
      </c>
      <c r="DL2768" s="5" t="s">
        <v>240</v>
      </c>
      <c r="DP2768" s="5" t="s">
        <v>240</v>
      </c>
      <c r="DQ2768" s="5" t="s">
        <v>240</v>
      </c>
      <c r="DR2768" s="5" t="s">
        <v>240</v>
      </c>
      <c r="DS2768" s="5" t="s">
        <v>240</v>
      </c>
      <c r="DV2768" s="5" t="s">
        <v>310</v>
      </c>
      <c r="DW2768" s="5" t="s">
        <v>3588</v>
      </c>
      <c r="HO2768" s="5" t="s">
        <v>312</v>
      </c>
    </row>
    <row r="2769" spans="1:223" x14ac:dyDescent="0.4">
      <c r="A2769" s="5">
        <v>4473</v>
      </c>
      <c r="B2769" s="5">
        <v>1</v>
      </c>
      <c r="C2769" s="5">
        <v>1</v>
      </c>
      <c r="D2769" s="5" t="s">
        <v>810</v>
      </c>
      <c r="E2769" s="5" t="s">
        <v>245</v>
      </c>
      <c r="F2769" s="5" t="s">
        <v>254</v>
      </c>
      <c r="G2769" s="5" t="s">
        <v>240</v>
      </c>
      <c r="H2769" s="6" t="s">
        <v>3006</v>
      </c>
      <c r="I2769" s="5" t="s">
        <v>809</v>
      </c>
      <c r="J2769" s="8">
        <f>690</f>
        <v>690</v>
      </c>
      <c r="K2769" s="5" t="s">
        <v>308</v>
      </c>
      <c r="L2769" s="7">
        <f>1</f>
        <v>1</v>
      </c>
      <c r="M2769" s="7">
        <f>1</f>
        <v>1</v>
      </c>
      <c r="N2769" s="5" t="s">
        <v>242</v>
      </c>
      <c r="O2769" s="5">
        <v>1</v>
      </c>
      <c r="P2769" s="5" t="s">
        <v>294</v>
      </c>
      <c r="Q2769" s="5" t="s">
        <v>266</v>
      </c>
      <c r="R2769" s="5" t="s">
        <v>240</v>
      </c>
      <c r="S2769" s="5" t="s">
        <v>240</v>
      </c>
      <c r="T2769" s="5" t="s">
        <v>296</v>
      </c>
      <c r="U2769" s="5" t="s">
        <v>244</v>
      </c>
      <c r="V2769" s="5" t="s">
        <v>240</v>
      </c>
      <c r="Y2769" s="5" t="s">
        <v>240</v>
      </c>
      <c r="Z2769" s="6" t="s">
        <v>298</v>
      </c>
      <c r="AB2769" s="6" t="s">
        <v>240</v>
      </c>
      <c r="AE2769" s="6" t="s">
        <v>299</v>
      </c>
      <c r="AF2769" s="5" t="s">
        <v>248</v>
      </c>
      <c r="AG2769" s="5" t="s">
        <v>249</v>
      </c>
      <c r="AW2769" s="5" t="s">
        <v>251</v>
      </c>
      <c r="AX2769" s="5" t="s">
        <v>240</v>
      </c>
      <c r="AY2769" s="5" t="s">
        <v>253</v>
      </c>
      <c r="AZ2769" s="5" t="s">
        <v>240</v>
      </c>
      <c r="BA2769" s="5" t="s">
        <v>255</v>
      </c>
      <c r="BB2769" s="5" t="s">
        <v>240</v>
      </c>
      <c r="BD2769" s="5" t="s">
        <v>240</v>
      </c>
      <c r="BF2769" s="5" t="s">
        <v>301</v>
      </c>
      <c r="BG2769" s="6" t="s">
        <v>299</v>
      </c>
      <c r="BH2769" s="5" t="s">
        <v>302</v>
      </c>
      <c r="BI2769" s="5" t="s">
        <v>303</v>
      </c>
      <c r="BJ2769" s="5" t="s">
        <v>240</v>
      </c>
      <c r="BK2769" s="8">
        <f>0</f>
        <v>0</v>
      </c>
      <c r="BL2769" s="7">
        <f>0</f>
        <v>0</v>
      </c>
      <c r="BM2769" s="5" t="s">
        <v>258</v>
      </c>
      <c r="BN2769" s="5" t="s">
        <v>259</v>
      </c>
      <c r="CB2769" s="5" t="s">
        <v>240</v>
      </c>
      <c r="CC2769" s="5" t="s">
        <v>240</v>
      </c>
      <c r="CG2769" s="5" t="s">
        <v>304</v>
      </c>
      <c r="CH2769" s="5" t="s">
        <v>305</v>
      </c>
      <c r="CI2769" s="5" t="s">
        <v>240</v>
      </c>
      <c r="CL2769" s="6" t="s">
        <v>261</v>
      </c>
      <c r="CM2769" s="5" t="s">
        <v>240</v>
      </c>
      <c r="CN2769" s="5" t="s">
        <v>263</v>
      </c>
      <c r="CO2769" s="5" t="s">
        <v>240</v>
      </c>
      <c r="CP2769" s="5" t="s">
        <v>240</v>
      </c>
      <c r="CQ2769" s="5">
        <v>0</v>
      </c>
      <c r="CR2769" s="5" t="s">
        <v>306</v>
      </c>
      <c r="CS2769" s="5" t="s">
        <v>307</v>
      </c>
      <c r="CT2769" s="5" t="s">
        <v>307</v>
      </c>
      <c r="CU2769" s="5" t="s">
        <v>260</v>
      </c>
      <c r="CX2769" s="7">
        <f>1</f>
        <v>1</v>
      </c>
      <c r="CY2769" s="7">
        <f>0</f>
        <v>0</v>
      </c>
      <c r="DA2769" s="7">
        <f>0</f>
        <v>0</v>
      </c>
      <c r="DC2769" s="5" t="s">
        <v>309</v>
      </c>
      <c r="DD2769" s="5" t="s">
        <v>240</v>
      </c>
      <c r="DF2769" s="5" t="s">
        <v>309</v>
      </c>
      <c r="DG2769" s="7">
        <f>1921</f>
        <v>1921</v>
      </c>
      <c r="DI2769" s="5" t="s">
        <v>240</v>
      </c>
      <c r="DJ2769" s="5" t="s">
        <v>240</v>
      </c>
      <c r="DK2769" s="5" t="s">
        <v>240</v>
      </c>
      <c r="DL2769" s="5" t="s">
        <v>240</v>
      </c>
      <c r="DP2769" s="5" t="s">
        <v>240</v>
      </c>
      <c r="DQ2769" s="5" t="s">
        <v>240</v>
      </c>
      <c r="DR2769" s="5" t="s">
        <v>240</v>
      </c>
      <c r="DS2769" s="5" t="s">
        <v>240</v>
      </c>
      <c r="DV2769" s="5" t="s">
        <v>310</v>
      </c>
      <c r="DW2769" s="5" t="s">
        <v>3590</v>
      </c>
      <c r="HO2769" s="5" t="s">
        <v>312</v>
      </c>
    </row>
    <row r="2770" spans="1:223" x14ac:dyDescent="0.4">
      <c r="A2770" s="5">
        <v>4474</v>
      </c>
      <c r="B2770" s="5">
        <v>1</v>
      </c>
      <c r="C2770" s="5">
        <v>1</v>
      </c>
      <c r="D2770" s="5" t="s">
        <v>810</v>
      </c>
      <c r="E2770" s="5" t="s">
        <v>245</v>
      </c>
      <c r="F2770" s="5" t="s">
        <v>254</v>
      </c>
      <c r="G2770" s="5" t="s">
        <v>240</v>
      </c>
      <c r="H2770" s="6" t="s">
        <v>3004</v>
      </c>
      <c r="I2770" s="5" t="s">
        <v>809</v>
      </c>
      <c r="J2770" s="8">
        <f>324</f>
        <v>324</v>
      </c>
      <c r="K2770" s="5" t="s">
        <v>308</v>
      </c>
      <c r="L2770" s="7">
        <f>1</f>
        <v>1</v>
      </c>
      <c r="M2770" s="7">
        <f>1</f>
        <v>1</v>
      </c>
      <c r="N2770" s="5" t="s">
        <v>242</v>
      </c>
      <c r="O2770" s="5">
        <v>1</v>
      </c>
      <c r="P2770" s="5" t="s">
        <v>294</v>
      </c>
      <c r="Q2770" s="5" t="s">
        <v>266</v>
      </c>
      <c r="R2770" s="5" t="s">
        <v>240</v>
      </c>
      <c r="S2770" s="5" t="s">
        <v>240</v>
      </c>
      <c r="T2770" s="5" t="s">
        <v>296</v>
      </c>
      <c r="U2770" s="5" t="s">
        <v>244</v>
      </c>
      <c r="V2770" s="5" t="s">
        <v>240</v>
      </c>
      <c r="Y2770" s="5" t="s">
        <v>240</v>
      </c>
      <c r="Z2770" s="6" t="s">
        <v>298</v>
      </c>
      <c r="AB2770" s="6" t="s">
        <v>240</v>
      </c>
      <c r="AE2770" s="6" t="s">
        <v>299</v>
      </c>
      <c r="AF2770" s="5" t="s">
        <v>248</v>
      </c>
      <c r="AG2770" s="5" t="s">
        <v>249</v>
      </c>
      <c r="AW2770" s="5" t="s">
        <v>251</v>
      </c>
      <c r="AX2770" s="5" t="s">
        <v>240</v>
      </c>
      <c r="AY2770" s="5" t="s">
        <v>253</v>
      </c>
      <c r="AZ2770" s="5" t="s">
        <v>240</v>
      </c>
      <c r="BA2770" s="5" t="s">
        <v>255</v>
      </c>
      <c r="BB2770" s="5" t="s">
        <v>240</v>
      </c>
      <c r="BD2770" s="5" t="s">
        <v>240</v>
      </c>
      <c r="BF2770" s="5" t="s">
        <v>301</v>
      </c>
      <c r="BG2770" s="6" t="s">
        <v>299</v>
      </c>
      <c r="BH2770" s="5" t="s">
        <v>302</v>
      </c>
      <c r="BI2770" s="5" t="s">
        <v>303</v>
      </c>
      <c r="BJ2770" s="5" t="s">
        <v>240</v>
      </c>
      <c r="BK2770" s="8">
        <f>0</f>
        <v>0</v>
      </c>
      <c r="BL2770" s="7">
        <f>0</f>
        <v>0</v>
      </c>
      <c r="BM2770" s="5" t="s">
        <v>258</v>
      </c>
      <c r="BN2770" s="5" t="s">
        <v>259</v>
      </c>
      <c r="CB2770" s="5" t="s">
        <v>240</v>
      </c>
      <c r="CC2770" s="5" t="s">
        <v>240</v>
      </c>
      <c r="CG2770" s="5" t="s">
        <v>304</v>
      </c>
      <c r="CH2770" s="5" t="s">
        <v>305</v>
      </c>
      <c r="CI2770" s="5" t="s">
        <v>240</v>
      </c>
      <c r="CL2770" s="6" t="s">
        <v>261</v>
      </c>
      <c r="CM2770" s="5" t="s">
        <v>240</v>
      </c>
      <c r="CN2770" s="5" t="s">
        <v>263</v>
      </c>
      <c r="CO2770" s="5" t="s">
        <v>240</v>
      </c>
      <c r="CP2770" s="5" t="s">
        <v>240</v>
      </c>
      <c r="CQ2770" s="5">
        <v>0</v>
      </c>
      <c r="CR2770" s="5" t="s">
        <v>306</v>
      </c>
      <c r="CS2770" s="5" t="s">
        <v>307</v>
      </c>
      <c r="CT2770" s="5" t="s">
        <v>307</v>
      </c>
      <c r="CU2770" s="5" t="s">
        <v>260</v>
      </c>
      <c r="CX2770" s="7">
        <f>1</f>
        <v>1</v>
      </c>
      <c r="CY2770" s="7">
        <f>0</f>
        <v>0</v>
      </c>
      <c r="DA2770" s="7">
        <f>0</f>
        <v>0</v>
      </c>
      <c r="DC2770" s="5" t="s">
        <v>812</v>
      </c>
      <c r="DD2770" s="5" t="s">
        <v>240</v>
      </c>
      <c r="DF2770" s="5" t="s">
        <v>812</v>
      </c>
      <c r="DG2770" s="7">
        <f>934</f>
        <v>934</v>
      </c>
      <c r="DI2770" s="5" t="s">
        <v>240</v>
      </c>
      <c r="DJ2770" s="5" t="s">
        <v>240</v>
      </c>
      <c r="DK2770" s="5" t="s">
        <v>240</v>
      </c>
      <c r="DL2770" s="5" t="s">
        <v>240</v>
      </c>
      <c r="DP2770" s="5" t="s">
        <v>240</v>
      </c>
      <c r="DQ2770" s="5" t="s">
        <v>240</v>
      </c>
      <c r="DR2770" s="5" t="s">
        <v>240</v>
      </c>
      <c r="DS2770" s="5" t="s">
        <v>240</v>
      </c>
      <c r="DV2770" s="5" t="s">
        <v>813</v>
      </c>
      <c r="DW2770" s="5" t="s">
        <v>4707</v>
      </c>
      <c r="HO2770" s="5" t="s">
        <v>312</v>
      </c>
    </row>
    <row r="2771" spans="1:223" x14ac:dyDescent="0.4">
      <c r="A2771" s="5">
        <v>4475</v>
      </c>
      <c r="B2771" s="5">
        <v>1</v>
      </c>
      <c r="C2771" s="5">
        <v>1</v>
      </c>
      <c r="D2771" s="5" t="s">
        <v>810</v>
      </c>
      <c r="E2771" s="5" t="s">
        <v>245</v>
      </c>
      <c r="F2771" s="5" t="s">
        <v>254</v>
      </c>
      <c r="G2771" s="5" t="s">
        <v>240</v>
      </c>
      <c r="H2771" s="6" t="s">
        <v>3002</v>
      </c>
      <c r="I2771" s="5" t="s">
        <v>809</v>
      </c>
      <c r="J2771" s="8">
        <f>257</f>
        <v>257</v>
      </c>
      <c r="K2771" s="5" t="s">
        <v>308</v>
      </c>
      <c r="L2771" s="7">
        <f>1</f>
        <v>1</v>
      </c>
      <c r="M2771" s="7">
        <f>1</f>
        <v>1</v>
      </c>
      <c r="N2771" s="5" t="s">
        <v>242</v>
      </c>
      <c r="O2771" s="5">
        <v>1</v>
      </c>
      <c r="P2771" s="5" t="s">
        <v>294</v>
      </c>
      <c r="Q2771" s="5" t="s">
        <v>266</v>
      </c>
      <c r="R2771" s="5" t="s">
        <v>240</v>
      </c>
      <c r="S2771" s="5" t="s">
        <v>240</v>
      </c>
      <c r="T2771" s="5" t="s">
        <v>296</v>
      </c>
      <c r="U2771" s="5" t="s">
        <v>244</v>
      </c>
      <c r="V2771" s="5" t="s">
        <v>240</v>
      </c>
      <c r="Y2771" s="5" t="s">
        <v>240</v>
      </c>
      <c r="Z2771" s="6" t="s">
        <v>298</v>
      </c>
      <c r="AB2771" s="6" t="s">
        <v>240</v>
      </c>
      <c r="AE2771" s="6" t="s">
        <v>299</v>
      </c>
      <c r="AF2771" s="5" t="s">
        <v>248</v>
      </c>
      <c r="AG2771" s="5" t="s">
        <v>249</v>
      </c>
      <c r="AW2771" s="5" t="s">
        <v>251</v>
      </c>
      <c r="AX2771" s="5" t="s">
        <v>240</v>
      </c>
      <c r="AY2771" s="5" t="s">
        <v>253</v>
      </c>
      <c r="AZ2771" s="5" t="s">
        <v>240</v>
      </c>
      <c r="BA2771" s="5" t="s">
        <v>255</v>
      </c>
      <c r="BB2771" s="5" t="s">
        <v>240</v>
      </c>
      <c r="BD2771" s="5" t="s">
        <v>240</v>
      </c>
      <c r="BF2771" s="5" t="s">
        <v>301</v>
      </c>
      <c r="BG2771" s="6" t="s">
        <v>299</v>
      </c>
      <c r="BH2771" s="5" t="s">
        <v>302</v>
      </c>
      <c r="BI2771" s="5" t="s">
        <v>303</v>
      </c>
      <c r="BJ2771" s="5" t="s">
        <v>240</v>
      </c>
      <c r="BK2771" s="8">
        <f>0</f>
        <v>0</v>
      </c>
      <c r="BL2771" s="7">
        <f>0</f>
        <v>0</v>
      </c>
      <c r="BM2771" s="5" t="s">
        <v>258</v>
      </c>
      <c r="BN2771" s="5" t="s">
        <v>259</v>
      </c>
      <c r="CB2771" s="5" t="s">
        <v>240</v>
      </c>
      <c r="CC2771" s="5" t="s">
        <v>240</v>
      </c>
      <c r="CG2771" s="5" t="s">
        <v>304</v>
      </c>
      <c r="CH2771" s="5" t="s">
        <v>305</v>
      </c>
      <c r="CI2771" s="5" t="s">
        <v>240</v>
      </c>
      <c r="CL2771" s="6" t="s">
        <v>261</v>
      </c>
      <c r="CM2771" s="5" t="s">
        <v>240</v>
      </c>
      <c r="CN2771" s="5" t="s">
        <v>263</v>
      </c>
      <c r="CO2771" s="5" t="s">
        <v>240</v>
      </c>
      <c r="CP2771" s="5" t="s">
        <v>240</v>
      </c>
      <c r="CQ2771" s="5">
        <v>0</v>
      </c>
      <c r="CR2771" s="5" t="s">
        <v>306</v>
      </c>
      <c r="CS2771" s="5" t="s">
        <v>307</v>
      </c>
      <c r="CT2771" s="5" t="s">
        <v>307</v>
      </c>
      <c r="CU2771" s="5" t="s">
        <v>260</v>
      </c>
      <c r="CX2771" s="7">
        <f>1</f>
        <v>1</v>
      </c>
      <c r="CY2771" s="7">
        <f>0</f>
        <v>0</v>
      </c>
      <c r="DA2771" s="7">
        <f>0</f>
        <v>0</v>
      </c>
      <c r="DC2771" s="5" t="s">
        <v>309</v>
      </c>
      <c r="DD2771" s="5" t="s">
        <v>240</v>
      </c>
      <c r="DF2771" s="5" t="s">
        <v>309</v>
      </c>
      <c r="DG2771" s="7">
        <f>322</f>
        <v>322</v>
      </c>
      <c r="DI2771" s="5" t="s">
        <v>240</v>
      </c>
      <c r="DJ2771" s="5" t="s">
        <v>240</v>
      </c>
      <c r="DK2771" s="5" t="s">
        <v>240</v>
      </c>
      <c r="DL2771" s="5" t="s">
        <v>240</v>
      </c>
      <c r="DP2771" s="5" t="s">
        <v>240</v>
      </c>
      <c r="DQ2771" s="5" t="s">
        <v>240</v>
      </c>
      <c r="DR2771" s="5" t="s">
        <v>240</v>
      </c>
      <c r="DS2771" s="5" t="s">
        <v>240</v>
      </c>
      <c r="DV2771" s="5" t="s">
        <v>310</v>
      </c>
      <c r="DW2771" s="5" t="s">
        <v>3594</v>
      </c>
      <c r="HO2771" s="5" t="s">
        <v>312</v>
      </c>
    </row>
    <row r="2772" spans="1:223" x14ac:dyDescent="0.4">
      <c r="A2772" s="5">
        <v>4476</v>
      </c>
      <c r="B2772" s="5">
        <v>1</v>
      </c>
      <c r="C2772" s="5">
        <v>1</v>
      </c>
      <c r="D2772" s="5" t="s">
        <v>810</v>
      </c>
      <c r="E2772" s="5" t="s">
        <v>245</v>
      </c>
      <c r="F2772" s="5" t="s">
        <v>254</v>
      </c>
      <c r="G2772" s="5" t="s">
        <v>240</v>
      </c>
      <c r="H2772" s="6" t="s">
        <v>3000</v>
      </c>
      <c r="I2772" s="5" t="s">
        <v>809</v>
      </c>
      <c r="J2772" s="8">
        <f>52</f>
        <v>52</v>
      </c>
      <c r="K2772" s="5" t="s">
        <v>308</v>
      </c>
      <c r="L2772" s="7">
        <f>1</f>
        <v>1</v>
      </c>
      <c r="M2772" s="7">
        <f>1</f>
        <v>1</v>
      </c>
      <c r="N2772" s="5" t="s">
        <v>242</v>
      </c>
      <c r="O2772" s="5">
        <v>1</v>
      </c>
      <c r="P2772" s="5" t="s">
        <v>294</v>
      </c>
      <c r="Q2772" s="5" t="s">
        <v>266</v>
      </c>
      <c r="R2772" s="5" t="s">
        <v>240</v>
      </c>
      <c r="S2772" s="5" t="s">
        <v>240</v>
      </c>
      <c r="T2772" s="5" t="s">
        <v>296</v>
      </c>
      <c r="U2772" s="5" t="s">
        <v>244</v>
      </c>
      <c r="V2772" s="5" t="s">
        <v>240</v>
      </c>
      <c r="Y2772" s="5" t="s">
        <v>240</v>
      </c>
      <c r="Z2772" s="6" t="s">
        <v>298</v>
      </c>
      <c r="AB2772" s="6" t="s">
        <v>240</v>
      </c>
      <c r="AE2772" s="6" t="s">
        <v>299</v>
      </c>
      <c r="AF2772" s="5" t="s">
        <v>248</v>
      </c>
      <c r="AG2772" s="5" t="s">
        <v>249</v>
      </c>
      <c r="AW2772" s="5" t="s">
        <v>251</v>
      </c>
      <c r="AX2772" s="5" t="s">
        <v>240</v>
      </c>
      <c r="AY2772" s="5" t="s">
        <v>253</v>
      </c>
      <c r="AZ2772" s="5" t="s">
        <v>240</v>
      </c>
      <c r="BA2772" s="5" t="s">
        <v>255</v>
      </c>
      <c r="BB2772" s="5" t="s">
        <v>240</v>
      </c>
      <c r="BD2772" s="5" t="s">
        <v>240</v>
      </c>
      <c r="BF2772" s="5" t="s">
        <v>301</v>
      </c>
      <c r="BG2772" s="6" t="s">
        <v>299</v>
      </c>
      <c r="BH2772" s="5" t="s">
        <v>302</v>
      </c>
      <c r="BI2772" s="5" t="s">
        <v>303</v>
      </c>
      <c r="BJ2772" s="5" t="s">
        <v>240</v>
      </c>
      <c r="BK2772" s="8">
        <f>0</f>
        <v>0</v>
      </c>
      <c r="BL2772" s="7">
        <f>0</f>
        <v>0</v>
      </c>
      <c r="BM2772" s="5" t="s">
        <v>258</v>
      </c>
      <c r="BN2772" s="5" t="s">
        <v>259</v>
      </c>
      <c r="CB2772" s="5" t="s">
        <v>240</v>
      </c>
      <c r="CC2772" s="5" t="s">
        <v>240</v>
      </c>
      <c r="CG2772" s="5" t="s">
        <v>304</v>
      </c>
      <c r="CH2772" s="5" t="s">
        <v>305</v>
      </c>
      <c r="CI2772" s="5" t="s">
        <v>240</v>
      </c>
      <c r="CL2772" s="6" t="s">
        <v>261</v>
      </c>
      <c r="CM2772" s="5" t="s">
        <v>240</v>
      </c>
      <c r="CN2772" s="5" t="s">
        <v>263</v>
      </c>
      <c r="CO2772" s="5" t="s">
        <v>240</v>
      </c>
      <c r="CP2772" s="5" t="s">
        <v>240</v>
      </c>
      <c r="CQ2772" s="5">
        <v>0</v>
      </c>
      <c r="CR2772" s="5" t="s">
        <v>306</v>
      </c>
      <c r="CS2772" s="5" t="s">
        <v>307</v>
      </c>
      <c r="CT2772" s="5" t="s">
        <v>307</v>
      </c>
      <c r="CU2772" s="5" t="s">
        <v>260</v>
      </c>
      <c r="CX2772" s="7">
        <f>1</f>
        <v>1</v>
      </c>
      <c r="CY2772" s="7">
        <f>0</f>
        <v>0</v>
      </c>
      <c r="DA2772" s="7">
        <f>0</f>
        <v>0</v>
      </c>
      <c r="DC2772" s="5" t="s">
        <v>812</v>
      </c>
      <c r="DD2772" s="5" t="s">
        <v>240</v>
      </c>
      <c r="DF2772" s="5" t="s">
        <v>812</v>
      </c>
      <c r="DG2772" s="7">
        <f>1938</f>
        <v>1938</v>
      </c>
      <c r="DI2772" s="5" t="s">
        <v>240</v>
      </c>
      <c r="DJ2772" s="5" t="s">
        <v>240</v>
      </c>
      <c r="DK2772" s="5" t="s">
        <v>240</v>
      </c>
      <c r="DL2772" s="5" t="s">
        <v>240</v>
      </c>
      <c r="DP2772" s="5" t="s">
        <v>240</v>
      </c>
      <c r="DQ2772" s="5" t="s">
        <v>240</v>
      </c>
      <c r="DR2772" s="5" t="s">
        <v>240</v>
      </c>
      <c r="DS2772" s="5" t="s">
        <v>240</v>
      </c>
      <c r="DV2772" s="5" t="s">
        <v>813</v>
      </c>
      <c r="DW2772" s="5" t="s">
        <v>4712</v>
      </c>
      <c r="HO2772" s="5" t="s">
        <v>312</v>
      </c>
    </row>
    <row r="2773" spans="1:223" x14ac:dyDescent="0.4">
      <c r="A2773" s="5">
        <v>4477</v>
      </c>
      <c r="B2773" s="5">
        <v>1</v>
      </c>
      <c r="C2773" s="5">
        <v>1</v>
      </c>
      <c r="D2773" s="5" t="s">
        <v>810</v>
      </c>
      <c r="E2773" s="5" t="s">
        <v>245</v>
      </c>
      <c r="F2773" s="5" t="s">
        <v>254</v>
      </c>
      <c r="G2773" s="5" t="s">
        <v>240</v>
      </c>
      <c r="H2773" s="6" t="s">
        <v>2998</v>
      </c>
      <c r="I2773" s="5" t="s">
        <v>809</v>
      </c>
      <c r="J2773" s="8">
        <f>232</f>
        <v>232</v>
      </c>
      <c r="K2773" s="5" t="s">
        <v>308</v>
      </c>
      <c r="L2773" s="7">
        <f>1</f>
        <v>1</v>
      </c>
      <c r="M2773" s="7">
        <f>1</f>
        <v>1</v>
      </c>
      <c r="N2773" s="5" t="s">
        <v>242</v>
      </c>
      <c r="O2773" s="5">
        <v>1</v>
      </c>
      <c r="P2773" s="5" t="s">
        <v>294</v>
      </c>
      <c r="Q2773" s="5" t="s">
        <v>266</v>
      </c>
      <c r="R2773" s="5" t="s">
        <v>240</v>
      </c>
      <c r="S2773" s="5" t="s">
        <v>240</v>
      </c>
      <c r="T2773" s="5" t="s">
        <v>296</v>
      </c>
      <c r="U2773" s="5" t="s">
        <v>244</v>
      </c>
      <c r="V2773" s="5" t="s">
        <v>240</v>
      </c>
      <c r="Y2773" s="5" t="s">
        <v>240</v>
      </c>
      <c r="Z2773" s="6" t="s">
        <v>298</v>
      </c>
      <c r="AB2773" s="6" t="s">
        <v>240</v>
      </c>
      <c r="AE2773" s="6" t="s">
        <v>299</v>
      </c>
      <c r="AF2773" s="5" t="s">
        <v>248</v>
      </c>
      <c r="AG2773" s="5" t="s">
        <v>249</v>
      </c>
      <c r="AW2773" s="5" t="s">
        <v>251</v>
      </c>
      <c r="AX2773" s="5" t="s">
        <v>240</v>
      </c>
      <c r="AY2773" s="5" t="s">
        <v>253</v>
      </c>
      <c r="AZ2773" s="5" t="s">
        <v>240</v>
      </c>
      <c r="BA2773" s="5" t="s">
        <v>255</v>
      </c>
      <c r="BB2773" s="5" t="s">
        <v>240</v>
      </c>
      <c r="BD2773" s="5" t="s">
        <v>240</v>
      </c>
      <c r="BF2773" s="5" t="s">
        <v>301</v>
      </c>
      <c r="BG2773" s="6" t="s">
        <v>299</v>
      </c>
      <c r="BH2773" s="5" t="s">
        <v>302</v>
      </c>
      <c r="BI2773" s="5" t="s">
        <v>303</v>
      </c>
      <c r="BJ2773" s="5" t="s">
        <v>240</v>
      </c>
      <c r="BK2773" s="8">
        <f>0</f>
        <v>0</v>
      </c>
      <c r="BL2773" s="7">
        <f>0</f>
        <v>0</v>
      </c>
      <c r="BM2773" s="5" t="s">
        <v>258</v>
      </c>
      <c r="BN2773" s="5" t="s">
        <v>259</v>
      </c>
      <c r="CB2773" s="5" t="s">
        <v>240</v>
      </c>
      <c r="CC2773" s="5" t="s">
        <v>240</v>
      </c>
      <c r="CG2773" s="5" t="s">
        <v>304</v>
      </c>
      <c r="CH2773" s="5" t="s">
        <v>305</v>
      </c>
      <c r="CI2773" s="5" t="s">
        <v>240</v>
      </c>
      <c r="CL2773" s="6" t="s">
        <v>261</v>
      </c>
      <c r="CM2773" s="5" t="s">
        <v>240</v>
      </c>
      <c r="CN2773" s="5" t="s">
        <v>263</v>
      </c>
      <c r="CO2773" s="5" t="s">
        <v>240</v>
      </c>
      <c r="CP2773" s="5" t="s">
        <v>240</v>
      </c>
      <c r="CQ2773" s="5">
        <v>0</v>
      </c>
      <c r="CR2773" s="5" t="s">
        <v>306</v>
      </c>
      <c r="CS2773" s="5" t="s">
        <v>307</v>
      </c>
      <c r="CT2773" s="5" t="s">
        <v>307</v>
      </c>
      <c r="CU2773" s="5" t="s">
        <v>260</v>
      </c>
      <c r="CX2773" s="7">
        <f>1</f>
        <v>1</v>
      </c>
      <c r="CY2773" s="7">
        <f>0</f>
        <v>0</v>
      </c>
      <c r="DA2773" s="7">
        <f>0</f>
        <v>0</v>
      </c>
      <c r="DC2773" s="5" t="s">
        <v>309</v>
      </c>
      <c r="DD2773" s="5" t="s">
        <v>240</v>
      </c>
      <c r="DF2773" s="5" t="s">
        <v>309</v>
      </c>
      <c r="DG2773" s="7">
        <f>2590</f>
        <v>2590</v>
      </c>
      <c r="DI2773" s="5" t="s">
        <v>240</v>
      </c>
      <c r="DJ2773" s="5" t="s">
        <v>240</v>
      </c>
      <c r="DK2773" s="5" t="s">
        <v>240</v>
      </c>
      <c r="DL2773" s="5" t="s">
        <v>240</v>
      </c>
      <c r="DP2773" s="5" t="s">
        <v>240</v>
      </c>
      <c r="DQ2773" s="5" t="s">
        <v>240</v>
      </c>
      <c r="DR2773" s="5" t="s">
        <v>240</v>
      </c>
      <c r="DS2773" s="5" t="s">
        <v>240</v>
      </c>
      <c r="DV2773" s="5" t="s">
        <v>310</v>
      </c>
      <c r="DW2773" s="5" t="s">
        <v>3598</v>
      </c>
      <c r="HO2773" s="5" t="s">
        <v>312</v>
      </c>
    </row>
    <row r="2774" spans="1:223" x14ac:dyDescent="0.4">
      <c r="A2774" s="5">
        <v>4478</v>
      </c>
      <c r="B2774" s="5">
        <v>1</v>
      </c>
      <c r="C2774" s="5">
        <v>1</v>
      </c>
      <c r="D2774" s="5" t="s">
        <v>810</v>
      </c>
      <c r="E2774" s="5" t="s">
        <v>245</v>
      </c>
      <c r="F2774" s="5" t="s">
        <v>254</v>
      </c>
      <c r="G2774" s="5" t="s">
        <v>240</v>
      </c>
      <c r="H2774" s="6" t="s">
        <v>2996</v>
      </c>
      <c r="I2774" s="5" t="s">
        <v>809</v>
      </c>
      <c r="J2774" s="8">
        <f>167</f>
        <v>167</v>
      </c>
      <c r="K2774" s="5" t="s">
        <v>308</v>
      </c>
      <c r="L2774" s="7">
        <f>1</f>
        <v>1</v>
      </c>
      <c r="M2774" s="7">
        <f>1</f>
        <v>1</v>
      </c>
      <c r="N2774" s="5" t="s">
        <v>242</v>
      </c>
      <c r="O2774" s="5">
        <v>1</v>
      </c>
      <c r="P2774" s="5" t="s">
        <v>294</v>
      </c>
      <c r="Q2774" s="5" t="s">
        <v>266</v>
      </c>
      <c r="R2774" s="5" t="s">
        <v>240</v>
      </c>
      <c r="S2774" s="5" t="s">
        <v>240</v>
      </c>
      <c r="T2774" s="5" t="s">
        <v>296</v>
      </c>
      <c r="U2774" s="5" t="s">
        <v>244</v>
      </c>
      <c r="V2774" s="5" t="s">
        <v>240</v>
      </c>
      <c r="Y2774" s="5" t="s">
        <v>240</v>
      </c>
      <c r="Z2774" s="6" t="s">
        <v>298</v>
      </c>
      <c r="AB2774" s="6" t="s">
        <v>240</v>
      </c>
      <c r="AE2774" s="6" t="s">
        <v>299</v>
      </c>
      <c r="AF2774" s="5" t="s">
        <v>248</v>
      </c>
      <c r="AG2774" s="5" t="s">
        <v>249</v>
      </c>
      <c r="AW2774" s="5" t="s">
        <v>251</v>
      </c>
      <c r="AX2774" s="5" t="s">
        <v>240</v>
      </c>
      <c r="AY2774" s="5" t="s">
        <v>253</v>
      </c>
      <c r="AZ2774" s="5" t="s">
        <v>240</v>
      </c>
      <c r="BA2774" s="5" t="s">
        <v>255</v>
      </c>
      <c r="BB2774" s="5" t="s">
        <v>240</v>
      </c>
      <c r="BD2774" s="5" t="s">
        <v>240</v>
      </c>
      <c r="BF2774" s="5" t="s">
        <v>301</v>
      </c>
      <c r="BG2774" s="6" t="s">
        <v>299</v>
      </c>
      <c r="BH2774" s="5" t="s">
        <v>302</v>
      </c>
      <c r="BI2774" s="5" t="s">
        <v>303</v>
      </c>
      <c r="BJ2774" s="5" t="s">
        <v>240</v>
      </c>
      <c r="BK2774" s="8">
        <f>0</f>
        <v>0</v>
      </c>
      <c r="BL2774" s="7">
        <f>0</f>
        <v>0</v>
      </c>
      <c r="BM2774" s="5" t="s">
        <v>258</v>
      </c>
      <c r="BN2774" s="5" t="s">
        <v>259</v>
      </c>
      <c r="CB2774" s="5" t="s">
        <v>240</v>
      </c>
      <c r="CC2774" s="5" t="s">
        <v>240</v>
      </c>
      <c r="CG2774" s="5" t="s">
        <v>304</v>
      </c>
      <c r="CH2774" s="5" t="s">
        <v>305</v>
      </c>
      <c r="CI2774" s="5" t="s">
        <v>240</v>
      </c>
      <c r="CL2774" s="6" t="s">
        <v>261</v>
      </c>
      <c r="CM2774" s="5" t="s">
        <v>240</v>
      </c>
      <c r="CN2774" s="5" t="s">
        <v>263</v>
      </c>
      <c r="CO2774" s="5" t="s">
        <v>240</v>
      </c>
      <c r="CP2774" s="5" t="s">
        <v>240</v>
      </c>
      <c r="CQ2774" s="5">
        <v>0</v>
      </c>
      <c r="CR2774" s="5" t="s">
        <v>306</v>
      </c>
      <c r="CS2774" s="5" t="s">
        <v>307</v>
      </c>
      <c r="CT2774" s="5" t="s">
        <v>307</v>
      </c>
      <c r="CU2774" s="5" t="s">
        <v>260</v>
      </c>
      <c r="CX2774" s="7">
        <f>1</f>
        <v>1</v>
      </c>
      <c r="CY2774" s="7">
        <f>0</f>
        <v>0</v>
      </c>
      <c r="DA2774" s="7">
        <f>0</f>
        <v>0</v>
      </c>
      <c r="DC2774" s="5" t="s">
        <v>812</v>
      </c>
      <c r="DD2774" s="5" t="s">
        <v>240</v>
      </c>
      <c r="DF2774" s="5" t="s">
        <v>812</v>
      </c>
      <c r="DG2774" s="7">
        <f>43</f>
        <v>43</v>
      </c>
      <c r="DI2774" s="5" t="s">
        <v>240</v>
      </c>
      <c r="DJ2774" s="5" t="s">
        <v>240</v>
      </c>
      <c r="DK2774" s="5" t="s">
        <v>240</v>
      </c>
      <c r="DL2774" s="5" t="s">
        <v>240</v>
      </c>
      <c r="DP2774" s="5" t="s">
        <v>240</v>
      </c>
      <c r="DQ2774" s="5" t="s">
        <v>240</v>
      </c>
      <c r="DR2774" s="5" t="s">
        <v>240</v>
      </c>
      <c r="DS2774" s="5" t="s">
        <v>240</v>
      </c>
      <c r="DV2774" s="5" t="s">
        <v>813</v>
      </c>
      <c r="DW2774" s="5" t="s">
        <v>4717</v>
      </c>
      <c r="HO2774" s="5" t="s">
        <v>312</v>
      </c>
    </row>
    <row r="2775" spans="1:223" x14ac:dyDescent="0.4">
      <c r="A2775" s="5">
        <v>4479</v>
      </c>
      <c r="B2775" s="5">
        <v>1</v>
      </c>
      <c r="C2775" s="5">
        <v>1</v>
      </c>
      <c r="D2775" s="5" t="s">
        <v>810</v>
      </c>
      <c r="E2775" s="5" t="s">
        <v>245</v>
      </c>
      <c r="F2775" s="5" t="s">
        <v>254</v>
      </c>
      <c r="G2775" s="5" t="s">
        <v>240</v>
      </c>
      <c r="H2775" s="6" t="s">
        <v>2994</v>
      </c>
      <c r="I2775" s="5" t="s">
        <v>809</v>
      </c>
      <c r="J2775" s="8">
        <f>1056</f>
        <v>1056</v>
      </c>
      <c r="K2775" s="5" t="s">
        <v>308</v>
      </c>
      <c r="L2775" s="7">
        <f>1</f>
        <v>1</v>
      </c>
      <c r="M2775" s="7">
        <f>1</f>
        <v>1</v>
      </c>
      <c r="N2775" s="5" t="s">
        <v>242</v>
      </c>
      <c r="O2775" s="5">
        <v>1</v>
      </c>
      <c r="P2775" s="5" t="s">
        <v>294</v>
      </c>
      <c r="Q2775" s="5" t="s">
        <v>266</v>
      </c>
      <c r="R2775" s="5" t="s">
        <v>240</v>
      </c>
      <c r="S2775" s="5" t="s">
        <v>240</v>
      </c>
      <c r="T2775" s="5" t="s">
        <v>296</v>
      </c>
      <c r="U2775" s="5" t="s">
        <v>244</v>
      </c>
      <c r="V2775" s="5" t="s">
        <v>240</v>
      </c>
      <c r="Y2775" s="5" t="s">
        <v>240</v>
      </c>
      <c r="Z2775" s="6" t="s">
        <v>298</v>
      </c>
      <c r="AB2775" s="6" t="s">
        <v>240</v>
      </c>
      <c r="AE2775" s="6" t="s">
        <v>299</v>
      </c>
      <c r="AF2775" s="5" t="s">
        <v>248</v>
      </c>
      <c r="AG2775" s="5" t="s">
        <v>249</v>
      </c>
      <c r="AW2775" s="5" t="s">
        <v>251</v>
      </c>
      <c r="AX2775" s="5" t="s">
        <v>240</v>
      </c>
      <c r="AY2775" s="5" t="s">
        <v>253</v>
      </c>
      <c r="AZ2775" s="5" t="s">
        <v>240</v>
      </c>
      <c r="BA2775" s="5" t="s">
        <v>255</v>
      </c>
      <c r="BB2775" s="5" t="s">
        <v>240</v>
      </c>
      <c r="BD2775" s="5" t="s">
        <v>240</v>
      </c>
      <c r="BF2775" s="5" t="s">
        <v>301</v>
      </c>
      <c r="BG2775" s="6" t="s">
        <v>299</v>
      </c>
      <c r="BH2775" s="5" t="s">
        <v>302</v>
      </c>
      <c r="BI2775" s="5" t="s">
        <v>303</v>
      </c>
      <c r="BJ2775" s="5" t="s">
        <v>240</v>
      </c>
      <c r="BK2775" s="8">
        <f>0</f>
        <v>0</v>
      </c>
      <c r="BL2775" s="7">
        <f>0</f>
        <v>0</v>
      </c>
      <c r="BM2775" s="5" t="s">
        <v>258</v>
      </c>
      <c r="BN2775" s="5" t="s">
        <v>259</v>
      </c>
      <c r="CB2775" s="5" t="s">
        <v>240</v>
      </c>
      <c r="CC2775" s="5" t="s">
        <v>240</v>
      </c>
      <c r="CG2775" s="5" t="s">
        <v>304</v>
      </c>
      <c r="CH2775" s="5" t="s">
        <v>305</v>
      </c>
      <c r="CI2775" s="5" t="s">
        <v>240</v>
      </c>
      <c r="CL2775" s="6" t="s">
        <v>261</v>
      </c>
      <c r="CM2775" s="5" t="s">
        <v>240</v>
      </c>
      <c r="CN2775" s="5" t="s">
        <v>263</v>
      </c>
      <c r="CO2775" s="5" t="s">
        <v>240</v>
      </c>
      <c r="CP2775" s="5" t="s">
        <v>240</v>
      </c>
      <c r="CQ2775" s="5">
        <v>0</v>
      </c>
      <c r="CR2775" s="5" t="s">
        <v>306</v>
      </c>
      <c r="CS2775" s="5" t="s">
        <v>307</v>
      </c>
      <c r="CT2775" s="5" t="s">
        <v>307</v>
      </c>
      <c r="CU2775" s="5" t="s">
        <v>260</v>
      </c>
      <c r="CX2775" s="7">
        <f>1</f>
        <v>1</v>
      </c>
      <c r="CY2775" s="7">
        <f>0</f>
        <v>0</v>
      </c>
      <c r="DA2775" s="7">
        <f>0</f>
        <v>0</v>
      </c>
      <c r="DC2775" s="5" t="s">
        <v>309</v>
      </c>
      <c r="DD2775" s="5" t="s">
        <v>240</v>
      </c>
      <c r="DF2775" s="5" t="s">
        <v>309</v>
      </c>
      <c r="DG2775" s="7">
        <f>9994</f>
        <v>9994</v>
      </c>
      <c r="DI2775" s="5" t="s">
        <v>240</v>
      </c>
      <c r="DJ2775" s="5" t="s">
        <v>240</v>
      </c>
      <c r="DK2775" s="5" t="s">
        <v>240</v>
      </c>
      <c r="DL2775" s="5" t="s">
        <v>240</v>
      </c>
      <c r="DP2775" s="5" t="s">
        <v>240</v>
      </c>
      <c r="DQ2775" s="5" t="s">
        <v>240</v>
      </c>
      <c r="DR2775" s="5" t="s">
        <v>240</v>
      </c>
      <c r="DS2775" s="5" t="s">
        <v>240</v>
      </c>
      <c r="DV2775" s="5" t="s">
        <v>310</v>
      </c>
      <c r="DW2775" s="5" t="s">
        <v>3602</v>
      </c>
      <c r="HO2775" s="5" t="s">
        <v>312</v>
      </c>
    </row>
    <row r="2776" spans="1:223" x14ac:dyDescent="0.4">
      <c r="A2776" s="5">
        <v>4480</v>
      </c>
      <c r="B2776" s="5">
        <v>1</v>
      </c>
      <c r="C2776" s="5">
        <v>1</v>
      </c>
      <c r="D2776" s="5" t="s">
        <v>810</v>
      </c>
      <c r="E2776" s="5" t="s">
        <v>245</v>
      </c>
      <c r="F2776" s="5" t="s">
        <v>254</v>
      </c>
      <c r="G2776" s="5" t="s">
        <v>240</v>
      </c>
      <c r="H2776" s="6" t="s">
        <v>2992</v>
      </c>
      <c r="I2776" s="5" t="s">
        <v>809</v>
      </c>
      <c r="J2776" s="8">
        <f>1008</f>
        <v>1008</v>
      </c>
      <c r="K2776" s="5" t="s">
        <v>308</v>
      </c>
      <c r="L2776" s="7">
        <f>1</f>
        <v>1</v>
      </c>
      <c r="M2776" s="7">
        <f>1</f>
        <v>1</v>
      </c>
      <c r="N2776" s="5" t="s">
        <v>242</v>
      </c>
      <c r="O2776" s="5">
        <v>1</v>
      </c>
      <c r="P2776" s="5" t="s">
        <v>294</v>
      </c>
      <c r="Q2776" s="5" t="s">
        <v>266</v>
      </c>
      <c r="R2776" s="5" t="s">
        <v>240</v>
      </c>
      <c r="S2776" s="5" t="s">
        <v>240</v>
      </c>
      <c r="T2776" s="5" t="s">
        <v>296</v>
      </c>
      <c r="U2776" s="5" t="s">
        <v>244</v>
      </c>
      <c r="V2776" s="5" t="s">
        <v>240</v>
      </c>
      <c r="Y2776" s="5" t="s">
        <v>240</v>
      </c>
      <c r="Z2776" s="6" t="s">
        <v>298</v>
      </c>
      <c r="AB2776" s="6" t="s">
        <v>240</v>
      </c>
      <c r="AE2776" s="6" t="s">
        <v>299</v>
      </c>
      <c r="AF2776" s="5" t="s">
        <v>248</v>
      </c>
      <c r="AG2776" s="5" t="s">
        <v>249</v>
      </c>
      <c r="AW2776" s="5" t="s">
        <v>251</v>
      </c>
      <c r="AX2776" s="5" t="s">
        <v>240</v>
      </c>
      <c r="AY2776" s="5" t="s">
        <v>253</v>
      </c>
      <c r="AZ2776" s="5" t="s">
        <v>240</v>
      </c>
      <c r="BA2776" s="5" t="s">
        <v>255</v>
      </c>
      <c r="BB2776" s="5" t="s">
        <v>240</v>
      </c>
      <c r="BD2776" s="5" t="s">
        <v>240</v>
      </c>
      <c r="BF2776" s="5" t="s">
        <v>301</v>
      </c>
      <c r="BG2776" s="6" t="s">
        <v>299</v>
      </c>
      <c r="BH2776" s="5" t="s">
        <v>302</v>
      </c>
      <c r="BI2776" s="5" t="s">
        <v>303</v>
      </c>
      <c r="BJ2776" s="5" t="s">
        <v>240</v>
      </c>
      <c r="BK2776" s="8">
        <f>0</f>
        <v>0</v>
      </c>
      <c r="BL2776" s="7">
        <f>0</f>
        <v>0</v>
      </c>
      <c r="BM2776" s="5" t="s">
        <v>258</v>
      </c>
      <c r="BN2776" s="5" t="s">
        <v>259</v>
      </c>
      <c r="CB2776" s="5" t="s">
        <v>240</v>
      </c>
      <c r="CC2776" s="5" t="s">
        <v>240</v>
      </c>
      <c r="CG2776" s="5" t="s">
        <v>304</v>
      </c>
      <c r="CH2776" s="5" t="s">
        <v>305</v>
      </c>
      <c r="CI2776" s="5" t="s">
        <v>240</v>
      </c>
      <c r="CL2776" s="6" t="s">
        <v>261</v>
      </c>
      <c r="CM2776" s="5" t="s">
        <v>240</v>
      </c>
      <c r="CN2776" s="5" t="s">
        <v>263</v>
      </c>
      <c r="CO2776" s="5" t="s">
        <v>240</v>
      </c>
      <c r="CP2776" s="5" t="s">
        <v>240</v>
      </c>
      <c r="CQ2776" s="5">
        <v>0</v>
      </c>
      <c r="CR2776" s="5" t="s">
        <v>306</v>
      </c>
      <c r="CS2776" s="5" t="s">
        <v>307</v>
      </c>
      <c r="CT2776" s="5" t="s">
        <v>307</v>
      </c>
      <c r="CU2776" s="5" t="s">
        <v>260</v>
      </c>
      <c r="CX2776" s="7">
        <f>1</f>
        <v>1</v>
      </c>
      <c r="CY2776" s="7">
        <f>0</f>
        <v>0</v>
      </c>
      <c r="DA2776" s="7">
        <f>0</f>
        <v>0</v>
      </c>
      <c r="DC2776" s="5" t="s">
        <v>309</v>
      </c>
      <c r="DD2776" s="5" t="s">
        <v>240</v>
      </c>
      <c r="DF2776" s="5" t="s">
        <v>309</v>
      </c>
      <c r="DG2776" s="7">
        <f>337</f>
        <v>337</v>
      </c>
      <c r="DI2776" s="5" t="s">
        <v>240</v>
      </c>
      <c r="DJ2776" s="5" t="s">
        <v>240</v>
      </c>
      <c r="DK2776" s="5" t="s">
        <v>240</v>
      </c>
      <c r="DL2776" s="5" t="s">
        <v>240</v>
      </c>
      <c r="DP2776" s="5" t="s">
        <v>240</v>
      </c>
      <c r="DQ2776" s="5" t="s">
        <v>240</v>
      </c>
      <c r="DR2776" s="5" t="s">
        <v>240</v>
      </c>
      <c r="DS2776" s="5" t="s">
        <v>240</v>
      </c>
      <c r="DV2776" s="5" t="s">
        <v>310</v>
      </c>
      <c r="DW2776" s="5" t="s">
        <v>3604</v>
      </c>
      <c r="HO2776" s="5" t="s">
        <v>312</v>
      </c>
    </row>
    <row r="2777" spans="1:223" x14ac:dyDescent="0.4">
      <c r="A2777" s="5">
        <v>4481</v>
      </c>
      <c r="B2777" s="5">
        <v>1</v>
      </c>
      <c r="C2777" s="5">
        <v>1</v>
      </c>
      <c r="D2777" s="5" t="s">
        <v>810</v>
      </c>
      <c r="E2777" s="5" t="s">
        <v>245</v>
      </c>
      <c r="F2777" s="5" t="s">
        <v>254</v>
      </c>
      <c r="G2777" s="5" t="s">
        <v>240</v>
      </c>
      <c r="H2777" s="6" t="s">
        <v>4841</v>
      </c>
      <c r="I2777" s="5" t="s">
        <v>809</v>
      </c>
      <c r="J2777" s="8">
        <f>750</f>
        <v>750</v>
      </c>
      <c r="K2777" s="5" t="s">
        <v>308</v>
      </c>
      <c r="L2777" s="7">
        <f>1</f>
        <v>1</v>
      </c>
      <c r="M2777" s="7">
        <f>1</f>
        <v>1</v>
      </c>
      <c r="N2777" s="5" t="s">
        <v>242</v>
      </c>
      <c r="O2777" s="5">
        <v>1</v>
      </c>
      <c r="P2777" s="5" t="s">
        <v>294</v>
      </c>
      <c r="Q2777" s="5" t="s">
        <v>266</v>
      </c>
      <c r="R2777" s="5" t="s">
        <v>240</v>
      </c>
      <c r="S2777" s="5" t="s">
        <v>240</v>
      </c>
      <c r="T2777" s="5" t="s">
        <v>296</v>
      </c>
      <c r="U2777" s="5" t="s">
        <v>244</v>
      </c>
      <c r="V2777" s="5" t="s">
        <v>240</v>
      </c>
      <c r="Y2777" s="5" t="s">
        <v>240</v>
      </c>
      <c r="Z2777" s="6" t="s">
        <v>298</v>
      </c>
      <c r="AB2777" s="6" t="s">
        <v>240</v>
      </c>
      <c r="AE2777" s="6" t="s">
        <v>299</v>
      </c>
      <c r="AF2777" s="5" t="s">
        <v>248</v>
      </c>
      <c r="AG2777" s="5" t="s">
        <v>249</v>
      </c>
      <c r="AW2777" s="5" t="s">
        <v>251</v>
      </c>
      <c r="AX2777" s="5" t="s">
        <v>240</v>
      </c>
      <c r="AY2777" s="5" t="s">
        <v>253</v>
      </c>
      <c r="AZ2777" s="5" t="s">
        <v>240</v>
      </c>
      <c r="BA2777" s="5" t="s">
        <v>255</v>
      </c>
      <c r="BB2777" s="5" t="s">
        <v>240</v>
      </c>
      <c r="BD2777" s="5" t="s">
        <v>240</v>
      </c>
      <c r="BF2777" s="5" t="s">
        <v>301</v>
      </c>
      <c r="BG2777" s="6" t="s">
        <v>299</v>
      </c>
      <c r="BH2777" s="5" t="s">
        <v>302</v>
      </c>
      <c r="BI2777" s="5" t="s">
        <v>303</v>
      </c>
      <c r="BJ2777" s="5" t="s">
        <v>240</v>
      </c>
      <c r="BK2777" s="8">
        <f>0</f>
        <v>0</v>
      </c>
      <c r="BL2777" s="7">
        <f>0</f>
        <v>0</v>
      </c>
      <c r="BM2777" s="5" t="s">
        <v>258</v>
      </c>
      <c r="BN2777" s="5" t="s">
        <v>259</v>
      </c>
      <c r="CB2777" s="5" t="s">
        <v>240</v>
      </c>
      <c r="CC2777" s="5" t="s">
        <v>240</v>
      </c>
      <c r="CG2777" s="5" t="s">
        <v>304</v>
      </c>
      <c r="CH2777" s="5" t="s">
        <v>305</v>
      </c>
      <c r="CI2777" s="5" t="s">
        <v>240</v>
      </c>
      <c r="CL2777" s="6" t="s">
        <v>261</v>
      </c>
      <c r="CM2777" s="5" t="s">
        <v>240</v>
      </c>
      <c r="CN2777" s="5" t="s">
        <v>263</v>
      </c>
      <c r="CO2777" s="5" t="s">
        <v>240</v>
      </c>
      <c r="CP2777" s="5" t="s">
        <v>240</v>
      </c>
      <c r="CQ2777" s="5">
        <v>0</v>
      </c>
      <c r="CR2777" s="5" t="s">
        <v>306</v>
      </c>
      <c r="CS2777" s="5" t="s">
        <v>307</v>
      </c>
      <c r="CT2777" s="5" t="s">
        <v>307</v>
      </c>
      <c r="CU2777" s="5" t="s">
        <v>260</v>
      </c>
      <c r="CX2777" s="7">
        <f>1</f>
        <v>1</v>
      </c>
      <c r="CY2777" s="7">
        <f>0</f>
        <v>0</v>
      </c>
      <c r="DA2777" s="7">
        <f>0</f>
        <v>0</v>
      </c>
      <c r="DC2777" s="5" t="s">
        <v>309</v>
      </c>
      <c r="DD2777" s="5" t="s">
        <v>240</v>
      </c>
      <c r="DF2777" s="5" t="s">
        <v>309</v>
      </c>
      <c r="DG2777" s="7">
        <f>633</f>
        <v>633</v>
      </c>
      <c r="DI2777" s="5" t="s">
        <v>240</v>
      </c>
      <c r="DJ2777" s="5" t="s">
        <v>240</v>
      </c>
      <c r="DK2777" s="5" t="s">
        <v>240</v>
      </c>
      <c r="DL2777" s="5" t="s">
        <v>240</v>
      </c>
      <c r="DP2777" s="5" t="s">
        <v>240</v>
      </c>
      <c r="DQ2777" s="5" t="s">
        <v>240</v>
      </c>
      <c r="DR2777" s="5" t="s">
        <v>240</v>
      </c>
      <c r="DS2777" s="5" t="s">
        <v>240</v>
      </c>
      <c r="DV2777" s="5" t="s">
        <v>310</v>
      </c>
      <c r="DW2777" s="5" t="s">
        <v>3606</v>
      </c>
      <c r="HO2777" s="5" t="s">
        <v>312</v>
      </c>
    </row>
    <row r="2778" spans="1:223" x14ac:dyDescent="0.4">
      <c r="A2778" s="5">
        <v>4482</v>
      </c>
      <c r="B2778" s="5">
        <v>1</v>
      </c>
      <c r="C2778" s="5">
        <v>1</v>
      </c>
      <c r="D2778" s="5" t="s">
        <v>810</v>
      </c>
      <c r="E2778" s="5" t="s">
        <v>245</v>
      </c>
      <c r="F2778" s="5" t="s">
        <v>254</v>
      </c>
      <c r="G2778" s="5" t="s">
        <v>240</v>
      </c>
      <c r="H2778" s="6" t="s">
        <v>2988</v>
      </c>
      <c r="I2778" s="5" t="s">
        <v>809</v>
      </c>
      <c r="J2778" s="8">
        <f>1558</f>
        <v>1558</v>
      </c>
      <c r="K2778" s="5" t="s">
        <v>308</v>
      </c>
      <c r="L2778" s="7">
        <f>1</f>
        <v>1</v>
      </c>
      <c r="M2778" s="7">
        <f>1</f>
        <v>1</v>
      </c>
      <c r="N2778" s="5" t="s">
        <v>242</v>
      </c>
      <c r="O2778" s="5">
        <v>1</v>
      </c>
      <c r="P2778" s="5" t="s">
        <v>294</v>
      </c>
      <c r="Q2778" s="5" t="s">
        <v>266</v>
      </c>
      <c r="R2778" s="5" t="s">
        <v>240</v>
      </c>
      <c r="S2778" s="5" t="s">
        <v>240</v>
      </c>
      <c r="T2778" s="5" t="s">
        <v>296</v>
      </c>
      <c r="U2778" s="5" t="s">
        <v>244</v>
      </c>
      <c r="V2778" s="5" t="s">
        <v>240</v>
      </c>
      <c r="Y2778" s="5" t="s">
        <v>240</v>
      </c>
      <c r="Z2778" s="6" t="s">
        <v>298</v>
      </c>
      <c r="AB2778" s="6" t="s">
        <v>240</v>
      </c>
      <c r="AE2778" s="6" t="s">
        <v>299</v>
      </c>
      <c r="AF2778" s="5" t="s">
        <v>248</v>
      </c>
      <c r="AG2778" s="5" t="s">
        <v>249</v>
      </c>
      <c r="AW2778" s="5" t="s">
        <v>251</v>
      </c>
      <c r="AX2778" s="5" t="s">
        <v>240</v>
      </c>
      <c r="AY2778" s="5" t="s">
        <v>253</v>
      </c>
      <c r="AZ2778" s="5" t="s">
        <v>240</v>
      </c>
      <c r="BA2778" s="5" t="s">
        <v>255</v>
      </c>
      <c r="BB2778" s="5" t="s">
        <v>240</v>
      </c>
      <c r="BD2778" s="5" t="s">
        <v>240</v>
      </c>
      <c r="BF2778" s="5" t="s">
        <v>301</v>
      </c>
      <c r="BG2778" s="6" t="s">
        <v>299</v>
      </c>
      <c r="BH2778" s="5" t="s">
        <v>302</v>
      </c>
      <c r="BI2778" s="5" t="s">
        <v>303</v>
      </c>
      <c r="BJ2778" s="5" t="s">
        <v>240</v>
      </c>
      <c r="BK2778" s="8">
        <f>0</f>
        <v>0</v>
      </c>
      <c r="BL2778" s="7">
        <f>0</f>
        <v>0</v>
      </c>
      <c r="BM2778" s="5" t="s">
        <v>258</v>
      </c>
      <c r="BN2778" s="5" t="s">
        <v>259</v>
      </c>
      <c r="CB2778" s="5" t="s">
        <v>240</v>
      </c>
      <c r="CC2778" s="5" t="s">
        <v>240</v>
      </c>
      <c r="CG2778" s="5" t="s">
        <v>304</v>
      </c>
      <c r="CH2778" s="5" t="s">
        <v>305</v>
      </c>
      <c r="CI2778" s="5" t="s">
        <v>240</v>
      </c>
      <c r="CL2778" s="6" t="s">
        <v>261</v>
      </c>
      <c r="CM2778" s="5" t="s">
        <v>240</v>
      </c>
      <c r="CN2778" s="5" t="s">
        <v>263</v>
      </c>
      <c r="CO2778" s="5" t="s">
        <v>240</v>
      </c>
      <c r="CP2778" s="5" t="s">
        <v>240</v>
      </c>
      <c r="CQ2778" s="5">
        <v>0</v>
      </c>
      <c r="CR2778" s="5" t="s">
        <v>306</v>
      </c>
      <c r="CS2778" s="5" t="s">
        <v>307</v>
      </c>
      <c r="CT2778" s="5" t="s">
        <v>307</v>
      </c>
      <c r="CU2778" s="5" t="s">
        <v>260</v>
      </c>
      <c r="CX2778" s="7">
        <f>1</f>
        <v>1</v>
      </c>
      <c r="CY2778" s="7">
        <f>0</f>
        <v>0</v>
      </c>
      <c r="DA2778" s="7">
        <f>0</f>
        <v>0</v>
      </c>
      <c r="DC2778" s="5" t="s">
        <v>309</v>
      </c>
      <c r="DD2778" s="5" t="s">
        <v>240</v>
      </c>
      <c r="DF2778" s="5" t="s">
        <v>309</v>
      </c>
      <c r="DG2778" s="7">
        <f>1059</f>
        <v>1059</v>
      </c>
      <c r="DI2778" s="5" t="s">
        <v>240</v>
      </c>
      <c r="DJ2778" s="5" t="s">
        <v>240</v>
      </c>
      <c r="DK2778" s="5" t="s">
        <v>240</v>
      </c>
      <c r="DL2778" s="5" t="s">
        <v>240</v>
      </c>
      <c r="DP2778" s="5" t="s">
        <v>240</v>
      </c>
      <c r="DQ2778" s="5" t="s">
        <v>240</v>
      </c>
      <c r="DR2778" s="5" t="s">
        <v>240</v>
      </c>
      <c r="DS2778" s="5" t="s">
        <v>240</v>
      </c>
      <c r="DV2778" s="5" t="s">
        <v>310</v>
      </c>
      <c r="DW2778" s="5" t="s">
        <v>3608</v>
      </c>
      <c r="HO2778" s="5" t="s">
        <v>312</v>
      </c>
    </row>
    <row r="2779" spans="1:223" x14ac:dyDescent="0.4">
      <c r="A2779" s="5">
        <v>4483</v>
      </c>
      <c r="B2779" s="5">
        <v>1</v>
      </c>
      <c r="C2779" s="5">
        <v>1</v>
      </c>
      <c r="D2779" s="5" t="s">
        <v>810</v>
      </c>
      <c r="E2779" s="5" t="s">
        <v>245</v>
      </c>
      <c r="F2779" s="5" t="s">
        <v>254</v>
      </c>
      <c r="G2779" s="5" t="s">
        <v>240</v>
      </c>
      <c r="H2779" s="6" t="s">
        <v>2986</v>
      </c>
      <c r="I2779" s="5" t="s">
        <v>809</v>
      </c>
      <c r="J2779" s="8">
        <f>1278</f>
        <v>1278</v>
      </c>
      <c r="K2779" s="5" t="s">
        <v>308</v>
      </c>
      <c r="L2779" s="7">
        <f>1</f>
        <v>1</v>
      </c>
      <c r="M2779" s="7">
        <f>1</f>
        <v>1</v>
      </c>
      <c r="N2779" s="5" t="s">
        <v>242</v>
      </c>
      <c r="O2779" s="5">
        <v>1</v>
      </c>
      <c r="P2779" s="5" t="s">
        <v>294</v>
      </c>
      <c r="Q2779" s="5" t="s">
        <v>266</v>
      </c>
      <c r="R2779" s="5" t="s">
        <v>240</v>
      </c>
      <c r="S2779" s="5" t="s">
        <v>240</v>
      </c>
      <c r="T2779" s="5" t="s">
        <v>296</v>
      </c>
      <c r="U2779" s="5" t="s">
        <v>244</v>
      </c>
      <c r="V2779" s="5" t="s">
        <v>240</v>
      </c>
      <c r="Y2779" s="5" t="s">
        <v>240</v>
      </c>
      <c r="Z2779" s="6" t="s">
        <v>298</v>
      </c>
      <c r="AB2779" s="6" t="s">
        <v>240</v>
      </c>
      <c r="AE2779" s="6" t="s">
        <v>299</v>
      </c>
      <c r="AF2779" s="5" t="s">
        <v>248</v>
      </c>
      <c r="AG2779" s="5" t="s">
        <v>249</v>
      </c>
      <c r="AW2779" s="5" t="s">
        <v>251</v>
      </c>
      <c r="AX2779" s="5" t="s">
        <v>240</v>
      </c>
      <c r="AY2779" s="5" t="s">
        <v>253</v>
      </c>
      <c r="AZ2779" s="5" t="s">
        <v>240</v>
      </c>
      <c r="BA2779" s="5" t="s">
        <v>255</v>
      </c>
      <c r="BB2779" s="5" t="s">
        <v>240</v>
      </c>
      <c r="BD2779" s="5" t="s">
        <v>240</v>
      </c>
      <c r="BF2779" s="5" t="s">
        <v>301</v>
      </c>
      <c r="BG2779" s="6" t="s">
        <v>299</v>
      </c>
      <c r="BH2779" s="5" t="s">
        <v>302</v>
      </c>
      <c r="BI2779" s="5" t="s">
        <v>303</v>
      </c>
      <c r="BJ2779" s="5" t="s">
        <v>240</v>
      </c>
      <c r="BK2779" s="8">
        <f>0</f>
        <v>0</v>
      </c>
      <c r="BL2779" s="7">
        <f>0</f>
        <v>0</v>
      </c>
      <c r="BM2779" s="5" t="s">
        <v>258</v>
      </c>
      <c r="BN2779" s="5" t="s">
        <v>259</v>
      </c>
      <c r="CB2779" s="5" t="s">
        <v>240</v>
      </c>
      <c r="CC2779" s="5" t="s">
        <v>240</v>
      </c>
      <c r="CG2779" s="5" t="s">
        <v>304</v>
      </c>
      <c r="CH2779" s="5" t="s">
        <v>305</v>
      </c>
      <c r="CI2779" s="5" t="s">
        <v>240</v>
      </c>
      <c r="CL2779" s="6" t="s">
        <v>261</v>
      </c>
      <c r="CM2779" s="5" t="s">
        <v>240</v>
      </c>
      <c r="CN2779" s="5" t="s">
        <v>263</v>
      </c>
      <c r="CO2779" s="5" t="s">
        <v>240</v>
      </c>
      <c r="CP2779" s="5" t="s">
        <v>240</v>
      </c>
      <c r="CQ2779" s="5">
        <v>0</v>
      </c>
      <c r="CR2779" s="5" t="s">
        <v>306</v>
      </c>
      <c r="CS2779" s="5" t="s">
        <v>307</v>
      </c>
      <c r="CT2779" s="5" t="s">
        <v>307</v>
      </c>
      <c r="CU2779" s="5" t="s">
        <v>260</v>
      </c>
      <c r="CX2779" s="7">
        <f>1</f>
        <v>1</v>
      </c>
      <c r="CY2779" s="7">
        <f>0</f>
        <v>0</v>
      </c>
      <c r="DA2779" s="7">
        <f>0</f>
        <v>0</v>
      </c>
      <c r="DC2779" s="5" t="s">
        <v>309</v>
      </c>
      <c r="DD2779" s="5" t="s">
        <v>240</v>
      </c>
      <c r="DF2779" s="5" t="s">
        <v>309</v>
      </c>
      <c r="DG2779" s="7">
        <f>1023</f>
        <v>1023</v>
      </c>
      <c r="DI2779" s="5" t="s">
        <v>240</v>
      </c>
      <c r="DJ2779" s="5" t="s">
        <v>240</v>
      </c>
      <c r="DK2779" s="5" t="s">
        <v>240</v>
      </c>
      <c r="DL2779" s="5" t="s">
        <v>240</v>
      </c>
      <c r="DP2779" s="5" t="s">
        <v>240</v>
      </c>
      <c r="DQ2779" s="5" t="s">
        <v>240</v>
      </c>
      <c r="DR2779" s="5" t="s">
        <v>240</v>
      </c>
      <c r="DS2779" s="5" t="s">
        <v>240</v>
      </c>
      <c r="DV2779" s="5" t="s">
        <v>310</v>
      </c>
      <c r="DW2779" s="5" t="s">
        <v>3610</v>
      </c>
      <c r="HO2779" s="5" t="s">
        <v>312</v>
      </c>
    </row>
    <row r="2780" spans="1:223" x14ac:dyDescent="0.4">
      <c r="A2780" s="5">
        <v>4484</v>
      </c>
      <c r="B2780" s="5">
        <v>1</v>
      </c>
      <c r="C2780" s="5">
        <v>1</v>
      </c>
      <c r="D2780" s="5" t="s">
        <v>810</v>
      </c>
      <c r="E2780" s="5" t="s">
        <v>245</v>
      </c>
      <c r="F2780" s="5" t="s">
        <v>254</v>
      </c>
      <c r="G2780" s="5" t="s">
        <v>240</v>
      </c>
      <c r="H2780" s="6" t="s">
        <v>2984</v>
      </c>
      <c r="I2780" s="5" t="s">
        <v>809</v>
      </c>
      <c r="J2780" s="8">
        <f>1012</f>
        <v>1012</v>
      </c>
      <c r="K2780" s="5" t="s">
        <v>308</v>
      </c>
      <c r="L2780" s="7">
        <f>1</f>
        <v>1</v>
      </c>
      <c r="M2780" s="7">
        <f>1</f>
        <v>1</v>
      </c>
      <c r="N2780" s="5" t="s">
        <v>242</v>
      </c>
      <c r="O2780" s="5">
        <v>1</v>
      </c>
      <c r="P2780" s="5" t="s">
        <v>294</v>
      </c>
      <c r="Q2780" s="5" t="s">
        <v>266</v>
      </c>
      <c r="R2780" s="5" t="s">
        <v>240</v>
      </c>
      <c r="S2780" s="5" t="s">
        <v>240</v>
      </c>
      <c r="T2780" s="5" t="s">
        <v>296</v>
      </c>
      <c r="U2780" s="5" t="s">
        <v>244</v>
      </c>
      <c r="V2780" s="5" t="s">
        <v>240</v>
      </c>
      <c r="Y2780" s="5" t="s">
        <v>240</v>
      </c>
      <c r="Z2780" s="6" t="s">
        <v>298</v>
      </c>
      <c r="AB2780" s="6" t="s">
        <v>240</v>
      </c>
      <c r="AE2780" s="6" t="s">
        <v>299</v>
      </c>
      <c r="AF2780" s="5" t="s">
        <v>248</v>
      </c>
      <c r="AG2780" s="5" t="s">
        <v>249</v>
      </c>
      <c r="AW2780" s="5" t="s">
        <v>251</v>
      </c>
      <c r="AX2780" s="5" t="s">
        <v>240</v>
      </c>
      <c r="AY2780" s="5" t="s">
        <v>253</v>
      </c>
      <c r="AZ2780" s="5" t="s">
        <v>240</v>
      </c>
      <c r="BA2780" s="5" t="s">
        <v>255</v>
      </c>
      <c r="BB2780" s="5" t="s">
        <v>240</v>
      </c>
      <c r="BD2780" s="5" t="s">
        <v>240</v>
      </c>
      <c r="BF2780" s="5" t="s">
        <v>301</v>
      </c>
      <c r="BG2780" s="6" t="s">
        <v>299</v>
      </c>
      <c r="BH2780" s="5" t="s">
        <v>302</v>
      </c>
      <c r="BI2780" s="5" t="s">
        <v>303</v>
      </c>
      <c r="BJ2780" s="5" t="s">
        <v>240</v>
      </c>
      <c r="BK2780" s="8">
        <f>0</f>
        <v>0</v>
      </c>
      <c r="BL2780" s="7">
        <f>0</f>
        <v>0</v>
      </c>
      <c r="BM2780" s="5" t="s">
        <v>258</v>
      </c>
      <c r="BN2780" s="5" t="s">
        <v>259</v>
      </c>
      <c r="CB2780" s="5" t="s">
        <v>240</v>
      </c>
      <c r="CC2780" s="5" t="s">
        <v>240</v>
      </c>
      <c r="CG2780" s="5" t="s">
        <v>304</v>
      </c>
      <c r="CH2780" s="5" t="s">
        <v>305</v>
      </c>
      <c r="CI2780" s="5" t="s">
        <v>240</v>
      </c>
      <c r="CL2780" s="6" t="s">
        <v>261</v>
      </c>
      <c r="CM2780" s="5" t="s">
        <v>240</v>
      </c>
      <c r="CN2780" s="5" t="s">
        <v>263</v>
      </c>
      <c r="CO2780" s="5" t="s">
        <v>240</v>
      </c>
      <c r="CP2780" s="5" t="s">
        <v>240</v>
      </c>
      <c r="CQ2780" s="5">
        <v>0</v>
      </c>
      <c r="CR2780" s="5" t="s">
        <v>306</v>
      </c>
      <c r="CS2780" s="5" t="s">
        <v>307</v>
      </c>
      <c r="CT2780" s="5" t="s">
        <v>307</v>
      </c>
      <c r="CU2780" s="5" t="s">
        <v>260</v>
      </c>
      <c r="CX2780" s="7">
        <f>1</f>
        <v>1</v>
      </c>
      <c r="CY2780" s="7">
        <f>0</f>
        <v>0</v>
      </c>
      <c r="DA2780" s="7">
        <f>0</f>
        <v>0</v>
      </c>
      <c r="DC2780" s="5" t="s">
        <v>812</v>
      </c>
      <c r="DD2780" s="5" t="s">
        <v>240</v>
      </c>
      <c r="DF2780" s="5" t="s">
        <v>812</v>
      </c>
      <c r="DG2780" s="7">
        <f>1115</f>
        <v>1115</v>
      </c>
      <c r="DI2780" s="5" t="s">
        <v>240</v>
      </c>
      <c r="DJ2780" s="5" t="s">
        <v>240</v>
      </c>
      <c r="DK2780" s="5" t="s">
        <v>240</v>
      </c>
      <c r="DL2780" s="5" t="s">
        <v>240</v>
      </c>
      <c r="DP2780" s="5" t="s">
        <v>240</v>
      </c>
      <c r="DQ2780" s="5" t="s">
        <v>240</v>
      </c>
      <c r="DR2780" s="5" t="s">
        <v>240</v>
      </c>
      <c r="DS2780" s="5" t="s">
        <v>240</v>
      </c>
      <c r="DV2780" s="5" t="s">
        <v>813</v>
      </c>
      <c r="DW2780" s="5" t="s">
        <v>4730</v>
      </c>
      <c r="HO2780" s="5" t="s">
        <v>312</v>
      </c>
    </row>
    <row r="2781" spans="1:223" x14ac:dyDescent="0.4">
      <c r="A2781" s="5">
        <v>4485</v>
      </c>
      <c r="B2781" s="5">
        <v>1</v>
      </c>
      <c r="C2781" s="5">
        <v>1</v>
      </c>
      <c r="D2781" s="5" t="s">
        <v>810</v>
      </c>
      <c r="E2781" s="5" t="s">
        <v>245</v>
      </c>
      <c r="F2781" s="5" t="s">
        <v>254</v>
      </c>
      <c r="G2781" s="5" t="s">
        <v>240</v>
      </c>
      <c r="H2781" s="6" t="s">
        <v>2982</v>
      </c>
      <c r="I2781" s="5" t="s">
        <v>809</v>
      </c>
      <c r="J2781" s="8">
        <f>417</f>
        <v>417</v>
      </c>
      <c r="K2781" s="5" t="s">
        <v>308</v>
      </c>
      <c r="L2781" s="7">
        <f>1</f>
        <v>1</v>
      </c>
      <c r="M2781" s="7">
        <f>1</f>
        <v>1</v>
      </c>
      <c r="N2781" s="5" t="s">
        <v>242</v>
      </c>
      <c r="O2781" s="5">
        <v>1</v>
      </c>
      <c r="P2781" s="5" t="s">
        <v>294</v>
      </c>
      <c r="Q2781" s="5" t="s">
        <v>266</v>
      </c>
      <c r="R2781" s="5" t="s">
        <v>240</v>
      </c>
      <c r="S2781" s="5" t="s">
        <v>240</v>
      </c>
      <c r="T2781" s="5" t="s">
        <v>296</v>
      </c>
      <c r="U2781" s="5" t="s">
        <v>244</v>
      </c>
      <c r="V2781" s="5" t="s">
        <v>240</v>
      </c>
      <c r="Y2781" s="5" t="s">
        <v>240</v>
      </c>
      <c r="Z2781" s="6" t="s">
        <v>298</v>
      </c>
      <c r="AB2781" s="6" t="s">
        <v>240</v>
      </c>
      <c r="AE2781" s="6" t="s">
        <v>299</v>
      </c>
      <c r="AF2781" s="5" t="s">
        <v>248</v>
      </c>
      <c r="AG2781" s="5" t="s">
        <v>249</v>
      </c>
      <c r="AW2781" s="5" t="s">
        <v>251</v>
      </c>
      <c r="AX2781" s="5" t="s">
        <v>240</v>
      </c>
      <c r="AY2781" s="5" t="s">
        <v>253</v>
      </c>
      <c r="AZ2781" s="5" t="s">
        <v>240</v>
      </c>
      <c r="BA2781" s="5" t="s">
        <v>255</v>
      </c>
      <c r="BB2781" s="5" t="s">
        <v>240</v>
      </c>
      <c r="BD2781" s="5" t="s">
        <v>240</v>
      </c>
      <c r="BF2781" s="5" t="s">
        <v>301</v>
      </c>
      <c r="BG2781" s="6" t="s">
        <v>299</v>
      </c>
      <c r="BH2781" s="5" t="s">
        <v>302</v>
      </c>
      <c r="BI2781" s="5" t="s">
        <v>303</v>
      </c>
      <c r="BJ2781" s="5" t="s">
        <v>240</v>
      </c>
      <c r="BK2781" s="8">
        <f>0</f>
        <v>0</v>
      </c>
      <c r="BL2781" s="7">
        <f>0</f>
        <v>0</v>
      </c>
      <c r="BM2781" s="5" t="s">
        <v>258</v>
      </c>
      <c r="BN2781" s="5" t="s">
        <v>259</v>
      </c>
      <c r="CB2781" s="5" t="s">
        <v>240</v>
      </c>
      <c r="CC2781" s="5" t="s">
        <v>240</v>
      </c>
      <c r="CG2781" s="5" t="s">
        <v>304</v>
      </c>
      <c r="CH2781" s="5" t="s">
        <v>305</v>
      </c>
      <c r="CI2781" s="5" t="s">
        <v>240</v>
      </c>
      <c r="CL2781" s="6" t="s">
        <v>261</v>
      </c>
      <c r="CM2781" s="5" t="s">
        <v>240</v>
      </c>
      <c r="CN2781" s="5" t="s">
        <v>263</v>
      </c>
      <c r="CO2781" s="5" t="s">
        <v>240</v>
      </c>
      <c r="CP2781" s="5" t="s">
        <v>240</v>
      </c>
      <c r="CQ2781" s="5">
        <v>0</v>
      </c>
      <c r="CR2781" s="5" t="s">
        <v>306</v>
      </c>
      <c r="CS2781" s="5" t="s">
        <v>307</v>
      </c>
      <c r="CT2781" s="5" t="s">
        <v>307</v>
      </c>
      <c r="CU2781" s="5" t="s">
        <v>260</v>
      </c>
      <c r="CX2781" s="7">
        <f>1</f>
        <v>1</v>
      </c>
      <c r="CY2781" s="7">
        <f>0</f>
        <v>0</v>
      </c>
      <c r="DA2781" s="7">
        <f>0</f>
        <v>0</v>
      </c>
      <c r="DC2781" s="5" t="s">
        <v>309</v>
      </c>
      <c r="DD2781" s="5" t="s">
        <v>240</v>
      </c>
      <c r="DF2781" s="5" t="s">
        <v>309</v>
      </c>
      <c r="DG2781" s="7">
        <f>841</f>
        <v>841</v>
      </c>
      <c r="DI2781" s="5" t="s">
        <v>240</v>
      </c>
      <c r="DJ2781" s="5" t="s">
        <v>240</v>
      </c>
      <c r="DK2781" s="5" t="s">
        <v>240</v>
      </c>
      <c r="DL2781" s="5" t="s">
        <v>240</v>
      </c>
      <c r="DP2781" s="5" t="s">
        <v>240</v>
      </c>
      <c r="DQ2781" s="5" t="s">
        <v>240</v>
      </c>
      <c r="DR2781" s="5" t="s">
        <v>240</v>
      </c>
      <c r="DS2781" s="5" t="s">
        <v>240</v>
      </c>
      <c r="DV2781" s="5" t="s">
        <v>310</v>
      </c>
      <c r="DW2781" s="5" t="s">
        <v>3614</v>
      </c>
      <c r="HO2781" s="5" t="s">
        <v>312</v>
      </c>
    </row>
    <row r="2782" spans="1:223" x14ac:dyDescent="0.4">
      <c r="A2782" s="5">
        <v>4486</v>
      </c>
      <c r="B2782" s="5">
        <v>1</v>
      </c>
      <c r="C2782" s="5">
        <v>1</v>
      </c>
      <c r="D2782" s="5" t="s">
        <v>810</v>
      </c>
      <c r="E2782" s="5" t="s">
        <v>245</v>
      </c>
      <c r="F2782" s="5" t="s">
        <v>254</v>
      </c>
      <c r="G2782" s="5" t="s">
        <v>240</v>
      </c>
      <c r="H2782" s="6" t="s">
        <v>2980</v>
      </c>
      <c r="I2782" s="5" t="s">
        <v>809</v>
      </c>
      <c r="J2782" s="8">
        <f>1506</f>
        <v>1506</v>
      </c>
      <c r="K2782" s="5" t="s">
        <v>308</v>
      </c>
      <c r="L2782" s="7">
        <f>1</f>
        <v>1</v>
      </c>
      <c r="M2782" s="7">
        <f>1</f>
        <v>1</v>
      </c>
      <c r="N2782" s="5" t="s">
        <v>242</v>
      </c>
      <c r="O2782" s="5">
        <v>1</v>
      </c>
      <c r="P2782" s="5" t="s">
        <v>294</v>
      </c>
      <c r="Q2782" s="5" t="s">
        <v>266</v>
      </c>
      <c r="R2782" s="5" t="s">
        <v>240</v>
      </c>
      <c r="S2782" s="5" t="s">
        <v>240</v>
      </c>
      <c r="T2782" s="5" t="s">
        <v>296</v>
      </c>
      <c r="U2782" s="5" t="s">
        <v>244</v>
      </c>
      <c r="V2782" s="5" t="s">
        <v>240</v>
      </c>
      <c r="Y2782" s="5" t="s">
        <v>240</v>
      </c>
      <c r="Z2782" s="6" t="s">
        <v>298</v>
      </c>
      <c r="AB2782" s="6" t="s">
        <v>240</v>
      </c>
      <c r="AE2782" s="6" t="s">
        <v>299</v>
      </c>
      <c r="AF2782" s="5" t="s">
        <v>248</v>
      </c>
      <c r="AG2782" s="5" t="s">
        <v>249</v>
      </c>
      <c r="AW2782" s="5" t="s">
        <v>251</v>
      </c>
      <c r="AX2782" s="5" t="s">
        <v>240</v>
      </c>
      <c r="AY2782" s="5" t="s">
        <v>253</v>
      </c>
      <c r="AZ2782" s="5" t="s">
        <v>240</v>
      </c>
      <c r="BA2782" s="5" t="s">
        <v>255</v>
      </c>
      <c r="BB2782" s="5" t="s">
        <v>240</v>
      </c>
      <c r="BD2782" s="5" t="s">
        <v>240</v>
      </c>
      <c r="BF2782" s="5" t="s">
        <v>301</v>
      </c>
      <c r="BG2782" s="6" t="s">
        <v>299</v>
      </c>
      <c r="BH2782" s="5" t="s">
        <v>302</v>
      </c>
      <c r="BI2782" s="5" t="s">
        <v>303</v>
      </c>
      <c r="BJ2782" s="5" t="s">
        <v>240</v>
      </c>
      <c r="BK2782" s="8">
        <f>0</f>
        <v>0</v>
      </c>
      <c r="BL2782" s="7">
        <f>0</f>
        <v>0</v>
      </c>
      <c r="BM2782" s="5" t="s">
        <v>258</v>
      </c>
      <c r="BN2782" s="5" t="s">
        <v>259</v>
      </c>
      <c r="CB2782" s="5" t="s">
        <v>240</v>
      </c>
      <c r="CC2782" s="5" t="s">
        <v>240</v>
      </c>
      <c r="CG2782" s="5" t="s">
        <v>304</v>
      </c>
      <c r="CH2782" s="5" t="s">
        <v>305</v>
      </c>
      <c r="CI2782" s="5" t="s">
        <v>240</v>
      </c>
      <c r="CL2782" s="6" t="s">
        <v>261</v>
      </c>
      <c r="CM2782" s="5" t="s">
        <v>240</v>
      </c>
      <c r="CN2782" s="5" t="s">
        <v>263</v>
      </c>
      <c r="CO2782" s="5" t="s">
        <v>240</v>
      </c>
      <c r="CP2782" s="5" t="s">
        <v>240</v>
      </c>
      <c r="CQ2782" s="5">
        <v>0</v>
      </c>
      <c r="CR2782" s="5" t="s">
        <v>306</v>
      </c>
      <c r="CS2782" s="5" t="s">
        <v>307</v>
      </c>
      <c r="CT2782" s="5" t="s">
        <v>307</v>
      </c>
      <c r="CU2782" s="5" t="s">
        <v>260</v>
      </c>
      <c r="CX2782" s="7">
        <f>1</f>
        <v>1</v>
      </c>
      <c r="CY2782" s="7">
        <f>0</f>
        <v>0</v>
      </c>
      <c r="DA2782" s="7">
        <f>0</f>
        <v>0</v>
      </c>
      <c r="DC2782" s="5" t="s">
        <v>812</v>
      </c>
      <c r="DD2782" s="5" t="s">
        <v>240</v>
      </c>
      <c r="DF2782" s="5" t="s">
        <v>812</v>
      </c>
      <c r="DG2782" s="7">
        <f>225</f>
        <v>225</v>
      </c>
      <c r="DI2782" s="5" t="s">
        <v>240</v>
      </c>
      <c r="DJ2782" s="5" t="s">
        <v>240</v>
      </c>
      <c r="DK2782" s="5" t="s">
        <v>240</v>
      </c>
      <c r="DL2782" s="5" t="s">
        <v>240</v>
      </c>
      <c r="DP2782" s="5" t="s">
        <v>240</v>
      </c>
      <c r="DQ2782" s="5" t="s">
        <v>240</v>
      </c>
      <c r="DR2782" s="5" t="s">
        <v>240</v>
      </c>
      <c r="DS2782" s="5" t="s">
        <v>240</v>
      </c>
      <c r="DV2782" s="5" t="s">
        <v>813</v>
      </c>
      <c r="DW2782" s="5" t="s">
        <v>4927</v>
      </c>
      <c r="HO2782" s="5" t="s">
        <v>312</v>
      </c>
    </row>
    <row r="2783" spans="1:223" x14ac:dyDescent="0.4">
      <c r="A2783" s="5">
        <v>4487</v>
      </c>
      <c r="B2783" s="5">
        <v>1</v>
      </c>
      <c r="C2783" s="5">
        <v>1</v>
      </c>
      <c r="D2783" s="5" t="s">
        <v>810</v>
      </c>
      <c r="E2783" s="5" t="s">
        <v>245</v>
      </c>
      <c r="F2783" s="5" t="s">
        <v>254</v>
      </c>
      <c r="G2783" s="5" t="s">
        <v>240</v>
      </c>
      <c r="H2783" s="6" t="s">
        <v>2978</v>
      </c>
      <c r="I2783" s="5" t="s">
        <v>809</v>
      </c>
      <c r="J2783" s="8">
        <f>1477</f>
        <v>1477</v>
      </c>
      <c r="K2783" s="5" t="s">
        <v>308</v>
      </c>
      <c r="L2783" s="7">
        <f>1</f>
        <v>1</v>
      </c>
      <c r="M2783" s="7">
        <f>1</f>
        <v>1</v>
      </c>
      <c r="N2783" s="5" t="s">
        <v>242</v>
      </c>
      <c r="O2783" s="5">
        <v>1</v>
      </c>
      <c r="P2783" s="5" t="s">
        <v>294</v>
      </c>
      <c r="Q2783" s="5" t="s">
        <v>266</v>
      </c>
      <c r="R2783" s="5" t="s">
        <v>240</v>
      </c>
      <c r="S2783" s="5" t="s">
        <v>240</v>
      </c>
      <c r="T2783" s="5" t="s">
        <v>296</v>
      </c>
      <c r="U2783" s="5" t="s">
        <v>244</v>
      </c>
      <c r="V2783" s="5" t="s">
        <v>240</v>
      </c>
      <c r="Y2783" s="5" t="s">
        <v>240</v>
      </c>
      <c r="Z2783" s="6" t="s">
        <v>298</v>
      </c>
      <c r="AB2783" s="6" t="s">
        <v>240</v>
      </c>
      <c r="AE2783" s="6" t="s">
        <v>299</v>
      </c>
      <c r="AF2783" s="5" t="s">
        <v>248</v>
      </c>
      <c r="AG2783" s="5" t="s">
        <v>249</v>
      </c>
      <c r="AW2783" s="5" t="s">
        <v>251</v>
      </c>
      <c r="AX2783" s="5" t="s">
        <v>240</v>
      </c>
      <c r="AY2783" s="5" t="s">
        <v>253</v>
      </c>
      <c r="AZ2783" s="5" t="s">
        <v>240</v>
      </c>
      <c r="BA2783" s="5" t="s">
        <v>255</v>
      </c>
      <c r="BB2783" s="5" t="s">
        <v>240</v>
      </c>
      <c r="BD2783" s="5" t="s">
        <v>240</v>
      </c>
      <c r="BF2783" s="5" t="s">
        <v>301</v>
      </c>
      <c r="BG2783" s="6" t="s">
        <v>299</v>
      </c>
      <c r="BH2783" s="5" t="s">
        <v>302</v>
      </c>
      <c r="BI2783" s="5" t="s">
        <v>303</v>
      </c>
      <c r="BJ2783" s="5" t="s">
        <v>240</v>
      </c>
      <c r="BK2783" s="8">
        <f>0</f>
        <v>0</v>
      </c>
      <c r="BL2783" s="7">
        <f>0</f>
        <v>0</v>
      </c>
      <c r="BM2783" s="5" t="s">
        <v>258</v>
      </c>
      <c r="BN2783" s="5" t="s">
        <v>259</v>
      </c>
      <c r="CB2783" s="5" t="s">
        <v>240</v>
      </c>
      <c r="CC2783" s="5" t="s">
        <v>240</v>
      </c>
      <c r="CG2783" s="5" t="s">
        <v>304</v>
      </c>
      <c r="CH2783" s="5" t="s">
        <v>305</v>
      </c>
      <c r="CI2783" s="5" t="s">
        <v>240</v>
      </c>
      <c r="CL2783" s="6" t="s">
        <v>261</v>
      </c>
      <c r="CM2783" s="5" t="s">
        <v>240</v>
      </c>
      <c r="CN2783" s="5" t="s">
        <v>263</v>
      </c>
      <c r="CO2783" s="5" t="s">
        <v>240</v>
      </c>
      <c r="CP2783" s="5" t="s">
        <v>240</v>
      </c>
      <c r="CQ2783" s="5">
        <v>0</v>
      </c>
      <c r="CR2783" s="5" t="s">
        <v>306</v>
      </c>
      <c r="CS2783" s="5" t="s">
        <v>307</v>
      </c>
      <c r="CT2783" s="5" t="s">
        <v>307</v>
      </c>
      <c r="CU2783" s="5" t="s">
        <v>260</v>
      </c>
      <c r="CX2783" s="7">
        <f>1</f>
        <v>1</v>
      </c>
      <c r="CY2783" s="7">
        <f>0</f>
        <v>0</v>
      </c>
      <c r="DA2783" s="7">
        <f>0</f>
        <v>0</v>
      </c>
      <c r="DC2783" s="5" t="s">
        <v>309</v>
      </c>
      <c r="DD2783" s="5" t="s">
        <v>240</v>
      </c>
      <c r="DF2783" s="5" t="s">
        <v>309</v>
      </c>
      <c r="DG2783" s="7">
        <f>1209</f>
        <v>1209</v>
      </c>
      <c r="DI2783" s="5" t="s">
        <v>240</v>
      </c>
      <c r="DJ2783" s="5" t="s">
        <v>240</v>
      </c>
      <c r="DK2783" s="5" t="s">
        <v>240</v>
      </c>
      <c r="DL2783" s="5" t="s">
        <v>240</v>
      </c>
      <c r="DP2783" s="5" t="s">
        <v>240</v>
      </c>
      <c r="DQ2783" s="5" t="s">
        <v>240</v>
      </c>
      <c r="DR2783" s="5" t="s">
        <v>240</v>
      </c>
      <c r="DS2783" s="5" t="s">
        <v>240</v>
      </c>
      <c r="DV2783" s="5" t="s">
        <v>310</v>
      </c>
      <c r="DW2783" s="5" t="s">
        <v>3618</v>
      </c>
      <c r="HO2783" s="5" t="s">
        <v>312</v>
      </c>
    </row>
    <row r="2784" spans="1:223" x14ac:dyDescent="0.4">
      <c r="A2784" s="5">
        <v>4488</v>
      </c>
      <c r="B2784" s="5">
        <v>1</v>
      </c>
      <c r="C2784" s="5">
        <v>1</v>
      </c>
      <c r="D2784" s="5" t="s">
        <v>810</v>
      </c>
      <c r="E2784" s="5" t="s">
        <v>245</v>
      </c>
      <c r="F2784" s="5" t="s">
        <v>254</v>
      </c>
      <c r="G2784" s="5" t="s">
        <v>240</v>
      </c>
      <c r="H2784" s="6" t="s">
        <v>2976</v>
      </c>
      <c r="I2784" s="5" t="s">
        <v>809</v>
      </c>
      <c r="J2784" s="8">
        <f>216</f>
        <v>216</v>
      </c>
      <c r="K2784" s="5" t="s">
        <v>308</v>
      </c>
      <c r="L2784" s="7">
        <f>1</f>
        <v>1</v>
      </c>
      <c r="M2784" s="7">
        <f>1</f>
        <v>1</v>
      </c>
      <c r="N2784" s="5" t="s">
        <v>242</v>
      </c>
      <c r="O2784" s="5">
        <v>1</v>
      </c>
      <c r="P2784" s="5" t="s">
        <v>294</v>
      </c>
      <c r="Q2784" s="5" t="s">
        <v>266</v>
      </c>
      <c r="R2784" s="5" t="s">
        <v>240</v>
      </c>
      <c r="S2784" s="5" t="s">
        <v>240</v>
      </c>
      <c r="T2784" s="5" t="s">
        <v>296</v>
      </c>
      <c r="U2784" s="5" t="s">
        <v>244</v>
      </c>
      <c r="V2784" s="5" t="s">
        <v>240</v>
      </c>
      <c r="Y2784" s="5" t="s">
        <v>240</v>
      </c>
      <c r="Z2784" s="6" t="s">
        <v>298</v>
      </c>
      <c r="AB2784" s="6" t="s">
        <v>240</v>
      </c>
      <c r="AE2784" s="6" t="s">
        <v>299</v>
      </c>
      <c r="AF2784" s="5" t="s">
        <v>248</v>
      </c>
      <c r="AG2784" s="5" t="s">
        <v>249</v>
      </c>
      <c r="AW2784" s="5" t="s">
        <v>251</v>
      </c>
      <c r="AX2784" s="5" t="s">
        <v>240</v>
      </c>
      <c r="AY2784" s="5" t="s">
        <v>253</v>
      </c>
      <c r="AZ2784" s="5" t="s">
        <v>240</v>
      </c>
      <c r="BA2784" s="5" t="s">
        <v>255</v>
      </c>
      <c r="BB2784" s="5" t="s">
        <v>240</v>
      </c>
      <c r="BD2784" s="5" t="s">
        <v>240</v>
      </c>
      <c r="BF2784" s="5" t="s">
        <v>301</v>
      </c>
      <c r="BG2784" s="6" t="s">
        <v>299</v>
      </c>
      <c r="BH2784" s="5" t="s">
        <v>302</v>
      </c>
      <c r="BI2784" s="5" t="s">
        <v>303</v>
      </c>
      <c r="BJ2784" s="5" t="s">
        <v>240</v>
      </c>
      <c r="BK2784" s="8">
        <f>0</f>
        <v>0</v>
      </c>
      <c r="BL2784" s="7">
        <f>0</f>
        <v>0</v>
      </c>
      <c r="BM2784" s="5" t="s">
        <v>258</v>
      </c>
      <c r="BN2784" s="5" t="s">
        <v>259</v>
      </c>
      <c r="CB2784" s="5" t="s">
        <v>240</v>
      </c>
      <c r="CC2784" s="5" t="s">
        <v>240</v>
      </c>
      <c r="CG2784" s="5" t="s">
        <v>304</v>
      </c>
      <c r="CH2784" s="5" t="s">
        <v>305</v>
      </c>
      <c r="CI2784" s="5" t="s">
        <v>240</v>
      </c>
      <c r="CL2784" s="6" t="s">
        <v>261</v>
      </c>
      <c r="CM2784" s="5" t="s">
        <v>240</v>
      </c>
      <c r="CN2784" s="5" t="s">
        <v>263</v>
      </c>
      <c r="CO2784" s="5" t="s">
        <v>240</v>
      </c>
      <c r="CP2784" s="5" t="s">
        <v>240</v>
      </c>
      <c r="CQ2784" s="5">
        <v>0</v>
      </c>
      <c r="CR2784" s="5" t="s">
        <v>306</v>
      </c>
      <c r="CS2784" s="5" t="s">
        <v>307</v>
      </c>
      <c r="CT2784" s="5" t="s">
        <v>307</v>
      </c>
      <c r="CU2784" s="5" t="s">
        <v>260</v>
      </c>
      <c r="CX2784" s="7">
        <f>1</f>
        <v>1</v>
      </c>
      <c r="CY2784" s="7">
        <f>0</f>
        <v>0</v>
      </c>
      <c r="DA2784" s="7">
        <f>0</f>
        <v>0</v>
      </c>
      <c r="DC2784" s="5" t="s">
        <v>812</v>
      </c>
      <c r="DD2784" s="5" t="s">
        <v>240</v>
      </c>
      <c r="DF2784" s="5" t="s">
        <v>812</v>
      </c>
      <c r="DG2784" s="7">
        <f>1220</f>
        <v>1220</v>
      </c>
      <c r="DI2784" s="5" t="s">
        <v>240</v>
      </c>
      <c r="DJ2784" s="5" t="s">
        <v>240</v>
      </c>
      <c r="DK2784" s="5" t="s">
        <v>240</v>
      </c>
      <c r="DL2784" s="5" t="s">
        <v>240</v>
      </c>
      <c r="DP2784" s="5" t="s">
        <v>240</v>
      </c>
      <c r="DQ2784" s="5" t="s">
        <v>240</v>
      </c>
      <c r="DR2784" s="5" t="s">
        <v>240</v>
      </c>
      <c r="DS2784" s="5" t="s">
        <v>240</v>
      </c>
      <c r="DV2784" s="5" t="s">
        <v>813</v>
      </c>
      <c r="DW2784" s="5" t="s">
        <v>4740</v>
      </c>
      <c r="HO2784" s="5" t="s">
        <v>312</v>
      </c>
    </row>
    <row r="2785" spans="1:223" x14ac:dyDescent="0.4">
      <c r="A2785" s="5">
        <v>4489</v>
      </c>
      <c r="B2785" s="5">
        <v>1</v>
      </c>
      <c r="C2785" s="5">
        <v>1</v>
      </c>
      <c r="D2785" s="5" t="s">
        <v>810</v>
      </c>
      <c r="E2785" s="5" t="s">
        <v>245</v>
      </c>
      <c r="F2785" s="5" t="s">
        <v>254</v>
      </c>
      <c r="G2785" s="5" t="s">
        <v>240</v>
      </c>
      <c r="H2785" s="6" t="s">
        <v>2974</v>
      </c>
      <c r="I2785" s="5" t="s">
        <v>809</v>
      </c>
      <c r="J2785" s="8">
        <f>293</f>
        <v>293</v>
      </c>
      <c r="K2785" s="5" t="s">
        <v>308</v>
      </c>
      <c r="L2785" s="7">
        <f>1</f>
        <v>1</v>
      </c>
      <c r="M2785" s="7">
        <f>1</f>
        <v>1</v>
      </c>
      <c r="N2785" s="5" t="s">
        <v>242</v>
      </c>
      <c r="O2785" s="5">
        <v>1</v>
      </c>
      <c r="P2785" s="5" t="s">
        <v>294</v>
      </c>
      <c r="Q2785" s="5" t="s">
        <v>266</v>
      </c>
      <c r="R2785" s="5" t="s">
        <v>240</v>
      </c>
      <c r="S2785" s="5" t="s">
        <v>240</v>
      </c>
      <c r="T2785" s="5" t="s">
        <v>296</v>
      </c>
      <c r="U2785" s="5" t="s">
        <v>244</v>
      </c>
      <c r="V2785" s="5" t="s">
        <v>240</v>
      </c>
      <c r="Y2785" s="5" t="s">
        <v>240</v>
      </c>
      <c r="Z2785" s="6" t="s">
        <v>298</v>
      </c>
      <c r="AB2785" s="6" t="s">
        <v>240</v>
      </c>
      <c r="AE2785" s="6" t="s">
        <v>299</v>
      </c>
      <c r="AF2785" s="5" t="s">
        <v>248</v>
      </c>
      <c r="AG2785" s="5" t="s">
        <v>249</v>
      </c>
      <c r="AW2785" s="5" t="s">
        <v>251</v>
      </c>
      <c r="AX2785" s="5" t="s">
        <v>240</v>
      </c>
      <c r="AY2785" s="5" t="s">
        <v>253</v>
      </c>
      <c r="AZ2785" s="5" t="s">
        <v>240</v>
      </c>
      <c r="BA2785" s="5" t="s">
        <v>255</v>
      </c>
      <c r="BB2785" s="5" t="s">
        <v>240</v>
      </c>
      <c r="BD2785" s="5" t="s">
        <v>240</v>
      </c>
      <c r="BF2785" s="5" t="s">
        <v>301</v>
      </c>
      <c r="BG2785" s="6" t="s">
        <v>299</v>
      </c>
      <c r="BH2785" s="5" t="s">
        <v>302</v>
      </c>
      <c r="BI2785" s="5" t="s">
        <v>303</v>
      </c>
      <c r="BJ2785" s="5" t="s">
        <v>240</v>
      </c>
      <c r="BK2785" s="8">
        <f>0</f>
        <v>0</v>
      </c>
      <c r="BL2785" s="7">
        <f>0</f>
        <v>0</v>
      </c>
      <c r="BM2785" s="5" t="s">
        <v>258</v>
      </c>
      <c r="BN2785" s="5" t="s">
        <v>259</v>
      </c>
      <c r="CB2785" s="5" t="s">
        <v>240</v>
      </c>
      <c r="CC2785" s="5" t="s">
        <v>240</v>
      </c>
      <c r="CG2785" s="5" t="s">
        <v>304</v>
      </c>
      <c r="CH2785" s="5" t="s">
        <v>305</v>
      </c>
      <c r="CI2785" s="5" t="s">
        <v>240</v>
      </c>
      <c r="CL2785" s="6" t="s">
        <v>261</v>
      </c>
      <c r="CM2785" s="5" t="s">
        <v>240</v>
      </c>
      <c r="CN2785" s="5" t="s">
        <v>263</v>
      </c>
      <c r="CO2785" s="5" t="s">
        <v>240</v>
      </c>
      <c r="CP2785" s="5" t="s">
        <v>240</v>
      </c>
      <c r="CQ2785" s="5">
        <v>0</v>
      </c>
      <c r="CR2785" s="5" t="s">
        <v>306</v>
      </c>
      <c r="CS2785" s="5" t="s">
        <v>307</v>
      </c>
      <c r="CT2785" s="5" t="s">
        <v>307</v>
      </c>
      <c r="CU2785" s="5" t="s">
        <v>260</v>
      </c>
      <c r="CX2785" s="7">
        <f>1</f>
        <v>1</v>
      </c>
      <c r="CY2785" s="7">
        <f>0</f>
        <v>0</v>
      </c>
      <c r="DA2785" s="7">
        <f>0</f>
        <v>0</v>
      </c>
      <c r="DC2785" s="5" t="s">
        <v>309</v>
      </c>
      <c r="DD2785" s="5" t="s">
        <v>240</v>
      </c>
      <c r="DF2785" s="5" t="s">
        <v>309</v>
      </c>
      <c r="DG2785" s="7">
        <f>244</f>
        <v>244</v>
      </c>
      <c r="DI2785" s="5" t="s">
        <v>240</v>
      </c>
      <c r="DJ2785" s="5" t="s">
        <v>240</v>
      </c>
      <c r="DK2785" s="5" t="s">
        <v>240</v>
      </c>
      <c r="DL2785" s="5" t="s">
        <v>240</v>
      </c>
      <c r="DP2785" s="5" t="s">
        <v>240</v>
      </c>
      <c r="DQ2785" s="5" t="s">
        <v>240</v>
      </c>
      <c r="DR2785" s="5" t="s">
        <v>240</v>
      </c>
      <c r="DS2785" s="5" t="s">
        <v>240</v>
      </c>
      <c r="DV2785" s="5" t="s">
        <v>310</v>
      </c>
      <c r="DW2785" s="5" t="s">
        <v>3622</v>
      </c>
      <c r="HO2785" s="5" t="s">
        <v>312</v>
      </c>
    </row>
    <row r="2786" spans="1:223" x14ac:dyDescent="0.4">
      <c r="A2786" s="5">
        <v>4490</v>
      </c>
      <c r="B2786" s="5">
        <v>1</v>
      </c>
      <c r="C2786" s="5">
        <v>1</v>
      </c>
      <c r="D2786" s="5" t="s">
        <v>810</v>
      </c>
      <c r="E2786" s="5" t="s">
        <v>245</v>
      </c>
      <c r="F2786" s="5" t="s">
        <v>254</v>
      </c>
      <c r="G2786" s="5" t="s">
        <v>240</v>
      </c>
      <c r="H2786" s="6" t="s">
        <v>2972</v>
      </c>
      <c r="I2786" s="5" t="s">
        <v>809</v>
      </c>
      <c r="J2786" s="8">
        <f>142</f>
        <v>142</v>
      </c>
      <c r="K2786" s="5" t="s">
        <v>308</v>
      </c>
      <c r="L2786" s="7">
        <f>1</f>
        <v>1</v>
      </c>
      <c r="M2786" s="7">
        <f>1</f>
        <v>1</v>
      </c>
      <c r="N2786" s="5" t="s">
        <v>242</v>
      </c>
      <c r="O2786" s="5">
        <v>1</v>
      </c>
      <c r="P2786" s="5" t="s">
        <v>294</v>
      </c>
      <c r="Q2786" s="5" t="s">
        <v>266</v>
      </c>
      <c r="R2786" s="5" t="s">
        <v>240</v>
      </c>
      <c r="S2786" s="5" t="s">
        <v>240</v>
      </c>
      <c r="T2786" s="5" t="s">
        <v>296</v>
      </c>
      <c r="U2786" s="5" t="s">
        <v>244</v>
      </c>
      <c r="V2786" s="5" t="s">
        <v>240</v>
      </c>
      <c r="Y2786" s="5" t="s">
        <v>240</v>
      </c>
      <c r="Z2786" s="6" t="s">
        <v>298</v>
      </c>
      <c r="AB2786" s="6" t="s">
        <v>240</v>
      </c>
      <c r="AE2786" s="6" t="s">
        <v>299</v>
      </c>
      <c r="AF2786" s="5" t="s">
        <v>248</v>
      </c>
      <c r="AG2786" s="5" t="s">
        <v>249</v>
      </c>
      <c r="AW2786" s="5" t="s">
        <v>251</v>
      </c>
      <c r="AX2786" s="5" t="s">
        <v>240</v>
      </c>
      <c r="AY2786" s="5" t="s">
        <v>253</v>
      </c>
      <c r="AZ2786" s="5" t="s">
        <v>240</v>
      </c>
      <c r="BA2786" s="5" t="s">
        <v>255</v>
      </c>
      <c r="BB2786" s="5" t="s">
        <v>240</v>
      </c>
      <c r="BD2786" s="5" t="s">
        <v>240</v>
      </c>
      <c r="BF2786" s="5" t="s">
        <v>301</v>
      </c>
      <c r="BG2786" s="6" t="s">
        <v>299</v>
      </c>
      <c r="BH2786" s="5" t="s">
        <v>302</v>
      </c>
      <c r="BI2786" s="5" t="s">
        <v>303</v>
      </c>
      <c r="BJ2786" s="5" t="s">
        <v>240</v>
      </c>
      <c r="BK2786" s="8">
        <f>0</f>
        <v>0</v>
      </c>
      <c r="BL2786" s="7">
        <f>0</f>
        <v>0</v>
      </c>
      <c r="BM2786" s="5" t="s">
        <v>258</v>
      </c>
      <c r="BN2786" s="5" t="s">
        <v>259</v>
      </c>
      <c r="CB2786" s="5" t="s">
        <v>240</v>
      </c>
      <c r="CC2786" s="5" t="s">
        <v>240</v>
      </c>
      <c r="CG2786" s="5" t="s">
        <v>304</v>
      </c>
      <c r="CH2786" s="5" t="s">
        <v>305</v>
      </c>
      <c r="CI2786" s="5" t="s">
        <v>240</v>
      </c>
      <c r="CL2786" s="6" t="s">
        <v>261</v>
      </c>
      <c r="CM2786" s="5" t="s">
        <v>240</v>
      </c>
      <c r="CN2786" s="5" t="s">
        <v>263</v>
      </c>
      <c r="CO2786" s="5" t="s">
        <v>240</v>
      </c>
      <c r="CP2786" s="5" t="s">
        <v>240</v>
      </c>
      <c r="CQ2786" s="5">
        <v>0</v>
      </c>
      <c r="CR2786" s="5" t="s">
        <v>306</v>
      </c>
      <c r="CS2786" s="5" t="s">
        <v>307</v>
      </c>
      <c r="CT2786" s="5" t="s">
        <v>307</v>
      </c>
      <c r="CU2786" s="5" t="s">
        <v>260</v>
      </c>
      <c r="CX2786" s="7">
        <f>1</f>
        <v>1</v>
      </c>
      <c r="CY2786" s="7">
        <f>0</f>
        <v>0</v>
      </c>
      <c r="DA2786" s="7">
        <f>0</f>
        <v>0</v>
      </c>
      <c r="DC2786" s="5" t="s">
        <v>812</v>
      </c>
      <c r="DD2786" s="5" t="s">
        <v>240</v>
      </c>
      <c r="DF2786" s="5" t="s">
        <v>812</v>
      </c>
      <c r="DG2786" s="7">
        <f>950</f>
        <v>950</v>
      </c>
      <c r="DI2786" s="5" t="s">
        <v>240</v>
      </c>
      <c r="DJ2786" s="5" t="s">
        <v>240</v>
      </c>
      <c r="DK2786" s="5" t="s">
        <v>240</v>
      </c>
      <c r="DL2786" s="5" t="s">
        <v>240</v>
      </c>
      <c r="DP2786" s="5" t="s">
        <v>240</v>
      </c>
      <c r="DQ2786" s="5" t="s">
        <v>240</v>
      </c>
      <c r="DR2786" s="5" t="s">
        <v>240</v>
      </c>
      <c r="DS2786" s="5" t="s">
        <v>240</v>
      </c>
      <c r="DV2786" s="5" t="s">
        <v>813</v>
      </c>
      <c r="DW2786" s="5" t="s">
        <v>4745</v>
      </c>
      <c r="HO2786" s="5" t="s">
        <v>312</v>
      </c>
    </row>
    <row r="2787" spans="1:223" x14ac:dyDescent="0.4">
      <c r="A2787" s="5">
        <v>4491</v>
      </c>
      <c r="B2787" s="5">
        <v>1</v>
      </c>
      <c r="C2787" s="5">
        <v>1</v>
      </c>
      <c r="D2787" s="5" t="s">
        <v>810</v>
      </c>
      <c r="E2787" s="5" t="s">
        <v>245</v>
      </c>
      <c r="F2787" s="5" t="s">
        <v>254</v>
      </c>
      <c r="G2787" s="5" t="s">
        <v>240</v>
      </c>
      <c r="H2787" s="6" t="s">
        <v>2970</v>
      </c>
      <c r="I2787" s="5" t="s">
        <v>809</v>
      </c>
      <c r="J2787" s="8">
        <f>369</f>
        <v>369</v>
      </c>
      <c r="K2787" s="5" t="s">
        <v>308</v>
      </c>
      <c r="L2787" s="7">
        <f>1</f>
        <v>1</v>
      </c>
      <c r="M2787" s="7">
        <f>1</f>
        <v>1</v>
      </c>
      <c r="N2787" s="5" t="s">
        <v>242</v>
      </c>
      <c r="O2787" s="5">
        <v>1</v>
      </c>
      <c r="P2787" s="5" t="s">
        <v>294</v>
      </c>
      <c r="Q2787" s="5" t="s">
        <v>266</v>
      </c>
      <c r="R2787" s="5" t="s">
        <v>240</v>
      </c>
      <c r="S2787" s="5" t="s">
        <v>240</v>
      </c>
      <c r="T2787" s="5" t="s">
        <v>296</v>
      </c>
      <c r="U2787" s="5" t="s">
        <v>244</v>
      </c>
      <c r="V2787" s="5" t="s">
        <v>240</v>
      </c>
      <c r="Y2787" s="5" t="s">
        <v>240</v>
      </c>
      <c r="Z2787" s="6" t="s">
        <v>298</v>
      </c>
      <c r="AB2787" s="6" t="s">
        <v>240</v>
      </c>
      <c r="AE2787" s="6" t="s">
        <v>299</v>
      </c>
      <c r="AF2787" s="5" t="s">
        <v>248</v>
      </c>
      <c r="AG2787" s="5" t="s">
        <v>249</v>
      </c>
      <c r="AW2787" s="5" t="s">
        <v>251</v>
      </c>
      <c r="AX2787" s="5" t="s">
        <v>240</v>
      </c>
      <c r="AY2787" s="5" t="s">
        <v>253</v>
      </c>
      <c r="AZ2787" s="5" t="s">
        <v>240</v>
      </c>
      <c r="BA2787" s="5" t="s">
        <v>255</v>
      </c>
      <c r="BB2787" s="5" t="s">
        <v>240</v>
      </c>
      <c r="BD2787" s="5" t="s">
        <v>240</v>
      </c>
      <c r="BF2787" s="5" t="s">
        <v>301</v>
      </c>
      <c r="BG2787" s="6" t="s">
        <v>299</v>
      </c>
      <c r="BH2787" s="5" t="s">
        <v>302</v>
      </c>
      <c r="BI2787" s="5" t="s">
        <v>303</v>
      </c>
      <c r="BJ2787" s="5" t="s">
        <v>240</v>
      </c>
      <c r="BK2787" s="8">
        <f>0</f>
        <v>0</v>
      </c>
      <c r="BL2787" s="7">
        <f>0</f>
        <v>0</v>
      </c>
      <c r="BM2787" s="5" t="s">
        <v>258</v>
      </c>
      <c r="BN2787" s="5" t="s">
        <v>259</v>
      </c>
      <c r="CB2787" s="5" t="s">
        <v>240</v>
      </c>
      <c r="CC2787" s="5" t="s">
        <v>240</v>
      </c>
      <c r="CG2787" s="5" t="s">
        <v>304</v>
      </c>
      <c r="CH2787" s="5" t="s">
        <v>305</v>
      </c>
      <c r="CI2787" s="5" t="s">
        <v>240</v>
      </c>
      <c r="CL2787" s="6" t="s">
        <v>261</v>
      </c>
      <c r="CM2787" s="5" t="s">
        <v>240</v>
      </c>
      <c r="CN2787" s="5" t="s">
        <v>263</v>
      </c>
      <c r="CO2787" s="5" t="s">
        <v>240</v>
      </c>
      <c r="CP2787" s="5" t="s">
        <v>240</v>
      </c>
      <c r="CQ2787" s="5">
        <v>0</v>
      </c>
      <c r="CR2787" s="5" t="s">
        <v>306</v>
      </c>
      <c r="CS2787" s="5" t="s">
        <v>307</v>
      </c>
      <c r="CT2787" s="5" t="s">
        <v>307</v>
      </c>
      <c r="CU2787" s="5" t="s">
        <v>260</v>
      </c>
      <c r="CX2787" s="7">
        <f>1</f>
        <v>1</v>
      </c>
      <c r="CY2787" s="7">
        <f>0</f>
        <v>0</v>
      </c>
      <c r="DA2787" s="7">
        <f>0</f>
        <v>0</v>
      </c>
      <c r="DC2787" s="5" t="s">
        <v>309</v>
      </c>
      <c r="DD2787" s="5" t="s">
        <v>240</v>
      </c>
      <c r="DF2787" s="5" t="s">
        <v>309</v>
      </c>
      <c r="DG2787" s="7">
        <f>2499</f>
        <v>2499</v>
      </c>
      <c r="DI2787" s="5" t="s">
        <v>240</v>
      </c>
      <c r="DJ2787" s="5" t="s">
        <v>240</v>
      </c>
      <c r="DK2787" s="5" t="s">
        <v>240</v>
      </c>
      <c r="DL2787" s="5" t="s">
        <v>240</v>
      </c>
      <c r="DP2787" s="5" t="s">
        <v>240</v>
      </c>
      <c r="DQ2787" s="5" t="s">
        <v>240</v>
      </c>
      <c r="DR2787" s="5" t="s">
        <v>240</v>
      </c>
      <c r="DS2787" s="5" t="s">
        <v>240</v>
      </c>
      <c r="DV2787" s="5" t="s">
        <v>310</v>
      </c>
      <c r="DW2787" s="5" t="s">
        <v>3626</v>
      </c>
      <c r="HO2787" s="5" t="s">
        <v>312</v>
      </c>
    </row>
    <row r="2788" spans="1:223" x14ac:dyDescent="0.4">
      <c r="A2788" s="5">
        <v>4492</v>
      </c>
      <c r="B2788" s="5">
        <v>1</v>
      </c>
      <c r="C2788" s="5">
        <v>1</v>
      </c>
      <c r="D2788" s="5" t="s">
        <v>810</v>
      </c>
      <c r="E2788" s="5" t="s">
        <v>245</v>
      </c>
      <c r="F2788" s="5" t="s">
        <v>254</v>
      </c>
      <c r="G2788" s="5" t="s">
        <v>240</v>
      </c>
      <c r="H2788" s="6" t="s">
        <v>2968</v>
      </c>
      <c r="I2788" s="5" t="s">
        <v>809</v>
      </c>
      <c r="J2788" s="8">
        <f>53</f>
        <v>53</v>
      </c>
      <c r="K2788" s="5" t="s">
        <v>308</v>
      </c>
      <c r="L2788" s="7">
        <f>1</f>
        <v>1</v>
      </c>
      <c r="M2788" s="7">
        <f>1</f>
        <v>1</v>
      </c>
      <c r="N2788" s="5" t="s">
        <v>242</v>
      </c>
      <c r="O2788" s="5">
        <v>1</v>
      </c>
      <c r="P2788" s="5" t="s">
        <v>294</v>
      </c>
      <c r="Q2788" s="5" t="s">
        <v>266</v>
      </c>
      <c r="R2788" s="5" t="s">
        <v>240</v>
      </c>
      <c r="S2788" s="5" t="s">
        <v>240</v>
      </c>
      <c r="T2788" s="5" t="s">
        <v>296</v>
      </c>
      <c r="U2788" s="5" t="s">
        <v>244</v>
      </c>
      <c r="V2788" s="5" t="s">
        <v>240</v>
      </c>
      <c r="Y2788" s="5" t="s">
        <v>240</v>
      </c>
      <c r="Z2788" s="6" t="s">
        <v>298</v>
      </c>
      <c r="AB2788" s="6" t="s">
        <v>240</v>
      </c>
      <c r="AE2788" s="6" t="s">
        <v>299</v>
      </c>
      <c r="AF2788" s="5" t="s">
        <v>248</v>
      </c>
      <c r="AG2788" s="5" t="s">
        <v>249</v>
      </c>
      <c r="AW2788" s="5" t="s">
        <v>251</v>
      </c>
      <c r="AX2788" s="5" t="s">
        <v>240</v>
      </c>
      <c r="AY2788" s="5" t="s">
        <v>253</v>
      </c>
      <c r="AZ2788" s="5" t="s">
        <v>240</v>
      </c>
      <c r="BA2788" s="5" t="s">
        <v>255</v>
      </c>
      <c r="BB2788" s="5" t="s">
        <v>240</v>
      </c>
      <c r="BD2788" s="5" t="s">
        <v>240</v>
      </c>
      <c r="BF2788" s="5" t="s">
        <v>301</v>
      </c>
      <c r="BG2788" s="6" t="s">
        <v>299</v>
      </c>
      <c r="BH2788" s="5" t="s">
        <v>302</v>
      </c>
      <c r="BI2788" s="5" t="s">
        <v>303</v>
      </c>
      <c r="BJ2788" s="5" t="s">
        <v>240</v>
      </c>
      <c r="BK2788" s="8">
        <f>0</f>
        <v>0</v>
      </c>
      <c r="BL2788" s="7">
        <f>0</f>
        <v>0</v>
      </c>
      <c r="BM2788" s="5" t="s">
        <v>258</v>
      </c>
      <c r="BN2788" s="5" t="s">
        <v>259</v>
      </c>
      <c r="CB2788" s="5" t="s">
        <v>240</v>
      </c>
      <c r="CC2788" s="5" t="s">
        <v>240</v>
      </c>
      <c r="CG2788" s="5" t="s">
        <v>304</v>
      </c>
      <c r="CH2788" s="5" t="s">
        <v>305</v>
      </c>
      <c r="CI2788" s="5" t="s">
        <v>240</v>
      </c>
      <c r="CL2788" s="6" t="s">
        <v>261</v>
      </c>
      <c r="CM2788" s="5" t="s">
        <v>240</v>
      </c>
      <c r="CN2788" s="5" t="s">
        <v>263</v>
      </c>
      <c r="CO2788" s="5" t="s">
        <v>240</v>
      </c>
      <c r="CP2788" s="5" t="s">
        <v>240</v>
      </c>
      <c r="CQ2788" s="5">
        <v>0</v>
      </c>
      <c r="CR2788" s="5" t="s">
        <v>306</v>
      </c>
      <c r="CS2788" s="5" t="s">
        <v>307</v>
      </c>
      <c r="CT2788" s="5" t="s">
        <v>307</v>
      </c>
      <c r="CU2788" s="5" t="s">
        <v>260</v>
      </c>
      <c r="CX2788" s="7">
        <f>1</f>
        <v>1</v>
      </c>
      <c r="CY2788" s="7">
        <f>0</f>
        <v>0</v>
      </c>
      <c r="DA2788" s="7">
        <f>0</f>
        <v>0</v>
      </c>
      <c r="DC2788" s="5" t="s">
        <v>812</v>
      </c>
      <c r="DD2788" s="5" t="s">
        <v>240</v>
      </c>
      <c r="DF2788" s="5" t="s">
        <v>812</v>
      </c>
      <c r="DG2788" s="7">
        <f>1056</f>
        <v>1056</v>
      </c>
      <c r="DI2788" s="5" t="s">
        <v>240</v>
      </c>
      <c r="DJ2788" s="5" t="s">
        <v>240</v>
      </c>
      <c r="DK2788" s="5" t="s">
        <v>240</v>
      </c>
      <c r="DL2788" s="5" t="s">
        <v>240</v>
      </c>
      <c r="DP2788" s="5" t="s">
        <v>240</v>
      </c>
      <c r="DQ2788" s="5" t="s">
        <v>240</v>
      </c>
      <c r="DR2788" s="5" t="s">
        <v>240</v>
      </c>
      <c r="DS2788" s="5" t="s">
        <v>240</v>
      </c>
      <c r="DV2788" s="5" t="s">
        <v>813</v>
      </c>
      <c r="DW2788" s="5" t="s">
        <v>4750</v>
      </c>
      <c r="HO2788" s="5" t="s">
        <v>312</v>
      </c>
    </row>
    <row r="2789" spans="1:223" x14ac:dyDescent="0.4">
      <c r="A2789" s="5">
        <v>4493</v>
      </c>
      <c r="B2789" s="5">
        <v>1</v>
      </c>
      <c r="C2789" s="5">
        <v>1</v>
      </c>
      <c r="D2789" s="5" t="s">
        <v>810</v>
      </c>
      <c r="E2789" s="5" t="s">
        <v>245</v>
      </c>
      <c r="F2789" s="5" t="s">
        <v>254</v>
      </c>
      <c r="G2789" s="5" t="s">
        <v>240</v>
      </c>
      <c r="H2789" s="6" t="s">
        <v>2966</v>
      </c>
      <c r="I2789" s="5" t="s">
        <v>809</v>
      </c>
      <c r="J2789" s="8">
        <f>692</f>
        <v>692</v>
      </c>
      <c r="K2789" s="5" t="s">
        <v>308</v>
      </c>
      <c r="L2789" s="7">
        <f>1</f>
        <v>1</v>
      </c>
      <c r="M2789" s="7">
        <f>1</f>
        <v>1</v>
      </c>
      <c r="N2789" s="5" t="s">
        <v>242</v>
      </c>
      <c r="O2789" s="5">
        <v>1</v>
      </c>
      <c r="P2789" s="5" t="s">
        <v>294</v>
      </c>
      <c r="Q2789" s="5" t="s">
        <v>266</v>
      </c>
      <c r="R2789" s="5" t="s">
        <v>240</v>
      </c>
      <c r="S2789" s="5" t="s">
        <v>240</v>
      </c>
      <c r="T2789" s="5" t="s">
        <v>296</v>
      </c>
      <c r="U2789" s="5" t="s">
        <v>244</v>
      </c>
      <c r="V2789" s="5" t="s">
        <v>240</v>
      </c>
      <c r="Y2789" s="5" t="s">
        <v>240</v>
      </c>
      <c r="Z2789" s="6" t="s">
        <v>298</v>
      </c>
      <c r="AB2789" s="6" t="s">
        <v>240</v>
      </c>
      <c r="AE2789" s="6" t="s">
        <v>299</v>
      </c>
      <c r="AF2789" s="5" t="s">
        <v>248</v>
      </c>
      <c r="AG2789" s="5" t="s">
        <v>249</v>
      </c>
      <c r="AW2789" s="5" t="s">
        <v>251</v>
      </c>
      <c r="AX2789" s="5" t="s">
        <v>240</v>
      </c>
      <c r="AY2789" s="5" t="s">
        <v>253</v>
      </c>
      <c r="AZ2789" s="5" t="s">
        <v>240</v>
      </c>
      <c r="BA2789" s="5" t="s">
        <v>255</v>
      </c>
      <c r="BB2789" s="5" t="s">
        <v>240</v>
      </c>
      <c r="BD2789" s="5" t="s">
        <v>240</v>
      </c>
      <c r="BF2789" s="5" t="s">
        <v>301</v>
      </c>
      <c r="BG2789" s="6" t="s">
        <v>299</v>
      </c>
      <c r="BH2789" s="5" t="s">
        <v>302</v>
      </c>
      <c r="BI2789" s="5" t="s">
        <v>303</v>
      </c>
      <c r="BJ2789" s="5" t="s">
        <v>240</v>
      </c>
      <c r="BK2789" s="8">
        <f>0</f>
        <v>0</v>
      </c>
      <c r="BL2789" s="7">
        <f>0</f>
        <v>0</v>
      </c>
      <c r="BM2789" s="5" t="s">
        <v>258</v>
      </c>
      <c r="BN2789" s="5" t="s">
        <v>259</v>
      </c>
      <c r="CB2789" s="5" t="s">
        <v>240</v>
      </c>
      <c r="CC2789" s="5" t="s">
        <v>240</v>
      </c>
      <c r="CG2789" s="5" t="s">
        <v>304</v>
      </c>
      <c r="CH2789" s="5" t="s">
        <v>305</v>
      </c>
      <c r="CI2789" s="5" t="s">
        <v>240</v>
      </c>
      <c r="CL2789" s="6" t="s">
        <v>261</v>
      </c>
      <c r="CM2789" s="5" t="s">
        <v>240</v>
      </c>
      <c r="CN2789" s="5" t="s">
        <v>263</v>
      </c>
      <c r="CO2789" s="5" t="s">
        <v>240</v>
      </c>
      <c r="CP2789" s="5" t="s">
        <v>240</v>
      </c>
      <c r="CQ2789" s="5">
        <v>0</v>
      </c>
      <c r="CR2789" s="5" t="s">
        <v>306</v>
      </c>
      <c r="CS2789" s="5" t="s">
        <v>307</v>
      </c>
      <c r="CT2789" s="5" t="s">
        <v>307</v>
      </c>
      <c r="CU2789" s="5" t="s">
        <v>260</v>
      </c>
      <c r="CX2789" s="7">
        <f>1</f>
        <v>1</v>
      </c>
      <c r="CY2789" s="7">
        <f>0</f>
        <v>0</v>
      </c>
      <c r="DA2789" s="7">
        <f>0</f>
        <v>0</v>
      </c>
      <c r="DC2789" s="5" t="s">
        <v>812</v>
      </c>
      <c r="DD2789" s="5" t="s">
        <v>240</v>
      </c>
      <c r="DF2789" s="5" t="s">
        <v>812</v>
      </c>
      <c r="DG2789" s="7">
        <f>187</f>
        <v>187</v>
      </c>
      <c r="DI2789" s="5" t="s">
        <v>240</v>
      </c>
      <c r="DJ2789" s="5" t="s">
        <v>240</v>
      </c>
      <c r="DK2789" s="5" t="s">
        <v>240</v>
      </c>
      <c r="DL2789" s="5" t="s">
        <v>240</v>
      </c>
      <c r="DP2789" s="5" t="s">
        <v>240</v>
      </c>
      <c r="DQ2789" s="5" t="s">
        <v>240</v>
      </c>
      <c r="DR2789" s="5" t="s">
        <v>240</v>
      </c>
      <c r="DS2789" s="5" t="s">
        <v>240</v>
      </c>
      <c r="DV2789" s="5" t="s">
        <v>813</v>
      </c>
      <c r="DW2789" s="5" t="s">
        <v>4753</v>
      </c>
      <c r="HO2789" s="5" t="s">
        <v>312</v>
      </c>
    </row>
    <row r="2790" spans="1:223" x14ac:dyDescent="0.4">
      <c r="A2790" s="5">
        <v>4494</v>
      </c>
      <c r="B2790" s="5">
        <v>1</v>
      </c>
      <c r="C2790" s="5">
        <v>1</v>
      </c>
      <c r="D2790" s="5" t="s">
        <v>810</v>
      </c>
      <c r="E2790" s="5" t="s">
        <v>245</v>
      </c>
      <c r="F2790" s="5" t="s">
        <v>254</v>
      </c>
      <c r="G2790" s="5" t="s">
        <v>240</v>
      </c>
      <c r="H2790" s="6" t="s">
        <v>2964</v>
      </c>
      <c r="I2790" s="5" t="s">
        <v>809</v>
      </c>
      <c r="J2790" s="8">
        <f>147</f>
        <v>147</v>
      </c>
      <c r="K2790" s="5" t="s">
        <v>308</v>
      </c>
      <c r="L2790" s="7">
        <f>1</f>
        <v>1</v>
      </c>
      <c r="M2790" s="7">
        <f>1</f>
        <v>1</v>
      </c>
      <c r="N2790" s="5" t="s">
        <v>242</v>
      </c>
      <c r="O2790" s="5">
        <v>1</v>
      </c>
      <c r="P2790" s="5" t="s">
        <v>294</v>
      </c>
      <c r="Q2790" s="5" t="s">
        <v>266</v>
      </c>
      <c r="R2790" s="5" t="s">
        <v>240</v>
      </c>
      <c r="S2790" s="5" t="s">
        <v>240</v>
      </c>
      <c r="T2790" s="5" t="s">
        <v>296</v>
      </c>
      <c r="U2790" s="5" t="s">
        <v>244</v>
      </c>
      <c r="V2790" s="5" t="s">
        <v>240</v>
      </c>
      <c r="Y2790" s="5" t="s">
        <v>240</v>
      </c>
      <c r="Z2790" s="6" t="s">
        <v>298</v>
      </c>
      <c r="AB2790" s="6" t="s">
        <v>240</v>
      </c>
      <c r="AE2790" s="6" t="s">
        <v>299</v>
      </c>
      <c r="AF2790" s="5" t="s">
        <v>248</v>
      </c>
      <c r="AG2790" s="5" t="s">
        <v>249</v>
      </c>
      <c r="AW2790" s="5" t="s">
        <v>251</v>
      </c>
      <c r="AX2790" s="5" t="s">
        <v>240</v>
      </c>
      <c r="AY2790" s="5" t="s">
        <v>253</v>
      </c>
      <c r="AZ2790" s="5" t="s">
        <v>240</v>
      </c>
      <c r="BA2790" s="5" t="s">
        <v>255</v>
      </c>
      <c r="BB2790" s="5" t="s">
        <v>240</v>
      </c>
      <c r="BD2790" s="5" t="s">
        <v>240</v>
      </c>
      <c r="BF2790" s="5" t="s">
        <v>301</v>
      </c>
      <c r="BG2790" s="6" t="s">
        <v>299</v>
      </c>
      <c r="BH2790" s="5" t="s">
        <v>302</v>
      </c>
      <c r="BI2790" s="5" t="s">
        <v>303</v>
      </c>
      <c r="BJ2790" s="5" t="s">
        <v>240</v>
      </c>
      <c r="BK2790" s="8">
        <f>0</f>
        <v>0</v>
      </c>
      <c r="BL2790" s="7">
        <f>0</f>
        <v>0</v>
      </c>
      <c r="BM2790" s="5" t="s">
        <v>258</v>
      </c>
      <c r="BN2790" s="5" t="s">
        <v>259</v>
      </c>
      <c r="CB2790" s="5" t="s">
        <v>240</v>
      </c>
      <c r="CC2790" s="5" t="s">
        <v>240</v>
      </c>
      <c r="CG2790" s="5" t="s">
        <v>304</v>
      </c>
      <c r="CH2790" s="5" t="s">
        <v>305</v>
      </c>
      <c r="CI2790" s="5" t="s">
        <v>240</v>
      </c>
      <c r="CL2790" s="6" t="s">
        <v>261</v>
      </c>
      <c r="CM2790" s="5" t="s">
        <v>240</v>
      </c>
      <c r="CN2790" s="5" t="s">
        <v>263</v>
      </c>
      <c r="CO2790" s="5" t="s">
        <v>240</v>
      </c>
      <c r="CP2790" s="5" t="s">
        <v>240</v>
      </c>
      <c r="CQ2790" s="5">
        <v>0</v>
      </c>
      <c r="CR2790" s="5" t="s">
        <v>306</v>
      </c>
      <c r="CS2790" s="5" t="s">
        <v>307</v>
      </c>
      <c r="CT2790" s="5" t="s">
        <v>307</v>
      </c>
      <c r="CU2790" s="5" t="s">
        <v>260</v>
      </c>
      <c r="CX2790" s="7">
        <f>1</f>
        <v>1</v>
      </c>
      <c r="CY2790" s="7">
        <f>0</f>
        <v>0</v>
      </c>
      <c r="DA2790" s="7">
        <f>0</f>
        <v>0</v>
      </c>
      <c r="DC2790" s="5" t="s">
        <v>812</v>
      </c>
      <c r="DD2790" s="5" t="s">
        <v>240</v>
      </c>
      <c r="DF2790" s="5" t="s">
        <v>812</v>
      </c>
      <c r="DG2790" s="7">
        <f>753</f>
        <v>753</v>
      </c>
      <c r="DI2790" s="5" t="s">
        <v>240</v>
      </c>
      <c r="DJ2790" s="5" t="s">
        <v>240</v>
      </c>
      <c r="DK2790" s="5" t="s">
        <v>240</v>
      </c>
      <c r="DL2790" s="5" t="s">
        <v>240</v>
      </c>
      <c r="DP2790" s="5" t="s">
        <v>240</v>
      </c>
      <c r="DQ2790" s="5" t="s">
        <v>240</v>
      </c>
      <c r="DR2790" s="5" t="s">
        <v>240</v>
      </c>
      <c r="DS2790" s="5" t="s">
        <v>240</v>
      </c>
      <c r="DV2790" s="5" t="s">
        <v>813</v>
      </c>
      <c r="DW2790" s="5" t="s">
        <v>4936</v>
      </c>
      <c r="HO2790" s="5" t="s">
        <v>312</v>
      </c>
    </row>
    <row r="2791" spans="1:223" x14ac:dyDescent="0.4">
      <c r="A2791" s="5">
        <v>4495</v>
      </c>
      <c r="B2791" s="5">
        <v>1</v>
      </c>
      <c r="C2791" s="5">
        <v>1</v>
      </c>
      <c r="D2791" s="5" t="s">
        <v>810</v>
      </c>
      <c r="E2791" s="5" t="s">
        <v>245</v>
      </c>
      <c r="F2791" s="5" t="s">
        <v>254</v>
      </c>
      <c r="G2791" s="5" t="s">
        <v>240</v>
      </c>
      <c r="H2791" s="6" t="s">
        <v>2962</v>
      </c>
      <c r="I2791" s="5" t="s">
        <v>809</v>
      </c>
      <c r="J2791" s="8">
        <f>715</f>
        <v>715</v>
      </c>
      <c r="K2791" s="5" t="s">
        <v>308</v>
      </c>
      <c r="L2791" s="7">
        <f>1</f>
        <v>1</v>
      </c>
      <c r="M2791" s="7">
        <f>1</f>
        <v>1</v>
      </c>
      <c r="N2791" s="5" t="s">
        <v>242</v>
      </c>
      <c r="O2791" s="5">
        <v>1</v>
      </c>
      <c r="P2791" s="5" t="s">
        <v>294</v>
      </c>
      <c r="Q2791" s="5" t="s">
        <v>266</v>
      </c>
      <c r="R2791" s="5" t="s">
        <v>240</v>
      </c>
      <c r="S2791" s="5" t="s">
        <v>240</v>
      </c>
      <c r="T2791" s="5" t="s">
        <v>296</v>
      </c>
      <c r="U2791" s="5" t="s">
        <v>244</v>
      </c>
      <c r="V2791" s="5" t="s">
        <v>240</v>
      </c>
      <c r="Y2791" s="5" t="s">
        <v>240</v>
      </c>
      <c r="Z2791" s="6" t="s">
        <v>298</v>
      </c>
      <c r="AB2791" s="6" t="s">
        <v>240</v>
      </c>
      <c r="AE2791" s="6" t="s">
        <v>299</v>
      </c>
      <c r="AF2791" s="5" t="s">
        <v>248</v>
      </c>
      <c r="AG2791" s="5" t="s">
        <v>249</v>
      </c>
      <c r="AW2791" s="5" t="s">
        <v>251</v>
      </c>
      <c r="AX2791" s="5" t="s">
        <v>240</v>
      </c>
      <c r="AY2791" s="5" t="s">
        <v>253</v>
      </c>
      <c r="AZ2791" s="5" t="s">
        <v>240</v>
      </c>
      <c r="BA2791" s="5" t="s">
        <v>255</v>
      </c>
      <c r="BB2791" s="5" t="s">
        <v>240</v>
      </c>
      <c r="BD2791" s="5" t="s">
        <v>240</v>
      </c>
      <c r="BF2791" s="5" t="s">
        <v>301</v>
      </c>
      <c r="BG2791" s="6" t="s">
        <v>299</v>
      </c>
      <c r="BH2791" s="5" t="s">
        <v>302</v>
      </c>
      <c r="BI2791" s="5" t="s">
        <v>303</v>
      </c>
      <c r="BJ2791" s="5" t="s">
        <v>240</v>
      </c>
      <c r="BK2791" s="8">
        <f>0</f>
        <v>0</v>
      </c>
      <c r="BL2791" s="7">
        <f>0</f>
        <v>0</v>
      </c>
      <c r="BM2791" s="5" t="s">
        <v>258</v>
      </c>
      <c r="BN2791" s="5" t="s">
        <v>259</v>
      </c>
      <c r="CB2791" s="5" t="s">
        <v>240</v>
      </c>
      <c r="CC2791" s="5" t="s">
        <v>240</v>
      </c>
      <c r="CG2791" s="5" t="s">
        <v>304</v>
      </c>
      <c r="CH2791" s="5" t="s">
        <v>305</v>
      </c>
      <c r="CI2791" s="5" t="s">
        <v>240</v>
      </c>
      <c r="CL2791" s="6" t="s">
        <v>261</v>
      </c>
      <c r="CM2791" s="5" t="s">
        <v>240</v>
      </c>
      <c r="CN2791" s="5" t="s">
        <v>263</v>
      </c>
      <c r="CO2791" s="5" t="s">
        <v>240</v>
      </c>
      <c r="CP2791" s="5" t="s">
        <v>240</v>
      </c>
      <c r="CQ2791" s="5">
        <v>0</v>
      </c>
      <c r="CR2791" s="5" t="s">
        <v>306</v>
      </c>
      <c r="CS2791" s="5" t="s">
        <v>307</v>
      </c>
      <c r="CT2791" s="5" t="s">
        <v>307</v>
      </c>
      <c r="CU2791" s="5" t="s">
        <v>260</v>
      </c>
      <c r="CX2791" s="7">
        <f>1</f>
        <v>1</v>
      </c>
      <c r="CY2791" s="7">
        <f>0</f>
        <v>0</v>
      </c>
      <c r="DA2791" s="7">
        <f>0</f>
        <v>0</v>
      </c>
      <c r="DC2791" s="5" t="s">
        <v>309</v>
      </c>
      <c r="DD2791" s="5" t="s">
        <v>240</v>
      </c>
      <c r="DF2791" s="5" t="s">
        <v>309</v>
      </c>
      <c r="DG2791" s="7">
        <f>773</f>
        <v>773</v>
      </c>
      <c r="DI2791" s="5" t="s">
        <v>240</v>
      </c>
      <c r="DJ2791" s="5" t="s">
        <v>240</v>
      </c>
      <c r="DK2791" s="5" t="s">
        <v>240</v>
      </c>
      <c r="DL2791" s="5" t="s">
        <v>240</v>
      </c>
      <c r="DP2791" s="5" t="s">
        <v>240</v>
      </c>
      <c r="DQ2791" s="5" t="s">
        <v>240</v>
      </c>
      <c r="DR2791" s="5" t="s">
        <v>240</v>
      </c>
      <c r="DS2791" s="5" t="s">
        <v>240</v>
      </c>
      <c r="DV2791" s="5" t="s">
        <v>310</v>
      </c>
      <c r="DW2791" s="5" t="s">
        <v>3633</v>
      </c>
      <c r="HO2791" s="5" t="s">
        <v>312</v>
      </c>
    </row>
    <row r="2792" spans="1:223" x14ac:dyDescent="0.4">
      <c r="A2792" s="5">
        <v>4496</v>
      </c>
      <c r="B2792" s="5">
        <v>1</v>
      </c>
      <c r="C2792" s="5">
        <v>1</v>
      </c>
      <c r="D2792" s="5" t="s">
        <v>810</v>
      </c>
      <c r="E2792" s="5" t="s">
        <v>245</v>
      </c>
      <c r="F2792" s="5" t="s">
        <v>254</v>
      </c>
      <c r="G2792" s="5" t="s">
        <v>240</v>
      </c>
      <c r="H2792" s="6" t="s">
        <v>2960</v>
      </c>
      <c r="I2792" s="5" t="s">
        <v>809</v>
      </c>
      <c r="J2792" s="8">
        <f>61</f>
        <v>61</v>
      </c>
      <c r="K2792" s="5" t="s">
        <v>308</v>
      </c>
      <c r="L2792" s="7">
        <f>1</f>
        <v>1</v>
      </c>
      <c r="M2792" s="7">
        <f>1</f>
        <v>1</v>
      </c>
      <c r="N2792" s="5" t="s">
        <v>242</v>
      </c>
      <c r="O2792" s="5">
        <v>1</v>
      </c>
      <c r="P2792" s="5" t="s">
        <v>294</v>
      </c>
      <c r="Q2792" s="5" t="s">
        <v>266</v>
      </c>
      <c r="R2792" s="5" t="s">
        <v>240</v>
      </c>
      <c r="S2792" s="5" t="s">
        <v>240</v>
      </c>
      <c r="T2792" s="5" t="s">
        <v>296</v>
      </c>
      <c r="U2792" s="5" t="s">
        <v>244</v>
      </c>
      <c r="V2792" s="5" t="s">
        <v>240</v>
      </c>
      <c r="Y2792" s="5" t="s">
        <v>240</v>
      </c>
      <c r="Z2792" s="6" t="s">
        <v>298</v>
      </c>
      <c r="AB2792" s="6" t="s">
        <v>240</v>
      </c>
      <c r="AE2792" s="6" t="s">
        <v>299</v>
      </c>
      <c r="AF2792" s="5" t="s">
        <v>248</v>
      </c>
      <c r="AG2792" s="5" t="s">
        <v>249</v>
      </c>
      <c r="AW2792" s="5" t="s">
        <v>251</v>
      </c>
      <c r="AX2792" s="5" t="s">
        <v>240</v>
      </c>
      <c r="AY2792" s="5" t="s">
        <v>253</v>
      </c>
      <c r="AZ2792" s="5" t="s">
        <v>240</v>
      </c>
      <c r="BA2792" s="5" t="s">
        <v>255</v>
      </c>
      <c r="BB2792" s="5" t="s">
        <v>240</v>
      </c>
      <c r="BD2792" s="5" t="s">
        <v>240</v>
      </c>
      <c r="BF2792" s="5" t="s">
        <v>301</v>
      </c>
      <c r="BG2792" s="6" t="s">
        <v>299</v>
      </c>
      <c r="BH2792" s="5" t="s">
        <v>302</v>
      </c>
      <c r="BI2792" s="5" t="s">
        <v>303</v>
      </c>
      <c r="BJ2792" s="5" t="s">
        <v>240</v>
      </c>
      <c r="BK2792" s="8">
        <f>0</f>
        <v>0</v>
      </c>
      <c r="BL2792" s="7">
        <f>0</f>
        <v>0</v>
      </c>
      <c r="BM2792" s="5" t="s">
        <v>258</v>
      </c>
      <c r="BN2792" s="5" t="s">
        <v>259</v>
      </c>
      <c r="CB2792" s="5" t="s">
        <v>240</v>
      </c>
      <c r="CC2792" s="5" t="s">
        <v>240</v>
      </c>
      <c r="CG2792" s="5" t="s">
        <v>304</v>
      </c>
      <c r="CH2792" s="5" t="s">
        <v>305</v>
      </c>
      <c r="CI2792" s="5" t="s">
        <v>240</v>
      </c>
      <c r="CL2792" s="6" t="s">
        <v>261</v>
      </c>
      <c r="CM2792" s="5" t="s">
        <v>240</v>
      </c>
      <c r="CN2792" s="5" t="s">
        <v>263</v>
      </c>
      <c r="CO2792" s="5" t="s">
        <v>240</v>
      </c>
      <c r="CP2792" s="5" t="s">
        <v>240</v>
      </c>
      <c r="CQ2792" s="5">
        <v>0</v>
      </c>
      <c r="CR2792" s="5" t="s">
        <v>306</v>
      </c>
      <c r="CS2792" s="5" t="s">
        <v>307</v>
      </c>
      <c r="CT2792" s="5" t="s">
        <v>307</v>
      </c>
      <c r="CU2792" s="5" t="s">
        <v>260</v>
      </c>
      <c r="CX2792" s="7">
        <f>1</f>
        <v>1</v>
      </c>
      <c r="CY2792" s="7">
        <f>0</f>
        <v>0</v>
      </c>
      <c r="DA2792" s="7">
        <f>0</f>
        <v>0</v>
      </c>
      <c r="DC2792" s="5" t="s">
        <v>309</v>
      </c>
      <c r="DD2792" s="5" t="s">
        <v>240</v>
      </c>
      <c r="DF2792" s="5" t="s">
        <v>309</v>
      </c>
      <c r="DG2792" s="7">
        <f>169</f>
        <v>169</v>
      </c>
      <c r="DI2792" s="5" t="s">
        <v>240</v>
      </c>
      <c r="DJ2792" s="5" t="s">
        <v>240</v>
      </c>
      <c r="DK2792" s="5" t="s">
        <v>240</v>
      </c>
      <c r="DL2792" s="5" t="s">
        <v>240</v>
      </c>
      <c r="DP2792" s="5" t="s">
        <v>240</v>
      </c>
      <c r="DQ2792" s="5" t="s">
        <v>240</v>
      </c>
      <c r="DR2792" s="5" t="s">
        <v>240</v>
      </c>
      <c r="DS2792" s="5" t="s">
        <v>240</v>
      </c>
      <c r="DV2792" s="5" t="s">
        <v>310</v>
      </c>
      <c r="DW2792" s="5" t="s">
        <v>3635</v>
      </c>
      <c r="HO2792" s="5" t="s">
        <v>312</v>
      </c>
    </row>
    <row r="2793" spans="1:223" x14ac:dyDescent="0.4">
      <c r="A2793" s="5">
        <v>4497</v>
      </c>
      <c r="B2793" s="5">
        <v>1</v>
      </c>
      <c r="C2793" s="5">
        <v>1</v>
      </c>
      <c r="D2793" s="5" t="s">
        <v>810</v>
      </c>
      <c r="E2793" s="5" t="s">
        <v>245</v>
      </c>
      <c r="F2793" s="5" t="s">
        <v>254</v>
      </c>
      <c r="G2793" s="5" t="s">
        <v>240</v>
      </c>
      <c r="H2793" s="6" t="s">
        <v>4830</v>
      </c>
      <c r="I2793" s="5" t="s">
        <v>809</v>
      </c>
      <c r="J2793" s="8">
        <f>129</f>
        <v>129</v>
      </c>
      <c r="K2793" s="5" t="s">
        <v>308</v>
      </c>
      <c r="L2793" s="7">
        <f>1</f>
        <v>1</v>
      </c>
      <c r="M2793" s="7">
        <f>1</f>
        <v>1</v>
      </c>
      <c r="N2793" s="5" t="s">
        <v>242</v>
      </c>
      <c r="O2793" s="5">
        <v>1</v>
      </c>
      <c r="P2793" s="5" t="s">
        <v>294</v>
      </c>
      <c r="Q2793" s="5" t="s">
        <v>266</v>
      </c>
      <c r="R2793" s="5" t="s">
        <v>240</v>
      </c>
      <c r="S2793" s="5" t="s">
        <v>240</v>
      </c>
      <c r="T2793" s="5" t="s">
        <v>296</v>
      </c>
      <c r="U2793" s="5" t="s">
        <v>244</v>
      </c>
      <c r="V2793" s="5" t="s">
        <v>240</v>
      </c>
      <c r="Y2793" s="5" t="s">
        <v>240</v>
      </c>
      <c r="Z2793" s="6" t="s">
        <v>298</v>
      </c>
      <c r="AB2793" s="6" t="s">
        <v>240</v>
      </c>
      <c r="AE2793" s="6" t="s">
        <v>299</v>
      </c>
      <c r="AF2793" s="5" t="s">
        <v>248</v>
      </c>
      <c r="AG2793" s="5" t="s">
        <v>249</v>
      </c>
      <c r="AW2793" s="5" t="s">
        <v>251</v>
      </c>
      <c r="AX2793" s="5" t="s">
        <v>240</v>
      </c>
      <c r="AY2793" s="5" t="s">
        <v>253</v>
      </c>
      <c r="AZ2793" s="5" t="s">
        <v>240</v>
      </c>
      <c r="BA2793" s="5" t="s">
        <v>255</v>
      </c>
      <c r="BB2793" s="5" t="s">
        <v>240</v>
      </c>
      <c r="BD2793" s="5" t="s">
        <v>240</v>
      </c>
      <c r="BF2793" s="5" t="s">
        <v>301</v>
      </c>
      <c r="BG2793" s="6" t="s">
        <v>299</v>
      </c>
      <c r="BH2793" s="5" t="s">
        <v>302</v>
      </c>
      <c r="BI2793" s="5" t="s">
        <v>303</v>
      </c>
      <c r="BJ2793" s="5" t="s">
        <v>240</v>
      </c>
      <c r="BK2793" s="8">
        <f>0</f>
        <v>0</v>
      </c>
      <c r="BL2793" s="7">
        <f>0</f>
        <v>0</v>
      </c>
      <c r="BM2793" s="5" t="s">
        <v>258</v>
      </c>
      <c r="BN2793" s="5" t="s">
        <v>259</v>
      </c>
      <c r="CB2793" s="5" t="s">
        <v>240</v>
      </c>
      <c r="CC2793" s="5" t="s">
        <v>240</v>
      </c>
      <c r="CG2793" s="5" t="s">
        <v>304</v>
      </c>
      <c r="CH2793" s="5" t="s">
        <v>305</v>
      </c>
      <c r="CI2793" s="5" t="s">
        <v>240</v>
      </c>
      <c r="CL2793" s="6" t="s">
        <v>261</v>
      </c>
      <c r="CM2793" s="5" t="s">
        <v>240</v>
      </c>
      <c r="CN2793" s="5" t="s">
        <v>263</v>
      </c>
      <c r="CO2793" s="5" t="s">
        <v>240</v>
      </c>
      <c r="CP2793" s="5" t="s">
        <v>240</v>
      </c>
      <c r="CQ2793" s="5">
        <v>0</v>
      </c>
      <c r="CR2793" s="5" t="s">
        <v>306</v>
      </c>
      <c r="CS2793" s="5" t="s">
        <v>307</v>
      </c>
      <c r="CT2793" s="5" t="s">
        <v>307</v>
      </c>
      <c r="CU2793" s="5" t="s">
        <v>260</v>
      </c>
      <c r="CX2793" s="7">
        <f>1</f>
        <v>1</v>
      </c>
      <c r="CY2793" s="7">
        <f>0</f>
        <v>0</v>
      </c>
      <c r="DA2793" s="7">
        <f>0</f>
        <v>0</v>
      </c>
      <c r="DC2793" s="5" t="s">
        <v>309</v>
      </c>
      <c r="DD2793" s="5" t="s">
        <v>240</v>
      </c>
      <c r="DF2793" s="5" t="s">
        <v>309</v>
      </c>
      <c r="DG2793" s="7">
        <f>1428</f>
        <v>1428</v>
      </c>
      <c r="DI2793" s="5" t="s">
        <v>240</v>
      </c>
      <c r="DJ2793" s="5" t="s">
        <v>240</v>
      </c>
      <c r="DK2793" s="5" t="s">
        <v>240</v>
      </c>
      <c r="DL2793" s="5" t="s">
        <v>240</v>
      </c>
      <c r="DP2793" s="5" t="s">
        <v>240</v>
      </c>
      <c r="DQ2793" s="5" t="s">
        <v>240</v>
      </c>
      <c r="DR2793" s="5" t="s">
        <v>240</v>
      </c>
      <c r="DS2793" s="5" t="s">
        <v>240</v>
      </c>
      <c r="DV2793" s="5" t="s">
        <v>310</v>
      </c>
      <c r="DW2793" s="5" t="s">
        <v>3637</v>
      </c>
      <c r="HO2793" s="5" t="s">
        <v>312</v>
      </c>
    </row>
    <row r="2794" spans="1:223" x14ac:dyDescent="0.4">
      <c r="A2794" s="5">
        <v>4498</v>
      </c>
      <c r="B2794" s="5">
        <v>1</v>
      </c>
      <c r="C2794" s="5">
        <v>1</v>
      </c>
      <c r="D2794" s="5" t="s">
        <v>810</v>
      </c>
      <c r="E2794" s="5" t="s">
        <v>245</v>
      </c>
      <c r="F2794" s="5" t="s">
        <v>254</v>
      </c>
      <c r="G2794" s="5" t="s">
        <v>240</v>
      </c>
      <c r="H2794" s="6" t="s">
        <v>2956</v>
      </c>
      <c r="I2794" s="5" t="s">
        <v>809</v>
      </c>
      <c r="J2794" s="8">
        <f>239</f>
        <v>239</v>
      </c>
      <c r="K2794" s="5" t="s">
        <v>308</v>
      </c>
      <c r="L2794" s="7">
        <f>1</f>
        <v>1</v>
      </c>
      <c r="M2794" s="7">
        <f>1</f>
        <v>1</v>
      </c>
      <c r="N2794" s="5" t="s">
        <v>242</v>
      </c>
      <c r="O2794" s="5">
        <v>1</v>
      </c>
      <c r="P2794" s="5" t="s">
        <v>294</v>
      </c>
      <c r="Q2794" s="5" t="s">
        <v>266</v>
      </c>
      <c r="R2794" s="5" t="s">
        <v>240</v>
      </c>
      <c r="S2794" s="5" t="s">
        <v>240</v>
      </c>
      <c r="T2794" s="5" t="s">
        <v>296</v>
      </c>
      <c r="U2794" s="5" t="s">
        <v>244</v>
      </c>
      <c r="V2794" s="5" t="s">
        <v>240</v>
      </c>
      <c r="Y2794" s="5" t="s">
        <v>240</v>
      </c>
      <c r="Z2794" s="6" t="s">
        <v>298</v>
      </c>
      <c r="AB2794" s="6" t="s">
        <v>240</v>
      </c>
      <c r="AE2794" s="6" t="s">
        <v>299</v>
      </c>
      <c r="AF2794" s="5" t="s">
        <v>248</v>
      </c>
      <c r="AG2794" s="5" t="s">
        <v>249</v>
      </c>
      <c r="AW2794" s="5" t="s">
        <v>251</v>
      </c>
      <c r="AX2794" s="5" t="s">
        <v>240</v>
      </c>
      <c r="AY2794" s="5" t="s">
        <v>253</v>
      </c>
      <c r="AZ2794" s="5" t="s">
        <v>240</v>
      </c>
      <c r="BA2794" s="5" t="s">
        <v>255</v>
      </c>
      <c r="BB2794" s="5" t="s">
        <v>240</v>
      </c>
      <c r="BD2794" s="5" t="s">
        <v>240</v>
      </c>
      <c r="BF2794" s="5" t="s">
        <v>301</v>
      </c>
      <c r="BG2794" s="6" t="s">
        <v>299</v>
      </c>
      <c r="BH2794" s="5" t="s">
        <v>302</v>
      </c>
      <c r="BI2794" s="5" t="s">
        <v>303</v>
      </c>
      <c r="BJ2794" s="5" t="s">
        <v>240</v>
      </c>
      <c r="BK2794" s="8">
        <f>0</f>
        <v>0</v>
      </c>
      <c r="BL2794" s="7">
        <f>0</f>
        <v>0</v>
      </c>
      <c r="BM2794" s="5" t="s">
        <v>258</v>
      </c>
      <c r="BN2794" s="5" t="s">
        <v>259</v>
      </c>
      <c r="CB2794" s="5" t="s">
        <v>240</v>
      </c>
      <c r="CC2794" s="5" t="s">
        <v>240</v>
      </c>
      <c r="CG2794" s="5" t="s">
        <v>304</v>
      </c>
      <c r="CH2794" s="5" t="s">
        <v>305</v>
      </c>
      <c r="CI2794" s="5" t="s">
        <v>240</v>
      </c>
      <c r="CL2794" s="6" t="s">
        <v>261</v>
      </c>
      <c r="CM2794" s="5" t="s">
        <v>240</v>
      </c>
      <c r="CN2794" s="5" t="s">
        <v>263</v>
      </c>
      <c r="CO2794" s="5" t="s">
        <v>240</v>
      </c>
      <c r="CP2794" s="5" t="s">
        <v>240</v>
      </c>
      <c r="CQ2794" s="5">
        <v>0</v>
      </c>
      <c r="CR2794" s="5" t="s">
        <v>306</v>
      </c>
      <c r="CS2794" s="5" t="s">
        <v>307</v>
      </c>
      <c r="CT2794" s="5" t="s">
        <v>307</v>
      </c>
      <c r="CU2794" s="5" t="s">
        <v>260</v>
      </c>
      <c r="CX2794" s="7">
        <f>1</f>
        <v>1</v>
      </c>
      <c r="CY2794" s="7">
        <f>0</f>
        <v>0</v>
      </c>
      <c r="DA2794" s="7">
        <f>0</f>
        <v>0</v>
      </c>
      <c r="DC2794" s="5" t="s">
        <v>309</v>
      </c>
      <c r="DD2794" s="5" t="s">
        <v>240</v>
      </c>
      <c r="DF2794" s="5" t="s">
        <v>309</v>
      </c>
      <c r="DG2794" s="7">
        <f>2753</f>
        <v>2753</v>
      </c>
      <c r="DI2794" s="5" t="s">
        <v>240</v>
      </c>
      <c r="DJ2794" s="5" t="s">
        <v>240</v>
      </c>
      <c r="DK2794" s="5" t="s">
        <v>240</v>
      </c>
      <c r="DL2794" s="5" t="s">
        <v>240</v>
      </c>
      <c r="DP2794" s="5" t="s">
        <v>240</v>
      </c>
      <c r="DQ2794" s="5" t="s">
        <v>240</v>
      </c>
      <c r="DR2794" s="5" t="s">
        <v>240</v>
      </c>
      <c r="DS2794" s="5" t="s">
        <v>240</v>
      </c>
      <c r="DV2794" s="5" t="s">
        <v>310</v>
      </c>
      <c r="DW2794" s="5" t="s">
        <v>3639</v>
      </c>
      <c r="HO2794" s="5" t="s">
        <v>312</v>
      </c>
    </row>
    <row r="2795" spans="1:223" x14ac:dyDescent="0.4">
      <c r="A2795" s="5">
        <v>4499</v>
      </c>
      <c r="B2795" s="5">
        <v>1</v>
      </c>
      <c r="C2795" s="5">
        <v>1</v>
      </c>
      <c r="D2795" s="5" t="s">
        <v>810</v>
      </c>
      <c r="E2795" s="5" t="s">
        <v>245</v>
      </c>
      <c r="F2795" s="5" t="s">
        <v>254</v>
      </c>
      <c r="G2795" s="5" t="s">
        <v>240</v>
      </c>
      <c r="H2795" s="6" t="s">
        <v>2954</v>
      </c>
      <c r="I2795" s="5" t="s">
        <v>809</v>
      </c>
      <c r="J2795" s="8">
        <f>1091</f>
        <v>1091</v>
      </c>
      <c r="K2795" s="5" t="s">
        <v>308</v>
      </c>
      <c r="L2795" s="7">
        <f>1</f>
        <v>1</v>
      </c>
      <c r="M2795" s="7">
        <f>1</f>
        <v>1</v>
      </c>
      <c r="N2795" s="5" t="s">
        <v>242</v>
      </c>
      <c r="O2795" s="5">
        <v>1</v>
      </c>
      <c r="P2795" s="5" t="s">
        <v>294</v>
      </c>
      <c r="Q2795" s="5" t="s">
        <v>266</v>
      </c>
      <c r="R2795" s="5" t="s">
        <v>240</v>
      </c>
      <c r="S2795" s="5" t="s">
        <v>240</v>
      </c>
      <c r="T2795" s="5" t="s">
        <v>296</v>
      </c>
      <c r="U2795" s="5" t="s">
        <v>244</v>
      </c>
      <c r="V2795" s="5" t="s">
        <v>240</v>
      </c>
      <c r="Y2795" s="5" t="s">
        <v>240</v>
      </c>
      <c r="Z2795" s="6" t="s">
        <v>298</v>
      </c>
      <c r="AB2795" s="6" t="s">
        <v>240</v>
      </c>
      <c r="AE2795" s="6" t="s">
        <v>299</v>
      </c>
      <c r="AF2795" s="5" t="s">
        <v>248</v>
      </c>
      <c r="AG2795" s="5" t="s">
        <v>249</v>
      </c>
      <c r="AW2795" s="5" t="s">
        <v>251</v>
      </c>
      <c r="AX2795" s="5" t="s">
        <v>240</v>
      </c>
      <c r="AY2795" s="5" t="s">
        <v>253</v>
      </c>
      <c r="AZ2795" s="5" t="s">
        <v>240</v>
      </c>
      <c r="BA2795" s="5" t="s">
        <v>255</v>
      </c>
      <c r="BB2795" s="5" t="s">
        <v>240</v>
      </c>
      <c r="BD2795" s="5" t="s">
        <v>240</v>
      </c>
      <c r="BF2795" s="5" t="s">
        <v>301</v>
      </c>
      <c r="BG2795" s="6" t="s">
        <v>299</v>
      </c>
      <c r="BH2795" s="5" t="s">
        <v>302</v>
      </c>
      <c r="BI2795" s="5" t="s">
        <v>303</v>
      </c>
      <c r="BJ2795" s="5" t="s">
        <v>240</v>
      </c>
      <c r="BK2795" s="8">
        <f>0</f>
        <v>0</v>
      </c>
      <c r="BL2795" s="7">
        <f>0</f>
        <v>0</v>
      </c>
      <c r="BM2795" s="5" t="s">
        <v>258</v>
      </c>
      <c r="BN2795" s="5" t="s">
        <v>259</v>
      </c>
      <c r="CB2795" s="5" t="s">
        <v>240</v>
      </c>
      <c r="CC2795" s="5" t="s">
        <v>240</v>
      </c>
      <c r="CG2795" s="5" t="s">
        <v>304</v>
      </c>
      <c r="CH2795" s="5" t="s">
        <v>305</v>
      </c>
      <c r="CI2795" s="5" t="s">
        <v>240</v>
      </c>
      <c r="CL2795" s="6" t="s">
        <v>261</v>
      </c>
      <c r="CM2795" s="5" t="s">
        <v>240</v>
      </c>
      <c r="CN2795" s="5" t="s">
        <v>263</v>
      </c>
      <c r="CO2795" s="5" t="s">
        <v>240</v>
      </c>
      <c r="CP2795" s="5" t="s">
        <v>240</v>
      </c>
      <c r="CQ2795" s="5">
        <v>0</v>
      </c>
      <c r="CR2795" s="5" t="s">
        <v>306</v>
      </c>
      <c r="CS2795" s="5" t="s">
        <v>307</v>
      </c>
      <c r="CT2795" s="5" t="s">
        <v>307</v>
      </c>
      <c r="CU2795" s="5" t="s">
        <v>260</v>
      </c>
      <c r="CX2795" s="7">
        <f>1</f>
        <v>1</v>
      </c>
      <c r="CY2795" s="7">
        <f>0</f>
        <v>0</v>
      </c>
      <c r="DA2795" s="7">
        <f>0</f>
        <v>0</v>
      </c>
      <c r="DC2795" s="5" t="s">
        <v>309</v>
      </c>
      <c r="DD2795" s="5" t="s">
        <v>240</v>
      </c>
      <c r="DF2795" s="5" t="s">
        <v>309</v>
      </c>
      <c r="DG2795" s="7">
        <f>901</f>
        <v>901</v>
      </c>
      <c r="DI2795" s="5" t="s">
        <v>240</v>
      </c>
      <c r="DJ2795" s="5" t="s">
        <v>240</v>
      </c>
      <c r="DK2795" s="5" t="s">
        <v>240</v>
      </c>
      <c r="DL2795" s="5" t="s">
        <v>240</v>
      </c>
      <c r="DP2795" s="5" t="s">
        <v>240</v>
      </c>
      <c r="DQ2795" s="5" t="s">
        <v>240</v>
      </c>
      <c r="DR2795" s="5" t="s">
        <v>240</v>
      </c>
      <c r="DS2795" s="5" t="s">
        <v>240</v>
      </c>
      <c r="DV2795" s="5" t="s">
        <v>310</v>
      </c>
      <c r="DW2795" s="5" t="s">
        <v>3641</v>
      </c>
      <c r="HO2795" s="5" t="s">
        <v>312</v>
      </c>
    </row>
    <row r="2796" spans="1:223" x14ac:dyDescent="0.4">
      <c r="A2796" s="5">
        <v>4500</v>
      </c>
      <c r="B2796" s="5">
        <v>1</v>
      </c>
      <c r="C2796" s="5">
        <v>1</v>
      </c>
      <c r="D2796" s="5" t="s">
        <v>810</v>
      </c>
      <c r="E2796" s="5" t="s">
        <v>245</v>
      </c>
      <c r="F2796" s="5" t="s">
        <v>254</v>
      </c>
      <c r="G2796" s="5" t="s">
        <v>240</v>
      </c>
      <c r="H2796" s="6" t="s">
        <v>2952</v>
      </c>
      <c r="I2796" s="5" t="s">
        <v>809</v>
      </c>
      <c r="J2796" s="8">
        <f>1528</f>
        <v>1528</v>
      </c>
      <c r="K2796" s="5" t="s">
        <v>308</v>
      </c>
      <c r="L2796" s="7">
        <f>1</f>
        <v>1</v>
      </c>
      <c r="M2796" s="7">
        <f>1</f>
        <v>1</v>
      </c>
      <c r="N2796" s="5" t="s">
        <v>242</v>
      </c>
      <c r="O2796" s="5">
        <v>1</v>
      </c>
      <c r="P2796" s="5" t="s">
        <v>294</v>
      </c>
      <c r="Q2796" s="5" t="s">
        <v>266</v>
      </c>
      <c r="R2796" s="5" t="s">
        <v>240</v>
      </c>
      <c r="S2796" s="5" t="s">
        <v>240</v>
      </c>
      <c r="T2796" s="5" t="s">
        <v>296</v>
      </c>
      <c r="U2796" s="5" t="s">
        <v>244</v>
      </c>
      <c r="V2796" s="5" t="s">
        <v>240</v>
      </c>
      <c r="Y2796" s="5" t="s">
        <v>240</v>
      </c>
      <c r="Z2796" s="6" t="s">
        <v>298</v>
      </c>
      <c r="AB2796" s="6" t="s">
        <v>240</v>
      </c>
      <c r="AE2796" s="6" t="s">
        <v>299</v>
      </c>
      <c r="AF2796" s="5" t="s">
        <v>248</v>
      </c>
      <c r="AG2796" s="5" t="s">
        <v>249</v>
      </c>
      <c r="AW2796" s="5" t="s">
        <v>251</v>
      </c>
      <c r="AX2796" s="5" t="s">
        <v>240</v>
      </c>
      <c r="AY2796" s="5" t="s">
        <v>253</v>
      </c>
      <c r="AZ2796" s="5" t="s">
        <v>240</v>
      </c>
      <c r="BA2796" s="5" t="s">
        <v>255</v>
      </c>
      <c r="BB2796" s="5" t="s">
        <v>240</v>
      </c>
      <c r="BD2796" s="5" t="s">
        <v>240</v>
      </c>
      <c r="BF2796" s="5" t="s">
        <v>301</v>
      </c>
      <c r="BG2796" s="6" t="s">
        <v>299</v>
      </c>
      <c r="BH2796" s="5" t="s">
        <v>302</v>
      </c>
      <c r="BI2796" s="5" t="s">
        <v>303</v>
      </c>
      <c r="BJ2796" s="5" t="s">
        <v>240</v>
      </c>
      <c r="BK2796" s="8">
        <f>0</f>
        <v>0</v>
      </c>
      <c r="BL2796" s="7">
        <f>0</f>
        <v>0</v>
      </c>
      <c r="BM2796" s="5" t="s">
        <v>258</v>
      </c>
      <c r="BN2796" s="5" t="s">
        <v>259</v>
      </c>
      <c r="CB2796" s="5" t="s">
        <v>240</v>
      </c>
      <c r="CC2796" s="5" t="s">
        <v>240</v>
      </c>
      <c r="CG2796" s="5" t="s">
        <v>304</v>
      </c>
      <c r="CH2796" s="5" t="s">
        <v>305</v>
      </c>
      <c r="CI2796" s="5" t="s">
        <v>240</v>
      </c>
      <c r="CL2796" s="6" t="s">
        <v>261</v>
      </c>
      <c r="CM2796" s="5" t="s">
        <v>240</v>
      </c>
      <c r="CN2796" s="5" t="s">
        <v>263</v>
      </c>
      <c r="CO2796" s="5" t="s">
        <v>240</v>
      </c>
      <c r="CP2796" s="5" t="s">
        <v>240</v>
      </c>
      <c r="CQ2796" s="5">
        <v>0</v>
      </c>
      <c r="CR2796" s="5" t="s">
        <v>306</v>
      </c>
      <c r="CS2796" s="5" t="s">
        <v>307</v>
      </c>
      <c r="CT2796" s="5" t="s">
        <v>307</v>
      </c>
      <c r="CU2796" s="5" t="s">
        <v>260</v>
      </c>
      <c r="CX2796" s="7">
        <f>1</f>
        <v>1</v>
      </c>
      <c r="CY2796" s="7">
        <f>0</f>
        <v>0</v>
      </c>
      <c r="DA2796" s="7">
        <f>0</f>
        <v>0</v>
      </c>
      <c r="DC2796" s="5" t="s">
        <v>309</v>
      </c>
      <c r="DD2796" s="5" t="s">
        <v>240</v>
      </c>
      <c r="DF2796" s="5" t="s">
        <v>309</v>
      </c>
      <c r="DG2796" s="7">
        <f>1817</f>
        <v>1817</v>
      </c>
      <c r="DI2796" s="5" t="s">
        <v>240</v>
      </c>
      <c r="DJ2796" s="5" t="s">
        <v>240</v>
      </c>
      <c r="DK2796" s="5" t="s">
        <v>240</v>
      </c>
      <c r="DL2796" s="5" t="s">
        <v>240</v>
      </c>
      <c r="DP2796" s="5" t="s">
        <v>240</v>
      </c>
      <c r="DQ2796" s="5" t="s">
        <v>240</v>
      </c>
      <c r="DR2796" s="5" t="s">
        <v>240</v>
      </c>
      <c r="DS2796" s="5" t="s">
        <v>240</v>
      </c>
      <c r="DV2796" s="5" t="s">
        <v>310</v>
      </c>
      <c r="DW2796" s="5" t="s">
        <v>3643</v>
      </c>
      <c r="HO2796" s="5" t="s">
        <v>312</v>
      </c>
    </row>
    <row r="2797" spans="1:223" x14ac:dyDescent="0.4">
      <c r="A2797" s="5">
        <v>4501</v>
      </c>
      <c r="B2797" s="5">
        <v>1</v>
      </c>
      <c r="C2797" s="5">
        <v>1</v>
      </c>
      <c r="D2797" s="5" t="s">
        <v>810</v>
      </c>
      <c r="E2797" s="5" t="s">
        <v>245</v>
      </c>
      <c r="F2797" s="5" t="s">
        <v>254</v>
      </c>
      <c r="G2797" s="5" t="s">
        <v>240</v>
      </c>
      <c r="H2797" s="6" t="s">
        <v>2950</v>
      </c>
      <c r="I2797" s="5" t="s">
        <v>809</v>
      </c>
      <c r="J2797" s="8">
        <f>688</f>
        <v>688</v>
      </c>
      <c r="K2797" s="5" t="s">
        <v>308</v>
      </c>
      <c r="L2797" s="7">
        <f>1</f>
        <v>1</v>
      </c>
      <c r="M2797" s="7">
        <f>1</f>
        <v>1</v>
      </c>
      <c r="N2797" s="5" t="s">
        <v>242</v>
      </c>
      <c r="O2797" s="5">
        <v>1</v>
      </c>
      <c r="P2797" s="5" t="s">
        <v>294</v>
      </c>
      <c r="Q2797" s="5" t="s">
        <v>266</v>
      </c>
      <c r="R2797" s="5" t="s">
        <v>240</v>
      </c>
      <c r="S2797" s="5" t="s">
        <v>240</v>
      </c>
      <c r="T2797" s="5" t="s">
        <v>296</v>
      </c>
      <c r="U2797" s="5" t="s">
        <v>244</v>
      </c>
      <c r="V2797" s="5" t="s">
        <v>240</v>
      </c>
      <c r="Y2797" s="5" t="s">
        <v>240</v>
      </c>
      <c r="Z2797" s="6" t="s">
        <v>298</v>
      </c>
      <c r="AB2797" s="6" t="s">
        <v>240</v>
      </c>
      <c r="AE2797" s="6" t="s">
        <v>299</v>
      </c>
      <c r="AF2797" s="5" t="s">
        <v>248</v>
      </c>
      <c r="AG2797" s="5" t="s">
        <v>249</v>
      </c>
      <c r="AW2797" s="5" t="s">
        <v>251</v>
      </c>
      <c r="AX2797" s="5" t="s">
        <v>240</v>
      </c>
      <c r="AY2797" s="5" t="s">
        <v>253</v>
      </c>
      <c r="AZ2797" s="5" t="s">
        <v>240</v>
      </c>
      <c r="BA2797" s="5" t="s">
        <v>255</v>
      </c>
      <c r="BB2797" s="5" t="s">
        <v>240</v>
      </c>
      <c r="BD2797" s="5" t="s">
        <v>240</v>
      </c>
      <c r="BF2797" s="5" t="s">
        <v>301</v>
      </c>
      <c r="BG2797" s="6" t="s">
        <v>299</v>
      </c>
      <c r="BH2797" s="5" t="s">
        <v>302</v>
      </c>
      <c r="BI2797" s="5" t="s">
        <v>303</v>
      </c>
      <c r="BJ2797" s="5" t="s">
        <v>240</v>
      </c>
      <c r="BK2797" s="8">
        <f>0</f>
        <v>0</v>
      </c>
      <c r="BL2797" s="7">
        <f>0</f>
        <v>0</v>
      </c>
      <c r="BM2797" s="5" t="s">
        <v>258</v>
      </c>
      <c r="BN2797" s="5" t="s">
        <v>259</v>
      </c>
      <c r="CB2797" s="5" t="s">
        <v>240</v>
      </c>
      <c r="CC2797" s="5" t="s">
        <v>240</v>
      </c>
      <c r="CG2797" s="5" t="s">
        <v>304</v>
      </c>
      <c r="CH2797" s="5" t="s">
        <v>305</v>
      </c>
      <c r="CI2797" s="5" t="s">
        <v>240</v>
      </c>
      <c r="CL2797" s="6" t="s">
        <v>261</v>
      </c>
      <c r="CM2797" s="5" t="s">
        <v>240</v>
      </c>
      <c r="CN2797" s="5" t="s">
        <v>263</v>
      </c>
      <c r="CO2797" s="5" t="s">
        <v>240</v>
      </c>
      <c r="CP2797" s="5" t="s">
        <v>240</v>
      </c>
      <c r="CQ2797" s="5">
        <v>0</v>
      </c>
      <c r="CR2797" s="5" t="s">
        <v>306</v>
      </c>
      <c r="CS2797" s="5" t="s">
        <v>307</v>
      </c>
      <c r="CT2797" s="5" t="s">
        <v>307</v>
      </c>
      <c r="CU2797" s="5" t="s">
        <v>260</v>
      </c>
      <c r="CX2797" s="7">
        <f>1</f>
        <v>1</v>
      </c>
      <c r="CY2797" s="7">
        <f>0</f>
        <v>0</v>
      </c>
      <c r="DA2797" s="7">
        <f>0</f>
        <v>0</v>
      </c>
      <c r="DC2797" s="5" t="s">
        <v>309</v>
      </c>
      <c r="DD2797" s="5" t="s">
        <v>240</v>
      </c>
      <c r="DF2797" s="5" t="s">
        <v>309</v>
      </c>
      <c r="DG2797" s="7">
        <f>1085</f>
        <v>1085</v>
      </c>
      <c r="DI2797" s="5" t="s">
        <v>240</v>
      </c>
      <c r="DJ2797" s="5" t="s">
        <v>240</v>
      </c>
      <c r="DK2797" s="5" t="s">
        <v>240</v>
      </c>
      <c r="DL2797" s="5" t="s">
        <v>240</v>
      </c>
      <c r="DP2797" s="5" t="s">
        <v>240</v>
      </c>
      <c r="DQ2797" s="5" t="s">
        <v>240</v>
      </c>
      <c r="DR2797" s="5" t="s">
        <v>240</v>
      </c>
      <c r="DS2797" s="5" t="s">
        <v>240</v>
      </c>
      <c r="DV2797" s="5" t="s">
        <v>310</v>
      </c>
      <c r="DW2797" s="5" t="s">
        <v>3645</v>
      </c>
      <c r="HO2797" s="5" t="s">
        <v>312</v>
      </c>
    </row>
    <row r="2798" spans="1:223" x14ac:dyDescent="0.4">
      <c r="A2798" s="5">
        <v>4502</v>
      </c>
      <c r="B2798" s="5">
        <v>1</v>
      </c>
      <c r="C2798" s="5">
        <v>1</v>
      </c>
      <c r="D2798" s="5" t="s">
        <v>810</v>
      </c>
      <c r="E2798" s="5" t="s">
        <v>245</v>
      </c>
      <c r="F2798" s="5" t="s">
        <v>254</v>
      </c>
      <c r="G2798" s="5" t="s">
        <v>240</v>
      </c>
      <c r="H2798" s="6" t="s">
        <v>2948</v>
      </c>
      <c r="I2798" s="5" t="s">
        <v>809</v>
      </c>
      <c r="J2798" s="8">
        <f>332</f>
        <v>332</v>
      </c>
      <c r="K2798" s="5" t="s">
        <v>308</v>
      </c>
      <c r="L2798" s="7">
        <f>1</f>
        <v>1</v>
      </c>
      <c r="M2798" s="7">
        <f>1</f>
        <v>1</v>
      </c>
      <c r="N2798" s="5" t="s">
        <v>242</v>
      </c>
      <c r="O2798" s="5">
        <v>1</v>
      </c>
      <c r="P2798" s="5" t="s">
        <v>294</v>
      </c>
      <c r="Q2798" s="5" t="s">
        <v>266</v>
      </c>
      <c r="R2798" s="5" t="s">
        <v>240</v>
      </c>
      <c r="S2798" s="5" t="s">
        <v>240</v>
      </c>
      <c r="T2798" s="5" t="s">
        <v>296</v>
      </c>
      <c r="U2798" s="5" t="s">
        <v>244</v>
      </c>
      <c r="V2798" s="5" t="s">
        <v>240</v>
      </c>
      <c r="Y2798" s="5" t="s">
        <v>240</v>
      </c>
      <c r="Z2798" s="6" t="s">
        <v>298</v>
      </c>
      <c r="AB2798" s="6" t="s">
        <v>240</v>
      </c>
      <c r="AE2798" s="6" t="s">
        <v>299</v>
      </c>
      <c r="AF2798" s="5" t="s">
        <v>248</v>
      </c>
      <c r="AG2798" s="5" t="s">
        <v>249</v>
      </c>
      <c r="AW2798" s="5" t="s">
        <v>251</v>
      </c>
      <c r="AX2798" s="5" t="s">
        <v>240</v>
      </c>
      <c r="AY2798" s="5" t="s">
        <v>253</v>
      </c>
      <c r="AZ2798" s="5" t="s">
        <v>240</v>
      </c>
      <c r="BA2798" s="5" t="s">
        <v>255</v>
      </c>
      <c r="BB2798" s="5" t="s">
        <v>240</v>
      </c>
      <c r="BD2798" s="5" t="s">
        <v>240</v>
      </c>
      <c r="BF2798" s="5" t="s">
        <v>301</v>
      </c>
      <c r="BG2798" s="6" t="s">
        <v>299</v>
      </c>
      <c r="BH2798" s="5" t="s">
        <v>302</v>
      </c>
      <c r="BI2798" s="5" t="s">
        <v>303</v>
      </c>
      <c r="BJ2798" s="5" t="s">
        <v>240</v>
      </c>
      <c r="BK2798" s="8">
        <f>0</f>
        <v>0</v>
      </c>
      <c r="BL2798" s="7">
        <f>0</f>
        <v>0</v>
      </c>
      <c r="BM2798" s="5" t="s">
        <v>258</v>
      </c>
      <c r="BN2798" s="5" t="s">
        <v>259</v>
      </c>
      <c r="CB2798" s="5" t="s">
        <v>240</v>
      </c>
      <c r="CC2798" s="5" t="s">
        <v>240</v>
      </c>
      <c r="CG2798" s="5" t="s">
        <v>304</v>
      </c>
      <c r="CH2798" s="5" t="s">
        <v>305</v>
      </c>
      <c r="CI2798" s="5" t="s">
        <v>240</v>
      </c>
      <c r="CL2798" s="6" t="s">
        <v>261</v>
      </c>
      <c r="CM2798" s="5" t="s">
        <v>240</v>
      </c>
      <c r="CN2798" s="5" t="s">
        <v>263</v>
      </c>
      <c r="CO2798" s="5" t="s">
        <v>240</v>
      </c>
      <c r="CP2798" s="5" t="s">
        <v>240</v>
      </c>
      <c r="CQ2798" s="5">
        <v>0</v>
      </c>
      <c r="CR2798" s="5" t="s">
        <v>306</v>
      </c>
      <c r="CS2798" s="5" t="s">
        <v>307</v>
      </c>
      <c r="CT2798" s="5" t="s">
        <v>307</v>
      </c>
      <c r="CU2798" s="5" t="s">
        <v>260</v>
      </c>
      <c r="CX2798" s="7">
        <f>1</f>
        <v>1</v>
      </c>
      <c r="CY2798" s="7">
        <f>0</f>
        <v>0</v>
      </c>
      <c r="DA2798" s="7">
        <f>0</f>
        <v>0</v>
      </c>
      <c r="DC2798" s="5" t="s">
        <v>812</v>
      </c>
      <c r="DD2798" s="5" t="s">
        <v>240</v>
      </c>
      <c r="DF2798" s="5" t="s">
        <v>812</v>
      </c>
      <c r="DG2798" s="7">
        <f>943</f>
        <v>943</v>
      </c>
      <c r="DI2798" s="5" t="s">
        <v>240</v>
      </c>
      <c r="DJ2798" s="5" t="s">
        <v>240</v>
      </c>
      <c r="DK2798" s="5" t="s">
        <v>240</v>
      </c>
      <c r="DL2798" s="5" t="s">
        <v>240</v>
      </c>
      <c r="DP2798" s="5" t="s">
        <v>240</v>
      </c>
      <c r="DQ2798" s="5" t="s">
        <v>240</v>
      </c>
      <c r="DR2798" s="5" t="s">
        <v>240</v>
      </c>
      <c r="DS2798" s="5" t="s">
        <v>240</v>
      </c>
      <c r="DV2798" s="5" t="s">
        <v>813</v>
      </c>
      <c r="DW2798" s="5" t="s">
        <v>4945</v>
      </c>
      <c r="HO2798" s="5" t="s">
        <v>312</v>
      </c>
    </row>
    <row r="2799" spans="1:223" x14ac:dyDescent="0.4">
      <c r="A2799" s="5">
        <v>4503</v>
      </c>
      <c r="B2799" s="5">
        <v>1</v>
      </c>
      <c r="C2799" s="5">
        <v>1</v>
      </c>
      <c r="D2799" s="5" t="s">
        <v>810</v>
      </c>
      <c r="E2799" s="5" t="s">
        <v>245</v>
      </c>
      <c r="F2799" s="5" t="s">
        <v>254</v>
      </c>
      <c r="G2799" s="5" t="s">
        <v>240</v>
      </c>
      <c r="H2799" s="6" t="s">
        <v>2946</v>
      </c>
      <c r="I2799" s="5" t="s">
        <v>809</v>
      </c>
      <c r="J2799" s="8">
        <f>99</f>
        <v>99</v>
      </c>
      <c r="K2799" s="5" t="s">
        <v>308</v>
      </c>
      <c r="L2799" s="7">
        <f>1</f>
        <v>1</v>
      </c>
      <c r="M2799" s="7">
        <f>1</f>
        <v>1</v>
      </c>
      <c r="N2799" s="5" t="s">
        <v>242</v>
      </c>
      <c r="O2799" s="5">
        <v>1</v>
      </c>
      <c r="P2799" s="5" t="s">
        <v>294</v>
      </c>
      <c r="Q2799" s="5" t="s">
        <v>266</v>
      </c>
      <c r="R2799" s="5" t="s">
        <v>240</v>
      </c>
      <c r="S2799" s="5" t="s">
        <v>240</v>
      </c>
      <c r="T2799" s="5" t="s">
        <v>296</v>
      </c>
      <c r="U2799" s="5" t="s">
        <v>244</v>
      </c>
      <c r="V2799" s="5" t="s">
        <v>240</v>
      </c>
      <c r="Y2799" s="5" t="s">
        <v>240</v>
      </c>
      <c r="Z2799" s="6" t="s">
        <v>298</v>
      </c>
      <c r="AB2799" s="6" t="s">
        <v>240</v>
      </c>
      <c r="AE2799" s="6" t="s">
        <v>299</v>
      </c>
      <c r="AF2799" s="5" t="s">
        <v>248</v>
      </c>
      <c r="AG2799" s="5" t="s">
        <v>249</v>
      </c>
      <c r="AW2799" s="5" t="s">
        <v>251</v>
      </c>
      <c r="AX2799" s="5" t="s">
        <v>240</v>
      </c>
      <c r="AY2799" s="5" t="s">
        <v>253</v>
      </c>
      <c r="AZ2799" s="5" t="s">
        <v>240</v>
      </c>
      <c r="BA2799" s="5" t="s">
        <v>255</v>
      </c>
      <c r="BB2799" s="5" t="s">
        <v>240</v>
      </c>
      <c r="BD2799" s="5" t="s">
        <v>240</v>
      </c>
      <c r="BF2799" s="5" t="s">
        <v>301</v>
      </c>
      <c r="BG2799" s="6" t="s">
        <v>299</v>
      </c>
      <c r="BH2799" s="5" t="s">
        <v>302</v>
      </c>
      <c r="BI2799" s="5" t="s">
        <v>303</v>
      </c>
      <c r="BJ2799" s="5" t="s">
        <v>240</v>
      </c>
      <c r="BK2799" s="8">
        <f>0</f>
        <v>0</v>
      </c>
      <c r="BL2799" s="7">
        <f>0</f>
        <v>0</v>
      </c>
      <c r="BM2799" s="5" t="s">
        <v>258</v>
      </c>
      <c r="BN2799" s="5" t="s">
        <v>259</v>
      </c>
      <c r="CB2799" s="5" t="s">
        <v>240</v>
      </c>
      <c r="CC2799" s="5" t="s">
        <v>240</v>
      </c>
      <c r="CG2799" s="5" t="s">
        <v>304</v>
      </c>
      <c r="CH2799" s="5" t="s">
        <v>305</v>
      </c>
      <c r="CI2799" s="5" t="s">
        <v>240</v>
      </c>
      <c r="CL2799" s="6" t="s">
        <v>261</v>
      </c>
      <c r="CM2799" s="5" t="s">
        <v>240</v>
      </c>
      <c r="CN2799" s="5" t="s">
        <v>263</v>
      </c>
      <c r="CO2799" s="5" t="s">
        <v>240</v>
      </c>
      <c r="CP2799" s="5" t="s">
        <v>240</v>
      </c>
      <c r="CQ2799" s="5">
        <v>0</v>
      </c>
      <c r="CR2799" s="5" t="s">
        <v>306</v>
      </c>
      <c r="CS2799" s="5" t="s">
        <v>307</v>
      </c>
      <c r="CT2799" s="5" t="s">
        <v>307</v>
      </c>
      <c r="CU2799" s="5" t="s">
        <v>260</v>
      </c>
      <c r="CX2799" s="7">
        <f>1</f>
        <v>1</v>
      </c>
      <c r="CY2799" s="7">
        <f>0</f>
        <v>0</v>
      </c>
      <c r="DA2799" s="7">
        <f>0</f>
        <v>0</v>
      </c>
      <c r="DC2799" s="5" t="s">
        <v>309</v>
      </c>
      <c r="DD2799" s="5" t="s">
        <v>240</v>
      </c>
      <c r="DF2799" s="5" t="s">
        <v>309</v>
      </c>
      <c r="DG2799" s="7">
        <f>369</f>
        <v>369</v>
      </c>
      <c r="DI2799" s="5" t="s">
        <v>240</v>
      </c>
      <c r="DJ2799" s="5" t="s">
        <v>240</v>
      </c>
      <c r="DK2799" s="5" t="s">
        <v>240</v>
      </c>
      <c r="DL2799" s="5" t="s">
        <v>240</v>
      </c>
      <c r="DP2799" s="5" t="s">
        <v>240</v>
      </c>
      <c r="DQ2799" s="5" t="s">
        <v>240</v>
      </c>
      <c r="DR2799" s="5" t="s">
        <v>240</v>
      </c>
      <c r="DS2799" s="5" t="s">
        <v>240</v>
      </c>
      <c r="DV2799" s="5" t="s">
        <v>310</v>
      </c>
      <c r="DW2799" s="5" t="s">
        <v>3649</v>
      </c>
      <c r="HO2799" s="5" t="s">
        <v>312</v>
      </c>
    </row>
    <row r="2800" spans="1:223" x14ac:dyDescent="0.4">
      <c r="A2800" s="5">
        <v>4504</v>
      </c>
      <c r="B2800" s="5">
        <v>1</v>
      </c>
      <c r="C2800" s="5">
        <v>1</v>
      </c>
      <c r="D2800" s="5" t="s">
        <v>810</v>
      </c>
      <c r="E2800" s="5" t="s">
        <v>245</v>
      </c>
      <c r="F2800" s="5" t="s">
        <v>254</v>
      </c>
      <c r="G2800" s="5" t="s">
        <v>240</v>
      </c>
      <c r="H2800" s="6" t="s">
        <v>2944</v>
      </c>
      <c r="I2800" s="5" t="s">
        <v>809</v>
      </c>
      <c r="J2800" s="8">
        <f>98</f>
        <v>98</v>
      </c>
      <c r="K2800" s="5" t="s">
        <v>308</v>
      </c>
      <c r="L2800" s="7">
        <f>1</f>
        <v>1</v>
      </c>
      <c r="M2800" s="7">
        <f>1</f>
        <v>1</v>
      </c>
      <c r="N2800" s="5" t="s">
        <v>242</v>
      </c>
      <c r="O2800" s="5">
        <v>1</v>
      </c>
      <c r="P2800" s="5" t="s">
        <v>294</v>
      </c>
      <c r="Q2800" s="5" t="s">
        <v>266</v>
      </c>
      <c r="R2800" s="5" t="s">
        <v>240</v>
      </c>
      <c r="S2800" s="5" t="s">
        <v>240</v>
      </c>
      <c r="T2800" s="5" t="s">
        <v>296</v>
      </c>
      <c r="U2800" s="5" t="s">
        <v>244</v>
      </c>
      <c r="V2800" s="5" t="s">
        <v>240</v>
      </c>
      <c r="Y2800" s="5" t="s">
        <v>240</v>
      </c>
      <c r="Z2800" s="6" t="s">
        <v>298</v>
      </c>
      <c r="AB2800" s="6" t="s">
        <v>240</v>
      </c>
      <c r="AE2800" s="6" t="s">
        <v>299</v>
      </c>
      <c r="AF2800" s="5" t="s">
        <v>248</v>
      </c>
      <c r="AG2800" s="5" t="s">
        <v>249</v>
      </c>
      <c r="AW2800" s="5" t="s">
        <v>251</v>
      </c>
      <c r="AX2800" s="5" t="s">
        <v>240</v>
      </c>
      <c r="AY2800" s="5" t="s">
        <v>253</v>
      </c>
      <c r="AZ2800" s="5" t="s">
        <v>240</v>
      </c>
      <c r="BA2800" s="5" t="s">
        <v>255</v>
      </c>
      <c r="BB2800" s="5" t="s">
        <v>240</v>
      </c>
      <c r="BD2800" s="5" t="s">
        <v>240</v>
      </c>
      <c r="BF2800" s="5" t="s">
        <v>301</v>
      </c>
      <c r="BG2800" s="6" t="s">
        <v>299</v>
      </c>
      <c r="BH2800" s="5" t="s">
        <v>302</v>
      </c>
      <c r="BI2800" s="5" t="s">
        <v>303</v>
      </c>
      <c r="BJ2800" s="5" t="s">
        <v>240</v>
      </c>
      <c r="BK2800" s="8">
        <f>0</f>
        <v>0</v>
      </c>
      <c r="BL2800" s="7">
        <f>0</f>
        <v>0</v>
      </c>
      <c r="BM2800" s="5" t="s">
        <v>258</v>
      </c>
      <c r="BN2800" s="5" t="s">
        <v>259</v>
      </c>
      <c r="CB2800" s="5" t="s">
        <v>240</v>
      </c>
      <c r="CC2800" s="5" t="s">
        <v>240</v>
      </c>
      <c r="CG2800" s="5" t="s">
        <v>304</v>
      </c>
      <c r="CH2800" s="5" t="s">
        <v>305</v>
      </c>
      <c r="CI2800" s="5" t="s">
        <v>240</v>
      </c>
      <c r="CL2800" s="6" t="s">
        <v>261</v>
      </c>
      <c r="CM2800" s="5" t="s">
        <v>240</v>
      </c>
      <c r="CN2800" s="5" t="s">
        <v>263</v>
      </c>
      <c r="CO2800" s="5" t="s">
        <v>240</v>
      </c>
      <c r="CP2800" s="5" t="s">
        <v>240</v>
      </c>
      <c r="CQ2800" s="5">
        <v>0</v>
      </c>
      <c r="CR2800" s="5" t="s">
        <v>306</v>
      </c>
      <c r="CS2800" s="5" t="s">
        <v>307</v>
      </c>
      <c r="CT2800" s="5" t="s">
        <v>307</v>
      </c>
      <c r="CU2800" s="5" t="s">
        <v>260</v>
      </c>
      <c r="CX2800" s="7">
        <f>1</f>
        <v>1</v>
      </c>
      <c r="CY2800" s="7">
        <f>0</f>
        <v>0</v>
      </c>
      <c r="DA2800" s="7">
        <f>0</f>
        <v>0</v>
      </c>
      <c r="DC2800" s="5" t="s">
        <v>309</v>
      </c>
      <c r="DD2800" s="5" t="s">
        <v>240</v>
      </c>
      <c r="DF2800" s="5" t="s">
        <v>309</v>
      </c>
      <c r="DG2800" s="7">
        <f>3224</f>
        <v>3224</v>
      </c>
      <c r="DI2800" s="5" t="s">
        <v>240</v>
      </c>
      <c r="DJ2800" s="5" t="s">
        <v>240</v>
      </c>
      <c r="DK2800" s="5" t="s">
        <v>240</v>
      </c>
      <c r="DL2800" s="5" t="s">
        <v>240</v>
      </c>
      <c r="DP2800" s="5" t="s">
        <v>240</v>
      </c>
      <c r="DQ2800" s="5" t="s">
        <v>240</v>
      </c>
      <c r="DR2800" s="5" t="s">
        <v>240</v>
      </c>
      <c r="DS2800" s="5" t="s">
        <v>240</v>
      </c>
      <c r="DV2800" s="5" t="s">
        <v>310</v>
      </c>
      <c r="DW2800" s="5" t="s">
        <v>3651</v>
      </c>
      <c r="HO2800" s="5" t="s">
        <v>312</v>
      </c>
    </row>
    <row r="2801" spans="1:223" x14ac:dyDescent="0.4">
      <c r="A2801" s="5">
        <v>4505</v>
      </c>
      <c r="B2801" s="5">
        <v>1</v>
      </c>
      <c r="C2801" s="5">
        <v>1</v>
      </c>
      <c r="D2801" s="5" t="s">
        <v>810</v>
      </c>
      <c r="E2801" s="5" t="s">
        <v>245</v>
      </c>
      <c r="F2801" s="5" t="s">
        <v>254</v>
      </c>
      <c r="G2801" s="5" t="s">
        <v>240</v>
      </c>
      <c r="H2801" s="6" t="s">
        <v>2942</v>
      </c>
      <c r="I2801" s="5" t="s">
        <v>809</v>
      </c>
      <c r="J2801" s="8">
        <f>906</f>
        <v>906</v>
      </c>
      <c r="K2801" s="5" t="s">
        <v>308</v>
      </c>
      <c r="L2801" s="7">
        <f>1</f>
        <v>1</v>
      </c>
      <c r="M2801" s="7">
        <f>1</f>
        <v>1</v>
      </c>
      <c r="N2801" s="5" t="s">
        <v>242</v>
      </c>
      <c r="O2801" s="5">
        <v>1</v>
      </c>
      <c r="P2801" s="5" t="s">
        <v>294</v>
      </c>
      <c r="Q2801" s="5" t="s">
        <v>266</v>
      </c>
      <c r="R2801" s="5" t="s">
        <v>240</v>
      </c>
      <c r="S2801" s="5" t="s">
        <v>240</v>
      </c>
      <c r="T2801" s="5" t="s">
        <v>296</v>
      </c>
      <c r="U2801" s="5" t="s">
        <v>244</v>
      </c>
      <c r="V2801" s="5" t="s">
        <v>240</v>
      </c>
      <c r="Y2801" s="5" t="s">
        <v>240</v>
      </c>
      <c r="Z2801" s="6" t="s">
        <v>298</v>
      </c>
      <c r="AB2801" s="6" t="s">
        <v>240</v>
      </c>
      <c r="AE2801" s="6" t="s">
        <v>299</v>
      </c>
      <c r="AF2801" s="5" t="s">
        <v>248</v>
      </c>
      <c r="AG2801" s="5" t="s">
        <v>249</v>
      </c>
      <c r="AW2801" s="5" t="s">
        <v>251</v>
      </c>
      <c r="AX2801" s="5" t="s">
        <v>240</v>
      </c>
      <c r="AY2801" s="5" t="s">
        <v>253</v>
      </c>
      <c r="AZ2801" s="5" t="s">
        <v>240</v>
      </c>
      <c r="BA2801" s="5" t="s">
        <v>255</v>
      </c>
      <c r="BB2801" s="5" t="s">
        <v>240</v>
      </c>
      <c r="BD2801" s="5" t="s">
        <v>240</v>
      </c>
      <c r="BF2801" s="5" t="s">
        <v>301</v>
      </c>
      <c r="BG2801" s="6" t="s">
        <v>299</v>
      </c>
      <c r="BH2801" s="5" t="s">
        <v>302</v>
      </c>
      <c r="BI2801" s="5" t="s">
        <v>303</v>
      </c>
      <c r="BJ2801" s="5" t="s">
        <v>240</v>
      </c>
      <c r="BK2801" s="8">
        <f>0</f>
        <v>0</v>
      </c>
      <c r="BL2801" s="7">
        <f>0</f>
        <v>0</v>
      </c>
      <c r="BM2801" s="5" t="s">
        <v>258</v>
      </c>
      <c r="BN2801" s="5" t="s">
        <v>259</v>
      </c>
      <c r="CB2801" s="5" t="s">
        <v>240</v>
      </c>
      <c r="CC2801" s="5" t="s">
        <v>240</v>
      </c>
      <c r="CG2801" s="5" t="s">
        <v>304</v>
      </c>
      <c r="CH2801" s="5" t="s">
        <v>305</v>
      </c>
      <c r="CI2801" s="5" t="s">
        <v>240</v>
      </c>
      <c r="CL2801" s="6" t="s">
        <v>261</v>
      </c>
      <c r="CM2801" s="5" t="s">
        <v>240</v>
      </c>
      <c r="CN2801" s="5" t="s">
        <v>263</v>
      </c>
      <c r="CO2801" s="5" t="s">
        <v>240</v>
      </c>
      <c r="CP2801" s="5" t="s">
        <v>240</v>
      </c>
      <c r="CQ2801" s="5">
        <v>0</v>
      </c>
      <c r="CR2801" s="5" t="s">
        <v>306</v>
      </c>
      <c r="CS2801" s="5" t="s">
        <v>307</v>
      </c>
      <c r="CT2801" s="5" t="s">
        <v>307</v>
      </c>
      <c r="CU2801" s="5" t="s">
        <v>260</v>
      </c>
      <c r="CX2801" s="7">
        <f>1</f>
        <v>1</v>
      </c>
      <c r="CY2801" s="7">
        <f>0</f>
        <v>0</v>
      </c>
      <c r="DA2801" s="7">
        <f>0</f>
        <v>0</v>
      </c>
      <c r="DC2801" s="5" t="s">
        <v>309</v>
      </c>
      <c r="DD2801" s="5" t="s">
        <v>240</v>
      </c>
      <c r="DF2801" s="5" t="s">
        <v>309</v>
      </c>
      <c r="DG2801" s="7">
        <f>911</f>
        <v>911</v>
      </c>
      <c r="DI2801" s="5" t="s">
        <v>240</v>
      </c>
      <c r="DJ2801" s="5" t="s">
        <v>240</v>
      </c>
      <c r="DK2801" s="5" t="s">
        <v>240</v>
      </c>
      <c r="DL2801" s="5" t="s">
        <v>240</v>
      </c>
      <c r="DP2801" s="5" t="s">
        <v>240</v>
      </c>
      <c r="DQ2801" s="5" t="s">
        <v>240</v>
      </c>
      <c r="DR2801" s="5" t="s">
        <v>240</v>
      </c>
      <c r="DS2801" s="5" t="s">
        <v>240</v>
      </c>
      <c r="DV2801" s="5" t="s">
        <v>310</v>
      </c>
      <c r="DW2801" s="5" t="s">
        <v>3653</v>
      </c>
      <c r="HO2801" s="5" t="s">
        <v>312</v>
      </c>
    </row>
    <row r="2802" spans="1:223" x14ac:dyDescent="0.4">
      <c r="A2802" s="5">
        <v>4506</v>
      </c>
      <c r="B2802" s="5">
        <v>1</v>
      </c>
      <c r="C2802" s="5">
        <v>1</v>
      </c>
      <c r="D2802" s="5" t="s">
        <v>810</v>
      </c>
      <c r="E2802" s="5" t="s">
        <v>245</v>
      </c>
      <c r="F2802" s="5" t="s">
        <v>254</v>
      </c>
      <c r="G2802" s="5" t="s">
        <v>240</v>
      </c>
      <c r="H2802" s="6" t="s">
        <v>2940</v>
      </c>
      <c r="I2802" s="5" t="s">
        <v>809</v>
      </c>
      <c r="J2802" s="8">
        <f>296</f>
        <v>296</v>
      </c>
      <c r="K2802" s="5" t="s">
        <v>308</v>
      </c>
      <c r="L2802" s="7">
        <f>1</f>
        <v>1</v>
      </c>
      <c r="M2802" s="7">
        <f>1</f>
        <v>1</v>
      </c>
      <c r="N2802" s="5" t="s">
        <v>242</v>
      </c>
      <c r="O2802" s="5">
        <v>1</v>
      </c>
      <c r="P2802" s="5" t="s">
        <v>294</v>
      </c>
      <c r="Q2802" s="5" t="s">
        <v>266</v>
      </c>
      <c r="R2802" s="5" t="s">
        <v>240</v>
      </c>
      <c r="S2802" s="5" t="s">
        <v>240</v>
      </c>
      <c r="T2802" s="5" t="s">
        <v>296</v>
      </c>
      <c r="U2802" s="5" t="s">
        <v>244</v>
      </c>
      <c r="V2802" s="5" t="s">
        <v>240</v>
      </c>
      <c r="Y2802" s="5" t="s">
        <v>240</v>
      </c>
      <c r="Z2802" s="6" t="s">
        <v>298</v>
      </c>
      <c r="AB2802" s="6" t="s">
        <v>240</v>
      </c>
      <c r="AE2802" s="6" t="s">
        <v>299</v>
      </c>
      <c r="AF2802" s="5" t="s">
        <v>248</v>
      </c>
      <c r="AG2802" s="5" t="s">
        <v>249</v>
      </c>
      <c r="AW2802" s="5" t="s">
        <v>251</v>
      </c>
      <c r="AX2802" s="5" t="s">
        <v>240</v>
      </c>
      <c r="AY2802" s="5" t="s">
        <v>253</v>
      </c>
      <c r="AZ2802" s="5" t="s">
        <v>240</v>
      </c>
      <c r="BA2802" s="5" t="s">
        <v>255</v>
      </c>
      <c r="BB2802" s="5" t="s">
        <v>240</v>
      </c>
      <c r="BD2802" s="5" t="s">
        <v>240</v>
      </c>
      <c r="BF2802" s="5" t="s">
        <v>301</v>
      </c>
      <c r="BG2802" s="6" t="s">
        <v>299</v>
      </c>
      <c r="BH2802" s="5" t="s">
        <v>302</v>
      </c>
      <c r="BI2802" s="5" t="s">
        <v>303</v>
      </c>
      <c r="BJ2802" s="5" t="s">
        <v>240</v>
      </c>
      <c r="BK2802" s="8">
        <f>0</f>
        <v>0</v>
      </c>
      <c r="BL2802" s="7">
        <f>0</f>
        <v>0</v>
      </c>
      <c r="BM2802" s="5" t="s">
        <v>258</v>
      </c>
      <c r="BN2802" s="5" t="s">
        <v>259</v>
      </c>
      <c r="CB2802" s="5" t="s">
        <v>240</v>
      </c>
      <c r="CC2802" s="5" t="s">
        <v>240</v>
      </c>
      <c r="CG2802" s="5" t="s">
        <v>304</v>
      </c>
      <c r="CH2802" s="5" t="s">
        <v>305</v>
      </c>
      <c r="CI2802" s="5" t="s">
        <v>240</v>
      </c>
      <c r="CL2802" s="6" t="s">
        <v>261</v>
      </c>
      <c r="CM2802" s="5" t="s">
        <v>240</v>
      </c>
      <c r="CN2802" s="5" t="s">
        <v>263</v>
      </c>
      <c r="CO2802" s="5" t="s">
        <v>240</v>
      </c>
      <c r="CP2802" s="5" t="s">
        <v>240</v>
      </c>
      <c r="CQ2802" s="5">
        <v>0</v>
      </c>
      <c r="CR2802" s="5" t="s">
        <v>306</v>
      </c>
      <c r="CS2802" s="5" t="s">
        <v>307</v>
      </c>
      <c r="CT2802" s="5" t="s">
        <v>307</v>
      </c>
      <c r="CU2802" s="5" t="s">
        <v>260</v>
      </c>
      <c r="CX2802" s="7">
        <f>1</f>
        <v>1</v>
      </c>
      <c r="CY2802" s="7">
        <f>0</f>
        <v>0</v>
      </c>
      <c r="DA2802" s="7">
        <f>0</f>
        <v>0</v>
      </c>
      <c r="DC2802" s="5" t="s">
        <v>309</v>
      </c>
      <c r="DD2802" s="5" t="s">
        <v>240</v>
      </c>
      <c r="DF2802" s="5" t="s">
        <v>309</v>
      </c>
      <c r="DG2802" s="7">
        <f>19</f>
        <v>19</v>
      </c>
      <c r="DI2802" s="5" t="s">
        <v>240</v>
      </c>
      <c r="DJ2802" s="5" t="s">
        <v>240</v>
      </c>
      <c r="DK2802" s="5" t="s">
        <v>240</v>
      </c>
      <c r="DL2802" s="5" t="s">
        <v>240</v>
      </c>
      <c r="DP2802" s="5" t="s">
        <v>240</v>
      </c>
      <c r="DQ2802" s="5" t="s">
        <v>240</v>
      </c>
      <c r="DR2802" s="5" t="s">
        <v>240</v>
      </c>
      <c r="DS2802" s="5" t="s">
        <v>240</v>
      </c>
      <c r="DV2802" s="5" t="s">
        <v>310</v>
      </c>
      <c r="DW2802" s="5" t="s">
        <v>3655</v>
      </c>
      <c r="HO2802" s="5" t="s">
        <v>312</v>
      </c>
    </row>
    <row r="2803" spans="1:223" x14ac:dyDescent="0.4">
      <c r="A2803" s="5">
        <v>4507</v>
      </c>
      <c r="B2803" s="5">
        <v>1</v>
      </c>
      <c r="C2803" s="5">
        <v>1</v>
      </c>
      <c r="D2803" s="5" t="s">
        <v>810</v>
      </c>
      <c r="E2803" s="5" t="s">
        <v>245</v>
      </c>
      <c r="F2803" s="5" t="s">
        <v>254</v>
      </c>
      <c r="G2803" s="5" t="s">
        <v>240</v>
      </c>
      <c r="H2803" s="6" t="s">
        <v>2938</v>
      </c>
      <c r="I2803" s="5" t="s">
        <v>809</v>
      </c>
      <c r="J2803" s="8">
        <f>105</f>
        <v>105</v>
      </c>
      <c r="K2803" s="5" t="s">
        <v>308</v>
      </c>
      <c r="L2803" s="7">
        <f>1</f>
        <v>1</v>
      </c>
      <c r="M2803" s="7">
        <f>1</f>
        <v>1</v>
      </c>
      <c r="N2803" s="5" t="s">
        <v>242</v>
      </c>
      <c r="O2803" s="5">
        <v>1</v>
      </c>
      <c r="P2803" s="5" t="s">
        <v>294</v>
      </c>
      <c r="Q2803" s="5" t="s">
        <v>266</v>
      </c>
      <c r="R2803" s="5" t="s">
        <v>240</v>
      </c>
      <c r="S2803" s="5" t="s">
        <v>240</v>
      </c>
      <c r="T2803" s="5" t="s">
        <v>296</v>
      </c>
      <c r="U2803" s="5" t="s">
        <v>244</v>
      </c>
      <c r="V2803" s="5" t="s">
        <v>240</v>
      </c>
      <c r="Y2803" s="5" t="s">
        <v>240</v>
      </c>
      <c r="Z2803" s="6" t="s">
        <v>298</v>
      </c>
      <c r="AB2803" s="6" t="s">
        <v>240</v>
      </c>
      <c r="AE2803" s="6" t="s">
        <v>299</v>
      </c>
      <c r="AF2803" s="5" t="s">
        <v>248</v>
      </c>
      <c r="AG2803" s="5" t="s">
        <v>249</v>
      </c>
      <c r="AW2803" s="5" t="s">
        <v>251</v>
      </c>
      <c r="AX2803" s="5" t="s">
        <v>240</v>
      </c>
      <c r="AY2803" s="5" t="s">
        <v>253</v>
      </c>
      <c r="AZ2803" s="5" t="s">
        <v>240</v>
      </c>
      <c r="BA2803" s="5" t="s">
        <v>255</v>
      </c>
      <c r="BB2803" s="5" t="s">
        <v>240</v>
      </c>
      <c r="BD2803" s="5" t="s">
        <v>240</v>
      </c>
      <c r="BF2803" s="5" t="s">
        <v>301</v>
      </c>
      <c r="BG2803" s="6" t="s">
        <v>299</v>
      </c>
      <c r="BH2803" s="5" t="s">
        <v>302</v>
      </c>
      <c r="BI2803" s="5" t="s">
        <v>303</v>
      </c>
      <c r="BJ2803" s="5" t="s">
        <v>240</v>
      </c>
      <c r="BK2803" s="8">
        <f>0</f>
        <v>0</v>
      </c>
      <c r="BL2803" s="7">
        <f>0</f>
        <v>0</v>
      </c>
      <c r="BM2803" s="5" t="s">
        <v>258</v>
      </c>
      <c r="BN2803" s="5" t="s">
        <v>259</v>
      </c>
      <c r="CB2803" s="5" t="s">
        <v>240</v>
      </c>
      <c r="CC2803" s="5" t="s">
        <v>240</v>
      </c>
      <c r="CG2803" s="5" t="s">
        <v>304</v>
      </c>
      <c r="CH2803" s="5" t="s">
        <v>305</v>
      </c>
      <c r="CI2803" s="5" t="s">
        <v>240</v>
      </c>
      <c r="CL2803" s="6" t="s">
        <v>261</v>
      </c>
      <c r="CM2803" s="5" t="s">
        <v>240</v>
      </c>
      <c r="CN2803" s="5" t="s">
        <v>263</v>
      </c>
      <c r="CO2803" s="5" t="s">
        <v>240</v>
      </c>
      <c r="CP2803" s="5" t="s">
        <v>240</v>
      </c>
      <c r="CQ2803" s="5">
        <v>0</v>
      </c>
      <c r="CR2803" s="5" t="s">
        <v>306</v>
      </c>
      <c r="CS2803" s="5" t="s">
        <v>307</v>
      </c>
      <c r="CT2803" s="5" t="s">
        <v>307</v>
      </c>
      <c r="CU2803" s="5" t="s">
        <v>260</v>
      </c>
      <c r="CX2803" s="7">
        <f>1</f>
        <v>1</v>
      </c>
      <c r="CY2803" s="7">
        <f>0</f>
        <v>0</v>
      </c>
      <c r="DA2803" s="7">
        <f>0</f>
        <v>0</v>
      </c>
      <c r="DC2803" s="5" t="s">
        <v>309</v>
      </c>
      <c r="DD2803" s="5" t="s">
        <v>240</v>
      </c>
      <c r="DF2803" s="5" t="s">
        <v>309</v>
      </c>
      <c r="DG2803" s="7">
        <f>214</f>
        <v>214</v>
      </c>
      <c r="DI2803" s="5" t="s">
        <v>240</v>
      </c>
      <c r="DJ2803" s="5" t="s">
        <v>240</v>
      </c>
      <c r="DK2803" s="5" t="s">
        <v>240</v>
      </c>
      <c r="DL2803" s="5" t="s">
        <v>240</v>
      </c>
      <c r="DP2803" s="5" t="s">
        <v>240</v>
      </c>
      <c r="DQ2803" s="5" t="s">
        <v>240</v>
      </c>
      <c r="DR2803" s="5" t="s">
        <v>240</v>
      </c>
      <c r="DS2803" s="5" t="s">
        <v>240</v>
      </c>
      <c r="DV2803" s="5" t="s">
        <v>310</v>
      </c>
      <c r="DW2803" s="5" t="s">
        <v>3657</v>
      </c>
      <c r="HO2803" s="5" t="s">
        <v>312</v>
      </c>
    </row>
    <row r="2804" spans="1:223" x14ac:dyDescent="0.4">
      <c r="A2804" s="5">
        <v>4508</v>
      </c>
      <c r="B2804" s="5">
        <v>1</v>
      </c>
      <c r="C2804" s="5">
        <v>1</v>
      </c>
      <c r="D2804" s="5" t="s">
        <v>810</v>
      </c>
      <c r="E2804" s="5" t="s">
        <v>245</v>
      </c>
      <c r="F2804" s="5" t="s">
        <v>254</v>
      </c>
      <c r="G2804" s="5" t="s">
        <v>240</v>
      </c>
      <c r="H2804" s="6" t="s">
        <v>2936</v>
      </c>
      <c r="I2804" s="5" t="s">
        <v>809</v>
      </c>
      <c r="J2804" s="8">
        <f>3728</f>
        <v>3728</v>
      </c>
      <c r="K2804" s="5" t="s">
        <v>308</v>
      </c>
      <c r="L2804" s="7">
        <f>1</f>
        <v>1</v>
      </c>
      <c r="M2804" s="7">
        <f>1</f>
        <v>1</v>
      </c>
      <c r="N2804" s="5" t="s">
        <v>242</v>
      </c>
      <c r="O2804" s="5">
        <v>1</v>
      </c>
      <c r="P2804" s="5" t="s">
        <v>294</v>
      </c>
      <c r="Q2804" s="5" t="s">
        <v>266</v>
      </c>
      <c r="R2804" s="5" t="s">
        <v>240</v>
      </c>
      <c r="S2804" s="5" t="s">
        <v>240</v>
      </c>
      <c r="T2804" s="5" t="s">
        <v>296</v>
      </c>
      <c r="U2804" s="5" t="s">
        <v>244</v>
      </c>
      <c r="V2804" s="5" t="s">
        <v>240</v>
      </c>
      <c r="Y2804" s="5" t="s">
        <v>240</v>
      </c>
      <c r="Z2804" s="6" t="s">
        <v>298</v>
      </c>
      <c r="AB2804" s="6" t="s">
        <v>240</v>
      </c>
      <c r="AE2804" s="6" t="s">
        <v>299</v>
      </c>
      <c r="AF2804" s="5" t="s">
        <v>248</v>
      </c>
      <c r="AG2804" s="5" t="s">
        <v>249</v>
      </c>
      <c r="AW2804" s="5" t="s">
        <v>251</v>
      </c>
      <c r="AX2804" s="5" t="s">
        <v>240</v>
      </c>
      <c r="AY2804" s="5" t="s">
        <v>253</v>
      </c>
      <c r="AZ2804" s="5" t="s">
        <v>240</v>
      </c>
      <c r="BA2804" s="5" t="s">
        <v>255</v>
      </c>
      <c r="BB2804" s="5" t="s">
        <v>240</v>
      </c>
      <c r="BD2804" s="5" t="s">
        <v>240</v>
      </c>
      <c r="BF2804" s="5" t="s">
        <v>301</v>
      </c>
      <c r="BG2804" s="6" t="s">
        <v>299</v>
      </c>
      <c r="BH2804" s="5" t="s">
        <v>302</v>
      </c>
      <c r="BI2804" s="5" t="s">
        <v>303</v>
      </c>
      <c r="BJ2804" s="5" t="s">
        <v>240</v>
      </c>
      <c r="BK2804" s="8">
        <f>0</f>
        <v>0</v>
      </c>
      <c r="BL2804" s="7">
        <f>0</f>
        <v>0</v>
      </c>
      <c r="BM2804" s="5" t="s">
        <v>258</v>
      </c>
      <c r="BN2804" s="5" t="s">
        <v>259</v>
      </c>
      <c r="CB2804" s="5" t="s">
        <v>240</v>
      </c>
      <c r="CC2804" s="5" t="s">
        <v>240</v>
      </c>
      <c r="CG2804" s="5" t="s">
        <v>304</v>
      </c>
      <c r="CH2804" s="5" t="s">
        <v>305</v>
      </c>
      <c r="CI2804" s="5" t="s">
        <v>240</v>
      </c>
      <c r="CL2804" s="6" t="s">
        <v>261</v>
      </c>
      <c r="CM2804" s="5" t="s">
        <v>240</v>
      </c>
      <c r="CN2804" s="5" t="s">
        <v>263</v>
      </c>
      <c r="CO2804" s="5" t="s">
        <v>240</v>
      </c>
      <c r="CP2804" s="5" t="s">
        <v>240</v>
      </c>
      <c r="CQ2804" s="5">
        <v>0</v>
      </c>
      <c r="CR2804" s="5" t="s">
        <v>306</v>
      </c>
      <c r="CS2804" s="5" t="s">
        <v>307</v>
      </c>
      <c r="CT2804" s="5" t="s">
        <v>307</v>
      </c>
      <c r="CU2804" s="5" t="s">
        <v>260</v>
      </c>
      <c r="CX2804" s="7">
        <f>1</f>
        <v>1</v>
      </c>
      <c r="CY2804" s="7">
        <f>0</f>
        <v>0</v>
      </c>
      <c r="DA2804" s="7">
        <f>0</f>
        <v>0</v>
      </c>
      <c r="DC2804" s="5" t="s">
        <v>309</v>
      </c>
      <c r="DD2804" s="5" t="s">
        <v>240</v>
      </c>
      <c r="DF2804" s="5" t="s">
        <v>309</v>
      </c>
      <c r="DG2804" s="7">
        <f>1328</f>
        <v>1328</v>
      </c>
      <c r="DI2804" s="5" t="s">
        <v>240</v>
      </c>
      <c r="DJ2804" s="5" t="s">
        <v>240</v>
      </c>
      <c r="DK2804" s="5" t="s">
        <v>240</v>
      </c>
      <c r="DL2804" s="5" t="s">
        <v>240</v>
      </c>
      <c r="DP2804" s="5" t="s">
        <v>240</v>
      </c>
      <c r="DQ2804" s="5" t="s">
        <v>240</v>
      </c>
      <c r="DR2804" s="5" t="s">
        <v>240</v>
      </c>
      <c r="DS2804" s="5" t="s">
        <v>240</v>
      </c>
      <c r="DV2804" s="5" t="s">
        <v>310</v>
      </c>
      <c r="DW2804" s="5" t="s">
        <v>3659</v>
      </c>
      <c r="HO2804" s="5" t="s">
        <v>312</v>
      </c>
    </row>
    <row r="2805" spans="1:223" x14ac:dyDescent="0.4">
      <c r="A2805" s="5">
        <v>4509</v>
      </c>
      <c r="B2805" s="5">
        <v>1</v>
      </c>
      <c r="C2805" s="5">
        <v>1</v>
      </c>
      <c r="D2805" s="5" t="s">
        <v>810</v>
      </c>
      <c r="E2805" s="5" t="s">
        <v>245</v>
      </c>
      <c r="F2805" s="5" t="s">
        <v>254</v>
      </c>
      <c r="G2805" s="5" t="s">
        <v>240</v>
      </c>
      <c r="H2805" s="6" t="s">
        <v>2934</v>
      </c>
      <c r="I2805" s="5" t="s">
        <v>809</v>
      </c>
      <c r="J2805" s="8">
        <f>1058</f>
        <v>1058</v>
      </c>
      <c r="K2805" s="5" t="s">
        <v>308</v>
      </c>
      <c r="L2805" s="7">
        <f>1</f>
        <v>1</v>
      </c>
      <c r="M2805" s="7">
        <f>1</f>
        <v>1</v>
      </c>
      <c r="N2805" s="5" t="s">
        <v>242</v>
      </c>
      <c r="O2805" s="5">
        <v>1</v>
      </c>
      <c r="P2805" s="5" t="s">
        <v>294</v>
      </c>
      <c r="Q2805" s="5" t="s">
        <v>266</v>
      </c>
      <c r="R2805" s="5" t="s">
        <v>240</v>
      </c>
      <c r="S2805" s="5" t="s">
        <v>240</v>
      </c>
      <c r="T2805" s="5" t="s">
        <v>296</v>
      </c>
      <c r="U2805" s="5" t="s">
        <v>244</v>
      </c>
      <c r="V2805" s="5" t="s">
        <v>240</v>
      </c>
      <c r="Y2805" s="5" t="s">
        <v>240</v>
      </c>
      <c r="Z2805" s="6" t="s">
        <v>298</v>
      </c>
      <c r="AB2805" s="6" t="s">
        <v>240</v>
      </c>
      <c r="AE2805" s="6" t="s">
        <v>299</v>
      </c>
      <c r="AF2805" s="5" t="s">
        <v>248</v>
      </c>
      <c r="AG2805" s="5" t="s">
        <v>249</v>
      </c>
      <c r="AW2805" s="5" t="s">
        <v>251</v>
      </c>
      <c r="AX2805" s="5" t="s">
        <v>240</v>
      </c>
      <c r="AY2805" s="5" t="s">
        <v>253</v>
      </c>
      <c r="AZ2805" s="5" t="s">
        <v>240</v>
      </c>
      <c r="BA2805" s="5" t="s">
        <v>255</v>
      </c>
      <c r="BB2805" s="5" t="s">
        <v>240</v>
      </c>
      <c r="BD2805" s="5" t="s">
        <v>240</v>
      </c>
      <c r="BF2805" s="5" t="s">
        <v>301</v>
      </c>
      <c r="BG2805" s="6" t="s">
        <v>299</v>
      </c>
      <c r="BH2805" s="5" t="s">
        <v>302</v>
      </c>
      <c r="BI2805" s="5" t="s">
        <v>303</v>
      </c>
      <c r="BJ2805" s="5" t="s">
        <v>240</v>
      </c>
      <c r="BK2805" s="8">
        <f>0</f>
        <v>0</v>
      </c>
      <c r="BL2805" s="7">
        <f>0</f>
        <v>0</v>
      </c>
      <c r="BM2805" s="5" t="s">
        <v>258</v>
      </c>
      <c r="BN2805" s="5" t="s">
        <v>259</v>
      </c>
      <c r="CB2805" s="5" t="s">
        <v>240</v>
      </c>
      <c r="CC2805" s="5" t="s">
        <v>240</v>
      </c>
      <c r="CG2805" s="5" t="s">
        <v>304</v>
      </c>
      <c r="CH2805" s="5" t="s">
        <v>305</v>
      </c>
      <c r="CI2805" s="5" t="s">
        <v>240</v>
      </c>
      <c r="CL2805" s="6" t="s">
        <v>261</v>
      </c>
      <c r="CM2805" s="5" t="s">
        <v>240</v>
      </c>
      <c r="CN2805" s="5" t="s">
        <v>263</v>
      </c>
      <c r="CO2805" s="5" t="s">
        <v>240</v>
      </c>
      <c r="CP2805" s="5" t="s">
        <v>240</v>
      </c>
      <c r="CQ2805" s="5">
        <v>0</v>
      </c>
      <c r="CR2805" s="5" t="s">
        <v>306</v>
      </c>
      <c r="CS2805" s="5" t="s">
        <v>307</v>
      </c>
      <c r="CT2805" s="5" t="s">
        <v>307</v>
      </c>
      <c r="CU2805" s="5" t="s">
        <v>260</v>
      </c>
      <c r="CX2805" s="7">
        <f>1</f>
        <v>1</v>
      </c>
      <c r="CY2805" s="7">
        <f>0</f>
        <v>0</v>
      </c>
      <c r="DA2805" s="7">
        <f>0</f>
        <v>0</v>
      </c>
      <c r="DC2805" s="5" t="s">
        <v>309</v>
      </c>
      <c r="DD2805" s="5" t="s">
        <v>240</v>
      </c>
      <c r="DF2805" s="5" t="s">
        <v>309</v>
      </c>
      <c r="DG2805" s="7">
        <f>514</f>
        <v>514</v>
      </c>
      <c r="DI2805" s="5" t="s">
        <v>240</v>
      </c>
      <c r="DJ2805" s="5" t="s">
        <v>240</v>
      </c>
      <c r="DK2805" s="5" t="s">
        <v>240</v>
      </c>
      <c r="DL2805" s="5" t="s">
        <v>240</v>
      </c>
      <c r="DP2805" s="5" t="s">
        <v>240</v>
      </c>
      <c r="DQ2805" s="5" t="s">
        <v>240</v>
      </c>
      <c r="DR2805" s="5" t="s">
        <v>240</v>
      </c>
      <c r="DS2805" s="5" t="s">
        <v>240</v>
      </c>
      <c r="DV2805" s="5" t="s">
        <v>310</v>
      </c>
      <c r="DW2805" s="5" t="s">
        <v>3661</v>
      </c>
      <c r="HO2805" s="5" t="s">
        <v>312</v>
      </c>
    </row>
    <row r="2806" spans="1:223" x14ac:dyDescent="0.4">
      <c r="A2806" s="5">
        <v>4510</v>
      </c>
      <c r="B2806" s="5">
        <v>1</v>
      </c>
      <c r="C2806" s="5">
        <v>1</v>
      </c>
      <c r="D2806" s="5" t="s">
        <v>810</v>
      </c>
      <c r="E2806" s="5" t="s">
        <v>245</v>
      </c>
      <c r="F2806" s="5" t="s">
        <v>254</v>
      </c>
      <c r="G2806" s="5" t="s">
        <v>240</v>
      </c>
      <c r="H2806" s="6" t="s">
        <v>2932</v>
      </c>
      <c r="I2806" s="5" t="s">
        <v>809</v>
      </c>
      <c r="J2806" s="8">
        <f>75</f>
        <v>75</v>
      </c>
      <c r="K2806" s="5" t="s">
        <v>308</v>
      </c>
      <c r="L2806" s="7">
        <f>1</f>
        <v>1</v>
      </c>
      <c r="M2806" s="7">
        <f>1</f>
        <v>1</v>
      </c>
      <c r="N2806" s="5" t="s">
        <v>242</v>
      </c>
      <c r="O2806" s="5">
        <v>1</v>
      </c>
      <c r="P2806" s="5" t="s">
        <v>294</v>
      </c>
      <c r="Q2806" s="5" t="s">
        <v>266</v>
      </c>
      <c r="R2806" s="5" t="s">
        <v>240</v>
      </c>
      <c r="S2806" s="5" t="s">
        <v>240</v>
      </c>
      <c r="T2806" s="5" t="s">
        <v>296</v>
      </c>
      <c r="U2806" s="5" t="s">
        <v>244</v>
      </c>
      <c r="V2806" s="5" t="s">
        <v>240</v>
      </c>
      <c r="Y2806" s="5" t="s">
        <v>240</v>
      </c>
      <c r="Z2806" s="6" t="s">
        <v>298</v>
      </c>
      <c r="AB2806" s="6" t="s">
        <v>240</v>
      </c>
      <c r="AE2806" s="6" t="s">
        <v>299</v>
      </c>
      <c r="AF2806" s="5" t="s">
        <v>248</v>
      </c>
      <c r="AG2806" s="5" t="s">
        <v>249</v>
      </c>
      <c r="AW2806" s="5" t="s">
        <v>251</v>
      </c>
      <c r="AX2806" s="5" t="s">
        <v>240</v>
      </c>
      <c r="AY2806" s="5" t="s">
        <v>253</v>
      </c>
      <c r="AZ2806" s="5" t="s">
        <v>240</v>
      </c>
      <c r="BA2806" s="5" t="s">
        <v>255</v>
      </c>
      <c r="BB2806" s="5" t="s">
        <v>240</v>
      </c>
      <c r="BD2806" s="5" t="s">
        <v>240</v>
      </c>
      <c r="BF2806" s="5" t="s">
        <v>301</v>
      </c>
      <c r="BG2806" s="6" t="s">
        <v>299</v>
      </c>
      <c r="BH2806" s="5" t="s">
        <v>302</v>
      </c>
      <c r="BI2806" s="5" t="s">
        <v>303</v>
      </c>
      <c r="BJ2806" s="5" t="s">
        <v>240</v>
      </c>
      <c r="BK2806" s="8">
        <f>0</f>
        <v>0</v>
      </c>
      <c r="BL2806" s="7">
        <f>0</f>
        <v>0</v>
      </c>
      <c r="BM2806" s="5" t="s">
        <v>258</v>
      </c>
      <c r="BN2806" s="5" t="s">
        <v>259</v>
      </c>
      <c r="CB2806" s="5" t="s">
        <v>240</v>
      </c>
      <c r="CC2806" s="5" t="s">
        <v>240</v>
      </c>
      <c r="CG2806" s="5" t="s">
        <v>304</v>
      </c>
      <c r="CH2806" s="5" t="s">
        <v>305</v>
      </c>
      <c r="CI2806" s="5" t="s">
        <v>240</v>
      </c>
      <c r="CL2806" s="6" t="s">
        <v>261</v>
      </c>
      <c r="CM2806" s="5" t="s">
        <v>240</v>
      </c>
      <c r="CN2806" s="5" t="s">
        <v>263</v>
      </c>
      <c r="CO2806" s="5" t="s">
        <v>240</v>
      </c>
      <c r="CP2806" s="5" t="s">
        <v>240</v>
      </c>
      <c r="CQ2806" s="5">
        <v>0</v>
      </c>
      <c r="CR2806" s="5" t="s">
        <v>306</v>
      </c>
      <c r="CS2806" s="5" t="s">
        <v>307</v>
      </c>
      <c r="CT2806" s="5" t="s">
        <v>307</v>
      </c>
      <c r="CU2806" s="5" t="s">
        <v>260</v>
      </c>
      <c r="CX2806" s="7">
        <f>1</f>
        <v>1</v>
      </c>
      <c r="CY2806" s="7">
        <f>0</f>
        <v>0</v>
      </c>
      <c r="DA2806" s="7">
        <f>0</f>
        <v>0</v>
      </c>
      <c r="DC2806" s="5" t="s">
        <v>812</v>
      </c>
      <c r="DD2806" s="5" t="s">
        <v>240</v>
      </c>
      <c r="DF2806" s="5" t="s">
        <v>812</v>
      </c>
      <c r="DG2806" s="7">
        <f>241</f>
        <v>241</v>
      </c>
      <c r="DI2806" s="5" t="s">
        <v>240</v>
      </c>
      <c r="DJ2806" s="5" t="s">
        <v>240</v>
      </c>
      <c r="DK2806" s="5" t="s">
        <v>240</v>
      </c>
      <c r="DL2806" s="5" t="s">
        <v>240</v>
      </c>
      <c r="DP2806" s="5" t="s">
        <v>240</v>
      </c>
      <c r="DQ2806" s="5" t="s">
        <v>240</v>
      </c>
      <c r="DR2806" s="5" t="s">
        <v>240</v>
      </c>
      <c r="DS2806" s="5" t="s">
        <v>240</v>
      </c>
      <c r="DV2806" s="5" t="s">
        <v>813</v>
      </c>
      <c r="DW2806" s="5" t="s">
        <v>4788</v>
      </c>
      <c r="HO2806" s="5" t="s">
        <v>312</v>
      </c>
    </row>
    <row r="2807" spans="1:223" x14ac:dyDescent="0.4">
      <c r="A2807" s="5">
        <v>4511</v>
      </c>
      <c r="B2807" s="5">
        <v>1</v>
      </c>
      <c r="C2807" s="5">
        <v>1</v>
      </c>
      <c r="D2807" s="5" t="s">
        <v>810</v>
      </c>
      <c r="E2807" s="5" t="s">
        <v>245</v>
      </c>
      <c r="F2807" s="5" t="s">
        <v>254</v>
      </c>
      <c r="G2807" s="5" t="s">
        <v>240</v>
      </c>
      <c r="H2807" s="6" t="s">
        <v>2930</v>
      </c>
      <c r="I2807" s="5" t="s">
        <v>809</v>
      </c>
      <c r="J2807" s="8">
        <f>126</f>
        <v>126</v>
      </c>
      <c r="K2807" s="5" t="s">
        <v>308</v>
      </c>
      <c r="L2807" s="7">
        <f>1</f>
        <v>1</v>
      </c>
      <c r="M2807" s="7">
        <f>1</f>
        <v>1</v>
      </c>
      <c r="N2807" s="5" t="s">
        <v>242</v>
      </c>
      <c r="O2807" s="5">
        <v>1</v>
      </c>
      <c r="P2807" s="5" t="s">
        <v>294</v>
      </c>
      <c r="Q2807" s="5" t="s">
        <v>266</v>
      </c>
      <c r="R2807" s="5" t="s">
        <v>240</v>
      </c>
      <c r="S2807" s="5" t="s">
        <v>240</v>
      </c>
      <c r="T2807" s="5" t="s">
        <v>296</v>
      </c>
      <c r="U2807" s="5" t="s">
        <v>244</v>
      </c>
      <c r="V2807" s="5" t="s">
        <v>240</v>
      </c>
      <c r="Y2807" s="5" t="s">
        <v>240</v>
      </c>
      <c r="Z2807" s="6" t="s">
        <v>298</v>
      </c>
      <c r="AB2807" s="6" t="s">
        <v>240</v>
      </c>
      <c r="AE2807" s="6" t="s">
        <v>299</v>
      </c>
      <c r="AF2807" s="5" t="s">
        <v>248</v>
      </c>
      <c r="AG2807" s="5" t="s">
        <v>249</v>
      </c>
      <c r="AW2807" s="5" t="s">
        <v>251</v>
      </c>
      <c r="AX2807" s="5" t="s">
        <v>240</v>
      </c>
      <c r="AY2807" s="5" t="s">
        <v>253</v>
      </c>
      <c r="AZ2807" s="5" t="s">
        <v>240</v>
      </c>
      <c r="BA2807" s="5" t="s">
        <v>255</v>
      </c>
      <c r="BB2807" s="5" t="s">
        <v>240</v>
      </c>
      <c r="BD2807" s="5" t="s">
        <v>240</v>
      </c>
      <c r="BF2807" s="5" t="s">
        <v>301</v>
      </c>
      <c r="BG2807" s="6" t="s">
        <v>299</v>
      </c>
      <c r="BH2807" s="5" t="s">
        <v>302</v>
      </c>
      <c r="BI2807" s="5" t="s">
        <v>303</v>
      </c>
      <c r="BJ2807" s="5" t="s">
        <v>240</v>
      </c>
      <c r="BK2807" s="8">
        <f>0</f>
        <v>0</v>
      </c>
      <c r="BL2807" s="7">
        <f>0</f>
        <v>0</v>
      </c>
      <c r="BM2807" s="5" t="s">
        <v>258</v>
      </c>
      <c r="BN2807" s="5" t="s">
        <v>259</v>
      </c>
      <c r="CB2807" s="5" t="s">
        <v>240</v>
      </c>
      <c r="CC2807" s="5" t="s">
        <v>240</v>
      </c>
      <c r="CG2807" s="5" t="s">
        <v>304</v>
      </c>
      <c r="CH2807" s="5" t="s">
        <v>305</v>
      </c>
      <c r="CI2807" s="5" t="s">
        <v>240</v>
      </c>
      <c r="CL2807" s="6" t="s">
        <v>261</v>
      </c>
      <c r="CM2807" s="5" t="s">
        <v>240</v>
      </c>
      <c r="CN2807" s="5" t="s">
        <v>263</v>
      </c>
      <c r="CO2807" s="5" t="s">
        <v>240</v>
      </c>
      <c r="CP2807" s="5" t="s">
        <v>240</v>
      </c>
      <c r="CQ2807" s="5">
        <v>0</v>
      </c>
      <c r="CR2807" s="5" t="s">
        <v>306</v>
      </c>
      <c r="CS2807" s="5" t="s">
        <v>307</v>
      </c>
      <c r="CT2807" s="5" t="s">
        <v>307</v>
      </c>
      <c r="CU2807" s="5" t="s">
        <v>260</v>
      </c>
      <c r="CX2807" s="7">
        <f>1</f>
        <v>1</v>
      </c>
      <c r="CY2807" s="7">
        <f>0</f>
        <v>0</v>
      </c>
      <c r="DA2807" s="7">
        <f>0</f>
        <v>0</v>
      </c>
      <c r="DC2807" s="5" t="s">
        <v>309</v>
      </c>
      <c r="DD2807" s="5" t="s">
        <v>240</v>
      </c>
      <c r="DF2807" s="5" t="s">
        <v>309</v>
      </c>
      <c r="DG2807" s="7">
        <f>138</f>
        <v>138</v>
      </c>
      <c r="DI2807" s="5" t="s">
        <v>240</v>
      </c>
      <c r="DJ2807" s="5" t="s">
        <v>240</v>
      </c>
      <c r="DK2807" s="5" t="s">
        <v>240</v>
      </c>
      <c r="DL2807" s="5" t="s">
        <v>240</v>
      </c>
      <c r="DP2807" s="5" t="s">
        <v>240</v>
      </c>
      <c r="DQ2807" s="5" t="s">
        <v>240</v>
      </c>
      <c r="DR2807" s="5" t="s">
        <v>240</v>
      </c>
      <c r="DS2807" s="5" t="s">
        <v>240</v>
      </c>
      <c r="DV2807" s="5" t="s">
        <v>310</v>
      </c>
      <c r="DW2807" s="5" t="s">
        <v>3665</v>
      </c>
      <c r="HO2807" s="5" t="s">
        <v>312</v>
      </c>
    </row>
    <row r="2808" spans="1:223" x14ac:dyDescent="0.4">
      <c r="A2808" s="5">
        <v>4512</v>
      </c>
      <c r="B2808" s="5">
        <v>1</v>
      </c>
      <c r="C2808" s="5">
        <v>1</v>
      </c>
      <c r="D2808" s="5" t="s">
        <v>810</v>
      </c>
      <c r="E2808" s="5" t="s">
        <v>245</v>
      </c>
      <c r="F2808" s="5" t="s">
        <v>254</v>
      </c>
      <c r="G2808" s="5" t="s">
        <v>240</v>
      </c>
      <c r="H2808" s="6" t="s">
        <v>2928</v>
      </c>
      <c r="I2808" s="5" t="s">
        <v>809</v>
      </c>
      <c r="J2808" s="8">
        <f>2146</f>
        <v>2146</v>
      </c>
      <c r="K2808" s="5" t="s">
        <v>308</v>
      </c>
      <c r="L2808" s="7">
        <f>1</f>
        <v>1</v>
      </c>
      <c r="M2808" s="7">
        <f>1</f>
        <v>1</v>
      </c>
      <c r="N2808" s="5" t="s">
        <v>242</v>
      </c>
      <c r="O2808" s="5">
        <v>1</v>
      </c>
      <c r="P2808" s="5" t="s">
        <v>294</v>
      </c>
      <c r="Q2808" s="5" t="s">
        <v>266</v>
      </c>
      <c r="R2808" s="5" t="s">
        <v>240</v>
      </c>
      <c r="S2808" s="5" t="s">
        <v>240</v>
      </c>
      <c r="T2808" s="5" t="s">
        <v>296</v>
      </c>
      <c r="U2808" s="5" t="s">
        <v>244</v>
      </c>
      <c r="V2808" s="5" t="s">
        <v>240</v>
      </c>
      <c r="Y2808" s="5" t="s">
        <v>240</v>
      </c>
      <c r="Z2808" s="6" t="s">
        <v>298</v>
      </c>
      <c r="AB2808" s="6" t="s">
        <v>240</v>
      </c>
      <c r="AE2808" s="6" t="s">
        <v>299</v>
      </c>
      <c r="AF2808" s="5" t="s">
        <v>248</v>
      </c>
      <c r="AG2808" s="5" t="s">
        <v>249</v>
      </c>
      <c r="AW2808" s="5" t="s">
        <v>251</v>
      </c>
      <c r="AX2808" s="5" t="s">
        <v>240</v>
      </c>
      <c r="AY2808" s="5" t="s">
        <v>253</v>
      </c>
      <c r="AZ2808" s="5" t="s">
        <v>240</v>
      </c>
      <c r="BA2808" s="5" t="s">
        <v>255</v>
      </c>
      <c r="BB2808" s="5" t="s">
        <v>240</v>
      </c>
      <c r="BD2808" s="5" t="s">
        <v>240</v>
      </c>
      <c r="BF2808" s="5" t="s">
        <v>301</v>
      </c>
      <c r="BG2808" s="6" t="s">
        <v>299</v>
      </c>
      <c r="BH2808" s="5" t="s">
        <v>302</v>
      </c>
      <c r="BI2808" s="5" t="s">
        <v>303</v>
      </c>
      <c r="BJ2808" s="5" t="s">
        <v>240</v>
      </c>
      <c r="BK2808" s="8">
        <f>0</f>
        <v>0</v>
      </c>
      <c r="BL2808" s="7">
        <f>0</f>
        <v>0</v>
      </c>
      <c r="BM2808" s="5" t="s">
        <v>258</v>
      </c>
      <c r="BN2808" s="5" t="s">
        <v>259</v>
      </c>
      <c r="CB2808" s="5" t="s">
        <v>240</v>
      </c>
      <c r="CC2808" s="5" t="s">
        <v>240</v>
      </c>
      <c r="CG2808" s="5" t="s">
        <v>304</v>
      </c>
      <c r="CH2808" s="5" t="s">
        <v>305</v>
      </c>
      <c r="CI2808" s="5" t="s">
        <v>240</v>
      </c>
      <c r="CL2808" s="6" t="s">
        <v>261</v>
      </c>
      <c r="CM2808" s="5" t="s">
        <v>240</v>
      </c>
      <c r="CN2808" s="5" t="s">
        <v>263</v>
      </c>
      <c r="CO2808" s="5" t="s">
        <v>240</v>
      </c>
      <c r="CP2808" s="5" t="s">
        <v>240</v>
      </c>
      <c r="CQ2808" s="5">
        <v>0</v>
      </c>
      <c r="CR2808" s="5" t="s">
        <v>306</v>
      </c>
      <c r="CS2808" s="5" t="s">
        <v>307</v>
      </c>
      <c r="CT2808" s="5" t="s">
        <v>307</v>
      </c>
      <c r="CU2808" s="5" t="s">
        <v>260</v>
      </c>
      <c r="CX2808" s="7">
        <f>1</f>
        <v>1</v>
      </c>
      <c r="CY2808" s="7">
        <f>0</f>
        <v>0</v>
      </c>
      <c r="DA2808" s="7">
        <f>0</f>
        <v>0</v>
      </c>
      <c r="DC2808" s="5" t="s">
        <v>309</v>
      </c>
      <c r="DD2808" s="5" t="s">
        <v>240</v>
      </c>
      <c r="DF2808" s="5" t="s">
        <v>309</v>
      </c>
      <c r="DG2808" s="7">
        <f>1686</f>
        <v>1686</v>
      </c>
      <c r="DI2808" s="5" t="s">
        <v>240</v>
      </c>
      <c r="DJ2808" s="5" t="s">
        <v>240</v>
      </c>
      <c r="DK2808" s="5" t="s">
        <v>240</v>
      </c>
      <c r="DL2808" s="5" t="s">
        <v>240</v>
      </c>
      <c r="DP2808" s="5" t="s">
        <v>240</v>
      </c>
      <c r="DQ2808" s="5" t="s">
        <v>240</v>
      </c>
      <c r="DR2808" s="5" t="s">
        <v>240</v>
      </c>
      <c r="DS2808" s="5" t="s">
        <v>240</v>
      </c>
      <c r="DV2808" s="5" t="s">
        <v>310</v>
      </c>
      <c r="DW2808" s="5" t="s">
        <v>3667</v>
      </c>
      <c r="HO2808" s="5" t="s">
        <v>312</v>
      </c>
    </row>
    <row r="2809" spans="1:223" x14ac:dyDescent="0.4">
      <c r="A2809" s="5">
        <v>4513</v>
      </c>
      <c r="B2809" s="5">
        <v>1</v>
      </c>
      <c r="C2809" s="5">
        <v>1</v>
      </c>
      <c r="D2809" s="5" t="s">
        <v>810</v>
      </c>
      <c r="E2809" s="5" t="s">
        <v>245</v>
      </c>
      <c r="F2809" s="5" t="s">
        <v>254</v>
      </c>
      <c r="G2809" s="5" t="s">
        <v>240</v>
      </c>
      <c r="H2809" s="6" t="s">
        <v>4821</v>
      </c>
      <c r="I2809" s="5" t="s">
        <v>809</v>
      </c>
      <c r="J2809" s="8">
        <f>2084</f>
        <v>2084</v>
      </c>
      <c r="K2809" s="5" t="s">
        <v>308</v>
      </c>
      <c r="L2809" s="7">
        <f>1</f>
        <v>1</v>
      </c>
      <c r="M2809" s="7">
        <f>1</f>
        <v>1</v>
      </c>
      <c r="N2809" s="5" t="s">
        <v>242</v>
      </c>
      <c r="O2809" s="5">
        <v>1</v>
      </c>
      <c r="P2809" s="5" t="s">
        <v>294</v>
      </c>
      <c r="Q2809" s="5" t="s">
        <v>266</v>
      </c>
      <c r="R2809" s="5" t="s">
        <v>240</v>
      </c>
      <c r="S2809" s="5" t="s">
        <v>240</v>
      </c>
      <c r="T2809" s="5" t="s">
        <v>296</v>
      </c>
      <c r="U2809" s="5" t="s">
        <v>244</v>
      </c>
      <c r="V2809" s="5" t="s">
        <v>240</v>
      </c>
      <c r="Y2809" s="5" t="s">
        <v>240</v>
      </c>
      <c r="Z2809" s="6" t="s">
        <v>298</v>
      </c>
      <c r="AB2809" s="6" t="s">
        <v>240</v>
      </c>
      <c r="AE2809" s="6" t="s">
        <v>299</v>
      </c>
      <c r="AF2809" s="5" t="s">
        <v>248</v>
      </c>
      <c r="AG2809" s="5" t="s">
        <v>249</v>
      </c>
      <c r="AW2809" s="5" t="s">
        <v>251</v>
      </c>
      <c r="AX2809" s="5" t="s">
        <v>240</v>
      </c>
      <c r="AY2809" s="5" t="s">
        <v>253</v>
      </c>
      <c r="AZ2809" s="5" t="s">
        <v>240</v>
      </c>
      <c r="BA2809" s="5" t="s">
        <v>255</v>
      </c>
      <c r="BB2809" s="5" t="s">
        <v>240</v>
      </c>
      <c r="BD2809" s="5" t="s">
        <v>240</v>
      </c>
      <c r="BF2809" s="5" t="s">
        <v>301</v>
      </c>
      <c r="BG2809" s="6" t="s">
        <v>299</v>
      </c>
      <c r="BH2809" s="5" t="s">
        <v>302</v>
      </c>
      <c r="BI2809" s="5" t="s">
        <v>303</v>
      </c>
      <c r="BJ2809" s="5" t="s">
        <v>240</v>
      </c>
      <c r="BK2809" s="8">
        <f>0</f>
        <v>0</v>
      </c>
      <c r="BL2809" s="7">
        <f>0</f>
        <v>0</v>
      </c>
      <c r="BM2809" s="5" t="s">
        <v>258</v>
      </c>
      <c r="BN2809" s="5" t="s">
        <v>259</v>
      </c>
      <c r="CB2809" s="5" t="s">
        <v>240</v>
      </c>
      <c r="CC2809" s="5" t="s">
        <v>240</v>
      </c>
      <c r="CG2809" s="5" t="s">
        <v>304</v>
      </c>
      <c r="CH2809" s="5" t="s">
        <v>305</v>
      </c>
      <c r="CI2809" s="5" t="s">
        <v>240</v>
      </c>
      <c r="CL2809" s="6" t="s">
        <v>261</v>
      </c>
      <c r="CM2809" s="5" t="s">
        <v>240</v>
      </c>
      <c r="CN2809" s="5" t="s">
        <v>263</v>
      </c>
      <c r="CO2809" s="5" t="s">
        <v>240</v>
      </c>
      <c r="CP2809" s="5" t="s">
        <v>240</v>
      </c>
      <c r="CQ2809" s="5">
        <v>0</v>
      </c>
      <c r="CR2809" s="5" t="s">
        <v>306</v>
      </c>
      <c r="CS2809" s="5" t="s">
        <v>307</v>
      </c>
      <c r="CT2809" s="5" t="s">
        <v>307</v>
      </c>
      <c r="CU2809" s="5" t="s">
        <v>260</v>
      </c>
      <c r="CX2809" s="7">
        <f>1</f>
        <v>1</v>
      </c>
      <c r="CY2809" s="7">
        <f>0</f>
        <v>0</v>
      </c>
      <c r="DA2809" s="7">
        <f>0</f>
        <v>0</v>
      </c>
      <c r="DC2809" s="5" t="s">
        <v>309</v>
      </c>
      <c r="DD2809" s="5" t="s">
        <v>240</v>
      </c>
      <c r="DF2809" s="5" t="s">
        <v>309</v>
      </c>
      <c r="DG2809" s="7">
        <f>2417</f>
        <v>2417</v>
      </c>
      <c r="DI2809" s="5" t="s">
        <v>240</v>
      </c>
      <c r="DJ2809" s="5" t="s">
        <v>240</v>
      </c>
      <c r="DK2809" s="5" t="s">
        <v>240</v>
      </c>
      <c r="DL2809" s="5" t="s">
        <v>240</v>
      </c>
      <c r="DP2809" s="5" t="s">
        <v>240</v>
      </c>
      <c r="DQ2809" s="5" t="s">
        <v>240</v>
      </c>
      <c r="DR2809" s="5" t="s">
        <v>240</v>
      </c>
      <c r="DS2809" s="5" t="s">
        <v>240</v>
      </c>
      <c r="DV2809" s="5" t="s">
        <v>310</v>
      </c>
      <c r="DW2809" s="5" t="s">
        <v>3669</v>
      </c>
      <c r="HO2809" s="5" t="s">
        <v>312</v>
      </c>
    </row>
    <row r="2810" spans="1:223" x14ac:dyDescent="0.4">
      <c r="A2810" s="5">
        <v>4514</v>
      </c>
      <c r="B2810" s="5">
        <v>1</v>
      </c>
      <c r="C2810" s="5">
        <v>1</v>
      </c>
      <c r="D2810" s="5" t="s">
        <v>810</v>
      </c>
      <c r="E2810" s="5" t="s">
        <v>245</v>
      </c>
      <c r="F2810" s="5" t="s">
        <v>254</v>
      </c>
      <c r="G2810" s="5" t="s">
        <v>240</v>
      </c>
      <c r="H2810" s="6" t="s">
        <v>2925</v>
      </c>
      <c r="I2810" s="5" t="s">
        <v>809</v>
      </c>
      <c r="J2810" s="8">
        <f>1174</f>
        <v>1174</v>
      </c>
      <c r="K2810" s="5" t="s">
        <v>308</v>
      </c>
      <c r="L2810" s="7">
        <f>1</f>
        <v>1</v>
      </c>
      <c r="M2810" s="7">
        <f>1</f>
        <v>1</v>
      </c>
      <c r="N2810" s="5" t="s">
        <v>242</v>
      </c>
      <c r="O2810" s="5">
        <v>1</v>
      </c>
      <c r="P2810" s="5" t="s">
        <v>294</v>
      </c>
      <c r="Q2810" s="5" t="s">
        <v>266</v>
      </c>
      <c r="R2810" s="5" t="s">
        <v>240</v>
      </c>
      <c r="S2810" s="5" t="s">
        <v>240</v>
      </c>
      <c r="T2810" s="5" t="s">
        <v>296</v>
      </c>
      <c r="U2810" s="5" t="s">
        <v>244</v>
      </c>
      <c r="V2810" s="5" t="s">
        <v>240</v>
      </c>
      <c r="Y2810" s="5" t="s">
        <v>240</v>
      </c>
      <c r="Z2810" s="6" t="s">
        <v>298</v>
      </c>
      <c r="AB2810" s="6" t="s">
        <v>240</v>
      </c>
      <c r="AE2810" s="6" t="s">
        <v>299</v>
      </c>
      <c r="AF2810" s="5" t="s">
        <v>248</v>
      </c>
      <c r="AG2810" s="5" t="s">
        <v>249</v>
      </c>
      <c r="AW2810" s="5" t="s">
        <v>251</v>
      </c>
      <c r="AX2810" s="5" t="s">
        <v>240</v>
      </c>
      <c r="AY2810" s="5" t="s">
        <v>253</v>
      </c>
      <c r="AZ2810" s="5" t="s">
        <v>240</v>
      </c>
      <c r="BA2810" s="5" t="s">
        <v>255</v>
      </c>
      <c r="BB2810" s="5" t="s">
        <v>240</v>
      </c>
      <c r="BD2810" s="5" t="s">
        <v>240</v>
      </c>
      <c r="BF2810" s="5" t="s">
        <v>301</v>
      </c>
      <c r="BG2810" s="6" t="s">
        <v>299</v>
      </c>
      <c r="BH2810" s="5" t="s">
        <v>302</v>
      </c>
      <c r="BI2810" s="5" t="s">
        <v>303</v>
      </c>
      <c r="BJ2810" s="5" t="s">
        <v>240</v>
      </c>
      <c r="BK2810" s="8">
        <f>0</f>
        <v>0</v>
      </c>
      <c r="BL2810" s="7">
        <f>0</f>
        <v>0</v>
      </c>
      <c r="BM2810" s="5" t="s">
        <v>258</v>
      </c>
      <c r="BN2810" s="5" t="s">
        <v>259</v>
      </c>
      <c r="CB2810" s="5" t="s">
        <v>240</v>
      </c>
      <c r="CC2810" s="5" t="s">
        <v>240</v>
      </c>
      <c r="CG2810" s="5" t="s">
        <v>304</v>
      </c>
      <c r="CH2810" s="5" t="s">
        <v>305</v>
      </c>
      <c r="CI2810" s="5" t="s">
        <v>240</v>
      </c>
      <c r="CL2810" s="6" t="s">
        <v>261</v>
      </c>
      <c r="CM2810" s="5" t="s">
        <v>240</v>
      </c>
      <c r="CN2810" s="5" t="s">
        <v>263</v>
      </c>
      <c r="CO2810" s="5" t="s">
        <v>240</v>
      </c>
      <c r="CP2810" s="5" t="s">
        <v>240</v>
      </c>
      <c r="CQ2810" s="5">
        <v>0</v>
      </c>
      <c r="CR2810" s="5" t="s">
        <v>306</v>
      </c>
      <c r="CS2810" s="5" t="s">
        <v>307</v>
      </c>
      <c r="CT2810" s="5" t="s">
        <v>307</v>
      </c>
      <c r="CU2810" s="5" t="s">
        <v>260</v>
      </c>
      <c r="CX2810" s="7">
        <f>1</f>
        <v>1</v>
      </c>
      <c r="CY2810" s="7">
        <f>0</f>
        <v>0</v>
      </c>
      <c r="DA2810" s="7">
        <f>0</f>
        <v>0</v>
      </c>
      <c r="DC2810" s="5" t="s">
        <v>309</v>
      </c>
      <c r="DD2810" s="5" t="s">
        <v>240</v>
      </c>
      <c r="DF2810" s="5" t="s">
        <v>309</v>
      </c>
      <c r="DG2810" s="7">
        <f>182</f>
        <v>182</v>
      </c>
      <c r="DI2810" s="5" t="s">
        <v>240</v>
      </c>
      <c r="DJ2810" s="5" t="s">
        <v>240</v>
      </c>
      <c r="DK2810" s="5" t="s">
        <v>240</v>
      </c>
      <c r="DL2810" s="5" t="s">
        <v>240</v>
      </c>
      <c r="DP2810" s="5" t="s">
        <v>240</v>
      </c>
      <c r="DQ2810" s="5" t="s">
        <v>240</v>
      </c>
      <c r="DR2810" s="5" t="s">
        <v>240</v>
      </c>
      <c r="DS2810" s="5" t="s">
        <v>240</v>
      </c>
      <c r="DV2810" s="5" t="s">
        <v>310</v>
      </c>
      <c r="DW2810" s="5" t="s">
        <v>4958</v>
      </c>
      <c r="HO2810" s="5" t="s">
        <v>312</v>
      </c>
    </row>
    <row r="2811" spans="1:223" x14ac:dyDescent="0.4">
      <c r="A2811" s="5">
        <v>4515</v>
      </c>
      <c r="B2811" s="5">
        <v>1</v>
      </c>
      <c r="C2811" s="5">
        <v>1</v>
      </c>
      <c r="D2811" s="5" t="s">
        <v>810</v>
      </c>
      <c r="E2811" s="5" t="s">
        <v>245</v>
      </c>
      <c r="F2811" s="5" t="s">
        <v>254</v>
      </c>
      <c r="G2811" s="5" t="s">
        <v>240</v>
      </c>
      <c r="H2811" s="6" t="s">
        <v>2923</v>
      </c>
      <c r="I2811" s="5" t="s">
        <v>809</v>
      </c>
      <c r="J2811" s="8">
        <f>152</f>
        <v>152</v>
      </c>
      <c r="K2811" s="5" t="s">
        <v>308</v>
      </c>
      <c r="L2811" s="7">
        <f>1</f>
        <v>1</v>
      </c>
      <c r="M2811" s="7">
        <f>1</f>
        <v>1</v>
      </c>
      <c r="N2811" s="5" t="s">
        <v>242</v>
      </c>
      <c r="O2811" s="5">
        <v>1</v>
      </c>
      <c r="P2811" s="5" t="s">
        <v>294</v>
      </c>
      <c r="Q2811" s="5" t="s">
        <v>266</v>
      </c>
      <c r="R2811" s="5" t="s">
        <v>240</v>
      </c>
      <c r="S2811" s="5" t="s">
        <v>240</v>
      </c>
      <c r="T2811" s="5" t="s">
        <v>296</v>
      </c>
      <c r="U2811" s="5" t="s">
        <v>244</v>
      </c>
      <c r="V2811" s="5" t="s">
        <v>240</v>
      </c>
      <c r="Y2811" s="5" t="s">
        <v>240</v>
      </c>
      <c r="Z2811" s="6" t="s">
        <v>298</v>
      </c>
      <c r="AB2811" s="6" t="s">
        <v>240</v>
      </c>
      <c r="AE2811" s="6" t="s">
        <v>299</v>
      </c>
      <c r="AF2811" s="5" t="s">
        <v>248</v>
      </c>
      <c r="AG2811" s="5" t="s">
        <v>249</v>
      </c>
      <c r="AW2811" s="5" t="s">
        <v>251</v>
      </c>
      <c r="AX2811" s="5" t="s">
        <v>240</v>
      </c>
      <c r="AY2811" s="5" t="s">
        <v>253</v>
      </c>
      <c r="AZ2811" s="5" t="s">
        <v>240</v>
      </c>
      <c r="BA2811" s="5" t="s">
        <v>255</v>
      </c>
      <c r="BB2811" s="5" t="s">
        <v>240</v>
      </c>
      <c r="BD2811" s="5" t="s">
        <v>240</v>
      </c>
      <c r="BF2811" s="5" t="s">
        <v>301</v>
      </c>
      <c r="BG2811" s="6" t="s">
        <v>299</v>
      </c>
      <c r="BH2811" s="5" t="s">
        <v>302</v>
      </c>
      <c r="BI2811" s="5" t="s">
        <v>303</v>
      </c>
      <c r="BJ2811" s="5" t="s">
        <v>240</v>
      </c>
      <c r="BK2811" s="8">
        <f>0</f>
        <v>0</v>
      </c>
      <c r="BL2811" s="7">
        <f>0</f>
        <v>0</v>
      </c>
      <c r="BM2811" s="5" t="s">
        <v>258</v>
      </c>
      <c r="BN2811" s="5" t="s">
        <v>259</v>
      </c>
      <c r="CB2811" s="5" t="s">
        <v>240</v>
      </c>
      <c r="CC2811" s="5" t="s">
        <v>240</v>
      </c>
      <c r="CG2811" s="5" t="s">
        <v>304</v>
      </c>
      <c r="CH2811" s="5" t="s">
        <v>305</v>
      </c>
      <c r="CI2811" s="5" t="s">
        <v>240</v>
      </c>
      <c r="CL2811" s="6" t="s">
        <v>261</v>
      </c>
      <c r="CM2811" s="5" t="s">
        <v>240</v>
      </c>
      <c r="CN2811" s="5" t="s">
        <v>263</v>
      </c>
      <c r="CO2811" s="5" t="s">
        <v>240</v>
      </c>
      <c r="CP2811" s="5" t="s">
        <v>240</v>
      </c>
      <c r="CQ2811" s="5">
        <v>0</v>
      </c>
      <c r="CR2811" s="5" t="s">
        <v>306</v>
      </c>
      <c r="CS2811" s="5" t="s">
        <v>307</v>
      </c>
      <c r="CT2811" s="5" t="s">
        <v>307</v>
      </c>
      <c r="CU2811" s="5" t="s">
        <v>260</v>
      </c>
      <c r="CX2811" s="7">
        <f>1</f>
        <v>1</v>
      </c>
      <c r="CY2811" s="7">
        <f>0</f>
        <v>0</v>
      </c>
      <c r="DA2811" s="7">
        <f>0</f>
        <v>0</v>
      </c>
      <c r="DC2811" s="5" t="s">
        <v>309</v>
      </c>
      <c r="DD2811" s="5" t="s">
        <v>240</v>
      </c>
      <c r="DF2811" s="5" t="s">
        <v>309</v>
      </c>
      <c r="DG2811" s="7">
        <f>177</f>
        <v>177</v>
      </c>
      <c r="DI2811" s="5" t="s">
        <v>240</v>
      </c>
      <c r="DJ2811" s="5" t="s">
        <v>240</v>
      </c>
      <c r="DK2811" s="5" t="s">
        <v>240</v>
      </c>
      <c r="DL2811" s="5" t="s">
        <v>240</v>
      </c>
      <c r="DP2811" s="5" t="s">
        <v>240</v>
      </c>
      <c r="DQ2811" s="5" t="s">
        <v>240</v>
      </c>
      <c r="DR2811" s="5" t="s">
        <v>240</v>
      </c>
      <c r="DS2811" s="5" t="s">
        <v>240</v>
      </c>
      <c r="DV2811" s="5" t="s">
        <v>310</v>
      </c>
      <c r="DW2811" s="5" t="s">
        <v>3673</v>
      </c>
      <c r="HO2811" s="5" t="s">
        <v>312</v>
      </c>
    </row>
    <row r="2812" spans="1:223" x14ac:dyDescent="0.4">
      <c r="A2812" s="5">
        <v>4516</v>
      </c>
      <c r="B2812" s="5">
        <v>1</v>
      </c>
      <c r="C2812" s="5">
        <v>1</v>
      </c>
      <c r="D2812" s="5" t="s">
        <v>810</v>
      </c>
      <c r="E2812" s="5" t="s">
        <v>245</v>
      </c>
      <c r="F2812" s="5" t="s">
        <v>254</v>
      </c>
      <c r="G2812" s="5" t="s">
        <v>240</v>
      </c>
      <c r="H2812" s="6" t="s">
        <v>2921</v>
      </c>
      <c r="I2812" s="5" t="s">
        <v>809</v>
      </c>
      <c r="J2812" s="8">
        <f>89</f>
        <v>89</v>
      </c>
      <c r="K2812" s="5" t="s">
        <v>308</v>
      </c>
      <c r="L2812" s="7">
        <f>1</f>
        <v>1</v>
      </c>
      <c r="M2812" s="7">
        <f>1</f>
        <v>1</v>
      </c>
      <c r="N2812" s="5" t="s">
        <v>242</v>
      </c>
      <c r="O2812" s="5">
        <v>1</v>
      </c>
      <c r="P2812" s="5" t="s">
        <v>294</v>
      </c>
      <c r="Q2812" s="5" t="s">
        <v>266</v>
      </c>
      <c r="R2812" s="5" t="s">
        <v>240</v>
      </c>
      <c r="S2812" s="5" t="s">
        <v>240</v>
      </c>
      <c r="T2812" s="5" t="s">
        <v>296</v>
      </c>
      <c r="U2812" s="5" t="s">
        <v>244</v>
      </c>
      <c r="V2812" s="5" t="s">
        <v>240</v>
      </c>
      <c r="Y2812" s="5" t="s">
        <v>240</v>
      </c>
      <c r="Z2812" s="6" t="s">
        <v>298</v>
      </c>
      <c r="AB2812" s="6" t="s">
        <v>240</v>
      </c>
      <c r="AE2812" s="6" t="s">
        <v>299</v>
      </c>
      <c r="AF2812" s="5" t="s">
        <v>248</v>
      </c>
      <c r="AG2812" s="5" t="s">
        <v>249</v>
      </c>
      <c r="AW2812" s="5" t="s">
        <v>251</v>
      </c>
      <c r="AX2812" s="5" t="s">
        <v>240</v>
      </c>
      <c r="AY2812" s="5" t="s">
        <v>253</v>
      </c>
      <c r="AZ2812" s="5" t="s">
        <v>240</v>
      </c>
      <c r="BA2812" s="5" t="s">
        <v>255</v>
      </c>
      <c r="BB2812" s="5" t="s">
        <v>240</v>
      </c>
      <c r="BD2812" s="5" t="s">
        <v>240</v>
      </c>
      <c r="BF2812" s="5" t="s">
        <v>301</v>
      </c>
      <c r="BG2812" s="6" t="s">
        <v>299</v>
      </c>
      <c r="BH2812" s="5" t="s">
        <v>302</v>
      </c>
      <c r="BI2812" s="5" t="s">
        <v>303</v>
      </c>
      <c r="BJ2812" s="5" t="s">
        <v>240</v>
      </c>
      <c r="BK2812" s="8">
        <f>0</f>
        <v>0</v>
      </c>
      <c r="BL2812" s="7">
        <f>0</f>
        <v>0</v>
      </c>
      <c r="BM2812" s="5" t="s">
        <v>258</v>
      </c>
      <c r="BN2812" s="5" t="s">
        <v>259</v>
      </c>
      <c r="CB2812" s="5" t="s">
        <v>240</v>
      </c>
      <c r="CC2812" s="5" t="s">
        <v>240</v>
      </c>
      <c r="CG2812" s="5" t="s">
        <v>304</v>
      </c>
      <c r="CH2812" s="5" t="s">
        <v>305</v>
      </c>
      <c r="CI2812" s="5" t="s">
        <v>240</v>
      </c>
      <c r="CL2812" s="6" t="s">
        <v>261</v>
      </c>
      <c r="CM2812" s="5" t="s">
        <v>240</v>
      </c>
      <c r="CN2812" s="5" t="s">
        <v>263</v>
      </c>
      <c r="CO2812" s="5" t="s">
        <v>240</v>
      </c>
      <c r="CP2812" s="5" t="s">
        <v>240</v>
      </c>
      <c r="CQ2812" s="5">
        <v>0</v>
      </c>
      <c r="CR2812" s="5" t="s">
        <v>306</v>
      </c>
      <c r="CS2812" s="5" t="s">
        <v>307</v>
      </c>
      <c r="CT2812" s="5" t="s">
        <v>307</v>
      </c>
      <c r="CU2812" s="5" t="s">
        <v>260</v>
      </c>
      <c r="CX2812" s="7">
        <f>1</f>
        <v>1</v>
      </c>
      <c r="CY2812" s="7">
        <f>0</f>
        <v>0</v>
      </c>
      <c r="DA2812" s="7">
        <f>0</f>
        <v>0</v>
      </c>
      <c r="DC2812" s="5" t="s">
        <v>309</v>
      </c>
      <c r="DD2812" s="5" t="s">
        <v>240</v>
      </c>
      <c r="DF2812" s="5" t="s">
        <v>309</v>
      </c>
      <c r="DG2812" s="7">
        <f>1043</f>
        <v>1043</v>
      </c>
      <c r="DI2812" s="5" t="s">
        <v>240</v>
      </c>
      <c r="DJ2812" s="5" t="s">
        <v>240</v>
      </c>
      <c r="DK2812" s="5" t="s">
        <v>240</v>
      </c>
      <c r="DL2812" s="5" t="s">
        <v>240</v>
      </c>
      <c r="DP2812" s="5" t="s">
        <v>240</v>
      </c>
      <c r="DQ2812" s="5" t="s">
        <v>240</v>
      </c>
      <c r="DR2812" s="5" t="s">
        <v>240</v>
      </c>
      <c r="DS2812" s="5" t="s">
        <v>240</v>
      </c>
      <c r="DV2812" s="5" t="s">
        <v>310</v>
      </c>
      <c r="DW2812" s="5" t="s">
        <v>3675</v>
      </c>
      <c r="HO2812" s="5" t="s">
        <v>312</v>
      </c>
    </row>
    <row r="2813" spans="1:223" x14ac:dyDescent="0.4">
      <c r="A2813" s="5">
        <v>4517</v>
      </c>
      <c r="B2813" s="5">
        <v>1</v>
      </c>
      <c r="C2813" s="5">
        <v>1</v>
      </c>
      <c r="D2813" s="5" t="s">
        <v>810</v>
      </c>
      <c r="E2813" s="5" t="s">
        <v>245</v>
      </c>
      <c r="F2813" s="5" t="s">
        <v>254</v>
      </c>
      <c r="G2813" s="5" t="s">
        <v>240</v>
      </c>
      <c r="H2813" s="6" t="s">
        <v>2919</v>
      </c>
      <c r="I2813" s="5" t="s">
        <v>809</v>
      </c>
      <c r="J2813" s="8">
        <f>3638</f>
        <v>3638</v>
      </c>
      <c r="K2813" s="5" t="s">
        <v>308</v>
      </c>
      <c r="L2813" s="7">
        <f>1</f>
        <v>1</v>
      </c>
      <c r="M2813" s="7">
        <f>1</f>
        <v>1</v>
      </c>
      <c r="N2813" s="5" t="s">
        <v>242</v>
      </c>
      <c r="O2813" s="5">
        <v>1</v>
      </c>
      <c r="P2813" s="5" t="s">
        <v>294</v>
      </c>
      <c r="Q2813" s="5" t="s">
        <v>266</v>
      </c>
      <c r="R2813" s="5" t="s">
        <v>240</v>
      </c>
      <c r="S2813" s="5" t="s">
        <v>240</v>
      </c>
      <c r="T2813" s="5" t="s">
        <v>296</v>
      </c>
      <c r="U2813" s="5" t="s">
        <v>244</v>
      </c>
      <c r="V2813" s="5" t="s">
        <v>240</v>
      </c>
      <c r="Y2813" s="5" t="s">
        <v>240</v>
      </c>
      <c r="Z2813" s="6" t="s">
        <v>298</v>
      </c>
      <c r="AB2813" s="6" t="s">
        <v>240</v>
      </c>
      <c r="AE2813" s="6" t="s">
        <v>299</v>
      </c>
      <c r="AF2813" s="5" t="s">
        <v>248</v>
      </c>
      <c r="AG2813" s="5" t="s">
        <v>249</v>
      </c>
      <c r="AW2813" s="5" t="s">
        <v>251</v>
      </c>
      <c r="AX2813" s="5" t="s">
        <v>240</v>
      </c>
      <c r="AY2813" s="5" t="s">
        <v>253</v>
      </c>
      <c r="AZ2813" s="5" t="s">
        <v>240</v>
      </c>
      <c r="BA2813" s="5" t="s">
        <v>255</v>
      </c>
      <c r="BB2813" s="5" t="s">
        <v>240</v>
      </c>
      <c r="BD2813" s="5" t="s">
        <v>240</v>
      </c>
      <c r="BF2813" s="5" t="s">
        <v>301</v>
      </c>
      <c r="BG2813" s="6" t="s">
        <v>299</v>
      </c>
      <c r="BH2813" s="5" t="s">
        <v>302</v>
      </c>
      <c r="BI2813" s="5" t="s">
        <v>303</v>
      </c>
      <c r="BJ2813" s="5" t="s">
        <v>240</v>
      </c>
      <c r="BK2813" s="8">
        <f>0</f>
        <v>0</v>
      </c>
      <c r="BL2813" s="7">
        <f>0</f>
        <v>0</v>
      </c>
      <c r="BM2813" s="5" t="s">
        <v>258</v>
      </c>
      <c r="BN2813" s="5" t="s">
        <v>259</v>
      </c>
      <c r="CB2813" s="5" t="s">
        <v>240</v>
      </c>
      <c r="CC2813" s="5" t="s">
        <v>240</v>
      </c>
      <c r="CG2813" s="5" t="s">
        <v>304</v>
      </c>
      <c r="CH2813" s="5" t="s">
        <v>305</v>
      </c>
      <c r="CI2813" s="5" t="s">
        <v>240</v>
      </c>
      <c r="CL2813" s="6" t="s">
        <v>261</v>
      </c>
      <c r="CM2813" s="5" t="s">
        <v>240</v>
      </c>
      <c r="CN2813" s="5" t="s">
        <v>263</v>
      </c>
      <c r="CO2813" s="5" t="s">
        <v>240</v>
      </c>
      <c r="CP2813" s="5" t="s">
        <v>240</v>
      </c>
      <c r="CQ2813" s="5">
        <v>0</v>
      </c>
      <c r="CR2813" s="5" t="s">
        <v>306</v>
      </c>
      <c r="CS2813" s="5" t="s">
        <v>307</v>
      </c>
      <c r="CT2813" s="5" t="s">
        <v>307</v>
      </c>
      <c r="CU2813" s="5" t="s">
        <v>260</v>
      </c>
      <c r="CX2813" s="7">
        <f>1</f>
        <v>1</v>
      </c>
      <c r="CY2813" s="7">
        <f>0</f>
        <v>0</v>
      </c>
      <c r="DA2813" s="7">
        <f>0</f>
        <v>0</v>
      </c>
      <c r="DC2813" s="5" t="s">
        <v>309</v>
      </c>
      <c r="DD2813" s="5" t="s">
        <v>240</v>
      </c>
      <c r="DF2813" s="5" t="s">
        <v>309</v>
      </c>
      <c r="DG2813" s="7">
        <f>2427</f>
        <v>2427</v>
      </c>
      <c r="DI2813" s="5" t="s">
        <v>240</v>
      </c>
      <c r="DJ2813" s="5" t="s">
        <v>240</v>
      </c>
      <c r="DK2813" s="5" t="s">
        <v>240</v>
      </c>
      <c r="DL2813" s="5" t="s">
        <v>240</v>
      </c>
      <c r="DP2813" s="5" t="s">
        <v>240</v>
      </c>
      <c r="DQ2813" s="5" t="s">
        <v>240</v>
      </c>
      <c r="DR2813" s="5" t="s">
        <v>240</v>
      </c>
      <c r="DS2813" s="5" t="s">
        <v>240</v>
      </c>
      <c r="DV2813" s="5" t="s">
        <v>310</v>
      </c>
      <c r="DW2813" s="5" t="s">
        <v>3677</v>
      </c>
      <c r="HO2813" s="5" t="s">
        <v>312</v>
      </c>
    </row>
    <row r="2814" spans="1:223" x14ac:dyDescent="0.4">
      <c r="A2814" s="5">
        <v>4518</v>
      </c>
      <c r="B2814" s="5">
        <v>1</v>
      </c>
      <c r="C2814" s="5">
        <v>1</v>
      </c>
      <c r="D2814" s="5" t="s">
        <v>810</v>
      </c>
      <c r="E2814" s="5" t="s">
        <v>245</v>
      </c>
      <c r="F2814" s="5" t="s">
        <v>254</v>
      </c>
      <c r="G2814" s="5" t="s">
        <v>240</v>
      </c>
      <c r="H2814" s="6" t="s">
        <v>2917</v>
      </c>
      <c r="I2814" s="5" t="s">
        <v>809</v>
      </c>
      <c r="J2814" s="8">
        <f>3691</f>
        <v>3691</v>
      </c>
      <c r="K2814" s="5" t="s">
        <v>308</v>
      </c>
      <c r="L2814" s="7">
        <f>1</f>
        <v>1</v>
      </c>
      <c r="M2814" s="7">
        <f>1</f>
        <v>1</v>
      </c>
      <c r="N2814" s="5" t="s">
        <v>242</v>
      </c>
      <c r="O2814" s="5">
        <v>1</v>
      </c>
      <c r="P2814" s="5" t="s">
        <v>294</v>
      </c>
      <c r="Q2814" s="5" t="s">
        <v>266</v>
      </c>
      <c r="R2814" s="5" t="s">
        <v>240</v>
      </c>
      <c r="S2814" s="5" t="s">
        <v>240</v>
      </c>
      <c r="T2814" s="5" t="s">
        <v>296</v>
      </c>
      <c r="U2814" s="5" t="s">
        <v>244</v>
      </c>
      <c r="V2814" s="5" t="s">
        <v>240</v>
      </c>
      <c r="Y2814" s="5" t="s">
        <v>240</v>
      </c>
      <c r="Z2814" s="6" t="s">
        <v>298</v>
      </c>
      <c r="AB2814" s="6" t="s">
        <v>240</v>
      </c>
      <c r="AE2814" s="6" t="s">
        <v>299</v>
      </c>
      <c r="AF2814" s="5" t="s">
        <v>248</v>
      </c>
      <c r="AG2814" s="5" t="s">
        <v>249</v>
      </c>
      <c r="AW2814" s="5" t="s">
        <v>251</v>
      </c>
      <c r="AX2814" s="5" t="s">
        <v>240</v>
      </c>
      <c r="AY2814" s="5" t="s">
        <v>253</v>
      </c>
      <c r="AZ2814" s="5" t="s">
        <v>240</v>
      </c>
      <c r="BA2814" s="5" t="s">
        <v>255</v>
      </c>
      <c r="BB2814" s="5" t="s">
        <v>240</v>
      </c>
      <c r="BD2814" s="5" t="s">
        <v>240</v>
      </c>
      <c r="BF2814" s="5" t="s">
        <v>301</v>
      </c>
      <c r="BG2814" s="6" t="s">
        <v>299</v>
      </c>
      <c r="BH2814" s="5" t="s">
        <v>302</v>
      </c>
      <c r="BI2814" s="5" t="s">
        <v>303</v>
      </c>
      <c r="BJ2814" s="5" t="s">
        <v>240</v>
      </c>
      <c r="BK2814" s="8">
        <f>0</f>
        <v>0</v>
      </c>
      <c r="BL2814" s="7">
        <f>0</f>
        <v>0</v>
      </c>
      <c r="BM2814" s="5" t="s">
        <v>258</v>
      </c>
      <c r="BN2814" s="5" t="s">
        <v>259</v>
      </c>
      <c r="CB2814" s="5" t="s">
        <v>240</v>
      </c>
      <c r="CC2814" s="5" t="s">
        <v>240</v>
      </c>
      <c r="CG2814" s="5" t="s">
        <v>304</v>
      </c>
      <c r="CH2814" s="5" t="s">
        <v>305</v>
      </c>
      <c r="CI2814" s="5" t="s">
        <v>240</v>
      </c>
      <c r="CL2814" s="6" t="s">
        <v>261</v>
      </c>
      <c r="CM2814" s="5" t="s">
        <v>240</v>
      </c>
      <c r="CN2814" s="5" t="s">
        <v>263</v>
      </c>
      <c r="CO2814" s="5" t="s">
        <v>240</v>
      </c>
      <c r="CP2814" s="5" t="s">
        <v>240</v>
      </c>
      <c r="CQ2814" s="5">
        <v>0</v>
      </c>
      <c r="CR2814" s="5" t="s">
        <v>306</v>
      </c>
      <c r="CS2814" s="5" t="s">
        <v>307</v>
      </c>
      <c r="CT2814" s="5" t="s">
        <v>307</v>
      </c>
      <c r="CU2814" s="5" t="s">
        <v>260</v>
      </c>
      <c r="CX2814" s="7">
        <f>1</f>
        <v>1</v>
      </c>
      <c r="CY2814" s="7">
        <f>0</f>
        <v>0</v>
      </c>
      <c r="DA2814" s="7">
        <f>0</f>
        <v>0</v>
      </c>
      <c r="DC2814" s="5" t="s">
        <v>309</v>
      </c>
      <c r="DD2814" s="5" t="s">
        <v>240</v>
      </c>
      <c r="DF2814" s="5" t="s">
        <v>309</v>
      </c>
      <c r="DG2814" s="7">
        <f>1675</f>
        <v>1675</v>
      </c>
      <c r="DI2814" s="5" t="s">
        <v>240</v>
      </c>
      <c r="DJ2814" s="5" t="s">
        <v>240</v>
      </c>
      <c r="DK2814" s="5" t="s">
        <v>240</v>
      </c>
      <c r="DL2814" s="5" t="s">
        <v>240</v>
      </c>
      <c r="DP2814" s="5" t="s">
        <v>240</v>
      </c>
      <c r="DQ2814" s="5" t="s">
        <v>240</v>
      </c>
      <c r="DR2814" s="5" t="s">
        <v>240</v>
      </c>
      <c r="DS2814" s="5" t="s">
        <v>240</v>
      </c>
      <c r="DV2814" s="5" t="s">
        <v>310</v>
      </c>
      <c r="DW2814" s="5" t="s">
        <v>4963</v>
      </c>
      <c r="HO2814" s="5" t="s">
        <v>312</v>
      </c>
    </row>
    <row r="2815" spans="1:223" x14ac:dyDescent="0.4">
      <c r="A2815" s="5">
        <v>4519</v>
      </c>
      <c r="B2815" s="5">
        <v>1</v>
      </c>
      <c r="C2815" s="5">
        <v>1</v>
      </c>
      <c r="D2815" s="5" t="s">
        <v>810</v>
      </c>
      <c r="E2815" s="5" t="s">
        <v>245</v>
      </c>
      <c r="F2815" s="5" t="s">
        <v>254</v>
      </c>
      <c r="G2815" s="5" t="s">
        <v>240</v>
      </c>
      <c r="H2815" s="6" t="s">
        <v>2915</v>
      </c>
      <c r="I2815" s="5" t="s">
        <v>809</v>
      </c>
      <c r="J2815" s="8">
        <f>1167</f>
        <v>1167</v>
      </c>
      <c r="K2815" s="5" t="s">
        <v>308</v>
      </c>
      <c r="L2815" s="7">
        <f>1</f>
        <v>1</v>
      </c>
      <c r="M2815" s="7">
        <f>1</f>
        <v>1</v>
      </c>
      <c r="N2815" s="5" t="s">
        <v>242</v>
      </c>
      <c r="O2815" s="5">
        <v>1</v>
      </c>
      <c r="P2815" s="5" t="s">
        <v>294</v>
      </c>
      <c r="Q2815" s="5" t="s">
        <v>266</v>
      </c>
      <c r="R2815" s="5" t="s">
        <v>240</v>
      </c>
      <c r="S2815" s="5" t="s">
        <v>240</v>
      </c>
      <c r="T2815" s="5" t="s">
        <v>296</v>
      </c>
      <c r="U2815" s="5" t="s">
        <v>244</v>
      </c>
      <c r="V2815" s="5" t="s">
        <v>240</v>
      </c>
      <c r="Y2815" s="5" t="s">
        <v>240</v>
      </c>
      <c r="Z2815" s="6" t="s">
        <v>298</v>
      </c>
      <c r="AB2815" s="6" t="s">
        <v>240</v>
      </c>
      <c r="AE2815" s="6" t="s">
        <v>299</v>
      </c>
      <c r="AF2815" s="5" t="s">
        <v>248</v>
      </c>
      <c r="AG2815" s="5" t="s">
        <v>249</v>
      </c>
      <c r="AW2815" s="5" t="s">
        <v>251</v>
      </c>
      <c r="AX2815" s="5" t="s">
        <v>240</v>
      </c>
      <c r="AY2815" s="5" t="s">
        <v>253</v>
      </c>
      <c r="AZ2815" s="5" t="s">
        <v>240</v>
      </c>
      <c r="BA2815" s="5" t="s">
        <v>255</v>
      </c>
      <c r="BB2815" s="5" t="s">
        <v>240</v>
      </c>
      <c r="BD2815" s="5" t="s">
        <v>240</v>
      </c>
      <c r="BF2815" s="5" t="s">
        <v>301</v>
      </c>
      <c r="BG2815" s="6" t="s">
        <v>299</v>
      </c>
      <c r="BH2815" s="5" t="s">
        <v>302</v>
      </c>
      <c r="BI2815" s="5" t="s">
        <v>303</v>
      </c>
      <c r="BJ2815" s="5" t="s">
        <v>240</v>
      </c>
      <c r="BK2815" s="8">
        <f>0</f>
        <v>0</v>
      </c>
      <c r="BL2815" s="7">
        <f>0</f>
        <v>0</v>
      </c>
      <c r="BM2815" s="5" t="s">
        <v>258</v>
      </c>
      <c r="BN2815" s="5" t="s">
        <v>259</v>
      </c>
      <c r="CB2815" s="5" t="s">
        <v>240</v>
      </c>
      <c r="CC2815" s="5" t="s">
        <v>240</v>
      </c>
      <c r="CG2815" s="5" t="s">
        <v>304</v>
      </c>
      <c r="CH2815" s="5" t="s">
        <v>305</v>
      </c>
      <c r="CI2815" s="5" t="s">
        <v>240</v>
      </c>
      <c r="CL2815" s="6" t="s">
        <v>261</v>
      </c>
      <c r="CM2815" s="5" t="s">
        <v>240</v>
      </c>
      <c r="CN2815" s="5" t="s">
        <v>263</v>
      </c>
      <c r="CO2815" s="5" t="s">
        <v>240</v>
      </c>
      <c r="CP2815" s="5" t="s">
        <v>240</v>
      </c>
      <c r="CQ2815" s="5">
        <v>0</v>
      </c>
      <c r="CR2815" s="5" t="s">
        <v>306</v>
      </c>
      <c r="CS2815" s="5" t="s">
        <v>307</v>
      </c>
      <c r="CT2815" s="5" t="s">
        <v>307</v>
      </c>
      <c r="CU2815" s="5" t="s">
        <v>260</v>
      </c>
      <c r="CX2815" s="7">
        <f>1</f>
        <v>1</v>
      </c>
      <c r="CY2815" s="7">
        <f>0</f>
        <v>0</v>
      </c>
      <c r="DA2815" s="7">
        <f>0</f>
        <v>0</v>
      </c>
      <c r="DC2815" s="5" t="s">
        <v>309</v>
      </c>
      <c r="DD2815" s="5" t="s">
        <v>240</v>
      </c>
      <c r="DF2815" s="5" t="s">
        <v>309</v>
      </c>
      <c r="DG2815" s="7">
        <f>3891</f>
        <v>3891</v>
      </c>
      <c r="DI2815" s="5" t="s">
        <v>240</v>
      </c>
      <c r="DJ2815" s="5" t="s">
        <v>240</v>
      </c>
      <c r="DK2815" s="5" t="s">
        <v>240</v>
      </c>
      <c r="DL2815" s="5" t="s">
        <v>240</v>
      </c>
      <c r="DP2815" s="5" t="s">
        <v>240</v>
      </c>
      <c r="DQ2815" s="5" t="s">
        <v>240</v>
      </c>
      <c r="DR2815" s="5" t="s">
        <v>240</v>
      </c>
      <c r="DS2815" s="5" t="s">
        <v>240</v>
      </c>
      <c r="DV2815" s="5" t="s">
        <v>310</v>
      </c>
      <c r="DW2815" s="5" t="s">
        <v>3685</v>
      </c>
      <c r="HO2815" s="5" t="s">
        <v>312</v>
      </c>
    </row>
    <row r="2816" spans="1:223" x14ac:dyDescent="0.4">
      <c r="A2816" s="5">
        <v>4520</v>
      </c>
      <c r="B2816" s="5">
        <v>1</v>
      </c>
      <c r="C2816" s="5">
        <v>1</v>
      </c>
      <c r="D2816" s="5" t="s">
        <v>810</v>
      </c>
      <c r="E2816" s="5" t="s">
        <v>245</v>
      </c>
      <c r="F2816" s="5" t="s">
        <v>254</v>
      </c>
      <c r="G2816" s="5" t="s">
        <v>240</v>
      </c>
      <c r="H2816" s="6" t="s">
        <v>2913</v>
      </c>
      <c r="I2816" s="5" t="s">
        <v>809</v>
      </c>
      <c r="J2816" s="8">
        <f>1865</f>
        <v>1865</v>
      </c>
      <c r="K2816" s="5" t="s">
        <v>308</v>
      </c>
      <c r="L2816" s="7">
        <f>1</f>
        <v>1</v>
      </c>
      <c r="M2816" s="7">
        <f>1</f>
        <v>1</v>
      </c>
      <c r="N2816" s="5" t="s">
        <v>242</v>
      </c>
      <c r="O2816" s="5">
        <v>1</v>
      </c>
      <c r="P2816" s="5" t="s">
        <v>294</v>
      </c>
      <c r="Q2816" s="5" t="s">
        <v>266</v>
      </c>
      <c r="R2816" s="5" t="s">
        <v>240</v>
      </c>
      <c r="S2816" s="5" t="s">
        <v>240</v>
      </c>
      <c r="T2816" s="5" t="s">
        <v>296</v>
      </c>
      <c r="U2816" s="5" t="s">
        <v>244</v>
      </c>
      <c r="V2816" s="5" t="s">
        <v>240</v>
      </c>
      <c r="Y2816" s="5" t="s">
        <v>240</v>
      </c>
      <c r="Z2816" s="6" t="s">
        <v>298</v>
      </c>
      <c r="AB2816" s="6" t="s">
        <v>240</v>
      </c>
      <c r="AE2816" s="6" t="s">
        <v>299</v>
      </c>
      <c r="AF2816" s="5" t="s">
        <v>248</v>
      </c>
      <c r="AG2816" s="5" t="s">
        <v>249</v>
      </c>
      <c r="AW2816" s="5" t="s">
        <v>251</v>
      </c>
      <c r="AX2816" s="5" t="s">
        <v>240</v>
      </c>
      <c r="AY2816" s="5" t="s">
        <v>253</v>
      </c>
      <c r="AZ2816" s="5" t="s">
        <v>240</v>
      </c>
      <c r="BA2816" s="5" t="s">
        <v>255</v>
      </c>
      <c r="BB2816" s="5" t="s">
        <v>240</v>
      </c>
      <c r="BD2816" s="5" t="s">
        <v>240</v>
      </c>
      <c r="BF2816" s="5" t="s">
        <v>301</v>
      </c>
      <c r="BG2816" s="6" t="s">
        <v>299</v>
      </c>
      <c r="BH2816" s="5" t="s">
        <v>302</v>
      </c>
      <c r="BI2816" s="5" t="s">
        <v>303</v>
      </c>
      <c r="BJ2816" s="5" t="s">
        <v>240</v>
      </c>
      <c r="BK2816" s="8">
        <f>0</f>
        <v>0</v>
      </c>
      <c r="BL2816" s="7">
        <f>0</f>
        <v>0</v>
      </c>
      <c r="BM2816" s="5" t="s">
        <v>258</v>
      </c>
      <c r="BN2816" s="5" t="s">
        <v>259</v>
      </c>
      <c r="CB2816" s="5" t="s">
        <v>240</v>
      </c>
      <c r="CC2816" s="5" t="s">
        <v>240</v>
      </c>
      <c r="CG2816" s="5" t="s">
        <v>304</v>
      </c>
      <c r="CH2816" s="5" t="s">
        <v>305</v>
      </c>
      <c r="CI2816" s="5" t="s">
        <v>240</v>
      </c>
      <c r="CL2816" s="6" t="s">
        <v>261</v>
      </c>
      <c r="CM2816" s="5" t="s">
        <v>240</v>
      </c>
      <c r="CN2816" s="5" t="s">
        <v>263</v>
      </c>
      <c r="CO2816" s="5" t="s">
        <v>240</v>
      </c>
      <c r="CP2816" s="5" t="s">
        <v>240</v>
      </c>
      <c r="CQ2816" s="5">
        <v>0</v>
      </c>
      <c r="CR2816" s="5" t="s">
        <v>306</v>
      </c>
      <c r="CS2816" s="5" t="s">
        <v>307</v>
      </c>
      <c r="CT2816" s="5" t="s">
        <v>307</v>
      </c>
      <c r="CU2816" s="5" t="s">
        <v>260</v>
      </c>
      <c r="CX2816" s="7">
        <f>1</f>
        <v>1</v>
      </c>
      <c r="CY2816" s="7">
        <f>0</f>
        <v>0</v>
      </c>
      <c r="DA2816" s="7">
        <f>0</f>
        <v>0</v>
      </c>
      <c r="DC2816" s="5" t="s">
        <v>309</v>
      </c>
      <c r="DD2816" s="5" t="s">
        <v>240</v>
      </c>
      <c r="DF2816" s="5" t="s">
        <v>309</v>
      </c>
      <c r="DG2816" s="7">
        <f>343</f>
        <v>343</v>
      </c>
      <c r="DI2816" s="5" t="s">
        <v>240</v>
      </c>
      <c r="DJ2816" s="5" t="s">
        <v>240</v>
      </c>
      <c r="DK2816" s="5" t="s">
        <v>240</v>
      </c>
      <c r="DL2816" s="5" t="s">
        <v>240</v>
      </c>
      <c r="DP2816" s="5" t="s">
        <v>240</v>
      </c>
      <c r="DQ2816" s="5" t="s">
        <v>240</v>
      </c>
      <c r="DR2816" s="5" t="s">
        <v>240</v>
      </c>
      <c r="DS2816" s="5" t="s">
        <v>240</v>
      </c>
      <c r="DV2816" s="5" t="s">
        <v>310</v>
      </c>
      <c r="DW2816" s="5" t="s">
        <v>3687</v>
      </c>
      <c r="HO2816" s="5" t="s">
        <v>312</v>
      </c>
    </row>
    <row r="2817" spans="1:223" x14ac:dyDescent="0.4">
      <c r="A2817" s="5">
        <v>4521</v>
      </c>
      <c r="B2817" s="5">
        <v>1</v>
      </c>
      <c r="C2817" s="5">
        <v>1</v>
      </c>
      <c r="D2817" s="5" t="s">
        <v>810</v>
      </c>
      <c r="E2817" s="5" t="s">
        <v>245</v>
      </c>
      <c r="F2817" s="5" t="s">
        <v>254</v>
      </c>
      <c r="G2817" s="5" t="s">
        <v>240</v>
      </c>
      <c r="H2817" s="6" t="s">
        <v>2911</v>
      </c>
      <c r="I2817" s="5" t="s">
        <v>809</v>
      </c>
      <c r="J2817" s="8">
        <f>336</f>
        <v>336</v>
      </c>
      <c r="K2817" s="5" t="s">
        <v>308</v>
      </c>
      <c r="L2817" s="7">
        <f>1</f>
        <v>1</v>
      </c>
      <c r="M2817" s="7">
        <f>1</f>
        <v>1</v>
      </c>
      <c r="N2817" s="5" t="s">
        <v>242</v>
      </c>
      <c r="O2817" s="5">
        <v>1</v>
      </c>
      <c r="P2817" s="5" t="s">
        <v>294</v>
      </c>
      <c r="Q2817" s="5" t="s">
        <v>266</v>
      </c>
      <c r="R2817" s="5" t="s">
        <v>240</v>
      </c>
      <c r="S2817" s="5" t="s">
        <v>240</v>
      </c>
      <c r="T2817" s="5" t="s">
        <v>296</v>
      </c>
      <c r="U2817" s="5" t="s">
        <v>244</v>
      </c>
      <c r="V2817" s="5" t="s">
        <v>240</v>
      </c>
      <c r="Y2817" s="5" t="s">
        <v>240</v>
      </c>
      <c r="Z2817" s="6" t="s">
        <v>298</v>
      </c>
      <c r="AB2817" s="6" t="s">
        <v>240</v>
      </c>
      <c r="AE2817" s="6" t="s">
        <v>299</v>
      </c>
      <c r="AF2817" s="5" t="s">
        <v>248</v>
      </c>
      <c r="AG2817" s="5" t="s">
        <v>249</v>
      </c>
      <c r="AW2817" s="5" t="s">
        <v>251</v>
      </c>
      <c r="AX2817" s="5" t="s">
        <v>240</v>
      </c>
      <c r="AY2817" s="5" t="s">
        <v>253</v>
      </c>
      <c r="AZ2817" s="5" t="s">
        <v>240</v>
      </c>
      <c r="BA2817" s="5" t="s">
        <v>255</v>
      </c>
      <c r="BB2817" s="5" t="s">
        <v>240</v>
      </c>
      <c r="BD2817" s="5" t="s">
        <v>240</v>
      </c>
      <c r="BF2817" s="5" t="s">
        <v>301</v>
      </c>
      <c r="BG2817" s="6" t="s">
        <v>299</v>
      </c>
      <c r="BH2817" s="5" t="s">
        <v>302</v>
      </c>
      <c r="BI2817" s="5" t="s">
        <v>303</v>
      </c>
      <c r="BJ2817" s="5" t="s">
        <v>240</v>
      </c>
      <c r="BK2817" s="8">
        <f>0</f>
        <v>0</v>
      </c>
      <c r="BL2817" s="7">
        <f>0</f>
        <v>0</v>
      </c>
      <c r="BM2817" s="5" t="s">
        <v>258</v>
      </c>
      <c r="BN2817" s="5" t="s">
        <v>259</v>
      </c>
      <c r="CB2817" s="5" t="s">
        <v>240</v>
      </c>
      <c r="CC2817" s="5" t="s">
        <v>240</v>
      </c>
      <c r="CG2817" s="5" t="s">
        <v>304</v>
      </c>
      <c r="CH2817" s="5" t="s">
        <v>305</v>
      </c>
      <c r="CI2817" s="5" t="s">
        <v>240</v>
      </c>
      <c r="CL2817" s="6" t="s">
        <v>261</v>
      </c>
      <c r="CM2817" s="5" t="s">
        <v>240</v>
      </c>
      <c r="CN2817" s="5" t="s">
        <v>263</v>
      </c>
      <c r="CO2817" s="5" t="s">
        <v>240</v>
      </c>
      <c r="CP2817" s="5" t="s">
        <v>240</v>
      </c>
      <c r="CQ2817" s="5">
        <v>0</v>
      </c>
      <c r="CR2817" s="5" t="s">
        <v>306</v>
      </c>
      <c r="CS2817" s="5" t="s">
        <v>307</v>
      </c>
      <c r="CT2817" s="5" t="s">
        <v>307</v>
      </c>
      <c r="CU2817" s="5" t="s">
        <v>260</v>
      </c>
      <c r="CX2817" s="7">
        <f>1</f>
        <v>1</v>
      </c>
      <c r="CY2817" s="7">
        <f>0</f>
        <v>0</v>
      </c>
      <c r="DA2817" s="7">
        <f>0</f>
        <v>0</v>
      </c>
      <c r="DC2817" s="5" t="s">
        <v>309</v>
      </c>
      <c r="DD2817" s="5" t="s">
        <v>240</v>
      </c>
      <c r="DF2817" s="5" t="s">
        <v>309</v>
      </c>
      <c r="DG2817" s="7">
        <f>92</f>
        <v>92</v>
      </c>
      <c r="DI2817" s="5" t="s">
        <v>240</v>
      </c>
      <c r="DJ2817" s="5" t="s">
        <v>240</v>
      </c>
      <c r="DK2817" s="5" t="s">
        <v>240</v>
      </c>
      <c r="DL2817" s="5" t="s">
        <v>240</v>
      </c>
      <c r="DP2817" s="5" t="s">
        <v>240</v>
      </c>
      <c r="DQ2817" s="5" t="s">
        <v>240</v>
      </c>
      <c r="DR2817" s="5" t="s">
        <v>240</v>
      </c>
      <c r="DS2817" s="5" t="s">
        <v>240</v>
      </c>
      <c r="DV2817" s="5" t="s">
        <v>310</v>
      </c>
      <c r="DW2817" s="5" t="s">
        <v>3689</v>
      </c>
      <c r="HO2817" s="5" t="s">
        <v>312</v>
      </c>
    </row>
    <row r="2818" spans="1:223" x14ac:dyDescent="0.4">
      <c r="A2818" s="5">
        <v>4522</v>
      </c>
      <c r="B2818" s="5">
        <v>1</v>
      </c>
      <c r="C2818" s="5">
        <v>1</v>
      </c>
      <c r="D2818" s="5" t="s">
        <v>810</v>
      </c>
      <c r="E2818" s="5" t="s">
        <v>245</v>
      </c>
      <c r="F2818" s="5" t="s">
        <v>254</v>
      </c>
      <c r="G2818" s="5" t="s">
        <v>240</v>
      </c>
      <c r="H2818" s="6" t="s">
        <v>2909</v>
      </c>
      <c r="I2818" s="5" t="s">
        <v>809</v>
      </c>
      <c r="J2818" s="8">
        <f>1847</f>
        <v>1847</v>
      </c>
      <c r="K2818" s="5" t="s">
        <v>308</v>
      </c>
      <c r="L2818" s="7">
        <f>1</f>
        <v>1</v>
      </c>
      <c r="M2818" s="7">
        <f>1</f>
        <v>1</v>
      </c>
      <c r="N2818" s="5" t="s">
        <v>242</v>
      </c>
      <c r="O2818" s="5">
        <v>1</v>
      </c>
      <c r="P2818" s="5" t="s">
        <v>294</v>
      </c>
      <c r="Q2818" s="5" t="s">
        <v>266</v>
      </c>
      <c r="R2818" s="5" t="s">
        <v>240</v>
      </c>
      <c r="S2818" s="5" t="s">
        <v>240</v>
      </c>
      <c r="T2818" s="5" t="s">
        <v>296</v>
      </c>
      <c r="U2818" s="5" t="s">
        <v>244</v>
      </c>
      <c r="V2818" s="5" t="s">
        <v>240</v>
      </c>
      <c r="Y2818" s="5" t="s">
        <v>240</v>
      </c>
      <c r="Z2818" s="6" t="s">
        <v>298</v>
      </c>
      <c r="AB2818" s="6" t="s">
        <v>240</v>
      </c>
      <c r="AE2818" s="6" t="s">
        <v>299</v>
      </c>
      <c r="AF2818" s="5" t="s">
        <v>248</v>
      </c>
      <c r="AG2818" s="5" t="s">
        <v>249</v>
      </c>
      <c r="AW2818" s="5" t="s">
        <v>251</v>
      </c>
      <c r="AX2818" s="5" t="s">
        <v>240</v>
      </c>
      <c r="AY2818" s="5" t="s">
        <v>253</v>
      </c>
      <c r="AZ2818" s="5" t="s">
        <v>240</v>
      </c>
      <c r="BA2818" s="5" t="s">
        <v>255</v>
      </c>
      <c r="BB2818" s="5" t="s">
        <v>240</v>
      </c>
      <c r="BD2818" s="5" t="s">
        <v>240</v>
      </c>
      <c r="BF2818" s="5" t="s">
        <v>301</v>
      </c>
      <c r="BG2818" s="6" t="s">
        <v>299</v>
      </c>
      <c r="BH2818" s="5" t="s">
        <v>302</v>
      </c>
      <c r="BI2818" s="5" t="s">
        <v>303</v>
      </c>
      <c r="BJ2818" s="5" t="s">
        <v>240</v>
      </c>
      <c r="BK2818" s="8">
        <f>0</f>
        <v>0</v>
      </c>
      <c r="BL2818" s="7">
        <f>0</f>
        <v>0</v>
      </c>
      <c r="BM2818" s="5" t="s">
        <v>258</v>
      </c>
      <c r="BN2818" s="5" t="s">
        <v>259</v>
      </c>
      <c r="CB2818" s="5" t="s">
        <v>240</v>
      </c>
      <c r="CC2818" s="5" t="s">
        <v>240</v>
      </c>
      <c r="CG2818" s="5" t="s">
        <v>304</v>
      </c>
      <c r="CH2818" s="5" t="s">
        <v>305</v>
      </c>
      <c r="CI2818" s="5" t="s">
        <v>240</v>
      </c>
      <c r="CL2818" s="6" t="s">
        <v>261</v>
      </c>
      <c r="CM2818" s="5" t="s">
        <v>240</v>
      </c>
      <c r="CN2818" s="5" t="s">
        <v>263</v>
      </c>
      <c r="CO2818" s="5" t="s">
        <v>240</v>
      </c>
      <c r="CP2818" s="5" t="s">
        <v>240</v>
      </c>
      <c r="CQ2818" s="5">
        <v>0</v>
      </c>
      <c r="CR2818" s="5" t="s">
        <v>306</v>
      </c>
      <c r="CS2818" s="5" t="s">
        <v>307</v>
      </c>
      <c r="CT2818" s="5" t="s">
        <v>307</v>
      </c>
      <c r="CU2818" s="5" t="s">
        <v>260</v>
      </c>
      <c r="CX2818" s="7">
        <f>1</f>
        <v>1</v>
      </c>
      <c r="CY2818" s="7">
        <f>0</f>
        <v>0</v>
      </c>
      <c r="DA2818" s="7">
        <f>0</f>
        <v>0</v>
      </c>
      <c r="DC2818" s="5" t="s">
        <v>309</v>
      </c>
      <c r="DD2818" s="5" t="s">
        <v>240</v>
      </c>
      <c r="DF2818" s="5" t="s">
        <v>309</v>
      </c>
      <c r="DG2818" s="7">
        <f>1198</f>
        <v>1198</v>
      </c>
      <c r="DI2818" s="5" t="s">
        <v>240</v>
      </c>
      <c r="DJ2818" s="5" t="s">
        <v>240</v>
      </c>
      <c r="DK2818" s="5" t="s">
        <v>240</v>
      </c>
      <c r="DL2818" s="5" t="s">
        <v>240</v>
      </c>
      <c r="DP2818" s="5" t="s">
        <v>240</v>
      </c>
      <c r="DQ2818" s="5" t="s">
        <v>240</v>
      </c>
      <c r="DR2818" s="5" t="s">
        <v>240</v>
      </c>
      <c r="DS2818" s="5" t="s">
        <v>240</v>
      </c>
      <c r="DV2818" s="5" t="s">
        <v>310</v>
      </c>
      <c r="DW2818" s="5" t="s">
        <v>4968</v>
      </c>
      <c r="HO2818" s="5" t="s">
        <v>312</v>
      </c>
    </row>
    <row r="2819" spans="1:223" x14ac:dyDescent="0.4">
      <c r="A2819" s="5">
        <v>4523</v>
      </c>
      <c r="B2819" s="5">
        <v>1</v>
      </c>
      <c r="C2819" s="5">
        <v>1</v>
      </c>
      <c r="D2819" s="5" t="s">
        <v>810</v>
      </c>
      <c r="E2819" s="5" t="s">
        <v>245</v>
      </c>
      <c r="F2819" s="5" t="s">
        <v>254</v>
      </c>
      <c r="G2819" s="5" t="s">
        <v>240</v>
      </c>
      <c r="H2819" s="6" t="s">
        <v>2907</v>
      </c>
      <c r="I2819" s="5" t="s">
        <v>809</v>
      </c>
      <c r="J2819" s="8">
        <f>28</f>
        <v>28</v>
      </c>
      <c r="K2819" s="5" t="s">
        <v>308</v>
      </c>
      <c r="L2819" s="7">
        <f>1</f>
        <v>1</v>
      </c>
      <c r="M2819" s="7">
        <f>1</f>
        <v>1</v>
      </c>
      <c r="N2819" s="5" t="s">
        <v>242</v>
      </c>
      <c r="O2819" s="5">
        <v>1</v>
      </c>
      <c r="P2819" s="5" t="s">
        <v>294</v>
      </c>
      <c r="Q2819" s="5" t="s">
        <v>266</v>
      </c>
      <c r="R2819" s="5" t="s">
        <v>240</v>
      </c>
      <c r="S2819" s="5" t="s">
        <v>240</v>
      </c>
      <c r="T2819" s="5" t="s">
        <v>296</v>
      </c>
      <c r="U2819" s="5" t="s">
        <v>244</v>
      </c>
      <c r="V2819" s="5" t="s">
        <v>240</v>
      </c>
      <c r="Y2819" s="5" t="s">
        <v>240</v>
      </c>
      <c r="Z2819" s="6" t="s">
        <v>298</v>
      </c>
      <c r="AB2819" s="6" t="s">
        <v>240</v>
      </c>
      <c r="AE2819" s="6" t="s">
        <v>299</v>
      </c>
      <c r="AF2819" s="5" t="s">
        <v>248</v>
      </c>
      <c r="AG2819" s="5" t="s">
        <v>249</v>
      </c>
      <c r="AW2819" s="5" t="s">
        <v>251</v>
      </c>
      <c r="AX2819" s="5" t="s">
        <v>240</v>
      </c>
      <c r="AY2819" s="5" t="s">
        <v>253</v>
      </c>
      <c r="AZ2819" s="5" t="s">
        <v>240</v>
      </c>
      <c r="BA2819" s="5" t="s">
        <v>255</v>
      </c>
      <c r="BB2819" s="5" t="s">
        <v>240</v>
      </c>
      <c r="BD2819" s="5" t="s">
        <v>240</v>
      </c>
      <c r="BF2819" s="5" t="s">
        <v>301</v>
      </c>
      <c r="BG2819" s="6" t="s">
        <v>299</v>
      </c>
      <c r="BH2819" s="5" t="s">
        <v>302</v>
      </c>
      <c r="BI2819" s="5" t="s">
        <v>303</v>
      </c>
      <c r="BJ2819" s="5" t="s">
        <v>240</v>
      </c>
      <c r="BK2819" s="8">
        <f>0</f>
        <v>0</v>
      </c>
      <c r="BL2819" s="7">
        <f>0</f>
        <v>0</v>
      </c>
      <c r="BM2819" s="5" t="s">
        <v>258</v>
      </c>
      <c r="BN2819" s="5" t="s">
        <v>259</v>
      </c>
      <c r="CB2819" s="5" t="s">
        <v>240</v>
      </c>
      <c r="CC2819" s="5" t="s">
        <v>240</v>
      </c>
      <c r="CG2819" s="5" t="s">
        <v>304</v>
      </c>
      <c r="CH2819" s="5" t="s">
        <v>305</v>
      </c>
      <c r="CI2819" s="5" t="s">
        <v>240</v>
      </c>
      <c r="CL2819" s="6" t="s">
        <v>261</v>
      </c>
      <c r="CM2819" s="5" t="s">
        <v>240</v>
      </c>
      <c r="CN2819" s="5" t="s">
        <v>263</v>
      </c>
      <c r="CO2819" s="5" t="s">
        <v>240</v>
      </c>
      <c r="CP2819" s="5" t="s">
        <v>240</v>
      </c>
      <c r="CQ2819" s="5">
        <v>0</v>
      </c>
      <c r="CR2819" s="5" t="s">
        <v>306</v>
      </c>
      <c r="CS2819" s="5" t="s">
        <v>307</v>
      </c>
      <c r="CT2819" s="5" t="s">
        <v>307</v>
      </c>
      <c r="CU2819" s="5" t="s">
        <v>260</v>
      </c>
      <c r="CX2819" s="7">
        <f>1</f>
        <v>1</v>
      </c>
      <c r="CY2819" s="7">
        <f>0</f>
        <v>0</v>
      </c>
      <c r="DA2819" s="7">
        <f>0</f>
        <v>0</v>
      </c>
      <c r="DC2819" s="5" t="s">
        <v>309</v>
      </c>
      <c r="DD2819" s="5" t="s">
        <v>240</v>
      </c>
      <c r="DF2819" s="5" t="s">
        <v>309</v>
      </c>
      <c r="DG2819" s="7">
        <f>2763</f>
        <v>2763</v>
      </c>
      <c r="DI2819" s="5" t="s">
        <v>240</v>
      </c>
      <c r="DJ2819" s="5" t="s">
        <v>240</v>
      </c>
      <c r="DK2819" s="5" t="s">
        <v>240</v>
      </c>
      <c r="DL2819" s="5" t="s">
        <v>240</v>
      </c>
      <c r="DP2819" s="5" t="s">
        <v>240</v>
      </c>
      <c r="DQ2819" s="5" t="s">
        <v>240</v>
      </c>
      <c r="DR2819" s="5" t="s">
        <v>240</v>
      </c>
      <c r="DS2819" s="5" t="s">
        <v>240</v>
      </c>
      <c r="DV2819" s="5" t="s">
        <v>310</v>
      </c>
      <c r="DW2819" s="5" t="s">
        <v>3694</v>
      </c>
      <c r="HO2819" s="5" t="s">
        <v>312</v>
      </c>
    </row>
    <row r="2820" spans="1:223" x14ac:dyDescent="0.4">
      <c r="A2820" s="5">
        <v>4524</v>
      </c>
      <c r="B2820" s="5">
        <v>1</v>
      </c>
      <c r="C2820" s="5">
        <v>1</v>
      </c>
      <c r="D2820" s="5" t="s">
        <v>810</v>
      </c>
      <c r="E2820" s="5" t="s">
        <v>245</v>
      </c>
      <c r="F2820" s="5" t="s">
        <v>254</v>
      </c>
      <c r="G2820" s="5" t="s">
        <v>240</v>
      </c>
      <c r="H2820" s="6" t="s">
        <v>2905</v>
      </c>
      <c r="I2820" s="5" t="s">
        <v>809</v>
      </c>
      <c r="J2820" s="8">
        <f>250</f>
        <v>250</v>
      </c>
      <c r="K2820" s="5" t="s">
        <v>308</v>
      </c>
      <c r="L2820" s="7">
        <f>1</f>
        <v>1</v>
      </c>
      <c r="M2820" s="7">
        <f>1</f>
        <v>1</v>
      </c>
      <c r="N2820" s="5" t="s">
        <v>242</v>
      </c>
      <c r="O2820" s="5">
        <v>1</v>
      </c>
      <c r="P2820" s="5" t="s">
        <v>294</v>
      </c>
      <c r="Q2820" s="5" t="s">
        <v>266</v>
      </c>
      <c r="R2820" s="5" t="s">
        <v>240</v>
      </c>
      <c r="S2820" s="5" t="s">
        <v>240</v>
      </c>
      <c r="T2820" s="5" t="s">
        <v>296</v>
      </c>
      <c r="U2820" s="5" t="s">
        <v>244</v>
      </c>
      <c r="V2820" s="5" t="s">
        <v>240</v>
      </c>
      <c r="Y2820" s="5" t="s">
        <v>240</v>
      </c>
      <c r="Z2820" s="6" t="s">
        <v>298</v>
      </c>
      <c r="AB2820" s="6" t="s">
        <v>240</v>
      </c>
      <c r="AE2820" s="6" t="s">
        <v>299</v>
      </c>
      <c r="AF2820" s="5" t="s">
        <v>248</v>
      </c>
      <c r="AG2820" s="5" t="s">
        <v>249</v>
      </c>
      <c r="AW2820" s="5" t="s">
        <v>251</v>
      </c>
      <c r="AX2820" s="5" t="s">
        <v>240</v>
      </c>
      <c r="AY2820" s="5" t="s">
        <v>253</v>
      </c>
      <c r="AZ2820" s="5" t="s">
        <v>240</v>
      </c>
      <c r="BA2820" s="5" t="s">
        <v>255</v>
      </c>
      <c r="BB2820" s="5" t="s">
        <v>240</v>
      </c>
      <c r="BD2820" s="5" t="s">
        <v>240</v>
      </c>
      <c r="BF2820" s="5" t="s">
        <v>301</v>
      </c>
      <c r="BG2820" s="6" t="s">
        <v>299</v>
      </c>
      <c r="BH2820" s="5" t="s">
        <v>302</v>
      </c>
      <c r="BI2820" s="5" t="s">
        <v>303</v>
      </c>
      <c r="BJ2820" s="5" t="s">
        <v>240</v>
      </c>
      <c r="BK2820" s="8">
        <f>0</f>
        <v>0</v>
      </c>
      <c r="BL2820" s="7">
        <f>0</f>
        <v>0</v>
      </c>
      <c r="BM2820" s="5" t="s">
        <v>258</v>
      </c>
      <c r="BN2820" s="5" t="s">
        <v>259</v>
      </c>
      <c r="CB2820" s="5" t="s">
        <v>240</v>
      </c>
      <c r="CC2820" s="5" t="s">
        <v>240</v>
      </c>
      <c r="CG2820" s="5" t="s">
        <v>304</v>
      </c>
      <c r="CH2820" s="5" t="s">
        <v>305</v>
      </c>
      <c r="CI2820" s="5" t="s">
        <v>240</v>
      </c>
      <c r="CL2820" s="6" t="s">
        <v>261</v>
      </c>
      <c r="CM2820" s="5" t="s">
        <v>240</v>
      </c>
      <c r="CN2820" s="5" t="s">
        <v>263</v>
      </c>
      <c r="CO2820" s="5" t="s">
        <v>240</v>
      </c>
      <c r="CP2820" s="5" t="s">
        <v>240</v>
      </c>
      <c r="CQ2820" s="5">
        <v>0</v>
      </c>
      <c r="CR2820" s="5" t="s">
        <v>306</v>
      </c>
      <c r="CS2820" s="5" t="s">
        <v>307</v>
      </c>
      <c r="CT2820" s="5" t="s">
        <v>307</v>
      </c>
      <c r="CU2820" s="5" t="s">
        <v>260</v>
      </c>
      <c r="CX2820" s="7">
        <f>1</f>
        <v>1</v>
      </c>
      <c r="CY2820" s="7">
        <f>0</f>
        <v>0</v>
      </c>
      <c r="DA2820" s="7">
        <f>0</f>
        <v>0</v>
      </c>
      <c r="DC2820" s="5" t="s">
        <v>309</v>
      </c>
      <c r="DD2820" s="5" t="s">
        <v>240</v>
      </c>
      <c r="DF2820" s="5" t="s">
        <v>309</v>
      </c>
      <c r="DG2820" s="7">
        <f>2220</f>
        <v>2220</v>
      </c>
      <c r="DI2820" s="5" t="s">
        <v>240</v>
      </c>
      <c r="DJ2820" s="5" t="s">
        <v>240</v>
      </c>
      <c r="DK2820" s="5" t="s">
        <v>240</v>
      </c>
      <c r="DL2820" s="5" t="s">
        <v>240</v>
      </c>
      <c r="DP2820" s="5" t="s">
        <v>240</v>
      </c>
      <c r="DQ2820" s="5" t="s">
        <v>240</v>
      </c>
      <c r="DR2820" s="5" t="s">
        <v>240</v>
      </c>
      <c r="DS2820" s="5" t="s">
        <v>240</v>
      </c>
      <c r="DV2820" s="5" t="s">
        <v>310</v>
      </c>
      <c r="DW2820" s="5" t="s">
        <v>4971</v>
      </c>
      <c r="HO2820" s="5" t="s">
        <v>312</v>
      </c>
    </row>
    <row r="2821" spans="1:223" x14ac:dyDescent="0.4">
      <c r="A2821" s="5">
        <v>4525</v>
      </c>
      <c r="B2821" s="5">
        <v>1</v>
      </c>
      <c r="C2821" s="5">
        <v>1</v>
      </c>
      <c r="D2821" s="5" t="s">
        <v>810</v>
      </c>
      <c r="E2821" s="5" t="s">
        <v>245</v>
      </c>
      <c r="F2821" s="5" t="s">
        <v>254</v>
      </c>
      <c r="G2821" s="5" t="s">
        <v>240</v>
      </c>
      <c r="H2821" s="6" t="s">
        <v>2903</v>
      </c>
      <c r="I2821" s="5" t="s">
        <v>809</v>
      </c>
      <c r="J2821" s="8">
        <f>635</f>
        <v>635</v>
      </c>
      <c r="K2821" s="5" t="s">
        <v>308</v>
      </c>
      <c r="L2821" s="7">
        <f>1</f>
        <v>1</v>
      </c>
      <c r="M2821" s="7">
        <f>1</f>
        <v>1</v>
      </c>
      <c r="N2821" s="5" t="s">
        <v>242</v>
      </c>
      <c r="O2821" s="5">
        <v>1</v>
      </c>
      <c r="P2821" s="5" t="s">
        <v>294</v>
      </c>
      <c r="Q2821" s="5" t="s">
        <v>266</v>
      </c>
      <c r="R2821" s="5" t="s">
        <v>240</v>
      </c>
      <c r="S2821" s="5" t="s">
        <v>240</v>
      </c>
      <c r="T2821" s="5" t="s">
        <v>296</v>
      </c>
      <c r="U2821" s="5" t="s">
        <v>244</v>
      </c>
      <c r="V2821" s="5" t="s">
        <v>240</v>
      </c>
      <c r="Y2821" s="5" t="s">
        <v>240</v>
      </c>
      <c r="Z2821" s="6" t="s">
        <v>298</v>
      </c>
      <c r="AB2821" s="6" t="s">
        <v>240</v>
      </c>
      <c r="AE2821" s="6" t="s">
        <v>299</v>
      </c>
      <c r="AF2821" s="5" t="s">
        <v>248</v>
      </c>
      <c r="AG2821" s="5" t="s">
        <v>249</v>
      </c>
      <c r="AW2821" s="5" t="s">
        <v>251</v>
      </c>
      <c r="AX2821" s="5" t="s">
        <v>240</v>
      </c>
      <c r="AY2821" s="5" t="s">
        <v>253</v>
      </c>
      <c r="AZ2821" s="5" t="s">
        <v>240</v>
      </c>
      <c r="BA2821" s="5" t="s">
        <v>255</v>
      </c>
      <c r="BB2821" s="5" t="s">
        <v>240</v>
      </c>
      <c r="BD2821" s="5" t="s">
        <v>240</v>
      </c>
      <c r="BF2821" s="5" t="s">
        <v>301</v>
      </c>
      <c r="BG2821" s="6" t="s">
        <v>299</v>
      </c>
      <c r="BH2821" s="5" t="s">
        <v>302</v>
      </c>
      <c r="BI2821" s="5" t="s">
        <v>303</v>
      </c>
      <c r="BJ2821" s="5" t="s">
        <v>240</v>
      </c>
      <c r="BK2821" s="8">
        <f>0</f>
        <v>0</v>
      </c>
      <c r="BL2821" s="7">
        <f>0</f>
        <v>0</v>
      </c>
      <c r="BM2821" s="5" t="s">
        <v>258</v>
      </c>
      <c r="BN2821" s="5" t="s">
        <v>259</v>
      </c>
      <c r="CB2821" s="5" t="s">
        <v>240</v>
      </c>
      <c r="CC2821" s="5" t="s">
        <v>240</v>
      </c>
      <c r="CG2821" s="5" t="s">
        <v>304</v>
      </c>
      <c r="CH2821" s="5" t="s">
        <v>305</v>
      </c>
      <c r="CI2821" s="5" t="s">
        <v>240</v>
      </c>
      <c r="CL2821" s="6" t="s">
        <v>261</v>
      </c>
      <c r="CM2821" s="5" t="s">
        <v>240</v>
      </c>
      <c r="CN2821" s="5" t="s">
        <v>263</v>
      </c>
      <c r="CO2821" s="5" t="s">
        <v>240</v>
      </c>
      <c r="CP2821" s="5" t="s">
        <v>240</v>
      </c>
      <c r="CQ2821" s="5">
        <v>0</v>
      </c>
      <c r="CR2821" s="5" t="s">
        <v>306</v>
      </c>
      <c r="CS2821" s="5" t="s">
        <v>307</v>
      </c>
      <c r="CT2821" s="5" t="s">
        <v>307</v>
      </c>
      <c r="CU2821" s="5" t="s">
        <v>260</v>
      </c>
      <c r="CX2821" s="7">
        <f>1</f>
        <v>1</v>
      </c>
      <c r="CY2821" s="7">
        <f>0</f>
        <v>0</v>
      </c>
      <c r="DA2821" s="7">
        <f>0</f>
        <v>0</v>
      </c>
      <c r="DC2821" s="5" t="s">
        <v>309</v>
      </c>
      <c r="DD2821" s="5" t="s">
        <v>240</v>
      </c>
      <c r="DF2821" s="5" t="s">
        <v>309</v>
      </c>
      <c r="DG2821" s="7">
        <f>1942</f>
        <v>1942</v>
      </c>
      <c r="DI2821" s="5" t="s">
        <v>240</v>
      </c>
      <c r="DJ2821" s="5" t="s">
        <v>240</v>
      </c>
      <c r="DK2821" s="5" t="s">
        <v>240</v>
      </c>
      <c r="DL2821" s="5" t="s">
        <v>240</v>
      </c>
      <c r="DP2821" s="5" t="s">
        <v>240</v>
      </c>
      <c r="DQ2821" s="5" t="s">
        <v>240</v>
      </c>
      <c r="DR2821" s="5" t="s">
        <v>240</v>
      </c>
      <c r="DS2821" s="5" t="s">
        <v>240</v>
      </c>
      <c r="DV2821" s="5" t="s">
        <v>310</v>
      </c>
      <c r="DW2821" s="5" t="s">
        <v>3697</v>
      </c>
      <c r="HO2821" s="5" t="s">
        <v>312</v>
      </c>
    </row>
    <row r="2822" spans="1:223" x14ac:dyDescent="0.4">
      <c r="A2822" s="5">
        <v>4526</v>
      </c>
      <c r="B2822" s="5">
        <v>1</v>
      </c>
      <c r="C2822" s="5">
        <v>1</v>
      </c>
      <c r="D2822" s="5" t="s">
        <v>810</v>
      </c>
      <c r="E2822" s="5" t="s">
        <v>245</v>
      </c>
      <c r="F2822" s="5" t="s">
        <v>254</v>
      </c>
      <c r="G2822" s="5" t="s">
        <v>240</v>
      </c>
      <c r="H2822" s="6" t="s">
        <v>2901</v>
      </c>
      <c r="I2822" s="5" t="s">
        <v>809</v>
      </c>
      <c r="J2822" s="8">
        <f>1869</f>
        <v>1869</v>
      </c>
      <c r="K2822" s="5" t="s">
        <v>308</v>
      </c>
      <c r="L2822" s="7">
        <f>1</f>
        <v>1</v>
      </c>
      <c r="M2822" s="7">
        <f>1</f>
        <v>1</v>
      </c>
      <c r="N2822" s="5" t="s">
        <v>242</v>
      </c>
      <c r="O2822" s="5">
        <v>1</v>
      </c>
      <c r="P2822" s="5" t="s">
        <v>294</v>
      </c>
      <c r="Q2822" s="5" t="s">
        <v>266</v>
      </c>
      <c r="R2822" s="5" t="s">
        <v>240</v>
      </c>
      <c r="S2822" s="5" t="s">
        <v>240</v>
      </c>
      <c r="T2822" s="5" t="s">
        <v>296</v>
      </c>
      <c r="U2822" s="5" t="s">
        <v>244</v>
      </c>
      <c r="V2822" s="5" t="s">
        <v>240</v>
      </c>
      <c r="Y2822" s="5" t="s">
        <v>240</v>
      </c>
      <c r="Z2822" s="6" t="s">
        <v>298</v>
      </c>
      <c r="AB2822" s="6" t="s">
        <v>240</v>
      </c>
      <c r="AE2822" s="6" t="s">
        <v>299</v>
      </c>
      <c r="AF2822" s="5" t="s">
        <v>248</v>
      </c>
      <c r="AG2822" s="5" t="s">
        <v>249</v>
      </c>
      <c r="AW2822" s="5" t="s">
        <v>251</v>
      </c>
      <c r="AX2822" s="5" t="s">
        <v>240</v>
      </c>
      <c r="AY2822" s="5" t="s">
        <v>253</v>
      </c>
      <c r="AZ2822" s="5" t="s">
        <v>240</v>
      </c>
      <c r="BA2822" s="5" t="s">
        <v>255</v>
      </c>
      <c r="BB2822" s="5" t="s">
        <v>240</v>
      </c>
      <c r="BD2822" s="5" t="s">
        <v>240</v>
      </c>
      <c r="BF2822" s="5" t="s">
        <v>301</v>
      </c>
      <c r="BG2822" s="6" t="s">
        <v>299</v>
      </c>
      <c r="BH2822" s="5" t="s">
        <v>302</v>
      </c>
      <c r="BI2822" s="5" t="s">
        <v>303</v>
      </c>
      <c r="BJ2822" s="5" t="s">
        <v>240</v>
      </c>
      <c r="BK2822" s="8">
        <f>0</f>
        <v>0</v>
      </c>
      <c r="BL2822" s="7">
        <f>0</f>
        <v>0</v>
      </c>
      <c r="BM2822" s="5" t="s">
        <v>258</v>
      </c>
      <c r="BN2822" s="5" t="s">
        <v>259</v>
      </c>
      <c r="CB2822" s="5" t="s">
        <v>240</v>
      </c>
      <c r="CC2822" s="5" t="s">
        <v>240</v>
      </c>
      <c r="CG2822" s="5" t="s">
        <v>304</v>
      </c>
      <c r="CH2822" s="5" t="s">
        <v>305</v>
      </c>
      <c r="CI2822" s="5" t="s">
        <v>240</v>
      </c>
      <c r="CL2822" s="6" t="s">
        <v>261</v>
      </c>
      <c r="CM2822" s="5" t="s">
        <v>240</v>
      </c>
      <c r="CN2822" s="5" t="s">
        <v>263</v>
      </c>
      <c r="CO2822" s="5" t="s">
        <v>240</v>
      </c>
      <c r="CP2822" s="5" t="s">
        <v>240</v>
      </c>
      <c r="CQ2822" s="5">
        <v>0</v>
      </c>
      <c r="CR2822" s="5" t="s">
        <v>306</v>
      </c>
      <c r="CS2822" s="5" t="s">
        <v>307</v>
      </c>
      <c r="CT2822" s="5" t="s">
        <v>307</v>
      </c>
      <c r="CU2822" s="5" t="s">
        <v>260</v>
      </c>
      <c r="CX2822" s="7">
        <f>1</f>
        <v>1</v>
      </c>
      <c r="CY2822" s="7">
        <f>0</f>
        <v>0</v>
      </c>
      <c r="DA2822" s="7">
        <f>0</f>
        <v>0</v>
      </c>
      <c r="DC2822" s="5" t="s">
        <v>812</v>
      </c>
      <c r="DD2822" s="5" t="s">
        <v>240</v>
      </c>
      <c r="DF2822" s="5" t="s">
        <v>812</v>
      </c>
      <c r="DG2822" s="7">
        <f>321</f>
        <v>321</v>
      </c>
      <c r="DI2822" s="5" t="s">
        <v>240</v>
      </c>
      <c r="DJ2822" s="5" t="s">
        <v>240</v>
      </c>
      <c r="DK2822" s="5" t="s">
        <v>240</v>
      </c>
      <c r="DL2822" s="5" t="s">
        <v>240</v>
      </c>
      <c r="DP2822" s="5" t="s">
        <v>240</v>
      </c>
      <c r="DQ2822" s="5" t="s">
        <v>240</v>
      </c>
      <c r="DR2822" s="5" t="s">
        <v>240</v>
      </c>
      <c r="DS2822" s="5" t="s">
        <v>240</v>
      </c>
      <c r="DV2822" s="5" t="s">
        <v>813</v>
      </c>
      <c r="DW2822" s="5" t="s">
        <v>4974</v>
      </c>
      <c r="HO2822" s="5" t="s">
        <v>312</v>
      </c>
    </row>
    <row r="2823" spans="1:223" x14ac:dyDescent="0.4">
      <c r="A2823" s="5">
        <v>4527</v>
      </c>
      <c r="B2823" s="5">
        <v>1</v>
      </c>
      <c r="C2823" s="5">
        <v>1</v>
      </c>
      <c r="D2823" s="5" t="s">
        <v>810</v>
      </c>
      <c r="E2823" s="5" t="s">
        <v>245</v>
      </c>
      <c r="F2823" s="5" t="s">
        <v>254</v>
      </c>
      <c r="G2823" s="5" t="s">
        <v>240</v>
      </c>
      <c r="H2823" s="6" t="s">
        <v>2899</v>
      </c>
      <c r="I2823" s="5" t="s">
        <v>809</v>
      </c>
      <c r="J2823" s="8">
        <f>1333</f>
        <v>1333</v>
      </c>
      <c r="K2823" s="5" t="s">
        <v>308</v>
      </c>
      <c r="L2823" s="7">
        <f>1</f>
        <v>1</v>
      </c>
      <c r="M2823" s="7">
        <f>1</f>
        <v>1</v>
      </c>
      <c r="N2823" s="5" t="s">
        <v>242</v>
      </c>
      <c r="O2823" s="5">
        <v>1</v>
      </c>
      <c r="P2823" s="5" t="s">
        <v>294</v>
      </c>
      <c r="Q2823" s="5" t="s">
        <v>266</v>
      </c>
      <c r="R2823" s="5" t="s">
        <v>240</v>
      </c>
      <c r="S2823" s="5" t="s">
        <v>240</v>
      </c>
      <c r="T2823" s="5" t="s">
        <v>296</v>
      </c>
      <c r="U2823" s="5" t="s">
        <v>244</v>
      </c>
      <c r="V2823" s="5" t="s">
        <v>240</v>
      </c>
      <c r="Y2823" s="5" t="s">
        <v>240</v>
      </c>
      <c r="Z2823" s="6" t="s">
        <v>298</v>
      </c>
      <c r="AB2823" s="6" t="s">
        <v>240</v>
      </c>
      <c r="AE2823" s="6" t="s">
        <v>299</v>
      </c>
      <c r="AF2823" s="5" t="s">
        <v>248</v>
      </c>
      <c r="AG2823" s="5" t="s">
        <v>249</v>
      </c>
      <c r="AW2823" s="5" t="s">
        <v>251</v>
      </c>
      <c r="AX2823" s="5" t="s">
        <v>240</v>
      </c>
      <c r="AY2823" s="5" t="s">
        <v>253</v>
      </c>
      <c r="AZ2823" s="5" t="s">
        <v>240</v>
      </c>
      <c r="BA2823" s="5" t="s">
        <v>255</v>
      </c>
      <c r="BB2823" s="5" t="s">
        <v>240</v>
      </c>
      <c r="BD2823" s="5" t="s">
        <v>240</v>
      </c>
      <c r="BF2823" s="5" t="s">
        <v>301</v>
      </c>
      <c r="BG2823" s="6" t="s">
        <v>299</v>
      </c>
      <c r="BH2823" s="5" t="s">
        <v>302</v>
      </c>
      <c r="BI2823" s="5" t="s">
        <v>303</v>
      </c>
      <c r="BJ2823" s="5" t="s">
        <v>240</v>
      </c>
      <c r="BK2823" s="8">
        <f>0</f>
        <v>0</v>
      </c>
      <c r="BL2823" s="7">
        <f>0</f>
        <v>0</v>
      </c>
      <c r="BM2823" s="5" t="s">
        <v>258</v>
      </c>
      <c r="BN2823" s="5" t="s">
        <v>259</v>
      </c>
      <c r="CB2823" s="5" t="s">
        <v>240</v>
      </c>
      <c r="CC2823" s="5" t="s">
        <v>240</v>
      </c>
      <c r="CG2823" s="5" t="s">
        <v>304</v>
      </c>
      <c r="CH2823" s="5" t="s">
        <v>305</v>
      </c>
      <c r="CI2823" s="5" t="s">
        <v>240</v>
      </c>
      <c r="CL2823" s="6" t="s">
        <v>261</v>
      </c>
      <c r="CM2823" s="5" t="s">
        <v>240</v>
      </c>
      <c r="CN2823" s="5" t="s">
        <v>263</v>
      </c>
      <c r="CO2823" s="5" t="s">
        <v>240</v>
      </c>
      <c r="CP2823" s="5" t="s">
        <v>240</v>
      </c>
      <c r="CQ2823" s="5">
        <v>0</v>
      </c>
      <c r="CR2823" s="5" t="s">
        <v>306</v>
      </c>
      <c r="CS2823" s="5" t="s">
        <v>307</v>
      </c>
      <c r="CT2823" s="5" t="s">
        <v>307</v>
      </c>
      <c r="CU2823" s="5" t="s">
        <v>260</v>
      </c>
      <c r="CX2823" s="7">
        <f>1</f>
        <v>1</v>
      </c>
      <c r="CY2823" s="7">
        <f>0</f>
        <v>0</v>
      </c>
      <c r="DA2823" s="7">
        <f>0</f>
        <v>0</v>
      </c>
      <c r="DC2823" s="5" t="s">
        <v>309</v>
      </c>
      <c r="DD2823" s="5" t="s">
        <v>240</v>
      </c>
      <c r="DF2823" s="5" t="s">
        <v>309</v>
      </c>
      <c r="DG2823" s="7">
        <f>6011</f>
        <v>6011</v>
      </c>
      <c r="DI2823" s="5" t="s">
        <v>240</v>
      </c>
      <c r="DJ2823" s="5" t="s">
        <v>240</v>
      </c>
      <c r="DK2823" s="5" t="s">
        <v>240</v>
      </c>
      <c r="DL2823" s="5" t="s">
        <v>240</v>
      </c>
      <c r="DP2823" s="5" t="s">
        <v>240</v>
      </c>
      <c r="DQ2823" s="5" t="s">
        <v>240</v>
      </c>
      <c r="DR2823" s="5" t="s">
        <v>240</v>
      </c>
      <c r="DS2823" s="5" t="s">
        <v>240</v>
      </c>
      <c r="DV2823" s="5" t="s">
        <v>310</v>
      </c>
      <c r="DW2823" s="5" t="s">
        <v>3701</v>
      </c>
      <c r="HO2823" s="5" t="s">
        <v>312</v>
      </c>
    </row>
    <row r="2824" spans="1:223" x14ac:dyDescent="0.4">
      <c r="A2824" s="5">
        <v>4528</v>
      </c>
      <c r="B2824" s="5">
        <v>1</v>
      </c>
      <c r="C2824" s="5">
        <v>1</v>
      </c>
      <c r="D2824" s="5" t="s">
        <v>810</v>
      </c>
      <c r="E2824" s="5" t="s">
        <v>245</v>
      </c>
      <c r="F2824" s="5" t="s">
        <v>254</v>
      </c>
      <c r="G2824" s="5" t="s">
        <v>240</v>
      </c>
      <c r="H2824" s="6" t="s">
        <v>2897</v>
      </c>
      <c r="I2824" s="5" t="s">
        <v>809</v>
      </c>
      <c r="J2824" s="8">
        <f>529</f>
        <v>529</v>
      </c>
      <c r="K2824" s="5" t="s">
        <v>308</v>
      </c>
      <c r="L2824" s="7">
        <f>1</f>
        <v>1</v>
      </c>
      <c r="M2824" s="7">
        <f>1</f>
        <v>1</v>
      </c>
      <c r="N2824" s="5" t="s">
        <v>242</v>
      </c>
      <c r="O2824" s="5">
        <v>1</v>
      </c>
      <c r="P2824" s="5" t="s">
        <v>294</v>
      </c>
      <c r="Q2824" s="5" t="s">
        <v>266</v>
      </c>
      <c r="R2824" s="5" t="s">
        <v>240</v>
      </c>
      <c r="S2824" s="5" t="s">
        <v>240</v>
      </c>
      <c r="T2824" s="5" t="s">
        <v>296</v>
      </c>
      <c r="U2824" s="5" t="s">
        <v>244</v>
      </c>
      <c r="V2824" s="5" t="s">
        <v>240</v>
      </c>
      <c r="Y2824" s="5" t="s">
        <v>240</v>
      </c>
      <c r="Z2824" s="6" t="s">
        <v>298</v>
      </c>
      <c r="AB2824" s="6" t="s">
        <v>240</v>
      </c>
      <c r="AE2824" s="6" t="s">
        <v>299</v>
      </c>
      <c r="AF2824" s="5" t="s">
        <v>248</v>
      </c>
      <c r="AG2824" s="5" t="s">
        <v>249</v>
      </c>
      <c r="AW2824" s="5" t="s">
        <v>251</v>
      </c>
      <c r="AX2824" s="5" t="s">
        <v>240</v>
      </c>
      <c r="AY2824" s="5" t="s">
        <v>253</v>
      </c>
      <c r="AZ2824" s="5" t="s">
        <v>240</v>
      </c>
      <c r="BA2824" s="5" t="s">
        <v>255</v>
      </c>
      <c r="BB2824" s="5" t="s">
        <v>240</v>
      </c>
      <c r="BD2824" s="5" t="s">
        <v>240</v>
      </c>
      <c r="BF2824" s="5" t="s">
        <v>301</v>
      </c>
      <c r="BG2824" s="6" t="s">
        <v>299</v>
      </c>
      <c r="BH2824" s="5" t="s">
        <v>302</v>
      </c>
      <c r="BI2824" s="5" t="s">
        <v>303</v>
      </c>
      <c r="BJ2824" s="5" t="s">
        <v>240</v>
      </c>
      <c r="BK2824" s="8">
        <f>0</f>
        <v>0</v>
      </c>
      <c r="BL2824" s="7">
        <f>0</f>
        <v>0</v>
      </c>
      <c r="BM2824" s="5" t="s">
        <v>258</v>
      </c>
      <c r="BN2824" s="5" t="s">
        <v>259</v>
      </c>
      <c r="CB2824" s="5" t="s">
        <v>240</v>
      </c>
      <c r="CC2824" s="5" t="s">
        <v>240</v>
      </c>
      <c r="CG2824" s="5" t="s">
        <v>304</v>
      </c>
      <c r="CH2824" s="5" t="s">
        <v>305</v>
      </c>
      <c r="CI2824" s="5" t="s">
        <v>240</v>
      </c>
      <c r="CL2824" s="6" t="s">
        <v>261</v>
      </c>
      <c r="CM2824" s="5" t="s">
        <v>240</v>
      </c>
      <c r="CN2824" s="5" t="s">
        <v>263</v>
      </c>
      <c r="CO2824" s="5" t="s">
        <v>240</v>
      </c>
      <c r="CP2824" s="5" t="s">
        <v>240</v>
      </c>
      <c r="CQ2824" s="5">
        <v>0</v>
      </c>
      <c r="CR2824" s="5" t="s">
        <v>306</v>
      </c>
      <c r="CS2824" s="5" t="s">
        <v>307</v>
      </c>
      <c r="CT2824" s="5" t="s">
        <v>307</v>
      </c>
      <c r="CU2824" s="5" t="s">
        <v>260</v>
      </c>
      <c r="CX2824" s="7">
        <f>1</f>
        <v>1</v>
      </c>
      <c r="CY2824" s="7">
        <f>0</f>
        <v>0</v>
      </c>
      <c r="DA2824" s="7">
        <f>0</f>
        <v>0</v>
      </c>
      <c r="DC2824" s="5" t="s">
        <v>309</v>
      </c>
      <c r="DD2824" s="5" t="s">
        <v>240</v>
      </c>
      <c r="DF2824" s="5" t="s">
        <v>309</v>
      </c>
      <c r="DG2824" s="7">
        <f>1092</f>
        <v>1092</v>
      </c>
      <c r="DI2824" s="5" t="s">
        <v>240</v>
      </c>
      <c r="DJ2824" s="5" t="s">
        <v>240</v>
      </c>
      <c r="DK2824" s="5" t="s">
        <v>240</v>
      </c>
      <c r="DL2824" s="5" t="s">
        <v>240</v>
      </c>
      <c r="DP2824" s="5" t="s">
        <v>240</v>
      </c>
      <c r="DQ2824" s="5" t="s">
        <v>240</v>
      </c>
      <c r="DR2824" s="5" t="s">
        <v>240</v>
      </c>
      <c r="DS2824" s="5" t="s">
        <v>240</v>
      </c>
      <c r="DV2824" s="5" t="s">
        <v>310</v>
      </c>
      <c r="DW2824" s="5" t="s">
        <v>3703</v>
      </c>
      <c r="HO2824" s="5" t="s">
        <v>312</v>
      </c>
    </row>
    <row r="2825" spans="1:223" x14ac:dyDescent="0.4">
      <c r="A2825" s="5">
        <v>4529</v>
      </c>
      <c r="B2825" s="5">
        <v>1</v>
      </c>
      <c r="C2825" s="5">
        <v>1</v>
      </c>
      <c r="D2825" s="5" t="s">
        <v>810</v>
      </c>
      <c r="E2825" s="5" t="s">
        <v>245</v>
      </c>
      <c r="F2825" s="5" t="s">
        <v>254</v>
      </c>
      <c r="G2825" s="5" t="s">
        <v>240</v>
      </c>
      <c r="H2825" s="6" t="s">
        <v>2895</v>
      </c>
      <c r="I2825" s="5" t="s">
        <v>809</v>
      </c>
      <c r="J2825" s="8">
        <f>1641</f>
        <v>1641</v>
      </c>
      <c r="K2825" s="5" t="s">
        <v>308</v>
      </c>
      <c r="L2825" s="7">
        <f>1</f>
        <v>1</v>
      </c>
      <c r="M2825" s="7">
        <f>1</f>
        <v>1</v>
      </c>
      <c r="N2825" s="5" t="s">
        <v>242</v>
      </c>
      <c r="O2825" s="5">
        <v>1</v>
      </c>
      <c r="P2825" s="5" t="s">
        <v>294</v>
      </c>
      <c r="Q2825" s="5" t="s">
        <v>266</v>
      </c>
      <c r="R2825" s="5" t="s">
        <v>240</v>
      </c>
      <c r="S2825" s="5" t="s">
        <v>240</v>
      </c>
      <c r="T2825" s="5" t="s">
        <v>296</v>
      </c>
      <c r="U2825" s="5" t="s">
        <v>244</v>
      </c>
      <c r="V2825" s="5" t="s">
        <v>240</v>
      </c>
      <c r="Y2825" s="5" t="s">
        <v>240</v>
      </c>
      <c r="Z2825" s="6" t="s">
        <v>298</v>
      </c>
      <c r="AB2825" s="6" t="s">
        <v>240</v>
      </c>
      <c r="AE2825" s="6" t="s">
        <v>299</v>
      </c>
      <c r="AF2825" s="5" t="s">
        <v>248</v>
      </c>
      <c r="AG2825" s="5" t="s">
        <v>249</v>
      </c>
      <c r="AW2825" s="5" t="s">
        <v>251</v>
      </c>
      <c r="AX2825" s="5" t="s">
        <v>240</v>
      </c>
      <c r="AY2825" s="5" t="s">
        <v>253</v>
      </c>
      <c r="AZ2825" s="5" t="s">
        <v>240</v>
      </c>
      <c r="BA2825" s="5" t="s">
        <v>255</v>
      </c>
      <c r="BB2825" s="5" t="s">
        <v>240</v>
      </c>
      <c r="BD2825" s="5" t="s">
        <v>240</v>
      </c>
      <c r="BF2825" s="5" t="s">
        <v>301</v>
      </c>
      <c r="BG2825" s="6" t="s">
        <v>299</v>
      </c>
      <c r="BH2825" s="5" t="s">
        <v>302</v>
      </c>
      <c r="BI2825" s="5" t="s">
        <v>303</v>
      </c>
      <c r="BJ2825" s="5" t="s">
        <v>240</v>
      </c>
      <c r="BK2825" s="8">
        <f>0</f>
        <v>0</v>
      </c>
      <c r="BL2825" s="7">
        <f>0</f>
        <v>0</v>
      </c>
      <c r="BM2825" s="5" t="s">
        <v>258</v>
      </c>
      <c r="BN2825" s="5" t="s">
        <v>259</v>
      </c>
      <c r="CB2825" s="5" t="s">
        <v>240</v>
      </c>
      <c r="CC2825" s="5" t="s">
        <v>240</v>
      </c>
      <c r="CG2825" s="5" t="s">
        <v>304</v>
      </c>
      <c r="CH2825" s="5" t="s">
        <v>305</v>
      </c>
      <c r="CI2825" s="5" t="s">
        <v>240</v>
      </c>
      <c r="CL2825" s="6" t="s">
        <v>261</v>
      </c>
      <c r="CM2825" s="5" t="s">
        <v>240</v>
      </c>
      <c r="CN2825" s="5" t="s">
        <v>263</v>
      </c>
      <c r="CO2825" s="5" t="s">
        <v>240</v>
      </c>
      <c r="CP2825" s="5" t="s">
        <v>240</v>
      </c>
      <c r="CQ2825" s="5">
        <v>0</v>
      </c>
      <c r="CR2825" s="5" t="s">
        <v>306</v>
      </c>
      <c r="CS2825" s="5" t="s">
        <v>307</v>
      </c>
      <c r="CT2825" s="5" t="s">
        <v>307</v>
      </c>
      <c r="CU2825" s="5" t="s">
        <v>260</v>
      </c>
      <c r="CX2825" s="7">
        <f>1</f>
        <v>1</v>
      </c>
      <c r="CY2825" s="7">
        <f>0</f>
        <v>0</v>
      </c>
      <c r="DA2825" s="7">
        <f>0</f>
        <v>0</v>
      </c>
      <c r="DC2825" s="5" t="s">
        <v>309</v>
      </c>
      <c r="DD2825" s="5" t="s">
        <v>240</v>
      </c>
      <c r="DF2825" s="5" t="s">
        <v>309</v>
      </c>
      <c r="DG2825" s="7">
        <f>2149</f>
        <v>2149</v>
      </c>
      <c r="DI2825" s="5" t="s">
        <v>240</v>
      </c>
      <c r="DJ2825" s="5" t="s">
        <v>240</v>
      </c>
      <c r="DK2825" s="5" t="s">
        <v>240</v>
      </c>
      <c r="DL2825" s="5" t="s">
        <v>240</v>
      </c>
      <c r="DP2825" s="5" t="s">
        <v>240</v>
      </c>
      <c r="DQ2825" s="5" t="s">
        <v>240</v>
      </c>
      <c r="DR2825" s="5" t="s">
        <v>240</v>
      </c>
      <c r="DS2825" s="5" t="s">
        <v>240</v>
      </c>
      <c r="DV2825" s="5" t="s">
        <v>310</v>
      </c>
      <c r="DW2825" s="5" t="s">
        <v>3705</v>
      </c>
      <c r="HO2825" s="5" t="s">
        <v>312</v>
      </c>
    </row>
    <row r="2826" spans="1:223" x14ac:dyDescent="0.4">
      <c r="A2826" s="5">
        <v>4530</v>
      </c>
      <c r="B2826" s="5">
        <v>1</v>
      </c>
      <c r="C2826" s="5">
        <v>1</v>
      </c>
      <c r="D2826" s="5" t="s">
        <v>810</v>
      </c>
      <c r="E2826" s="5" t="s">
        <v>245</v>
      </c>
      <c r="F2826" s="5" t="s">
        <v>254</v>
      </c>
      <c r="G2826" s="5" t="s">
        <v>240</v>
      </c>
      <c r="H2826" s="6" t="s">
        <v>2893</v>
      </c>
      <c r="I2826" s="5" t="s">
        <v>809</v>
      </c>
      <c r="J2826" s="8">
        <f>177</f>
        <v>177</v>
      </c>
      <c r="K2826" s="5" t="s">
        <v>308</v>
      </c>
      <c r="L2826" s="7">
        <f>1</f>
        <v>1</v>
      </c>
      <c r="M2826" s="7">
        <f>1</f>
        <v>1</v>
      </c>
      <c r="N2826" s="5" t="s">
        <v>242</v>
      </c>
      <c r="O2826" s="5">
        <v>1</v>
      </c>
      <c r="P2826" s="5" t="s">
        <v>294</v>
      </c>
      <c r="Q2826" s="5" t="s">
        <v>266</v>
      </c>
      <c r="R2826" s="5" t="s">
        <v>240</v>
      </c>
      <c r="S2826" s="5" t="s">
        <v>240</v>
      </c>
      <c r="T2826" s="5" t="s">
        <v>296</v>
      </c>
      <c r="U2826" s="5" t="s">
        <v>244</v>
      </c>
      <c r="V2826" s="5" t="s">
        <v>240</v>
      </c>
      <c r="Y2826" s="5" t="s">
        <v>240</v>
      </c>
      <c r="Z2826" s="6" t="s">
        <v>298</v>
      </c>
      <c r="AB2826" s="6" t="s">
        <v>240</v>
      </c>
      <c r="AE2826" s="6" t="s">
        <v>299</v>
      </c>
      <c r="AF2826" s="5" t="s">
        <v>248</v>
      </c>
      <c r="AG2826" s="5" t="s">
        <v>249</v>
      </c>
      <c r="AW2826" s="5" t="s">
        <v>251</v>
      </c>
      <c r="AX2826" s="5" t="s">
        <v>240</v>
      </c>
      <c r="AY2826" s="5" t="s">
        <v>253</v>
      </c>
      <c r="AZ2826" s="5" t="s">
        <v>240</v>
      </c>
      <c r="BA2826" s="5" t="s">
        <v>255</v>
      </c>
      <c r="BB2826" s="5" t="s">
        <v>240</v>
      </c>
      <c r="BD2826" s="5" t="s">
        <v>240</v>
      </c>
      <c r="BF2826" s="5" t="s">
        <v>301</v>
      </c>
      <c r="BG2826" s="6" t="s">
        <v>299</v>
      </c>
      <c r="BH2826" s="5" t="s">
        <v>302</v>
      </c>
      <c r="BI2826" s="5" t="s">
        <v>303</v>
      </c>
      <c r="BJ2826" s="5" t="s">
        <v>240</v>
      </c>
      <c r="BK2826" s="8">
        <f>0</f>
        <v>0</v>
      </c>
      <c r="BL2826" s="7">
        <f>0</f>
        <v>0</v>
      </c>
      <c r="BM2826" s="5" t="s">
        <v>258</v>
      </c>
      <c r="BN2826" s="5" t="s">
        <v>259</v>
      </c>
      <c r="CB2826" s="5" t="s">
        <v>240</v>
      </c>
      <c r="CC2826" s="5" t="s">
        <v>240</v>
      </c>
      <c r="CG2826" s="5" t="s">
        <v>304</v>
      </c>
      <c r="CH2826" s="5" t="s">
        <v>305</v>
      </c>
      <c r="CI2826" s="5" t="s">
        <v>240</v>
      </c>
      <c r="CL2826" s="6" t="s">
        <v>261</v>
      </c>
      <c r="CM2826" s="5" t="s">
        <v>240</v>
      </c>
      <c r="CN2826" s="5" t="s">
        <v>263</v>
      </c>
      <c r="CO2826" s="5" t="s">
        <v>240</v>
      </c>
      <c r="CP2826" s="5" t="s">
        <v>240</v>
      </c>
      <c r="CQ2826" s="5">
        <v>0</v>
      </c>
      <c r="CR2826" s="5" t="s">
        <v>306</v>
      </c>
      <c r="CS2826" s="5" t="s">
        <v>307</v>
      </c>
      <c r="CT2826" s="5" t="s">
        <v>307</v>
      </c>
      <c r="CU2826" s="5" t="s">
        <v>260</v>
      </c>
      <c r="CX2826" s="7">
        <f>1</f>
        <v>1</v>
      </c>
      <c r="CY2826" s="7">
        <f>0</f>
        <v>0</v>
      </c>
      <c r="DA2826" s="7">
        <f>0</f>
        <v>0</v>
      </c>
      <c r="DC2826" s="5" t="s">
        <v>812</v>
      </c>
      <c r="DD2826" s="5" t="s">
        <v>240</v>
      </c>
      <c r="DF2826" s="5" t="s">
        <v>812</v>
      </c>
      <c r="DG2826" s="7">
        <f>246</f>
        <v>246</v>
      </c>
      <c r="DI2826" s="5" t="s">
        <v>240</v>
      </c>
      <c r="DJ2826" s="5" t="s">
        <v>240</v>
      </c>
      <c r="DK2826" s="5" t="s">
        <v>240</v>
      </c>
      <c r="DL2826" s="5" t="s">
        <v>240</v>
      </c>
      <c r="DP2826" s="5" t="s">
        <v>240</v>
      </c>
      <c r="DQ2826" s="5" t="s">
        <v>240</v>
      </c>
      <c r="DR2826" s="5" t="s">
        <v>240</v>
      </c>
      <c r="DS2826" s="5" t="s">
        <v>240</v>
      </c>
      <c r="DV2826" s="5" t="s">
        <v>813</v>
      </c>
      <c r="DW2826" s="5" t="s">
        <v>4979</v>
      </c>
      <c r="HO2826" s="5" t="s">
        <v>312</v>
      </c>
    </row>
    <row r="2827" spans="1:223" x14ac:dyDescent="0.4">
      <c r="A2827" s="5">
        <v>4531</v>
      </c>
      <c r="B2827" s="5">
        <v>1</v>
      </c>
      <c r="C2827" s="5">
        <v>1</v>
      </c>
      <c r="D2827" s="5" t="s">
        <v>810</v>
      </c>
      <c r="E2827" s="5" t="s">
        <v>245</v>
      </c>
      <c r="F2827" s="5" t="s">
        <v>254</v>
      </c>
      <c r="G2827" s="5" t="s">
        <v>240</v>
      </c>
      <c r="H2827" s="6" t="s">
        <v>2891</v>
      </c>
      <c r="I2827" s="5" t="s">
        <v>809</v>
      </c>
      <c r="J2827" s="8">
        <f>120</f>
        <v>120</v>
      </c>
      <c r="K2827" s="5" t="s">
        <v>308</v>
      </c>
      <c r="L2827" s="7">
        <f>1</f>
        <v>1</v>
      </c>
      <c r="M2827" s="7">
        <f>1</f>
        <v>1</v>
      </c>
      <c r="N2827" s="5" t="s">
        <v>242</v>
      </c>
      <c r="O2827" s="5">
        <v>1</v>
      </c>
      <c r="P2827" s="5" t="s">
        <v>294</v>
      </c>
      <c r="Q2827" s="5" t="s">
        <v>266</v>
      </c>
      <c r="R2827" s="5" t="s">
        <v>240</v>
      </c>
      <c r="S2827" s="5" t="s">
        <v>240</v>
      </c>
      <c r="T2827" s="5" t="s">
        <v>296</v>
      </c>
      <c r="U2827" s="5" t="s">
        <v>244</v>
      </c>
      <c r="V2827" s="5" t="s">
        <v>240</v>
      </c>
      <c r="Y2827" s="5" t="s">
        <v>240</v>
      </c>
      <c r="Z2827" s="6" t="s">
        <v>298</v>
      </c>
      <c r="AB2827" s="6" t="s">
        <v>240</v>
      </c>
      <c r="AE2827" s="6" t="s">
        <v>299</v>
      </c>
      <c r="AF2827" s="5" t="s">
        <v>248</v>
      </c>
      <c r="AG2827" s="5" t="s">
        <v>249</v>
      </c>
      <c r="AW2827" s="5" t="s">
        <v>251</v>
      </c>
      <c r="AX2827" s="5" t="s">
        <v>240</v>
      </c>
      <c r="AY2827" s="5" t="s">
        <v>253</v>
      </c>
      <c r="AZ2827" s="5" t="s">
        <v>240</v>
      </c>
      <c r="BA2827" s="5" t="s">
        <v>255</v>
      </c>
      <c r="BB2827" s="5" t="s">
        <v>240</v>
      </c>
      <c r="BD2827" s="5" t="s">
        <v>240</v>
      </c>
      <c r="BF2827" s="5" t="s">
        <v>301</v>
      </c>
      <c r="BG2827" s="6" t="s">
        <v>299</v>
      </c>
      <c r="BH2827" s="5" t="s">
        <v>302</v>
      </c>
      <c r="BI2827" s="5" t="s">
        <v>303</v>
      </c>
      <c r="BJ2827" s="5" t="s">
        <v>240</v>
      </c>
      <c r="BK2827" s="8">
        <f>0</f>
        <v>0</v>
      </c>
      <c r="BL2827" s="7">
        <f>0</f>
        <v>0</v>
      </c>
      <c r="BM2827" s="5" t="s">
        <v>258</v>
      </c>
      <c r="BN2827" s="5" t="s">
        <v>259</v>
      </c>
      <c r="CB2827" s="5" t="s">
        <v>240</v>
      </c>
      <c r="CC2827" s="5" t="s">
        <v>240</v>
      </c>
      <c r="CG2827" s="5" t="s">
        <v>304</v>
      </c>
      <c r="CH2827" s="5" t="s">
        <v>305</v>
      </c>
      <c r="CI2827" s="5" t="s">
        <v>240</v>
      </c>
      <c r="CL2827" s="6" t="s">
        <v>261</v>
      </c>
      <c r="CM2827" s="5" t="s">
        <v>240</v>
      </c>
      <c r="CN2827" s="5" t="s">
        <v>263</v>
      </c>
      <c r="CO2827" s="5" t="s">
        <v>240</v>
      </c>
      <c r="CP2827" s="5" t="s">
        <v>240</v>
      </c>
      <c r="CQ2827" s="5">
        <v>0</v>
      </c>
      <c r="CR2827" s="5" t="s">
        <v>306</v>
      </c>
      <c r="CS2827" s="5" t="s">
        <v>307</v>
      </c>
      <c r="CT2827" s="5" t="s">
        <v>307</v>
      </c>
      <c r="CU2827" s="5" t="s">
        <v>260</v>
      </c>
      <c r="CX2827" s="7">
        <f>1</f>
        <v>1</v>
      </c>
      <c r="CY2827" s="7">
        <f>0</f>
        <v>0</v>
      </c>
      <c r="DA2827" s="7">
        <f>0</f>
        <v>0</v>
      </c>
      <c r="DC2827" s="5" t="s">
        <v>309</v>
      </c>
      <c r="DD2827" s="5" t="s">
        <v>240</v>
      </c>
      <c r="DF2827" s="5" t="s">
        <v>309</v>
      </c>
      <c r="DG2827" s="7">
        <f>1056</f>
        <v>1056</v>
      </c>
      <c r="DI2827" s="5" t="s">
        <v>240</v>
      </c>
      <c r="DJ2827" s="5" t="s">
        <v>240</v>
      </c>
      <c r="DK2827" s="5" t="s">
        <v>240</v>
      </c>
      <c r="DL2827" s="5" t="s">
        <v>240</v>
      </c>
      <c r="DP2827" s="5" t="s">
        <v>240</v>
      </c>
      <c r="DQ2827" s="5" t="s">
        <v>240</v>
      </c>
      <c r="DR2827" s="5" t="s">
        <v>240</v>
      </c>
      <c r="DS2827" s="5" t="s">
        <v>240</v>
      </c>
      <c r="DV2827" s="5" t="s">
        <v>310</v>
      </c>
      <c r="DW2827" s="5" t="s">
        <v>3709</v>
      </c>
      <c r="HO2827" s="5" t="s">
        <v>312</v>
      </c>
    </row>
    <row r="2828" spans="1:223" x14ac:dyDescent="0.4">
      <c r="A2828" s="5">
        <v>4532</v>
      </c>
      <c r="B2828" s="5">
        <v>1</v>
      </c>
      <c r="C2828" s="5">
        <v>1</v>
      </c>
      <c r="D2828" s="5" t="s">
        <v>810</v>
      </c>
      <c r="E2828" s="5" t="s">
        <v>245</v>
      </c>
      <c r="F2828" s="5" t="s">
        <v>254</v>
      </c>
      <c r="G2828" s="5" t="s">
        <v>240</v>
      </c>
      <c r="H2828" s="6" t="s">
        <v>2889</v>
      </c>
      <c r="I2828" s="5" t="s">
        <v>809</v>
      </c>
      <c r="J2828" s="8">
        <f>1243</f>
        <v>1243</v>
      </c>
      <c r="K2828" s="5" t="s">
        <v>308</v>
      </c>
      <c r="L2828" s="7">
        <f>1</f>
        <v>1</v>
      </c>
      <c r="M2828" s="7">
        <f>1</f>
        <v>1</v>
      </c>
      <c r="N2828" s="5" t="s">
        <v>242</v>
      </c>
      <c r="O2828" s="5">
        <v>1</v>
      </c>
      <c r="P2828" s="5" t="s">
        <v>294</v>
      </c>
      <c r="Q2828" s="5" t="s">
        <v>266</v>
      </c>
      <c r="R2828" s="5" t="s">
        <v>240</v>
      </c>
      <c r="S2828" s="5" t="s">
        <v>240</v>
      </c>
      <c r="T2828" s="5" t="s">
        <v>296</v>
      </c>
      <c r="U2828" s="5" t="s">
        <v>244</v>
      </c>
      <c r="V2828" s="5" t="s">
        <v>240</v>
      </c>
      <c r="Y2828" s="5" t="s">
        <v>240</v>
      </c>
      <c r="Z2828" s="6" t="s">
        <v>298</v>
      </c>
      <c r="AB2828" s="6" t="s">
        <v>240</v>
      </c>
      <c r="AE2828" s="6" t="s">
        <v>299</v>
      </c>
      <c r="AF2828" s="5" t="s">
        <v>248</v>
      </c>
      <c r="AG2828" s="5" t="s">
        <v>249</v>
      </c>
      <c r="AW2828" s="5" t="s">
        <v>251</v>
      </c>
      <c r="AX2828" s="5" t="s">
        <v>240</v>
      </c>
      <c r="AY2828" s="5" t="s">
        <v>253</v>
      </c>
      <c r="AZ2828" s="5" t="s">
        <v>240</v>
      </c>
      <c r="BA2828" s="5" t="s">
        <v>255</v>
      </c>
      <c r="BB2828" s="5" t="s">
        <v>240</v>
      </c>
      <c r="BD2828" s="5" t="s">
        <v>240</v>
      </c>
      <c r="BF2828" s="5" t="s">
        <v>301</v>
      </c>
      <c r="BG2828" s="6" t="s">
        <v>299</v>
      </c>
      <c r="BH2828" s="5" t="s">
        <v>302</v>
      </c>
      <c r="BI2828" s="5" t="s">
        <v>303</v>
      </c>
      <c r="BJ2828" s="5" t="s">
        <v>240</v>
      </c>
      <c r="BK2828" s="8">
        <f>0</f>
        <v>0</v>
      </c>
      <c r="BL2828" s="7">
        <f>0</f>
        <v>0</v>
      </c>
      <c r="BM2828" s="5" t="s">
        <v>258</v>
      </c>
      <c r="BN2828" s="5" t="s">
        <v>259</v>
      </c>
      <c r="CB2828" s="5" t="s">
        <v>240</v>
      </c>
      <c r="CC2828" s="5" t="s">
        <v>240</v>
      </c>
      <c r="CG2828" s="5" t="s">
        <v>304</v>
      </c>
      <c r="CH2828" s="5" t="s">
        <v>305</v>
      </c>
      <c r="CI2828" s="5" t="s">
        <v>240</v>
      </c>
      <c r="CL2828" s="6" t="s">
        <v>261</v>
      </c>
      <c r="CM2828" s="5" t="s">
        <v>240</v>
      </c>
      <c r="CN2828" s="5" t="s">
        <v>263</v>
      </c>
      <c r="CO2828" s="5" t="s">
        <v>240</v>
      </c>
      <c r="CP2828" s="5" t="s">
        <v>240</v>
      </c>
      <c r="CQ2828" s="5">
        <v>0</v>
      </c>
      <c r="CR2828" s="5" t="s">
        <v>306</v>
      </c>
      <c r="CS2828" s="5" t="s">
        <v>307</v>
      </c>
      <c r="CT2828" s="5" t="s">
        <v>307</v>
      </c>
      <c r="CU2828" s="5" t="s">
        <v>260</v>
      </c>
      <c r="CX2828" s="7">
        <f>1</f>
        <v>1</v>
      </c>
      <c r="CY2828" s="7">
        <f>0</f>
        <v>0</v>
      </c>
      <c r="DA2828" s="7">
        <f>0</f>
        <v>0</v>
      </c>
      <c r="DC2828" s="5" t="s">
        <v>812</v>
      </c>
      <c r="DD2828" s="5" t="s">
        <v>240</v>
      </c>
      <c r="DF2828" s="5" t="s">
        <v>812</v>
      </c>
      <c r="DG2828" s="7">
        <f>450</f>
        <v>450</v>
      </c>
      <c r="DI2828" s="5" t="s">
        <v>240</v>
      </c>
      <c r="DJ2828" s="5" t="s">
        <v>240</v>
      </c>
      <c r="DK2828" s="5" t="s">
        <v>240</v>
      </c>
      <c r="DL2828" s="5" t="s">
        <v>240</v>
      </c>
      <c r="DP2828" s="5" t="s">
        <v>240</v>
      </c>
      <c r="DQ2828" s="5" t="s">
        <v>240</v>
      </c>
      <c r="DR2828" s="5" t="s">
        <v>240</v>
      </c>
      <c r="DS2828" s="5" t="s">
        <v>240</v>
      </c>
      <c r="DV2828" s="5" t="s">
        <v>813</v>
      </c>
      <c r="DW2828" s="5" t="s">
        <v>4836</v>
      </c>
      <c r="HO2828" s="5" t="s">
        <v>312</v>
      </c>
    </row>
    <row r="2829" spans="1:223" x14ac:dyDescent="0.4">
      <c r="A2829" s="5">
        <v>4533</v>
      </c>
      <c r="B2829" s="5">
        <v>1</v>
      </c>
      <c r="C2829" s="5">
        <v>1</v>
      </c>
      <c r="D2829" s="5" t="s">
        <v>810</v>
      </c>
      <c r="E2829" s="5" t="s">
        <v>245</v>
      </c>
      <c r="F2829" s="5" t="s">
        <v>254</v>
      </c>
      <c r="G2829" s="5" t="s">
        <v>240</v>
      </c>
      <c r="H2829" s="6" t="s">
        <v>2887</v>
      </c>
      <c r="I2829" s="5" t="s">
        <v>809</v>
      </c>
      <c r="J2829" s="8">
        <f>1308</f>
        <v>1308</v>
      </c>
      <c r="K2829" s="5" t="s">
        <v>308</v>
      </c>
      <c r="L2829" s="7">
        <f>1</f>
        <v>1</v>
      </c>
      <c r="M2829" s="7">
        <f>1</f>
        <v>1</v>
      </c>
      <c r="N2829" s="5" t="s">
        <v>242</v>
      </c>
      <c r="O2829" s="5">
        <v>1</v>
      </c>
      <c r="P2829" s="5" t="s">
        <v>294</v>
      </c>
      <c r="Q2829" s="5" t="s">
        <v>266</v>
      </c>
      <c r="R2829" s="5" t="s">
        <v>240</v>
      </c>
      <c r="S2829" s="5" t="s">
        <v>240</v>
      </c>
      <c r="T2829" s="5" t="s">
        <v>296</v>
      </c>
      <c r="U2829" s="5" t="s">
        <v>244</v>
      </c>
      <c r="V2829" s="5" t="s">
        <v>240</v>
      </c>
      <c r="Y2829" s="5" t="s">
        <v>240</v>
      </c>
      <c r="Z2829" s="6" t="s">
        <v>298</v>
      </c>
      <c r="AB2829" s="6" t="s">
        <v>240</v>
      </c>
      <c r="AE2829" s="6" t="s">
        <v>299</v>
      </c>
      <c r="AF2829" s="5" t="s">
        <v>248</v>
      </c>
      <c r="AG2829" s="5" t="s">
        <v>249</v>
      </c>
      <c r="AW2829" s="5" t="s">
        <v>251</v>
      </c>
      <c r="AX2829" s="5" t="s">
        <v>240</v>
      </c>
      <c r="AY2829" s="5" t="s">
        <v>253</v>
      </c>
      <c r="AZ2829" s="5" t="s">
        <v>240</v>
      </c>
      <c r="BA2829" s="5" t="s">
        <v>255</v>
      </c>
      <c r="BB2829" s="5" t="s">
        <v>240</v>
      </c>
      <c r="BD2829" s="5" t="s">
        <v>240</v>
      </c>
      <c r="BF2829" s="5" t="s">
        <v>301</v>
      </c>
      <c r="BG2829" s="6" t="s">
        <v>299</v>
      </c>
      <c r="BH2829" s="5" t="s">
        <v>302</v>
      </c>
      <c r="BI2829" s="5" t="s">
        <v>303</v>
      </c>
      <c r="BJ2829" s="5" t="s">
        <v>240</v>
      </c>
      <c r="BK2829" s="8">
        <f>0</f>
        <v>0</v>
      </c>
      <c r="BL2829" s="7">
        <f>0</f>
        <v>0</v>
      </c>
      <c r="BM2829" s="5" t="s">
        <v>258</v>
      </c>
      <c r="BN2829" s="5" t="s">
        <v>259</v>
      </c>
      <c r="CB2829" s="5" t="s">
        <v>240</v>
      </c>
      <c r="CC2829" s="5" t="s">
        <v>240</v>
      </c>
      <c r="CG2829" s="5" t="s">
        <v>304</v>
      </c>
      <c r="CH2829" s="5" t="s">
        <v>305</v>
      </c>
      <c r="CI2829" s="5" t="s">
        <v>240</v>
      </c>
      <c r="CL2829" s="6" t="s">
        <v>261</v>
      </c>
      <c r="CM2829" s="5" t="s">
        <v>240</v>
      </c>
      <c r="CN2829" s="5" t="s">
        <v>263</v>
      </c>
      <c r="CO2829" s="5" t="s">
        <v>240</v>
      </c>
      <c r="CP2829" s="5" t="s">
        <v>240</v>
      </c>
      <c r="CQ2829" s="5">
        <v>0</v>
      </c>
      <c r="CR2829" s="5" t="s">
        <v>306</v>
      </c>
      <c r="CS2829" s="5" t="s">
        <v>307</v>
      </c>
      <c r="CT2829" s="5" t="s">
        <v>307</v>
      </c>
      <c r="CU2829" s="5" t="s">
        <v>260</v>
      </c>
      <c r="CX2829" s="7">
        <f>1</f>
        <v>1</v>
      </c>
      <c r="CY2829" s="7">
        <f>0</f>
        <v>0</v>
      </c>
      <c r="DA2829" s="7">
        <f>0</f>
        <v>0</v>
      </c>
      <c r="DC2829" s="5" t="s">
        <v>812</v>
      </c>
      <c r="DD2829" s="5" t="s">
        <v>240</v>
      </c>
      <c r="DF2829" s="5" t="s">
        <v>812</v>
      </c>
      <c r="DG2829" s="7">
        <f>362</f>
        <v>362</v>
      </c>
      <c r="DI2829" s="5" t="s">
        <v>240</v>
      </c>
      <c r="DJ2829" s="5" t="s">
        <v>240</v>
      </c>
      <c r="DK2829" s="5" t="s">
        <v>240</v>
      </c>
      <c r="DL2829" s="5" t="s">
        <v>240</v>
      </c>
      <c r="DP2829" s="5" t="s">
        <v>240</v>
      </c>
      <c r="DQ2829" s="5" t="s">
        <v>240</v>
      </c>
      <c r="DR2829" s="5" t="s">
        <v>240</v>
      </c>
      <c r="DS2829" s="5" t="s">
        <v>240</v>
      </c>
      <c r="DV2829" s="5" t="s">
        <v>813</v>
      </c>
      <c r="DW2829" s="5" t="s">
        <v>4839</v>
      </c>
      <c r="HO2829" s="5" t="s">
        <v>312</v>
      </c>
    </row>
    <row r="2830" spans="1:223" x14ac:dyDescent="0.4">
      <c r="A2830" s="5">
        <v>4534</v>
      </c>
      <c r="B2830" s="5">
        <v>1</v>
      </c>
      <c r="C2830" s="5">
        <v>1</v>
      </c>
      <c r="D2830" s="5" t="s">
        <v>810</v>
      </c>
      <c r="E2830" s="5" t="s">
        <v>245</v>
      </c>
      <c r="F2830" s="5" t="s">
        <v>254</v>
      </c>
      <c r="G2830" s="5" t="s">
        <v>240</v>
      </c>
      <c r="H2830" s="6" t="s">
        <v>2885</v>
      </c>
      <c r="I2830" s="5" t="s">
        <v>809</v>
      </c>
      <c r="J2830" s="8">
        <f>1871</f>
        <v>1871</v>
      </c>
      <c r="K2830" s="5" t="s">
        <v>308</v>
      </c>
      <c r="L2830" s="7">
        <f>1</f>
        <v>1</v>
      </c>
      <c r="M2830" s="7">
        <f>1</f>
        <v>1</v>
      </c>
      <c r="N2830" s="5" t="s">
        <v>242</v>
      </c>
      <c r="O2830" s="5">
        <v>1</v>
      </c>
      <c r="P2830" s="5" t="s">
        <v>294</v>
      </c>
      <c r="Q2830" s="5" t="s">
        <v>266</v>
      </c>
      <c r="R2830" s="5" t="s">
        <v>240</v>
      </c>
      <c r="S2830" s="5" t="s">
        <v>240</v>
      </c>
      <c r="T2830" s="5" t="s">
        <v>296</v>
      </c>
      <c r="U2830" s="5" t="s">
        <v>244</v>
      </c>
      <c r="V2830" s="5" t="s">
        <v>240</v>
      </c>
      <c r="Y2830" s="5" t="s">
        <v>240</v>
      </c>
      <c r="Z2830" s="6" t="s">
        <v>298</v>
      </c>
      <c r="AB2830" s="6" t="s">
        <v>240</v>
      </c>
      <c r="AE2830" s="6" t="s">
        <v>299</v>
      </c>
      <c r="AF2830" s="5" t="s">
        <v>248</v>
      </c>
      <c r="AG2830" s="5" t="s">
        <v>249</v>
      </c>
      <c r="AW2830" s="5" t="s">
        <v>251</v>
      </c>
      <c r="AX2830" s="5" t="s">
        <v>240</v>
      </c>
      <c r="AY2830" s="5" t="s">
        <v>253</v>
      </c>
      <c r="AZ2830" s="5" t="s">
        <v>240</v>
      </c>
      <c r="BA2830" s="5" t="s">
        <v>255</v>
      </c>
      <c r="BB2830" s="5" t="s">
        <v>240</v>
      </c>
      <c r="BD2830" s="5" t="s">
        <v>240</v>
      </c>
      <c r="BF2830" s="5" t="s">
        <v>301</v>
      </c>
      <c r="BG2830" s="6" t="s">
        <v>299</v>
      </c>
      <c r="BH2830" s="5" t="s">
        <v>302</v>
      </c>
      <c r="BI2830" s="5" t="s">
        <v>303</v>
      </c>
      <c r="BJ2830" s="5" t="s">
        <v>240</v>
      </c>
      <c r="BK2830" s="8">
        <f>0</f>
        <v>0</v>
      </c>
      <c r="BL2830" s="7">
        <f>0</f>
        <v>0</v>
      </c>
      <c r="BM2830" s="5" t="s">
        <v>258</v>
      </c>
      <c r="BN2830" s="5" t="s">
        <v>259</v>
      </c>
      <c r="CB2830" s="5" t="s">
        <v>240</v>
      </c>
      <c r="CC2830" s="5" t="s">
        <v>240</v>
      </c>
      <c r="CG2830" s="5" t="s">
        <v>304</v>
      </c>
      <c r="CH2830" s="5" t="s">
        <v>305</v>
      </c>
      <c r="CI2830" s="5" t="s">
        <v>240</v>
      </c>
      <c r="CL2830" s="6" t="s">
        <v>261</v>
      </c>
      <c r="CM2830" s="5" t="s">
        <v>240</v>
      </c>
      <c r="CN2830" s="5" t="s">
        <v>263</v>
      </c>
      <c r="CO2830" s="5" t="s">
        <v>240</v>
      </c>
      <c r="CP2830" s="5" t="s">
        <v>240</v>
      </c>
      <c r="CQ2830" s="5">
        <v>0</v>
      </c>
      <c r="CR2830" s="5" t="s">
        <v>306</v>
      </c>
      <c r="CS2830" s="5" t="s">
        <v>307</v>
      </c>
      <c r="CT2830" s="5" t="s">
        <v>307</v>
      </c>
      <c r="CU2830" s="5" t="s">
        <v>260</v>
      </c>
      <c r="CX2830" s="7">
        <f>1</f>
        <v>1</v>
      </c>
      <c r="CY2830" s="7">
        <f>0</f>
        <v>0</v>
      </c>
      <c r="DA2830" s="7">
        <f>0</f>
        <v>0</v>
      </c>
      <c r="DC2830" s="5" t="s">
        <v>812</v>
      </c>
      <c r="DD2830" s="5" t="s">
        <v>240</v>
      </c>
      <c r="DF2830" s="5" t="s">
        <v>812</v>
      </c>
      <c r="DG2830" s="7">
        <f>977</f>
        <v>977</v>
      </c>
      <c r="DI2830" s="5" t="s">
        <v>240</v>
      </c>
      <c r="DJ2830" s="5" t="s">
        <v>240</v>
      </c>
      <c r="DK2830" s="5" t="s">
        <v>240</v>
      </c>
      <c r="DL2830" s="5" t="s">
        <v>240</v>
      </c>
      <c r="DP2830" s="5" t="s">
        <v>240</v>
      </c>
      <c r="DQ2830" s="5" t="s">
        <v>240</v>
      </c>
      <c r="DR2830" s="5" t="s">
        <v>240</v>
      </c>
      <c r="DS2830" s="5" t="s">
        <v>240</v>
      </c>
      <c r="DV2830" s="5" t="s">
        <v>813</v>
      </c>
      <c r="DW2830" s="5" t="s">
        <v>4984</v>
      </c>
      <c r="HO2830" s="5" t="s">
        <v>312</v>
      </c>
    </row>
    <row r="2831" spans="1:223" x14ac:dyDescent="0.4">
      <c r="A2831" s="5">
        <v>4535</v>
      </c>
      <c r="B2831" s="5">
        <v>1</v>
      </c>
      <c r="C2831" s="5">
        <v>1</v>
      </c>
      <c r="D2831" s="5" t="s">
        <v>810</v>
      </c>
      <c r="E2831" s="5" t="s">
        <v>245</v>
      </c>
      <c r="F2831" s="5" t="s">
        <v>254</v>
      </c>
      <c r="G2831" s="5" t="s">
        <v>240</v>
      </c>
      <c r="H2831" s="6" t="s">
        <v>2883</v>
      </c>
      <c r="I2831" s="5" t="s">
        <v>809</v>
      </c>
      <c r="J2831" s="8">
        <f>884</f>
        <v>884</v>
      </c>
      <c r="K2831" s="5" t="s">
        <v>308</v>
      </c>
      <c r="L2831" s="7">
        <f>1</f>
        <v>1</v>
      </c>
      <c r="M2831" s="7">
        <f>1</f>
        <v>1</v>
      </c>
      <c r="N2831" s="5" t="s">
        <v>242</v>
      </c>
      <c r="O2831" s="5">
        <v>1</v>
      </c>
      <c r="P2831" s="5" t="s">
        <v>294</v>
      </c>
      <c r="Q2831" s="5" t="s">
        <v>266</v>
      </c>
      <c r="R2831" s="5" t="s">
        <v>240</v>
      </c>
      <c r="S2831" s="5" t="s">
        <v>240</v>
      </c>
      <c r="T2831" s="5" t="s">
        <v>296</v>
      </c>
      <c r="U2831" s="5" t="s">
        <v>244</v>
      </c>
      <c r="V2831" s="5" t="s">
        <v>240</v>
      </c>
      <c r="Y2831" s="5" t="s">
        <v>240</v>
      </c>
      <c r="Z2831" s="6" t="s">
        <v>298</v>
      </c>
      <c r="AB2831" s="6" t="s">
        <v>240</v>
      </c>
      <c r="AE2831" s="6" t="s">
        <v>299</v>
      </c>
      <c r="AF2831" s="5" t="s">
        <v>248</v>
      </c>
      <c r="AG2831" s="5" t="s">
        <v>249</v>
      </c>
      <c r="AW2831" s="5" t="s">
        <v>251</v>
      </c>
      <c r="AX2831" s="5" t="s">
        <v>240</v>
      </c>
      <c r="AY2831" s="5" t="s">
        <v>253</v>
      </c>
      <c r="AZ2831" s="5" t="s">
        <v>240</v>
      </c>
      <c r="BA2831" s="5" t="s">
        <v>255</v>
      </c>
      <c r="BB2831" s="5" t="s">
        <v>240</v>
      </c>
      <c r="BD2831" s="5" t="s">
        <v>240</v>
      </c>
      <c r="BF2831" s="5" t="s">
        <v>301</v>
      </c>
      <c r="BG2831" s="6" t="s">
        <v>299</v>
      </c>
      <c r="BH2831" s="5" t="s">
        <v>302</v>
      </c>
      <c r="BI2831" s="5" t="s">
        <v>303</v>
      </c>
      <c r="BJ2831" s="5" t="s">
        <v>240</v>
      </c>
      <c r="BK2831" s="8">
        <f>0</f>
        <v>0</v>
      </c>
      <c r="BL2831" s="7">
        <f>0</f>
        <v>0</v>
      </c>
      <c r="BM2831" s="5" t="s">
        <v>258</v>
      </c>
      <c r="BN2831" s="5" t="s">
        <v>259</v>
      </c>
      <c r="CB2831" s="5" t="s">
        <v>240</v>
      </c>
      <c r="CC2831" s="5" t="s">
        <v>240</v>
      </c>
      <c r="CG2831" s="5" t="s">
        <v>304</v>
      </c>
      <c r="CH2831" s="5" t="s">
        <v>305</v>
      </c>
      <c r="CI2831" s="5" t="s">
        <v>240</v>
      </c>
      <c r="CL2831" s="6" t="s">
        <v>261</v>
      </c>
      <c r="CM2831" s="5" t="s">
        <v>240</v>
      </c>
      <c r="CN2831" s="5" t="s">
        <v>263</v>
      </c>
      <c r="CO2831" s="5" t="s">
        <v>240</v>
      </c>
      <c r="CP2831" s="5" t="s">
        <v>240</v>
      </c>
      <c r="CQ2831" s="5">
        <v>0</v>
      </c>
      <c r="CR2831" s="5" t="s">
        <v>306</v>
      </c>
      <c r="CS2831" s="5" t="s">
        <v>307</v>
      </c>
      <c r="CT2831" s="5" t="s">
        <v>307</v>
      </c>
      <c r="CU2831" s="5" t="s">
        <v>260</v>
      </c>
      <c r="CX2831" s="7">
        <f>1</f>
        <v>1</v>
      </c>
      <c r="CY2831" s="7">
        <f>0</f>
        <v>0</v>
      </c>
      <c r="DA2831" s="7">
        <f>0</f>
        <v>0</v>
      </c>
      <c r="DC2831" s="5" t="s">
        <v>309</v>
      </c>
      <c r="DD2831" s="5" t="s">
        <v>240</v>
      </c>
      <c r="DF2831" s="5" t="s">
        <v>309</v>
      </c>
      <c r="DG2831" s="7">
        <f>741</f>
        <v>741</v>
      </c>
      <c r="DI2831" s="5" t="s">
        <v>240</v>
      </c>
      <c r="DJ2831" s="5" t="s">
        <v>240</v>
      </c>
      <c r="DK2831" s="5" t="s">
        <v>240</v>
      </c>
      <c r="DL2831" s="5" t="s">
        <v>240</v>
      </c>
      <c r="DP2831" s="5" t="s">
        <v>240</v>
      </c>
      <c r="DQ2831" s="5" t="s">
        <v>240</v>
      </c>
      <c r="DR2831" s="5" t="s">
        <v>240</v>
      </c>
      <c r="DS2831" s="5" t="s">
        <v>240</v>
      </c>
      <c r="DV2831" s="5" t="s">
        <v>310</v>
      </c>
      <c r="DW2831" s="5" t="s">
        <v>3716</v>
      </c>
      <c r="HO2831" s="5" t="s">
        <v>312</v>
      </c>
    </row>
    <row r="2832" spans="1:223" x14ac:dyDescent="0.4">
      <c r="A2832" s="5">
        <v>4536</v>
      </c>
      <c r="B2832" s="5">
        <v>1</v>
      </c>
      <c r="C2832" s="5">
        <v>1</v>
      </c>
      <c r="D2832" s="5" t="s">
        <v>810</v>
      </c>
      <c r="E2832" s="5" t="s">
        <v>245</v>
      </c>
      <c r="F2832" s="5" t="s">
        <v>254</v>
      </c>
      <c r="G2832" s="5" t="s">
        <v>240</v>
      </c>
      <c r="H2832" s="6" t="s">
        <v>2881</v>
      </c>
      <c r="I2832" s="5" t="s">
        <v>809</v>
      </c>
      <c r="J2832" s="8">
        <f>1878</f>
        <v>1878</v>
      </c>
      <c r="K2832" s="5" t="s">
        <v>308</v>
      </c>
      <c r="L2832" s="7">
        <f>1</f>
        <v>1</v>
      </c>
      <c r="M2832" s="7">
        <f>1</f>
        <v>1</v>
      </c>
      <c r="N2832" s="5" t="s">
        <v>242</v>
      </c>
      <c r="O2832" s="5">
        <v>1</v>
      </c>
      <c r="P2832" s="5" t="s">
        <v>294</v>
      </c>
      <c r="Q2832" s="5" t="s">
        <v>266</v>
      </c>
      <c r="R2832" s="5" t="s">
        <v>240</v>
      </c>
      <c r="S2832" s="5" t="s">
        <v>240</v>
      </c>
      <c r="T2832" s="5" t="s">
        <v>296</v>
      </c>
      <c r="U2832" s="5" t="s">
        <v>244</v>
      </c>
      <c r="V2832" s="5" t="s">
        <v>240</v>
      </c>
      <c r="Y2832" s="5" t="s">
        <v>240</v>
      </c>
      <c r="Z2832" s="6" t="s">
        <v>298</v>
      </c>
      <c r="AB2832" s="6" t="s">
        <v>240</v>
      </c>
      <c r="AE2832" s="6" t="s">
        <v>299</v>
      </c>
      <c r="AF2832" s="5" t="s">
        <v>248</v>
      </c>
      <c r="AG2832" s="5" t="s">
        <v>249</v>
      </c>
      <c r="AW2832" s="5" t="s">
        <v>251</v>
      </c>
      <c r="AX2832" s="5" t="s">
        <v>240</v>
      </c>
      <c r="AY2832" s="5" t="s">
        <v>253</v>
      </c>
      <c r="AZ2832" s="5" t="s">
        <v>240</v>
      </c>
      <c r="BA2832" s="5" t="s">
        <v>255</v>
      </c>
      <c r="BB2832" s="5" t="s">
        <v>240</v>
      </c>
      <c r="BD2832" s="5" t="s">
        <v>240</v>
      </c>
      <c r="BF2832" s="5" t="s">
        <v>301</v>
      </c>
      <c r="BG2832" s="6" t="s">
        <v>299</v>
      </c>
      <c r="BH2832" s="5" t="s">
        <v>302</v>
      </c>
      <c r="BI2832" s="5" t="s">
        <v>303</v>
      </c>
      <c r="BJ2832" s="5" t="s">
        <v>240</v>
      </c>
      <c r="BK2832" s="8">
        <f>0</f>
        <v>0</v>
      </c>
      <c r="BL2832" s="7">
        <f>0</f>
        <v>0</v>
      </c>
      <c r="BM2832" s="5" t="s">
        <v>258</v>
      </c>
      <c r="BN2832" s="5" t="s">
        <v>259</v>
      </c>
      <c r="CB2832" s="5" t="s">
        <v>240</v>
      </c>
      <c r="CC2832" s="5" t="s">
        <v>240</v>
      </c>
      <c r="CG2832" s="5" t="s">
        <v>304</v>
      </c>
      <c r="CH2832" s="5" t="s">
        <v>305</v>
      </c>
      <c r="CI2832" s="5" t="s">
        <v>240</v>
      </c>
      <c r="CL2832" s="6" t="s">
        <v>261</v>
      </c>
      <c r="CM2832" s="5" t="s">
        <v>240</v>
      </c>
      <c r="CN2832" s="5" t="s">
        <v>263</v>
      </c>
      <c r="CO2832" s="5" t="s">
        <v>240</v>
      </c>
      <c r="CP2832" s="5" t="s">
        <v>240</v>
      </c>
      <c r="CQ2832" s="5">
        <v>0</v>
      </c>
      <c r="CR2832" s="5" t="s">
        <v>306</v>
      </c>
      <c r="CS2832" s="5" t="s">
        <v>307</v>
      </c>
      <c r="CT2832" s="5" t="s">
        <v>307</v>
      </c>
      <c r="CU2832" s="5" t="s">
        <v>260</v>
      </c>
      <c r="CX2832" s="7">
        <f>1</f>
        <v>1</v>
      </c>
      <c r="CY2832" s="7">
        <f>0</f>
        <v>0</v>
      </c>
      <c r="DA2832" s="7">
        <f>0</f>
        <v>0</v>
      </c>
      <c r="DC2832" s="5" t="s">
        <v>812</v>
      </c>
      <c r="DD2832" s="5" t="s">
        <v>240</v>
      </c>
      <c r="DF2832" s="5" t="s">
        <v>812</v>
      </c>
      <c r="DG2832" s="7">
        <f>78</f>
        <v>78</v>
      </c>
      <c r="DI2832" s="5" t="s">
        <v>240</v>
      </c>
      <c r="DJ2832" s="5" t="s">
        <v>240</v>
      </c>
      <c r="DK2832" s="5" t="s">
        <v>240</v>
      </c>
      <c r="DL2832" s="5" t="s">
        <v>240</v>
      </c>
      <c r="DP2832" s="5" t="s">
        <v>240</v>
      </c>
      <c r="DQ2832" s="5" t="s">
        <v>240</v>
      </c>
      <c r="DR2832" s="5" t="s">
        <v>240</v>
      </c>
      <c r="DS2832" s="5" t="s">
        <v>240</v>
      </c>
      <c r="DV2832" s="5" t="s">
        <v>813</v>
      </c>
      <c r="DW2832" s="5" t="s">
        <v>4847</v>
      </c>
      <c r="HO2832" s="5" t="s">
        <v>312</v>
      </c>
    </row>
    <row r="2833" spans="1:223" x14ac:dyDescent="0.4">
      <c r="A2833" s="5">
        <v>4537</v>
      </c>
      <c r="B2833" s="5">
        <v>1</v>
      </c>
      <c r="C2833" s="5">
        <v>1</v>
      </c>
      <c r="D2833" s="5" t="s">
        <v>810</v>
      </c>
      <c r="E2833" s="5" t="s">
        <v>245</v>
      </c>
      <c r="F2833" s="5" t="s">
        <v>254</v>
      </c>
      <c r="G2833" s="5" t="s">
        <v>240</v>
      </c>
      <c r="H2833" s="6" t="s">
        <v>2879</v>
      </c>
      <c r="I2833" s="5" t="s">
        <v>809</v>
      </c>
      <c r="J2833" s="8">
        <f>1842</f>
        <v>1842</v>
      </c>
      <c r="K2833" s="5" t="s">
        <v>308</v>
      </c>
      <c r="L2833" s="7">
        <f>1</f>
        <v>1</v>
      </c>
      <c r="M2833" s="7">
        <f>1</f>
        <v>1</v>
      </c>
      <c r="N2833" s="5" t="s">
        <v>242</v>
      </c>
      <c r="O2833" s="5">
        <v>1</v>
      </c>
      <c r="P2833" s="5" t="s">
        <v>294</v>
      </c>
      <c r="Q2833" s="5" t="s">
        <v>266</v>
      </c>
      <c r="R2833" s="5" t="s">
        <v>240</v>
      </c>
      <c r="S2833" s="5" t="s">
        <v>240</v>
      </c>
      <c r="T2833" s="5" t="s">
        <v>296</v>
      </c>
      <c r="U2833" s="5" t="s">
        <v>244</v>
      </c>
      <c r="V2833" s="5" t="s">
        <v>240</v>
      </c>
      <c r="Y2833" s="5" t="s">
        <v>240</v>
      </c>
      <c r="Z2833" s="6" t="s">
        <v>298</v>
      </c>
      <c r="AB2833" s="6" t="s">
        <v>240</v>
      </c>
      <c r="AE2833" s="6" t="s">
        <v>299</v>
      </c>
      <c r="AF2833" s="5" t="s">
        <v>248</v>
      </c>
      <c r="AG2833" s="5" t="s">
        <v>249</v>
      </c>
      <c r="AW2833" s="5" t="s">
        <v>251</v>
      </c>
      <c r="AX2833" s="5" t="s">
        <v>240</v>
      </c>
      <c r="AY2833" s="5" t="s">
        <v>253</v>
      </c>
      <c r="AZ2833" s="5" t="s">
        <v>240</v>
      </c>
      <c r="BA2833" s="5" t="s">
        <v>255</v>
      </c>
      <c r="BB2833" s="5" t="s">
        <v>240</v>
      </c>
      <c r="BD2833" s="5" t="s">
        <v>240</v>
      </c>
      <c r="BF2833" s="5" t="s">
        <v>301</v>
      </c>
      <c r="BG2833" s="6" t="s">
        <v>299</v>
      </c>
      <c r="BH2833" s="5" t="s">
        <v>302</v>
      </c>
      <c r="BI2833" s="5" t="s">
        <v>303</v>
      </c>
      <c r="BJ2833" s="5" t="s">
        <v>240</v>
      </c>
      <c r="BK2833" s="8">
        <f>0</f>
        <v>0</v>
      </c>
      <c r="BL2833" s="7">
        <f>0</f>
        <v>0</v>
      </c>
      <c r="BM2833" s="5" t="s">
        <v>258</v>
      </c>
      <c r="BN2833" s="5" t="s">
        <v>259</v>
      </c>
      <c r="CB2833" s="5" t="s">
        <v>240</v>
      </c>
      <c r="CC2833" s="5" t="s">
        <v>240</v>
      </c>
      <c r="CG2833" s="5" t="s">
        <v>304</v>
      </c>
      <c r="CH2833" s="5" t="s">
        <v>305</v>
      </c>
      <c r="CI2833" s="5" t="s">
        <v>240</v>
      </c>
      <c r="CL2833" s="6" t="s">
        <v>261</v>
      </c>
      <c r="CM2833" s="5" t="s">
        <v>240</v>
      </c>
      <c r="CN2833" s="5" t="s">
        <v>263</v>
      </c>
      <c r="CO2833" s="5" t="s">
        <v>240</v>
      </c>
      <c r="CP2833" s="5" t="s">
        <v>240</v>
      </c>
      <c r="CQ2833" s="5">
        <v>0</v>
      </c>
      <c r="CR2833" s="5" t="s">
        <v>306</v>
      </c>
      <c r="CS2833" s="5" t="s">
        <v>307</v>
      </c>
      <c r="CT2833" s="5" t="s">
        <v>307</v>
      </c>
      <c r="CU2833" s="5" t="s">
        <v>260</v>
      </c>
      <c r="CX2833" s="7">
        <f>1</f>
        <v>1</v>
      </c>
      <c r="CY2833" s="7">
        <f>0</f>
        <v>0</v>
      </c>
      <c r="DA2833" s="7">
        <f>0</f>
        <v>0</v>
      </c>
      <c r="DC2833" s="5" t="s">
        <v>812</v>
      </c>
      <c r="DD2833" s="5" t="s">
        <v>240</v>
      </c>
      <c r="DF2833" s="5" t="s">
        <v>812</v>
      </c>
      <c r="DG2833" s="7">
        <f>2271</f>
        <v>2271</v>
      </c>
      <c r="DI2833" s="5" t="s">
        <v>240</v>
      </c>
      <c r="DJ2833" s="5" t="s">
        <v>240</v>
      </c>
      <c r="DK2833" s="5" t="s">
        <v>240</v>
      </c>
      <c r="DL2833" s="5" t="s">
        <v>240</v>
      </c>
      <c r="DP2833" s="5" t="s">
        <v>240</v>
      </c>
      <c r="DQ2833" s="5" t="s">
        <v>240</v>
      </c>
      <c r="DR2833" s="5" t="s">
        <v>240</v>
      </c>
      <c r="DS2833" s="5" t="s">
        <v>240</v>
      </c>
      <c r="DV2833" s="5" t="s">
        <v>813</v>
      </c>
      <c r="DW2833" s="5" t="s">
        <v>4850</v>
      </c>
      <c r="HO2833" s="5" t="s">
        <v>312</v>
      </c>
    </row>
    <row r="2834" spans="1:223" x14ac:dyDescent="0.4">
      <c r="A2834" s="5">
        <v>4538</v>
      </c>
      <c r="B2834" s="5">
        <v>1</v>
      </c>
      <c r="C2834" s="5">
        <v>1</v>
      </c>
      <c r="D2834" s="5" t="s">
        <v>810</v>
      </c>
      <c r="E2834" s="5" t="s">
        <v>245</v>
      </c>
      <c r="F2834" s="5" t="s">
        <v>254</v>
      </c>
      <c r="G2834" s="5" t="s">
        <v>240</v>
      </c>
      <c r="H2834" s="6" t="s">
        <v>2877</v>
      </c>
      <c r="I2834" s="5" t="s">
        <v>809</v>
      </c>
      <c r="J2834" s="8">
        <f>626</f>
        <v>626</v>
      </c>
      <c r="K2834" s="5" t="s">
        <v>308</v>
      </c>
      <c r="L2834" s="7">
        <f>1</f>
        <v>1</v>
      </c>
      <c r="M2834" s="7">
        <f>1</f>
        <v>1</v>
      </c>
      <c r="N2834" s="5" t="s">
        <v>242</v>
      </c>
      <c r="O2834" s="5">
        <v>1</v>
      </c>
      <c r="P2834" s="5" t="s">
        <v>294</v>
      </c>
      <c r="Q2834" s="5" t="s">
        <v>266</v>
      </c>
      <c r="R2834" s="5" t="s">
        <v>240</v>
      </c>
      <c r="S2834" s="5" t="s">
        <v>240</v>
      </c>
      <c r="T2834" s="5" t="s">
        <v>296</v>
      </c>
      <c r="U2834" s="5" t="s">
        <v>244</v>
      </c>
      <c r="V2834" s="5" t="s">
        <v>240</v>
      </c>
      <c r="Y2834" s="5" t="s">
        <v>240</v>
      </c>
      <c r="Z2834" s="6" t="s">
        <v>298</v>
      </c>
      <c r="AB2834" s="6" t="s">
        <v>240</v>
      </c>
      <c r="AE2834" s="6" t="s">
        <v>299</v>
      </c>
      <c r="AF2834" s="5" t="s">
        <v>248</v>
      </c>
      <c r="AG2834" s="5" t="s">
        <v>249</v>
      </c>
      <c r="AW2834" s="5" t="s">
        <v>251</v>
      </c>
      <c r="AX2834" s="5" t="s">
        <v>240</v>
      </c>
      <c r="AY2834" s="5" t="s">
        <v>253</v>
      </c>
      <c r="AZ2834" s="5" t="s">
        <v>240</v>
      </c>
      <c r="BA2834" s="5" t="s">
        <v>255</v>
      </c>
      <c r="BB2834" s="5" t="s">
        <v>240</v>
      </c>
      <c r="BD2834" s="5" t="s">
        <v>240</v>
      </c>
      <c r="BF2834" s="5" t="s">
        <v>301</v>
      </c>
      <c r="BG2834" s="6" t="s">
        <v>299</v>
      </c>
      <c r="BH2834" s="5" t="s">
        <v>302</v>
      </c>
      <c r="BI2834" s="5" t="s">
        <v>303</v>
      </c>
      <c r="BJ2834" s="5" t="s">
        <v>240</v>
      </c>
      <c r="BK2834" s="8">
        <f>0</f>
        <v>0</v>
      </c>
      <c r="BL2834" s="7">
        <f>0</f>
        <v>0</v>
      </c>
      <c r="BM2834" s="5" t="s">
        <v>258</v>
      </c>
      <c r="BN2834" s="5" t="s">
        <v>259</v>
      </c>
      <c r="CB2834" s="5" t="s">
        <v>240</v>
      </c>
      <c r="CC2834" s="5" t="s">
        <v>240</v>
      </c>
      <c r="CG2834" s="5" t="s">
        <v>304</v>
      </c>
      <c r="CH2834" s="5" t="s">
        <v>305</v>
      </c>
      <c r="CI2834" s="5" t="s">
        <v>240</v>
      </c>
      <c r="CL2834" s="6" t="s">
        <v>261</v>
      </c>
      <c r="CM2834" s="5" t="s">
        <v>240</v>
      </c>
      <c r="CN2834" s="5" t="s">
        <v>263</v>
      </c>
      <c r="CO2834" s="5" t="s">
        <v>240</v>
      </c>
      <c r="CP2834" s="5" t="s">
        <v>240</v>
      </c>
      <c r="CQ2834" s="5">
        <v>0</v>
      </c>
      <c r="CR2834" s="5" t="s">
        <v>306</v>
      </c>
      <c r="CS2834" s="5" t="s">
        <v>307</v>
      </c>
      <c r="CT2834" s="5" t="s">
        <v>307</v>
      </c>
      <c r="CU2834" s="5" t="s">
        <v>260</v>
      </c>
      <c r="CX2834" s="7">
        <f>1</f>
        <v>1</v>
      </c>
      <c r="CY2834" s="7">
        <f>0</f>
        <v>0</v>
      </c>
      <c r="DA2834" s="7">
        <f>0</f>
        <v>0</v>
      </c>
      <c r="DC2834" s="5" t="s">
        <v>812</v>
      </c>
      <c r="DD2834" s="5" t="s">
        <v>240</v>
      </c>
      <c r="DF2834" s="5" t="s">
        <v>812</v>
      </c>
      <c r="DG2834" s="7">
        <f>268</f>
        <v>268</v>
      </c>
      <c r="DI2834" s="5" t="s">
        <v>240</v>
      </c>
      <c r="DJ2834" s="5" t="s">
        <v>240</v>
      </c>
      <c r="DK2834" s="5" t="s">
        <v>240</v>
      </c>
      <c r="DL2834" s="5" t="s">
        <v>240</v>
      </c>
      <c r="DP2834" s="5" t="s">
        <v>240</v>
      </c>
      <c r="DQ2834" s="5" t="s">
        <v>240</v>
      </c>
      <c r="DR2834" s="5" t="s">
        <v>240</v>
      </c>
      <c r="DS2834" s="5" t="s">
        <v>240</v>
      </c>
      <c r="DV2834" s="5" t="s">
        <v>813</v>
      </c>
      <c r="DW2834" s="5" t="s">
        <v>4853</v>
      </c>
      <c r="HO2834" s="5" t="s">
        <v>312</v>
      </c>
    </row>
    <row r="2835" spans="1:223" x14ac:dyDescent="0.4">
      <c r="A2835" s="5">
        <v>4539</v>
      </c>
      <c r="B2835" s="5">
        <v>1</v>
      </c>
      <c r="C2835" s="5">
        <v>1</v>
      </c>
      <c r="D2835" s="5" t="s">
        <v>810</v>
      </c>
      <c r="E2835" s="5" t="s">
        <v>245</v>
      </c>
      <c r="F2835" s="5" t="s">
        <v>254</v>
      </c>
      <c r="G2835" s="5" t="s">
        <v>240</v>
      </c>
      <c r="H2835" s="6" t="s">
        <v>2875</v>
      </c>
      <c r="I2835" s="5" t="s">
        <v>809</v>
      </c>
      <c r="J2835" s="8">
        <f>1902</f>
        <v>1902</v>
      </c>
      <c r="K2835" s="5" t="s">
        <v>308</v>
      </c>
      <c r="L2835" s="7">
        <f>1</f>
        <v>1</v>
      </c>
      <c r="M2835" s="7">
        <f>1</f>
        <v>1</v>
      </c>
      <c r="N2835" s="5" t="s">
        <v>242</v>
      </c>
      <c r="O2835" s="5">
        <v>1</v>
      </c>
      <c r="P2835" s="5" t="s">
        <v>294</v>
      </c>
      <c r="Q2835" s="5" t="s">
        <v>266</v>
      </c>
      <c r="R2835" s="5" t="s">
        <v>240</v>
      </c>
      <c r="S2835" s="5" t="s">
        <v>240</v>
      </c>
      <c r="T2835" s="5" t="s">
        <v>296</v>
      </c>
      <c r="U2835" s="5" t="s">
        <v>244</v>
      </c>
      <c r="V2835" s="5" t="s">
        <v>240</v>
      </c>
      <c r="Y2835" s="5" t="s">
        <v>240</v>
      </c>
      <c r="Z2835" s="6" t="s">
        <v>298</v>
      </c>
      <c r="AB2835" s="6" t="s">
        <v>240</v>
      </c>
      <c r="AE2835" s="6" t="s">
        <v>299</v>
      </c>
      <c r="AF2835" s="5" t="s">
        <v>248</v>
      </c>
      <c r="AG2835" s="5" t="s">
        <v>249</v>
      </c>
      <c r="AW2835" s="5" t="s">
        <v>251</v>
      </c>
      <c r="AX2835" s="5" t="s">
        <v>240</v>
      </c>
      <c r="AY2835" s="5" t="s">
        <v>253</v>
      </c>
      <c r="AZ2835" s="5" t="s">
        <v>240</v>
      </c>
      <c r="BA2835" s="5" t="s">
        <v>255</v>
      </c>
      <c r="BB2835" s="5" t="s">
        <v>240</v>
      </c>
      <c r="BD2835" s="5" t="s">
        <v>240</v>
      </c>
      <c r="BF2835" s="5" t="s">
        <v>301</v>
      </c>
      <c r="BG2835" s="6" t="s">
        <v>299</v>
      </c>
      <c r="BH2835" s="5" t="s">
        <v>302</v>
      </c>
      <c r="BI2835" s="5" t="s">
        <v>303</v>
      </c>
      <c r="BJ2835" s="5" t="s">
        <v>240</v>
      </c>
      <c r="BK2835" s="8">
        <f>0</f>
        <v>0</v>
      </c>
      <c r="BL2835" s="7">
        <f>0</f>
        <v>0</v>
      </c>
      <c r="BM2835" s="5" t="s">
        <v>258</v>
      </c>
      <c r="BN2835" s="5" t="s">
        <v>259</v>
      </c>
      <c r="CB2835" s="5" t="s">
        <v>240</v>
      </c>
      <c r="CC2835" s="5" t="s">
        <v>240</v>
      </c>
      <c r="CG2835" s="5" t="s">
        <v>304</v>
      </c>
      <c r="CH2835" s="5" t="s">
        <v>305</v>
      </c>
      <c r="CI2835" s="5" t="s">
        <v>240</v>
      </c>
      <c r="CL2835" s="6" t="s">
        <v>261</v>
      </c>
      <c r="CM2835" s="5" t="s">
        <v>240</v>
      </c>
      <c r="CN2835" s="5" t="s">
        <v>263</v>
      </c>
      <c r="CO2835" s="5" t="s">
        <v>240</v>
      </c>
      <c r="CP2835" s="5" t="s">
        <v>240</v>
      </c>
      <c r="CQ2835" s="5">
        <v>0</v>
      </c>
      <c r="CR2835" s="5" t="s">
        <v>306</v>
      </c>
      <c r="CS2835" s="5" t="s">
        <v>307</v>
      </c>
      <c r="CT2835" s="5" t="s">
        <v>307</v>
      </c>
      <c r="CU2835" s="5" t="s">
        <v>260</v>
      </c>
      <c r="CX2835" s="7">
        <f>1</f>
        <v>1</v>
      </c>
      <c r="CY2835" s="7">
        <f>0</f>
        <v>0</v>
      </c>
      <c r="DA2835" s="7">
        <f>0</f>
        <v>0</v>
      </c>
      <c r="DC2835" s="5" t="s">
        <v>309</v>
      </c>
      <c r="DD2835" s="5" t="s">
        <v>240</v>
      </c>
      <c r="DF2835" s="5" t="s">
        <v>309</v>
      </c>
      <c r="DG2835" s="7">
        <f>634</f>
        <v>634</v>
      </c>
      <c r="DI2835" s="5" t="s">
        <v>240</v>
      </c>
      <c r="DJ2835" s="5" t="s">
        <v>240</v>
      </c>
      <c r="DK2835" s="5" t="s">
        <v>240</v>
      </c>
      <c r="DL2835" s="5" t="s">
        <v>240</v>
      </c>
      <c r="DP2835" s="5" t="s">
        <v>240</v>
      </c>
      <c r="DQ2835" s="5" t="s">
        <v>240</v>
      </c>
      <c r="DR2835" s="5" t="s">
        <v>240</v>
      </c>
      <c r="DS2835" s="5" t="s">
        <v>240</v>
      </c>
      <c r="DV2835" s="5" t="s">
        <v>310</v>
      </c>
      <c r="DW2835" s="5" t="s">
        <v>3724</v>
      </c>
      <c r="HO2835" s="5" t="s">
        <v>312</v>
      </c>
    </row>
    <row r="2836" spans="1:223" x14ac:dyDescent="0.4">
      <c r="A2836" s="5">
        <v>4540</v>
      </c>
      <c r="B2836" s="5">
        <v>1</v>
      </c>
      <c r="C2836" s="5">
        <v>1</v>
      </c>
      <c r="D2836" s="5" t="s">
        <v>810</v>
      </c>
      <c r="E2836" s="5" t="s">
        <v>245</v>
      </c>
      <c r="F2836" s="5" t="s">
        <v>254</v>
      </c>
      <c r="G2836" s="5" t="s">
        <v>240</v>
      </c>
      <c r="H2836" s="6" t="s">
        <v>2873</v>
      </c>
      <c r="I2836" s="5" t="s">
        <v>809</v>
      </c>
      <c r="J2836" s="8">
        <f>1643</f>
        <v>1643</v>
      </c>
      <c r="K2836" s="5" t="s">
        <v>308</v>
      </c>
      <c r="L2836" s="7">
        <f>1</f>
        <v>1</v>
      </c>
      <c r="M2836" s="7">
        <f>1</f>
        <v>1</v>
      </c>
      <c r="N2836" s="5" t="s">
        <v>242</v>
      </c>
      <c r="O2836" s="5">
        <v>1</v>
      </c>
      <c r="P2836" s="5" t="s">
        <v>294</v>
      </c>
      <c r="Q2836" s="5" t="s">
        <v>266</v>
      </c>
      <c r="R2836" s="5" t="s">
        <v>240</v>
      </c>
      <c r="S2836" s="5" t="s">
        <v>240</v>
      </c>
      <c r="T2836" s="5" t="s">
        <v>296</v>
      </c>
      <c r="U2836" s="5" t="s">
        <v>244</v>
      </c>
      <c r="V2836" s="5" t="s">
        <v>240</v>
      </c>
      <c r="Y2836" s="5" t="s">
        <v>240</v>
      </c>
      <c r="Z2836" s="6" t="s">
        <v>298</v>
      </c>
      <c r="AB2836" s="6" t="s">
        <v>240</v>
      </c>
      <c r="AE2836" s="6" t="s">
        <v>299</v>
      </c>
      <c r="AF2836" s="5" t="s">
        <v>248</v>
      </c>
      <c r="AG2836" s="5" t="s">
        <v>249</v>
      </c>
      <c r="AW2836" s="5" t="s">
        <v>251</v>
      </c>
      <c r="AX2836" s="5" t="s">
        <v>240</v>
      </c>
      <c r="AY2836" s="5" t="s">
        <v>253</v>
      </c>
      <c r="AZ2836" s="5" t="s">
        <v>240</v>
      </c>
      <c r="BA2836" s="5" t="s">
        <v>255</v>
      </c>
      <c r="BB2836" s="5" t="s">
        <v>240</v>
      </c>
      <c r="BD2836" s="5" t="s">
        <v>240</v>
      </c>
      <c r="BF2836" s="5" t="s">
        <v>301</v>
      </c>
      <c r="BG2836" s="6" t="s">
        <v>299</v>
      </c>
      <c r="BH2836" s="5" t="s">
        <v>302</v>
      </c>
      <c r="BI2836" s="5" t="s">
        <v>303</v>
      </c>
      <c r="BJ2836" s="5" t="s">
        <v>240</v>
      </c>
      <c r="BK2836" s="8">
        <f>0</f>
        <v>0</v>
      </c>
      <c r="BL2836" s="7">
        <f>0</f>
        <v>0</v>
      </c>
      <c r="BM2836" s="5" t="s">
        <v>258</v>
      </c>
      <c r="BN2836" s="5" t="s">
        <v>259</v>
      </c>
      <c r="CB2836" s="5" t="s">
        <v>240</v>
      </c>
      <c r="CC2836" s="5" t="s">
        <v>240</v>
      </c>
      <c r="CG2836" s="5" t="s">
        <v>304</v>
      </c>
      <c r="CH2836" s="5" t="s">
        <v>305</v>
      </c>
      <c r="CI2836" s="5" t="s">
        <v>240</v>
      </c>
      <c r="CL2836" s="6" t="s">
        <v>261</v>
      </c>
      <c r="CM2836" s="5" t="s">
        <v>240</v>
      </c>
      <c r="CN2836" s="5" t="s">
        <v>263</v>
      </c>
      <c r="CO2836" s="5" t="s">
        <v>240</v>
      </c>
      <c r="CP2836" s="5" t="s">
        <v>240</v>
      </c>
      <c r="CQ2836" s="5">
        <v>0</v>
      </c>
      <c r="CR2836" s="5" t="s">
        <v>306</v>
      </c>
      <c r="CS2836" s="5" t="s">
        <v>307</v>
      </c>
      <c r="CT2836" s="5" t="s">
        <v>307</v>
      </c>
      <c r="CU2836" s="5" t="s">
        <v>260</v>
      </c>
      <c r="CX2836" s="7">
        <f>1</f>
        <v>1</v>
      </c>
      <c r="CY2836" s="7">
        <f>0</f>
        <v>0</v>
      </c>
      <c r="DA2836" s="7">
        <f>0</f>
        <v>0</v>
      </c>
      <c r="DC2836" s="5" t="s">
        <v>812</v>
      </c>
      <c r="DD2836" s="5" t="s">
        <v>240</v>
      </c>
      <c r="DF2836" s="5" t="s">
        <v>812</v>
      </c>
      <c r="DG2836" s="7">
        <f>140</f>
        <v>140</v>
      </c>
      <c r="DI2836" s="5" t="s">
        <v>240</v>
      </c>
      <c r="DJ2836" s="5" t="s">
        <v>240</v>
      </c>
      <c r="DK2836" s="5" t="s">
        <v>240</v>
      </c>
      <c r="DL2836" s="5" t="s">
        <v>240</v>
      </c>
      <c r="DP2836" s="5" t="s">
        <v>240</v>
      </c>
      <c r="DQ2836" s="5" t="s">
        <v>240</v>
      </c>
      <c r="DR2836" s="5" t="s">
        <v>240</v>
      </c>
      <c r="DS2836" s="5" t="s">
        <v>240</v>
      </c>
      <c r="DV2836" s="5" t="s">
        <v>813</v>
      </c>
      <c r="DW2836" s="5" t="s">
        <v>4858</v>
      </c>
      <c r="HO2836" s="5" t="s">
        <v>312</v>
      </c>
    </row>
    <row r="2837" spans="1:223" x14ac:dyDescent="0.4">
      <c r="A2837" s="5">
        <v>4541</v>
      </c>
      <c r="B2837" s="5">
        <v>1</v>
      </c>
      <c r="C2837" s="5">
        <v>1</v>
      </c>
      <c r="D2837" s="5" t="s">
        <v>810</v>
      </c>
      <c r="E2837" s="5" t="s">
        <v>245</v>
      </c>
      <c r="F2837" s="5" t="s">
        <v>254</v>
      </c>
      <c r="G2837" s="5" t="s">
        <v>240</v>
      </c>
      <c r="H2837" s="6" t="s">
        <v>2871</v>
      </c>
      <c r="I2837" s="5" t="s">
        <v>809</v>
      </c>
      <c r="J2837" s="8">
        <f>1510</f>
        <v>1510</v>
      </c>
      <c r="K2837" s="5" t="s">
        <v>308</v>
      </c>
      <c r="L2837" s="7">
        <f>1</f>
        <v>1</v>
      </c>
      <c r="M2837" s="7">
        <f>1</f>
        <v>1</v>
      </c>
      <c r="N2837" s="5" t="s">
        <v>242</v>
      </c>
      <c r="O2837" s="5">
        <v>1</v>
      </c>
      <c r="P2837" s="5" t="s">
        <v>294</v>
      </c>
      <c r="Q2837" s="5" t="s">
        <v>266</v>
      </c>
      <c r="R2837" s="5" t="s">
        <v>240</v>
      </c>
      <c r="S2837" s="5" t="s">
        <v>240</v>
      </c>
      <c r="T2837" s="5" t="s">
        <v>296</v>
      </c>
      <c r="U2837" s="5" t="s">
        <v>244</v>
      </c>
      <c r="V2837" s="5" t="s">
        <v>240</v>
      </c>
      <c r="Y2837" s="5" t="s">
        <v>240</v>
      </c>
      <c r="Z2837" s="6" t="s">
        <v>298</v>
      </c>
      <c r="AB2837" s="6" t="s">
        <v>240</v>
      </c>
      <c r="AE2837" s="6" t="s">
        <v>299</v>
      </c>
      <c r="AF2837" s="5" t="s">
        <v>248</v>
      </c>
      <c r="AG2837" s="5" t="s">
        <v>249</v>
      </c>
      <c r="AW2837" s="5" t="s">
        <v>251</v>
      </c>
      <c r="AX2837" s="5" t="s">
        <v>240</v>
      </c>
      <c r="AY2837" s="5" t="s">
        <v>253</v>
      </c>
      <c r="AZ2837" s="5" t="s">
        <v>240</v>
      </c>
      <c r="BA2837" s="5" t="s">
        <v>255</v>
      </c>
      <c r="BB2837" s="5" t="s">
        <v>240</v>
      </c>
      <c r="BD2837" s="5" t="s">
        <v>240</v>
      </c>
      <c r="BF2837" s="5" t="s">
        <v>301</v>
      </c>
      <c r="BG2837" s="6" t="s">
        <v>299</v>
      </c>
      <c r="BH2837" s="5" t="s">
        <v>302</v>
      </c>
      <c r="BI2837" s="5" t="s">
        <v>303</v>
      </c>
      <c r="BJ2837" s="5" t="s">
        <v>240</v>
      </c>
      <c r="BK2837" s="8">
        <f>0</f>
        <v>0</v>
      </c>
      <c r="BL2837" s="7">
        <f>0</f>
        <v>0</v>
      </c>
      <c r="BM2837" s="5" t="s">
        <v>258</v>
      </c>
      <c r="BN2837" s="5" t="s">
        <v>259</v>
      </c>
      <c r="CB2837" s="5" t="s">
        <v>240</v>
      </c>
      <c r="CC2837" s="5" t="s">
        <v>240</v>
      </c>
      <c r="CG2837" s="5" t="s">
        <v>304</v>
      </c>
      <c r="CH2837" s="5" t="s">
        <v>305</v>
      </c>
      <c r="CI2837" s="5" t="s">
        <v>240</v>
      </c>
      <c r="CL2837" s="6" t="s">
        <v>261</v>
      </c>
      <c r="CM2837" s="5" t="s">
        <v>240</v>
      </c>
      <c r="CN2837" s="5" t="s">
        <v>263</v>
      </c>
      <c r="CO2837" s="5" t="s">
        <v>240</v>
      </c>
      <c r="CP2837" s="5" t="s">
        <v>240</v>
      </c>
      <c r="CQ2837" s="5">
        <v>0</v>
      </c>
      <c r="CR2837" s="5" t="s">
        <v>306</v>
      </c>
      <c r="CS2837" s="5" t="s">
        <v>307</v>
      </c>
      <c r="CT2837" s="5" t="s">
        <v>307</v>
      </c>
      <c r="CU2837" s="5" t="s">
        <v>260</v>
      </c>
      <c r="CX2837" s="7">
        <f>1</f>
        <v>1</v>
      </c>
      <c r="CY2837" s="7">
        <f>0</f>
        <v>0</v>
      </c>
      <c r="DA2837" s="7">
        <f>0</f>
        <v>0</v>
      </c>
      <c r="DC2837" s="5" t="s">
        <v>812</v>
      </c>
      <c r="DD2837" s="5" t="s">
        <v>240</v>
      </c>
      <c r="DF2837" s="5" t="s">
        <v>812</v>
      </c>
      <c r="DG2837" s="7">
        <f>1346</f>
        <v>1346</v>
      </c>
      <c r="DI2837" s="5" t="s">
        <v>240</v>
      </c>
      <c r="DJ2837" s="5" t="s">
        <v>240</v>
      </c>
      <c r="DK2837" s="5" t="s">
        <v>240</v>
      </c>
      <c r="DL2837" s="5" t="s">
        <v>240</v>
      </c>
      <c r="DP2837" s="5" t="s">
        <v>240</v>
      </c>
      <c r="DQ2837" s="5" t="s">
        <v>240</v>
      </c>
      <c r="DR2837" s="5" t="s">
        <v>240</v>
      </c>
      <c r="DS2837" s="5" t="s">
        <v>240</v>
      </c>
      <c r="DV2837" s="5" t="s">
        <v>813</v>
      </c>
      <c r="DW2837" s="5" t="s">
        <v>4861</v>
      </c>
      <c r="HO2837" s="5" t="s">
        <v>312</v>
      </c>
    </row>
    <row r="2838" spans="1:223" x14ac:dyDescent="0.4">
      <c r="A2838" s="5">
        <v>4542</v>
      </c>
      <c r="B2838" s="5">
        <v>1</v>
      </c>
      <c r="C2838" s="5">
        <v>1</v>
      </c>
      <c r="D2838" s="5" t="s">
        <v>810</v>
      </c>
      <c r="E2838" s="5" t="s">
        <v>245</v>
      </c>
      <c r="F2838" s="5" t="s">
        <v>254</v>
      </c>
      <c r="G2838" s="5" t="s">
        <v>240</v>
      </c>
      <c r="H2838" s="6" t="s">
        <v>2869</v>
      </c>
      <c r="I2838" s="5" t="s">
        <v>809</v>
      </c>
      <c r="J2838" s="8">
        <f>979</f>
        <v>979</v>
      </c>
      <c r="K2838" s="5" t="s">
        <v>308</v>
      </c>
      <c r="L2838" s="7">
        <f>1</f>
        <v>1</v>
      </c>
      <c r="M2838" s="7">
        <f>1</f>
        <v>1</v>
      </c>
      <c r="N2838" s="5" t="s">
        <v>242</v>
      </c>
      <c r="O2838" s="5">
        <v>1</v>
      </c>
      <c r="P2838" s="5" t="s">
        <v>294</v>
      </c>
      <c r="Q2838" s="5" t="s">
        <v>266</v>
      </c>
      <c r="R2838" s="5" t="s">
        <v>240</v>
      </c>
      <c r="S2838" s="5" t="s">
        <v>240</v>
      </c>
      <c r="T2838" s="5" t="s">
        <v>296</v>
      </c>
      <c r="U2838" s="5" t="s">
        <v>244</v>
      </c>
      <c r="V2838" s="5" t="s">
        <v>240</v>
      </c>
      <c r="Y2838" s="5" t="s">
        <v>240</v>
      </c>
      <c r="Z2838" s="6" t="s">
        <v>298</v>
      </c>
      <c r="AB2838" s="6" t="s">
        <v>240</v>
      </c>
      <c r="AE2838" s="6" t="s">
        <v>299</v>
      </c>
      <c r="AF2838" s="5" t="s">
        <v>248</v>
      </c>
      <c r="AG2838" s="5" t="s">
        <v>249</v>
      </c>
      <c r="AW2838" s="5" t="s">
        <v>251</v>
      </c>
      <c r="AX2838" s="5" t="s">
        <v>240</v>
      </c>
      <c r="AY2838" s="5" t="s">
        <v>253</v>
      </c>
      <c r="AZ2838" s="5" t="s">
        <v>240</v>
      </c>
      <c r="BA2838" s="5" t="s">
        <v>255</v>
      </c>
      <c r="BB2838" s="5" t="s">
        <v>240</v>
      </c>
      <c r="BD2838" s="5" t="s">
        <v>240</v>
      </c>
      <c r="BF2838" s="5" t="s">
        <v>301</v>
      </c>
      <c r="BG2838" s="6" t="s">
        <v>299</v>
      </c>
      <c r="BH2838" s="5" t="s">
        <v>302</v>
      </c>
      <c r="BI2838" s="5" t="s">
        <v>303</v>
      </c>
      <c r="BJ2838" s="5" t="s">
        <v>240</v>
      </c>
      <c r="BK2838" s="8">
        <f>0</f>
        <v>0</v>
      </c>
      <c r="BL2838" s="7">
        <f>0</f>
        <v>0</v>
      </c>
      <c r="BM2838" s="5" t="s">
        <v>258</v>
      </c>
      <c r="BN2838" s="5" t="s">
        <v>259</v>
      </c>
      <c r="CB2838" s="5" t="s">
        <v>240</v>
      </c>
      <c r="CC2838" s="5" t="s">
        <v>240</v>
      </c>
      <c r="CG2838" s="5" t="s">
        <v>304</v>
      </c>
      <c r="CH2838" s="5" t="s">
        <v>305</v>
      </c>
      <c r="CI2838" s="5" t="s">
        <v>240</v>
      </c>
      <c r="CL2838" s="6" t="s">
        <v>261</v>
      </c>
      <c r="CM2838" s="5" t="s">
        <v>240</v>
      </c>
      <c r="CN2838" s="5" t="s">
        <v>263</v>
      </c>
      <c r="CO2838" s="5" t="s">
        <v>240</v>
      </c>
      <c r="CP2838" s="5" t="s">
        <v>240</v>
      </c>
      <c r="CQ2838" s="5">
        <v>0</v>
      </c>
      <c r="CR2838" s="5" t="s">
        <v>306</v>
      </c>
      <c r="CS2838" s="5" t="s">
        <v>307</v>
      </c>
      <c r="CT2838" s="5" t="s">
        <v>307</v>
      </c>
      <c r="CU2838" s="5" t="s">
        <v>260</v>
      </c>
      <c r="CX2838" s="7">
        <f>1</f>
        <v>1</v>
      </c>
      <c r="CY2838" s="7">
        <f>0</f>
        <v>0</v>
      </c>
      <c r="DA2838" s="7">
        <f>0</f>
        <v>0</v>
      </c>
      <c r="DC2838" s="5" t="s">
        <v>812</v>
      </c>
      <c r="DD2838" s="5" t="s">
        <v>240</v>
      </c>
      <c r="DF2838" s="5" t="s">
        <v>812</v>
      </c>
      <c r="DG2838" s="7">
        <f>326</f>
        <v>326</v>
      </c>
      <c r="DI2838" s="5" t="s">
        <v>240</v>
      </c>
      <c r="DJ2838" s="5" t="s">
        <v>240</v>
      </c>
      <c r="DK2838" s="5" t="s">
        <v>240</v>
      </c>
      <c r="DL2838" s="5" t="s">
        <v>240</v>
      </c>
      <c r="DP2838" s="5" t="s">
        <v>240</v>
      </c>
      <c r="DQ2838" s="5" t="s">
        <v>240</v>
      </c>
      <c r="DR2838" s="5" t="s">
        <v>240</v>
      </c>
      <c r="DS2838" s="5" t="s">
        <v>240</v>
      </c>
      <c r="DV2838" s="5" t="s">
        <v>813</v>
      </c>
      <c r="DW2838" s="5" t="s">
        <v>4993</v>
      </c>
      <c r="HO2838" s="5" t="s">
        <v>312</v>
      </c>
    </row>
    <row r="2839" spans="1:223" x14ac:dyDescent="0.4">
      <c r="A2839" s="5">
        <v>4543</v>
      </c>
      <c r="B2839" s="5">
        <v>1</v>
      </c>
      <c r="C2839" s="5">
        <v>1</v>
      </c>
      <c r="D2839" s="5" t="s">
        <v>810</v>
      </c>
      <c r="E2839" s="5" t="s">
        <v>245</v>
      </c>
      <c r="F2839" s="5" t="s">
        <v>254</v>
      </c>
      <c r="G2839" s="5" t="s">
        <v>240</v>
      </c>
      <c r="H2839" s="6" t="s">
        <v>2867</v>
      </c>
      <c r="I2839" s="5" t="s">
        <v>809</v>
      </c>
      <c r="J2839" s="8">
        <f>41</f>
        <v>41</v>
      </c>
      <c r="K2839" s="5" t="s">
        <v>308</v>
      </c>
      <c r="L2839" s="7">
        <f>1</f>
        <v>1</v>
      </c>
      <c r="M2839" s="7">
        <f>1</f>
        <v>1</v>
      </c>
      <c r="N2839" s="5" t="s">
        <v>242</v>
      </c>
      <c r="O2839" s="5">
        <v>1</v>
      </c>
      <c r="P2839" s="5" t="s">
        <v>294</v>
      </c>
      <c r="Q2839" s="5" t="s">
        <v>266</v>
      </c>
      <c r="R2839" s="5" t="s">
        <v>240</v>
      </c>
      <c r="S2839" s="5" t="s">
        <v>240</v>
      </c>
      <c r="T2839" s="5" t="s">
        <v>296</v>
      </c>
      <c r="U2839" s="5" t="s">
        <v>244</v>
      </c>
      <c r="V2839" s="5" t="s">
        <v>240</v>
      </c>
      <c r="Y2839" s="5" t="s">
        <v>240</v>
      </c>
      <c r="Z2839" s="6" t="s">
        <v>298</v>
      </c>
      <c r="AB2839" s="6" t="s">
        <v>240</v>
      </c>
      <c r="AE2839" s="6" t="s">
        <v>299</v>
      </c>
      <c r="AF2839" s="5" t="s">
        <v>248</v>
      </c>
      <c r="AG2839" s="5" t="s">
        <v>249</v>
      </c>
      <c r="AW2839" s="5" t="s">
        <v>251</v>
      </c>
      <c r="AX2839" s="5" t="s">
        <v>240</v>
      </c>
      <c r="AY2839" s="5" t="s">
        <v>253</v>
      </c>
      <c r="AZ2839" s="5" t="s">
        <v>240</v>
      </c>
      <c r="BA2839" s="5" t="s">
        <v>255</v>
      </c>
      <c r="BB2839" s="5" t="s">
        <v>240</v>
      </c>
      <c r="BD2839" s="5" t="s">
        <v>240</v>
      </c>
      <c r="BF2839" s="5" t="s">
        <v>301</v>
      </c>
      <c r="BG2839" s="6" t="s">
        <v>299</v>
      </c>
      <c r="BH2839" s="5" t="s">
        <v>302</v>
      </c>
      <c r="BI2839" s="5" t="s">
        <v>303</v>
      </c>
      <c r="BJ2839" s="5" t="s">
        <v>240</v>
      </c>
      <c r="BK2839" s="8">
        <f>0</f>
        <v>0</v>
      </c>
      <c r="BL2839" s="7">
        <f>0</f>
        <v>0</v>
      </c>
      <c r="BM2839" s="5" t="s">
        <v>258</v>
      </c>
      <c r="BN2839" s="5" t="s">
        <v>259</v>
      </c>
      <c r="CB2839" s="5" t="s">
        <v>240</v>
      </c>
      <c r="CC2839" s="5" t="s">
        <v>240</v>
      </c>
      <c r="CG2839" s="5" t="s">
        <v>304</v>
      </c>
      <c r="CH2839" s="5" t="s">
        <v>305</v>
      </c>
      <c r="CI2839" s="5" t="s">
        <v>240</v>
      </c>
      <c r="CL2839" s="6" t="s">
        <v>261</v>
      </c>
      <c r="CM2839" s="5" t="s">
        <v>240</v>
      </c>
      <c r="CN2839" s="5" t="s">
        <v>263</v>
      </c>
      <c r="CO2839" s="5" t="s">
        <v>240</v>
      </c>
      <c r="CP2839" s="5" t="s">
        <v>240</v>
      </c>
      <c r="CQ2839" s="5">
        <v>0</v>
      </c>
      <c r="CR2839" s="5" t="s">
        <v>306</v>
      </c>
      <c r="CS2839" s="5" t="s">
        <v>307</v>
      </c>
      <c r="CT2839" s="5" t="s">
        <v>307</v>
      </c>
      <c r="CU2839" s="5" t="s">
        <v>260</v>
      </c>
      <c r="CX2839" s="7">
        <f>1</f>
        <v>1</v>
      </c>
      <c r="CY2839" s="7">
        <f>0</f>
        <v>0</v>
      </c>
      <c r="DA2839" s="7">
        <f>0</f>
        <v>0</v>
      </c>
      <c r="DC2839" s="5" t="s">
        <v>309</v>
      </c>
      <c r="DD2839" s="5" t="s">
        <v>240</v>
      </c>
      <c r="DF2839" s="5" t="s">
        <v>309</v>
      </c>
      <c r="DG2839" s="7">
        <f>1732</f>
        <v>1732</v>
      </c>
      <c r="DI2839" s="5" t="s">
        <v>240</v>
      </c>
      <c r="DJ2839" s="5" t="s">
        <v>240</v>
      </c>
      <c r="DK2839" s="5" t="s">
        <v>240</v>
      </c>
      <c r="DL2839" s="5" t="s">
        <v>240</v>
      </c>
      <c r="DP2839" s="5" t="s">
        <v>240</v>
      </c>
      <c r="DQ2839" s="5" t="s">
        <v>240</v>
      </c>
      <c r="DR2839" s="5" t="s">
        <v>240</v>
      </c>
      <c r="DS2839" s="5" t="s">
        <v>240</v>
      </c>
      <c r="DV2839" s="5" t="s">
        <v>310</v>
      </c>
      <c r="DW2839" s="5" t="s">
        <v>3733</v>
      </c>
      <c r="HO2839" s="5" t="s">
        <v>312</v>
      </c>
    </row>
    <row r="2840" spans="1:223" x14ac:dyDescent="0.4">
      <c r="A2840" s="5">
        <v>4544</v>
      </c>
      <c r="B2840" s="5">
        <v>1</v>
      </c>
      <c r="C2840" s="5">
        <v>1</v>
      </c>
      <c r="D2840" s="5" t="s">
        <v>810</v>
      </c>
      <c r="E2840" s="5" t="s">
        <v>245</v>
      </c>
      <c r="F2840" s="5" t="s">
        <v>254</v>
      </c>
      <c r="G2840" s="5" t="s">
        <v>240</v>
      </c>
      <c r="H2840" s="6" t="s">
        <v>2865</v>
      </c>
      <c r="I2840" s="5" t="s">
        <v>809</v>
      </c>
      <c r="J2840" s="8">
        <f>978</f>
        <v>978</v>
      </c>
      <c r="K2840" s="5" t="s">
        <v>308</v>
      </c>
      <c r="L2840" s="7">
        <f>1</f>
        <v>1</v>
      </c>
      <c r="M2840" s="7">
        <f>1</f>
        <v>1</v>
      </c>
      <c r="N2840" s="5" t="s">
        <v>242</v>
      </c>
      <c r="O2840" s="5">
        <v>1</v>
      </c>
      <c r="P2840" s="5" t="s">
        <v>294</v>
      </c>
      <c r="Q2840" s="5" t="s">
        <v>266</v>
      </c>
      <c r="R2840" s="5" t="s">
        <v>240</v>
      </c>
      <c r="S2840" s="5" t="s">
        <v>240</v>
      </c>
      <c r="T2840" s="5" t="s">
        <v>296</v>
      </c>
      <c r="U2840" s="5" t="s">
        <v>244</v>
      </c>
      <c r="V2840" s="5" t="s">
        <v>240</v>
      </c>
      <c r="Y2840" s="5" t="s">
        <v>240</v>
      </c>
      <c r="Z2840" s="6" t="s">
        <v>298</v>
      </c>
      <c r="AB2840" s="6" t="s">
        <v>240</v>
      </c>
      <c r="AE2840" s="6" t="s">
        <v>299</v>
      </c>
      <c r="AF2840" s="5" t="s">
        <v>248</v>
      </c>
      <c r="AG2840" s="5" t="s">
        <v>249</v>
      </c>
      <c r="AW2840" s="5" t="s">
        <v>251</v>
      </c>
      <c r="AX2840" s="5" t="s">
        <v>240</v>
      </c>
      <c r="AY2840" s="5" t="s">
        <v>253</v>
      </c>
      <c r="AZ2840" s="5" t="s">
        <v>240</v>
      </c>
      <c r="BA2840" s="5" t="s">
        <v>255</v>
      </c>
      <c r="BB2840" s="5" t="s">
        <v>240</v>
      </c>
      <c r="BD2840" s="5" t="s">
        <v>240</v>
      </c>
      <c r="BF2840" s="5" t="s">
        <v>301</v>
      </c>
      <c r="BG2840" s="6" t="s">
        <v>299</v>
      </c>
      <c r="BH2840" s="5" t="s">
        <v>302</v>
      </c>
      <c r="BI2840" s="5" t="s">
        <v>303</v>
      </c>
      <c r="BJ2840" s="5" t="s">
        <v>240</v>
      </c>
      <c r="BK2840" s="8">
        <f>0</f>
        <v>0</v>
      </c>
      <c r="BL2840" s="7">
        <f>0</f>
        <v>0</v>
      </c>
      <c r="BM2840" s="5" t="s">
        <v>258</v>
      </c>
      <c r="BN2840" s="5" t="s">
        <v>259</v>
      </c>
      <c r="CB2840" s="5" t="s">
        <v>240</v>
      </c>
      <c r="CC2840" s="5" t="s">
        <v>240</v>
      </c>
      <c r="CG2840" s="5" t="s">
        <v>304</v>
      </c>
      <c r="CH2840" s="5" t="s">
        <v>305</v>
      </c>
      <c r="CI2840" s="5" t="s">
        <v>240</v>
      </c>
      <c r="CL2840" s="6" t="s">
        <v>261</v>
      </c>
      <c r="CM2840" s="5" t="s">
        <v>240</v>
      </c>
      <c r="CN2840" s="5" t="s">
        <v>263</v>
      </c>
      <c r="CO2840" s="5" t="s">
        <v>240</v>
      </c>
      <c r="CP2840" s="5" t="s">
        <v>240</v>
      </c>
      <c r="CQ2840" s="5">
        <v>0</v>
      </c>
      <c r="CR2840" s="5" t="s">
        <v>306</v>
      </c>
      <c r="CS2840" s="5" t="s">
        <v>307</v>
      </c>
      <c r="CT2840" s="5" t="s">
        <v>307</v>
      </c>
      <c r="CU2840" s="5" t="s">
        <v>260</v>
      </c>
      <c r="CX2840" s="7">
        <f>1</f>
        <v>1</v>
      </c>
      <c r="CY2840" s="7">
        <f>0</f>
        <v>0</v>
      </c>
      <c r="DA2840" s="7">
        <f>0</f>
        <v>0</v>
      </c>
      <c r="DC2840" s="5" t="s">
        <v>812</v>
      </c>
      <c r="DD2840" s="5" t="s">
        <v>240</v>
      </c>
      <c r="DF2840" s="5" t="s">
        <v>812</v>
      </c>
      <c r="DG2840" s="7">
        <f>1357</f>
        <v>1357</v>
      </c>
      <c r="DI2840" s="5" t="s">
        <v>240</v>
      </c>
      <c r="DJ2840" s="5" t="s">
        <v>240</v>
      </c>
      <c r="DK2840" s="5" t="s">
        <v>240</v>
      </c>
      <c r="DL2840" s="5" t="s">
        <v>240</v>
      </c>
      <c r="DP2840" s="5" t="s">
        <v>240</v>
      </c>
      <c r="DQ2840" s="5" t="s">
        <v>240</v>
      </c>
      <c r="DR2840" s="5" t="s">
        <v>240</v>
      </c>
      <c r="DS2840" s="5" t="s">
        <v>240</v>
      </c>
      <c r="DV2840" s="5" t="s">
        <v>813</v>
      </c>
      <c r="DW2840" s="5" t="s">
        <v>4869</v>
      </c>
      <c r="HO2840" s="5" t="s">
        <v>312</v>
      </c>
    </row>
    <row r="2841" spans="1:223" x14ac:dyDescent="0.4">
      <c r="A2841" s="5">
        <v>4545</v>
      </c>
      <c r="B2841" s="5">
        <v>1</v>
      </c>
      <c r="C2841" s="5">
        <v>1</v>
      </c>
      <c r="D2841" s="5" t="s">
        <v>810</v>
      </c>
      <c r="E2841" s="5" t="s">
        <v>245</v>
      </c>
      <c r="F2841" s="5" t="s">
        <v>254</v>
      </c>
      <c r="G2841" s="5" t="s">
        <v>240</v>
      </c>
      <c r="H2841" s="6" t="s">
        <v>4804</v>
      </c>
      <c r="I2841" s="5" t="s">
        <v>809</v>
      </c>
      <c r="J2841" s="8">
        <f>1402</f>
        <v>1402</v>
      </c>
      <c r="K2841" s="5" t="s">
        <v>308</v>
      </c>
      <c r="L2841" s="7">
        <f>1</f>
        <v>1</v>
      </c>
      <c r="M2841" s="7">
        <f>1</f>
        <v>1</v>
      </c>
      <c r="N2841" s="5" t="s">
        <v>242</v>
      </c>
      <c r="O2841" s="5">
        <v>1</v>
      </c>
      <c r="P2841" s="5" t="s">
        <v>294</v>
      </c>
      <c r="Q2841" s="5" t="s">
        <v>266</v>
      </c>
      <c r="R2841" s="5" t="s">
        <v>240</v>
      </c>
      <c r="S2841" s="5" t="s">
        <v>240</v>
      </c>
      <c r="T2841" s="5" t="s">
        <v>296</v>
      </c>
      <c r="U2841" s="5" t="s">
        <v>244</v>
      </c>
      <c r="V2841" s="5" t="s">
        <v>240</v>
      </c>
      <c r="Y2841" s="5" t="s">
        <v>240</v>
      </c>
      <c r="Z2841" s="6" t="s">
        <v>298</v>
      </c>
      <c r="AB2841" s="6" t="s">
        <v>240</v>
      </c>
      <c r="AE2841" s="6" t="s">
        <v>299</v>
      </c>
      <c r="AF2841" s="5" t="s">
        <v>248</v>
      </c>
      <c r="AG2841" s="5" t="s">
        <v>249</v>
      </c>
      <c r="AW2841" s="5" t="s">
        <v>251</v>
      </c>
      <c r="AX2841" s="5" t="s">
        <v>240</v>
      </c>
      <c r="AY2841" s="5" t="s">
        <v>253</v>
      </c>
      <c r="AZ2841" s="5" t="s">
        <v>240</v>
      </c>
      <c r="BA2841" s="5" t="s">
        <v>255</v>
      </c>
      <c r="BB2841" s="5" t="s">
        <v>240</v>
      </c>
      <c r="BD2841" s="5" t="s">
        <v>240</v>
      </c>
      <c r="BF2841" s="5" t="s">
        <v>301</v>
      </c>
      <c r="BG2841" s="6" t="s">
        <v>299</v>
      </c>
      <c r="BH2841" s="5" t="s">
        <v>302</v>
      </c>
      <c r="BI2841" s="5" t="s">
        <v>303</v>
      </c>
      <c r="BJ2841" s="5" t="s">
        <v>240</v>
      </c>
      <c r="BK2841" s="8">
        <f>0</f>
        <v>0</v>
      </c>
      <c r="BL2841" s="7">
        <f>0</f>
        <v>0</v>
      </c>
      <c r="BM2841" s="5" t="s">
        <v>258</v>
      </c>
      <c r="BN2841" s="5" t="s">
        <v>259</v>
      </c>
      <c r="CB2841" s="5" t="s">
        <v>240</v>
      </c>
      <c r="CC2841" s="5" t="s">
        <v>240</v>
      </c>
      <c r="CG2841" s="5" t="s">
        <v>304</v>
      </c>
      <c r="CH2841" s="5" t="s">
        <v>305</v>
      </c>
      <c r="CI2841" s="5" t="s">
        <v>240</v>
      </c>
      <c r="CL2841" s="6" t="s">
        <v>261</v>
      </c>
      <c r="CM2841" s="5" t="s">
        <v>240</v>
      </c>
      <c r="CN2841" s="5" t="s">
        <v>263</v>
      </c>
      <c r="CO2841" s="5" t="s">
        <v>240</v>
      </c>
      <c r="CP2841" s="5" t="s">
        <v>240</v>
      </c>
      <c r="CQ2841" s="5">
        <v>0</v>
      </c>
      <c r="CR2841" s="5" t="s">
        <v>306</v>
      </c>
      <c r="CS2841" s="5" t="s">
        <v>307</v>
      </c>
      <c r="CT2841" s="5" t="s">
        <v>307</v>
      </c>
      <c r="CU2841" s="5" t="s">
        <v>260</v>
      </c>
      <c r="CX2841" s="7">
        <f>1</f>
        <v>1</v>
      </c>
      <c r="CY2841" s="7">
        <f>0</f>
        <v>0</v>
      </c>
      <c r="DA2841" s="7">
        <f>0</f>
        <v>0</v>
      </c>
      <c r="DC2841" s="5" t="s">
        <v>309</v>
      </c>
      <c r="DD2841" s="5" t="s">
        <v>240</v>
      </c>
      <c r="DF2841" s="5" t="s">
        <v>309</v>
      </c>
      <c r="DG2841" s="7">
        <f>777</f>
        <v>777</v>
      </c>
      <c r="DI2841" s="5" t="s">
        <v>240</v>
      </c>
      <c r="DJ2841" s="5" t="s">
        <v>240</v>
      </c>
      <c r="DK2841" s="5" t="s">
        <v>240</v>
      </c>
      <c r="DL2841" s="5" t="s">
        <v>240</v>
      </c>
      <c r="DP2841" s="5" t="s">
        <v>240</v>
      </c>
      <c r="DQ2841" s="5" t="s">
        <v>240</v>
      </c>
      <c r="DR2841" s="5" t="s">
        <v>240</v>
      </c>
      <c r="DS2841" s="5" t="s">
        <v>240</v>
      </c>
      <c r="DV2841" s="5" t="s">
        <v>310</v>
      </c>
      <c r="DW2841" s="5" t="s">
        <v>3737</v>
      </c>
      <c r="HO2841" s="5" t="s">
        <v>312</v>
      </c>
    </row>
    <row r="2842" spans="1:223" x14ac:dyDescent="0.4">
      <c r="A2842" s="5">
        <v>4546</v>
      </c>
      <c r="B2842" s="5">
        <v>1</v>
      </c>
      <c r="C2842" s="5">
        <v>1</v>
      </c>
      <c r="D2842" s="5" t="s">
        <v>810</v>
      </c>
      <c r="E2842" s="5" t="s">
        <v>245</v>
      </c>
      <c r="F2842" s="5" t="s">
        <v>254</v>
      </c>
      <c r="G2842" s="5" t="s">
        <v>240</v>
      </c>
      <c r="H2842" s="6" t="s">
        <v>2862</v>
      </c>
      <c r="I2842" s="5" t="s">
        <v>809</v>
      </c>
      <c r="J2842" s="8">
        <f>1533</f>
        <v>1533</v>
      </c>
      <c r="K2842" s="5" t="s">
        <v>308</v>
      </c>
      <c r="L2842" s="7">
        <f>1</f>
        <v>1</v>
      </c>
      <c r="M2842" s="7">
        <f>1</f>
        <v>1</v>
      </c>
      <c r="N2842" s="5" t="s">
        <v>242</v>
      </c>
      <c r="O2842" s="5">
        <v>1</v>
      </c>
      <c r="P2842" s="5" t="s">
        <v>294</v>
      </c>
      <c r="Q2842" s="5" t="s">
        <v>266</v>
      </c>
      <c r="R2842" s="5" t="s">
        <v>240</v>
      </c>
      <c r="S2842" s="5" t="s">
        <v>240</v>
      </c>
      <c r="T2842" s="5" t="s">
        <v>296</v>
      </c>
      <c r="U2842" s="5" t="s">
        <v>244</v>
      </c>
      <c r="V2842" s="5" t="s">
        <v>240</v>
      </c>
      <c r="Y2842" s="5" t="s">
        <v>240</v>
      </c>
      <c r="Z2842" s="6" t="s">
        <v>298</v>
      </c>
      <c r="AB2842" s="6" t="s">
        <v>240</v>
      </c>
      <c r="AE2842" s="6" t="s">
        <v>299</v>
      </c>
      <c r="AF2842" s="5" t="s">
        <v>248</v>
      </c>
      <c r="AG2842" s="5" t="s">
        <v>249</v>
      </c>
      <c r="AW2842" s="5" t="s">
        <v>251</v>
      </c>
      <c r="AX2842" s="5" t="s">
        <v>240</v>
      </c>
      <c r="AY2842" s="5" t="s">
        <v>253</v>
      </c>
      <c r="AZ2842" s="5" t="s">
        <v>240</v>
      </c>
      <c r="BA2842" s="5" t="s">
        <v>255</v>
      </c>
      <c r="BB2842" s="5" t="s">
        <v>240</v>
      </c>
      <c r="BD2842" s="5" t="s">
        <v>240</v>
      </c>
      <c r="BF2842" s="5" t="s">
        <v>301</v>
      </c>
      <c r="BG2842" s="6" t="s">
        <v>299</v>
      </c>
      <c r="BH2842" s="5" t="s">
        <v>302</v>
      </c>
      <c r="BI2842" s="5" t="s">
        <v>303</v>
      </c>
      <c r="BJ2842" s="5" t="s">
        <v>240</v>
      </c>
      <c r="BK2842" s="8">
        <f>0</f>
        <v>0</v>
      </c>
      <c r="BL2842" s="7">
        <f>0</f>
        <v>0</v>
      </c>
      <c r="BM2842" s="5" t="s">
        <v>258</v>
      </c>
      <c r="BN2842" s="5" t="s">
        <v>259</v>
      </c>
      <c r="CB2842" s="5" t="s">
        <v>240</v>
      </c>
      <c r="CC2842" s="5" t="s">
        <v>240</v>
      </c>
      <c r="CG2842" s="5" t="s">
        <v>304</v>
      </c>
      <c r="CH2842" s="5" t="s">
        <v>305</v>
      </c>
      <c r="CI2842" s="5" t="s">
        <v>240</v>
      </c>
      <c r="CL2842" s="6" t="s">
        <v>261</v>
      </c>
      <c r="CM2842" s="5" t="s">
        <v>240</v>
      </c>
      <c r="CN2842" s="5" t="s">
        <v>263</v>
      </c>
      <c r="CO2842" s="5" t="s">
        <v>240</v>
      </c>
      <c r="CP2842" s="5" t="s">
        <v>240</v>
      </c>
      <c r="CQ2842" s="5">
        <v>0</v>
      </c>
      <c r="CR2842" s="5" t="s">
        <v>306</v>
      </c>
      <c r="CS2842" s="5" t="s">
        <v>307</v>
      </c>
      <c r="CT2842" s="5" t="s">
        <v>307</v>
      </c>
      <c r="CU2842" s="5" t="s">
        <v>260</v>
      </c>
      <c r="CX2842" s="7">
        <f>1</f>
        <v>1</v>
      </c>
      <c r="CY2842" s="7">
        <f>0</f>
        <v>0</v>
      </c>
      <c r="DA2842" s="7">
        <f>0</f>
        <v>0</v>
      </c>
      <c r="DC2842" s="5" t="s">
        <v>812</v>
      </c>
      <c r="DD2842" s="5" t="s">
        <v>240</v>
      </c>
      <c r="DF2842" s="5" t="s">
        <v>812</v>
      </c>
      <c r="DG2842" s="7">
        <f>191</f>
        <v>191</v>
      </c>
      <c r="DI2842" s="5" t="s">
        <v>240</v>
      </c>
      <c r="DJ2842" s="5" t="s">
        <v>240</v>
      </c>
      <c r="DK2842" s="5" t="s">
        <v>240</v>
      </c>
      <c r="DL2842" s="5" t="s">
        <v>240</v>
      </c>
      <c r="DP2842" s="5" t="s">
        <v>240</v>
      </c>
      <c r="DQ2842" s="5" t="s">
        <v>240</v>
      </c>
      <c r="DR2842" s="5" t="s">
        <v>240</v>
      </c>
      <c r="DS2842" s="5" t="s">
        <v>240</v>
      </c>
      <c r="DV2842" s="5" t="s">
        <v>813</v>
      </c>
      <c r="DW2842" s="5" t="s">
        <v>4998</v>
      </c>
      <c r="HO2842" s="5" t="s">
        <v>312</v>
      </c>
    </row>
    <row r="2843" spans="1:223" x14ac:dyDescent="0.4">
      <c r="A2843" s="5">
        <v>4547</v>
      </c>
      <c r="B2843" s="5">
        <v>1</v>
      </c>
      <c r="C2843" s="5">
        <v>1</v>
      </c>
      <c r="D2843" s="5" t="s">
        <v>810</v>
      </c>
      <c r="E2843" s="5" t="s">
        <v>245</v>
      </c>
      <c r="F2843" s="5" t="s">
        <v>254</v>
      </c>
      <c r="G2843" s="5" t="s">
        <v>240</v>
      </c>
      <c r="H2843" s="6" t="s">
        <v>2860</v>
      </c>
      <c r="I2843" s="5" t="s">
        <v>809</v>
      </c>
      <c r="J2843" s="8">
        <f>1465</f>
        <v>1465</v>
      </c>
      <c r="K2843" s="5" t="s">
        <v>308</v>
      </c>
      <c r="L2843" s="7">
        <f>1</f>
        <v>1</v>
      </c>
      <c r="M2843" s="7">
        <f>1</f>
        <v>1</v>
      </c>
      <c r="N2843" s="5" t="s">
        <v>242</v>
      </c>
      <c r="O2843" s="5">
        <v>1</v>
      </c>
      <c r="P2843" s="5" t="s">
        <v>294</v>
      </c>
      <c r="Q2843" s="5" t="s">
        <v>266</v>
      </c>
      <c r="R2843" s="5" t="s">
        <v>240</v>
      </c>
      <c r="S2843" s="5" t="s">
        <v>240</v>
      </c>
      <c r="T2843" s="5" t="s">
        <v>296</v>
      </c>
      <c r="U2843" s="5" t="s">
        <v>244</v>
      </c>
      <c r="V2843" s="5" t="s">
        <v>240</v>
      </c>
      <c r="Y2843" s="5" t="s">
        <v>240</v>
      </c>
      <c r="Z2843" s="6" t="s">
        <v>298</v>
      </c>
      <c r="AB2843" s="6" t="s">
        <v>240</v>
      </c>
      <c r="AE2843" s="6" t="s">
        <v>299</v>
      </c>
      <c r="AF2843" s="5" t="s">
        <v>248</v>
      </c>
      <c r="AG2843" s="5" t="s">
        <v>249</v>
      </c>
      <c r="AW2843" s="5" t="s">
        <v>251</v>
      </c>
      <c r="AX2843" s="5" t="s">
        <v>240</v>
      </c>
      <c r="AY2843" s="5" t="s">
        <v>253</v>
      </c>
      <c r="AZ2843" s="5" t="s">
        <v>240</v>
      </c>
      <c r="BA2843" s="5" t="s">
        <v>255</v>
      </c>
      <c r="BB2843" s="5" t="s">
        <v>240</v>
      </c>
      <c r="BD2843" s="5" t="s">
        <v>240</v>
      </c>
      <c r="BF2843" s="5" t="s">
        <v>301</v>
      </c>
      <c r="BG2843" s="6" t="s">
        <v>299</v>
      </c>
      <c r="BH2843" s="5" t="s">
        <v>302</v>
      </c>
      <c r="BI2843" s="5" t="s">
        <v>303</v>
      </c>
      <c r="BJ2843" s="5" t="s">
        <v>240</v>
      </c>
      <c r="BK2843" s="8">
        <f>0</f>
        <v>0</v>
      </c>
      <c r="BL2843" s="7">
        <f>0</f>
        <v>0</v>
      </c>
      <c r="BM2843" s="5" t="s">
        <v>258</v>
      </c>
      <c r="BN2843" s="5" t="s">
        <v>259</v>
      </c>
      <c r="CB2843" s="5" t="s">
        <v>240</v>
      </c>
      <c r="CC2843" s="5" t="s">
        <v>240</v>
      </c>
      <c r="CG2843" s="5" t="s">
        <v>304</v>
      </c>
      <c r="CH2843" s="5" t="s">
        <v>305</v>
      </c>
      <c r="CI2843" s="5" t="s">
        <v>240</v>
      </c>
      <c r="CL2843" s="6" t="s">
        <v>261</v>
      </c>
      <c r="CM2843" s="5" t="s">
        <v>240</v>
      </c>
      <c r="CN2843" s="5" t="s">
        <v>263</v>
      </c>
      <c r="CO2843" s="5" t="s">
        <v>240</v>
      </c>
      <c r="CP2843" s="5" t="s">
        <v>240</v>
      </c>
      <c r="CQ2843" s="5">
        <v>0</v>
      </c>
      <c r="CR2843" s="5" t="s">
        <v>306</v>
      </c>
      <c r="CS2843" s="5" t="s">
        <v>307</v>
      </c>
      <c r="CT2843" s="5" t="s">
        <v>307</v>
      </c>
      <c r="CU2843" s="5" t="s">
        <v>260</v>
      </c>
      <c r="CX2843" s="7">
        <f>1</f>
        <v>1</v>
      </c>
      <c r="CY2843" s="7">
        <f>0</f>
        <v>0</v>
      </c>
      <c r="DA2843" s="7">
        <f>0</f>
        <v>0</v>
      </c>
      <c r="DC2843" s="5" t="s">
        <v>309</v>
      </c>
      <c r="DD2843" s="5" t="s">
        <v>240</v>
      </c>
      <c r="DF2843" s="5" t="s">
        <v>309</v>
      </c>
      <c r="DG2843" s="7">
        <f>1507</f>
        <v>1507</v>
      </c>
      <c r="DI2843" s="5" t="s">
        <v>240</v>
      </c>
      <c r="DJ2843" s="5" t="s">
        <v>240</v>
      </c>
      <c r="DK2843" s="5" t="s">
        <v>240</v>
      </c>
      <c r="DL2843" s="5" t="s">
        <v>240</v>
      </c>
      <c r="DP2843" s="5" t="s">
        <v>240</v>
      </c>
      <c r="DQ2843" s="5" t="s">
        <v>240</v>
      </c>
      <c r="DR2843" s="5" t="s">
        <v>240</v>
      </c>
      <c r="DS2843" s="5" t="s">
        <v>240</v>
      </c>
      <c r="DV2843" s="5" t="s">
        <v>310</v>
      </c>
      <c r="DW2843" s="5" t="s">
        <v>3741</v>
      </c>
      <c r="HO2843" s="5" t="s">
        <v>312</v>
      </c>
    </row>
    <row r="2844" spans="1:223" x14ac:dyDescent="0.4">
      <c r="A2844" s="5">
        <v>4548</v>
      </c>
      <c r="B2844" s="5">
        <v>1</v>
      </c>
      <c r="C2844" s="5">
        <v>1</v>
      </c>
      <c r="D2844" s="5" t="s">
        <v>810</v>
      </c>
      <c r="E2844" s="5" t="s">
        <v>245</v>
      </c>
      <c r="F2844" s="5" t="s">
        <v>254</v>
      </c>
      <c r="G2844" s="5" t="s">
        <v>240</v>
      </c>
      <c r="H2844" s="6" t="s">
        <v>2858</v>
      </c>
      <c r="I2844" s="5" t="s">
        <v>809</v>
      </c>
      <c r="J2844" s="8">
        <f>4056</f>
        <v>4056</v>
      </c>
      <c r="K2844" s="5" t="s">
        <v>308</v>
      </c>
      <c r="L2844" s="7">
        <f>1</f>
        <v>1</v>
      </c>
      <c r="M2844" s="7">
        <f>1</f>
        <v>1</v>
      </c>
      <c r="N2844" s="5" t="s">
        <v>242</v>
      </c>
      <c r="O2844" s="5">
        <v>1</v>
      </c>
      <c r="P2844" s="5" t="s">
        <v>294</v>
      </c>
      <c r="Q2844" s="5" t="s">
        <v>266</v>
      </c>
      <c r="R2844" s="5" t="s">
        <v>240</v>
      </c>
      <c r="S2844" s="5" t="s">
        <v>240</v>
      </c>
      <c r="T2844" s="5" t="s">
        <v>296</v>
      </c>
      <c r="U2844" s="5" t="s">
        <v>244</v>
      </c>
      <c r="V2844" s="5" t="s">
        <v>240</v>
      </c>
      <c r="Y2844" s="5" t="s">
        <v>240</v>
      </c>
      <c r="Z2844" s="6" t="s">
        <v>298</v>
      </c>
      <c r="AB2844" s="6" t="s">
        <v>240</v>
      </c>
      <c r="AE2844" s="6" t="s">
        <v>299</v>
      </c>
      <c r="AF2844" s="5" t="s">
        <v>248</v>
      </c>
      <c r="AG2844" s="5" t="s">
        <v>249</v>
      </c>
      <c r="AW2844" s="5" t="s">
        <v>251</v>
      </c>
      <c r="AX2844" s="5" t="s">
        <v>240</v>
      </c>
      <c r="AY2844" s="5" t="s">
        <v>253</v>
      </c>
      <c r="AZ2844" s="5" t="s">
        <v>240</v>
      </c>
      <c r="BA2844" s="5" t="s">
        <v>255</v>
      </c>
      <c r="BB2844" s="5" t="s">
        <v>240</v>
      </c>
      <c r="BD2844" s="5" t="s">
        <v>240</v>
      </c>
      <c r="BF2844" s="5" t="s">
        <v>301</v>
      </c>
      <c r="BG2844" s="6" t="s">
        <v>299</v>
      </c>
      <c r="BH2844" s="5" t="s">
        <v>302</v>
      </c>
      <c r="BI2844" s="5" t="s">
        <v>303</v>
      </c>
      <c r="BJ2844" s="5" t="s">
        <v>240</v>
      </c>
      <c r="BK2844" s="8">
        <f>0</f>
        <v>0</v>
      </c>
      <c r="BL2844" s="7">
        <f>0</f>
        <v>0</v>
      </c>
      <c r="BM2844" s="5" t="s">
        <v>258</v>
      </c>
      <c r="BN2844" s="5" t="s">
        <v>259</v>
      </c>
      <c r="CB2844" s="5" t="s">
        <v>240</v>
      </c>
      <c r="CC2844" s="5" t="s">
        <v>240</v>
      </c>
      <c r="CG2844" s="5" t="s">
        <v>304</v>
      </c>
      <c r="CH2844" s="5" t="s">
        <v>305</v>
      </c>
      <c r="CI2844" s="5" t="s">
        <v>240</v>
      </c>
      <c r="CL2844" s="6" t="s">
        <v>261</v>
      </c>
      <c r="CM2844" s="5" t="s">
        <v>240</v>
      </c>
      <c r="CN2844" s="5" t="s">
        <v>263</v>
      </c>
      <c r="CO2844" s="5" t="s">
        <v>240</v>
      </c>
      <c r="CP2844" s="5" t="s">
        <v>240</v>
      </c>
      <c r="CQ2844" s="5">
        <v>0</v>
      </c>
      <c r="CR2844" s="5" t="s">
        <v>306</v>
      </c>
      <c r="CS2844" s="5" t="s">
        <v>307</v>
      </c>
      <c r="CT2844" s="5" t="s">
        <v>307</v>
      </c>
      <c r="CU2844" s="5" t="s">
        <v>260</v>
      </c>
      <c r="CX2844" s="7">
        <f>1</f>
        <v>1</v>
      </c>
      <c r="CY2844" s="7">
        <f>0</f>
        <v>0</v>
      </c>
      <c r="DA2844" s="7">
        <f>0</f>
        <v>0</v>
      </c>
      <c r="DC2844" s="5" t="s">
        <v>309</v>
      </c>
      <c r="DD2844" s="5" t="s">
        <v>240</v>
      </c>
      <c r="DF2844" s="5" t="s">
        <v>309</v>
      </c>
      <c r="DG2844" s="7">
        <f>452</f>
        <v>452</v>
      </c>
      <c r="DI2844" s="5" t="s">
        <v>240</v>
      </c>
      <c r="DJ2844" s="5" t="s">
        <v>240</v>
      </c>
      <c r="DK2844" s="5" t="s">
        <v>240</v>
      </c>
      <c r="DL2844" s="5" t="s">
        <v>240</v>
      </c>
      <c r="DP2844" s="5" t="s">
        <v>240</v>
      </c>
      <c r="DQ2844" s="5" t="s">
        <v>240</v>
      </c>
      <c r="DR2844" s="5" t="s">
        <v>240</v>
      </c>
      <c r="DS2844" s="5" t="s">
        <v>240</v>
      </c>
      <c r="DV2844" s="5" t="s">
        <v>310</v>
      </c>
      <c r="DW2844" s="5" t="s">
        <v>3743</v>
      </c>
      <c r="HO2844" s="5" t="s">
        <v>312</v>
      </c>
    </row>
    <row r="2845" spans="1:223" x14ac:dyDescent="0.4">
      <c r="A2845" s="5">
        <v>4549</v>
      </c>
      <c r="B2845" s="5">
        <v>1</v>
      </c>
      <c r="C2845" s="5">
        <v>1</v>
      </c>
      <c r="D2845" s="5" t="s">
        <v>810</v>
      </c>
      <c r="E2845" s="5" t="s">
        <v>245</v>
      </c>
      <c r="F2845" s="5" t="s">
        <v>254</v>
      </c>
      <c r="G2845" s="5" t="s">
        <v>240</v>
      </c>
      <c r="H2845" s="6" t="s">
        <v>2856</v>
      </c>
      <c r="I2845" s="5" t="s">
        <v>809</v>
      </c>
      <c r="J2845" s="8">
        <f>2555</f>
        <v>2555</v>
      </c>
      <c r="K2845" s="5" t="s">
        <v>308</v>
      </c>
      <c r="L2845" s="7">
        <f>1</f>
        <v>1</v>
      </c>
      <c r="M2845" s="7">
        <f>1</f>
        <v>1</v>
      </c>
      <c r="N2845" s="5" t="s">
        <v>242</v>
      </c>
      <c r="O2845" s="5">
        <v>1</v>
      </c>
      <c r="P2845" s="5" t="s">
        <v>294</v>
      </c>
      <c r="Q2845" s="5" t="s">
        <v>266</v>
      </c>
      <c r="R2845" s="5" t="s">
        <v>240</v>
      </c>
      <c r="S2845" s="5" t="s">
        <v>240</v>
      </c>
      <c r="T2845" s="5" t="s">
        <v>296</v>
      </c>
      <c r="U2845" s="5" t="s">
        <v>244</v>
      </c>
      <c r="V2845" s="5" t="s">
        <v>240</v>
      </c>
      <c r="Y2845" s="5" t="s">
        <v>240</v>
      </c>
      <c r="Z2845" s="6" t="s">
        <v>298</v>
      </c>
      <c r="AB2845" s="6" t="s">
        <v>240</v>
      </c>
      <c r="AE2845" s="6" t="s">
        <v>299</v>
      </c>
      <c r="AF2845" s="5" t="s">
        <v>248</v>
      </c>
      <c r="AG2845" s="5" t="s">
        <v>249</v>
      </c>
      <c r="AW2845" s="5" t="s">
        <v>251</v>
      </c>
      <c r="AX2845" s="5" t="s">
        <v>240</v>
      </c>
      <c r="AY2845" s="5" t="s">
        <v>253</v>
      </c>
      <c r="AZ2845" s="5" t="s">
        <v>240</v>
      </c>
      <c r="BA2845" s="5" t="s">
        <v>255</v>
      </c>
      <c r="BB2845" s="5" t="s">
        <v>240</v>
      </c>
      <c r="BD2845" s="5" t="s">
        <v>240</v>
      </c>
      <c r="BF2845" s="5" t="s">
        <v>301</v>
      </c>
      <c r="BG2845" s="6" t="s">
        <v>299</v>
      </c>
      <c r="BH2845" s="5" t="s">
        <v>302</v>
      </c>
      <c r="BI2845" s="5" t="s">
        <v>303</v>
      </c>
      <c r="BJ2845" s="5" t="s">
        <v>240</v>
      </c>
      <c r="BK2845" s="8">
        <f>0</f>
        <v>0</v>
      </c>
      <c r="BL2845" s="7">
        <f>0</f>
        <v>0</v>
      </c>
      <c r="BM2845" s="5" t="s">
        <v>258</v>
      </c>
      <c r="BN2845" s="5" t="s">
        <v>259</v>
      </c>
      <c r="CB2845" s="5" t="s">
        <v>240</v>
      </c>
      <c r="CC2845" s="5" t="s">
        <v>240</v>
      </c>
      <c r="CG2845" s="5" t="s">
        <v>304</v>
      </c>
      <c r="CH2845" s="5" t="s">
        <v>305</v>
      </c>
      <c r="CI2845" s="5" t="s">
        <v>240</v>
      </c>
      <c r="CL2845" s="6" t="s">
        <v>261</v>
      </c>
      <c r="CM2845" s="5" t="s">
        <v>240</v>
      </c>
      <c r="CN2845" s="5" t="s">
        <v>263</v>
      </c>
      <c r="CO2845" s="5" t="s">
        <v>240</v>
      </c>
      <c r="CP2845" s="5" t="s">
        <v>240</v>
      </c>
      <c r="CQ2845" s="5">
        <v>0</v>
      </c>
      <c r="CR2845" s="5" t="s">
        <v>306</v>
      </c>
      <c r="CS2845" s="5" t="s">
        <v>307</v>
      </c>
      <c r="CT2845" s="5" t="s">
        <v>307</v>
      </c>
      <c r="CU2845" s="5" t="s">
        <v>260</v>
      </c>
      <c r="CX2845" s="7">
        <f>1</f>
        <v>1</v>
      </c>
      <c r="CY2845" s="7">
        <f>0</f>
        <v>0</v>
      </c>
      <c r="DA2845" s="7">
        <f>0</f>
        <v>0</v>
      </c>
      <c r="DC2845" s="5" t="s">
        <v>309</v>
      </c>
      <c r="DD2845" s="5" t="s">
        <v>240</v>
      </c>
      <c r="DF2845" s="5" t="s">
        <v>309</v>
      </c>
      <c r="DG2845" s="7">
        <f>2606</f>
        <v>2606</v>
      </c>
      <c r="DI2845" s="5" t="s">
        <v>240</v>
      </c>
      <c r="DJ2845" s="5" t="s">
        <v>240</v>
      </c>
      <c r="DK2845" s="5" t="s">
        <v>240</v>
      </c>
      <c r="DL2845" s="5" t="s">
        <v>240</v>
      </c>
      <c r="DP2845" s="5" t="s">
        <v>240</v>
      </c>
      <c r="DQ2845" s="5" t="s">
        <v>240</v>
      </c>
      <c r="DR2845" s="5" t="s">
        <v>240</v>
      </c>
      <c r="DS2845" s="5" t="s">
        <v>240</v>
      </c>
      <c r="DV2845" s="5" t="s">
        <v>310</v>
      </c>
      <c r="DW2845" s="5" t="s">
        <v>3745</v>
      </c>
      <c r="HO2845" s="5" t="s">
        <v>312</v>
      </c>
    </row>
    <row r="2846" spans="1:223" x14ac:dyDescent="0.4">
      <c r="A2846" s="5">
        <v>4550</v>
      </c>
      <c r="B2846" s="5">
        <v>1</v>
      </c>
      <c r="C2846" s="5">
        <v>1</v>
      </c>
      <c r="D2846" s="5" t="s">
        <v>810</v>
      </c>
      <c r="E2846" s="5" t="s">
        <v>245</v>
      </c>
      <c r="F2846" s="5" t="s">
        <v>254</v>
      </c>
      <c r="G2846" s="5" t="s">
        <v>240</v>
      </c>
      <c r="H2846" s="6" t="s">
        <v>2854</v>
      </c>
      <c r="I2846" s="5" t="s">
        <v>809</v>
      </c>
      <c r="J2846" s="8">
        <f>164</f>
        <v>164</v>
      </c>
      <c r="K2846" s="5" t="s">
        <v>308</v>
      </c>
      <c r="L2846" s="7">
        <f>1</f>
        <v>1</v>
      </c>
      <c r="M2846" s="7">
        <f>1</f>
        <v>1</v>
      </c>
      <c r="N2846" s="5" t="s">
        <v>242</v>
      </c>
      <c r="O2846" s="5">
        <v>1</v>
      </c>
      <c r="P2846" s="5" t="s">
        <v>294</v>
      </c>
      <c r="Q2846" s="5" t="s">
        <v>266</v>
      </c>
      <c r="R2846" s="5" t="s">
        <v>240</v>
      </c>
      <c r="S2846" s="5" t="s">
        <v>240</v>
      </c>
      <c r="T2846" s="5" t="s">
        <v>296</v>
      </c>
      <c r="U2846" s="5" t="s">
        <v>244</v>
      </c>
      <c r="V2846" s="5" t="s">
        <v>240</v>
      </c>
      <c r="Y2846" s="5" t="s">
        <v>240</v>
      </c>
      <c r="Z2846" s="6" t="s">
        <v>298</v>
      </c>
      <c r="AB2846" s="6" t="s">
        <v>240</v>
      </c>
      <c r="AE2846" s="6" t="s">
        <v>299</v>
      </c>
      <c r="AF2846" s="5" t="s">
        <v>248</v>
      </c>
      <c r="AG2846" s="5" t="s">
        <v>249</v>
      </c>
      <c r="AW2846" s="5" t="s">
        <v>251</v>
      </c>
      <c r="AX2846" s="5" t="s">
        <v>240</v>
      </c>
      <c r="AY2846" s="5" t="s">
        <v>253</v>
      </c>
      <c r="AZ2846" s="5" t="s">
        <v>240</v>
      </c>
      <c r="BA2846" s="5" t="s">
        <v>255</v>
      </c>
      <c r="BB2846" s="5" t="s">
        <v>240</v>
      </c>
      <c r="BD2846" s="5" t="s">
        <v>240</v>
      </c>
      <c r="BF2846" s="5" t="s">
        <v>301</v>
      </c>
      <c r="BG2846" s="6" t="s">
        <v>299</v>
      </c>
      <c r="BH2846" s="5" t="s">
        <v>302</v>
      </c>
      <c r="BI2846" s="5" t="s">
        <v>303</v>
      </c>
      <c r="BJ2846" s="5" t="s">
        <v>240</v>
      </c>
      <c r="BK2846" s="8">
        <f>0</f>
        <v>0</v>
      </c>
      <c r="BL2846" s="7">
        <f>0</f>
        <v>0</v>
      </c>
      <c r="BM2846" s="5" t="s">
        <v>258</v>
      </c>
      <c r="BN2846" s="5" t="s">
        <v>259</v>
      </c>
      <c r="CB2846" s="5" t="s">
        <v>240</v>
      </c>
      <c r="CC2846" s="5" t="s">
        <v>240</v>
      </c>
      <c r="CG2846" s="5" t="s">
        <v>304</v>
      </c>
      <c r="CH2846" s="5" t="s">
        <v>305</v>
      </c>
      <c r="CI2846" s="5" t="s">
        <v>240</v>
      </c>
      <c r="CL2846" s="6" t="s">
        <v>261</v>
      </c>
      <c r="CM2846" s="5" t="s">
        <v>240</v>
      </c>
      <c r="CN2846" s="5" t="s">
        <v>263</v>
      </c>
      <c r="CO2846" s="5" t="s">
        <v>240</v>
      </c>
      <c r="CP2846" s="5" t="s">
        <v>240</v>
      </c>
      <c r="CQ2846" s="5">
        <v>0</v>
      </c>
      <c r="CR2846" s="5" t="s">
        <v>306</v>
      </c>
      <c r="CS2846" s="5" t="s">
        <v>307</v>
      </c>
      <c r="CT2846" s="5" t="s">
        <v>307</v>
      </c>
      <c r="CU2846" s="5" t="s">
        <v>260</v>
      </c>
      <c r="CX2846" s="7">
        <f>1</f>
        <v>1</v>
      </c>
      <c r="CY2846" s="7">
        <f>0</f>
        <v>0</v>
      </c>
      <c r="DA2846" s="7">
        <f>0</f>
        <v>0</v>
      </c>
      <c r="DC2846" s="5" t="s">
        <v>309</v>
      </c>
      <c r="DD2846" s="5" t="s">
        <v>240</v>
      </c>
      <c r="DF2846" s="5" t="s">
        <v>309</v>
      </c>
      <c r="DG2846" s="7">
        <f>1538</f>
        <v>1538</v>
      </c>
      <c r="DI2846" s="5" t="s">
        <v>240</v>
      </c>
      <c r="DJ2846" s="5" t="s">
        <v>240</v>
      </c>
      <c r="DK2846" s="5" t="s">
        <v>240</v>
      </c>
      <c r="DL2846" s="5" t="s">
        <v>240</v>
      </c>
      <c r="DP2846" s="5" t="s">
        <v>240</v>
      </c>
      <c r="DQ2846" s="5" t="s">
        <v>240</v>
      </c>
      <c r="DR2846" s="5" t="s">
        <v>240</v>
      </c>
      <c r="DS2846" s="5" t="s">
        <v>240</v>
      </c>
      <c r="DV2846" s="5" t="s">
        <v>310</v>
      </c>
      <c r="DW2846" s="5" t="s">
        <v>3945</v>
      </c>
      <c r="HO2846" s="5" t="s">
        <v>312</v>
      </c>
    </row>
    <row r="2847" spans="1:223" x14ac:dyDescent="0.4">
      <c r="A2847" s="5">
        <v>4551</v>
      </c>
      <c r="B2847" s="5">
        <v>1</v>
      </c>
      <c r="C2847" s="5">
        <v>1</v>
      </c>
      <c r="D2847" s="5" t="s">
        <v>810</v>
      </c>
      <c r="E2847" s="5" t="s">
        <v>245</v>
      </c>
      <c r="F2847" s="5" t="s">
        <v>254</v>
      </c>
      <c r="G2847" s="5" t="s">
        <v>240</v>
      </c>
      <c r="H2847" s="6" t="s">
        <v>2852</v>
      </c>
      <c r="I2847" s="5" t="s">
        <v>809</v>
      </c>
      <c r="J2847" s="8">
        <f>1029</f>
        <v>1029</v>
      </c>
      <c r="K2847" s="5" t="s">
        <v>308</v>
      </c>
      <c r="L2847" s="7">
        <f>1</f>
        <v>1</v>
      </c>
      <c r="M2847" s="7">
        <f>1</f>
        <v>1</v>
      </c>
      <c r="N2847" s="5" t="s">
        <v>242</v>
      </c>
      <c r="O2847" s="5">
        <v>1</v>
      </c>
      <c r="P2847" s="5" t="s">
        <v>294</v>
      </c>
      <c r="Q2847" s="5" t="s">
        <v>266</v>
      </c>
      <c r="R2847" s="5" t="s">
        <v>240</v>
      </c>
      <c r="S2847" s="5" t="s">
        <v>240</v>
      </c>
      <c r="T2847" s="5" t="s">
        <v>296</v>
      </c>
      <c r="U2847" s="5" t="s">
        <v>244</v>
      </c>
      <c r="V2847" s="5" t="s">
        <v>240</v>
      </c>
      <c r="Y2847" s="5" t="s">
        <v>240</v>
      </c>
      <c r="Z2847" s="6" t="s">
        <v>298</v>
      </c>
      <c r="AB2847" s="6" t="s">
        <v>240</v>
      </c>
      <c r="AE2847" s="6" t="s">
        <v>299</v>
      </c>
      <c r="AF2847" s="5" t="s">
        <v>248</v>
      </c>
      <c r="AG2847" s="5" t="s">
        <v>249</v>
      </c>
      <c r="AW2847" s="5" t="s">
        <v>251</v>
      </c>
      <c r="AX2847" s="5" t="s">
        <v>240</v>
      </c>
      <c r="AY2847" s="5" t="s">
        <v>253</v>
      </c>
      <c r="AZ2847" s="5" t="s">
        <v>240</v>
      </c>
      <c r="BA2847" s="5" t="s">
        <v>255</v>
      </c>
      <c r="BB2847" s="5" t="s">
        <v>240</v>
      </c>
      <c r="BD2847" s="5" t="s">
        <v>240</v>
      </c>
      <c r="BF2847" s="5" t="s">
        <v>301</v>
      </c>
      <c r="BG2847" s="6" t="s">
        <v>299</v>
      </c>
      <c r="BH2847" s="5" t="s">
        <v>302</v>
      </c>
      <c r="BI2847" s="5" t="s">
        <v>303</v>
      </c>
      <c r="BJ2847" s="5" t="s">
        <v>240</v>
      </c>
      <c r="BK2847" s="8">
        <f>0</f>
        <v>0</v>
      </c>
      <c r="BL2847" s="7">
        <f>0</f>
        <v>0</v>
      </c>
      <c r="BM2847" s="5" t="s">
        <v>258</v>
      </c>
      <c r="BN2847" s="5" t="s">
        <v>259</v>
      </c>
      <c r="CB2847" s="5" t="s">
        <v>240</v>
      </c>
      <c r="CC2847" s="5" t="s">
        <v>240</v>
      </c>
      <c r="CG2847" s="5" t="s">
        <v>304</v>
      </c>
      <c r="CH2847" s="5" t="s">
        <v>305</v>
      </c>
      <c r="CI2847" s="5" t="s">
        <v>240</v>
      </c>
      <c r="CL2847" s="6" t="s">
        <v>261</v>
      </c>
      <c r="CM2847" s="5" t="s">
        <v>240</v>
      </c>
      <c r="CN2847" s="5" t="s">
        <v>263</v>
      </c>
      <c r="CO2847" s="5" t="s">
        <v>240</v>
      </c>
      <c r="CP2847" s="5" t="s">
        <v>240</v>
      </c>
      <c r="CQ2847" s="5">
        <v>0</v>
      </c>
      <c r="CR2847" s="5" t="s">
        <v>306</v>
      </c>
      <c r="CS2847" s="5" t="s">
        <v>307</v>
      </c>
      <c r="CT2847" s="5" t="s">
        <v>307</v>
      </c>
      <c r="CU2847" s="5" t="s">
        <v>260</v>
      </c>
      <c r="CX2847" s="7">
        <f>1</f>
        <v>1</v>
      </c>
      <c r="CY2847" s="7">
        <f>0</f>
        <v>0</v>
      </c>
      <c r="DA2847" s="7">
        <f>0</f>
        <v>0</v>
      </c>
      <c r="DC2847" s="5" t="s">
        <v>309</v>
      </c>
      <c r="DD2847" s="5" t="s">
        <v>240</v>
      </c>
      <c r="DF2847" s="5" t="s">
        <v>309</v>
      </c>
      <c r="DG2847" s="7">
        <f>2865</f>
        <v>2865</v>
      </c>
      <c r="DI2847" s="5" t="s">
        <v>240</v>
      </c>
      <c r="DJ2847" s="5" t="s">
        <v>240</v>
      </c>
      <c r="DK2847" s="5" t="s">
        <v>240</v>
      </c>
      <c r="DL2847" s="5" t="s">
        <v>240</v>
      </c>
      <c r="DP2847" s="5" t="s">
        <v>240</v>
      </c>
      <c r="DQ2847" s="5" t="s">
        <v>240</v>
      </c>
      <c r="DR2847" s="5" t="s">
        <v>240</v>
      </c>
      <c r="DS2847" s="5" t="s">
        <v>240</v>
      </c>
      <c r="DV2847" s="5" t="s">
        <v>310</v>
      </c>
      <c r="DW2847" s="5" t="s">
        <v>3748</v>
      </c>
      <c r="HO2847" s="5" t="s">
        <v>312</v>
      </c>
    </row>
    <row r="2848" spans="1:223" x14ac:dyDescent="0.4">
      <c r="A2848" s="5">
        <v>4552</v>
      </c>
      <c r="B2848" s="5">
        <v>1</v>
      </c>
      <c r="C2848" s="5">
        <v>1</v>
      </c>
      <c r="D2848" s="5" t="s">
        <v>810</v>
      </c>
      <c r="E2848" s="5" t="s">
        <v>245</v>
      </c>
      <c r="F2848" s="5" t="s">
        <v>254</v>
      </c>
      <c r="G2848" s="5" t="s">
        <v>240</v>
      </c>
      <c r="H2848" s="6" t="s">
        <v>2850</v>
      </c>
      <c r="I2848" s="5" t="s">
        <v>809</v>
      </c>
      <c r="J2848" s="8">
        <f>1372</f>
        <v>1372</v>
      </c>
      <c r="K2848" s="5" t="s">
        <v>308</v>
      </c>
      <c r="L2848" s="7">
        <f>1</f>
        <v>1</v>
      </c>
      <c r="M2848" s="7">
        <f>1</f>
        <v>1</v>
      </c>
      <c r="N2848" s="5" t="s">
        <v>242</v>
      </c>
      <c r="O2848" s="5">
        <v>1</v>
      </c>
      <c r="P2848" s="5" t="s">
        <v>294</v>
      </c>
      <c r="Q2848" s="5" t="s">
        <v>266</v>
      </c>
      <c r="R2848" s="5" t="s">
        <v>240</v>
      </c>
      <c r="S2848" s="5" t="s">
        <v>240</v>
      </c>
      <c r="T2848" s="5" t="s">
        <v>296</v>
      </c>
      <c r="U2848" s="5" t="s">
        <v>244</v>
      </c>
      <c r="V2848" s="5" t="s">
        <v>240</v>
      </c>
      <c r="Y2848" s="5" t="s">
        <v>240</v>
      </c>
      <c r="Z2848" s="6" t="s">
        <v>298</v>
      </c>
      <c r="AB2848" s="6" t="s">
        <v>240</v>
      </c>
      <c r="AE2848" s="6" t="s">
        <v>299</v>
      </c>
      <c r="AF2848" s="5" t="s">
        <v>248</v>
      </c>
      <c r="AG2848" s="5" t="s">
        <v>249</v>
      </c>
      <c r="AW2848" s="5" t="s">
        <v>251</v>
      </c>
      <c r="AX2848" s="5" t="s">
        <v>240</v>
      </c>
      <c r="AY2848" s="5" t="s">
        <v>253</v>
      </c>
      <c r="AZ2848" s="5" t="s">
        <v>240</v>
      </c>
      <c r="BA2848" s="5" t="s">
        <v>255</v>
      </c>
      <c r="BB2848" s="5" t="s">
        <v>240</v>
      </c>
      <c r="BD2848" s="5" t="s">
        <v>240</v>
      </c>
      <c r="BF2848" s="5" t="s">
        <v>301</v>
      </c>
      <c r="BG2848" s="6" t="s">
        <v>299</v>
      </c>
      <c r="BH2848" s="5" t="s">
        <v>302</v>
      </c>
      <c r="BI2848" s="5" t="s">
        <v>303</v>
      </c>
      <c r="BJ2848" s="5" t="s">
        <v>240</v>
      </c>
      <c r="BK2848" s="8">
        <f>0</f>
        <v>0</v>
      </c>
      <c r="BL2848" s="7">
        <f>0</f>
        <v>0</v>
      </c>
      <c r="BM2848" s="5" t="s">
        <v>258</v>
      </c>
      <c r="BN2848" s="5" t="s">
        <v>259</v>
      </c>
      <c r="CB2848" s="5" t="s">
        <v>240</v>
      </c>
      <c r="CC2848" s="5" t="s">
        <v>240</v>
      </c>
      <c r="CG2848" s="5" t="s">
        <v>304</v>
      </c>
      <c r="CH2848" s="5" t="s">
        <v>305</v>
      </c>
      <c r="CI2848" s="5" t="s">
        <v>240</v>
      </c>
      <c r="CL2848" s="6" t="s">
        <v>261</v>
      </c>
      <c r="CM2848" s="5" t="s">
        <v>240</v>
      </c>
      <c r="CN2848" s="5" t="s">
        <v>263</v>
      </c>
      <c r="CO2848" s="5" t="s">
        <v>240</v>
      </c>
      <c r="CP2848" s="5" t="s">
        <v>240</v>
      </c>
      <c r="CQ2848" s="5">
        <v>0</v>
      </c>
      <c r="CR2848" s="5" t="s">
        <v>306</v>
      </c>
      <c r="CS2848" s="5" t="s">
        <v>307</v>
      </c>
      <c r="CT2848" s="5" t="s">
        <v>307</v>
      </c>
      <c r="CU2848" s="5" t="s">
        <v>260</v>
      </c>
      <c r="CX2848" s="7">
        <f>1</f>
        <v>1</v>
      </c>
      <c r="CY2848" s="7">
        <f>0</f>
        <v>0</v>
      </c>
      <c r="DA2848" s="7">
        <f>0</f>
        <v>0</v>
      </c>
      <c r="DC2848" s="5" t="s">
        <v>309</v>
      </c>
      <c r="DD2848" s="5" t="s">
        <v>240</v>
      </c>
      <c r="DF2848" s="5" t="s">
        <v>309</v>
      </c>
      <c r="DG2848" s="7">
        <f>8229</f>
        <v>8229</v>
      </c>
      <c r="DI2848" s="5" t="s">
        <v>240</v>
      </c>
      <c r="DJ2848" s="5" t="s">
        <v>240</v>
      </c>
      <c r="DK2848" s="5" t="s">
        <v>240</v>
      </c>
      <c r="DL2848" s="5" t="s">
        <v>240</v>
      </c>
      <c r="DP2848" s="5" t="s">
        <v>240</v>
      </c>
      <c r="DQ2848" s="5" t="s">
        <v>240</v>
      </c>
      <c r="DR2848" s="5" t="s">
        <v>240</v>
      </c>
      <c r="DS2848" s="5" t="s">
        <v>240</v>
      </c>
      <c r="DV2848" s="5" t="s">
        <v>310</v>
      </c>
      <c r="DW2848" s="5" t="s">
        <v>3750</v>
      </c>
      <c r="HO2848" s="5" t="s">
        <v>312</v>
      </c>
    </row>
    <row r="2849" spans="1:223" x14ac:dyDescent="0.4">
      <c r="A2849" s="5">
        <v>4553</v>
      </c>
      <c r="B2849" s="5">
        <v>1</v>
      </c>
      <c r="C2849" s="5">
        <v>1</v>
      </c>
      <c r="D2849" s="5" t="s">
        <v>810</v>
      </c>
      <c r="E2849" s="5" t="s">
        <v>245</v>
      </c>
      <c r="F2849" s="5" t="s">
        <v>254</v>
      </c>
      <c r="G2849" s="5" t="s">
        <v>240</v>
      </c>
      <c r="H2849" s="6" t="s">
        <v>2848</v>
      </c>
      <c r="I2849" s="5" t="s">
        <v>809</v>
      </c>
      <c r="J2849" s="8">
        <f>2556</f>
        <v>2556</v>
      </c>
      <c r="K2849" s="5" t="s">
        <v>308</v>
      </c>
      <c r="L2849" s="7">
        <f>1</f>
        <v>1</v>
      </c>
      <c r="M2849" s="7">
        <f>1</f>
        <v>1</v>
      </c>
      <c r="N2849" s="5" t="s">
        <v>242</v>
      </c>
      <c r="O2849" s="5">
        <v>1</v>
      </c>
      <c r="P2849" s="5" t="s">
        <v>294</v>
      </c>
      <c r="Q2849" s="5" t="s">
        <v>266</v>
      </c>
      <c r="R2849" s="5" t="s">
        <v>240</v>
      </c>
      <c r="S2849" s="5" t="s">
        <v>240</v>
      </c>
      <c r="T2849" s="5" t="s">
        <v>296</v>
      </c>
      <c r="U2849" s="5" t="s">
        <v>244</v>
      </c>
      <c r="V2849" s="5" t="s">
        <v>240</v>
      </c>
      <c r="Y2849" s="5" t="s">
        <v>240</v>
      </c>
      <c r="Z2849" s="6" t="s">
        <v>298</v>
      </c>
      <c r="AB2849" s="6" t="s">
        <v>240</v>
      </c>
      <c r="AE2849" s="6" t="s">
        <v>299</v>
      </c>
      <c r="AF2849" s="5" t="s">
        <v>248</v>
      </c>
      <c r="AG2849" s="5" t="s">
        <v>249</v>
      </c>
      <c r="AW2849" s="5" t="s">
        <v>251</v>
      </c>
      <c r="AX2849" s="5" t="s">
        <v>240</v>
      </c>
      <c r="AY2849" s="5" t="s">
        <v>253</v>
      </c>
      <c r="AZ2849" s="5" t="s">
        <v>240</v>
      </c>
      <c r="BA2849" s="5" t="s">
        <v>255</v>
      </c>
      <c r="BB2849" s="5" t="s">
        <v>240</v>
      </c>
      <c r="BD2849" s="5" t="s">
        <v>240</v>
      </c>
      <c r="BF2849" s="5" t="s">
        <v>301</v>
      </c>
      <c r="BG2849" s="6" t="s">
        <v>299</v>
      </c>
      <c r="BH2849" s="5" t="s">
        <v>302</v>
      </c>
      <c r="BI2849" s="5" t="s">
        <v>303</v>
      </c>
      <c r="BJ2849" s="5" t="s">
        <v>240</v>
      </c>
      <c r="BK2849" s="8">
        <f>0</f>
        <v>0</v>
      </c>
      <c r="BL2849" s="7">
        <f>0</f>
        <v>0</v>
      </c>
      <c r="BM2849" s="5" t="s">
        <v>258</v>
      </c>
      <c r="BN2849" s="5" t="s">
        <v>259</v>
      </c>
      <c r="CB2849" s="5" t="s">
        <v>240</v>
      </c>
      <c r="CC2849" s="5" t="s">
        <v>240</v>
      </c>
      <c r="CG2849" s="5" t="s">
        <v>304</v>
      </c>
      <c r="CH2849" s="5" t="s">
        <v>305</v>
      </c>
      <c r="CI2849" s="5" t="s">
        <v>240</v>
      </c>
      <c r="CL2849" s="6" t="s">
        <v>261</v>
      </c>
      <c r="CM2849" s="5" t="s">
        <v>240</v>
      </c>
      <c r="CN2849" s="5" t="s">
        <v>263</v>
      </c>
      <c r="CO2849" s="5" t="s">
        <v>240</v>
      </c>
      <c r="CP2849" s="5" t="s">
        <v>240</v>
      </c>
      <c r="CQ2849" s="5">
        <v>0</v>
      </c>
      <c r="CR2849" s="5" t="s">
        <v>306</v>
      </c>
      <c r="CS2849" s="5" t="s">
        <v>307</v>
      </c>
      <c r="CT2849" s="5" t="s">
        <v>307</v>
      </c>
      <c r="CU2849" s="5" t="s">
        <v>260</v>
      </c>
      <c r="CX2849" s="7">
        <f>1</f>
        <v>1</v>
      </c>
      <c r="CY2849" s="7">
        <f>0</f>
        <v>0</v>
      </c>
      <c r="DA2849" s="7">
        <f>0</f>
        <v>0</v>
      </c>
      <c r="DC2849" s="5" t="s">
        <v>309</v>
      </c>
      <c r="DD2849" s="5" t="s">
        <v>240</v>
      </c>
      <c r="DF2849" s="5" t="s">
        <v>309</v>
      </c>
      <c r="DG2849" s="7">
        <f>882</f>
        <v>882</v>
      </c>
      <c r="DI2849" s="5" t="s">
        <v>240</v>
      </c>
      <c r="DJ2849" s="5" t="s">
        <v>240</v>
      </c>
      <c r="DK2849" s="5" t="s">
        <v>240</v>
      </c>
      <c r="DL2849" s="5" t="s">
        <v>240</v>
      </c>
      <c r="DP2849" s="5" t="s">
        <v>240</v>
      </c>
      <c r="DQ2849" s="5" t="s">
        <v>240</v>
      </c>
      <c r="DR2849" s="5" t="s">
        <v>240</v>
      </c>
      <c r="DS2849" s="5" t="s">
        <v>240</v>
      </c>
      <c r="DV2849" s="5" t="s">
        <v>310</v>
      </c>
      <c r="DW2849" s="5" t="s">
        <v>3752</v>
      </c>
      <c r="HO2849" s="5" t="s">
        <v>312</v>
      </c>
    </row>
    <row r="2850" spans="1:223" x14ac:dyDescent="0.4">
      <c r="A2850" s="5">
        <v>4554</v>
      </c>
      <c r="B2850" s="5">
        <v>1</v>
      </c>
      <c r="C2850" s="5">
        <v>1</v>
      </c>
      <c r="D2850" s="5" t="s">
        <v>810</v>
      </c>
      <c r="E2850" s="5" t="s">
        <v>245</v>
      </c>
      <c r="F2850" s="5" t="s">
        <v>254</v>
      </c>
      <c r="G2850" s="5" t="s">
        <v>240</v>
      </c>
      <c r="H2850" s="6" t="s">
        <v>2846</v>
      </c>
      <c r="I2850" s="5" t="s">
        <v>809</v>
      </c>
      <c r="J2850" s="8">
        <f>3399</f>
        <v>3399</v>
      </c>
      <c r="K2850" s="5" t="s">
        <v>308</v>
      </c>
      <c r="L2850" s="7">
        <f>1</f>
        <v>1</v>
      </c>
      <c r="M2850" s="7">
        <f>1</f>
        <v>1</v>
      </c>
      <c r="N2850" s="5" t="s">
        <v>242</v>
      </c>
      <c r="O2850" s="5">
        <v>1</v>
      </c>
      <c r="P2850" s="5" t="s">
        <v>294</v>
      </c>
      <c r="Q2850" s="5" t="s">
        <v>266</v>
      </c>
      <c r="R2850" s="5" t="s">
        <v>240</v>
      </c>
      <c r="S2850" s="5" t="s">
        <v>240</v>
      </c>
      <c r="T2850" s="5" t="s">
        <v>296</v>
      </c>
      <c r="U2850" s="5" t="s">
        <v>244</v>
      </c>
      <c r="V2850" s="5" t="s">
        <v>240</v>
      </c>
      <c r="Y2850" s="5" t="s">
        <v>240</v>
      </c>
      <c r="Z2850" s="6" t="s">
        <v>298</v>
      </c>
      <c r="AB2850" s="6" t="s">
        <v>240</v>
      </c>
      <c r="AE2850" s="6" t="s">
        <v>299</v>
      </c>
      <c r="AF2850" s="5" t="s">
        <v>248</v>
      </c>
      <c r="AG2850" s="5" t="s">
        <v>249</v>
      </c>
      <c r="AW2850" s="5" t="s">
        <v>251</v>
      </c>
      <c r="AX2850" s="5" t="s">
        <v>240</v>
      </c>
      <c r="AY2850" s="5" t="s">
        <v>253</v>
      </c>
      <c r="AZ2850" s="5" t="s">
        <v>240</v>
      </c>
      <c r="BA2850" s="5" t="s">
        <v>255</v>
      </c>
      <c r="BB2850" s="5" t="s">
        <v>240</v>
      </c>
      <c r="BD2850" s="5" t="s">
        <v>240</v>
      </c>
      <c r="BF2850" s="5" t="s">
        <v>301</v>
      </c>
      <c r="BG2850" s="6" t="s">
        <v>299</v>
      </c>
      <c r="BH2850" s="5" t="s">
        <v>302</v>
      </c>
      <c r="BI2850" s="5" t="s">
        <v>303</v>
      </c>
      <c r="BJ2850" s="5" t="s">
        <v>240</v>
      </c>
      <c r="BK2850" s="8">
        <f>0</f>
        <v>0</v>
      </c>
      <c r="BL2850" s="7">
        <f>0</f>
        <v>0</v>
      </c>
      <c r="BM2850" s="5" t="s">
        <v>258</v>
      </c>
      <c r="BN2850" s="5" t="s">
        <v>259</v>
      </c>
      <c r="CB2850" s="5" t="s">
        <v>240</v>
      </c>
      <c r="CC2850" s="5" t="s">
        <v>240</v>
      </c>
      <c r="CG2850" s="5" t="s">
        <v>304</v>
      </c>
      <c r="CH2850" s="5" t="s">
        <v>305</v>
      </c>
      <c r="CI2850" s="5" t="s">
        <v>240</v>
      </c>
      <c r="CL2850" s="6" t="s">
        <v>261</v>
      </c>
      <c r="CM2850" s="5" t="s">
        <v>240</v>
      </c>
      <c r="CN2850" s="5" t="s">
        <v>263</v>
      </c>
      <c r="CO2850" s="5" t="s">
        <v>240</v>
      </c>
      <c r="CP2850" s="5" t="s">
        <v>240</v>
      </c>
      <c r="CQ2850" s="5">
        <v>0</v>
      </c>
      <c r="CR2850" s="5" t="s">
        <v>306</v>
      </c>
      <c r="CS2850" s="5" t="s">
        <v>307</v>
      </c>
      <c r="CT2850" s="5" t="s">
        <v>307</v>
      </c>
      <c r="CU2850" s="5" t="s">
        <v>260</v>
      </c>
      <c r="CX2850" s="7">
        <f>1</f>
        <v>1</v>
      </c>
      <c r="CY2850" s="7">
        <f>0</f>
        <v>0</v>
      </c>
      <c r="DA2850" s="7">
        <f>0</f>
        <v>0</v>
      </c>
      <c r="DC2850" s="5" t="s">
        <v>309</v>
      </c>
      <c r="DD2850" s="5" t="s">
        <v>240</v>
      </c>
      <c r="DF2850" s="5" t="s">
        <v>309</v>
      </c>
      <c r="DG2850" s="7">
        <f>697</f>
        <v>697</v>
      </c>
      <c r="DI2850" s="5" t="s">
        <v>240</v>
      </c>
      <c r="DJ2850" s="5" t="s">
        <v>240</v>
      </c>
      <c r="DK2850" s="5" t="s">
        <v>240</v>
      </c>
      <c r="DL2850" s="5" t="s">
        <v>240</v>
      </c>
      <c r="DP2850" s="5" t="s">
        <v>240</v>
      </c>
      <c r="DQ2850" s="5" t="s">
        <v>240</v>
      </c>
      <c r="DR2850" s="5" t="s">
        <v>240</v>
      </c>
      <c r="DS2850" s="5" t="s">
        <v>240</v>
      </c>
      <c r="DV2850" s="5" t="s">
        <v>310</v>
      </c>
      <c r="DW2850" s="5" t="s">
        <v>3754</v>
      </c>
      <c r="HO2850" s="5" t="s">
        <v>312</v>
      </c>
    </row>
    <row r="2851" spans="1:223" x14ac:dyDescent="0.4">
      <c r="A2851" s="5">
        <v>4555</v>
      </c>
      <c r="B2851" s="5">
        <v>1</v>
      </c>
      <c r="C2851" s="5">
        <v>1</v>
      </c>
      <c r="D2851" s="5" t="s">
        <v>810</v>
      </c>
      <c r="E2851" s="5" t="s">
        <v>245</v>
      </c>
      <c r="F2851" s="5" t="s">
        <v>254</v>
      </c>
      <c r="G2851" s="5" t="s">
        <v>240</v>
      </c>
      <c r="H2851" s="6" t="s">
        <v>2844</v>
      </c>
      <c r="I2851" s="5" t="s">
        <v>809</v>
      </c>
      <c r="J2851" s="8">
        <f>156</f>
        <v>156</v>
      </c>
      <c r="K2851" s="5" t="s">
        <v>308</v>
      </c>
      <c r="L2851" s="7">
        <f>1</f>
        <v>1</v>
      </c>
      <c r="M2851" s="7">
        <f>1</f>
        <v>1</v>
      </c>
      <c r="N2851" s="5" t="s">
        <v>242</v>
      </c>
      <c r="O2851" s="5">
        <v>1</v>
      </c>
      <c r="P2851" s="5" t="s">
        <v>294</v>
      </c>
      <c r="Q2851" s="5" t="s">
        <v>266</v>
      </c>
      <c r="R2851" s="5" t="s">
        <v>240</v>
      </c>
      <c r="S2851" s="5" t="s">
        <v>240</v>
      </c>
      <c r="T2851" s="5" t="s">
        <v>296</v>
      </c>
      <c r="U2851" s="5" t="s">
        <v>244</v>
      </c>
      <c r="V2851" s="5" t="s">
        <v>240</v>
      </c>
      <c r="Y2851" s="5" t="s">
        <v>240</v>
      </c>
      <c r="Z2851" s="6" t="s">
        <v>298</v>
      </c>
      <c r="AB2851" s="6" t="s">
        <v>240</v>
      </c>
      <c r="AE2851" s="6" t="s">
        <v>299</v>
      </c>
      <c r="AF2851" s="5" t="s">
        <v>248</v>
      </c>
      <c r="AG2851" s="5" t="s">
        <v>249</v>
      </c>
      <c r="AW2851" s="5" t="s">
        <v>251</v>
      </c>
      <c r="AX2851" s="5" t="s">
        <v>240</v>
      </c>
      <c r="AY2851" s="5" t="s">
        <v>253</v>
      </c>
      <c r="AZ2851" s="5" t="s">
        <v>240</v>
      </c>
      <c r="BA2851" s="5" t="s">
        <v>255</v>
      </c>
      <c r="BB2851" s="5" t="s">
        <v>240</v>
      </c>
      <c r="BD2851" s="5" t="s">
        <v>240</v>
      </c>
      <c r="BF2851" s="5" t="s">
        <v>301</v>
      </c>
      <c r="BG2851" s="6" t="s">
        <v>299</v>
      </c>
      <c r="BH2851" s="5" t="s">
        <v>302</v>
      </c>
      <c r="BI2851" s="5" t="s">
        <v>303</v>
      </c>
      <c r="BJ2851" s="5" t="s">
        <v>240</v>
      </c>
      <c r="BK2851" s="8">
        <f>0</f>
        <v>0</v>
      </c>
      <c r="BL2851" s="7">
        <f>0</f>
        <v>0</v>
      </c>
      <c r="BM2851" s="5" t="s">
        <v>258</v>
      </c>
      <c r="BN2851" s="5" t="s">
        <v>259</v>
      </c>
      <c r="CB2851" s="5" t="s">
        <v>240</v>
      </c>
      <c r="CC2851" s="5" t="s">
        <v>240</v>
      </c>
      <c r="CG2851" s="5" t="s">
        <v>304</v>
      </c>
      <c r="CH2851" s="5" t="s">
        <v>305</v>
      </c>
      <c r="CI2851" s="5" t="s">
        <v>240</v>
      </c>
      <c r="CL2851" s="6" t="s">
        <v>261</v>
      </c>
      <c r="CM2851" s="5" t="s">
        <v>240</v>
      </c>
      <c r="CN2851" s="5" t="s">
        <v>263</v>
      </c>
      <c r="CO2851" s="5" t="s">
        <v>240</v>
      </c>
      <c r="CP2851" s="5" t="s">
        <v>240</v>
      </c>
      <c r="CQ2851" s="5">
        <v>0</v>
      </c>
      <c r="CR2851" s="5" t="s">
        <v>306</v>
      </c>
      <c r="CS2851" s="5" t="s">
        <v>307</v>
      </c>
      <c r="CT2851" s="5" t="s">
        <v>307</v>
      </c>
      <c r="CU2851" s="5" t="s">
        <v>260</v>
      </c>
      <c r="CX2851" s="7">
        <f>1</f>
        <v>1</v>
      </c>
      <c r="CY2851" s="7">
        <f>0</f>
        <v>0</v>
      </c>
      <c r="DA2851" s="7">
        <f>0</f>
        <v>0</v>
      </c>
      <c r="DC2851" s="5" t="s">
        <v>309</v>
      </c>
      <c r="DD2851" s="5" t="s">
        <v>240</v>
      </c>
      <c r="DF2851" s="5" t="s">
        <v>309</v>
      </c>
      <c r="DG2851" s="7">
        <f>1729</f>
        <v>1729</v>
      </c>
      <c r="DI2851" s="5" t="s">
        <v>240</v>
      </c>
      <c r="DJ2851" s="5" t="s">
        <v>240</v>
      </c>
      <c r="DK2851" s="5" t="s">
        <v>240</v>
      </c>
      <c r="DL2851" s="5" t="s">
        <v>240</v>
      </c>
      <c r="DP2851" s="5" t="s">
        <v>240</v>
      </c>
      <c r="DQ2851" s="5" t="s">
        <v>240</v>
      </c>
      <c r="DR2851" s="5" t="s">
        <v>240</v>
      </c>
      <c r="DS2851" s="5" t="s">
        <v>240</v>
      </c>
      <c r="DV2851" s="5" t="s">
        <v>310</v>
      </c>
      <c r="DW2851" s="5" t="s">
        <v>3756</v>
      </c>
      <c r="HO2851" s="5" t="s">
        <v>312</v>
      </c>
    </row>
    <row r="2852" spans="1:223" x14ac:dyDescent="0.4">
      <c r="A2852" s="5">
        <v>4556</v>
      </c>
      <c r="B2852" s="5">
        <v>1</v>
      </c>
      <c r="C2852" s="5">
        <v>1</v>
      </c>
      <c r="D2852" s="5" t="s">
        <v>810</v>
      </c>
      <c r="E2852" s="5" t="s">
        <v>245</v>
      </c>
      <c r="F2852" s="5" t="s">
        <v>254</v>
      </c>
      <c r="G2852" s="5" t="s">
        <v>240</v>
      </c>
      <c r="H2852" s="6" t="s">
        <v>2842</v>
      </c>
      <c r="I2852" s="5" t="s">
        <v>809</v>
      </c>
      <c r="J2852" s="8">
        <f>174</f>
        <v>174</v>
      </c>
      <c r="K2852" s="5" t="s">
        <v>308</v>
      </c>
      <c r="L2852" s="7">
        <f>1</f>
        <v>1</v>
      </c>
      <c r="M2852" s="7">
        <f>1</f>
        <v>1</v>
      </c>
      <c r="N2852" s="5" t="s">
        <v>242</v>
      </c>
      <c r="O2852" s="5">
        <v>1</v>
      </c>
      <c r="P2852" s="5" t="s">
        <v>294</v>
      </c>
      <c r="Q2852" s="5" t="s">
        <v>266</v>
      </c>
      <c r="R2852" s="5" t="s">
        <v>240</v>
      </c>
      <c r="S2852" s="5" t="s">
        <v>240</v>
      </c>
      <c r="T2852" s="5" t="s">
        <v>296</v>
      </c>
      <c r="U2852" s="5" t="s">
        <v>244</v>
      </c>
      <c r="V2852" s="5" t="s">
        <v>240</v>
      </c>
      <c r="Y2852" s="5" t="s">
        <v>240</v>
      </c>
      <c r="Z2852" s="6" t="s">
        <v>298</v>
      </c>
      <c r="AB2852" s="6" t="s">
        <v>240</v>
      </c>
      <c r="AE2852" s="6" t="s">
        <v>299</v>
      </c>
      <c r="AF2852" s="5" t="s">
        <v>248</v>
      </c>
      <c r="AG2852" s="5" t="s">
        <v>249</v>
      </c>
      <c r="AW2852" s="5" t="s">
        <v>251</v>
      </c>
      <c r="AX2852" s="5" t="s">
        <v>240</v>
      </c>
      <c r="AY2852" s="5" t="s">
        <v>253</v>
      </c>
      <c r="AZ2852" s="5" t="s">
        <v>240</v>
      </c>
      <c r="BA2852" s="5" t="s">
        <v>255</v>
      </c>
      <c r="BB2852" s="5" t="s">
        <v>240</v>
      </c>
      <c r="BD2852" s="5" t="s">
        <v>240</v>
      </c>
      <c r="BF2852" s="5" t="s">
        <v>301</v>
      </c>
      <c r="BG2852" s="6" t="s">
        <v>299</v>
      </c>
      <c r="BH2852" s="5" t="s">
        <v>302</v>
      </c>
      <c r="BI2852" s="5" t="s">
        <v>303</v>
      </c>
      <c r="BJ2852" s="5" t="s">
        <v>240</v>
      </c>
      <c r="BK2852" s="8">
        <f>0</f>
        <v>0</v>
      </c>
      <c r="BL2852" s="7">
        <f>0</f>
        <v>0</v>
      </c>
      <c r="BM2852" s="5" t="s">
        <v>258</v>
      </c>
      <c r="BN2852" s="5" t="s">
        <v>259</v>
      </c>
      <c r="CB2852" s="5" t="s">
        <v>240</v>
      </c>
      <c r="CC2852" s="5" t="s">
        <v>240</v>
      </c>
      <c r="CG2852" s="5" t="s">
        <v>304</v>
      </c>
      <c r="CH2852" s="5" t="s">
        <v>305</v>
      </c>
      <c r="CI2852" s="5" t="s">
        <v>240</v>
      </c>
      <c r="CL2852" s="6" t="s">
        <v>261</v>
      </c>
      <c r="CM2852" s="5" t="s">
        <v>240</v>
      </c>
      <c r="CN2852" s="5" t="s">
        <v>263</v>
      </c>
      <c r="CO2852" s="5" t="s">
        <v>240</v>
      </c>
      <c r="CP2852" s="5" t="s">
        <v>240</v>
      </c>
      <c r="CQ2852" s="5">
        <v>0</v>
      </c>
      <c r="CR2852" s="5" t="s">
        <v>306</v>
      </c>
      <c r="CS2852" s="5" t="s">
        <v>307</v>
      </c>
      <c r="CT2852" s="5" t="s">
        <v>307</v>
      </c>
      <c r="CU2852" s="5" t="s">
        <v>260</v>
      </c>
      <c r="CX2852" s="7">
        <f>1</f>
        <v>1</v>
      </c>
      <c r="CY2852" s="7">
        <f>0</f>
        <v>0</v>
      </c>
      <c r="DA2852" s="7">
        <f>0</f>
        <v>0</v>
      </c>
      <c r="DC2852" s="5" t="s">
        <v>309</v>
      </c>
      <c r="DD2852" s="5" t="s">
        <v>240</v>
      </c>
      <c r="DF2852" s="5" t="s">
        <v>309</v>
      </c>
      <c r="DG2852" s="7">
        <f>3500</f>
        <v>3500</v>
      </c>
      <c r="DI2852" s="5" t="s">
        <v>240</v>
      </c>
      <c r="DJ2852" s="5" t="s">
        <v>240</v>
      </c>
      <c r="DK2852" s="5" t="s">
        <v>240</v>
      </c>
      <c r="DL2852" s="5" t="s">
        <v>240</v>
      </c>
      <c r="DP2852" s="5" t="s">
        <v>240</v>
      </c>
      <c r="DQ2852" s="5" t="s">
        <v>240</v>
      </c>
      <c r="DR2852" s="5" t="s">
        <v>240</v>
      </c>
      <c r="DS2852" s="5" t="s">
        <v>240</v>
      </c>
      <c r="DV2852" s="5" t="s">
        <v>310</v>
      </c>
      <c r="DW2852" s="5" t="s">
        <v>3758</v>
      </c>
      <c r="HO2852" s="5" t="s">
        <v>312</v>
      </c>
    </row>
    <row r="2853" spans="1:223" x14ac:dyDescent="0.4">
      <c r="A2853" s="5">
        <v>4557</v>
      </c>
      <c r="B2853" s="5">
        <v>1</v>
      </c>
      <c r="C2853" s="5">
        <v>1</v>
      </c>
      <c r="D2853" s="5" t="s">
        <v>810</v>
      </c>
      <c r="E2853" s="5" t="s">
        <v>245</v>
      </c>
      <c r="F2853" s="5" t="s">
        <v>254</v>
      </c>
      <c r="G2853" s="5" t="s">
        <v>240</v>
      </c>
      <c r="H2853" s="6" t="s">
        <v>2840</v>
      </c>
      <c r="I2853" s="5" t="s">
        <v>809</v>
      </c>
      <c r="J2853" s="8">
        <f>187</f>
        <v>187</v>
      </c>
      <c r="K2853" s="5" t="s">
        <v>308</v>
      </c>
      <c r="L2853" s="7">
        <f>1</f>
        <v>1</v>
      </c>
      <c r="M2853" s="7">
        <f>1</f>
        <v>1</v>
      </c>
      <c r="N2853" s="5" t="s">
        <v>242</v>
      </c>
      <c r="O2853" s="5">
        <v>1</v>
      </c>
      <c r="P2853" s="5" t="s">
        <v>294</v>
      </c>
      <c r="Q2853" s="5" t="s">
        <v>266</v>
      </c>
      <c r="R2853" s="5" t="s">
        <v>240</v>
      </c>
      <c r="S2853" s="5" t="s">
        <v>240</v>
      </c>
      <c r="T2853" s="5" t="s">
        <v>296</v>
      </c>
      <c r="U2853" s="5" t="s">
        <v>244</v>
      </c>
      <c r="V2853" s="5" t="s">
        <v>240</v>
      </c>
      <c r="Y2853" s="5" t="s">
        <v>240</v>
      </c>
      <c r="Z2853" s="6" t="s">
        <v>298</v>
      </c>
      <c r="AB2853" s="6" t="s">
        <v>240</v>
      </c>
      <c r="AE2853" s="6" t="s">
        <v>299</v>
      </c>
      <c r="AF2853" s="5" t="s">
        <v>248</v>
      </c>
      <c r="AG2853" s="5" t="s">
        <v>249</v>
      </c>
      <c r="AW2853" s="5" t="s">
        <v>251</v>
      </c>
      <c r="AX2853" s="5" t="s">
        <v>240</v>
      </c>
      <c r="AY2853" s="5" t="s">
        <v>253</v>
      </c>
      <c r="AZ2853" s="5" t="s">
        <v>240</v>
      </c>
      <c r="BA2853" s="5" t="s">
        <v>255</v>
      </c>
      <c r="BB2853" s="5" t="s">
        <v>240</v>
      </c>
      <c r="BD2853" s="5" t="s">
        <v>240</v>
      </c>
      <c r="BF2853" s="5" t="s">
        <v>301</v>
      </c>
      <c r="BG2853" s="6" t="s">
        <v>299</v>
      </c>
      <c r="BH2853" s="5" t="s">
        <v>302</v>
      </c>
      <c r="BI2853" s="5" t="s">
        <v>303</v>
      </c>
      <c r="BJ2853" s="5" t="s">
        <v>240</v>
      </c>
      <c r="BK2853" s="8">
        <f>0</f>
        <v>0</v>
      </c>
      <c r="BL2853" s="7">
        <f>0</f>
        <v>0</v>
      </c>
      <c r="BM2853" s="5" t="s">
        <v>258</v>
      </c>
      <c r="BN2853" s="5" t="s">
        <v>259</v>
      </c>
      <c r="CB2853" s="5" t="s">
        <v>240</v>
      </c>
      <c r="CC2853" s="5" t="s">
        <v>240</v>
      </c>
      <c r="CG2853" s="5" t="s">
        <v>304</v>
      </c>
      <c r="CH2853" s="5" t="s">
        <v>305</v>
      </c>
      <c r="CI2853" s="5" t="s">
        <v>240</v>
      </c>
      <c r="CL2853" s="6" t="s">
        <v>261</v>
      </c>
      <c r="CM2853" s="5" t="s">
        <v>240</v>
      </c>
      <c r="CN2853" s="5" t="s">
        <v>263</v>
      </c>
      <c r="CO2853" s="5" t="s">
        <v>240</v>
      </c>
      <c r="CP2853" s="5" t="s">
        <v>240</v>
      </c>
      <c r="CQ2853" s="5">
        <v>0</v>
      </c>
      <c r="CR2853" s="5" t="s">
        <v>306</v>
      </c>
      <c r="CS2853" s="5" t="s">
        <v>307</v>
      </c>
      <c r="CT2853" s="5" t="s">
        <v>307</v>
      </c>
      <c r="CU2853" s="5" t="s">
        <v>260</v>
      </c>
      <c r="CX2853" s="7">
        <f>1</f>
        <v>1</v>
      </c>
      <c r="CY2853" s="7">
        <f>0</f>
        <v>0</v>
      </c>
      <c r="DA2853" s="7">
        <f>0</f>
        <v>0</v>
      </c>
      <c r="DC2853" s="5" t="s">
        <v>309</v>
      </c>
      <c r="DD2853" s="5" t="s">
        <v>240</v>
      </c>
      <c r="DF2853" s="5" t="s">
        <v>309</v>
      </c>
      <c r="DG2853" s="7">
        <f>1622</f>
        <v>1622</v>
      </c>
      <c r="DI2853" s="5" t="s">
        <v>240</v>
      </c>
      <c r="DJ2853" s="5" t="s">
        <v>240</v>
      </c>
      <c r="DK2853" s="5" t="s">
        <v>240</v>
      </c>
      <c r="DL2853" s="5" t="s">
        <v>240</v>
      </c>
      <c r="DP2853" s="5" t="s">
        <v>240</v>
      </c>
      <c r="DQ2853" s="5" t="s">
        <v>240</v>
      </c>
      <c r="DR2853" s="5" t="s">
        <v>240</v>
      </c>
      <c r="DS2853" s="5" t="s">
        <v>240</v>
      </c>
      <c r="DV2853" s="5" t="s">
        <v>310</v>
      </c>
      <c r="DW2853" s="5" t="s">
        <v>3760</v>
      </c>
      <c r="HO2853" s="5" t="s">
        <v>312</v>
      </c>
    </row>
    <row r="2854" spans="1:223" x14ac:dyDescent="0.4">
      <c r="A2854" s="5">
        <v>4558</v>
      </c>
      <c r="B2854" s="5">
        <v>1</v>
      </c>
      <c r="C2854" s="5">
        <v>1</v>
      </c>
      <c r="D2854" s="5" t="s">
        <v>810</v>
      </c>
      <c r="E2854" s="5" t="s">
        <v>245</v>
      </c>
      <c r="F2854" s="5" t="s">
        <v>254</v>
      </c>
      <c r="G2854" s="5" t="s">
        <v>240</v>
      </c>
      <c r="H2854" s="6" t="s">
        <v>2838</v>
      </c>
      <c r="I2854" s="5" t="s">
        <v>809</v>
      </c>
      <c r="J2854" s="8">
        <f>258</f>
        <v>258</v>
      </c>
      <c r="K2854" s="5" t="s">
        <v>308</v>
      </c>
      <c r="L2854" s="7">
        <f>1</f>
        <v>1</v>
      </c>
      <c r="M2854" s="7">
        <f>1</f>
        <v>1</v>
      </c>
      <c r="N2854" s="5" t="s">
        <v>242</v>
      </c>
      <c r="O2854" s="5">
        <v>1</v>
      </c>
      <c r="P2854" s="5" t="s">
        <v>294</v>
      </c>
      <c r="Q2854" s="5" t="s">
        <v>266</v>
      </c>
      <c r="R2854" s="5" t="s">
        <v>240</v>
      </c>
      <c r="S2854" s="5" t="s">
        <v>240</v>
      </c>
      <c r="T2854" s="5" t="s">
        <v>296</v>
      </c>
      <c r="U2854" s="5" t="s">
        <v>244</v>
      </c>
      <c r="V2854" s="5" t="s">
        <v>240</v>
      </c>
      <c r="Y2854" s="5" t="s">
        <v>240</v>
      </c>
      <c r="Z2854" s="6" t="s">
        <v>298</v>
      </c>
      <c r="AB2854" s="6" t="s">
        <v>240</v>
      </c>
      <c r="AE2854" s="6" t="s">
        <v>299</v>
      </c>
      <c r="AF2854" s="5" t="s">
        <v>248</v>
      </c>
      <c r="AG2854" s="5" t="s">
        <v>249</v>
      </c>
      <c r="AW2854" s="5" t="s">
        <v>251</v>
      </c>
      <c r="AX2854" s="5" t="s">
        <v>240</v>
      </c>
      <c r="AY2854" s="5" t="s">
        <v>253</v>
      </c>
      <c r="AZ2854" s="5" t="s">
        <v>240</v>
      </c>
      <c r="BA2854" s="5" t="s">
        <v>255</v>
      </c>
      <c r="BB2854" s="5" t="s">
        <v>240</v>
      </c>
      <c r="BD2854" s="5" t="s">
        <v>240</v>
      </c>
      <c r="BF2854" s="5" t="s">
        <v>301</v>
      </c>
      <c r="BG2854" s="6" t="s">
        <v>299</v>
      </c>
      <c r="BH2854" s="5" t="s">
        <v>302</v>
      </c>
      <c r="BI2854" s="5" t="s">
        <v>303</v>
      </c>
      <c r="BJ2854" s="5" t="s">
        <v>240</v>
      </c>
      <c r="BK2854" s="8">
        <f>0</f>
        <v>0</v>
      </c>
      <c r="BL2854" s="7">
        <f>0</f>
        <v>0</v>
      </c>
      <c r="BM2854" s="5" t="s">
        <v>258</v>
      </c>
      <c r="BN2854" s="5" t="s">
        <v>259</v>
      </c>
      <c r="CB2854" s="5" t="s">
        <v>240</v>
      </c>
      <c r="CC2854" s="5" t="s">
        <v>240</v>
      </c>
      <c r="CG2854" s="5" t="s">
        <v>304</v>
      </c>
      <c r="CH2854" s="5" t="s">
        <v>305</v>
      </c>
      <c r="CI2854" s="5" t="s">
        <v>240</v>
      </c>
      <c r="CL2854" s="6" t="s">
        <v>261</v>
      </c>
      <c r="CM2854" s="5" t="s">
        <v>240</v>
      </c>
      <c r="CN2854" s="5" t="s">
        <v>263</v>
      </c>
      <c r="CO2854" s="5" t="s">
        <v>240</v>
      </c>
      <c r="CP2854" s="5" t="s">
        <v>240</v>
      </c>
      <c r="CQ2854" s="5">
        <v>0</v>
      </c>
      <c r="CR2854" s="5" t="s">
        <v>306</v>
      </c>
      <c r="CS2854" s="5" t="s">
        <v>307</v>
      </c>
      <c r="CT2854" s="5" t="s">
        <v>307</v>
      </c>
      <c r="CU2854" s="5" t="s">
        <v>260</v>
      </c>
      <c r="CX2854" s="7">
        <f>1</f>
        <v>1</v>
      </c>
      <c r="CY2854" s="7">
        <f>0</f>
        <v>0</v>
      </c>
      <c r="DA2854" s="7">
        <f>0</f>
        <v>0</v>
      </c>
      <c r="DC2854" s="5" t="s">
        <v>812</v>
      </c>
      <c r="DD2854" s="5" t="s">
        <v>240</v>
      </c>
      <c r="DF2854" s="5" t="s">
        <v>812</v>
      </c>
      <c r="DG2854" s="7">
        <f>906</f>
        <v>906</v>
      </c>
      <c r="DI2854" s="5" t="s">
        <v>240</v>
      </c>
      <c r="DJ2854" s="5" t="s">
        <v>240</v>
      </c>
      <c r="DK2854" s="5" t="s">
        <v>240</v>
      </c>
      <c r="DL2854" s="5" t="s">
        <v>240</v>
      </c>
      <c r="DP2854" s="5" t="s">
        <v>240</v>
      </c>
      <c r="DQ2854" s="5" t="s">
        <v>240</v>
      </c>
      <c r="DR2854" s="5" t="s">
        <v>240</v>
      </c>
      <c r="DS2854" s="5" t="s">
        <v>240</v>
      </c>
      <c r="DV2854" s="5" t="s">
        <v>813</v>
      </c>
      <c r="DW2854" s="5" t="s">
        <v>5011</v>
      </c>
      <c r="HO2854" s="5" t="s">
        <v>312</v>
      </c>
    </row>
    <row r="2855" spans="1:223" x14ac:dyDescent="0.4">
      <c r="A2855" s="5">
        <v>4559</v>
      </c>
      <c r="B2855" s="5">
        <v>1</v>
      </c>
      <c r="C2855" s="5">
        <v>1</v>
      </c>
      <c r="D2855" s="5" t="s">
        <v>810</v>
      </c>
      <c r="E2855" s="5" t="s">
        <v>245</v>
      </c>
      <c r="F2855" s="5" t="s">
        <v>254</v>
      </c>
      <c r="G2855" s="5" t="s">
        <v>240</v>
      </c>
      <c r="H2855" s="6" t="s">
        <v>2836</v>
      </c>
      <c r="I2855" s="5" t="s">
        <v>809</v>
      </c>
      <c r="J2855" s="8">
        <f>2644</f>
        <v>2644</v>
      </c>
      <c r="K2855" s="5" t="s">
        <v>308</v>
      </c>
      <c r="L2855" s="7">
        <f>1</f>
        <v>1</v>
      </c>
      <c r="M2855" s="7">
        <f>1</f>
        <v>1</v>
      </c>
      <c r="N2855" s="5" t="s">
        <v>242</v>
      </c>
      <c r="O2855" s="5">
        <v>1</v>
      </c>
      <c r="P2855" s="5" t="s">
        <v>294</v>
      </c>
      <c r="Q2855" s="5" t="s">
        <v>266</v>
      </c>
      <c r="R2855" s="5" t="s">
        <v>240</v>
      </c>
      <c r="S2855" s="5" t="s">
        <v>240</v>
      </c>
      <c r="T2855" s="5" t="s">
        <v>296</v>
      </c>
      <c r="U2855" s="5" t="s">
        <v>244</v>
      </c>
      <c r="V2855" s="5" t="s">
        <v>240</v>
      </c>
      <c r="Y2855" s="5" t="s">
        <v>240</v>
      </c>
      <c r="Z2855" s="6" t="s">
        <v>298</v>
      </c>
      <c r="AB2855" s="6" t="s">
        <v>240</v>
      </c>
      <c r="AE2855" s="6" t="s">
        <v>299</v>
      </c>
      <c r="AF2855" s="5" t="s">
        <v>248</v>
      </c>
      <c r="AG2855" s="5" t="s">
        <v>249</v>
      </c>
      <c r="AW2855" s="5" t="s">
        <v>251</v>
      </c>
      <c r="AX2855" s="5" t="s">
        <v>240</v>
      </c>
      <c r="AY2855" s="5" t="s">
        <v>253</v>
      </c>
      <c r="AZ2855" s="5" t="s">
        <v>240</v>
      </c>
      <c r="BA2855" s="5" t="s">
        <v>255</v>
      </c>
      <c r="BB2855" s="5" t="s">
        <v>240</v>
      </c>
      <c r="BD2855" s="5" t="s">
        <v>240</v>
      </c>
      <c r="BF2855" s="5" t="s">
        <v>301</v>
      </c>
      <c r="BG2855" s="6" t="s">
        <v>299</v>
      </c>
      <c r="BH2855" s="5" t="s">
        <v>302</v>
      </c>
      <c r="BI2855" s="5" t="s">
        <v>303</v>
      </c>
      <c r="BJ2855" s="5" t="s">
        <v>240</v>
      </c>
      <c r="BK2855" s="8">
        <f>0</f>
        <v>0</v>
      </c>
      <c r="BL2855" s="7">
        <f>0</f>
        <v>0</v>
      </c>
      <c r="BM2855" s="5" t="s">
        <v>258</v>
      </c>
      <c r="BN2855" s="5" t="s">
        <v>259</v>
      </c>
      <c r="CB2855" s="5" t="s">
        <v>240</v>
      </c>
      <c r="CC2855" s="5" t="s">
        <v>240</v>
      </c>
      <c r="CG2855" s="5" t="s">
        <v>304</v>
      </c>
      <c r="CH2855" s="5" t="s">
        <v>305</v>
      </c>
      <c r="CI2855" s="5" t="s">
        <v>240</v>
      </c>
      <c r="CL2855" s="6" t="s">
        <v>261</v>
      </c>
      <c r="CM2855" s="5" t="s">
        <v>240</v>
      </c>
      <c r="CN2855" s="5" t="s">
        <v>263</v>
      </c>
      <c r="CO2855" s="5" t="s">
        <v>240</v>
      </c>
      <c r="CP2855" s="5" t="s">
        <v>240</v>
      </c>
      <c r="CQ2855" s="5">
        <v>0</v>
      </c>
      <c r="CR2855" s="5" t="s">
        <v>306</v>
      </c>
      <c r="CS2855" s="5" t="s">
        <v>307</v>
      </c>
      <c r="CT2855" s="5" t="s">
        <v>307</v>
      </c>
      <c r="CU2855" s="5" t="s">
        <v>260</v>
      </c>
      <c r="CX2855" s="7">
        <f>1</f>
        <v>1</v>
      </c>
      <c r="CY2855" s="7">
        <f>0</f>
        <v>0</v>
      </c>
      <c r="DA2855" s="7">
        <f>0</f>
        <v>0</v>
      </c>
      <c r="DC2855" s="5" t="s">
        <v>309</v>
      </c>
      <c r="DD2855" s="5" t="s">
        <v>240</v>
      </c>
      <c r="DF2855" s="5" t="s">
        <v>309</v>
      </c>
      <c r="DG2855" s="7">
        <f>5044</f>
        <v>5044</v>
      </c>
      <c r="DI2855" s="5" t="s">
        <v>240</v>
      </c>
      <c r="DJ2855" s="5" t="s">
        <v>240</v>
      </c>
      <c r="DK2855" s="5" t="s">
        <v>240</v>
      </c>
      <c r="DL2855" s="5" t="s">
        <v>240</v>
      </c>
      <c r="DP2855" s="5" t="s">
        <v>240</v>
      </c>
      <c r="DQ2855" s="5" t="s">
        <v>240</v>
      </c>
      <c r="DR2855" s="5" t="s">
        <v>240</v>
      </c>
      <c r="DS2855" s="5" t="s">
        <v>240</v>
      </c>
      <c r="DV2855" s="5" t="s">
        <v>310</v>
      </c>
      <c r="DW2855" s="5" t="s">
        <v>3764</v>
      </c>
      <c r="HO2855" s="5" t="s">
        <v>312</v>
      </c>
    </row>
    <row r="2856" spans="1:223" x14ac:dyDescent="0.4">
      <c r="A2856" s="5">
        <v>4560</v>
      </c>
      <c r="B2856" s="5">
        <v>1</v>
      </c>
      <c r="C2856" s="5">
        <v>1</v>
      </c>
      <c r="D2856" s="5" t="s">
        <v>810</v>
      </c>
      <c r="E2856" s="5" t="s">
        <v>245</v>
      </c>
      <c r="F2856" s="5" t="s">
        <v>254</v>
      </c>
      <c r="G2856" s="5" t="s">
        <v>240</v>
      </c>
      <c r="H2856" s="6" t="s">
        <v>2834</v>
      </c>
      <c r="I2856" s="5" t="s">
        <v>809</v>
      </c>
      <c r="J2856" s="8">
        <f>3163</f>
        <v>3163</v>
      </c>
      <c r="K2856" s="5" t="s">
        <v>308</v>
      </c>
      <c r="L2856" s="7">
        <f>1</f>
        <v>1</v>
      </c>
      <c r="M2856" s="7">
        <f>1</f>
        <v>1</v>
      </c>
      <c r="N2856" s="5" t="s">
        <v>242</v>
      </c>
      <c r="O2856" s="5">
        <v>1</v>
      </c>
      <c r="P2856" s="5" t="s">
        <v>294</v>
      </c>
      <c r="Q2856" s="5" t="s">
        <v>266</v>
      </c>
      <c r="R2856" s="5" t="s">
        <v>240</v>
      </c>
      <c r="S2856" s="5" t="s">
        <v>240</v>
      </c>
      <c r="T2856" s="5" t="s">
        <v>296</v>
      </c>
      <c r="U2856" s="5" t="s">
        <v>244</v>
      </c>
      <c r="V2856" s="5" t="s">
        <v>240</v>
      </c>
      <c r="Y2856" s="5" t="s">
        <v>240</v>
      </c>
      <c r="Z2856" s="6" t="s">
        <v>298</v>
      </c>
      <c r="AB2856" s="6" t="s">
        <v>240</v>
      </c>
      <c r="AE2856" s="6" t="s">
        <v>299</v>
      </c>
      <c r="AF2856" s="5" t="s">
        <v>248</v>
      </c>
      <c r="AG2856" s="5" t="s">
        <v>249</v>
      </c>
      <c r="AW2856" s="5" t="s">
        <v>251</v>
      </c>
      <c r="AX2856" s="5" t="s">
        <v>240</v>
      </c>
      <c r="AY2856" s="5" t="s">
        <v>253</v>
      </c>
      <c r="AZ2856" s="5" t="s">
        <v>240</v>
      </c>
      <c r="BA2856" s="5" t="s">
        <v>255</v>
      </c>
      <c r="BB2856" s="5" t="s">
        <v>240</v>
      </c>
      <c r="BD2856" s="5" t="s">
        <v>240</v>
      </c>
      <c r="BF2856" s="5" t="s">
        <v>301</v>
      </c>
      <c r="BG2856" s="6" t="s">
        <v>299</v>
      </c>
      <c r="BH2856" s="5" t="s">
        <v>302</v>
      </c>
      <c r="BI2856" s="5" t="s">
        <v>303</v>
      </c>
      <c r="BJ2856" s="5" t="s">
        <v>240</v>
      </c>
      <c r="BK2856" s="8">
        <f>0</f>
        <v>0</v>
      </c>
      <c r="BL2856" s="7">
        <f>0</f>
        <v>0</v>
      </c>
      <c r="BM2856" s="5" t="s">
        <v>258</v>
      </c>
      <c r="BN2856" s="5" t="s">
        <v>259</v>
      </c>
      <c r="CB2856" s="5" t="s">
        <v>240</v>
      </c>
      <c r="CC2856" s="5" t="s">
        <v>240</v>
      </c>
      <c r="CG2856" s="5" t="s">
        <v>304</v>
      </c>
      <c r="CH2856" s="5" t="s">
        <v>305</v>
      </c>
      <c r="CI2856" s="5" t="s">
        <v>240</v>
      </c>
      <c r="CL2856" s="6" t="s">
        <v>261</v>
      </c>
      <c r="CM2856" s="5" t="s">
        <v>240</v>
      </c>
      <c r="CN2856" s="5" t="s">
        <v>263</v>
      </c>
      <c r="CO2856" s="5" t="s">
        <v>240</v>
      </c>
      <c r="CP2856" s="5" t="s">
        <v>240</v>
      </c>
      <c r="CQ2856" s="5">
        <v>0</v>
      </c>
      <c r="CR2856" s="5" t="s">
        <v>306</v>
      </c>
      <c r="CS2856" s="5" t="s">
        <v>307</v>
      </c>
      <c r="CT2856" s="5" t="s">
        <v>307</v>
      </c>
      <c r="CU2856" s="5" t="s">
        <v>260</v>
      </c>
      <c r="CX2856" s="7">
        <f>1</f>
        <v>1</v>
      </c>
      <c r="CY2856" s="7">
        <f>0</f>
        <v>0</v>
      </c>
      <c r="DA2856" s="7">
        <f>0</f>
        <v>0</v>
      </c>
      <c r="DC2856" s="5" t="s">
        <v>309</v>
      </c>
      <c r="DD2856" s="5" t="s">
        <v>240</v>
      </c>
      <c r="DF2856" s="5" t="s">
        <v>309</v>
      </c>
      <c r="DG2856" s="7">
        <f>1188</f>
        <v>1188</v>
      </c>
      <c r="DI2856" s="5" t="s">
        <v>240</v>
      </c>
      <c r="DJ2856" s="5" t="s">
        <v>240</v>
      </c>
      <c r="DK2856" s="5" t="s">
        <v>240</v>
      </c>
      <c r="DL2856" s="5" t="s">
        <v>240</v>
      </c>
      <c r="DP2856" s="5" t="s">
        <v>240</v>
      </c>
      <c r="DQ2856" s="5" t="s">
        <v>240</v>
      </c>
      <c r="DR2856" s="5" t="s">
        <v>240</v>
      </c>
      <c r="DS2856" s="5" t="s">
        <v>240</v>
      </c>
      <c r="DV2856" s="5" t="s">
        <v>310</v>
      </c>
      <c r="DW2856" s="5" t="s">
        <v>3766</v>
      </c>
      <c r="HO2856" s="5" t="s">
        <v>312</v>
      </c>
    </row>
    <row r="2857" spans="1:223" x14ac:dyDescent="0.4">
      <c r="A2857" s="5">
        <v>4561</v>
      </c>
      <c r="B2857" s="5">
        <v>1</v>
      </c>
      <c r="C2857" s="5">
        <v>1</v>
      </c>
      <c r="D2857" s="5" t="s">
        <v>810</v>
      </c>
      <c r="E2857" s="5" t="s">
        <v>245</v>
      </c>
      <c r="F2857" s="5" t="s">
        <v>254</v>
      </c>
      <c r="G2857" s="5" t="s">
        <v>240</v>
      </c>
      <c r="H2857" s="6" t="s">
        <v>2832</v>
      </c>
      <c r="I2857" s="5" t="s">
        <v>809</v>
      </c>
      <c r="J2857" s="8">
        <f>2473</f>
        <v>2473</v>
      </c>
      <c r="K2857" s="5" t="s">
        <v>308</v>
      </c>
      <c r="L2857" s="7">
        <f>1</f>
        <v>1</v>
      </c>
      <c r="M2857" s="7">
        <f>1</f>
        <v>1</v>
      </c>
      <c r="N2857" s="5" t="s">
        <v>242</v>
      </c>
      <c r="O2857" s="5">
        <v>1</v>
      </c>
      <c r="P2857" s="5" t="s">
        <v>294</v>
      </c>
      <c r="Q2857" s="5" t="s">
        <v>266</v>
      </c>
      <c r="R2857" s="5" t="s">
        <v>240</v>
      </c>
      <c r="S2857" s="5" t="s">
        <v>240</v>
      </c>
      <c r="T2857" s="5" t="s">
        <v>296</v>
      </c>
      <c r="U2857" s="5" t="s">
        <v>244</v>
      </c>
      <c r="V2857" s="5" t="s">
        <v>240</v>
      </c>
      <c r="Y2857" s="5" t="s">
        <v>240</v>
      </c>
      <c r="Z2857" s="6" t="s">
        <v>298</v>
      </c>
      <c r="AB2857" s="6" t="s">
        <v>240</v>
      </c>
      <c r="AE2857" s="6" t="s">
        <v>299</v>
      </c>
      <c r="AF2857" s="5" t="s">
        <v>248</v>
      </c>
      <c r="AG2857" s="5" t="s">
        <v>249</v>
      </c>
      <c r="AW2857" s="5" t="s">
        <v>251</v>
      </c>
      <c r="AX2857" s="5" t="s">
        <v>240</v>
      </c>
      <c r="AY2857" s="5" t="s">
        <v>253</v>
      </c>
      <c r="AZ2857" s="5" t="s">
        <v>240</v>
      </c>
      <c r="BA2857" s="5" t="s">
        <v>255</v>
      </c>
      <c r="BB2857" s="5" t="s">
        <v>240</v>
      </c>
      <c r="BD2857" s="5" t="s">
        <v>240</v>
      </c>
      <c r="BF2857" s="5" t="s">
        <v>301</v>
      </c>
      <c r="BG2857" s="6" t="s">
        <v>299</v>
      </c>
      <c r="BH2857" s="5" t="s">
        <v>302</v>
      </c>
      <c r="BI2857" s="5" t="s">
        <v>303</v>
      </c>
      <c r="BJ2857" s="5" t="s">
        <v>240</v>
      </c>
      <c r="BK2857" s="8">
        <f>0</f>
        <v>0</v>
      </c>
      <c r="BL2857" s="7">
        <f>0</f>
        <v>0</v>
      </c>
      <c r="BM2857" s="5" t="s">
        <v>258</v>
      </c>
      <c r="BN2857" s="5" t="s">
        <v>259</v>
      </c>
      <c r="CB2857" s="5" t="s">
        <v>240</v>
      </c>
      <c r="CC2857" s="5" t="s">
        <v>240</v>
      </c>
      <c r="CG2857" s="5" t="s">
        <v>304</v>
      </c>
      <c r="CH2857" s="5" t="s">
        <v>305</v>
      </c>
      <c r="CI2857" s="5" t="s">
        <v>240</v>
      </c>
      <c r="CL2857" s="6" t="s">
        <v>261</v>
      </c>
      <c r="CM2857" s="5" t="s">
        <v>240</v>
      </c>
      <c r="CN2857" s="5" t="s">
        <v>263</v>
      </c>
      <c r="CO2857" s="5" t="s">
        <v>240</v>
      </c>
      <c r="CP2857" s="5" t="s">
        <v>240</v>
      </c>
      <c r="CQ2857" s="5">
        <v>0</v>
      </c>
      <c r="CR2857" s="5" t="s">
        <v>306</v>
      </c>
      <c r="CS2857" s="5" t="s">
        <v>307</v>
      </c>
      <c r="CT2857" s="5" t="s">
        <v>307</v>
      </c>
      <c r="CU2857" s="5" t="s">
        <v>260</v>
      </c>
      <c r="CX2857" s="7">
        <f>1</f>
        <v>1</v>
      </c>
      <c r="CY2857" s="7">
        <f>0</f>
        <v>0</v>
      </c>
      <c r="DA2857" s="7">
        <f>0</f>
        <v>0</v>
      </c>
      <c r="DC2857" s="5" t="s">
        <v>309</v>
      </c>
      <c r="DD2857" s="5" t="s">
        <v>240</v>
      </c>
      <c r="DF2857" s="5" t="s">
        <v>309</v>
      </c>
      <c r="DG2857" s="7">
        <f>72</f>
        <v>72</v>
      </c>
      <c r="DI2857" s="5" t="s">
        <v>240</v>
      </c>
      <c r="DJ2857" s="5" t="s">
        <v>240</v>
      </c>
      <c r="DK2857" s="5" t="s">
        <v>240</v>
      </c>
      <c r="DL2857" s="5" t="s">
        <v>240</v>
      </c>
      <c r="DP2857" s="5" t="s">
        <v>240</v>
      </c>
      <c r="DQ2857" s="5" t="s">
        <v>240</v>
      </c>
      <c r="DR2857" s="5" t="s">
        <v>240</v>
      </c>
      <c r="DS2857" s="5" t="s">
        <v>240</v>
      </c>
      <c r="DV2857" s="5" t="s">
        <v>310</v>
      </c>
      <c r="DW2857" s="5" t="s">
        <v>3769</v>
      </c>
      <c r="HO2857" s="5" t="s">
        <v>312</v>
      </c>
    </row>
    <row r="2858" spans="1:223" x14ac:dyDescent="0.4">
      <c r="A2858" s="5">
        <v>4562</v>
      </c>
      <c r="B2858" s="5">
        <v>1</v>
      </c>
      <c r="C2858" s="5">
        <v>1</v>
      </c>
      <c r="D2858" s="5" t="s">
        <v>810</v>
      </c>
      <c r="E2858" s="5" t="s">
        <v>245</v>
      </c>
      <c r="F2858" s="5" t="s">
        <v>254</v>
      </c>
      <c r="G2858" s="5" t="s">
        <v>240</v>
      </c>
      <c r="H2858" s="6" t="s">
        <v>2830</v>
      </c>
      <c r="I2858" s="5" t="s">
        <v>809</v>
      </c>
      <c r="J2858" s="8">
        <f>3178</f>
        <v>3178</v>
      </c>
      <c r="K2858" s="5" t="s">
        <v>308</v>
      </c>
      <c r="L2858" s="7">
        <f>1</f>
        <v>1</v>
      </c>
      <c r="M2858" s="7">
        <f>1</f>
        <v>1</v>
      </c>
      <c r="N2858" s="5" t="s">
        <v>242</v>
      </c>
      <c r="O2858" s="5">
        <v>1</v>
      </c>
      <c r="P2858" s="5" t="s">
        <v>294</v>
      </c>
      <c r="Q2858" s="5" t="s">
        <v>266</v>
      </c>
      <c r="R2858" s="5" t="s">
        <v>240</v>
      </c>
      <c r="S2858" s="5" t="s">
        <v>240</v>
      </c>
      <c r="T2858" s="5" t="s">
        <v>296</v>
      </c>
      <c r="U2858" s="5" t="s">
        <v>244</v>
      </c>
      <c r="V2858" s="5" t="s">
        <v>240</v>
      </c>
      <c r="Y2858" s="5" t="s">
        <v>240</v>
      </c>
      <c r="Z2858" s="6" t="s">
        <v>298</v>
      </c>
      <c r="AB2858" s="6" t="s">
        <v>240</v>
      </c>
      <c r="AE2858" s="6" t="s">
        <v>299</v>
      </c>
      <c r="AF2858" s="5" t="s">
        <v>248</v>
      </c>
      <c r="AG2858" s="5" t="s">
        <v>249</v>
      </c>
      <c r="AW2858" s="5" t="s">
        <v>251</v>
      </c>
      <c r="AX2858" s="5" t="s">
        <v>240</v>
      </c>
      <c r="AY2858" s="5" t="s">
        <v>253</v>
      </c>
      <c r="AZ2858" s="5" t="s">
        <v>240</v>
      </c>
      <c r="BA2858" s="5" t="s">
        <v>255</v>
      </c>
      <c r="BB2858" s="5" t="s">
        <v>240</v>
      </c>
      <c r="BD2858" s="5" t="s">
        <v>240</v>
      </c>
      <c r="BF2858" s="5" t="s">
        <v>301</v>
      </c>
      <c r="BG2858" s="6" t="s">
        <v>299</v>
      </c>
      <c r="BH2858" s="5" t="s">
        <v>302</v>
      </c>
      <c r="BI2858" s="5" t="s">
        <v>303</v>
      </c>
      <c r="BJ2858" s="5" t="s">
        <v>240</v>
      </c>
      <c r="BK2858" s="8">
        <f>0</f>
        <v>0</v>
      </c>
      <c r="BL2858" s="7">
        <f>0</f>
        <v>0</v>
      </c>
      <c r="BM2858" s="5" t="s">
        <v>258</v>
      </c>
      <c r="BN2858" s="5" t="s">
        <v>259</v>
      </c>
      <c r="CB2858" s="5" t="s">
        <v>240</v>
      </c>
      <c r="CC2858" s="5" t="s">
        <v>240</v>
      </c>
      <c r="CG2858" s="5" t="s">
        <v>304</v>
      </c>
      <c r="CH2858" s="5" t="s">
        <v>305</v>
      </c>
      <c r="CI2858" s="5" t="s">
        <v>240</v>
      </c>
      <c r="CL2858" s="6" t="s">
        <v>261</v>
      </c>
      <c r="CM2858" s="5" t="s">
        <v>240</v>
      </c>
      <c r="CN2858" s="5" t="s">
        <v>263</v>
      </c>
      <c r="CO2858" s="5" t="s">
        <v>240</v>
      </c>
      <c r="CP2858" s="5" t="s">
        <v>240</v>
      </c>
      <c r="CQ2858" s="5">
        <v>0</v>
      </c>
      <c r="CR2858" s="5" t="s">
        <v>306</v>
      </c>
      <c r="CS2858" s="5" t="s">
        <v>307</v>
      </c>
      <c r="CT2858" s="5" t="s">
        <v>307</v>
      </c>
      <c r="CU2858" s="5" t="s">
        <v>260</v>
      </c>
      <c r="CX2858" s="7">
        <f>1</f>
        <v>1</v>
      </c>
      <c r="CY2858" s="7">
        <f>0</f>
        <v>0</v>
      </c>
      <c r="DA2858" s="7">
        <f>0</f>
        <v>0</v>
      </c>
      <c r="DC2858" s="5" t="s">
        <v>309</v>
      </c>
      <c r="DD2858" s="5" t="s">
        <v>240</v>
      </c>
      <c r="DF2858" s="5" t="s">
        <v>309</v>
      </c>
      <c r="DG2858" s="7">
        <f>2192</f>
        <v>2192</v>
      </c>
      <c r="DI2858" s="5" t="s">
        <v>240</v>
      </c>
      <c r="DJ2858" s="5" t="s">
        <v>240</v>
      </c>
      <c r="DK2858" s="5" t="s">
        <v>240</v>
      </c>
      <c r="DL2858" s="5" t="s">
        <v>240</v>
      </c>
      <c r="DP2858" s="5" t="s">
        <v>240</v>
      </c>
      <c r="DQ2858" s="5" t="s">
        <v>240</v>
      </c>
      <c r="DR2858" s="5" t="s">
        <v>240</v>
      </c>
      <c r="DS2858" s="5" t="s">
        <v>240</v>
      </c>
      <c r="DV2858" s="5" t="s">
        <v>310</v>
      </c>
      <c r="DW2858" s="5" t="s">
        <v>3771</v>
      </c>
      <c r="HO2858" s="5" t="s">
        <v>312</v>
      </c>
    </row>
    <row r="2859" spans="1:223" x14ac:dyDescent="0.4">
      <c r="A2859" s="5">
        <v>4563</v>
      </c>
      <c r="B2859" s="5">
        <v>1</v>
      </c>
      <c r="C2859" s="5">
        <v>1</v>
      </c>
      <c r="D2859" s="5" t="s">
        <v>810</v>
      </c>
      <c r="E2859" s="5" t="s">
        <v>245</v>
      </c>
      <c r="F2859" s="5" t="s">
        <v>254</v>
      </c>
      <c r="G2859" s="5" t="s">
        <v>240</v>
      </c>
      <c r="H2859" s="6" t="s">
        <v>2828</v>
      </c>
      <c r="I2859" s="5" t="s">
        <v>809</v>
      </c>
      <c r="J2859" s="8">
        <f>372</f>
        <v>372</v>
      </c>
      <c r="K2859" s="5" t="s">
        <v>308</v>
      </c>
      <c r="L2859" s="7">
        <f>1</f>
        <v>1</v>
      </c>
      <c r="M2859" s="7">
        <f>1</f>
        <v>1</v>
      </c>
      <c r="N2859" s="5" t="s">
        <v>242</v>
      </c>
      <c r="O2859" s="5">
        <v>1</v>
      </c>
      <c r="P2859" s="5" t="s">
        <v>294</v>
      </c>
      <c r="Q2859" s="5" t="s">
        <v>266</v>
      </c>
      <c r="R2859" s="5" t="s">
        <v>240</v>
      </c>
      <c r="S2859" s="5" t="s">
        <v>240</v>
      </c>
      <c r="T2859" s="5" t="s">
        <v>296</v>
      </c>
      <c r="U2859" s="5" t="s">
        <v>244</v>
      </c>
      <c r="V2859" s="5" t="s">
        <v>240</v>
      </c>
      <c r="Y2859" s="5" t="s">
        <v>240</v>
      </c>
      <c r="Z2859" s="6" t="s">
        <v>298</v>
      </c>
      <c r="AB2859" s="6" t="s">
        <v>240</v>
      </c>
      <c r="AE2859" s="6" t="s">
        <v>299</v>
      </c>
      <c r="AF2859" s="5" t="s">
        <v>248</v>
      </c>
      <c r="AG2859" s="5" t="s">
        <v>249</v>
      </c>
      <c r="AW2859" s="5" t="s">
        <v>251</v>
      </c>
      <c r="AX2859" s="5" t="s">
        <v>240</v>
      </c>
      <c r="AY2859" s="5" t="s">
        <v>253</v>
      </c>
      <c r="AZ2859" s="5" t="s">
        <v>240</v>
      </c>
      <c r="BA2859" s="5" t="s">
        <v>255</v>
      </c>
      <c r="BB2859" s="5" t="s">
        <v>240</v>
      </c>
      <c r="BD2859" s="5" t="s">
        <v>240</v>
      </c>
      <c r="BF2859" s="5" t="s">
        <v>301</v>
      </c>
      <c r="BG2859" s="6" t="s">
        <v>299</v>
      </c>
      <c r="BH2859" s="5" t="s">
        <v>302</v>
      </c>
      <c r="BI2859" s="5" t="s">
        <v>303</v>
      </c>
      <c r="BJ2859" s="5" t="s">
        <v>240</v>
      </c>
      <c r="BK2859" s="8">
        <f>0</f>
        <v>0</v>
      </c>
      <c r="BL2859" s="7">
        <f>0</f>
        <v>0</v>
      </c>
      <c r="BM2859" s="5" t="s">
        <v>258</v>
      </c>
      <c r="BN2859" s="5" t="s">
        <v>259</v>
      </c>
      <c r="CB2859" s="5" t="s">
        <v>240</v>
      </c>
      <c r="CC2859" s="5" t="s">
        <v>240</v>
      </c>
      <c r="CG2859" s="5" t="s">
        <v>304</v>
      </c>
      <c r="CH2859" s="5" t="s">
        <v>305</v>
      </c>
      <c r="CI2859" s="5" t="s">
        <v>240</v>
      </c>
      <c r="CL2859" s="6" t="s">
        <v>261</v>
      </c>
      <c r="CM2859" s="5" t="s">
        <v>240</v>
      </c>
      <c r="CN2859" s="5" t="s">
        <v>263</v>
      </c>
      <c r="CO2859" s="5" t="s">
        <v>240</v>
      </c>
      <c r="CP2859" s="5" t="s">
        <v>240</v>
      </c>
      <c r="CQ2859" s="5">
        <v>0</v>
      </c>
      <c r="CR2859" s="5" t="s">
        <v>306</v>
      </c>
      <c r="CS2859" s="5" t="s">
        <v>307</v>
      </c>
      <c r="CT2859" s="5" t="s">
        <v>307</v>
      </c>
      <c r="CU2859" s="5" t="s">
        <v>260</v>
      </c>
      <c r="CX2859" s="7">
        <f>1</f>
        <v>1</v>
      </c>
      <c r="CY2859" s="7">
        <f>0</f>
        <v>0</v>
      </c>
      <c r="DA2859" s="7">
        <f>0</f>
        <v>0</v>
      </c>
      <c r="DC2859" s="5" t="s">
        <v>309</v>
      </c>
      <c r="DD2859" s="5" t="s">
        <v>240</v>
      </c>
      <c r="DF2859" s="5" t="s">
        <v>309</v>
      </c>
      <c r="DG2859" s="7">
        <f>70</f>
        <v>70</v>
      </c>
      <c r="DI2859" s="5" t="s">
        <v>240</v>
      </c>
      <c r="DJ2859" s="5" t="s">
        <v>240</v>
      </c>
      <c r="DK2859" s="5" t="s">
        <v>240</v>
      </c>
      <c r="DL2859" s="5" t="s">
        <v>240</v>
      </c>
      <c r="DP2859" s="5" t="s">
        <v>240</v>
      </c>
      <c r="DQ2859" s="5" t="s">
        <v>240</v>
      </c>
      <c r="DR2859" s="5" t="s">
        <v>240</v>
      </c>
      <c r="DS2859" s="5" t="s">
        <v>240</v>
      </c>
      <c r="DV2859" s="5" t="s">
        <v>310</v>
      </c>
      <c r="DW2859" s="5" t="s">
        <v>3773</v>
      </c>
      <c r="HO2859" s="5" t="s">
        <v>312</v>
      </c>
    </row>
    <row r="2860" spans="1:223" x14ac:dyDescent="0.4">
      <c r="A2860" s="5">
        <v>4564</v>
      </c>
      <c r="B2860" s="5">
        <v>1</v>
      </c>
      <c r="C2860" s="5">
        <v>1</v>
      </c>
      <c r="D2860" s="5" t="s">
        <v>810</v>
      </c>
      <c r="E2860" s="5" t="s">
        <v>245</v>
      </c>
      <c r="F2860" s="5" t="s">
        <v>254</v>
      </c>
      <c r="G2860" s="5" t="s">
        <v>240</v>
      </c>
      <c r="H2860" s="6" t="s">
        <v>2826</v>
      </c>
      <c r="I2860" s="5" t="s">
        <v>809</v>
      </c>
      <c r="J2860" s="8">
        <f>1267</f>
        <v>1267</v>
      </c>
      <c r="K2860" s="5" t="s">
        <v>308</v>
      </c>
      <c r="L2860" s="7">
        <f>1</f>
        <v>1</v>
      </c>
      <c r="M2860" s="7">
        <f>1</f>
        <v>1</v>
      </c>
      <c r="N2860" s="5" t="s">
        <v>242</v>
      </c>
      <c r="O2860" s="5">
        <v>1</v>
      </c>
      <c r="P2860" s="5" t="s">
        <v>294</v>
      </c>
      <c r="Q2860" s="5" t="s">
        <v>266</v>
      </c>
      <c r="R2860" s="5" t="s">
        <v>240</v>
      </c>
      <c r="S2860" s="5" t="s">
        <v>240</v>
      </c>
      <c r="T2860" s="5" t="s">
        <v>296</v>
      </c>
      <c r="U2860" s="5" t="s">
        <v>244</v>
      </c>
      <c r="V2860" s="5" t="s">
        <v>240</v>
      </c>
      <c r="Y2860" s="5" t="s">
        <v>240</v>
      </c>
      <c r="Z2860" s="6" t="s">
        <v>298</v>
      </c>
      <c r="AB2860" s="6" t="s">
        <v>240</v>
      </c>
      <c r="AE2860" s="6" t="s">
        <v>299</v>
      </c>
      <c r="AF2860" s="5" t="s">
        <v>248</v>
      </c>
      <c r="AG2860" s="5" t="s">
        <v>249</v>
      </c>
      <c r="AW2860" s="5" t="s">
        <v>251</v>
      </c>
      <c r="AX2860" s="5" t="s">
        <v>240</v>
      </c>
      <c r="AY2860" s="5" t="s">
        <v>253</v>
      </c>
      <c r="AZ2860" s="5" t="s">
        <v>240</v>
      </c>
      <c r="BA2860" s="5" t="s">
        <v>255</v>
      </c>
      <c r="BB2860" s="5" t="s">
        <v>240</v>
      </c>
      <c r="BD2860" s="5" t="s">
        <v>240</v>
      </c>
      <c r="BF2860" s="5" t="s">
        <v>301</v>
      </c>
      <c r="BG2860" s="6" t="s">
        <v>299</v>
      </c>
      <c r="BH2860" s="5" t="s">
        <v>302</v>
      </c>
      <c r="BI2860" s="5" t="s">
        <v>303</v>
      </c>
      <c r="BJ2860" s="5" t="s">
        <v>240</v>
      </c>
      <c r="BK2860" s="8">
        <f>0</f>
        <v>0</v>
      </c>
      <c r="BL2860" s="7">
        <f>0</f>
        <v>0</v>
      </c>
      <c r="BM2860" s="5" t="s">
        <v>258</v>
      </c>
      <c r="BN2860" s="5" t="s">
        <v>259</v>
      </c>
      <c r="CB2860" s="5" t="s">
        <v>240</v>
      </c>
      <c r="CC2860" s="5" t="s">
        <v>240</v>
      </c>
      <c r="CG2860" s="5" t="s">
        <v>304</v>
      </c>
      <c r="CH2860" s="5" t="s">
        <v>305</v>
      </c>
      <c r="CI2860" s="5" t="s">
        <v>240</v>
      </c>
      <c r="CL2860" s="6" t="s">
        <v>261</v>
      </c>
      <c r="CM2860" s="5" t="s">
        <v>240</v>
      </c>
      <c r="CN2860" s="5" t="s">
        <v>263</v>
      </c>
      <c r="CO2860" s="5" t="s">
        <v>240</v>
      </c>
      <c r="CP2860" s="5" t="s">
        <v>240</v>
      </c>
      <c r="CQ2860" s="5">
        <v>0</v>
      </c>
      <c r="CR2860" s="5" t="s">
        <v>306</v>
      </c>
      <c r="CS2860" s="5" t="s">
        <v>307</v>
      </c>
      <c r="CT2860" s="5" t="s">
        <v>307</v>
      </c>
      <c r="CU2860" s="5" t="s">
        <v>260</v>
      </c>
      <c r="CX2860" s="7">
        <f>1</f>
        <v>1</v>
      </c>
      <c r="CY2860" s="7">
        <f>0</f>
        <v>0</v>
      </c>
      <c r="DA2860" s="7">
        <f>0</f>
        <v>0</v>
      </c>
      <c r="DC2860" s="5" t="s">
        <v>309</v>
      </c>
      <c r="DD2860" s="5" t="s">
        <v>240</v>
      </c>
      <c r="DF2860" s="5" t="s">
        <v>309</v>
      </c>
      <c r="DG2860" s="7">
        <f>5918</f>
        <v>5918</v>
      </c>
      <c r="DI2860" s="5" t="s">
        <v>240</v>
      </c>
      <c r="DJ2860" s="5" t="s">
        <v>240</v>
      </c>
      <c r="DK2860" s="5" t="s">
        <v>240</v>
      </c>
      <c r="DL2860" s="5" t="s">
        <v>240</v>
      </c>
      <c r="DP2860" s="5" t="s">
        <v>240</v>
      </c>
      <c r="DQ2860" s="5" t="s">
        <v>240</v>
      </c>
      <c r="DR2860" s="5" t="s">
        <v>240</v>
      </c>
      <c r="DS2860" s="5" t="s">
        <v>240</v>
      </c>
      <c r="DV2860" s="5" t="s">
        <v>310</v>
      </c>
      <c r="DW2860" s="5" t="s">
        <v>3775</v>
      </c>
      <c r="HO2860" s="5" t="s">
        <v>312</v>
      </c>
    </row>
    <row r="2861" spans="1:223" x14ac:dyDescent="0.4">
      <c r="A2861" s="5">
        <v>4565</v>
      </c>
      <c r="B2861" s="5">
        <v>1</v>
      </c>
      <c r="C2861" s="5">
        <v>1</v>
      </c>
      <c r="D2861" s="5" t="s">
        <v>810</v>
      </c>
      <c r="E2861" s="5" t="s">
        <v>245</v>
      </c>
      <c r="F2861" s="5" t="s">
        <v>254</v>
      </c>
      <c r="G2861" s="5" t="s">
        <v>240</v>
      </c>
      <c r="H2861" s="6" t="s">
        <v>2824</v>
      </c>
      <c r="I2861" s="5" t="s">
        <v>809</v>
      </c>
      <c r="J2861" s="8">
        <f>2504</f>
        <v>2504</v>
      </c>
      <c r="K2861" s="5" t="s">
        <v>308</v>
      </c>
      <c r="L2861" s="7">
        <f>1</f>
        <v>1</v>
      </c>
      <c r="M2861" s="7">
        <f>1</f>
        <v>1</v>
      </c>
      <c r="N2861" s="5" t="s">
        <v>242</v>
      </c>
      <c r="O2861" s="5">
        <v>1</v>
      </c>
      <c r="P2861" s="5" t="s">
        <v>294</v>
      </c>
      <c r="Q2861" s="5" t="s">
        <v>266</v>
      </c>
      <c r="R2861" s="5" t="s">
        <v>240</v>
      </c>
      <c r="S2861" s="5" t="s">
        <v>240</v>
      </c>
      <c r="T2861" s="5" t="s">
        <v>296</v>
      </c>
      <c r="U2861" s="5" t="s">
        <v>244</v>
      </c>
      <c r="V2861" s="5" t="s">
        <v>240</v>
      </c>
      <c r="Y2861" s="5" t="s">
        <v>240</v>
      </c>
      <c r="Z2861" s="6" t="s">
        <v>298</v>
      </c>
      <c r="AB2861" s="6" t="s">
        <v>240</v>
      </c>
      <c r="AE2861" s="6" t="s">
        <v>299</v>
      </c>
      <c r="AF2861" s="5" t="s">
        <v>248</v>
      </c>
      <c r="AG2861" s="5" t="s">
        <v>249</v>
      </c>
      <c r="AW2861" s="5" t="s">
        <v>251</v>
      </c>
      <c r="AX2861" s="5" t="s">
        <v>240</v>
      </c>
      <c r="AY2861" s="5" t="s">
        <v>253</v>
      </c>
      <c r="AZ2861" s="5" t="s">
        <v>240</v>
      </c>
      <c r="BA2861" s="5" t="s">
        <v>255</v>
      </c>
      <c r="BB2861" s="5" t="s">
        <v>240</v>
      </c>
      <c r="BD2861" s="5" t="s">
        <v>240</v>
      </c>
      <c r="BF2861" s="5" t="s">
        <v>301</v>
      </c>
      <c r="BG2861" s="6" t="s">
        <v>299</v>
      </c>
      <c r="BH2861" s="5" t="s">
        <v>302</v>
      </c>
      <c r="BI2861" s="5" t="s">
        <v>303</v>
      </c>
      <c r="BJ2861" s="5" t="s">
        <v>240</v>
      </c>
      <c r="BK2861" s="8">
        <f>0</f>
        <v>0</v>
      </c>
      <c r="BL2861" s="7">
        <f>0</f>
        <v>0</v>
      </c>
      <c r="BM2861" s="5" t="s">
        <v>258</v>
      </c>
      <c r="BN2861" s="5" t="s">
        <v>259</v>
      </c>
      <c r="CB2861" s="5" t="s">
        <v>240</v>
      </c>
      <c r="CC2861" s="5" t="s">
        <v>240</v>
      </c>
      <c r="CG2861" s="5" t="s">
        <v>304</v>
      </c>
      <c r="CH2861" s="5" t="s">
        <v>305</v>
      </c>
      <c r="CI2861" s="5" t="s">
        <v>240</v>
      </c>
      <c r="CL2861" s="6" t="s">
        <v>261</v>
      </c>
      <c r="CM2861" s="5" t="s">
        <v>240</v>
      </c>
      <c r="CN2861" s="5" t="s">
        <v>263</v>
      </c>
      <c r="CO2861" s="5" t="s">
        <v>240</v>
      </c>
      <c r="CP2861" s="5" t="s">
        <v>240</v>
      </c>
      <c r="CQ2861" s="5">
        <v>0</v>
      </c>
      <c r="CR2861" s="5" t="s">
        <v>306</v>
      </c>
      <c r="CS2861" s="5" t="s">
        <v>307</v>
      </c>
      <c r="CT2861" s="5" t="s">
        <v>307</v>
      </c>
      <c r="CU2861" s="5" t="s">
        <v>260</v>
      </c>
      <c r="CX2861" s="7">
        <f>1</f>
        <v>1</v>
      </c>
      <c r="CY2861" s="7">
        <f>0</f>
        <v>0</v>
      </c>
      <c r="DA2861" s="7">
        <f>0</f>
        <v>0</v>
      </c>
      <c r="DC2861" s="5" t="s">
        <v>309</v>
      </c>
      <c r="DD2861" s="5" t="s">
        <v>240</v>
      </c>
      <c r="DF2861" s="5" t="s">
        <v>309</v>
      </c>
      <c r="DG2861" s="7">
        <f>810</f>
        <v>810</v>
      </c>
      <c r="DI2861" s="5" t="s">
        <v>240</v>
      </c>
      <c r="DJ2861" s="5" t="s">
        <v>240</v>
      </c>
      <c r="DK2861" s="5" t="s">
        <v>240</v>
      </c>
      <c r="DL2861" s="5" t="s">
        <v>240</v>
      </c>
      <c r="DP2861" s="5" t="s">
        <v>240</v>
      </c>
      <c r="DQ2861" s="5" t="s">
        <v>240</v>
      </c>
      <c r="DR2861" s="5" t="s">
        <v>240</v>
      </c>
      <c r="DS2861" s="5" t="s">
        <v>240</v>
      </c>
      <c r="DV2861" s="5" t="s">
        <v>310</v>
      </c>
      <c r="DW2861" s="5" t="s">
        <v>3777</v>
      </c>
      <c r="HO2861" s="5" t="s">
        <v>312</v>
      </c>
    </row>
    <row r="2862" spans="1:223" x14ac:dyDescent="0.4">
      <c r="A2862" s="5">
        <v>4566</v>
      </c>
      <c r="B2862" s="5">
        <v>1</v>
      </c>
      <c r="C2862" s="5">
        <v>1</v>
      </c>
      <c r="D2862" s="5" t="s">
        <v>810</v>
      </c>
      <c r="E2862" s="5" t="s">
        <v>245</v>
      </c>
      <c r="F2862" s="5" t="s">
        <v>254</v>
      </c>
      <c r="G2862" s="5" t="s">
        <v>240</v>
      </c>
      <c r="H2862" s="6" t="s">
        <v>2822</v>
      </c>
      <c r="I2862" s="5" t="s">
        <v>809</v>
      </c>
      <c r="J2862" s="8">
        <f>1256</f>
        <v>1256</v>
      </c>
      <c r="K2862" s="5" t="s">
        <v>308</v>
      </c>
      <c r="L2862" s="7">
        <f>1</f>
        <v>1</v>
      </c>
      <c r="M2862" s="7">
        <f>1</f>
        <v>1</v>
      </c>
      <c r="N2862" s="5" t="s">
        <v>242</v>
      </c>
      <c r="O2862" s="5">
        <v>1</v>
      </c>
      <c r="P2862" s="5" t="s">
        <v>294</v>
      </c>
      <c r="Q2862" s="5" t="s">
        <v>266</v>
      </c>
      <c r="R2862" s="5" t="s">
        <v>240</v>
      </c>
      <c r="S2862" s="5" t="s">
        <v>240</v>
      </c>
      <c r="T2862" s="5" t="s">
        <v>296</v>
      </c>
      <c r="U2862" s="5" t="s">
        <v>244</v>
      </c>
      <c r="V2862" s="5" t="s">
        <v>240</v>
      </c>
      <c r="Y2862" s="5" t="s">
        <v>240</v>
      </c>
      <c r="Z2862" s="6" t="s">
        <v>298</v>
      </c>
      <c r="AB2862" s="6" t="s">
        <v>240</v>
      </c>
      <c r="AE2862" s="6" t="s">
        <v>299</v>
      </c>
      <c r="AF2862" s="5" t="s">
        <v>248</v>
      </c>
      <c r="AG2862" s="5" t="s">
        <v>249</v>
      </c>
      <c r="AW2862" s="5" t="s">
        <v>251</v>
      </c>
      <c r="AX2862" s="5" t="s">
        <v>240</v>
      </c>
      <c r="AY2862" s="5" t="s">
        <v>253</v>
      </c>
      <c r="AZ2862" s="5" t="s">
        <v>240</v>
      </c>
      <c r="BA2862" s="5" t="s">
        <v>255</v>
      </c>
      <c r="BB2862" s="5" t="s">
        <v>240</v>
      </c>
      <c r="BD2862" s="5" t="s">
        <v>240</v>
      </c>
      <c r="BF2862" s="5" t="s">
        <v>301</v>
      </c>
      <c r="BG2862" s="6" t="s">
        <v>299</v>
      </c>
      <c r="BH2862" s="5" t="s">
        <v>302</v>
      </c>
      <c r="BI2862" s="5" t="s">
        <v>303</v>
      </c>
      <c r="BJ2862" s="5" t="s">
        <v>240</v>
      </c>
      <c r="BK2862" s="8">
        <f>0</f>
        <v>0</v>
      </c>
      <c r="BL2862" s="7">
        <f>0</f>
        <v>0</v>
      </c>
      <c r="BM2862" s="5" t="s">
        <v>258</v>
      </c>
      <c r="BN2862" s="5" t="s">
        <v>259</v>
      </c>
      <c r="CB2862" s="5" t="s">
        <v>240</v>
      </c>
      <c r="CC2862" s="5" t="s">
        <v>240</v>
      </c>
      <c r="CG2862" s="5" t="s">
        <v>304</v>
      </c>
      <c r="CH2862" s="5" t="s">
        <v>305</v>
      </c>
      <c r="CI2862" s="5" t="s">
        <v>240</v>
      </c>
      <c r="CL2862" s="6" t="s">
        <v>261</v>
      </c>
      <c r="CM2862" s="5" t="s">
        <v>240</v>
      </c>
      <c r="CN2862" s="5" t="s">
        <v>263</v>
      </c>
      <c r="CO2862" s="5" t="s">
        <v>240</v>
      </c>
      <c r="CP2862" s="5" t="s">
        <v>240</v>
      </c>
      <c r="CQ2862" s="5">
        <v>0</v>
      </c>
      <c r="CR2862" s="5" t="s">
        <v>306</v>
      </c>
      <c r="CS2862" s="5" t="s">
        <v>307</v>
      </c>
      <c r="CT2862" s="5" t="s">
        <v>307</v>
      </c>
      <c r="CU2862" s="5" t="s">
        <v>260</v>
      </c>
      <c r="CX2862" s="7">
        <f>1</f>
        <v>1</v>
      </c>
      <c r="CY2862" s="7">
        <f>0</f>
        <v>0</v>
      </c>
      <c r="DA2862" s="7">
        <f>0</f>
        <v>0</v>
      </c>
      <c r="DC2862" s="5" t="s">
        <v>812</v>
      </c>
      <c r="DD2862" s="5" t="s">
        <v>240</v>
      </c>
      <c r="DF2862" s="5" t="s">
        <v>812</v>
      </c>
      <c r="DG2862" s="7">
        <f>981</f>
        <v>981</v>
      </c>
      <c r="DI2862" s="5" t="s">
        <v>240</v>
      </c>
      <c r="DJ2862" s="5" t="s">
        <v>240</v>
      </c>
      <c r="DK2862" s="5" t="s">
        <v>240</v>
      </c>
      <c r="DL2862" s="5" t="s">
        <v>240</v>
      </c>
      <c r="DP2862" s="5" t="s">
        <v>240</v>
      </c>
      <c r="DQ2862" s="5" t="s">
        <v>240</v>
      </c>
      <c r="DR2862" s="5" t="s">
        <v>240</v>
      </c>
      <c r="DS2862" s="5" t="s">
        <v>240</v>
      </c>
      <c r="DV2862" s="5" t="s">
        <v>813</v>
      </c>
      <c r="DW2862" s="5" t="s">
        <v>5020</v>
      </c>
      <c r="HO2862" s="5" t="s">
        <v>312</v>
      </c>
    </row>
    <row r="2863" spans="1:223" x14ac:dyDescent="0.4">
      <c r="A2863" s="5">
        <v>4567</v>
      </c>
      <c r="B2863" s="5">
        <v>1</v>
      </c>
      <c r="C2863" s="5">
        <v>1</v>
      </c>
      <c r="D2863" s="5" t="s">
        <v>810</v>
      </c>
      <c r="E2863" s="5" t="s">
        <v>245</v>
      </c>
      <c r="F2863" s="5" t="s">
        <v>254</v>
      </c>
      <c r="G2863" s="5" t="s">
        <v>240</v>
      </c>
      <c r="H2863" s="6" t="s">
        <v>2820</v>
      </c>
      <c r="I2863" s="5" t="s">
        <v>809</v>
      </c>
      <c r="J2863" s="8">
        <f>2301</f>
        <v>2301</v>
      </c>
      <c r="K2863" s="5" t="s">
        <v>308</v>
      </c>
      <c r="L2863" s="7">
        <f>1</f>
        <v>1</v>
      </c>
      <c r="M2863" s="7">
        <f>1</f>
        <v>1</v>
      </c>
      <c r="N2863" s="5" t="s">
        <v>242</v>
      </c>
      <c r="O2863" s="5">
        <v>1</v>
      </c>
      <c r="P2863" s="5" t="s">
        <v>294</v>
      </c>
      <c r="Q2863" s="5" t="s">
        <v>266</v>
      </c>
      <c r="R2863" s="5" t="s">
        <v>240</v>
      </c>
      <c r="S2863" s="5" t="s">
        <v>240</v>
      </c>
      <c r="T2863" s="5" t="s">
        <v>296</v>
      </c>
      <c r="U2863" s="5" t="s">
        <v>244</v>
      </c>
      <c r="V2863" s="5" t="s">
        <v>240</v>
      </c>
      <c r="Y2863" s="5" t="s">
        <v>240</v>
      </c>
      <c r="Z2863" s="6" t="s">
        <v>298</v>
      </c>
      <c r="AB2863" s="6" t="s">
        <v>240</v>
      </c>
      <c r="AE2863" s="6" t="s">
        <v>299</v>
      </c>
      <c r="AF2863" s="5" t="s">
        <v>248</v>
      </c>
      <c r="AG2863" s="5" t="s">
        <v>249</v>
      </c>
      <c r="AW2863" s="5" t="s">
        <v>251</v>
      </c>
      <c r="AX2863" s="5" t="s">
        <v>240</v>
      </c>
      <c r="AY2863" s="5" t="s">
        <v>253</v>
      </c>
      <c r="AZ2863" s="5" t="s">
        <v>240</v>
      </c>
      <c r="BA2863" s="5" t="s">
        <v>255</v>
      </c>
      <c r="BB2863" s="5" t="s">
        <v>240</v>
      </c>
      <c r="BD2863" s="5" t="s">
        <v>240</v>
      </c>
      <c r="BF2863" s="5" t="s">
        <v>301</v>
      </c>
      <c r="BG2863" s="6" t="s">
        <v>299</v>
      </c>
      <c r="BH2863" s="5" t="s">
        <v>302</v>
      </c>
      <c r="BI2863" s="5" t="s">
        <v>303</v>
      </c>
      <c r="BJ2863" s="5" t="s">
        <v>240</v>
      </c>
      <c r="BK2863" s="8">
        <f>0</f>
        <v>0</v>
      </c>
      <c r="BL2863" s="7">
        <f>0</f>
        <v>0</v>
      </c>
      <c r="BM2863" s="5" t="s">
        <v>258</v>
      </c>
      <c r="BN2863" s="5" t="s">
        <v>259</v>
      </c>
      <c r="CB2863" s="5" t="s">
        <v>240</v>
      </c>
      <c r="CC2863" s="5" t="s">
        <v>240</v>
      </c>
      <c r="CG2863" s="5" t="s">
        <v>304</v>
      </c>
      <c r="CH2863" s="5" t="s">
        <v>305</v>
      </c>
      <c r="CI2863" s="5" t="s">
        <v>240</v>
      </c>
      <c r="CL2863" s="6" t="s">
        <v>261</v>
      </c>
      <c r="CM2863" s="5" t="s">
        <v>240</v>
      </c>
      <c r="CN2863" s="5" t="s">
        <v>263</v>
      </c>
      <c r="CO2863" s="5" t="s">
        <v>240</v>
      </c>
      <c r="CP2863" s="5" t="s">
        <v>240</v>
      </c>
      <c r="CQ2863" s="5">
        <v>0</v>
      </c>
      <c r="CR2863" s="5" t="s">
        <v>306</v>
      </c>
      <c r="CS2863" s="5" t="s">
        <v>307</v>
      </c>
      <c r="CT2863" s="5" t="s">
        <v>307</v>
      </c>
      <c r="CU2863" s="5" t="s">
        <v>260</v>
      </c>
      <c r="CX2863" s="7">
        <f>1</f>
        <v>1</v>
      </c>
      <c r="CY2863" s="7">
        <f>0</f>
        <v>0</v>
      </c>
      <c r="DA2863" s="7">
        <f>0</f>
        <v>0</v>
      </c>
      <c r="DC2863" s="5" t="s">
        <v>309</v>
      </c>
      <c r="DD2863" s="5" t="s">
        <v>240</v>
      </c>
      <c r="DF2863" s="5" t="s">
        <v>309</v>
      </c>
      <c r="DG2863" s="7">
        <f>1301</f>
        <v>1301</v>
      </c>
      <c r="DI2863" s="5" t="s">
        <v>240</v>
      </c>
      <c r="DJ2863" s="5" t="s">
        <v>240</v>
      </c>
      <c r="DK2863" s="5" t="s">
        <v>240</v>
      </c>
      <c r="DL2863" s="5" t="s">
        <v>240</v>
      </c>
      <c r="DP2863" s="5" t="s">
        <v>240</v>
      </c>
      <c r="DQ2863" s="5" t="s">
        <v>240</v>
      </c>
      <c r="DR2863" s="5" t="s">
        <v>240</v>
      </c>
      <c r="DS2863" s="5" t="s">
        <v>240</v>
      </c>
      <c r="DV2863" s="5" t="s">
        <v>310</v>
      </c>
      <c r="DW2863" s="5" t="s">
        <v>3781</v>
      </c>
      <c r="HO2863" s="5" t="s">
        <v>312</v>
      </c>
    </row>
    <row r="2864" spans="1:223" x14ac:dyDescent="0.4">
      <c r="A2864" s="5">
        <v>4568</v>
      </c>
      <c r="B2864" s="5">
        <v>1</v>
      </c>
      <c r="C2864" s="5">
        <v>1</v>
      </c>
      <c r="D2864" s="5" t="s">
        <v>810</v>
      </c>
      <c r="E2864" s="5" t="s">
        <v>245</v>
      </c>
      <c r="F2864" s="5" t="s">
        <v>254</v>
      </c>
      <c r="G2864" s="5" t="s">
        <v>240</v>
      </c>
      <c r="H2864" s="6" t="s">
        <v>2818</v>
      </c>
      <c r="I2864" s="5" t="s">
        <v>809</v>
      </c>
      <c r="J2864" s="8">
        <f>323</f>
        <v>323</v>
      </c>
      <c r="K2864" s="5" t="s">
        <v>308</v>
      </c>
      <c r="L2864" s="7">
        <f>1</f>
        <v>1</v>
      </c>
      <c r="M2864" s="7">
        <f>1</f>
        <v>1</v>
      </c>
      <c r="N2864" s="5" t="s">
        <v>242</v>
      </c>
      <c r="O2864" s="5">
        <v>1</v>
      </c>
      <c r="P2864" s="5" t="s">
        <v>294</v>
      </c>
      <c r="Q2864" s="5" t="s">
        <v>266</v>
      </c>
      <c r="R2864" s="5" t="s">
        <v>240</v>
      </c>
      <c r="S2864" s="5" t="s">
        <v>240</v>
      </c>
      <c r="T2864" s="5" t="s">
        <v>296</v>
      </c>
      <c r="U2864" s="5" t="s">
        <v>244</v>
      </c>
      <c r="V2864" s="5" t="s">
        <v>240</v>
      </c>
      <c r="Y2864" s="5" t="s">
        <v>240</v>
      </c>
      <c r="Z2864" s="6" t="s">
        <v>298</v>
      </c>
      <c r="AB2864" s="6" t="s">
        <v>240</v>
      </c>
      <c r="AE2864" s="6" t="s">
        <v>299</v>
      </c>
      <c r="AF2864" s="5" t="s">
        <v>248</v>
      </c>
      <c r="AG2864" s="5" t="s">
        <v>249</v>
      </c>
      <c r="AW2864" s="5" t="s">
        <v>251</v>
      </c>
      <c r="AX2864" s="5" t="s">
        <v>240</v>
      </c>
      <c r="AY2864" s="5" t="s">
        <v>253</v>
      </c>
      <c r="AZ2864" s="5" t="s">
        <v>240</v>
      </c>
      <c r="BA2864" s="5" t="s">
        <v>255</v>
      </c>
      <c r="BB2864" s="5" t="s">
        <v>240</v>
      </c>
      <c r="BD2864" s="5" t="s">
        <v>240</v>
      </c>
      <c r="BF2864" s="5" t="s">
        <v>301</v>
      </c>
      <c r="BG2864" s="6" t="s">
        <v>299</v>
      </c>
      <c r="BH2864" s="5" t="s">
        <v>302</v>
      </c>
      <c r="BI2864" s="5" t="s">
        <v>303</v>
      </c>
      <c r="BJ2864" s="5" t="s">
        <v>240</v>
      </c>
      <c r="BK2864" s="8">
        <f>0</f>
        <v>0</v>
      </c>
      <c r="BL2864" s="7">
        <f>0</f>
        <v>0</v>
      </c>
      <c r="BM2864" s="5" t="s">
        <v>258</v>
      </c>
      <c r="BN2864" s="5" t="s">
        <v>259</v>
      </c>
      <c r="CB2864" s="5" t="s">
        <v>240</v>
      </c>
      <c r="CC2864" s="5" t="s">
        <v>240</v>
      </c>
      <c r="CG2864" s="5" t="s">
        <v>304</v>
      </c>
      <c r="CH2864" s="5" t="s">
        <v>305</v>
      </c>
      <c r="CI2864" s="5" t="s">
        <v>240</v>
      </c>
      <c r="CL2864" s="6" t="s">
        <v>261</v>
      </c>
      <c r="CM2864" s="5" t="s">
        <v>240</v>
      </c>
      <c r="CN2864" s="5" t="s">
        <v>263</v>
      </c>
      <c r="CO2864" s="5" t="s">
        <v>240</v>
      </c>
      <c r="CP2864" s="5" t="s">
        <v>240</v>
      </c>
      <c r="CQ2864" s="5">
        <v>0</v>
      </c>
      <c r="CR2864" s="5" t="s">
        <v>306</v>
      </c>
      <c r="CS2864" s="5" t="s">
        <v>307</v>
      </c>
      <c r="CT2864" s="5" t="s">
        <v>307</v>
      </c>
      <c r="CU2864" s="5" t="s">
        <v>260</v>
      </c>
      <c r="CX2864" s="7">
        <f>1</f>
        <v>1</v>
      </c>
      <c r="CY2864" s="7">
        <f>0</f>
        <v>0</v>
      </c>
      <c r="DA2864" s="7">
        <f>0</f>
        <v>0</v>
      </c>
      <c r="DC2864" s="5" t="s">
        <v>309</v>
      </c>
      <c r="DD2864" s="5" t="s">
        <v>240</v>
      </c>
      <c r="DF2864" s="5" t="s">
        <v>309</v>
      </c>
      <c r="DG2864" s="7">
        <f>2795</f>
        <v>2795</v>
      </c>
      <c r="DI2864" s="5" t="s">
        <v>240</v>
      </c>
      <c r="DJ2864" s="5" t="s">
        <v>240</v>
      </c>
      <c r="DK2864" s="5" t="s">
        <v>240</v>
      </c>
      <c r="DL2864" s="5" t="s">
        <v>240</v>
      </c>
      <c r="DP2864" s="5" t="s">
        <v>240</v>
      </c>
      <c r="DQ2864" s="5" t="s">
        <v>240</v>
      </c>
      <c r="DR2864" s="5" t="s">
        <v>240</v>
      </c>
      <c r="DS2864" s="5" t="s">
        <v>240</v>
      </c>
      <c r="DV2864" s="5" t="s">
        <v>310</v>
      </c>
      <c r="DW2864" s="5" t="s">
        <v>3783</v>
      </c>
      <c r="HO2864" s="5" t="s">
        <v>312</v>
      </c>
    </row>
    <row r="2865" spans="1:223" x14ac:dyDescent="0.4">
      <c r="A2865" s="5">
        <v>4569</v>
      </c>
      <c r="B2865" s="5">
        <v>1</v>
      </c>
      <c r="C2865" s="5">
        <v>1</v>
      </c>
      <c r="D2865" s="5" t="s">
        <v>810</v>
      </c>
      <c r="E2865" s="5" t="s">
        <v>245</v>
      </c>
      <c r="F2865" s="5" t="s">
        <v>254</v>
      </c>
      <c r="G2865" s="5" t="s">
        <v>240</v>
      </c>
      <c r="H2865" s="6" t="s">
        <v>2816</v>
      </c>
      <c r="I2865" s="5" t="s">
        <v>809</v>
      </c>
      <c r="J2865" s="8">
        <f>2452</f>
        <v>2452</v>
      </c>
      <c r="K2865" s="5" t="s">
        <v>308</v>
      </c>
      <c r="L2865" s="7">
        <f>1</f>
        <v>1</v>
      </c>
      <c r="M2865" s="7">
        <f>1</f>
        <v>1</v>
      </c>
      <c r="N2865" s="5" t="s">
        <v>242</v>
      </c>
      <c r="O2865" s="5">
        <v>1</v>
      </c>
      <c r="P2865" s="5" t="s">
        <v>294</v>
      </c>
      <c r="Q2865" s="5" t="s">
        <v>266</v>
      </c>
      <c r="R2865" s="5" t="s">
        <v>240</v>
      </c>
      <c r="S2865" s="5" t="s">
        <v>240</v>
      </c>
      <c r="T2865" s="5" t="s">
        <v>296</v>
      </c>
      <c r="U2865" s="5" t="s">
        <v>244</v>
      </c>
      <c r="V2865" s="5" t="s">
        <v>240</v>
      </c>
      <c r="Y2865" s="5" t="s">
        <v>240</v>
      </c>
      <c r="Z2865" s="6" t="s">
        <v>298</v>
      </c>
      <c r="AB2865" s="6" t="s">
        <v>240</v>
      </c>
      <c r="AE2865" s="6" t="s">
        <v>299</v>
      </c>
      <c r="AF2865" s="5" t="s">
        <v>248</v>
      </c>
      <c r="AG2865" s="5" t="s">
        <v>249</v>
      </c>
      <c r="AW2865" s="5" t="s">
        <v>251</v>
      </c>
      <c r="AX2865" s="5" t="s">
        <v>240</v>
      </c>
      <c r="AY2865" s="5" t="s">
        <v>253</v>
      </c>
      <c r="AZ2865" s="5" t="s">
        <v>240</v>
      </c>
      <c r="BA2865" s="5" t="s">
        <v>255</v>
      </c>
      <c r="BB2865" s="5" t="s">
        <v>240</v>
      </c>
      <c r="BD2865" s="5" t="s">
        <v>240</v>
      </c>
      <c r="BF2865" s="5" t="s">
        <v>301</v>
      </c>
      <c r="BG2865" s="6" t="s">
        <v>299</v>
      </c>
      <c r="BH2865" s="5" t="s">
        <v>302</v>
      </c>
      <c r="BI2865" s="5" t="s">
        <v>303</v>
      </c>
      <c r="BJ2865" s="5" t="s">
        <v>240</v>
      </c>
      <c r="BK2865" s="8">
        <f>0</f>
        <v>0</v>
      </c>
      <c r="BL2865" s="7">
        <f>0</f>
        <v>0</v>
      </c>
      <c r="BM2865" s="5" t="s">
        <v>258</v>
      </c>
      <c r="BN2865" s="5" t="s">
        <v>259</v>
      </c>
      <c r="CB2865" s="5" t="s">
        <v>240</v>
      </c>
      <c r="CC2865" s="5" t="s">
        <v>240</v>
      </c>
      <c r="CG2865" s="5" t="s">
        <v>304</v>
      </c>
      <c r="CH2865" s="5" t="s">
        <v>305</v>
      </c>
      <c r="CI2865" s="5" t="s">
        <v>240</v>
      </c>
      <c r="CL2865" s="6" t="s">
        <v>261</v>
      </c>
      <c r="CM2865" s="5" t="s">
        <v>240</v>
      </c>
      <c r="CN2865" s="5" t="s">
        <v>263</v>
      </c>
      <c r="CO2865" s="5" t="s">
        <v>240</v>
      </c>
      <c r="CP2865" s="5" t="s">
        <v>240</v>
      </c>
      <c r="CQ2865" s="5">
        <v>0</v>
      </c>
      <c r="CR2865" s="5" t="s">
        <v>306</v>
      </c>
      <c r="CS2865" s="5" t="s">
        <v>307</v>
      </c>
      <c r="CT2865" s="5" t="s">
        <v>307</v>
      </c>
      <c r="CU2865" s="5" t="s">
        <v>260</v>
      </c>
      <c r="CX2865" s="7">
        <f>1</f>
        <v>1</v>
      </c>
      <c r="CY2865" s="7">
        <f>0</f>
        <v>0</v>
      </c>
      <c r="DA2865" s="7">
        <f>0</f>
        <v>0</v>
      </c>
      <c r="DC2865" s="5" t="s">
        <v>309</v>
      </c>
      <c r="DD2865" s="5" t="s">
        <v>240</v>
      </c>
      <c r="DF2865" s="5" t="s">
        <v>309</v>
      </c>
      <c r="DG2865" s="7">
        <f>4250</f>
        <v>4250</v>
      </c>
      <c r="DI2865" s="5" t="s">
        <v>240</v>
      </c>
      <c r="DJ2865" s="5" t="s">
        <v>240</v>
      </c>
      <c r="DK2865" s="5" t="s">
        <v>240</v>
      </c>
      <c r="DL2865" s="5" t="s">
        <v>240</v>
      </c>
      <c r="DP2865" s="5" t="s">
        <v>240</v>
      </c>
      <c r="DQ2865" s="5" t="s">
        <v>240</v>
      </c>
      <c r="DR2865" s="5" t="s">
        <v>240</v>
      </c>
      <c r="DS2865" s="5" t="s">
        <v>240</v>
      </c>
      <c r="DV2865" s="5" t="s">
        <v>310</v>
      </c>
      <c r="DW2865" s="5" t="s">
        <v>3785</v>
      </c>
      <c r="HO2865" s="5" t="s">
        <v>312</v>
      </c>
    </row>
    <row r="2866" spans="1:223" x14ac:dyDescent="0.4">
      <c r="A2866" s="5">
        <v>4570</v>
      </c>
      <c r="B2866" s="5">
        <v>1</v>
      </c>
      <c r="C2866" s="5">
        <v>1</v>
      </c>
      <c r="D2866" s="5" t="s">
        <v>810</v>
      </c>
      <c r="E2866" s="5" t="s">
        <v>245</v>
      </c>
      <c r="F2866" s="5" t="s">
        <v>254</v>
      </c>
      <c r="G2866" s="5" t="s">
        <v>240</v>
      </c>
      <c r="H2866" s="6" t="s">
        <v>2814</v>
      </c>
      <c r="I2866" s="5" t="s">
        <v>809</v>
      </c>
      <c r="J2866" s="8">
        <f>192</f>
        <v>192</v>
      </c>
      <c r="K2866" s="5" t="s">
        <v>308</v>
      </c>
      <c r="L2866" s="7">
        <f>1</f>
        <v>1</v>
      </c>
      <c r="M2866" s="7">
        <f>1</f>
        <v>1</v>
      </c>
      <c r="N2866" s="5" t="s">
        <v>242</v>
      </c>
      <c r="O2866" s="5">
        <v>1</v>
      </c>
      <c r="P2866" s="5" t="s">
        <v>294</v>
      </c>
      <c r="Q2866" s="5" t="s">
        <v>266</v>
      </c>
      <c r="R2866" s="5" t="s">
        <v>240</v>
      </c>
      <c r="S2866" s="5" t="s">
        <v>240</v>
      </c>
      <c r="T2866" s="5" t="s">
        <v>296</v>
      </c>
      <c r="U2866" s="5" t="s">
        <v>244</v>
      </c>
      <c r="V2866" s="5" t="s">
        <v>240</v>
      </c>
      <c r="Y2866" s="5" t="s">
        <v>240</v>
      </c>
      <c r="Z2866" s="6" t="s">
        <v>298</v>
      </c>
      <c r="AB2866" s="6" t="s">
        <v>240</v>
      </c>
      <c r="AE2866" s="6" t="s">
        <v>299</v>
      </c>
      <c r="AF2866" s="5" t="s">
        <v>248</v>
      </c>
      <c r="AG2866" s="5" t="s">
        <v>249</v>
      </c>
      <c r="AW2866" s="5" t="s">
        <v>251</v>
      </c>
      <c r="AX2866" s="5" t="s">
        <v>240</v>
      </c>
      <c r="AY2866" s="5" t="s">
        <v>253</v>
      </c>
      <c r="AZ2866" s="5" t="s">
        <v>240</v>
      </c>
      <c r="BA2866" s="5" t="s">
        <v>255</v>
      </c>
      <c r="BB2866" s="5" t="s">
        <v>240</v>
      </c>
      <c r="BD2866" s="5" t="s">
        <v>240</v>
      </c>
      <c r="BF2866" s="5" t="s">
        <v>301</v>
      </c>
      <c r="BG2866" s="6" t="s">
        <v>299</v>
      </c>
      <c r="BH2866" s="5" t="s">
        <v>302</v>
      </c>
      <c r="BI2866" s="5" t="s">
        <v>303</v>
      </c>
      <c r="BJ2866" s="5" t="s">
        <v>240</v>
      </c>
      <c r="BK2866" s="8">
        <f>0</f>
        <v>0</v>
      </c>
      <c r="BL2866" s="7">
        <f>0</f>
        <v>0</v>
      </c>
      <c r="BM2866" s="5" t="s">
        <v>258</v>
      </c>
      <c r="BN2866" s="5" t="s">
        <v>259</v>
      </c>
      <c r="CB2866" s="5" t="s">
        <v>240</v>
      </c>
      <c r="CC2866" s="5" t="s">
        <v>240</v>
      </c>
      <c r="CG2866" s="5" t="s">
        <v>304</v>
      </c>
      <c r="CH2866" s="5" t="s">
        <v>305</v>
      </c>
      <c r="CI2866" s="5" t="s">
        <v>240</v>
      </c>
      <c r="CL2866" s="6" t="s">
        <v>261</v>
      </c>
      <c r="CM2866" s="5" t="s">
        <v>240</v>
      </c>
      <c r="CN2866" s="5" t="s">
        <v>263</v>
      </c>
      <c r="CO2866" s="5" t="s">
        <v>240</v>
      </c>
      <c r="CP2866" s="5" t="s">
        <v>240</v>
      </c>
      <c r="CQ2866" s="5">
        <v>0</v>
      </c>
      <c r="CR2866" s="5" t="s">
        <v>306</v>
      </c>
      <c r="CS2866" s="5" t="s">
        <v>307</v>
      </c>
      <c r="CT2866" s="5" t="s">
        <v>307</v>
      </c>
      <c r="CU2866" s="5" t="s">
        <v>260</v>
      </c>
      <c r="CX2866" s="7">
        <f>1</f>
        <v>1</v>
      </c>
      <c r="CY2866" s="7">
        <f>0</f>
        <v>0</v>
      </c>
      <c r="DA2866" s="7">
        <f>0</f>
        <v>0</v>
      </c>
      <c r="DC2866" s="5" t="s">
        <v>309</v>
      </c>
      <c r="DD2866" s="5" t="s">
        <v>240</v>
      </c>
      <c r="DF2866" s="5" t="s">
        <v>309</v>
      </c>
      <c r="DG2866" s="7">
        <f>1701</f>
        <v>1701</v>
      </c>
      <c r="DI2866" s="5" t="s">
        <v>240</v>
      </c>
      <c r="DJ2866" s="5" t="s">
        <v>240</v>
      </c>
      <c r="DK2866" s="5" t="s">
        <v>240</v>
      </c>
      <c r="DL2866" s="5" t="s">
        <v>240</v>
      </c>
      <c r="DP2866" s="5" t="s">
        <v>240</v>
      </c>
      <c r="DQ2866" s="5" t="s">
        <v>240</v>
      </c>
      <c r="DR2866" s="5" t="s">
        <v>240</v>
      </c>
      <c r="DS2866" s="5" t="s">
        <v>240</v>
      </c>
      <c r="DV2866" s="5" t="s">
        <v>310</v>
      </c>
      <c r="DW2866" s="5" t="s">
        <v>3787</v>
      </c>
      <c r="HO2866" s="5" t="s">
        <v>312</v>
      </c>
    </row>
    <row r="2867" spans="1:223" x14ac:dyDescent="0.4">
      <c r="A2867" s="5">
        <v>4571</v>
      </c>
      <c r="B2867" s="5">
        <v>1</v>
      </c>
      <c r="C2867" s="5">
        <v>1</v>
      </c>
      <c r="D2867" s="5" t="s">
        <v>810</v>
      </c>
      <c r="E2867" s="5" t="s">
        <v>245</v>
      </c>
      <c r="F2867" s="5" t="s">
        <v>254</v>
      </c>
      <c r="G2867" s="5" t="s">
        <v>240</v>
      </c>
      <c r="H2867" s="6" t="s">
        <v>2812</v>
      </c>
      <c r="I2867" s="5" t="s">
        <v>809</v>
      </c>
      <c r="J2867" s="8">
        <f>914</f>
        <v>914</v>
      </c>
      <c r="K2867" s="5" t="s">
        <v>308</v>
      </c>
      <c r="L2867" s="7">
        <f>1</f>
        <v>1</v>
      </c>
      <c r="M2867" s="7">
        <f>1</f>
        <v>1</v>
      </c>
      <c r="N2867" s="5" t="s">
        <v>242</v>
      </c>
      <c r="O2867" s="5">
        <v>1</v>
      </c>
      <c r="P2867" s="5" t="s">
        <v>294</v>
      </c>
      <c r="Q2867" s="5" t="s">
        <v>266</v>
      </c>
      <c r="R2867" s="5" t="s">
        <v>240</v>
      </c>
      <c r="S2867" s="5" t="s">
        <v>240</v>
      </c>
      <c r="T2867" s="5" t="s">
        <v>296</v>
      </c>
      <c r="U2867" s="5" t="s">
        <v>244</v>
      </c>
      <c r="V2867" s="5" t="s">
        <v>240</v>
      </c>
      <c r="Y2867" s="5" t="s">
        <v>240</v>
      </c>
      <c r="Z2867" s="6" t="s">
        <v>298</v>
      </c>
      <c r="AB2867" s="6" t="s">
        <v>240</v>
      </c>
      <c r="AE2867" s="6" t="s">
        <v>299</v>
      </c>
      <c r="AF2867" s="5" t="s">
        <v>248</v>
      </c>
      <c r="AG2867" s="5" t="s">
        <v>249</v>
      </c>
      <c r="AW2867" s="5" t="s">
        <v>251</v>
      </c>
      <c r="AX2867" s="5" t="s">
        <v>240</v>
      </c>
      <c r="AY2867" s="5" t="s">
        <v>253</v>
      </c>
      <c r="AZ2867" s="5" t="s">
        <v>240</v>
      </c>
      <c r="BA2867" s="5" t="s">
        <v>255</v>
      </c>
      <c r="BB2867" s="5" t="s">
        <v>240</v>
      </c>
      <c r="BD2867" s="5" t="s">
        <v>240</v>
      </c>
      <c r="BF2867" s="5" t="s">
        <v>301</v>
      </c>
      <c r="BG2867" s="6" t="s">
        <v>299</v>
      </c>
      <c r="BH2867" s="5" t="s">
        <v>302</v>
      </c>
      <c r="BI2867" s="5" t="s">
        <v>303</v>
      </c>
      <c r="BJ2867" s="5" t="s">
        <v>240</v>
      </c>
      <c r="BK2867" s="8">
        <f>0</f>
        <v>0</v>
      </c>
      <c r="BL2867" s="7">
        <f>0</f>
        <v>0</v>
      </c>
      <c r="BM2867" s="5" t="s">
        <v>258</v>
      </c>
      <c r="BN2867" s="5" t="s">
        <v>259</v>
      </c>
      <c r="CB2867" s="5" t="s">
        <v>240</v>
      </c>
      <c r="CC2867" s="5" t="s">
        <v>240</v>
      </c>
      <c r="CG2867" s="5" t="s">
        <v>304</v>
      </c>
      <c r="CH2867" s="5" t="s">
        <v>305</v>
      </c>
      <c r="CI2867" s="5" t="s">
        <v>240</v>
      </c>
      <c r="CL2867" s="6" t="s">
        <v>261</v>
      </c>
      <c r="CM2867" s="5" t="s">
        <v>240</v>
      </c>
      <c r="CN2867" s="5" t="s">
        <v>263</v>
      </c>
      <c r="CO2867" s="5" t="s">
        <v>240</v>
      </c>
      <c r="CP2867" s="5" t="s">
        <v>240</v>
      </c>
      <c r="CQ2867" s="5">
        <v>0</v>
      </c>
      <c r="CR2867" s="5" t="s">
        <v>306</v>
      </c>
      <c r="CS2867" s="5" t="s">
        <v>307</v>
      </c>
      <c r="CT2867" s="5" t="s">
        <v>307</v>
      </c>
      <c r="CU2867" s="5" t="s">
        <v>260</v>
      </c>
      <c r="CX2867" s="7">
        <f>1</f>
        <v>1</v>
      </c>
      <c r="CY2867" s="7">
        <f>0</f>
        <v>0</v>
      </c>
      <c r="DA2867" s="7">
        <f>0</f>
        <v>0</v>
      </c>
      <c r="DC2867" s="5" t="s">
        <v>309</v>
      </c>
      <c r="DD2867" s="5" t="s">
        <v>240</v>
      </c>
      <c r="DF2867" s="5" t="s">
        <v>309</v>
      </c>
      <c r="DG2867" s="7">
        <f>1728</f>
        <v>1728</v>
      </c>
      <c r="DI2867" s="5" t="s">
        <v>240</v>
      </c>
      <c r="DJ2867" s="5" t="s">
        <v>240</v>
      </c>
      <c r="DK2867" s="5" t="s">
        <v>240</v>
      </c>
      <c r="DL2867" s="5" t="s">
        <v>240</v>
      </c>
      <c r="DP2867" s="5" t="s">
        <v>240</v>
      </c>
      <c r="DQ2867" s="5" t="s">
        <v>240</v>
      </c>
      <c r="DR2867" s="5" t="s">
        <v>240</v>
      </c>
      <c r="DS2867" s="5" t="s">
        <v>240</v>
      </c>
      <c r="DV2867" s="5" t="s">
        <v>310</v>
      </c>
      <c r="DW2867" s="5" t="s">
        <v>3789</v>
      </c>
      <c r="HO2867" s="5" t="s">
        <v>312</v>
      </c>
    </row>
    <row r="2868" spans="1:223" x14ac:dyDescent="0.4">
      <c r="A2868" s="5">
        <v>4572</v>
      </c>
      <c r="B2868" s="5">
        <v>1</v>
      </c>
      <c r="C2868" s="5">
        <v>1</v>
      </c>
      <c r="D2868" s="5" t="s">
        <v>810</v>
      </c>
      <c r="E2868" s="5" t="s">
        <v>245</v>
      </c>
      <c r="F2868" s="5" t="s">
        <v>254</v>
      </c>
      <c r="G2868" s="5" t="s">
        <v>240</v>
      </c>
      <c r="H2868" s="6" t="s">
        <v>2810</v>
      </c>
      <c r="I2868" s="5" t="s">
        <v>809</v>
      </c>
      <c r="J2868" s="8">
        <f>2560</f>
        <v>2560</v>
      </c>
      <c r="K2868" s="5" t="s">
        <v>308</v>
      </c>
      <c r="L2868" s="7">
        <f>1</f>
        <v>1</v>
      </c>
      <c r="M2868" s="7">
        <f>1</f>
        <v>1</v>
      </c>
      <c r="N2868" s="5" t="s">
        <v>242</v>
      </c>
      <c r="O2868" s="5">
        <v>1</v>
      </c>
      <c r="P2868" s="5" t="s">
        <v>294</v>
      </c>
      <c r="Q2868" s="5" t="s">
        <v>266</v>
      </c>
      <c r="R2868" s="5" t="s">
        <v>240</v>
      </c>
      <c r="S2868" s="5" t="s">
        <v>240</v>
      </c>
      <c r="T2868" s="5" t="s">
        <v>296</v>
      </c>
      <c r="U2868" s="5" t="s">
        <v>244</v>
      </c>
      <c r="V2868" s="5" t="s">
        <v>240</v>
      </c>
      <c r="Y2868" s="5" t="s">
        <v>240</v>
      </c>
      <c r="Z2868" s="6" t="s">
        <v>298</v>
      </c>
      <c r="AB2868" s="6" t="s">
        <v>240</v>
      </c>
      <c r="AE2868" s="6" t="s">
        <v>299</v>
      </c>
      <c r="AF2868" s="5" t="s">
        <v>248</v>
      </c>
      <c r="AG2868" s="5" t="s">
        <v>249</v>
      </c>
      <c r="AW2868" s="5" t="s">
        <v>251</v>
      </c>
      <c r="AX2868" s="5" t="s">
        <v>240</v>
      </c>
      <c r="AY2868" s="5" t="s">
        <v>253</v>
      </c>
      <c r="AZ2868" s="5" t="s">
        <v>240</v>
      </c>
      <c r="BA2868" s="5" t="s">
        <v>255</v>
      </c>
      <c r="BB2868" s="5" t="s">
        <v>240</v>
      </c>
      <c r="BD2868" s="5" t="s">
        <v>240</v>
      </c>
      <c r="BF2868" s="5" t="s">
        <v>301</v>
      </c>
      <c r="BG2868" s="6" t="s">
        <v>299</v>
      </c>
      <c r="BH2868" s="5" t="s">
        <v>302</v>
      </c>
      <c r="BI2868" s="5" t="s">
        <v>303</v>
      </c>
      <c r="BJ2868" s="5" t="s">
        <v>240</v>
      </c>
      <c r="BK2868" s="8">
        <f>0</f>
        <v>0</v>
      </c>
      <c r="BL2868" s="7">
        <f>0</f>
        <v>0</v>
      </c>
      <c r="BM2868" s="5" t="s">
        <v>258</v>
      </c>
      <c r="BN2868" s="5" t="s">
        <v>259</v>
      </c>
      <c r="CB2868" s="5" t="s">
        <v>240</v>
      </c>
      <c r="CC2868" s="5" t="s">
        <v>240</v>
      </c>
      <c r="CG2868" s="5" t="s">
        <v>304</v>
      </c>
      <c r="CH2868" s="5" t="s">
        <v>305</v>
      </c>
      <c r="CI2868" s="5" t="s">
        <v>240</v>
      </c>
      <c r="CL2868" s="6" t="s">
        <v>261</v>
      </c>
      <c r="CM2868" s="5" t="s">
        <v>240</v>
      </c>
      <c r="CN2868" s="5" t="s">
        <v>263</v>
      </c>
      <c r="CO2868" s="5" t="s">
        <v>240</v>
      </c>
      <c r="CP2868" s="5" t="s">
        <v>240</v>
      </c>
      <c r="CQ2868" s="5">
        <v>0</v>
      </c>
      <c r="CR2868" s="5" t="s">
        <v>306</v>
      </c>
      <c r="CS2868" s="5" t="s">
        <v>307</v>
      </c>
      <c r="CT2868" s="5" t="s">
        <v>307</v>
      </c>
      <c r="CU2868" s="5" t="s">
        <v>260</v>
      </c>
      <c r="CX2868" s="7">
        <f>1</f>
        <v>1</v>
      </c>
      <c r="CY2868" s="7">
        <f>0</f>
        <v>0</v>
      </c>
      <c r="DA2868" s="7">
        <f>0</f>
        <v>0</v>
      </c>
      <c r="DC2868" s="5" t="s">
        <v>309</v>
      </c>
      <c r="DD2868" s="5" t="s">
        <v>240</v>
      </c>
      <c r="DF2868" s="5" t="s">
        <v>309</v>
      </c>
      <c r="DG2868" s="7">
        <f>1669</f>
        <v>1669</v>
      </c>
      <c r="DI2868" s="5" t="s">
        <v>240</v>
      </c>
      <c r="DJ2868" s="5" t="s">
        <v>240</v>
      </c>
      <c r="DK2868" s="5" t="s">
        <v>240</v>
      </c>
      <c r="DL2868" s="5" t="s">
        <v>240</v>
      </c>
      <c r="DP2868" s="5" t="s">
        <v>240</v>
      </c>
      <c r="DQ2868" s="5" t="s">
        <v>240</v>
      </c>
      <c r="DR2868" s="5" t="s">
        <v>240</v>
      </c>
      <c r="DS2868" s="5" t="s">
        <v>240</v>
      </c>
      <c r="DV2868" s="5" t="s">
        <v>310</v>
      </c>
      <c r="DW2868" s="5" t="s">
        <v>3791</v>
      </c>
      <c r="HO2868" s="5" t="s">
        <v>312</v>
      </c>
    </row>
    <row r="2869" spans="1:223" x14ac:dyDescent="0.4">
      <c r="A2869" s="5">
        <v>4573</v>
      </c>
      <c r="B2869" s="5">
        <v>1</v>
      </c>
      <c r="C2869" s="5">
        <v>1</v>
      </c>
      <c r="D2869" s="5" t="s">
        <v>810</v>
      </c>
      <c r="E2869" s="5" t="s">
        <v>245</v>
      </c>
      <c r="F2869" s="5" t="s">
        <v>254</v>
      </c>
      <c r="G2869" s="5" t="s">
        <v>240</v>
      </c>
      <c r="H2869" s="6" t="s">
        <v>2808</v>
      </c>
      <c r="I2869" s="5" t="s">
        <v>809</v>
      </c>
      <c r="J2869" s="8">
        <f>976</f>
        <v>976</v>
      </c>
      <c r="K2869" s="5" t="s">
        <v>308</v>
      </c>
      <c r="L2869" s="7">
        <f>1</f>
        <v>1</v>
      </c>
      <c r="M2869" s="7">
        <f>1</f>
        <v>1</v>
      </c>
      <c r="N2869" s="5" t="s">
        <v>242</v>
      </c>
      <c r="O2869" s="5">
        <v>1</v>
      </c>
      <c r="P2869" s="5" t="s">
        <v>294</v>
      </c>
      <c r="Q2869" s="5" t="s">
        <v>266</v>
      </c>
      <c r="R2869" s="5" t="s">
        <v>240</v>
      </c>
      <c r="S2869" s="5" t="s">
        <v>240</v>
      </c>
      <c r="T2869" s="5" t="s">
        <v>296</v>
      </c>
      <c r="U2869" s="5" t="s">
        <v>244</v>
      </c>
      <c r="V2869" s="5" t="s">
        <v>240</v>
      </c>
      <c r="Y2869" s="5" t="s">
        <v>240</v>
      </c>
      <c r="Z2869" s="6" t="s">
        <v>298</v>
      </c>
      <c r="AB2869" s="6" t="s">
        <v>240</v>
      </c>
      <c r="AE2869" s="6" t="s">
        <v>299</v>
      </c>
      <c r="AF2869" s="5" t="s">
        <v>248</v>
      </c>
      <c r="AG2869" s="5" t="s">
        <v>249</v>
      </c>
      <c r="AW2869" s="5" t="s">
        <v>251</v>
      </c>
      <c r="AX2869" s="5" t="s">
        <v>240</v>
      </c>
      <c r="AY2869" s="5" t="s">
        <v>253</v>
      </c>
      <c r="AZ2869" s="5" t="s">
        <v>240</v>
      </c>
      <c r="BA2869" s="5" t="s">
        <v>255</v>
      </c>
      <c r="BB2869" s="5" t="s">
        <v>240</v>
      </c>
      <c r="BD2869" s="5" t="s">
        <v>240</v>
      </c>
      <c r="BF2869" s="5" t="s">
        <v>301</v>
      </c>
      <c r="BG2869" s="6" t="s">
        <v>299</v>
      </c>
      <c r="BH2869" s="5" t="s">
        <v>302</v>
      </c>
      <c r="BI2869" s="5" t="s">
        <v>303</v>
      </c>
      <c r="BJ2869" s="5" t="s">
        <v>240</v>
      </c>
      <c r="BK2869" s="8">
        <f>0</f>
        <v>0</v>
      </c>
      <c r="BL2869" s="7">
        <f>0</f>
        <v>0</v>
      </c>
      <c r="BM2869" s="5" t="s">
        <v>258</v>
      </c>
      <c r="BN2869" s="5" t="s">
        <v>259</v>
      </c>
      <c r="CB2869" s="5" t="s">
        <v>240</v>
      </c>
      <c r="CC2869" s="5" t="s">
        <v>240</v>
      </c>
      <c r="CG2869" s="5" t="s">
        <v>304</v>
      </c>
      <c r="CH2869" s="5" t="s">
        <v>305</v>
      </c>
      <c r="CI2869" s="5" t="s">
        <v>240</v>
      </c>
      <c r="CL2869" s="6" t="s">
        <v>261</v>
      </c>
      <c r="CM2869" s="5" t="s">
        <v>240</v>
      </c>
      <c r="CN2869" s="5" t="s">
        <v>263</v>
      </c>
      <c r="CO2869" s="5" t="s">
        <v>240</v>
      </c>
      <c r="CP2869" s="5" t="s">
        <v>240</v>
      </c>
      <c r="CQ2869" s="5">
        <v>0</v>
      </c>
      <c r="CR2869" s="5" t="s">
        <v>306</v>
      </c>
      <c r="CS2869" s="5" t="s">
        <v>307</v>
      </c>
      <c r="CT2869" s="5" t="s">
        <v>307</v>
      </c>
      <c r="CU2869" s="5" t="s">
        <v>260</v>
      </c>
      <c r="CX2869" s="7">
        <f>1</f>
        <v>1</v>
      </c>
      <c r="CY2869" s="7">
        <f>0</f>
        <v>0</v>
      </c>
      <c r="DA2869" s="7">
        <f>0</f>
        <v>0</v>
      </c>
      <c r="DC2869" s="5" t="s">
        <v>309</v>
      </c>
      <c r="DD2869" s="5" t="s">
        <v>240</v>
      </c>
      <c r="DF2869" s="5" t="s">
        <v>309</v>
      </c>
      <c r="DG2869" s="7">
        <f>4620</f>
        <v>4620</v>
      </c>
      <c r="DI2869" s="5" t="s">
        <v>240</v>
      </c>
      <c r="DJ2869" s="5" t="s">
        <v>240</v>
      </c>
      <c r="DK2869" s="5" t="s">
        <v>240</v>
      </c>
      <c r="DL2869" s="5" t="s">
        <v>240</v>
      </c>
      <c r="DP2869" s="5" t="s">
        <v>240</v>
      </c>
      <c r="DQ2869" s="5" t="s">
        <v>240</v>
      </c>
      <c r="DR2869" s="5" t="s">
        <v>240</v>
      </c>
      <c r="DS2869" s="5" t="s">
        <v>240</v>
      </c>
      <c r="DV2869" s="5" t="s">
        <v>310</v>
      </c>
      <c r="DW2869" s="5" t="s">
        <v>3793</v>
      </c>
      <c r="HO2869" s="5" t="s">
        <v>312</v>
      </c>
    </row>
    <row r="2870" spans="1:223" x14ac:dyDescent="0.4">
      <c r="A2870" s="5">
        <v>4574</v>
      </c>
      <c r="B2870" s="5">
        <v>1</v>
      </c>
      <c r="C2870" s="5">
        <v>1</v>
      </c>
      <c r="D2870" s="5" t="s">
        <v>810</v>
      </c>
      <c r="E2870" s="5" t="s">
        <v>245</v>
      </c>
      <c r="F2870" s="5" t="s">
        <v>254</v>
      </c>
      <c r="G2870" s="5" t="s">
        <v>240</v>
      </c>
      <c r="H2870" s="6" t="s">
        <v>2806</v>
      </c>
      <c r="I2870" s="5" t="s">
        <v>809</v>
      </c>
      <c r="J2870" s="8">
        <f>1369</f>
        <v>1369</v>
      </c>
      <c r="K2870" s="5" t="s">
        <v>308</v>
      </c>
      <c r="L2870" s="7">
        <f>1</f>
        <v>1</v>
      </c>
      <c r="M2870" s="7">
        <f>1</f>
        <v>1</v>
      </c>
      <c r="N2870" s="5" t="s">
        <v>242</v>
      </c>
      <c r="O2870" s="5">
        <v>1</v>
      </c>
      <c r="P2870" s="5" t="s">
        <v>294</v>
      </c>
      <c r="Q2870" s="5" t="s">
        <v>266</v>
      </c>
      <c r="R2870" s="5" t="s">
        <v>240</v>
      </c>
      <c r="S2870" s="5" t="s">
        <v>240</v>
      </c>
      <c r="T2870" s="5" t="s">
        <v>296</v>
      </c>
      <c r="U2870" s="5" t="s">
        <v>244</v>
      </c>
      <c r="V2870" s="5" t="s">
        <v>240</v>
      </c>
      <c r="Y2870" s="5" t="s">
        <v>240</v>
      </c>
      <c r="Z2870" s="6" t="s">
        <v>298</v>
      </c>
      <c r="AB2870" s="6" t="s">
        <v>240</v>
      </c>
      <c r="AE2870" s="6" t="s">
        <v>299</v>
      </c>
      <c r="AF2870" s="5" t="s">
        <v>248</v>
      </c>
      <c r="AG2870" s="5" t="s">
        <v>249</v>
      </c>
      <c r="AW2870" s="5" t="s">
        <v>251</v>
      </c>
      <c r="AX2870" s="5" t="s">
        <v>240</v>
      </c>
      <c r="AY2870" s="5" t="s">
        <v>253</v>
      </c>
      <c r="AZ2870" s="5" t="s">
        <v>240</v>
      </c>
      <c r="BA2870" s="5" t="s">
        <v>255</v>
      </c>
      <c r="BB2870" s="5" t="s">
        <v>240</v>
      </c>
      <c r="BD2870" s="5" t="s">
        <v>240</v>
      </c>
      <c r="BF2870" s="5" t="s">
        <v>301</v>
      </c>
      <c r="BG2870" s="6" t="s">
        <v>299</v>
      </c>
      <c r="BH2870" s="5" t="s">
        <v>302</v>
      </c>
      <c r="BI2870" s="5" t="s">
        <v>303</v>
      </c>
      <c r="BJ2870" s="5" t="s">
        <v>240</v>
      </c>
      <c r="BK2870" s="8">
        <f>0</f>
        <v>0</v>
      </c>
      <c r="BL2870" s="7">
        <f>0</f>
        <v>0</v>
      </c>
      <c r="BM2870" s="5" t="s">
        <v>258</v>
      </c>
      <c r="BN2870" s="5" t="s">
        <v>259</v>
      </c>
      <c r="CB2870" s="5" t="s">
        <v>240</v>
      </c>
      <c r="CC2870" s="5" t="s">
        <v>240</v>
      </c>
      <c r="CG2870" s="5" t="s">
        <v>304</v>
      </c>
      <c r="CH2870" s="5" t="s">
        <v>305</v>
      </c>
      <c r="CI2870" s="5" t="s">
        <v>240</v>
      </c>
      <c r="CL2870" s="6" t="s">
        <v>261</v>
      </c>
      <c r="CM2870" s="5" t="s">
        <v>240</v>
      </c>
      <c r="CN2870" s="5" t="s">
        <v>263</v>
      </c>
      <c r="CO2870" s="5" t="s">
        <v>240</v>
      </c>
      <c r="CP2870" s="5" t="s">
        <v>240</v>
      </c>
      <c r="CQ2870" s="5">
        <v>0</v>
      </c>
      <c r="CR2870" s="5" t="s">
        <v>306</v>
      </c>
      <c r="CS2870" s="5" t="s">
        <v>307</v>
      </c>
      <c r="CT2870" s="5" t="s">
        <v>307</v>
      </c>
      <c r="CU2870" s="5" t="s">
        <v>260</v>
      </c>
      <c r="CX2870" s="7">
        <f>1</f>
        <v>1</v>
      </c>
      <c r="CY2870" s="7">
        <f>0</f>
        <v>0</v>
      </c>
      <c r="DA2870" s="7">
        <f>0</f>
        <v>0</v>
      </c>
      <c r="DC2870" s="5" t="s">
        <v>812</v>
      </c>
      <c r="DD2870" s="5" t="s">
        <v>240</v>
      </c>
      <c r="DF2870" s="5" t="s">
        <v>812</v>
      </c>
      <c r="DG2870" s="7">
        <f>173</f>
        <v>173</v>
      </c>
      <c r="DI2870" s="5" t="s">
        <v>240</v>
      </c>
      <c r="DJ2870" s="5" t="s">
        <v>240</v>
      </c>
      <c r="DK2870" s="5" t="s">
        <v>240</v>
      </c>
      <c r="DL2870" s="5" t="s">
        <v>240</v>
      </c>
      <c r="DP2870" s="5" t="s">
        <v>240</v>
      </c>
      <c r="DQ2870" s="5" t="s">
        <v>240</v>
      </c>
      <c r="DR2870" s="5" t="s">
        <v>240</v>
      </c>
      <c r="DS2870" s="5" t="s">
        <v>240</v>
      </c>
      <c r="DV2870" s="5" t="s">
        <v>813</v>
      </c>
      <c r="DW2870" s="5" t="s">
        <v>5029</v>
      </c>
      <c r="HO2870" s="5" t="s">
        <v>312</v>
      </c>
    </row>
    <row r="2871" spans="1:223" x14ac:dyDescent="0.4">
      <c r="A2871" s="5">
        <v>4575</v>
      </c>
      <c r="B2871" s="5">
        <v>1</v>
      </c>
      <c r="C2871" s="5">
        <v>1</v>
      </c>
      <c r="D2871" s="5" t="s">
        <v>810</v>
      </c>
      <c r="E2871" s="5" t="s">
        <v>245</v>
      </c>
      <c r="F2871" s="5" t="s">
        <v>254</v>
      </c>
      <c r="G2871" s="5" t="s">
        <v>240</v>
      </c>
      <c r="H2871" s="6" t="s">
        <v>2804</v>
      </c>
      <c r="I2871" s="5" t="s">
        <v>809</v>
      </c>
      <c r="J2871" s="8">
        <f>1394</f>
        <v>1394</v>
      </c>
      <c r="K2871" s="5" t="s">
        <v>308</v>
      </c>
      <c r="L2871" s="7">
        <f>1</f>
        <v>1</v>
      </c>
      <c r="M2871" s="7">
        <f>1</f>
        <v>1</v>
      </c>
      <c r="N2871" s="5" t="s">
        <v>242</v>
      </c>
      <c r="O2871" s="5">
        <v>1</v>
      </c>
      <c r="P2871" s="5" t="s">
        <v>294</v>
      </c>
      <c r="Q2871" s="5" t="s">
        <v>266</v>
      </c>
      <c r="R2871" s="5" t="s">
        <v>240</v>
      </c>
      <c r="S2871" s="5" t="s">
        <v>240</v>
      </c>
      <c r="T2871" s="5" t="s">
        <v>296</v>
      </c>
      <c r="U2871" s="5" t="s">
        <v>244</v>
      </c>
      <c r="V2871" s="5" t="s">
        <v>240</v>
      </c>
      <c r="Y2871" s="5" t="s">
        <v>240</v>
      </c>
      <c r="Z2871" s="6" t="s">
        <v>298</v>
      </c>
      <c r="AB2871" s="6" t="s">
        <v>240</v>
      </c>
      <c r="AE2871" s="6" t="s">
        <v>299</v>
      </c>
      <c r="AF2871" s="5" t="s">
        <v>248</v>
      </c>
      <c r="AG2871" s="5" t="s">
        <v>249</v>
      </c>
      <c r="AW2871" s="5" t="s">
        <v>251</v>
      </c>
      <c r="AX2871" s="5" t="s">
        <v>240</v>
      </c>
      <c r="AY2871" s="5" t="s">
        <v>253</v>
      </c>
      <c r="AZ2871" s="5" t="s">
        <v>240</v>
      </c>
      <c r="BA2871" s="5" t="s">
        <v>255</v>
      </c>
      <c r="BB2871" s="5" t="s">
        <v>240</v>
      </c>
      <c r="BD2871" s="5" t="s">
        <v>240</v>
      </c>
      <c r="BF2871" s="5" t="s">
        <v>301</v>
      </c>
      <c r="BG2871" s="6" t="s">
        <v>299</v>
      </c>
      <c r="BH2871" s="5" t="s">
        <v>302</v>
      </c>
      <c r="BI2871" s="5" t="s">
        <v>303</v>
      </c>
      <c r="BJ2871" s="5" t="s">
        <v>240</v>
      </c>
      <c r="BK2871" s="8">
        <f>0</f>
        <v>0</v>
      </c>
      <c r="BL2871" s="7">
        <f>0</f>
        <v>0</v>
      </c>
      <c r="BM2871" s="5" t="s">
        <v>258</v>
      </c>
      <c r="BN2871" s="5" t="s">
        <v>259</v>
      </c>
      <c r="CB2871" s="5" t="s">
        <v>240</v>
      </c>
      <c r="CC2871" s="5" t="s">
        <v>240</v>
      </c>
      <c r="CG2871" s="5" t="s">
        <v>304</v>
      </c>
      <c r="CH2871" s="5" t="s">
        <v>305</v>
      </c>
      <c r="CI2871" s="5" t="s">
        <v>240</v>
      </c>
      <c r="CL2871" s="6" t="s">
        <v>261</v>
      </c>
      <c r="CM2871" s="5" t="s">
        <v>240</v>
      </c>
      <c r="CN2871" s="5" t="s">
        <v>263</v>
      </c>
      <c r="CO2871" s="5" t="s">
        <v>240</v>
      </c>
      <c r="CP2871" s="5" t="s">
        <v>240</v>
      </c>
      <c r="CQ2871" s="5">
        <v>0</v>
      </c>
      <c r="CR2871" s="5" t="s">
        <v>306</v>
      </c>
      <c r="CS2871" s="5" t="s">
        <v>307</v>
      </c>
      <c r="CT2871" s="5" t="s">
        <v>307</v>
      </c>
      <c r="CU2871" s="5" t="s">
        <v>260</v>
      </c>
      <c r="CX2871" s="7">
        <f>1</f>
        <v>1</v>
      </c>
      <c r="CY2871" s="7">
        <f>0</f>
        <v>0</v>
      </c>
      <c r="DA2871" s="7">
        <f>0</f>
        <v>0</v>
      </c>
      <c r="DC2871" s="5" t="s">
        <v>309</v>
      </c>
      <c r="DD2871" s="5" t="s">
        <v>240</v>
      </c>
      <c r="DF2871" s="5" t="s">
        <v>309</v>
      </c>
      <c r="DG2871" s="7">
        <f>1702</f>
        <v>1702</v>
      </c>
      <c r="DI2871" s="5" t="s">
        <v>240</v>
      </c>
      <c r="DJ2871" s="5" t="s">
        <v>240</v>
      </c>
      <c r="DK2871" s="5" t="s">
        <v>240</v>
      </c>
      <c r="DL2871" s="5" t="s">
        <v>240</v>
      </c>
      <c r="DP2871" s="5" t="s">
        <v>240</v>
      </c>
      <c r="DQ2871" s="5" t="s">
        <v>240</v>
      </c>
      <c r="DR2871" s="5" t="s">
        <v>240</v>
      </c>
      <c r="DS2871" s="5" t="s">
        <v>240</v>
      </c>
      <c r="DV2871" s="5" t="s">
        <v>310</v>
      </c>
      <c r="DW2871" s="5" t="s">
        <v>3797</v>
      </c>
      <c r="HO2871" s="5" t="s">
        <v>312</v>
      </c>
    </row>
    <row r="2872" spans="1:223" x14ac:dyDescent="0.4">
      <c r="A2872" s="5">
        <v>4576</v>
      </c>
      <c r="B2872" s="5">
        <v>1</v>
      </c>
      <c r="C2872" s="5">
        <v>1</v>
      </c>
      <c r="D2872" s="5" t="s">
        <v>810</v>
      </c>
      <c r="E2872" s="5" t="s">
        <v>245</v>
      </c>
      <c r="F2872" s="5" t="s">
        <v>254</v>
      </c>
      <c r="G2872" s="5" t="s">
        <v>240</v>
      </c>
      <c r="H2872" s="6" t="s">
        <v>2802</v>
      </c>
      <c r="I2872" s="5" t="s">
        <v>809</v>
      </c>
      <c r="J2872" s="8">
        <f>2252</f>
        <v>2252</v>
      </c>
      <c r="K2872" s="5" t="s">
        <v>308</v>
      </c>
      <c r="L2872" s="7">
        <f>1</f>
        <v>1</v>
      </c>
      <c r="M2872" s="7">
        <f>1</f>
        <v>1</v>
      </c>
      <c r="N2872" s="5" t="s">
        <v>242</v>
      </c>
      <c r="O2872" s="5">
        <v>1</v>
      </c>
      <c r="P2872" s="5" t="s">
        <v>294</v>
      </c>
      <c r="Q2872" s="5" t="s">
        <v>266</v>
      </c>
      <c r="R2872" s="5" t="s">
        <v>240</v>
      </c>
      <c r="S2872" s="5" t="s">
        <v>240</v>
      </c>
      <c r="T2872" s="5" t="s">
        <v>296</v>
      </c>
      <c r="U2872" s="5" t="s">
        <v>244</v>
      </c>
      <c r="V2872" s="5" t="s">
        <v>240</v>
      </c>
      <c r="Y2872" s="5" t="s">
        <v>240</v>
      </c>
      <c r="Z2872" s="6" t="s">
        <v>298</v>
      </c>
      <c r="AB2872" s="6" t="s">
        <v>240</v>
      </c>
      <c r="AE2872" s="6" t="s">
        <v>299</v>
      </c>
      <c r="AF2872" s="5" t="s">
        <v>248</v>
      </c>
      <c r="AG2872" s="5" t="s">
        <v>249</v>
      </c>
      <c r="AW2872" s="5" t="s">
        <v>251</v>
      </c>
      <c r="AX2872" s="5" t="s">
        <v>240</v>
      </c>
      <c r="AY2872" s="5" t="s">
        <v>253</v>
      </c>
      <c r="AZ2872" s="5" t="s">
        <v>240</v>
      </c>
      <c r="BA2872" s="5" t="s">
        <v>255</v>
      </c>
      <c r="BB2872" s="5" t="s">
        <v>240</v>
      </c>
      <c r="BD2872" s="5" t="s">
        <v>240</v>
      </c>
      <c r="BF2872" s="5" t="s">
        <v>301</v>
      </c>
      <c r="BG2872" s="6" t="s">
        <v>299</v>
      </c>
      <c r="BH2872" s="5" t="s">
        <v>302</v>
      </c>
      <c r="BI2872" s="5" t="s">
        <v>303</v>
      </c>
      <c r="BJ2872" s="5" t="s">
        <v>240</v>
      </c>
      <c r="BK2872" s="8">
        <f>0</f>
        <v>0</v>
      </c>
      <c r="BL2872" s="7">
        <f>0</f>
        <v>0</v>
      </c>
      <c r="BM2872" s="5" t="s">
        <v>258</v>
      </c>
      <c r="BN2872" s="5" t="s">
        <v>259</v>
      </c>
      <c r="CB2872" s="5" t="s">
        <v>240</v>
      </c>
      <c r="CC2872" s="5" t="s">
        <v>240</v>
      </c>
      <c r="CG2872" s="5" t="s">
        <v>304</v>
      </c>
      <c r="CH2872" s="5" t="s">
        <v>305</v>
      </c>
      <c r="CI2872" s="5" t="s">
        <v>240</v>
      </c>
      <c r="CL2872" s="6" t="s">
        <v>261</v>
      </c>
      <c r="CM2872" s="5" t="s">
        <v>240</v>
      </c>
      <c r="CN2872" s="5" t="s">
        <v>263</v>
      </c>
      <c r="CO2872" s="5" t="s">
        <v>240</v>
      </c>
      <c r="CP2872" s="5" t="s">
        <v>240</v>
      </c>
      <c r="CQ2872" s="5">
        <v>0</v>
      </c>
      <c r="CR2872" s="5" t="s">
        <v>306</v>
      </c>
      <c r="CS2872" s="5" t="s">
        <v>307</v>
      </c>
      <c r="CT2872" s="5" t="s">
        <v>307</v>
      </c>
      <c r="CU2872" s="5" t="s">
        <v>260</v>
      </c>
      <c r="CX2872" s="7">
        <f>1</f>
        <v>1</v>
      </c>
      <c r="CY2872" s="7">
        <f>0</f>
        <v>0</v>
      </c>
      <c r="DA2872" s="7">
        <f>0</f>
        <v>0</v>
      </c>
      <c r="DC2872" s="5" t="s">
        <v>309</v>
      </c>
      <c r="DD2872" s="5" t="s">
        <v>240</v>
      </c>
      <c r="DF2872" s="5" t="s">
        <v>309</v>
      </c>
      <c r="DG2872" s="7">
        <f>1702</f>
        <v>1702</v>
      </c>
      <c r="DI2872" s="5" t="s">
        <v>240</v>
      </c>
      <c r="DJ2872" s="5" t="s">
        <v>240</v>
      </c>
      <c r="DK2872" s="5" t="s">
        <v>240</v>
      </c>
      <c r="DL2872" s="5" t="s">
        <v>240</v>
      </c>
      <c r="DP2872" s="5" t="s">
        <v>240</v>
      </c>
      <c r="DQ2872" s="5" t="s">
        <v>240</v>
      </c>
      <c r="DR2872" s="5" t="s">
        <v>240</v>
      </c>
      <c r="DS2872" s="5" t="s">
        <v>240</v>
      </c>
      <c r="DV2872" s="5" t="s">
        <v>310</v>
      </c>
      <c r="DW2872" s="5" t="s">
        <v>3799</v>
      </c>
      <c r="HO2872" s="5" t="s">
        <v>312</v>
      </c>
    </row>
    <row r="2873" spans="1:223" x14ac:dyDescent="0.4">
      <c r="A2873" s="5">
        <v>4577</v>
      </c>
      <c r="B2873" s="5">
        <v>1</v>
      </c>
      <c r="C2873" s="5">
        <v>1</v>
      </c>
      <c r="D2873" s="5" t="s">
        <v>810</v>
      </c>
      <c r="E2873" s="5" t="s">
        <v>245</v>
      </c>
      <c r="F2873" s="5" t="s">
        <v>254</v>
      </c>
      <c r="G2873" s="5" t="s">
        <v>240</v>
      </c>
      <c r="H2873" s="6" t="s">
        <v>2800</v>
      </c>
      <c r="I2873" s="5" t="s">
        <v>809</v>
      </c>
      <c r="J2873" s="8">
        <f>1827</f>
        <v>1827</v>
      </c>
      <c r="K2873" s="5" t="s">
        <v>308</v>
      </c>
      <c r="L2873" s="7">
        <f>1</f>
        <v>1</v>
      </c>
      <c r="M2873" s="7">
        <f>1</f>
        <v>1</v>
      </c>
      <c r="N2873" s="5" t="s">
        <v>242</v>
      </c>
      <c r="O2873" s="5">
        <v>1</v>
      </c>
      <c r="P2873" s="5" t="s">
        <v>294</v>
      </c>
      <c r="Q2873" s="5" t="s">
        <v>266</v>
      </c>
      <c r="R2873" s="5" t="s">
        <v>240</v>
      </c>
      <c r="S2873" s="5" t="s">
        <v>240</v>
      </c>
      <c r="T2873" s="5" t="s">
        <v>296</v>
      </c>
      <c r="U2873" s="5" t="s">
        <v>244</v>
      </c>
      <c r="V2873" s="5" t="s">
        <v>240</v>
      </c>
      <c r="Y2873" s="5" t="s">
        <v>240</v>
      </c>
      <c r="Z2873" s="6" t="s">
        <v>298</v>
      </c>
      <c r="AB2873" s="6" t="s">
        <v>240</v>
      </c>
      <c r="AE2873" s="6" t="s">
        <v>299</v>
      </c>
      <c r="AF2873" s="5" t="s">
        <v>248</v>
      </c>
      <c r="AG2873" s="5" t="s">
        <v>249</v>
      </c>
      <c r="AW2873" s="5" t="s">
        <v>251</v>
      </c>
      <c r="AX2873" s="5" t="s">
        <v>240</v>
      </c>
      <c r="AY2873" s="5" t="s">
        <v>253</v>
      </c>
      <c r="AZ2873" s="5" t="s">
        <v>240</v>
      </c>
      <c r="BA2873" s="5" t="s">
        <v>255</v>
      </c>
      <c r="BB2873" s="5" t="s">
        <v>240</v>
      </c>
      <c r="BD2873" s="5" t="s">
        <v>240</v>
      </c>
      <c r="BF2873" s="5" t="s">
        <v>301</v>
      </c>
      <c r="BG2873" s="6" t="s">
        <v>299</v>
      </c>
      <c r="BH2873" s="5" t="s">
        <v>302</v>
      </c>
      <c r="BI2873" s="5" t="s">
        <v>303</v>
      </c>
      <c r="BJ2873" s="5" t="s">
        <v>240</v>
      </c>
      <c r="BK2873" s="8">
        <f>0</f>
        <v>0</v>
      </c>
      <c r="BL2873" s="7">
        <f>0</f>
        <v>0</v>
      </c>
      <c r="BM2873" s="5" t="s">
        <v>258</v>
      </c>
      <c r="BN2873" s="5" t="s">
        <v>259</v>
      </c>
      <c r="CB2873" s="5" t="s">
        <v>240</v>
      </c>
      <c r="CC2873" s="5" t="s">
        <v>240</v>
      </c>
      <c r="CG2873" s="5" t="s">
        <v>304</v>
      </c>
      <c r="CH2873" s="5" t="s">
        <v>305</v>
      </c>
      <c r="CI2873" s="5" t="s">
        <v>240</v>
      </c>
      <c r="CL2873" s="6" t="s">
        <v>261</v>
      </c>
      <c r="CM2873" s="5" t="s">
        <v>240</v>
      </c>
      <c r="CN2873" s="5" t="s">
        <v>263</v>
      </c>
      <c r="CO2873" s="5" t="s">
        <v>240</v>
      </c>
      <c r="CP2873" s="5" t="s">
        <v>240</v>
      </c>
      <c r="CQ2873" s="5">
        <v>0</v>
      </c>
      <c r="CR2873" s="5" t="s">
        <v>306</v>
      </c>
      <c r="CS2873" s="5" t="s">
        <v>307</v>
      </c>
      <c r="CT2873" s="5" t="s">
        <v>307</v>
      </c>
      <c r="CU2873" s="5" t="s">
        <v>260</v>
      </c>
      <c r="CX2873" s="7">
        <f>1</f>
        <v>1</v>
      </c>
      <c r="CY2873" s="7">
        <f>0</f>
        <v>0</v>
      </c>
      <c r="DA2873" s="7">
        <f>0</f>
        <v>0</v>
      </c>
      <c r="DC2873" s="5" t="s">
        <v>309</v>
      </c>
      <c r="DD2873" s="5" t="s">
        <v>240</v>
      </c>
      <c r="DF2873" s="5" t="s">
        <v>309</v>
      </c>
      <c r="DG2873" s="7">
        <f>4771</f>
        <v>4771</v>
      </c>
      <c r="DI2873" s="5" t="s">
        <v>240</v>
      </c>
      <c r="DJ2873" s="5" t="s">
        <v>240</v>
      </c>
      <c r="DK2873" s="5" t="s">
        <v>240</v>
      </c>
      <c r="DL2873" s="5" t="s">
        <v>240</v>
      </c>
      <c r="DP2873" s="5" t="s">
        <v>240</v>
      </c>
      <c r="DQ2873" s="5" t="s">
        <v>240</v>
      </c>
      <c r="DR2873" s="5" t="s">
        <v>240</v>
      </c>
      <c r="DS2873" s="5" t="s">
        <v>240</v>
      </c>
      <c r="DV2873" s="5" t="s">
        <v>310</v>
      </c>
      <c r="DW2873" s="5" t="s">
        <v>3801</v>
      </c>
      <c r="HO2873" s="5" t="s">
        <v>312</v>
      </c>
    </row>
    <row r="2874" spans="1:223" x14ac:dyDescent="0.4">
      <c r="A2874" s="5">
        <v>4578</v>
      </c>
      <c r="B2874" s="5">
        <v>1</v>
      </c>
      <c r="C2874" s="5">
        <v>1</v>
      </c>
      <c r="D2874" s="5" t="s">
        <v>810</v>
      </c>
      <c r="E2874" s="5" t="s">
        <v>245</v>
      </c>
      <c r="F2874" s="5" t="s">
        <v>254</v>
      </c>
      <c r="G2874" s="5" t="s">
        <v>240</v>
      </c>
      <c r="H2874" s="6" t="s">
        <v>2798</v>
      </c>
      <c r="I2874" s="5" t="s">
        <v>809</v>
      </c>
      <c r="J2874" s="8">
        <f>2738</f>
        <v>2738</v>
      </c>
      <c r="K2874" s="5" t="s">
        <v>308</v>
      </c>
      <c r="L2874" s="7">
        <f>1</f>
        <v>1</v>
      </c>
      <c r="M2874" s="7">
        <f>1</f>
        <v>1</v>
      </c>
      <c r="N2874" s="5" t="s">
        <v>242</v>
      </c>
      <c r="O2874" s="5">
        <v>1</v>
      </c>
      <c r="P2874" s="5" t="s">
        <v>294</v>
      </c>
      <c r="Q2874" s="5" t="s">
        <v>266</v>
      </c>
      <c r="R2874" s="5" t="s">
        <v>240</v>
      </c>
      <c r="S2874" s="5" t="s">
        <v>240</v>
      </c>
      <c r="T2874" s="5" t="s">
        <v>296</v>
      </c>
      <c r="U2874" s="5" t="s">
        <v>244</v>
      </c>
      <c r="V2874" s="5" t="s">
        <v>240</v>
      </c>
      <c r="Y2874" s="5" t="s">
        <v>240</v>
      </c>
      <c r="Z2874" s="6" t="s">
        <v>298</v>
      </c>
      <c r="AB2874" s="6" t="s">
        <v>240</v>
      </c>
      <c r="AE2874" s="6" t="s">
        <v>299</v>
      </c>
      <c r="AF2874" s="5" t="s">
        <v>248</v>
      </c>
      <c r="AG2874" s="5" t="s">
        <v>249</v>
      </c>
      <c r="AW2874" s="5" t="s">
        <v>251</v>
      </c>
      <c r="AX2874" s="5" t="s">
        <v>240</v>
      </c>
      <c r="AY2874" s="5" t="s">
        <v>253</v>
      </c>
      <c r="AZ2874" s="5" t="s">
        <v>240</v>
      </c>
      <c r="BA2874" s="5" t="s">
        <v>255</v>
      </c>
      <c r="BB2874" s="5" t="s">
        <v>240</v>
      </c>
      <c r="BD2874" s="5" t="s">
        <v>240</v>
      </c>
      <c r="BF2874" s="5" t="s">
        <v>301</v>
      </c>
      <c r="BG2874" s="6" t="s">
        <v>299</v>
      </c>
      <c r="BH2874" s="5" t="s">
        <v>302</v>
      </c>
      <c r="BI2874" s="5" t="s">
        <v>303</v>
      </c>
      <c r="BJ2874" s="5" t="s">
        <v>240</v>
      </c>
      <c r="BK2874" s="8">
        <f>0</f>
        <v>0</v>
      </c>
      <c r="BL2874" s="7">
        <f>0</f>
        <v>0</v>
      </c>
      <c r="BM2874" s="5" t="s">
        <v>258</v>
      </c>
      <c r="BN2874" s="5" t="s">
        <v>259</v>
      </c>
      <c r="CB2874" s="5" t="s">
        <v>240</v>
      </c>
      <c r="CC2874" s="5" t="s">
        <v>240</v>
      </c>
      <c r="CG2874" s="5" t="s">
        <v>304</v>
      </c>
      <c r="CH2874" s="5" t="s">
        <v>305</v>
      </c>
      <c r="CI2874" s="5" t="s">
        <v>240</v>
      </c>
      <c r="CL2874" s="6" t="s">
        <v>261</v>
      </c>
      <c r="CM2874" s="5" t="s">
        <v>240</v>
      </c>
      <c r="CN2874" s="5" t="s">
        <v>263</v>
      </c>
      <c r="CO2874" s="5" t="s">
        <v>240</v>
      </c>
      <c r="CP2874" s="5" t="s">
        <v>240</v>
      </c>
      <c r="CQ2874" s="5">
        <v>0</v>
      </c>
      <c r="CR2874" s="5" t="s">
        <v>306</v>
      </c>
      <c r="CS2874" s="5" t="s">
        <v>307</v>
      </c>
      <c r="CT2874" s="5" t="s">
        <v>307</v>
      </c>
      <c r="CU2874" s="5" t="s">
        <v>260</v>
      </c>
      <c r="CX2874" s="7">
        <f>1</f>
        <v>1</v>
      </c>
      <c r="CY2874" s="7">
        <f>0</f>
        <v>0</v>
      </c>
      <c r="DA2874" s="7">
        <f>0</f>
        <v>0</v>
      </c>
      <c r="DC2874" s="5" t="s">
        <v>309</v>
      </c>
      <c r="DD2874" s="5" t="s">
        <v>240</v>
      </c>
      <c r="DF2874" s="5" t="s">
        <v>309</v>
      </c>
      <c r="DG2874" s="7">
        <f>1242</f>
        <v>1242</v>
      </c>
      <c r="DI2874" s="5" t="s">
        <v>240</v>
      </c>
      <c r="DJ2874" s="5" t="s">
        <v>240</v>
      </c>
      <c r="DK2874" s="5" t="s">
        <v>240</v>
      </c>
      <c r="DL2874" s="5" t="s">
        <v>240</v>
      </c>
      <c r="DP2874" s="5" t="s">
        <v>240</v>
      </c>
      <c r="DQ2874" s="5" t="s">
        <v>240</v>
      </c>
      <c r="DR2874" s="5" t="s">
        <v>240</v>
      </c>
      <c r="DS2874" s="5" t="s">
        <v>240</v>
      </c>
      <c r="DV2874" s="5" t="s">
        <v>310</v>
      </c>
      <c r="DW2874" s="5" t="s">
        <v>3803</v>
      </c>
      <c r="HO2874" s="5" t="s">
        <v>312</v>
      </c>
    </row>
    <row r="2875" spans="1:223" x14ac:dyDescent="0.4">
      <c r="A2875" s="5">
        <v>4579</v>
      </c>
      <c r="B2875" s="5">
        <v>1</v>
      </c>
      <c r="C2875" s="5">
        <v>1</v>
      </c>
      <c r="D2875" s="5" t="s">
        <v>810</v>
      </c>
      <c r="E2875" s="5" t="s">
        <v>245</v>
      </c>
      <c r="F2875" s="5" t="s">
        <v>254</v>
      </c>
      <c r="G2875" s="5" t="s">
        <v>240</v>
      </c>
      <c r="H2875" s="6" t="s">
        <v>2796</v>
      </c>
      <c r="I2875" s="5" t="s">
        <v>809</v>
      </c>
      <c r="J2875" s="8">
        <f>3020</f>
        <v>3020</v>
      </c>
      <c r="K2875" s="5" t="s">
        <v>308</v>
      </c>
      <c r="L2875" s="7">
        <f>1</f>
        <v>1</v>
      </c>
      <c r="M2875" s="7">
        <f>1</f>
        <v>1</v>
      </c>
      <c r="N2875" s="5" t="s">
        <v>242</v>
      </c>
      <c r="O2875" s="5">
        <v>1</v>
      </c>
      <c r="P2875" s="5" t="s">
        <v>294</v>
      </c>
      <c r="Q2875" s="5" t="s">
        <v>266</v>
      </c>
      <c r="R2875" s="5" t="s">
        <v>240</v>
      </c>
      <c r="S2875" s="5" t="s">
        <v>240</v>
      </c>
      <c r="T2875" s="5" t="s">
        <v>296</v>
      </c>
      <c r="U2875" s="5" t="s">
        <v>244</v>
      </c>
      <c r="V2875" s="5" t="s">
        <v>240</v>
      </c>
      <c r="Y2875" s="5" t="s">
        <v>240</v>
      </c>
      <c r="Z2875" s="6" t="s">
        <v>298</v>
      </c>
      <c r="AB2875" s="6" t="s">
        <v>240</v>
      </c>
      <c r="AE2875" s="6" t="s">
        <v>299</v>
      </c>
      <c r="AF2875" s="5" t="s">
        <v>248</v>
      </c>
      <c r="AG2875" s="5" t="s">
        <v>249</v>
      </c>
      <c r="AW2875" s="5" t="s">
        <v>251</v>
      </c>
      <c r="AX2875" s="5" t="s">
        <v>240</v>
      </c>
      <c r="AY2875" s="5" t="s">
        <v>253</v>
      </c>
      <c r="AZ2875" s="5" t="s">
        <v>240</v>
      </c>
      <c r="BA2875" s="5" t="s">
        <v>255</v>
      </c>
      <c r="BB2875" s="5" t="s">
        <v>240</v>
      </c>
      <c r="BD2875" s="5" t="s">
        <v>240</v>
      </c>
      <c r="BF2875" s="5" t="s">
        <v>301</v>
      </c>
      <c r="BG2875" s="6" t="s">
        <v>299</v>
      </c>
      <c r="BH2875" s="5" t="s">
        <v>302</v>
      </c>
      <c r="BI2875" s="5" t="s">
        <v>303</v>
      </c>
      <c r="BJ2875" s="5" t="s">
        <v>240</v>
      </c>
      <c r="BK2875" s="8">
        <f>0</f>
        <v>0</v>
      </c>
      <c r="BL2875" s="7">
        <f>0</f>
        <v>0</v>
      </c>
      <c r="BM2875" s="5" t="s">
        <v>258</v>
      </c>
      <c r="BN2875" s="5" t="s">
        <v>259</v>
      </c>
      <c r="CB2875" s="5" t="s">
        <v>240</v>
      </c>
      <c r="CC2875" s="5" t="s">
        <v>240</v>
      </c>
      <c r="CG2875" s="5" t="s">
        <v>304</v>
      </c>
      <c r="CH2875" s="5" t="s">
        <v>305</v>
      </c>
      <c r="CI2875" s="5" t="s">
        <v>240</v>
      </c>
      <c r="CL2875" s="6" t="s">
        <v>261</v>
      </c>
      <c r="CM2875" s="5" t="s">
        <v>240</v>
      </c>
      <c r="CN2875" s="5" t="s">
        <v>263</v>
      </c>
      <c r="CO2875" s="5" t="s">
        <v>240</v>
      </c>
      <c r="CP2875" s="5" t="s">
        <v>240</v>
      </c>
      <c r="CQ2875" s="5">
        <v>0</v>
      </c>
      <c r="CR2875" s="5" t="s">
        <v>306</v>
      </c>
      <c r="CS2875" s="5" t="s">
        <v>307</v>
      </c>
      <c r="CT2875" s="5" t="s">
        <v>307</v>
      </c>
      <c r="CU2875" s="5" t="s">
        <v>260</v>
      </c>
      <c r="CX2875" s="7">
        <f>1</f>
        <v>1</v>
      </c>
      <c r="CY2875" s="7">
        <f>0</f>
        <v>0</v>
      </c>
      <c r="DA2875" s="7">
        <f>0</f>
        <v>0</v>
      </c>
      <c r="DC2875" s="5" t="s">
        <v>309</v>
      </c>
      <c r="DD2875" s="5" t="s">
        <v>240</v>
      </c>
      <c r="DF2875" s="5" t="s">
        <v>309</v>
      </c>
      <c r="DG2875" s="7">
        <f>1780</f>
        <v>1780</v>
      </c>
      <c r="DI2875" s="5" t="s">
        <v>240</v>
      </c>
      <c r="DJ2875" s="5" t="s">
        <v>240</v>
      </c>
      <c r="DK2875" s="5" t="s">
        <v>240</v>
      </c>
      <c r="DL2875" s="5" t="s">
        <v>240</v>
      </c>
      <c r="DP2875" s="5" t="s">
        <v>240</v>
      </c>
      <c r="DQ2875" s="5" t="s">
        <v>240</v>
      </c>
      <c r="DR2875" s="5" t="s">
        <v>240</v>
      </c>
      <c r="DS2875" s="5" t="s">
        <v>240</v>
      </c>
      <c r="DV2875" s="5" t="s">
        <v>310</v>
      </c>
      <c r="DW2875" s="5" t="s">
        <v>3805</v>
      </c>
      <c r="HO2875" s="5" t="s">
        <v>312</v>
      </c>
    </row>
    <row r="2876" spans="1:223" x14ac:dyDescent="0.4">
      <c r="A2876" s="5">
        <v>4580</v>
      </c>
      <c r="B2876" s="5">
        <v>1</v>
      </c>
      <c r="C2876" s="5">
        <v>1</v>
      </c>
      <c r="D2876" s="5" t="s">
        <v>810</v>
      </c>
      <c r="E2876" s="5" t="s">
        <v>245</v>
      </c>
      <c r="F2876" s="5" t="s">
        <v>254</v>
      </c>
      <c r="G2876" s="5" t="s">
        <v>240</v>
      </c>
      <c r="H2876" s="6" t="s">
        <v>2794</v>
      </c>
      <c r="I2876" s="5" t="s">
        <v>809</v>
      </c>
      <c r="J2876" s="8">
        <f>3085</f>
        <v>3085</v>
      </c>
      <c r="K2876" s="5" t="s">
        <v>308</v>
      </c>
      <c r="L2876" s="7">
        <f>1</f>
        <v>1</v>
      </c>
      <c r="M2876" s="7">
        <f>1</f>
        <v>1</v>
      </c>
      <c r="N2876" s="5" t="s">
        <v>242</v>
      </c>
      <c r="O2876" s="5">
        <v>1</v>
      </c>
      <c r="P2876" s="5" t="s">
        <v>294</v>
      </c>
      <c r="Q2876" s="5" t="s">
        <v>266</v>
      </c>
      <c r="R2876" s="5" t="s">
        <v>240</v>
      </c>
      <c r="S2876" s="5" t="s">
        <v>240</v>
      </c>
      <c r="T2876" s="5" t="s">
        <v>296</v>
      </c>
      <c r="U2876" s="5" t="s">
        <v>244</v>
      </c>
      <c r="V2876" s="5" t="s">
        <v>240</v>
      </c>
      <c r="Y2876" s="5" t="s">
        <v>240</v>
      </c>
      <c r="Z2876" s="6" t="s">
        <v>298</v>
      </c>
      <c r="AB2876" s="6" t="s">
        <v>240</v>
      </c>
      <c r="AE2876" s="6" t="s">
        <v>299</v>
      </c>
      <c r="AF2876" s="5" t="s">
        <v>248</v>
      </c>
      <c r="AG2876" s="5" t="s">
        <v>249</v>
      </c>
      <c r="AW2876" s="5" t="s">
        <v>251</v>
      </c>
      <c r="AX2876" s="5" t="s">
        <v>240</v>
      </c>
      <c r="AY2876" s="5" t="s">
        <v>253</v>
      </c>
      <c r="AZ2876" s="5" t="s">
        <v>240</v>
      </c>
      <c r="BA2876" s="5" t="s">
        <v>255</v>
      </c>
      <c r="BB2876" s="5" t="s">
        <v>240</v>
      </c>
      <c r="BD2876" s="5" t="s">
        <v>240</v>
      </c>
      <c r="BF2876" s="5" t="s">
        <v>301</v>
      </c>
      <c r="BG2876" s="6" t="s">
        <v>299</v>
      </c>
      <c r="BH2876" s="5" t="s">
        <v>302</v>
      </c>
      <c r="BI2876" s="5" t="s">
        <v>303</v>
      </c>
      <c r="BJ2876" s="5" t="s">
        <v>240</v>
      </c>
      <c r="BK2876" s="8">
        <f>0</f>
        <v>0</v>
      </c>
      <c r="BL2876" s="7">
        <f>0</f>
        <v>0</v>
      </c>
      <c r="BM2876" s="5" t="s">
        <v>258</v>
      </c>
      <c r="BN2876" s="5" t="s">
        <v>259</v>
      </c>
      <c r="CB2876" s="5" t="s">
        <v>240</v>
      </c>
      <c r="CC2876" s="5" t="s">
        <v>240</v>
      </c>
      <c r="CG2876" s="5" t="s">
        <v>304</v>
      </c>
      <c r="CH2876" s="5" t="s">
        <v>305</v>
      </c>
      <c r="CI2876" s="5" t="s">
        <v>240</v>
      </c>
      <c r="CL2876" s="6" t="s">
        <v>261</v>
      </c>
      <c r="CM2876" s="5" t="s">
        <v>240</v>
      </c>
      <c r="CN2876" s="5" t="s">
        <v>263</v>
      </c>
      <c r="CO2876" s="5" t="s">
        <v>240</v>
      </c>
      <c r="CP2876" s="5" t="s">
        <v>240</v>
      </c>
      <c r="CQ2876" s="5">
        <v>0</v>
      </c>
      <c r="CR2876" s="5" t="s">
        <v>306</v>
      </c>
      <c r="CS2876" s="5" t="s">
        <v>307</v>
      </c>
      <c r="CT2876" s="5" t="s">
        <v>307</v>
      </c>
      <c r="CU2876" s="5" t="s">
        <v>260</v>
      </c>
      <c r="CX2876" s="7">
        <f>1</f>
        <v>1</v>
      </c>
      <c r="CY2876" s="7">
        <f>0</f>
        <v>0</v>
      </c>
      <c r="DA2876" s="7">
        <f>0</f>
        <v>0</v>
      </c>
      <c r="DC2876" s="5" t="s">
        <v>309</v>
      </c>
      <c r="DD2876" s="5" t="s">
        <v>240</v>
      </c>
      <c r="DF2876" s="5" t="s">
        <v>309</v>
      </c>
      <c r="DG2876" s="7">
        <f>1731</f>
        <v>1731</v>
      </c>
      <c r="DI2876" s="5" t="s">
        <v>240</v>
      </c>
      <c r="DJ2876" s="5" t="s">
        <v>240</v>
      </c>
      <c r="DK2876" s="5" t="s">
        <v>240</v>
      </c>
      <c r="DL2876" s="5" t="s">
        <v>240</v>
      </c>
      <c r="DP2876" s="5" t="s">
        <v>240</v>
      </c>
      <c r="DQ2876" s="5" t="s">
        <v>240</v>
      </c>
      <c r="DR2876" s="5" t="s">
        <v>240</v>
      </c>
      <c r="DS2876" s="5" t="s">
        <v>240</v>
      </c>
      <c r="DV2876" s="5" t="s">
        <v>310</v>
      </c>
      <c r="DW2876" s="5" t="s">
        <v>3807</v>
      </c>
      <c r="HO2876" s="5" t="s">
        <v>312</v>
      </c>
    </row>
    <row r="2877" spans="1:223" x14ac:dyDescent="0.4">
      <c r="A2877" s="5">
        <v>4581</v>
      </c>
      <c r="B2877" s="5">
        <v>1</v>
      </c>
      <c r="C2877" s="5">
        <v>1</v>
      </c>
      <c r="D2877" s="5" t="s">
        <v>810</v>
      </c>
      <c r="E2877" s="5" t="s">
        <v>245</v>
      </c>
      <c r="F2877" s="5" t="s">
        <v>254</v>
      </c>
      <c r="G2877" s="5" t="s">
        <v>240</v>
      </c>
      <c r="H2877" s="6" t="s">
        <v>2792</v>
      </c>
      <c r="I2877" s="5" t="s">
        <v>809</v>
      </c>
      <c r="J2877" s="8">
        <f>3316</f>
        <v>3316</v>
      </c>
      <c r="K2877" s="5" t="s">
        <v>308</v>
      </c>
      <c r="L2877" s="7">
        <f>1</f>
        <v>1</v>
      </c>
      <c r="M2877" s="7">
        <f>1</f>
        <v>1</v>
      </c>
      <c r="N2877" s="5" t="s">
        <v>242</v>
      </c>
      <c r="O2877" s="5">
        <v>1</v>
      </c>
      <c r="P2877" s="5" t="s">
        <v>294</v>
      </c>
      <c r="Q2877" s="5" t="s">
        <v>266</v>
      </c>
      <c r="R2877" s="5" t="s">
        <v>240</v>
      </c>
      <c r="S2877" s="5" t="s">
        <v>240</v>
      </c>
      <c r="T2877" s="5" t="s">
        <v>296</v>
      </c>
      <c r="U2877" s="5" t="s">
        <v>244</v>
      </c>
      <c r="V2877" s="5" t="s">
        <v>240</v>
      </c>
      <c r="Y2877" s="5" t="s">
        <v>240</v>
      </c>
      <c r="Z2877" s="6" t="s">
        <v>298</v>
      </c>
      <c r="AB2877" s="6" t="s">
        <v>240</v>
      </c>
      <c r="AE2877" s="6" t="s">
        <v>299</v>
      </c>
      <c r="AF2877" s="5" t="s">
        <v>248</v>
      </c>
      <c r="AG2877" s="5" t="s">
        <v>249</v>
      </c>
      <c r="AW2877" s="5" t="s">
        <v>251</v>
      </c>
      <c r="AX2877" s="5" t="s">
        <v>240</v>
      </c>
      <c r="AY2877" s="5" t="s">
        <v>253</v>
      </c>
      <c r="AZ2877" s="5" t="s">
        <v>240</v>
      </c>
      <c r="BA2877" s="5" t="s">
        <v>255</v>
      </c>
      <c r="BB2877" s="5" t="s">
        <v>240</v>
      </c>
      <c r="BD2877" s="5" t="s">
        <v>240</v>
      </c>
      <c r="BF2877" s="5" t="s">
        <v>301</v>
      </c>
      <c r="BG2877" s="6" t="s">
        <v>299</v>
      </c>
      <c r="BH2877" s="5" t="s">
        <v>302</v>
      </c>
      <c r="BI2877" s="5" t="s">
        <v>303</v>
      </c>
      <c r="BJ2877" s="5" t="s">
        <v>240</v>
      </c>
      <c r="BK2877" s="8">
        <f>0</f>
        <v>0</v>
      </c>
      <c r="BL2877" s="7">
        <f>0</f>
        <v>0</v>
      </c>
      <c r="BM2877" s="5" t="s">
        <v>258</v>
      </c>
      <c r="BN2877" s="5" t="s">
        <v>259</v>
      </c>
      <c r="CB2877" s="5" t="s">
        <v>240</v>
      </c>
      <c r="CC2877" s="5" t="s">
        <v>240</v>
      </c>
      <c r="CG2877" s="5" t="s">
        <v>304</v>
      </c>
      <c r="CH2877" s="5" t="s">
        <v>305</v>
      </c>
      <c r="CI2877" s="5" t="s">
        <v>240</v>
      </c>
      <c r="CL2877" s="6" t="s">
        <v>261</v>
      </c>
      <c r="CM2877" s="5" t="s">
        <v>240</v>
      </c>
      <c r="CN2877" s="5" t="s">
        <v>263</v>
      </c>
      <c r="CO2877" s="5" t="s">
        <v>240</v>
      </c>
      <c r="CP2877" s="5" t="s">
        <v>240</v>
      </c>
      <c r="CQ2877" s="5">
        <v>0</v>
      </c>
      <c r="CR2877" s="5" t="s">
        <v>306</v>
      </c>
      <c r="CS2877" s="5" t="s">
        <v>307</v>
      </c>
      <c r="CT2877" s="5" t="s">
        <v>307</v>
      </c>
      <c r="CU2877" s="5" t="s">
        <v>260</v>
      </c>
      <c r="CX2877" s="7">
        <f>1</f>
        <v>1</v>
      </c>
      <c r="CY2877" s="7">
        <f>0</f>
        <v>0</v>
      </c>
      <c r="DA2877" s="7">
        <f>0</f>
        <v>0</v>
      </c>
      <c r="DC2877" s="5" t="s">
        <v>309</v>
      </c>
      <c r="DD2877" s="5" t="s">
        <v>240</v>
      </c>
      <c r="DF2877" s="5" t="s">
        <v>309</v>
      </c>
      <c r="DG2877" s="7">
        <f>3534</f>
        <v>3534</v>
      </c>
      <c r="DI2877" s="5" t="s">
        <v>240</v>
      </c>
      <c r="DJ2877" s="5" t="s">
        <v>240</v>
      </c>
      <c r="DK2877" s="5" t="s">
        <v>240</v>
      </c>
      <c r="DL2877" s="5" t="s">
        <v>240</v>
      </c>
      <c r="DP2877" s="5" t="s">
        <v>240</v>
      </c>
      <c r="DQ2877" s="5" t="s">
        <v>240</v>
      </c>
      <c r="DR2877" s="5" t="s">
        <v>240</v>
      </c>
      <c r="DS2877" s="5" t="s">
        <v>240</v>
      </c>
      <c r="DV2877" s="5" t="s">
        <v>310</v>
      </c>
      <c r="DW2877" s="5" t="s">
        <v>3809</v>
      </c>
      <c r="HO2877" s="5" t="s">
        <v>312</v>
      </c>
    </row>
    <row r="2878" spans="1:223" x14ac:dyDescent="0.4">
      <c r="A2878" s="5">
        <v>4582</v>
      </c>
      <c r="B2878" s="5">
        <v>1</v>
      </c>
      <c r="C2878" s="5">
        <v>1</v>
      </c>
      <c r="D2878" s="5" t="s">
        <v>810</v>
      </c>
      <c r="E2878" s="5" t="s">
        <v>245</v>
      </c>
      <c r="F2878" s="5" t="s">
        <v>254</v>
      </c>
      <c r="G2878" s="5" t="s">
        <v>240</v>
      </c>
      <c r="H2878" s="6" t="s">
        <v>2790</v>
      </c>
      <c r="I2878" s="5" t="s">
        <v>809</v>
      </c>
      <c r="J2878" s="8">
        <f>80</f>
        <v>80</v>
      </c>
      <c r="K2878" s="5" t="s">
        <v>308</v>
      </c>
      <c r="L2878" s="7">
        <f>1</f>
        <v>1</v>
      </c>
      <c r="M2878" s="7">
        <f>1</f>
        <v>1</v>
      </c>
      <c r="N2878" s="5" t="s">
        <v>242</v>
      </c>
      <c r="O2878" s="5">
        <v>1</v>
      </c>
      <c r="P2878" s="5" t="s">
        <v>294</v>
      </c>
      <c r="Q2878" s="5" t="s">
        <v>266</v>
      </c>
      <c r="R2878" s="5" t="s">
        <v>240</v>
      </c>
      <c r="S2878" s="5" t="s">
        <v>240</v>
      </c>
      <c r="T2878" s="5" t="s">
        <v>296</v>
      </c>
      <c r="U2878" s="5" t="s">
        <v>244</v>
      </c>
      <c r="V2878" s="5" t="s">
        <v>240</v>
      </c>
      <c r="Y2878" s="5" t="s">
        <v>240</v>
      </c>
      <c r="Z2878" s="6" t="s">
        <v>298</v>
      </c>
      <c r="AB2878" s="6" t="s">
        <v>240</v>
      </c>
      <c r="AE2878" s="6" t="s">
        <v>299</v>
      </c>
      <c r="AF2878" s="5" t="s">
        <v>248</v>
      </c>
      <c r="AG2878" s="5" t="s">
        <v>249</v>
      </c>
      <c r="AW2878" s="5" t="s">
        <v>251</v>
      </c>
      <c r="AX2878" s="5" t="s">
        <v>240</v>
      </c>
      <c r="AY2878" s="5" t="s">
        <v>253</v>
      </c>
      <c r="AZ2878" s="5" t="s">
        <v>240</v>
      </c>
      <c r="BA2878" s="5" t="s">
        <v>255</v>
      </c>
      <c r="BB2878" s="5" t="s">
        <v>240</v>
      </c>
      <c r="BD2878" s="5" t="s">
        <v>240</v>
      </c>
      <c r="BF2878" s="5" t="s">
        <v>301</v>
      </c>
      <c r="BG2878" s="6" t="s">
        <v>299</v>
      </c>
      <c r="BH2878" s="5" t="s">
        <v>302</v>
      </c>
      <c r="BI2878" s="5" t="s">
        <v>303</v>
      </c>
      <c r="BJ2878" s="5" t="s">
        <v>240</v>
      </c>
      <c r="BK2878" s="8">
        <f>0</f>
        <v>0</v>
      </c>
      <c r="BL2878" s="7">
        <f>0</f>
        <v>0</v>
      </c>
      <c r="BM2878" s="5" t="s">
        <v>258</v>
      </c>
      <c r="BN2878" s="5" t="s">
        <v>259</v>
      </c>
      <c r="CB2878" s="5" t="s">
        <v>240</v>
      </c>
      <c r="CC2878" s="5" t="s">
        <v>240</v>
      </c>
      <c r="CG2878" s="5" t="s">
        <v>304</v>
      </c>
      <c r="CH2878" s="5" t="s">
        <v>305</v>
      </c>
      <c r="CI2878" s="5" t="s">
        <v>240</v>
      </c>
      <c r="CL2878" s="6" t="s">
        <v>261</v>
      </c>
      <c r="CM2878" s="5" t="s">
        <v>240</v>
      </c>
      <c r="CN2878" s="5" t="s">
        <v>263</v>
      </c>
      <c r="CO2878" s="5" t="s">
        <v>240</v>
      </c>
      <c r="CP2878" s="5" t="s">
        <v>240</v>
      </c>
      <c r="CQ2878" s="5">
        <v>0</v>
      </c>
      <c r="CR2878" s="5" t="s">
        <v>306</v>
      </c>
      <c r="CS2878" s="5" t="s">
        <v>307</v>
      </c>
      <c r="CT2878" s="5" t="s">
        <v>307</v>
      </c>
      <c r="CU2878" s="5" t="s">
        <v>260</v>
      </c>
      <c r="CX2878" s="7">
        <f>1</f>
        <v>1</v>
      </c>
      <c r="CY2878" s="7">
        <f>0</f>
        <v>0</v>
      </c>
      <c r="DA2878" s="7">
        <f>0</f>
        <v>0</v>
      </c>
      <c r="DC2878" s="5" t="s">
        <v>812</v>
      </c>
      <c r="DD2878" s="5" t="s">
        <v>240</v>
      </c>
      <c r="DF2878" s="5" t="s">
        <v>812</v>
      </c>
      <c r="DG2878" s="7">
        <f>174</f>
        <v>174</v>
      </c>
      <c r="DI2878" s="5" t="s">
        <v>240</v>
      </c>
      <c r="DJ2878" s="5" t="s">
        <v>240</v>
      </c>
      <c r="DK2878" s="5" t="s">
        <v>240</v>
      </c>
      <c r="DL2878" s="5" t="s">
        <v>240</v>
      </c>
      <c r="DP2878" s="5" t="s">
        <v>240</v>
      </c>
      <c r="DQ2878" s="5" t="s">
        <v>240</v>
      </c>
      <c r="DR2878" s="5" t="s">
        <v>240</v>
      </c>
      <c r="DS2878" s="5" t="s">
        <v>240</v>
      </c>
      <c r="DV2878" s="5" t="s">
        <v>813</v>
      </c>
      <c r="DW2878" s="5" t="s">
        <v>5038</v>
      </c>
      <c r="HO2878" s="5" t="s">
        <v>312</v>
      </c>
    </row>
    <row r="2879" spans="1:223" x14ac:dyDescent="0.4">
      <c r="A2879" s="5">
        <v>4583</v>
      </c>
      <c r="B2879" s="5">
        <v>1</v>
      </c>
      <c r="C2879" s="5">
        <v>1</v>
      </c>
      <c r="D2879" s="5" t="s">
        <v>810</v>
      </c>
      <c r="E2879" s="5" t="s">
        <v>245</v>
      </c>
      <c r="F2879" s="5" t="s">
        <v>254</v>
      </c>
      <c r="G2879" s="5" t="s">
        <v>240</v>
      </c>
      <c r="H2879" s="6" t="s">
        <v>2788</v>
      </c>
      <c r="I2879" s="5" t="s">
        <v>809</v>
      </c>
      <c r="J2879" s="8">
        <f>12</f>
        <v>12</v>
      </c>
      <c r="K2879" s="5" t="s">
        <v>308</v>
      </c>
      <c r="L2879" s="7">
        <f>1</f>
        <v>1</v>
      </c>
      <c r="M2879" s="7">
        <f>1</f>
        <v>1</v>
      </c>
      <c r="N2879" s="5" t="s">
        <v>242</v>
      </c>
      <c r="O2879" s="5">
        <v>1</v>
      </c>
      <c r="P2879" s="5" t="s">
        <v>294</v>
      </c>
      <c r="Q2879" s="5" t="s">
        <v>266</v>
      </c>
      <c r="R2879" s="5" t="s">
        <v>240</v>
      </c>
      <c r="S2879" s="5" t="s">
        <v>240</v>
      </c>
      <c r="T2879" s="5" t="s">
        <v>296</v>
      </c>
      <c r="U2879" s="5" t="s">
        <v>244</v>
      </c>
      <c r="V2879" s="5" t="s">
        <v>240</v>
      </c>
      <c r="Y2879" s="5" t="s">
        <v>240</v>
      </c>
      <c r="Z2879" s="6" t="s">
        <v>298</v>
      </c>
      <c r="AB2879" s="6" t="s">
        <v>240</v>
      </c>
      <c r="AE2879" s="6" t="s">
        <v>299</v>
      </c>
      <c r="AF2879" s="5" t="s">
        <v>248</v>
      </c>
      <c r="AG2879" s="5" t="s">
        <v>249</v>
      </c>
      <c r="AW2879" s="5" t="s">
        <v>251</v>
      </c>
      <c r="AX2879" s="5" t="s">
        <v>240</v>
      </c>
      <c r="AY2879" s="5" t="s">
        <v>253</v>
      </c>
      <c r="AZ2879" s="5" t="s">
        <v>240</v>
      </c>
      <c r="BA2879" s="5" t="s">
        <v>255</v>
      </c>
      <c r="BB2879" s="5" t="s">
        <v>240</v>
      </c>
      <c r="BD2879" s="5" t="s">
        <v>240</v>
      </c>
      <c r="BF2879" s="5" t="s">
        <v>301</v>
      </c>
      <c r="BG2879" s="6" t="s">
        <v>299</v>
      </c>
      <c r="BH2879" s="5" t="s">
        <v>302</v>
      </c>
      <c r="BI2879" s="5" t="s">
        <v>303</v>
      </c>
      <c r="BJ2879" s="5" t="s">
        <v>240</v>
      </c>
      <c r="BK2879" s="8">
        <f>0</f>
        <v>0</v>
      </c>
      <c r="BL2879" s="7">
        <f>0</f>
        <v>0</v>
      </c>
      <c r="BM2879" s="5" t="s">
        <v>258</v>
      </c>
      <c r="BN2879" s="5" t="s">
        <v>259</v>
      </c>
      <c r="CB2879" s="5" t="s">
        <v>240</v>
      </c>
      <c r="CC2879" s="5" t="s">
        <v>240</v>
      </c>
      <c r="CG2879" s="5" t="s">
        <v>304</v>
      </c>
      <c r="CH2879" s="5" t="s">
        <v>305</v>
      </c>
      <c r="CI2879" s="5" t="s">
        <v>240</v>
      </c>
      <c r="CL2879" s="6" t="s">
        <v>261</v>
      </c>
      <c r="CM2879" s="5" t="s">
        <v>240</v>
      </c>
      <c r="CN2879" s="5" t="s">
        <v>263</v>
      </c>
      <c r="CO2879" s="5" t="s">
        <v>240</v>
      </c>
      <c r="CP2879" s="5" t="s">
        <v>240</v>
      </c>
      <c r="CQ2879" s="5">
        <v>0</v>
      </c>
      <c r="CR2879" s="5" t="s">
        <v>306</v>
      </c>
      <c r="CS2879" s="5" t="s">
        <v>307</v>
      </c>
      <c r="CT2879" s="5" t="s">
        <v>307</v>
      </c>
      <c r="CU2879" s="5" t="s">
        <v>260</v>
      </c>
      <c r="CX2879" s="7">
        <f>1</f>
        <v>1</v>
      </c>
      <c r="CY2879" s="7">
        <f>0</f>
        <v>0</v>
      </c>
      <c r="DA2879" s="7">
        <f>0</f>
        <v>0</v>
      </c>
      <c r="DC2879" s="5" t="s">
        <v>309</v>
      </c>
      <c r="DD2879" s="5" t="s">
        <v>240</v>
      </c>
      <c r="DF2879" s="5" t="s">
        <v>309</v>
      </c>
      <c r="DG2879" s="7">
        <f>1675</f>
        <v>1675</v>
      </c>
      <c r="DI2879" s="5" t="s">
        <v>240</v>
      </c>
      <c r="DJ2879" s="5" t="s">
        <v>240</v>
      </c>
      <c r="DK2879" s="5" t="s">
        <v>240</v>
      </c>
      <c r="DL2879" s="5" t="s">
        <v>240</v>
      </c>
      <c r="DP2879" s="5" t="s">
        <v>240</v>
      </c>
      <c r="DQ2879" s="5" t="s">
        <v>240</v>
      </c>
      <c r="DR2879" s="5" t="s">
        <v>240</v>
      </c>
      <c r="DS2879" s="5" t="s">
        <v>240</v>
      </c>
      <c r="DV2879" s="5" t="s">
        <v>310</v>
      </c>
      <c r="DW2879" s="5" t="s">
        <v>3813</v>
      </c>
      <c r="HO2879" s="5" t="s">
        <v>312</v>
      </c>
    </row>
    <row r="2880" spans="1:223" x14ac:dyDescent="0.4">
      <c r="A2880" s="5">
        <v>4584</v>
      </c>
      <c r="B2880" s="5">
        <v>1</v>
      </c>
      <c r="C2880" s="5">
        <v>1</v>
      </c>
      <c r="D2880" s="5" t="s">
        <v>810</v>
      </c>
      <c r="E2880" s="5" t="s">
        <v>245</v>
      </c>
      <c r="F2880" s="5" t="s">
        <v>254</v>
      </c>
      <c r="G2880" s="5" t="s">
        <v>240</v>
      </c>
      <c r="H2880" s="6" t="s">
        <v>2786</v>
      </c>
      <c r="I2880" s="5" t="s">
        <v>809</v>
      </c>
      <c r="J2880" s="8">
        <f>3331</f>
        <v>3331</v>
      </c>
      <c r="K2880" s="5" t="s">
        <v>308</v>
      </c>
      <c r="L2880" s="7">
        <f>1</f>
        <v>1</v>
      </c>
      <c r="M2880" s="7">
        <f>1</f>
        <v>1</v>
      </c>
      <c r="N2880" s="5" t="s">
        <v>242</v>
      </c>
      <c r="O2880" s="5">
        <v>1</v>
      </c>
      <c r="P2880" s="5" t="s">
        <v>294</v>
      </c>
      <c r="Q2880" s="5" t="s">
        <v>266</v>
      </c>
      <c r="R2880" s="5" t="s">
        <v>240</v>
      </c>
      <c r="S2880" s="5" t="s">
        <v>240</v>
      </c>
      <c r="T2880" s="5" t="s">
        <v>296</v>
      </c>
      <c r="U2880" s="5" t="s">
        <v>244</v>
      </c>
      <c r="V2880" s="5" t="s">
        <v>240</v>
      </c>
      <c r="Y2880" s="5" t="s">
        <v>240</v>
      </c>
      <c r="Z2880" s="6" t="s">
        <v>298</v>
      </c>
      <c r="AB2880" s="6" t="s">
        <v>240</v>
      </c>
      <c r="AE2880" s="6" t="s">
        <v>299</v>
      </c>
      <c r="AF2880" s="5" t="s">
        <v>248</v>
      </c>
      <c r="AG2880" s="5" t="s">
        <v>249</v>
      </c>
      <c r="AW2880" s="5" t="s">
        <v>251</v>
      </c>
      <c r="AX2880" s="5" t="s">
        <v>240</v>
      </c>
      <c r="AY2880" s="5" t="s">
        <v>253</v>
      </c>
      <c r="AZ2880" s="5" t="s">
        <v>240</v>
      </c>
      <c r="BA2880" s="5" t="s">
        <v>255</v>
      </c>
      <c r="BB2880" s="5" t="s">
        <v>240</v>
      </c>
      <c r="BD2880" s="5" t="s">
        <v>240</v>
      </c>
      <c r="BF2880" s="5" t="s">
        <v>301</v>
      </c>
      <c r="BG2880" s="6" t="s">
        <v>299</v>
      </c>
      <c r="BH2880" s="5" t="s">
        <v>302</v>
      </c>
      <c r="BI2880" s="5" t="s">
        <v>303</v>
      </c>
      <c r="BJ2880" s="5" t="s">
        <v>240</v>
      </c>
      <c r="BK2880" s="8">
        <f>0</f>
        <v>0</v>
      </c>
      <c r="BL2880" s="7">
        <f>0</f>
        <v>0</v>
      </c>
      <c r="BM2880" s="5" t="s">
        <v>258</v>
      </c>
      <c r="BN2880" s="5" t="s">
        <v>259</v>
      </c>
      <c r="CB2880" s="5" t="s">
        <v>240</v>
      </c>
      <c r="CC2880" s="5" t="s">
        <v>240</v>
      </c>
      <c r="CG2880" s="5" t="s">
        <v>304</v>
      </c>
      <c r="CH2880" s="5" t="s">
        <v>305</v>
      </c>
      <c r="CI2880" s="5" t="s">
        <v>240</v>
      </c>
      <c r="CL2880" s="6" t="s">
        <v>261</v>
      </c>
      <c r="CM2880" s="5" t="s">
        <v>240</v>
      </c>
      <c r="CN2880" s="5" t="s">
        <v>263</v>
      </c>
      <c r="CO2880" s="5" t="s">
        <v>240</v>
      </c>
      <c r="CP2880" s="5" t="s">
        <v>240</v>
      </c>
      <c r="CQ2880" s="5">
        <v>0</v>
      </c>
      <c r="CR2880" s="5" t="s">
        <v>306</v>
      </c>
      <c r="CS2880" s="5" t="s">
        <v>307</v>
      </c>
      <c r="CT2880" s="5" t="s">
        <v>307</v>
      </c>
      <c r="CU2880" s="5" t="s">
        <v>260</v>
      </c>
      <c r="CX2880" s="7">
        <f>1</f>
        <v>1</v>
      </c>
      <c r="CY2880" s="7">
        <f>0</f>
        <v>0</v>
      </c>
      <c r="DA2880" s="7">
        <f>0</f>
        <v>0</v>
      </c>
      <c r="DC2880" s="5" t="s">
        <v>812</v>
      </c>
      <c r="DD2880" s="5" t="s">
        <v>240</v>
      </c>
      <c r="DF2880" s="5" t="s">
        <v>812</v>
      </c>
      <c r="DG2880" s="7">
        <f>151</f>
        <v>151</v>
      </c>
      <c r="DI2880" s="5" t="s">
        <v>240</v>
      </c>
      <c r="DJ2880" s="5" t="s">
        <v>240</v>
      </c>
      <c r="DK2880" s="5" t="s">
        <v>240</v>
      </c>
      <c r="DL2880" s="5" t="s">
        <v>240</v>
      </c>
      <c r="DP2880" s="5" t="s">
        <v>240</v>
      </c>
      <c r="DQ2880" s="5" t="s">
        <v>240</v>
      </c>
      <c r="DR2880" s="5" t="s">
        <v>240</v>
      </c>
      <c r="DS2880" s="5" t="s">
        <v>240</v>
      </c>
      <c r="DV2880" s="5" t="s">
        <v>813</v>
      </c>
      <c r="DW2880" s="5" t="s">
        <v>4958</v>
      </c>
      <c r="HO2880" s="5" t="s">
        <v>312</v>
      </c>
    </row>
    <row r="2881" spans="1:240" x14ac:dyDescent="0.4">
      <c r="A2881" s="5">
        <v>4585</v>
      </c>
      <c r="B2881" s="5">
        <v>1</v>
      </c>
      <c r="C2881" s="5">
        <v>1</v>
      </c>
      <c r="D2881" s="5" t="s">
        <v>810</v>
      </c>
      <c r="E2881" s="5" t="s">
        <v>245</v>
      </c>
      <c r="F2881" s="5" t="s">
        <v>254</v>
      </c>
      <c r="G2881" s="5" t="s">
        <v>240</v>
      </c>
      <c r="H2881" s="6" t="s">
        <v>2784</v>
      </c>
      <c r="I2881" s="5" t="s">
        <v>809</v>
      </c>
      <c r="J2881" s="8">
        <f>2627</f>
        <v>2627</v>
      </c>
      <c r="K2881" s="5" t="s">
        <v>308</v>
      </c>
      <c r="L2881" s="7">
        <f>1</f>
        <v>1</v>
      </c>
      <c r="M2881" s="7">
        <f>1</f>
        <v>1</v>
      </c>
      <c r="N2881" s="5" t="s">
        <v>242</v>
      </c>
      <c r="O2881" s="5">
        <v>1</v>
      </c>
      <c r="P2881" s="5" t="s">
        <v>294</v>
      </c>
      <c r="Q2881" s="5" t="s">
        <v>266</v>
      </c>
      <c r="R2881" s="5" t="s">
        <v>240</v>
      </c>
      <c r="S2881" s="5" t="s">
        <v>240</v>
      </c>
      <c r="T2881" s="5" t="s">
        <v>296</v>
      </c>
      <c r="U2881" s="5" t="s">
        <v>244</v>
      </c>
      <c r="V2881" s="5" t="s">
        <v>240</v>
      </c>
      <c r="Y2881" s="5" t="s">
        <v>240</v>
      </c>
      <c r="Z2881" s="6" t="s">
        <v>298</v>
      </c>
      <c r="AB2881" s="6" t="s">
        <v>240</v>
      </c>
      <c r="AE2881" s="6" t="s">
        <v>299</v>
      </c>
      <c r="AF2881" s="5" t="s">
        <v>248</v>
      </c>
      <c r="AG2881" s="5" t="s">
        <v>249</v>
      </c>
      <c r="AW2881" s="5" t="s">
        <v>251</v>
      </c>
      <c r="AX2881" s="5" t="s">
        <v>240</v>
      </c>
      <c r="AY2881" s="5" t="s">
        <v>253</v>
      </c>
      <c r="AZ2881" s="5" t="s">
        <v>240</v>
      </c>
      <c r="BA2881" s="5" t="s">
        <v>255</v>
      </c>
      <c r="BB2881" s="5" t="s">
        <v>240</v>
      </c>
      <c r="BD2881" s="5" t="s">
        <v>240</v>
      </c>
      <c r="BF2881" s="5" t="s">
        <v>301</v>
      </c>
      <c r="BG2881" s="6" t="s">
        <v>299</v>
      </c>
      <c r="BH2881" s="5" t="s">
        <v>302</v>
      </c>
      <c r="BI2881" s="5" t="s">
        <v>303</v>
      </c>
      <c r="BJ2881" s="5" t="s">
        <v>240</v>
      </c>
      <c r="BK2881" s="8">
        <f>0</f>
        <v>0</v>
      </c>
      <c r="BL2881" s="7">
        <f>0</f>
        <v>0</v>
      </c>
      <c r="BM2881" s="5" t="s">
        <v>258</v>
      </c>
      <c r="BN2881" s="5" t="s">
        <v>259</v>
      </c>
      <c r="CB2881" s="5" t="s">
        <v>240</v>
      </c>
      <c r="CC2881" s="5" t="s">
        <v>240</v>
      </c>
      <c r="CG2881" s="5" t="s">
        <v>304</v>
      </c>
      <c r="CH2881" s="5" t="s">
        <v>305</v>
      </c>
      <c r="CI2881" s="5" t="s">
        <v>240</v>
      </c>
      <c r="CL2881" s="6" t="s">
        <v>261</v>
      </c>
      <c r="CM2881" s="5" t="s">
        <v>240</v>
      </c>
      <c r="CN2881" s="5" t="s">
        <v>263</v>
      </c>
      <c r="CO2881" s="5" t="s">
        <v>240</v>
      </c>
      <c r="CP2881" s="5" t="s">
        <v>240</v>
      </c>
      <c r="CQ2881" s="5">
        <v>0</v>
      </c>
      <c r="CR2881" s="5" t="s">
        <v>306</v>
      </c>
      <c r="CS2881" s="5" t="s">
        <v>307</v>
      </c>
      <c r="CT2881" s="5" t="s">
        <v>307</v>
      </c>
      <c r="CU2881" s="5" t="s">
        <v>260</v>
      </c>
      <c r="CX2881" s="7">
        <f>1</f>
        <v>1</v>
      </c>
      <c r="CY2881" s="7">
        <f>0</f>
        <v>0</v>
      </c>
      <c r="DA2881" s="7">
        <f>0</f>
        <v>0</v>
      </c>
      <c r="DC2881" s="5" t="s">
        <v>812</v>
      </c>
      <c r="DD2881" s="5" t="s">
        <v>240</v>
      </c>
      <c r="DF2881" s="5" t="s">
        <v>812</v>
      </c>
      <c r="DG2881" s="7">
        <f>736</f>
        <v>736</v>
      </c>
      <c r="DI2881" s="5" t="s">
        <v>240</v>
      </c>
      <c r="DJ2881" s="5" t="s">
        <v>240</v>
      </c>
      <c r="DK2881" s="5" t="s">
        <v>240</v>
      </c>
      <c r="DL2881" s="5" t="s">
        <v>240</v>
      </c>
      <c r="DP2881" s="5" t="s">
        <v>240</v>
      </c>
      <c r="DQ2881" s="5" t="s">
        <v>240</v>
      </c>
      <c r="DR2881" s="5" t="s">
        <v>240</v>
      </c>
      <c r="DS2881" s="5" t="s">
        <v>240</v>
      </c>
      <c r="DV2881" s="5" t="s">
        <v>813</v>
      </c>
      <c r="DW2881" s="5" t="s">
        <v>4971</v>
      </c>
      <c r="HO2881" s="5" t="s">
        <v>312</v>
      </c>
    </row>
    <row r="2882" spans="1:240" x14ac:dyDescent="0.4">
      <c r="A2882" s="5">
        <v>4586</v>
      </c>
      <c r="B2882" s="5">
        <v>1</v>
      </c>
      <c r="C2882" s="5">
        <v>1</v>
      </c>
      <c r="D2882" s="5" t="s">
        <v>810</v>
      </c>
      <c r="E2882" s="5" t="s">
        <v>245</v>
      </c>
      <c r="F2882" s="5" t="s">
        <v>254</v>
      </c>
      <c r="G2882" s="5" t="s">
        <v>240</v>
      </c>
      <c r="H2882" s="6" t="s">
        <v>2782</v>
      </c>
      <c r="I2882" s="5" t="s">
        <v>809</v>
      </c>
      <c r="J2882" s="8">
        <f>70</f>
        <v>70</v>
      </c>
      <c r="K2882" s="5" t="s">
        <v>308</v>
      </c>
      <c r="L2882" s="7">
        <f>1</f>
        <v>1</v>
      </c>
      <c r="M2882" s="7">
        <f>1</f>
        <v>1</v>
      </c>
      <c r="N2882" s="5" t="s">
        <v>242</v>
      </c>
      <c r="O2882" s="5">
        <v>1</v>
      </c>
      <c r="P2882" s="5" t="s">
        <v>294</v>
      </c>
      <c r="Q2882" s="5" t="s">
        <v>266</v>
      </c>
      <c r="R2882" s="5" t="s">
        <v>240</v>
      </c>
      <c r="S2882" s="5" t="s">
        <v>240</v>
      </c>
      <c r="T2882" s="5" t="s">
        <v>296</v>
      </c>
      <c r="U2882" s="5" t="s">
        <v>244</v>
      </c>
      <c r="V2882" s="5" t="s">
        <v>240</v>
      </c>
      <c r="Y2882" s="5" t="s">
        <v>240</v>
      </c>
      <c r="Z2882" s="6" t="s">
        <v>298</v>
      </c>
      <c r="AB2882" s="6" t="s">
        <v>240</v>
      </c>
      <c r="AE2882" s="6" t="s">
        <v>299</v>
      </c>
      <c r="AF2882" s="5" t="s">
        <v>248</v>
      </c>
      <c r="AG2882" s="5" t="s">
        <v>249</v>
      </c>
      <c r="AW2882" s="5" t="s">
        <v>251</v>
      </c>
      <c r="AX2882" s="5" t="s">
        <v>240</v>
      </c>
      <c r="AY2882" s="5" t="s">
        <v>253</v>
      </c>
      <c r="AZ2882" s="5" t="s">
        <v>240</v>
      </c>
      <c r="BA2882" s="5" t="s">
        <v>255</v>
      </c>
      <c r="BB2882" s="5" t="s">
        <v>240</v>
      </c>
      <c r="BD2882" s="5" t="s">
        <v>240</v>
      </c>
      <c r="BF2882" s="5" t="s">
        <v>301</v>
      </c>
      <c r="BG2882" s="6" t="s">
        <v>299</v>
      </c>
      <c r="BH2882" s="5" t="s">
        <v>302</v>
      </c>
      <c r="BI2882" s="5" t="s">
        <v>303</v>
      </c>
      <c r="BJ2882" s="5" t="s">
        <v>240</v>
      </c>
      <c r="BK2882" s="8">
        <f>0</f>
        <v>0</v>
      </c>
      <c r="BL2882" s="7">
        <f>0</f>
        <v>0</v>
      </c>
      <c r="BM2882" s="5" t="s">
        <v>258</v>
      </c>
      <c r="BN2882" s="5" t="s">
        <v>259</v>
      </c>
      <c r="CB2882" s="5" t="s">
        <v>240</v>
      </c>
      <c r="CC2882" s="5" t="s">
        <v>240</v>
      </c>
      <c r="CG2882" s="5" t="s">
        <v>304</v>
      </c>
      <c r="CH2882" s="5" t="s">
        <v>305</v>
      </c>
      <c r="CI2882" s="5" t="s">
        <v>240</v>
      </c>
      <c r="CL2882" s="6" t="s">
        <v>261</v>
      </c>
      <c r="CM2882" s="5" t="s">
        <v>240</v>
      </c>
      <c r="CN2882" s="5" t="s">
        <v>263</v>
      </c>
      <c r="CO2882" s="5" t="s">
        <v>240</v>
      </c>
      <c r="CP2882" s="5" t="s">
        <v>240</v>
      </c>
      <c r="CQ2882" s="5">
        <v>0</v>
      </c>
      <c r="CR2882" s="5" t="s">
        <v>306</v>
      </c>
      <c r="CS2882" s="5" t="s">
        <v>307</v>
      </c>
      <c r="CT2882" s="5" t="s">
        <v>307</v>
      </c>
      <c r="CU2882" s="5" t="s">
        <v>260</v>
      </c>
      <c r="CX2882" s="7">
        <f>1</f>
        <v>1</v>
      </c>
      <c r="CY2882" s="7">
        <f>0</f>
        <v>0</v>
      </c>
      <c r="DA2882" s="7">
        <f>0</f>
        <v>0</v>
      </c>
      <c r="DC2882" s="5" t="s">
        <v>309</v>
      </c>
      <c r="DD2882" s="5" t="s">
        <v>240</v>
      </c>
      <c r="DF2882" s="5" t="s">
        <v>309</v>
      </c>
      <c r="DG2882" s="7">
        <f>2784</f>
        <v>2784</v>
      </c>
      <c r="DI2882" s="5" t="s">
        <v>240</v>
      </c>
      <c r="DJ2882" s="5" t="s">
        <v>240</v>
      </c>
      <c r="DK2882" s="5" t="s">
        <v>240</v>
      </c>
      <c r="DL2882" s="5" t="s">
        <v>240</v>
      </c>
      <c r="DP2882" s="5" t="s">
        <v>240</v>
      </c>
      <c r="DQ2882" s="5" t="s">
        <v>240</v>
      </c>
      <c r="DR2882" s="5" t="s">
        <v>240</v>
      </c>
      <c r="DS2882" s="5" t="s">
        <v>240</v>
      </c>
      <c r="DV2882" s="5" t="s">
        <v>310</v>
      </c>
      <c r="DW2882" s="5" t="s">
        <v>3823</v>
      </c>
      <c r="HO2882" s="5" t="s">
        <v>312</v>
      </c>
    </row>
    <row r="2883" spans="1:240" x14ac:dyDescent="0.4">
      <c r="A2883" s="5">
        <v>4587</v>
      </c>
      <c r="B2883" s="5">
        <v>1</v>
      </c>
      <c r="C2883" s="5">
        <v>1</v>
      </c>
      <c r="D2883" s="5" t="s">
        <v>810</v>
      </c>
      <c r="E2883" s="5" t="s">
        <v>245</v>
      </c>
      <c r="F2883" s="5" t="s">
        <v>254</v>
      </c>
      <c r="G2883" s="5" t="s">
        <v>240</v>
      </c>
      <c r="H2883" s="6" t="s">
        <v>2780</v>
      </c>
      <c r="I2883" s="5" t="s">
        <v>809</v>
      </c>
      <c r="J2883" s="8">
        <f>230</f>
        <v>230</v>
      </c>
      <c r="K2883" s="5" t="s">
        <v>308</v>
      </c>
      <c r="L2883" s="7">
        <f>1</f>
        <v>1</v>
      </c>
      <c r="M2883" s="7">
        <f>1</f>
        <v>1</v>
      </c>
      <c r="N2883" s="5" t="s">
        <v>242</v>
      </c>
      <c r="O2883" s="5">
        <v>1</v>
      </c>
      <c r="P2883" s="5" t="s">
        <v>294</v>
      </c>
      <c r="Q2883" s="5" t="s">
        <v>266</v>
      </c>
      <c r="R2883" s="5" t="s">
        <v>240</v>
      </c>
      <c r="S2883" s="5" t="s">
        <v>240</v>
      </c>
      <c r="T2883" s="5" t="s">
        <v>296</v>
      </c>
      <c r="U2883" s="5" t="s">
        <v>244</v>
      </c>
      <c r="V2883" s="5" t="s">
        <v>240</v>
      </c>
      <c r="Y2883" s="5" t="s">
        <v>240</v>
      </c>
      <c r="Z2883" s="6" t="s">
        <v>298</v>
      </c>
      <c r="AB2883" s="6" t="s">
        <v>240</v>
      </c>
      <c r="AE2883" s="6" t="s">
        <v>299</v>
      </c>
      <c r="AF2883" s="5" t="s">
        <v>248</v>
      </c>
      <c r="AG2883" s="5" t="s">
        <v>249</v>
      </c>
      <c r="AW2883" s="5" t="s">
        <v>251</v>
      </c>
      <c r="AX2883" s="5" t="s">
        <v>240</v>
      </c>
      <c r="AY2883" s="5" t="s">
        <v>253</v>
      </c>
      <c r="AZ2883" s="5" t="s">
        <v>240</v>
      </c>
      <c r="BA2883" s="5" t="s">
        <v>255</v>
      </c>
      <c r="BB2883" s="5" t="s">
        <v>240</v>
      </c>
      <c r="BD2883" s="5" t="s">
        <v>240</v>
      </c>
      <c r="BF2883" s="5" t="s">
        <v>301</v>
      </c>
      <c r="BG2883" s="6" t="s">
        <v>299</v>
      </c>
      <c r="BH2883" s="5" t="s">
        <v>302</v>
      </c>
      <c r="BI2883" s="5" t="s">
        <v>303</v>
      </c>
      <c r="BJ2883" s="5" t="s">
        <v>240</v>
      </c>
      <c r="BK2883" s="8">
        <f>0</f>
        <v>0</v>
      </c>
      <c r="BL2883" s="7">
        <f>0</f>
        <v>0</v>
      </c>
      <c r="BM2883" s="5" t="s">
        <v>258</v>
      </c>
      <c r="BN2883" s="5" t="s">
        <v>259</v>
      </c>
      <c r="CB2883" s="5" t="s">
        <v>240</v>
      </c>
      <c r="CC2883" s="5" t="s">
        <v>240</v>
      </c>
      <c r="CG2883" s="5" t="s">
        <v>304</v>
      </c>
      <c r="CH2883" s="5" t="s">
        <v>305</v>
      </c>
      <c r="CI2883" s="5" t="s">
        <v>240</v>
      </c>
      <c r="CL2883" s="6" t="s">
        <v>261</v>
      </c>
      <c r="CM2883" s="5" t="s">
        <v>240</v>
      </c>
      <c r="CN2883" s="5" t="s">
        <v>263</v>
      </c>
      <c r="CO2883" s="5" t="s">
        <v>240</v>
      </c>
      <c r="CP2883" s="5" t="s">
        <v>240</v>
      </c>
      <c r="CQ2883" s="5">
        <v>0</v>
      </c>
      <c r="CR2883" s="5" t="s">
        <v>306</v>
      </c>
      <c r="CS2883" s="5" t="s">
        <v>307</v>
      </c>
      <c r="CT2883" s="5" t="s">
        <v>307</v>
      </c>
      <c r="CU2883" s="5" t="s">
        <v>260</v>
      </c>
      <c r="CX2883" s="7">
        <f>1</f>
        <v>1</v>
      </c>
      <c r="CY2883" s="7">
        <f>0</f>
        <v>0</v>
      </c>
      <c r="DA2883" s="7">
        <f>0</f>
        <v>0</v>
      </c>
      <c r="DC2883" s="5" t="s">
        <v>812</v>
      </c>
      <c r="DD2883" s="5" t="s">
        <v>240</v>
      </c>
      <c r="DF2883" s="5" t="s">
        <v>812</v>
      </c>
      <c r="DG2883" s="7">
        <f>47</f>
        <v>47</v>
      </c>
      <c r="DI2883" s="5" t="s">
        <v>240</v>
      </c>
      <c r="DJ2883" s="5" t="s">
        <v>240</v>
      </c>
      <c r="DK2883" s="5" t="s">
        <v>240</v>
      </c>
      <c r="DL2883" s="5" t="s">
        <v>240</v>
      </c>
      <c r="DP2883" s="5" t="s">
        <v>240</v>
      </c>
      <c r="DQ2883" s="5" t="s">
        <v>240</v>
      </c>
      <c r="DR2883" s="5" t="s">
        <v>240</v>
      </c>
      <c r="DS2883" s="5" t="s">
        <v>240</v>
      </c>
      <c r="DV2883" s="5" t="s">
        <v>813</v>
      </c>
      <c r="DW2883" s="5" t="s">
        <v>4968</v>
      </c>
      <c r="HO2883" s="5" t="s">
        <v>312</v>
      </c>
    </row>
    <row r="2884" spans="1:240" x14ac:dyDescent="0.4">
      <c r="A2884" s="5">
        <v>4588</v>
      </c>
      <c r="B2884" s="5">
        <v>1</v>
      </c>
      <c r="C2884" s="5">
        <v>1</v>
      </c>
      <c r="D2884" s="5" t="s">
        <v>810</v>
      </c>
      <c r="E2884" s="5" t="s">
        <v>245</v>
      </c>
      <c r="F2884" s="5" t="s">
        <v>254</v>
      </c>
      <c r="G2884" s="5" t="s">
        <v>240</v>
      </c>
      <c r="H2884" s="6" t="s">
        <v>2778</v>
      </c>
      <c r="I2884" s="5" t="s">
        <v>809</v>
      </c>
      <c r="J2884" s="8">
        <f>223</f>
        <v>223</v>
      </c>
      <c r="K2884" s="5" t="s">
        <v>308</v>
      </c>
      <c r="L2884" s="7">
        <f>1</f>
        <v>1</v>
      </c>
      <c r="M2884" s="7">
        <f>1</f>
        <v>1</v>
      </c>
      <c r="N2884" s="5" t="s">
        <v>242</v>
      </c>
      <c r="O2884" s="5">
        <v>1</v>
      </c>
      <c r="P2884" s="5" t="s">
        <v>294</v>
      </c>
      <c r="Q2884" s="5" t="s">
        <v>266</v>
      </c>
      <c r="R2884" s="5" t="s">
        <v>240</v>
      </c>
      <c r="S2884" s="5" t="s">
        <v>240</v>
      </c>
      <c r="T2884" s="5" t="s">
        <v>296</v>
      </c>
      <c r="U2884" s="5" t="s">
        <v>244</v>
      </c>
      <c r="V2884" s="5" t="s">
        <v>240</v>
      </c>
      <c r="Y2884" s="5" t="s">
        <v>240</v>
      </c>
      <c r="Z2884" s="6" t="s">
        <v>298</v>
      </c>
      <c r="AB2884" s="6" t="s">
        <v>240</v>
      </c>
      <c r="AE2884" s="6" t="s">
        <v>299</v>
      </c>
      <c r="AF2884" s="5" t="s">
        <v>248</v>
      </c>
      <c r="AG2884" s="5" t="s">
        <v>249</v>
      </c>
      <c r="AW2884" s="5" t="s">
        <v>251</v>
      </c>
      <c r="AX2884" s="5" t="s">
        <v>240</v>
      </c>
      <c r="AY2884" s="5" t="s">
        <v>253</v>
      </c>
      <c r="AZ2884" s="5" t="s">
        <v>240</v>
      </c>
      <c r="BA2884" s="5" t="s">
        <v>255</v>
      </c>
      <c r="BB2884" s="5" t="s">
        <v>240</v>
      </c>
      <c r="BD2884" s="5" t="s">
        <v>240</v>
      </c>
      <c r="BF2884" s="5" t="s">
        <v>301</v>
      </c>
      <c r="BG2884" s="6" t="s">
        <v>299</v>
      </c>
      <c r="BH2884" s="5" t="s">
        <v>302</v>
      </c>
      <c r="BI2884" s="5" t="s">
        <v>303</v>
      </c>
      <c r="BJ2884" s="5" t="s">
        <v>240</v>
      </c>
      <c r="BK2884" s="8">
        <f>0</f>
        <v>0</v>
      </c>
      <c r="BL2884" s="7">
        <f>0</f>
        <v>0</v>
      </c>
      <c r="BM2884" s="5" t="s">
        <v>258</v>
      </c>
      <c r="BN2884" s="5" t="s">
        <v>259</v>
      </c>
      <c r="CB2884" s="5" t="s">
        <v>240</v>
      </c>
      <c r="CC2884" s="5" t="s">
        <v>240</v>
      </c>
      <c r="CG2884" s="5" t="s">
        <v>304</v>
      </c>
      <c r="CH2884" s="5" t="s">
        <v>305</v>
      </c>
      <c r="CI2884" s="5" t="s">
        <v>240</v>
      </c>
      <c r="CL2884" s="6" t="s">
        <v>261</v>
      </c>
      <c r="CM2884" s="5" t="s">
        <v>240</v>
      </c>
      <c r="CN2884" s="5" t="s">
        <v>263</v>
      </c>
      <c r="CO2884" s="5" t="s">
        <v>240</v>
      </c>
      <c r="CP2884" s="5" t="s">
        <v>240</v>
      </c>
      <c r="CQ2884" s="5">
        <v>0</v>
      </c>
      <c r="CR2884" s="5" t="s">
        <v>306</v>
      </c>
      <c r="CS2884" s="5" t="s">
        <v>307</v>
      </c>
      <c r="CT2884" s="5" t="s">
        <v>307</v>
      </c>
      <c r="CU2884" s="5" t="s">
        <v>260</v>
      </c>
      <c r="CX2884" s="7">
        <f>1</f>
        <v>1</v>
      </c>
      <c r="CY2884" s="7">
        <f>0</f>
        <v>0</v>
      </c>
      <c r="DA2884" s="7">
        <f>0</f>
        <v>0</v>
      </c>
      <c r="DC2884" s="5" t="s">
        <v>309</v>
      </c>
      <c r="DD2884" s="5" t="s">
        <v>240</v>
      </c>
      <c r="DF2884" s="5" t="s">
        <v>309</v>
      </c>
      <c r="DG2884" s="7">
        <f>3681</f>
        <v>3681</v>
      </c>
      <c r="DI2884" s="5" t="s">
        <v>240</v>
      </c>
      <c r="DJ2884" s="5" t="s">
        <v>240</v>
      </c>
      <c r="DK2884" s="5" t="s">
        <v>240</v>
      </c>
      <c r="DL2884" s="5" t="s">
        <v>240</v>
      </c>
      <c r="DP2884" s="5" t="s">
        <v>240</v>
      </c>
      <c r="DQ2884" s="5" t="s">
        <v>240</v>
      </c>
      <c r="DR2884" s="5" t="s">
        <v>240</v>
      </c>
      <c r="DS2884" s="5" t="s">
        <v>240</v>
      </c>
      <c r="DV2884" s="5" t="s">
        <v>310</v>
      </c>
      <c r="DW2884" s="5" t="s">
        <v>3821</v>
      </c>
      <c r="HO2884" s="5" t="s">
        <v>312</v>
      </c>
    </row>
    <row r="2885" spans="1:240" x14ac:dyDescent="0.4">
      <c r="A2885" s="5">
        <v>4589</v>
      </c>
      <c r="B2885" s="5">
        <v>1</v>
      </c>
      <c r="C2885" s="5">
        <v>1</v>
      </c>
      <c r="D2885" s="5" t="s">
        <v>810</v>
      </c>
      <c r="E2885" s="5" t="s">
        <v>245</v>
      </c>
      <c r="F2885" s="5" t="s">
        <v>254</v>
      </c>
      <c r="G2885" s="5" t="s">
        <v>240</v>
      </c>
      <c r="H2885" s="6" t="s">
        <v>2776</v>
      </c>
      <c r="I2885" s="5" t="s">
        <v>809</v>
      </c>
      <c r="J2885" s="8">
        <f>225</f>
        <v>225</v>
      </c>
      <c r="K2885" s="5" t="s">
        <v>308</v>
      </c>
      <c r="L2885" s="7">
        <f>1</f>
        <v>1</v>
      </c>
      <c r="M2885" s="7">
        <f>1</f>
        <v>1</v>
      </c>
      <c r="N2885" s="5" t="s">
        <v>242</v>
      </c>
      <c r="O2885" s="5">
        <v>1</v>
      </c>
      <c r="P2885" s="5" t="s">
        <v>294</v>
      </c>
      <c r="Q2885" s="5" t="s">
        <v>3678</v>
      </c>
      <c r="R2885" s="5" t="s">
        <v>240</v>
      </c>
      <c r="S2885" s="5" t="s">
        <v>240</v>
      </c>
      <c r="T2885" s="5" t="s">
        <v>243</v>
      </c>
      <c r="U2885" s="5" t="s">
        <v>244</v>
      </c>
      <c r="V2885" s="5" t="s">
        <v>240</v>
      </c>
      <c r="W2885" s="5" t="s">
        <v>240</v>
      </c>
      <c r="X2885" s="5" t="s">
        <v>240</v>
      </c>
      <c r="Y2885" s="5" t="s">
        <v>240</v>
      </c>
      <c r="Z2885" s="6" t="s">
        <v>298</v>
      </c>
      <c r="AA2885" s="6" t="s">
        <v>240</v>
      </c>
      <c r="AB2885" s="6" t="s">
        <v>240</v>
      </c>
      <c r="AC2885" s="5" t="s">
        <v>240</v>
      </c>
      <c r="AD2885" s="6" t="s">
        <v>240</v>
      </c>
      <c r="AE2885" s="6" t="s">
        <v>299</v>
      </c>
      <c r="AF2885" s="5" t="s">
        <v>248</v>
      </c>
      <c r="AG2885" s="5" t="s">
        <v>249</v>
      </c>
      <c r="AH2885" s="5" t="s">
        <v>240</v>
      </c>
      <c r="AI2885" s="5" t="s">
        <v>240</v>
      </c>
      <c r="AJ2885" s="5" t="s">
        <v>240</v>
      </c>
      <c r="AK2885" s="5" t="s">
        <v>240</v>
      </c>
      <c r="AL2885" s="5" t="s">
        <v>240</v>
      </c>
      <c r="AM2885" s="5" t="s">
        <v>240</v>
      </c>
      <c r="AN2885" s="5" t="s">
        <v>240</v>
      </c>
      <c r="AO2885" s="5" t="s">
        <v>240</v>
      </c>
      <c r="AP2885" s="6" t="s">
        <v>240</v>
      </c>
      <c r="AQ2885" s="6" t="s">
        <v>240</v>
      </c>
      <c r="AR2885" s="6" t="s">
        <v>240</v>
      </c>
      <c r="AS2885" s="6" t="s">
        <v>240</v>
      </c>
      <c r="AT2885" s="5" t="s">
        <v>240</v>
      </c>
      <c r="AU2885" s="5" t="s">
        <v>729</v>
      </c>
      <c r="AV2885" s="5" t="s">
        <v>729</v>
      </c>
      <c r="AW2885" s="5" t="s">
        <v>251</v>
      </c>
      <c r="AX2885" s="5" t="s">
        <v>252</v>
      </c>
      <c r="AY2885" s="5" t="s">
        <v>253</v>
      </c>
      <c r="AZ2885" s="5" t="s">
        <v>240</v>
      </c>
      <c r="BA2885" s="5" t="s">
        <v>255</v>
      </c>
      <c r="BB2885" s="5" t="s">
        <v>731</v>
      </c>
      <c r="BD2885" s="5" t="s">
        <v>240</v>
      </c>
      <c r="BF2885" s="5" t="s">
        <v>732</v>
      </c>
      <c r="BG2885" s="6" t="s">
        <v>733</v>
      </c>
      <c r="BH2885" s="5" t="s">
        <v>734</v>
      </c>
      <c r="BI2885" s="5" t="s">
        <v>734</v>
      </c>
      <c r="BJ2885" s="5" t="s">
        <v>240</v>
      </c>
      <c r="BK2885" s="7">
        <f>1</f>
        <v>1</v>
      </c>
      <c r="BL2885" s="7">
        <f>1</f>
        <v>1</v>
      </c>
      <c r="BM2885" s="5" t="s">
        <v>258</v>
      </c>
      <c r="BN2885" s="5" t="s">
        <v>259</v>
      </c>
      <c r="BO2885" s="5" t="s">
        <v>240</v>
      </c>
      <c r="BP2885" s="5" t="s">
        <v>240</v>
      </c>
      <c r="BQ2885" s="5" t="s">
        <v>240</v>
      </c>
      <c r="BR2885" s="5" t="s">
        <v>240</v>
      </c>
      <c r="BS2885" s="5" t="s">
        <v>240</v>
      </c>
      <c r="BT2885" s="5" t="s">
        <v>240</v>
      </c>
      <c r="BU2885" s="5" t="s">
        <v>240</v>
      </c>
      <c r="BV2885" s="5" t="s">
        <v>240</v>
      </c>
      <c r="BW2885" s="6" t="s">
        <v>240</v>
      </c>
      <c r="BX2885" s="5" t="s">
        <v>240</v>
      </c>
      <c r="BY2885" s="5" t="s">
        <v>240</v>
      </c>
      <c r="BZ2885" s="5" t="s">
        <v>240</v>
      </c>
      <c r="CA2885" s="5" t="s">
        <v>259</v>
      </c>
      <c r="CB2885" s="5" t="s">
        <v>240</v>
      </c>
      <c r="CC2885" s="5" t="s">
        <v>240</v>
      </c>
      <c r="CD2885" s="5" t="s">
        <v>240</v>
      </c>
      <c r="CE2885" s="5" t="s">
        <v>240</v>
      </c>
      <c r="CF2885" s="5" t="s">
        <v>240</v>
      </c>
      <c r="CG2885" s="5" t="s">
        <v>304</v>
      </c>
      <c r="CH2885" s="5" t="s">
        <v>305</v>
      </c>
      <c r="CI2885" s="5" t="s">
        <v>240</v>
      </c>
      <c r="CK2885" s="5" t="s">
        <v>3681</v>
      </c>
      <c r="CL2885" s="6" t="s">
        <v>261</v>
      </c>
      <c r="CM2885" s="5" t="s">
        <v>262</v>
      </c>
      <c r="CN2885" s="5" t="s">
        <v>263</v>
      </c>
      <c r="CO2885" s="5" t="s">
        <v>264</v>
      </c>
      <c r="CP2885" s="5" t="s">
        <v>240</v>
      </c>
      <c r="CQ2885" s="5">
        <v>0</v>
      </c>
      <c r="CR2885" s="5" t="s">
        <v>735</v>
      </c>
      <c r="CS2885" s="5" t="s">
        <v>307</v>
      </c>
      <c r="CT2885" s="5" t="s">
        <v>307</v>
      </c>
      <c r="CU2885" s="5" t="s">
        <v>260</v>
      </c>
      <c r="CV2885" s="5" t="s">
        <v>612</v>
      </c>
      <c r="CW2885" s="8">
        <f>1</f>
        <v>1</v>
      </c>
      <c r="CX2885" s="7">
        <f>1</f>
        <v>1</v>
      </c>
      <c r="CY2885" s="7">
        <f>0</f>
        <v>0</v>
      </c>
      <c r="DA2885" s="7">
        <f>1</f>
        <v>1</v>
      </c>
      <c r="DB2885" s="7" t="s">
        <v>240</v>
      </c>
      <c r="DC2885" s="5" t="s">
        <v>240</v>
      </c>
      <c r="DD2885" s="5" t="s">
        <v>240</v>
      </c>
      <c r="DE2885" s="5" t="s">
        <v>240</v>
      </c>
      <c r="DF2885" s="5" t="s">
        <v>240</v>
      </c>
      <c r="DG2885" s="7">
        <f>0</f>
        <v>0</v>
      </c>
      <c r="DI2885" s="5" t="s">
        <v>240</v>
      </c>
      <c r="DJ2885" s="5" t="s">
        <v>240</v>
      </c>
      <c r="DK2885" s="5" t="s">
        <v>240</v>
      </c>
      <c r="DL2885" s="5" t="s">
        <v>240</v>
      </c>
      <c r="DM2885" s="5" t="s">
        <v>240</v>
      </c>
      <c r="DN2885" s="5" t="s">
        <v>240</v>
      </c>
      <c r="DO2885" s="7" t="s">
        <v>240</v>
      </c>
      <c r="DP2885" s="5" t="s">
        <v>240</v>
      </c>
      <c r="DQ2885" s="5" t="s">
        <v>240</v>
      </c>
      <c r="DR2885" s="5" t="s">
        <v>731</v>
      </c>
      <c r="DS2885" s="5" t="s">
        <v>731</v>
      </c>
      <c r="DT2885" s="5" t="s">
        <v>240</v>
      </c>
      <c r="DU2885" s="5" t="s">
        <v>240</v>
      </c>
      <c r="DV2885" s="5" t="s">
        <v>3683</v>
      </c>
      <c r="DW2885" s="5" t="s">
        <v>384</v>
      </c>
      <c r="DX2885" s="5" t="s">
        <v>240</v>
      </c>
      <c r="DY2885" s="5" t="s">
        <v>240</v>
      </c>
      <c r="DZ2885" s="5" t="s">
        <v>240</v>
      </c>
      <c r="EA2885" s="5" t="s">
        <v>240</v>
      </c>
      <c r="EB2885" s="5" t="s">
        <v>240</v>
      </c>
      <c r="EC2885" s="5" t="s">
        <v>240</v>
      </c>
      <c r="ED2885" s="5" t="s">
        <v>240</v>
      </c>
      <c r="EE2885" s="5" t="s">
        <v>240</v>
      </c>
      <c r="EF2885" s="5" t="s">
        <v>240</v>
      </c>
      <c r="EG2885" s="5" t="s">
        <v>240</v>
      </c>
      <c r="EH2885" s="5" t="s">
        <v>240</v>
      </c>
      <c r="EI2885" s="5" t="s">
        <v>240</v>
      </c>
      <c r="EJ2885" s="5" t="s">
        <v>240</v>
      </c>
      <c r="EK2885" s="5" t="s">
        <v>240</v>
      </c>
      <c r="EL2885" s="5" t="s">
        <v>240</v>
      </c>
      <c r="EM2885" s="5" t="s">
        <v>240</v>
      </c>
      <c r="EN2885" s="5" t="s">
        <v>240</v>
      </c>
      <c r="EO2885" s="5" t="s">
        <v>240</v>
      </c>
      <c r="EP2885" s="5" t="s">
        <v>240</v>
      </c>
      <c r="EQ2885" s="5" t="s">
        <v>240</v>
      </c>
      <c r="ER2885" s="5" t="s">
        <v>240</v>
      </c>
      <c r="ES2885" s="5" t="s">
        <v>240</v>
      </c>
      <c r="ET2885" s="5" t="s">
        <v>240</v>
      </c>
      <c r="EU2885" s="5" t="s">
        <v>240</v>
      </c>
      <c r="EV2885" s="5" t="s">
        <v>240</v>
      </c>
      <c r="EW2885" s="5" t="s">
        <v>240</v>
      </c>
      <c r="EX2885" s="5" t="s">
        <v>240</v>
      </c>
      <c r="EY2885" s="5" t="s">
        <v>240</v>
      </c>
      <c r="EZ2885" s="5" t="s">
        <v>240</v>
      </c>
      <c r="FA2885" s="5" t="s">
        <v>240</v>
      </c>
      <c r="FB2885" s="5" t="s">
        <v>240</v>
      </c>
      <c r="FC2885" s="5" t="s">
        <v>240</v>
      </c>
      <c r="FD2885" s="5" t="s">
        <v>240</v>
      </c>
      <c r="FE2885" s="5" t="s">
        <v>240</v>
      </c>
      <c r="FF2885" s="5" t="s">
        <v>240</v>
      </c>
      <c r="FG2885" s="5" t="s">
        <v>240</v>
      </c>
      <c r="FH2885" s="5" t="s">
        <v>240</v>
      </c>
      <c r="FI2885" s="5" t="s">
        <v>240</v>
      </c>
      <c r="FJ2885" s="5" t="s">
        <v>240</v>
      </c>
      <c r="FK2885" s="5" t="s">
        <v>240</v>
      </c>
      <c r="FL2885" s="5" t="s">
        <v>240</v>
      </c>
      <c r="FM2885" s="5" t="s">
        <v>240</v>
      </c>
      <c r="FN2885" s="5" t="s">
        <v>240</v>
      </c>
      <c r="FO2885" s="5" t="s">
        <v>240</v>
      </c>
      <c r="FP2885" s="5" t="s">
        <v>240</v>
      </c>
      <c r="FQ2885" s="5" t="s">
        <v>240</v>
      </c>
      <c r="FR2885" s="5" t="s">
        <v>240</v>
      </c>
      <c r="FS2885" s="5" t="s">
        <v>240</v>
      </c>
      <c r="FT2885" s="5" t="s">
        <v>240</v>
      </c>
      <c r="FU2885" s="5" t="s">
        <v>240</v>
      </c>
      <c r="FV2885" s="5" t="s">
        <v>240</v>
      </c>
      <c r="FW2885" s="5" t="s">
        <v>240</v>
      </c>
      <c r="FX2885" s="5" t="s">
        <v>240</v>
      </c>
      <c r="FY2885" s="5" t="s">
        <v>240</v>
      </c>
      <c r="FZ2885" s="5" t="s">
        <v>240</v>
      </c>
      <c r="GA2885" s="5" t="s">
        <v>240</v>
      </c>
      <c r="GB2885" s="5" t="s">
        <v>240</v>
      </c>
      <c r="GC2885" s="5" t="s">
        <v>240</v>
      </c>
      <c r="GD2885" s="5" t="s">
        <v>240</v>
      </c>
      <c r="GE2885" s="5" t="s">
        <v>240</v>
      </c>
      <c r="GF2885" s="5" t="s">
        <v>240</v>
      </c>
      <c r="GG2885" s="5" t="s">
        <v>240</v>
      </c>
      <c r="GH2885" s="5" t="s">
        <v>240</v>
      </c>
      <c r="GI2885" s="5" t="s">
        <v>240</v>
      </c>
      <c r="GJ2885" s="5" t="s">
        <v>240</v>
      </c>
      <c r="GK2885" s="5" t="s">
        <v>240</v>
      </c>
      <c r="GL2885" s="5" t="s">
        <v>240</v>
      </c>
      <c r="GM2885" s="5" t="s">
        <v>240</v>
      </c>
      <c r="GN2885" s="5" t="s">
        <v>240</v>
      </c>
      <c r="GO2885" s="5" t="s">
        <v>240</v>
      </c>
      <c r="GP2885" s="5" t="s">
        <v>240</v>
      </c>
      <c r="GQ2885" s="5" t="s">
        <v>240</v>
      </c>
      <c r="GR2885" s="5" t="s">
        <v>240</v>
      </c>
      <c r="GS2885" s="5" t="s">
        <v>240</v>
      </c>
      <c r="GT2885" s="5" t="s">
        <v>240</v>
      </c>
      <c r="GU2885" s="5" t="s">
        <v>240</v>
      </c>
      <c r="GV2885" s="5" t="s">
        <v>240</v>
      </c>
      <c r="GW2885" s="5" t="s">
        <v>240</v>
      </c>
      <c r="GX2885" s="5" t="s">
        <v>240</v>
      </c>
      <c r="GY2885" s="5" t="s">
        <v>240</v>
      </c>
      <c r="GZ2885" s="5" t="s">
        <v>240</v>
      </c>
      <c r="HA2885" s="5" t="s">
        <v>240</v>
      </c>
      <c r="HB2885" s="5" t="s">
        <v>240</v>
      </c>
      <c r="HC2885" s="5" t="s">
        <v>240</v>
      </c>
      <c r="HD2885" s="5" t="s">
        <v>240</v>
      </c>
      <c r="HE2885" s="5" t="s">
        <v>240</v>
      </c>
      <c r="HF2885" s="5" t="s">
        <v>240</v>
      </c>
      <c r="HG2885" s="5" t="s">
        <v>240</v>
      </c>
      <c r="HH2885" s="5" t="s">
        <v>240</v>
      </c>
      <c r="HI2885" s="5" t="s">
        <v>240</v>
      </c>
      <c r="HJ2885" s="5" t="s">
        <v>240</v>
      </c>
      <c r="HK2885" s="5" t="s">
        <v>240</v>
      </c>
      <c r="HL2885" s="5" t="s">
        <v>240</v>
      </c>
      <c r="HM2885" s="5" t="s">
        <v>240</v>
      </c>
      <c r="HN2885" s="5" t="s">
        <v>240</v>
      </c>
      <c r="HO2885" s="5" t="s">
        <v>312</v>
      </c>
      <c r="HP2885" s="5" t="s">
        <v>240</v>
      </c>
      <c r="HQ2885" s="5" t="s">
        <v>240</v>
      </c>
      <c r="HR2885" s="5" t="s">
        <v>240</v>
      </c>
      <c r="HS2885" s="5" t="s">
        <v>240</v>
      </c>
      <c r="HT2885" s="5" t="s">
        <v>240</v>
      </c>
      <c r="HU2885" s="5" t="s">
        <v>240</v>
      </c>
      <c r="HV2885" s="5" t="s">
        <v>240</v>
      </c>
      <c r="HW2885" s="5" t="s">
        <v>240</v>
      </c>
      <c r="HX2885" s="5" t="s">
        <v>240</v>
      </c>
      <c r="HY2885" s="5" t="s">
        <v>240</v>
      </c>
      <c r="HZ2885" s="5" t="s">
        <v>240</v>
      </c>
      <c r="IA2885" s="5" t="s">
        <v>240</v>
      </c>
      <c r="IB2885" s="5" t="s">
        <v>240</v>
      </c>
      <c r="IC2885" s="5" t="s">
        <v>240</v>
      </c>
      <c r="ID2885" s="5" t="s">
        <v>240</v>
      </c>
      <c r="IE2885" s="5" t="s">
        <v>240</v>
      </c>
      <c r="IF2885" s="5" t="s">
        <v>240</v>
      </c>
    </row>
    <row r="2886" spans="1:240" x14ac:dyDescent="0.4">
      <c r="A2886" s="5">
        <v>4590</v>
      </c>
      <c r="B2886" s="5">
        <v>1</v>
      </c>
      <c r="C2886" s="5">
        <v>1</v>
      </c>
      <c r="D2886" s="5" t="s">
        <v>810</v>
      </c>
      <c r="E2886" s="5" t="s">
        <v>245</v>
      </c>
      <c r="F2886" s="5" t="s">
        <v>254</v>
      </c>
      <c r="G2886" s="5" t="s">
        <v>240</v>
      </c>
      <c r="H2886" s="6" t="s">
        <v>2774</v>
      </c>
      <c r="I2886" s="5" t="s">
        <v>809</v>
      </c>
      <c r="J2886" s="8">
        <f>168</f>
        <v>168</v>
      </c>
      <c r="K2886" s="5" t="s">
        <v>308</v>
      </c>
      <c r="L2886" s="7">
        <f>1</f>
        <v>1</v>
      </c>
      <c r="M2886" s="7">
        <f>1</f>
        <v>1</v>
      </c>
      <c r="N2886" s="5" t="s">
        <v>242</v>
      </c>
      <c r="O2886" s="5">
        <v>1</v>
      </c>
      <c r="P2886" s="5" t="s">
        <v>294</v>
      </c>
      <c r="Q2886" s="5" t="s">
        <v>266</v>
      </c>
      <c r="R2886" s="5" t="s">
        <v>240</v>
      </c>
      <c r="S2886" s="5" t="s">
        <v>240</v>
      </c>
      <c r="T2886" s="5" t="s">
        <v>296</v>
      </c>
      <c r="U2886" s="5" t="s">
        <v>244</v>
      </c>
      <c r="V2886" s="5" t="s">
        <v>240</v>
      </c>
      <c r="Y2886" s="5" t="s">
        <v>240</v>
      </c>
      <c r="Z2886" s="6" t="s">
        <v>298</v>
      </c>
      <c r="AB2886" s="6" t="s">
        <v>240</v>
      </c>
      <c r="AE2886" s="6" t="s">
        <v>299</v>
      </c>
      <c r="AF2886" s="5" t="s">
        <v>248</v>
      </c>
      <c r="AG2886" s="5" t="s">
        <v>249</v>
      </c>
      <c r="AW2886" s="5" t="s">
        <v>251</v>
      </c>
      <c r="AX2886" s="5" t="s">
        <v>240</v>
      </c>
      <c r="AY2886" s="5" t="s">
        <v>253</v>
      </c>
      <c r="AZ2886" s="5" t="s">
        <v>240</v>
      </c>
      <c r="BA2886" s="5" t="s">
        <v>255</v>
      </c>
      <c r="BB2886" s="5" t="s">
        <v>240</v>
      </c>
      <c r="BD2886" s="5" t="s">
        <v>240</v>
      </c>
      <c r="BF2886" s="5" t="s">
        <v>301</v>
      </c>
      <c r="BG2886" s="6" t="s">
        <v>299</v>
      </c>
      <c r="BH2886" s="5" t="s">
        <v>302</v>
      </c>
      <c r="BI2886" s="5" t="s">
        <v>303</v>
      </c>
      <c r="BJ2886" s="5" t="s">
        <v>240</v>
      </c>
      <c r="BK2886" s="8">
        <f>0</f>
        <v>0</v>
      </c>
      <c r="BL2886" s="7">
        <f>0</f>
        <v>0</v>
      </c>
      <c r="BM2886" s="5" t="s">
        <v>258</v>
      </c>
      <c r="BN2886" s="5" t="s">
        <v>259</v>
      </c>
      <c r="CB2886" s="5" t="s">
        <v>240</v>
      </c>
      <c r="CC2886" s="5" t="s">
        <v>240</v>
      </c>
      <c r="CG2886" s="5" t="s">
        <v>304</v>
      </c>
      <c r="CH2886" s="5" t="s">
        <v>305</v>
      </c>
      <c r="CI2886" s="5" t="s">
        <v>240</v>
      </c>
      <c r="CL2886" s="6" t="s">
        <v>261</v>
      </c>
      <c r="CM2886" s="5" t="s">
        <v>240</v>
      </c>
      <c r="CN2886" s="5" t="s">
        <v>263</v>
      </c>
      <c r="CO2886" s="5" t="s">
        <v>240</v>
      </c>
      <c r="CP2886" s="5" t="s">
        <v>240</v>
      </c>
      <c r="CQ2886" s="5">
        <v>0</v>
      </c>
      <c r="CR2886" s="5" t="s">
        <v>306</v>
      </c>
      <c r="CS2886" s="5" t="s">
        <v>307</v>
      </c>
      <c r="CT2886" s="5" t="s">
        <v>307</v>
      </c>
      <c r="CU2886" s="5" t="s">
        <v>260</v>
      </c>
      <c r="CX2886" s="7">
        <f>1</f>
        <v>1</v>
      </c>
      <c r="CY2886" s="7">
        <f>0</f>
        <v>0</v>
      </c>
      <c r="DA2886" s="7">
        <f>0</f>
        <v>0</v>
      </c>
      <c r="DC2886" s="5" t="s">
        <v>309</v>
      </c>
      <c r="DD2886" s="5" t="s">
        <v>240</v>
      </c>
      <c r="DF2886" s="5" t="s">
        <v>309</v>
      </c>
      <c r="DG2886" s="7">
        <f>2076</f>
        <v>2076</v>
      </c>
      <c r="DI2886" s="5" t="s">
        <v>240</v>
      </c>
      <c r="DJ2886" s="5" t="s">
        <v>240</v>
      </c>
      <c r="DK2886" s="5" t="s">
        <v>240</v>
      </c>
      <c r="DL2886" s="5" t="s">
        <v>240</v>
      </c>
      <c r="DP2886" s="5" t="s">
        <v>240</v>
      </c>
      <c r="DQ2886" s="5" t="s">
        <v>240</v>
      </c>
      <c r="DR2886" s="5" t="s">
        <v>240</v>
      </c>
      <c r="DS2886" s="5" t="s">
        <v>240</v>
      </c>
      <c r="DV2886" s="5" t="s">
        <v>310</v>
      </c>
      <c r="DW2886" s="5" t="s">
        <v>3819</v>
      </c>
      <c r="HO2886" s="5" t="s">
        <v>312</v>
      </c>
    </row>
    <row r="2887" spans="1:240" x14ac:dyDescent="0.4">
      <c r="A2887" s="5">
        <v>4591</v>
      </c>
      <c r="B2887" s="5">
        <v>1</v>
      </c>
      <c r="C2887" s="5">
        <v>1</v>
      </c>
      <c r="D2887" s="5" t="s">
        <v>810</v>
      </c>
      <c r="E2887" s="5" t="s">
        <v>245</v>
      </c>
      <c r="F2887" s="5" t="s">
        <v>254</v>
      </c>
      <c r="G2887" s="5" t="s">
        <v>240</v>
      </c>
      <c r="H2887" s="6" t="s">
        <v>2772</v>
      </c>
      <c r="I2887" s="5" t="s">
        <v>809</v>
      </c>
      <c r="J2887" s="8">
        <f>492</f>
        <v>492</v>
      </c>
      <c r="K2887" s="5" t="s">
        <v>308</v>
      </c>
      <c r="L2887" s="7">
        <f>1</f>
        <v>1</v>
      </c>
      <c r="M2887" s="7">
        <f>1</f>
        <v>1</v>
      </c>
      <c r="N2887" s="5" t="s">
        <v>242</v>
      </c>
      <c r="O2887" s="5">
        <v>1</v>
      </c>
      <c r="P2887" s="5" t="s">
        <v>294</v>
      </c>
      <c r="Q2887" s="5" t="s">
        <v>266</v>
      </c>
      <c r="R2887" s="5" t="s">
        <v>240</v>
      </c>
      <c r="S2887" s="5" t="s">
        <v>240</v>
      </c>
      <c r="T2887" s="5" t="s">
        <v>296</v>
      </c>
      <c r="U2887" s="5" t="s">
        <v>244</v>
      </c>
      <c r="V2887" s="5" t="s">
        <v>240</v>
      </c>
      <c r="Y2887" s="5" t="s">
        <v>240</v>
      </c>
      <c r="Z2887" s="6" t="s">
        <v>298</v>
      </c>
      <c r="AB2887" s="6" t="s">
        <v>240</v>
      </c>
      <c r="AE2887" s="6" t="s">
        <v>299</v>
      </c>
      <c r="AF2887" s="5" t="s">
        <v>248</v>
      </c>
      <c r="AG2887" s="5" t="s">
        <v>249</v>
      </c>
      <c r="AW2887" s="5" t="s">
        <v>251</v>
      </c>
      <c r="AX2887" s="5" t="s">
        <v>240</v>
      </c>
      <c r="AY2887" s="5" t="s">
        <v>253</v>
      </c>
      <c r="AZ2887" s="5" t="s">
        <v>240</v>
      </c>
      <c r="BA2887" s="5" t="s">
        <v>255</v>
      </c>
      <c r="BB2887" s="5" t="s">
        <v>240</v>
      </c>
      <c r="BD2887" s="5" t="s">
        <v>240</v>
      </c>
      <c r="BF2887" s="5" t="s">
        <v>301</v>
      </c>
      <c r="BG2887" s="6" t="s">
        <v>299</v>
      </c>
      <c r="BH2887" s="5" t="s">
        <v>302</v>
      </c>
      <c r="BI2887" s="5" t="s">
        <v>303</v>
      </c>
      <c r="BJ2887" s="5" t="s">
        <v>240</v>
      </c>
      <c r="BK2887" s="8">
        <f>0</f>
        <v>0</v>
      </c>
      <c r="BL2887" s="7">
        <f>0</f>
        <v>0</v>
      </c>
      <c r="BM2887" s="5" t="s">
        <v>258</v>
      </c>
      <c r="BN2887" s="5" t="s">
        <v>259</v>
      </c>
      <c r="CB2887" s="5" t="s">
        <v>240</v>
      </c>
      <c r="CC2887" s="5" t="s">
        <v>240</v>
      </c>
      <c r="CG2887" s="5" t="s">
        <v>304</v>
      </c>
      <c r="CH2887" s="5" t="s">
        <v>305</v>
      </c>
      <c r="CI2887" s="5" t="s">
        <v>240</v>
      </c>
      <c r="CL2887" s="6" t="s">
        <v>261</v>
      </c>
      <c r="CM2887" s="5" t="s">
        <v>240</v>
      </c>
      <c r="CN2887" s="5" t="s">
        <v>263</v>
      </c>
      <c r="CO2887" s="5" t="s">
        <v>240</v>
      </c>
      <c r="CP2887" s="5" t="s">
        <v>240</v>
      </c>
      <c r="CQ2887" s="5">
        <v>0</v>
      </c>
      <c r="CR2887" s="5" t="s">
        <v>306</v>
      </c>
      <c r="CS2887" s="5" t="s">
        <v>307</v>
      </c>
      <c r="CT2887" s="5" t="s">
        <v>307</v>
      </c>
      <c r="CU2887" s="5" t="s">
        <v>260</v>
      </c>
      <c r="CX2887" s="7">
        <f>1</f>
        <v>1</v>
      </c>
      <c r="CY2887" s="7">
        <f>0</f>
        <v>0</v>
      </c>
      <c r="DA2887" s="7">
        <f>0</f>
        <v>0</v>
      </c>
      <c r="DC2887" s="5" t="s">
        <v>812</v>
      </c>
      <c r="DD2887" s="5" t="s">
        <v>240</v>
      </c>
      <c r="DF2887" s="5" t="s">
        <v>812</v>
      </c>
      <c r="DG2887" s="7">
        <f>436</f>
        <v>436</v>
      </c>
      <c r="DI2887" s="5" t="s">
        <v>240</v>
      </c>
      <c r="DJ2887" s="5" t="s">
        <v>240</v>
      </c>
      <c r="DK2887" s="5" t="s">
        <v>240</v>
      </c>
      <c r="DL2887" s="5" t="s">
        <v>240</v>
      </c>
      <c r="DP2887" s="5" t="s">
        <v>240</v>
      </c>
      <c r="DQ2887" s="5" t="s">
        <v>240</v>
      </c>
      <c r="DR2887" s="5" t="s">
        <v>240</v>
      </c>
      <c r="DS2887" s="5" t="s">
        <v>240</v>
      </c>
      <c r="DV2887" s="5" t="s">
        <v>813</v>
      </c>
      <c r="DW2887" s="5" t="s">
        <v>4963</v>
      </c>
      <c r="HO2887" s="5" t="s">
        <v>312</v>
      </c>
    </row>
    <row r="2888" spans="1:240" x14ac:dyDescent="0.4">
      <c r="A2888" s="5">
        <v>4592</v>
      </c>
      <c r="B2888" s="5">
        <v>1</v>
      </c>
      <c r="C2888" s="5">
        <v>1</v>
      </c>
      <c r="D2888" s="5" t="s">
        <v>810</v>
      </c>
      <c r="E2888" s="5" t="s">
        <v>245</v>
      </c>
      <c r="F2888" s="5" t="s">
        <v>254</v>
      </c>
      <c r="G2888" s="5" t="s">
        <v>240</v>
      </c>
      <c r="H2888" s="6" t="s">
        <v>2770</v>
      </c>
      <c r="I2888" s="5" t="s">
        <v>809</v>
      </c>
      <c r="J2888" s="8">
        <f>298</f>
        <v>298</v>
      </c>
      <c r="K2888" s="5" t="s">
        <v>308</v>
      </c>
      <c r="L2888" s="7">
        <f>1</f>
        <v>1</v>
      </c>
      <c r="M2888" s="7">
        <f>1</f>
        <v>1</v>
      </c>
      <c r="N2888" s="5" t="s">
        <v>242</v>
      </c>
      <c r="O2888" s="5">
        <v>1</v>
      </c>
      <c r="P2888" s="5" t="s">
        <v>294</v>
      </c>
      <c r="Q2888" s="5" t="s">
        <v>266</v>
      </c>
      <c r="R2888" s="5" t="s">
        <v>240</v>
      </c>
      <c r="S2888" s="5" t="s">
        <v>240</v>
      </c>
      <c r="T2888" s="5" t="s">
        <v>296</v>
      </c>
      <c r="U2888" s="5" t="s">
        <v>244</v>
      </c>
      <c r="V2888" s="5" t="s">
        <v>240</v>
      </c>
      <c r="Y2888" s="5" t="s">
        <v>240</v>
      </c>
      <c r="Z2888" s="6" t="s">
        <v>298</v>
      </c>
      <c r="AB2888" s="6" t="s">
        <v>240</v>
      </c>
      <c r="AE2888" s="6" t="s">
        <v>299</v>
      </c>
      <c r="AF2888" s="5" t="s">
        <v>248</v>
      </c>
      <c r="AG2888" s="5" t="s">
        <v>249</v>
      </c>
      <c r="AW2888" s="5" t="s">
        <v>251</v>
      </c>
      <c r="AX2888" s="5" t="s">
        <v>240</v>
      </c>
      <c r="AY2888" s="5" t="s">
        <v>253</v>
      </c>
      <c r="AZ2888" s="5" t="s">
        <v>240</v>
      </c>
      <c r="BA2888" s="5" t="s">
        <v>255</v>
      </c>
      <c r="BB2888" s="5" t="s">
        <v>240</v>
      </c>
      <c r="BD2888" s="5" t="s">
        <v>240</v>
      </c>
      <c r="BF2888" s="5" t="s">
        <v>301</v>
      </c>
      <c r="BG2888" s="6" t="s">
        <v>299</v>
      </c>
      <c r="BH2888" s="5" t="s">
        <v>302</v>
      </c>
      <c r="BI2888" s="5" t="s">
        <v>303</v>
      </c>
      <c r="BJ2888" s="5" t="s">
        <v>240</v>
      </c>
      <c r="BK2888" s="8">
        <f>0</f>
        <v>0</v>
      </c>
      <c r="BL2888" s="7">
        <f>0</f>
        <v>0</v>
      </c>
      <c r="BM2888" s="5" t="s">
        <v>258</v>
      </c>
      <c r="BN2888" s="5" t="s">
        <v>259</v>
      </c>
      <c r="CB2888" s="5" t="s">
        <v>240</v>
      </c>
      <c r="CC2888" s="5" t="s">
        <v>240</v>
      </c>
      <c r="CG2888" s="5" t="s">
        <v>304</v>
      </c>
      <c r="CH2888" s="5" t="s">
        <v>305</v>
      </c>
      <c r="CI2888" s="5" t="s">
        <v>240</v>
      </c>
      <c r="CL2888" s="6" t="s">
        <v>261</v>
      </c>
      <c r="CM2888" s="5" t="s">
        <v>240</v>
      </c>
      <c r="CN2888" s="5" t="s">
        <v>263</v>
      </c>
      <c r="CO2888" s="5" t="s">
        <v>240</v>
      </c>
      <c r="CP2888" s="5" t="s">
        <v>240</v>
      </c>
      <c r="CQ2888" s="5">
        <v>0</v>
      </c>
      <c r="CR2888" s="5" t="s">
        <v>306</v>
      </c>
      <c r="CS2888" s="5" t="s">
        <v>307</v>
      </c>
      <c r="CT2888" s="5" t="s">
        <v>307</v>
      </c>
      <c r="CU2888" s="5" t="s">
        <v>260</v>
      </c>
      <c r="CX2888" s="7">
        <f>1</f>
        <v>1</v>
      </c>
      <c r="CY2888" s="7">
        <f>0</f>
        <v>0</v>
      </c>
      <c r="DA2888" s="7">
        <f>0</f>
        <v>0</v>
      </c>
      <c r="DC2888" s="5" t="s">
        <v>309</v>
      </c>
      <c r="DD2888" s="5" t="s">
        <v>240</v>
      </c>
      <c r="DF2888" s="5" t="s">
        <v>309</v>
      </c>
      <c r="DG2888" s="7">
        <f>474</f>
        <v>474</v>
      </c>
      <c r="DI2888" s="5" t="s">
        <v>240</v>
      </c>
      <c r="DJ2888" s="5" t="s">
        <v>240</v>
      </c>
      <c r="DK2888" s="5" t="s">
        <v>240</v>
      </c>
      <c r="DL2888" s="5" t="s">
        <v>240</v>
      </c>
      <c r="DP2888" s="5" t="s">
        <v>240</v>
      </c>
      <c r="DQ2888" s="5" t="s">
        <v>240</v>
      </c>
      <c r="DR2888" s="5" t="s">
        <v>240</v>
      </c>
      <c r="DS2888" s="5" t="s">
        <v>240</v>
      </c>
      <c r="DV2888" s="5" t="s">
        <v>310</v>
      </c>
      <c r="DW2888" s="5" t="s">
        <v>3817</v>
      </c>
      <c r="HO2888" s="5" t="s">
        <v>312</v>
      </c>
    </row>
    <row r="2889" spans="1:240" x14ac:dyDescent="0.4">
      <c r="A2889" s="5">
        <v>4593</v>
      </c>
      <c r="B2889" s="5">
        <v>1</v>
      </c>
      <c r="C2889" s="5">
        <v>1</v>
      </c>
      <c r="D2889" s="5" t="s">
        <v>810</v>
      </c>
      <c r="E2889" s="5" t="s">
        <v>245</v>
      </c>
      <c r="F2889" s="5" t="s">
        <v>254</v>
      </c>
      <c r="G2889" s="5" t="s">
        <v>240</v>
      </c>
      <c r="H2889" s="6" t="s">
        <v>2768</v>
      </c>
      <c r="I2889" s="5" t="s">
        <v>809</v>
      </c>
      <c r="J2889" s="8">
        <f>394</f>
        <v>394</v>
      </c>
      <c r="K2889" s="5" t="s">
        <v>308</v>
      </c>
      <c r="L2889" s="7">
        <f>1</f>
        <v>1</v>
      </c>
      <c r="M2889" s="7">
        <f>1</f>
        <v>1</v>
      </c>
      <c r="N2889" s="5" t="s">
        <v>242</v>
      </c>
      <c r="O2889" s="5">
        <v>1</v>
      </c>
      <c r="P2889" s="5" t="s">
        <v>294</v>
      </c>
      <c r="Q2889" s="5" t="s">
        <v>266</v>
      </c>
      <c r="R2889" s="5" t="s">
        <v>240</v>
      </c>
      <c r="S2889" s="5" t="s">
        <v>240</v>
      </c>
      <c r="T2889" s="5" t="s">
        <v>296</v>
      </c>
      <c r="U2889" s="5" t="s">
        <v>244</v>
      </c>
      <c r="V2889" s="5" t="s">
        <v>240</v>
      </c>
      <c r="Y2889" s="5" t="s">
        <v>240</v>
      </c>
      <c r="Z2889" s="6" t="s">
        <v>298</v>
      </c>
      <c r="AB2889" s="6" t="s">
        <v>240</v>
      </c>
      <c r="AE2889" s="6" t="s">
        <v>299</v>
      </c>
      <c r="AF2889" s="5" t="s">
        <v>248</v>
      </c>
      <c r="AG2889" s="5" t="s">
        <v>249</v>
      </c>
      <c r="AW2889" s="5" t="s">
        <v>251</v>
      </c>
      <c r="AX2889" s="5" t="s">
        <v>240</v>
      </c>
      <c r="AY2889" s="5" t="s">
        <v>253</v>
      </c>
      <c r="AZ2889" s="5" t="s">
        <v>240</v>
      </c>
      <c r="BA2889" s="5" t="s">
        <v>255</v>
      </c>
      <c r="BB2889" s="5" t="s">
        <v>240</v>
      </c>
      <c r="BD2889" s="5" t="s">
        <v>240</v>
      </c>
      <c r="BF2889" s="5" t="s">
        <v>301</v>
      </c>
      <c r="BG2889" s="6" t="s">
        <v>299</v>
      </c>
      <c r="BH2889" s="5" t="s">
        <v>302</v>
      </c>
      <c r="BI2889" s="5" t="s">
        <v>303</v>
      </c>
      <c r="BJ2889" s="5" t="s">
        <v>240</v>
      </c>
      <c r="BK2889" s="8">
        <f>0</f>
        <v>0</v>
      </c>
      <c r="BL2889" s="7">
        <f>0</f>
        <v>0</v>
      </c>
      <c r="BM2889" s="5" t="s">
        <v>258</v>
      </c>
      <c r="BN2889" s="5" t="s">
        <v>259</v>
      </c>
      <c r="CB2889" s="5" t="s">
        <v>240</v>
      </c>
      <c r="CC2889" s="5" t="s">
        <v>240</v>
      </c>
      <c r="CG2889" s="5" t="s">
        <v>304</v>
      </c>
      <c r="CH2889" s="5" t="s">
        <v>305</v>
      </c>
      <c r="CI2889" s="5" t="s">
        <v>240</v>
      </c>
      <c r="CL2889" s="6" t="s">
        <v>261</v>
      </c>
      <c r="CM2889" s="5" t="s">
        <v>240</v>
      </c>
      <c r="CN2889" s="5" t="s">
        <v>263</v>
      </c>
      <c r="CO2889" s="5" t="s">
        <v>240</v>
      </c>
      <c r="CP2889" s="5" t="s">
        <v>240</v>
      </c>
      <c r="CQ2889" s="5">
        <v>0</v>
      </c>
      <c r="CR2889" s="5" t="s">
        <v>306</v>
      </c>
      <c r="CS2889" s="5" t="s">
        <v>307</v>
      </c>
      <c r="CT2889" s="5" t="s">
        <v>307</v>
      </c>
      <c r="CU2889" s="5" t="s">
        <v>260</v>
      </c>
      <c r="CX2889" s="7">
        <f>1</f>
        <v>1</v>
      </c>
      <c r="CY2889" s="7">
        <f>0</f>
        <v>0</v>
      </c>
      <c r="DA2889" s="7">
        <f>0</f>
        <v>0</v>
      </c>
      <c r="DC2889" s="5" t="s">
        <v>309</v>
      </c>
      <c r="DD2889" s="5" t="s">
        <v>240</v>
      </c>
      <c r="DF2889" s="5" t="s">
        <v>309</v>
      </c>
      <c r="DG2889" s="7">
        <f>1677</f>
        <v>1677</v>
      </c>
      <c r="DI2889" s="5" t="s">
        <v>240</v>
      </c>
      <c r="DJ2889" s="5" t="s">
        <v>240</v>
      </c>
      <c r="DK2889" s="5" t="s">
        <v>240</v>
      </c>
      <c r="DL2889" s="5" t="s">
        <v>240</v>
      </c>
      <c r="DP2889" s="5" t="s">
        <v>240</v>
      </c>
      <c r="DQ2889" s="5" t="s">
        <v>240</v>
      </c>
      <c r="DR2889" s="5" t="s">
        <v>240</v>
      </c>
      <c r="DS2889" s="5" t="s">
        <v>240</v>
      </c>
      <c r="DV2889" s="5" t="s">
        <v>310</v>
      </c>
      <c r="DW2889" s="5" t="s">
        <v>3815</v>
      </c>
      <c r="HO2889" s="5" t="s">
        <v>312</v>
      </c>
    </row>
    <row r="2890" spans="1:240" x14ac:dyDescent="0.4">
      <c r="A2890" s="5">
        <v>4594</v>
      </c>
      <c r="B2890" s="5">
        <v>1</v>
      </c>
      <c r="C2890" s="5">
        <v>1</v>
      </c>
      <c r="D2890" s="5" t="s">
        <v>810</v>
      </c>
      <c r="E2890" s="5" t="s">
        <v>245</v>
      </c>
      <c r="F2890" s="5" t="s">
        <v>254</v>
      </c>
      <c r="G2890" s="5" t="s">
        <v>240</v>
      </c>
      <c r="H2890" s="6" t="s">
        <v>2766</v>
      </c>
      <c r="I2890" s="5" t="s">
        <v>809</v>
      </c>
      <c r="J2890" s="8">
        <f>355</f>
        <v>355</v>
      </c>
      <c r="K2890" s="5" t="s">
        <v>308</v>
      </c>
      <c r="L2890" s="7">
        <f>1</f>
        <v>1</v>
      </c>
      <c r="M2890" s="7">
        <f>1</f>
        <v>1</v>
      </c>
      <c r="N2890" s="5" t="s">
        <v>242</v>
      </c>
      <c r="O2890" s="5">
        <v>1</v>
      </c>
      <c r="P2890" s="5" t="s">
        <v>294</v>
      </c>
      <c r="Q2890" s="5" t="s">
        <v>266</v>
      </c>
      <c r="R2890" s="5" t="s">
        <v>240</v>
      </c>
      <c r="S2890" s="5" t="s">
        <v>240</v>
      </c>
      <c r="T2890" s="5" t="s">
        <v>243</v>
      </c>
      <c r="U2890" s="5" t="s">
        <v>240</v>
      </c>
      <c r="V2890" s="5" t="s">
        <v>240</v>
      </c>
      <c r="Y2890" s="5" t="s">
        <v>240</v>
      </c>
      <c r="Z2890" s="6" t="s">
        <v>5053</v>
      </c>
      <c r="AB2890" s="6" t="s">
        <v>240</v>
      </c>
      <c r="AE2890" s="6" t="s">
        <v>5054</v>
      </c>
      <c r="AF2890" s="5" t="s">
        <v>248</v>
      </c>
      <c r="AG2890" s="5" t="s">
        <v>260</v>
      </c>
      <c r="AW2890" s="5" t="s">
        <v>251</v>
      </c>
      <c r="AX2890" s="5" t="s">
        <v>240</v>
      </c>
      <c r="AY2890" s="5" t="s">
        <v>253</v>
      </c>
      <c r="AZ2890" s="5" t="s">
        <v>240</v>
      </c>
      <c r="BA2890" s="5" t="s">
        <v>255</v>
      </c>
      <c r="BB2890" s="5" t="s">
        <v>240</v>
      </c>
      <c r="BD2890" s="5" t="s">
        <v>240</v>
      </c>
      <c r="BF2890" s="5" t="s">
        <v>447</v>
      </c>
      <c r="BG2890" s="6" t="s">
        <v>5053</v>
      </c>
      <c r="BH2890" s="5" t="s">
        <v>302</v>
      </c>
      <c r="BI2890" s="5" t="s">
        <v>448</v>
      </c>
      <c r="BJ2890" s="5" t="s">
        <v>240</v>
      </c>
      <c r="BK2890" s="8">
        <f>0</f>
        <v>0</v>
      </c>
      <c r="BL2890" s="7">
        <f>0</f>
        <v>0</v>
      </c>
      <c r="BM2890" s="5" t="s">
        <v>258</v>
      </c>
      <c r="BN2890" s="5" t="s">
        <v>259</v>
      </c>
      <c r="CB2890" s="5" t="s">
        <v>240</v>
      </c>
      <c r="CC2890" s="5" t="s">
        <v>240</v>
      </c>
      <c r="CG2890" s="5" t="s">
        <v>449</v>
      </c>
      <c r="CH2890" s="5" t="s">
        <v>305</v>
      </c>
      <c r="CI2890" s="5" t="s">
        <v>240</v>
      </c>
      <c r="CL2890" s="6" t="s">
        <v>261</v>
      </c>
      <c r="CM2890" s="5" t="s">
        <v>240</v>
      </c>
      <c r="CN2890" s="5" t="s">
        <v>263</v>
      </c>
      <c r="CO2890" s="5" t="s">
        <v>240</v>
      </c>
      <c r="CP2890" s="5" t="s">
        <v>240</v>
      </c>
      <c r="CQ2890" s="5">
        <v>0</v>
      </c>
      <c r="CR2890" s="5" t="s">
        <v>306</v>
      </c>
      <c r="CS2890" s="5" t="s">
        <v>307</v>
      </c>
      <c r="CT2890" s="5" t="s">
        <v>307</v>
      </c>
      <c r="CU2890" s="5" t="s">
        <v>260</v>
      </c>
      <c r="CX2890" s="7">
        <f>538572</f>
        <v>538572</v>
      </c>
      <c r="CY2890" s="7">
        <f>0</f>
        <v>0</v>
      </c>
      <c r="DA2890" s="7">
        <f>0</f>
        <v>0</v>
      </c>
      <c r="DC2890" s="5" t="s">
        <v>450</v>
      </c>
      <c r="DD2890" s="5" t="s">
        <v>240</v>
      </c>
      <c r="DF2890" s="5" t="s">
        <v>450</v>
      </c>
      <c r="DG2890" s="7">
        <f>145.56</f>
        <v>145.56</v>
      </c>
      <c r="DI2890" s="5" t="s">
        <v>240</v>
      </c>
      <c r="DJ2890" s="5" t="s">
        <v>240</v>
      </c>
      <c r="DK2890" s="5" t="s">
        <v>240</v>
      </c>
      <c r="DL2890" s="5" t="s">
        <v>240</v>
      </c>
      <c r="DP2890" s="5" t="s">
        <v>240</v>
      </c>
      <c r="DQ2890" s="5" t="s">
        <v>240</v>
      </c>
      <c r="DR2890" s="5" t="s">
        <v>240</v>
      </c>
      <c r="DS2890" s="5" t="s">
        <v>240</v>
      </c>
      <c r="DV2890" s="5" t="s">
        <v>310</v>
      </c>
      <c r="DW2890" s="5" t="s">
        <v>2467</v>
      </c>
      <c r="HO2890" s="5" t="s">
        <v>312</v>
      </c>
    </row>
    <row r="2891" spans="1:240" x14ac:dyDescent="0.4">
      <c r="A2891" s="5">
        <v>4595</v>
      </c>
      <c r="B2891" s="5">
        <v>1</v>
      </c>
      <c r="C2891" s="5">
        <v>1</v>
      </c>
      <c r="D2891" s="5" t="s">
        <v>810</v>
      </c>
      <c r="E2891" s="5" t="s">
        <v>245</v>
      </c>
      <c r="F2891" s="5" t="s">
        <v>254</v>
      </c>
      <c r="G2891" s="5" t="s">
        <v>240</v>
      </c>
      <c r="H2891" s="6" t="s">
        <v>2764</v>
      </c>
      <c r="I2891" s="5" t="s">
        <v>809</v>
      </c>
      <c r="J2891" s="8">
        <f>579</f>
        <v>579</v>
      </c>
      <c r="K2891" s="5" t="s">
        <v>308</v>
      </c>
      <c r="L2891" s="7">
        <f>1</f>
        <v>1</v>
      </c>
      <c r="M2891" s="7">
        <f>1</f>
        <v>1</v>
      </c>
      <c r="N2891" s="5" t="s">
        <v>242</v>
      </c>
      <c r="O2891" s="5">
        <v>1</v>
      </c>
      <c r="P2891" s="5" t="s">
        <v>294</v>
      </c>
      <c r="Q2891" s="5" t="s">
        <v>3678</v>
      </c>
      <c r="R2891" s="5" t="s">
        <v>240</v>
      </c>
      <c r="S2891" s="5" t="s">
        <v>240</v>
      </c>
      <c r="T2891" s="5" t="s">
        <v>243</v>
      </c>
      <c r="U2891" s="5" t="s">
        <v>244</v>
      </c>
      <c r="V2891" s="5" t="s">
        <v>240</v>
      </c>
      <c r="W2891" s="5" t="s">
        <v>240</v>
      </c>
      <c r="X2891" s="5" t="s">
        <v>240</v>
      </c>
      <c r="Y2891" s="5" t="s">
        <v>240</v>
      </c>
      <c r="Z2891" s="6" t="s">
        <v>298</v>
      </c>
      <c r="AA2891" s="6" t="s">
        <v>240</v>
      </c>
      <c r="AB2891" s="6" t="s">
        <v>240</v>
      </c>
      <c r="AC2891" s="5" t="s">
        <v>240</v>
      </c>
      <c r="AD2891" s="6" t="s">
        <v>240</v>
      </c>
      <c r="AE2891" s="6" t="s">
        <v>299</v>
      </c>
      <c r="AF2891" s="5" t="s">
        <v>248</v>
      </c>
      <c r="AG2891" s="5" t="s">
        <v>249</v>
      </c>
      <c r="AH2891" s="5" t="s">
        <v>240</v>
      </c>
      <c r="AI2891" s="5" t="s">
        <v>240</v>
      </c>
      <c r="AJ2891" s="5" t="s">
        <v>240</v>
      </c>
      <c r="AK2891" s="5" t="s">
        <v>240</v>
      </c>
      <c r="AL2891" s="5" t="s">
        <v>240</v>
      </c>
      <c r="AM2891" s="5" t="s">
        <v>240</v>
      </c>
      <c r="AN2891" s="5" t="s">
        <v>240</v>
      </c>
      <c r="AO2891" s="5" t="s">
        <v>240</v>
      </c>
      <c r="AP2891" s="6" t="s">
        <v>240</v>
      </c>
      <c r="AQ2891" s="6" t="s">
        <v>240</v>
      </c>
      <c r="AR2891" s="6" t="s">
        <v>240</v>
      </c>
      <c r="AS2891" s="6" t="s">
        <v>240</v>
      </c>
      <c r="AT2891" s="5" t="s">
        <v>240</v>
      </c>
      <c r="AU2891" s="5" t="s">
        <v>729</v>
      </c>
      <c r="AV2891" s="5" t="s">
        <v>729</v>
      </c>
      <c r="AW2891" s="5" t="s">
        <v>251</v>
      </c>
      <c r="AX2891" s="5" t="s">
        <v>252</v>
      </c>
      <c r="AY2891" s="5" t="s">
        <v>253</v>
      </c>
      <c r="AZ2891" s="5" t="s">
        <v>240</v>
      </c>
      <c r="BA2891" s="5" t="s">
        <v>255</v>
      </c>
      <c r="BB2891" s="5" t="s">
        <v>731</v>
      </c>
      <c r="BD2891" s="5" t="s">
        <v>240</v>
      </c>
      <c r="BF2891" s="5" t="s">
        <v>732</v>
      </c>
      <c r="BG2891" s="6" t="s">
        <v>733</v>
      </c>
      <c r="BH2891" s="5" t="s">
        <v>734</v>
      </c>
      <c r="BI2891" s="5" t="s">
        <v>734</v>
      </c>
      <c r="BJ2891" s="5" t="s">
        <v>240</v>
      </c>
      <c r="BK2891" s="7">
        <f>1</f>
        <v>1</v>
      </c>
      <c r="BL2891" s="7">
        <f>1</f>
        <v>1</v>
      </c>
      <c r="BM2891" s="5" t="s">
        <v>258</v>
      </c>
      <c r="BN2891" s="5" t="s">
        <v>259</v>
      </c>
      <c r="BO2891" s="5" t="s">
        <v>240</v>
      </c>
      <c r="BP2891" s="5" t="s">
        <v>240</v>
      </c>
      <c r="BQ2891" s="5" t="s">
        <v>240</v>
      </c>
      <c r="BR2891" s="5" t="s">
        <v>240</v>
      </c>
      <c r="BS2891" s="5" t="s">
        <v>240</v>
      </c>
      <c r="BT2891" s="5" t="s">
        <v>240</v>
      </c>
      <c r="BU2891" s="5" t="s">
        <v>240</v>
      </c>
      <c r="BV2891" s="5" t="s">
        <v>240</v>
      </c>
      <c r="BW2891" s="6" t="s">
        <v>240</v>
      </c>
      <c r="BX2891" s="5" t="s">
        <v>240</v>
      </c>
      <c r="BY2891" s="5" t="s">
        <v>240</v>
      </c>
      <c r="BZ2891" s="5" t="s">
        <v>240</v>
      </c>
      <c r="CA2891" s="5" t="s">
        <v>259</v>
      </c>
      <c r="CB2891" s="5" t="s">
        <v>240</v>
      </c>
      <c r="CC2891" s="5" t="s">
        <v>240</v>
      </c>
      <c r="CD2891" s="5" t="s">
        <v>240</v>
      </c>
      <c r="CE2891" s="5" t="s">
        <v>240</v>
      </c>
      <c r="CF2891" s="5" t="s">
        <v>240</v>
      </c>
      <c r="CG2891" s="5" t="s">
        <v>304</v>
      </c>
      <c r="CH2891" s="5" t="s">
        <v>305</v>
      </c>
      <c r="CI2891" s="5" t="s">
        <v>240</v>
      </c>
      <c r="CK2891" s="5" t="s">
        <v>3681</v>
      </c>
      <c r="CL2891" s="6" t="s">
        <v>261</v>
      </c>
      <c r="CM2891" s="5" t="s">
        <v>262</v>
      </c>
      <c r="CN2891" s="5" t="s">
        <v>263</v>
      </c>
      <c r="CO2891" s="5" t="s">
        <v>264</v>
      </c>
      <c r="CP2891" s="5" t="s">
        <v>240</v>
      </c>
      <c r="CQ2891" s="5">
        <v>0</v>
      </c>
      <c r="CR2891" s="5" t="s">
        <v>735</v>
      </c>
      <c r="CS2891" s="5" t="s">
        <v>307</v>
      </c>
      <c r="CT2891" s="5" t="s">
        <v>307</v>
      </c>
      <c r="CU2891" s="5" t="s">
        <v>260</v>
      </c>
      <c r="CV2891" s="5" t="s">
        <v>612</v>
      </c>
      <c r="CW2891" s="8">
        <f>1</f>
        <v>1</v>
      </c>
      <c r="CX2891" s="7">
        <f>1</f>
        <v>1</v>
      </c>
      <c r="CY2891" s="7">
        <f>0</f>
        <v>0</v>
      </c>
      <c r="DA2891" s="7">
        <f>1</f>
        <v>1</v>
      </c>
      <c r="DB2891" s="7" t="s">
        <v>240</v>
      </c>
      <c r="DC2891" s="5" t="s">
        <v>240</v>
      </c>
      <c r="DD2891" s="5" t="s">
        <v>240</v>
      </c>
      <c r="DE2891" s="5" t="s">
        <v>240</v>
      </c>
      <c r="DF2891" s="5" t="s">
        <v>240</v>
      </c>
      <c r="DG2891" s="7">
        <f>0</f>
        <v>0</v>
      </c>
      <c r="DI2891" s="5" t="s">
        <v>240</v>
      </c>
      <c r="DJ2891" s="5" t="s">
        <v>240</v>
      </c>
      <c r="DK2891" s="5" t="s">
        <v>240</v>
      </c>
      <c r="DL2891" s="5" t="s">
        <v>240</v>
      </c>
      <c r="DM2891" s="5" t="s">
        <v>240</v>
      </c>
      <c r="DN2891" s="5" t="s">
        <v>240</v>
      </c>
      <c r="DO2891" s="7" t="s">
        <v>240</v>
      </c>
      <c r="DP2891" s="5" t="s">
        <v>240</v>
      </c>
      <c r="DQ2891" s="5" t="s">
        <v>240</v>
      </c>
      <c r="DR2891" s="5" t="s">
        <v>731</v>
      </c>
      <c r="DS2891" s="5" t="s">
        <v>731</v>
      </c>
      <c r="DT2891" s="5" t="s">
        <v>240</v>
      </c>
      <c r="DU2891" s="5" t="s">
        <v>240</v>
      </c>
      <c r="DV2891" s="5" t="s">
        <v>3683</v>
      </c>
      <c r="DW2891" s="5" t="s">
        <v>392</v>
      </c>
      <c r="DX2891" s="5" t="s">
        <v>240</v>
      </c>
      <c r="DY2891" s="5" t="s">
        <v>240</v>
      </c>
      <c r="DZ2891" s="5" t="s">
        <v>240</v>
      </c>
      <c r="EA2891" s="5" t="s">
        <v>240</v>
      </c>
      <c r="EB2891" s="5" t="s">
        <v>240</v>
      </c>
      <c r="EC2891" s="5" t="s">
        <v>240</v>
      </c>
      <c r="ED2891" s="5" t="s">
        <v>240</v>
      </c>
      <c r="EE2891" s="5" t="s">
        <v>240</v>
      </c>
      <c r="EF2891" s="5" t="s">
        <v>240</v>
      </c>
      <c r="EG2891" s="5" t="s">
        <v>240</v>
      </c>
      <c r="EH2891" s="5" t="s">
        <v>240</v>
      </c>
      <c r="EI2891" s="5" t="s">
        <v>240</v>
      </c>
      <c r="EJ2891" s="5" t="s">
        <v>240</v>
      </c>
      <c r="EK2891" s="5" t="s">
        <v>240</v>
      </c>
      <c r="EL2891" s="5" t="s">
        <v>240</v>
      </c>
      <c r="EM2891" s="5" t="s">
        <v>240</v>
      </c>
      <c r="EN2891" s="5" t="s">
        <v>240</v>
      </c>
      <c r="EO2891" s="5" t="s">
        <v>240</v>
      </c>
      <c r="EP2891" s="5" t="s">
        <v>240</v>
      </c>
      <c r="EQ2891" s="5" t="s">
        <v>240</v>
      </c>
      <c r="ER2891" s="5" t="s">
        <v>240</v>
      </c>
      <c r="ES2891" s="5" t="s">
        <v>240</v>
      </c>
      <c r="ET2891" s="5" t="s">
        <v>240</v>
      </c>
      <c r="EU2891" s="5" t="s">
        <v>240</v>
      </c>
      <c r="EV2891" s="5" t="s">
        <v>240</v>
      </c>
      <c r="EW2891" s="5" t="s">
        <v>240</v>
      </c>
      <c r="EX2891" s="5" t="s">
        <v>240</v>
      </c>
      <c r="EY2891" s="5" t="s">
        <v>240</v>
      </c>
      <c r="EZ2891" s="5" t="s">
        <v>240</v>
      </c>
      <c r="FA2891" s="5" t="s">
        <v>240</v>
      </c>
      <c r="FB2891" s="5" t="s">
        <v>240</v>
      </c>
      <c r="FC2891" s="5" t="s">
        <v>240</v>
      </c>
      <c r="FD2891" s="5" t="s">
        <v>240</v>
      </c>
      <c r="FE2891" s="5" t="s">
        <v>240</v>
      </c>
      <c r="FF2891" s="5" t="s">
        <v>240</v>
      </c>
      <c r="FG2891" s="5" t="s">
        <v>240</v>
      </c>
      <c r="FH2891" s="5" t="s">
        <v>240</v>
      </c>
      <c r="FI2891" s="5" t="s">
        <v>240</v>
      </c>
      <c r="FJ2891" s="5" t="s">
        <v>240</v>
      </c>
      <c r="FK2891" s="5" t="s">
        <v>240</v>
      </c>
      <c r="FL2891" s="5" t="s">
        <v>240</v>
      </c>
      <c r="FM2891" s="5" t="s">
        <v>240</v>
      </c>
      <c r="FN2891" s="5" t="s">
        <v>240</v>
      </c>
      <c r="FO2891" s="5" t="s">
        <v>240</v>
      </c>
      <c r="FP2891" s="5" t="s">
        <v>240</v>
      </c>
      <c r="FQ2891" s="5" t="s">
        <v>240</v>
      </c>
      <c r="FR2891" s="5" t="s">
        <v>240</v>
      </c>
      <c r="FS2891" s="5" t="s">
        <v>240</v>
      </c>
      <c r="FT2891" s="5" t="s">
        <v>240</v>
      </c>
      <c r="FU2891" s="5" t="s">
        <v>240</v>
      </c>
      <c r="FV2891" s="5" t="s">
        <v>240</v>
      </c>
      <c r="FW2891" s="5" t="s">
        <v>240</v>
      </c>
      <c r="FX2891" s="5" t="s">
        <v>240</v>
      </c>
      <c r="FY2891" s="5" t="s">
        <v>240</v>
      </c>
      <c r="FZ2891" s="5" t="s">
        <v>240</v>
      </c>
      <c r="GA2891" s="5" t="s">
        <v>240</v>
      </c>
      <c r="GB2891" s="5" t="s">
        <v>240</v>
      </c>
      <c r="GC2891" s="5" t="s">
        <v>240</v>
      </c>
      <c r="GD2891" s="5" t="s">
        <v>240</v>
      </c>
      <c r="GE2891" s="5" t="s">
        <v>240</v>
      </c>
      <c r="GF2891" s="5" t="s">
        <v>240</v>
      </c>
      <c r="GG2891" s="5" t="s">
        <v>240</v>
      </c>
      <c r="GH2891" s="5" t="s">
        <v>240</v>
      </c>
      <c r="GI2891" s="5" t="s">
        <v>240</v>
      </c>
      <c r="GJ2891" s="5" t="s">
        <v>240</v>
      </c>
      <c r="GK2891" s="5" t="s">
        <v>240</v>
      </c>
      <c r="GL2891" s="5" t="s">
        <v>240</v>
      </c>
      <c r="GM2891" s="5" t="s">
        <v>240</v>
      </c>
      <c r="GN2891" s="5" t="s">
        <v>240</v>
      </c>
      <c r="GO2891" s="5" t="s">
        <v>240</v>
      </c>
      <c r="GP2891" s="5" t="s">
        <v>240</v>
      </c>
      <c r="GQ2891" s="5" t="s">
        <v>240</v>
      </c>
      <c r="GR2891" s="5" t="s">
        <v>240</v>
      </c>
      <c r="GS2891" s="5" t="s">
        <v>240</v>
      </c>
      <c r="GT2891" s="5" t="s">
        <v>240</v>
      </c>
      <c r="GU2891" s="5" t="s">
        <v>240</v>
      </c>
      <c r="GV2891" s="5" t="s">
        <v>240</v>
      </c>
      <c r="GW2891" s="5" t="s">
        <v>240</v>
      </c>
      <c r="GX2891" s="5" t="s">
        <v>240</v>
      </c>
      <c r="GY2891" s="5" t="s">
        <v>240</v>
      </c>
      <c r="GZ2891" s="5" t="s">
        <v>240</v>
      </c>
      <c r="HA2891" s="5" t="s">
        <v>240</v>
      </c>
      <c r="HB2891" s="5" t="s">
        <v>240</v>
      </c>
      <c r="HC2891" s="5" t="s">
        <v>240</v>
      </c>
      <c r="HD2891" s="5" t="s">
        <v>240</v>
      </c>
      <c r="HE2891" s="5" t="s">
        <v>240</v>
      </c>
      <c r="HF2891" s="5" t="s">
        <v>240</v>
      </c>
      <c r="HG2891" s="5" t="s">
        <v>240</v>
      </c>
      <c r="HH2891" s="5" t="s">
        <v>240</v>
      </c>
      <c r="HI2891" s="5" t="s">
        <v>240</v>
      </c>
      <c r="HJ2891" s="5" t="s">
        <v>240</v>
      </c>
      <c r="HK2891" s="5" t="s">
        <v>240</v>
      </c>
      <c r="HL2891" s="5" t="s">
        <v>240</v>
      </c>
      <c r="HM2891" s="5" t="s">
        <v>240</v>
      </c>
      <c r="HN2891" s="5" t="s">
        <v>240</v>
      </c>
      <c r="HO2891" s="5" t="s">
        <v>312</v>
      </c>
      <c r="HP2891" s="5" t="s">
        <v>240</v>
      </c>
      <c r="HQ2891" s="5" t="s">
        <v>240</v>
      </c>
      <c r="HR2891" s="5" t="s">
        <v>240</v>
      </c>
      <c r="HS2891" s="5" t="s">
        <v>240</v>
      </c>
      <c r="HT2891" s="5" t="s">
        <v>240</v>
      </c>
      <c r="HU2891" s="5" t="s">
        <v>240</v>
      </c>
      <c r="HV2891" s="5" t="s">
        <v>240</v>
      </c>
      <c r="HW2891" s="5" t="s">
        <v>240</v>
      </c>
      <c r="HX2891" s="5" t="s">
        <v>240</v>
      </c>
      <c r="HY2891" s="5" t="s">
        <v>240</v>
      </c>
      <c r="HZ2891" s="5" t="s">
        <v>240</v>
      </c>
      <c r="IA2891" s="5" t="s">
        <v>240</v>
      </c>
      <c r="IB2891" s="5" t="s">
        <v>240</v>
      </c>
      <c r="IC2891" s="5" t="s">
        <v>240</v>
      </c>
      <c r="ID2891" s="5" t="s">
        <v>240</v>
      </c>
      <c r="IE2891" s="5" t="s">
        <v>240</v>
      </c>
      <c r="IF2891" s="5" t="s">
        <v>240</v>
      </c>
    </row>
    <row r="2892" spans="1:240" x14ac:dyDescent="0.4">
      <c r="A2892" s="5">
        <v>4596</v>
      </c>
      <c r="B2892" s="5">
        <v>1</v>
      </c>
      <c r="C2892" s="5">
        <v>1</v>
      </c>
      <c r="D2892" s="5" t="s">
        <v>810</v>
      </c>
      <c r="E2892" s="5" t="s">
        <v>245</v>
      </c>
      <c r="F2892" s="5" t="s">
        <v>254</v>
      </c>
      <c r="G2892" s="5" t="s">
        <v>240</v>
      </c>
      <c r="H2892" s="6" t="s">
        <v>2762</v>
      </c>
      <c r="I2892" s="5" t="s">
        <v>809</v>
      </c>
      <c r="J2892" s="8">
        <f>260</f>
        <v>260</v>
      </c>
      <c r="K2892" s="5" t="s">
        <v>308</v>
      </c>
      <c r="L2892" s="7">
        <f>1</f>
        <v>1</v>
      </c>
      <c r="M2892" s="7">
        <f>1</f>
        <v>1</v>
      </c>
      <c r="N2892" s="5" t="s">
        <v>242</v>
      </c>
      <c r="O2892" s="5">
        <v>1</v>
      </c>
      <c r="P2892" s="5" t="s">
        <v>294</v>
      </c>
      <c r="Q2892" s="5" t="s">
        <v>266</v>
      </c>
      <c r="R2892" s="5" t="s">
        <v>240</v>
      </c>
      <c r="S2892" s="5" t="s">
        <v>240</v>
      </c>
      <c r="T2892" s="5" t="s">
        <v>296</v>
      </c>
      <c r="U2892" s="5" t="s">
        <v>244</v>
      </c>
      <c r="V2892" s="5" t="s">
        <v>240</v>
      </c>
      <c r="Y2892" s="5" t="s">
        <v>240</v>
      </c>
      <c r="Z2892" s="6" t="s">
        <v>298</v>
      </c>
      <c r="AB2892" s="6" t="s">
        <v>240</v>
      </c>
      <c r="AE2892" s="6" t="s">
        <v>299</v>
      </c>
      <c r="AF2892" s="5" t="s">
        <v>248</v>
      </c>
      <c r="AG2892" s="5" t="s">
        <v>249</v>
      </c>
      <c r="AW2892" s="5" t="s">
        <v>251</v>
      </c>
      <c r="AX2892" s="5" t="s">
        <v>240</v>
      </c>
      <c r="AY2892" s="5" t="s">
        <v>253</v>
      </c>
      <c r="AZ2892" s="5" t="s">
        <v>240</v>
      </c>
      <c r="BA2892" s="5" t="s">
        <v>255</v>
      </c>
      <c r="BB2892" s="5" t="s">
        <v>240</v>
      </c>
      <c r="BD2892" s="5" t="s">
        <v>240</v>
      </c>
      <c r="BF2892" s="5" t="s">
        <v>301</v>
      </c>
      <c r="BG2892" s="6" t="s">
        <v>299</v>
      </c>
      <c r="BH2892" s="5" t="s">
        <v>302</v>
      </c>
      <c r="BI2892" s="5" t="s">
        <v>303</v>
      </c>
      <c r="BJ2892" s="5" t="s">
        <v>240</v>
      </c>
      <c r="BK2892" s="8">
        <f>0</f>
        <v>0</v>
      </c>
      <c r="BL2892" s="7">
        <f>0</f>
        <v>0</v>
      </c>
      <c r="BM2892" s="5" t="s">
        <v>258</v>
      </c>
      <c r="BN2892" s="5" t="s">
        <v>259</v>
      </c>
      <c r="CB2892" s="5" t="s">
        <v>240</v>
      </c>
      <c r="CC2892" s="5" t="s">
        <v>240</v>
      </c>
      <c r="CG2892" s="5" t="s">
        <v>304</v>
      </c>
      <c r="CH2892" s="5" t="s">
        <v>305</v>
      </c>
      <c r="CI2892" s="5" t="s">
        <v>240</v>
      </c>
      <c r="CL2892" s="6" t="s">
        <v>261</v>
      </c>
      <c r="CM2892" s="5" t="s">
        <v>240</v>
      </c>
      <c r="CN2892" s="5" t="s">
        <v>263</v>
      </c>
      <c r="CO2892" s="5" t="s">
        <v>240</v>
      </c>
      <c r="CP2892" s="5" t="s">
        <v>240</v>
      </c>
      <c r="CQ2892" s="5">
        <v>0</v>
      </c>
      <c r="CR2892" s="5" t="s">
        <v>306</v>
      </c>
      <c r="CS2892" s="5" t="s">
        <v>307</v>
      </c>
      <c r="CT2892" s="5" t="s">
        <v>307</v>
      </c>
      <c r="CU2892" s="5" t="s">
        <v>260</v>
      </c>
      <c r="CX2892" s="7">
        <f>1</f>
        <v>1</v>
      </c>
      <c r="CY2892" s="7">
        <f>0</f>
        <v>0</v>
      </c>
      <c r="DA2892" s="7">
        <f>0</f>
        <v>0</v>
      </c>
      <c r="DC2892" s="5" t="s">
        <v>309</v>
      </c>
      <c r="DD2892" s="5" t="s">
        <v>240</v>
      </c>
      <c r="DF2892" s="5" t="s">
        <v>309</v>
      </c>
      <c r="DG2892" s="7">
        <f>292</f>
        <v>292</v>
      </c>
      <c r="DI2892" s="5" t="s">
        <v>240</v>
      </c>
      <c r="DJ2892" s="5" t="s">
        <v>240</v>
      </c>
      <c r="DK2892" s="5" t="s">
        <v>240</v>
      </c>
      <c r="DL2892" s="5" t="s">
        <v>240</v>
      </c>
      <c r="DP2892" s="5" t="s">
        <v>240</v>
      </c>
      <c r="DQ2892" s="5" t="s">
        <v>240</v>
      </c>
      <c r="DR2892" s="5" t="s">
        <v>240</v>
      </c>
      <c r="DS2892" s="5" t="s">
        <v>240</v>
      </c>
      <c r="DV2892" s="5" t="s">
        <v>310</v>
      </c>
      <c r="DW2892" s="5" t="s">
        <v>3811</v>
      </c>
      <c r="HO2892" s="5" t="s">
        <v>312</v>
      </c>
    </row>
    <row r="2893" spans="1:240" x14ac:dyDescent="0.4">
      <c r="A2893" s="5">
        <v>4597</v>
      </c>
      <c r="B2893" s="5">
        <v>1</v>
      </c>
      <c r="C2893" s="5">
        <v>1</v>
      </c>
      <c r="D2893" s="5" t="s">
        <v>810</v>
      </c>
      <c r="E2893" s="5" t="s">
        <v>245</v>
      </c>
      <c r="F2893" s="5" t="s">
        <v>254</v>
      </c>
      <c r="G2893" s="5" t="s">
        <v>240</v>
      </c>
      <c r="H2893" s="6" t="s">
        <v>2760</v>
      </c>
      <c r="I2893" s="5" t="s">
        <v>809</v>
      </c>
      <c r="J2893" s="8">
        <f>260</f>
        <v>260</v>
      </c>
      <c r="K2893" s="5" t="s">
        <v>308</v>
      </c>
      <c r="L2893" s="7">
        <f>1</f>
        <v>1</v>
      </c>
      <c r="M2893" s="7">
        <f>1</f>
        <v>1</v>
      </c>
      <c r="N2893" s="5" t="s">
        <v>242</v>
      </c>
      <c r="O2893" s="5">
        <v>1</v>
      </c>
      <c r="P2893" s="5" t="s">
        <v>294</v>
      </c>
      <c r="Q2893" s="5" t="s">
        <v>3678</v>
      </c>
      <c r="R2893" s="5" t="s">
        <v>240</v>
      </c>
      <c r="S2893" s="5" t="s">
        <v>240</v>
      </c>
      <c r="T2893" s="5" t="s">
        <v>243</v>
      </c>
      <c r="U2893" s="5" t="s">
        <v>244</v>
      </c>
      <c r="V2893" s="5" t="s">
        <v>240</v>
      </c>
      <c r="W2893" s="5" t="s">
        <v>240</v>
      </c>
      <c r="X2893" s="5" t="s">
        <v>240</v>
      </c>
      <c r="Y2893" s="5" t="s">
        <v>240</v>
      </c>
      <c r="Z2893" s="6" t="s">
        <v>298</v>
      </c>
      <c r="AA2893" s="6" t="s">
        <v>240</v>
      </c>
      <c r="AB2893" s="6" t="s">
        <v>240</v>
      </c>
      <c r="AC2893" s="5" t="s">
        <v>240</v>
      </c>
      <c r="AD2893" s="6" t="s">
        <v>240</v>
      </c>
      <c r="AE2893" s="6" t="s">
        <v>299</v>
      </c>
      <c r="AF2893" s="5" t="s">
        <v>248</v>
      </c>
      <c r="AG2893" s="5" t="s">
        <v>249</v>
      </c>
      <c r="AH2893" s="5" t="s">
        <v>240</v>
      </c>
      <c r="AI2893" s="5" t="s">
        <v>240</v>
      </c>
      <c r="AJ2893" s="5" t="s">
        <v>240</v>
      </c>
      <c r="AK2893" s="5" t="s">
        <v>240</v>
      </c>
      <c r="AL2893" s="5" t="s">
        <v>240</v>
      </c>
      <c r="AM2893" s="5" t="s">
        <v>240</v>
      </c>
      <c r="AN2893" s="5" t="s">
        <v>240</v>
      </c>
      <c r="AO2893" s="5" t="s">
        <v>240</v>
      </c>
      <c r="AP2893" s="6" t="s">
        <v>240</v>
      </c>
      <c r="AQ2893" s="6" t="s">
        <v>240</v>
      </c>
      <c r="AR2893" s="6" t="s">
        <v>240</v>
      </c>
      <c r="AS2893" s="6" t="s">
        <v>240</v>
      </c>
      <c r="AT2893" s="5" t="s">
        <v>240</v>
      </c>
      <c r="AU2893" s="5" t="s">
        <v>729</v>
      </c>
      <c r="AV2893" s="5" t="s">
        <v>729</v>
      </c>
      <c r="AW2893" s="5" t="s">
        <v>251</v>
      </c>
      <c r="AX2893" s="5" t="s">
        <v>252</v>
      </c>
      <c r="AY2893" s="5" t="s">
        <v>253</v>
      </c>
      <c r="AZ2893" s="5" t="s">
        <v>240</v>
      </c>
      <c r="BA2893" s="5" t="s">
        <v>255</v>
      </c>
      <c r="BB2893" s="5" t="s">
        <v>731</v>
      </c>
      <c r="BD2893" s="5" t="s">
        <v>240</v>
      </c>
      <c r="BF2893" s="5" t="s">
        <v>732</v>
      </c>
      <c r="BG2893" s="6" t="s">
        <v>733</v>
      </c>
      <c r="BH2893" s="5" t="s">
        <v>734</v>
      </c>
      <c r="BI2893" s="5" t="s">
        <v>734</v>
      </c>
      <c r="BJ2893" s="5" t="s">
        <v>240</v>
      </c>
      <c r="BK2893" s="7">
        <f>1</f>
        <v>1</v>
      </c>
      <c r="BL2893" s="7">
        <f>1</f>
        <v>1</v>
      </c>
      <c r="BM2893" s="5" t="s">
        <v>258</v>
      </c>
      <c r="BN2893" s="5" t="s">
        <v>259</v>
      </c>
      <c r="BO2893" s="5" t="s">
        <v>240</v>
      </c>
      <c r="BP2893" s="5" t="s">
        <v>240</v>
      </c>
      <c r="BQ2893" s="5" t="s">
        <v>240</v>
      </c>
      <c r="BR2893" s="5" t="s">
        <v>240</v>
      </c>
      <c r="BS2893" s="5" t="s">
        <v>240</v>
      </c>
      <c r="BT2893" s="5" t="s">
        <v>240</v>
      </c>
      <c r="BU2893" s="5" t="s">
        <v>240</v>
      </c>
      <c r="BV2893" s="5" t="s">
        <v>240</v>
      </c>
      <c r="BW2893" s="6" t="s">
        <v>240</v>
      </c>
      <c r="BX2893" s="5" t="s">
        <v>240</v>
      </c>
      <c r="BY2893" s="5" t="s">
        <v>240</v>
      </c>
      <c r="BZ2893" s="5" t="s">
        <v>240</v>
      </c>
      <c r="CA2893" s="5" t="s">
        <v>259</v>
      </c>
      <c r="CB2893" s="5" t="s">
        <v>240</v>
      </c>
      <c r="CC2893" s="5" t="s">
        <v>240</v>
      </c>
      <c r="CD2893" s="5" t="s">
        <v>240</v>
      </c>
      <c r="CE2893" s="5" t="s">
        <v>240</v>
      </c>
      <c r="CF2893" s="5" t="s">
        <v>240</v>
      </c>
      <c r="CG2893" s="5" t="s">
        <v>304</v>
      </c>
      <c r="CH2893" s="5" t="s">
        <v>305</v>
      </c>
      <c r="CI2893" s="5" t="s">
        <v>240</v>
      </c>
      <c r="CK2893" s="5" t="s">
        <v>3681</v>
      </c>
      <c r="CL2893" s="6" t="s">
        <v>261</v>
      </c>
      <c r="CM2893" s="5" t="s">
        <v>262</v>
      </c>
      <c r="CN2893" s="5" t="s">
        <v>263</v>
      </c>
      <c r="CO2893" s="5" t="s">
        <v>264</v>
      </c>
      <c r="CP2893" s="5" t="s">
        <v>240</v>
      </c>
      <c r="CQ2893" s="5">
        <v>0</v>
      </c>
      <c r="CR2893" s="5" t="s">
        <v>735</v>
      </c>
      <c r="CS2893" s="5" t="s">
        <v>307</v>
      </c>
      <c r="CT2893" s="5" t="s">
        <v>307</v>
      </c>
      <c r="CU2893" s="5" t="s">
        <v>260</v>
      </c>
      <c r="CV2893" s="5" t="s">
        <v>612</v>
      </c>
      <c r="CW2893" s="8">
        <f>1</f>
        <v>1</v>
      </c>
      <c r="CX2893" s="7">
        <f>1</f>
        <v>1</v>
      </c>
      <c r="CY2893" s="7">
        <f>0</f>
        <v>0</v>
      </c>
      <c r="DA2893" s="7">
        <f>1</f>
        <v>1</v>
      </c>
      <c r="DB2893" s="7" t="s">
        <v>240</v>
      </c>
      <c r="DC2893" s="5" t="s">
        <v>240</v>
      </c>
      <c r="DD2893" s="5" t="s">
        <v>240</v>
      </c>
      <c r="DE2893" s="5" t="s">
        <v>240</v>
      </c>
      <c r="DF2893" s="5" t="s">
        <v>240</v>
      </c>
      <c r="DG2893" s="7">
        <f>0</f>
        <v>0</v>
      </c>
      <c r="DI2893" s="5" t="s">
        <v>240</v>
      </c>
      <c r="DJ2893" s="5" t="s">
        <v>240</v>
      </c>
      <c r="DK2893" s="5" t="s">
        <v>240</v>
      </c>
      <c r="DL2893" s="5" t="s">
        <v>240</v>
      </c>
      <c r="DM2893" s="5" t="s">
        <v>240</v>
      </c>
      <c r="DN2893" s="5" t="s">
        <v>240</v>
      </c>
      <c r="DO2893" s="7" t="s">
        <v>240</v>
      </c>
      <c r="DP2893" s="5" t="s">
        <v>240</v>
      </c>
      <c r="DQ2893" s="5" t="s">
        <v>240</v>
      </c>
      <c r="DR2893" s="5" t="s">
        <v>731</v>
      </c>
      <c r="DS2893" s="5" t="s">
        <v>731</v>
      </c>
      <c r="DT2893" s="5" t="s">
        <v>240</v>
      </c>
      <c r="DU2893" s="5" t="s">
        <v>240</v>
      </c>
      <c r="DV2893" s="5" t="s">
        <v>5063</v>
      </c>
      <c r="DW2893" s="5" t="s">
        <v>787</v>
      </c>
      <c r="DX2893" s="5" t="s">
        <v>240</v>
      </c>
      <c r="DY2893" s="5" t="s">
        <v>240</v>
      </c>
      <c r="DZ2893" s="5" t="s">
        <v>240</v>
      </c>
      <c r="EA2893" s="5" t="s">
        <v>240</v>
      </c>
      <c r="EB2893" s="5" t="s">
        <v>240</v>
      </c>
      <c r="EC2893" s="5" t="s">
        <v>240</v>
      </c>
      <c r="ED2893" s="5" t="s">
        <v>240</v>
      </c>
      <c r="EE2893" s="5" t="s">
        <v>240</v>
      </c>
      <c r="EF2893" s="5" t="s">
        <v>240</v>
      </c>
      <c r="EG2893" s="5" t="s">
        <v>240</v>
      </c>
      <c r="EH2893" s="5" t="s">
        <v>240</v>
      </c>
      <c r="EI2893" s="5" t="s">
        <v>240</v>
      </c>
      <c r="EJ2893" s="5" t="s">
        <v>240</v>
      </c>
      <c r="EK2893" s="5" t="s">
        <v>240</v>
      </c>
      <c r="EL2893" s="5" t="s">
        <v>240</v>
      </c>
      <c r="EM2893" s="5" t="s">
        <v>240</v>
      </c>
      <c r="EN2893" s="5" t="s">
        <v>240</v>
      </c>
      <c r="EO2893" s="5" t="s">
        <v>240</v>
      </c>
      <c r="EP2893" s="5" t="s">
        <v>240</v>
      </c>
      <c r="EQ2893" s="5" t="s">
        <v>240</v>
      </c>
      <c r="ER2893" s="5" t="s">
        <v>240</v>
      </c>
      <c r="ES2893" s="5" t="s">
        <v>240</v>
      </c>
      <c r="ET2893" s="5" t="s">
        <v>240</v>
      </c>
      <c r="EU2893" s="5" t="s">
        <v>240</v>
      </c>
      <c r="EV2893" s="5" t="s">
        <v>240</v>
      </c>
      <c r="EW2893" s="5" t="s">
        <v>240</v>
      </c>
      <c r="EX2893" s="5" t="s">
        <v>240</v>
      </c>
      <c r="EY2893" s="5" t="s">
        <v>240</v>
      </c>
      <c r="EZ2893" s="5" t="s">
        <v>240</v>
      </c>
      <c r="FA2893" s="5" t="s">
        <v>240</v>
      </c>
      <c r="FB2893" s="5" t="s">
        <v>240</v>
      </c>
      <c r="FC2893" s="5" t="s">
        <v>240</v>
      </c>
      <c r="FD2893" s="5" t="s">
        <v>240</v>
      </c>
      <c r="FE2893" s="5" t="s">
        <v>240</v>
      </c>
      <c r="FF2893" s="5" t="s">
        <v>240</v>
      </c>
      <c r="FG2893" s="5" t="s">
        <v>240</v>
      </c>
      <c r="FH2893" s="5" t="s">
        <v>240</v>
      </c>
      <c r="FI2893" s="5" t="s">
        <v>240</v>
      </c>
      <c r="FJ2893" s="5" t="s">
        <v>240</v>
      </c>
      <c r="FK2893" s="5" t="s">
        <v>240</v>
      </c>
      <c r="FL2893" s="5" t="s">
        <v>240</v>
      </c>
      <c r="FM2893" s="5" t="s">
        <v>240</v>
      </c>
      <c r="FN2893" s="5" t="s">
        <v>240</v>
      </c>
      <c r="FO2893" s="5" t="s">
        <v>240</v>
      </c>
      <c r="FP2893" s="5" t="s">
        <v>240</v>
      </c>
      <c r="FQ2893" s="5" t="s">
        <v>240</v>
      </c>
      <c r="FR2893" s="5" t="s">
        <v>240</v>
      </c>
      <c r="FS2893" s="5" t="s">
        <v>240</v>
      </c>
      <c r="FT2893" s="5" t="s">
        <v>240</v>
      </c>
      <c r="FU2893" s="5" t="s">
        <v>240</v>
      </c>
      <c r="FV2893" s="5" t="s">
        <v>240</v>
      </c>
      <c r="FW2893" s="5" t="s">
        <v>240</v>
      </c>
      <c r="FX2893" s="5" t="s">
        <v>240</v>
      </c>
      <c r="FY2893" s="5" t="s">
        <v>240</v>
      </c>
      <c r="FZ2893" s="5" t="s">
        <v>240</v>
      </c>
      <c r="GA2893" s="5" t="s">
        <v>240</v>
      </c>
      <c r="GB2893" s="5" t="s">
        <v>240</v>
      </c>
      <c r="GC2893" s="5" t="s">
        <v>240</v>
      </c>
      <c r="GD2893" s="5" t="s">
        <v>240</v>
      </c>
      <c r="GE2893" s="5" t="s">
        <v>240</v>
      </c>
      <c r="GF2893" s="5" t="s">
        <v>240</v>
      </c>
      <c r="GG2893" s="5" t="s">
        <v>240</v>
      </c>
      <c r="GH2893" s="5" t="s">
        <v>240</v>
      </c>
      <c r="GI2893" s="5" t="s">
        <v>240</v>
      </c>
      <c r="GJ2893" s="5" t="s">
        <v>240</v>
      </c>
      <c r="GK2893" s="5" t="s">
        <v>240</v>
      </c>
      <c r="GL2893" s="5" t="s">
        <v>240</v>
      </c>
      <c r="GM2893" s="5" t="s">
        <v>240</v>
      </c>
      <c r="GN2893" s="5" t="s">
        <v>240</v>
      </c>
      <c r="GO2893" s="5" t="s">
        <v>240</v>
      </c>
      <c r="GP2893" s="5" t="s">
        <v>240</v>
      </c>
      <c r="GQ2893" s="5" t="s">
        <v>240</v>
      </c>
      <c r="GR2893" s="5" t="s">
        <v>240</v>
      </c>
      <c r="GS2893" s="5" t="s">
        <v>240</v>
      </c>
      <c r="GT2893" s="5" t="s">
        <v>240</v>
      </c>
      <c r="GU2893" s="5" t="s">
        <v>240</v>
      </c>
      <c r="GV2893" s="5" t="s">
        <v>240</v>
      </c>
      <c r="GW2893" s="5" t="s">
        <v>240</v>
      </c>
      <c r="GX2893" s="5" t="s">
        <v>240</v>
      </c>
      <c r="GY2893" s="5" t="s">
        <v>240</v>
      </c>
      <c r="GZ2893" s="5" t="s">
        <v>240</v>
      </c>
      <c r="HA2893" s="5" t="s">
        <v>240</v>
      </c>
      <c r="HB2893" s="5" t="s">
        <v>240</v>
      </c>
      <c r="HC2893" s="5" t="s">
        <v>240</v>
      </c>
      <c r="HD2893" s="5" t="s">
        <v>240</v>
      </c>
      <c r="HE2893" s="5" t="s">
        <v>240</v>
      </c>
      <c r="HF2893" s="5" t="s">
        <v>240</v>
      </c>
      <c r="HG2893" s="5" t="s">
        <v>240</v>
      </c>
      <c r="HH2893" s="5" t="s">
        <v>240</v>
      </c>
      <c r="HI2893" s="5" t="s">
        <v>240</v>
      </c>
      <c r="HJ2893" s="5" t="s">
        <v>240</v>
      </c>
      <c r="HK2893" s="5" t="s">
        <v>240</v>
      </c>
      <c r="HL2893" s="5" t="s">
        <v>240</v>
      </c>
      <c r="HM2893" s="5" t="s">
        <v>240</v>
      </c>
      <c r="HN2893" s="5" t="s">
        <v>240</v>
      </c>
      <c r="HO2893" s="5" t="s">
        <v>312</v>
      </c>
      <c r="HP2893" s="5" t="s">
        <v>240</v>
      </c>
      <c r="HQ2893" s="5" t="s">
        <v>240</v>
      </c>
      <c r="HR2893" s="5" t="s">
        <v>240</v>
      </c>
      <c r="HS2893" s="5" t="s">
        <v>240</v>
      </c>
      <c r="HT2893" s="5" t="s">
        <v>240</v>
      </c>
      <c r="HU2893" s="5" t="s">
        <v>240</v>
      </c>
      <c r="HV2893" s="5" t="s">
        <v>240</v>
      </c>
      <c r="HW2893" s="5" t="s">
        <v>240</v>
      </c>
      <c r="HX2893" s="5" t="s">
        <v>240</v>
      </c>
      <c r="HY2893" s="5" t="s">
        <v>240</v>
      </c>
      <c r="HZ2893" s="5" t="s">
        <v>240</v>
      </c>
      <c r="IA2893" s="5" t="s">
        <v>240</v>
      </c>
      <c r="IB2893" s="5" t="s">
        <v>240</v>
      </c>
      <c r="IC2893" s="5" t="s">
        <v>240</v>
      </c>
      <c r="ID2893" s="5" t="s">
        <v>240</v>
      </c>
      <c r="IE2893" s="5" t="s">
        <v>240</v>
      </c>
      <c r="IF2893" s="5" t="s">
        <v>240</v>
      </c>
    </row>
    <row r="2894" spans="1:240" x14ac:dyDescent="0.4">
      <c r="A2894" s="5">
        <v>4598</v>
      </c>
      <c r="B2894" s="5">
        <v>1</v>
      </c>
      <c r="C2894" s="5">
        <v>1</v>
      </c>
      <c r="D2894" s="5" t="s">
        <v>810</v>
      </c>
      <c r="E2894" s="5" t="s">
        <v>245</v>
      </c>
      <c r="F2894" s="5" t="s">
        <v>254</v>
      </c>
      <c r="G2894" s="5" t="s">
        <v>240</v>
      </c>
      <c r="H2894" s="6" t="s">
        <v>2758</v>
      </c>
      <c r="I2894" s="5" t="s">
        <v>809</v>
      </c>
      <c r="J2894" s="8">
        <f>361</f>
        <v>361</v>
      </c>
      <c r="K2894" s="5" t="s">
        <v>308</v>
      </c>
      <c r="L2894" s="7">
        <f>1</f>
        <v>1</v>
      </c>
      <c r="M2894" s="7">
        <f>1</f>
        <v>1</v>
      </c>
      <c r="N2894" s="5" t="s">
        <v>242</v>
      </c>
      <c r="O2894" s="5">
        <v>1</v>
      </c>
      <c r="P2894" s="5" t="s">
        <v>294</v>
      </c>
      <c r="Q2894" s="5" t="s">
        <v>3678</v>
      </c>
      <c r="R2894" s="5" t="s">
        <v>240</v>
      </c>
      <c r="S2894" s="5" t="s">
        <v>240</v>
      </c>
      <c r="T2894" s="5" t="s">
        <v>243</v>
      </c>
      <c r="U2894" s="5" t="s">
        <v>244</v>
      </c>
      <c r="V2894" s="5" t="s">
        <v>240</v>
      </c>
      <c r="W2894" s="5" t="s">
        <v>240</v>
      </c>
      <c r="X2894" s="5" t="s">
        <v>240</v>
      </c>
      <c r="Y2894" s="5" t="s">
        <v>240</v>
      </c>
      <c r="Z2894" s="6" t="s">
        <v>298</v>
      </c>
      <c r="AA2894" s="6" t="s">
        <v>240</v>
      </c>
      <c r="AB2894" s="6" t="s">
        <v>240</v>
      </c>
      <c r="AC2894" s="5" t="s">
        <v>240</v>
      </c>
      <c r="AD2894" s="6" t="s">
        <v>240</v>
      </c>
      <c r="AE2894" s="6" t="s">
        <v>299</v>
      </c>
      <c r="AF2894" s="5" t="s">
        <v>248</v>
      </c>
      <c r="AG2894" s="5" t="s">
        <v>249</v>
      </c>
      <c r="AH2894" s="5" t="s">
        <v>240</v>
      </c>
      <c r="AI2894" s="5" t="s">
        <v>240</v>
      </c>
      <c r="AJ2894" s="5" t="s">
        <v>240</v>
      </c>
      <c r="AK2894" s="5" t="s">
        <v>240</v>
      </c>
      <c r="AL2894" s="5" t="s">
        <v>240</v>
      </c>
      <c r="AM2894" s="5" t="s">
        <v>240</v>
      </c>
      <c r="AN2894" s="5" t="s">
        <v>240</v>
      </c>
      <c r="AO2894" s="5" t="s">
        <v>240</v>
      </c>
      <c r="AP2894" s="6" t="s">
        <v>240</v>
      </c>
      <c r="AQ2894" s="6" t="s">
        <v>240</v>
      </c>
      <c r="AR2894" s="6" t="s">
        <v>240</v>
      </c>
      <c r="AS2894" s="6" t="s">
        <v>240</v>
      </c>
      <c r="AT2894" s="5" t="s">
        <v>240</v>
      </c>
      <c r="AU2894" s="5" t="s">
        <v>729</v>
      </c>
      <c r="AV2894" s="5" t="s">
        <v>729</v>
      </c>
      <c r="AW2894" s="5" t="s">
        <v>251</v>
      </c>
      <c r="AX2894" s="5" t="s">
        <v>252</v>
      </c>
      <c r="AY2894" s="5" t="s">
        <v>253</v>
      </c>
      <c r="AZ2894" s="5" t="s">
        <v>240</v>
      </c>
      <c r="BA2894" s="5" t="s">
        <v>255</v>
      </c>
      <c r="BB2894" s="5" t="s">
        <v>731</v>
      </c>
      <c r="BD2894" s="5" t="s">
        <v>240</v>
      </c>
      <c r="BF2894" s="5" t="s">
        <v>732</v>
      </c>
      <c r="BG2894" s="6" t="s">
        <v>733</v>
      </c>
      <c r="BH2894" s="5" t="s">
        <v>734</v>
      </c>
      <c r="BI2894" s="5" t="s">
        <v>734</v>
      </c>
      <c r="BJ2894" s="5" t="s">
        <v>240</v>
      </c>
      <c r="BK2894" s="7">
        <f>1</f>
        <v>1</v>
      </c>
      <c r="BL2894" s="7">
        <f>1</f>
        <v>1</v>
      </c>
      <c r="BM2894" s="5" t="s">
        <v>258</v>
      </c>
      <c r="BN2894" s="5" t="s">
        <v>259</v>
      </c>
      <c r="BO2894" s="5" t="s">
        <v>240</v>
      </c>
      <c r="BP2894" s="5" t="s">
        <v>240</v>
      </c>
      <c r="BQ2894" s="5" t="s">
        <v>240</v>
      </c>
      <c r="BR2894" s="5" t="s">
        <v>240</v>
      </c>
      <c r="BS2894" s="5" t="s">
        <v>240</v>
      </c>
      <c r="BT2894" s="5" t="s">
        <v>240</v>
      </c>
      <c r="BU2894" s="5" t="s">
        <v>240</v>
      </c>
      <c r="BV2894" s="5" t="s">
        <v>240</v>
      </c>
      <c r="BW2894" s="6" t="s">
        <v>240</v>
      </c>
      <c r="BX2894" s="5" t="s">
        <v>240</v>
      </c>
      <c r="BY2894" s="5" t="s">
        <v>240</v>
      </c>
      <c r="BZ2894" s="5" t="s">
        <v>240</v>
      </c>
      <c r="CA2894" s="5" t="s">
        <v>259</v>
      </c>
      <c r="CB2894" s="5" t="s">
        <v>240</v>
      </c>
      <c r="CC2894" s="5" t="s">
        <v>240</v>
      </c>
      <c r="CD2894" s="5" t="s">
        <v>240</v>
      </c>
      <c r="CE2894" s="5" t="s">
        <v>240</v>
      </c>
      <c r="CF2894" s="5" t="s">
        <v>240</v>
      </c>
      <c r="CG2894" s="5" t="s">
        <v>304</v>
      </c>
      <c r="CH2894" s="5" t="s">
        <v>305</v>
      </c>
      <c r="CI2894" s="5" t="s">
        <v>240</v>
      </c>
      <c r="CK2894" s="5" t="s">
        <v>3681</v>
      </c>
      <c r="CL2894" s="6" t="s">
        <v>261</v>
      </c>
      <c r="CM2894" s="5" t="s">
        <v>262</v>
      </c>
      <c r="CN2894" s="5" t="s">
        <v>263</v>
      </c>
      <c r="CO2894" s="5" t="s">
        <v>264</v>
      </c>
      <c r="CP2894" s="5" t="s">
        <v>240</v>
      </c>
      <c r="CQ2894" s="5">
        <v>0</v>
      </c>
      <c r="CR2894" s="5" t="s">
        <v>735</v>
      </c>
      <c r="CS2894" s="5" t="s">
        <v>307</v>
      </c>
      <c r="CT2894" s="5" t="s">
        <v>307</v>
      </c>
      <c r="CU2894" s="5" t="s">
        <v>260</v>
      </c>
      <c r="CV2894" s="5" t="s">
        <v>612</v>
      </c>
      <c r="CW2894" s="8">
        <f>1</f>
        <v>1</v>
      </c>
      <c r="CX2894" s="7">
        <f>1</f>
        <v>1</v>
      </c>
      <c r="CY2894" s="7">
        <f>0</f>
        <v>0</v>
      </c>
      <c r="DA2894" s="7">
        <f>1</f>
        <v>1</v>
      </c>
      <c r="DB2894" s="7" t="s">
        <v>240</v>
      </c>
      <c r="DC2894" s="5" t="s">
        <v>240</v>
      </c>
      <c r="DD2894" s="5" t="s">
        <v>240</v>
      </c>
      <c r="DE2894" s="5" t="s">
        <v>240</v>
      </c>
      <c r="DF2894" s="5" t="s">
        <v>240</v>
      </c>
      <c r="DG2894" s="7">
        <f>0</f>
        <v>0</v>
      </c>
      <c r="DI2894" s="5" t="s">
        <v>240</v>
      </c>
      <c r="DJ2894" s="5" t="s">
        <v>240</v>
      </c>
      <c r="DK2894" s="5" t="s">
        <v>240</v>
      </c>
      <c r="DL2894" s="5" t="s">
        <v>240</v>
      </c>
      <c r="DM2894" s="5" t="s">
        <v>240</v>
      </c>
      <c r="DN2894" s="5" t="s">
        <v>240</v>
      </c>
      <c r="DO2894" s="7" t="s">
        <v>240</v>
      </c>
      <c r="DP2894" s="5" t="s">
        <v>240</v>
      </c>
      <c r="DQ2894" s="5" t="s">
        <v>240</v>
      </c>
      <c r="DR2894" s="5" t="s">
        <v>731</v>
      </c>
      <c r="DS2894" s="5" t="s">
        <v>731</v>
      </c>
      <c r="DT2894" s="5" t="s">
        <v>240</v>
      </c>
      <c r="DU2894" s="5" t="s">
        <v>240</v>
      </c>
      <c r="DV2894" s="5" t="s">
        <v>3683</v>
      </c>
      <c r="DW2894" s="5" t="s">
        <v>400</v>
      </c>
      <c r="DX2894" s="5" t="s">
        <v>240</v>
      </c>
      <c r="DY2894" s="5" t="s">
        <v>240</v>
      </c>
      <c r="DZ2894" s="5" t="s">
        <v>240</v>
      </c>
      <c r="EA2894" s="5" t="s">
        <v>240</v>
      </c>
      <c r="EB2894" s="5" t="s">
        <v>240</v>
      </c>
      <c r="EC2894" s="5" t="s">
        <v>240</v>
      </c>
      <c r="ED2894" s="5" t="s">
        <v>240</v>
      </c>
      <c r="EE2894" s="5" t="s">
        <v>240</v>
      </c>
      <c r="EF2894" s="5" t="s">
        <v>240</v>
      </c>
      <c r="EG2894" s="5" t="s">
        <v>240</v>
      </c>
      <c r="EH2894" s="5" t="s">
        <v>240</v>
      </c>
      <c r="EI2894" s="5" t="s">
        <v>240</v>
      </c>
      <c r="EJ2894" s="5" t="s">
        <v>240</v>
      </c>
      <c r="EK2894" s="5" t="s">
        <v>240</v>
      </c>
      <c r="EL2894" s="5" t="s">
        <v>240</v>
      </c>
      <c r="EM2894" s="5" t="s">
        <v>240</v>
      </c>
      <c r="EN2894" s="5" t="s">
        <v>240</v>
      </c>
      <c r="EO2894" s="5" t="s">
        <v>240</v>
      </c>
      <c r="EP2894" s="5" t="s">
        <v>240</v>
      </c>
      <c r="EQ2894" s="5" t="s">
        <v>240</v>
      </c>
      <c r="ER2894" s="5" t="s">
        <v>240</v>
      </c>
      <c r="ES2894" s="5" t="s">
        <v>240</v>
      </c>
      <c r="ET2894" s="5" t="s">
        <v>240</v>
      </c>
      <c r="EU2894" s="5" t="s">
        <v>240</v>
      </c>
      <c r="EV2894" s="5" t="s">
        <v>240</v>
      </c>
      <c r="EW2894" s="5" t="s">
        <v>240</v>
      </c>
      <c r="EX2894" s="5" t="s">
        <v>240</v>
      </c>
      <c r="EY2894" s="5" t="s">
        <v>240</v>
      </c>
      <c r="EZ2894" s="5" t="s">
        <v>240</v>
      </c>
      <c r="FA2894" s="5" t="s">
        <v>240</v>
      </c>
      <c r="FB2894" s="5" t="s">
        <v>240</v>
      </c>
      <c r="FC2894" s="5" t="s">
        <v>240</v>
      </c>
      <c r="FD2894" s="5" t="s">
        <v>240</v>
      </c>
      <c r="FE2894" s="5" t="s">
        <v>240</v>
      </c>
      <c r="FF2894" s="5" t="s">
        <v>240</v>
      </c>
      <c r="FG2894" s="5" t="s">
        <v>240</v>
      </c>
      <c r="FH2894" s="5" t="s">
        <v>240</v>
      </c>
      <c r="FI2894" s="5" t="s">
        <v>240</v>
      </c>
      <c r="FJ2894" s="5" t="s">
        <v>240</v>
      </c>
      <c r="FK2894" s="5" t="s">
        <v>240</v>
      </c>
      <c r="FL2894" s="5" t="s">
        <v>240</v>
      </c>
      <c r="FM2894" s="5" t="s">
        <v>240</v>
      </c>
      <c r="FN2894" s="5" t="s">
        <v>240</v>
      </c>
      <c r="FO2894" s="5" t="s">
        <v>240</v>
      </c>
      <c r="FP2894" s="5" t="s">
        <v>240</v>
      </c>
      <c r="FQ2894" s="5" t="s">
        <v>240</v>
      </c>
      <c r="FR2894" s="5" t="s">
        <v>240</v>
      </c>
      <c r="FS2894" s="5" t="s">
        <v>240</v>
      </c>
      <c r="FT2894" s="5" t="s">
        <v>240</v>
      </c>
      <c r="FU2894" s="5" t="s">
        <v>240</v>
      </c>
      <c r="FV2894" s="5" t="s">
        <v>240</v>
      </c>
      <c r="FW2894" s="5" t="s">
        <v>240</v>
      </c>
      <c r="FX2894" s="5" t="s">
        <v>240</v>
      </c>
      <c r="FY2894" s="5" t="s">
        <v>240</v>
      </c>
      <c r="FZ2894" s="5" t="s">
        <v>240</v>
      </c>
      <c r="GA2894" s="5" t="s">
        <v>240</v>
      </c>
      <c r="GB2894" s="5" t="s">
        <v>240</v>
      </c>
      <c r="GC2894" s="5" t="s">
        <v>240</v>
      </c>
      <c r="GD2894" s="5" t="s">
        <v>240</v>
      </c>
      <c r="GE2894" s="5" t="s">
        <v>240</v>
      </c>
      <c r="GF2894" s="5" t="s">
        <v>240</v>
      </c>
      <c r="GG2894" s="5" t="s">
        <v>240</v>
      </c>
      <c r="GH2894" s="5" t="s">
        <v>240</v>
      </c>
      <c r="GI2894" s="5" t="s">
        <v>240</v>
      </c>
      <c r="GJ2894" s="5" t="s">
        <v>240</v>
      </c>
      <c r="GK2894" s="5" t="s">
        <v>240</v>
      </c>
      <c r="GL2894" s="5" t="s">
        <v>240</v>
      </c>
      <c r="GM2894" s="5" t="s">
        <v>240</v>
      </c>
      <c r="GN2894" s="5" t="s">
        <v>240</v>
      </c>
      <c r="GO2894" s="5" t="s">
        <v>240</v>
      </c>
      <c r="GP2894" s="5" t="s">
        <v>240</v>
      </c>
      <c r="GQ2894" s="5" t="s">
        <v>240</v>
      </c>
      <c r="GR2894" s="5" t="s">
        <v>240</v>
      </c>
      <c r="GS2894" s="5" t="s">
        <v>240</v>
      </c>
      <c r="GT2894" s="5" t="s">
        <v>240</v>
      </c>
      <c r="GU2894" s="5" t="s">
        <v>240</v>
      </c>
      <c r="GV2894" s="5" t="s">
        <v>240</v>
      </c>
      <c r="GW2894" s="5" t="s">
        <v>240</v>
      </c>
      <c r="GX2894" s="5" t="s">
        <v>240</v>
      </c>
      <c r="GY2894" s="5" t="s">
        <v>240</v>
      </c>
      <c r="GZ2894" s="5" t="s">
        <v>240</v>
      </c>
      <c r="HA2894" s="5" t="s">
        <v>240</v>
      </c>
      <c r="HB2894" s="5" t="s">
        <v>240</v>
      </c>
      <c r="HC2894" s="5" t="s">
        <v>240</v>
      </c>
      <c r="HD2894" s="5" t="s">
        <v>240</v>
      </c>
      <c r="HE2894" s="5" t="s">
        <v>240</v>
      </c>
      <c r="HF2894" s="5" t="s">
        <v>240</v>
      </c>
      <c r="HG2894" s="5" t="s">
        <v>240</v>
      </c>
      <c r="HH2894" s="5" t="s">
        <v>240</v>
      </c>
      <c r="HI2894" s="5" t="s">
        <v>240</v>
      </c>
      <c r="HJ2894" s="5" t="s">
        <v>240</v>
      </c>
      <c r="HK2894" s="5" t="s">
        <v>240</v>
      </c>
      <c r="HL2894" s="5" t="s">
        <v>240</v>
      </c>
      <c r="HM2894" s="5" t="s">
        <v>240</v>
      </c>
      <c r="HN2894" s="5" t="s">
        <v>240</v>
      </c>
      <c r="HO2894" s="5" t="s">
        <v>312</v>
      </c>
      <c r="HP2894" s="5" t="s">
        <v>240</v>
      </c>
      <c r="HQ2894" s="5" t="s">
        <v>240</v>
      </c>
      <c r="HR2894" s="5" t="s">
        <v>240</v>
      </c>
      <c r="HS2894" s="5" t="s">
        <v>240</v>
      </c>
      <c r="HT2894" s="5" t="s">
        <v>240</v>
      </c>
      <c r="HU2894" s="5" t="s">
        <v>240</v>
      </c>
      <c r="HV2894" s="5" t="s">
        <v>240</v>
      </c>
      <c r="HW2894" s="5" t="s">
        <v>240</v>
      </c>
      <c r="HX2894" s="5" t="s">
        <v>240</v>
      </c>
      <c r="HY2894" s="5" t="s">
        <v>240</v>
      </c>
      <c r="HZ2894" s="5" t="s">
        <v>240</v>
      </c>
      <c r="IA2894" s="5" t="s">
        <v>240</v>
      </c>
      <c r="IB2894" s="5" t="s">
        <v>240</v>
      </c>
      <c r="IC2894" s="5" t="s">
        <v>240</v>
      </c>
      <c r="ID2894" s="5" t="s">
        <v>240</v>
      </c>
      <c r="IE2894" s="5" t="s">
        <v>240</v>
      </c>
      <c r="IF2894" s="5" t="s">
        <v>240</v>
      </c>
    </row>
    <row r="2895" spans="1:240" x14ac:dyDescent="0.4">
      <c r="A2895" s="5">
        <v>4599</v>
      </c>
      <c r="B2895" s="5">
        <v>1</v>
      </c>
      <c r="C2895" s="5">
        <v>1</v>
      </c>
      <c r="D2895" s="5" t="s">
        <v>810</v>
      </c>
      <c r="E2895" s="5" t="s">
        <v>245</v>
      </c>
      <c r="F2895" s="5" t="s">
        <v>254</v>
      </c>
      <c r="G2895" s="5" t="s">
        <v>240</v>
      </c>
      <c r="H2895" s="6" t="s">
        <v>2756</v>
      </c>
      <c r="I2895" s="5" t="s">
        <v>809</v>
      </c>
      <c r="J2895" s="8">
        <f>832</f>
        <v>832</v>
      </c>
      <c r="K2895" s="5" t="s">
        <v>308</v>
      </c>
      <c r="L2895" s="7">
        <f>1</f>
        <v>1</v>
      </c>
      <c r="M2895" s="7">
        <f>1</f>
        <v>1</v>
      </c>
      <c r="N2895" s="5" t="s">
        <v>242</v>
      </c>
      <c r="O2895" s="5">
        <v>1</v>
      </c>
      <c r="P2895" s="5" t="s">
        <v>294</v>
      </c>
      <c r="Q2895" s="5" t="s">
        <v>3678</v>
      </c>
      <c r="R2895" s="5" t="s">
        <v>240</v>
      </c>
      <c r="S2895" s="5" t="s">
        <v>240</v>
      </c>
      <c r="T2895" s="5" t="s">
        <v>243</v>
      </c>
      <c r="U2895" s="5" t="s">
        <v>244</v>
      </c>
      <c r="V2895" s="5" t="s">
        <v>240</v>
      </c>
      <c r="W2895" s="5" t="s">
        <v>240</v>
      </c>
      <c r="X2895" s="5" t="s">
        <v>240</v>
      </c>
      <c r="Y2895" s="5" t="s">
        <v>240</v>
      </c>
      <c r="Z2895" s="6" t="s">
        <v>298</v>
      </c>
      <c r="AA2895" s="6" t="s">
        <v>240</v>
      </c>
      <c r="AB2895" s="6" t="s">
        <v>240</v>
      </c>
      <c r="AC2895" s="5" t="s">
        <v>240</v>
      </c>
      <c r="AD2895" s="6" t="s">
        <v>240</v>
      </c>
      <c r="AE2895" s="6" t="s">
        <v>299</v>
      </c>
      <c r="AF2895" s="5" t="s">
        <v>248</v>
      </c>
      <c r="AG2895" s="5" t="s">
        <v>249</v>
      </c>
      <c r="AH2895" s="5" t="s">
        <v>240</v>
      </c>
      <c r="AI2895" s="5" t="s">
        <v>240</v>
      </c>
      <c r="AJ2895" s="5" t="s">
        <v>240</v>
      </c>
      <c r="AK2895" s="5" t="s">
        <v>240</v>
      </c>
      <c r="AL2895" s="5" t="s">
        <v>240</v>
      </c>
      <c r="AM2895" s="5" t="s">
        <v>240</v>
      </c>
      <c r="AN2895" s="5" t="s">
        <v>240</v>
      </c>
      <c r="AO2895" s="5" t="s">
        <v>240</v>
      </c>
      <c r="AP2895" s="6" t="s">
        <v>240</v>
      </c>
      <c r="AQ2895" s="6" t="s">
        <v>240</v>
      </c>
      <c r="AR2895" s="6" t="s">
        <v>240</v>
      </c>
      <c r="AS2895" s="6" t="s">
        <v>240</v>
      </c>
      <c r="AT2895" s="5" t="s">
        <v>240</v>
      </c>
      <c r="AU2895" s="5" t="s">
        <v>729</v>
      </c>
      <c r="AV2895" s="5" t="s">
        <v>729</v>
      </c>
      <c r="AW2895" s="5" t="s">
        <v>251</v>
      </c>
      <c r="AX2895" s="5" t="s">
        <v>252</v>
      </c>
      <c r="AY2895" s="5" t="s">
        <v>253</v>
      </c>
      <c r="AZ2895" s="5" t="s">
        <v>240</v>
      </c>
      <c r="BA2895" s="5" t="s">
        <v>255</v>
      </c>
      <c r="BB2895" s="5" t="s">
        <v>731</v>
      </c>
      <c r="BD2895" s="5" t="s">
        <v>240</v>
      </c>
      <c r="BF2895" s="5" t="s">
        <v>732</v>
      </c>
      <c r="BG2895" s="6" t="s">
        <v>733</v>
      </c>
      <c r="BH2895" s="5" t="s">
        <v>734</v>
      </c>
      <c r="BI2895" s="5" t="s">
        <v>734</v>
      </c>
      <c r="BJ2895" s="5" t="s">
        <v>240</v>
      </c>
      <c r="BK2895" s="7">
        <f>1</f>
        <v>1</v>
      </c>
      <c r="BL2895" s="7">
        <f>1</f>
        <v>1</v>
      </c>
      <c r="BM2895" s="5" t="s">
        <v>258</v>
      </c>
      <c r="BN2895" s="5" t="s">
        <v>259</v>
      </c>
      <c r="BO2895" s="5" t="s">
        <v>240</v>
      </c>
      <c r="BP2895" s="5" t="s">
        <v>240</v>
      </c>
      <c r="BQ2895" s="5" t="s">
        <v>240</v>
      </c>
      <c r="BR2895" s="5" t="s">
        <v>240</v>
      </c>
      <c r="BS2895" s="5" t="s">
        <v>240</v>
      </c>
      <c r="BT2895" s="5" t="s">
        <v>240</v>
      </c>
      <c r="BU2895" s="5" t="s">
        <v>240</v>
      </c>
      <c r="BV2895" s="5" t="s">
        <v>240</v>
      </c>
      <c r="BW2895" s="6" t="s">
        <v>240</v>
      </c>
      <c r="BX2895" s="5" t="s">
        <v>240</v>
      </c>
      <c r="BY2895" s="5" t="s">
        <v>240</v>
      </c>
      <c r="BZ2895" s="5" t="s">
        <v>240</v>
      </c>
      <c r="CA2895" s="5" t="s">
        <v>259</v>
      </c>
      <c r="CB2895" s="5" t="s">
        <v>240</v>
      </c>
      <c r="CC2895" s="5" t="s">
        <v>240</v>
      </c>
      <c r="CD2895" s="5" t="s">
        <v>240</v>
      </c>
      <c r="CE2895" s="5" t="s">
        <v>240</v>
      </c>
      <c r="CF2895" s="5" t="s">
        <v>240</v>
      </c>
      <c r="CG2895" s="5" t="s">
        <v>304</v>
      </c>
      <c r="CH2895" s="5" t="s">
        <v>305</v>
      </c>
      <c r="CI2895" s="5" t="s">
        <v>240</v>
      </c>
      <c r="CK2895" s="5" t="s">
        <v>3681</v>
      </c>
      <c r="CL2895" s="6" t="s">
        <v>261</v>
      </c>
      <c r="CM2895" s="5" t="s">
        <v>262</v>
      </c>
      <c r="CN2895" s="5" t="s">
        <v>263</v>
      </c>
      <c r="CO2895" s="5" t="s">
        <v>264</v>
      </c>
      <c r="CP2895" s="5" t="s">
        <v>240</v>
      </c>
      <c r="CQ2895" s="5">
        <v>0</v>
      </c>
      <c r="CR2895" s="5" t="s">
        <v>735</v>
      </c>
      <c r="CS2895" s="5" t="s">
        <v>307</v>
      </c>
      <c r="CT2895" s="5" t="s">
        <v>307</v>
      </c>
      <c r="CU2895" s="5" t="s">
        <v>260</v>
      </c>
      <c r="CV2895" s="5" t="s">
        <v>612</v>
      </c>
      <c r="CW2895" s="8">
        <f>1</f>
        <v>1</v>
      </c>
      <c r="CX2895" s="7">
        <f>1</f>
        <v>1</v>
      </c>
      <c r="CY2895" s="7">
        <f>0</f>
        <v>0</v>
      </c>
      <c r="DA2895" s="7">
        <f>1</f>
        <v>1</v>
      </c>
      <c r="DB2895" s="7" t="s">
        <v>240</v>
      </c>
      <c r="DC2895" s="5" t="s">
        <v>240</v>
      </c>
      <c r="DD2895" s="5" t="s">
        <v>240</v>
      </c>
      <c r="DE2895" s="5" t="s">
        <v>240</v>
      </c>
      <c r="DF2895" s="5" t="s">
        <v>240</v>
      </c>
      <c r="DG2895" s="7">
        <f>0</f>
        <v>0</v>
      </c>
      <c r="DI2895" s="5" t="s">
        <v>240</v>
      </c>
      <c r="DJ2895" s="5" t="s">
        <v>240</v>
      </c>
      <c r="DK2895" s="5" t="s">
        <v>240</v>
      </c>
      <c r="DL2895" s="5" t="s">
        <v>240</v>
      </c>
      <c r="DM2895" s="5" t="s">
        <v>240</v>
      </c>
      <c r="DN2895" s="5" t="s">
        <v>240</v>
      </c>
      <c r="DO2895" s="7" t="s">
        <v>240</v>
      </c>
      <c r="DP2895" s="5" t="s">
        <v>240</v>
      </c>
      <c r="DQ2895" s="5" t="s">
        <v>240</v>
      </c>
      <c r="DR2895" s="5" t="s">
        <v>731</v>
      </c>
      <c r="DS2895" s="5" t="s">
        <v>731</v>
      </c>
      <c r="DT2895" s="5" t="s">
        <v>240</v>
      </c>
      <c r="DU2895" s="5" t="s">
        <v>240</v>
      </c>
      <c r="DV2895" s="5" t="s">
        <v>5063</v>
      </c>
      <c r="DW2895" s="5" t="s">
        <v>779</v>
      </c>
      <c r="DX2895" s="5" t="s">
        <v>240</v>
      </c>
      <c r="DY2895" s="5" t="s">
        <v>240</v>
      </c>
      <c r="DZ2895" s="5" t="s">
        <v>240</v>
      </c>
      <c r="EA2895" s="5" t="s">
        <v>240</v>
      </c>
      <c r="EB2895" s="5" t="s">
        <v>240</v>
      </c>
      <c r="EC2895" s="5" t="s">
        <v>240</v>
      </c>
      <c r="ED2895" s="5" t="s">
        <v>240</v>
      </c>
      <c r="EE2895" s="5" t="s">
        <v>240</v>
      </c>
      <c r="EF2895" s="5" t="s">
        <v>240</v>
      </c>
      <c r="EG2895" s="5" t="s">
        <v>240</v>
      </c>
      <c r="EH2895" s="5" t="s">
        <v>240</v>
      </c>
      <c r="EI2895" s="5" t="s">
        <v>240</v>
      </c>
      <c r="EJ2895" s="5" t="s">
        <v>240</v>
      </c>
      <c r="EK2895" s="5" t="s">
        <v>240</v>
      </c>
      <c r="EL2895" s="5" t="s">
        <v>240</v>
      </c>
      <c r="EM2895" s="5" t="s">
        <v>240</v>
      </c>
      <c r="EN2895" s="5" t="s">
        <v>240</v>
      </c>
      <c r="EO2895" s="5" t="s">
        <v>240</v>
      </c>
      <c r="EP2895" s="5" t="s">
        <v>240</v>
      </c>
      <c r="EQ2895" s="5" t="s">
        <v>240</v>
      </c>
      <c r="ER2895" s="5" t="s">
        <v>240</v>
      </c>
      <c r="ES2895" s="5" t="s">
        <v>240</v>
      </c>
      <c r="ET2895" s="5" t="s">
        <v>240</v>
      </c>
      <c r="EU2895" s="5" t="s">
        <v>240</v>
      </c>
      <c r="EV2895" s="5" t="s">
        <v>240</v>
      </c>
      <c r="EW2895" s="5" t="s">
        <v>240</v>
      </c>
      <c r="EX2895" s="5" t="s">
        <v>240</v>
      </c>
      <c r="EY2895" s="5" t="s">
        <v>240</v>
      </c>
      <c r="EZ2895" s="5" t="s">
        <v>240</v>
      </c>
      <c r="FA2895" s="5" t="s">
        <v>240</v>
      </c>
      <c r="FB2895" s="5" t="s">
        <v>240</v>
      </c>
      <c r="FC2895" s="5" t="s">
        <v>240</v>
      </c>
      <c r="FD2895" s="5" t="s">
        <v>240</v>
      </c>
      <c r="FE2895" s="5" t="s">
        <v>240</v>
      </c>
      <c r="FF2895" s="5" t="s">
        <v>240</v>
      </c>
      <c r="FG2895" s="5" t="s">
        <v>240</v>
      </c>
      <c r="FH2895" s="5" t="s">
        <v>240</v>
      </c>
      <c r="FI2895" s="5" t="s">
        <v>240</v>
      </c>
      <c r="FJ2895" s="5" t="s">
        <v>240</v>
      </c>
      <c r="FK2895" s="5" t="s">
        <v>240</v>
      </c>
      <c r="FL2895" s="5" t="s">
        <v>240</v>
      </c>
      <c r="FM2895" s="5" t="s">
        <v>240</v>
      </c>
      <c r="FN2895" s="5" t="s">
        <v>240</v>
      </c>
      <c r="FO2895" s="5" t="s">
        <v>240</v>
      </c>
      <c r="FP2895" s="5" t="s">
        <v>240</v>
      </c>
      <c r="FQ2895" s="5" t="s">
        <v>240</v>
      </c>
      <c r="FR2895" s="5" t="s">
        <v>240</v>
      </c>
      <c r="FS2895" s="5" t="s">
        <v>240</v>
      </c>
      <c r="FT2895" s="5" t="s">
        <v>240</v>
      </c>
      <c r="FU2895" s="5" t="s">
        <v>240</v>
      </c>
      <c r="FV2895" s="5" t="s">
        <v>240</v>
      </c>
      <c r="FW2895" s="5" t="s">
        <v>240</v>
      </c>
      <c r="FX2895" s="5" t="s">
        <v>240</v>
      </c>
      <c r="FY2895" s="5" t="s">
        <v>240</v>
      </c>
      <c r="FZ2895" s="5" t="s">
        <v>240</v>
      </c>
      <c r="GA2895" s="5" t="s">
        <v>240</v>
      </c>
      <c r="GB2895" s="5" t="s">
        <v>240</v>
      </c>
      <c r="GC2895" s="5" t="s">
        <v>240</v>
      </c>
      <c r="GD2895" s="5" t="s">
        <v>240</v>
      </c>
      <c r="GE2895" s="5" t="s">
        <v>240</v>
      </c>
      <c r="GF2895" s="5" t="s">
        <v>240</v>
      </c>
      <c r="GG2895" s="5" t="s">
        <v>240</v>
      </c>
      <c r="GH2895" s="5" t="s">
        <v>240</v>
      </c>
      <c r="GI2895" s="5" t="s">
        <v>240</v>
      </c>
      <c r="GJ2895" s="5" t="s">
        <v>240</v>
      </c>
      <c r="GK2895" s="5" t="s">
        <v>240</v>
      </c>
      <c r="GL2895" s="5" t="s">
        <v>240</v>
      </c>
      <c r="GM2895" s="5" t="s">
        <v>240</v>
      </c>
      <c r="GN2895" s="5" t="s">
        <v>240</v>
      </c>
      <c r="GO2895" s="5" t="s">
        <v>240</v>
      </c>
      <c r="GP2895" s="5" t="s">
        <v>240</v>
      </c>
      <c r="GQ2895" s="5" t="s">
        <v>240</v>
      </c>
      <c r="GR2895" s="5" t="s">
        <v>240</v>
      </c>
      <c r="GS2895" s="5" t="s">
        <v>240</v>
      </c>
      <c r="GT2895" s="5" t="s">
        <v>240</v>
      </c>
      <c r="GU2895" s="5" t="s">
        <v>240</v>
      </c>
      <c r="GV2895" s="5" t="s">
        <v>240</v>
      </c>
      <c r="GW2895" s="5" t="s">
        <v>240</v>
      </c>
      <c r="GX2895" s="5" t="s">
        <v>240</v>
      </c>
      <c r="GY2895" s="5" t="s">
        <v>240</v>
      </c>
      <c r="GZ2895" s="5" t="s">
        <v>240</v>
      </c>
      <c r="HA2895" s="5" t="s">
        <v>240</v>
      </c>
      <c r="HB2895" s="5" t="s">
        <v>240</v>
      </c>
      <c r="HC2895" s="5" t="s">
        <v>240</v>
      </c>
      <c r="HD2895" s="5" t="s">
        <v>240</v>
      </c>
      <c r="HE2895" s="5" t="s">
        <v>240</v>
      </c>
      <c r="HF2895" s="5" t="s">
        <v>240</v>
      </c>
      <c r="HG2895" s="5" t="s">
        <v>240</v>
      </c>
      <c r="HH2895" s="5" t="s">
        <v>240</v>
      </c>
      <c r="HI2895" s="5" t="s">
        <v>240</v>
      </c>
      <c r="HJ2895" s="5" t="s">
        <v>240</v>
      </c>
      <c r="HK2895" s="5" t="s">
        <v>240</v>
      </c>
      <c r="HL2895" s="5" t="s">
        <v>240</v>
      </c>
      <c r="HM2895" s="5" t="s">
        <v>240</v>
      </c>
      <c r="HN2895" s="5" t="s">
        <v>240</v>
      </c>
      <c r="HO2895" s="5" t="s">
        <v>312</v>
      </c>
      <c r="HP2895" s="5" t="s">
        <v>240</v>
      </c>
      <c r="HQ2895" s="5" t="s">
        <v>240</v>
      </c>
      <c r="HR2895" s="5" t="s">
        <v>240</v>
      </c>
      <c r="HS2895" s="5" t="s">
        <v>240</v>
      </c>
      <c r="HT2895" s="5" t="s">
        <v>240</v>
      </c>
      <c r="HU2895" s="5" t="s">
        <v>240</v>
      </c>
      <c r="HV2895" s="5" t="s">
        <v>240</v>
      </c>
      <c r="HW2895" s="5" t="s">
        <v>240</v>
      </c>
      <c r="HX2895" s="5" t="s">
        <v>240</v>
      </c>
      <c r="HY2895" s="5" t="s">
        <v>240</v>
      </c>
      <c r="HZ2895" s="5" t="s">
        <v>240</v>
      </c>
      <c r="IA2895" s="5" t="s">
        <v>240</v>
      </c>
      <c r="IB2895" s="5" t="s">
        <v>240</v>
      </c>
      <c r="IC2895" s="5" t="s">
        <v>240</v>
      </c>
      <c r="ID2895" s="5" t="s">
        <v>240</v>
      </c>
      <c r="IE2895" s="5" t="s">
        <v>240</v>
      </c>
      <c r="IF2895" s="5" t="s">
        <v>240</v>
      </c>
    </row>
    <row r="2896" spans="1:240" x14ac:dyDescent="0.4">
      <c r="A2896" s="5">
        <v>4600</v>
      </c>
      <c r="B2896" s="5">
        <v>1</v>
      </c>
      <c r="C2896" s="5">
        <v>1</v>
      </c>
      <c r="D2896" s="5" t="s">
        <v>810</v>
      </c>
      <c r="E2896" s="5" t="s">
        <v>245</v>
      </c>
      <c r="F2896" s="5" t="s">
        <v>254</v>
      </c>
      <c r="G2896" s="5" t="s">
        <v>240</v>
      </c>
      <c r="H2896" s="6" t="s">
        <v>2754</v>
      </c>
      <c r="I2896" s="5" t="s">
        <v>809</v>
      </c>
      <c r="J2896" s="8">
        <f>1451</f>
        <v>1451</v>
      </c>
      <c r="K2896" s="5" t="s">
        <v>308</v>
      </c>
      <c r="L2896" s="7">
        <f>1</f>
        <v>1</v>
      </c>
      <c r="M2896" s="7">
        <f>1</f>
        <v>1</v>
      </c>
      <c r="N2896" s="5" t="s">
        <v>242</v>
      </c>
      <c r="O2896" s="5">
        <v>1</v>
      </c>
      <c r="P2896" s="5" t="s">
        <v>294</v>
      </c>
      <c r="Q2896" s="5" t="s">
        <v>3678</v>
      </c>
      <c r="R2896" s="5" t="s">
        <v>240</v>
      </c>
      <c r="S2896" s="5" t="s">
        <v>240</v>
      </c>
      <c r="T2896" s="5" t="s">
        <v>243</v>
      </c>
      <c r="U2896" s="5" t="s">
        <v>244</v>
      </c>
      <c r="V2896" s="5" t="s">
        <v>240</v>
      </c>
      <c r="W2896" s="5" t="s">
        <v>240</v>
      </c>
      <c r="X2896" s="5" t="s">
        <v>240</v>
      </c>
      <c r="Y2896" s="5" t="s">
        <v>240</v>
      </c>
      <c r="Z2896" s="6" t="s">
        <v>298</v>
      </c>
      <c r="AA2896" s="6" t="s">
        <v>240</v>
      </c>
      <c r="AB2896" s="6" t="s">
        <v>240</v>
      </c>
      <c r="AC2896" s="5" t="s">
        <v>240</v>
      </c>
      <c r="AD2896" s="6" t="s">
        <v>240</v>
      </c>
      <c r="AE2896" s="6" t="s">
        <v>299</v>
      </c>
      <c r="AF2896" s="5" t="s">
        <v>248</v>
      </c>
      <c r="AG2896" s="5" t="s">
        <v>249</v>
      </c>
      <c r="AH2896" s="5" t="s">
        <v>240</v>
      </c>
      <c r="AI2896" s="5" t="s">
        <v>240</v>
      </c>
      <c r="AJ2896" s="5" t="s">
        <v>240</v>
      </c>
      <c r="AK2896" s="5" t="s">
        <v>240</v>
      </c>
      <c r="AL2896" s="5" t="s">
        <v>240</v>
      </c>
      <c r="AM2896" s="5" t="s">
        <v>240</v>
      </c>
      <c r="AN2896" s="5" t="s">
        <v>240</v>
      </c>
      <c r="AO2896" s="5" t="s">
        <v>240</v>
      </c>
      <c r="AP2896" s="6" t="s">
        <v>240</v>
      </c>
      <c r="AQ2896" s="6" t="s">
        <v>240</v>
      </c>
      <c r="AR2896" s="6" t="s">
        <v>240</v>
      </c>
      <c r="AS2896" s="6" t="s">
        <v>240</v>
      </c>
      <c r="AT2896" s="5" t="s">
        <v>240</v>
      </c>
      <c r="AU2896" s="5" t="s">
        <v>729</v>
      </c>
      <c r="AV2896" s="5" t="s">
        <v>729</v>
      </c>
      <c r="AW2896" s="5" t="s">
        <v>251</v>
      </c>
      <c r="AX2896" s="5" t="s">
        <v>252</v>
      </c>
      <c r="AY2896" s="5" t="s">
        <v>253</v>
      </c>
      <c r="AZ2896" s="5" t="s">
        <v>240</v>
      </c>
      <c r="BA2896" s="5" t="s">
        <v>255</v>
      </c>
      <c r="BB2896" s="5" t="s">
        <v>731</v>
      </c>
      <c r="BD2896" s="5" t="s">
        <v>240</v>
      </c>
      <c r="BF2896" s="5" t="s">
        <v>732</v>
      </c>
      <c r="BG2896" s="6" t="s">
        <v>733</v>
      </c>
      <c r="BH2896" s="5" t="s">
        <v>734</v>
      </c>
      <c r="BI2896" s="5" t="s">
        <v>734</v>
      </c>
      <c r="BJ2896" s="5" t="s">
        <v>240</v>
      </c>
      <c r="BK2896" s="7">
        <f>1</f>
        <v>1</v>
      </c>
      <c r="BL2896" s="7">
        <f>1</f>
        <v>1</v>
      </c>
      <c r="BM2896" s="5" t="s">
        <v>258</v>
      </c>
      <c r="BN2896" s="5" t="s">
        <v>259</v>
      </c>
      <c r="BO2896" s="5" t="s">
        <v>240</v>
      </c>
      <c r="BP2896" s="5" t="s">
        <v>240</v>
      </c>
      <c r="BQ2896" s="5" t="s">
        <v>240</v>
      </c>
      <c r="BR2896" s="5" t="s">
        <v>240</v>
      </c>
      <c r="BS2896" s="5" t="s">
        <v>240</v>
      </c>
      <c r="BT2896" s="5" t="s">
        <v>240</v>
      </c>
      <c r="BU2896" s="5" t="s">
        <v>240</v>
      </c>
      <c r="BV2896" s="5" t="s">
        <v>240</v>
      </c>
      <c r="BW2896" s="6" t="s">
        <v>240</v>
      </c>
      <c r="BX2896" s="5" t="s">
        <v>240</v>
      </c>
      <c r="BY2896" s="5" t="s">
        <v>240</v>
      </c>
      <c r="BZ2896" s="5" t="s">
        <v>240</v>
      </c>
      <c r="CA2896" s="5" t="s">
        <v>259</v>
      </c>
      <c r="CB2896" s="5" t="s">
        <v>240</v>
      </c>
      <c r="CC2896" s="5" t="s">
        <v>240</v>
      </c>
      <c r="CD2896" s="5" t="s">
        <v>240</v>
      </c>
      <c r="CE2896" s="5" t="s">
        <v>240</v>
      </c>
      <c r="CF2896" s="5" t="s">
        <v>240</v>
      </c>
      <c r="CG2896" s="5" t="s">
        <v>304</v>
      </c>
      <c r="CH2896" s="5" t="s">
        <v>305</v>
      </c>
      <c r="CI2896" s="5" t="s">
        <v>240</v>
      </c>
      <c r="CK2896" s="5" t="s">
        <v>3681</v>
      </c>
      <c r="CL2896" s="6" t="s">
        <v>261</v>
      </c>
      <c r="CM2896" s="5" t="s">
        <v>262</v>
      </c>
      <c r="CN2896" s="5" t="s">
        <v>263</v>
      </c>
      <c r="CO2896" s="5" t="s">
        <v>264</v>
      </c>
      <c r="CP2896" s="5" t="s">
        <v>240</v>
      </c>
      <c r="CQ2896" s="5">
        <v>0</v>
      </c>
      <c r="CR2896" s="5" t="s">
        <v>735</v>
      </c>
      <c r="CS2896" s="5" t="s">
        <v>307</v>
      </c>
      <c r="CT2896" s="5" t="s">
        <v>307</v>
      </c>
      <c r="CU2896" s="5" t="s">
        <v>260</v>
      </c>
      <c r="CV2896" s="5" t="s">
        <v>612</v>
      </c>
      <c r="CW2896" s="8">
        <f>1</f>
        <v>1</v>
      </c>
      <c r="CX2896" s="7">
        <f>1</f>
        <v>1</v>
      </c>
      <c r="CY2896" s="7">
        <f>0</f>
        <v>0</v>
      </c>
      <c r="DA2896" s="7">
        <f>1</f>
        <v>1</v>
      </c>
      <c r="DB2896" s="7" t="s">
        <v>240</v>
      </c>
      <c r="DC2896" s="5" t="s">
        <v>240</v>
      </c>
      <c r="DD2896" s="5" t="s">
        <v>240</v>
      </c>
      <c r="DE2896" s="5" t="s">
        <v>240</v>
      </c>
      <c r="DF2896" s="5" t="s">
        <v>240</v>
      </c>
      <c r="DG2896" s="7">
        <f>0</f>
        <v>0</v>
      </c>
      <c r="DI2896" s="5" t="s">
        <v>240</v>
      </c>
      <c r="DJ2896" s="5" t="s">
        <v>240</v>
      </c>
      <c r="DK2896" s="5" t="s">
        <v>240</v>
      </c>
      <c r="DL2896" s="5" t="s">
        <v>240</v>
      </c>
      <c r="DM2896" s="5" t="s">
        <v>240</v>
      </c>
      <c r="DN2896" s="5" t="s">
        <v>240</v>
      </c>
      <c r="DO2896" s="7" t="s">
        <v>240</v>
      </c>
      <c r="DP2896" s="5" t="s">
        <v>240</v>
      </c>
      <c r="DQ2896" s="5" t="s">
        <v>240</v>
      </c>
      <c r="DR2896" s="5" t="s">
        <v>731</v>
      </c>
      <c r="DS2896" s="5" t="s">
        <v>731</v>
      </c>
      <c r="DT2896" s="5" t="s">
        <v>240</v>
      </c>
      <c r="DU2896" s="5" t="s">
        <v>240</v>
      </c>
      <c r="DV2896" s="5" t="s">
        <v>5063</v>
      </c>
      <c r="DW2896" s="5" t="s">
        <v>769</v>
      </c>
      <c r="DX2896" s="5" t="s">
        <v>240</v>
      </c>
      <c r="DY2896" s="5" t="s">
        <v>240</v>
      </c>
      <c r="DZ2896" s="5" t="s">
        <v>240</v>
      </c>
      <c r="EA2896" s="5" t="s">
        <v>240</v>
      </c>
      <c r="EB2896" s="5" t="s">
        <v>240</v>
      </c>
      <c r="EC2896" s="5" t="s">
        <v>240</v>
      </c>
      <c r="ED2896" s="5" t="s">
        <v>240</v>
      </c>
      <c r="EE2896" s="5" t="s">
        <v>240</v>
      </c>
      <c r="EF2896" s="5" t="s">
        <v>240</v>
      </c>
      <c r="EG2896" s="5" t="s">
        <v>240</v>
      </c>
      <c r="EH2896" s="5" t="s">
        <v>240</v>
      </c>
      <c r="EI2896" s="5" t="s">
        <v>240</v>
      </c>
      <c r="EJ2896" s="5" t="s">
        <v>240</v>
      </c>
      <c r="EK2896" s="5" t="s">
        <v>240</v>
      </c>
      <c r="EL2896" s="5" t="s">
        <v>240</v>
      </c>
      <c r="EM2896" s="5" t="s">
        <v>240</v>
      </c>
      <c r="EN2896" s="5" t="s">
        <v>240</v>
      </c>
      <c r="EO2896" s="5" t="s">
        <v>240</v>
      </c>
      <c r="EP2896" s="5" t="s">
        <v>240</v>
      </c>
      <c r="EQ2896" s="5" t="s">
        <v>240</v>
      </c>
      <c r="ER2896" s="5" t="s">
        <v>240</v>
      </c>
      <c r="ES2896" s="5" t="s">
        <v>240</v>
      </c>
      <c r="ET2896" s="5" t="s">
        <v>240</v>
      </c>
      <c r="EU2896" s="5" t="s">
        <v>240</v>
      </c>
      <c r="EV2896" s="5" t="s">
        <v>240</v>
      </c>
      <c r="EW2896" s="5" t="s">
        <v>240</v>
      </c>
      <c r="EX2896" s="5" t="s">
        <v>240</v>
      </c>
      <c r="EY2896" s="5" t="s">
        <v>240</v>
      </c>
      <c r="EZ2896" s="5" t="s">
        <v>240</v>
      </c>
      <c r="FA2896" s="5" t="s">
        <v>240</v>
      </c>
      <c r="FB2896" s="5" t="s">
        <v>240</v>
      </c>
      <c r="FC2896" s="5" t="s">
        <v>240</v>
      </c>
      <c r="FD2896" s="5" t="s">
        <v>240</v>
      </c>
      <c r="FE2896" s="5" t="s">
        <v>240</v>
      </c>
      <c r="FF2896" s="5" t="s">
        <v>240</v>
      </c>
      <c r="FG2896" s="5" t="s">
        <v>240</v>
      </c>
      <c r="FH2896" s="5" t="s">
        <v>240</v>
      </c>
      <c r="FI2896" s="5" t="s">
        <v>240</v>
      </c>
      <c r="FJ2896" s="5" t="s">
        <v>240</v>
      </c>
      <c r="FK2896" s="5" t="s">
        <v>240</v>
      </c>
      <c r="FL2896" s="5" t="s">
        <v>240</v>
      </c>
      <c r="FM2896" s="5" t="s">
        <v>240</v>
      </c>
      <c r="FN2896" s="5" t="s">
        <v>240</v>
      </c>
      <c r="FO2896" s="5" t="s">
        <v>240</v>
      </c>
      <c r="FP2896" s="5" t="s">
        <v>240</v>
      </c>
      <c r="FQ2896" s="5" t="s">
        <v>240</v>
      </c>
      <c r="FR2896" s="5" t="s">
        <v>240</v>
      </c>
      <c r="FS2896" s="5" t="s">
        <v>240</v>
      </c>
      <c r="FT2896" s="5" t="s">
        <v>240</v>
      </c>
      <c r="FU2896" s="5" t="s">
        <v>240</v>
      </c>
      <c r="FV2896" s="5" t="s">
        <v>240</v>
      </c>
      <c r="FW2896" s="5" t="s">
        <v>240</v>
      </c>
      <c r="FX2896" s="5" t="s">
        <v>240</v>
      </c>
      <c r="FY2896" s="5" t="s">
        <v>240</v>
      </c>
      <c r="FZ2896" s="5" t="s">
        <v>240</v>
      </c>
      <c r="GA2896" s="5" t="s">
        <v>240</v>
      </c>
      <c r="GB2896" s="5" t="s">
        <v>240</v>
      </c>
      <c r="GC2896" s="5" t="s">
        <v>240</v>
      </c>
      <c r="GD2896" s="5" t="s">
        <v>240</v>
      </c>
      <c r="GE2896" s="5" t="s">
        <v>240</v>
      </c>
      <c r="GF2896" s="5" t="s">
        <v>240</v>
      </c>
      <c r="GG2896" s="5" t="s">
        <v>240</v>
      </c>
      <c r="GH2896" s="5" t="s">
        <v>240</v>
      </c>
      <c r="GI2896" s="5" t="s">
        <v>240</v>
      </c>
      <c r="GJ2896" s="5" t="s">
        <v>240</v>
      </c>
      <c r="GK2896" s="5" t="s">
        <v>240</v>
      </c>
      <c r="GL2896" s="5" t="s">
        <v>240</v>
      </c>
      <c r="GM2896" s="5" t="s">
        <v>240</v>
      </c>
      <c r="GN2896" s="5" t="s">
        <v>240</v>
      </c>
      <c r="GO2896" s="5" t="s">
        <v>240</v>
      </c>
      <c r="GP2896" s="5" t="s">
        <v>240</v>
      </c>
      <c r="GQ2896" s="5" t="s">
        <v>240</v>
      </c>
      <c r="GR2896" s="5" t="s">
        <v>240</v>
      </c>
      <c r="GS2896" s="5" t="s">
        <v>240</v>
      </c>
      <c r="GT2896" s="5" t="s">
        <v>240</v>
      </c>
      <c r="GU2896" s="5" t="s">
        <v>240</v>
      </c>
      <c r="GV2896" s="5" t="s">
        <v>240</v>
      </c>
      <c r="GW2896" s="5" t="s">
        <v>240</v>
      </c>
      <c r="GX2896" s="5" t="s">
        <v>240</v>
      </c>
      <c r="GY2896" s="5" t="s">
        <v>240</v>
      </c>
      <c r="GZ2896" s="5" t="s">
        <v>240</v>
      </c>
      <c r="HA2896" s="5" t="s">
        <v>240</v>
      </c>
      <c r="HB2896" s="5" t="s">
        <v>240</v>
      </c>
      <c r="HC2896" s="5" t="s">
        <v>240</v>
      </c>
      <c r="HD2896" s="5" t="s">
        <v>240</v>
      </c>
      <c r="HE2896" s="5" t="s">
        <v>240</v>
      </c>
      <c r="HF2896" s="5" t="s">
        <v>240</v>
      </c>
      <c r="HG2896" s="5" t="s">
        <v>240</v>
      </c>
      <c r="HH2896" s="5" t="s">
        <v>240</v>
      </c>
      <c r="HI2896" s="5" t="s">
        <v>240</v>
      </c>
      <c r="HJ2896" s="5" t="s">
        <v>240</v>
      </c>
      <c r="HK2896" s="5" t="s">
        <v>240</v>
      </c>
      <c r="HL2896" s="5" t="s">
        <v>240</v>
      </c>
      <c r="HM2896" s="5" t="s">
        <v>240</v>
      </c>
      <c r="HN2896" s="5" t="s">
        <v>240</v>
      </c>
      <c r="HO2896" s="5" t="s">
        <v>312</v>
      </c>
      <c r="HP2896" s="5" t="s">
        <v>240</v>
      </c>
      <c r="HQ2896" s="5" t="s">
        <v>240</v>
      </c>
      <c r="HR2896" s="5" t="s">
        <v>240</v>
      </c>
      <c r="HS2896" s="5" t="s">
        <v>240</v>
      </c>
      <c r="HT2896" s="5" t="s">
        <v>240</v>
      </c>
      <c r="HU2896" s="5" t="s">
        <v>240</v>
      </c>
      <c r="HV2896" s="5" t="s">
        <v>240</v>
      </c>
      <c r="HW2896" s="5" t="s">
        <v>240</v>
      </c>
      <c r="HX2896" s="5" t="s">
        <v>240</v>
      </c>
      <c r="HY2896" s="5" t="s">
        <v>240</v>
      </c>
      <c r="HZ2896" s="5" t="s">
        <v>240</v>
      </c>
      <c r="IA2896" s="5" t="s">
        <v>240</v>
      </c>
      <c r="IB2896" s="5" t="s">
        <v>240</v>
      </c>
      <c r="IC2896" s="5" t="s">
        <v>240</v>
      </c>
      <c r="ID2896" s="5" t="s">
        <v>240</v>
      </c>
      <c r="IE2896" s="5" t="s">
        <v>240</v>
      </c>
      <c r="IF2896" s="5" t="s">
        <v>240</v>
      </c>
    </row>
    <row r="2897" spans="1:240" x14ac:dyDescent="0.4">
      <c r="A2897" s="5">
        <v>4601</v>
      </c>
      <c r="B2897" s="5">
        <v>1</v>
      </c>
      <c r="C2897" s="5">
        <v>1</v>
      </c>
      <c r="D2897" s="5" t="s">
        <v>810</v>
      </c>
      <c r="E2897" s="5" t="s">
        <v>245</v>
      </c>
      <c r="F2897" s="5" t="s">
        <v>254</v>
      </c>
      <c r="G2897" s="5" t="s">
        <v>240</v>
      </c>
      <c r="H2897" s="6" t="s">
        <v>2752</v>
      </c>
      <c r="I2897" s="5" t="s">
        <v>809</v>
      </c>
      <c r="J2897" s="8">
        <f>305</f>
        <v>305</v>
      </c>
      <c r="K2897" s="5" t="s">
        <v>308</v>
      </c>
      <c r="L2897" s="7">
        <f>1</f>
        <v>1</v>
      </c>
      <c r="M2897" s="7">
        <f>1</f>
        <v>1</v>
      </c>
      <c r="N2897" s="5" t="s">
        <v>242</v>
      </c>
      <c r="O2897" s="5">
        <v>1</v>
      </c>
      <c r="P2897" s="5" t="s">
        <v>294</v>
      </c>
      <c r="Q2897" s="5" t="s">
        <v>266</v>
      </c>
      <c r="R2897" s="5" t="s">
        <v>240</v>
      </c>
      <c r="S2897" s="5" t="s">
        <v>240</v>
      </c>
      <c r="T2897" s="5" t="s">
        <v>243</v>
      </c>
      <c r="U2897" s="5" t="s">
        <v>244</v>
      </c>
      <c r="V2897" s="5" t="s">
        <v>240</v>
      </c>
      <c r="Y2897" s="5" t="s">
        <v>240</v>
      </c>
      <c r="Z2897" s="6" t="s">
        <v>5072</v>
      </c>
      <c r="AB2897" s="6" t="s">
        <v>240</v>
      </c>
      <c r="AE2897" s="6" t="s">
        <v>1594</v>
      </c>
      <c r="AF2897" s="5" t="s">
        <v>248</v>
      </c>
      <c r="AG2897" s="5" t="s">
        <v>260</v>
      </c>
      <c r="AW2897" s="5" t="s">
        <v>251</v>
      </c>
      <c r="AX2897" s="5" t="s">
        <v>240</v>
      </c>
      <c r="AY2897" s="5" t="s">
        <v>253</v>
      </c>
      <c r="AZ2897" s="5" t="s">
        <v>240</v>
      </c>
      <c r="BA2897" s="5" t="s">
        <v>255</v>
      </c>
      <c r="BB2897" s="5" t="s">
        <v>240</v>
      </c>
      <c r="BD2897" s="5" t="s">
        <v>240</v>
      </c>
      <c r="BF2897" s="5" t="s">
        <v>447</v>
      </c>
      <c r="BG2897" s="6" t="s">
        <v>5072</v>
      </c>
      <c r="BH2897" s="5" t="s">
        <v>302</v>
      </c>
      <c r="BI2897" s="5" t="s">
        <v>448</v>
      </c>
      <c r="BJ2897" s="5" t="s">
        <v>240</v>
      </c>
      <c r="BK2897" s="8">
        <f>0</f>
        <v>0</v>
      </c>
      <c r="BL2897" s="7">
        <f>0</f>
        <v>0</v>
      </c>
      <c r="BM2897" s="5" t="s">
        <v>258</v>
      </c>
      <c r="BN2897" s="5" t="s">
        <v>259</v>
      </c>
      <c r="CB2897" s="5" t="s">
        <v>240</v>
      </c>
      <c r="CC2897" s="5" t="s">
        <v>240</v>
      </c>
      <c r="CG2897" s="5" t="s">
        <v>449</v>
      </c>
      <c r="CH2897" s="5" t="s">
        <v>305</v>
      </c>
      <c r="CI2897" s="5" t="s">
        <v>240</v>
      </c>
      <c r="CL2897" s="6" t="s">
        <v>261</v>
      </c>
      <c r="CM2897" s="5" t="s">
        <v>240</v>
      </c>
      <c r="CN2897" s="5" t="s">
        <v>263</v>
      </c>
      <c r="CO2897" s="5" t="s">
        <v>240</v>
      </c>
      <c r="CP2897" s="5" t="s">
        <v>240</v>
      </c>
      <c r="CQ2897" s="5">
        <v>0</v>
      </c>
      <c r="CR2897" s="5" t="s">
        <v>306</v>
      </c>
      <c r="CS2897" s="5" t="s">
        <v>307</v>
      </c>
      <c r="CT2897" s="5" t="s">
        <v>307</v>
      </c>
      <c r="CU2897" s="5" t="s">
        <v>260</v>
      </c>
      <c r="CX2897" s="7">
        <f>9223308</f>
        <v>9223308</v>
      </c>
      <c r="CY2897" s="7">
        <f>0</f>
        <v>0</v>
      </c>
      <c r="DA2897" s="7">
        <f>0</f>
        <v>0</v>
      </c>
      <c r="DC2897" s="5" t="s">
        <v>450</v>
      </c>
      <c r="DD2897" s="5" t="s">
        <v>240</v>
      </c>
      <c r="DF2897" s="5" t="s">
        <v>450</v>
      </c>
      <c r="DG2897" s="7">
        <f>1698.09</f>
        <v>1698.09</v>
      </c>
      <c r="DI2897" s="5" t="s">
        <v>240</v>
      </c>
      <c r="DJ2897" s="5" t="s">
        <v>240</v>
      </c>
      <c r="DK2897" s="5" t="s">
        <v>240</v>
      </c>
      <c r="DL2897" s="5" t="s">
        <v>240</v>
      </c>
      <c r="DP2897" s="5" t="s">
        <v>240</v>
      </c>
      <c r="DQ2897" s="5" t="s">
        <v>240</v>
      </c>
      <c r="DR2897" s="5" t="s">
        <v>240</v>
      </c>
      <c r="DS2897" s="5" t="s">
        <v>240</v>
      </c>
      <c r="DV2897" s="5" t="s">
        <v>310</v>
      </c>
      <c r="DW2897" s="5" t="s">
        <v>2465</v>
      </c>
      <c r="HO2897" s="5" t="s">
        <v>312</v>
      </c>
    </row>
    <row r="2898" spans="1:240" x14ac:dyDescent="0.4">
      <c r="A2898" s="5">
        <v>4602</v>
      </c>
      <c r="B2898" s="5">
        <v>1</v>
      </c>
      <c r="C2898" s="5">
        <v>1</v>
      </c>
      <c r="D2898" s="5" t="s">
        <v>810</v>
      </c>
      <c r="E2898" s="5" t="s">
        <v>245</v>
      </c>
      <c r="F2898" s="5" t="s">
        <v>254</v>
      </c>
      <c r="G2898" s="5" t="s">
        <v>240</v>
      </c>
      <c r="H2898" s="6" t="s">
        <v>2750</v>
      </c>
      <c r="I2898" s="5" t="s">
        <v>809</v>
      </c>
      <c r="J2898" s="8">
        <f>681</f>
        <v>681</v>
      </c>
      <c r="K2898" s="5" t="s">
        <v>308</v>
      </c>
      <c r="L2898" s="7">
        <f>1</f>
        <v>1</v>
      </c>
      <c r="M2898" s="7">
        <f>1</f>
        <v>1</v>
      </c>
      <c r="N2898" s="5" t="s">
        <v>242</v>
      </c>
      <c r="O2898" s="5">
        <v>1</v>
      </c>
      <c r="P2898" s="5" t="s">
        <v>294</v>
      </c>
      <c r="Q2898" s="5" t="s">
        <v>266</v>
      </c>
      <c r="R2898" s="5" t="s">
        <v>240</v>
      </c>
      <c r="S2898" s="5" t="s">
        <v>240</v>
      </c>
      <c r="T2898" s="5" t="s">
        <v>243</v>
      </c>
      <c r="U2898" s="5" t="s">
        <v>240</v>
      </c>
      <c r="V2898" s="5" t="s">
        <v>240</v>
      </c>
      <c r="Y2898" s="5" t="s">
        <v>240</v>
      </c>
      <c r="Z2898" s="6" t="s">
        <v>3924</v>
      </c>
      <c r="AB2898" s="6" t="s">
        <v>240</v>
      </c>
      <c r="AE2898" s="6" t="s">
        <v>5054</v>
      </c>
      <c r="AF2898" s="5" t="s">
        <v>248</v>
      </c>
      <c r="AG2898" s="5" t="s">
        <v>260</v>
      </c>
      <c r="AW2898" s="5" t="s">
        <v>251</v>
      </c>
      <c r="AX2898" s="5" t="s">
        <v>240</v>
      </c>
      <c r="AY2898" s="5" t="s">
        <v>253</v>
      </c>
      <c r="AZ2898" s="5" t="s">
        <v>240</v>
      </c>
      <c r="BA2898" s="5" t="s">
        <v>255</v>
      </c>
      <c r="BB2898" s="5" t="s">
        <v>240</v>
      </c>
      <c r="BD2898" s="5" t="s">
        <v>240</v>
      </c>
      <c r="BF2898" s="5" t="s">
        <v>447</v>
      </c>
      <c r="BG2898" s="6" t="s">
        <v>3924</v>
      </c>
      <c r="BH2898" s="5" t="s">
        <v>302</v>
      </c>
      <c r="BI2898" s="5" t="s">
        <v>448</v>
      </c>
      <c r="BJ2898" s="5" t="s">
        <v>240</v>
      </c>
      <c r="BK2898" s="8">
        <f>0</f>
        <v>0</v>
      </c>
      <c r="BL2898" s="7">
        <f>0</f>
        <v>0</v>
      </c>
      <c r="BM2898" s="5" t="s">
        <v>258</v>
      </c>
      <c r="BN2898" s="5" t="s">
        <v>259</v>
      </c>
      <c r="CB2898" s="5" t="s">
        <v>240</v>
      </c>
      <c r="CC2898" s="5" t="s">
        <v>240</v>
      </c>
      <c r="CG2898" s="5" t="s">
        <v>449</v>
      </c>
      <c r="CH2898" s="5" t="s">
        <v>305</v>
      </c>
      <c r="CI2898" s="5" t="s">
        <v>240</v>
      </c>
      <c r="CL2898" s="6" t="s">
        <v>261</v>
      </c>
      <c r="CM2898" s="5" t="s">
        <v>240</v>
      </c>
      <c r="CN2898" s="5" t="s">
        <v>263</v>
      </c>
      <c r="CO2898" s="5" t="s">
        <v>240</v>
      </c>
      <c r="CP2898" s="5" t="s">
        <v>240</v>
      </c>
      <c r="CQ2898" s="5">
        <v>0</v>
      </c>
      <c r="CR2898" s="5" t="s">
        <v>306</v>
      </c>
      <c r="CS2898" s="5" t="s">
        <v>307</v>
      </c>
      <c r="CT2898" s="5" t="s">
        <v>307</v>
      </c>
      <c r="CU2898" s="5" t="s">
        <v>260</v>
      </c>
      <c r="CX2898" s="7">
        <f>954034</f>
        <v>954034</v>
      </c>
      <c r="CY2898" s="7">
        <f>0</f>
        <v>0</v>
      </c>
      <c r="DA2898" s="7">
        <f>0</f>
        <v>0</v>
      </c>
      <c r="DC2898" s="5" t="s">
        <v>450</v>
      </c>
      <c r="DD2898" s="5" t="s">
        <v>240</v>
      </c>
      <c r="DF2898" s="5" t="s">
        <v>450</v>
      </c>
      <c r="DG2898" s="7">
        <f>0</f>
        <v>0</v>
      </c>
      <c r="DI2898" s="5" t="s">
        <v>240</v>
      </c>
      <c r="DJ2898" s="5" t="s">
        <v>240</v>
      </c>
      <c r="DK2898" s="5" t="s">
        <v>240</v>
      </c>
      <c r="DL2898" s="5" t="s">
        <v>240</v>
      </c>
      <c r="DP2898" s="5" t="s">
        <v>240</v>
      </c>
      <c r="DQ2898" s="5" t="s">
        <v>240</v>
      </c>
      <c r="DR2898" s="5" t="s">
        <v>240</v>
      </c>
      <c r="DS2898" s="5" t="s">
        <v>240</v>
      </c>
      <c r="DV2898" s="5" t="s">
        <v>310</v>
      </c>
      <c r="DW2898" s="5" t="s">
        <v>2463</v>
      </c>
      <c r="HO2898" s="5" t="s">
        <v>312</v>
      </c>
    </row>
    <row r="2899" spans="1:240" x14ac:dyDescent="0.4">
      <c r="A2899" s="5">
        <v>4603</v>
      </c>
      <c r="B2899" s="5">
        <v>1</v>
      </c>
      <c r="C2899" s="5">
        <v>1</v>
      </c>
      <c r="D2899" s="5" t="s">
        <v>810</v>
      </c>
      <c r="E2899" s="5" t="s">
        <v>245</v>
      </c>
      <c r="F2899" s="5" t="s">
        <v>254</v>
      </c>
      <c r="G2899" s="5" t="s">
        <v>240</v>
      </c>
      <c r="H2899" s="6" t="s">
        <v>2748</v>
      </c>
      <c r="I2899" s="5" t="s">
        <v>809</v>
      </c>
      <c r="J2899" s="8">
        <f>280</f>
        <v>280</v>
      </c>
      <c r="K2899" s="5" t="s">
        <v>308</v>
      </c>
      <c r="L2899" s="7">
        <f>1</f>
        <v>1</v>
      </c>
      <c r="M2899" s="7">
        <f>1</f>
        <v>1</v>
      </c>
      <c r="N2899" s="5" t="s">
        <v>242</v>
      </c>
      <c r="O2899" s="5">
        <v>1</v>
      </c>
      <c r="P2899" s="5" t="s">
        <v>294</v>
      </c>
      <c r="Q2899" s="5" t="s">
        <v>3678</v>
      </c>
      <c r="R2899" s="5" t="s">
        <v>240</v>
      </c>
      <c r="S2899" s="5" t="s">
        <v>240</v>
      </c>
      <c r="T2899" s="5" t="s">
        <v>243</v>
      </c>
      <c r="U2899" s="5" t="s">
        <v>244</v>
      </c>
      <c r="V2899" s="5" t="s">
        <v>240</v>
      </c>
      <c r="W2899" s="5" t="s">
        <v>240</v>
      </c>
      <c r="X2899" s="5" t="s">
        <v>240</v>
      </c>
      <c r="Y2899" s="5" t="s">
        <v>240</v>
      </c>
      <c r="Z2899" s="6" t="s">
        <v>298</v>
      </c>
      <c r="AA2899" s="6" t="s">
        <v>240</v>
      </c>
      <c r="AB2899" s="6" t="s">
        <v>240</v>
      </c>
      <c r="AC2899" s="5" t="s">
        <v>240</v>
      </c>
      <c r="AD2899" s="6" t="s">
        <v>240</v>
      </c>
      <c r="AE2899" s="6" t="s">
        <v>299</v>
      </c>
      <c r="AF2899" s="5" t="s">
        <v>248</v>
      </c>
      <c r="AG2899" s="5" t="s">
        <v>249</v>
      </c>
      <c r="AH2899" s="5" t="s">
        <v>240</v>
      </c>
      <c r="AI2899" s="5" t="s">
        <v>240</v>
      </c>
      <c r="AJ2899" s="5" t="s">
        <v>240</v>
      </c>
      <c r="AK2899" s="5" t="s">
        <v>240</v>
      </c>
      <c r="AL2899" s="5" t="s">
        <v>240</v>
      </c>
      <c r="AM2899" s="5" t="s">
        <v>240</v>
      </c>
      <c r="AN2899" s="5" t="s">
        <v>240</v>
      </c>
      <c r="AO2899" s="5" t="s">
        <v>240</v>
      </c>
      <c r="AP2899" s="6" t="s">
        <v>240</v>
      </c>
      <c r="AQ2899" s="6" t="s">
        <v>240</v>
      </c>
      <c r="AR2899" s="6" t="s">
        <v>240</v>
      </c>
      <c r="AS2899" s="6" t="s">
        <v>240</v>
      </c>
      <c r="AT2899" s="5" t="s">
        <v>240</v>
      </c>
      <c r="AU2899" s="5" t="s">
        <v>729</v>
      </c>
      <c r="AV2899" s="5" t="s">
        <v>729</v>
      </c>
      <c r="AW2899" s="5" t="s">
        <v>251</v>
      </c>
      <c r="AX2899" s="5" t="s">
        <v>252</v>
      </c>
      <c r="AY2899" s="5" t="s">
        <v>253</v>
      </c>
      <c r="AZ2899" s="5" t="s">
        <v>240</v>
      </c>
      <c r="BA2899" s="5" t="s">
        <v>255</v>
      </c>
      <c r="BB2899" s="5" t="s">
        <v>731</v>
      </c>
      <c r="BD2899" s="5" t="s">
        <v>240</v>
      </c>
      <c r="BF2899" s="5" t="s">
        <v>732</v>
      </c>
      <c r="BG2899" s="6" t="s">
        <v>733</v>
      </c>
      <c r="BH2899" s="5" t="s">
        <v>734</v>
      </c>
      <c r="BI2899" s="5" t="s">
        <v>734</v>
      </c>
      <c r="BJ2899" s="5" t="s">
        <v>240</v>
      </c>
      <c r="BK2899" s="7">
        <f>1</f>
        <v>1</v>
      </c>
      <c r="BL2899" s="7">
        <f>1</f>
        <v>1</v>
      </c>
      <c r="BM2899" s="5" t="s">
        <v>258</v>
      </c>
      <c r="BN2899" s="5" t="s">
        <v>259</v>
      </c>
      <c r="BO2899" s="5" t="s">
        <v>240</v>
      </c>
      <c r="BP2899" s="5" t="s">
        <v>240</v>
      </c>
      <c r="BQ2899" s="5" t="s">
        <v>240</v>
      </c>
      <c r="BR2899" s="5" t="s">
        <v>240</v>
      </c>
      <c r="BS2899" s="5" t="s">
        <v>240</v>
      </c>
      <c r="BT2899" s="5" t="s">
        <v>240</v>
      </c>
      <c r="BU2899" s="5" t="s">
        <v>240</v>
      </c>
      <c r="BV2899" s="5" t="s">
        <v>240</v>
      </c>
      <c r="BW2899" s="6" t="s">
        <v>240</v>
      </c>
      <c r="BX2899" s="5" t="s">
        <v>240</v>
      </c>
      <c r="BY2899" s="5" t="s">
        <v>240</v>
      </c>
      <c r="BZ2899" s="5" t="s">
        <v>240</v>
      </c>
      <c r="CA2899" s="5" t="s">
        <v>259</v>
      </c>
      <c r="CB2899" s="5" t="s">
        <v>240</v>
      </c>
      <c r="CC2899" s="5" t="s">
        <v>240</v>
      </c>
      <c r="CD2899" s="5" t="s">
        <v>240</v>
      </c>
      <c r="CE2899" s="5" t="s">
        <v>240</v>
      </c>
      <c r="CF2899" s="5" t="s">
        <v>240</v>
      </c>
      <c r="CG2899" s="5" t="s">
        <v>304</v>
      </c>
      <c r="CH2899" s="5" t="s">
        <v>305</v>
      </c>
      <c r="CI2899" s="5" t="s">
        <v>240</v>
      </c>
      <c r="CK2899" s="5" t="s">
        <v>3681</v>
      </c>
      <c r="CL2899" s="6" t="s">
        <v>261</v>
      </c>
      <c r="CM2899" s="5" t="s">
        <v>262</v>
      </c>
      <c r="CN2899" s="5" t="s">
        <v>263</v>
      </c>
      <c r="CO2899" s="5" t="s">
        <v>264</v>
      </c>
      <c r="CP2899" s="5" t="s">
        <v>240</v>
      </c>
      <c r="CQ2899" s="5">
        <v>0</v>
      </c>
      <c r="CR2899" s="5" t="s">
        <v>735</v>
      </c>
      <c r="CS2899" s="5" t="s">
        <v>307</v>
      </c>
      <c r="CT2899" s="5" t="s">
        <v>307</v>
      </c>
      <c r="CU2899" s="5" t="s">
        <v>260</v>
      </c>
      <c r="CV2899" s="5" t="s">
        <v>612</v>
      </c>
      <c r="CW2899" s="8">
        <f>1</f>
        <v>1</v>
      </c>
      <c r="CX2899" s="7">
        <f>1</f>
        <v>1</v>
      </c>
      <c r="CY2899" s="7">
        <f>0</f>
        <v>0</v>
      </c>
      <c r="DA2899" s="7">
        <f>1</f>
        <v>1</v>
      </c>
      <c r="DB2899" s="7" t="s">
        <v>240</v>
      </c>
      <c r="DC2899" s="5" t="s">
        <v>240</v>
      </c>
      <c r="DD2899" s="5" t="s">
        <v>240</v>
      </c>
      <c r="DE2899" s="5" t="s">
        <v>240</v>
      </c>
      <c r="DF2899" s="5" t="s">
        <v>240</v>
      </c>
      <c r="DG2899" s="7">
        <f>0</f>
        <v>0</v>
      </c>
      <c r="DI2899" s="5" t="s">
        <v>240</v>
      </c>
      <c r="DJ2899" s="5" t="s">
        <v>240</v>
      </c>
      <c r="DK2899" s="5" t="s">
        <v>240</v>
      </c>
      <c r="DL2899" s="5" t="s">
        <v>240</v>
      </c>
      <c r="DM2899" s="5" t="s">
        <v>240</v>
      </c>
      <c r="DN2899" s="5" t="s">
        <v>240</v>
      </c>
      <c r="DO2899" s="7" t="s">
        <v>240</v>
      </c>
      <c r="DP2899" s="5" t="s">
        <v>240</v>
      </c>
      <c r="DQ2899" s="5" t="s">
        <v>240</v>
      </c>
      <c r="DR2899" s="5" t="s">
        <v>731</v>
      </c>
      <c r="DS2899" s="5" t="s">
        <v>731</v>
      </c>
      <c r="DT2899" s="5" t="s">
        <v>240</v>
      </c>
      <c r="DU2899" s="5" t="s">
        <v>240</v>
      </c>
      <c r="DV2899" s="5" t="s">
        <v>3683</v>
      </c>
      <c r="DW2899" s="5" t="s">
        <v>408</v>
      </c>
      <c r="DX2899" s="5" t="s">
        <v>240</v>
      </c>
      <c r="DY2899" s="5" t="s">
        <v>240</v>
      </c>
      <c r="DZ2899" s="5" t="s">
        <v>240</v>
      </c>
      <c r="EA2899" s="5" t="s">
        <v>240</v>
      </c>
      <c r="EB2899" s="5" t="s">
        <v>240</v>
      </c>
      <c r="EC2899" s="5" t="s">
        <v>240</v>
      </c>
      <c r="ED2899" s="5" t="s">
        <v>240</v>
      </c>
      <c r="EE2899" s="5" t="s">
        <v>240</v>
      </c>
      <c r="EF2899" s="5" t="s">
        <v>240</v>
      </c>
      <c r="EG2899" s="5" t="s">
        <v>240</v>
      </c>
      <c r="EH2899" s="5" t="s">
        <v>240</v>
      </c>
      <c r="EI2899" s="5" t="s">
        <v>240</v>
      </c>
      <c r="EJ2899" s="5" t="s">
        <v>240</v>
      </c>
      <c r="EK2899" s="5" t="s">
        <v>240</v>
      </c>
      <c r="EL2899" s="5" t="s">
        <v>240</v>
      </c>
      <c r="EM2899" s="5" t="s">
        <v>240</v>
      </c>
      <c r="EN2899" s="5" t="s">
        <v>240</v>
      </c>
      <c r="EO2899" s="5" t="s">
        <v>240</v>
      </c>
      <c r="EP2899" s="5" t="s">
        <v>240</v>
      </c>
      <c r="EQ2899" s="5" t="s">
        <v>240</v>
      </c>
      <c r="ER2899" s="5" t="s">
        <v>240</v>
      </c>
      <c r="ES2899" s="5" t="s">
        <v>240</v>
      </c>
      <c r="ET2899" s="5" t="s">
        <v>240</v>
      </c>
      <c r="EU2899" s="5" t="s">
        <v>240</v>
      </c>
      <c r="EV2899" s="5" t="s">
        <v>240</v>
      </c>
      <c r="EW2899" s="5" t="s">
        <v>240</v>
      </c>
      <c r="EX2899" s="5" t="s">
        <v>240</v>
      </c>
      <c r="EY2899" s="5" t="s">
        <v>240</v>
      </c>
      <c r="EZ2899" s="5" t="s">
        <v>240</v>
      </c>
      <c r="FA2899" s="5" t="s">
        <v>240</v>
      </c>
      <c r="FB2899" s="5" t="s">
        <v>240</v>
      </c>
      <c r="FC2899" s="5" t="s">
        <v>240</v>
      </c>
      <c r="FD2899" s="5" t="s">
        <v>240</v>
      </c>
      <c r="FE2899" s="5" t="s">
        <v>240</v>
      </c>
      <c r="FF2899" s="5" t="s">
        <v>240</v>
      </c>
      <c r="FG2899" s="5" t="s">
        <v>240</v>
      </c>
      <c r="FH2899" s="5" t="s">
        <v>240</v>
      </c>
      <c r="FI2899" s="5" t="s">
        <v>240</v>
      </c>
      <c r="FJ2899" s="5" t="s">
        <v>240</v>
      </c>
      <c r="FK2899" s="5" t="s">
        <v>240</v>
      </c>
      <c r="FL2899" s="5" t="s">
        <v>240</v>
      </c>
      <c r="FM2899" s="5" t="s">
        <v>240</v>
      </c>
      <c r="FN2899" s="5" t="s">
        <v>240</v>
      </c>
      <c r="FO2899" s="5" t="s">
        <v>240</v>
      </c>
      <c r="FP2899" s="5" t="s">
        <v>240</v>
      </c>
      <c r="FQ2899" s="5" t="s">
        <v>240</v>
      </c>
      <c r="FR2899" s="5" t="s">
        <v>240</v>
      </c>
      <c r="FS2899" s="5" t="s">
        <v>240</v>
      </c>
      <c r="FT2899" s="5" t="s">
        <v>240</v>
      </c>
      <c r="FU2899" s="5" t="s">
        <v>240</v>
      </c>
      <c r="FV2899" s="5" t="s">
        <v>240</v>
      </c>
      <c r="FW2899" s="5" t="s">
        <v>240</v>
      </c>
      <c r="FX2899" s="5" t="s">
        <v>240</v>
      </c>
      <c r="FY2899" s="5" t="s">
        <v>240</v>
      </c>
      <c r="FZ2899" s="5" t="s">
        <v>240</v>
      </c>
      <c r="GA2899" s="5" t="s">
        <v>240</v>
      </c>
      <c r="GB2899" s="5" t="s">
        <v>240</v>
      </c>
      <c r="GC2899" s="5" t="s">
        <v>240</v>
      </c>
      <c r="GD2899" s="5" t="s">
        <v>240</v>
      </c>
      <c r="GE2899" s="5" t="s">
        <v>240</v>
      </c>
      <c r="GF2899" s="5" t="s">
        <v>240</v>
      </c>
      <c r="GG2899" s="5" t="s">
        <v>240</v>
      </c>
      <c r="GH2899" s="5" t="s">
        <v>240</v>
      </c>
      <c r="GI2899" s="5" t="s">
        <v>240</v>
      </c>
      <c r="GJ2899" s="5" t="s">
        <v>240</v>
      </c>
      <c r="GK2899" s="5" t="s">
        <v>240</v>
      </c>
      <c r="GL2899" s="5" t="s">
        <v>240</v>
      </c>
      <c r="GM2899" s="5" t="s">
        <v>240</v>
      </c>
      <c r="GN2899" s="5" t="s">
        <v>240</v>
      </c>
      <c r="GO2899" s="5" t="s">
        <v>240</v>
      </c>
      <c r="GP2899" s="5" t="s">
        <v>240</v>
      </c>
      <c r="GQ2899" s="5" t="s">
        <v>240</v>
      </c>
      <c r="GR2899" s="5" t="s">
        <v>240</v>
      </c>
      <c r="GS2899" s="5" t="s">
        <v>240</v>
      </c>
      <c r="GT2899" s="5" t="s">
        <v>240</v>
      </c>
      <c r="GU2899" s="5" t="s">
        <v>240</v>
      </c>
      <c r="GV2899" s="5" t="s">
        <v>240</v>
      </c>
      <c r="GW2899" s="5" t="s">
        <v>240</v>
      </c>
      <c r="GX2899" s="5" t="s">
        <v>240</v>
      </c>
      <c r="GY2899" s="5" t="s">
        <v>240</v>
      </c>
      <c r="GZ2899" s="5" t="s">
        <v>240</v>
      </c>
      <c r="HA2899" s="5" t="s">
        <v>240</v>
      </c>
      <c r="HB2899" s="5" t="s">
        <v>240</v>
      </c>
      <c r="HC2899" s="5" t="s">
        <v>240</v>
      </c>
      <c r="HD2899" s="5" t="s">
        <v>240</v>
      </c>
      <c r="HE2899" s="5" t="s">
        <v>240</v>
      </c>
      <c r="HF2899" s="5" t="s">
        <v>240</v>
      </c>
      <c r="HG2899" s="5" t="s">
        <v>240</v>
      </c>
      <c r="HH2899" s="5" t="s">
        <v>240</v>
      </c>
      <c r="HI2899" s="5" t="s">
        <v>240</v>
      </c>
      <c r="HJ2899" s="5" t="s">
        <v>240</v>
      </c>
      <c r="HK2899" s="5" t="s">
        <v>240</v>
      </c>
      <c r="HL2899" s="5" t="s">
        <v>240</v>
      </c>
      <c r="HM2899" s="5" t="s">
        <v>240</v>
      </c>
      <c r="HN2899" s="5" t="s">
        <v>240</v>
      </c>
      <c r="HO2899" s="5" t="s">
        <v>312</v>
      </c>
      <c r="HP2899" s="5" t="s">
        <v>240</v>
      </c>
      <c r="HQ2899" s="5" t="s">
        <v>240</v>
      </c>
      <c r="HR2899" s="5" t="s">
        <v>240</v>
      </c>
      <c r="HS2899" s="5" t="s">
        <v>240</v>
      </c>
      <c r="HT2899" s="5" t="s">
        <v>240</v>
      </c>
      <c r="HU2899" s="5" t="s">
        <v>240</v>
      </c>
      <c r="HV2899" s="5" t="s">
        <v>240</v>
      </c>
      <c r="HW2899" s="5" t="s">
        <v>240</v>
      </c>
      <c r="HX2899" s="5" t="s">
        <v>240</v>
      </c>
      <c r="HY2899" s="5" t="s">
        <v>240</v>
      </c>
      <c r="HZ2899" s="5" t="s">
        <v>240</v>
      </c>
      <c r="IA2899" s="5" t="s">
        <v>240</v>
      </c>
      <c r="IB2899" s="5" t="s">
        <v>240</v>
      </c>
      <c r="IC2899" s="5" t="s">
        <v>240</v>
      </c>
      <c r="ID2899" s="5" t="s">
        <v>240</v>
      </c>
      <c r="IE2899" s="5" t="s">
        <v>240</v>
      </c>
      <c r="IF2899" s="5" t="s">
        <v>240</v>
      </c>
    </row>
    <row r="2900" spans="1:240" x14ac:dyDescent="0.4">
      <c r="A2900" s="5">
        <v>4604</v>
      </c>
      <c r="B2900" s="5">
        <v>1</v>
      </c>
      <c r="C2900" s="5">
        <v>1</v>
      </c>
      <c r="D2900" s="5" t="s">
        <v>810</v>
      </c>
      <c r="E2900" s="5" t="s">
        <v>245</v>
      </c>
      <c r="F2900" s="5" t="s">
        <v>254</v>
      </c>
      <c r="G2900" s="5" t="s">
        <v>240</v>
      </c>
      <c r="H2900" s="6" t="s">
        <v>2746</v>
      </c>
      <c r="I2900" s="5" t="s">
        <v>809</v>
      </c>
      <c r="J2900" s="8">
        <f>555</f>
        <v>555</v>
      </c>
      <c r="K2900" s="5" t="s">
        <v>308</v>
      </c>
      <c r="L2900" s="7">
        <f>1</f>
        <v>1</v>
      </c>
      <c r="M2900" s="7">
        <f>1</f>
        <v>1</v>
      </c>
      <c r="N2900" s="5" t="s">
        <v>242</v>
      </c>
      <c r="O2900" s="5">
        <v>1</v>
      </c>
      <c r="P2900" s="5" t="s">
        <v>294</v>
      </c>
      <c r="Q2900" s="5" t="s">
        <v>3678</v>
      </c>
      <c r="R2900" s="5" t="s">
        <v>240</v>
      </c>
      <c r="S2900" s="5" t="s">
        <v>240</v>
      </c>
      <c r="T2900" s="5" t="s">
        <v>243</v>
      </c>
      <c r="U2900" s="5" t="s">
        <v>244</v>
      </c>
      <c r="V2900" s="5" t="s">
        <v>240</v>
      </c>
      <c r="W2900" s="5" t="s">
        <v>240</v>
      </c>
      <c r="X2900" s="5" t="s">
        <v>240</v>
      </c>
      <c r="Y2900" s="5" t="s">
        <v>240</v>
      </c>
      <c r="Z2900" s="6" t="s">
        <v>298</v>
      </c>
      <c r="AA2900" s="6" t="s">
        <v>240</v>
      </c>
      <c r="AB2900" s="6" t="s">
        <v>240</v>
      </c>
      <c r="AC2900" s="5" t="s">
        <v>240</v>
      </c>
      <c r="AD2900" s="6" t="s">
        <v>240</v>
      </c>
      <c r="AE2900" s="6" t="s">
        <v>299</v>
      </c>
      <c r="AF2900" s="5" t="s">
        <v>248</v>
      </c>
      <c r="AG2900" s="5" t="s">
        <v>249</v>
      </c>
      <c r="AH2900" s="5" t="s">
        <v>240</v>
      </c>
      <c r="AI2900" s="5" t="s">
        <v>240</v>
      </c>
      <c r="AJ2900" s="5" t="s">
        <v>240</v>
      </c>
      <c r="AK2900" s="5" t="s">
        <v>240</v>
      </c>
      <c r="AL2900" s="5" t="s">
        <v>240</v>
      </c>
      <c r="AM2900" s="5" t="s">
        <v>240</v>
      </c>
      <c r="AN2900" s="5" t="s">
        <v>240</v>
      </c>
      <c r="AO2900" s="5" t="s">
        <v>240</v>
      </c>
      <c r="AP2900" s="6" t="s">
        <v>240</v>
      </c>
      <c r="AQ2900" s="6" t="s">
        <v>240</v>
      </c>
      <c r="AR2900" s="6" t="s">
        <v>240</v>
      </c>
      <c r="AS2900" s="6" t="s">
        <v>240</v>
      </c>
      <c r="AT2900" s="5" t="s">
        <v>240</v>
      </c>
      <c r="AU2900" s="5" t="s">
        <v>729</v>
      </c>
      <c r="AV2900" s="5" t="s">
        <v>729</v>
      </c>
      <c r="AW2900" s="5" t="s">
        <v>251</v>
      </c>
      <c r="AX2900" s="5" t="s">
        <v>252</v>
      </c>
      <c r="AY2900" s="5" t="s">
        <v>253</v>
      </c>
      <c r="AZ2900" s="5" t="s">
        <v>240</v>
      </c>
      <c r="BA2900" s="5" t="s">
        <v>255</v>
      </c>
      <c r="BB2900" s="5" t="s">
        <v>731</v>
      </c>
      <c r="BD2900" s="5" t="s">
        <v>240</v>
      </c>
      <c r="BF2900" s="5" t="s">
        <v>732</v>
      </c>
      <c r="BG2900" s="6" t="s">
        <v>733</v>
      </c>
      <c r="BH2900" s="5" t="s">
        <v>734</v>
      </c>
      <c r="BI2900" s="5" t="s">
        <v>734</v>
      </c>
      <c r="BJ2900" s="5" t="s">
        <v>240</v>
      </c>
      <c r="BK2900" s="7">
        <f>1</f>
        <v>1</v>
      </c>
      <c r="BL2900" s="7">
        <f>1</f>
        <v>1</v>
      </c>
      <c r="BM2900" s="5" t="s">
        <v>258</v>
      </c>
      <c r="BN2900" s="5" t="s">
        <v>259</v>
      </c>
      <c r="BO2900" s="5" t="s">
        <v>240</v>
      </c>
      <c r="BP2900" s="5" t="s">
        <v>240</v>
      </c>
      <c r="BQ2900" s="5" t="s">
        <v>240</v>
      </c>
      <c r="BR2900" s="5" t="s">
        <v>240</v>
      </c>
      <c r="BS2900" s="5" t="s">
        <v>240</v>
      </c>
      <c r="BT2900" s="5" t="s">
        <v>240</v>
      </c>
      <c r="BU2900" s="5" t="s">
        <v>240</v>
      </c>
      <c r="BV2900" s="5" t="s">
        <v>240</v>
      </c>
      <c r="BW2900" s="6" t="s">
        <v>240</v>
      </c>
      <c r="BX2900" s="5" t="s">
        <v>240</v>
      </c>
      <c r="BY2900" s="5" t="s">
        <v>240</v>
      </c>
      <c r="BZ2900" s="5" t="s">
        <v>240</v>
      </c>
      <c r="CA2900" s="5" t="s">
        <v>259</v>
      </c>
      <c r="CB2900" s="5" t="s">
        <v>240</v>
      </c>
      <c r="CC2900" s="5" t="s">
        <v>240</v>
      </c>
      <c r="CD2900" s="5" t="s">
        <v>240</v>
      </c>
      <c r="CE2900" s="5" t="s">
        <v>240</v>
      </c>
      <c r="CF2900" s="5" t="s">
        <v>240</v>
      </c>
      <c r="CG2900" s="5" t="s">
        <v>304</v>
      </c>
      <c r="CH2900" s="5" t="s">
        <v>305</v>
      </c>
      <c r="CI2900" s="5" t="s">
        <v>240</v>
      </c>
      <c r="CK2900" s="5" t="s">
        <v>3681</v>
      </c>
      <c r="CL2900" s="6" t="s">
        <v>261</v>
      </c>
      <c r="CM2900" s="5" t="s">
        <v>262</v>
      </c>
      <c r="CN2900" s="5" t="s">
        <v>263</v>
      </c>
      <c r="CO2900" s="5" t="s">
        <v>264</v>
      </c>
      <c r="CP2900" s="5" t="s">
        <v>240</v>
      </c>
      <c r="CQ2900" s="5">
        <v>0</v>
      </c>
      <c r="CR2900" s="5" t="s">
        <v>735</v>
      </c>
      <c r="CS2900" s="5" t="s">
        <v>307</v>
      </c>
      <c r="CT2900" s="5" t="s">
        <v>307</v>
      </c>
      <c r="CU2900" s="5" t="s">
        <v>260</v>
      </c>
      <c r="CV2900" s="5" t="s">
        <v>612</v>
      </c>
      <c r="CW2900" s="8">
        <f>1</f>
        <v>1</v>
      </c>
      <c r="CX2900" s="7">
        <f>1</f>
        <v>1</v>
      </c>
      <c r="CY2900" s="7">
        <f>0</f>
        <v>0</v>
      </c>
      <c r="DA2900" s="7">
        <f>1</f>
        <v>1</v>
      </c>
      <c r="DB2900" s="7" t="s">
        <v>240</v>
      </c>
      <c r="DC2900" s="5" t="s">
        <v>240</v>
      </c>
      <c r="DD2900" s="5" t="s">
        <v>240</v>
      </c>
      <c r="DE2900" s="5" t="s">
        <v>240</v>
      </c>
      <c r="DF2900" s="5" t="s">
        <v>240</v>
      </c>
      <c r="DG2900" s="7">
        <f>0</f>
        <v>0</v>
      </c>
      <c r="DI2900" s="5" t="s">
        <v>240</v>
      </c>
      <c r="DJ2900" s="5" t="s">
        <v>240</v>
      </c>
      <c r="DK2900" s="5" t="s">
        <v>240</v>
      </c>
      <c r="DL2900" s="5" t="s">
        <v>240</v>
      </c>
      <c r="DM2900" s="5" t="s">
        <v>240</v>
      </c>
      <c r="DN2900" s="5" t="s">
        <v>240</v>
      </c>
      <c r="DO2900" s="7" t="s">
        <v>240</v>
      </c>
      <c r="DP2900" s="5" t="s">
        <v>240</v>
      </c>
      <c r="DQ2900" s="5" t="s">
        <v>240</v>
      </c>
      <c r="DR2900" s="5" t="s">
        <v>731</v>
      </c>
      <c r="DS2900" s="5" t="s">
        <v>731</v>
      </c>
      <c r="DT2900" s="5" t="s">
        <v>240</v>
      </c>
      <c r="DU2900" s="5" t="s">
        <v>240</v>
      </c>
      <c r="DV2900" s="5" t="s">
        <v>5063</v>
      </c>
      <c r="DW2900" s="5" t="s">
        <v>758</v>
      </c>
      <c r="DX2900" s="5" t="s">
        <v>240</v>
      </c>
      <c r="DY2900" s="5" t="s">
        <v>240</v>
      </c>
      <c r="DZ2900" s="5" t="s">
        <v>240</v>
      </c>
      <c r="EA2900" s="5" t="s">
        <v>240</v>
      </c>
      <c r="EB2900" s="5" t="s">
        <v>240</v>
      </c>
      <c r="EC2900" s="5" t="s">
        <v>240</v>
      </c>
      <c r="ED2900" s="5" t="s">
        <v>240</v>
      </c>
      <c r="EE2900" s="5" t="s">
        <v>240</v>
      </c>
      <c r="EF2900" s="5" t="s">
        <v>240</v>
      </c>
      <c r="EG2900" s="5" t="s">
        <v>240</v>
      </c>
      <c r="EH2900" s="5" t="s">
        <v>240</v>
      </c>
      <c r="EI2900" s="5" t="s">
        <v>240</v>
      </c>
      <c r="EJ2900" s="5" t="s">
        <v>240</v>
      </c>
      <c r="EK2900" s="5" t="s">
        <v>240</v>
      </c>
      <c r="EL2900" s="5" t="s">
        <v>240</v>
      </c>
      <c r="EM2900" s="5" t="s">
        <v>240</v>
      </c>
      <c r="EN2900" s="5" t="s">
        <v>240</v>
      </c>
      <c r="EO2900" s="5" t="s">
        <v>240</v>
      </c>
      <c r="EP2900" s="5" t="s">
        <v>240</v>
      </c>
      <c r="EQ2900" s="5" t="s">
        <v>240</v>
      </c>
      <c r="ER2900" s="5" t="s">
        <v>240</v>
      </c>
      <c r="ES2900" s="5" t="s">
        <v>240</v>
      </c>
      <c r="ET2900" s="5" t="s">
        <v>240</v>
      </c>
      <c r="EU2900" s="5" t="s">
        <v>240</v>
      </c>
      <c r="EV2900" s="5" t="s">
        <v>240</v>
      </c>
      <c r="EW2900" s="5" t="s">
        <v>240</v>
      </c>
      <c r="EX2900" s="5" t="s">
        <v>240</v>
      </c>
      <c r="EY2900" s="5" t="s">
        <v>240</v>
      </c>
      <c r="EZ2900" s="5" t="s">
        <v>240</v>
      </c>
      <c r="FA2900" s="5" t="s">
        <v>240</v>
      </c>
      <c r="FB2900" s="5" t="s">
        <v>240</v>
      </c>
      <c r="FC2900" s="5" t="s">
        <v>240</v>
      </c>
      <c r="FD2900" s="5" t="s">
        <v>240</v>
      </c>
      <c r="FE2900" s="5" t="s">
        <v>240</v>
      </c>
      <c r="FF2900" s="5" t="s">
        <v>240</v>
      </c>
      <c r="FG2900" s="5" t="s">
        <v>240</v>
      </c>
      <c r="FH2900" s="5" t="s">
        <v>240</v>
      </c>
      <c r="FI2900" s="5" t="s">
        <v>240</v>
      </c>
      <c r="FJ2900" s="5" t="s">
        <v>240</v>
      </c>
      <c r="FK2900" s="5" t="s">
        <v>240</v>
      </c>
      <c r="FL2900" s="5" t="s">
        <v>240</v>
      </c>
      <c r="FM2900" s="5" t="s">
        <v>240</v>
      </c>
      <c r="FN2900" s="5" t="s">
        <v>240</v>
      </c>
      <c r="FO2900" s="5" t="s">
        <v>240</v>
      </c>
      <c r="FP2900" s="5" t="s">
        <v>240</v>
      </c>
      <c r="FQ2900" s="5" t="s">
        <v>240</v>
      </c>
      <c r="FR2900" s="5" t="s">
        <v>240</v>
      </c>
      <c r="FS2900" s="5" t="s">
        <v>240</v>
      </c>
      <c r="FT2900" s="5" t="s">
        <v>240</v>
      </c>
      <c r="FU2900" s="5" t="s">
        <v>240</v>
      </c>
      <c r="FV2900" s="5" t="s">
        <v>240</v>
      </c>
      <c r="FW2900" s="5" t="s">
        <v>240</v>
      </c>
      <c r="FX2900" s="5" t="s">
        <v>240</v>
      </c>
      <c r="FY2900" s="5" t="s">
        <v>240</v>
      </c>
      <c r="FZ2900" s="5" t="s">
        <v>240</v>
      </c>
      <c r="GA2900" s="5" t="s">
        <v>240</v>
      </c>
      <c r="GB2900" s="5" t="s">
        <v>240</v>
      </c>
      <c r="GC2900" s="5" t="s">
        <v>240</v>
      </c>
      <c r="GD2900" s="5" t="s">
        <v>240</v>
      </c>
      <c r="GE2900" s="5" t="s">
        <v>240</v>
      </c>
      <c r="GF2900" s="5" t="s">
        <v>240</v>
      </c>
      <c r="GG2900" s="5" t="s">
        <v>240</v>
      </c>
      <c r="GH2900" s="5" t="s">
        <v>240</v>
      </c>
      <c r="GI2900" s="5" t="s">
        <v>240</v>
      </c>
      <c r="GJ2900" s="5" t="s">
        <v>240</v>
      </c>
      <c r="GK2900" s="5" t="s">
        <v>240</v>
      </c>
      <c r="GL2900" s="5" t="s">
        <v>240</v>
      </c>
      <c r="GM2900" s="5" t="s">
        <v>240</v>
      </c>
      <c r="GN2900" s="5" t="s">
        <v>240</v>
      </c>
      <c r="GO2900" s="5" t="s">
        <v>240</v>
      </c>
      <c r="GP2900" s="5" t="s">
        <v>240</v>
      </c>
      <c r="GQ2900" s="5" t="s">
        <v>240</v>
      </c>
      <c r="GR2900" s="5" t="s">
        <v>240</v>
      </c>
      <c r="GS2900" s="5" t="s">
        <v>240</v>
      </c>
      <c r="GT2900" s="5" t="s">
        <v>240</v>
      </c>
      <c r="GU2900" s="5" t="s">
        <v>240</v>
      </c>
      <c r="GV2900" s="5" t="s">
        <v>240</v>
      </c>
      <c r="GW2900" s="5" t="s">
        <v>240</v>
      </c>
      <c r="GX2900" s="5" t="s">
        <v>240</v>
      </c>
      <c r="GY2900" s="5" t="s">
        <v>240</v>
      </c>
      <c r="GZ2900" s="5" t="s">
        <v>240</v>
      </c>
      <c r="HA2900" s="5" t="s">
        <v>240</v>
      </c>
      <c r="HB2900" s="5" t="s">
        <v>240</v>
      </c>
      <c r="HC2900" s="5" t="s">
        <v>240</v>
      </c>
      <c r="HD2900" s="5" t="s">
        <v>240</v>
      </c>
      <c r="HE2900" s="5" t="s">
        <v>240</v>
      </c>
      <c r="HF2900" s="5" t="s">
        <v>240</v>
      </c>
      <c r="HG2900" s="5" t="s">
        <v>240</v>
      </c>
      <c r="HH2900" s="5" t="s">
        <v>240</v>
      </c>
      <c r="HI2900" s="5" t="s">
        <v>240</v>
      </c>
      <c r="HJ2900" s="5" t="s">
        <v>240</v>
      </c>
      <c r="HK2900" s="5" t="s">
        <v>240</v>
      </c>
      <c r="HL2900" s="5" t="s">
        <v>240</v>
      </c>
      <c r="HM2900" s="5" t="s">
        <v>240</v>
      </c>
      <c r="HN2900" s="5" t="s">
        <v>240</v>
      </c>
      <c r="HO2900" s="5" t="s">
        <v>312</v>
      </c>
      <c r="HP2900" s="5" t="s">
        <v>240</v>
      </c>
      <c r="HQ2900" s="5" t="s">
        <v>240</v>
      </c>
      <c r="HR2900" s="5" t="s">
        <v>240</v>
      </c>
      <c r="HS2900" s="5" t="s">
        <v>240</v>
      </c>
      <c r="HT2900" s="5" t="s">
        <v>240</v>
      </c>
      <c r="HU2900" s="5" t="s">
        <v>240</v>
      </c>
      <c r="HV2900" s="5" t="s">
        <v>240</v>
      </c>
      <c r="HW2900" s="5" t="s">
        <v>240</v>
      </c>
      <c r="HX2900" s="5" t="s">
        <v>240</v>
      </c>
      <c r="HY2900" s="5" t="s">
        <v>240</v>
      </c>
      <c r="HZ2900" s="5" t="s">
        <v>240</v>
      </c>
      <c r="IA2900" s="5" t="s">
        <v>240</v>
      </c>
      <c r="IB2900" s="5" t="s">
        <v>240</v>
      </c>
      <c r="IC2900" s="5" t="s">
        <v>240</v>
      </c>
      <c r="ID2900" s="5" t="s">
        <v>240</v>
      </c>
      <c r="IE2900" s="5" t="s">
        <v>240</v>
      </c>
      <c r="IF2900" s="5" t="s">
        <v>240</v>
      </c>
    </row>
    <row r="2901" spans="1:240" x14ac:dyDescent="0.4">
      <c r="A2901" s="5">
        <v>4605</v>
      </c>
      <c r="B2901" s="5">
        <v>1</v>
      </c>
      <c r="C2901" s="5">
        <v>1</v>
      </c>
      <c r="D2901" s="5" t="s">
        <v>810</v>
      </c>
      <c r="E2901" s="5" t="s">
        <v>245</v>
      </c>
      <c r="F2901" s="5" t="s">
        <v>254</v>
      </c>
      <c r="G2901" s="5" t="s">
        <v>240</v>
      </c>
      <c r="H2901" s="6" t="s">
        <v>2744</v>
      </c>
      <c r="I2901" s="5" t="s">
        <v>809</v>
      </c>
      <c r="J2901" s="8">
        <f>1269</f>
        <v>1269</v>
      </c>
      <c r="K2901" s="5" t="s">
        <v>308</v>
      </c>
      <c r="L2901" s="7">
        <f>1</f>
        <v>1</v>
      </c>
      <c r="M2901" s="7">
        <f>1</f>
        <v>1</v>
      </c>
      <c r="N2901" s="5" t="s">
        <v>242</v>
      </c>
      <c r="O2901" s="5">
        <v>1</v>
      </c>
      <c r="P2901" s="5" t="s">
        <v>294</v>
      </c>
      <c r="Q2901" s="5" t="s">
        <v>266</v>
      </c>
      <c r="R2901" s="5" t="s">
        <v>240</v>
      </c>
      <c r="S2901" s="5" t="s">
        <v>240</v>
      </c>
      <c r="T2901" s="5" t="s">
        <v>296</v>
      </c>
      <c r="U2901" s="5" t="s">
        <v>244</v>
      </c>
      <c r="V2901" s="5" t="s">
        <v>240</v>
      </c>
      <c r="Y2901" s="5" t="s">
        <v>240</v>
      </c>
      <c r="Z2901" s="6" t="s">
        <v>298</v>
      </c>
      <c r="AB2901" s="6" t="s">
        <v>240</v>
      </c>
      <c r="AE2901" s="6" t="s">
        <v>299</v>
      </c>
      <c r="AF2901" s="5" t="s">
        <v>248</v>
      </c>
      <c r="AG2901" s="5" t="s">
        <v>249</v>
      </c>
      <c r="AW2901" s="5" t="s">
        <v>251</v>
      </c>
      <c r="AX2901" s="5" t="s">
        <v>240</v>
      </c>
      <c r="AY2901" s="5" t="s">
        <v>253</v>
      </c>
      <c r="AZ2901" s="5" t="s">
        <v>240</v>
      </c>
      <c r="BA2901" s="5" t="s">
        <v>255</v>
      </c>
      <c r="BB2901" s="5" t="s">
        <v>240</v>
      </c>
      <c r="BD2901" s="5" t="s">
        <v>240</v>
      </c>
      <c r="BF2901" s="5" t="s">
        <v>301</v>
      </c>
      <c r="BG2901" s="6" t="s">
        <v>299</v>
      </c>
      <c r="BH2901" s="5" t="s">
        <v>302</v>
      </c>
      <c r="BI2901" s="5" t="s">
        <v>303</v>
      </c>
      <c r="BJ2901" s="5" t="s">
        <v>240</v>
      </c>
      <c r="BK2901" s="8">
        <f>0</f>
        <v>0</v>
      </c>
      <c r="BL2901" s="7">
        <f>0</f>
        <v>0</v>
      </c>
      <c r="BM2901" s="5" t="s">
        <v>258</v>
      </c>
      <c r="BN2901" s="5" t="s">
        <v>259</v>
      </c>
      <c r="CB2901" s="5" t="s">
        <v>240</v>
      </c>
      <c r="CC2901" s="5" t="s">
        <v>240</v>
      </c>
      <c r="CG2901" s="5" t="s">
        <v>304</v>
      </c>
      <c r="CH2901" s="5" t="s">
        <v>305</v>
      </c>
      <c r="CI2901" s="5" t="s">
        <v>240</v>
      </c>
      <c r="CL2901" s="6" t="s">
        <v>261</v>
      </c>
      <c r="CM2901" s="5" t="s">
        <v>240</v>
      </c>
      <c r="CN2901" s="5" t="s">
        <v>263</v>
      </c>
      <c r="CO2901" s="5" t="s">
        <v>240</v>
      </c>
      <c r="CP2901" s="5" t="s">
        <v>240</v>
      </c>
      <c r="CQ2901" s="5">
        <v>0</v>
      </c>
      <c r="CR2901" s="5" t="s">
        <v>306</v>
      </c>
      <c r="CS2901" s="5" t="s">
        <v>307</v>
      </c>
      <c r="CT2901" s="5" t="s">
        <v>307</v>
      </c>
      <c r="CU2901" s="5" t="s">
        <v>260</v>
      </c>
      <c r="CX2901" s="7">
        <f>1</f>
        <v>1</v>
      </c>
      <c r="CY2901" s="7">
        <f>0</f>
        <v>0</v>
      </c>
      <c r="DA2901" s="7">
        <f>0</f>
        <v>0</v>
      </c>
      <c r="DC2901" s="5" t="s">
        <v>309</v>
      </c>
      <c r="DD2901" s="5" t="s">
        <v>240</v>
      </c>
      <c r="DF2901" s="5" t="s">
        <v>309</v>
      </c>
      <c r="DG2901" s="7">
        <f>1728</f>
        <v>1728</v>
      </c>
      <c r="DI2901" s="5" t="s">
        <v>240</v>
      </c>
      <c r="DJ2901" s="5" t="s">
        <v>240</v>
      </c>
      <c r="DK2901" s="5" t="s">
        <v>240</v>
      </c>
      <c r="DL2901" s="5" t="s">
        <v>240</v>
      </c>
      <c r="DP2901" s="5" t="s">
        <v>240</v>
      </c>
      <c r="DQ2901" s="5" t="s">
        <v>240</v>
      </c>
      <c r="DR2901" s="5" t="s">
        <v>240</v>
      </c>
      <c r="DS2901" s="5" t="s">
        <v>240</v>
      </c>
      <c r="DV2901" s="5" t="s">
        <v>310</v>
      </c>
      <c r="DW2901" s="5" t="s">
        <v>3795</v>
      </c>
      <c r="HO2901" s="5" t="s">
        <v>312</v>
      </c>
    </row>
    <row r="2902" spans="1:240" x14ac:dyDescent="0.4">
      <c r="A2902" s="5">
        <v>4606</v>
      </c>
      <c r="B2902" s="5">
        <v>1</v>
      </c>
      <c r="C2902" s="5">
        <v>1</v>
      </c>
      <c r="D2902" s="5" t="s">
        <v>810</v>
      </c>
      <c r="E2902" s="5" t="s">
        <v>245</v>
      </c>
      <c r="F2902" s="5" t="s">
        <v>254</v>
      </c>
      <c r="G2902" s="5" t="s">
        <v>240</v>
      </c>
      <c r="H2902" s="6" t="s">
        <v>2742</v>
      </c>
      <c r="I2902" s="5" t="s">
        <v>809</v>
      </c>
      <c r="J2902" s="8">
        <f>886</f>
        <v>886</v>
      </c>
      <c r="K2902" s="5" t="s">
        <v>308</v>
      </c>
      <c r="L2902" s="7">
        <f>1</f>
        <v>1</v>
      </c>
      <c r="M2902" s="7">
        <f>1</f>
        <v>1</v>
      </c>
      <c r="N2902" s="5" t="s">
        <v>242</v>
      </c>
      <c r="O2902" s="5">
        <v>1</v>
      </c>
      <c r="P2902" s="5" t="s">
        <v>294</v>
      </c>
      <c r="Q2902" s="5" t="s">
        <v>3678</v>
      </c>
      <c r="R2902" s="5" t="s">
        <v>240</v>
      </c>
      <c r="S2902" s="5" t="s">
        <v>240</v>
      </c>
      <c r="T2902" s="5" t="s">
        <v>243</v>
      </c>
      <c r="U2902" s="5" t="s">
        <v>244</v>
      </c>
      <c r="V2902" s="5" t="s">
        <v>240</v>
      </c>
      <c r="W2902" s="5" t="s">
        <v>240</v>
      </c>
      <c r="X2902" s="5" t="s">
        <v>240</v>
      </c>
      <c r="Y2902" s="5" t="s">
        <v>240</v>
      </c>
      <c r="Z2902" s="6" t="s">
        <v>298</v>
      </c>
      <c r="AA2902" s="6" t="s">
        <v>240</v>
      </c>
      <c r="AB2902" s="6" t="s">
        <v>240</v>
      </c>
      <c r="AC2902" s="5" t="s">
        <v>240</v>
      </c>
      <c r="AD2902" s="6" t="s">
        <v>240</v>
      </c>
      <c r="AE2902" s="6" t="s">
        <v>299</v>
      </c>
      <c r="AF2902" s="5" t="s">
        <v>248</v>
      </c>
      <c r="AG2902" s="5" t="s">
        <v>249</v>
      </c>
      <c r="AH2902" s="5" t="s">
        <v>240</v>
      </c>
      <c r="AI2902" s="5" t="s">
        <v>240</v>
      </c>
      <c r="AJ2902" s="5" t="s">
        <v>240</v>
      </c>
      <c r="AK2902" s="5" t="s">
        <v>240</v>
      </c>
      <c r="AL2902" s="5" t="s">
        <v>240</v>
      </c>
      <c r="AM2902" s="5" t="s">
        <v>240</v>
      </c>
      <c r="AN2902" s="5" t="s">
        <v>240</v>
      </c>
      <c r="AO2902" s="5" t="s">
        <v>240</v>
      </c>
      <c r="AP2902" s="6" t="s">
        <v>240</v>
      </c>
      <c r="AQ2902" s="6" t="s">
        <v>240</v>
      </c>
      <c r="AR2902" s="6" t="s">
        <v>240</v>
      </c>
      <c r="AS2902" s="6" t="s">
        <v>240</v>
      </c>
      <c r="AT2902" s="5" t="s">
        <v>240</v>
      </c>
      <c r="AU2902" s="5" t="s">
        <v>729</v>
      </c>
      <c r="AV2902" s="5" t="s">
        <v>729</v>
      </c>
      <c r="AW2902" s="5" t="s">
        <v>251</v>
      </c>
      <c r="AX2902" s="5" t="s">
        <v>252</v>
      </c>
      <c r="AY2902" s="5" t="s">
        <v>253</v>
      </c>
      <c r="AZ2902" s="5" t="s">
        <v>240</v>
      </c>
      <c r="BA2902" s="5" t="s">
        <v>255</v>
      </c>
      <c r="BB2902" s="5" t="s">
        <v>731</v>
      </c>
      <c r="BD2902" s="5" t="s">
        <v>240</v>
      </c>
      <c r="BF2902" s="5" t="s">
        <v>732</v>
      </c>
      <c r="BG2902" s="6" t="s">
        <v>733</v>
      </c>
      <c r="BH2902" s="5" t="s">
        <v>734</v>
      </c>
      <c r="BI2902" s="5" t="s">
        <v>734</v>
      </c>
      <c r="BJ2902" s="5" t="s">
        <v>240</v>
      </c>
      <c r="BK2902" s="7">
        <f>1</f>
        <v>1</v>
      </c>
      <c r="BL2902" s="7">
        <f>1</f>
        <v>1</v>
      </c>
      <c r="BM2902" s="5" t="s">
        <v>258</v>
      </c>
      <c r="BN2902" s="5" t="s">
        <v>259</v>
      </c>
      <c r="BO2902" s="5" t="s">
        <v>240</v>
      </c>
      <c r="BP2902" s="5" t="s">
        <v>240</v>
      </c>
      <c r="BQ2902" s="5" t="s">
        <v>240</v>
      </c>
      <c r="BR2902" s="5" t="s">
        <v>240</v>
      </c>
      <c r="BS2902" s="5" t="s">
        <v>240</v>
      </c>
      <c r="BT2902" s="5" t="s">
        <v>240</v>
      </c>
      <c r="BU2902" s="5" t="s">
        <v>240</v>
      </c>
      <c r="BV2902" s="5" t="s">
        <v>240</v>
      </c>
      <c r="BW2902" s="6" t="s">
        <v>240</v>
      </c>
      <c r="BX2902" s="5" t="s">
        <v>240</v>
      </c>
      <c r="BY2902" s="5" t="s">
        <v>240</v>
      </c>
      <c r="BZ2902" s="5" t="s">
        <v>240</v>
      </c>
      <c r="CA2902" s="5" t="s">
        <v>259</v>
      </c>
      <c r="CB2902" s="5" t="s">
        <v>240</v>
      </c>
      <c r="CC2902" s="5" t="s">
        <v>240</v>
      </c>
      <c r="CD2902" s="5" t="s">
        <v>240</v>
      </c>
      <c r="CE2902" s="5" t="s">
        <v>240</v>
      </c>
      <c r="CF2902" s="5" t="s">
        <v>240</v>
      </c>
      <c r="CG2902" s="5" t="s">
        <v>304</v>
      </c>
      <c r="CH2902" s="5" t="s">
        <v>305</v>
      </c>
      <c r="CI2902" s="5" t="s">
        <v>240</v>
      </c>
      <c r="CK2902" s="5" t="s">
        <v>3681</v>
      </c>
      <c r="CL2902" s="6" t="s">
        <v>261</v>
      </c>
      <c r="CM2902" s="5" t="s">
        <v>262</v>
      </c>
      <c r="CN2902" s="5" t="s">
        <v>263</v>
      </c>
      <c r="CO2902" s="5" t="s">
        <v>264</v>
      </c>
      <c r="CP2902" s="5" t="s">
        <v>240</v>
      </c>
      <c r="CQ2902" s="5">
        <v>0</v>
      </c>
      <c r="CR2902" s="5" t="s">
        <v>735</v>
      </c>
      <c r="CS2902" s="5" t="s">
        <v>307</v>
      </c>
      <c r="CT2902" s="5" t="s">
        <v>307</v>
      </c>
      <c r="CU2902" s="5" t="s">
        <v>260</v>
      </c>
      <c r="CV2902" s="5" t="s">
        <v>612</v>
      </c>
      <c r="CW2902" s="8">
        <f>1</f>
        <v>1</v>
      </c>
      <c r="CX2902" s="7">
        <f>1</f>
        <v>1</v>
      </c>
      <c r="CY2902" s="7">
        <f>0</f>
        <v>0</v>
      </c>
      <c r="DA2902" s="7">
        <f>1</f>
        <v>1</v>
      </c>
      <c r="DB2902" s="7" t="s">
        <v>240</v>
      </c>
      <c r="DC2902" s="5" t="s">
        <v>240</v>
      </c>
      <c r="DD2902" s="5" t="s">
        <v>240</v>
      </c>
      <c r="DE2902" s="5" t="s">
        <v>240</v>
      </c>
      <c r="DF2902" s="5" t="s">
        <v>240</v>
      </c>
      <c r="DG2902" s="7">
        <f>0</f>
        <v>0</v>
      </c>
      <c r="DI2902" s="5" t="s">
        <v>240</v>
      </c>
      <c r="DJ2902" s="5" t="s">
        <v>240</v>
      </c>
      <c r="DK2902" s="5" t="s">
        <v>240</v>
      </c>
      <c r="DL2902" s="5" t="s">
        <v>240</v>
      </c>
      <c r="DM2902" s="5" t="s">
        <v>240</v>
      </c>
      <c r="DN2902" s="5" t="s">
        <v>240</v>
      </c>
      <c r="DO2902" s="7" t="s">
        <v>240</v>
      </c>
      <c r="DP2902" s="5" t="s">
        <v>240</v>
      </c>
      <c r="DQ2902" s="5" t="s">
        <v>240</v>
      </c>
      <c r="DR2902" s="5" t="s">
        <v>731</v>
      </c>
      <c r="DS2902" s="5" t="s">
        <v>731</v>
      </c>
      <c r="DT2902" s="5" t="s">
        <v>240</v>
      </c>
      <c r="DU2902" s="5" t="s">
        <v>240</v>
      </c>
      <c r="DV2902" s="5" t="s">
        <v>5063</v>
      </c>
      <c r="DW2902" s="5" t="s">
        <v>750</v>
      </c>
      <c r="DX2902" s="5" t="s">
        <v>240</v>
      </c>
      <c r="DY2902" s="5" t="s">
        <v>240</v>
      </c>
      <c r="DZ2902" s="5" t="s">
        <v>240</v>
      </c>
      <c r="EA2902" s="5" t="s">
        <v>240</v>
      </c>
      <c r="EB2902" s="5" t="s">
        <v>240</v>
      </c>
      <c r="EC2902" s="5" t="s">
        <v>240</v>
      </c>
      <c r="ED2902" s="5" t="s">
        <v>240</v>
      </c>
      <c r="EE2902" s="5" t="s">
        <v>240</v>
      </c>
      <c r="EF2902" s="5" t="s">
        <v>240</v>
      </c>
      <c r="EG2902" s="5" t="s">
        <v>240</v>
      </c>
      <c r="EH2902" s="5" t="s">
        <v>240</v>
      </c>
      <c r="EI2902" s="5" t="s">
        <v>240</v>
      </c>
      <c r="EJ2902" s="5" t="s">
        <v>240</v>
      </c>
      <c r="EK2902" s="5" t="s">
        <v>240</v>
      </c>
      <c r="EL2902" s="5" t="s">
        <v>240</v>
      </c>
      <c r="EM2902" s="5" t="s">
        <v>240</v>
      </c>
      <c r="EN2902" s="5" t="s">
        <v>240</v>
      </c>
      <c r="EO2902" s="5" t="s">
        <v>240</v>
      </c>
      <c r="EP2902" s="5" t="s">
        <v>240</v>
      </c>
      <c r="EQ2902" s="5" t="s">
        <v>240</v>
      </c>
      <c r="ER2902" s="5" t="s">
        <v>240</v>
      </c>
      <c r="ES2902" s="5" t="s">
        <v>240</v>
      </c>
      <c r="ET2902" s="5" t="s">
        <v>240</v>
      </c>
      <c r="EU2902" s="5" t="s">
        <v>240</v>
      </c>
      <c r="EV2902" s="5" t="s">
        <v>240</v>
      </c>
      <c r="EW2902" s="5" t="s">
        <v>240</v>
      </c>
      <c r="EX2902" s="5" t="s">
        <v>240</v>
      </c>
      <c r="EY2902" s="5" t="s">
        <v>240</v>
      </c>
      <c r="EZ2902" s="5" t="s">
        <v>240</v>
      </c>
      <c r="FA2902" s="5" t="s">
        <v>240</v>
      </c>
      <c r="FB2902" s="5" t="s">
        <v>240</v>
      </c>
      <c r="FC2902" s="5" t="s">
        <v>240</v>
      </c>
      <c r="FD2902" s="5" t="s">
        <v>240</v>
      </c>
      <c r="FE2902" s="5" t="s">
        <v>240</v>
      </c>
      <c r="FF2902" s="5" t="s">
        <v>240</v>
      </c>
      <c r="FG2902" s="5" t="s">
        <v>240</v>
      </c>
      <c r="FH2902" s="5" t="s">
        <v>240</v>
      </c>
      <c r="FI2902" s="5" t="s">
        <v>240</v>
      </c>
      <c r="FJ2902" s="5" t="s">
        <v>240</v>
      </c>
      <c r="FK2902" s="5" t="s">
        <v>240</v>
      </c>
      <c r="FL2902" s="5" t="s">
        <v>240</v>
      </c>
      <c r="FM2902" s="5" t="s">
        <v>240</v>
      </c>
      <c r="FN2902" s="5" t="s">
        <v>240</v>
      </c>
      <c r="FO2902" s="5" t="s">
        <v>240</v>
      </c>
      <c r="FP2902" s="5" t="s">
        <v>240</v>
      </c>
      <c r="FQ2902" s="5" t="s">
        <v>240</v>
      </c>
      <c r="FR2902" s="5" t="s">
        <v>240</v>
      </c>
      <c r="FS2902" s="5" t="s">
        <v>240</v>
      </c>
      <c r="FT2902" s="5" t="s">
        <v>240</v>
      </c>
      <c r="FU2902" s="5" t="s">
        <v>240</v>
      </c>
      <c r="FV2902" s="5" t="s">
        <v>240</v>
      </c>
      <c r="FW2902" s="5" t="s">
        <v>240</v>
      </c>
      <c r="FX2902" s="5" t="s">
        <v>240</v>
      </c>
      <c r="FY2902" s="5" t="s">
        <v>240</v>
      </c>
      <c r="FZ2902" s="5" t="s">
        <v>240</v>
      </c>
      <c r="GA2902" s="5" t="s">
        <v>240</v>
      </c>
      <c r="GB2902" s="5" t="s">
        <v>240</v>
      </c>
      <c r="GC2902" s="5" t="s">
        <v>240</v>
      </c>
      <c r="GD2902" s="5" t="s">
        <v>240</v>
      </c>
      <c r="GE2902" s="5" t="s">
        <v>240</v>
      </c>
      <c r="GF2902" s="5" t="s">
        <v>240</v>
      </c>
      <c r="GG2902" s="5" t="s">
        <v>240</v>
      </c>
      <c r="GH2902" s="5" t="s">
        <v>240</v>
      </c>
      <c r="GI2902" s="5" t="s">
        <v>240</v>
      </c>
      <c r="GJ2902" s="5" t="s">
        <v>240</v>
      </c>
      <c r="GK2902" s="5" t="s">
        <v>240</v>
      </c>
      <c r="GL2902" s="5" t="s">
        <v>240</v>
      </c>
      <c r="GM2902" s="5" t="s">
        <v>240</v>
      </c>
      <c r="GN2902" s="5" t="s">
        <v>240</v>
      </c>
      <c r="GO2902" s="5" t="s">
        <v>240</v>
      </c>
      <c r="GP2902" s="5" t="s">
        <v>240</v>
      </c>
      <c r="GQ2902" s="5" t="s">
        <v>240</v>
      </c>
      <c r="GR2902" s="5" t="s">
        <v>240</v>
      </c>
      <c r="GS2902" s="5" t="s">
        <v>240</v>
      </c>
      <c r="GT2902" s="5" t="s">
        <v>240</v>
      </c>
      <c r="GU2902" s="5" t="s">
        <v>240</v>
      </c>
      <c r="GV2902" s="5" t="s">
        <v>240</v>
      </c>
      <c r="GW2902" s="5" t="s">
        <v>240</v>
      </c>
      <c r="GX2902" s="5" t="s">
        <v>240</v>
      </c>
      <c r="GY2902" s="5" t="s">
        <v>240</v>
      </c>
      <c r="GZ2902" s="5" t="s">
        <v>240</v>
      </c>
      <c r="HA2902" s="5" t="s">
        <v>240</v>
      </c>
      <c r="HB2902" s="5" t="s">
        <v>240</v>
      </c>
      <c r="HC2902" s="5" t="s">
        <v>240</v>
      </c>
      <c r="HD2902" s="5" t="s">
        <v>240</v>
      </c>
      <c r="HE2902" s="5" t="s">
        <v>240</v>
      </c>
      <c r="HF2902" s="5" t="s">
        <v>240</v>
      </c>
      <c r="HG2902" s="5" t="s">
        <v>240</v>
      </c>
      <c r="HH2902" s="5" t="s">
        <v>240</v>
      </c>
      <c r="HI2902" s="5" t="s">
        <v>240</v>
      </c>
      <c r="HJ2902" s="5" t="s">
        <v>240</v>
      </c>
      <c r="HK2902" s="5" t="s">
        <v>240</v>
      </c>
      <c r="HL2902" s="5" t="s">
        <v>240</v>
      </c>
      <c r="HM2902" s="5" t="s">
        <v>240</v>
      </c>
      <c r="HN2902" s="5" t="s">
        <v>240</v>
      </c>
      <c r="HO2902" s="5" t="s">
        <v>312</v>
      </c>
      <c r="HP2902" s="5" t="s">
        <v>240</v>
      </c>
      <c r="HQ2902" s="5" t="s">
        <v>240</v>
      </c>
      <c r="HR2902" s="5" t="s">
        <v>240</v>
      </c>
      <c r="HS2902" s="5" t="s">
        <v>240</v>
      </c>
      <c r="HT2902" s="5" t="s">
        <v>240</v>
      </c>
      <c r="HU2902" s="5" t="s">
        <v>240</v>
      </c>
      <c r="HV2902" s="5" t="s">
        <v>240</v>
      </c>
      <c r="HW2902" s="5" t="s">
        <v>240</v>
      </c>
      <c r="HX2902" s="5" t="s">
        <v>240</v>
      </c>
      <c r="HY2902" s="5" t="s">
        <v>240</v>
      </c>
      <c r="HZ2902" s="5" t="s">
        <v>240</v>
      </c>
      <c r="IA2902" s="5" t="s">
        <v>240</v>
      </c>
      <c r="IB2902" s="5" t="s">
        <v>240</v>
      </c>
      <c r="IC2902" s="5" t="s">
        <v>240</v>
      </c>
      <c r="ID2902" s="5" t="s">
        <v>240</v>
      </c>
      <c r="IE2902" s="5" t="s">
        <v>240</v>
      </c>
      <c r="IF2902" s="5" t="s">
        <v>240</v>
      </c>
    </row>
    <row r="2903" spans="1:240" x14ac:dyDescent="0.4">
      <c r="A2903" s="5">
        <v>4607</v>
      </c>
      <c r="B2903" s="5">
        <v>1</v>
      </c>
      <c r="C2903" s="5">
        <v>1</v>
      </c>
      <c r="D2903" s="5" t="s">
        <v>810</v>
      </c>
      <c r="E2903" s="5" t="s">
        <v>245</v>
      </c>
      <c r="F2903" s="5" t="s">
        <v>254</v>
      </c>
      <c r="G2903" s="5" t="s">
        <v>240</v>
      </c>
      <c r="H2903" s="6" t="s">
        <v>2740</v>
      </c>
      <c r="I2903" s="5" t="s">
        <v>809</v>
      </c>
      <c r="J2903" s="8">
        <f>231</f>
        <v>231</v>
      </c>
      <c r="K2903" s="5" t="s">
        <v>308</v>
      </c>
      <c r="L2903" s="7">
        <f>1</f>
        <v>1</v>
      </c>
      <c r="M2903" s="7">
        <f>1</f>
        <v>1</v>
      </c>
      <c r="N2903" s="5" t="s">
        <v>242</v>
      </c>
      <c r="O2903" s="5">
        <v>1</v>
      </c>
      <c r="P2903" s="5" t="s">
        <v>294</v>
      </c>
      <c r="Q2903" s="5" t="s">
        <v>3678</v>
      </c>
      <c r="R2903" s="5" t="s">
        <v>240</v>
      </c>
      <c r="S2903" s="5" t="s">
        <v>240</v>
      </c>
      <c r="T2903" s="5" t="s">
        <v>243</v>
      </c>
      <c r="U2903" s="5" t="s">
        <v>244</v>
      </c>
      <c r="V2903" s="5" t="s">
        <v>240</v>
      </c>
      <c r="W2903" s="5" t="s">
        <v>240</v>
      </c>
      <c r="X2903" s="5" t="s">
        <v>240</v>
      </c>
      <c r="Y2903" s="5" t="s">
        <v>240</v>
      </c>
      <c r="Z2903" s="6" t="s">
        <v>298</v>
      </c>
      <c r="AA2903" s="6" t="s">
        <v>240</v>
      </c>
      <c r="AB2903" s="6" t="s">
        <v>240</v>
      </c>
      <c r="AC2903" s="5" t="s">
        <v>240</v>
      </c>
      <c r="AD2903" s="6" t="s">
        <v>240</v>
      </c>
      <c r="AE2903" s="6" t="s">
        <v>299</v>
      </c>
      <c r="AF2903" s="5" t="s">
        <v>248</v>
      </c>
      <c r="AG2903" s="5" t="s">
        <v>249</v>
      </c>
      <c r="AH2903" s="5" t="s">
        <v>240</v>
      </c>
      <c r="AI2903" s="5" t="s">
        <v>240</v>
      </c>
      <c r="AJ2903" s="5" t="s">
        <v>240</v>
      </c>
      <c r="AK2903" s="5" t="s">
        <v>240</v>
      </c>
      <c r="AL2903" s="5" t="s">
        <v>240</v>
      </c>
      <c r="AM2903" s="5" t="s">
        <v>240</v>
      </c>
      <c r="AN2903" s="5" t="s">
        <v>240</v>
      </c>
      <c r="AO2903" s="5" t="s">
        <v>240</v>
      </c>
      <c r="AP2903" s="6" t="s">
        <v>240</v>
      </c>
      <c r="AQ2903" s="6" t="s">
        <v>240</v>
      </c>
      <c r="AR2903" s="6" t="s">
        <v>240</v>
      </c>
      <c r="AS2903" s="6" t="s">
        <v>240</v>
      </c>
      <c r="AT2903" s="5" t="s">
        <v>240</v>
      </c>
      <c r="AU2903" s="5" t="s">
        <v>729</v>
      </c>
      <c r="AV2903" s="5" t="s">
        <v>729</v>
      </c>
      <c r="AW2903" s="5" t="s">
        <v>251</v>
      </c>
      <c r="AX2903" s="5" t="s">
        <v>252</v>
      </c>
      <c r="AY2903" s="5" t="s">
        <v>253</v>
      </c>
      <c r="AZ2903" s="5" t="s">
        <v>240</v>
      </c>
      <c r="BA2903" s="5" t="s">
        <v>255</v>
      </c>
      <c r="BB2903" s="5" t="s">
        <v>731</v>
      </c>
      <c r="BD2903" s="5" t="s">
        <v>240</v>
      </c>
      <c r="BF2903" s="5" t="s">
        <v>732</v>
      </c>
      <c r="BG2903" s="6" t="s">
        <v>733</v>
      </c>
      <c r="BH2903" s="5" t="s">
        <v>734</v>
      </c>
      <c r="BI2903" s="5" t="s">
        <v>734</v>
      </c>
      <c r="BJ2903" s="5" t="s">
        <v>240</v>
      </c>
      <c r="BK2903" s="7">
        <f>1</f>
        <v>1</v>
      </c>
      <c r="BL2903" s="7">
        <f>1</f>
        <v>1</v>
      </c>
      <c r="BM2903" s="5" t="s">
        <v>258</v>
      </c>
      <c r="BN2903" s="5" t="s">
        <v>259</v>
      </c>
      <c r="BO2903" s="5" t="s">
        <v>240</v>
      </c>
      <c r="BP2903" s="5" t="s">
        <v>240</v>
      </c>
      <c r="BQ2903" s="5" t="s">
        <v>240</v>
      </c>
      <c r="BR2903" s="5" t="s">
        <v>240</v>
      </c>
      <c r="BS2903" s="5" t="s">
        <v>240</v>
      </c>
      <c r="BT2903" s="5" t="s">
        <v>240</v>
      </c>
      <c r="BU2903" s="5" t="s">
        <v>240</v>
      </c>
      <c r="BV2903" s="5" t="s">
        <v>240</v>
      </c>
      <c r="BW2903" s="6" t="s">
        <v>240</v>
      </c>
      <c r="BX2903" s="5" t="s">
        <v>240</v>
      </c>
      <c r="BY2903" s="5" t="s">
        <v>240</v>
      </c>
      <c r="BZ2903" s="5" t="s">
        <v>240</v>
      </c>
      <c r="CA2903" s="5" t="s">
        <v>259</v>
      </c>
      <c r="CB2903" s="5" t="s">
        <v>240</v>
      </c>
      <c r="CC2903" s="5" t="s">
        <v>240</v>
      </c>
      <c r="CD2903" s="5" t="s">
        <v>240</v>
      </c>
      <c r="CE2903" s="5" t="s">
        <v>240</v>
      </c>
      <c r="CF2903" s="5" t="s">
        <v>240</v>
      </c>
      <c r="CG2903" s="5" t="s">
        <v>304</v>
      </c>
      <c r="CH2903" s="5" t="s">
        <v>305</v>
      </c>
      <c r="CI2903" s="5" t="s">
        <v>240</v>
      </c>
      <c r="CK2903" s="5" t="s">
        <v>3681</v>
      </c>
      <c r="CL2903" s="6" t="s">
        <v>261</v>
      </c>
      <c r="CM2903" s="5" t="s">
        <v>262</v>
      </c>
      <c r="CN2903" s="5" t="s">
        <v>263</v>
      </c>
      <c r="CO2903" s="5" t="s">
        <v>264</v>
      </c>
      <c r="CP2903" s="5" t="s">
        <v>240</v>
      </c>
      <c r="CQ2903" s="5">
        <v>0</v>
      </c>
      <c r="CR2903" s="5" t="s">
        <v>735</v>
      </c>
      <c r="CS2903" s="5" t="s">
        <v>307</v>
      </c>
      <c r="CT2903" s="5" t="s">
        <v>307</v>
      </c>
      <c r="CU2903" s="5" t="s">
        <v>260</v>
      </c>
      <c r="CV2903" s="5" t="s">
        <v>612</v>
      </c>
      <c r="CW2903" s="8">
        <f>1</f>
        <v>1</v>
      </c>
      <c r="CX2903" s="7">
        <f>1</f>
        <v>1</v>
      </c>
      <c r="CY2903" s="7">
        <f>0</f>
        <v>0</v>
      </c>
      <c r="DA2903" s="7">
        <f>1</f>
        <v>1</v>
      </c>
      <c r="DB2903" s="7" t="s">
        <v>240</v>
      </c>
      <c r="DC2903" s="5" t="s">
        <v>240</v>
      </c>
      <c r="DD2903" s="5" t="s">
        <v>240</v>
      </c>
      <c r="DE2903" s="5" t="s">
        <v>240</v>
      </c>
      <c r="DF2903" s="5" t="s">
        <v>240</v>
      </c>
      <c r="DG2903" s="7">
        <f>0</f>
        <v>0</v>
      </c>
      <c r="DI2903" s="5" t="s">
        <v>240</v>
      </c>
      <c r="DJ2903" s="5" t="s">
        <v>240</v>
      </c>
      <c r="DK2903" s="5" t="s">
        <v>240</v>
      </c>
      <c r="DL2903" s="5" t="s">
        <v>240</v>
      </c>
      <c r="DM2903" s="5" t="s">
        <v>240</v>
      </c>
      <c r="DN2903" s="5" t="s">
        <v>240</v>
      </c>
      <c r="DO2903" s="7" t="s">
        <v>240</v>
      </c>
      <c r="DP2903" s="5" t="s">
        <v>240</v>
      </c>
      <c r="DQ2903" s="5" t="s">
        <v>240</v>
      </c>
      <c r="DR2903" s="5" t="s">
        <v>731</v>
      </c>
      <c r="DS2903" s="5" t="s">
        <v>731</v>
      </c>
      <c r="DT2903" s="5" t="s">
        <v>240</v>
      </c>
      <c r="DU2903" s="5" t="s">
        <v>240</v>
      </c>
      <c r="DV2903" s="5" t="s">
        <v>3683</v>
      </c>
      <c r="DW2903" s="5" t="s">
        <v>416</v>
      </c>
      <c r="DX2903" s="5" t="s">
        <v>240</v>
      </c>
      <c r="DY2903" s="5" t="s">
        <v>240</v>
      </c>
      <c r="DZ2903" s="5" t="s">
        <v>240</v>
      </c>
      <c r="EA2903" s="5" t="s">
        <v>240</v>
      </c>
      <c r="EB2903" s="5" t="s">
        <v>240</v>
      </c>
      <c r="EC2903" s="5" t="s">
        <v>240</v>
      </c>
      <c r="ED2903" s="5" t="s">
        <v>240</v>
      </c>
      <c r="EE2903" s="5" t="s">
        <v>240</v>
      </c>
      <c r="EF2903" s="5" t="s">
        <v>240</v>
      </c>
      <c r="EG2903" s="5" t="s">
        <v>240</v>
      </c>
      <c r="EH2903" s="5" t="s">
        <v>240</v>
      </c>
      <c r="EI2903" s="5" t="s">
        <v>240</v>
      </c>
      <c r="EJ2903" s="5" t="s">
        <v>240</v>
      </c>
      <c r="EK2903" s="5" t="s">
        <v>240</v>
      </c>
      <c r="EL2903" s="5" t="s">
        <v>240</v>
      </c>
      <c r="EM2903" s="5" t="s">
        <v>240</v>
      </c>
      <c r="EN2903" s="5" t="s">
        <v>240</v>
      </c>
      <c r="EO2903" s="5" t="s">
        <v>240</v>
      </c>
      <c r="EP2903" s="5" t="s">
        <v>240</v>
      </c>
      <c r="EQ2903" s="5" t="s">
        <v>240</v>
      </c>
      <c r="ER2903" s="5" t="s">
        <v>240</v>
      </c>
      <c r="ES2903" s="5" t="s">
        <v>240</v>
      </c>
      <c r="ET2903" s="5" t="s">
        <v>240</v>
      </c>
      <c r="EU2903" s="5" t="s">
        <v>240</v>
      </c>
      <c r="EV2903" s="5" t="s">
        <v>240</v>
      </c>
      <c r="EW2903" s="5" t="s">
        <v>240</v>
      </c>
      <c r="EX2903" s="5" t="s">
        <v>240</v>
      </c>
      <c r="EY2903" s="5" t="s">
        <v>240</v>
      </c>
      <c r="EZ2903" s="5" t="s">
        <v>240</v>
      </c>
      <c r="FA2903" s="5" t="s">
        <v>240</v>
      </c>
      <c r="FB2903" s="5" t="s">
        <v>240</v>
      </c>
      <c r="FC2903" s="5" t="s">
        <v>240</v>
      </c>
      <c r="FD2903" s="5" t="s">
        <v>240</v>
      </c>
      <c r="FE2903" s="5" t="s">
        <v>240</v>
      </c>
      <c r="FF2903" s="5" t="s">
        <v>240</v>
      </c>
      <c r="FG2903" s="5" t="s">
        <v>240</v>
      </c>
      <c r="FH2903" s="5" t="s">
        <v>240</v>
      </c>
      <c r="FI2903" s="5" t="s">
        <v>240</v>
      </c>
      <c r="FJ2903" s="5" t="s">
        <v>240</v>
      </c>
      <c r="FK2903" s="5" t="s">
        <v>240</v>
      </c>
      <c r="FL2903" s="5" t="s">
        <v>240</v>
      </c>
      <c r="FM2903" s="5" t="s">
        <v>240</v>
      </c>
      <c r="FN2903" s="5" t="s">
        <v>240</v>
      </c>
      <c r="FO2903" s="5" t="s">
        <v>240</v>
      </c>
      <c r="FP2903" s="5" t="s">
        <v>240</v>
      </c>
      <c r="FQ2903" s="5" t="s">
        <v>240</v>
      </c>
      <c r="FR2903" s="5" t="s">
        <v>240</v>
      </c>
      <c r="FS2903" s="5" t="s">
        <v>240</v>
      </c>
      <c r="FT2903" s="5" t="s">
        <v>240</v>
      </c>
      <c r="FU2903" s="5" t="s">
        <v>240</v>
      </c>
      <c r="FV2903" s="5" t="s">
        <v>240</v>
      </c>
      <c r="FW2903" s="5" t="s">
        <v>240</v>
      </c>
      <c r="FX2903" s="5" t="s">
        <v>240</v>
      </c>
      <c r="FY2903" s="5" t="s">
        <v>240</v>
      </c>
      <c r="FZ2903" s="5" t="s">
        <v>240</v>
      </c>
      <c r="GA2903" s="5" t="s">
        <v>240</v>
      </c>
      <c r="GB2903" s="5" t="s">
        <v>240</v>
      </c>
      <c r="GC2903" s="5" t="s">
        <v>240</v>
      </c>
      <c r="GD2903" s="5" t="s">
        <v>240</v>
      </c>
      <c r="GE2903" s="5" t="s">
        <v>240</v>
      </c>
      <c r="GF2903" s="5" t="s">
        <v>240</v>
      </c>
      <c r="GG2903" s="5" t="s">
        <v>240</v>
      </c>
      <c r="GH2903" s="5" t="s">
        <v>240</v>
      </c>
      <c r="GI2903" s="5" t="s">
        <v>240</v>
      </c>
      <c r="GJ2903" s="5" t="s">
        <v>240</v>
      </c>
      <c r="GK2903" s="5" t="s">
        <v>240</v>
      </c>
      <c r="GL2903" s="5" t="s">
        <v>240</v>
      </c>
      <c r="GM2903" s="5" t="s">
        <v>240</v>
      </c>
      <c r="GN2903" s="5" t="s">
        <v>240</v>
      </c>
      <c r="GO2903" s="5" t="s">
        <v>240</v>
      </c>
      <c r="GP2903" s="5" t="s">
        <v>240</v>
      </c>
      <c r="GQ2903" s="5" t="s">
        <v>240</v>
      </c>
      <c r="GR2903" s="5" t="s">
        <v>240</v>
      </c>
      <c r="GS2903" s="5" t="s">
        <v>240</v>
      </c>
      <c r="GT2903" s="5" t="s">
        <v>240</v>
      </c>
      <c r="GU2903" s="5" t="s">
        <v>240</v>
      </c>
      <c r="GV2903" s="5" t="s">
        <v>240</v>
      </c>
      <c r="GW2903" s="5" t="s">
        <v>240</v>
      </c>
      <c r="GX2903" s="5" t="s">
        <v>240</v>
      </c>
      <c r="GY2903" s="5" t="s">
        <v>240</v>
      </c>
      <c r="GZ2903" s="5" t="s">
        <v>240</v>
      </c>
      <c r="HA2903" s="5" t="s">
        <v>240</v>
      </c>
      <c r="HB2903" s="5" t="s">
        <v>240</v>
      </c>
      <c r="HC2903" s="5" t="s">
        <v>240</v>
      </c>
      <c r="HD2903" s="5" t="s">
        <v>240</v>
      </c>
      <c r="HE2903" s="5" t="s">
        <v>240</v>
      </c>
      <c r="HF2903" s="5" t="s">
        <v>240</v>
      </c>
      <c r="HG2903" s="5" t="s">
        <v>240</v>
      </c>
      <c r="HH2903" s="5" t="s">
        <v>240</v>
      </c>
      <c r="HI2903" s="5" t="s">
        <v>240</v>
      </c>
      <c r="HJ2903" s="5" t="s">
        <v>240</v>
      </c>
      <c r="HK2903" s="5" t="s">
        <v>240</v>
      </c>
      <c r="HL2903" s="5" t="s">
        <v>240</v>
      </c>
      <c r="HM2903" s="5" t="s">
        <v>240</v>
      </c>
      <c r="HN2903" s="5" t="s">
        <v>240</v>
      </c>
      <c r="HO2903" s="5" t="s">
        <v>312</v>
      </c>
      <c r="HP2903" s="5" t="s">
        <v>240</v>
      </c>
      <c r="HQ2903" s="5" t="s">
        <v>240</v>
      </c>
      <c r="HR2903" s="5" t="s">
        <v>240</v>
      </c>
      <c r="HS2903" s="5" t="s">
        <v>240</v>
      </c>
      <c r="HT2903" s="5" t="s">
        <v>240</v>
      </c>
      <c r="HU2903" s="5" t="s">
        <v>240</v>
      </c>
      <c r="HV2903" s="5" t="s">
        <v>240</v>
      </c>
      <c r="HW2903" s="5" t="s">
        <v>240</v>
      </c>
      <c r="HX2903" s="5" t="s">
        <v>240</v>
      </c>
      <c r="HY2903" s="5" t="s">
        <v>240</v>
      </c>
      <c r="HZ2903" s="5" t="s">
        <v>240</v>
      </c>
      <c r="IA2903" s="5" t="s">
        <v>240</v>
      </c>
      <c r="IB2903" s="5" t="s">
        <v>240</v>
      </c>
      <c r="IC2903" s="5" t="s">
        <v>240</v>
      </c>
      <c r="ID2903" s="5" t="s">
        <v>240</v>
      </c>
      <c r="IE2903" s="5" t="s">
        <v>240</v>
      </c>
      <c r="IF2903" s="5" t="s">
        <v>240</v>
      </c>
    </row>
    <row r="2904" spans="1:240" x14ac:dyDescent="0.4">
      <c r="A2904" s="5">
        <v>4608</v>
      </c>
      <c r="B2904" s="5">
        <v>1</v>
      </c>
      <c r="C2904" s="5">
        <v>1</v>
      </c>
      <c r="D2904" s="5" t="s">
        <v>810</v>
      </c>
      <c r="E2904" s="5" t="s">
        <v>245</v>
      </c>
      <c r="F2904" s="5" t="s">
        <v>254</v>
      </c>
      <c r="G2904" s="5" t="s">
        <v>240</v>
      </c>
      <c r="H2904" s="6" t="s">
        <v>2738</v>
      </c>
      <c r="I2904" s="5" t="s">
        <v>809</v>
      </c>
      <c r="J2904" s="8">
        <f>434</f>
        <v>434</v>
      </c>
      <c r="K2904" s="5" t="s">
        <v>308</v>
      </c>
      <c r="L2904" s="7">
        <f>1</f>
        <v>1</v>
      </c>
      <c r="M2904" s="7">
        <f>1</f>
        <v>1</v>
      </c>
      <c r="N2904" s="5" t="s">
        <v>242</v>
      </c>
      <c r="O2904" s="5">
        <v>1</v>
      </c>
      <c r="P2904" s="5" t="s">
        <v>294</v>
      </c>
      <c r="Q2904" s="5" t="s">
        <v>3678</v>
      </c>
      <c r="R2904" s="5" t="s">
        <v>240</v>
      </c>
      <c r="S2904" s="5" t="s">
        <v>240</v>
      </c>
      <c r="T2904" s="5" t="s">
        <v>243</v>
      </c>
      <c r="U2904" s="5" t="s">
        <v>244</v>
      </c>
      <c r="V2904" s="5" t="s">
        <v>240</v>
      </c>
      <c r="W2904" s="5" t="s">
        <v>240</v>
      </c>
      <c r="X2904" s="5" t="s">
        <v>240</v>
      </c>
      <c r="Y2904" s="5" t="s">
        <v>240</v>
      </c>
      <c r="Z2904" s="6" t="s">
        <v>298</v>
      </c>
      <c r="AA2904" s="6" t="s">
        <v>240</v>
      </c>
      <c r="AB2904" s="6" t="s">
        <v>240</v>
      </c>
      <c r="AC2904" s="5" t="s">
        <v>240</v>
      </c>
      <c r="AD2904" s="6" t="s">
        <v>240</v>
      </c>
      <c r="AE2904" s="6" t="s">
        <v>299</v>
      </c>
      <c r="AF2904" s="5" t="s">
        <v>248</v>
      </c>
      <c r="AG2904" s="5" t="s">
        <v>249</v>
      </c>
      <c r="AH2904" s="5" t="s">
        <v>240</v>
      </c>
      <c r="AI2904" s="5" t="s">
        <v>240</v>
      </c>
      <c r="AJ2904" s="5" t="s">
        <v>240</v>
      </c>
      <c r="AK2904" s="5" t="s">
        <v>240</v>
      </c>
      <c r="AL2904" s="5" t="s">
        <v>240</v>
      </c>
      <c r="AM2904" s="5" t="s">
        <v>240</v>
      </c>
      <c r="AN2904" s="5" t="s">
        <v>240</v>
      </c>
      <c r="AO2904" s="5" t="s">
        <v>240</v>
      </c>
      <c r="AP2904" s="6" t="s">
        <v>240</v>
      </c>
      <c r="AQ2904" s="6" t="s">
        <v>240</v>
      </c>
      <c r="AR2904" s="6" t="s">
        <v>240</v>
      </c>
      <c r="AS2904" s="6" t="s">
        <v>240</v>
      </c>
      <c r="AT2904" s="5" t="s">
        <v>240</v>
      </c>
      <c r="AU2904" s="5" t="s">
        <v>729</v>
      </c>
      <c r="AV2904" s="5" t="s">
        <v>729</v>
      </c>
      <c r="AW2904" s="5" t="s">
        <v>251</v>
      </c>
      <c r="AX2904" s="5" t="s">
        <v>252</v>
      </c>
      <c r="AY2904" s="5" t="s">
        <v>253</v>
      </c>
      <c r="AZ2904" s="5" t="s">
        <v>240</v>
      </c>
      <c r="BA2904" s="5" t="s">
        <v>255</v>
      </c>
      <c r="BB2904" s="5" t="s">
        <v>731</v>
      </c>
      <c r="BD2904" s="5" t="s">
        <v>240</v>
      </c>
      <c r="BF2904" s="5" t="s">
        <v>732</v>
      </c>
      <c r="BG2904" s="6" t="s">
        <v>733</v>
      </c>
      <c r="BH2904" s="5" t="s">
        <v>734</v>
      </c>
      <c r="BI2904" s="5" t="s">
        <v>734</v>
      </c>
      <c r="BJ2904" s="5" t="s">
        <v>240</v>
      </c>
      <c r="BK2904" s="7">
        <f>1</f>
        <v>1</v>
      </c>
      <c r="BL2904" s="7">
        <f>1</f>
        <v>1</v>
      </c>
      <c r="BM2904" s="5" t="s">
        <v>258</v>
      </c>
      <c r="BN2904" s="5" t="s">
        <v>259</v>
      </c>
      <c r="BO2904" s="5" t="s">
        <v>240</v>
      </c>
      <c r="BP2904" s="5" t="s">
        <v>240</v>
      </c>
      <c r="BQ2904" s="5" t="s">
        <v>240</v>
      </c>
      <c r="BR2904" s="5" t="s">
        <v>240</v>
      </c>
      <c r="BS2904" s="5" t="s">
        <v>240</v>
      </c>
      <c r="BT2904" s="5" t="s">
        <v>240</v>
      </c>
      <c r="BU2904" s="5" t="s">
        <v>240</v>
      </c>
      <c r="BV2904" s="5" t="s">
        <v>240</v>
      </c>
      <c r="BW2904" s="6" t="s">
        <v>240</v>
      </c>
      <c r="BX2904" s="5" t="s">
        <v>240</v>
      </c>
      <c r="BY2904" s="5" t="s">
        <v>240</v>
      </c>
      <c r="BZ2904" s="5" t="s">
        <v>240</v>
      </c>
      <c r="CA2904" s="5" t="s">
        <v>259</v>
      </c>
      <c r="CB2904" s="5" t="s">
        <v>240</v>
      </c>
      <c r="CC2904" s="5" t="s">
        <v>240</v>
      </c>
      <c r="CD2904" s="5" t="s">
        <v>240</v>
      </c>
      <c r="CE2904" s="5" t="s">
        <v>240</v>
      </c>
      <c r="CF2904" s="5" t="s">
        <v>240</v>
      </c>
      <c r="CG2904" s="5" t="s">
        <v>304</v>
      </c>
      <c r="CH2904" s="5" t="s">
        <v>305</v>
      </c>
      <c r="CI2904" s="5" t="s">
        <v>240</v>
      </c>
      <c r="CK2904" s="5" t="s">
        <v>3681</v>
      </c>
      <c r="CL2904" s="6" t="s">
        <v>261</v>
      </c>
      <c r="CM2904" s="5" t="s">
        <v>262</v>
      </c>
      <c r="CN2904" s="5" t="s">
        <v>263</v>
      </c>
      <c r="CO2904" s="5" t="s">
        <v>264</v>
      </c>
      <c r="CP2904" s="5" t="s">
        <v>240</v>
      </c>
      <c r="CQ2904" s="5">
        <v>0</v>
      </c>
      <c r="CR2904" s="5" t="s">
        <v>735</v>
      </c>
      <c r="CS2904" s="5" t="s">
        <v>307</v>
      </c>
      <c r="CT2904" s="5" t="s">
        <v>307</v>
      </c>
      <c r="CU2904" s="5" t="s">
        <v>260</v>
      </c>
      <c r="CV2904" s="5" t="s">
        <v>612</v>
      </c>
      <c r="CW2904" s="8">
        <f>1</f>
        <v>1</v>
      </c>
      <c r="CX2904" s="7">
        <f>1</f>
        <v>1</v>
      </c>
      <c r="CY2904" s="7">
        <f>0</f>
        <v>0</v>
      </c>
      <c r="DA2904" s="7">
        <f>1</f>
        <v>1</v>
      </c>
      <c r="DB2904" s="7" t="s">
        <v>240</v>
      </c>
      <c r="DC2904" s="5" t="s">
        <v>240</v>
      </c>
      <c r="DD2904" s="5" t="s">
        <v>240</v>
      </c>
      <c r="DE2904" s="5" t="s">
        <v>240</v>
      </c>
      <c r="DF2904" s="5" t="s">
        <v>240</v>
      </c>
      <c r="DG2904" s="7">
        <f>0</f>
        <v>0</v>
      </c>
      <c r="DI2904" s="5" t="s">
        <v>240</v>
      </c>
      <c r="DJ2904" s="5" t="s">
        <v>240</v>
      </c>
      <c r="DK2904" s="5" t="s">
        <v>240</v>
      </c>
      <c r="DL2904" s="5" t="s">
        <v>240</v>
      </c>
      <c r="DM2904" s="5" t="s">
        <v>240</v>
      </c>
      <c r="DN2904" s="5" t="s">
        <v>240</v>
      </c>
      <c r="DO2904" s="7" t="s">
        <v>240</v>
      </c>
      <c r="DP2904" s="5" t="s">
        <v>240</v>
      </c>
      <c r="DQ2904" s="5" t="s">
        <v>240</v>
      </c>
      <c r="DR2904" s="5" t="s">
        <v>731</v>
      </c>
      <c r="DS2904" s="5" t="s">
        <v>731</v>
      </c>
      <c r="DT2904" s="5" t="s">
        <v>240</v>
      </c>
      <c r="DU2904" s="5" t="s">
        <v>240</v>
      </c>
      <c r="DV2904" s="5" t="s">
        <v>5063</v>
      </c>
      <c r="DW2904" s="5" t="s">
        <v>740</v>
      </c>
      <c r="DX2904" s="5" t="s">
        <v>240</v>
      </c>
      <c r="DY2904" s="5" t="s">
        <v>240</v>
      </c>
      <c r="DZ2904" s="5" t="s">
        <v>240</v>
      </c>
      <c r="EA2904" s="5" t="s">
        <v>240</v>
      </c>
      <c r="EB2904" s="5" t="s">
        <v>240</v>
      </c>
      <c r="EC2904" s="5" t="s">
        <v>240</v>
      </c>
      <c r="ED2904" s="5" t="s">
        <v>240</v>
      </c>
      <c r="EE2904" s="5" t="s">
        <v>240</v>
      </c>
      <c r="EF2904" s="5" t="s">
        <v>240</v>
      </c>
      <c r="EG2904" s="5" t="s">
        <v>240</v>
      </c>
      <c r="EH2904" s="5" t="s">
        <v>240</v>
      </c>
      <c r="EI2904" s="5" t="s">
        <v>240</v>
      </c>
      <c r="EJ2904" s="5" t="s">
        <v>240</v>
      </c>
      <c r="EK2904" s="5" t="s">
        <v>240</v>
      </c>
      <c r="EL2904" s="5" t="s">
        <v>240</v>
      </c>
      <c r="EM2904" s="5" t="s">
        <v>240</v>
      </c>
      <c r="EN2904" s="5" t="s">
        <v>240</v>
      </c>
      <c r="EO2904" s="5" t="s">
        <v>240</v>
      </c>
      <c r="EP2904" s="5" t="s">
        <v>240</v>
      </c>
      <c r="EQ2904" s="5" t="s">
        <v>240</v>
      </c>
      <c r="ER2904" s="5" t="s">
        <v>240</v>
      </c>
      <c r="ES2904" s="5" t="s">
        <v>240</v>
      </c>
      <c r="ET2904" s="5" t="s">
        <v>240</v>
      </c>
      <c r="EU2904" s="5" t="s">
        <v>240</v>
      </c>
      <c r="EV2904" s="5" t="s">
        <v>240</v>
      </c>
      <c r="EW2904" s="5" t="s">
        <v>240</v>
      </c>
      <c r="EX2904" s="5" t="s">
        <v>240</v>
      </c>
      <c r="EY2904" s="5" t="s">
        <v>240</v>
      </c>
      <c r="EZ2904" s="5" t="s">
        <v>240</v>
      </c>
      <c r="FA2904" s="5" t="s">
        <v>240</v>
      </c>
      <c r="FB2904" s="5" t="s">
        <v>240</v>
      </c>
      <c r="FC2904" s="5" t="s">
        <v>240</v>
      </c>
      <c r="FD2904" s="5" t="s">
        <v>240</v>
      </c>
      <c r="FE2904" s="5" t="s">
        <v>240</v>
      </c>
      <c r="FF2904" s="5" t="s">
        <v>240</v>
      </c>
      <c r="FG2904" s="5" t="s">
        <v>240</v>
      </c>
      <c r="FH2904" s="5" t="s">
        <v>240</v>
      </c>
      <c r="FI2904" s="5" t="s">
        <v>240</v>
      </c>
      <c r="FJ2904" s="5" t="s">
        <v>240</v>
      </c>
      <c r="FK2904" s="5" t="s">
        <v>240</v>
      </c>
      <c r="FL2904" s="5" t="s">
        <v>240</v>
      </c>
      <c r="FM2904" s="5" t="s">
        <v>240</v>
      </c>
      <c r="FN2904" s="5" t="s">
        <v>240</v>
      </c>
      <c r="FO2904" s="5" t="s">
        <v>240</v>
      </c>
      <c r="FP2904" s="5" t="s">
        <v>240</v>
      </c>
      <c r="FQ2904" s="5" t="s">
        <v>240</v>
      </c>
      <c r="FR2904" s="5" t="s">
        <v>240</v>
      </c>
      <c r="FS2904" s="5" t="s">
        <v>240</v>
      </c>
      <c r="FT2904" s="5" t="s">
        <v>240</v>
      </c>
      <c r="FU2904" s="5" t="s">
        <v>240</v>
      </c>
      <c r="FV2904" s="5" t="s">
        <v>240</v>
      </c>
      <c r="FW2904" s="5" t="s">
        <v>240</v>
      </c>
      <c r="FX2904" s="5" t="s">
        <v>240</v>
      </c>
      <c r="FY2904" s="5" t="s">
        <v>240</v>
      </c>
      <c r="FZ2904" s="5" t="s">
        <v>240</v>
      </c>
      <c r="GA2904" s="5" t="s">
        <v>240</v>
      </c>
      <c r="GB2904" s="5" t="s">
        <v>240</v>
      </c>
      <c r="GC2904" s="5" t="s">
        <v>240</v>
      </c>
      <c r="GD2904" s="5" t="s">
        <v>240</v>
      </c>
      <c r="GE2904" s="5" t="s">
        <v>240</v>
      </c>
      <c r="GF2904" s="5" t="s">
        <v>240</v>
      </c>
      <c r="GG2904" s="5" t="s">
        <v>240</v>
      </c>
      <c r="GH2904" s="5" t="s">
        <v>240</v>
      </c>
      <c r="GI2904" s="5" t="s">
        <v>240</v>
      </c>
      <c r="GJ2904" s="5" t="s">
        <v>240</v>
      </c>
      <c r="GK2904" s="5" t="s">
        <v>240</v>
      </c>
      <c r="GL2904" s="5" t="s">
        <v>240</v>
      </c>
      <c r="GM2904" s="5" t="s">
        <v>240</v>
      </c>
      <c r="GN2904" s="5" t="s">
        <v>240</v>
      </c>
      <c r="GO2904" s="5" t="s">
        <v>240</v>
      </c>
      <c r="GP2904" s="5" t="s">
        <v>240</v>
      </c>
      <c r="GQ2904" s="5" t="s">
        <v>240</v>
      </c>
      <c r="GR2904" s="5" t="s">
        <v>240</v>
      </c>
      <c r="GS2904" s="5" t="s">
        <v>240</v>
      </c>
      <c r="GT2904" s="5" t="s">
        <v>240</v>
      </c>
      <c r="GU2904" s="5" t="s">
        <v>240</v>
      </c>
      <c r="GV2904" s="5" t="s">
        <v>240</v>
      </c>
      <c r="GW2904" s="5" t="s">
        <v>240</v>
      </c>
      <c r="GX2904" s="5" t="s">
        <v>240</v>
      </c>
      <c r="GY2904" s="5" t="s">
        <v>240</v>
      </c>
      <c r="GZ2904" s="5" t="s">
        <v>240</v>
      </c>
      <c r="HA2904" s="5" t="s">
        <v>240</v>
      </c>
      <c r="HB2904" s="5" t="s">
        <v>240</v>
      </c>
      <c r="HC2904" s="5" t="s">
        <v>240</v>
      </c>
      <c r="HD2904" s="5" t="s">
        <v>240</v>
      </c>
      <c r="HE2904" s="5" t="s">
        <v>240</v>
      </c>
      <c r="HF2904" s="5" t="s">
        <v>240</v>
      </c>
      <c r="HG2904" s="5" t="s">
        <v>240</v>
      </c>
      <c r="HH2904" s="5" t="s">
        <v>240</v>
      </c>
      <c r="HI2904" s="5" t="s">
        <v>240</v>
      </c>
      <c r="HJ2904" s="5" t="s">
        <v>240</v>
      </c>
      <c r="HK2904" s="5" t="s">
        <v>240</v>
      </c>
      <c r="HL2904" s="5" t="s">
        <v>240</v>
      </c>
      <c r="HM2904" s="5" t="s">
        <v>240</v>
      </c>
      <c r="HN2904" s="5" t="s">
        <v>240</v>
      </c>
      <c r="HO2904" s="5" t="s">
        <v>312</v>
      </c>
      <c r="HP2904" s="5" t="s">
        <v>240</v>
      </c>
      <c r="HQ2904" s="5" t="s">
        <v>240</v>
      </c>
      <c r="HR2904" s="5" t="s">
        <v>240</v>
      </c>
      <c r="HS2904" s="5" t="s">
        <v>240</v>
      </c>
      <c r="HT2904" s="5" t="s">
        <v>240</v>
      </c>
      <c r="HU2904" s="5" t="s">
        <v>240</v>
      </c>
      <c r="HV2904" s="5" t="s">
        <v>240</v>
      </c>
      <c r="HW2904" s="5" t="s">
        <v>240</v>
      </c>
      <c r="HX2904" s="5" t="s">
        <v>240</v>
      </c>
      <c r="HY2904" s="5" t="s">
        <v>240</v>
      </c>
      <c r="HZ2904" s="5" t="s">
        <v>240</v>
      </c>
      <c r="IA2904" s="5" t="s">
        <v>240</v>
      </c>
      <c r="IB2904" s="5" t="s">
        <v>240</v>
      </c>
      <c r="IC2904" s="5" t="s">
        <v>240</v>
      </c>
      <c r="ID2904" s="5" t="s">
        <v>240</v>
      </c>
      <c r="IE2904" s="5" t="s">
        <v>240</v>
      </c>
      <c r="IF2904" s="5" t="s">
        <v>240</v>
      </c>
    </row>
    <row r="2905" spans="1:240" x14ac:dyDescent="0.4">
      <c r="A2905" s="5">
        <v>4609</v>
      </c>
      <c r="B2905" s="5">
        <v>1</v>
      </c>
      <c r="C2905" s="5">
        <v>1</v>
      </c>
      <c r="D2905" s="5" t="s">
        <v>810</v>
      </c>
      <c r="E2905" s="5" t="s">
        <v>245</v>
      </c>
      <c r="F2905" s="5" t="s">
        <v>254</v>
      </c>
      <c r="G2905" s="5" t="s">
        <v>240</v>
      </c>
      <c r="H2905" s="6" t="s">
        <v>4771</v>
      </c>
      <c r="I2905" s="5" t="s">
        <v>809</v>
      </c>
      <c r="J2905" s="8">
        <f>259</f>
        <v>259</v>
      </c>
      <c r="K2905" s="5" t="s">
        <v>308</v>
      </c>
      <c r="L2905" s="7">
        <f>1</f>
        <v>1</v>
      </c>
      <c r="M2905" s="7">
        <f>1</f>
        <v>1</v>
      </c>
      <c r="N2905" s="5" t="s">
        <v>242</v>
      </c>
      <c r="O2905" s="5">
        <v>1</v>
      </c>
      <c r="P2905" s="5" t="s">
        <v>294</v>
      </c>
      <c r="Q2905" s="5" t="s">
        <v>3678</v>
      </c>
      <c r="R2905" s="5" t="s">
        <v>240</v>
      </c>
      <c r="S2905" s="5" t="s">
        <v>240</v>
      </c>
      <c r="T2905" s="5" t="s">
        <v>243</v>
      </c>
      <c r="U2905" s="5" t="s">
        <v>244</v>
      </c>
      <c r="V2905" s="5" t="s">
        <v>240</v>
      </c>
      <c r="W2905" s="5" t="s">
        <v>240</v>
      </c>
      <c r="X2905" s="5" t="s">
        <v>240</v>
      </c>
      <c r="Y2905" s="5" t="s">
        <v>240</v>
      </c>
      <c r="Z2905" s="6" t="s">
        <v>298</v>
      </c>
      <c r="AA2905" s="6" t="s">
        <v>240</v>
      </c>
      <c r="AB2905" s="6" t="s">
        <v>240</v>
      </c>
      <c r="AC2905" s="5" t="s">
        <v>240</v>
      </c>
      <c r="AD2905" s="6" t="s">
        <v>240</v>
      </c>
      <c r="AE2905" s="6" t="s">
        <v>299</v>
      </c>
      <c r="AF2905" s="5" t="s">
        <v>248</v>
      </c>
      <c r="AG2905" s="5" t="s">
        <v>249</v>
      </c>
      <c r="AH2905" s="5" t="s">
        <v>240</v>
      </c>
      <c r="AI2905" s="5" t="s">
        <v>240</v>
      </c>
      <c r="AJ2905" s="5" t="s">
        <v>240</v>
      </c>
      <c r="AK2905" s="5" t="s">
        <v>240</v>
      </c>
      <c r="AL2905" s="5" t="s">
        <v>240</v>
      </c>
      <c r="AM2905" s="5" t="s">
        <v>240</v>
      </c>
      <c r="AN2905" s="5" t="s">
        <v>240</v>
      </c>
      <c r="AO2905" s="5" t="s">
        <v>240</v>
      </c>
      <c r="AP2905" s="6" t="s">
        <v>240</v>
      </c>
      <c r="AQ2905" s="6" t="s">
        <v>240</v>
      </c>
      <c r="AR2905" s="6" t="s">
        <v>240</v>
      </c>
      <c r="AS2905" s="6" t="s">
        <v>240</v>
      </c>
      <c r="AT2905" s="5" t="s">
        <v>240</v>
      </c>
      <c r="AU2905" s="5" t="s">
        <v>729</v>
      </c>
      <c r="AV2905" s="5" t="s">
        <v>729</v>
      </c>
      <c r="AW2905" s="5" t="s">
        <v>251</v>
      </c>
      <c r="AX2905" s="5" t="s">
        <v>252</v>
      </c>
      <c r="AY2905" s="5" t="s">
        <v>253</v>
      </c>
      <c r="AZ2905" s="5" t="s">
        <v>240</v>
      </c>
      <c r="BA2905" s="5" t="s">
        <v>255</v>
      </c>
      <c r="BB2905" s="5" t="s">
        <v>731</v>
      </c>
      <c r="BD2905" s="5" t="s">
        <v>240</v>
      </c>
      <c r="BF2905" s="5" t="s">
        <v>732</v>
      </c>
      <c r="BG2905" s="6" t="s">
        <v>733</v>
      </c>
      <c r="BH2905" s="5" t="s">
        <v>734</v>
      </c>
      <c r="BI2905" s="5" t="s">
        <v>734</v>
      </c>
      <c r="BJ2905" s="5" t="s">
        <v>240</v>
      </c>
      <c r="BK2905" s="7">
        <f>1</f>
        <v>1</v>
      </c>
      <c r="BL2905" s="7">
        <f>1</f>
        <v>1</v>
      </c>
      <c r="BM2905" s="5" t="s">
        <v>258</v>
      </c>
      <c r="BN2905" s="5" t="s">
        <v>259</v>
      </c>
      <c r="BO2905" s="5" t="s">
        <v>240</v>
      </c>
      <c r="BP2905" s="5" t="s">
        <v>240</v>
      </c>
      <c r="BQ2905" s="5" t="s">
        <v>240</v>
      </c>
      <c r="BR2905" s="5" t="s">
        <v>240</v>
      </c>
      <c r="BS2905" s="5" t="s">
        <v>240</v>
      </c>
      <c r="BT2905" s="5" t="s">
        <v>240</v>
      </c>
      <c r="BU2905" s="5" t="s">
        <v>240</v>
      </c>
      <c r="BV2905" s="5" t="s">
        <v>240</v>
      </c>
      <c r="BW2905" s="6" t="s">
        <v>240</v>
      </c>
      <c r="BX2905" s="5" t="s">
        <v>240</v>
      </c>
      <c r="BY2905" s="5" t="s">
        <v>240</v>
      </c>
      <c r="BZ2905" s="5" t="s">
        <v>240</v>
      </c>
      <c r="CA2905" s="5" t="s">
        <v>259</v>
      </c>
      <c r="CB2905" s="5" t="s">
        <v>240</v>
      </c>
      <c r="CC2905" s="5" t="s">
        <v>240</v>
      </c>
      <c r="CD2905" s="5" t="s">
        <v>240</v>
      </c>
      <c r="CE2905" s="5" t="s">
        <v>240</v>
      </c>
      <c r="CF2905" s="5" t="s">
        <v>240</v>
      </c>
      <c r="CG2905" s="5" t="s">
        <v>304</v>
      </c>
      <c r="CH2905" s="5" t="s">
        <v>305</v>
      </c>
      <c r="CI2905" s="5" t="s">
        <v>240</v>
      </c>
      <c r="CK2905" s="5" t="s">
        <v>3681</v>
      </c>
      <c r="CL2905" s="6" t="s">
        <v>261</v>
      </c>
      <c r="CM2905" s="5" t="s">
        <v>262</v>
      </c>
      <c r="CN2905" s="5" t="s">
        <v>263</v>
      </c>
      <c r="CO2905" s="5" t="s">
        <v>264</v>
      </c>
      <c r="CP2905" s="5" t="s">
        <v>240</v>
      </c>
      <c r="CQ2905" s="5">
        <v>0</v>
      </c>
      <c r="CR2905" s="5" t="s">
        <v>735</v>
      </c>
      <c r="CS2905" s="5" t="s">
        <v>307</v>
      </c>
      <c r="CT2905" s="5" t="s">
        <v>307</v>
      </c>
      <c r="CU2905" s="5" t="s">
        <v>260</v>
      </c>
      <c r="CV2905" s="5" t="s">
        <v>612</v>
      </c>
      <c r="CW2905" s="8">
        <f>1</f>
        <v>1</v>
      </c>
      <c r="CX2905" s="7">
        <f>1</f>
        <v>1</v>
      </c>
      <c r="CY2905" s="7">
        <f>0</f>
        <v>0</v>
      </c>
      <c r="DA2905" s="7">
        <f>1</f>
        <v>1</v>
      </c>
      <c r="DB2905" s="7" t="s">
        <v>240</v>
      </c>
      <c r="DC2905" s="5" t="s">
        <v>240</v>
      </c>
      <c r="DD2905" s="5" t="s">
        <v>240</v>
      </c>
      <c r="DE2905" s="5" t="s">
        <v>240</v>
      </c>
      <c r="DF2905" s="5" t="s">
        <v>240</v>
      </c>
      <c r="DG2905" s="7">
        <f>0</f>
        <v>0</v>
      </c>
      <c r="DI2905" s="5" t="s">
        <v>240</v>
      </c>
      <c r="DJ2905" s="5" t="s">
        <v>240</v>
      </c>
      <c r="DK2905" s="5" t="s">
        <v>240</v>
      </c>
      <c r="DL2905" s="5" t="s">
        <v>240</v>
      </c>
      <c r="DM2905" s="5" t="s">
        <v>240</v>
      </c>
      <c r="DN2905" s="5" t="s">
        <v>240</v>
      </c>
      <c r="DO2905" s="7" t="s">
        <v>240</v>
      </c>
      <c r="DP2905" s="5" t="s">
        <v>240</v>
      </c>
      <c r="DQ2905" s="5" t="s">
        <v>240</v>
      </c>
      <c r="DR2905" s="5" t="s">
        <v>731</v>
      </c>
      <c r="DS2905" s="5" t="s">
        <v>731</v>
      </c>
      <c r="DT2905" s="5" t="s">
        <v>240</v>
      </c>
      <c r="DU2905" s="5" t="s">
        <v>240</v>
      </c>
      <c r="DV2905" s="5" t="s">
        <v>5063</v>
      </c>
      <c r="DW2905" s="5" t="s">
        <v>717</v>
      </c>
      <c r="DX2905" s="5" t="s">
        <v>240</v>
      </c>
      <c r="DY2905" s="5" t="s">
        <v>240</v>
      </c>
      <c r="DZ2905" s="5" t="s">
        <v>240</v>
      </c>
      <c r="EA2905" s="5" t="s">
        <v>240</v>
      </c>
      <c r="EB2905" s="5" t="s">
        <v>240</v>
      </c>
      <c r="EC2905" s="5" t="s">
        <v>240</v>
      </c>
      <c r="ED2905" s="5" t="s">
        <v>240</v>
      </c>
      <c r="EE2905" s="5" t="s">
        <v>240</v>
      </c>
      <c r="EF2905" s="5" t="s">
        <v>240</v>
      </c>
      <c r="EG2905" s="5" t="s">
        <v>240</v>
      </c>
      <c r="EH2905" s="5" t="s">
        <v>240</v>
      </c>
      <c r="EI2905" s="5" t="s">
        <v>240</v>
      </c>
      <c r="EJ2905" s="5" t="s">
        <v>240</v>
      </c>
      <c r="EK2905" s="5" t="s">
        <v>240</v>
      </c>
      <c r="EL2905" s="5" t="s">
        <v>240</v>
      </c>
      <c r="EM2905" s="5" t="s">
        <v>240</v>
      </c>
      <c r="EN2905" s="5" t="s">
        <v>240</v>
      </c>
      <c r="EO2905" s="5" t="s">
        <v>240</v>
      </c>
      <c r="EP2905" s="5" t="s">
        <v>240</v>
      </c>
      <c r="EQ2905" s="5" t="s">
        <v>240</v>
      </c>
      <c r="ER2905" s="5" t="s">
        <v>240</v>
      </c>
      <c r="ES2905" s="5" t="s">
        <v>240</v>
      </c>
      <c r="ET2905" s="5" t="s">
        <v>240</v>
      </c>
      <c r="EU2905" s="5" t="s">
        <v>240</v>
      </c>
      <c r="EV2905" s="5" t="s">
        <v>240</v>
      </c>
      <c r="EW2905" s="5" t="s">
        <v>240</v>
      </c>
      <c r="EX2905" s="5" t="s">
        <v>240</v>
      </c>
      <c r="EY2905" s="5" t="s">
        <v>240</v>
      </c>
      <c r="EZ2905" s="5" t="s">
        <v>240</v>
      </c>
      <c r="FA2905" s="5" t="s">
        <v>240</v>
      </c>
      <c r="FB2905" s="5" t="s">
        <v>240</v>
      </c>
      <c r="FC2905" s="5" t="s">
        <v>240</v>
      </c>
      <c r="FD2905" s="5" t="s">
        <v>240</v>
      </c>
      <c r="FE2905" s="5" t="s">
        <v>240</v>
      </c>
      <c r="FF2905" s="5" t="s">
        <v>240</v>
      </c>
      <c r="FG2905" s="5" t="s">
        <v>240</v>
      </c>
      <c r="FH2905" s="5" t="s">
        <v>240</v>
      </c>
      <c r="FI2905" s="5" t="s">
        <v>240</v>
      </c>
      <c r="FJ2905" s="5" t="s">
        <v>240</v>
      </c>
      <c r="FK2905" s="5" t="s">
        <v>240</v>
      </c>
      <c r="FL2905" s="5" t="s">
        <v>240</v>
      </c>
      <c r="FM2905" s="5" t="s">
        <v>240</v>
      </c>
      <c r="FN2905" s="5" t="s">
        <v>240</v>
      </c>
      <c r="FO2905" s="5" t="s">
        <v>240</v>
      </c>
      <c r="FP2905" s="5" t="s">
        <v>240</v>
      </c>
      <c r="FQ2905" s="5" t="s">
        <v>240</v>
      </c>
      <c r="FR2905" s="5" t="s">
        <v>240</v>
      </c>
      <c r="FS2905" s="5" t="s">
        <v>240</v>
      </c>
      <c r="FT2905" s="5" t="s">
        <v>240</v>
      </c>
      <c r="FU2905" s="5" t="s">
        <v>240</v>
      </c>
      <c r="FV2905" s="5" t="s">
        <v>240</v>
      </c>
      <c r="FW2905" s="5" t="s">
        <v>240</v>
      </c>
      <c r="FX2905" s="5" t="s">
        <v>240</v>
      </c>
      <c r="FY2905" s="5" t="s">
        <v>240</v>
      </c>
      <c r="FZ2905" s="5" t="s">
        <v>240</v>
      </c>
      <c r="GA2905" s="5" t="s">
        <v>240</v>
      </c>
      <c r="GB2905" s="5" t="s">
        <v>240</v>
      </c>
      <c r="GC2905" s="5" t="s">
        <v>240</v>
      </c>
      <c r="GD2905" s="5" t="s">
        <v>240</v>
      </c>
      <c r="GE2905" s="5" t="s">
        <v>240</v>
      </c>
      <c r="GF2905" s="5" t="s">
        <v>240</v>
      </c>
      <c r="GG2905" s="5" t="s">
        <v>240</v>
      </c>
      <c r="GH2905" s="5" t="s">
        <v>240</v>
      </c>
      <c r="GI2905" s="5" t="s">
        <v>240</v>
      </c>
      <c r="GJ2905" s="5" t="s">
        <v>240</v>
      </c>
      <c r="GK2905" s="5" t="s">
        <v>240</v>
      </c>
      <c r="GL2905" s="5" t="s">
        <v>240</v>
      </c>
      <c r="GM2905" s="5" t="s">
        <v>240</v>
      </c>
      <c r="GN2905" s="5" t="s">
        <v>240</v>
      </c>
      <c r="GO2905" s="5" t="s">
        <v>240</v>
      </c>
      <c r="GP2905" s="5" t="s">
        <v>240</v>
      </c>
      <c r="GQ2905" s="5" t="s">
        <v>240</v>
      </c>
      <c r="GR2905" s="5" t="s">
        <v>240</v>
      </c>
      <c r="GS2905" s="5" t="s">
        <v>240</v>
      </c>
      <c r="GT2905" s="5" t="s">
        <v>240</v>
      </c>
      <c r="GU2905" s="5" t="s">
        <v>240</v>
      </c>
      <c r="GV2905" s="5" t="s">
        <v>240</v>
      </c>
      <c r="GW2905" s="5" t="s">
        <v>240</v>
      </c>
      <c r="GX2905" s="5" t="s">
        <v>240</v>
      </c>
      <c r="GY2905" s="5" t="s">
        <v>240</v>
      </c>
      <c r="GZ2905" s="5" t="s">
        <v>240</v>
      </c>
      <c r="HA2905" s="5" t="s">
        <v>240</v>
      </c>
      <c r="HB2905" s="5" t="s">
        <v>240</v>
      </c>
      <c r="HC2905" s="5" t="s">
        <v>240</v>
      </c>
      <c r="HD2905" s="5" t="s">
        <v>240</v>
      </c>
      <c r="HE2905" s="5" t="s">
        <v>240</v>
      </c>
      <c r="HF2905" s="5" t="s">
        <v>240</v>
      </c>
      <c r="HG2905" s="5" t="s">
        <v>240</v>
      </c>
      <c r="HH2905" s="5" t="s">
        <v>240</v>
      </c>
      <c r="HI2905" s="5" t="s">
        <v>240</v>
      </c>
      <c r="HJ2905" s="5" t="s">
        <v>240</v>
      </c>
      <c r="HK2905" s="5" t="s">
        <v>240</v>
      </c>
      <c r="HL2905" s="5" t="s">
        <v>240</v>
      </c>
      <c r="HM2905" s="5" t="s">
        <v>240</v>
      </c>
      <c r="HN2905" s="5" t="s">
        <v>240</v>
      </c>
      <c r="HO2905" s="5" t="s">
        <v>312</v>
      </c>
      <c r="HP2905" s="5" t="s">
        <v>240</v>
      </c>
      <c r="HQ2905" s="5" t="s">
        <v>240</v>
      </c>
      <c r="HR2905" s="5" t="s">
        <v>240</v>
      </c>
      <c r="HS2905" s="5" t="s">
        <v>240</v>
      </c>
      <c r="HT2905" s="5" t="s">
        <v>240</v>
      </c>
      <c r="HU2905" s="5" t="s">
        <v>240</v>
      </c>
      <c r="HV2905" s="5" t="s">
        <v>240</v>
      </c>
      <c r="HW2905" s="5" t="s">
        <v>240</v>
      </c>
      <c r="HX2905" s="5" t="s">
        <v>240</v>
      </c>
      <c r="HY2905" s="5" t="s">
        <v>240</v>
      </c>
      <c r="HZ2905" s="5" t="s">
        <v>240</v>
      </c>
      <c r="IA2905" s="5" t="s">
        <v>240</v>
      </c>
      <c r="IB2905" s="5" t="s">
        <v>240</v>
      </c>
      <c r="IC2905" s="5" t="s">
        <v>240</v>
      </c>
      <c r="ID2905" s="5" t="s">
        <v>240</v>
      </c>
      <c r="IE2905" s="5" t="s">
        <v>240</v>
      </c>
      <c r="IF2905" s="5" t="s">
        <v>240</v>
      </c>
    </row>
    <row r="2906" spans="1:240" x14ac:dyDescent="0.4">
      <c r="A2906" s="5">
        <v>4610</v>
      </c>
      <c r="B2906" s="5">
        <v>1</v>
      </c>
      <c r="C2906" s="5">
        <v>1</v>
      </c>
      <c r="D2906" s="5" t="s">
        <v>810</v>
      </c>
      <c r="E2906" s="5" t="s">
        <v>245</v>
      </c>
      <c r="F2906" s="5" t="s">
        <v>254</v>
      </c>
      <c r="G2906" s="5" t="s">
        <v>240</v>
      </c>
      <c r="H2906" s="6" t="s">
        <v>2729</v>
      </c>
      <c r="I2906" s="5" t="s">
        <v>809</v>
      </c>
      <c r="J2906" s="8">
        <f>638</f>
        <v>638</v>
      </c>
      <c r="K2906" s="5" t="s">
        <v>308</v>
      </c>
      <c r="L2906" s="7">
        <f>1</f>
        <v>1</v>
      </c>
      <c r="M2906" s="7">
        <f>1</f>
        <v>1</v>
      </c>
      <c r="N2906" s="5" t="s">
        <v>242</v>
      </c>
      <c r="O2906" s="5">
        <v>1</v>
      </c>
      <c r="P2906" s="5" t="s">
        <v>294</v>
      </c>
      <c r="Q2906" s="5" t="s">
        <v>3678</v>
      </c>
      <c r="R2906" s="5" t="s">
        <v>240</v>
      </c>
      <c r="S2906" s="5" t="s">
        <v>240</v>
      </c>
      <c r="T2906" s="5" t="s">
        <v>243</v>
      </c>
      <c r="U2906" s="5" t="s">
        <v>244</v>
      </c>
      <c r="V2906" s="5" t="s">
        <v>240</v>
      </c>
      <c r="W2906" s="5" t="s">
        <v>240</v>
      </c>
      <c r="X2906" s="5" t="s">
        <v>240</v>
      </c>
      <c r="Y2906" s="5" t="s">
        <v>240</v>
      </c>
      <c r="Z2906" s="6" t="s">
        <v>298</v>
      </c>
      <c r="AA2906" s="6" t="s">
        <v>240</v>
      </c>
      <c r="AB2906" s="6" t="s">
        <v>240</v>
      </c>
      <c r="AC2906" s="5" t="s">
        <v>240</v>
      </c>
      <c r="AD2906" s="6" t="s">
        <v>240</v>
      </c>
      <c r="AE2906" s="6" t="s">
        <v>299</v>
      </c>
      <c r="AF2906" s="5" t="s">
        <v>248</v>
      </c>
      <c r="AG2906" s="5" t="s">
        <v>249</v>
      </c>
      <c r="AH2906" s="5" t="s">
        <v>240</v>
      </c>
      <c r="AI2906" s="5" t="s">
        <v>240</v>
      </c>
      <c r="AJ2906" s="5" t="s">
        <v>240</v>
      </c>
      <c r="AK2906" s="5" t="s">
        <v>240</v>
      </c>
      <c r="AL2906" s="5" t="s">
        <v>240</v>
      </c>
      <c r="AM2906" s="5" t="s">
        <v>240</v>
      </c>
      <c r="AN2906" s="5" t="s">
        <v>240</v>
      </c>
      <c r="AO2906" s="5" t="s">
        <v>240</v>
      </c>
      <c r="AP2906" s="6" t="s">
        <v>240</v>
      </c>
      <c r="AQ2906" s="6" t="s">
        <v>240</v>
      </c>
      <c r="AR2906" s="6" t="s">
        <v>240</v>
      </c>
      <c r="AS2906" s="6" t="s">
        <v>240</v>
      </c>
      <c r="AT2906" s="5" t="s">
        <v>240</v>
      </c>
      <c r="AU2906" s="5" t="s">
        <v>729</v>
      </c>
      <c r="AV2906" s="5" t="s">
        <v>729</v>
      </c>
      <c r="AW2906" s="5" t="s">
        <v>251</v>
      </c>
      <c r="AX2906" s="5" t="s">
        <v>252</v>
      </c>
      <c r="AY2906" s="5" t="s">
        <v>253</v>
      </c>
      <c r="AZ2906" s="5" t="s">
        <v>240</v>
      </c>
      <c r="BA2906" s="5" t="s">
        <v>255</v>
      </c>
      <c r="BB2906" s="5" t="s">
        <v>731</v>
      </c>
      <c r="BD2906" s="5" t="s">
        <v>240</v>
      </c>
      <c r="BF2906" s="5" t="s">
        <v>732</v>
      </c>
      <c r="BG2906" s="6" t="s">
        <v>733</v>
      </c>
      <c r="BH2906" s="5" t="s">
        <v>734</v>
      </c>
      <c r="BI2906" s="5" t="s">
        <v>734</v>
      </c>
      <c r="BJ2906" s="5" t="s">
        <v>240</v>
      </c>
      <c r="BK2906" s="7">
        <f>1</f>
        <v>1</v>
      </c>
      <c r="BL2906" s="7">
        <f>1</f>
        <v>1</v>
      </c>
      <c r="BM2906" s="5" t="s">
        <v>258</v>
      </c>
      <c r="BN2906" s="5" t="s">
        <v>259</v>
      </c>
      <c r="BO2906" s="5" t="s">
        <v>240</v>
      </c>
      <c r="BP2906" s="5" t="s">
        <v>240</v>
      </c>
      <c r="BQ2906" s="5" t="s">
        <v>240</v>
      </c>
      <c r="BR2906" s="5" t="s">
        <v>240</v>
      </c>
      <c r="BS2906" s="5" t="s">
        <v>240</v>
      </c>
      <c r="BT2906" s="5" t="s">
        <v>240</v>
      </c>
      <c r="BU2906" s="5" t="s">
        <v>240</v>
      </c>
      <c r="BV2906" s="5" t="s">
        <v>240</v>
      </c>
      <c r="BW2906" s="6" t="s">
        <v>240</v>
      </c>
      <c r="BX2906" s="5" t="s">
        <v>240</v>
      </c>
      <c r="BY2906" s="5" t="s">
        <v>240</v>
      </c>
      <c r="BZ2906" s="5" t="s">
        <v>240</v>
      </c>
      <c r="CA2906" s="5" t="s">
        <v>259</v>
      </c>
      <c r="CB2906" s="5" t="s">
        <v>240</v>
      </c>
      <c r="CC2906" s="5" t="s">
        <v>240</v>
      </c>
      <c r="CD2906" s="5" t="s">
        <v>240</v>
      </c>
      <c r="CE2906" s="5" t="s">
        <v>240</v>
      </c>
      <c r="CF2906" s="5" t="s">
        <v>240</v>
      </c>
      <c r="CG2906" s="5" t="s">
        <v>304</v>
      </c>
      <c r="CH2906" s="5" t="s">
        <v>305</v>
      </c>
      <c r="CI2906" s="5" t="s">
        <v>240</v>
      </c>
      <c r="CK2906" s="5" t="s">
        <v>3681</v>
      </c>
      <c r="CL2906" s="6" t="s">
        <v>261</v>
      </c>
      <c r="CM2906" s="5" t="s">
        <v>262</v>
      </c>
      <c r="CN2906" s="5" t="s">
        <v>263</v>
      </c>
      <c r="CO2906" s="5" t="s">
        <v>264</v>
      </c>
      <c r="CP2906" s="5" t="s">
        <v>240</v>
      </c>
      <c r="CQ2906" s="5">
        <v>0</v>
      </c>
      <c r="CR2906" s="5" t="s">
        <v>735</v>
      </c>
      <c r="CS2906" s="5" t="s">
        <v>307</v>
      </c>
      <c r="CT2906" s="5" t="s">
        <v>307</v>
      </c>
      <c r="CU2906" s="5" t="s">
        <v>260</v>
      </c>
      <c r="CV2906" s="5" t="s">
        <v>612</v>
      </c>
      <c r="CW2906" s="8">
        <f>1</f>
        <v>1</v>
      </c>
      <c r="CX2906" s="7">
        <f>1</f>
        <v>1</v>
      </c>
      <c r="CY2906" s="7">
        <f>0</f>
        <v>0</v>
      </c>
      <c r="DA2906" s="7">
        <f>1</f>
        <v>1</v>
      </c>
      <c r="DB2906" s="7" t="s">
        <v>240</v>
      </c>
      <c r="DC2906" s="5" t="s">
        <v>240</v>
      </c>
      <c r="DD2906" s="5" t="s">
        <v>240</v>
      </c>
      <c r="DE2906" s="5" t="s">
        <v>240</v>
      </c>
      <c r="DF2906" s="5" t="s">
        <v>240</v>
      </c>
      <c r="DG2906" s="7">
        <f>0</f>
        <v>0</v>
      </c>
      <c r="DI2906" s="5" t="s">
        <v>240</v>
      </c>
      <c r="DJ2906" s="5" t="s">
        <v>240</v>
      </c>
      <c r="DK2906" s="5" t="s">
        <v>240</v>
      </c>
      <c r="DL2906" s="5" t="s">
        <v>240</v>
      </c>
      <c r="DM2906" s="5" t="s">
        <v>240</v>
      </c>
      <c r="DN2906" s="5" t="s">
        <v>240</v>
      </c>
      <c r="DO2906" s="7" t="s">
        <v>240</v>
      </c>
      <c r="DP2906" s="5" t="s">
        <v>240</v>
      </c>
      <c r="DQ2906" s="5" t="s">
        <v>240</v>
      </c>
      <c r="DR2906" s="5" t="s">
        <v>731</v>
      </c>
      <c r="DS2906" s="5" t="s">
        <v>731</v>
      </c>
      <c r="DT2906" s="5" t="s">
        <v>240</v>
      </c>
      <c r="DU2906" s="5" t="s">
        <v>240</v>
      </c>
      <c r="DV2906" s="5" t="s">
        <v>3683</v>
      </c>
      <c r="DW2906" s="5" t="s">
        <v>426</v>
      </c>
      <c r="DX2906" s="5" t="s">
        <v>240</v>
      </c>
      <c r="DY2906" s="5" t="s">
        <v>240</v>
      </c>
      <c r="DZ2906" s="5" t="s">
        <v>240</v>
      </c>
      <c r="EA2906" s="5" t="s">
        <v>240</v>
      </c>
      <c r="EB2906" s="5" t="s">
        <v>240</v>
      </c>
      <c r="EC2906" s="5" t="s">
        <v>240</v>
      </c>
      <c r="ED2906" s="5" t="s">
        <v>240</v>
      </c>
      <c r="EE2906" s="5" t="s">
        <v>240</v>
      </c>
      <c r="EF2906" s="5" t="s">
        <v>240</v>
      </c>
      <c r="EG2906" s="5" t="s">
        <v>240</v>
      </c>
      <c r="EH2906" s="5" t="s">
        <v>240</v>
      </c>
      <c r="EI2906" s="5" t="s">
        <v>240</v>
      </c>
      <c r="EJ2906" s="5" t="s">
        <v>240</v>
      </c>
      <c r="EK2906" s="5" t="s">
        <v>240</v>
      </c>
      <c r="EL2906" s="5" t="s">
        <v>240</v>
      </c>
      <c r="EM2906" s="5" t="s">
        <v>240</v>
      </c>
      <c r="EN2906" s="5" t="s">
        <v>240</v>
      </c>
      <c r="EO2906" s="5" t="s">
        <v>240</v>
      </c>
      <c r="EP2906" s="5" t="s">
        <v>240</v>
      </c>
      <c r="EQ2906" s="5" t="s">
        <v>240</v>
      </c>
      <c r="ER2906" s="5" t="s">
        <v>240</v>
      </c>
      <c r="ES2906" s="5" t="s">
        <v>240</v>
      </c>
      <c r="ET2906" s="5" t="s">
        <v>240</v>
      </c>
      <c r="EU2906" s="5" t="s">
        <v>240</v>
      </c>
      <c r="EV2906" s="5" t="s">
        <v>240</v>
      </c>
      <c r="EW2906" s="5" t="s">
        <v>240</v>
      </c>
      <c r="EX2906" s="5" t="s">
        <v>240</v>
      </c>
      <c r="EY2906" s="5" t="s">
        <v>240</v>
      </c>
      <c r="EZ2906" s="5" t="s">
        <v>240</v>
      </c>
      <c r="FA2906" s="5" t="s">
        <v>240</v>
      </c>
      <c r="FB2906" s="5" t="s">
        <v>240</v>
      </c>
      <c r="FC2906" s="5" t="s">
        <v>240</v>
      </c>
      <c r="FD2906" s="5" t="s">
        <v>240</v>
      </c>
      <c r="FE2906" s="5" t="s">
        <v>240</v>
      </c>
      <c r="FF2906" s="5" t="s">
        <v>240</v>
      </c>
      <c r="FG2906" s="5" t="s">
        <v>240</v>
      </c>
      <c r="FH2906" s="5" t="s">
        <v>240</v>
      </c>
      <c r="FI2906" s="5" t="s">
        <v>240</v>
      </c>
      <c r="FJ2906" s="5" t="s">
        <v>240</v>
      </c>
      <c r="FK2906" s="5" t="s">
        <v>240</v>
      </c>
      <c r="FL2906" s="5" t="s">
        <v>240</v>
      </c>
      <c r="FM2906" s="5" t="s">
        <v>240</v>
      </c>
      <c r="FN2906" s="5" t="s">
        <v>240</v>
      </c>
      <c r="FO2906" s="5" t="s">
        <v>240</v>
      </c>
      <c r="FP2906" s="5" t="s">
        <v>240</v>
      </c>
      <c r="FQ2906" s="5" t="s">
        <v>240</v>
      </c>
      <c r="FR2906" s="5" t="s">
        <v>240</v>
      </c>
      <c r="FS2906" s="5" t="s">
        <v>240</v>
      </c>
      <c r="FT2906" s="5" t="s">
        <v>240</v>
      </c>
      <c r="FU2906" s="5" t="s">
        <v>240</v>
      </c>
      <c r="FV2906" s="5" t="s">
        <v>240</v>
      </c>
      <c r="FW2906" s="5" t="s">
        <v>240</v>
      </c>
      <c r="FX2906" s="5" t="s">
        <v>240</v>
      </c>
      <c r="FY2906" s="5" t="s">
        <v>240</v>
      </c>
      <c r="FZ2906" s="5" t="s">
        <v>240</v>
      </c>
      <c r="GA2906" s="5" t="s">
        <v>240</v>
      </c>
      <c r="GB2906" s="5" t="s">
        <v>240</v>
      </c>
      <c r="GC2906" s="5" t="s">
        <v>240</v>
      </c>
      <c r="GD2906" s="5" t="s">
        <v>240</v>
      </c>
      <c r="GE2906" s="5" t="s">
        <v>240</v>
      </c>
      <c r="GF2906" s="5" t="s">
        <v>240</v>
      </c>
      <c r="GG2906" s="5" t="s">
        <v>240</v>
      </c>
      <c r="GH2906" s="5" t="s">
        <v>240</v>
      </c>
      <c r="GI2906" s="5" t="s">
        <v>240</v>
      </c>
      <c r="GJ2906" s="5" t="s">
        <v>240</v>
      </c>
      <c r="GK2906" s="5" t="s">
        <v>240</v>
      </c>
      <c r="GL2906" s="5" t="s">
        <v>240</v>
      </c>
      <c r="GM2906" s="5" t="s">
        <v>240</v>
      </c>
      <c r="GN2906" s="5" t="s">
        <v>240</v>
      </c>
      <c r="GO2906" s="5" t="s">
        <v>240</v>
      </c>
      <c r="GP2906" s="5" t="s">
        <v>240</v>
      </c>
      <c r="GQ2906" s="5" t="s">
        <v>240</v>
      </c>
      <c r="GR2906" s="5" t="s">
        <v>240</v>
      </c>
      <c r="GS2906" s="5" t="s">
        <v>240</v>
      </c>
      <c r="GT2906" s="5" t="s">
        <v>240</v>
      </c>
      <c r="GU2906" s="5" t="s">
        <v>240</v>
      </c>
      <c r="GV2906" s="5" t="s">
        <v>240</v>
      </c>
      <c r="GW2906" s="5" t="s">
        <v>240</v>
      </c>
      <c r="GX2906" s="5" t="s">
        <v>240</v>
      </c>
      <c r="GY2906" s="5" t="s">
        <v>240</v>
      </c>
      <c r="GZ2906" s="5" t="s">
        <v>240</v>
      </c>
      <c r="HA2906" s="5" t="s">
        <v>240</v>
      </c>
      <c r="HB2906" s="5" t="s">
        <v>240</v>
      </c>
      <c r="HC2906" s="5" t="s">
        <v>240</v>
      </c>
      <c r="HD2906" s="5" t="s">
        <v>240</v>
      </c>
      <c r="HE2906" s="5" t="s">
        <v>240</v>
      </c>
      <c r="HF2906" s="5" t="s">
        <v>240</v>
      </c>
      <c r="HG2906" s="5" t="s">
        <v>240</v>
      </c>
      <c r="HH2906" s="5" t="s">
        <v>240</v>
      </c>
      <c r="HI2906" s="5" t="s">
        <v>240</v>
      </c>
      <c r="HJ2906" s="5" t="s">
        <v>240</v>
      </c>
      <c r="HK2906" s="5" t="s">
        <v>240</v>
      </c>
      <c r="HL2906" s="5" t="s">
        <v>240</v>
      </c>
      <c r="HM2906" s="5" t="s">
        <v>240</v>
      </c>
      <c r="HN2906" s="5" t="s">
        <v>240</v>
      </c>
      <c r="HO2906" s="5" t="s">
        <v>312</v>
      </c>
      <c r="HP2906" s="5" t="s">
        <v>240</v>
      </c>
      <c r="HQ2906" s="5" t="s">
        <v>240</v>
      </c>
      <c r="HR2906" s="5" t="s">
        <v>240</v>
      </c>
      <c r="HS2906" s="5" t="s">
        <v>240</v>
      </c>
      <c r="HT2906" s="5" t="s">
        <v>240</v>
      </c>
      <c r="HU2906" s="5" t="s">
        <v>240</v>
      </c>
      <c r="HV2906" s="5" t="s">
        <v>240</v>
      </c>
      <c r="HW2906" s="5" t="s">
        <v>240</v>
      </c>
      <c r="HX2906" s="5" t="s">
        <v>240</v>
      </c>
      <c r="HY2906" s="5" t="s">
        <v>240</v>
      </c>
      <c r="HZ2906" s="5" t="s">
        <v>240</v>
      </c>
      <c r="IA2906" s="5" t="s">
        <v>240</v>
      </c>
      <c r="IB2906" s="5" t="s">
        <v>240</v>
      </c>
      <c r="IC2906" s="5" t="s">
        <v>240</v>
      </c>
      <c r="ID2906" s="5" t="s">
        <v>240</v>
      </c>
      <c r="IE2906" s="5" t="s">
        <v>240</v>
      </c>
      <c r="IF2906" s="5" t="s">
        <v>240</v>
      </c>
    </row>
    <row r="2907" spans="1:240" x14ac:dyDescent="0.4">
      <c r="A2907" s="5">
        <v>4611</v>
      </c>
      <c r="B2907" s="5">
        <v>1</v>
      </c>
      <c r="C2907" s="5">
        <v>1</v>
      </c>
      <c r="D2907" s="5" t="s">
        <v>810</v>
      </c>
      <c r="E2907" s="5" t="s">
        <v>245</v>
      </c>
      <c r="F2907" s="5" t="s">
        <v>254</v>
      </c>
      <c r="G2907" s="5" t="s">
        <v>240</v>
      </c>
      <c r="H2907" s="6" t="s">
        <v>2727</v>
      </c>
      <c r="I2907" s="5" t="s">
        <v>809</v>
      </c>
      <c r="J2907" s="8">
        <f>169</f>
        <v>169</v>
      </c>
      <c r="K2907" s="5" t="s">
        <v>308</v>
      </c>
      <c r="L2907" s="7">
        <f>1</f>
        <v>1</v>
      </c>
      <c r="M2907" s="7">
        <f>1</f>
        <v>1</v>
      </c>
      <c r="N2907" s="5" t="s">
        <v>242</v>
      </c>
      <c r="O2907" s="5">
        <v>1</v>
      </c>
      <c r="P2907" s="5" t="s">
        <v>294</v>
      </c>
      <c r="Q2907" s="5" t="s">
        <v>3678</v>
      </c>
      <c r="R2907" s="5" t="s">
        <v>240</v>
      </c>
      <c r="S2907" s="5" t="s">
        <v>240</v>
      </c>
      <c r="T2907" s="5" t="s">
        <v>243</v>
      </c>
      <c r="U2907" s="5" t="s">
        <v>244</v>
      </c>
      <c r="V2907" s="5" t="s">
        <v>240</v>
      </c>
      <c r="W2907" s="5" t="s">
        <v>240</v>
      </c>
      <c r="X2907" s="5" t="s">
        <v>240</v>
      </c>
      <c r="Y2907" s="5" t="s">
        <v>240</v>
      </c>
      <c r="Z2907" s="6" t="s">
        <v>298</v>
      </c>
      <c r="AA2907" s="6" t="s">
        <v>240</v>
      </c>
      <c r="AB2907" s="6" t="s">
        <v>240</v>
      </c>
      <c r="AC2907" s="5" t="s">
        <v>240</v>
      </c>
      <c r="AD2907" s="6" t="s">
        <v>240</v>
      </c>
      <c r="AE2907" s="6" t="s">
        <v>299</v>
      </c>
      <c r="AF2907" s="5" t="s">
        <v>248</v>
      </c>
      <c r="AG2907" s="5" t="s">
        <v>249</v>
      </c>
      <c r="AH2907" s="5" t="s">
        <v>240</v>
      </c>
      <c r="AI2907" s="5" t="s">
        <v>240</v>
      </c>
      <c r="AJ2907" s="5" t="s">
        <v>240</v>
      </c>
      <c r="AK2907" s="5" t="s">
        <v>240</v>
      </c>
      <c r="AL2907" s="5" t="s">
        <v>240</v>
      </c>
      <c r="AM2907" s="5" t="s">
        <v>240</v>
      </c>
      <c r="AN2907" s="5" t="s">
        <v>240</v>
      </c>
      <c r="AO2907" s="5" t="s">
        <v>240</v>
      </c>
      <c r="AP2907" s="6" t="s">
        <v>240</v>
      </c>
      <c r="AQ2907" s="6" t="s">
        <v>240</v>
      </c>
      <c r="AR2907" s="6" t="s">
        <v>240</v>
      </c>
      <c r="AS2907" s="6" t="s">
        <v>240</v>
      </c>
      <c r="AT2907" s="5" t="s">
        <v>240</v>
      </c>
      <c r="AU2907" s="5" t="s">
        <v>729</v>
      </c>
      <c r="AV2907" s="5" t="s">
        <v>729</v>
      </c>
      <c r="AW2907" s="5" t="s">
        <v>251</v>
      </c>
      <c r="AX2907" s="5" t="s">
        <v>252</v>
      </c>
      <c r="AY2907" s="5" t="s">
        <v>253</v>
      </c>
      <c r="AZ2907" s="5" t="s">
        <v>240</v>
      </c>
      <c r="BA2907" s="5" t="s">
        <v>255</v>
      </c>
      <c r="BB2907" s="5" t="s">
        <v>731</v>
      </c>
      <c r="BD2907" s="5" t="s">
        <v>240</v>
      </c>
      <c r="BF2907" s="5" t="s">
        <v>732</v>
      </c>
      <c r="BG2907" s="6" t="s">
        <v>733</v>
      </c>
      <c r="BH2907" s="5" t="s">
        <v>734</v>
      </c>
      <c r="BI2907" s="5" t="s">
        <v>734</v>
      </c>
      <c r="BJ2907" s="5" t="s">
        <v>240</v>
      </c>
      <c r="BK2907" s="7">
        <f>1</f>
        <v>1</v>
      </c>
      <c r="BL2907" s="7">
        <f>1</f>
        <v>1</v>
      </c>
      <c r="BM2907" s="5" t="s">
        <v>258</v>
      </c>
      <c r="BN2907" s="5" t="s">
        <v>259</v>
      </c>
      <c r="BO2907" s="5" t="s">
        <v>240</v>
      </c>
      <c r="BP2907" s="5" t="s">
        <v>240</v>
      </c>
      <c r="BQ2907" s="5" t="s">
        <v>240</v>
      </c>
      <c r="BR2907" s="5" t="s">
        <v>240</v>
      </c>
      <c r="BS2907" s="5" t="s">
        <v>240</v>
      </c>
      <c r="BT2907" s="5" t="s">
        <v>240</v>
      </c>
      <c r="BU2907" s="5" t="s">
        <v>240</v>
      </c>
      <c r="BV2907" s="5" t="s">
        <v>240</v>
      </c>
      <c r="BW2907" s="6" t="s">
        <v>240</v>
      </c>
      <c r="BX2907" s="5" t="s">
        <v>240</v>
      </c>
      <c r="BY2907" s="5" t="s">
        <v>240</v>
      </c>
      <c r="BZ2907" s="5" t="s">
        <v>240</v>
      </c>
      <c r="CA2907" s="5" t="s">
        <v>259</v>
      </c>
      <c r="CB2907" s="5" t="s">
        <v>240</v>
      </c>
      <c r="CC2907" s="5" t="s">
        <v>240</v>
      </c>
      <c r="CD2907" s="5" t="s">
        <v>240</v>
      </c>
      <c r="CE2907" s="5" t="s">
        <v>240</v>
      </c>
      <c r="CF2907" s="5" t="s">
        <v>240</v>
      </c>
      <c r="CG2907" s="5" t="s">
        <v>304</v>
      </c>
      <c r="CH2907" s="5" t="s">
        <v>305</v>
      </c>
      <c r="CI2907" s="5" t="s">
        <v>240</v>
      </c>
      <c r="CK2907" s="5" t="s">
        <v>3681</v>
      </c>
      <c r="CL2907" s="6" t="s">
        <v>261</v>
      </c>
      <c r="CM2907" s="5" t="s">
        <v>262</v>
      </c>
      <c r="CN2907" s="5" t="s">
        <v>263</v>
      </c>
      <c r="CO2907" s="5" t="s">
        <v>264</v>
      </c>
      <c r="CP2907" s="5" t="s">
        <v>240</v>
      </c>
      <c r="CQ2907" s="5">
        <v>0</v>
      </c>
      <c r="CR2907" s="5" t="s">
        <v>735</v>
      </c>
      <c r="CS2907" s="5" t="s">
        <v>307</v>
      </c>
      <c r="CT2907" s="5" t="s">
        <v>307</v>
      </c>
      <c r="CU2907" s="5" t="s">
        <v>260</v>
      </c>
      <c r="CV2907" s="5" t="s">
        <v>612</v>
      </c>
      <c r="CW2907" s="8">
        <f>1</f>
        <v>1</v>
      </c>
      <c r="CX2907" s="7">
        <f>1</f>
        <v>1</v>
      </c>
      <c r="CY2907" s="7">
        <f>0</f>
        <v>0</v>
      </c>
      <c r="DA2907" s="7">
        <f>1</f>
        <v>1</v>
      </c>
      <c r="DB2907" s="7" t="s">
        <v>240</v>
      </c>
      <c r="DC2907" s="5" t="s">
        <v>240</v>
      </c>
      <c r="DD2907" s="5" t="s">
        <v>240</v>
      </c>
      <c r="DE2907" s="5" t="s">
        <v>240</v>
      </c>
      <c r="DF2907" s="5" t="s">
        <v>240</v>
      </c>
      <c r="DG2907" s="7">
        <f>0</f>
        <v>0</v>
      </c>
      <c r="DI2907" s="5" t="s">
        <v>240</v>
      </c>
      <c r="DJ2907" s="5" t="s">
        <v>240</v>
      </c>
      <c r="DK2907" s="5" t="s">
        <v>240</v>
      </c>
      <c r="DL2907" s="5" t="s">
        <v>240</v>
      </c>
      <c r="DM2907" s="5" t="s">
        <v>240</v>
      </c>
      <c r="DN2907" s="5" t="s">
        <v>240</v>
      </c>
      <c r="DO2907" s="7" t="s">
        <v>240</v>
      </c>
      <c r="DP2907" s="5" t="s">
        <v>240</v>
      </c>
      <c r="DQ2907" s="5" t="s">
        <v>240</v>
      </c>
      <c r="DR2907" s="5" t="s">
        <v>731</v>
      </c>
      <c r="DS2907" s="5" t="s">
        <v>731</v>
      </c>
      <c r="DT2907" s="5" t="s">
        <v>240</v>
      </c>
      <c r="DU2907" s="5" t="s">
        <v>240</v>
      </c>
      <c r="DV2907" s="5" t="s">
        <v>5063</v>
      </c>
      <c r="DW2907" s="5" t="s">
        <v>709</v>
      </c>
      <c r="DX2907" s="5" t="s">
        <v>240</v>
      </c>
      <c r="DY2907" s="5" t="s">
        <v>240</v>
      </c>
      <c r="DZ2907" s="5" t="s">
        <v>240</v>
      </c>
      <c r="EA2907" s="5" t="s">
        <v>240</v>
      </c>
      <c r="EB2907" s="5" t="s">
        <v>240</v>
      </c>
      <c r="EC2907" s="5" t="s">
        <v>240</v>
      </c>
      <c r="ED2907" s="5" t="s">
        <v>240</v>
      </c>
      <c r="EE2907" s="5" t="s">
        <v>240</v>
      </c>
      <c r="EF2907" s="5" t="s">
        <v>240</v>
      </c>
      <c r="EG2907" s="5" t="s">
        <v>240</v>
      </c>
      <c r="EH2907" s="5" t="s">
        <v>240</v>
      </c>
      <c r="EI2907" s="5" t="s">
        <v>240</v>
      </c>
      <c r="EJ2907" s="5" t="s">
        <v>240</v>
      </c>
      <c r="EK2907" s="5" t="s">
        <v>240</v>
      </c>
      <c r="EL2907" s="5" t="s">
        <v>240</v>
      </c>
      <c r="EM2907" s="5" t="s">
        <v>240</v>
      </c>
      <c r="EN2907" s="5" t="s">
        <v>240</v>
      </c>
      <c r="EO2907" s="5" t="s">
        <v>240</v>
      </c>
      <c r="EP2907" s="5" t="s">
        <v>240</v>
      </c>
      <c r="EQ2907" s="5" t="s">
        <v>240</v>
      </c>
      <c r="ER2907" s="5" t="s">
        <v>240</v>
      </c>
      <c r="ES2907" s="5" t="s">
        <v>240</v>
      </c>
      <c r="ET2907" s="5" t="s">
        <v>240</v>
      </c>
      <c r="EU2907" s="5" t="s">
        <v>240</v>
      </c>
      <c r="EV2907" s="5" t="s">
        <v>240</v>
      </c>
      <c r="EW2907" s="5" t="s">
        <v>240</v>
      </c>
      <c r="EX2907" s="5" t="s">
        <v>240</v>
      </c>
      <c r="EY2907" s="5" t="s">
        <v>240</v>
      </c>
      <c r="EZ2907" s="5" t="s">
        <v>240</v>
      </c>
      <c r="FA2907" s="5" t="s">
        <v>240</v>
      </c>
      <c r="FB2907" s="5" t="s">
        <v>240</v>
      </c>
      <c r="FC2907" s="5" t="s">
        <v>240</v>
      </c>
      <c r="FD2907" s="5" t="s">
        <v>240</v>
      </c>
      <c r="FE2907" s="5" t="s">
        <v>240</v>
      </c>
      <c r="FF2907" s="5" t="s">
        <v>240</v>
      </c>
      <c r="FG2907" s="5" t="s">
        <v>240</v>
      </c>
      <c r="FH2907" s="5" t="s">
        <v>240</v>
      </c>
      <c r="FI2907" s="5" t="s">
        <v>240</v>
      </c>
      <c r="FJ2907" s="5" t="s">
        <v>240</v>
      </c>
      <c r="FK2907" s="5" t="s">
        <v>240</v>
      </c>
      <c r="FL2907" s="5" t="s">
        <v>240</v>
      </c>
      <c r="FM2907" s="5" t="s">
        <v>240</v>
      </c>
      <c r="FN2907" s="5" t="s">
        <v>240</v>
      </c>
      <c r="FO2907" s="5" t="s">
        <v>240</v>
      </c>
      <c r="FP2907" s="5" t="s">
        <v>240</v>
      </c>
      <c r="FQ2907" s="5" t="s">
        <v>240</v>
      </c>
      <c r="FR2907" s="5" t="s">
        <v>240</v>
      </c>
      <c r="FS2907" s="5" t="s">
        <v>240</v>
      </c>
      <c r="FT2907" s="5" t="s">
        <v>240</v>
      </c>
      <c r="FU2907" s="5" t="s">
        <v>240</v>
      </c>
      <c r="FV2907" s="5" t="s">
        <v>240</v>
      </c>
      <c r="FW2907" s="5" t="s">
        <v>240</v>
      </c>
      <c r="FX2907" s="5" t="s">
        <v>240</v>
      </c>
      <c r="FY2907" s="5" t="s">
        <v>240</v>
      </c>
      <c r="FZ2907" s="5" t="s">
        <v>240</v>
      </c>
      <c r="GA2907" s="5" t="s">
        <v>240</v>
      </c>
      <c r="GB2907" s="5" t="s">
        <v>240</v>
      </c>
      <c r="GC2907" s="5" t="s">
        <v>240</v>
      </c>
      <c r="GD2907" s="5" t="s">
        <v>240</v>
      </c>
      <c r="GE2907" s="5" t="s">
        <v>240</v>
      </c>
      <c r="GF2907" s="5" t="s">
        <v>240</v>
      </c>
      <c r="GG2907" s="5" t="s">
        <v>240</v>
      </c>
      <c r="GH2907" s="5" t="s">
        <v>240</v>
      </c>
      <c r="GI2907" s="5" t="s">
        <v>240</v>
      </c>
      <c r="GJ2907" s="5" t="s">
        <v>240</v>
      </c>
      <c r="GK2907" s="5" t="s">
        <v>240</v>
      </c>
      <c r="GL2907" s="5" t="s">
        <v>240</v>
      </c>
      <c r="GM2907" s="5" t="s">
        <v>240</v>
      </c>
      <c r="GN2907" s="5" t="s">
        <v>240</v>
      </c>
      <c r="GO2907" s="5" t="s">
        <v>240</v>
      </c>
      <c r="GP2907" s="5" t="s">
        <v>240</v>
      </c>
      <c r="GQ2907" s="5" t="s">
        <v>240</v>
      </c>
      <c r="GR2907" s="5" t="s">
        <v>240</v>
      </c>
      <c r="GS2907" s="5" t="s">
        <v>240</v>
      </c>
      <c r="GT2907" s="5" t="s">
        <v>240</v>
      </c>
      <c r="GU2907" s="5" t="s">
        <v>240</v>
      </c>
      <c r="GV2907" s="5" t="s">
        <v>240</v>
      </c>
      <c r="GW2907" s="5" t="s">
        <v>240</v>
      </c>
      <c r="GX2907" s="5" t="s">
        <v>240</v>
      </c>
      <c r="GY2907" s="5" t="s">
        <v>240</v>
      </c>
      <c r="GZ2907" s="5" t="s">
        <v>240</v>
      </c>
      <c r="HA2907" s="5" t="s">
        <v>240</v>
      </c>
      <c r="HB2907" s="5" t="s">
        <v>240</v>
      </c>
      <c r="HC2907" s="5" t="s">
        <v>240</v>
      </c>
      <c r="HD2907" s="5" t="s">
        <v>240</v>
      </c>
      <c r="HE2907" s="5" t="s">
        <v>240</v>
      </c>
      <c r="HF2907" s="5" t="s">
        <v>240</v>
      </c>
      <c r="HG2907" s="5" t="s">
        <v>240</v>
      </c>
      <c r="HH2907" s="5" t="s">
        <v>240</v>
      </c>
      <c r="HI2907" s="5" t="s">
        <v>240</v>
      </c>
      <c r="HJ2907" s="5" t="s">
        <v>240</v>
      </c>
      <c r="HK2907" s="5" t="s">
        <v>240</v>
      </c>
      <c r="HL2907" s="5" t="s">
        <v>240</v>
      </c>
      <c r="HM2907" s="5" t="s">
        <v>240</v>
      </c>
      <c r="HN2907" s="5" t="s">
        <v>240</v>
      </c>
      <c r="HO2907" s="5" t="s">
        <v>312</v>
      </c>
      <c r="HP2907" s="5" t="s">
        <v>240</v>
      </c>
      <c r="HQ2907" s="5" t="s">
        <v>240</v>
      </c>
      <c r="HR2907" s="5" t="s">
        <v>240</v>
      </c>
      <c r="HS2907" s="5" t="s">
        <v>240</v>
      </c>
      <c r="HT2907" s="5" t="s">
        <v>240</v>
      </c>
      <c r="HU2907" s="5" t="s">
        <v>240</v>
      </c>
      <c r="HV2907" s="5" t="s">
        <v>240</v>
      </c>
      <c r="HW2907" s="5" t="s">
        <v>240</v>
      </c>
      <c r="HX2907" s="5" t="s">
        <v>240</v>
      </c>
      <c r="HY2907" s="5" t="s">
        <v>240</v>
      </c>
      <c r="HZ2907" s="5" t="s">
        <v>240</v>
      </c>
      <c r="IA2907" s="5" t="s">
        <v>240</v>
      </c>
      <c r="IB2907" s="5" t="s">
        <v>240</v>
      </c>
      <c r="IC2907" s="5" t="s">
        <v>240</v>
      </c>
      <c r="ID2907" s="5" t="s">
        <v>240</v>
      </c>
      <c r="IE2907" s="5" t="s">
        <v>240</v>
      </c>
      <c r="IF2907" s="5" t="s">
        <v>240</v>
      </c>
    </row>
    <row r="2908" spans="1:240" x14ac:dyDescent="0.4">
      <c r="A2908" s="5">
        <v>4612</v>
      </c>
      <c r="B2908" s="5">
        <v>1</v>
      </c>
      <c r="C2908" s="5">
        <v>1</v>
      </c>
      <c r="D2908" s="5" t="s">
        <v>810</v>
      </c>
      <c r="E2908" s="5" t="s">
        <v>245</v>
      </c>
      <c r="F2908" s="5" t="s">
        <v>254</v>
      </c>
      <c r="G2908" s="5" t="s">
        <v>240</v>
      </c>
      <c r="H2908" s="6" t="s">
        <v>2725</v>
      </c>
      <c r="I2908" s="5" t="s">
        <v>809</v>
      </c>
      <c r="J2908" s="8">
        <f>334</f>
        <v>334</v>
      </c>
      <c r="K2908" s="5" t="s">
        <v>308</v>
      </c>
      <c r="L2908" s="7">
        <f>1</f>
        <v>1</v>
      </c>
      <c r="M2908" s="7">
        <f>1</f>
        <v>1</v>
      </c>
      <c r="N2908" s="5" t="s">
        <v>242</v>
      </c>
      <c r="O2908" s="5">
        <v>1</v>
      </c>
      <c r="P2908" s="5" t="s">
        <v>294</v>
      </c>
      <c r="Q2908" s="5" t="s">
        <v>266</v>
      </c>
      <c r="R2908" s="5" t="s">
        <v>240</v>
      </c>
      <c r="S2908" s="5" t="s">
        <v>240</v>
      </c>
      <c r="T2908" s="5" t="s">
        <v>296</v>
      </c>
      <c r="U2908" s="5" t="s">
        <v>244</v>
      </c>
      <c r="V2908" s="5" t="s">
        <v>240</v>
      </c>
      <c r="Y2908" s="5" t="s">
        <v>240</v>
      </c>
      <c r="Z2908" s="6" t="s">
        <v>298</v>
      </c>
      <c r="AB2908" s="6" t="s">
        <v>240</v>
      </c>
      <c r="AE2908" s="6" t="s">
        <v>299</v>
      </c>
      <c r="AF2908" s="5" t="s">
        <v>248</v>
      </c>
      <c r="AG2908" s="5" t="s">
        <v>249</v>
      </c>
      <c r="AW2908" s="5" t="s">
        <v>251</v>
      </c>
      <c r="AX2908" s="5" t="s">
        <v>240</v>
      </c>
      <c r="AY2908" s="5" t="s">
        <v>253</v>
      </c>
      <c r="AZ2908" s="5" t="s">
        <v>240</v>
      </c>
      <c r="BA2908" s="5" t="s">
        <v>255</v>
      </c>
      <c r="BB2908" s="5" t="s">
        <v>240</v>
      </c>
      <c r="BD2908" s="5" t="s">
        <v>240</v>
      </c>
      <c r="BF2908" s="5" t="s">
        <v>301</v>
      </c>
      <c r="BG2908" s="6" t="s">
        <v>299</v>
      </c>
      <c r="BH2908" s="5" t="s">
        <v>302</v>
      </c>
      <c r="BI2908" s="5" t="s">
        <v>303</v>
      </c>
      <c r="BJ2908" s="5" t="s">
        <v>240</v>
      </c>
      <c r="BK2908" s="8">
        <f>0</f>
        <v>0</v>
      </c>
      <c r="BL2908" s="7">
        <f>0</f>
        <v>0</v>
      </c>
      <c r="BM2908" s="5" t="s">
        <v>258</v>
      </c>
      <c r="BN2908" s="5" t="s">
        <v>259</v>
      </c>
      <c r="CB2908" s="5" t="s">
        <v>240</v>
      </c>
      <c r="CC2908" s="5" t="s">
        <v>240</v>
      </c>
      <c r="CG2908" s="5" t="s">
        <v>304</v>
      </c>
      <c r="CH2908" s="5" t="s">
        <v>305</v>
      </c>
      <c r="CI2908" s="5" t="s">
        <v>240</v>
      </c>
      <c r="CL2908" s="6" t="s">
        <v>261</v>
      </c>
      <c r="CM2908" s="5" t="s">
        <v>240</v>
      </c>
      <c r="CN2908" s="5" t="s">
        <v>263</v>
      </c>
      <c r="CO2908" s="5" t="s">
        <v>240</v>
      </c>
      <c r="CP2908" s="5" t="s">
        <v>240</v>
      </c>
      <c r="CQ2908" s="5">
        <v>0</v>
      </c>
      <c r="CR2908" s="5" t="s">
        <v>306</v>
      </c>
      <c r="CS2908" s="5" t="s">
        <v>307</v>
      </c>
      <c r="CT2908" s="5" t="s">
        <v>307</v>
      </c>
      <c r="CU2908" s="5" t="s">
        <v>260</v>
      </c>
      <c r="CX2908" s="7">
        <f>1</f>
        <v>1</v>
      </c>
      <c r="CY2908" s="7">
        <f>0</f>
        <v>0</v>
      </c>
      <c r="DA2908" s="7">
        <f>0</f>
        <v>0</v>
      </c>
      <c r="DC2908" s="5" t="s">
        <v>309</v>
      </c>
      <c r="DD2908" s="5" t="s">
        <v>240</v>
      </c>
      <c r="DF2908" s="5" t="s">
        <v>309</v>
      </c>
      <c r="DG2908" s="7">
        <f>1640</f>
        <v>1640</v>
      </c>
      <c r="DI2908" s="5" t="s">
        <v>240</v>
      </c>
      <c r="DJ2908" s="5" t="s">
        <v>240</v>
      </c>
      <c r="DK2908" s="5" t="s">
        <v>240</v>
      </c>
      <c r="DL2908" s="5" t="s">
        <v>240</v>
      </c>
      <c r="DP2908" s="5" t="s">
        <v>240</v>
      </c>
      <c r="DQ2908" s="5" t="s">
        <v>240</v>
      </c>
      <c r="DR2908" s="5" t="s">
        <v>240</v>
      </c>
      <c r="DS2908" s="5" t="s">
        <v>240</v>
      </c>
      <c r="DV2908" s="5" t="s">
        <v>310</v>
      </c>
      <c r="DW2908" s="5" t="s">
        <v>3779</v>
      </c>
      <c r="HO2908" s="5" t="s">
        <v>312</v>
      </c>
    </row>
    <row r="2909" spans="1:240" x14ac:dyDescent="0.4">
      <c r="A2909" s="5">
        <v>4613</v>
      </c>
      <c r="B2909" s="5">
        <v>1</v>
      </c>
      <c r="C2909" s="5">
        <v>1</v>
      </c>
      <c r="D2909" s="5" t="s">
        <v>810</v>
      </c>
      <c r="E2909" s="5" t="s">
        <v>245</v>
      </c>
      <c r="F2909" s="5" t="s">
        <v>254</v>
      </c>
      <c r="G2909" s="5" t="s">
        <v>240</v>
      </c>
      <c r="H2909" s="6" t="s">
        <v>2723</v>
      </c>
      <c r="I2909" s="5" t="s">
        <v>809</v>
      </c>
      <c r="J2909" s="8">
        <f>474</f>
        <v>474</v>
      </c>
      <c r="K2909" s="5" t="s">
        <v>308</v>
      </c>
      <c r="L2909" s="7">
        <f>1</f>
        <v>1</v>
      </c>
      <c r="M2909" s="7">
        <f>1</f>
        <v>1</v>
      </c>
      <c r="N2909" s="5" t="s">
        <v>242</v>
      </c>
      <c r="O2909" s="5">
        <v>1</v>
      </c>
      <c r="P2909" s="5" t="s">
        <v>294</v>
      </c>
      <c r="Q2909" s="5" t="s">
        <v>3678</v>
      </c>
      <c r="R2909" s="5" t="s">
        <v>240</v>
      </c>
      <c r="S2909" s="5" t="s">
        <v>240</v>
      </c>
      <c r="T2909" s="5" t="s">
        <v>243</v>
      </c>
      <c r="U2909" s="5" t="s">
        <v>244</v>
      </c>
      <c r="V2909" s="5" t="s">
        <v>240</v>
      </c>
      <c r="W2909" s="5" t="s">
        <v>240</v>
      </c>
      <c r="X2909" s="5" t="s">
        <v>240</v>
      </c>
      <c r="Y2909" s="5" t="s">
        <v>240</v>
      </c>
      <c r="Z2909" s="6" t="s">
        <v>298</v>
      </c>
      <c r="AA2909" s="6" t="s">
        <v>240</v>
      </c>
      <c r="AB2909" s="6" t="s">
        <v>240</v>
      </c>
      <c r="AC2909" s="5" t="s">
        <v>240</v>
      </c>
      <c r="AD2909" s="6" t="s">
        <v>240</v>
      </c>
      <c r="AE2909" s="6" t="s">
        <v>299</v>
      </c>
      <c r="AF2909" s="5" t="s">
        <v>248</v>
      </c>
      <c r="AG2909" s="5" t="s">
        <v>249</v>
      </c>
      <c r="AH2909" s="5" t="s">
        <v>240</v>
      </c>
      <c r="AI2909" s="5" t="s">
        <v>240</v>
      </c>
      <c r="AJ2909" s="5" t="s">
        <v>240</v>
      </c>
      <c r="AK2909" s="5" t="s">
        <v>240</v>
      </c>
      <c r="AL2909" s="5" t="s">
        <v>240</v>
      </c>
      <c r="AM2909" s="5" t="s">
        <v>240</v>
      </c>
      <c r="AN2909" s="5" t="s">
        <v>240</v>
      </c>
      <c r="AO2909" s="5" t="s">
        <v>240</v>
      </c>
      <c r="AP2909" s="6" t="s">
        <v>240</v>
      </c>
      <c r="AQ2909" s="6" t="s">
        <v>240</v>
      </c>
      <c r="AR2909" s="6" t="s">
        <v>240</v>
      </c>
      <c r="AS2909" s="6" t="s">
        <v>240</v>
      </c>
      <c r="AT2909" s="5" t="s">
        <v>240</v>
      </c>
      <c r="AU2909" s="5" t="s">
        <v>729</v>
      </c>
      <c r="AV2909" s="5" t="s">
        <v>729</v>
      </c>
      <c r="AW2909" s="5" t="s">
        <v>251</v>
      </c>
      <c r="AX2909" s="5" t="s">
        <v>252</v>
      </c>
      <c r="AY2909" s="5" t="s">
        <v>253</v>
      </c>
      <c r="AZ2909" s="5" t="s">
        <v>240</v>
      </c>
      <c r="BA2909" s="5" t="s">
        <v>255</v>
      </c>
      <c r="BB2909" s="5" t="s">
        <v>731</v>
      </c>
      <c r="BD2909" s="5" t="s">
        <v>240</v>
      </c>
      <c r="BF2909" s="5" t="s">
        <v>732</v>
      </c>
      <c r="BG2909" s="6" t="s">
        <v>733</v>
      </c>
      <c r="BH2909" s="5" t="s">
        <v>734</v>
      </c>
      <c r="BI2909" s="5" t="s">
        <v>734</v>
      </c>
      <c r="BJ2909" s="5" t="s">
        <v>240</v>
      </c>
      <c r="BK2909" s="7">
        <f>1</f>
        <v>1</v>
      </c>
      <c r="BL2909" s="7">
        <f>1</f>
        <v>1</v>
      </c>
      <c r="BM2909" s="5" t="s">
        <v>258</v>
      </c>
      <c r="BN2909" s="5" t="s">
        <v>259</v>
      </c>
      <c r="BO2909" s="5" t="s">
        <v>240</v>
      </c>
      <c r="BP2909" s="5" t="s">
        <v>240</v>
      </c>
      <c r="BQ2909" s="5" t="s">
        <v>240</v>
      </c>
      <c r="BR2909" s="5" t="s">
        <v>240</v>
      </c>
      <c r="BS2909" s="5" t="s">
        <v>240</v>
      </c>
      <c r="BT2909" s="5" t="s">
        <v>240</v>
      </c>
      <c r="BU2909" s="5" t="s">
        <v>240</v>
      </c>
      <c r="BV2909" s="5" t="s">
        <v>240</v>
      </c>
      <c r="BW2909" s="6" t="s">
        <v>240</v>
      </c>
      <c r="BX2909" s="5" t="s">
        <v>240</v>
      </c>
      <c r="BY2909" s="5" t="s">
        <v>240</v>
      </c>
      <c r="BZ2909" s="5" t="s">
        <v>240</v>
      </c>
      <c r="CA2909" s="5" t="s">
        <v>259</v>
      </c>
      <c r="CB2909" s="5" t="s">
        <v>240</v>
      </c>
      <c r="CC2909" s="5" t="s">
        <v>240</v>
      </c>
      <c r="CD2909" s="5" t="s">
        <v>240</v>
      </c>
      <c r="CE2909" s="5" t="s">
        <v>240</v>
      </c>
      <c r="CF2909" s="5" t="s">
        <v>240</v>
      </c>
      <c r="CG2909" s="5" t="s">
        <v>304</v>
      </c>
      <c r="CH2909" s="5" t="s">
        <v>305</v>
      </c>
      <c r="CI2909" s="5" t="s">
        <v>240</v>
      </c>
      <c r="CK2909" s="5" t="s">
        <v>3681</v>
      </c>
      <c r="CL2909" s="6" t="s">
        <v>261</v>
      </c>
      <c r="CM2909" s="5" t="s">
        <v>262</v>
      </c>
      <c r="CN2909" s="5" t="s">
        <v>263</v>
      </c>
      <c r="CO2909" s="5" t="s">
        <v>264</v>
      </c>
      <c r="CP2909" s="5" t="s">
        <v>240</v>
      </c>
      <c r="CQ2909" s="5">
        <v>0</v>
      </c>
      <c r="CR2909" s="5" t="s">
        <v>735</v>
      </c>
      <c r="CS2909" s="5" t="s">
        <v>307</v>
      </c>
      <c r="CT2909" s="5" t="s">
        <v>307</v>
      </c>
      <c r="CU2909" s="5" t="s">
        <v>260</v>
      </c>
      <c r="CV2909" s="5" t="s">
        <v>612</v>
      </c>
      <c r="CW2909" s="8">
        <f>1</f>
        <v>1</v>
      </c>
      <c r="CX2909" s="7">
        <f>1</f>
        <v>1</v>
      </c>
      <c r="CY2909" s="7">
        <f>0</f>
        <v>0</v>
      </c>
      <c r="DA2909" s="7">
        <f>1</f>
        <v>1</v>
      </c>
      <c r="DB2909" s="7" t="s">
        <v>240</v>
      </c>
      <c r="DC2909" s="5" t="s">
        <v>240</v>
      </c>
      <c r="DD2909" s="5" t="s">
        <v>240</v>
      </c>
      <c r="DE2909" s="5" t="s">
        <v>240</v>
      </c>
      <c r="DF2909" s="5" t="s">
        <v>240</v>
      </c>
      <c r="DG2909" s="7">
        <f>0</f>
        <v>0</v>
      </c>
      <c r="DI2909" s="5" t="s">
        <v>240</v>
      </c>
      <c r="DJ2909" s="5" t="s">
        <v>240</v>
      </c>
      <c r="DK2909" s="5" t="s">
        <v>240</v>
      </c>
      <c r="DL2909" s="5" t="s">
        <v>240</v>
      </c>
      <c r="DM2909" s="5" t="s">
        <v>240</v>
      </c>
      <c r="DN2909" s="5" t="s">
        <v>240</v>
      </c>
      <c r="DO2909" s="7" t="s">
        <v>240</v>
      </c>
      <c r="DP2909" s="5" t="s">
        <v>240</v>
      </c>
      <c r="DQ2909" s="5" t="s">
        <v>240</v>
      </c>
      <c r="DR2909" s="5" t="s">
        <v>731</v>
      </c>
      <c r="DS2909" s="5" t="s">
        <v>731</v>
      </c>
      <c r="DT2909" s="5" t="s">
        <v>240</v>
      </c>
      <c r="DU2909" s="5" t="s">
        <v>240</v>
      </c>
      <c r="DV2909" s="5" t="s">
        <v>5063</v>
      </c>
      <c r="DW2909" s="5" t="s">
        <v>801</v>
      </c>
      <c r="DX2909" s="5" t="s">
        <v>240</v>
      </c>
      <c r="DY2909" s="5" t="s">
        <v>240</v>
      </c>
      <c r="DZ2909" s="5" t="s">
        <v>240</v>
      </c>
      <c r="EA2909" s="5" t="s">
        <v>240</v>
      </c>
      <c r="EB2909" s="5" t="s">
        <v>240</v>
      </c>
      <c r="EC2909" s="5" t="s">
        <v>240</v>
      </c>
      <c r="ED2909" s="5" t="s">
        <v>240</v>
      </c>
      <c r="EE2909" s="5" t="s">
        <v>240</v>
      </c>
      <c r="EF2909" s="5" t="s">
        <v>240</v>
      </c>
      <c r="EG2909" s="5" t="s">
        <v>240</v>
      </c>
      <c r="EH2909" s="5" t="s">
        <v>240</v>
      </c>
      <c r="EI2909" s="5" t="s">
        <v>240</v>
      </c>
      <c r="EJ2909" s="5" t="s">
        <v>240</v>
      </c>
      <c r="EK2909" s="5" t="s">
        <v>240</v>
      </c>
      <c r="EL2909" s="5" t="s">
        <v>240</v>
      </c>
      <c r="EM2909" s="5" t="s">
        <v>240</v>
      </c>
      <c r="EN2909" s="5" t="s">
        <v>240</v>
      </c>
      <c r="EO2909" s="5" t="s">
        <v>240</v>
      </c>
      <c r="EP2909" s="5" t="s">
        <v>240</v>
      </c>
      <c r="EQ2909" s="5" t="s">
        <v>240</v>
      </c>
      <c r="ER2909" s="5" t="s">
        <v>240</v>
      </c>
      <c r="ES2909" s="5" t="s">
        <v>240</v>
      </c>
      <c r="ET2909" s="5" t="s">
        <v>240</v>
      </c>
      <c r="EU2909" s="5" t="s">
        <v>240</v>
      </c>
      <c r="EV2909" s="5" t="s">
        <v>240</v>
      </c>
      <c r="EW2909" s="5" t="s">
        <v>240</v>
      </c>
      <c r="EX2909" s="5" t="s">
        <v>240</v>
      </c>
      <c r="EY2909" s="5" t="s">
        <v>240</v>
      </c>
      <c r="EZ2909" s="5" t="s">
        <v>240</v>
      </c>
      <c r="FA2909" s="5" t="s">
        <v>240</v>
      </c>
      <c r="FB2909" s="5" t="s">
        <v>240</v>
      </c>
      <c r="FC2909" s="5" t="s">
        <v>240</v>
      </c>
      <c r="FD2909" s="5" t="s">
        <v>240</v>
      </c>
      <c r="FE2909" s="5" t="s">
        <v>240</v>
      </c>
      <c r="FF2909" s="5" t="s">
        <v>240</v>
      </c>
      <c r="FG2909" s="5" t="s">
        <v>240</v>
      </c>
      <c r="FH2909" s="5" t="s">
        <v>240</v>
      </c>
      <c r="FI2909" s="5" t="s">
        <v>240</v>
      </c>
      <c r="FJ2909" s="5" t="s">
        <v>240</v>
      </c>
      <c r="FK2909" s="5" t="s">
        <v>240</v>
      </c>
      <c r="FL2909" s="5" t="s">
        <v>240</v>
      </c>
      <c r="FM2909" s="5" t="s">
        <v>240</v>
      </c>
      <c r="FN2909" s="5" t="s">
        <v>240</v>
      </c>
      <c r="FO2909" s="5" t="s">
        <v>240</v>
      </c>
      <c r="FP2909" s="5" t="s">
        <v>240</v>
      </c>
      <c r="FQ2909" s="5" t="s">
        <v>240</v>
      </c>
      <c r="FR2909" s="5" t="s">
        <v>240</v>
      </c>
      <c r="FS2909" s="5" t="s">
        <v>240</v>
      </c>
      <c r="FT2909" s="5" t="s">
        <v>240</v>
      </c>
      <c r="FU2909" s="5" t="s">
        <v>240</v>
      </c>
      <c r="FV2909" s="5" t="s">
        <v>240</v>
      </c>
      <c r="FW2909" s="5" t="s">
        <v>240</v>
      </c>
      <c r="FX2909" s="5" t="s">
        <v>240</v>
      </c>
      <c r="FY2909" s="5" t="s">
        <v>240</v>
      </c>
      <c r="FZ2909" s="5" t="s">
        <v>240</v>
      </c>
      <c r="GA2909" s="5" t="s">
        <v>240</v>
      </c>
      <c r="GB2909" s="5" t="s">
        <v>240</v>
      </c>
      <c r="GC2909" s="5" t="s">
        <v>240</v>
      </c>
      <c r="GD2909" s="5" t="s">
        <v>240</v>
      </c>
      <c r="GE2909" s="5" t="s">
        <v>240</v>
      </c>
      <c r="GF2909" s="5" t="s">
        <v>240</v>
      </c>
      <c r="GG2909" s="5" t="s">
        <v>240</v>
      </c>
      <c r="GH2909" s="5" t="s">
        <v>240</v>
      </c>
      <c r="GI2909" s="5" t="s">
        <v>240</v>
      </c>
      <c r="GJ2909" s="5" t="s">
        <v>240</v>
      </c>
      <c r="GK2909" s="5" t="s">
        <v>240</v>
      </c>
      <c r="GL2909" s="5" t="s">
        <v>240</v>
      </c>
      <c r="GM2909" s="5" t="s">
        <v>240</v>
      </c>
      <c r="GN2909" s="5" t="s">
        <v>240</v>
      </c>
      <c r="GO2909" s="5" t="s">
        <v>240</v>
      </c>
      <c r="GP2909" s="5" t="s">
        <v>240</v>
      </c>
      <c r="GQ2909" s="5" t="s">
        <v>240</v>
      </c>
      <c r="GR2909" s="5" t="s">
        <v>240</v>
      </c>
      <c r="GS2909" s="5" t="s">
        <v>240</v>
      </c>
      <c r="GT2909" s="5" t="s">
        <v>240</v>
      </c>
      <c r="GU2909" s="5" t="s">
        <v>240</v>
      </c>
      <c r="GV2909" s="5" t="s">
        <v>240</v>
      </c>
      <c r="GW2909" s="5" t="s">
        <v>240</v>
      </c>
      <c r="GX2909" s="5" t="s">
        <v>240</v>
      </c>
      <c r="GY2909" s="5" t="s">
        <v>240</v>
      </c>
      <c r="GZ2909" s="5" t="s">
        <v>240</v>
      </c>
      <c r="HA2909" s="5" t="s">
        <v>240</v>
      </c>
      <c r="HB2909" s="5" t="s">
        <v>240</v>
      </c>
      <c r="HC2909" s="5" t="s">
        <v>240</v>
      </c>
      <c r="HD2909" s="5" t="s">
        <v>240</v>
      </c>
      <c r="HE2909" s="5" t="s">
        <v>240</v>
      </c>
      <c r="HF2909" s="5" t="s">
        <v>240</v>
      </c>
      <c r="HG2909" s="5" t="s">
        <v>240</v>
      </c>
      <c r="HH2909" s="5" t="s">
        <v>240</v>
      </c>
      <c r="HI2909" s="5" t="s">
        <v>240</v>
      </c>
      <c r="HJ2909" s="5" t="s">
        <v>240</v>
      </c>
      <c r="HK2909" s="5" t="s">
        <v>240</v>
      </c>
      <c r="HL2909" s="5" t="s">
        <v>240</v>
      </c>
      <c r="HM2909" s="5" t="s">
        <v>240</v>
      </c>
      <c r="HN2909" s="5" t="s">
        <v>240</v>
      </c>
      <c r="HO2909" s="5" t="s">
        <v>312</v>
      </c>
      <c r="HP2909" s="5" t="s">
        <v>240</v>
      </c>
      <c r="HQ2909" s="5" t="s">
        <v>240</v>
      </c>
      <c r="HR2909" s="5" t="s">
        <v>240</v>
      </c>
      <c r="HS2909" s="5" t="s">
        <v>240</v>
      </c>
      <c r="HT2909" s="5" t="s">
        <v>240</v>
      </c>
      <c r="HU2909" s="5" t="s">
        <v>240</v>
      </c>
      <c r="HV2909" s="5" t="s">
        <v>240</v>
      </c>
      <c r="HW2909" s="5" t="s">
        <v>240</v>
      </c>
      <c r="HX2909" s="5" t="s">
        <v>240</v>
      </c>
      <c r="HY2909" s="5" t="s">
        <v>240</v>
      </c>
      <c r="HZ2909" s="5" t="s">
        <v>240</v>
      </c>
      <c r="IA2909" s="5" t="s">
        <v>240</v>
      </c>
      <c r="IB2909" s="5" t="s">
        <v>240</v>
      </c>
      <c r="IC2909" s="5" t="s">
        <v>240</v>
      </c>
      <c r="ID2909" s="5" t="s">
        <v>240</v>
      </c>
      <c r="IE2909" s="5" t="s">
        <v>240</v>
      </c>
      <c r="IF2909" s="5" t="s">
        <v>240</v>
      </c>
    </row>
    <row r="2910" spans="1:240" x14ac:dyDescent="0.4">
      <c r="A2910" s="5">
        <v>4614</v>
      </c>
      <c r="B2910" s="5">
        <v>1</v>
      </c>
      <c r="C2910" s="5">
        <v>1</v>
      </c>
      <c r="D2910" s="5" t="s">
        <v>810</v>
      </c>
      <c r="E2910" s="5" t="s">
        <v>245</v>
      </c>
      <c r="F2910" s="5" t="s">
        <v>254</v>
      </c>
      <c r="G2910" s="5" t="s">
        <v>240</v>
      </c>
      <c r="H2910" s="6" t="s">
        <v>2721</v>
      </c>
      <c r="I2910" s="5" t="s">
        <v>809</v>
      </c>
      <c r="J2910" s="8">
        <f>2290</f>
        <v>2290</v>
      </c>
      <c r="K2910" s="5" t="s">
        <v>308</v>
      </c>
      <c r="L2910" s="7">
        <f>1</f>
        <v>1</v>
      </c>
      <c r="M2910" s="7">
        <f>1</f>
        <v>1</v>
      </c>
      <c r="N2910" s="5" t="s">
        <v>242</v>
      </c>
      <c r="O2910" s="5">
        <v>1</v>
      </c>
      <c r="P2910" s="5" t="s">
        <v>294</v>
      </c>
      <c r="Q2910" s="5" t="s">
        <v>3678</v>
      </c>
      <c r="R2910" s="5" t="s">
        <v>240</v>
      </c>
      <c r="S2910" s="5" t="s">
        <v>240</v>
      </c>
      <c r="T2910" s="5" t="s">
        <v>243</v>
      </c>
      <c r="U2910" s="5" t="s">
        <v>244</v>
      </c>
      <c r="V2910" s="5" t="s">
        <v>240</v>
      </c>
      <c r="W2910" s="5" t="s">
        <v>240</v>
      </c>
      <c r="X2910" s="5" t="s">
        <v>240</v>
      </c>
      <c r="Y2910" s="5" t="s">
        <v>240</v>
      </c>
      <c r="Z2910" s="6" t="s">
        <v>298</v>
      </c>
      <c r="AA2910" s="6" t="s">
        <v>240</v>
      </c>
      <c r="AB2910" s="6" t="s">
        <v>240</v>
      </c>
      <c r="AC2910" s="5" t="s">
        <v>240</v>
      </c>
      <c r="AD2910" s="6" t="s">
        <v>240</v>
      </c>
      <c r="AE2910" s="6" t="s">
        <v>299</v>
      </c>
      <c r="AF2910" s="5" t="s">
        <v>248</v>
      </c>
      <c r="AG2910" s="5" t="s">
        <v>249</v>
      </c>
      <c r="AH2910" s="5" t="s">
        <v>240</v>
      </c>
      <c r="AI2910" s="5" t="s">
        <v>240</v>
      </c>
      <c r="AJ2910" s="5" t="s">
        <v>240</v>
      </c>
      <c r="AK2910" s="5" t="s">
        <v>240</v>
      </c>
      <c r="AL2910" s="5" t="s">
        <v>240</v>
      </c>
      <c r="AM2910" s="5" t="s">
        <v>240</v>
      </c>
      <c r="AN2910" s="5" t="s">
        <v>240</v>
      </c>
      <c r="AO2910" s="5" t="s">
        <v>240</v>
      </c>
      <c r="AP2910" s="6" t="s">
        <v>240</v>
      </c>
      <c r="AQ2910" s="6" t="s">
        <v>240</v>
      </c>
      <c r="AR2910" s="6" t="s">
        <v>240</v>
      </c>
      <c r="AS2910" s="6" t="s">
        <v>240</v>
      </c>
      <c r="AT2910" s="5" t="s">
        <v>240</v>
      </c>
      <c r="AU2910" s="5" t="s">
        <v>729</v>
      </c>
      <c r="AV2910" s="5" t="s">
        <v>729</v>
      </c>
      <c r="AW2910" s="5" t="s">
        <v>251</v>
      </c>
      <c r="AX2910" s="5" t="s">
        <v>252</v>
      </c>
      <c r="AY2910" s="5" t="s">
        <v>253</v>
      </c>
      <c r="AZ2910" s="5" t="s">
        <v>240</v>
      </c>
      <c r="BA2910" s="5" t="s">
        <v>255</v>
      </c>
      <c r="BB2910" s="5" t="s">
        <v>731</v>
      </c>
      <c r="BD2910" s="5" t="s">
        <v>240</v>
      </c>
      <c r="BF2910" s="5" t="s">
        <v>732</v>
      </c>
      <c r="BG2910" s="6" t="s">
        <v>733</v>
      </c>
      <c r="BH2910" s="5" t="s">
        <v>734</v>
      </c>
      <c r="BI2910" s="5" t="s">
        <v>734</v>
      </c>
      <c r="BJ2910" s="5" t="s">
        <v>240</v>
      </c>
      <c r="BK2910" s="7">
        <f>1</f>
        <v>1</v>
      </c>
      <c r="BL2910" s="7">
        <f>1</f>
        <v>1</v>
      </c>
      <c r="BM2910" s="5" t="s">
        <v>258</v>
      </c>
      <c r="BN2910" s="5" t="s">
        <v>259</v>
      </c>
      <c r="BO2910" s="5" t="s">
        <v>240</v>
      </c>
      <c r="BP2910" s="5" t="s">
        <v>240</v>
      </c>
      <c r="BQ2910" s="5" t="s">
        <v>240</v>
      </c>
      <c r="BR2910" s="5" t="s">
        <v>240</v>
      </c>
      <c r="BS2910" s="5" t="s">
        <v>240</v>
      </c>
      <c r="BT2910" s="5" t="s">
        <v>240</v>
      </c>
      <c r="BU2910" s="5" t="s">
        <v>240</v>
      </c>
      <c r="BV2910" s="5" t="s">
        <v>240</v>
      </c>
      <c r="BW2910" s="6" t="s">
        <v>240</v>
      </c>
      <c r="BX2910" s="5" t="s">
        <v>240</v>
      </c>
      <c r="BY2910" s="5" t="s">
        <v>240</v>
      </c>
      <c r="BZ2910" s="5" t="s">
        <v>240</v>
      </c>
      <c r="CA2910" s="5" t="s">
        <v>259</v>
      </c>
      <c r="CB2910" s="5" t="s">
        <v>240</v>
      </c>
      <c r="CC2910" s="5" t="s">
        <v>240</v>
      </c>
      <c r="CD2910" s="5" t="s">
        <v>240</v>
      </c>
      <c r="CE2910" s="5" t="s">
        <v>240</v>
      </c>
      <c r="CF2910" s="5" t="s">
        <v>240</v>
      </c>
      <c r="CG2910" s="5" t="s">
        <v>304</v>
      </c>
      <c r="CH2910" s="5" t="s">
        <v>305</v>
      </c>
      <c r="CI2910" s="5" t="s">
        <v>240</v>
      </c>
      <c r="CK2910" s="5" t="s">
        <v>3681</v>
      </c>
      <c r="CL2910" s="6" t="s">
        <v>261</v>
      </c>
      <c r="CM2910" s="5" t="s">
        <v>262</v>
      </c>
      <c r="CN2910" s="5" t="s">
        <v>263</v>
      </c>
      <c r="CO2910" s="5" t="s">
        <v>264</v>
      </c>
      <c r="CP2910" s="5" t="s">
        <v>240</v>
      </c>
      <c r="CQ2910" s="5">
        <v>0</v>
      </c>
      <c r="CR2910" s="5" t="s">
        <v>735</v>
      </c>
      <c r="CS2910" s="5" t="s">
        <v>307</v>
      </c>
      <c r="CT2910" s="5" t="s">
        <v>307</v>
      </c>
      <c r="CU2910" s="5" t="s">
        <v>260</v>
      </c>
      <c r="CV2910" s="5" t="s">
        <v>612</v>
      </c>
      <c r="CW2910" s="8">
        <f>1</f>
        <v>1</v>
      </c>
      <c r="CX2910" s="7">
        <f>1</f>
        <v>1</v>
      </c>
      <c r="CY2910" s="7">
        <f>0</f>
        <v>0</v>
      </c>
      <c r="DA2910" s="7">
        <f>1</f>
        <v>1</v>
      </c>
      <c r="DB2910" s="7" t="s">
        <v>240</v>
      </c>
      <c r="DC2910" s="5" t="s">
        <v>240</v>
      </c>
      <c r="DD2910" s="5" t="s">
        <v>240</v>
      </c>
      <c r="DE2910" s="5" t="s">
        <v>240</v>
      </c>
      <c r="DF2910" s="5" t="s">
        <v>240</v>
      </c>
      <c r="DG2910" s="7">
        <f>0</f>
        <v>0</v>
      </c>
      <c r="DI2910" s="5" t="s">
        <v>240</v>
      </c>
      <c r="DJ2910" s="5" t="s">
        <v>240</v>
      </c>
      <c r="DK2910" s="5" t="s">
        <v>240</v>
      </c>
      <c r="DL2910" s="5" t="s">
        <v>240</v>
      </c>
      <c r="DM2910" s="5" t="s">
        <v>240</v>
      </c>
      <c r="DN2910" s="5" t="s">
        <v>240</v>
      </c>
      <c r="DO2910" s="7" t="s">
        <v>240</v>
      </c>
      <c r="DP2910" s="5" t="s">
        <v>240</v>
      </c>
      <c r="DQ2910" s="5" t="s">
        <v>240</v>
      </c>
      <c r="DR2910" s="5" t="s">
        <v>731</v>
      </c>
      <c r="DS2910" s="5" t="s">
        <v>731</v>
      </c>
      <c r="DT2910" s="5" t="s">
        <v>240</v>
      </c>
      <c r="DU2910" s="5" t="s">
        <v>240</v>
      </c>
      <c r="DV2910" s="5" t="s">
        <v>3683</v>
      </c>
      <c r="DW2910" s="5" t="s">
        <v>434</v>
      </c>
      <c r="DX2910" s="5" t="s">
        <v>240</v>
      </c>
      <c r="DY2910" s="5" t="s">
        <v>240</v>
      </c>
      <c r="DZ2910" s="5" t="s">
        <v>240</v>
      </c>
      <c r="EA2910" s="5" t="s">
        <v>240</v>
      </c>
      <c r="EB2910" s="5" t="s">
        <v>240</v>
      </c>
      <c r="EC2910" s="5" t="s">
        <v>240</v>
      </c>
      <c r="ED2910" s="5" t="s">
        <v>240</v>
      </c>
      <c r="EE2910" s="5" t="s">
        <v>240</v>
      </c>
      <c r="EF2910" s="5" t="s">
        <v>240</v>
      </c>
      <c r="EG2910" s="5" t="s">
        <v>240</v>
      </c>
      <c r="EH2910" s="5" t="s">
        <v>240</v>
      </c>
      <c r="EI2910" s="5" t="s">
        <v>240</v>
      </c>
      <c r="EJ2910" s="5" t="s">
        <v>240</v>
      </c>
      <c r="EK2910" s="5" t="s">
        <v>240</v>
      </c>
      <c r="EL2910" s="5" t="s">
        <v>240</v>
      </c>
      <c r="EM2910" s="5" t="s">
        <v>240</v>
      </c>
      <c r="EN2910" s="5" t="s">
        <v>240</v>
      </c>
      <c r="EO2910" s="5" t="s">
        <v>240</v>
      </c>
      <c r="EP2910" s="5" t="s">
        <v>240</v>
      </c>
      <c r="EQ2910" s="5" t="s">
        <v>240</v>
      </c>
      <c r="ER2910" s="5" t="s">
        <v>240</v>
      </c>
      <c r="ES2910" s="5" t="s">
        <v>240</v>
      </c>
      <c r="ET2910" s="5" t="s">
        <v>240</v>
      </c>
      <c r="EU2910" s="5" t="s">
        <v>240</v>
      </c>
      <c r="EV2910" s="5" t="s">
        <v>240</v>
      </c>
      <c r="EW2910" s="5" t="s">
        <v>240</v>
      </c>
      <c r="EX2910" s="5" t="s">
        <v>240</v>
      </c>
      <c r="EY2910" s="5" t="s">
        <v>240</v>
      </c>
      <c r="EZ2910" s="5" t="s">
        <v>240</v>
      </c>
      <c r="FA2910" s="5" t="s">
        <v>240</v>
      </c>
      <c r="FB2910" s="5" t="s">
        <v>240</v>
      </c>
      <c r="FC2910" s="5" t="s">
        <v>240</v>
      </c>
      <c r="FD2910" s="5" t="s">
        <v>240</v>
      </c>
      <c r="FE2910" s="5" t="s">
        <v>240</v>
      </c>
      <c r="FF2910" s="5" t="s">
        <v>240</v>
      </c>
      <c r="FG2910" s="5" t="s">
        <v>240</v>
      </c>
      <c r="FH2910" s="5" t="s">
        <v>240</v>
      </c>
      <c r="FI2910" s="5" t="s">
        <v>240</v>
      </c>
      <c r="FJ2910" s="5" t="s">
        <v>240</v>
      </c>
      <c r="FK2910" s="5" t="s">
        <v>240</v>
      </c>
      <c r="FL2910" s="5" t="s">
        <v>240</v>
      </c>
      <c r="FM2910" s="5" t="s">
        <v>240</v>
      </c>
      <c r="FN2910" s="5" t="s">
        <v>240</v>
      </c>
      <c r="FO2910" s="5" t="s">
        <v>240</v>
      </c>
      <c r="FP2910" s="5" t="s">
        <v>240</v>
      </c>
      <c r="FQ2910" s="5" t="s">
        <v>240</v>
      </c>
      <c r="FR2910" s="5" t="s">
        <v>240</v>
      </c>
      <c r="FS2910" s="5" t="s">
        <v>240</v>
      </c>
      <c r="FT2910" s="5" t="s">
        <v>240</v>
      </c>
      <c r="FU2910" s="5" t="s">
        <v>240</v>
      </c>
      <c r="FV2910" s="5" t="s">
        <v>240</v>
      </c>
      <c r="FW2910" s="5" t="s">
        <v>240</v>
      </c>
      <c r="FX2910" s="5" t="s">
        <v>240</v>
      </c>
      <c r="FY2910" s="5" t="s">
        <v>240</v>
      </c>
      <c r="FZ2910" s="5" t="s">
        <v>240</v>
      </c>
      <c r="GA2910" s="5" t="s">
        <v>240</v>
      </c>
      <c r="GB2910" s="5" t="s">
        <v>240</v>
      </c>
      <c r="GC2910" s="5" t="s">
        <v>240</v>
      </c>
      <c r="GD2910" s="5" t="s">
        <v>240</v>
      </c>
      <c r="GE2910" s="5" t="s">
        <v>240</v>
      </c>
      <c r="GF2910" s="5" t="s">
        <v>240</v>
      </c>
      <c r="GG2910" s="5" t="s">
        <v>240</v>
      </c>
      <c r="GH2910" s="5" t="s">
        <v>240</v>
      </c>
      <c r="GI2910" s="5" t="s">
        <v>240</v>
      </c>
      <c r="GJ2910" s="5" t="s">
        <v>240</v>
      </c>
      <c r="GK2910" s="5" t="s">
        <v>240</v>
      </c>
      <c r="GL2910" s="5" t="s">
        <v>240</v>
      </c>
      <c r="GM2910" s="5" t="s">
        <v>240</v>
      </c>
      <c r="GN2910" s="5" t="s">
        <v>240</v>
      </c>
      <c r="GO2910" s="5" t="s">
        <v>240</v>
      </c>
      <c r="GP2910" s="5" t="s">
        <v>240</v>
      </c>
      <c r="GQ2910" s="5" t="s">
        <v>240</v>
      </c>
      <c r="GR2910" s="5" t="s">
        <v>240</v>
      </c>
      <c r="GS2910" s="5" t="s">
        <v>240</v>
      </c>
      <c r="GT2910" s="5" t="s">
        <v>240</v>
      </c>
      <c r="GU2910" s="5" t="s">
        <v>240</v>
      </c>
      <c r="GV2910" s="5" t="s">
        <v>240</v>
      </c>
      <c r="GW2910" s="5" t="s">
        <v>240</v>
      </c>
      <c r="GX2910" s="5" t="s">
        <v>240</v>
      </c>
      <c r="GY2910" s="5" t="s">
        <v>240</v>
      </c>
      <c r="GZ2910" s="5" t="s">
        <v>240</v>
      </c>
      <c r="HA2910" s="5" t="s">
        <v>240</v>
      </c>
      <c r="HB2910" s="5" t="s">
        <v>240</v>
      </c>
      <c r="HC2910" s="5" t="s">
        <v>240</v>
      </c>
      <c r="HD2910" s="5" t="s">
        <v>240</v>
      </c>
      <c r="HE2910" s="5" t="s">
        <v>240</v>
      </c>
      <c r="HF2910" s="5" t="s">
        <v>240</v>
      </c>
      <c r="HG2910" s="5" t="s">
        <v>240</v>
      </c>
      <c r="HH2910" s="5" t="s">
        <v>240</v>
      </c>
      <c r="HI2910" s="5" t="s">
        <v>240</v>
      </c>
      <c r="HJ2910" s="5" t="s">
        <v>240</v>
      </c>
      <c r="HK2910" s="5" t="s">
        <v>240</v>
      </c>
      <c r="HL2910" s="5" t="s">
        <v>240</v>
      </c>
      <c r="HM2910" s="5" t="s">
        <v>240</v>
      </c>
      <c r="HN2910" s="5" t="s">
        <v>240</v>
      </c>
      <c r="HO2910" s="5" t="s">
        <v>312</v>
      </c>
      <c r="HP2910" s="5" t="s">
        <v>240</v>
      </c>
      <c r="HQ2910" s="5" t="s">
        <v>240</v>
      </c>
      <c r="HR2910" s="5" t="s">
        <v>240</v>
      </c>
      <c r="HS2910" s="5" t="s">
        <v>240</v>
      </c>
      <c r="HT2910" s="5" t="s">
        <v>240</v>
      </c>
      <c r="HU2910" s="5" t="s">
        <v>240</v>
      </c>
      <c r="HV2910" s="5" t="s">
        <v>240</v>
      </c>
      <c r="HW2910" s="5" t="s">
        <v>240</v>
      </c>
      <c r="HX2910" s="5" t="s">
        <v>240</v>
      </c>
      <c r="HY2910" s="5" t="s">
        <v>240</v>
      </c>
      <c r="HZ2910" s="5" t="s">
        <v>240</v>
      </c>
      <c r="IA2910" s="5" t="s">
        <v>240</v>
      </c>
      <c r="IB2910" s="5" t="s">
        <v>240</v>
      </c>
      <c r="IC2910" s="5" t="s">
        <v>240</v>
      </c>
      <c r="ID2910" s="5" t="s">
        <v>240</v>
      </c>
      <c r="IE2910" s="5" t="s">
        <v>240</v>
      </c>
      <c r="IF2910" s="5" t="s">
        <v>240</v>
      </c>
    </row>
    <row r="2911" spans="1:240" x14ac:dyDescent="0.4">
      <c r="A2911" s="5">
        <v>4615</v>
      </c>
      <c r="B2911" s="5">
        <v>1</v>
      </c>
      <c r="C2911" s="5">
        <v>1</v>
      </c>
      <c r="D2911" s="5" t="s">
        <v>810</v>
      </c>
      <c r="E2911" s="5" t="s">
        <v>245</v>
      </c>
      <c r="F2911" s="5" t="s">
        <v>254</v>
      </c>
      <c r="G2911" s="5" t="s">
        <v>240</v>
      </c>
      <c r="H2911" s="6" t="s">
        <v>2719</v>
      </c>
      <c r="I2911" s="5" t="s">
        <v>809</v>
      </c>
      <c r="J2911" s="8">
        <f>1917</f>
        <v>1917</v>
      </c>
      <c r="K2911" s="5" t="s">
        <v>308</v>
      </c>
      <c r="L2911" s="7">
        <f>1</f>
        <v>1</v>
      </c>
      <c r="M2911" s="7">
        <f>1</f>
        <v>1</v>
      </c>
      <c r="N2911" s="5" t="s">
        <v>242</v>
      </c>
      <c r="O2911" s="5">
        <v>1</v>
      </c>
      <c r="P2911" s="5" t="s">
        <v>294</v>
      </c>
      <c r="Q2911" s="5" t="s">
        <v>3678</v>
      </c>
      <c r="R2911" s="5" t="s">
        <v>240</v>
      </c>
      <c r="S2911" s="5" t="s">
        <v>240</v>
      </c>
      <c r="T2911" s="5" t="s">
        <v>243</v>
      </c>
      <c r="U2911" s="5" t="s">
        <v>244</v>
      </c>
      <c r="V2911" s="5" t="s">
        <v>240</v>
      </c>
      <c r="W2911" s="5" t="s">
        <v>240</v>
      </c>
      <c r="X2911" s="5" t="s">
        <v>240</v>
      </c>
      <c r="Y2911" s="5" t="s">
        <v>240</v>
      </c>
      <c r="Z2911" s="6" t="s">
        <v>298</v>
      </c>
      <c r="AA2911" s="6" t="s">
        <v>240</v>
      </c>
      <c r="AB2911" s="6" t="s">
        <v>240</v>
      </c>
      <c r="AC2911" s="5" t="s">
        <v>240</v>
      </c>
      <c r="AD2911" s="6" t="s">
        <v>240</v>
      </c>
      <c r="AE2911" s="6" t="s">
        <v>299</v>
      </c>
      <c r="AF2911" s="5" t="s">
        <v>248</v>
      </c>
      <c r="AG2911" s="5" t="s">
        <v>249</v>
      </c>
      <c r="AH2911" s="5" t="s">
        <v>240</v>
      </c>
      <c r="AI2911" s="5" t="s">
        <v>240</v>
      </c>
      <c r="AJ2911" s="5" t="s">
        <v>240</v>
      </c>
      <c r="AK2911" s="5" t="s">
        <v>240</v>
      </c>
      <c r="AL2911" s="5" t="s">
        <v>240</v>
      </c>
      <c r="AM2911" s="5" t="s">
        <v>240</v>
      </c>
      <c r="AN2911" s="5" t="s">
        <v>240</v>
      </c>
      <c r="AO2911" s="5" t="s">
        <v>240</v>
      </c>
      <c r="AP2911" s="6" t="s">
        <v>240</v>
      </c>
      <c r="AQ2911" s="6" t="s">
        <v>240</v>
      </c>
      <c r="AR2911" s="6" t="s">
        <v>240</v>
      </c>
      <c r="AS2911" s="6" t="s">
        <v>240</v>
      </c>
      <c r="AT2911" s="5" t="s">
        <v>240</v>
      </c>
      <c r="AU2911" s="5" t="s">
        <v>729</v>
      </c>
      <c r="AV2911" s="5" t="s">
        <v>729</v>
      </c>
      <c r="AW2911" s="5" t="s">
        <v>251</v>
      </c>
      <c r="AX2911" s="5" t="s">
        <v>252</v>
      </c>
      <c r="AY2911" s="5" t="s">
        <v>253</v>
      </c>
      <c r="AZ2911" s="5" t="s">
        <v>240</v>
      </c>
      <c r="BA2911" s="5" t="s">
        <v>255</v>
      </c>
      <c r="BB2911" s="5" t="s">
        <v>731</v>
      </c>
      <c r="BD2911" s="5" t="s">
        <v>240</v>
      </c>
      <c r="BF2911" s="5" t="s">
        <v>732</v>
      </c>
      <c r="BG2911" s="6" t="s">
        <v>733</v>
      </c>
      <c r="BH2911" s="5" t="s">
        <v>734</v>
      </c>
      <c r="BI2911" s="5" t="s">
        <v>734</v>
      </c>
      <c r="BJ2911" s="5" t="s">
        <v>240</v>
      </c>
      <c r="BK2911" s="7">
        <f>1</f>
        <v>1</v>
      </c>
      <c r="BL2911" s="7">
        <f>1</f>
        <v>1</v>
      </c>
      <c r="BM2911" s="5" t="s">
        <v>258</v>
      </c>
      <c r="BN2911" s="5" t="s">
        <v>259</v>
      </c>
      <c r="BO2911" s="5" t="s">
        <v>240</v>
      </c>
      <c r="BP2911" s="5" t="s">
        <v>240</v>
      </c>
      <c r="BQ2911" s="5" t="s">
        <v>240</v>
      </c>
      <c r="BR2911" s="5" t="s">
        <v>240</v>
      </c>
      <c r="BS2911" s="5" t="s">
        <v>240</v>
      </c>
      <c r="BT2911" s="5" t="s">
        <v>240</v>
      </c>
      <c r="BU2911" s="5" t="s">
        <v>240</v>
      </c>
      <c r="BV2911" s="5" t="s">
        <v>240</v>
      </c>
      <c r="BW2911" s="6" t="s">
        <v>240</v>
      </c>
      <c r="BX2911" s="5" t="s">
        <v>240</v>
      </c>
      <c r="BY2911" s="5" t="s">
        <v>240</v>
      </c>
      <c r="BZ2911" s="5" t="s">
        <v>240</v>
      </c>
      <c r="CA2911" s="5" t="s">
        <v>259</v>
      </c>
      <c r="CB2911" s="5" t="s">
        <v>240</v>
      </c>
      <c r="CC2911" s="5" t="s">
        <v>240</v>
      </c>
      <c r="CD2911" s="5" t="s">
        <v>240</v>
      </c>
      <c r="CE2911" s="5" t="s">
        <v>240</v>
      </c>
      <c r="CF2911" s="5" t="s">
        <v>240</v>
      </c>
      <c r="CG2911" s="5" t="s">
        <v>304</v>
      </c>
      <c r="CH2911" s="5" t="s">
        <v>305</v>
      </c>
      <c r="CI2911" s="5" t="s">
        <v>240</v>
      </c>
      <c r="CK2911" s="5" t="s">
        <v>3681</v>
      </c>
      <c r="CL2911" s="6" t="s">
        <v>261</v>
      </c>
      <c r="CM2911" s="5" t="s">
        <v>262</v>
      </c>
      <c r="CN2911" s="5" t="s">
        <v>263</v>
      </c>
      <c r="CO2911" s="5" t="s">
        <v>264</v>
      </c>
      <c r="CP2911" s="5" t="s">
        <v>240</v>
      </c>
      <c r="CQ2911" s="5">
        <v>0</v>
      </c>
      <c r="CR2911" s="5" t="s">
        <v>735</v>
      </c>
      <c r="CS2911" s="5" t="s">
        <v>307</v>
      </c>
      <c r="CT2911" s="5" t="s">
        <v>307</v>
      </c>
      <c r="CU2911" s="5" t="s">
        <v>260</v>
      </c>
      <c r="CV2911" s="5" t="s">
        <v>612</v>
      </c>
      <c r="CW2911" s="8">
        <f>1</f>
        <v>1</v>
      </c>
      <c r="CX2911" s="7">
        <f>1</f>
        <v>1</v>
      </c>
      <c r="CY2911" s="7">
        <f>0</f>
        <v>0</v>
      </c>
      <c r="DA2911" s="7">
        <f>1</f>
        <v>1</v>
      </c>
      <c r="DB2911" s="7" t="s">
        <v>240</v>
      </c>
      <c r="DC2911" s="5" t="s">
        <v>240</v>
      </c>
      <c r="DD2911" s="5" t="s">
        <v>240</v>
      </c>
      <c r="DE2911" s="5" t="s">
        <v>240</v>
      </c>
      <c r="DF2911" s="5" t="s">
        <v>240</v>
      </c>
      <c r="DG2911" s="7">
        <f>0</f>
        <v>0</v>
      </c>
      <c r="DI2911" s="5" t="s">
        <v>240</v>
      </c>
      <c r="DJ2911" s="5" t="s">
        <v>240</v>
      </c>
      <c r="DK2911" s="5" t="s">
        <v>240</v>
      </c>
      <c r="DL2911" s="5" t="s">
        <v>240</v>
      </c>
      <c r="DM2911" s="5" t="s">
        <v>240</v>
      </c>
      <c r="DN2911" s="5" t="s">
        <v>240</v>
      </c>
      <c r="DO2911" s="7" t="s">
        <v>240</v>
      </c>
      <c r="DP2911" s="5" t="s">
        <v>240</v>
      </c>
      <c r="DQ2911" s="5" t="s">
        <v>240</v>
      </c>
      <c r="DR2911" s="5" t="s">
        <v>731</v>
      </c>
      <c r="DS2911" s="5" t="s">
        <v>731</v>
      </c>
      <c r="DT2911" s="5" t="s">
        <v>240</v>
      </c>
      <c r="DU2911" s="5" t="s">
        <v>240</v>
      </c>
      <c r="DV2911" s="5" t="s">
        <v>5063</v>
      </c>
      <c r="DW2911" s="5" t="s">
        <v>701</v>
      </c>
      <c r="DX2911" s="5" t="s">
        <v>240</v>
      </c>
      <c r="DY2911" s="5" t="s">
        <v>240</v>
      </c>
      <c r="DZ2911" s="5" t="s">
        <v>240</v>
      </c>
      <c r="EA2911" s="5" t="s">
        <v>240</v>
      </c>
      <c r="EB2911" s="5" t="s">
        <v>240</v>
      </c>
      <c r="EC2911" s="5" t="s">
        <v>240</v>
      </c>
      <c r="ED2911" s="5" t="s">
        <v>240</v>
      </c>
      <c r="EE2911" s="5" t="s">
        <v>240</v>
      </c>
      <c r="EF2911" s="5" t="s">
        <v>240</v>
      </c>
      <c r="EG2911" s="5" t="s">
        <v>240</v>
      </c>
      <c r="EH2911" s="5" t="s">
        <v>240</v>
      </c>
      <c r="EI2911" s="5" t="s">
        <v>240</v>
      </c>
      <c r="EJ2911" s="5" t="s">
        <v>240</v>
      </c>
      <c r="EK2911" s="5" t="s">
        <v>240</v>
      </c>
      <c r="EL2911" s="5" t="s">
        <v>240</v>
      </c>
      <c r="EM2911" s="5" t="s">
        <v>240</v>
      </c>
      <c r="EN2911" s="5" t="s">
        <v>240</v>
      </c>
      <c r="EO2911" s="5" t="s">
        <v>240</v>
      </c>
      <c r="EP2911" s="5" t="s">
        <v>240</v>
      </c>
      <c r="EQ2911" s="5" t="s">
        <v>240</v>
      </c>
      <c r="ER2911" s="5" t="s">
        <v>240</v>
      </c>
      <c r="ES2911" s="5" t="s">
        <v>240</v>
      </c>
      <c r="ET2911" s="5" t="s">
        <v>240</v>
      </c>
      <c r="EU2911" s="5" t="s">
        <v>240</v>
      </c>
      <c r="EV2911" s="5" t="s">
        <v>240</v>
      </c>
      <c r="EW2911" s="5" t="s">
        <v>240</v>
      </c>
      <c r="EX2911" s="5" t="s">
        <v>240</v>
      </c>
      <c r="EY2911" s="5" t="s">
        <v>240</v>
      </c>
      <c r="EZ2911" s="5" t="s">
        <v>240</v>
      </c>
      <c r="FA2911" s="5" t="s">
        <v>240</v>
      </c>
      <c r="FB2911" s="5" t="s">
        <v>240</v>
      </c>
      <c r="FC2911" s="5" t="s">
        <v>240</v>
      </c>
      <c r="FD2911" s="5" t="s">
        <v>240</v>
      </c>
      <c r="FE2911" s="5" t="s">
        <v>240</v>
      </c>
      <c r="FF2911" s="5" t="s">
        <v>240</v>
      </c>
      <c r="FG2911" s="5" t="s">
        <v>240</v>
      </c>
      <c r="FH2911" s="5" t="s">
        <v>240</v>
      </c>
      <c r="FI2911" s="5" t="s">
        <v>240</v>
      </c>
      <c r="FJ2911" s="5" t="s">
        <v>240</v>
      </c>
      <c r="FK2911" s="5" t="s">
        <v>240</v>
      </c>
      <c r="FL2911" s="5" t="s">
        <v>240</v>
      </c>
      <c r="FM2911" s="5" t="s">
        <v>240</v>
      </c>
      <c r="FN2911" s="5" t="s">
        <v>240</v>
      </c>
      <c r="FO2911" s="5" t="s">
        <v>240</v>
      </c>
      <c r="FP2911" s="5" t="s">
        <v>240</v>
      </c>
      <c r="FQ2911" s="5" t="s">
        <v>240</v>
      </c>
      <c r="FR2911" s="5" t="s">
        <v>240</v>
      </c>
      <c r="FS2911" s="5" t="s">
        <v>240</v>
      </c>
      <c r="FT2911" s="5" t="s">
        <v>240</v>
      </c>
      <c r="FU2911" s="5" t="s">
        <v>240</v>
      </c>
      <c r="FV2911" s="5" t="s">
        <v>240</v>
      </c>
      <c r="FW2911" s="5" t="s">
        <v>240</v>
      </c>
      <c r="FX2911" s="5" t="s">
        <v>240</v>
      </c>
      <c r="FY2911" s="5" t="s">
        <v>240</v>
      </c>
      <c r="FZ2911" s="5" t="s">
        <v>240</v>
      </c>
      <c r="GA2911" s="5" t="s">
        <v>240</v>
      </c>
      <c r="GB2911" s="5" t="s">
        <v>240</v>
      </c>
      <c r="GC2911" s="5" t="s">
        <v>240</v>
      </c>
      <c r="GD2911" s="5" t="s">
        <v>240</v>
      </c>
      <c r="GE2911" s="5" t="s">
        <v>240</v>
      </c>
      <c r="GF2911" s="5" t="s">
        <v>240</v>
      </c>
      <c r="GG2911" s="5" t="s">
        <v>240</v>
      </c>
      <c r="GH2911" s="5" t="s">
        <v>240</v>
      </c>
      <c r="GI2911" s="5" t="s">
        <v>240</v>
      </c>
      <c r="GJ2911" s="5" t="s">
        <v>240</v>
      </c>
      <c r="GK2911" s="5" t="s">
        <v>240</v>
      </c>
      <c r="GL2911" s="5" t="s">
        <v>240</v>
      </c>
      <c r="GM2911" s="5" t="s">
        <v>240</v>
      </c>
      <c r="GN2911" s="5" t="s">
        <v>240</v>
      </c>
      <c r="GO2911" s="5" t="s">
        <v>240</v>
      </c>
      <c r="GP2911" s="5" t="s">
        <v>240</v>
      </c>
      <c r="GQ2911" s="5" t="s">
        <v>240</v>
      </c>
      <c r="GR2911" s="5" t="s">
        <v>240</v>
      </c>
      <c r="GS2911" s="5" t="s">
        <v>240</v>
      </c>
      <c r="GT2911" s="5" t="s">
        <v>240</v>
      </c>
      <c r="GU2911" s="5" t="s">
        <v>240</v>
      </c>
      <c r="GV2911" s="5" t="s">
        <v>240</v>
      </c>
      <c r="GW2911" s="5" t="s">
        <v>240</v>
      </c>
      <c r="GX2911" s="5" t="s">
        <v>240</v>
      </c>
      <c r="GY2911" s="5" t="s">
        <v>240</v>
      </c>
      <c r="GZ2911" s="5" t="s">
        <v>240</v>
      </c>
      <c r="HA2911" s="5" t="s">
        <v>240</v>
      </c>
      <c r="HB2911" s="5" t="s">
        <v>240</v>
      </c>
      <c r="HC2911" s="5" t="s">
        <v>240</v>
      </c>
      <c r="HD2911" s="5" t="s">
        <v>240</v>
      </c>
      <c r="HE2911" s="5" t="s">
        <v>240</v>
      </c>
      <c r="HF2911" s="5" t="s">
        <v>240</v>
      </c>
      <c r="HG2911" s="5" t="s">
        <v>240</v>
      </c>
      <c r="HH2911" s="5" t="s">
        <v>240</v>
      </c>
      <c r="HI2911" s="5" t="s">
        <v>240</v>
      </c>
      <c r="HJ2911" s="5" t="s">
        <v>240</v>
      </c>
      <c r="HK2911" s="5" t="s">
        <v>240</v>
      </c>
      <c r="HL2911" s="5" t="s">
        <v>240</v>
      </c>
      <c r="HM2911" s="5" t="s">
        <v>240</v>
      </c>
      <c r="HN2911" s="5" t="s">
        <v>240</v>
      </c>
      <c r="HO2911" s="5" t="s">
        <v>312</v>
      </c>
      <c r="HP2911" s="5" t="s">
        <v>240</v>
      </c>
      <c r="HQ2911" s="5" t="s">
        <v>240</v>
      </c>
      <c r="HR2911" s="5" t="s">
        <v>240</v>
      </c>
      <c r="HS2911" s="5" t="s">
        <v>240</v>
      </c>
      <c r="HT2911" s="5" t="s">
        <v>240</v>
      </c>
      <c r="HU2911" s="5" t="s">
        <v>240</v>
      </c>
      <c r="HV2911" s="5" t="s">
        <v>240</v>
      </c>
      <c r="HW2911" s="5" t="s">
        <v>240</v>
      </c>
      <c r="HX2911" s="5" t="s">
        <v>240</v>
      </c>
      <c r="HY2911" s="5" t="s">
        <v>240</v>
      </c>
      <c r="HZ2911" s="5" t="s">
        <v>240</v>
      </c>
      <c r="IA2911" s="5" t="s">
        <v>240</v>
      </c>
      <c r="IB2911" s="5" t="s">
        <v>240</v>
      </c>
      <c r="IC2911" s="5" t="s">
        <v>240</v>
      </c>
      <c r="ID2911" s="5" t="s">
        <v>240</v>
      </c>
      <c r="IE2911" s="5" t="s">
        <v>240</v>
      </c>
      <c r="IF2911" s="5" t="s">
        <v>240</v>
      </c>
    </row>
    <row r="2912" spans="1:240" x14ac:dyDescent="0.4">
      <c r="A2912" s="5">
        <v>4616</v>
      </c>
      <c r="B2912" s="5">
        <v>1</v>
      </c>
      <c r="C2912" s="5">
        <v>1</v>
      </c>
      <c r="D2912" s="5" t="s">
        <v>810</v>
      </c>
      <c r="E2912" s="5" t="s">
        <v>245</v>
      </c>
      <c r="F2912" s="5" t="s">
        <v>254</v>
      </c>
      <c r="G2912" s="5" t="s">
        <v>240</v>
      </c>
      <c r="H2912" s="6" t="s">
        <v>2717</v>
      </c>
      <c r="I2912" s="5" t="s">
        <v>809</v>
      </c>
      <c r="J2912" s="8">
        <f>1512</f>
        <v>1512</v>
      </c>
      <c r="K2912" s="5" t="s">
        <v>308</v>
      </c>
      <c r="L2912" s="7">
        <f>1</f>
        <v>1</v>
      </c>
      <c r="M2912" s="7">
        <f>1</f>
        <v>1</v>
      </c>
      <c r="N2912" s="5" t="s">
        <v>242</v>
      </c>
      <c r="O2912" s="5">
        <v>1</v>
      </c>
      <c r="P2912" s="5" t="s">
        <v>294</v>
      </c>
      <c r="Q2912" s="5" t="s">
        <v>3678</v>
      </c>
      <c r="R2912" s="5" t="s">
        <v>240</v>
      </c>
      <c r="S2912" s="5" t="s">
        <v>240</v>
      </c>
      <c r="T2912" s="5" t="s">
        <v>243</v>
      </c>
      <c r="U2912" s="5" t="s">
        <v>244</v>
      </c>
      <c r="V2912" s="5" t="s">
        <v>240</v>
      </c>
      <c r="W2912" s="5" t="s">
        <v>240</v>
      </c>
      <c r="X2912" s="5" t="s">
        <v>240</v>
      </c>
      <c r="Y2912" s="5" t="s">
        <v>240</v>
      </c>
      <c r="Z2912" s="6" t="s">
        <v>298</v>
      </c>
      <c r="AA2912" s="6" t="s">
        <v>240</v>
      </c>
      <c r="AB2912" s="6" t="s">
        <v>240</v>
      </c>
      <c r="AC2912" s="5" t="s">
        <v>240</v>
      </c>
      <c r="AD2912" s="6" t="s">
        <v>240</v>
      </c>
      <c r="AE2912" s="6" t="s">
        <v>299</v>
      </c>
      <c r="AF2912" s="5" t="s">
        <v>248</v>
      </c>
      <c r="AG2912" s="5" t="s">
        <v>249</v>
      </c>
      <c r="AH2912" s="5" t="s">
        <v>240</v>
      </c>
      <c r="AI2912" s="5" t="s">
        <v>240</v>
      </c>
      <c r="AJ2912" s="5" t="s">
        <v>240</v>
      </c>
      <c r="AK2912" s="5" t="s">
        <v>240</v>
      </c>
      <c r="AL2912" s="5" t="s">
        <v>240</v>
      </c>
      <c r="AM2912" s="5" t="s">
        <v>240</v>
      </c>
      <c r="AN2912" s="5" t="s">
        <v>240</v>
      </c>
      <c r="AO2912" s="5" t="s">
        <v>240</v>
      </c>
      <c r="AP2912" s="6" t="s">
        <v>240</v>
      </c>
      <c r="AQ2912" s="6" t="s">
        <v>240</v>
      </c>
      <c r="AR2912" s="6" t="s">
        <v>240</v>
      </c>
      <c r="AS2912" s="6" t="s">
        <v>240</v>
      </c>
      <c r="AT2912" s="5" t="s">
        <v>240</v>
      </c>
      <c r="AU2912" s="5" t="s">
        <v>729</v>
      </c>
      <c r="AV2912" s="5" t="s">
        <v>729</v>
      </c>
      <c r="AW2912" s="5" t="s">
        <v>251</v>
      </c>
      <c r="AX2912" s="5" t="s">
        <v>252</v>
      </c>
      <c r="AY2912" s="5" t="s">
        <v>253</v>
      </c>
      <c r="AZ2912" s="5" t="s">
        <v>240</v>
      </c>
      <c r="BA2912" s="5" t="s">
        <v>255</v>
      </c>
      <c r="BB2912" s="5" t="s">
        <v>731</v>
      </c>
      <c r="BD2912" s="5" t="s">
        <v>240</v>
      </c>
      <c r="BF2912" s="5" t="s">
        <v>732</v>
      </c>
      <c r="BG2912" s="6" t="s">
        <v>733</v>
      </c>
      <c r="BH2912" s="5" t="s">
        <v>734</v>
      </c>
      <c r="BI2912" s="5" t="s">
        <v>734</v>
      </c>
      <c r="BJ2912" s="5" t="s">
        <v>240</v>
      </c>
      <c r="BK2912" s="7">
        <f>1</f>
        <v>1</v>
      </c>
      <c r="BL2912" s="7">
        <f>1</f>
        <v>1</v>
      </c>
      <c r="BM2912" s="5" t="s">
        <v>258</v>
      </c>
      <c r="BN2912" s="5" t="s">
        <v>259</v>
      </c>
      <c r="BO2912" s="5" t="s">
        <v>240</v>
      </c>
      <c r="BP2912" s="5" t="s">
        <v>240</v>
      </c>
      <c r="BQ2912" s="5" t="s">
        <v>240</v>
      </c>
      <c r="BR2912" s="5" t="s">
        <v>240</v>
      </c>
      <c r="BS2912" s="5" t="s">
        <v>240</v>
      </c>
      <c r="BT2912" s="5" t="s">
        <v>240</v>
      </c>
      <c r="BU2912" s="5" t="s">
        <v>240</v>
      </c>
      <c r="BV2912" s="5" t="s">
        <v>240</v>
      </c>
      <c r="BW2912" s="6" t="s">
        <v>240</v>
      </c>
      <c r="BX2912" s="5" t="s">
        <v>240</v>
      </c>
      <c r="BY2912" s="5" t="s">
        <v>240</v>
      </c>
      <c r="BZ2912" s="5" t="s">
        <v>240</v>
      </c>
      <c r="CA2912" s="5" t="s">
        <v>259</v>
      </c>
      <c r="CB2912" s="5" t="s">
        <v>240</v>
      </c>
      <c r="CC2912" s="5" t="s">
        <v>240</v>
      </c>
      <c r="CD2912" s="5" t="s">
        <v>240</v>
      </c>
      <c r="CE2912" s="5" t="s">
        <v>240</v>
      </c>
      <c r="CF2912" s="5" t="s">
        <v>240</v>
      </c>
      <c r="CG2912" s="5" t="s">
        <v>304</v>
      </c>
      <c r="CH2912" s="5" t="s">
        <v>305</v>
      </c>
      <c r="CI2912" s="5" t="s">
        <v>240</v>
      </c>
      <c r="CK2912" s="5" t="s">
        <v>3681</v>
      </c>
      <c r="CL2912" s="6" t="s">
        <v>261</v>
      </c>
      <c r="CM2912" s="5" t="s">
        <v>262</v>
      </c>
      <c r="CN2912" s="5" t="s">
        <v>263</v>
      </c>
      <c r="CO2912" s="5" t="s">
        <v>264</v>
      </c>
      <c r="CP2912" s="5" t="s">
        <v>240</v>
      </c>
      <c r="CQ2912" s="5">
        <v>0</v>
      </c>
      <c r="CR2912" s="5" t="s">
        <v>735</v>
      </c>
      <c r="CS2912" s="5" t="s">
        <v>307</v>
      </c>
      <c r="CT2912" s="5" t="s">
        <v>307</v>
      </c>
      <c r="CU2912" s="5" t="s">
        <v>260</v>
      </c>
      <c r="CV2912" s="5" t="s">
        <v>612</v>
      </c>
      <c r="CW2912" s="8">
        <f>1</f>
        <v>1</v>
      </c>
      <c r="CX2912" s="7">
        <f>1</f>
        <v>1</v>
      </c>
      <c r="CY2912" s="7">
        <f>0</f>
        <v>0</v>
      </c>
      <c r="DA2912" s="7">
        <f>1</f>
        <v>1</v>
      </c>
      <c r="DB2912" s="7" t="s">
        <v>240</v>
      </c>
      <c r="DC2912" s="5" t="s">
        <v>240</v>
      </c>
      <c r="DD2912" s="5" t="s">
        <v>240</v>
      </c>
      <c r="DE2912" s="5" t="s">
        <v>240</v>
      </c>
      <c r="DF2912" s="5" t="s">
        <v>240</v>
      </c>
      <c r="DG2912" s="7">
        <f>0</f>
        <v>0</v>
      </c>
      <c r="DI2912" s="5" t="s">
        <v>240</v>
      </c>
      <c r="DJ2912" s="5" t="s">
        <v>240</v>
      </c>
      <c r="DK2912" s="5" t="s">
        <v>240</v>
      </c>
      <c r="DL2912" s="5" t="s">
        <v>240</v>
      </c>
      <c r="DM2912" s="5" t="s">
        <v>240</v>
      </c>
      <c r="DN2912" s="5" t="s">
        <v>240</v>
      </c>
      <c r="DO2912" s="7" t="s">
        <v>240</v>
      </c>
      <c r="DP2912" s="5" t="s">
        <v>240</v>
      </c>
      <c r="DQ2912" s="5" t="s">
        <v>240</v>
      </c>
      <c r="DR2912" s="5" t="s">
        <v>731</v>
      </c>
      <c r="DS2912" s="5" t="s">
        <v>731</v>
      </c>
      <c r="DT2912" s="5" t="s">
        <v>240</v>
      </c>
      <c r="DU2912" s="5" t="s">
        <v>240</v>
      </c>
      <c r="DV2912" s="5" t="s">
        <v>5063</v>
      </c>
      <c r="DW2912" s="5" t="s">
        <v>1227</v>
      </c>
      <c r="DX2912" s="5" t="s">
        <v>240</v>
      </c>
      <c r="DY2912" s="5" t="s">
        <v>240</v>
      </c>
      <c r="DZ2912" s="5" t="s">
        <v>240</v>
      </c>
      <c r="EA2912" s="5" t="s">
        <v>240</v>
      </c>
      <c r="EB2912" s="5" t="s">
        <v>240</v>
      </c>
      <c r="EC2912" s="5" t="s">
        <v>240</v>
      </c>
      <c r="ED2912" s="5" t="s">
        <v>240</v>
      </c>
      <c r="EE2912" s="5" t="s">
        <v>240</v>
      </c>
      <c r="EF2912" s="5" t="s">
        <v>240</v>
      </c>
      <c r="EG2912" s="5" t="s">
        <v>240</v>
      </c>
      <c r="EH2912" s="5" t="s">
        <v>240</v>
      </c>
      <c r="EI2912" s="5" t="s">
        <v>240</v>
      </c>
      <c r="EJ2912" s="5" t="s">
        <v>240</v>
      </c>
      <c r="EK2912" s="5" t="s">
        <v>240</v>
      </c>
      <c r="EL2912" s="5" t="s">
        <v>240</v>
      </c>
      <c r="EM2912" s="5" t="s">
        <v>240</v>
      </c>
      <c r="EN2912" s="5" t="s">
        <v>240</v>
      </c>
      <c r="EO2912" s="5" t="s">
        <v>240</v>
      </c>
      <c r="EP2912" s="5" t="s">
        <v>240</v>
      </c>
      <c r="EQ2912" s="5" t="s">
        <v>240</v>
      </c>
      <c r="ER2912" s="5" t="s">
        <v>240</v>
      </c>
      <c r="ES2912" s="5" t="s">
        <v>240</v>
      </c>
      <c r="ET2912" s="5" t="s">
        <v>240</v>
      </c>
      <c r="EU2912" s="5" t="s">
        <v>240</v>
      </c>
      <c r="EV2912" s="5" t="s">
        <v>240</v>
      </c>
      <c r="EW2912" s="5" t="s">
        <v>240</v>
      </c>
      <c r="EX2912" s="5" t="s">
        <v>240</v>
      </c>
      <c r="EY2912" s="5" t="s">
        <v>240</v>
      </c>
      <c r="EZ2912" s="5" t="s">
        <v>240</v>
      </c>
      <c r="FA2912" s="5" t="s">
        <v>240</v>
      </c>
      <c r="FB2912" s="5" t="s">
        <v>240</v>
      </c>
      <c r="FC2912" s="5" t="s">
        <v>240</v>
      </c>
      <c r="FD2912" s="5" t="s">
        <v>240</v>
      </c>
      <c r="FE2912" s="5" t="s">
        <v>240</v>
      </c>
      <c r="FF2912" s="5" t="s">
        <v>240</v>
      </c>
      <c r="FG2912" s="5" t="s">
        <v>240</v>
      </c>
      <c r="FH2912" s="5" t="s">
        <v>240</v>
      </c>
      <c r="FI2912" s="5" t="s">
        <v>240</v>
      </c>
      <c r="FJ2912" s="5" t="s">
        <v>240</v>
      </c>
      <c r="FK2912" s="5" t="s">
        <v>240</v>
      </c>
      <c r="FL2912" s="5" t="s">
        <v>240</v>
      </c>
      <c r="FM2912" s="5" t="s">
        <v>240</v>
      </c>
      <c r="FN2912" s="5" t="s">
        <v>240</v>
      </c>
      <c r="FO2912" s="5" t="s">
        <v>240</v>
      </c>
      <c r="FP2912" s="5" t="s">
        <v>240</v>
      </c>
      <c r="FQ2912" s="5" t="s">
        <v>240</v>
      </c>
      <c r="FR2912" s="5" t="s">
        <v>240</v>
      </c>
      <c r="FS2912" s="5" t="s">
        <v>240</v>
      </c>
      <c r="FT2912" s="5" t="s">
        <v>240</v>
      </c>
      <c r="FU2912" s="5" t="s">
        <v>240</v>
      </c>
      <c r="FV2912" s="5" t="s">
        <v>240</v>
      </c>
      <c r="FW2912" s="5" t="s">
        <v>240</v>
      </c>
      <c r="FX2912" s="5" t="s">
        <v>240</v>
      </c>
      <c r="FY2912" s="5" t="s">
        <v>240</v>
      </c>
      <c r="FZ2912" s="5" t="s">
        <v>240</v>
      </c>
      <c r="GA2912" s="5" t="s">
        <v>240</v>
      </c>
      <c r="GB2912" s="5" t="s">
        <v>240</v>
      </c>
      <c r="GC2912" s="5" t="s">
        <v>240</v>
      </c>
      <c r="GD2912" s="5" t="s">
        <v>240</v>
      </c>
      <c r="GE2912" s="5" t="s">
        <v>240</v>
      </c>
      <c r="GF2912" s="5" t="s">
        <v>240</v>
      </c>
      <c r="GG2912" s="5" t="s">
        <v>240</v>
      </c>
      <c r="GH2912" s="5" t="s">
        <v>240</v>
      </c>
      <c r="GI2912" s="5" t="s">
        <v>240</v>
      </c>
      <c r="GJ2912" s="5" t="s">
        <v>240</v>
      </c>
      <c r="GK2912" s="5" t="s">
        <v>240</v>
      </c>
      <c r="GL2912" s="5" t="s">
        <v>240</v>
      </c>
      <c r="GM2912" s="5" t="s">
        <v>240</v>
      </c>
      <c r="GN2912" s="5" t="s">
        <v>240</v>
      </c>
      <c r="GO2912" s="5" t="s">
        <v>240</v>
      </c>
      <c r="GP2912" s="5" t="s">
        <v>240</v>
      </c>
      <c r="GQ2912" s="5" t="s">
        <v>240</v>
      </c>
      <c r="GR2912" s="5" t="s">
        <v>240</v>
      </c>
      <c r="GS2912" s="5" t="s">
        <v>240</v>
      </c>
      <c r="GT2912" s="5" t="s">
        <v>240</v>
      </c>
      <c r="GU2912" s="5" t="s">
        <v>240</v>
      </c>
      <c r="GV2912" s="5" t="s">
        <v>240</v>
      </c>
      <c r="GW2912" s="5" t="s">
        <v>240</v>
      </c>
      <c r="GX2912" s="5" t="s">
        <v>240</v>
      </c>
      <c r="GY2912" s="5" t="s">
        <v>240</v>
      </c>
      <c r="GZ2912" s="5" t="s">
        <v>240</v>
      </c>
      <c r="HA2912" s="5" t="s">
        <v>240</v>
      </c>
      <c r="HB2912" s="5" t="s">
        <v>240</v>
      </c>
      <c r="HC2912" s="5" t="s">
        <v>240</v>
      </c>
      <c r="HD2912" s="5" t="s">
        <v>240</v>
      </c>
      <c r="HE2912" s="5" t="s">
        <v>240</v>
      </c>
      <c r="HF2912" s="5" t="s">
        <v>240</v>
      </c>
      <c r="HG2912" s="5" t="s">
        <v>240</v>
      </c>
      <c r="HH2912" s="5" t="s">
        <v>240</v>
      </c>
      <c r="HI2912" s="5" t="s">
        <v>240</v>
      </c>
      <c r="HJ2912" s="5" t="s">
        <v>240</v>
      </c>
      <c r="HK2912" s="5" t="s">
        <v>240</v>
      </c>
      <c r="HL2912" s="5" t="s">
        <v>240</v>
      </c>
      <c r="HM2912" s="5" t="s">
        <v>240</v>
      </c>
      <c r="HN2912" s="5" t="s">
        <v>240</v>
      </c>
      <c r="HO2912" s="5" t="s">
        <v>312</v>
      </c>
      <c r="HP2912" s="5" t="s">
        <v>240</v>
      </c>
      <c r="HQ2912" s="5" t="s">
        <v>240</v>
      </c>
      <c r="HR2912" s="5" t="s">
        <v>240</v>
      </c>
      <c r="HS2912" s="5" t="s">
        <v>240</v>
      </c>
      <c r="HT2912" s="5" t="s">
        <v>240</v>
      </c>
      <c r="HU2912" s="5" t="s">
        <v>240</v>
      </c>
      <c r="HV2912" s="5" t="s">
        <v>240</v>
      </c>
      <c r="HW2912" s="5" t="s">
        <v>240</v>
      </c>
      <c r="HX2912" s="5" t="s">
        <v>240</v>
      </c>
      <c r="HY2912" s="5" t="s">
        <v>240</v>
      </c>
      <c r="HZ2912" s="5" t="s">
        <v>240</v>
      </c>
      <c r="IA2912" s="5" t="s">
        <v>240</v>
      </c>
      <c r="IB2912" s="5" t="s">
        <v>240</v>
      </c>
      <c r="IC2912" s="5" t="s">
        <v>240</v>
      </c>
      <c r="ID2912" s="5" t="s">
        <v>240</v>
      </c>
      <c r="IE2912" s="5" t="s">
        <v>240</v>
      </c>
      <c r="IF2912" s="5" t="s">
        <v>240</v>
      </c>
    </row>
    <row r="2913" spans="1:240" x14ac:dyDescent="0.4">
      <c r="A2913" s="5">
        <v>4617</v>
      </c>
      <c r="B2913" s="5">
        <v>1</v>
      </c>
      <c r="C2913" s="5">
        <v>1</v>
      </c>
      <c r="D2913" s="5" t="s">
        <v>810</v>
      </c>
      <c r="E2913" s="5" t="s">
        <v>245</v>
      </c>
      <c r="F2913" s="5" t="s">
        <v>254</v>
      </c>
      <c r="G2913" s="5" t="s">
        <v>240</v>
      </c>
      <c r="H2913" s="6" t="s">
        <v>2715</v>
      </c>
      <c r="I2913" s="5" t="s">
        <v>809</v>
      </c>
      <c r="J2913" s="8">
        <f>1410</f>
        <v>1410</v>
      </c>
      <c r="K2913" s="5" t="s">
        <v>308</v>
      </c>
      <c r="L2913" s="7">
        <f>1</f>
        <v>1</v>
      </c>
      <c r="M2913" s="7">
        <f>1</f>
        <v>1</v>
      </c>
      <c r="N2913" s="5" t="s">
        <v>242</v>
      </c>
      <c r="O2913" s="5">
        <v>1</v>
      </c>
      <c r="P2913" s="5" t="s">
        <v>294</v>
      </c>
      <c r="Q2913" s="5" t="s">
        <v>266</v>
      </c>
      <c r="R2913" s="5" t="s">
        <v>240</v>
      </c>
      <c r="S2913" s="5" t="s">
        <v>240</v>
      </c>
      <c r="T2913" s="5" t="s">
        <v>243</v>
      </c>
      <c r="U2913" s="5" t="s">
        <v>240</v>
      </c>
      <c r="V2913" s="5" t="s">
        <v>240</v>
      </c>
      <c r="Y2913" s="5" t="s">
        <v>240</v>
      </c>
      <c r="Z2913" s="6" t="s">
        <v>747</v>
      </c>
      <c r="AB2913" s="6" t="s">
        <v>240</v>
      </c>
      <c r="AE2913" s="6" t="s">
        <v>5102</v>
      </c>
      <c r="AF2913" s="5" t="s">
        <v>248</v>
      </c>
      <c r="AG2913" s="5" t="s">
        <v>260</v>
      </c>
      <c r="AW2913" s="5" t="s">
        <v>251</v>
      </c>
      <c r="AX2913" s="5" t="s">
        <v>240</v>
      </c>
      <c r="AY2913" s="5" t="s">
        <v>253</v>
      </c>
      <c r="AZ2913" s="5" t="s">
        <v>240</v>
      </c>
      <c r="BA2913" s="5" t="s">
        <v>255</v>
      </c>
      <c r="BB2913" s="5" t="s">
        <v>240</v>
      </c>
      <c r="BD2913" s="5" t="s">
        <v>240</v>
      </c>
      <c r="BF2913" s="5" t="s">
        <v>447</v>
      </c>
      <c r="BG2913" s="6" t="s">
        <v>747</v>
      </c>
      <c r="BH2913" s="5" t="s">
        <v>302</v>
      </c>
      <c r="BI2913" s="5" t="s">
        <v>448</v>
      </c>
      <c r="BJ2913" s="5" t="s">
        <v>240</v>
      </c>
      <c r="BK2913" s="8">
        <f>0</f>
        <v>0</v>
      </c>
      <c r="BL2913" s="7">
        <f>0</f>
        <v>0</v>
      </c>
      <c r="BM2913" s="5" t="s">
        <v>258</v>
      </c>
      <c r="BN2913" s="5" t="s">
        <v>259</v>
      </c>
      <c r="CB2913" s="5" t="s">
        <v>240</v>
      </c>
      <c r="CC2913" s="5" t="s">
        <v>240</v>
      </c>
      <c r="CG2913" s="5" t="s">
        <v>449</v>
      </c>
      <c r="CH2913" s="5" t="s">
        <v>305</v>
      </c>
      <c r="CI2913" s="5" t="s">
        <v>240</v>
      </c>
      <c r="CL2913" s="6" t="s">
        <v>261</v>
      </c>
      <c r="CM2913" s="5" t="s">
        <v>240</v>
      </c>
      <c r="CN2913" s="5" t="s">
        <v>263</v>
      </c>
      <c r="CO2913" s="5" t="s">
        <v>240</v>
      </c>
      <c r="CP2913" s="5" t="s">
        <v>240</v>
      </c>
      <c r="CQ2913" s="5">
        <v>0</v>
      </c>
      <c r="CR2913" s="5" t="s">
        <v>306</v>
      </c>
      <c r="CS2913" s="5" t="s">
        <v>307</v>
      </c>
      <c r="CT2913" s="5" t="s">
        <v>307</v>
      </c>
      <c r="CU2913" s="5" t="s">
        <v>260</v>
      </c>
      <c r="CX2913" s="7">
        <f>23371231</f>
        <v>23371231</v>
      </c>
      <c r="CY2913" s="7">
        <f>0</f>
        <v>0</v>
      </c>
      <c r="DA2913" s="7">
        <f>0</f>
        <v>0</v>
      </c>
      <c r="DC2913" s="5" t="s">
        <v>450</v>
      </c>
      <c r="DD2913" s="5" t="s">
        <v>240</v>
      </c>
      <c r="DF2913" s="5" t="s">
        <v>450</v>
      </c>
      <c r="DG2913" s="7">
        <f>5435.17</f>
        <v>5435.17</v>
      </c>
      <c r="DI2913" s="5" t="s">
        <v>240</v>
      </c>
      <c r="DJ2913" s="5" t="s">
        <v>240</v>
      </c>
      <c r="DK2913" s="5" t="s">
        <v>240</v>
      </c>
      <c r="DL2913" s="5" t="s">
        <v>240</v>
      </c>
      <c r="DP2913" s="5" t="s">
        <v>240</v>
      </c>
      <c r="DQ2913" s="5" t="s">
        <v>240</v>
      </c>
      <c r="DR2913" s="5" t="s">
        <v>240</v>
      </c>
      <c r="DS2913" s="5" t="s">
        <v>240</v>
      </c>
      <c r="DV2913" s="5" t="s">
        <v>310</v>
      </c>
      <c r="DW2913" s="5" t="s">
        <v>2460</v>
      </c>
      <c r="HO2913" s="5" t="s">
        <v>312</v>
      </c>
    </row>
    <row r="2914" spans="1:240" x14ac:dyDescent="0.4">
      <c r="A2914" s="5">
        <v>4618</v>
      </c>
      <c r="B2914" s="5">
        <v>1</v>
      </c>
      <c r="C2914" s="5">
        <v>1</v>
      </c>
      <c r="D2914" s="5" t="s">
        <v>810</v>
      </c>
      <c r="E2914" s="5" t="s">
        <v>245</v>
      </c>
      <c r="F2914" s="5" t="s">
        <v>254</v>
      </c>
      <c r="G2914" s="5" t="s">
        <v>240</v>
      </c>
      <c r="H2914" s="6" t="s">
        <v>2713</v>
      </c>
      <c r="I2914" s="5" t="s">
        <v>809</v>
      </c>
      <c r="J2914" s="8">
        <f>1049</f>
        <v>1049</v>
      </c>
      <c r="K2914" s="5" t="s">
        <v>308</v>
      </c>
      <c r="L2914" s="7">
        <f>1</f>
        <v>1</v>
      </c>
      <c r="M2914" s="7">
        <f>1</f>
        <v>1</v>
      </c>
      <c r="N2914" s="5" t="s">
        <v>242</v>
      </c>
      <c r="O2914" s="5">
        <v>1</v>
      </c>
      <c r="P2914" s="5" t="s">
        <v>294</v>
      </c>
      <c r="Q2914" s="5" t="s">
        <v>3678</v>
      </c>
      <c r="R2914" s="5" t="s">
        <v>240</v>
      </c>
      <c r="S2914" s="5" t="s">
        <v>240</v>
      </c>
      <c r="T2914" s="5" t="s">
        <v>243</v>
      </c>
      <c r="U2914" s="5" t="s">
        <v>244</v>
      </c>
      <c r="V2914" s="5" t="s">
        <v>240</v>
      </c>
      <c r="W2914" s="5" t="s">
        <v>240</v>
      </c>
      <c r="X2914" s="5" t="s">
        <v>240</v>
      </c>
      <c r="Y2914" s="5" t="s">
        <v>240</v>
      </c>
      <c r="Z2914" s="6" t="s">
        <v>298</v>
      </c>
      <c r="AA2914" s="6" t="s">
        <v>240</v>
      </c>
      <c r="AB2914" s="6" t="s">
        <v>240</v>
      </c>
      <c r="AC2914" s="5" t="s">
        <v>240</v>
      </c>
      <c r="AD2914" s="6" t="s">
        <v>240</v>
      </c>
      <c r="AE2914" s="6" t="s">
        <v>299</v>
      </c>
      <c r="AF2914" s="5" t="s">
        <v>248</v>
      </c>
      <c r="AG2914" s="5" t="s">
        <v>249</v>
      </c>
      <c r="AH2914" s="5" t="s">
        <v>240</v>
      </c>
      <c r="AI2914" s="5" t="s">
        <v>240</v>
      </c>
      <c r="AJ2914" s="5" t="s">
        <v>240</v>
      </c>
      <c r="AK2914" s="5" t="s">
        <v>240</v>
      </c>
      <c r="AL2914" s="5" t="s">
        <v>240</v>
      </c>
      <c r="AM2914" s="5" t="s">
        <v>240</v>
      </c>
      <c r="AN2914" s="5" t="s">
        <v>240</v>
      </c>
      <c r="AO2914" s="5" t="s">
        <v>240</v>
      </c>
      <c r="AP2914" s="6" t="s">
        <v>240</v>
      </c>
      <c r="AQ2914" s="6" t="s">
        <v>240</v>
      </c>
      <c r="AR2914" s="6" t="s">
        <v>240</v>
      </c>
      <c r="AS2914" s="6" t="s">
        <v>240</v>
      </c>
      <c r="AT2914" s="5" t="s">
        <v>240</v>
      </c>
      <c r="AU2914" s="5" t="s">
        <v>729</v>
      </c>
      <c r="AV2914" s="5" t="s">
        <v>729</v>
      </c>
      <c r="AW2914" s="5" t="s">
        <v>251</v>
      </c>
      <c r="AX2914" s="5" t="s">
        <v>252</v>
      </c>
      <c r="AY2914" s="5" t="s">
        <v>253</v>
      </c>
      <c r="AZ2914" s="5" t="s">
        <v>240</v>
      </c>
      <c r="BA2914" s="5" t="s">
        <v>255</v>
      </c>
      <c r="BB2914" s="5" t="s">
        <v>731</v>
      </c>
      <c r="BD2914" s="5" t="s">
        <v>240</v>
      </c>
      <c r="BF2914" s="5" t="s">
        <v>732</v>
      </c>
      <c r="BG2914" s="6" t="s">
        <v>733</v>
      </c>
      <c r="BH2914" s="5" t="s">
        <v>734</v>
      </c>
      <c r="BI2914" s="5" t="s">
        <v>734</v>
      </c>
      <c r="BJ2914" s="5" t="s">
        <v>240</v>
      </c>
      <c r="BK2914" s="7">
        <f>1</f>
        <v>1</v>
      </c>
      <c r="BL2914" s="7">
        <f>1</f>
        <v>1</v>
      </c>
      <c r="BM2914" s="5" t="s">
        <v>258</v>
      </c>
      <c r="BN2914" s="5" t="s">
        <v>259</v>
      </c>
      <c r="BO2914" s="5" t="s">
        <v>240</v>
      </c>
      <c r="BP2914" s="5" t="s">
        <v>240</v>
      </c>
      <c r="BQ2914" s="5" t="s">
        <v>240</v>
      </c>
      <c r="BR2914" s="5" t="s">
        <v>240</v>
      </c>
      <c r="BS2914" s="5" t="s">
        <v>240</v>
      </c>
      <c r="BT2914" s="5" t="s">
        <v>240</v>
      </c>
      <c r="BU2914" s="5" t="s">
        <v>240</v>
      </c>
      <c r="BV2914" s="5" t="s">
        <v>240</v>
      </c>
      <c r="BW2914" s="6" t="s">
        <v>240</v>
      </c>
      <c r="BX2914" s="5" t="s">
        <v>240</v>
      </c>
      <c r="BY2914" s="5" t="s">
        <v>240</v>
      </c>
      <c r="BZ2914" s="5" t="s">
        <v>240</v>
      </c>
      <c r="CA2914" s="5" t="s">
        <v>259</v>
      </c>
      <c r="CB2914" s="5" t="s">
        <v>240</v>
      </c>
      <c r="CC2914" s="5" t="s">
        <v>240</v>
      </c>
      <c r="CD2914" s="5" t="s">
        <v>240</v>
      </c>
      <c r="CE2914" s="5" t="s">
        <v>240</v>
      </c>
      <c r="CF2914" s="5" t="s">
        <v>240</v>
      </c>
      <c r="CG2914" s="5" t="s">
        <v>304</v>
      </c>
      <c r="CH2914" s="5" t="s">
        <v>305</v>
      </c>
      <c r="CI2914" s="5" t="s">
        <v>240</v>
      </c>
      <c r="CK2914" s="5" t="s">
        <v>3681</v>
      </c>
      <c r="CL2914" s="6" t="s">
        <v>261</v>
      </c>
      <c r="CM2914" s="5" t="s">
        <v>262</v>
      </c>
      <c r="CN2914" s="5" t="s">
        <v>263</v>
      </c>
      <c r="CO2914" s="5" t="s">
        <v>264</v>
      </c>
      <c r="CP2914" s="5" t="s">
        <v>240</v>
      </c>
      <c r="CQ2914" s="5">
        <v>0</v>
      </c>
      <c r="CR2914" s="5" t="s">
        <v>735</v>
      </c>
      <c r="CS2914" s="5" t="s">
        <v>307</v>
      </c>
      <c r="CT2914" s="5" t="s">
        <v>307</v>
      </c>
      <c r="CU2914" s="5" t="s">
        <v>260</v>
      </c>
      <c r="CV2914" s="5" t="s">
        <v>612</v>
      </c>
      <c r="CW2914" s="8">
        <f>1</f>
        <v>1</v>
      </c>
      <c r="CX2914" s="7">
        <f>1</f>
        <v>1</v>
      </c>
      <c r="CY2914" s="7">
        <f>0</f>
        <v>0</v>
      </c>
      <c r="DA2914" s="7">
        <f>1</f>
        <v>1</v>
      </c>
      <c r="DB2914" s="7" t="s">
        <v>240</v>
      </c>
      <c r="DC2914" s="5" t="s">
        <v>240</v>
      </c>
      <c r="DD2914" s="5" t="s">
        <v>240</v>
      </c>
      <c r="DE2914" s="5" t="s">
        <v>240</v>
      </c>
      <c r="DF2914" s="5" t="s">
        <v>240</v>
      </c>
      <c r="DG2914" s="7">
        <f>0</f>
        <v>0</v>
      </c>
      <c r="DI2914" s="5" t="s">
        <v>240</v>
      </c>
      <c r="DJ2914" s="5" t="s">
        <v>240</v>
      </c>
      <c r="DK2914" s="5" t="s">
        <v>240</v>
      </c>
      <c r="DL2914" s="5" t="s">
        <v>240</v>
      </c>
      <c r="DM2914" s="5" t="s">
        <v>240</v>
      </c>
      <c r="DN2914" s="5" t="s">
        <v>240</v>
      </c>
      <c r="DO2914" s="7" t="s">
        <v>240</v>
      </c>
      <c r="DP2914" s="5" t="s">
        <v>240</v>
      </c>
      <c r="DQ2914" s="5" t="s">
        <v>240</v>
      </c>
      <c r="DR2914" s="5" t="s">
        <v>731</v>
      </c>
      <c r="DS2914" s="5" t="s">
        <v>731</v>
      </c>
      <c r="DT2914" s="5" t="s">
        <v>240</v>
      </c>
      <c r="DU2914" s="5" t="s">
        <v>240</v>
      </c>
      <c r="DV2914" s="5" t="s">
        <v>3683</v>
      </c>
      <c r="DW2914" s="5" t="s">
        <v>442</v>
      </c>
      <c r="DX2914" s="5" t="s">
        <v>240</v>
      </c>
      <c r="DY2914" s="5" t="s">
        <v>240</v>
      </c>
      <c r="DZ2914" s="5" t="s">
        <v>240</v>
      </c>
      <c r="EA2914" s="5" t="s">
        <v>240</v>
      </c>
      <c r="EB2914" s="5" t="s">
        <v>240</v>
      </c>
      <c r="EC2914" s="5" t="s">
        <v>240</v>
      </c>
      <c r="ED2914" s="5" t="s">
        <v>240</v>
      </c>
      <c r="EE2914" s="5" t="s">
        <v>240</v>
      </c>
      <c r="EF2914" s="5" t="s">
        <v>240</v>
      </c>
      <c r="EG2914" s="5" t="s">
        <v>240</v>
      </c>
      <c r="EH2914" s="5" t="s">
        <v>240</v>
      </c>
      <c r="EI2914" s="5" t="s">
        <v>240</v>
      </c>
      <c r="EJ2914" s="5" t="s">
        <v>240</v>
      </c>
      <c r="EK2914" s="5" t="s">
        <v>240</v>
      </c>
      <c r="EL2914" s="5" t="s">
        <v>240</v>
      </c>
      <c r="EM2914" s="5" t="s">
        <v>240</v>
      </c>
      <c r="EN2914" s="5" t="s">
        <v>240</v>
      </c>
      <c r="EO2914" s="5" t="s">
        <v>240</v>
      </c>
      <c r="EP2914" s="5" t="s">
        <v>240</v>
      </c>
      <c r="EQ2914" s="5" t="s">
        <v>240</v>
      </c>
      <c r="ER2914" s="5" t="s">
        <v>240</v>
      </c>
      <c r="ES2914" s="5" t="s">
        <v>240</v>
      </c>
      <c r="ET2914" s="5" t="s">
        <v>240</v>
      </c>
      <c r="EU2914" s="5" t="s">
        <v>240</v>
      </c>
      <c r="EV2914" s="5" t="s">
        <v>240</v>
      </c>
      <c r="EW2914" s="5" t="s">
        <v>240</v>
      </c>
      <c r="EX2914" s="5" t="s">
        <v>240</v>
      </c>
      <c r="EY2914" s="5" t="s">
        <v>240</v>
      </c>
      <c r="EZ2914" s="5" t="s">
        <v>240</v>
      </c>
      <c r="FA2914" s="5" t="s">
        <v>240</v>
      </c>
      <c r="FB2914" s="5" t="s">
        <v>240</v>
      </c>
      <c r="FC2914" s="5" t="s">
        <v>240</v>
      </c>
      <c r="FD2914" s="5" t="s">
        <v>240</v>
      </c>
      <c r="FE2914" s="5" t="s">
        <v>240</v>
      </c>
      <c r="FF2914" s="5" t="s">
        <v>240</v>
      </c>
      <c r="FG2914" s="5" t="s">
        <v>240</v>
      </c>
      <c r="FH2914" s="5" t="s">
        <v>240</v>
      </c>
      <c r="FI2914" s="5" t="s">
        <v>240</v>
      </c>
      <c r="FJ2914" s="5" t="s">
        <v>240</v>
      </c>
      <c r="FK2914" s="5" t="s">
        <v>240</v>
      </c>
      <c r="FL2914" s="5" t="s">
        <v>240</v>
      </c>
      <c r="FM2914" s="5" t="s">
        <v>240</v>
      </c>
      <c r="FN2914" s="5" t="s">
        <v>240</v>
      </c>
      <c r="FO2914" s="5" t="s">
        <v>240</v>
      </c>
      <c r="FP2914" s="5" t="s">
        <v>240</v>
      </c>
      <c r="FQ2914" s="5" t="s">
        <v>240</v>
      </c>
      <c r="FR2914" s="5" t="s">
        <v>240</v>
      </c>
      <c r="FS2914" s="5" t="s">
        <v>240</v>
      </c>
      <c r="FT2914" s="5" t="s">
        <v>240</v>
      </c>
      <c r="FU2914" s="5" t="s">
        <v>240</v>
      </c>
      <c r="FV2914" s="5" t="s">
        <v>240</v>
      </c>
      <c r="FW2914" s="5" t="s">
        <v>240</v>
      </c>
      <c r="FX2914" s="5" t="s">
        <v>240</v>
      </c>
      <c r="FY2914" s="5" t="s">
        <v>240</v>
      </c>
      <c r="FZ2914" s="5" t="s">
        <v>240</v>
      </c>
      <c r="GA2914" s="5" t="s">
        <v>240</v>
      </c>
      <c r="GB2914" s="5" t="s">
        <v>240</v>
      </c>
      <c r="GC2914" s="5" t="s">
        <v>240</v>
      </c>
      <c r="GD2914" s="5" t="s">
        <v>240</v>
      </c>
      <c r="GE2914" s="5" t="s">
        <v>240</v>
      </c>
      <c r="GF2914" s="5" t="s">
        <v>240</v>
      </c>
      <c r="GG2914" s="5" t="s">
        <v>240</v>
      </c>
      <c r="GH2914" s="5" t="s">
        <v>240</v>
      </c>
      <c r="GI2914" s="5" t="s">
        <v>240</v>
      </c>
      <c r="GJ2914" s="5" t="s">
        <v>240</v>
      </c>
      <c r="GK2914" s="5" t="s">
        <v>240</v>
      </c>
      <c r="GL2914" s="5" t="s">
        <v>240</v>
      </c>
      <c r="GM2914" s="5" t="s">
        <v>240</v>
      </c>
      <c r="GN2914" s="5" t="s">
        <v>240</v>
      </c>
      <c r="GO2914" s="5" t="s">
        <v>240</v>
      </c>
      <c r="GP2914" s="5" t="s">
        <v>240</v>
      </c>
      <c r="GQ2914" s="5" t="s">
        <v>240</v>
      </c>
      <c r="GR2914" s="5" t="s">
        <v>240</v>
      </c>
      <c r="GS2914" s="5" t="s">
        <v>240</v>
      </c>
      <c r="GT2914" s="5" t="s">
        <v>240</v>
      </c>
      <c r="GU2914" s="5" t="s">
        <v>240</v>
      </c>
      <c r="GV2914" s="5" t="s">
        <v>240</v>
      </c>
      <c r="GW2914" s="5" t="s">
        <v>240</v>
      </c>
      <c r="GX2914" s="5" t="s">
        <v>240</v>
      </c>
      <c r="GY2914" s="5" t="s">
        <v>240</v>
      </c>
      <c r="GZ2914" s="5" t="s">
        <v>240</v>
      </c>
      <c r="HA2914" s="5" t="s">
        <v>240</v>
      </c>
      <c r="HB2914" s="5" t="s">
        <v>240</v>
      </c>
      <c r="HC2914" s="5" t="s">
        <v>240</v>
      </c>
      <c r="HD2914" s="5" t="s">
        <v>240</v>
      </c>
      <c r="HE2914" s="5" t="s">
        <v>240</v>
      </c>
      <c r="HF2914" s="5" t="s">
        <v>240</v>
      </c>
      <c r="HG2914" s="5" t="s">
        <v>240</v>
      </c>
      <c r="HH2914" s="5" t="s">
        <v>240</v>
      </c>
      <c r="HI2914" s="5" t="s">
        <v>240</v>
      </c>
      <c r="HJ2914" s="5" t="s">
        <v>240</v>
      </c>
      <c r="HK2914" s="5" t="s">
        <v>240</v>
      </c>
      <c r="HL2914" s="5" t="s">
        <v>240</v>
      </c>
      <c r="HM2914" s="5" t="s">
        <v>240</v>
      </c>
      <c r="HN2914" s="5" t="s">
        <v>240</v>
      </c>
      <c r="HO2914" s="5" t="s">
        <v>312</v>
      </c>
      <c r="HP2914" s="5" t="s">
        <v>240</v>
      </c>
      <c r="HQ2914" s="5" t="s">
        <v>240</v>
      </c>
      <c r="HR2914" s="5" t="s">
        <v>240</v>
      </c>
      <c r="HS2914" s="5" t="s">
        <v>240</v>
      </c>
      <c r="HT2914" s="5" t="s">
        <v>240</v>
      </c>
      <c r="HU2914" s="5" t="s">
        <v>240</v>
      </c>
      <c r="HV2914" s="5" t="s">
        <v>240</v>
      </c>
      <c r="HW2914" s="5" t="s">
        <v>240</v>
      </c>
      <c r="HX2914" s="5" t="s">
        <v>240</v>
      </c>
      <c r="HY2914" s="5" t="s">
        <v>240</v>
      </c>
      <c r="HZ2914" s="5" t="s">
        <v>240</v>
      </c>
      <c r="IA2914" s="5" t="s">
        <v>240</v>
      </c>
      <c r="IB2914" s="5" t="s">
        <v>240</v>
      </c>
      <c r="IC2914" s="5" t="s">
        <v>240</v>
      </c>
      <c r="ID2914" s="5" t="s">
        <v>240</v>
      </c>
      <c r="IE2914" s="5" t="s">
        <v>240</v>
      </c>
      <c r="IF2914" s="5" t="s">
        <v>240</v>
      </c>
    </row>
    <row r="2915" spans="1:240" x14ac:dyDescent="0.4">
      <c r="A2915" s="5">
        <v>4619</v>
      </c>
      <c r="B2915" s="5">
        <v>1</v>
      </c>
      <c r="C2915" s="5">
        <v>1</v>
      </c>
      <c r="D2915" s="5" t="s">
        <v>810</v>
      </c>
      <c r="E2915" s="5" t="s">
        <v>245</v>
      </c>
      <c r="F2915" s="5" t="s">
        <v>254</v>
      </c>
      <c r="G2915" s="5" t="s">
        <v>240</v>
      </c>
      <c r="H2915" s="6" t="s">
        <v>2711</v>
      </c>
      <c r="I2915" s="5" t="s">
        <v>809</v>
      </c>
      <c r="J2915" s="8">
        <f>2042</f>
        <v>2042</v>
      </c>
      <c r="K2915" s="5" t="s">
        <v>308</v>
      </c>
      <c r="L2915" s="7">
        <f>1</f>
        <v>1</v>
      </c>
      <c r="M2915" s="7">
        <f>1</f>
        <v>1</v>
      </c>
      <c r="N2915" s="5" t="s">
        <v>242</v>
      </c>
      <c r="O2915" s="5">
        <v>1</v>
      </c>
      <c r="P2915" s="5" t="s">
        <v>294</v>
      </c>
      <c r="Q2915" s="5" t="s">
        <v>3678</v>
      </c>
      <c r="R2915" s="5" t="s">
        <v>240</v>
      </c>
      <c r="S2915" s="5" t="s">
        <v>240</v>
      </c>
      <c r="T2915" s="5" t="s">
        <v>243</v>
      </c>
      <c r="U2915" s="5" t="s">
        <v>244</v>
      </c>
      <c r="V2915" s="5" t="s">
        <v>240</v>
      </c>
      <c r="W2915" s="5" t="s">
        <v>240</v>
      </c>
      <c r="X2915" s="5" t="s">
        <v>240</v>
      </c>
      <c r="Y2915" s="5" t="s">
        <v>240</v>
      </c>
      <c r="Z2915" s="6" t="s">
        <v>298</v>
      </c>
      <c r="AA2915" s="6" t="s">
        <v>240</v>
      </c>
      <c r="AB2915" s="6" t="s">
        <v>240</v>
      </c>
      <c r="AC2915" s="5" t="s">
        <v>240</v>
      </c>
      <c r="AD2915" s="6" t="s">
        <v>240</v>
      </c>
      <c r="AE2915" s="6" t="s">
        <v>299</v>
      </c>
      <c r="AF2915" s="5" t="s">
        <v>248</v>
      </c>
      <c r="AG2915" s="5" t="s">
        <v>249</v>
      </c>
      <c r="AH2915" s="5" t="s">
        <v>240</v>
      </c>
      <c r="AI2915" s="5" t="s">
        <v>240</v>
      </c>
      <c r="AJ2915" s="5" t="s">
        <v>240</v>
      </c>
      <c r="AK2915" s="5" t="s">
        <v>240</v>
      </c>
      <c r="AL2915" s="5" t="s">
        <v>240</v>
      </c>
      <c r="AM2915" s="5" t="s">
        <v>240</v>
      </c>
      <c r="AN2915" s="5" t="s">
        <v>240</v>
      </c>
      <c r="AO2915" s="5" t="s">
        <v>240</v>
      </c>
      <c r="AP2915" s="6" t="s">
        <v>240</v>
      </c>
      <c r="AQ2915" s="6" t="s">
        <v>240</v>
      </c>
      <c r="AR2915" s="6" t="s">
        <v>240</v>
      </c>
      <c r="AS2915" s="6" t="s">
        <v>240</v>
      </c>
      <c r="AT2915" s="5" t="s">
        <v>240</v>
      </c>
      <c r="AU2915" s="5" t="s">
        <v>729</v>
      </c>
      <c r="AV2915" s="5" t="s">
        <v>729</v>
      </c>
      <c r="AW2915" s="5" t="s">
        <v>251</v>
      </c>
      <c r="AX2915" s="5" t="s">
        <v>252</v>
      </c>
      <c r="AY2915" s="5" t="s">
        <v>253</v>
      </c>
      <c r="AZ2915" s="5" t="s">
        <v>240</v>
      </c>
      <c r="BA2915" s="5" t="s">
        <v>255</v>
      </c>
      <c r="BB2915" s="5" t="s">
        <v>731</v>
      </c>
      <c r="BD2915" s="5" t="s">
        <v>240</v>
      </c>
      <c r="BF2915" s="5" t="s">
        <v>732</v>
      </c>
      <c r="BG2915" s="6" t="s">
        <v>733</v>
      </c>
      <c r="BH2915" s="5" t="s">
        <v>734</v>
      </c>
      <c r="BI2915" s="5" t="s">
        <v>734</v>
      </c>
      <c r="BJ2915" s="5" t="s">
        <v>240</v>
      </c>
      <c r="BK2915" s="7">
        <f>1</f>
        <v>1</v>
      </c>
      <c r="BL2915" s="7">
        <f>1</f>
        <v>1</v>
      </c>
      <c r="BM2915" s="5" t="s">
        <v>258</v>
      </c>
      <c r="BN2915" s="5" t="s">
        <v>259</v>
      </c>
      <c r="BO2915" s="5" t="s">
        <v>240</v>
      </c>
      <c r="BP2915" s="5" t="s">
        <v>240</v>
      </c>
      <c r="BQ2915" s="5" t="s">
        <v>240</v>
      </c>
      <c r="BR2915" s="5" t="s">
        <v>240</v>
      </c>
      <c r="BS2915" s="5" t="s">
        <v>240</v>
      </c>
      <c r="BT2915" s="5" t="s">
        <v>240</v>
      </c>
      <c r="BU2915" s="5" t="s">
        <v>240</v>
      </c>
      <c r="BV2915" s="5" t="s">
        <v>240</v>
      </c>
      <c r="BW2915" s="6" t="s">
        <v>240</v>
      </c>
      <c r="BX2915" s="5" t="s">
        <v>240</v>
      </c>
      <c r="BY2915" s="5" t="s">
        <v>240</v>
      </c>
      <c r="BZ2915" s="5" t="s">
        <v>240</v>
      </c>
      <c r="CA2915" s="5" t="s">
        <v>259</v>
      </c>
      <c r="CB2915" s="5" t="s">
        <v>240</v>
      </c>
      <c r="CC2915" s="5" t="s">
        <v>240</v>
      </c>
      <c r="CD2915" s="5" t="s">
        <v>240</v>
      </c>
      <c r="CE2915" s="5" t="s">
        <v>240</v>
      </c>
      <c r="CF2915" s="5" t="s">
        <v>240</v>
      </c>
      <c r="CG2915" s="5" t="s">
        <v>304</v>
      </c>
      <c r="CH2915" s="5" t="s">
        <v>305</v>
      </c>
      <c r="CI2915" s="5" t="s">
        <v>240</v>
      </c>
      <c r="CK2915" s="5" t="s">
        <v>3681</v>
      </c>
      <c r="CL2915" s="6" t="s">
        <v>261</v>
      </c>
      <c r="CM2915" s="5" t="s">
        <v>262</v>
      </c>
      <c r="CN2915" s="5" t="s">
        <v>263</v>
      </c>
      <c r="CO2915" s="5" t="s">
        <v>264</v>
      </c>
      <c r="CP2915" s="5" t="s">
        <v>240</v>
      </c>
      <c r="CQ2915" s="5">
        <v>0</v>
      </c>
      <c r="CR2915" s="5" t="s">
        <v>735</v>
      </c>
      <c r="CS2915" s="5" t="s">
        <v>307</v>
      </c>
      <c r="CT2915" s="5" t="s">
        <v>307</v>
      </c>
      <c r="CU2915" s="5" t="s">
        <v>260</v>
      </c>
      <c r="CV2915" s="5" t="s">
        <v>612</v>
      </c>
      <c r="CW2915" s="8">
        <f>1</f>
        <v>1</v>
      </c>
      <c r="CX2915" s="7">
        <f>1</f>
        <v>1</v>
      </c>
      <c r="CY2915" s="7">
        <f>0</f>
        <v>0</v>
      </c>
      <c r="DA2915" s="7">
        <f>1</f>
        <v>1</v>
      </c>
      <c r="DB2915" s="7" t="s">
        <v>240</v>
      </c>
      <c r="DC2915" s="5" t="s">
        <v>240</v>
      </c>
      <c r="DD2915" s="5" t="s">
        <v>240</v>
      </c>
      <c r="DE2915" s="5" t="s">
        <v>240</v>
      </c>
      <c r="DF2915" s="5" t="s">
        <v>240</v>
      </c>
      <c r="DG2915" s="7">
        <f>0</f>
        <v>0</v>
      </c>
      <c r="DI2915" s="5" t="s">
        <v>240</v>
      </c>
      <c r="DJ2915" s="5" t="s">
        <v>240</v>
      </c>
      <c r="DK2915" s="5" t="s">
        <v>240</v>
      </c>
      <c r="DL2915" s="5" t="s">
        <v>240</v>
      </c>
      <c r="DM2915" s="5" t="s">
        <v>240</v>
      </c>
      <c r="DN2915" s="5" t="s">
        <v>240</v>
      </c>
      <c r="DO2915" s="7" t="s">
        <v>240</v>
      </c>
      <c r="DP2915" s="5" t="s">
        <v>240</v>
      </c>
      <c r="DQ2915" s="5" t="s">
        <v>240</v>
      </c>
      <c r="DR2915" s="5" t="s">
        <v>731</v>
      </c>
      <c r="DS2915" s="5" t="s">
        <v>731</v>
      </c>
      <c r="DT2915" s="5" t="s">
        <v>240</v>
      </c>
      <c r="DU2915" s="5" t="s">
        <v>240</v>
      </c>
      <c r="DV2915" s="5" t="s">
        <v>5063</v>
      </c>
      <c r="DW2915" s="5" t="s">
        <v>1219</v>
      </c>
      <c r="DX2915" s="5" t="s">
        <v>240</v>
      </c>
      <c r="DY2915" s="5" t="s">
        <v>240</v>
      </c>
      <c r="DZ2915" s="5" t="s">
        <v>240</v>
      </c>
      <c r="EA2915" s="5" t="s">
        <v>240</v>
      </c>
      <c r="EB2915" s="5" t="s">
        <v>240</v>
      </c>
      <c r="EC2915" s="5" t="s">
        <v>240</v>
      </c>
      <c r="ED2915" s="5" t="s">
        <v>240</v>
      </c>
      <c r="EE2915" s="5" t="s">
        <v>240</v>
      </c>
      <c r="EF2915" s="5" t="s">
        <v>240</v>
      </c>
      <c r="EG2915" s="5" t="s">
        <v>240</v>
      </c>
      <c r="EH2915" s="5" t="s">
        <v>240</v>
      </c>
      <c r="EI2915" s="5" t="s">
        <v>240</v>
      </c>
      <c r="EJ2915" s="5" t="s">
        <v>240</v>
      </c>
      <c r="EK2915" s="5" t="s">
        <v>240</v>
      </c>
      <c r="EL2915" s="5" t="s">
        <v>240</v>
      </c>
      <c r="EM2915" s="5" t="s">
        <v>240</v>
      </c>
      <c r="EN2915" s="5" t="s">
        <v>240</v>
      </c>
      <c r="EO2915" s="5" t="s">
        <v>240</v>
      </c>
      <c r="EP2915" s="5" t="s">
        <v>240</v>
      </c>
      <c r="EQ2915" s="5" t="s">
        <v>240</v>
      </c>
      <c r="ER2915" s="5" t="s">
        <v>240</v>
      </c>
      <c r="ES2915" s="5" t="s">
        <v>240</v>
      </c>
      <c r="ET2915" s="5" t="s">
        <v>240</v>
      </c>
      <c r="EU2915" s="5" t="s">
        <v>240</v>
      </c>
      <c r="EV2915" s="5" t="s">
        <v>240</v>
      </c>
      <c r="EW2915" s="5" t="s">
        <v>240</v>
      </c>
      <c r="EX2915" s="5" t="s">
        <v>240</v>
      </c>
      <c r="EY2915" s="5" t="s">
        <v>240</v>
      </c>
      <c r="EZ2915" s="5" t="s">
        <v>240</v>
      </c>
      <c r="FA2915" s="5" t="s">
        <v>240</v>
      </c>
      <c r="FB2915" s="5" t="s">
        <v>240</v>
      </c>
      <c r="FC2915" s="5" t="s">
        <v>240</v>
      </c>
      <c r="FD2915" s="5" t="s">
        <v>240</v>
      </c>
      <c r="FE2915" s="5" t="s">
        <v>240</v>
      </c>
      <c r="FF2915" s="5" t="s">
        <v>240</v>
      </c>
      <c r="FG2915" s="5" t="s">
        <v>240</v>
      </c>
      <c r="FH2915" s="5" t="s">
        <v>240</v>
      </c>
      <c r="FI2915" s="5" t="s">
        <v>240</v>
      </c>
      <c r="FJ2915" s="5" t="s">
        <v>240</v>
      </c>
      <c r="FK2915" s="5" t="s">
        <v>240</v>
      </c>
      <c r="FL2915" s="5" t="s">
        <v>240</v>
      </c>
      <c r="FM2915" s="5" t="s">
        <v>240</v>
      </c>
      <c r="FN2915" s="5" t="s">
        <v>240</v>
      </c>
      <c r="FO2915" s="5" t="s">
        <v>240</v>
      </c>
      <c r="FP2915" s="5" t="s">
        <v>240</v>
      </c>
      <c r="FQ2915" s="5" t="s">
        <v>240</v>
      </c>
      <c r="FR2915" s="5" t="s">
        <v>240</v>
      </c>
      <c r="FS2915" s="5" t="s">
        <v>240</v>
      </c>
      <c r="FT2915" s="5" t="s">
        <v>240</v>
      </c>
      <c r="FU2915" s="5" t="s">
        <v>240</v>
      </c>
      <c r="FV2915" s="5" t="s">
        <v>240</v>
      </c>
      <c r="FW2915" s="5" t="s">
        <v>240</v>
      </c>
      <c r="FX2915" s="5" t="s">
        <v>240</v>
      </c>
      <c r="FY2915" s="5" t="s">
        <v>240</v>
      </c>
      <c r="FZ2915" s="5" t="s">
        <v>240</v>
      </c>
      <c r="GA2915" s="5" t="s">
        <v>240</v>
      </c>
      <c r="GB2915" s="5" t="s">
        <v>240</v>
      </c>
      <c r="GC2915" s="5" t="s">
        <v>240</v>
      </c>
      <c r="GD2915" s="5" t="s">
        <v>240</v>
      </c>
      <c r="GE2915" s="5" t="s">
        <v>240</v>
      </c>
      <c r="GF2915" s="5" t="s">
        <v>240</v>
      </c>
      <c r="GG2915" s="5" t="s">
        <v>240</v>
      </c>
      <c r="GH2915" s="5" t="s">
        <v>240</v>
      </c>
      <c r="GI2915" s="5" t="s">
        <v>240</v>
      </c>
      <c r="GJ2915" s="5" t="s">
        <v>240</v>
      </c>
      <c r="GK2915" s="5" t="s">
        <v>240</v>
      </c>
      <c r="GL2915" s="5" t="s">
        <v>240</v>
      </c>
      <c r="GM2915" s="5" t="s">
        <v>240</v>
      </c>
      <c r="GN2915" s="5" t="s">
        <v>240</v>
      </c>
      <c r="GO2915" s="5" t="s">
        <v>240</v>
      </c>
      <c r="GP2915" s="5" t="s">
        <v>240</v>
      </c>
      <c r="GQ2915" s="5" t="s">
        <v>240</v>
      </c>
      <c r="GR2915" s="5" t="s">
        <v>240</v>
      </c>
      <c r="GS2915" s="5" t="s">
        <v>240</v>
      </c>
      <c r="GT2915" s="5" t="s">
        <v>240</v>
      </c>
      <c r="GU2915" s="5" t="s">
        <v>240</v>
      </c>
      <c r="GV2915" s="5" t="s">
        <v>240</v>
      </c>
      <c r="GW2915" s="5" t="s">
        <v>240</v>
      </c>
      <c r="GX2915" s="5" t="s">
        <v>240</v>
      </c>
      <c r="GY2915" s="5" t="s">
        <v>240</v>
      </c>
      <c r="GZ2915" s="5" t="s">
        <v>240</v>
      </c>
      <c r="HA2915" s="5" t="s">
        <v>240</v>
      </c>
      <c r="HB2915" s="5" t="s">
        <v>240</v>
      </c>
      <c r="HC2915" s="5" t="s">
        <v>240</v>
      </c>
      <c r="HD2915" s="5" t="s">
        <v>240</v>
      </c>
      <c r="HE2915" s="5" t="s">
        <v>240</v>
      </c>
      <c r="HF2915" s="5" t="s">
        <v>240</v>
      </c>
      <c r="HG2915" s="5" t="s">
        <v>240</v>
      </c>
      <c r="HH2915" s="5" t="s">
        <v>240</v>
      </c>
      <c r="HI2915" s="5" t="s">
        <v>240</v>
      </c>
      <c r="HJ2915" s="5" t="s">
        <v>240</v>
      </c>
      <c r="HK2915" s="5" t="s">
        <v>240</v>
      </c>
      <c r="HL2915" s="5" t="s">
        <v>240</v>
      </c>
      <c r="HM2915" s="5" t="s">
        <v>240</v>
      </c>
      <c r="HN2915" s="5" t="s">
        <v>240</v>
      </c>
      <c r="HO2915" s="5" t="s">
        <v>312</v>
      </c>
      <c r="HP2915" s="5" t="s">
        <v>240</v>
      </c>
      <c r="HQ2915" s="5" t="s">
        <v>240</v>
      </c>
      <c r="HR2915" s="5" t="s">
        <v>240</v>
      </c>
      <c r="HS2915" s="5" t="s">
        <v>240</v>
      </c>
      <c r="HT2915" s="5" t="s">
        <v>240</v>
      </c>
      <c r="HU2915" s="5" t="s">
        <v>240</v>
      </c>
      <c r="HV2915" s="5" t="s">
        <v>240</v>
      </c>
      <c r="HW2915" s="5" t="s">
        <v>240</v>
      </c>
      <c r="HX2915" s="5" t="s">
        <v>240</v>
      </c>
      <c r="HY2915" s="5" t="s">
        <v>240</v>
      </c>
      <c r="HZ2915" s="5" t="s">
        <v>240</v>
      </c>
      <c r="IA2915" s="5" t="s">
        <v>240</v>
      </c>
      <c r="IB2915" s="5" t="s">
        <v>240</v>
      </c>
      <c r="IC2915" s="5" t="s">
        <v>240</v>
      </c>
      <c r="ID2915" s="5" t="s">
        <v>240</v>
      </c>
      <c r="IE2915" s="5" t="s">
        <v>240</v>
      </c>
      <c r="IF2915" s="5" t="s">
        <v>240</v>
      </c>
    </row>
    <row r="2916" spans="1:240" x14ac:dyDescent="0.4">
      <c r="A2916" s="5">
        <v>4620</v>
      </c>
      <c r="B2916" s="5">
        <v>1</v>
      </c>
      <c r="C2916" s="5">
        <v>1</v>
      </c>
      <c r="D2916" s="5" t="s">
        <v>810</v>
      </c>
      <c r="E2916" s="5" t="s">
        <v>245</v>
      </c>
      <c r="F2916" s="5" t="s">
        <v>254</v>
      </c>
      <c r="G2916" s="5" t="s">
        <v>240</v>
      </c>
      <c r="H2916" s="6" t="s">
        <v>2709</v>
      </c>
      <c r="I2916" s="5" t="s">
        <v>809</v>
      </c>
      <c r="J2916" s="8">
        <f>2177</f>
        <v>2177</v>
      </c>
      <c r="K2916" s="5" t="s">
        <v>308</v>
      </c>
      <c r="L2916" s="7">
        <f>1</f>
        <v>1</v>
      </c>
      <c r="M2916" s="7">
        <f>1</f>
        <v>1</v>
      </c>
      <c r="N2916" s="5" t="s">
        <v>242</v>
      </c>
      <c r="O2916" s="5">
        <v>1</v>
      </c>
      <c r="P2916" s="5" t="s">
        <v>294</v>
      </c>
      <c r="Q2916" s="5" t="s">
        <v>266</v>
      </c>
      <c r="R2916" s="5" t="s">
        <v>240</v>
      </c>
      <c r="S2916" s="5" t="s">
        <v>240</v>
      </c>
      <c r="T2916" s="5" t="s">
        <v>296</v>
      </c>
      <c r="U2916" s="5" t="s">
        <v>244</v>
      </c>
      <c r="V2916" s="5" t="s">
        <v>240</v>
      </c>
      <c r="Y2916" s="5" t="s">
        <v>240</v>
      </c>
      <c r="Z2916" s="6" t="s">
        <v>298</v>
      </c>
      <c r="AB2916" s="6" t="s">
        <v>240</v>
      </c>
      <c r="AE2916" s="6" t="s">
        <v>299</v>
      </c>
      <c r="AF2916" s="5" t="s">
        <v>248</v>
      </c>
      <c r="AG2916" s="5" t="s">
        <v>249</v>
      </c>
      <c r="AW2916" s="5" t="s">
        <v>251</v>
      </c>
      <c r="AX2916" s="5" t="s">
        <v>240</v>
      </c>
      <c r="AY2916" s="5" t="s">
        <v>253</v>
      </c>
      <c r="AZ2916" s="5" t="s">
        <v>240</v>
      </c>
      <c r="BA2916" s="5" t="s">
        <v>255</v>
      </c>
      <c r="BB2916" s="5" t="s">
        <v>240</v>
      </c>
      <c r="BD2916" s="5" t="s">
        <v>240</v>
      </c>
      <c r="BF2916" s="5" t="s">
        <v>301</v>
      </c>
      <c r="BG2916" s="6" t="s">
        <v>299</v>
      </c>
      <c r="BH2916" s="5" t="s">
        <v>302</v>
      </c>
      <c r="BI2916" s="5" t="s">
        <v>303</v>
      </c>
      <c r="BJ2916" s="5" t="s">
        <v>240</v>
      </c>
      <c r="BK2916" s="8">
        <f>0</f>
        <v>0</v>
      </c>
      <c r="BL2916" s="7">
        <f>0</f>
        <v>0</v>
      </c>
      <c r="BM2916" s="5" t="s">
        <v>258</v>
      </c>
      <c r="BN2916" s="5" t="s">
        <v>259</v>
      </c>
      <c r="CB2916" s="5" t="s">
        <v>240</v>
      </c>
      <c r="CC2916" s="5" t="s">
        <v>240</v>
      </c>
      <c r="CG2916" s="5" t="s">
        <v>304</v>
      </c>
      <c r="CH2916" s="5" t="s">
        <v>305</v>
      </c>
      <c r="CI2916" s="5" t="s">
        <v>240</v>
      </c>
      <c r="CL2916" s="6" t="s">
        <v>261</v>
      </c>
      <c r="CM2916" s="5" t="s">
        <v>240</v>
      </c>
      <c r="CN2916" s="5" t="s">
        <v>263</v>
      </c>
      <c r="CO2916" s="5" t="s">
        <v>240</v>
      </c>
      <c r="CP2916" s="5" t="s">
        <v>240</v>
      </c>
      <c r="CQ2916" s="5">
        <v>0</v>
      </c>
      <c r="CR2916" s="5" t="s">
        <v>306</v>
      </c>
      <c r="CS2916" s="5" t="s">
        <v>307</v>
      </c>
      <c r="CT2916" s="5" t="s">
        <v>307</v>
      </c>
      <c r="CU2916" s="5" t="s">
        <v>260</v>
      </c>
      <c r="CX2916" s="7">
        <f>1</f>
        <v>1</v>
      </c>
      <c r="CY2916" s="7">
        <f>0</f>
        <v>0</v>
      </c>
      <c r="DA2916" s="7">
        <f>0</f>
        <v>0</v>
      </c>
      <c r="DC2916" s="5" t="s">
        <v>309</v>
      </c>
      <c r="DD2916" s="5" t="s">
        <v>240</v>
      </c>
      <c r="DF2916" s="5" t="s">
        <v>309</v>
      </c>
      <c r="DG2916" s="7">
        <f>1682</f>
        <v>1682</v>
      </c>
      <c r="DI2916" s="5" t="s">
        <v>240</v>
      </c>
      <c r="DJ2916" s="5" t="s">
        <v>240</v>
      </c>
      <c r="DK2916" s="5" t="s">
        <v>240</v>
      </c>
      <c r="DL2916" s="5" t="s">
        <v>240</v>
      </c>
      <c r="DP2916" s="5" t="s">
        <v>240</v>
      </c>
      <c r="DQ2916" s="5" t="s">
        <v>240</v>
      </c>
      <c r="DR2916" s="5" t="s">
        <v>240</v>
      </c>
      <c r="DS2916" s="5" t="s">
        <v>240</v>
      </c>
      <c r="DV2916" s="5" t="s">
        <v>310</v>
      </c>
      <c r="DW2916" s="5" t="s">
        <v>3937</v>
      </c>
      <c r="HO2916" s="5" t="s">
        <v>312</v>
      </c>
    </row>
    <row r="2917" spans="1:240" x14ac:dyDescent="0.4">
      <c r="A2917" s="5">
        <v>4621</v>
      </c>
      <c r="B2917" s="5">
        <v>1</v>
      </c>
      <c r="C2917" s="5">
        <v>1</v>
      </c>
      <c r="D2917" s="5" t="s">
        <v>810</v>
      </c>
      <c r="E2917" s="5" t="s">
        <v>245</v>
      </c>
      <c r="F2917" s="5" t="s">
        <v>254</v>
      </c>
      <c r="G2917" s="5" t="s">
        <v>240</v>
      </c>
      <c r="H2917" s="6" t="s">
        <v>2154</v>
      </c>
      <c r="I2917" s="5" t="s">
        <v>809</v>
      </c>
      <c r="J2917" s="8">
        <f>2143</f>
        <v>2143</v>
      </c>
      <c r="K2917" s="5" t="s">
        <v>308</v>
      </c>
      <c r="L2917" s="7">
        <f>1</f>
        <v>1</v>
      </c>
      <c r="M2917" s="7">
        <f>1</f>
        <v>1</v>
      </c>
      <c r="N2917" s="5" t="s">
        <v>242</v>
      </c>
      <c r="O2917" s="5">
        <v>1</v>
      </c>
      <c r="P2917" s="5" t="s">
        <v>294</v>
      </c>
      <c r="Q2917" s="5" t="s">
        <v>3678</v>
      </c>
      <c r="R2917" s="5" t="s">
        <v>240</v>
      </c>
      <c r="S2917" s="5" t="s">
        <v>240</v>
      </c>
      <c r="T2917" s="5" t="s">
        <v>243</v>
      </c>
      <c r="U2917" s="5" t="s">
        <v>244</v>
      </c>
      <c r="V2917" s="5" t="s">
        <v>240</v>
      </c>
      <c r="W2917" s="5" t="s">
        <v>240</v>
      </c>
      <c r="X2917" s="5" t="s">
        <v>240</v>
      </c>
      <c r="Y2917" s="5" t="s">
        <v>240</v>
      </c>
      <c r="Z2917" s="6" t="s">
        <v>298</v>
      </c>
      <c r="AA2917" s="6" t="s">
        <v>240</v>
      </c>
      <c r="AB2917" s="6" t="s">
        <v>240</v>
      </c>
      <c r="AC2917" s="5" t="s">
        <v>240</v>
      </c>
      <c r="AD2917" s="6" t="s">
        <v>240</v>
      </c>
      <c r="AE2917" s="6" t="s">
        <v>299</v>
      </c>
      <c r="AF2917" s="5" t="s">
        <v>248</v>
      </c>
      <c r="AG2917" s="5" t="s">
        <v>249</v>
      </c>
      <c r="AH2917" s="5" t="s">
        <v>240</v>
      </c>
      <c r="AI2917" s="5" t="s">
        <v>240</v>
      </c>
      <c r="AJ2917" s="5" t="s">
        <v>240</v>
      </c>
      <c r="AK2917" s="5" t="s">
        <v>240</v>
      </c>
      <c r="AL2917" s="5" t="s">
        <v>240</v>
      </c>
      <c r="AM2917" s="5" t="s">
        <v>240</v>
      </c>
      <c r="AN2917" s="5" t="s">
        <v>240</v>
      </c>
      <c r="AO2917" s="5" t="s">
        <v>240</v>
      </c>
      <c r="AP2917" s="6" t="s">
        <v>240</v>
      </c>
      <c r="AQ2917" s="6" t="s">
        <v>240</v>
      </c>
      <c r="AR2917" s="6" t="s">
        <v>240</v>
      </c>
      <c r="AS2917" s="6" t="s">
        <v>240</v>
      </c>
      <c r="AT2917" s="5" t="s">
        <v>240</v>
      </c>
      <c r="AU2917" s="5" t="s">
        <v>729</v>
      </c>
      <c r="AV2917" s="5" t="s">
        <v>729</v>
      </c>
      <c r="AW2917" s="5" t="s">
        <v>251</v>
      </c>
      <c r="AX2917" s="5" t="s">
        <v>252</v>
      </c>
      <c r="AY2917" s="5" t="s">
        <v>253</v>
      </c>
      <c r="AZ2917" s="5" t="s">
        <v>240</v>
      </c>
      <c r="BA2917" s="5" t="s">
        <v>255</v>
      </c>
      <c r="BB2917" s="5" t="s">
        <v>731</v>
      </c>
      <c r="BD2917" s="5" t="s">
        <v>240</v>
      </c>
      <c r="BF2917" s="5" t="s">
        <v>732</v>
      </c>
      <c r="BG2917" s="6" t="s">
        <v>733</v>
      </c>
      <c r="BH2917" s="5" t="s">
        <v>734</v>
      </c>
      <c r="BI2917" s="5" t="s">
        <v>734</v>
      </c>
      <c r="BJ2917" s="5" t="s">
        <v>240</v>
      </c>
      <c r="BK2917" s="7">
        <f>1</f>
        <v>1</v>
      </c>
      <c r="BL2917" s="7">
        <f>1</f>
        <v>1</v>
      </c>
      <c r="BM2917" s="5" t="s">
        <v>258</v>
      </c>
      <c r="BN2917" s="5" t="s">
        <v>259</v>
      </c>
      <c r="BO2917" s="5" t="s">
        <v>240</v>
      </c>
      <c r="BP2917" s="5" t="s">
        <v>240</v>
      </c>
      <c r="BQ2917" s="5" t="s">
        <v>240</v>
      </c>
      <c r="BR2917" s="5" t="s">
        <v>240</v>
      </c>
      <c r="BS2917" s="5" t="s">
        <v>240</v>
      </c>
      <c r="BT2917" s="5" t="s">
        <v>240</v>
      </c>
      <c r="BU2917" s="5" t="s">
        <v>240</v>
      </c>
      <c r="BV2917" s="5" t="s">
        <v>240</v>
      </c>
      <c r="BW2917" s="6" t="s">
        <v>240</v>
      </c>
      <c r="BX2917" s="5" t="s">
        <v>240</v>
      </c>
      <c r="BY2917" s="5" t="s">
        <v>240</v>
      </c>
      <c r="BZ2917" s="5" t="s">
        <v>240</v>
      </c>
      <c r="CA2917" s="5" t="s">
        <v>259</v>
      </c>
      <c r="CB2917" s="5" t="s">
        <v>240</v>
      </c>
      <c r="CC2917" s="5" t="s">
        <v>240</v>
      </c>
      <c r="CD2917" s="5" t="s">
        <v>240</v>
      </c>
      <c r="CE2917" s="5" t="s">
        <v>240</v>
      </c>
      <c r="CF2917" s="5" t="s">
        <v>240</v>
      </c>
      <c r="CG2917" s="5" t="s">
        <v>304</v>
      </c>
      <c r="CH2917" s="5" t="s">
        <v>305</v>
      </c>
      <c r="CI2917" s="5" t="s">
        <v>240</v>
      </c>
      <c r="CK2917" s="5" t="s">
        <v>3681</v>
      </c>
      <c r="CL2917" s="6" t="s">
        <v>261</v>
      </c>
      <c r="CM2917" s="5" t="s">
        <v>262</v>
      </c>
      <c r="CN2917" s="5" t="s">
        <v>263</v>
      </c>
      <c r="CO2917" s="5" t="s">
        <v>264</v>
      </c>
      <c r="CP2917" s="5" t="s">
        <v>240</v>
      </c>
      <c r="CQ2917" s="5">
        <v>0</v>
      </c>
      <c r="CR2917" s="5" t="s">
        <v>735</v>
      </c>
      <c r="CS2917" s="5" t="s">
        <v>307</v>
      </c>
      <c r="CT2917" s="5" t="s">
        <v>307</v>
      </c>
      <c r="CU2917" s="5" t="s">
        <v>260</v>
      </c>
      <c r="CV2917" s="5" t="s">
        <v>612</v>
      </c>
      <c r="CW2917" s="8">
        <f>1</f>
        <v>1</v>
      </c>
      <c r="CX2917" s="7">
        <f>1</f>
        <v>1</v>
      </c>
      <c r="CY2917" s="7">
        <f>0</f>
        <v>0</v>
      </c>
      <c r="DA2917" s="7">
        <f>1</f>
        <v>1</v>
      </c>
      <c r="DB2917" s="7" t="s">
        <v>240</v>
      </c>
      <c r="DC2917" s="5" t="s">
        <v>240</v>
      </c>
      <c r="DD2917" s="5" t="s">
        <v>240</v>
      </c>
      <c r="DE2917" s="5" t="s">
        <v>240</v>
      </c>
      <c r="DF2917" s="5" t="s">
        <v>240</v>
      </c>
      <c r="DG2917" s="7">
        <f>0</f>
        <v>0</v>
      </c>
      <c r="DI2917" s="5" t="s">
        <v>240</v>
      </c>
      <c r="DJ2917" s="5" t="s">
        <v>240</v>
      </c>
      <c r="DK2917" s="5" t="s">
        <v>240</v>
      </c>
      <c r="DL2917" s="5" t="s">
        <v>240</v>
      </c>
      <c r="DM2917" s="5" t="s">
        <v>240</v>
      </c>
      <c r="DN2917" s="5" t="s">
        <v>240</v>
      </c>
      <c r="DO2917" s="7" t="s">
        <v>240</v>
      </c>
      <c r="DP2917" s="5" t="s">
        <v>240</v>
      </c>
      <c r="DQ2917" s="5" t="s">
        <v>240</v>
      </c>
      <c r="DR2917" s="5" t="s">
        <v>731</v>
      </c>
      <c r="DS2917" s="5" t="s">
        <v>731</v>
      </c>
      <c r="DT2917" s="5" t="s">
        <v>240</v>
      </c>
      <c r="DU2917" s="5" t="s">
        <v>240</v>
      </c>
      <c r="DV2917" s="5" t="s">
        <v>5063</v>
      </c>
      <c r="DW2917" s="5" t="s">
        <v>1212</v>
      </c>
      <c r="DX2917" s="5" t="s">
        <v>240</v>
      </c>
      <c r="DY2917" s="5" t="s">
        <v>240</v>
      </c>
      <c r="DZ2917" s="5" t="s">
        <v>240</v>
      </c>
      <c r="EA2917" s="5" t="s">
        <v>240</v>
      </c>
      <c r="EB2917" s="5" t="s">
        <v>240</v>
      </c>
      <c r="EC2917" s="5" t="s">
        <v>240</v>
      </c>
      <c r="ED2917" s="5" t="s">
        <v>240</v>
      </c>
      <c r="EE2917" s="5" t="s">
        <v>240</v>
      </c>
      <c r="EF2917" s="5" t="s">
        <v>240</v>
      </c>
      <c r="EG2917" s="5" t="s">
        <v>240</v>
      </c>
      <c r="EH2917" s="5" t="s">
        <v>240</v>
      </c>
      <c r="EI2917" s="5" t="s">
        <v>240</v>
      </c>
      <c r="EJ2917" s="5" t="s">
        <v>240</v>
      </c>
      <c r="EK2917" s="5" t="s">
        <v>240</v>
      </c>
      <c r="EL2917" s="5" t="s">
        <v>240</v>
      </c>
      <c r="EM2917" s="5" t="s">
        <v>240</v>
      </c>
      <c r="EN2917" s="5" t="s">
        <v>240</v>
      </c>
      <c r="EO2917" s="5" t="s">
        <v>240</v>
      </c>
      <c r="EP2917" s="5" t="s">
        <v>240</v>
      </c>
      <c r="EQ2917" s="5" t="s">
        <v>240</v>
      </c>
      <c r="ER2917" s="5" t="s">
        <v>240</v>
      </c>
      <c r="ES2917" s="5" t="s">
        <v>240</v>
      </c>
      <c r="ET2917" s="5" t="s">
        <v>240</v>
      </c>
      <c r="EU2917" s="5" t="s">
        <v>240</v>
      </c>
      <c r="EV2917" s="5" t="s">
        <v>240</v>
      </c>
      <c r="EW2917" s="5" t="s">
        <v>240</v>
      </c>
      <c r="EX2917" s="5" t="s">
        <v>240</v>
      </c>
      <c r="EY2917" s="5" t="s">
        <v>240</v>
      </c>
      <c r="EZ2917" s="5" t="s">
        <v>240</v>
      </c>
      <c r="FA2917" s="5" t="s">
        <v>240</v>
      </c>
      <c r="FB2917" s="5" t="s">
        <v>240</v>
      </c>
      <c r="FC2917" s="5" t="s">
        <v>240</v>
      </c>
      <c r="FD2917" s="5" t="s">
        <v>240</v>
      </c>
      <c r="FE2917" s="5" t="s">
        <v>240</v>
      </c>
      <c r="FF2917" s="5" t="s">
        <v>240</v>
      </c>
      <c r="FG2917" s="5" t="s">
        <v>240</v>
      </c>
      <c r="FH2917" s="5" t="s">
        <v>240</v>
      </c>
      <c r="FI2917" s="5" t="s">
        <v>240</v>
      </c>
      <c r="FJ2917" s="5" t="s">
        <v>240</v>
      </c>
      <c r="FK2917" s="5" t="s">
        <v>240</v>
      </c>
      <c r="FL2917" s="5" t="s">
        <v>240</v>
      </c>
      <c r="FM2917" s="5" t="s">
        <v>240</v>
      </c>
      <c r="FN2917" s="5" t="s">
        <v>240</v>
      </c>
      <c r="FO2917" s="5" t="s">
        <v>240</v>
      </c>
      <c r="FP2917" s="5" t="s">
        <v>240</v>
      </c>
      <c r="FQ2917" s="5" t="s">
        <v>240</v>
      </c>
      <c r="FR2917" s="5" t="s">
        <v>240</v>
      </c>
      <c r="FS2917" s="5" t="s">
        <v>240</v>
      </c>
      <c r="FT2917" s="5" t="s">
        <v>240</v>
      </c>
      <c r="FU2917" s="5" t="s">
        <v>240</v>
      </c>
      <c r="FV2917" s="5" t="s">
        <v>240</v>
      </c>
      <c r="FW2917" s="5" t="s">
        <v>240</v>
      </c>
      <c r="FX2917" s="5" t="s">
        <v>240</v>
      </c>
      <c r="FY2917" s="5" t="s">
        <v>240</v>
      </c>
      <c r="FZ2917" s="5" t="s">
        <v>240</v>
      </c>
      <c r="GA2917" s="5" t="s">
        <v>240</v>
      </c>
      <c r="GB2917" s="5" t="s">
        <v>240</v>
      </c>
      <c r="GC2917" s="5" t="s">
        <v>240</v>
      </c>
      <c r="GD2917" s="5" t="s">
        <v>240</v>
      </c>
      <c r="GE2917" s="5" t="s">
        <v>240</v>
      </c>
      <c r="GF2917" s="5" t="s">
        <v>240</v>
      </c>
      <c r="GG2917" s="5" t="s">
        <v>240</v>
      </c>
      <c r="GH2917" s="5" t="s">
        <v>240</v>
      </c>
      <c r="GI2917" s="5" t="s">
        <v>240</v>
      </c>
      <c r="GJ2917" s="5" t="s">
        <v>240</v>
      </c>
      <c r="GK2917" s="5" t="s">
        <v>240</v>
      </c>
      <c r="GL2917" s="5" t="s">
        <v>240</v>
      </c>
      <c r="GM2917" s="5" t="s">
        <v>240</v>
      </c>
      <c r="GN2917" s="5" t="s">
        <v>240</v>
      </c>
      <c r="GO2917" s="5" t="s">
        <v>240</v>
      </c>
      <c r="GP2917" s="5" t="s">
        <v>240</v>
      </c>
      <c r="GQ2917" s="5" t="s">
        <v>240</v>
      </c>
      <c r="GR2917" s="5" t="s">
        <v>240</v>
      </c>
      <c r="GS2917" s="5" t="s">
        <v>240</v>
      </c>
      <c r="GT2917" s="5" t="s">
        <v>240</v>
      </c>
      <c r="GU2917" s="5" t="s">
        <v>240</v>
      </c>
      <c r="GV2917" s="5" t="s">
        <v>240</v>
      </c>
      <c r="GW2917" s="5" t="s">
        <v>240</v>
      </c>
      <c r="GX2917" s="5" t="s">
        <v>240</v>
      </c>
      <c r="GY2917" s="5" t="s">
        <v>240</v>
      </c>
      <c r="GZ2917" s="5" t="s">
        <v>240</v>
      </c>
      <c r="HA2917" s="5" t="s">
        <v>240</v>
      </c>
      <c r="HB2917" s="5" t="s">
        <v>240</v>
      </c>
      <c r="HC2917" s="5" t="s">
        <v>240</v>
      </c>
      <c r="HD2917" s="5" t="s">
        <v>240</v>
      </c>
      <c r="HE2917" s="5" t="s">
        <v>240</v>
      </c>
      <c r="HF2917" s="5" t="s">
        <v>240</v>
      </c>
      <c r="HG2917" s="5" t="s">
        <v>240</v>
      </c>
      <c r="HH2917" s="5" t="s">
        <v>240</v>
      </c>
      <c r="HI2917" s="5" t="s">
        <v>240</v>
      </c>
      <c r="HJ2917" s="5" t="s">
        <v>240</v>
      </c>
      <c r="HK2917" s="5" t="s">
        <v>240</v>
      </c>
      <c r="HL2917" s="5" t="s">
        <v>240</v>
      </c>
      <c r="HM2917" s="5" t="s">
        <v>240</v>
      </c>
      <c r="HN2917" s="5" t="s">
        <v>240</v>
      </c>
      <c r="HO2917" s="5" t="s">
        <v>312</v>
      </c>
      <c r="HP2917" s="5" t="s">
        <v>240</v>
      </c>
      <c r="HQ2917" s="5" t="s">
        <v>240</v>
      </c>
      <c r="HR2917" s="5" t="s">
        <v>240</v>
      </c>
      <c r="HS2917" s="5" t="s">
        <v>240</v>
      </c>
      <c r="HT2917" s="5" t="s">
        <v>240</v>
      </c>
      <c r="HU2917" s="5" t="s">
        <v>240</v>
      </c>
      <c r="HV2917" s="5" t="s">
        <v>240</v>
      </c>
      <c r="HW2917" s="5" t="s">
        <v>240</v>
      </c>
      <c r="HX2917" s="5" t="s">
        <v>240</v>
      </c>
      <c r="HY2917" s="5" t="s">
        <v>240</v>
      </c>
      <c r="HZ2917" s="5" t="s">
        <v>240</v>
      </c>
      <c r="IA2917" s="5" t="s">
        <v>240</v>
      </c>
      <c r="IB2917" s="5" t="s">
        <v>240</v>
      </c>
      <c r="IC2917" s="5" t="s">
        <v>240</v>
      </c>
      <c r="ID2917" s="5" t="s">
        <v>240</v>
      </c>
      <c r="IE2917" s="5" t="s">
        <v>240</v>
      </c>
      <c r="IF2917" s="5" t="s">
        <v>240</v>
      </c>
    </row>
    <row r="2918" spans="1:240" x14ac:dyDescent="0.4">
      <c r="A2918" s="5">
        <v>4622</v>
      </c>
      <c r="B2918" s="5">
        <v>1</v>
      </c>
      <c r="C2918" s="5">
        <v>1</v>
      </c>
      <c r="D2918" s="5" t="s">
        <v>810</v>
      </c>
      <c r="E2918" s="5" t="s">
        <v>245</v>
      </c>
      <c r="F2918" s="5" t="s">
        <v>254</v>
      </c>
      <c r="G2918" s="5" t="s">
        <v>240</v>
      </c>
      <c r="H2918" s="6" t="s">
        <v>2707</v>
      </c>
      <c r="I2918" s="5" t="s">
        <v>809</v>
      </c>
      <c r="J2918" s="8">
        <f>1168</f>
        <v>1168</v>
      </c>
      <c r="K2918" s="5" t="s">
        <v>308</v>
      </c>
      <c r="L2918" s="7">
        <f>1</f>
        <v>1</v>
      </c>
      <c r="M2918" s="7">
        <f>1</f>
        <v>1</v>
      </c>
      <c r="N2918" s="5" t="s">
        <v>242</v>
      </c>
      <c r="O2918" s="5">
        <v>1</v>
      </c>
      <c r="P2918" s="5" t="s">
        <v>294</v>
      </c>
      <c r="Q2918" s="5" t="s">
        <v>3678</v>
      </c>
      <c r="R2918" s="5" t="s">
        <v>240</v>
      </c>
      <c r="S2918" s="5" t="s">
        <v>240</v>
      </c>
      <c r="T2918" s="5" t="s">
        <v>243</v>
      </c>
      <c r="U2918" s="5" t="s">
        <v>244</v>
      </c>
      <c r="V2918" s="5" t="s">
        <v>240</v>
      </c>
      <c r="W2918" s="5" t="s">
        <v>240</v>
      </c>
      <c r="X2918" s="5" t="s">
        <v>240</v>
      </c>
      <c r="Y2918" s="5" t="s">
        <v>240</v>
      </c>
      <c r="Z2918" s="6" t="s">
        <v>298</v>
      </c>
      <c r="AA2918" s="6" t="s">
        <v>240</v>
      </c>
      <c r="AB2918" s="6" t="s">
        <v>240</v>
      </c>
      <c r="AC2918" s="5" t="s">
        <v>240</v>
      </c>
      <c r="AD2918" s="6" t="s">
        <v>240</v>
      </c>
      <c r="AE2918" s="6" t="s">
        <v>299</v>
      </c>
      <c r="AF2918" s="5" t="s">
        <v>248</v>
      </c>
      <c r="AG2918" s="5" t="s">
        <v>249</v>
      </c>
      <c r="AH2918" s="5" t="s">
        <v>240</v>
      </c>
      <c r="AI2918" s="5" t="s">
        <v>240</v>
      </c>
      <c r="AJ2918" s="5" t="s">
        <v>240</v>
      </c>
      <c r="AK2918" s="5" t="s">
        <v>240</v>
      </c>
      <c r="AL2918" s="5" t="s">
        <v>240</v>
      </c>
      <c r="AM2918" s="5" t="s">
        <v>240</v>
      </c>
      <c r="AN2918" s="5" t="s">
        <v>240</v>
      </c>
      <c r="AO2918" s="5" t="s">
        <v>240</v>
      </c>
      <c r="AP2918" s="6" t="s">
        <v>240</v>
      </c>
      <c r="AQ2918" s="6" t="s">
        <v>240</v>
      </c>
      <c r="AR2918" s="6" t="s">
        <v>240</v>
      </c>
      <c r="AS2918" s="6" t="s">
        <v>240</v>
      </c>
      <c r="AT2918" s="5" t="s">
        <v>240</v>
      </c>
      <c r="AU2918" s="5" t="s">
        <v>729</v>
      </c>
      <c r="AV2918" s="5" t="s">
        <v>729</v>
      </c>
      <c r="AW2918" s="5" t="s">
        <v>251</v>
      </c>
      <c r="AX2918" s="5" t="s">
        <v>252</v>
      </c>
      <c r="AY2918" s="5" t="s">
        <v>253</v>
      </c>
      <c r="AZ2918" s="5" t="s">
        <v>240</v>
      </c>
      <c r="BA2918" s="5" t="s">
        <v>255</v>
      </c>
      <c r="BB2918" s="5" t="s">
        <v>731</v>
      </c>
      <c r="BD2918" s="5" t="s">
        <v>240</v>
      </c>
      <c r="BF2918" s="5" t="s">
        <v>732</v>
      </c>
      <c r="BG2918" s="6" t="s">
        <v>733</v>
      </c>
      <c r="BH2918" s="5" t="s">
        <v>734</v>
      </c>
      <c r="BI2918" s="5" t="s">
        <v>734</v>
      </c>
      <c r="BJ2918" s="5" t="s">
        <v>240</v>
      </c>
      <c r="BK2918" s="7">
        <f>1</f>
        <v>1</v>
      </c>
      <c r="BL2918" s="7">
        <f>1</f>
        <v>1</v>
      </c>
      <c r="BM2918" s="5" t="s">
        <v>258</v>
      </c>
      <c r="BN2918" s="5" t="s">
        <v>259</v>
      </c>
      <c r="BO2918" s="5" t="s">
        <v>240</v>
      </c>
      <c r="BP2918" s="5" t="s">
        <v>240</v>
      </c>
      <c r="BQ2918" s="5" t="s">
        <v>240</v>
      </c>
      <c r="BR2918" s="5" t="s">
        <v>240</v>
      </c>
      <c r="BS2918" s="5" t="s">
        <v>240</v>
      </c>
      <c r="BT2918" s="5" t="s">
        <v>240</v>
      </c>
      <c r="BU2918" s="5" t="s">
        <v>240</v>
      </c>
      <c r="BV2918" s="5" t="s">
        <v>240</v>
      </c>
      <c r="BW2918" s="6" t="s">
        <v>240</v>
      </c>
      <c r="BX2918" s="5" t="s">
        <v>240</v>
      </c>
      <c r="BY2918" s="5" t="s">
        <v>240</v>
      </c>
      <c r="BZ2918" s="5" t="s">
        <v>240</v>
      </c>
      <c r="CA2918" s="5" t="s">
        <v>259</v>
      </c>
      <c r="CB2918" s="5" t="s">
        <v>240</v>
      </c>
      <c r="CC2918" s="5" t="s">
        <v>240</v>
      </c>
      <c r="CD2918" s="5" t="s">
        <v>240</v>
      </c>
      <c r="CE2918" s="5" t="s">
        <v>240</v>
      </c>
      <c r="CF2918" s="5" t="s">
        <v>240</v>
      </c>
      <c r="CG2918" s="5" t="s">
        <v>304</v>
      </c>
      <c r="CH2918" s="5" t="s">
        <v>305</v>
      </c>
      <c r="CI2918" s="5" t="s">
        <v>240</v>
      </c>
      <c r="CK2918" s="5" t="s">
        <v>3681</v>
      </c>
      <c r="CL2918" s="6" t="s">
        <v>261</v>
      </c>
      <c r="CM2918" s="5" t="s">
        <v>262</v>
      </c>
      <c r="CN2918" s="5" t="s">
        <v>263</v>
      </c>
      <c r="CO2918" s="5" t="s">
        <v>264</v>
      </c>
      <c r="CP2918" s="5" t="s">
        <v>240</v>
      </c>
      <c r="CQ2918" s="5">
        <v>0</v>
      </c>
      <c r="CR2918" s="5" t="s">
        <v>735</v>
      </c>
      <c r="CS2918" s="5" t="s">
        <v>307</v>
      </c>
      <c r="CT2918" s="5" t="s">
        <v>307</v>
      </c>
      <c r="CU2918" s="5" t="s">
        <v>260</v>
      </c>
      <c r="CV2918" s="5" t="s">
        <v>612</v>
      </c>
      <c r="CW2918" s="8">
        <f>1</f>
        <v>1</v>
      </c>
      <c r="CX2918" s="7">
        <f>1</f>
        <v>1</v>
      </c>
      <c r="CY2918" s="7">
        <f>0</f>
        <v>0</v>
      </c>
      <c r="DA2918" s="7">
        <f>1</f>
        <v>1</v>
      </c>
      <c r="DB2918" s="7" t="s">
        <v>240</v>
      </c>
      <c r="DC2918" s="5" t="s">
        <v>240</v>
      </c>
      <c r="DD2918" s="5" t="s">
        <v>240</v>
      </c>
      <c r="DE2918" s="5" t="s">
        <v>240</v>
      </c>
      <c r="DF2918" s="5" t="s">
        <v>240</v>
      </c>
      <c r="DG2918" s="7">
        <f>0</f>
        <v>0</v>
      </c>
      <c r="DI2918" s="5" t="s">
        <v>240</v>
      </c>
      <c r="DJ2918" s="5" t="s">
        <v>240</v>
      </c>
      <c r="DK2918" s="5" t="s">
        <v>240</v>
      </c>
      <c r="DL2918" s="5" t="s">
        <v>240</v>
      </c>
      <c r="DM2918" s="5" t="s">
        <v>240</v>
      </c>
      <c r="DN2918" s="5" t="s">
        <v>240</v>
      </c>
      <c r="DO2918" s="7" t="s">
        <v>240</v>
      </c>
      <c r="DP2918" s="5" t="s">
        <v>240</v>
      </c>
      <c r="DQ2918" s="5" t="s">
        <v>240</v>
      </c>
      <c r="DR2918" s="5" t="s">
        <v>731</v>
      </c>
      <c r="DS2918" s="5" t="s">
        <v>731</v>
      </c>
      <c r="DT2918" s="5" t="s">
        <v>240</v>
      </c>
      <c r="DU2918" s="5" t="s">
        <v>240</v>
      </c>
      <c r="DV2918" s="5" t="s">
        <v>3683</v>
      </c>
      <c r="DW2918" s="5" t="s">
        <v>457</v>
      </c>
      <c r="DX2918" s="5" t="s">
        <v>240</v>
      </c>
      <c r="DY2918" s="5" t="s">
        <v>240</v>
      </c>
      <c r="DZ2918" s="5" t="s">
        <v>240</v>
      </c>
      <c r="EA2918" s="5" t="s">
        <v>240</v>
      </c>
      <c r="EB2918" s="5" t="s">
        <v>240</v>
      </c>
      <c r="EC2918" s="5" t="s">
        <v>240</v>
      </c>
      <c r="ED2918" s="5" t="s">
        <v>240</v>
      </c>
      <c r="EE2918" s="5" t="s">
        <v>240</v>
      </c>
      <c r="EF2918" s="5" t="s">
        <v>240</v>
      </c>
      <c r="EG2918" s="5" t="s">
        <v>240</v>
      </c>
      <c r="EH2918" s="5" t="s">
        <v>240</v>
      </c>
      <c r="EI2918" s="5" t="s">
        <v>240</v>
      </c>
      <c r="EJ2918" s="5" t="s">
        <v>240</v>
      </c>
      <c r="EK2918" s="5" t="s">
        <v>240</v>
      </c>
      <c r="EL2918" s="5" t="s">
        <v>240</v>
      </c>
      <c r="EM2918" s="5" t="s">
        <v>240</v>
      </c>
      <c r="EN2918" s="5" t="s">
        <v>240</v>
      </c>
      <c r="EO2918" s="5" t="s">
        <v>240</v>
      </c>
      <c r="EP2918" s="5" t="s">
        <v>240</v>
      </c>
      <c r="EQ2918" s="5" t="s">
        <v>240</v>
      </c>
      <c r="ER2918" s="5" t="s">
        <v>240</v>
      </c>
      <c r="ES2918" s="5" t="s">
        <v>240</v>
      </c>
      <c r="ET2918" s="5" t="s">
        <v>240</v>
      </c>
      <c r="EU2918" s="5" t="s">
        <v>240</v>
      </c>
      <c r="EV2918" s="5" t="s">
        <v>240</v>
      </c>
      <c r="EW2918" s="5" t="s">
        <v>240</v>
      </c>
      <c r="EX2918" s="5" t="s">
        <v>240</v>
      </c>
      <c r="EY2918" s="5" t="s">
        <v>240</v>
      </c>
      <c r="EZ2918" s="5" t="s">
        <v>240</v>
      </c>
      <c r="FA2918" s="5" t="s">
        <v>240</v>
      </c>
      <c r="FB2918" s="5" t="s">
        <v>240</v>
      </c>
      <c r="FC2918" s="5" t="s">
        <v>240</v>
      </c>
      <c r="FD2918" s="5" t="s">
        <v>240</v>
      </c>
      <c r="FE2918" s="5" t="s">
        <v>240</v>
      </c>
      <c r="FF2918" s="5" t="s">
        <v>240</v>
      </c>
      <c r="FG2918" s="5" t="s">
        <v>240</v>
      </c>
      <c r="FH2918" s="5" t="s">
        <v>240</v>
      </c>
      <c r="FI2918" s="5" t="s">
        <v>240</v>
      </c>
      <c r="FJ2918" s="5" t="s">
        <v>240</v>
      </c>
      <c r="FK2918" s="5" t="s">
        <v>240</v>
      </c>
      <c r="FL2918" s="5" t="s">
        <v>240</v>
      </c>
      <c r="FM2918" s="5" t="s">
        <v>240</v>
      </c>
      <c r="FN2918" s="5" t="s">
        <v>240</v>
      </c>
      <c r="FO2918" s="5" t="s">
        <v>240</v>
      </c>
      <c r="FP2918" s="5" t="s">
        <v>240</v>
      </c>
      <c r="FQ2918" s="5" t="s">
        <v>240</v>
      </c>
      <c r="FR2918" s="5" t="s">
        <v>240</v>
      </c>
      <c r="FS2918" s="5" t="s">
        <v>240</v>
      </c>
      <c r="FT2918" s="5" t="s">
        <v>240</v>
      </c>
      <c r="FU2918" s="5" t="s">
        <v>240</v>
      </c>
      <c r="FV2918" s="5" t="s">
        <v>240</v>
      </c>
      <c r="FW2918" s="5" t="s">
        <v>240</v>
      </c>
      <c r="FX2918" s="5" t="s">
        <v>240</v>
      </c>
      <c r="FY2918" s="5" t="s">
        <v>240</v>
      </c>
      <c r="FZ2918" s="5" t="s">
        <v>240</v>
      </c>
      <c r="GA2918" s="5" t="s">
        <v>240</v>
      </c>
      <c r="GB2918" s="5" t="s">
        <v>240</v>
      </c>
      <c r="GC2918" s="5" t="s">
        <v>240</v>
      </c>
      <c r="GD2918" s="5" t="s">
        <v>240</v>
      </c>
      <c r="GE2918" s="5" t="s">
        <v>240</v>
      </c>
      <c r="GF2918" s="5" t="s">
        <v>240</v>
      </c>
      <c r="GG2918" s="5" t="s">
        <v>240</v>
      </c>
      <c r="GH2918" s="5" t="s">
        <v>240</v>
      </c>
      <c r="GI2918" s="5" t="s">
        <v>240</v>
      </c>
      <c r="GJ2918" s="5" t="s">
        <v>240</v>
      </c>
      <c r="GK2918" s="5" t="s">
        <v>240</v>
      </c>
      <c r="GL2918" s="5" t="s">
        <v>240</v>
      </c>
      <c r="GM2918" s="5" t="s">
        <v>240</v>
      </c>
      <c r="GN2918" s="5" t="s">
        <v>240</v>
      </c>
      <c r="GO2918" s="5" t="s">
        <v>240</v>
      </c>
      <c r="GP2918" s="5" t="s">
        <v>240</v>
      </c>
      <c r="GQ2918" s="5" t="s">
        <v>240</v>
      </c>
      <c r="GR2918" s="5" t="s">
        <v>240</v>
      </c>
      <c r="GS2918" s="5" t="s">
        <v>240</v>
      </c>
      <c r="GT2918" s="5" t="s">
        <v>240</v>
      </c>
      <c r="GU2918" s="5" t="s">
        <v>240</v>
      </c>
      <c r="GV2918" s="5" t="s">
        <v>240</v>
      </c>
      <c r="GW2918" s="5" t="s">
        <v>240</v>
      </c>
      <c r="GX2918" s="5" t="s">
        <v>240</v>
      </c>
      <c r="GY2918" s="5" t="s">
        <v>240</v>
      </c>
      <c r="GZ2918" s="5" t="s">
        <v>240</v>
      </c>
      <c r="HA2918" s="5" t="s">
        <v>240</v>
      </c>
      <c r="HB2918" s="5" t="s">
        <v>240</v>
      </c>
      <c r="HC2918" s="5" t="s">
        <v>240</v>
      </c>
      <c r="HD2918" s="5" t="s">
        <v>240</v>
      </c>
      <c r="HE2918" s="5" t="s">
        <v>240</v>
      </c>
      <c r="HF2918" s="5" t="s">
        <v>240</v>
      </c>
      <c r="HG2918" s="5" t="s">
        <v>240</v>
      </c>
      <c r="HH2918" s="5" t="s">
        <v>240</v>
      </c>
      <c r="HI2918" s="5" t="s">
        <v>240</v>
      </c>
      <c r="HJ2918" s="5" t="s">
        <v>240</v>
      </c>
      <c r="HK2918" s="5" t="s">
        <v>240</v>
      </c>
      <c r="HL2918" s="5" t="s">
        <v>240</v>
      </c>
      <c r="HM2918" s="5" t="s">
        <v>240</v>
      </c>
      <c r="HN2918" s="5" t="s">
        <v>240</v>
      </c>
      <c r="HO2918" s="5" t="s">
        <v>312</v>
      </c>
      <c r="HP2918" s="5" t="s">
        <v>240</v>
      </c>
      <c r="HQ2918" s="5" t="s">
        <v>240</v>
      </c>
      <c r="HR2918" s="5" t="s">
        <v>240</v>
      </c>
      <c r="HS2918" s="5" t="s">
        <v>240</v>
      </c>
      <c r="HT2918" s="5" t="s">
        <v>240</v>
      </c>
      <c r="HU2918" s="5" t="s">
        <v>240</v>
      </c>
      <c r="HV2918" s="5" t="s">
        <v>240</v>
      </c>
      <c r="HW2918" s="5" t="s">
        <v>240</v>
      </c>
      <c r="HX2918" s="5" t="s">
        <v>240</v>
      </c>
      <c r="HY2918" s="5" t="s">
        <v>240</v>
      </c>
      <c r="HZ2918" s="5" t="s">
        <v>240</v>
      </c>
      <c r="IA2918" s="5" t="s">
        <v>240</v>
      </c>
      <c r="IB2918" s="5" t="s">
        <v>240</v>
      </c>
      <c r="IC2918" s="5" t="s">
        <v>240</v>
      </c>
      <c r="ID2918" s="5" t="s">
        <v>240</v>
      </c>
      <c r="IE2918" s="5" t="s">
        <v>240</v>
      </c>
      <c r="IF2918" s="5" t="s">
        <v>240</v>
      </c>
    </row>
    <row r="2919" spans="1:240" x14ac:dyDescent="0.4">
      <c r="A2919" s="5">
        <v>4623</v>
      </c>
      <c r="B2919" s="5">
        <v>1</v>
      </c>
      <c r="C2919" s="5">
        <v>1</v>
      </c>
      <c r="D2919" s="5" t="s">
        <v>810</v>
      </c>
      <c r="E2919" s="5" t="s">
        <v>245</v>
      </c>
      <c r="F2919" s="5" t="s">
        <v>254</v>
      </c>
      <c r="G2919" s="5" t="s">
        <v>240</v>
      </c>
      <c r="H2919" s="6" t="s">
        <v>2705</v>
      </c>
      <c r="I2919" s="5" t="s">
        <v>809</v>
      </c>
      <c r="J2919" s="8">
        <f>2611</f>
        <v>2611</v>
      </c>
      <c r="K2919" s="5" t="s">
        <v>308</v>
      </c>
      <c r="L2919" s="7">
        <f>1</f>
        <v>1</v>
      </c>
      <c r="M2919" s="7">
        <f>1</f>
        <v>1</v>
      </c>
      <c r="N2919" s="5" t="s">
        <v>242</v>
      </c>
      <c r="O2919" s="5">
        <v>1</v>
      </c>
      <c r="P2919" s="5" t="s">
        <v>294</v>
      </c>
      <c r="Q2919" s="5" t="s">
        <v>3678</v>
      </c>
      <c r="R2919" s="5" t="s">
        <v>240</v>
      </c>
      <c r="S2919" s="5" t="s">
        <v>240</v>
      </c>
      <c r="T2919" s="5" t="s">
        <v>243</v>
      </c>
      <c r="U2919" s="5" t="s">
        <v>244</v>
      </c>
      <c r="V2919" s="5" t="s">
        <v>240</v>
      </c>
      <c r="W2919" s="5" t="s">
        <v>240</v>
      </c>
      <c r="X2919" s="5" t="s">
        <v>240</v>
      </c>
      <c r="Y2919" s="5" t="s">
        <v>240</v>
      </c>
      <c r="Z2919" s="6" t="s">
        <v>298</v>
      </c>
      <c r="AA2919" s="6" t="s">
        <v>240</v>
      </c>
      <c r="AB2919" s="6" t="s">
        <v>240</v>
      </c>
      <c r="AC2919" s="5" t="s">
        <v>240</v>
      </c>
      <c r="AD2919" s="6" t="s">
        <v>240</v>
      </c>
      <c r="AE2919" s="6" t="s">
        <v>299</v>
      </c>
      <c r="AF2919" s="5" t="s">
        <v>248</v>
      </c>
      <c r="AG2919" s="5" t="s">
        <v>249</v>
      </c>
      <c r="AH2919" s="5" t="s">
        <v>240</v>
      </c>
      <c r="AI2919" s="5" t="s">
        <v>240</v>
      </c>
      <c r="AJ2919" s="5" t="s">
        <v>240</v>
      </c>
      <c r="AK2919" s="5" t="s">
        <v>240</v>
      </c>
      <c r="AL2919" s="5" t="s">
        <v>240</v>
      </c>
      <c r="AM2919" s="5" t="s">
        <v>240</v>
      </c>
      <c r="AN2919" s="5" t="s">
        <v>240</v>
      </c>
      <c r="AO2919" s="5" t="s">
        <v>240</v>
      </c>
      <c r="AP2919" s="6" t="s">
        <v>240</v>
      </c>
      <c r="AQ2919" s="6" t="s">
        <v>240</v>
      </c>
      <c r="AR2919" s="6" t="s">
        <v>240</v>
      </c>
      <c r="AS2919" s="6" t="s">
        <v>240</v>
      </c>
      <c r="AT2919" s="5" t="s">
        <v>240</v>
      </c>
      <c r="AU2919" s="5" t="s">
        <v>729</v>
      </c>
      <c r="AV2919" s="5" t="s">
        <v>729</v>
      </c>
      <c r="AW2919" s="5" t="s">
        <v>251</v>
      </c>
      <c r="AX2919" s="5" t="s">
        <v>252</v>
      </c>
      <c r="AY2919" s="5" t="s">
        <v>253</v>
      </c>
      <c r="AZ2919" s="5" t="s">
        <v>240</v>
      </c>
      <c r="BA2919" s="5" t="s">
        <v>255</v>
      </c>
      <c r="BB2919" s="5" t="s">
        <v>731</v>
      </c>
      <c r="BD2919" s="5" t="s">
        <v>240</v>
      </c>
      <c r="BF2919" s="5" t="s">
        <v>732</v>
      </c>
      <c r="BG2919" s="6" t="s">
        <v>733</v>
      </c>
      <c r="BH2919" s="5" t="s">
        <v>734</v>
      </c>
      <c r="BI2919" s="5" t="s">
        <v>734</v>
      </c>
      <c r="BJ2919" s="5" t="s">
        <v>240</v>
      </c>
      <c r="BK2919" s="7">
        <f>1</f>
        <v>1</v>
      </c>
      <c r="BL2919" s="7">
        <f>1</f>
        <v>1</v>
      </c>
      <c r="BM2919" s="5" t="s">
        <v>258</v>
      </c>
      <c r="BN2919" s="5" t="s">
        <v>259</v>
      </c>
      <c r="BO2919" s="5" t="s">
        <v>240</v>
      </c>
      <c r="BP2919" s="5" t="s">
        <v>240</v>
      </c>
      <c r="BQ2919" s="5" t="s">
        <v>240</v>
      </c>
      <c r="BR2919" s="5" t="s">
        <v>240</v>
      </c>
      <c r="BS2919" s="5" t="s">
        <v>240</v>
      </c>
      <c r="BT2919" s="5" t="s">
        <v>240</v>
      </c>
      <c r="BU2919" s="5" t="s">
        <v>240</v>
      </c>
      <c r="BV2919" s="5" t="s">
        <v>240</v>
      </c>
      <c r="BW2919" s="6" t="s">
        <v>240</v>
      </c>
      <c r="BX2919" s="5" t="s">
        <v>240</v>
      </c>
      <c r="BY2919" s="5" t="s">
        <v>240</v>
      </c>
      <c r="BZ2919" s="5" t="s">
        <v>240</v>
      </c>
      <c r="CA2919" s="5" t="s">
        <v>259</v>
      </c>
      <c r="CB2919" s="5" t="s">
        <v>240</v>
      </c>
      <c r="CC2919" s="5" t="s">
        <v>240</v>
      </c>
      <c r="CD2919" s="5" t="s">
        <v>240</v>
      </c>
      <c r="CE2919" s="5" t="s">
        <v>240</v>
      </c>
      <c r="CF2919" s="5" t="s">
        <v>240</v>
      </c>
      <c r="CG2919" s="5" t="s">
        <v>304</v>
      </c>
      <c r="CH2919" s="5" t="s">
        <v>305</v>
      </c>
      <c r="CI2919" s="5" t="s">
        <v>240</v>
      </c>
      <c r="CK2919" s="5" t="s">
        <v>3681</v>
      </c>
      <c r="CL2919" s="6" t="s">
        <v>261</v>
      </c>
      <c r="CM2919" s="5" t="s">
        <v>262</v>
      </c>
      <c r="CN2919" s="5" t="s">
        <v>263</v>
      </c>
      <c r="CO2919" s="5" t="s">
        <v>264</v>
      </c>
      <c r="CP2919" s="5" t="s">
        <v>240</v>
      </c>
      <c r="CQ2919" s="5">
        <v>0</v>
      </c>
      <c r="CR2919" s="5" t="s">
        <v>735</v>
      </c>
      <c r="CS2919" s="5" t="s">
        <v>307</v>
      </c>
      <c r="CT2919" s="5" t="s">
        <v>307</v>
      </c>
      <c r="CU2919" s="5" t="s">
        <v>260</v>
      </c>
      <c r="CV2919" s="5" t="s">
        <v>612</v>
      </c>
      <c r="CW2919" s="8">
        <f>1</f>
        <v>1</v>
      </c>
      <c r="CX2919" s="7">
        <f>1</f>
        <v>1</v>
      </c>
      <c r="CY2919" s="7">
        <f>0</f>
        <v>0</v>
      </c>
      <c r="DA2919" s="7">
        <f>1</f>
        <v>1</v>
      </c>
      <c r="DB2919" s="7" t="s">
        <v>240</v>
      </c>
      <c r="DC2919" s="5" t="s">
        <v>240</v>
      </c>
      <c r="DD2919" s="5" t="s">
        <v>240</v>
      </c>
      <c r="DE2919" s="5" t="s">
        <v>240</v>
      </c>
      <c r="DF2919" s="5" t="s">
        <v>240</v>
      </c>
      <c r="DG2919" s="7">
        <f>0</f>
        <v>0</v>
      </c>
      <c r="DI2919" s="5" t="s">
        <v>240</v>
      </c>
      <c r="DJ2919" s="5" t="s">
        <v>240</v>
      </c>
      <c r="DK2919" s="5" t="s">
        <v>240</v>
      </c>
      <c r="DL2919" s="5" t="s">
        <v>240</v>
      </c>
      <c r="DM2919" s="5" t="s">
        <v>240</v>
      </c>
      <c r="DN2919" s="5" t="s">
        <v>240</v>
      </c>
      <c r="DO2919" s="7" t="s">
        <v>240</v>
      </c>
      <c r="DP2919" s="5" t="s">
        <v>240</v>
      </c>
      <c r="DQ2919" s="5" t="s">
        <v>240</v>
      </c>
      <c r="DR2919" s="5" t="s">
        <v>731</v>
      </c>
      <c r="DS2919" s="5" t="s">
        <v>731</v>
      </c>
      <c r="DT2919" s="5" t="s">
        <v>240</v>
      </c>
      <c r="DU2919" s="5" t="s">
        <v>240</v>
      </c>
      <c r="DV2919" s="5" t="s">
        <v>5063</v>
      </c>
      <c r="DW2919" s="5" t="s">
        <v>2057</v>
      </c>
      <c r="DX2919" s="5" t="s">
        <v>240</v>
      </c>
      <c r="DY2919" s="5" t="s">
        <v>240</v>
      </c>
      <c r="DZ2919" s="5" t="s">
        <v>240</v>
      </c>
      <c r="EA2919" s="5" t="s">
        <v>240</v>
      </c>
      <c r="EB2919" s="5" t="s">
        <v>240</v>
      </c>
      <c r="EC2919" s="5" t="s">
        <v>240</v>
      </c>
      <c r="ED2919" s="5" t="s">
        <v>240</v>
      </c>
      <c r="EE2919" s="5" t="s">
        <v>240</v>
      </c>
      <c r="EF2919" s="5" t="s">
        <v>240</v>
      </c>
      <c r="EG2919" s="5" t="s">
        <v>240</v>
      </c>
      <c r="EH2919" s="5" t="s">
        <v>240</v>
      </c>
      <c r="EI2919" s="5" t="s">
        <v>240</v>
      </c>
      <c r="EJ2919" s="5" t="s">
        <v>240</v>
      </c>
      <c r="EK2919" s="5" t="s">
        <v>240</v>
      </c>
      <c r="EL2919" s="5" t="s">
        <v>240</v>
      </c>
      <c r="EM2919" s="5" t="s">
        <v>240</v>
      </c>
      <c r="EN2919" s="5" t="s">
        <v>240</v>
      </c>
      <c r="EO2919" s="5" t="s">
        <v>240</v>
      </c>
      <c r="EP2919" s="5" t="s">
        <v>240</v>
      </c>
      <c r="EQ2919" s="5" t="s">
        <v>240</v>
      </c>
      <c r="ER2919" s="5" t="s">
        <v>240</v>
      </c>
      <c r="ES2919" s="5" t="s">
        <v>240</v>
      </c>
      <c r="ET2919" s="5" t="s">
        <v>240</v>
      </c>
      <c r="EU2919" s="5" t="s">
        <v>240</v>
      </c>
      <c r="EV2919" s="5" t="s">
        <v>240</v>
      </c>
      <c r="EW2919" s="5" t="s">
        <v>240</v>
      </c>
      <c r="EX2919" s="5" t="s">
        <v>240</v>
      </c>
      <c r="EY2919" s="5" t="s">
        <v>240</v>
      </c>
      <c r="EZ2919" s="5" t="s">
        <v>240</v>
      </c>
      <c r="FA2919" s="5" t="s">
        <v>240</v>
      </c>
      <c r="FB2919" s="5" t="s">
        <v>240</v>
      </c>
      <c r="FC2919" s="5" t="s">
        <v>240</v>
      </c>
      <c r="FD2919" s="5" t="s">
        <v>240</v>
      </c>
      <c r="FE2919" s="5" t="s">
        <v>240</v>
      </c>
      <c r="FF2919" s="5" t="s">
        <v>240</v>
      </c>
      <c r="FG2919" s="5" t="s">
        <v>240</v>
      </c>
      <c r="FH2919" s="5" t="s">
        <v>240</v>
      </c>
      <c r="FI2919" s="5" t="s">
        <v>240</v>
      </c>
      <c r="FJ2919" s="5" t="s">
        <v>240</v>
      </c>
      <c r="FK2919" s="5" t="s">
        <v>240</v>
      </c>
      <c r="FL2919" s="5" t="s">
        <v>240</v>
      </c>
      <c r="FM2919" s="5" t="s">
        <v>240</v>
      </c>
      <c r="FN2919" s="5" t="s">
        <v>240</v>
      </c>
      <c r="FO2919" s="5" t="s">
        <v>240</v>
      </c>
      <c r="FP2919" s="5" t="s">
        <v>240</v>
      </c>
      <c r="FQ2919" s="5" t="s">
        <v>240</v>
      </c>
      <c r="FR2919" s="5" t="s">
        <v>240</v>
      </c>
      <c r="FS2919" s="5" t="s">
        <v>240</v>
      </c>
      <c r="FT2919" s="5" t="s">
        <v>240</v>
      </c>
      <c r="FU2919" s="5" t="s">
        <v>240</v>
      </c>
      <c r="FV2919" s="5" t="s">
        <v>240</v>
      </c>
      <c r="FW2919" s="5" t="s">
        <v>240</v>
      </c>
      <c r="FX2919" s="5" t="s">
        <v>240</v>
      </c>
      <c r="FY2919" s="5" t="s">
        <v>240</v>
      </c>
      <c r="FZ2919" s="5" t="s">
        <v>240</v>
      </c>
      <c r="GA2919" s="5" t="s">
        <v>240</v>
      </c>
      <c r="GB2919" s="5" t="s">
        <v>240</v>
      </c>
      <c r="GC2919" s="5" t="s">
        <v>240</v>
      </c>
      <c r="GD2919" s="5" t="s">
        <v>240</v>
      </c>
      <c r="GE2919" s="5" t="s">
        <v>240</v>
      </c>
      <c r="GF2919" s="5" t="s">
        <v>240</v>
      </c>
      <c r="GG2919" s="5" t="s">
        <v>240</v>
      </c>
      <c r="GH2919" s="5" t="s">
        <v>240</v>
      </c>
      <c r="GI2919" s="5" t="s">
        <v>240</v>
      </c>
      <c r="GJ2919" s="5" t="s">
        <v>240</v>
      </c>
      <c r="GK2919" s="5" t="s">
        <v>240</v>
      </c>
      <c r="GL2919" s="5" t="s">
        <v>240</v>
      </c>
      <c r="GM2919" s="5" t="s">
        <v>240</v>
      </c>
      <c r="GN2919" s="5" t="s">
        <v>240</v>
      </c>
      <c r="GO2919" s="5" t="s">
        <v>240</v>
      </c>
      <c r="GP2919" s="5" t="s">
        <v>240</v>
      </c>
      <c r="GQ2919" s="5" t="s">
        <v>240</v>
      </c>
      <c r="GR2919" s="5" t="s">
        <v>240</v>
      </c>
      <c r="GS2919" s="5" t="s">
        <v>240</v>
      </c>
      <c r="GT2919" s="5" t="s">
        <v>240</v>
      </c>
      <c r="GU2919" s="5" t="s">
        <v>240</v>
      </c>
      <c r="GV2919" s="5" t="s">
        <v>240</v>
      </c>
      <c r="GW2919" s="5" t="s">
        <v>240</v>
      </c>
      <c r="GX2919" s="5" t="s">
        <v>240</v>
      </c>
      <c r="GY2919" s="5" t="s">
        <v>240</v>
      </c>
      <c r="GZ2919" s="5" t="s">
        <v>240</v>
      </c>
      <c r="HA2919" s="5" t="s">
        <v>240</v>
      </c>
      <c r="HB2919" s="5" t="s">
        <v>240</v>
      </c>
      <c r="HC2919" s="5" t="s">
        <v>240</v>
      </c>
      <c r="HD2919" s="5" t="s">
        <v>240</v>
      </c>
      <c r="HE2919" s="5" t="s">
        <v>240</v>
      </c>
      <c r="HF2919" s="5" t="s">
        <v>240</v>
      </c>
      <c r="HG2919" s="5" t="s">
        <v>240</v>
      </c>
      <c r="HH2919" s="5" t="s">
        <v>240</v>
      </c>
      <c r="HI2919" s="5" t="s">
        <v>240</v>
      </c>
      <c r="HJ2919" s="5" t="s">
        <v>240</v>
      </c>
      <c r="HK2919" s="5" t="s">
        <v>240</v>
      </c>
      <c r="HL2919" s="5" t="s">
        <v>240</v>
      </c>
      <c r="HM2919" s="5" t="s">
        <v>240</v>
      </c>
      <c r="HN2919" s="5" t="s">
        <v>240</v>
      </c>
      <c r="HO2919" s="5" t="s">
        <v>312</v>
      </c>
      <c r="HP2919" s="5" t="s">
        <v>240</v>
      </c>
      <c r="HQ2919" s="5" t="s">
        <v>240</v>
      </c>
      <c r="HR2919" s="5" t="s">
        <v>240</v>
      </c>
      <c r="HS2919" s="5" t="s">
        <v>240</v>
      </c>
      <c r="HT2919" s="5" t="s">
        <v>240</v>
      </c>
      <c r="HU2919" s="5" t="s">
        <v>240</v>
      </c>
      <c r="HV2919" s="5" t="s">
        <v>240</v>
      </c>
      <c r="HW2919" s="5" t="s">
        <v>240</v>
      </c>
      <c r="HX2919" s="5" t="s">
        <v>240</v>
      </c>
      <c r="HY2919" s="5" t="s">
        <v>240</v>
      </c>
      <c r="HZ2919" s="5" t="s">
        <v>240</v>
      </c>
      <c r="IA2919" s="5" t="s">
        <v>240</v>
      </c>
      <c r="IB2919" s="5" t="s">
        <v>240</v>
      </c>
      <c r="IC2919" s="5" t="s">
        <v>240</v>
      </c>
      <c r="ID2919" s="5" t="s">
        <v>240</v>
      </c>
      <c r="IE2919" s="5" t="s">
        <v>240</v>
      </c>
      <c r="IF2919" s="5" t="s">
        <v>240</v>
      </c>
    </row>
    <row r="2920" spans="1:240" x14ac:dyDescent="0.4">
      <c r="A2920" s="5">
        <v>4624</v>
      </c>
      <c r="B2920" s="5">
        <v>1</v>
      </c>
      <c r="C2920" s="5">
        <v>1</v>
      </c>
      <c r="D2920" s="5" t="s">
        <v>810</v>
      </c>
      <c r="E2920" s="5" t="s">
        <v>245</v>
      </c>
      <c r="F2920" s="5" t="s">
        <v>254</v>
      </c>
      <c r="G2920" s="5" t="s">
        <v>240</v>
      </c>
      <c r="H2920" s="6" t="s">
        <v>2703</v>
      </c>
      <c r="I2920" s="5" t="s">
        <v>809</v>
      </c>
      <c r="J2920" s="8">
        <f>245</f>
        <v>245</v>
      </c>
      <c r="K2920" s="5" t="s">
        <v>308</v>
      </c>
      <c r="L2920" s="7">
        <f>1</f>
        <v>1</v>
      </c>
      <c r="M2920" s="7">
        <f>1</f>
        <v>1</v>
      </c>
      <c r="N2920" s="5" t="s">
        <v>242</v>
      </c>
      <c r="O2920" s="5">
        <v>1</v>
      </c>
      <c r="P2920" s="5" t="s">
        <v>294</v>
      </c>
      <c r="Q2920" s="5" t="s">
        <v>3678</v>
      </c>
      <c r="R2920" s="5" t="s">
        <v>240</v>
      </c>
      <c r="S2920" s="5" t="s">
        <v>240</v>
      </c>
      <c r="T2920" s="5" t="s">
        <v>243</v>
      </c>
      <c r="U2920" s="5" t="s">
        <v>244</v>
      </c>
      <c r="V2920" s="5" t="s">
        <v>240</v>
      </c>
      <c r="W2920" s="5" t="s">
        <v>240</v>
      </c>
      <c r="X2920" s="5" t="s">
        <v>240</v>
      </c>
      <c r="Y2920" s="5" t="s">
        <v>240</v>
      </c>
      <c r="Z2920" s="6" t="s">
        <v>298</v>
      </c>
      <c r="AA2920" s="6" t="s">
        <v>240</v>
      </c>
      <c r="AB2920" s="6" t="s">
        <v>240</v>
      </c>
      <c r="AC2920" s="5" t="s">
        <v>240</v>
      </c>
      <c r="AD2920" s="6" t="s">
        <v>240</v>
      </c>
      <c r="AE2920" s="6" t="s">
        <v>299</v>
      </c>
      <c r="AF2920" s="5" t="s">
        <v>248</v>
      </c>
      <c r="AG2920" s="5" t="s">
        <v>249</v>
      </c>
      <c r="AH2920" s="5" t="s">
        <v>240</v>
      </c>
      <c r="AI2920" s="5" t="s">
        <v>240</v>
      </c>
      <c r="AJ2920" s="5" t="s">
        <v>240</v>
      </c>
      <c r="AK2920" s="5" t="s">
        <v>240</v>
      </c>
      <c r="AL2920" s="5" t="s">
        <v>240</v>
      </c>
      <c r="AM2920" s="5" t="s">
        <v>240</v>
      </c>
      <c r="AN2920" s="5" t="s">
        <v>240</v>
      </c>
      <c r="AO2920" s="5" t="s">
        <v>240</v>
      </c>
      <c r="AP2920" s="6" t="s">
        <v>240</v>
      </c>
      <c r="AQ2920" s="6" t="s">
        <v>240</v>
      </c>
      <c r="AR2920" s="6" t="s">
        <v>240</v>
      </c>
      <c r="AS2920" s="6" t="s">
        <v>240</v>
      </c>
      <c r="AT2920" s="5" t="s">
        <v>240</v>
      </c>
      <c r="AU2920" s="5" t="s">
        <v>729</v>
      </c>
      <c r="AV2920" s="5" t="s">
        <v>729</v>
      </c>
      <c r="AW2920" s="5" t="s">
        <v>251</v>
      </c>
      <c r="AX2920" s="5" t="s">
        <v>252</v>
      </c>
      <c r="AY2920" s="5" t="s">
        <v>253</v>
      </c>
      <c r="AZ2920" s="5" t="s">
        <v>240</v>
      </c>
      <c r="BA2920" s="5" t="s">
        <v>255</v>
      </c>
      <c r="BB2920" s="5" t="s">
        <v>731</v>
      </c>
      <c r="BD2920" s="5" t="s">
        <v>240</v>
      </c>
      <c r="BF2920" s="5" t="s">
        <v>732</v>
      </c>
      <c r="BG2920" s="6" t="s">
        <v>733</v>
      </c>
      <c r="BH2920" s="5" t="s">
        <v>734</v>
      </c>
      <c r="BI2920" s="5" t="s">
        <v>734</v>
      </c>
      <c r="BJ2920" s="5" t="s">
        <v>240</v>
      </c>
      <c r="BK2920" s="7">
        <f>1</f>
        <v>1</v>
      </c>
      <c r="BL2920" s="7">
        <f>1</f>
        <v>1</v>
      </c>
      <c r="BM2920" s="5" t="s">
        <v>258</v>
      </c>
      <c r="BN2920" s="5" t="s">
        <v>259</v>
      </c>
      <c r="BO2920" s="5" t="s">
        <v>240</v>
      </c>
      <c r="BP2920" s="5" t="s">
        <v>240</v>
      </c>
      <c r="BQ2920" s="5" t="s">
        <v>240</v>
      </c>
      <c r="BR2920" s="5" t="s">
        <v>240</v>
      </c>
      <c r="BS2920" s="5" t="s">
        <v>240</v>
      </c>
      <c r="BT2920" s="5" t="s">
        <v>240</v>
      </c>
      <c r="BU2920" s="5" t="s">
        <v>240</v>
      </c>
      <c r="BV2920" s="5" t="s">
        <v>240</v>
      </c>
      <c r="BW2920" s="6" t="s">
        <v>240</v>
      </c>
      <c r="BX2920" s="5" t="s">
        <v>240</v>
      </c>
      <c r="BY2920" s="5" t="s">
        <v>240</v>
      </c>
      <c r="BZ2920" s="5" t="s">
        <v>240</v>
      </c>
      <c r="CA2920" s="5" t="s">
        <v>259</v>
      </c>
      <c r="CB2920" s="5" t="s">
        <v>240</v>
      </c>
      <c r="CC2920" s="5" t="s">
        <v>240</v>
      </c>
      <c r="CD2920" s="5" t="s">
        <v>240</v>
      </c>
      <c r="CE2920" s="5" t="s">
        <v>240</v>
      </c>
      <c r="CF2920" s="5" t="s">
        <v>240</v>
      </c>
      <c r="CG2920" s="5" t="s">
        <v>304</v>
      </c>
      <c r="CH2920" s="5" t="s">
        <v>305</v>
      </c>
      <c r="CI2920" s="5" t="s">
        <v>240</v>
      </c>
      <c r="CK2920" s="5" t="s">
        <v>3681</v>
      </c>
      <c r="CL2920" s="6" t="s">
        <v>261</v>
      </c>
      <c r="CM2920" s="5" t="s">
        <v>262</v>
      </c>
      <c r="CN2920" s="5" t="s">
        <v>263</v>
      </c>
      <c r="CO2920" s="5" t="s">
        <v>264</v>
      </c>
      <c r="CP2920" s="5" t="s">
        <v>240</v>
      </c>
      <c r="CQ2920" s="5">
        <v>0</v>
      </c>
      <c r="CR2920" s="5" t="s">
        <v>735</v>
      </c>
      <c r="CS2920" s="5" t="s">
        <v>307</v>
      </c>
      <c r="CT2920" s="5" t="s">
        <v>307</v>
      </c>
      <c r="CU2920" s="5" t="s">
        <v>260</v>
      </c>
      <c r="CV2920" s="5" t="s">
        <v>612</v>
      </c>
      <c r="CW2920" s="8">
        <f>1</f>
        <v>1</v>
      </c>
      <c r="CX2920" s="7">
        <f>1</f>
        <v>1</v>
      </c>
      <c r="CY2920" s="7">
        <f>0</f>
        <v>0</v>
      </c>
      <c r="DA2920" s="7">
        <f>1</f>
        <v>1</v>
      </c>
      <c r="DB2920" s="7" t="s">
        <v>240</v>
      </c>
      <c r="DC2920" s="5" t="s">
        <v>240</v>
      </c>
      <c r="DD2920" s="5" t="s">
        <v>240</v>
      </c>
      <c r="DE2920" s="5" t="s">
        <v>240</v>
      </c>
      <c r="DF2920" s="5" t="s">
        <v>240</v>
      </c>
      <c r="DG2920" s="7">
        <f>0</f>
        <v>0</v>
      </c>
      <c r="DI2920" s="5" t="s">
        <v>240</v>
      </c>
      <c r="DJ2920" s="5" t="s">
        <v>240</v>
      </c>
      <c r="DK2920" s="5" t="s">
        <v>240</v>
      </c>
      <c r="DL2920" s="5" t="s">
        <v>240</v>
      </c>
      <c r="DM2920" s="5" t="s">
        <v>240</v>
      </c>
      <c r="DN2920" s="5" t="s">
        <v>240</v>
      </c>
      <c r="DO2920" s="7" t="s">
        <v>240</v>
      </c>
      <c r="DP2920" s="5" t="s">
        <v>240</v>
      </c>
      <c r="DQ2920" s="5" t="s">
        <v>240</v>
      </c>
      <c r="DR2920" s="5" t="s">
        <v>731</v>
      </c>
      <c r="DS2920" s="5" t="s">
        <v>731</v>
      </c>
      <c r="DT2920" s="5" t="s">
        <v>240</v>
      </c>
      <c r="DU2920" s="5" t="s">
        <v>240</v>
      </c>
      <c r="DV2920" s="5" t="s">
        <v>5063</v>
      </c>
      <c r="DW2920" s="5" t="s">
        <v>1202</v>
      </c>
      <c r="DX2920" s="5" t="s">
        <v>240</v>
      </c>
      <c r="DY2920" s="5" t="s">
        <v>240</v>
      </c>
      <c r="DZ2920" s="5" t="s">
        <v>240</v>
      </c>
      <c r="EA2920" s="5" t="s">
        <v>240</v>
      </c>
      <c r="EB2920" s="5" t="s">
        <v>240</v>
      </c>
      <c r="EC2920" s="5" t="s">
        <v>240</v>
      </c>
      <c r="ED2920" s="5" t="s">
        <v>240</v>
      </c>
      <c r="EE2920" s="5" t="s">
        <v>240</v>
      </c>
      <c r="EF2920" s="5" t="s">
        <v>240</v>
      </c>
      <c r="EG2920" s="5" t="s">
        <v>240</v>
      </c>
      <c r="EH2920" s="5" t="s">
        <v>240</v>
      </c>
      <c r="EI2920" s="5" t="s">
        <v>240</v>
      </c>
      <c r="EJ2920" s="5" t="s">
        <v>240</v>
      </c>
      <c r="EK2920" s="5" t="s">
        <v>240</v>
      </c>
      <c r="EL2920" s="5" t="s">
        <v>240</v>
      </c>
      <c r="EM2920" s="5" t="s">
        <v>240</v>
      </c>
      <c r="EN2920" s="5" t="s">
        <v>240</v>
      </c>
      <c r="EO2920" s="5" t="s">
        <v>240</v>
      </c>
      <c r="EP2920" s="5" t="s">
        <v>240</v>
      </c>
      <c r="EQ2920" s="5" t="s">
        <v>240</v>
      </c>
      <c r="ER2920" s="5" t="s">
        <v>240</v>
      </c>
      <c r="ES2920" s="5" t="s">
        <v>240</v>
      </c>
      <c r="ET2920" s="5" t="s">
        <v>240</v>
      </c>
      <c r="EU2920" s="5" t="s">
        <v>240</v>
      </c>
      <c r="EV2920" s="5" t="s">
        <v>240</v>
      </c>
      <c r="EW2920" s="5" t="s">
        <v>240</v>
      </c>
      <c r="EX2920" s="5" t="s">
        <v>240</v>
      </c>
      <c r="EY2920" s="5" t="s">
        <v>240</v>
      </c>
      <c r="EZ2920" s="5" t="s">
        <v>240</v>
      </c>
      <c r="FA2920" s="5" t="s">
        <v>240</v>
      </c>
      <c r="FB2920" s="5" t="s">
        <v>240</v>
      </c>
      <c r="FC2920" s="5" t="s">
        <v>240</v>
      </c>
      <c r="FD2920" s="5" t="s">
        <v>240</v>
      </c>
      <c r="FE2920" s="5" t="s">
        <v>240</v>
      </c>
      <c r="FF2920" s="5" t="s">
        <v>240</v>
      </c>
      <c r="FG2920" s="5" t="s">
        <v>240</v>
      </c>
      <c r="FH2920" s="5" t="s">
        <v>240</v>
      </c>
      <c r="FI2920" s="5" t="s">
        <v>240</v>
      </c>
      <c r="FJ2920" s="5" t="s">
        <v>240</v>
      </c>
      <c r="FK2920" s="5" t="s">
        <v>240</v>
      </c>
      <c r="FL2920" s="5" t="s">
        <v>240</v>
      </c>
      <c r="FM2920" s="5" t="s">
        <v>240</v>
      </c>
      <c r="FN2920" s="5" t="s">
        <v>240</v>
      </c>
      <c r="FO2920" s="5" t="s">
        <v>240</v>
      </c>
      <c r="FP2920" s="5" t="s">
        <v>240</v>
      </c>
      <c r="FQ2920" s="5" t="s">
        <v>240</v>
      </c>
      <c r="FR2920" s="5" t="s">
        <v>240</v>
      </c>
      <c r="FS2920" s="5" t="s">
        <v>240</v>
      </c>
      <c r="FT2920" s="5" t="s">
        <v>240</v>
      </c>
      <c r="FU2920" s="5" t="s">
        <v>240</v>
      </c>
      <c r="FV2920" s="5" t="s">
        <v>240</v>
      </c>
      <c r="FW2920" s="5" t="s">
        <v>240</v>
      </c>
      <c r="FX2920" s="5" t="s">
        <v>240</v>
      </c>
      <c r="FY2920" s="5" t="s">
        <v>240</v>
      </c>
      <c r="FZ2920" s="5" t="s">
        <v>240</v>
      </c>
      <c r="GA2920" s="5" t="s">
        <v>240</v>
      </c>
      <c r="GB2920" s="5" t="s">
        <v>240</v>
      </c>
      <c r="GC2920" s="5" t="s">
        <v>240</v>
      </c>
      <c r="GD2920" s="5" t="s">
        <v>240</v>
      </c>
      <c r="GE2920" s="5" t="s">
        <v>240</v>
      </c>
      <c r="GF2920" s="5" t="s">
        <v>240</v>
      </c>
      <c r="GG2920" s="5" t="s">
        <v>240</v>
      </c>
      <c r="GH2920" s="5" t="s">
        <v>240</v>
      </c>
      <c r="GI2920" s="5" t="s">
        <v>240</v>
      </c>
      <c r="GJ2920" s="5" t="s">
        <v>240</v>
      </c>
      <c r="GK2920" s="5" t="s">
        <v>240</v>
      </c>
      <c r="GL2920" s="5" t="s">
        <v>240</v>
      </c>
      <c r="GM2920" s="5" t="s">
        <v>240</v>
      </c>
      <c r="GN2920" s="5" t="s">
        <v>240</v>
      </c>
      <c r="GO2920" s="5" t="s">
        <v>240</v>
      </c>
      <c r="GP2920" s="5" t="s">
        <v>240</v>
      </c>
      <c r="GQ2920" s="5" t="s">
        <v>240</v>
      </c>
      <c r="GR2920" s="5" t="s">
        <v>240</v>
      </c>
      <c r="GS2920" s="5" t="s">
        <v>240</v>
      </c>
      <c r="GT2920" s="5" t="s">
        <v>240</v>
      </c>
      <c r="GU2920" s="5" t="s">
        <v>240</v>
      </c>
      <c r="GV2920" s="5" t="s">
        <v>240</v>
      </c>
      <c r="GW2920" s="5" t="s">
        <v>240</v>
      </c>
      <c r="GX2920" s="5" t="s">
        <v>240</v>
      </c>
      <c r="GY2920" s="5" t="s">
        <v>240</v>
      </c>
      <c r="GZ2920" s="5" t="s">
        <v>240</v>
      </c>
      <c r="HA2920" s="5" t="s">
        <v>240</v>
      </c>
      <c r="HB2920" s="5" t="s">
        <v>240</v>
      </c>
      <c r="HC2920" s="5" t="s">
        <v>240</v>
      </c>
      <c r="HD2920" s="5" t="s">
        <v>240</v>
      </c>
      <c r="HE2920" s="5" t="s">
        <v>240</v>
      </c>
      <c r="HF2920" s="5" t="s">
        <v>240</v>
      </c>
      <c r="HG2920" s="5" t="s">
        <v>240</v>
      </c>
      <c r="HH2920" s="5" t="s">
        <v>240</v>
      </c>
      <c r="HI2920" s="5" t="s">
        <v>240</v>
      </c>
      <c r="HJ2920" s="5" t="s">
        <v>240</v>
      </c>
      <c r="HK2920" s="5" t="s">
        <v>240</v>
      </c>
      <c r="HL2920" s="5" t="s">
        <v>240</v>
      </c>
      <c r="HM2920" s="5" t="s">
        <v>240</v>
      </c>
      <c r="HN2920" s="5" t="s">
        <v>240</v>
      </c>
      <c r="HO2920" s="5" t="s">
        <v>312</v>
      </c>
      <c r="HP2920" s="5" t="s">
        <v>240</v>
      </c>
      <c r="HQ2920" s="5" t="s">
        <v>240</v>
      </c>
      <c r="HR2920" s="5" t="s">
        <v>240</v>
      </c>
      <c r="HS2920" s="5" t="s">
        <v>240</v>
      </c>
      <c r="HT2920" s="5" t="s">
        <v>240</v>
      </c>
      <c r="HU2920" s="5" t="s">
        <v>240</v>
      </c>
      <c r="HV2920" s="5" t="s">
        <v>240</v>
      </c>
      <c r="HW2920" s="5" t="s">
        <v>240</v>
      </c>
      <c r="HX2920" s="5" t="s">
        <v>240</v>
      </c>
      <c r="HY2920" s="5" t="s">
        <v>240</v>
      </c>
      <c r="HZ2920" s="5" t="s">
        <v>240</v>
      </c>
      <c r="IA2920" s="5" t="s">
        <v>240</v>
      </c>
      <c r="IB2920" s="5" t="s">
        <v>240</v>
      </c>
      <c r="IC2920" s="5" t="s">
        <v>240</v>
      </c>
      <c r="ID2920" s="5" t="s">
        <v>240</v>
      </c>
      <c r="IE2920" s="5" t="s">
        <v>240</v>
      </c>
      <c r="IF2920" s="5" t="s">
        <v>240</v>
      </c>
    </row>
    <row r="2921" spans="1:240" x14ac:dyDescent="0.4">
      <c r="A2921" s="5">
        <v>4625</v>
      </c>
      <c r="B2921" s="5">
        <v>1</v>
      </c>
      <c r="C2921" s="5">
        <v>1</v>
      </c>
      <c r="D2921" s="5" t="s">
        <v>810</v>
      </c>
      <c r="E2921" s="5" t="s">
        <v>245</v>
      </c>
      <c r="F2921" s="5" t="s">
        <v>254</v>
      </c>
      <c r="G2921" s="5" t="s">
        <v>240</v>
      </c>
      <c r="H2921" s="6" t="s">
        <v>2701</v>
      </c>
      <c r="I2921" s="5" t="s">
        <v>809</v>
      </c>
      <c r="J2921" s="8">
        <f>1893</f>
        <v>1893</v>
      </c>
      <c r="K2921" s="5" t="s">
        <v>308</v>
      </c>
      <c r="L2921" s="7">
        <f>1</f>
        <v>1</v>
      </c>
      <c r="M2921" s="7">
        <f>1</f>
        <v>1</v>
      </c>
      <c r="N2921" s="5" t="s">
        <v>242</v>
      </c>
      <c r="O2921" s="5">
        <v>1</v>
      </c>
      <c r="P2921" s="5" t="s">
        <v>294</v>
      </c>
      <c r="Q2921" s="5" t="s">
        <v>266</v>
      </c>
      <c r="R2921" s="5" t="s">
        <v>240</v>
      </c>
      <c r="S2921" s="5" t="s">
        <v>240</v>
      </c>
      <c r="T2921" s="5" t="s">
        <v>243</v>
      </c>
      <c r="U2921" s="5" t="s">
        <v>240</v>
      </c>
      <c r="V2921" s="5" t="s">
        <v>240</v>
      </c>
      <c r="Y2921" s="5" t="s">
        <v>240</v>
      </c>
      <c r="Z2921" s="6" t="s">
        <v>5120</v>
      </c>
      <c r="AB2921" s="6" t="s">
        <v>240</v>
      </c>
      <c r="AE2921" s="6" t="s">
        <v>5121</v>
      </c>
      <c r="AF2921" s="5" t="s">
        <v>248</v>
      </c>
      <c r="AG2921" s="5" t="s">
        <v>260</v>
      </c>
      <c r="AW2921" s="5" t="s">
        <v>251</v>
      </c>
      <c r="AX2921" s="5" t="s">
        <v>240</v>
      </c>
      <c r="AY2921" s="5" t="s">
        <v>253</v>
      </c>
      <c r="AZ2921" s="5" t="s">
        <v>240</v>
      </c>
      <c r="BA2921" s="5" t="s">
        <v>255</v>
      </c>
      <c r="BB2921" s="5" t="s">
        <v>240</v>
      </c>
      <c r="BD2921" s="5" t="s">
        <v>240</v>
      </c>
      <c r="BF2921" s="5" t="s">
        <v>687</v>
      </c>
      <c r="BG2921" s="6" t="s">
        <v>5121</v>
      </c>
      <c r="BH2921" s="5" t="s">
        <v>302</v>
      </c>
      <c r="BI2921" s="5" t="s">
        <v>448</v>
      </c>
      <c r="BJ2921" s="5" t="s">
        <v>240</v>
      </c>
      <c r="BK2921" s="8">
        <f>0</f>
        <v>0</v>
      </c>
      <c r="BL2921" s="7">
        <f>0</f>
        <v>0</v>
      </c>
      <c r="BM2921" s="5" t="s">
        <v>258</v>
      </c>
      <c r="BN2921" s="5" t="s">
        <v>259</v>
      </c>
      <c r="CB2921" s="5" t="s">
        <v>240</v>
      </c>
      <c r="CC2921" s="5" t="s">
        <v>240</v>
      </c>
      <c r="CG2921" s="5" t="s">
        <v>449</v>
      </c>
      <c r="CH2921" s="5" t="s">
        <v>305</v>
      </c>
      <c r="CI2921" s="5" t="s">
        <v>240</v>
      </c>
      <c r="CL2921" s="6" t="s">
        <v>261</v>
      </c>
      <c r="CM2921" s="5" t="s">
        <v>240</v>
      </c>
      <c r="CN2921" s="5" t="s">
        <v>263</v>
      </c>
      <c r="CO2921" s="5" t="s">
        <v>240</v>
      </c>
      <c r="CP2921" s="5" t="s">
        <v>240</v>
      </c>
      <c r="CQ2921" s="5">
        <v>0</v>
      </c>
      <c r="CR2921" s="5" t="s">
        <v>306</v>
      </c>
      <c r="CS2921" s="5" t="s">
        <v>307</v>
      </c>
      <c r="CT2921" s="5" t="s">
        <v>307</v>
      </c>
      <c r="CU2921" s="5" t="s">
        <v>260</v>
      </c>
      <c r="CX2921" s="7">
        <f>163775</f>
        <v>163775</v>
      </c>
      <c r="CY2921" s="7">
        <f>0</f>
        <v>0</v>
      </c>
      <c r="DA2921" s="7">
        <f>0</f>
        <v>0</v>
      </c>
      <c r="DC2921" s="5" t="s">
        <v>450</v>
      </c>
      <c r="DD2921" s="5" t="s">
        <v>240</v>
      </c>
      <c r="DF2921" s="5" t="s">
        <v>450</v>
      </c>
      <c r="DG2921" s="7">
        <f>158.11</f>
        <v>158.11000000000001</v>
      </c>
      <c r="DI2921" s="5" t="s">
        <v>240</v>
      </c>
      <c r="DJ2921" s="5" t="s">
        <v>240</v>
      </c>
      <c r="DK2921" s="5" t="s">
        <v>240</v>
      </c>
      <c r="DL2921" s="5" t="s">
        <v>240</v>
      </c>
      <c r="DP2921" s="5" t="s">
        <v>240</v>
      </c>
      <c r="DQ2921" s="5" t="s">
        <v>240</v>
      </c>
      <c r="DR2921" s="5" t="s">
        <v>240</v>
      </c>
      <c r="DS2921" s="5" t="s">
        <v>240</v>
      </c>
      <c r="DV2921" s="5" t="s">
        <v>310</v>
      </c>
      <c r="DW2921" s="5" t="s">
        <v>2452</v>
      </c>
      <c r="HO2921" s="5" t="s">
        <v>312</v>
      </c>
    </row>
    <row r="2922" spans="1:240" x14ac:dyDescent="0.4">
      <c r="A2922" s="5">
        <v>4626</v>
      </c>
      <c r="B2922" s="5">
        <v>1</v>
      </c>
      <c r="C2922" s="5">
        <v>1</v>
      </c>
      <c r="D2922" s="5" t="s">
        <v>810</v>
      </c>
      <c r="E2922" s="5" t="s">
        <v>245</v>
      </c>
      <c r="F2922" s="5" t="s">
        <v>254</v>
      </c>
      <c r="G2922" s="5" t="s">
        <v>240</v>
      </c>
      <c r="H2922" s="6" t="s">
        <v>2699</v>
      </c>
      <c r="I2922" s="5" t="s">
        <v>809</v>
      </c>
      <c r="J2922" s="8">
        <f>681</f>
        <v>681</v>
      </c>
      <c r="K2922" s="5" t="s">
        <v>308</v>
      </c>
      <c r="L2922" s="7">
        <f>1</f>
        <v>1</v>
      </c>
      <c r="M2922" s="7">
        <f>1</f>
        <v>1</v>
      </c>
      <c r="N2922" s="5" t="s">
        <v>242</v>
      </c>
      <c r="O2922" s="5">
        <v>1</v>
      </c>
      <c r="P2922" s="5" t="s">
        <v>294</v>
      </c>
      <c r="Q2922" s="5" t="s">
        <v>3678</v>
      </c>
      <c r="R2922" s="5" t="s">
        <v>240</v>
      </c>
      <c r="S2922" s="5" t="s">
        <v>240</v>
      </c>
      <c r="T2922" s="5" t="s">
        <v>243</v>
      </c>
      <c r="U2922" s="5" t="s">
        <v>244</v>
      </c>
      <c r="V2922" s="5" t="s">
        <v>240</v>
      </c>
      <c r="W2922" s="5" t="s">
        <v>240</v>
      </c>
      <c r="X2922" s="5" t="s">
        <v>240</v>
      </c>
      <c r="Y2922" s="5" t="s">
        <v>240</v>
      </c>
      <c r="Z2922" s="6" t="s">
        <v>298</v>
      </c>
      <c r="AA2922" s="6" t="s">
        <v>240</v>
      </c>
      <c r="AB2922" s="6" t="s">
        <v>240</v>
      </c>
      <c r="AC2922" s="5" t="s">
        <v>240</v>
      </c>
      <c r="AD2922" s="6" t="s">
        <v>240</v>
      </c>
      <c r="AE2922" s="6" t="s">
        <v>299</v>
      </c>
      <c r="AF2922" s="5" t="s">
        <v>248</v>
      </c>
      <c r="AG2922" s="5" t="s">
        <v>249</v>
      </c>
      <c r="AH2922" s="5" t="s">
        <v>240</v>
      </c>
      <c r="AI2922" s="5" t="s">
        <v>240</v>
      </c>
      <c r="AJ2922" s="5" t="s">
        <v>240</v>
      </c>
      <c r="AK2922" s="5" t="s">
        <v>240</v>
      </c>
      <c r="AL2922" s="5" t="s">
        <v>240</v>
      </c>
      <c r="AM2922" s="5" t="s">
        <v>240</v>
      </c>
      <c r="AN2922" s="5" t="s">
        <v>240</v>
      </c>
      <c r="AO2922" s="5" t="s">
        <v>240</v>
      </c>
      <c r="AP2922" s="6" t="s">
        <v>240</v>
      </c>
      <c r="AQ2922" s="6" t="s">
        <v>240</v>
      </c>
      <c r="AR2922" s="6" t="s">
        <v>240</v>
      </c>
      <c r="AS2922" s="6" t="s">
        <v>240</v>
      </c>
      <c r="AT2922" s="5" t="s">
        <v>240</v>
      </c>
      <c r="AU2922" s="5" t="s">
        <v>729</v>
      </c>
      <c r="AV2922" s="5" t="s">
        <v>729</v>
      </c>
      <c r="AW2922" s="5" t="s">
        <v>251</v>
      </c>
      <c r="AX2922" s="5" t="s">
        <v>252</v>
      </c>
      <c r="AY2922" s="5" t="s">
        <v>253</v>
      </c>
      <c r="AZ2922" s="5" t="s">
        <v>240</v>
      </c>
      <c r="BA2922" s="5" t="s">
        <v>255</v>
      </c>
      <c r="BB2922" s="5" t="s">
        <v>731</v>
      </c>
      <c r="BD2922" s="5" t="s">
        <v>240</v>
      </c>
      <c r="BF2922" s="5" t="s">
        <v>732</v>
      </c>
      <c r="BG2922" s="6" t="s">
        <v>733</v>
      </c>
      <c r="BH2922" s="5" t="s">
        <v>734</v>
      </c>
      <c r="BI2922" s="5" t="s">
        <v>734</v>
      </c>
      <c r="BJ2922" s="5" t="s">
        <v>240</v>
      </c>
      <c r="BK2922" s="7">
        <f>1</f>
        <v>1</v>
      </c>
      <c r="BL2922" s="7">
        <f>1</f>
        <v>1</v>
      </c>
      <c r="BM2922" s="5" t="s">
        <v>258</v>
      </c>
      <c r="BN2922" s="5" t="s">
        <v>259</v>
      </c>
      <c r="BO2922" s="5" t="s">
        <v>240</v>
      </c>
      <c r="BP2922" s="5" t="s">
        <v>240</v>
      </c>
      <c r="BQ2922" s="5" t="s">
        <v>240</v>
      </c>
      <c r="BR2922" s="5" t="s">
        <v>240</v>
      </c>
      <c r="BS2922" s="5" t="s">
        <v>240</v>
      </c>
      <c r="BT2922" s="5" t="s">
        <v>240</v>
      </c>
      <c r="BU2922" s="5" t="s">
        <v>240</v>
      </c>
      <c r="BV2922" s="5" t="s">
        <v>240</v>
      </c>
      <c r="BW2922" s="6" t="s">
        <v>240</v>
      </c>
      <c r="BX2922" s="5" t="s">
        <v>240</v>
      </c>
      <c r="BY2922" s="5" t="s">
        <v>240</v>
      </c>
      <c r="BZ2922" s="5" t="s">
        <v>240</v>
      </c>
      <c r="CA2922" s="5" t="s">
        <v>259</v>
      </c>
      <c r="CB2922" s="5" t="s">
        <v>240</v>
      </c>
      <c r="CC2922" s="5" t="s">
        <v>240</v>
      </c>
      <c r="CD2922" s="5" t="s">
        <v>240</v>
      </c>
      <c r="CE2922" s="5" t="s">
        <v>240</v>
      </c>
      <c r="CF2922" s="5" t="s">
        <v>240</v>
      </c>
      <c r="CG2922" s="5" t="s">
        <v>304</v>
      </c>
      <c r="CH2922" s="5" t="s">
        <v>305</v>
      </c>
      <c r="CI2922" s="5" t="s">
        <v>240</v>
      </c>
      <c r="CK2922" s="5" t="s">
        <v>3681</v>
      </c>
      <c r="CL2922" s="6" t="s">
        <v>261</v>
      </c>
      <c r="CM2922" s="5" t="s">
        <v>262</v>
      </c>
      <c r="CN2922" s="5" t="s">
        <v>263</v>
      </c>
      <c r="CO2922" s="5" t="s">
        <v>264</v>
      </c>
      <c r="CP2922" s="5" t="s">
        <v>240</v>
      </c>
      <c r="CQ2922" s="5">
        <v>0</v>
      </c>
      <c r="CR2922" s="5" t="s">
        <v>735</v>
      </c>
      <c r="CS2922" s="5" t="s">
        <v>307</v>
      </c>
      <c r="CT2922" s="5" t="s">
        <v>307</v>
      </c>
      <c r="CU2922" s="5" t="s">
        <v>260</v>
      </c>
      <c r="CV2922" s="5" t="s">
        <v>612</v>
      </c>
      <c r="CW2922" s="8">
        <f>1</f>
        <v>1</v>
      </c>
      <c r="CX2922" s="7">
        <f>1</f>
        <v>1</v>
      </c>
      <c r="CY2922" s="7">
        <f>0</f>
        <v>0</v>
      </c>
      <c r="DA2922" s="7">
        <f>1</f>
        <v>1</v>
      </c>
      <c r="DB2922" s="7" t="s">
        <v>240</v>
      </c>
      <c r="DC2922" s="5" t="s">
        <v>240</v>
      </c>
      <c r="DD2922" s="5" t="s">
        <v>240</v>
      </c>
      <c r="DE2922" s="5" t="s">
        <v>240</v>
      </c>
      <c r="DF2922" s="5" t="s">
        <v>240</v>
      </c>
      <c r="DG2922" s="7">
        <f>0</f>
        <v>0</v>
      </c>
      <c r="DI2922" s="5" t="s">
        <v>240</v>
      </c>
      <c r="DJ2922" s="5" t="s">
        <v>240</v>
      </c>
      <c r="DK2922" s="5" t="s">
        <v>240</v>
      </c>
      <c r="DL2922" s="5" t="s">
        <v>240</v>
      </c>
      <c r="DM2922" s="5" t="s">
        <v>240</v>
      </c>
      <c r="DN2922" s="5" t="s">
        <v>240</v>
      </c>
      <c r="DO2922" s="7" t="s">
        <v>240</v>
      </c>
      <c r="DP2922" s="5" t="s">
        <v>240</v>
      </c>
      <c r="DQ2922" s="5" t="s">
        <v>240</v>
      </c>
      <c r="DR2922" s="5" t="s">
        <v>731</v>
      </c>
      <c r="DS2922" s="5" t="s">
        <v>731</v>
      </c>
      <c r="DT2922" s="5" t="s">
        <v>240</v>
      </c>
      <c r="DU2922" s="5" t="s">
        <v>240</v>
      </c>
      <c r="DV2922" s="5" t="s">
        <v>3683</v>
      </c>
      <c r="DW2922" s="5" t="s">
        <v>465</v>
      </c>
      <c r="DX2922" s="5" t="s">
        <v>240</v>
      </c>
      <c r="DY2922" s="5" t="s">
        <v>240</v>
      </c>
      <c r="DZ2922" s="5" t="s">
        <v>240</v>
      </c>
      <c r="EA2922" s="5" t="s">
        <v>240</v>
      </c>
      <c r="EB2922" s="5" t="s">
        <v>240</v>
      </c>
      <c r="EC2922" s="5" t="s">
        <v>240</v>
      </c>
      <c r="ED2922" s="5" t="s">
        <v>240</v>
      </c>
      <c r="EE2922" s="5" t="s">
        <v>240</v>
      </c>
      <c r="EF2922" s="5" t="s">
        <v>240</v>
      </c>
      <c r="EG2922" s="5" t="s">
        <v>240</v>
      </c>
      <c r="EH2922" s="5" t="s">
        <v>240</v>
      </c>
      <c r="EI2922" s="5" t="s">
        <v>240</v>
      </c>
      <c r="EJ2922" s="5" t="s">
        <v>240</v>
      </c>
      <c r="EK2922" s="5" t="s">
        <v>240</v>
      </c>
      <c r="EL2922" s="5" t="s">
        <v>240</v>
      </c>
      <c r="EM2922" s="5" t="s">
        <v>240</v>
      </c>
      <c r="EN2922" s="5" t="s">
        <v>240</v>
      </c>
      <c r="EO2922" s="5" t="s">
        <v>240</v>
      </c>
      <c r="EP2922" s="5" t="s">
        <v>240</v>
      </c>
      <c r="EQ2922" s="5" t="s">
        <v>240</v>
      </c>
      <c r="ER2922" s="5" t="s">
        <v>240</v>
      </c>
      <c r="ES2922" s="5" t="s">
        <v>240</v>
      </c>
      <c r="ET2922" s="5" t="s">
        <v>240</v>
      </c>
      <c r="EU2922" s="5" t="s">
        <v>240</v>
      </c>
      <c r="EV2922" s="5" t="s">
        <v>240</v>
      </c>
      <c r="EW2922" s="5" t="s">
        <v>240</v>
      </c>
      <c r="EX2922" s="5" t="s">
        <v>240</v>
      </c>
      <c r="EY2922" s="5" t="s">
        <v>240</v>
      </c>
      <c r="EZ2922" s="5" t="s">
        <v>240</v>
      </c>
      <c r="FA2922" s="5" t="s">
        <v>240</v>
      </c>
      <c r="FB2922" s="5" t="s">
        <v>240</v>
      </c>
      <c r="FC2922" s="5" t="s">
        <v>240</v>
      </c>
      <c r="FD2922" s="5" t="s">
        <v>240</v>
      </c>
      <c r="FE2922" s="5" t="s">
        <v>240</v>
      </c>
      <c r="FF2922" s="5" t="s">
        <v>240</v>
      </c>
      <c r="FG2922" s="5" t="s">
        <v>240</v>
      </c>
      <c r="FH2922" s="5" t="s">
        <v>240</v>
      </c>
      <c r="FI2922" s="5" t="s">
        <v>240</v>
      </c>
      <c r="FJ2922" s="5" t="s">
        <v>240</v>
      </c>
      <c r="FK2922" s="5" t="s">
        <v>240</v>
      </c>
      <c r="FL2922" s="5" t="s">
        <v>240</v>
      </c>
      <c r="FM2922" s="5" t="s">
        <v>240</v>
      </c>
      <c r="FN2922" s="5" t="s">
        <v>240</v>
      </c>
      <c r="FO2922" s="5" t="s">
        <v>240</v>
      </c>
      <c r="FP2922" s="5" t="s">
        <v>240</v>
      </c>
      <c r="FQ2922" s="5" t="s">
        <v>240</v>
      </c>
      <c r="FR2922" s="5" t="s">
        <v>240</v>
      </c>
      <c r="FS2922" s="5" t="s">
        <v>240</v>
      </c>
      <c r="FT2922" s="5" t="s">
        <v>240</v>
      </c>
      <c r="FU2922" s="5" t="s">
        <v>240</v>
      </c>
      <c r="FV2922" s="5" t="s">
        <v>240</v>
      </c>
      <c r="FW2922" s="5" t="s">
        <v>240</v>
      </c>
      <c r="FX2922" s="5" t="s">
        <v>240</v>
      </c>
      <c r="FY2922" s="5" t="s">
        <v>240</v>
      </c>
      <c r="FZ2922" s="5" t="s">
        <v>240</v>
      </c>
      <c r="GA2922" s="5" t="s">
        <v>240</v>
      </c>
      <c r="GB2922" s="5" t="s">
        <v>240</v>
      </c>
      <c r="GC2922" s="5" t="s">
        <v>240</v>
      </c>
      <c r="GD2922" s="5" t="s">
        <v>240</v>
      </c>
      <c r="GE2922" s="5" t="s">
        <v>240</v>
      </c>
      <c r="GF2922" s="5" t="s">
        <v>240</v>
      </c>
      <c r="GG2922" s="5" t="s">
        <v>240</v>
      </c>
      <c r="GH2922" s="5" t="s">
        <v>240</v>
      </c>
      <c r="GI2922" s="5" t="s">
        <v>240</v>
      </c>
      <c r="GJ2922" s="5" t="s">
        <v>240</v>
      </c>
      <c r="GK2922" s="5" t="s">
        <v>240</v>
      </c>
      <c r="GL2922" s="5" t="s">
        <v>240</v>
      </c>
      <c r="GM2922" s="5" t="s">
        <v>240</v>
      </c>
      <c r="GN2922" s="5" t="s">
        <v>240</v>
      </c>
      <c r="GO2922" s="5" t="s">
        <v>240</v>
      </c>
      <c r="GP2922" s="5" t="s">
        <v>240</v>
      </c>
      <c r="GQ2922" s="5" t="s">
        <v>240</v>
      </c>
      <c r="GR2922" s="5" t="s">
        <v>240</v>
      </c>
      <c r="GS2922" s="5" t="s">
        <v>240</v>
      </c>
      <c r="GT2922" s="5" t="s">
        <v>240</v>
      </c>
      <c r="GU2922" s="5" t="s">
        <v>240</v>
      </c>
      <c r="GV2922" s="5" t="s">
        <v>240</v>
      </c>
      <c r="GW2922" s="5" t="s">
        <v>240</v>
      </c>
      <c r="GX2922" s="5" t="s">
        <v>240</v>
      </c>
      <c r="GY2922" s="5" t="s">
        <v>240</v>
      </c>
      <c r="GZ2922" s="5" t="s">
        <v>240</v>
      </c>
      <c r="HA2922" s="5" t="s">
        <v>240</v>
      </c>
      <c r="HB2922" s="5" t="s">
        <v>240</v>
      </c>
      <c r="HC2922" s="5" t="s">
        <v>240</v>
      </c>
      <c r="HD2922" s="5" t="s">
        <v>240</v>
      </c>
      <c r="HE2922" s="5" t="s">
        <v>240</v>
      </c>
      <c r="HF2922" s="5" t="s">
        <v>240</v>
      </c>
      <c r="HG2922" s="5" t="s">
        <v>240</v>
      </c>
      <c r="HH2922" s="5" t="s">
        <v>240</v>
      </c>
      <c r="HI2922" s="5" t="s">
        <v>240</v>
      </c>
      <c r="HJ2922" s="5" t="s">
        <v>240</v>
      </c>
      <c r="HK2922" s="5" t="s">
        <v>240</v>
      </c>
      <c r="HL2922" s="5" t="s">
        <v>240</v>
      </c>
      <c r="HM2922" s="5" t="s">
        <v>240</v>
      </c>
      <c r="HN2922" s="5" t="s">
        <v>240</v>
      </c>
      <c r="HO2922" s="5" t="s">
        <v>312</v>
      </c>
      <c r="HP2922" s="5" t="s">
        <v>240</v>
      </c>
      <c r="HQ2922" s="5" t="s">
        <v>240</v>
      </c>
      <c r="HR2922" s="5" t="s">
        <v>240</v>
      </c>
      <c r="HS2922" s="5" t="s">
        <v>240</v>
      </c>
      <c r="HT2922" s="5" t="s">
        <v>240</v>
      </c>
      <c r="HU2922" s="5" t="s">
        <v>240</v>
      </c>
      <c r="HV2922" s="5" t="s">
        <v>240</v>
      </c>
      <c r="HW2922" s="5" t="s">
        <v>240</v>
      </c>
      <c r="HX2922" s="5" t="s">
        <v>240</v>
      </c>
      <c r="HY2922" s="5" t="s">
        <v>240</v>
      </c>
      <c r="HZ2922" s="5" t="s">
        <v>240</v>
      </c>
      <c r="IA2922" s="5" t="s">
        <v>240</v>
      </c>
      <c r="IB2922" s="5" t="s">
        <v>240</v>
      </c>
      <c r="IC2922" s="5" t="s">
        <v>240</v>
      </c>
      <c r="ID2922" s="5" t="s">
        <v>240</v>
      </c>
      <c r="IE2922" s="5" t="s">
        <v>240</v>
      </c>
      <c r="IF2922" s="5" t="s">
        <v>240</v>
      </c>
    </row>
    <row r="2923" spans="1:240" x14ac:dyDescent="0.4">
      <c r="A2923" s="5">
        <v>4627</v>
      </c>
      <c r="B2923" s="5">
        <v>1</v>
      </c>
      <c r="C2923" s="5">
        <v>1</v>
      </c>
      <c r="D2923" s="5" t="s">
        <v>810</v>
      </c>
      <c r="E2923" s="5" t="s">
        <v>245</v>
      </c>
      <c r="F2923" s="5" t="s">
        <v>254</v>
      </c>
      <c r="G2923" s="5" t="s">
        <v>240</v>
      </c>
      <c r="H2923" s="6" t="s">
        <v>2697</v>
      </c>
      <c r="I2923" s="5" t="s">
        <v>809</v>
      </c>
      <c r="J2923" s="8">
        <f>168</f>
        <v>168</v>
      </c>
      <c r="K2923" s="5" t="s">
        <v>308</v>
      </c>
      <c r="L2923" s="7">
        <f>1</f>
        <v>1</v>
      </c>
      <c r="M2923" s="7">
        <f>1</f>
        <v>1</v>
      </c>
      <c r="N2923" s="5" t="s">
        <v>242</v>
      </c>
      <c r="O2923" s="5">
        <v>1</v>
      </c>
      <c r="P2923" s="5" t="s">
        <v>294</v>
      </c>
      <c r="Q2923" s="5" t="s">
        <v>3678</v>
      </c>
      <c r="R2923" s="5" t="s">
        <v>240</v>
      </c>
      <c r="S2923" s="5" t="s">
        <v>240</v>
      </c>
      <c r="T2923" s="5" t="s">
        <v>243</v>
      </c>
      <c r="U2923" s="5" t="s">
        <v>244</v>
      </c>
      <c r="V2923" s="5" t="s">
        <v>240</v>
      </c>
      <c r="W2923" s="5" t="s">
        <v>240</v>
      </c>
      <c r="X2923" s="5" t="s">
        <v>240</v>
      </c>
      <c r="Y2923" s="5" t="s">
        <v>240</v>
      </c>
      <c r="Z2923" s="6" t="s">
        <v>298</v>
      </c>
      <c r="AA2923" s="6" t="s">
        <v>240</v>
      </c>
      <c r="AB2923" s="6" t="s">
        <v>240</v>
      </c>
      <c r="AC2923" s="5" t="s">
        <v>240</v>
      </c>
      <c r="AD2923" s="6" t="s">
        <v>240</v>
      </c>
      <c r="AE2923" s="6" t="s">
        <v>299</v>
      </c>
      <c r="AF2923" s="5" t="s">
        <v>248</v>
      </c>
      <c r="AG2923" s="5" t="s">
        <v>249</v>
      </c>
      <c r="AH2923" s="5" t="s">
        <v>240</v>
      </c>
      <c r="AI2923" s="5" t="s">
        <v>240</v>
      </c>
      <c r="AJ2923" s="5" t="s">
        <v>240</v>
      </c>
      <c r="AK2923" s="5" t="s">
        <v>240</v>
      </c>
      <c r="AL2923" s="5" t="s">
        <v>240</v>
      </c>
      <c r="AM2923" s="5" t="s">
        <v>240</v>
      </c>
      <c r="AN2923" s="5" t="s">
        <v>240</v>
      </c>
      <c r="AO2923" s="5" t="s">
        <v>240</v>
      </c>
      <c r="AP2923" s="6" t="s">
        <v>240</v>
      </c>
      <c r="AQ2923" s="6" t="s">
        <v>240</v>
      </c>
      <c r="AR2923" s="6" t="s">
        <v>240</v>
      </c>
      <c r="AS2923" s="6" t="s">
        <v>240</v>
      </c>
      <c r="AT2923" s="5" t="s">
        <v>240</v>
      </c>
      <c r="AU2923" s="5" t="s">
        <v>729</v>
      </c>
      <c r="AV2923" s="5" t="s">
        <v>729</v>
      </c>
      <c r="AW2923" s="5" t="s">
        <v>251</v>
      </c>
      <c r="AX2923" s="5" t="s">
        <v>252</v>
      </c>
      <c r="AY2923" s="5" t="s">
        <v>253</v>
      </c>
      <c r="AZ2923" s="5" t="s">
        <v>240</v>
      </c>
      <c r="BA2923" s="5" t="s">
        <v>255</v>
      </c>
      <c r="BB2923" s="5" t="s">
        <v>731</v>
      </c>
      <c r="BD2923" s="5" t="s">
        <v>240</v>
      </c>
      <c r="BF2923" s="5" t="s">
        <v>732</v>
      </c>
      <c r="BG2923" s="6" t="s">
        <v>733</v>
      </c>
      <c r="BH2923" s="5" t="s">
        <v>734</v>
      </c>
      <c r="BI2923" s="5" t="s">
        <v>734</v>
      </c>
      <c r="BJ2923" s="5" t="s">
        <v>240</v>
      </c>
      <c r="BK2923" s="7">
        <f>1</f>
        <v>1</v>
      </c>
      <c r="BL2923" s="7">
        <f>1</f>
        <v>1</v>
      </c>
      <c r="BM2923" s="5" t="s">
        <v>258</v>
      </c>
      <c r="BN2923" s="5" t="s">
        <v>259</v>
      </c>
      <c r="BO2923" s="5" t="s">
        <v>240</v>
      </c>
      <c r="BP2923" s="5" t="s">
        <v>240</v>
      </c>
      <c r="BQ2923" s="5" t="s">
        <v>240</v>
      </c>
      <c r="BR2923" s="5" t="s">
        <v>240</v>
      </c>
      <c r="BS2923" s="5" t="s">
        <v>240</v>
      </c>
      <c r="BT2923" s="5" t="s">
        <v>240</v>
      </c>
      <c r="BU2923" s="5" t="s">
        <v>240</v>
      </c>
      <c r="BV2923" s="5" t="s">
        <v>240</v>
      </c>
      <c r="BW2923" s="6" t="s">
        <v>240</v>
      </c>
      <c r="BX2923" s="5" t="s">
        <v>240</v>
      </c>
      <c r="BY2923" s="5" t="s">
        <v>240</v>
      </c>
      <c r="BZ2923" s="5" t="s">
        <v>240</v>
      </c>
      <c r="CA2923" s="5" t="s">
        <v>259</v>
      </c>
      <c r="CB2923" s="5" t="s">
        <v>240</v>
      </c>
      <c r="CC2923" s="5" t="s">
        <v>240</v>
      </c>
      <c r="CD2923" s="5" t="s">
        <v>240</v>
      </c>
      <c r="CE2923" s="5" t="s">
        <v>240</v>
      </c>
      <c r="CF2923" s="5" t="s">
        <v>240</v>
      </c>
      <c r="CG2923" s="5" t="s">
        <v>304</v>
      </c>
      <c r="CH2923" s="5" t="s">
        <v>305</v>
      </c>
      <c r="CI2923" s="5" t="s">
        <v>240</v>
      </c>
      <c r="CK2923" s="5" t="s">
        <v>3681</v>
      </c>
      <c r="CL2923" s="6" t="s">
        <v>261</v>
      </c>
      <c r="CM2923" s="5" t="s">
        <v>262</v>
      </c>
      <c r="CN2923" s="5" t="s">
        <v>263</v>
      </c>
      <c r="CO2923" s="5" t="s">
        <v>264</v>
      </c>
      <c r="CP2923" s="5" t="s">
        <v>240</v>
      </c>
      <c r="CQ2923" s="5">
        <v>0</v>
      </c>
      <c r="CR2923" s="5" t="s">
        <v>735</v>
      </c>
      <c r="CS2923" s="5" t="s">
        <v>307</v>
      </c>
      <c r="CT2923" s="5" t="s">
        <v>307</v>
      </c>
      <c r="CU2923" s="5" t="s">
        <v>260</v>
      </c>
      <c r="CV2923" s="5" t="s">
        <v>612</v>
      </c>
      <c r="CW2923" s="8">
        <f>1</f>
        <v>1</v>
      </c>
      <c r="CX2923" s="7">
        <f>1</f>
        <v>1</v>
      </c>
      <c r="CY2923" s="7">
        <f>0</f>
        <v>0</v>
      </c>
      <c r="DA2923" s="7">
        <f>1</f>
        <v>1</v>
      </c>
      <c r="DB2923" s="7" t="s">
        <v>240</v>
      </c>
      <c r="DC2923" s="5" t="s">
        <v>240</v>
      </c>
      <c r="DD2923" s="5" t="s">
        <v>240</v>
      </c>
      <c r="DE2923" s="5" t="s">
        <v>240</v>
      </c>
      <c r="DF2923" s="5" t="s">
        <v>240</v>
      </c>
      <c r="DG2923" s="7">
        <f>0</f>
        <v>0</v>
      </c>
      <c r="DI2923" s="5" t="s">
        <v>240</v>
      </c>
      <c r="DJ2923" s="5" t="s">
        <v>240</v>
      </c>
      <c r="DK2923" s="5" t="s">
        <v>240</v>
      </c>
      <c r="DL2923" s="5" t="s">
        <v>240</v>
      </c>
      <c r="DM2923" s="5" t="s">
        <v>240</v>
      </c>
      <c r="DN2923" s="5" t="s">
        <v>240</v>
      </c>
      <c r="DO2923" s="7" t="s">
        <v>240</v>
      </c>
      <c r="DP2923" s="5" t="s">
        <v>240</v>
      </c>
      <c r="DQ2923" s="5" t="s">
        <v>240</v>
      </c>
      <c r="DR2923" s="5" t="s">
        <v>731</v>
      </c>
      <c r="DS2923" s="5" t="s">
        <v>731</v>
      </c>
      <c r="DT2923" s="5" t="s">
        <v>240</v>
      </c>
      <c r="DU2923" s="5" t="s">
        <v>240</v>
      </c>
      <c r="DV2923" s="5" t="s">
        <v>5063</v>
      </c>
      <c r="DW2923" s="5" t="s">
        <v>1194</v>
      </c>
      <c r="DX2923" s="5" t="s">
        <v>240</v>
      </c>
      <c r="DY2923" s="5" t="s">
        <v>240</v>
      </c>
      <c r="DZ2923" s="5" t="s">
        <v>240</v>
      </c>
      <c r="EA2923" s="5" t="s">
        <v>240</v>
      </c>
      <c r="EB2923" s="5" t="s">
        <v>240</v>
      </c>
      <c r="EC2923" s="5" t="s">
        <v>240</v>
      </c>
      <c r="ED2923" s="5" t="s">
        <v>240</v>
      </c>
      <c r="EE2923" s="5" t="s">
        <v>240</v>
      </c>
      <c r="EF2923" s="5" t="s">
        <v>240</v>
      </c>
      <c r="EG2923" s="5" t="s">
        <v>240</v>
      </c>
      <c r="EH2923" s="5" t="s">
        <v>240</v>
      </c>
      <c r="EI2923" s="5" t="s">
        <v>240</v>
      </c>
      <c r="EJ2923" s="5" t="s">
        <v>240</v>
      </c>
      <c r="EK2923" s="5" t="s">
        <v>240</v>
      </c>
      <c r="EL2923" s="5" t="s">
        <v>240</v>
      </c>
      <c r="EM2923" s="5" t="s">
        <v>240</v>
      </c>
      <c r="EN2923" s="5" t="s">
        <v>240</v>
      </c>
      <c r="EO2923" s="5" t="s">
        <v>240</v>
      </c>
      <c r="EP2923" s="5" t="s">
        <v>240</v>
      </c>
      <c r="EQ2923" s="5" t="s">
        <v>240</v>
      </c>
      <c r="ER2923" s="5" t="s">
        <v>240</v>
      </c>
      <c r="ES2923" s="5" t="s">
        <v>240</v>
      </c>
      <c r="ET2923" s="5" t="s">
        <v>240</v>
      </c>
      <c r="EU2923" s="5" t="s">
        <v>240</v>
      </c>
      <c r="EV2923" s="5" t="s">
        <v>240</v>
      </c>
      <c r="EW2923" s="5" t="s">
        <v>240</v>
      </c>
      <c r="EX2923" s="5" t="s">
        <v>240</v>
      </c>
      <c r="EY2923" s="5" t="s">
        <v>240</v>
      </c>
      <c r="EZ2923" s="5" t="s">
        <v>240</v>
      </c>
      <c r="FA2923" s="5" t="s">
        <v>240</v>
      </c>
      <c r="FB2923" s="5" t="s">
        <v>240</v>
      </c>
      <c r="FC2923" s="5" t="s">
        <v>240</v>
      </c>
      <c r="FD2923" s="5" t="s">
        <v>240</v>
      </c>
      <c r="FE2923" s="5" t="s">
        <v>240</v>
      </c>
      <c r="FF2923" s="5" t="s">
        <v>240</v>
      </c>
      <c r="FG2923" s="5" t="s">
        <v>240</v>
      </c>
      <c r="FH2923" s="5" t="s">
        <v>240</v>
      </c>
      <c r="FI2923" s="5" t="s">
        <v>240</v>
      </c>
      <c r="FJ2923" s="5" t="s">
        <v>240</v>
      </c>
      <c r="FK2923" s="5" t="s">
        <v>240</v>
      </c>
      <c r="FL2923" s="5" t="s">
        <v>240</v>
      </c>
      <c r="FM2923" s="5" t="s">
        <v>240</v>
      </c>
      <c r="FN2923" s="5" t="s">
        <v>240</v>
      </c>
      <c r="FO2923" s="5" t="s">
        <v>240</v>
      </c>
      <c r="FP2923" s="5" t="s">
        <v>240</v>
      </c>
      <c r="FQ2923" s="5" t="s">
        <v>240</v>
      </c>
      <c r="FR2923" s="5" t="s">
        <v>240</v>
      </c>
      <c r="FS2923" s="5" t="s">
        <v>240</v>
      </c>
      <c r="FT2923" s="5" t="s">
        <v>240</v>
      </c>
      <c r="FU2923" s="5" t="s">
        <v>240</v>
      </c>
      <c r="FV2923" s="5" t="s">
        <v>240</v>
      </c>
      <c r="FW2923" s="5" t="s">
        <v>240</v>
      </c>
      <c r="FX2923" s="5" t="s">
        <v>240</v>
      </c>
      <c r="FY2923" s="5" t="s">
        <v>240</v>
      </c>
      <c r="FZ2923" s="5" t="s">
        <v>240</v>
      </c>
      <c r="GA2923" s="5" t="s">
        <v>240</v>
      </c>
      <c r="GB2923" s="5" t="s">
        <v>240</v>
      </c>
      <c r="GC2923" s="5" t="s">
        <v>240</v>
      </c>
      <c r="GD2923" s="5" t="s">
        <v>240</v>
      </c>
      <c r="GE2923" s="5" t="s">
        <v>240</v>
      </c>
      <c r="GF2923" s="5" t="s">
        <v>240</v>
      </c>
      <c r="GG2923" s="5" t="s">
        <v>240</v>
      </c>
      <c r="GH2923" s="5" t="s">
        <v>240</v>
      </c>
      <c r="GI2923" s="5" t="s">
        <v>240</v>
      </c>
      <c r="GJ2923" s="5" t="s">
        <v>240</v>
      </c>
      <c r="GK2923" s="5" t="s">
        <v>240</v>
      </c>
      <c r="GL2923" s="5" t="s">
        <v>240</v>
      </c>
      <c r="GM2923" s="5" t="s">
        <v>240</v>
      </c>
      <c r="GN2923" s="5" t="s">
        <v>240</v>
      </c>
      <c r="GO2923" s="5" t="s">
        <v>240</v>
      </c>
      <c r="GP2923" s="5" t="s">
        <v>240</v>
      </c>
      <c r="GQ2923" s="5" t="s">
        <v>240</v>
      </c>
      <c r="GR2923" s="5" t="s">
        <v>240</v>
      </c>
      <c r="GS2923" s="5" t="s">
        <v>240</v>
      </c>
      <c r="GT2923" s="5" t="s">
        <v>240</v>
      </c>
      <c r="GU2923" s="5" t="s">
        <v>240</v>
      </c>
      <c r="GV2923" s="5" t="s">
        <v>240</v>
      </c>
      <c r="GW2923" s="5" t="s">
        <v>240</v>
      </c>
      <c r="GX2923" s="5" t="s">
        <v>240</v>
      </c>
      <c r="GY2923" s="5" t="s">
        <v>240</v>
      </c>
      <c r="GZ2923" s="5" t="s">
        <v>240</v>
      </c>
      <c r="HA2923" s="5" t="s">
        <v>240</v>
      </c>
      <c r="HB2923" s="5" t="s">
        <v>240</v>
      </c>
      <c r="HC2923" s="5" t="s">
        <v>240</v>
      </c>
      <c r="HD2923" s="5" t="s">
        <v>240</v>
      </c>
      <c r="HE2923" s="5" t="s">
        <v>240</v>
      </c>
      <c r="HF2923" s="5" t="s">
        <v>240</v>
      </c>
      <c r="HG2923" s="5" t="s">
        <v>240</v>
      </c>
      <c r="HH2923" s="5" t="s">
        <v>240</v>
      </c>
      <c r="HI2923" s="5" t="s">
        <v>240</v>
      </c>
      <c r="HJ2923" s="5" t="s">
        <v>240</v>
      </c>
      <c r="HK2923" s="5" t="s">
        <v>240</v>
      </c>
      <c r="HL2923" s="5" t="s">
        <v>240</v>
      </c>
      <c r="HM2923" s="5" t="s">
        <v>240</v>
      </c>
      <c r="HN2923" s="5" t="s">
        <v>240</v>
      </c>
      <c r="HO2923" s="5" t="s">
        <v>312</v>
      </c>
      <c r="HP2923" s="5" t="s">
        <v>240</v>
      </c>
      <c r="HQ2923" s="5" t="s">
        <v>240</v>
      </c>
      <c r="HR2923" s="5" t="s">
        <v>240</v>
      </c>
      <c r="HS2923" s="5" t="s">
        <v>240</v>
      </c>
      <c r="HT2923" s="5" t="s">
        <v>240</v>
      </c>
      <c r="HU2923" s="5" t="s">
        <v>240</v>
      </c>
      <c r="HV2923" s="5" t="s">
        <v>240</v>
      </c>
      <c r="HW2923" s="5" t="s">
        <v>240</v>
      </c>
      <c r="HX2923" s="5" t="s">
        <v>240</v>
      </c>
      <c r="HY2923" s="5" t="s">
        <v>240</v>
      </c>
      <c r="HZ2923" s="5" t="s">
        <v>240</v>
      </c>
      <c r="IA2923" s="5" t="s">
        <v>240</v>
      </c>
      <c r="IB2923" s="5" t="s">
        <v>240</v>
      </c>
      <c r="IC2923" s="5" t="s">
        <v>240</v>
      </c>
      <c r="ID2923" s="5" t="s">
        <v>240</v>
      </c>
      <c r="IE2923" s="5" t="s">
        <v>240</v>
      </c>
      <c r="IF2923" s="5" t="s">
        <v>240</v>
      </c>
    </row>
    <row r="2924" spans="1:240" x14ac:dyDescent="0.4">
      <c r="A2924" s="5">
        <v>4628</v>
      </c>
      <c r="B2924" s="5">
        <v>1</v>
      </c>
      <c r="C2924" s="5">
        <v>1</v>
      </c>
      <c r="D2924" s="5" t="s">
        <v>810</v>
      </c>
      <c r="E2924" s="5" t="s">
        <v>245</v>
      </c>
      <c r="F2924" s="5" t="s">
        <v>254</v>
      </c>
      <c r="G2924" s="5" t="s">
        <v>240</v>
      </c>
      <c r="H2924" s="6" t="s">
        <v>2695</v>
      </c>
      <c r="I2924" s="5" t="s">
        <v>809</v>
      </c>
      <c r="J2924" s="8">
        <f>413</f>
        <v>413</v>
      </c>
      <c r="K2924" s="5" t="s">
        <v>308</v>
      </c>
      <c r="L2924" s="7">
        <f>1</f>
        <v>1</v>
      </c>
      <c r="M2924" s="7">
        <f>1</f>
        <v>1</v>
      </c>
      <c r="N2924" s="5" t="s">
        <v>242</v>
      </c>
      <c r="O2924" s="5">
        <v>1</v>
      </c>
      <c r="P2924" s="5" t="s">
        <v>294</v>
      </c>
      <c r="Q2924" s="5" t="s">
        <v>3678</v>
      </c>
      <c r="R2924" s="5" t="s">
        <v>240</v>
      </c>
      <c r="S2924" s="5" t="s">
        <v>240</v>
      </c>
      <c r="T2924" s="5" t="s">
        <v>243</v>
      </c>
      <c r="U2924" s="5" t="s">
        <v>244</v>
      </c>
      <c r="V2924" s="5" t="s">
        <v>240</v>
      </c>
      <c r="W2924" s="5" t="s">
        <v>240</v>
      </c>
      <c r="X2924" s="5" t="s">
        <v>240</v>
      </c>
      <c r="Y2924" s="5" t="s">
        <v>240</v>
      </c>
      <c r="Z2924" s="6" t="s">
        <v>298</v>
      </c>
      <c r="AA2924" s="6" t="s">
        <v>240</v>
      </c>
      <c r="AB2924" s="6" t="s">
        <v>240</v>
      </c>
      <c r="AC2924" s="5" t="s">
        <v>240</v>
      </c>
      <c r="AD2924" s="6" t="s">
        <v>240</v>
      </c>
      <c r="AE2924" s="6" t="s">
        <v>299</v>
      </c>
      <c r="AF2924" s="5" t="s">
        <v>248</v>
      </c>
      <c r="AG2924" s="5" t="s">
        <v>249</v>
      </c>
      <c r="AH2924" s="5" t="s">
        <v>240</v>
      </c>
      <c r="AI2924" s="5" t="s">
        <v>240</v>
      </c>
      <c r="AJ2924" s="5" t="s">
        <v>240</v>
      </c>
      <c r="AK2924" s="5" t="s">
        <v>240</v>
      </c>
      <c r="AL2924" s="5" t="s">
        <v>240</v>
      </c>
      <c r="AM2924" s="5" t="s">
        <v>240</v>
      </c>
      <c r="AN2924" s="5" t="s">
        <v>240</v>
      </c>
      <c r="AO2924" s="5" t="s">
        <v>240</v>
      </c>
      <c r="AP2924" s="6" t="s">
        <v>240</v>
      </c>
      <c r="AQ2924" s="6" t="s">
        <v>240</v>
      </c>
      <c r="AR2924" s="6" t="s">
        <v>240</v>
      </c>
      <c r="AS2924" s="6" t="s">
        <v>240</v>
      </c>
      <c r="AT2924" s="5" t="s">
        <v>240</v>
      </c>
      <c r="AU2924" s="5" t="s">
        <v>729</v>
      </c>
      <c r="AV2924" s="5" t="s">
        <v>729</v>
      </c>
      <c r="AW2924" s="5" t="s">
        <v>251</v>
      </c>
      <c r="AX2924" s="5" t="s">
        <v>252</v>
      </c>
      <c r="AY2924" s="5" t="s">
        <v>253</v>
      </c>
      <c r="AZ2924" s="5" t="s">
        <v>240</v>
      </c>
      <c r="BA2924" s="5" t="s">
        <v>255</v>
      </c>
      <c r="BB2924" s="5" t="s">
        <v>731</v>
      </c>
      <c r="BD2924" s="5" t="s">
        <v>240</v>
      </c>
      <c r="BF2924" s="5" t="s">
        <v>732</v>
      </c>
      <c r="BG2924" s="6" t="s">
        <v>733</v>
      </c>
      <c r="BH2924" s="5" t="s">
        <v>734</v>
      </c>
      <c r="BI2924" s="5" t="s">
        <v>734</v>
      </c>
      <c r="BJ2924" s="5" t="s">
        <v>240</v>
      </c>
      <c r="BK2924" s="7">
        <f>1</f>
        <v>1</v>
      </c>
      <c r="BL2924" s="7">
        <f>1</f>
        <v>1</v>
      </c>
      <c r="BM2924" s="5" t="s">
        <v>258</v>
      </c>
      <c r="BN2924" s="5" t="s">
        <v>259</v>
      </c>
      <c r="BO2924" s="5" t="s">
        <v>240</v>
      </c>
      <c r="BP2924" s="5" t="s">
        <v>240</v>
      </c>
      <c r="BQ2924" s="5" t="s">
        <v>240</v>
      </c>
      <c r="BR2924" s="5" t="s">
        <v>240</v>
      </c>
      <c r="BS2924" s="5" t="s">
        <v>240</v>
      </c>
      <c r="BT2924" s="5" t="s">
        <v>240</v>
      </c>
      <c r="BU2924" s="5" t="s">
        <v>240</v>
      </c>
      <c r="BV2924" s="5" t="s">
        <v>240</v>
      </c>
      <c r="BW2924" s="6" t="s">
        <v>240</v>
      </c>
      <c r="BX2924" s="5" t="s">
        <v>240</v>
      </c>
      <c r="BY2924" s="5" t="s">
        <v>240</v>
      </c>
      <c r="BZ2924" s="5" t="s">
        <v>240</v>
      </c>
      <c r="CA2924" s="5" t="s">
        <v>259</v>
      </c>
      <c r="CB2924" s="5" t="s">
        <v>240</v>
      </c>
      <c r="CC2924" s="5" t="s">
        <v>240</v>
      </c>
      <c r="CD2924" s="5" t="s">
        <v>240</v>
      </c>
      <c r="CE2924" s="5" t="s">
        <v>240</v>
      </c>
      <c r="CF2924" s="5" t="s">
        <v>240</v>
      </c>
      <c r="CG2924" s="5" t="s">
        <v>304</v>
      </c>
      <c r="CH2924" s="5" t="s">
        <v>305</v>
      </c>
      <c r="CI2924" s="5" t="s">
        <v>240</v>
      </c>
      <c r="CK2924" s="5" t="s">
        <v>3681</v>
      </c>
      <c r="CL2924" s="6" t="s">
        <v>261</v>
      </c>
      <c r="CM2924" s="5" t="s">
        <v>262</v>
      </c>
      <c r="CN2924" s="5" t="s">
        <v>263</v>
      </c>
      <c r="CO2924" s="5" t="s">
        <v>264</v>
      </c>
      <c r="CP2924" s="5" t="s">
        <v>240</v>
      </c>
      <c r="CQ2924" s="5">
        <v>0</v>
      </c>
      <c r="CR2924" s="5" t="s">
        <v>735</v>
      </c>
      <c r="CS2924" s="5" t="s">
        <v>307</v>
      </c>
      <c r="CT2924" s="5" t="s">
        <v>307</v>
      </c>
      <c r="CU2924" s="5" t="s">
        <v>260</v>
      </c>
      <c r="CV2924" s="5" t="s">
        <v>612</v>
      </c>
      <c r="CW2924" s="8">
        <f>1</f>
        <v>1</v>
      </c>
      <c r="CX2924" s="7">
        <f>1</f>
        <v>1</v>
      </c>
      <c r="CY2924" s="7">
        <f>0</f>
        <v>0</v>
      </c>
      <c r="DA2924" s="7">
        <f>1</f>
        <v>1</v>
      </c>
      <c r="DB2924" s="7" t="s">
        <v>240</v>
      </c>
      <c r="DC2924" s="5" t="s">
        <v>240</v>
      </c>
      <c r="DD2924" s="5" t="s">
        <v>240</v>
      </c>
      <c r="DE2924" s="5" t="s">
        <v>240</v>
      </c>
      <c r="DF2924" s="5" t="s">
        <v>240</v>
      </c>
      <c r="DG2924" s="7">
        <f>0</f>
        <v>0</v>
      </c>
      <c r="DI2924" s="5" t="s">
        <v>240</v>
      </c>
      <c r="DJ2924" s="5" t="s">
        <v>240</v>
      </c>
      <c r="DK2924" s="5" t="s">
        <v>240</v>
      </c>
      <c r="DL2924" s="5" t="s">
        <v>240</v>
      </c>
      <c r="DM2924" s="5" t="s">
        <v>240</v>
      </c>
      <c r="DN2924" s="5" t="s">
        <v>240</v>
      </c>
      <c r="DO2924" s="7" t="s">
        <v>240</v>
      </c>
      <c r="DP2924" s="5" t="s">
        <v>240</v>
      </c>
      <c r="DQ2924" s="5" t="s">
        <v>240</v>
      </c>
      <c r="DR2924" s="5" t="s">
        <v>731</v>
      </c>
      <c r="DS2924" s="5" t="s">
        <v>731</v>
      </c>
      <c r="DT2924" s="5" t="s">
        <v>240</v>
      </c>
      <c r="DU2924" s="5" t="s">
        <v>240</v>
      </c>
      <c r="DV2924" s="5" t="s">
        <v>5063</v>
      </c>
      <c r="DW2924" s="5" t="s">
        <v>674</v>
      </c>
      <c r="DX2924" s="5" t="s">
        <v>240</v>
      </c>
      <c r="DY2924" s="5" t="s">
        <v>240</v>
      </c>
      <c r="DZ2924" s="5" t="s">
        <v>240</v>
      </c>
      <c r="EA2924" s="5" t="s">
        <v>240</v>
      </c>
      <c r="EB2924" s="5" t="s">
        <v>240</v>
      </c>
      <c r="EC2924" s="5" t="s">
        <v>240</v>
      </c>
      <c r="ED2924" s="5" t="s">
        <v>240</v>
      </c>
      <c r="EE2924" s="5" t="s">
        <v>240</v>
      </c>
      <c r="EF2924" s="5" t="s">
        <v>240</v>
      </c>
      <c r="EG2924" s="5" t="s">
        <v>240</v>
      </c>
      <c r="EH2924" s="5" t="s">
        <v>240</v>
      </c>
      <c r="EI2924" s="5" t="s">
        <v>240</v>
      </c>
      <c r="EJ2924" s="5" t="s">
        <v>240</v>
      </c>
      <c r="EK2924" s="5" t="s">
        <v>240</v>
      </c>
      <c r="EL2924" s="5" t="s">
        <v>240</v>
      </c>
      <c r="EM2924" s="5" t="s">
        <v>240</v>
      </c>
      <c r="EN2924" s="5" t="s">
        <v>240</v>
      </c>
      <c r="EO2924" s="5" t="s">
        <v>240</v>
      </c>
      <c r="EP2924" s="5" t="s">
        <v>240</v>
      </c>
      <c r="EQ2924" s="5" t="s">
        <v>240</v>
      </c>
      <c r="ER2924" s="5" t="s">
        <v>240</v>
      </c>
      <c r="ES2924" s="5" t="s">
        <v>240</v>
      </c>
      <c r="ET2924" s="5" t="s">
        <v>240</v>
      </c>
      <c r="EU2924" s="5" t="s">
        <v>240</v>
      </c>
      <c r="EV2924" s="5" t="s">
        <v>240</v>
      </c>
      <c r="EW2924" s="5" t="s">
        <v>240</v>
      </c>
      <c r="EX2924" s="5" t="s">
        <v>240</v>
      </c>
      <c r="EY2924" s="5" t="s">
        <v>240</v>
      </c>
      <c r="EZ2924" s="5" t="s">
        <v>240</v>
      </c>
      <c r="FA2924" s="5" t="s">
        <v>240</v>
      </c>
      <c r="FB2924" s="5" t="s">
        <v>240</v>
      </c>
      <c r="FC2924" s="5" t="s">
        <v>240</v>
      </c>
      <c r="FD2924" s="5" t="s">
        <v>240</v>
      </c>
      <c r="FE2924" s="5" t="s">
        <v>240</v>
      </c>
      <c r="FF2924" s="5" t="s">
        <v>240</v>
      </c>
      <c r="FG2924" s="5" t="s">
        <v>240</v>
      </c>
      <c r="FH2924" s="5" t="s">
        <v>240</v>
      </c>
      <c r="FI2924" s="5" t="s">
        <v>240</v>
      </c>
      <c r="FJ2924" s="5" t="s">
        <v>240</v>
      </c>
      <c r="FK2924" s="5" t="s">
        <v>240</v>
      </c>
      <c r="FL2924" s="5" t="s">
        <v>240</v>
      </c>
      <c r="FM2924" s="5" t="s">
        <v>240</v>
      </c>
      <c r="FN2924" s="5" t="s">
        <v>240</v>
      </c>
      <c r="FO2924" s="5" t="s">
        <v>240</v>
      </c>
      <c r="FP2924" s="5" t="s">
        <v>240</v>
      </c>
      <c r="FQ2924" s="5" t="s">
        <v>240</v>
      </c>
      <c r="FR2924" s="5" t="s">
        <v>240</v>
      </c>
      <c r="FS2924" s="5" t="s">
        <v>240</v>
      </c>
      <c r="FT2924" s="5" t="s">
        <v>240</v>
      </c>
      <c r="FU2924" s="5" t="s">
        <v>240</v>
      </c>
      <c r="FV2924" s="5" t="s">
        <v>240</v>
      </c>
      <c r="FW2924" s="5" t="s">
        <v>240</v>
      </c>
      <c r="FX2924" s="5" t="s">
        <v>240</v>
      </c>
      <c r="FY2924" s="5" t="s">
        <v>240</v>
      </c>
      <c r="FZ2924" s="5" t="s">
        <v>240</v>
      </c>
      <c r="GA2924" s="5" t="s">
        <v>240</v>
      </c>
      <c r="GB2924" s="5" t="s">
        <v>240</v>
      </c>
      <c r="GC2924" s="5" t="s">
        <v>240</v>
      </c>
      <c r="GD2924" s="5" t="s">
        <v>240</v>
      </c>
      <c r="GE2924" s="5" t="s">
        <v>240</v>
      </c>
      <c r="GF2924" s="5" t="s">
        <v>240</v>
      </c>
      <c r="GG2924" s="5" t="s">
        <v>240</v>
      </c>
      <c r="GH2924" s="5" t="s">
        <v>240</v>
      </c>
      <c r="GI2924" s="5" t="s">
        <v>240</v>
      </c>
      <c r="GJ2924" s="5" t="s">
        <v>240</v>
      </c>
      <c r="GK2924" s="5" t="s">
        <v>240</v>
      </c>
      <c r="GL2924" s="5" t="s">
        <v>240</v>
      </c>
      <c r="GM2924" s="5" t="s">
        <v>240</v>
      </c>
      <c r="GN2924" s="5" t="s">
        <v>240</v>
      </c>
      <c r="GO2924" s="5" t="s">
        <v>240</v>
      </c>
      <c r="GP2924" s="5" t="s">
        <v>240</v>
      </c>
      <c r="GQ2924" s="5" t="s">
        <v>240</v>
      </c>
      <c r="GR2924" s="5" t="s">
        <v>240</v>
      </c>
      <c r="GS2924" s="5" t="s">
        <v>240</v>
      </c>
      <c r="GT2924" s="5" t="s">
        <v>240</v>
      </c>
      <c r="GU2924" s="5" t="s">
        <v>240</v>
      </c>
      <c r="GV2924" s="5" t="s">
        <v>240</v>
      </c>
      <c r="GW2924" s="5" t="s">
        <v>240</v>
      </c>
      <c r="GX2924" s="5" t="s">
        <v>240</v>
      </c>
      <c r="GY2924" s="5" t="s">
        <v>240</v>
      </c>
      <c r="GZ2924" s="5" t="s">
        <v>240</v>
      </c>
      <c r="HA2924" s="5" t="s">
        <v>240</v>
      </c>
      <c r="HB2924" s="5" t="s">
        <v>240</v>
      </c>
      <c r="HC2924" s="5" t="s">
        <v>240</v>
      </c>
      <c r="HD2924" s="5" t="s">
        <v>240</v>
      </c>
      <c r="HE2924" s="5" t="s">
        <v>240</v>
      </c>
      <c r="HF2924" s="5" t="s">
        <v>240</v>
      </c>
      <c r="HG2924" s="5" t="s">
        <v>240</v>
      </c>
      <c r="HH2924" s="5" t="s">
        <v>240</v>
      </c>
      <c r="HI2924" s="5" t="s">
        <v>240</v>
      </c>
      <c r="HJ2924" s="5" t="s">
        <v>240</v>
      </c>
      <c r="HK2924" s="5" t="s">
        <v>240</v>
      </c>
      <c r="HL2924" s="5" t="s">
        <v>240</v>
      </c>
      <c r="HM2924" s="5" t="s">
        <v>240</v>
      </c>
      <c r="HN2924" s="5" t="s">
        <v>240</v>
      </c>
      <c r="HO2924" s="5" t="s">
        <v>312</v>
      </c>
      <c r="HP2924" s="5" t="s">
        <v>240</v>
      </c>
      <c r="HQ2924" s="5" t="s">
        <v>240</v>
      </c>
      <c r="HR2924" s="5" t="s">
        <v>240</v>
      </c>
      <c r="HS2924" s="5" t="s">
        <v>240</v>
      </c>
      <c r="HT2924" s="5" t="s">
        <v>240</v>
      </c>
      <c r="HU2924" s="5" t="s">
        <v>240</v>
      </c>
      <c r="HV2924" s="5" t="s">
        <v>240</v>
      </c>
      <c r="HW2924" s="5" t="s">
        <v>240</v>
      </c>
      <c r="HX2924" s="5" t="s">
        <v>240</v>
      </c>
      <c r="HY2924" s="5" t="s">
        <v>240</v>
      </c>
      <c r="HZ2924" s="5" t="s">
        <v>240</v>
      </c>
      <c r="IA2924" s="5" t="s">
        <v>240</v>
      </c>
      <c r="IB2924" s="5" t="s">
        <v>240</v>
      </c>
      <c r="IC2924" s="5" t="s">
        <v>240</v>
      </c>
      <c r="ID2924" s="5" t="s">
        <v>240</v>
      </c>
      <c r="IE2924" s="5" t="s">
        <v>240</v>
      </c>
      <c r="IF2924" s="5" t="s">
        <v>240</v>
      </c>
    </row>
    <row r="2925" spans="1:240" x14ac:dyDescent="0.4">
      <c r="A2925" s="5">
        <v>4629</v>
      </c>
      <c r="B2925" s="5">
        <v>1</v>
      </c>
      <c r="C2925" s="5">
        <v>1</v>
      </c>
      <c r="D2925" s="5" t="s">
        <v>810</v>
      </c>
      <c r="E2925" s="5" t="s">
        <v>245</v>
      </c>
      <c r="F2925" s="5" t="s">
        <v>254</v>
      </c>
      <c r="G2925" s="5" t="s">
        <v>240</v>
      </c>
      <c r="H2925" s="6" t="s">
        <v>2693</v>
      </c>
      <c r="I2925" s="5" t="s">
        <v>809</v>
      </c>
      <c r="J2925" s="8">
        <f>142</f>
        <v>142</v>
      </c>
      <c r="K2925" s="5" t="s">
        <v>308</v>
      </c>
      <c r="L2925" s="7">
        <f>1</f>
        <v>1</v>
      </c>
      <c r="M2925" s="7">
        <f>1</f>
        <v>1</v>
      </c>
      <c r="N2925" s="5" t="s">
        <v>242</v>
      </c>
      <c r="O2925" s="5">
        <v>1</v>
      </c>
      <c r="P2925" s="5" t="s">
        <v>294</v>
      </c>
      <c r="Q2925" s="5" t="s">
        <v>3678</v>
      </c>
      <c r="R2925" s="5" t="s">
        <v>240</v>
      </c>
      <c r="S2925" s="5" t="s">
        <v>240</v>
      </c>
      <c r="T2925" s="5" t="s">
        <v>243</v>
      </c>
      <c r="U2925" s="5" t="s">
        <v>244</v>
      </c>
      <c r="V2925" s="5" t="s">
        <v>240</v>
      </c>
      <c r="W2925" s="5" t="s">
        <v>240</v>
      </c>
      <c r="X2925" s="5" t="s">
        <v>240</v>
      </c>
      <c r="Y2925" s="5" t="s">
        <v>240</v>
      </c>
      <c r="Z2925" s="6" t="s">
        <v>298</v>
      </c>
      <c r="AA2925" s="6" t="s">
        <v>240</v>
      </c>
      <c r="AB2925" s="6" t="s">
        <v>240</v>
      </c>
      <c r="AC2925" s="5" t="s">
        <v>240</v>
      </c>
      <c r="AD2925" s="6" t="s">
        <v>240</v>
      </c>
      <c r="AE2925" s="6" t="s">
        <v>299</v>
      </c>
      <c r="AF2925" s="5" t="s">
        <v>248</v>
      </c>
      <c r="AG2925" s="5" t="s">
        <v>249</v>
      </c>
      <c r="AH2925" s="5" t="s">
        <v>240</v>
      </c>
      <c r="AI2925" s="5" t="s">
        <v>240</v>
      </c>
      <c r="AJ2925" s="5" t="s">
        <v>240</v>
      </c>
      <c r="AK2925" s="5" t="s">
        <v>240</v>
      </c>
      <c r="AL2925" s="5" t="s">
        <v>240</v>
      </c>
      <c r="AM2925" s="5" t="s">
        <v>240</v>
      </c>
      <c r="AN2925" s="5" t="s">
        <v>240</v>
      </c>
      <c r="AO2925" s="5" t="s">
        <v>240</v>
      </c>
      <c r="AP2925" s="6" t="s">
        <v>240</v>
      </c>
      <c r="AQ2925" s="6" t="s">
        <v>240</v>
      </c>
      <c r="AR2925" s="6" t="s">
        <v>240</v>
      </c>
      <c r="AS2925" s="6" t="s">
        <v>240</v>
      </c>
      <c r="AT2925" s="5" t="s">
        <v>240</v>
      </c>
      <c r="AU2925" s="5" t="s">
        <v>729</v>
      </c>
      <c r="AV2925" s="5" t="s">
        <v>729</v>
      </c>
      <c r="AW2925" s="5" t="s">
        <v>251</v>
      </c>
      <c r="AX2925" s="5" t="s">
        <v>252</v>
      </c>
      <c r="AY2925" s="5" t="s">
        <v>253</v>
      </c>
      <c r="AZ2925" s="5" t="s">
        <v>240</v>
      </c>
      <c r="BA2925" s="5" t="s">
        <v>255</v>
      </c>
      <c r="BB2925" s="5" t="s">
        <v>731</v>
      </c>
      <c r="BD2925" s="5" t="s">
        <v>240</v>
      </c>
      <c r="BF2925" s="5" t="s">
        <v>732</v>
      </c>
      <c r="BG2925" s="6" t="s">
        <v>733</v>
      </c>
      <c r="BH2925" s="5" t="s">
        <v>734</v>
      </c>
      <c r="BI2925" s="5" t="s">
        <v>734</v>
      </c>
      <c r="BJ2925" s="5" t="s">
        <v>240</v>
      </c>
      <c r="BK2925" s="7">
        <f>1</f>
        <v>1</v>
      </c>
      <c r="BL2925" s="7">
        <f>1</f>
        <v>1</v>
      </c>
      <c r="BM2925" s="5" t="s">
        <v>258</v>
      </c>
      <c r="BN2925" s="5" t="s">
        <v>259</v>
      </c>
      <c r="BO2925" s="5" t="s">
        <v>240</v>
      </c>
      <c r="BP2925" s="5" t="s">
        <v>240</v>
      </c>
      <c r="BQ2925" s="5" t="s">
        <v>240</v>
      </c>
      <c r="BR2925" s="5" t="s">
        <v>240</v>
      </c>
      <c r="BS2925" s="5" t="s">
        <v>240</v>
      </c>
      <c r="BT2925" s="5" t="s">
        <v>240</v>
      </c>
      <c r="BU2925" s="5" t="s">
        <v>240</v>
      </c>
      <c r="BV2925" s="5" t="s">
        <v>240</v>
      </c>
      <c r="BW2925" s="6" t="s">
        <v>240</v>
      </c>
      <c r="BX2925" s="5" t="s">
        <v>240</v>
      </c>
      <c r="BY2925" s="5" t="s">
        <v>240</v>
      </c>
      <c r="BZ2925" s="5" t="s">
        <v>240</v>
      </c>
      <c r="CA2925" s="5" t="s">
        <v>259</v>
      </c>
      <c r="CB2925" s="5" t="s">
        <v>240</v>
      </c>
      <c r="CC2925" s="5" t="s">
        <v>240</v>
      </c>
      <c r="CD2925" s="5" t="s">
        <v>240</v>
      </c>
      <c r="CE2925" s="5" t="s">
        <v>240</v>
      </c>
      <c r="CF2925" s="5" t="s">
        <v>240</v>
      </c>
      <c r="CG2925" s="5" t="s">
        <v>304</v>
      </c>
      <c r="CH2925" s="5" t="s">
        <v>305</v>
      </c>
      <c r="CI2925" s="5" t="s">
        <v>240</v>
      </c>
      <c r="CK2925" s="5" t="s">
        <v>3681</v>
      </c>
      <c r="CL2925" s="6" t="s">
        <v>261</v>
      </c>
      <c r="CM2925" s="5" t="s">
        <v>262</v>
      </c>
      <c r="CN2925" s="5" t="s">
        <v>263</v>
      </c>
      <c r="CO2925" s="5" t="s">
        <v>264</v>
      </c>
      <c r="CP2925" s="5" t="s">
        <v>240</v>
      </c>
      <c r="CQ2925" s="5">
        <v>0</v>
      </c>
      <c r="CR2925" s="5" t="s">
        <v>735</v>
      </c>
      <c r="CS2925" s="5" t="s">
        <v>307</v>
      </c>
      <c r="CT2925" s="5" t="s">
        <v>307</v>
      </c>
      <c r="CU2925" s="5" t="s">
        <v>260</v>
      </c>
      <c r="CV2925" s="5" t="s">
        <v>612</v>
      </c>
      <c r="CW2925" s="8">
        <f>1</f>
        <v>1</v>
      </c>
      <c r="CX2925" s="7">
        <f>1</f>
        <v>1</v>
      </c>
      <c r="CY2925" s="7">
        <f>0</f>
        <v>0</v>
      </c>
      <c r="DA2925" s="7">
        <f>1</f>
        <v>1</v>
      </c>
      <c r="DB2925" s="7" t="s">
        <v>240</v>
      </c>
      <c r="DC2925" s="5" t="s">
        <v>240</v>
      </c>
      <c r="DD2925" s="5" t="s">
        <v>240</v>
      </c>
      <c r="DE2925" s="5" t="s">
        <v>240</v>
      </c>
      <c r="DF2925" s="5" t="s">
        <v>240</v>
      </c>
      <c r="DG2925" s="7">
        <f>0</f>
        <v>0</v>
      </c>
      <c r="DI2925" s="5" t="s">
        <v>240</v>
      </c>
      <c r="DJ2925" s="5" t="s">
        <v>240</v>
      </c>
      <c r="DK2925" s="5" t="s">
        <v>240</v>
      </c>
      <c r="DL2925" s="5" t="s">
        <v>240</v>
      </c>
      <c r="DM2925" s="5" t="s">
        <v>240</v>
      </c>
      <c r="DN2925" s="5" t="s">
        <v>240</v>
      </c>
      <c r="DO2925" s="7" t="s">
        <v>240</v>
      </c>
      <c r="DP2925" s="5" t="s">
        <v>240</v>
      </c>
      <c r="DQ2925" s="5" t="s">
        <v>240</v>
      </c>
      <c r="DR2925" s="5" t="s">
        <v>731</v>
      </c>
      <c r="DS2925" s="5" t="s">
        <v>731</v>
      </c>
      <c r="DT2925" s="5" t="s">
        <v>240</v>
      </c>
      <c r="DU2925" s="5" t="s">
        <v>240</v>
      </c>
      <c r="DV2925" s="5" t="s">
        <v>3683</v>
      </c>
      <c r="DW2925" s="5" t="s">
        <v>473</v>
      </c>
      <c r="DX2925" s="5" t="s">
        <v>240</v>
      </c>
      <c r="DY2925" s="5" t="s">
        <v>240</v>
      </c>
      <c r="DZ2925" s="5" t="s">
        <v>240</v>
      </c>
      <c r="EA2925" s="5" t="s">
        <v>240</v>
      </c>
      <c r="EB2925" s="5" t="s">
        <v>240</v>
      </c>
      <c r="EC2925" s="5" t="s">
        <v>240</v>
      </c>
      <c r="ED2925" s="5" t="s">
        <v>240</v>
      </c>
      <c r="EE2925" s="5" t="s">
        <v>240</v>
      </c>
      <c r="EF2925" s="5" t="s">
        <v>240</v>
      </c>
      <c r="EG2925" s="5" t="s">
        <v>240</v>
      </c>
      <c r="EH2925" s="5" t="s">
        <v>240</v>
      </c>
      <c r="EI2925" s="5" t="s">
        <v>240</v>
      </c>
      <c r="EJ2925" s="5" t="s">
        <v>240</v>
      </c>
      <c r="EK2925" s="5" t="s">
        <v>240</v>
      </c>
      <c r="EL2925" s="5" t="s">
        <v>240</v>
      </c>
      <c r="EM2925" s="5" t="s">
        <v>240</v>
      </c>
      <c r="EN2925" s="5" t="s">
        <v>240</v>
      </c>
      <c r="EO2925" s="5" t="s">
        <v>240</v>
      </c>
      <c r="EP2925" s="5" t="s">
        <v>240</v>
      </c>
      <c r="EQ2925" s="5" t="s">
        <v>240</v>
      </c>
      <c r="ER2925" s="5" t="s">
        <v>240</v>
      </c>
      <c r="ES2925" s="5" t="s">
        <v>240</v>
      </c>
      <c r="ET2925" s="5" t="s">
        <v>240</v>
      </c>
      <c r="EU2925" s="5" t="s">
        <v>240</v>
      </c>
      <c r="EV2925" s="5" t="s">
        <v>240</v>
      </c>
      <c r="EW2925" s="5" t="s">
        <v>240</v>
      </c>
      <c r="EX2925" s="5" t="s">
        <v>240</v>
      </c>
      <c r="EY2925" s="5" t="s">
        <v>240</v>
      </c>
      <c r="EZ2925" s="5" t="s">
        <v>240</v>
      </c>
      <c r="FA2925" s="5" t="s">
        <v>240</v>
      </c>
      <c r="FB2925" s="5" t="s">
        <v>240</v>
      </c>
      <c r="FC2925" s="5" t="s">
        <v>240</v>
      </c>
      <c r="FD2925" s="5" t="s">
        <v>240</v>
      </c>
      <c r="FE2925" s="5" t="s">
        <v>240</v>
      </c>
      <c r="FF2925" s="5" t="s">
        <v>240</v>
      </c>
      <c r="FG2925" s="5" t="s">
        <v>240</v>
      </c>
      <c r="FH2925" s="5" t="s">
        <v>240</v>
      </c>
      <c r="FI2925" s="5" t="s">
        <v>240</v>
      </c>
      <c r="FJ2925" s="5" t="s">
        <v>240</v>
      </c>
      <c r="FK2925" s="5" t="s">
        <v>240</v>
      </c>
      <c r="FL2925" s="5" t="s">
        <v>240</v>
      </c>
      <c r="FM2925" s="5" t="s">
        <v>240</v>
      </c>
      <c r="FN2925" s="5" t="s">
        <v>240</v>
      </c>
      <c r="FO2925" s="5" t="s">
        <v>240</v>
      </c>
      <c r="FP2925" s="5" t="s">
        <v>240</v>
      </c>
      <c r="FQ2925" s="5" t="s">
        <v>240</v>
      </c>
      <c r="FR2925" s="5" t="s">
        <v>240</v>
      </c>
      <c r="FS2925" s="5" t="s">
        <v>240</v>
      </c>
      <c r="FT2925" s="5" t="s">
        <v>240</v>
      </c>
      <c r="FU2925" s="5" t="s">
        <v>240</v>
      </c>
      <c r="FV2925" s="5" t="s">
        <v>240</v>
      </c>
      <c r="FW2925" s="5" t="s">
        <v>240</v>
      </c>
      <c r="FX2925" s="5" t="s">
        <v>240</v>
      </c>
      <c r="FY2925" s="5" t="s">
        <v>240</v>
      </c>
      <c r="FZ2925" s="5" t="s">
        <v>240</v>
      </c>
      <c r="GA2925" s="5" t="s">
        <v>240</v>
      </c>
      <c r="GB2925" s="5" t="s">
        <v>240</v>
      </c>
      <c r="GC2925" s="5" t="s">
        <v>240</v>
      </c>
      <c r="GD2925" s="5" t="s">
        <v>240</v>
      </c>
      <c r="GE2925" s="5" t="s">
        <v>240</v>
      </c>
      <c r="GF2925" s="5" t="s">
        <v>240</v>
      </c>
      <c r="GG2925" s="5" t="s">
        <v>240</v>
      </c>
      <c r="GH2925" s="5" t="s">
        <v>240</v>
      </c>
      <c r="GI2925" s="5" t="s">
        <v>240</v>
      </c>
      <c r="GJ2925" s="5" t="s">
        <v>240</v>
      </c>
      <c r="GK2925" s="5" t="s">
        <v>240</v>
      </c>
      <c r="GL2925" s="5" t="s">
        <v>240</v>
      </c>
      <c r="GM2925" s="5" t="s">
        <v>240</v>
      </c>
      <c r="GN2925" s="5" t="s">
        <v>240</v>
      </c>
      <c r="GO2925" s="5" t="s">
        <v>240</v>
      </c>
      <c r="GP2925" s="5" t="s">
        <v>240</v>
      </c>
      <c r="GQ2925" s="5" t="s">
        <v>240</v>
      </c>
      <c r="GR2925" s="5" t="s">
        <v>240</v>
      </c>
      <c r="GS2925" s="5" t="s">
        <v>240</v>
      </c>
      <c r="GT2925" s="5" t="s">
        <v>240</v>
      </c>
      <c r="GU2925" s="5" t="s">
        <v>240</v>
      </c>
      <c r="GV2925" s="5" t="s">
        <v>240</v>
      </c>
      <c r="GW2925" s="5" t="s">
        <v>240</v>
      </c>
      <c r="GX2925" s="5" t="s">
        <v>240</v>
      </c>
      <c r="GY2925" s="5" t="s">
        <v>240</v>
      </c>
      <c r="GZ2925" s="5" t="s">
        <v>240</v>
      </c>
      <c r="HA2925" s="5" t="s">
        <v>240</v>
      </c>
      <c r="HB2925" s="5" t="s">
        <v>240</v>
      </c>
      <c r="HC2925" s="5" t="s">
        <v>240</v>
      </c>
      <c r="HD2925" s="5" t="s">
        <v>240</v>
      </c>
      <c r="HE2925" s="5" t="s">
        <v>240</v>
      </c>
      <c r="HF2925" s="5" t="s">
        <v>240</v>
      </c>
      <c r="HG2925" s="5" t="s">
        <v>240</v>
      </c>
      <c r="HH2925" s="5" t="s">
        <v>240</v>
      </c>
      <c r="HI2925" s="5" t="s">
        <v>240</v>
      </c>
      <c r="HJ2925" s="5" t="s">
        <v>240</v>
      </c>
      <c r="HK2925" s="5" t="s">
        <v>240</v>
      </c>
      <c r="HL2925" s="5" t="s">
        <v>240</v>
      </c>
      <c r="HM2925" s="5" t="s">
        <v>240</v>
      </c>
      <c r="HN2925" s="5" t="s">
        <v>240</v>
      </c>
      <c r="HO2925" s="5" t="s">
        <v>312</v>
      </c>
      <c r="HP2925" s="5" t="s">
        <v>240</v>
      </c>
      <c r="HQ2925" s="5" t="s">
        <v>240</v>
      </c>
      <c r="HR2925" s="5" t="s">
        <v>240</v>
      </c>
      <c r="HS2925" s="5" t="s">
        <v>240</v>
      </c>
      <c r="HT2925" s="5" t="s">
        <v>240</v>
      </c>
      <c r="HU2925" s="5" t="s">
        <v>240</v>
      </c>
      <c r="HV2925" s="5" t="s">
        <v>240</v>
      </c>
      <c r="HW2925" s="5" t="s">
        <v>240</v>
      </c>
      <c r="HX2925" s="5" t="s">
        <v>240</v>
      </c>
      <c r="HY2925" s="5" t="s">
        <v>240</v>
      </c>
      <c r="HZ2925" s="5" t="s">
        <v>240</v>
      </c>
      <c r="IA2925" s="5" t="s">
        <v>240</v>
      </c>
      <c r="IB2925" s="5" t="s">
        <v>240</v>
      </c>
      <c r="IC2925" s="5" t="s">
        <v>240</v>
      </c>
      <c r="ID2925" s="5" t="s">
        <v>240</v>
      </c>
      <c r="IE2925" s="5" t="s">
        <v>240</v>
      </c>
      <c r="IF2925" s="5" t="s">
        <v>240</v>
      </c>
    </row>
    <row r="2926" spans="1:240" x14ac:dyDescent="0.4">
      <c r="A2926" s="5">
        <v>4630</v>
      </c>
      <c r="B2926" s="5">
        <v>1</v>
      </c>
      <c r="C2926" s="5">
        <v>1</v>
      </c>
      <c r="D2926" s="5" t="s">
        <v>810</v>
      </c>
      <c r="E2926" s="5" t="s">
        <v>245</v>
      </c>
      <c r="F2926" s="5" t="s">
        <v>254</v>
      </c>
      <c r="G2926" s="5" t="s">
        <v>240</v>
      </c>
      <c r="H2926" s="6" t="s">
        <v>2691</v>
      </c>
      <c r="I2926" s="5" t="s">
        <v>809</v>
      </c>
      <c r="J2926" s="8">
        <f>2013</f>
        <v>2013</v>
      </c>
      <c r="K2926" s="5" t="s">
        <v>308</v>
      </c>
      <c r="L2926" s="7">
        <f>1</f>
        <v>1</v>
      </c>
      <c r="M2926" s="7">
        <f>1</f>
        <v>1</v>
      </c>
      <c r="N2926" s="5" t="s">
        <v>242</v>
      </c>
      <c r="O2926" s="5">
        <v>1</v>
      </c>
      <c r="P2926" s="5" t="s">
        <v>294</v>
      </c>
      <c r="Q2926" s="5" t="s">
        <v>266</v>
      </c>
      <c r="R2926" s="5" t="s">
        <v>240</v>
      </c>
      <c r="S2926" s="5" t="s">
        <v>240</v>
      </c>
      <c r="T2926" s="5" t="s">
        <v>296</v>
      </c>
      <c r="U2926" s="5" t="s">
        <v>244</v>
      </c>
      <c r="V2926" s="5" t="s">
        <v>240</v>
      </c>
      <c r="Y2926" s="5" t="s">
        <v>240</v>
      </c>
      <c r="Z2926" s="6" t="s">
        <v>298</v>
      </c>
      <c r="AB2926" s="6" t="s">
        <v>240</v>
      </c>
      <c r="AE2926" s="6" t="s">
        <v>299</v>
      </c>
      <c r="AF2926" s="5" t="s">
        <v>248</v>
      </c>
      <c r="AG2926" s="5" t="s">
        <v>249</v>
      </c>
      <c r="AW2926" s="5" t="s">
        <v>251</v>
      </c>
      <c r="AX2926" s="5" t="s">
        <v>240</v>
      </c>
      <c r="AY2926" s="5" t="s">
        <v>253</v>
      </c>
      <c r="AZ2926" s="5" t="s">
        <v>240</v>
      </c>
      <c r="BA2926" s="5" t="s">
        <v>255</v>
      </c>
      <c r="BB2926" s="5" t="s">
        <v>240</v>
      </c>
      <c r="BD2926" s="5" t="s">
        <v>240</v>
      </c>
      <c r="BF2926" s="5" t="s">
        <v>301</v>
      </c>
      <c r="BG2926" s="6" t="s">
        <v>299</v>
      </c>
      <c r="BH2926" s="5" t="s">
        <v>302</v>
      </c>
      <c r="BI2926" s="5" t="s">
        <v>303</v>
      </c>
      <c r="BJ2926" s="5" t="s">
        <v>240</v>
      </c>
      <c r="BK2926" s="8">
        <f>0</f>
        <v>0</v>
      </c>
      <c r="BL2926" s="7">
        <f>0</f>
        <v>0</v>
      </c>
      <c r="BM2926" s="5" t="s">
        <v>258</v>
      </c>
      <c r="BN2926" s="5" t="s">
        <v>259</v>
      </c>
      <c r="CB2926" s="5" t="s">
        <v>240</v>
      </c>
      <c r="CC2926" s="5" t="s">
        <v>240</v>
      </c>
      <c r="CG2926" s="5" t="s">
        <v>304</v>
      </c>
      <c r="CH2926" s="5" t="s">
        <v>305</v>
      </c>
      <c r="CI2926" s="5" t="s">
        <v>240</v>
      </c>
      <c r="CL2926" s="6" t="s">
        <v>261</v>
      </c>
      <c r="CM2926" s="5" t="s">
        <v>240</v>
      </c>
      <c r="CN2926" s="5" t="s">
        <v>263</v>
      </c>
      <c r="CO2926" s="5" t="s">
        <v>240</v>
      </c>
      <c r="CP2926" s="5" t="s">
        <v>240</v>
      </c>
      <c r="CQ2926" s="5">
        <v>0</v>
      </c>
      <c r="CR2926" s="5" t="s">
        <v>306</v>
      </c>
      <c r="CS2926" s="5" t="s">
        <v>307</v>
      </c>
      <c r="CT2926" s="5" t="s">
        <v>307</v>
      </c>
      <c r="CU2926" s="5" t="s">
        <v>260</v>
      </c>
      <c r="CX2926" s="7">
        <f>1</f>
        <v>1</v>
      </c>
      <c r="CY2926" s="7">
        <f>0</f>
        <v>0</v>
      </c>
      <c r="DA2926" s="7">
        <f>0</f>
        <v>0</v>
      </c>
      <c r="DC2926" s="5" t="s">
        <v>309</v>
      </c>
      <c r="DD2926" s="5" t="s">
        <v>240</v>
      </c>
      <c r="DF2926" s="5" t="s">
        <v>309</v>
      </c>
      <c r="DG2926" s="7">
        <f>3128</f>
        <v>3128</v>
      </c>
      <c r="DI2926" s="5" t="s">
        <v>240</v>
      </c>
      <c r="DJ2926" s="5" t="s">
        <v>240</v>
      </c>
      <c r="DK2926" s="5" t="s">
        <v>240</v>
      </c>
      <c r="DL2926" s="5" t="s">
        <v>240</v>
      </c>
      <c r="DP2926" s="5" t="s">
        <v>240</v>
      </c>
      <c r="DQ2926" s="5" t="s">
        <v>240</v>
      </c>
      <c r="DR2926" s="5" t="s">
        <v>240</v>
      </c>
      <c r="DS2926" s="5" t="s">
        <v>240</v>
      </c>
      <c r="DV2926" s="5" t="s">
        <v>310</v>
      </c>
      <c r="DW2926" s="5" t="s">
        <v>3739</v>
      </c>
      <c r="HO2926" s="5" t="s">
        <v>312</v>
      </c>
    </row>
    <row r="2927" spans="1:240" x14ac:dyDescent="0.4">
      <c r="A2927" s="5">
        <v>4631</v>
      </c>
      <c r="B2927" s="5">
        <v>1</v>
      </c>
      <c r="C2927" s="5">
        <v>1</v>
      </c>
      <c r="D2927" s="5" t="s">
        <v>810</v>
      </c>
      <c r="E2927" s="5" t="s">
        <v>245</v>
      </c>
      <c r="F2927" s="5" t="s">
        <v>254</v>
      </c>
      <c r="G2927" s="5" t="s">
        <v>240</v>
      </c>
      <c r="H2927" s="6" t="s">
        <v>2689</v>
      </c>
      <c r="I2927" s="5" t="s">
        <v>809</v>
      </c>
      <c r="J2927" s="8">
        <f>536</f>
        <v>536</v>
      </c>
      <c r="K2927" s="5" t="s">
        <v>308</v>
      </c>
      <c r="L2927" s="7">
        <f>1</f>
        <v>1</v>
      </c>
      <c r="M2927" s="7">
        <f>1</f>
        <v>1</v>
      </c>
      <c r="N2927" s="5" t="s">
        <v>242</v>
      </c>
      <c r="O2927" s="5">
        <v>1</v>
      </c>
      <c r="P2927" s="5" t="s">
        <v>294</v>
      </c>
      <c r="Q2927" s="5" t="s">
        <v>266</v>
      </c>
      <c r="R2927" s="5" t="s">
        <v>240</v>
      </c>
      <c r="S2927" s="5" t="s">
        <v>240</v>
      </c>
      <c r="T2927" s="5" t="s">
        <v>296</v>
      </c>
      <c r="U2927" s="5" t="s">
        <v>244</v>
      </c>
      <c r="V2927" s="5" t="s">
        <v>240</v>
      </c>
      <c r="Y2927" s="5" t="s">
        <v>240</v>
      </c>
      <c r="Z2927" s="6" t="s">
        <v>298</v>
      </c>
      <c r="AB2927" s="6" t="s">
        <v>240</v>
      </c>
      <c r="AE2927" s="6" t="s">
        <v>299</v>
      </c>
      <c r="AF2927" s="5" t="s">
        <v>248</v>
      </c>
      <c r="AG2927" s="5" t="s">
        <v>249</v>
      </c>
      <c r="AW2927" s="5" t="s">
        <v>251</v>
      </c>
      <c r="AX2927" s="5" t="s">
        <v>240</v>
      </c>
      <c r="AY2927" s="5" t="s">
        <v>253</v>
      </c>
      <c r="AZ2927" s="5" t="s">
        <v>240</v>
      </c>
      <c r="BA2927" s="5" t="s">
        <v>255</v>
      </c>
      <c r="BB2927" s="5" t="s">
        <v>240</v>
      </c>
      <c r="BD2927" s="5" t="s">
        <v>240</v>
      </c>
      <c r="BF2927" s="5" t="s">
        <v>301</v>
      </c>
      <c r="BG2927" s="6" t="s">
        <v>299</v>
      </c>
      <c r="BH2927" s="5" t="s">
        <v>302</v>
      </c>
      <c r="BI2927" s="5" t="s">
        <v>303</v>
      </c>
      <c r="BJ2927" s="5" t="s">
        <v>240</v>
      </c>
      <c r="BK2927" s="8">
        <f>0</f>
        <v>0</v>
      </c>
      <c r="BL2927" s="7">
        <f>0</f>
        <v>0</v>
      </c>
      <c r="BM2927" s="5" t="s">
        <v>258</v>
      </c>
      <c r="BN2927" s="5" t="s">
        <v>259</v>
      </c>
      <c r="CB2927" s="5" t="s">
        <v>240</v>
      </c>
      <c r="CC2927" s="5" t="s">
        <v>240</v>
      </c>
      <c r="CG2927" s="5" t="s">
        <v>304</v>
      </c>
      <c r="CH2927" s="5" t="s">
        <v>305</v>
      </c>
      <c r="CI2927" s="5" t="s">
        <v>240</v>
      </c>
      <c r="CL2927" s="6" t="s">
        <v>261</v>
      </c>
      <c r="CM2927" s="5" t="s">
        <v>240</v>
      </c>
      <c r="CN2927" s="5" t="s">
        <v>263</v>
      </c>
      <c r="CO2927" s="5" t="s">
        <v>240</v>
      </c>
      <c r="CP2927" s="5" t="s">
        <v>240</v>
      </c>
      <c r="CQ2927" s="5">
        <v>0</v>
      </c>
      <c r="CR2927" s="5" t="s">
        <v>306</v>
      </c>
      <c r="CS2927" s="5" t="s">
        <v>307</v>
      </c>
      <c r="CT2927" s="5" t="s">
        <v>307</v>
      </c>
      <c r="CU2927" s="5" t="s">
        <v>260</v>
      </c>
      <c r="CX2927" s="7">
        <f>1</f>
        <v>1</v>
      </c>
      <c r="CY2927" s="7">
        <f>0</f>
        <v>0</v>
      </c>
      <c r="DA2927" s="7">
        <f>0</f>
        <v>0</v>
      </c>
      <c r="DC2927" s="5" t="s">
        <v>309</v>
      </c>
      <c r="DD2927" s="5" t="s">
        <v>240</v>
      </c>
      <c r="DF2927" s="5" t="s">
        <v>309</v>
      </c>
      <c r="DG2927" s="7">
        <f>2734</f>
        <v>2734</v>
      </c>
      <c r="DI2927" s="5" t="s">
        <v>240</v>
      </c>
      <c r="DJ2927" s="5" t="s">
        <v>240</v>
      </c>
      <c r="DK2927" s="5" t="s">
        <v>240</v>
      </c>
      <c r="DL2927" s="5" t="s">
        <v>240</v>
      </c>
      <c r="DP2927" s="5" t="s">
        <v>240</v>
      </c>
      <c r="DQ2927" s="5" t="s">
        <v>240</v>
      </c>
      <c r="DR2927" s="5" t="s">
        <v>240</v>
      </c>
      <c r="DS2927" s="5" t="s">
        <v>240</v>
      </c>
      <c r="DV2927" s="5" t="s">
        <v>310</v>
      </c>
      <c r="DW2927" s="5" t="s">
        <v>3735</v>
      </c>
      <c r="HO2927" s="5" t="s">
        <v>312</v>
      </c>
    </row>
    <row r="2928" spans="1:240" x14ac:dyDescent="0.4">
      <c r="A2928" s="5">
        <v>4632</v>
      </c>
      <c r="B2928" s="5">
        <v>1</v>
      </c>
      <c r="C2928" s="5">
        <v>1</v>
      </c>
      <c r="D2928" s="5" t="s">
        <v>810</v>
      </c>
      <c r="E2928" s="5" t="s">
        <v>245</v>
      </c>
      <c r="F2928" s="5" t="s">
        <v>254</v>
      </c>
      <c r="G2928" s="5" t="s">
        <v>240</v>
      </c>
      <c r="H2928" s="6" t="s">
        <v>2687</v>
      </c>
      <c r="I2928" s="5" t="s">
        <v>809</v>
      </c>
      <c r="J2928" s="8">
        <f>623</f>
        <v>623</v>
      </c>
      <c r="K2928" s="5" t="s">
        <v>308</v>
      </c>
      <c r="L2928" s="7">
        <f>1</f>
        <v>1</v>
      </c>
      <c r="M2928" s="7">
        <f>1</f>
        <v>1</v>
      </c>
      <c r="N2928" s="5" t="s">
        <v>242</v>
      </c>
      <c r="O2928" s="5">
        <v>1</v>
      </c>
      <c r="P2928" s="5" t="s">
        <v>294</v>
      </c>
      <c r="Q2928" s="5" t="s">
        <v>240</v>
      </c>
      <c r="R2928" s="5" t="s">
        <v>240</v>
      </c>
      <c r="S2928" s="5" t="s">
        <v>240</v>
      </c>
      <c r="T2928" s="5" t="s">
        <v>243</v>
      </c>
      <c r="U2928" s="5" t="s">
        <v>244</v>
      </c>
      <c r="V2928" s="5" t="s">
        <v>240</v>
      </c>
      <c r="W2928" s="5" t="s">
        <v>240</v>
      </c>
      <c r="X2928" s="5" t="s">
        <v>240</v>
      </c>
      <c r="Y2928" s="5" t="s">
        <v>240</v>
      </c>
      <c r="Z2928" s="6" t="s">
        <v>419</v>
      </c>
      <c r="AA2928" s="6" t="s">
        <v>419</v>
      </c>
      <c r="AB2928" s="6" t="s">
        <v>240</v>
      </c>
      <c r="AC2928" s="5" t="s">
        <v>240</v>
      </c>
      <c r="AD2928" s="6" t="s">
        <v>240</v>
      </c>
      <c r="AE2928" s="6" t="s">
        <v>240</v>
      </c>
      <c r="AF2928" s="5" t="s">
        <v>248</v>
      </c>
      <c r="AG2928" s="5" t="s">
        <v>249</v>
      </c>
      <c r="AH2928" s="5" t="s">
        <v>240</v>
      </c>
      <c r="AI2928" s="5" t="s">
        <v>240</v>
      </c>
      <c r="AJ2928" s="5" t="s">
        <v>240</v>
      </c>
      <c r="AK2928" s="5" t="s">
        <v>240</v>
      </c>
      <c r="AL2928" s="5" t="s">
        <v>240</v>
      </c>
      <c r="AM2928" s="5" t="s">
        <v>240</v>
      </c>
      <c r="AN2928" s="5" t="s">
        <v>240</v>
      </c>
      <c r="AO2928" s="5" t="s">
        <v>240</v>
      </c>
      <c r="AP2928" s="6" t="s">
        <v>240</v>
      </c>
      <c r="AQ2928" s="6" t="s">
        <v>240</v>
      </c>
      <c r="AR2928" s="6" t="s">
        <v>240</v>
      </c>
      <c r="AS2928" s="6" t="s">
        <v>240</v>
      </c>
      <c r="AT2928" s="5" t="s">
        <v>240</v>
      </c>
      <c r="AU2928" s="5" t="s">
        <v>240</v>
      </c>
      <c r="AV2928" s="5" t="s">
        <v>240</v>
      </c>
      <c r="AW2928" s="5" t="s">
        <v>251</v>
      </c>
      <c r="AX2928" s="5" t="s">
        <v>252</v>
      </c>
      <c r="AY2928" s="5" t="s">
        <v>253</v>
      </c>
      <c r="AZ2928" s="5" t="s">
        <v>240</v>
      </c>
      <c r="BA2928" s="5" t="s">
        <v>255</v>
      </c>
      <c r="BB2928" s="5" t="s">
        <v>240</v>
      </c>
      <c r="BC2928" s="6" t="s">
        <v>240</v>
      </c>
      <c r="BD2928" s="5" t="s">
        <v>240</v>
      </c>
      <c r="BE2928" s="5" t="s">
        <v>240</v>
      </c>
      <c r="BF2928" s="5" t="s">
        <v>256</v>
      </c>
      <c r="BG2928" s="6" t="s">
        <v>419</v>
      </c>
      <c r="BH2928" s="5" t="s">
        <v>257</v>
      </c>
      <c r="BI2928" s="5" t="s">
        <v>240</v>
      </c>
      <c r="BJ2928" s="5" t="s">
        <v>240</v>
      </c>
      <c r="BK2928" s="7">
        <f>0</f>
        <v>0</v>
      </c>
      <c r="BL2928" s="7">
        <f>3661322</f>
        <v>3661322</v>
      </c>
      <c r="BM2928" s="5" t="s">
        <v>258</v>
      </c>
      <c r="BN2928" s="5" t="s">
        <v>259</v>
      </c>
      <c r="BO2928" s="5" t="s">
        <v>240</v>
      </c>
      <c r="BP2928" s="5" t="s">
        <v>240</v>
      </c>
      <c r="BQ2928" s="5" t="s">
        <v>240</v>
      </c>
      <c r="BR2928" s="5" t="s">
        <v>240</v>
      </c>
      <c r="BS2928" s="5" t="s">
        <v>240</v>
      </c>
      <c r="BT2928" s="5" t="s">
        <v>240</v>
      </c>
      <c r="BU2928" s="5" t="s">
        <v>240</v>
      </c>
      <c r="BV2928" s="5" t="s">
        <v>240</v>
      </c>
      <c r="BW2928" s="6" t="s">
        <v>240</v>
      </c>
      <c r="BX2928" s="5" t="s">
        <v>240</v>
      </c>
      <c r="BY2928" s="5" t="s">
        <v>260</v>
      </c>
      <c r="BZ2928" s="5" t="s">
        <v>260</v>
      </c>
      <c r="CA2928" s="5" t="s">
        <v>259</v>
      </c>
      <c r="CB2928" s="5" t="s">
        <v>240</v>
      </c>
      <c r="CC2928" s="5" t="s">
        <v>240</v>
      </c>
      <c r="CD2928" s="5" t="s">
        <v>240</v>
      </c>
      <c r="CE2928" s="5" t="s">
        <v>240</v>
      </c>
      <c r="CF2928" s="5" t="s">
        <v>240</v>
      </c>
      <c r="CG2928" s="5" t="s">
        <v>240</v>
      </c>
      <c r="CH2928" s="5" t="s">
        <v>240</v>
      </c>
      <c r="CI2928" s="5" t="s">
        <v>240</v>
      </c>
      <c r="CJ2928" s="5" t="s">
        <v>240</v>
      </c>
      <c r="CK2928" s="5" t="s">
        <v>240</v>
      </c>
      <c r="CL2928" s="6" t="s">
        <v>261</v>
      </c>
      <c r="CM2928" s="5" t="s">
        <v>262</v>
      </c>
      <c r="CN2928" s="5" t="s">
        <v>293</v>
      </c>
      <c r="CO2928" s="5" t="s">
        <v>264</v>
      </c>
      <c r="CP2928" s="5" t="s">
        <v>240</v>
      </c>
      <c r="CQ2928" s="5">
        <v>0</v>
      </c>
      <c r="CR2928" s="5" t="s">
        <v>240</v>
      </c>
      <c r="CS2928" s="5" t="s">
        <v>240</v>
      </c>
      <c r="CT2928" s="5" t="s">
        <v>240</v>
      </c>
      <c r="CU2928" s="5" t="s">
        <v>260</v>
      </c>
      <c r="CV2928" s="5" t="s">
        <v>240</v>
      </c>
      <c r="CW2928" s="8">
        <f>0</f>
        <v>0</v>
      </c>
      <c r="CX2928" s="7">
        <f>0</f>
        <v>0</v>
      </c>
      <c r="CY2928" s="7">
        <f>0</f>
        <v>0</v>
      </c>
      <c r="CZ2928" s="7" t="s">
        <v>240</v>
      </c>
      <c r="DA2928" s="7" t="s">
        <v>240</v>
      </c>
      <c r="DB2928" s="7" t="s">
        <v>240</v>
      </c>
      <c r="DC2928" s="5" t="s">
        <v>240</v>
      </c>
      <c r="DD2928" s="5" t="s">
        <v>240</v>
      </c>
      <c r="DE2928" s="5" t="s">
        <v>240</v>
      </c>
      <c r="DF2928" s="5" t="s">
        <v>240</v>
      </c>
      <c r="DG2928" s="7">
        <f>0</f>
        <v>0</v>
      </c>
      <c r="DH2928" s="6" t="s">
        <v>240</v>
      </c>
      <c r="DI2928" s="5" t="s">
        <v>240</v>
      </c>
      <c r="DJ2928" s="5" t="s">
        <v>240</v>
      </c>
      <c r="DK2928" s="5" t="s">
        <v>240</v>
      </c>
      <c r="DL2928" s="5" t="s">
        <v>240</v>
      </c>
      <c r="DM2928" s="5" t="s">
        <v>240</v>
      </c>
      <c r="DN2928" s="5" t="s">
        <v>240</v>
      </c>
      <c r="DO2928" s="7" t="s">
        <v>240</v>
      </c>
      <c r="DP2928" s="5" t="s">
        <v>240</v>
      </c>
      <c r="DQ2928" s="5" t="s">
        <v>240</v>
      </c>
      <c r="DR2928" s="5" t="s">
        <v>240</v>
      </c>
      <c r="DS2928" s="5" t="s">
        <v>240</v>
      </c>
      <c r="DT2928" s="5" t="s">
        <v>240</v>
      </c>
      <c r="DU2928" s="5" t="s">
        <v>240</v>
      </c>
      <c r="DV2928" s="5" t="s">
        <v>240</v>
      </c>
      <c r="DW2928" s="5" t="s">
        <v>240</v>
      </c>
      <c r="DX2928" s="5" t="s">
        <v>240</v>
      </c>
      <c r="DY2928" s="5" t="s">
        <v>240</v>
      </c>
      <c r="DZ2928" s="5" t="s">
        <v>240</v>
      </c>
      <c r="EA2928" s="5" t="s">
        <v>240</v>
      </c>
      <c r="EB2928" s="5" t="s">
        <v>240</v>
      </c>
      <c r="EC2928" s="5" t="s">
        <v>240</v>
      </c>
      <c r="ED2928" s="5" t="s">
        <v>240</v>
      </c>
      <c r="EE2928" s="5" t="s">
        <v>240</v>
      </c>
      <c r="EF2928" s="5" t="s">
        <v>240</v>
      </c>
      <c r="EG2928" s="5" t="s">
        <v>240</v>
      </c>
      <c r="EH2928" s="5" t="s">
        <v>240</v>
      </c>
      <c r="EI2928" s="5" t="s">
        <v>240</v>
      </c>
      <c r="EJ2928" s="5" t="s">
        <v>240</v>
      </c>
      <c r="EK2928" s="5" t="s">
        <v>240</v>
      </c>
      <c r="EL2928" s="5" t="s">
        <v>240</v>
      </c>
      <c r="EM2928" s="5" t="s">
        <v>240</v>
      </c>
      <c r="EN2928" s="5" t="s">
        <v>240</v>
      </c>
      <c r="EO2928" s="5" t="s">
        <v>240</v>
      </c>
      <c r="EP2928" s="5" t="s">
        <v>240</v>
      </c>
      <c r="EQ2928" s="5" t="s">
        <v>240</v>
      </c>
      <c r="ER2928" s="5" t="s">
        <v>240</v>
      </c>
      <c r="ES2928" s="5" t="s">
        <v>240</v>
      </c>
      <c r="ET2928" s="5" t="s">
        <v>240</v>
      </c>
      <c r="EU2928" s="5" t="s">
        <v>240</v>
      </c>
      <c r="EV2928" s="5" t="s">
        <v>240</v>
      </c>
      <c r="EW2928" s="5" t="s">
        <v>240</v>
      </c>
      <c r="EX2928" s="5" t="s">
        <v>240</v>
      </c>
      <c r="EY2928" s="5" t="s">
        <v>240</v>
      </c>
      <c r="EZ2928" s="5" t="s">
        <v>240</v>
      </c>
      <c r="FA2928" s="5" t="s">
        <v>240</v>
      </c>
      <c r="FB2928" s="5" t="s">
        <v>240</v>
      </c>
      <c r="FC2928" s="5" t="s">
        <v>240</v>
      </c>
      <c r="FD2928" s="5" t="s">
        <v>240</v>
      </c>
      <c r="FE2928" s="5" t="s">
        <v>240</v>
      </c>
      <c r="FF2928" s="5" t="s">
        <v>240</v>
      </c>
      <c r="FG2928" s="5" t="s">
        <v>240</v>
      </c>
      <c r="FH2928" s="5" t="s">
        <v>240</v>
      </c>
      <c r="FI2928" s="5" t="s">
        <v>240</v>
      </c>
      <c r="FJ2928" s="5" t="s">
        <v>240</v>
      </c>
      <c r="FK2928" s="5" t="s">
        <v>240</v>
      </c>
      <c r="FL2928" s="5" t="s">
        <v>240</v>
      </c>
      <c r="FM2928" s="5" t="s">
        <v>240</v>
      </c>
      <c r="FN2928" s="5" t="s">
        <v>240</v>
      </c>
      <c r="FO2928" s="5" t="s">
        <v>240</v>
      </c>
      <c r="FP2928" s="5" t="s">
        <v>240</v>
      </c>
      <c r="FQ2928" s="5" t="s">
        <v>240</v>
      </c>
      <c r="FR2928" s="5" t="s">
        <v>240</v>
      </c>
      <c r="FS2928" s="5" t="s">
        <v>240</v>
      </c>
      <c r="FT2928" s="5" t="s">
        <v>240</v>
      </c>
      <c r="FU2928" s="5" t="s">
        <v>240</v>
      </c>
      <c r="FV2928" s="5" t="s">
        <v>240</v>
      </c>
      <c r="FW2928" s="5" t="s">
        <v>240</v>
      </c>
      <c r="FX2928" s="5" t="s">
        <v>240</v>
      </c>
      <c r="FY2928" s="5" t="s">
        <v>240</v>
      </c>
      <c r="FZ2928" s="5" t="s">
        <v>240</v>
      </c>
      <c r="GA2928" s="5" t="s">
        <v>240</v>
      </c>
      <c r="GB2928" s="5" t="s">
        <v>240</v>
      </c>
      <c r="GC2928" s="5" t="s">
        <v>240</v>
      </c>
      <c r="GD2928" s="5" t="s">
        <v>240</v>
      </c>
      <c r="GE2928" s="5" t="s">
        <v>240</v>
      </c>
      <c r="GF2928" s="5" t="s">
        <v>240</v>
      </c>
      <c r="GG2928" s="5" t="s">
        <v>240</v>
      </c>
      <c r="GH2928" s="5" t="s">
        <v>240</v>
      </c>
      <c r="GI2928" s="5" t="s">
        <v>240</v>
      </c>
      <c r="GJ2928" s="5" t="s">
        <v>240</v>
      </c>
      <c r="GK2928" s="5" t="s">
        <v>240</v>
      </c>
      <c r="GL2928" s="5" t="s">
        <v>240</v>
      </c>
      <c r="GM2928" s="5" t="s">
        <v>240</v>
      </c>
      <c r="GN2928" s="5" t="s">
        <v>240</v>
      </c>
      <c r="GO2928" s="5" t="s">
        <v>240</v>
      </c>
      <c r="GP2928" s="5" t="s">
        <v>240</v>
      </c>
      <c r="GQ2928" s="5" t="s">
        <v>240</v>
      </c>
      <c r="GR2928" s="5" t="s">
        <v>240</v>
      </c>
      <c r="GS2928" s="5" t="s">
        <v>240</v>
      </c>
      <c r="GT2928" s="5" t="s">
        <v>240</v>
      </c>
      <c r="GU2928" s="5" t="s">
        <v>240</v>
      </c>
      <c r="GV2928" s="5" t="s">
        <v>240</v>
      </c>
      <c r="GW2928" s="5" t="s">
        <v>240</v>
      </c>
      <c r="GX2928" s="5" t="s">
        <v>240</v>
      </c>
      <c r="GY2928" s="5" t="s">
        <v>240</v>
      </c>
      <c r="GZ2928" s="5" t="s">
        <v>240</v>
      </c>
      <c r="HA2928" s="5" t="s">
        <v>240</v>
      </c>
      <c r="HB2928" s="5" t="s">
        <v>240</v>
      </c>
      <c r="HC2928" s="5" t="s">
        <v>240</v>
      </c>
      <c r="HD2928" s="5" t="s">
        <v>240</v>
      </c>
      <c r="HE2928" s="5" t="s">
        <v>240</v>
      </c>
      <c r="HF2928" s="5" t="s">
        <v>240</v>
      </c>
      <c r="HG2928" s="5" t="s">
        <v>240</v>
      </c>
      <c r="HH2928" s="5" t="s">
        <v>240</v>
      </c>
      <c r="HI2928" s="5" t="s">
        <v>240</v>
      </c>
      <c r="HJ2928" s="5" t="s">
        <v>240</v>
      </c>
      <c r="HK2928" s="5" t="s">
        <v>240</v>
      </c>
      <c r="HL2928" s="5" t="s">
        <v>240</v>
      </c>
      <c r="HM2928" s="5" t="s">
        <v>240</v>
      </c>
      <c r="HN2928" s="5" t="s">
        <v>240</v>
      </c>
      <c r="HO2928" s="5" t="s">
        <v>240</v>
      </c>
      <c r="HP2928" s="5" t="s">
        <v>240</v>
      </c>
      <c r="HQ2928" s="5" t="s">
        <v>240</v>
      </c>
      <c r="HR2928" s="5" t="s">
        <v>240</v>
      </c>
      <c r="HS2928" s="5" t="s">
        <v>240</v>
      </c>
      <c r="HT2928" s="5" t="s">
        <v>240</v>
      </c>
      <c r="HU2928" s="5" t="s">
        <v>240</v>
      </c>
      <c r="HV2928" s="5" t="s">
        <v>240</v>
      </c>
      <c r="HW2928" s="5" t="s">
        <v>240</v>
      </c>
      <c r="HX2928" s="5" t="s">
        <v>240</v>
      </c>
      <c r="HY2928" s="5" t="s">
        <v>240</v>
      </c>
      <c r="HZ2928" s="5" t="s">
        <v>240</v>
      </c>
      <c r="IA2928" s="5" t="s">
        <v>240</v>
      </c>
      <c r="IB2928" s="5" t="s">
        <v>240</v>
      </c>
      <c r="IC2928" s="5" t="s">
        <v>240</v>
      </c>
      <c r="ID2928" s="5" t="s">
        <v>240</v>
      </c>
      <c r="IE2928" s="5" t="s">
        <v>240</v>
      </c>
      <c r="IF2928" s="5" t="s">
        <v>240</v>
      </c>
    </row>
    <row r="2929" spans="1:240" x14ac:dyDescent="0.4">
      <c r="A2929" s="5">
        <v>4633</v>
      </c>
      <c r="B2929" s="5">
        <v>1</v>
      </c>
      <c r="C2929" s="5">
        <v>1</v>
      </c>
      <c r="D2929" s="5" t="s">
        <v>810</v>
      </c>
      <c r="E2929" s="5" t="s">
        <v>245</v>
      </c>
      <c r="F2929" s="5" t="s">
        <v>254</v>
      </c>
      <c r="G2929" s="5" t="s">
        <v>240</v>
      </c>
      <c r="H2929" s="6" t="s">
        <v>2685</v>
      </c>
      <c r="I2929" s="5" t="s">
        <v>809</v>
      </c>
      <c r="J2929" s="8">
        <f>627</f>
        <v>627</v>
      </c>
      <c r="K2929" s="5" t="s">
        <v>308</v>
      </c>
      <c r="L2929" s="7">
        <f>1</f>
        <v>1</v>
      </c>
      <c r="M2929" s="7">
        <f>1</f>
        <v>1</v>
      </c>
      <c r="N2929" s="5" t="s">
        <v>242</v>
      </c>
      <c r="O2929" s="5">
        <v>1</v>
      </c>
      <c r="P2929" s="5" t="s">
        <v>294</v>
      </c>
      <c r="Q2929" s="5" t="s">
        <v>266</v>
      </c>
      <c r="R2929" s="5" t="s">
        <v>240</v>
      </c>
      <c r="S2929" s="5" t="s">
        <v>240</v>
      </c>
      <c r="T2929" s="5" t="s">
        <v>243</v>
      </c>
      <c r="U2929" s="5" t="s">
        <v>240</v>
      </c>
      <c r="V2929" s="5" t="s">
        <v>240</v>
      </c>
      <c r="Y2929" s="5" t="s">
        <v>240</v>
      </c>
      <c r="Z2929" s="6" t="s">
        <v>5135</v>
      </c>
      <c r="AB2929" s="6" t="s">
        <v>240</v>
      </c>
      <c r="AE2929" s="6" t="s">
        <v>299</v>
      </c>
      <c r="AF2929" s="5" t="s">
        <v>248</v>
      </c>
      <c r="AG2929" s="5" t="s">
        <v>249</v>
      </c>
      <c r="AW2929" s="5" t="s">
        <v>251</v>
      </c>
      <c r="AX2929" s="5" t="s">
        <v>240</v>
      </c>
      <c r="AY2929" s="5" t="s">
        <v>253</v>
      </c>
      <c r="AZ2929" s="5" t="s">
        <v>240</v>
      </c>
      <c r="BA2929" s="5" t="s">
        <v>255</v>
      </c>
      <c r="BB2929" s="5" t="s">
        <v>240</v>
      </c>
      <c r="BD2929" s="5" t="s">
        <v>240</v>
      </c>
      <c r="BF2929" s="5" t="s">
        <v>301</v>
      </c>
      <c r="BG2929" s="6" t="s">
        <v>5135</v>
      </c>
      <c r="BH2929" s="5" t="s">
        <v>302</v>
      </c>
      <c r="BI2929" s="5" t="s">
        <v>448</v>
      </c>
      <c r="BJ2929" s="5" t="s">
        <v>240</v>
      </c>
      <c r="BK2929" s="8">
        <f>0</f>
        <v>0</v>
      </c>
      <c r="BL2929" s="7">
        <f>0</f>
        <v>0</v>
      </c>
      <c r="BM2929" s="5" t="s">
        <v>258</v>
      </c>
      <c r="BN2929" s="5" t="s">
        <v>259</v>
      </c>
      <c r="CB2929" s="5" t="s">
        <v>240</v>
      </c>
      <c r="CC2929" s="5" t="s">
        <v>240</v>
      </c>
      <c r="CG2929" s="5" t="s">
        <v>449</v>
      </c>
      <c r="CH2929" s="5" t="s">
        <v>305</v>
      </c>
      <c r="CI2929" s="5" t="s">
        <v>240</v>
      </c>
      <c r="CL2929" s="6" t="s">
        <v>261</v>
      </c>
      <c r="CM2929" s="5" t="s">
        <v>240</v>
      </c>
      <c r="CN2929" s="5" t="s">
        <v>263</v>
      </c>
      <c r="CO2929" s="5" t="s">
        <v>240</v>
      </c>
      <c r="CP2929" s="5" t="s">
        <v>240</v>
      </c>
      <c r="CQ2929" s="5">
        <v>0</v>
      </c>
      <c r="CR2929" s="5" t="s">
        <v>306</v>
      </c>
      <c r="CS2929" s="5" t="s">
        <v>307</v>
      </c>
      <c r="CT2929" s="5" t="s">
        <v>307</v>
      </c>
      <c r="CU2929" s="5" t="s">
        <v>260</v>
      </c>
      <c r="CX2929" s="7">
        <f>205443</f>
        <v>205443</v>
      </c>
      <c r="CY2929" s="7">
        <f>0</f>
        <v>0</v>
      </c>
      <c r="DA2929" s="7">
        <f>0</f>
        <v>0</v>
      </c>
      <c r="DC2929" s="5" t="s">
        <v>450</v>
      </c>
      <c r="DD2929" s="5" t="s">
        <v>240</v>
      </c>
      <c r="DF2929" s="5" t="s">
        <v>450</v>
      </c>
      <c r="DG2929" s="7">
        <f>0</f>
        <v>0</v>
      </c>
      <c r="DI2929" s="5" t="s">
        <v>240</v>
      </c>
      <c r="DJ2929" s="5" t="s">
        <v>240</v>
      </c>
      <c r="DK2929" s="5" t="s">
        <v>240</v>
      </c>
      <c r="DL2929" s="5" t="s">
        <v>240</v>
      </c>
      <c r="DP2929" s="5" t="s">
        <v>240</v>
      </c>
      <c r="DQ2929" s="5" t="s">
        <v>240</v>
      </c>
      <c r="DR2929" s="5" t="s">
        <v>240</v>
      </c>
      <c r="DS2929" s="5" t="s">
        <v>240</v>
      </c>
      <c r="DV2929" s="5" t="s">
        <v>310</v>
      </c>
      <c r="DW2929" s="5" t="s">
        <v>2296</v>
      </c>
      <c r="HO2929" s="5" t="s">
        <v>312</v>
      </c>
    </row>
    <row r="2930" spans="1:240" x14ac:dyDescent="0.4">
      <c r="A2930" s="5">
        <v>4634</v>
      </c>
      <c r="B2930" s="5">
        <v>1</v>
      </c>
      <c r="C2930" s="5">
        <v>1</v>
      </c>
      <c r="D2930" s="5" t="s">
        <v>810</v>
      </c>
      <c r="E2930" s="5" t="s">
        <v>245</v>
      </c>
      <c r="F2930" s="5" t="s">
        <v>254</v>
      </c>
      <c r="G2930" s="5" t="s">
        <v>240</v>
      </c>
      <c r="H2930" s="6" t="s">
        <v>2683</v>
      </c>
      <c r="I2930" s="5" t="s">
        <v>809</v>
      </c>
      <c r="J2930" s="8">
        <f>174</f>
        <v>174</v>
      </c>
      <c r="K2930" s="5" t="s">
        <v>308</v>
      </c>
      <c r="L2930" s="7">
        <f>1</f>
        <v>1</v>
      </c>
      <c r="M2930" s="7">
        <f>1</f>
        <v>1</v>
      </c>
      <c r="N2930" s="5" t="s">
        <v>242</v>
      </c>
      <c r="O2930" s="5">
        <v>1</v>
      </c>
      <c r="P2930" s="5" t="s">
        <v>294</v>
      </c>
      <c r="Q2930" s="5" t="s">
        <v>266</v>
      </c>
      <c r="R2930" s="5" t="s">
        <v>240</v>
      </c>
      <c r="S2930" s="5" t="s">
        <v>240</v>
      </c>
      <c r="T2930" s="5" t="s">
        <v>296</v>
      </c>
      <c r="U2930" s="5" t="s">
        <v>240</v>
      </c>
      <c r="V2930" s="5" t="s">
        <v>240</v>
      </c>
      <c r="Y2930" s="5" t="s">
        <v>240</v>
      </c>
      <c r="Z2930" s="6" t="s">
        <v>5138</v>
      </c>
      <c r="AB2930" s="6" t="s">
        <v>240</v>
      </c>
      <c r="AE2930" s="6" t="s">
        <v>5139</v>
      </c>
      <c r="AF2930" s="5" t="s">
        <v>248</v>
      </c>
      <c r="AG2930" s="5" t="s">
        <v>249</v>
      </c>
      <c r="AW2930" s="5" t="s">
        <v>251</v>
      </c>
      <c r="AX2930" s="5" t="s">
        <v>240</v>
      </c>
      <c r="AY2930" s="5" t="s">
        <v>253</v>
      </c>
      <c r="AZ2930" s="5" t="s">
        <v>240</v>
      </c>
      <c r="BA2930" s="5" t="s">
        <v>255</v>
      </c>
      <c r="BB2930" s="5" t="s">
        <v>240</v>
      </c>
      <c r="BD2930" s="5" t="s">
        <v>240</v>
      </c>
      <c r="BF2930" s="5" t="s">
        <v>687</v>
      </c>
      <c r="BG2930" s="6" t="s">
        <v>5138</v>
      </c>
      <c r="BH2930" s="5" t="s">
        <v>302</v>
      </c>
      <c r="BI2930" s="5" t="s">
        <v>448</v>
      </c>
      <c r="BJ2930" s="5" t="s">
        <v>240</v>
      </c>
      <c r="BK2930" s="8">
        <f>0</f>
        <v>0</v>
      </c>
      <c r="BL2930" s="7">
        <f>0</f>
        <v>0</v>
      </c>
      <c r="BM2930" s="5" t="s">
        <v>258</v>
      </c>
      <c r="BN2930" s="5" t="s">
        <v>259</v>
      </c>
      <c r="CB2930" s="5" t="s">
        <v>240</v>
      </c>
      <c r="CC2930" s="5" t="s">
        <v>240</v>
      </c>
      <c r="CG2930" s="5" t="s">
        <v>449</v>
      </c>
      <c r="CH2930" s="5" t="s">
        <v>305</v>
      </c>
      <c r="CI2930" s="5" t="s">
        <v>240</v>
      </c>
      <c r="CL2930" s="6" t="s">
        <v>261</v>
      </c>
      <c r="CM2930" s="5" t="s">
        <v>240</v>
      </c>
      <c r="CN2930" s="5" t="s">
        <v>263</v>
      </c>
      <c r="CO2930" s="5" t="s">
        <v>240</v>
      </c>
      <c r="CP2930" s="5" t="s">
        <v>240</v>
      </c>
      <c r="CQ2930" s="5">
        <v>0</v>
      </c>
      <c r="CR2930" s="5" t="s">
        <v>306</v>
      </c>
      <c r="CS2930" s="5" t="s">
        <v>307</v>
      </c>
      <c r="CT2930" s="5" t="s">
        <v>307</v>
      </c>
      <c r="CU2930" s="5" t="s">
        <v>260</v>
      </c>
      <c r="CX2930" s="7">
        <f>85480</f>
        <v>85480</v>
      </c>
      <c r="CY2930" s="7">
        <f>0</f>
        <v>0</v>
      </c>
      <c r="DA2930" s="7">
        <f>0</f>
        <v>0</v>
      </c>
      <c r="DC2930" s="5" t="s">
        <v>309</v>
      </c>
      <c r="DD2930" s="5" t="s">
        <v>240</v>
      </c>
      <c r="DF2930" s="5" t="s">
        <v>450</v>
      </c>
      <c r="DG2930" s="7">
        <f>42.74</f>
        <v>42.74</v>
      </c>
      <c r="DI2930" s="5" t="s">
        <v>240</v>
      </c>
      <c r="DJ2930" s="5" t="s">
        <v>240</v>
      </c>
      <c r="DK2930" s="5" t="s">
        <v>240</v>
      </c>
      <c r="DL2930" s="5" t="s">
        <v>240</v>
      </c>
      <c r="DP2930" s="5" t="s">
        <v>240</v>
      </c>
      <c r="DQ2930" s="5" t="s">
        <v>240</v>
      </c>
      <c r="DR2930" s="5" t="s">
        <v>240</v>
      </c>
      <c r="DS2930" s="5" t="s">
        <v>240</v>
      </c>
      <c r="DV2930" s="5" t="s">
        <v>310</v>
      </c>
      <c r="DW2930" s="5" t="s">
        <v>2420</v>
      </c>
      <c r="HO2930" s="5" t="s">
        <v>312</v>
      </c>
    </row>
    <row r="2931" spans="1:240" x14ac:dyDescent="0.4">
      <c r="A2931" s="5">
        <v>4635</v>
      </c>
      <c r="B2931" s="5">
        <v>1</v>
      </c>
      <c r="C2931" s="5">
        <v>1</v>
      </c>
      <c r="D2931" s="5" t="s">
        <v>810</v>
      </c>
      <c r="E2931" s="5" t="s">
        <v>245</v>
      </c>
      <c r="F2931" s="5" t="s">
        <v>254</v>
      </c>
      <c r="G2931" s="5" t="s">
        <v>240</v>
      </c>
      <c r="H2931" s="6" t="s">
        <v>2681</v>
      </c>
      <c r="I2931" s="5" t="s">
        <v>809</v>
      </c>
      <c r="J2931" s="8">
        <f>165</f>
        <v>165</v>
      </c>
      <c r="K2931" s="5" t="s">
        <v>308</v>
      </c>
      <c r="L2931" s="7">
        <f>1</f>
        <v>1</v>
      </c>
      <c r="M2931" s="7">
        <f>1</f>
        <v>1</v>
      </c>
      <c r="N2931" s="5" t="s">
        <v>242</v>
      </c>
      <c r="O2931" s="5">
        <v>1</v>
      </c>
      <c r="P2931" s="5" t="s">
        <v>294</v>
      </c>
      <c r="Q2931" s="5" t="s">
        <v>3678</v>
      </c>
      <c r="R2931" s="5" t="s">
        <v>240</v>
      </c>
      <c r="S2931" s="5" t="s">
        <v>240</v>
      </c>
      <c r="T2931" s="5" t="s">
        <v>243</v>
      </c>
      <c r="U2931" s="5" t="s">
        <v>244</v>
      </c>
      <c r="V2931" s="5" t="s">
        <v>240</v>
      </c>
      <c r="W2931" s="5" t="s">
        <v>240</v>
      </c>
      <c r="X2931" s="5" t="s">
        <v>240</v>
      </c>
      <c r="Y2931" s="5" t="s">
        <v>240</v>
      </c>
      <c r="Z2931" s="6" t="s">
        <v>298</v>
      </c>
      <c r="AA2931" s="6" t="s">
        <v>240</v>
      </c>
      <c r="AB2931" s="6" t="s">
        <v>240</v>
      </c>
      <c r="AC2931" s="5" t="s">
        <v>240</v>
      </c>
      <c r="AD2931" s="6" t="s">
        <v>240</v>
      </c>
      <c r="AE2931" s="6" t="s">
        <v>299</v>
      </c>
      <c r="AF2931" s="5" t="s">
        <v>248</v>
      </c>
      <c r="AG2931" s="5" t="s">
        <v>249</v>
      </c>
      <c r="AH2931" s="5" t="s">
        <v>240</v>
      </c>
      <c r="AI2931" s="5" t="s">
        <v>240</v>
      </c>
      <c r="AJ2931" s="5" t="s">
        <v>240</v>
      </c>
      <c r="AK2931" s="5" t="s">
        <v>240</v>
      </c>
      <c r="AL2931" s="5" t="s">
        <v>240</v>
      </c>
      <c r="AM2931" s="5" t="s">
        <v>240</v>
      </c>
      <c r="AN2931" s="5" t="s">
        <v>240</v>
      </c>
      <c r="AO2931" s="5" t="s">
        <v>240</v>
      </c>
      <c r="AP2931" s="6" t="s">
        <v>240</v>
      </c>
      <c r="AQ2931" s="6" t="s">
        <v>240</v>
      </c>
      <c r="AR2931" s="6" t="s">
        <v>240</v>
      </c>
      <c r="AS2931" s="6" t="s">
        <v>240</v>
      </c>
      <c r="AT2931" s="5" t="s">
        <v>240</v>
      </c>
      <c r="AU2931" s="5" t="s">
        <v>729</v>
      </c>
      <c r="AV2931" s="5" t="s">
        <v>729</v>
      </c>
      <c r="AW2931" s="5" t="s">
        <v>251</v>
      </c>
      <c r="AX2931" s="5" t="s">
        <v>252</v>
      </c>
      <c r="AY2931" s="5" t="s">
        <v>253</v>
      </c>
      <c r="AZ2931" s="5" t="s">
        <v>240</v>
      </c>
      <c r="BA2931" s="5" t="s">
        <v>255</v>
      </c>
      <c r="BB2931" s="5" t="s">
        <v>731</v>
      </c>
      <c r="BD2931" s="5" t="s">
        <v>240</v>
      </c>
      <c r="BF2931" s="5" t="s">
        <v>732</v>
      </c>
      <c r="BG2931" s="6" t="s">
        <v>733</v>
      </c>
      <c r="BH2931" s="5" t="s">
        <v>734</v>
      </c>
      <c r="BI2931" s="5" t="s">
        <v>734</v>
      </c>
      <c r="BJ2931" s="5" t="s">
        <v>240</v>
      </c>
      <c r="BK2931" s="7">
        <f>1</f>
        <v>1</v>
      </c>
      <c r="BL2931" s="7">
        <f>1</f>
        <v>1</v>
      </c>
      <c r="BM2931" s="5" t="s">
        <v>258</v>
      </c>
      <c r="BN2931" s="5" t="s">
        <v>259</v>
      </c>
      <c r="BO2931" s="5" t="s">
        <v>240</v>
      </c>
      <c r="BP2931" s="5" t="s">
        <v>240</v>
      </c>
      <c r="BQ2931" s="5" t="s">
        <v>240</v>
      </c>
      <c r="BR2931" s="5" t="s">
        <v>240</v>
      </c>
      <c r="BS2931" s="5" t="s">
        <v>240</v>
      </c>
      <c r="BT2931" s="5" t="s">
        <v>240</v>
      </c>
      <c r="BU2931" s="5" t="s">
        <v>240</v>
      </c>
      <c r="BV2931" s="5" t="s">
        <v>240</v>
      </c>
      <c r="BW2931" s="6" t="s">
        <v>240</v>
      </c>
      <c r="BX2931" s="5" t="s">
        <v>240</v>
      </c>
      <c r="BY2931" s="5" t="s">
        <v>240</v>
      </c>
      <c r="BZ2931" s="5" t="s">
        <v>240</v>
      </c>
      <c r="CA2931" s="5" t="s">
        <v>259</v>
      </c>
      <c r="CB2931" s="5" t="s">
        <v>240</v>
      </c>
      <c r="CC2931" s="5" t="s">
        <v>240</v>
      </c>
      <c r="CD2931" s="5" t="s">
        <v>240</v>
      </c>
      <c r="CE2931" s="5" t="s">
        <v>240</v>
      </c>
      <c r="CF2931" s="5" t="s">
        <v>240</v>
      </c>
      <c r="CG2931" s="5" t="s">
        <v>304</v>
      </c>
      <c r="CH2931" s="5" t="s">
        <v>305</v>
      </c>
      <c r="CI2931" s="5" t="s">
        <v>240</v>
      </c>
      <c r="CK2931" s="5" t="s">
        <v>3681</v>
      </c>
      <c r="CL2931" s="6" t="s">
        <v>261</v>
      </c>
      <c r="CM2931" s="5" t="s">
        <v>262</v>
      </c>
      <c r="CN2931" s="5" t="s">
        <v>263</v>
      </c>
      <c r="CO2931" s="5" t="s">
        <v>264</v>
      </c>
      <c r="CP2931" s="5" t="s">
        <v>240</v>
      </c>
      <c r="CQ2931" s="5">
        <v>0</v>
      </c>
      <c r="CR2931" s="5" t="s">
        <v>735</v>
      </c>
      <c r="CS2931" s="5" t="s">
        <v>307</v>
      </c>
      <c r="CT2931" s="5" t="s">
        <v>307</v>
      </c>
      <c r="CU2931" s="5" t="s">
        <v>260</v>
      </c>
      <c r="CV2931" s="5" t="s">
        <v>612</v>
      </c>
      <c r="CW2931" s="8">
        <f>1</f>
        <v>1</v>
      </c>
      <c r="CX2931" s="7">
        <f>1</f>
        <v>1</v>
      </c>
      <c r="CY2931" s="7">
        <f>0</f>
        <v>0</v>
      </c>
      <c r="DA2931" s="7">
        <f>1</f>
        <v>1</v>
      </c>
      <c r="DB2931" s="7" t="s">
        <v>240</v>
      </c>
      <c r="DC2931" s="5" t="s">
        <v>240</v>
      </c>
      <c r="DD2931" s="5" t="s">
        <v>240</v>
      </c>
      <c r="DE2931" s="5" t="s">
        <v>240</v>
      </c>
      <c r="DF2931" s="5" t="s">
        <v>240</v>
      </c>
      <c r="DG2931" s="7">
        <f>0</f>
        <v>0</v>
      </c>
      <c r="DI2931" s="5" t="s">
        <v>240</v>
      </c>
      <c r="DJ2931" s="5" t="s">
        <v>240</v>
      </c>
      <c r="DK2931" s="5" t="s">
        <v>240</v>
      </c>
      <c r="DL2931" s="5" t="s">
        <v>240</v>
      </c>
      <c r="DM2931" s="5" t="s">
        <v>240</v>
      </c>
      <c r="DN2931" s="5" t="s">
        <v>240</v>
      </c>
      <c r="DO2931" s="7" t="s">
        <v>240</v>
      </c>
      <c r="DP2931" s="5" t="s">
        <v>240</v>
      </c>
      <c r="DQ2931" s="5" t="s">
        <v>240</v>
      </c>
      <c r="DR2931" s="5" t="s">
        <v>731</v>
      </c>
      <c r="DS2931" s="5" t="s">
        <v>731</v>
      </c>
      <c r="DT2931" s="5" t="s">
        <v>240</v>
      </c>
      <c r="DU2931" s="5" t="s">
        <v>240</v>
      </c>
      <c r="DV2931" s="5" t="s">
        <v>3683</v>
      </c>
      <c r="DW2931" s="5" t="s">
        <v>481</v>
      </c>
      <c r="DX2931" s="5" t="s">
        <v>240</v>
      </c>
      <c r="DY2931" s="5" t="s">
        <v>240</v>
      </c>
      <c r="DZ2931" s="5" t="s">
        <v>240</v>
      </c>
      <c r="EA2931" s="5" t="s">
        <v>240</v>
      </c>
      <c r="EB2931" s="5" t="s">
        <v>240</v>
      </c>
      <c r="EC2931" s="5" t="s">
        <v>240</v>
      </c>
      <c r="ED2931" s="5" t="s">
        <v>240</v>
      </c>
      <c r="EE2931" s="5" t="s">
        <v>240</v>
      </c>
      <c r="EF2931" s="5" t="s">
        <v>240</v>
      </c>
      <c r="EG2931" s="5" t="s">
        <v>240</v>
      </c>
      <c r="EH2931" s="5" t="s">
        <v>240</v>
      </c>
      <c r="EI2931" s="5" t="s">
        <v>240</v>
      </c>
      <c r="EJ2931" s="5" t="s">
        <v>240</v>
      </c>
      <c r="EK2931" s="5" t="s">
        <v>240</v>
      </c>
      <c r="EL2931" s="5" t="s">
        <v>240</v>
      </c>
      <c r="EM2931" s="5" t="s">
        <v>240</v>
      </c>
      <c r="EN2931" s="5" t="s">
        <v>240</v>
      </c>
      <c r="EO2931" s="5" t="s">
        <v>240</v>
      </c>
      <c r="EP2931" s="5" t="s">
        <v>240</v>
      </c>
      <c r="EQ2931" s="5" t="s">
        <v>240</v>
      </c>
      <c r="ER2931" s="5" t="s">
        <v>240</v>
      </c>
      <c r="ES2931" s="5" t="s">
        <v>240</v>
      </c>
      <c r="ET2931" s="5" t="s">
        <v>240</v>
      </c>
      <c r="EU2931" s="5" t="s">
        <v>240</v>
      </c>
      <c r="EV2931" s="5" t="s">
        <v>240</v>
      </c>
      <c r="EW2931" s="5" t="s">
        <v>240</v>
      </c>
      <c r="EX2931" s="5" t="s">
        <v>240</v>
      </c>
      <c r="EY2931" s="5" t="s">
        <v>240</v>
      </c>
      <c r="EZ2931" s="5" t="s">
        <v>240</v>
      </c>
      <c r="FA2931" s="5" t="s">
        <v>240</v>
      </c>
      <c r="FB2931" s="5" t="s">
        <v>240</v>
      </c>
      <c r="FC2931" s="5" t="s">
        <v>240</v>
      </c>
      <c r="FD2931" s="5" t="s">
        <v>240</v>
      </c>
      <c r="FE2931" s="5" t="s">
        <v>240</v>
      </c>
      <c r="FF2931" s="5" t="s">
        <v>240</v>
      </c>
      <c r="FG2931" s="5" t="s">
        <v>240</v>
      </c>
      <c r="FH2931" s="5" t="s">
        <v>240</v>
      </c>
      <c r="FI2931" s="5" t="s">
        <v>240</v>
      </c>
      <c r="FJ2931" s="5" t="s">
        <v>240</v>
      </c>
      <c r="FK2931" s="5" t="s">
        <v>240</v>
      </c>
      <c r="FL2931" s="5" t="s">
        <v>240</v>
      </c>
      <c r="FM2931" s="5" t="s">
        <v>240</v>
      </c>
      <c r="FN2931" s="5" t="s">
        <v>240</v>
      </c>
      <c r="FO2931" s="5" t="s">
        <v>240</v>
      </c>
      <c r="FP2931" s="5" t="s">
        <v>240</v>
      </c>
      <c r="FQ2931" s="5" t="s">
        <v>240</v>
      </c>
      <c r="FR2931" s="5" t="s">
        <v>240</v>
      </c>
      <c r="FS2931" s="5" t="s">
        <v>240</v>
      </c>
      <c r="FT2931" s="5" t="s">
        <v>240</v>
      </c>
      <c r="FU2931" s="5" t="s">
        <v>240</v>
      </c>
      <c r="FV2931" s="5" t="s">
        <v>240</v>
      </c>
      <c r="FW2931" s="5" t="s">
        <v>240</v>
      </c>
      <c r="FX2931" s="5" t="s">
        <v>240</v>
      </c>
      <c r="FY2931" s="5" t="s">
        <v>240</v>
      </c>
      <c r="FZ2931" s="5" t="s">
        <v>240</v>
      </c>
      <c r="GA2931" s="5" t="s">
        <v>240</v>
      </c>
      <c r="GB2931" s="5" t="s">
        <v>240</v>
      </c>
      <c r="GC2931" s="5" t="s">
        <v>240</v>
      </c>
      <c r="GD2931" s="5" t="s">
        <v>240</v>
      </c>
      <c r="GE2931" s="5" t="s">
        <v>240</v>
      </c>
      <c r="GF2931" s="5" t="s">
        <v>240</v>
      </c>
      <c r="GG2931" s="5" t="s">
        <v>240</v>
      </c>
      <c r="GH2931" s="5" t="s">
        <v>240</v>
      </c>
      <c r="GI2931" s="5" t="s">
        <v>240</v>
      </c>
      <c r="GJ2931" s="5" t="s">
        <v>240</v>
      </c>
      <c r="GK2931" s="5" t="s">
        <v>240</v>
      </c>
      <c r="GL2931" s="5" t="s">
        <v>240</v>
      </c>
      <c r="GM2931" s="5" t="s">
        <v>240</v>
      </c>
      <c r="GN2931" s="5" t="s">
        <v>240</v>
      </c>
      <c r="GO2931" s="5" t="s">
        <v>240</v>
      </c>
      <c r="GP2931" s="5" t="s">
        <v>240</v>
      </c>
      <c r="GQ2931" s="5" t="s">
        <v>240</v>
      </c>
      <c r="GR2931" s="5" t="s">
        <v>240</v>
      </c>
      <c r="GS2931" s="5" t="s">
        <v>240</v>
      </c>
      <c r="GT2931" s="5" t="s">
        <v>240</v>
      </c>
      <c r="GU2931" s="5" t="s">
        <v>240</v>
      </c>
      <c r="GV2931" s="5" t="s">
        <v>240</v>
      </c>
      <c r="GW2931" s="5" t="s">
        <v>240</v>
      </c>
      <c r="GX2931" s="5" t="s">
        <v>240</v>
      </c>
      <c r="GY2931" s="5" t="s">
        <v>240</v>
      </c>
      <c r="GZ2931" s="5" t="s">
        <v>240</v>
      </c>
      <c r="HA2931" s="5" t="s">
        <v>240</v>
      </c>
      <c r="HB2931" s="5" t="s">
        <v>240</v>
      </c>
      <c r="HC2931" s="5" t="s">
        <v>240</v>
      </c>
      <c r="HD2931" s="5" t="s">
        <v>240</v>
      </c>
      <c r="HE2931" s="5" t="s">
        <v>240</v>
      </c>
      <c r="HF2931" s="5" t="s">
        <v>240</v>
      </c>
      <c r="HG2931" s="5" t="s">
        <v>240</v>
      </c>
      <c r="HH2931" s="5" t="s">
        <v>240</v>
      </c>
      <c r="HI2931" s="5" t="s">
        <v>240</v>
      </c>
      <c r="HJ2931" s="5" t="s">
        <v>240</v>
      </c>
      <c r="HK2931" s="5" t="s">
        <v>240</v>
      </c>
      <c r="HL2931" s="5" t="s">
        <v>240</v>
      </c>
      <c r="HM2931" s="5" t="s">
        <v>240</v>
      </c>
      <c r="HN2931" s="5" t="s">
        <v>240</v>
      </c>
      <c r="HO2931" s="5" t="s">
        <v>312</v>
      </c>
      <c r="HP2931" s="5" t="s">
        <v>240</v>
      </c>
      <c r="HQ2931" s="5" t="s">
        <v>240</v>
      </c>
      <c r="HR2931" s="5" t="s">
        <v>240</v>
      </c>
      <c r="HS2931" s="5" t="s">
        <v>240</v>
      </c>
      <c r="HT2931" s="5" t="s">
        <v>240</v>
      </c>
      <c r="HU2931" s="5" t="s">
        <v>240</v>
      </c>
      <c r="HV2931" s="5" t="s">
        <v>240</v>
      </c>
      <c r="HW2931" s="5" t="s">
        <v>240</v>
      </c>
      <c r="HX2931" s="5" t="s">
        <v>240</v>
      </c>
      <c r="HY2931" s="5" t="s">
        <v>240</v>
      </c>
      <c r="HZ2931" s="5" t="s">
        <v>240</v>
      </c>
      <c r="IA2931" s="5" t="s">
        <v>240</v>
      </c>
      <c r="IB2931" s="5" t="s">
        <v>240</v>
      </c>
      <c r="IC2931" s="5" t="s">
        <v>240</v>
      </c>
      <c r="ID2931" s="5" t="s">
        <v>240</v>
      </c>
      <c r="IE2931" s="5" t="s">
        <v>240</v>
      </c>
      <c r="IF2931" s="5" t="s">
        <v>240</v>
      </c>
    </row>
    <row r="2932" spans="1:240" x14ac:dyDescent="0.4">
      <c r="A2932" s="5">
        <v>4636</v>
      </c>
      <c r="B2932" s="5">
        <v>1</v>
      </c>
      <c r="C2932" s="5">
        <v>1</v>
      </c>
      <c r="D2932" s="5" t="s">
        <v>810</v>
      </c>
      <c r="E2932" s="5" t="s">
        <v>245</v>
      </c>
      <c r="F2932" s="5" t="s">
        <v>254</v>
      </c>
      <c r="G2932" s="5" t="s">
        <v>240</v>
      </c>
      <c r="H2932" s="6" t="s">
        <v>2679</v>
      </c>
      <c r="I2932" s="5" t="s">
        <v>809</v>
      </c>
      <c r="J2932" s="8">
        <f>32</f>
        <v>32</v>
      </c>
      <c r="K2932" s="5" t="s">
        <v>308</v>
      </c>
      <c r="L2932" s="7">
        <f>1</f>
        <v>1</v>
      </c>
      <c r="M2932" s="7">
        <f>1</f>
        <v>1</v>
      </c>
      <c r="N2932" s="5" t="s">
        <v>242</v>
      </c>
      <c r="O2932" s="5">
        <v>1</v>
      </c>
      <c r="P2932" s="5" t="s">
        <v>294</v>
      </c>
      <c r="Q2932" s="5" t="s">
        <v>3678</v>
      </c>
      <c r="R2932" s="5" t="s">
        <v>240</v>
      </c>
      <c r="S2932" s="5" t="s">
        <v>240</v>
      </c>
      <c r="T2932" s="5" t="s">
        <v>243</v>
      </c>
      <c r="U2932" s="5" t="s">
        <v>244</v>
      </c>
      <c r="V2932" s="5" t="s">
        <v>240</v>
      </c>
      <c r="W2932" s="5" t="s">
        <v>240</v>
      </c>
      <c r="X2932" s="5" t="s">
        <v>240</v>
      </c>
      <c r="Y2932" s="5" t="s">
        <v>240</v>
      </c>
      <c r="Z2932" s="6" t="s">
        <v>298</v>
      </c>
      <c r="AA2932" s="6" t="s">
        <v>240</v>
      </c>
      <c r="AB2932" s="6" t="s">
        <v>240</v>
      </c>
      <c r="AC2932" s="5" t="s">
        <v>240</v>
      </c>
      <c r="AD2932" s="6" t="s">
        <v>240</v>
      </c>
      <c r="AE2932" s="6" t="s">
        <v>299</v>
      </c>
      <c r="AF2932" s="5" t="s">
        <v>248</v>
      </c>
      <c r="AG2932" s="5" t="s">
        <v>249</v>
      </c>
      <c r="AH2932" s="5" t="s">
        <v>240</v>
      </c>
      <c r="AI2932" s="5" t="s">
        <v>240</v>
      </c>
      <c r="AJ2932" s="5" t="s">
        <v>240</v>
      </c>
      <c r="AK2932" s="5" t="s">
        <v>240</v>
      </c>
      <c r="AL2932" s="5" t="s">
        <v>240</v>
      </c>
      <c r="AM2932" s="5" t="s">
        <v>240</v>
      </c>
      <c r="AN2932" s="5" t="s">
        <v>240</v>
      </c>
      <c r="AO2932" s="5" t="s">
        <v>240</v>
      </c>
      <c r="AP2932" s="6" t="s">
        <v>240</v>
      </c>
      <c r="AQ2932" s="6" t="s">
        <v>240</v>
      </c>
      <c r="AR2932" s="6" t="s">
        <v>240</v>
      </c>
      <c r="AS2932" s="6" t="s">
        <v>240</v>
      </c>
      <c r="AT2932" s="5" t="s">
        <v>240</v>
      </c>
      <c r="AU2932" s="5" t="s">
        <v>729</v>
      </c>
      <c r="AV2932" s="5" t="s">
        <v>729</v>
      </c>
      <c r="AW2932" s="5" t="s">
        <v>251</v>
      </c>
      <c r="AX2932" s="5" t="s">
        <v>252</v>
      </c>
      <c r="AY2932" s="5" t="s">
        <v>253</v>
      </c>
      <c r="AZ2932" s="5" t="s">
        <v>240</v>
      </c>
      <c r="BA2932" s="5" t="s">
        <v>255</v>
      </c>
      <c r="BB2932" s="5" t="s">
        <v>731</v>
      </c>
      <c r="BD2932" s="5" t="s">
        <v>240</v>
      </c>
      <c r="BF2932" s="5" t="s">
        <v>732</v>
      </c>
      <c r="BG2932" s="6" t="s">
        <v>733</v>
      </c>
      <c r="BH2932" s="5" t="s">
        <v>734</v>
      </c>
      <c r="BI2932" s="5" t="s">
        <v>734</v>
      </c>
      <c r="BJ2932" s="5" t="s">
        <v>240</v>
      </c>
      <c r="BK2932" s="7">
        <f>1</f>
        <v>1</v>
      </c>
      <c r="BL2932" s="7">
        <f>1</f>
        <v>1</v>
      </c>
      <c r="BM2932" s="5" t="s">
        <v>258</v>
      </c>
      <c r="BN2932" s="5" t="s">
        <v>259</v>
      </c>
      <c r="BO2932" s="5" t="s">
        <v>240</v>
      </c>
      <c r="BP2932" s="5" t="s">
        <v>240</v>
      </c>
      <c r="BQ2932" s="5" t="s">
        <v>240</v>
      </c>
      <c r="BR2932" s="5" t="s">
        <v>240</v>
      </c>
      <c r="BS2932" s="5" t="s">
        <v>240</v>
      </c>
      <c r="BT2932" s="5" t="s">
        <v>240</v>
      </c>
      <c r="BU2932" s="5" t="s">
        <v>240</v>
      </c>
      <c r="BV2932" s="5" t="s">
        <v>240</v>
      </c>
      <c r="BW2932" s="6" t="s">
        <v>240</v>
      </c>
      <c r="BX2932" s="5" t="s">
        <v>240</v>
      </c>
      <c r="BY2932" s="5" t="s">
        <v>240</v>
      </c>
      <c r="BZ2932" s="5" t="s">
        <v>240</v>
      </c>
      <c r="CA2932" s="5" t="s">
        <v>259</v>
      </c>
      <c r="CB2932" s="5" t="s">
        <v>240</v>
      </c>
      <c r="CC2932" s="5" t="s">
        <v>240</v>
      </c>
      <c r="CD2932" s="5" t="s">
        <v>240</v>
      </c>
      <c r="CE2932" s="5" t="s">
        <v>240</v>
      </c>
      <c r="CF2932" s="5" t="s">
        <v>240</v>
      </c>
      <c r="CG2932" s="5" t="s">
        <v>304</v>
      </c>
      <c r="CH2932" s="5" t="s">
        <v>305</v>
      </c>
      <c r="CI2932" s="5" t="s">
        <v>240</v>
      </c>
      <c r="CK2932" s="5" t="s">
        <v>3681</v>
      </c>
      <c r="CL2932" s="6" t="s">
        <v>261</v>
      </c>
      <c r="CM2932" s="5" t="s">
        <v>262</v>
      </c>
      <c r="CN2932" s="5" t="s">
        <v>263</v>
      </c>
      <c r="CO2932" s="5" t="s">
        <v>264</v>
      </c>
      <c r="CP2932" s="5" t="s">
        <v>240</v>
      </c>
      <c r="CQ2932" s="5">
        <v>0</v>
      </c>
      <c r="CR2932" s="5" t="s">
        <v>735</v>
      </c>
      <c r="CS2932" s="5" t="s">
        <v>307</v>
      </c>
      <c r="CT2932" s="5" t="s">
        <v>307</v>
      </c>
      <c r="CU2932" s="5" t="s">
        <v>260</v>
      </c>
      <c r="CV2932" s="5" t="s">
        <v>612</v>
      </c>
      <c r="CW2932" s="8">
        <f>1</f>
        <v>1</v>
      </c>
      <c r="CX2932" s="7">
        <f>1</f>
        <v>1</v>
      </c>
      <c r="CY2932" s="7">
        <f>0</f>
        <v>0</v>
      </c>
      <c r="DA2932" s="7">
        <f>1</f>
        <v>1</v>
      </c>
      <c r="DB2932" s="7" t="s">
        <v>240</v>
      </c>
      <c r="DC2932" s="5" t="s">
        <v>240</v>
      </c>
      <c r="DD2932" s="5" t="s">
        <v>240</v>
      </c>
      <c r="DE2932" s="5" t="s">
        <v>240</v>
      </c>
      <c r="DF2932" s="5" t="s">
        <v>240</v>
      </c>
      <c r="DG2932" s="7">
        <f>0</f>
        <v>0</v>
      </c>
      <c r="DI2932" s="5" t="s">
        <v>240</v>
      </c>
      <c r="DJ2932" s="5" t="s">
        <v>240</v>
      </c>
      <c r="DK2932" s="5" t="s">
        <v>240</v>
      </c>
      <c r="DL2932" s="5" t="s">
        <v>240</v>
      </c>
      <c r="DM2932" s="5" t="s">
        <v>240</v>
      </c>
      <c r="DN2932" s="5" t="s">
        <v>240</v>
      </c>
      <c r="DO2932" s="7" t="s">
        <v>240</v>
      </c>
      <c r="DP2932" s="5" t="s">
        <v>240</v>
      </c>
      <c r="DQ2932" s="5" t="s">
        <v>240</v>
      </c>
      <c r="DR2932" s="5" t="s">
        <v>731</v>
      </c>
      <c r="DS2932" s="5" t="s">
        <v>731</v>
      </c>
      <c r="DT2932" s="5" t="s">
        <v>240</v>
      </c>
      <c r="DU2932" s="5" t="s">
        <v>240</v>
      </c>
      <c r="DV2932" s="5" t="s">
        <v>3683</v>
      </c>
      <c r="DW2932" s="5" t="s">
        <v>500</v>
      </c>
      <c r="DX2932" s="5" t="s">
        <v>240</v>
      </c>
      <c r="DY2932" s="5" t="s">
        <v>240</v>
      </c>
      <c r="DZ2932" s="5" t="s">
        <v>240</v>
      </c>
      <c r="EA2932" s="5" t="s">
        <v>240</v>
      </c>
      <c r="EB2932" s="5" t="s">
        <v>240</v>
      </c>
      <c r="EC2932" s="5" t="s">
        <v>240</v>
      </c>
      <c r="ED2932" s="5" t="s">
        <v>240</v>
      </c>
      <c r="EE2932" s="5" t="s">
        <v>240</v>
      </c>
      <c r="EF2932" s="5" t="s">
        <v>240</v>
      </c>
      <c r="EG2932" s="5" t="s">
        <v>240</v>
      </c>
      <c r="EH2932" s="5" t="s">
        <v>240</v>
      </c>
      <c r="EI2932" s="5" t="s">
        <v>240</v>
      </c>
      <c r="EJ2932" s="5" t="s">
        <v>240</v>
      </c>
      <c r="EK2932" s="5" t="s">
        <v>240</v>
      </c>
      <c r="EL2932" s="5" t="s">
        <v>240</v>
      </c>
      <c r="EM2932" s="5" t="s">
        <v>240</v>
      </c>
      <c r="EN2932" s="5" t="s">
        <v>240</v>
      </c>
      <c r="EO2932" s="5" t="s">
        <v>240</v>
      </c>
      <c r="EP2932" s="5" t="s">
        <v>240</v>
      </c>
      <c r="EQ2932" s="5" t="s">
        <v>240</v>
      </c>
      <c r="ER2932" s="5" t="s">
        <v>240</v>
      </c>
      <c r="ES2932" s="5" t="s">
        <v>240</v>
      </c>
      <c r="ET2932" s="5" t="s">
        <v>240</v>
      </c>
      <c r="EU2932" s="5" t="s">
        <v>240</v>
      </c>
      <c r="EV2932" s="5" t="s">
        <v>240</v>
      </c>
      <c r="EW2932" s="5" t="s">
        <v>240</v>
      </c>
      <c r="EX2932" s="5" t="s">
        <v>240</v>
      </c>
      <c r="EY2932" s="5" t="s">
        <v>240</v>
      </c>
      <c r="EZ2932" s="5" t="s">
        <v>240</v>
      </c>
      <c r="FA2932" s="5" t="s">
        <v>240</v>
      </c>
      <c r="FB2932" s="5" t="s">
        <v>240</v>
      </c>
      <c r="FC2932" s="5" t="s">
        <v>240</v>
      </c>
      <c r="FD2932" s="5" t="s">
        <v>240</v>
      </c>
      <c r="FE2932" s="5" t="s">
        <v>240</v>
      </c>
      <c r="FF2932" s="5" t="s">
        <v>240</v>
      </c>
      <c r="FG2932" s="5" t="s">
        <v>240</v>
      </c>
      <c r="FH2932" s="5" t="s">
        <v>240</v>
      </c>
      <c r="FI2932" s="5" t="s">
        <v>240</v>
      </c>
      <c r="FJ2932" s="5" t="s">
        <v>240</v>
      </c>
      <c r="FK2932" s="5" t="s">
        <v>240</v>
      </c>
      <c r="FL2932" s="5" t="s">
        <v>240</v>
      </c>
      <c r="FM2932" s="5" t="s">
        <v>240</v>
      </c>
      <c r="FN2932" s="5" t="s">
        <v>240</v>
      </c>
      <c r="FO2932" s="5" t="s">
        <v>240</v>
      </c>
      <c r="FP2932" s="5" t="s">
        <v>240</v>
      </c>
      <c r="FQ2932" s="5" t="s">
        <v>240</v>
      </c>
      <c r="FR2932" s="5" t="s">
        <v>240</v>
      </c>
      <c r="FS2932" s="5" t="s">
        <v>240</v>
      </c>
      <c r="FT2932" s="5" t="s">
        <v>240</v>
      </c>
      <c r="FU2932" s="5" t="s">
        <v>240</v>
      </c>
      <c r="FV2932" s="5" t="s">
        <v>240</v>
      </c>
      <c r="FW2932" s="5" t="s">
        <v>240</v>
      </c>
      <c r="FX2932" s="5" t="s">
        <v>240</v>
      </c>
      <c r="FY2932" s="5" t="s">
        <v>240</v>
      </c>
      <c r="FZ2932" s="5" t="s">
        <v>240</v>
      </c>
      <c r="GA2932" s="5" t="s">
        <v>240</v>
      </c>
      <c r="GB2932" s="5" t="s">
        <v>240</v>
      </c>
      <c r="GC2932" s="5" t="s">
        <v>240</v>
      </c>
      <c r="GD2932" s="5" t="s">
        <v>240</v>
      </c>
      <c r="GE2932" s="5" t="s">
        <v>240</v>
      </c>
      <c r="GF2932" s="5" t="s">
        <v>240</v>
      </c>
      <c r="GG2932" s="5" t="s">
        <v>240</v>
      </c>
      <c r="GH2932" s="5" t="s">
        <v>240</v>
      </c>
      <c r="GI2932" s="5" t="s">
        <v>240</v>
      </c>
      <c r="GJ2932" s="5" t="s">
        <v>240</v>
      </c>
      <c r="GK2932" s="5" t="s">
        <v>240</v>
      </c>
      <c r="GL2932" s="5" t="s">
        <v>240</v>
      </c>
      <c r="GM2932" s="5" t="s">
        <v>240</v>
      </c>
      <c r="GN2932" s="5" t="s">
        <v>240</v>
      </c>
      <c r="GO2932" s="5" t="s">
        <v>240</v>
      </c>
      <c r="GP2932" s="5" t="s">
        <v>240</v>
      </c>
      <c r="GQ2932" s="5" t="s">
        <v>240</v>
      </c>
      <c r="GR2932" s="5" t="s">
        <v>240</v>
      </c>
      <c r="GS2932" s="5" t="s">
        <v>240</v>
      </c>
      <c r="GT2932" s="5" t="s">
        <v>240</v>
      </c>
      <c r="GU2932" s="5" t="s">
        <v>240</v>
      </c>
      <c r="GV2932" s="5" t="s">
        <v>240</v>
      </c>
      <c r="GW2932" s="5" t="s">
        <v>240</v>
      </c>
      <c r="GX2932" s="5" t="s">
        <v>240</v>
      </c>
      <c r="GY2932" s="5" t="s">
        <v>240</v>
      </c>
      <c r="GZ2932" s="5" t="s">
        <v>240</v>
      </c>
      <c r="HA2932" s="5" t="s">
        <v>240</v>
      </c>
      <c r="HB2932" s="5" t="s">
        <v>240</v>
      </c>
      <c r="HC2932" s="5" t="s">
        <v>240</v>
      </c>
      <c r="HD2932" s="5" t="s">
        <v>240</v>
      </c>
      <c r="HE2932" s="5" t="s">
        <v>240</v>
      </c>
      <c r="HF2932" s="5" t="s">
        <v>240</v>
      </c>
      <c r="HG2932" s="5" t="s">
        <v>240</v>
      </c>
      <c r="HH2932" s="5" t="s">
        <v>240</v>
      </c>
      <c r="HI2932" s="5" t="s">
        <v>240</v>
      </c>
      <c r="HJ2932" s="5" t="s">
        <v>240</v>
      </c>
      <c r="HK2932" s="5" t="s">
        <v>240</v>
      </c>
      <c r="HL2932" s="5" t="s">
        <v>240</v>
      </c>
      <c r="HM2932" s="5" t="s">
        <v>240</v>
      </c>
      <c r="HN2932" s="5" t="s">
        <v>240</v>
      </c>
      <c r="HO2932" s="5" t="s">
        <v>312</v>
      </c>
      <c r="HP2932" s="5" t="s">
        <v>240</v>
      </c>
      <c r="HQ2932" s="5" t="s">
        <v>240</v>
      </c>
      <c r="HR2932" s="5" t="s">
        <v>240</v>
      </c>
      <c r="HS2932" s="5" t="s">
        <v>240</v>
      </c>
      <c r="HT2932" s="5" t="s">
        <v>240</v>
      </c>
      <c r="HU2932" s="5" t="s">
        <v>240</v>
      </c>
      <c r="HV2932" s="5" t="s">
        <v>240</v>
      </c>
      <c r="HW2932" s="5" t="s">
        <v>240</v>
      </c>
      <c r="HX2932" s="5" t="s">
        <v>240</v>
      </c>
      <c r="HY2932" s="5" t="s">
        <v>240</v>
      </c>
      <c r="HZ2932" s="5" t="s">
        <v>240</v>
      </c>
      <c r="IA2932" s="5" t="s">
        <v>240</v>
      </c>
      <c r="IB2932" s="5" t="s">
        <v>240</v>
      </c>
      <c r="IC2932" s="5" t="s">
        <v>240</v>
      </c>
      <c r="ID2932" s="5" t="s">
        <v>240</v>
      </c>
      <c r="IE2932" s="5" t="s">
        <v>240</v>
      </c>
      <c r="IF2932" s="5" t="s">
        <v>240</v>
      </c>
    </row>
    <row r="2933" spans="1:240" x14ac:dyDescent="0.4">
      <c r="A2933" s="5">
        <v>4637</v>
      </c>
      <c r="B2933" s="5">
        <v>1</v>
      </c>
      <c r="C2933" s="5">
        <v>1</v>
      </c>
      <c r="D2933" s="5" t="s">
        <v>810</v>
      </c>
      <c r="E2933" s="5" t="s">
        <v>245</v>
      </c>
      <c r="F2933" s="5" t="s">
        <v>254</v>
      </c>
      <c r="G2933" s="5" t="s">
        <v>240</v>
      </c>
      <c r="H2933" s="6" t="s">
        <v>2677</v>
      </c>
      <c r="I2933" s="5" t="s">
        <v>809</v>
      </c>
      <c r="J2933" s="8">
        <f>235</f>
        <v>235</v>
      </c>
      <c r="K2933" s="5" t="s">
        <v>308</v>
      </c>
      <c r="L2933" s="7">
        <f>1</f>
        <v>1</v>
      </c>
      <c r="M2933" s="7">
        <f>1</f>
        <v>1</v>
      </c>
      <c r="N2933" s="5" t="s">
        <v>242</v>
      </c>
      <c r="O2933" s="5">
        <v>1</v>
      </c>
      <c r="P2933" s="5" t="s">
        <v>294</v>
      </c>
      <c r="Q2933" s="5" t="s">
        <v>266</v>
      </c>
      <c r="R2933" s="5" t="s">
        <v>240</v>
      </c>
      <c r="S2933" s="5" t="s">
        <v>240</v>
      </c>
      <c r="T2933" s="5" t="s">
        <v>296</v>
      </c>
      <c r="U2933" s="5" t="s">
        <v>244</v>
      </c>
      <c r="V2933" s="5" t="s">
        <v>240</v>
      </c>
      <c r="Y2933" s="5" t="s">
        <v>240</v>
      </c>
      <c r="Z2933" s="6" t="s">
        <v>298</v>
      </c>
      <c r="AB2933" s="6" t="s">
        <v>240</v>
      </c>
      <c r="AE2933" s="6" t="s">
        <v>299</v>
      </c>
      <c r="AF2933" s="5" t="s">
        <v>248</v>
      </c>
      <c r="AG2933" s="5" t="s">
        <v>249</v>
      </c>
      <c r="AW2933" s="5" t="s">
        <v>251</v>
      </c>
      <c r="AX2933" s="5" t="s">
        <v>240</v>
      </c>
      <c r="AY2933" s="5" t="s">
        <v>253</v>
      </c>
      <c r="AZ2933" s="5" t="s">
        <v>240</v>
      </c>
      <c r="BA2933" s="5" t="s">
        <v>255</v>
      </c>
      <c r="BB2933" s="5" t="s">
        <v>240</v>
      </c>
      <c r="BD2933" s="5" t="s">
        <v>240</v>
      </c>
      <c r="BF2933" s="5" t="s">
        <v>301</v>
      </c>
      <c r="BG2933" s="6" t="s">
        <v>299</v>
      </c>
      <c r="BH2933" s="5" t="s">
        <v>302</v>
      </c>
      <c r="BI2933" s="5" t="s">
        <v>303</v>
      </c>
      <c r="BJ2933" s="5" t="s">
        <v>240</v>
      </c>
      <c r="BK2933" s="8">
        <f>0</f>
        <v>0</v>
      </c>
      <c r="BL2933" s="7">
        <f>0</f>
        <v>0</v>
      </c>
      <c r="BM2933" s="5" t="s">
        <v>258</v>
      </c>
      <c r="BN2933" s="5" t="s">
        <v>259</v>
      </c>
      <c r="CB2933" s="5" t="s">
        <v>240</v>
      </c>
      <c r="CC2933" s="5" t="s">
        <v>240</v>
      </c>
      <c r="CG2933" s="5" t="s">
        <v>304</v>
      </c>
      <c r="CH2933" s="5" t="s">
        <v>305</v>
      </c>
      <c r="CI2933" s="5" t="s">
        <v>240</v>
      </c>
      <c r="CL2933" s="6" t="s">
        <v>261</v>
      </c>
      <c r="CM2933" s="5" t="s">
        <v>240</v>
      </c>
      <c r="CN2933" s="5" t="s">
        <v>263</v>
      </c>
      <c r="CO2933" s="5" t="s">
        <v>240</v>
      </c>
      <c r="CP2933" s="5" t="s">
        <v>240</v>
      </c>
      <c r="CQ2933" s="5">
        <v>0</v>
      </c>
      <c r="CR2933" s="5" t="s">
        <v>306</v>
      </c>
      <c r="CS2933" s="5" t="s">
        <v>307</v>
      </c>
      <c r="CT2933" s="5" t="s">
        <v>307</v>
      </c>
      <c r="CU2933" s="5" t="s">
        <v>260</v>
      </c>
      <c r="CX2933" s="7">
        <f>1</f>
        <v>1</v>
      </c>
      <c r="CY2933" s="7">
        <f>0</f>
        <v>0</v>
      </c>
      <c r="DA2933" s="7">
        <f>0</f>
        <v>0</v>
      </c>
      <c r="DC2933" s="5" t="s">
        <v>309</v>
      </c>
      <c r="DD2933" s="5" t="s">
        <v>240</v>
      </c>
      <c r="DF2933" s="5" t="s">
        <v>309</v>
      </c>
      <c r="DG2933" s="7">
        <f>1997</f>
        <v>1997</v>
      </c>
      <c r="DI2933" s="5" t="s">
        <v>240</v>
      </c>
      <c r="DJ2933" s="5" t="s">
        <v>240</v>
      </c>
      <c r="DK2933" s="5" t="s">
        <v>240</v>
      </c>
      <c r="DL2933" s="5" t="s">
        <v>240</v>
      </c>
      <c r="DP2933" s="5" t="s">
        <v>240</v>
      </c>
      <c r="DQ2933" s="5" t="s">
        <v>240</v>
      </c>
      <c r="DR2933" s="5" t="s">
        <v>240</v>
      </c>
      <c r="DS2933" s="5" t="s">
        <v>240</v>
      </c>
      <c r="DV2933" s="5" t="s">
        <v>310</v>
      </c>
      <c r="DW2933" s="5" t="s">
        <v>3956</v>
      </c>
      <c r="HO2933" s="5" t="s">
        <v>312</v>
      </c>
    </row>
    <row r="2934" spans="1:240" x14ac:dyDescent="0.4">
      <c r="A2934" s="5">
        <v>4638</v>
      </c>
      <c r="B2934" s="5">
        <v>1</v>
      </c>
      <c r="C2934" s="5">
        <v>1</v>
      </c>
      <c r="D2934" s="5" t="s">
        <v>810</v>
      </c>
      <c r="E2934" s="5" t="s">
        <v>245</v>
      </c>
      <c r="F2934" s="5" t="s">
        <v>254</v>
      </c>
      <c r="G2934" s="5" t="s">
        <v>240</v>
      </c>
      <c r="H2934" s="6" t="s">
        <v>2675</v>
      </c>
      <c r="I2934" s="5" t="s">
        <v>809</v>
      </c>
      <c r="J2934" s="8">
        <f>1547</f>
        <v>1547</v>
      </c>
      <c r="K2934" s="5" t="s">
        <v>308</v>
      </c>
      <c r="L2934" s="7">
        <f>1</f>
        <v>1</v>
      </c>
      <c r="M2934" s="7">
        <f>1</f>
        <v>1</v>
      </c>
      <c r="N2934" s="5" t="s">
        <v>242</v>
      </c>
      <c r="O2934" s="5">
        <v>1</v>
      </c>
      <c r="P2934" s="5" t="s">
        <v>294</v>
      </c>
      <c r="Q2934" s="5" t="s">
        <v>266</v>
      </c>
      <c r="R2934" s="5" t="s">
        <v>240</v>
      </c>
      <c r="S2934" s="5" t="s">
        <v>240</v>
      </c>
      <c r="T2934" s="5" t="s">
        <v>296</v>
      </c>
      <c r="U2934" s="5" t="s">
        <v>244</v>
      </c>
      <c r="V2934" s="5" t="s">
        <v>240</v>
      </c>
      <c r="Y2934" s="5" t="s">
        <v>240</v>
      </c>
      <c r="Z2934" s="6" t="s">
        <v>298</v>
      </c>
      <c r="AB2934" s="6" t="s">
        <v>240</v>
      </c>
      <c r="AE2934" s="6" t="s">
        <v>299</v>
      </c>
      <c r="AF2934" s="5" t="s">
        <v>248</v>
      </c>
      <c r="AG2934" s="5" t="s">
        <v>249</v>
      </c>
      <c r="AW2934" s="5" t="s">
        <v>251</v>
      </c>
      <c r="AX2934" s="5" t="s">
        <v>240</v>
      </c>
      <c r="AY2934" s="5" t="s">
        <v>253</v>
      </c>
      <c r="AZ2934" s="5" t="s">
        <v>240</v>
      </c>
      <c r="BA2934" s="5" t="s">
        <v>255</v>
      </c>
      <c r="BB2934" s="5" t="s">
        <v>240</v>
      </c>
      <c r="BD2934" s="5" t="s">
        <v>240</v>
      </c>
      <c r="BF2934" s="5" t="s">
        <v>301</v>
      </c>
      <c r="BG2934" s="6" t="s">
        <v>299</v>
      </c>
      <c r="BH2934" s="5" t="s">
        <v>302</v>
      </c>
      <c r="BI2934" s="5" t="s">
        <v>303</v>
      </c>
      <c r="BJ2934" s="5" t="s">
        <v>240</v>
      </c>
      <c r="BK2934" s="8">
        <f>0</f>
        <v>0</v>
      </c>
      <c r="BL2934" s="7">
        <f>0</f>
        <v>0</v>
      </c>
      <c r="BM2934" s="5" t="s">
        <v>258</v>
      </c>
      <c r="BN2934" s="5" t="s">
        <v>259</v>
      </c>
      <c r="CB2934" s="5" t="s">
        <v>240</v>
      </c>
      <c r="CC2934" s="5" t="s">
        <v>240</v>
      </c>
      <c r="CG2934" s="5" t="s">
        <v>304</v>
      </c>
      <c r="CH2934" s="5" t="s">
        <v>305</v>
      </c>
      <c r="CI2934" s="5" t="s">
        <v>240</v>
      </c>
      <c r="CL2934" s="6" t="s">
        <v>261</v>
      </c>
      <c r="CM2934" s="5" t="s">
        <v>240</v>
      </c>
      <c r="CN2934" s="5" t="s">
        <v>263</v>
      </c>
      <c r="CO2934" s="5" t="s">
        <v>240</v>
      </c>
      <c r="CP2934" s="5" t="s">
        <v>240</v>
      </c>
      <c r="CQ2934" s="5">
        <v>0</v>
      </c>
      <c r="CR2934" s="5" t="s">
        <v>306</v>
      </c>
      <c r="CS2934" s="5" t="s">
        <v>307</v>
      </c>
      <c r="CT2934" s="5" t="s">
        <v>307</v>
      </c>
      <c r="CU2934" s="5" t="s">
        <v>260</v>
      </c>
      <c r="CX2934" s="7">
        <f>1</f>
        <v>1</v>
      </c>
      <c r="CY2934" s="7">
        <f>0</f>
        <v>0</v>
      </c>
      <c r="DA2934" s="7">
        <f>0</f>
        <v>0</v>
      </c>
      <c r="DC2934" s="5" t="s">
        <v>309</v>
      </c>
      <c r="DD2934" s="5" t="s">
        <v>240</v>
      </c>
      <c r="DF2934" s="5" t="s">
        <v>309</v>
      </c>
      <c r="DG2934" s="7">
        <f>5057</f>
        <v>5057</v>
      </c>
      <c r="DI2934" s="5" t="s">
        <v>240</v>
      </c>
      <c r="DJ2934" s="5" t="s">
        <v>240</v>
      </c>
      <c r="DK2934" s="5" t="s">
        <v>240</v>
      </c>
      <c r="DL2934" s="5" t="s">
        <v>240</v>
      </c>
      <c r="DP2934" s="5" t="s">
        <v>240</v>
      </c>
      <c r="DQ2934" s="5" t="s">
        <v>240</v>
      </c>
      <c r="DR2934" s="5" t="s">
        <v>240</v>
      </c>
      <c r="DS2934" s="5" t="s">
        <v>240</v>
      </c>
      <c r="DV2934" s="5" t="s">
        <v>310</v>
      </c>
      <c r="DW2934" s="5" t="s">
        <v>3728</v>
      </c>
      <c r="HO2934" s="5" t="s">
        <v>312</v>
      </c>
    </row>
    <row r="2935" spans="1:240" x14ac:dyDescent="0.4">
      <c r="A2935" s="5">
        <v>4639</v>
      </c>
      <c r="B2935" s="5">
        <v>1</v>
      </c>
      <c r="C2935" s="5">
        <v>1</v>
      </c>
      <c r="D2935" s="5" t="s">
        <v>810</v>
      </c>
      <c r="E2935" s="5" t="s">
        <v>245</v>
      </c>
      <c r="F2935" s="5" t="s">
        <v>254</v>
      </c>
      <c r="G2935" s="5" t="s">
        <v>240</v>
      </c>
      <c r="H2935" s="6" t="s">
        <v>2673</v>
      </c>
      <c r="I2935" s="5" t="s">
        <v>809</v>
      </c>
      <c r="J2935" s="8">
        <f>465</f>
        <v>465</v>
      </c>
      <c r="K2935" s="5" t="s">
        <v>308</v>
      </c>
      <c r="L2935" s="7">
        <f>1</f>
        <v>1</v>
      </c>
      <c r="M2935" s="7">
        <f>1</f>
        <v>1</v>
      </c>
      <c r="N2935" s="5" t="s">
        <v>242</v>
      </c>
      <c r="O2935" s="5">
        <v>1</v>
      </c>
      <c r="P2935" s="5" t="s">
        <v>294</v>
      </c>
      <c r="Q2935" s="5" t="s">
        <v>266</v>
      </c>
      <c r="R2935" s="5" t="s">
        <v>240</v>
      </c>
      <c r="S2935" s="5" t="s">
        <v>240</v>
      </c>
      <c r="T2935" s="5" t="s">
        <v>296</v>
      </c>
      <c r="U2935" s="5" t="s">
        <v>244</v>
      </c>
      <c r="V2935" s="5" t="s">
        <v>240</v>
      </c>
      <c r="Y2935" s="5" t="s">
        <v>240</v>
      </c>
      <c r="Z2935" s="6" t="s">
        <v>298</v>
      </c>
      <c r="AB2935" s="6" t="s">
        <v>240</v>
      </c>
      <c r="AE2935" s="6" t="s">
        <v>299</v>
      </c>
      <c r="AF2935" s="5" t="s">
        <v>248</v>
      </c>
      <c r="AG2935" s="5" t="s">
        <v>249</v>
      </c>
      <c r="AW2935" s="5" t="s">
        <v>251</v>
      </c>
      <c r="AX2935" s="5" t="s">
        <v>240</v>
      </c>
      <c r="AY2935" s="5" t="s">
        <v>253</v>
      </c>
      <c r="AZ2935" s="5" t="s">
        <v>240</v>
      </c>
      <c r="BA2935" s="5" t="s">
        <v>255</v>
      </c>
      <c r="BB2935" s="5" t="s">
        <v>240</v>
      </c>
      <c r="BD2935" s="5" t="s">
        <v>240</v>
      </c>
      <c r="BF2935" s="5" t="s">
        <v>301</v>
      </c>
      <c r="BG2935" s="6" t="s">
        <v>299</v>
      </c>
      <c r="BH2935" s="5" t="s">
        <v>302</v>
      </c>
      <c r="BI2935" s="5" t="s">
        <v>303</v>
      </c>
      <c r="BJ2935" s="5" t="s">
        <v>240</v>
      </c>
      <c r="BK2935" s="8">
        <f>0</f>
        <v>0</v>
      </c>
      <c r="BL2935" s="7">
        <f>0</f>
        <v>0</v>
      </c>
      <c r="BM2935" s="5" t="s">
        <v>258</v>
      </c>
      <c r="BN2935" s="5" t="s">
        <v>259</v>
      </c>
      <c r="CB2935" s="5" t="s">
        <v>240</v>
      </c>
      <c r="CC2935" s="5" t="s">
        <v>240</v>
      </c>
      <c r="CG2935" s="5" t="s">
        <v>304</v>
      </c>
      <c r="CH2935" s="5" t="s">
        <v>305</v>
      </c>
      <c r="CI2935" s="5" t="s">
        <v>240</v>
      </c>
      <c r="CL2935" s="6" t="s">
        <v>261</v>
      </c>
      <c r="CM2935" s="5" t="s">
        <v>240</v>
      </c>
      <c r="CN2935" s="5" t="s">
        <v>263</v>
      </c>
      <c r="CO2935" s="5" t="s">
        <v>240</v>
      </c>
      <c r="CP2935" s="5" t="s">
        <v>240</v>
      </c>
      <c r="CQ2935" s="5">
        <v>0</v>
      </c>
      <c r="CR2935" s="5" t="s">
        <v>306</v>
      </c>
      <c r="CS2935" s="5" t="s">
        <v>307</v>
      </c>
      <c r="CT2935" s="5" t="s">
        <v>307</v>
      </c>
      <c r="CU2935" s="5" t="s">
        <v>260</v>
      </c>
      <c r="CX2935" s="7">
        <f>1</f>
        <v>1</v>
      </c>
      <c r="CY2935" s="7">
        <f>0</f>
        <v>0</v>
      </c>
      <c r="DA2935" s="7">
        <f>0</f>
        <v>0</v>
      </c>
      <c r="DC2935" s="5" t="s">
        <v>309</v>
      </c>
      <c r="DD2935" s="5" t="s">
        <v>240</v>
      </c>
      <c r="DF2935" s="5" t="s">
        <v>309</v>
      </c>
      <c r="DG2935" s="7">
        <f>1352</f>
        <v>1352</v>
      </c>
      <c r="DI2935" s="5" t="s">
        <v>240</v>
      </c>
      <c r="DJ2935" s="5" t="s">
        <v>240</v>
      </c>
      <c r="DK2935" s="5" t="s">
        <v>240</v>
      </c>
      <c r="DL2935" s="5" t="s">
        <v>240</v>
      </c>
      <c r="DP2935" s="5" t="s">
        <v>240</v>
      </c>
      <c r="DQ2935" s="5" t="s">
        <v>240</v>
      </c>
      <c r="DR2935" s="5" t="s">
        <v>240</v>
      </c>
      <c r="DS2935" s="5" t="s">
        <v>240</v>
      </c>
      <c r="DV2935" s="5" t="s">
        <v>310</v>
      </c>
      <c r="DW2935" s="5" t="s">
        <v>3958</v>
      </c>
      <c r="HO2935" s="5" t="s">
        <v>312</v>
      </c>
    </row>
    <row r="2936" spans="1:240" x14ac:dyDescent="0.4">
      <c r="A2936" s="5">
        <v>4640</v>
      </c>
      <c r="B2936" s="5">
        <v>1</v>
      </c>
      <c r="C2936" s="5">
        <v>1</v>
      </c>
      <c r="D2936" s="5" t="s">
        <v>810</v>
      </c>
      <c r="E2936" s="5" t="s">
        <v>245</v>
      </c>
      <c r="F2936" s="5" t="s">
        <v>254</v>
      </c>
      <c r="G2936" s="5" t="s">
        <v>240</v>
      </c>
      <c r="H2936" s="6" t="s">
        <v>2671</v>
      </c>
      <c r="I2936" s="5" t="s">
        <v>809</v>
      </c>
      <c r="J2936" s="8">
        <f>442</f>
        <v>442</v>
      </c>
      <c r="K2936" s="5" t="s">
        <v>308</v>
      </c>
      <c r="L2936" s="7">
        <f>1</f>
        <v>1</v>
      </c>
      <c r="M2936" s="7">
        <f>1</f>
        <v>1</v>
      </c>
      <c r="N2936" s="5" t="s">
        <v>242</v>
      </c>
      <c r="O2936" s="5">
        <v>1</v>
      </c>
      <c r="P2936" s="5" t="s">
        <v>294</v>
      </c>
      <c r="Q2936" s="5" t="s">
        <v>266</v>
      </c>
      <c r="R2936" s="5" t="s">
        <v>240</v>
      </c>
      <c r="S2936" s="5" t="s">
        <v>240</v>
      </c>
      <c r="T2936" s="5" t="s">
        <v>296</v>
      </c>
      <c r="U2936" s="5" t="s">
        <v>244</v>
      </c>
      <c r="V2936" s="5" t="s">
        <v>240</v>
      </c>
      <c r="Y2936" s="5" t="s">
        <v>240</v>
      </c>
      <c r="Z2936" s="6" t="s">
        <v>298</v>
      </c>
      <c r="AB2936" s="6" t="s">
        <v>240</v>
      </c>
      <c r="AE2936" s="6" t="s">
        <v>299</v>
      </c>
      <c r="AF2936" s="5" t="s">
        <v>248</v>
      </c>
      <c r="AG2936" s="5" t="s">
        <v>249</v>
      </c>
      <c r="AW2936" s="5" t="s">
        <v>251</v>
      </c>
      <c r="AX2936" s="5" t="s">
        <v>240</v>
      </c>
      <c r="AY2936" s="5" t="s">
        <v>253</v>
      </c>
      <c r="AZ2936" s="5" t="s">
        <v>240</v>
      </c>
      <c r="BA2936" s="5" t="s">
        <v>255</v>
      </c>
      <c r="BB2936" s="5" t="s">
        <v>240</v>
      </c>
      <c r="BD2936" s="5" t="s">
        <v>240</v>
      </c>
      <c r="BF2936" s="5" t="s">
        <v>301</v>
      </c>
      <c r="BG2936" s="6" t="s">
        <v>299</v>
      </c>
      <c r="BH2936" s="5" t="s">
        <v>302</v>
      </c>
      <c r="BI2936" s="5" t="s">
        <v>303</v>
      </c>
      <c r="BJ2936" s="5" t="s">
        <v>240</v>
      </c>
      <c r="BK2936" s="8">
        <f>0</f>
        <v>0</v>
      </c>
      <c r="BL2936" s="7">
        <f>0</f>
        <v>0</v>
      </c>
      <c r="BM2936" s="5" t="s">
        <v>258</v>
      </c>
      <c r="BN2936" s="5" t="s">
        <v>259</v>
      </c>
      <c r="CB2936" s="5" t="s">
        <v>240</v>
      </c>
      <c r="CC2936" s="5" t="s">
        <v>240</v>
      </c>
      <c r="CG2936" s="5" t="s">
        <v>304</v>
      </c>
      <c r="CH2936" s="5" t="s">
        <v>305</v>
      </c>
      <c r="CI2936" s="5" t="s">
        <v>240</v>
      </c>
      <c r="CL2936" s="6" t="s">
        <v>261</v>
      </c>
      <c r="CM2936" s="5" t="s">
        <v>240</v>
      </c>
      <c r="CN2936" s="5" t="s">
        <v>263</v>
      </c>
      <c r="CO2936" s="5" t="s">
        <v>240</v>
      </c>
      <c r="CP2936" s="5" t="s">
        <v>240</v>
      </c>
      <c r="CQ2936" s="5">
        <v>0</v>
      </c>
      <c r="CR2936" s="5" t="s">
        <v>306</v>
      </c>
      <c r="CS2936" s="5" t="s">
        <v>307</v>
      </c>
      <c r="CT2936" s="5" t="s">
        <v>307</v>
      </c>
      <c r="CU2936" s="5" t="s">
        <v>260</v>
      </c>
      <c r="CX2936" s="7">
        <f>1</f>
        <v>1</v>
      </c>
      <c r="CY2936" s="7">
        <f>0</f>
        <v>0</v>
      </c>
      <c r="DA2936" s="7">
        <f>0</f>
        <v>0</v>
      </c>
      <c r="DC2936" s="5" t="s">
        <v>309</v>
      </c>
      <c r="DD2936" s="5" t="s">
        <v>240</v>
      </c>
      <c r="DF2936" s="5" t="s">
        <v>309</v>
      </c>
      <c r="DG2936" s="7">
        <f>36</f>
        <v>36</v>
      </c>
      <c r="DI2936" s="5" t="s">
        <v>240</v>
      </c>
      <c r="DJ2936" s="5" t="s">
        <v>240</v>
      </c>
      <c r="DK2936" s="5" t="s">
        <v>240</v>
      </c>
      <c r="DL2936" s="5" t="s">
        <v>240</v>
      </c>
      <c r="DP2936" s="5" t="s">
        <v>240</v>
      </c>
      <c r="DQ2936" s="5" t="s">
        <v>240</v>
      </c>
      <c r="DR2936" s="5" t="s">
        <v>240</v>
      </c>
      <c r="DS2936" s="5" t="s">
        <v>240</v>
      </c>
      <c r="DV2936" s="5" t="s">
        <v>310</v>
      </c>
      <c r="DW2936" s="5" t="s">
        <v>3961</v>
      </c>
      <c r="HO2936" s="5" t="s">
        <v>312</v>
      </c>
    </row>
    <row r="2937" spans="1:240" x14ac:dyDescent="0.4">
      <c r="A2937" s="5">
        <v>4641</v>
      </c>
      <c r="B2937" s="5">
        <v>1</v>
      </c>
      <c r="C2937" s="5">
        <v>1</v>
      </c>
      <c r="D2937" s="5" t="s">
        <v>810</v>
      </c>
      <c r="E2937" s="5" t="s">
        <v>245</v>
      </c>
      <c r="F2937" s="5" t="s">
        <v>254</v>
      </c>
      <c r="G2937" s="5" t="s">
        <v>240</v>
      </c>
      <c r="H2937" s="6" t="s">
        <v>2669</v>
      </c>
      <c r="I2937" s="5" t="s">
        <v>809</v>
      </c>
      <c r="J2937" s="8">
        <f>987</f>
        <v>987</v>
      </c>
      <c r="K2937" s="5" t="s">
        <v>308</v>
      </c>
      <c r="L2937" s="7">
        <f>1</f>
        <v>1</v>
      </c>
      <c r="M2937" s="7">
        <f>1</f>
        <v>1</v>
      </c>
      <c r="N2937" s="5" t="s">
        <v>242</v>
      </c>
      <c r="O2937" s="5">
        <v>1</v>
      </c>
      <c r="P2937" s="5" t="s">
        <v>294</v>
      </c>
      <c r="Q2937" s="5" t="s">
        <v>266</v>
      </c>
      <c r="R2937" s="5" t="s">
        <v>240</v>
      </c>
      <c r="S2937" s="5" t="s">
        <v>240</v>
      </c>
      <c r="T2937" s="5" t="s">
        <v>296</v>
      </c>
      <c r="U2937" s="5" t="s">
        <v>244</v>
      </c>
      <c r="V2937" s="5" t="s">
        <v>240</v>
      </c>
      <c r="Y2937" s="5" t="s">
        <v>240</v>
      </c>
      <c r="Z2937" s="6" t="s">
        <v>298</v>
      </c>
      <c r="AB2937" s="6" t="s">
        <v>240</v>
      </c>
      <c r="AE2937" s="6" t="s">
        <v>299</v>
      </c>
      <c r="AF2937" s="5" t="s">
        <v>248</v>
      </c>
      <c r="AG2937" s="5" t="s">
        <v>249</v>
      </c>
      <c r="AW2937" s="5" t="s">
        <v>251</v>
      </c>
      <c r="AX2937" s="5" t="s">
        <v>240</v>
      </c>
      <c r="AY2937" s="5" t="s">
        <v>253</v>
      </c>
      <c r="AZ2937" s="5" t="s">
        <v>240</v>
      </c>
      <c r="BA2937" s="5" t="s">
        <v>255</v>
      </c>
      <c r="BB2937" s="5" t="s">
        <v>240</v>
      </c>
      <c r="BD2937" s="5" t="s">
        <v>240</v>
      </c>
      <c r="BF2937" s="5" t="s">
        <v>301</v>
      </c>
      <c r="BG2937" s="6" t="s">
        <v>299</v>
      </c>
      <c r="BH2937" s="5" t="s">
        <v>302</v>
      </c>
      <c r="BI2937" s="5" t="s">
        <v>303</v>
      </c>
      <c r="BJ2937" s="5" t="s">
        <v>240</v>
      </c>
      <c r="BK2937" s="8">
        <f>0</f>
        <v>0</v>
      </c>
      <c r="BL2937" s="7">
        <f>0</f>
        <v>0</v>
      </c>
      <c r="BM2937" s="5" t="s">
        <v>258</v>
      </c>
      <c r="BN2937" s="5" t="s">
        <v>259</v>
      </c>
      <c r="CB2937" s="5" t="s">
        <v>240</v>
      </c>
      <c r="CC2937" s="5" t="s">
        <v>240</v>
      </c>
      <c r="CG2937" s="5" t="s">
        <v>304</v>
      </c>
      <c r="CH2937" s="5" t="s">
        <v>305</v>
      </c>
      <c r="CI2937" s="5" t="s">
        <v>240</v>
      </c>
      <c r="CL2937" s="6" t="s">
        <v>261</v>
      </c>
      <c r="CM2937" s="5" t="s">
        <v>240</v>
      </c>
      <c r="CN2937" s="5" t="s">
        <v>263</v>
      </c>
      <c r="CO2937" s="5" t="s">
        <v>240</v>
      </c>
      <c r="CP2937" s="5" t="s">
        <v>240</v>
      </c>
      <c r="CQ2937" s="5">
        <v>0</v>
      </c>
      <c r="CR2937" s="5" t="s">
        <v>306</v>
      </c>
      <c r="CS2937" s="5" t="s">
        <v>307</v>
      </c>
      <c r="CT2937" s="5" t="s">
        <v>307</v>
      </c>
      <c r="CU2937" s="5" t="s">
        <v>260</v>
      </c>
      <c r="CX2937" s="7">
        <f>1</f>
        <v>1</v>
      </c>
      <c r="CY2937" s="7">
        <f>0</f>
        <v>0</v>
      </c>
      <c r="DA2937" s="7">
        <f>0</f>
        <v>0</v>
      </c>
      <c r="DC2937" s="5" t="s">
        <v>309</v>
      </c>
      <c r="DD2937" s="5" t="s">
        <v>240</v>
      </c>
      <c r="DF2937" s="5" t="s">
        <v>309</v>
      </c>
      <c r="DG2937" s="7">
        <f>433</f>
        <v>433</v>
      </c>
      <c r="DI2937" s="5" t="s">
        <v>240</v>
      </c>
      <c r="DJ2937" s="5" t="s">
        <v>240</v>
      </c>
      <c r="DK2937" s="5" t="s">
        <v>240</v>
      </c>
      <c r="DL2937" s="5" t="s">
        <v>240</v>
      </c>
      <c r="DP2937" s="5" t="s">
        <v>240</v>
      </c>
      <c r="DQ2937" s="5" t="s">
        <v>240</v>
      </c>
      <c r="DR2937" s="5" t="s">
        <v>240</v>
      </c>
      <c r="DS2937" s="5" t="s">
        <v>240</v>
      </c>
      <c r="DV2937" s="5" t="s">
        <v>310</v>
      </c>
      <c r="DW2937" s="5" t="s">
        <v>3720</v>
      </c>
      <c r="HO2937" s="5" t="s">
        <v>312</v>
      </c>
    </row>
    <row r="2938" spans="1:240" x14ac:dyDescent="0.4">
      <c r="A2938" s="5">
        <v>4642</v>
      </c>
      <c r="B2938" s="5">
        <v>1</v>
      </c>
      <c r="C2938" s="5">
        <v>1</v>
      </c>
      <c r="D2938" s="5" t="s">
        <v>810</v>
      </c>
      <c r="E2938" s="5" t="s">
        <v>245</v>
      </c>
      <c r="F2938" s="5" t="s">
        <v>254</v>
      </c>
      <c r="G2938" s="5" t="s">
        <v>240</v>
      </c>
      <c r="H2938" s="6" t="s">
        <v>4755</v>
      </c>
      <c r="I2938" s="5" t="s">
        <v>809</v>
      </c>
      <c r="J2938" s="8">
        <f>536</f>
        <v>536</v>
      </c>
      <c r="K2938" s="5" t="s">
        <v>308</v>
      </c>
      <c r="L2938" s="7">
        <f>1</f>
        <v>1</v>
      </c>
      <c r="M2938" s="7">
        <f>1</f>
        <v>1</v>
      </c>
      <c r="N2938" s="5" t="s">
        <v>242</v>
      </c>
      <c r="O2938" s="5">
        <v>1</v>
      </c>
      <c r="P2938" s="5" t="s">
        <v>294</v>
      </c>
      <c r="Q2938" s="5" t="s">
        <v>266</v>
      </c>
      <c r="R2938" s="5" t="s">
        <v>240</v>
      </c>
      <c r="S2938" s="5" t="s">
        <v>240</v>
      </c>
      <c r="T2938" s="5" t="s">
        <v>296</v>
      </c>
      <c r="U2938" s="5" t="s">
        <v>244</v>
      </c>
      <c r="V2938" s="5" t="s">
        <v>240</v>
      </c>
      <c r="Y2938" s="5" t="s">
        <v>240</v>
      </c>
      <c r="Z2938" s="6" t="s">
        <v>298</v>
      </c>
      <c r="AB2938" s="6" t="s">
        <v>240</v>
      </c>
      <c r="AE2938" s="6" t="s">
        <v>299</v>
      </c>
      <c r="AF2938" s="5" t="s">
        <v>248</v>
      </c>
      <c r="AG2938" s="5" t="s">
        <v>249</v>
      </c>
      <c r="AW2938" s="5" t="s">
        <v>251</v>
      </c>
      <c r="AX2938" s="5" t="s">
        <v>240</v>
      </c>
      <c r="AY2938" s="5" t="s">
        <v>253</v>
      </c>
      <c r="AZ2938" s="5" t="s">
        <v>240</v>
      </c>
      <c r="BA2938" s="5" t="s">
        <v>255</v>
      </c>
      <c r="BB2938" s="5" t="s">
        <v>240</v>
      </c>
      <c r="BD2938" s="5" t="s">
        <v>240</v>
      </c>
      <c r="BF2938" s="5" t="s">
        <v>301</v>
      </c>
      <c r="BG2938" s="6" t="s">
        <v>299</v>
      </c>
      <c r="BH2938" s="5" t="s">
        <v>302</v>
      </c>
      <c r="BI2938" s="5" t="s">
        <v>303</v>
      </c>
      <c r="BJ2938" s="5" t="s">
        <v>240</v>
      </c>
      <c r="BK2938" s="8">
        <f>0</f>
        <v>0</v>
      </c>
      <c r="BL2938" s="7">
        <f>0</f>
        <v>0</v>
      </c>
      <c r="BM2938" s="5" t="s">
        <v>258</v>
      </c>
      <c r="BN2938" s="5" t="s">
        <v>259</v>
      </c>
      <c r="CB2938" s="5" t="s">
        <v>240</v>
      </c>
      <c r="CC2938" s="5" t="s">
        <v>240</v>
      </c>
      <c r="CG2938" s="5" t="s">
        <v>304</v>
      </c>
      <c r="CH2938" s="5" t="s">
        <v>305</v>
      </c>
      <c r="CI2938" s="5" t="s">
        <v>240</v>
      </c>
      <c r="CL2938" s="6" t="s">
        <v>261</v>
      </c>
      <c r="CM2938" s="5" t="s">
        <v>240</v>
      </c>
      <c r="CN2938" s="5" t="s">
        <v>263</v>
      </c>
      <c r="CO2938" s="5" t="s">
        <v>240</v>
      </c>
      <c r="CP2938" s="5" t="s">
        <v>240</v>
      </c>
      <c r="CQ2938" s="5">
        <v>0</v>
      </c>
      <c r="CR2938" s="5" t="s">
        <v>306</v>
      </c>
      <c r="CS2938" s="5" t="s">
        <v>307</v>
      </c>
      <c r="CT2938" s="5" t="s">
        <v>307</v>
      </c>
      <c r="CU2938" s="5" t="s">
        <v>260</v>
      </c>
      <c r="CX2938" s="7">
        <f>1</f>
        <v>1</v>
      </c>
      <c r="CY2938" s="7">
        <f>0</f>
        <v>0</v>
      </c>
      <c r="DA2938" s="7">
        <f>0</f>
        <v>0</v>
      </c>
      <c r="DC2938" s="5" t="s">
        <v>309</v>
      </c>
      <c r="DD2938" s="5" t="s">
        <v>240</v>
      </c>
      <c r="DF2938" s="5" t="s">
        <v>309</v>
      </c>
      <c r="DG2938" s="7">
        <f>1861</f>
        <v>1861</v>
      </c>
      <c r="DI2938" s="5" t="s">
        <v>240</v>
      </c>
      <c r="DJ2938" s="5" t="s">
        <v>240</v>
      </c>
      <c r="DK2938" s="5" t="s">
        <v>240</v>
      </c>
      <c r="DL2938" s="5" t="s">
        <v>240</v>
      </c>
      <c r="DP2938" s="5" t="s">
        <v>240</v>
      </c>
      <c r="DQ2938" s="5" t="s">
        <v>240</v>
      </c>
      <c r="DR2938" s="5" t="s">
        <v>240</v>
      </c>
      <c r="DS2938" s="5" t="s">
        <v>240</v>
      </c>
      <c r="DV2938" s="5" t="s">
        <v>310</v>
      </c>
      <c r="DW2938" s="5" t="s">
        <v>3718</v>
      </c>
      <c r="HO2938" s="5" t="s">
        <v>312</v>
      </c>
    </row>
    <row r="2939" spans="1:240" x14ac:dyDescent="0.4">
      <c r="A2939" s="5">
        <v>4643</v>
      </c>
      <c r="B2939" s="5">
        <v>1</v>
      </c>
      <c r="C2939" s="5">
        <v>1</v>
      </c>
      <c r="D2939" s="5" t="s">
        <v>810</v>
      </c>
      <c r="E2939" s="5" t="s">
        <v>245</v>
      </c>
      <c r="F2939" s="5" t="s">
        <v>254</v>
      </c>
      <c r="G2939" s="5" t="s">
        <v>240</v>
      </c>
      <c r="H2939" s="6" t="s">
        <v>2663</v>
      </c>
      <c r="I2939" s="5" t="s">
        <v>809</v>
      </c>
      <c r="J2939" s="8">
        <f>245</f>
        <v>245</v>
      </c>
      <c r="K2939" s="5" t="s">
        <v>308</v>
      </c>
      <c r="L2939" s="7">
        <f>1</f>
        <v>1</v>
      </c>
      <c r="M2939" s="7">
        <f>1</f>
        <v>1</v>
      </c>
      <c r="N2939" s="5" t="s">
        <v>242</v>
      </c>
      <c r="O2939" s="5">
        <v>1</v>
      </c>
      <c r="P2939" s="5" t="s">
        <v>294</v>
      </c>
      <c r="Q2939" s="5" t="s">
        <v>3678</v>
      </c>
      <c r="R2939" s="5" t="s">
        <v>240</v>
      </c>
      <c r="S2939" s="5" t="s">
        <v>240</v>
      </c>
      <c r="T2939" s="5" t="s">
        <v>243</v>
      </c>
      <c r="U2939" s="5" t="s">
        <v>244</v>
      </c>
      <c r="V2939" s="5" t="s">
        <v>240</v>
      </c>
      <c r="W2939" s="5" t="s">
        <v>240</v>
      </c>
      <c r="X2939" s="5" t="s">
        <v>240</v>
      </c>
      <c r="Y2939" s="5" t="s">
        <v>240</v>
      </c>
      <c r="Z2939" s="6" t="s">
        <v>298</v>
      </c>
      <c r="AA2939" s="6" t="s">
        <v>240</v>
      </c>
      <c r="AB2939" s="6" t="s">
        <v>240</v>
      </c>
      <c r="AC2939" s="5" t="s">
        <v>240</v>
      </c>
      <c r="AD2939" s="6" t="s">
        <v>240</v>
      </c>
      <c r="AE2939" s="6" t="s">
        <v>299</v>
      </c>
      <c r="AF2939" s="5" t="s">
        <v>248</v>
      </c>
      <c r="AG2939" s="5" t="s">
        <v>249</v>
      </c>
      <c r="AH2939" s="5" t="s">
        <v>240</v>
      </c>
      <c r="AI2939" s="5" t="s">
        <v>240</v>
      </c>
      <c r="AJ2939" s="5" t="s">
        <v>240</v>
      </c>
      <c r="AK2939" s="5" t="s">
        <v>240</v>
      </c>
      <c r="AL2939" s="5" t="s">
        <v>240</v>
      </c>
      <c r="AM2939" s="5" t="s">
        <v>240</v>
      </c>
      <c r="AN2939" s="5" t="s">
        <v>240</v>
      </c>
      <c r="AO2939" s="5" t="s">
        <v>240</v>
      </c>
      <c r="AP2939" s="6" t="s">
        <v>240</v>
      </c>
      <c r="AQ2939" s="6" t="s">
        <v>240</v>
      </c>
      <c r="AR2939" s="6" t="s">
        <v>240</v>
      </c>
      <c r="AS2939" s="6" t="s">
        <v>240</v>
      </c>
      <c r="AT2939" s="5" t="s">
        <v>240</v>
      </c>
      <c r="AU2939" s="5" t="s">
        <v>729</v>
      </c>
      <c r="AV2939" s="5" t="s">
        <v>729</v>
      </c>
      <c r="AW2939" s="5" t="s">
        <v>251</v>
      </c>
      <c r="AX2939" s="5" t="s">
        <v>252</v>
      </c>
      <c r="AY2939" s="5" t="s">
        <v>253</v>
      </c>
      <c r="AZ2939" s="5" t="s">
        <v>240</v>
      </c>
      <c r="BA2939" s="5" t="s">
        <v>255</v>
      </c>
      <c r="BB2939" s="5" t="s">
        <v>731</v>
      </c>
      <c r="BD2939" s="5" t="s">
        <v>240</v>
      </c>
      <c r="BF2939" s="5" t="s">
        <v>732</v>
      </c>
      <c r="BG2939" s="6" t="s">
        <v>733</v>
      </c>
      <c r="BH2939" s="5" t="s">
        <v>734</v>
      </c>
      <c r="BI2939" s="5" t="s">
        <v>734</v>
      </c>
      <c r="BJ2939" s="5" t="s">
        <v>240</v>
      </c>
      <c r="BK2939" s="7">
        <f>1</f>
        <v>1</v>
      </c>
      <c r="BL2939" s="7">
        <f>1</f>
        <v>1</v>
      </c>
      <c r="BM2939" s="5" t="s">
        <v>258</v>
      </c>
      <c r="BN2939" s="5" t="s">
        <v>259</v>
      </c>
      <c r="BO2939" s="5" t="s">
        <v>240</v>
      </c>
      <c r="BP2939" s="5" t="s">
        <v>240</v>
      </c>
      <c r="BQ2939" s="5" t="s">
        <v>240</v>
      </c>
      <c r="BR2939" s="5" t="s">
        <v>240</v>
      </c>
      <c r="BS2939" s="5" t="s">
        <v>240</v>
      </c>
      <c r="BT2939" s="5" t="s">
        <v>240</v>
      </c>
      <c r="BU2939" s="5" t="s">
        <v>240</v>
      </c>
      <c r="BV2939" s="5" t="s">
        <v>240</v>
      </c>
      <c r="BW2939" s="6" t="s">
        <v>240</v>
      </c>
      <c r="BX2939" s="5" t="s">
        <v>240</v>
      </c>
      <c r="BY2939" s="5" t="s">
        <v>240</v>
      </c>
      <c r="BZ2939" s="5" t="s">
        <v>240</v>
      </c>
      <c r="CA2939" s="5" t="s">
        <v>259</v>
      </c>
      <c r="CB2939" s="5" t="s">
        <v>240</v>
      </c>
      <c r="CC2939" s="5" t="s">
        <v>240</v>
      </c>
      <c r="CD2939" s="5" t="s">
        <v>240</v>
      </c>
      <c r="CE2939" s="5" t="s">
        <v>240</v>
      </c>
      <c r="CF2939" s="5" t="s">
        <v>240</v>
      </c>
      <c r="CG2939" s="5" t="s">
        <v>304</v>
      </c>
      <c r="CH2939" s="5" t="s">
        <v>305</v>
      </c>
      <c r="CI2939" s="5" t="s">
        <v>240</v>
      </c>
      <c r="CK2939" s="5" t="s">
        <v>3681</v>
      </c>
      <c r="CL2939" s="6" t="s">
        <v>261</v>
      </c>
      <c r="CM2939" s="5" t="s">
        <v>262</v>
      </c>
      <c r="CN2939" s="5" t="s">
        <v>263</v>
      </c>
      <c r="CO2939" s="5" t="s">
        <v>264</v>
      </c>
      <c r="CP2939" s="5" t="s">
        <v>240</v>
      </c>
      <c r="CQ2939" s="5">
        <v>0</v>
      </c>
      <c r="CR2939" s="5" t="s">
        <v>735</v>
      </c>
      <c r="CS2939" s="5" t="s">
        <v>307</v>
      </c>
      <c r="CT2939" s="5" t="s">
        <v>307</v>
      </c>
      <c r="CU2939" s="5" t="s">
        <v>260</v>
      </c>
      <c r="CV2939" s="5" t="s">
        <v>612</v>
      </c>
      <c r="CW2939" s="8">
        <f>1</f>
        <v>1</v>
      </c>
      <c r="CX2939" s="7">
        <f>1</f>
        <v>1</v>
      </c>
      <c r="CY2939" s="7">
        <f>0</f>
        <v>0</v>
      </c>
      <c r="DA2939" s="7">
        <f>1</f>
        <v>1</v>
      </c>
      <c r="DB2939" s="7" t="s">
        <v>240</v>
      </c>
      <c r="DC2939" s="5" t="s">
        <v>240</v>
      </c>
      <c r="DD2939" s="5" t="s">
        <v>240</v>
      </c>
      <c r="DE2939" s="5" t="s">
        <v>240</v>
      </c>
      <c r="DF2939" s="5" t="s">
        <v>240</v>
      </c>
      <c r="DG2939" s="7">
        <f>0</f>
        <v>0</v>
      </c>
      <c r="DI2939" s="5" t="s">
        <v>240</v>
      </c>
      <c r="DJ2939" s="5" t="s">
        <v>240</v>
      </c>
      <c r="DK2939" s="5" t="s">
        <v>240</v>
      </c>
      <c r="DL2939" s="5" t="s">
        <v>240</v>
      </c>
      <c r="DM2939" s="5" t="s">
        <v>240</v>
      </c>
      <c r="DN2939" s="5" t="s">
        <v>240</v>
      </c>
      <c r="DO2939" s="7" t="s">
        <v>240</v>
      </c>
      <c r="DP2939" s="5" t="s">
        <v>240</v>
      </c>
      <c r="DQ2939" s="5" t="s">
        <v>240</v>
      </c>
      <c r="DR2939" s="5" t="s">
        <v>731</v>
      </c>
      <c r="DS2939" s="5" t="s">
        <v>731</v>
      </c>
      <c r="DT2939" s="5" t="s">
        <v>240</v>
      </c>
      <c r="DU2939" s="5" t="s">
        <v>240</v>
      </c>
      <c r="DV2939" s="5" t="s">
        <v>3683</v>
      </c>
      <c r="DW2939" s="5" t="s">
        <v>508</v>
      </c>
      <c r="DX2939" s="5" t="s">
        <v>240</v>
      </c>
      <c r="DY2939" s="5" t="s">
        <v>240</v>
      </c>
      <c r="DZ2939" s="5" t="s">
        <v>240</v>
      </c>
      <c r="EA2939" s="5" t="s">
        <v>240</v>
      </c>
      <c r="EB2939" s="5" t="s">
        <v>240</v>
      </c>
      <c r="EC2939" s="5" t="s">
        <v>240</v>
      </c>
      <c r="ED2939" s="5" t="s">
        <v>240</v>
      </c>
      <c r="EE2939" s="5" t="s">
        <v>240</v>
      </c>
      <c r="EF2939" s="5" t="s">
        <v>240</v>
      </c>
      <c r="EG2939" s="5" t="s">
        <v>240</v>
      </c>
      <c r="EH2939" s="5" t="s">
        <v>240</v>
      </c>
      <c r="EI2939" s="5" t="s">
        <v>240</v>
      </c>
      <c r="EJ2939" s="5" t="s">
        <v>240</v>
      </c>
      <c r="EK2939" s="5" t="s">
        <v>240</v>
      </c>
      <c r="EL2939" s="5" t="s">
        <v>240</v>
      </c>
      <c r="EM2939" s="5" t="s">
        <v>240</v>
      </c>
      <c r="EN2939" s="5" t="s">
        <v>240</v>
      </c>
      <c r="EO2939" s="5" t="s">
        <v>240</v>
      </c>
      <c r="EP2939" s="5" t="s">
        <v>240</v>
      </c>
      <c r="EQ2939" s="5" t="s">
        <v>240</v>
      </c>
      <c r="ER2939" s="5" t="s">
        <v>240</v>
      </c>
      <c r="ES2939" s="5" t="s">
        <v>240</v>
      </c>
      <c r="ET2939" s="5" t="s">
        <v>240</v>
      </c>
      <c r="EU2939" s="5" t="s">
        <v>240</v>
      </c>
      <c r="EV2939" s="5" t="s">
        <v>240</v>
      </c>
      <c r="EW2939" s="5" t="s">
        <v>240</v>
      </c>
      <c r="EX2939" s="5" t="s">
        <v>240</v>
      </c>
      <c r="EY2939" s="5" t="s">
        <v>240</v>
      </c>
      <c r="EZ2939" s="5" t="s">
        <v>240</v>
      </c>
      <c r="FA2939" s="5" t="s">
        <v>240</v>
      </c>
      <c r="FB2939" s="5" t="s">
        <v>240</v>
      </c>
      <c r="FC2939" s="5" t="s">
        <v>240</v>
      </c>
      <c r="FD2939" s="5" t="s">
        <v>240</v>
      </c>
      <c r="FE2939" s="5" t="s">
        <v>240</v>
      </c>
      <c r="FF2939" s="5" t="s">
        <v>240</v>
      </c>
      <c r="FG2939" s="5" t="s">
        <v>240</v>
      </c>
      <c r="FH2939" s="5" t="s">
        <v>240</v>
      </c>
      <c r="FI2939" s="5" t="s">
        <v>240</v>
      </c>
      <c r="FJ2939" s="5" t="s">
        <v>240</v>
      </c>
      <c r="FK2939" s="5" t="s">
        <v>240</v>
      </c>
      <c r="FL2939" s="5" t="s">
        <v>240</v>
      </c>
      <c r="FM2939" s="5" t="s">
        <v>240</v>
      </c>
      <c r="FN2939" s="5" t="s">
        <v>240</v>
      </c>
      <c r="FO2939" s="5" t="s">
        <v>240</v>
      </c>
      <c r="FP2939" s="5" t="s">
        <v>240</v>
      </c>
      <c r="FQ2939" s="5" t="s">
        <v>240</v>
      </c>
      <c r="FR2939" s="5" t="s">
        <v>240</v>
      </c>
      <c r="FS2939" s="5" t="s">
        <v>240</v>
      </c>
      <c r="FT2939" s="5" t="s">
        <v>240</v>
      </c>
      <c r="FU2939" s="5" t="s">
        <v>240</v>
      </c>
      <c r="FV2939" s="5" t="s">
        <v>240</v>
      </c>
      <c r="FW2939" s="5" t="s">
        <v>240</v>
      </c>
      <c r="FX2939" s="5" t="s">
        <v>240</v>
      </c>
      <c r="FY2939" s="5" t="s">
        <v>240</v>
      </c>
      <c r="FZ2939" s="5" t="s">
        <v>240</v>
      </c>
      <c r="GA2939" s="5" t="s">
        <v>240</v>
      </c>
      <c r="GB2939" s="5" t="s">
        <v>240</v>
      </c>
      <c r="GC2939" s="5" t="s">
        <v>240</v>
      </c>
      <c r="GD2939" s="5" t="s">
        <v>240</v>
      </c>
      <c r="GE2939" s="5" t="s">
        <v>240</v>
      </c>
      <c r="GF2939" s="5" t="s">
        <v>240</v>
      </c>
      <c r="GG2939" s="5" t="s">
        <v>240</v>
      </c>
      <c r="GH2939" s="5" t="s">
        <v>240</v>
      </c>
      <c r="GI2939" s="5" t="s">
        <v>240</v>
      </c>
      <c r="GJ2939" s="5" t="s">
        <v>240</v>
      </c>
      <c r="GK2939" s="5" t="s">
        <v>240</v>
      </c>
      <c r="GL2939" s="5" t="s">
        <v>240</v>
      </c>
      <c r="GM2939" s="5" t="s">
        <v>240</v>
      </c>
      <c r="GN2939" s="5" t="s">
        <v>240</v>
      </c>
      <c r="GO2939" s="5" t="s">
        <v>240</v>
      </c>
      <c r="GP2939" s="5" t="s">
        <v>240</v>
      </c>
      <c r="GQ2939" s="5" t="s">
        <v>240</v>
      </c>
      <c r="GR2939" s="5" t="s">
        <v>240</v>
      </c>
      <c r="GS2939" s="5" t="s">
        <v>240</v>
      </c>
      <c r="GT2939" s="5" t="s">
        <v>240</v>
      </c>
      <c r="GU2939" s="5" t="s">
        <v>240</v>
      </c>
      <c r="GV2939" s="5" t="s">
        <v>240</v>
      </c>
      <c r="GW2939" s="5" t="s">
        <v>240</v>
      </c>
      <c r="GX2939" s="5" t="s">
        <v>240</v>
      </c>
      <c r="GY2939" s="5" t="s">
        <v>240</v>
      </c>
      <c r="GZ2939" s="5" t="s">
        <v>240</v>
      </c>
      <c r="HA2939" s="5" t="s">
        <v>240</v>
      </c>
      <c r="HB2939" s="5" t="s">
        <v>240</v>
      </c>
      <c r="HC2939" s="5" t="s">
        <v>240</v>
      </c>
      <c r="HD2939" s="5" t="s">
        <v>240</v>
      </c>
      <c r="HE2939" s="5" t="s">
        <v>240</v>
      </c>
      <c r="HF2939" s="5" t="s">
        <v>240</v>
      </c>
      <c r="HG2939" s="5" t="s">
        <v>240</v>
      </c>
      <c r="HH2939" s="5" t="s">
        <v>240</v>
      </c>
      <c r="HI2939" s="5" t="s">
        <v>240</v>
      </c>
      <c r="HJ2939" s="5" t="s">
        <v>240</v>
      </c>
      <c r="HK2939" s="5" t="s">
        <v>240</v>
      </c>
      <c r="HL2939" s="5" t="s">
        <v>240</v>
      </c>
      <c r="HM2939" s="5" t="s">
        <v>240</v>
      </c>
      <c r="HN2939" s="5" t="s">
        <v>240</v>
      </c>
      <c r="HO2939" s="5" t="s">
        <v>312</v>
      </c>
      <c r="HP2939" s="5" t="s">
        <v>240</v>
      </c>
      <c r="HQ2939" s="5" t="s">
        <v>240</v>
      </c>
      <c r="HR2939" s="5" t="s">
        <v>240</v>
      </c>
      <c r="HS2939" s="5" t="s">
        <v>240</v>
      </c>
      <c r="HT2939" s="5" t="s">
        <v>240</v>
      </c>
      <c r="HU2939" s="5" t="s">
        <v>240</v>
      </c>
      <c r="HV2939" s="5" t="s">
        <v>240</v>
      </c>
      <c r="HW2939" s="5" t="s">
        <v>240</v>
      </c>
      <c r="HX2939" s="5" t="s">
        <v>240</v>
      </c>
      <c r="HY2939" s="5" t="s">
        <v>240</v>
      </c>
      <c r="HZ2939" s="5" t="s">
        <v>240</v>
      </c>
      <c r="IA2939" s="5" t="s">
        <v>240</v>
      </c>
      <c r="IB2939" s="5" t="s">
        <v>240</v>
      </c>
      <c r="IC2939" s="5" t="s">
        <v>240</v>
      </c>
      <c r="ID2939" s="5" t="s">
        <v>240</v>
      </c>
      <c r="IE2939" s="5" t="s">
        <v>240</v>
      </c>
      <c r="IF2939" s="5" t="s">
        <v>240</v>
      </c>
    </row>
    <row r="2940" spans="1:240" x14ac:dyDescent="0.4">
      <c r="A2940" s="5">
        <v>4644</v>
      </c>
      <c r="B2940" s="5">
        <v>1</v>
      </c>
      <c r="C2940" s="5">
        <v>1</v>
      </c>
      <c r="D2940" s="5" t="s">
        <v>810</v>
      </c>
      <c r="E2940" s="5" t="s">
        <v>245</v>
      </c>
      <c r="F2940" s="5" t="s">
        <v>254</v>
      </c>
      <c r="G2940" s="5" t="s">
        <v>240</v>
      </c>
      <c r="H2940" s="6" t="s">
        <v>2661</v>
      </c>
      <c r="I2940" s="5" t="s">
        <v>809</v>
      </c>
      <c r="J2940" s="8">
        <f>319</f>
        <v>319</v>
      </c>
      <c r="K2940" s="5" t="s">
        <v>308</v>
      </c>
      <c r="L2940" s="7">
        <f>1</f>
        <v>1</v>
      </c>
      <c r="M2940" s="7">
        <f>1</f>
        <v>1</v>
      </c>
      <c r="N2940" s="5" t="s">
        <v>242</v>
      </c>
      <c r="O2940" s="5">
        <v>1</v>
      </c>
      <c r="P2940" s="5" t="s">
        <v>294</v>
      </c>
      <c r="Q2940" s="5" t="s">
        <v>266</v>
      </c>
      <c r="R2940" s="5" t="s">
        <v>240</v>
      </c>
      <c r="S2940" s="5" t="s">
        <v>240</v>
      </c>
      <c r="T2940" s="5" t="s">
        <v>296</v>
      </c>
      <c r="U2940" s="5" t="s">
        <v>244</v>
      </c>
      <c r="V2940" s="5" t="s">
        <v>240</v>
      </c>
      <c r="Y2940" s="5" t="s">
        <v>240</v>
      </c>
      <c r="Z2940" s="6" t="s">
        <v>298</v>
      </c>
      <c r="AB2940" s="6" t="s">
        <v>240</v>
      </c>
      <c r="AE2940" s="6" t="s">
        <v>299</v>
      </c>
      <c r="AF2940" s="5" t="s">
        <v>248</v>
      </c>
      <c r="AG2940" s="5" t="s">
        <v>249</v>
      </c>
      <c r="AW2940" s="5" t="s">
        <v>251</v>
      </c>
      <c r="AX2940" s="5" t="s">
        <v>240</v>
      </c>
      <c r="AY2940" s="5" t="s">
        <v>253</v>
      </c>
      <c r="AZ2940" s="5" t="s">
        <v>240</v>
      </c>
      <c r="BA2940" s="5" t="s">
        <v>255</v>
      </c>
      <c r="BB2940" s="5" t="s">
        <v>240</v>
      </c>
      <c r="BD2940" s="5" t="s">
        <v>240</v>
      </c>
      <c r="BF2940" s="5" t="s">
        <v>301</v>
      </c>
      <c r="BG2940" s="6" t="s">
        <v>299</v>
      </c>
      <c r="BH2940" s="5" t="s">
        <v>302</v>
      </c>
      <c r="BI2940" s="5" t="s">
        <v>303</v>
      </c>
      <c r="BJ2940" s="5" t="s">
        <v>240</v>
      </c>
      <c r="BK2940" s="8">
        <f>0</f>
        <v>0</v>
      </c>
      <c r="BL2940" s="7">
        <f>0</f>
        <v>0</v>
      </c>
      <c r="BM2940" s="5" t="s">
        <v>258</v>
      </c>
      <c r="BN2940" s="5" t="s">
        <v>259</v>
      </c>
      <c r="CB2940" s="5" t="s">
        <v>240</v>
      </c>
      <c r="CC2940" s="5" t="s">
        <v>240</v>
      </c>
      <c r="CG2940" s="5" t="s">
        <v>304</v>
      </c>
      <c r="CH2940" s="5" t="s">
        <v>305</v>
      </c>
      <c r="CI2940" s="5" t="s">
        <v>240</v>
      </c>
      <c r="CL2940" s="6" t="s">
        <v>261</v>
      </c>
      <c r="CM2940" s="5" t="s">
        <v>240</v>
      </c>
      <c r="CN2940" s="5" t="s">
        <v>263</v>
      </c>
      <c r="CO2940" s="5" t="s">
        <v>240</v>
      </c>
      <c r="CP2940" s="5" t="s">
        <v>240</v>
      </c>
      <c r="CQ2940" s="5">
        <v>0</v>
      </c>
      <c r="CR2940" s="5" t="s">
        <v>306</v>
      </c>
      <c r="CS2940" s="5" t="s">
        <v>307</v>
      </c>
      <c r="CT2940" s="5" t="s">
        <v>307</v>
      </c>
      <c r="CU2940" s="5" t="s">
        <v>260</v>
      </c>
      <c r="CX2940" s="7">
        <f>1</f>
        <v>1</v>
      </c>
      <c r="CY2940" s="7">
        <f>0</f>
        <v>0</v>
      </c>
      <c r="DA2940" s="7">
        <f>0</f>
        <v>0</v>
      </c>
      <c r="DC2940" s="5" t="s">
        <v>309</v>
      </c>
      <c r="DD2940" s="5" t="s">
        <v>240</v>
      </c>
      <c r="DF2940" s="5" t="s">
        <v>309</v>
      </c>
      <c r="DG2940" s="7">
        <f>1065</f>
        <v>1065</v>
      </c>
      <c r="DI2940" s="5" t="s">
        <v>240</v>
      </c>
      <c r="DJ2940" s="5" t="s">
        <v>240</v>
      </c>
      <c r="DK2940" s="5" t="s">
        <v>240</v>
      </c>
      <c r="DL2940" s="5" t="s">
        <v>240</v>
      </c>
      <c r="DP2940" s="5" t="s">
        <v>240</v>
      </c>
      <c r="DQ2940" s="5" t="s">
        <v>240</v>
      </c>
      <c r="DR2940" s="5" t="s">
        <v>240</v>
      </c>
      <c r="DS2940" s="5" t="s">
        <v>240</v>
      </c>
      <c r="DV2940" s="5" t="s">
        <v>310</v>
      </c>
      <c r="DW2940" s="5" t="s">
        <v>3967</v>
      </c>
      <c r="HO2940" s="5" t="s">
        <v>312</v>
      </c>
    </row>
    <row r="2941" spans="1:240" x14ac:dyDescent="0.4">
      <c r="A2941" s="5">
        <v>4645</v>
      </c>
      <c r="B2941" s="5">
        <v>1</v>
      </c>
      <c r="C2941" s="5">
        <v>1</v>
      </c>
      <c r="D2941" s="5" t="s">
        <v>810</v>
      </c>
      <c r="E2941" s="5" t="s">
        <v>245</v>
      </c>
      <c r="F2941" s="5" t="s">
        <v>254</v>
      </c>
      <c r="G2941" s="5" t="s">
        <v>240</v>
      </c>
      <c r="H2941" s="6" t="s">
        <v>2659</v>
      </c>
      <c r="I2941" s="5" t="s">
        <v>809</v>
      </c>
      <c r="J2941" s="8">
        <f>94</f>
        <v>94</v>
      </c>
      <c r="K2941" s="5" t="s">
        <v>308</v>
      </c>
      <c r="L2941" s="7">
        <f>1</f>
        <v>1</v>
      </c>
      <c r="M2941" s="7">
        <f>1</f>
        <v>1</v>
      </c>
      <c r="N2941" s="5" t="s">
        <v>242</v>
      </c>
      <c r="O2941" s="5">
        <v>1</v>
      </c>
      <c r="P2941" s="5" t="s">
        <v>294</v>
      </c>
      <c r="Q2941" s="5" t="s">
        <v>266</v>
      </c>
      <c r="R2941" s="5" t="s">
        <v>240</v>
      </c>
      <c r="S2941" s="5" t="s">
        <v>240</v>
      </c>
      <c r="T2941" s="5" t="s">
        <v>296</v>
      </c>
      <c r="U2941" s="5" t="s">
        <v>244</v>
      </c>
      <c r="V2941" s="5" t="s">
        <v>240</v>
      </c>
      <c r="Y2941" s="5" t="s">
        <v>240</v>
      </c>
      <c r="Z2941" s="6" t="s">
        <v>298</v>
      </c>
      <c r="AB2941" s="6" t="s">
        <v>240</v>
      </c>
      <c r="AE2941" s="6" t="s">
        <v>299</v>
      </c>
      <c r="AF2941" s="5" t="s">
        <v>248</v>
      </c>
      <c r="AG2941" s="5" t="s">
        <v>249</v>
      </c>
      <c r="AW2941" s="5" t="s">
        <v>251</v>
      </c>
      <c r="AX2941" s="5" t="s">
        <v>240</v>
      </c>
      <c r="AY2941" s="5" t="s">
        <v>253</v>
      </c>
      <c r="AZ2941" s="5" t="s">
        <v>240</v>
      </c>
      <c r="BA2941" s="5" t="s">
        <v>255</v>
      </c>
      <c r="BB2941" s="5" t="s">
        <v>240</v>
      </c>
      <c r="BD2941" s="5" t="s">
        <v>240</v>
      </c>
      <c r="BF2941" s="5" t="s">
        <v>301</v>
      </c>
      <c r="BG2941" s="6" t="s">
        <v>299</v>
      </c>
      <c r="BH2941" s="5" t="s">
        <v>302</v>
      </c>
      <c r="BI2941" s="5" t="s">
        <v>303</v>
      </c>
      <c r="BJ2941" s="5" t="s">
        <v>240</v>
      </c>
      <c r="BK2941" s="8">
        <f>0</f>
        <v>0</v>
      </c>
      <c r="BL2941" s="7">
        <f>0</f>
        <v>0</v>
      </c>
      <c r="BM2941" s="5" t="s">
        <v>258</v>
      </c>
      <c r="BN2941" s="5" t="s">
        <v>259</v>
      </c>
      <c r="CB2941" s="5" t="s">
        <v>240</v>
      </c>
      <c r="CC2941" s="5" t="s">
        <v>240</v>
      </c>
      <c r="CG2941" s="5" t="s">
        <v>304</v>
      </c>
      <c r="CH2941" s="5" t="s">
        <v>305</v>
      </c>
      <c r="CI2941" s="5" t="s">
        <v>240</v>
      </c>
      <c r="CL2941" s="6" t="s">
        <v>261</v>
      </c>
      <c r="CM2941" s="5" t="s">
        <v>240</v>
      </c>
      <c r="CN2941" s="5" t="s">
        <v>263</v>
      </c>
      <c r="CO2941" s="5" t="s">
        <v>240</v>
      </c>
      <c r="CP2941" s="5" t="s">
        <v>240</v>
      </c>
      <c r="CQ2941" s="5">
        <v>0</v>
      </c>
      <c r="CR2941" s="5" t="s">
        <v>306</v>
      </c>
      <c r="CS2941" s="5" t="s">
        <v>307</v>
      </c>
      <c r="CT2941" s="5" t="s">
        <v>307</v>
      </c>
      <c r="CU2941" s="5" t="s">
        <v>260</v>
      </c>
      <c r="CX2941" s="7">
        <f>1</f>
        <v>1</v>
      </c>
      <c r="CY2941" s="7">
        <f>0</f>
        <v>0</v>
      </c>
      <c r="DA2941" s="7">
        <f>0</f>
        <v>0</v>
      </c>
      <c r="DC2941" s="5" t="s">
        <v>309</v>
      </c>
      <c r="DD2941" s="5" t="s">
        <v>240</v>
      </c>
      <c r="DF2941" s="5" t="s">
        <v>309</v>
      </c>
      <c r="DG2941" s="7">
        <f>1569</f>
        <v>1569</v>
      </c>
      <c r="DI2941" s="5" t="s">
        <v>240</v>
      </c>
      <c r="DJ2941" s="5" t="s">
        <v>240</v>
      </c>
      <c r="DK2941" s="5" t="s">
        <v>240</v>
      </c>
      <c r="DL2941" s="5" t="s">
        <v>240</v>
      </c>
      <c r="DP2941" s="5" t="s">
        <v>240</v>
      </c>
      <c r="DQ2941" s="5" t="s">
        <v>240</v>
      </c>
      <c r="DR2941" s="5" t="s">
        <v>240</v>
      </c>
      <c r="DS2941" s="5" t="s">
        <v>240</v>
      </c>
      <c r="DV2941" s="5" t="s">
        <v>310</v>
      </c>
      <c r="DW2941" s="5" t="s">
        <v>3713</v>
      </c>
      <c r="HO2941" s="5" t="s">
        <v>312</v>
      </c>
    </row>
    <row r="2942" spans="1:240" x14ac:dyDescent="0.4">
      <c r="A2942" s="5">
        <v>4646</v>
      </c>
      <c r="B2942" s="5">
        <v>1</v>
      </c>
      <c r="C2942" s="5">
        <v>1</v>
      </c>
      <c r="D2942" s="5" t="s">
        <v>810</v>
      </c>
      <c r="E2942" s="5" t="s">
        <v>245</v>
      </c>
      <c r="F2942" s="5" t="s">
        <v>254</v>
      </c>
      <c r="G2942" s="5" t="s">
        <v>240</v>
      </c>
      <c r="H2942" s="6" t="s">
        <v>2657</v>
      </c>
      <c r="I2942" s="5" t="s">
        <v>809</v>
      </c>
      <c r="J2942" s="8">
        <f>918</f>
        <v>918</v>
      </c>
      <c r="K2942" s="5" t="s">
        <v>308</v>
      </c>
      <c r="L2942" s="7">
        <f>1</f>
        <v>1</v>
      </c>
      <c r="M2942" s="7">
        <f>1</f>
        <v>1</v>
      </c>
      <c r="N2942" s="5" t="s">
        <v>242</v>
      </c>
      <c r="O2942" s="5">
        <v>1</v>
      </c>
      <c r="P2942" s="5" t="s">
        <v>294</v>
      </c>
      <c r="Q2942" s="5" t="s">
        <v>266</v>
      </c>
      <c r="R2942" s="5" t="s">
        <v>240</v>
      </c>
      <c r="S2942" s="5" t="s">
        <v>240</v>
      </c>
      <c r="T2942" s="5" t="s">
        <v>296</v>
      </c>
      <c r="U2942" s="5" t="s">
        <v>244</v>
      </c>
      <c r="V2942" s="5" t="s">
        <v>240</v>
      </c>
      <c r="Y2942" s="5" t="s">
        <v>240</v>
      </c>
      <c r="Z2942" s="6" t="s">
        <v>298</v>
      </c>
      <c r="AB2942" s="6" t="s">
        <v>240</v>
      </c>
      <c r="AE2942" s="6" t="s">
        <v>299</v>
      </c>
      <c r="AF2942" s="5" t="s">
        <v>248</v>
      </c>
      <c r="AG2942" s="5" t="s">
        <v>249</v>
      </c>
      <c r="AW2942" s="5" t="s">
        <v>251</v>
      </c>
      <c r="AX2942" s="5" t="s">
        <v>240</v>
      </c>
      <c r="AY2942" s="5" t="s">
        <v>253</v>
      </c>
      <c r="AZ2942" s="5" t="s">
        <v>240</v>
      </c>
      <c r="BA2942" s="5" t="s">
        <v>255</v>
      </c>
      <c r="BB2942" s="5" t="s">
        <v>240</v>
      </c>
      <c r="BD2942" s="5" t="s">
        <v>240</v>
      </c>
      <c r="BF2942" s="5" t="s">
        <v>301</v>
      </c>
      <c r="BG2942" s="6" t="s">
        <v>299</v>
      </c>
      <c r="BH2942" s="5" t="s">
        <v>302</v>
      </c>
      <c r="BI2942" s="5" t="s">
        <v>303</v>
      </c>
      <c r="BJ2942" s="5" t="s">
        <v>240</v>
      </c>
      <c r="BK2942" s="8">
        <f>0</f>
        <v>0</v>
      </c>
      <c r="BL2942" s="7">
        <f>0</f>
        <v>0</v>
      </c>
      <c r="BM2942" s="5" t="s">
        <v>258</v>
      </c>
      <c r="BN2942" s="5" t="s">
        <v>259</v>
      </c>
      <c r="CB2942" s="5" t="s">
        <v>240</v>
      </c>
      <c r="CC2942" s="5" t="s">
        <v>240</v>
      </c>
      <c r="CG2942" s="5" t="s">
        <v>304</v>
      </c>
      <c r="CH2942" s="5" t="s">
        <v>305</v>
      </c>
      <c r="CI2942" s="5" t="s">
        <v>240</v>
      </c>
      <c r="CL2942" s="6" t="s">
        <v>261</v>
      </c>
      <c r="CM2942" s="5" t="s">
        <v>240</v>
      </c>
      <c r="CN2942" s="5" t="s">
        <v>263</v>
      </c>
      <c r="CO2942" s="5" t="s">
        <v>240</v>
      </c>
      <c r="CP2942" s="5" t="s">
        <v>240</v>
      </c>
      <c r="CQ2942" s="5">
        <v>0</v>
      </c>
      <c r="CR2942" s="5" t="s">
        <v>306</v>
      </c>
      <c r="CS2942" s="5" t="s">
        <v>307</v>
      </c>
      <c r="CT2942" s="5" t="s">
        <v>307</v>
      </c>
      <c r="CU2942" s="5" t="s">
        <v>260</v>
      </c>
      <c r="CX2942" s="7">
        <f>1</f>
        <v>1</v>
      </c>
      <c r="CY2942" s="7">
        <f>0</f>
        <v>0</v>
      </c>
      <c r="DA2942" s="7">
        <f>0</f>
        <v>0</v>
      </c>
      <c r="DC2942" s="5" t="s">
        <v>309</v>
      </c>
      <c r="DD2942" s="5" t="s">
        <v>240</v>
      </c>
      <c r="DF2942" s="5" t="s">
        <v>309</v>
      </c>
      <c r="DG2942" s="7">
        <f>787</f>
        <v>787</v>
      </c>
      <c r="DI2942" s="5" t="s">
        <v>240</v>
      </c>
      <c r="DJ2942" s="5" t="s">
        <v>240</v>
      </c>
      <c r="DK2942" s="5" t="s">
        <v>240</v>
      </c>
      <c r="DL2942" s="5" t="s">
        <v>240</v>
      </c>
      <c r="DP2942" s="5" t="s">
        <v>240</v>
      </c>
      <c r="DQ2942" s="5" t="s">
        <v>240</v>
      </c>
      <c r="DR2942" s="5" t="s">
        <v>240</v>
      </c>
      <c r="DS2942" s="5" t="s">
        <v>240</v>
      </c>
      <c r="DV2942" s="5" t="s">
        <v>310</v>
      </c>
      <c r="DW2942" s="5" t="s">
        <v>3711</v>
      </c>
      <c r="HO2942" s="5" t="s">
        <v>312</v>
      </c>
    </row>
    <row r="2943" spans="1:240" x14ac:dyDescent="0.4">
      <c r="A2943" s="5">
        <v>4647</v>
      </c>
      <c r="B2943" s="5">
        <v>1</v>
      </c>
      <c r="C2943" s="5">
        <v>1</v>
      </c>
      <c r="D2943" s="5" t="s">
        <v>810</v>
      </c>
      <c r="E2943" s="5" t="s">
        <v>245</v>
      </c>
      <c r="F2943" s="5" t="s">
        <v>254</v>
      </c>
      <c r="G2943" s="5" t="s">
        <v>240</v>
      </c>
      <c r="H2943" s="6" t="s">
        <v>2655</v>
      </c>
      <c r="I2943" s="5" t="s">
        <v>809</v>
      </c>
      <c r="J2943" s="8">
        <f>119</f>
        <v>119</v>
      </c>
      <c r="K2943" s="5" t="s">
        <v>308</v>
      </c>
      <c r="L2943" s="7">
        <f>1</f>
        <v>1</v>
      </c>
      <c r="M2943" s="7">
        <f>1</f>
        <v>1</v>
      </c>
      <c r="N2943" s="5" t="s">
        <v>242</v>
      </c>
      <c r="O2943" s="5">
        <v>1</v>
      </c>
      <c r="P2943" s="5" t="s">
        <v>294</v>
      </c>
      <c r="Q2943" s="5" t="s">
        <v>3678</v>
      </c>
      <c r="R2943" s="5" t="s">
        <v>240</v>
      </c>
      <c r="S2943" s="5" t="s">
        <v>240</v>
      </c>
      <c r="T2943" s="5" t="s">
        <v>243</v>
      </c>
      <c r="U2943" s="5" t="s">
        <v>244</v>
      </c>
      <c r="V2943" s="5" t="s">
        <v>240</v>
      </c>
      <c r="W2943" s="5" t="s">
        <v>240</v>
      </c>
      <c r="X2943" s="5" t="s">
        <v>240</v>
      </c>
      <c r="Y2943" s="5" t="s">
        <v>240</v>
      </c>
      <c r="Z2943" s="6" t="s">
        <v>298</v>
      </c>
      <c r="AA2943" s="6" t="s">
        <v>240</v>
      </c>
      <c r="AB2943" s="6" t="s">
        <v>240</v>
      </c>
      <c r="AC2943" s="5" t="s">
        <v>240</v>
      </c>
      <c r="AD2943" s="6" t="s">
        <v>240</v>
      </c>
      <c r="AE2943" s="6" t="s">
        <v>299</v>
      </c>
      <c r="AF2943" s="5" t="s">
        <v>248</v>
      </c>
      <c r="AG2943" s="5" t="s">
        <v>249</v>
      </c>
      <c r="AH2943" s="5" t="s">
        <v>240</v>
      </c>
      <c r="AI2943" s="5" t="s">
        <v>240</v>
      </c>
      <c r="AJ2943" s="5" t="s">
        <v>240</v>
      </c>
      <c r="AK2943" s="5" t="s">
        <v>240</v>
      </c>
      <c r="AL2943" s="5" t="s">
        <v>240</v>
      </c>
      <c r="AM2943" s="5" t="s">
        <v>240</v>
      </c>
      <c r="AN2943" s="5" t="s">
        <v>240</v>
      </c>
      <c r="AO2943" s="5" t="s">
        <v>240</v>
      </c>
      <c r="AP2943" s="6" t="s">
        <v>240</v>
      </c>
      <c r="AQ2943" s="6" t="s">
        <v>240</v>
      </c>
      <c r="AR2943" s="6" t="s">
        <v>240</v>
      </c>
      <c r="AS2943" s="6" t="s">
        <v>240</v>
      </c>
      <c r="AT2943" s="5" t="s">
        <v>240</v>
      </c>
      <c r="AU2943" s="5" t="s">
        <v>729</v>
      </c>
      <c r="AV2943" s="5" t="s">
        <v>729</v>
      </c>
      <c r="AW2943" s="5" t="s">
        <v>251</v>
      </c>
      <c r="AX2943" s="5" t="s">
        <v>252</v>
      </c>
      <c r="AY2943" s="5" t="s">
        <v>253</v>
      </c>
      <c r="AZ2943" s="5" t="s">
        <v>240</v>
      </c>
      <c r="BA2943" s="5" t="s">
        <v>255</v>
      </c>
      <c r="BB2943" s="5" t="s">
        <v>731</v>
      </c>
      <c r="BD2943" s="5" t="s">
        <v>240</v>
      </c>
      <c r="BF2943" s="5" t="s">
        <v>732</v>
      </c>
      <c r="BG2943" s="6" t="s">
        <v>733</v>
      </c>
      <c r="BH2943" s="5" t="s">
        <v>734</v>
      </c>
      <c r="BI2943" s="5" t="s">
        <v>734</v>
      </c>
      <c r="BJ2943" s="5" t="s">
        <v>240</v>
      </c>
      <c r="BK2943" s="7">
        <f>1</f>
        <v>1</v>
      </c>
      <c r="BL2943" s="7">
        <f>1</f>
        <v>1</v>
      </c>
      <c r="BM2943" s="5" t="s">
        <v>258</v>
      </c>
      <c r="BN2943" s="5" t="s">
        <v>259</v>
      </c>
      <c r="BO2943" s="5" t="s">
        <v>240</v>
      </c>
      <c r="BP2943" s="5" t="s">
        <v>240</v>
      </c>
      <c r="BQ2943" s="5" t="s">
        <v>240</v>
      </c>
      <c r="BR2943" s="5" t="s">
        <v>240</v>
      </c>
      <c r="BS2943" s="5" t="s">
        <v>240</v>
      </c>
      <c r="BT2943" s="5" t="s">
        <v>240</v>
      </c>
      <c r="BU2943" s="5" t="s">
        <v>240</v>
      </c>
      <c r="BV2943" s="5" t="s">
        <v>240</v>
      </c>
      <c r="BW2943" s="6" t="s">
        <v>240</v>
      </c>
      <c r="BX2943" s="5" t="s">
        <v>240</v>
      </c>
      <c r="BY2943" s="5" t="s">
        <v>240</v>
      </c>
      <c r="BZ2943" s="5" t="s">
        <v>240</v>
      </c>
      <c r="CA2943" s="5" t="s">
        <v>259</v>
      </c>
      <c r="CB2943" s="5" t="s">
        <v>240</v>
      </c>
      <c r="CC2943" s="5" t="s">
        <v>240</v>
      </c>
      <c r="CD2943" s="5" t="s">
        <v>240</v>
      </c>
      <c r="CE2943" s="5" t="s">
        <v>240</v>
      </c>
      <c r="CF2943" s="5" t="s">
        <v>240</v>
      </c>
      <c r="CG2943" s="5" t="s">
        <v>304</v>
      </c>
      <c r="CH2943" s="5" t="s">
        <v>305</v>
      </c>
      <c r="CI2943" s="5" t="s">
        <v>240</v>
      </c>
      <c r="CK2943" s="5" t="s">
        <v>3681</v>
      </c>
      <c r="CL2943" s="6" t="s">
        <v>261</v>
      </c>
      <c r="CM2943" s="5" t="s">
        <v>262</v>
      </c>
      <c r="CN2943" s="5" t="s">
        <v>263</v>
      </c>
      <c r="CO2943" s="5" t="s">
        <v>264</v>
      </c>
      <c r="CP2943" s="5" t="s">
        <v>240</v>
      </c>
      <c r="CQ2943" s="5">
        <v>0</v>
      </c>
      <c r="CR2943" s="5" t="s">
        <v>735</v>
      </c>
      <c r="CS2943" s="5" t="s">
        <v>307</v>
      </c>
      <c r="CT2943" s="5" t="s">
        <v>307</v>
      </c>
      <c r="CU2943" s="5" t="s">
        <v>260</v>
      </c>
      <c r="CV2943" s="5" t="s">
        <v>612</v>
      </c>
      <c r="CW2943" s="8">
        <f>1</f>
        <v>1</v>
      </c>
      <c r="CX2943" s="7">
        <f>1</f>
        <v>1</v>
      </c>
      <c r="CY2943" s="7">
        <f>0</f>
        <v>0</v>
      </c>
      <c r="DA2943" s="7">
        <f>1</f>
        <v>1</v>
      </c>
      <c r="DB2943" s="7" t="s">
        <v>240</v>
      </c>
      <c r="DC2943" s="5" t="s">
        <v>240</v>
      </c>
      <c r="DD2943" s="5" t="s">
        <v>240</v>
      </c>
      <c r="DE2943" s="5" t="s">
        <v>240</v>
      </c>
      <c r="DF2943" s="5" t="s">
        <v>240</v>
      </c>
      <c r="DG2943" s="7">
        <f>0</f>
        <v>0</v>
      </c>
      <c r="DI2943" s="5" t="s">
        <v>240</v>
      </c>
      <c r="DJ2943" s="5" t="s">
        <v>240</v>
      </c>
      <c r="DK2943" s="5" t="s">
        <v>240</v>
      </c>
      <c r="DL2943" s="5" t="s">
        <v>240</v>
      </c>
      <c r="DM2943" s="5" t="s">
        <v>240</v>
      </c>
      <c r="DN2943" s="5" t="s">
        <v>240</v>
      </c>
      <c r="DO2943" s="7" t="s">
        <v>240</v>
      </c>
      <c r="DP2943" s="5" t="s">
        <v>240</v>
      </c>
      <c r="DQ2943" s="5" t="s">
        <v>240</v>
      </c>
      <c r="DR2943" s="5" t="s">
        <v>731</v>
      </c>
      <c r="DS2943" s="5" t="s">
        <v>731</v>
      </c>
      <c r="DT2943" s="5" t="s">
        <v>240</v>
      </c>
      <c r="DU2943" s="5" t="s">
        <v>240</v>
      </c>
      <c r="DV2943" s="5" t="s">
        <v>3683</v>
      </c>
      <c r="DW2943" s="5" t="s">
        <v>516</v>
      </c>
      <c r="DX2943" s="5" t="s">
        <v>240</v>
      </c>
      <c r="DY2943" s="5" t="s">
        <v>240</v>
      </c>
      <c r="DZ2943" s="5" t="s">
        <v>240</v>
      </c>
      <c r="EA2943" s="5" t="s">
        <v>240</v>
      </c>
      <c r="EB2943" s="5" t="s">
        <v>240</v>
      </c>
      <c r="EC2943" s="5" t="s">
        <v>240</v>
      </c>
      <c r="ED2943" s="5" t="s">
        <v>240</v>
      </c>
      <c r="EE2943" s="5" t="s">
        <v>240</v>
      </c>
      <c r="EF2943" s="5" t="s">
        <v>240</v>
      </c>
      <c r="EG2943" s="5" t="s">
        <v>240</v>
      </c>
      <c r="EH2943" s="5" t="s">
        <v>240</v>
      </c>
      <c r="EI2943" s="5" t="s">
        <v>240</v>
      </c>
      <c r="EJ2943" s="5" t="s">
        <v>240</v>
      </c>
      <c r="EK2943" s="5" t="s">
        <v>240</v>
      </c>
      <c r="EL2943" s="5" t="s">
        <v>240</v>
      </c>
      <c r="EM2943" s="5" t="s">
        <v>240</v>
      </c>
      <c r="EN2943" s="5" t="s">
        <v>240</v>
      </c>
      <c r="EO2943" s="5" t="s">
        <v>240</v>
      </c>
      <c r="EP2943" s="5" t="s">
        <v>240</v>
      </c>
      <c r="EQ2943" s="5" t="s">
        <v>240</v>
      </c>
      <c r="ER2943" s="5" t="s">
        <v>240</v>
      </c>
      <c r="ES2943" s="5" t="s">
        <v>240</v>
      </c>
      <c r="ET2943" s="5" t="s">
        <v>240</v>
      </c>
      <c r="EU2943" s="5" t="s">
        <v>240</v>
      </c>
      <c r="EV2943" s="5" t="s">
        <v>240</v>
      </c>
      <c r="EW2943" s="5" t="s">
        <v>240</v>
      </c>
      <c r="EX2943" s="5" t="s">
        <v>240</v>
      </c>
      <c r="EY2943" s="5" t="s">
        <v>240</v>
      </c>
      <c r="EZ2943" s="5" t="s">
        <v>240</v>
      </c>
      <c r="FA2943" s="5" t="s">
        <v>240</v>
      </c>
      <c r="FB2943" s="5" t="s">
        <v>240</v>
      </c>
      <c r="FC2943" s="5" t="s">
        <v>240</v>
      </c>
      <c r="FD2943" s="5" t="s">
        <v>240</v>
      </c>
      <c r="FE2943" s="5" t="s">
        <v>240</v>
      </c>
      <c r="FF2943" s="5" t="s">
        <v>240</v>
      </c>
      <c r="FG2943" s="5" t="s">
        <v>240</v>
      </c>
      <c r="FH2943" s="5" t="s">
        <v>240</v>
      </c>
      <c r="FI2943" s="5" t="s">
        <v>240</v>
      </c>
      <c r="FJ2943" s="5" t="s">
        <v>240</v>
      </c>
      <c r="FK2943" s="5" t="s">
        <v>240</v>
      </c>
      <c r="FL2943" s="5" t="s">
        <v>240</v>
      </c>
      <c r="FM2943" s="5" t="s">
        <v>240</v>
      </c>
      <c r="FN2943" s="5" t="s">
        <v>240</v>
      </c>
      <c r="FO2943" s="5" t="s">
        <v>240</v>
      </c>
      <c r="FP2943" s="5" t="s">
        <v>240</v>
      </c>
      <c r="FQ2943" s="5" t="s">
        <v>240</v>
      </c>
      <c r="FR2943" s="5" t="s">
        <v>240</v>
      </c>
      <c r="FS2943" s="5" t="s">
        <v>240</v>
      </c>
      <c r="FT2943" s="5" t="s">
        <v>240</v>
      </c>
      <c r="FU2943" s="5" t="s">
        <v>240</v>
      </c>
      <c r="FV2943" s="5" t="s">
        <v>240</v>
      </c>
      <c r="FW2943" s="5" t="s">
        <v>240</v>
      </c>
      <c r="FX2943" s="5" t="s">
        <v>240</v>
      </c>
      <c r="FY2943" s="5" t="s">
        <v>240</v>
      </c>
      <c r="FZ2943" s="5" t="s">
        <v>240</v>
      </c>
      <c r="GA2943" s="5" t="s">
        <v>240</v>
      </c>
      <c r="GB2943" s="5" t="s">
        <v>240</v>
      </c>
      <c r="GC2943" s="5" t="s">
        <v>240</v>
      </c>
      <c r="GD2943" s="5" t="s">
        <v>240</v>
      </c>
      <c r="GE2943" s="5" t="s">
        <v>240</v>
      </c>
      <c r="GF2943" s="5" t="s">
        <v>240</v>
      </c>
      <c r="GG2943" s="5" t="s">
        <v>240</v>
      </c>
      <c r="GH2943" s="5" t="s">
        <v>240</v>
      </c>
      <c r="GI2943" s="5" t="s">
        <v>240</v>
      </c>
      <c r="GJ2943" s="5" t="s">
        <v>240</v>
      </c>
      <c r="GK2943" s="5" t="s">
        <v>240</v>
      </c>
      <c r="GL2943" s="5" t="s">
        <v>240</v>
      </c>
      <c r="GM2943" s="5" t="s">
        <v>240</v>
      </c>
      <c r="GN2943" s="5" t="s">
        <v>240</v>
      </c>
      <c r="GO2943" s="5" t="s">
        <v>240</v>
      </c>
      <c r="GP2943" s="5" t="s">
        <v>240</v>
      </c>
      <c r="GQ2943" s="5" t="s">
        <v>240</v>
      </c>
      <c r="GR2943" s="5" t="s">
        <v>240</v>
      </c>
      <c r="GS2943" s="5" t="s">
        <v>240</v>
      </c>
      <c r="GT2943" s="5" t="s">
        <v>240</v>
      </c>
      <c r="GU2943" s="5" t="s">
        <v>240</v>
      </c>
      <c r="GV2943" s="5" t="s">
        <v>240</v>
      </c>
      <c r="GW2943" s="5" t="s">
        <v>240</v>
      </c>
      <c r="GX2943" s="5" t="s">
        <v>240</v>
      </c>
      <c r="GY2943" s="5" t="s">
        <v>240</v>
      </c>
      <c r="GZ2943" s="5" t="s">
        <v>240</v>
      </c>
      <c r="HA2943" s="5" t="s">
        <v>240</v>
      </c>
      <c r="HB2943" s="5" t="s">
        <v>240</v>
      </c>
      <c r="HC2943" s="5" t="s">
        <v>240</v>
      </c>
      <c r="HD2943" s="5" t="s">
        <v>240</v>
      </c>
      <c r="HE2943" s="5" t="s">
        <v>240</v>
      </c>
      <c r="HF2943" s="5" t="s">
        <v>240</v>
      </c>
      <c r="HG2943" s="5" t="s">
        <v>240</v>
      </c>
      <c r="HH2943" s="5" t="s">
        <v>240</v>
      </c>
      <c r="HI2943" s="5" t="s">
        <v>240</v>
      </c>
      <c r="HJ2943" s="5" t="s">
        <v>240</v>
      </c>
      <c r="HK2943" s="5" t="s">
        <v>240</v>
      </c>
      <c r="HL2943" s="5" t="s">
        <v>240</v>
      </c>
      <c r="HM2943" s="5" t="s">
        <v>240</v>
      </c>
      <c r="HN2943" s="5" t="s">
        <v>240</v>
      </c>
      <c r="HO2943" s="5" t="s">
        <v>312</v>
      </c>
      <c r="HP2943" s="5" t="s">
        <v>240</v>
      </c>
      <c r="HQ2943" s="5" t="s">
        <v>240</v>
      </c>
      <c r="HR2943" s="5" t="s">
        <v>240</v>
      </c>
      <c r="HS2943" s="5" t="s">
        <v>240</v>
      </c>
      <c r="HT2943" s="5" t="s">
        <v>240</v>
      </c>
      <c r="HU2943" s="5" t="s">
        <v>240</v>
      </c>
      <c r="HV2943" s="5" t="s">
        <v>240</v>
      </c>
      <c r="HW2943" s="5" t="s">
        <v>240</v>
      </c>
      <c r="HX2943" s="5" t="s">
        <v>240</v>
      </c>
      <c r="HY2943" s="5" t="s">
        <v>240</v>
      </c>
      <c r="HZ2943" s="5" t="s">
        <v>240</v>
      </c>
      <c r="IA2943" s="5" t="s">
        <v>240</v>
      </c>
      <c r="IB2943" s="5" t="s">
        <v>240</v>
      </c>
      <c r="IC2943" s="5" t="s">
        <v>240</v>
      </c>
      <c r="ID2943" s="5" t="s">
        <v>240</v>
      </c>
      <c r="IE2943" s="5" t="s">
        <v>240</v>
      </c>
      <c r="IF2943" s="5" t="s">
        <v>240</v>
      </c>
    </row>
    <row r="2944" spans="1:240" x14ac:dyDescent="0.4">
      <c r="A2944" s="5">
        <v>4648</v>
      </c>
      <c r="B2944" s="5">
        <v>1</v>
      </c>
      <c r="C2944" s="5">
        <v>1</v>
      </c>
      <c r="D2944" s="5" t="s">
        <v>810</v>
      </c>
      <c r="E2944" s="5" t="s">
        <v>245</v>
      </c>
      <c r="F2944" s="5" t="s">
        <v>254</v>
      </c>
      <c r="G2944" s="5" t="s">
        <v>240</v>
      </c>
      <c r="H2944" s="6" t="s">
        <v>2653</v>
      </c>
      <c r="I2944" s="5" t="s">
        <v>809</v>
      </c>
      <c r="J2944" s="8">
        <f>1666</f>
        <v>1666</v>
      </c>
      <c r="K2944" s="5" t="s">
        <v>308</v>
      </c>
      <c r="L2944" s="7">
        <f>1</f>
        <v>1</v>
      </c>
      <c r="M2944" s="7">
        <f>1</f>
        <v>1</v>
      </c>
      <c r="N2944" s="5" t="s">
        <v>242</v>
      </c>
      <c r="O2944" s="5">
        <v>1</v>
      </c>
      <c r="P2944" s="5" t="s">
        <v>294</v>
      </c>
      <c r="Q2944" s="5" t="s">
        <v>266</v>
      </c>
      <c r="R2944" s="5" t="s">
        <v>240</v>
      </c>
      <c r="S2944" s="5" t="s">
        <v>240</v>
      </c>
      <c r="T2944" s="5" t="s">
        <v>296</v>
      </c>
      <c r="U2944" s="5" t="s">
        <v>244</v>
      </c>
      <c r="V2944" s="5" t="s">
        <v>240</v>
      </c>
      <c r="Y2944" s="5" t="s">
        <v>240</v>
      </c>
      <c r="Z2944" s="6" t="s">
        <v>298</v>
      </c>
      <c r="AB2944" s="6" t="s">
        <v>240</v>
      </c>
      <c r="AE2944" s="6" t="s">
        <v>299</v>
      </c>
      <c r="AF2944" s="5" t="s">
        <v>248</v>
      </c>
      <c r="AG2944" s="5" t="s">
        <v>249</v>
      </c>
      <c r="AW2944" s="5" t="s">
        <v>251</v>
      </c>
      <c r="AX2944" s="5" t="s">
        <v>240</v>
      </c>
      <c r="AY2944" s="5" t="s">
        <v>253</v>
      </c>
      <c r="AZ2944" s="5" t="s">
        <v>240</v>
      </c>
      <c r="BA2944" s="5" t="s">
        <v>255</v>
      </c>
      <c r="BB2944" s="5" t="s">
        <v>240</v>
      </c>
      <c r="BD2944" s="5" t="s">
        <v>240</v>
      </c>
      <c r="BF2944" s="5" t="s">
        <v>301</v>
      </c>
      <c r="BG2944" s="6" t="s">
        <v>299</v>
      </c>
      <c r="BH2944" s="5" t="s">
        <v>302</v>
      </c>
      <c r="BI2944" s="5" t="s">
        <v>303</v>
      </c>
      <c r="BJ2944" s="5" t="s">
        <v>240</v>
      </c>
      <c r="BK2944" s="8">
        <f>0</f>
        <v>0</v>
      </c>
      <c r="BL2944" s="7">
        <f>0</f>
        <v>0</v>
      </c>
      <c r="BM2944" s="5" t="s">
        <v>258</v>
      </c>
      <c r="BN2944" s="5" t="s">
        <v>259</v>
      </c>
      <c r="CB2944" s="5" t="s">
        <v>240</v>
      </c>
      <c r="CC2944" s="5" t="s">
        <v>240</v>
      </c>
      <c r="CG2944" s="5" t="s">
        <v>304</v>
      </c>
      <c r="CH2944" s="5" t="s">
        <v>305</v>
      </c>
      <c r="CI2944" s="5" t="s">
        <v>240</v>
      </c>
      <c r="CL2944" s="6" t="s">
        <v>261</v>
      </c>
      <c r="CM2944" s="5" t="s">
        <v>240</v>
      </c>
      <c r="CN2944" s="5" t="s">
        <v>263</v>
      </c>
      <c r="CO2944" s="5" t="s">
        <v>240</v>
      </c>
      <c r="CP2944" s="5" t="s">
        <v>240</v>
      </c>
      <c r="CQ2944" s="5">
        <v>0</v>
      </c>
      <c r="CR2944" s="5" t="s">
        <v>306</v>
      </c>
      <c r="CS2944" s="5" t="s">
        <v>307</v>
      </c>
      <c r="CT2944" s="5" t="s">
        <v>307</v>
      </c>
      <c r="CU2944" s="5" t="s">
        <v>260</v>
      </c>
      <c r="CX2944" s="7">
        <f>1</f>
        <v>1</v>
      </c>
      <c r="CY2944" s="7">
        <f>0</f>
        <v>0</v>
      </c>
      <c r="DA2944" s="7">
        <f>0</f>
        <v>0</v>
      </c>
      <c r="DC2944" s="5" t="s">
        <v>309</v>
      </c>
      <c r="DD2944" s="5" t="s">
        <v>240</v>
      </c>
      <c r="DF2944" s="5" t="s">
        <v>309</v>
      </c>
      <c r="DG2944" s="7">
        <f>501</f>
        <v>501</v>
      </c>
      <c r="DI2944" s="5" t="s">
        <v>240</v>
      </c>
      <c r="DJ2944" s="5" t="s">
        <v>240</v>
      </c>
      <c r="DK2944" s="5" t="s">
        <v>240</v>
      </c>
      <c r="DL2944" s="5" t="s">
        <v>240</v>
      </c>
      <c r="DP2944" s="5" t="s">
        <v>240</v>
      </c>
      <c r="DQ2944" s="5" t="s">
        <v>240</v>
      </c>
      <c r="DR2944" s="5" t="s">
        <v>240</v>
      </c>
      <c r="DS2944" s="5" t="s">
        <v>240</v>
      </c>
      <c r="DV2944" s="5" t="s">
        <v>310</v>
      </c>
      <c r="DW2944" s="5" t="s">
        <v>3971</v>
      </c>
      <c r="HO2944" s="5" t="s">
        <v>312</v>
      </c>
    </row>
    <row r="2945" spans="1:240" x14ac:dyDescent="0.4">
      <c r="A2945" s="5">
        <v>4649</v>
      </c>
      <c r="B2945" s="5">
        <v>1</v>
      </c>
      <c r="C2945" s="5">
        <v>1</v>
      </c>
      <c r="D2945" s="5" t="s">
        <v>810</v>
      </c>
      <c r="E2945" s="5" t="s">
        <v>245</v>
      </c>
      <c r="F2945" s="5" t="s">
        <v>254</v>
      </c>
      <c r="G2945" s="5" t="s">
        <v>240</v>
      </c>
      <c r="H2945" s="6" t="s">
        <v>2651</v>
      </c>
      <c r="I2945" s="5" t="s">
        <v>809</v>
      </c>
      <c r="J2945" s="8">
        <f>257</f>
        <v>257</v>
      </c>
      <c r="K2945" s="5" t="s">
        <v>308</v>
      </c>
      <c r="L2945" s="7">
        <f>1</f>
        <v>1</v>
      </c>
      <c r="M2945" s="7">
        <f>1</f>
        <v>1</v>
      </c>
      <c r="N2945" s="5" t="s">
        <v>242</v>
      </c>
      <c r="O2945" s="5">
        <v>1</v>
      </c>
      <c r="P2945" s="5" t="s">
        <v>294</v>
      </c>
      <c r="Q2945" s="5" t="s">
        <v>3678</v>
      </c>
      <c r="R2945" s="5" t="s">
        <v>240</v>
      </c>
      <c r="S2945" s="5" t="s">
        <v>240</v>
      </c>
      <c r="T2945" s="5" t="s">
        <v>243</v>
      </c>
      <c r="U2945" s="5" t="s">
        <v>244</v>
      </c>
      <c r="V2945" s="5" t="s">
        <v>240</v>
      </c>
      <c r="W2945" s="5" t="s">
        <v>240</v>
      </c>
      <c r="X2945" s="5" t="s">
        <v>240</v>
      </c>
      <c r="Y2945" s="5" t="s">
        <v>240</v>
      </c>
      <c r="Z2945" s="6" t="s">
        <v>298</v>
      </c>
      <c r="AA2945" s="6" t="s">
        <v>240</v>
      </c>
      <c r="AB2945" s="6" t="s">
        <v>240</v>
      </c>
      <c r="AC2945" s="5" t="s">
        <v>240</v>
      </c>
      <c r="AD2945" s="6" t="s">
        <v>240</v>
      </c>
      <c r="AE2945" s="6" t="s">
        <v>299</v>
      </c>
      <c r="AF2945" s="5" t="s">
        <v>248</v>
      </c>
      <c r="AG2945" s="5" t="s">
        <v>249</v>
      </c>
      <c r="AH2945" s="5" t="s">
        <v>240</v>
      </c>
      <c r="AI2945" s="5" t="s">
        <v>240</v>
      </c>
      <c r="AJ2945" s="5" t="s">
        <v>240</v>
      </c>
      <c r="AK2945" s="5" t="s">
        <v>240</v>
      </c>
      <c r="AL2945" s="5" t="s">
        <v>240</v>
      </c>
      <c r="AM2945" s="5" t="s">
        <v>240</v>
      </c>
      <c r="AN2945" s="5" t="s">
        <v>240</v>
      </c>
      <c r="AO2945" s="5" t="s">
        <v>240</v>
      </c>
      <c r="AP2945" s="6" t="s">
        <v>240</v>
      </c>
      <c r="AQ2945" s="6" t="s">
        <v>240</v>
      </c>
      <c r="AR2945" s="6" t="s">
        <v>240</v>
      </c>
      <c r="AS2945" s="6" t="s">
        <v>240</v>
      </c>
      <c r="AT2945" s="5" t="s">
        <v>240</v>
      </c>
      <c r="AU2945" s="5" t="s">
        <v>729</v>
      </c>
      <c r="AV2945" s="5" t="s">
        <v>729</v>
      </c>
      <c r="AW2945" s="5" t="s">
        <v>251</v>
      </c>
      <c r="AX2945" s="5" t="s">
        <v>252</v>
      </c>
      <c r="AY2945" s="5" t="s">
        <v>253</v>
      </c>
      <c r="AZ2945" s="5" t="s">
        <v>240</v>
      </c>
      <c r="BA2945" s="5" t="s">
        <v>255</v>
      </c>
      <c r="BB2945" s="5" t="s">
        <v>731</v>
      </c>
      <c r="BD2945" s="5" t="s">
        <v>240</v>
      </c>
      <c r="BF2945" s="5" t="s">
        <v>732</v>
      </c>
      <c r="BG2945" s="6" t="s">
        <v>733</v>
      </c>
      <c r="BH2945" s="5" t="s">
        <v>734</v>
      </c>
      <c r="BI2945" s="5" t="s">
        <v>734</v>
      </c>
      <c r="BJ2945" s="5" t="s">
        <v>240</v>
      </c>
      <c r="BK2945" s="7">
        <f>1</f>
        <v>1</v>
      </c>
      <c r="BL2945" s="7">
        <f>1</f>
        <v>1</v>
      </c>
      <c r="BM2945" s="5" t="s">
        <v>258</v>
      </c>
      <c r="BN2945" s="5" t="s">
        <v>259</v>
      </c>
      <c r="BO2945" s="5" t="s">
        <v>240</v>
      </c>
      <c r="BP2945" s="5" t="s">
        <v>240</v>
      </c>
      <c r="BQ2945" s="5" t="s">
        <v>240</v>
      </c>
      <c r="BR2945" s="5" t="s">
        <v>240</v>
      </c>
      <c r="BS2945" s="5" t="s">
        <v>240</v>
      </c>
      <c r="BT2945" s="5" t="s">
        <v>240</v>
      </c>
      <c r="BU2945" s="5" t="s">
        <v>240</v>
      </c>
      <c r="BV2945" s="5" t="s">
        <v>240</v>
      </c>
      <c r="BW2945" s="6" t="s">
        <v>240</v>
      </c>
      <c r="BX2945" s="5" t="s">
        <v>240</v>
      </c>
      <c r="BY2945" s="5" t="s">
        <v>240</v>
      </c>
      <c r="BZ2945" s="5" t="s">
        <v>240</v>
      </c>
      <c r="CA2945" s="5" t="s">
        <v>259</v>
      </c>
      <c r="CB2945" s="5" t="s">
        <v>240</v>
      </c>
      <c r="CC2945" s="5" t="s">
        <v>240</v>
      </c>
      <c r="CD2945" s="5" t="s">
        <v>240</v>
      </c>
      <c r="CE2945" s="5" t="s">
        <v>240</v>
      </c>
      <c r="CF2945" s="5" t="s">
        <v>240</v>
      </c>
      <c r="CG2945" s="5" t="s">
        <v>304</v>
      </c>
      <c r="CH2945" s="5" t="s">
        <v>305</v>
      </c>
      <c r="CI2945" s="5" t="s">
        <v>240</v>
      </c>
      <c r="CK2945" s="5" t="s">
        <v>3681</v>
      </c>
      <c r="CL2945" s="6" t="s">
        <v>261</v>
      </c>
      <c r="CM2945" s="5" t="s">
        <v>262</v>
      </c>
      <c r="CN2945" s="5" t="s">
        <v>263</v>
      </c>
      <c r="CO2945" s="5" t="s">
        <v>264</v>
      </c>
      <c r="CP2945" s="5" t="s">
        <v>240</v>
      </c>
      <c r="CQ2945" s="5">
        <v>0</v>
      </c>
      <c r="CR2945" s="5" t="s">
        <v>735</v>
      </c>
      <c r="CS2945" s="5" t="s">
        <v>307</v>
      </c>
      <c r="CT2945" s="5" t="s">
        <v>307</v>
      </c>
      <c r="CU2945" s="5" t="s">
        <v>260</v>
      </c>
      <c r="CV2945" s="5" t="s">
        <v>612</v>
      </c>
      <c r="CW2945" s="8">
        <f>1</f>
        <v>1</v>
      </c>
      <c r="CX2945" s="7">
        <f>1</f>
        <v>1</v>
      </c>
      <c r="CY2945" s="7">
        <f>0</f>
        <v>0</v>
      </c>
      <c r="DA2945" s="7">
        <f>1</f>
        <v>1</v>
      </c>
      <c r="DB2945" s="7" t="s">
        <v>240</v>
      </c>
      <c r="DC2945" s="5" t="s">
        <v>240</v>
      </c>
      <c r="DD2945" s="5" t="s">
        <v>240</v>
      </c>
      <c r="DE2945" s="5" t="s">
        <v>240</v>
      </c>
      <c r="DF2945" s="5" t="s">
        <v>240</v>
      </c>
      <c r="DG2945" s="7">
        <f>0</f>
        <v>0</v>
      </c>
      <c r="DI2945" s="5" t="s">
        <v>240</v>
      </c>
      <c r="DJ2945" s="5" t="s">
        <v>240</v>
      </c>
      <c r="DK2945" s="5" t="s">
        <v>240</v>
      </c>
      <c r="DL2945" s="5" t="s">
        <v>240</v>
      </c>
      <c r="DM2945" s="5" t="s">
        <v>240</v>
      </c>
      <c r="DN2945" s="5" t="s">
        <v>240</v>
      </c>
      <c r="DO2945" s="7" t="s">
        <v>240</v>
      </c>
      <c r="DP2945" s="5" t="s">
        <v>240</v>
      </c>
      <c r="DQ2945" s="5" t="s">
        <v>240</v>
      </c>
      <c r="DR2945" s="5" t="s">
        <v>731</v>
      </c>
      <c r="DS2945" s="5" t="s">
        <v>731</v>
      </c>
      <c r="DT2945" s="5" t="s">
        <v>240</v>
      </c>
      <c r="DU2945" s="5" t="s">
        <v>240</v>
      </c>
      <c r="DV2945" s="5" t="s">
        <v>5063</v>
      </c>
      <c r="DW2945" s="5" t="s">
        <v>711</v>
      </c>
      <c r="DX2945" s="5" t="s">
        <v>240</v>
      </c>
      <c r="DY2945" s="5" t="s">
        <v>240</v>
      </c>
      <c r="DZ2945" s="5" t="s">
        <v>240</v>
      </c>
      <c r="EA2945" s="5" t="s">
        <v>240</v>
      </c>
      <c r="EB2945" s="5" t="s">
        <v>240</v>
      </c>
      <c r="EC2945" s="5" t="s">
        <v>240</v>
      </c>
      <c r="ED2945" s="5" t="s">
        <v>240</v>
      </c>
      <c r="EE2945" s="5" t="s">
        <v>240</v>
      </c>
      <c r="EF2945" s="5" t="s">
        <v>240</v>
      </c>
      <c r="EG2945" s="5" t="s">
        <v>240</v>
      </c>
      <c r="EH2945" s="5" t="s">
        <v>240</v>
      </c>
      <c r="EI2945" s="5" t="s">
        <v>240</v>
      </c>
      <c r="EJ2945" s="5" t="s">
        <v>240</v>
      </c>
      <c r="EK2945" s="5" t="s">
        <v>240</v>
      </c>
      <c r="EL2945" s="5" t="s">
        <v>240</v>
      </c>
      <c r="EM2945" s="5" t="s">
        <v>240</v>
      </c>
      <c r="EN2945" s="5" t="s">
        <v>240</v>
      </c>
      <c r="EO2945" s="5" t="s">
        <v>240</v>
      </c>
      <c r="EP2945" s="5" t="s">
        <v>240</v>
      </c>
      <c r="EQ2945" s="5" t="s">
        <v>240</v>
      </c>
      <c r="ER2945" s="5" t="s">
        <v>240</v>
      </c>
      <c r="ES2945" s="5" t="s">
        <v>240</v>
      </c>
      <c r="ET2945" s="5" t="s">
        <v>240</v>
      </c>
      <c r="EU2945" s="5" t="s">
        <v>240</v>
      </c>
      <c r="EV2945" s="5" t="s">
        <v>240</v>
      </c>
      <c r="EW2945" s="5" t="s">
        <v>240</v>
      </c>
      <c r="EX2945" s="5" t="s">
        <v>240</v>
      </c>
      <c r="EY2945" s="5" t="s">
        <v>240</v>
      </c>
      <c r="EZ2945" s="5" t="s">
        <v>240</v>
      </c>
      <c r="FA2945" s="5" t="s">
        <v>240</v>
      </c>
      <c r="FB2945" s="5" t="s">
        <v>240</v>
      </c>
      <c r="FC2945" s="5" t="s">
        <v>240</v>
      </c>
      <c r="FD2945" s="5" t="s">
        <v>240</v>
      </c>
      <c r="FE2945" s="5" t="s">
        <v>240</v>
      </c>
      <c r="FF2945" s="5" t="s">
        <v>240</v>
      </c>
      <c r="FG2945" s="5" t="s">
        <v>240</v>
      </c>
      <c r="FH2945" s="5" t="s">
        <v>240</v>
      </c>
      <c r="FI2945" s="5" t="s">
        <v>240</v>
      </c>
      <c r="FJ2945" s="5" t="s">
        <v>240</v>
      </c>
      <c r="FK2945" s="5" t="s">
        <v>240</v>
      </c>
      <c r="FL2945" s="5" t="s">
        <v>240</v>
      </c>
      <c r="FM2945" s="5" t="s">
        <v>240</v>
      </c>
      <c r="FN2945" s="5" t="s">
        <v>240</v>
      </c>
      <c r="FO2945" s="5" t="s">
        <v>240</v>
      </c>
      <c r="FP2945" s="5" t="s">
        <v>240</v>
      </c>
      <c r="FQ2945" s="5" t="s">
        <v>240</v>
      </c>
      <c r="FR2945" s="5" t="s">
        <v>240</v>
      </c>
      <c r="FS2945" s="5" t="s">
        <v>240</v>
      </c>
      <c r="FT2945" s="5" t="s">
        <v>240</v>
      </c>
      <c r="FU2945" s="5" t="s">
        <v>240</v>
      </c>
      <c r="FV2945" s="5" t="s">
        <v>240</v>
      </c>
      <c r="FW2945" s="5" t="s">
        <v>240</v>
      </c>
      <c r="FX2945" s="5" t="s">
        <v>240</v>
      </c>
      <c r="FY2945" s="5" t="s">
        <v>240</v>
      </c>
      <c r="FZ2945" s="5" t="s">
        <v>240</v>
      </c>
      <c r="GA2945" s="5" t="s">
        <v>240</v>
      </c>
      <c r="GB2945" s="5" t="s">
        <v>240</v>
      </c>
      <c r="GC2945" s="5" t="s">
        <v>240</v>
      </c>
      <c r="GD2945" s="5" t="s">
        <v>240</v>
      </c>
      <c r="GE2945" s="5" t="s">
        <v>240</v>
      </c>
      <c r="GF2945" s="5" t="s">
        <v>240</v>
      </c>
      <c r="GG2945" s="5" t="s">
        <v>240</v>
      </c>
      <c r="GH2945" s="5" t="s">
        <v>240</v>
      </c>
      <c r="GI2945" s="5" t="s">
        <v>240</v>
      </c>
      <c r="GJ2945" s="5" t="s">
        <v>240</v>
      </c>
      <c r="GK2945" s="5" t="s">
        <v>240</v>
      </c>
      <c r="GL2945" s="5" t="s">
        <v>240</v>
      </c>
      <c r="GM2945" s="5" t="s">
        <v>240</v>
      </c>
      <c r="GN2945" s="5" t="s">
        <v>240</v>
      </c>
      <c r="GO2945" s="5" t="s">
        <v>240</v>
      </c>
      <c r="GP2945" s="5" t="s">
        <v>240</v>
      </c>
      <c r="GQ2945" s="5" t="s">
        <v>240</v>
      </c>
      <c r="GR2945" s="5" t="s">
        <v>240</v>
      </c>
      <c r="GS2945" s="5" t="s">
        <v>240</v>
      </c>
      <c r="GT2945" s="5" t="s">
        <v>240</v>
      </c>
      <c r="GU2945" s="5" t="s">
        <v>240</v>
      </c>
      <c r="GV2945" s="5" t="s">
        <v>240</v>
      </c>
      <c r="GW2945" s="5" t="s">
        <v>240</v>
      </c>
      <c r="GX2945" s="5" t="s">
        <v>240</v>
      </c>
      <c r="GY2945" s="5" t="s">
        <v>240</v>
      </c>
      <c r="GZ2945" s="5" t="s">
        <v>240</v>
      </c>
      <c r="HA2945" s="5" t="s">
        <v>240</v>
      </c>
      <c r="HB2945" s="5" t="s">
        <v>240</v>
      </c>
      <c r="HC2945" s="5" t="s">
        <v>240</v>
      </c>
      <c r="HD2945" s="5" t="s">
        <v>240</v>
      </c>
      <c r="HE2945" s="5" t="s">
        <v>240</v>
      </c>
      <c r="HF2945" s="5" t="s">
        <v>240</v>
      </c>
      <c r="HG2945" s="5" t="s">
        <v>240</v>
      </c>
      <c r="HH2945" s="5" t="s">
        <v>240</v>
      </c>
      <c r="HI2945" s="5" t="s">
        <v>240</v>
      </c>
      <c r="HJ2945" s="5" t="s">
        <v>240</v>
      </c>
      <c r="HK2945" s="5" t="s">
        <v>240</v>
      </c>
      <c r="HL2945" s="5" t="s">
        <v>240</v>
      </c>
      <c r="HM2945" s="5" t="s">
        <v>240</v>
      </c>
      <c r="HN2945" s="5" t="s">
        <v>240</v>
      </c>
      <c r="HO2945" s="5" t="s">
        <v>312</v>
      </c>
      <c r="HP2945" s="5" t="s">
        <v>240</v>
      </c>
      <c r="HQ2945" s="5" t="s">
        <v>240</v>
      </c>
      <c r="HR2945" s="5" t="s">
        <v>240</v>
      </c>
      <c r="HS2945" s="5" t="s">
        <v>240</v>
      </c>
      <c r="HT2945" s="5" t="s">
        <v>240</v>
      </c>
      <c r="HU2945" s="5" t="s">
        <v>240</v>
      </c>
      <c r="HV2945" s="5" t="s">
        <v>240</v>
      </c>
      <c r="HW2945" s="5" t="s">
        <v>240</v>
      </c>
      <c r="HX2945" s="5" t="s">
        <v>240</v>
      </c>
      <c r="HY2945" s="5" t="s">
        <v>240</v>
      </c>
      <c r="HZ2945" s="5" t="s">
        <v>240</v>
      </c>
      <c r="IA2945" s="5" t="s">
        <v>240</v>
      </c>
      <c r="IB2945" s="5" t="s">
        <v>240</v>
      </c>
      <c r="IC2945" s="5" t="s">
        <v>240</v>
      </c>
      <c r="ID2945" s="5" t="s">
        <v>240</v>
      </c>
      <c r="IE2945" s="5" t="s">
        <v>240</v>
      </c>
      <c r="IF2945" s="5" t="s">
        <v>240</v>
      </c>
    </row>
    <row r="2946" spans="1:240" x14ac:dyDescent="0.4">
      <c r="A2946" s="5">
        <v>4650</v>
      </c>
      <c r="B2946" s="5">
        <v>1</v>
      </c>
      <c r="C2946" s="5">
        <v>1</v>
      </c>
      <c r="D2946" s="5" t="s">
        <v>810</v>
      </c>
      <c r="E2946" s="5" t="s">
        <v>245</v>
      </c>
      <c r="F2946" s="5" t="s">
        <v>254</v>
      </c>
      <c r="G2946" s="5" t="s">
        <v>240</v>
      </c>
      <c r="H2946" s="6" t="s">
        <v>2649</v>
      </c>
      <c r="I2946" s="5" t="s">
        <v>809</v>
      </c>
      <c r="J2946" s="8">
        <f>826</f>
        <v>826</v>
      </c>
      <c r="K2946" s="5" t="s">
        <v>308</v>
      </c>
      <c r="L2946" s="7">
        <f>1</f>
        <v>1</v>
      </c>
      <c r="M2946" s="7">
        <f>1</f>
        <v>1</v>
      </c>
      <c r="N2946" s="5" t="s">
        <v>242</v>
      </c>
      <c r="O2946" s="5">
        <v>1</v>
      </c>
      <c r="P2946" s="5" t="s">
        <v>294</v>
      </c>
      <c r="Q2946" s="5" t="s">
        <v>266</v>
      </c>
      <c r="R2946" s="5" t="s">
        <v>240</v>
      </c>
      <c r="S2946" s="5" t="s">
        <v>240</v>
      </c>
      <c r="T2946" s="5" t="s">
        <v>243</v>
      </c>
      <c r="U2946" s="5" t="s">
        <v>240</v>
      </c>
      <c r="V2946" s="5" t="s">
        <v>240</v>
      </c>
      <c r="Y2946" s="5" t="s">
        <v>240</v>
      </c>
      <c r="Z2946" s="6" t="s">
        <v>5162</v>
      </c>
      <c r="AB2946" s="6" t="s">
        <v>240</v>
      </c>
      <c r="AE2946" s="6" t="s">
        <v>444</v>
      </c>
      <c r="AF2946" s="5" t="s">
        <v>248</v>
      </c>
      <c r="AG2946" s="5" t="s">
        <v>249</v>
      </c>
      <c r="AW2946" s="5" t="s">
        <v>251</v>
      </c>
      <c r="AX2946" s="5" t="s">
        <v>240</v>
      </c>
      <c r="AY2946" s="5" t="s">
        <v>253</v>
      </c>
      <c r="AZ2946" s="5" t="s">
        <v>240</v>
      </c>
      <c r="BA2946" s="5" t="s">
        <v>255</v>
      </c>
      <c r="BB2946" s="5" t="s">
        <v>240</v>
      </c>
      <c r="BD2946" s="5" t="s">
        <v>240</v>
      </c>
      <c r="BF2946" s="5" t="s">
        <v>687</v>
      </c>
      <c r="BG2946" s="6" t="s">
        <v>5162</v>
      </c>
      <c r="BH2946" s="5" t="s">
        <v>302</v>
      </c>
      <c r="BI2946" s="5" t="s">
        <v>448</v>
      </c>
      <c r="BJ2946" s="5" t="s">
        <v>240</v>
      </c>
      <c r="BK2946" s="8">
        <f>0</f>
        <v>0</v>
      </c>
      <c r="BL2946" s="7">
        <f>0</f>
        <v>0</v>
      </c>
      <c r="BM2946" s="5" t="s">
        <v>258</v>
      </c>
      <c r="BN2946" s="5" t="s">
        <v>259</v>
      </c>
      <c r="CB2946" s="5" t="s">
        <v>240</v>
      </c>
      <c r="CC2946" s="5" t="s">
        <v>240</v>
      </c>
      <c r="CG2946" s="5" t="s">
        <v>449</v>
      </c>
      <c r="CH2946" s="5" t="s">
        <v>305</v>
      </c>
      <c r="CI2946" s="5" t="s">
        <v>240</v>
      </c>
      <c r="CL2946" s="6" t="s">
        <v>261</v>
      </c>
      <c r="CM2946" s="5" t="s">
        <v>240</v>
      </c>
      <c r="CN2946" s="5" t="s">
        <v>263</v>
      </c>
      <c r="CO2946" s="5" t="s">
        <v>240</v>
      </c>
      <c r="CP2946" s="5" t="s">
        <v>240</v>
      </c>
      <c r="CQ2946" s="5">
        <v>0</v>
      </c>
      <c r="CR2946" s="5" t="s">
        <v>306</v>
      </c>
      <c r="CS2946" s="5" t="s">
        <v>307</v>
      </c>
      <c r="CT2946" s="5" t="s">
        <v>307</v>
      </c>
      <c r="CU2946" s="5" t="s">
        <v>260</v>
      </c>
      <c r="CX2946" s="7">
        <f>1672640</f>
        <v>1672640</v>
      </c>
      <c r="CY2946" s="7">
        <f>0</f>
        <v>0</v>
      </c>
      <c r="DA2946" s="7">
        <f>0</f>
        <v>0</v>
      </c>
      <c r="DC2946" s="5" t="s">
        <v>450</v>
      </c>
      <c r="DD2946" s="5" t="s">
        <v>240</v>
      </c>
      <c r="DF2946" s="5" t="s">
        <v>450</v>
      </c>
      <c r="DG2946" s="7">
        <f>836.32</f>
        <v>836.32</v>
      </c>
      <c r="DI2946" s="5" t="s">
        <v>240</v>
      </c>
      <c r="DJ2946" s="5" t="s">
        <v>240</v>
      </c>
      <c r="DK2946" s="5" t="s">
        <v>240</v>
      </c>
      <c r="DL2946" s="5" t="s">
        <v>240</v>
      </c>
      <c r="DP2946" s="5" t="s">
        <v>240</v>
      </c>
      <c r="DQ2946" s="5" t="s">
        <v>240</v>
      </c>
      <c r="DR2946" s="5" t="s">
        <v>240</v>
      </c>
      <c r="DS2946" s="5" t="s">
        <v>240</v>
      </c>
      <c r="DV2946" s="5" t="s">
        <v>310</v>
      </c>
      <c r="DW2946" s="5" t="s">
        <v>2416</v>
      </c>
      <c r="HO2946" s="5" t="s">
        <v>312</v>
      </c>
    </row>
    <row r="2947" spans="1:240" x14ac:dyDescent="0.4">
      <c r="A2947" s="5">
        <v>4651</v>
      </c>
      <c r="B2947" s="5">
        <v>1</v>
      </c>
      <c r="C2947" s="5">
        <v>1</v>
      </c>
      <c r="D2947" s="5" t="s">
        <v>810</v>
      </c>
      <c r="E2947" s="5" t="s">
        <v>245</v>
      </c>
      <c r="F2947" s="5" t="s">
        <v>254</v>
      </c>
      <c r="G2947" s="5" t="s">
        <v>240</v>
      </c>
      <c r="H2947" s="6" t="s">
        <v>2647</v>
      </c>
      <c r="I2947" s="5" t="s">
        <v>809</v>
      </c>
      <c r="J2947" s="8">
        <f>322</f>
        <v>322</v>
      </c>
      <c r="K2947" s="5" t="s">
        <v>308</v>
      </c>
      <c r="L2947" s="7">
        <f>1</f>
        <v>1</v>
      </c>
      <c r="M2947" s="7">
        <f>1</f>
        <v>1</v>
      </c>
      <c r="N2947" s="5" t="s">
        <v>242</v>
      </c>
      <c r="O2947" s="5">
        <v>1</v>
      </c>
      <c r="P2947" s="5" t="s">
        <v>294</v>
      </c>
      <c r="Q2947" s="5" t="s">
        <v>3678</v>
      </c>
      <c r="R2947" s="5" t="s">
        <v>240</v>
      </c>
      <c r="S2947" s="5" t="s">
        <v>240</v>
      </c>
      <c r="T2947" s="5" t="s">
        <v>243</v>
      </c>
      <c r="U2947" s="5" t="s">
        <v>244</v>
      </c>
      <c r="V2947" s="5" t="s">
        <v>240</v>
      </c>
      <c r="W2947" s="5" t="s">
        <v>240</v>
      </c>
      <c r="X2947" s="5" t="s">
        <v>240</v>
      </c>
      <c r="Y2947" s="5" t="s">
        <v>240</v>
      </c>
      <c r="Z2947" s="6" t="s">
        <v>298</v>
      </c>
      <c r="AA2947" s="6" t="s">
        <v>240</v>
      </c>
      <c r="AB2947" s="6" t="s">
        <v>240</v>
      </c>
      <c r="AC2947" s="5" t="s">
        <v>240</v>
      </c>
      <c r="AD2947" s="6" t="s">
        <v>240</v>
      </c>
      <c r="AE2947" s="6" t="s">
        <v>299</v>
      </c>
      <c r="AF2947" s="5" t="s">
        <v>248</v>
      </c>
      <c r="AG2947" s="5" t="s">
        <v>249</v>
      </c>
      <c r="AH2947" s="5" t="s">
        <v>240</v>
      </c>
      <c r="AI2947" s="5" t="s">
        <v>240</v>
      </c>
      <c r="AJ2947" s="5" t="s">
        <v>240</v>
      </c>
      <c r="AK2947" s="5" t="s">
        <v>240</v>
      </c>
      <c r="AL2947" s="5" t="s">
        <v>240</v>
      </c>
      <c r="AM2947" s="5" t="s">
        <v>240</v>
      </c>
      <c r="AN2947" s="5" t="s">
        <v>240</v>
      </c>
      <c r="AO2947" s="5" t="s">
        <v>240</v>
      </c>
      <c r="AP2947" s="6" t="s">
        <v>240</v>
      </c>
      <c r="AQ2947" s="6" t="s">
        <v>240</v>
      </c>
      <c r="AR2947" s="6" t="s">
        <v>240</v>
      </c>
      <c r="AS2947" s="6" t="s">
        <v>240</v>
      </c>
      <c r="AT2947" s="5" t="s">
        <v>240</v>
      </c>
      <c r="AU2947" s="5" t="s">
        <v>729</v>
      </c>
      <c r="AV2947" s="5" t="s">
        <v>729</v>
      </c>
      <c r="AW2947" s="5" t="s">
        <v>251</v>
      </c>
      <c r="AX2947" s="5" t="s">
        <v>252</v>
      </c>
      <c r="AY2947" s="5" t="s">
        <v>253</v>
      </c>
      <c r="AZ2947" s="5" t="s">
        <v>240</v>
      </c>
      <c r="BA2947" s="5" t="s">
        <v>255</v>
      </c>
      <c r="BB2947" s="5" t="s">
        <v>731</v>
      </c>
      <c r="BD2947" s="5" t="s">
        <v>240</v>
      </c>
      <c r="BF2947" s="5" t="s">
        <v>732</v>
      </c>
      <c r="BG2947" s="6" t="s">
        <v>733</v>
      </c>
      <c r="BH2947" s="5" t="s">
        <v>734</v>
      </c>
      <c r="BI2947" s="5" t="s">
        <v>734</v>
      </c>
      <c r="BJ2947" s="5" t="s">
        <v>240</v>
      </c>
      <c r="BK2947" s="7">
        <f>1</f>
        <v>1</v>
      </c>
      <c r="BL2947" s="7">
        <f>1</f>
        <v>1</v>
      </c>
      <c r="BM2947" s="5" t="s">
        <v>258</v>
      </c>
      <c r="BN2947" s="5" t="s">
        <v>259</v>
      </c>
      <c r="BO2947" s="5" t="s">
        <v>240</v>
      </c>
      <c r="BP2947" s="5" t="s">
        <v>240</v>
      </c>
      <c r="BQ2947" s="5" t="s">
        <v>240</v>
      </c>
      <c r="BR2947" s="5" t="s">
        <v>240</v>
      </c>
      <c r="BS2947" s="5" t="s">
        <v>240</v>
      </c>
      <c r="BT2947" s="5" t="s">
        <v>240</v>
      </c>
      <c r="BU2947" s="5" t="s">
        <v>240</v>
      </c>
      <c r="BV2947" s="5" t="s">
        <v>240</v>
      </c>
      <c r="BW2947" s="6" t="s">
        <v>240</v>
      </c>
      <c r="BX2947" s="5" t="s">
        <v>240</v>
      </c>
      <c r="BY2947" s="5" t="s">
        <v>240</v>
      </c>
      <c r="BZ2947" s="5" t="s">
        <v>240</v>
      </c>
      <c r="CA2947" s="5" t="s">
        <v>259</v>
      </c>
      <c r="CB2947" s="5" t="s">
        <v>240</v>
      </c>
      <c r="CC2947" s="5" t="s">
        <v>240</v>
      </c>
      <c r="CD2947" s="5" t="s">
        <v>240</v>
      </c>
      <c r="CE2947" s="5" t="s">
        <v>240</v>
      </c>
      <c r="CF2947" s="5" t="s">
        <v>240</v>
      </c>
      <c r="CG2947" s="5" t="s">
        <v>304</v>
      </c>
      <c r="CH2947" s="5" t="s">
        <v>305</v>
      </c>
      <c r="CI2947" s="5" t="s">
        <v>240</v>
      </c>
      <c r="CK2947" s="5" t="s">
        <v>3681</v>
      </c>
      <c r="CL2947" s="6" t="s">
        <v>261</v>
      </c>
      <c r="CM2947" s="5" t="s">
        <v>262</v>
      </c>
      <c r="CN2947" s="5" t="s">
        <v>263</v>
      </c>
      <c r="CO2947" s="5" t="s">
        <v>264</v>
      </c>
      <c r="CP2947" s="5" t="s">
        <v>240</v>
      </c>
      <c r="CQ2947" s="5">
        <v>0</v>
      </c>
      <c r="CR2947" s="5" t="s">
        <v>735</v>
      </c>
      <c r="CS2947" s="5" t="s">
        <v>307</v>
      </c>
      <c r="CT2947" s="5" t="s">
        <v>307</v>
      </c>
      <c r="CU2947" s="5" t="s">
        <v>260</v>
      </c>
      <c r="CV2947" s="5" t="s">
        <v>612</v>
      </c>
      <c r="CW2947" s="8">
        <f>1</f>
        <v>1</v>
      </c>
      <c r="CX2947" s="7">
        <f>1</f>
        <v>1</v>
      </c>
      <c r="CY2947" s="7">
        <f>0</f>
        <v>0</v>
      </c>
      <c r="DA2947" s="7">
        <f>1</f>
        <v>1</v>
      </c>
      <c r="DB2947" s="7" t="s">
        <v>240</v>
      </c>
      <c r="DC2947" s="5" t="s">
        <v>240</v>
      </c>
      <c r="DD2947" s="5" t="s">
        <v>240</v>
      </c>
      <c r="DE2947" s="5" t="s">
        <v>240</v>
      </c>
      <c r="DF2947" s="5" t="s">
        <v>240</v>
      </c>
      <c r="DG2947" s="7">
        <f>0</f>
        <v>0</v>
      </c>
      <c r="DI2947" s="5" t="s">
        <v>240</v>
      </c>
      <c r="DJ2947" s="5" t="s">
        <v>240</v>
      </c>
      <c r="DK2947" s="5" t="s">
        <v>240</v>
      </c>
      <c r="DL2947" s="5" t="s">
        <v>240</v>
      </c>
      <c r="DM2947" s="5" t="s">
        <v>240</v>
      </c>
      <c r="DN2947" s="5" t="s">
        <v>240</v>
      </c>
      <c r="DO2947" s="7" t="s">
        <v>240</v>
      </c>
      <c r="DP2947" s="5" t="s">
        <v>240</v>
      </c>
      <c r="DQ2947" s="5" t="s">
        <v>240</v>
      </c>
      <c r="DR2947" s="5" t="s">
        <v>731</v>
      </c>
      <c r="DS2947" s="5" t="s">
        <v>731</v>
      </c>
      <c r="DT2947" s="5" t="s">
        <v>240</v>
      </c>
      <c r="DU2947" s="5" t="s">
        <v>240</v>
      </c>
      <c r="DV2947" s="5" t="s">
        <v>3683</v>
      </c>
      <c r="DW2947" s="5" t="s">
        <v>524</v>
      </c>
      <c r="DX2947" s="5" t="s">
        <v>240</v>
      </c>
      <c r="DY2947" s="5" t="s">
        <v>240</v>
      </c>
      <c r="DZ2947" s="5" t="s">
        <v>240</v>
      </c>
      <c r="EA2947" s="5" t="s">
        <v>240</v>
      </c>
      <c r="EB2947" s="5" t="s">
        <v>240</v>
      </c>
      <c r="EC2947" s="5" t="s">
        <v>240</v>
      </c>
      <c r="ED2947" s="5" t="s">
        <v>240</v>
      </c>
      <c r="EE2947" s="5" t="s">
        <v>240</v>
      </c>
      <c r="EF2947" s="5" t="s">
        <v>240</v>
      </c>
      <c r="EG2947" s="5" t="s">
        <v>240</v>
      </c>
      <c r="EH2947" s="5" t="s">
        <v>240</v>
      </c>
      <c r="EI2947" s="5" t="s">
        <v>240</v>
      </c>
      <c r="EJ2947" s="5" t="s">
        <v>240</v>
      </c>
      <c r="EK2947" s="5" t="s">
        <v>240</v>
      </c>
      <c r="EL2947" s="5" t="s">
        <v>240</v>
      </c>
      <c r="EM2947" s="5" t="s">
        <v>240</v>
      </c>
      <c r="EN2947" s="5" t="s">
        <v>240</v>
      </c>
      <c r="EO2947" s="5" t="s">
        <v>240</v>
      </c>
      <c r="EP2947" s="5" t="s">
        <v>240</v>
      </c>
      <c r="EQ2947" s="5" t="s">
        <v>240</v>
      </c>
      <c r="ER2947" s="5" t="s">
        <v>240</v>
      </c>
      <c r="ES2947" s="5" t="s">
        <v>240</v>
      </c>
      <c r="ET2947" s="5" t="s">
        <v>240</v>
      </c>
      <c r="EU2947" s="5" t="s">
        <v>240</v>
      </c>
      <c r="EV2947" s="5" t="s">
        <v>240</v>
      </c>
      <c r="EW2947" s="5" t="s">
        <v>240</v>
      </c>
      <c r="EX2947" s="5" t="s">
        <v>240</v>
      </c>
      <c r="EY2947" s="5" t="s">
        <v>240</v>
      </c>
      <c r="EZ2947" s="5" t="s">
        <v>240</v>
      </c>
      <c r="FA2947" s="5" t="s">
        <v>240</v>
      </c>
      <c r="FB2947" s="5" t="s">
        <v>240</v>
      </c>
      <c r="FC2947" s="5" t="s">
        <v>240</v>
      </c>
      <c r="FD2947" s="5" t="s">
        <v>240</v>
      </c>
      <c r="FE2947" s="5" t="s">
        <v>240</v>
      </c>
      <c r="FF2947" s="5" t="s">
        <v>240</v>
      </c>
      <c r="FG2947" s="5" t="s">
        <v>240</v>
      </c>
      <c r="FH2947" s="5" t="s">
        <v>240</v>
      </c>
      <c r="FI2947" s="5" t="s">
        <v>240</v>
      </c>
      <c r="FJ2947" s="5" t="s">
        <v>240</v>
      </c>
      <c r="FK2947" s="5" t="s">
        <v>240</v>
      </c>
      <c r="FL2947" s="5" t="s">
        <v>240</v>
      </c>
      <c r="FM2947" s="5" t="s">
        <v>240</v>
      </c>
      <c r="FN2947" s="5" t="s">
        <v>240</v>
      </c>
      <c r="FO2947" s="5" t="s">
        <v>240</v>
      </c>
      <c r="FP2947" s="5" t="s">
        <v>240</v>
      </c>
      <c r="FQ2947" s="5" t="s">
        <v>240</v>
      </c>
      <c r="FR2947" s="5" t="s">
        <v>240</v>
      </c>
      <c r="FS2947" s="5" t="s">
        <v>240</v>
      </c>
      <c r="FT2947" s="5" t="s">
        <v>240</v>
      </c>
      <c r="FU2947" s="5" t="s">
        <v>240</v>
      </c>
      <c r="FV2947" s="5" t="s">
        <v>240</v>
      </c>
      <c r="FW2947" s="5" t="s">
        <v>240</v>
      </c>
      <c r="FX2947" s="5" t="s">
        <v>240</v>
      </c>
      <c r="FY2947" s="5" t="s">
        <v>240</v>
      </c>
      <c r="FZ2947" s="5" t="s">
        <v>240</v>
      </c>
      <c r="GA2947" s="5" t="s">
        <v>240</v>
      </c>
      <c r="GB2947" s="5" t="s">
        <v>240</v>
      </c>
      <c r="GC2947" s="5" t="s">
        <v>240</v>
      </c>
      <c r="GD2947" s="5" t="s">
        <v>240</v>
      </c>
      <c r="GE2947" s="5" t="s">
        <v>240</v>
      </c>
      <c r="GF2947" s="5" t="s">
        <v>240</v>
      </c>
      <c r="GG2947" s="5" t="s">
        <v>240</v>
      </c>
      <c r="GH2947" s="5" t="s">
        <v>240</v>
      </c>
      <c r="GI2947" s="5" t="s">
        <v>240</v>
      </c>
      <c r="GJ2947" s="5" t="s">
        <v>240</v>
      </c>
      <c r="GK2947" s="5" t="s">
        <v>240</v>
      </c>
      <c r="GL2947" s="5" t="s">
        <v>240</v>
      </c>
      <c r="GM2947" s="5" t="s">
        <v>240</v>
      </c>
      <c r="GN2947" s="5" t="s">
        <v>240</v>
      </c>
      <c r="GO2947" s="5" t="s">
        <v>240</v>
      </c>
      <c r="GP2947" s="5" t="s">
        <v>240</v>
      </c>
      <c r="GQ2947" s="5" t="s">
        <v>240</v>
      </c>
      <c r="GR2947" s="5" t="s">
        <v>240</v>
      </c>
      <c r="GS2947" s="5" t="s">
        <v>240</v>
      </c>
      <c r="GT2947" s="5" t="s">
        <v>240</v>
      </c>
      <c r="GU2947" s="5" t="s">
        <v>240</v>
      </c>
      <c r="GV2947" s="5" t="s">
        <v>240</v>
      </c>
      <c r="GW2947" s="5" t="s">
        <v>240</v>
      </c>
      <c r="GX2947" s="5" t="s">
        <v>240</v>
      </c>
      <c r="GY2947" s="5" t="s">
        <v>240</v>
      </c>
      <c r="GZ2947" s="5" t="s">
        <v>240</v>
      </c>
      <c r="HA2947" s="5" t="s">
        <v>240</v>
      </c>
      <c r="HB2947" s="5" t="s">
        <v>240</v>
      </c>
      <c r="HC2947" s="5" t="s">
        <v>240</v>
      </c>
      <c r="HD2947" s="5" t="s">
        <v>240</v>
      </c>
      <c r="HE2947" s="5" t="s">
        <v>240</v>
      </c>
      <c r="HF2947" s="5" t="s">
        <v>240</v>
      </c>
      <c r="HG2947" s="5" t="s">
        <v>240</v>
      </c>
      <c r="HH2947" s="5" t="s">
        <v>240</v>
      </c>
      <c r="HI2947" s="5" t="s">
        <v>240</v>
      </c>
      <c r="HJ2947" s="5" t="s">
        <v>240</v>
      </c>
      <c r="HK2947" s="5" t="s">
        <v>240</v>
      </c>
      <c r="HL2947" s="5" t="s">
        <v>240</v>
      </c>
      <c r="HM2947" s="5" t="s">
        <v>240</v>
      </c>
      <c r="HN2947" s="5" t="s">
        <v>240</v>
      </c>
      <c r="HO2947" s="5" t="s">
        <v>312</v>
      </c>
      <c r="HP2947" s="5" t="s">
        <v>240</v>
      </c>
      <c r="HQ2947" s="5" t="s">
        <v>240</v>
      </c>
      <c r="HR2947" s="5" t="s">
        <v>240</v>
      </c>
      <c r="HS2947" s="5" t="s">
        <v>240</v>
      </c>
      <c r="HT2947" s="5" t="s">
        <v>240</v>
      </c>
      <c r="HU2947" s="5" t="s">
        <v>240</v>
      </c>
      <c r="HV2947" s="5" t="s">
        <v>240</v>
      </c>
      <c r="HW2947" s="5" t="s">
        <v>240</v>
      </c>
      <c r="HX2947" s="5" t="s">
        <v>240</v>
      </c>
      <c r="HY2947" s="5" t="s">
        <v>240</v>
      </c>
      <c r="HZ2947" s="5" t="s">
        <v>240</v>
      </c>
      <c r="IA2947" s="5" t="s">
        <v>240</v>
      </c>
      <c r="IB2947" s="5" t="s">
        <v>240</v>
      </c>
      <c r="IC2947" s="5" t="s">
        <v>240</v>
      </c>
      <c r="ID2947" s="5" t="s">
        <v>240</v>
      </c>
      <c r="IE2947" s="5" t="s">
        <v>240</v>
      </c>
      <c r="IF2947" s="5" t="s">
        <v>240</v>
      </c>
    </row>
    <row r="2948" spans="1:240" x14ac:dyDescent="0.4">
      <c r="A2948" s="5">
        <v>4652</v>
      </c>
      <c r="B2948" s="5">
        <v>1</v>
      </c>
      <c r="C2948" s="5">
        <v>1</v>
      </c>
      <c r="D2948" s="5" t="s">
        <v>810</v>
      </c>
      <c r="E2948" s="5" t="s">
        <v>245</v>
      </c>
      <c r="F2948" s="5" t="s">
        <v>254</v>
      </c>
      <c r="G2948" s="5" t="s">
        <v>240</v>
      </c>
      <c r="H2948" s="6" t="s">
        <v>2645</v>
      </c>
      <c r="I2948" s="5" t="s">
        <v>809</v>
      </c>
      <c r="J2948" s="8">
        <f>1727</f>
        <v>1727</v>
      </c>
      <c r="K2948" s="5" t="s">
        <v>308</v>
      </c>
      <c r="L2948" s="7">
        <f>1</f>
        <v>1</v>
      </c>
      <c r="M2948" s="7">
        <f>1</f>
        <v>1</v>
      </c>
      <c r="N2948" s="5" t="s">
        <v>242</v>
      </c>
      <c r="O2948" s="5">
        <v>1</v>
      </c>
      <c r="P2948" s="5" t="s">
        <v>294</v>
      </c>
      <c r="Q2948" s="5" t="s">
        <v>3678</v>
      </c>
      <c r="R2948" s="5" t="s">
        <v>240</v>
      </c>
      <c r="S2948" s="5" t="s">
        <v>240</v>
      </c>
      <c r="T2948" s="5" t="s">
        <v>243</v>
      </c>
      <c r="U2948" s="5" t="s">
        <v>244</v>
      </c>
      <c r="V2948" s="5" t="s">
        <v>240</v>
      </c>
      <c r="W2948" s="5" t="s">
        <v>240</v>
      </c>
      <c r="X2948" s="5" t="s">
        <v>240</v>
      </c>
      <c r="Y2948" s="5" t="s">
        <v>240</v>
      </c>
      <c r="Z2948" s="6" t="s">
        <v>298</v>
      </c>
      <c r="AA2948" s="6" t="s">
        <v>240</v>
      </c>
      <c r="AB2948" s="6" t="s">
        <v>240</v>
      </c>
      <c r="AC2948" s="5" t="s">
        <v>240</v>
      </c>
      <c r="AD2948" s="6" t="s">
        <v>240</v>
      </c>
      <c r="AE2948" s="6" t="s">
        <v>299</v>
      </c>
      <c r="AF2948" s="5" t="s">
        <v>248</v>
      </c>
      <c r="AG2948" s="5" t="s">
        <v>249</v>
      </c>
      <c r="AH2948" s="5" t="s">
        <v>240</v>
      </c>
      <c r="AI2948" s="5" t="s">
        <v>240</v>
      </c>
      <c r="AJ2948" s="5" t="s">
        <v>240</v>
      </c>
      <c r="AK2948" s="5" t="s">
        <v>240</v>
      </c>
      <c r="AL2948" s="5" t="s">
        <v>240</v>
      </c>
      <c r="AM2948" s="5" t="s">
        <v>240</v>
      </c>
      <c r="AN2948" s="5" t="s">
        <v>240</v>
      </c>
      <c r="AO2948" s="5" t="s">
        <v>240</v>
      </c>
      <c r="AP2948" s="6" t="s">
        <v>240</v>
      </c>
      <c r="AQ2948" s="6" t="s">
        <v>240</v>
      </c>
      <c r="AR2948" s="6" t="s">
        <v>240</v>
      </c>
      <c r="AS2948" s="6" t="s">
        <v>240</v>
      </c>
      <c r="AT2948" s="5" t="s">
        <v>240</v>
      </c>
      <c r="AU2948" s="5" t="s">
        <v>729</v>
      </c>
      <c r="AV2948" s="5" t="s">
        <v>729</v>
      </c>
      <c r="AW2948" s="5" t="s">
        <v>251</v>
      </c>
      <c r="AX2948" s="5" t="s">
        <v>252</v>
      </c>
      <c r="AY2948" s="5" t="s">
        <v>253</v>
      </c>
      <c r="AZ2948" s="5" t="s">
        <v>240</v>
      </c>
      <c r="BA2948" s="5" t="s">
        <v>255</v>
      </c>
      <c r="BB2948" s="5" t="s">
        <v>731</v>
      </c>
      <c r="BD2948" s="5" t="s">
        <v>240</v>
      </c>
      <c r="BF2948" s="5" t="s">
        <v>732</v>
      </c>
      <c r="BG2948" s="6" t="s">
        <v>733</v>
      </c>
      <c r="BH2948" s="5" t="s">
        <v>734</v>
      </c>
      <c r="BI2948" s="5" t="s">
        <v>734</v>
      </c>
      <c r="BJ2948" s="5" t="s">
        <v>240</v>
      </c>
      <c r="BK2948" s="7">
        <f>1</f>
        <v>1</v>
      </c>
      <c r="BL2948" s="7">
        <f>1</f>
        <v>1</v>
      </c>
      <c r="BM2948" s="5" t="s">
        <v>258</v>
      </c>
      <c r="BN2948" s="5" t="s">
        <v>259</v>
      </c>
      <c r="BO2948" s="5" t="s">
        <v>240</v>
      </c>
      <c r="BP2948" s="5" t="s">
        <v>240</v>
      </c>
      <c r="BQ2948" s="5" t="s">
        <v>240</v>
      </c>
      <c r="BR2948" s="5" t="s">
        <v>240</v>
      </c>
      <c r="BS2948" s="5" t="s">
        <v>240</v>
      </c>
      <c r="BT2948" s="5" t="s">
        <v>240</v>
      </c>
      <c r="BU2948" s="5" t="s">
        <v>240</v>
      </c>
      <c r="BV2948" s="5" t="s">
        <v>240</v>
      </c>
      <c r="BW2948" s="6" t="s">
        <v>240</v>
      </c>
      <c r="BX2948" s="5" t="s">
        <v>240</v>
      </c>
      <c r="BY2948" s="5" t="s">
        <v>240</v>
      </c>
      <c r="BZ2948" s="5" t="s">
        <v>240</v>
      </c>
      <c r="CA2948" s="5" t="s">
        <v>259</v>
      </c>
      <c r="CB2948" s="5" t="s">
        <v>240</v>
      </c>
      <c r="CC2948" s="5" t="s">
        <v>240</v>
      </c>
      <c r="CD2948" s="5" t="s">
        <v>240</v>
      </c>
      <c r="CE2948" s="5" t="s">
        <v>240</v>
      </c>
      <c r="CF2948" s="5" t="s">
        <v>240</v>
      </c>
      <c r="CG2948" s="5" t="s">
        <v>304</v>
      </c>
      <c r="CH2948" s="5" t="s">
        <v>305</v>
      </c>
      <c r="CI2948" s="5" t="s">
        <v>240</v>
      </c>
      <c r="CK2948" s="5" t="s">
        <v>3681</v>
      </c>
      <c r="CL2948" s="6" t="s">
        <v>261</v>
      </c>
      <c r="CM2948" s="5" t="s">
        <v>262</v>
      </c>
      <c r="CN2948" s="5" t="s">
        <v>263</v>
      </c>
      <c r="CO2948" s="5" t="s">
        <v>264</v>
      </c>
      <c r="CP2948" s="5" t="s">
        <v>240</v>
      </c>
      <c r="CQ2948" s="5">
        <v>0</v>
      </c>
      <c r="CR2948" s="5" t="s">
        <v>735</v>
      </c>
      <c r="CS2948" s="5" t="s">
        <v>307</v>
      </c>
      <c r="CT2948" s="5" t="s">
        <v>307</v>
      </c>
      <c r="CU2948" s="5" t="s">
        <v>260</v>
      </c>
      <c r="CV2948" s="5" t="s">
        <v>612</v>
      </c>
      <c r="CW2948" s="8">
        <f>1</f>
        <v>1</v>
      </c>
      <c r="CX2948" s="7">
        <f>1</f>
        <v>1</v>
      </c>
      <c r="CY2948" s="7">
        <f>0</f>
        <v>0</v>
      </c>
      <c r="DA2948" s="7">
        <f>1</f>
        <v>1</v>
      </c>
      <c r="DB2948" s="7" t="s">
        <v>240</v>
      </c>
      <c r="DC2948" s="5" t="s">
        <v>240</v>
      </c>
      <c r="DD2948" s="5" t="s">
        <v>240</v>
      </c>
      <c r="DE2948" s="5" t="s">
        <v>240</v>
      </c>
      <c r="DF2948" s="5" t="s">
        <v>240</v>
      </c>
      <c r="DG2948" s="7">
        <f>0</f>
        <v>0</v>
      </c>
      <c r="DI2948" s="5" t="s">
        <v>240</v>
      </c>
      <c r="DJ2948" s="5" t="s">
        <v>240</v>
      </c>
      <c r="DK2948" s="5" t="s">
        <v>240</v>
      </c>
      <c r="DL2948" s="5" t="s">
        <v>240</v>
      </c>
      <c r="DM2948" s="5" t="s">
        <v>240</v>
      </c>
      <c r="DN2948" s="5" t="s">
        <v>240</v>
      </c>
      <c r="DO2948" s="7" t="s">
        <v>240</v>
      </c>
      <c r="DP2948" s="5" t="s">
        <v>240</v>
      </c>
      <c r="DQ2948" s="5" t="s">
        <v>240</v>
      </c>
      <c r="DR2948" s="5" t="s">
        <v>731</v>
      </c>
      <c r="DS2948" s="5" t="s">
        <v>731</v>
      </c>
      <c r="DT2948" s="5" t="s">
        <v>240</v>
      </c>
      <c r="DU2948" s="5" t="s">
        <v>240</v>
      </c>
      <c r="DV2948" s="5" t="s">
        <v>5063</v>
      </c>
      <c r="DW2948" s="5" t="s">
        <v>789</v>
      </c>
      <c r="DX2948" s="5" t="s">
        <v>240</v>
      </c>
      <c r="DY2948" s="5" t="s">
        <v>240</v>
      </c>
      <c r="DZ2948" s="5" t="s">
        <v>240</v>
      </c>
      <c r="EA2948" s="5" t="s">
        <v>240</v>
      </c>
      <c r="EB2948" s="5" t="s">
        <v>240</v>
      </c>
      <c r="EC2948" s="5" t="s">
        <v>240</v>
      </c>
      <c r="ED2948" s="5" t="s">
        <v>240</v>
      </c>
      <c r="EE2948" s="5" t="s">
        <v>240</v>
      </c>
      <c r="EF2948" s="5" t="s">
        <v>240</v>
      </c>
      <c r="EG2948" s="5" t="s">
        <v>240</v>
      </c>
      <c r="EH2948" s="5" t="s">
        <v>240</v>
      </c>
      <c r="EI2948" s="5" t="s">
        <v>240</v>
      </c>
      <c r="EJ2948" s="5" t="s">
        <v>240</v>
      </c>
      <c r="EK2948" s="5" t="s">
        <v>240</v>
      </c>
      <c r="EL2948" s="5" t="s">
        <v>240</v>
      </c>
      <c r="EM2948" s="5" t="s">
        <v>240</v>
      </c>
      <c r="EN2948" s="5" t="s">
        <v>240</v>
      </c>
      <c r="EO2948" s="5" t="s">
        <v>240</v>
      </c>
      <c r="EP2948" s="5" t="s">
        <v>240</v>
      </c>
      <c r="EQ2948" s="5" t="s">
        <v>240</v>
      </c>
      <c r="ER2948" s="5" t="s">
        <v>240</v>
      </c>
      <c r="ES2948" s="5" t="s">
        <v>240</v>
      </c>
      <c r="ET2948" s="5" t="s">
        <v>240</v>
      </c>
      <c r="EU2948" s="5" t="s">
        <v>240</v>
      </c>
      <c r="EV2948" s="5" t="s">
        <v>240</v>
      </c>
      <c r="EW2948" s="5" t="s">
        <v>240</v>
      </c>
      <c r="EX2948" s="5" t="s">
        <v>240</v>
      </c>
      <c r="EY2948" s="5" t="s">
        <v>240</v>
      </c>
      <c r="EZ2948" s="5" t="s">
        <v>240</v>
      </c>
      <c r="FA2948" s="5" t="s">
        <v>240</v>
      </c>
      <c r="FB2948" s="5" t="s">
        <v>240</v>
      </c>
      <c r="FC2948" s="5" t="s">
        <v>240</v>
      </c>
      <c r="FD2948" s="5" t="s">
        <v>240</v>
      </c>
      <c r="FE2948" s="5" t="s">
        <v>240</v>
      </c>
      <c r="FF2948" s="5" t="s">
        <v>240</v>
      </c>
      <c r="FG2948" s="5" t="s">
        <v>240</v>
      </c>
      <c r="FH2948" s="5" t="s">
        <v>240</v>
      </c>
      <c r="FI2948" s="5" t="s">
        <v>240</v>
      </c>
      <c r="FJ2948" s="5" t="s">
        <v>240</v>
      </c>
      <c r="FK2948" s="5" t="s">
        <v>240</v>
      </c>
      <c r="FL2948" s="5" t="s">
        <v>240</v>
      </c>
      <c r="FM2948" s="5" t="s">
        <v>240</v>
      </c>
      <c r="FN2948" s="5" t="s">
        <v>240</v>
      </c>
      <c r="FO2948" s="5" t="s">
        <v>240</v>
      </c>
      <c r="FP2948" s="5" t="s">
        <v>240</v>
      </c>
      <c r="FQ2948" s="5" t="s">
        <v>240</v>
      </c>
      <c r="FR2948" s="5" t="s">
        <v>240</v>
      </c>
      <c r="FS2948" s="5" t="s">
        <v>240</v>
      </c>
      <c r="FT2948" s="5" t="s">
        <v>240</v>
      </c>
      <c r="FU2948" s="5" t="s">
        <v>240</v>
      </c>
      <c r="FV2948" s="5" t="s">
        <v>240</v>
      </c>
      <c r="FW2948" s="5" t="s">
        <v>240</v>
      </c>
      <c r="FX2948" s="5" t="s">
        <v>240</v>
      </c>
      <c r="FY2948" s="5" t="s">
        <v>240</v>
      </c>
      <c r="FZ2948" s="5" t="s">
        <v>240</v>
      </c>
      <c r="GA2948" s="5" t="s">
        <v>240</v>
      </c>
      <c r="GB2948" s="5" t="s">
        <v>240</v>
      </c>
      <c r="GC2948" s="5" t="s">
        <v>240</v>
      </c>
      <c r="GD2948" s="5" t="s">
        <v>240</v>
      </c>
      <c r="GE2948" s="5" t="s">
        <v>240</v>
      </c>
      <c r="GF2948" s="5" t="s">
        <v>240</v>
      </c>
      <c r="GG2948" s="5" t="s">
        <v>240</v>
      </c>
      <c r="GH2948" s="5" t="s">
        <v>240</v>
      </c>
      <c r="GI2948" s="5" t="s">
        <v>240</v>
      </c>
      <c r="GJ2948" s="5" t="s">
        <v>240</v>
      </c>
      <c r="GK2948" s="5" t="s">
        <v>240</v>
      </c>
      <c r="GL2948" s="5" t="s">
        <v>240</v>
      </c>
      <c r="GM2948" s="5" t="s">
        <v>240</v>
      </c>
      <c r="GN2948" s="5" t="s">
        <v>240</v>
      </c>
      <c r="GO2948" s="5" t="s">
        <v>240</v>
      </c>
      <c r="GP2948" s="5" t="s">
        <v>240</v>
      </c>
      <c r="GQ2948" s="5" t="s">
        <v>240</v>
      </c>
      <c r="GR2948" s="5" t="s">
        <v>240</v>
      </c>
      <c r="GS2948" s="5" t="s">
        <v>240</v>
      </c>
      <c r="GT2948" s="5" t="s">
        <v>240</v>
      </c>
      <c r="GU2948" s="5" t="s">
        <v>240</v>
      </c>
      <c r="GV2948" s="5" t="s">
        <v>240</v>
      </c>
      <c r="GW2948" s="5" t="s">
        <v>240</v>
      </c>
      <c r="GX2948" s="5" t="s">
        <v>240</v>
      </c>
      <c r="GY2948" s="5" t="s">
        <v>240</v>
      </c>
      <c r="GZ2948" s="5" t="s">
        <v>240</v>
      </c>
      <c r="HA2948" s="5" t="s">
        <v>240</v>
      </c>
      <c r="HB2948" s="5" t="s">
        <v>240</v>
      </c>
      <c r="HC2948" s="5" t="s">
        <v>240</v>
      </c>
      <c r="HD2948" s="5" t="s">
        <v>240</v>
      </c>
      <c r="HE2948" s="5" t="s">
        <v>240</v>
      </c>
      <c r="HF2948" s="5" t="s">
        <v>240</v>
      </c>
      <c r="HG2948" s="5" t="s">
        <v>240</v>
      </c>
      <c r="HH2948" s="5" t="s">
        <v>240</v>
      </c>
      <c r="HI2948" s="5" t="s">
        <v>240</v>
      </c>
      <c r="HJ2948" s="5" t="s">
        <v>240</v>
      </c>
      <c r="HK2948" s="5" t="s">
        <v>240</v>
      </c>
      <c r="HL2948" s="5" t="s">
        <v>240</v>
      </c>
      <c r="HM2948" s="5" t="s">
        <v>240</v>
      </c>
      <c r="HN2948" s="5" t="s">
        <v>240</v>
      </c>
      <c r="HO2948" s="5" t="s">
        <v>312</v>
      </c>
      <c r="HP2948" s="5" t="s">
        <v>240</v>
      </c>
      <c r="HQ2948" s="5" t="s">
        <v>240</v>
      </c>
      <c r="HR2948" s="5" t="s">
        <v>240</v>
      </c>
      <c r="HS2948" s="5" t="s">
        <v>240</v>
      </c>
      <c r="HT2948" s="5" t="s">
        <v>240</v>
      </c>
      <c r="HU2948" s="5" t="s">
        <v>240</v>
      </c>
      <c r="HV2948" s="5" t="s">
        <v>240</v>
      </c>
      <c r="HW2948" s="5" t="s">
        <v>240</v>
      </c>
      <c r="HX2948" s="5" t="s">
        <v>240</v>
      </c>
      <c r="HY2948" s="5" t="s">
        <v>240</v>
      </c>
      <c r="HZ2948" s="5" t="s">
        <v>240</v>
      </c>
      <c r="IA2948" s="5" t="s">
        <v>240</v>
      </c>
      <c r="IB2948" s="5" t="s">
        <v>240</v>
      </c>
      <c r="IC2948" s="5" t="s">
        <v>240</v>
      </c>
      <c r="ID2948" s="5" t="s">
        <v>240</v>
      </c>
      <c r="IE2948" s="5" t="s">
        <v>240</v>
      </c>
      <c r="IF2948" s="5" t="s">
        <v>240</v>
      </c>
    </row>
    <row r="2949" spans="1:240" x14ac:dyDescent="0.4">
      <c r="A2949" s="5">
        <v>4653</v>
      </c>
      <c r="B2949" s="5">
        <v>1</v>
      </c>
      <c r="C2949" s="5">
        <v>1</v>
      </c>
      <c r="D2949" s="5" t="s">
        <v>810</v>
      </c>
      <c r="E2949" s="5" t="s">
        <v>245</v>
      </c>
      <c r="F2949" s="5" t="s">
        <v>254</v>
      </c>
      <c r="G2949" s="5" t="s">
        <v>240</v>
      </c>
      <c r="H2949" s="6" t="s">
        <v>2643</v>
      </c>
      <c r="I2949" s="5" t="s">
        <v>809</v>
      </c>
      <c r="J2949" s="8">
        <f>185</f>
        <v>185</v>
      </c>
      <c r="K2949" s="5" t="s">
        <v>308</v>
      </c>
      <c r="L2949" s="7">
        <f>1</f>
        <v>1</v>
      </c>
      <c r="M2949" s="7">
        <f>1</f>
        <v>1</v>
      </c>
      <c r="N2949" s="5" t="s">
        <v>242</v>
      </c>
      <c r="O2949" s="5">
        <v>1</v>
      </c>
      <c r="P2949" s="5" t="s">
        <v>294</v>
      </c>
      <c r="Q2949" s="5" t="s">
        <v>266</v>
      </c>
      <c r="R2949" s="5" t="s">
        <v>240</v>
      </c>
      <c r="S2949" s="5" t="s">
        <v>240</v>
      </c>
      <c r="T2949" s="5" t="s">
        <v>296</v>
      </c>
      <c r="U2949" s="5" t="s">
        <v>244</v>
      </c>
      <c r="V2949" s="5" t="s">
        <v>240</v>
      </c>
      <c r="Y2949" s="5" t="s">
        <v>240</v>
      </c>
      <c r="Z2949" s="6" t="s">
        <v>298</v>
      </c>
      <c r="AB2949" s="6" t="s">
        <v>240</v>
      </c>
      <c r="AE2949" s="6" t="s">
        <v>299</v>
      </c>
      <c r="AF2949" s="5" t="s">
        <v>248</v>
      </c>
      <c r="AG2949" s="5" t="s">
        <v>249</v>
      </c>
      <c r="AW2949" s="5" t="s">
        <v>251</v>
      </c>
      <c r="AX2949" s="5" t="s">
        <v>240</v>
      </c>
      <c r="AY2949" s="5" t="s">
        <v>253</v>
      </c>
      <c r="AZ2949" s="5" t="s">
        <v>240</v>
      </c>
      <c r="BA2949" s="5" t="s">
        <v>255</v>
      </c>
      <c r="BB2949" s="5" t="s">
        <v>240</v>
      </c>
      <c r="BD2949" s="5" t="s">
        <v>240</v>
      </c>
      <c r="BF2949" s="5" t="s">
        <v>301</v>
      </c>
      <c r="BG2949" s="6" t="s">
        <v>299</v>
      </c>
      <c r="BH2949" s="5" t="s">
        <v>302</v>
      </c>
      <c r="BI2949" s="5" t="s">
        <v>303</v>
      </c>
      <c r="BJ2949" s="5" t="s">
        <v>240</v>
      </c>
      <c r="BK2949" s="8">
        <f>0</f>
        <v>0</v>
      </c>
      <c r="BL2949" s="7">
        <f>0</f>
        <v>0</v>
      </c>
      <c r="BM2949" s="5" t="s">
        <v>258</v>
      </c>
      <c r="BN2949" s="5" t="s">
        <v>259</v>
      </c>
      <c r="CB2949" s="5" t="s">
        <v>240</v>
      </c>
      <c r="CC2949" s="5" t="s">
        <v>240</v>
      </c>
      <c r="CG2949" s="5" t="s">
        <v>304</v>
      </c>
      <c r="CH2949" s="5" t="s">
        <v>305</v>
      </c>
      <c r="CI2949" s="5" t="s">
        <v>240</v>
      </c>
      <c r="CL2949" s="6" t="s">
        <v>261</v>
      </c>
      <c r="CM2949" s="5" t="s">
        <v>240</v>
      </c>
      <c r="CN2949" s="5" t="s">
        <v>263</v>
      </c>
      <c r="CO2949" s="5" t="s">
        <v>240</v>
      </c>
      <c r="CP2949" s="5" t="s">
        <v>240</v>
      </c>
      <c r="CQ2949" s="5">
        <v>0</v>
      </c>
      <c r="CR2949" s="5" t="s">
        <v>306</v>
      </c>
      <c r="CS2949" s="5" t="s">
        <v>307</v>
      </c>
      <c r="CT2949" s="5" t="s">
        <v>307</v>
      </c>
      <c r="CU2949" s="5" t="s">
        <v>260</v>
      </c>
      <c r="CX2949" s="7">
        <f>1</f>
        <v>1</v>
      </c>
      <c r="CY2949" s="7">
        <f>0</f>
        <v>0</v>
      </c>
      <c r="DA2949" s="7">
        <f>0</f>
        <v>0</v>
      </c>
      <c r="DC2949" s="5" t="s">
        <v>309</v>
      </c>
      <c r="DD2949" s="5" t="s">
        <v>240</v>
      </c>
      <c r="DF2949" s="5" t="s">
        <v>309</v>
      </c>
      <c r="DG2949" s="7">
        <f>933</f>
        <v>933</v>
      </c>
      <c r="DI2949" s="5" t="s">
        <v>240</v>
      </c>
      <c r="DJ2949" s="5" t="s">
        <v>240</v>
      </c>
      <c r="DK2949" s="5" t="s">
        <v>240</v>
      </c>
      <c r="DL2949" s="5" t="s">
        <v>240</v>
      </c>
      <c r="DP2949" s="5" t="s">
        <v>240</v>
      </c>
      <c r="DQ2949" s="5" t="s">
        <v>240</v>
      </c>
      <c r="DR2949" s="5" t="s">
        <v>240</v>
      </c>
      <c r="DS2949" s="5" t="s">
        <v>240</v>
      </c>
      <c r="DV2949" s="5" t="s">
        <v>310</v>
      </c>
      <c r="DW2949" s="5" t="s">
        <v>4604</v>
      </c>
      <c r="HO2949" s="5" t="s">
        <v>312</v>
      </c>
    </row>
    <row r="2950" spans="1:240" x14ac:dyDescent="0.4">
      <c r="A2950" s="5">
        <v>4654</v>
      </c>
      <c r="B2950" s="5">
        <v>1</v>
      </c>
      <c r="C2950" s="5">
        <v>1</v>
      </c>
      <c r="D2950" s="5" t="s">
        <v>810</v>
      </c>
      <c r="E2950" s="5" t="s">
        <v>245</v>
      </c>
      <c r="F2950" s="5" t="s">
        <v>254</v>
      </c>
      <c r="G2950" s="5" t="s">
        <v>240</v>
      </c>
      <c r="H2950" s="6" t="s">
        <v>2641</v>
      </c>
      <c r="I2950" s="5" t="s">
        <v>809</v>
      </c>
      <c r="J2950" s="8">
        <f>575</f>
        <v>575</v>
      </c>
      <c r="K2950" s="5" t="s">
        <v>308</v>
      </c>
      <c r="L2950" s="7">
        <f>1</f>
        <v>1</v>
      </c>
      <c r="M2950" s="7">
        <f>1</f>
        <v>1</v>
      </c>
      <c r="N2950" s="5" t="s">
        <v>242</v>
      </c>
      <c r="O2950" s="5">
        <v>1</v>
      </c>
      <c r="P2950" s="5" t="s">
        <v>294</v>
      </c>
      <c r="Q2950" s="5" t="s">
        <v>3678</v>
      </c>
      <c r="R2950" s="5" t="s">
        <v>240</v>
      </c>
      <c r="S2950" s="5" t="s">
        <v>240</v>
      </c>
      <c r="T2950" s="5" t="s">
        <v>243</v>
      </c>
      <c r="U2950" s="5" t="s">
        <v>244</v>
      </c>
      <c r="V2950" s="5" t="s">
        <v>240</v>
      </c>
      <c r="W2950" s="5" t="s">
        <v>240</v>
      </c>
      <c r="X2950" s="5" t="s">
        <v>240</v>
      </c>
      <c r="Y2950" s="5" t="s">
        <v>240</v>
      </c>
      <c r="Z2950" s="6" t="s">
        <v>298</v>
      </c>
      <c r="AA2950" s="6" t="s">
        <v>240</v>
      </c>
      <c r="AB2950" s="6" t="s">
        <v>240</v>
      </c>
      <c r="AC2950" s="5" t="s">
        <v>240</v>
      </c>
      <c r="AD2950" s="6" t="s">
        <v>240</v>
      </c>
      <c r="AE2950" s="6" t="s">
        <v>299</v>
      </c>
      <c r="AF2950" s="5" t="s">
        <v>248</v>
      </c>
      <c r="AG2950" s="5" t="s">
        <v>249</v>
      </c>
      <c r="AH2950" s="5" t="s">
        <v>240</v>
      </c>
      <c r="AI2950" s="5" t="s">
        <v>240</v>
      </c>
      <c r="AJ2950" s="5" t="s">
        <v>240</v>
      </c>
      <c r="AK2950" s="5" t="s">
        <v>240</v>
      </c>
      <c r="AL2950" s="5" t="s">
        <v>240</v>
      </c>
      <c r="AM2950" s="5" t="s">
        <v>240</v>
      </c>
      <c r="AN2950" s="5" t="s">
        <v>240</v>
      </c>
      <c r="AO2950" s="5" t="s">
        <v>240</v>
      </c>
      <c r="AP2950" s="6" t="s">
        <v>240</v>
      </c>
      <c r="AQ2950" s="6" t="s">
        <v>240</v>
      </c>
      <c r="AR2950" s="6" t="s">
        <v>240</v>
      </c>
      <c r="AS2950" s="6" t="s">
        <v>240</v>
      </c>
      <c r="AT2950" s="5" t="s">
        <v>240</v>
      </c>
      <c r="AU2950" s="5" t="s">
        <v>729</v>
      </c>
      <c r="AV2950" s="5" t="s">
        <v>729</v>
      </c>
      <c r="AW2950" s="5" t="s">
        <v>251</v>
      </c>
      <c r="AX2950" s="5" t="s">
        <v>252</v>
      </c>
      <c r="AY2950" s="5" t="s">
        <v>253</v>
      </c>
      <c r="AZ2950" s="5" t="s">
        <v>240</v>
      </c>
      <c r="BA2950" s="5" t="s">
        <v>255</v>
      </c>
      <c r="BB2950" s="5" t="s">
        <v>731</v>
      </c>
      <c r="BD2950" s="5" t="s">
        <v>240</v>
      </c>
      <c r="BF2950" s="5" t="s">
        <v>732</v>
      </c>
      <c r="BG2950" s="6" t="s">
        <v>733</v>
      </c>
      <c r="BH2950" s="5" t="s">
        <v>734</v>
      </c>
      <c r="BI2950" s="5" t="s">
        <v>734</v>
      </c>
      <c r="BJ2950" s="5" t="s">
        <v>240</v>
      </c>
      <c r="BK2950" s="7">
        <f>1</f>
        <v>1</v>
      </c>
      <c r="BL2950" s="7">
        <f>1</f>
        <v>1</v>
      </c>
      <c r="BM2950" s="5" t="s">
        <v>258</v>
      </c>
      <c r="BN2950" s="5" t="s">
        <v>259</v>
      </c>
      <c r="BO2950" s="5" t="s">
        <v>240</v>
      </c>
      <c r="BP2950" s="5" t="s">
        <v>240</v>
      </c>
      <c r="BQ2950" s="5" t="s">
        <v>240</v>
      </c>
      <c r="BR2950" s="5" t="s">
        <v>240</v>
      </c>
      <c r="BS2950" s="5" t="s">
        <v>240</v>
      </c>
      <c r="BT2950" s="5" t="s">
        <v>240</v>
      </c>
      <c r="BU2950" s="5" t="s">
        <v>240</v>
      </c>
      <c r="BV2950" s="5" t="s">
        <v>240</v>
      </c>
      <c r="BW2950" s="6" t="s">
        <v>240</v>
      </c>
      <c r="BX2950" s="5" t="s">
        <v>240</v>
      </c>
      <c r="BY2950" s="5" t="s">
        <v>240</v>
      </c>
      <c r="BZ2950" s="5" t="s">
        <v>240</v>
      </c>
      <c r="CA2950" s="5" t="s">
        <v>259</v>
      </c>
      <c r="CB2950" s="5" t="s">
        <v>240</v>
      </c>
      <c r="CC2950" s="5" t="s">
        <v>240</v>
      </c>
      <c r="CD2950" s="5" t="s">
        <v>240</v>
      </c>
      <c r="CE2950" s="5" t="s">
        <v>240</v>
      </c>
      <c r="CF2950" s="5" t="s">
        <v>240</v>
      </c>
      <c r="CG2950" s="5" t="s">
        <v>304</v>
      </c>
      <c r="CH2950" s="5" t="s">
        <v>305</v>
      </c>
      <c r="CI2950" s="5" t="s">
        <v>240</v>
      </c>
      <c r="CK2950" s="5" t="s">
        <v>3681</v>
      </c>
      <c r="CL2950" s="6" t="s">
        <v>261</v>
      </c>
      <c r="CM2950" s="5" t="s">
        <v>262</v>
      </c>
      <c r="CN2950" s="5" t="s">
        <v>263</v>
      </c>
      <c r="CO2950" s="5" t="s">
        <v>264</v>
      </c>
      <c r="CP2950" s="5" t="s">
        <v>240</v>
      </c>
      <c r="CQ2950" s="5">
        <v>0</v>
      </c>
      <c r="CR2950" s="5" t="s">
        <v>735</v>
      </c>
      <c r="CS2950" s="5" t="s">
        <v>307</v>
      </c>
      <c r="CT2950" s="5" t="s">
        <v>307</v>
      </c>
      <c r="CU2950" s="5" t="s">
        <v>260</v>
      </c>
      <c r="CV2950" s="5" t="s">
        <v>612</v>
      </c>
      <c r="CW2950" s="8">
        <f>1</f>
        <v>1</v>
      </c>
      <c r="CX2950" s="7">
        <f>1</f>
        <v>1</v>
      </c>
      <c r="CY2950" s="7">
        <f>0</f>
        <v>0</v>
      </c>
      <c r="DA2950" s="7">
        <f>1</f>
        <v>1</v>
      </c>
      <c r="DB2950" s="7" t="s">
        <v>240</v>
      </c>
      <c r="DC2950" s="5" t="s">
        <v>240</v>
      </c>
      <c r="DD2950" s="5" t="s">
        <v>240</v>
      </c>
      <c r="DE2950" s="5" t="s">
        <v>240</v>
      </c>
      <c r="DF2950" s="5" t="s">
        <v>240</v>
      </c>
      <c r="DG2950" s="7">
        <f>0</f>
        <v>0</v>
      </c>
      <c r="DI2950" s="5" t="s">
        <v>240</v>
      </c>
      <c r="DJ2950" s="5" t="s">
        <v>240</v>
      </c>
      <c r="DK2950" s="5" t="s">
        <v>240</v>
      </c>
      <c r="DL2950" s="5" t="s">
        <v>240</v>
      </c>
      <c r="DM2950" s="5" t="s">
        <v>240</v>
      </c>
      <c r="DN2950" s="5" t="s">
        <v>240</v>
      </c>
      <c r="DO2950" s="7" t="s">
        <v>240</v>
      </c>
      <c r="DP2950" s="5" t="s">
        <v>240</v>
      </c>
      <c r="DQ2950" s="5" t="s">
        <v>240</v>
      </c>
      <c r="DR2950" s="5" t="s">
        <v>731</v>
      </c>
      <c r="DS2950" s="5" t="s">
        <v>731</v>
      </c>
      <c r="DT2950" s="5" t="s">
        <v>240</v>
      </c>
      <c r="DU2950" s="5" t="s">
        <v>240</v>
      </c>
      <c r="DV2950" s="5" t="s">
        <v>5063</v>
      </c>
      <c r="DW2950" s="5" t="s">
        <v>781</v>
      </c>
      <c r="DX2950" s="5" t="s">
        <v>240</v>
      </c>
      <c r="DY2950" s="5" t="s">
        <v>240</v>
      </c>
      <c r="DZ2950" s="5" t="s">
        <v>240</v>
      </c>
      <c r="EA2950" s="5" t="s">
        <v>240</v>
      </c>
      <c r="EB2950" s="5" t="s">
        <v>240</v>
      </c>
      <c r="EC2950" s="5" t="s">
        <v>240</v>
      </c>
      <c r="ED2950" s="5" t="s">
        <v>240</v>
      </c>
      <c r="EE2950" s="5" t="s">
        <v>240</v>
      </c>
      <c r="EF2950" s="5" t="s">
        <v>240</v>
      </c>
      <c r="EG2950" s="5" t="s">
        <v>240</v>
      </c>
      <c r="EH2950" s="5" t="s">
        <v>240</v>
      </c>
      <c r="EI2950" s="5" t="s">
        <v>240</v>
      </c>
      <c r="EJ2950" s="5" t="s">
        <v>240</v>
      </c>
      <c r="EK2950" s="5" t="s">
        <v>240</v>
      </c>
      <c r="EL2950" s="5" t="s">
        <v>240</v>
      </c>
      <c r="EM2950" s="5" t="s">
        <v>240</v>
      </c>
      <c r="EN2950" s="5" t="s">
        <v>240</v>
      </c>
      <c r="EO2950" s="5" t="s">
        <v>240</v>
      </c>
      <c r="EP2950" s="5" t="s">
        <v>240</v>
      </c>
      <c r="EQ2950" s="5" t="s">
        <v>240</v>
      </c>
      <c r="ER2950" s="5" t="s">
        <v>240</v>
      </c>
      <c r="ES2950" s="5" t="s">
        <v>240</v>
      </c>
      <c r="ET2950" s="5" t="s">
        <v>240</v>
      </c>
      <c r="EU2950" s="5" t="s">
        <v>240</v>
      </c>
      <c r="EV2950" s="5" t="s">
        <v>240</v>
      </c>
      <c r="EW2950" s="5" t="s">
        <v>240</v>
      </c>
      <c r="EX2950" s="5" t="s">
        <v>240</v>
      </c>
      <c r="EY2950" s="5" t="s">
        <v>240</v>
      </c>
      <c r="EZ2950" s="5" t="s">
        <v>240</v>
      </c>
      <c r="FA2950" s="5" t="s">
        <v>240</v>
      </c>
      <c r="FB2950" s="5" t="s">
        <v>240</v>
      </c>
      <c r="FC2950" s="5" t="s">
        <v>240</v>
      </c>
      <c r="FD2950" s="5" t="s">
        <v>240</v>
      </c>
      <c r="FE2950" s="5" t="s">
        <v>240</v>
      </c>
      <c r="FF2950" s="5" t="s">
        <v>240</v>
      </c>
      <c r="FG2950" s="5" t="s">
        <v>240</v>
      </c>
      <c r="FH2950" s="5" t="s">
        <v>240</v>
      </c>
      <c r="FI2950" s="5" t="s">
        <v>240</v>
      </c>
      <c r="FJ2950" s="5" t="s">
        <v>240</v>
      </c>
      <c r="FK2950" s="5" t="s">
        <v>240</v>
      </c>
      <c r="FL2950" s="5" t="s">
        <v>240</v>
      </c>
      <c r="FM2950" s="5" t="s">
        <v>240</v>
      </c>
      <c r="FN2950" s="5" t="s">
        <v>240</v>
      </c>
      <c r="FO2950" s="5" t="s">
        <v>240</v>
      </c>
      <c r="FP2950" s="5" t="s">
        <v>240</v>
      </c>
      <c r="FQ2950" s="5" t="s">
        <v>240</v>
      </c>
      <c r="FR2950" s="5" t="s">
        <v>240</v>
      </c>
      <c r="FS2950" s="5" t="s">
        <v>240</v>
      </c>
      <c r="FT2950" s="5" t="s">
        <v>240</v>
      </c>
      <c r="FU2950" s="5" t="s">
        <v>240</v>
      </c>
      <c r="FV2950" s="5" t="s">
        <v>240</v>
      </c>
      <c r="FW2950" s="5" t="s">
        <v>240</v>
      </c>
      <c r="FX2950" s="5" t="s">
        <v>240</v>
      </c>
      <c r="FY2950" s="5" t="s">
        <v>240</v>
      </c>
      <c r="FZ2950" s="5" t="s">
        <v>240</v>
      </c>
      <c r="GA2950" s="5" t="s">
        <v>240</v>
      </c>
      <c r="GB2950" s="5" t="s">
        <v>240</v>
      </c>
      <c r="GC2950" s="5" t="s">
        <v>240</v>
      </c>
      <c r="GD2950" s="5" t="s">
        <v>240</v>
      </c>
      <c r="GE2950" s="5" t="s">
        <v>240</v>
      </c>
      <c r="GF2950" s="5" t="s">
        <v>240</v>
      </c>
      <c r="GG2950" s="5" t="s">
        <v>240</v>
      </c>
      <c r="GH2950" s="5" t="s">
        <v>240</v>
      </c>
      <c r="GI2950" s="5" t="s">
        <v>240</v>
      </c>
      <c r="GJ2950" s="5" t="s">
        <v>240</v>
      </c>
      <c r="GK2950" s="5" t="s">
        <v>240</v>
      </c>
      <c r="GL2950" s="5" t="s">
        <v>240</v>
      </c>
      <c r="GM2950" s="5" t="s">
        <v>240</v>
      </c>
      <c r="GN2950" s="5" t="s">
        <v>240</v>
      </c>
      <c r="GO2950" s="5" t="s">
        <v>240</v>
      </c>
      <c r="GP2950" s="5" t="s">
        <v>240</v>
      </c>
      <c r="GQ2950" s="5" t="s">
        <v>240</v>
      </c>
      <c r="GR2950" s="5" t="s">
        <v>240</v>
      </c>
      <c r="GS2950" s="5" t="s">
        <v>240</v>
      </c>
      <c r="GT2950" s="5" t="s">
        <v>240</v>
      </c>
      <c r="GU2950" s="5" t="s">
        <v>240</v>
      </c>
      <c r="GV2950" s="5" t="s">
        <v>240</v>
      </c>
      <c r="GW2950" s="5" t="s">
        <v>240</v>
      </c>
      <c r="GX2950" s="5" t="s">
        <v>240</v>
      </c>
      <c r="GY2950" s="5" t="s">
        <v>240</v>
      </c>
      <c r="GZ2950" s="5" t="s">
        <v>240</v>
      </c>
      <c r="HA2950" s="5" t="s">
        <v>240</v>
      </c>
      <c r="HB2950" s="5" t="s">
        <v>240</v>
      </c>
      <c r="HC2950" s="5" t="s">
        <v>240</v>
      </c>
      <c r="HD2950" s="5" t="s">
        <v>240</v>
      </c>
      <c r="HE2950" s="5" t="s">
        <v>240</v>
      </c>
      <c r="HF2950" s="5" t="s">
        <v>240</v>
      </c>
      <c r="HG2950" s="5" t="s">
        <v>240</v>
      </c>
      <c r="HH2950" s="5" t="s">
        <v>240</v>
      </c>
      <c r="HI2950" s="5" t="s">
        <v>240</v>
      </c>
      <c r="HJ2950" s="5" t="s">
        <v>240</v>
      </c>
      <c r="HK2950" s="5" t="s">
        <v>240</v>
      </c>
      <c r="HL2950" s="5" t="s">
        <v>240</v>
      </c>
      <c r="HM2950" s="5" t="s">
        <v>240</v>
      </c>
      <c r="HN2950" s="5" t="s">
        <v>240</v>
      </c>
      <c r="HO2950" s="5" t="s">
        <v>312</v>
      </c>
      <c r="HP2950" s="5" t="s">
        <v>240</v>
      </c>
      <c r="HQ2950" s="5" t="s">
        <v>240</v>
      </c>
      <c r="HR2950" s="5" t="s">
        <v>240</v>
      </c>
      <c r="HS2950" s="5" t="s">
        <v>240</v>
      </c>
      <c r="HT2950" s="5" t="s">
        <v>240</v>
      </c>
      <c r="HU2950" s="5" t="s">
        <v>240</v>
      </c>
      <c r="HV2950" s="5" t="s">
        <v>240</v>
      </c>
      <c r="HW2950" s="5" t="s">
        <v>240</v>
      </c>
      <c r="HX2950" s="5" t="s">
        <v>240</v>
      </c>
      <c r="HY2950" s="5" t="s">
        <v>240</v>
      </c>
      <c r="HZ2950" s="5" t="s">
        <v>240</v>
      </c>
      <c r="IA2950" s="5" t="s">
        <v>240</v>
      </c>
      <c r="IB2950" s="5" t="s">
        <v>240</v>
      </c>
      <c r="IC2950" s="5" t="s">
        <v>240</v>
      </c>
      <c r="ID2950" s="5" t="s">
        <v>240</v>
      </c>
      <c r="IE2950" s="5" t="s">
        <v>240</v>
      </c>
      <c r="IF2950" s="5" t="s">
        <v>240</v>
      </c>
    </row>
    <row r="2951" spans="1:240" x14ac:dyDescent="0.4">
      <c r="A2951" s="5">
        <v>4655</v>
      </c>
      <c r="B2951" s="5">
        <v>1</v>
      </c>
      <c r="C2951" s="5">
        <v>1</v>
      </c>
      <c r="D2951" s="5" t="s">
        <v>810</v>
      </c>
      <c r="E2951" s="5" t="s">
        <v>245</v>
      </c>
      <c r="F2951" s="5" t="s">
        <v>254</v>
      </c>
      <c r="G2951" s="5" t="s">
        <v>240</v>
      </c>
      <c r="H2951" s="6" t="s">
        <v>2639</v>
      </c>
      <c r="I2951" s="5" t="s">
        <v>809</v>
      </c>
      <c r="J2951" s="8">
        <f>759</f>
        <v>759</v>
      </c>
      <c r="K2951" s="5" t="s">
        <v>308</v>
      </c>
      <c r="L2951" s="7">
        <f>1</f>
        <v>1</v>
      </c>
      <c r="M2951" s="7">
        <f>1</f>
        <v>1</v>
      </c>
      <c r="N2951" s="5" t="s">
        <v>242</v>
      </c>
      <c r="O2951" s="5">
        <v>1</v>
      </c>
      <c r="P2951" s="5" t="s">
        <v>294</v>
      </c>
      <c r="Q2951" s="5" t="s">
        <v>3678</v>
      </c>
      <c r="R2951" s="5" t="s">
        <v>240</v>
      </c>
      <c r="S2951" s="5" t="s">
        <v>240</v>
      </c>
      <c r="T2951" s="5" t="s">
        <v>243</v>
      </c>
      <c r="U2951" s="5" t="s">
        <v>244</v>
      </c>
      <c r="V2951" s="5" t="s">
        <v>240</v>
      </c>
      <c r="W2951" s="5" t="s">
        <v>240</v>
      </c>
      <c r="X2951" s="5" t="s">
        <v>240</v>
      </c>
      <c r="Y2951" s="5" t="s">
        <v>240</v>
      </c>
      <c r="Z2951" s="6" t="s">
        <v>298</v>
      </c>
      <c r="AA2951" s="6" t="s">
        <v>240</v>
      </c>
      <c r="AB2951" s="6" t="s">
        <v>240</v>
      </c>
      <c r="AC2951" s="5" t="s">
        <v>240</v>
      </c>
      <c r="AD2951" s="6" t="s">
        <v>240</v>
      </c>
      <c r="AE2951" s="6" t="s">
        <v>299</v>
      </c>
      <c r="AF2951" s="5" t="s">
        <v>248</v>
      </c>
      <c r="AG2951" s="5" t="s">
        <v>249</v>
      </c>
      <c r="AH2951" s="5" t="s">
        <v>240</v>
      </c>
      <c r="AI2951" s="5" t="s">
        <v>240</v>
      </c>
      <c r="AJ2951" s="5" t="s">
        <v>240</v>
      </c>
      <c r="AK2951" s="5" t="s">
        <v>240</v>
      </c>
      <c r="AL2951" s="5" t="s">
        <v>240</v>
      </c>
      <c r="AM2951" s="5" t="s">
        <v>240</v>
      </c>
      <c r="AN2951" s="5" t="s">
        <v>240</v>
      </c>
      <c r="AO2951" s="5" t="s">
        <v>240</v>
      </c>
      <c r="AP2951" s="6" t="s">
        <v>240</v>
      </c>
      <c r="AQ2951" s="6" t="s">
        <v>240</v>
      </c>
      <c r="AR2951" s="6" t="s">
        <v>240</v>
      </c>
      <c r="AS2951" s="6" t="s">
        <v>240</v>
      </c>
      <c r="AT2951" s="5" t="s">
        <v>240</v>
      </c>
      <c r="AU2951" s="5" t="s">
        <v>729</v>
      </c>
      <c r="AV2951" s="5" t="s">
        <v>729</v>
      </c>
      <c r="AW2951" s="5" t="s">
        <v>251</v>
      </c>
      <c r="AX2951" s="5" t="s">
        <v>252</v>
      </c>
      <c r="AY2951" s="5" t="s">
        <v>253</v>
      </c>
      <c r="AZ2951" s="5" t="s">
        <v>240</v>
      </c>
      <c r="BA2951" s="5" t="s">
        <v>255</v>
      </c>
      <c r="BB2951" s="5" t="s">
        <v>731</v>
      </c>
      <c r="BD2951" s="5" t="s">
        <v>240</v>
      </c>
      <c r="BF2951" s="5" t="s">
        <v>732</v>
      </c>
      <c r="BG2951" s="6" t="s">
        <v>733</v>
      </c>
      <c r="BH2951" s="5" t="s">
        <v>734</v>
      </c>
      <c r="BI2951" s="5" t="s">
        <v>734</v>
      </c>
      <c r="BJ2951" s="5" t="s">
        <v>240</v>
      </c>
      <c r="BK2951" s="7">
        <f>1</f>
        <v>1</v>
      </c>
      <c r="BL2951" s="7">
        <f>1</f>
        <v>1</v>
      </c>
      <c r="BM2951" s="5" t="s">
        <v>258</v>
      </c>
      <c r="BN2951" s="5" t="s">
        <v>259</v>
      </c>
      <c r="BO2951" s="5" t="s">
        <v>240</v>
      </c>
      <c r="BP2951" s="5" t="s">
        <v>240</v>
      </c>
      <c r="BQ2951" s="5" t="s">
        <v>240</v>
      </c>
      <c r="BR2951" s="5" t="s">
        <v>240</v>
      </c>
      <c r="BS2951" s="5" t="s">
        <v>240</v>
      </c>
      <c r="BT2951" s="5" t="s">
        <v>240</v>
      </c>
      <c r="BU2951" s="5" t="s">
        <v>240</v>
      </c>
      <c r="BV2951" s="5" t="s">
        <v>240</v>
      </c>
      <c r="BW2951" s="6" t="s">
        <v>240</v>
      </c>
      <c r="BX2951" s="5" t="s">
        <v>240</v>
      </c>
      <c r="BY2951" s="5" t="s">
        <v>240</v>
      </c>
      <c r="BZ2951" s="5" t="s">
        <v>240</v>
      </c>
      <c r="CA2951" s="5" t="s">
        <v>259</v>
      </c>
      <c r="CB2951" s="5" t="s">
        <v>240</v>
      </c>
      <c r="CC2951" s="5" t="s">
        <v>240</v>
      </c>
      <c r="CD2951" s="5" t="s">
        <v>240</v>
      </c>
      <c r="CE2951" s="5" t="s">
        <v>240</v>
      </c>
      <c r="CF2951" s="5" t="s">
        <v>240</v>
      </c>
      <c r="CG2951" s="5" t="s">
        <v>304</v>
      </c>
      <c r="CH2951" s="5" t="s">
        <v>305</v>
      </c>
      <c r="CI2951" s="5" t="s">
        <v>240</v>
      </c>
      <c r="CK2951" s="5" t="s">
        <v>3681</v>
      </c>
      <c r="CL2951" s="6" t="s">
        <v>261</v>
      </c>
      <c r="CM2951" s="5" t="s">
        <v>262</v>
      </c>
      <c r="CN2951" s="5" t="s">
        <v>263</v>
      </c>
      <c r="CO2951" s="5" t="s">
        <v>264</v>
      </c>
      <c r="CP2951" s="5" t="s">
        <v>240</v>
      </c>
      <c r="CQ2951" s="5">
        <v>0</v>
      </c>
      <c r="CR2951" s="5" t="s">
        <v>735</v>
      </c>
      <c r="CS2951" s="5" t="s">
        <v>307</v>
      </c>
      <c r="CT2951" s="5" t="s">
        <v>307</v>
      </c>
      <c r="CU2951" s="5" t="s">
        <v>260</v>
      </c>
      <c r="CV2951" s="5" t="s">
        <v>612</v>
      </c>
      <c r="CW2951" s="8">
        <f>1</f>
        <v>1</v>
      </c>
      <c r="CX2951" s="7">
        <f>1</f>
        <v>1</v>
      </c>
      <c r="CY2951" s="7">
        <f>0</f>
        <v>0</v>
      </c>
      <c r="DA2951" s="7">
        <f>1</f>
        <v>1</v>
      </c>
      <c r="DB2951" s="7" t="s">
        <v>240</v>
      </c>
      <c r="DC2951" s="5" t="s">
        <v>240</v>
      </c>
      <c r="DD2951" s="5" t="s">
        <v>240</v>
      </c>
      <c r="DE2951" s="5" t="s">
        <v>240</v>
      </c>
      <c r="DF2951" s="5" t="s">
        <v>240</v>
      </c>
      <c r="DG2951" s="7">
        <f>0</f>
        <v>0</v>
      </c>
      <c r="DI2951" s="5" t="s">
        <v>240</v>
      </c>
      <c r="DJ2951" s="5" t="s">
        <v>240</v>
      </c>
      <c r="DK2951" s="5" t="s">
        <v>240</v>
      </c>
      <c r="DL2951" s="5" t="s">
        <v>240</v>
      </c>
      <c r="DM2951" s="5" t="s">
        <v>240</v>
      </c>
      <c r="DN2951" s="5" t="s">
        <v>240</v>
      </c>
      <c r="DO2951" s="7" t="s">
        <v>240</v>
      </c>
      <c r="DP2951" s="5" t="s">
        <v>240</v>
      </c>
      <c r="DQ2951" s="5" t="s">
        <v>240</v>
      </c>
      <c r="DR2951" s="5" t="s">
        <v>731</v>
      </c>
      <c r="DS2951" s="5" t="s">
        <v>731</v>
      </c>
      <c r="DT2951" s="5" t="s">
        <v>240</v>
      </c>
      <c r="DU2951" s="5" t="s">
        <v>240</v>
      </c>
      <c r="DV2951" s="5" t="s">
        <v>3683</v>
      </c>
      <c r="DW2951" s="5" t="s">
        <v>532</v>
      </c>
      <c r="DX2951" s="5" t="s">
        <v>240</v>
      </c>
      <c r="DY2951" s="5" t="s">
        <v>240</v>
      </c>
      <c r="DZ2951" s="5" t="s">
        <v>240</v>
      </c>
      <c r="EA2951" s="5" t="s">
        <v>240</v>
      </c>
      <c r="EB2951" s="5" t="s">
        <v>240</v>
      </c>
      <c r="EC2951" s="5" t="s">
        <v>240</v>
      </c>
      <c r="ED2951" s="5" t="s">
        <v>240</v>
      </c>
      <c r="EE2951" s="5" t="s">
        <v>240</v>
      </c>
      <c r="EF2951" s="5" t="s">
        <v>240</v>
      </c>
      <c r="EG2951" s="5" t="s">
        <v>240</v>
      </c>
      <c r="EH2951" s="5" t="s">
        <v>240</v>
      </c>
      <c r="EI2951" s="5" t="s">
        <v>240</v>
      </c>
      <c r="EJ2951" s="5" t="s">
        <v>240</v>
      </c>
      <c r="EK2951" s="5" t="s">
        <v>240</v>
      </c>
      <c r="EL2951" s="5" t="s">
        <v>240</v>
      </c>
      <c r="EM2951" s="5" t="s">
        <v>240</v>
      </c>
      <c r="EN2951" s="5" t="s">
        <v>240</v>
      </c>
      <c r="EO2951" s="5" t="s">
        <v>240</v>
      </c>
      <c r="EP2951" s="5" t="s">
        <v>240</v>
      </c>
      <c r="EQ2951" s="5" t="s">
        <v>240</v>
      </c>
      <c r="ER2951" s="5" t="s">
        <v>240</v>
      </c>
      <c r="ES2951" s="5" t="s">
        <v>240</v>
      </c>
      <c r="ET2951" s="5" t="s">
        <v>240</v>
      </c>
      <c r="EU2951" s="5" t="s">
        <v>240</v>
      </c>
      <c r="EV2951" s="5" t="s">
        <v>240</v>
      </c>
      <c r="EW2951" s="5" t="s">
        <v>240</v>
      </c>
      <c r="EX2951" s="5" t="s">
        <v>240</v>
      </c>
      <c r="EY2951" s="5" t="s">
        <v>240</v>
      </c>
      <c r="EZ2951" s="5" t="s">
        <v>240</v>
      </c>
      <c r="FA2951" s="5" t="s">
        <v>240</v>
      </c>
      <c r="FB2951" s="5" t="s">
        <v>240</v>
      </c>
      <c r="FC2951" s="5" t="s">
        <v>240</v>
      </c>
      <c r="FD2951" s="5" t="s">
        <v>240</v>
      </c>
      <c r="FE2951" s="5" t="s">
        <v>240</v>
      </c>
      <c r="FF2951" s="5" t="s">
        <v>240</v>
      </c>
      <c r="FG2951" s="5" t="s">
        <v>240</v>
      </c>
      <c r="FH2951" s="5" t="s">
        <v>240</v>
      </c>
      <c r="FI2951" s="5" t="s">
        <v>240</v>
      </c>
      <c r="FJ2951" s="5" t="s">
        <v>240</v>
      </c>
      <c r="FK2951" s="5" t="s">
        <v>240</v>
      </c>
      <c r="FL2951" s="5" t="s">
        <v>240</v>
      </c>
      <c r="FM2951" s="5" t="s">
        <v>240</v>
      </c>
      <c r="FN2951" s="5" t="s">
        <v>240</v>
      </c>
      <c r="FO2951" s="5" t="s">
        <v>240</v>
      </c>
      <c r="FP2951" s="5" t="s">
        <v>240</v>
      </c>
      <c r="FQ2951" s="5" t="s">
        <v>240</v>
      </c>
      <c r="FR2951" s="5" t="s">
        <v>240</v>
      </c>
      <c r="FS2951" s="5" t="s">
        <v>240</v>
      </c>
      <c r="FT2951" s="5" t="s">
        <v>240</v>
      </c>
      <c r="FU2951" s="5" t="s">
        <v>240</v>
      </c>
      <c r="FV2951" s="5" t="s">
        <v>240</v>
      </c>
      <c r="FW2951" s="5" t="s">
        <v>240</v>
      </c>
      <c r="FX2951" s="5" t="s">
        <v>240</v>
      </c>
      <c r="FY2951" s="5" t="s">
        <v>240</v>
      </c>
      <c r="FZ2951" s="5" t="s">
        <v>240</v>
      </c>
      <c r="GA2951" s="5" t="s">
        <v>240</v>
      </c>
      <c r="GB2951" s="5" t="s">
        <v>240</v>
      </c>
      <c r="GC2951" s="5" t="s">
        <v>240</v>
      </c>
      <c r="GD2951" s="5" t="s">
        <v>240</v>
      </c>
      <c r="GE2951" s="5" t="s">
        <v>240</v>
      </c>
      <c r="GF2951" s="5" t="s">
        <v>240</v>
      </c>
      <c r="GG2951" s="5" t="s">
        <v>240</v>
      </c>
      <c r="GH2951" s="5" t="s">
        <v>240</v>
      </c>
      <c r="GI2951" s="5" t="s">
        <v>240</v>
      </c>
      <c r="GJ2951" s="5" t="s">
        <v>240</v>
      </c>
      <c r="GK2951" s="5" t="s">
        <v>240</v>
      </c>
      <c r="GL2951" s="5" t="s">
        <v>240</v>
      </c>
      <c r="GM2951" s="5" t="s">
        <v>240</v>
      </c>
      <c r="GN2951" s="5" t="s">
        <v>240</v>
      </c>
      <c r="GO2951" s="5" t="s">
        <v>240</v>
      </c>
      <c r="GP2951" s="5" t="s">
        <v>240</v>
      </c>
      <c r="GQ2951" s="5" t="s">
        <v>240</v>
      </c>
      <c r="GR2951" s="5" t="s">
        <v>240</v>
      </c>
      <c r="GS2951" s="5" t="s">
        <v>240</v>
      </c>
      <c r="GT2951" s="5" t="s">
        <v>240</v>
      </c>
      <c r="GU2951" s="5" t="s">
        <v>240</v>
      </c>
      <c r="GV2951" s="5" t="s">
        <v>240</v>
      </c>
      <c r="GW2951" s="5" t="s">
        <v>240</v>
      </c>
      <c r="GX2951" s="5" t="s">
        <v>240</v>
      </c>
      <c r="GY2951" s="5" t="s">
        <v>240</v>
      </c>
      <c r="GZ2951" s="5" t="s">
        <v>240</v>
      </c>
      <c r="HA2951" s="5" t="s">
        <v>240</v>
      </c>
      <c r="HB2951" s="5" t="s">
        <v>240</v>
      </c>
      <c r="HC2951" s="5" t="s">
        <v>240</v>
      </c>
      <c r="HD2951" s="5" t="s">
        <v>240</v>
      </c>
      <c r="HE2951" s="5" t="s">
        <v>240</v>
      </c>
      <c r="HF2951" s="5" t="s">
        <v>240</v>
      </c>
      <c r="HG2951" s="5" t="s">
        <v>240</v>
      </c>
      <c r="HH2951" s="5" t="s">
        <v>240</v>
      </c>
      <c r="HI2951" s="5" t="s">
        <v>240</v>
      </c>
      <c r="HJ2951" s="5" t="s">
        <v>240</v>
      </c>
      <c r="HK2951" s="5" t="s">
        <v>240</v>
      </c>
      <c r="HL2951" s="5" t="s">
        <v>240</v>
      </c>
      <c r="HM2951" s="5" t="s">
        <v>240</v>
      </c>
      <c r="HN2951" s="5" t="s">
        <v>240</v>
      </c>
      <c r="HO2951" s="5" t="s">
        <v>312</v>
      </c>
      <c r="HP2951" s="5" t="s">
        <v>240</v>
      </c>
      <c r="HQ2951" s="5" t="s">
        <v>240</v>
      </c>
      <c r="HR2951" s="5" t="s">
        <v>240</v>
      </c>
      <c r="HS2951" s="5" t="s">
        <v>240</v>
      </c>
      <c r="HT2951" s="5" t="s">
        <v>240</v>
      </c>
      <c r="HU2951" s="5" t="s">
        <v>240</v>
      </c>
      <c r="HV2951" s="5" t="s">
        <v>240</v>
      </c>
      <c r="HW2951" s="5" t="s">
        <v>240</v>
      </c>
      <c r="HX2951" s="5" t="s">
        <v>240</v>
      </c>
      <c r="HY2951" s="5" t="s">
        <v>240</v>
      </c>
      <c r="HZ2951" s="5" t="s">
        <v>240</v>
      </c>
      <c r="IA2951" s="5" t="s">
        <v>240</v>
      </c>
      <c r="IB2951" s="5" t="s">
        <v>240</v>
      </c>
      <c r="IC2951" s="5" t="s">
        <v>240</v>
      </c>
      <c r="ID2951" s="5" t="s">
        <v>240</v>
      </c>
      <c r="IE2951" s="5" t="s">
        <v>240</v>
      </c>
      <c r="IF2951" s="5" t="s">
        <v>240</v>
      </c>
    </row>
    <row r="2952" spans="1:240" x14ac:dyDescent="0.4">
      <c r="A2952" s="5">
        <v>4656</v>
      </c>
      <c r="B2952" s="5">
        <v>1</v>
      </c>
      <c r="C2952" s="5">
        <v>1</v>
      </c>
      <c r="D2952" s="5" t="s">
        <v>810</v>
      </c>
      <c r="E2952" s="5" t="s">
        <v>245</v>
      </c>
      <c r="F2952" s="5" t="s">
        <v>254</v>
      </c>
      <c r="G2952" s="5" t="s">
        <v>240</v>
      </c>
      <c r="H2952" s="6" t="s">
        <v>2637</v>
      </c>
      <c r="I2952" s="5" t="s">
        <v>809</v>
      </c>
      <c r="J2952" s="8">
        <f>299</f>
        <v>299</v>
      </c>
      <c r="K2952" s="5" t="s">
        <v>308</v>
      </c>
      <c r="L2952" s="7">
        <f>1</f>
        <v>1</v>
      </c>
      <c r="M2952" s="7">
        <f>1</f>
        <v>1</v>
      </c>
      <c r="N2952" s="5" t="s">
        <v>242</v>
      </c>
      <c r="O2952" s="5">
        <v>1</v>
      </c>
      <c r="P2952" s="5" t="s">
        <v>294</v>
      </c>
      <c r="Q2952" s="5" t="s">
        <v>3678</v>
      </c>
      <c r="R2952" s="5" t="s">
        <v>240</v>
      </c>
      <c r="S2952" s="5" t="s">
        <v>240</v>
      </c>
      <c r="T2952" s="5" t="s">
        <v>243</v>
      </c>
      <c r="U2952" s="5" t="s">
        <v>244</v>
      </c>
      <c r="V2952" s="5" t="s">
        <v>240</v>
      </c>
      <c r="W2952" s="5" t="s">
        <v>240</v>
      </c>
      <c r="X2952" s="5" t="s">
        <v>240</v>
      </c>
      <c r="Y2952" s="5" t="s">
        <v>240</v>
      </c>
      <c r="Z2952" s="6" t="s">
        <v>298</v>
      </c>
      <c r="AA2952" s="6" t="s">
        <v>240</v>
      </c>
      <c r="AB2952" s="6" t="s">
        <v>240</v>
      </c>
      <c r="AC2952" s="5" t="s">
        <v>240</v>
      </c>
      <c r="AD2952" s="6" t="s">
        <v>240</v>
      </c>
      <c r="AE2952" s="6" t="s">
        <v>299</v>
      </c>
      <c r="AF2952" s="5" t="s">
        <v>248</v>
      </c>
      <c r="AG2952" s="5" t="s">
        <v>249</v>
      </c>
      <c r="AH2952" s="5" t="s">
        <v>240</v>
      </c>
      <c r="AI2952" s="5" t="s">
        <v>240</v>
      </c>
      <c r="AJ2952" s="5" t="s">
        <v>240</v>
      </c>
      <c r="AK2952" s="5" t="s">
        <v>240</v>
      </c>
      <c r="AL2952" s="5" t="s">
        <v>240</v>
      </c>
      <c r="AM2952" s="5" t="s">
        <v>240</v>
      </c>
      <c r="AN2952" s="5" t="s">
        <v>240</v>
      </c>
      <c r="AO2952" s="5" t="s">
        <v>240</v>
      </c>
      <c r="AP2952" s="6" t="s">
        <v>240</v>
      </c>
      <c r="AQ2952" s="6" t="s">
        <v>240</v>
      </c>
      <c r="AR2952" s="6" t="s">
        <v>240</v>
      </c>
      <c r="AS2952" s="6" t="s">
        <v>240</v>
      </c>
      <c r="AT2952" s="5" t="s">
        <v>240</v>
      </c>
      <c r="AU2952" s="5" t="s">
        <v>729</v>
      </c>
      <c r="AV2952" s="5" t="s">
        <v>729</v>
      </c>
      <c r="AW2952" s="5" t="s">
        <v>251</v>
      </c>
      <c r="AX2952" s="5" t="s">
        <v>252</v>
      </c>
      <c r="AY2952" s="5" t="s">
        <v>253</v>
      </c>
      <c r="AZ2952" s="5" t="s">
        <v>240</v>
      </c>
      <c r="BA2952" s="5" t="s">
        <v>255</v>
      </c>
      <c r="BB2952" s="5" t="s">
        <v>731</v>
      </c>
      <c r="BD2952" s="5" t="s">
        <v>240</v>
      </c>
      <c r="BF2952" s="5" t="s">
        <v>732</v>
      </c>
      <c r="BG2952" s="6" t="s">
        <v>733</v>
      </c>
      <c r="BH2952" s="5" t="s">
        <v>734</v>
      </c>
      <c r="BI2952" s="5" t="s">
        <v>734</v>
      </c>
      <c r="BJ2952" s="5" t="s">
        <v>240</v>
      </c>
      <c r="BK2952" s="7">
        <f>1</f>
        <v>1</v>
      </c>
      <c r="BL2952" s="7">
        <f>1</f>
        <v>1</v>
      </c>
      <c r="BM2952" s="5" t="s">
        <v>258</v>
      </c>
      <c r="BN2952" s="5" t="s">
        <v>259</v>
      </c>
      <c r="BO2952" s="5" t="s">
        <v>240</v>
      </c>
      <c r="BP2952" s="5" t="s">
        <v>240</v>
      </c>
      <c r="BQ2952" s="5" t="s">
        <v>240</v>
      </c>
      <c r="BR2952" s="5" t="s">
        <v>240</v>
      </c>
      <c r="BS2952" s="5" t="s">
        <v>240</v>
      </c>
      <c r="BT2952" s="5" t="s">
        <v>240</v>
      </c>
      <c r="BU2952" s="5" t="s">
        <v>240</v>
      </c>
      <c r="BV2952" s="5" t="s">
        <v>240</v>
      </c>
      <c r="BW2952" s="6" t="s">
        <v>240</v>
      </c>
      <c r="BX2952" s="5" t="s">
        <v>240</v>
      </c>
      <c r="BY2952" s="5" t="s">
        <v>240</v>
      </c>
      <c r="BZ2952" s="5" t="s">
        <v>240</v>
      </c>
      <c r="CA2952" s="5" t="s">
        <v>259</v>
      </c>
      <c r="CB2952" s="5" t="s">
        <v>240</v>
      </c>
      <c r="CC2952" s="5" t="s">
        <v>240</v>
      </c>
      <c r="CD2952" s="5" t="s">
        <v>240</v>
      </c>
      <c r="CE2952" s="5" t="s">
        <v>240</v>
      </c>
      <c r="CF2952" s="5" t="s">
        <v>240</v>
      </c>
      <c r="CG2952" s="5" t="s">
        <v>304</v>
      </c>
      <c r="CH2952" s="5" t="s">
        <v>305</v>
      </c>
      <c r="CI2952" s="5" t="s">
        <v>240</v>
      </c>
      <c r="CK2952" s="5" t="s">
        <v>3681</v>
      </c>
      <c r="CL2952" s="6" t="s">
        <v>261</v>
      </c>
      <c r="CM2952" s="5" t="s">
        <v>262</v>
      </c>
      <c r="CN2952" s="5" t="s">
        <v>263</v>
      </c>
      <c r="CO2952" s="5" t="s">
        <v>264</v>
      </c>
      <c r="CP2952" s="5" t="s">
        <v>240</v>
      </c>
      <c r="CQ2952" s="5">
        <v>0</v>
      </c>
      <c r="CR2952" s="5" t="s">
        <v>735</v>
      </c>
      <c r="CS2952" s="5" t="s">
        <v>307</v>
      </c>
      <c r="CT2952" s="5" t="s">
        <v>307</v>
      </c>
      <c r="CU2952" s="5" t="s">
        <v>260</v>
      </c>
      <c r="CV2952" s="5" t="s">
        <v>612</v>
      </c>
      <c r="CW2952" s="8">
        <f>1</f>
        <v>1</v>
      </c>
      <c r="CX2952" s="7">
        <f>1</f>
        <v>1</v>
      </c>
      <c r="CY2952" s="7">
        <f>0</f>
        <v>0</v>
      </c>
      <c r="DA2952" s="7">
        <f>1</f>
        <v>1</v>
      </c>
      <c r="DB2952" s="7" t="s">
        <v>240</v>
      </c>
      <c r="DC2952" s="5" t="s">
        <v>240</v>
      </c>
      <c r="DD2952" s="5" t="s">
        <v>240</v>
      </c>
      <c r="DE2952" s="5" t="s">
        <v>240</v>
      </c>
      <c r="DF2952" s="5" t="s">
        <v>240</v>
      </c>
      <c r="DG2952" s="7">
        <f>0</f>
        <v>0</v>
      </c>
      <c r="DI2952" s="5" t="s">
        <v>240</v>
      </c>
      <c r="DJ2952" s="5" t="s">
        <v>240</v>
      </c>
      <c r="DK2952" s="5" t="s">
        <v>240</v>
      </c>
      <c r="DL2952" s="5" t="s">
        <v>240</v>
      </c>
      <c r="DM2952" s="5" t="s">
        <v>240</v>
      </c>
      <c r="DN2952" s="5" t="s">
        <v>240</v>
      </c>
      <c r="DO2952" s="7" t="s">
        <v>240</v>
      </c>
      <c r="DP2952" s="5" t="s">
        <v>240</v>
      </c>
      <c r="DQ2952" s="5" t="s">
        <v>240</v>
      </c>
      <c r="DR2952" s="5" t="s">
        <v>731</v>
      </c>
      <c r="DS2952" s="5" t="s">
        <v>731</v>
      </c>
      <c r="DT2952" s="5" t="s">
        <v>240</v>
      </c>
      <c r="DU2952" s="5" t="s">
        <v>240</v>
      </c>
      <c r="DV2952" s="5" t="s">
        <v>5063</v>
      </c>
      <c r="DW2952" s="5" t="s">
        <v>772</v>
      </c>
      <c r="DX2952" s="5" t="s">
        <v>240</v>
      </c>
      <c r="DY2952" s="5" t="s">
        <v>240</v>
      </c>
      <c r="DZ2952" s="5" t="s">
        <v>240</v>
      </c>
      <c r="EA2952" s="5" t="s">
        <v>240</v>
      </c>
      <c r="EB2952" s="5" t="s">
        <v>240</v>
      </c>
      <c r="EC2952" s="5" t="s">
        <v>240</v>
      </c>
      <c r="ED2952" s="5" t="s">
        <v>240</v>
      </c>
      <c r="EE2952" s="5" t="s">
        <v>240</v>
      </c>
      <c r="EF2952" s="5" t="s">
        <v>240</v>
      </c>
      <c r="EG2952" s="5" t="s">
        <v>240</v>
      </c>
      <c r="EH2952" s="5" t="s">
        <v>240</v>
      </c>
      <c r="EI2952" s="5" t="s">
        <v>240</v>
      </c>
      <c r="EJ2952" s="5" t="s">
        <v>240</v>
      </c>
      <c r="EK2952" s="5" t="s">
        <v>240</v>
      </c>
      <c r="EL2952" s="5" t="s">
        <v>240</v>
      </c>
      <c r="EM2952" s="5" t="s">
        <v>240</v>
      </c>
      <c r="EN2952" s="5" t="s">
        <v>240</v>
      </c>
      <c r="EO2952" s="5" t="s">
        <v>240</v>
      </c>
      <c r="EP2952" s="5" t="s">
        <v>240</v>
      </c>
      <c r="EQ2952" s="5" t="s">
        <v>240</v>
      </c>
      <c r="ER2952" s="5" t="s">
        <v>240</v>
      </c>
      <c r="ES2952" s="5" t="s">
        <v>240</v>
      </c>
      <c r="ET2952" s="5" t="s">
        <v>240</v>
      </c>
      <c r="EU2952" s="5" t="s">
        <v>240</v>
      </c>
      <c r="EV2952" s="5" t="s">
        <v>240</v>
      </c>
      <c r="EW2952" s="5" t="s">
        <v>240</v>
      </c>
      <c r="EX2952" s="5" t="s">
        <v>240</v>
      </c>
      <c r="EY2952" s="5" t="s">
        <v>240</v>
      </c>
      <c r="EZ2952" s="5" t="s">
        <v>240</v>
      </c>
      <c r="FA2952" s="5" t="s">
        <v>240</v>
      </c>
      <c r="FB2952" s="5" t="s">
        <v>240</v>
      </c>
      <c r="FC2952" s="5" t="s">
        <v>240</v>
      </c>
      <c r="FD2952" s="5" t="s">
        <v>240</v>
      </c>
      <c r="FE2952" s="5" t="s">
        <v>240</v>
      </c>
      <c r="FF2952" s="5" t="s">
        <v>240</v>
      </c>
      <c r="FG2952" s="5" t="s">
        <v>240</v>
      </c>
      <c r="FH2952" s="5" t="s">
        <v>240</v>
      </c>
      <c r="FI2952" s="5" t="s">
        <v>240</v>
      </c>
      <c r="FJ2952" s="5" t="s">
        <v>240</v>
      </c>
      <c r="FK2952" s="5" t="s">
        <v>240</v>
      </c>
      <c r="FL2952" s="5" t="s">
        <v>240</v>
      </c>
      <c r="FM2952" s="5" t="s">
        <v>240</v>
      </c>
      <c r="FN2952" s="5" t="s">
        <v>240</v>
      </c>
      <c r="FO2952" s="5" t="s">
        <v>240</v>
      </c>
      <c r="FP2952" s="5" t="s">
        <v>240</v>
      </c>
      <c r="FQ2952" s="5" t="s">
        <v>240</v>
      </c>
      <c r="FR2952" s="5" t="s">
        <v>240</v>
      </c>
      <c r="FS2952" s="5" t="s">
        <v>240</v>
      </c>
      <c r="FT2952" s="5" t="s">
        <v>240</v>
      </c>
      <c r="FU2952" s="5" t="s">
        <v>240</v>
      </c>
      <c r="FV2952" s="5" t="s">
        <v>240</v>
      </c>
      <c r="FW2952" s="5" t="s">
        <v>240</v>
      </c>
      <c r="FX2952" s="5" t="s">
        <v>240</v>
      </c>
      <c r="FY2952" s="5" t="s">
        <v>240</v>
      </c>
      <c r="FZ2952" s="5" t="s">
        <v>240</v>
      </c>
      <c r="GA2952" s="5" t="s">
        <v>240</v>
      </c>
      <c r="GB2952" s="5" t="s">
        <v>240</v>
      </c>
      <c r="GC2952" s="5" t="s">
        <v>240</v>
      </c>
      <c r="GD2952" s="5" t="s">
        <v>240</v>
      </c>
      <c r="GE2952" s="5" t="s">
        <v>240</v>
      </c>
      <c r="GF2952" s="5" t="s">
        <v>240</v>
      </c>
      <c r="GG2952" s="5" t="s">
        <v>240</v>
      </c>
      <c r="GH2952" s="5" t="s">
        <v>240</v>
      </c>
      <c r="GI2952" s="5" t="s">
        <v>240</v>
      </c>
      <c r="GJ2952" s="5" t="s">
        <v>240</v>
      </c>
      <c r="GK2952" s="5" t="s">
        <v>240</v>
      </c>
      <c r="GL2952" s="5" t="s">
        <v>240</v>
      </c>
      <c r="GM2952" s="5" t="s">
        <v>240</v>
      </c>
      <c r="GN2952" s="5" t="s">
        <v>240</v>
      </c>
      <c r="GO2952" s="5" t="s">
        <v>240</v>
      </c>
      <c r="GP2952" s="5" t="s">
        <v>240</v>
      </c>
      <c r="GQ2952" s="5" t="s">
        <v>240</v>
      </c>
      <c r="GR2952" s="5" t="s">
        <v>240</v>
      </c>
      <c r="GS2952" s="5" t="s">
        <v>240</v>
      </c>
      <c r="GT2952" s="5" t="s">
        <v>240</v>
      </c>
      <c r="GU2952" s="5" t="s">
        <v>240</v>
      </c>
      <c r="GV2952" s="5" t="s">
        <v>240</v>
      </c>
      <c r="GW2952" s="5" t="s">
        <v>240</v>
      </c>
      <c r="GX2952" s="5" t="s">
        <v>240</v>
      </c>
      <c r="GY2952" s="5" t="s">
        <v>240</v>
      </c>
      <c r="GZ2952" s="5" t="s">
        <v>240</v>
      </c>
      <c r="HA2952" s="5" t="s">
        <v>240</v>
      </c>
      <c r="HB2952" s="5" t="s">
        <v>240</v>
      </c>
      <c r="HC2952" s="5" t="s">
        <v>240</v>
      </c>
      <c r="HD2952" s="5" t="s">
        <v>240</v>
      </c>
      <c r="HE2952" s="5" t="s">
        <v>240</v>
      </c>
      <c r="HF2952" s="5" t="s">
        <v>240</v>
      </c>
      <c r="HG2952" s="5" t="s">
        <v>240</v>
      </c>
      <c r="HH2952" s="5" t="s">
        <v>240</v>
      </c>
      <c r="HI2952" s="5" t="s">
        <v>240</v>
      </c>
      <c r="HJ2952" s="5" t="s">
        <v>240</v>
      </c>
      <c r="HK2952" s="5" t="s">
        <v>240</v>
      </c>
      <c r="HL2952" s="5" t="s">
        <v>240</v>
      </c>
      <c r="HM2952" s="5" t="s">
        <v>240</v>
      </c>
      <c r="HN2952" s="5" t="s">
        <v>240</v>
      </c>
      <c r="HO2952" s="5" t="s">
        <v>312</v>
      </c>
      <c r="HP2952" s="5" t="s">
        <v>240</v>
      </c>
      <c r="HQ2952" s="5" t="s">
        <v>240</v>
      </c>
      <c r="HR2952" s="5" t="s">
        <v>240</v>
      </c>
      <c r="HS2952" s="5" t="s">
        <v>240</v>
      </c>
      <c r="HT2952" s="5" t="s">
        <v>240</v>
      </c>
      <c r="HU2952" s="5" t="s">
        <v>240</v>
      </c>
      <c r="HV2952" s="5" t="s">
        <v>240</v>
      </c>
      <c r="HW2952" s="5" t="s">
        <v>240</v>
      </c>
      <c r="HX2952" s="5" t="s">
        <v>240</v>
      </c>
      <c r="HY2952" s="5" t="s">
        <v>240</v>
      </c>
      <c r="HZ2952" s="5" t="s">
        <v>240</v>
      </c>
      <c r="IA2952" s="5" t="s">
        <v>240</v>
      </c>
      <c r="IB2952" s="5" t="s">
        <v>240</v>
      </c>
      <c r="IC2952" s="5" t="s">
        <v>240</v>
      </c>
      <c r="ID2952" s="5" t="s">
        <v>240</v>
      </c>
      <c r="IE2952" s="5" t="s">
        <v>240</v>
      </c>
      <c r="IF2952" s="5" t="s">
        <v>240</v>
      </c>
    </row>
    <row r="2953" spans="1:240" x14ac:dyDescent="0.4">
      <c r="A2953" s="5">
        <v>4657</v>
      </c>
      <c r="B2953" s="5">
        <v>1</v>
      </c>
      <c r="C2953" s="5">
        <v>1</v>
      </c>
      <c r="D2953" s="5" t="s">
        <v>810</v>
      </c>
      <c r="E2953" s="5" t="s">
        <v>245</v>
      </c>
      <c r="F2953" s="5" t="s">
        <v>254</v>
      </c>
      <c r="G2953" s="5" t="s">
        <v>240</v>
      </c>
      <c r="H2953" s="6" t="s">
        <v>2635</v>
      </c>
      <c r="I2953" s="5" t="s">
        <v>809</v>
      </c>
      <c r="J2953" s="8">
        <f>32</f>
        <v>32</v>
      </c>
      <c r="K2953" s="5" t="s">
        <v>308</v>
      </c>
      <c r="L2953" s="7">
        <f>1</f>
        <v>1</v>
      </c>
      <c r="M2953" s="7">
        <f>1</f>
        <v>1</v>
      </c>
      <c r="N2953" s="5" t="s">
        <v>242</v>
      </c>
      <c r="O2953" s="5">
        <v>1</v>
      </c>
      <c r="P2953" s="5" t="s">
        <v>294</v>
      </c>
      <c r="Q2953" s="5" t="s">
        <v>3678</v>
      </c>
      <c r="R2953" s="5" t="s">
        <v>240</v>
      </c>
      <c r="S2953" s="5" t="s">
        <v>240</v>
      </c>
      <c r="T2953" s="5" t="s">
        <v>243</v>
      </c>
      <c r="U2953" s="5" t="s">
        <v>244</v>
      </c>
      <c r="V2953" s="5" t="s">
        <v>240</v>
      </c>
      <c r="W2953" s="5" t="s">
        <v>240</v>
      </c>
      <c r="X2953" s="5" t="s">
        <v>240</v>
      </c>
      <c r="Y2953" s="5" t="s">
        <v>240</v>
      </c>
      <c r="Z2953" s="6" t="s">
        <v>298</v>
      </c>
      <c r="AA2953" s="6" t="s">
        <v>240</v>
      </c>
      <c r="AB2953" s="6" t="s">
        <v>240</v>
      </c>
      <c r="AC2953" s="5" t="s">
        <v>240</v>
      </c>
      <c r="AD2953" s="6" t="s">
        <v>240</v>
      </c>
      <c r="AE2953" s="6" t="s">
        <v>299</v>
      </c>
      <c r="AF2953" s="5" t="s">
        <v>248</v>
      </c>
      <c r="AG2953" s="5" t="s">
        <v>249</v>
      </c>
      <c r="AH2953" s="5" t="s">
        <v>240</v>
      </c>
      <c r="AI2953" s="5" t="s">
        <v>240</v>
      </c>
      <c r="AJ2953" s="5" t="s">
        <v>240</v>
      </c>
      <c r="AK2953" s="5" t="s">
        <v>240</v>
      </c>
      <c r="AL2953" s="5" t="s">
        <v>240</v>
      </c>
      <c r="AM2953" s="5" t="s">
        <v>240</v>
      </c>
      <c r="AN2953" s="5" t="s">
        <v>240</v>
      </c>
      <c r="AO2953" s="5" t="s">
        <v>240</v>
      </c>
      <c r="AP2953" s="6" t="s">
        <v>240</v>
      </c>
      <c r="AQ2953" s="6" t="s">
        <v>240</v>
      </c>
      <c r="AR2953" s="6" t="s">
        <v>240</v>
      </c>
      <c r="AS2953" s="6" t="s">
        <v>240</v>
      </c>
      <c r="AT2953" s="5" t="s">
        <v>240</v>
      </c>
      <c r="AU2953" s="5" t="s">
        <v>729</v>
      </c>
      <c r="AV2953" s="5" t="s">
        <v>729</v>
      </c>
      <c r="AW2953" s="5" t="s">
        <v>251</v>
      </c>
      <c r="AX2953" s="5" t="s">
        <v>252</v>
      </c>
      <c r="AY2953" s="5" t="s">
        <v>253</v>
      </c>
      <c r="AZ2953" s="5" t="s">
        <v>240</v>
      </c>
      <c r="BA2953" s="5" t="s">
        <v>255</v>
      </c>
      <c r="BB2953" s="5" t="s">
        <v>731</v>
      </c>
      <c r="BD2953" s="5" t="s">
        <v>240</v>
      </c>
      <c r="BF2953" s="5" t="s">
        <v>732</v>
      </c>
      <c r="BG2953" s="6" t="s">
        <v>733</v>
      </c>
      <c r="BH2953" s="5" t="s">
        <v>734</v>
      </c>
      <c r="BI2953" s="5" t="s">
        <v>734</v>
      </c>
      <c r="BJ2953" s="5" t="s">
        <v>240</v>
      </c>
      <c r="BK2953" s="7">
        <f>1</f>
        <v>1</v>
      </c>
      <c r="BL2953" s="7">
        <f>1</f>
        <v>1</v>
      </c>
      <c r="BM2953" s="5" t="s">
        <v>258</v>
      </c>
      <c r="BN2953" s="5" t="s">
        <v>259</v>
      </c>
      <c r="BO2953" s="5" t="s">
        <v>240</v>
      </c>
      <c r="BP2953" s="5" t="s">
        <v>240</v>
      </c>
      <c r="BQ2953" s="5" t="s">
        <v>240</v>
      </c>
      <c r="BR2953" s="5" t="s">
        <v>240</v>
      </c>
      <c r="BS2953" s="5" t="s">
        <v>240</v>
      </c>
      <c r="BT2953" s="5" t="s">
        <v>240</v>
      </c>
      <c r="BU2953" s="5" t="s">
        <v>240</v>
      </c>
      <c r="BV2953" s="5" t="s">
        <v>240</v>
      </c>
      <c r="BW2953" s="6" t="s">
        <v>240</v>
      </c>
      <c r="BX2953" s="5" t="s">
        <v>240</v>
      </c>
      <c r="BY2953" s="5" t="s">
        <v>240</v>
      </c>
      <c r="BZ2953" s="5" t="s">
        <v>240</v>
      </c>
      <c r="CA2953" s="5" t="s">
        <v>259</v>
      </c>
      <c r="CB2953" s="5" t="s">
        <v>240</v>
      </c>
      <c r="CC2953" s="5" t="s">
        <v>240</v>
      </c>
      <c r="CD2953" s="5" t="s">
        <v>240</v>
      </c>
      <c r="CE2953" s="5" t="s">
        <v>240</v>
      </c>
      <c r="CF2953" s="5" t="s">
        <v>240</v>
      </c>
      <c r="CG2953" s="5" t="s">
        <v>304</v>
      </c>
      <c r="CH2953" s="5" t="s">
        <v>305</v>
      </c>
      <c r="CI2953" s="5" t="s">
        <v>240</v>
      </c>
      <c r="CK2953" s="5" t="s">
        <v>3681</v>
      </c>
      <c r="CL2953" s="6" t="s">
        <v>261</v>
      </c>
      <c r="CM2953" s="5" t="s">
        <v>262</v>
      </c>
      <c r="CN2953" s="5" t="s">
        <v>263</v>
      </c>
      <c r="CO2953" s="5" t="s">
        <v>264</v>
      </c>
      <c r="CP2953" s="5" t="s">
        <v>240</v>
      </c>
      <c r="CQ2953" s="5">
        <v>0</v>
      </c>
      <c r="CR2953" s="5" t="s">
        <v>735</v>
      </c>
      <c r="CS2953" s="5" t="s">
        <v>307</v>
      </c>
      <c r="CT2953" s="5" t="s">
        <v>307</v>
      </c>
      <c r="CU2953" s="5" t="s">
        <v>260</v>
      </c>
      <c r="CV2953" s="5" t="s">
        <v>612</v>
      </c>
      <c r="CW2953" s="8">
        <f>1</f>
        <v>1</v>
      </c>
      <c r="CX2953" s="7">
        <f>1</f>
        <v>1</v>
      </c>
      <c r="CY2953" s="7">
        <f>0</f>
        <v>0</v>
      </c>
      <c r="DA2953" s="7">
        <f>1</f>
        <v>1</v>
      </c>
      <c r="DB2953" s="7" t="s">
        <v>240</v>
      </c>
      <c r="DC2953" s="5" t="s">
        <v>240</v>
      </c>
      <c r="DD2953" s="5" t="s">
        <v>240</v>
      </c>
      <c r="DE2953" s="5" t="s">
        <v>240</v>
      </c>
      <c r="DF2953" s="5" t="s">
        <v>240</v>
      </c>
      <c r="DG2953" s="7">
        <f>0</f>
        <v>0</v>
      </c>
      <c r="DI2953" s="5" t="s">
        <v>240</v>
      </c>
      <c r="DJ2953" s="5" t="s">
        <v>240</v>
      </c>
      <c r="DK2953" s="5" t="s">
        <v>240</v>
      </c>
      <c r="DL2953" s="5" t="s">
        <v>240</v>
      </c>
      <c r="DM2953" s="5" t="s">
        <v>240</v>
      </c>
      <c r="DN2953" s="5" t="s">
        <v>240</v>
      </c>
      <c r="DO2953" s="7" t="s">
        <v>240</v>
      </c>
      <c r="DP2953" s="5" t="s">
        <v>240</v>
      </c>
      <c r="DQ2953" s="5" t="s">
        <v>240</v>
      </c>
      <c r="DR2953" s="5" t="s">
        <v>731</v>
      </c>
      <c r="DS2953" s="5" t="s">
        <v>731</v>
      </c>
      <c r="DT2953" s="5" t="s">
        <v>240</v>
      </c>
      <c r="DU2953" s="5" t="s">
        <v>240</v>
      </c>
      <c r="DV2953" s="5" t="s">
        <v>5063</v>
      </c>
      <c r="DW2953" s="5" t="s">
        <v>760</v>
      </c>
      <c r="DX2953" s="5" t="s">
        <v>240</v>
      </c>
      <c r="DY2953" s="5" t="s">
        <v>240</v>
      </c>
      <c r="DZ2953" s="5" t="s">
        <v>240</v>
      </c>
      <c r="EA2953" s="5" t="s">
        <v>240</v>
      </c>
      <c r="EB2953" s="5" t="s">
        <v>240</v>
      </c>
      <c r="EC2953" s="5" t="s">
        <v>240</v>
      </c>
      <c r="ED2953" s="5" t="s">
        <v>240</v>
      </c>
      <c r="EE2953" s="5" t="s">
        <v>240</v>
      </c>
      <c r="EF2953" s="5" t="s">
        <v>240</v>
      </c>
      <c r="EG2953" s="5" t="s">
        <v>240</v>
      </c>
      <c r="EH2953" s="5" t="s">
        <v>240</v>
      </c>
      <c r="EI2953" s="5" t="s">
        <v>240</v>
      </c>
      <c r="EJ2953" s="5" t="s">
        <v>240</v>
      </c>
      <c r="EK2953" s="5" t="s">
        <v>240</v>
      </c>
      <c r="EL2953" s="5" t="s">
        <v>240</v>
      </c>
      <c r="EM2953" s="5" t="s">
        <v>240</v>
      </c>
      <c r="EN2953" s="5" t="s">
        <v>240</v>
      </c>
      <c r="EO2953" s="5" t="s">
        <v>240</v>
      </c>
      <c r="EP2953" s="5" t="s">
        <v>240</v>
      </c>
      <c r="EQ2953" s="5" t="s">
        <v>240</v>
      </c>
      <c r="ER2953" s="5" t="s">
        <v>240</v>
      </c>
      <c r="ES2953" s="5" t="s">
        <v>240</v>
      </c>
      <c r="ET2953" s="5" t="s">
        <v>240</v>
      </c>
      <c r="EU2953" s="5" t="s">
        <v>240</v>
      </c>
      <c r="EV2953" s="5" t="s">
        <v>240</v>
      </c>
      <c r="EW2953" s="5" t="s">
        <v>240</v>
      </c>
      <c r="EX2953" s="5" t="s">
        <v>240</v>
      </c>
      <c r="EY2953" s="5" t="s">
        <v>240</v>
      </c>
      <c r="EZ2953" s="5" t="s">
        <v>240</v>
      </c>
      <c r="FA2953" s="5" t="s">
        <v>240</v>
      </c>
      <c r="FB2953" s="5" t="s">
        <v>240</v>
      </c>
      <c r="FC2953" s="5" t="s">
        <v>240</v>
      </c>
      <c r="FD2953" s="5" t="s">
        <v>240</v>
      </c>
      <c r="FE2953" s="5" t="s">
        <v>240</v>
      </c>
      <c r="FF2953" s="5" t="s">
        <v>240</v>
      </c>
      <c r="FG2953" s="5" t="s">
        <v>240</v>
      </c>
      <c r="FH2953" s="5" t="s">
        <v>240</v>
      </c>
      <c r="FI2953" s="5" t="s">
        <v>240</v>
      </c>
      <c r="FJ2953" s="5" t="s">
        <v>240</v>
      </c>
      <c r="FK2953" s="5" t="s">
        <v>240</v>
      </c>
      <c r="FL2953" s="5" t="s">
        <v>240</v>
      </c>
      <c r="FM2953" s="5" t="s">
        <v>240</v>
      </c>
      <c r="FN2953" s="5" t="s">
        <v>240</v>
      </c>
      <c r="FO2953" s="5" t="s">
        <v>240</v>
      </c>
      <c r="FP2953" s="5" t="s">
        <v>240</v>
      </c>
      <c r="FQ2953" s="5" t="s">
        <v>240</v>
      </c>
      <c r="FR2953" s="5" t="s">
        <v>240</v>
      </c>
      <c r="FS2953" s="5" t="s">
        <v>240</v>
      </c>
      <c r="FT2953" s="5" t="s">
        <v>240</v>
      </c>
      <c r="FU2953" s="5" t="s">
        <v>240</v>
      </c>
      <c r="FV2953" s="5" t="s">
        <v>240</v>
      </c>
      <c r="FW2953" s="5" t="s">
        <v>240</v>
      </c>
      <c r="FX2953" s="5" t="s">
        <v>240</v>
      </c>
      <c r="FY2953" s="5" t="s">
        <v>240</v>
      </c>
      <c r="FZ2953" s="5" t="s">
        <v>240</v>
      </c>
      <c r="GA2953" s="5" t="s">
        <v>240</v>
      </c>
      <c r="GB2953" s="5" t="s">
        <v>240</v>
      </c>
      <c r="GC2953" s="5" t="s">
        <v>240</v>
      </c>
      <c r="GD2953" s="5" t="s">
        <v>240</v>
      </c>
      <c r="GE2953" s="5" t="s">
        <v>240</v>
      </c>
      <c r="GF2953" s="5" t="s">
        <v>240</v>
      </c>
      <c r="GG2953" s="5" t="s">
        <v>240</v>
      </c>
      <c r="GH2953" s="5" t="s">
        <v>240</v>
      </c>
      <c r="GI2953" s="5" t="s">
        <v>240</v>
      </c>
      <c r="GJ2953" s="5" t="s">
        <v>240</v>
      </c>
      <c r="GK2953" s="5" t="s">
        <v>240</v>
      </c>
      <c r="GL2953" s="5" t="s">
        <v>240</v>
      </c>
      <c r="GM2953" s="5" t="s">
        <v>240</v>
      </c>
      <c r="GN2953" s="5" t="s">
        <v>240</v>
      </c>
      <c r="GO2953" s="5" t="s">
        <v>240</v>
      </c>
      <c r="GP2953" s="5" t="s">
        <v>240</v>
      </c>
      <c r="GQ2953" s="5" t="s">
        <v>240</v>
      </c>
      <c r="GR2953" s="5" t="s">
        <v>240</v>
      </c>
      <c r="GS2953" s="5" t="s">
        <v>240</v>
      </c>
      <c r="GT2953" s="5" t="s">
        <v>240</v>
      </c>
      <c r="GU2953" s="5" t="s">
        <v>240</v>
      </c>
      <c r="GV2953" s="5" t="s">
        <v>240</v>
      </c>
      <c r="GW2953" s="5" t="s">
        <v>240</v>
      </c>
      <c r="GX2953" s="5" t="s">
        <v>240</v>
      </c>
      <c r="GY2953" s="5" t="s">
        <v>240</v>
      </c>
      <c r="GZ2953" s="5" t="s">
        <v>240</v>
      </c>
      <c r="HA2953" s="5" t="s">
        <v>240</v>
      </c>
      <c r="HB2953" s="5" t="s">
        <v>240</v>
      </c>
      <c r="HC2953" s="5" t="s">
        <v>240</v>
      </c>
      <c r="HD2953" s="5" t="s">
        <v>240</v>
      </c>
      <c r="HE2953" s="5" t="s">
        <v>240</v>
      </c>
      <c r="HF2953" s="5" t="s">
        <v>240</v>
      </c>
      <c r="HG2953" s="5" t="s">
        <v>240</v>
      </c>
      <c r="HH2953" s="5" t="s">
        <v>240</v>
      </c>
      <c r="HI2953" s="5" t="s">
        <v>240</v>
      </c>
      <c r="HJ2953" s="5" t="s">
        <v>240</v>
      </c>
      <c r="HK2953" s="5" t="s">
        <v>240</v>
      </c>
      <c r="HL2953" s="5" t="s">
        <v>240</v>
      </c>
      <c r="HM2953" s="5" t="s">
        <v>240</v>
      </c>
      <c r="HN2953" s="5" t="s">
        <v>240</v>
      </c>
      <c r="HO2953" s="5" t="s">
        <v>312</v>
      </c>
      <c r="HP2953" s="5" t="s">
        <v>240</v>
      </c>
      <c r="HQ2953" s="5" t="s">
        <v>240</v>
      </c>
      <c r="HR2953" s="5" t="s">
        <v>240</v>
      </c>
      <c r="HS2953" s="5" t="s">
        <v>240</v>
      </c>
      <c r="HT2953" s="5" t="s">
        <v>240</v>
      </c>
      <c r="HU2953" s="5" t="s">
        <v>240</v>
      </c>
      <c r="HV2953" s="5" t="s">
        <v>240</v>
      </c>
      <c r="HW2953" s="5" t="s">
        <v>240</v>
      </c>
      <c r="HX2953" s="5" t="s">
        <v>240</v>
      </c>
      <c r="HY2953" s="5" t="s">
        <v>240</v>
      </c>
      <c r="HZ2953" s="5" t="s">
        <v>240</v>
      </c>
      <c r="IA2953" s="5" t="s">
        <v>240</v>
      </c>
      <c r="IB2953" s="5" t="s">
        <v>240</v>
      </c>
      <c r="IC2953" s="5" t="s">
        <v>240</v>
      </c>
      <c r="ID2953" s="5" t="s">
        <v>240</v>
      </c>
      <c r="IE2953" s="5" t="s">
        <v>240</v>
      </c>
      <c r="IF2953" s="5" t="s">
        <v>240</v>
      </c>
    </row>
    <row r="2954" spans="1:240" x14ac:dyDescent="0.4">
      <c r="A2954" s="5">
        <v>4658</v>
      </c>
      <c r="B2954" s="5">
        <v>1</v>
      </c>
      <c r="C2954" s="5">
        <v>1</v>
      </c>
      <c r="D2954" s="5" t="s">
        <v>810</v>
      </c>
      <c r="E2954" s="5" t="s">
        <v>245</v>
      </c>
      <c r="F2954" s="5" t="s">
        <v>254</v>
      </c>
      <c r="G2954" s="5" t="s">
        <v>240</v>
      </c>
      <c r="H2954" s="6" t="s">
        <v>2633</v>
      </c>
      <c r="I2954" s="5" t="s">
        <v>809</v>
      </c>
      <c r="J2954" s="8">
        <f>604</f>
        <v>604</v>
      </c>
      <c r="K2954" s="5" t="s">
        <v>308</v>
      </c>
      <c r="L2954" s="7">
        <f>1</f>
        <v>1</v>
      </c>
      <c r="M2954" s="7">
        <f>1</f>
        <v>1</v>
      </c>
      <c r="N2954" s="5" t="s">
        <v>242</v>
      </c>
      <c r="O2954" s="5">
        <v>1</v>
      </c>
      <c r="P2954" s="5" t="s">
        <v>294</v>
      </c>
      <c r="Q2954" s="5" t="s">
        <v>266</v>
      </c>
      <c r="R2954" s="5" t="s">
        <v>240</v>
      </c>
      <c r="S2954" s="5" t="s">
        <v>240</v>
      </c>
      <c r="T2954" s="5" t="s">
        <v>243</v>
      </c>
      <c r="U2954" s="5" t="s">
        <v>240</v>
      </c>
      <c r="V2954" s="5" t="s">
        <v>240</v>
      </c>
      <c r="Y2954" s="5" t="s">
        <v>240</v>
      </c>
      <c r="Z2954" s="6" t="s">
        <v>5179</v>
      </c>
      <c r="AB2954" s="6" t="s">
        <v>240</v>
      </c>
      <c r="AE2954" s="6" t="s">
        <v>483</v>
      </c>
      <c r="AF2954" s="5" t="s">
        <v>248</v>
      </c>
      <c r="AG2954" s="5" t="s">
        <v>249</v>
      </c>
      <c r="AW2954" s="5" t="s">
        <v>251</v>
      </c>
      <c r="AX2954" s="5" t="s">
        <v>240</v>
      </c>
      <c r="AY2954" s="5" t="s">
        <v>253</v>
      </c>
      <c r="AZ2954" s="5" t="s">
        <v>240</v>
      </c>
      <c r="BA2954" s="5" t="s">
        <v>255</v>
      </c>
      <c r="BB2954" s="5" t="s">
        <v>240</v>
      </c>
      <c r="BD2954" s="5" t="s">
        <v>240</v>
      </c>
      <c r="BF2954" s="5" t="s">
        <v>687</v>
      </c>
      <c r="BG2954" s="6" t="s">
        <v>5179</v>
      </c>
      <c r="BH2954" s="5" t="s">
        <v>302</v>
      </c>
      <c r="BI2954" s="5" t="s">
        <v>448</v>
      </c>
      <c r="BJ2954" s="5" t="s">
        <v>240</v>
      </c>
      <c r="BK2954" s="8">
        <f>0</f>
        <v>0</v>
      </c>
      <c r="BL2954" s="7">
        <f>0</f>
        <v>0</v>
      </c>
      <c r="BM2954" s="5" t="s">
        <v>258</v>
      </c>
      <c r="BN2954" s="5" t="s">
        <v>259</v>
      </c>
      <c r="CB2954" s="5" t="s">
        <v>240</v>
      </c>
      <c r="CC2954" s="5" t="s">
        <v>240</v>
      </c>
      <c r="CG2954" s="5" t="s">
        <v>449</v>
      </c>
      <c r="CH2954" s="5" t="s">
        <v>305</v>
      </c>
      <c r="CI2954" s="5" t="s">
        <v>240</v>
      </c>
      <c r="CL2954" s="6" t="s">
        <v>261</v>
      </c>
      <c r="CM2954" s="5" t="s">
        <v>240</v>
      </c>
      <c r="CN2954" s="5" t="s">
        <v>263</v>
      </c>
      <c r="CO2954" s="5" t="s">
        <v>240</v>
      </c>
      <c r="CP2954" s="5" t="s">
        <v>240</v>
      </c>
      <c r="CQ2954" s="5">
        <v>0</v>
      </c>
      <c r="CR2954" s="5" t="s">
        <v>306</v>
      </c>
      <c r="CS2954" s="5" t="s">
        <v>307</v>
      </c>
      <c r="CT2954" s="5" t="s">
        <v>307</v>
      </c>
      <c r="CU2954" s="5" t="s">
        <v>260</v>
      </c>
      <c r="CX2954" s="7">
        <f>165977</f>
        <v>165977</v>
      </c>
      <c r="CY2954" s="7">
        <f>0</f>
        <v>0</v>
      </c>
      <c r="DA2954" s="7">
        <f>0</f>
        <v>0</v>
      </c>
      <c r="DC2954" s="5" t="s">
        <v>450</v>
      </c>
      <c r="DD2954" s="5" t="s">
        <v>240</v>
      </c>
      <c r="DF2954" s="5" t="s">
        <v>450</v>
      </c>
      <c r="DG2954" s="7">
        <f>12.67</f>
        <v>12.67</v>
      </c>
      <c r="DI2954" s="5" t="s">
        <v>240</v>
      </c>
      <c r="DJ2954" s="5" t="s">
        <v>240</v>
      </c>
      <c r="DK2954" s="5" t="s">
        <v>240</v>
      </c>
      <c r="DL2954" s="5" t="s">
        <v>240</v>
      </c>
      <c r="DP2954" s="5" t="s">
        <v>240</v>
      </c>
      <c r="DQ2954" s="5" t="s">
        <v>240</v>
      </c>
      <c r="DR2954" s="5" t="s">
        <v>240</v>
      </c>
      <c r="DS2954" s="5" t="s">
        <v>240</v>
      </c>
      <c r="DV2954" s="5" t="s">
        <v>310</v>
      </c>
      <c r="DW2954" s="5" t="s">
        <v>4678</v>
      </c>
      <c r="HO2954" s="5" t="s">
        <v>312</v>
      </c>
    </row>
    <row r="2955" spans="1:240" x14ac:dyDescent="0.4">
      <c r="A2955" s="5">
        <v>4659</v>
      </c>
      <c r="B2955" s="5">
        <v>1</v>
      </c>
      <c r="C2955" s="5">
        <v>1</v>
      </c>
      <c r="D2955" s="5" t="s">
        <v>810</v>
      </c>
      <c r="E2955" s="5" t="s">
        <v>245</v>
      </c>
      <c r="F2955" s="5" t="s">
        <v>254</v>
      </c>
      <c r="G2955" s="5" t="s">
        <v>240</v>
      </c>
      <c r="H2955" s="6" t="s">
        <v>2631</v>
      </c>
      <c r="I2955" s="5" t="s">
        <v>809</v>
      </c>
      <c r="J2955" s="8">
        <f>1968</f>
        <v>1968</v>
      </c>
      <c r="K2955" s="5" t="s">
        <v>308</v>
      </c>
      <c r="L2955" s="7">
        <f>1</f>
        <v>1</v>
      </c>
      <c r="M2955" s="7">
        <f>1</f>
        <v>1</v>
      </c>
      <c r="N2955" s="5" t="s">
        <v>242</v>
      </c>
      <c r="O2955" s="5">
        <v>1</v>
      </c>
      <c r="P2955" s="5" t="s">
        <v>294</v>
      </c>
      <c r="Q2955" s="5" t="s">
        <v>3678</v>
      </c>
      <c r="R2955" s="5" t="s">
        <v>240</v>
      </c>
      <c r="S2955" s="5" t="s">
        <v>240</v>
      </c>
      <c r="T2955" s="5" t="s">
        <v>243</v>
      </c>
      <c r="U2955" s="5" t="s">
        <v>244</v>
      </c>
      <c r="V2955" s="5" t="s">
        <v>240</v>
      </c>
      <c r="W2955" s="5" t="s">
        <v>240</v>
      </c>
      <c r="X2955" s="5" t="s">
        <v>240</v>
      </c>
      <c r="Y2955" s="5" t="s">
        <v>240</v>
      </c>
      <c r="Z2955" s="6" t="s">
        <v>298</v>
      </c>
      <c r="AA2955" s="6" t="s">
        <v>240</v>
      </c>
      <c r="AB2955" s="6" t="s">
        <v>240</v>
      </c>
      <c r="AC2955" s="5" t="s">
        <v>240</v>
      </c>
      <c r="AD2955" s="6" t="s">
        <v>240</v>
      </c>
      <c r="AE2955" s="6" t="s">
        <v>299</v>
      </c>
      <c r="AF2955" s="5" t="s">
        <v>248</v>
      </c>
      <c r="AG2955" s="5" t="s">
        <v>249</v>
      </c>
      <c r="AH2955" s="5" t="s">
        <v>240</v>
      </c>
      <c r="AI2955" s="5" t="s">
        <v>240</v>
      </c>
      <c r="AJ2955" s="5" t="s">
        <v>240</v>
      </c>
      <c r="AK2955" s="5" t="s">
        <v>240</v>
      </c>
      <c r="AL2955" s="5" t="s">
        <v>240</v>
      </c>
      <c r="AM2955" s="5" t="s">
        <v>240</v>
      </c>
      <c r="AN2955" s="5" t="s">
        <v>240</v>
      </c>
      <c r="AO2955" s="5" t="s">
        <v>240</v>
      </c>
      <c r="AP2955" s="6" t="s">
        <v>240</v>
      </c>
      <c r="AQ2955" s="6" t="s">
        <v>240</v>
      </c>
      <c r="AR2955" s="6" t="s">
        <v>240</v>
      </c>
      <c r="AS2955" s="6" t="s">
        <v>240</v>
      </c>
      <c r="AT2955" s="5" t="s">
        <v>240</v>
      </c>
      <c r="AU2955" s="5" t="s">
        <v>729</v>
      </c>
      <c r="AV2955" s="5" t="s">
        <v>729</v>
      </c>
      <c r="AW2955" s="5" t="s">
        <v>251</v>
      </c>
      <c r="AX2955" s="5" t="s">
        <v>252</v>
      </c>
      <c r="AY2955" s="5" t="s">
        <v>253</v>
      </c>
      <c r="AZ2955" s="5" t="s">
        <v>240</v>
      </c>
      <c r="BA2955" s="5" t="s">
        <v>255</v>
      </c>
      <c r="BB2955" s="5" t="s">
        <v>731</v>
      </c>
      <c r="BD2955" s="5" t="s">
        <v>240</v>
      </c>
      <c r="BF2955" s="5" t="s">
        <v>732</v>
      </c>
      <c r="BG2955" s="6" t="s">
        <v>733</v>
      </c>
      <c r="BH2955" s="5" t="s">
        <v>734</v>
      </c>
      <c r="BI2955" s="5" t="s">
        <v>734</v>
      </c>
      <c r="BJ2955" s="5" t="s">
        <v>240</v>
      </c>
      <c r="BK2955" s="7">
        <f>1</f>
        <v>1</v>
      </c>
      <c r="BL2955" s="7">
        <f>1</f>
        <v>1</v>
      </c>
      <c r="BM2955" s="5" t="s">
        <v>258</v>
      </c>
      <c r="BN2955" s="5" t="s">
        <v>259</v>
      </c>
      <c r="BO2955" s="5" t="s">
        <v>240</v>
      </c>
      <c r="BP2955" s="5" t="s">
        <v>240</v>
      </c>
      <c r="BQ2955" s="5" t="s">
        <v>240</v>
      </c>
      <c r="BR2955" s="5" t="s">
        <v>240</v>
      </c>
      <c r="BS2955" s="5" t="s">
        <v>240</v>
      </c>
      <c r="BT2955" s="5" t="s">
        <v>240</v>
      </c>
      <c r="BU2955" s="5" t="s">
        <v>240</v>
      </c>
      <c r="BV2955" s="5" t="s">
        <v>240</v>
      </c>
      <c r="BW2955" s="6" t="s">
        <v>240</v>
      </c>
      <c r="BX2955" s="5" t="s">
        <v>240</v>
      </c>
      <c r="BY2955" s="5" t="s">
        <v>240</v>
      </c>
      <c r="BZ2955" s="5" t="s">
        <v>240</v>
      </c>
      <c r="CA2955" s="5" t="s">
        <v>259</v>
      </c>
      <c r="CB2955" s="5" t="s">
        <v>240</v>
      </c>
      <c r="CC2955" s="5" t="s">
        <v>240</v>
      </c>
      <c r="CD2955" s="5" t="s">
        <v>240</v>
      </c>
      <c r="CE2955" s="5" t="s">
        <v>240</v>
      </c>
      <c r="CF2955" s="5" t="s">
        <v>240</v>
      </c>
      <c r="CG2955" s="5" t="s">
        <v>304</v>
      </c>
      <c r="CH2955" s="5" t="s">
        <v>305</v>
      </c>
      <c r="CI2955" s="5" t="s">
        <v>240</v>
      </c>
      <c r="CK2955" s="5" t="s">
        <v>3681</v>
      </c>
      <c r="CL2955" s="6" t="s">
        <v>261</v>
      </c>
      <c r="CM2955" s="5" t="s">
        <v>262</v>
      </c>
      <c r="CN2955" s="5" t="s">
        <v>263</v>
      </c>
      <c r="CO2955" s="5" t="s">
        <v>264</v>
      </c>
      <c r="CP2955" s="5" t="s">
        <v>240</v>
      </c>
      <c r="CQ2955" s="5">
        <v>0</v>
      </c>
      <c r="CR2955" s="5" t="s">
        <v>735</v>
      </c>
      <c r="CS2955" s="5" t="s">
        <v>307</v>
      </c>
      <c r="CT2955" s="5" t="s">
        <v>307</v>
      </c>
      <c r="CU2955" s="5" t="s">
        <v>260</v>
      </c>
      <c r="CV2955" s="5" t="s">
        <v>612</v>
      </c>
      <c r="CW2955" s="8">
        <f>1</f>
        <v>1</v>
      </c>
      <c r="CX2955" s="7">
        <f>1</f>
        <v>1</v>
      </c>
      <c r="CY2955" s="7">
        <f>0</f>
        <v>0</v>
      </c>
      <c r="DA2955" s="7">
        <f>1</f>
        <v>1</v>
      </c>
      <c r="DB2955" s="7" t="s">
        <v>240</v>
      </c>
      <c r="DC2955" s="5" t="s">
        <v>240</v>
      </c>
      <c r="DD2955" s="5" t="s">
        <v>240</v>
      </c>
      <c r="DE2955" s="5" t="s">
        <v>240</v>
      </c>
      <c r="DF2955" s="5" t="s">
        <v>240</v>
      </c>
      <c r="DG2955" s="7">
        <f>0</f>
        <v>0</v>
      </c>
      <c r="DI2955" s="5" t="s">
        <v>240</v>
      </c>
      <c r="DJ2955" s="5" t="s">
        <v>240</v>
      </c>
      <c r="DK2955" s="5" t="s">
        <v>240</v>
      </c>
      <c r="DL2955" s="5" t="s">
        <v>240</v>
      </c>
      <c r="DM2955" s="5" t="s">
        <v>240</v>
      </c>
      <c r="DN2955" s="5" t="s">
        <v>240</v>
      </c>
      <c r="DO2955" s="7" t="s">
        <v>240</v>
      </c>
      <c r="DP2955" s="5" t="s">
        <v>240</v>
      </c>
      <c r="DQ2955" s="5" t="s">
        <v>240</v>
      </c>
      <c r="DR2955" s="5" t="s">
        <v>731</v>
      </c>
      <c r="DS2955" s="5" t="s">
        <v>731</v>
      </c>
      <c r="DT2955" s="5" t="s">
        <v>240</v>
      </c>
      <c r="DU2955" s="5" t="s">
        <v>240</v>
      </c>
      <c r="DV2955" s="5" t="s">
        <v>3683</v>
      </c>
      <c r="DW2955" s="5" t="s">
        <v>540</v>
      </c>
      <c r="DX2955" s="5" t="s">
        <v>240</v>
      </c>
      <c r="DY2955" s="5" t="s">
        <v>240</v>
      </c>
      <c r="DZ2955" s="5" t="s">
        <v>240</v>
      </c>
      <c r="EA2955" s="5" t="s">
        <v>240</v>
      </c>
      <c r="EB2955" s="5" t="s">
        <v>240</v>
      </c>
      <c r="EC2955" s="5" t="s">
        <v>240</v>
      </c>
      <c r="ED2955" s="5" t="s">
        <v>240</v>
      </c>
      <c r="EE2955" s="5" t="s">
        <v>240</v>
      </c>
      <c r="EF2955" s="5" t="s">
        <v>240</v>
      </c>
      <c r="EG2955" s="5" t="s">
        <v>240</v>
      </c>
      <c r="EH2955" s="5" t="s">
        <v>240</v>
      </c>
      <c r="EI2955" s="5" t="s">
        <v>240</v>
      </c>
      <c r="EJ2955" s="5" t="s">
        <v>240</v>
      </c>
      <c r="EK2955" s="5" t="s">
        <v>240</v>
      </c>
      <c r="EL2955" s="5" t="s">
        <v>240</v>
      </c>
      <c r="EM2955" s="5" t="s">
        <v>240</v>
      </c>
      <c r="EN2955" s="5" t="s">
        <v>240</v>
      </c>
      <c r="EO2955" s="5" t="s">
        <v>240</v>
      </c>
      <c r="EP2955" s="5" t="s">
        <v>240</v>
      </c>
      <c r="EQ2955" s="5" t="s">
        <v>240</v>
      </c>
      <c r="ER2955" s="5" t="s">
        <v>240</v>
      </c>
      <c r="ES2955" s="5" t="s">
        <v>240</v>
      </c>
      <c r="ET2955" s="5" t="s">
        <v>240</v>
      </c>
      <c r="EU2955" s="5" t="s">
        <v>240</v>
      </c>
      <c r="EV2955" s="5" t="s">
        <v>240</v>
      </c>
      <c r="EW2955" s="5" t="s">
        <v>240</v>
      </c>
      <c r="EX2955" s="5" t="s">
        <v>240</v>
      </c>
      <c r="EY2955" s="5" t="s">
        <v>240</v>
      </c>
      <c r="EZ2955" s="5" t="s">
        <v>240</v>
      </c>
      <c r="FA2955" s="5" t="s">
        <v>240</v>
      </c>
      <c r="FB2955" s="5" t="s">
        <v>240</v>
      </c>
      <c r="FC2955" s="5" t="s">
        <v>240</v>
      </c>
      <c r="FD2955" s="5" t="s">
        <v>240</v>
      </c>
      <c r="FE2955" s="5" t="s">
        <v>240</v>
      </c>
      <c r="FF2955" s="5" t="s">
        <v>240</v>
      </c>
      <c r="FG2955" s="5" t="s">
        <v>240</v>
      </c>
      <c r="FH2955" s="5" t="s">
        <v>240</v>
      </c>
      <c r="FI2955" s="5" t="s">
        <v>240</v>
      </c>
      <c r="FJ2955" s="5" t="s">
        <v>240</v>
      </c>
      <c r="FK2955" s="5" t="s">
        <v>240</v>
      </c>
      <c r="FL2955" s="5" t="s">
        <v>240</v>
      </c>
      <c r="FM2955" s="5" t="s">
        <v>240</v>
      </c>
      <c r="FN2955" s="5" t="s">
        <v>240</v>
      </c>
      <c r="FO2955" s="5" t="s">
        <v>240</v>
      </c>
      <c r="FP2955" s="5" t="s">
        <v>240</v>
      </c>
      <c r="FQ2955" s="5" t="s">
        <v>240</v>
      </c>
      <c r="FR2955" s="5" t="s">
        <v>240</v>
      </c>
      <c r="FS2955" s="5" t="s">
        <v>240</v>
      </c>
      <c r="FT2955" s="5" t="s">
        <v>240</v>
      </c>
      <c r="FU2955" s="5" t="s">
        <v>240</v>
      </c>
      <c r="FV2955" s="5" t="s">
        <v>240</v>
      </c>
      <c r="FW2955" s="5" t="s">
        <v>240</v>
      </c>
      <c r="FX2955" s="5" t="s">
        <v>240</v>
      </c>
      <c r="FY2955" s="5" t="s">
        <v>240</v>
      </c>
      <c r="FZ2955" s="5" t="s">
        <v>240</v>
      </c>
      <c r="GA2955" s="5" t="s">
        <v>240</v>
      </c>
      <c r="GB2955" s="5" t="s">
        <v>240</v>
      </c>
      <c r="GC2955" s="5" t="s">
        <v>240</v>
      </c>
      <c r="GD2955" s="5" t="s">
        <v>240</v>
      </c>
      <c r="GE2955" s="5" t="s">
        <v>240</v>
      </c>
      <c r="GF2955" s="5" t="s">
        <v>240</v>
      </c>
      <c r="GG2955" s="5" t="s">
        <v>240</v>
      </c>
      <c r="GH2955" s="5" t="s">
        <v>240</v>
      </c>
      <c r="GI2955" s="5" t="s">
        <v>240</v>
      </c>
      <c r="GJ2955" s="5" t="s">
        <v>240</v>
      </c>
      <c r="GK2955" s="5" t="s">
        <v>240</v>
      </c>
      <c r="GL2955" s="5" t="s">
        <v>240</v>
      </c>
      <c r="GM2955" s="5" t="s">
        <v>240</v>
      </c>
      <c r="GN2955" s="5" t="s">
        <v>240</v>
      </c>
      <c r="GO2955" s="5" t="s">
        <v>240</v>
      </c>
      <c r="GP2955" s="5" t="s">
        <v>240</v>
      </c>
      <c r="GQ2955" s="5" t="s">
        <v>240</v>
      </c>
      <c r="GR2955" s="5" t="s">
        <v>240</v>
      </c>
      <c r="GS2955" s="5" t="s">
        <v>240</v>
      </c>
      <c r="GT2955" s="5" t="s">
        <v>240</v>
      </c>
      <c r="GU2955" s="5" t="s">
        <v>240</v>
      </c>
      <c r="GV2955" s="5" t="s">
        <v>240</v>
      </c>
      <c r="GW2955" s="5" t="s">
        <v>240</v>
      </c>
      <c r="GX2955" s="5" t="s">
        <v>240</v>
      </c>
      <c r="GY2955" s="5" t="s">
        <v>240</v>
      </c>
      <c r="GZ2955" s="5" t="s">
        <v>240</v>
      </c>
      <c r="HA2955" s="5" t="s">
        <v>240</v>
      </c>
      <c r="HB2955" s="5" t="s">
        <v>240</v>
      </c>
      <c r="HC2955" s="5" t="s">
        <v>240</v>
      </c>
      <c r="HD2955" s="5" t="s">
        <v>240</v>
      </c>
      <c r="HE2955" s="5" t="s">
        <v>240</v>
      </c>
      <c r="HF2955" s="5" t="s">
        <v>240</v>
      </c>
      <c r="HG2955" s="5" t="s">
        <v>240</v>
      </c>
      <c r="HH2955" s="5" t="s">
        <v>240</v>
      </c>
      <c r="HI2955" s="5" t="s">
        <v>240</v>
      </c>
      <c r="HJ2955" s="5" t="s">
        <v>240</v>
      </c>
      <c r="HK2955" s="5" t="s">
        <v>240</v>
      </c>
      <c r="HL2955" s="5" t="s">
        <v>240</v>
      </c>
      <c r="HM2955" s="5" t="s">
        <v>240</v>
      </c>
      <c r="HN2955" s="5" t="s">
        <v>240</v>
      </c>
      <c r="HO2955" s="5" t="s">
        <v>312</v>
      </c>
      <c r="HP2955" s="5" t="s">
        <v>240</v>
      </c>
      <c r="HQ2955" s="5" t="s">
        <v>240</v>
      </c>
      <c r="HR2955" s="5" t="s">
        <v>240</v>
      </c>
      <c r="HS2955" s="5" t="s">
        <v>240</v>
      </c>
      <c r="HT2955" s="5" t="s">
        <v>240</v>
      </c>
      <c r="HU2955" s="5" t="s">
        <v>240</v>
      </c>
      <c r="HV2955" s="5" t="s">
        <v>240</v>
      </c>
      <c r="HW2955" s="5" t="s">
        <v>240</v>
      </c>
      <c r="HX2955" s="5" t="s">
        <v>240</v>
      </c>
      <c r="HY2955" s="5" t="s">
        <v>240</v>
      </c>
      <c r="HZ2955" s="5" t="s">
        <v>240</v>
      </c>
      <c r="IA2955" s="5" t="s">
        <v>240</v>
      </c>
      <c r="IB2955" s="5" t="s">
        <v>240</v>
      </c>
      <c r="IC2955" s="5" t="s">
        <v>240</v>
      </c>
      <c r="ID2955" s="5" t="s">
        <v>240</v>
      </c>
      <c r="IE2955" s="5" t="s">
        <v>240</v>
      </c>
      <c r="IF2955" s="5" t="s">
        <v>240</v>
      </c>
    </row>
    <row r="2956" spans="1:240" x14ac:dyDescent="0.4">
      <c r="A2956" s="5">
        <v>4660</v>
      </c>
      <c r="B2956" s="5">
        <v>1</v>
      </c>
      <c r="C2956" s="5">
        <v>1</v>
      </c>
      <c r="D2956" s="5" t="s">
        <v>810</v>
      </c>
      <c r="E2956" s="5" t="s">
        <v>245</v>
      </c>
      <c r="F2956" s="5" t="s">
        <v>254</v>
      </c>
      <c r="G2956" s="5" t="s">
        <v>240</v>
      </c>
      <c r="H2956" s="6" t="s">
        <v>2629</v>
      </c>
      <c r="I2956" s="5" t="s">
        <v>809</v>
      </c>
      <c r="J2956" s="8">
        <f>2737</f>
        <v>2737</v>
      </c>
      <c r="K2956" s="5" t="s">
        <v>308</v>
      </c>
      <c r="L2956" s="7">
        <f>1</f>
        <v>1</v>
      </c>
      <c r="M2956" s="7">
        <f>1</f>
        <v>1</v>
      </c>
      <c r="N2956" s="5" t="s">
        <v>242</v>
      </c>
      <c r="O2956" s="5">
        <v>1</v>
      </c>
      <c r="P2956" s="5" t="s">
        <v>294</v>
      </c>
      <c r="Q2956" s="5" t="s">
        <v>3678</v>
      </c>
      <c r="R2956" s="5" t="s">
        <v>240</v>
      </c>
      <c r="S2956" s="5" t="s">
        <v>240</v>
      </c>
      <c r="T2956" s="5" t="s">
        <v>243</v>
      </c>
      <c r="U2956" s="5" t="s">
        <v>244</v>
      </c>
      <c r="V2956" s="5" t="s">
        <v>240</v>
      </c>
      <c r="W2956" s="5" t="s">
        <v>240</v>
      </c>
      <c r="X2956" s="5" t="s">
        <v>240</v>
      </c>
      <c r="Y2956" s="5" t="s">
        <v>240</v>
      </c>
      <c r="Z2956" s="6" t="s">
        <v>298</v>
      </c>
      <c r="AA2956" s="6" t="s">
        <v>240</v>
      </c>
      <c r="AB2956" s="6" t="s">
        <v>240</v>
      </c>
      <c r="AC2956" s="5" t="s">
        <v>240</v>
      </c>
      <c r="AD2956" s="6" t="s">
        <v>240</v>
      </c>
      <c r="AE2956" s="6" t="s">
        <v>299</v>
      </c>
      <c r="AF2956" s="5" t="s">
        <v>248</v>
      </c>
      <c r="AG2956" s="5" t="s">
        <v>249</v>
      </c>
      <c r="AH2956" s="5" t="s">
        <v>240</v>
      </c>
      <c r="AI2956" s="5" t="s">
        <v>240</v>
      </c>
      <c r="AJ2956" s="5" t="s">
        <v>240</v>
      </c>
      <c r="AK2956" s="5" t="s">
        <v>240</v>
      </c>
      <c r="AL2956" s="5" t="s">
        <v>240</v>
      </c>
      <c r="AM2956" s="5" t="s">
        <v>240</v>
      </c>
      <c r="AN2956" s="5" t="s">
        <v>240</v>
      </c>
      <c r="AO2956" s="5" t="s">
        <v>240</v>
      </c>
      <c r="AP2956" s="6" t="s">
        <v>240</v>
      </c>
      <c r="AQ2956" s="6" t="s">
        <v>240</v>
      </c>
      <c r="AR2956" s="6" t="s">
        <v>240</v>
      </c>
      <c r="AS2956" s="6" t="s">
        <v>240</v>
      </c>
      <c r="AT2956" s="5" t="s">
        <v>240</v>
      </c>
      <c r="AU2956" s="5" t="s">
        <v>729</v>
      </c>
      <c r="AV2956" s="5" t="s">
        <v>729</v>
      </c>
      <c r="AW2956" s="5" t="s">
        <v>251</v>
      </c>
      <c r="AX2956" s="5" t="s">
        <v>252</v>
      </c>
      <c r="AY2956" s="5" t="s">
        <v>253</v>
      </c>
      <c r="AZ2956" s="5" t="s">
        <v>240</v>
      </c>
      <c r="BA2956" s="5" t="s">
        <v>255</v>
      </c>
      <c r="BB2956" s="5" t="s">
        <v>731</v>
      </c>
      <c r="BD2956" s="5" t="s">
        <v>240</v>
      </c>
      <c r="BF2956" s="5" t="s">
        <v>732</v>
      </c>
      <c r="BG2956" s="6" t="s">
        <v>733</v>
      </c>
      <c r="BH2956" s="5" t="s">
        <v>734</v>
      </c>
      <c r="BI2956" s="5" t="s">
        <v>734</v>
      </c>
      <c r="BJ2956" s="5" t="s">
        <v>240</v>
      </c>
      <c r="BK2956" s="7">
        <f>1</f>
        <v>1</v>
      </c>
      <c r="BL2956" s="7">
        <f>1</f>
        <v>1</v>
      </c>
      <c r="BM2956" s="5" t="s">
        <v>258</v>
      </c>
      <c r="BN2956" s="5" t="s">
        <v>259</v>
      </c>
      <c r="BO2956" s="5" t="s">
        <v>240</v>
      </c>
      <c r="BP2956" s="5" t="s">
        <v>240</v>
      </c>
      <c r="BQ2956" s="5" t="s">
        <v>240</v>
      </c>
      <c r="BR2956" s="5" t="s">
        <v>240</v>
      </c>
      <c r="BS2956" s="5" t="s">
        <v>240</v>
      </c>
      <c r="BT2956" s="5" t="s">
        <v>240</v>
      </c>
      <c r="BU2956" s="5" t="s">
        <v>240</v>
      </c>
      <c r="BV2956" s="5" t="s">
        <v>240</v>
      </c>
      <c r="BW2956" s="6" t="s">
        <v>240</v>
      </c>
      <c r="BX2956" s="5" t="s">
        <v>240</v>
      </c>
      <c r="BY2956" s="5" t="s">
        <v>240</v>
      </c>
      <c r="BZ2956" s="5" t="s">
        <v>240</v>
      </c>
      <c r="CA2956" s="5" t="s">
        <v>259</v>
      </c>
      <c r="CB2956" s="5" t="s">
        <v>240</v>
      </c>
      <c r="CC2956" s="5" t="s">
        <v>240</v>
      </c>
      <c r="CD2956" s="5" t="s">
        <v>240</v>
      </c>
      <c r="CE2956" s="5" t="s">
        <v>240</v>
      </c>
      <c r="CF2956" s="5" t="s">
        <v>240</v>
      </c>
      <c r="CG2956" s="5" t="s">
        <v>304</v>
      </c>
      <c r="CH2956" s="5" t="s">
        <v>305</v>
      </c>
      <c r="CI2956" s="5" t="s">
        <v>240</v>
      </c>
      <c r="CK2956" s="5" t="s">
        <v>3681</v>
      </c>
      <c r="CL2956" s="6" t="s">
        <v>261</v>
      </c>
      <c r="CM2956" s="5" t="s">
        <v>262</v>
      </c>
      <c r="CN2956" s="5" t="s">
        <v>263</v>
      </c>
      <c r="CO2956" s="5" t="s">
        <v>264</v>
      </c>
      <c r="CP2956" s="5" t="s">
        <v>240</v>
      </c>
      <c r="CQ2956" s="5">
        <v>0</v>
      </c>
      <c r="CR2956" s="5" t="s">
        <v>735</v>
      </c>
      <c r="CS2956" s="5" t="s">
        <v>307</v>
      </c>
      <c r="CT2956" s="5" t="s">
        <v>307</v>
      </c>
      <c r="CU2956" s="5" t="s">
        <v>260</v>
      </c>
      <c r="CV2956" s="5" t="s">
        <v>612</v>
      </c>
      <c r="CW2956" s="8">
        <f>1</f>
        <v>1</v>
      </c>
      <c r="CX2956" s="7">
        <f>1</f>
        <v>1</v>
      </c>
      <c r="CY2956" s="7">
        <f>0</f>
        <v>0</v>
      </c>
      <c r="DA2956" s="7">
        <f>1</f>
        <v>1</v>
      </c>
      <c r="DB2956" s="7" t="s">
        <v>240</v>
      </c>
      <c r="DC2956" s="5" t="s">
        <v>240</v>
      </c>
      <c r="DD2956" s="5" t="s">
        <v>240</v>
      </c>
      <c r="DE2956" s="5" t="s">
        <v>240</v>
      </c>
      <c r="DF2956" s="5" t="s">
        <v>240</v>
      </c>
      <c r="DG2956" s="7">
        <f>0</f>
        <v>0</v>
      </c>
      <c r="DI2956" s="5" t="s">
        <v>240</v>
      </c>
      <c r="DJ2956" s="5" t="s">
        <v>240</v>
      </c>
      <c r="DK2956" s="5" t="s">
        <v>240</v>
      </c>
      <c r="DL2956" s="5" t="s">
        <v>240</v>
      </c>
      <c r="DM2956" s="5" t="s">
        <v>240</v>
      </c>
      <c r="DN2956" s="5" t="s">
        <v>240</v>
      </c>
      <c r="DO2956" s="7" t="s">
        <v>240</v>
      </c>
      <c r="DP2956" s="5" t="s">
        <v>240</v>
      </c>
      <c r="DQ2956" s="5" t="s">
        <v>240</v>
      </c>
      <c r="DR2956" s="5" t="s">
        <v>731</v>
      </c>
      <c r="DS2956" s="5" t="s">
        <v>731</v>
      </c>
      <c r="DT2956" s="5" t="s">
        <v>240</v>
      </c>
      <c r="DU2956" s="5" t="s">
        <v>240</v>
      </c>
      <c r="DV2956" s="5" t="s">
        <v>5063</v>
      </c>
      <c r="DW2956" s="5" t="s">
        <v>752</v>
      </c>
      <c r="DX2956" s="5" t="s">
        <v>240</v>
      </c>
      <c r="DY2956" s="5" t="s">
        <v>240</v>
      </c>
      <c r="DZ2956" s="5" t="s">
        <v>240</v>
      </c>
      <c r="EA2956" s="5" t="s">
        <v>240</v>
      </c>
      <c r="EB2956" s="5" t="s">
        <v>240</v>
      </c>
      <c r="EC2956" s="5" t="s">
        <v>240</v>
      </c>
      <c r="ED2956" s="5" t="s">
        <v>240</v>
      </c>
      <c r="EE2956" s="5" t="s">
        <v>240</v>
      </c>
      <c r="EF2956" s="5" t="s">
        <v>240</v>
      </c>
      <c r="EG2956" s="5" t="s">
        <v>240</v>
      </c>
      <c r="EH2956" s="5" t="s">
        <v>240</v>
      </c>
      <c r="EI2956" s="5" t="s">
        <v>240</v>
      </c>
      <c r="EJ2956" s="5" t="s">
        <v>240</v>
      </c>
      <c r="EK2956" s="5" t="s">
        <v>240</v>
      </c>
      <c r="EL2956" s="5" t="s">
        <v>240</v>
      </c>
      <c r="EM2956" s="5" t="s">
        <v>240</v>
      </c>
      <c r="EN2956" s="5" t="s">
        <v>240</v>
      </c>
      <c r="EO2956" s="5" t="s">
        <v>240</v>
      </c>
      <c r="EP2956" s="5" t="s">
        <v>240</v>
      </c>
      <c r="EQ2956" s="5" t="s">
        <v>240</v>
      </c>
      <c r="ER2956" s="5" t="s">
        <v>240</v>
      </c>
      <c r="ES2956" s="5" t="s">
        <v>240</v>
      </c>
      <c r="ET2956" s="5" t="s">
        <v>240</v>
      </c>
      <c r="EU2956" s="5" t="s">
        <v>240</v>
      </c>
      <c r="EV2956" s="5" t="s">
        <v>240</v>
      </c>
      <c r="EW2956" s="5" t="s">
        <v>240</v>
      </c>
      <c r="EX2956" s="5" t="s">
        <v>240</v>
      </c>
      <c r="EY2956" s="5" t="s">
        <v>240</v>
      </c>
      <c r="EZ2956" s="5" t="s">
        <v>240</v>
      </c>
      <c r="FA2956" s="5" t="s">
        <v>240</v>
      </c>
      <c r="FB2956" s="5" t="s">
        <v>240</v>
      </c>
      <c r="FC2956" s="5" t="s">
        <v>240</v>
      </c>
      <c r="FD2956" s="5" t="s">
        <v>240</v>
      </c>
      <c r="FE2956" s="5" t="s">
        <v>240</v>
      </c>
      <c r="FF2956" s="5" t="s">
        <v>240</v>
      </c>
      <c r="FG2956" s="5" t="s">
        <v>240</v>
      </c>
      <c r="FH2956" s="5" t="s">
        <v>240</v>
      </c>
      <c r="FI2956" s="5" t="s">
        <v>240</v>
      </c>
      <c r="FJ2956" s="5" t="s">
        <v>240</v>
      </c>
      <c r="FK2956" s="5" t="s">
        <v>240</v>
      </c>
      <c r="FL2956" s="5" t="s">
        <v>240</v>
      </c>
      <c r="FM2956" s="5" t="s">
        <v>240</v>
      </c>
      <c r="FN2956" s="5" t="s">
        <v>240</v>
      </c>
      <c r="FO2956" s="5" t="s">
        <v>240</v>
      </c>
      <c r="FP2956" s="5" t="s">
        <v>240</v>
      </c>
      <c r="FQ2956" s="5" t="s">
        <v>240</v>
      </c>
      <c r="FR2956" s="5" t="s">
        <v>240</v>
      </c>
      <c r="FS2956" s="5" t="s">
        <v>240</v>
      </c>
      <c r="FT2956" s="5" t="s">
        <v>240</v>
      </c>
      <c r="FU2956" s="5" t="s">
        <v>240</v>
      </c>
      <c r="FV2956" s="5" t="s">
        <v>240</v>
      </c>
      <c r="FW2956" s="5" t="s">
        <v>240</v>
      </c>
      <c r="FX2956" s="5" t="s">
        <v>240</v>
      </c>
      <c r="FY2956" s="5" t="s">
        <v>240</v>
      </c>
      <c r="FZ2956" s="5" t="s">
        <v>240</v>
      </c>
      <c r="GA2956" s="5" t="s">
        <v>240</v>
      </c>
      <c r="GB2956" s="5" t="s">
        <v>240</v>
      </c>
      <c r="GC2956" s="5" t="s">
        <v>240</v>
      </c>
      <c r="GD2956" s="5" t="s">
        <v>240</v>
      </c>
      <c r="GE2956" s="5" t="s">
        <v>240</v>
      </c>
      <c r="GF2956" s="5" t="s">
        <v>240</v>
      </c>
      <c r="GG2956" s="5" t="s">
        <v>240</v>
      </c>
      <c r="GH2956" s="5" t="s">
        <v>240</v>
      </c>
      <c r="GI2956" s="5" t="s">
        <v>240</v>
      </c>
      <c r="GJ2956" s="5" t="s">
        <v>240</v>
      </c>
      <c r="GK2956" s="5" t="s">
        <v>240</v>
      </c>
      <c r="GL2956" s="5" t="s">
        <v>240</v>
      </c>
      <c r="GM2956" s="5" t="s">
        <v>240</v>
      </c>
      <c r="GN2956" s="5" t="s">
        <v>240</v>
      </c>
      <c r="GO2956" s="5" t="s">
        <v>240</v>
      </c>
      <c r="GP2956" s="5" t="s">
        <v>240</v>
      </c>
      <c r="GQ2956" s="5" t="s">
        <v>240</v>
      </c>
      <c r="GR2956" s="5" t="s">
        <v>240</v>
      </c>
      <c r="GS2956" s="5" t="s">
        <v>240</v>
      </c>
      <c r="GT2956" s="5" t="s">
        <v>240</v>
      </c>
      <c r="GU2956" s="5" t="s">
        <v>240</v>
      </c>
      <c r="GV2956" s="5" t="s">
        <v>240</v>
      </c>
      <c r="GW2956" s="5" t="s">
        <v>240</v>
      </c>
      <c r="GX2956" s="5" t="s">
        <v>240</v>
      </c>
      <c r="GY2956" s="5" t="s">
        <v>240</v>
      </c>
      <c r="GZ2956" s="5" t="s">
        <v>240</v>
      </c>
      <c r="HA2956" s="5" t="s">
        <v>240</v>
      </c>
      <c r="HB2956" s="5" t="s">
        <v>240</v>
      </c>
      <c r="HC2956" s="5" t="s">
        <v>240</v>
      </c>
      <c r="HD2956" s="5" t="s">
        <v>240</v>
      </c>
      <c r="HE2956" s="5" t="s">
        <v>240</v>
      </c>
      <c r="HF2956" s="5" t="s">
        <v>240</v>
      </c>
      <c r="HG2956" s="5" t="s">
        <v>240</v>
      </c>
      <c r="HH2956" s="5" t="s">
        <v>240</v>
      </c>
      <c r="HI2956" s="5" t="s">
        <v>240</v>
      </c>
      <c r="HJ2956" s="5" t="s">
        <v>240</v>
      </c>
      <c r="HK2956" s="5" t="s">
        <v>240</v>
      </c>
      <c r="HL2956" s="5" t="s">
        <v>240</v>
      </c>
      <c r="HM2956" s="5" t="s">
        <v>240</v>
      </c>
      <c r="HN2956" s="5" t="s">
        <v>240</v>
      </c>
      <c r="HO2956" s="5" t="s">
        <v>312</v>
      </c>
      <c r="HP2956" s="5" t="s">
        <v>240</v>
      </c>
      <c r="HQ2956" s="5" t="s">
        <v>240</v>
      </c>
      <c r="HR2956" s="5" t="s">
        <v>240</v>
      </c>
      <c r="HS2956" s="5" t="s">
        <v>240</v>
      </c>
      <c r="HT2956" s="5" t="s">
        <v>240</v>
      </c>
      <c r="HU2956" s="5" t="s">
        <v>240</v>
      </c>
      <c r="HV2956" s="5" t="s">
        <v>240</v>
      </c>
      <c r="HW2956" s="5" t="s">
        <v>240</v>
      </c>
      <c r="HX2956" s="5" t="s">
        <v>240</v>
      </c>
      <c r="HY2956" s="5" t="s">
        <v>240</v>
      </c>
      <c r="HZ2956" s="5" t="s">
        <v>240</v>
      </c>
      <c r="IA2956" s="5" t="s">
        <v>240</v>
      </c>
      <c r="IB2956" s="5" t="s">
        <v>240</v>
      </c>
      <c r="IC2956" s="5" t="s">
        <v>240</v>
      </c>
      <c r="ID2956" s="5" t="s">
        <v>240</v>
      </c>
      <c r="IE2956" s="5" t="s">
        <v>240</v>
      </c>
      <c r="IF2956" s="5" t="s">
        <v>240</v>
      </c>
    </row>
    <row r="2957" spans="1:240" x14ac:dyDescent="0.4">
      <c r="A2957" s="5">
        <v>4661</v>
      </c>
      <c r="B2957" s="5">
        <v>1</v>
      </c>
      <c r="C2957" s="5">
        <v>1</v>
      </c>
      <c r="D2957" s="5" t="s">
        <v>810</v>
      </c>
      <c r="E2957" s="5" t="s">
        <v>245</v>
      </c>
      <c r="F2957" s="5" t="s">
        <v>254</v>
      </c>
      <c r="G2957" s="5" t="s">
        <v>240</v>
      </c>
      <c r="H2957" s="6" t="s">
        <v>2627</v>
      </c>
      <c r="I2957" s="5" t="s">
        <v>809</v>
      </c>
      <c r="J2957" s="8">
        <f>2528</f>
        <v>2528</v>
      </c>
      <c r="K2957" s="5" t="s">
        <v>308</v>
      </c>
      <c r="L2957" s="7">
        <f>1</f>
        <v>1</v>
      </c>
      <c r="M2957" s="7">
        <f>1</f>
        <v>1</v>
      </c>
      <c r="N2957" s="5" t="s">
        <v>242</v>
      </c>
      <c r="O2957" s="5">
        <v>1</v>
      </c>
      <c r="P2957" s="5" t="s">
        <v>294</v>
      </c>
      <c r="Q2957" s="5" t="s">
        <v>3678</v>
      </c>
      <c r="R2957" s="5" t="s">
        <v>240</v>
      </c>
      <c r="S2957" s="5" t="s">
        <v>240</v>
      </c>
      <c r="T2957" s="5" t="s">
        <v>243</v>
      </c>
      <c r="U2957" s="5" t="s">
        <v>244</v>
      </c>
      <c r="V2957" s="5" t="s">
        <v>240</v>
      </c>
      <c r="W2957" s="5" t="s">
        <v>240</v>
      </c>
      <c r="X2957" s="5" t="s">
        <v>240</v>
      </c>
      <c r="Y2957" s="5" t="s">
        <v>240</v>
      </c>
      <c r="Z2957" s="6" t="s">
        <v>298</v>
      </c>
      <c r="AA2957" s="6" t="s">
        <v>240</v>
      </c>
      <c r="AB2957" s="6" t="s">
        <v>240</v>
      </c>
      <c r="AC2957" s="5" t="s">
        <v>240</v>
      </c>
      <c r="AD2957" s="6" t="s">
        <v>240</v>
      </c>
      <c r="AE2957" s="6" t="s">
        <v>299</v>
      </c>
      <c r="AF2957" s="5" t="s">
        <v>248</v>
      </c>
      <c r="AG2957" s="5" t="s">
        <v>249</v>
      </c>
      <c r="AH2957" s="5" t="s">
        <v>240</v>
      </c>
      <c r="AI2957" s="5" t="s">
        <v>240</v>
      </c>
      <c r="AJ2957" s="5" t="s">
        <v>240</v>
      </c>
      <c r="AK2957" s="5" t="s">
        <v>240</v>
      </c>
      <c r="AL2957" s="5" t="s">
        <v>240</v>
      </c>
      <c r="AM2957" s="5" t="s">
        <v>240</v>
      </c>
      <c r="AN2957" s="5" t="s">
        <v>240</v>
      </c>
      <c r="AO2957" s="5" t="s">
        <v>240</v>
      </c>
      <c r="AP2957" s="6" t="s">
        <v>240</v>
      </c>
      <c r="AQ2957" s="6" t="s">
        <v>240</v>
      </c>
      <c r="AR2957" s="6" t="s">
        <v>240</v>
      </c>
      <c r="AS2957" s="6" t="s">
        <v>240</v>
      </c>
      <c r="AT2957" s="5" t="s">
        <v>240</v>
      </c>
      <c r="AU2957" s="5" t="s">
        <v>729</v>
      </c>
      <c r="AV2957" s="5" t="s">
        <v>729</v>
      </c>
      <c r="AW2957" s="5" t="s">
        <v>251</v>
      </c>
      <c r="AX2957" s="5" t="s">
        <v>252</v>
      </c>
      <c r="AY2957" s="5" t="s">
        <v>253</v>
      </c>
      <c r="AZ2957" s="5" t="s">
        <v>240</v>
      </c>
      <c r="BA2957" s="5" t="s">
        <v>255</v>
      </c>
      <c r="BB2957" s="5" t="s">
        <v>731</v>
      </c>
      <c r="BD2957" s="5" t="s">
        <v>240</v>
      </c>
      <c r="BF2957" s="5" t="s">
        <v>732</v>
      </c>
      <c r="BG2957" s="6" t="s">
        <v>733</v>
      </c>
      <c r="BH2957" s="5" t="s">
        <v>734</v>
      </c>
      <c r="BI2957" s="5" t="s">
        <v>734</v>
      </c>
      <c r="BJ2957" s="5" t="s">
        <v>240</v>
      </c>
      <c r="BK2957" s="7">
        <f>1</f>
        <v>1</v>
      </c>
      <c r="BL2957" s="7">
        <f>1</f>
        <v>1</v>
      </c>
      <c r="BM2957" s="5" t="s">
        <v>258</v>
      </c>
      <c r="BN2957" s="5" t="s">
        <v>259</v>
      </c>
      <c r="BO2957" s="5" t="s">
        <v>240</v>
      </c>
      <c r="BP2957" s="5" t="s">
        <v>240</v>
      </c>
      <c r="BQ2957" s="5" t="s">
        <v>240</v>
      </c>
      <c r="BR2957" s="5" t="s">
        <v>240</v>
      </c>
      <c r="BS2957" s="5" t="s">
        <v>240</v>
      </c>
      <c r="BT2957" s="5" t="s">
        <v>240</v>
      </c>
      <c r="BU2957" s="5" t="s">
        <v>240</v>
      </c>
      <c r="BV2957" s="5" t="s">
        <v>240</v>
      </c>
      <c r="BW2957" s="6" t="s">
        <v>240</v>
      </c>
      <c r="BX2957" s="5" t="s">
        <v>240</v>
      </c>
      <c r="BY2957" s="5" t="s">
        <v>240</v>
      </c>
      <c r="BZ2957" s="5" t="s">
        <v>240</v>
      </c>
      <c r="CA2957" s="5" t="s">
        <v>259</v>
      </c>
      <c r="CB2957" s="5" t="s">
        <v>240</v>
      </c>
      <c r="CC2957" s="5" t="s">
        <v>240</v>
      </c>
      <c r="CD2957" s="5" t="s">
        <v>240</v>
      </c>
      <c r="CE2957" s="5" t="s">
        <v>240</v>
      </c>
      <c r="CF2957" s="5" t="s">
        <v>240</v>
      </c>
      <c r="CG2957" s="5" t="s">
        <v>304</v>
      </c>
      <c r="CH2957" s="5" t="s">
        <v>305</v>
      </c>
      <c r="CI2957" s="5" t="s">
        <v>240</v>
      </c>
      <c r="CK2957" s="5" t="s">
        <v>3681</v>
      </c>
      <c r="CL2957" s="6" t="s">
        <v>261</v>
      </c>
      <c r="CM2957" s="5" t="s">
        <v>262</v>
      </c>
      <c r="CN2957" s="5" t="s">
        <v>263</v>
      </c>
      <c r="CO2957" s="5" t="s">
        <v>264</v>
      </c>
      <c r="CP2957" s="5" t="s">
        <v>240</v>
      </c>
      <c r="CQ2957" s="5">
        <v>0</v>
      </c>
      <c r="CR2957" s="5" t="s">
        <v>735</v>
      </c>
      <c r="CS2957" s="5" t="s">
        <v>307</v>
      </c>
      <c r="CT2957" s="5" t="s">
        <v>307</v>
      </c>
      <c r="CU2957" s="5" t="s">
        <v>260</v>
      </c>
      <c r="CV2957" s="5" t="s">
        <v>612</v>
      </c>
      <c r="CW2957" s="8">
        <f>1</f>
        <v>1</v>
      </c>
      <c r="CX2957" s="7">
        <f>1</f>
        <v>1</v>
      </c>
      <c r="CY2957" s="7">
        <f>0</f>
        <v>0</v>
      </c>
      <c r="DA2957" s="7">
        <f>1</f>
        <v>1</v>
      </c>
      <c r="DB2957" s="7" t="s">
        <v>240</v>
      </c>
      <c r="DC2957" s="5" t="s">
        <v>240</v>
      </c>
      <c r="DD2957" s="5" t="s">
        <v>240</v>
      </c>
      <c r="DE2957" s="5" t="s">
        <v>240</v>
      </c>
      <c r="DF2957" s="5" t="s">
        <v>240</v>
      </c>
      <c r="DG2957" s="7">
        <f>0</f>
        <v>0</v>
      </c>
      <c r="DI2957" s="5" t="s">
        <v>240</v>
      </c>
      <c r="DJ2957" s="5" t="s">
        <v>240</v>
      </c>
      <c r="DK2957" s="5" t="s">
        <v>240</v>
      </c>
      <c r="DL2957" s="5" t="s">
        <v>240</v>
      </c>
      <c r="DM2957" s="5" t="s">
        <v>240</v>
      </c>
      <c r="DN2957" s="5" t="s">
        <v>240</v>
      </c>
      <c r="DO2957" s="7" t="s">
        <v>240</v>
      </c>
      <c r="DP2957" s="5" t="s">
        <v>240</v>
      </c>
      <c r="DQ2957" s="5" t="s">
        <v>240</v>
      </c>
      <c r="DR2957" s="5" t="s">
        <v>731</v>
      </c>
      <c r="DS2957" s="5" t="s">
        <v>731</v>
      </c>
      <c r="DT2957" s="5" t="s">
        <v>240</v>
      </c>
      <c r="DU2957" s="5" t="s">
        <v>240</v>
      </c>
      <c r="DV2957" s="5" t="s">
        <v>5063</v>
      </c>
      <c r="DW2957" s="5" t="s">
        <v>742</v>
      </c>
      <c r="DX2957" s="5" t="s">
        <v>240</v>
      </c>
      <c r="DY2957" s="5" t="s">
        <v>240</v>
      </c>
      <c r="DZ2957" s="5" t="s">
        <v>240</v>
      </c>
      <c r="EA2957" s="5" t="s">
        <v>240</v>
      </c>
      <c r="EB2957" s="5" t="s">
        <v>240</v>
      </c>
      <c r="EC2957" s="5" t="s">
        <v>240</v>
      </c>
      <c r="ED2957" s="5" t="s">
        <v>240</v>
      </c>
      <c r="EE2957" s="5" t="s">
        <v>240</v>
      </c>
      <c r="EF2957" s="5" t="s">
        <v>240</v>
      </c>
      <c r="EG2957" s="5" t="s">
        <v>240</v>
      </c>
      <c r="EH2957" s="5" t="s">
        <v>240</v>
      </c>
      <c r="EI2957" s="5" t="s">
        <v>240</v>
      </c>
      <c r="EJ2957" s="5" t="s">
        <v>240</v>
      </c>
      <c r="EK2957" s="5" t="s">
        <v>240</v>
      </c>
      <c r="EL2957" s="5" t="s">
        <v>240</v>
      </c>
      <c r="EM2957" s="5" t="s">
        <v>240</v>
      </c>
      <c r="EN2957" s="5" t="s">
        <v>240</v>
      </c>
      <c r="EO2957" s="5" t="s">
        <v>240</v>
      </c>
      <c r="EP2957" s="5" t="s">
        <v>240</v>
      </c>
      <c r="EQ2957" s="5" t="s">
        <v>240</v>
      </c>
      <c r="ER2957" s="5" t="s">
        <v>240</v>
      </c>
      <c r="ES2957" s="5" t="s">
        <v>240</v>
      </c>
      <c r="ET2957" s="5" t="s">
        <v>240</v>
      </c>
      <c r="EU2957" s="5" t="s">
        <v>240</v>
      </c>
      <c r="EV2957" s="5" t="s">
        <v>240</v>
      </c>
      <c r="EW2957" s="5" t="s">
        <v>240</v>
      </c>
      <c r="EX2957" s="5" t="s">
        <v>240</v>
      </c>
      <c r="EY2957" s="5" t="s">
        <v>240</v>
      </c>
      <c r="EZ2957" s="5" t="s">
        <v>240</v>
      </c>
      <c r="FA2957" s="5" t="s">
        <v>240</v>
      </c>
      <c r="FB2957" s="5" t="s">
        <v>240</v>
      </c>
      <c r="FC2957" s="5" t="s">
        <v>240</v>
      </c>
      <c r="FD2957" s="5" t="s">
        <v>240</v>
      </c>
      <c r="FE2957" s="5" t="s">
        <v>240</v>
      </c>
      <c r="FF2957" s="5" t="s">
        <v>240</v>
      </c>
      <c r="FG2957" s="5" t="s">
        <v>240</v>
      </c>
      <c r="FH2957" s="5" t="s">
        <v>240</v>
      </c>
      <c r="FI2957" s="5" t="s">
        <v>240</v>
      </c>
      <c r="FJ2957" s="5" t="s">
        <v>240</v>
      </c>
      <c r="FK2957" s="5" t="s">
        <v>240</v>
      </c>
      <c r="FL2957" s="5" t="s">
        <v>240</v>
      </c>
      <c r="FM2957" s="5" t="s">
        <v>240</v>
      </c>
      <c r="FN2957" s="5" t="s">
        <v>240</v>
      </c>
      <c r="FO2957" s="5" t="s">
        <v>240</v>
      </c>
      <c r="FP2957" s="5" t="s">
        <v>240</v>
      </c>
      <c r="FQ2957" s="5" t="s">
        <v>240</v>
      </c>
      <c r="FR2957" s="5" t="s">
        <v>240</v>
      </c>
      <c r="FS2957" s="5" t="s">
        <v>240</v>
      </c>
      <c r="FT2957" s="5" t="s">
        <v>240</v>
      </c>
      <c r="FU2957" s="5" t="s">
        <v>240</v>
      </c>
      <c r="FV2957" s="5" t="s">
        <v>240</v>
      </c>
      <c r="FW2957" s="5" t="s">
        <v>240</v>
      </c>
      <c r="FX2957" s="5" t="s">
        <v>240</v>
      </c>
      <c r="FY2957" s="5" t="s">
        <v>240</v>
      </c>
      <c r="FZ2957" s="5" t="s">
        <v>240</v>
      </c>
      <c r="GA2957" s="5" t="s">
        <v>240</v>
      </c>
      <c r="GB2957" s="5" t="s">
        <v>240</v>
      </c>
      <c r="GC2957" s="5" t="s">
        <v>240</v>
      </c>
      <c r="GD2957" s="5" t="s">
        <v>240</v>
      </c>
      <c r="GE2957" s="5" t="s">
        <v>240</v>
      </c>
      <c r="GF2957" s="5" t="s">
        <v>240</v>
      </c>
      <c r="GG2957" s="5" t="s">
        <v>240</v>
      </c>
      <c r="GH2957" s="5" t="s">
        <v>240</v>
      </c>
      <c r="GI2957" s="5" t="s">
        <v>240</v>
      </c>
      <c r="GJ2957" s="5" t="s">
        <v>240</v>
      </c>
      <c r="GK2957" s="5" t="s">
        <v>240</v>
      </c>
      <c r="GL2957" s="5" t="s">
        <v>240</v>
      </c>
      <c r="GM2957" s="5" t="s">
        <v>240</v>
      </c>
      <c r="GN2957" s="5" t="s">
        <v>240</v>
      </c>
      <c r="GO2957" s="5" t="s">
        <v>240</v>
      </c>
      <c r="GP2957" s="5" t="s">
        <v>240</v>
      </c>
      <c r="GQ2957" s="5" t="s">
        <v>240</v>
      </c>
      <c r="GR2957" s="5" t="s">
        <v>240</v>
      </c>
      <c r="GS2957" s="5" t="s">
        <v>240</v>
      </c>
      <c r="GT2957" s="5" t="s">
        <v>240</v>
      </c>
      <c r="GU2957" s="5" t="s">
        <v>240</v>
      </c>
      <c r="GV2957" s="5" t="s">
        <v>240</v>
      </c>
      <c r="GW2957" s="5" t="s">
        <v>240</v>
      </c>
      <c r="GX2957" s="5" t="s">
        <v>240</v>
      </c>
      <c r="GY2957" s="5" t="s">
        <v>240</v>
      </c>
      <c r="GZ2957" s="5" t="s">
        <v>240</v>
      </c>
      <c r="HA2957" s="5" t="s">
        <v>240</v>
      </c>
      <c r="HB2957" s="5" t="s">
        <v>240</v>
      </c>
      <c r="HC2957" s="5" t="s">
        <v>240</v>
      </c>
      <c r="HD2957" s="5" t="s">
        <v>240</v>
      </c>
      <c r="HE2957" s="5" t="s">
        <v>240</v>
      </c>
      <c r="HF2957" s="5" t="s">
        <v>240</v>
      </c>
      <c r="HG2957" s="5" t="s">
        <v>240</v>
      </c>
      <c r="HH2957" s="5" t="s">
        <v>240</v>
      </c>
      <c r="HI2957" s="5" t="s">
        <v>240</v>
      </c>
      <c r="HJ2957" s="5" t="s">
        <v>240</v>
      </c>
      <c r="HK2957" s="5" t="s">
        <v>240</v>
      </c>
      <c r="HL2957" s="5" t="s">
        <v>240</v>
      </c>
      <c r="HM2957" s="5" t="s">
        <v>240</v>
      </c>
      <c r="HN2957" s="5" t="s">
        <v>240</v>
      </c>
      <c r="HO2957" s="5" t="s">
        <v>312</v>
      </c>
      <c r="HP2957" s="5" t="s">
        <v>240</v>
      </c>
      <c r="HQ2957" s="5" t="s">
        <v>240</v>
      </c>
      <c r="HR2957" s="5" t="s">
        <v>240</v>
      </c>
      <c r="HS2957" s="5" t="s">
        <v>240</v>
      </c>
      <c r="HT2957" s="5" t="s">
        <v>240</v>
      </c>
      <c r="HU2957" s="5" t="s">
        <v>240</v>
      </c>
      <c r="HV2957" s="5" t="s">
        <v>240</v>
      </c>
      <c r="HW2957" s="5" t="s">
        <v>240</v>
      </c>
      <c r="HX2957" s="5" t="s">
        <v>240</v>
      </c>
      <c r="HY2957" s="5" t="s">
        <v>240</v>
      </c>
      <c r="HZ2957" s="5" t="s">
        <v>240</v>
      </c>
      <c r="IA2957" s="5" t="s">
        <v>240</v>
      </c>
      <c r="IB2957" s="5" t="s">
        <v>240</v>
      </c>
      <c r="IC2957" s="5" t="s">
        <v>240</v>
      </c>
      <c r="ID2957" s="5" t="s">
        <v>240</v>
      </c>
      <c r="IE2957" s="5" t="s">
        <v>240</v>
      </c>
      <c r="IF2957" s="5" t="s">
        <v>240</v>
      </c>
    </row>
    <row r="2958" spans="1:240" x14ac:dyDescent="0.4">
      <c r="A2958" s="5">
        <v>4662</v>
      </c>
      <c r="B2958" s="5">
        <v>1</v>
      </c>
      <c r="C2958" s="5">
        <v>1</v>
      </c>
      <c r="D2958" s="5" t="s">
        <v>810</v>
      </c>
      <c r="E2958" s="5" t="s">
        <v>245</v>
      </c>
      <c r="F2958" s="5" t="s">
        <v>254</v>
      </c>
      <c r="G2958" s="5" t="s">
        <v>240</v>
      </c>
      <c r="H2958" s="6" t="s">
        <v>2625</v>
      </c>
      <c r="I2958" s="5" t="s">
        <v>809</v>
      </c>
      <c r="J2958" s="8">
        <f>446</f>
        <v>446</v>
      </c>
      <c r="K2958" s="5" t="s">
        <v>308</v>
      </c>
      <c r="L2958" s="7">
        <f>1</f>
        <v>1</v>
      </c>
      <c r="M2958" s="7">
        <f>1</f>
        <v>1</v>
      </c>
      <c r="N2958" s="5" t="s">
        <v>242</v>
      </c>
      <c r="O2958" s="5">
        <v>1</v>
      </c>
      <c r="P2958" s="5" t="s">
        <v>294</v>
      </c>
      <c r="Q2958" s="5" t="s">
        <v>3678</v>
      </c>
      <c r="R2958" s="5" t="s">
        <v>240</v>
      </c>
      <c r="S2958" s="5" t="s">
        <v>240</v>
      </c>
      <c r="T2958" s="5" t="s">
        <v>243</v>
      </c>
      <c r="U2958" s="5" t="s">
        <v>244</v>
      </c>
      <c r="V2958" s="5" t="s">
        <v>240</v>
      </c>
      <c r="W2958" s="5" t="s">
        <v>240</v>
      </c>
      <c r="X2958" s="5" t="s">
        <v>240</v>
      </c>
      <c r="Y2958" s="5" t="s">
        <v>240</v>
      </c>
      <c r="Z2958" s="6" t="s">
        <v>298</v>
      </c>
      <c r="AA2958" s="6" t="s">
        <v>240</v>
      </c>
      <c r="AB2958" s="6" t="s">
        <v>240</v>
      </c>
      <c r="AC2958" s="5" t="s">
        <v>240</v>
      </c>
      <c r="AD2958" s="6" t="s">
        <v>240</v>
      </c>
      <c r="AE2958" s="6" t="s">
        <v>299</v>
      </c>
      <c r="AF2958" s="5" t="s">
        <v>248</v>
      </c>
      <c r="AG2958" s="5" t="s">
        <v>249</v>
      </c>
      <c r="AH2958" s="5" t="s">
        <v>240</v>
      </c>
      <c r="AI2958" s="5" t="s">
        <v>240</v>
      </c>
      <c r="AJ2958" s="5" t="s">
        <v>240</v>
      </c>
      <c r="AK2958" s="5" t="s">
        <v>240</v>
      </c>
      <c r="AL2958" s="5" t="s">
        <v>240</v>
      </c>
      <c r="AM2958" s="5" t="s">
        <v>240</v>
      </c>
      <c r="AN2958" s="5" t="s">
        <v>240</v>
      </c>
      <c r="AO2958" s="5" t="s">
        <v>240</v>
      </c>
      <c r="AP2958" s="6" t="s">
        <v>240</v>
      </c>
      <c r="AQ2958" s="6" t="s">
        <v>240</v>
      </c>
      <c r="AR2958" s="6" t="s">
        <v>240</v>
      </c>
      <c r="AS2958" s="6" t="s">
        <v>240</v>
      </c>
      <c r="AT2958" s="5" t="s">
        <v>240</v>
      </c>
      <c r="AU2958" s="5" t="s">
        <v>729</v>
      </c>
      <c r="AV2958" s="5" t="s">
        <v>729</v>
      </c>
      <c r="AW2958" s="5" t="s">
        <v>251</v>
      </c>
      <c r="AX2958" s="5" t="s">
        <v>252</v>
      </c>
      <c r="AY2958" s="5" t="s">
        <v>253</v>
      </c>
      <c r="AZ2958" s="5" t="s">
        <v>240</v>
      </c>
      <c r="BA2958" s="5" t="s">
        <v>255</v>
      </c>
      <c r="BB2958" s="5" t="s">
        <v>731</v>
      </c>
      <c r="BD2958" s="5" t="s">
        <v>240</v>
      </c>
      <c r="BF2958" s="5" t="s">
        <v>732</v>
      </c>
      <c r="BG2958" s="6" t="s">
        <v>733</v>
      </c>
      <c r="BH2958" s="5" t="s">
        <v>734</v>
      </c>
      <c r="BI2958" s="5" t="s">
        <v>734</v>
      </c>
      <c r="BJ2958" s="5" t="s">
        <v>240</v>
      </c>
      <c r="BK2958" s="7">
        <f>1</f>
        <v>1</v>
      </c>
      <c r="BL2958" s="7">
        <f>1</f>
        <v>1</v>
      </c>
      <c r="BM2958" s="5" t="s">
        <v>258</v>
      </c>
      <c r="BN2958" s="5" t="s">
        <v>259</v>
      </c>
      <c r="BO2958" s="5" t="s">
        <v>240</v>
      </c>
      <c r="BP2958" s="5" t="s">
        <v>240</v>
      </c>
      <c r="BQ2958" s="5" t="s">
        <v>240</v>
      </c>
      <c r="BR2958" s="5" t="s">
        <v>240</v>
      </c>
      <c r="BS2958" s="5" t="s">
        <v>240</v>
      </c>
      <c r="BT2958" s="5" t="s">
        <v>240</v>
      </c>
      <c r="BU2958" s="5" t="s">
        <v>240</v>
      </c>
      <c r="BV2958" s="5" t="s">
        <v>240</v>
      </c>
      <c r="BW2958" s="6" t="s">
        <v>240</v>
      </c>
      <c r="BX2958" s="5" t="s">
        <v>240</v>
      </c>
      <c r="BY2958" s="5" t="s">
        <v>240</v>
      </c>
      <c r="BZ2958" s="5" t="s">
        <v>240</v>
      </c>
      <c r="CA2958" s="5" t="s">
        <v>259</v>
      </c>
      <c r="CB2958" s="5" t="s">
        <v>240</v>
      </c>
      <c r="CC2958" s="5" t="s">
        <v>240</v>
      </c>
      <c r="CD2958" s="5" t="s">
        <v>240</v>
      </c>
      <c r="CE2958" s="5" t="s">
        <v>240</v>
      </c>
      <c r="CF2958" s="5" t="s">
        <v>240</v>
      </c>
      <c r="CG2958" s="5" t="s">
        <v>304</v>
      </c>
      <c r="CH2958" s="5" t="s">
        <v>305</v>
      </c>
      <c r="CI2958" s="5" t="s">
        <v>240</v>
      </c>
      <c r="CK2958" s="5" t="s">
        <v>3681</v>
      </c>
      <c r="CL2958" s="6" t="s">
        <v>261</v>
      </c>
      <c r="CM2958" s="5" t="s">
        <v>262</v>
      </c>
      <c r="CN2958" s="5" t="s">
        <v>263</v>
      </c>
      <c r="CO2958" s="5" t="s">
        <v>264</v>
      </c>
      <c r="CP2958" s="5" t="s">
        <v>240</v>
      </c>
      <c r="CQ2958" s="5">
        <v>0</v>
      </c>
      <c r="CR2958" s="5" t="s">
        <v>735</v>
      </c>
      <c r="CS2958" s="5" t="s">
        <v>307</v>
      </c>
      <c r="CT2958" s="5" t="s">
        <v>307</v>
      </c>
      <c r="CU2958" s="5" t="s">
        <v>260</v>
      </c>
      <c r="CV2958" s="5" t="s">
        <v>612</v>
      </c>
      <c r="CW2958" s="8">
        <f>1</f>
        <v>1</v>
      </c>
      <c r="CX2958" s="7">
        <f>1</f>
        <v>1</v>
      </c>
      <c r="CY2958" s="7">
        <f>0</f>
        <v>0</v>
      </c>
      <c r="DA2958" s="7">
        <f>1</f>
        <v>1</v>
      </c>
      <c r="DB2958" s="7" t="s">
        <v>240</v>
      </c>
      <c r="DC2958" s="5" t="s">
        <v>240</v>
      </c>
      <c r="DD2958" s="5" t="s">
        <v>240</v>
      </c>
      <c r="DE2958" s="5" t="s">
        <v>240</v>
      </c>
      <c r="DF2958" s="5" t="s">
        <v>240</v>
      </c>
      <c r="DG2958" s="7">
        <f>0</f>
        <v>0</v>
      </c>
      <c r="DI2958" s="5" t="s">
        <v>240</v>
      </c>
      <c r="DJ2958" s="5" t="s">
        <v>240</v>
      </c>
      <c r="DK2958" s="5" t="s">
        <v>240</v>
      </c>
      <c r="DL2958" s="5" t="s">
        <v>240</v>
      </c>
      <c r="DM2958" s="5" t="s">
        <v>240</v>
      </c>
      <c r="DN2958" s="5" t="s">
        <v>240</v>
      </c>
      <c r="DO2958" s="7" t="s">
        <v>240</v>
      </c>
      <c r="DP2958" s="5" t="s">
        <v>240</v>
      </c>
      <c r="DQ2958" s="5" t="s">
        <v>240</v>
      </c>
      <c r="DR2958" s="5" t="s">
        <v>731</v>
      </c>
      <c r="DS2958" s="5" t="s">
        <v>731</v>
      </c>
      <c r="DT2958" s="5" t="s">
        <v>240</v>
      </c>
      <c r="DU2958" s="5" t="s">
        <v>240</v>
      </c>
      <c r="DV2958" s="5" t="s">
        <v>3683</v>
      </c>
      <c r="DW2958" s="5" t="s">
        <v>548</v>
      </c>
      <c r="DX2958" s="5" t="s">
        <v>240</v>
      </c>
      <c r="DY2958" s="5" t="s">
        <v>240</v>
      </c>
      <c r="DZ2958" s="5" t="s">
        <v>240</v>
      </c>
      <c r="EA2958" s="5" t="s">
        <v>240</v>
      </c>
      <c r="EB2958" s="5" t="s">
        <v>240</v>
      </c>
      <c r="EC2958" s="5" t="s">
        <v>240</v>
      </c>
      <c r="ED2958" s="5" t="s">
        <v>240</v>
      </c>
      <c r="EE2958" s="5" t="s">
        <v>240</v>
      </c>
      <c r="EF2958" s="5" t="s">
        <v>240</v>
      </c>
      <c r="EG2958" s="5" t="s">
        <v>240</v>
      </c>
      <c r="EH2958" s="5" t="s">
        <v>240</v>
      </c>
      <c r="EI2958" s="5" t="s">
        <v>240</v>
      </c>
      <c r="EJ2958" s="5" t="s">
        <v>240</v>
      </c>
      <c r="EK2958" s="5" t="s">
        <v>240</v>
      </c>
      <c r="EL2958" s="5" t="s">
        <v>240</v>
      </c>
      <c r="EM2958" s="5" t="s">
        <v>240</v>
      </c>
      <c r="EN2958" s="5" t="s">
        <v>240</v>
      </c>
      <c r="EO2958" s="5" t="s">
        <v>240</v>
      </c>
      <c r="EP2958" s="5" t="s">
        <v>240</v>
      </c>
      <c r="EQ2958" s="5" t="s">
        <v>240</v>
      </c>
      <c r="ER2958" s="5" t="s">
        <v>240</v>
      </c>
      <c r="ES2958" s="5" t="s">
        <v>240</v>
      </c>
      <c r="ET2958" s="5" t="s">
        <v>240</v>
      </c>
      <c r="EU2958" s="5" t="s">
        <v>240</v>
      </c>
      <c r="EV2958" s="5" t="s">
        <v>240</v>
      </c>
      <c r="EW2958" s="5" t="s">
        <v>240</v>
      </c>
      <c r="EX2958" s="5" t="s">
        <v>240</v>
      </c>
      <c r="EY2958" s="5" t="s">
        <v>240</v>
      </c>
      <c r="EZ2958" s="5" t="s">
        <v>240</v>
      </c>
      <c r="FA2958" s="5" t="s">
        <v>240</v>
      </c>
      <c r="FB2958" s="5" t="s">
        <v>240</v>
      </c>
      <c r="FC2958" s="5" t="s">
        <v>240</v>
      </c>
      <c r="FD2958" s="5" t="s">
        <v>240</v>
      </c>
      <c r="FE2958" s="5" t="s">
        <v>240</v>
      </c>
      <c r="FF2958" s="5" t="s">
        <v>240</v>
      </c>
      <c r="FG2958" s="5" t="s">
        <v>240</v>
      </c>
      <c r="FH2958" s="5" t="s">
        <v>240</v>
      </c>
      <c r="FI2958" s="5" t="s">
        <v>240</v>
      </c>
      <c r="FJ2958" s="5" t="s">
        <v>240</v>
      </c>
      <c r="FK2958" s="5" t="s">
        <v>240</v>
      </c>
      <c r="FL2958" s="5" t="s">
        <v>240</v>
      </c>
      <c r="FM2958" s="5" t="s">
        <v>240</v>
      </c>
      <c r="FN2958" s="5" t="s">
        <v>240</v>
      </c>
      <c r="FO2958" s="5" t="s">
        <v>240</v>
      </c>
      <c r="FP2958" s="5" t="s">
        <v>240</v>
      </c>
      <c r="FQ2958" s="5" t="s">
        <v>240</v>
      </c>
      <c r="FR2958" s="5" t="s">
        <v>240</v>
      </c>
      <c r="FS2958" s="5" t="s">
        <v>240</v>
      </c>
      <c r="FT2958" s="5" t="s">
        <v>240</v>
      </c>
      <c r="FU2958" s="5" t="s">
        <v>240</v>
      </c>
      <c r="FV2958" s="5" t="s">
        <v>240</v>
      </c>
      <c r="FW2958" s="5" t="s">
        <v>240</v>
      </c>
      <c r="FX2958" s="5" t="s">
        <v>240</v>
      </c>
      <c r="FY2958" s="5" t="s">
        <v>240</v>
      </c>
      <c r="FZ2958" s="5" t="s">
        <v>240</v>
      </c>
      <c r="GA2958" s="5" t="s">
        <v>240</v>
      </c>
      <c r="GB2958" s="5" t="s">
        <v>240</v>
      </c>
      <c r="GC2958" s="5" t="s">
        <v>240</v>
      </c>
      <c r="GD2958" s="5" t="s">
        <v>240</v>
      </c>
      <c r="GE2958" s="5" t="s">
        <v>240</v>
      </c>
      <c r="GF2958" s="5" t="s">
        <v>240</v>
      </c>
      <c r="GG2958" s="5" t="s">
        <v>240</v>
      </c>
      <c r="GH2958" s="5" t="s">
        <v>240</v>
      </c>
      <c r="GI2958" s="5" t="s">
        <v>240</v>
      </c>
      <c r="GJ2958" s="5" t="s">
        <v>240</v>
      </c>
      <c r="GK2958" s="5" t="s">
        <v>240</v>
      </c>
      <c r="GL2958" s="5" t="s">
        <v>240</v>
      </c>
      <c r="GM2958" s="5" t="s">
        <v>240</v>
      </c>
      <c r="GN2958" s="5" t="s">
        <v>240</v>
      </c>
      <c r="GO2958" s="5" t="s">
        <v>240</v>
      </c>
      <c r="GP2958" s="5" t="s">
        <v>240</v>
      </c>
      <c r="GQ2958" s="5" t="s">
        <v>240</v>
      </c>
      <c r="GR2958" s="5" t="s">
        <v>240</v>
      </c>
      <c r="GS2958" s="5" t="s">
        <v>240</v>
      </c>
      <c r="GT2958" s="5" t="s">
        <v>240</v>
      </c>
      <c r="GU2958" s="5" t="s">
        <v>240</v>
      </c>
      <c r="GV2958" s="5" t="s">
        <v>240</v>
      </c>
      <c r="GW2958" s="5" t="s">
        <v>240</v>
      </c>
      <c r="GX2958" s="5" t="s">
        <v>240</v>
      </c>
      <c r="GY2958" s="5" t="s">
        <v>240</v>
      </c>
      <c r="GZ2958" s="5" t="s">
        <v>240</v>
      </c>
      <c r="HA2958" s="5" t="s">
        <v>240</v>
      </c>
      <c r="HB2958" s="5" t="s">
        <v>240</v>
      </c>
      <c r="HC2958" s="5" t="s">
        <v>240</v>
      </c>
      <c r="HD2958" s="5" t="s">
        <v>240</v>
      </c>
      <c r="HE2958" s="5" t="s">
        <v>240</v>
      </c>
      <c r="HF2958" s="5" t="s">
        <v>240</v>
      </c>
      <c r="HG2958" s="5" t="s">
        <v>240</v>
      </c>
      <c r="HH2958" s="5" t="s">
        <v>240</v>
      </c>
      <c r="HI2958" s="5" t="s">
        <v>240</v>
      </c>
      <c r="HJ2958" s="5" t="s">
        <v>240</v>
      </c>
      <c r="HK2958" s="5" t="s">
        <v>240</v>
      </c>
      <c r="HL2958" s="5" t="s">
        <v>240</v>
      </c>
      <c r="HM2958" s="5" t="s">
        <v>240</v>
      </c>
      <c r="HN2958" s="5" t="s">
        <v>240</v>
      </c>
      <c r="HO2958" s="5" t="s">
        <v>312</v>
      </c>
      <c r="HP2958" s="5" t="s">
        <v>240</v>
      </c>
      <c r="HQ2958" s="5" t="s">
        <v>240</v>
      </c>
      <c r="HR2958" s="5" t="s">
        <v>240</v>
      </c>
      <c r="HS2958" s="5" t="s">
        <v>240</v>
      </c>
      <c r="HT2958" s="5" t="s">
        <v>240</v>
      </c>
      <c r="HU2958" s="5" t="s">
        <v>240</v>
      </c>
      <c r="HV2958" s="5" t="s">
        <v>240</v>
      </c>
      <c r="HW2958" s="5" t="s">
        <v>240</v>
      </c>
      <c r="HX2958" s="5" t="s">
        <v>240</v>
      </c>
      <c r="HY2958" s="5" t="s">
        <v>240</v>
      </c>
      <c r="HZ2958" s="5" t="s">
        <v>240</v>
      </c>
      <c r="IA2958" s="5" t="s">
        <v>240</v>
      </c>
      <c r="IB2958" s="5" t="s">
        <v>240</v>
      </c>
      <c r="IC2958" s="5" t="s">
        <v>240</v>
      </c>
      <c r="ID2958" s="5" t="s">
        <v>240</v>
      </c>
      <c r="IE2958" s="5" t="s">
        <v>240</v>
      </c>
      <c r="IF2958" s="5" t="s">
        <v>240</v>
      </c>
    </row>
    <row r="2959" spans="1:240" x14ac:dyDescent="0.4">
      <c r="A2959" s="5">
        <v>4663</v>
      </c>
      <c r="B2959" s="5">
        <v>1</v>
      </c>
      <c r="C2959" s="5">
        <v>1</v>
      </c>
      <c r="D2959" s="5" t="s">
        <v>810</v>
      </c>
      <c r="E2959" s="5" t="s">
        <v>245</v>
      </c>
      <c r="F2959" s="5" t="s">
        <v>254</v>
      </c>
      <c r="G2959" s="5" t="s">
        <v>240</v>
      </c>
      <c r="H2959" s="6" t="s">
        <v>2623</v>
      </c>
      <c r="I2959" s="5" t="s">
        <v>809</v>
      </c>
      <c r="J2959" s="8">
        <f>538</f>
        <v>538</v>
      </c>
      <c r="K2959" s="5" t="s">
        <v>308</v>
      </c>
      <c r="L2959" s="7">
        <f>1</f>
        <v>1</v>
      </c>
      <c r="M2959" s="7">
        <f>1</f>
        <v>1</v>
      </c>
      <c r="N2959" s="5" t="s">
        <v>242</v>
      </c>
      <c r="O2959" s="5">
        <v>1</v>
      </c>
      <c r="P2959" s="5" t="s">
        <v>294</v>
      </c>
      <c r="Q2959" s="5" t="s">
        <v>3678</v>
      </c>
      <c r="R2959" s="5" t="s">
        <v>240</v>
      </c>
      <c r="S2959" s="5" t="s">
        <v>240</v>
      </c>
      <c r="T2959" s="5" t="s">
        <v>243</v>
      </c>
      <c r="U2959" s="5" t="s">
        <v>244</v>
      </c>
      <c r="V2959" s="5" t="s">
        <v>240</v>
      </c>
      <c r="W2959" s="5" t="s">
        <v>240</v>
      </c>
      <c r="X2959" s="5" t="s">
        <v>240</v>
      </c>
      <c r="Y2959" s="5" t="s">
        <v>240</v>
      </c>
      <c r="Z2959" s="6" t="s">
        <v>298</v>
      </c>
      <c r="AA2959" s="6" t="s">
        <v>240</v>
      </c>
      <c r="AB2959" s="6" t="s">
        <v>240</v>
      </c>
      <c r="AC2959" s="5" t="s">
        <v>240</v>
      </c>
      <c r="AD2959" s="6" t="s">
        <v>240</v>
      </c>
      <c r="AE2959" s="6" t="s">
        <v>299</v>
      </c>
      <c r="AF2959" s="5" t="s">
        <v>248</v>
      </c>
      <c r="AG2959" s="5" t="s">
        <v>249</v>
      </c>
      <c r="AH2959" s="5" t="s">
        <v>240</v>
      </c>
      <c r="AI2959" s="5" t="s">
        <v>240</v>
      </c>
      <c r="AJ2959" s="5" t="s">
        <v>240</v>
      </c>
      <c r="AK2959" s="5" t="s">
        <v>240</v>
      </c>
      <c r="AL2959" s="5" t="s">
        <v>240</v>
      </c>
      <c r="AM2959" s="5" t="s">
        <v>240</v>
      </c>
      <c r="AN2959" s="5" t="s">
        <v>240</v>
      </c>
      <c r="AO2959" s="5" t="s">
        <v>240</v>
      </c>
      <c r="AP2959" s="6" t="s">
        <v>240</v>
      </c>
      <c r="AQ2959" s="6" t="s">
        <v>240</v>
      </c>
      <c r="AR2959" s="6" t="s">
        <v>240</v>
      </c>
      <c r="AS2959" s="6" t="s">
        <v>240</v>
      </c>
      <c r="AT2959" s="5" t="s">
        <v>240</v>
      </c>
      <c r="AU2959" s="5" t="s">
        <v>729</v>
      </c>
      <c r="AV2959" s="5" t="s">
        <v>729</v>
      </c>
      <c r="AW2959" s="5" t="s">
        <v>251</v>
      </c>
      <c r="AX2959" s="5" t="s">
        <v>252</v>
      </c>
      <c r="AY2959" s="5" t="s">
        <v>253</v>
      </c>
      <c r="AZ2959" s="5" t="s">
        <v>240</v>
      </c>
      <c r="BA2959" s="5" t="s">
        <v>255</v>
      </c>
      <c r="BB2959" s="5" t="s">
        <v>731</v>
      </c>
      <c r="BD2959" s="5" t="s">
        <v>240</v>
      </c>
      <c r="BF2959" s="5" t="s">
        <v>732</v>
      </c>
      <c r="BG2959" s="6" t="s">
        <v>733</v>
      </c>
      <c r="BH2959" s="5" t="s">
        <v>734</v>
      </c>
      <c r="BI2959" s="5" t="s">
        <v>734</v>
      </c>
      <c r="BJ2959" s="5" t="s">
        <v>240</v>
      </c>
      <c r="BK2959" s="7">
        <f>1</f>
        <v>1</v>
      </c>
      <c r="BL2959" s="7">
        <f>1</f>
        <v>1</v>
      </c>
      <c r="BM2959" s="5" t="s">
        <v>258</v>
      </c>
      <c r="BN2959" s="5" t="s">
        <v>259</v>
      </c>
      <c r="BO2959" s="5" t="s">
        <v>240</v>
      </c>
      <c r="BP2959" s="5" t="s">
        <v>240</v>
      </c>
      <c r="BQ2959" s="5" t="s">
        <v>240</v>
      </c>
      <c r="BR2959" s="5" t="s">
        <v>240</v>
      </c>
      <c r="BS2959" s="5" t="s">
        <v>240</v>
      </c>
      <c r="BT2959" s="5" t="s">
        <v>240</v>
      </c>
      <c r="BU2959" s="5" t="s">
        <v>240</v>
      </c>
      <c r="BV2959" s="5" t="s">
        <v>240</v>
      </c>
      <c r="BW2959" s="6" t="s">
        <v>240</v>
      </c>
      <c r="BX2959" s="5" t="s">
        <v>240</v>
      </c>
      <c r="BY2959" s="5" t="s">
        <v>240</v>
      </c>
      <c r="BZ2959" s="5" t="s">
        <v>240</v>
      </c>
      <c r="CA2959" s="5" t="s">
        <v>259</v>
      </c>
      <c r="CB2959" s="5" t="s">
        <v>240</v>
      </c>
      <c r="CC2959" s="5" t="s">
        <v>240</v>
      </c>
      <c r="CD2959" s="5" t="s">
        <v>240</v>
      </c>
      <c r="CE2959" s="5" t="s">
        <v>240</v>
      </c>
      <c r="CF2959" s="5" t="s">
        <v>240</v>
      </c>
      <c r="CG2959" s="5" t="s">
        <v>304</v>
      </c>
      <c r="CH2959" s="5" t="s">
        <v>305</v>
      </c>
      <c r="CI2959" s="5" t="s">
        <v>240</v>
      </c>
      <c r="CK2959" s="5" t="s">
        <v>3681</v>
      </c>
      <c r="CL2959" s="6" t="s">
        <v>261</v>
      </c>
      <c r="CM2959" s="5" t="s">
        <v>262</v>
      </c>
      <c r="CN2959" s="5" t="s">
        <v>263</v>
      </c>
      <c r="CO2959" s="5" t="s">
        <v>264</v>
      </c>
      <c r="CP2959" s="5" t="s">
        <v>240</v>
      </c>
      <c r="CQ2959" s="5">
        <v>0</v>
      </c>
      <c r="CR2959" s="5" t="s">
        <v>735</v>
      </c>
      <c r="CS2959" s="5" t="s">
        <v>307</v>
      </c>
      <c r="CT2959" s="5" t="s">
        <v>307</v>
      </c>
      <c r="CU2959" s="5" t="s">
        <v>260</v>
      </c>
      <c r="CV2959" s="5" t="s">
        <v>612</v>
      </c>
      <c r="CW2959" s="8">
        <f>1</f>
        <v>1</v>
      </c>
      <c r="CX2959" s="7">
        <f>1</f>
        <v>1</v>
      </c>
      <c r="CY2959" s="7">
        <f>0</f>
        <v>0</v>
      </c>
      <c r="DA2959" s="7">
        <f>1</f>
        <v>1</v>
      </c>
      <c r="DB2959" s="7" t="s">
        <v>240</v>
      </c>
      <c r="DC2959" s="5" t="s">
        <v>240</v>
      </c>
      <c r="DD2959" s="5" t="s">
        <v>240</v>
      </c>
      <c r="DE2959" s="5" t="s">
        <v>240</v>
      </c>
      <c r="DF2959" s="5" t="s">
        <v>240</v>
      </c>
      <c r="DG2959" s="7">
        <f>0</f>
        <v>0</v>
      </c>
      <c r="DI2959" s="5" t="s">
        <v>240</v>
      </c>
      <c r="DJ2959" s="5" t="s">
        <v>240</v>
      </c>
      <c r="DK2959" s="5" t="s">
        <v>240</v>
      </c>
      <c r="DL2959" s="5" t="s">
        <v>240</v>
      </c>
      <c r="DM2959" s="5" t="s">
        <v>240</v>
      </c>
      <c r="DN2959" s="5" t="s">
        <v>240</v>
      </c>
      <c r="DO2959" s="7" t="s">
        <v>240</v>
      </c>
      <c r="DP2959" s="5" t="s">
        <v>240</v>
      </c>
      <c r="DQ2959" s="5" t="s">
        <v>240</v>
      </c>
      <c r="DR2959" s="5" t="s">
        <v>731</v>
      </c>
      <c r="DS2959" s="5" t="s">
        <v>731</v>
      </c>
      <c r="DT2959" s="5" t="s">
        <v>240</v>
      </c>
      <c r="DU2959" s="5" t="s">
        <v>240</v>
      </c>
      <c r="DV2959" s="5" t="s">
        <v>5063</v>
      </c>
      <c r="DW2959" s="5" t="s">
        <v>1126</v>
      </c>
      <c r="DX2959" s="5" t="s">
        <v>240</v>
      </c>
      <c r="DY2959" s="5" t="s">
        <v>240</v>
      </c>
      <c r="DZ2959" s="5" t="s">
        <v>240</v>
      </c>
      <c r="EA2959" s="5" t="s">
        <v>240</v>
      </c>
      <c r="EB2959" s="5" t="s">
        <v>240</v>
      </c>
      <c r="EC2959" s="5" t="s">
        <v>240</v>
      </c>
      <c r="ED2959" s="5" t="s">
        <v>240</v>
      </c>
      <c r="EE2959" s="5" t="s">
        <v>240</v>
      </c>
      <c r="EF2959" s="5" t="s">
        <v>240</v>
      </c>
      <c r="EG2959" s="5" t="s">
        <v>240</v>
      </c>
      <c r="EH2959" s="5" t="s">
        <v>240</v>
      </c>
      <c r="EI2959" s="5" t="s">
        <v>240</v>
      </c>
      <c r="EJ2959" s="5" t="s">
        <v>240</v>
      </c>
      <c r="EK2959" s="5" t="s">
        <v>240</v>
      </c>
      <c r="EL2959" s="5" t="s">
        <v>240</v>
      </c>
      <c r="EM2959" s="5" t="s">
        <v>240</v>
      </c>
      <c r="EN2959" s="5" t="s">
        <v>240</v>
      </c>
      <c r="EO2959" s="5" t="s">
        <v>240</v>
      </c>
      <c r="EP2959" s="5" t="s">
        <v>240</v>
      </c>
      <c r="EQ2959" s="5" t="s">
        <v>240</v>
      </c>
      <c r="ER2959" s="5" t="s">
        <v>240</v>
      </c>
      <c r="ES2959" s="5" t="s">
        <v>240</v>
      </c>
      <c r="ET2959" s="5" t="s">
        <v>240</v>
      </c>
      <c r="EU2959" s="5" t="s">
        <v>240</v>
      </c>
      <c r="EV2959" s="5" t="s">
        <v>240</v>
      </c>
      <c r="EW2959" s="5" t="s">
        <v>240</v>
      </c>
      <c r="EX2959" s="5" t="s">
        <v>240</v>
      </c>
      <c r="EY2959" s="5" t="s">
        <v>240</v>
      </c>
      <c r="EZ2959" s="5" t="s">
        <v>240</v>
      </c>
      <c r="FA2959" s="5" t="s">
        <v>240</v>
      </c>
      <c r="FB2959" s="5" t="s">
        <v>240</v>
      </c>
      <c r="FC2959" s="5" t="s">
        <v>240</v>
      </c>
      <c r="FD2959" s="5" t="s">
        <v>240</v>
      </c>
      <c r="FE2959" s="5" t="s">
        <v>240</v>
      </c>
      <c r="FF2959" s="5" t="s">
        <v>240</v>
      </c>
      <c r="FG2959" s="5" t="s">
        <v>240</v>
      </c>
      <c r="FH2959" s="5" t="s">
        <v>240</v>
      </c>
      <c r="FI2959" s="5" t="s">
        <v>240</v>
      </c>
      <c r="FJ2959" s="5" t="s">
        <v>240</v>
      </c>
      <c r="FK2959" s="5" t="s">
        <v>240</v>
      </c>
      <c r="FL2959" s="5" t="s">
        <v>240</v>
      </c>
      <c r="FM2959" s="5" t="s">
        <v>240</v>
      </c>
      <c r="FN2959" s="5" t="s">
        <v>240</v>
      </c>
      <c r="FO2959" s="5" t="s">
        <v>240</v>
      </c>
      <c r="FP2959" s="5" t="s">
        <v>240</v>
      </c>
      <c r="FQ2959" s="5" t="s">
        <v>240</v>
      </c>
      <c r="FR2959" s="5" t="s">
        <v>240</v>
      </c>
      <c r="FS2959" s="5" t="s">
        <v>240</v>
      </c>
      <c r="FT2959" s="5" t="s">
        <v>240</v>
      </c>
      <c r="FU2959" s="5" t="s">
        <v>240</v>
      </c>
      <c r="FV2959" s="5" t="s">
        <v>240</v>
      </c>
      <c r="FW2959" s="5" t="s">
        <v>240</v>
      </c>
      <c r="FX2959" s="5" t="s">
        <v>240</v>
      </c>
      <c r="FY2959" s="5" t="s">
        <v>240</v>
      </c>
      <c r="FZ2959" s="5" t="s">
        <v>240</v>
      </c>
      <c r="GA2959" s="5" t="s">
        <v>240</v>
      </c>
      <c r="GB2959" s="5" t="s">
        <v>240</v>
      </c>
      <c r="GC2959" s="5" t="s">
        <v>240</v>
      </c>
      <c r="GD2959" s="5" t="s">
        <v>240</v>
      </c>
      <c r="GE2959" s="5" t="s">
        <v>240</v>
      </c>
      <c r="GF2959" s="5" t="s">
        <v>240</v>
      </c>
      <c r="GG2959" s="5" t="s">
        <v>240</v>
      </c>
      <c r="GH2959" s="5" t="s">
        <v>240</v>
      </c>
      <c r="GI2959" s="5" t="s">
        <v>240</v>
      </c>
      <c r="GJ2959" s="5" t="s">
        <v>240</v>
      </c>
      <c r="GK2959" s="5" t="s">
        <v>240</v>
      </c>
      <c r="GL2959" s="5" t="s">
        <v>240</v>
      </c>
      <c r="GM2959" s="5" t="s">
        <v>240</v>
      </c>
      <c r="GN2959" s="5" t="s">
        <v>240</v>
      </c>
      <c r="GO2959" s="5" t="s">
        <v>240</v>
      </c>
      <c r="GP2959" s="5" t="s">
        <v>240</v>
      </c>
      <c r="GQ2959" s="5" t="s">
        <v>240</v>
      </c>
      <c r="GR2959" s="5" t="s">
        <v>240</v>
      </c>
      <c r="GS2959" s="5" t="s">
        <v>240</v>
      </c>
      <c r="GT2959" s="5" t="s">
        <v>240</v>
      </c>
      <c r="GU2959" s="5" t="s">
        <v>240</v>
      </c>
      <c r="GV2959" s="5" t="s">
        <v>240</v>
      </c>
      <c r="GW2959" s="5" t="s">
        <v>240</v>
      </c>
      <c r="GX2959" s="5" t="s">
        <v>240</v>
      </c>
      <c r="GY2959" s="5" t="s">
        <v>240</v>
      </c>
      <c r="GZ2959" s="5" t="s">
        <v>240</v>
      </c>
      <c r="HA2959" s="5" t="s">
        <v>240</v>
      </c>
      <c r="HB2959" s="5" t="s">
        <v>240</v>
      </c>
      <c r="HC2959" s="5" t="s">
        <v>240</v>
      </c>
      <c r="HD2959" s="5" t="s">
        <v>240</v>
      </c>
      <c r="HE2959" s="5" t="s">
        <v>240</v>
      </c>
      <c r="HF2959" s="5" t="s">
        <v>240</v>
      </c>
      <c r="HG2959" s="5" t="s">
        <v>240</v>
      </c>
      <c r="HH2959" s="5" t="s">
        <v>240</v>
      </c>
      <c r="HI2959" s="5" t="s">
        <v>240</v>
      </c>
      <c r="HJ2959" s="5" t="s">
        <v>240</v>
      </c>
      <c r="HK2959" s="5" t="s">
        <v>240</v>
      </c>
      <c r="HL2959" s="5" t="s">
        <v>240</v>
      </c>
      <c r="HM2959" s="5" t="s">
        <v>240</v>
      </c>
      <c r="HN2959" s="5" t="s">
        <v>240</v>
      </c>
      <c r="HO2959" s="5" t="s">
        <v>312</v>
      </c>
      <c r="HP2959" s="5" t="s">
        <v>240</v>
      </c>
      <c r="HQ2959" s="5" t="s">
        <v>240</v>
      </c>
      <c r="HR2959" s="5" t="s">
        <v>240</v>
      </c>
      <c r="HS2959" s="5" t="s">
        <v>240</v>
      </c>
      <c r="HT2959" s="5" t="s">
        <v>240</v>
      </c>
      <c r="HU2959" s="5" t="s">
        <v>240</v>
      </c>
      <c r="HV2959" s="5" t="s">
        <v>240</v>
      </c>
      <c r="HW2959" s="5" t="s">
        <v>240</v>
      </c>
      <c r="HX2959" s="5" t="s">
        <v>240</v>
      </c>
      <c r="HY2959" s="5" t="s">
        <v>240</v>
      </c>
      <c r="HZ2959" s="5" t="s">
        <v>240</v>
      </c>
      <c r="IA2959" s="5" t="s">
        <v>240</v>
      </c>
      <c r="IB2959" s="5" t="s">
        <v>240</v>
      </c>
      <c r="IC2959" s="5" t="s">
        <v>240</v>
      </c>
      <c r="ID2959" s="5" t="s">
        <v>240</v>
      </c>
      <c r="IE2959" s="5" t="s">
        <v>240</v>
      </c>
      <c r="IF2959" s="5" t="s">
        <v>240</v>
      </c>
    </row>
    <row r="2960" spans="1:240" x14ac:dyDescent="0.4">
      <c r="A2960" s="5">
        <v>4664</v>
      </c>
      <c r="B2960" s="5">
        <v>1</v>
      </c>
      <c r="C2960" s="5">
        <v>1</v>
      </c>
      <c r="D2960" s="5" t="s">
        <v>810</v>
      </c>
      <c r="E2960" s="5" t="s">
        <v>245</v>
      </c>
      <c r="F2960" s="5" t="s">
        <v>254</v>
      </c>
      <c r="G2960" s="5" t="s">
        <v>240</v>
      </c>
      <c r="H2960" s="6" t="s">
        <v>2621</v>
      </c>
      <c r="I2960" s="5" t="s">
        <v>809</v>
      </c>
      <c r="J2960" s="8">
        <f>2904</f>
        <v>2904</v>
      </c>
      <c r="K2960" s="5" t="s">
        <v>308</v>
      </c>
      <c r="L2960" s="7">
        <f>1</f>
        <v>1</v>
      </c>
      <c r="M2960" s="7">
        <f>1</f>
        <v>1</v>
      </c>
      <c r="N2960" s="5" t="s">
        <v>242</v>
      </c>
      <c r="O2960" s="5">
        <v>1</v>
      </c>
      <c r="P2960" s="5" t="s">
        <v>294</v>
      </c>
      <c r="Q2960" s="5" t="s">
        <v>3678</v>
      </c>
      <c r="R2960" s="5" t="s">
        <v>240</v>
      </c>
      <c r="S2960" s="5" t="s">
        <v>240</v>
      </c>
      <c r="T2960" s="5" t="s">
        <v>243</v>
      </c>
      <c r="U2960" s="5" t="s">
        <v>244</v>
      </c>
      <c r="V2960" s="5" t="s">
        <v>240</v>
      </c>
      <c r="W2960" s="5" t="s">
        <v>240</v>
      </c>
      <c r="X2960" s="5" t="s">
        <v>240</v>
      </c>
      <c r="Y2960" s="5" t="s">
        <v>240</v>
      </c>
      <c r="Z2960" s="6" t="s">
        <v>298</v>
      </c>
      <c r="AA2960" s="6" t="s">
        <v>240</v>
      </c>
      <c r="AB2960" s="6" t="s">
        <v>240</v>
      </c>
      <c r="AC2960" s="5" t="s">
        <v>240</v>
      </c>
      <c r="AD2960" s="6" t="s">
        <v>240</v>
      </c>
      <c r="AE2960" s="6" t="s">
        <v>299</v>
      </c>
      <c r="AF2960" s="5" t="s">
        <v>248</v>
      </c>
      <c r="AG2960" s="5" t="s">
        <v>249</v>
      </c>
      <c r="AH2960" s="5" t="s">
        <v>240</v>
      </c>
      <c r="AI2960" s="5" t="s">
        <v>240</v>
      </c>
      <c r="AJ2960" s="5" t="s">
        <v>240</v>
      </c>
      <c r="AK2960" s="5" t="s">
        <v>240</v>
      </c>
      <c r="AL2960" s="5" t="s">
        <v>240</v>
      </c>
      <c r="AM2960" s="5" t="s">
        <v>240</v>
      </c>
      <c r="AN2960" s="5" t="s">
        <v>240</v>
      </c>
      <c r="AO2960" s="5" t="s">
        <v>240</v>
      </c>
      <c r="AP2960" s="6" t="s">
        <v>240</v>
      </c>
      <c r="AQ2960" s="6" t="s">
        <v>240</v>
      </c>
      <c r="AR2960" s="6" t="s">
        <v>240</v>
      </c>
      <c r="AS2960" s="6" t="s">
        <v>240</v>
      </c>
      <c r="AT2960" s="5" t="s">
        <v>240</v>
      </c>
      <c r="AU2960" s="5" t="s">
        <v>729</v>
      </c>
      <c r="AV2960" s="5" t="s">
        <v>729</v>
      </c>
      <c r="AW2960" s="5" t="s">
        <v>251</v>
      </c>
      <c r="AX2960" s="5" t="s">
        <v>252</v>
      </c>
      <c r="AY2960" s="5" t="s">
        <v>253</v>
      </c>
      <c r="AZ2960" s="5" t="s">
        <v>240</v>
      </c>
      <c r="BA2960" s="5" t="s">
        <v>255</v>
      </c>
      <c r="BB2960" s="5" t="s">
        <v>731</v>
      </c>
      <c r="BD2960" s="5" t="s">
        <v>240</v>
      </c>
      <c r="BF2960" s="5" t="s">
        <v>732</v>
      </c>
      <c r="BG2960" s="6" t="s">
        <v>733</v>
      </c>
      <c r="BH2960" s="5" t="s">
        <v>734</v>
      </c>
      <c r="BI2960" s="5" t="s">
        <v>734</v>
      </c>
      <c r="BJ2960" s="5" t="s">
        <v>240</v>
      </c>
      <c r="BK2960" s="7">
        <f>1</f>
        <v>1</v>
      </c>
      <c r="BL2960" s="7">
        <f>1</f>
        <v>1</v>
      </c>
      <c r="BM2960" s="5" t="s">
        <v>258</v>
      </c>
      <c r="BN2960" s="5" t="s">
        <v>259</v>
      </c>
      <c r="BO2960" s="5" t="s">
        <v>240</v>
      </c>
      <c r="BP2960" s="5" t="s">
        <v>240</v>
      </c>
      <c r="BQ2960" s="5" t="s">
        <v>240</v>
      </c>
      <c r="BR2960" s="5" t="s">
        <v>240</v>
      </c>
      <c r="BS2960" s="5" t="s">
        <v>240</v>
      </c>
      <c r="BT2960" s="5" t="s">
        <v>240</v>
      </c>
      <c r="BU2960" s="5" t="s">
        <v>240</v>
      </c>
      <c r="BV2960" s="5" t="s">
        <v>240</v>
      </c>
      <c r="BW2960" s="6" t="s">
        <v>240</v>
      </c>
      <c r="BX2960" s="5" t="s">
        <v>240</v>
      </c>
      <c r="BY2960" s="5" t="s">
        <v>240</v>
      </c>
      <c r="BZ2960" s="5" t="s">
        <v>240</v>
      </c>
      <c r="CA2960" s="5" t="s">
        <v>259</v>
      </c>
      <c r="CB2960" s="5" t="s">
        <v>240</v>
      </c>
      <c r="CC2960" s="5" t="s">
        <v>240</v>
      </c>
      <c r="CD2960" s="5" t="s">
        <v>240</v>
      </c>
      <c r="CE2960" s="5" t="s">
        <v>240</v>
      </c>
      <c r="CF2960" s="5" t="s">
        <v>240</v>
      </c>
      <c r="CG2960" s="5" t="s">
        <v>304</v>
      </c>
      <c r="CH2960" s="5" t="s">
        <v>305</v>
      </c>
      <c r="CI2960" s="5" t="s">
        <v>240</v>
      </c>
      <c r="CK2960" s="5" t="s">
        <v>3681</v>
      </c>
      <c r="CL2960" s="6" t="s">
        <v>261</v>
      </c>
      <c r="CM2960" s="5" t="s">
        <v>262</v>
      </c>
      <c r="CN2960" s="5" t="s">
        <v>263</v>
      </c>
      <c r="CO2960" s="5" t="s">
        <v>264</v>
      </c>
      <c r="CP2960" s="5" t="s">
        <v>240</v>
      </c>
      <c r="CQ2960" s="5">
        <v>0</v>
      </c>
      <c r="CR2960" s="5" t="s">
        <v>735</v>
      </c>
      <c r="CS2960" s="5" t="s">
        <v>307</v>
      </c>
      <c r="CT2960" s="5" t="s">
        <v>307</v>
      </c>
      <c r="CU2960" s="5" t="s">
        <v>260</v>
      </c>
      <c r="CV2960" s="5" t="s">
        <v>612</v>
      </c>
      <c r="CW2960" s="8">
        <f>1</f>
        <v>1</v>
      </c>
      <c r="CX2960" s="7">
        <f>1</f>
        <v>1</v>
      </c>
      <c r="CY2960" s="7">
        <f>0</f>
        <v>0</v>
      </c>
      <c r="DA2960" s="7">
        <f>1</f>
        <v>1</v>
      </c>
      <c r="DB2960" s="7" t="s">
        <v>240</v>
      </c>
      <c r="DC2960" s="5" t="s">
        <v>240</v>
      </c>
      <c r="DD2960" s="5" t="s">
        <v>240</v>
      </c>
      <c r="DE2960" s="5" t="s">
        <v>240</v>
      </c>
      <c r="DF2960" s="5" t="s">
        <v>240</v>
      </c>
      <c r="DG2960" s="7">
        <f>0</f>
        <v>0</v>
      </c>
      <c r="DI2960" s="5" t="s">
        <v>240</v>
      </c>
      <c r="DJ2960" s="5" t="s">
        <v>240</v>
      </c>
      <c r="DK2960" s="5" t="s">
        <v>240</v>
      </c>
      <c r="DL2960" s="5" t="s">
        <v>240</v>
      </c>
      <c r="DM2960" s="5" t="s">
        <v>240</v>
      </c>
      <c r="DN2960" s="5" t="s">
        <v>240</v>
      </c>
      <c r="DO2960" s="7" t="s">
        <v>240</v>
      </c>
      <c r="DP2960" s="5" t="s">
        <v>240</v>
      </c>
      <c r="DQ2960" s="5" t="s">
        <v>240</v>
      </c>
      <c r="DR2960" s="5" t="s">
        <v>731</v>
      </c>
      <c r="DS2960" s="5" t="s">
        <v>731</v>
      </c>
      <c r="DT2960" s="5" t="s">
        <v>240</v>
      </c>
      <c r="DU2960" s="5" t="s">
        <v>240</v>
      </c>
      <c r="DV2960" s="5" t="s">
        <v>5063</v>
      </c>
      <c r="DW2960" s="5" t="s">
        <v>719</v>
      </c>
      <c r="DX2960" s="5" t="s">
        <v>240</v>
      </c>
      <c r="DY2960" s="5" t="s">
        <v>240</v>
      </c>
      <c r="DZ2960" s="5" t="s">
        <v>240</v>
      </c>
      <c r="EA2960" s="5" t="s">
        <v>240</v>
      </c>
      <c r="EB2960" s="5" t="s">
        <v>240</v>
      </c>
      <c r="EC2960" s="5" t="s">
        <v>240</v>
      </c>
      <c r="ED2960" s="5" t="s">
        <v>240</v>
      </c>
      <c r="EE2960" s="5" t="s">
        <v>240</v>
      </c>
      <c r="EF2960" s="5" t="s">
        <v>240</v>
      </c>
      <c r="EG2960" s="5" t="s">
        <v>240</v>
      </c>
      <c r="EH2960" s="5" t="s">
        <v>240</v>
      </c>
      <c r="EI2960" s="5" t="s">
        <v>240</v>
      </c>
      <c r="EJ2960" s="5" t="s">
        <v>240</v>
      </c>
      <c r="EK2960" s="5" t="s">
        <v>240</v>
      </c>
      <c r="EL2960" s="5" t="s">
        <v>240</v>
      </c>
      <c r="EM2960" s="5" t="s">
        <v>240</v>
      </c>
      <c r="EN2960" s="5" t="s">
        <v>240</v>
      </c>
      <c r="EO2960" s="5" t="s">
        <v>240</v>
      </c>
      <c r="EP2960" s="5" t="s">
        <v>240</v>
      </c>
      <c r="EQ2960" s="5" t="s">
        <v>240</v>
      </c>
      <c r="ER2960" s="5" t="s">
        <v>240</v>
      </c>
      <c r="ES2960" s="5" t="s">
        <v>240</v>
      </c>
      <c r="ET2960" s="5" t="s">
        <v>240</v>
      </c>
      <c r="EU2960" s="5" t="s">
        <v>240</v>
      </c>
      <c r="EV2960" s="5" t="s">
        <v>240</v>
      </c>
      <c r="EW2960" s="5" t="s">
        <v>240</v>
      </c>
      <c r="EX2960" s="5" t="s">
        <v>240</v>
      </c>
      <c r="EY2960" s="5" t="s">
        <v>240</v>
      </c>
      <c r="EZ2960" s="5" t="s">
        <v>240</v>
      </c>
      <c r="FA2960" s="5" t="s">
        <v>240</v>
      </c>
      <c r="FB2960" s="5" t="s">
        <v>240</v>
      </c>
      <c r="FC2960" s="5" t="s">
        <v>240</v>
      </c>
      <c r="FD2960" s="5" t="s">
        <v>240</v>
      </c>
      <c r="FE2960" s="5" t="s">
        <v>240</v>
      </c>
      <c r="FF2960" s="5" t="s">
        <v>240</v>
      </c>
      <c r="FG2960" s="5" t="s">
        <v>240</v>
      </c>
      <c r="FH2960" s="5" t="s">
        <v>240</v>
      </c>
      <c r="FI2960" s="5" t="s">
        <v>240</v>
      </c>
      <c r="FJ2960" s="5" t="s">
        <v>240</v>
      </c>
      <c r="FK2960" s="5" t="s">
        <v>240</v>
      </c>
      <c r="FL2960" s="5" t="s">
        <v>240</v>
      </c>
      <c r="FM2960" s="5" t="s">
        <v>240</v>
      </c>
      <c r="FN2960" s="5" t="s">
        <v>240</v>
      </c>
      <c r="FO2960" s="5" t="s">
        <v>240</v>
      </c>
      <c r="FP2960" s="5" t="s">
        <v>240</v>
      </c>
      <c r="FQ2960" s="5" t="s">
        <v>240</v>
      </c>
      <c r="FR2960" s="5" t="s">
        <v>240</v>
      </c>
      <c r="FS2960" s="5" t="s">
        <v>240</v>
      </c>
      <c r="FT2960" s="5" t="s">
        <v>240</v>
      </c>
      <c r="FU2960" s="5" t="s">
        <v>240</v>
      </c>
      <c r="FV2960" s="5" t="s">
        <v>240</v>
      </c>
      <c r="FW2960" s="5" t="s">
        <v>240</v>
      </c>
      <c r="FX2960" s="5" t="s">
        <v>240</v>
      </c>
      <c r="FY2960" s="5" t="s">
        <v>240</v>
      </c>
      <c r="FZ2960" s="5" t="s">
        <v>240</v>
      </c>
      <c r="GA2960" s="5" t="s">
        <v>240</v>
      </c>
      <c r="GB2960" s="5" t="s">
        <v>240</v>
      </c>
      <c r="GC2960" s="5" t="s">
        <v>240</v>
      </c>
      <c r="GD2960" s="5" t="s">
        <v>240</v>
      </c>
      <c r="GE2960" s="5" t="s">
        <v>240</v>
      </c>
      <c r="GF2960" s="5" t="s">
        <v>240</v>
      </c>
      <c r="GG2960" s="5" t="s">
        <v>240</v>
      </c>
      <c r="GH2960" s="5" t="s">
        <v>240</v>
      </c>
      <c r="GI2960" s="5" t="s">
        <v>240</v>
      </c>
      <c r="GJ2960" s="5" t="s">
        <v>240</v>
      </c>
      <c r="GK2960" s="5" t="s">
        <v>240</v>
      </c>
      <c r="GL2960" s="5" t="s">
        <v>240</v>
      </c>
      <c r="GM2960" s="5" t="s">
        <v>240</v>
      </c>
      <c r="GN2960" s="5" t="s">
        <v>240</v>
      </c>
      <c r="GO2960" s="5" t="s">
        <v>240</v>
      </c>
      <c r="GP2960" s="5" t="s">
        <v>240</v>
      </c>
      <c r="GQ2960" s="5" t="s">
        <v>240</v>
      </c>
      <c r="GR2960" s="5" t="s">
        <v>240</v>
      </c>
      <c r="GS2960" s="5" t="s">
        <v>240</v>
      </c>
      <c r="GT2960" s="5" t="s">
        <v>240</v>
      </c>
      <c r="GU2960" s="5" t="s">
        <v>240</v>
      </c>
      <c r="GV2960" s="5" t="s">
        <v>240</v>
      </c>
      <c r="GW2960" s="5" t="s">
        <v>240</v>
      </c>
      <c r="GX2960" s="5" t="s">
        <v>240</v>
      </c>
      <c r="GY2960" s="5" t="s">
        <v>240</v>
      </c>
      <c r="GZ2960" s="5" t="s">
        <v>240</v>
      </c>
      <c r="HA2960" s="5" t="s">
        <v>240</v>
      </c>
      <c r="HB2960" s="5" t="s">
        <v>240</v>
      </c>
      <c r="HC2960" s="5" t="s">
        <v>240</v>
      </c>
      <c r="HD2960" s="5" t="s">
        <v>240</v>
      </c>
      <c r="HE2960" s="5" t="s">
        <v>240</v>
      </c>
      <c r="HF2960" s="5" t="s">
        <v>240</v>
      </c>
      <c r="HG2960" s="5" t="s">
        <v>240</v>
      </c>
      <c r="HH2960" s="5" t="s">
        <v>240</v>
      </c>
      <c r="HI2960" s="5" t="s">
        <v>240</v>
      </c>
      <c r="HJ2960" s="5" t="s">
        <v>240</v>
      </c>
      <c r="HK2960" s="5" t="s">
        <v>240</v>
      </c>
      <c r="HL2960" s="5" t="s">
        <v>240</v>
      </c>
      <c r="HM2960" s="5" t="s">
        <v>240</v>
      </c>
      <c r="HN2960" s="5" t="s">
        <v>240</v>
      </c>
      <c r="HO2960" s="5" t="s">
        <v>312</v>
      </c>
      <c r="HP2960" s="5" t="s">
        <v>240</v>
      </c>
      <c r="HQ2960" s="5" t="s">
        <v>240</v>
      </c>
      <c r="HR2960" s="5" t="s">
        <v>240</v>
      </c>
      <c r="HS2960" s="5" t="s">
        <v>240</v>
      </c>
      <c r="HT2960" s="5" t="s">
        <v>240</v>
      </c>
      <c r="HU2960" s="5" t="s">
        <v>240</v>
      </c>
      <c r="HV2960" s="5" t="s">
        <v>240</v>
      </c>
      <c r="HW2960" s="5" t="s">
        <v>240</v>
      </c>
      <c r="HX2960" s="5" t="s">
        <v>240</v>
      </c>
      <c r="HY2960" s="5" t="s">
        <v>240</v>
      </c>
      <c r="HZ2960" s="5" t="s">
        <v>240</v>
      </c>
      <c r="IA2960" s="5" t="s">
        <v>240</v>
      </c>
      <c r="IB2960" s="5" t="s">
        <v>240</v>
      </c>
      <c r="IC2960" s="5" t="s">
        <v>240</v>
      </c>
      <c r="ID2960" s="5" t="s">
        <v>240</v>
      </c>
      <c r="IE2960" s="5" t="s">
        <v>240</v>
      </c>
      <c r="IF2960" s="5" t="s">
        <v>240</v>
      </c>
    </row>
    <row r="2961" spans="1:240" x14ac:dyDescent="0.4">
      <c r="A2961" s="5">
        <v>4665</v>
      </c>
      <c r="B2961" s="5">
        <v>1</v>
      </c>
      <c r="C2961" s="5">
        <v>1</v>
      </c>
      <c r="D2961" s="5" t="s">
        <v>810</v>
      </c>
      <c r="E2961" s="5" t="s">
        <v>245</v>
      </c>
      <c r="F2961" s="5" t="s">
        <v>254</v>
      </c>
      <c r="G2961" s="5" t="s">
        <v>240</v>
      </c>
      <c r="H2961" s="6" t="s">
        <v>2619</v>
      </c>
      <c r="I2961" s="5" t="s">
        <v>809</v>
      </c>
      <c r="J2961" s="8">
        <f>894</f>
        <v>894</v>
      </c>
      <c r="K2961" s="5" t="s">
        <v>308</v>
      </c>
      <c r="L2961" s="7">
        <f>1</f>
        <v>1</v>
      </c>
      <c r="M2961" s="7">
        <f>1</f>
        <v>1</v>
      </c>
      <c r="N2961" s="5" t="s">
        <v>242</v>
      </c>
      <c r="O2961" s="5">
        <v>1</v>
      </c>
      <c r="P2961" s="5" t="s">
        <v>294</v>
      </c>
      <c r="Q2961" s="5" t="s">
        <v>266</v>
      </c>
      <c r="R2961" s="5" t="s">
        <v>240</v>
      </c>
      <c r="S2961" s="5" t="s">
        <v>240</v>
      </c>
      <c r="T2961" s="5" t="s">
        <v>243</v>
      </c>
      <c r="U2961" s="5" t="s">
        <v>240</v>
      </c>
      <c r="V2961" s="5" t="s">
        <v>240</v>
      </c>
      <c r="Y2961" s="5" t="s">
        <v>240</v>
      </c>
      <c r="Z2961" s="6" t="s">
        <v>5195</v>
      </c>
      <c r="AB2961" s="6" t="s">
        <v>240</v>
      </c>
      <c r="AE2961" s="6" t="s">
        <v>444</v>
      </c>
      <c r="AF2961" s="5" t="s">
        <v>248</v>
      </c>
      <c r="AG2961" s="5" t="s">
        <v>249</v>
      </c>
      <c r="AW2961" s="5" t="s">
        <v>251</v>
      </c>
      <c r="AX2961" s="5" t="s">
        <v>240</v>
      </c>
      <c r="AY2961" s="5" t="s">
        <v>253</v>
      </c>
      <c r="AZ2961" s="5" t="s">
        <v>240</v>
      </c>
      <c r="BA2961" s="5" t="s">
        <v>255</v>
      </c>
      <c r="BB2961" s="5" t="s">
        <v>240</v>
      </c>
      <c r="BD2961" s="5" t="s">
        <v>240</v>
      </c>
      <c r="BF2961" s="5" t="s">
        <v>687</v>
      </c>
      <c r="BG2961" s="6" t="s">
        <v>5195</v>
      </c>
      <c r="BH2961" s="5" t="s">
        <v>302</v>
      </c>
      <c r="BI2961" s="5" t="s">
        <v>448</v>
      </c>
      <c r="BJ2961" s="5" t="s">
        <v>240</v>
      </c>
      <c r="BK2961" s="8">
        <f>0</f>
        <v>0</v>
      </c>
      <c r="BL2961" s="7">
        <f>0</f>
        <v>0</v>
      </c>
      <c r="BM2961" s="5" t="s">
        <v>258</v>
      </c>
      <c r="BN2961" s="5" t="s">
        <v>259</v>
      </c>
      <c r="CB2961" s="5" t="s">
        <v>240</v>
      </c>
      <c r="CC2961" s="5" t="s">
        <v>240</v>
      </c>
      <c r="CG2961" s="5" t="s">
        <v>449</v>
      </c>
      <c r="CH2961" s="5" t="s">
        <v>305</v>
      </c>
      <c r="CI2961" s="5" t="s">
        <v>240</v>
      </c>
      <c r="CL2961" s="6" t="s">
        <v>261</v>
      </c>
      <c r="CM2961" s="5" t="s">
        <v>240</v>
      </c>
      <c r="CN2961" s="5" t="s">
        <v>263</v>
      </c>
      <c r="CO2961" s="5" t="s">
        <v>240</v>
      </c>
      <c r="CP2961" s="5" t="s">
        <v>240</v>
      </c>
      <c r="CQ2961" s="5">
        <v>0</v>
      </c>
      <c r="CR2961" s="5" t="s">
        <v>306</v>
      </c>
      <c r="CS2961" s="5" t="s">
        <v>307</v>
      </c>
      <c r="CT2961" s="5" t="s">
        <v>307</v>
      </c>
      <c r="CU2961" s="5" t="s">
        <v>260</v>
      </c>
      <c r="CX2961" s="7">
        <f>63679</f>
        <v>63679</v>
      </c>
      <c r="CY2961" s="7">
        <f>0</f>
        <v>0</v>
      </c>
      <c r="DA2961" s="7">
        <f>0</f>
        <v>0</v>
      </c>
      <c r="DC2961" s="5" t="s">
        <v>450</v>
      </c>
      <c r="DD2961" s="5" t="s">
        <v>240</v>
      </c>
      <c r="DF2961" s="5" t="s">
        <v>450</v>
      </c>
      <c r="DG2961" s="7">
        <f>0</f>
        <v>0</v>
      </c>
      <c r="DI2961" s="5" t="s">
        <v>240</v>
      </c>
      <c r="DJ2961" s="5" t="s">
        <v>240</v>
      </c>
      <c r="DK2961" s="5" t="s">
        <v>240</v>
      </c>
      <c r="DL2961" s="5" t="s">
        <v>240</v>
      </c>
      <c r="DP2961" s="5" t="s">
        <v>240</v>
      </c>
      <c r="DQ2961" s="5" t="s">
        <v>240</v>
      </c>
      <c r="DR2961" s="5" t="s">
        <v>240</v>
      </c>
      <c r="DS2961" s="5" t="s">
        <v>240</v>
      </c>
      <c r="DV2961" s="5" t="s">
        <v>310</v>
      </c>
      <c r="DW2961" s="5" t="s">
        <v>2413</v>
      </c>
      <c r="HO2961" s="5" t="s">
        <v>312</v>
      </c>
    </row>
    <row r="2962" spans="1:240" x14ac:dyDescent="0.4">
      <c r="A2962" s="5">
        <v>4666</v>
      </c>
      <c r="B2962" s="5">
        <v>1</v>
      </c>
      <c r="C2962" s="5">
        <v>1</v>
      </c>
      <c r="D2962" s="5" t="s">
        <v>810</v>
      </c>
      <c r="E2962" s="5" t="s">
        <v>245</v>
      </c>
      <c r="F2962" s="5" t="s">
        <v>254</v>
      </c>
      <c r="G2962" s="5" t="s">
        <v>240</v>
      </c>
      <c r="H2962" s="6" t="s">
        <v>2617</v>
      </c>
      <c r="I2962" s="5" t="s">
        <v>809</v>
      </c>
      <c r="J2962" s="8">
        <f>156</f>
        <v>156</v>
      </c>
      <c r="K2962" s="5" t="s">
        <v>308</v>
      </c>
      <c r="L2962" s="7">
        <f>1</f>
        <v>1</v>
      </c>
      <c r="M2962" s="7">
        <f>1</f>
        <v>1</v>
      </c>
      <c r="N2962" s="5" t="s">
        <v>242</v>
      </c>
      <c r="O2962" s="5">
        <v>1</v>
      </c>
      <c r="P2962" s="5" t="s">
        <v>294</v>
      </c>
      <c r="Q2962" s="5" t="s">
        <v>266</v>
      </c>
      <c r="R2962" s="5" t="s">
        <v>240</v>
      </c>
      <c r="S2962" s="5" t="s">
        <v>240</v>
      </c>
      <c r="T2962" s="5" t="s">
        <v>243</v>
      </c>
      <c r="U2962" s="5" t="s">
        <v>240</v>
      </c>
      <c r="V2962" s="5" t="s">
        <v>240</v>
      </c>
      <c r="Y2962" s="5" t="s">
        <v>240</v>
      </c>
      <c r="Z2962" s="6" t="s">
        <v>5197</v>
      </c>
      <c r="AB2962" s="6" t="s">
        <v>240</v>
      </c>
      <c r="AE2962" s="6" t="s">
        <v>2666</v>
      </c>
      <c r="AF2962" s="5" t="s">
        <v>248</v>
      </c>
      <c r="AG2962" s="5" t="s">
        <v>249</v>
      </c>
      <c r="AW2962" s="5" t="s">
        <v>251</v>
      </c>
      <c r="AX2962" s="5" t="s">
        <v>240</v>
      </c>
      <c r="AY2962" s="5" t="s">
        <v>253</v>
      </c>
      <c r="AZ2962" s="5" t="s">
        <v>240</v>
      </c>
      <c r="BA2962" s="5" t="s">
        <v>255</v>
      </c>
      <c r="BB2962" s="5" t="s">
        <v>240</v>
      </c>
      <c r="BD2962" s="5" t="s">
        <v>240</v>
      </c>
      <c r="BF2962" s="5" t="s">
        <v>687</v>
      </c>
      <c r="BG2962" s="6" t="s">
        <v>5197</v>
      </c>
      <c r="BH2962" s="5" t="s">
        <v>302</v>
      </c>
      <c r="BI2962" s="5" t="s">
        <v>448</v>
      </c>
      <c r="BJ2962" s="5" t="s">
        <v>240</v>
      </c>
      <c r="BK2962" s="8">
        <f>0</f>
        <v>0</v>
      </c>
      <c r="BL2962" s="7">
        <f>0</f>
        <v>0</v>
      </c>
      <c r="BM2962" s="5" t="s">
        <v>258</v>
      </c>
      <c r="BN2962" s="5" t="s">
        <v>259</v>
      </c>
      <c r="CB2962" s="5" t="s">
        <v>240</v>
      </c>
      <c r="CC2962" s="5" t="s">
        <v>240</v>
      </c>
      <c r="CG2962" s="5" t="s">
        <v>449</v>
      </c>
      <c r="CH2962" s="5" t="s">
        <v>305</v>
      </c>
      <c r="CI2962" s="5" t="s">
        <v>240</v>
      </c>
      <c r="CL2962" s="6" t="s">
        <v>261</v>
      </c>
      <c r="CM2962" s="5" t="s">
        <v>240</v>
      </c>
      <c r="CN2962" s="5" t="s">
        <v>263</v>
      </c>
      <c r="CO2962" s="5" t="s">
        <v>240</v>
      </c>
      <c r="CP2962" s="5" t="s">
        <v>240</v>
      </c>
      <c r="CQ2962" s="5">
        <v>0</v>
      </c>
      <c r="CR2962" s="5" t="s">
        <v>306</v>
      </c>
      <c r="CS2962" s="5" t="s">
        <v>307</v>
      </c>
      <c r="CT2962" s="5" t="s">
        <v>307</v>
      </c>
      <c r="CU2962" s="5" t="s">
        <v>260</v>
      </c>
      <c r="CX2962" s="7">
        <f>78000</f>
        <v>78000</v>
      </c>
      <c r="CY2962" s="7">
        <f>0</f>
        <v>0</v>
      </c>
      <c r="DA2962" s="7">
        <f>0</f>
        <v>0</v>
      </c>
      <c r="DC2962" s="5" t="s">
        <v>450</v>
      </c>
      <c r="DD2962" s="5" t="s">
        <v>240</v>
      </c>
      <c r="DF2962" s="5" t="s">
        <v>450</v>
      </c>
      <c r="DG2962" s="7">
        <f>3.17</f>
        <v>3.17</v>
      </c>
      <c r="DI2962" s="5" t="s">
        <v>240</v>
      </c>
      <c r="DJ2962" s="5" t="s">
        <v>240</v>
      </c>
      <c r="DK2962" s="5" t="s">
        <v>240</v>
      </c>
      <c r="DL2962" s="5" t="s">
        <v>240</v>
      </c>
      <c r="DP2962" s="5" t="s">
        <v>240</v>
      </c>
      <c r="DQ2962" s="5" t="s">
        <v>240</v>
      </c>
      <c r="DR2962" s="5" t="s">
        <v>240</v>
      </c>
      <c r="DS2962" s="5" t="s">
        <v>240</v>
      </c>
      <c r="DV2962" s="5" t="s">
        <v>310</v>
      </c>
      <c r="DW2962" s="5" t="s">
        <v>2411</v>
      </c>
      <c r="HO2962" s="5" t="s">
        <v>312</v>
      </c>
    </row>
    <row r="2963" spans="1:240" x14ac:dyDescent="0.4">
      <c r="A2963" s="5">
        <v>4667</v>
      </c>
      <c r="B2963" s="5">
        <v>1</v>
      </c>
      <c r="C2963" s="5">
        <v>1</v>
      </c>
      <c r="D2963" s="5" t="s">
        <v>810</v>
      </c>
      <c r="E2963" s="5" t="s">
        <v>245</v>
      </c>
      <c r="F2963" s="5" t="s">
        <v>254</v>
      </c>
      <c r="G2963" s="5" t="s">
        <v>240</v>
      </c>
      <c r="H2963" s="6" t="s">
        <v>2615</v>
      </c>
      <c r="I2963" s="5" t="s">
        <v>809</v>
      </c>
      <c r="J2963" s="8">
        <f>3185</f>
        <v>3185</v>
      </c>
      <c r="K2963" s="5" t="s">
        <v>308</v>
      </c>
      <c r="L2963" s="7">
        <f>1</f>
        <v>1</v>
      </c>
      <c r="M2963" s="7">
        <f>1</f>
        <v>1</v>
      </c>
      <c r="N2963" s="5" t="s">
        <v>242</v>
      </c>
      <c r="O2963" s="5">
        <v>1</v>
      </c>
      <c r="P2963" s="5" t="s">
        <v>294</v>
      </c>
      <c r="Q2963" s="5" t="s">
        <v>3678</v>
      </c>
      <c r="R2963" s="5" t="s">
        <v>240</v>
      </c>
      <c r="S2963" s="5" t="s">
        <v>240</v>
      </c>
      <c r="T2963" s="5" t="s">
        <v>243</v>
      </c>
      <c r="U2963" s="5" t="s">
        <v>244</v>
      </c>
      <c r="V2963" s="5" t="s">
        <v>240</v>
      </c>
      <c r="W2963" s="5" t="s">
        <v>240</v>
      </c>
      <c r="X2963" s="5" t="s">
        <v>240</v>
      </c>
      <c r="Y2963" s="5" t="s">
        <v>240</v>
      </c>
      <c r="Z2963" s="6" t="s">
        <v>298</v>
      </c>
      <c r="AA2963" s="6" t="s">
        <v>240</v>
      </c>
      <c r="AB2963" s="6" t="s">
        <v>240</v>
      </c>
      <c r="AC2963" s="5" t="s">
        <v>240</v>
      </c>
      <c r="AD2963" s="6" t="s">
        <v>240</v>
      </c>
      <c r="AE2963" s="6" t="s">
        <v>299</v>
      </c>
      <c r="AF2963" s="5" t="s">
        <v>248</v>
      </c>
      <c r="AG2963" s="5" t="s">
        <v>249</v>
      </c>
      <c r="AH2963" s="5" t="s">
        <v>240</v>
      </c>
      <c r="AI2963" s="5" t="s">
        <v>240</v>
      </c>
      <c r="AJ2963" s="5" t="s">
        <v>240</v>
      </c>
      <c r="AK2963" s="5" t="s">
        <v>240</v>
      </c>
      <c r="AL2963" s="5" t="s">
        <v>240</v>
      </c>
      <c r="AM2963" s="5" t="s">
        <v>240</v>
      </c>
      <c r="AN2963" s="5" t="s">
        <v>240</v>
      </c>
      <c r="AO2963" s="5" t="s">
        <v>240</v>
      </c>
      <c r="AP2963" s="6" t="s">
        <v>240</v>
      </c>
      <c r="AQ2963" s="6" t="s">
        <v>240</v>
      </c>
      <c r="AR2963" s="6" t="s">
        <v>240</v>
      </c>
      <c r="AS2963" s="6" t="s">
        <v>240</v>
      </c>
      <c r="AT2963" s="5" t="s">
        <v>240</v>
      </c>
      <c r="AU2963" s="5" t="s">
        <v>729</v>
      </c>
      <c r="AV2963" s="5" t="s">
        <v>729</v>
      </c>
      <c r="AW2963" s="5" t="s">
        <v>251</v>
      </c>
      <c r="AX2963" s="5" t="s">
        <v>252</v>
      </c>
      <c r="AY2963" s="5" t="s">
        <v>253</v>
      </c>
      <c r="AZ2963" s="5" t="s">
        <v>240</v>
      </c>
      <c r="BA2963" s="5" t="s">
        <v>255</v>
      </c>
      <c r="BB2963" s="5" t="s">
        <v>731</v>
      </c>
      <c r="BD2963" s="5" t="s">
        <v>240</v>
      </c>
      <c r="BF2963" s="5" t="s">
        <v>732</v>
      </c>
      <c r="BG2963" s="6" t="s">
        <v>733</v>
      </c>
      <c r="BH2963" s="5" t="s">
        <v>734</v>
      </c>
      <c r="BI2963" s="5" t="s">
        <v>734</v>
      </c>
      <c r="BJ2963" s="5" t="s">
        <v>240</v>
      </c>
      <c r="BK2963" s="7">
        <f>1</f>
        <v>1</v>
      </c>
      <c r="BL2963" s="7">
        <f>1</f>
        <v>1</v>
      </c>
      <c r="BM2963" s="5" t="s">
        <v>258</v>
      </c>
      <c r="BN2963" s="5" t="s">
        <v>259</v>
      </c>
      <c r="BO2963" s="5" t="s">
        <v>240</v>
      </c>
      <c r="BP2963" s="5" t="s">
        <v>240</v>
      </c>
      <c r="BQ2963" s="5" t="s">
        <v>240</v>
      </c>
      <c r="BR2963" s="5" t="s">
        <v>240</v>
      </c>
      <c r="BS2963" s="5" t="s">
        <v>240</v>
      </c>
      <c r="BT2963" s="5" t="s">
        <v>240</v>
      </c>
      <c r="BU2963" s="5" t="s">
        <v>240</v>
      </c>
      <c r="BV2963" s="5" t="s">
        <v>240</v>
      </c>
      <c r="BW2963" s="6" t="s">
        <v>240</v>
      </c>
      <c r="BX2963" s="5" t="s">
        <v>240</v>
      </c>
      <c r="BY2963" s="5" t="s">
        <v>240</v>
      </c>
      <c r="BZ2963" s="5" t="s">
        <v>240</v>
      </c>
      <c r="CA2963" s="5" t="s">
        <v>259</v>
      </c>
      <c r="CB2963" s="5" t="s">
        <v>240</v>
      </c>
      <c r="CC2963" s="5" t="s">
        <v>240</v>
      </c>
      <c r="CD2963" s="5" t="s">
        <v>240</v>
      </c>
      <c r="CE2963" s="5" t="s">
        <v>240</v>
      </c>
      <c r="CF2963" s="5" t="s">
        <v>240</v>
      </c>
      <c r="CG2963" s="5" t="s">
        <v>304</v>
      </c>
      <c r="CH2963" s="5" t="s">
        <v>305</v>
      </c>
      <c r="CI2963" s="5" t="s">
        <v>240</v>
      </c>
      <c r="CK2963" s="5" t="s">
        <v>3681</v>
      </c>
      <c r="CL2963" s="6" t="s">
        <v>261</v>
      </c>
      <c r="CM2963" s="5" t="s">
        <v>262</v>
      </c>
      <c r="CN2963" s="5" t="s">
        <v>263</v>
      </c>
      <c r="CO2963" s="5" t="s">
        <v>264</v>
      </c>
      <c r="CP2963" s="5" t="s">
        <v>240</v>
      </c>
      <c r="CQ2963" s="5">
        <v>0</v>
      </c>
      <c r="CR2963" s="5" t="s">
        <v>735</v>
      </c>
      <c r="CS2963" s="5" t="s">
        <v>307</v>
      </c>
      <c r="CT2963" s="5" t="s">
        <v>307</v>
      </c>
      <c r="CU2963" s="5" t="s">
        <v>260</v>
      </c>
      <c r="CV2963" s="5" t="s">
        <v>612</v>
      </c>
      <c r="CW2963" s="8">
        <f>1</f>
        <v>1</v>
      </c>
      <c r="CX2963" s="7">
        <f>1</f>
        <v>1</v>
      </c>
      <c r="CY2963" s="7">
        <f>0</f>
        <v>0</v>
      </c>
      <c r="DA2963" s="7">
        <f>1</f>
        <v>1</v>
      </c>
      <c r="DB2963" s="7" t="s">
        <v>240</v>
      </c>
      <c r="DC2963" s="5" t="s">
        <v>240</v>
      </c>
      <c r="DD2963" s="5" t="s">
        <v>240</v>
      </c>
      <c r="DE2963" s="5" t="s">
        <v>240</v>
      </c>
      <c r="DF2963" s="5" t="s">
        <v>240</v>
      </c>
      <c r="DG2963" s="7">
        <f>0</f>
        <v>0</v>
      </c>
      <c r="DI2963" s="5" t="s">
        <v>240</v>
      </c>
      <c r="DJ2963" s="5" t="s">
        <v>240</v>
      </c>
      <c r="DK2963" s="5" t="s">
        <v>240</v>
      </c>
      <c r="DL2963" s="5" t="s">
        <v>240</v>
      </c>
      <c r="DM2963" s="5" t="s">
        <v>240</v>
      </c>
      <c r="DN2963" s="5" t="s">
        <v>240</v>
      </c>
      <c r="DO2963" s="7" t="s">
        <v>240</v>
      </c>
      <c r="DP2963" s="5" t="s">
        <v>240</v>
      </c>
      <c r="DQ2963" s="5" t="s">
        <v>240</v>
      </c>
      <c r="DR2963" s="5" t="s">
        <v>731</v>
      </c>
      <c r="DS2963" s="5" t="s">
        <v>731</v>
      </c>
      <c r="DT2963" s="5" t="s">
        <v>240</v>
      </c>
      <c r="DU2963" s="5" t="s">
        <v>240</v>
      </c>
      <c r="DV2963" s="5" t="s">
        <v>3683</v>
      </c>
      <c r="DW2963" s="5" t="s">
        <v>556</v>
      </c>
      <c r="DX2963" s="5" t="s">
        <v>240</v>
      </c>
      <c r="DY2963" s="5" t="s">
        <v>240</v>
      </c>
      <c r="DZ2963" s="5" t="s">
        <v>240</v>
      </c>
      <c r="EA2963" s="5" t="s">
        <v>240</v>
      </c>
      <c r="EB2963" s="5" t="s">
        <v>240</v>
      </c>
      <c r="EC2963" s="5" t="s">
        <v>240</v>
      </c>
      <c r="ED2963" s="5" t="s">
        <v>240</v>
      </c>
      <c r="EE2963" s="5" t="s">
        <v>240</v>
      </c>
      <c r="EF2963" s="5" t="s">
        <v>240</v>
      </c>
      <c r="EG2963" s="5" t="s">
        <v>240</v>
      </c>
      <c r="EH2963" s="5" t="s">
        <v>240</v>
      </c>
      <c r="EI2963" s="5" t="s">
        <v>240</v>
      </c>
      <c r="EJ2963" s="5" t="s">
        <v>240</v>
      </c>
      <c r="EK2963" s="5" t="s">
        <v>240</v>
      </c>
      <c r="EL2963" s="5" t="s">
        <v>240</v>
      </c>
      <c r="EM2963" s="5" t="s">
        <v>240</v>
      </c>
      <c r="EN2963" s="5" t="s">
        <v>240</v>
      </c>
      <c r="EO2963" s="5" t="s">
        <v>240</v>
      </c>
      <c r="EP2963" s="5" t="s">
        <v>240</v>
      </c>
      <c r="EQ2963" s="5" t="s">
        <v>240</v>
      </c>
      <c r="ER2963" s="5" t="s">
        <v>240</v>
      </c>
      <c r="ES2963" s="5" t="s">
        <v>240</v>
      </c>
      <c r="ET2963" s="5" t="s">
        <v>240</v>
      </c>
      <c r="EU2963" s="5" t="s">
        <v>240</v>
      </c>
      <c r="EV2963" s="5" t="s">
        <v>240</v>
      </c>
      <c r="EW2963" s="5" t="s">
        <v>240</v>
      </c>
      <c r="EX2963" s="5" t="s">
        <v>240</v>
      </c>
      <c r="EY2963" s="5" t="s">
        <v>240</v>
      </c>
      <c r="EZ2963" s="5" t="s">
        <v>240</v>
      </c>
      <c r="FA2963" s="5" t="s">
        <v>240</v>
      </c>
      <c r="FB2963" s="5" t="s">
        <v>240</v>
      </c>
      <c r="FC2963" s="5" t="s">
        <v>240</v>
      </c>
      <c r="FD2963" s="5" t="s">
        <v>240</v>
      </c>
      <c r="FE2963" s="5" t="s">
        <v>240</v>
      </c>
      <c r="FF2963" s="5" t="s">
        <v>240</v>
      </c>
      <c r="FG2963" s="5" t="s">
        <v>240</v>
      </c>
      <c r="FH2963" s="5" t="s">
        <v>240</v>
      </c>
      <c r="FI2963" s="5" t="s">
        <v>240</v>
      </c>
      <c r="FJ2963" s="5" t="s">
        <v>240</v>
      </c>
      <c r="FK2963" s="5" t="s">
        <v>240</v>
      </c>
      <c r="FL2963" s="5" t="s">
        <v>240</v>
      </c>
      <c r="FM2963" s="5" t="s">
        <v>240</v>
      </c>
      <c r="FN2963" s="5" t="s">
        <v>240</v>
      </c>
      <c r="FO2963" s="5" t="s">
        <v>240</v>
      </c>
      <c r="FP2963" s="5" t="s">
        <v>240</v>
      </c>
      <c r="FQ2963" s="5" t="s">
        <v>240</v>
      </c>
      <c r="FR2963" s="5" t="s">
        <v>240</v>
      </c>
      <c r="FS2963" s="5" t="s">
        <v>240</v>
      </c>
      <c r="FT2963" s="5" t="s">
        <v>240</v>
      </c>
      <c r="FU2963" s="5" t="s">
        <v>240</v>
      </c>
      <c r="FV2963" s="5" t="s">
        <v>240</v>
      </c>
      <c r="FW2963" s="5" t="s">
        <v>240</v>
      </c>
      <c r="FX2963" s="5" t="s">
        <v>240</v>
      </c>
      <c r="FY2963" s="5" t="s">
        <v>240</v>
      </c>
      <c r="FZ2963" s="5" t="s">
        <v>240</v>
      </c>
      <c r="GA2963" s="5" t="s">
        <v>240</v>
      </c>
      <c r="GB2963" s="5" t="s">
        <v>240</v>
      </c>
      <c r="GC2963" s="5" t="s">
        <v>240</v>
      </c>
      <c r="GD2963" s="5" t="s">
        <v>240</v>
      </c>
      <c r="GE2963" s="5" t="s">
        <v>240</v>
      </c>
      <c r="GF2963" s="5" t="s">
        <v>240</v>
      </c>
      <c r="GG2963" s="5" t="s">
        <v>240</v>
      </c>
      <c r="GH2963" s="5" t="s">
        <v>240</v>
      </c>
      <c r="GI2963" s="5" t="s">
        <v>240</v>
      </c>
      <c r="GJ2963" s="5" t="s">
        <v>240</v>
      </c>
      <c r="GK2963" s="5" t="s">
        <v>240</v>
      </c>
      <c r="GL2963" s="5" t="s">
        <v>240</v>
      </c>
      <c r="GM2963" s="5" t="s">
        <v>240</v>
      </c>
      <c r="GN2963" s="5" t="s">
        <v>240</v>
      </c>
      <c r="GO2963" s="5" t="s">
        <v>240</v>
      </c>
      <c r="GP2963" s="5" t="s">
        <v>240</v>
      </c>
      <c r="GQ2963" s="5" t="s">
        <v>240</v>
      </c>
      <c r="GR2963" s="5" t="s">
        <v>240</v>
      </c>
      <c r="GS2963" s="5" t="s">
        <v>240</v>
      </c>
      <c r="GT2963" s="5" t="s">
        <v>240</v>
      </c>
      <c r="GU2963" s="5" t="s">
        <v>240</v>
      </c>
      <c r="GV2963" s="5" t="s">
        <v>240</v>
      </c>
      <c r="GW2963" s="5" t="s">
        <v>240</v>
      </c>
      <c r="GX2963" s="5" t="s">
        <v>240</v>
      </c>
      <c r="GY2963" s="5" t="s">
        <v>240</v>
      </c>
      <c r="GZ2963" s="5" t="s">
        <v>240</v>
      </c>
      <c r="HA2963" s="5" t="s">
        <v>240</v>
      </c>
      <c r="HB2963" s="5" t="s">
        <v>240</v>
      </c>
      <c r="HC2963" s="5" t="s">
        <v>240</v>
      </c>
      <c r="HD2963" s="5" t="s">
        <v>240</v>
      </c>
      <c r="HE2963" s="5" t="s">
        <v>240</v>
      </c>
      <c r="HF2963" s="5" t="s">
        <v>240</v>
      </c>
      <c r="HG2963" s="5" t="s">
        <v>240</v>
      </c>
      <c r="HH2963" s="5" t="s">
        <v>240</v>
      </c>
      <c r="HI2963" s="5" t="s">
        <v>240</v>
      </c>
      <c r="HJ2963" s="5" t="s">
        <v>240</v>
      </c>
      <c r="HK2963" s="5" t="s">
        <v>240</v>
      </c>
      <c r="HL2963" s="5" t="s">
        <v>240</v>
      </c>
      <c r="HM2963" s="5" t="s">
        <v>240</v>
      </c>
      <c r="HN2963" s="5" t="s">
        <v>240</v>
      </c>
      <c r="HO2963" s="5" t="s">
        <v>312</v>
      </c>
      <c r="HP2963" s="5" t="s">
        <v>240</v>
      </c>
      <c r="HQ2963" s="5" t="s">
        <v>240</v>
      </c>
      <c r="HR2963" s="5" t="s">
        <v>240</v>
      </c>
      <c r="HS2963" s="5" t="s">
        <v>240</v>
      </c>
      <c r="HT2963" s="5" t="s">
        <v>240</v>
      </c>
      <c r="HU2963" s="5" t="s">
        <v>240</v>
      </c>
      <c r="HV2963" s="5" t="s">
        <v>240</v>
      </c>
      <c r="HW2963" s="5" t="s">
        <v>240</v>
      </c>
      <c r="HX2963" s="5" t="s">
        <v>240</v>
      </c>
      <c r="HY2963" s="5" t="s">
        <v>240</v>
      </c>
      <c r="HZ2963" s="5" t="s">
        <v>240</v>
      </c>
      <c r="IA2963" s="5" t="s">
        <v>240</v>
      </c>
      <c r="IB2963" s="5" t="s">
        <v>240</v>
      </c>
      <c r="IC2963" s="5" t="s">
        <v>240</v>
      </c>
      <c r="ID2963" s="5" t="s">
        <v>240</v>
      </c>
      <c r="IE2963" s="5" t="s">
        <v>240</v>
      </c>
      <c r="IF2963" s="5" t="s">
        <v>240</v>
      </c>
    </row>
    <row r="2964" spans="1:240" x14ac:dyDescent="0.4">
      <c r="A2964" s="5">
        <v>4668</v>
      </c>
      <c r="B2964" s="5">
        <v>1</v>
      </c>
      <c r="C2964" s="5">
        <v>1</v>
      </c>
      <c r="D2964" s="5" t="s">
        <v>810</v>
      </c>
      <c r="E2964" s="5" t="s">
        <v>245</v>
      </c>
      <c r="F2964" s="5" t="s">
        <v>254</v>
      </c>
      <c r="G2964" s="5" t="s">
        <v>240</v>
      </c>
      <c r="H2964" s="6" t="s">
        <v>2613</v>
      </c>
      <c r="I2964" s="5" t="s">
        <v>809</v>
      </c>
      <c r="J2964" s="8">
        <f>1307</f>
        <v>1307</v>
      </c>
      <c r="K2964" s="5" t="s">
        <v>308</v>
      </c>
      <c r="L2964" s="7">
        <f>1</f>
        <v>1</v>
      </c>
      <c r="M2964" s="7">
        <f>1</f>
        <v>1</v>
      </c>
      <c r="N2964" s="5" t="s">
        <v>242</v>
      </c>
      <c r="O2964" s="5">
        <v>1</v>
      </c>
      <c r="P2964" s="5" t="s">
        <v>294</v>
      </c>
      <c r="Q2964" s="5" t="s">
        <v>3678</v>
      </c>
      <c r="R2964" s="5" t="s">
        <v>240</v>
      </c>
      <c r="S2964" s="5" t="s">
        <v>240</v>
      </c>
      <c r="T2964" s="5" t="s">
        <v>243</v>
      </c>
      <c r="U2964" s="5" t="s">
        <v>244</v>
      </c>
      <c r="V2964" s="5" t="s">
        <v>240</v>
      </c>
      <c r="W2964" s="5" t="s">
        <v>240</v>
      </c>
      <c r="X2964" s="5" t="s">
        <v>240</v>
      </c>
      <c r="Y2964" s="5" t="s">
        <v>240</v>
      </c>
      <c r="Z2964" s="6" t="s">
        <v>298</v>
      </c>
      <c r="AA2964" s="6" t="s">
        <v>240</v>
      </c>
      <c r="AB2964" s="6" t="s">
        <v>240</v>
      </c>
      <c r="AC2964" s="5" t="s">
        <v>240</v>
      </c>
      <c r="AD2964" s="6" t="s">
        <v>240</v>
      </c>
      <c r="AE2964" s="6" t="s">
        <v>299</v>
      </c>
      <c r="AF2964" s="5" t="s">
        <v>248</v>
      </c>
      <c r="AG2964" s="5" t="s">
        <v>249</v>
      </c>
      <c r="AH2964" s="5" t="s">
        <v>240</v>
      </c>
      <c r="AI2964" s="5" t="s">
        <v>240</v>
      </c>
      <c r="AJ2964" s="5" t="s">
        <v>240</v>
      </c>
      <c r="AK2964" s="5" t="s">
        <v>240</v>
      </c>
      <c r="AL2964" s="5" t="s">
        <v>240</v>
      </c>
      <c r="AM2964" s="5" t="s">
        <v>240</v>
      </c>
      <c r="AN2964" s="5" t="s">
        <v>240</v>
      </c>
      <c r="AO2964" s="5" t="s">
        <v>240</v>
      </c>
      <c r="AP2964" s="6" t="s">
        <v>240</v>
      </c>
      <c r="AQ2964" s="6" t="s">
        <v>240</v>
      </c>
      <c r="AR2964" s="6" t="s">
        <v>240</v>
      </c>
      <c r="AS2964" s="6" t="s">
        <v>240</v>
      </c>
      <c r="AT2964" s="5" t="s">
        <v>240</v>
      </c>
      <c r="AU2964" s="5" t="s">
        <v>729</v>
      </c>
      <c r="AV2964" s="5" t="s">
        <v>729</v>
      </c>
      <c r="AW2964" s="5" t="s">
        <v>251</v>
      </c>
      <c r="AX2964" s="5" t="s">
        <v>252</v>
      </c>
      <c r="AY2964" s="5" t="s">
        <v>253</v>
      </c>
      <c r="AZ2964" s="5" t="s">
        <v>240</v>
      </c>
      <c r="BA2964" s="5" t="s">
        <v>255</v>
      </c>
      <c r="BB2964" s="5" t="s">
        <v>731</v>
      </c>
      <c r="BD2964" s="5" t="s">
        <v>240</v>
      </c>
      <c r="BF2964" s="5" t="s">
        <v>732</v>
      </c>
      <c r="BG2964" s="6" t="s">
        <v>733</v>
      </c>
      <c r="BH2964" s="5" t="s">
        <v>734</v>
      </c>
      <c r="BI2964" s="5" t="s">
        <v>734</v>
      </c>
      <c r="BJ2964" s="5" t="s">
        <v>240</v>
      </c>
      <c r="BK2964" s="7">
        <f>1</f>
        <v>1</v>
      </c>
      <c r="BL2964" s="7">
        <f>1</f>
        <v>1</v>
      </c>
      <c r="BM2964" s="5" t="s">
        <v>258</v>
      </c>
      <c r="BN2964" s="5" t="s">
        <v>259</v>
      </c>
      <c r="BO2964" s="5" t="s">
        <v>240</v>
      </c>
      <c r="BP2964" s="5" t="s">
        <v>240</v>
      </c>
      <c r="BQ2964" s="5" t="s">
        <v>240</v>
      </c>
      <c r="BR2964" s="5" t="s">
        <v>240</v>
      </c>
      <c r="BS2964" s="5" t="s">
        <v>240</v>
      </c>
      <c r="BT2964" s="5" t="s">
        <v>240</v>
      </c>
      <c r="BU2964" s="5" t="s">
        <v>240</v>
      </c>
      <c r="BV2964" s="5" t="s">
        <v>240</v>
      </c>
      <c r="BW2964" s="6" t="s">
        <v>240</v>
      </c>
      <c r="BX2964" s="5" t="s">
        <v>240</v>
      </c>
      <c r="BY2964" s="5" t="s">
        <v>240</v>
      </c>
      <c r="BZ2964" s="5" t="s">
        <v>240</v>
      </c>
      <c r="CA2964" s="5" t="s">
        <v>259</v>
      </c>
      <c r="CB2964" s="5" t="s">
        <v>240</v>
      </c>
      <c r="CC2964" s="5" t="s">
        <v>240</v>
      </c>
      <c r="CD2964" s="5" t="s">
        <v>240</v>
      </c>
      <c r="CE2964" s="5" t="s">
        <v>240</v>
      </c>
      <c r="CF2964" s="5" t="s">
        <v>240</v>
      </c>
      <c r="CG2964" s="5" t="s">
        <v>304</v>
      </c>
      <c r="CH2964" s="5" t="s">
        <v>305</v>
      </c>
      <c r="CI2964" s="5" t="s">
        <v>240</v>
      </c>
      <c r="CK2964" s="5" t="s">
        <v>3681</v>
      </c>
      <c r="CL2964" s="6" t="s">
        <v>261</v>
      </c>
      <c r="CM2964" s="5" t="s">
        <v>262</v>
      </c>
      <c r="CN2964" s="5" t="s">
        <v>263</v>
      </c>
      <c r="CO2964" s="5" t="s">
        <v>264</v>
      </c>
      <c r="CP2964" s="5" t="s">
        <v>240</v>
      </c>
      <c r="CQ2964" s="5">
        <v>0</v>
      </c>
      <c r="CR2964" s="5" t="s">
        <v>735</v>
      </c>
      <c r="CS2964" s="5" t="s">
        <v>307</v>
      </c>
      <c r="CT2964" s="5" t="s">
        <v>307</v>
      </c>
      <c r="CU2964" s="5" t="s">
        <v>260</v>
      </c>
      <c r="CV2964" s="5" t="s">
        <v>612</v>
      </c>
      <c r="CW2964" s="8">
        <f>1</f>
        <v>1</v>
      </c>
      <c r="CX2964" s="7">
        <f>1</f>
        <v>1</v>
      </c>
      <c r="CY2964" s="7">
        <f>0</f>
        <v>0</v>
      </c>
      <c r="DA2964" s="7">
        <f>1</f>
        <v>1</v>
      </c>
      <c r="DB2964" s="7" t="s">
        <v>240</v>
      </c>
      <c r="DC2964" s="5" t="s">
        <v>240</v>
      </c>
      <c r="DD2964" s="5" t="s">
        <v>240</v>
      </c>
      <c r="DE2964" s="5" t="s">
        <v>240</v>
      </c>
      <c r="DF2964" s="5" t="s">
        <v>240</v>
      </c>
      <c r="DG2964" s="7">
        <f>0</f>
        <v>0</v>
      </c>
      <c r="DI2964" s="5" t="s">
        <v>240</v>
      </c>
      <c r="DJ2964" s="5" t="s">
        <v>240</v>
      </c>
      <c r="DK2964" s="5" t="s">
        <v>240</v>
      </c>
      <c r="DL2964" s="5" t="s">
        <v>240</v>
      </c>
      <c r="DM2964" s="5" t="s">
        <v>240</v>
      </c>
      <c r="DN2964" s="5" t="s">
        <v>240</v>
      </c>
      <c r="DO2964" s="7" t="s">
        <v>240</v>
      </c>
      <c r="DP2964" s="5" t="s">
        <v>240</v>
      </c>
      <c r="DQ2964" s="5" t="s">
        <v>240</v>
      </c>
      <c r="DR2964" s="5" t="s">
        <v>731</v>
      </c>
      <c r="DS2964" s="5" t="s">
        <v>731</v>
      </c>
      <c r="DT2964" s="5" t="s">
        <v>240</v>
      </c>
      <c r="DU2964" s="5" t="s">
        <v>240</v>
      </c>
      <c r="DV2964" s="5" t="s">
        <v>5063</v>
      </c>
      <c r="DW2964" s="5" t="s">
        <v>1196</v>
      </c>
      <c r="DX2964" s="5" t="s">
        <v>240</v>
      </c>
      <c r="DY2964" s="5" t="s">
        <v>240</v>
      </c>
      <c r="DZ2964" s="5" t="s">
        <v>240</v>
      </c>
      <c r="EA2964" s="5" t="s">
        <v>240</v>
      </c>
      <c r="EB2964" s="5" t="s">
        <v>240</v>
      </c>
      <c r="EC2964" s="5" t="s">
        <v>240</v>
      </c>
      <c r="ED2964" s="5" t="s">
        <v>240</v>
      </c>
      <c r="EE2964" s="5" t="s">
        <v>240</v>
      </c>
      <c r="EF2964" s="5" t="s">
        <v>240</v>
      </c>
      <c r="EG2964" s="5" t="s">
        <v>240</v>
      </c>
      <c r="EH2964" s="5" t="s">
        <v>240</v>
      </c>
      <c r="EI2964" s="5" t="s">
        <v>240</v>
      </c>
      <c r="EJ2964" s="5" t="s">
        <v>240</v>
      </c>
      <c r="EK2964" s="5" t="s">
        <v>240</v>
      </c>
      <c r="EL2964" s="5" t="s">
        <v>240</v>
      </c>
      <c r="EM2964" s="5" t="s">
        <v>240</v>
      </c>
      <c r="EN2964" s="5" t="s">
        <v>240</v>
      </c>
      <c r="EO2964" s="5" t="s">
        <v>240</v>
      </c>
      <c r="EP2964" s="5" t="s">
        <v>240</v>
      </c>
      <c r="EQ2964" s="5" t="s">
        <v>240</v>
      </c>
      <c r="ER2964" s="5" t="s">
        <v>240</v>
      </c>
      <c r="ES2964" s="5" t="s">
        <v>240</v>
      </c>
      <c r="ET2964" s="5" t="s">
        <v>240</v>
      </c>
      <c r="EU2964" s="5" t="s">
        <v>240</v>
      </c>
      <c r="EV2964" s="5" t="s">
        <v>240</v>
      </c>
      <c r="EW2964" s="5" t="s">
        <v>240</v>
      </c>
      <c r="EX2964" s="5" t="s">
        <v>240</v>
      </c>
      <c r="EY2964" s="5" t="s">
        <v>240</v>
      </c>
      <c r="EZ2964" s="5" t="s">
        <v>240</v>
      </c>
      <c r="FA2964" s="5" t="s">
        <v>240</v>
      </c>
      <c r="FB2964" s="5" t="s">
        <v>240</v>
      </c>
      <c r="FC2964" s="5" t="s">
        <v>240</v>
      </c>
      <c r="FD2964" s="5" t="s">
        <v>240</v>
      </c>
      <c r="FE2964" s="5" t="s">
        <v>240</v>
      </c>
      <c r="FF2964" s="5" t="s">
        <v>240</v>
      </c>
      <c r="FG2964" s="5" t="s">
        <v>240</v>
      </c>
      <c r="FH2964" s="5" t="s">
        <v>240</v>
      </c>
      <c r="FI2964" s="5" t="s">
        <v>240</v>
      </c>
      <c r="FJ2964" s="5" t="s">
        <v>240</v>
      </c>
      <c r="FK2964" s="5" t="s">
        <v>240</v>
      </c>
      <c r="FL2964" s="5" t="s">
        <v>240</v>
      </c>
      <c r="FM2964" s="5" t="s">
        <v>240</v>
      </c>
      <c r="FN2964" s="5" t="s">
        <v>240</v>
      </c>
      <c r="FO2964" s="5" t="s">
        <v>240</v>
      </c>
      <c r="FP2964" s="5" t="s">
        <v>240</v>
      </c>
      <c r="FQ2964" s="5" t="s">
        <v>240</v>
      </c>
      <c r="FR2964" s="5" t="s">
        <v>240</v>
      </c>
      <c r="FS2964" s="5" t="s">
        <v>240</v>
      </c>
      <c r="FT2964" s="5" t="s">
        <v>240</v>
      </c>
      <c r="FU2964" s="5" t="s">
        <v>240</v>
      </c>
      <c r="FV2964" s="5" t="s">
        <v>240</v>
      </c>
      <c r="FW2964" s="5" t="s">
        <v>240</v>
      </c>
      <c r="FX2964" s="5" t="s">
        <v>240</v>
      </c>
      <c r="FY2964" s="5" t="s">
        <v>240</v>
      </c>
      <c r="FZ2964" s="5" t="s">
        <v>240</v>
      </c>
      <c r="GA2964" s="5" t="s">
        <v>240</v>
      </c>
      <c r="GB2964" s="5" t="s">
        <v>240</v>
      </c>
      <c r="GC2964" s="5" t="s">
        <v>240</v>
      </c>
      <c r="GD2964" s="5" t="s">
        <v>240</v>
      </c>
      <c r="GE2964" s="5" t="s">
        <v>240</v>
      </c>
      <c r="GF2964" s="5" t="s">
        <v>240</v>
      </c>
      <c r="GG2964" s="5" t="s">
        <v>240</v>
      </c>
      <c r="GH2964" s="5" t="s">
        <v>240</v>
      </c>
      <c r="GI2964" s="5" t="s">
        <v>240</v>
      </c>
      <c r="GJ2964" s="5" t="s">
        <v>240</v>
      </c>
      <c r="GK2964" s="5" t="s">
        <v>240</v>
      </c>
      <c r="GL2964" s="5" t="s">
        <v>240</v>
      </c>
      <c r="GM2964" s="5" t="s">
        <v>240</v>
      </c>
      <c r="GN2964" s="5" t="s">
        <v>240</v>
      </c>
      <c r="GO2964" s="5" t="s">
        <v>240</v>
      </c>
      <c r="GP2964" s="5" t="s">
        <v>240</v>
      </c>
      <c r="GQ2964" s="5" t="s">
        <v>240</v>
      </c>
      <c r="GR2964" s="5" t="s">
        <v>240</v>
      </c>
      <c r="GS2964" s="5" t="s">
        <v>240</v>
      </c>
      <c r="GT2964" s="5" t="s">
        <v>240</v>
      </c>
      <c r="GU2964" s="5" t="s">
        <v>240</v>
      </c>
      <c r="GV2964" s="5" t="s">
        <v>240</v>
      </c>
      <c r="GW2964" s="5" t="s">
        <v>240</v>
      </c>
      <c r="GX2964" s="5" t="s">
        <v>240</v>
      </c>
      <c r="GY2964" s="5" t="s">
        <v>240</v>
      </c>
      <c r="GZ2964" s="5" t="s">
        <v>240</v>
      </c>
      <c r="HA2964" s="5" t="s">
        <v>240</v>
      </c>
      <c r="HB2964" s="5" t="s">
        <v>240</v>
      </c>
      <c r="HC2964" s="5" t="s">
        <v>240</v>
      </c>
      <c r="HD2964" s="5" t="s">
        <v>240</v>
      </c>
      <c r="HE2964" s="5" t="s">
        <v>240</v>
      </c>
      <c r="HF2964" s="5" t="s">
        <v>240</v>
      </c>
      <c r="HG2964" s="5" t="s">
        <v>240</v>
      </c>
      <c r="HH2964" s="5" t="s">
        <v>240</v>
      </c>
      <c r="HI2964" s="5" t="s">
        <v>240</v>
      </c>
      <c r="HJ2964" s="5" t="s">
        <v>240</v>
      </c>
      <c r="HK2964" s="5" t="s">
        <v>240</v>
      </c>
      <c r="HL2964" s="5" t="s">
        <v>240</v>
      </c>
      <c r="HM2964" s="5" t="s">
        <v>240</v>
      </c>
      <c r="HN2964" s="5" t="s">
        <v>240</v>
      </c>
      <c r="HO2964" s="5" t="s">
        <v>312</v>
      </c>
      <c r="HP2964" s="5" t="s">
        <v>240</v>
      </c>
      <c r="HQ2964" s="5" t="s">
        <v>240</v>
      </c>
      <c r="HR2964" s="5" t="s">
        <v>240</v>
      </c>
      <c r="HS2964" s="5" t="s">
        <v>240</v>
      </c>
      <c r="HT2964" s="5" t="s">
        <v>240</v>
      </c>
      <c r="HU2964" s="5" t="s">
        <v>240</v>
      </c>
      <c r="HV2964" s="5" t="s">
        <v>240</v>
      </c>
      <c r="HW2964" s="5" t="s">
        <v>240</v>
      </c>
      <c r="HX2964" s="5" t="s">
        <v>240</v>
      </c>
      <c r="HY2964" s="5" t="s">
        <v>240</v>
      </c>
      <c r="HZ2964" s="5" t="s">
        <v>240</v>
      </c>
      <c r="IA2964" s="5" t="s">
        <v>240</v>
      </c>
      <c r="IB2964" s="5" t="s">
        <v>240</v>
      </c>
      <c r="IC2964" s="5" t="s">
        <v>240</v>
      </c>
      <c r="ID2964" s="5" t="s">
        <v>240</v>
      </c>
      <c r="IE2964" s="5" t="s">
        <v>240</v>
      </c>
      <c r="IF2964" s="5" t="s">
        <v>240</v>
      </c>
    </row>
    <row r="2965" spans="1:240" x14ac:dyDescent="0.4">
      <c r="A2965" s="5">
        <v>4669</v>
      </c>
      <c r="B2965" s="5">
        <v>1</v>
      </c>
      <c r="C2965" s="5">
        <v>1</v>
      </c>
      <c r="D2965" s="5" t="s">
        <v>810</v>
      </c>
      <c r="E2965" s="5" t="s">
        <v>245</v>
      </c>
      <c r="F2965" s="5" t="s">
        <v>254</v>
      </c>
      <c r="G2965" s="5" t="s">
        <v>240</v>
      </c>
      <c r="H2965" s="6" t="s">
        <v>2611</v>
      </c>
      <c r="I2965" s="5" t="s">
        <v>809</v>
      </c>
      <c r="J2965" s="8">
        <f>1883</f>
        <v>1883</v>
      </c>
      <c r="K2965" s="5" t="s">
        <v>308</v>
      </c>
      <c r="L2965" s="7">
        <f>1</f>
        <v>1</v>
      </c>
      <c r="M2965" s="7">
        <f>1</f>
        <v>1</v>
      </c>
      <c r="N2965" s="5" t="s">
        <v>242</v>
      </c>
      <c r="O2965" s="5">
        <v>1</v>
      </c>
      <c r="P2965" s="5" t="s">
        <v>294</v>
      </c>
      <c r="Q2965" s="5" t="s">
        <v>266</v>
      </c>
      <c r="R2965" s="5" t="s">
        <v>240</v>
      </c>
      <c r="S2965" s="5" t="s">
        <v>240</v>
      </c>
      <c r="T2965" s="5" t="s">
        <v>296</v>
      </c>
      <c r="U2965" s="5" t="s">
        <v>244</v>
      </c>
      <c r="V2965" s="5" t="s">
        <v>240</v>
      </c>
      <c r="Y2965" s="5" t="s">
        <v>240</v>
      </c>
      <c r="Z2965" s="6" t="s">
        <v>298</v>
      </c>
      <c r="AB2965" s="6" t="s">
        <v>240</v>
      </c>
      <c r="AE2965" s="6" t="s">
        <v>299</v>
      </c>
      <c r="AF2965" s="5" t="s">
        <v>248</v>
      </c>
      <c r="AG2965" s="5" t="s">
        <v>249</v>
      </c>
      <c r="AW2965" s="5" t="s">
        <v>251</v>
      </c>
      <c r="AX2965" s="5" t="s">
        <v>240</v>
      </c>
      <c r="AY2965" s="5" t="s">
        <v>253</v>
      </c>
      <c r="AZ2965" s="5" t="s">
        <v>240</v>
      </c>
      <c r="BA2965" s="5" t="s">
        <v>255</v>
      </c>
      <c r="BB2965" s="5" t="s">
        <v>240</v>
      </c>
      <c r="BD2965" s="5" t="s">
        <v>240</v>
      </c>
      <c r="BF2965" s="5" t="s">
        <v>301</v>
      </c>
      <c r="BG2965" s="6" t="s">
        <v>299</v>
      </c>
      <c r="BH2965" s="5" t="s">
        <v>302</v>
      </c>
      <c r="BI2965" s="5" t="s">
        <v>303</v>
      </c>
      <c r="BJ2965" s="5" t="s">
        <v>240</v>
      </c>
      <c r="BK2965" s="8">
        <f>0</f>
        <v>0</v>
      </c>
      <c r="BL2965" s="7">
        <f>0</f>
        <v>0</v>
      </c>
      <c r="BM2965" s="5" t="s">
        <v>258</v>
      </c>
      <c r="BN2965" s="5" t="s">
        <v>259</v>
      </c>
      <c r="CB2965" s="5" t="s">
        <v>240</v>
      </c>
      <c r="CC2965" s="5" t="s">
        <v>240</v>
      </c>
      <c r="CG2965" s="5" t="s">
        <v>304</v>
      </c>
      <c r="CH2965" s="5" t="s">
        <v>305</v>
      </c>
      <c r="CI2965" s="5" t="s">
        <v>240</v>
      </c>
      <c r="CL2965" s="6" t="s">
        <v>261</v>
      </c>
      <c r="CM2965" s="5" t="s">
        <v>240</v>
      </c>
      <c r="CN2965" s="5" t="s">
        <v>263</v>
      </c>
      <c r="CO2965" s="5" t="s">
        <v>240</v>
      </c>
      <c r="CP2965" s="5" t="s">
        <v>240</v>
      </c>
      <c r="CQ2965" s="5">
        <v>0</v>
      </c>
      <c r="CR2965" s="5" t="s">
        <v>306</v>
      </c>
      <c r="CS2965" s="5" t="s">
        <v>307</v>
      </c>
      <c r="CT2965" s="5" t="s">
        <v>307</v>
      </c>
      <c r="CU2965" s="5" t="s">
        <v>260</v>
      </c>
      <c r="CX2965" s="7">
        <f>1</f>
        <v>1</v>
      </c>
      <c r="CY2965" s="7">
        <f>0</f>
        <v>0</v>
      </c>
      <c r="DA2965" s="7">
        <f>0</f>
        <v>0</v>
      </c>
      <c r="DC2965" s="5" t="s">
        <v>309</v>
      </c>
      <c r="DD2965" s="5" t="s">
        <v>240</v>
      </c>
      <c r="DF2965" s="5" t="s">
        <v>309</v>
      </c>
      <c r="DG2965" s="7">
        <f>71</f>
        <v>71</v>
      </c>
      <c r="DI2965" s="5" t="s">
        <v>240</v>
      </c>
      <c r="DJ2965" s="5" t="s">
        <v>240</v>
      </c>
      <c r="DK2965" s="5" t="s">
        <v>240</v>
      </c>
      <c r="DL2965" s="5" t="s">
        <v>240</v>
      </c>
      <c r="DP2965" s="5" t="s">
        <v>240</v>
      </c>
      <c r="DQ2965" s="5" t="s">
        <v>240</v>
      </c>
      <c r="DR2965" s="5" t="s">
        <v>240</v>
      </c>
      <c r="DS2965" s="5" t="s">
        <v>240</v>
      </c>
      <c r="DV2965" s="5" t="s">
        <v>310</v>
      </c>
      <c r="DW2965" s="5" t="s">
        <v>5038</v>
      </c>
      <c r="HO2965" s="5" t="s">
        <v>312</v>
      </c>
    </row>
    <row r="2966" spans="1:240" x14ac:dyDescent="0.4">
      <c r="A2966" s="5">
        <v>4670</v>
      </c>
      <c r="B2966" s="5">
        <v>1</v>
      </c>
      <c r="C2966" s="5">
        <v>1</v>
      </c>
      <c r="D2966" s="5" t="s">
        <v>810</v>
      </c>
      <c r="E2966" s="5" t="s">
        <v>245</v>
      </c>
      <c r="F2966" s="5" t="s">
        <v>254</v>
      </c>
      <c r="G2966" s="5" t="s">
        <v>240</v>
      </c>
      <c r="H2966" s="6" t="s">
        <v>2609</v>
      </c>
      <c r="I2966" s="5" t="s">
        <v>809</v>
      </c>
      <c r="J2966" s="8">
        <f>1816</f>
        <v>1816</v>
      </c>
      <c r="K2966" s="5" t="s">
        <v>308</v>
      </c>
      <c r="L2966" s="7">
        <f>1</f>
        <v>1</v>
      </c>
      <c r="M2966" s="7">
        <f>1</f>
        <v>1</v>
      </c>
      <c r="N2966" s="5" t="s">
        <v>242</v>
      </c>
      <c r="O2966" s="5">
        <v>1</v>
      </c>
      <c r="P2966" s="5" t="s">
        <v>294</v>
      </c>
      <c r="Q2966" s="5" t="s">
        <v>3678</v>
      </c>
      <c r="R2966" s="5" t="s">
        <v>240</v>
      </c>
      <c r="S2966" s="5" t="s">
        <v>240</v>
      </c>
      <c r="T2966" s="5" t="s">
        <v>243</v>
      </c>
      <c r="U2966" s="5" t="s">
        <v>244</v>
      </c>
      <c r="V2966" s="5" t="s">
        <v>240</v>
      </c>
      <c r="W2966" s="5" t="s">
        <v>240</v>
      </c>
      <c r="X2966" s="5" t="s">
        <v>240</v>
      </c>
      <c r="Y2966" s="5" t="s">
        <v>240</v>
      </c>
      <c r="Z2966" s="6" t="s">
        <v>298</v>
      </c>
      <c r="AA2966" s="6" t="s">
        <v>240</v>
      </c>
      <c r="AB2966" s="6" t="s">
        <v>240</v>
      </c>
      <c r="AC2966" s="5" t="s">
        <v>240</v>
      </c>
      <c r="AD2966" s="6" t="s">
        <v>240</v>
      </c>
      <c r="AE2966" s="6" t="s">
        <v>299</v>
      </c>
      <c r="AF2966" s="5" t="s">
        <v>248</v>
      </c>
      <c r="AG2966" s="5" t="s">
        <v>249</v>
      </c>
      <c r="AH2966" s="5" t="s">
        <v>240</v>
      </c>
      <c r="AI2966" s="5" t="s">
        <v>240</v>
      </c>
      <c r="AJ2966" s="5" t="s">
        <v>240</v>
      </c>
      <c r="AK2966" s="5" t="s">
        <v>240</v>
      </c>
      <c r="AL2966" s="5" t="s">
        <v>240</v>
      </c>
      <c r="AM2966" s="5" t="s">
        <v>240</v>
      </c>
      <c r="AN2966" s="5" t="s">
        <v>240</v>
      </c>
      <c r="AO2966" s="5" t="s">
        <v>240</v>
      </c>
      <c r="AP2966" s="6" t="s">
        <v>240</v>
      </c>
      <c r="AQ2966" s="6" t="s">
        <v>240</v>
      </c>
      <c r="AR2966" s="6" t="s">
        <v>240</v>
      </c>
      <c r="AS2966" s="6" t="s">
        <v>240</v>
      </c>
      <c r="AT2966" s="5" t="s">
        <v>240</v>
      </c>
      <c r="AU2966" s="5" t="s">
        <v>729</v>
      </c>
      <c r="AV2966" s="5" t="s">
        <v>729</v>
      </c>
      <c r="AW2966" s="5" t="s">
        <v>251</v>
      </c>
      <c r="AX2966" s="5" t="s">
        <v>252</v>
      </c>
      <c r="AY2966" s="5" t="s">
        <v>253</v>
      </c>
      <c r="AZ2966" s="5" t="s">
        <v>240</v>
      </c>
      <c r="BA2966" s="5" t="s">
        <v>255</v>
      </c>
      <c r="BB2966" s="5" t="s">
        <v>731</v>
      </c>
      <c r="BD2966" s="5" t="s">
        <v>240</v>
      </c>
      <c r="BF2966" s="5" t="s">
        <v>732</v>
      </c>
      <c r="BG2966" s="6" t="s">
        <v>733</v>
      </c>
      <c r="BH2966" s="5" t="s">
        <v>734</v>
      </c>
      <c r="BI2966" s="5" t="s">
        <v>734</v>
      </c>
      <c r="BJ2966" s="5" t="s">
        <v>240</v>
      </c>
      <c r="BK2966" s="7">
        <f>1</f>
        <v>1</v>
      </c>
      <c r="BL2966" s="7">
        <f>1</f>
        <v>1</v>
      </c>
      <c r="BM2966" s="5" t="s">
        <v>258</v>
      </c>
      <c r="BN2966" s="5" t="s">
        <v>259</v>
      </c>
      <c r="BO2966" s="5" t="s">
        <v>240</v>
      </c>
      <c r="BP2966" s="5" t="s">
        <v>240</v>
      </c>
      <c r="BQ2966" s="5" t="s">
        <v>240</v>
      </c>
      <c r="BR2966" s="5" t="s">
        <v>240</v>
      </c>
      <c r="BS2966" s="5" t="s">
        <v>240</v>
      </c>
      <c r="BT2966" s="5" t="s">
        <v>240</v>
      </c>
      <c r="BU2966" s="5" t="s">
        <v>240</v>
      </c>
      <c r="BV2966" s="5" t="s">
        <v>240</v>
      </c>
      <c r="BW2966" s="6" t="s">
        <v>240</v>
      </c>
      <c r="BX2966" s="5" t="s">
        <v>240</v>
      </c>
      <c r="BY2966" s="5" t="s">
        <v>240</v>
      </c>
      <c r="BZ2966" s="5" t="s">
        <v>240</v>
      </c>
      <c r="CA2966" s="5" t="s">
        <v>259</v>
      </c>
      <c r="CB2966" s="5" t="s">
        <v>240</v>
      </c>
      <c r="CC2966" s="5" t="s">
        <v>240</v>
      </c>
      <c r="CD2966" s="5" t="s">
        <v>240</v>
      </c>
      <c r="CE2966" s="5" t="s">
        <v>240</v>
      </c>
      <c r="CF2966" s="5" t="s">
        <v>240</v>
      </c>
      <c r="CG2966" s="5" t="s">
        <v>304</v>
      </c>
      <c r="CH2966" s="5" t="s">
        <v>305</v>
      </c>
      <c r="CI2966" s="5" t="s">
        <v>240</v>
      </c>
      <c r="CK2966" s="5" t="s">
        <v>3681</v>
      </c>
      <c r="CL2966" s="6" t="s">
        <v>261</v>
      </c>
      <c r="CM2966" s="5" t="s">
        <v>262</v>
      </c>
      <c r="CN2966" s="5" t="s">
        <v>263</v>
      </c>
      <c r="CO2966" s="5" t="s">
        <v>264</v>
      </c>
      <c r="CP2966" s="5" t="s">
        <v>240</v>
      </c>
      <c r="CQ2966" s="5">
        <v>0</v>
      </c>
      <c r="CR2966" s="5" t="s">
        <v>735</v>
      </c>
      <c r="CS2966" s="5" t="s">
        <v>307</v>
      </c>
      <c r="CT2966" s="5" t="s">
        <v>307</v>
      </c>
      <c r="CU2966" s="5" t="s">
        <v>260</v>
      </c>
      <c r="CV2966" s="5" t="s">
        <v>612</v>
      </c>
      <c r="CW2966" s="8">
        <f>1</f>
        <v>1</v>
      </c>
      <c r="CX2966" s="7">
        <f>1</f>
        <v>1</v>
      </c>
      <c r="CY2966" s="7">
        <f>0</f>
        <v>0</v>
      </c>
      <c r="DA2966" s="7">
        <f>1</f>
        <v>1</v>
      </c>
      <c r="DB2966" s="7" t="s">
        <v>240</v>
      </c>
      <c r="DC2966" s="5" t="s">
        <v>240</v>
      </c>
      <c r="DD2966" s="5" t="s">
        <v>240</v>
      </c>
      <c r="DE2966" s="5" t="s">
        <v>240</v>
      </c>
      <c r="DF2966" s="5" t="s">
        <v>240</v>
      </c>
      <c r="DG2966" s="7">
        <f>0</f>
        <v>0</v>
      </c>
      <c r="DI2966" s="5" t="s">
        <v>240</v>
      </c>
      <c r="DJ2966" s="5" t="s">
        <v>240</v>
      </c>
      <c r="DK2966" s="5" t="s">
        <v>240</v>
      </c>
      <c r="DL2966" s="5" t="s">
        <v>240</v>
      </c>
      <c r="DM2966" s="5" t="s">
        <v>240</v>
      </c>
      <c r="DN2966" s="5" t="s">
        <v>240</v>
      </c>
      <c r="DO2966" s="7" t="s">
        <v>240</v>
      </c>
      <c r="DP2966" s="5" t="s">
        <v>240</v>
      </c>
      <c r="DQ2966" s="5" t="s">
        <v>240</v>
      </c>
      <c r="DR2966" s="5" t="s">
        <v>731</v>
      </c>
      <c r="DS2966" s="5" t="s">
        <v>731</v>
      </c>
      <c r="DT2966" s="5" t="s">
        <v>240</v>
      </c>
      <c r="DU2966" s="5" t="s">
        <v>240</v>
      </c>
      <c r="DV2966" s="5" t="s">
        <v>5063</v>
      </c>
      <c r="DW2966" s="5" t="s">
        <v>1221</v>
      </c>
      <c r="DX2966" s="5" t="s">
        <v>240</v>
      </c>
      <c r="DY2966" s="5" t="s">
        <v>240</v>
      </c>
      <c r="DZ2966" s="5" t="s">
        <v>240</v>
      </c>
      <c r="EA2966" s="5" t="s">
        <v>240</v>
      </c>
      <c r="EB2966" s="5" t="s">
        <v>240</v>
      </c>
      <c r="EC2966" s="5" t="s">
        <v>240</v>
      </c>
      <c r="ED2966" s="5" t="s">
        <v>240</v>
      </c>
      <c r="EE2966" s="5" t="s">
        <v>240</v>
      </c>
      <c r="EF2966" s="5" t="s">
        <v>240</v>
      </c>
      <c r="EG2966" s="5" t="s">
        <v>240</v>
      </c>
      <c r="EH2966" s="5" t="s">
        <v>240</v>
      </c>
      <c r="EI2966" s="5" t="s">
        <v>240</v>
      </c>
      <c r="EJ2966" s="5" t="s">
        <v>240</v>
      </c>
      <c r="EK2966" s="5" t="s">
        <v>240</v>
      </c>
      <c r="EL2966" s="5" t="s">
        <v>240</v>
      </c>
      <c r="EM2966" s="5" t="s">
        <v>240</v>
      </c>
      <c r="EN2966" s="5" t="s">
        <v>240</v>
      </c>
      <c r="EO2966" s="5" t="s">
        <v>240</v>
      </c>
      <c r="EP2966" s="5" t="s">
        <v>240</v>
      </c>
      <c r="EQ2966" s="5" t="s">
        <v>240</v>
      </c>
      <c r="ER2966" s="5" t="s">
        <v>240</v>
      </c>
      <c r="ES2966" s="5" t="s">
        <v>240</v>
      </c>
      <c r="ET2966" s="5" t="s">
        <v>240</v>
      </c>
      <c r="EU2966" s="5" t="s">
        <v>240</v>
      </c>
      <c r="EV2966" s="5" t="s">
        <v>240</v>
      </c>
      <c r="EW2966" s="5" t="s">
        <v>240</v>
      </c>
      <c r="EX2966" s="5" t="s">
        <v>240</v>
      </c>
      <c r="EY2966" s="5" t="s">
        <v>240</v>
      </c>
      <c r="EZ2966" s="5" t="s">
        <v>240</v>
      </c>
      <c r="FA2966" s="5" t="s">
        <v>240</v>
      </c>
      <c r="FB2966" s="5" t="s">
        <v>240</v>
      </c>
      <c r="FC2966" s="5" t="s">
        <v>240</v>
      </c>
      <c r="FD2966" s="5" t="s">
        <v>240</v>
      </c>
      <c r="FE2966" s="5" t="s">
        <v>240</v>
      </c>
      <c r="FF2966" s="5" t="s">
        <v>240</v>
      </c>
      <c r="FG2966" s="5" t="s">
        <v>240</v>
      </c>
      <c r="FH2966" s="5" t="s">
        <v>240</v>
      </c>
      <c r="FI2966" s="5" t="s">
        <v>240</v>
      </c>
      <c r="FJ2966" s="5" t="s">
        <v>240</v>
      </c>
      <c r="FK2966" s="5" t="s">
        <v>240</v>
      </c>
      <c r="FL2966" s="5" t="s">
        <v>240</v>
      </c>
      <c r="FM2966" s="5" t="s">
        <v>240</v>
      </c>
      <c r="FN2966" s="5" t="s">
        <v>240</v>
      </c>
      <c r="FO2966" s="5" t="s">
        <v>240</v>
      </c>
      <c r="FP2966" s="5" t="s">
        <v>240</v>
      </c>
      <c r="FQ2966" s="5" t="s">
        <v>240</v>
      </c>
      <c r="FR2966" s="5" t="s">
        <v>240</v>
      </c>
      <c r="FS2966" s="5" t="s">
        <v>240</v>
      </c>
      <c r="FT2966" s="5" t="s">
        <v>240</v>
      </c>
      <c r="FU2966" s="5" t="s">
        <v>240</v>
      </c>
      <c r="FV2966" s="5" t="s">
        <v>240</v>
      </c>
      <c r="FW2966" s="5" t="s">
        <v>240</v>
      </c>
      <c r="FX2966" s="5" t="s">
        <v>240</v>
      </c>
      <c r="FY2966" s="5" t="s">
        <v>240</v>
      </c>
      <c r="FZ2966" s="5" t="s">
        <v>240</v>
      </c>
      <c r="GA2966" s="5" t="s">
        <v>240</v>
      </c>
      <c r="GB2966" s="5" t="s">
        <v>240</v>
      </c>
      <c r="GC2966" s="5" t="s">
        <v>240</v>
      </c>
      <c r="GD2966" s="5" t="s">
        <v>240</v>
      </c>
      <c r="GE2966" s="5" t="s">
        <v>240</v>
      </c>
      <c r="GF2966" s="5" t="s">
        <v>240</v>
      </c>
      <c r="GG2966" s="5" t="s">
        <v>240</v>
      </c>
      <c r="GH2966" s="5" t="s">
        <v>240</v>
      </c>
      <c r="GI2966" s="5" t="s">
        <v>240</v>
      </c>
      <c r="GJ2966" s="5" t="s">
        <v>240</v>
      </c>
      <c r="GK2966" s="5" t="s">
        <v>240</v>
      </c>
      <c r="GL2966" s="5" t="s">
        <v>240</v>
      </c>
      <c r="GM2966" s="5" t="s">
        <v>240</v>
      </c>
      <c r="GN2966" s="5" t="s">
        <v>240</v>
      </c>
      <c r="GO2966" s="5" t="s">
        <v>240</v>
      </c>
      <c r="GP2966" s="5" t="s">
        <v>240</v>
      </c>
      <c r="GQ2966" s="5" t="s">
        <v>240</v>
      </c>
      <c r="GR2966" s="5" t="s">
        <v>240</v>
      </c>
      <c r="GS2966" s="5" t="s">
        <v>240</v>
      </c>
      <c r="GT2966" s="5" t="s">
        <v>240</v>
      </c>
      <c r="GU2966" s="5" t="s">
        <v>240</v>
      </c>
      <c r="GV2966" s="5" t="s">
        <v>240</v>
      </c>
      <c r="GW2966" s="5" t="s">
        <v>240</v>
      </c>
      <c r="GX2966" s="5" t="s">
        <v>240</v>
      </c>
      <c r="GY2966" s="5" t="s">
        <v>240</v>
      </c>
      <c r="GZ2966" s="5" t="s">
        <v>240</v>
      </c>
      <c r="HA2966" s="5" t="s">
        <v>240</v>
      </c>
      <c r="HB2966" s="5" t="s">
        <v>240</v>
      </c>
      <c r="HC2966" s="5" t="s">
        <v>240</v>
      </c>
      <c r="HD2966" s="5" t="s">
        <v>240</v>
      </c>
      <c r="HE2966" s="5" t="s">
        <v>240</v>
      </c>
      <c r="HF2966" s="5" t="s">
        <v>240</v>
      </c>
      <c r="HG2966" s="5" t="s">
        <v>240</v>
      </c>
      <c r="HH2966" s="5" t="s">
        <v>240</v>
      </c>
      <c r="HI2966" s="5" t="s">
        <v>240</v>
      </c>
      <c r="HJ2966" s="5" t="s">
        <v>240</v>
      </c>
      <c r="HK2966" s="5" t="s">
        <v>240</v>
      </c>
      <c r="HL2966" s="5" t="s">
        <v>240</v>
      </c>
      <c r="HM2966" s="5" t="s">
        <v>240</v>
      </c>
      <c r="HN2966" s="5" t="s">
        <v>240</v>
      </c>
      <c r="HO2966" s="5" t="s">
        <v>312</v>
      </c>
      <c r="HP2966" s="5" t="s">
        <v>240</v>
      </c>
      <c r="HQ2966" s="5" t="s">
        <v>240</v>
      </c>
      <c r="HR2966" s="5" t="s">
        <v>240</v>
      </c>
      <c r="HS2966" s="5" t="s">
        <v>240</v>
      </c>
      <c r="HT2966" s="5" t="s">
        <v>240</v>
      </c>
      <c r="HU2966" s="5" t="s">
        <v>240</v>
      </c>
      <c r="HV2966" s="5" t="s">
        <v>240</v>
      </c>
      <c r="HW2966" s="5" t="s">
        <v>240</v>
      </c>
      <c r="HX2966" s="5" t="s">
        <v>240</v>
      </c>
      <c r="HY2966" s="5" t="s">
        <v>240</v>
      </c>
      <c r="HZ2966" s="5" t="s">
        <v>240</v>
      </c>
      <c r="IA2966" s="5" t="s">
        <v>240</v>
      </c>
      <c r="IB2966" s="5" t="s">
        <v>240</v>
      </c>
      <c r="IC2966" s="5" t="s">
        <v>240</v>
      </c>
      <c r="ID2966" s="5" t="s">
        <v>240</v>
      </c>
      <c r="IE2966" s="5" t="s">
        <v>240</v>
      </c>
      <c r="IF2966" s="5" t="s">
        <v>240</v>
      </c>
    </row>
    <row r="2967" spans="1:240" x14ac:dyDescent="0.4">
      <c r="A2967" s="5">
        <v>4671</v>
      </c>
      <c r="B2967" s="5">
        <v>1</v>
      </c>
      <c r="C2967" s="5">
        <v>1</v>
      </c>
      <c r="D2967" s="5" t="s">
        <v>810</v>
      </c>
      <c r="E2967" s="5" t="s">
        <v>245</v>
      </c>
      <c r="F2967" s="5" t="s">
        <v>254</v>
      </c>
      <c r="G2967" s="5" t="s">
        <v>240</v>
      </c>
      <c r="H2967" s="6" t="s">
        <v>2607</v>
      </c>
      <c r="I2967" s="5" t="s">
        <v>809</v>
      </c>
      <c r="J2967" s="8">
        <f>1759</f>
        <v>1759</v>
      </c>
      <c r="K2967" s="5" t="s">
        <v>308</v>
      </c>
      <c r="L2967" s="7">
        <f>1</f>
        <v>1</v>
      </c>
      <c r="M2967" s="7">
        <f>1</f>
        <v>1</v>
      </c>
      <c r="N2967" s="5" t="s">
        <v>242</v>
      </c>
      <c r="O2967" s="5">
        <v>1</v>
      </c>
      <c r="P2967" s="5" t="s">
        <v>294</v>
      </c>
      <c r="Q2967" s="5" t="s">
        <v>266</v>
      </c>
      <c r="R2967" s="5" t="s">
        <v>240</v>
      </c>
      <c r="S2967" s="5" t="s">
        <v>240</v>
      </c>
      <c r="T2967" s="5" t="s">
        <v>296</v>
      </c>
      <c r="U2967" s="5" t="s">
        <v>244</v>
      </c>
      <c r="V2967" s="5" t="s">
        <v>240</v>
      </c>
      <c r="Y2967" s="5" t="s">
        <v>240</v>
      </c>
      <c r="Z2967" s="6" t="s">
        <v>298</v>
      </c>
      <c r="AB2967" s="6" t="s">
        <v>240</v>
      </c>
      <c r="AE2967" s="6" t="s">
        <v>299</v>
      </c>
      <c r="AF2967" s="5" t="s">
        <v>248</v>
      </c>
      <c r="AG2967" s="5" t="s">
        <v>249</v>
      </c>
      <c r="AW2967" s="5" t="s">
        <v>251</v>
      </c>
      <c r="AX2967" s="5" t="s">
        <v>240</v>
      </c>
      <c r="AY2967" s="5" t="s">
        <v>253</v>
      </c>
      <c r="AZ2967" s="5" t="s">
        <v>240</v>
      </c>
      <c r="BA2967" s="5" t="s">
        <v>255</v>
      </c>
      <c r="BB2967" s="5" t="s">
        <v>240</v>
      </c>
      <c r="BD2967" s="5" t="s">
        <v>240</v>
      </c>
      <c r="BF2967" s="5" t="s">
        <v>301</v>
      </c>
      <c r="BG2967" s="6" t="s">
        <v>299</v>
      </c>
      <c r="BH2967" s="5" t="s">
        <v>302</v>
      </c>
      <c r="BI2967" s="5" t="s">
        <v>303</v>
      </c>
      <c r="BJ2967" s="5" t="s">
        <v>240</v>
      </c>
      <c r="BK2967" s="8">
        <f>0</f>
        <v>0</v>
      </c>
      <c r="BL2967" s="7">
        <f>0</f>
        <v>0</v>
      </c>
      <c r="BM2967" s="5" t="s">
        <v>258</v>
      </c>
      <c r="BN2967" s="5" t="s">
        <v>259</v>
      </c>
      <c r="CB2967" s="5" t="s">
        <v>240</v>
      </c>
      <c r="CC2967" s="5" t="s">
        <v>240</v>
      </c>
      <c r="CG2967" s="5" t="s">
        <v>304</v>
      </c>
      <c r="CH2967" s="5" t="s">
        <v>305</v>
      </c>
      <c r="CI2967" s="5" t="s">
        <v>240</v>
      </c>
      <c r="CL2967" s="6" t="s">
        <v>261</v>
      </c>
      <c r="CM2967" s="5" t="s">
        <v>240</v>
      </c>
      <c r="CN2967" s="5" t="s">
        <v>263</v>
      </c>
      <c r="CO2967" s="5" t="s">
        <v>240</v>
      </c>
      <c r="CP2967" s="5" t="s">
        <v>240</v>
      </c>
      <c r="CQ2967" s="5">
        <v>0</v>
      </c>
      <c r="CR2967" s="5" t="s">
        <v>306</v>
      </c>
      <c r="CS2967" s="5" t="s">
        <v>307</v>
      </c>
      <c r="CT2967" s="5" t="s">
        <v>307</v>
      </c>
      <c r="CU2967" s="5" t="s">
        <v>260</v>
      </c>
      <c r="CX2967" s="7">
        <f>1</f>
        <v>1</v>
      </c>
      <c r="CY2967" s="7">
        <f>0</f>
        <v>0</v>
      </c>
      <c r="DA2967" s="7">
        <f>0</f>
        <v>0</v>
      </c>
      <c r="DC2967" s="5" t="s">
        <v>309</v>
      </c>
      <c r="DD2967" s="5" t="s">
        <v>240</v>
      </c>
      <c r="DF2967" s="5" t="s">
        <v>309</v>
      </c>
      <c r="DG2967" s="7">
        <f>2202</f>
        <v>2202</v>
      </c>
      <c r="DI2967" s="5" t="s">
        <v>240</v>
      </c>
      <c r="DJ2967" s="5" t="s">
        <v>240</v>
      </c>
      <c r="DK2967" s="5" t="s">
        <v>240</v>
      </c>
      <c r="DL2967" s="5" t="s">
        <v>240</v>
      </c>
      <c r="DP2967" s="5" t="s">
        <v>240</v>
      </c>
      <c r="DQ2967" s="5" t="s">
        <v>240</v>
      </c>
      <c r="DR2967" s="5" t="s">
        <v>240</v>
      </c>
      <c r="DS2967" s="5" t="s">
        <v>240</v>
      </c>
      <c r="DV2967" s="5" t="s">
        <v>310</v>
      </c>
      <c r="DW2967" s="5" t="s">
        <v>1588</v>
      </c>
      <c r="HO2967" s="5" t="s">
        <v>312</v>
      </c>
    </row>
    <row r="2968" spans="1:240" x14ac:dyDescent="0.4">
      <c r="A2968" s="5">
        <v>4672</v>
      </c>
      <c r="B2968" s="5">
        <v>1</v>
      </c>
      <c r="C2968" s="5">
        <v>1</v>
      </c>
      <c r="D2968" s="5" t="s">
        <v>810</v>
      </c>
      <c r="E2968" s="5" t="s">
        <v>245</v>
      </c>
      <c r="F2968" s="5" t="s">
        <v>254</v>
      </c>
      <c r="G2968" s="5" t="s">
        <v>240</v>
      </c>
      <c r="H2968" s="6" t="s">
        <v>2605</v>
      </c>
      <c r="I2968" s="5" t="s">
        <v>809</v>
      </c>
      <c r="J2968" s="8">
        <f>1207</f>
        <v>1207</v>
      </c>
      <c r="K2968" s="5" t="s">
        <v>308</v>
      </c>
      <c r="L2968" s="7">
        <f>1</f>
        <v>1</v>
      </c>
      <c r="M2968" s="7">
        <f>1</f>
        <v>1</v>
      </c>
      <c r="N2968" s="5" t="s">
        <v>242</v>
      </c>
      <c r="O2968" s="5">
        <v>1</v>
      </c>
      <c r="P2968" s="5" t="s">
        <v>294</v>
      </c>
      <c r="Q2968" s="5" t="s">
        <v>266</v>
      </c>
      <c r="R2968" s="5" t="s">
        <v>240</v>
      </c>
      <c r="S2968" s="5" t="s">
        <v>240</v>
      </c>
      <c r="T2968" s="5" t="s">
        <v>296</v>
      </c>
      <c r="U2968" s="5" t="s">
        <v>244</v>
      </c>
      <c r="V2968" s="5" t="s">
        <v>240</v>
      </c>
      <c r="Y2968" s="5" t="s">
        <v>240</v>
      </c>
      <c r="Z2968" s="6" t="s">
        <v>298</v>
      </c>
      <c r="AB2968" s="6" t="s">
        <v>240</v>
      </c>
      <c r="AE2968" s="6" t="s">
        <v>299</v>
      </c>
      <c r="AF2968" s="5" t="s">
        <v>248</v>
      </c>
      <c r="AG2968" s="5" t="s">
        <v>249</v>
      </c>
      <c r="AW2968" s="5" t="s">
        <v>251</v>
      </c>
      <c r="AX2968" s="5" t="s">
        <v>240</v>
      </c>
      <c r="AY2968" s="5" t="s">
        <v>253</v>
      </c>
      <c r="AZ2968" s="5" t="s">
        <v>240</v>
      </c>
      <c r="BA2968" s="5" t="s">
        <v>255</v>
      </c>
      <c r="BB2968" s="5" t="s">
        <v>240</v>
      </c>
      <c r="BD2968" s="5" t="s">
        <v>240</v>
      </c>
      <c r="BF2968" s="5" t="s">
        <v>301</v>
      </c>
      <c r="BG2968" s="6" t="s">
        <v>299</v>
      </c>
      <c r="BH2968" s="5" t="s">
        <v>302</v>
      </c>
      <c r="BI2968" s="5" t="s">
        <v>303</v>
      </c>
      <c r="BJ2968" s="5" t="s">
        <v>240</v>
      </c>
      <c r="BK2968" s="8">
        <f>0</f>
        <v>0</v>
      </c>
      <c r="BL2968" s="7">
        <f>0</f>
        <v>0</v>
      </c>
      <c r="BM2968" s="5" t="s">
        <v>258</v>
      </c>
      <c r="BN2968" s="5" t="s">
        <v>259</v>
      </c>
      <c r="CB2968" s="5" t="s">
        <v>240</v>
      </c>
      <c r="CC2968" s="5" t="s">
        <v>240</v>
      </c>
      <c r="CG2968" s="5" t="s">
        <v>304</v>
      </c>
      <c r="CH2968" s="5" t="s">
        <v>305</v>
      </c>
      <c r="CI2968" s="5" t="s">
        <v>240</v>
      </c>
      <c r="CL2968" s="6" t="s">
        <v>261</v>
      </c>
      <c r="CM2968" s="5" t="s">
        <v>240</v>
      </c>
      <c r="CN2968" s="5" t="s">
        <v>263</v>
      </c>
      <c r="CO2968" s="5" t="s">
        <v>240</v>
      </c>
      <c r="CP2968" s="5" t="s">
        <v>240</v>
      </c>
      <c r="CQ2968" s="5">
        <v>0</v>
      </c>
      <c r="CR2968" s="5" t="s">
        <v>306</v>
      </c>
      <c r="CS2968" s="5" t="s">
        <v>307</v>
      </c>
      <c r="CT2968" s="5" t="s">
        <v>307</v>
      </c>
      <c r="CU2968" s="5" t="s">
        <v>260</v>
      </c>
      <c r="CX2968" s="7">
        <f>1</f>
        <v>1</v>
      </c>
      <c r="CY2968" s="7">
        <f>0</f>
        <v>0</v>
      </c>
      <c r="DA2968" s="7">
        <f>0</f>
        <v>0</v>
      </c>
      <c r="DC2968" s="5" t="s">
        <v>309</v>
      </c>
      <c r="DD2968" s="5" t="s">
        <v>240</v>
      </c>
      <c r="DF2968" s="5" t="s">
        <v>309</v>
      </c>
      <c r="DG2968" s="7">
        <f>5795</f>
        <v>5795</v>
      </c>
      <c r="DI2968" s="5" t="s">
        <v>240</v>
      </c>
      <c r="DJ2968" s="5" t="s">
        <v>240</v>
      </c>
      <c r="DK2968" s="5" t="s">
        <v>240</v>
      </c>
      <c r="DL2968" s="5" t="s">
        <v>240</v>
      </c>
      <c r="DP2968" s="5" t="s">
        <v>240</v>
      </c>
      <c r="DQ2968" s="5" t="s">
        <v>240</v>
      </c>
      <c r="DR2968" s="5" t="s">
        <v>240</v>
      </c>
      <c r="DS2968" s="5" t="s">
        <v>240</v>
      </c>
      <c r="DV2968" s="5" t="s">
        <v>310</v>
      </c>
      <c r="DW2968" s="5" t="s">
        <v>1586</v>
      </c>
      <c r="HO2968" s="5" t="s">
        <v>312</v>
      </c>
    </row>
    <row r="2969" spans="1:240" x14ac:dyDescent="0.4">
      <c r="A2969" s="5">
        <v>4673</v>
      </c>
      <c r="B2969" s="5">
        <v>1</v>
      </c>
      <c r="C2969" s="5">
        <v>1</v>
      </c>
      <c r="D2969" s="5" t="s">
        <v>810</v>
      </c>
      <c r="E2969" s="5" t="s">
        <v>245</v>
      </c>
      <c r="F2969" s="5" t="s">
        <v>254</v>
      </c>
      <c r="G2969" s="5" t="s">
        <v>240</v>
      </c>
      <c r="H2969" s="6" t="s">
        <v>2603</v>
      </c>
      <c r="I2969" s="5" t="s">
        <v>809</v>
      </c>
      <c r="J2969" s="8">
        <f>2000</f>
        <v>2000</v>
      </c>
      <c r="K2969" s="5" t="s">
        <v>308</v>
      </c>
      <c r="L2969" s="7">
        <f>1</f>
        <v>1</v>
      </c>
      <c r="M2969" s="7">
        <f>1</f>
        <v>1</v>
      </c>
      <c r="N2969" s="5" t="s">
        <v>242</v>
      </c>
      <c r="O2969" s="5">
        <v>1</v>
      </c>
      <c r="P2969" s="5" t="s">
        <v>294</v>
      </c>
      <c r="Q2969" s="5" t="s">
        <v>266</v>
      </c>
      <c r="R2969" s="5" t="s">
        <v>240</v>
      </c>
      <c r="S2969" s="5" t="s">
        <v>240</v>
      </c>
      <c r="T2969" s="5" t="s">
        <v>296</v>
      </c>
      <c r="U2969" s="5" t="s">
        <v>244</v>
      </c>
      <c r="V2969" s="5" t="s">
        <v>240</v>
      </c>
      <c r="Y2969" s="5" t="s">
        <v>240</v>
      </c>
      <c r="Z2969" s="6" t="s">
        <v>298</v>
      </c>
      <c r="AB2969" s="6" t="s">
        <v>240</v>
      </c>
      <c r="AE2969" s="6" t="s">
        <v>299</v>
      </c>
      <c r="AF2969" s="5" t="s">
        <v>248</v>
      </c>
      <c r="AG2969" s="5" t="s">
        <v>249</v>
      </c>
      <c r="AW2969" s="5" t="s">
        <v>251</v>
      </c>
      <c r="AX2969" s="5" t="s">
        <v>240</v>
      </c>
      <c r="AY2969" s="5" t="s">
        <v>253</v>
      </c>
      <c r="AZ2969" s="5" t="s">
        <v>240</v>
      </c>
      <c r="BA2969" s="5" t="s">
        <v>255</v>
      </c>
      <c r="BB2969" s="5" t="s">
        <v>240</v>
      </c>
      <c r="BD2969" s="5" t="s">
        <v>240</v>
      </c>
      <c r="BF2969" s="5" t="s">
        <v>301</v>
      </c>
      <c r="BG2969" s="6" t="s">
        <v>299</v>
      </c>
      <c r="BH2969" s="5" t="s">
        <v>302</v>
      </c>
      <c r="BI2969" s="5" t="s">
        <v>303</v>
      </c>
      <c r="BJ2969" s="5" t="s">
        <v>240</v>
      </c>
      <c r="BK2969" s="8">
        <f>0</f>
        <v>0</v>
      </c>
      <c r="BL2969" s="7">
        <f>0</f>
        <v>0</v>
      </c>
      <c r="BM2969" s="5" t="s">
        <v>258</v>
      </c>
      <c r="BN2969" s="5" t="s">
        <v>259</v>
      </c>
      <c r="CB2969" s="5" t="s">
        <v>240</v>
      </c>
      <c r="CC2969" s="5" t="s">
        <v>240</v>
      </c>
      <c r="CG2969" s="5" t="s">
        <v>304</v>
      </c>
      <c r="CH2969" s="5" t="s">
        <v>305</v>
      </c>
      <c r="CI2969" s="5" t="s">
        <v>240</v>
      </c>
      <c r="CL2969" s="6" t="s">
        <v>261</v>
      </c>
      <c r="CM2969" s="5" t="s">
        <v>240</v>
      </c>
      <c r="CN2969" s="5" t="s">
        <v>263</v>
      </c>
      <c r="CO2969" s="5" t="s">
        <v>240</v>
      </c>
      <c r="CP2969" s="5" t="s">
        <v>240</v>
      </c>
      <c r="CQ2969" s="5">
        <v>0</v>
      </c>
      <c r="CR2969" s="5" t="s">
        <v>306</v>
      </c>
      <c r="CS2969" s="5" t="s">
        <v>307</v>
      </c>
      <c r="CT2969" s="5" t="s">
        <v>307</v>
      </c>
      <c r="CU2969" s="5" t="s">
        <v>260</v>
      </c>
      <c r="CX2969" s="7">
        <f>1</f>
        <v>1</v>
      </c>
      <c r="CY2969" s="7">
        <f>0</f>
        <v>0</v>
      </c>
      <c r="DA2969" s="7">
        <f>0</f>
        <v>0</v>
      </c>
      <c r="DC2969" s="5" t="s">
        <v>309</v>
      </c>
      <c r="DD2969" s="5" t="s">
        <v>240</v>
      </c>
      <c r="DF2969" s="5" t="s">
        <v>309</v>
      </c>
      <c r="DG2969" s="7">
        <f>3726</f>
        <v>3726</v>
      </c>
      <c r="DI2969" s="5" t="s">
        <v>240</v>
      </c>
      <c r="DJ2969" s="5" t="s">
        <v>240</v>
      </c>
      <c r="DK2969" s="5" t="s">
        <v>240</v>
      </c>
      <c r="DL2969" s="5" t="s">
        <v>240</v>
      </c>
      <c r="DP2969" s="5" t="s">
        <v>240</v>
      </c>
      <c r="DQ2969" s="5" t="s">
        <v>240</v>
      </c>
      <c r="DR2969" s="5" t="s">
        <v>240</v>
      </c>
      <c r="DS2969" s="5" t="s">
        <v>240</v>
      </c>
      <c r="DV2969" s="5" t="s">
        <v>310</v>
      </c>
      <c r="DW2969" s="5" t="s">
        <v>1581</v>
      </c>
      <c r="HO2969" s="5" t="s">
        <v>312</v>
      </c>
    </row>
    <row r="2970" spans="1:240" x14ac:dyDescent="0.4">
      <c r="A2970" s="5">
        <v>4674</v>
      </c>
      <c r="B2970" s="5">
        <v>1</v>
      </c>
      <c r="C2970" s="5">
        <v>1</v>
      </c>
      <c r="D2970" s="5" t="s">
        <v>810</v>
      </c>
      <c r="E2970" s="5" t="s">
        <v>245</v>
      </c>
      <c r="F2970" s="5" t="s">
        <v>254</v>
      </c>
      <c r="G2970" s="5" t="s">
        <v>240</v>
      </c>
      <c r="H2970" s="6" t="s">
        <v>4734</v>
      </c>
      <c r="I2970" s="5" t="s">
        <v>809</v>
      </c>
      <c r="J2970" s="8">
        <f>616</f>
        <v>616</v>
      </c>
      <c r="K2970" s="5" t="s">
        <v>308</v>
      </c>
      <c r="L2970" s="7">
        <f>1</f>
        <v>1</v>
      </c>
      <c r="M2970" s="7">
        <f>1</f>
        <v>1</v>
      </c>
      <c r="N2970" s="5" t="s">
        <v>242</v>
      </c>
      <c r="O2970" s="5">
        <v>1</v>
      </c>
      <c r="P2970" s="5" t="s">
        <v>294</v>
      </c>
      <c r="Q2970" s="5" t="s">
        <v>266</v>
      </c>
      <c r="R2970" s="5" t="s">
        <v>240</v>
      </c>
      <c r="S2970" s="5" t="s">
        <v>240</v>
      </c>
      <c r="T2970" s="5" t="s">
        <v>296</v>
      </c>
      <c r="U2970" s="5" t="s">
        <v>244</v>
      </c>
      <c r="V2970" s="5" t="s">
        <v>240</v>
      </c>
      <c r="Y2970" s="5" t="s">
        <v>240</v>
      </c>
      <c r="Z2970" s="6" t="s">
        <v>298</v>
      </c>
      <c r="AB2970" s="6" t="s">
        <v>240</v>
      </c>
      <c r="AE2970" s="6" t="s">
        <v>299</v>
      </c>
      <c r="AF2970" s="5" t="s">
        <v>248</v>
      </c>
      <c r="AG2970" s="5" t="s">
        <v>249</v>
      </c>
      <c r="AW2970" s="5" t="s">
        <v>251</v>
      </c>
      <c r="AX2970" s="5" t="s">
        <v>240</v>
      </c>
      <c r="AY2970" s="5" t="s">
        <v>253</v>
      </c>
      <c r="AZ2970" s="5" t="s">
        <v>240</v>
      </c>
      <c r="BA2970" s="5" t="s">
        <v>255</v>
      </c>
      <c r="BB2970" s="5" t="s">
        <v>240</v>
      </c>
      <c r="BD2970" s="5" t="s">
        <v>240</v>
      </c>
      <c r="BF2970" s="5" t="s">
        <v>301</v>
      </c>
      <c r="BG2970" s="6" t="s">
        <v>299</v>
      </c>
      <c r="BH2970" s="5" t="s">
        <v>302</v>
      </c>
      <c r="BI2970" s="5" t="s">
        <v>303</v>
      </c>
      <c r="BJ2970" s="5" t="s">
        <v>240</v>
      </c>
      <c r="BK2970" s="8">
        <f>0</f>
        <v>0</v>
      </c>
      <c r="BL2970" s="7">
        <f>0</f>
        <v>0</v>
      </c>
      <c r="BM2970" s="5" t="s">
        <v>258</v>
      </c>
      <c r="BN2970" s="5" t="s">
        <v>259</v>
      </c>
      <c r="CB2970" s="5" t="s">
        <v>240</v>
      </c>
      <c r="CC2970" s="5" t="s">
        <v>240</v>
      </c>
      <c r="CG2970" s="5" t="s">
        <v>304</v>
      </c>
      <c r="CH2970" s="5" t="s">
        <v>305</v>
      </c>
      <c r="CI2970" s="5" t="s">
        <v>240</v>
      </c>
      <c r="CL2970" s="6" t="s">
        <v>261</v>
      </c>
      <c r="CM2970" s="5" t="s">
        <v>240</v>
      </c>
      <c r="CN2970" s="5" t="s">
        <v>263</v>
      </c>
      <c r="CO2970" s="5" t="s">
        <v>240</v>
      </c>
      <c r="CP2970" s="5" t="s">
        <v>240</v>
      </c>
      <c r="CQ2970" s="5">
        <v>0</v>
      </c>
      <c r="CR2970" s="5" t="s">
        <v>306</v>
      </c>
      <c r="CS2970" s="5" t="s">
        <v>307</v>
      </c>
      <c r="CT2970" s="5" t="s">
        <v>307</v>
      </c>
      <c r="CU2970" s="5" t="s">
        <v>260</v>
      </c>
      <c r="CX2970" s="7">
        <f>1</f>
        <v>1</v>
      </c>
      <c r="CY2970" s="7">
        <f>0</f>
        <v>0</v>
      </c>
      <c r="DA2970" s="7">
        <f>0</f>
        <v>0</v>
      </c>
      <c r="DC2970" s="5" t="s">
        <v>309</v>
      </c>
      <c r="DD2970" s="5" t="s">
        <v>240</v>
      </c>
      <c r="DF2970" s="5" t="s">
        <v>309</v>
      </c>
      <c r="DG2970" s="7">
        <f>1474</f>
        <v>1474</v>
      </c>
      <c r="DI2970" s="5" t="s">
        <v>240</v>
      </c>
      <c r="DJ2970" s="5" t="s">
        <v>240</v>
      </c>
      <c r="DK2970" s="5" t="s">
        <v>240</v>
      </c>
      <c r="DL2970" s="5" t="s">
        <v>240</v>
      </c>
      <c r="DP2970" s="5" t="s">
        <v>240</v>
      </c>
      <c r="DQ2970" s="5" t="s">
        <v>240</v>
      </c>
      <c r="DR2970" s="5" t="s">
        <v>240</v>
      </c>
      <c r="DS2970" s="5" t="s">
        <v>240</v>
      </c>
      <c r="DV2970" s="5" t="s">
        <v>310</v>
      </c>
      <c r="DW2970" s="5" t="s">
        <v>1579</v>
      </c>
      <c r="HO2970" s="5" t="s">
        <v>312</v>
      </c>
    </row>
    <row r="2971" spans="1:240" x14ac:dyDescent="0.4">
      <c r="A2971" s="5">
        <v>4675</v>
      </c>
      <c r="B2971" s="5">
        <v>1</v>
      </c>
      <c r="C2971" s="5">
        <v>1</v>
      </c>
      <c r="D2971" s="5" t="s">
        <v>810</v>
      </c>
      <c r="E2971" s="5" t="s">
        <v>245</v>
      </c>
      <c r="F2971" s="5" t="s">
        <v>254</v>
      </c>
      <c r="G2971" s="5" t="s">
        <v>240</v>
      </c>
      <c r="H2971" s="6" t="s">
        <v>2599</v>
      </c>
      <c r="I2971" s="5" t="s">
        <v>809</v>
      </c>
      <c r="J2971" s="8">
        <f>1350</f>
        <v>1350</v>
      </c>
      <c r="K2971" s="5" t="s">
        <v>308</v>
      </c>
      <c r="L2971" s="7">
        <f>1</f>
        <v>1</v>
      </c>
      <c r="M2971" s="7">
        <f>1</f>
        <v>1</v>
      </c>
      <c r="N2971" s="5" t="s">
        <v>242</v>
      </c>
      <c r="O2971" s="5">
        <v>1</v>
      </c>
      <c r="P2971" s="5" t="s">
        <v>294</v>
      </c>
      <c r="Q2971" s="5" t="s">
        <v>266</v>
      </c>
      <c r="R2971" s="5" t="s">
        <v>240</v>
      </c>
      <c r="S2971" s="5" t="s">
        <v>240</v>
      </c>
      <c r="T2971" s="5" t="s">
        <v>296</v>
      </c>
      <c r="U2971" s="5" t="s">
        <v>244</v>
      </c>
      <c r="V2971" s="5" t="s">
        <v>240</v>
      </c>
      <c r="Y2971" s="5" t="s">
        <v>240</v>
      </c>
      <c r="Z2971" s="6" t="s">
        <v>298</v>
      </c>
      <c r="AB2971" s="6" t="s">
        <v>240</v>
      </c>
      <c r="AE2971" s="6" t="s">
        <v>299</v>
      </c>
      <c r="AF2971" s="5" t="s">
        <v>248</v>
      </c>
      <c r="AG2971" s="5" t="s">
        <v>249</v>
      </c>
      <c r="AW2971" s="5" t="s">
        <v>251</v>
      </c>
      <c r="AX2971" s="5" t="s">
        <v>240</v>
      </c>
      <c r="AY2971" s="5" t="s">
        <v>253</v>
      </c>
      <c r="AZ2971" s="5" t="s">
        <v>240</v>
      </c>
      <c r="BA2971" s="5" t="s">
        <v>255</v>
      </c>
      <c r="BB2971" s="5" t="s">
        <v>240</v>
      </c>
      <c r="BD2971" s="5" t="s">
        <v>240</v>
      </c>
      <c r="BF2971" s="5" t="s">
        <v>301</v>
      </c>
      <c r="BG2971" s="6" t="s">
        <v>299</v>
      </c>
      <c r="BH2971" s="5" t="s">
        <v>302</v>
      </c>
      <c r="BI2971" s="5" t="s">
        <v>303</v>
      </c>
      <c r="BJ2971" s="5" t="s">
        <v>240</v>
      </c>
      <c r="BK2971" s="8">
        <f>0</f>
        <v>0</v>
      </c>
      <c r="BL2971" s="7">
        <f>0</f>
        <v>0</v>
      </c>
      <c r="BM2971" s="5" t="s">
        <v>258</v>
      </c>
      <c r="BN2971" s="5" t="s">
        <v>259</v>
      </c>
      <c r="CB2971" s="5" t="s">
        <v>240</v>
      </c>
      <c r="CC2971" s="5" t="s">
        <v>240</v>
      </c>
      <c r="CG2971" s="5" t="s">
        <v>304</v>
      </c>
      <c r="CH2971" s="5" t="s">
        <v>305</v>
      </c>
      <c r="CI2971" s="5" t="s">
        <v>240</v>
      </c>
      <c r="CL2971" s="6" t="s">
        <v>261</v>
      </c>
      <c r="CM2971" s="5" t="s">
        <v>240</v>
      </c>
      <c r="CN2971" s="5" t="s">
        <v>263</v>
      </c>
      <c r="CO2971" s="5" t="s">
        <v>240</v>
      </c>
      <c r="CP2971" s="5" t="s">
        <v>240</v>
      </c>
      <c r="CQ2971" s="5">
        <v>0</v>
      </c>
      <c r="CR2971" s="5" t="s">
        <v>306</v>
      </c>
      <c r="CS2971" s="5" t="s">
        <v>307</v>
      </c>
      <c r="CT2971" s="5" t="s">
        <v>307</v>
      </c>
      <c r="CU2971" s="5" t="s">
        <v>260</v>
      </c>
      <c r="CX2971" s="7">
        <f>1</f>
        <v>1</v>
      </c>
      <c r="CY2971" s="7">
        <f>0</f>
        <v>0</v>
      </c>
      <c r="DA2971" s="7">
        <f>0</f>
        <v>0</v>
      </c>
      <c r="DC2971" s="5" t="s">
        <v>309</v>
      </c>
      <c r="DD2971" s="5" t="s">
        <v>240</v>
      </c>
      <c r="DF2971" s="5" t="s">
        <v>309</v>
      </c>
      <c r="DG2971" s="7">
        <f>1090</f>
        <v>1090</v>
      </c>
      <c r="DI2971" s="5" t="s">
        <v>240</v>
      </c>
      <c r="DJ2971" s="5" t="s">
        <v>240</v>
      </c>
      <c r="DK2971" s="5" t="s">
        <v>240</v>
      </c>
      <c r="DL2971" s="5" t="s">
        <v>240</v>
      </c>
      <c r="DP2971" s="5" t="s">
        <v>240</v>
      </c>
      <c r="DQ2971" s="5" t="s">
        <v>240</v>
      </c>
      <c r="DR2971" s="5" t="s">
        <v>240</v>
      </c>
      <c r="DS2971" s="5" t="s">
        <v>240</v>
      </c>
      <c r="DV2971" s="5" t="s">
        <v>310</v>
      </c>
      <c r="DW2971" s="5" t="s">
        <v>1574</v>
      </c>
      <c r="HO2971" s="5" t="s">
        <v>312</v>
      </c>
    </row>
    <row r="2972" spans="1:240" x14ac:dyDescent="0.4">
      <c r="A2972" s="5">
        <v>4676</v>
      </c>
      <c r="B2972" s="5">
        <v>1</v>
      </c>
      <c r="C2972" s="5">
        <v>1</v>
      </c>
      <c r="D2972" s="5" t="s">
        <v>810</v>
      </c>
      <c r="E2972" s="5" t="s">
        <v>245</v>
      </c>
      <c r="F2972" s="5" t="s">
        <v>254</v>
      </c>
      <c r="G2972" s="5" t="s">
        <v>240</v>
      </c>
      <c r="H2972" s="6" t="s">
        <v>2597</v>
      </c>
      <c r="I2972" s="5" t="s">
        <v>809</v>
      </c>
      <c r="J2972" s="8">
        <f>84</f>
        <v>84</v>
      </c>
      <c r="K2972" s="5" t="s">
        <v>308</v>
      </c>
      <c r="L2972" s="7">
        <f>1</f>
        <v>1</v>
      </c>
      <c r="M2972" s="7">
        <f>1</f>
        <v>1</v>
      </c>
      <c r="N2972" s="5" t="s">
        <v>242</v>
      </c>
      <c r="O2972" s="5">
        <v>1</v>
      </c>
      <c r="P2972" s="5" t="s">
        <v>294</v>
      </c>
      <c r="Q2972" s="5" t="s">
        <v>266</v>
      </c>
      <c r="R2972" s="5" t="s">
        <v>240</v>
      </c>
      <c r="S2972" s="5" t="s">
        <v>240</v>
      </c>
      <c r="T2972" s="5" t="s">
        <v>296</v>
      </c>
      <c r="U2972" s="5" t="s">
        <v>244</v>
      </c>
      <c r="V2972" s="5" t="s">
        <v>240</v>
      </c>
      <c r="Y2972" s="5" t="s">
        <v>240</v>
      </c>
      <c r="Z2972" s="6" t="s">
        <v>298</v>
      </c>
      <c r="AB2972" s="6" t="s">
        <v>240</v>
      </c>
      <c r="AE2972" s="6" t="s">
        <v>299</v>
      </c>
      <c r="AF2972" s="5" t="s">
        <v>248</v>
      </c>
      <c r="AG2972" s="5" t="s">
        <v>249</v>
      </c>
      <c r="AW2972" s="5" t="s">
        <v>251</v>
      </c>
      <c r="AX2972" s="5" t="s">
        <v>240</v>
      </c>
      <c r="AY2972" s="5" t="s">
        <v>253</v>
      </c>
      <c r="AZ2972" s="5" t="s">
        <v>240</v>
      </c>
      <c r="BA2972" s="5" t="s">
        <v>255</v>
      </c>
      <c r="BB2972" s="5" t="s">
        <v>240</v>
      </c>
      <c r="BD2972" s="5" t="s">
        <v>240</v>
      </c>
      <c r="BF2972" s="5" t="s">
        <v>301</v>
      </c>
      <c r="BG2972" s="6" t="s">
        <v>299</v>
      </c>
      <c r="BH2972" s="5" t="s">
        <v>302</v>
      </c>
      <c r="BI2972" s="5" t="s">
        <v>303</v>
      </c>
      <c r="BJ2972" s="5" t="s">
        <v>240</v>
      </c>
      <c r="BK2972" s="8">
        <f>0</f>
        <v>0</v>
      </c>
      <c r="BL2972" s="7">
        <f>0</f>
        <v>0</v>
      </c>
      <c r="BM2972" s="5" t="s">
        <v>258</v>
      </c>
      <c r="BN2972" s="5" t="s">
        <v>259</v>
      </c>
      <c r="CB2972" s="5" t="s">
        <v>240</v>
      </c>
      <c r="CC2972" s="5" t="s">
        <v>240</v>
      </c>
      <c r="CG2972" s="5" t="s">
        <v>304</v>
      </c>
      <c r="CH2972" s="5" t="s">
        <v>305</v>
      </c>
      <c r="CI2972" s="5" t="s">
        <v>240</v>
      </c>
      <c r="CL2972" s="6" t="s">
        <v>261</v>
      </c>
      <c r="CM2972" s="5" t="s">
        <v>240</v>
      </c>
      <c r="CN2972" s="5" t="s">
        <v>263</v>
      </c>
      <c r="CO2972" s="5" t="s">
        <v>240</v>
      </c>
      <c r="CP2972" s="5" t="s">
        <v>240</v>
      </c>
      <c r="CQ2972" s="5">
        <v>0</v>
      </c>
      <c r="CR2972" s="5" t="s">
        <v>306</v>
      </c>
      <c r="CS2972" s="5" t="s">
        <v>307</v>
      </c>
      <c r="CT2972" s="5" t="s">
        <v>307</v>
      </c>
      <c r="CU2972" s="5" t="s">
        <v>260</v>
      </c>
      <c r="CX2972" s="7">
        <f>1</f>
        <v>1</v>
      </c>
      <c r="CY2972" s="7">
        <f>0</f>
        <v>0</v>
      </c>
      <c r="DA2972" s="7">
        <f>0</f>
        <v>0</v>
      </c>
      <c r="DC2972" s="5" t="s">
        <v>309</v>
      </c>
      <c r="DD2972" s="5" t="s">
        <v>240</v>
      </c>
      <c r="DF2972" s="5" t="s">
        <v>309</v>
      </c>
      <c r="DG2972" s="7">
        <f>1721</f>
        <v>1721</v>
      </c>
      <c r="DI2972" s="5" t="s">
        <v>240</v>
      </c>
      <c r="DJ2972" s="5" t="s">
        <v>240</v>
      </c>
      <c r="DK2972" s="5" t="s">
        <v>240</v>
      </c>
      <c r="DL2972" s="5" t="s">
        <v>240</v>
      </c>
      <c r="DP2972" s="5" t="s">
        <v>240</v>
      </c>
      <c r="DQ2972" s="5" t="s">
        <v>240</v>
      </c>
      <c r="DR2972" s="5" t="s">
        <v>240</v>
      </c>
      <c r="DS2972" s="5" t="s">
        <v>240</v>
      </c>
      <c r="DV2972" s="5" t="s">
        <v>310</v>
      </c>
      <c r="DW2972" s="5" t="s">
        <v>1477</v>
      </c>
      <c r="HO2972" s="5" t="s">
        <v>312</v>
      </c>
    </row>
    <row r="2973" spans="1:240" x14ac:dyDescent="0.4">
      <c r="A2973" s="5">
        <v>4677</v>
      </c>
      <c r="B2973" s="5">
        <v>1</v>
      </c>
      <c r="C2973" s="5">
        <v>1</v>
      </c>
      <c r="D2973" s="5" t="s">
        <v>810</v>
      </c>
      <c r="E2973" s="5" t="s">
        <v>245</v>
      </c>
      <c r="F2973" s="5" t="s">
        <v>254</v>
      </c>
      <c r="G2973" s="5" t="s">
        <v>240</v>
      </c>
      <c r="H2973" s="6" t="s">
        <v>2595</v>
      </c>
      <c r="I2973" s="5" t="s">
        <v>809</v>
      </c>
      <c r="J2973" s="8">
        <f>697</f>
        <v>697</v>
      </c>
      <c r="K2973" s="5" t="s">
        <v>308</v>
      </c>
      <c r="L2973" s="7">
        <f>1</f>
        <v>1</v>
      </c>
      <c r="M2973" s="7">
        <f>1</f>
        <v>1</v>
      </c>
      <c r="N2973" s="5" t="s">
        <v>242</v>
      </c>
      <c r="O2973" s="5">
        <v>1</v>
      </c>
      <c r="P2973" s="5" t="s">
        <v>294</v>
      </c>
      <c r="Q2973" s="5" t="s">
        <v>266</v>
      </c>
      <c r="R2973" s="5" t="s">
        <v>240</v>
      </c>
      <c r="S2973" s="5" t="s">
        <v>240</v>
      </c>
      <c r="T2973" s="5" t="s">
        <v>296</v>
      </c>
      <c r="U2973" s="5" t="s">
        <v>244</v>
      </c>
      <c r="V2973" s="5" t="s">
        <v>240</v>
      </c>
      <c r="Y2973" s="5" t="s">
        <v>240</v>
      </c>
      <c r="Z2973" s="6" t="s">
        <v>298</v>
      </c>
      <c r="AB2973" s="6" t="s">
        <v>240</v>
      </c>
      <c r="AE2973" s="6" t="s">
        <v>299</v>
      </c>
      <c r="AF2973" s="5" t="s">
        <v>248</v>
      </c>
      <c r="AG2973" s="5" t="s">
        <v>249</v>
      </c>
      <c r="AW2973" s="5" t="s">
        <v>251</v>
      </c>
      <c r="AX2973" s="5" t="s">
        <v>240</v>
      </c>
      <c r="AY2973" s="5" t="s">
        <v>253</v>
      </c>
      <c r="AZ2973" s="5" t="s">
        <v>240</v>
      </c>
      <c r="BA2973" s="5" t="s">
        <v>255</v>
      </c>
      <c r="BB2973" s="5" t="s">
        <v>240</v>
      </c>
      <c r="BD2973" s="5" t="s">
        <v>240</v>
      </c>
      <c r="BF2973" s="5" t="s">
        <v>301</v>
      </c>
      <c r="BG2973" s="6" t="s">
        <v>299</v>
      </c>
      <c r="BH2973" s="5" t="s">
        <v>302</v>
      </c>
      <c r="BI2973" s="5" t="s">
        <v>303</v>
      </c>
      <c r="BJ2973" s="5" t="s">
        <v>240</v>
      </c>
      <c r="BK2973" s="8">
        <f>0</f>
        <v>0</v>
      </c>
      <c r="BL2973" s="7">
        <f>0</f>
        <v>0</v>
      </c>
      <c r="BM2973" s="5" t="s">
        <v>258</v>
      </c>
      <c r="BN2973" s="5" t="s">
        <v>259</v>
      </c>
      <c r="CB2973" s="5" t="s">
        <v>240</v>
      </c>
      <c r="CC2973" s="5" t="s">
        <v>240</v>
      </c>
      <c r="CG2973" s="5" t="s">
        <v>304</v>
      </c>
      <c r="CH2973" s="5" t="s">
        <v>305</v>
      </c>
      <c r="CI2973" s="5" t="s">
        <v>240</v>
      </c>
      <c r="CL2973" s="6" t="s">
        <v>261</v>
      </c>
      <c r="CM2973" s="5" t="s">
        <v>240</v>
      </c>
      <c r="CN2973" s="5" t="s">
        <v>263</v>
      </c>
      <c r="CO2973" s="5" t="s">
        <v>240</v>
      </c>
      <c r="CP2973" s="5" t="s">
        <v>240</v>
      </c>
      <c r="CQ2973" s="5">
        <v>0</v>
      </c>
      <c r="CR2973" s="5" t="s">
        <v>306</v>
      </c>
      <c r="CS2973" s="5" t="s">
        <v>307</v>
      </c>
      <c r="CT2973" s="5" t="s">
        <v>307</v>
      </c>
      <c r="CU2973" s="5" t="s">
        <v>260</v>
      </c>
      <c r="CX2973" s="7">
        <f>1</f>
        <v>1</v>
      </c>
      <c r="CY2973" s="7">
        <f>0</f>
        <v>0</v>
      </c>
      <c r="DA2973" s="7">
        <f>0</f>
        <v>0</v>
      </c>
      <c r="DC2973" s="5" t="s">
        <v>309</v>
      </c>
      <c r="DD2973" s="5" t="s">
        <v>240</v>
      </c>
      <c r="DF2973" s="5" t="s">
        <v>309</v>
      </c>
      <c r="DG2973" s="7">
        <f>3517</f>
        <v>3517</v>
      </c>
      <c r="DI2973" s="5" t="s">
        <v>240</v>
      </c>
      <c r="DJ2973" s="5" t="s">
        <v>240</v>
      </c>
      <c r="DK2973" s="5" t="s">
        <v>240</v>
      </c>
      <c r="DL2973" s="5" t="s">
        <v>240</v>
      </c>
      <c r="DP2973" s="5" t="s">
        <v>240</v>
      </c>
      <c r="DQ2973" s="5" t="s">
        <v>240</v>
      </c>
      <c r="DR2973" s="5" t="s">
        <v>240</v>
      </c>
      <c r="DS2973" s="5" t="s">
        <v>240</v>
      </c>
      <c r="DV2973" s="5" t="s">
        <v>310</v>
      </c>
      <c r="DW2973" s="5" t="s">
        <v>1393</v>
      </c>
      <c r="HO2973" s="5" t="s">
        <v>312</v>
      </c>
    </row>
    <row r="2974" spans="1:240" x14ac:dyDescent="0.4">
      <c r="A2974" s="5">
        <v>4678</v>
      </c>
      <c r="B2974" s="5">
        <v>1</v>
      </c>
      <c r="C2974" s="5">
        <v>1</v>
      </c>
      <c r="D2974" s="5" t="s">
        <v>810</v>
      </c>
      <c r="E2974" s="5" t="s">
        <v>245</v>
      </c>
      <c r="F2974" s="5" t="s">
        <v>254</v>
      </c>
      <c r="G2974" s="5" t="s">
        <v>240</v>
      </c>
      <c r="H2974" s="6" t="s">
        <v>2593</v>
      </c>
      <c r="I2974" s="5" t="s">
        <v>809</v>
      </c>
      <c r="J2974" s="8">
        <f>271</f>
        <v>271</v>
      </c>
      <c r="K2974" s="5" t="s">
        <v>308</v>
      </c>
      <c r="L2974" s="7">
        <f>1</f>
        <v>1</v>
      </c>
      <c r="M2974" s="7">
        <f>1</f>
        <v>1</v>
      </c>
      <c r="N2974" s="5" t="s">
        <v>242</v>
      </c>
      <c r="O2974" s="5">
        <v>1</v>
      </c>
      <c r="P2974" s="5" t="s">
        <v>294</v>
      </c>
      <c r="Q2974" s="5" t="s">
        <v>266</v>
      </c>
      <c r="R2974" s="5" t="s">
        <v>240</v>
      </c>
      <c r="S2974" s="5" t="s">
        <v>240</v>
      </c>
      <c r="T2974" s="5" t="s">
        <v>296</v>
      </c>
      <c r="U2974" s="5" t="s">
        <v>244</v>
      </c>
      <c r="V2974" s="5" t="s">
        <v>240</v>
      </c>
      <c r="Y2974" s="5" t="s">
        <v>240</v>
      </c>
      <c r="Z2974" s="6" t="s">
        <v>298</v>
      </c>
      <c r="AB2974" s="6" t="s">
        <v>240</v>
      </c>
      <c r="AE2974" s="6" t="s">
        <v>299</v>
      </c>
      <c r="AF2974" s="5" t="s">
        <v>248</v>
      </c>
      <c r="AG2974" s="5" t="s">
        <v>249</v>
      </c>
      <c r="AW2974" s="5" t="s">
        <v>251</v>
      </c>
      <c r="AX2974" s="5" t="s">
        <v>240</v>
      </c>
      <c r="AY2974" s="5" t="s">
        <v>253</v>
      </c>
      <c r="AZ2974" s="5" t="s">
        <v>240</v>
      </c>
      <c r="BA2974" s="5" t="s">
        <v>255</v>
      </c>
      <c r="BB2974" s="5" t="s">
        <v>240</v>
      </c>
      <c r="BD2974" s="5" t="s">
        <v>240</v>
      </c>
      <c r="BF2974" s="5" t="s">
        <v>301</v>
      </c>
      <c r="BG2974" s="6" t="s">
        <v>299</v>
      </c>
      <c r="BH2974" s="5" t="s">
        <v>302</v>
      </c>
      <c r="BI2974" s="5" t="s">
        <v>303</v>
      </c>
      <c r="BJ2974" s="5" t="s">
        <v>240</v>
      </c>
      <c r="BK2974" s="8">
        <f>0</f>
        <v>0</v>
      </c>
      <c r="BL2974" s="7">
        <f>0</f>
        <v>0</v>
      </c>
      <c r="BM2974" s="5" t="s">
        <v>258</v>
      </c>
      <c r="BN2974" s="5" t="s">
        <v>259</v>
      </c>
      <c r="CB2974" s="5" t="s">
        <v>240</v>
      </c>
      <c r="CC2974" s="5" t="s">
        <v>240</v>
      </c>
      <c r="CG2974" s="5" t="s">
        <v>304</v>
      </c>
      <c r="CH2974" s="5" t="s">
        <v>305</v>
      </c>
      <c r="CI2974" s="5" t="s">
        <v>240</v>
      </c>
      <c r="CL2974" s="6" t="s">
        <v>261</v>
      </c>
      <c r="CM2974" s="5" t="s">
        <v>240</v>
      </c>
      <c r="CN2974" s="5" t="s">
        <v>263</v>
      </c>
      <c r="CO2974" s="5" t="s">
        <v>240</v>
      </c>
      <c r="CP2974" s="5" t="s">
        <v>240</v>
      </c>
      <c r="CQ2974" s="5">
        <v>0</v>
      </c>
      <c r="CR2974" s="5" t="s">
        <v>306</v>
      </c>
      <c r="CS2974" s="5" t="s">
        <v>307</v>
      </c>
      <c r="CT2974" s="5" t="s">
        <v>307</v>
      </c>
      <c r="CU2974" s="5" t="s">
        <v>260</v>
      </c>
      <c r="CX2974" s="7">
        <f>1</f>
        <v>1</v>
      </c>
      <c r="CY2974" s="7">
        <f>0</f>
        <v>0</v>
      </c>
      <c r="DA2974" s="7">
        <f>0</f>
        <v>0</v>
      </c>
      <c r="DC2974" s="5" t="s">
        <v>309</v>
      </c>
      <c r="DD2974" s="5" t="s">
        <v>240</v>
      </c>
      <c r="DF2974" s="5" t="s">
        <v>309</v>
      </c>
      <c r="DG2974" s="7">
        <f>6076</f>
        <v>6076</v>
      </c>
      <c r="DI2974" s="5" t="s">
        <v>240</v>
      </c>
      <c r="DJ2974" s="5" t="s">
        <v>240</v>
      </c>
      <c r="DK2974" s="5" t="s">
        <v>240</v>
      </c>
      <c r="DL2974" s="5" t="s">
        <v>240</v>
      </c>
      <c r="DP2974" s="5" t="s">
        <v>240</v>
      </c>
      <c r="DQ2974" s="5" t="s">
        <v>240</v>
      </c>
      <c r="DR2974" s="5" t="s">
        <v>240</v>
      </c>
      <c r="DS2974" s="5" t="s">
        <v>240</v>
      </c>
      <c r="DV2974" s="5" t="s">
        <v>310</v>
      </c>
      <c r="DW2974" s="5" t="s">
        <v>1318</v>
      </c>
      <c r="HO2974" s="5" t="s">
        <v>312</v>
      </c>
    </row>
    <row r="2975" spans="1:240" x14ac:dyDescent="0.4">
      <c r="A2975" s="5">
        <v>4679</v>
      </c>
      <c r="B2975" s="5">
        <v>1</v>
      </c>
      <c r="C2975" s="5">
        <v>1</v>
      </c>
      <c r="D2975" s="5" t="s">
        <v>810</v>
      </c>
      <c r="E2975" s="5" t="s">
        <v>245</v>
      </c>
      <c r="F2975" s="5" t="s">
        <v>254</v>
      </c>
      <c r="G2975" s="5" t="s">
        <v>240</v>
      </c>
      <c r="H2975" s="6" t="s">
        <v>2591</v>
      </c>
      <c r="I2975" s="5" t="s">
        <v>809</v>
      </c>
      <c r="J2975" s="8">
        <f>79</f>
        <v>79</v>
      </c>
      <c r="K2975" s="5" t="s">
        <v>308</v>
      </c>
      <c r="L2975" s="7">
        <f>1</f>
        <v>1</v>
      </c>
      <c r="M2975" s="7">
        <f>1</f>
        <v>1</v>
      </c>
      <c r="N2975" s="5" t="s">
        <v>242</v>
      </c>
      <c r="O2975" s="5">
        <v>1</v>
      </c>
      <c r="P2975" s="5" t="s">
        <v>294</v>
      </c>
      <c r="Q2975" s="5" t="s">
        <v>266</v>
      </c>
      <c r="R2975" s="5" t="s">
        <v>240</v>
      </c>
      <c r="S2975" s="5" t="s">
        <v>240</v>
      </c>
      <c r="T2975" s="5" t="s">
        <v>296</v>
      </c>
      <c r="U2975" s="5" t="s">
        <v>244</v>
      </c>
      <c r="V2975" s="5" t="s">
        <v>240</v>
      </c>
      <c r="Y2975" s="5" t="s">
        <v>240</v>
      </c>
      <c r="Z2975" s="6" t="s">
        <v>298</v>
      </c>
      <c r="AB2975" s="6" t="s">
        <v>240</v>
      </c>
      <c r="AE2975" s="6" t="s">
        <v>299</v>
      </c>
      <c r="AF2975" s="5" t="s">
        <v>248</v>
      </c>
      <c r="AG2975" s="5" t="s">
        <v>249</v>
      </c>
      <c r="AW2975" s="5" t="s">
        <v>251</v>
      </c>
      <c r="AX2975" s="5" t="s">
        <v>240</v>
      </c>
      <c r="AY2975" s="5" t="s">
        <v>253</v>
      </c>
      <c r="AZ2975" s="5" t="s">
        <v>240</v>
      </c>
      <c r="BA2975" s="5" t="s">
        <v>255</v>
      </c>
      <c r="BB2975" s="5" t="s">
        <v>240</v>
      </c>
      <c r="BD2975" s="5" t="s">
        <v>240</v>
      </c>
      <c r="BF2975" s="5" t="s">
        <v>301</v>
      </c>
      <c r="BG2975" s="6" t="s">
        <v>299</v>
      </c>
      <c r="BH2975" s="5" t="s">
        <v>302</v>
      </c>
      <c r="BI2975" s="5" t="s">
        <v>303</v>
      </c>
      <c r="BJ2975" s="5" t="s">
        <v>240</v>
      </c>
      <c r="BK2975" s="8">
        <f>0</f>
        <v>0</v>
      </c>
      <c r="BL2975" s="7">
        <f>0</f>
        <v>0</v>
      </c>
      <c r="BM2975" s="5" t="s">
        <v>258</v>
      </c>
      <c r="BN2975" s="5" t="s">
        <v>259</v>
      </c>
      <c r="CB2975" s="5" t="s">
        <v>240</v>
      </c>
      <c r="CC2975" s="5" t="s">
        <v>240</v>
      </c>
      <c r="CG2975" s="5" t="s">
        <v>304</v>
      </c>
      <c r="CH2975" s="5" t="s">
        <v>305</v>
      </c>
      <c r="CI2975" s="5" t="s">
        <v>240</v>
      </c>
      <c r="CL2975" s="6" t="s">
        <v>261</v>
      </c>
      <c r="CM2975" s="5" t="s">
        <v>240</v>
      </c>
      <c r="CN2975" s="5" t="s">
        <v>263</v>
      </c>
      <c r="CO2975" s="5" t="s">
        <v>240</v>
      </c>
      <c r="CP2975" s="5" t="s">
        <v>240</v>
      </c>
      <c r="CQ2975" s="5">
        <v>0</v>
      </c>
      <c r="CR2975" s="5" t="s">
        <v>306</v>
      </c>
      <c r="CS2975" s="5" t="s">
        <v>307</v>
      </c>
      <c r="CT2975" s="5" t="s">
        <v>307</v>
      </c>
      <c r="CU2975" s="5" t="s">
        <v>260</v>
      </c>
      <c r="CX2975" s="7">
        <f>1</f>
        <v>1</v>
      </c>
      <c r="CY2975" s="7">
        <f>0</f>
        <v>0</v>
      </c>
      <c r="DA2975" s="7">
        <f>0</f>
        <v>0</v>
      </c>
      <c r="DC2975" s="5" t="s">
        <v>309</v>
      </c>
      <c r="DD2975" s="5" t="s">
        <v>240</v>
      </c>
      <c r="DF2975" s="5" t="s">
        <v>309</v>
      </c>
      <c r="DG2975" s="7">
        <f>1560</f>
        <v>1560</v>
      </c>
      <c r="DI2975" s="5" t="s">
        <v>240</v>
      </c>
      <c r="DJ2975" s="5" t="s">
        <v>240</v>
      </c>
      <c r="DK2975" s="5" t="s">
        <v>240</v>
      </c>
      <c r="DL2975" s="5" t="s">
        <v>240</v>
      </c>
      <c r="DP2975" s="5" t="s">
        <v>240</v>
      </c>
      <c r="DQ2975" s="5" t="s">
        <v>240</v>
      </c>
      <c r="DR2975" s="5" t="s">
        <v>240</v>
      </c>
      <c r="DS2975" s="5" t="s">
        <v>240</v>
      </c>
      <c r="DV2975" s="5" t="s">
        <v>310</v>
      </c>
      <c r="DW2975" s="5" t="s">
        <v>1208</v>
      </c>
      <c r="HO2975" s="5" t="s">
        <v>312</v>
      </c>
    </row>
    <row r="2976" spans="1:240" x14ac:dyDescent="0.4">
      <c r="A2976" s="5">
        <v>4680</v>
      </c>
      <c r="B2976" s="5">
        <v>1</v>
      </c>
      <c r="C2976" s="5">
        <v>1</v>
      </c>
      <c r="D2976" s="5" t="s">
        <v>810</v>
      </c>
      <c r="E2976" s="5" t="s">
        <v>245</v>
      </c>
      <c r="F2976" s="5" t="s">
        <v>254</v>
      </c>
      <c r="G2976" s="5" t="s">
        <v>240</v>
      </c>
      <c r="H2976" s="6" t="s">
        <v>2589</v>
      </c>
      <c r="I2976" s="5" t="s">
        <v>809</v>
      </c>
      <c r="J2976" s="8">
        <f>472</f>
        <v>472</v>
      </c>
      <c r="K2976" s="5" t="s">
        <v>308</v>
      </c>
      <c r="L2976" s="7">
        <f>1</f>
        <v>1</v>
      </c>
      <c r="M2976" s="7">
        <f>1</f>
        <v>1</v>
      </c>
      <c r="N2976" s="5" t="s">
        <v>242</v>
      </c>
      <c r="O2976" s="5">
        <v>1</v>
      </c>
      <c r="P2976" s="5" t="s">
        <v>294</v>
      </c>
      <c r="Q2976" s="5" t="s">
        <v>266</v>
      </c>
      <c r="R2976" s="5" t="s">
        <v>240</v>
      </c>
      <c r="S2976" s="5" t="s">
        <v>240</v>
      </c>
      <c r="T2976" s="5" t="s">
        <v>296</v>
      </c>
      <c r="U2976" s="5" t="s">
        <v>244</v>
      </c>
      <c r="V2976" s="5" t="s">
        <v>240</v>
      </c>
      <c r="Y2976" s="5" t="s">
        <v>240</v>
      </c>
      <c r="Z2976" s="6" t="s">
        <v>298</v>
      </c>
      <c r="AB2976" s="6" t="s">
        <v>240</v>
      </c>
      <c r="AE2976" s="6" t="s">
        <v>299</v>
      </c>
      <c r="AF2976" s="5" t="s">
        <v>248</v>
      </c>
      <c r="AG2976" s="5" t="s">
        <v>249</v>
      </c>
      <c r="AW2976" s="5" t="s">
        <v>251</v>
      </c>
      <c r="AX2976" s="5" t="s">
        <v>240</v>
      </c>
      <c r="AY2976" s="5" t="s">
        <v>253</v>
      </c>
      <c r="AZ2976" s="5" t="s">
        <v>240</v>
      </c>
      <c r="BA2976" s="5" t="s">
        <v>255</v>
      </c>
      <c r="BB2976" s="5" t="s">
        <v>240</v>
      </c>
      <c r="BD2976" s="5" t="s">
        <v>240</v>
      </c>
      <c r="BF2976" s="5" t="s">
        <v>301</v>
      </c>
      <c r="BG2976" s="6" t="s">
        <v>299</v>
      </c>
      <c r="BH2976" s="5" t="s">
        <v>302</v>
      </c>
      <c r="BI2976" s="5" t="s">
        <v>303</v>
      </c>
      <c r="BJ2976" s="5" t="s">
        <v>240</v>
      </c>
      <c r="BK2976" s="8">
        <f>0</f>
        <v>0</v>
      </c>
      <c r="BL2976" s="7">
        <f>0</f>
        <v>0</v>
      </c>
      <c r="BM2976" s="5" t="s">
        <v>258</v>
      </c>
      <c r="BN2976" s="5" t="s">
        <v>259</v>
      </c>
      <c r="CB2976" s="5" t="s">
        <v>240</v>
      </c>
      <c r="CC2976" s="5" t="s">
        <v>240</v>
      </c>
      <c r="CG2976" s="5" t="s">
        <v>304</v>
      </c>
      <c r="CH2976" s="5" t="s">
        <v>305</v>
      </c>
      <c r="CI2976" s="5" t="s">
        <v>240</v>
      </c>
      <c r="CL2976" s="6" t="s">
        <v>261</v>
      </c>
      <c r="CM2976" s="5" t="s">
        <v>240</v>
      </c>
      <c r="CN2976" s="5" t="s">
        <v>263</v>
      </c>
      <c r="CO2976" s="5" t="s">
        <v>240</v>
      </c>
      <c r="CP2976" s="5" t="s">
        <v>240</v>
      </c>
      <c r="CQ2976" s="5">
        <v>0</v>
      </c>
      <c r="CR2976" s="5" t="s">
        <v>306</v>
      </c>
      <c r="CS2976" s="5" t="s">
        <v>307</v>
      </c>
      <c r="CT2976" s="5" t="s">
        <v>307</v>
      </c>
      <c r="CU2976" s="5" t="s">
        <v>260</v>
      </c>
      <c r="CX2976" s="7">
        <f>1</f>
        <v>1</v>
      </c>
      <c r="CY2976" s="7">
        <f>0</f>
        <v>0</v>
      </c>
      <c r="DA2976" s="7">
        <f>0</f>
        <v>0</v>
      </c>
      <c r="DC2976" s="5" t="s">
        <v>309</v>
      </c>
      <c r="DD2976" s="5" t="s">
        <v>240</v>
      </c>
      <c r="DF2976" s="5" t="s">
        <v>309</v>
      </c>
      <c r="DG2976" s="7">
        <f>2967</f>
        <v>2967</v>
      </c>
      <c r="DI2976" s="5" t="s">
        <v>240</v>
      </c>
      <c r="DJ2976" s="5" t="s">
        <v>240</v>
      </c>
      <c r="DK2976" s="5" t="s">
        <v>240</v>
      </c>
      <c r="DL2976" s="5" t="s">
        <v>240</v>
      </c>
      <c r="DP2976" s="5" t="s">
        <v>240</v>
      </c>
      <c r="DQ2976" s="5" t="s">
        <v>240</v>
      </c>
      <c r="DR2976" s="5" t="s">
        <v>240</v>
      </c>
      <c r="DS2976" s="5" t="s">
        <v>240</v>
      </c>
      <c r="DV2976" s="5" t="s">
        <v>310</v>
      </c>
      <c r="DW2976" s="5" t="s">
        <v>1025</v>
      </c>
      <c r="HO2976" s="5" t="s">
        <v>312</v>
      </c>
    </row>
    <row r="2977" spans="1:223" x14ac:dyDescent="0.4">
      <c r="A2977" s="5">
        <v>4681</v>
      </c>
      <c r="B2977" s="5">
        <v>1</v>
      </c>
      <c r="C2977" s="5">
        <v>1</v>
      </c>
      <c r="D2977" s="5" t="s">
        <v>810</v>
      </c>
      <c r="E2977" s="5" t="s">
        <v>245</v>
      </c>
      <c r="F2977" s="5" t="s">
        <v>254</v>
      </c>
      <c r="G2977" s="5" t="s">
        <v>240</v>
      </c>
      <c r="H2977" s="6" t="s">
        <v>2587</v>
      </c>
      <c r="I2977" s="5" t="s">
        <v>809</v>
      </c>
      <c r="J2977" s="8">
        <f>500</f>
        <v>500</v>
      </c>
      <c r="K2977" s="5" t="s">
        <v>308</v>
      </c>
      <c r="L2977" s="7">
        <f>1</f>
        <v>1</v>
      </c>
      <c r="M2977" s="7">
        <f>1</f>
        <v>1</v>
      </c>
      <c r="N2977" s="5" t="s">
        <v>242</v>
      </c>
      <c r="O2977" s="5">
        <v>1</v>
      </c>
      <c r="P2977" s="5" t="s">
        <v>294</v>
      </c>
      <c r="Q2977" s="5" t="s">
        <v>266</v>
      </c>
      <c r="R2977" s="5" t="s">
        <v>240</v>
      </c>
      <c r="S2977" s="5" t="s">
        <v>240</v>
      </c>
      <c r="T2977" s="5" t="s">
        <v>296</v>
      </c>
      <c r="U2977" s="5" t="s">
        <v>244</v>
      </c>
      <c r="V2977" s="5" t="s">
        <v>240</v>
      </c>
      <c r="Y2977" s="5" t="s">
        <v>240</v>
      </c>
      <c r="Z2977" s="6" t="s">
        <v>298</v>
      </c>
      <c r="AB2977" s="6" t="s">
        <v>240</v>
      </c>
      <c r="AE2977" s="6" t="s">
        <v>299</v>
      </c>
      <c r="AF2977" s="5" t="s">
        <v>248</v>
      </c>
      <c r="AG2977" s="5" t="s">
        <v>249</v>
      </c>
      <c r="AW2977" s="5" t="s">
        <v>251</v>
      </c>
      <c r="AX2977" s="5" t="s">
        <v>240</v>
      </c>
      <c r="AY2977" s="5" t="s">
        <v>253</v>
      </c>
      <c r="AZ2977" s="5" t="s">
        <v>240</v>
      </c>
      <c r="BA2977" s="5" t="s">
        <v>255</v>
      </c>
      <c r="BB2977" s="5" t="s">
        <v>240</v>
      </c>
      <c r="BD2977" s="5" t="s">
        <v>240</v>
      </c>
      <c r="BF2977" s="5" t="s">
        <v>301</v>
      </c>
      <c r="BG2977" s="6" t="s">
        <v>299</v>
      </c>
      <c r="BH2977" s="5" t="s">
        <v>302</v>
      </c>
      <c r="BI2977" s="5" t="s">
        <v>303</v>
      </c>
      <c r="BJ2977" s="5" t="s">
        <v>240</v>
      </c>
      <c r="BK2977" s="8">
        <f>0</f>
        <v>0</v>
      </c>
      <c r="BL2977" s="7">
        <f>0</f>
        <v>0</v>
      </c>
      <c r="BM2977" s="5" t="s">
        <v>258</v>
      </c>
      <c r="BN2977" s="5" t="s">
        <v>259</v>
      </c>
      <c r="CB2977" s="5" t="s">
        <v>240</v>
      </c>
      <c r="CC2977" s="5" t="s">
        <v>240</v>
      </c>
      <c r="CG2977" s="5" t="s">
        <v>304</v>
      </c>
      <c r="CH2977" s="5" t="s">
        <v>305</v>
      </c>
      <c r="CI2977" s="5" t="s">
        <v>240</v>
      </c>
      <c r="CL2977" s="6" t="s">
        <v>261</v>
      </c>
      <c r="CM2977" s="5" t="s">
        <v>240</v>
      </c>
      <c r="CN2977" s="5" t="s">
        <v>263</v>
      </c>
      <c r="CO2977" s="5" t="s">
        <v>240</v>
      </c>
      <c r="CP2977" s="5" t="s">
        <v>240</v>
      </c>
      <c r="CQ2977" s="5">
        <v>0</v>
      </c>
      <c r="CR2977" s="5" t="s">
        <v>306</v>
      </c>
      <c r="CS2977" s="5" t="s">
        <v>307</v>
      </c>
      <c r="CT2977" s="5" t="s">
        <v>307</v>
      </c>
      <c r="CU2977" s="5" t="s">
        <v>260</v>
      </c>
      <c r="CX2977" s="7">
        <f>1</f>
        <v>1</v>
      </c>
      <c r="CY2977" s="7">
        <f>0</f>
        <v>0</v>
      </c>
      <c r="DA2977" s="7">
        <f>0</f>
        <v>0</v>
      </c>
      <c r="DC2977" s="5" t="s">
        <v>309</v>
      </c>
      <c r="DD2977" s="5" t="s">
        <v>240</v>
      </c>
      <c r="DF2977" s="5" t="s">
        <v>309</v>
      </c>
      <c r="DG2977" s="7">
        <f>6199</f>
        <v>6199</v>
      </c>
      <c r="DI2977" s="5" t="s">
        <v>240</v>
      </c>
      <c r="DJ2977" s="5" t="s">
        <v>240</v>
      </c>
      <c r="DK2977" s="5" t="s">
        <v>240</v>
      </c>
      <c r="DL2977" s="5" t="s">
        <v>240</v>
      </c>
      <c r="DP2977" s="5" t="s">
        <v>240</v>
      </c>
      <c r="DQ2977" s="5" t="s">
        <v>240</v>
      </c>
      <c r="DR2977" s="5" t="s">
        <v>240</v>
      </c>
      <c r="DS2977" s="5" t="s">
        <v>240</v>
      </c>
      <c r="DV2977" s="5" t="s">
        <v>310</v>
      </c>
      <c r="DW2977" s="5" t="s">
        <v>949</v>
      </c>
      <c r="HO2977" s="5" t="s">
        <v>312</v>
      </c>
    </row>
    <row r="2978" spans="1:223" x14ac:dyDescent="0.4">
      <c r="A2978" s="5">
        <v>4682</v>
      </c>
      <c r="B2978" s="5">
        <v>1</v>
      </c>
      <c r="C2978" s="5">
        <v>1</v>
      </c>
      <c r="D2978" s="5" t="s">
        <v>810</v>
      </c>
      <c r="E2978" s="5" t="s">
        <v>245</v>
      </c>
      <c r="F2978" s="5" t="s">
        <v>254</v>
      </c>
      <c r="G2978" s="5" t="s">
        <v>240</v>
      </c>
      <c r="H2978" s="6" t="s">
        <v>2585</v>
      </c>
      <c r="I2978" s="5" t="s">
        <v>809</v>
      </c>
      <c r="J2978" s="8">
        <f>138</f>
        <v>138</v>
      </c>
      <c r="K2978" s="5" t="s">
        <v>308</v>
      </c>
      <c r="L2978" s="7">
        <f>1</f>
        <v>1</v>
      </c>
      <c r="M2978" s="7">
        <f>1</f>
        <v>1</v>
      </c>
      <c r="N2978" s="5" t="s">
        <v>242</v>
      </c>
      <c r="O2978" s="5">
        <v>1</v>
      </c>
      <c r="P2978" s="5" t="s">
        <v>294</v>
      </c>
      <c r="Q2978" s="5" t="s">
        <v>266</v>
      </c>
      <c r="R2978" s="5" t="s">
        <v>240</v>
      </c>
      <c r="S2978" s="5" t="s">
        <v>240</v>
      </c>
      <c r="T2978" s="5" t="s">
        <v>296</v>
      </c>
      <c r="U2978" s="5" t="s">
        <v>244</v>
      </c>
      <c r="V2978" s="5" t="s">
        <v>240</v>
      </c>
      <c r="Y2978" s="5" t="s">
        <v>240</v>
      </c>
      <c r="Z2978" s="6" t="s">
        <v>298</v>
      </c>
      <c r="AB2978" s="6" t="s">
        <v>240</v>
      </c>
      <c r="AE2978" s="6" t="s">
        <v>299</v>
      </c>
      <c r="AF2978" s="5" t="s">
        <v>248</v>
      </c>
      <c r="AG2978" s="5" t="s">
        <v>249</v>
      </c>
      <c r="AW2978" s="5" t="s">
        <v>251</v>
      </c>
      <c r="AX2978" s="5" t="s">
        <v>240</v>
      </c>
      <c r="AY2978" s="5" t="s">
        <v>253</v>
      </c>
      <c r="AZ2978" s="5" t="s">
        <v>240</v>
      </c>
      <c r="BA2978" s="5" t="s">
        <v>255</v>
      </c>
      <c r="BB2978" s="5" t="s">
        <v>240</v>
      </c>
      <c r="BD2978" s="5" t="s">
        <v>240</v>
      </c>
      <c r="BF2978" s="5" t="s">
        <v>301</v>
      </c>
      <c r="BG2978" s="6" t="s">
        <v>299</v>
      </c>
      <c r="BH2978" s="5" t="s">
        <v>302</v>
      </c>
      <c r="BI2978" s="5" t="s">
        <v>303</v>
      </c>
      <c r="BJ2978" s="5" t="s">
        <v>240</v>
      </c>
      <c r="BK2978" s="8">
        <f>0</f>
        <v>0</v>
      </c>
      <c r="BL2978" s="7">
        <f>0</f>
        <v>0</v>
      </c>
      <c r="BM2978" s="5" t="s">
        <v>258</v>
      </c>
      <c r="BN2978" s="5" t="s">
        <v>259</v>
      </c>
      <c r="CB2978" s="5" t="s">
        <v>240</v>
      </c>
      <c r="CC2978" s="5" t="s">
        <v>240</v>
      </c>
      <c r="CG2978" s="5" t="s">
        <v>304</v>
      </c>
      <c r="CH2978" s="5" t="s">
        <v>305</v>
      </c>
      <c r="CI2978" s="5" t="s">
        <v>240</v>
      </c>
      <c r="CL2978" s="6" t="s">
        <v>261</v>
      </c>
      <c r="CM2978" s="5" t="s">
        <v>240</v>
      </c>
      <c r="CN2978" s="5" t="s">
        <v>263</v>
      </c>
      <c r="CO2978" s="5" t="s">
        <v>240</v>
      </c>
      <c r="CP2978" s="5" t="s">
        <v>240</v>
      </c>
      <c r="CQ2978" s="5">
        <v>0</v>
      </c>
      <c r="CR2978" s="5" t="s">
        <v>306</v>
      </c>
      <c r="CS2978" s="5" t="s">
        <v>307</v>
      </c>
      <c r="CT2978" s="5" t="s">
        <v>307</v>
      </c>
      <c r="CU2978" s="5" t="s">
        <v>260</v>
      </c>
      <c r="CX2978" s="7">
        <f>1</f>
        <v>1</v>
      </c>
      <c r="CY2978" s="7">
        <f>0</f>
        <v>0</v>
      </c>
      <c r="DA2978" s="7">
        <f>0</f>
        <v>0</v>
      </c>
      <c r="DC2978" s="5" t="s">
        <v>309</v>
      </c>
      <c r="DD2978" s="5" t="s">
        <v>240</v>
      </c>
      <c r="DF2978" s="5" t="s">
        <v>309</v>
      </c>
      <c r="DG2978" s="7">
        <f>1982</f>
        <v>1982</v>
      </c>
      <c r="DI2978" s="5" t="s">
        <v>240</v>
      </c>
      <c r="DJ2978" s="5" t="s">
        <v>240</v>
      </c>
      <c r="DK2978" s="5" t="s">
        <v>240</v>
      </c>
      <c r="DL2978" s="5" t="s">
        <v>240</v>
      </c>
      <c r="DP2978" s="5" t="s">
        <v>240</v>
      </c>
      <c r="DQ2978" s="5" t="s">
        <v>240</v>
      </c>
      <c r="DR2978" s="5" t="s">
        <v>240</v>
      </c>
      <c r="DS2978" s="5" t="s">
        <v>240</v>
      </c>
      <c r="DV2978" s="5" t="s">
        <v>310</v>
      </c>
      <c r="DW2978" s="5" t="s">
        <v>925</v>
      </c>
      <c r="HO2978" s="5" t="s">
        <v>312</v>
      </c>
    </row>
    <row r="2979" spans="1:223" x14ac:dyDescent="0.4">
      <c r="A2979" s="5">
        <v>4683</v>
      </c>
      <c r="B2979" s="5">
        <v>1</v>
      </c>
      <c r="C2979" s="5">
        <v>1</v>
      </c>
      <c r="D2979" s="5" t="s">
        <v>810</v>
      </c>
      <c r="E2979" s="5" t="s">
        <v>245</v>
      </c>
      <c r="F2979" s="5" t="s">
        <v>254</v>
      </c>
      <c r="G2979" s="5" t="s">
        <v>240</v>
      </c>
      <c r="H2979" s="6" t="s">
        <v>2583</v>
      </c>
      <c r="I2979" s="5" t="s">
        <v>809</v>
      </c>
      <c r="J2979" s="8">
        <f>278</f>
        <v>278</v>
      </c>
      <c r="K2979" s="5" t="s">
        <v>308</v>
      </c>
      <c r="L2979" s="7">
        <f>1</f>
        <v>1</v>
      </c>
      <c r="M2979" s="7">
        <f>1</f>
        <v>1</v>
      </c>
      <c r="N2979" s="5" t="s">
        <v>242</v>
      </c>
      <c r="O2979" s="5">
        <v>1</v>
      </c>
      <c r="P2979" s="5" t="s">
        <v>294</v>
      </c>
      <c r="Q2979" s="5" t="s">
        <v>266</v>
      </c>
      <c r="R2979" s="5" t="s">
        <v>240</v>
      </c>
      <c r="S2979" s="5" t="s">
        <v>240</v>
      </c>
      <c r="T2979" s="5" t="s">
        <v>296</v>
      </c>
      <c r="U2979" s="5" t="s">
        <v>244</v>
      </c>
      <c r="V2979" s="5" t="s">
        <v>240</v>
      </c>
      <c r="Y2979" s="5" t="s">
        <v>240</v>
      </c>
      <c r="Z2979" s="6" t="s">
        <v>298</v>
      </c>
      <c r="AB2979" s="6" t="s">
        <v>240</v>
      </c>
      <c r="AE2979" s="6" t="s">
        <v>299</v>
      </c>
      <c r="AF2979" s="5" t="s">
        <v>248</v>
      </c>
      <c r="AG2979" s="5" t="s">
        <v>249</v>
      </c>
      <c r="AW2979" s="5" t="s">
        <v>251</v>
      </c>
      <c r="AX2979" s="5" t="s">
        <v>240</v>
      </c>
      <c r="AY2979" s="5" t="s">
        <v>253</v>
      </c>
      <c r="AZ2979" s="5" t="s">
        <v>240</v>
      </c>
      <c r="BA2979" s="5" t="s">
        <v>255</v>
      </c>
      <c r="BB2979" s="5" t="s">
        <v>240</v>
      </c>
      <c r="BD2979" s="5" t="s">
        <v>240</v>
      </c>
      <c r="BF2979" s="5" t="s">
        <v>301</v>
      </c>
      <c r="BG2979" s="6" t="s">
        <v>299</v>
      </c>
      <c r="BH2979" s="5" t="s">
        <v>302</v>
      </c>
      <c r="BI2979" s="5" t="s">
        <v>303</v>
      </c>
      <c r="BJ2979" s="5" t="s">
        <v>240</v>
      </c>
      <c r="BK2979" s="8">
        <f>0</f>
        <v>0</v>
      </c>
      <c r="BL2979" s="7">
        <f>0</f>
        <v>0</v>
      </c>
      <c r="BM2979" s="5" t="s">
        <v>258</v>
      </c>
      <c r="BN2979" s="5" t="s">
        <v>259</v>
      </c>
      <c r="CB2979" s="5" t="s">
        <v>240</v>
      </c>
      <c r="CC2979" s="5" t="s">
        <v>240</v>
      </c>
      <c r="CG2979" s="5" t="s">
        <v>304</v>
      </c>
      <c r="CH2979" s="5" t="s">
        <v>305</v>
      </c>
      <c r="CI2979" s="5" t="s">
        <v>240</v>
      </c>
      <c r="CL2979" s="6" t="s">
        <v>261</v>
      </c>
      <c r="CM2979" s="5" t="s">
        <v>240</v>
      </c>
      <c r="CN2979" s="5" t="s">
        <v>263</v>
      </c>
      <c r="CO2979" s="5" t="s">
        <v>240</v>
      </c>
      <c r="CP2979" s="5" t="s">
        <v>240</v>
      </c>
      <c r="CQ2979" s="5">
        <v>0</v>
      </c>
      <c r="CR2979" s="5" t="s">
        <v>306</v>
      </c>
      <c r="CS2979" s="5" t="s">
        <v>307</v>
      </c>
      <c r="CT2979" s="5" t="s">
        <v>307</v>
      </c>
      <c r="CU2979" s="5" t="s">
        <v>260</v>
      </c>
      <c r="CX2979" s="7">
        <f>1</f>
        <v>1</v>
      </c>
      <c r="CY2979" s="7">
        <f>0</f>
        <v>0</v>
      </c>
      <c r="DA2979" s="7">
        <f>0</f>
        <v>0</v>
      </c>
      <c r="DC2979" s="5" t="s">
        <v>309</v>
      </c>
      <c r="DD2979" s="5" t="s">
        <v>240</v>
      </c>
      <c r="DF2979" s="5" t="s">
        <v>309</v>
      </c>
      <c r="DG2979" s="7">
        <f>926</f>
        <v>926</v>
      </c>
      <c r="DI2979" s="5" t="s">
        <v>240</v>
      </c>
      <c r="DJ2979" s="5" t="s">
        <v>240</v>
      </c>
      <c r="DK2979" s="5" t="s">
        <v>240</v>
      </c>
      <c r="DL2979" s="5" t="s">
        <v>240</v>
      </c>
      <c r="DP2979" s="5" t="s">
        <v>240</v>
      </c>
      <c r="DQ2979" s="5" t="s">
        <v>240</v>
      </c>
      <c r="DR2979" s="5" t="s">
        <v>240</v>
      </c>
      <c r="DS2979" s="5" t="s">
        <v>240</v>
      </c>
      <c r="DV2979" s="5" t="s">
        <v>310</v>
      </c>
      <c r="DW2979" s="5" t="s">
        <v>861</v>
      </c>
      <c r="HO2979" s="5" t="s">
        <v>312</v>
      </c>
    </row>
    <row r="2980" spans="1:223" x14ac:dyDescent="0.4">
      <c r="A2980" s="5">
        <v>4684</v>
      </c>
      <c r="B2980" s="5">
        <v>1</v>
      </c>
      <c r="C2980" s="5">
        <v>1</v>
      </c>
      <c r="D2980" s="5" t="s">
        <v>810</v>
      </c>
      <c r="E2980" s="5" t="s">
        <v>245</v>
      </c>
      <c r="F2980" s="5" t="s">
        <v>254</v>
      </c>
      <c r="G2980" s="5" t="s">
        <v>240</v>
      </c>
      <c r="H2980" s="6" t="s">
        <v>2581</v>
      </c>
      <c r="I2980" s="5" t="s">
        <v>809</v>
      </c>
      <c r="J2980" s="8">
        <f>178</f>
        <v>178</v>
      </c>
      <c r="K2980" s="5" t="s">
        <v>308</v>
      </c>
      <c r="L2980" s="7">
        <f>1</f>
        <v>1</v>
      </c>
      <c r="M2980" s="7">
        <f>1</f>
        <v>1</v>
      </c>
      <c r="N2980" s="5" t="s">
        <v>242</v>
      </c>
      <c r="O2980" s="5">
        <v>1</v>
      </c>
      <c r="P2980" s="5" t="s">
        <v>294</v>
      </c>
      <c r="Q2980" s="5" t="s">
        <v>266</v>
      </c>
      <c r="R2980" s="5" t="s">
        <v>240</v>
      </c>
      <c r="S2980" s="5" t="s">
        <v>240</v>
      </c>
      <c r="T2980" s="5" t="s">
        <v>296</v>
      </c>
      <c r="U2980" s="5" t="s">
        <v>244</v>
      </c>
      <c r="V2980" s="5" t="s">
        <v>240</v>
      </c>
      <c r="Y2980" s="5" t="s">
        <v>240</v>
      </c>
      <c r="Z2980" s="6" t="s">
        <v>298</v>
      </c>
      <c r="AB2980" s="6" t="s">
        <v>240</v>
      </c>
      <c r="AE2980" s="6" t="s">
        <v>299</v>
      </c>
      <c r="AF2980" s="5" t="s">
        <v>248</v>
      </c>
      <c r="AG2980" s="5" t="s">
        <v>249</v>
      </c>
      <c r="AW2980" s="5" t="s">
        <v>251</v>
      </c>
      <c r="AX2980" s="5" t="s">
        <v>240</v>
      </c>
      <c r="AY2980" s="5" t="s">
        <v>253</v>
      </c>
      <c r="AZ2980" s="5" t="s">
        <v>240</v>
      </c>
      <c r="BA2980" s="5" t="s">
        <v>255</v>
      </c>
      <c r="BB2980" s="5" t="s">
        <v>240</v>
      </c>
      <c r="BD2980" s="5" t="s">
        <v>240</v>
      </c>
      <c r="BF2980" s="5" t="s">
        <v>301</v>
      </c>
      <c r="BG2980" s="6" t="s">
        <v>299</v>
      </c>
      <c r="BH2980" s="5" t="s">
        <v>302</v>
      </c>
      <c r="BI2980" s="5" t="s">
        <v>303</v>
      </c>
      <c r="BJ2980" s="5" t="s">
        <v>240</v>
      </c>
      <c r="BK2980" s="8">
        <f>0</f>
        <v>0</v>
      </c>
      <c r="BL2980" s="7">
        <f>0</f>
        <v>0</v>
      </c>
      <c r="BM2980" s="5" t="s">
        <v>258</v>
      </c>
      <c r="BN2980" s="5" t="s">
        <v>259</v>
      </c>
      <c r="CB2980" s="5" t="s">
        <v>240</v>
      </c>
      <c r="CC2980" s="5" t="s">
        <v>240</v>
      </c>
      <c r="CG2980" s="5" t="s">
        <v>304</v>
      </c>
      <c r="CH2980" s="5" t="s">
        <v>305</v>
      </c>
      <c r="CI2980" s="5" t="s">
        <v>240</v>
      </c>
      <c r="CL2980" s="6" t="s">
        <v>261</v>
      </c>
      <c r="CM2980" s="5" t="s">
        <v>240</v>
      </c>
      <c r="CN2980" s="5" t="s">
        <v>263</v>
      </c>
      <c r="CO2980" s="5" t="s">
        <v>240</v>
      </c>
      <c r="CP2980" s="5" t="s">
        <v>240</v>
      </c>
      <c r="CQ2980" s="5">
        <v>0</v>
      </c>
      <c r="CR2980" s="5" t="s">
        <v>306</v>
      </c>
      <c r="CS2980" s="5" t="s">
        <v>307</v>
      </c>
      <c r="CT2980" s="5" t="s">
        <v>307</v>
      </c>
      <c r="CU2980" s="5" t="s">
        <v>260</v>
      </c>
      <c r="CX2980" s="7">
        <f>1</f>
        <v>1</v>
      </c>
      <c r="CY2980" s="7">
        <f>0</f>
        <v>0</v>
      </c>
      <c r="DA2980" s="7">
        <f>0</f>
        <v>0</v>
      </c>
      <c r="DC2980" s="5" t="s">
        <v>309</v>
      </c>
      <c r="DD2980" s="5" t="s">
        <v>240</v>
      </c>
      <c r="DF2980" s="5" t="s">
        <v>309</v>
      </c>
      <c r="DG2980" s="7">
        <f>825</f>
        <v>825</v>
      </c>
      <c r="DI2980" s="5" t="s">
        <v>240</v>
      </c>
      <c r="DJ2980" s="5" t="s">
        <v>240</v>
      </c>
      <c r="DK2980" s="5" t="s">
        <v>240</v>
      </c>
      <c r="DL2980" s="5" t="s">
        <v>240</v>
      </c>
      <c r="DP2980" s="5" t="s">
        <v>240</v>
      </c>
      <c r="DQ2980" s="5" t="s">
        <v>240</v>
      </c>
      <c r="DR2980" s="5" t="s">
        <v>240</v>
      </c>
      <c r="DS2980" s="5" t="s">
        <v>240</v>
      </c>
      <c r="DV2980" s="5" t="s">
        <v>310</v>
      </c>
      <c r="DW2980" s="5" t="s">
        <v>814</v>
      </c>
      <c r="HO2980" s="5" t="s">
        <v>312</v>
      </c>
    </row>
    <row r="2981" spans="1:223" x14ac:dyDescent="0.4">
      <c r="A2981" s="5">
        <v>4685</v>
      </c>
      <c r="B2981" s="5">
        <v>1</v>
      </c>
      <c r="C2981" s="5">
        <v>1</v>
      </c>
      <c r="D2981" s="5" t="s">
        <v>810</v>
      </c>
      <c r="E2981" s="5" t="s">
        <v>245</v>
      </c>
      <c r="F2981" s="5" t="s">
        <v>254</v>
      </c>
      <c r="G2981" s="5" t="s">
        <v>240</v>
      </c>
      <c r="H2981" s="6" t="s">
        <v>2579</v>
      </c>
      <c r="I2981" s="5" t="s">
        <v>809</v>
      </c>
      <c r="J2981" s="8">
        <f>2292</f>
        <v>2292</v>
      </c>
      <c r="K2981" s="5" t="s">
        <v>308</v>
      </c>
      <c r="L2981" s="7">
        <f>1</f>
        <v>1</v>
      </c>
      <c r="M2981" s="7">
        <f>1</f>
        <v>1</v>
      </c>
      <c r="N2981" s="5" t="s">
        <v>242</v>
      </c>
      <c r="O2981" s="5">
        <v>1</v>
      </c>
      <c r="P2981" s="5" t="s">
        <v>294</v>
      </c>
      <c r="Q2981" s="5" t="s">
        <v>266</v>
      </c>
      <c r="R2981" s="5" t="s">
        <v>240</v>
      </c>
      <c r="S2981" s="5" t="s">
        <v>240</v>
      </c>
      <c r="T2981" s="5" t="s">
        <v>296</v>
      </c>
      <c r="U2981" s="5" t="s">
        <v>244</v>
      </c>
      <c r="V2981" s="5" t="s">
        <v>240</v>
      </c>
      <c r="Y2981" s="5" t="s">
        <v>240</v>
      </c>
      <c r="Z2981" s="6" t="s">
        <v>298</v>
      </c>
      <c r="AB2981" s="6" t="s">
        <v>240</v>
      </c>
      <c r="AE2981" s="6" t="s">
        <v>299</v>
      </c>
      <c r="AF2981" s="5" t="s">
        <v>248</v>
      </c>
      <c r="AG2981" s="5" t="s">
        <v>249</v>
      </c>
      <c r="AW2981" s="5" t="s">
        <v>251</v>
      </c>
      <c r="AX2981" s="5" t="s">
        <v>240</v>
      </c>
      <c r="AY2981" s="5" t="s">
        <v>253</v>
      </c>
      <c r="AZ2981" s="5" t="s">
        <v>240</v>
      </c>
      <c r="BA2981" s="5" t="s">
        <v>255</v>
      </c>
      <c r="BB2981" s="5" t="s">
        <v>240</v>
      </c>
      <c r="BD2981" s="5" t="s">
        <v>240</v>
      </c>
      <c r="BF2981" s="5" t="s">
        <v>301</v>
      </c>
      <c r="BG2981" s="6" t="s">
        <v>299</v>
      </c>
      <c r="BH2981" s="5" t="s">
        <v>302</v>
      </c>
      <c r="BI2981" s="5" t="s">
        <v>303</v>
      </c>
      <c r="BJ2981" s="5" t="s">
        <v>240</v>
      </c>
      <c r="BK2981" s="8">
        <f>0</f>
        <v>0</v>
      </c>
      <c r="BL2981" s="7">
        <f>0</f>
        <v>0</v>
      </c>
      <c r="BM2981" s="5" t="s">
        <v>258</v>
      </c>
      <c r="BN2981" s="5" t="s">
        <v>259</v>
      </c>
      <c r="CB2981" s="5" t="s">
        <v>240</v>
      </c>
      <c r="CC2981" s="5" t="s">
        <v>240</v>
      </c>
      <c r="CG2981" s="5" t="s">
        <v>304</v>
      </c>
      <c r="CH2981" s="5" t="s">
        <v>305</v>
      </c>
      <c r="CI2981" s="5" t="s">
        <v>240</v>
      </c>
      <c r="CL2981" s="6" t="s">
        <v>261</v>
      </c>
      <c r="CM2981" s="5" t="s">
        <v>240</v>
      </c>
      <c r="CN2981" s="5" t="s">
        <v>263</v>
      </c>
      <c r="CO2981" s="5" t="s">
        <v>240</v>
      </c>
      <c r="CP2981" s="5" t="s">
        <v>240</v>
      </c>
      <c r="CQ2981" s="5">
        <v>0</v>
      </c>
      <c r="CR2981" s="5" t="s">
        <v>306</v>
      </c>
      <c r="CS2981" s="5" t="s">
        <v>307</v>
      </c>
      <c r="CT2981" s="5" t="s">
        <v>307</v>
      </c>
      <c r="CU2981" s="5" t="s">
        <v>260</v>
      </c>
      <c r="CX2981" s="7">
        <f>1</f>
        <v>1</v>
      </c>
      <c r="CY2981" s="7">
        <f>0</f>
        <v>0</v>
      </c>
      <c r="DA2981" s="7">
        <f>0</f>
        <v>0</v>
      </c>
      <c r="DC2981" s="5" t="s">
        <v>309</v>
      </c>
      <c r="DD2981" s="5" t="s">
        <v>240</v>
      </c>
      <c r="DF2981" s="5" t="s">
        <v>309</v>
      </c>
      <c r="DG2981" s="7">
        <f>3358</f>
        <v>3358</v>
      </c>
      <c r="DI2981" s="5" t="s">
        <v>240</v>
      </c>
      <c r="DJ2981" s="5" t="s">
        <v>240</v>
      </c>
      <c r="DK2981" s="5" t="s">
        <v>240</v>
      </c>
      <c r="DL2981" s="5" t="s">
        <v>240</v>
      </c>
      <c r="DP2981" s="5" t="s">
        <v>240</v>
      </c>
      <c r="DQ2981" s="5" t="s">
        <v>240</v>
      </c>
      <c r="DR2981" s="5" t="s">
        <v>240</v>
      </c>
      <c r="DS2981" s="5" t="s">
        <v>240</v>
      </c>
      <c r="DV2981" s="5" t="s">
        <v>310</v>
      </c>
      <c r="DW2981" s="5" t="s">
        <v>3973</v>
      </c>
      <c r="HO2981" s="5" t="s">
        <v>312</v>
      </c>
    </row>
    <row r="2982" spans="1:223" x14ac:dyDescent="0.4">
      <c r="A2982" s="5">
        <v>4686</v>
      </c>
      <c r="B2982" s="5">
        <v>1</v>
      </c>
      <c r="C2982" s="5">
        <v>1</v>
      </c>
      <c r="D2982" s="5" t="s">
        <v>810</v>
      </c>
      <c r="E2982" s="5" t="s">
        <v>245</v>
      </c>
      <c r="F2982" s="5" t="s">
        <v>254</v>
      </c>
      <c r="G2982" s="5" t="s">
        <v>240</v>
      </c>
      <c r="H2982" s="6" t="s">
        <v>2577</v>
      </c>
      <c r="I2982" s="5" t="s">
        <v>809</v>
      </c>
      <c r="J2982" s="8">
        <f>41</f>
        <v>41</v>
      </c>
      <c r="K2982" s="5" t="s">
        <v>308</v>
      </c>
      <c r="L2982" s="7">
        <f>1</f>
        <v>1</v>
      </c>
      <c r="M2982" s="7">
        <f>1</f>
        <v>1</v>
      </c>
      <c r="N2982" s="5" t="s">
        <v>242</v>
      </c>
      <c r="O2982" s="5">
        <v>1</v>
      </c>
      <c r="P2982" s="5" t="s">
        <v>294</v>
      </c>
      <c r="Q2982" s="5" t="s">
        <v>266</v>
      </c>
      <c r="R2982" s="5" t="s">
        <v>240</v>
      </c>
      <c r="S2982" s="5" t="s">
        <v>240</v>
      </c>
      <c r="T2982" s="5" t="s">
        <v>296</v>
      </c>
      <c r="U2982" s="5" t="s">
        <v>244</v>
      </c>
      <c r="V2982" s="5" t="s">
        <v>240</v>
      </c>
      <c r="Y2982" s="5" t="s">
        <v>240</v>
      </c>
      <c r="Z2982" s="6" t="s">
        <v>298</v>
      </c>
      <c r="AB2982" s="6" t="s">
        <v>240</v>
      </c>
      <c r="AE2982" s="6" t="s">
        <v>299</v>
      </c>
      <c r="AF2982" s="5" t="s">
        <v>248</v>
      </c>
      <c r="AG2982" s="5" t="s">
        <v>249</v>
      </c>
      <c r="AW2982" s="5" t="s">
        <v>251</v>
      </c>
      <c r="AX2982" s="5" t="s">
        <v>240</v>
      </c>
      <c r="AY2982" s="5" t="s">
        <v>253</v>
      </c>
      <c r="AZ2982" s="5" t="s">
        <v>240</v>
      </c>
      <c r="BA2982" s="5" t="s">
        <v>255</v>
      </c>
      <c r="BB2982" s="5" t="s">
        <v>240</v>
      </c>
      <c r="BD2982" s="5" t="s">
        <v>240</v>
      </c>
      <c r="BF2982" s="5" t="s">
        <v>301</v>
      </c>
      <c r="BG2982" s="6" t="s">
        <v>299</v>
      </c>
      <c r="BH2982" s="5" t="s">
        <v>302</v>
      </c>
      <c r="BI2982" s="5" t="s">
        <v>303</v>
      </c>
      <c r="BJ2982" s="5" t="s">
        <v>240</v>
      </c>
      <c r="BK2982" s="8">
        <f>0</f>
        <v>0</v>
      </c>
      <c r="BL2982" s="7">
        <f>0</f>
        <v>0</v>
      </c>
      <c r="BM2982" s="5" t="s">
        <v>258</v>
      </c>
      <c r="BN2982" s="5" t="s">
        <v>259</v>
      </c>
      <c r="CB2982" s="5" t="s">
        <v>240</v>
      </c>
      <c r="CC2982" s="5" t="s">
        <v>240</v>
      </c>
      <c r="CG2982" s="5" t="s">
        <v>304</v>
      </c>
      <c r="CH2982" s="5" t="s">
        <v>305</v>
      </c>
      <c r="CI2982" s="5" t="s">
        <v>240</v>
      </c>
      <c r="CL2982" s="6" t="s">
        <v>261</v>
      </c>
      <c r="CM2982" s="5" t="s">
        <v>240</v>
      </c>
      <c r="CN2982" s="5" t="s">
        <v>263</v>
      </c>
      <c r="CO2982" s="5" t="s">
        <v>240</v>
      </c>
      <c r="CP2982" s="5" t="s">
        <v>240</v>
      </c>
      <c r="CQ2982" s="5">
        <v>0</v>
      </c>
      <c r="CR2982" s="5" t="s">
        <v>306</v>
      </c>
      <c r="CS2982" s="5" t="s">
        <v>307</v>
      </c>
      <c r="CT2982" s="5" t="s">
        <v>307</v>
      </c>
      <c r="CU2982" s="5" t="s">
        <v>260</v>
      </c>
      <c r="CX2982" s="7">
        <f>1</f>
        <v>1</v>
      </c>
      <c r="CY2982" s="7">
        <f>0</f>
        <v>0</v>
      </c>
      <c r="DA2982" s="7">
        <f>0</f>
        <v>0</v>
      </c>
      <c r="DC2982" s="5" t="s">
        <v>812</v>
      </c>
      <c r="DD2982" s="5" t="s">
        <v>240</v>
      </c>
      <c r="DF2982" s="5" t="s">
        <v>812</v>
      </c>
      <c r="DG2982" s="7">
        <f>961</f>
        <v>961</v>
      </c>
      <c r="DI2982" s="5" t="s">
        <v>240</v>
      </c>
      <c r="DJ2982" s="5" t="s">
        <v>240</v>
      </c>
      <c r="DK2982" s="5" t="s">
        <v>240</v>
      </c>
      <c r="DL2982" s="5" t="s">
        <v>240</v>
      </c>
      <c r="DP2982" s="5" t="s">
        <v>240</v>
      </c>
      <c r="DQ2982" s="5" t="s">
        <v>240</v>
      </c>
      <c r="DR2982" s="5" t="s">
        <v>240</v>
      </c>
      <c r="DS2982" s="5" t="s">
        <v>240</v>
      </c>
      <c r="DV2982" s="5" t="s">
        <v>813</v>
      </c>
      <c r="DW2982" s="5" t="s">
        <v>5223</v>
      </c>
      <c r="HO2982" s="5" t="s">
        <v>312</v>
      </c>
    </row>
    <row r="2983" spans="1:223" x14ac:dyDescent="0.4">
      <c r="A2983" s="5">
        <v>4687</v>
      </c>
      <c r="B2983" s="5">
        <v>1</v>
      </c>
      <c r="C2983" s="5">
        <v>1</v>
      </c>
      <c r="D2983" s="5" t="s">
        <v>810</v>
      </c>
      <c r="E2983" s="5" t="s">
        <v>245</v>
      </c>
      <c r="F2983" s="5" t="s">
        <v>254</v>
      </c>
      <c r="G2983" s="5" t="s">
        <v>240</v>
      </c>
      <c r="H2983" s="6" t="s">
        <v>2575</v>
      </c>
      <c r="I2983" s="5" t="s">
        <v>809</v>
      </c>
      <c r="J2983" s="8">
        <f>132</f>
        <v>132</v>
      </c>
      <c r="K2983" s="5" t="s">
        <v>308</v>
      </c>
      <c r="L2983" s="7">
        <f>1</f>
        <v>1</v>
      </c>
      <c r="M2983" s="7">
        <f>1</f>
        <v>1</v>
      </c>
      <c r="N2983" s="5" t="s">
        <v>242</v>
      </c>
      <c r="O2983" s="5">
        <v>1</v>
      </c>
      <c r="P2983" s="5" t="s">
        <v>294</v>
      </c>
      <c r="Q2983" s="5" t="s">
        <v>266</v>
      </c>
      <c r="R2983" s="5" t="s">
        <v>240</v>
      </c>
      <c r="S2983" s="5" t="s">
        <v>240</v>
      </c>
      <c r="T2983" s="5" t="s">
        <v>296</v>
      </c>
      <c r="U2983" s="5" t="s">
        <v>244</v>
      </c>
      <c r="V2983" s="5" t="s">
        <v>240</v>
      </c>
      <c r="Y2983" s="5" t="s">
        <v>240</v>
      </c>
      <c r="Z2983" s="6" t="s">
        <v>298</v>
      </c>
      <c r="AB2983" s="6" t="s">
        <v>240</v>
      </c>
      <c r="AE2983" s="6" t="s">
        <v>299</v>
      </c>
      <c r="AF2983" s="5" t="s">
        <v>248</v>
      </c>
      <c r="AG2983" s="5" t="s">
        <v>249</v>
      </c>
      <c r="AW2983" s="5" t="s">
        <v>251</v>
      </c>
      <c r="AX2983" s="5" t="s">
        <v>240</v>
      </c>
      <c r="AY2983" s="5" t="s">
        <v>253</v>
      </c>
      <c r="AZ2983" s="5" t="s">
        <v>240</v>
      </c>
      <c r="BA2983" s="5" t="s">
        <v>255</v>
      </c>
      <c r="BB2983" s="5" t="s">
        <v>240</v>
      </c>
      <c r="BD2983" s="5" t="s">
        <v>240</v>
      </c>
      <c r="BF2983" s="5" t="s">
        <v>301</v>
      </c>
      <c r="BG2983" s="6" t="s">
        <v>299</v>
      </c>
      <c r="BH2983" s="5" t="s">
        <v>302</v>
      </c>
      <c r="BI2983" s="5" t="s">
        <v>303</v>
      </c>
      <c r="BJ2983" s="5" t="s">
        <v>240</v>
      </c>
      <c r="BK2983" s="8">
        <f>0</f>
        <v>0</v>
      </c>
      <c r="BL2983" s="7">
        <f>0</f>
        <v>0</v>
      </c>
      <c r="BM2983" s="5" t="s">
        <v>258</v>
      </c>
      <c r="BN2983" s="5" t="s">
        <v>259</v>
      </c>
      <c r="CB2983" s="5" t="s">
        <v>240</v>
      </c>
      <c r="CC2983" s="5" t="s">
        <v>240</v>
      </c>
      <c r="CG2983" s="5" t="s">
        <v>304</v>
      </c>
      <c r="CH2983" s="5" t="s">
        <v>305</v>
      </c>
      <c r="CI2983" s="5" t="s">
        <v>240</v>
      </c>
      <c r="CL2983" s="6" t="s">
        <v>261</v>
      </c>
      <c r="CM2983" s="5" t="s">
        <v>240</v>
      </c>
      <c r="CN2983" s="5" t="s">
        <v>263</v>
      </c>
      <c r="CO2983" s="5" t="s">
        <v>240</v>
      </c>
      <c r="CP2983" s="5" t="s">
        <v>240</v>
      </c>
      <c r="CQ2983" s="5">
        <v>0</v>
      </c>
      <c r="CR2983" s="5" t="s">
        <v>306</v>
      </c>
      <c r="CS2983" s="5" t="s">
        <v>307</v>
      </c>
      <c r="CT2983" s="5" t="s">
        <v>307</v>
      </c>
      <c r="CU2983" s="5" t="s">
        <v>260</v>
      </c>
      <c r="CX2983" s="7">
        <f>1</f>
        <v>1</v>
      </c>
      <c r="CY2983" s="7">
        <f>0</f>
        <v>0</v>
      </c>
      <c r="DA2983" s="7">
        <f>0</f>
        <v>0</v>
      </c>
      <c r="DC2983" s="5" t="s">
        <v>309</v>
      </c>
      <c r="DD2983" s="5" t="s">
        <v>240</v>
      </c>
      <c r="DF2983" s="5" t="s">
        <v>309</v>
      </c>
      <c r="DG2983" s="7">
        <f>2940</f>
        <v>2940</v>
      </c>
      <c r="DI2983" s="5" t="s">
        <v>240</v>
      </c>
      <c r="DJ2983" s="5" t="s">
        <v>240</v>
      </c>
      <c r="DK2983" s="5" t="s">
        <v>240</v>
      </c>
      <c r="DL2983" s="5" t="s">
        <v>240</v>
      </c>
      <c r="DP2983" s="5" t="s">
        <v>240</v>
      </c>
      <c r="DQ2983" s="5" t="s">
        <v>240</v>
      </c>
      <c r="DR2983" s="5" t="s">
        <v>240</v>
      </c>
      <c r="DS2983" s="5" t="s">
        <v>240</v>
      </c>
      <c r="DV2983" s="5" t="s">
        <v>310</v>
      </c>
      <c r="DW2983" s="5" t="s">
        <v>3977</v>
      </c>
      <c r="HO2983" s="5" t="s">
        <v>312</v>
      </c>
    </row>
    <row r="2984" spans="1:223" x14ac:dyDescent="0.4">
      <c r="A2984" s="5">
        <v>4688</v>
      </c>
      <c r="B2984" s="5">
        <v>1</v>
      </c>
      <c r="C2984" s="5">
        <v>1</v>
      </c>
      <c r="D2984" s="5" t="s">
        <v>810</v>
      </c>
      <c r="E2984" s="5" t="s">
        <v>245</v>
      </c>
      <c r="F2984" s="5" t="s">
        <v>254</v>
      </c>
      <c r="G2984" s="5" t="s">
        <v>240</v>
      </c>
      <c r="H2984" s="6" t="s">
        <v>2573</v>
      </c>
      <c r="I2984" s="5" t="s">
        <v>809</v>
      </c>
      <c r="J2984" s="8">
        <f>169</f>
        <v>169</v>
      </c>
      <c r="K2984" s="5" t="s">
        <v>308</v>
      </c>
      <c r="L2984" s="7">
        <f>1</f>
        <v>1</v>
      </c>
      <c r="M2984" s="7">
        <f>1</f>
        <v>1</v>
      </c>
      <c r="N2984" s="5" t="s">
        <v>242</v>
      </c>
      <c r="O2984" s="5">
        <v>1</v>
      </c>
      <c r="P2984" s="5" t="s">
        <v>294</v>
      </c>
      <c r="Q2984" s="5" t="s">
        <v>266</v>
      </c>
      <c r="R2984" s="5" t="s">
        <v>240</v>
      </c>
      <c r="S2984" s="5" t="s">
        <v>240</v>
      </c>
      <c r="T2984" s="5" t="s">
        <v>296</v>
      </c>
      <c r="U2984" s="5" t="s">
        <v>244</v>
      </c>
      <c r="V2984" s="5" t="s">
        <v>240</v>
      </c>
      <c r="Y2984" s="5" t="s">
        <v>240</v>
      </c>
      <c r="Z2984" s="6" t="s">
        <v>298</v>
      </c>
      <c r="AB2984" s="6" t="s">
        <v>240</v>
      </c>
      <c r="AE2984" s="6" t="s">
        <v>299</v>
      </c>
      <c r="AF2984" s="5" t="s">
        <v>248</v>
      </c>
      <c r="AG2984" s="5" t="s">
        <v>249</v>
      </c>
      <c r="AW2984" s="5" t="s">
        <v>251</v>
      </c>
      <c r="AX2984" s="5" t="s">
        <v>240</v>
      </c>
      <c r="AY2984" s="5" t="s">
        <v>253</v>
      </c>
      <c r="AZ2984" s="5" t="s">
        <v>240</v>
      </c>
      <c r="BA2984" s="5" t="s">
        <v>255</v>
      </c>
      <c r="BB2984" s="5" t="s">
        <v>240</v>
      </c>
      <c r="BD2984" s="5" t="s">
        <v>240</v>
      </c>
      <c r="BF2984" s="5" t="s">
        <v>301</v>
      </c>
      <c r="BG2984" s="6" t="s">
        <v>299</v>
      </c>
      <c r="BH2984" s="5" t="s">
        <v>302</v>
      </c>
      <c r="BI2984" s="5" t="s">
        <v>303</v>
      </c>
      <c r="BJ2984" s="5" t="s">
        <v>240</v>
      </c>
      <c r="BK2984" s="8">
        <f>0</f>
        <v>0</v>
      </c>
      <c r="BL2984" s="7">
        <f>0</f>
        <v>0</v>
      </c>
      <c r="BM2984" s="5" t="s">
        <v>258</v>
      </c>
      <c r="BN2984" s="5" t="s">
        <v>259</v>
      </c>
      <c r="CB2984" s="5" t="s">
        <v>240</v>
      </c>
      <c r="CC2984" s="5" t="s">
        <v>240</v>
      </c>
      <c r="CG2984" s="5" t="s">
        <v>304</v>
      </c>
      <c r="CH2984" s="5" t="s">
        <v>305</v>
      </c>
      <c r="CI2984" s="5" t="s">
        <v>240</v>
      </c>
      <c r="CL2984" s="6" t="s">
        <v>261</v>
      </c>
      <c r="CM2984" s="5" t="s">
        <v>240</v>
      </c>
      <c r="CN2984" s="5" t="s">
        <v>263</v>
      </c>
      <c r="CO2984" s="5" t="s">
        <v>240</v>
      </c>
      <c r="CP2984" s="5" t="s">
        <v>240</v>
      </c>
      <c r="CQ2984" s="5">
        <v>0</v>
      </c>
      <c r="CR2984" s="5" t="s">
        <v>306</v>
      </c>
      <c r="CS2984" s="5" t="s">
        <v>307</v>
      </c>
      <c r="CT2984" s="5" t="s">
        <v>307</v>
      </c>
      <c r="CU2984" s="5" t="s">
        <v>260</v>
      </c>
      <c r="CX2984" s="7">
        <f>1</f>
        <v>1</v>
      </c>
      <c r="CY2984" s="7">
        <f>0</f>
        <v>0</v>
      </c>
      <c r="DA2984" s="7">
        <f>0</f>
        <v>0</v>
      </c>
      <c r="DC2984" s="5" t="s">
        <v>309</v>
      </c>
      <c r="DD2984" s="5" t="s">
        <v>240</v>
      </c>
      <c r="DF2984" s="5" t="s">
        <v>309</v>
      </c>
      <c r="DG2984" s="7">
        <f>2977</f>
        <v>2977</v>
      </c>
      <c r="DI2984" s="5" t="s">
        <v>240</v>
      </c>
      <c r="DJ2984" s="5" t="s">
        <v>240</v>
      </c>
      <c r="DK2984" s="5" t="s">
        <v>240</v>
      </c>
      <c r="DL2984" s="5" t="s">
        <v>240</v>
      </c>
      <c r="DP2984" s="5" t="s">
        <v>240</v>
      </c>
      <c r="DQ2984" s="5" t="s">
        <v>240</v>
      </c>
      <c r="DR2984" s="5" t="s">
        <v>240</v>
      </c>
      <c r="DS2984" s="5" t="s">
        <v>240</v>
      </c>
      <c r="DV2984" s="5" t="s">
        <v>310</v>
      </c>
      <c r="DW2984" s="5" t="s">
        <v>3979</v>
      </c>
      <c r="HO2984" s="5" t="s">
        <v>312</v>
      </c>
    </row>
    <row r="2985" spans="1:223" x14ac:dyDescent="0.4">
      <c r="A2985" s="5">
        <v>4689</v>
      </c>
      <c r="B2985" s="5">
        <v>1</v>
      </c>
      <c r="C2985" s="5">
        <v>1</v>
      </c>
      <c r="D2985" s="5" t="s">
        <v>810</v>
      </c>
      <c r="E2985" s="5" t="s">
        <v>245</v>
      </c>
      <c r="F2985" s="5" t="s">
        <v>254</v>
      </c>
      <c r="G2985" s="5" t="s">
        <v>240</v>
      </c>
      <c r="H2985" s="6" t="s">
        <v>2571</v>
      </c>
      <c r="I2985" s="5" t="s">
        <v>809</v>
      </c>
      <c r="J2985" s="8">
        <f>119</f>
        <v>119</v>
      </c>
      <c r="K2985" s="5" t="s">
        <v>308</v>
      </c>
      <c r="L2985" s="7">
        <f>1</f>
        <v>1</v>
      </c>
      <c r="M2985" s="7">
        <f>1</f>
        <v>1</v>
      </c>
      <c r="N2985" s="5" t="s">
        <v>242</v>
      </c>
      <c r="O2985" s="5">
        <v>1</v>
      </c>
      <c r="P2985" s="5" t="s">
        <v>294</v>
      </c>
      <c r="Q2985" s="5" t="s">
        <v>266</v>
      </c>
      <c r="R2985" s="5" t="s">
        <v>240</v>
      </c>
      <c r="S2985" s="5" t="s">
        <v>240</v>
      </c>
      <c r="T2985" s="5" t="s">
        <v>296</v>
      </c>
      <c r="U2985" s="5" t="s">
        <v>244</v>
      </c>
      <c r="V2985" s="5" t="s">
        <v>240</v>
      </c>
      <c r="Y2985" s="5" t="s">
        <v>240</v>
      </c>
      <c r="Z2985" s="6" t="s">
        <v>298</v>
      </c>
      <c r="AB2985" s="6" t="s">
        <v>240</v>
      </c>
      <c r="AE2985" s="6" t="s">
        <v>299</v>
      </c>
      <c r="AF2985" s="5" t="s">
        <v>248</v>
      </c>
      <c r="AG2985" s="5" t="s">
        <v>249</v>
      </c>
      <c r="AW2985" s="5" t="s">
        <v>251</v>
      </c>
      <c r="AX2985" s="5" t="s">
        <v>240</v>
      </c>
      <c r="AY2985" s="5" t="s">
        <v>253</v>
      </c>
      <c r="AZ2985" s="5" t="s">
        <v>240</v>
      </c>
      <c r="BA2985" s="5" t="s">
        <v>255</v>
      </c>
      <c r="BB2985" s="5" t="s">
        <v>240</v>
      </c>
      <c r="BD2985" s="5" t="s">
        <v>240</v>
      </c>
      <c r="BF2985" s="5" t="s">
        <v>301</v>
      </c>
      <c r="BG2985" s="6" t="s">
        <v>299</v>
      </c>
      <c r="BH2985" s="5" t="s">
        <v>302</v>
      </c>
      <c r="BI2985" s="5" t="s">
        <v>303</v>
      </c>
      <c r="BJ2985" s="5" t="s">
        <v>240</v>
      </c>
      <c r="BK2985" s="8">
        <f>0</f>
        <v>0</v>
      </c>
      <c r="BL2985" s="7">
        <f>0</f>
        <v>0</v>
      </c>
      <c r="BM2985" s="5" t="s">
        <v>258</v>
      </c>
      <c r="BN2985" s="5" t="s">
        <v>259</v>
      </c>
      <c r="CB2985" s="5" t="s">
        <v>240</v>
      </c>
      <c r="CC2985" s="5" t="s">
        <v>240</v>
      </c>
      <c r="CG2985" s="5" t="s">
        <v>304</v>
      </c>
      <c r="CH2985" s="5" t="s">
        <v>305</v>
      </c>
      <c r="CI2985" s="5" t="s">
        <v>240</v>
      </c>
      <c r="CL2985" s="6" t="s">
        <v>261</v>
      </c>
      <c r="CM2985" s="5" t="s">
        <v>240</v>
      </c>
      <c r="CN2985" s="5" t="s">
        <v>263</v>
      </c>
      <c r="CO2985" s="5" t="s">
        <v>240</v>
      </c>
      <c r="CP2985" s="5" t="s">
        <v>240</v>
      </c>
      <c r="CQ2985" s="5">
        <v>0</v>
      </c>
      <c r="CR2985" s="5" t="s">
        <v>306</v>
      </c>
      <c r="CS2985" s="5" t="s">
        <v>307</v>
      </c>
      <c r="CT2985" s="5" t="s">
        <v>307</v>
      </c>
      <c r="CU2985" s="5" t="s">
        <v>260</v>
      </c>
      <c r="CX2985" s="7">
        <f>1</f>
        <v>1</v>
      </c>
      <c r="CY2985" s="7">
        <f>0</f>
        <v>0</v>
      </c>
      <c r="DA2985" s="7">
        <f>0</f>
        <v>0</v>
      </c>
      <c r="DC2985" s="5" t="s">
        <v>309</v>
      </c>
      <c r="DD2985" s="5" t="s">
        <v>240</v>
      </c>
      <c r="DF2985" s="5" t="s">
        <v>309</v>
      </c>
      <c r="DG2985" s="7">
        <f>3019</f>
        <v>3019</v>
      </c>
      <c r="DI2985" s="5" t="s">
        <v>240</v>
      </c>
      <c r="DJ2985" s="5" t="s">
        <v>240</v>
      </c>
      <c r="DK2985" s="5" t="s">
        <v>240</v>
      </c>
      <c r="DL2985" s="5" t="s">
        <v>240</v>
      </c>
      <c r="DP2985" s="5" t="s">
        <v>240</v>
      </c>
      <c r="DQ2985" s="5" t="s">
        <v>240</v>
      </c>
      <c r="DR2985" s="5" t="s">
        <v>240</v>
      </c>
      <c r="DS2985" s="5" t="s">
        <v>240</v>
      </c>
      <c r="DV2985" s="5" t="s">
        <v>310</v>
      </c>
      <c r="DW2985" s="5" t="s">
        <v>3981</v>
      </c>
      <c r="HO2985" s="5" t="s">
        <v>312</v>
      </c>
    </row>
    <row r="2986" spans="1:223" x14ac:dyDescent="0.4">
      <c r="A2986" s="5">
        <v>4690</v>
      </c>
      <c r="B2986" s="5">
        <v>1</v>
      </c>
      <c r="C2986" s="5">
        <v>1</v>
      </c>
      <c r="D2986" s="5" t="s">
        <v>810</v>
      </c>
      <c r="E2986" s="5" t="s">
        <v>245</v>
      </c>
      <c r="F2986" s="5" t="s">
        <v>254</v>
      </c>
      <c r="G2986" s="5" t="s">
        <v>240</v>
      </c>
      <c r="H2986" s="6" t="s">
        <v>2569</v>
      </c>
      <c r="I2986" s="5" t="s">
        <v>809</v>
      </c>
      <c r="J2986" s="8">
        <f>219</f>
        <v>219</v>
      </c>
      <c r="K2986" s="5" t="s">
        <v>308</v>
      </c>
      <c r="L2986" s="7">
        <f>1</f>
        <v>1</v>
      </c>
      <c r="M2986" s="7">
        <f>1</f>
        <v>1</v>
      </c>
      <c r="N2986" s="5" t="s">
        <v>242</v>
      </c>
      <c r="O2986" s="5">
        <v>1</v>
      </c>
      <c r="P2986" s="5" t="s">
        <v>294</v>
      </c>
      <c r="Q2986" s="5" t="s">
        <v>266</v>
      </c>
      <c r="R2986" s="5" t="s">
        <v>240</v>
      </c>
      <c r="S2986" s="5" t="s">
        <v>240</v>
      </c>
      <c r="T2986" s="5" t="s">
        <v>296</v>
      </c>
      <c r="U2986" s="5" t="s">
        <v>244</v>
      </c>
      <c r="V2986" s="5" t="s">
        <v>240</v>
      </c>
      <c r="Y2986" s="5" t="s">
        <v>240</v>
      </c>
      <c r="Z2986" s="6" t="s">
        <v>298</v>
      </c>
      <c r="AB2986" s="6" t="s">
        <v>240</v>
      </c>
      <c r="AE2986" s="6" t="s">
        <v>299</v>
      </c>
      <c r="AF2986" s="5" t="s">
        <v>248</v>
      </c>
      <c r="AG2986" s="5" t="s">
        <v>249</v>
      </c>
      <c r="AW2986" s="5" t="s">
        <v>251</v>
      </c>
      <c r="AX2986" s="5" t="s">
        <v>240</v>
      </c>
      <c r="AY2986" s="5" t="s">
        <v>253</v>
      </c>
      <c r="AZ2986" s="5" t="s">
        <v>240</v>
      </c>
      <c r="BA2986" s="5" t="s">
        <v>255</v>
      </c>
      <c r="BB2986" s="5" t="s">
        <v>240</v>
      </c>
      <c r="BD2986" s="5" t="s">
        <v>240</v>
      </c>
      <c r="BF2986" s="5" t="s">
        <v>301</v>
      </c>
      <c r="BG2986" s="6" t="s">
        <v>299</v>
      </c>
      <c r="BH2986" s="5" t="s">
        <v>302</v>
      </c>
      <c r="BI2986" s="5" t="s">
        <v>303</v>
      </c>
      <c r="BJ2986" s="5" t="s">
        <v>240</v>
      </c>
      <c r="BK2986" s="8">
        <f>0</f>
        <v>0</v>
      </c>
      <c r="BL2986" s="7">
        <f>0</f>
        <v>0</v>
      </c>
      <c r="BM2986" s="5" t="s">
        <v>258</v>
      </c>
      <c r="BN2986" s="5" t="s">
        <v>259</v>
      </c>
      <c r="CB2986" s="5" t="s">
        <v>240</v>
      </c>
      <c r="CC2986" s="5" t="s">
        <v>240</v>
      </c>
      <c r="CG2986" s="5" t="s">
        <v>304</v>
      </c>
      <c r="CH2986" s="5" t="s">
        <v>305</v>
      </c>
      <c r="CI2986" s="5" t="s">
        <v>240</v>
      </c>
      <c r="CL2986" s="6" t="s">
        <v>261</v>
      </c>
      <c r="CM2986" s="5" t="s">
        <v>240</v>
      </c>
      <c r="CN2986" s="5" t="s">
        <v>263</v>
      </c>
      <c r="CO2986" s="5" t="s">
        <v>240</v>
      </c>
      <c r="CP2986" s="5" t="s">
        <v>240</v>
      </c>
      <c r="CQ2986" s="5">
        <v>0</v>
      </c>
      <c r="CR2986" s="5" t="s">
        <v>306</v>
      </c>
      <c r="CS2986" s="5" t="s">
        <v>307</v>
      </c>
      <c r="CT2986" s="5" t="s">
        <v>307</v>
      </c>
      <c r="CU2986" s="5" t="s">
        <v>260</v>
      </c>
      <c r="CX2986" s="7">
        <f>1</f>
        <v>1</v>
      </c>
      <c r="CY2986" s="7">
        <f>0</f>
        <v>0</v>
      </c>
      <c r="DA2986" s="7">
        <f>0</f>
        <v>0</v>
      </c>
      <c r="DC2986" s="5" t="s">
        <v>309</v>
      </c>
      <c r="DD2986" s="5" t="s">
        <v>240</v>
      </c>
      <c r="DF2986" s="5" t="s">
        <v>309</v>
      </c>
      <c r="DG2986" s="7">
        <f>4571</f>
        <v>4571</v>
      </c>
      <c r="DI2986" s="5" t="s">
        <v>240</v>
      </c>
      <c r="DJ2986" s="5" t="s">
        <v>240</v>
      </c>
      <c r="DK2986" s="5" t="s">
        <v>240</v>
      </c>
      <c r="DL2986" s="5" t="s">
        <v>240</v>
      </c>
      <c r="DP2986" s="5" t="s">
        <v>240</v>
      </c>
      <c r="DQ2986" s="5" t="s">
        <v>240</v>
      </c>
      <c r="DR2986" s="5" t="s">
        <v>240</v>
      </c>
      <c r="DS2986" s="5" t="s">
        <v>240</v>
      </c>
      <c r="DV2986" s="5" t="s">
        <v>310</v>
      </c>
      <c r="DW2986" s="5" t="s">
        <v>3983</v>
      </c>
      <c r="HO2986" s="5" t="s">
        <v>312</v>
      </c>
    </row>
    <row r="2987" spans="1:223" x14ac:dyDescent="0.4">
      <c r="A2987" s="5">
        <v>4691</v>
      </c>
      <c r="B2987" s="5">
        <v>1</v>
      </c>
      <c r="C2987" s="5">
        <v>1</v>
      </c>
      <c r="D2987" s="5" t="s">
        <v>810</v>
      </c>
      <c r="E2987" s="5" t="s">
        <v>245</v>
      </c>
      <c r="F2987" s="5" t="s">
        <v>254</v>
      </c>
      <c r="G2987" s="5" t="s">
        <v>240</v>
      </c>
      <c r="H2987" s="6" t="s">
        <v>2567</v>
      </c>
      <c r="I2987" s="5" t="s">
        <v>809</v>
      </c>
      <c r="J2987" s="8">
        <f>17</f>
        <v>17</v>
      </c>
      <c r="K2987" s="5" t="s">
        <v>308</v>
      </c>
      <c r="L2987" s="7">
        <f>1</f>
        <v>1</v>
      </c>
      <c r="M2987" s="7">
        <f>1</f>
        <v>1</v>
      </c>
      <c r="N2987" s="5" t="s">
        <v>242</v>
      </c>
      <c r="O2987" s="5">
        <v>1</v>
      </c>
      <c r="P2987" s="5" t="s">
        <v>294</v>
      </c>
      <c r="Q2987" s="5" t="s">
        <v>266</v>
      </c>
      <c r="R2987" s="5" t="s">
        <v>240</v>
      </c>
      <c r="S2987" s="5" t="s">
        <v>240</v>
      </c>
      <c r="T2987" s="5" t="s">
        <v>296</v>
      </c>
      <c r="U2987" s="5" t="s">
        <v>244</v>
      </c>
      <c r="V2987" s="5" t="s">
        <v>240</v>
      </c>
      <c r="Y2987" s="5" t="s">
        <v>240</v>
      </c>
      <c r="Z2987" s="6" t="s">
        <v>298</v>
      </c>
      <c r="AB2987" s="6" t="s">
        <v>240</v>
      </c>
      <c r="AE2987" s="6" t="s">
        <v>299</v>
      </c>
      <c r="AF2987" s="5" t="s">
        <v>248</v>
      </c>
      <c r="AG2987" s="5" t="s">
        <v>249</v>
      </c>
      <c r="AW2987" s="5" t="s">
        <v>251</v>
      </c>
      <c r="AX2987" s="5" t="s">
        <v>240</v>
      </c>
      <c r="AY2987" s="5" t="s">
        <v>253</v>
      </c>
      <c r="AZ2987" s="5" t="s">
        <v>240</v>
      </c>
      <c r="BA2987" s="5" t="s">
        <v>255</v>
      </c>
      <c r="BB2987" s="5" t="s">
        <v>240</v>
      </c>
      <c r="BD2987" s="5" t="s">
        <v>240</v>
      </c>
      <c r="BF2987" s="5" t="s">
        <v>301</v>
      </c>
      <c r="BG2987" s="6" t="s">
        <v>299</v>
      </c>
      <c r="BH2987" s="5" t="s">
        <v>302</v>
      </c>
      <c r="BI2987" s="5" t="s">
        <v>303</v>
      </c>
      <c r="BJ2987" s="5" t="s">
        <v>240</v>
      </c>
      <c r="BK2987" s="8">
        <f>0</f>
        <v>0</v>
      </c>
      <c r="BL2987" s="7">
        <f>0</f>
        <v>0</v>
      </c>
      <c r="BM2987" s="5" t="s">
        <v>258</v>
      </c>
      <c r="BN2987" s="5" t="s">
        <v>259</v>
      </c>
      <c r="CB2987" s="5" t="s">
        <v>240</v>
      </c>
      <c r="CC2987" s="5" t="s">
        <v>240</v>
      </c>
      <c r="CG2987" s="5" t="s">
        <v>304</v>
      </c>
      <c r="CH2987" s="5" t="s">
        <v>305</v>
      </c>
      <c r="CI2987" s="5" t="s">
        <v>240</v>
      </c>
      <c r="CL2987" s="6" t="s">
        <v>261</v>
      </c>
      <c r="CM2987" s="5" t="s">
        <v>240</v>
      </c>
      <c r="CN2987" s="5" t="s">
        <v>263</v>
      </c>
      <c r="CO2987" s="5" t="s">
        <v>240</v>
      </c>
      <c r="CP2987" s="5" t="s">
        <v>240</v>
      </c>
      <c r="CQ2987" s="5">
        <v>0</v>
      </c>
      <c r="CR2987" s="5" t="s">
        <v>306</v>
      </c>
      <c r="CS2987" s="5" t="s">
        <v>307</v>
      </c>
      <c r="CT2987" s="5" t="s">
        <v>307</v>
      </c>
      <c r="CU2987" s="5" t="s">
        <v>260</v>
      </c>
      <c r="CX2987" s="7">
        <f>1</f>
        <v>1</v>
      </c>
      <c r="CY2987" s="7">
        <f>0</f>
        <v>0</v>
      </c>
      <c r="DA2987" s="7">
        <f>0</f>
        <v>0</v>
      </c>
      <c r="DC2987" s="5" t="s">
        <v>309</v>
      </c>
      <c r="DD2987" s="5" t="s">
        <v>240</v>
      </c>
      <c r="DF2987" s="5" t="s">
        <v>309</v>
      </c>
      <c r="DG2987" s="7">
        <f>384</f>
        <v>384</v>
      </c>
      <c r="DI2987" s="5" t="s">
        <v>240</v>
      </c>
      <c r="DJ2987" s="5" t="s">
        <v>240</v>
      </c>
      <c r="DK2987" s="5" t="s">
        <v>240</v>
      </c>
      <c r="DL2987" s="5" t="s">
        <v>240</v>
      </c>
      <c r="DP2987" s="5" t="s">
        <v>240</v>
      </c>
      <c r="DQ2987" s="5" t="s">
        <v>240</v>
      </c>
      <c r="DR2987" s="5" t="s">
        <v>240</v>
      </c>
      <c r="DS2987" s="5" t="s">
        <v>240</v>
      </c>
      <c r="DV2987" s="5" t="s">
        <v>310</v>
      </c>
      <c r="DW2987" s="5" t="s">
        <v>3985</v>
      </c>
      <c r="HO2987" s="5" t="s">
        <v>312</v>
      </c>
    </row>
    <row r="2988" spans="1:223" x14ac:dyDescent="0.4">
      <c r="A2988" s="5">
        <v>4692</v>
      </c>
      <c r="B2988" s="5">
        <v>1</v>
      </c>
      <c r="C2988" s="5">
        <v>1</v>
      </c>
      <c r="D2988" s="5" t="s">
        <v>810</v>
      </c>
      <c r="E2988" s="5" t="s">
        <v>245</v>
      </c>
      <c r="F2988" s="5" t="s">
        <v>254</v>
      </c>
      <c r="G2988" s="5" t="s">
        <v>240</v>
      </c>
      <c r="H2988" s="6" t="s">
        <v>2565</v>
      </c>
      <c r="I2988" s="5" t="s">
        <v>809</v>
      </c>
      <c r="J2988" s="8">
        <f>130</f>
        <v>130</v>
      </c>
      <c r="K2988" s="5" t="s">
        <v>308</v>
      </c>
      <c r="L2988" s="7">
        <f>1</f>
        <v>1</v>
      </c>
      <c r="M2988" s="7">
        <f>1</f>
        <v>1</v>
      </c>
      <c r="N2988" s="5" t="s">
        <v>242</v>
      </c>
      <c r="O2988" s="5">
        <v>1</v>
      </c>
      <c r="P2988" s="5" t="s">
        <v>294</v>
      </c>
      <c r="Q2988" s="5" t="s">
        <v>266</v>
      </c>
      <c r="R2988" s="5" t="s">
        <v>240</v>
      </c>
      <c r="S2988" s="5" t="s">
        <v>240</v>
      </c>
      <c r="T2988" s="5" t="s">
        <v>296</v>
      </c>
      <c r="U2988" s="5" t="s">
        <v>244</v>
      </c>
      <c r="V2988" s="5" t="s">
        <v>240</v>
      </c>
      <c r="Y2988" s="5" t="s">
        <v>240</v>
      </c>
      <c r="Z2988" s="6" t="s">
        <v>298</v>
      </c>
      <c r="AB2988" s="6" t="s">
        <v>240</v>
      </c>
      <c r="AE2988" s="6" t="s">
        <v>299</v>
      </c>
      <c r="AF2988" s="5" t="s">
        <v>248</v>
      </c>
      <c r="AG2988" s="5" t="s">
        <v>249</v>
      </c>
      <c r="AW2988" s="5" t="s">
        <v>251</v>
      </c>
      <c r="AX2988" s="5" t="s">
        <v>240</v>
      </c>
      <c r="AY2988" s="5" t="s">
        <v>253</v>
      </c>
      <c r="AZ2988" s="5" t="s">
        <v>240</v>
      </c>
      <c r="BA2988" s="5" t="s">
        <v>255</v>
      </c>
      <c r="BB2988" s="5" t="s">
        <v>240</v>
      </c>
      <c r="BD2988" s="5" t="s">
        <v>240</v>
      </c>
      <c r="BF2988" s="5" t="s">
        <v>301</v>
      </c>
      <c r="BG2988" s="6" t="s">
        <v>299</v>
      </c>
      <c r="BH2988" s="5" t="s">
        <v>302</v>
      </c>
      <c r="BI2988" s="5" t="s">
        <v>303</v>
      </c>
      <c r="BJ2988" s="5" t="s">
        <v>240</v>
      </c>
      <c r="BK2988" s="8">
        <f>0</f>
        <v>0</v>
      </c>
      <c r="BL2988" s="7">
        <f>0</f>
        <v>0</v>
      </c>
      <c r="BM2988" s="5" t="s">
        <v>258</v>
      </c>
      <c r="BN2988" s="5" t="s">
        <v>259</v>
      </c>
      <c r="CB2988" s="5" t="s">
        <v>240</v>
      </c>
      <c r="CC2988" s="5" t="s">
        <v>240</v>
      </c>
      <c r="CG2988" s="5" t="s">
        <v>304</v>
      </c>
      <c r="CH2988" s="5" t="s">
        <v>305</v>
      </c>
      <c r="CI2988" s="5" t="s">
        <v>240</v>
      </c>
      <c r="CL2988" s="6" t="s">
        <v>261</v>
      </c>
      <c r="CM2988" s="5" t="s">
        <v>240</v>
      </c>
      <c r="CN2988" s="5" t="s">
        <v>263</v>
      </c>
      <c r="CO2988" s="5" t="s">
        <v>240</v>
      </c>
      <c r="CP2988" s="5" t="s">
        <v>240</v>
      </c>
      <c r="CQ2988" s="5">
        <v>0</v>
      </c>
      <c r="CR2988" s="5" t="s">
        <v>306</v>
      </c>
      <c r="CS2988" s="5" t="s">
        <v>307</v>
      </c>
      <c r="CT2988" s="5" t="s">
        <v>307</v>
      </c>
      <c r="CU2988" s="5" t="s">
        <v>260</v>
      </c>
      <c r="CX2988" s="7">
        <f>1</f>
        <v>1</v>
      </c>
      <c r="CY2988" s="7">
        <f>0</f>
        <v>0</v>
      </c>
      <c r="DA2988" s="7">
        <f>0</f>
        <v>0</v>
      </c>
      <c r="DC2988" s="5" t="s">
        <v>309</v>
      </c>
      <c r="DD2988" s="5" t="s">
        <v>240</v>
      </c>
      <c r="DF2988" s="5" t="s">
        <v>309</v>
      </c>
      <c r="DG2988" s="7">
        <f>1850</f>
        <v>1850</v>
      </c>
      <c r="DI2988" s="5" t="s">
        <v>240</v>
      </c>
      <c r="DJ2988" s="5" t="s">
        <v>240</v>
      </c>
      <c r="DK2988" s="5" t="s">
        <v>240</v>
      </c>
      <c r="DL2988" s="5" t="s">
        <v>240</v>
      </c>
      <c r="DP2988" s="5" t="s">
        <v>240</v>
      </c>
      <c r="DQ2988" s="5" t="s">
        <v>240</v>
      </c>
      <c r="DR2988" s="5" t="s">
        <v>240</v>
      </c>
      <c r="DS2988" s="5" t="s">
        <v>240</v>
      </c>
      <c r="DV2988" s="5" t="s">
        <v>310</v>
      </c>
      <c r="DW2988" s="5" t="s">
        <v>3987</v>
      </c>
      <c r="HO2988" s="5" t="s">
        <v>312</v>
      </c>
    </row>
    <row r="2989" spans="1:223" x14ac:dyDescent="0.4">
      <c r="A2989" s="5">
        <v>4693</v>
      </c>
      <c r="B2989" s="5">
        <v>1</v>
      </c>
      <c r="C2989" s="5">
        <v>1</v>
      </c>
      <c r="D2989" s="5" t="s">
        <v>810</v>
      </c>
      <c r="E2989" s="5" t="s">
        <v>245</v>
      </c>
      <c r="F2989" s="5" t="s">
        <v>254</v>
      </c>
      <c r="G2989" s="5" t="s">
        <v>240</v>
      </c>
      <c r="H2989" s="6" t="s">
        <v>2563</v>
      </c>
      <c r="I2989" s="5" t="s">
        <v>809</v>
      </c>
      <c r="J2989" s="8">
        <f>206</f>
        <v>206</v>
      </c>
      <c r="K2989" s="5" t="s">
        <v>308</v>
      </c>
      <c r="L2989" s="7">
        <f>1</f>
        <v>1</v>
      </c>
      <c r="M2989" s="7">
        <f>1</f>
        <v>1</v>
      </c>
      <c r="N2989" s="5" t="s">
        <v>242</v>
      </c>
      <c r="O2989" s="5">
        <v>1</v>
      </c>
      <c r="P2989" s="5" t="s">
        <v>294</v>
      </c>
      <c r="Q2989" s="5" t="s">
        <v>266</v>
      </c>
      <c r="R2989" s="5" t="s">
        <v>240</v>
      </c>
      <c r="S2989" s="5" t="s">
        <v>240</v>
      </c>
      <c r="T2989" s="5" t="s">
        <v>296</v>
      </c>
      <c r="U2989" s="5" t="s">
        <v>244</v>
      </c>
      <c r="V2989" s="5" t="s">
        <v>240</v>
      </c>
      <c r="Y2989" s="5" t="s">
        <v>240</v>
      </c>
      <c r="Z2989" s="6" t="s">
        <v>298</v>
      </c>
      <c r="AB2989" s="6" t="s">
        <v>240</v>
      </c>
      <c r="AE2989" s="6" t="s">
        <v>299</v>
      </c>
      <c r="AF2989" s="5" t="s">
        <v>248</v>
      </c>
      <c r="AG2989" s="5" t="s">
        <v>249</v>
      </c>
      <c r="AW2989" s="5" t="s">
        <v>251</v>
      </c>
      <c r="AX2989" s="5" t="s">
        <v>240</v>
      </c>
      <c r="AY2989" s="5" t="s">
        <v>253</v>
      </c>
      <c r="AZ2989" s="5" t="s">
        <v>240</v>
      </c>
      <c r="BA2989" s="5" t="s">
        <v>255</v>
      </c>
      <c r="BB2989" s="5" t="s">
        <v>240</v>
      </c>
      <c r="BD2989" s="5" t="s">
        <v>240</v>
      </c>
      <c r="BF2989" s="5" t="s">
        <v>301</v>
      </c>
      <c r="BG2989" s="6" t="s">
        <v>299</v>
      </c>
      <c r="BH2989" s="5" t="s">
        <v>302</v>
      </c>
      <c r="BI2989" s="5" t="s">
        <v>303</v>
      </c>
      <c r="BJ2989" s="5" t="s">
        <v>240</v>
      </c>
      <c r="BK2989" s="8">
        <f>0</f>
        <v>0</v>
      </c>
      <c r="BL2989" s="7">
        <f>0</f>
        <v>0</v>
      </c>
      <c r="BM2989" s="5" t="s">
        <v>258</v>
      </c>
      <c r="BN2989" s="5" t="s">
        <v>259</v>
      </c>
      <c r="CB2989" s="5" t="s">
        <v>240</v>
      </c>
      <c r="CC2989" s="5" t="s">
        <v>240</v>
      </c>
      <c r="CG2989" s="5" t="s">
        <v>304</v>
      </c>
      <c r="CH2989" s="5" t="s">
        <v>305</v>
      </c>
      <c r="CI2989" s="5" t="s">
        <v>240</v>
      </c>
      <c r="CL2989" s="6" t="s">
        <v>261</v>
      </c>
      <c r="CM2989" s="5" t="s">
        <v>240</v>
      </c>
      <c r="CN2989" s="5" t="s">
        <v>263</v>
      </c>
      <c r="CO2989" s="5" t="s">
        <v>240</v>
      </c>
      <c r="CP2989" s="5" t="s">
        <v>240</v>
      </c>
      <c r="CQ2989" s="5">
        <v>0</v>
      </c>
      <c r="CR2989" s="5" t="s">
        <v>306</v>
      </c>
      <c r="CS2989" s="5" t="s">
        <v>307</v>
      </c>
      <c r="CT2989" s="5" t="s">
        <v>307</v>
      </c>
      <c r="CU2989" s="5" t="s">
        <v>260</v>
      </c>
      <c r="CX2989" s="7">
        <f>1</f>
        <v>1</v>
      </c>
      <c r="CY2989" s="7">
        <f>0</f>
        <v>0</v>
      </c>
      <c r="DA2989" s="7">
        <f>0</f>
        <v>0</v>
      </c>
      <c r="DC2989" s="5" t="s">
        <v>309</v>
      </c>
      <c r="DD2989" s="5" t="s">
        <v>240</v>
      </c>
      <c r="DF2989" s="5" t="s">
        <v>309</v>
      </c>
      <c r="DG2989" s="7">
        <f>338</f>
        <v>338</v>
      </c>
      <c r="DI2989" s="5" t="s">
        <v>240</v>
      </c>
      <c r="DJ2989" s="5" t="s">
        <v>240</v>
      </c>
      <c r="DK2989" s="5" t="s">
        <v>240</v>
      </c>
      <c r="DL2989" s="5" t="s">
        <v>240</v>
      </c>
      <c r="DP2989" s="5" t="s">
        <v>240</v>
      </c>
      <c r="DQ2989" s="5" t="s">
        <v>240</v>
      </c>
      <c r="DR2989" s="5" t="s">
        <v>240</v>
      </c>
      <c r="DS2989" s="5" t="s">
        <v>240</v>
      </c>
      <c r="DV2989" s="5" t="s">
        <v>310</v>
      </c>
      <c r="DW2989" s="5" t="s">
        <v>3989</v>
      </c>
      <c r="HO2989" s="5" t="s">
        <v>312</v>
      </c>
    </row>
    <row r="2990" spans="1:223" x14ac:dyDescent="0.4">
      <c r="A2990" s="5">
        <v>4694</v>
      </c>
      <c r="B2990" s="5">
        <v>1</v>
      </c>
      <c r="C2990" s="5">
        <v>1</v>
      </c>
      <c r="D2990" s="5" t="s">
        <v>810</v>
      </c>
      <c r="E2990" s="5" t="s">
        <v>245</v>
      </c>
      <c r="F2990" s="5" t="s">
        <v>254</v>
      </c>
      <c r="G2990" s="5" t="s">
        <v>240</v>
      </c>
      <c r="H2990" s="6" t="s">
        <v>2561</v>
      </c>
      <c r="I2990" s="5" t="s">
        <v>809</v>
      </c>
      <c r="J2990" s="8">
        <f>1857</f>
        <v>1857</v>
      </c>
      <c r="K2990" s="5" t="s">
        <v>308</v>
      </c>
      <c r="L2990" s="7">
        <f>1</f>
        <v>1</v>
      </c>
      <c r="M2990" s="7">
        <f>1</f>
        <v>1</v>
      </c>
      <c r="N2990" s="5" t="s">
        <v>242</v>
      </c>
      <c r="O2990" s="5">
        <v>1</v>
      </c>
      <c r="P2990" s="5" t="s">
        <v>294</v>
      </c>
      <c r="Q2990" s="5" t="s">
        <v>266</v>
      </c>
      <c r="R2990" s="5" t="s">
        <v>240</v>
      </c>
      <c r="S2990" s="5" t="s">
        <v>240</v>
      </c>
      <c r="T2990" s="5" t="s">
        <v>296</v>
      </c>
      <c r="U2990" s="5" t="s">
        <v>244</v>
      </c>
      <c r="V2990" s="5" t="s">
        <v>240</v>
      </c>
      <c r="Y2990" s="5" t="s">
        <v>240</v>
      </c>
      <c r="Z2990" s="6" t="s">
        <v>298</v>
      </c>
      <c r="AB2990" s="6" t="s">
        <v>240</v>
      </c>
      <c r="AE2990" s="6" t="s">
        <v>299</v>
      </c>
      <c r="AF2990" s="5" t="s">
        <v>248</v>
      </c>
      <c r="AG2990" s="5" t="s">
        <v>249</v>
      </c>
      <c r="AW2990" s="5" t="s">
        <v>251</v>
      </c>
      <c r="AX2990" s="5" t="s">
        <v>240</v>
      </c>
      <c r="AY2990" s="5" t="s">
        <v>253</v>
      </c>
      <c r="AZ2990" s="5" t="s">
        <v>240</v>
      </c>
      <c r="BA2990" s="5" t="s">
        <v>255</v>
      </c>
      <c r="BB2990" s="5" t="s">
        <v>240</v>
      </c>
      <c r="BD2990" s="5" t="s">
        <v>240</v>
      </c>
      <c r="BF2990" s="5" t="s">
        <v>301</v>
      </c>
      <c r="BG2990" s="6" t="s">
        <v>299</v>
      </c>
      <c r="BH2990" s="5" t="s">
        <v>302</v>
      </c>
      <c r="BI2990" s="5" t="s">
        <v>303</v>
      </c>
      <c r="BJ2990" s="5" t="s">
        <v>240</v>
      </c>
      <c r="BK2990" s="8">
        <f>0</f>
        <v>0</v>
      </c>
      <c r="BL2990" s="7">
        <f>0</f>
        <v>0</v>
      </c>
      <c r="BM2990" s="5" t="s">
        <v>258</v>
      </c>
      <c r="BN2990" s="5" t="s">
        <v>259</v>
      </c>
      <c r="CB2990" s="5" t="s">
        <v>240</v>
      </c>
      <c r="CC2990" s="5" t="s">
        <v>240</v>
      </c>
      <c r="CG2990" s="5" t="s">
        <v>304</v>
      </c>
      <c r="CH2990" s="5" t="s">
        <v>305</v>
      </c>
      <c r="CI2990" s="5" t="s">
        <v>240</v>
      </c>
      <c r="CL2990" s="6" t="s">
        <v>261</v>
      </c>
      <c r="CM2990" s="5" t="s">
        <v>240</v>
      </c>
      <c r="CN2990" s="5" t="s">
        <v>263</v>
      </c>
      <c r="CO2990" s="5" t="s">
        <v>240</v>
      </c>
      <c r="CP2990" s="5" t="s">
        <v>240</v>
      </c>
      <c r="CQ2990" s="5">
        <v>0</v>
      </c>
      <c r="CR2990" s="5" t="s">
        <v>306</v>
      </c>
      <c r="CS2990" s="5" t="s">
        <v>307</v>
      </c>
      <c r="CT2990" s="5" t="s">
        <v>307</v>
      </c>
      <c r="CU2990" s="5" t="s">
        <v>260</v>
      </c>
      <c r="CX2990" s="7">
        <f>1</f>
        <v>1</v>
      </c>
      <c r="CY2990" s="7">
        <f>0</f>
        <v>0</v>
      </c>
      <c r="DA2990" s="7">
        <f>0</f>
        <v>0</v>
      </c>
      <c r="DC2990" s="5" t="s">
        <v>812</v>
      </c>
      <c r="DD2990" s="5" t="s">
        <v>240</v>
      </c>
      <c r="DF2990" s="5" t="s">
        <v>812</v>
      </c>
      <c r="DG2990" s="7">
        <f>27</f>
        <v>27</v>
      </c>
      <c r="DI2990" s="5" t="s">
        <v>240</v>
      </c>
      <c r="DJ2990" s="5" t="s">
        <v>240</v>
      </c>
      <c r="DK2990" s="5" t="s">
        <v>240</v>
      </c>
      <c r="DL2990" s="5" t="s">
        <v>240</v>
      </c>
      <c r="DP2990" s="5" t="s">
        <v>240</v>
      </c>
      <c r="DQ2990" s="5" t="s">
        <v>240</v>
      </c>
      <c r="DR2990" s="5" t="s">
        <v>240</v>
      </c>
      <c r="DS2990" s="5" t="s">
        <v>240</v>
      </c>
      <c r="DV2990" s="5" t="s">
        <v>813</v>
      </c>
      <c r="DW2990" s="5" t="s">
        <v>1094</v>
      </c>
      <c r="HO2990" s="5" t="s">
        <v>312</v>
      </c>
    </row>
    <row r="2991" spans="1:223" x14ac:dyDescent="0.4">
      <c r="A2991" s="5">
        <v>4695</v>
      </c>
      <c r="B2991" s="5">
        <v>1</v>
      </c>
      <c r="C2991" s="5">
        <v>1</v>
      </c>
      <c r="D2991" s="5" t="s">
        <v>810</v>
      </c>
      <c r="E2991" s="5" t="s">
        <v>245</v>
      </c>
      <c r="F2991" s="5" t="s">
        <v>254</v>
      </c>
      <c r="G2991" s="5" t="s">
        <v>240</v>
      </c>
      <c r="H2991" s="6" t="s">
        <v>2559</v>
      </c>
      <c r="I2991" s="5" t="s">
        <v>809</v>
      </c>
      <c r="J2991" s="8">
        <f>232</f>
        <v>232</v>
      </c>
      <c r="K2991" s="5" t="s">
        <v>308</v>
      </c>
      <c r="L2991" s="7">
        <f>1</f>
        <v>1</v>
      </c>
      <c r="M2991" s="7">
        <f>1</f>
        <v>1</v>
      </c>
      <c r="N2991" s="5" t="s">
        <v>242</v>
      </c>
      <c r="O2991" s="5">
        <v>1</v>
      </c>
      <c r="P2991" s="5" t="s">
        <v>294</v>
      </c>
      <c r="Q2991" s="5" t="s">
        <v>266</v>
      </c>
      <c r="R2991" s="5" t="s">
        <v>240</v>
      </c>
      <c r="S2991" s="5" t="s">
        <v>240</v>
      </c>
      <c r="T2991" s="5" t="s">
        <v>296</v>
      </c>
      <c r="U2991" s="5" t="s">
        <v>244</v>
      </c>
      <c r="V2991" s="5" t="s">
        <v>240</v>
      </c>
      <c r="Y2991" s="5" t="s">
        <v>240</v>
      </c>
      <c r="Z2991" s="6" t="s">
        <v>298</v>
      </c>
      <c r="AB2991" s="6" t="s">
        <v>240</v>
      </c>
      <c r="AE2991" s="6" t="s">
        <v>299</v>
      </c>
      <c r="AF2991" s="5" t="s">
        <v>248</v>
      </c>
      <c r="AG2991" s="5" t="s">
        <v>249</v>
      </c>
      <c r="AW2991" s="5" t="s">
        <v>251</v>
      </c>
      <c r="AX2991" s="5" t="s">
        <v>240</v>
      </c>
      <c r="AY2991" s="5" t="s">
        <v>253</v>
      </c>
      <c r="AZ2991" s="5" t="s">
        <v>240</v>
      </c>
      <c r="BA2991" s="5" t="s">
        <v>255</v>
      </c>
      <c r="BB2991" s="5" t="s">
        <v>240</v>
      </c>
      <c r="BD2991" s="5" t="s">
        <v>240</v>
      </c>
      <c r="BF2991" s="5" t="s">
        <v>301</v>
      </c>
      <c r="BG2991" s="6" t="s">
        <v>299</v>
      </c>
      <c r="BH2991" s="5" t="s">
        <v>302</v>
      </c>
      <c r="BI2991" s="5" t="s">
        <v>303</v>
      </c>
      <c r="BJ2991" s="5" t="s">
        <v>240</v>
      </c>
      <c r="BK2991" s="8">
        <f>0</f>
        <v>0</v>
      </c>
      <c r="BL2991" s="7">
        <f>0</f>
        <v>0</v>
      </c>
      <c r="BM2991" s="5" t="s">
        <v>258</v>
      </c>
      <c r="BN2991" s="5" t="s">
        <v>259</v>
      </c>
      <c r="CB2991" s="5" t="s">
        <v>240</v>
      </c>
      <c r="CC2991" s="5" t="s">
        <v>240</v>
      </c>
      <c r="CG2991" s="5" t="s">
        <v>304</v>
      </c>
      <c r="CH2991" s="5" t="s">
        <v>305</v>
      </c>
      <c r="CI2991" s="5" t="s">
        <v>240</v>
      </c>
      <c r="CL2991" s="6" t="s">
        <v>261</v>
      </c>
      <c r="CM2991" s="5" t="s">
        <v>240</v>
      </c>
      <c r="CN2991" s="5" t="s">
        <v>263</v>
      </c>
      <c r="CO2991" s="5" t="s">
        <v>240</v>
      </c>
      <c r="CP2991" s="5" t="s">
        <v>240</v>
      </c>
      <c r="CQ2991" s="5">
        <v>0</v>
      </c>
      <c r="CR2991" s="5" t="s">
        <v>306</v>
      </c>
      <c r="CS2991" s="5" t="s">
        <v>307</v>
      </c>
      <c r="CT2991" s="5" t="s">
        <v>307</v>
      </c>
      <c r="CU2991" s="5" t="s">
        <v>260</v>
      </c>
      <c r="CX2991" s="7">
        <f>1</f>
        <v>1</v>
      </c>
      <c r="CY2991" s="7">
        <f>0</f>
        <v>0</v>
      </c>
      <c r="DA2991" s="7">
        <f>0</f>
        <v>0</v>
      </c>
      <c r="DC2991" s="5" t="s">
        <v>309</v>
      </c>
      <c r="DD2991" s="5" t="s">
        <v>240</v>
      </c>
      <c r="DF2991" s="5" t="s">
        <v>309</v>
      </c>
      <c r="DG2991" s="7">
        <f>472</f>
        <v>472</v>
      </c>
      <c r="DI2991" s="5" t="s">
        <v>240</v>
      </c>
      <c r="DJ2991" s="5" t="s">
        <v>240</v>
      </c>
      <c r="DK2991" s="5" t="s">
        <v>240</v>
      </c>
      <c r="DL2991" s="5" t="s">
        <v>240</v>
      </c>
      <c r="DP2991" s="5" t="s">
        <v>240</v>
      </c>
      <c r="DQ2991" s="5" t="s">
        <v>240</v>
      </c>
      <c r="DR2991" s="5" t="s">
        <v>240</v>
      </c>
      <c r="DS2991" s="5" t="s">
        <v>240</v>
      </c>
      <c r="DV2991" s="5" t="s">
        <v>310</v>
      </c>
      <c r="DW2991" s="5" t="s">
        <v>3993</v>
      </c>
      <c r="HO2991" s="5" t="s">
        <v>312</v>
      </c>
    </row>
    <row r="2992" spans="1:223" x14ac:dyDescent="0.4">
      <c r="A2992" s="5">
        <v>4696</v>
      </c>
      <c r="B2992" s="5">
        <v>1</v>
      </c>
      <c r="C2992" s="5">
        <v>1</v>
      </c>
      <c r="D2992" s="5" t="s">
        <v>810</v>
      </c>
      <c r="E2992" s="5" t="s">
        <v>245</v>
      </c>
      <c r="F2992" s="5" t="s">
        <v>254</v>
      </c>
      <c r="G2992" s="5" t="s">
        <v>240</v>
      </c>
      <c r="H2992" s="6" t="s">
        <v>2557</v>
      </c>
      <c r="I2992" s="5" t="s">
        <v>809</v>
      </c>
      <c r="J2992" s="8">
        <f>97</f>
        <v>97</v>
      </c>
      <c r="K2992" s="5" t="s">
        <v>308</v>
      </c>
      <c r="L2992" s="7">
        <f>1</f>
        <v>1</v>
      </c>
      <c r="M2992" s="7">
        <f>1</f>
        <v>1</v>
      </c>
      <c r="N2992" s="5" t="s">
        <v>242</v>
      </c>
      <c r="O2992" s="5">
        <v>1</v>
      </c>
      <c r="P2992" s="5" t="s">
        <v>294</v>
      </c>
      <c r="Q2992" s="5" t="s">
        <v>266</v>
      </c>
      <c r="R2992" s="5" t="s">
        <v>240</v>
      </c>
      <c r="S2992" s="5" t="s">
        <v>240</v>
      </c>
      <c r="T2992" s="5" t="s">
        <v>296</v>
      </c>
      <c r="U2992" s="5" t="s">
        <v>244</v>
      </c>
      <c r="V2992" s="5" t="s">
        <v>240</v>
      </c>
      <c r="Y2992" s="5" t="s">
        <v>240</v>
      </c>
      <c r="Z2992" s="6" t="s">
        <v>298</v>
      </c>
      <c r="AB2992" s="6" t="s">
        <v>240</v>
      </c>
      <c r="AE2992" s="6" t="s">
        <v>299</v>
      </c>
      <c r="AF2992" s="5" t="s">
        <v>248</v>
      </c>
      <c r="AG2992" s="5" t="s">
        <v>249</v>
      </c>
      <c r="AW2992" s="5" t="s">
        <v>251</v>
      </c>
      <c r="AX2992" s="5" t="s">
        <v>240</v>
      </c>
      <c r="AY2992" s="5" t="s">
        <v>253</v>
      </c>
      <c r="AZ2992" s="5" t="s">
        <v>240</v>
      </c>
      <c r="BA2992" s="5" t="s">
        <v>255</v>
      </c>
      <c r="BB2992" s="5" t="s">
        <v>240</v>
      </c>
      <c r="BD2992" s="5" t="s">
        <v>240</v>
      </c>
      <c r="BF2992" s="5" t="s">
        <v>301</v>
      </c>
      <c r="BG2992" s="6" t="s">
        <v>299</v>
      </c>
      <c r="BH2992" s="5" t="s">
        <v>302</v>
      </c>
      <c r="BI2992" s="5" t="s">
        <v>303</v>
      </c>
      <c r="BJ2992" s="5" t="s">
        <v>240</v>
      </c>
      <c r="BK2992" s="8">
        <f>0</f>
        <v>0</v>
      </c>
      <c r="BL2992" s="7">
        <f>0</f>
        <v>0</v>
      </c>
      <c r="BM2992" s="5" t="s">
        <v>258</v>
      </c>
      <c r="BN2992" s="5" t="s">
        <v>259</v>
      </c>
      <c r="CB2992" s="5" t="s">
        <v>240</v>
      </c>
      <c r="CC2992" s="5" t="s">
        <v>240</v>
      </c>
      <c r="CG2992" s="5" t="s">
        <v>304</v>
      </c>
      <c r="CH2992" s="5" t="s">
        <v>305</v>
      </c>
      <c r="CI2992" s="5" t="s">
        <v>240</v>
      </c>
      <c r="CL2992" s="6" t="s">
        <v>261</v>
      </c>
      <c r="CM2992" s="5" t="s">
        <v>240</v>
      </c>
      <c r="CN2992" s="5" t="s">
        <v>263</v>
      </c>
      <c r="CO2992" s="5" t="s">
        <v>240</v>
      </c>
      <c r="CP2992" s="5" t="s">
        <v>240</v>
      </c>
      <c r="CQ2992" s="5">
        <v>0</v>
      </c>
      <c r="CR2992" s="5" t="s">
        <v>306</v>
      </c>
      <c r="CS2992" s="5" t="s">
        <v>307</v>
      </c>
      <c r="CT2992" s="5" t="s">
        <v>307</v>
      </c>
      <c r="CU2992" s="5" t="s">
        <v>260</v>
      </c>
      <c r="CX2992" s="7">
        <f>1</f>
        <v>1</v>
      </c>
      <c r="CY2992" s="7">
        <f>0</f>
        <v>0</v>
      </c>
      <c r="DA2992" s="7">
        <f>0</f>
        <v>0</v>
      </c>
      <c r="DC2992" s="5" t="s">
        <v>309</v>
      </c>
      <c r="DD2992" s="5" t="s">
        <v>240</v>
      </c>
      <c r="DF2992" s="5" t="s">
        <v>309</v>
      </c>
      <c r="DG2992" s="7">
        <f>995</f>
        <v>995</v>
      </c>
      <c r="DI2992" s="5" t="s">
        <v>240</v>
      </c>
      <c r="DJ2992" s="5" t="s">
        <v>240</v>
      </c>
      <c r="DK2992" s="5" t="s">
        <v>240</v>
      </c>
      <c r="DL2992" s="5" t="s">
        <v>240</v>
      </c>
      <c r="DP2992" s="5" t="s">
        <v>240</v>
      </c>
      <c r="DQ2992" s="5" t="s">
        <v>240</v>
      </c>
      <c r="DR2992" s="5" t="s">
        <v>240</v>
      </c>
      <c r="DS2992" s="5" t="s">
        <v>240</v>
      </c>
      <c r="DV2992" s="5" t="s">
        <v>310</v>
      </c>
      <c r="DW2992" s="5" t="s">
        <v>3995</v>
      </c>
      <c r="HO2992" s="5" t="s">
        <v>312</v>
      </c>
    </row>
    <row r="2993" spans="1:223" x14ac:dyDescent="0.4">
      <c r="A2993" s="5">
        <v>4697</v>
      </c>
      <c r="B2993" s="5">
        <v>1</v>
      </c>
      <c r="C2993" s="5">
        <v>1</v>
      </c>
      <c r="D2993" s="5" t="s">
        <v>810</v>
      </c>
      <c r="E2993" s="5" t="s">
        <v>245</v>
      </c>
      <c r="F2993" s="5" t="s">
        <v>254</v>
      </c>
      <c r="G2993" s="5" t="s">
        <v>240</v>
      </c>
      <c r="H2993" s="6" t="s">
        <v>2555</v>
      </c>
      <c r="I2993" s="5" t="s">
        <v>809</v>
      </c>
      <c r="J2993" s="8">
        <f>189</f>
        <v>189</v>
      </c>
      <c r="K2993" s="5" t="s">
        <v>308</v>
      </c>
      <c r="L2993" s="7">
        <f>1</f>
        <v>1</v>
      </c>
      <c r="M2993" s="7">
        <f>1</f>
        <v>1</v>
      </c>
      <c r="N2993" s="5" t="s">
        <v>242</v>
      </c>
      <c r="O2993" s="5">
        <v>1</v>
      </c>
      <c r="P2993" s="5" t="s">
        <v>294</v>
      </c>
      <c r="Q2993" s="5" t="s">
        <v>266</v>
      </c>
      <c r="R2993" s="5" t="s">
        <v>240</v>
      </c>
      <c r="S2993" s="5" t="s">
        <v>240</v>
      </c>
      <c r="T2993" s="5" t="s">
        <v>296</v>
      </c>
      <c r="U2993" s="5" t="s">
        <v>244</v>
      </c>
      <c r="V2993" s="5" t="s">
        <v>240</v>
      </c>
      <c r="Y2993" s="5" t="s">
        <v>240</v>
      </c>
      <c r="Z2993" s="6" t="s">
        <v>298</v>
      </c>
      <c r="AB2993" s="6" t="s">
        <v>240</v>
      </c>
      <c r="AE2993" s="6" t="s">
        <v>299</v>
      </c>
      <c r="AF2993" s="5" t="s">
        <v>248</v>
      </c>
      <c r="AG2993" s="5" t="s">
        <v>249</v>
      </c>
      <c r="AW2993" s="5" t="s">
        <v>251</v>
      </c>
      <c r="AX2993" s="5" t="s">
        <v>240</v>
      </c>
      <c r="AY2993" s="5" t="s">
        <v>253</v>
      </c>
      <c r="AZ2993" s="5" t="s">
        <v>240</v>
      </c>
      <c r="BA2993" s="5" t="s">
        <v>255</v>
      </c>
      <c r="BB2993" s="5" t="s">
        <v>240</v>
      </c>
      <c r="BD2993" s="5" t="s">
        <v>240</v>
      </c>
      <c r="BF2993" s="5" t="s">
        <v>301</v>
      </c>
      <c r="BG2993" s="6" t="s">
        <v>299</v>
      </c>
      <c r="BH2993" s="5" t="s">
        <v>302</v>
      </c>
      <c r="BI2993" s="5" t="s">
        <v>303</v>
      </c>
      <c r="BJ2993" s="5" t="s">
        <v>240</v>
      </c>
      <c r="BK2993" s="8">
        <f>0</f>
        <v>0</v>
      </c>
      <c r="BL2993" s="7">
        <f>0</f>
        <v>0</v>
      </c>
      <c r="BM2993" s="5" t="s">
        <v>258</v>
      </c>
      <c r="BN2993" s="5" t="s">
        <v>259</v>
      </c>
      <c r="CB2993" s="5" t="s">
        <v>240</v>
      </c>
      <c r="CC2993" s="5" t="s">
        <v>240</v>
      </c>
      <c r="CG2993" s="5" t="s">
        <v>304</v>
      </c>
      <c r="CH2993" s="5" t="s">
        <v>305</v>
      </c>
      <c r="CI2993" s="5" t="s">
        <v>240</v>
      </c>
      <c r="CL2993" s="6" t="s">
        <v>261</v>
      </c>
      <c r="CM2993" s="5" t="s">
        <v>240</v>
      </c>
      <c r="CN2993" s="5" t="s">
        <v>263</v>
      </c>
      <c r="CO2993" s="5" t="s">
        <v>240</v>
      </c>
      <c r="CP2993" s="5" t="s">
        <v>240</v>
      </c>
      <c r="CQ2993" s="5">
        <v>0</v>
      </c>
      <c r="CR2993" s="5" t="s">
        <v>306</v>
      </c>
      <c r="CS2993" s="5" t="s">
        <v>307</v>
      </c>
      <c r="CT2993" s="5" t="s">
        <v>307</v>
      </c>
      <c r="CU2993" s="5" t="s">
        <v>260</v>
      </c>
      <c r="CX2993" s="7">
        <f>1</f>
        <v>1</v>
      </c>
      <c r="CY2993" s="7">
        <f>0</f>
        <v>0</v>
      </c>
      <c r="DA2993" s="7">
        <f>0</f>
        <v>0</v>
      </c>
      <c r="DC2993" s="5" t="s">
        <v>309</v>
      </c>
      <c r="DD2993" s="5" t="s">
        <v>240</v>
      </c>
      <c r="DF2993" s="5" t="s">
        <v>309</v>
      </c>
      <c r="DG2993" s="7">
        <f>549</f>
        <v>549</v>
      </c>
      <c r="DI2993" s="5" t="s">
        <v>240</v>
      </c>
      <c r="DJ2993" s="5" t="s">
        <v>240</v>
      </c>
      <c r="DK2993" s="5" t="s">
        <v>240</v>
      </c>
      <c r="DL2993" s="5" t="s">
        <v>240</v>
      </c>
      <c r="DP2993" s="5" t="s">
        <v>240</v>
      </c>
      <c r="DQ2993" s="5" t="s">
        <v>240</v>
      </c>
      <c r="DR2993" s="5" t="s">
        <v>240</v>
      </c>
      <c r="DS2993" s="5" t="s">
        <v>240</v>
      </c>
      <c r="DV2993" s="5" t="s">
        <v>310</v>
      </c>
      <c r="DW2993" s="5" t="s">
        <v>3997</v>
      </c>
      <c r="HO2993" s="5" t="s">
        <v>312</v>
      </c>
    </row>
    <row r="2994" spans="1:223" x14ac:dyDescent="0.4">
      <c r="A2994" s="5">
        <v>4698</v>
      </c>
      <c r="B2994" s="5">
        <v>1</v>
      </c>
      <c r="C2994" s="5">
        <v>1</v>
      </c>
      <c r="D2994" s="5" t="s">
        <v>810</v>
      </c>
      <c r="E2994" s="5" t="s">
        <v>245</v>
      </c>
      <c r="F2994" s="5" t="s">
        <v>254</v>
      </c>
      <c r="G2994" s="5" t="s">
        <v>240</v>
      </c>
      <c r="H2994" s="6" t="s">
        <v>2553</v>
      </c>
      <c r="I2994" s="5" t="s">
        <v>809</v>
      </c>
      <c r="J2994" s="8">
        <f>453</f>
        <v>453</v>
      </c>
      <c r="K2994" s="5" t="s">
        <v>308</v>
      </c>
      <c r="L2994" s="7">
        <f>1</f>
        <v>1</v>
      </c>
      <c r="M2994" s="7">
        <f>1</f>
        <v>1</v>
      </c>
      <c r="N2994" s="5" t="s">
        <v>242</v>
      </c>
      <c r="O2994" s="5">
        <v>1</v>
      </c>
      <c r="P2994" s="5" t="s">
        <v>294</v>
      </c>
      <c r="Q2994" s="5" t="s">
        <v>266</v>
      </c>
      <c r="R2994" s="5" t="s">
        <v>240</v>
      </c>
      <c r="S2994" s="5" t="s">
        <v>240</v>
      </c>
      <c r="T2994" s="5" t="s">
        <v>296</v>
      </c>
      <c r="U2994" s="5" t="s">
        <v>244</v>
      </c>
      <c r="V2994" s="5" t="s">
        <v>240</v>
      </c>
      <c r="Y2994" s="5" t="s">
        <v>240</v>
      </c>
      <c r="Z2994" s="6" t="s">
        <v>298</v>
      </c>
      <c r="AB2994" s="6" t="s">
        <v>240</v>
      </c>
      <c r="AE2994" s="6" t="s">
        <v>299</v>
      </c>
      <c r="AF2994" s="5" t="s">
        <v>248</v>
      </c>
      <c r="AG2994" s="5" t="s">
        <v>249</v>
      </c>
      <c r="AW2994" s="5" t="s">
        <v>251</v>
      </c>
      <c r="AX2994" s="5" t="s">
        <v>240</v>
      </c>
      <c r="AY2994" s="5" t="s">
        <v>253</v>
      </c>
      <c r="AZ2994" s="5" t="s">
        <v>240</v>
      </c>
      <c r="BA2994" s="5" t="s">
        <v>255</v>
      </c>
      <c r="BB2994" s="5" t="s">
        <v>240</v>
      </c>
      <c r="BD2994" s="5" t="s">
        <v>240</v>
      </c>
      <c r="BF2994" s="5" t="s">
        <v>301</v>
      </c>
      <c r="BG2994" s="6" t="s">
        <v>299</v>
      </c>
      <c r="BH2994" s="5" t="s">
        <v>302</v>
      </c>
      <c r="BI2994" s="5" t="s">
        <v>303</v>
      </c>
      <c r="BJ2994" s="5" t="s">
        <v>240</v>
      </c>
      <c r="BK2994" s="8">
        <f>0</f>
        <v>0</v>
      </c>
      <c r="BL2994" s="7">
        <f>0</f>
        <v>0</v>
      </c>
      <c r="BM2994" s="5" t="s">
        <v>258</v>
      </c>
      <c r="BN2994" s="5" t="s">
        <v>259</v>
      </c>
      <c r="CB2994" s="5" t="s">
        <v>240</v>
      </c>
      <c r="CC2994" s="5" t="s">
        <v>240</v>
      </c>
      <c r="CG2994" s="5" t="s">
        <v>304</v>
      </c>
      <c r="CH2994" s="5" t="s">
        <v>305</v>
      </c>
      <c r="CI2994" s="5" t="s">
        <v>240</v>
      </c>
      <c r="CL2994" s="6" t="s">
        <v>261</v>
      </c>
      <c r="CM2994" s="5" t="s">
        <v>240</v>
      </c>
      <c r="CN2994" s="5" t="s">
        <v>263</v>
      </c>
      <c r="CO2994" s="5" t="s">
        <v>240</v>
      </c>
      <c r="CP2994" s="5" t="s">
        <v>240</v>
      </c>
      <c r="CQ2994" s="5">
        <v>0</v>
      </c>
      <c r="CR2994" s="5" t="s">
        <v>306</v>
      </c>
      <c r="CS2994" s="5" t="s">
        <v>307</v>
      </c>
      <c r="CT2994" s="5" t="s">
        <v>307</v>
      </c>
      <c r="CU2994" s="5" t="s">
        <v>260</v>
      </c>
      <c r="CX2994" s="7">
        <f>1</f>
        <v>1</v>
      </c>
      <c r="CY2994" s="7">
        <f>0</f>
        <v>0</v>
      </c>
      <c r="DA2994" s="7">
        <f>0</f>
        <v>0</v>
      </c>
      <c r="DC2994" s="5" t="s">
        <v>309</v>
      </c>
      <c r="DD2994" s="5" t="s">
        <v>240</v>
      </c>
      <c r="DF2994" s="5" t="s">
        <v>309</v>
      </c>
      <c r="DG2994" s="7">
        <f>5151</f>
        <v>5151</v>
      </c>
      <c r="DI2994" s="5" t="s">
        <v>240</v>
      </c>
      <c r="DJ2994" s="5" t="s">
        <v>240</v>
      </c>
      <c r="DK2994" s="5" t="s">
        <v>240</v>
      </c>
      <c r="DL2994" s="5" t="s">
        <v>240</v>
      </c>
      <c r="DP2994" s="5" t="s">
        <v>240</v>
      </c>
      <c r="DQ2994" s="5" t="s">
        <v>240</v>
      </c>
      <c r="DR2994" s="5" t="s">
        <v>240</v>
      </c>
      <c r="DS2994" s="5" t="s">
        <v>240</v>
      </c>
      <c r="DV2994" s="5" t="s">
        <v>310</v>
      </c>
      <c r="DW2994" s="5" t="s">
        <v>3999</v>
      </c>
      <c r="HO2994" s="5" t="s">
        <v>312</v>
      </c>
    </row>
    <row r="2995" spans="1:223" x14ac:dyDescent="0.4">
      <c r="A2995" s="5">
        <v>4699</v>
      </c>
      <c r="B2995" s="5">
        <v>1</v>
      </c>
      <c r="C2995" s="5">
        <v>1</v>
      </c>
      <c r="D2995" s="5" t="s">
        <v>810</v>
      </c>
      <c r="E2995" s="5" t="s">
        <v>245</v>
      </c>
      <c r="F2995" s="5" t="s">
        <v>254</v>
      </c>
      <c r="G2995" s="5" t="s">
        <v>240</v>
      </c>
      <c r="H2995" s="6" t="s">
        <v>2551</v>
      </c>
      <c r="I2995" s="5" t="s">
        <v>809</v>
      </c>
      <c r="J2995" s="8">
        <f>983</f>
        <v>983</v>
      </c>
      <c r="K2995" s="5" t="s">
        <v>308</v>
      </c>
      <c r="L2995" s="7">
        <f>1</f>
        <v>1</v>
      </c>
      <c r="M2995" s="7">
        <f>1</f>
        <v>1</v>
      </c>
      <c r="N2995" s="5" t="s">
        <v>242</v>
      </c>
      <c r="O2995" s="5">
        <v>1</v>
      </c>
      <c r="P2995" s="5" t="s">
        <v>294</v>
      </c>
      <c r="Q2995" s="5" t="s">
        <v>266</v>
      </c>
      <c r="R2995" s="5" t="s">
        <v>240</v>
      </c>
      <c r="S2995" s="5" t="s">
        <v>240</v>
      </c>
      <c r="T2995" s="5" t="s">
        <v>296</v>
      </c>
      <c r="U2995" s="5" t="s">
        <v>244</v>
      </c>
      <c r="V2995" s="5" t="s">
        <v>240</v>
      </c>
      <c r="Y2995" s="5" t="s">
        <v>240</v>
      </c>
      <c r="Z2995" s="6" t="s">
        <v>298</v>
      </c>
      <c r="AB2995" s="6" t="s">
        <v>240</v>
      </c>
      <c r="AE2995" s="6" t="s">
        <v>299</v>
      </c>
      <c r="AF2995" s="5" t="s">
        <v>248</v>
      </c>
      <c r="AG2995" s="5" t="s">
        <v>249</v>
      </c>
      <c r="AW2995" s="5" t="s">
        <v>251</v>
      </c>
      <c r="AX2995" s="5" t="s">
        <v>240</v>
      </c>
      <c r="AY2995" s="5" t="s">
        <v>253</v>
      </c>
      <c r="AZ2995" s="5" t="s">
        <v>240</v>
      </c>
      <c r="BA2995" s="5" t="s">
        <v>255</v>
      </c>
      <c r="BB2995" s="5" t="s">
        <v>240</v>
      </c>
      <c r="BD2995" s="5" t="s">
        <v>240</v>
      </c>
      <c r="BF2995" s="5" t="s">
        <v>301</v>
      </c>
      <c r="BG2995" s="6" t="s">
        <v>299</v>
      </c>
      <c r="BH2995" s="5" t="s">
        <v>302</v>
      </c>
      <c r="BI2995" s="5" t="s">
        <v>303</v>
      </c>
      <c r="BJ2995" s="5" t="s">
        <v>240</v>
      </c>
      <c r="BK2995" s="8">
        <f>0</f>
        <v>0</v>
      </c>
      <c r="BL2995" s="7">
        <f>0</f>
        <v>0</v>
      </c>
      <c r="BM2995" s="5" t="s">
        <v>258</v>
      </c>
      <c r="BN2995" s="5" t="s">
        <v>259</v>
      </c>
      <c r="CB2995" s="5" t="s">
        <v>240</v>
      </c>
      <c r="CC2995" s="5" t="s">
        <v>240</v>
      </c>
      <c r="CG2995" s="5" t="s">
        <v>304</v>
      </c>
      <c r="CH2995" s="5" t="s">
        <v>305</v>
      </c>
      <c r="CI2995" s="5" t="s">
        <v>240</v>
      </c>
      <c r="CL2995" s="6" t="s">
        <v>261</v>
      </c>
      <c r="CM2995" s="5" t="s">
        <v>240</v>
      </c>
      <c r="CN2995" s="5" t="s">
        <v>263</v>
      </c>
      <c r="CO2995" s="5" t="s">
        <v>240</v>
      </c>
      <c r="CP2995" s="5" t="s">
        <v>240</v>
      </c>
      <c r="CQ2995" s="5">
        <v>0</v>
      </c>
      <c r="CR2995" s="5" t="s">
        <v>306</v>
      </c>
      <c r="CS2995" s="5" t="s">
        <v>307</v>
      </c>
      <c r="CT2995" s="5" t="s">
        <v>307</v>
      </c>
      <c r="CU2995" s="5" t="s">
        <v>260</v>
      </c>
      <c r="CX2995" s="7">
        <f>1</f>
        <v>1</v>
      </c>
      <c r="CY2995" s="7">
        <f>0</f>
        <v>0</v>
      </c>
      <c r="DA2995" s="7">
        <f>0</f>
        <v>0</v>
      </c>
      <c r="DC2995" s="5" t="s">
        <v>309</v>
      </c>
      <c r="DD2995" s="5" t="s">
        <v>240</v>
      </c>
      <c r="DF2995" s="5" t="s">
        <v>309</v>
      </c>
      <c r="DG2995" s="7">
        <f>730</f>
        <v>730</v>
      </c>
      <c r="DI2995" s="5" t="s">
        <v>240</v>
      </c>
      <c r="DJ2995" s="5" t="s">
        <v>240</v>
      </c>
      <c r="DK2995" s="5" t="s">
        <v>240</v>
      </c>
      <c r="DL2995" s="5" t="s">
        <v>240</v>
      </c>
      <c r="DP2995" s="5" t="s">
        <v>240</v>
      </c>
      <c r="DQ2995" s="5" t="s">
        <v>240</v>
      </c>
      <c r="DR2995" s="5" t="s">
        <v>240</v>
      </c>
      <c r="DS2995" s="5" t="s">
        <v>240</v>
      </c>
      <c r="DV2995" s="5" t="s">
        <v>310</v>
      </c>
      <c r="DW2995" s="5" t="s">
        <v>4001</v>
      </c>
      <c r="HO2995" s="5" t="s">
        <v>312</v>
      </c>
    </row>
    <row r="2996" spans="1:223" x14ac:dyDescent="0.4">
      <c r="A2996" s="5">
        <v>4700</v>
      </c>
      <c r="B2996" s="5">
        <v>1</v>
      </c>
      <c r="C2996" s="5">
        <v>1</v>
      </c>
      <c r="D2996" s="5" t="s">
        <v>810</v>
      </c>
      <c r="E2996" s="5" t="s">
        <v>245</v>
      </c>
      <c r="F2996" s="5" t="s">
        <v>254</v>
      </c>
      <c r="G2996" s="5" t="s">
        <v>240</v>
      </c>
      <c r="H2996" s="6" t="s">
        <v>2549</v>
      </c>
      <c r="I2996" s="5" t="s">
        <v>809</v>
      </c>
      <c r="J2996" s="8">
        <f>957</f>
        <v>957</v>
      </c>
      <c r="K2996" s="5" t="s">
        <v>308</v>
      </c>
      <c r="L2996" s="7">
        <f>1</f>
        <v>1</v>
      </c>
      <c r="M2996" s="7">
        <f>1</f>
        <v>1</v>
      </c>
      <c r="N2996" s="5" t="s">
        <v>242</v>
      </c>
      <c r="O2996" s="5">
        <v>1</v>
      </c>
      <c r="P2996" s="5" t="s">
        <v>294</v>
      </c>
      <c r="Q2996" s="5" t="s">
        <v>266</v>
      </c>
      <c r="R2996" s="5" t="s">
        <v>240</v>
      </c>
      <c r="S2996" s="5" t="s">
        <v>240</v>
      </c>
      <c r="T2996" s="5" t="s">
        <v>296</v>
      </c>
      <c r="U2996" s="5" t="s">
        <v>244</v>
      </c>
      <c r="V2996" s="5" t="s">
        <v>240</v>
      </c>
      <c r="Y2996" s="5" t="s">
        <v>240</v>
      </c>
      <c r="Z2996" s="6" t="s">
        <v>298</v>
      </c>
      <c r="AB2996" s="6" t="s">
        <v>240</v>
      </c>
      <c r="AE2996" s="6" t="s">
        <v>299</v>
      </c>
      <c r="AF2996" s="5" t="s">
        <v>248</v>
      </c>
      <c r="AG2996" s="5" t="s">
        <v>249</v>
      </c>
      <c r="AW2996" s="5" t="s">
        <v>251</v>
      </c>
      <c r="AX2996" s="5" t="s">
        <v>240</v>
      </c>
      <c r="AY2996" s="5" t="s">
        <v>253</v>
      </c>
      <c r="AZ2996" s="5" t="s">
        <v>240</v>
      </c>
      <c r="BA2996" s="5" t="s">
        <v>255</v>
      </c>
      <c r="BB2996" s="5" t="s">
        <v>240</v>
      </c>
      <c r="BD2996" s="5" t="s">
        <v>240</v>
      </c>
      <c r="BF2996" s="5" t="s">
        <v>301</v>
      </c>
      <c r="BG2996" s="6" t="s">
        <v>299</v>
      </c>
      <c r="BH2996" s="5" t="s">
        <v>302</v>
      </c>
      <c r="BI2996" s="5" t="s">
        <v>303</v>
      </c>
      <c r="BJ2996" s="5" t="s">
        <v>240</v>
      </c>
      <c r="BK2996" s="8">
        <f>0</f>
        <v>0</v>
      </c>
      <c r="BL2996" s="7">
        <f>0</f>
        <v>0</v>
      </c>
      <c r="BM2996" s="5" t="s">
        <v>258</v>
      </c>
      <c r="BN2996" s="5" t="s">
        <v>259</v>
      </c>
      <c r="CB2996" s="5" t="s">
        <v>240</v>
      </c>
      <c r="CC2996" s="5" t="s">
        <v>240</v>
      </c>
      <c r="CG2996" s="5" t="s">
        <v>304</v>
      </c>
      <c r="CH2996" s="5" t="s">
        <v>305</v>
      </c>
      <c r="CI2996" s="5" t="s">
        <v>240</v>
      </c>
      <c r="CL2996" s="6" t="s">
        <v>261</v>
      </c>
      <c r="CM2996" s="5" t="s">
        <v>240</v>
      </c>
      <c r="CN2996" s="5" t="s">
        <v>263</v>
      </c>
      <c r="CO2996" s="5" t="s">
        <v>240</v>
      </c>
      <c r="CP2996" s="5" t="s">
        <v>240</v>
      </c>
      <c r="CQ2996" s="5">
        <v>0</v>
      </c>
      <c r="CR2996" s="5" t="s">
        <v>306</v>
      </c>
      <c r="CS2996" s="5" t="s">
        <v>307</v>
      </c>
      <c r="CT2996" s="5" t="s">
        <v>307</v>
      </c>
      <c r="CU2996" s="5" t="s">
        <v>260</v>
      </c>
      <c r="CX2996" s="7">
        <f>1</f>
        <v>1</v>
      </c>
      <c r="CY2996" s="7">
        <f>0</f>
        <v>0</v>
      </c>
      <c r="DA2996" s="7">
        <f>0</f>
        <v>0</v>
      </c>
      <c r="DC2996" s="5" t="s">
        <v>309</v>
      </c>
      <c r="DD2996" s="5" t="s">
        <v>240</v>
      </c>
      <c r="DF2996" s="5" t="s">
        <v>309</v>
      </c>
      <c r="DG2996" s="7">
        <f>583</f>
        <v>583</v>
      </c>
      <c r="DI2996" s="5" t="s">
        <v>240</v>
      </c>
      <c r="DJ2996" s="5" t="s">
        <v>240</v>
      </c>
      <c r="DK2996" s="5" t="s">
        <v>240</v>
      </c>
      <c r="DL2996" s="5" t="s">
        <v>240</v>
      </c>
      <c r="DP2996" s="5" t="s">
        <v>240</v>
      </c>
      <c r="DQ2996" s="5" t="s">
        <v>240</v>
      </c>
      <c r="DR2996" s="5" t="s">
        <v>240</v>
      </c>
      <c r="DS2996" s="5" t="s">
        <v>240</v>
      </c>
      <c r="DV2996" s="5" t="s">
        <v>310</v>
      </c>
      <c r="DW2996" s="5" t="s">
        <v>4003</v>
      </c>
      <c r="HO2996" s="5" t="s">
        <v>312</v>
      </c>
    </row>
    <row r="2997" spans="1:223" x14ac:dyDescent="0.4">
      <c r="A2997" s="5">
        <v>4701</v>
      </c>
      <c r="B2997" s="5">
        <v>1</v>
      </c>
      <c r="C2997" s="5">
        <v>1</v>
      </c>
      <c r="D2997" s="5" t="s">
        <v>810</v>
      </c>
      <c r="E2997" s="5" t="s">
        <v>245</v>
      </c>
      <c r="F2997" s="5" t="s">
        <v>254</v>
      </c>
      <c r="G2997" s="5" t="s">
        <v>240</v>
      </c>
      <c r="H2997" s="6" t="s">
        <v>2547</v>
      </c>
      <c r="I2997" s="5" t="s">
        <v>809</v>
      </c>
      <c r="J2997" s="8">
        <f>422</f>
        <v>422</v>
      </c>
      <c r="K2997" s="5" t="s">
        <v>308</v>
      </c>
      <c r="L2997" s="7">
        <f>1</f>
        <v>1</v>
      </c>
      <c r="M2997" s="7">
        <f>1</f>
        <v>1</v>
      </c>
      <c r="N2997" s="5" t="s">
        <v>242</v>
      </c>
      <c r="O2997" s="5">
        <v>1</v>
      </c>
      <c r="P2997" s="5" t="s">
        <v>294</v>
      </c>
      <c r="Q2997" s="5" t="s">
        <v>266</v>
      </c>
      <c r="R2997" s="5" t="s">
        <v>240</v>
      </c>
      <c r="S2997" s="5" t="s">
        <v>240</v>
      </c>
      <c r="T2997" s="5" t="s">
        <v>296</v>
      </c>
      <c r="U2997" s="5" t="s">
        <v>244</v>
      </c>
      <c r="V2997" s="5" t="s">
        <v>240</v>
      </c>
      <c r="Y2997" s="5" t="s">
        <v>240</v>
      </c>
      <c r="Z2997" s="6" t="s">
        <v>298</v>
      </c>
      <c r="AB2997" s="6" t="s">
        <v>240</v>
      </c>
      <c r="AE2997" s="6" t="s">
        <v>299</v>
      </c>
      <c r="AF2997" s="5" t="s">
        <v>248</v>
      </c>
      <c r="AG2997" s="5" t="s">
        <v>249</v>
      </c>
      <c r="AW2997" s="5" t="s">
        <v>251</v>
      </c>
      <c r="AX2997" s="5" t="s">
        <v>240</v>
      </c>
      <c r="AY2997" s="5" t="s">
        <v>253</v>
      </c>
      <c r="AZ2997" s="5" t="s">
        <v>240</v>
      </c>
      <c r="BA2997" s="5" t="s">
        <v>255</v>
      </c>
      <c r="BB2997" s="5" t="s">
        <v>240</v>
      </c>
      <c r="BD2997" s="5" t="s">
        <v>240</v>
      </c>
      <c r="BF2997" s="5" t="s">
        <v>301</v>
      </c>
      <c r="BG2997" s="6" t="s">
        <v>299</v>
      </c>
      <c r="BH2997" s="5" t="s">
        <v>302</v>
      </c>
      <c r="BI2997" s="5" t="s">
        <v>303</v>
      </c>
      <c r="BJ2997" s="5" t="s">
        <v>240</v>
      </c>
      <c r="BK2997" s="8">
        <f>0</f>
        <v>0</v>
      </c>
      <c r="BL2997" s="7">
        <f>0</f>
        <v>0</v>
      </c>
      <c r="BM2997" s="5" t="s">
        <v>258</v>
      </c>
      <c r="BN2997" s="5" t="s">
        <v>259</v>
      </c>
      <c r="CB2997" s="5" t="s">
        <v>240</v>
      </c>
      <c r="CC2997" s="5" t="s">
        <v>240</v>
      </c>
      <c r="CG2997" s="5" t="s">
        <v>304</v>
      </c>
      <c r="CH2997" s="5" t="s">
        <v>305</v>
      </c>
      <c r="CI2997" s="5" t="s">
        <v>240</v>
      </c>
      <c r="CL2997" s="6" t="s">
        <v>261</v>
      </c>
      <c r="CM2997" s="5" t="s">
        <v>240</v>
      </c>
      <c r="CN2997" s="5" t="s">
        <v>263</v>
      </c>
      <c r="CO2997" s="5" t="s">
        <v>240</v>
      </c>
      <c r="CP2997" s="5" t="s">
        <v>240</v>
      </c>
      <c r="CQ2997" s="5">
        <v>0</v>
      </c>
      <c r="CR2997" s="5" t="s">
        <v>306</v>
      </c>
      <c r="CS2997" s="5" t="s">
        <v>307</v>
      </c>
      <c r="CT2997" s="5" t="s">
        <v>307</v>
      </c>
      <c r="CU2997" s="5" t="s">
        <v>260</v>
      </c>
      <c r="CX2997" s="7">
        <f>1</f>
        <v>1</v>
      </c>
      <c r="CY2997" s="7">
        <f>0</f>
        <v>0</v>
      </c>
      <c r="DA2997" s="7">
        <f>0</f>
        <v>0</v>
      </c>
      <c r="DC2997" s="5" t="s">
        <v>309</v>
      </c>
      <c r="DD2997" s="5" t="s">
        <v>240</v>
      </c>
      <c r="DF2997" s="5" t="s">
        <v>309</v>
      </c>
      <c r="DG2997" s="7">
        <f>43</f>
        <v>43</v>
      </c>
      <c r="DI2997" s="5" t="s">
        <v>240</v>
      </c>
      <c r="DJ2997" s="5" t="s">
        <v>240</v>
      </c>
      <c r="DK2997" s="5" t="s">
        <v>240</v>
      </c>
      <c r="DL2997" s="5" t="s">
        <v>240</v>
      </c>
      <c r="DP2997" s="5" t="s">
        <v>240</v>
      </c>
      <c r="DQ2997" s="5" t="s">
        <v>240</v>
      </c>
      <c r="DR2997" s="5" t="s">
        <v>240</v>
      </c>
      <c r="DS2997" s="5" t="s">
        <v>240</v>
      </c>
      <c r="DV2997" s="5" t="s">
        <v>310</v>
      </c>
      <c r="DW2997" s="5" t="s">
        <v>4005</v>
      </c>
      <c r="HO2997" s="5" t="s">
        <v>312</v>
      </c>
    </row>
    <row r="2998" spans="1:223" x14ac:dyDescent="0.4">
      <c r="A2998" s="5">
        <v>4702</v>
      </c>
      <c r="B2998" s="5">
        <v>1</v>
      </c>
      <c r="C2998" s="5">
        <v>1</v>
      </c>
      <c r="D2998" s="5" t="s">
        <v>810</v>
      </c>
      <c r="E2998" s="5" t="s">
        <v>245</v>
      </c>
      <c r="F2998" s="5" t="s">
        <v>254</v>
      </c>
      <c r="G2998" s="5" t="s">
        <v>240</v>
      </c>
      <c r="H2998" s="6" t="s">
        <v>2545</v>
      </c>
      <c r="I2998" s="5" t="s">
        <v>809</v>
      </c>
      <c r="J2998" s="8">
        <f>316</f>
        <v>316</v>
      </c>
      <c r="K2998" s="5" t="s">
        <v>308</v>
      </c>
      <c r="L2998" s="7">
        <f>1</f>
        <v>1</v>
      </c>
      <c r="M2998" s="7">
        <f>1</f>
        <v>1</v>
      </c>
      <c r="N2998" s="5" t="s">
        <v>242</v>
      </c>
      <c r="O2998" s="5">
        <v>1</v>
      </c>
      <c r="P2998" s="5" t="s">
        <v>294</v>
      </c>
      <c r="Q2998" s="5" t="s">
        <v>266</v>
      </c>
      <c r="R2998" s="5" t="s">
        <v>240</v>
      </c>
      <c r="S2998" s="5" t="s">
        <v>240</v>
      </c>
      <c r="T2998" s="5" t="s">
        <v>296</v>
      </c>
      <c r="U2998" s="5" t="s">
        <v>244</v>
      </c>
      <c r="V2998" s="5" t="s">
        <v>240</v>
      </c>
      <c r="Y2998" s="5" t="s">
        <v>240</v>
      </c>
      <c r="Z2998" s="6" t="s">
        <v>298</v>
      </c>
      <c r="AB2998" s="6" t="s">
        <v>240</v>
      </c>
      <c r="AE2998" s="6" t="s">
        <v>299</v>
      </c>
      <c r="AF2998" s="5" t="s">
        <v>248</v>
      </c>
      <c r="AG2998" s="5" t="s">
        <v>249</v>
      </c>
      <c r="AW2998" s="5" t="s">
        <v>251</v>
      </c>
      <c r="AX2998" s="5" t="s">
        <v>240</v>
      </c>
      <c r="AY2998" s="5" t="s">
        <v>253</v>
      </c>
      <c r="AZ2998" s="5" t="s">
        <v>240</v>
      </c>
      <c r="BA2998" s="5" t="s">
        <v>255</v>
      </c>
      <c r="BB2998" s="5" t="s">
        <v>240</v>
      </c>
      <c r="BD2998" s="5" t="s">
        <v>240</v>
      </c>
      <c r="BF2998" s="5" t="s">
        <v>301</v>
      </c>
      <c r="BG2998" s="6" t="s">
        <v>299</v>
      </c>
      <c r="BH2998" s="5" t="s">
        <v>302</v>
      </c>
      <c r="BI2998" s="5" t="s">
        <v>303</v>
      </c>
      <c r="BJ2998" s="5" t="s">
        <v>240</v>
      </c>
      <c r="BK2998" s="8">
        <f>0</f>
        <v>0</v>
      </c>
      <c r="BL2998" s="7">
        <f>0</f>
        <v>0</v>
      </c>
      <c r="BM2998" s="5" t="s">
        <v>258</v>
      </c>
      <c r="BN2998" s="5" t="s">
        <v>259</v>
      </c>
      <c r="CB2998" s="5" t="s">
        <v>240</v>
      </c>
      <c r="CC2998" s="5" t="s">
        <v>240</v>
      </c>
      <c r="CG2998" s="5" t="s">
        <v>304</v>
      </c>
      <c r="CH2998" s="5" t="s">
        <v>305</v>
      </c>
      <c r="CI2998" s="5" t="s">
        <v>240</v>
      </c>
      <c r="CL2998" s="6" t="s">
        <v>261</v>
      </c>
      <c r="CM2998" s="5" t="s">
        <v>240</v>
      </c>
      <c r="CN2998" s="5" t="s">
        <v>263</v>
      </c>
      <c r="CO2998" s="5" t="s">
        <v>240</v>
      </c>
      <c r="CP2998" s="5" t="s">
        <v>240</v>
      </c>
      <c r="CQ2998" s="5">
        <v>0</v>
      </c>
      <c r="CR2998" s="5" t="s">
        <v>306</v>
      </c>
      <c r="CS2998" s="5" t="s">
        <v>307</v>
      </c>
      <c r="CT2998" s="5" t="s">
        <v>307</v>
      </c>
      <c r="CU2998" s="5" t="s">
        <v>260</v>
      </c>
      <c r="CX2998" s="7">
        <f>1</f>
        <v>1</v>
      </c>
      <c r="CY2998" s="7">
        <f>0</f>
        <v>0</v>
      </c>
      <c r="DA2998" s="7">
        <f>0</f>
        <v>0</v>
      </c>
      <c r="DC2998" s="5" t="s">
        <v>812</v>
      </c>
      <c r="DD2998" s="5" t="s">
        <v>240</v>
      </c>
      <c r="DF2998" s="5" t="s">
        <v>812</v>
      </c>
      <c r="DG2998" s="7">
        <f>300</f>
        <v>300</v>
      </c>
      <c r="DI2998" s="5" t="s">
        <v>240</v>
      </c>
      <c r="DJ2998" s="5" t="s">
        <v>240</v>
      </c>
      <c r="DK2998" s="5" t="s">
        <v>240</v>
      </c>
      <c r="DL2998" s="5" t="s">
        <v>240</v>
      </c>
      <c r="DP2998" s="5" t="s">
        <v>240</v>
      </c>
      <c r="DQ2998" s="5" t="s">
        <v>240</v>
      </c>
      <c r="DR2998" s="5" t="s">
        <v>240</v>
      </c>
      <c r="DS2998" s="5" t="s">
        <v>240</v>
      </c>
      <c r="DV2998" s="5" t="s">
        <v>813</v>
      </c>
      <c r="DW2998" s="5" t="s">
        <v>1062</v>
      </c>
      <c r="HO2998" s="5" t="s">
        <v>312</v>
      </c>
    </row>
    <row r="2999" spans="1:223" x14ac:dyDescent="0.4">
      <c r="A2999" s="5">
        <v>4703</v>
      </c>
      <c r="B2999" s="5">
        <v>1</v>
      </c>
      <c r="C2999" s="5">
        <v>1</v>
      </c>
      <c r="D2999" s="5" t="s">
        <v>810</v>
      </c>
      <c r="E2999" s="5" t="s">
        <v>245</v>
      </c>
      <c r="F2999" s="5" t="s">
        <v>254</v>
      </c>
      <c r="G2999" s="5" t="s">
        <v>240</v>
      </c>
      <c r="H2999" s="6" t="s">
        <v>2543</v>
      </c>
      <c r="I2999" s="5" t="s">
        <v>809</v>
      </c>
      <c r="J2999" s="8">
        <f>718</f>
        <v>718</v>
      </c>
      <c r="K2999" s="5" t="s">
        <v>308</v>
      </c>
      <c r="L2999" s="7">
        <f>1</f>
        <v>1</v>
      </c>
      <c r="M2999" s="7">
        <f>1</f>
        <v>1</v>
      </c>
      <c r="N2999" s="5" t="s">
        <v>242</v>
      </c>
      <c r="O2999" s="5">
        <v>1</v>
      </c>
      <c r="P2999" s="5" t="s">
        <v>294</v>
      </c>
      <c r="Q2999" s="5" t="s">
        <v>266</v>
      </c>
      <c r="R2999" s="5" t="s">
        <v>240</v>
      </c>
      <c r="S2999" s="5" t="s">
        <v>240</v>
      </c>
      <c r="T2999" s="5" t="s">
        <v>296</v>
      </c>
      <c r="U2999" s="5" t="s">
        <v>244</v>
      </c>
      <c r="V2999" s="5" t="s">
        <v>240</v>
      </c>
      <c r="Y2999" s="5" t="s">
        <v>240</v>
      </c>
      <c r="Z2999" s="6" t="s">
        <v>298</v>
      </c>
      <c r="AB2999" s="6" t="s">
        <v>240</v>
      </c>
      <c r="AE2999" s="6" t="s">
        <v>299</v>
      </c>
      <c r="AF2999" s="5" t="s">
        <v>248</v>
      </c>
      <c r="AG2999" s="5" t="s">
        <v>249</v>
      </c>
      <c r="AW2999" s="5" t="s">
        <v>251</v>
      </c>
      <c r="AX2999" s="5" t="s">
        <v>240</v>
      </c>
      <c r="AY2999" s="5" t="s">
        <v>253</v>
      </c>
      <c r="AZ2999" s="5" t="s">
        <v>240</v>
      </c>
      <c r="BA2999" s="5" t="s">
        <v>255</v>
      </c>
      <c r="BB2999" s="5" t="s">
        <v>240</v>
      </c>
      <c r="BD2999" s="5" t="s">
        <v>240</v>
      </c>
      <c r="BF2999" s="5" t="s">
        <v>301</v>
      </c>
      <c r="BG2999" s="6" t="s">
        <v>299</v>
      </c>
      <c r="BH2999" s="5" t="s">
        <v>302</v>
      </c>
      <c r="BI2999" s="5" t="s">
        <v>303</v>
      </c>
      <c r="BJ2999" s="5" t="s">
        <v>240</v>
      </c>
      <c r="BK2999" s="8">
        <f>0</f>
        <v>0</v>
      </c>
      <c r="BL2999" s="7">
        <f>0</f>
        <v>0</v>
      </c>
      <c r="BM2999" s="5" t="s">
        <v>258</v>
      </c>
      <c r="BN2999" s="5" t="s">
        <v>259</v>
      </c>
      <c r="CB2999" s="5" t="s">
        <v>240</v>
      </c>
      <c r="CC2999" s="5" t="s">
        <v>240</v>
      </c>
      <c r="CG2999" s="5" t="s">
        <v>304</v>
      </c>
      <c r="CH2999" s="5" t="s">
        <v>305</v>
      </c>
      <c r="CI2999" s="5" t="s">
        <v>240</v>
      </c>
      <c r="CL2999" s="6" t="s">
        <v>261</v>
      </c>
      <c r="CM2999" s="5" t="s">
        <v>240</v>
      </c>
      <c r="CN2999" s="5" t="s">
        <v>263</v>
      </c>
      <c r="CO2999" s="5" t="s">
        <v>240</v>
      </c>
      <c r="CP2999" s="5" t="s">
        <v>240</v>
      </c>
      <c r="CQ2999" s="5">
        <v>0</v>
      </c>
      <c r="CR2999" s="5" t="s">
        <v>306</v>
      </c>
      <c r="CS2999" s="5" t="s">
        <v>307</v>
      </c>
      <c r="CT2999" s="5" t="s">
        <v>307</v>
      </c>
      <c r="CU2999" s="5" t="s">
        <v>260</v>
      </c>
      <c r="CX2999" s="7">
        <f>1</f>
        <v>1</v>
      </c>
      <c r="CY2999" s="7">
        <f>0</f>
        <v>0</v>
      </c>
      <c r="DA2999" s="7">
        <f>0</f>
        <v>0</v>
      </c>
      <c r="DC2999" s="5" t="s">
        <v>309</v>
      </c>
      <c r="DD2999" s="5" t="s">
        <v>240</v>
      </c>
      <c r="DF2999" s="5" t="s">
        <v>309</v>
      </c>
      <c r="DG2999" s="7">
        <f>455</f>
        <v>455</v>
      </c>
      <c r="DI2999" s="5" t="s">
        <v>240</v>
      </c>
      <c r="DJ2999" s="5" t="s">
        <v>240</v>
      </c>
      <c r="DK2999" s="5" t="s">
        <v>240</v>
      </c>
      <c r="DL2999" s="5" t="s">
        <v>240</v>
      </c>
      <c r="DP2999" s="5" t="s">
        <v>240</v>
      </c>
      <c r="DQ2999" s="5" t="s">
        <v>240</v>
      </c>
      <c r="DR2999" s="5" t="s">
        <v>240</v>
      </c>
      <c r="DS2999" s="5" t="s">
        <v>240</v>
      </c>
      <c r="DV2999" s="5" t="s">
        <v>310</v>
      </c>
      <c r="DW2999" s="5" t="s">
        <v>4009</v>
      </c>
      <c r="HO2999" s="5" t="s">
        <v>312</v>
      </c>
    </row>
    <row r="3000" spans="1:223" x14ac:dyDescent="0.4">
      <c r="A3000" s="5">
        <v>4704</v>
      </c>
      <c r="B3000" s="5">
        <v>1</v>
      </c>
      <c r="C3000" s="5">
        <v>1</v>
      </c>
      <c r="D3000" s="5" t="s">
        <v>810</v>
      </c>
      <c r="E3000" s="5" t="s">
        <v>245</v>
      </c>
      <c r="F3000" s="5" t="s">
        <v>254</v>
      </c>
      <c r="G3000" s="5" t="s">
        <v>240</v>
      </c>
      <c r="H3000" s="6" t="s">
        <v>2541</v>
      </c>
      <c r="I3000" s="5" t="s">
        <v>809</v>
      </c>
      <c r="J3000" s="8">
        <f>1021</f>
        <v>1021</v>
      </c>
      <c r="K3000" s="5" t="s">
        <v>308</v>
      </c>
      <c r="L3000" s="7">
        <f>1</f>
        <v>1</v>
      </c>
      <c r="M3000" s="7">
        <f>1</f>
        <v>1</v>
      </c>
      <c r="N3000" s="5" t="s">
        <v>242</v>
      </c>
      <c r="O3000" s="5">
        <v>1</v>
      </c>
      <c r="P3000" s="5" t="s">
        <v>294</v>
      </c>
      <c r="Q3000" s="5" t="s">
        <v>266</v>
      </c>
      <c r="R3000" s="5" t="s">
        <v>240</v>
      </c>
      <c r="S3000" s="5" t="s">
        <v>240</v>
      </c>
      <c r="T3000" s="5" t="s">
        <v>296</v>
      </c>
      <c r="U3000" s="5" t="s">
        <v>244</v>
      </c>
      <c r="V3000" s="5" t="s">
        <v>240</v>
      </c>
      <c r="Y3000" s="5" t="s">
        <v>240</v>
      </c>
      <c r="Z3000" s="6" t="s">
        <v>298</v>
      </c>
      <c r="AB3000" s="6" t="s">
        <v>240</v>
      </c>
      <c r="AE3000" s="6" t="s">
        <v>299</v>
      </c>
      <c r="AF3000" s="5" t="s">
        <v>248</v>
      </c>
      <c r="AG3000" s="5" t="s">
        <v>249</v>
      </c>
      <c r="AW3000" s="5" t="s">
        <v>251</v>
      </c>
      <c r="AX3000" s="5" t="s">
        <v>240</v>
      </c>
      <c r="AY3000" s="5" t="s">
        <v>253</v>
      </c>
      <c r="AZ3000" s="5" t="s">
        <v>240</v>
      </c>
      <c r="BA3000" s="5" t="s">
        <v>255</v>
      </c>
      <c r="BB3000" s="5" t="s">
        <v>240</v>
      </c>
      <c r="BD3000" s="5" t="s">
        <v>240</v>
      </c>
      <c r="BF3000" s="5" t="s">
        <v>301</v>
      </c>
      <c r="BG3000" s="6" t="s">
        <v>299</v>
      </c>
      <c r="BH3000" s="5" t="s">
        <v>302</v>
      </c>
      <c r="BI3000" s="5" t="s">
        <v>303</v>
      </c>
      <c r="BJ3000" s="5" t="s">
        <v>240</v>
      </c>
      <c r="BK3000" s="8">
        <f>0</f>
        <v>0</v>
      </c>
      <c r="BL3000" s="7">
        <f>0</f>
        <v>0</v>
      </c>
      <c r="BM3000" s="5" t="s">
        <v>258</v>
      </c>
      <c r="BN3000" s="5" t="s">
        <v>259</v>
      </c>
      <c r="CB3000" s="5" t="s">
        <v>240</v>
      </c>
      <c r="CC3000" s="5" t="s">
        <v>240</v>
      </c>
      <c r="CG3000" s="5" t="s">
        <v>304</v>
      </c>
      <c r="CH3000" s="5" t="s">
        <v>305</v>
      </c>
      <c r="CI3000" s="5" t="s">
        <v>240</v>
      </c>
      <c r="CL3000" s="6" t="s">
        <v>261</v>
      </c>
      <c r="CM3000" s="5" t="s">
        <v>240</v>
      </c>
      <c r="CN3000" s="5" t="s">
        <v>263</v>
      </c>
      <c r="CO3000" s="5" t="s">
        <v>240</v>
      </c>
      <c r="CP3000" s="5" t="s">
        <v>240</v>
      </c>
      <c r="CQ3000" s="5">
        <v>0</v>
      </c>
      <c r="CR3000" s="5" t="s">
        <v>306</v>
      </c>
      <c r="CS3000" s="5" t="s">
        <v>307</v>
      </c>
      <c r="CT3000" s="5" t="s">
        <v>307</v>
      </c>
      <c r="CU3000" s="5" t="s">
        <v>260</v>
      </c>
      <c r="CX3000" s="7">
        <f>1</f>
        <v>1</v>
      </c>
      <c r="CY3000" s="7">
        <f>0</f>
        <v>0</v>
      </c>
      <c r="DA3000" s="7">
        <f>0</f>
        <v>0</v>
      </c>
      <c r="DC3000" s="5" t="s">
        <v>309</v>
      </c>
      <c r="DD3000" s="5" t="s">
        <v>240</v>
      </c>
      <c r="DF3000" s="5" t="s">
        <v>309</v>
      </c>
      <c r="DG3000" s="7">
        <f>321</f>
        <v>321</v>
      </c>
      <c r="DI3000" s="5" t="s">
        <v>240</v>
      </c>
      <c r="DJ3000" s="5" t="s">
        <v>240</v>
      </c>
      <c r="DK3000" s="5" t="s">
        <v>240</v>
      </c>
      <c r="DL3000" s="5" t="s">
        <v>240</v>
      </c>
      <c r="DP3000" s="5" t="s">
        <v>240</v>
      </c>
      <c r="DQ3000" s="5" t="s">
        <v>240</v>
      </c>
      <c r="DR3000" s="5" t="s">
        <v>240</v>
      </c>
      <c r="DS3000" s="5" t="s">
        <v>240</v>
      </c>
      <c r="DV3000" s="5" t="s">
        <v>310</v>
      </c>
      <c r="DW3000" s="5" t="s">
        <v>4011</v>
      </c>
      <c r="HO3000" s="5" t="s">
        <v>312</v>
      </c>
    </row>
    <row r="3001" spans="1:223" x14ac:dyDescent="0.4">
      <c r="A3001" s="5">
        <v>4705</v>
      </c>
      <c r="B3001" s="5">
        <v>1</v>
      </c>
      <c r="C3001" s="5">
        <v>1</v>
      </c>
      <c r="D3001" s="5" t="s">
        <v>810</v>
      </c>
      <c r="E3001" s="5" t="s">
        <v>245</v>
      </c>
      <c r="F3001" s="5" t="s">
        <v>254</v>
      </c>
      <c r="G3001" s="5" t="s">
        <v>240</v>
      </c>
      <c r="H3001" s="6" t="s">
        <v>2539</v>
      </c>
      <c r="I3001" s="5" t="s">
        <v>809</v>
      </c>
      <c r="J3001" s="8">
        <f>58</f>
        <v>58</v>
      </c>
      <c r="K3001" s="5" t="s">
        <v>308</v>
      </c>
      <c r="L3001" s="7">
        <f>1</f>
        <v>1</v>
      </c>
      <c r="M3001" s="7">
        <f>1</f>
        <v>1</v>
      </c>
      <c r="N3001" s="5" t="s">
        <v>242</v>
      </c>
      <c r="O3001" s="5">
        <v>1</v>
      </c>
      <c r="P3001" s="5" t="s">
        <v>294</v>
      </c>
      <c r="Q3001" s="5" t="s">
        <v>266</v>
      </c>
      <c r="R3001" s="5" t="s">
        <v>240</v>
      </c>
      <c r="S3001" s="5" t="s">
        <v>240</v>
      </c>
      <c r="T3001" s="5" t="s">
        <v>296</v>
      </c>
      <c r="U3001" s="5" t="s">
        <v>244</v>
      </c>
      <c r="V3001" s="5" t="s">
        <v>240</v>
      </c>
      <c r="Y3001" s="5" t="s">
        <v>240</v>
      </c>
      <c r="Z3001" s="6" t="s">
        <v>298</v>
      </c>
      <c r="AB3001" s="6" t="s">
        <v>240</v>
      </c>
      <c r="AE3001" s="6" t="s">
        <v>299</v>
      </c>
      <c r="AF3001" s="5" t="s">
        <v>248</v>
      </c>
      <c r="AG3001" s="5" t="s">
        <v>249</v>
      </c>
      <c r="AW3001" s="5" t="s">
        <v>251</v>
      </c>
      <c r="AX3001" s="5" t="s">
        <v>240</v>
      </c>
      <c r="AY3001" s="5" t="s">
        <v>253</v>
      </c>
      <c r="AZ3001" s="5" t="s">
        <v>240</v>
      </c>
      <c r="BA3001" s="5" t="s">
        <v>255</v>
      </c>
      <c r="BB3001" s="5" t="s">
        <v>240</v>
      </c>
      <c r="BD3001" s="5" t="s">
        <v>240</v>
      </c>
      <c r="BF3001" s="5" t="s">
        <v>301</v>
      </c>
      <c r="BG3001" s="6" t="s">
        <v>299</v>
      </c>
      <c r="BH3001" s="5" t="s">
        <v>302</v>
      </c>
      <c r="BI3001" s="5" t="s">
        <v>303</v>
      </c>
      <c r="BJ3001" s="5" t="s">
        <v>240</v>
      </c>
      <c r="BK3001" s="8">
        <f>0</f>
        <v>0</v>
      </c>
      <c r="BL3001" s="7">
        <f>0</f>
        <v>0</v>
      </c>
      <c r="BM3001" s="5" t="s">
        <v>258</v>
      </c>
      <c r="BN3001" s="5" t="s">
        <v>259</v>
      </c>
      <c r="CB3001" s="5" t="s">
        <v>240</v>
      </c>
      <c r="CC3001" s="5" t="s">
        <v>240</v>
      </c>
      <c r="CG3001" s="5" t="s">
        <v>304</v>
      </c>
      <c r="CH3001" s="5" t="s">
        <v>305</v>
      </c>
      <c r="CI3001" s="5" t="s">
        <v>240</v>
      </c>
      <c r="CL3001" s="6" t="s">
        <v>261</v>
      </c>
      <c r="CM3001" s="5" t="s">
        <v>240</v>
      </c>
      <c r="CN3001" s="5" t="s">
        <v>263</v>
      </c>
      <c r="CO3001" s="5" t="s">
        <v>240</v>
      </c>
      <c r="CP3001" s="5" t="s">
        <v>240</v>
      </c>
      <c r="CQ3001" s="5">
        <v>0</v>
      </c>
      <c r="CR3001" s="5" t="s">
        <v>306</v>
      </c>
      <c r="CS3001" s="5" t="s">
        <v>307</v>
      </c>
      <c r="CT3001" s="5" t="s">
        <v>307</v>
      </c>
      <c r="CU3001" s="5" t="s">
        <v>260</v>
      </c>
      <c r="CX3001" s="7">
        <f>1</f>
        <v>1</v>
      </c>
      <c r="CY3001" s="7">
        <f>0</f>
        <v>0</v>
      </c>
      <c r="DA3001" s="7">
        <f>0</f>
        <v>0</v>
      </c>
      <c r="DC3001" s="5" t="s">
        <v>309</v>
      </c>
      <c r="DD3001" s="5" t="s">
        <v>240</v>
      </c>
      <c r="DF3001" s="5" t="s">
        <v>309</v>
      </c>
      <c r="DG3001" s="7">
        <f>367</f>
        <v>367</v>
      </c>
      <c r="DI3001" s="5" t="s">
        <v>240</v>
      </c>
      <c r="DJ3001" s="5" t="s">
        <v>240</v>
      </c>
      <c r="DK3001" s="5" t="s">
        <v>240</v>
      </c>
      <c r="DL3001" s="5" t="s">
        <v>240</v>
      </c>
      <c r="DP3001" s="5" t="s">
        <v>240</v>
      </c>
      <c r="DQ3001" s="5" t="s">
        <v>240</v>
      </c>
      <c r="DR3001" s="5" t="s">
        <v>240</v>
      </c>
      <c r="DS3001" s="5" t="s">
        <v>240</v>
      </c>
      <c r="DV3001" s="5" t="s">
        <v>310</v>
      </c>
      <c r="DW3001" s="5" t="s">
        <v>4013</v>
      </c>
      <c r="HO3001" s="5" t="s">
        <v>312</v>
      </c>
    </row>
    <row r="3002" spans="1:223" x14ac:dyDescent="0.4">
      <c r="A3002" s="5">
        <v>4706</v>
      </c>
      <c r="B3002" s="5">
        <v>1</v>
      </c>
      <c r="C3002" s="5">
        <v>1</v>
      </c>
      <c r="D3002" s="5" t="s">
        <v>810</v>
      </c>
      <c r="E3002" s="5" t="s">
        <v>245</v>
      </c>
      <c r="F3002" s="5" t="s">
        <v>254</v>
      </c>
      <c r="G3002" s="5" t="s">
        <v>240</v>
      </c>
      <c r="H3002" s="6" t="s">
        <v>2537</v>
      </c>
      <c r="I3002" s="5" t="s">
        <v>809</v>
      </c>
      <c r="J3002" s="8">
        <f>1033</f>
        <v>1033</v>
      </c>
      <c r="K3002" s="5" t="s">
        <v>308</v>
      </c>
      <c r="L3002" s="7">
        <f>1</f>
        <v>1</v>
      </c>
      <c r="M3002" s="7">
        <f>1</f>
        <v>1</v>
      </c>
      <c r="N3002" s="5" t="s">
        <v>242</v>
      </c>
      <c r="O3002" s="5">
        <v>1</v>
      </c>
      <c r="P3002" s="5" t="s">
        <v>294</v>
      </c>
      <c r="Q3002" s="5" t="s">
        <v>266</v>
      </c>
      <c r="R3002" s="5" t="s">
        <v>240</v>
      </c>
      <c r="S3002" s="5" t="s">
        <v>240</v>
      </c>
      <c r="T3002" s="5" t="s">
        <v>296</v>
      </c>
      <c r="U3002" s="5" t="s">
        <v>244</v>
      </c>
      <c r="V3002" s="5" t="s">
        <v>240</v>
      </c>
      <c r="Y3002" s="5" t="s">
        <v>240</v>
      </c>
      <c r="Z3002" s="6" t="s">
        <v>298</v>
      </c>
      <c r="AB3002" s="6" t="s">
        <v>240</v>
      </c>
      <c r="AE3002" s="6" t="s">
        <v>299</v>
      </c>
      <c r="AF3002" s="5" t="s">
        <v>248</v>
      </c>
      <c r="AG3002" s="5" t="s">
        <v>249</v>
      </c>
      <c r="AW3002" s="5" t="s">
        <v>251</v>
      </c>
      <c r="AX3002" s="5" t="s">
        <v>240</v>
      </c>
      <c r="AY3002" s="5" t="s">
        <v>253</v>
      </c>
      <c r="AZ3002" s="5" t="s">
        <v>240</v>
      </c>
      <c r="BA3002" s="5" t="s">
        <v>255</v>
      </c>
      <c r="BB3002" s="5" t="s">
        <v>240</v>
      </c>
      <c r="BD3002" s="5" t="s">
        <v>240</v>
      </c>
      <c r="BF3002" s="5" t="s">
        <v>301</v>
      </c>
      <c r="BG3002" s="6" t="s">
        <v>299</v>
      </c>
      <c r="BH3002" s="5" t="s">
        <v>302</v>
      </c>
      <c r="BI3002" s="5" t="s">
        <v>303</v>
      </c>
      <c r="BJ3002" s="5" t="s">
        <v>240</v>
      </c>
      <c r="BK3002" s="8">
        <f>0</f>
        <v>0</v>
      </c>
      <c r="BL3002" s="7">
        <f>0</f>
        <v>0</v>
      </c>
      <c r="BM3002" s="5" t="s">
        <v>258</v>
      </c>
      <c r="BN3002" s="5" t="s">
        <v>259</v>
      </c>
      <c r="CB3002" s="5" t="s">
        <v>240</v>
      </c>
      <c r="CC3002" s="5" t="s">
        <v>240</v>
      </c>
      <c r="CG3002" s="5" t="s">
        <v>304</v>
      </c>
      <c r="CH3002" s="5" t="s">
        <v>305</v>
      </c>
      <c r="CI3002" s="5" t="s">
        <v>240</v>
      </c>
      <c r="CL3002" s="6" t="s">
        <v>261</v>
      </c>
      <c r="CM3002" s="5" t="s">
        <v>240</v>
      </c>
      <c r="CN3002" s="5" t="s">
        <v>263</v>
      </c>
      <c r="CO3002" s="5" t="s">
        <v>240</v>
      </c>
      <c r="CP3002" s="5" t="s">
        <v>240</v>
      </c>
      <c r="CQ3002" s="5">
        <v>0</v>
      </c>
      <c r="CR3002" s="5" t="s">
        <v>306</v>
      </c>
      <c r="CS3002" s="5" t="s">
        <v>307</v>
      </c>
      <c r="CT3002" s="5" t="s">
        <v>307</v>
      </c>
      <c r="CU3002" s="5" t="s">
        <v>260</v>
      </c>
      <c r="CX3002" s="7">
        <f>1</f>
        <v>1</v>
      </c>
      <c r="CY3002" s="7">
        <f>0</f>
        <v>0</v>
      </c>
      <c r="DA3002" s="7">
        <f>0</f>
        <v>0</v>
      </c>
      <c r="DC3002" s="5" t="s">
        <v>309</v>
      </c>
      <c r="DD3002" s="5" t="s">
        <v>240</v>
      </c>
      <c r="DF3002" s="5" t="s">
        <v>309</v>
      </c>
      <c r="DG3002" s="7">
        <f>546</f>
        <v>546</v>
      </c>
      <c r="DI3002" s="5" t="s">
        <v>240</v>
      </c>
      <c r="DJ3002" s="5" t="s">
        <v>240</v>
      </c>
      <c r="DK3002" s="5" t="s">
        <v>240</v>
      </c>
      <c r="DL3002" s="5" t="s">
        <v>240</v>
      </c>
      <c r="DP3002" s="5" t="s">
        <v>240</v>
      </c>
      <c r="DQ3002" s="5" t="s">
        <v>240</v>
      </c>
      <c r="DR3002" s="5" t="s">
        <v>240</v>
      </c>
      <c r="DS3002" s="5" t="s">
        <v>240</v>
      </c>
      <c r="DV3002" s="5" t="s">
        <v>310</v>
      </c>
      <c r="DW3002" s="5" t="s">
        <v>4015</v>
      </c>
      <c r="HO3002" s="5" t="s">
        <v>312</v>
      </c>
    </row>
    <row r="3003" spans="1:223" x14ac:dyDescent="0.4">
      <c r="A3003" s="5">
        <v>4707</v>
      </c>
      <c r="B3003" s="5">
        <v>1</v>
      </c>
      <c r="C3003" s="5">
        <v>1</v>
      </c>
      <c r="D3003" s="5" t="s">
        <v>810</v>
      </c>
      <c r="E3003" s="5" t="s">
        <v>245</v>
      </c>
      <c r="F3003" s="5" t="s">
        <v>254</v>
      </c>
      <c r="G3003" s="5" t="s">
        <v>240</v>
      </c>
      <c r="H3003" s="6" t="s">
        <v>2535</v>
      </c>
      <c r="I3003" s="5" t="s">
        <v>809</v>
      </c>
      <c r="J3003" s="8">
        <f>936</f>
        <v>936</v>
      </c>
      <c r="K3003" s="5" t="s">
        <v>308</v>
      </c>
      <c r="L3003" s="7">
        <f>1</f>
        <v>1</v>
      </c>
      <c r="M3003" s="7">
        <f>1</f>
        <v>1</v>
      </c>
      <c r="N3003" s="5" t="s">
        <v>242</v>
      </c>
      <c r="O3003" s="5">
        <v>1</v>
      </c>
      <c r="P3003" s="5" t="s">
        <v>294</v>
      </c>
      <c r="Q3003" s="5" t="s">
        <v>266</v>
      </c>
      <c r="R3003" s="5" t="s">
        <v>240</v>
      </c>
      <c r="S3003" s="5" t="s">
        <v>240</v>
      </c>
      <c r="T3003" s="5" t="s">
        <v>296</v>
      </c>
      <c r="U3003" s="5" t="s">
        <v>244</v>
      </c>
      <c r="V3003" s="5" t="s">
        <v>240</v>
      </c>
      <c r="Y3003" s="5" t="s">
        <v>240</v>
      </c>
      <c r="Z3003" s="6" t="s">
        <v>298</v>
      </c>
      <c r="AB3003" s="6" t="s">
        <v>240</v>
      </c>
      <c r="AE3003" s="6" t="s">
        <v>299</v>
      </c>
      <c r="AF3003" s="5" t="s">
        <v>248</v>
      </c>
      <c r="AG3003" s="5" t="s">
        <v>249</v>
      </c>
      <c r="AW3003" s="5" t="s">
        <v>251</v>
      </c>
      <c r="AX3003" s="5" t="s">
        <v>240</v>
      </c>
      <c r="AY3003" s="5" t="s">
        <v>253</v>
      </c>
      <c r="AZ3003" s="5" t="s">
        <v>240</v>
      </c>
      <c r="BA3003" s="5" t="s">
        <v>255</v>
      </c>
      <c r="BB3003" s="5" t="s">
        <v>240</v>
      </c>
      <c r="BD3003" s="5" t="s">
        <v>240</v>
      </c>
      <c r="BF3003" s="5" t="s">
        <v>301</v>
      </c>
      <c r="BG3003" s="6" t="s">
        <v>299</v>
      </c>
      <c r="BH3003" s="5" t="s">
        <v>302</v>
      </c>
      <c r="BI3003" s="5" t="s">
        <v>303</v>
      </c>
      <c r="BJ3003" s="5" t="s">
        <v>240</v>
      </c>
      <c r="BK3003" s="8">
        <f>0</f>
        <v>0</v>
      </c>
      <c r="BL3003" s="7">
        <f>0</f>
        <v>0</v>
      </c>
      <c r="BM3003" s="5" t="s">
        <v>258</v>
      </c>
      <c r="BN3003" s="5" t="s">
        <v>259</v>
      </c>
      <c r="CB3003" s="5" t="s">
        <v>240</v>
      </c>
      <c r="CC3003" s="5" t="s">
        <v>240</v>
      </c>
      <c r="CG3003" s="5" t="s">
        <v>304</v>
      </c>
      <c r="CH3003" s="5" t="s">
        <v>305</v>
      </c>
      <c r="CI3003" s="5" t="s">
        <v>240</v>
      </c>
      <c r="CL3003" s="6" t="s">
        <v>261</v>
      </c>
      <c r="CM3003" s="5" t="s">
        <v>240</v>
      </c>
      <c r="CN3003" s="5" t="s">
        <v>263</v>
      </c>
      <c r="CO3003" s="5" t="s">
        <v>240</v>
      </c>
      <c r="CP3003" s="5" t="s">
        <v>240</v>
      </c>
      <c r="CQ3003" s="5">
        <v>0</v>
      </c>
      <c r="CR3003" s="5" t="s">
        <v>306</v>
      </c>
      <c r="CS3003" s="5" t="s">
        <v>307</v>
      </c>
      <c r="CT3003" s="5" t="s">
        <v>307</v>
      </c>
      <c r="CU3003" s="5" t="s">
        <v>260</v>
      </c>
      <c r="CX3003" s="7">
        <f>1</f>
        <v>1</v>
      </c>
      <c r="CY3003" s="7">
        <f>0</f>
        <v>0</v>
      </c>
      <c r="DA3003" s="7">
        <f>0</f>
        <v>0</v>
      </c>
      <c r="DC3003" s="5" t="s">
        <v>309</v>
      </c>
      <c r="DD3003" s="5" t="s">
        <v>240</v>
      </c>
      <c r="DF3003" s="5" t="s">
        <v>309</v>
      </c>
      <c r="DG3003" s="7">
        <f>855</f>
        <v>855</v>
      </c>
      <c r="DI3003" s="5" t="s">
        <v>240</v>
      </c>
      <c r="DJ3003" s="5" t="s">
        <v>240</v>
      </c>
      <c r="DK3003" s="5" t="s">
        <v>240</v>
      </c>
      <c r="DL3003" s="5" t="s">
        <v>240</v>
      </c>
      <c r="DP3003" s="5" t="s">
        <v>240</v>
      </c>
      <c r="DQ3003" s="5" t="s">
        <v>240</v>
      </c>
      <c r="DR3003" s="5" t="s">
        <v>240</v>
      </c>
      <c r="DS3003" s="5" t="s">
        <v>240</v>
      </c>
      <c r="DV3003" s="5" t="s">
        <v>310</v>
      </c>
      <c r="DW3003" s="5" t="s">
        <v>4017</v>
      </c>
      <c r="HO3003" s="5" t="s">
        <v>312</v>
      </c>
    </row>
    <row r="3004" spans="1:223" x14ac:dyDescent="0.4">
      <c r="A3004" s="5">
        <v>4708</v>
      </c>
      <c r="B3004" s="5">
        <v>1</v>
      </c>
      <c r="C3004" s="5">
        <v>1</v>
      </c>
      <c r="D3004" s="5" t="s">
        <v>810</v>
      </c>
      <c r="E3004" s="5" t="s">
        <v>245</v>
      </c>
      <c r="F3004" s="5" t="s">
        <v>254</v>
      </c>
      <c r="G3004" s="5" t="s">
        <v>240</v>
      </c>
      <c r="H3004" s="6" t="s">
        <v>2533</v>
      </c>
      <c r="I3004" s="5" t="s">
        <v>809</v>
      </c>
      <c r="J3004" s="8">
        <f>502</f>
        <v>502</v>
      </c>
      <c r="K3004" s="5" t="s">
        <v>308</v>
      </c>
      <c r="L3004" s="7">
        <f>1</f>
        <v>1</v>
      </c>
      <c r="M3004" s="7">
        <f>1</f>
        <v>1</v>
      </c>
      <c r="N3004" s="5" t="s">
        <v>242</v>
      </c>
      <c r="O3004" s="5">
        <v>1</v>
      </c>
      <c r="P3004" s="5" t="s">
        <v>294</v>
      </c>
      <c r="Q3004" s="5" t="s">
        <v>266</v>
      </c>
      <c r="R3004" s="5" t="s">
        <v>240</v>
      </c>
      <c r="S3004" s="5" t="s">
        <v>240</v>
      </c>
      <c r="T3004" s="5" t="s">
        <v>296</v>
      </c>
      <c r="U3004" s="5" t="s">
        <v>244</v>
      </c>
      <c r="V3004" s="5" t="s">
        <v>240</v>
      </c>
      <c r="Y3004" s="5" t="s">
        <v>240</v>
      </c>
      <c r="Z3004" s="6" t="s">
        <v>298</v>
      </c>
      <c r="AB3004" s="6" t="s">
        <v>240</v>
      </c>
      <c r="AE3004" s="6" t="s">
        <v>299</v>
      </c>
      <c r="AF3004" s="5" t="s">
        <v>248</v>
      </c>
      <c r="AG3004" s="5" t="s">
        <v>249</v>
      </c>
      <c r="AW3004" s="5" t="s">
        <v>251</v>
      </c>
      <c r="AX3004" s="5" t="s">
        <v>240</v>
      </c>
      <c r="AY3004" s="5" t="s">
        <v>253</v>
      </c>
      <c r="AZ3004" s="5" t="s">
        <v>240</v>
      </c>
      <c r="BA3004" s="5" t="s">
        <v>255</v>
      </c>
      <c r="BB3004" s="5" t="s">
        <v>240</v>
      </c>
      <c r="BD3004" s="5" t="s">
        <v>240</v>
      </c>
      <c r="BF3004" s="5" t="s">
        <v>301</v>
      </c>
      <c r="BG3004" s="6" t="s">
        <v>299</v>
      </c>
      <c r="BH3004" s="5" t="s">
        <v>302</v>
      </c>
      <c r="BI3004" s="5" t="s">
        <v>303</v>
      </c>
      <c r="BJ3004" s="5" t="s">
        <v>240</v>
      </c>
      <c r="BK3004" s="8">
        <f>0</f>
        <v>0</v>
      </c>
      <c r="BL3004" s="7">
        <f>0</f>
        <v>0</v>
      </c>
      <c r="BM3004" s="5" t="s">
        <v>258</v>
      </c>
      <c r="BN3004" s="5" t="s">
        <v>259</v>
      </c>
      <c r="CB3004" s="5" t="s">
        <v>240</v>
      </c>
      <c r="CC3004" s="5" t="s">
        <v>240</v>
      </c>
      <c r="CG3004" s="5" t="s">
        <v>304</v>
      </c>
      <c r="CH3004" s="5" t="s">
        <v>305</v>
      </c>
      <c r="CI3004" s="5" t="s">
        <v>240</v>
      </c>
      <c r="CL3004" s="6" t="s">
        <v>261</v>
      </c>
      <c r="CM3004" s="5" t="s">
        <v>240</v>
      </c>
      <c r="CN3004" s="5" t="s">
        <v>263</v>
      </c>
      <c r="CO3004" s="5" t="s">
        <v>240</v>
      </c>
      <c r="CP3004" s="5" t="s">
        <v>240</v>
      </c>
      <c r="CQ3004" s="5">
        <v>0</v>
      </c>
      <c r="CR3004" s="5" t="s">
        <v>306</v>
      </c>
      <c r="CS3004" s="5" t="s">
        <v>307</v>
      </c>
      <c r="CT3004" s="5" t="s">
        <v>307</v>
      </c>
      <c r="CU3004" s="5" t="s">
        <v>260</v>
      </c>
      <c r="CX3004" s="7">
        <f>1</f>
        <v>1</v>
      </c>
      <c r="CY3004" s="7">
        <f>0</f>
        <v>0</v>
      </c>
      <c r="DA3004" s="7">
        <f>0</f>
        <v>0</v>
      </c>
      <c r="DC3004" s="5" t="s">
        <v>309</v>
      </c>
      <c r="DD3004" s="5" t="s">
        <v>240</v>
      </c>
      <c r="DF3004" s="5" t="s">
        <v>309</v>
      </c>
      <c r="DG3004" s="7">
        <f>1091</f>
        <v>1091</v>
      </c>
      <c r="DI3004" s="5" t="s">
        <v>240</v>
      </c>
      <c r="DJ3004" s="5" t="s">
        <v>240</v>
      </c>
      <c r="DK3004" s="5" t="s">
        <v>240</v>
      </c>
      <c r="DL3004" s="5" t="s">
        <v>240</v>
      </c>
      <c r="DP3004" s="5" t="s">
        <v>240</v>
      </c>
      <c r="DQ3004" s="5" t="s">
        <v>240</v>
      </c>
      <c r="DR3004" s="5" t="s">
        <v>240</v>
      </c>
      <c r="DS3004" s="5" t="s">
        <v>240</v>
      </c>
      <c r="DV3004" s="5" t="s">
        <v>310</v>
      </c>
      <c r="DW3004" s="5" t="s">
        <v>4019</v>
      </c>
      <c r="HO3004" s="5" t="s">
        <v>312</v>
      </c>
    </row>
    <row r="3005" spans="1:223" x14ac:dyDescent="0.4">
      <c r="A3005" s="5">
        <v>4709</v>
      </c>
      <c r="B3005" s="5">
        <v>1</v>
      </c>
      <c r="C3005" s="5">
        <v>1</v>
      </c>
      <c r="D3005" s="5" t="s">
        <v>810</v>
      </c>
      <c r="E3005" s="5" t="s">
        <v>245</v>
      </c>
      <c r="F3005" s="5" t="s">
        <v>254</v>
      </c>
      <c r="G3005" s="5" t="s">
        <v>240</v>
      </c>
      <c r="H3005" s="6" t="s">
        <v>2531</v>
      </c>
      <c r="I3005" s="5" t="s">
        <v>809</v>
      </c>
      <c r="J3005" s="8">
        <f>154</f>
        <v>154</v>
      </c>
      <c r="K3005" s="5" t="s">
        <v>308</v>
      </c>
      <c r="L3005" s="7">
        <f>1</f>
        <v>1</v>
      </c>
      <c r="M3005" s="7">
        <f>1</f>
        <v>1</v>
      </c>
      <c r="N3005" s="5" t="s">
        <v>242</v>
      </c>
      <c r="O3005" s="5">
        <v>1</v>
      </c>
      <c r="P3005" s="5" t="s">
        <v>294</v>
      </c>
      <c r="Q3005" s="5" t="s">
        <v>266</v>
      </c>
      <c r="R3005" s="5" t="s">
        <v>240</v>
      </c>
      <c r="S3005" s="5" t="s">
        <v>240</v>
      </c>
      <c r="T3005" s="5" t="s">
        <v>296</v>
      </c>
      <c r="U3005" s="5" t="s">
        <v>244</v>
      </c>
      <c r="V3005" s="5" t="s">
        <v>240</v>
      </c>
      <c r="Y3005" s="5" t="s">
        <v>240</v>
      </c>
      <c r="Z3005" s="6" t="s">
        <v>298</v>
      </c>
      <c r="AB3005" s="6" t="s">
        <v>240</v>
      </c>
      <c r="AE3005" s="6" t="s">
        <v>299</v>
      </c>
      <c r="AF3005" s="5" t="s">
        <v>248</v>
      </c>
      <c r="AG3005" s="5" t="s">
        <v>249</v>
      </c>
      <c r="AW3005" s="5" t="s">
        <v>251</v>
      </c>
      <c r="AX3005" s="5" t="s">
        <v>240</v>
      </c>
      <c r="AY3005" s="5" t="s">
        <v>253</v>
      </c>
      <c r="AZ3005" s="5" t="s">
        <v>240</v>
      </c>
      <c r="BA3005" s="5" t="s">
        <v>255</v>
      </c>
      <c r="BB3005" s="5" t="s">
        <v>240</v>
      </c>
      <c r="BD3005" s="5" t="s">
        <v>240</v>
      </c>
      <c r="BF3005" s="5" t="s">
        <v>301</v>
      </c>
      <c r="BG3005" s="6" t="s">
        <v>299</v>
      </c>
      <c r="BH3005" s="5" t="s">
        <v>302</v>
      </c>
      <c r="BI3005" s="5" t="s">
        <v>303</v>
      </c>
      <c r="BJ3005" s="5" t="s">
        <v>240</v>
      </c>
      <c r="BK3005" s="8">
        <f>0</f>
        <v>0</v>
      </c>
      <c r="BL3005" s="7">
        <f>0</f>
        <v>0</v>
      </c>
      <c r="BM3005" s="5" t="s">
        <v>258</v>
      </c>
      <c r="BN3005" s="5" t="s">
        <v>259</v>
      </c>
      <c r="CB3005" s="5" t="s">
        <v>240</v>
      </c>
      <c r="CC3005" s="5" t="s">
        <v>240</v>
      </c>
      <c r="CG3005" s="5" t="s">
        <v>304</v>
      </c>
      <c r="CH3005" s="5" t="s">
        <v>305</v>
      </c>
      <c r="CI3005" s="5" t="s">
        <v>240</v>
      </c>
      <c r="CL3005" s="6" t="s">
        <v>261</v>
      </c>
      <c r="CM3005" s="5" t="s">
        <v>240</v>
      </c>
      <c r="CN3005" s="5" t="s">
        <v>263</v>
      </c>
      <c r="CO3005" s="5" t="s">
        <v>240</v>
      </c>
      <c r="CP3005" s="5" t="s">
        <v>240</v>
      </c>
      <c r="CQ3005" s="5">
        <v>0</v>
      </c>
      <c r="CR3005" s="5" t="s">
        <v>306</v>
      </c>
      <c r="CS3005" s="5" t="s">
        <v>307</v>
      </c>
      <c r="CT3005" s="5" t="s">
        <v>307</v>
      </c>
      <c r="CU3005" s="5" t="s">
        <v>260</v>
      </c>
      <c r="CX3005" s="7">
        <f>1</f>
        <v>1</v>
      </c>
      <c r="CY3005" s="7">
        <f>0</f>
        <v>0</v>
      </c>
      <c r="DA3005" s="7">
        <f>0</f>
        <v>0</v>
      </c>
      <c r="DC3005" s="5" t="s">
        <v>309</v>
      </c>
      <c r="DD3005" s="5" t="s">
        <v>240</v>
      </c>
      <c r="DF3005" s="5" t="s">
        <v>309</v>
      </c>
      <c r="DG3005" s="7">
        <f>421</f>
        <v>421</v>
      </c>
      <c r="DI3005" s="5" t="s">
        <v>240</v>
      </c>
      <c r="DJ3005" s="5" t="s">
        <v>240</v>
      </c>
      <c r="DK3005" s="5" t="s">
        <v>240</v>
      </c>
      <c r="DL3005" s="5" t="s">
        <v>240</v>
      </c>
      <c r="DP3005" s="5" t="s">
        <v>240</v>
      </c>
      <c r="DQ3005" s="5" t="s">
        <v>240</v>
      </c>
      <c r="DR3005" s="5" t="s">
        <v>240</v>
      </c>
      <c r="DS3005" s="5" t="s">
        <v>240</v>
      </c>
      <c r="DV3005" s="5" t="s">
        <v>310</v>
      </c>
      <c r="DW3005" s="5" t="s">
        <v>4021</v>
      </c>
      <c r="HO3005" s="5" t="s">
        <v>312</v>
      </c>
    </row>
    <row r="3006" spans="1:223" x14ac:dyDescent="0.4">
      <c r="A3006" s="5">
        <v>4710</v>
      </c>
      <c r="B3006" s="5">
        <v>1</v>
      </c>
      <c r="C3006" s="5">
        <v>1</v>
      </c>
      <c r="D3006" s="5" t="s">
        <v>810</v>
      </c>
      <c r="E3006" s="5" t="s">
        <v>245</v>
      </c>
      <c r="F3006" s="5" t="s">
        <v>254</v>
      </c>
      <c r="G3006" s="5" t="s">
        <v>240</v>
      </c>
      <c r="H3006" s="6" t="s">
        <v>2529</v>
      </c>
      <c r="I3006" s="5" t="s">
        <v>809</v>
      </c>
      <c r="J3006" s="8">
        <f>80</f>
        <v>80</v>
      </c>
      <c r="K3006" s="5" t="s">
        <v>308</v>
      </c>
      <c r="L3006" s="7">
        <f>1</f>
        <v>1</v>
      </c>
      <c r="M3006" s="7">
        <f>1</f>
        <v>1</v>
      </c>
      <c r="N3006" s="5" t="s">
        <v>242</v>
      </c>
      <c r="O3006" s="5">
        <v>1</v>
      </c>
      <c r="P3006" s="5" t="s">
        <v>294</v>
      </c>
      <c r="Q3006" s="5" t="s">
        <v>266</v>
      </c>
      <c r="R3006" s="5" t="s">
        <v>240</v>
      </c>
      <c r="S3006" s="5" t="s">
        <v>240</v>
      </c>
      <c r="T3006" s="5" t="s">
        <v>296</v>
      </c>
      <c r="U3006" s="5" t="s">
        <v>244</v>
      </c>
      <c r="V3006" s="5" t="s">
        <v>240</v>
      </c>
      <c r="Y3006" s="5" t="s">
        <v>240</v>
      </c>
      <c r="Z3006" s="6" t="s">
        <v>298</v>
      </c>
      <c r="AB3006" s="6" t="s">
        <v>240</v>
      </c>
      <c r="AE3006" s="6" t="s">
        <v>299</v>
      </c>
      <c r="AF3006" s="5" t="s">
        <v>248</v>
      </c>
      <c r="AG3006" s="5" t="s">
        <v>249</v>
      </c>
      <c r="AW3006" s="5" t="s">
        <v>251</v>
      </c>
      <c r="AX3006" s="5" t="s">
        <v>240</v>
      </c>
      <c r="AY3006" s="5" t="s">
        <v>253</v>
      </c>
      <c r="AZ3006" s="5" t="s">
        <v>240</v>
      </c>
      <c r="BA3006" s="5" t="s">
        <v>255</v>
      </c>
      <c r="BB3006" s="5" t="s">
        <v>240</v>
      </c>
      <c r="BD3006" s="5" t="s">
        <v>240</v>
      </c>
      <c r="BF3006" s="5" t="s">
        <v>301</v>
      </c>
      <c r="BG3006" s="6" t="s">
        <v>299</v>
      </c>
      <c r="BH3006" s="5" t="s">
        <v>302</v>
      </c>
      <c r="BI3006" s="5" t="s">
        <v>303</v>
      </c>
      <c r="BJ3006" s="5" t="s">
        <v>240</v>
      </c>
      <c r="BK3006" s="8">
        <f>0</f>
        <v>0</v>
      </c>
      <c r="BL3006" s="7">
        <f>0</f>
        <v>0</v>
      </c>
      <c r="BM3006" s="5" t="s">
        <v>258</v>
      </c>
      <c r="BN3006" s="5" t="s">
        <v>259</v>
      </c>
      <c r="CB3006" s="5" t="s">
        <v>240</v>
      </c>
      <c r="CC3006" s="5" t="s">
        <v>240</v>
      </c>
      <c r="CG3006" s="5" t="s">
        <v>304</v>
      </c>
      <c r="CH3006" s="5" t="s">
        <v>305</v>
      </c>
      <c r="CI3006" s="5" t="s">
        <v>240</v>
      </c>
      <c r="CL3006" s="6" t="s">
        <v>261</v>
      </c>
      <c r="CM3006" s="5" t="s">
        <v>240</v>
      </c>
      <c r="CN3006" s="5" t="s">
        <v>263</v>
      </c>
      <c r="CO3006" s="5" t="s">
        <v>240</v>
      </c>
      <c r="CP3006" s="5" t="s">
        <v>240</v>
      </c>
      <c r="CQ3006" s="5">
        <v>0</v>
      </c>
      <c r="CR3006" s="5" t="s">
        <v>306</v>
      </c>
      <c r="CS3006" s="5" t="s">
        <v>307</v>
      </c>
      <c r="CT3006" s="5" t="s">
        <v>307</v>
      </c>
      <c r="CU3006" s="5" t="s">
        <v>260</v>
      </c>
      <c r="CX3006" s="7">
        <f>1</f>
        <v>1</v>
      </c>
      <c r="CY3006" s="7">
        <f>0</f>
        <v>0</v>
      </c>
      <c r="DA3006" s="7">
        <f>0</f>
        <v>0</v>
      </c>
      <c r="DC3006" s="5" t="s">
        <v>309</v>
      </c>
      <c r="DD3006" s="5" t="s">
        <v>240</v>
      </c>
      <c r="DF3006" s="5" t="s">
        <v>309</v>
      </c>
      <c r="DG3006" s="7">
        <f>2551</f>
        <v>2551</v>
      </c>
      <c r="DI3006" s="5" t="s">
        <v>240</v>
      </c>
      <c r="DJ3006" s="5" t="s">
        <v>240</v>
      </c>
      <c r="DK3006" s="5" t="s">
        <v>240</v>
      </c>
      <c r="DL3006" s="5" t="s">
        <v>240</v>
      </c>
      <c r="DP3006" s="5" t="s">
        <v>240</v>
      </c>
      <c r="DQ3006" s="5" t="s">
        <v>240</v>
      </c>
      <c r="DR3006" s="5" t="s">
        <v>240</v>
      </c>
      <c r="DS3006" s="5" t="s">
        <v>240</v>
      </c>
      <c r="DV3006" s="5" t="s">
        <v>310</v>
      </c>
      <c r="DW3006" s="5" t="s">
        <v>4023</v>
      </c>
      <c r="HO3006" s="5" t="s">
        <v>312</v>
      </c>
    </row>
    <row r="3007" spans="1:223" x14ac:dyDescent="0.4">
      <c r="A3007" s="5">
        <v>4711</v>
      </c>
      <c r="B3007" s="5">
        <v>1</v>
      </c>
      <c r="C3007" s="5">
        <v>1</v>
      </c>
      <c r="D3007" s="5" t="s">
        <v>810</v>
      </c>
      <c r="E3007" s="5" t="s">
        <v>245</v>
      </c>
      <c r="F3007" s="5" t="s">
        <v>254</v>
      </c>
      <c r="G3007" s="5" t="s">
        <v>240</v>
      </c>
      <c r="H3007" s="6" t="s">
        <v>2527</v>
      </c>
      <c r="I3007" s="5" t="s">
        <v>809</v>
      </c>
      <c r="J3007" s="8">
        <f>3161</f>
        <v>3161</v>
      </c>
      <c r="K3007" s="5" t="s">
        <v>308</v>
      </c>
      <c r="L3007" s="7">
        <f>1</f>
        <v>1</v>
      </c>
      <c r="M3007" s="7">
        <f>1</f>
        <v>1</v>
      </c>
      <c r="N3007" s="5" t="s">
        <v>242</v>
      </c>
      <c r="O3007" s="5">
        <v>1</v>
      </c>
      <c r="P3007" s="5" t="s">
        <v>294</v>
      </c>
      <c r="Q3007" s="5" t="s">
        <v>266</v>
      </c>
      <c r="R3007" s="5" t="s">
        <v>240</v>
      </c>
      <c r="S3007" s="5" t="s">
        <v>240</v>
      </c>
      <c r="T3007" s="5" t="s">
        <v>296</v>
      </c>
      <c r="U3007" s="5" t="s">
        <v>244</v>
      </c>
      <c r="V3007" s="5" t="s">
        <v>240</v>
      </c>
      <c r="Y3007" s="5" t="s">
        <v>240</v>
      </c>
      <c r="Z3007" s="6" t="s">
        <v>298</v>
      </c>
      <c r="AB3007" s="6" t="s">
        <v>240</v>
      </c>
      <c r="AE3007" s="6" t="s">
        <v>299</v>
      </c>
      <c r="AF3007" s="5" t="s">
        <v>248</v>
      </c>
      <c r="AG3007" s="5" t="s">
        <v>249</v>
      </c>
      <c r="AW3007" s="5" t="s">
        <v>251</v>
      </c>
      <c r="AX3007" s="5" t="s">
        <v>240</v>
      </c>
      <c r="AY3007" s="5" t="s">
        <v>253</v>
      </c>
      <c r="AZ3007" s="5" t="s">
        <v>240</v>
      </c>
      <c r="BA3007" s="5" t="s">
        <v>255</v>
      </c>
      <c r="BB3007" s="5" t="s">
        <v>240</v>
      </c>
      <c r="BD3007" s="5" t="s">
        <v>240</v>
      </c>
      <c r="BF3007" s="5" t="s">
        <v>301</v>
      </c>
      <c r="BG3007" s="6" t="s">
        <v>299</v>
      </c>
      <c r="BH3007" s="5" t="s">
        <v>302</v>
      </c>
      <c r="BI3007" s="5" t="s">
        <v>303</v>
      </c>
      <c r="BJ3007" s="5" t="s">
        <v>240</v>
      </c>
      <c r="BK3007" s="8">
        <f>0</f>
        <v>0</v>
      </c>
      <c r="BL3007" s="7">
        <f>0</f>
        <v>0</v>
      </c>
      <c r="BM3007" s="5" t="s">
        <v>258</v>
      </c>
      <c r="BN3007" s="5" t="s">
        <v>259</v>
      </c>
      <c r="CB3007" s="5" t="s">
        <v>240</v>
      </c>
      <c r="CC3007" s="5" t="s">
        <v>240</v>
      </c>
      <c r="CG3007" s="5" t="s">
        <v>304</v>
      </c>
      <c r="CH3007" s="5" t="s">
        <v>305</v>
      </c>
      <c r="CI3007" s="5" t="s">
        <v>240</v>
      </c>
      <c r="CL3007" s="6" t="s">
        <v>261</v>
      </c>
      <c r="CM3007" s="5" t="s">
        <v>240</v>
      </c>
      <c r="CN3007" s="5" t="s">
        <v>263</v>
      </c>
      <c r="CO3007" s="5" t="s">
        <v>240</v>
      </c>
      <c r="CP3007" s="5" t="s">
        <v>240</v>
      </c>
      <c r="CQ3007" s="5">
        <v>0</v>
      </c>
      <c r="CR3007" s="5" t="s">
        <v>306</v>
      </c>
      <c r="CS3007" s="5" t="s">
        <v>307</v>
      </c>
      <c r="CT3007" s="5" t="s">
        <v>307</v>
      </c>
      <c r="CU3007" s="5" t="s">
        <v>260</v>
      </c>
      <c r="CX3007" s="7">
        <f>1</f>
        <v>1</v>
      </c>
      <c r="CY3007" s="7">
        <f>0</f>
        <v>0</v>
      </c>
      <c r="DA3007" s="7">
        <f>0</f>
        <v>0</v>
      </c>
      <c r="DC3007" s="5" t="s">
        <v>309</v>
      </c>
      <c r="DD3007" s="5" t="s">
        <v>240</v>
      </c>
      <c r="DF3007" s="5" t="s">
        <v>309</v>
      </c>
      <c r="DG3007" s="7">
        <f>68</f>
        <v>68</v>
      </c>
      <c r="DI3007" s="5" t="s">
        <v>240</v>
      </c>
      <c r="DJ3007" s="5" t="s">
        <v>240</v>
      </c>
      <c r="DK3007" s="5" t="s">
        <v>240</v>
      </c>
      <c r="DL3007" s="5" t="s">
        <v>240</v>
      </c>
      <c r="DP3007" s="5" t="s">
        <v>240</v>
      </c>
      <c r="DQ3007" s="5" t="s">
        <v>240</v>
      </c>
      <c r="DR3007" s="5" t="s">
        <v>240</v>
      </c>
      <c r="DS3007" s="5" t="s">
        <v>240</v>
      </c>
      <c r="DV3007" s="5" t="s">
        <v>310</v>
      </c>
      <c r="DW3007" s="5" t="s">
        <v>4025</v>
      </c>
      <c r="HO3007" s="5" t="s">
        <v>312</v>
      </c>
    </row>
    <row r="3008" spans="1:223" x14ac:dyDescent="0.4">
      <c r="A3008" s="5">
        <v>4712</v>
      </c>
      <c r="B3008" s="5">
        <v>1</v>
      </c>
      <c r="C3008" s="5">
        <v>1</v>
      </c>
      <c r="D3008" s="5" t="s">
        <v>810</v>
      </c>
      <c r="E3008" s="5" t="s">
        <v>245</v>
      </c>
      <c r="F3008" s="5" t="s">
        <v>254</v>
      </c>
      <c r="G3008" s="5" t="s">
        <v>240</v>
      </c>
      <c r="H3008" s="6" t="s">
        <v>2525</v>
      </c>
      <c r="I3008" s="5" t="s">
        <v>809</v>
      </c>
      <c r="J3008" s="8">
        <f>1173</f>
        <v>1173</v>
      </c>
      <c r="K3008" s="5" t="s">
        <v>308</v>
      </c>
      <c r="L3008" s="7">
        <f>1</f>
        <v>1</v>
      </c>
      <c r="M3008" s="7">
        <f>1</f>
        <v>1</v>
      </c>
      <c r="N3008" s="5" t="s">
        <v>242</v>
      </c>
      <c r="O3008" s="5">
        <v>1</v>
      </c>
      <c r="P3008" s="5" t="s">
        <v>294</v>
      </c>
      <c r="Q3008" s="5" t="s">
        <v>266</v>
      </c>
      <c r="R3008" s="5" t="s">
        <v>240</v>
      </c>
      <c r="S3008" s="5" t="s">
        <v>240</v>
      </c>
      <c r="T3008" s="5" t="s">
        <v>296</v>
      </c>
      <c r="U3008" s="5" t="s">
        <v>244</v>
      </c>
      <c r="V3008" s="5" t="s">
        <v>240</v>
      </c>
      <c r="Y3008" s="5" t="s">
        <v>240</v>
      </c>
      <c r="Z3008" s="6" t="s">
        <v>298</v>
      </c>
      <c r="AB3008" s="6" t="s">
        <v>240</v>
      </c>
      <c r="AE3008" s="6" t="s">
        <v>299</v>
      </c>
      <c r="AF3008" s="5" t="s">
        <v>248</v>
      </c>
      <c r="AG3008" s="5" t="s">
        <v>249</v>
      </c>
      <c r="AW3008" s="5" t="s">
        <v>251</v>
      </c>
      <c r="AX3008" s="5" t="s">
        <v>240</v>
      </c>
      <c r="AY3008" s="5" t="s">
        <v>253</v>
      </c>
      <c r="AZ3008" s="5" t="s">
        <v>240</v>
      </c>
      <c r="BA3008" s="5" t="s">
        <v>255</v>
      </c>
      <c r="BB3008" s="5" t="s">
        <v>240</v>
      </c>
      <c r="BD3008" s="5" t="s">
        <v>240</v>
      </c>
      <c r="BF3008" s="5" t="s">
        <v>301</v>
      </c>
      <c r="BG3008" s="6" t="s">
        <v>299</v>
      </c>
      <c r="BH3008" s="5" t="s">
        <v>302</v>
      </c>
      <c r="BI3008" s="5" t="s">
        <v>303</v>
      </c>
      <c r="BJ3008" s="5" t="s">
        <v>240</v>
      </c>
      <c r="BK3008" s="8">
        <f>0</f>
        <v>0</v>
      </c>
      <c r="BL3008" s="7">
        <f>0</f>
        <v>0</v>
      </c>
      <c r="BM3008" s="5" t="s">
        <v>258</v>
      </c>
      <c r="BN3008" s="5" t="s">
        <v>259</v>
      </c>
      <c r="CB3008" s="5" t="s">
        <v>240</v>
      </c>
      <c r="CC3008" s="5" t="s">
        <v>240</v>
      </c>
      <c r="CG3008" s="5" t="s">
        <v>304</v>
      </c>
      <c r="CH3008" s="5" t="s">
        <v>305</v>
      </c>
      <c r="CI3008" s="5" t="s">
        <v>240</v>
      </c>
      <c r="CL3008" s="6" t="s">
        <v>261</v>
      </c>
      <c r="CM3008" s="5" t="s">
        <v>240</v>
      </c>
      <c r="CN3008" s="5" t="s">
        <v>263</v>
      </c>
      <c r="CO3008" s="5" t="s">
        <v>240</v>
      </c>
      <c r="CP3008" s="5" t="s">
        <v>240</v>
      </c>
      <c r="CQ3008" s="5">
        <v>0</v>
      </c>
      <c r="CR3008" s="5" t="s">
        <v>306</v>
      </c>
      <c r="CS3008" s="5" t="s">
        <v>307</v>
      </c>
      <c r="CT3008" s="5" t="s">
        <v>307</v>
      </c>
      <c r="CU3008" s="5" t="s">
        <v>260</v>
      </c>
      <c r="CX3008" s="7">
        <f>1</f>
        <v>1</v>
      </c>
      <c r="CY3008" s="7">
        <f>0</f>
        <v>0</v>
      </c>
      <c r="DA3008" s="7">
        <f>0</f>
        <v>0</v>
      </c>
      <c r="DC3008" s="5" t="s">
        <v>309</v>
      </c>
      <c r="DD3008" s="5" t="s">
        <v>240</v>
      </c>
      <c r="DF3008" s="5" t="s">
        <v>309</v>
      </c>
      <c r="DG3008" s="7">
        <f>16</f>
        <v>16</v>
      </c>
      <c r="DI3008" s="5" t="s">
        <v>240</v>
      </c>
      <c r="DJ3008" s="5" t="s">
        <v>240</v>
      </c>
      <c r="DK3008" s="5" t="s">
        <v>240</v>
      </c>
      <c r="DL3008" s="5" t="s">
        <v>240</v>
      </c>
      <c r="DP3008" s="5" t="s">
        <v>240</v>
      </c>
      <c r="DQ3008" s="5" t="s">
        <v>240</v>
      </c>
      <c r="DR3008" s="5" t="s">
        <v>240</v>
      </c>
      <c r="DS3008" s="5" t="s">
        <v>240</v>
      </c>
      <c r="DV3008" s="5" t="s">
        <v>310</v>
      </c>
      <c r="DW3008" s="5" t="s">
        <v>4027</v>
      </c>
      <c r="HO3008" s="5" t="s">
        <v>312</v>
      </c>
    </row>
    <row r="3009" spans="1:223" x14ac:dyDescent="0.4">
      <c r="A3009" s="5">
        <v>4713</v>
      </c>
      <c r="B3009" s="5">
        <v>1</v>
      </c>
      <c r="C3009" s="5">
        <v>1</v>
      </c>
      <c r="D3009" s="5" t="s">
        <v>810</v>
      </c>
      <c r="E3009" s="5" t="s">
        <v>245</v>
      </c>
      <c r="F3009" s="5" t="s">
        <v>254</v>
      </c>
      <c r="G3009" s="5" t="s">
        <v>240</v>
      </c>
      <c r="H3009" s="6" t="s">
        <v>2523</v>
      </c>
      <c r="I3009" s="5" t="s">
        <v>809</v>
      </c>
      <c r="J3009" s="8">
        <f>18</f>
        <v>18</v>
      </c>
      <c r="K3009" s="5" t="s">
        <v>308</v>
      </c>
      <c r="L3009" s="7">
        <f>1</f>
        <v>1</v>
      </c>
      <c r="M3009" s="7">
        <f>1</f>
        <v>1</v>
      </c>
      <c r="N3009" s="5" t="s">
        <v>242</v>
      </c>
      <c r="O3009" s="5">
        <v>1</v>
      </c>
      <c r="P3009" s="5" t="s">
        <v>294</v>
      </c>
      <c r="Q3009" s="5" t="s">
        <v>266</v>
      </c>
      <c r="R3009" s="5" t="s">
        <v>240</v>
      </c>
      <c r="S3009" s="5" t="s">
        <v>240</v>
      </c>
      <c r="T3009" s="5" t="s">
        <v>296</v>
      </c>
      <c r="U3009" s="5" t="s">
        <v>244</v>
      </c>
      <c r="V3009" s="5" t="s">
        <v>240</v>
      </c>
      <c r="Y3009" s="5" t="s">
        <v>240</v>
      </c>
      <c r="Z3009" s="6" t="s">
        <v>298</v>
      </c>
      <c r="AB3009" s="6" t="s">
        <v>240</v>
      </c>
      <c r="AE3009" s="6" t="s">
        <v>299</v>
      </c>
      <c r="AF3009" s="5" t="s">
        <v>248</v>
      </c>
      <c r="AG3009" s="5" t="s">
        <v>249</v>
      </c>
      <c r="AW3009" s="5" t="s">
        <v>251</v>
      </c>
      <c r="AX3009" s="5" t="s">
        <v>240</v>
      </c>
      <c r="AY3009" s="5" t="s">
        <v>253</v>
      </c>
      <c r="AZ3009" s="5" t="s">
        <v>240</v>
      </c>
      <c r="BA3009" s="5" t="s">
        <v>255</v>
      </c>
      <c r="BB3009" s="5" t="s">
        <v>240</v>
      </c>
      <c r="BD3009" s="5" t="s">
        <v>240</v>
      </c>
      <c r="BF3009" s="5" t="s">
        <v>301</v>
      </c>
      <c r="BG3009" s="6" t="s">
        <v>299</v>
      </c>
      <c r="BH3009" s="5" t="s">
        <v>302</v>
      </c>
      <c r="BI3009" s="5" t="s">
        <v>303</v>
      </c>
      <c r="BJ3009" s="5" t="s">
        <v>240</v>
      </c>
      <c r="BK3009" s="8">
        <f>0</f>
        <v>0</v>
      </c>
      <c r="BL3009" s="7">
        <f>0</f>
        <v>0</v>
      </c>
      <c r="BM3009" s="5" t="s">
        <v>258</v>
      </c>
      <c r="BN3009" s="5" t="s">
        <v>259</v>
      </c>
      <c r="CB3009" s="5" t="s">
        <v>240</v>
      </c>
      <c r="CC3009" s="5" t="s">
        <v>240</v>
      </c>
      <c r="CG3009" s="5" t="s">
        <v>304</v>
      </c>
      <c r="CH3009" s="5" t="s">
        <v>305</v>
      </c>
      <c r="CI3009" s="5" t="s">
        <v>240</v>
      </c>
      <c r="CL3009" s="6" t="s">
        <v>261</v>
      </c>
      <c r="CM3009" s="5" t="s">
        <v>240</v>
      </c>
      <c r="CN3009" s="5" t="s">
        <v>263</v>
      </c>
      <c r="CO3009" s="5" t="s">
        <v>240</v>
      </c>
      <c r="CP3009" s="5" t="s">
        <v>240</v>
      </c>
      <c r="CQ3009" s="5">
        <v>0</v>
      </c>
      <c r="CR3009" s="5" t="s">
        <v>306</v>
      </c>
      <c r="CS3009" s="5" t="s">
        <v>307</v>
      </c>
      <c r="CT3009" s="5" t="s">
        <v>307</v>
      </c>
      <c r="CU3009" s="5" t="s">
        <v>260</v>
      </c>
      <c r="CX3009" s="7">
        <f>1</f>
        <v>1</v>
      </c>
      <c r="CY3009" s="7">
        <f>0</f>
        <v>0</v>
      </c>
      <c r="DA3009" s="7">
        <f>0</f>
        <v>0</v>
      </c>
      <c r="DC3009" s="5" t="s">
        <v>309</v>
      </c>
      <c r="DD3009" s="5" t="s">
        <v>240</v>
      </c>
      <c r="DF3009" s="5" t="s">
        <v>309</v>
      </c>
      <c r="DG3009" s="7">
        <f>130</f>
        <v>130</v>
      </c>
      <c r="DI3009" s="5" t="s">
        <v>240</v>
      </c>
      <c r="DJ3009" s="5" t="s">
        <v>240</v>
      </c>
      <c r="DK3009" s="5" t="s">
        <v>240</v>
      </c>
      <c r="DL3009" s="5" t="s">
        <v>240</v>
      </c>
      <c r="DP3009" s="5" t="s">
        <v>240</v>
      </c>
      <c r="DQ3009" s="5" t="s">
        <v>240</v>
      </c>
      <c r="DR3009" s="5" t="s">
        <v>240</v>
      </c>
      <c r="DS3009" s="5" t="s">
        <v>240</v>
      </c>
      <c r="DV3009" s="5" t="s">
        <v>310</v>
      </c>
      <c r="DW3009" s="5" t="s">
        <v>4029</v>
      </c>
      <c r="HO3009" s="5" t="s">
        <v>312</v>
      </c>
    </row>
    <row r="3010" spans="1:223" x14ac:dyDescent="0.4">
      <c r="A3010" s="5">
        <v>4714</v>
      </c>
      <c r="B3010" s="5">
        <v>1</v>
      </c>
      <c r="C3010" s="5">
        <v>1</v>
      </c>
      <c r="D3010" s="5" t="s">
        <v>810</v>
      </c>
      <c r="E3010" s="5" t="s">
        <v>245</v>
      </c>
      <c r="F3010" s="5" t="s">
        <v>254</v>
      </c>
      <c r="G3010" s="5" t="s">
        <v>240</v>
      </c>
      <c r="H3010" s="6" t="s">
        <v>2521</v>
      </c>
      <c r="I3010" s="5" t="s">
        <v>809</v>
      </c>
      <c r="J3010" s="8">
        <f>641</f>
        <v>641</v>
      </c>
      <c r="K3010" s="5" t="s">
        <v>308</v>
      </c>
      <c r="L3010" s="7">
        <f>1</f>
        <v>1</v>
      </c>
      <c r="M3010" s="7">
        <f>1</f>
        <v>1</v>
      </c>
      <c r="N3010" s="5" t="s">
        <v>242</v>
      </c>
      <c r="O3010" s="5">
        <v>1</v>
      </c>
      <c r="P3010" s="5" t="s">
        <v>294</v>
      </c>
      <c r="Q3010" s="5" t="s">
        <v>266</v>
      </c>
      <c r="R3010" s="5" t="s">
        <v>240</v>
      </c>
      <c r="S3010" s="5" t="s">
        <v>240</v>
      </c>
      <c r="T3010" s="5" t="s">
        <v>296</v>
      </c>
      <c r="U3010" s="5" t="s">
        <v>244</v>
      </c>
      <c r="V3010" s="5" t="s">
        <v>240</v>
      </c>
      <c r="Y3010" s="5" t="s">
        <v>240</v>
      </c>
      <c r="Z3010" s="6" t="s">
        <v>298</v>
      </c>
      <c r="AB3010" s="6" t="s">
        <v>240</v>
      </c>
      <c r="AE3010" s="6" t="s">
        <v>299</v>
      </c>
      <c r="AF3010" s="5" t="s">
        <v>248</v>
      </c>
      <c r="AG3010" s="5" t="s">
        <v>249</v>
      </c>
      <c r="AW3010" s="5" t="s">
        <v>251</v>
      </c>
      <c r="AX3010" s="5" t="s">
        <v>240</v>
      </c>
      <c r="AY3010" s="5" t="s">
        <v>253</v>
      </c>
      <c r="AZ3010" s="5" t="s">
        <v>240</v>
      </c>
      <c r="BA3010" s="5" t="s">
        <v>255</v>
      </c>
      <c r="BB3010" s="5" t="s">
        <v>240</v>
      </c>
      <c r="BD3010" s="5" t="s">
        <v>240</v>
      </c>
      <c r="BF3010" s="5" t="s">
        <v>301</v>
      </c>
      <c r="BG3010" s="6" t="s">
        <v>299</v>
      </c>
      <c r="BH3010" s="5" t="s">
        <v>302</v>
      </c>
      <c r="BI3010" s="5" t="s">
        <v>303</v>
      </c>
      <c r="BJ3010" s="5" t="s">
        <v>240</v>
      </c>
      <c r="BK3010" s="8">
        <f>0</f>
        <v>0</v>
      </c>
      <c r="BL3010" s="7">
        <f>0</f>
        <v>0</v>
      </c>
      <c r="BM3010" s="5" t="s">
        <v>258</v>
      </c>
      <c r="BN3010" s="5" t="s">
        <v>259</v>
      </c>
      <c r="CB3010" s="5" t="s">
        <v>240</v>
      </c>
      <c r="CC3010" s="5" t="s">
        <v>240</v>
      </c>
      <c r="CG3010" s="5" t="s">
        <v>304</v>
      </c>
      <c r="CH3010" s="5" t="s">
        <v>305</v>
      </c>
      <c r="CI3010" s="5" t="s">
        <v>240</v>
      </c>
      <c r="CL3010" s="6" t="s">
        <v>261</v>
      </c>
      <c r="CM3010" s="5" t="s">
        <v>240</v>
      </c>
      <c r="CN3010" s="5" t="s">
        <v>263</v>
      </c>
      <c r="CO3010" s="5" t="s">
        <v>240</v>
      </c>
      <c r="CP3010" s="5" t="s">
        <v>240</v>
      </c>
      <c r="CQ3010" s="5">
        <v>0</v>
      </c>
      <c r="CR3010" s="5" t="s">
        <v>306</v>
      </c>
      <c r="CS3010" s="5" t="s">
        <v>307</v>
      </c>
      <c r="CT3010" s="5" t="s">
        <v>307</v>
      </c>
      <c r="CU3010" s="5" t="s">
        <v>260</v>
      </c>
      <c r="CX3010" s="7">
        <f>1</f>
        <v>1</v>
      </c>
      <c r="CY3010" s="7">
        <f>0</f>
        <v>0</v>
      </c>
      <c r="DA3010" s="7">
        <f>0</f>
        <v>0</v>
      </c>
      <c r="DC3010" s="5" t="s">
        <v>309</v>
      </c>
      <c r="DD3010" s="5" t="s">
        <v>240</v>
      </c>
      <c r="DF3010" s="5" t="s">
        <v>309</v>
      </c>
      <c r="DG3010" s="7">
        <f>454</f>
        <v>454</v>
      </c>
      <c r="DI3010" s="5" t="s">
        <v>240</v>
      </c>
      <c r="DJ3010" s="5" t="s">
        <v>240</v>
      </c>
      <c r="DK3010" s="5" t="s">
        <v>240</v>
      </c>
      <c r="DL3010" s="5" t="s">
        <v>240</v>
      </c>
      <c r="DP3010" s="5" t="s">
        <v>240</v>
      </c>
      <c r="DQ3010" s="5" t="s">
        <v>240</v>
      </c>
      <c r="DR3010" s="5" t="s">
        <v>240</v>
      </c>
      <c r="DS3010" s="5" t="s">
        <v>240</v>
      </c>
      <c r="DV3010" s="5" t="s">
        <v>310</v>
      </c>
      <c r="DW3010" s="5" t="s">
        <v>4031</v>
      </c>
      <c r="HO3010" s="5" t="s">
        <v>312</v>
      </c>
    </row>
    <row r="3011" spans="1:223" x14ac:dyDescent="0.4">
      <c r="A3011" s="5">
        <v>4715</v>
      </c>
      <c r="B3011" s="5">
        <v>1</v>
      </c>
      <c r="C3011" s="5">
        <v>1</v>
      </c>
      <c r="D3011" s="5" t="s">
        <v>810</v>
      </c>
      <c r="E3011" s="5" t="s">
        <v>245</v>
      </c>
      <c r="F3011" s="5" t="s">
        <v>254</v>
      </c>
      <c r="G3011" s="5" t="s">
        <v>240</v>
      </c>
      <c r="H3011" s="6" t="s">
        <v>2519</v>
      </c>
      <c r="I3011" s="5" t="s">
        <v>809</v>
      </c>
      <c r="J3011" s="8">
        <f>625</f>
        <v>625</v>
      </c>
      <c r="K3011" s="5" t="s">
        <v>308</v>
      </c>
      <c r="L3011" s="7">
        <f>1</f>
        <v>1</v>
      </c>
      <c r="M3011" s="7">
        <f>1</f>
        <v>1</v>
      </c>
      <c r="N3011" s="5" t="s">
        <v>242</v>
      </c>
      <c r="O3011" s="5">
        <v>1</v>
      </c>
      <c r="P3011" s="5" t="s">
        <v>294</v>
      </c>
      <c r="Q3011" s="5" t="s">
        <v>266</v>
      </c>
      <c r="R3011" s="5" t="s">
        <v>240</v>
      </c>
      <c r="S3011" s="5" t="s">
        <v>240</v>
      </c>
      <c r="T3011" s="5" t="s">
        <v>296</v>
      </c>
      <c r="U3011" s="5" t="s">
        <v>244</v>
      </c>
      <c r="V3011" s="5" t="s">
        <v>240</v>
      </c>
      <c r="Y3011" s="5" t="s">
        <v>240</v>
      </c>
      <c r="Z3011" s="6" t="s">
        <v>298</v>
      </c>
      <c r="AB3011" s="6" t="s">
        <v>240</v>
      </c>
      <c r="AE3011" s="6" t="s">
        <v>299</v>
      </c>
      <c r="AF3011" s="5" t="s">
        <v>248</v>
      </c>
      <c r="AG3011" s="5" t="s">
        <v>249</v>
      </c>
      <c r="AW3011" s="5" t="s">
        <v>251</v>
      </c>
      <c r="AX3011" s="5" t="s">
        <v>240</v>
      </c>
      <c r="AY3011" s="5" t="s">
        <v>253</v>
      </c>
      <c r="AZ3011" s="5" t="s">
        <v>240</v>
      </c>
      <c r="BA3011" s="5" t="s">
        <v>255</v>
      </c>
      <c r="BB3011" s="5" t="s">
        <v>240</v>
      </c>
      <c r="BD3011" s="5" t="s">
        <v>240</v>
      </c>
      <c r="BF3011" s="5" t="s">
        <v>301</v>
      </c>
      <c r="BG3011" s="6" t="s">
        <v>299</v>
      </c>
      <c r="BH3011" s="5" t="s">
        <v>302</v>
      </c>
      <c r="BI3011" s="5" t="s">
        <v>303</v>
      </c>
      <c r="BJ3011" s="5" t="s">
        <v>240</v>
      </c>
      <c r="BK3011" s="8">
        <f>0</f>
        <v>0</v>
      </c>
      <c r="BL3011" s="7">
        <f>0</f>
        <v>0</v>
      </c>
      <c r="BM3011" s="5" t="s">
        <v>258</v>
      </c>
      <c r="BN3011" s="5" t="s">
        <v>259</v>
      </c>
      <c r="CB3011" s="5" t="s">
        <v>240</v>
      </c>
      <c r="CC3011" s="5" t="s">
        <v>240</v>
      </c>
      <c r="CG3011" s="5" t="s">
        <v>304</v>
      </c>
      <c r="CH3011" s="5" t="s">
        <v>305</v>
      </c>
      <c r="CI3011" s="5" t="s">
        <v>240</v>
      </c>
      <c r="CL3011" s="6" t="s">
        <v>261</v>
      </c>
      <c r="CM3011" s="5" t="s">
        <v>240</v>
      </c>
      <c r="CN3011" s="5" t="s">
        <v>263</v>
      </c>
      <c r="CO3011" s="5" t="s">
        <v>240</v>
      </c>
      <c r="CP3011" s="5" t="s">
        <v>240</v>
      </c>
      <c r="CQ3011" s="5">
        <v>0</v>
      </c>
      <c r="CR3011" s="5" t="s">
        <v>306</v>
      </c>
      <c r="CS3011" s="5" t="s">
        <v>307</v>
      </c>
      <c r="CT3011" s="5" t="s">
        <v>307</v>
      </c>
      <c r="CU3011" s="5" t="s">
        <v>260</v>
      </c>
      <c r="CX3011" s="7">
        <f>1</f>
        <v>1</v>
      </c>
      <c r="CY3011" s="7">
        <f>0</f>
        <v>0</v>
      </c>
      <c r="DA3011" s="7">
        <f>0</f>
        <v>0</v>
      </c>
      <c r="DC3011" s="5" t="s">
        <v>309</v>
      </c>
      <c r="DD3011" s="5" t="s">
        <v>240</v>
      </c>
      <c r="DF3011" s="5" t="s">
        <v>309</v>
      </c>
      <c r="DG3011" s="7">
        <f>1098</f>
        <v>1098</v>
      </c>
      <c r="DI3011" s="5" t="s">
        <v>240</v>
      </c>
      <c r="DJ3011" s="5" t="s">
        <v>240</v>
      </c>
      <c r="DK3011" s="5" t="s">
        <v>240</v>
      </c>
      <c r="DL3011" s="5" t="s">
        <v>240</v>
      </c>
      <c r="DP3011" s="5" t="s">
        <v>240</v>
      </c>
      <c r="DQ3011" s="5" t="s">
        <v>240</v>
      </c>
      <c r="DR3011" s="5" t="s">
        <v>240</v>
      </c>
      <c r="DS3011" s="5" t="s">
        <v>240</v>
      </c>
      <c r="DV3011" s="5" t="s">
        <v>310</v>
      </c>
      <c r="DW3011" s="5" t="s">
        <v>4033</v>
      </c>
      <c r="HO3011" s="5" t="s">
        <v>312</v>
      </c>
    </row>
    <row r="3012" spans="1:223" x14ac:dyDescent="0.4">
      <c r="A3012" s="5">
        <v>4716</v>
      </c>
      <c r="B3012" s="5">
        <v>1</v>
      </c>
      <c r="C3012" s="5">
        <v>1</v>
      </c>
      <c r="D3012" s="5" t="s">
        <v>810</v>
      </c>
      <c r="E3012" s="5" t="s">
        <v>245</v>
      </c>
      <c r="F3012" s="5" t="s">
        <v>254</v>
      </c>
      <c r="G3012" s="5" t="s">
        <v>240</v>
      </c>
      <c r="H3012" s="6" t="s">
        <v>2517</v>
      </c>
      <c r="I3012" s="5" t="s">
        <v>809</v>
      </c>
      <c r="J3012" s="8">
        <f>428</f>
        <v>428</v>
      </c>
      <c r="K3012" s="5" t="s">
        <v>308</v>
      </c>
      <c r="L3012" s="7">
        <f>1</f>
        <v>1</v>
      </c>
      <c r="M3012" s="7">
        <f>1</f>
        <v>1</v>
      </c>
      <c r="N3012" s="5" t="s">
        <v>242</v>
      </c>
      <c r="O3012" s="5">
        <v>1</v>
      </c>
      <c r="P3012" s="5" t="s">
        <v>294</v>
      </c>
      <c r="Q3012" s="5" t="s">
        <v>266</v>
      </c>
      <c r="R3012" s="5" t="s">
        <v>240</v>
      </c>
      <c r="S3012" s="5" t="s">
        <v>240</v>
      </c>
      <c r="T3012" s="5" t="s">
        <v>296</v>
      </c>
      <c r="U3012" s="5" t="s">
        <v>244</v>
      </c>
      <c r="V3012" s="5" t="s">
        <v>240</v>
      </c>
      <c r="Y3012" s="5" t="s">
        <v>240</v>
      </c>
      <c r="Z3012" s="6" t="s">
        <v>298</v>
      </c>
      <c r="AB3012" s="6" t="s">
        <v>240</v>
      </c>
      <c r="AE3012" s="6" t="s">
        <v>299</v>
      </c>
      <c r="AF3012" s="5" t="s">
        <v>248</v>
      </c>
      <c r="AG3012" s="5" t="s">
        <v>249</v>
      </c>
      <c r="AW3012" s="5" t="s">
        <v>251</v>
      </c>
      <c r="AX3012" s="5" t="s">
        <v>240</v>
      </c>
      <c r="AY3012" s="5" t="s">
        <v>253</v>
      </c>
      <c r="AZ3012" s="5" t="s">
        <v>240</v>
      </c>
      <c r="BA3012" s="5" t="s">
        <v>255</v>
      </c>
      <c r="BB3012" s="5" t="s">
        <v>240</v>
      </c>
      <c r="BD3012" s="5" t="s">
        <v>240</v>
      </c>
      <c r="BF3012" s="5" t="s">
        <v>301</v>
      </c>
      <c r="BG3012" s="6" t="s">
        <v>299</v>
      </c>
      <c r="BH3012" s="5" t="s">
        <v>302</v>
      </c>
      <c r="BI3012" s="5" t="s">
        <v>303</v>
      </c>
      <c r="BJ3012" s="5" t="s">
        <v>240</v>
      </c>
      <c r="BK3012" s="8">
        <f>0</f>
        <v>0</v>
      </c>
      <c r="BL3012" s="7">
        <f>0</f>
        <v>0</v>
      </c>
      <c r="BM3012" s="5" t="s">
        <v>258</v>
      </c>
      <c r="BN3012" s="5" t="s">
        <v>259</v>
      </c>
      <c r="CB3012" s="5" t="s">
        <v>240</v>
      </c>
      <c r="CC3012" s="5" t="s">
        <v>240</v>
      </c>
      <c r="CG3012" s="5" t="s">
        <v>304</v>
      </c>
      <c r="CH3012" s="5" t="s">
        <v>305</v>
      </c>
      <c r="CI3012" s="5" t="s">
        <v>240</v>
      </c>
      <c r="CL3012" s="6" t="s">
        <v>261</v>
      </c>
      <c r="CM3012" s="5" t="s">
        <v>240</v>
      </c>
      <c r="CN3012" s="5" t="s">
        <v>263</v>
      </c>
      <c r="CO3012" s="5" t="s">
        <v>240</v>
      </c>
      <c r="CP3012" s="5" t="s">
        <v>240</v>
      </c>
      <c r="CQ3012" s="5">
        <v>0</v>
      </c>
      <c r="CR3012" s="5" t="s">
        <v>306</v>
      </c>
      <c r="CS3012" s="5" t="s">
        <v>307</v>
      </c>
      <c r="CT3012" s="5" t="s">
        <v>307</v>
      </c>
      <c r="CU3012" s="5" t="s">
        <v>260</v>
      </c>
      <c r="CX3012" s="7">
        <f>1</f>
        <v>1</v>
      </c>
      <c r="CY3012" s="7">
        <f>0</f>
        <v>0</v>
      </c>
      <c r="DA3012" s="7">
        <f>0</f>
        <v>0</v>
      </c>
      <c r="DC3012" s="5" t="s">
        <v>309</v>
      </c>
      <c r="DD3012" s="5" t="s">
        <v>240</v>
      </c>
      <c r="DF3012" s="5" t="s">
        <v>309</v>
      </c>
      <c r="DG3012" s="7">
        <f>1321</f>
        <v>1321</v>
      </c>
      <c r="DI3012" s="5" t="s">
        <v>240</v>
      </c>
      <c r="DJ3012" s="5" t="s">
        <v>240</v>
      </c>
      <c r="DK3012" s="5" t="s">
        <v>240</v>
      </c>
      <c r="DL3012" s="5" t="s">
        <v>240</v>
      </c>
      <c r="DP3012" s="5" t="s">
        <v>240</v>
      </c>
      <c r="DQ3012" s="5" t="s">
        <v>240</v>
      </c>
      <c r="DR3012" s="5" t="s">
        <v>240</v>
      </c>
      <c r="DS3012" s="5" t="s">
        <v>240</v>
      </c>
      <c r="DV3012" s="5" t="s">
        <v>310</v>
      </c>
      <c r="DW3012" s="5" t="s">
        <v>5223</v>
      </c>
      <c r="HO3012" s="5" t="s">
        <v>312</v>
      </c>
    </row>
    <row r="3013" spans="1:223" x14ac:dyDescent="0.4">
      <c r="A3013" s="5">
        <v>4717</v>
      </c>
      <c r="B3013" s="5">
        <v>1</v>
      </c>
      <c r="C3013" s="5">
        <v>1</v>
      </c>
      <c r="D3013" s="5" t="s">
        <v>810</v>
      </c>
      <c r="E3013" s="5" t="s">
        <v>245</v>
      </c>
      <c r="F3013" s="5" t="s">
        <v>254</v>
      </c>
      <c r="G3013" s="5" t="s">
        <v>240</v>
      </c>
      <c r="H3013" s="6" t="s">
        <v>2515</v>
      </c>
      <c r="I3013" s="5" t="s">
        <v>809</v>
      </c>
      <c r="J3013" s="8">
        <f>1701</f>
        <v>1701</v>
      </c>
      <c r="K3013" s="5" t="s">
        <v>308</v>
      </c>
      <c r="L3013" s="7">
        <f>1</f>
        <v>1</v>
      </c>
      <c r="M3013" s="7">
        <f>1</f>
        <v>1</v>
      </c>
      <c r="N3013" s="5" t="s">
        <v>242</v>
      </c>
      <c r="O3013" s="5">
        <v>1</v>
      </c>
      <c r="P3013" s="5" t="s">
        <v>294</v>
      </c>
      <c r="Q3013" s="5" t="s">
        <v>266</v>
      </c>
      <c r="R3013" s="5" t="s">
        <v>240</v>
      </c>
      <c r="S3013" s="5" t="s">
        <v>240</v>
      </c>
      <c r="T3013" s="5" t="s">
        <v>296</v>
      </c>
      <c r="U3013" s="5" t="s">
        <v>244</v>
      </c>
      <c r="V3013" s="5" t="s">
        <v>240</v>
      </c>
      <c r="Y3013" s="5" t="s">
        <v>240</v>
      </c>
      <c r="Z3013" s="6" t="s">
        <v>298</v>
      </c>
      <c r="AB3013" s="6" t="s">
        <v>240</v>
      </c>
      <c r="AE3013" s="6" t="s">
        <v>299</v>
      </c>
      <c r="AF3013" s="5" t="s">
        <v>248</v>
      </c>
      <c r="AG3013" s="5" t="s">
        <v>249</v>
      </c>
      <c r="AW3013" s="5" t="s">
        <v>251</v>
      </c>
      <c r="AX3013" s="5" t="s">
        <v>240</v>
      </c>
      <c r="AY3013" s="5" t="s">
        <v>253</v>
      </c>
      <c r="AZ3013" s="5" t="s">
        <v>240</v>
      </c>
      <c r="BA3013" s="5" t="s">
        <v>255</v>
      </c>
      <c r="BB3013" s="5" t="s">
        <v>240</v>
      </c>
      <c r="BD3013" s="5" t="s">
        <v>240</v>
      </c>
      <c r="BF3013" s="5" t="s">
        <v>301</v>
      </c>
      <c r="BG3013" s="6" t="s">
        <v>299</v>
      </c>
      <c r="BH3013" s="5" t="s">
        <v>302</v>
      </c>
      <c r="BI3013" s="5" t="s">
        <v>303</v>
      </c>
      <c r="BJ3013" s="5" t="s">
        <v>240</v>
      </c>
      <c r="BK3013" s="8">
        <f>0</f>
        <v>0</v>
      </c>
      <c r="BL3013" s="7">
        <f>0</f>
        <v>0</v>
      </c>
      <c r="BM3013" s="5" t="s">
        <v>258</v>
      </c>
      <c r="BN3013" s="5" t="s">
        <v>259</v>
      </c>
      <c r="CB3013" s="5" t="s">
        <v>240</v>
      </c>
      <c r="CC3013" s="5" t="s">
        <v>240</v>
      </c>
      <c r="CG3013" s="5" t="s">
        <v>304</v>
      </c>
      <c r="CH3013" s="5" t="s">
        <v>305</v>
      </c>
      <c r="CI3013" s="5" t="s">
        <v>240</v>
      </c>
      <c r="CL3013" s="6" t="s">
        <v>261</v>
      </c>
      <c r="CM3013" s="5" t="s">
        <v>240</v>
      </c>
      <c r="CN3013" s="5" t="s">
        <v>263</v>
      </c>
      <c r="CO3013" s="5" t="s">
        <v>240</v>
      </c>
      <c r="CP3013" s="5" t="s">
        <v>240</v>
      </c>
      <c r="CQ3013" s="5">
        <v>0</v>
      </c>
      <c r="CR3013" s="5" t="s">
        <v>306</v>
      </c>
      <c r="CS3013" s="5" t="s">
        <v>307</v>
      </c>
      <c r="CT3013" s="5" t="s">
        <v>307</v>
      </c>
      <c r="CU3013" s="5" t="s">
        <v>260</v>
      </c>
      <c r="CX3013" s="7">
        <f>1</f>
        <v>1</v>
      </c>
      <c r="CY3013" s="7">
        <f>0</f>
        <v>0</v>
      </c>
      <c r="DA3013" s="7">
        <f>0</f>
        <v>0</v>
      </c>
      <c r="DC3013" s="5" t="s">
        <v>309</v>
      </c>
      <c r="DD3013" s="5" t="s">
        <v>240</v>
      </c>
      <c r="DF3013" s="5" t="s">
        <v>309</v>
      </c>
      <c r="DG3013" s="7">
        <f>1118</f>
        <v>1118</v>
      </c>
      <c r="DI3013" s="5" t="s">
        <v>240</v>
      </c>
      <c r="DJ3013" s="5" t="s">
        <v>240</v>
      </c>
      <c r="DK3013" s="5" t="s">
        <v>240</v>
      </c>
      <c r="DL3013" s="5" t="s">
        <v>240</v>
      </c>
      <c r="DP3013" s="5" t="s">
        <v>240</v>
      </c>
      <c r="DQ3013" s="5" t="s">
        <v>240</v>
      </c>
      <c r="DR3013" s="5" t="s">
        <v>240</v>
      </c>
      <c r="DS3013" s="5" t="s">
        <v>240</v>
      </c>
      <c r="DV3013" s="5" t="s">
        <v>310</v>
      </c>
      <c r="DW3013" s="5" t="s">
        <v>4036</v>
      </c>
      <c r="HO3013" s="5" t="s">
        <v>312</v>
      </c>
    </row>
    <row r="3014" spans="1:223" x14ac:dyDescent="0.4">
      <c r="A3014" s="5">
        <v>4718</v>
      </c>
      <c r="B3014" s="5">
        <v>1</v>
      </c>
      <c r="C3014" s="5">
        <v>1</v>
      </c>
      <c r="D3014" s="5" t="s">
        <v>810</v>
      </c>
      <c r="E3014" s="5" t="s">
        <v>245</v>
      </c>
      <c r="F3014" s="5" t="s">
        <v>254</v>
      </c>
      <c r="G3014" s="5" t="s">
        <v>240</v>
      </c>
      <c r="H3014" s="6" t="s">
        <v>2513</v>
      </c>
      <c r="I3014" s="5" t="s">
        <v>809</v>
      </c>
      <c r="J3014" s="8">
        <f>470</f>
        <v>470</v>
      </c>
      <c r="K3014" s="5" t="s">
        <v>308</v>
      </c>
      <c r="L3014" s="7">
        <f>1</f>
        <v>1</v>
      </c>
      <c r="M3014" s="7">
        <f>1</f>
        <v>1</v>
      </c>
      <c r="N3014" s="5" t="s">
        <v>242</v>
      </c>
      <c r="O3014" s="5">
        <v>1</v>
      </c>
      <c r="P3014" s="5" t="s">
        <v>294</v>
      </c>
      <c r="Q3014" s="5" t="s">
        <v>266</v>
      </c>
      <c r="R3014" s="5" t="s">
        <v>240</v>
      </c>
      <c r="S3014" s="5" t="s">
        <v>240</v>
      </c>
      <c r="T3014" s="5" t="s">
        <v>296</v>
      </c>
      <c r="U3014" s="5" t="s">
        <v>244</v>
      </c>
      <c r="V3014" s="5" t="s">
        <v>240</v>
      </c>
      <c r="Y3014" s="5" t="s">
        <v>240</v>
      </c>
      <c r="Z3014" s="6" t="s">
        <v>298</v>
      </c>
      <c r="AB3014" s="6" t="s">
        <v>240</v>
      </c>
      <c r="AE3014" s="6" t="s">
        <v>299</v>
      </c>
      <c r="AF3014" s="5" t="s">
        <v>248</v>
      </c>
      <c r="AG3014" s="5" t="s">
        <v>249</v>
      </c>
      <c r="AW3014" s="5" t="s">
        <v>251</v>
      </c>
      <c r="AX3014" s="5" t="s">
        <v>240</v>
      </c>
      <c r="AY3014" s="5" t="s">
        <v>253</v>
      </c>
      <c r="AZ3014" s="5" t="s">
        <v>240</v>
      </c>
      <c r="BA3014" s="5" t="s">
        <v>255</v>
      </c>
      <c r="BB3014" s="5" t="s">
        <v>240</v>
      </c>
      <c r="BD3014" s="5" t="s">
        <v>240</v>
      </c>
      <c r="BF3014" s="5" t="s">
        <v>301</v>
      </c>
      <c r="BG3014" s="6" t="s">
        <v>299</v>
      </c>
      <c r="BH3014" s="5" t="s">
        <v>302</v>
      </c>
      <c r="BI3014" s="5" t="s">
        <v>303</v>
      </c>
      <c r="BJ3014" s="5" t="s">
        <v>240</v>
      </c>
      <c r="BK3014" s="8">
        <f>0</f>
        <v>0</v>
      </c>
      <c r="BL3014" s="7">
        <f>0</f>
        <v>0</v>
      </c>
      <c r="BM3014" s="5" t="s">
        <v>258</v>
      </c>
      <c r="BN3014" s="5" t="s">
        <v>259</v>
      </c>
      <c r="CB3014" s="5" t="s">
        <v>240</v>
      </c>
      <c r="CC3014" s="5" t="s">
        <v>240</v>
      </c>
      <c r="CG3014" s="5" t="s">
        <v>304</v>
      </c>
      <c r="CH3014" s="5" t="s">
        <v>305</v>
      </c>
      <c r="CI3014" s="5" t="s">
        <v>240</v>
      </c>
      <c r="CL3014" s="6" t="s">
        <v>261</v>
      </c>
      <c r="CM3014" s="5" t="s">
        <v>240</v>
      </c>
      <c r="CN3014" s="5" t="s">
        <v>263</v>
      </c>
      <c r="CO3014" s="5" t="s">
        <v>240</v>
      </c>
      <c r="CP3014" s="5" t="s">
        <v>240</v>
      </c>
      <c r="CQ3014" s="5">
        <v>0</v>
      </c>
      <c r="CR3014" s="5" t="s">
        <v>306</v>
      </c>
      <c r="CS3014" s="5" t="s">
        <v>307</v>
      </c>
      <c r="CT3014" s="5" t="s">
        <v>307</v>
      </c>
      <c r="CU3014" s="5" t="s">
        <v>260</v>
      </c>
      <c r="CX3014" s="7">
        <f>1</f>
        <v>1</v>
      </c>
      <c r="CY3014" s="7">
        <f>0</f>
        <v>0</v>
      </c>
      <c r="DA3014" s="7">
        <f>0</f>
        <v>0</v>
      </c>
      <c r="DC3014" s="5" t="s">
        <v>812</v>
      </c>
      <c r="DD3014" s="5" t="s">
        <v>240</v>
      </c>
      <c r="DF3014" s="5" t="s">
        <v>812</v>
      </c>
      <c r="DG3014" s="7">
        <f>2277</f>
        <v>2277</v>
      </c>
      <c r="DI3014" s="5" t="s">
        <v>240</v>
      </c>
      <c r="DJ3014" s="5" t="s">
        <v>240</v>
      </c>
      <c r="DK3014" s="5" t="s">
        <v>240</v>
      </c>
      <c r="DL3014" s="5" t="s">
        <v>240</v>
      </c>
      <c r="DP3014" s="5" t="s">
        <v>240</v>
      </c>
      <c r="DQ3014" s="5" t="s">
        <v>240</v>
      </c>
      <c r="DR3014" s="5" t="s">
        <v>240</v>
      </c>
      <c r="DS3014" s="5" t="s">
        <v>240</v>
      </c>
      <c r="DV3014" s="5" t="s">
        <v>813</v>
      </c>
      <c r="DW3014" s="5" t="s">
        <v>326</v>
      </c>
      <c r="HO3014" s="5" t="s">
        <v>312</v>
      </c>
    </row>
    <row r="3015" spans="1:223" x14ac:dyDescent="0.4">
      <c r="A3015" s="5">
        <v>4719</v>
      </c>
      <c r="B3015" s="5">
        <v>1</v>
      </c>
      <c r="C3015" s="5">
        <v>1</v>
      </c>
      <c r="D3015" s="5" t="s">
        <v>810</v>
      </c>
      <c r="E3015" s="5" t="s">
        <v>245</v>
      </c>
      <c r="F3015" s="5" t="s">
        <v>254</v>
      </c>
      <c r="G3015" s="5" t="s">
        <v>240</v>
      </c>
      <c r="H3015" s="6" t="s">
        <v>2511</v>
      </c>
      <c r="I3015" s="5" t="s">
        <v>809</v>
      </c>
      <c r="J3015" s="8">
        <f>1191</f>
        <v>1191</v>
      </c>
      <c r="K3015" s="5" t="s">
        <v>308</v>
      </c>
      <c r="L3015" s="7">
        <f>1</f>
        <v>1</v>
      </c>
      <c r="M3015" s="7">
        <f>1</f>
        <v>1</v>
      </c>
      <c r="N3015" s="5" t="s">
        <v>242</v>
      </c>
      <c r="O3015" s="5">
        <v>1</v>
      </c>
      <c r="P3015" s="5" t="s">
        <v>294</v>
      </c>
      <c r="Q3015" s="5" t="s">
        <v>266</v>
      </c>
      <c r="R3015" s="5" t="s">
        <v>240</v>
      </c>
      <c r="S3015" s="5" t="s">
        <v>240</v>
      </c>
      <c r="T3015" s="5" t="s">
        <v>296</v>
      </c>
      <c r="U3015" s="5" t="s">
        <v>244</v>
      </c>
      <c r="V3015" s="5" t="s">
        <v>240</v>
      </c>
      <c r="Y3015" s="5" t="s">
        <v>240</v>
      </c>
      <c r="Z3015" s="6" t="s">
        <v>298</v>
      </c>
      <c r="AB3015" s="6" t="s">
        <v>240</v>
      </c>
      <c r="AE3015" s="6" t="s">
        <v>299</v>
      </c>
      <c r="AF3015" s="5" t="s">
        <v>248</v>
      </c>
      <c r="AG3015" s="5" t="s">
        <v>249</v>
      </c>
      <c r="AW3015" s="5" t="s">
        <v>251</v>
      </c>
      <c r="AX3015" s="5" t="s">
        <v>240</v>
      </c>
      <c r="AY3015" s="5" t="s">
        <v>253</v>
      </c>
      <c r="AZ3015" s="5" t="s">
        <v>240</v>
      </c>
      <c r="BA3015" s="5" t="s">
        <v>255</v>
      </c>
      <c r="BB3015" s="5" t="s">
        <v>240</v>
      </c>
      <c r="BD3015" s="5" t="s">
        <v>240</v>
      </c>
      <c r="BF3015" s="5" t="s">
        <v>301</v>
      </c>
      <c r="BG3015" s="6" t="s">
        <v>299</v>
      </c>
      <c r="BH3015" s="5" t="s">
        <v>302</v>
      </c>
      <c r="BI3015" s="5" t="s">
        <v>303</v>
      </c>
      <c r="BJ3015" s="5" t="s">
        <v>240</v>
      </c>
      <c r="BK3015" s="8">
        <f>0</f>
        <v>0</v>
      </c>
      <c r="BL3015" s="7">
        <f>0</f>
        <v>0</v>
      </c>
      <c r="BM3015" s="5" t="s">
        <v>258</v>
      </c>
      <c r="BN3015" s="5" t="s">
        <v>259</v>
      </c>
      <c r="CB3015" s="5" t="s">
        <v>240</v>
      </c>
      <c r="CC3015" s="5" t="s">
        <v>240</v>
      </c>
      <c r="CG3015" s="5" t="s">
        <v>304</v>
      </c>
      <c r="CH3015" s="5" t="s">
        <v>305</v>
      </c>
      <c r="CI3015" s="5" t="s">
        <v>240</v>
      </c>
      <c r="CL3015" s="6" t="s">
        <v>261</v>
      </c>
      <c r="CM3015" s="5" t="s">
        <v>240</v>
      </c>
      <c r="CN3015" s="5" t="s">
        <v>263</v>
      </c>
      <c r="CO3015" s="5" t="s">
        <v>240</v>
      </c>
      <c r="CP3015" s="5" t="s">
        <v>240</v>
      </c>
      <c r="CQ3015" s="5">
        <v>0</v>
      </c>
      <c r="CR3015" s="5" t="s">
        <v>306</v>
      </c>
      <c r="CS3015" s="5" t="s">
        <v>307</v>
      </c>
      <c r="CT3015" s="5" t="s">
        <v>307</v>
      </c>
      <c r="CU3015" s="5" t="s">
        <v>260</v>
      </c>
      <c r="CX3015" s="7">
        <f>1</f>
        <v>1</v>
      </c>
      <c r="CY3015" s="7">
        <f>0</f>
        <v>0</v>
      </c>
      <c r="DA3015" s="7">
        <f>0</f>
        <v>0</v>
      </c>
      <c r="DC3015" s="5" t="s">
        <v>309</v>
      </c>
      <c r="DD3015" s="5" t="s">
        <v>240</v>
      </c>
      <c r="DF3015" s="5" t="s">
        <v>309</v>
      </c>
      <c r="DG3015" s="7">
        <f>302</f>
        <v>302</v>
      </c>
      <c r="DI3015" s="5" t="s">
        <v>240</v>
      </c>
      <c r="DJ3015" s="5" t="s">
        <v>240</v>
      </c>
      <c r="DK3015" s="5" t="s">
        <v>240</v>
      </c>
      <c r="DL3015" s="5" t="s">
        <v>240</v>
      </c>
      <c r="DP3015" s="5" t="s">
        <v>240</v>
      </c>
      <c r="DQ3015" s="5" t="s">
        <v>240</v>
      </c>
      <c r="DR3015" s="5" t="s">
        <v>240</v>
      </c>
      <c r="DS3015" s="5" t="s">
        <v>240</v>
      </c>
      <c r="DV3015" s="5" t="s">
        <v>310</v>
      </c>
      <c r="DW3015" s="5" t="s">
        <v>4040</v>
      </c>
      <c r="HO3015" s="5" t="s">
        <v>312</v>
      </c>
    </row>
    <row r="3016" spans="1:223" x14ac:dyDescent="0.4">
      <c r="A3016" s="5">
        <v>4720</v>
      </c>
      <c r="B3016" s="5">
        <v>1</v>
      </c>
      <c r="C3016" s="5">
        <v>1</v>
      </c>
      <c r="D3016" s="5" t="s">
        <v>810</v>
      </c>
      <c r="E3016" s="5" t="s">
        <v>245</v>
      </c>
      <c r="F3016" s="5" t="s">
        <v>254</v>
      </c>
      <c r="G3016" s="5" t="s">
        <v>240</v>
      </c>
      <c r="H3016" s="6" t="s">
        <v>2509</v>
      </c>
      <c r="I3016" s="5" t="s">
        <v>809</v>
      </c>
      <c r="J3016" s="8">
        <f>1744</f>
        <v>1744</v>
      </c>
      <c r="K3016" s="5" t="s">
        <v>308</v>
      </c>
      <c r="L3016" s="7">
        <f>1</f>
        <v>1</v>
      </c>
      <c r="M3016" s="7">
        <f>1</f>
        <v>1</v>
      </c>
      <c r="N3016" s="5" t="s">
        <v>242</v>
      </c>
      <c r="O3016" s="5">
        <v>1</v>
      </c>
      <c r="P3016" s="5" t="s">
        <v>294</v>
      </c>
      <c r="Q3016" s="5" t="s">
        <v>266</v>
      </c>
      <c r="R3016" s="5" t="s">
        <v>240</v>
      </c>
      <c r="S3016" s="5" t="s">
        <v>240</v>
      </c>
      <c r="T3016" s="5" t="s">
        <v>296</v>
      </c>
      <c r="U3016" s="5" t="s">
        <v>244</v>
      </c>
      <c r="V3016" s="5" t="s">
        <v>240</v>
      </c>
      <c r="Y3016" s="5" t="s">
        <v>240</v>
      </c>
      <c r="Z3016" s="6" t="s">
        <v>298</v>
      </c>
      <c r="AB3016" s="6" t="s">
        <v>240</v>
      </c>
      <c r="AE3016" s="6" t="s">
        <v>299</v>
      </c>
      <c r="AF3016" s="5" t="s">
        <v>248</v>
      </c>
      <c r="AG3016" s="5" t="s">
        <v>249</v>
      </c>
      <c r="AW3016" s="5" t="s">
        <v>251</v>
      </c>
      <c r="AX3016" s="5" t="s">
        <v>240</v>
      </c>
      <c r="AY3016" s="5" t="s">
        <v>253</v>
      </c>
      <c r="AZ3016" s="5" t="s">
        <v>240</v>
      </c>
      <c r="BA3016" s="5" t="s">
        <v>255</v>
      </c>
      <c r="BB3016" s="5" t="s">
        <v>240</v>
      </c>
      <c r="BD3016" s="5" t="s">
        <v>240</v>
      </c>
      <c r="BF3016" s="5" t="s">
        <v>301</v>
      </c>
      <c r="BG3016" s="6" t="s">
        <v>299</v>
      </c>
      <c r="BH3016" s="5" t="s">
        <v>302</v>
      </c>
      <c r="BI3016" s="5" t="s">
        <v>303</v>
      </c>
      <c r="BJ3016" s="5" t="s">
        <v>240</v>
      </c>
      <c r="BK3016" s="8">
        <f>0</f>
        <v>0</v>
      </c>
      <c r="BL3016" s="7">
        <f>0</f>
        <v>0</v>
      </c>
      <c r="BM3016" s="5" t="s">
        <v>258</v>
      </c>
      <c r="BN3016" s="5" t="s">
        <v>259</v>
      </c>
      <c r="CB3016" s="5" t="s">
        <v>240</v>
      </c>
      <c r="CC3016" s="5" t="s">
        <v>240</v>
      </c>
      <c r="CG3016" s="5" t="s">
        <v>304</v>
      </c>
      <c r="CH3016" s="5" t="s">
        <v>305</v>
      </c>
      <c r="CI3016" s="5" t="s">
        <v>240</v>
      </c>
      <c r="CL3016" s="6" t="s">
        <v>261</v>
      </c>
      <c r="CM3016" s="5" t="s">
        <v>240</v>
      </c>
      <c r="CN3016" s="5" t="s">
        <v>263</v>
      </c>
      <c r="CO3016" s="5" t="s">
        <v>240</v>
      </c>
      <c r="CP3016" s="5" t="s">
        <v>240</v>
      </c>
      <c r="CQ3016" s="5">
        <v>0</v>
      </c>
      <c r="CR3016" s="5" t="s">
        <v>306</v>
      </c>
      <c r="CS3016" s="5" t="s">
        <v>307</v>
      </c>
      <c r="CT3016" s="5" t="s">
        <v>307</v>
      </c>
      <c r="CU3016" s="5" t="s">
        <v>260</v>
      </c>
      <c r="CX3016" s="7">
        <f>1</f>
        <v>1</v>
      </c>
      <c r="CY3016" s="7">
        <f>0</f>
        <v>0</v>
      </c>
      <c r="DA3016" s="7">
        <f>0</f>
        <v>0</v>
      </c>
      <c r="DC3016" s="5" t="s">
        <v>309</v>
      </c>
      <c r="DD3016" s="5" t="s">
        <v>240</v>
      </c>
      <c r="DF3016" s="5" t="s">
        <v>309</v>
      </c>
      <c r="DG3016" s="7">
        <f>383</f>
        <v>383</v>
      </c>
      <c r="DI3016" s="5" t="s">
        <v>240</v>
      </c>
      <c r="DJ3016" s="5" t="s">
        <v>240</v>
      </c>
      <c r="DK3016" s="5" t="s">
        <v>240</v>
      </c>
      <c r="DL3016" s="5" t="s">
        <v>240</v>
      </c>
      <c r="DP3016" s="5" t="s">
        <v>240</v>
      </c>
      <c r="DQ3016" s="5" t="s">
        <v>240</v>
      </c>
      <c r="DR3016" s="5" t="s">
        <v>240</v>
      </c>
      <c r="DS3016" s="5" t="s">
        <v>240</v>
      </c>
      <c r="DV3016" s="5" t="s">
        <v>310</v>
      </c>
      <c r="DW3016" s="5" t="s">
        <v>4042</v>
      </c>
      <c r="HO3016" s="5" t="s">
        <v>312</v>
      </c>
    </row>
    <row r="3017" spans="1:223" x14ac:dyDescent="0.4">
      <c r="A3017" s="5">
        <v>4721</v>
      </c>
      <c r="B3017" s="5">
        <v>1</v>
      </c>
      <c r="C3017" s="5">
        <v>1</v>
      </c>
      <c r="D3017" s="5" t="s">
        <v>810</v>
      </c>
      <c r="E3017" s="5" t="s">
        <v>245</v>
      </c>
      <c r="F3017" s="5" t="s">
        <v>254</v>
      </c>
      <c r="G3017" s="5" t="s">
        <v>240</v>
      </c>
      <c r="H3017" s="6" t="s">
        <v>2507</v>
      </c>
      <c r="I3017" s="5" t="s">
        <v>809</v>
      </c>
      <c r="J3017" s="8">
        <f>941</f>
        <v>941</v>
      </c>
      <c r="K3017" s="5" t="s">
        <v>308</v>
      </c>
      <c r="L3017" s="7">
        <f>1</f>
        <v>1</v>
      </c>
      <c r="M3017" s="7">
        <f>1</f>
        <v>1</v>
      </c>
      <c r="N3017" s="5" t="s">
        <v>242</v>
      </c>
      <c r="O3017" s="5">
        <v>1</v>
      </c>
      <c r="P3017" s="5" t="s">
        <v>294</v>
      </c>
      <c r="Q3017" s="5" t="s">
        <v>266</v>
      </c>
      <c r="R3017" s="5" t="s">
        <v>240</v>
      </c>
      <c r="S3017" s="5" t="s">
        <v>240</v>
      </c>
      <c r="T3017" s="5" t="s">
        <v>296</v>
      </c>
      <c r="U3017" s="5" t="s">
        <v>244</v>
      </c>
      <c r="V3017" s="5" t="s">
        <v>240</v>
      </c>
      <c r="Y3017" s="5" t="s">
        <v>240</v>
      </c>
      <c r="Z3017" s="6" t="s">
        <v>298</v>
      </c>
      <c r="AB3017" s="6" t="s">
        <v>240</v>
      </c>
      <c r="AE3017" s="6" t="s">
        <v>299</v>
      </c>
      <c r="AF3017" s="5" t="s">
        <v>248</v>
      </c>
      <c r="AG3017" s="5" t="s">
        <v>249</v>
      </c>
      <c r="AW3017" s="5" t="s">
        <v>251</v>
      </c>
      <c r="AX3017" s="5" t="s">
        <v>240</v>
      </c>
      <c r="AY3017" s="5" t="s">
        <v>253</v>
      </c>
      <c r="AZ3017" s="5" t="s">
        <v>240</v>
      </c>
      <c r="BA3017" s="5" t="s">
        <v>255</v>
      </c>
      <c r="BB3017" s="5" t="s">
        <v>240</v>
      </c>
      <c r="BD3017" s="5" t="s">
        <v>240</v>
      </c>
      <c r="BF3017" s="5" t="s">
        <v>301</v>
      </c>
      <c r="BG3017" s="6" t="s">
        <v>299</v>
      </c>
      <c r="BH3017" s="5" t="s">
        <v>302</v>
      </c>
      <c r="BI3017" s="5" t="s">
        <v>303</v>
      </c>
      <c r="BJ3017" s="5" t="s">
        <v>240</v>
      </c>
      <c r="BK3017" s="8">
        <f>0</f>
        <v>0</v>
      </c>
      <c r="BL3017" s="7">
        <f>0</f>
        <v>0</v>
      </c>
      <c r="BM3017" s="5" t="s">
        <v>258</v>
      </c>
      <c r="BN3017" s="5" t="s">
        <v>259</v>
      </c>
      <c r="CB3017" s="5" t="s">
        <v>240</v>
      </c>
      <c r="CC3017" s="5" t="s">
        <v>240</v>
      </c>
      <c r="CG3017" s="5" t="s">
        <v>304</v>
      </c>
      <c r="CH3017" s="5" t="s">
        <v>305</v>
      </c>
      <c r="CI3017" s="5" t="s">
        <v>240</v>
      </c>
      <c r="CL3017" s="6" t="s">
        <v>261</v>
      </c>
      <c r="CM3017" s="5" t="s">
        <v>240</v>
      </c>
      <c r="CN3017" s="5" t="s">
        <v>263</v>
      </c>
      <c r="CO3017" s="5" t="s">
        <v>240</v>
      </c>
      <c r="CP3017" s="5" t="s">
        <v>240</v>
      </c>
      <c r="CQ3017" s="5">
        <v>0</v>
      </c>
      <c r="CR3017" s="5" t="s">
        <v>306</v>
      </c>
      <c r="CS3017" s="5" t="s">
        <v>307</v>
      </c>
      <c r="CT3017" s="5" t="s">
        <v>307</v>
      </c>
      <c r="CU3017" s="5" t="s">
        <v>260</v>
      </c>
      <c r="CX3017" s="7">
        <f>1</f>
        <v>1</v>
      </c>
      <c r="CY3017" s="7">
        <f>0</f>
        <v>0</v>
      </c>
      <c r="DA3017" s="7">
        <f>0</f>
        <v>0</v>
      </c>
      <c r="DC3017" s="5" t="s">
        <v>309</v>
      </c>
      <c r="DD3017" s="5" t="s">
        <v>240</v>
      </c>
      <c r="DF3017" s="5" t="s">
        <v>309</v>
      </c>
      <c r="DG3017" s="7">
        <f>7492</f>
        <v>7492</v>
      </c>
      <c r="DI3017" s="5" t="s">
        <v>240</v>
      </c>
      <c r="DJ3017" s="5" t="s">
        <v>240</v>
      </c>
      <c r="DK3017" s="5" t="s">
        <v>240</v>
      </c>
      <c r="DL3017" s="5" t="s">
        <v>240</v>
      </c>
      <c r="DP3017" s="5" t="s">
        <v>240</v>
      </c>
      <c r="DQ3017" s="5" t="s">
        <v>240</v>
      </c>
      <c r="DR3017" s="5" t="s">
        <v>240</v>
      </c>
      <c r="DS3017" s="5" t="s">
        <v>240</v>
      </c>
      <c r="DV3017" s="5" t="s">
        <v>310</v>
      </c>
      <c r="DW3017" s="5" t="s">
        <v>4044</v>
      </c>
      <c r="HO3017" s="5" t="s">
        <v>312</v>
      </c>
    </row>
    <row r="3018" spans="1:223" x14ac:dyDescent="0.4">
      <c r="A3018" s="5">
        <v>4722</v>
      </c>
      <c r="B3018" s="5">
        <v>1</v>
      </c>
      <c r="C3018" s="5">
        <v>1</v>
      </c>
      <c r="D3018" s="5" t="s">
        <v>810</v>
      </c>
      <c r="E3018" s="5" t="s">
        <v>245</v>
      </c>
      <c r="F3018" s="5" t="s">
        <v>254</v>
      </c>
      <c r="G3018" s="5" t="s">
        <v>240</v>
      </c>
      <c r="H3018" s="6" t="s">
        <v>2505</v>
      </c>
      <c r="I3018" s="5" t="s">
        <v>809</v>
      </c>
      <c r="J3018" s="8">
        <f>463</f>
        <v>463</v>
      </c>
      <c r="K3018" s="5" t="s">
        <v>308</v>
      </c>
      <c r="L3018" s="7">
        <f>1</f>
        <v>1</v>
      </c>
      <c r="M3018" s="7">
        <f>1</f>
        <v>1</v>
      </c>
      <c r="N3018" s="5" t="s">
        <v>242</v>
      </c>
      <c r="O3018" s="5">
        <v>1</v>
      </c>
      <c r="P3018" s="5" t="s">
        <v>294</v>
      </c>
      <c r="Q3018" s="5" t="s">
        <v>266</v>
      </c>
      <c r="R3018" s="5" t="s">
        <v>240</v>
      </c>
      <c r="S3018" s="5" t="s">
        <v>240</v>
      </c>
      <c r="T3018" s="5" t="s">
        <v>296</v>
      </c>
      <c r="U3018" s="5" t="s">
        <v>244</v>
      </c>
      <c r="V3018" s="5" t="s">
        <v>240</v>
      </c>
      <c r="Y3018" s="5" t="s">
        <v>240</v>
      </c>
      <c r="Z3018" s="6" t="s">
        <v>298</v>
      </c>
      <c r="AB3018" s="6" t="s">
        <v>240</v>
      </c>
      <c r="AE3018" s="6" t="s">
        <v>299</v>
      </c>
      <c r="AF3018" s="5" t="s">
        <v>248</v>
      </c>
      <c r="AG3018" s="5" t="s">
        <v>249</v>
      </c>
      <c r="AW3018" s="5" t="s">
        <v>251</v>
      </c>
      <c r="AX3018" s="5" t="s">
        <v>240</v>
      </c>
      <c r="AY3018" s="5" t="s">
        <v>253</v>
      </c>
      <c r="AZ3018" s="5" t="s">
        <v>240</v>
      </c>
      <c r="BA3018" s="5" t="s">
        <v>255</v>
      </c>
      <c r="BB3018" s="5" t="s">
        <v>240</v>
      </c>
      <c r="BD3018" s="5" t="s">
        <v>240</v>
      </c>
      <c r="BF3018" s="5" t="s">
        <v>301</v>
      </c>
      <c r="BG3018" s="6" t="s">
        <v>299</v>
      </c>
      <c r="BH3018" s="5" t="s">
        <v>302</v>
      </c>
      <c r="BI3018" s="5" t="s">
        <v>303</v>
      </c>
      <c r="BJ3018" s="5" t="s">
        <v>240</v>
      </c>
      <c r="BK3018" s="8">
        <f>0</f>
        <v>0</v>
      </c>
      <c r="BL3018" s="7">
        <f>0</f>
        <v>0</v>
      </c>
      <c r="BM3018" s="5" t="s">
        <v>258</v>
      </c>
      <c r="BN3018" s="5" t="s">
        <v>259</v>
      </c>
      <c r="CB3018" s="5" t="s">
        <v>240</v>
      </c>
      <c r="CC3018" s="5" t="s">
        <v>240</v>
      </c>
      <c r="CG3018" s="5" t="s">
        <v>304</v>
      </c>
      <c r="CH3018" s="5" t="s">
        <v>305</v>
      </c>
      <c r="CI3018" s="5" t="s">
        <v>240</v>
      </c>
      <c r="CL3018" s="6" t="s">
        <v>261</v>
      </c>
      <c r="CM3018" s="5" t="s">
        <v>240</v>
      </c>
      <c r="CN3018" s="5" t="s">
        <v>263</v>
      </c>
      <c r="CO3018" s="5" t="s">
        <v>240</v>
      </c>
      <c r="CP3018" s="5" t="s">
        <v>240</v>
      </c>
      <c r="CQ3018" s="5">
        <v>0</v>
      </c>
      <c r="CR3018" s="5" t="s">
        <v>306</v>
      </c>
      <c r="CS3018" s="5" t="s">
        <v>307</v>
      </c>
      <c r="CT3018" s="5" t="s">
        <v>307</v>
      </c>
      <c r="CU3018" s="5" t="s">
        <v>260</v>
      </c>
      <c r="CX3018" s="7">
        <f>1</f>
        <v>1</v>
      </c>
      <c r="CY3018" s="7">
        <f>0</f>
        <v>0</v>
      </c>
      <c r="DA3018" s="7">
        <f>0</f>
        <v>0</v>
      </c>
      <c r="DC3018" s="5" t="s">
        <v>309</v>
      </c>
      <c r="DD3018" s="5" t="s">
        <v>240</v>
      </c>
      <c r="DF3018" s="5" t="s">
        <v>309</v>
      </c>
      <c r="DG3018" s="7">
        <f>2149</f>
        <v>2149</v>
      </c>
      <c r="DI3018" s="5" t="s">
        <v>240</v>
      </c>
      <c r="DJ3018" s="5" t="s">
        <v>240</v>
      </c>
      <c r="DK3018" s="5" t="s">
        <v>240</v>
      </c>
      <c r="DL3018" s="5" t="s">
        <v>240</v>
      </c>
      <c r="DP3018" s="5" t="s">
        <v>240</v>
      </c>
      <c r="DQ3018" s="5" t="s">
        <v>240</v>
      </c>
      <c r="DR3018" s="5" t="s">
        <v>240</v>
      </c>
      <c r="DS3018" s="5" t="s">
        <v>240</v>
      </c>
      <c r="DV3018" s="5" t="s">
        <v>310</v>
      </c>
      <c r="DW3018" s="5" t="s">
        <v>4046</v>
      </c>
      <c r="HO3018" s="5" t="s">
        <v>312</v>
      </c>
    </row>
    <row r="3019" spans="1:223" x14ac:dyDescent="0.4">
      <c r="A3019" s="5">
        <v>4723</v>
      </c>
      <c r="B3019" s="5">
        <v>1</v>
      </c>
      <c r="C3019" s="5">
        <v>1</v>
      </c>
      <c r="D3019" s="5" t="s">
        <v>810</v>
      </c>
      <c r="E3019" s="5" t="s">
        <v>245</v>
      </c>
      <c r="F3019" s="5" t="s">
        <v>254</v>
      </c>
      <c r="G3019" s="5" t="s">
        <v>240</v>
      </c>
      <c r="H3019" s="6" t="s">
        <v>2503</v>
      </c>
      <c r="I3019" s="5" t="s">
        <v>809</v>
      </c>
      <c r="J3019" s="8">
        <f>624</f>
        <v>624</v>
      </c>
      <c r="K3019" s="5" t="s">
        <v>308</v>
      </c>
      <c r="L3019" s="7">
        <f>1</f>
        <v>1</v>
      </c>
      <c r="M3019" s="7">
        <f>1</f>
        <v>1</v>
      </c>
      <c r="N3019" s="5" t="s">
        <v>242</v>
      </c>
      <c r="O3019" s="5">
        <v>1</v>
      </c>
      <c r="P3019" s="5" t="s">
        <v>294</v>
      </c>
      <c r="Q3019" s="5" t="s">
        <v>266</v>
      </c>
      <c r="R3019" s="5" t="s">
        <v>240</v>
      </c>
      <c r="S3019" s="5" t="s">
        <v>240</v>
      </c>
      <c r="T3019" s="5" t="s">
        <v>296</v>
      </c>
      <c r="U3019" s="5" t="s">
        <v>244</v>
      </c>
      <c r="V3019" s="5" t="s">
        <v>240</v>
      </c>
      <c r="Y3019" s="5" t="s">
        <v>240</v>
      </c>
      <c r="Z3019" s="6" t="s">
        <v>298</v>
      </c>
      <c r="AB3019" s="6" t="s">
        <v>240</v>
      </c>
      <c r="AE3019" s="6" t="s">
        <v>299</v>
      </c>
      <c r="AF3019" s="5" t="s">
        <v>248</v>
      </c>
      <c r="AG3019" s="5" t="s">
        <v>249</v>
      </c>
      <c r="AW3019" s="5" t="s">
        <v>251</v>
      </c>
      <c r="AX3019" s="5" t="s">
        <v>240</v>
      </c>
      <c r="AY3019" s="5" t="s">
        <v>253</v>
      </c>
      <c r="AZ3019" s="5" t="s">
        <v>240</v>
      </c>
      <c r="BA3019" s="5" t="s">
        <v>255</v>
      </c>
      <c r="BB3019" s="5" t="s">
        <v>240</v>
      </c>
      <c r="BD3019" s="5" t="s">
        <v>240</v>
      </c>
      <c r="BF3019" s="5" t="s">
        <v>301</v>
      </c>
      <c r="BG3019" s="6" t="s">
        <v>299</v>
      </c>
      <c r="BH3019" s="5" t="s">
        <v>302</v>
      </c>
      <c r="BI3019" s="5" t="s">
        <v>303</v>
      </c>
      <c r="BJ3019" s="5" t="s">
        <v>240</v>
      </c>
      <c r="BK3019" s="8">
        <f>0</f>
        <v>0</v>
      </c>
      <c r="BL3019" s="7">
        <f>0</f>
        <v>0</v>
      </c>
      <c r="BM3019" s="5" t="s">
        <v>258</v>
      </c>
      <c r="BN3019" s="5" t="s">
        <v>259</v>
      </c>
      <c r="CB3019" s="5" t="s">
        <v>240</v>
      </c>
      <c r="CC3019" s="5" t="s">
        <v>240</v>
      </c>
      <c r="CG3019" s="5" t="s">
        <v>304</v>
      </c>
      <c r="CH3019" s="5" t="s">
        <v>305</v>
      </c>
      <c r="CI3019" s="5" t="s">
        <v>240</v>
      </c>
      <c r="CL3019" s="6" t="s">
        <v>261</v>
      </c>
      <c r="CM3019" s="5" t="s">
        <v>240</v>
      </c>
      <c r="CN3019" s="5" t="s">
        <v>263</v>
      </c>
      <c r="CO3019" s="5" t="s">
        <v>240</v>
      </c>
      <c r="CP3019" s="5" t="s">
        <v>240</v>
      </c>
      <c r="CQ3019" s="5">
        <v>0</v>
      </c>
      <c r="CR3019" s="5" t="s">
        <v>306</v>
      </c>
      <c r="CS3019" s="5" t="s">
        <v>307</v>
      </c>
      <c r="CT3019" s="5" t="s">
        <v>307</v>
      </c>
      <c r="CU3019" s="5" t="s">
        <v>260</v>
      </c>
      <c r="CX3019" s="7">
        <f>1</f>
        <v>1</v>
      </c>
      <c r="CY3019" s="7">
        <f>0</f>
        <v>0</v>
      </c>
      <c r="DA3019" s="7">
        <f>0</f>
        <v>0</v>
      </c>
      <c r="DC3019" s="5" t="s">
        <v>309</v>
      </c>
      <c r="DD3019" s="5" t="s">
        <v>240</v>
      </c>
      <c r="DF3019" s="5" t="s">
        <v>309</v>
      </c>
      <c r="DG3019" s="7">
        <f>831</f>
        <v>831</v>
      </c>
      <c r="DI3019" s="5" t="s">
        <v>240</v>
      </c>
      <c r="DJ3019" s="5" t="s">
        <v>240</v>
      </c>
      <c r="DK3019" s="5" t="s">
        <v>240</v>
      </c>
      <c r="DL3019" s="5" t="s">
        <v>240</v>
      </c>
      <c r="DP3019" s="5" t="s">
        <v>240</v>
      </c>
      <c r="DQ3019" s="5" t="s">
        <v>240</v>
      </c>
      <c r="DR3019" s="5" t="s">
        <v>240</v>
      </c>
      <c r="DS3019" s="5" t="s">
        <v>240</v>
      </c>
      <c r="DV3019" s="5" t="s">
        <v>310</v>
      </c>
      <c r="DW3019" s="5" t="s">
        <v>4048</v>
      </c>
      <c r="HO3019" s="5" t="s">
        <v>312</v>
      </c>
    </row>
    <row r="3020" spans="1:223" x14ac:dyDescent="0.4">
      <c r="A3020" s="5">
        <v>4724</v>
      </c>
      <c r="B3020" s="5">
        <v>1</v>
      </c>
      <c r="C3020" s="5">
        <v>1</v>
      </c>
      <c r="D3020" s="5" t="s">
        <v>810</v>
      </c>
      <c r="E3020" s="5" t="s">
        <v>245</v>
      </c>
      <c r="F3020" s="5" t="s">
        <v>254</v>
      </c>
      <c r="G3020" s="5" t="s">
        <v>240</v>
      </c>
      <c r="H3020" s="6" t="s">
        <v>2501</v>
      </c>
      <c r="I3020" s="5" t="s">
        <v>809</v>
      </c>
      <c r="J3020" s="8">
        <f>258</f>
        <v>258</v>
      </c>
      <c r="K3020" s="5" t="s">
        <v>308</v>
      </c>
      <c r="L3020" s="7">
        <f>1</f>
        <v>1</v>
      </c>
      <c r="M3020" s="7">
        <f>1</f>
        <v>1</v>
      </c>
      <c r="N3020" s="5" t="s">
        <v>242</v>
      </c>
      <c r="O3020" s="5">
        <v>1</v>
      </c>
      <c r="P3020" s="5" t="s">
        <v>294</v>
      </c>
      <c r="Q3020" s="5" t="s">
        <v>266</v>
      </c>
      <c r="R3020" s="5" t="s">
        <v>240</v>
      </c>
      <c r="S3020" s="5" t="s">
        <v>240</v>
      </c>
      <c r="T3020" s="5" t="s">
        <v>296</v>
      </c>
      <c r="U3020" s="5" t="s">
        <v>244</v>
      </c>
      <c r="V3020" s="5" t="s">
        <v>240</v>
      </c>
      <c r="Y3020" s="5" t="s">
        <v>240</v>
      </c>
      <c r="Z3020" s="6" t="s">
        <v>298</v>
      </c>
      <c r="AB3020" s="6" t="s">
        <v>240</v>
      </c>
      <c r="AE3020" s="6" t="s">
        <v>299</v>
      </c>
      <c r="AF3020" s="5" t="s">
        <v>248</v>
      </c>
      <c r="AG3020" s="5" t="s">
        <v>249</v>
      </c>
      <c r="AW3020" s="5" t="s">
        <v>251</v>
      </c>
      <c r="AX3020" s="5" t="s">
        <v>240</v>
      </c>
      <c r="AY3020" s="5" t="s">
        <v>253</v>
      </c>
      <c r="AZ3020" s="5" t="s">
        <v>240</v>
      </c>
      <c r="BA3020" s="5" t="s">
        <v>255</v>
      </c>
      <c r="BB3020" s="5" t="s">
        <v>240</v>
      </c>
      <c r="BD3020" s="5" t="s">
        <v>240</v>
      </c>
      <c r="BF3020" s="5" t="s">
        <v>301</v>
      </c>
      <c r="BG3020" s="6" t="s">
        <v>299</v>
      </c>
      <c r="BH3020" s="5" t="s">
        <v>302</v>
      </c>
      <c r="BI3020" s="5" t="s">
        <v>303</v>
      </c>
      <c r="BJ3020" s="5" t="s">
        <v>240</v>
      </c>
      <c r="BK3020" s="8">
        <f>0</f>
        <v>0</v>
      </c>
      <c r="BL3020" s="7">
        <f>0</f>
        <v>0</v>
      </c>
      <c r="BM3020" s="5" t="s">
        <v>258</v>
      </c>
      <c r="BN3020" s="5" t="s">
        <v>259</v>
      </c>
      <c r="CB3020" s="5" t="s">
        <v>240</v>
      </c>
      <c r="CC3020" s="5" t="s">
        <v>240</v>
      </c>
      <c r="CG3020" s="5" t="s">
        <v>304</v>
      </c>
      <c r="CH3020" s="5" t="s">
        <v>305</v>
      </c>
      <c r="CI3020" s="5" t="s">
        <v>240</v>
      </c>
      <c r="CL3020" s="6" t="s">
        <v>261</v>
      </c>
      <c r="CM3020" s="5" t="s">
        <v>240</v>
      </c>
      <c r="CN3020" s="5" t="s">
        <v>263</v>
      </c>
      <c r="CO3020" s="5" t="s">
        <v>240</v>
      </c>
      <c r="CP3020" s="5" t="s">
        <v>240</v>
      </c>
      <c r="CQ3020" s="5">
        <v>0</v>
      </c>
      <c r="CR3020" s="5" t="s">
        <v>306</v>
      </c>
      <c r="CS3020" s="5" t="s">
        <v>307</v>
      </c>
      <c r="CT3020" s="5" t="s">
        <v>307</v>
      </c>
      <c r="CU3020" s="5" t="s">
        <v>260</v>
      </c>
      <c r="CX3020" s="7">
        <f>1</f>
        <v>1</v>
      </c>
      <c r="CY3020" s="7">
        <f>0</f>
        <v>0</v>
      </c>
      <c r="DA3020" s="7">
        <f>0</f>
        <v>0</v>
      </c>
      <c r="DC3020" s="5" t="s">
        <v>309</v>
      </c>
      <c r="DD3020" s="5" t="s">
        <v>240</v>
      </c>
      <c r="DF3020" s="5" t="s">
        <v>309</v>
      </c>
      <c r="DG3020" s="7">
        <f>2130</f>
        <v>2130</v>
      </c>
      <c r="DI3020" s="5" t="s">
        <v>240</v>
      </c>
      <c r="DJ3020" s="5" t="s">
        <v>240</v>
      </c>
      <c r="DK3020" s="5" t="s">
        <v>240</v>
      </c>
      <c r="DL3020" s="5" t="s">
        <v>240</v>
      </c>
      <c r="DP3020" s="5" t="s">
        <v>240</v>
      </c>
      <c r="DQ3020" s="5" t="s">
        <v>240</v>
      </c>
      <c r="DR3020" s="5" t="s">
        <v>240</v>
      </c>
      <c r="DS3020" s="5" t="s">
        <v>240</v>
      </c>
      <c r="DV3020" s="5" t="s">
        <v>310</v>
      </c>
      <c r="DW3020" s="5" t="s">
        <v>4050</v>
      </c>
      <c r="HO3020" s="5" t="s">
        <v>312</v>
      </c>
    </row>
    <row r="3021" spans="1:223" x14ac:dyDescent="0.4">
      <c r="A3021" s="5">
        <v>4725</v>
      </c>
      <c r="B3021" s="5">
        <v>1</v>
      </c>
      <c r="C3021" s="5">
        <v>1</v>
      </c>
      <c r="D3021" s="5" t="s">
        <v>810</v>
      </c>
      <c r="E3021" s="5" t="s">
        <v>245</v>
      </c>
      <c r="F3021" s="5" t="s">
        <v>254</v>
      </c>
      <c r="G3021" s="5" t="s">
        <v>240</v>
      </c>
      <c r="H3021" s="6" t="s">
        <v>2499</v>
      </c>
      <c r="I3021" s="5" t="s">
        <v>809</v>
      </c>
      <c r="J3021" s="8">
        <f>366</f>
        <v>366</v>
      </c>
      <c r="K3021" s="5" t="s">
        <v>308</v>
      </c>
      <c r="L3021" s="7">
        <f>1</f>
        <v>1</v>
      </c>
      <c r="M3021" s="7">
        <f>1</f>
        <v>1</v>
      </c>
      <c r="N3021" s="5" t="s">
        <v>242</v>
      </c>
      <c r="O3021" s="5">
        <v>1</v>
      </c>
      <c r="P3021" s="5" t="s">
        <v>294</v>
      </c>
      <c r="Q3021" s="5" t="s">
        <v>613</v>
      </c>
      <c r="R3021" s="5" t="s">
        <v>240</v>
      </c>
      <c r="S3021" s="5" t="s">
        <v>240</v>
      </c>
      <c r="T3021" s="5" t="s">
        <v>243</v>
      </c>
      <c r="U3021" s="5" t="s">
        <v>244</v>
      </c>
      <c r="V3021" s="5" t="s">
        <v>240</v>
      </c>
      <c r="Y3021" s="5" t="s">
        <v>240</v>
      </c>
      <c r="Z3021" s="6" t="s">
        <v>298</v>
      </c>
      <c r="AB3021" s="6" t="s">
        <v>240</v>
      </c>
      <c r="AE3021" s="6" t="s">
        <v>299</v>
      </c>
      <c r="AF3021" s="5" t="s">
        <v>248</v>
      </c>
      <c r="AG3021" s="5" t="s">
        <v>249</v>
      </c>
      <c r="AW3021" s="5" t="s">
        <v>251</v>
      </c>
      <c r="AX3021" s="5" t="s">
        <v>240</v>
      </c>
      <c r="AY3021" s="5" t="s">
        <v>253</v>
      </c>
      <c r="AZ3021" s="5" t="s">
        <v>240</v>
      </c>
      <c r="BA3021" s="5" t="s">
        <v>255</v>
      </c>
      <c r="BB3021" s="5" t="s">
        <v>240</v>
      </c>
      <c r="BD3021" s="5" t="s">
        <v>240</v>
      </c>
      <c r="BF3021" s="5" t="s">
        <v>687</v>
      </c>
      <c r="BG3021" s="6" t="s">
        <v>1825</v>
      </c>
      <c r="BH3021" s="5" t="s">
        <v>302</v>
      </c>
      <c r="BI3021" s="5" t="s">
        <v>5264</v>
      </c>
      <c r="BJ3021" s="5" t="s">
        <v>240</v>
      </c>
      <c r="BK3021" s="8">
        <f>0</f>
        <v>0</v>
      </c>
      <c r="BL3021" s="7">
        <f>0</f>
        <v>0</v>
      </c>
      <c r="BM3021" s="5" t="s">
        <v>258</v>
      </c>
      <c r="BN3021" s="5" t="s">
        <v>259</v>
      </c>
      <c r="CB3021" s="5" t="s">
        <v>240</v>
      </c>
      <c r="CC3021" s="5" t="s">
        <v>240</v>
      </c>
      <c r="CG3021" s="5" t="s">
        <v>617</v>
      </c>
      <c r="CH3021" s="5" t="s">
        <v>305</v>
      </c>
      <c r="CI3021" s="5" t="s">
        <v>240</v>
      </c>
      <c r="CL3021" s="6" t="s">
        <v>261</v>
      </c>
      <c r="CM3021" s="5" t="s">
        <v>240</v>
      </c>
      <c r="CN3021" s="5" t="s">
        <v>263</v>
      </c>
      <c r="CO3021" s="5" t="s">
        <v>240</v>
      </c>
      <c r="CP3021" s="5" t="s">
        <v>240</v>
      </c>
      <c r="CQ3021" s="5">
        <v>0</v>
      </c>
      <c r="CR3021" s="5" t="s">
        <v>306</v>
      </c>
      <c r="CS3021" s="5" t="s">
        <v>307</v>
      </c>
      <c r="CT3021" s="5" t="s">
        <v>307</v>
      </c>
      <c r="CU3021" s="5" t="s">
        <v>260</v>
      </c>
      <c r="CX3021" s="7">
        <f>1678970</f>
        <v>1678970</v>
      </c>
      <c r="CY3021" s="7">
        <f>0</f>
        <v>0</v>
      </c>
      <c r="DA3021" s="7">
        <f>0</f>
        <v>0</v>
      </c>
      <c r="DC3021" s="5" t="s">
        <v>689</v>
      </c>
      <c r="DD3021" s="5" t="s">
        <v>240</v>
      </c>
      <c r="DF3021" s="5" t="s">
        <v>450</v>
      </c>
      <c r="DG3021" s="7">
        <f>0</f>
        <v>0</v>
      </c>
      <c r="DI3021" s="5" t="s">
        <v>618</v>
      </c>
      <c r="DJ3021" s="5" t="s">
        <v>240</v>
      </c>
      <c r="DK3021" s="5" t="s">
        <v>240</v>
      </c>
      <c r="DL3021" s="5" t="s">
        <v>240</v>
      </c>
      <c r="DP3021" s="5" t="s">
        <v>240</v>
      </c>
      <c r="DQ3021" s="5" t="s">
        <v>240</v>
      </c>
      <c r="DR3021" s="5" t="s">
        <v>240</v>
      </c>
      <c r="DS3021" s="5" t="s">
        <v>240</v>
      </c>
      <c r="DV3021" s="5" t="s">
        <v>1821</v>
      </c>
      <c r="DW3021" s="5" t="s">
        <v>621</v>
      </c>
      <c r="HO3021" s="5" t="s">
        <v>621</v>
      </c>
    </row>
    <row r="3022" spans="1:223" x14ac:dyDescent="0.4">
      <c r="A3022" s="5">
        <v>4726</v>
      </c>
      <c r="B3022" s="5">
        <v>1</v>
      </c>
      <c r="C3022" s="5">
        <v>1</v>
      </c>
      <c r="D3022" s="5" t="s">
        <v>810</v>
      </c>
      <c r="E3022" s="5" t="s">
        <v>245</v>
      </c>
      <c r="F3022" s="5" t="s">
        <v>254</v>
      </c>
      <c r="G3022" s="5" t="s">
        <v>240</v>
      </c>
      <c r="H3022" s="6" t="s">
        <v>2497</v>
      </c>
      <c r="I3022" s="5" t="s">
        <v>809</v>
      </c>
      <c r="J3022" s="8">
        <f>574</f>
        <v>574</v>
      </c>
      <c r="K3022" s="5" t="s">
        <v>308</v>
      </c>
      <c r="L3022" s="7">
        <f>1</f>
        <v>1</v>
      </c>
      <c r="M3022" s="7">
        <f>1</f>
        <v>1</v>
      </c>
      <c r="N3022" s="5" t="s">
        <v>242</v>
      </c>
      <c r="O3022" s="5">
        <v>1</v>
      </c>
      <c r="P3022" s="5" t="s">
        <v>294</v>
      </c>
      <c r="Q3022" s="5" t="s">
        <v>266</v>
      </c>
      <c r="R3022" s="5" t="s">
        <v>240</v>
      </c>
      <c r="S3022" s="5" t="s">
        <v>240</v>
      </c>
      <c r="T3022" s="5" t="s">
        <v>296</v>
      </c>
      <c r="U3022" s="5" t="s">
        <v>244</v>
      </c>
      <c r="V3022" s="5" t="s">
        <v>240</v>
      </c>
      <c r="Y3022" s="5" t="s">
        <v>240</v>
      </c>
      <c r="Z3022" s="6" t="s">
        <v>298</v>
      </c>
      <c r="AB3022" s="6" t="s">
        <v>240</v>
      </c>
      <c r="AE3022" s="6" t="s">
        <v>299</v>
      </c>
      <c r="AF3022" s="5" t="s">
        <v>248</v>
      </c>
      <c r="AG3022" s="5" t="s">
        <v>249</v>
      </c>
      <c r="AW3022" s="5" t="s">
        <v>251</v>
      </c>
      <c r="AX3022" s="5" t="s">
        <v>240</v>
      </c>
      <c r="AY3022" s="5" t="s">
        <v>253</v>
      </c>
      <c r="AZ3022" s="5" t="s">
        <v>240</v>
      </c>
      <c r="BA3022" s="5" t="s">
        <v>255</v>
      </c>
      <c r="BB3022" s="5" t="s">
        <v>240</v>
      </c>
      <c r="BD3022" s="5" t="s">
        <v>240</v>
      </c>
      <c r="BF3022" s="5" t="s">
        <v>301</v>
      </c>
      <c r="BG3022" s="6" t="s">
        <v>299</v>
      </c>
      <c r="BH3022" s="5" t="s">
        <v>302</v>
      </c>
      <c r="BI3022" s="5" t="s">
        <v>303</v>
      </c>
      <c r="BJ3022" s="5" t="s">
        <v>240</v>
      </c>
      <c r="BK3022" s="8">
        <f>0</f>
        <v>0</v>
      </c>
      <c r="BL3022" s="7">
        <f>0</f>
        <v>0</v>
      </c>
      <c r="BM3022" s="5" t="s">
        <v>258</v>
      </c>
      <c r="BN3022" s="5" t="s">
        <v>259</v>
      </c>
      <c r="CB3022" s="5" t="s">
        <v>240</v>
      </c>
      <c r="CC3022" s="5" t="s">
        <v>240</v>
      </c>
      <c r="CG3022" s="5" t="s">
        <v>304</v>
      </c>
      <c r="CH3022" s="5" t="s">
        <v>305</v>
      </c>
      <c r="CI3022" s="5" t="s">
        <v>240</v>
      </c>
      <c r="CL3022" s="6" t="s">
        <v>261</v>
      </c>
      <c r="CM3022" s="5" t="s">
        <v>240</v>
      </c>
      <c r="CN3022" s="5" t="s">
        <v>263</v>
      </c>
      <c r="CO3022" s="5" t="s">
        <v>240</v>
      </c>
      <c r="CP3022" s="5" t="s">
        <v>240</v>
      </c>
      <c r="CQ3022" s="5">
        <v>0</v>
      </c>
      <c r="CR3022" s="5" t="s">
        <v>306</v>
      </c>
      <c r="CS3022" s="5" t="s">
        <v>307</v>
      </c>
      <c r="CT3022" s="5" t="s">
        <v>307</v>
      </c>
      <c r="CU3022" s="5" t="s">
        <v>260</v>
      </c>
      <c r="CX3022" s="7">
        <f>1</f>
        <v>1</v>
      </c>
      <c r="CY3022" s="7">
        <f>0</f>
        <v>0</v>
      </c>
      <c r="DA3022" s="7">
        <f>0</f>
        <v>0</v>
      </c>
      <c r="DC3022" s="5" t="s">
        <v>812</v>
      </c>
      <c r="DD3022" s="5" t="s">
        <v>240</v>
      </c>
      <c r="DF3022" s="5" t="s">
        <v>812</v>
      </c>
      <c r="DG3022" s="7">
        <f>52</f>
        <v>52</v>
      </c>
      <c r="DI3022" s="5" t="s">
        <v>240</v>
      </c>
      <c r="DJ3022" s="5" t="s">
        <v>240</v>
      </c>
      <c r="DK3022" s="5" t="s">
        <v>240</v>
      </c>
      <c r="DL3022" s="5" t="s">
        <v>240</v>
      </c>
      <c r="DP3022" s="5" t="s">
        <v>240</v>
      </c>
      <c r="DQ3022" s="5" t="s">
        <v>240</v>
      </c>
      <c r="DR3022" s="5" t="s">
        <v>240</v>
      </c>
      <c r="DS3022" s="5" t="s">
        <v>240</v>
      </c>
      <c r="DV3022" s="5" t="s">
        <v>813</v>
      </c>
      <c r="DW3022" s="5" t="s">
        <v>358</v>
      </c>
      <c r="HO3022" s="5" t="s">
        <v>312</v>
      </c>
    </row>
    <row r="3023" spans="1:223" x14ac:dyDescent="0.4">
      <c r="A3023" s="5">
        <v>4727</v>
      </c>
      <c r="B3023" s="5">
        <v>1</v>
      </c>
      <c r="C3023" s="5">
        <v>1</v>
      </c>
      <c r="D3023" s="5" t="s">
        <v>810</v>
      </c>
      <c r="E3023" s="5" t="s">
        <v>245</v>
      </c>
      <c r="F3023" s="5" t="s">
        <v>254</v>
      </c>
      <c r="G3023" s="5" t="s">
        <v>240</v>
      </c>
      <c r="H3023" s="6" t="s">
        <v>2495</v>
      </c>
      <c r="I3023" s="5" t="s">
        <v>809</v>
      </c>
      <c r="J3023" s="8">
        <f>752</f>
        <v>752</v>
      </c>
      <c r="K3023" s="5" t="s">
        <v>308</v>
      </c>
      <c r="L3023" s="7">
        <f>1</f>
        <v>1</v>
      </c>
      <c r="M3023" s="7">
        <f>1</f>
        <v>1</v>
      </c>
      <c r="N3023" s="5" t="s">
        <v>242</v>
      </c>
      <c r="O3023" s="5">
        <v>1</v>
      </c>
      <c r="P3023" s="5" t="s">
        <v>294</v>
      </c>
      <c r="Q3023" s="5" t="s">
        <v>266</v>
      </c>
      <c r="R3023" s="5" t="s">
        <v>240</v>
      </c>
      <c r="S3023" s="5" t="s">
        <v>240</v>
      </c>
      <c r="T3023" s="5" t="s">
        <v>296</v>
      </c>
      <c r="U3023" s="5" t="s">
        <v>244</v>
      </c>
      <c r="V3023" s="5" t="s">
        <v>240</v>
      </c>
      <c r="Y3023" s="5" t="s">
        <v>240</v>
      </c>
      <c r="Z3023" s="6" t="s">
        <v>298</v>
      </c>
      <c r="AB3023" s="6" t="s">
        <v>240</v>
      </c>
      <c r="AE3023" s="6" t="s">
        <v>299</v>
      </c>
      <c r="AF3023" s="5" t="s">
        <v>248</v>
      </c>
      <c r="AG3023" s="5" t="s">
        <v>249</v>
      </c>
      <c r="AW3023" s="5" t="s">
        <v>251</v>
      </c>
      <c r="AX3023" s="5" t="s">
        <v>240</v>
      </c>
      <c r="AY3023" s="5" t="s">
        <v>253</v>
      </c>
      <c r="AZ3023" s="5" t="s">
        <v>240</v>
      </c>
      <c r="BA3023" s="5" t="s">
        <v>255</v>
      </c>
      <c r="BB3023" s="5" t="s">
        <v>240</v>
      </c>
      <c r="BD3023" s="5" t="s">
        <v>240</v>
      </c>
      <c r="BF3023" s="5" t="s">
        <v>301</v>
      </c>
      <c r="BG3023" s="6" t="s">
        <v>299</v>
      </c>
      <c r="BH3023" s="5" t="s">
        <v>302</v>
      </c>
      <c r="BI3023" s="5" t="s">
        <v>303</v>
      </c>
      <c r="BJ3023" s="5" t="s">
        <v>240</v>
      </c>
      <c r="BK3023" s="8">
        <f>0</f>
        <v>0</v>
      </c>
      <c r="BL3023" s="7">
        <f>0</f>
        <v>0</v>
      </c>
      <c r="BM3023" s="5" t="s">
        <v>258</v>
      </c>
      <c r="BN3023" s="5" t="s">
        <v>259</v>
      </c>
      <c r="CB3023" s="5" t="s">
        <v>240</v>
      </c>
      <c r="CC3023" s="5" t="s">
        <v>240</v>
      </c>
      <c r="CG3023" s="5" t="s">
        <v>304</v>
      </c>
      <c r="CH3023" s="5" t="s">
        <v>305</v>
      </c>
      <c r="CI3023" s="5" t="s">
        <v>240</v>
      </c>
      <c r="CL3023" s="6" t="s">
        <v>261</v>
      </c>
      <c r="CM3023" s="5" t="s">
        <v>240</v>
      </c>
      <c r="CN3023" s="5" t="s">
        <v>263</v>
      </c>
      <c r="CO3023" s="5" t="s">
        <v>240</v>
      </c>
      <c r="CP3023" s="5" t="s">
        <v>240</v>
      </c>
      <c r="CQ3023" s="5">
        <v>0</v>
      </c>
      <c r="CR3023" s="5" t="s">
        <v>306</v>
      </c>
      <c r="CS3023" s="5" t="s">
        <v>307</v>
      </c>
      <c r="CT3023" s="5" t="s">
        <v>307</v>
      </c>
      <c r="CU3023" s="5" t="s">
        <v>260</v>
      </c>
      <c r="CX3023" s="7">
        <f>1</f>
        <v>1</v>
      </c>
      <c r="CY3023" s="7">
        <f>0</f>
        <v>0</v>
      </c>
      <c r="DA3023" s="7">
        <f>0</f>
        <v>0</v>
      </c>
      <c r="DC3023" s="5" t="s">
        <v>812</v>
      </c>
      <c r="DD3023" s="5" t="s">
        <v>240</v>
      </c>
      <c r="DF3023" s="5" t="s">
        <v>812</v>
      </c>
      <c r="DG3023" s="7">
        <f>284</f>
        <v>284</v>
      </c>
      <c r="DI3023" s="5" t="s">
        <v>240</v>
      </c>
      <c r="DJ3023" s="5" t="s">
        <v>240</v>
      </c>
      <c r="DK3023" s="5" t="s">
        <v>240</v>
      </c>
      <c r="DL3023" s="5" t="s">
        <v>240</v>
      </c>
      <c r="DP3023" s="5" t="s">
        <v>240</v>
      </c>
      <c r="DQ3023" s="5" t="s">
        <v>240</v>
      </c>
      <c r="DR3023" s="5" t="s">
        <v>240</v>
      </c>
      <c r="DS3023" s="5" t="s">
        <v>240</v>
      </c>
      <c r="DV3023" s="5" t="s">
        <v>813</v>
      </c>
      <c r="DW3023" s="5" t="s">
        <v>362</v>
      </c>
      <c r="HO3023" s="5" t="s">
        <v>312</v>
      </c>
    </row>
    <row r="3024" spans="1:223" x14ac:dyDescent="0.4">
      <c r="A3024" s="5">
        <v>4728</v>
      </c>
      <c r="B3024" s="5">
        <v>1</v>
      </c>
      <c r="C3024" s="5">
        <v>1</v>
      </c>
      <c r="D3024" s="5" t="s">
        <v>810</v>
      </c>
      <c r="E3024" s="5" t="s">
        <v>245</v>
      </c>
      <c r="F3024" s="5" t="s">
        <v>254</v>
      </c>
      <c r="G3024" s="5" t="s">
        <v>240</v>
      </c>
      <c r="H3024" s="6" t="s">
        <v>2493</v>
      </c>
      <c r="I3024" s="5" t="s">
        <v>809</v>
      </c>
      <c r="J3024" s="8">
        <f>1146</f>
        <v>1146</v>
      </c>
      <c r="K3024" s="5" t="s">
        <v>308</v>
      </c>
      <c r="L3024" s="7">
        <f>1</f>
        <v>1</v>
      </c>
      <c r="M3024" s="7">
        <f>1</f>
        <v>1</v>
      </c>
      <c r="N3024" s="5" t="s">
        <v>242</v>
      </c>
      <c r="O3024" s="5">
        <v>1</v>
      </c>
      <c r="P3024" s="5" t="s">
        <v>294</v>
      </c>
      <c r="Q3024" s="5" t="s">
        <v>613</v>
      </c>
      <c r="R3024" s="5" t="s">
        <v>240</v>
      </c>
      <c r="S3024" s="5" t="s">
        <v>240</v>
      </c>
      <c r="T3024" s="5" t="s">
        <v>243</v>
      </c>
      <c r="U3024" s="5" t="s">
        <v>244</v>
      </c>
      <c r="V3024" s="5" t="s">
        <v>240</v>
      </c>
      <c r="Y3024" s="5" t="s">
        <v>240</v>
      </c>
      <c r="Z3024" s="6" t="s">
        <v>298</v>
      </c>
      <c r="AB3024" s="6" t="s">
        <v>240</v>
      </c>
      <c r="AE3024" s="6" t="s">
        <v>299</v>
      </c>
      <c r="AF3024" s="5" t="s">
        <v>248</v>
      </c>
      <c r="AG3024" s="5" t="s">
        <v>249</v>
      </c>
      <c r="AW3024" s="5" t="s">
        <v>251</v>
      </c>
      <c r="AX3024" s="5" t="s">
        <v>240</v>
      </c>
      <c r="AY3024" s="5" t="s">
        <v>253</v>
      </c>
      <c r="AZ3024" s="5" t="s">
        <v>240</v>
      </c>
      <c r="BA3024" s="5" t="s">
        <v>255</v>
      </c>
      <c r="BB3024" s="5" t="s">
        <v>240</v>
      </c>
      <c r="BD3024" s="5" t="s">
        <v>240</v>
      </c>
      <c r="BF3024" s="5" t="s">
        <v>301</v>
      </c>
      <c r="BG3024" s="6" t="s">
        <v>299</v>
      </c>
      <c r="BH3024" s="5" t="s">
        <v>302</v>
      </c>
      <c r="BI3024" s="5" t="s">
        <v>5264</v>
      </c>
      <c r="BJ3024" s="5" t="s">
        <v>240</v>
      </c>
      <c r="BK3024" s="8">
        <f>0</f>
        <v>0</v>
      </c>
      <c r="BL3024" s="7">
        <f>0</f>
        <v>0</v>
      </c>
      <c r="BM3024" s="5" t="s">
        <v>258</v>
      </c>
      <c r="BN3024" s="5" t="s">
        <v>259</v>
      </c>
      <c r="CB3024" s="5" t="s">
        <v>240</v>
      </c>
      <c r="CC3024" s="5" t="s">
        <v>240</v>
      </c>
      <c r="CG3024" s="5" t="s">
        <v>617</v>
      </c>
      <c r="CH3024" s="5" t="s">
        <v>305</v>
      </c>
      <c r="CI3024" s="5" t="s">
        <v>240</v>
      </c>
      <c r="CL3024" s="6" t="s">
        <v>261</v>
      </c>
      <c r="CM3024" s="5" t="s">
        <v>240</v>
      </c>
      <c r="CN3024" s="5" t="s">
        <v>263</v>
      </c>
      <c r="CO3024" s="5" t="s">
        <v>240</v>
      </c>
      <c r="CP3024" s="5" t="s">
        <v>240</v>
      </c>
      <c r="CQ3024" s="5">
        <v>0</v>
      </c>
      <c r="CR3024" s="5" t="s">
        <v>306</v>
      </c>
      <c r="CS3024" s="5" t="s">
        <v>307</v>
      </c>
      <c r="CT3024" s="5" t="s">
        <v>307</v>
      </c>
      <c r="CU3024" s="5" t="s">
        <v>260</v>
      </c>
      <c r="CX3024" s="7">
        <f>3298135</f>
        <v>3298135</v>
      </c>
      <c r="CY3024" s="7">
        <f>0</f>
        <v>0</v>
      </c>
      <c r="DA3024" s="7">
        <f>0</f>
        <v>0</v>
      </c>
      <c r="DC3024" s="5" t="s">
        <v>618</v>
      </c>
      <c r="DD3024" s="5" t="s">
        <v>240</v>
      </c>
      <c r="DF3024" s="5" t="s">
        <v>618</v>
      </c>
      <c r="DG3024" s="7">
        <f>0</f>
        <v>0</v>
      </c>
      <c r="DI3024" s="5" t="s">
        <v>618</v>
      </c>
      <c r="DJ3024" s="5" t="s">
        <v>240</v>
      </c>
      <c r="DK3024" s="5" t="s">
        <v>240</v>
      </c>
      <c r="DL3024" s="5" t="s">
        <v>240</v>
      </c>
      <c r="DP3024" s="5" t="s">
        <v>240</v>
      </c>
      <c r="DQ3024" s="5" t="s">
        <v>240</v>
      </c>
      <c r="DR3024" s="5" t="s">
        <v>240</v>
      </c>
      <c r="DS3024" s="5" t="s">
        <v>240</v>
      </c>
      <c r="DV3024" s="5" t="s">
        <v>619</v>
      </c>
      <c r="DW3024" s="5" t="s">
        <v>621</v>
      </c>
      <c r="HO3024" s="5" t="s">
        <v>621</v>
      </c>
    </row>
    <row r="3025" spans="1:240" x14ac:dyDescent="0.4">
      <c r="A3025" s="5">
        <v>4729</v>
      </c>
      <c r="B3025" s="5">
        <v>1</v>
      </c>
      <c r="C3025" s="5">
        <v>1</v>
      </c>
      <c r="D3025" s="5" t="s">
        <v>810</v>
      </c>
      <c r="E3025" s="5" t="s">
        <v>245</v>
      </c>
      <c r="F3025" s="5" t="s">
        <v>254</v>
      </c>
      <c r="G3025" s="5" t="s">
        <v>240</v>
      </c>
      <c r="H3025" s="6" t="s">
        <v>2491</v>
      </c>
      <c r="I3025" s="5" t="s">
        <v>809</v>
      </c>
      <c r="J3025" s="8">
        <f>541</f>
        <v>541</v>
      </c>
      <c r="K3025" s="5" t="s">
        <v>308</v>
      </c>
      <c r="L3025" s="7">
        <f>1</f>
        <v>1</v>
      </c>
      <c r="M3025" s="7">
        <f>1</f>
        <v>1</v>
      </c>
      <c r="N3025" s="5" t="s">
        <v>242</v>
      </c>
      <c r="O3025" s="5">
        <v>1</v>
      </c>
      <c r="P3025" s="5" t="s">
        <v>294</v>
      </c>
      <c r="Q3025" s="5" t="s">
        <v>613</v>
      </c>
      <c r="R3025" s="5" t="s">
        <v>240</v>
      </c>
      <c r="S3025" s="5" t="s">
        <v>240</v>
      </c>
      <c r="T3025" s="5" t="s">
        <v>243</v>
      </c>
      <c r="U3025" s="5" t="s">
        <v>244</v>
      </c>
      <c r="V3025" s="5" t="s">
        <v>240</v>
      </c>
      <c r="Y3025" s="5" t="s">
        <v>240</v>
      </c>
      <c r="Z3025" s="6" t="s">
        <v>298</v>
      </c>
      <c r="AB3025" s="6" t="s">
        <v>240</v>
      </c>
      <c r="AE3025" s="6" t="s">
        <v>299</v>
      </c>
      <c r="AF3025" s="5" t="s">
        <v>248</v>
      </c>
      <c r="AG3025" s="5" t="s">
        <v>249</v>
      </c>
      <c r="AW3025" s="5" t="s">
        <v>251</v>
      </c>
      <c r="AX3025" s="5" t="s">
        <v>240</v>
      </c>
      <c r="AY3025" s="5" t="s">
        <v>253</v>
      </c>
      <c r="AZ3025" s="5" t="s">
        <v>240</v>
      </c>
      <c r="BA3025" s="5" t="s">
        <v>255</v>
      </c>
      <c r="BB3025" s="5" t="s">
        <v>240</v>
      </c>
      <c r="BD3025" s="5" t="s">
        <v>686</v>
      </c>
      <c r="BF3025" s="5" t="s">
        <v>301</v>
      </c>
      <c r="BG3025" s="6" t="s">
        <v>299</v>
      </c>
      <c r="BH3025" s="5" t="s">
        <v>302</v>
      </c>
      <c r="BI3025" s="5" t="s">
        <v>5264</v>
      </c>
      <c r="BJ3025" s="5" t="s">
        <v>240</v>
      </c>
      <c r="BK3025" s="8">
        <f>0</f>
        <v>0</v>
      </c>
      <c r="BL3025" s="7">
        <f>0</f>
        <v>0</v>
      </c>
      <c r="BM3025" s="5" t="s">
        <v>258</v>
      </c>
      <c r="BN3025" s="5" t="s">
        <v>259</v>
      </c>
      <c r="CB3025" s="5" t="s">
        <v>240</v>
      </c>
      <c r="CC3025" s="5" t="s">
        <v>240</v>
      </c>
      <c r="CG3025" s="5" t="s">
        <v>617</v>
      </c>
      <c r="CH3025" s="5" t="s">
        <v>305</v>
      </c>
      <c r="CI3025" s="5" t="s">
        <v>240</v>
      </c>
      <c r="CL3025" s="6" t="s">
        <v>261</v>
      </c>
      <c r="CM3025" s="5" t="s">
        <v>240</v>
      </c>
      <c r="CN3025" s="5" t="s">
        <v>263</v>
      </c>
      <c r="CO3025" s="5" t="s">
        <v>240</v>
      </c>
      <c r="CP3025" s="5" t="s">
        <v>240</v>
      </c>
      <c r="CQ3025" s="5">
        <v>0</v>
      </c>
      <c r="CR3025" s="5" t="s">
        <v>306</v>
      </c>
      <c r="CS3025" s="5" t="s">
        <v>307</v>
      </c>
      <c r="CT3025" s="5" t="s">
        <v>307</v>
      </c>
      <c r="CU3025" s="5" t="s">
        <v>260</v>
      </c>
      <c r="CX3025" s="7">
        <f>45392438</f>
        <v>45392438</v>
      </c>
      <c r="CY3025" s="7">
        <f>0</f>
        <v>0</v>
      </c>
      <c r="DA3025" s="7">
        <f>0</f>
        <v>0</v>
      </c>
      <c r="DC3025" s="5" t="s">
        <v>618</v>
      </c>
      <c r="DD3025" s="5" t="s">
        <v>240</v>
      </c>
      <c r="DF3025" s="5" t="s">
        <v>618</v>
      </c>
      <c r="DG3025" s="7">
        <f>20493.2</f>
        <v>20493.2</v>
      </c>
      <c r="DI3025" s="5" t="s">
        <v>618</v>
      </c>
      <c r="DJ3025" s="5" t="s">
        <v>240</v>
      </c>
      <c r="DK3025" s="5" t="s">
        <v>240</v>
      </c>
      <c r="DL3025" s="5" t="s">
        <v>240</v>
      </c>
      <c r="DP3025" s="5" t="s">
        <v>240</v>
      </c>
      <c r="DQ3025" s="5" t="s">
        <v>240</v>
      </c>
      <c r="DR3025" s="5" t="s">
        <v>240</v>
      </c>
      <c r="DS3025" s="5" t="s">
        <v>240</v>
      </c>
      <c r="DV3025" s="5" t="s">
        <v>5272</v>
      </c>
      <c r="DW3025" s="5" t="s">
        <v>312</v>
      </c>
      <c r="HO3025" s="5" t="s">
        <v>820</v>
      </c>
    </row>
    <row r="3026" spans="1:240" x14ac:dyDescent="0.4">
      <c r="A3026" s="5">
        <v>4730</v>
      </c>
      <c r="B3026" s="5">
        <v>1</v>
      </c>
      <c r="C3026" s="5">
        <v>1</v>
      </c>
      <c r="D3026" s="5" t="s">
        <v>810</v>
      </c>
      <c r="E3026" s="5" t="s">
        <v>245</v>
      </c>
      <c r="F3026" s="5" t="s">
        <v>254</v>
      </c>
      <c r="G3026" s="5" t="s">
        <v>240</v>
      </c>
      <c r="H3026" s="6" t="s">
        <v>2489</v>
      </c>
      <c r="I3026" s="5" t="s">
        <v>809</v>
      </c>
      <c r="J3026" s="8">
        <f>467</f>
        <v>467</v>
      </c>
      <c r="K3026" s="5" t="s">
        <v>308</v>
      </c>
      <c r="L3026" s="7">
        <f>1</f>
        <v>1</v>
      </c>
      <c r="M3026" s="7">
        <f>1</f>
        <v>1</v>
      </c>
      <c r="N3026" s="5" t="s">
        <v>242</v>
      </c>
      <c r="O3026" s="5">
        <v>1</v>
      </c>
      <c r="P3026" s="5" t="s">
        <v>294</v>
      </c>
      <c r="Q3026" s="5" t="s">
        <v>266</v>
      </c>
      <c r="R3026" s="5" t="s">
        <v>240</v>
      </c>
      <c r="S3026" s="5" t="s">
        <v>240</v>
      </c>
      <c r="T3026" s="5" t="s">
        <v>296</v>
      </c>
      <c r="U3026" s="5" t="s">
        <v>244</v>
      </c>
      <c r="V3026" s="5" t="s">
        <v>240</v>
      </c>
      <c r="Y3026" s="5" t="s">
        <v>240</v>
      </c>
      <c r="Z3026" s="6" t="s">
        <v>298</v>
      </c>
      <c r="AB3026" s="6" t="s">
        <v>240</v>
      </c>
      <c r="AE3026" s="6" t="s">
        <v>299</v>
      </c>
      <c r="AF3026" s="5" t="s">
        <v>248</v>
      </c>
      <c r="AG3026" s="5" t="s">
        <v>249</v>
      </c>
      <c r="AW3026" s="5" t="s">
        <v>251</v>
      </c>
      <c r="AX3026" s="5" t="s">
        <v>240</v>
      </c>
      <c r="AY3026" s="5" t="s">
        <v>253</v>
      </c>
      <c r="AZ3026" s="5" t="s">
        <v>240</v>
      </c>
      <c r="BA3026" s="5" t="s">
        <v>255</v>
      </c>
      <c r="BB3026" s="5" t="s">
        <v>240</v>
      </c>
      <c r="BD3026" s="5" t="s">
        <v>240</v>
      </c>
      <c r="BF3026" s="5" t="s">
        <v>301</v>
      </c>
      <c r="BG3026" s="6" t="s">
        <v>299</v>
      </c>
      <c r="BH3026" s="5" t="s">
        <v>302</v>
      </c>
      <c r="BI3026" s="5" t="s">
        <v>303</v>
      </c>
      <c r="BJ3026" s="5" t="s">
        <v>240</v>
      </c>
      <c r="BK3026" s="8">
        <f>0</f>
        <v>0</v>
      </c>
      <c r="BL3026" s="7">
        <f>0</f>
        <v>0</v>
      </c>
      <c r="BM3026" s="5" t="s">
        <v>258</v>
      </c>
      <c r="BN3026" s="5" t="s">
        <v>259</v>
      </c>
      <c r="CB3026" s="5" t="s">
        <v>240</v>
      </c>
      <c r="CC3026" s="5" t="s">
        <v>240</v>
      </c>
      <c r="CG3026" s="5" t="s">
        <v>304</v>
      </c>
      <c r="CH3026" s="5" t="s">
        <v>305</v>
      </c>
      <c r="CI3026" s="5" t="s">
        <v>240</v>
      </c>
      <c r="CL3026" s="6" t="s">
        <v>261</v>
      </c>
      <c r="CM3026" s="5" t="s">
        <v>240</v>
      </c>
      <c r="CN3026" s="5" t="s">
        <v>263</v>
      </c>
      <c r="CO3026" s="5" t="s">
        <v>240</v>
      </c>
      <c r="CP3026" s="5" t="s">
        <v>240</v>
      </c>
      <c r="CQ3026" s="5">
        <v>0</v>
      </c>
      <c r="CR3026" s="5" t="s">
        <v>306</v>
      </c>
      <c r="CS3026" s="5" t="s">
        <v>307</v>
      </c>
      <c r="CT3026" s="5" t="s">
        <v>307</v>
      </c>
      <c r="CU3026" s="5" t="s">
        <v>260</v>
      </c>
      <c r="CX3026" s="7">
        <f>1</f>
        <v>1</v>
      </c>
      <c r="CY3026" s="7">
        <f>0</f>
        <v>0</v>
      </c>
      <c r="DA3026" s="7">
        <f>0</f>
        <v>0</v>
      </c>
      <c r="DC3026" s="5" t="s">
        <v>812</v>
      </c>
      <c r="DD3026" s="5" t="s">
        <v>240</v>
      </c>
      <c r="DF3026" s="5" t="s">
        <v>812</v>
      </c>
      <c r="DG3026" s="7">
        <f>357</f>
        <v>357</v>
      </c>
      <c r="DI3026" s="5" t="s">
        <v>240</v>
      </c>
      <c r="DJ3026" s="5" t="s">
        <v>240</v>
      </c>
      <c r="DK3026" s="5" t="s">
        <v>240</v>
      </c>
      <c r="DL3026" s="5" t="s">
        <v>240</v>
      </c>
      <c r="DP3026" s="5" t="s">
        <v>240</v>
      </c>
      <c r="DQ3026" s="5" t="s">
        <v>240</v>
      </c>
      <c r="DR3026" s="5" t="s">
        <v>240</v>
      </c>
      <c r="DS3026" s="5" t="s">
        <v>240</v>
      </c>
      <c r="DV3026" s="5" t="s">
        <v>813</v>
      </c>
      <c r="DW3026" s="5" t="s">
        <v>374</v>
      </c>
      <c r="HO3026" s="5" t="s">
        <v>312</v>
      </c>
    </row>
    <row r="3027" spans="1:240" x14ac:dyDescent="0.4">
      <c r="A3027" s="5">
        <v>4731</v>
      </c>
      <c r="B3027" s="5">
        <v>1</v>
      </c>
      <c r="C3027" s="5">
        <v>1</v>
      </c>
      <c r="D3027" s="5" t="s">
        <v>810</v>
      </c>
      <c r="E3027" s="5" t="s">
        <v>245</v>
      </c>
      <c r="F3027" s="5" t="s">
        <v>254</v>
      </c>
      <c r="G3027" s="5" t="s">
        <v>240</v>
      </c>
      <c r="H3027" s="6" t="s">
        <v>2487</v>
      </c>
      <c r="I3027" s="5" t="s">
        <v>809</v>
      </c>
      <c r="J3027" s="8">
        <f>1667</f>
        <v>1667</v>
      </c>
      <c r="K3027" s="5" t="s">
        <v>308</v>
      </c>
      <c r="L3027" s="7">
        <f>1</f>
        <v>1</v>
      </c>
      <c r="M3027" s="7">
        <f>1</f>
        <v>1</v>
      </c>
      <c r="N3027" s="5" t="s">
        <v>242</v>
      </c>
      <c r="O3027" s="5">
        <v>1</v>
      </c>
      <c r="P3027" s="5" t="s">
        <v>294</v>
      </c>
      <c r="Q3027" s="5" t="s">
        <v>266</v>
      </c>
      <c r="R3027" s="5" t="s">
        <v>240</v>
      </c>
      <c r="S3027" s="5" t="s">
        <v>240</v>
      </c>
      <c r="T3027" s="5" t="s">
        <v>243</v>
      </c>
      <c r="U3027" s="5" t="s">
        <v>244</v>
      </c>
      <c r="V3027" s="5" t="s">
        <v>240</v>
      </c>
      <c r="Y3027" s="5" t="s">
        <v>240</v>
      </c>
      <c r="Z3027" s="6" t="s">
        <v>745</v>
      </c>
      <c r="AB3027" s="6" t="s">
        <v>240</v>
      </c>
      <c r="AE3027" s="6" t="s">
        <v>5275</v>
      </c>
      <c r="AF3027" s="5" t="s">
        <v>248</v>
      </c>
      <c r="AG3027" s="5" t="s">
        <v>260</v>
      </c>
      <c r="AW3027" s="5" t="s">
        <v>251</v>
      </c>
      <c r="AX3027" s="5" t="s">
        <v>240</v>
      </c>
      <c r="AY3027" s="5" t="s">
        <v>253</v>
      </c>
      <c r="AZ3027" s="5" t="s">
        <v>240</v>
      </c>
      <c r="BA3027" s="5" t="s">
        <v>255</v>
      </c>
      <c r="BB3027" s="5" t="s">
        <v>240</v>
      </c>
      <c r="BD3027" s="5" t="s">
        <v>240</v>
      </c>
      <c r="BF3027" s="5" t="s">
        <v>687</v>
      </c>
      <c r="BG3027" s="6" t="s">
        <v>5275</v>
      </c>
      <c r="BH3027" s="5" t="s">
        <v>302</v>
      </c>
      <c r="BI3027" s="5" t="s">
        <v>5278</v>
      </c>
      <c r="BJ3027" s="5" t="s">
        <v>240</v>
      </c>
      <c r="BK3027" s="8">
        <f>0</f>
        <v>0</v>
      </c>
      <c r="BL3027" s="7">
        <f>0</f>
        <v>0</v>
      </c>
      <c r="BM3027" s="5" t="s">
        <v>258</v>
      </c>
      <c r="BN3027" s="5" t="s">
        <v>259</v>
      </c>
      <c r="CB3027" s="5" t="s">
        <v>240</v>
      </c>
      <c r="CC3027" s="5" t="s">
        <v>240</v>
      </c>
      <c r="CG3027" s="5" t="s">
        <v>449</v>
      </c>
      <c r="CH3027" s="5" t="s">
        <v>305</v>
      </c>
      <c r="CI3027" s="5" t="s">
        <v>240</v>
      </c>
      <c r="CL3027" s="6" t="s">
        <v>261</v>
      </c>
      <c r="CM3027" s="5" t="s">
        <v>240</v>
      </c>
      <c r="CN3027" s="5" t="s">
        <v>263</v>
      </c>
      <c r="CO3027" s="5" t="s">
        <v>240</v>
      </c>
      <c r="CP3027" s="5" t="s">
        <v>240</v>
      </c>
      <c r="CQ3027" s="5">
        <v>0</v>
      </c>
      <c r="CR3027" s="5" t="s">
        <v>306</v>
      </c>
      <c r="CS3027" s="5" t="s">
        <v>307</v>
      </c>
      <c r="CT3027" s="5" t="s">
        <v>307</v>
      </c>
      <c r="CU3027" s="5" t="s">
        <v>260</v>
      </c>
      <c r="CX3027" s="7">
        <f>1243638</f>
        <v>1243638</v>
      </c>
      <c r="CY3027" s="7">
        <f>0</f>
        <v>0</v>
      </c>
      <c r="DA3027" s="7">
        <f>0</f>
        <v>0</v>
      </c>
      <c r="DC3027" s="5" t="s">
        <v>450</v>
      </c>
      <c r="DD3027" s="5" t="s">
        <v>240</v>
      </c>
      <c r="DF3027" s="5" t="s">
        <v>450</v>
      </c>
      <c r="DG3027" s="7">
        <f>188</f>
        <v>188</v>
      </c>
      <c r="DI3027" s="5" t="s">
        <v>240</v>
      </c>
      <c r="DJ3027" s="5" t="s">
        <v>240</v>
      </c>
      <c r="DK3027" s="5" t="s">
        <v>240</v>
      </c>
      <c r="DL3027" s="5" t="s">
        <v>240</v>
      </c>
      <c r="DP3027" s="5" t="s">
        <v>240</v>
      </c>
      <c r="DQ3027" s="5" t="s">
        <v>240</v>
      </c>
      <c r="DR3027" s="5" t="s">
        <v>240</v>
      </c>
      <c r="DS3027" s="5" t="s">
        <v>240</v>
      </c>
      <c r="DV3027" s="5" t="s">
        <v>310</v>
      </c>
      <c r="DW3027" s="5" t="s">
        <v>2454</v>
      </c>
      <c r="HO3027" s="5" t="s">
        <v>312</v>
      </c>
    </row>
    <row r="3028" spans="1:240" x14ac:dyDescent="0.4">
      <c r="A3028" s="5">
        <v>4732</v>
      </c>
      <c r="B3028" s="5">
        <v>1</v>
      </c>
      <c r="C3028" s="5">
        <v>1</v>
      </c>
      <c r="D3028" s="5" t="s">
        <v>810</v>
      </c>
      <c r="E3028" s="5" t="s">
        <v>245</v>
      </c>
      <c r="F3028" s="5" t="s">
        <v>254</v>
      </c>
      <c r="G3028" s="5" t="s">
        <v>240</v>
      </c>
      <c r="H3028" s="6" t="s">
        <v>2486</v>
      </c>
      <c r="I3028" s="5" t="s">
        <v>809</v>
      </c>
      <c r="J3028" s="8">
        <f>291</f>
        <v>291</v>
      </c>
      <c r="K3028" s="5" t="s">
        <v>308</v>
      </c>
      <c r="L3028" s="7">
        <f>1</f>
        <v>1</v>
      </c>
      <c r="M3028" s="7">
        <f>1</f>
        <v>1</v>
      </c>
      <c r="N3028" s="5" t="s">
        <v>242</v>
      </c>
      <c r="O3028" s="5">
        <v>1</v>
      </c>
      <c r="P3028" s="5" t="s">
        <v>294</v>
      </c>
      <c r="Q3028" s="5" t="s">
        <v>266</v>
      </c>
      <c r="R3028" s="5" t="s">
        <v>240</v>
      </c>
      <c r="S3028" s="5" t="s">
        <v>240</v>
      </c>
      <c r="T3028" s="5" t="s">
        <v>296</v>
      </c>
      <c r="U3028" s="5" t="s">
        <v>240</v>
      </c>
      <c r="V3028" s="5" t="s">
        <v>240</v>
      </c>
      <c r="Y3028" s="5" t="s">
        <v>240</v>
      </c>
      <c r="Z3028" s="6" t="s">
        <v>1825</v>
      </c>
      <c r="AB3028" s="6" t="s">
        <v>240</v>
      </c>
      <c r="AE3028" s="6" t="s">
        <v>5280</v>
      </c>
      <c r="AF3028" s="5" t="s">
        <v>248</v>
      </c>
      <c r="AG3028" s="5" t="s">
        <v>249</v>
      </c>
      <c r="AW3028" s="5" t="s">
        <v>251</v>
      </c>
      <c r="AX3028" s="5" t="s">
        <v>240</v>
      </c>
      <c r="AY3028" s="5" t="s">
        <v>253</v>
      </c>
      <c r="AZ3028" s="5" t="s">
        <v>240</v>
      </c>
      <c r="BA3028" s="5" t="s">
        <v>255</v>
      </c>
      <c r="BB3028" s="5" t="s">
        <v>240</v>
      </c>
      <c r="BD3028" s="5" t="s">
        <v>240</v>
      </c>
      <c r="BF3028" s="5" t="s">
        <v>687</v>
      </c>
      <c r="BG3028" s="6" t="s">
        <v>5280</v>
      </c>
      <c r="BH3028" s="5" t="s">
        <v>302</v>
      </c>
      <c r="BI3028" s="5" t="s">
        <v>5278</v>
      </c>
      <c r="BJ3028" s="5" t="s">
        <v>240</v>
      </c>
      <c r="BK3028" s="8">
        <f>0</f>
        <v>0</v>
      </c>
      <c r="BL3028" s="7">
        <f>0</f>
        <v>0</v>
      </c>
      <c r="BM3028" s="5" t="s">
        <v>258</v>
      </c>
      <c r="BN3028" s="5" t="s">
        <v>259</v>
      </c>
      <c r="CB3028" s="5" t="s">
        <v>240</v>
      </c>
      <c r="CC3028" s="5" t="s">
        <v>240</v>
      </c>
      <c r="CG3028" s="5" t="s">
        <v>617</v>
      </c>
      <c r="CH3028" s="5" t="s">
        <v>305</v>
      </c>
      <c r="CI3028" s="5" t="s">
        <v>240</v>
      </c>
      <c r="CL3028" s="6" t="s">
        <v>261</v>
      </c>
      <c r="CM3028" s="5" t="s">
        <v>240</v>
      </c>
      <c r="CN3028" s="5" t="s">
        <v>263</v>
      </c>
      <c r="CO3028" s="5" t="s">
        <v>240</v>
      </c>
      <c r="CP3028" s="5" t="s">
        <v>240</v>
      </c>
      <c r="CQ3028" s="5">
        <v>0</v>
      </c>
      <c r="CR3028" s="5" t="s">
        <v>306</v>
      </c>
      <c r="CS3028" s="5" t="s">
        <v>307</v>
      </c>
      <c r="CT3028" s="5" t="s">
        <v>307</v>
      </c>
      <c r="CU3028" s="5" t="s">
        <v>260</v>
      </c>
      <c r="CX3028" s="7">
        <f>128470</f>
        <v>128470</v>
      </c>
      <c r="CY3028" s="7">
        <f>0</f>
        <v>0</v>
      </c>
      <c r="DA3028" s="7">
        <f>0</f>
        <v>0</v>
      </c>
      <c r="DC3028" s="5" t="s">
        <v>309</v>
      </c>
      <c r="DD3028" s="5" t="s">
        <v>240</v>
      </c>
      <c r="DF3028" s="5" t="s">
        <v>309</v>
      </c>
      <c r="DG3028" s="7">
        <f>58</f>
        <v>58</v>
      </c>
      <c r="DI3028" s="5" t="s">
        <v>240</v>
      </c>
      <c r="DJ3028" s="5" t="s">
        <v>240</v>
      </c>
      <c r="DK3028" s="5" t="s">
        <v>240</v>
      </c>
      <c r="DL3028" s="5" t="s">
        <v>240</v>
      </c>
      <c r="DP3028" s="5" t="s">
        <v>240</v>
      </c>
      <c r="DQ3028" s="5" t="s">
        <v>240</v>
      </c>
      <c r="DR3028" s="5" t="s">
        <v>240</v>
      </c>
      <c r="DS3028" s="5" t="s">
        <v>240</v>
      </c>
      <c r="DV3028" s="5" t="s">
        <v>310</v>
      </c>
      <c r="DW3028" s="5" t="s">
        <v>2434</v>
      </c>
      <c r="HO3028" s="5" t="s">
        <v>312</v>
      </c>
    </row>
    <row r="3029" spans="1:240" x14ac:dyDescent="0.4">
      <c r="A3029" s="5">
        <v>4733</v>
      </c>
      <c r="B3029" s="5">
        <v>1</v>
      </c>
      <c r="C3029" s="5">
        <v>1</v>
      </c>
      <c r="D3029" s="5" t="s">
        <v>810</v>
      </c>
      <c r="E3029" s="5" t="s">
        <v>245</v>
      </c>
      <c r="F3029" s="5" t="s">
        <v>254</v>
      </c>
      <c r="G3029" s="5" t="s">
        <v>240</v>
      </c>
      <c r="H3029" s="6" t="s">
        <v>2485</v>
      </c>
      <c r="I3029" s="5" t="s">
        <v>809</v>
      </c>
      <c r="J3029" s="8">
        <f>339</f>
        <v>339</v>
      </c>
      <c r="K3029" s="5" t="s">
        <v>308</v>
      </c>
      <c r="L3029" s="7">
        <f>1</f>
        <v>1</v>
      </c>
      <c r="M3029" s="7">
        <f>1</f>
        <v>1</v>
      </c>
      <c r="N3029" s="5" t="s">
        <v>242</v>
      </c>
      <c r="O3029" s="5">
        <v>1</v>
      </c>
      <c r="P3029" s="5" t="s">
        <v>294</v>
      </c>
      <c r="Q3029" s="5" t="s">
        <v>266</v>
      </c>
      <c r="R3029" s="5" t="s">
        <v>240</v>
      </c>
      <c r="S3029" s="5" t="s">
        <v>240</v>
      </c>
      <c r="T3029" s="5" t="s">
        <v>296</v>
      </c>
      <c r="U3029" s="5" t="s">
        <v>240</v>
      </c>
      <c r="V3029" s="5" t="s">
        <v>240</v>
      </c>
      <c r="Y3029" s="5" t="s">
        <v>240</v>
      </c>
      <c r="Z3029" s="6" t="s">
        <v>5282</v>
      </c>
      <c r="AB3029" s="6" t="s">
        <v>240</v>
      </c>
      <c r="AE3029" s="6" t="s">
        <v>5283</v>
      </c>
      <c r="AF3029" s="5" t="s">
        <v>248</v>
      </c>
      <c r="AG3029" s="5" t="s">
        <v>249</v>
      </c>
      <c r="AW3029" s="5" t="s">
        <v>251</v>
      </c>
      <c r="AX3029" s="5" t="s">
        <v>240</v>
      </c>
      <c r="AY3029" s="5" t="s">
        <v>253</v>
      </c>
      <c r="AZ3029" s="5" t="s">
        <v>240</v>
      </c>
      <c r="BA3029" s="5" t="s">
        <v>255</v>
      </c>
      <c r="BB3029" s="5" t="s">
        <v>240</v>
      </c>
      <c r="BD3029" s="5" t="s">
        <v>240</v>
      </c>
      <c r="BF3029" s="5" t="s">
        <v>687</v>
      </c>
      <c r="BG3029" s="6" t="s">
        <v>5282</v>
      </c>
      <c r="BH3029" s="5" t="s">
        <v>302</v>
      </c>
      <c r="BI3029" s="5" t="s">
        <v>5278</v>
      </c>
      <c r="BJ3029" s="5" t="s">
        <v>240</v>
      </c>
      <c r="BK3029" s="8">
        <f>0</f>
        <v>0</v>
      </c>
      <c r="BL3029" s="7">
        <f>0</f>
        <v>0</v>
      </c>
      <c r="BM3029" s="5" t="s">
        <v>258</v>
      </c>
      <c r="BN3029" s="5" t="s">
        <v>259</v>
      </c>
      <c r="CB3029" s="5" t="s">
        <v>240</v>
      </c>
      <c r="CC3029" s="5" t="s">
        <v>240</v>
      </c>
      <c r="CG3029" s="5" t="s">
        <v>617</v>
      </c>
      <c r="CH3029" s="5" t="s">
        <v>305</v>
      </c>
      <c r="CI3029" s="5" t="s">
        <v>240</v>
      </c>
      <c r="CL3029" s="6" t="s">
        <v>261</v>
      </c>
      <c r="CM3029" s="5" t="s">
        <v>240</v>
      </c>
      <c r="CN3029" s="5" t="s">
        <v>263</v>
      </c>
      <c r="CO3029" s="5" t="s">
        <v>240</v>
      </c>
      <c r="CP3029" s="5" t="s">
        <v>240</v>
      </c>
      <c r="CQ3029" s="5">
        <v>0</v>
      </c>
      <c r="CR3029" s="5" t="s">
        <v>306</v>
      </c>
      <c r="CS3029" s="5" t="s">
        <v>307</v>
      </c>
      <c r="CT3029" s="5" t="s">
        <v>307</v>
      </c>
      <c r="CU3029" s="5" t="s">
        <v>260</v>
      </c>
      <c r="CX3029" s="7">
        <f>9558748</f>
        <v>9558748</v>
      </c>
      <c r="CY3029" s="7">
        <f>0</f>
        <v>0</v>
      </c>
      <c r="DA3029" s="7">
        <f>0</f>
        <v>0</v>
      </c>
      <c r="DC3029" s="5" t="s">
        <v>309</v>
      </c>
      <c r="DD3029" s="5" t="s">
        <v>240</v>
      </c>
      <c r="DF3029" s="5" t="s">
        <v>843</v>
      </c>
      <c r="DG3029" s="7">
        <f>1257.73</f>
        <v>1257.73</v>
      </c>
      <c r="DI3029" s="5" t="s">
        <v>240</v>
      </c>
      <c r="DJ3029" s="5" t="s">
        <v>240</v>
      </c>
      <c r="DK3029" s="5" t="s">
        <v>240</v>
      </c>
      <c r="DL3029" s="5" t="s">
        <v>240</v>
      </c>
      <c r="DP3029" s="5" t="s">
        <v>240</v>
      </c>
      <c r="DQ3029" s="5" t="s">
        <v>240</v>
      </c>
      <c r="DR3029" s="5" t="s">
        <v>240</v>
      </c>
      <c r="DS3029" s="5" t="s">
        <v>240</v>
      </c>
      <c r="DV3029" s="5" t="s">
        <v>310</v>
      </c>
      <c r="DW3029" s="5" t="s">
        <v>2422</v>
      </c>
      <c r="HO3029" s="5" t="s">
        <v>312</v>
      </c>
    </row>
    <row r="3030" spans="1:240" x14ac:dyDescent="0.4">
      <c r="A3030" s="5">
        <v>4734</v>
      </c>
      <c r="B3030" s="5">
        <v>1</v>
      </c>
      <c r="C3030" s="5">
        <v>1</v>
      </c>
      <c r="D3030" s="5" t="s">
        <v>810</v>
      </c>
      <c r="E3030" s="5" t="s">
        <v>245</v>
      </c>
      <c r="F3030" s="5" t="s">
        <v>254</v>
      </c>
      <c r="G3030" s="5" t="s">
        <v>240</v>
      </c>
      <c r="H3030" s="6" t="s">
        <v>2484</v>
      </c>
      <c r="I3030" s="5" t="s">
        <v>809</v>
      </c>
      <c r="J3030" s="8">
        <f>1637</f>
        <v>1637</v>
      </c>
      <c r="K3030" s="5" t="s">
        <v>308</v>
      </c>
      <c r="L3030" s="7">
        <f>1</f>
        <v>1</v>
      </c>
      <c r="M3030" s="7">
        <f>1</f>
        <v>1</v>
      </c>
      <c r="N3030" s="5" t="s">
        <v>242</v>
      </c>
      <c r="O3030" s="5">
        <v>1</v>
      </c>
      <c r="P3030" s="5" t="s">
        <v>294</v>
      </c>
      <c r="Q3030" s="5" t="s">
        <v>266</v>
      </c>
      <c r="R3030" s="5" t="s">
        <v>240</v>
      </c>
      <c r="S3030" s="5" t="s">
        <v>240</v>
      </c>
      <c r="T3030" s="5" t="s">
        <v>296</v>
      </c>
      <c r="U3030" s="5" t="s">
        <v>244</v>
      </c>
      <c r="V3030" s="5" t="s">
        <v>240</v>
      </c>
      <c r="Y3030" s="5" t="s">
        <v>240</v>
      </c>
      <c r="Z3030" s="6" t="s">
        <v>298</v>
      </c>
      <c r="AB3030" s="6" t="s">
        <v>240</v>
      </c>
      <c r="AE3030" s="6" t="s">
        <v>299</v>
      </c>
      <c r="AF3030" s="5" t="s">
        <v>248</v>
      </c>
      <c r="AG3030" s="5" t="s">
        <v>249</v>
      </c>
      <c r="AW3030" s="5" t="s">
        <v>251</v>
      </c>
      <c r="AX3030" s="5" t="s">
        <v>240</v>
      </c>
      <c r="AY3030" s="5" t="s">
        <v>253</v>
      </c>
      <c r="AZ3030" s="5" t="s">
        <v>240</v>
      </c>
      <c r="BA3030" s="5" t="s">
        <v>255</v>
      </c>
      <c r="BB3030" s="5" t="s">
        <v>240</v>
      </c>
      <c r="BD3030" s="5" t="s">
        <v>240</v>
      </c>
      <c r="BF3030" s="5" t="s">
        <v>301</v>
      </c>
      <c r="BG3030" s="6" t="s">
        <v>299</v>
      </c>
      <c r="BH3030" s="5" t="s">
        <v>302</v>
      </c>
      <c r="BI3030" s="5" t="s">
        <v>303</v>
      </c>
      <c r="BJ3030" s="5" t="s">
        <v>240</v>
      </c>
      <c r="BK3030" s="8">
        <f>0</f>
        <v>0</v>
      </c>
      <c r="BL3030" s="7">
        <f>0</f>
        <v>0</v>
      </c>
      <c r="BM3030" s="5" t="s">
        <v>258</v>
      </c>
      <c r="BN3030" s="5" t="s">
        <v>259</v>
      </c>
      <c r="CB3030" s="5" t="s">
        <v>240</v>
      </c>
      <c r="CC3030" s="5" t="s">
        <v>240</v>
      </c>
      <c r="CG3030" s="5" t="s">
        <v>304</v>
      </c>
      <c r="CH3030" s="5" t="s">
        <v>305</v>
      </c>
      <c r="CI3030" s="5" t="s">
        <v>240</v>
      </c>
      <c r="CL3030" s="6" t="s">
        <v>261</v>
      </c>
      <c r="CM3030" s="5" t="s">
        <v>240</v>
      </c>
      <c r="CN3030" s="5" t="s">
        <v>263</v>
      </c>
      <c r="CO3030" s="5" t="s">
        <v>240</v>
      </c>
      <c r="CP3030" s="5" t="s">
        <v>240</v>
      </c>
      <c r="CQ3030" s="5">
        <v>0</v>
      </c>
      <c r="CR3030" s="5" t="s">
        <v>306</v>
      </c>
      <c r="CS3030" s="5" t="s">
        <v>307</v>
      </c>
      <c r="CT3030" s="5" t="s">
        <v>307</v>
      </c>
      <c r="CU3030" s="5" t="s">
        <v>260</v>
      </c>
      <c r="CX3030" s="7">
        <f>1</f>
        <v>1</v>
      </c>
      <c r="CY3030" s="7">
        <f>0</f>
        <v>0</v>
      </c>
      <c r="DA3030" s="7">
        <f>0</f>
        <v>0</v>
      </c>
      <c r="DC3030" s="5" t="s">
        <v>812</v>
      </c>
      <c r="DD3030" s="5" t="s">
        <v>240</v>
      </c>
      <c r="DF3030" s="5" t="s">
        <v>812</v>
      </c>
      <c r="DG3030" s="7">
        <f>1181</f>
        <v>1181</v>
      </c>
      <c r="DI3030" s="5" t="s">
        <v>240</v>
      </c>
      <c r="DJ3030" s="5" t="s">
        <v>240</v>
      </c>
      <c r="DK3030" s="5" t="s">
        <v>240</v>
      </c>
      <c r="DL3030" s="5" t="s">
        <v>240</v>
      </c>
      <c r="DP3030" s="5" t="s">
        <v>240</v>
      </c>
      <c r="DQ3030" s="5" t="s">
        <v>240</v>
      </c>
      <c r="DR3030" s="5" t="s">
        <v>240</v>
      </c>
      <c r="DS3030" s="5" t="s">
        <v>240</v>
      </c>
      <c r="DV3030" s="5" t="s">
        <v>813</v>
      </c>
      <c r="DW3030" s="5" t="s">
        <v>390</v>
      </c>
      <c r="HO3030" s="5" t="s">
        <v>312</v>
      </c>
    </row>
    <row r="3031" spans="1:240" x14ac:dyDescent="0.4">
      <c r="A3031" s="5">
        <v>4735</v>
      </c>
      <c r="B3031" s="5">
        <v>1</v>
      </c>
      <c r="C3031" s="5">
        <v>1</v>
      </c>
      <c r="D3031" s="5" t="s">
        <v>810</v>
      </c>
      <c r="E3031" s="5" t="s">
        <v>245</v>
      </c>
      <c r="F3031" s="5" t="s">
        <v>254</v>
      </c>
      <c r="G3031" s="5" t="s">
        <v>240</v>
      </c>
      <c r="H3031" s="6" t="s">
        <v>2482</v>
      </c>
      <c r="I3031" s="5" t="s">
        <v>809</v>
      </c>
      <c r="J3031" s="8">
        <f>208</f>
        <v>208</v>
      </c>
      <c r="K3031" s="5" t="s">
        <v>308</v>
      </c>
      <c r="L3031" s="7">
        <f>1</f>
        <v>1</v>
      </c>
      <c r="M3031" s="7">
        <f>1</f>
        <v>1</v>
      </c>
      <c r="N3031" s="5" t="s">
        <v>242</v>
      </c>
      <c r="O3031" s="5">
        <v>1</v>
      </c>
      <c r="P3031" s="5" t="s">
        <v>294</v>
      </c>
      <c r="Q3031" s="5" t="s">
        <v>266</v>
      </c>
      <c r="R3031" s="5" t="s">
        <v>240</v>
      </c>
      <c r="S3031" s="5" t="s">
        <v>240</v>
      </c>
      <c r="T3031" s="5" t="s">
        <v>296</v>
      </c>
      <c r="U3031" s="5" t="s">
        <v>240</v>
      </c>
      <c r="V3031" s="5" t="s">
        <v>240</v>
      </c>
      <c r="Y3031" s="5" t="s">
        <v>240</v>
      </c>
      <c r="Z3031" s="6" t="s">
        <v>5282</v>
      </c>
      <c r="AB3031" s="6" t="s">
        <v>240</v>
      </c>
      <c r="AE3031" s="6" t="s">
        <v>299</v>
      </c>
      <c r="AF3031" s="5" t="s">
        <v>248</v>
      </c>
      <c r="AG3031" s="5" t="s">
        <v>249</v>
      </c>
      <c r="AW3031" s="5" t="s">
        <v>251</v>
      </c>
      <c r="AX3031" s="5" t="s">
        <v>240</v>
      </c>
      <c r="AY3031" s="5" t="s">
        <v>253</v>
      </c>
      <c r="AZ3031" s="5" t="s">
        <v>240</v>
      </c>
      <c r="BA3031" s="5" t="s">
        <v>255</v>
      </c>
      <c r="BB3031" s="5" t="s">
        <v>240</v>
      </c>
      <c r="BD3031" s="5" t="s">
        <v>240</v>
      </c>
      <c r="BF3031" s="5" t="s">
        <v>301</v>
      </c>
      <c r="BG3031" s="6" t="s">
        <v>5282</v>
      </c>
      <c r="BH3031" s="5" t="s">
        <v>302</v>
      </c>
      <c r="BI3031" s="5" t="s">
        <v>5278</v>
      </c>
      <c r="BJ3031" s="5" t="s">
        <v>240</v>
      </c>
      <c r="BK3031" s="8">
        <f>0</f>
        <v>0</v>
      </c>
      <c r="BL3031" s="7">
        <f>0</f>
        <v>0</v>
      </c>
      <c r="BM3031" s="5" t="s">
        <v>258</v>
      </c>
      <c r="BN3031" s="5" t="s">
        <v>259</v>
      </c>
      <c r="CB3031" s="5" t="s">
        <v>240</v>
      </c>
      <c r="CC3031" s="5" t="s">
        <v>240</v>
      </c>
      <c r="CG3031" s="5" t="s">
        <v>617</v>
      </c>
      <c r="CH3031" s="5" t="s">
        <v>305</v>
      </c>
      <c r="CI3031" s="5" t="s">
        <v>240</v>
      </c>
      <c r="CL3031" s="6" t="s">
        <v>261</v>
      </c>
      <c r="CM3031" s="5" t="s">
        <v>240</v>
      </c>
      <c r="CN3031" s="5" t="s">
        <v>263</v>
      </c>
      <c r="CO3031" s="5" t="s">
        <v>240</v>
      </c>
      <c r="CP3031" s="5" t="s">
        <v>240</v>
      </c>
      <c r="CQ3031" s="5">
        <v>0</v>
      </c>
      <c r="CR3031" s="5" t="s">
        <v>306</v>
      </c>
      <c r="CS3031" s="5" t="s">
        <v>307</v>
      </c>
      <c r="CT3031" s="5" t="s">
        <v>307</v>
      </c>
      <c r="CU3031" s="5" t="s">
        <v>260</v>
      </c>
      <c r="CX3031" s="7">
        <f>516800</f>
        <v>516800</v>
      </c>
      <c r="CY3031" s="7">
        <f>0</f>
        <v>0</v>
      </c>
      <c r="DA3031" s="7">
        <f>0</f>
        <v>0</v>
      </c>
      <c r="DC3031" s="5" t="s">
        <v>812</v>
      </c>
      <c r="DD3031" s="5" t="s">
        <v>240</v>
      </c>
      <c r="DF3031" s="5" t="s">
        <v>843</v>
      </c>
      <c r="DG3031" s="7">
        <f>0</f>
        <v>0</v>
      </c>
      <c r="DH3031" s="6" t="s">
        <v>2160</v>
      </c>
      <c r="DI3031" s="5" t="s">
        <v>240</v>
      </c>
      <c r="DJ3031" s="5" t="s">
        <v>240</v>
      </c>
      <c r="DK3031" s="5" t="s">
        <v>240</v>
      </c>
      <c r="DL3031" s="5" t="s">
        <v>240</v>
      </c>
      <c r="DP3031" s="5" t="s">
        <v>240</v>
      </c>
      <c r="DQ3031" s="5" t="s">
        <v>240</v>
      </c>
      <c r="DR3031" s="5" t="s">
        <v>240</v>
      </c>
      <c r="DS3031" s="5" t="s">
        <v>240</v>
      </c>
      <c r="DV3031" s="5" t="s">
        <v>813</v>
      </c>
      <c r="DW3031" s="5" t="s">
        <v>5287</v>
      </c>
      <c r="HO3031" s="5" t="s">
        <v>312</v>
      </c>
    </row>
    <row r="3032" spans="1:240" x14ac:dyDescent="0.4">
      <c r="A3032" s="5">
        <v>4736</v>
      </c>
      <c r="B3032" s="5">
        <v>1</v>
      </c>
      <c r="C3032" s="5">
        <v>1</v>
      </c>
      <c r="D3032" s="5" t="s">
        <v>810</v>
      </c>
      <c r="E3032" s="5" t="s">
        <v>245</v>
      </c>
      <c r="F3032" s="5" t="s">
        <v>254</v>
      </c>
      <c r="G3032" s="5" t="s">
        <v>240</v>
      </c>
      <c r="H3032" s="6" t="s">
        <v>2480</v>
      </c>
      <c r="I3032" s="5" t="s">
        <v>809</v>
      </c>
      <c r="J3032" s="8">
        <f>336</f>
        <v>336</v>
      </c>
      <c r="K3032" s="5" t="s">
        <v>308</v>
      </c>
      <c r="L3032" s="7">
        <f>1</f>
        <v>1</v>
      </c>
      <c r="M3032" s="7">
        <f>1</f>
        <v>1</v>
      </c>
      <c r="N3032" s="5" t="s">
        <v>242</v>
      </c>
      <c r="O3032" s="5">
        <v>1</v>
      </c>
      <c r="P3032" s="5" t="s">
        <v>294</v>
      </c>
      <c r="Q3032" s="5" t="s">
        <v>266</v>
      </c>
      <c r="R3032" s="5" t="s">
        <v>240</v>
      </c>
      <c r="S3032" s="5" t="s">
        <v>240</v>
      </c>
      <c r="T3032" s="5" t="s">
        <v>296</v>
      </c>
      <c r="U3032" s="5" t="s">
        <v>240</v>
      </c>
      <c r="V3032" s="5" t="s">
        <v>240</v>
      </c>
      <c r="Y3032" s="5" t="s">
        <v>240</v>
      </c>
      <c r="Z3032" s="6" t="s">
        <v>5282</v>
      </c>
      <c r="AB3032" s="6" t="s">
        <v>240</v>
      </c>
      <c r="AE3032" s="6" t="s">
        <v>299</v>
      </c>
      <c r="AF3032" s="5" t="s">
        <v>248</v>
      </c>
      <c r="AG3032" s="5" t="s">
        <v>249</v>
      </c>
      <c r="AW3032" s="5" t="s">
        <v>251</v>
      </c>
      <c r="AX3032" s="5" t="s">
        <v>240</v>
      </c>
      <c r="AY3032" s="5" t="s">
        <v>253</v>
      </c>
      <c r="AZ3032" s="5" t="s">
        <v>240</v>
      </c>
      <c r="BA3032" s="5" t="s">
        <v>255</v>
      </c>
      <c r="BB3032" s="5" t="s">
        <v>240</v>
      </c>
      <c r="BD3032" s="5" t="s">
        <v>240</v>
      </c>
      <c r="BF3032" s="5" t="s">
        <v>301</v>
      </c>
      <c r="BG3032" s="6" t="s">
        <v>5282</v>
      </c>
      <c r="BH3032" s="5" t="s">
        <v>302</v>
      </c>
      <c r="BI3032" s="5" t="s">
        <v>5278</v>
      </c>
      <c r="BJ3032" s="5" t="s">
        <v>240</v>
      </c>
      <c r="BK3032" s="8">
        <f>0</f>
        <v>0</v>
      </c>
      <c r="BL3032" s="7">
        <f>0</f>
        <v>0</v>
      </c>
      <c r="BM3032" s="5" t="s">
        <v>258</v>
      </c>
      <c r="BN3032" s="5" t="s">
        <v>259</v>
      </c>
      <c r="CB3032" s="5" t="s">
        <v>240</v>
      </c>
      <c r="CC3032" s="5" t="s">
        <v>240</v>
      </c>
      <c r="CG3032" s="5" t="s">
        <v>617</v>
      </c>
      <c r="CH3032" s="5" t="s">
        <v>305</v>
      </c>
      <c r="CI3032" s="5" t="s">
        <v>240</v>
      </c>
      <c r="CL3032" s="6" t="s">
        <v>261</v>
      </c>
      <c r="CM3032" s="5" t="s">
        <v>240</v>
      </c>
      <c r="CN3032" s="5" t="s">
        <v>263</v>
      </c>
      <c r="CO3032" s="5" t="s">
        <v>240</v>
      </c>
      <c r="CP3032" s="5" t="s">
        <v>240</v>
      </c>
      <c r="CQ3032" s="5">
        <v>0</v>
      </c>
      <c r="CR3032" s="5" t="s">
        <v>306</v>
      </c>
      <c r="CS3032" s="5" t="s">
        <v>307</v>
      </c>
      <c r="CT3032" s="5" t="s">
        <v>307</v>
      </c>
      <c r="CU3032" s="5" t="s">
        <v>260</v>
      </c>
      <c r="CX3032" s="7">
        <f>4689200</f>
        <v>4689200</v>
      </c>
      <c r="CY3032" s="7">
        <f>0</f>
        <v>0</v>
      </c>
      <c r="DA3032" s="7">
        <f>0</f>
        <v>0</v>
      </c>
      <c r="DC3032" s="5" t="s">
        <v>812</v>
      </c>
      <c r="DD3032" s="5" t="s">
        <v>240</v>
      </c>
      <c r="DF3032" s="5" t="s">
        <v>812</v>
      </c>
      <c r="DG3032" s="7">
        <f>0</f>
        <v>0</v>
      </c>
      <c r="DH3032" s="6" t="s">
        <v>5289</v>
      </c>
      <c r="DI3032" s="5" t="s">
        <v>240</v>
      </c>
      <c r="DJ3032" s="5" t="s">
        <v>240</v>
      </c>
      <c r="DK3032" s="5" t="s">
        <v>240</v>
      </c>
      <c r="DL3032" s="5" t="s">
        <v>240</v>
      </c>
      <c r="DP3032" s="5" t="s">
        <v>240</v>
      </c>
      <c r="DQ3032" s="5" t="s">
        <v>240</v>
      </c>
      <c r="DR3032" s="5" t="s">
        <v>240</v>
      </c>
      <c r="DS3032" s="5" t="s">
        <v>240</v>
      </c>
      <c r="DV3032" s="5" t="s">
        <v>813</v>
      </c>
      <c r="DW3032" s="5" t="s">
        <v>5290</v>
      </c>
      <c r="HO3032" s="5" t="s">
        <v>312</v>
      </c>
    </row>
    <row r="3033" spans="1:240" x14ac:dyDescent="0.4">
      <c r="A3033" s="5">
        <v>4737</v>
      </c>
      <c r="B3033" s="5">
        <v>1</v>
      </c>
      <c r="C3033" s="5">
        <v>1</v>
      </c>
      <c r="D3033" s="5" t="s">
        <v>810</v>
      </c>
      <c r="E3033" s="5" t="s">
        <v>245</v>
      </c>
      <c r="F3033" s="5" t="s">
        <v>254</v>
      </c>
      <c r="G3033" s="5" t="s">
        <v>240</v>
      </c>
      <c r="H3033" s="6" t="s">
        <v>2478</v>
      </c>
      <c r="I3033" s="5" t="s">
        <v>809</v>
      </c>
      <c r="J3033" s="8">
        <f>406</f>
        <v>406</v>
      </c>
      <c r="K3033" s="5" t="s">
        <v>308</v>
      </c>
      <c r="L3033" s="7">
        <f>1</f>
        <v>1</v>
      </c>
      <c r="M3033" s="7">
        <f>1</f>
        <v>1</v>
      </c>
      <c r="N3033" s="5" t="s">
        <v>242</v>
      </c>
      <c r="O3033" s="5">
        <v>1</v>
      </c>
      <c r="P3033" s="5" t="s">
        <v>294</v>
      </c>
      <c r="Q3033" s="5" t="s">
        <v>613</v>
      </c>
      <c r="R3033" s="5" t="s">
        <v>240</v>
      </c>
      <c r="S3033" s="5" t="s">
        <v>240</v>
      </c>
      <c r="T3033" s="5" t="s">
        <v>296</v>
      </c>
      <c r="U3033" s="5" t="s">
        <v>244</v>
      </c>
      <c r="V3033" s="5" t="s">
        <v>240</v>
      </c>
      <c r="Y3033" s="5" t="s">
        <v>240</v>
      </c>
      <c r="Z3033" s="6" t="s">
        <v>298</v>
      </c>
      <c r="AB3033" s="6" t="s">
        <v>240</v>
      </c>
      <c r="AE3033" s="6" t="s">
        <v>299</v>
      </c>
      <c r="AF3033" s="5" t="s">
        <v>248</v>
      </c>
      <c r="AG3033" s="5" t="s">
        <v>249</v>
      </c>
      <c r="AW3033" s="5" t="s">
        <v>251</v>
      </c>
      <c r="AX3033" s="5" t="s">
        <v>240</v>
      </c>
      <c r="AY3033" s="5" t="s">
        <v>253</v>
      </c>
      <c r="AZ3033" s="5" t="s">
        <v>240</v>
      </c>
      <c r="BA3033" s="5" t="s">
        <v>255</v>
      </c>
      <c r="BB3033" s="5" t="s">
        <v>240</v>
      </c>
      <c r="BD3033" s="5" t="s">
        <v>240</v>
      </c>
      <c r="BF3033" s="5" t="s">
        <v>301</v>
      </c>
      <c r="BG3033" s="6" t="s">
        <v>299</v>
      </c>
      <c r="BH3033" s="5" t="s">
        <v>302</v>
      </c>
      <c r="BI3033" s="5" t="s">
        <v>5278</v>
      </c>
      <c r="BJ3033" s="5" t="s">
        <v>240</v>
      </c>
      <c r="BK3033" s="8">
        <f>0</f>
        <v>0</v>
      </c>
      <c r="BL3033" s="7">
        <f>0</f>
        <v>0</v>
      </c>
      <c r="BM3033" s="5" t="s">
        <v>258</v>
      </c>
      <c r="BN3033" s="5" t="s">
        <v>259</v>
      </c>
      <c r="CB3033" s="5" t="s">
        <v>240</v>
      </c>
      <c r="CC3033" s="5" t="s">
        <v>240</v>
      </c>
      <c r="CG3033" s="5" t="s">
        <v>617</v>
      </c>
      <c r="CH3033" s="5" t="s">
        <v>305</v>
      </c>
      <c r="CI3033" s="5" t="s">
        <v>240</v>
      </c>
      <c r="CL3033" s="6" t="s">
        <v>261</v>
      </c>
      <c r="CM3033" s="5" t="s">
        <v>240</v>
      </c>
      <c r="CN3033" s="5" t="s">
        <v>263</v>
      </c>
      <c r="CO3033" s="5" t="s">
        <v>240</v>
      </c>
      <c r="CP3033" s="5" t="s">
        <v>240</v>
      </c>
      <c r="CQ3033" s="5">
        <v>0</v>
      </c>
      <c r="CR3033" s="5" t="s">
        <v>306</v>
      </c>
      <c r="CS3033" s="5" t="s">
        <v>307</v>
      </c>
      <c r="CT3033" s="5" t="s">
        <v>307</v>
      </c>
      <c r="CU3033" s="5" t="s">
        <v>260</v>
      </c>
      <c r="CX3033" s="7">
        <f>204</f>
        <v>204</v>
      </c>
      <c r="CY3033" s="7">
        <f>0</f>
        <v>0</v>
      </c>
      <c r="DA3033" s="7">
        <f>0</f>
        <v>0</v>
      </c>
      <c r="DC3033" s="5" t="s">
        <v>812</v>
      </c>
      <c r="DD3033" s="5" t="s">
        <v>240</v>
      </c>
      <c r="DF3033" s="5" t="s">
        <v>843</v>
      </c>
      <c r="DG3033" s="7">
        <f>7.29</f>
        <v>7.29</v>
      </c>
      <c r="DH3033" s="6" t="s">
        <v>2163</v>
      </c>
      <c r="DI3033" s="5" t="s">
        <v>1320</v>
      </c>
      <c r="DJ3033" s="5" t="s">
        <v>240</v>
      </c>
      <c r="DK3033" s="5" t="s">
        <v>240</v>
      </c>
      <c r="DL3033" s="5" t="s">
        <v>240</v>
      </c>
      <c r="DP3033" s="5" t="s">
        <v>240</v>
      </c>
      <c r="DQ3033" s="5" t="s">
        <v>240</v>
      </c>
      <c r="DR3033" s="5" t="s">
        <v>240</v>
      </c>
      <c r="DS3033" s="5" t="s">
        <v>240</v>
      </c>
      <c r="DV3033" s="5" t="s">
        <v>813</v>
      </c>
      <c r="DW3033" s="5" t="s">
        <v>5292</v>
      </c>
      <c r="HO3033" s="5" t="s">
        <v>312</v>
      </c>
    </row>
    <row r="3034" spans="1:240" x14ac:dyDescent="0.4">
      <c r="A3034" s="5">
        <v>4738</v>
      </c>
      <c r="B3034" s="5">
        <v>1</v>
      </c>
      <c r="C3034" s="5">
        <v>1</v>
      </c>
      <c r="D3034" s="5" t="s">
        <v>810</v>
      </c>
      <c r="E3034" s="5" t="s">
        <v>245</v>
      </c>
      <c r="F3034" s="5" t="s">
        <v>254</v>
      </c>
      <c r="G3034" s="5" t="s">
        <v>240</v>
      </c>
      <c r="H3034" s="6" t="s">
        <v>4698</v>
      </c>
      <c r="I3034" s="5" t="s">
        <v>809</v>
      </c>
      <c r="J3034" s="8">
        <f>1938</f>
        <v>1938</v>
      </c>
      <c r="K3034" s="5" t="s">
        <v>308</v>
      </c>
      <c r="L3034" s="7">
        <f>1</f>
        <v>1</v>
      </c>
      <c r="M3034" s="7">
        <f>1</f>
        <v>1</v>
      </c>
      <c r="N3034" s="5" t="s">
        <v>242</v>
      </c>
      <c r="O3034" s="5">
        <v>1</v>
      </c>
      <c r="P3034" s="5" t="s">
        <v>294</v>
      </c>
      <c r="Q3034" s="5" t="s">
        <v>266</v>
      </c>
      <c r="R3034" s="5" t="s">
        <v>240</v>
      </c>
      <c r="S3034" s="5" t="s">
        <v>240</v>
      </c>
      <c r="T3034" s="5" t="s">
        <v>243</v>
      </c>
      <c r="U3034" s="5" t="s">
        <v>244</v>
      </c>
      <c r="V3034" s="5" t="s">
        <v>240</v>
      </c>
      <c r="Y3034" s="5" t="s">
        <v>240</v>
      </c>
      <c r="Z3034" s="6" t="s">
        <v>745</v>
      </c>
      <c r="AB3034" s="6" t="s">
        <v>240</v>
      </c>
      <c r="AE3034" s="6" t="s">
        <v>5102</v>
      </c>
      <c r="AF3034" s="5" t="s">
        <v>248</v>
      </c>
      <c r="AG3034" s="5" t="s">
        <v>260</v>
      </c>
      <c r="AW3034" s="5" t="s">
        <v>251</v>
      </c>
      <c r="AX3034" s="5" t="s">
        <v>240</v>
      </c>
      <c r="AY3034" s="5" t="s">
        <v>253</v>
      </c>
      <c r="AZ3034" s="5" t="s">
        <v>240</v>
      </c>
      <c r="BA3034" s="5" t="s">
        <v>255</v>
      </c>
      <c r="BB3034" s="5" t="s">
        <v>240</v>
      </c>
      <c r="BD3034" s="5" t="s">
        <v>240</v>
      </c>
      <c r="BF3034" s="5" t="s">
        <v>447</v>
      </c>
      <c r="BG3034" s="6" t="s">
        <v>5102</v>
      </c>
      <c r="BH3034" s="5" t="s">
        <v>302</v>
      </c>
      <c r="BI3034" s="5" t="s">
        <v>5278</v>
      </c>
      <c r="BJ3034" s="5" t="s">
        <v>240</v>
      </c>
      <c r="BK3034" s="8">
        <f>0</f>
        <v>0</v>
      </c>
      <c r="BL3034" s="7">
        <f>0</f>
        <v>0</v>
      </c>
      <c r="BM3034" s="5" t="s">
        <v>258</v>
      </c>
      <c r="BN3034" s="5" t="s">
        <v>259</v>
      </c>
      <c r="CB3034" s="5" t="s">
        <v>240</v>
      </c>
      <c r="CC3034" s="5" t="s">
        <v>240</v>
      </c>
      <c r="CG3034" s="5" t="s">
        <v>449</v>
      </c>
      <c r="CH3034" s="5" t="s">
        <v>305</v>
      </c>
      <c r="CI3034" s="5" t="s">
        <v>240</v>
      </c>
      <c r="CL3034" s="6" t="s">
        <v>261</v>
      </c>
      <c r="CM3034" s="5" t="s">
        <v>240</v>
      </c>
      <c r="CN3034" s="5" t="s">
        <v>263</v>
      </c>
      <c r="CO3034" s="5" t="s">
        <v>240</v>
      </c>
      <c r="CP3034" s="5" t="s">
        <v>240</v>
      </c>
      <c r="CQ3034" s="5">
        <v>0</v>
      </c>
      <c r="CR3034" s="5" t="s">
        <v>306</v>
      </c>
      <c r="CS3034" s="5" t="s">
        <v>307</v>
      </c>
      <c r="CT3034" s="5" t="s">
        <v>307</v>
      </c>
      <c r="CU3034" s="5" t="s">
        <v>260</v>
      </c>
      <c r="CX3034" s="7">
        <f>4921632</f>
        <v>4921632</v>
      </c>
      <c r="CY3034" s="7">
        <f>0</f>
        <v>0</v>
      </c>
      <c r="DA3034" s="7">
        <f>0</f>
        <v>0</v>
      </c>
      <c r="DC3034" s="5" t="s">
        <v>450</v>
      </c>
      <c r="DD3034" s="5" t="s">
        <v>240</v>
      </c>
      <c r="DF3034" s="5" t="s">
        <v>450</v>
      </c>
      <c r="DG3034" s="7">
        <f>744</f>
        <v>744</v>
      </c>
      <c r="DI3034" s="5" t="s">
        <v>240</v>
      </c>
      <c r="DJ3034" s="5" t="s">
        <v>240</v>
      </c>
      <c r="DK3034" s="5" t="s">
        <v>240</v>
      </c>
      <c r="DL3034" s="5" t="s">
        <v>240</v>
      </c>
      <c r="DP3034" s="5" t="s">
        <v>240</v>
      </c>
      <c r="DQ3034" s="5" t="s">
        <v>240</v>
      </c>
      <c r="DR3034" s="5" t="s">
        <v>240</v>
      </c>
      <c r="DS3034" s="5" t="s">
        <v>240</v>
      </c>
      <c r="DV3034" s="5" t="s">
        <v>310</v>
      </c>
      <c r="DW3034" s="5" t="s">
        <v>2458</v>
      </c>
      <c r="HO3034" s="5" t="s">
        <v>312</v>
      </c>
    </row>
    <row r="3035" spans="1:240" x14ac:dyDescent="0.4">
      <c r="A3035" s="5">
        <v>4739</v>
      </c>
      <c r="B3035" s="5">
        <v>1</v>
      </c>
      <c r="C3035" s="5">
        <v>1</v>
      </c>
      <c r="D3035" s="5" t="s">
        <v>810</v>
      </c>
      <c r="E3035" s="5" t="s">
        <v>245</v>
      </c>
      <c r="F3035" s="5" t="s">
        <v>254</v>
      </c>
      <c r="G3035" s="5" t="s">
        <v>240</v>
      </c>
      <c r="H3035" s="6" t="s">
        <v>2474</v>
      </c>
      <c r="I3035" s="5" t="s">
        <v>809</v>
      </c>
      <c r="J3035" s="8">
        <f>3040</f>
        <v>3040</v>
      </c>
      <c r="K3035" s="5" t="s">
        <v>308</v>
      </c>
      <c r="L3035" s="7">
        <f>1</f>
        <v>1</v>
      </c>
      <c r="M3035" s="7">
        <f>1</f>
        <v>1</v>
      </c>
      <c r="N3035" s="5" t="s">
        <v>242</v>
      </c>
      <c r="O3035" s="5">
        <v>1</v>
      </c>
      <c r="P3035" s="5" t="s">
        <v>294</v>
      </c>
      <c r="Q3035" s="5" t="s">
        <v>266</v>
      </c>
      <c r="R3035" s="5" t="s">
        <v>240</v>
      </c>
      <c r="S3035" s="5" t="s">
        <v>240</v>
      </c>
      <c r="T3035" s="5" t="s">
        <v>243</v>
      </c>
      <c r="U3035" s="5" t="s">
        <v>244</v>
      </c>
      <c r="V3035" s="5" t="s">
        <v>240</v>
      </c>
      <c r="Y3035" s="5" t="s">
        <v>240</v>
      </c>
      <c r="Z3035" s="6" t="s">
        <v>745</v>
      </c>
      <c r="AB3035" s="6" t="s">
        <v>240</v>
      </c>
      <c r="AE3035" s="6" t="s">
        <v>5283</v>
      </c>
      <c r="AF3035" s="5" t="s">
        <v>248</v>
      </c>
      <c r="AG3035" s="5" t="s">
        <v>260</v>
      </c>
      <c r="AW3035" s="5" t="s">
        <v>251</v>
      </c>
      <c r="AX3035" s="5" t="s">
        <v>240</v>
      </c>
      <c r="AY3035" s="5" t="s">
        <v>253</v>
      </c>
      <c r="AZ3035" s="5" t="s">
        <v>240</v>
      </c>
      <c r="BA3035" s="5" t="s">
        <v>255</v>
      </c>
      <c r="BB3035" s="5" t="s">
        <v>240</v>
      </c>
      <c r="BD3035" s="5" t="s">
        <v>240</v>
      </c>
      <c r="BF3035" s="5" t="s">
        <v>687</v>
      </c>
      <c r="BG3035" s="6" t="s">
        <v>5283</v>
      </c>
      <c r="BH3035" s="5" t="s">
        <v>302</v>
      </c>
      <c r="BI3035" s="5" t="s">
        <v>5278</v>
      </c>
      <c r="BJ3035" s="5" t="s">
        <v>240</v>
      </c>
      <c r="BK3035" s="8">
        <f>0</f>
        <v>0</v>
      </c>
      <c r="BL3035" s="7">
        <f>0</f>
        <v>0</v>
      </c>
      <c r="BM3035" s="5" t="s">
        <v>258</v>
      </c>
      <c r="BN3035" s="5" t="s">
        <v>259</v>
      </c>
      <c r="CB3035" s="5" t="s">
        <v>240</v>
      </c>
      <c r="CC3035" s="5" t="s">
        <v>240</v>
      </c>
      <c r="CG3035" s="5" t="s">
        <v>449</v>
      </c>
      <c r="CH3035" s="5" t="s">
        <v>305</v>
      </c>
      <c r="CI3035" s="5" t="s">
        <v>240</v>
      </c>
      <c r="CL3035" s="6" t="s">
        <v>261</v>
      </c>
      <c r="CM3035" s="5" t="s">
        <v>240</v>
      </c>
      <c r="CN3035" s="5" t="s">
        <v>263</v>
      </c>
      <c r="CO3035" s="5" t="s">
        <v>240</v>
      </c>
      <c r="CP3035" s="5" t="s">
        <v>240</v>
      </c>
      <c r="CQ3035" s="5">
        <v>0</v>
      </c>
      <c r="CR3035" s="5" t="s">
        <v>306</v>
      </c>
      <c r="CS3035" s="5" t="s">
        <v>307</v>
      </c>
      <c r="CT3035" s="5" t="s">
        <v>307</v>
      </c>
      <c r="CU3035" s="5" t="s">
        <v>260</v>
      </c>
      <c r="CX3035" s="7">
        <f>7951346</f>
        <v>7951346</v>
      </c>
      <c r="CY3035" s="7">
        <f>0</f>
        <v>0</v>
      </c>
      <c r="DA3035" s="7">
        <f>0</f>
        <v>0</v>
      </c>
      <c r="DC3035" s="5" t="s">
        <v>450</v>
      </c>
      <c r="DD3035" s="5" t="s">
        <v>240</v>
      </c>
      <c r="DF3035" s="5" t="s">
        <v>450</v>
      </c>
      <c r="DG3035" s="7">
        <f>1202</f>
        <v>1202</v>
      </c>
      <c r="DI3035" s="5" t="s">
        <v>240</v>
      </c>
      <c r="DJ3035" s="5" t="s">
        <v>240</v>
      </c>
      <c r="DK3035" s="5" t="s">
        <v>240</v>
      </c>
      <c r="DL3035" s="5" t="s">
        <v>240</v>
      </c>
      <c r="DP3035" s="5" t="s">
        <v>240</v>
      </c>
      <c r="DQ3035" s="5" t="s">
        <v>240</v>
      </c>
      <c r="DR3035" s="5" t="s">
        <v>240</v>
      </c>
      <c r="DS3035" s="5" t="s">
        <v>240</v>
      </c>
      <c r="DV3035" s="5" t="s">
        <v>310</v>
      </c>
      <c r="DW3035" s="5" t="s">
        <v>2456</v>
      </c>
      <c r="HO3035" s="5" t="s">
        <v>312</v>
      </c>
    </row>
    <row r="3036" spans="1:240" x14ac:dyDescent="0.4">
      <c r="A3036" s="5">
        <v>4740</v>
      </c>
      <c r="B3036" s="5">
        <v>1</v>
      </c>
      <c r="C3036" s="5">
        <v>1</v>
      </c>
      <c r="D3036" s="5" t="s">
        <v>810</v>
      </c>
      <c r="E3036" s="5" t="s">
        <v>245</v>
      </c>
      <c r="F3036" s="5" t="s">
        <v>254</v>
      </c>
      <c r="G3036" s="5" t="s">
        <v>240</v>
      </c>
      <c r="H3036" s="6" t="s">
        <v>2472</v>
      </c>
      <c r="I3036" s="5" t="s">
        <v>809</v>
      </c>
      <c r="J3036" s="8">
        <f>1993</f>
        <v>1993</v>
      </c>
      <c r="K3036" s="5" t="s">
        <v>308</v>
      </c>
      <c r="L3036" s="7">
        <f>1</f>
        <v>1</v>
      </c>
      <c r="M3036" s="7">
        <f>1</f>
        <v>1</v>
      </c>
      <c r="N3036" s="5" t="s">
        <v>242</v>
      </c>
      <c r="O3036" s="5">
        <v>1</v>
      </c>
      <c r="P3036" s="5" t="s">
        <v>294</v>
      </c>
      <c r="Q3036" s="5" t="s">
        <v>266</v>
      </c>
      <c r="R3036" s="5" t="s">
        <v>240</v>
      </c>
      <c r="S3036" s="5" t="s">
        <v>240</v>
      </c>
      <c r="T3036" s="5" t="s">
        <v>243</v>
      </c>
      <c r="U3036" s="5" t="s">
        <v>240</v>
      </c>
      <c r="V3036" s="5" t="s">
        <v>240</v>
      </c>
      <c r="Y3036" s="5" t="s">
        <v>240</v>
      </c>
      <c r="Z3036" s="6" t="s">
        <v>2207</v>
      </c>
      <c r="AB3036" s="6" t="s">
        <v>240</v>
      </c>
      <c r="AE3036" s="6" t="s">
        <v>299</v>
      </c>
      <c r="AF3036" s="5" t="s">
        <v>248</v>
      </c>
      <c r="AG3036" s="5" t="s">
        <v>249</v>
      </c>
      <c r="AW3036" s="5" t="s">
        <v>251</v>
      </c>
      <c r="AX3036" s="5" t="s">
        <v>240</v>
      </c>
      <c r="AY3036" s="5" t="s">
        <v>253</v>
      </c>
      <c r="AZ3036" s="5" t="s">
        <v>240</v>
      </c>
      <c r="BA3036" s="5" t="s">
        <v>255</v>
      </c>
      <c r="BB3036" s="5" t="s">
        <v>240</v>
      </c>
      <c r="BD3036" s="5" t="s">
        <v>240</v>
      </c>
      <c r="BF3036" s="5" t="s">
        <v>301</v>
      </c>
      <c r="BG3036" s="6" t="s">
        <v>2207</v>
      </c>
      <c r="BH3036" s="5" t="s">
        <v>302</v>
      </c>
      <c r="BI3036" s="5" t="s">
        <v>5278</v>
      </c>
      <c r="BJ3036" s="5" t="s">
        <v>240</v>
      </c>
      <c r="BK3036" s="8">
        <f>0</f>
        <v>0</v>
      </c>
      <c r="BL3036" s="7">
        <f>0</f>
        <v>0</v>
      </c>
      <c r="BM3036" s="5" t="s">
        <v>258</v>
      </c>
      <c r="BN3036" s="5" t="s">
        <v>259</v>
      </c>
      <c r="CB3036" s="5" t="s">
        <v>240</v>
      </c>
      <c r="CC3036" s="5" t="s">
        <v>240</v>
      </c>
      <c r="CG3036" s="5" t="s">
        <v>617</v>
      </c>
      <c r="CH3036" s="5" t="s">
        <v>305</v>
      </c>
      <c r="CI3036" s="5" t="s">
        <v>240</v>
      </c>
      <c r="CL3036" s="6" t="s">
        <v>261</v>
      </c>
      <c r="CM3036" s="5" t="s">
        <v>240</v>
      </c>
      <c r="CN3036" s="5" t="s">
        <v>263</v>
      </c>
      <c r="CO3036" s="5" t="s">
        <v>240</v>
      </c>
      <c r="CP3036" s="5" t="s">
        <v>240</v>
      </c>
      <c r="CQ3036" s="5">
        <v>0</v>
      </c>
      <c r="CR3036" s="5" t="s">
        <v>306</v>
      </c>
      <c r="CS3036" s="5" t="s">
        <v>307</v>
      </c>
      <c r="CT3036" s="5" t="s">
        <v>307</v>
      </c>
      <c r="CU3036" s="5" t="s">
        <v>260</v>
      </c>
      <c r="CX3036" s="7">
        <f>381</f>
        <v>381</v>
      </c>
      <c r="CY3036" s="7">
        <f>0</f>
        <v>0</v>
      </c>
      <c r="DA3036" s="7">
        <f>0</f>
        <v>0</v>
      </c>
      <c r="DC3036" s="5" t="s">
        <v>450</v>
      </c>
      <c r="DD3036" s="5" t="s">
        <v>240</v>
      </c>
      <c r="DF3036" s="5" t="s">
        <v>450</v>
      </c>
      <c r="DG3036" s="7">
        <f>13.6</f>
        <v>13.6</v>
      </c>
      <c r="DH3036" s="6" t="s">
        <v>5298</v>
      </c>
      <c r="DI3036" s="5" t="s">
        <v>240</v>
      </c>
      <c r="DJ3036" s="5" t="s">
        <v>240</v>
      </c>
      <c r="DK3036" s="5" t="s">
        <v>240</v>
      </c>
      <c r="DL3036" s="5" t="s">
        <v>240</v>
      </c>
      <c r="DP3036" s="5" t="s">
        <v>240</v>
      </c>
      <c r="DQ3036" s="5" t="s">
        <v>240</v>
      </c>
      <c r="DR3036" s="5" t="s">
        <v>240</v>
      </c>
      <c r="DS3036" s="5" t="s">
        <v>240</v>
      </c>
      <c r="DV3036" s="5" t="s">
        <v>5299</v>
      </c>
      <c r="DW3036" s="5" t="s">
        <v>312</v>
      </c>
      <c r="HO3036" s="5" t="s">
        <v>312</v>
      </c>
    </row>
    <row r="3037" spans="1:240" x14ac:dyDescent="0.4">
      <c r="A3037" s="5">
        <v>4741</v>
      </c>
      <c r="B3037" s="5">
        <v>1</v>
      </c>
      <c r="C3037" s="5">
        <v>1</v>
      </c>
      <c r="D3037" s="5" t="s">
        <v>810</v>
      </c>
      <c r="E3037" s="5" t="s">
        <v>245</v>
      </c>
      <c r="F3037" s="5" t="s">
        <v>254</v>
      </c>
      <c r="G3037" s="5" t="s">
        <v>240</v>
      </c>
      <c r="H3037" s="6" t="s">
        <v>2470</v>
      </c>
      <c r="I3037" s="5" t="s">
        <v>809</v>
      </c>
      <c r="J3037" s="8">
        <f>1418</f>
        <v>1418</v>
      </c>
      <c r="K3037" s="5" t="s">
        <v>308</v>
      </c>
      <c r="L3037" s="7">
        <f>1</f>
        <v>1</v>
      </c>
      <c r="M3037" s="7">
        <f>1</f>
        <v>1</v>
      </c>
      <c r="N3037" s="5" t="s">
        <v>242</v>
      </c>
      <c r="O3037" s="5">
        <v>1</v>
      </c>
      <c r="P3037" s="5" t="s">
        <v>294</v>
      </c>
      <c r="Q3037" s="5" t="s">
        <v>3678</v>
      </c>
      <c r="R3037" s="5" t="s">
        <v>240</v>
      </c>
      <c r="S3037" s="5" t="s">
        <v>240</v>
      </c>
      <c r="T3037" s="5" t="s">
        <v>243</v>
      </c>
      <c r="U3037" s="5" t="s">
        <v>244</v>
      </c>
      <c r="V3037" s="5" t="s">
        <v>240</v>
      </c>
      <c r="W3037" s="5" t="s">
        <v>240</v>
      </c>
      <c r="X3037" s="5" t="s">
        <v>240</v>
      </c>
      <c r="Y3037" s="5" t="s">
        <v>240</v>
      </c>
      <c r="Z3037" s="6" t="s">
        <v>298</v>
      </c>
      <c r="AA3037" s="6" t="s">
        <v>240</v>
      </c>
      <c r="AB3037" s="6" t="s">
        <v>240</v>
      </c>
      <c r="AC3037" s="5" t="s">
        <v>240</v>
      </c>
      <c r="AD3037" s="6" t="s">
        <v>240</v>
      </c>
      <c r="AE3037" s="6" t="s">
        <v>299</v>
      </c>
      <c r="AF3037" s="5" t="s">
        <v>248</v>
      </c>
      <c r="AG3037" s="5" t="s">
        <v>249</v>
      </c>
      <c r="AH3037" s="5" t="s">
        <v>240</v>
      </c>
      <c r="AI3037" s="5" t="s">
        <v>240</v>
      </c>
      <c r="AJ3037" s="5" t="s">
        <v>240</v>
      </c>
      <c r="AK3037" s="5" t="s">
        <v>240</v>
      </c>
      <c r="AL3037" s="5" t="s">
        <v>240</v>
      </c>
      <c r="AM3037" s="5" t="s">
        <v>240</v>
      </c>
      <c r="AN3037" s="5" t="s">
        <v>240</v>
      </c>
      <c r="AO3037" s="5" t="s">
        <v>240</v>
      </c>
      <c r="AP3037" s="6" t="s">
        <v>240</v>
      </c>
      <c r="AQ3037" s="6" t="s">
        <v>240</v>
      </c>
      <c r="AR3037" s="6" t="s">
        <v>240</v>
      </c>
      <c r="AS3037" s="6" t="s">
        <v>240</v>
      </c>
      <c r="AT3037" s="5" t="s">
        <v>240</v>
      </c>
      <c r="AU3037" s="5" t="s">
        <v>729</v>
      </c>
      <c r="AV3037" s="5" t="s">
        <v>729</v>
      </c>
      <c r="AW3037" s="5" t="s">
        <v>251</v>
      </c>
      <c r="AX3037" s="5" t="s">
        <v>252</v>
      </c>
      <c r="AY3037" s="5" t="s">
        <v>253</v>
      </c>
      <c r="AZ3037" s="5" t="s">
        <v>240</v>
      </c>
      <c r="BA3037" s="5" t="s">
        <v>255</v>
      </c>
      <c r="BB3037" s="5" t="s">
        <v>731</v>
      </c>
      <c r="BD3037" s="5" t="s">
        <v>240</v>
      </c>
      <c r="BF3037" s="5" t="s">
        <v>732</v>
      </c>
      <c r="BG3037" s="6" t="s">
        <v>733</v>
      </c>
      <c r="BH3037" s="5" t="s">
        <v>734</v>
      </c>
      <c r="BI3037" s="5" t="s">
        <v>734</v>
      </c>
      <c r="BJ3037" s="5" t="s">
        <v>240</v>
      </c>
      <c r="BK3037" s="7">
        <f>1</f>
        <v>1</v>
      </c>
      <c r="BL3037" s="7">
        <f>1</f>
        <v>1</v>
      </c>
      <c r="BM3037" s="5" t="s">
        <v>258</v>
      </c>
      <c r="BN3037" s="5" t="s">
        <v>259</v>
      </c>
      <c r="BO3037" s="5" t="s">
        <v>240</v>
      </c>
      <c r="BP3037" s="5" t="s">
        <v>240</v>
      </c>
      <c r="BQ3037" s="5" t="s">
        <v>240</v>
      </c>
      <c r="BR3037" s="5" t="s">
        <v>240</v>
      </c>
      <c r="BS3037" s="5" t="s">
        <v>240</v>
      </c>
      <c r="BT3037" s="5" t="s">
        <v>240</v>
      </c>
      <c r="BU3037" s="5" t="s">
        <v>240</v>
      </c>
      <c r="BV3037" s="5" t="s">
        <v>240</v>
      </c>
      <c r="BW3037" s="6" t="s">
        <v>240</v>
      </c>
      <c r="BX3037" s="5" t="s">
        <v>240</v>
      </c>
      <c r="BY3037" s="5" t="s">
        <v>240</v>
      </c>
      <c r="BZ3037" s="5" t="s">
        <v>240</v>
      </c>
      <c r="CA3037" s="5" t="s">
        <v>259</v>
      </c>
      <c r="CB3037" s="5" t="s">
        <v>240</v>
      </c>
      <c r="CC3037" s="5" t="s">
        <v>240</v>
      </c>
      <c r="CD3037" s="5" t="s">
        <v>240</v>
      </c>
      <c r="CE3037" s="5" t="s">
        <v>240</v>
      </c>
      <c r="CF3037" s="5" t="s">
        <v>240</v>
      </c>
      <c r="CG3037" s="5" t="s">
        <v>304</v>
      </c>
      <c r="CH3037" s="5" t="s">
        <v>305</v>
      </c>
      <c r="CI3037" s="5" t="s">
        <v>240</v>
      </c>
      <c r="CK3037" s="5" t="s">
        <v>3681</v>
      </c>
      <c r="CL3037" s="6" t="s">
        <v>261</v>
      </c>
      <c r="CM3037" s="5" t="s">
        <v>262</v>
      </c>
      <c r="CN3037" s="5" t="s">
        <v>263</v>
      </c>
      <c r="CO3037" s="5" t="s">
        <v>264</v>
      </c>
      <c r="CP3037" s="5" t="s">
        <v>240</v>
      </c>
      <c r="CQ3037" s="5">
        <v>0</v>
      </c>
      <c r="CR3037" s="5" t="s">
        <v>735</v>
      </c>
      <c r="CS3037" s="5" t="s">
        <v>307</v>
      </c>
      <c r="CT3037" s="5" t="s">
        <v>307</v>
      </c>
      <c r="CU3037" s="5" t="s">
        <v>260</v>
      </c>
      <c r="CV3037" s="5" t="s">
        <v>612</v>
      </c>
      <c r="CW3037" s="8">
        <f>1</f>
        <v>1</v>
      </c>
      <c r="CX3037" s="7">
        <f>1</f>
        <v>1</v>
      </c>
      <c r="CY3037" s="7">
        <f>0</f>
        <v>0</v>
      </c>
      <c r="DA3037" s="7">
        <f>1</f>
        <v>1</v>
      </c>
      <c r="DB3037" s="7" t="s">
        <v>240</v>
      </c>
      <c r="DC3037" s="5" t="s">
        <v>240</v>
      </c>
      <c r="DD3037" s="5" t="s">
        <v>240</v>
      </c>
      <c r="DE3037" s="5" t="s">
        <v>240</v>
      </c>
      <c r="DF3037" s="5" t="s">
        <v>240</v>
      </c>
      <c r="DG3037" s="7">
        <f>0</f>
        <v>0</v>
      </c>
      <c r="DI3037" s="5" t="s">
        <v>240</v>
      </c>
      <c r="DJ3037" s="5" t="s">
        <v>240</v>
      </c>
      <c r="DK3037" s="5" t="s">
        <v>240</v>
      </c>
      <c r="DL3037" s="5" t="s">
        <v>240</v>
      </c>
      <c r="DM3037" s="5" t="s">
        <v>240</v>
      </c>
      <c r="DN3037" s="5" t="s">
        <v>240</v>
      </c>
      <c r="DO3037" s="7" t="s">
        <v>240</v>
      </c>
      <c r="DP3037" s="5" t="s">
        <v>240</v>
      </c>
      <c r="DQ3037" s="5" t="s">
        <v>240</v>
      </c>
      <c r="DR3037" s="5" t="s">
        <v>731</v>
      </c>
      <c r="DS3037" s="5" t="s">
        <v>731</v>
      </c>
      <c r="DT3037" s="5" t="s">
        <v>240</v>
      </c>
      <c r="DU3037" s="5" t="s">
        <v>240</v>
      </c>
      <c r="DV3037" s="5" t="s">
        <v>3683</v>
      </c>
      <c r="DW3037" s="5" t="s">
        <v>398</v>
      </c>
      <c r="DX3037" s="5" t="s">
        <v>240</v>
      </c>
      <c r="DY3037" s="5" t="s">
        <v>240</v>
      </c>
      <c r="DZ3037" s="5" t="s">
        <v>240</v>
      </c>
      <c r="EA3037" s="5" t="s">
        <v>240</v>
      </c>
      <c r="EB3037" s="5" t="s">
        <v>240</v>
      </c>
      <c r="EC3037" s="5" t="s">
        <v>240</v>
      </c>
      <c r="ED3037" s="5" t="s">
        <v>240</v>
      </c>
      <c r="EE3037" s="5" t="s">
        <v>240</v>
      </c>
      <c r="EF3037" s="5" t="s">
        <v>240</v>
      </c>
      <c r="EG3037" s="5" t="s">
        <v>240</v>
      </c>
      <c r="EH3037" s="5" t="s">
        <v>240</v>
      </c>
      <c r="EI3037" s="5" t="s">
        <v>240</v>
      </c>
      <c r="EJ3037" s="5" t="s">
        <v>240</v>
      </c>
      <c r="EK3037" s="5" t="s">
        <v>240</v>
      </c>
      <c r="EL3037" s="5" t="s">
        <v>240</v>
      </c>
      <c r="EM3037" s="5" t="s">
        <v>240</v>
      </c>
      <c r="EN3037" s="5" t="s">
        <v>240</v>
      </c>
      <c r="EO3037" s="5" t="s">
        <v>240</v>
      </c>
      <c r="EP3037" s="5" t="s">
        <v>240</v>
      </c>
      <c r="EQ3037" s="5" t="s">
        <v>240</v>
      </c>
      <c r="ER3037" s="5" t="s">
        <v>240</v>
      </c>
      <c r="ES3037" s="5" t="s">
        <v>240</v>
      </c>
      <c r="ET3037" s="5" t="s">
        <v>240</v>
      </c>
      <c r="EU3037" s="5" t="s">
        <v>240</v>
      </c>
      <c r="EV3037" s="5" t="s">
        <v>240</v>
      </c>
      <c r="EW3037" s="5" t="s">
        <v>240</v>
      </c>
      <c r="EX3037" s="5" t="s">
        <v>240</v>
      </c>
      <c r="EY3037" s="5" t="s">
        <v>240</v>
      </c>
      <c r="EZ3037" s="5" t="s">
        <v>240</v>
      </c>
      <c r="FA3037" s="5" t="s">
        <v>240</v>
      </c>
      <c r="FB3037" s="5" t="s">
        <v>240</v>
      </c>
      <c r="FC3037" s="5" t="s">
        <v>240</v>
      </c>
      <c r="FD3037" s="5" t="s">
        <v>240</v>
      </c>
      <c r="FE3037" s="5" t="s">
        <v>240</v>
      </c>
      <c r="FF3037" s="5" t="s">
        <v>240</v>
      </c>
      <c r="FG3037" s="5" t="s">
        <v>240</v>
      </c>
      <c r="FH3037" s="5" t="s">
        <v>240</v>
      </c>
      <c r="FI3037" s="5" t="s">
        <v>240</v>
      </c>
      <c r="FJ3037" s="5" t="s">
        <v>240</v>
      </c>
      <c r="FK3037" s="5" t="s">
        <v>240</v>
      </c>
      <c r="FL3037" s="5" t="s">
        <v>240</v>
      </c>
      <c r="FM3037" s="5" t="s">
        <v>240</v>
      </c>
      <c r="FN3037" s="5" t="s">
        <v>240</v>
      </c>
      <c r="FO3037" s="5" t="s">
        <v>240</v>
      </c>
      <c r="FP3037" s="5" t="s">
        <v>240</v>
      </c>
      <c r="FQ3037" s="5" t="s">
        <v>240</v>
      </c>
      <c r="FR3037" s="5" t="s">
        <v>240</v>
      </c>
      <c r="FS3037" s="5" t="s">
        <v>240</v>
      </c>
      <c r="FT3037" s="5" t="s">
        <v>240</v>
      </c>
      <c r="FU3037" s="5" t="s">
        <v>240</v>
      </c>
      <c r="FV3037" s="5" t="s">
        <v>240</v>
      </c>
      <c r="FW3037" s="5" t="s">
        <v>240</v>
      </c>
      <c r="FX3037" s="5" t="s">
        <v>240</v>
      </c>
      <c r="FY3037" s="5" t="s">
        <v>240</v>
      </c>
      <c r="FZ3037" s="5" t="s">
        <v>240</v>
      </c>
      <c r="GA3037" s="5" t="s">
        <v>240</v>
      </c>
      <c r="GB3037" s="5" t="s">
        <v>240</v>
      </c>
      <c r="GC3037" s="5" t="s">
        <v>240</v>
      </c>
      <c r="GD3037" s="5" t="s">
        <v>240</v>
      </c>
      <c r="GE3037" s="5" t="s">
        <v>240</v>
      </c>
      <c r="GF3037" s="5" t="s">
        <v>240</v>
      </c>
      <c r="GG3037" s="5" t="s">
        <v>240</v>
      </c>
      <c r="GH3037" s="5" t="s">
        <v>240</v>
      </c>
      <c r="GI3037" s="5" t="s">
        <v>240</v>
      </c>
      <c r="GJ3037" s="5" t="s">
        <v>240</v>
      </c>
      <c r="GK3037" s="5" t="s">
        <v>240</v>
      </c>
      <c r="GL3037" s="5" t="s">
        <v>240</v>
      </c>
      <c r="GM3037" s="5" t="s">
        <v>240</v>
      </c>
      <c r="GN3037" s="5" t="s">
        <v>240</v>
      </c>
      <c r="GO3037" s="5" t="s">
        <v>240</v>
      </c>
      <c r="GP3037" s="5" t="s">
        <v>240</v>
      </c>
      <c r="GQ3037" s="5" t="s">
        <v>240</v>
      </c>
      <c r="GR3037" s="5" t="s">
        <v>240</v>
      </c>
      <c r="GS3037" s="5" t="s">
        <v>240</v>
      </c>
      <c r="GT3037" s="5" t="s">
        <v>240</v>
      </c>
      <c r="GU3037" s="5" t="s">
        <v>240</v>
      </c>
      <c r="GV3037" s="5" t="s">
        <v>240</v>
      </c>
      <c r="GW3037" s="5" t="s">
        <v>240</v>
      </c>
      <c r="GX3037" s="5" t="s">
        <v>240</v>
      </c>
      <c r="GY3037" s="5" t="s">
        <v>240</v>
      </c>
      <c r="GZ3037" s="5" t="s">
        <v>240</v>
      </c>
      <c r="HA3037" s="5" t="s">
        <v>240</v>
      </c>
      <c r="HB3037" s="5" t="s">
        <v>240</v>
      </c>
      <c r="HC3037" s="5" t="s">
        <v>240</v>
      </c>
      <c r="HD3037" s="5" t="s">
        <v>240</v>
      </c>
      <c r="HE3037" s="5" t="s">
        <v>240</v>
      </c>
      <c r="HF3037" s="5" t="s">
        <v>240</v>
      </c>
      <c r="HG3037" s="5" t="s">
        <v>240</v>
      </c>
      <c r="HH3037" s="5" t="s">
        <v>240</v>
      </c>
      <c r="HI3037" s="5" t="s">
        <v>240</v>
      </c>
      <c r="HJ3037" s="5" t="s">
        <v>240</v>
      </c>
      <c r="HK3037" s="5" t="s">
        <v>240</v>
      </c>
      <c r="HL3037" s="5" t="s">
        <v>240</v>
      </c>
      <c r="HM3037" s="5" t="s">
        <v>240</v>
      </c>
      <c r="HN3037" s="5" t="s">
        <v>240</v>
      </c>
      <c r="HO3037" s="5" t="s">
        <v>312</v>
      </c>
      <c r="HP3037" s="5" t="s">
        <v>240</v>
      </c>
      <c r="HQ3037" s="5" t="s">
        <v>240</v>
      </c>
      <c r="HR3037" s="5" t="s">
        <v>240</v>
      </c>
      <c r="HS3037" s="5" t="s">
        <v>240</v>
      </c>
      <c r="HT3037" s="5" t="s">
        <v>240</v>
      </c>
      <c r="HU3037" s="5" t="s">
        <v>240</v>
      </c>
      <c r="HV3037" s="5" t="s">
        <v>240</v>
      </c>
      <c r="HW3037" s="5" t="s">
        <v>240</v>
      </c>
      <c r="HX3037" s="5" t="s">
        <v>240</v>
      </c>
      <c r="HY3037" s="5" t="s">
        <v>240</v>
      </c>
      <c r="HZ3037" s="5" t="s">
        <v>240</v>
      </c>
      <c r="IA3037" s="5" t="s">
        <v>240</v>
      </c>
      <c r="IB3037" s="5" t="s">
        <v>240</v>
      </c>
      <c r="IC3037" s="5" t="s">
        <v>240</v>
      </c>
      <c r="ID3037" s="5" t="s">
        <v>240</v>
      </c>
      <c r="IE3037" s="5" t="s">
        <v>240</v>
      </c>
      <c r="IF3037" s="5" t="s">
        <v>240</v>
      </c>
    </row>
    <row r="3038" spans="1:240" x14ac:dyDescent="0.4">
      <c r="A3038" s="5">
        <v>4742</v>
      </c>
      <c r="B3038" s="5">
        <v>1</v>
      </c>
      <c r="C3038" s="5">
        <v>1</v>
      </c>
      <c r="D3038" s="5" t="s">
        <v>810</v>
      </c>
      <c r="E3038" s="5" t="s">
        <v>245</v>
      </c>
      <c r="F3038" s="5" t="s">
        <v>254</v>
      </c>
      <c r="G3038" s="5" t="s">
        <v>240</v>
      </c>
      <c r="H3038" s="6" t="s">
        <v>2468</v>
      </c>
      <c r="I3038" s="5" t="s">
        <v>809</v>
      </c>
      <c r="J3038" s="8">
        <f>196</f>
        <v>196</v>
      </c>
      <c r="K3038" s="5" t="s">
        <v>308</v>
      </c>
      <c r="L3038" s="7">
        <f>1</f>
        <v>1</v>
      </c>
      <c r="M3038" s="7">
        <f>1</f>
        <v>1</v>
      </c>
      <c r="N3038" s="5" t="s">
        <v>242</v>
      </c>
      <c r="O3038" s="5">
        <v>1</v>
      </c>
      <c r="P3038" s="5" t="s">
        <v>294</v>
      </c>
      <c r="Q3038" s="5" t="s">
        <v>3678</v>
      </c>
      <c r="R3038" s="5" t="s">
        <v>240</v>
      </c>
      <c r="S3038" s="5" t="s">
        <v>240</v>
      </c>
      <c r="T3038" s="5" t="s">
        <v>243</v>
      </c>
      <c r="U3038" s="5" t="s">
        <v>244</v>
      </c>
      <c r="V3038" s="5" t="s">
        <v>240</v>
      </c>
      <c r="W3038" s="5" t="s">
        <v>240</v>
      </c>
      <c r="X3038" s="5" t="s">
        <v>240</v>
      </c>
      <c r="Y3038" s="5" t="s">
        <v>240</v>
      </c>
      <c r="Z3038" s="6" t="s">
        <v>298</v>
      </c>
      <c r="AA3038" s="6" t="s">
        <v>240</v>
      </c>
      <c r="AB3038" s="6" t="s">
        <v>240</v>
      </c>
      <c r="AC3038" s="5" t="s">
        <v>240</v>
      </c>
      <c r="AD3038" s="6" t="s">
        <v>240</v>
      </c>
      <c r="AE3038" s="6" t="s">
        <v>299</v>
      </c>
      <c r="AF3038" s="5" t="s">
        <v>248</v>
      </c>
      <c r="AG3038" s="5" t="s">
        <v>249</v>
      </c>
      <c r="AH3038" s="5" t="s">
        <v>240</v>
      </c>
      <c r="AI3038" s="5" t="s">
        <v>240</v>
      </c>
      <c r="AJ3038" s="5" t="s">
        <v>240</v>
      </c>
      <c r="AK3038" s="5" t="s">
        <v>240</v>
      </c>
      <c r="AL3038" s="5" t="s">
        <v>240</v>
      </c>
      <c r="AM3038" s="5" t="s">
        <v>240</v>
      </c>
      <c r="AN3038" s="5" t="s">
        <v>240</v>
      </c>
      <c r="AO3038" s="5" t="s">
        <v>240</v>
      </c>
      <c r="AP3038" s="6" t="s">
        <v>240</v>
      </c>
      <c r="AQ3038" s="6" t="s">
        <v>240</v>
      </c>
      <c r="AR3038" s="6" t="s">
        <v>240</v>
      </c>
      <c r="AS3038" s="6" t="s">
        <v>240</v>
      </c>
      <c r="AT3038" s="5" t="s">
        <v>240</v>
      </c>
      <c r="AU3038" s="5" t="s">
        <v>729</v>
      </c>
      <c r="AV3038" s="5" t="s">
        <v>729</v>
      </c>
      <c r="AW3038" s="5" t="s">
        <v>251</v>
      </c>
      <c r="AX3038" s="5" t="s">
        <v>252</v>
      </c>
      <c r="AY3038" s="5" t="s">
        <v>253</v>
      </c>
      <c r="AZ3038" s="5" t="s">
        <v>240</v>
      </c>
      <c r="BA3038" s="5" t="s">
        <v>255</v>
      </c>
      <c r="BB3038" s="5" t="s">
        <v>731</v>
      </c>
      <c r="BD3038" s="5" t="s">
        <v>240</v>
      </c>
      <c r="BF3038" s="5" t="s">
        <v>732</v>
      </c>
      <c r="BG3038" s="6" t="s">
        <v>733</v>
      </c>
      <c r="BH3038" s="5" t="s">
        <v>734</v>
      </c>
      <c r="BI3038" s="5" t="s">
        <v>734</v>
      </c>
      <c r="BJ3038" s="5" t="s">
        <v>240</v>
      </c>
      <c r="BK3038" s="7">
        <f>1</f>
        <v>1</v>
      </c>
      <c r="BL3038" s="7">
        <f>1</f>
        <v>1</v>
      </c>
      <c r="BM3038" s="5" t="s">
        <v>258</v>
      </c>
      <c r="BN3038" s="5" t="s">
        <v>259</v>
      </c>
      <c r="BO3038" s="5" t="s">
        <v>240</v>
      </c>
      <c r="BP3038" s="5" t="s">
        <v>240</v>
      </c>
      <c r="BQ3038" s="5" t="s">
        <v>240</v>
      </c>
      <c r="BR3038" s="5" t="s">
        <v>240</v>
      </c>
      <c r="BS3038" s="5" t="s">
        <v>240</v>
      </c>
      <c r="BT3038" s="5" t="s">
        <v>240</v>
      </c>
      <c r="BU3038" s="5" t="s">
        <v>240</v>
      </c>
      <c r="BV3038" s="5" t="s">
        <v>240</v>
      </c>
      <c r="BW3038" s="6" t="s">
        <v>240</v>
      </c>
      <c r="BX3038" s="5" t="s">
        <v>240</v>
      </c>
      <c r="BY3038" s="5" t="s">
        <v>240</v>
      </c>
      <c r="BZ3038" s="5" t="s">
        <v>240</v>
      </c>
      <c r="CA3038" s="5" t="s">
        <v>259</v>
      </c>
      <c r="CB3038" s="5" t="s">
        <v>240</v>
      </c>
      <c r="CC3038" s="5" t="s">
        <v>240</v>
      </c>
      <c r="CD3038" s="5" t="s">
        <v>240</v>
      </c>
      <c r="CE3038" s="5" t="s">
        <v>240</v>
      </c>
      <c r="CF3038" s="5" t="s">
        <v>240</v>
      </c>
      <c r="CG3038" s="5" t="s">
        <v>304</v>
      </c>
      <c r="CH3038" s="5" t="s">
        <v>305</v>
      </c>
      <c r="CI3038" s="5" t="s">
        <v>240</v>
      </c>
      <c r="CK3038" s="5" t="s">
        <v>3681</v>
      </c>
      <c r="CL3038" s="6" t="s">
        <v>261</v>
      </c>
      <c r="CM3038" s="5" t="s">
        <v>262</v>
      </c>
      <c r="CN3038" s="5" t="s">
        <v>263</v>
      </c>
      <c r="CO3038" s="5" t="s">
        <v>264</v>
      </c>
      <c r="CP3038" s="5" t="s">
        <v>240</v>
      </c>
      <c r="CQ3038" s="5">
        <v>0</v>
      </c>
      <c r="CR3038" s="5" t="s">
        <v>735</v>
      </c>
      <c r="CS3038" s="5" t="s">
        <v>307</v>
      </c>
      <c r="CT3038" s="5" t="s">
        <v>307</v>
      </c>
      <c r="CU3038" s="5" t="s">
        <v>260</v>
      </c>
      <c r="CV3038" s="5" t="s">
        <v>612</v>
      </c>
      <c r="CW3038" s="8">
        <f>1</f>
        <v>1</v>
      </c>
      <c r="CX3038" s="7">
        <f>1</f>
        <v>1</v>
      </c>
      <c r="CY3038" s="7">
        <f>0</f>
        <v>0</v>
      </c>
      <c r="DA3038" s="7">
        <f>1</f>
        <v>1</v>
      </c>
      <c r="DB3038" s="7" t="s">
        <v>240</v>
      </c>
      <c r="DC3038" s="5" t="s">
        <v>240</v>
      </c>
      <c r="DD3038" s="5" t="s">
        <v>240</v>
      </c>
      <c r="DE3038" s="5" t="s">
        <v>240</v>
      </c>
      <c r="DF3038" s="5" t="s">
        <v>240</v>
      </c>
      <c r="DG3038" s="7">
        <f>0</f>
        <v>0</v>
      </c>
      <c r="DI3038" s="5" t="s">
        <v>240</v>
      </c>
      <c r="DJ3038" s="5" t="s">
        <v>240</v>
      </c>
      <c r="DK3038" s="5" t="s">
        <v>240</v>
      </c>
      <c r="DL3038" s="5" t="s">
        <v>240</v>
      </c>
      <c r="DM3038" s="5" t="s">
        <v>240</v>
      </c>
      <c r="DN3038" s="5" t="s">
        <v>240</v>
      </c>
      <c r="DO3038" s="7" t="s">
        <v>240</v>
      </c>
      <c r="DP3038" s="5" t="s">
        <v>240</v>
      </c>
      <c r="DQ3038" s="5" t="s">
        <v>240</v>
      </c>
      <c r="DR3038" s="5" t="s">
        <v>731</v>
      </c>
      <c r="DS3038" s="5" t="s">
        <v>731</v>
      </c>
      <c r="DT3038" s="5" t="s">
        <v>240</v>
      </c>
      <c r="DU3038" s="5" t="s">
        <v>240</v>
      </c>
      <c r="DV3038" s="5" t="s">
        <v>3683</v>
      </c>
      <c r="DW3038" s="5" t="s">
        <v>1044</v>
      </c>
      <c r="DX3038" s="5" t="s">
        <v>240</v>
      </c>
      <c r="DY3038" s="5" t="s">
        <v>240</v>
      </c>
      <c r="DZ3038" s="5" t="s">
        <v>240</v>
      </c>
      <c r="EA3038" s="5" t="s">
        <v>240</v>
      </c>
      <c r="EB3038" s="5" t="s">
        <v>240</v>
      </c>
      <c r="EC3038" s="5" t="s">
        <v>240</v>
      </c>
      <c r="ED3038" s="5" t="s">
        <v>240</v>
      </c>
      <c r="EE3038" s="5" t="s">
        <v>240</v>
      </c>
      <c r="EF3038" s="5" t="s">
        <v>240</v>
      </c>
      <c r="EG3038" s="5" t="s">
        <v>240</v>
      </c>
      <c r="EH3038" s="5" t="s">
        <v>240</v>
      </c>
      <c r="EI3038" s="5" t="s">
        <v>240</v>
      </c>
      <c r="EJ3038" s="5" t="s">
        <v>240</v>
      </c>
      <c r="EK3038" s="5" t="s">
        <v>240</v>
      </c>
      <c r="EL3038" s="5" t="s">
        <v>240</v>
      </c>
      <c r="EM3038" s="5" t="s">
        <v>240</v>
      </c>
      <c r="EN3038" s="5" t="s">
        <v>240</v>
      </c>
      <c r="EO3038" s="5" t="s">
        <v>240</v>
      </c>
      <c r="EP3038" s="5" t="s">
        <v>240</v>
      </c>
      <c r="EQ3038" s="5" t="s">
        <v>240</v>
      </c>
      <c r="ER3038" s="5" t="s">
        <v>240</v>
      </c>
      <c r="ES3038" s="5" t="s">
        <v>240</v>
      </c>
      <c r="ET3038" s="5" t="s">
        <v>240</v>
      </c>
      <c r="EU3038" s="5" t="s">
        <v>240</v>
      </c>
      <c r="EV3038" s="5" t="s">
        <v>240</v>
      </c>
      <c r="EW3038" s="5" t="s">
        <v>240</v>
      </c>
      <c r="EX3038" s="5" t="s">
        <v>240</v>
      </c>
      <c r="EY3038" s="5" t="s">
        <v>240</v>
      </c>
      <c r="EZ3038" s="5" t="s">
        <v>240</v>
      </c>
      <c r="FA3038" s="5" t="s">
        <v>240</v>
      </c>
      <c r="FB3038" s="5" t="s">
        <v>240</v>
      </c>
      <c r="FC3038" s="5" t="s">
        <v>240</v>
      </c>
      <c r="FD3038" s="5" t="s">
        <v>240</v>
      </c>
      <c r="FE3038" s="5" t="s">
        <v>240</v>
      </c>
      <c r="FF3038" s="5" t="s">
        <v>240</v>
      </c>
      <c r="FG3038" s="5" t="s">
        <v>240</v>
      </c>
      <c r="FH3038" s="5" t="s">
        <v>240</v>
      </c>
      <c r="FI3038" s="5" t="s">
        <v>240</v>
      </c>
      <c r="FJ3038" s="5" t="s">
        <v>240</v>
      </c>
      <c r="FK3038" s="5" t="s">
        <v>240</v>
      </c>
      <c r="FL3038" s="5" t="s">
        <v>240</v>
      </c>
      <c r="FM3038" s="5" t="s">
        <v>240</v>
      </c>
      <c r="FN3038" s="5" t="s">
        <v>240</v>
      </c>
      <c r="FO3038" s="5" t="s">
        <v>240</v>
      </c>
      <c r="FP3038" s="5" t="s">
        <v>240</v>
      </c>
      <c r="FQ3038" s="5" t="s">
        <v>240</v>
      </c>
      <c r="FR3038" s="5" t="s">
        <v>240</v>
      </c>
      <c r="FS3038" s="5" t="s">
        <v>240</v>
      </c>
      <c r="FT3038" s="5" t="s">
        <v>240</v>
      </c>
      <c r="FU3038" s="5" t="s">
        <v>240</v>
      </c>
      <c r="FV3038" s="5" t="s">
        <v>240</v>
      </c>
      <c r="FW3038" s="5" t="s">
        <v>240</v>
      </c>
      <c r="FX3038" s="5" t="s">
        <v>240</v>
      </c>
      <c r="FY3038" s="5" t="s">
        <v>240</v>
      </c>
      <c r="FZ3038" s="5" t="s">
        <v>240</v>
      </c>
      <c r="GA3038" s="5" t="s">
        <v>240</v>
      </c>
      <c r="GB3038" s="5" t="s">
        <v>240</v>
      </c>
      <c r="GC3038" s="5" t="s">
        <v>240</v>
      </c>
      <c r="GD3038" s="5" t="s">
        <v>240</v>
      </c>
      <c r="GE3038" s="5" t="s">
        <v>240</v>
      </c>
      <c r="GF3038" s="5" t="s">
        <v>240</v>
      </c>
      <c r="GG3038" s="5" t="s">
        <v>240</v>
      </c>
      <c r="GH3038" s="5" t="s">
        <v>240</v>
      </c>
      <c r="GI3038" s="5" t="s">
        <v>240</v>
      </c>
      <c r="GJ3038" s="5" t="s">
        <v>240</v>
      </c>
      <c r="GK3038" s="5" t="s">
        <v>240</v>
      </c>
      <c r="GL3038" s="5" t="s">
        <v>240</v>
      </c>
      <c r="GM3038" s="5" t="s">
        <v>240</v>
      </c>
      <c r="GN3038" s="5" t="s">
        <v>240</v>
      </c>
      <c r="GO3038" s="5" t="s">
        <v>240</v>
      </c>
      <c r="GP3038" s="5" t="s">
        <v>240</v>
      </c>
      <c r="GQ3038" s="5" t="s">
        <v>240</v>
      </c>
      <c r="GR3038" s="5" t="s">
        <v>240</v>
      </c>
      <c r="GS3038" s="5" t="s">
        <v>240</v>
      </c>
      <c r="GT3038" s="5" t="s">
        <v>240</v>
      </c>
      <c r="GU3038" s="5" t="s">
        <v>240</v>
      </c>
      <c r="GV3038" s="5" t="s">
        <v>240</v>
      </c>
      <c r="GW3038" s="5" t="s">
        <v>240</v>
      </c>
      <c r="GX3038" s="5" t="s">
        <v>240</v>
      </c>
      <c r="GY3038" s="5" t="s">
        <v>240</v>
      </c>
      <c r="GZ3038" s="5" t="s">
        <v>240</v>
      </c>
      <c r="HA3038" s="5" t="s">
        <v>240</v>
      </c>
      <c r="HB3038" s="5" t="s">
        <v>240</v>
      </c>
      <c r="HC3038" s="5" t="s">
        <v>240</v>
      </c>
      <c r="HD3038" s="5" t="s">
        <v>240</v>
      </c>
      <c r="HE3038" s="5" t="s">
        <v>240</v>
      </c>
      <c r="HF3038" s="5" t="s">
        <v>240</v>
      </c>
      <c r="HG3038" s="5" t="s">
        <v>240</v>
      </c>
      <c r="HH3038" s="5" t="s">
        <v>240</v>
      </c>
      <c r="HI3038" s="5" t="s">
        <v>240</v>
      </c>
      <c r="HJ3038" s="5" t="s">
        <v>240</v>
      </c>
      <c r="HK3038" s="5" t="s">
        <v>240</v>
      </c>
      <c r="HL3038" s="5" t="s">
        <v>240</v>
      </c>
      <c r="HM3038" s="5" t="s">
        <v>240</v>
      </c>
      <c r="HN3038" s="5" t="s">
        <v>240</v>
      </c>
      <c r="HO3038" s="5" t="s">
        <v>312</v>
      </c>
      <c r="HP3038" s="5" t="s">
        <v>240</v>
      </c>
      <c r="HQ3038" s="5" t="s">
        <v>240</v>
      </c>
      <c r="HR3038" s="5" t="s">
        <v>240</v>
      </c>
      <c r="HS3038" s="5" t="s">
        <v>240</v>
      </c>
      <c r="HT3038" s="5" t="s">
        <v>240</v>
      </c>
      <c r="HU3038" s="5" t="s">
        <v>240</v>
      </c>
      <c r="HV3038" s="5" t="s">
        <v>240</v>
      </c>
      <c r="HW3038" s="5" t="s">
        <v>240</v>
      </c>
      <c r="HX3038" s="5" t="s">
        <v>240</v>
      </c>
      <c r="HY3038" s="5" t="s">
        <v>240</v>
      </c>
      <c r="HZ3038" s="5" t="s">
        <v>240</v>
      </c>
      <c r="IA3038" s="5" t="s">
        <v>240</v>
      </c>
      <c r="IB3038" s="5" t="s">
        <v>240</v>
      </c>
      <c r="IC3038" s="5" t="s">
        <v>240</v>
      </c>
      <c r="ID3038" s="5" t="s">
        <v>240</v>
      </c>
      <c r="IE3038" s="5" t="s">
        <v>240</v>
      </c>
      <c r="IF3038" s="5" t="s">
        <v>240</v>
      </c>
    </row>
    <row r="3039" spans="1:240" x14ac:dyDescent="0.4">
      <c r="A3039" s="5">
        <v>4743</v>
      </c>
      <c r="B3039" s="5">
        <v>1</v>
      </c>
      <c r="C3039" s="5">
        <v>1</v>
      </c>
      <c r="D3039" s="5" t="s">
        <v>810</v>
      </c>
      <c r="E3039" s="5" t="s">
        <v>245</v>
      </c>
      <c r="F3039" s="5" t="s">
        <v>254</v>
      </c>
      <c r="G3039" s="5" t="s">
        <v>240</v>
      </c>
      <c r="H3039" s="6" t="s">
        <v>2466</v>
      </c>
      <c r="I3039" s="5" t="s">
        <v>809</v>
      </c>
      <c r="J3039" s="8">
        <f>903</f>
        <v>903</v>
      </c>
      <c r="K3039" s="5" t="s">
        <v>308</v>
      </c>
      <c r="L3039" s="7">
        <f>1</f>
        <v>1</v>
      </c>
      <c r="M3039" s="7">
        <f>1</f>
        <v>1</v>
      </c>
      <c r="N3039" s="5" t="s">
        <v>242</v>
      </c>
      <c r="O3039" s="5">
        <v>1</v>
      </c>
      <c r="P3039" s="5" t="s">
        <v>294</v>
      </c>
      <c r="Q3039" s="5" t="s">
        <v>3678</v>
      </c>
      <c r="R3039" s="5" t="s">
        <v>240</v>
      </c>
      <c r="S3039" s="5" t="s">
        <v>240</v>
      </c>
      <c r="T3039" s="5" t="s">
        <v>243</v>
      </c>
      <c r="U3039" s="5" t="s">
        <v>244</v>
      </c>
      <c r="V3039" s="5" t="s">
        <v>240</v>
      </c>
      <c r="W3039" s="5" t="s">
        <v>240</v>
      </c>
      <c r="X3039" s="5" t="s">
        <v>240</v>
      </c>
      <c r="Y3039" s="5" t="s">
        <v>240</v>
      </c>
      <c r="Z3039" s="6" t="s">
        <v>298</v>
      </c>
      <c r="AA3039" s="6" t="s">
        <v>240</v>
      </c>
      <c r="AB3039" s="6" t="s">
        <v>240</v>
      </c>
      <c r="AC3039" s="5" t="s">
        <v>240</v>
      </c>
      <c r="AD3039" s="6" t="s">
        <v>240</v>
      </c>
      <c r="AE3039" s="6" t="s">
        <v>299</v>
      </c>
      <c r="AF3039" s="5" t="s">
        <v>248</v>
      </c>
      <c r="AG3039" s="5" t="s">
        <v>249</v>
      </c>
      <c r="AH3039" s="5" t="s">
        <v>240</v>
      </c>
      <c r="AI3039" s="5" t="s">
        <v>240</v>
      </c>
      <c r="AJ3039" s="5" t="s">
        <v>240</v>
      </c>
      <c r="AK3039" s="5" t="s">
        <v>240</v>
      </c>
      <c r="AL3039" s="5" t="s">
        <v>240</v>
      </c>
      <c r="AM3039" s="5" t="s">
        <v>240</v>
      </c>
      <c r="AN3039" s="5" t="s">
        <v>240</v>
      </c>
      <c r="AO3039" s="5" t="s">
        <v>240</v>
      </c>
      <c r="AP3039" s="6" t="s">
        <v>240</v>
      </c>
      <c r="AQ3039" s="6" t="s">
        <v>240</v>
      </c>
      <c r="AR3039" s="6" t="s">
        <v>240</v>
      </c>
      <c r="AS3039" s="6" t="s">
        <v>240</v>
      </c>
      <c r="AT3039" s="5" t="s">
        <v>240</v>
      </c>
      <c r="AU3039" s="5" t="s">
        <v>729</v>
      </c>
      <c r="AV3039" s="5" t="s">
        <v>729</v>
      </c>
      <c r="AW3039" s="5" t="s">
        <v>251</v>
      </c>
      <c r="AX3039" s="5" t="s">
        <v>252</v>
      </c>
      <c r="AY3039" s="5" t="s">
        <v>253</v>
      </c>
      <c r="AZ3039" s="5" t="s">
        <v>240</v>
      </c>
      <c r="BA3039" s="5" t="s">
        <v>255</v>
      </c>
      <c r="BB3039" s="5" t="s">
        <v>731</v>
      </c>
      <c r="BD3039" s="5" t="s">
        <v>240</v>
      </c>
      <c r="BF3039" s="5" t="s">
        <v>732</v>
      </c>
      <c r="BG3039" s="6" t="s">
        <v>733</v>
      </c>
      <c r="BH3039" s="5" t="s">
        <v>734</v>
      </c>
      <c r="BI3039" s="5" t="s">
        <v>734</v>
      </c>
      <c r="BJ3039" s="5" t="s">
        <v>240</v>
      </c>
      <c r="BK3039" s="7">
        <f>1</f>
        <v>1</v>
      </c>
      <c r="BL3039" s="7">
        <f>1</f>
        <v>1</v>
      </c>
      <c r="BM3039" s="5" t="s">
        <v>258</v>
      </c>
      <c r="BN3039" s="5" t="s">
        <v>259</v>
      </c>
      <c r="BO3039" s="5" t="s">
        <v>240</v>
      </c>
      <c r="BP3039" s="5" t="s">
        <v>240</v>
      </c>
      <c r="BQ3039" s="5" t="s">
        <v>240</v>
      </c>
      <c r="BR3039" s="5" t="s">
        <v>240</v>
      </c>
      <c r="BS3039" s="5" t="s">
        <v>240</v>
      </c>
      <c r="BT3039" s="5" t="s">
        <v>240</v>
      </c>
      <c r="BU3039" s="5" t="s">
        <v>240</v>
      </c>
      <c r="BV3039" s="5" t="s">
        <v>240</v>
      </c>
      <c r="BW3039" s="6" t="s">
        <v>240</v>
      </c>
      <c r="BX3039" s="5" t="s">
        <v>240</v>
      </c>
      <c r="BY3039" s="5" t="s">
        <v>240</v>
      </c>
      <c r="BZ3039" s="5" t="s">
        <v>240</v>
      </c>
      <c r="CA3039" s="5" t="s">
        <v>259</v>
      </c>
      <c r="CB3039" s="5" t="s">
        <v>240</v>
      </c>
      <c r="CC3039" s="5" t="s">
        <v>240</v>
      </c>
      <c r="CD3039" s="5" t="s">
        <v>240</v>
      </c>
      <c r="CE3039" s="5" t="s">
        <v>240</v>
      </c>
      <c r="CF3039" s="5" t="s">
        <v>240</v>
      </c>
      <c r="CG3039" s="5" t="s">
        <v>304</v>
      </c>
      <c r="CH3039" s="5" t="s">
        <v>305</v>
      </c>
      <c r="CI3039" s="5" t="s">
        <v>240</v>
      </c>
      <c r="CK3039" s="5" t="s">
        <v>3681</v>
      </c>
      <c r="CL3039" s="6" t="s">
        <v>261</v>
      </c>
      <c r="CM3039" s="5" t="s">
        <v>262</v>
      </c>
      <c r="CN3039" s="5" t="s">
        <v>263</v>
      </c>
      <c r="CO3039" s="5" t="s">
        <v>264</v>
      </c>
      <c r="CP3039" s="5" t="s">
        <v>240</v>
      </c>
      <c r="CQ3039" s="5">
        <v>0</v>
      </c>
      <c r="CR3039" s="5" t="s">
        <v>735</v>
      </c>
      <c r="CS3039" s="5" t="s">
        <v>307</v>
      </c>
      <c r="CT3039" s="5" t="s">
        <v>307</v>
      </c>
      <c r="CU3039" s="5" t="s">
        <v>260</v>
      </c>
      <c r="CV3039" s="5" t="s">
        <v>612</v>
      </c>
      <c r="CW3039" s="8">
        <f>1</f>
        <v>1</v>
      </c>
      <c r="CX3039" s="7">
        <f>1</f>
        <v>1</v>
      </c>
      <c r="CY3039" s="7">
        <f>0</f>
        <v>0</v>
      </c>
      <c r="DA3039" s="7">
        <f>1</f>
        <v>1</v>
      </c>
      <c r="DB3039" s="7" t="s">
        <v>240</v>
      </c>
      <c r="DC3039" s="5" t="s">
        <v>240</v>
      </c>
      <c r="DD3039" s="5" t="s">
        <v>240</v>
      </c>
      <c r="DE3039" s="5" t="s">
        <v>240</v>
      </c>
      <c r="DF3039" s="5" t="s">
        <v>240</v>
      </c>
      <c r="DG3039" s="7">
        <f>0</f>
        <v>0</v>
      </c>
      <c r="DI3039" s="5" t="s">
        <v>240</v>
      </c>
      <c r="DJ3039" s="5" t="s">
        <v>240</v>
      </c>
      <c r="DK3039" s="5" t="s">
        <v>240</v>
      </c>
      <c r="DL3039" s="5" t="s">
        <v>240</v>
      </c>
      <c r="DM3039" s="5" t="s">
        <v>240</v>
      </c>
      <c r="DN3039" s="5" t="s">
        <v>240</v>
      </c>
      <c r="DO3039" s="7" t="s">
        <v>240</v>
      </c>
      <c r="DP3039" s="5" t="s">
        <v>240</v>
      </c>
      <c r="DQ3039" s="5" t="s">
        <v>240</v>
      </c>
      <c r="DR3039" s="5" t="s">
        <v>731</v>
      </c>
      <c r="DS3039" s="5" t="s">
        <v>731</v>
      </c>
      <c r="DT3039" s="5" t="s">
        <v>240</v>
      </c>
      <c r="DU3039" s="5" t="s">
        <v>240</v>
      </c>
      <c r="DV3039" s="5" t="s">
        <v>3683</v>
      </c>
      <c r="DW3039" s="5" t="s">
        <v>1052</v>
      </c>
      <c r="DX3039" s="5" t="s">
        <v>240</v>
      </c>
      <c r="DY3039" s="5" t="s">
        <v>240</v>
      </c>
      <c r="DZ3039" s="5" t="s">
        <v>240</v>
      </c>
      <c r="EA3039" s="5" t="s">
        <v>240</v>
      </c>
      <c r="EB3039" s="5" t="s">
        <v>240</v>
      </c>
      <c r="EC3039" s="5" t="s">
        <v>240</v>
      </c>
      <c r="ED3039" s="5" t="s">
        <v>240</v>
      </c>
      <c r="EE3039" s="5" t="s">
        <v>240</v>
      </c>
      <c r="EF3039" s="5" t="s">
        <v>240</v>
      </c>
      <c r="EG3039" s="5" t="s">
        <v>240</v>
      </c>
      <c r="EH3039" s="5" t="s">
        <v>240</v>
      </c>
      <c r="EI3039" s="5" t="s">
        <v>240</v>
      </c>
      <c r="EJ3039" s="5" t="s">
        <v>240</v>
      </c>
      <c r="EK3039" s="5" t="s">
        <v>240</v>
      </c>
      <c r="EL3039" s="5" t="s">
        <v>240</v>
      </c>
      <c r="EM3039" s="5" t="s">
        <v>240</v>
      </c>
      <c r="EN3039" s="5" t="s">
        <v>240</v>
      </c>
      <c r="EO3039" s="5" t="s">
        <v>240</v>
      </c>
      <c r="EP3039" s="5" t="s">
        <v>240</v>
      </c>
      <c r="EQ3039" s="5" t="s">
        <v>240</v>
      </c>
      <c r="ER3039" s="5" t="s">
        <v>240</v>
      </c>
      <c r="ES3039" s="5" t="s">
        <v>240</v>
      </c>
      <c r="ET3039" s="5" t="s">
        <v>240</v>
      </c>
      <c r="EU3039" s="5" t="s">
        <v>240</v>
      </c>
      <c r="EV3039" s="5" t="s">
        <v>240</v>
      </c>
      <c r="EW3039" s="5" t="s">
        <v>240</v>
      </c>
      <c r="EX3039" s="5" t="s">
        <v>240</v>
      </c>
      <c r="EY3039" s="5" t="s">
        <v>240</v>
      </c>
      <c r="EZ3039" s="5" t="s">
        <v>240</v>
      </c>
      <c r="FA3039" s="5" t="s">
        <v>240</v>
      </c>
      <c r="FB3039" s="5" t="s">
        <v>240</v>
      </c>
      <c r="FC3039" s="5" t="s">
        <v>240</v>
      </c>
      <c r="FD3039" s="5" t="s">
        <v>240</v>
      </c>
      <c r="FE3039" s="5" t="s">
        <v>240</v>
      </c>
      <c r="FF3039" s="5" t="s">
        <v>240</v>
      </c>
      <c r="FG3039" s="5" t="s">
        <v>240</v>
      </c>
      <c r="FH3039" s="5" t="s">
        <v>240</v>
      </c>
      <c r="FI3039" s="5" t="s">
        <v>240</v>
      </c>
      <c r="FJ3039" s="5" t="s">
        <v>240</v>
      </c>
      <c r="FK3039" s="5" t="s">
        <v>240</v>
      </c>
      <c r="FL3039" s="5" t="s">
        <v>240</v>
      </c>
      <c r="FM3039" s="5" t="s">
        <v>240</v>
      </c>
      <c r="FN3039" s="5" t="s">
        <v>240</v>
      </c>
      <c r="FO3039" s="5" t="s">
        <v>240</v>
      </c>
      <c r="FP3039" s="5" t="s">
        <v>240</v>
      </c>
      <c r="FQ3039" s="5" t="s">
        <v>240</v>
      </c>
      <c r="FR3039" s="5" t="s">
        <v>240</v>
      </c>
      <c r="FS3039" s="5" t="s">
        <v>240</v>
      </c>
      <c r="FT3039" s="5" t="s">
        <v>240</v>
      </c>
      <c r="FU3039" s="5" t="s">
        <v>240</v>
      </c>
      <c r="FV3039" s="5" t="s">
        <v>240</v>
      </c>
      <c r="FW3039" s="5" t="s">
        <v>240</v>
      </c>
      <c r="FX3039" s="5" t="s">
        <v>240</v>
      </c>
      <c r="FY3039" s="5" t="s">
        <v>240</v>
      </c>
      <c r="FZ3039" s="5" t="s">
        <v>240</v>
      </c>
      <c r="GA3039" s="5" t="s">
        <v>240</v>
      </c>
      <c r="GB3039" s="5" t="s">
        <v>240</v>
      </c>
      <c r="GC3039" s="5" t="s">
        <v>240</v>
      </c>
      <c r="GD3039" s="5" t="s">
        <v>240</v>
      </c>
      <c r="GE3039" s="5" t="s">
        <v>240</v>
      </c>
      <c r="GF3039" s="5" t="s">
        <v>240</v>
      </c>
      <c r="GG3039" s="5" t="s">
        <v>240</v>
      </c>
      <c r="GH3039" s="5" t="s">
        <v>240</v>
      </c>
      <c r="GI3039" s="5" t="s">
        <v>240</v>
      </c>
      <c r="GJ3039" s="5" t="s">
        <v>240</v>
      </c>
      <c r="GK3039" s="5" t="s">
        <v>240</v>
      </c>
      <c r="GL3039" s="5" t="s">
        <v>240</v>
      </c>
      <c r="GM3039" s="5" t="s">
        <v>240</v>
      </c>
      <c r="GN3039" s="5" t="s">
        <v>240</v>
      </c>
      <c r="GO3039" s="5" t="s">
        <v>240</v>
      </c>
      <c r="GP3039" s="5" t="s">
        <v>240</v>
      </c>
      <c r="GQ3039" s="5" t="s">
        <v>240</v>
      </c>
      <c r="GR3039" s="5" t="s">
        <v>240</v>
      </c>
      <c r="GS3039" s="5" t="s">
        <v>240</v>
      </c>
      <c r="GT3039" s="5" t="s">
        <v>240</v>
      </c>
      <c r="GU3039" s="5" t="s">
        <v>240</v>
      </c>
      <c r="GV3039" s="5" t="s">
        <v>240</v>
      </c>
      <c r="GW3039" s="5" t="s">
        <v>240</v>
      </c>
      <c r="GX3039" s="5" t="s">
        <v>240</v>
      </c>
      <c r="GY3039" s="5" t="s">
        <v>240</v>
      </c>
      <c r="GZ3039" s="5" t="s">
        <v>240</v>
      </c>
      <c r="HA3039" s="5" t="s">
        <v>240</v>
      </c>
      <c r="HB3039" s="5" t="s">
        <v>240</v>
      </c>
      <c r="HC3039" s="5" t="s">
        <v>240</v>
      </c>
      <c r="HD3039" s="5" t="s">
        <v>240</v>
      </c>
      <c r="HE3039" s="5" t="s">
        <v>240</v>
      </c>
      <c r="HF3039" s="5" t="s">
        <v>240</v>
      </c>
      <c r="HG3039" s="5" t="s">
        <v>240</v>
      </c>
      <c r="HH3039" s="5" t="s">
        <v>240</v>
      </c>
      <c r="HI3039" s="5" t="s">
        <v>240</v>
      </c>
      <c r="HJ3039" s="5" t="s">
        <v>240</v>
      </c>
      <c r="HK3039" s="5" t="s">
        <v>240</v>
      </c>
      <c r="HL3039" s="5" t="s">
        <v>240</v>
      </c>
      <c r="HM3039" s="5" t="s">
        <v>240</v>
      </c>
      <c r="HN3039" s="5" t="s">
        <v>240</v>
      </c>
      <c r="HO3039" s="5" t="s">
        <v>312</v>
      </c>
      <c r="HP3039" s="5" t="s">
        <v>240</v>
      </c>
      <c r="HQ3039" s="5" t="s">
        <v>240</v>
      </c>
      <c r="HR3039" s="5" t="s">
        <v>240</v>
      </c>
      <c r="HS3039" s="5" t="s">
        <v>240</v>
      </c>
      <c r="HT3039" s="5" t="s">
        <v>240</v>
      </c>
      <c r="HU3039" s="5" t="s">
        <v>240</v>
      </c>
      <c r="HV3039" s="5" t="s">
        <v>240</v>
      </c>
      <c r="HW3039" s="5" t="s">
        <v>240</v>
      </c>
      <c r="HX3039" s="5" t="s">
        <v>240</v>
      </c>
      <c r="HY3039" s="5" t="s">
        <v>240</v>
      </c>
      <c r="HZ3039" s="5" t="s">
        <v>240</v>
      </c>
      <c r="IA3039" s="5" t="s">
        <v>240</v>
      </c>
      <c r="IB3039" s="5" t="s">
        <v>240</v>
      </c>
      <c r="IC3039" s="5" t="s">
        <v>240</v>
      </c>
      <c r="ID3039" s="5" t="s">
        <v>240</v>
      </c>
      <c r="IE3039" s="5" t="s">
        <v>240</v>
      </c>
      <c r="IF3039" s="5" t="s">
        <v>240</v>
      </c>
    </row>
    <row r="3040" spans="1:240" x14ac:dyDescent="0.4">
      <c r="A3040" s="5">
        <v>4744</v>
      </c>
      <c r="B3040" s="5">
        <v>1</v>
      </c>
      <c r="C3040" s="5">
        <v>1</v>
      </c>
      <c r="D3040" s="5" t="s">
        <v>810</v>
      </c>
      <c r="E3040" s="5" t="s">
        <v>245</v>
      </c>
      <c r="F3040" s="5" t="s">
        <v>254</v>
      </c>
      <c r="G3040" s="5" t="s">
        <v>240</v>
      </c>
      <c r="H3040" s="6" t="s">
        <v>2464</v>
      </c>
      <c r="I3040" s="5" t="s">
        <v>809</v>
      </c>
      <c r="J3040" s="8">
        <f>1385</f>
        <v>1385</v>
      </c>
      <c r="K3040" s="5" t="s">
        <v>308</v>
      </c>
      <c r="L3040" s="7">
        <f>1</f>
        <v>1</v>
      </c>
      <c r="M3040" s="7">
        <f>1</f>
        <v>1</v>
      </c>
      <c r="N3040" s="5" t="s">
        <v>242</v>
      </c>
      <c r="O3040" s="5">
        <v>1</v>
      </c>
      <c r="P3040" s="5" t="s">
        <v>294</v>
      </c>
      <c r="Q3040" s="5" t="s">
        <v>3678</v>
      </c>
      <c r="R3040" s="5" t="s">
        <v>240</v>
      </c>
      <c r="S3040" s="5" t="s">
        <v>240</v>
      </c>
      <c r="T3040" s="5" t="s">
        <v>243</v>
      </c>
      <c r="U3040" s="5" t="s">
        <v>244</v>
      </c>
      <c r="V3040" s="5" t="s">
        <v>240</v>
      </c>
      <c r="W3040" s="5" t="s">
        <v>240</v>
      </c>
      <c r="X3040" s="5" t="s">
        <v>240</v>
      </c>
      <c r="Y3040" s="5" t="s">
        <v>240</v>
      </c>
      <c r="Z3040" s="6" t="s">
        <v>298</v>
      </c>
      <c r="AA3040" s="6" t="s">
        <v>240</v>
      </c>
      <c r="AB3040" s="6" t="s">
        <v>240</v>
      </c>
      <c r="AC3040" s="5" t="s">
        <v>240</v>
      </c>
      <c r="AD3040" s="6" t="s">
        <v>240</v>
      </c>
      <c r="AE3040" s="6" t="s">
        <v>299</v>
      </c>
      <c r="AF3040" s="5" t="s">
        <v>248</v>
      </c>
      <c r="AG3040" s="5" t="s">
        <v>249</v>
      </c>
      <c r="AH3040" s="5" t="s">
        <v>240</v>
      </c>
      <c r="AI3040" s="5" t="s">
        <v>240</v>
      </c>
      <c r="AJ3040" s="5" t="s">
        <v>240</v>
      </c>
      <c r="AK3040" s="5" t="s">
        <v>240</v>
      </c>
      <c r="AL3040" s="5" t="s">
        <v>240</v>
      </c>
      <c r="AM3040" s="5" t="s">
        <v>240</v>
      </c>
      <c r="AN3040" s="5" t="s">
        <v>240</v>
      </c>
      <c r="AO3040" s="5" t="s">
        <v>240</v>
      </c>
      <c r="AP3040" s="6" t="s">
        <v>240</v>
      </c>
      <c r="AQ3040" s="6" t="s">
        <v>240</v>
      </c>
      <c r="AR3040" s="6" t="s">
        <v>240</v>
      </c>
      <c r="AS3040" s="6" t="s">
        <v>240</v>
      </c>
      <c r="AT3040" s="5" t="s">
        <v>240</v>
      </c>
      <c r="AU3040" s="5" t="s">
        <v>729</v>
      </c>
      <c r="AV3040" s="5" t="s">
        <v>729</v>
      </c>
      <c r="AW3040" s="5" t="s">
        <v>251</v>
      </c>
      <c r="AX3040" s="5" t="s">
        <v>252</v>
      </c>
      <c r="AY3040" s="5" t="s">
        <v>253</v>
      </c>
      <c r="AZ3040" s="5" t="s">
        <v>240</v>
      </c>
      <c r="BA3040" s="5" t="s">
        <v>255</v>
      </c>
      <c r="BB3040" s="5" t="s">
        <v>731</v>
      </c>
      <c r="BD3040" s="5" t="s">
        <v>240</v>
      </c>
      <c r="BF3040" s="5" t="s">
        <v>732</v>
      </c>
      <c r="BG3040" s="6" t="s">
        <v>733</v>
      </c>
      <c r="BH3040" s="5" t="s">
        <v>734</v>
      </c>
      <c r="BI3040" s="5" t="s">
        <v>734</v>
      </c>
      <c r="BJ3040" s="5" t="s">
        <v>240</v>
      </c>
      <c r="BK3040" s="7">
        <f>1</f>
        <v>1</v>
      </c>
      <c r="BL3040" s="7">
        <f>1</f>
        <v>1</v>
      </c>
      <c r="BM3040" s="5" t="s">
        <v>258</v>
      </c>
      <c r="BN3040" s="5" t="s">
        <v>259</v>
      </c>
      <c r="BO3040" s="5" t="s">
        <v>240</v>
      </c>
      <c r="BP3040" s="5" t="s">
        <v>240</v>
      </c>
      <c r="BQ3040" s="5" t="s">
        <v>240</v>
      </c>
      <c r="BR3040" s="5" t="s">
        <v>240</v>
      </c>
      <c r="BS3040" s="5" t="s">
        <v>240</v>
      </c>
      <c r="BT3040" s="5" t="s">
        <v>240</v>
      </c>
      <c r="BU3040" s="5" t="s">
        <v>240</v>
      </c>
      <c r="BV3040" s="5" t="s">
        <v>240</v>
      </c>
      <c r="BW3040" s="6" t="s">
        <v>240</v>
      </c>
      <c r="BX3040" s="5" t="s">
        <v>240</v>
      </c>
      <c r="BY3040" s="5" t="s">
        <v>240</v>
      </c>
      <c r="BZ3040" s="5" t="s">
        <v>240</v>
      </c>
      <c r="CA3040" s="5" t="s">
        <v>259</v>
      </c>
      <c r="CB3040" s="5" t="s">
        <v>240</v>
      </c>
      <c r="CC3040" s="5" t="s">
        <v>240</v>
      </c>
      <c r="CD3040" s="5" t="s">
        <v>240</v>
      </c>
      <c r="CE3040" s="5" t="s">
        <v>240</v>
      </c>
      <c r="CF3040" s="5" t="s">
        <v>240</v>
      </c>
      <c r="CG3040" s="5" t="s">
        <v>304</v>
      </c>
      <c r="CH3040" s="5" t="s">
        <v>305</v>
      </c>
      <c r="CI3040" s="5" t="s">
        <v>240</v>
      </c>
      <c r="CK3040" s="5" t="s">
        <v>3681</v>
      </c>
      <c r="CL3040" s="6" t="s">
        <v>261</v>
      </c>
      <c r="CM3040" s="5" t="s">
        <v>262</v>
      </c>
      <c r="CN3040" s="5" t="s">
        <v>263</v>
      </c>
      <c r="CO3040" s="5" t="s">
        <v>264</v>
      </c>
      <c r="CP3040" s="5" t="s">
        <v>240</v>
      </c>
      <c r="CQ3040" s="5">
        <v>0</v>
      </c>
      <c r="CR3040" s="5" t="s">
        <v>735</v>
      </c>
      <c r="CS3040" s="5" t="s">
        <v>307</v>
      </c>
      <c r="CT3040" s="5" t="s">
        <v>307</v>
      </c>
      <c r="CU3040" s="5" t="s">
        <v>260</v>
      </c>
      <c r="CV3040" s="5" t="s">
        <v>612</v>
      </c>
      <c r="CW3040" s="8">
        <f>1</f>
        <v>1</v>
      </c>
      <c r="CX3040" s="7">
        <f>1</f>
        <v>1</v>
      </c>
      <c r="CY3040" s="7">
        <f>0</f>
        <v>0</v>
      </c>
      <c r="DA3040" s="7">
        <f>1</f>
        <v>1</v>
      </c>
      <c r="DB3040" s="7" t="s">
        <v>240</v>
      </c>
      <c r="DC3040" s="5" t="s">
        <v>240</v>
      </c>
      <c r="DD3040" s="5" t="s">
        <v>240</v>
      </c>
      <c r="DE3040" s="5" t="s">
        <v>240</v>
      </c>
      <c r="DF3040" s="5" t="s">
        <v>240</v>
      </c>
      <c r="DG3040" s="7">
        <f>0</f>
        <v>0</v>
      </c>
      <c r="DI3040" s="5" t="s">
        <v>240</v>
      </c>
      <c r="DJ3040" s="5" t="s">
        <v>240</v>
      </c>
      <c r="DK3040" s="5" t="s">
        <v>240</v>
      </c>
      <c r="DL3040" s="5" t="s">
        <v>240</v>
      </c>
      <c r="DM3040" s="5" t="s">
        <v>240</v>
      </c>
      <c r="DN3040" s="5" t="s">
        <v>240</v>
      </c>
      <c r="DO3040" s="7" t="s">
        <v>240</v>
      </c>
      <c r="DP3040" s="5" t="s">
        <v>240</v>
      </c>
      <c r="DQ3040" s="5" t="s">
        <v>240</v>
      </c>
      <c r="DR3040" s="5" t="s">
        <v>731</v>
      </c>
      <c r="DS3040" s="5" t="s">
        <v>731</v>
      </c>
      <c r="DT3040" s="5" t="s">
        <v>240</v>
      </c>
      <c r="DU3040" s="5" t="s">
        <v>240</v>
      </c>
      <c r="DV3040" s="5" t="s">
        <v>3683</v>
      </c>
      <c r="DW3040" s="5" t="s">
        <v>1060</v>
      </c>
      <c r="DX3040" s="5" t="s">
        <v>240</v>
      </c>
      <c r="DY3040" s="5" t="s">
        <v>240</v>
      </c>
      <c r="DZ3040" s="5" t="s">
        <v>240</v>
      </c>
      <c r="EA3040" s="5" t="s">
        <v>240</v>
      </c>
      <c r="EB3040" s="5" t="s">
        <v>240</v>
      </c>
      <c r="EC3040" s="5" t="s">
        <v>240</v>
      </c>
      <c r="ED3040" s="5" t="s">
        <v>240</v>
      </c>
      <c r="EE3040" s="5" t="s">
        <v>240</v>
      </c>
      <c r="EF3040" s="5" t="s">
        <v>240</v>
      </c>
      <c r="EG3040" s="5" t="s">
        <v>240</v>
      </c>
      <c r="EH3040" s="5" t="s">
        <v>240</v>
      </c>
      <c r="EI3040" s="5" t="s">
        <v>240</v>
      </c>
      <c r="EJ3040" s="5" t="s">
        <v>240</v>
      </c>
      <c r="EK3040" s="5" t="s">
        <v>240</v>
      </c>
      <c r="EL3040" s="5" t="s">
        <v>240</v>
      </c>
      <c r="EM3040" s="5" t="s">
        <v>240</v>
      </c>
      <c r="EN3040" s="5" t="s">
        <v>240</v>
      </c>
      <c r="EO3040" s="5" t="s">
        <v>240</v>
      </c>
      <c r="EP3040" s="5" t="s">
        <v>240</v>
      </c>
      <c r="EQ3040" s="5" t="s">
        <v>240</v>
      </c>
      <c r="ER3040" s="5" t="s">
        <v>240</v>
      </c>
      <c r="ES3040" s="5" t="s">
        <v>240</v>
      </c>
      <c r="ET3040" s="5" t="s">
        <v>240</v>
      </c>
      <c r="EU3040" s="5" t="s">
        <v>240</v>
      </c>
      <c r="EV3040" s="5" t="s">
        <v>240</v>
      </c>
      <c r="EW3040" s="5" t="s">
        <v>240</v>
      </c>
      <c r="EX3040" s="5" t="s">
        <v>240</v>
      </c>
      <c r="EY3040" s="5" t="s">
        <v>240</v>
      </c>
      <c r="EZ3040" s="5" t="s">
        <v>240</v>
      </c>
      <c r="FA3040" s="5" t="s">
        <v>240</v>
      </c>
      <c r="FB3040" s="5" t="s">
        <v>240</v>
      </c>
      <c r="FC3040" s="5" t="s">
        <v>240</v>
      </c>
      <c r="FD3040" s="5" t="s">
        <v>240</v>
      </c>
      <c r="FE3040" s="5" t="s">
        <v>240</v>
      </c>
      <c r="FF3040" s="5" t="s">
        <v>240</v>
      </c>
      <c r="FG3040" s="5" t="s">
        <v>240</v>
      </c>
      <c r="FH3040" s="5" t="s">
        <v>240</v>
      </c>
      <c r="FI3040" s="5" t="s">
        <v>240</v>
      </c>
      <c r="FJ3040" s="5" t="s">
        <v>240</v>
      </c>
      <c r="FK3040" s="5" t="s">
        <v>240</v>
      </c>
      <c r="FL3040" s="5" t="s">
        <v>240</v>
      </c>
      <c r="FM3040" s="5" t="s">
        <v>240</v>
      </c>
      <c r="FN3040" s="5" t="s">
        <v>240</v>
      </c>
      <c r="FO3040" s="5" t="s">
        <v>240</v>
      </c>
      <c r="FP3040" s="5" t="s">
        <v>240</v>
      </c>
      <c r="FQ3040" s="5" t="s">
        <v>240</v>
      </c>
      <c r="FR3040" s="5" t="s">
        <v>240</v>
      </c>
      <c r="FS3040" s="5" t="s">
        <v>240</v>
      </c>
      <c r="FT3040" s="5" t="s">
        <v>240</v>
      </c>
      <c r="FU3040" s="5" t="s">
        <v>240</v>
      </c>
      <c r="FV3040" s="5" t="s">
        <v>240</v>
      </c>
      <c r="FW3040" s="5" t="s">
        <v>240</v>
      </c>
      <c r="FX3040" s="5" t="s">
        <v>240</v>
      </c>
      <c r="FY3040" s="5" t="s">
        <v>240</v>
      </c>
      <c r="FZ3040" s="5" t="s">
        <v>240</v>
      </c>
      <c r="GA3040" s="5" t="s">
        <v>240</v>
      </c>
      <c r="GB3040" s="5" t="s">
        <v>240</v>
      </c>
      <c r="GC3040" s="5" t="s">
        <v>240</v>
      </c>
      <c r="GD3040" s="5" t="s">
        <v>240</v>
      </c>
      <c r="GE3040" s="5" t="s">
        <v>240</v>
      </c>
      <c r="GF3040" s="5" t="s">
        <v>240</v>
      </c>
      <c r="GG3040" s="5" t="s">
        <v>240</v>
      </c>
      <c r="GH3040" s="5" t="s">
        <v>240</v>
      </c>
      <c r="GI3040" s="5" t="s">
        <v>240</v>
      </c>
      <c r="GJ3040" s="5" t="s">
        <v>240</v>
      </c>
      <c r="GK3040" s="5" t="s">
        <v>240</v>
      </c>
      <c r="GL3040" s="5" t="s">
        <v>240</v>
      </c>
      <c r="GM3040" s="5" t="s">
        <v>240</v>
      </c>
      <c r="GN3040" s="5" t="s">
        <v>240</v>
      </c>
      <c r="GO3040" s="5" t="s">
        <v>240</v>
      </c>
      <c r="GP3040" s="5" t="s">
        <v>240</v>
      </c>
      <c r="GQ3040" s="5" t="s">
        <v>240</v>
      </c>
      <c r="GR3040" s="5" t="s">
        <v>240</v>
      </c>
      <c r="GS3040" s="5" t="s">
        <v>240</v>
      </c>
      <c r="GT3040" s="5" t="s">
        <v>240</v>
      </c>
      <c r="GU3040" s="5" t="s">
        <v>240</v>
      </c>
      <c r="GV3040" s="5" t="s">
        <v>240</v>
      </c>
      <c r="GW3040" s="5" t="s">
        <v>240</v>
      </c>
      <c r="GX3040" s="5" t="s">
        <v>240</v>
      </c>
      <c r="GY3040" s="5" t="s">
        <v>240</v>
      </c>
      <c r="GZ3040" s="5" t="s">
        <v>240</v>
      </c>
      <c r="HA3040" s="5" t="s">
        <v>240</v>
      </c>
      <c r="HB3040" s="5" t="s">
        <v>240</v>
      </c>
      <c r="HC3040" s="5" t="s">
        <v>240</v>
      </c>
      <c r="HD3040" s="5" t="s">
        <v>240</v>
      </c>
      <c r="HE3040" s="5" t="s">
        <v>240</v>
      </c>
      <c r="HF3040" s="5" t="s">
        <v>240</v>
      </c>
      <c r="HG3040" s="5" t="s">
        <v>240</v>
      </c>
      <c r="HH3040" s="5" t="s">
        <v>240</v>
      </c>
      <c r="HI3040" s="5" t="s">
        <v>240</v>
      </c>
      <c r="HJ3040" s="5" t="s">
        <v>240</v>
      </c>
      <c r="HK3040" s="5" t="s">
        <v>240</v>
      </c>
      <c r="HL3040" s="5" t="s">
        <v>240</v>
      </c>
      <c r="HM3040" s="5" t="s">
        <v>240</v>
      </c>
      <c r="HN3040" s="5" t="s">
        <v>240</v>
      </c>
      <c r="HO3040" s="5" t="s">
        <v>312</v>
      </c>
      <c r="HP3040" s="5" t="s">
        <v>240</v>
      </c>
      <c r="HQ3040" s="5" t="s">
        <v>240</v>
      </c>
      <c r="HR3040" s="5" t="s">
        <v>240</v>
      </c>
      <c r="HS3040" s="5" t="s">
        <v>240</v>
      </c>
      <c r="HT3040" s="5" t="s">
        <v>240</v>
      </c>
      <c r="HU3040" s="5" t="s">
        <v>240</v>
      </c>
      <c r="HV3040" s="5" t="s">
        <v>240</v>
      </c>
      <c r="HW3040" s="5" t="s">
        <v>240</v>
      </c>
      <c r="HX3040" s="5" t="s">
        <v>240</v>
      </c>
      <c r="HY3040" s="5" t="s">
        <v>240</v>
      </c>
      <c r="HZ3040" s="5" t="s">
        <v>240</v>
      </c>
      <c r="IA3040" s="5" t="s">
        <v>240</v>
      </c>
      <c r="IB3040" s="5" t="s">
        <v>240</v>
      </c>
      <c r="IC3040" s="5" t="s">
        <v>240</v>
      </c>
      <c r="ID3040" s="5" t="s">
        <v>240</v>
      </c>
      <c r="IE3040" s="5" t="s">
        <v>240</v>
      </c>
      <c r="IF3040" s="5" t="s">
        <v>240</v>
      </c>
    </row>
    <row r="3041" spans="1:240" x14ac:dyDescent="0.4">
      <c r="A3041" s="5">
        <v>4745</v>
      </c>
      <c r="B3041" s="5">
        <v>1</v>
      </c>
      <c r="C3041" s="5">
        <v>1</v>
      </c>
      <c r="D3041" s="5" t="s">
        <v>810</v>
      </c>
      <c r="E3041" s="5" t="s">
        <v>245</v>
      </c>
      <c r="F3041" s="5" t="s">
        <v>254</v>
      </c>
      <c r="G3041" s="5" t="s">
        <v>240</v>
      </c>
      <c r="H3041" s="6" t="s">
        <v>2462</v>
      </c>
      <c r="I3041" s="5" t="s">
        <v>809</v>
      </c>
      <c r="J3041" s="8">
        <f>345</f>
        <v>345</v>
      </c>
      <c r="K3041" s="5" t="s">
        <v>308</v>
      </c>
      <c r="L3041" s="7">
        <f>1</f>
        <v>1</v>
      </c>
      <c r="M3041" s="7">
        <f>1</f>
        <v>1</v>
      </c>
      <c r="N3041" s="5" t="s">
        <v>242</v>
      </c>
      <c r="O3041" s="5">
        <v>1</v>
      </c>
      <c r="P3041" s="5" t="s">
        <v>294</v>
      </c>
      <c r="Q3041" s="5" t="s">
        <v>3678</v>
      </c>
      <c r="R3041" s="5" t="s">
        <v>240</v>
      </c>
      <c r="S3041" s="5" t="s">
        <v>240</v>
      </c>
      <c r="T3041" s="5" t="s">
        <v>243</v>
      </c>
      <c r="U3041" s="5" t="s">
        <v>244</v>
      </c>
      <c r="V3041" s="5" t="s">
        <v>240</v>
      </c>
      <c r="W3041" s="5" t="s">
        <v>240</v>
      </c>
      <c r="X3041" s="5" t="s">
        <v>240</v>
      </c>
      <c r="Y3041" s="5" t="s">
        <v>240</v>
      </c>
      <c r="Z3041" s="6" t="s">
        <v>298</v>
      </c>
      <c r="AA3041" s="6" t="s">
        <v>240</v>
      </c>
      <c r="AB3041" s="6" t="s">
        <v>240</v>
      </c>
      <c r="AC3041" s="5" t="s">
        <v>240</v>
      </c>
      <c r="AD3041" s="6" t="s">
        <v>240</v>
      </c>
      <c r="AE3041" s="6" t="s">
        <v>299</v>
      </c>
      <c r="AF3041" s="5" t="s">
        <v>248</v>
      </c>
      <c r="AG3041" s="5" t="s">
        <v>249</v>
      </c>
      <c r="AH3041" s="5" t="s">
        <v>240</v>
      </c>
      <c r="AI3041" s="5" t="s">
        <v>240</v>
      </c>
      <c r="AJ3041" s="5" t="s">
        <v>240</v>
      </c>
      <c r="AK3041" s="5" t="s">
        <v>240</v>
      </c>
      <c r="AL3041" s="5" t="s">
        <v>240</v>
      </c>
      <c r="AM3041" s="5" t="s">
        <v>240</v>
      </c>
      <c r="AN3041" s="5" t="s">
        <v>240</v>
      </c>
      <c r="AO3041" s="5" t="s">
        <v>240</v>
      </c>
      <c r="AP3041" s="6" t="s">
        <v>240</v>
      </c>
      <c r="AQ3041" s="6" t="s">
        <v>240</v>
      </c>
      <c r="AR3041" s="6" t="s">
        <v>240</v>
      </c>
      <c r="AS3041" s="6" t="s">
        <v>240</v>
      </c>
      <c r="AT3041" s="5" t="s">
        <v>240</v>
      </c>
      <c r="AU3041" s="5" t="s">
        <v>729</v>
      </c>
      <c r="AV3041" s="5" t="s">
        <v>729</v>
      </c>
      <c r="AW3041" s="5" t="s">
        <v>251</v>
      </c>
      <c r="AX3041" s="5" t="s">
        <v>252</v>
      </c>
      <c r="AY3041" s="5" t="s">
        <v>253</v>
      </c>
      <c r="AZ3041" s="5" t="s">
        <v>240</v>
      </c>
      <c r="BA3041" s="5" t="s">
        <v>255</v>
      </c>
      <c r="BB3041" s="5" t="s">
        <v>731</v>
      </c>
      <c r="BD3041" s="5" t="s">
        <v>240</v>
      </c>
      <c r="BF3041" s="5" t="s">
        <v>732</v>
      </c>
      <c r="BG3041" s="6" t="s">
        <v>733</v>
      </c>
      <c r="BH3041" s="5" t="s">
        <v>734</v>
      </c>
      <c r="BI3041" s="5" t="s">
        <v>734</v>
      </c>
      <c r="BJ3041" s="5" t="s">
        <v>240</v>
      </c>
      <c r="BK3041" s="7">
        <f>1</f>
        <v>1</v>
      </c>
      <c r="BL3041" s="7">
        <f>1</f>
        <v>1</v>
      </c>
      <c r="BM3041" s="5" t="s">
        <v>258</v>
      </c>
      <c r="BN3041" s="5" t="s">
        <v>259</v>
      </c>
      <c r="BO3041" s="5" t="s">
        <v>240</v>
      </c>
      <c r="BP3041" s="5" t="s">
        <v>240</v>
      </c>
      <c r="BQ3041" s="5" t="s">
        <v>240</v>
      </c>
      <c r="BR3041" s="5" t="s">
        <v>240</v>
      </c>
      <c r="BS3041" s="5" t="s">
        <v>240</v>
      </c>
      <c r="BT3041" s="5" t="s">
        <v>240</v>
      </c>
      <c r="BU3041" s="5" t="s">
        <v>240</v>
      </c>
      <c r="BV3041" s="5" t="s">
        <v>240</v>
      </c>
      <c r="BW3041" s="6" t="s">
        <v>240</v>
      </c>
      <c r="BX3041" s="5" t="s">
        <v>240</v>
      </c>
      <c r="BY3041" s="5" t="s">
        <v>240</v>
      </c>
      <c r="BZ3041" s="5" t="s">
        <v>240</v>
      </c>
      <c r="CA3041" s="5" t="s">
        <v>259</v>
      </c>
      <c r="CB3041" s="5" t="s">
        <v>240</v>
      </c>
      <c r="CC3041" s="5" t="s">
        <v>240</v>
      </c>
      <c r="CD3041" s="5" t="s">
        <v>240</v>
      </c>
      <c r="CE3041" s="5" t="s">
        <v>240</v>
      </c>
      <c r="CF3041" s="5" t="s">
        <v>240</v>
      </c>
      <c r="CG3041" s="5" t="s">
        <v>304</v>
      </c>
      <c r="CH3041" s="5" t="s">
        <v>305</v>
      </c>
      <c r="CI3041" s="5" t="s">
        <v>240</v>
      </c>
      <c r="CK3041" s="5" t="s">
        <v>3681</v>
      </c>
      <c r="CL3041" s="6" t="s">
        <v>261</v>
      </c>
      <c r="CM3041" s="5" t="s">
        <v>262</v>
      </c>
      <c r="CN3041" s="5" t="s">
        <v>263</v>
      </c>
      <c r="CO3041" s="5" t="s">
        <v>264</v>
      </c>
      <c r="CP3041" s="5" t="s">
        <v>240</v>
      </c>
      <c r="CQ3041" s="5">
        <v>0</v>
      </c>
      <c r="CR3041" s="5" t="s">
        <v>735</v>
      </c>
      <c r="CS3041" s="5" t="s">
        <v>307</v>
      </c>
      <c r="CT3041" s="5" t="s">
        <v>307</v>
      </c>
      <c r="CU3041" s="5" t="s">
        <v>260</v>
      </c>
      <c r="CV3041" s="5" t="s">
        <v>612</v>
      </c>
      <c r="CW3041" s="8">
        <f>1</f>
        <v>1</v>
      </c>
      <c r="CX3041" s="7">
        <f>1</f>
        <v>1</v>
      </c>
      <c r="CY3041" s="7">
        <f>0</f>
        <v>0</v>
      </c>
      <c r="DA3041" s="7">
        <f>1</f>
        <v>1</v>
      </c>
      <c r="DB3041" s="7" t="s">
        <v>240</v>
      </c>
      <c r="DC3041" s="5" t="s">
        <v>240</v>
      </c>
      <c r="DD3041" s="5" t="s">
        <v>240</v>
      </c>
      <c r="DE3041" s="5" t="s">
        <v>240</v>
      </c>
      <c r="DF3041" s="5" t="s">
        <v>240</v>
      </c>
      <c r="DG3041" s="7">
        <f>0</f>
        <v>0</v>
      </c>
      <c r="DI3041" s="5" t="s">
        <v>240</v>
      </c>
      <c r="DJ3041" s="5" t="s">
        <v>240</v>
      </c>
      <c r="DK3041" s="5" t="s">
        <v>240</v>
      </c>
      <c r="DL3041" s="5" t="s">
        <v>240</v>
      </c>
      <c r="DM3041" s="5" t="s">
        <v>240</v>
      </c>
      <c r="DN3041" s="5" t="s">
        <v>240</v>
      </c>
      <c r="DO3041" s="7" t="s">
        <v>240</v>
      </c>
      <c r="DP3041" s="5" t="s">
        <v>240</v>
      </c>
      <c r="DQ3041" s="5" t="s">
        <v>240</v>
      </c>
      <c r="DR3041" s="5" t="s">
        <v>731</v>
      </c>
      <c r="DS3041" s="5" t="s">
        <v>731</v>
      </c>
      <c r="DT3041" s="5" t="s">
        <v>240</v>
      </c>
      <c r="DU3041" s="5" t="s">
        <v>240</v>
      </c>
      <c r="DV3041" s="5" t="s">
        <v>3683</v>
      </c>
      <c r="DW3041" s="5" t="s">
        <v>1068</v>
      </c>
      <c r="DX3041" s="5" t="s">
        <v>240</v>
      </c>
      <c r="DY3041" s="5" t="s">
        <v>240</v>
      </c>
      <c r="DZ3041" s="5" t="s">
        <v>240</v>
      </c>
      <c r="EA3041" s="5" t="s">
        <v>240</v>
      </c>
      <c r="EB3041" s="5" t="s">
        <v>240</v>
      </c>
      <c r="EC3041" s="5" t="s">
        <v>240</v>
      </c>
      <c r="ED3041" s="5" t="s">
        <v>240</v>
      </c>
      <c r="EE3041" s="5" t="s">
        <v>240</v>
      </c>
      <c r="EF3041" s="5" t="s">
        <v>240</v>
      </c>
      <c r="EG3041" s="5" t="s">
        <v>240</v>
      </c>
      <c r="EH3041" s="5" t="s">
        <v>240</v>
      </c>
      <c r="EI3041" s="5" t="s">
        <v>240</v>
      </c>
      <c r="EJ3041" s="5" t="s">
        <v>240</v>
      </c>
      <c r="EK3041" s="5" t="s">
        <v>240</v>
      </c>
      <c r="EL3041" s="5" t="s">
        <v>240</v>
      </c>
      <c r="EM3041" s="5" t="s">
        <v>240</v>
      </c>
      <c r="EN3041" s="5" t="s">
        <v>240</v>
      </c>
      <c r="EO3041" s="5" t="s">
        <v>240</v>
      </c>
      <c r="EP3041" s="5" t="s">
        <v>240</v>
      </c>
      <c r="EQ3041" s="5" t="s">
        <v>240</v>
      </c>
      <c r="ER3041" s="5" t="s">
        <v>240</v>
      </c>
      <c r="ES3041" s="5" t="s">
        <v>240</v>
      </c>
      <c r="ET3041" s="5" t="s">
        <v>240</v>
      </c>
      <c r="EU3041" s="5" t="s">
        <v>240</v>
      </c>
      <c r="EV3041" s="5" t="s">
        <v>240</v>
      </c>
      <c r="EW3041" s="5" t="s">
        <v>240</v>
      </c>
      <c r="EX3041" s="5" t="s">
        <v>240</v>
      </c>
      <c r="EY3041" s="5" t="s">
        <v>240</v>
      </c>
      <c r="EZ3041" s="5" t="s">
        <v>240</v>
      </c>
      <c r="FA3041" s="5" t="s">
        <v>240</v>
      </c>
      <c r="FB3041" s="5" t="s">
        <v>240</v>
      </c>
      <c r="FC3041" s="5" t="s">
        <v>240</v>
      </c>
      <c r="FD3041" s="5" t="s">
        <v>240</v>
      </c>
      <c r="FE3041" s="5" t="s">
        <v>240</v>
      </c>
      <c r="FF3041" s="5" t="s">
        <v>240</v>
      </c>
      <c r="FG3041" s="5" t="s">
        <v>240</v>
      </c>
      <c r="FH3041" s="5" t="s">
        <v>240</v>
      </c>
      <c r="FI3041" s="5" t="s">
        <v>240</v>
      </c>
      <c r="FJ3041" s="5" t="s">
        <v>240</v>
      </c>
      <c r="FK3041" s="5" t="s">
        <v>240</v>
      </c>
      <c r="FL3041" s="5" t="s">
        <v>240</v>
      </c>
      <c r="FM3041" s="5" t="s">
        <v>240</v>
      </c>
      <c r="FN3041" s="5" t="s">
        <v>240</v>
      </c>
      <c r="FO3041" s="5" t="s">
        <v>240</v>
      </c>
      <c r="FP3041" s="5" t="s">
        <v>240</v>
      </c>
      <c r="FQ3041" s="5" t="s">
        <v>240</v>
      </c>
      <c r="FR3041" s="5" t="s">
        <v>240</v>
      </c>
      <c r="FS3041" s="5" t="s">
        <v>240</v>
      </c>
      <c r="FT3041" s="5" t="s">
        <v>240</v>
      </c>
      <c r="FU3041" s="5" t="s">
        <v>240</v>
      </c>
      <c r="FV3041" s="5" t="s">
        <v>240</v>
      </c>
      <c r="FW3041" s="5" t="s">
        <v>240</v>
      </c>
      <c r="FX3041" s="5" t="s">
        <v>240</v>
      </c>
      <c r="FY3041" s="5" t="s">
        <v>240</v>
      </c>
      <c r="FZ3041" s="5" t="s">
        <v>240</v>
      </c>
      <c r="GA3041" s="5" t="s">
        <v>240</v>
      </c>
      <c r="GB3041" s="5" t="s">
        <v>240</v>
      </c>
      <c r="GC3041" s="5" t="s">
        <v>240</v>
      </c>
      <c r="GD3041" s="5" t="s">
        <v>240</v>
      </c>
      <c r="GE3041" s="5" t="s">
        <v>240</v>
      </c>
      <c r="GF3041" s="5" t="s">
        <v>240</v>
      </c>
      <c r="GG3041" s="5" t="s">
        <v>240</v>
      </c>
      <c r="GH3041" s="5" t="s">
        <v>240</v>
      </c>
      <c r="GI3041" s="5" t="s">
        <v>240</v>
      </c>
      <c r="GJ3041" s="5" t="s">
        <v>240</v>
      </c>
      <c r="GK3041" s="5" t="s">
        <v>240</v>
      </c>
      <c r="GL3041" s="5" t="s">
        <v>240</v>
      </c>
      <c r="GM3041" s="5" t="s">
        <v>240</v>
      </c>
      <c r="GN3041" s="5" t="s">
        <v>240</v>
      </c>
      <c r="GO3041" s="5" t="s">
        <v>240</v>
      </c>
      <c r="GP3041" s="5" t="s">
        <v>240</v>
      </c>
      <c r="GQ3041" s="5" t="s">
        <v>240</v>
      </c>
      <c r="GR3041" s="5" t="s">
        <v>240</v>
      </c>
      <c r="GS3041" s="5" t="s">
        <v>240</v>
      </c>
      <c r="GT3041" s="5" t="s">
        <v>240</v>
      </c>
      <c r="GU3041" s="5" t="s">
        <v>240</v>
      </c>
      <c r="GV3041" s="5" t="s">
        <v>240</v>
      </c>
      <c r="GW3041" s="5" t="s">
        <v>240</v>
      </c>
      <c r="GX3041" s="5" t="s">
        <v>240</v>
      </c>
      <c r="GY3041" s="5" t="s">
        <v>240</v>
      </c>
      <c r="GZ3041" s="5" t="s">
        <v>240</v>
      </c>
      <c r="HA3041" s="5" t="s">
        <v>240</v>
      </c>
      <c r="HB3041" s="5" t="s">
        <v>240</v>
      </c>
      <c r="HC3041" s="5" t="s">
        <v>240</v>
      </c>
      <c r="HD3041" s="5" t="s">
        <v>240</v>
      </c>
      <c r="HE3041" s="5" t="s">
        <v>240</v>
      </c>
      <c r="HF3041" s="5" t="s">
        <v>240</v>
      </c>
      <c r="HG3041" s="5" t="s">
        <v>240</v>
      </c>
      <c r="HH3041" s="5" t="s">
        <v>240</v>
      </c>
      <c r="HI3041" s="5" t="s">
        <v>240</v>
      </c>
      <c r="HJ3041" s="5" t="s">
        <v>240</v>
      </c>
      <c r="HK3041" s="5" t="s">
        <v>240</v>
      </c>
      <c r="HL3041" s="5" t="s">
        <v>240</v>
      </c>
      <c r="HM3041" s="5" t="s">
        <v>240</v>
      </c>
      <c r="HN3041" s="5" t="s">
        <v>240</v>
      </c>
      <c r="HO3041" s="5" t="s">
        <v>312</v>
      </c>
      <c r="HP3041" s="5" t="s">
        <v>240</v>
      </c>
      <c r="HQ3041" s="5" t="s">
        <v>240</v>
      </c>
      <c r="HR3041" s="5" t="s">
        <v>240</v>
      </c>
      <c r="HS3041" s="5" t="s">
        <v>240</v>
      </c>
      <c r="HT3041" s="5" t="s">
        <v>240</v>
      </c>
      <c r="HU3041" s="5" t="s">
        <v>240</v>
      </c>
      <c r="HV3041" s="5" t="s">
        <v>240</v>
      </c>
      <c r="HW3041" s="5" t="s">
        <v>240</v>
      </c>
      <c r="HX3041" s="5" t="s">
        <v>240</v>
      </c>
      <c r="HY3041" s="5" t="s">
        <v>240</v>
      </c>
      <c r="HZ3041" s="5" t="s">
        <v>240</v>
      </c>
      <c r="IA3041" s="5" t="s">
        <v>240</v>
      </c>
      <c r="IB3041" s="5" t="s">
        <v>240</v>
      </c>
      <c r="IC3041" s="5" t="s">
        <v>240</v>
      </c>
      <c r="ID3041" s="5" t="s">
        <v>240</v>
      </c>
      <c r="IE3041" s="5" t="s">
        <v>240</v>
      </c>
      <c r="IF3041" s="5" t="s">
        <v>240</v>
      </c>
    </row>
    <row r="3042" spans="1:240" x14ac:dyDescent="0.4">
      <c r="A3042" s="5">
        <v>4746</v>
      </c>
      <c r="B3042" s="5">
        <v>1</v>
      </c>
      <c r="C3042" s="5">
        <v>1</v>
      </c>
      <c r="D3042" s="5" t="s">
        <v>810</v>
      </c>
      <c r="E3042" s="5" t="s">
        <v>245</v>
      </c>
      <c r="F3042" s="5" t="s">
        <v>254</v>
      </c>
      <c r="G3042" s="5" t="s">
        <v>240</v>
      </c>
      <c r="H3042" s="6" t="s">
        <v>2461</v>
      </c>
      <c r="I3042" s="5" t="s">
        <v>809</v>
      </c>
      <c r="J3042" s="8">
        <f>180</f>
        <v>180</v>
      </c>
      <c r="K3042" s="5" t="s">
        <v>308</v>
      </c>
      <c r="L3042" s="7">
        <f>1</f>
        <v>1</v>
      </c>
      <c r="M3042" s="7">
        <f>1</f>
        <v>1</v>
      </c>
      <c r="N3042" s="5" t="s">
        <v>242</v>
      </c>
      <c r="O3042" s="5">
        <v>1</v>
      </c>
      <c r="P3042" s="5" t="s">
        <v>294</v>
      </c>
      <c r="Q3042" s="5" t="s">
        <v>3678</v>
      </c>
      <c r="R3042" s="5" t="s">
        <v>240</v>
      </c>
      <c r="S3042" s="5" t="s">
        <v>240</v>
      </c>
      <c r="T3042" s="5" t="s">
        <v>243</v>
      </c>
      <c r="U3042" s="5" t="s">
        <v>244</v>
      </c>
      <c r="V3042" s="5" t="s">
        <v>240</v>
      </c>
      <c r="W3042" s="5" t="s">
        <v>240</v>
      </c>
      <c r="X3042" s="5" t="s">
        <v>240</v>
      </c>
      <c r="Y3042" s="5" t="s">
        <v>240</v>
      </c>
      <c r="Z3042" s="6" t="s">
        <v>298</v>
      </c>
      <c r="AA3042" s="6" t="s">
        <v>240</v>
      </c>
      <c r="AB3042" s="6" t="s">
        <v>240</v>
      </c>
      <c r="AC3042" s="5" t="s">
        <v>240</v>
      </c>
      <c r="AD3042" s="6" t="s">
        <v>240</v>
      </c>
      <c r="AE3042" s="6" t="s">
        <v>299</v>
      </c>
      <c r="AF3042" s="5" t="s">
        <v>248</v>
      </c>
      <c r="AG3042" s="5" t="s">
        <v>249</v>
      </c>
      <c r="AH3042" s="5" t="s">
        <v>240</v>
      </c>
      <c r="AI3042" s="5" t="s">
        <v>240</v>
      </c>
      <c r="AJ3042" s="5" t="s">
        <v>240</v>
      </c>
      <c r="AK3042" s="5" t="s">
        <v>240</v>
      </c>
      <c r="AL3042" s="5" t="s">
        <v>240</v>
      </c>
      <c r="AM3042" s="5" t="s">
        <v>240</v>
      </c>
      <c r="AN3042" s="5" t="s">
        <v>240</v>
      </c>
      <c r="AO3042" s="5" t="s">
        <v>240</v>
      </c>
      <c r="AP3042" s="6" t="s">
        <v>240</v>
      </c>
      <c r="AQ3042" s="6" t="s">
        <v>240</v>
      </c>
      <c r="AR3042" s="6" t="s">
        <v>240</v>
      </c>
      <c r="AS3042" s="6" t="s">
        <v>240</v>
      </c>
      <c r="AT3042" s="5" t="s">
        <v>240</v>
      </c>
      <c r="AU3042" s="5" t="s">
        <v>729</v>
      </c>
      <c r="AV3042" s="5" t="s">
        <v>729</v>
      </c>
      <c r="AW3042" s="5" t="s">
        <v>251</v>
      </c>
      <c r="AX3042" s="5" t="s">
        <v>252</v>
      </c>
      <c r="AY3042" s="5" t="s">
        <v>253</v>
      </c>
      <c r="AZ3042" s="5" t="s">
        <v>240</v>
      </c>
      <c r="BA3042" s="5" t="s">
        <v>255</v>
      </c>
      <c r="BB3042" s="5" t="s">
        <v>731</v>
      </c>
      <c r="BD3042" s="5" t="s">
        <v>240</v>
      </c>
      <c r="BF3042" s="5" t="s">
        <v>732</v>
      </c>
      <c r="BG3042" s="6" t="s">
        <v>733</v>
      </c>
      <c r="BH3042" s="5" t="s">
        <v>734</v>
      </c>
      <c r="BI3042" s="5" t="s">
        <v>734</v>
      </c>
      <c r="BJ3042" s="5" t="s">
        <v>240</v>
      </c>
      <c r="BK3042" s="7">
        <f>1</f>
        <v>1</v>
      </c>
      <c r="BL3042" s="7">
        <f>1</f>
        <v>1</v>
      </c>
      <c r="BM3042" s="5" t="s">
        <v>258</v>
      </c>
      <c r="BN3042" s="5" t="s">
        <v>259</v>
      </c>
      <c r="BO3042" s="5" t="s">
        <v>240</v>
      </c>
      <c r="BP3042" s="5" t="s">
        <v>240</v>
      </c>
      <c r="BQ3042" s="5" t="s">
        <v>240</v>
      </c>
      <c r="BR3042" s="5" t="s">
        <v>240</v>
      </c>
      <c r="BS3042" s="5" t="s">
        <v>240</v>
      </c>
      <c r="BT3042" s="5" t="s">
        <v>240</v>
      </c>
      <c r="BU3042" s="5" t="s">
        <v>240</v>
      </c>
      <c r="BV3042" s="5" t="s">
        <v>240</v>
      </c>
      <c r="BW3042" s="6" t="s">
        <v>240</v>
      </c>
      <c r="BX3042" s="5" t="s">
        <v>240</v>
      </c>
      <c r="BY3042" s="5" t="s">
        <v>240</v>
      </c>
      <c r="BZ3042" s="5" t="s">
        <v>240</v>
      </c>
      <c r="CA3042" s="5" t="s">
        <v>259</v>
      </c>
      <c r="CB3042" s="5" t="s">
        <v>240</v>
      </c>
      <c r="CC3042" s="5" t="s">
        <v>240</v>
      </c>
      <c r="CD3042" s="5" t="s">
        <v>240</v>
      </c>
      <c r="CE3042" s="5" t="s">
        <v>240</v>
      </c>
      <c r="CF3042" s="5" t="s">
        <v>240</v>
      </c>
      <c r="CG3042" s="5" t="s">
        <v>304</v>
      </c>
      <c r="CH3042" s="5" t="s">
        <v>305</v>
      </c>
      <c r="CI3042" s="5" t="s">
        <v>240</v>
      </c>
      <c r="CK3042" s="5" t="s">
        <v>3681</v>
      </c>
      <c r="CL3042" s="6" t="s">
        <v>261</v>
      </c>
      <c r="CM3042" s="5" t="s">
        <v>262</v>
      </c>
      <c r="CN3042" s="5" t="s">
        <v>263</v>
      </c>
      <c r="CO3042" s="5" t="s">
        <v>264</v>
      </c>
      <c r="CP3042" s="5" t="s">
        <v>240</v>
      </c>
      <c r="CQ3042" s="5">
        <v>0</v>
      </c>
      <c r="CR3042" s="5" t="s">
        <v>735</v>
      </c>
      <c r="CS3042" s="5" t="s">
        <v>307</v>
      </c>
      <c r="CT3042" s="5" t="s">
        <v>307</v>
      </c>
      <c r="CU3042" s="5" t="s">
        <v>260</v>
      </c>
      <c r="CV3042" s="5" t="s">
        <v>612</v>
      </c>
      <c r="CW3042" s="8">
        <f>1</f>
        <v>1</v>
      </c>
      <c r="CX3042" s="7">
        <f>1</f>
        <v>1</v>
      </c>
      <c r="CY3042" s="7">
        <f>0</f>
        <v>0</v>
      </c>
      <c r="DA3042" s="7">
        <f>1</f>
        <v>1</v>
      </c>
      <c r="DB3042" s="7" t="s">
        <v>240</v>
      </c>
      <c r="DC3042" s="5" t="s">
        <v>240</v>
      </c>
      <c r="DD3042" s="5" t="s">
        <v>240</v>
      </c>
      <c r="DE3042" s="5" t="s">
        <v>240</v>
      </c>
      <c r="DF3042" s="5" t="s">
        <v>240</v>
      </c>
      <c r="DG3042" s="7">
        <f>0</f>
        <v>0</v>
      </c>
      <c r="DI3042" s="5" t="s">
        <v>240</v>
      </c>
      <c r="DJ3042" s="5" t="s">
        <v>240</v>
      </c>
      <c r="DK3042" s="5" t="s">
        <v>240</v>
      </c>
      <c r="DL3042" s="5" t="s">
        <v>240</v>
      </c>
      <c r="DM3042" s="5" t="s">
        <v>240</v>
      </c>
      <c r="DN3042" s="5" t="s">
        <v>240</v>
      </c>
      <c r="DO3042" s="7" t="s">
        <v>240</v>
      </c>
      <c r="DP3042" s="5" t="s">
        <v>240</v>
      </c>
      <c r="DQ3042" s="5" t="s">
        <v>240</v>
      </c>
      <c r="DR3042" s="5" t="s">
        <v>731</v>
      </c>
      <c r="DS3042" s="5" t="s">
        <v>731</v>
      </c>
      <c r="DT3042" s="5" t="s">
        <v>240</v>
      </c>
      <c r="DU3042" s="5" t="s">
        <v>240</v>
      </c>
      <c r="DV3042" s="5" t="s">
        <v>3683</v>
      </c>
      <c r="DW3042" s="5" t="s">
        <v>1076</v>
      </c>
      <c r="DX3042" s="5" t="s">
        <v>240</v>
      </c>
      <c r="DY3042" s="5" t="s">
        <v>240</v>
      </c>
      <c r="DZ3042" s="5" t="s">
        <v>240</v>
      </c>
      <c r="EA3042" s="5" t="s">
        <v>240</v>
      </c>
      <c r="EB3042" s="5" t="s">
        <v>240</v>
      </c>
      <c r="EC3042" s="5" t="s">
        <v>240</v>
      </c>
      <c r="ED3042" s="5" t="s">
        <v>240</v>
      </c>
      <c r="EE3042" s="5" t="s">
        <v>240</v>
      </c>
      <c r="EF3042" s="5" t="s">
        <v>240</v>
      </c>
      <c r="EG3042" s="5" t="s">
        <v>240</v>
      </c>
      <c r="EH3042" s="5" t="s">
        <v>240</v>
      </c>
      <c r="EI3042" s="5" t="s">
        <v>240</v>
      </c>
      <c r="EJ3042" s="5" t="s">
        <v>240</v>
      </c>
      <c r="EK3042" s="5" t="s">
        <v>240</v>
      </c>
      <c r="EL3042" s="5" t="s">
        <v>240</v>
      </c>
      <c r="EM3042" s="5" t="s">
        <v>240</v>
      </c>
      <c r="EN3042" s="5" t="s">
        <v>240</v>
      </c>
      <c r="EO3042" s="5" t="s">
        <v>240</v>
      </c>
      <c r="EP3042" s="5" t="s">
        <v>240</v>
      </c>
      <c r="EQ3042" s="5" t="s">
        <v>240</v>
      </c>
      <c r="ER3042" s="5" t="s">
        <v>240</v>
      </c>
      <c r="ES3042" s="5" t="s">
        <v>240</v>
      </c>
      <c r="ET3042" s="5" t="s">
        <v>240</v>
      </c>
      <c r="EU3042" s="5" t="s">
        <v>240</v>
      </c>
      <c r="EV3042" s="5" t="s">
        <v>240</v>
      </c>
      <c r="EW3042" s="5" t="s">
        <v>240</v>
      </c>
      <c r="EX3042" s="5" t="s">
        <v>240</v>
      </c>
      <c r="EY3042" s="5" t="s">
        <v>240</v>
      </c>
      <c r="EZ3042" s="5" t="s">
        <v>240</v>
      </c>
      <c r="FA3042" s="5" t="s">
        <v>240</v>
      </c>
      <c r="FB3042" s="5" t="s">
        <v>240</v>
      </c>
      <c r="FC3042" s="5" t="s">
        <v>240</v>
      </c>
      <c r="FD3042" s="5" t="s">
        <v>240</v>
      </c>
      <c r="FE3042" s="5" t="s">
        <v>240</v>
      </c>
      <c r="FF3042" s="5" t="s">
        <v>240</v>
      </c>
      <c r="FG3042" s="5" t="s">
        <v>240</v>
      </c>
      <c r="FH3042" s="5" t="s">
        <v>240</v>
      </c>
      <c r="FI3042" s="5" t="s">
        <v>240</v>
      </c>
      <c r="FJ3042" s="5" t="s">
        <v>240</v>
      </c>
      <c r="FK3042" s="5" t="s">
        <v>240</v>
      </c>
      <c r="FL3042" s="5" t="s">
        <v>240</v>
      </c>
      <c r="FM3042" s="5" t="s">
        <v>240</v>
      </c>
      <c r="FN3042" s="5" t="s">
        <v>240</v>
      </c>
      <c r="FO3042" s="5" t="s">
        <v>240</v>
      </c>
      <c r="FP3042" s="5" t="s">
        <v>240</v>
      </c>
      <c r="FQ3042" s="5" t="s">
        <v>240</v>
      </c>
      <c r="FR3042" s="5" t="s">
        <v>240</v>
      </c>
      <c r="FS3042" s="5" t="s">
        <v>240</v>
      </c>
      <c r="FT3042" s="5" t="s">
        <v>240</v>
      </c>
      <c r="FU3042" s="5" t="s">
        <v>240</v>
      </c>
      <c r="FV3042" s="5" t="s">
        <v>240</v>
      </c>
      <c r="FW3042" s="5" t="s">
        <v>240</v>
      </c>
      <c r="FX3042" s="5" t="s">
        <v>240</v>
      </c>
      <c r="FY3042" s="5" t="s">
        <v>240</v>
      </c>
      <c r="FZ3042" s="5" t="s">
        <v>240</v>
      </c>
      <c r="GA3042" s="5" t="s">
        <v>240</v>
      </c>
      <c r="GB3042" s="5" t="s">
        <v>240</v>
      </c>
      <c r="GC3042" s="5" t="s">
        <v>240</v>
      </c>
      <c r="GD3042" s="5" t="s">
        <v>240</v>
      </c>
      <c r="GE3042" s="5" t="s">
        <v>240</v>
      </c>
      <c r="GF3042" s="5" t="s">
        <v>240</v>
      </c>
      <c r="GG3042" s="5" t="s">
        <v>240</v>
      </c>
      <c r="GH3042" s="5" t="s">
        <v>240</v>
      </c>
      <c r="GI3042" s="5" t="s">
        <v>240</v>
      </c>
      <c r="GJ3042" s="5" t="s">
        <v>240</v>
      </c>
      <c r="GK3042" s="5" t="s">
        <v>240</v>
      </c>
      <c r="GL3042" s="5" t="s">
        <v>240</v>
      </c>
      <c r="GM3042" s="5" t="s">
        <v>240</v>
      </c>
      <c r="GN3042" s="5" t="s">
        <v>240</v>
      </c>
      <c r="GO3042" s="5" t="s">
        <v>240</v>
      </c>
      <c r="GP3042" s="5" t="s">
        <v>240</v>
      </c>
      <c r="GQ3042" s="5" t="s">
        <v>240</v>
      </c>
      <c r="GR3042" s="5" t="s">
        <v>240</v>
      </c>
      <c r="GS3042" s="5" t="s">
        <v>240</v>
      </c>
      <c r="GT3042" s="5" t="s">
        <v>240</v>
      </c>
      <c r="GU3042" s="5" t="s">
        <v>240</v>
      </c>
      <c r="GV3042" s="5" t="s">
        <v>240</v>
      </c>
      <c r="GW3042" s="5" t="s">
        <v>240</v>
      </c>
      <c r="GX3042" s="5" t="s">
        <v>240</v>
      </c>
      <c r="GY3042" s="5" t="s">
        <v>240</v>
      </c>
      <c r="GZ3042" s="5" t="s">
        <v>240</v>
      </c>
      <c r="HA3042" s="5" t="s">
        <v>240</v>
      </c>
      <c r="HB3042" s="5" t="s">
        <v>240</v>
      </c>
      <c r="HC3042" s="5" t="s">
        <v>240</v>
      </c>
      <c r="HD3042" s="5" t="s">
        <v>240</v>
      </c>
      <c r="HE3042" s="5" t="s">
        <v>240</v>
      </c>
      <c r="HF3042" s="5" t="s">
        <v>240</v>
      </c>
      <c r="HG3042" s="5" t="s">
        <v>240</v>
      </c>
      <c r="HH3042" s="5" t="s">
        <v>240</v>
      </c>
      <c r="HI3042" s="5" t="s">
        <v>240</v>
      </c>
      <c r="HJ3042" s="5" t="s">
        <v>240</v>
      </c>
      <c r="HK3042" s="5" t="s">
        <v>240</v>
      </c>
      <c r="HL3042" s="5" t="s">
        <v>240</v>
      </c>
      <c r="HM3042" s="5" t="s">
        <v>240</v>
      </c>
      <c r="HN3042" s="5" t="s">
        <v>240</v>
      </c>
      <c r="HO3042" s="5" t="s">
        <v>312</v>
      </c>
      <c r="HP3042" s="5" t="s">
        <v>240</v>
      </c>
      <c r="HQ3042" s="5" t="s">
        <v>240</v>
      </c>
      <c r="HR3042" s="5" t="s">
        <v>240</v>
      </c>
      <c r="HS3042" s="5" t="s">
        <v>240</v>
      </c>
      <c r="HT3042" s="5" t="s">
        <v>240</v>
      </c>
      <c r="HU3042" s="5" t="s">
        <v>240</v>
      </c>
      <c r="HV3042" s="5" t="s">
        <v>240</v>
      </c>
      <c r="HW3042" s="5" t="s">
        <v>240</v>
      </c>
      <c r="HX3042" s="5" t="s">
        <v>240</v>
      </c>
      <c r="HY3042" s="5" t="s">
        <v>240</v>
      </c>
      <c r="HZ3042" s="5" t="s">
        <v>240</v>
      </c>
      <c r="IA3042" s="5" t="s">
        <v>240</v>
      </c>
      <c r="IB3042" s="5" t="s">
        <v>240</v>
      </c>
      <c r="IC3042" s="5" t="s">
        <v>240</v>
      </c>
      <c r="ID3042" s="5" t="s">
        <v>240</v>
      </c>
      <c r="IE3042" s="5" t="s">
        <v>240</v>
      </c>
      <c r="IF3042" s="5" t="s">
        <v>240</v>
      </c>
    </row>
    <row r="3043" spans="1:240" x14ac:dyDescent="0.4">
      <c r="A3043" s="5">
        <v>4747</v>
      </c>
      <c r="B3043" s="5">
        <v>1</v>
      </c>
      <c r="C3043" s="5">
        <v>1</v>
      </c>
      <c r="D3043" s="5" t="s">
        <v>810</v>
      </c>
      <c r="E3043" s="5" t="s">
        <v>245</v>
      </c>
      <c r="F3043" s="5" t="s">
        <v>254</v>
      </c>
      <c r="G3043" s="5" t="s">
        <v>240</v>
      </c>
      <c r="H3043" s="6" t="s">
        <v>2459</v>
      </c>
      <c r="I3043" s="5" t="s">
        <v>809</v>
      </c>
      <c r="J3043" s="8">
        <f>119</f>
        <v>119</v>
      </c>
      <c r="K3043" s="5" t="s">
        <v>308</v>
      </c>
      <c r="L3043" s="7">
        <f>1</f>
        <v>1</v>
      </c>
      <c r="M3043" s="7">
        <f>1</f>
        <v>1</v>
      </c>
      <c r="N3043" s="5" t="s">
        <v>242</v>
      </c>
      <c r="O3043" s="5">
        <v>1</v>
      </c>
      <c r="P3043" s="5" t="s">
        <v>294</v>
      </c>
      <c r="Q3043" s="5" t="s">
        <v>3678</v>
      </c>
      <c r="R3043" s="5" t="s">
        <v>240</v>
      </c>
      <c r="S3043" s="5" t="s">
        <v>240</v>
      </c>
      <c r="T3043" s="5" t="s">
        <v>243</v>
      </c>
      <c r="U3043" s="5" t="s">
        <v>244</v>
      </c>
      <c r="V3043" s="5" t="s">
        <v>240</v>
      </c>
      <c r="W3043" s="5" t="s">
        <v>240</v>
      </c>
      <c r="X3043" s="5" t="s">
        <v>240</v>
      </c>
      <c r="Y3043" s="5" t="s">
        <v>240</v>
      </c>
      <c r="Z3043" s="6" t="s">
        <v>298</v>
      </c>
      <c r="AA3043" s="6" t="s">
        <v>240</v>
      </c>
      <c r="AB3043" s="6" t="s">
        <v>240</v>
      </c>
      <c r="AC3043" s="5" t="s">
        <v>240</v>
      </c>
      <c r="AD3043" s="6" t="s">
        <v>240</v>
      </c>
      <c r="AE3043" s="6" t="s">
        <v>299</v>
      </c>
      <c r="AF3043" s="5" t="s">
        <v>248</v>
      </c>
      <c r="AG3043" s="5" t="s">
        <v>249</v>
      </c>
      <c r="AH3043" s="5" t="s">
        <v>240</v>
      </c>
      <c r="AI3043" s="5" t="s">
        <v>240</v>
      </c>
      <c r="AJ3043" s="5" t="s">
        <v>240</v>
      </c>
      <c r="AK3043" s="5" t="s">
        <v>240</v>
      </c>
      <c r="AL3043" s="5" t="s">
        <v>240</v>
      </c>
      <c r="AM3043" s="5" t="s">
        <v>240</v>
      </c>
      <c r="AN3043" s="5" t="s">
        <v>240</v>
      </c>
      <c r="AO3043" s="5" t="s">
        <v>240</v>
      </c>
      <c r="AP3043" s="6" t="s">
        <v>240</v>
      </c>
      <c r="AQ3043" s="6" t="s">
        <v>240</v>
      </c>
      <c r="AR3043" s="6" t="s">
        <v>240</v>
      </c>
      <c r="AS3043" s="6" t="s">
        <v>240</v>
      </c>
      <c r="AT3043" s="5" t="s">
        <v>240</v>
      </c>
      <c r="AU3043" s="5" t="s">
        <v>729</v>
      </c>
      <c r="AV3043" s="5" t="s">
        <v>729</v>
      </c>
      <c r="AW3043" s="5" t="s">
        <v>251</v>
      </c>
      <c r="AX3043" s="5" t="s">
        <v>252</v>
      </c>
      <c r="AY3043" s="5" t="s">
        <v>253</v>
      </c>
      <c r="AZ3043" s="5" t="s">
        <v>240</v>
      </c>
      <c r="BA3043" s="5" t="s">
        <v>255</v>
      </c>
      <c r="BB3043" s="5" t="s">
        <v>731</v>
      </c>
      <c r="BD3043" s="5" t="s">
        <v>240</v>
      </c>
      <c r="BF3043" s="5" t="s">
        <v>732</v>
      </c>
      <c r="BG3043" s="6" t="s">
        <v>733</v>
      </c>
      <c r="BH3043" s="5" t="s">
        <v>734</v>
      </c>
      <c r="BI3043" s="5" t="s">
        <v>734</v>
      </c>
      <c r="BJ3043" s="5" t="s">
        <v>240</v>
      </c>
      <c r="BK3043" s="7">
        <f>1</f>
        <v>1</v>
      </c>
      <c r="BL3043" s="7">
        <f>1</f>
        <v>1</v>
      </c>
      <c r="BM3043" s="5" t="s">
        <v>258</v>
      </c>
      <c r="BN3043" s="5" t="s">
        <v>259</v>
      </c>
      <c r="BO3043" s="5" t="s">
        <v>240</v>
      </c>
      <c r="BP3043" s="5" t="s">
        <v>240</v>
      </c>
      <c r="BQ3043" s="5" t="s">
        <v>240</v>
      </c>
      <c r="BR3043" s="5" t="s">
        <v>240</v>
      </c>
      <c r="BS3043" s="5" t="s">
        <v>240</v>
      </c>
      <c r="BT3043" s="5" t="s">
        <v>240</v>
      </c>
      <c r="BU3043" s="5" t="s">
        <v>240</v>
      </c>
      <c r="BV3043" s="5" t="s">
        <v>240</v>
      </c>
      <c r="BW3043" s="6" t="s">
        <v>240</v>
      </c>
      <c r="BX3043" s="5" t="s">
        <v>240</v>
      </c>
      <c r="BY3043" s="5" t="s">
        <v>240</v>
      </c>
      <c r="BZ3043" s="5" t="s">
        <v>240</v>
      </c>
      <c r="CA3043" s="5" t="s">
        <v>259</v>
      </c>
      <c r="CB3043" s="5" t="s">
        <v>240</v>
      </c>
      <c r="CC3043" s="5" t="s">
        <v>240</v>
      </c>
      <c r="CD3043" s="5" t="s">
        <v>240</v>
      </c>
      <c r="CE3043" s="5" t="s">
        <v>240</v>
      </c>
      <c r="CF3043" s="5" t="s">
        <v>240</v>
      </c>
      <c r="CG3043" s="5" t="s">
        <v>304</v>
      </c>
      <c r="CH3043" s="5" t="s">
        <v>305</v>
      </c>
      <c r="CI3043" s="5" t="s">
        <v>240</v>
      </c>
      <c r="CK3043" s="5" t="s">
        <v>3681</v>
      </c>
      <c r="CL3043" s="6" t="s">
        <v>261</v>
      </c>
      <c r="CM3043" s="5" t="s">
        <v>262</v>
      </c>
      <c r="CN3043" s="5" t="s">
        <v>263</v>
      </c>
      <c r="CO3043" s="5" t="s">
        <v>264</v>
      </c>
      <c r="CP3043" s="5" t="s">
        <v>240</v>
      </c>
      <c r="CQ3043" s="5">
        <v>0</v>
      </c>
      <c r="CR3043" s="5" t="s">
        <v>735</v>
      </c>
      <c r="CS3043" s="5" t="s">
        <v>307</v>
      </c>
      <c r="CT3043" s="5" t="s">
        <v>307</v>
      </c>
      <c r="CU3043" s="5" t="s">
        <v>260</v>
      </c>
      <c r="CV3043" s="5" t="s">
        <v>612</v>
      </c>
      <c r="CW3043" s="8">
        <f>1</f>
        <v>1</v>
      </c>
      <c r="CX3043" s="7">
        <f>1</f>
        <v>1</v>
      </c>
      <c r="CY3043" s="7">
        <f>0</f>
        <v>0</v>
      </c>
      <c r="DA3043" s="7">
        <f>1</f>
        <v>1</v>
      </c>
      <c r="DB3043" s="7" t="s">
        <v>240</v>
      </c>
      <c r="DC3043" s="5" t="s">
        <v>240</v>
      </c>
      <c r="DD3043" s="5" t="s">
        <v>240</v>
      </c>
      <c r="DE3043" s="5" t="s">
        <v>240</v>
      </c>
      <c r="DF3043" s="5" t="s">
        <v>240</v>
      </c>
      <c r="DG3043" s="7">
        <f>0</f>
        <v>0</v>
      </c>
      <c r="DI3043" s="5" t="s">
        <v>240</v>
      </c>
      <c r="DJ3043" s="5" t="s">
        <v>240</v>
      </c>
      <c r="DK3043" s="5" t="s">
        <v>240</v>
      </c>
      <c r="DL3043" s="5" t="s">
        <v>240</v>
      </c>
      <c r="DM3043" s="5" t="s">
        <v>240</v>
      </c>
      <c r="DN3043" s="5" t="s">
        <v>240</v>
      </c>
      <c r="DO3043" s="7" t="s">
        <v>240</v>
      </c>
      <c r="DP3043" s="5" t="s">
        <v>240</v>
      </c>
      <c r="DQ3043" s="5" t="s">
        <v>240</v>
      </c>
      <c r="DR3043" s="5" t="s">
        <v>731</v>
      </c>
      <c r="DS3043" s="5" t="s">
        <v>731</v>
      </c>
      <c r="DT3043" s="5" t="s">
        <v>240</v>
      </c>
      <c r="DU3043" s="5" t="s">
        <v>240</v>
      </c>
      <c r="DV3043" s="5" t="s">
        <v>3683</v>
      </c>
      <c r="DW3043" s="5" t="s">
        <v>1084</v>
      </c>
      <c r="DX3043" s="5" t="s">
        <v>240</v>
      </c>
      <c r="DY3043" s="5" t="s">
        <v>240</v>
      </c>
      <c r="DZ3043" s="5" t="s">
        <v>240</v>
      </c>
      <c r="EA3043" s="5" t="s">
        <v>240</v>
      </c>
      <c r="EB3043" s="5" t="s">
        <v>240</v>
      </c>
      <c r="EC3043" s="5" t="s">
        <v>240</v>
      </c>
      <c r="ED3043" s="5" t="s">
        <v>240</v>
      </c>
      <c r="EE3043" s="5" t="s">
        <v>240</v>
      </c>
      <c r="EF3043" s="5" t="s">
        <v>240</v>
      </c>
      <c r="EG3043" s="5" t="s">
        <v>240</v>
      </c>
      <c r="EH3043" s="5" t="s">
        <v>240</v>
      </c>
      <c r="EI3043" s="5" t="s">
        <v>240</v>
      </c>
      <c r="EJ3043" s="5" t="s">
        <v>240</v>
      </c>
      <c r="EK3043" s="5" t="s">
        <v>240</v>
      </c>
      <c r="EL3043" s="5" t="s">
        <v>240</v>
      </c>
      <c r="EM3043" s="5" t="s">
        <v>240</v>
      </c>
      <c r="EN3043" s="5" t="s">
        <v>240</v>
      </c>
      <c r="EO3043" s="5" t="s">
        <v>240</v>
      </c>
      <c r="EP3043" s="5" t="s">
        <v>240</v>
      </c>
      <c r="EQ3043" s="5" t="s">
        <v>240</v>
      </c>
      <c r="ER3043" s="5" t="s">
        <v>240</v>
      </c>
      <c r="ES3043" s="5" t="s">
        <v>240</v>
      </c>
      <c r="ET3043" s="5" t="s">
        <v>240</v>
      </c>
      <c r="EU3043" s="5" t="s">
        <v>240</v>
      </c>
      <c r="EV3043" s="5" t="s">
        <v>240</v>
      </c>
      <c r="EW3043" s="5" t="s">
        <v>240</v>
      </c>
      <c r="EX3043" s="5" t="s">
        <v>240</v>
      </c>
      <c r="EY3043" s="5" t="s">
        <v>240</v>
      </c>
      <c r="EZ3043" s="5" t="s">
        <v>240</v>
      </c>
      <c r="FA3043" s="5" t="s">
        <v>240</v>
      </c>
      <c r="FB3043" s="5" t="s">
        <v>240</v>
      </c>
      <c r="FC3043" s="5" t="s">
        <v>240</v>
      </c>
      <c r="FD3043" s="5" t="s">
        <v>240</v>
      </c>
      <c r="FE3043" s="5" t="s">
        <v>240</v>
      </c>
      <c r="FF3043" s="5" t="s">
        <v>240</v>
      </c>
      <c r="FG3043" s="5" t="s">
        <v>240</v>
      </c>
      <c r="FH3043" s="5" t="s">
        <v>240</v>
      </c>
      <c r="FI3043" s="5" t="s">
        <v>240</v>
      </c>
      <c r="FJ3043" s="5" t="s">
        <v>240</v>
      </c>
      <c r="FK3043" s="5" t="s">
        <v>240</v>
      </c>
      <c r="FL3043" s="5" t="s">
        <v>240</v>
      </c>
      <c r="FM3043" s="5" t="s">
        <v>240</v>
      </c>
      <c r="FN3043" s="5" t="s">
        <v>240</v>
      </c>
      <c r="FO3043" s="5" t="s">
        <v>240</v>
      </c>
      <c r="FP3043" s="5" t="s">
        <v>240</v>
      </c>
      <c r="FQ3043" s="5" t="s">
        <v>240</v>
      </c>
      <c r="FR3043" s="5" t="s">
        <v>240</v>
      </c>
      <c r="FS3043" s="5" t="s">
        <v>240</v>
      </c>
      <c r="FT3043" s="5" t="s">
        <v>240</v>
      </c>
      <c r="FU3043" s="5" t="s">
        <v>240</v>
      </c>
      <c r="FV3043" s="5" t="s">
        <v>240</v>
      </c>
      <c r="FW3043" s="5" t="s">
        <v>240</v>
      </c>
      <c r="FX3043" s="5" t="s">
        <v>240</v>
      </c>
      <c r="FY3043" s="5" t="s">
        <v>240</v>
      </c>
      <c r="FZ3043" s="5" t="s">
        <v>240</v>
      </c>
      <c r="GA3043" s="5" t="s">
        <v>240</v>
      </c>
      <c r="GB3043" s="5" t="s">
        <v>240</v>
      </c>
      <c r="GC3043" s="5" t="s">
        <v>240</v>
      </c>
      <c r="GD3043" s="5" t="s">
        <v>240</v>
      </c>
      <c r="GE3043" s="5" t="s">
        <v>240</v>
      </c>
      <c r="GF3043" s="5" t="s">
        <v>240</v>
      </c>
      <c r="GG3043" s="5" t="s">
        <v>240</v>
      </c>
      <c r="GH3043" s="5" t="s">
        <v>240</v>
      </c>
      <c r="GI3043" s="5" t="s">
        <v>240</v>
      </c>
      <c r="GJ3043" s="5" t="s">
        <v>240</v>
      </c>
      <c r="GK3043" s="5" t="s">
        <v>240</v>
      </c>
      <c r="GL3043" s="5" t="s">
        <v>240</v>
      </c>
      <c r="GM3043" s="5" t="s">
        <v>240</v>
      </c>
      <c r="GN3043" s="5" t="s">
        <v>240</v>
      </c>
      <c r="GO3043" s="5" t="s">
        <v>240</v>
      </c>
      <c r="GP3043" s="5" t="s">
        <v>240</v>
      </c>
      <c r="GQ3043" s="5" t="s">
        <v>240</v>
      </c>
      <c r="GR3043" s="5" t="s">
        <v>240</v>
      </c>
      <c r="GS3043" s="5" t="s">
        <v>240</v>
      </c>
      <c r="GT3043" s="5" t="s">
        <v>240</v>
      </c>
      <c r="GU3043" s="5" t="s">
        <v>240</v>
      </c>
      <c r="GV3043" s="5" t="s">
        <v>240</v>
      </c>
      <c r="GW3043" s="5" t="s">
        <v>240</v>
      </c>
      <c r="GX3043" s="5" t="s">
        <v>240</v>
      </c>
      <c r="GY3043" s="5" t="s">
        <v>240</v>
      </c>
      <c r="GZ3043" s="5" t="s">
        <v>240</v>
      </c>
      <c r="HA3043" s="5" t="s">
        <v>240</v>
      </c>
      <c r="HB3043" s="5" t="s">
        <v>240</v>
      </c>
      <c r="HC3043" s="5" t="s">
        <v>240</v>
      </c>
      <c r="HD3043" s="5" t="s">
        <v>240</v>
      </c>
      <c r="HE3043" s="5" t="s">
        <v>240</v>
      </c>
      <c r="HF3043" s="5" t="s">
        <v>240</v>
      </c>
      <c r="HG3043" s="5" t="s">
        <v>240</v>
      </c>
      <c r="HH3043" s="5" t="s">
        <v>240</v>
      </c>
      <c r="HI3043" s="5" t="s">
        <v>240</v>
      </c>
      <c r="HJ3043" s="5" t="s">
        <v>240</v>
      </c>
      <c r="HK3043" s="5" t="s">
        <v>240</v>
      </c>
      <c r="HL3043" s="5" t="s">
        <v>240</v>
      </c>
      <c r="HM3043" s="5" t="s">
        <v>240</v>
      </c>
      <c r="HN3043" s="5" t="s">
        <v>240</v>
      </c>
      <c r="HO3043" s="5" t="s">
        <v>312</v>
      </c>
      <c r="HP3043" s="5" t="s">
        <v>240</v>
      </c>
      <c r="HQ3043" s="5" t="s">
        <v>240</v>
      </c>
      <c r="HR3043" s="5" t="s">
        <v>240</v>
      </c>
      <c r="HS3043" s="5" t="s">
        <v>240</v>
      </c>
      <c r="HT3043" s="5" t="s">
        <v>240</v>
      </c>
      <c r="HU3043" s="5" t="s">
        <v>240</v>
      </c>
      <c r="HV3043" s="5" t="s">
        <v>240</v>
      </c>
      <c r="HW3043" s="5" t="s">
        <v>240</v>
      </c>
      <c r="HX3043" s="5" t="s">
        <v>240</v>
      </c>
      <c r="HY3043" s="5" t="s">
        <v>240</v>
      </c>
      <c r="HZ3043" s="5" t="s">
        <v>240</v>
      </c>
      <c r="IA3043" s="5" t="s">
        <v>240</v>
      </c>
      <c r="IB3043" s="5" t="s">
        <v>240</v>
      </c>
      <c r="IC3043" s="5" t="s">
        <v>240</v>
      </c>
      <c r="ID3043" s="5" t="s">
        <v>240</v>
      </c>
      <c r="IE3043" s="5" t="s">
        <v>240</v>
      </c>
      <c r="IF3043" s="5" t="s">
        <v>240</v>
      </c>
    </row>
    <row r="3044" spans="1:240" x14ac:dyDescent="0.4">
      <c r="A3044" s="5">
        <v>4748</v>
      </c>
      <c r="B3044" s="5">
        <v>1</v>
      </c>
      <c r="C3044" s="5">
        <v>1</v>
      </c>
      <c r="D3044" s="5" t="s">
        <v>810</v>
      </c>
      <c r="E3044" s="5" t="s">
        <v>245</v>
      </c>
      <c r="F3044" s="5" t="s">
        <v>254</v>
      </c>
      <c r="G3044" s="5" t="s">
        <v>240</v>
      </c>
      <c r="H3044" s="6" t="s">
        <v>2457</v>
      </c>
      <c r="I3044" s="5" t="s">
        <v>809</v>
      </c>
      <c r="J3044" s="8">
        <f>176</f>
        <v>176</v>
      </c>
      <c r="K3044" s="5" t="s">
        <v>308</v>
      </c>
      <c r="L3044" s="7">
        <f>1</f>
        <v>1</v>
      </c>
      <c r="M3044" s="7">
        <f>1</f>
        <v>1</v>
      </c>
      <c r="N3044" s="5" t="s">
        <v>242</v>
      </c>
      <c r="O3044" s="5">
        <v>1</v>
      </c>
      <c r="P3044" s="5" t="s">
        <v>294</v>
      </c>
      <c r="Q3044" s="5" t="s">
        <v>3678</v>
      </c>
      <c r="R3044" s="5" t="s">
        <v>240</v>
      </c>
      <c r="S3044" s="5" t="s">
        <v>240</v>
      </c>
      <c r="T3044" s="5" t="s">
        <v>243</v>
      </c>
      <c r="U3044" s="5" t="s">
        <v>244</v>
      </c>
      <c r="V3044" s="5" t="s">
        <v>240</v>
      </c>
      <c r="W3044" s="5" t="s">
        <v>240</v>
      </c>
      <c r="X3044" s="5" t="s">
        <v>240</v>
      </c>
      <c r="Y3044" s="5" t="s">
        <v>240</v>
      </c>
      <c r="Z3044" s="6" t="s">
        <v>298</v>
      </c>
      <c r="AA3044" s="6" t="s">
        <v>240</v>
      </c>
      <c r="AB3044" s="6" t="s">
        <v>240</v>
      </c>
      <c r="AC3044" s="5" t="s">
        <v>240</v>
      </c>
      <c r="AD3044" s="6" t="s">
        <v>240</v>
      </c>
      <c r="AE3044" s="6" t="s">
        <v>299</v>
      </c>
      <c r="AF3044" s="5" t="s">
        <v>248</v>
      </c>
      <c r="AG3044" s="5" t="s">
        <v>249</v>
      </c>
      <c r="AH3044" s="5" t="s">
        <v>240</v>
      </c>
      <c r="AI3044" s="5" t="s">
        <v>240</v>
      </c>
      <c r="AJ3044" s="5" t="s">
        <v>240</v>
      </c>
      <c r="AK3044" s="5" t="s">
        <v>240</v>
      </c>
      <c r="AL3044" s="5" t="s">
        <v>240</v>
      </c>
      <c r="AM3044" s="5" t="s">
        <v>240</v>
      </c>
      <c r="AN3044" s="5" t="s">
        <v>240</v>
      </c>
      <c r="AO3044" s="5" t="s">
        <v>240</v>
      </c>
      <c r="AP3044" s="6" t="s">
        <v>240</v>
      </c>
      <c r="AQ3044" s="6" t="s">
        <v>240</v>
      </c>
      <c r="AR3044" s="6" t="s">
        <v>240</v>
      </c>
      <c r="AS3044" s="6" t="s">
        <v>240</v>
      </c>
      <c r="AT3044" s="5" t="s">
        <v>240</v>
      </c>
      <c r="AU3044" s="5" t="s">
        <v>729</v>
      </c>
      <c r="AV3044" s="5" t="s">
        <v>729</v>
      </c>
      <c r="AW3044" s="5" t="s">
        <v>251</v>
      </c>
      <c r="AX3044" s="5" t="s">
        <v>252</v>
      </c>
      <c r="AY3044" s="5" t="s">
        <v>253</v>
      </c>
      <c r="AZ3044" s="5" t="s">
        <v>240</v>
      </c>
      <c r="BA3044" s="5" t="s">
        <v>255</v>
      </c>
      <c r="BB3044" s="5" t="s">
        <v>731</v>
      </c>
      <c r="BD3044" s="5" t="s">
        <v>240</v>
      </c>
      <c r="BF3044" s="5" t="s">
        <v>732</v>
      </c>
      <c r="BG3044" s="6" t="s">
        <v>733</v>
      </c>
      <c r="BH3044" s="5" t="s">
        <v>734</v>
      </c>
      <c r="BI3044" s="5" t="s">
        <v>734</v>
      </c>
      <c r="BJ3044" s="5" t="s">
        <v>240</v>
      </c>
      <c r="BK3044" s="7">
        <f>1</f>
        <v>1</v>
      </c>
      <c r="BL3044" s="7">
        <f>1</f>
        <v>1</v>
      </c>
      <c r="BM3044" s="5" t="s">
        <v>258</v>
      </c>
      <c r="BN3044" s="5" t="s">
        <v>259</v>
      </c>
      <c r="BO3044" s="5" t="s">
        <v>240</v>
      </c>
      <c r="BP3044" s="5" t="s">
        <v>240</v>
      </c>
      <c r="BQ3044" s="5" t="s">
        <v>240</v>
      </c>
      <c r="BR3044" s="5" t="s">
        <v>240</v>
      </c>
      <c r="BS3044" s="5" t="s">
        <v>240</v>
      </c>
      <c r="BT3044" s="5" t="s">
        <v>240</v>
      </c>
      <c r="BU3044" s="5" t="s">
        <v>240</v>
      </c>
      <c r="BV3044" s="5" t="s">
        <v>240</v>
      </c>
      <c r="BW3044" s="6" t="s">
        <v>240</v>
      </c>
      <c r="BX3044" s="5" t="s">
        <v>240</v>
      </c>
      <c r="BY3044" s="5" t="s">
        <v>240</v>
      </c>
      <c r="BZ3044" s="5" t="s">
        <v>240</v>
      </c>
      <c r="CA3044" s="5" t="s">
        <v>259</v>
      </c>
      <c r="CB3044" s="5" t="s">
        <v>240</v>
      </c>
      <c r="CC3044" s="5" t="s">
        <v>240</v>
      </c>
      <c r="CD3044" s="5" t="s">
        <v>240</v>
      </c>
      <c r="CE3044" s="5" t="s">
        <v>240</v>
      </c>
      <c r="CF3044" s="5" t="s">
        <v>240</v>
      </c>
      <c r="CG3044" s="5" t="s">
        <v>304</v>
      </c>
      <c r="CH3044" s="5" t="s">
        <v>305</v>
      </c>
      <c r="CI3044" s="5" t="s">
        <v>240</v>
      </c>
      <c r="CK3044" s="5" t="s">
        <v>3681</v>
      </c>
      <c r="CL3044" s="6" t="s">
        <v>261</v>
      </c>
      <c r="CM3044" s="5" t="s">
        <v>262</v>
      </c>
      <c r="CN3044" s="5" t="s">
        <v>263</v>
      </c>
      <c r="CO3044" s="5" t="s">
        <v>264</v>
      </c>
      <c r="CP3044" s="5" t="s">
        <v>240</v>
      </c>
      <c r="CQ3044" s="5">
        <v>0</v>
      </c>
      <c r="CR3044" s="5" t="s">
        <v>735</v>
      </c>
      <c r="CS3044" s="5" t="s">
        <v>307</v>
      </c>
      <c r="CT3044" s="5" t="s">
        <v>307</v>
      </c>
      <c r="CU3044" s="5" t="s">
        <v>260</v>
      </c>
      <c r="CV3044" s="5" t="s">
        <v>612</v>
      </c>
      <c r="CW3044" s="8">
        <f>1</f>
        <v>1</v>
      </c>
      <c r="CX3044" s="7">
        <f>1</f>
        <v>1</v>
      </c>
      <c r="CY3044" s="7">
        <f>0</f>
        <v>0</v>
      </c>
      <c r="DA3044" s="7">
        <f>1</f>
        <v>1</v>
      </c>
      <c r="DB3044" s="7" t="s">
        <v>240</v>
      </c>
      <c r="DC3044" s="5" t="s">
        <v>240</v>
      </c>
      <c r="DD3044" s="5" t="s">
        <v>240</v>
      </c>
      <c r="DE3044" s="5" t="s">
        <v>240</v>
      </c>
      <c r="DF3044" s="5" t="s">
        <v>240</v>
      </c>
      <c r="DG3044" s="7">
        <f>0</f>
        <v>0</v>
      </c>
      <c r="DI3044" s="5" t="s">
        <v>240</v>
      </c>
      <c r="DJ3044" s="5" t="s">
        <v>240</v>
      </c>
      <c r="DK3044" s="5" t="s">
        <v>240</v>
      </c>
      <c r="DL3044" s="5" t="s">
        <v>240</v>
      </c>
      <c r="DM3044" s="5" t="s">
        <v>240</v>
      </c>
      <c r="DN3044" s="5" t="s">
        <v>240</v>
      </c>
      <c r="DO3044" s="7" t="s">
        <v>240</v>
      </c>
      <c r="DP3044" s="5" t="s">
        <v>240</v>
      </c>
      <c r="DQ3044" s="5" t="s">
        <v>240</v>
      </c>
      <c r="DR3044" s="5" t="s">
        <v>731</v>
      </c>
      <c r="DS3044" s="5" t="s">
        <v>731</v>
      </c>
      <c r="DT3044" s="5" t="s">
        <v>240</v>
      </c>
      <c r="DU3044" s="5" t="s">
        <v>240</v>
      </c>
      <c r="DV3044" s="5" t="s">
        <v>3683</v>
      </c>
      <c r="DW3044" s="5" t="s">
        <v>1092</v>
      </c>
      <c r="DX3044" s="5" t="s">
        <v>240</v>
      </c>
      <c r="DY3044" s="5" t="s">
        <v>240</v>
      </c>
      <c r="DZ3044" s="5" t="s">
        <v>240</v>
      </c>
      <c r="EA3044" s="5" t="s">
        <v>240</v>
      </c>
      <c r="EB3044" s="5" t="s">
        <v>240</v>
      </c>
      <c r="EC3044" s="5" t="s">
        <v>240</v>
      </c>
      <c r="ED3044" s="5" t="s">
        <v>240</v>
      </c>
      <c r="EE3044" s="5" t="s">
        <v>240</v>
      </c>
      <c r="EF3044" s="5" t="s">
        <v>240</v>
      </c>
      <c r="EG3044" s="5" t="s">
        <v>240</v>
      </c>
      <c r="EH3044" s="5" t="s">
        <v>240</v>
      </c>
      <c r="EI3044" s="5" t="s">
        <v>240</v>
      </c>
      <c r="EJ3044" s="5" t="s">
        <v>240</v>
      </c>
      <c r="EK3044" s="5" t="s">
        <v>240</v>
      </c>
      <c r="EL3044" s="5" t="s">
        <v>240</v>
      </c>
      <c r="EM3044" s="5" t="s">
        <v>240</v>
      </c>
      <c r="EN3044" s="5" t="s">
        <v>240</v>
      </c>
      <c r="EO3044" s="5" t="s">
        <v>240</v>
      </c>
      <c r="EP3044" s="5" t="s">
        <v>240</v>
      </c>
      <c r="EQ3044" s="5" t="s">
        <v>240</v>
      </c>
      <c r="ER3044" s="5" t="s">
        <v>240</v>
      </c>
      <c r="ES3044" s="5" t="s">
        <v>240</v>
      </c>
      <c r="ET3044" s="5" t="s">
        <v>240</v>
      </c>
      <c r="EU3044" s="5" t="s">
        <v>240</v>
      </c>
      <c r="EV3044" s="5" t="s">
        <v>240</v>
      </c>
      <c r="EW3044" s="5" t="s">
        <v>240</v>
      </c>
      <c r="EX3044" s="5" t="s">
        <v>240</v>
      </c>
      <c r="EY3044" s="5" t="s">
        <v>240</v>
      </c>
      <c r="EZ3044" s="5" t="s">
        <v>240</v>
      </c>
      <c r="FA3044" s="5" t="s">
        <v>240</v>
      </c>
      <c r="FB3044" s="5" t="s">
        <v>240</v>
      </c>
      <c r="FC3044" s="5" t="s">
        <v>240</v>
      </c>
      <c r="FD3044" s="5" t="s">
        <v>240</v>
      </c>
      <c r="FE3044" s="5" t="s">
        <v>240</v>
      </c>
      <c r="FF3044" s="5" t="s">
        <v>240</v>
      </c>
      <c r="FG3044" s="5" t="s">
        <v>240</v>
      </c>
      <c r="FH3044" s="5" t="s">
        <v>240</v>
      </c>
      <c r="FI3044" s="5" t="s">
        <v>240</v>
      </c>
      <c r="FJ3044" s="5" t="s">
        <v>240</v>
      </c>
      <c r="FK3044" s="5" t="s">
        <v>240</v>
      </c>
      <c r="FL3044" s="5" t="s">
        <v>240</v>
      </c>
      <c r="FM3044" s="5" t="s">
        <v>240</v>
      </c>
      <c r="FN3044" s="5" t="s">
        <v>240</v>
      </c>
      <c r="FO3044" s="5" t="s">
        <v>240</v>
      </c>
      <c r="FP3044" s="5" t="s">
        <v>240</v>
      </c>
      <c r="FQ3044" s="5" t="s">
        <v>240</v>
      </c>
      <c r="FR3044" s="5" t="s">
        <v>240</v>
      </c>
      <c r="FS3044" s="5" t="s">
        <v>240</v>
      </c>
      <c r="FT3044" s="5" t="s">
        <v>240</v>
      </c>
      <c r="FU3044" s="5" t="s">
        <v>240</v>
      </c>
      <c r="FV3044" s="5" t="s">
        <v>240</v>
      </c>
      <c r="FW3044" s="5" t="s">
        <v>240</v>
      </c>
      <c r="FX3044" s="5" t="s">
        <v>240</v>
      </c>
      <c r="FY3044" s="5" t="s">
        <v>240</v>
      </c>
      <c r="FZ3044" s="5" t="s">
        <v>240</v>
      </c>
      <c r="GA3044" s="5" t="s">
        <v>240</v>
      </c>
      <c r="GB3044" s="5" t="s">
        <v>240</v>
      </c>
      <c r="GC3044" s="5" t="s">
        <v>240</v>
      </c>
      <c r="GD3044" s="5" t="s">
        <v>240</v>
      </c>
      <c r="GE3044" s="5" t="s">
        <v>240</v>
      </c>
      <c r="GF3044" s="5" t="s">
        <v>240</v>
      </c>
      <c r="GG3044" s="5" t="s">
        <v>240</v>
      </c>
      <c r="GH3044" s="5" t="s">
        <v>240</v>
      </c>
      <c r="GI3044" s="5" t="s">
        <v>240</v>
      </c>
      <c r="GJ3044" s="5" t="s">
        <v>240</v>
      </c>
      <c r="GK3044" s="5" t="s">
        <v>240</v>
      </c>
      <c r="GL3044" s="5" t="s">
        <v>240</v>
      </c>
      <c r="GM3044" s="5" t="s">
        <v>240</v>
      </c>
      <c r="GN3044" s="5" t="s">
        <v>240</v>
      </c>
      <c r="GO3044" s="5" t="s">
        <v>240</v>
      </c>
      <c r="GP3044" s="5" t="s">
        <v>240</v>
      </c>
      <c r="GQ3044" s="5" t="s">
        <v>240</v>
      </c>
      <c r="GR3044" s="5" t="s">
        <v>240</v>
      </c>
      <c r="GS3044" s="5" t="s">
        <v>240</v>
      </c>
      <c r="GT3044" s="5" t="s">
        <v>240</v>
      </c>
      <c r="GU3044" s="5" t="s">
        <v>240</v>
      </c>
      <c r="GV3044" s="5" t="s">
        <v>240</v>
      </c>
      <c r="GW3044" s="5" t="s">
        <v>240</v>
      </c>
      <c r="GX3044" s="5" t="s">
        <v>240</v>
      </c>
      <c r="GY3044" s="5" t="s">
        <v>240</v>
      </c>
      <c r="GZ3044" s="5" t="s">
        <v>240</v>
      </c>
      <c r="HA3044" s="5" t="s">
        <v>240</v>
      </c>
      <c r="HB3044" s="5" t="s">
        <v>240</v>
      </c>
      <c r="HC3044" s="5" t="s">
        <v>240</v>
      </c>
      <c r="HD3044" s="5" t="s">
        <v>240</v>
      </c>
      <c r="HE3044" s="5" t="s">
        <v>240</v>
      </c>
      <c r="HF3044" s="5" t="s">
        <v>240</v>
      </c>
      <c r="HG3044" s="5" t="s">
        <v>240</v>
      </c>
      <c r="HH3044" s="5" t="s">
        <v>240</v>
      </c>
      <c r="HI3044" s="5" t="s">
        <v>240</v>
      </c>
      <c r="HJ3044" s="5" t="s">
        <v>240</v>
      </c>
      <c r="HK3044" s="5" t="s">
        <v>240</v>
      </c>
      <c r="HL3044" s="5" t="s">
        <v>240</v>
      </c>
      <c r="HM3044" s="5" t="s">
        <v>240</v>
      </c>
      <c r="HN3044" s="5" t="s">
        <v>240</v>
      </c>
      <c r="HO3044" s="5" t="s">
        <v>312</v>
      </c>
      <c r="HP3044" s="5" t="s">
        <v>240</v>
      </c>
      <c r="HQ3044" s="5" t="s">
        <v>240</v>
      </c>
      <c r="HR3044" s="5" t="s">
        <v>240</v>
      </c>
      <c r="HS3044" s="5" t="s">
        <v>240</v>
      </c>
      <c r="HT3044" s="5" t="s">
        <v>240</v>
      </c>
      <c r="HU3044" s="5" t="s">
        <v>240</v>
      </c>
      <c r="HV3044" s="5" t="s">
        <v>240</v>
      </c>
      <c r="HW3044" s="5" t="s">
        <v>240</v>
      </c>
      <c r="HX3044" s="5" t="s">
        <v>240</v>
      </c>
      <c r="HY3044" s="5" t="s">
        <v>240</v>
      </c>
      <c r="HZ3044" s="5" t="s">
        <v>240</v>
      </c>
      <c r="IA3044" s="5" t="s">
        <v>240</v>
      </c>
      <c r="IB3044" s="5" t="s">
        <v>240</v>
      </c>
      <c r="IC3044" s="5" t="s">
        <v>240</v>
      </c>
      <c r="ID3044" s="5" t="s">
        <v>240</v>
      </c>
      <c r="IE3044" s="5" t="s">
        <v>240</v>
      </c>
      <c r="IF3044" s="5" t="s">
        <v>240</v>
      </c>
    </row>
    <row r="3045" spans="1:240" x14ac:dyDescent="0.4">
      <c r="A3045" s="5">
        <v>4749</v>
      </c>
      <c r="B3045" s="5">
        <v>1</v>
      </c>
      <c r="C3045" s="5">
        <v>1</v>
      </c>
      <c r="D3045" s="5" t="s">
        <v>810</v>
      </c>
      <c r="E3045" s="5" t="s">
        <v>245</v>
      </c>
      <c r="F3045" s="5" t="s">
        <v>254</v>
      </c>
      <c r="G3045" s="5" t="s">
        <v>240</v>
      </c>
      <c r="H3045" s="6" t="s">
        <v>2455</v>
      </c>
      <c r="I3045" s="5" t="s">
        <v>809</v>
      </c>
      <c r="J3045" s="8">
        <f>385</f>
        <v>385</v>
      </c>
      <c r="K3045" s="5" t="s">
        <v>308</v>
      </c>
      <c r="L3045" s="7">
        <f>1</f>
        <v>1</v>
      </c>
      <c r="M3045" s="7">
        <f>1</f>
        <v>1</v>
      </c>
      <c r="N3045" s="5" t="s">
        <v>242</v>
      </c>
      <c r="O3045" s="5">
        <v>1</v>
      </c>
      <c r="P3045" s="5" t="s">
        <v>294</v>
      </c>
      <c r="Q3045" s="5" t="s">
        <v>3678</v>
      </c>
      <c r="R3045" s="5" t="s">
        <v>240</v>
      </c>
      <c r="S3045" s="5" t="s">
        <v>240</v>
      </c>
      <c r="T3045" s="5" t="s">
        <v>243</v>
      </c>
      <c r="U3045" s="5" t="s">
        <v>244</v>
      </c>
      <c r="V3045" s="5" t="s">
        <v>240</v>
      </c>
      <c r="W3045" s="5" t="s">
        <v>240</v>
      </c>
      <c r="X3045" s="5" t="s">
        <v>240</v>
      </c>
      <c r="Y3045" s="5" t="s">
        <v>240</v>
      </c>
      <c r="Z3045" s="6" t="s">
        <v>298</v>
      </c>
      <c r="AA3045" s="6" t="s">
        <v>240</v>
      </c>
      <c r="AB3045" s="6" t="s">
        <v>240</v>
      </c>
      <c r="AC3045" s="5" t="s">
        <v>240</v>
      </c>
      <c r="AD3045" s="6" t="s">
        <v>240</v>
      </c>
      <c r="AE3045" s="6" t="s">
        <v>299</v>
      </c>
      <c r="AF3045" s="5" t="s">
        <v>248</v>
      </c>
      <c r="AG3045" s="5" t="s">
        <v>249</v>
      </c>
      <c r="AH3045" s="5" t="s">
        <v>240</v>
      </c>
      <c r="AI3045" s="5" t="s">
        <v>240</v>
      </c>
      <c r="AJ3045" s="5" t="s">
        <v>240</v>
      </c>
      <c r="AK3045" s="5" t="s">
        <v>240</v>
      </c>
      <c r="AL3045" s="5" t="s">
        <v>240</v>
      </c>
      <c r="AM3045" s="5" t="s">
        <v>240</v>
      </c>
      <c r="AN3045" s="5" t="s">
        <v>240</v>
      </c>
      <c r="AO3045" s="5" t="s">
        <v>240</v>
      </c>
      <c r="AP3045" s="6" t="s">
        <v>240</v>
      </c>
      <c r="AQ3045" s="6" t="s">
        <v>240</v>
      </c>
      <c r="AR3045" s="6" t="s">
        <v>240</v>
      </c>
      <c r="AS3045" s="6" t="s">
        <v>240</v>
      </c>
      <c r="AT3045" s="5" t="s">
        <v>240</v>
      </c>
      <c r="AU3045" s="5" t="s">
        <v>729</v>
      </c>
      <c r="AV3045" s="5" t="s">
        <v>729</v>
      </c>
      <c r="AW3045" s="5" t="s">
        <v>251</v>
      </c>
      <c r="AX3045" s="5" t="s">
        <v>252</v>
      </c>
      <c r="AY3045" s="5" t="s">
        <v>253</v>
      </c>
      <c r="AZ3045" s="5" t="s">
        <v>240</v>
      </c>
      <c r="BA3045" s="5" t="s">
        <v>255</v>
      </c>
      <c r="BB3045" s="5" t="s">
        <v>731</v>
      </c>
      <c r="BD3045" s="5" t="s">
        <v>240</v>
      </c>
      <c r="BF3045" s="5" t="s">
        <v>732</v>
      </c>
      <c r="BG3045" s="6" t="s">
        <v>733</v>
      </c>
      <c r="BH3045" s="5" t="s">
        <v>734</v>
      </c>
      <c r="BI3045" s="5" t="s">
        <v>734</v>
      </c>
      <c r="BJ3045" s="5" t="s">
        <v>240</v>
      </c>
      <c r="BK3045" s="7">
        <f>1</f>
        <v>1</v>
      </c>
      <c r="BL3045" s="7">
        <f>1</f>
        <v>1</v>
      </c>
      <c r="BM3045" s="5" t="s">
        <v>258</v>
      </c>
      <c r="BN3045" s="5" t="s">
        <v>259</v>
      </c>
      <c r="BO3045" s="5" t="s">
        <v>240</v>
      </c>
      <c r="BP3045" s="5" t="s">
        <v>240</v>
      </c>
      <c r="BQ3045" s="5" t="s">
        <v>240</v>
      </c>
      <c r="BR3045" s="5" t="s">
        <v>240</v>
      </c>
      <c r="BS3045" s="5" t="s">
        <v>240</v>
      </c>
      <c r="BT3045" s="5" t="s">
        <v>240</v>
      </c>
      <c r="BU3045" s="5" t="s">
        <v>240</v>
      </c>
      <c r="BV3045" s="5" t="s">
        <v>240</v>
      </c>
      <c r="BW3045" s="6" t="s">
        <v>240</v>
      </c>
      <c r="BX3045" s="5" t="s">
        <v>240</v>
      </c>
      <c r="BY3045" s="5" t="s">
        <v>240</v>
      </c>
      <c r="BZ3045" s="5" t="s">
        <v>240</v>
      </c>
      <c r="CA3045" s="5" t="s">
        <v>259</v>
      </c>
      <c r="CB3045" s="5" t="s">
        <v>240</v>
      </c>
      <c r="CC3045" s="5" t="s">
        <v>240</v>
      </c>
      <c r="CD3045" s="5" t="s">
        <v>240</v>
      </c>
      <c r="CE3045" s="5" t="s">
        <v>240</v>
      </c>
      <c r="CF3045" s="5" t="s">
        <v>240</v>
      </c>
      <c r="CG3045" s="5" t="s">
        <v>304</v>
      </c>
      <c r="CH3045" s="5" t="s">
        <v>305</v>
      </c>
      <c r="CI3045" s="5" t="s">
        <v>240</v>
      </c>
      <c r="CK3045" s="5" t="s">
        <v>3681</v>
      </c>
      <c r="CL3045" s="6" t="s">
        <v>261</v>
      </c>
      <c r="CM3045" s="5" t="s">
        <v>262</v>
      </c>
      <c r="CN3045" s="5" t="s">
        <v>263</v>
      </c>
      <c r="CO3045" s="5" t="s">
        <v>264</v>
      </c>
      <c r="CP3045" s="5" t="s">
        <v>240</v>
      </c>
      <c r="CQ3045" s="5">
        <v>0</v>
      </c>
      <c r="CR3045" s="5" t="s">
        <v>735</v>
      </c>
      <c r="CS3045" s="5" t="s">
        <v>307</v>
      </c>
      <c r="CT3045" s="5" t="s">
        <v>307</v>
      </c>
      <c r="CU3045" s="5" t="s">
        <v>260</v>
      </c>
      <c r="CV3045" s="5" t="s">
        <v>612</v>
      </c>
      <c r="CW3045" s="8">
        <f>1</f>
        <v>1</v>
      </c>
      <c r="CX3045" s="7">
        <f>1</f>
        <v>1</v>
      </c>
      <c r="CY3045" s="7">
        <f>0</f>
        <v>0</v>
      </c>
      <c r="DA3045" s="7">
        <f>1</f>
        <v>1</v>
      </c>
      <c r="DB3045" s="7" t="s">
        <v>240</v>
      </c>
      <c r="DC3045" s="5" t="s">
        <v>240</v>
      </c>
      <c r="DD3045" s="5" t="s">
        <v>240</v>
      </c>
      <c r="DE3045" s="5" t="s">
        <v>240</v>
      </c>
      <c r="DF3045" s="5" t="s">
        <v>240</v>
      </c>
      <c r="DG3045" s="7">
        <f>0</f>
        <v>0</v>
      </c>
      <c r="DI3045" s="5" t="s">
        <v>240</v>
      </c>
      <c r="DJ3045" s="5" t="s">
        <v>240</v>
      </c>
      <c r="DK3045" s="5" t="s">
        <v>240</v>
      </c>
      <c r="DL3045" s="5" t="s">
        <v>240</v>
      </c>
      <c r="DM3045" s="5" t="s">
        <v>240</v>
      </c>
      <c r="DN3045" s="5" t="s">
        <v>240</v>
      </c>
      <c r="DO3045" s="7" t="s">
        <v>240</v>
      </c>
      <c r="DP3045" s="5" t="s">
        <v>240</v>
      </c>
      <c r="DQ3045" s="5" t="s">
        <v>240</v>
      </c>
      <c r="DR3045" s="5" t="s">
        <v>731</v>
      </c>
      <c r="DS3045" s="5" t="s">
        <v>731</v>
      </c>
      <c r="DT3045" s="5" t="s">
        <v>240</v>
      </c>
      <c r="DU3045" s="5" t="s">
        <v>240</v>
      </c>
      <c r="DV3045" s="5" t="s">
        <v>3683</v>
      </c>
      <c r="DW3045" s="5" t="s">
        <v>1100</v>
      </c>
      <c r="DX3045" s="5" t="s">
        <v>240</v>
      </c>
      <c r="DY3045" s="5" t="s">
        <v>240</v>
      </c>
      <c r="DZ3045" s="5" t="s">
        <v>240</v>
      </c>
      <c r="EA3045" s="5" t="s">
        <v>240</v>
      </c>
      <c r="EB3045" s="5" t="s">
        <v>240</v>
      </c>
      <c r="EC3045" s="5" t="s">
        <v>240</v>
      </c>
      <c r="ED3045" s="5" t="s">
        <v>240</v>
      </c>
      <c r="EE3045" s="5" t="s">
        <v>240</v>
      </c>
      <c r="EF3045" s="5" t="s">
        <v>240</v>
      </c>
      <c r="EG3045" s="5" t="s">
        <v>240</v>
      </c>
      <c r="EH3045" s="5" t="s">
        <v>240</v>
      </c>
      <c r="EI3045" s="5" t="s">
        <v>240</v>
      </c>
      <c r="EJ3045" s="5" t="s">
        <v>240</v>
      </c>
      <c r="EK3045" s="5" t="s">
        <v>240</v>
      </c>
      <c r="EL3045" s="5" t="s">
        <v>240</v>
      </c>
      <c r="EM3045" s="5" t="s">
        <v>240</v>
      </c>
      <c r="EN3045" s="5" t="s">
        <v>240</v>
      </c>
      <c r="EO3045" s="5" t="s">
        <v>240</v>
      </c>
      <c r="EP3045" s="5" t="s">
        <v>240</v>
      </c>
      <c r="EQ3045" s="5" t="s">
        <v>240</v>
      </c>
      <c r="ER3045" s="5" t="s">
        <v>240</v>
      </c>
      <c r="ES3045" s="5" t="s">
        <v>240</v>
      </c>
      <c r="ET3045" s="5" t="s">
        <v>240</v>
      </c>
      <c r="EU3045" s="5" t="s">
        <v>240</v>
      </c>
      <c r="EV3045" s="5" t="s">
        <v>240</v>
      </c>
      <c r="EW3045" s="5" t="s">
        <v>240</v>
      </c>
      <c r="EX3045" s="5" t="s">
        <v>240</v>
      </c>
      <c r="EY3045" s="5" t="s">
        <v>240</v>
      </c>
      <c r="EZ3045" s="5" t="s">
        <v>240</v>
      </c>
      <c r="FA3045" s="5" t="s">
        <v>240</v>
      </c>
      <c r="FB3045" s="5" t="s">
        <v>240</v>
      </c>
      <c r="FC3045" s="5" t="s">
        <v>240</v>
      </c>
      <c r="FD3045" s="5" t="s">
        <v>240</v>
      </c>
      <c r="FE3045" s="5" t="s">
        <v>240</v>
      </c>
      <c r="FF3045" s="5" t="s">
        <v>240</v>
      </c>
      <c r="FG3045" s="5" t="s">
        <v>240</v>
      </c>
      <c r="FH3045" s="5" t="s">
        <v>240</v>
      </c>
      <c r="FI3045" s="5" t="s">
        <v>240</v>
      </c>
      <c r="FJ3045" s="5" t="s">
        <v>240</v>
      </c>
      <c r="FK3045" s="5" t="s">
        <v>240</v>
      </c>
      <c r="FL3045" s="5" t="s">
        <v>240</v>
      </c>
      <c r="FM3045" s="5" t="s">
        <v>240</v>
      </c>
      <c r="FN3045" s="5" t="s">
        <v>240</v>
      </c>
      <c r="FO3045" s="5" t="s">
        <v>240</v>
      </c>
      <c r="FP3045" s="5" t="s">
        <v>240</v>
      </c>
      <c r="FQ3045" s="5" t="s">
        <v>240</v>
      </c>
      <c r="FR3045" s="5" t="s">
        <v>240</v>
      </c>
      <c r="FS3045" s="5" t="s">
        <v>240</v>
      </c>
      <c r="FT3045" s="5" t="s">
        <v>240</v>
      </c>
      <c r="FU3045" s="5" t="s">
        <v>240</v>
      </c>
      <c r="FV3045" s="5" t="s">
        <v>240</v>
      </c>
      <c r="FW3045" s="5" t="s">
        <v>240</v>
      </c>
      <c r="FX3045" s="5" t="s">
        <v>240</v>
      </c>
      <c r="FY3045" s="5" t="s">
        <v>240</v>
      </c>
      <c r="FZ3045" s="5" t="s">
        <v>240</v>
      </c>
      <c r="GA3045" s="5" t="s">
        <v>240</v>
      </c>
      <c r="GB3045" s="5" t="s">
        <v>240</v>
      </c>
      <c r="GC3045" s="5" t="s">
        <v>240</v>
      </c>
      <c r="GD3045" s="5" t="s">
        <v>240</v>
      </c>
      <c r="GE3045" s="5" t="s">
        <v>240</v>
      </c>
      <c r="GF3045" s="5" t="s">
        <v>240</v>
      </c>
      <c r="GG3045" s="5" t="s">
        <v>240</v>
      </c>
      <c r="GH3045" s="5" t="s">
        <v>240</v>
      </c>
      <c r="GI3045" s="5" t="s">
        <v>240</v>
      </c>
      <c r="GJ3045" s="5" t="s">
        <v>240</v>
      </c>
      <c r="GK3045" s="5" t="s">
        <v>240</v>
      </c>
      <c r="GL3045" s="5" t="s">
        <v>240</v>
      </c>
      <c r="GM3045" s="5" t="s">
        <v>240</v>
      </c>
      <c r="GN3045" s="5" t="s">
        <v>240</v>
      </c>
      <c r="GO3045" s="5" t="s">
        <v>240</v>
      </c>
      <c r="GP3045" s="5" t="s">
        <v>240</v>
      </c>
      <c r="GQ3045" s="5" t="s">
        <v>240</v>
      </c>
      <c r="GR3045" s="5" t="s">
        <v>240</v>
      </c>
      <c r="GS3045" s="5" t="s">
        <v>240</v>
      </c>
      <c r="GT3045" s="5" t="s">
        <v>240</v>
      </c>
      <c r="GU3045" s="5" t="s">
        <v>240</v>
      </c>
      <c r="GV3045" s="5" t="s">
        <v>240</v>
      </c>
      <c r="GW3045" s="5" t="s">
        <v>240</v>
      </c>
      <c r="GX3045" s="5" t="s">
        <v>240</v>
      </c>
      <c r="GY3045" s="5" t="s">
        <v>240</v>
      </c>
      <c r="GZ3045" s="5" t="s">
        <v>240</v>
      </c>
      <c r="HA3045" s="5" t="s">
        <v>240</v>
      </c>
      <c r="HB3045" s="5" t="s">
        <v>240</v>
      </c>
      <c r="HC3045" s="5" t="s">
        <v>240</v>
      </c>
      <c r="HD3045" s="5" t="s">
        <v>240</v>
      </c>
      <c r="HE3045" s="5" t="s">
        <v>240</v>
      </c>
      <c r="HF3045" s="5" t="s">
        <v>240</v>
      </c>
      <c r="HG3045" s="5" t="s">
        <v>240</v>
      </c>
      <c r="HH3045" s="5" t="s">
        <v>240</v>
      </c>
      <c r="HI3045" s="5" t="s">
        <v>240</v>
      </c>
      <c r="HJ3045" s="5" t="s">
        <v>240</v>
      </c>
      <c r="HK3045" s="5" t="s">
        <v>240</v>
      </c>
      <c r="HL3045" s="5" t="s">
        <v>240</v>
      </c>
      <c r="HM3045" s="5" t="s">
        <v>240</v>
      </c>
      <c r="HN3045" s="5" t="s">
        <v>240</v>
      </c>
      <c r="HO3045" s="5" t="s">
        <v>312</v>
      </c>
      <c r="HP3045" s="5" t="s">
        <v>240</v>
      </c>
      <c r="HQ3045" s="5" t="s">
        <v>240</v>
      </c>
      <c r="HR3045" s="5" t="s">
        <v>240</v>
      </c>
      <c r="HS3045" s="5" t="s">
        <v>240</v>
      </c>
      <c r="HT3045" s="5" t="s">
        <v>240</v>
      </c>
      <c r="HU3045" s="5" t="s">
        <v>240</v>
      </c>
      <c r="HV3045" s="5" t="s">
        <v>240</v>
      </c>
      <c r="HW3045" s="5" t="s">
        <v>240</v>
      </c>
      <c r="HX3045" s="5" t="s">
        <v>240</v>
      </c>
      <c r="HY3045" s="5" t="s">
        <v>240</v>
      </c>
      <c r="HZ3045" s="5" t="s">
        <v>240</v>
      </c>
      <c r="IA3045" s="5" t="s">
        <v>240</v>
      </c>
      <c r="IB3045" s="5" t="s">
        <v>240</v>
      </c>
      <c r="IC3045" s="5" t="s">
        <v>240</v>
      </c>
      <c r="ID3045" s="5" t="s">
        <v>240</v>
      </c>
      <c r="IE3045" s="5" t="s">
        <v>240</v>
      </c>
      <c r="IF3045" s="5" t="s">
        <v>240</v>
      </c>
    </row>
    <row r="3046" spans="1:240" x14ac:dyDescent="0.4">
      <c r="A3046" s="5">
        <v>4750</v>
      </c>
      <c r="B3046" s="5">
        <v>1</v>
      </c>
      <c r="C3046" s="5">
        <v>1</v>
      </c>
      <c r="D3046" s="5" t="s">
        <v>810</v>
      </c>
      <c r="E3046" s="5" t="s">
        <v>245</v>
      </c>
      <c r="F3046" s="5" t="s">
        <v>254</v>
      </c>
      <c r="G3046" s="5" t="s">
        <v>240</v>
      </c>
      <c r="H3046" s="6" t="s">
        <v>2453</v>
      </c>
      <c r="I3046" s="5" t="s">
        <v>809</v>
      </c>
      <c r="J3046" s="8">
        <f>402</f>
        <v>402</v>
      </c>
      <c r="K3046" s="5" t="s">
        <v>308</v>
      </c>
      <c r="L3046" s="7">
        <f>1</f>
        <v>1</v>
      </c>
      <c r="M3046" s="7">
        <f>1</f>
        <v>1</v>
      </c>
      <c r="N3046" s="5" t="s">
        <v>242</v>
      </c>
      <c r="O3046" s="5">
        <v>1</v>
      </c>
      <c r="P3046" s="5" t="s">
        <v>294</v>
      </c>
      <c r="Q3046" s="5" t="s">
        <v>266</v>
      </c>
      <c r="R3046" s="5" t="s">
        <v>240</v>
      </c>
      <c r="S3046" s="5" t="s">
        <v>240</v>
      </c>
      <c r="T3046" s="5" t="s">
        <v>296</v>
      </c>
      <c r="U3046" s="5" t="s">
        <v>244</v>
      </c>
      <c r="V3046" s="5" t="s">
        <v>240</v>
      </c>
      <c r="Y3046" s="5" t="s">
        <v>240</v>
      </c>
      <c r="Z3046" s="6" t="s">
        <v>298</v>
      </c>
      <c r="AB3046" s="6" t="s">
        <v>240</v>
      </c>
      <c r="AE3046" s="6" t="s">
        <v>299</v>
      </c>
      <c r="AF3046" s="5" t="s">
        <v>248</v>
      </c>
      <c r="AG3046" s="5" t="s">
        <v>249</v>
      </c>
      <c r="AW3046" s="5" t="s">
        <v>251</v>
      </c>
      <c r="AX3046" s="5" t="s">
        <v>240</v>
      </c>
      <c r="AY3046" s="5" t="s">
        <v>253</v>
      </c>
      <c r="AZ3046" s="5" t="s">
        <v>240</v>
      </c>
      <c r="BA3046" s="5" t="s">
        <v>255</v>
      </c>
      <c r="BB3046" s="5" t="s">
        <v>240</v>
      </c>
      <c r="BD3046" s="5" t="s">
        <v>240</v>
      </c>
      <c r="BF3046" s="5" t="s">
        <v>301</v>
      </c>
      <c r="BG3046" s="6" t="s">
        <v>299</v>
      </c>
      <c r="BH3046" s="5" t="s">
        <v>302</v>
      </c>
      <c r="BI3046" s="5" t="s">
        <v>303</v>
      </c>
      <c r="BJ3046" s="5" t="s">
        <v>240</v>
      </c>
      <c r="BK3046" s="8">
        <f>0</f>
        <v>0</v>
      </c>
      <c r="BL3046" s="7">
        <f>0</f>
        <v>0</v>
      </c>
      <c r="BM3046" s="5" t="s">
        <v>258</v>
      </c>
      <c r="BN3046" s="5" t="s">
        <v>259</v>
      </c>
      <c r="CB3046" s="5" t="s">
        <v>240</v>
      </c>
      <c r="CC3046" s="5" t="s">
        <v>240</v>
      </c>
      <c r="CG3046" s="5" t="s">
        <v>304</v>
      </c>
      <c r="CH3046" s="5" t="s">
        <v>305</v>
      </c>
      <c r="CI3046" s="5" t="s">
        <v>240</v>
      </c>
      <c r="CL3046" s="6" t="s">
        <v>261</v>
      </c>
      <c r="CM3046" s="5" t="s">
        <v>240</v>
      </c>
      <c r="CN3046" s="5" t="s">
        <v>263</v>
      </c>
      <c r="CO3046" s="5" t="s">
        <v>240</v>
      </c>
      <c r="CP3046" s="5" t="s">
        <v>240</v>
      </c>
      <c r="CQ3046" s="5">
        <v>0</v>
      </c>
      <c r="CR3046" s="5" t="s">
        <v>306</v>
      </c>
      <c r="CS3046" s="5" t="s">
        <v>307</v>
      </c>
      <c r="CT3046" s="5" t="s">
        <v>307</v>
      </c>
      <c r="CU3046" s="5" t="s">
        <v>260</v>
      </c>
      <c r="CX3046" s="7">
        <f>1</f>
        <v>1</v>
      </c>
      <c r="CY3046" s="7">
        <f>0</f>
        <v>0</v>
      </c>
      <c r="DA3046" s="7">
        <f>0</f>
        <v>0</v>
      </c>
      <c r="DC3046" s="5" t="s">
        <v>812</v>
      </c>
      <c r="DD3046" s="5" t="s">
        <v>240</v>
      </c>
      <c r="DF3046" s="5" t="s">
        <v>812</v>
      </c>
      <c r="DG3046" s="7">
        <f>45</f>
        <v>45</v>
      </c>
      <c r="DI3046" s="5" t="s">
        <v>240</v>
      </c>
      <c r="DJ3046" s="5" t="s">
        <v>240</v>
      </c>
      <c r="DK3046" s="5" t="s">
        <v>240</v>
      </c>
      <c r="DL3046" s="5" t="s">
        <v>240</v>
      </c>
      <c r="DP3046" s="5" t="s">
        <v>240</v>
      </c>
      <c r="DQ3046" s="5" t="s">
        <v>240</v>
      </c>
      <c r="DR3046" s="5" t="s">
        <v>240</v>
      </c>
      <c r="DS3046" s="5" t="s">
        <v>240</v>
      </c>
      <c r="DV3046" s="5" t="s">
        <v>813</v>
      </c>
      <c r="DW3046" s="5" t="s">
        <v>463</v>
      </c>
      <c r="HO3046" s="5" t="s">
        <v>312</v>
      </c>
    </row>
    <row r="3047" spans="1:240" x14ac:dyDescent="0.4">
      <c r="A3047" s="5">
        <v>4751</v>
      </c>
      <c r="B3047" s="5">
        <v>1</v>
      </c>
      <c r="C3047" s="5">
        <v>1</v>
      </c>
      <c r="D3047" s="5" t="s">
        <v>810</v>
      </c>
      <c r="E3047" s="5" t="s">
        <v>245</v>
      </c>
      <c r="F3047" s="5" t="s">
        <v>254</v>
      </c>
      <c r="G3047" s="5" t="s">
        <v>240</v>
      </c>
      <c r="H3047" s="6" t="s">
        <v>2451</v>
      </c>
      <c r="I3047" s="5" t="s">
        <v>809</v>
      </c>
      <c r="J3047" s="8">
        <f>465</f>
        <v>465</v>
      </c>
      <c r="K3047" s="5" t="s">
        <v>308</v>
      </c>
      <c r="L3047" s="7">
        <f>1</f>
        <v>1</v>
      </c>
      <c r="M3047" s="7">
        <f>1</f>
        <v>1</v>
      </c>
      <c r="N3047" s="5" t="s">
        <v>242</v>
      </c>
      <c r="O3047" s="5">
        <v>1</v>
      </c>
      <c r="P3047" s="5" t="s">
        <v>294</v>
      </c>
      <c r="Q3047" s="5" t="s">
        <v>3678</v>
      </c>
      <c r="R3047" s="5" t="s">
        <v>240</v>
      </c>
      <c r="S3047" s="5" t="s">
        <v>240</v>
      </c>
      <c r="T3047" s="5" t="s">
        <v>243</v>
      </c>
      <c r="U3047" s="5" t="s">
        <v>244</v>
      </c>
      <c r="V3047" s="5" t="s">
        <v>240</v>
      </c>
      <c r="W3047" s="5" t="s">
        <v>240</v>
      </c>
      <c r="X3047" s="5" t="s">
        <v>240</v>
      </c>
      <c r="Y3047" s="5" t="s">
        <v>240</v>
      </c>
      <c r="Z3047" s="6" t="s">
        <v>298</v>
      </c>
      <c r="AA3047" s="6" t="s">
        <v>240</v>
      </c>
      <c r="AB3047" s="6" t="s">
        <v>240</v>
      </c>
      <c r="AC3047" s="5" t="s">
        <v>240</v>
      </c>
      <c r="AD3047" s="6" t="s">
        <v>240</v>
      </c>
      <c r="AE3047" s="6" t="s">
        <v>299</v>
      </c>
      <c r="AF3047" s="5" t="s">
        <v>248</v>
      </c>
      <c r="AG3047" s="5" t="s">
        <v>249</v>
      </c>
      <c r="AH3047" s="5" t="s">
        <v>240</v>
      </c>
      <c r="AI3047" s="5" t="s">
        <v>240</v>
      </c>
      <c r="AJ3047" s="5" t="s">
        <v>240</v>
      </c>
      <c r="AK3047" s="5" t="s">
        <v>240</v>
      </c>
      <c r="AL3047" s="5" t="s">
        <v>240</v>
      </c>
      <c r="AM3047" s="5" t="s">
        <v>240</v>
      </c>
      <c r="AN3047" s="5" t="s">
        <v>240</v>
      </c>
      <c r="AO3047" s="5" t="s">
        <v>240</v>
      </c>
      <c r="AP3047" s="6" t="s">
        <v>240</v>
      </c>
      <c r="AQ3047" s="6" t="s">
        <v>240</v>
      </c>
      <c r="AR3047" s="6" t="s">
        <v>240</v>
      </c>
      <c r="AS3047" s="6" t="s">
        <v>240</v>
      </c>
      <c r="AT3047" s="5" t="s">
        <v>240</v>
      </c>
      <c r="AU3047" s="5" t="s">
        <v>729</v>
      </c>
      <c r="AV3047" s="5" t="s">
        <v>729</v>
      </c>
      <c r="AW3047" s="5" t="s">
        <v>251</v>
      </c>
      <c r="AX3047" s="5" t="s">
        <v>252</v>
      </c>
      <c r="AY3047" s="5" t="s">
        <v>253</v>
      </c>
      <c r="AZ3047" s="5" t="s">
        <v>240</v>
      </c>
      <c r="BA3047" s="5" t="s">
        <v>255</v>
      </c>
      <c r="BB3047" s="5" t="s">
        <v>731</v>
      </c>
      <c r="BD3047" s="5" t="s">
        <v>240</v>
      </c>
      <c r="BF3047" s="5" t="s">
        <v>732</v>
      </c>
      <c r="BG3047" s="6" t="s">
        <v>733</v>
      </c>
      <c r="BH3047" s="5" t="s">
        <v>734</v>
      </c>
      <c r="BI3047" s="5" t="s">
        <v>734</v>
      </c>
      <c r="BJ3047" s="5" t="s">
        <v>240</v>
      </c>
      <c r="BK3047" s="7">
        <f>1</f>
        <v>1</v>
      </c>
      <c r="BL3047" s="7">
        <f>1</f>
        <v>1</v>
      </c>
      <c r="BM3047" s="5" t="s">
        <v>258</v>
      </c>
      <c r="BN3047" s="5" t="s">
        <v>259</v>
      </c>
      <c r="BO3047" s="5" t="s">
        <v>240</v>
      </c>
      <c r="BP3047" s="5" t="s">
        <v>240</v>
      </c>
      <c r="BQ3047" s="5" t="s">
        <v>240</v>
      </c>
      <c r="BR3047" s="5" t="s">
        <v>240</v>
      </c>
      <c r="BS3047" s="5" t="s">
        <v>240</v>
      </c>
      <c r="BT3047" s="5" t="s">
        <v>240</v>
      </c>
      <c r="BU3047" s="5" t="s">
        <v>240</v>
      </c>
      <c r="BV3047" s="5" t="s">
        <v>240</v>
      </c>
      <c r="BW3047" s="6" t="s">
        <v>240</v>
      </c>
      <c r="BX3047" s="5" t="s">
        <v>240</v>
      </c>
      <c r="BY3047" s="5" t="s">
        <v>240</v>
      </c>
      <c r="BZ3047" s="5" t="s">
        <v>240</v>
      </c>
      <c r="CA3047" s="5" t="s">
        <v>259</v>
      </c>
      <c r="CB3047" s="5" t="s">
        <v>240</v>
      </c>
      <c r="CC3047" s="5" t="s">
        <v>240</v>
      </c>
      <c r="CD3047" s="5" t="s">
        <v>240</v>
      </c>
      <c r="CE3047" s="5" t="s">
        <v>240</v>
      </c>
      <c r="CF3047" s="5" t="s">
        <v>240</v>
      </c>
      <c r="CG3047" s="5" t="s">
        <v>304</v>
      </c>
      <c r="CH3047" s="5" t="s">
        <v>305</v>
      </c>
      <c r="CI3047" s="5" t="s">
        <v>240</v>
      </c>
      <c r="CK3047" s="5" t="s">
        <v>3681</v>
      </c>
      <c r="CL3047" s="6" t="s">
        <v>261</v>
      </c>
      <c r="CM3047" s="5" t="s">
        <v>262</v>
      </c>
      <c r="CN3047" s="5" t="s">
        <v>263</v>
      </c>
      <c r="CO3047" s="5" t="s">
        <v>264</v>
      </c>
      <c r="CP3047" s="5" t="s">
        <v>240</v>
      </c>
      <c r="CQ3047" s="5">
        <v>0</v>
      </c>
      <c r="CR3047" s="5" t="s">
        <v>735</v>
      </c>
      <c r="CS3047" s="5" t="s">
        <v>307</v>
      </c>
      <c r="CT3047" s="5" t="s">
        <v>307</v>
      </c>
      <c r="CU3047" s="5" t="s">
        <v>260</v>
      </c>
      <c r="CV3047" s="5" t="s">
        <v>612</v>
      </c>
      <c r="CW3047" s="8">
        <f>1</f>
        <v>1</v>
      </c>
      <c r="CX3047" s="7">
        <f>1</f>
        <v>1</v>
      </c>
      <c r="CY3047" s="7">
        <f>0</f>
        <v>0</v>
      </c>
      <c r="DA3047" s="7">
        <f>1</f>
        <v>1</v>
      </c>
      <c r="DB3047" s="7" t="s">
        <v>240</v>
      </c>
      <c r="DC3047" s="5" t="s">
        <v>240</v>
      </c>
      <c r="DD3047" s="5" t="s">
        <v>240</v>
      </c>
      <c r="DE3047" s="5" t="s">
        <v>240</v>
      </c>
      <c r="DF3047" s="5" t="s">
        <v>240</v>
      </c>
      <c r="DG3047" s="7">
        <f>0</f>
        <v>0</v>
      </c>
      <c r="DI3047" s="5" t="s">
        <v>240</v>
      </c>
      <c r="DJ3047" s="5" t="s">
        <v>240</v>
      </c>
      <c r="DK3047" s="5" t="s">
        <v>240</v>
      </c>
      <c r="DL3047" s="5" t="s">
        <v>240</v>
      </c>
      <c r="DM3047" s="5" t="s">
        <v>240</v>
      </c>
      <c r="DN3047" s="5" t="s">
        <v>240</v>
      </c>
      <c r="DO3047" s="7" t="s">
        <v>240</v>
      </c>
      <c r="DP3047" s="5" t="s">
        <v>240</v>
      </c>
      <c r="DQ3047" s="5" t="s">
        <v>240</v>
      </c>
      <c r="DR3047" s="5" t="s">
        <v>731</v>
      </c>
      <c r="DS3047" s="5" t="s">
        <v>731</v>
      </c>
      <c r="DT3047" s="5" t="s">
        <v>240</v>
      </c>
      <c r="DU3047" s="5" t="s">
        <v>240</v>
      </c>
      <c r="DV3047" s="5" t="s">
        <v>3683</v>
      </c>
      <c r="DW3047" s="5" t="s">
        <v>4044</v>
      </c>
      <c r="DX3047" s="5" t="s">
        <v>240</v>
      </c>
      <c r="DY3047" s="5" t="s">
        <v>240</v>
      </c>
      <c r="DZ3047" s="5" t="s">
        <v>240</v>
      </c>
      <c r="EA3047" s="5" t="s">
        <v>240</v>
      </c>
      <c r="EB3047" s="5" t="s">
        <v>240</v>
      </c>
      <c r="EC3047" s="5" t="s">
        <v>240</v>
      </c>
      <c r="ED3047" s="5" t="s">
        <v>240</v>
      </c>
      <c r="EE3047" s="5" t="s">
        <v>240</v>
      </c>
      <c r="EF3047" s="5" t="s">
        <v>240</v>
      </c>
      <c r="EG3047" s="5" t="s">
        <v>240</v>
      </c>
      <c r="EH3047" s="5" t="s">
        <v>240</v>
      </c>
      <c r="EI3047" s="5" t="s">
        <v>240</v>
      </c>
      <c r="EJ3047" s="5" t="s">
        <v>240</v>
      </c>
      <c r="EK3047" s="5" t="s">
        <v>240</v>
      </c>
      <c r="EL3047" s="5" t="s">
        <v>240</v>
      </c>
      <c r="EM3047" s="5" t="s">
        <v>240</v>
      </c>
      <c r="EN3047" s="5" t="s">
        <v>240</v>
      </c>
      <c r="EO3047" s="5" t="s">
        <v>240</v>
      </c>
      <c r="EP3047" s="5" t="s">
        <v>240</v>
      </c>
      <c r="EQ3047" s="5" t="s">
        <v>240</v>
      </c>
      <c r="ER3047" s="5" t="s">
        <v>240</v>
      </c>
      <c r="ES3047" s="5" t="s">
        <v>240</v>
      </c>
      <c r="ET3047" s="5" t="s">
        <v>240</v>
      </c>
      <c r="EU3047" s="5" t="s">
        <v>240</v>
      </c>
      <c r="EV3047" s="5" t="s">
        <v>240</v>
      </c>
      <c r="EW3047" s="5" t="s">
        <v>240</v>
      </c>
      <c r="EX3047" s="5" t="s">
        <v>240</v>
      </c>
      <c r="EY3047" s="5" t="s">
        <v>240</v>
      </c>
      <c r="EZ3047" s="5" t="s">
        <v>240</v>
      </c>
      <c r="FA3047" s="5" t="s">
        <v>240</v>
      </c>
      <c r="FB3047" s="5" t="s">
        <v>240</v>
      </c>
      <c r="FC3047" s="5" t="s">
        <v>240</v>
      </c>
      <c r="FD3047" s="5" t="s">
        <v>240</v>
      </c>
      <c r="FE3047" s="5" t="s">
        <v>240</v>
      </c>
      <c r="FF3047" s="5" t="s">
        <v>240</v>
      </c>
      <c r="FG3047" s="5" t="s">
        <v>240</v>
      </c>
      <c r="FH3047" s="5" t="s">
        <v>240</v>
      </c>
      <c r="FI3047" s="5" t="s">
        <v>240</v>
      </c>
      <c r="FJ3047" s="5" t="s">
        <v>240</v>
      </c>
      <c r="FK3047" s="5" t="s">
        <v>240</v>
      </c>
      <c r="FL3047" s="5" t="s">
        <v>240</v>
      </c>
      <c r="FM3047" s="5" t="s">
        <v>240</v>
      </c>
      <c r="FN3047" s="5" t="s">
        <v>240</v>
      </c>
      <c r="FO3047" s="5" t="s">
        <v>240</v>
      </c>
      <c r="FP3047" s="5" t="s">
        <v>240</v>
      </c>
      <c r="FQ3047" s="5" t="s">
        <v>240</v>
      </c>
      <c r="FR3047" s="5" t="s">
        <v>240</v>
      </c>
      <c r="FS3047" s="5" t="s">
        <v>240</v>
      </c>
      <c r="FT3047" s="5" t="s">
        <v>240</v>
      </c>
      <c r="FU3047" s="5" t="s">
        <v>240</v>
      </c>
      <c r="FV3047" s="5" t="s">
        <v>240</v>
      </c>
      <c r="FW3047" s="5" t="s">
        <v>240</v>
      </c>
      <c r="FX3047" s="5" t="s">
        <v>240</v>
      </c>
      <c r="FY3047" s="5" t="s">
        <v>240</v>
      </c>
      <c r="FZ3047" s="5" t="s">
        <v>240</v>
      </c>
      <c r="GA3047" s="5" t="s">
        <v>240</v>
      </c>
      <c r="GB3047" s="5" t="s">
        <v>240</v>
      </c>
      <c r="GC3047" s="5" t="s">
        <v>240</v>
      </c>
      <c r="GD3047" s="5" t="s">
        <v>240</v>
      </c>
      <c r="GE3047" s="5" t="s">
        <v>240</v>
      </c>
      <c r="GF3047" s="5" t="s">
        <v>240</v>
      </c>
      <c r="GG3047" s="5" t="s">
        <v>240</v>
      </c>
      <c r="GH3047" s="5" t="s">
        <v>240</v>
      </c>
      <c r="GI3047" s="5" t="s">
        <v>240</v>
      </c>
      <c r="GJ3047" s="5" t="s">
        <v>240</v>
      </c>
      <c r="GK3047" s="5" t="s">
        <v>240</v>
      </c>
      <c r="GL3047" s="5" t="s">
        <v>240</v>
      </c>
      <c r="GM3047" s="5" t="s">
        <v>240</v>
      </c>
      <c r="GN3047" s="5" t="s">
        <v>240</v>
      </c>
      <c r="GO3047" s="5" t="s">
        <v>240</v>
      </c>
      <c r="GP3047" s="5" t="s">
        <v>240</v>
      </c>
      <c r="GQ3047" s="5" t="s">
        <v>240</v>
      </c>
      <c r="GR3047" s="5" t="s">
        <v>240</v>
      </c>
      <c r="GS3047" s="5" t="s">
        <v>240</v>
      </c>
      <c r="GT3047" s="5" t="s">
        <v>240</v>
      </c>
      <c r="GU3047" s="5" t="s">
        <v>240</v>
      </c>
      <c r="GV3047" s="5" t="s">
        <v>240</v>
      </c>
      <c r="GW3047" s="5" t="s">
        <v>240</v>
      </c>
      <c r="GX3047" s="5" t="s">
        <v>240</v>
      </c>
      <c r="GY3047" s="5" t="s">
        <v>240</v>
      </c>
      <c r="GZ3047" s="5" t="s">
        <v>240</v>
      </c>
      <c r="HA3047" s="5" t="s">
        <v>240</v>
      </c>
      <c r="HB3047" s="5" t="s">
        <v>240</v>
      </c>
      <c r="HC3047" s="5" t="s">
        <v>240</v>
      </c>
      <c r="HD3047" s="5" t="s">
        <v>240</v>
      </c>
      <c r="HE3047" s="5" t="s">
        <v>240</v>
      </c>
      <c r="HF3047" s="5" t="s">
        <v>240</v>
      </c>
      <c r="HG3047" s="5" t="s">
        <v>240</v>
      </c>
      <c r="HH3047" s="5" t="s">
        <v>240</v>
      </c>
      <c r="HI3047" s="5" t="s">
        <v>240</v>
      </c>
      <c r="HJ3047" s="5" t="s">
        <v>240</v>
      </c>
      <c r="HK3047" s="5" t="s">
        <v>240</v>
      </c>
      <c r="HL3047" s="5" t="s">
        <v>240</v>
      </c>
      <c r="HM3047" s="5" t="s">
        <v>240</v>
      </c>
      <c r="HN3047" s="5" t="s">
        <v>240</v>
      </c>
      <c r="HO3047" s="5" t="s">
        <v>312</v>
      </c>
      <c r="HP3047" s="5" t="s">
        <v>240</v>
      </c>
      <c r="HQ3047" s="5" t="s">
        <v>240</v>
      </c>
      <c r="HR3047" s="5" t="s">
        <v>240</v>
      </c>
      <c r="HS3047" s="5" t="s">
        <v>240</v>
      </c>
      <c r="HT3047" s="5" t="s">
        <v>240</v>
      </c>
      <c r="HU3047" s="5" t="s">
        <v>240</v>
      </c>
      <c r="HV3047" s="5" t="s">
        <v>240</v>
      </c>
      <c r="HW3047" s="5" t="s">
        <v>240</v>
      </c>
      <c r="HX3047" s="5" t="s">
        <v>240</v>
      </c>
      <c r="HY3047" s="5" t="s">
        <v>240</v>
      </c>
      <c r="HZ3047" s="5" t="s">
        <v>240</v>
      </c>
      <c r="IA3047" s="5" t="s">
        <v>240</v>
      </c>
      <c r="IB3047" s="5" t="s">
        <v>240</v>
      </c>
      <c r="IC3047" s="5" t="s">
        <v>240</v>
      </c>
      <c r="ID3047" s="5" t="s">
        <v>240</v>
      </c>
      <c r="IE3047" s="5" t="s">
        <v>240</v>
      </c>
      <c r="IF3047" s="5" t="s">
        <v>240</v>
      </c>
    </row>
    <row r="3048" spans="1:240" x14ac:dyDescent="0.4">
      <c r="A3048" s="5">
        <v>4752</v>
      </c>
      <c r="B3048" s="5">
        <v>1</v>
      </c>
      <c r="C3048" s="5">
        <v>1</v>
      </c>
      <c r="D3048" s="5" t="s">
        <v>810</v>
      </c>
      <c r="E3048" s="5" t="s">
        <v>245</v>
      </c>
      <c r="F3048" s="5" t="s">
        <v>254</v>
      </c>
      <c r="G3048" s="5" t="s">
        <v>240</v>
      </c>
      <c r="H3048" s="6" t="s">
        <v>2449</v>
      </c>
      <c r="I3048" s="5" t="s">
        <v>809</v>
      </c>
      <c r="J3048" s="8">
        <f>625</f>
        <v>625</v>
      </c>
      <c r="K3048" s="5" t="s">
        <v>308</v>
      </c>
      <c r="L3048" s="7">
        <f>1</f>
        <v>1</v>
      </c>
      <c r="M3048" s="7">
        <f>1</f>
        <v>1</v>
      </c>
      <c r="N3048" s="5" t="s">
        <v>242</v>
      </c>
      <c r="O3048" s="5">
        <v>1</v>
      </c>
      <c r="P3048" s="5" t="s">
        <v>294</v>
      </c>
      <c r="Q3048" s="5" t="s">
        <v>3678</v>
      </c>
      <c r="R3048" s="5" t="s">
        <v>240</v>
      </c>
      <c r="S3048" s="5" t="s">
        <v>240</v>
      </c>
      <c r="T3048" s="5" t="s">
        <v>243</v>
      </c>
      <c r="U3048" s="5" t="s">
        <v>244</v>
      </c>
      <c r="V3048" s="5" t="s">
        <v>240</v>
      </c>
      <c r="W3048" s="5" t="s">
        <v>240</v>
      </c>
      <c r="X3048" s="5" t="s">
        <v>240</v>
      </c>
      <c r="Y3048" s="5" t="s">
        <v>240</v>
      </c>
      <c r="Z3048" s="6" t="s">
        <v>298</v>
      </c>
      <c r="AA3048" s="6" t="s">
        <v>240</v>
      </c>
      <c r="AB3048" s="6" t="s">
        <v>240</v>
      </c>
      <c r="AC3048" s="5" t="s">
        <v>240</v>
      </c>
      <c r="AD3048" s="6" t="s">
        <v>240</v>
      </c>
      <c r="AE3048" s="6" t="s">
        <v>299</v>
      </c>
      <c r="AF3048" s="5" t="s">
        <v>248</v>
      </c>
      <c r="AG3048" s="5" t="s">
        <v>249</v>
      </c>
      <c r="AH3048" s="5" t="s">
        <v>240</v>
      </c>
      <c r="AI3048" s="5" t="s">
        <v>240</v>
      </c>
      <c r="AJ3048" s="5" t="s">
        <v>240</v>
      </c>
      <c r="AK3048" s="5" t="s">
        <v>240</v>
      </c>
      <c r="AL3048" s="5" t="s">
        <v>240</v>
      </c>
      <c r="AM3048" s="5" t="s">
        <v>240</v>
      </c>
      <c r="AN3048" s="5" t="s">
        <v>240</v>
      </c>
      <c r="AO3048" s="5" t="s">
        <v>240</v>
      </c>
      <c r="AP3048" s="6" t="s">
        <v>240</v>
      </c>
      <c r="AQ3048" s="6" t="s">
        <v>240</v>
      </c>
      <c r="AR3048" s="6" t="s">
        <v>240</v>
      </c>
      <c r="AS3048" s="6" t="s">
        <v>240</v>
      </c>
      <c r="AT3048" s="5" t="s">
        <v>240</v>
      </c>
      <c r="AU3048" s="5" t="s">
        <v>729</v>
      </c>
      <c r="AV3048" s="5" t="s">
        <v>729</v>
      </c>
      <c r="AW3048" s="5" t="s">
        <v>251</v>
      </c>
      <c r="AX3048" s="5" t="s">
        <v>252</v>
      </c>
      <c r="AY3048" s="5" t="s">
        <v>253</v>
      </c>
      <c r="AZ3048" s="5" t="s">
        <v>240</v>
      </c>
      <c r="BA3048" s="5" t="s">
        <v>255</v>
      </c>
      <c r="BB3048" s="5" t="s">
        <v>731</v>
      </c>
      <c r="BD3048" s="5" t="s">
        <v>240</v>
      </c>
      <c r="BF3048" s="5" t="s">
        <v>732</v>
      </c>
      <c r="BG3048" s="6" t="s">
        <v>733</v>
      </c>
      <c r="BH3048" s="5" t="s">
        <v>734</v>
      </c>
      <c r="BI3048" s="5" t="s">
        <v>734</v>
      </c>
      <c r="BJ3048" s="5" t="s">
        <v>240</v>
      </c>
      <c r="BK3048" s="7">
        <f>1</f>
        <v>1</v>
      </c>
      <c r="BL3048" s="7">
        <f>1</f>
        <v>1</v>
      </c>
      <c r="BM3048" s="5" t="s">
        <v>258</v>
      </c>
      <c r="BN3048" s="5" t="s">
        <v>259</v>
      </c>
      <c r="BO3048" s="5" t="s">
        <v>240</v>
      </c>
      <c r="BP3048" s="5" t="s">
        <v>240</v>
      </c>
      <c r="BQ3048" s="5" t="s">
        <v>240</v>
      </c>
      <c r="BR3048" s="5" t="s">
        <v>240</v>
      </c>
      <c r="BS3048" s="5" t="s">
        <v>240</v>
      </c>
      <c r="BT3048" s="5" t="s">
        <v>240</v>
      </c>
      <c r="BU3048" s="5" t="s">
        <v>240</v>
      </c>
      <c r="BV3048" s="5" t="s">
        <v>240</v>
      </c>
      <c r="BW3048" s="6" t="s">
        <v>240</v>
      </c>
      <c r="BX3048" s="5" t="s">
        <v>240</v>
      </c>
      <c r="BY3048" s="5" t="s">
        <v>240</v>
      </c>
      <c r="BZ3048" s="5" t="s">
        <v>240</v>
      </c>
      <c r="CA3048" s="5" t="s">
        <v>259</v>
      </c>
      <c r="CB3048" s="5" t="s">
        <v>240</v>
      </c>
      <c r="CC3048" s="5" t="s">
        <v>240</v>
      </c>
      <c r="CD3048" s="5" t="s">
        <v>240</v>
      </c>
      <c r="CE3048" s="5" t="s">
        <v>240</v>
      </c>
      <c r="CF3048" s="5" t="s">
        <v>240</v>
      </c>
      <c r="CG3048" s="5" t="s">
        <v>304</v>
      </c>
      <c r="CH3048" s="5" t="s">
        <v>305</v>
      </c>
      <c r="CI3048" s="5" t="s">
        <v>240</v>
      </c>
      <c r="CK3048" s="5" t="s">
        <v>3681</v>
      </c>
      <c r="CL3048" s="6" t="s">
        <v>261</v>
      </c>
      <c r="CM3048" s="5" t="s">
        <v>262</v>
      </c>
      <c r="CN3048" s="5" t="s">
        <v>263</v>
      </c>
      <c r="CO3048" s="5" t="s">
        <v>264</v>
      </c>
      <c r="CP3048" s="5" t="s">
        <v>240</v>
      </c>
      <c r="CQ3048" s="5">
        <v>0</v>
      </c>
      <c r="CR3048" s="5" t="s">
        <v>735</v>
      </c>
      <c r="CS3048" s="5" t="s">
        <v>307</v>
      </c>
      <c r="CT3048" s="5" t="s">
        <v>307</v>
      </c>
      <c r="CU3048" s="5" t="s">
        <v>260</v>
      </c>
      <c r="CV3048" s="5" t="s">
        <v>612</v>
      </c>
      <c r="CW3048" s="8">
        <f>1</f>
        <v>1</v>
      </c>
      <c r="CX3048" s="7">
        <f>1</f>
        <v>1</v>
      </c>
      <c r="CY3048" s="7">
        <f>0</f>
        <v>0</v>
      </c>
      <c r="DA3048" s="7">
        <f>1</f>
        <v>1</v>
      </c>
      <c r="DB3048" s="7" t="s">
        <v>240</v>
      </c>
      <c r="DC3048" s="5" t="s">
        <v>240</v>
      </c>
      <c r="DD3048" s="5" t="s">
        <v>240</v>
      </c>
      <c r="DE3048" s="5" t="s">
        <v>240</v>
      </c>
      <c r="DF3048" s="5" t="s">
        <v>240</v>
      </c>
      <c r="DG3048" s="7">
        <f>0</f>
        <v>0</v>
      </c>
      <c r="DI3048" s="5" t="s">
        <v>240</v>
      </c>
      <c r="DJ3048" s="5" t="s">
        <v>240</v>
      </c>
      <c r="DK3048" s="5" t="s">
        <v>240</v>
      </c>
      <c r="DL3048" s="5" t="s">
        <v>240</v>
      </c>
      <c r="DM3048" s="5" t="s">
        <v>240</v>
      </c>
      <c r="DN3048" s="5" t="s">
        <v>240</v>
      </c>
      <c r="DO3048" s="7" t="s">
        <v>240</v>
      </c>
      <c r="DP3048" s="5" t="s">
        <v>240</v>
      </c>
      <c r="DQ3048" s="5" t="s">
        <v>240</v>
      </c>
      <c r="DR3048" s="5" t="s">
        <v>731</v>
      </c>
      <c r="DS3048" s="5" t="s">
        <v>731</v>
      </c>
      <c r="DT3048" s="5" t="s">
        <v>240</v>
      </c>
      <c r="DU3048" s="5" t="s">
        <v>240</v>
      </c>
      <c r="DV3048" s="5" t="s">
        <v>3683</v>
      </c>
      <c r="DW3048" s="5" t="s">
        <v>4036</v>
      </c>
      <c r="DX3048" s="5" t="s">
        <v>240</v>
      </c>
      <c r="DY3048" s="5" t="s">
        <v>240</v>
      </c>
      <c r="DZ3048" s="5" t="s">
        <v>240</v>
      </c>
      <c r="EA3048" s="5" t="s">
        <v>240</v>
      </c>
      <c r="EB3048" s="5" t="s">
        <v>240</v>
      </c>
      <c r="EC3048" s="5" t="s">
        <v>240</v>
      </c>
      <c r="ED3048" s="5" t="s">
        <v>240</v>
      </c>
      <c r="EE3048" s="5" t="s">
        <v>240</v>
      </c>
      <c r="EF3048" s="5" t="s">
        <v>240</v>
      </c>
      <c r="EG3048" s="5" t="s">
        <v>240</v>
      </c>
      <c r="EH3048" s="5" t="s">
        <v>240</v>
      </c>
      <c r="EI3048" s="5" t="s">
        <v>240</v>
      </c>
      <c r="EJ3048" s="5" t="s">
        <v>240</v>
      </c>
      <c r="EK3048" s="5" t="s">
        <v>240</v>
      </c>
      <c r="EL3048" s="5" t="s">
        <v>240</v>
      </c>
      <c r="EM3048" s="5" t="s">
        <v>240</v>
      </c>
      <c r="EN3048" s="5" t="s">
        <v>240</v>
      </c>
      <c r="EO3048" s="5" t="s">
        <v>240</v>
      </c>
      <c r="EP3048" s="5" t="s">
        <v>240</v>
      </c>
      <c r="EQ3048" s="5" t="s">
        <v>240</v>
      </c>
      <c r="ER3048" s="5" t="s">
        <v>240</v>
      </c>
      <c r="ES3048" s="5" t="s">
        <v>240</v>
      </c>
      <c r="ET3048" s="5" t="s">
        <v>240</v>
      </c>
      <c r="EU3048" s="5" t="s">
        <v>240</v>
      </c>
      <c r="EV3048" s="5" t="s">
        <v>240</v>
      </c>
      <c r="EW3048" s="5" t="s">
        <v>240</v>
      </c>
      <c r="EX3048" s="5" t="s">
        <v>240</v>
      </c>
      <c r="EY3048" s="5" t="s">
        <v>240</v>
      </c>
      <c r="EZ3048" s="5" t="s">
        <v>240</v>
      </c>
      <c r="FA3048" s="5" t="s">
        <v>240</v>
      </c>
      <c r="FB3048" s="5" t="s">
        <v>240</v>
      </c>
      <c r="FC3048" s="5" t="s">
        <v>240</v>
      </c>
      <c r="FD3048" s="5" t="s">
        <v>240</v>
      </c>
      <c r="FE3048" s="5" t="s">
        <v>240</v>
      </c>
      <c r="FF3048" s="5" t="s">
        <v>240</v>
      </c>
      <c r="FG3048" s="5" t="s">
        <v>240</v>
      </c>
      <c r="FH3048" s="5" t="s">
        <v>240</v>
      </c>
      <c r="FI3048" s="5" t="s">
        <v>240</v>
      </c>
      <c r="FJ3048" s="5" t="s">
        <v>240</v>
      </c>
      <c r="FK3048" s="5" t="s">
        <v>240</v>
      </c>
      <c r="FL3048" s="5" t="s">
        <v>240</v>
      </c>
      <c r="FM3048" s="5" t="s">
        <v>240</v>
      </c>
      <c r="FN3048" s="5" t="s">
        <v>240</v>
      </c>
      <c r="FO3048" s="5" t="s">
        <v>240</v>
      </c>
      <c r="FP3048" s="5" t="s">
        <v>240</v>
      </c>
      <c r="FQ3048" s="5" t="s">
        <v>240</v>
      </c>
      <c r="FR3048" s="5" t="s">
        <v>240</v>
      </c>
      <c r="FS3048" s="5" t="s">
        <v>240</v>
      </c>
      <c r="FT3048" s="5" t="s">
        <v>240</v>
      </c>
      <c r="FU3048" s="5" t="s">
        <v>240</v>
      </c>
      <c r="FV3048" s="5" t="s">
        <v>240</v>
      </c>
      <c r="FW3048" s="5" t="s">
        <v>240</v>
      </c>
      <c r="FX3048" s="5" t="s">
        <v>240</v>
      </c>
      <c r="FY3048" s="5" t="s">
        <v>240</v>
      </c>
      <c r="FZ3048" s="5" t="s">
        <v>240</v>
      </c>
      <c r="GA3048" s="5" t="s">
        <v>240</v>
      </c>
      <c r="GB3048" s="5" t="s">
        <v>240</v>
      </c>
      <c r="GC3048" s="5" t="s">
        <v>240</v>
      </c>
      <c r="GD3048" s="5" t="s">
        <v>240</v>
      </c>
      <c r="GE3048" s="5" t="s">
        <v>240</v>
      </c>
      <c r="GF3048" s="5" t="s">
        <v>240</v>
      </c>
      <c r="GG3048" s="5" t="s">
        <v>240</v>
      </c>
      <c r="GH3048" s="5" t="s">
        <v>240</v>
      </c>
      <c r="GI3048" s="5" t="s">
        <v>240</v>
      </c>
      <c r="GJ3048" s="5" t="s">
        <v>240</v>
      </c>
      <c r="GK3048" s="5" t="s">
        <v>240</v>
      </c>
      <c r="GL3048" s="5" t="s">
        <v>240</v>
      </c>
      <c r="GM3048" s="5" t="s">
        <v>240</v>
      </c>
      <c r="GN3048" s="5" t="s">
        <v>240</v>
      </c>
      <c r="GO3048" s="5" t="s">
        <v>240</v>
      </c>
      <c r="GP3048" s="5" t="s">
        <v>240</v>
      </c>
      <c r="GQ3048" s="5" t="s">
        <v>240</v>
      </c>
      <c r="GR3048" s="5" t="s">
        <v>240</v>
      </c>
      <c r="GS3048" s="5" t="s">
        <v>240</v>
      </c>
      <c r="GT3048" s="5" t="s">
        <v>240</v>
      </c>
      <c r="GU3048" s="5" t="s">
        <v>240</v>
      </c>
      <c r="GV3048" s="5" t="s">
        <v>240</v>
      </c>
      <c r="GW3048" s="5" t="s">
        <v>240</v>
      </c>
      <c r="GX3048" s="5" t="s">
        <v>240</v>
      </c>
      <c r="GY3048" s="5" t="s">
        <v>240</v>
      </c>
      <c r="GZ3048" s="5" t="s">
        <v>240</v>
      </c>
      <c r="HA3048" s="5" t="s">
        <v>240</v>
      </c>
      <c r="HB3048" s="5" t="s">
        <v>240</v>
      </c>
      <c r="HC3048" s="5" t="s">
        <v>240</v>
      </c>
      <c r="HD3048" s="5" t="s">
        <v>240</v>
      </c>
      <c r="HE3048" s="5" t="s">
        <v>240</v>
      </c>
      <c r="HF3048" s="5" t="s">
        <v>240</v>
      </c>
      <c r="HG3048" s="5" t="s">
        <v>240</v>
      </c>
      <c r="HH3048" s="5" t="s">
        <v>240</v>
      </c>
      <c r="HI3048" s="5" t="s">
        <v>240</v>
      </c>
      <c r="HJ3048" s="5" t="s">
        <v>240</v>
      </c>
      <c r="HK3048" s="5" t="s">
        <v>240</v>
      </c>
      <c r="HL3048" s="5" t="s">
        <v>240</v>
      </c>
      <c r="HM3048" s="5" t="s">
        <v>240</v>
      </c>
      <c r="HN3048" s="5" t="s">
        <v>240</v>
      </c>
      <c r="HO3048" s="5" t="s">
        <v>312</v>
      </c>
      <c r="HP3048" s="5" t="s">
        <v>240</v>
      </c>
      <c r="HQ3048" s="5" t="s">
        <v>240</v>
      </c>
      <c r="HR3048" s="5" t="s">
        <v>240</v>
      </c>
      <c r="HS3048" s="5" t="s">
        <v>240</v>
      </c>
      <c r="HT3048" s="5" t="s">
        <v>240</v>
      </c>
      <c r="HU3048" s="5" t="s">
        <v>240</v>
      </c>
      <c r="HV3048" s="5" t="s">
        <v>240</v>
      </c>
      <c r="HW3048" s="5" t="s">
        <v>240</v>
      </c>
      <c r="HX3048" s="5" t="s">
        <v>240</v>
      </c>
      <c r="HY3048" s="5" t="s">
        <v>240</v>
      </c>
      <c r="HZ3048" s="5" t="s">
        <v>240</v>
      </c>
      <c r="IA3048" s="5" t="s">
        <v>240</v>
      </c>
      <c r="IB3048" s="5" t="s">
        <v>240</v>
      </c>
      <c r="IC3048" s="5" t="s">
        <v>240</v>
      </c>
      <c r="ID3048" s="5" t="s">
        <v>240</v>
      </c>
      <c r="IE3048" s="5" t="s">
        <v>240</v>
      </c>
      <c r="IF3048" s="5" t="s">
        <v>240</v>
      </c>
    </row>
    <row r="3049" spans="1:240" x14ac:dyDescent="0.4">
      <c r="A3049" s="5">
        <v>4753</v>
      </c>
      <c r="B3049" s="5">
        <v>1</v>
      </c>
      <c r="C3049" s="5">
        <v>1</v>
      </c>
      <c r="D3049" s="5" t="s">
        <v>810</v>
      </c>
      <c r="E3049" s="5" t="s">
        <v>245</v>
      </c>
      <c r="F3049" s="5" t="s">
        <v>254</v>
      </c>
      <c r="G3049" s="5" t="s">
        <v>240</v>
      </c>
      <c r="H3049" s="6" t="s">
        <v>2447</v>
      </c>
      <c r="I3049" s="5" t="s">
        <v>809</v>
      </c>
      <c r="J3049" s="8">
        <f>291</f>
        <v>291</v>
      </c>
      <c r="K3049" s="5" t="s">
        <v>308</v>
      </c>
      <c r="L3049" s="7">
        <f>1</f>
        <v>1</v>
      </c>
      <c r="M3049" s="7">
        <f>1</f>
        <v>1</v>
      </c>
      <c r="N3049" s="5" t="s">
        <v>242</v>
      </c>
      <c r="O3049" s="5">
        <v>1</v>
      </c>
      <c r="P3049" s="5" t="s">
        <v>294</v>
      </c>
      <c r="Q3049" s="5" t="s">
        <v>3678</v>
      </c>
      <c r="R3049" s="5" t="s">
        <v>240</v>
      </c>
      <c r="S3049" s="5" t="s">
        <v>240</v>
      </c>
      <c r="T3049" s="5" t="s">
        <v>243</v>
      </c>
      <c r="U3049" s="5" t="s">
        <v>244</v>
      </c>
      <c r="V3049" s="5" t="s">
        <v>240</v>
      </c>
      <c r="W3049" s="5" t="s">
        <v>240</v>
      </c>
      <c r="X3049" s="5" t="s">
        <v>240</v>
      </c>
      <c r="Y3049" s="5" t="s">
        <v>240</v>
      </c>
      <c r="Z3049" s="6" t="s">
        <v>298</v>
      </c>
      <c r="AA3049" s="6" t="s">
        <v>240</v>
      </c>
      <c r="AB3049" s="6" t="s">
        <v>240</v>
      </c>
      <c r="AC3049" s="5" t="s">
        <v>240</v>
      </c>
      <c r="AD3049" s="6" t="s">
        <v>240</v>
      </c>
      <c r="AE3049" s="6" t="s">
        <v>299</v>
      </c>
      <c r="AF3049" s="5" t="s">
        <v>248</v>
      </c>
      <c r="AG3049" s="5" t="s">
        <v>249</v>
      </c>
      <c r="AH3049" s="5" t="s">
        <v>240</v>
      </c>
      <c r="AI3049" s="5" t="s">
        <v>240</v>
      </c>
      <c r="AJ3049" s="5" t="s">
        <v>240</v>
      </c>
      <c r="AK3049" s="5" t="s">
        <v>240</v>
      </c>
      <c r="AL3049" s="5" t="s">
        <v>240</v>
      </c>
      <c r="AM3049" s="5" t="s">
        <v>240</v>
      </c>
      <c r="AN3049" s="5" t="s">
        <v>240</v>
      </c>
      <c r="AO3049" s="5" t="s">
        <v>240</v>
      </c>
      <c r="AP3049" s="6" t="s">
        <v>240</v>
      </c>
      <c r="AQ3049" s="6" t="s">
        <v>240</v>
      </c>
      <c r="AR3049" s="6" t="s">
        <v>240</v>
      </c>
      <c r="AS3049" s="6" t="s">
        <v>240</v>
      </c>
      <c r="AT3049" s="5" t="s">
        <v>240</v>
      </c>
      <c r="AU3049" s="5" t="s">
        <v>729</v>
      </c>
      <c r="AV3049" s="5" t="s">
        <v>729</v>
      </c>
      <c r="AW3049" s="5" t="s">
        <v>251</v>
      </c>
      <c r="AX3049" s="5" t="s">
        <v>252</v>
      </c>
      <c r="AY3049" s="5" t="s">
        <v>253</v>
      </c>
      <c r="AZ3049" s="5" t="s">
        <v>240</v>
      </c>
      <c r="BA3049" s="5" t="s">
        <v>255</v>
      </c>
      <c r="BB3049" s="5" t="s">
        <v>731</v>
      </c>
      <c r="BD3049" s="5" t="s">
        <v>240</v>
      </c>
      <c r="BF3049" s="5" t="s">
        <v>732</v>
      </c>
      <c r="BG3049" s="6" t="s">
        <v>733</v>
      </c>
      <c r="BH3049" s="5" t="s">
        <v>734</v>
      </c>
      <c r="BI3049" s="5" t="s">
        <v>734</v>
      </c>
      <c r="BJ3049" s="5" t="s">
        <v>240</v>
      </c>
      <c r="BK3049" s="7">
        <f>1</f>
        <v>1</v>
      </c>
      <c r="BL3049" s="7">
        <f>1</f>
        <v>1</v>
      </c>
      <c r="BM3049" s="5" t="s">
        <v>258</v>
      </c>
      <c r="BN3049" s="5" t="s">
        <v>259</v>
      </c>
      <c r="BO3049" s="5" t="s">
        <v>240</v>
      </c>
      <c r="BP3049" s="5" t="s">
        <v>240</v>
      </c>
      <c r="BQ3049" s="5" t="s">
        <v>240</v>
      </c>
      <c r="BR3049" s="5" t="s">
        <v>240</v>
      </c>
      <c r="BS3049" s="5" t="s">
        <v>240</v>
      </c>
      <c r="BT3049" s="5" t="s">
        <v>240</v>
      </c>
      <c r="BU3049" s="5" t="s">
        <v>240</v>
      </c>
      <c r="BV3049" s="5" t="s">
        <v>240</v>
      </c>
      <c r="BW3049" s="6" t="s">
        <v>240</v>
      </c>
      <c r="BX3049" s="5" t="s">
        <v>240</v>
      </c>
      <c r="BY3049" s="5" t="s">
        <v>240</v>
      </c>
      <c r="BZ3049" s="5" t="s">
        <v>240</v>
      </c>
      <c r="CA3049" s="5" t="s">
        <v>259</v>
      </c>
      <c r="CB3049" s="5" t="s">
        <v>240</v>
      </c>
      <c r="CC3049" s="5" t="s">
        <v>240</v>
      </c>
      <c r="CD3049" s="5" t="s">
        <v>240</v>
      </c>
      <c r="CE3049" s="5" t="s">
        <v>240</v>
      </c>
      <c r="CF3049" s="5" t="s">
        <v>240</v>
      </c>
      <c r="CG3049" s="5" t="s">
        <v>304</v>
      </c>
      <c r="CH3049" s="5" t="s">
        <v>305</v>
      </c>
      <c r="CI3049" s="5" t="s">
        <v>240</v>
      </c>
      <c r="CK3049" s="5" t="s">
        <v>3681</v>
      </c>
      <c r="CL3049" s="6" t="s">
        <v>261</v>
      </c>
      <c r="CM3049" s="5" t="s">
        <v>262</v>
      </c>
      <c r="CN3049" s="5" t="s">
        <v>263</v>
      </c>
      <c r="CO3049" s="5" t="s">
        <v>264</v>
      </c>
      <c r="CP3049" s="5" t="s">
        <v>240</v>
      </c>
      <c r="CQ3049" s="5">
        <v>0</v>
      </c>
      <c r="CR3049" s="5" t="s">
        <v>735</v>
      </c>
      <c r="CS3049" s="5" t="s">
        <v>307</v>
      </c>
      <c r="CT3049" s="5" t="s">
        <v>307</v>
      </c>
      <c r="CU3049" s="5" t="s">
        <v>260</v>
      </c>
      <c r="CV3049" s="5" t="s">
        <v>612</v>
      </c>
      <c r="CW3049" s="8">
        <f>1</f>
        <v>1</v>
      </c>
      <c r="CX3049" s="7">
        <f>1</f>
        <v>1</v>
      </c>
      <c r="CY3049" s="7">
        <f>0</f>
        <v>0</v>
      </c>
      <c r="DA3049" s="7">
        <f>1</f>
        <v>1</v>
      </c>
      <c r="DB3049" s="7" t="s">
        <v>240</v>
      </c>
      <c r="DC3049" s="5" t="s">
        <v>240</v>
      </c>
      <c r="DD3049" s="5" t="s">
        <v>240</v>
      </c>
      <c r="DE3049" s="5" t="s">
        <v>240</v>
      </c>
      <c r="DF3049" s="5" t="s">
        <v>240</v>
      </c>
      <c r="DG3049" s="7">
        <f>0</f>
        <v>0</v>
      </c>
      <c r="DI3049" s="5" t="s">
        <v>240</v>
      </c>
      <c r="DJ3049" s="5" t="s">
        <v>240</v>
      </c>
      <c r="DK3049" s="5" t="s">
        <v>240</v>
      </c>
      <c r="DL3049" s="5" t="s">
        <v>240</v>
      </c>
      <c r="DM3049" s="5" t="s">
        <v>240</v>
      </c>
      <c r="DN3049" s="5" t="s">
        <v>240</v>
      </c>
      <c r="DO3049" s="7" t="s">
        <v>240</v>
      </c>
      <c r="DP3049" s="5" t="s">
        <v>240</v>
      </c>
      <c r="DQ3049" s="5" t="s">
        <v>240</v>
      </c>
      <c r="DR3049" s="5" t="s">
        <v>731</v>
      </c>
      <c r="DS3049" s="5" t="s">
        <v>731</v>
      </c>
      <c r="DT3049" s="5" t="s">
        <v>240</v>
      </c>
      <c r="DU3049" s="5" t="s">
        <v>240</v>
      </c>
      <c r="DV3049" s="5" t="s">
        <v>3683</v>
      </c>
      <c r="DW3049" s="5" t="s">
        <v>4013</v>
      </c>
      <c r="DX3049" s="5" t="s">
        <v>240</v>
      </c>
      <c r="DY3049" s="5" t="s">
        <v>240</v>
      </c>
      <c r="DZ3049" s="5" t="s">
        <v>240</v>
      </c>
      <c r="EA3049" s="5" t="s">
        <v>240</v>
      </c>
      <c r="EB3049" s="5" t="s">
        <v>240</v>
      </c>
      <c r="EC3049" s="5" t="s">
        <v>240</v>
      </c>
      <c r="ED3049" s="5" t="s">
        <v>240</v>
      </c>
      <c r="EE3049" s="5" t="s">
        <v>240</v>
      </c>
      <c r="EF3049" s="5" t="s">
        <v>240</v>
      </c>
      <c r="EG3049" s="5" t="s">
        <v>240</v>
      </c>
      <c r="EH3049" s="5" t="s">
        <v>240</v>
      </c>
      <c r="EI3049" s="5" t="s">
        <v>240</v>
      </c>
      <c r="EJ3049" s="5" t="s">
        <v>240</v>
      </c>
      <c r="EK3049" s="5" t="s">
        <v>240</v>
      </c>
      <c r="EL3049" s="5" t="s">
        <v>240</v>
      </c>
      <c r="EM3049" s="5" t="s">
        <v>240</v>
      </c>
      <c r="EN3049" s="5" t="s">
        <v>240</v>
      </c>
      <c r="EO3049" s="5" t="s">
        <v>240</v>
      </c>
      <c r="EP3049" s="5" t="s">
        <v>240</v>
      </c>
      <c r="EQ3049" s="5" t="s">
        <v>240</v>
      </c>
      <c r="ER3049" s="5" t="s">
        <v>240</v>
      </c>
      <c r="ES3049" s="5" t="s">
        <v>240</v>
      </c>
      <c r="ET3049" s="5" t="s">
        <v>240</v>
      </c>
      <c r="EU3049" s="5" t="s">
        <v>240</v>
      </c>
      <c r="EV3049" s="5" t="s">
        <v>240</v>
      </c>
      <c r="EW3049" s="5" t="s">
        <v>240</v>
      </c>
      <c r="EX3049" s="5" t="s">
        <v>240</v>
      </c>
      <c r="EY3049" s="5" t="s">
        <v>240</v>
      </c>
      <c r="EZ3049" s="5" t="s">
        <v>240</v>
      </c>
      <c r="FA3049" s="5" t="s">
        <v>240</v>
      </c>
      <c r="FB3049" s="5" t="s">
        <v>240</v>
      </c>
      <c r="FC3049" s="5" t="s">
        <v>240</v>
      </c>
      <c r="FD3049" s="5" t="s">
        <v>240</v>
      </c>
      <c r="FE3049" s="5" t="s">
        <v>240</v>
      </c>
      <c r="FF3049" s="5" t="s">
        <v>240</v>
      </c>
      <c r="FG3049" s="5" t="s">
        <v>240</v>
      </c>
      <c r="FH3049" s="5" t="s">
        <v>240</v>
      </c>
      <c r="FI3049" s="5" t="s">
        <v>240</v>
      </c>
      <c r="FJ3049" s="5" t="s">
        <v>240</v>
      </c>
      <c r="FK3049" s="5" t="s">
        <v>240</v>
      </c>
      <c r="FL3049" s="5" t="s">
        <v>240</v>
      </c>
      <c r="FM3049" s="5" t="s">
        <v>240</v>
      </c>
      <c r="FN3049" s="5" t="s">
        <v>240</v>
      </c>
      <c r="FO3049" s="5" t="s">
        <v>240</v>
      </c>
      <c r="FP3049" s="5" t="s">
        <v>240</v>
      </c>
      <c r="FQ3049" s="5" t="s">
        <v>240</v>
      </c>
      <c r="FR3049" s="5" t="s">
        <v>240</v>
      </c>
      <c r="FS3049" s="5" t="s">
        <v>240</v>
      </c>
      <c r="FT3049" s="5" t="s">
        <v>240</v>
      </c>
      <c r="FU3049" s="5" t="s">
        <v>240</v>
      </c>
      <c r="FV3049" s="5" t="s">
        <v>240</v>
      </c>
      <c r="FW3049" s="5" t="s">
        <v>240</v>
      </c>
      <c r="FX3049" s="5" t="s">
        <v>240</v>
      </c>
      <c r="FY3049" s="5" t="s">
        <v>240</v>
      </c>
      <c r="FZ3049" s="5" t="s">
        <v>240</v>
      </c>
      <c r="GA3049" s="5" t="s">
        <v>240</v>
      </c>
      <c r="GB3049" s="5" t="s">
        <v>240</v>
      </c>
      <c r="GC3049" s="5" t="s">
        <v>240</v>
      </c>
      <c r="GD3049" s="5" t="s">
        <v>240</v>
      </c>
      <c r="GE3049" s="5" t="s">
        <v>240</v>
      </c>
      <c r="GF3049" s="5" t="s">
        <v>240</v>
      </c>
      <c r="GG3049" s="5" t="s">
        <v>240</v>
      </c>
      <c r="GH3049" s="5" t="s">
        <v>240</v>
      </c>
      <c r="GI3049" s="5" t="s">
        <v>240</v>
      </c>
      <c r="GJ3049" s="5" t="s">
        <v>240</v>
      </c>
      <c r="GK3049" s="5" t="s">
        <v>240</v>
      </c>
      <c r="GL3049" s="5" t="s">
        <v>240</v>
      </c>
      <c r="GM3049" s="5" t="s">
        <v>240</v>
      </c>
      <c r="GN3049" s="5" t="s">
        <v>240</v>
      </c>
      <c r="GO3049" s="5" t="s">
        <v>240</v>
      </c>
      <c r="GP3049" s="5" t="s">
        <v>240</v>
      </c>
      <c r="GQ3049" s="5" t="s">
        <v>240</v>
      </c>
      <c r="GR3049" s="5" t="s">
        <v>240</v>
      </c>
      <c r="GS3049" s="5" t="s">
        <v>240</v>
      </c>
      <c r="GT3049" s="5" t="s">
        <v>240</v>
      </c>
      <c r="GU3049" s="5" t="s">
        <v>240</v>
      </c>
      <c r="GV3049" s="5" t="s">
        <v>240</v>
      </c>
      <c r="GW3049" s="5" t="s">
        <v>240</v>
      </c>
      <c r="GX3049" s="5" t="s">
        <v>240</v>
      </c>
      <c r="GY3049" s="5" t="s">
        <v>240</v>
      </c>
      <c r="GZ3049" s="5" t="s">
        <v>240</v>
      </c>
      <c r="HA3049" s="5" t="s">
        <v>240</v>
      </c>
      <c r="HB3049" s="5" t="s">
        <v>240</v>
      </c>
      <c r="HC3049" s="5" t="s">
        <v>240</v>
      </c>
      <c r="HD3049" s="5" t="s">
        <v>240</v>
      </c>
      <c r="HE3049" s="5" t="s">
        <v>240</v>
      </c>
      <c r="HF3049" s="5" t="s">
        <v>240</v>
      </c>
      <c r="HG3049" s="5" t="s">
        <v>240</v>
      </c>
      <c r="HH3049" s="5" t="s">
        <v>240</v>
      </c>
      <c r="HI3049" s="5" t="s">
        <v>240</v>
      </c>
      <c r="HJ3049" s="5" t="s">
        <v>240</v>
      </c>
      <c r="HK3049" s="5" t="s">
        <v>240</v>
      </c>
      <c r="HL3049" s="5" t="s">
        <v>240</v>
      </c>
      <c r="HM3049" s="5" t="s">
        <v>240</v>
      </c>
      <c r="HN3049" s="5" t="s">
        <v>240</v>
      </c>
      <c r="HO3049" s="5" t="s">
        <v>312</v>
      </c>
      <c r="HP3049" s="5" t="s">
        <v>240</v>
      </c>
      <c r="HQ3049" s="5" t="s">
        <v>240</v>
      </c>
      <c r="HR3049" s="5" t="s">
        <v>240</v>
      </c>
      <c r="HS3049" s="5" t="s">
        <v>240</v>
      </c>
      <c r="HT3049" s="5" t="s">
        <v>240</v>
      </c>
      <c r="HU3049" s="5" t="s">
        <v>240</v>
      </c>
      <c r="HV3049" s="5" t="s">
        <v>240</v>
      </c>
      <c r="HW3049" s="5" t="s">
        <v>240</v>
      </c>
      <c r="HX3049" s="5" t="s">
        <v>240</v>
      </c>
      <c r="HY3049" s="5" t="s">
        <v>240</v>
      </c>
      <c r="HZ3049" s="5" t="s">
        <v>240</v>
      </c>
      <c r="IA3049" s="5" t="s">
        <v>240</v>
      </c>
      <c r="IB3049" s="5" t="s">
        <v>240</v>
      </c>
      <c r="IC3049" s="5" t="s">
        <v>240</v>
      </c>
      <c r="ID3049" s="5" t="s">
        <v>240</v>
      </c>
      <c r="IE3049" s="5" t="s">
        <v>240</v>
      </c>
      <c r="IF3049" s="5" t="s">
        <v>240</v>
      </c>
    </row>
    <row r="3050" spans="1:240" x14ac:dyDescent="0.4">
      <c r="A3050" s="5">
        <v>4754</v>
      </c>
      <c r="B3050" s="5">
        <v>1</v>
      </c>
      <c r="C3050" s="5">
        <v>1</v>
      </c>
      <c r="D3050" s="5" t="s">
        <v>810</v>
      </c>
      <c r="E3050" s="5" t="s">
        <v>245</v>
      </c>
      <c r="F3050" s="5" t="s">
        <v>254</v>
      </c>
      <c r="G3050" s="5" t="s">
        <v>240</v>
      </c>
      <c r="H3050" s="6" t="s">
        <v>2445</v>
      </c>
      <c r="I3050" s="5" t="s">
        <v>809</v>
      </c>
      <c r="J3050" s="8">
        <f>555</f>
        <v>555</v>
      </c>
      <c r="K3050" s="5" t="s">
        <v>308</v>
      </c>
      <c r="L3050" s="7">
        <f>1</f>
        <v>1</v>
      </c>
      <c r="M3050" s="7">
        <f>1</f>
        <v>1</v>
      </c>
      <c r="N3050" s="5" t="s">
        <v>242</v>
      </c>
      <c r="O3050" s="5">
        <v>1</v>
      </c>
      <c r="P3050" s="5" t="s">
        <v>294</v>
      </c>
      <c r="Q3050" s="5" t="s">
        <v>3678</v>
      </c>
      <c r="R3050" s="5" t="s">
        <v>240</v>
      </c>
      <c r="S3050" s="5" t="s">
        <v>240</v>
      </c>
      <c r="T3050" s="5" t="s">
        <v>243</v>
      </c>
      <c r="U3050" s="5" t="s">
        <v>244</v>
      </c>
      <c r="V3050" s="5" t="s">
        <v>240</v>
      </c>
      <c r="W3050" s="5" t="s">
        <v>240</v>
      </c>
      <c r="X3050" s="5" t="s">
        <v>240</v>
      </c>
      <c r="Y3050" s="5" t="s">
        <v>240</v>
      </c>
      <c r="Z3050" s="6" t="s">
        <v>298</v>
      </c>
      <c r="AA3050" s="6" t="s">
        <v>240</v>
      </c>
      <c r="AB3050" s="6" t="s">
        <v>240</v>
      </c>
      <c r="AC3050" s="5" t="s">
        <v>240</v>
      </c>
      <c r="AD3050" s="6" t="s">
        <v>240</v>
      </c>
      <c r="AE3050" s="6" t="s">
        <v>299</v>
      </c>
      <c r="AF3050" s="5" t="s">
        <v>248</v>
      </c>
      <c r="AG3050" s="5" t="s">
        <v>249</v>
      </c>
      <c r="AH3050" s="5" t="s">
        <v>240</v>
      </c>
      <c r="AI3050" s="5" t="s">
        <v>240</v>
      </c>
      <c r="AJ3050" s="5" t="s">
        <v>240</v>
      </c>
      <c r="AK3050" s="5" t="s">
        <v>240</v>
      </c>
      <c r="AL3050" s="5" t="s">
        <v>240</v>
      </c>
      <c r="AM3050" s="5" t="s">
        <v>240</v>
      </c>
      <c r="AN3050" s="5" t="s">
        <v>240</v>
      </c>
      <c r="AO3050" s="5" t="s">
        <v>240</v>
      </c>
      <c r="AP3050" s="6" t="s">
        <v>240</v>
      </c>
      <c r="AQ3050" s="6" t="s">
        <v>240</v>
      </c>
      <c r="AR3050" s="6" t="s">
        <v>240</v>
      </c>
      <c r="AS3050" s="6" t="s">
        <v>240</v>
      </c>
      <c r="AT3050" s="5" t="s">
        <v>240</v>
      </c>
      <c r="AU3050" s="5" t="s">
        <v>729</v>
      </c>
      <c r="AV3050" s="5" t="s">
        <v>729</v>
      </c>
      <c r="AW3050" s="5" t="s">
        <v>251</v>
      </c>
      <c r="AX3050" s="5" t="s">
        <v>252</v>
      </c>
      <c r="AY3050" s="5" t="s">
        <v>253</v>
      </c>
      <c r="AZ3050" s="5" t="s">
        <v>240</v>
      </c>
      <c r="BA3050" s="5" t="s">
        <v>255</v>
      </c>
      <c r="BB3050" s="5" t="s">
        <v>731</v>
      </c>
      <c r="BD3050" s="5" t="s">
        <v>240</v>
      </c>
      <c r="BF3050" s="5" t="s">
        <v>732</v>
      </c>
      <c r="BG3050" s="6" t="s">
        <v>733</v>
      </c>
      <c r="BH3050" s="5" t="s">
        <v>734</v>
      </c>
      <c r="BI3050" s="5" t="s">
        <v>734</v>
      </c>
      <c r="BJ3050" s="5" t="s">
        <v>240</v>
      </c>
      <c r="BK3050" s="7">
        <f>1</f>
        <v>1</v>
      </c>
      <c r="BL3050" s="7">
        <f>1</f>
        <v>1</v>
      </c>
      <c r="BM3050" s="5" t="s">
        <v>258</v>
      </c>
      <c r="BN3050" s="5" t="s">
        <v>259</v>
      </c>
      <c r="BO3050" s="5" t="s">
        <v>240</v>
      </c>
      <c r="BP3050" s="5" t="s">
        <v>240</v>
      </c>
      <c r="BQ3050" s="5" t="s">
        <v>240</v>
      </c>
      <c r="BR3050" s="5" t="s">
        <v>240</v>
      </c>
      <c r="BS3050" s="5" t="s">
        <v>240</v>
      </c>
      <c r="BT3050" s="5" t="s">
        <v>240</v>
      </c>
      <c r="BU3050" s="5" t="s">
        <v>240</v>
      </c>
      <c r="BV3050" s="5" t="s">
        <v>240</v>
      </c>
      <c r="BW3050" s="6" t="s">
        <v>240</v>
      </c>
      <c r="BX3050" s="5" t="s">
        <v>240</v>
      </c>
      <c r="BY3050" s="5" t="s">
        <v>240</v>
      </c>
      <c r="BZ3050" s="5" t="s">
        <v>240</v>
      </c>
      <c r="CA3050" s="5" t="s">
        <v>259</v>
      </c>
      <c r="CB3050" s="5" t="s">
        <v>240</v>
      </c>
      <c r="CC3050" s="5" t="s">
        <v>240</v>
      </c>
      <c r="CD3050" s="5" t="s">
        <v>240</v>
      </c>
      <c r="CE3050" s="5" t="s">
        <v>240</v>
      </c>
      <c r="CF3050" s="5" t="s">
        <v>240</v>
      </c>
      <c r="CG3050" s="5" t="s">
        <v>304</v>
      </c>
      <c r="CH3050" s="5" t="s">
        <v>305</v>
      </c>
      <c r="CI3050" s="5" t="s">
        <v>240</v>
      </c>
      <c r="CK3050" s="5" t="s">
        <v>3681</v>
      </c>
      <c r="CL3050" s="6" t="s">
        <v>261</v>
      </c>
      <c r="CM3050" s="5" t="s">
        <v>262</v>
      </c>
      <c r="CN3050" s="5" t="s">
        <v>263</v>
      </c>
      <c r="CO3050" s="5" t="s">
        <v>264</v>
      </c>
      <c r="CP3050" s="5" t="s">
        <v>240</v>
      </c>
      <c r="CQ3050" s="5">
        <v>0</v>
      </c>
      <c r="CR3050" s="5" t="s">
        <v>735</v>
      </c>
      <c r="CS3050" s="5" t="s">
        <v>307</v>
      </c>
      <c r="CT3050" s="5" t="s">
        <v>307</v>
      </c>
      <c r="CU3050" s="5" t="s">
        <v>260</v>
      </c>
      <c r="CV3050" s="5" t="s">
        <v>612</v>
      </c>
      <c r="CW3050" s="8">
        <f>1</f>
        <v>1</v>
      </c>
      <c r="CX3050" s="7">
        <f>1</f>
        <v>1</v>
      </c>
      <c r="CY3050" s="7">
        <f>0</f>
        <v>0</v>
      </c>
      <c r="DA3050" s="7">
        <f>1</f>
        <v>1</v>
      </c>
      <c r="DB3050" s="7" t="s">
        <v>240</v>
      </c>
      <c r="DC3050" s="5" t="s">
        <v>240</v>
      </c>
      <c r="DD3050" s="5" t="s">
        <v>240</v>
      </c>
      <c r="DE3050" s="5" t="s">
        <v>240</v>
      </c>
      <c r="DF3050" s="5" t="s">
        <v>240</v>
      </c>
      <c r="DG3050" s="7">
        <f>0</f>
        <v>0</v>
      </c>
      <c r="DI3050" s="5" t="s">
        <v>240</v>
      </c>
      <c r="DJ3050" s="5" t="s">
        <v>240</v>
      </c>
      <c r="DK3050" s="5" t="s">
        <v>240</v>
      </c>
      <c r="DL3050" s="5" t="s">
        <v>240</v>
      </c>
      <c r="DM3050" s="5" t="s">
        <v>240</v>
      </c>
      <c r="DN3050" s="5" t="s">
        <v>240</v>
      </c>
      <c r="DO3050" s="7" t="s">
        <v>240</v>
      </c>
      <c r="DP3050" s="5" t="s">
        <v>240</v>
      </c>
      <c r="DQ3050" s="5" t="s">
        <v>240</v>
      </c>
      <c r="DR3050" s="5" t="s">
        <v>731</v>
      </c>
      <c r="DS3050" s="5" t="s">
        <v>731</v>
      </c>
      <c r="DT3050" s="5" t="s">
        <v>240</v>
      </c>
      <c r="DU3050" s="5" t="s">
        <v>240</v>
      </c>
      <c r="DV3050" s="5" t="s">
        <v>3683</v>
      </c>
      <c r="DW3050" s="5" t="s">
        <v>4005</v>
      </c>
      <c r="DX3050" s="5" t="s">
        <v>240</v>
      </c>
      <c r="DY3050" s="5" t="s">
        <v>240</v>
      </c>
      <c r="DZ3050" s="5" t="s">
        <v>240</v>
      </c>
      <c r="EA3050" s="5" t="s">
        <v>240</v>
      </c>
      <c r="EB3050" s="5" t="s">
        <v>240</v>
      </c>
      <c r="EC3050" s="5" t="s">
        <v>240</v>
      </c>
      <c r="ED3050" s="5" t="s">
        <v>240</v>
      </c>
      <c r="EE3050" s="5" t="s">
        <v>240</v>
      </c>
      <c r="EF3050" s="5" t="s">
        <v>240</v>
      </c>
      <c r="EG3050" s="5" t="s">
        <v>240</v>
      </c>
      <c r="EH3050" s="5" t="s">
        <v>240</v>
      </c>
      <c r="EI3050" s="5" t="s">
        <v>240</v>
      </c>
      <c r="EJ3050" s="5" t="s">
        <v>240</v>
      </c>
      <c r="EK3050" s="5" t="s">
        <v>240</v>
      </c>
      <c r="EL3050" s="5" t="s">
        <v>240</v>
      </c>
      <c r="EM3050" s="5" t="s">
        <v>240</v>
      </c>
      <c r="EN3050" s="5" t="s">
        <v>240</v>
      </c>
      <c r="EO3050" s="5" t="s">
        <v>240</v>
      </c>
      <c r="EP3050" s="5" t="s">
        <v>240</v>
      </c>
      <c r="EQ3050" s="5" t="s">
        <v>240</v>
      </c>
      <c r="ER3050" s="5" t="s">
        <v>240</v>
      </c>
      <c r="ES3050" s="5" t="s">
        <v>240</v>
      </c>
      <c r="ET3050" s="5" t="s">
        <v>240</v>
      </c>
      <c r="EU3050" s="5" t="s">
        <v>240</v>
      </c>
      <c r="EV3050" s="5" t="s">
        <v>240</v>
      </c>
      <c r="EW3050" s="5" t="s">
        <v>240</v>
      </c>
      <c r="EX3050" s="5" t="s">
        <v>240</v>
      </c>
      <c r="EY3050" s="5" t="s">
        <v>240</v>
      </c>
      <c r="EZ3050" s="5" t="s">
        <v>240</v>
      </c>
      <c r="FA3050" s="5" t="s">
        <v>240</v>
      </c>
      <c r="FB3050" s="5" t="s">
        <v>240</v>
      </c>
      <c r="FC3050" s="5" t="s">
        <v>240</v>
      </c>
      <c r="FD3050" s="5" t="s">
        <v>240</v>
      </c>
      <c r="FE3050" s="5" t="s">
        <v>240</v>
      </c>
      <c r="FF3050" s="5" t="s">
        <v>240</v>
      </c>
      <c r="FG3050" s="5" t="s">
        <v>240</v>
      </c>
      <c r="FH3050" s="5" t="s">
        <v>240</v>
      </c>
      <c r="FI3050" s="5" t="s">
        <v>240</v>
      </c>
      <c r="FJ3050" s="5" t="s">
        <v>240</v>
      </c>
      <c r="FK3050" s="5" t="s">
        <v>240</v>
      </c>
      <c r="FL3050" s="5" t="s">
        <v>240</v>
      </c>
      <c r="FM3050" s="5" t="s">
        <v>240</v>
      </c>
      <c r="FN3050" s="5" t="s">
        <v>240</v>
      </c>
      <c r="FO3050" s="5" t="s">
        <v>240</v>
      </c>
      <c r="FP3050" s="5" t="s">
        <v>240</v>
      </c>
      <c r="FQ3050" s="5" t="s">
        <v>240</v>
      </c>
      <c r="FR3050" s="5" t="s">
        <v>240</v>
      </c>
      <c r="FS3050" s="5" t="s">
        <v>240</v>
      </c>
      <c r="FT3050" s="5" t="s">
        <v>240</v>
      </c>
      <c r="FU3050" s="5" t="s">
        <v>240</v>
      </c>
      <c r="FV3050" s="5" t="s">
        <v>240</v>
      </c>
      <c r="FW3050" s="5" t="s">
        <v>240</v>
      </c>
      <c r="FX3050" s="5" t="s">
        <v>240</v>
      </c>
      <c r="FY3050" s="5" t="s">
        <v>240</v>
      </c>
      <c r="FZ3050" s="5" t="s">
        <v>240</v>
      </c>
      <c r="GA3050" s="5" t="s">
        <v>240</v>
      </c>
      <c r="GB3050" s="5" t="s">
        <v>240</v>
      </c>
      <c r="GC3050" s="5" t="s">
        <v>240</v>
      </c>
      <c r="GD3050" s="5" t="s">
        <v>240</v>
      </c>
      <c r="GE3050" s="5" t="s">
        <v>240</v>
      </c>
      <c r="GF3050" s="5" t="s">
        <v>240</v>
      </c>
      <c r="GG3050" s="5" t="s">
        <v>240</v>
      </c>
      <c r="GH3050" s="5" t="s">
        <v>240</v>
      </c>
      <c r="GI3050" s="5" t="s">
        <v>240</v>
      </c>
      <c r="GJ3050" s="5" t="s">
        <v>240</v>
      </c>
      <c r="GK3050" s="5" t="s">
        <v>240</v>
      </c>
      <c r="GL3050" s="5" t="s">
        <v>240</v>
      </c>
      <c r="GM3050" s="5" t="s">
        <v>240</v>
      </c>
      <c r="GN3050" s="5" t="s">
        <v>240</v>
      </c>
      <c r="GO3050" s="5" t="s">
        <v>240</v>
      </c>
      <c r="GP3050" s="5" t="s">
        <v>240</v>
      </c>
      <c r="GQ3050" s="5" t="s">
        <v>240</v>
      </c>
      <c r="GR3050" s="5" t="s">
        <v>240</v>
      </c>
      <c r="GS3050" s="5" t="s">
        <v>240</v>
      </c>
      <c r="GT3050" s="5" t="s">
        <v>240</v>
      </c>
      <c r="GU3050" s="5" t="s">
        <v>240</v>
      </c>
      <c r="GV3050" s="5" t="s">
        <v>240</v>
      </c>
      <c r="GW3050" s="5" t="s">
        <v>240</v>
      </c>
      <c r="GX3050" s="5" t="s">
        <v>240</v>
      </c>
      <c r="GY3050" s="5" t="s">
        <v>240</v>
      </c>
      <c r="GZ3050" s="5" t="s">
        <v>240</v>
      </c>
      <c r="HA3050" s="5" t="s">
        <v>240</v>
      </c>
      <c r="HB3050" s="5" t="s">
        <v>240</v>
      </c>
      <c r="HC3050" s="5" t="s">
        <v>240</v>
      </c>
      <c r="HD3050" s="5" t="s">
        <v>240</v>
      </c>
      <c r="HE3050" s="5" t="s">
        <v>240</v>
      </c>
      <c r="HF3050" s="5" t="s">
        <v>240</v>
      </c>
      <c r="HG3050" s="5" t="s">
        <v>240</v>
      </c>
      <c r="HH3050" s="5" t="s">
        <v>240</v>
      </c>
      <c r="HI3050" s="5" t="s">
        <v>240</v>
      </c>
      <c r="HJ3050" s="5" t="s">
        <v>240</v>
      </c>
      <c r="HK3050" s="5" t="s">
        <v>240</v>
      </c>
      <c r="HL3050" s="5" t="s">
        <v>240</v>
      </c>
      <c r="HM3050" s="5" t="s">
        <v>240</v>
      </c>
      <c r="HN3050" s="5" t="s">
        <v>240</v>
      </c>
      <c r="HO3050" s="5" t="s">
        <v>312</v>
      </c>
      <c r="HP3050" s="5" t="s">
        <v>240</v>
      </c>
      <c r="HQ3050" s="5" t="s">
        <v>240</v>
      </c>
      <c r="HR3050" s="5" t="s">
        <v>240</v>
      </c>
      <c r="HS3050" s="5" t="s">
        <v>240</v>
      </c>
      <c r="HT3050" s="5" t="s">
        <v>240</v>
      </c>
      <c r="HU3050" s="5" t="s">
        <v>240</v>
      </c>
      <c r="HV3050" s="5" t="s">
        <v>240</v>
      </c>
      <c r="HW3050" s="5" t="s">
        <v>240</v>
      </c>
      <c r="HX3050" s="5" t="s">
        <v>240</v>
      </c>
      <c r="HY3050" s="5" t="s">
        <v>240</v>
      </c>
      <c r="HZ3050" s="5" t="s">
        <v>240</v>
      </c>
      <c r="IA3050" s="5" t="s">
        <v>240</v>
      </c>
      <c r="IB3050" s="5" t="s">
        <v>240</v>
      </c>
      <c r="IC3050" s="5" t="s">
        <v>240</v>
      </c>
      <c r="ID3050" s="5" t="s">
        <v>240</v>
      </c>
      <c r="IE3050" s="5" t="s">
        <v>240</v>
      </c>
      <c r="IF3050" s="5" t="s">
        <v>240</v>
      </c>
    </row>
    <row r="3051" spans="1:240" x14ac:dyDescent="0.4">
      <c r="A3051" s="5">
        <v>4755</v>
      </c>
      <c r="B3051" s="5">
        <v>1</v>
      </c>
      <c r="C3051" s="5">
        <v>1</v>
      </c>
      <c r="D3051" s="5" t="s">
        <v>810</v>
      </c>
      <c r="E3051" s="5" t="s">
        <v>245</v>
      </c>
      <c r="F3051" s="5" t="s">
        <v>254</v>
      </c>
      <c r="G3051" s="5" t="s">
        <v>240</v>
      </c>
      <c r="H3051" s="6" t="s">
        <v>2443</v>
      </c>
      <c r="I3051" s="5" t="s">
        <v>809</v>
      </c>
      <c r="J3051" s="8">
        <f>288</f>
        <v>288</v>
      </c>
      <c r="K3051" s="5" t="s">
        <v>308</v>
      </c>
      <c r="L3051" s="7">
        <f>1</f>
        <v>1</v>
      </c>
      <c r="M3051" s="7">
        <f>1</f>
        <v>1</v>
      </c>
      <c r="N3051" s="5" t="s">
        <v>242</v>
      </c>
      <c r="O3051" s="5">
        <v>1</v>
      </c>
      <c r="P3051" s="5" t="s">
        <v>294</v>
      </c>
      <c r="Q3051" s="5" t="s">
        <v>3678</v>
      </c>
      <c r="R3051" s="5" t="s">
        <v>240</v>
      </c>
      <c r="S3051" s="5" t="s">
        <v>240</v>
      </c>
      <c r="T3051" s="5" t="s">
        <v>243</v>
      </c>
      <c r="U3051" s="5" t="s">
        <v>244</v>
      </c>
      <c r="V3051" s="5" t="s">
        <v>240</v>
      </c>
      <c r="W3051" s="5" t="s">
        <v>240</v>
      </c>
      <c r="X3051" s="5" t="s">
        <v>240</v>
      </c>
      <c r="Y3051" s="5" t="s">
        <v>240</v>
      </c>
      <c r="Z3051" s="6" t="s">
        <v>298</v>
      </c>
      <c r="AA3051" s="6" t="s">
        <v>240</v>
      </c>
      <c r="AB3051" s="6" t="s">
        <v>240</v>
      </c>
      <c r="AC3051" s="5" t="s">
        <v>240</v>
      </c>
      <c r="AD3051" s="6" t="s">
        <v>240</v>
      </c>
      <c r="AE3051" s="6" t="s">
        <v>299</v>
      </c>
      <c r="AF3051" s="5" t="s">
        <v>248</v>
      </c>
      <c r="AG3051" s="5" t="s">
        <v>249</v>
      </c>
      <c r="AH3051" s="5" t="s">
        <v>240</v>
      </c>
      <c r="AI3051" s="5" t="s">
        <v>240</v>
      </c>
      <c r="AJ3051" s="5" t="s">
        <v>240</v>
      </c>
      <c r="AK3051" s="5" t="s">
        <v>240</v>
      </c>
      <c r="AL3051" s="5" t="s">
        <v>240</v>
      </c>
      <c r="AM3051" s="5" t="s">
        <v>240</v>
      </c>
      <c r="AN3051" s="5" t="s">
        <v>240</v>
      </c>
      <c r="AO3051" s="5" t="s">
        <v>240</v>
      </c>
      <c r="AP3051" s="6" t="s">
        <v>240</v>
      </c>
      <c r="AQ3051" s="6" t="s">
        <v>240</v>
      </c>
      <c r="AR3051" s="6" t="s">
        <v>240</v>
      </c>
      <c r="AS3051" s="6" t="s">
        <v>240</v>
      </c>
      <c r="AT3051" s="5" t="s">
        <v>240</v>
      </c>
      <c r="AU3051" s="5" t="s">
        <v>729</v>
      </c>
      <c r="AV3051" s="5" t="s">
        <v>729</v>
      </c>
      <c r="AW3051" s="5" t="s">
        <v>251</v>
      </c>
      <c r="AX3051" s="5" t="s">
        <v>252</v>
      </c>
      <c r="AY3051" s="5" t="s">
        <v>253</v>
      </c>
      <c r="AZ3051" s="5" t="s">
        <v>240</v>
      </c>
      <c r="BA3051" s="5" t="s">
        <v>255</v>
      </c>
      <c r="BB3051" s="5" t="s">
        <v>731</v>
      </c>
      <c r="BD3051" s="5" t="s">
        <v>240</v>
      </c>
      <c r="BF3051" s="5" t="s">
        <v>732</v>
      </c>
      <c r="BG3051" s="6" t="s">
        <v>733</v>
      </c>
      <c r="BH3051" s="5" t="s">
        <v>734</v>
      </c>
      <c r="BI3051" s="5" t="s">
        <v>734</v>
      </c>
      <c r="BJ3051" s="5" t="s">
        <v>240</v>
      </c>
      <c r="BK3051" s="7">
        <f>1</f>
        <v>1</v>
      </c>
      <c r="BL3051" s="7">
        <f>1</f>
        <v>1</v>
      </c>
      <c r="BM3051" s="5" t="s">
        <v>258</v>
      </c>
      <c r="BN3051" s="5" t="s">
        <v>259</v>
      </c>
      <c r="BO3051" s="5" t="s">
        <v>240</v>
      </c>
      <c r="BP3051" s="5" t="s">
        <v>240</v>
      </c>
      <c r="BQ3051" s="5" t="s">
        <v>240</v>
      </c>
      <c r="BR3051" s="5" t="s">
        <v>240</v>
      </c>
      <c r="BS3051" s="5" t="s">
        <v>240</v>
      </c>
      <c r="BT3051" s="5" t="s">
        <v>240</v>
      </c>
      <c r="BU3051" s="5" t="s">
        <v>240</v>
      </c>
      <c r="BV3051" s="5" t="s">
        <v>240</v>
      </c>
      <c r="BW3051" s="6" t="s">
        <v>240</v>
      </c>
      <c r="BX3051" s="5" t="s">
        <v>240</v>
      </c>
      <c r="BY3051" s="5" t="s">
        <v>240</v>
      </c>
      <c r="BZ3051" s="5" t="s">
        <v>240</v>
      </c>
      <c r="CA3051" s="5" t="s">
        <v>259</v>
      </c>
      <c r="CB3051" s="5" t="s">
        <v>240</v>
      </c>
      <c r="CC3051" s="5" t="s">
        <v>240</v>
      </c>
      <c r="CD3051" s="5" t="s">
        <v>240</v>
      </c>
      <c r="CE3051" s="5" t="s">
        <v>240</v>
      </c>
      <c r="CF3051" s="5" t="s">
        <v>240</v>
      </c>
      <c r="CG3051" s="5" t="s">
        <v>304</v>
      </c>
      <c r="CH3051" s="5" t="s">
        <v>305</v>
      </c>
      <c r="CI3051" s="5" t="s">
        <v>240</v>
      </c>
      <c r="CK3051" s="5" t="s">
        <v>3681</v>
      </c>
      <c r="CL3051" s="6" t="s">
        <v>261</v>
      </c>
      <c r="CM3051" s="5" t="s">
        <v>262</v>
      </c>
      <c r="CN3051" s="5" t="s">
        <v>263</v>
      </c>
      <c r="CO3051" s="5" t="s">
        <v>264</v>
      </c>
      <c r="CP3051" s="5" t="s">
        <v>240</v>
      </c>
      <c r="CQ3051" s="5">
        <v>0</v>
      </c>
      <c r="CR3051" s="5" t="s">
        <v>735</v>
      </c>
      <c r="CS3051" s="5" t="s">
        <v>307</v>
      </c>
      <c r="CT3051" s="5" t="s">
        <v>307</v>
      </c>
      <c r="CU3051" s="5" t="s">
        <v>260</v>
      </c>
      <c r="CV3051" s="5" t="s">
        <v>612</v>
      </c>
      <c r="CW3051" s="8">
        <f>1</f>
        <v>1</v>
      </c>
      <c r="CX3051" s="7">
        <f>1</f>
        <v>1</v>
      </c>
      <c r="CY3051" s="7">
        <f>0</f>
        <v>0</v>
      </c>
      <c r="DA3051" s="7">
        <f>1</f>
        <v>1</v>
      </c>
      <c r="DB3051" s="7" t="s">
        <v>240</v>
      </c>
      <c r="DC3051" s="5" t="s">
        <v>240</v>
      </c>
      <c r="DD3051" s="5" t="s">
        <v>240</v>
      </c>
      <c r="DE3051" s="5" t="s">
        <v>240</v>
      </c>
      <c r="DF3051" s="5" t="s">
        <v>240</v>
      </c>
      <c r="DG3051" s="7">
        <f>0</f>
        <v>0</v>
      </c>
      <c r="DI3051" s="5" t="s">
        <v>240</v>
      </c>
      <c r="DJ3051" s="5" t="s">
        <v>240</v>
      </c>
      <c r="DK3051" s="5" t="s">
        <v>240</v>
      </c>
      <c r="DL3051" s="5" t="s">
        <v>240</v>
      </c>
      <c r="DM3051" s="5" t="s">
        <v>240</v>
      </c>
      <c r="DN3051" s="5" t="s">
        <v>240</v>
      </c>
      <c r="DO3051" s="7" t="s">
        <v>240</v>
      </c>
      <c r="DP3051" s="5" t="s">
        <v>240</v>
      </c>
      <c r="DQ3051" s="5" t="s">
        <v>240</v>
      </c>
      <c r="DR3051" s="5" t="s">
        <v>731</v>
      </c>
      <c r="DS3051" s="5" t="s">
        <v>731</v>
      </c>
      <c r="DT3051" s="5" t="s">
        <v>240</v>
      </c>
      <c r="DU3051" s="5" t="s">
        <v>240</v>
      </c>
      <c r="DV3051" s="5" t="s">
        <v>3683</v>
      </c>
      <c r="DW3051" s="5" t="s">
        <v>621</v>
      </c>
      <c r="DX3051" s="5" t="s">
        <v>240</v>
      </c>
      <c r="DY3051" s="5" t="s">
        <v>240</v>
      </c>
      <c r="DZ3051" s="5" t="s">
        <v>240</v>
      </c>
      <c r="EA3051" s="5" t="s">
        <v>240</v>
      </c>
      <c r="EB3051" s="5" t="s">
        <v>240</v>
      </c>
      <c r="EC3051" s="5" t="s">
        <v>240</v>
      </c>
      <c r="ED3051" s="5" t="s">
        <v>240</v>
      </c>
      <c r="EE3051" s="5" t="s">
        <v>240</v>
      </c>
      <c r="EF3051" s="5" t="s">
        <v>240</v>
      </c>
      <c r="EG3051" s="5" t="s">
        <v>240</v>
      </c>
      <c r="EH3051" s="5" t="s">
        <v>240</v>
      </c>
      <c r="EI3051" s="5" t="s">
        <v>240</v>
      </c>
      <c r="EJ3051" s="5" t="s">
        <v>240</v>
      </c>
      <c r="EK3051" s="5" t="s">
        <v>240</v>
      </c>
      <c r="EL3051" s="5" t="s">
        <v>240</v>
      </c>
      <c r="EM3051" s="5" t="s">
        <v>240</v>
      </c>
      <c r="EN3051" s="5" t="s">
        <v>240</v>
      </c>
      <c r="EO3051" s="5" t="s">
        <v>240</v>
      </c>
      <c r="EP3051" s="5" t="s">
        <v>240</v>
      </c>
      <c r="EQ3051" s="5" t="s">
        <v>240</v>
      </c>
      <c r="ER3051" s="5" t="s">
        <v>240</v>
      </c>
      <c r="ES3051" s="5" t="s">
        <v>240</v>
      </c>
      <c r="ET3051" s="5" t="s">
        <v>240</v>
      </c>
      <c r="EU3051" s="5" t="s">
        <v>240</v>
      </c>
      <c r="EV3051" s="5" t="s">
        <v>240</v>
      </c>
      <c r="EW3051" s="5" t="s">
        <v>240</v>
      </c>
      <c r="EX3051" s="5" t="s">
        <v>240</v>
      </c>
      <c r="EY3051" s="5" t="s">
        <v>240</v>
      </c>
      <c r="EZ3051" s="5" t="s">
        <v>240</v>
      </c>
      <c r="FA3051" s="5" t="s">
        <v>240</v>
      </c>
      <c r="FB3051" s="5" t="s">
        <v>240</v>
      </c>
      <c r="FC3051" s="5" t="s">
        <v>240</v>
      </c>
      <c r="FD3051" s="5" t="s">
        <v>240</v>
      </c>
      <c r="FE3051" s="5" t="s">
        <v>240</v>
      </c>
      <c r="FF3051" s="5" t="s">
        <v>240</v>
      </c>
      <c r="FG3051" s="5" t="s">
        <v>240</v>
      </c>
      <c r="FH3051" s="5" t="s">
        <v>240</v>
      </c>
      <c r="FI3051" s="5" t="s">
        <v>240</v>
      </c>
      <c r="FJ3051" s="5" t="s">
        <v>240</v>
      </c>
      <c r="FK3051" s="5" t="s">
        <v>240</v>
      </c>
      <c r="FL3051" s="5" t="s">
        <v>240</v>
      </c>
      <c r="FM3051" s="5" t="s">
        <v>240</v>
      </c>
      <c r="FN3051" s="5" t="s">
        <v>240</v>
      </c>
      <c r="FO3051" s="5" t="s">
        <v>240</v>
      </c>
      <c r="FP3051" s="5" t="s">
        <v>240</v>
      </c>
      <c r="FQ3051" s="5" t="s">
        <v>240</v>
      </c>
      <c r="FR3051" s="5" t="s">
        <v>240</v>
      </c>
      <c r="FS3051" s="5" t="s">
        <v>240</v>
      </c>
      <c r="FT3051" s="5" t="s">
        <v>240</v>
      </c>
      <c r="FU3051" s="5" t="s">
        <v>240</v>
      </c>
      <c r="FV3051" s="5" t="s">
        <v>240</v>
      </c>
      <c r="FW3051" s="5" t="s">
        <v>240</v>
      </c>
      <c r="FX3051" s="5" t="s">
        <v>240</v>
      </c>
      <c r="FY3051" s="5" t="s">
        <v>240</v>
      </c>
      <c r="FZ3051" s="5" t="s">
        <v>240</v>
      </c>
      <c r="GA3051" s="5" t="s">
        <v>240</v>
      </c>
      <c r="GB3051" s="5" t="s">
        <v>240</v>
      </c>
      <c r="GC3051" s="5" t="s">
        <v>240</v>
      </c>
      <c r="GD3051" s="5" t="s">
        <v>240</v>
      </c>
      <c r="GE3051" s="5" t="s">
        <v>240</v>
      </c>
      <c r="GF3051" s="5" t="s">
        <v>240</v>
      </c>
      <c r="GG3051" s="5" t="s">
        <v>240</v>
      </c>
      <c r="GH3051" s="5" t="s">
        <v>240</v>
      </c>
      <c r="GI3051" s="5" t="s">
        <v>240</v>
      </c>
      <c r="GJ3051" s="5" t="s">
        <v>240</v>
      </c>
      <c r="GK3051" s="5" t="s">
        <v>240</v>
      </c>
      <c r="GL3051" s="5" t="s">
        <v>240</v>
      </c>
      <c r="GM3051" s="5" t="s">
        <v>240</v>
      </c>
      <c r="GN3051" s="5" t="s">
        <v>240</v>
      </c>
      <c r="GO3051" s="5" t="s">
        <v>240</v>
      </c>
      <c r="GP3051" s="5" t="s">
        <v>240</v>
      </c>
      <c r="GQ3051" s="5" t="s">
        <v>240</v>
      </c>
      <c r="GR3051" s="5" t="s">
        <v>240</v>
      </c>
      <c r="GS3051" s="5" t="s">
        <v>240</v>
      </c>
      <c r="GT3051" s="5" t="s">
        <v>240</v>
      </c>
      <c r="GU3051" s="5" t="s">
        <v>240</v>
      </c>
      <c r="GV3051" s="5" t="s">
        <v>240</v>
      </c>
      <c r="GW3051" s="5" t="s">
        <v>240</v>
      </c>
      <c r="GX3051" s="5" t="s">
        <v>240</v>
      </c>
      <c r="GY3051" s="5" t="s">
        <v>240</v>
      </c>
      <c r="GZ3051" s="5" t="s">
        <v>240</v>
      </c>
      <c r="HA3051" s="5" t="s">
        <v>240</v>
      </c>
      <c r="HB3051" s="5" t="s">
        <v>240</v>
      </c>
      <c r="HC3051" s="5" t="s">
        <v>240</v>
      </c>
      <c r="HD3051" s="5" t="s">
        <v>240</v>
      </c>
      <c r="HE3051" s="5" t="s">
        <v>240</v>
      </c>
      <c r="HF3051" s="5" t="s">
        <v>240</v>
      </c>
      <c r="HG3051" s="5" t="s">
        <v>240</v>
      </c>
      <c r="HH3051" s="5" t="s">
        <v>240</v>
      </c>
      <c r="HI3051" s="5" t="s">
        <v>240</v>
      </c>
      <c r="HJ3051" s="5" t="s">
        <v>240</v>
      </c>
      <c r="HK3051" s="5" t="s">
        <v>240</v>
      </c>
      <c r="HL3051" s="5" t="s">
        <v>240</v>
      </c>
      <c r="HM3051" s="5" t="s">
        <v>240</v>
      </c>
      <c r="HN3051" s="5" t="s">
        <v>240</v>
      </c>
      <c r="HO3051" s="5" t="s">
        <v>312</v>
      </c>
      <c r="HP3051" s="5" t="s">
        <v>240</v>
      </c>
      <c r="HQ3051" s="5" t="s">
        <v>240</v>
      </c>
      <c r="HR3051" s="5" t="s">
        <v>240</v>
      </c>
      <c r="HS3051" s="5" t="s">
        <v>240</v>
      </c>
      <c r="HT3051" s="5" t="s">
        <v>240</v>
      </c>
      <c r="HU3051" s="5" t="s">
        <v>240</v>
      </c>
      <c r="HV3051" s="5" t="s">
        <v>240</v>
      </c>
      <c r="HW3051" s="5" t="s">
        <v>240</v>
      </c>
      <c r="HX3051" s="5" t="s">
        <v>240</v>
      </c>
      <c r="HY3051" s="5" t="s">
        <v>240</v>
      </c>
      <c r="HZ3051" s="5" t="s">
        <v>240</v>
      </c>
      <c r="IA3051" s="5" t="s">
        <v>240</v>
      </c>
      <c r="IB3051" s="5" t="s">
        <v>240</v>
      </c>
      <c r="IC3051" s="5" t="s">
        <v>240</v>
      </c>
      <c r="ID3051" s="5" t="s">
        <v>240</v>
      </c>
      <c r="IE3051" s="5" t="s">
        <v>240</v>
      </c>
      <c r="IF3051" s="5" t="s">
        <v>240</v>
      </c>
    </row>
    <row r="3052" spans="1:240" x14ac:dyDescent="0.4">
      <c r="A3052" s="5">
        <v>4756</v>
      </c>
      <c r="B3052" s="5">
        <v>1</v>
      </c>
      <c r="C3052" s="5">
        <v>1</v>
      </c>
      <c r="D3052" s="5" t="s">
        <v>810</v>
      </c>
      <c r="E3052" s="5" t="s">
        <v>245</v>
      </c>
      <c r="F3052" s="5" t="s">
        <v>254</v>
      </c>
      <c r="G3052" s="5" t="s">
        <v>240</v>
      </c>
      <c r="H3052" s="6" t="s">
        <v>2441</v>
      </c>
      <c r="I3052" s="5" t="s">
        <v>809</v>
      </c>
      <c r="J3052" s="8">
        <f>182</f>
        <v>182</v>
      </c>
      <c r="K3052" s="5" t="s">
        <v>308</v>
      </c>
      <c r="L3052" s="7">
        <f>1</f>
        <v>1</v>
      </c>
      <c r="M3052" s="7">
        <f>1</f>
        <v>1</v>
      </c>
      <c r="N3052" s="5" t="s">
        <v>242</v>
      </c>
      <c r="O3052" s="5">
        <v>1</v>
      </c>
      <c r="P3052" s="5" t="s">
        <v>294</v>
      </c>
      <c r="Q3052" s="5" t="s">
        <v>3678</v>
      </c>
      <c r="R3052" s="5" t="s">
        <v>240</v>
      </c>
      <c r="S3052" s="5" t="s">
        <v>240</v>
      </c>
      <c r="T3052" s="5" t="s">
        <v>243</v>
      </c>
      <c r="U3052" s="5" t="s">
        <v>244</v>
      </c>
      <c r="V3052" s="5" t="s">
        <v>240</v>
      </c>
      <c r="W3052" s="5" t="s">
        <v>240</v>
      </c>
      <c r="X3052" s="5" t="s">
        <v>240</v>
      </c>
      <c r="Y3052" s="5" t="s">
        <v>240</v>
      </c>
      <c r="Z3052" s="6" t="s">
        <v>298</v>
      </c>
      <c r="AA3052" s="6" t="s">
        <v>240</v>
      </c>
      <c r="AB3052" s="6" t="s">
        <v>240</v>
      </c>
      <c r="AC3052" s="5" t="s">
        <v>240</v>
      </c>
      <c r="AD3052" s="6" t="s">
        <v>240</v>
      </c>
      <c r="AE3052" s="6" t="s">
        <v>299</v>
      </c>
      <c r="AF3052" s="5" t="s">
        <v>248</v>
      </c>
      <c r="AG3052" s="5" t="s">
        <v>249</v>
      </c>
      <c r="AH3052" s="5" t="s">
        <v>240</v>
      </c>
      <c r="AI3052" s="5" t="s">
        <v>240</v>
      </c>
      <c r="AJ3052" s="5" t="s">
        <v>240</v>
      </c>
      <c r="AK3052" s="5" t="s">
        <v>240</v>
      </c>
      <c r="AL3052" s="5" t="s">
        <v>240</v>
      </c>
      <c r="AM3052" s="5" t="s">
        <v>240</v>
      </c>
      <c r="AN3052" s="5" t="s">
        <v>240</v>
      </c>
      <c r="AO3052" s="5" t="s">
        <v>240</v>
      </c>
      <c r="AP3052" s="6" t="s">
        <v>240</v>
      </c>
      <c r="AQ3052" s="6" t="s">
        <v>240</v>
      </c>
      <c r="AR3052" s="6" t="s">
        <v>240</v>
      </c>
      <c r="AS3052" s="6" t="s">
        <v>240</v>
      </c>
      <c r="AT3052" s="5" t="s">
        <v>240</v>
      </c>
      <c r="AU3052" s="5" t="s">
        <v>729</v>
      </c>
      <c r="AV3052" s="5" t="s">
        <v>729</v>
      </c>
      <c r="AW3052" s="5" t="s">
        <v>251</v>
      </c>
      <c r="AX3052" s="5" t="s">
        <v>252</v>
      </c>
      <c r="AY3052" s="5" t="s">
        <v>253</v>
      </c>
      <c r="AZ3052" s="5" t="s">
        <v>240</v>
      </c>
      <c r="BA3052" s="5" t="s">
        <v>255</v>
      </c>
      <c r="BB3052" s="5" t="s">
        <v>731</v>
      </c>
      <c r="BD3052" s="5" t="s">
        <v>240</v>
      </c>
      <c r="BF3052" s="5" t="s">
        <v>732</v>
      </c>
      <c r="BG3052" s="6" t="s">
        <v>733</v>
      </c>
      <c r="BH3052" s="5" t="s">
        <v>734</v>
      </c>
      <c r="BI3052" s="5" t="s">
        <v>734</v>
      </c>
      <c r="BJ3052" s="5" t="s">
        <v>240</v>
      </c>
      <c r="BK3052" s="7">
        <f>1</f>
        <v>1</v>
      </c>
      <c r="BL3052" s="7">
        <f>1</f>
        <v>1</v>
      </c>
      <c r="BM3052" s="5" t="s">
        <v>258</v>
      </c>
      <c r="BN3052" s="5" t="s">
        <v>259</v>
      </c>
      <c r="BO3052" s="5" t="s">
        <v>240</v>
      </c>
      <c r="BP3052" s="5" t="s">
        <v>240</v>
      </c>
      <c r="BQ3052" s="5" t="s">
        <v>240</v>
      </c>
      <c r="BR3052" s="5" t="s">
        <v>240</v>
      </c>
      <c r="BS3052" s="5" t="s">
        <v>240</v>
      </c>
      <c r="BT3052" s="5" t="s">
        <v>240</v>
      </c>
      <c r="BU3052" s="5" t="s">
        <v>240</v>
      </c>
      <c r="BV3052" s="5" t="s">
        <v>240</v>
      </c>
      <c r="BW3052" s="6" t="s">
        <v>240</v>
      </c>
      <c r="BX3052" s="5" t="s">
        <v>240</v>
      </c>
      <c r="BY3052" s="5" t="s">
        <v>240</v>
      </c>
      <c r="BZ3052" s="5" t="s">
        <v>240</v>
      </c>
      <c r="CA3052" s="5" t="s">
        <v>259</v>
      </c>
      <c r="CB3052" s="5" t="s">
        <v>240</v>
      </c>
      <c r="CC3052" s="5" t="s">
        <v>240</v>
      </c>
      <c r="CD3052" s="5" t="s">
        <v>240</v>
      </c>
      <c r="CE3052" s="5" t="s">
        <v>240</v>
      </c>
      <c r="CF3052" s="5" t="s">
        <v>240</v>
      </c>
      <c r="CG3052" s="5" t="s">
        <v>304</v>
      </c>
      <c r="CH3052" s="5" t="s">
        <v>305</v>
      </c>
      <c r="CI3052" s="5" t="s">
        <v>240</v>
      </c>
      <c r="CK3052" s="5" t="s">
        <v>3681</v>
      </c>
      <c r="CL3052" s="6" t="s">
        <v>261</v>
      </c>
      <c r="CM3052" s="5" t="s">
        <v>262</v>
      </c>
      <c r="CN3052" s="5" t="s">
        <v>263</v>
      </c>
      <c r="CO3052" s="5" t="s">
        <v>264</v>
      </c>
      <c r="CP3052" s="5" t="s">
        <v>240</v>
      </c>
      <c r="CQ3052" s="5">
        <v>0</v>
      </c>
      <c r="CR3052" s="5" t="s">
        <v>735</v>
      </c>
      <c r="CS3052" s="5" t="s">
        <v>307</v>
      </c>
      <c r="CT3052" s="5" t="s">
        <v>307</v>
      </c>
      <c r="CU3052" s="5" t="s">
        <v>260</v>
      </c>
      <c r="CV3052" s="5" t="s">
        <v>612</v>
      </c>
      <c r="CW3052" s="8">
        <f>1</f>
        <v>1</v>
      </c>
      <c r="CX3052" s="7">
        <f>1</f>
        <v>1</v>
      </c>
      <c r="CY3052" s="7">
        <f>0</f>
        <v>0</v>
      </c>
      <c r="DA3052" s="7">
        <f>1</f>
        <v>1</v>
      </c>
      <c r="DB3052" s="7" t="s">
        <v>240</v>
      </c>
      <c r="DC3052" s="5" t="s">
        <v>240</v>
      </c>
      <c r="DD3052" s="5" t="s">
        <v>240</v>
      </c>
      <c r="DE3052" s="5" t="s">
        <v>240</v>
      </c>
      <c r="DF3052" s="5" t="s">
        <v>240</v>
      </c>
      <c r="DG3052" s="7">
        <f>0</f>
        <v>0</v>
      </c>
      <c r="DI3052" s="5" t="s">
        <v>240</v>
      </c>
      <c r="DJ3052" s="5" t="s">
        <v>240</v>
      </c>
      <c r="DK3052" s="5" t="s">
        <v>240</v>
      </c>
      <c r="DL3052" s="5" t="s">
        <v>240</v>
      </c>
      <c r="DM3052" s="5" t="s">
        <v>240</v>
      </c>
      <c r="DN3052" s="5" t="s">
        <v>240</v>
      </c>
      <c r="DO3052" s="7" t="s">
        <v>240</v>
      </c>
      <c r="DP3052" s="5" t="s">
        <v>240</v>
      </c>
      <c r="DQ3052" s="5" t="s">
        <v>240</v>
      </c>
      <c r="DR3052" s="5" t="s">
        <v>731</v>
      </c>
      <c r="DS3052" s="5" t="s">
        <v>731</v>
      </c>
      <c r="DT3052" s="5" t="s">
        <v>240</v>
      </c>
      <c r="DU3052" s="5" t="s">
        <v>240</v>
      </c>
      <c r="DV3052" s="5" t="s">
        <v>3683</v>
      </c>
      <c r="DW3052" s="5" t="s">
        <v>818</v>
      </c>
      <c r="DX3052" s="5" t="s">
        <v>240</v>
      </c>
      <c r="DY3052" s="5" t="s">
        <v>240</v>
      </c>
      <c r="DZ3052" s="5" t="s">
        <v>240</v>
      </c>
      <c r="EA3052" s="5" t="s">
        <v>240</v>
      </c>
      <c r="EB3052" s="5" t="s">
        <v>240</v>
      </c>
      <c r="EC3052" s="5" t="s">
        <v>240</v>
      </c>
      <c r="ED3052" s="5" t="s">
        <v>240</v>
      </c>
      <c r="EE3052" s="5" t="s">
        <v>240</v>
      </c>
      <c r="EF3052" s="5" t="s">
        <v>240</v>
      </c>
      <c r="EG3052" s="5" t="s">
        <v>240</v>
      </c>
      <c r="EH3052" s="5" t="s">
        <v>240</v>
      </c>
      <c r="EI3052" s="5" t="s">
        <v>240</v>
      </c>
      <c r="EJ3052" s="5" t="s">
        <v>240</v>
      </c>
      <c r="EK3052" s="5" t="s">
        <v>240</v>
      </c>
      <c r="EL3052" s="5" t="s">
        <v>240</v>
      </c>
      <c r="EM3052" s="5" t="s">
        <v>240</v>
      </c>
      <c r="EN3052" s="5" t="s">
        <v>240</v>
      </c>
      <c r="EO3052" s="5" t="s">
        <v>240</v>
      </c>
      <c r="EP3052" s="5" t="s">
        <v>240</v>
      </c>
      <c r="EQ3052" s="5" t="s">
        <v>240</v>
      </c>
      <c r="ER3052" s="5" t="s">
        <v>240</v>
      </c>
      <c r="ES3052" s="5" t="s">
        <v>240</v>
      </c>
      <c r="ET3052" s="5" t="s">
        <v>240</v>
      </c>
      <c r="EU3052" s="5" t="s">
        <v>240</v>
      </c>
      <c r="EV3052" s="5" t="s">
        <v>240</v>
      </c>
      <c r="EW3052" s="5" t="s">
        <v>240</v>
      </c>
      <c r="EX3052" s="5" t="s">
        <v>240</v>
      </c>
      <c r="EY3052" s="5" t="s">
        <v>240</v>
      </c>
      <c r="EZ3052" s="5" t="s">
        <v>240</v>
      </c>
      <c r="FA3052" s="5" t="s">
        <v>240</v>
      </c>
      <c r="FB3052" s="5" t="s">
        <v>240</v>
      </c>
      <c r="FC3052" s="5" t="s">
        <v>240</v>
      </c>
      <c r="FD3052" s="5" t="s">
        <v>240</v>
      </c>
      <c r="FE3052" s="5" t="s">
        <v>240</v>
      </c>
      <c r="FF3052" s="5" t="s">
        <v>240</v>
      </c>
      <c r="FG3052" s="5" t="s">
        <v>240</v>
      </c>
      <c r="FH3052" s="5" t="s">
        <v>240</v>
      </c>
      <c r="FI3052" s="5" t="s">
        <v>240</v>
      </c>
      <c r="FJ3052" s="5" t="s">
        <v>240</v>
      </c>
      <c r="FK3052" s="5" t="s">
        <v>240</v>
      </c>
      <c r="FL3052" s="5" t="s">
        <v>240</v>
      </c>
      <c r="FM3052" s="5" t="s">
        <v>240</v>
      </c>
      <c r="FN3052" s="5" t="s">
        <v>240</v>
      </c>
      <c r="FO3052" s="5" t="s">
        <v>240</v>
      </c>
      <c r="FP3052" s="5" t="s">
        <v>240</v>
      </c>
      <c r="FQ3052" s="5" t="s">
        <v>240</v>
      </c>
      <c r="FR3052" s="5" t="s">
        <v>240</v>
      </c>
      <c r="FS3052" s="5" t="s">
        <v>240</v>
      </c>
      <c r="FT3052" s="5" t="s">
        <v>240</v>
      </c>
      <c r="FU3052" s="5" t="s">
        <v>240</v>
      </c>
      <c r="FV3052" s="5" t="s">
        <v>240</v>
      </c>
      <c r="FW3052" s="5" t="s">
        <v>240</v>
      </c>
      <c r="FX3052" s="5" t="s">
        <v>240</v>
      </c>
      <c r="FY3052" s="5" t="s">
        <v>240</v>
      </c>
      <c r="FZ3052" s="5" t="s">
        <v>240</v>
      </c>
      <c r="GA3052" s="5" t="s">
        <v>240</v>
      </c>
      <c r="GB3052" s="5" t="s">
        <v>240</v>
      </c>
      <c r="GC3052" s="5" t="s">
        <v>240</v>
      </c>
      <c r="GD3052" s="5" t="s">
        <v>240</v>
      </c>
      <c r="GE3052" s="5" t="s">
        <v>240</v>
      </c>
      <c r="GF3052" s="5" t="s">
        <v>240</v>
      </c>
      <c r="GG3052" s="5" t="s">
        <v>240</v>
      </c>
      <c r="GH3052" s="5" t="s">
        <v>240</v>
      </c>
      <c r="GI3052" s="5" t="s">
        <v>240</v>
      </c>
      <c r="GJ3052" s="5" t="s">
        <v>240</v>
      </c>
      <c r="GK3052" s="5" t="s">
        <v>240</v>
      </c>
      <c r="GL3052" s="5" t="s">
        <v>240</v>
      </c>
      <c r="GM3052" s="5" t="s">
        <v>240</v>
      </c>
      <c r="GN3052" s="5" t="s">
        <v>240</v>
      </c>
      <c r="GO3052" s="5" t="s">
        <v>240</v>
      </c>
      <c r="GP3052" s="5" t="s">
        <v>240</v>
      </c>
      <c r="GQ3052" s="5" t="s">
        <v>240</v>
      </c>
      <c r="GR3052" s="5" t="s">
        <v>240</v>
      </c>
      <c r="GS3052" s="5" t="s">
        <v>240</v>
      </c>
      <c r="GT3052" s="5" t="s">
        <v>240</v>
      </c>
      <c r="GU3052" s="5" t="s">
        <v>240</v>
      </c>
      <c r="GV3052" s="5" t="s">
        <v>240</v>
      </c>
      <c r="GW3052" s="5" t="s">
        <v>240</v>
      </c>
      <c r="GX3052" s="5" t="s">
        <v>240</v>
      </c>
      <c r="GY3052" s="5" t="s">
        <v>240</v>
      </c>
      <c r="GZ3052" s="5" t="s">
        <v>240</v>
      </c>
      <c r="HA3052" s="5" t="s">
        <v>240</v>
      </c>
      <c r="HB3052" s="5" t="s">
        <v>240</v>
      </c>
      <c r="HC3052" s="5" t="s">
        <v>240</v>
      </c>
      <c r="HD3052" s="5" t="s">
        <v>240</v>
      </c>
      <c r="HE3052" s="5" t="s">
        <v>240</v>
      </c>
      <c r="HF3052" s="5" t="s">
        <v>240</v>
      </c>
      <c r="HG3052" s="5" t="s">
        <v>240</v>
      </c>
      <c r="HH3052" s="5" t="s">
        <v>240</v>
      </c>
      <c r="HI3052" s="5" t="s">
        <v>240</v>
      </c>
      <c r="HJ3052" s="5" t="s">
        <v>240</v>
      </c>
      <c r="HK3052" s="5" t="s">
        <v>240</v>
      </c>
      <c r="HL3052" s="5" t="s">
        <v>240</v>
      </c>
      <c r="HM3052" s="5" t="s">
        <v>240</v>
      </c>
      <c r="HN3052" s="5" t="s">
        <v>240</v>
      </c>
      <c r="HO3052" s="5" t="s">
        <v>312</v>
      </c>
      <c r="HP3052" s="5" t="s">
        <v>240</v>
      </c>
      <c r="HQ3052" s="5" t="s">
        <v>240</v>
      </c>
      <c r="HR3052" s="5" t="s">
        <v>240</v>
      </c>
      <c r="HS3052" s="5" t="s">
        <v>240</v>
      </c>
      <c r="HT3052" s="5" t="s">
        <v>240</v>
      </c>
      <c r="HU3052" s="5" t="s">
        <v>240</v>
      </c>
      <c r="HV3052" s="5" t="s">
        <v>240</v>
      </c>
      <c r="HW3052" s="5" t="s">
        <v>240</v>
      </c>
      <c r="HX3052" s="5" t="s">
        <v>240</v>
      </c>
      <c r="HY3052" s="5" t="s">
        <v>240</v>
      </c>
      <c r="HZ3052" s="5" t="s">
        <v>240</v>
      </c>
      <c r="IA3052" s="5" t="s">
        <v>240</v>
      </c>
      <c r="IB3052" s="5" t="s">
        <v>240</v>
      </c>
      <c r="IC3052" s="5" t="s">
        <v>240</v>
      </c>
      <c r="ID3052" s="5" t="s">
        <v>240</v>
      </c>
      <c r="IE3052" s="5" t="s">
        <v>240</v>
      </c>
      <c r="IF3052" s="5" t="s">
        <v>240</v>
      </c>
    </row>
    <row r="3053" spans="1:240" x14ac:dyDescent="0.4">
      <c r="A3053" s="5">
        <v>4757</v>
      </c>
      <c r="B3053" s="5">
        <v>1</v>
      </c>
      <c r="C3053" s="5">
        <v>1</v>
      </c>
      <c r="D3053" s="5" t="s">
        <v>810</v>
      </c>
      <c r="E3053" s="5" t="s">
        <v>245</v>
      </c>
      <c r="F3053" s="5" t="s">
        <v>254</v>
      </c>
      <c r="G3053" s="5" t="s">
        <v>240</v>
      </c>
      <c r="H3053" s="6" t="s">
        <v>2439</v>
      </c>
      <c r="I3053" s="5" t="s">
        <v>809</v>
      </c>
      <c r="J3053" s="8">
        <f>1796</f>
        <v>1796</v>
      </c>
      <c r="K3053" s="5" t="s">
        <v>308</v>
      </c>
      <c r="L3053" s="7">
        <f>1</f>
        <v>1</v>
      </c>
      <c r="M3053" s="7">
        <f>1</f>
        <v>1</v>
      </c>
      <c r="N3053" s="5" t="s">
        <v>242</v>
      </c>
      <c r="O3053" s="5">
        <v>1</v>
      </c>
      <c r="P3053" s="5" t="s">
        <v>294</v>
      </c>
      <c r="Q3053" s="5" t="s">
        <v>3678</v>
      </c>
      <c r="R3053" s="5" t="s">
        <v>240</v>
      </c>
      <c r="S3053" s="5" t="s">
        <v>240</v>
      </c>
      <c r="T3053" s="5" t="s">
        <v>243</v>
      </c>
      <c r="U3053" s="5" t="s">
        <v>244</v>
      </c>
      <c r="V3053" s="5" t="s">
        <v>240</v>
      </c>
      <c r="W3053" s="5" t="s">
        <v>240</v>
      </c>
      <c r="X3053" s="5" t="s">
        <v>240</v>
      </c>
      <c r="Y3053" s="5" t="s">
        <v>240</v>
      </c>
      <c r="Z3053" s="6" t="s">
        <v>298</v>
      </c>
      <c r="AA3053" s="6" t="s">
        <v>240</v>
      </c>
      <c r="AB3053" s="6" t="s">
        <v>240</v>
      </c>
      <c r="AC3053" s="5" t="s">
        <v>240</v>
      </c>
      <c r="AD3053" s="6" t="s">
        <v>240</v>
      </c>
      <c r="AE3053" s="6" t="s">
        <v>299</v>
      </c>
      <c r="AF3053" s="5" t="s">
        <v>248</v>
      </c>
      <c r="AG3053" s="5" t="s">
        <v>249</v>
      </c>
      <c r="AH3053" s="5" t="s">
        <v>240</v>
      </c>
      <c r="AI3053" s="5" t="s">
        <v>240</v>
      </c>
      <c r="AJ3053" s="5" t="s">
        <v>240</v>
      </c>
      <c r="AK3053" s="5" t="s">
        <v>240</v>
      </c>
      <c r="AL3053" s="5" t="s">
        <v>240</v>
      </c>
      <c r="AM3053" s="5" t="s">
        <v>240</v>
      </c>
      <c r="AN3053" s="5" t="s">
        <v>240</v>
      </c>
      <c r="AO3053" s="5" t="s">
        <v>240</v>
      </c>
      <c r="AP3053" s="6" t="s">
        <v>240</v>
      </c>
      <c r="AQ3053" s="6" t="s">
        <v>240</v>
      </c>
      <c r="AR3053" s="6" t="s">
        <v>240</v>
      </c>
      <c r="AS3053" s="6" t="s">
        <v>240</v>
      </c>
      <c r="AT3053" s="5" t="s">
        <v>240</v>
      </c>
      <c r="AU3053" s="5" t="s">
        <v>729</v>
      </c>
      <c r="AV3053" s="5" t="s">
        <v>729</v>
      </c>
      <c r="AW3053" s="5" t="s">
        <v>251</v>
      </c>
      <c r="AX3053" s="5" t="s">
        <v>252</v>
      </c>
      <c r="AY3053" s="5" t="s">
        <v>253</v>
      </c>
      <c r="AZ3053" s="5" t="s">
        <v>240</v>
      </c>
      <c r="BA3053" s="5" t="s">
        <v>255</v>
      </c>
      <c r="BB3053" s="5" t="s">
        <v>731</v>
      </c>
      <c r="BD3053" s="5" t="s">
        <v>240</v>
      </c>
      <c r="BF3053" s="5" t="s">
        <v>732</v>
      </c>
      <c r="BG3053" s="6" t="s">
        <v>733</v>
      </c>
      <c r="BH3053" s="5" t="s">
        <v>734</v>
      </c>
      <c r="BI3053" s="5" t="s">
        <v>734</v>
      </c>
      <c r="BJ3053" s="5" t="s">
        <v>240</v>
      </c>
      <c r="BK3053" s="7">
        <f>1</f>
        <v>1</v>
      </c>
      <c r="BL3053" s="7">
        <f>1</f>
        <v>1</v>
      </c>
      <c r="BM3053" s="5" t="s">
        <v>258</v>
      </c>
      <c r="BN3053" s="5" t="s">
        <v>259</v>
      </c>
      <c r="BO3053" s="5" t="s">
        <v>240</v>
      </c>
      <c r="BP3053" s="5" t="s">
        <v>240</v>
      </c>
      <c r="BQ3053" s="5" t="s">
        <v>240</v>
      </c>
      <c r="BR3053" s="5" t="s">
        <v>240</v>
      </c>
      <c r="BS3053" s="5" t="s">
        <v>240</v>
      </c>
      <c r="BT3053" s="5" t="s">
        <v>240</v>
      </c>
      <c r="BU3053" s="5" t="s">
        <v>240</v>
      </c>
      <c r="BV3053" s="5" t="s">
        <v>240</v>
      </c>
      <c r="BW3053" s="6" t="s">
        <v>240</v>
      </c>
      <c r="BX3053" s="5" t="s">
        <v>240</v>
      </c>
      <c r="BY3053" s="5" t="s">
        <v>240</v>
      </c>
      <c r="BZ3053" s="5" t="s">
        <v>240</v>
      </c>
      <c r="CA3053" s="5" t="s">
        <v>259</v>
      </c>
      <c r="CB3053" s="5" t="s">
        <v>240</v>
      </c>
      <c r="CC3053" s="5" t="s">
        <v>240</v>
      </c>
      <c r="CD3053" s="5" t="s">
        <v>240</v>
      </c>
      <c r="CE3053" s="5" t="s">
        <v>240</v>
      </c>
      <c r="CF3053" s="5" t="s">
        <v>240</v>
      </c>
      <c r="CG3053" s="5" t="s">
        <v>304</v>
      </c>
      <c r="CH3053" s="5" t="s">
        <v>305</v>
      </c>
      <c r="CI3053" s="5" t="s">
        <v>240</v>
      </c>
      <c r="CK3053" s="5" t="s">
        <v>3681</v>
      </c>
      <c r="CL3053" s="6" t="s">
        <v>261</v>
      </c>
      <c r="CM3053" s="5" t="s">
        <v>262</v>
      </c>
      <c r="CN3053" s="5" t="s">
        <v>263</v>
      </c>
      <c r="CO3053" s="5" t="s">
        <v>264</v>
      </c>
      <c r="CP3053" s="5" t="s">
        <v>240</v>
      </c>
      <c r="CQ3053" s="5">
        <v>0</v>
      </c>
      <c r="CR3053" s="5" t="s">
        <v>735</v>
      </c>
      <c r="CS3053" s="5" t="s">
        <v>307</v>
      </c>
      <c r="CT3053" s="5" t="s">
        <v>307</v>
      </c>
      <c r="CU3053" s="5" t="s">
        <v>260</v>
      </c>
      <c r="CV3053" s="5" t="s">
        <v>612</v>
      </c>
      <c r="CW3053" s="8">
        <f>1</f>
        <v>1</v>
      </c>
      <c r="CX3053" s="7">
        <f>1</f>
        <v>1</v>
      </c>
      <c r="CY3053" s="7">
        <f>0</f>
        <v>0</v>
      </c>
      <c r="DA3053" s="7">
        <f>1</f>
        <v>1</v>
      </c>
      <c r="DB3053" s="7" t="s">
        <v>240</v>
      </c>
      <c r="DC3053" s="5" t="s">
        <v>240</v>
      </c>
      <c r="DD3053" s="5" t="s">
        <v>240</v>
      </c>
      <c r="DE3053" s="5" t="s">
        <v>240</v>
      </c>
      <c r="DF3053" s="5" t="s">
        <v>240</v>
      </c>
      <c r="DG3053" s="7">
        <f>0</f>
        <v>0</v>
      </c>
      <c r="DI3053" s="5" t="s">
        <v>240</v>
      </c>
      <c r="DJ3053" s="5" t="s">
        <v>240</v>
      </c>
      <c r="DK3053" s="5" t="s">
        <v>240</v>
      </c>
      <c r="DL3053" s="5" t="s">
        <v>240</v>
      </c>
      <c r="DM3053" s="5" t="s">
        <v>240</v>
      </c>
      <c r="DN3053" s="5" t="s">
        <v>240</v>
      </c>
      <c r="DO3053" s="7" t="s">
        <v>240</v>
      </c>
      <c r="DP3053" s="5" t="s">
        <v>240</v>
      </c>
      <c r="DQ3053" s="5" t="s">
        <v>240</v>
      </c>
      <c r="DR3053" s="5" t="s">
        <v>731</v>
      </c>
      <c r="DS3053" s="5" t="s">
        <v>731</v>
      </c>
      <c r="DT3053" s="5" t="s">
        <v>240</v>
      </c>
      <c r="DU3053" s="5" t="s">
        <v>240</v>
      </c>
      <c r="DV3053" s="5" t="s">
        <v>3683</v>
      </c>
      <c r="DW3053" s="5" t="s">
        <v>804</v>
      </c>
      <c r="DX3053" s="5" t="s">
        <v>240</v>
      </c>
      <c r="DY3053" s="5" t="s">
        <v>240</v>
      </c>
      <c r="DZ3053" s="5" t="s">
        <v>240</v>
      </c>
      <c r="EA3053" s="5" t="s">
        <v>240</v>
      </c>
      <c r="EB3053" s="5" t="s">
        <v>240</v>
      </c>
      <c r="EC3053" s="5" t="s">
        <v>240</v>
      </c>
      <c r="ED3053" s="5" t="s">
        <v>240</v>
      </c>
      <c r="EE3053" s="5" t="s">
        <v>240</v>
      </c>
      <c r="EF3053" s="5" t="s">
        <v>240</v>
      </c>
      <c r="EG3053" s="5" t="s">
        <v>240</v>
      </c>
      <c r="EH3053" s="5" t="s">
        <v>240</v>
      </c>
      <c r="EI3053" s="5" t="s">
        <v>240</v>
      </c>
      <c r="EJ3053" s="5" t="s">
        <v>240</v>
      </c>
      <c r="EK3053" s="5" t="s">
        <v>240</v>
      </c>
      <c r="EL3053" s="5" t="s">
        <v>240</v>
      </c>
      <c r="EM3053" s="5" t="s">
        <v>240</v>
      </c>
      <c r="EN3053" s="5" t="s">
        <v>240</v>
      </c>
      <c r="EO3053" s="5" t="s">
        <v>240</v>
      </c>
      <c r="EP3053" s="5" t="s">
        <v>240</v>
      </c>
      <c r="EQ3053" s="5" t="s">
        <v>240</v>
      </c>
      <c r="ER3053" s="5" t="s">
        <v>240</v>
      </c>
      <c r="ES3053" s="5" t="s">
        <v>240</v>
      </c>
      <c r="ET3053" s="5" t="s">
        <v>240</v>
      </c>
      <c r="EU3053" s="5" t="s">
        <v>240</v>
      </c>
      <c r="EV3053" s="5" t="s">
        <v>240</v>
      </c>
      <c r="EW3053" s="5" t="s">
        <v>240</v>
      </c>
      <c r="EX3053" s="5" t="s">
        <v>240</v>
      </c>
      <c r="EY3053" s="5" t="s">
        <v>240</v>
      </c>
      <c r="EZ3053" s="5" t="s">
        <v>240</v>
      </c>
      <c r="FA3053" s="5" t="s">
        <v>240</v>
      </c>
      <c r="FB3053" s="5" t="s">
        <v>240</v>
      </c>
      <c r="FC3053" s="5" t="s">
        <v>240</v>
      </c>
      <c r="FD3053" s="5" t="s">
        <v>240</v>
      </c>
      <c r="FE3053" s="5" t="s">
        <v>240</v>
      </c>
      <c r="FF3053" s="5" t="s">
        <v>240</v>
      </c>
      <c r="FG3053" s="5" t="s">
        <v>240</v>
      </c>
      <c r="FH3053" s="5" t="s">
        <v>240</v>
      </c>
      <c r="FI3053" s="5" t="s">
        <v>240</v>
      </c>
      <c r="FJ3053" s="5" t="s">
        <v>240</v>
      </c>
      <c r="FK3053" s="5" t="s">
        <v>240</v>
      </c>
      <c r="FL3053" s="5" t="s">
        <v>240</v>
      </c>
      <c r="FM3053" s="5" t="s">
        <v>240</v>
      </c>
      <c r="FN3053" s="5" t="s">
        <v>240</v>
      </c>
      <c r="FO3053" s="5" t="s">
        <v>240</v>
      </c>
      <c r="FP3053" s="5" t="s">
        <v>240</v>
      </c>
      <c r="FQ3053" s="5" t="s">
        <v>240</v>
      </c>
      <c r="FR3053" s="5" t="s">
        <v>240</v>
      </c>
      <c r="FS3053" s="5" t="s">
        <v>240</v>
      </c>
      <c r="FT3053" s="5" t="s">
        <v>240</v>
      </c>
      <c r="FU3053" s="5" t="s">
        <v>240</v>
      </c>
      <c r="FV3053" s="5" t="s">
        <v>240</v>
      </c>
      <c r="FW3053" s="5" t="s">
        <v>240</v>
      </c>
      <c r="FX3053" s="5" t="s">
        <v>240</v>
      </c>
      <c r="FY3053" s="5" t="s">
        <v>240</v>
      </c>
      <c r="FZ3053" s="5" t="s">
        <v>240</v>
      </c>
      <c r="GA3053" s="5" t="s">
        <v>240</v>
      </c>
      <c r="GB3053" s="5" t="s">
        <v>240</v>
      </c>
      <c r="GC3053" s="5" t="s">
        <v>240</v>
      </c>
      <c r="GD3053" s="5" t="s">
        <v>240</v>
      </c>
      <c r="GE3053" s="5" t="s">
        <v>240</v>
      </c>
      <c r="GF3053" s="5" t="s">
        <v>240</v>
      </c>
      <c r="GG3053" s="5" t="s">
        <v>240</v>
      </c>
      <c r="GH3053" s="5" t="s">
        <v>240</v>
      </c>
      <c r="GI3053" s="5" t="s">
        <v>240</v>
      </c>
      <c r="GJ3053" s="5" t="s">
        <v>240</v>
      </c>
      <c r="GK3053" s="5" t="s">
        <v>240</v>
      </c>
      <c r="GL3053" s="5" t="s">
        <v>240</v>
      </c>
      <c r="GM3053" s="5" t="s">
        <v>240</v>
      </c>
      <c r="GN3053" s="5" t="s">
        <v>240</v>
      </c>
      <c r="GO3053" s="5" t="s">
        <v>240</v>
      </c>
      <c r="GP3053" s="5" t="s">
        <v>240</v>
      </c>
      <c r="GQ3053" s="5" t="s">
        <v>240</v>
      </c>
      <c r="GR3053" s="5" t="s">
        <v>240</v>
      </c>
      <c r="GS3053" s="5" t="s">
        <v>240</v>
      </c>
      <c r="GT3053" s="5" t="s">
        <v>240</v>
      </c>
      <c r="GU3053" s="5" t="s">
        <v>240</v>
      </c>
      <c r="GV3053" s="5" t="s">
        <v>240</v>
      </c>
      <c r="GW3053" s="5" t="s">
        <v>240</v>
      </c>
      <c r="GX3053" s="5" t="s">
        <v>240</v>
      </c>
      <c r="GY3053" s="5" t="s">
        <v>240</v>
      </c>
      <c r="GZ3053" s="5" t="s">
        <v>240</v>
      </c>
      <c r="HA3053" s="5" t="s">
        <v>240</v>
      </c>
      <c r="HB3053" s="5" t="s">
        <v>240</v>
      </c>
      <c r="HC3053" s="5" t="s">
        <v>240</v>
      </c>
      <c r="HD3053" s="5" t="s">
        <v>240</v>
      </c>
      <c r="HE3053" s="5" t="s">
        <v>240</v>
      </c>
      <c r="HF3053" s="5" t="s">
        <v>240</v>
      </c>
      <c r="HG3053" s="5" t="s">
        <v>240</v>
      </c>
      <c r="HH3053" s="5" t="s">
        <v>240</v>
      </c>
      <c r="HI3053" s="5" t="s">
        <v>240</v>
      </c>
      <c r="HJ3053" s="5" t="s">
        <v>240</v>
      </c>
      <c r="HK3053" s="5" t="s">
        <v>240</v>
      </c>
      <c r="HL3053" s="5" t="s">
        <v>240</v>
      </c>
      <c r="HM3053" s="5" t="s">
        <v>240</v>
      </c>
      <c r="HN3053" s="5" t="s">
        <v>240</v>
      </c>
      <c r="HO3053" s="5" t="s">
        <v>312</v>
      </c>
      <c r="HP3053" s="5" t="s">
        <v>240</v>
      </c>
      <c r="HQ3053" s="5" t="s">
        <v>240</v>
      </c>
      <c r="HR3053" s="5" t="s">
        <v>240</v>
      </c>
      <c r="HS3053" s="5" t="s">
        <v>240</v>
      </c>
      <c r="HT3053" s="5" t="s">
        <v>240</v>
      </c>
      <c r="HU3053" s="5" t="s">
        <v>240</v>
      </c>
      <c r="HV3053" s="5" t="s">
        <v>240</v>
      </c>
      <c r="HW3053" s="5" t="s">
        <v>240</v>
      </c>
      <c r="HX3053" s="5" t="s">
        <v>240</v>
      </c>
      <c r="HY3053" s="5" t="s">
        <v>240</v>
      </c>
      <c r="HZ3053" s="5" t="s">
        <v>240</v>
      </c>
      <c r="IA3053" s="5" t="s">
        <v>240</v>
      </c>
      <c r="IB3053" s="5" t="s">
        <v>240</v>
      </c>
      <c r="IC3053" s="5" t="s">
        <v>240</v>
      </c>
      <c r="ID3053" s="5" t="s">
        <v>240</v>
      </c>
      <c r="IE3053" s="5" t="s">
        <v>240</v>
      </c>
      <c r="IF3053" s="5" t="s">
        <v>240</v>
      </c>
    </row>
    <row r="3054" spans="1:240" x14ac:dyDescent="0.4">
      <c r="A3054" s="5">
        <v>4758</v>
      </c>
      <c r="B3054" s="5">
        <v>1</v>
      </c>
      <c r="C3054" s="5">
        <v>1</v>
      </c>
      <c r="D3054" s="5" t="s">
        <v>810</v>
      </c>
      <c r="E3054" s="5" t="s">
        <v>245</v>
      </c>
      <c r="F3054" s="5" t="s">
        <v>254</v>
      </c>
      <c r="G3054" s="5" t="s">
        <v>240</v>
      </c>
      <c r="H3054" s="6" t="s">
        <v>2437</v>
      </c>
      <c r="I3054" s="5" t="s">
        <v>809</v>
      </c>
      <c r="J3054" s="8">
        <f>1939</f>
        <v>1939</v>
      </c>
      <c r="K3054" s="5" t="s">
        <v>308</v>
      </c>
      <c r="L3054" s="7">
        <f>1</f>
        <v>1</v>
      </c>
      <c r="M3054" s="7">
        <f>1</f>
        <v>1</v>
      </c>
      <c r="N3054" s="5" t="s">
        <v>242</v>
      </c>
      <c r="O3054" s="5">
        <v>1</v>
      </c>
      <c r="P3054" s="5" t="s">
        <v>294</v>
      </c>
      <c r="Q3054" s="5" t="s">
        <v>266</v>
      </c>
      <c r="R3054" s="5" t="s">
        <v>240</v>
      </c>
      <c r="S3054" s="5" t="s">
        <v>240</v>
      </c>
      <c r="T3054" s="5" t="s">
        <v>296</v>
      </c>
      <c r="U3054" s="5" t="s">
        <v>244</v>
      </c>
      <c r="V3054" s="5" t="s">
        <v>240</v>
      </c>
      <c r="Y3054" s="5" t="s">
        <v>240</v>
      </c>
      <c r="Z3054" s="6" t="s">
        <v>298</v>
      </c>
      <c r="AB3054" s="6" t="s">
        <v>240</v>
      </c>
      <c r="AE3054" s="6" t="s">
        <v>299</v>
      </c>
      <c r="AF3054" s="5" t="s">
        <v>248</v>
      </c>
      <c r="AG3054" s="5" t="s">
        <v>249</v>
      </c>
      <c r="AW3054" s="5" t="s">
        <v>251</v>
      </c>
      <c r="AX3054" s="5" t="s">
        <v>240</v>
      </c>
      <c r="AY3054" s="5" t="s">
        <v>253</v>
      </c>
      <c r="AZ3054" s="5" t="s">
        <v>240</v>
      </c>
      <c r="BA3054" s="5" t="s">
        <v>255</v>
      </c>
      <c r="BB3054" s="5" t="s">
        <v>240</v>
      </c>
      <c r="BD3054" s="5" t="s">
        <v>240</v>
      </c>
      <c r="BF3054" s="5" t="s">
        <v>301</v>
      </c>
      <c r="BG3054" s="6" t="s">
        <v>299</v>
      </c>
      <c r="BH3054" s="5" t="s">
        <v>302</v>
      </c>
      <c r="BI3054" s="5" t="s">
        <v>303</v>
      </c>
      <c r="BJ3054" s="5" t="s">
        <v>240</v>
      </c>
      <c r="BK3054" s="8">
        <f>0</f>
        <v>0</v>
      </c>
      <c r="BL3054" s="7">
        <f>0</f>
        <v>0</v>
      </c>
      <c r="BM3054" s="5" t="s">
        <v>258</v>
      </c>
      <c r="BN3054" s="5" t="s">
        <v>259</v>
      </c>
      <c r="CB3054" s="5" t="s">
        <v>240</v>
      </c>
      <c r="CC3054" s="5" t="s">
        <v>240</v>
      </c>
      <c r="CG3054" s="5" t="s">
        <v>304</v>
      </c>
      <c r="CH3054" s="5" t="s">
        <v>305</v>
      </c>
      <c r="CI3054" s="5" t="s">
        <v>240</v>
      </c>
      <c r="CL3054" s="6" t="s">
        <v>261</v>
      </c>
      <c r="CM3054" s="5" t="s">
        <v>240</v>
      </c>
      <c r="CN3054" s="5" t="s">
        <v>263</v>
      </c>
      <c r="CO3054" s="5" t="s">
        <v>240</v>
      </c>
      <c r="CP3054" s="5" t="s">
        <v>240</v>
      </c>
      <c r="CQ3054" s="5">
        <v>0</v>
      </c>
      <c r="CR3054" s="5" t="s">
        <v>306</v>
      </c>
      <c r="CS3054" s="5" t="s">
        <v>307</v>
      </c>
      <c r="CT3054" s="5" t="s">
        <v>307</v>
      </c>
      <c r="CU3054" s="5" t="s">
        <v>260</v>
      </c>
      <c r="CX3054" s="7">
        <f>1</f>
        <v>1</v>
      </c>
      <c r="CY3054" s="7">
        <f>0</f>
        <v>0</v>
      </c>
      <c r="DA3054" s="7">
        <f>0</f>
        <v>0</v>
      </c>
      <c r="DC3054" s="5" t="s">
        <v>812</v>
      </c>
      <c r="DD3054" s="5" t="s">
        <v>240</v>
      </c>
      <c r="DF3054" s="5" t="s">
        <v>812</v>
      </c>
      <c r="DG3054" s="7">
        <f>1001</f>
        <v>1001</v>
      </c>
      <c r="DI3054" s="5" t="s">
        <v>240</v>
      </c>
      <c r="DJ3054" s="5" t="s">
        <v>240</v>
      </c>
      <c r="DK3054" s="5" t="s">
        <v>240</v>
      </c>
      <c r="DL3054" s="5" t="s">
        <v>240</v>
      </c>
      <c r="DP3054" s="5" t="s">
        <v>240</v>
      </c>
      <c r="DQ3054" s="5" t="s">
        <v>240</v>
      </c>
      <c r="DR3054" s="5" t="s">
        <v>240</v>
      </c>
      <c r="DS3054" s="5" t="s">
        <v>240</v>
      </c>
      <c r="DV3054" s="5" t="s">
        <v>813</v>
      </c>
      <c r="DW3054" s="5" t="s">
        <v>498</v>
      </c>
      <c r="HO3054" s="5" t="s">
        <v>312</v>
      </c>
    </row>
    <row r="3055" spans="1:240" x14ac:dyDescent="0.4">
      <c r="A3055" s="5">
        <v>4759</v>
      </c>
      <c r="B3055" s="5">
        <v>1</v>
      </c>
      <c r="C3055" s="5">
        <v>1</v>
      </c>
      <c r="D3055" s="5" t="s">
        <v>810</v>
      </c>
      <c r="E3055" s="5" t="s">
        <v>245</v>
      </c>
      <c r="F3055" s="5" t="s">
        <v>254</v>
      </c>
      <c r="G3055" s="5" t="s">
        <v>240</v>
      </c>
      <c r="H3055" s="6" t="s">
        <v>2435</v>
      </c>
      <c r="I3055" s="5" t="s">
        <v>809</v>
      </c>
      <c r="J3055" s="8">
        <f>239</f>
        <v>239</v>
      </c>
      <c r="K3055" s="5" t="s">
        <v>308</v>
      </c>
      <c r="L3055" s="7">
        <f>1</f>
        <v>1</v>
      </c>
      <c r="M3055" s="7">
        <f>1</f>
        <v>1</v>
      </c>
      <c r="N3055" s="5" t="s">
        <v>242</v>
      </c>
      <c r="O3055" s="5">
        <v>1</v>
      </c>
      <c r="P3055" s="5" t="s">
        <v>294</v>
      </c>
      <c r="Q3055" s="5" t="s">
        <v>3678</v>
      </c>
      <c r="R3055" s="5" t="s">
        <v>240</v>
      </c>
      <c r="S3055" s="5" t="s">
        <v>240</v>
      </c>
      <c r="T3055" s="5" t="s">
        <v>243</v>
      </c>
      <c r="U3055" s="5" t="s">
        <v>244</v>
      </c>
      <c r="V3055" s="5" t="s">
        <v>240</v>
      </c>
      <c r="W3055" s="5" t="s">
        <v>240</v>
      </c>
      <c r="X3055" s="5" t="s">
        <v>240</v>
      </c>
      <c r="Y3055" s="5" t="s">
        <v>240</v>
      </c>
      <c r="Z3055" s="6" t="s">
        <v>298</v>
      </c>
      <c r="AA3055" s="6" t="s">
        <v>240</v>
      </c>
      <c r="AB3055" s="6" t="s">
        <v>240</v>
      </c>
      <c r="AC3055" s="5" t="s">
        <v>240</v>
      </c>
      <c r="AD3055" s="6" t="s">
        <v>240</v>
      </c>
      <c r="AE3055" s="6" t="s">
        <v>299</v>
      </c>
      <c r="AF3055" s="5" t="s">
        <v>248</v>
      </c>
      <c r="AG3055" s="5" t="s">
        <v>249</v>
      </c>
      <c r="AH3055" s="5" t="s">
        <v>240</v>
      </c>
      <c r="AI3055" s="5" t="s">
        <v>240</v>
      </c>
      <c r="AJ3055" s="5" t="s">
        <v>240</v>
      </c>
      <c r="AK3055" s="5" t="s">
        <v>240</v>
      </c>
      <c r="AL3055" s="5" t="s">
        <v>240</v>
      </c>
      <c r="AM3055" s="5" t="s">
        <v>240</v>
      </c>
      <c r="AN3055" s="5" t="s">
        <v>240</v>
      </c>
      <c r="AO3055" s="5" t="s">
        <v>240</v>
      </c>
      <c r="AP3055" s="6" t="s">
        <v>240</v>
      </c>
      <c r="AQ3055" s="6" t="s">
        <v>240</v>
      </c>
      <c r="AR3055" s="6" t="s">
        <v>240</v>
      </c>
      <c r="AS3055" s="6" t="s">
        <v>240</v>
      </c>
      <c r="AT3055" s="5" t="s">
        <v>240</v>
      </c>
      <c r="AU3055" s="5" t="s">
        <v>729</v>
      </c>
      <c r="AV3055" s="5" t="s">
        <v>729</v>
      </c>
      <c r="AW3055" s="5" t="s">
        <v>251</v>
      </c>
      <c r="AX3055" s="5" t="s">
        <v>252</v>
      </c>
      <c r="AY3055" s="5" t="s">
        <v>253</v>
      </c>
      <c r="AZ3055" s="5" t="s">
        <v>240</v>
      </c>
      <c r="BA3055" s="5" t="s">
        <v>255</v>
      </c>
      <c r="BB3055" s="5" t="s">
        <v>731</v>
      </c>
      <c r="BD3055" s="5" t="s">
        <v>240</v>
      </c>
      <c r="BF3055" s="5" t="s">
        <v>732</v>
      </c>
      <c r="BG3055" s="6" t="s">
        <v>733</v>
      </c>
      <c r="BH3055" s="5" t="s">
        <v>734</v>
      </c>
      <c r="BI3055" s="5" t="s">
        <v>734</v>
      </c>
      <c r="BJ3055" s="5" t="s">
        <v>240</v>
      </c>
      <c r="BK3055" s="7">
        <f>1</f>
        <v>1</v>
      </c>
      <c r="BL3055" s="7">
        <f>1</f>
        <v>1</v>
      </c>
      <c r="BM3055" s="5" t="s">
        <v>258</v>
      </c>
      <c r="BN3055" s="5" t="s">
        <v>259</v>
      </c>
      <c r="BO3055" s="5" t="s">
        <v>240</v>
      </c>
      <c r="BP3055" s="5" t="s">
        <v>240</v>
      </c>
      <c r="BQ3055" s="5" t="s">
        <v>240</v>
      </c>
      <c r="BR3055" s="5" t="s">
        <v>240</v>
      </c>
      <c r="BS3055" s="5" t="s">
        <v>240</v>
      </c>
      <c r="BT3055" s="5" t="s">
        <v>240</v>
      </c>
      <c r="BU3055" s="5" t="s">
        <v>240</v>
      </c>
      <c r="BV3055" s="5" t="s">
        <v>240</v>
      </c>
      <c r="BW3055" s="6" t="s">
        <v>240</v>
      </c>
      <c r="BX3055" s="5" t="s">
        <v>240</v>
      </c>
      <c r="BY3055" s="5" t="s">
        <v>240</v>
      </c>
      <c r="BZ3055" s="5" t="s">
        <v>240</v>
      </c>
      <c r="CA3055" s="5" t="s">
        <v>259</v>
      </c>
      <c r="CB3055" s="5" t="s">
        <v>240</v>
      </c>
      <c r="CC3055" s="5" t="s">
        <v>240</v>
      </c>
      <c r="CD3055" s="5" t="s">
        <v>240</v>
      </c>
      <c r="CE3055" s="5" t="s">
        <v>240</v>
      </c>
      <c r="CF3055" s="5" t="s">
        <v>240</v>
      </c>
      <c r="CG3055" s="5" t="s">
        <v>304</v>
      </c>
      <c r="CH3055" s="5" t="s">
        <v>305</v>
      </c>
      <c r="CI3055" s="5" t="s">
        <v>240</v>
      </c>
      <c r="CK3055" s="5" t="s">
        <v>3681</v>
      </c>
      <c r="CL3055" s="6" t="s">
        <v>261</v>
      </c>
      <c r="CM3055" s="5" t="s">
        <v>262</v>
      </c>
      <c r="CN3055" s="5" t="s">
        <v>263</v>
      </c>
      <c r="CO3055" s="5" t="s">
        <v>264</v>
      </c>
      <c r="CP3055" s="5" t="s">
        <v>240</v>
      </c>
      <c r="CQ3055" s="5">
        <v>0</v>
      </c>
      <c r="CR3055" s="5" t="s">
        <v>735</v>
      </c>
      <c r="CS3055" s="5" t="s">
        <v>307</v>
      </c>
      <c r="CT3055" s="5" t="s">
        <v>307</v>
      </c>
      <c r="CU3055" s="5" t="s">
        <v>260</v>
      </c>
      <c r="CV3055" s="5" t="s">
        <v>612</v>
      </c>
      <c r="CW3055" s="8">
        <f>1</f>
        <v>1</v>
      </c>
      <c r="CX3055" s="7">
        <f>1</f>
        <v>1</v>
      </c>
      <c r="CY3055" s="7">
        <f>0</f>
        <v>0</v>
      </c>
      <c r="DA3055" s="7">
        <f>1</f>
        <v>1</v>
      </c>
      <c r="DB3055" s="7" t="s">
        <v>240</v>
      </c>
      <c r="DC3055" s="5" t="s">
        <v>240</v>
      </c>
      <c r="DD3055" s="5" t="s">
        <v>240</v>
      </c>
      <c r="DE3055" s="5" t="s">
        <v>240</v>
      </c>
      <c r="DF3055" s="5" t="s">
        <v>240</v>
      </c>
      <c r="DG3055" s="7">
        <f>0</f>
        <v>0</v>
      </c>
      <c r="DI3055" s="5" t="s">
        <v>240</v>
      </c>
      <c r="DJ3055" s="5" t="s">
        <v>240</v>
      </c>
      <c r="DK3055" s="5" t="s">
        <v>240</v>
      </c>
      <c r="DL3055" s="5" t="s">
        <v>240</v>
      </c>
      <c r="DM3055" s="5" t="s">
        <v>240</v>
      </c>
      <c r="DN3055" s="5" t="s">
        <v>240</v>
      </c>
      <c r="DO3055" s="7" t="s">
        <v>240</v>
      </c>
      <c r="DP3055" s="5" t="s">
        <v>240</v>
      </c>
      <c r="DQ3055" s="5" t="s">
        <v>240</v>
      </c>
      <c r="DR3055" s="5" t="s">
        <v>731</v>
      </c>
      <c r="DS3055" s="5" t="s">
        <v>731</v>
      </c>
      <c r="DT3055" s="5" t="s">
        <v>240</v>
      </c>
      <c r="DU3055" s="5" t="s">
        <v>240</v>
      </c>
      <c r="DV3055" s="5" t="s">
        <v>3683</v>
      </c>
      <c r="DW3055" s="5" t="s">
        <v>785</v>
      </c>
      <c r="DX3055" s="5" t="s">
        <v>240</v>
      </c>
      <c r="DY3055" s="5" t="s">
        <v>240</v>
      </c>
      <c r="DZ3055" s="5" t="s">
        <v>240</v>
      </c>
      <c r="EA3055" s="5" t="s">
        <v>240</v>
      </c>
      <c r="EB3055" s="5" t="s">
        <v>240</v>
      </c>
      <c r="EC3055" s="5" t="s">
        <v>240</v>
      </c>
      <c r="ED3055" s="5" t="s">
        <v>240</v>
      </c>
      <c r="EE3055" s="5" t="s">
        <v>240</v>
      </c>
      <c r="EF3055" s="5" t="s">
        <v>240</v>
      </c>
      <c r="EG3055" s="5" t="s">
        <v>240</v>
      </c>
      <c r="EH3055" s="5" t="s">
        <v>240</v>
      </c>
      <c r="EI3055" s="5" t="s">
        <v>240</v>
      </c>
      <c r="EJ3055" s="5" t="s">
        <v>240</v>
      </c>
      <c r="EK3055" s="5" t="s">
        <v>240</v>
      </c>
      <c r="EL3055" s="5" t="s">
        <v>240</v>
      </c>
      <c r="EM3055" s="5" t="s">
        <v>240</v>
      </c>
      <c r="EN3055" s="5" t="s">
        <v>240</v>
      </c>
      <c r="EO3055" s="5" t="s">
        <v>240</v>
      </c>
      <c r="EP3055" s="5" t="s">
        <v>240</v>
      </c>
      <c r="EQ3055" s="5" t="s">
        <v>240</v>
      </c>
      <c r="ER3055" s="5" t="s">
        <v>240</v>
      </c>
      <c r="ES3055" s="5" t="s">
        <v>240</v>
      </c>
      <c r="ET3055" s="5" t="s">
        <v>240</v>
      </c>
      <c r="EU3055" s="5" t="s">
        <v>240</v>
      </c>
      <c r="EV3055" s="5" t="s">
        <v>240</v>
      </c>
      <c r="EW3055" s="5" t="s">
        <v>240</v>
      </c>
      <c r="EX3055" s="5" t="s">
        <v>240</v>
      </c>
      <c r="EY3055" s="5" t="s">
        <v>240</v>
      </c>
      <c r="EZ3055" s="5" t="s">
        <v>240</v>
      </c>
      <c r="FA3055" s="5" t="s">
        <v>240</v>
      </c>
      <c r="FB3055" s="5" t="s">
        <v>240</v>
      </c>
      <c r="FC3055" s="5" t="s">
        <v>240</v>
      </c>
      <c r="FD3055" s="5" t="s">
        <v>240</v>
      </c>
      <c r="FE3055" s="5" t="s">
        <v>240</v>
      </c>
      <c r="FF3055" s="5" t="s">
        <v>240</v>
      </c>
      <c r="FG3055" s="5" t="s">
        <v>240</v>
      </c>
      <c r="FH3055" s="5" t="s">
        <v>240</v>
      </c>
      <c r="FI3055" s="5" t="s">
        <v>240</v>
      </c>
      <c r="FJ3055" s="5" t="s">
        <v>240</v>
      </c>
      <c r="FK3055" s="5" t="s">
        <v>240</v>
      </c>
      <c r="FL3055" s="5" t="s">
        <v>240</v>
      </c>
      <c r="FM3055" s="5" t="s">
        <v>240</v>
      </c>
      <c r="FN3055" s="5" t="s">
        <v>240</v>
      </c>
      <c r="FO3055" s="5" t="s">
        <v>240</v>
      </c>
      <c r="FP3055" s="5" t="s">
        <v>240</v>
      </c>
      <c r="FQ3055" s="5" t="s">
        <v>240</v>
      </c>
      <c r="FR3055" s="5" t="s">
        <v>240</v>
      </c>
      <c r="FS3055" s="5" t="s">
        <v>240</v>
      </c>
      <c r="FT3055" s="5" t="s">
        <v>240</v>
      </c>
      <c r="FU3055" s="5" t="s">
        <v>240</v>
      </c>
      <c r="FV3055" s="5" t="s">
        <v>240</v>
      </c>
      <c r="FW3055" s="5" t="s">
        <v>240</v>
      </c>
      <c r="FX3055" s="5" t="s">
        <v>240</v>
      </c>
      <c r="FY3055" s="5" t="s">
        <v>240</v>
      </c>
      <c r="FZ3055" s="5" t="s">
        <v>240</v>
      </c>
      <c r="GA3055" s="5" t="s">
        <v>240</v>
      </c>
      <c r="GB3055" s="5" t="s">
        <v>240</v>
      </c>
      <c r="GC3055" s="5" t="s">
        <v>240</v>
      </c>
      <c r="GD3055" s="5" t="s">
        <v>240</v>
      </c>
      <c r="GE3055" s="5" t="s">
        <v>240</v>
      </c>
      <c r="GF3055" s="5" t="s">
        <v>240</v>
      </c>
      <c r="GG3055" s="5" t="s">
        <v>240</v>
      </c>
      <c r="GH3055" s="5" t="s">
        <v>240</v>
      </c>
      <c r="GI3055" s="5" t="s">
        <v>240</v>
      </c>
      <c r="GJ3055" s="5" t="s">
        <v>240</v>
      </c>
      <c r="GK3055" s="5" t="s">
        <v>240</v>
      </c>
      <c r="GL3055" s="5" t="s">
        <v>240</v>
      </c>
      <c r="GM3055" s="5" t="s">
        <v>240</v>
      </c>
      <c r="GN3055" s="5" t="s">
        <v>240</v>
      </c>
      <c r="GO3055" s="5" t="s">
        <v>240</v>
      </c>
      <c r="GP3055" s="5" t="s">
        <v>240</v>
      </c>
      <c r="GQ3055" s="5" t="s">
        <v>240</v>
      </c>
      <c r="GR3055" s="5" t="s">
        <v>240</v>
      </c>
      <c r="GS3055" s="5" t="s">
        <v>240</v>
      </c>
      <c r="GT3055" s="5" t="s">
        <v>240</v>
      </c>
      <c r="GU3055" s="5" t="s">
        <v>240</v>
      </c>
      <c r="GV3055" s="5" t="s">
        <v>240</v>
      </c>
      <c r="GW3055" s="5" t="s">
        <v>240</v>
      </c>
      <c r="GX3055" s="5" t="s">
        <v>240</v>
      </c>
      <c r="GY3055" s="5" t="s">
        <v>240</v>
      </c>
      <c r="GZ3055" s="5" t="s">
        <v>240</v>
      </c>
      <c r="HA3055" s="5" t="s">
        <v>240</v>
      </c>
      <c r="HB3055" s="5" t="s">
        <v>240</v>
      </c>
      <c r="HC3055" s="5" t="s">
        <v>240</v>
      </c>
      <c r="HD3055" s="5" t="s">
        <v>240</v>
      </c>
      <c r="HE3055" s="5" t="s">
        <v>240</v>
      </c>
      <c r="HF3055" s="5" t="s">
        <v>240</v>
      </c>
      <c r="HG3055" s="5" t="s">
        <v>240</v>
      </c>
      <c r="HH3055" s="5" t="s">
        <v>240</v>
      </c>
      <c r="HI3055" s="5" t="s">
        <v>240</v>
      </c>
      <c r="HJ3055" s="5" t="s">
        <v>240</v>
      </c>
      <c r="HK3055" s="5" t="s">
        <v>240</v>
      </c>
      <c r="HL3055" s="5" t="s">
        <v>240</v>
      </c>
      <c r="HM3055" s="5" t="s">
        <v>240</v>
      </c>
      <c r="HN3055" s="5" t="s">
        <v>240</v>
      </c>
      <c r="HO3055" s="5" t="s">
        <v>312</v>
      </c>
      <c r="HP3055" s="5" t="s">
        <v>240</v>
      </c>
      <c r="HQ3055" s="5" t="s">
        <v>240</v>
      </c>
      <c r="HR3055" s="5" t="s">
        <v>240</v>
      </c>
      <c r="HS3055" s="5" t="s">
        <v>240</v>
      </c>
      <c r="HT3055" s="5" t="s">
        <v>240</v>
      </c>
      <c r="HU3055" s="5" t="s">
        <v>240</v>
      </c>
      <c r="HV3055" s="5" t="s">
        <v>240</v>
      </c>
      <c r="HW3055" s="5" t="s">
        <v>240</v>
      </c>
      <c r="HX3055" s="5" t="s">
        <v>240</v>
      </c>
      <c r="HY3055" s="5" t="s">
        <v>240</v>
      </c>
      <c r="HZ3055" s="5" t="s">
        <v>240</v>
      </c>
      <c r="IA3055" s="5" t="s">
        <v>240</v>
      </c>
      <c r="IB3055" s="5" t="s">
        <v>240</v>
      </c>
      <c r="IC3055" s="5" t="s">
        <v>240</v>
      </c>
      <c r="ID3055" s="5" t="s">
        <v>240</v>
      </c>
      <c r="IE3055" s="5" t="s">
        <v>240</v>
      </c>
      <c r="IF3055" s="5" t="s">
        <v>240</v>
      </c>
    </row>
    <row r="3056" spans="1:240" x14ac:dyDescent="0.4">
      <c r="A3056" s="5">
        <v>4760</v>
      </c>
      <c r="B3056" s="5">
        <v>1</v>
      </c>
      <c r="C3056" s="5">
        <v>1</v>
      </c>
      <c r="D3056" s="5" t="s">
        <v>810</v>
      </c>
      <c r="E3056" s="5" t="s">
        <v>245</v>
      </c>
      <c r="F3056" s="5" t="s">
        <v>254</v>
      </c>
      <c r="G3056" s="5" t="s">
        <v>240</v>
      </c>
      <c r="H3056" s="6" t="s">
        <v>2433</v>
      </c>
      <c r="I3056" s="5" t="s">
        <v>809</v>
      </c>
      <c r="J3056" s="8">
        <f>486</f>
        <v>486</v>
      </c>
      <c r="K3056" s="5" t="s">
        <v>308</v>
      </c>
      <c r="L3056" s="7">
        <f>1</f>
        <v>1</v>
      </c>
      <c r="M3056" s="7">
        <f>1</f>
        <v>1</v>
      </c>
      <c r="N3056" s="5" t="s">
        <v>242</v>
      </c>
      <c r="O3056" s="5">
        <v>1</v>
      </c>
      <c r="P3056" s="5" t="s">
        <v>294</v>
      </c>
      <c r="Q3056" s="5" t="s">
        <v>3678</v>
      </c>
      <c r="R3056" s="5" t="s">
        <v>240</v>
      </c>
      <c r="S3056" s="5" t="s">
        <v>240</v>
      </c>
      <c r="T3056" s="5" t="s">
        <v>243</v>
      </c>
      <c r="U3056" s="5" t="s">
        <v>244</v>
      </c>
      <c r="V3056" s="5" t="s">
        <v>240</v>
      </c>
      <c r="W3056" s="5" t="s">
        <v>240</v>
      </c>
      <c r="X3056" s="5" t="s">
        <v>240</v>
      </c>
      <c r="Y3056" s="5" t="s">
        <v>240</v>
      </c>
      <c r="Z3056" s="6" t="s">
        <v>298</v>
      </c>
      <c r="AA3056" s="6" t="s">
        <v>240</v>
      </c>
      <c r="AB3056" s="6" t="s">
        <v>240</v>
      </c>
      <c r="AC3056" s="5" t="s">
        <v>240</v>
      </c>
      <c r="AD3056" s="6" t="s">
        <v>240</v>
      </c>
      <c r="AE3056" s="6" t="s">
        <v>299</v>
      </c>
      <c r="AF3056" s="5" t="s">
        <v>248</v>
      </c>
      <c r="AG3056" s="5" t="s">
        <v>249</v>
      </c>
      <c r="AH3056" s="5" t="s">
        <v>240</v>
      </c>
      <c r="AI3056" s="5" t="s">
        <v>240</v>
      </c>
      <c r="AJ3056" s="5" t="s">
        <v>240</v>
      </c>
      <c r="AK3056" s="5" t="s">
        <v>240</v>
      </c>
      <c r="AL3056" s="5" t="s">
        <v>240</v>
      </c>
      <c r="AM3056" s="5" t="s">
        <v>240</v>
      </c>
      <c r="AN3056" s="5" t="s">
        <v>240</v>
      </c>
      <c r="AO3056" s="5" t="s">
        <v>240</v>
      </c>
      <c r="AP3056" s="6" t="s">
        <v>240</v>
      </c>
      <c r="AQ3056" s="6" t="s">
        <v>240</v>
      </c>
      <c r="AR3056" s="6" t="s">
        <v>240</v>
      </c>
      <c r="AS3056" s="6" t="s">
        <v>240</v>
      </c>
      <c r="AT3056" s="5" t="s">
        <v>240</v>
      </c>
      <c r="AU3056" s="5" t="s">
        <v>729</v>
      </c>
      <c r="AV3056" s="5" t="s">
        <v>729</v>
      </c>
      <c r="AW3056" s="5" t="s">
        <v>251</v>
      </c>
      <c r="AX3056" s="5" t="s">
        <v>252</v>
      </c>
      <c r="AY3056" s="5" t="s">
        <v>253</v>
      </c>
      <c r="AZ3056" s="5" t="s">
        <v>240</v>
      </c>
      <c r="BA3056" s="5" t="s">
        <v>255</v>
      </c>
      <c r="BB3056" s="5" t="s">
        <v>731</v>
      </c>
      <c r="BD3056" s="5" t="s">
        <v>240</v>
      </c>
      <c r="BF3056" s="5" t="s">
        <v>732</v>
      </c>
      <c r="BG3056" s="6" t="s">
        <v>733</v>
      </c>
      <c r="BH3056" s="5" t="s">
        <v>734</v>
      </c>
      <c r="BI3056" s="5" t="s">
        <v>734</v>
      </c>
      <c r="BJ3056" s="5" t="s">
        <v>240</v>
      </c>
      <c r="BK3056" s="7">
        <f>1</f>
        <v>1</v>
      </c>
      <c r="BL3056" s="7">
        <f>1</f>
        <v>1</v>
      </c>
      <c r="BM3056" s="5" t="s">
        <v>258</v>
      </c>
      <c r="BN3056" s="5" t="s">
        <v>259</v>
      </c>
      <c r="BO3056" s="5" t="s">
        <v>240</v>
      </c>
      <c r="BP3056" s="5" t="s">
        <v>240</v>
      </c>
      <c r="BQ3056" s="5" t="s">
        <v>240</v>
      </c>
      <c r="BR3056" s="5" t="s">
        <v>240</v>
      </c>
      <c r="BS3056" s="5" t="s">
        <v>240</v>
      </c>
      <c r="BT3056" s="5" t="s">
        <v>240</v>
      </c>
      <c r="BU3056" s="5" t="s">
        <v>240</v>
      </c>
      <c r="BV3056" s="5" t="s">
        <v>240</v>
      </c>
      <c r="BW3056" s="6" t="s">
        <v>240</v>
      </c>
      <c r="BX3056" s="5" t="s">
        <v>240</v>
      </c>
      <c r="BY3056" s="5" t="s">
        <v>240</v>
      </c>
      <c r="BZ3056" s="5" t="s">
        <v>240</v>
      </c>
      <c r="CA3056" s="5" t="s">
        <v>259</v>
      </c>
      <c r="CB3056" s="5" t="s">
        <v>240</v>
      </c>
      <c r="CC3056" s="5" t="s">
        <v>240</v>
      </c>
      <c r="CD3056" s="5" t="s">
        <v>240</v>
      </c>
      <c r="CE3056" s="5" t="s">
        <v>240</v>
      </c>
      <c r="CF3056" s="5" t="s">
        <v>240</v>
      </c>
      <c r="CG3056" s="5" t="s">
        <v>304</v>
      </c>
      <c r="CH3056" s="5" t="s">
        <v>305</v>
      </c>
      <c r="CI3056" s="5" t="s">
        <v>240</v>
      </c>
      <c r="CK3056" s="5" t="s">
        <v>3681</v>
      </c>
      <c r="CL3056" s="6" t="s">
        <v>261</v>
      </c>
      <c r="CM3056" s="5" t="s">
        <v>262</v>
      </c>
      <c r="CN3056" s="5" t="s">
        <v>263</v>
      </c>
      <c r="CO3056" s="5" t="s">
        <v>264</v>
      </c>
      <c r="CP3056" s="5" t="s">
        <v>240</v>
      </c>
      <c r="CQ3056" s="5">
        <v>0</v>
      </c>
      <c r="CR3056" s="5" t="s">
        <v>735</v>
      </c>
      <c r="CS3056" s="5" t="s">
        <v>307</v>
      </c>
      <c r="CT3056" s="5" t="s">
        <v>307</v>
      </c>
      <c r="CU3056" s="5" t="s">
        <v>260</v>
      </c>
      <c r="CV3056" s="5" t="s">
        <v>612</v>
      </c>
      <c r="CW3056" s="8">
        <f>1</f>
        <v>1</v>
      </c>
      <c r="CX3056" s="7">
        <f>1</f>
        <v>1</v>
      </c>
      <c r="CY3056" s="7">
        <f>0</f>
        <v>0</v>
      </c>
      <c r="DA3056" s="7">
        <f>1</f>
        <v>1</v>
      </c>
      <c r="DB3056" s="7" t="s">
        <v>240</v>
      </c>
      <c r="DC3056" s="5" t="s">
        <v>240</v>
      </c>
      <c r="DD3056" s="5" t="s">
        <v>240</v>
      </c>
      <c r="DE3056" s="5" t="s">
        <v>240</v>
      </c>
      <c r="DF3056" s="5" t="s">
        <v>240</v>
      </c>
      <c r="DG3056" s="7">
        <f>0</f>
        <v>0</v>
      </c>
      <c r="DI3056" s="5" t="s">
        <v>240</v>
      </c>
      <c r="DJ3056" s="5" t="s">
        <v>240</v>
      </c>
      <c r="DK3056" s="5" t="s">
        <v>240</v>
      </c>
      <c r="DL3056" s="5" t="s">
        <v>240</v>
      </c>
      <c r="DM3056" s="5" t="s">
        <v>240</v>
      </c>
      <c r="DN3056" s="5" t="s">
        <v>240</v>
      </c>
      <c r="DO3056" s="7" t="s">
        <v>240</v>
      </c>
      <c r="DP3056" s="5" t="s">
        <v>240</v>
      </c>
      <c r="DQ3056" s="5" t="s">
        <v>240</v>
      </c>
      <c r="DR3056" s="5" t="s">
        <v>731</v>
      </c>
      <c r="DS3056" s="5" t="s">
        <v>731</v>
      </c>
      <c r="DT3056" s="5" t="s">
        <v>240</v>
      </c>
      <c r="DU3056" s="5" t="s">
        <v>240</v>
      </c>
      <c r="DV3056" s="5" t="s">
        <v>3683</v>
      </c>
      <c r="DW3056" s="5" t="s">
        <v>958</v>
      </c>
      <c r="DX3056" s="5" t="s">
        <v>240</v>
      </c>
      <c r="DY3056" s="5" t="s">
        <v>240</v>
      </c>
      <c r="DZ3056" s="5" t="s">
        <v>240</v>
      </c>
      <c r="EA3056" s="5" t="s">
        <v>240</v>
      </c>
      <c r="EB3056" s="5" t="s">
        <v>240</v>
      </c>
      <c r="EC3056" s="5" t="s">
        <v>240</v>
      </c>
      <c r="ED3056" s="5" t="s">
        <v>240</v>
      </c>
      <c r="EE3056" s="5" t="s">
        <v>240</v>
      </c>
      <c r="EF3056" s="5" t="s">
        <v>240</v>
      </c>
      <c r="EG3056" s="5" t="s">
        <v>240</v>
      </c>
      <c r="EH3056" s="5" t="s">
        <v>240</v>
      </c>
      <c r="EI3056" s="5" t="s">
        <v>240</v>
      </c>
      <c r="EJ3056" s="5" t="s">
        <v>240</v>
      </c>
      <c r="EK3056" s="5" t="s">
        <v>240</v>
      </c>
      <c r="EL3056" s="5" t="s">
        <v>240</v>
      </c>
      <c r="EM3056" s="5" t="s">
        <v>240</v>
      </c>
      <c r="EN3056" s="5" t="s">
        <v>240</v>
      </c>
      <c r="EO3056" s="5" t="s">
        <v>240</v>
      </c>
      <c r="EP3056" s="5" t="s">
        <v>240</v>
      </c>
      <c r="EQ3056" s="5" t="s">
        <v>240</v>
      </c>
      <c r="ER3056" s="5" t="s">
        <v>240</v>
      </c>
      <c r="ES3056" s="5" t="s">
        <v>240</v>
      </c>
      <c r="ET3056" s="5" t="s">
        <v>240</v>
      </c>
      <c r="EU3056" s="5" t="s">
        <v>240</v>
      </c>
      <c r="EV3056" s="5" t="s">
        <v>240</v>
      </c>
      <c r="EW3056" s="5" t="s">
        <v>240</v>
      </c>
      <c r="EX3056" s="5" t="s">
        <v>240</v>
      </c>
      <c r="EY3056" s="5" t="s">
        <v>240</v>
      </c>
      <c r="EZ3056" s="5" t="s">
        <v>240</v>
      </c>
      <c r="FA3056" s="5" t="s">
        <v>240</v>
      </c>
      <c r="FB3056" s="5" t="s">
        <v>240</v>
      </c>
      <c r="FC3056" s="5" t="s">
        <v>240</v>
      </c>
      <c r="FD3056" s="5" t="s">
        <v>240</v>
      </c>
      <c r="FE3056" s="5" t="s">
        <v>240</v>
      </c>
      <c r="FF3056" s="5" t="s">
        <v>240</v>
      </c>
      <c r="FG3056" s="5" t="s">
        <v>240</v>
      </c>
      <c r="FH3056" s="5" t="s">
        <v>240</v>
      </c>
      <c r="FI3056" s="5" t="s">
        <v>240</v>
      </c>
      <c r="FJ3056" s="5" t="s">
        <v>240</v>
      </c>
      <c r="FK3056" s="5" t="s">
        <v>240</v>
      </c>
      <c r="FL3056" s="5" t="s">
        <v>240</v>
      </c>
      <c r="FM3056" s="5" t="s">
        <v>240</v>
      </c>
      <c r="FN3056" s="5" t="s">
        <v>240</v>
      </c>
      <c r="FO3056" s="5" t="s">
        <v>240</v>
      </c>
      <c r="FP3056" s="5" t="s">
        <v>240</v>
      </c>
      <c r="FQ3056" s="5" t="s">
        <v>240</v>
      </c>
      <c r="FR3056" s="5" t="s">
        <v>240</v>
      </c>
      <c r="FS3056" s="5" t="s">
        <v>240</v>
      </c>
      <c r="FT3056" s="5" t="s">
        <v>240</v>
      </c>
      <c r="FU3056" s="5" t="s">
        <v>240</v>
      </c>
      <c r="FV3056" s="5" t="s">
        <v>240</v>
      </c>
      <c r="FW3056" s="5" t="s">
        <v>240</v>
      </c>
      <c r="FX3056" s="5" t="s">
        <v>240</v>
      </c>
      <c r="FY3056" s="5" t="s">
        <v>240</v>
      </c>
      <c r="FZ3056" s="5" t="s">
        <v>240</v>
      </c>
      <c r="GA3056" s="5" t="s">
        <v>240</v>
      </c>
      <c r="GB3056" s="5" t="s">
        <v>240</v>
      </c>
      <c r="GC3056" s="5" t="s">
        <v>240</v>
      </c>
      <c r="GD3056" s="5" t="s">
        <v>240</v>
      </c>
      <c r="GE3056" s="5" t="s">
        <v>240</v>
      </c>
      <c r="GF3056" s="5" t="s">
        <v>240</v>
      </c>
      <c r="GG3056" s="5" t="s">
        <v>240</v>
      </c>
      <c r="GH3056" s="5" t="s">
        <v>240</v>
      </c>
      <c r="GI3056" s="5" t="s">
        <v>240</v>
      </c>
      <c r="GJ3056" s="5" t="s">
        <v>240</v>
      </c>
      <c r="GK3056" s="5" t="s">
        <v>240</v>
      </c>
      <c r="GL3056" s="5" t="s">
        <v>240</v>
      </c>
      <c r="GM3056" s="5" t="s">
        <v>240</v>
      </c>
      <c r="GN3056" s="5" t="s">
        <v>240</v>
      </c>
      <c r="GO3056" s="5" t="s">
        <v>240</v>
      </c>
      <c r="GP3056" s="5" t="s">
        <v>240</v>
      </c>
      <c r="GQ3056" s="5" t="s">
        <v>240</v>
      </c>
      <c r="GR3056" s="5" t="s">
        <v>240</v>
      </c>
      <c r="GS3056" s="5" t="s">
        <v>240</v>
      </c>
      <c r="GT3056" s="5" t="s">
        <v>240</v>
      </c>
      <c r="GU3056" s="5" t="s">
        <v>240</v>
      </c>
      <c r="GV3056" s="5" t="s">
        <v>240</v>
      </c>
      <c r="GW3056" s="5" t="s">
        <v>240</v>
      </c>
      <c r="GX3056" s="5" t="s">
        <v>240</v>
      </c>
      <c r="GY3056" s="5" t="s">
        <v>240</v>
      </c>
      <c r="GZ3056" s="5" t="s">
        <v>240</v>
      </c>
      <c r="HA3056" s="5" t="s">
        <v>240</v>
      </c>
      <c r="HB3056" s="5" t="s">
        <v>240</v>
      </c>
      <c r="HC3056" s="5" t="s">
        <v>240</v>
      </c>
      <c r="HD3056" s="5" t="s">
        <v>240</v>
      </c>
      <c r="HE3056" s="5" t="s">
        <v>240</v>
      </c>
      <c r="HF3056" s="5" t="s">
        <v>240</v>
      </c>
      <c r="HG3056" s="5" t="s">
        <v>240</v>
      </c>
      <c r="HH3056" s="5" t="s">
        <v>240</v>
      </c>
      <c r="HI3056" s="5" t="s">
        <v>240</v>
      </c>
      <c r="HJ3056" s="5" t="s">
        <v>240</v>
      </c>
      <c r="HK3056" s="5" t="s">
        <v>240</v>
      </c>
      <c r="HL3056" s="5" t="s">
        <v>240</v>
      </c>
      <c r="HM3056" s="5" t="s">
        <v>240</v>
      </c>
      <c r="HN3056" s="5" t="s">
        <v>240</v>
      </c>
      <c r="HO3056" s="5" t="s">
        <v>312</v>
      </c>
      <c r="HP3056" s="5" t="s">
        <v>240</v>
      </c>
      <c r="HQ3056" s="5" t="s">
        <v>240</v>
      </c>
      <c r="HR3056" s="5" t="s">
        <v>240</v>
      </c>
      <c r="HS3056" s="5" t="s">
        <v>240</v>
      </c>
      <c r="HT3056" s="5" t="s">
        <v>240</v>
      </c>
      <c r="HU3056" s="5" t="s">
        <v>240</v>
      </c>
      <c r="HV3056" s="5" t="s">
        <v>240</v>
      </c>
      <c r="HW3056" s="5" t="s">
        <v>240</v>
      </c>
      <c r="HX3056" s="5" t="s">
        <v>240</v>
      </c>
      <c r="HY3056" s="5" t="s">
        <v>240</v>
      </c>
      <c r="HZ3056" s="5" t="s">
        <v>240</v>
      </c>
      <c r="IA3056" s="5" t="s">
        <v>240</v>
      </c>
      <c r="IB3056" s="5" t="s">
        <v>240</v>
      </c>
      <c r="IC3056" s="5" t="s">
        <v>240</v>
      </c>
      <c r="ID3056" s="5" t="s">
        <v>240</v>
      </c>
      <c r="IE3056" s="5" t="s">
        <v>240</v>
      </c>
      <c r="IF3056" s="5" t="s">
        <v>240</v>
      </c>
    </row>
    <row r="3057" spans="1:240" x14ac:dyDescent="0.4">
      <c r="A3057" s="5">
        <v>4761</v>
      </c>
      <c r="B3057" s="5">
        <v>1</v>
      </c>
      <c r="C3057" s="5">
        <v>1</v>
      </c>
      <c r="D3057" s="5" t="s">
        <v>810</v>
      </c>
      <c r="E3057" s="5" t="s">
        <v>245</v>
      </c>
      <c r="F3057" s="5" t="s">
        <v>254</v>
      </c>
      <c r="G3057" s="5" t="s">
        <v>240</v>
      </c>
      <c r="H3057" s="6" t="s">
        <v>2431</v>
      </c>
      <c r="I3057" s="5" t="s">
        <v>809</v>
      </c>
      <c r="J3057" s="8">
        <f>2578</f>
        <v>2578</v>
      </c>
      <c r="K3057" s="5" t="s">
        <v>308</v>
      </c>
      <c r="L3057" s="7">
        <f>1</f>
        <v>1</v>
      </c>
      <c r="M3057" s="7">
        <f>1</f>
        <v>1</v>
      </c>
      <c r="N3057" s="5" t="s">
        <v>242</v>
      </c>
      <c r="O3057" s="5">
        <v>1</v>
      </c>
      <c r="P3057" s="5" t="s">
        <v>294</v>
      </c>
      <c r="Q3057" s="5" t="s">
        <v>3678</v>
      </c>
      <c r="R3057" s="5" t="s">
        <v>240</v>
      </c>
      <c r="S3057" s="5" t="s">
        <v>240</v>
      </c>
      <c r="T3057" s="5" t="s">
        <v>243</v>
      </c>
      <c r="U3057" s="5" t="s">
        <v>244</v>
      </c>
      <c r="V3057" s="5" t="s">
        <v>240</v>
      </c>
      <c r="W3057" s="5" t="s">
        <v>240</v>
      </c>
      <c r="X3057" s="5" t="s">
        <v>240</v>
      </c>
      <c r="Y3057" s="5" t="s">
        <v>240</v>
      </c>
      <c r="Z3057" s="6" t="s">
        <v>298</v>
      </c>
      <c r="AA3057" s="6" t="s">
        <v>240</v>
      </c>
      <c r="AB3057" s="6" t="s">
        <v>240</v>
      </c>
      <c r="AC3057" s="5" t="s">
        <v>240</v>
      </c>
      <c r="AD3057" s="6" t="s">
        <v>240</v>
      </c>
      <c r="AE3057" s="6" t="s">
        <v>299</v>
      </c>
      <c r="AF3057" s="5" t="s">
        <v>248</v>
      </c>
      <c r="AG3057" s="5" t="s">
        <v>249</v>
      </c>
      <c r="AH3057" s="5" t="s">
        <v>240</v>
      </c>
      <c r="AI3057" s="5" t="s">
        <v>240</v>
      </c>
      <c r="AJ3057" s="5" t="s">
        <v>240</v>
      </c>
      <c r="AK3057" s="5" t="s">
        <v>240</v>
      </c>
      <c r="AL3057" s="5" t="s">
        <v>240</v>
      </c>
      <c r="AM3057" s="5" t="s">
        <v>240</v>
      </c>
      <c r="AN3057" s="5" t="s">
        <v>240</v>
      </c>
      <c r="AO3057" s="5" t="s">
        <v>240</v>
      </c>
      <c r="AP3057" s="6" t="s">
        <v>240</v>
      </c>
      <c r="AQ3057" s="6" t="s">
        <v>240</v>
      </c>
      <c r="AR3057" s="6" t="s">
        <v>240</v>
      </c>
      <c r="AS3057" s="6" t="s">
        <v>240</v>
      </c>
      <c r="AT3057" s="5" t="s">
        <v>240</v>
      </c>
      <c r="AU3057" s="5" t="s">
        <v>729</v>
      </c>
      <c r="AV3057" s="5" t="s">
        <v>729</v>
      </c>
      <c r="AW3057" s="5" t="s">
        <v>251</v>
      </c>
      <c r="AX3057" s="5" t="s">
        <v>252</v>
      </c>
      <c r="AY3057" s="5" t="s">
        <v>253</v>
      </c>
      <c r="AZ3057" s="5" t="s">
        <v>240</v>
      </c>
      <c r="BA3057" s="5" t="s">
        <v>255</v>
      </c>
      <c r="BB3057" s="5" t="s">
        <v>731</v>
      </c>
      <c r="BD3057" s="5" t="s">
        <v>240</v>
      </c>
      <c r="BF3057" s="5" t="s">
        <v>732</v>
      </c>
      <c r="BG3057" s="6" t="s">
        <v>733</v>
      </c>
      <c r="BH3057" s="5" t="s">
        <v>734</v>
      </c>
      <c r="BI3057" s="5" t="s">
        <v>734</v>
      </c>
      <c r="BJ3057" s="5" t="s">
        <v>240</v>
      </c>
      <c r="BK3057" s="7">
        <f>1</f>
        <v>1</v>
      </c>
      <c r="BL3057" s="7">
        <f>1</f>
        <v>1</v>
      </c>
      <c r="BM3057" s="5" t="s">
        <v>258</v>
      </c>
      <c r="BN3057" s="5" t="s">
        <v>259</v>
      </c>
      <c r="BO3057" s="5" t="s">
        <v>240</v>
      </c>
      <c r="BP3057" s="5" t="s">
        <v>240</v>
      </c>
      <c r="BQ3057" s="5" t="s">
        <v>240</v>
      </c>
      <c r="BR3057" s="5" t="s">
        <v>240</v>
      </c>
      <c r="BS3057" s="5" t="s">
        <v>240</v>
      </c>
      <c r="BT3057" s="5" t="s">
        <v>240</v>
      </c>
      <c r="BU3057" s="5" t="s">
        <v>240</v>
      </c>
      <c r="BV3057" s="5" t="s">
        <v>240</v>
      </c>
      <c r="BW3057" s="6" t="s">
        <v>240</v>
      </c>
      <c r="BX3057" s="5" t="s">
        <v>240</v>
      </c>
      <c r="BY3057" s="5" t="s">
        <v>240</v>
      </c>
      <c r="BZ3057" s="5" t="s">
        <v>240</v>
      </c>
      <c r="CA3057" s="5" t="s">
        <v>259</v>
      </c>
      <c r="CB3057" s="5" t="s">
        <v>240</v>
      </c>
      <c r="CC3057" s="5" t="s">
        <v>240</v>
      </c>
      <c r="CD3057" s="5" t="s">
        <v>240</v>
      </c>
      <c r="CE3057" s="5" t="s">
        <v>240</v>
      </c>
      <c r="CF3057" s="5" t="s">
        <v>240</v>
      </c>
      <c r="CG3057" s="5" t="s">
        <v>304</v>
      </c>
      <c r="CH3057" s="5" t="s">
        <v>305</v>
      </c>
      <c r="CI3057" s="5" t="s">
        <v>240</v>
      </c>
      <c r="CK3057" s="5" t="s">
        <v>3681</v>
      </c>
      <c r="CL3057" s="6" t="s">
        <v>261</v>
      </c>
      <c r="CM3057" s="5" t="s">
        <v>262</v>
      </c>
      <c r="CN3057" s="5" t="s">
        <v>263</v>
      </c>
      <c r="CO3057" s="5" t="s">
        <v>264</v>
      </c>
      <c r="CP3057" s="5" t="s">
        <v>240</v>
      </c>
      <c r="CQ3057" s="5">
        <v>0</v>
      </c>
      <c r="CR3057" s="5" t="s">
        <v>735</v>
      </c>
      <c r="CS3057" s="5" t="s">
        <v>307</v>
      </c>
      <c r="CT3057" s="5" t="s">
        <v>307</v>
      </c>
      <c r="CU3057" s="5" t="s">
        <v>260</v>
      </c>
      <c r="CV3057" s="5" t="s">
        <v>612</v>
      </c>
      <c r="CW3057" s="8">
        <f>1</f>
        <v>1</v>
      </c>
      <c r="CX3057" s="7">
        <f>1</f>
        <v>1</v>
      </c>
      <c r="CY3057" s="7">
        <f>0</f>
        <v>0</v>
      </c>
      <c r="DA3057" s="7">
        <f>1</f>
        <v>1</v>
      </c>
      <c r="DB3057" s="7" t="s">
        <v>240</v>
      </c>
      <c r="DC3057" s="5" t="s">
        <v>240</v>
      </c>
      <c r="DD3057" s="5" t="s">
        <v>240</v>
      </c>
      <c r="DE3057" s="5" t="s">
        <v>240</v>
      </c>
      <c r="DF3057" s="5" t="s">
        <v>240</v>
      </c>
      <c r="DG3057" s="7">
        <f>0</f>
        <v>0</v>
      </c>
      <c r="DI3057" s="5" t="s">
        <v>240</v>
      </c>
      <c r="DJ3057" s="5" t="s">
        <v>240</v>
      </c>
      <c r="DK3057" s="5" t="s">
        <v>240</v>
      </c>
      <c r="DL3057" s="5" t="s">
        <v>240</v>
      </c>
      <c r="DM3057" s="5" t="s">
        <v>240</v>
      </c>
      <c r="DN3057" s="5" t="s">
        <v>240</v>
      </c>
      <c r="DO3057" s="7" t="s">
        <v>240</v>
      </c>
      <c r="DP3057" s="5" t="s">
        <v>240</v>
      </c>
      <c r="DQ3057" s="5" t="s">
        <v>240</v>
      </c>
      <c r="DR3057" s="5" t="s">
        <v>731</v>
      </c>
      <c r="DS3057" s="5" t="s">
        <v>731</v>
      </c>
      <c r="DT3057" s="5" t="s">
        <v>240</v>
      </c>
      <c r="DU3057" s="5" t="s">
        <v>240</v>
      </c>
      <c r="DV3057" s="5" t="s">
        <v>3683</v>
      </c>
      <c r="DW3057" s="5" t="s">
        <v>765</v>
      </c>
      <c r="DX3057" s="5" t="s">
        <v>240</v>
      </c>
      <c r="DY3057" s="5" t="s">
        <v>240</v>
      </c>
      <c r="DZ3057" s="5" t="s">
        <v>240</v>
      </c>
      <c r="EA3057" s="5" t="s">
        <v>240</v>
      </c>
      <c r="EB3057" s="5" t="s">
        <v>240</v>
      </c>
      <c r="EC3057" s="5" t="s">
        <v>240</v>
      </c>
      <c r="ED3057" s="5" t="s">
        <v>240</v>
      </c>
      <c r="EE3057" s="5" t="s">
        <v>240</v>
      </c>
      <c r="EF3057" s="5" t="s">
        <v>240</v>
      </c>
      <c r="EG3057" s="5" t="s">
        <v>240</v>
      </c>
      <c r="EH3057" s="5" t="s">
        <v>240</v>
      </c>
      <c r="EI3057" s="5" t="s">
        <v>240</v>
      </c>
      <c r="EJ3057" s="5" t="s">
        <v>240</v>
      </c>
      <c r="EK3057" s="5" t="s">
        <v>240</v>
      </c>
      <c r="EL3057" s="5" t="s">
        <v>240</v>
      </c>
      <c r="EM3057" s="5" t="s">
        <v>240</v>
      </c>
      <c r="EN3057" s="5" t="s">
        <v>240</v>
      </c>
      <c r="EO3057" s="5" t="s">
        <v>240</v>
      </c>
      <c r="EP3057" s="5" t="s">
        <v>240</v>
      </c>
      <c r="EQ3057" s="5" t="s">
        <v>240</v>
      </c>
      <c r="ER3057" s="5" t="s">
        <v>240</v>
      </c>
      <c r="ES3057" s="5" t="s">
        <v>240</v>
      </c>
      <c r="ET3057" s="5" t="s">
        <v>240</v>
      </c>
      <c r="EU3057" s="5" t="s">
        <v>240</v>
      </c>
      <c r="EV3057" s="5" t="s">
        <v>240</v>
      </c>
      <c r="EW3057" s="5" t="s">
        <v>240</v>
      </c>
      <c r="EX3057" s="5" t="s">
        <v>240</v>
      </c>
      <c r="EY3057" s="5" t="s">
        <v>240</v>
      </c>
      <c r="EZ3057" s="5" t="s">
        <v>240</v>
      </c>
      <c r="FA3057" s="5" t="s">
        <v>240</v>
      </c>
      <c r="FB3057" s="5" t="s">
        <v>240</v>
      </c>
      <c r="FC3057" s="5" t="s">
        <v>240</v>
      </c>
      <c r="FD3057" s="5" t="s">
        <v>240</v>
      </c>
      <c r="FE3057" s="5" t="s">
        <v>240</v>
      </c>
      <c r="FF3057" s="5" t="s">
        <v>240</v>
      </c>
      <c r="FG3057" s="5" t="s">
        <v>240</v>
      </c>
      <c r="FH3057" s="5" t="s">
        <v>240</v>
      </c>
      <c r="FI3057" s="5" t="s">
        <v>240</v>
      </c>
      <c r="FJ3057" s="5" t="s">
        <v>240</v>
      </c>
      <c r="FK3057" s="5" t="s">
        <v>240</v>
      </c>
      <c r="FL3057" s="5" t="s">
        <v>240</v>
      </c>
      <c r="FM3057" s="5" t="s">
        <v>240</v>
      </c>
      <c r="FN3057" s="5" t="s">
        <v>240</v>
      </c>
      <c r="FO3057" s="5" t="s">
        <v>240</v>
      </c>
      <c r="FP3057" s="5" t="s">
        <v>240</v>
      </c>
      <c r="FQ3057" s="5" t="s">
        <v>240</v>
      </c>
      <c r="FR3057" s="5" t="s">
        <v>240</v>
      </c>
      <c r="FS3057" s="5" t="s">
        <v>240</v>
      </c>
      <c r="FT3057" s="5" t="s">
        <v>240</v>
      </c>
      <c r="FU3057" s="5" t="s">
        <v>240</v>
      </c>
      <c r="FV3057" s="5" t="s">
        <v>240</v>
      </c>
      <c r="FW3057" s="5" t="s">
        <v>240</v>
      </c>
      <c r="FX3057" s="5" t="s">
        <v>240</v>
      </c>
      <c r="FY3057" s="5" t="s">
        <v>240</v>
      </c>
      <c r="FZ3057" s="5" t="s">
        <v>240</v>
      </c>
      <c r="GA3057" s="5" t="s">
        <v>240</v>
      </c>
      <c r="GB3057" s="5" t="s">
        <v>240</v>
      </c>
      <c r="GC3057" s="5" t="s">
        <v>240</v>
      </c>
      <c r="GD3057" s="5" t="s">
        <v>240</v>
      </c>
      <c r="GE3057" s="5" t="s">
        <v>240</v>
      </c>
      <c r="GF3057" s="5" t="s">
        <v>240</v>
      </c>
      <c r="GG3057" s="5" t="s">
        <v>240</v>
      </c>
      <c r="GH3057" s="5" t="s">
        <v>240</v>
      </c>
      <c r="GI3057" s="5" t="s">
        <v>240</v>
      </c>
      <c r="GJ3057" s="5" t="s">
        <v>240</v>
      </c>
      <c r="GK3057" s="5" t="s">
        <v>240</v>
      </c>
      <c r="GL3057" s="5" t="s">
        <v>240</v>
      </c>
      <c r="GM3057" s="5" t="s">
        <v>240</v>
      </c>
      <c r="GN3057" s="5" t="s">
        <v>240</v>
      </c>
      <c r="GO3057" s="5" t="s">
        <v>240</v>
      </c>
      <c r="GP3057" s="5" t="s">
        <v>240</v>
      </c>
      <c r="GQ3057" s="5" t="s">
        <v>240</v>
      </c>
      <c r="GR3057" s="5" t="s">
        <v>240</v>
      </c>
      <c r="GS3057" s="5" t="s">
        <v>240</v>
      </c>
      <c r="GT3057" s="5" t="s">
        <v>240</v>
      </c>
      <c r="GU3057" s="5" t="s">
        <v>240</v>
      </c>
      <c r="GV3057" s="5" t="s">
        <v>240</v>
      </c>
      <c r="GW3057" s="5" t="s">
        <v>240</v>
      </c>
      <c r="GX3057" s="5" t="s">
        <v>240</v>
      </c>
      <c r="GY3057" s="5" t="s">
        <v>240</v>
      </c>
      <c r="GZ3057" s="5" t="s">
        <v>240</v>
      </c>
      <c r="HA3057" s="5" t="s">
        <v>240</v>
      </c>
      <c r="HB3057" s="5" t="s">
        <v>240</v>
      </c>
      <c r="HC3057" s="5" t="s">
        <v>240</v>
      </c>
      <c r="HD3057" s="5" t="s">
        <v>240</v>
      </c>
      <c r="HE3057" s="5" t="s">
        <v>240</v>
      </c>
      <c r="HF3057" s="5" t="s">
        <v>240</v>
      </c>
      <c r="HG3057" s="5" t="s">
        <v>240</v>
      </c>
      <c r="HH3057" s="5" t="s">
        <v>240</v>
      </c>
      <c r="HI3057" s="5" t="s">
        <v>240</v>
      </c>
      <c r="HJ3057" s="5" t="s">
        <v>240</v>
      </c>
      <c r="HK3057" s="5" t="s">
        <v>240</v>
      </c>
      <c r="HL3057" s="5" t="s">
        <v>240</v>
      </c>
      <c r="HM3057" s="5" t="s">
        <v>240</v>
      </c>
      <c r="HN3057" s="5" t="s">
        <v>240</v>
      </c>
      <c r="HO3057" s="5" t="s">
        <v>312</v>
      </c>
      <c r="HP3057" s="5" t="s">
        <v>240</v>
      </c>
      <c r="HQ3057" s="5" t="s">
        <v>240</v>
      </c>
      <c r="HR3057" s="5" t="s">
        <v>240</v>
      </c>
      <c r="HS3057" s="5" t="s">
        <v>240</v>
      </c>
      <c r="HT3057" s="5" t="s">
        <v>240</v>
      </c>
      <c r="HU3057" s="5" t="s">
        <v>240</v>
      </c>
      <c r="HV3057" s="5" t="s">
        <v>240</v>
      </c>
      <c r="HW3057" s="5" t="s">
        <v>240</v>
      </c>
      <c r="HX3057" s="5" t="s">
        <v>240</v>
      </c>
      <c r="HY3057" s="5" t="s">
        <v>240</v>
      </c>
      <c r="HZ3057" s="5" t="s">
        <v>240</v>
      </c>
      <c r="IA3057" s="5" t="s">
        <v>240</v>
      </c>
      <c r="IB3057" s="5" t="s">
        <v>240</v>
      </c>
      <c r="IC3057" s="5" t="s">
        <v>240</v>
      </c>
      <c r="ID3057" s="5" t="s">
        <v>240</v>
      </c>
      <c r="IE3057" s="5" t="s">
        <v>240</v>
      </c>
      <c r="IF3057" s="5" t="s">
        <v>240</v>
      </c>
    </row>
    <row r="3058" spans="1:240" x14ac:dyDescent="0.4">
      <c r="A3058" s="5">
        <v>4762</v>
      </c>
      <c r="B3058" s="5">
        <v>1</v>
      </c>
      <c r="C3058" s="5">
        <v>1</v>
      </c>
      <c r="D3058" s="5" t="s">
        <v>810</v>
      </c>
      <c r="E3058" s="5" t="s">
        <v>245</v>
      </c>
      <c r="F3058" s="5" t="s">
        <v>254</v>
      </c>
      <c r="G3058" s="5" t="s">
        <v>240</v>
      </c>
      <c r="H3058" s="6" t="s">
        <v>2429</v>
      </c>
      <c r="I3058" s="5" t="s">
        <v>809</v>
      </c>
      <c r="J3058" s="8">
        <f>531</f>
        <v>531</v>
      </c>
      <c r="K3058" s="5" t="s">
        <v>308</v>
      </c>
      <c r="L3058" s="7">
        <f>1</f>
        <v>1</v>
      </c>
      <c r="M3058" s="7">
        <f>1</f>
        <v>1</v>
      </c>
      <c r="N3058" s="5" t="s">
        <v>242</v>
      </c>
      <c r="O3058" s="5">
        <v>1</v>
      </c>
      <c r="P3058" s="5" t="s">
        <v>294</v>
      </c>
      <c r="Q3058" s="5" t="s">
        <v>266</v>
      </c>
      <c r="R3058" s="5" t="s">
        <v>240</v>
      </c>
      <c r="S3058" s="5" t="s">
        <v>240</v>
      </c>
      <c r="T3058" s="5" t="s">
        <v>296</v>
      </c>
      <c r="U3058" s="5" t="s">
        <v>244</v>
      </c>
      <c r="V3058" s="5" t="s">
        <v>240</v>
      </c>
      <c r="Y3058" s="5" t="s">
        <v>240</v>
      </c>
      <c r="Z3058" s="6" t="s">
        <v>298</v>
      </c>
      <c r="AB3058" s="6" t="s">
        <v>240</v>
      </c>
      <c r="AE3058" s="6" t="s">
        <v>299</v>
      </c>
      <c r="AF3058" s="5" t="s">
        <v>248</v>
      </c>
      <c r="AG3058" s="5" t="s">
        <v>249</v>
      </c>
      <c r="AW3058" s="5" t="s">
        <v>251</v>
      </c>
      <c r="AX3058" s="5" t="s">
        <v>240</v>
      </c>
      <c r="AY3058" s="5" t="s">
        <v>253</v>
      </c>
      <c r="AZ3058" s="5" t="s">
        <v>240</v>
      </c>
      <c r="BA3058" s="5" t="s">
        <v>255</v>
      </c>
      <c r="BB3058" s="5" t="s">
        <v>240</v>
      </c>
      <c r="BD3058" s="5" t="s">
        <v>240</v>
      </c>
      <c r="BF3058" s="5" t="s">
        <v>301</v>
      </c>
      <c r="BG3058" s="6" t="s">
        <v>299</v>
      </c>
      <c r="BH3058" s="5" t="s">
        <v>302</v>
      </c>
      <c r="BI3058" s="5" t="s">
        <v>303</v>
      </c>
      <c r="BJ3058" s="5" t="s">
        <v>240</v>
      </c>
      <c r="BK3058" s="8">
        <f>0</f>
        <v>0</v>
      </c>
      <c r="BL3058" s="7">
        <f>0</f>
        <v>0</v>
      </c>
      <c r="BM3058" s="5" t="s">
        <v>258</v>
      </c>
      <c r="BN3058" s="5" t="s">
        <v>259</v>
      </c>
      <c r="CB3058" s="5" t="s">
        <v>240</v>
      </c>
      <c r="CC3058" s="5" t="s">
        <v>240</v>
      </c>
      <c r="CG3058" s="5" t="s">
        <v>304</v>
      </c>
      <c r="CH3058" s="5" t="s">
        <v>305</v>
      </c>
      <c r="CI3058" s="5" t="s">
        <v>240</v>
      </c>
      <c r="CL3058" s="6" t="s">
        <v>261</v>
      </c>
      <c r="CM3058" s="5" t="s">
        <v>240</v>
      </c>
      <c r="CN3058" s="5" t="s">
        <v>263</v>
      </c>
      <c r="CO3058" s="5" t="s">
        <v>240</v>
      </c>
      <c r="CP3058" s="5" t="s">
        <v>240</v>
      </c>
      <c r="CQ3058" s="5">
        <v>0</v>
      </c>
      <c r="CR3058" s="5" t="s">
        <v>306</v>
      </c>
      <c r="CS3058" s="5" t="s">
        <v>307</v>
      </c>
      <c r="CT3058" s="5" t="s">
        <v>307</v>
      </c>
      <c r="CU3058" s="5" t="s">
        <v>260</v>
      </c>
      <c r="CX3058" s="7">
        <f>1</f>
        <v>1</v>
      </c>
      <c r="CY3058" s="7">
        <f>0</f>
        <v>0</v>
      </c>
      <c r="DA3058" s="7">
        <f>0</f>
        <v>0</v>
      </c>
      <c r="DC3058" s="5" t="s">
        <v>812</v>
      </c>
      <c r="DD3058" s="5" t="s">
        <v>240</v>
      </c>
      <c r="DF3058" s="5" t="s">
        <v>812</v>
      </c>
      <c r="DG3058" s="7">
        <f>1046</f>
        <v>1046</v>
      </c>
      <c r="DI3058" s="5" t="s">
        <v>240</v>
      </c>
      <c r="DJ3058" s="5" t="s">
        <v>240</v>
      </c>
      <c r="DK3058" s="5" t="s">
        <v>240</v>
      </c>
      <c r="DL3058" s="5" t="s">
        <v>240</v>
      </c>
      <c r="DP3058" s="5" t="s">
        <v>240</v>
      </c>
      <c r="DQ3058" s="5" t="s">
        <v>240</v>
      </c>
      <c r="DR3058" s="5" t="s">
        <v>240</v>
      </c>
      <c r="DS3058" s="5" t="s">
        <v>240</v>
      </c>
      <c r="DV3058" s="5" t="s">
        <v>813</v>
      </c>
      <c r="DW3058" s="5" t="s">
        <v>514</v>
      </c>
      <c r="HO3058" s="5" t="s">
        <v>312</v>
      </c>
    </row>
    <row r="3059" spans="1:240" x14ac:dyDescent="0.4">
      <c r="A3059" s="5">
        <v>4763</v>
      </c>
      <c r="B3059" s="5">
        <v>1</v>
      </c>
      <c r="C3059" s="5">
        <v>1</v>
      </c>
      <c r="D3059" s="5" t="s">
        <v>810</v>
      </c>
      <c r="E3059" s="5" t="s">
        <v>245</v>
      </c>
      <c r="F3059" s="5" t="s">
        <v>254</v>
      </c>
      <c r="G3059" s="5" t="s">
        <v>240</v>
      </c>
      <c r="H3059" s="6" t="s">
        <v>2427</v>
      </c>
      <c r="I3059" s="5" t="s">
        <v>809</v>
      </c>
      <c r="J3059" s="8">
        <f>2783</f>
        <v>2783</v>
      </c>
      <c r="K3059" s="5" t="s">
        <v>308</v>
      </c>
      <c r="L3059" s="7">
        <f>1</f>
        <v>1</v>
      </c>
      <c r="M3059" s="7">
        <f>1</f>
        <v>1</v>
      </c>
      <c r="N3059" s="5" t="s">
        <v>242</v>
      </c>
      <c r="O3059" s="5">
        <v>1</v>
      </c>
      <c r="P3059" s="5" t="s">
        <v>294</v>
      </c>
      <c r="Q3059" s="5" t="s">
        <v>3678</v>
      </c>
      <c r="R3059" s="5" t="s">
        <v>240</v>
      </c>
      <c r="S3059" s="5" t="s">
        <v>240</v>
      </c>
      <c r="T3059" s="5" t="s">
        <v>243</v>
      </c>
      <c r="U3059" s="5" t="s">
        <v>244</v>
      </c>
      <c r="V3059" s="5" t="s">
        <v>240</v>
      </c>
      <c r="W3059" s="5" t="s">
        <v>240</v>
      </c>
      <c r="X3059" s="5" t="s">
        <v>240</v>
      </c>
      <c r="Y3059" s="5" t="s">
        <v>240</v>
      </c>
      <c r="Z3059" s="6" t="s">
        <v>298</v>
      </c>
      <c r="AA3059" s="6" t="s">
        <v>240</v>
      </c>
      <c r="AB3059" s="6" t="s">
        <v>240</v>
      </c>
      <c r="AC3059" s="5" t="s">
        <v>240</v>
      </c>
      <c r="AD3059" s="6" t="s">
        <v>240</v>
      </c>
      <c r="AE3059" s="6" t="s">
        <v>299</v>
      </c>
      <c r="AF3059" s="5" t="s">
        <v>248</v>
      </c>
      <c r="AG3059" s="5" t="s">
        <v>249</v>
      </c>
      <c r="AH3059" s="5" t="s">
        <v>240</v>
      </c>
      <c r="AI3059" s="5" t="s">
        <v>240</v>
      </c>
      <c r="AJ3059" s="5" t="s">
        <v>240</v>
      </c>
      <c r="AK3059" s="5" t="s">
        <v>240</v>
      </c>
      <c r="AL3059" s="5" t="s">
        <v>240</v>
      </c>
      <c r="AM3059" s="5" t="s">
        <v>240</v>
      </c>
      <c r="AN3059" s="5" t="s">
        <v>240</v>
      </c>
      <c r="AO3059" s="5" t="s">
        <v>240</v>
      </c>
      <c r="AP3059" s="6" t="s">
        <v>240</v>
      </c>
      <c r="AQ3059" s="6" t="s">
        <v>240</v>
      </c>
      <c r="AR3059" s="6" t="s">
        <v>240</v>
      </c>
      <c r="AS3059" s="6" t="s">
        <v>240</v>
      </c>
      <c r="AT3059" s="5" t="s">
        <v>240</v>
      </c>
      <c r="AU3059" s="5" t="s">
        <v>729</v>
      </c>
      <c r="AV3059" s="5" t="s">
        <v>729</v>
      </c>
      <c r="AW3059" s="5" t="s">
        <v>251</v>
      </c>
      <c r="AX3059" s="5" t="s">
        <v>252</v>
      </c>
      <c r="AY3059" s="5" t="s">
        <v>253</v>
      </c>
      <c r="AZ3059" s="5" t="s">
        <v>240</v>
      </c>
      <c r="BA3059" s="5" t="s">
        <v>255</v>
      </c>
      <c r="BB3059" s="5" t="s">
        <v>731</v>
      </c>
      <c r="BD3059" s="5" t="s">
        <v>240</v>
      </c>
      <c r="BF3059" s="5" t="s">
        <v>732</v>
      </c>
      <c r="BG3059" s="6" t="s">
        <v>733</v>
      </c>
      <c r="BH3059" s="5" t="s">
        <v>734</v>
      </c>
      <c r="BI3059" s="5" t="s">
        <v>734</v>
      </c>
      <c r="BJ3059" s="5" t="s">
        <v>240</v>
      </c>
      <c r="BK3059" s="7">
        <f>1</f>
        <v>1</v>
      </c>
      <c r="BL3059" s="7">
        <f>1</f>
        <v>1</v>
      </c>
      <c r="BM3059" s="5" t="s">
        <v>258</v>
      </c>
      <c r="BN3059" s="5" t="s">
        <v>259</v>
      </c>
      <c r="BO3059" s="5" t="s">
        <v>240</v>
      </c>
      <c r="BP3059" s="5" t="s">
        <v>240</v>
      </c>
      <c r="BQ3059" s="5" t="s">
        <v>240</v>
      </c>
      <c r="BR3059" s="5" t="s">
        <v>240</v>
      </c>
      <c r="BS3059" s="5" t="s">
        <v>240</v>
      </c>
      <c r="BT3059" s="5" t="s">
        <v>240</v>
      </c>
      <c r="BU3059" s="5" t="s">
        <v>240</v>
      </c>
      <c r="BV3059" s="5" t="s">
        <v>240</v>
      </c>
      <c r="BW3059" s="6" t="s">
        <v>240</v>
      </c>
      <c r="BX3059" s="5" t="s">
        <v>240</v>
      </c>
      <c r="BY3059" s="5" t="s">
        <v>240</v>
      </c>
      <c r="BZ3059" s="5" t="s">
        <v>240</v>
      </c>
      <c r="CA3059" s="5" t="s">
        <v>259</v>
      </c>
      <c r="CB3059" s="5" t="s">
        <v>240</v>
      </c>
      <c r="CC3059" s="5" t="s">
        <v>240</v>
      </c>
      <c r="CD3059" s="5" t="s">
        <v>240</v>
      </c>
      <c r="CE3059" s="5" t="s">
        <v>240</v>
      </c>
      <c r="CF3059" s="5" t="s">
        <v>240</v>
      </c>
      <c r="CG3059" s="5" t="s">
        <v>304</v>
      </c>
      <c r="CH3059" s="5" t="s">
        <v>305</v>
      </c>
      <c r="CI3059" s="5" t="s">
        <v>240</v>
      </c>
      <c r="CK3059" s="5" t="s">
        <v>3681</v>
      </c>
      <c r="CL3059" s="6" t="s">
        <v>261</v>
      </c>
      <c r="CM3059" s="5" t="s">
        <v>262</v>
      </c>
      <c r="CN3059" s="5" t="s">
        <v>263</v>
      </c>
      <c r="CO3059" s="5" t="s">
        <v>264</v>
      </c>
      <c r="CP3059" s="5" t="s">
        <v>240</v>
      </c>
      <c r="CQ3059" s="5">
        <v>0</v>
      </c>
      <c r="CR3059" s="5" t="s">
        <v>735</v>
      </c>
      <c r="CS3059" s="5" t="s">
        <v>307</v>
      </c>
      <c r="CT3059" s="5" t="s">
        <v>307</v>
      </c>
      <c r="CU3059" s="5" t="s">
        <v>260</v>
      </c>
      <c r="CV3059" s="5" t="s">
        <v>612</v>
      </c>
      <c r="CW3059" s="8">
        <f>1</f>
        <v>1</v>
      </c>
      <c r="CX3059" s="7">
        <f>1</f>
        <v>1</v>
      </c>
      <c r="CY3059" s="7">
        <f>0</f>
        <v>0</v>
      </c>
      <c r="DA3059" s="7">
        <f>1</f>
        <v>1</v>
      </c>
      <c r="DB3059" s="7" t="s">
        <v>240</v>
      </c>
      <c r="DC3059" s="5" t="s">
        <v>240</v>
      </c>
      <c r="DD3059" s="5" t="s">
        <v>240</v>
      </c>
      <c r="DE3059" s="5" t="s">
        <v>240</v>
      </c>
      <c r="DF3059" s="5" t="s">
        <v>240</v>
      </c>
      <c r="DG3059" s="7">
        <f>0</f>
        <v>0</v>
      </c>
      <c r="DI3059" s="5" t="s">
        <v>240</v>
      </c>
      <c r="DJ3059" s="5" t="s">
        <v>240</v>
      </c>
      <c r="DK3059" s="5" t="s">
        <v>240</v>
      </c>
      <c r="DL3059" s="5" t="s">
        <v>240</v>
      </c>
      <c r="DM3059" s="5" t="s">
        <v>240</v>
      </c>
      <c r="DN3059" s="5" t="s">
        <v>240</v>
      </c>
      <c r="DO3059" s="7" t="s">
        <v>240</v>
      </c>
      <c r="DP3059" s="5" t="s">
        <v>240</v>
      </c>
      <c r="DQ3059" s="5" t="s">
        <v>240</v>
      </c>
      <c r="DR3059" s="5" t="s">
        <v>731</v>
      </c>
      <c r="DS3059" s="5" t="s">
        <v>731</v>
      </c>
      <c r="DT3059" s="5" t="s">
        <v>240</v>
      </c>
      <c r="DU3059" s="5" t="s">
        <v>240</v>
      </c>
      <c r="DV3059" s="5" t="s">
        <v>3683</v>
      </c>
      <c r="DW3059" s="5" t="s">
        <v>748</v>
      </c>
      <c r="DX3059" s="5" t="s">
        <v>240</v>
      </c>
      <c r="DY3059" s="5" t="s">
        <v>240</v>
      </c>
      <c r="DZ3059" s="5" t="s">
        <v>240</v>
      </c>
      <c r="EA3059" s="5" t="s">
        <v>240</v>
      </c>
      <c r="EB3059" s="5" t="s">
        <v>240</v>
      </c>
      <c r="EC3059" s="5" t="s">
        <v>240</v>
      </c>
      <c r="ED3059" s="5" t="s">
        <v>240</v>
      </c>
      <c r="EE3059" s="5" t="s">
        <v>240</v>
      </c>
      <c r="EF3059" s="5" t="s">
        <v>240</v>
      </c>
      <c r="EG3059" s="5" t="s">
        <v>240</v>
      </c>
      <c r="EH3059" s="5" t="s">
        <v>240</v>
      </c>
      <c r="EI3059" s="5" t="s">
        <v>240</v>
      </c>
      <c r="EJ3059" s="5" t="s">
        <v>240</v>
      </c>
      <c r="EK3059" s="5" t="s">
        <v>240</v>
      </c>
      <c r="EL3059" s="5" t="s">
        <v>240</v>
      </c>
      <c r="EM3059" s="5" t="s">
        <v>240</v>
      </c>
      <c r="EN3059" s="5" t="s">
        <v>240</v>
      </c>
      <c r="EO3059" s="5" t="s">
        <v>240</v>
      </c>
      <c r="EP3059" s="5" t="s">
        <v>240</v>
      </c>
      <c r="EQ3059" s="5" t="s">
        <v>240</v>
      </c>
      <c r="ER3059" s="5" t="s">
        <v>240</v>
      </c>
      <c r="ES3059" s="5" t="s">
        <v>240</v>
      </c>
      <c r="ET3059" s="5" t="s">
        <v>240</v>
      </c>
      <c r="EU3059" s="5" t="s">
        <v>240</v>
      </c>
      <c r="EV3059" s="5" t="s">
        <v>240</v>
      </c>
      <c r="EW3059" s="5" t="s">
        <v>240</v>
      </c>
      <c r="EX3059" s="5" t="s">
        <v>240</v>
      </c>
      <c r="EY3059" s="5" t="s">
        <v>240</v>
      </c>
      <c r="EZ3059" s="5" t="s">
        <v>240</v>
      </c>
      <c r="FA3059" s="5" t="s">
        <v>240</v>
      </c>
      <c r="FB3059" s="5" t="s">
        <v>240</v>
      </c>
      <c r="FC3059" s="5" t="s">
        <v>240</v>
      </c>
      <c r="FD3059" s="5" t="s">
        <v>240</v>
      </c>
      <c r="FE3059" s="5" t="s">
        <v>240</v>
      </c>
      <c r="FF3059" s="5" t="s">
        <v>240</v>
      </c>
      <c r="FG3059" s="5" t="s">
        <v>240</v>
      </c>
      <c r="FH3059" s="5" t="s">
        <v>240</v>
      </c>
      <c r="FI3059" s="5" t="s">
        <v>240</v>
      </c>
      <c r="FJ3059" s="5" t="s">
        <v>240</v>
      </c>
      <c r="FK3059" s="5" t="s">
        <v>240</v>
      </c>
      <c r="FL3059" s="5" t="s">
        <v>240</v>
      </c>
      <c r="FM3059" s="5" t="s">
        <v>240</v>
      </c>
      <c r="FN3059" s="5" t="s">
        <v>240</v>
      </c>
      <c r="FO3059" s="5" t="s">
        <v>240</v>
      </c>
      <c r="FP3059" s="5" t="s">
        <v>240</v>
      </c>
      <c r="FQ3059" s="5" t="s">
        <v>240</v>
      </c>
      <c r="FR3059" s="5" t="s">
        <v>240</v>
      </c>
      <c r="FS3059" s="5" t="s">
        <v>240</v>
      </c>
      <c r="FT3059" s="5" t="s">
        <v>240</v>
      </c>
      <c r="FU3059" s="5" t="s">
        <v>240</v>
      </c>
      <c r="FV3059" s="5" t="s">
        <v>240</v>
      </c>
      <c r="FW3059" s="5" t="s">
        <v>240</v>
      </c>
      <c r="FX3059" s="5" t="s">
        <v>240</v>
      </c>
      <c r="FY3059" s="5" t="s">
        <v>240</v>
      </c>
      <c r="FZ3059" s="5" t="s">
        <v>240</v>
      </c>
      <c r="GA3059" s="5" t="s">
        <v>240</v>
      </c>
      <c r="GB3059" s="5" t="s">
        <v>240</v>
      </c>
      <c r="GC3059" s="5" t="s">
        <v>240</v>
      </c>
      <c r="GD3059" s="5" t="s">
        <v>240</v>
      </c>
      <c r="GE3059" s="5" t="s">
        <v>240</v>
      </c>
      <c r="GF3059" s="5" t="s">
        <v>240</v>
      </c>
      <c r="GG3059" s="5" t="s">
        <v>240</v>
      </c>
      <c r="GH3059" s="5" t="s">
        <v>240</v>
      </c>
      <c r="GI3059" s="5" t="s">
        <v>240</v>
      </c>
      <c r="GJ3059" s="5" t="s">
        <v>240</v>
      </c>
      <c r="GK3059" s="5" t="s">
        <v>240</v>
      </c>
      <c r="GL3059" s="5" t="s">
        <v>240</v>
      </c>
      <c r="GM3059" s="5" t="s">
        <v>240</v>
      </c>
      <c r="GN3059" s="5" t="s">
        <v>240</v>
      </c>
      <c r="GO3059" s="5" t="s">
        <v>240</v>
      </c>
      <c r="GP3059" s="5" t="s">
        <v>240</v>
      </c>
      <c r="GQ3059" s="5" t="s">
        <v>240</v>
      </c>
      <c r="GR3059" s="5" t="s">
        <v>240</v>
      </c>
      <c r="GS3059" s="5" t="s">
        <v>240</v>
      </c>
      <c r="GT3059" s="5" t="s">
        <v>240</v>
      </c>
      <c r="GU3059" s="5" t="s">
        <v>240</v>
      </c>
      <c r="GV3059" s="5" t="s">
        <v>240</v>
      </c>
      <c r="GW3059" s="5" t="s">
        <v>240</v>
      </c>
      <c r="GX3059" s="5" t="s">
        <v>240</v>
      </c>
      <c r="GY3059" s="5" t="s">
        <v>240</v>
      </c>
      <c r="GZ3059" s="5" t="s">
        <v>240</v>
      </c>
      <c r="HA3059" s="5" t="s">
        <v>240</v>
      </c>
      <c r="HB3059" s="5" t="s">
        <v>240</v>
      </c>
      <c r="HC3059" s="5" t="s">
        <v>240</v>
      </c>
      <c r="HD3059" s="5" t="s">
        <v>240</v>
      </c>
      <c r="HE3059" s="5" t="s">
        <v>240</v>
      </c>
      <c r="HF3059" s="5" t="s">
        <v>240</v>
      </c>
      <c r="HG3059" s="5" t="s">
        <v>240</v>
      </c>
      <c r="HH3059" s="5" t="s">
        <v>240</v>
      </c>
      <c r="HI3059" s="5" t="s">
        <v>240</v>
      </c>
      <c r="HJ3059" s="5" t="s">
        <v>240</v>
      </c>
      <c r="HK3059" s="5" t="s">
        <v>240</v>
      </c>
      <c r="HL3059" s="5" t="s">
        <v>240</v>
      </c>
      <c r="HM3059" s="5" t="s">
        <v>240</v>
      </c>
      <c r="HN3059" s="5" t="s">
        <v>240</v>
      </c>
      <c r="HO3059" s="5" t="s">
        <v>312</v>
      </c>
      <c r="HP3059" s="5" t="s">
        <v>240</v>
      </c>
      <c r="HQ3059" s="5" t="s">
        <v>240</v>
      </c>
      <c r="HR3059" s="5" t="s">
        <v>240</v>
      </c>
      <c r="HS3059" s="5" t="s">
        <v>240</v>
      </c>
      <c r="HT3059" s="5" t="s">
        <v>240</v>
      </c>
      <c r="HU3059" s="5" t="s">
        <v>240</v>
      </c>
      <c r="HV3059" s="5" t="s">
        <v>240</v>
      </c>
      <c r="HW3059" s="5" t="s">
        <v>240</v>
      </c>
      <c r="HX3059" s="5" t="s">
        <v>240</v>
      </c>
      <c r="HY3059" s="5" t="s">
        <v>240</v>
      </c>
      <c r="HZ3059" s="5" t="s">
        <v>240</v>
      </c>
      <c r="IA3059" s="5" t="s">
        <v>240</v>
      </c>
      <c r="IB3059" s="5" t="s">
        <v>240</v>
      </c>
      <c r="IC3059" s="5" t="s">
        <v>240</v>
      </c>
      <c r="ID3059" s="5" t="s">
        <v>240</v>
      </c>
      <c r="IE3059" s="5" t="s">
        <v>240</v>
      </c>
      <c r="IF3059" s="5" t="s">
        <v>240</v>
      </c>
    </row>
    <row r="3060" spans="1:240" x14ac:dyDescent="0.4">
      <c r="A3060" s="5">
        <v>4764</v>
      </c>
      <c r="B3060" s="5">
        <v>1</v>
      </c>
      <c r="C3060" s="5">
        <v>1</v>
      </c>
      <c r="D3060" s="5" t="s">
        <v>810</v>
      </c>
      <c r="E3060" s="5" t="s">
        <v>245</v>
      </c>
      <c r="F3060" s="5" t="s">
        <v>254</v>
      </c>
      <c r="G3060" s="5" t="s">
        <v>240</v>
      </c>
      <c r="H3060" s="6" t="s">
        <v>2425</v>
      </c>
      <c r="I3060" s="5" t="s">
        <v>809</v>
      </c>
      <c r="J3060" s="8">
        <f>254</f>
        <v>254</v>
      </c>
      <c r="K3060" s="5" t="s">
        <v>308</v>
      </c>
      <c r="L3060" s="7">
        <f>1</f>
        <v>1</v>
      </c>
      <c r="M3060" s="7">
        <f>1</f>
        <v>1</v>
      </c>
      <c r="N3060" s="5" t="s">
        <v>242</v>
      </c>
      <c r="O3060" s="5">
        <v>1</v>
      </c>
      <c r="P3060" s="5" t="s">
        <v>294</v>
      </c>
      <c r="Q3060" s="5" t="s">
        <v>3678</v>
      </c>
      <c r="R3060" s="5" t="s">
        <v>240</v>
      </c>
      <c r="S3060" s="5" t="s">
        <v>240</v>
      </c>
      <c r="T3060" s="5" t="s">
        <v>243</v>
      </c>
      <c r="U3060" s="5" t="s">
        <v>244</v>
      </c>
      <c r="V3060" s="5" t="s">
        <v>240</v>
      </c>
      <c r="W3060" s="5" t="s">
        <v>240</v>
      </c>
      <c r="X3060" s="5" t="s">
        <v>240</v>
      </c>
      <c r="Y3060" s="5" t="s">
        <v>240</v>
      </c>
      <c r="Z3060" s="6" t="s">
        <v>298</v>
      </c>
      <c r="AA3060" s="6" t="s">
        <v>240</v>
      </c>
      <c r="AB3060" s="6" t="s">
        <v>240</v>
      </c>
      <c r="AC3060" s="5" t="s">
        <v>240</v>
      </c>
      <c r="AD3060" s="6" t="s">
        <v>240</v>
      </c>
      <c r="AE3060" s="6" t="s">
        <v>299</v>
      </c>
      <c r="AF3060" s="5" t="s">
        <v>248</v>
      </c>
      <c r="AG3060" s="5" t="s">
        <v>249</v>
      </c>
      <c r="AH3060" s="5" t="s">
        <v>240</v>
      </c>
      <c r="AI3060" s="5" t="s">
        <v>240</v>
      </c>
      <c r="AJ3060" s="5" t="s">
        <v>240</v>
      </c>
      <c r="AK3060" s="5" t="s">
        <v>240</v>
      </c>
      <c r="AL3060" s="5" t="s">
        <v>240</v>
      </c>
      <c r="AM3060" s="5" t="s">
        <v>240</v>
      </c>
      <c r="AN3060" s="5" t="s">
        <v>240</v>
      </c>
      <c r="AO3060" s="5" t="s">
        <v>240</v>
      </c>
      <c r="AP3060" s="6" t="s">
        <v>240</v>
      </c>
      <c r="AQ3060" s="6" t="s">
        <v>240</v>
      </c>
      <c r="AR3060" s="6" t="s">
        <v>240</v>
      </c>
      <c r="AS3060" s="6" t="s">
        <v>240</v>
      </c>
      <c r="AT3060" s="5" t="s">
        <v>240</v>
      </c>
      <c r="AU3060" s="5" t="s">
        <v>729</v>
      </c>
      <c r="AV3060" s="5" t="s">
        <v>729</v>
      </c>
      <c r="AW3060" s="5" t="s">
        <v>251</v>
      </c>
      <c r="AX3060" s="5" t="s">
        <v>252</v>
      </c>
      <c r="AY3060" s="5" t="s">
        <v>253</v>
      </c>
      <c r="AZ3060" s="5" t="s">
        <v>240</v>
      </c>
      <c r="BA3060" s="5" t="s">
        <v>255</v>
      </c>
      <c r="BB3060" s="5" t="s">
        <v>731</v>
      </c>
      <c r="BD3060" s="5" t="s">
        <v>240</v>
      </c>
      <c r="BF3060" s="5" t="s">
        <v>732</v>
      </c>
      <c r="BG3060" s="6" t="s">
        <v>733</v>
      </c>
      <c r="BH3060" s="5" t="s">
        <v>734</v>
      </c>
      <c r="BI3060" s="5" t="s">
        <v>734</v>
      </c>
      <c r="BJ3060" s="5" t="s">
        <v>240</v>
      </c>
      <c r="BK3060" s="7">
        <f>1</f>
        <v>1</v>
      </c>
      <c r="BL3060" s="7">
        <f>1</f>
        <v>1</v>
      </c>
      <c r="BM3060" s="5" t="s">
        <v>258</v>
      </c>
      <c r="BN3060" s="5" t="s">
        <v>259</v>
      </c>
      <c r="BO3060" s="5" t="s">
        <v>240</v>
      </c>
      <c r="BP3060" s="5" t="s">
        <v>240</v>
      </c>
      <c r="BQ3060" s="5" t="s">
        <v>240</v>
      </c>
      <c r="BR3060" s="5" t="s">
        <v>240</v>
      </c>
      <c r="BS3060" s="5" t="s">
        <v>240</v>
      </c>
      <c r="BT3060" s="5" t="s">
        <v>240</v>
      </c>
      <c r="BU3060" s="5" t="s">
        <v>240</v>
      </c>
      <c r="BV3060" s="5" t="s">
        <v>240</v>
      </c>
      <c r="BW3060" s="6" t="s">
        <v>240</v>
      </c>
      <c r="BX3060" s="5" t="s">
        <v>240</v>
      </c>
      <c r="BY3060" s="5" t="s">
        <v>240</v>
      </c>
      <c r="BZ3060" s="5" t="s">
        <v>240</v>
      </c>
      <c r="CA3060" s="5" t="s">
        <v>259</v>
      </c>
      <c r="CB3060" s="5" t="s">
        <v>240</v>
      </c>
      <c r="CC3060" s="5" t="s">
        <v>240</v>
      </c>
      <c r="CD3060" s="5" t="s">
        <v>240</v>
      </c>
      <c r="CE3060" s="5" t="s">
        <v>240</v>
      </c>
      <c r="CF3060" s="5" t="s">
        <v>240</v>
      </c>
      <c r="CG3060" s="5" t="s">
        <v>304</v>
      </c>
      <c r="CH3060" s="5" t="s">
        <v>305</v>
      </c>
      <c r="CI3060" s="5" t="s">
        <v>240</v>
      </c>
      <c r="CK3060" s="5" t="s">
        <v>3681</v>
      </c>
      <c r="CL3060" s="6" t="s">
        <v>261</v>
      </c>
      <c r="CM3060" s="5" t="s">
        <v>262</v>
      </c>
      <c r="CN3060" s="5" t="s">
        <v>263</v>
      </c>
      <c r="CO3060" s="5" t="s">
        <v>264</v>
      </c>
      <c r="CP3060" s="5" t="s">
        <v>240</v>
      </c>
      <c r="CQ3060" s="5">
        <v>0</v>
      </c>
      <c r="CR3060" s="5" t="s">
        <v>735</v>
      </c>
      <c r="CS3060" s="5" t="s">
        <v>307</v>
      </c>
      <c r="CT3060" s="5" t="s">
        <v>307</v>
      </c>
      <c r="CU3060" s="5" t="s">
        <v>260</v>
      </c>
      <c r="CV3060" s="5" t="s">
        <v>612</v>
      </c>
      <c r="CW3060" s="8">
        <f>1</f>
        <v>1</v>
      </c>
      <c r="CX3060" s="7">
        <f>1</f>
        <v>1</v>
      </c>
      <c r="CY3060" s="7">
        <f>0</f>
        <v>0</v>
      </c>
      <c r="DA3060" s="7">
        <f>1</f>
        <v>1</v>
      </c>
      <c r="DB3060" s="7" t="s">
        <v>240</v>
      </c>
      <c r="DC3060" s="5" t="s">
        <v>240</v>
      </c>
      <c r="DD3060" s="5" t="s">
        <v>240</v>
      </c>
      <c r="DE3060" s="5" t="s">
        <v>240</v>
      </c>
      <c r="DF3060" s="5" t="s">
        <v>240</v>
      </c>
      <c r="DG3060" s="7">
        <f>0</f>
        <v>0</v>
      </c>
      <c r="DI3060" s="5" t="s">
        <v>240</v>
      </c>
      <c r="DJ3060" s="5" t="s">
        <v>240</v>
      </c>
      <c r="DK3060" s="5" t="s">
        <v>240</v>
      </c>
      <c r="DL3060" s="5" t="s">
        <v>240</v>
      </c>
      <c r="DM3060" s="5" t="s">
        <v>240</v>
      </c>
      <c r="DN3060" s="5" t="s">
        <v>240</v>
      </c>
      <c r="DO3060" s="7" t="s">
        <v>240</v>
      </c>
      <c r="DP3060" s="5" t="s">
        <v>240</v>
      </c>
      <c r="DQ3060" s="5" t="s">
        <v>240</v>
      </c>
      <c r="DR3060" s="5" t="s">
        <v>731</v>
      </c>
      <c r="DS3060" s="5" t="s">
        <v>731</v>
      </c>
      <c r="DT3060" s="5" t="s">
        <v>240</v>
      </c>
      <c r="DU3060" s="5" t="s">
        <v>240</v>
      </c>
      <c r="DV3060" s="5" t="s">
        <v>3683</v>
      </c>
      <c r="DW3060" s="5" t="s">
        <v>1364</v>
      </c>
      <c r="DX3060" s="5" t="s">
        <v>240</v>
      </c>
      <c r="DY3060" s="5" t="s">
        <v>240</v>
      </c>
      <c r="DZ3060" s="5" t="s">
        <v>240</v>
      </c>
      <c r="EA3060" s="5" t="s">
        <v>240</v>
      </c>
      <c r="EB3060" s="5" t="s">
        <v>240</v>
      </c>
      <c r="EC3060" s="5" t="s">
        <v>240</v>
      </c>
      <c r="ED3060" s="5" t="s">
        <v>240</v>
      </c>
      <c r="EE3060" s="5" t="s">
        <v>240</v>
      </c>
      <c r="EF3060" s="5" t="s">
        <v>240</v>
      </c>
      <c r="EG3060" s="5" t="s">
        <v>240</v>
      </c>
      <c r="EH3060" s="5" t="s">
        <v>240</v>
      </c>
      <c r="EI3060" s="5" t="s">
        <v>240</v>
      </c>
      <c r="EJ3060" s="5" t="s">
        <v>240</v>
      </c>
      <c r="EK3060" s="5" t="s">
        <v>240</v>
      </c>
      <c r="EL3060" s="5" t="s">
        <v>240</v>
      </c>
      <c r="EM3060" s="5" t="s">
        <v>240</v>
      </c>
      <c r="EN3060" s="5" t="s">
        <v>240</v>
      </c>
      <c r="EO3060" s="5" t="s">
        <v>240</v>
      </c>
      <c r="EP3060" s="5" t="s">
        <v>240</v>
      </c>
      <c r="EQ3060" s="5" t="s">
        <v>240</v>
      </c>
      <c r="ER3060" s="5" t="s">
        <v>240</v>
      </c>
      <c r="ES3060" s="5" t="s">
        <v>240</v>
      </c>
      <c r="ET3060" s="5" t="s">
        <v>240</v>
      </c>
      <c r="EU3060" s="5" t="s">
        <v>240</v>
      </c>
      <c r="EV3060" s="5" t="s">
        <v>240</v>
      </c>
      <c r="EW3060" s="5" t="s">
        <v>240</v>
      </c>
      <c r="EX3060" s="5" t="s">
        <v>240</v>
      </c>
      <c r="EY3060" s="5" t="s">
        <v>240</v>
      </c>
      <c r="EZ3060" s="5" t="s">
        <v>240</v>
      </c>
      <c r="FA3060" s="5" t="s">
        <v>240</v>
      </c>
      <c r="FB3060" s="5" t="s">
        <v>240</v>
      </c>
      <c r="FC3060" s="5" t="s">
        <v>240</v>
      </c>
      <c r="FD3060" s="5" t="s">
        <v>240</v>
      </c>
      <c r="FE3060" s="5" t="s">
        <v>240</v>
      </c>
      <c r="FF3060" s="5" t="s">
        <v>240</v>
      </c>
      <c r="FG3060" s="5" t="s">
        <v>240</v>
      </c>
      <c r="FH3060" s="5" t="s">
        <v>240</v>
      </c>
      <c r="FI3060" s="5" t="s">
        <v>240</v>
      </c>
      <c r="FJ3060" s="5" t="s">
        <v>240</v>
      </c>
      <c r="FK3060" s="5" t="s">
        <v>240</v>
      </c>
      <c r="FL3060" s="5" t="s">
        <v>240</v>
      </c>
      <c r="FM3060" s="5" t="s">
        <v>240</v>
      </c>
      <c r="FN3060" s="5" t="s">
        <v>240</v>
      </c>
      <c r="FO3060" s="5" t="s">
        <v>240</v>
      </c>
      <c r="FP3060" s="5" t="s">
        <v>240</v>
      </c>
      <c r="FQ3060" s="5" t="s">
        <v>240</v>
      </c>
      <c r="FR3060" s="5" t="s">
        <v>240</v>
      </c>
      <c r="FS3060" s="5" t="s">
        <v>240</v>
      </c>
      <c r="FT3060" s="5" t="s">
        <v>240</v>
      </c>
      <c r="FU3060" s="5" t="s">
        <v>240</v>
      </c>
      <c r="FV3060" s="5" t="s">
        <v>240</v>
      </c>
      <c r="FW3060" s="5" t="s">
        <v>240</v>
      </c>
      <c r="FX3060" s="5" t="s">
        <v>240</v>
      </c>
      <c r="FY3060" s="5" t="s">
        <v>240</v>
      </c>
      <c r="FZ3060" s="5" t="s">
        <v>240</v>
      </c>
      <c r="GA3060" s="5" t="s">
        <v>240</v>
      </c>
      <c r="GB3060" s="5" t="s">
        <v>240</v>
      </c>
      <c r="GC3060" s="5" t="s">
        <v>240</v>
      </c>
      <c r="GD3060" s="5" t="s">
        <v>240</v>
      </c>
      <c r="GE3060" s="5" t="s">
        <v>240</v>
      </c>
      <c r="GF3060" s="5" t="s">
        <v>240</v>
      </c>
      <c r="GG3060" s="5" t="s">
        <v>240</v>
      </c>
      <c r="GH3060" s="5" t="s">
        <v>240</v>
      </c>
      <c r="GI3060" s="5" t="s">
        <v>240</v>
      </c>
      <c r="GJ3060" s="5" t="s">
        <v>240</v>
      </c>
      <c r="GK3060" s="5" t="s">
        <v>240</v>
      </c>
      <c r="GL3060" s="5" t="s">
        <v>240</v>
      </c>
      <c r="GM3060" s="5" t="s">
        <v>240</v>
      </c>
      <c r="GN3060" s="5" t="s">
        <v>240</v>
      </c>
      <c r="GO3060" s="5" t="s">
        <v>240</v>
      </c>
      <c r="GP3060" s="5" t="s">
        <v>240</v>
      </c>
      <c r="GQ3060" s="5" t="s">
        <v>240</v>
      </c>
      <c r="GR3060" s="5" t="s">
        <v>240</v>
      </c>
      <c r="GS3060" s="5" t="s">
        <v>240</v>
      </c>
      <c r="GT3060" s="5" t="s">
        <v>240</v>
      </c>
      <c r="GU3060" s="5" t="s">
        <v>240</v>
      </c>
      <c r="GV3060" s="5" t="s">
        <v>240</v>
      </c>
      <c r="GW3060" s="5" t="s">
        <v>240</v>
      </c>
      <c r="GX3060" s="5" t="s">
        <v>240</v>
      </c>
      <c r="GY3060" s="5" t="s">
        <v>240</v>
      </c>
      <c r="GZ3060" s="5" t="s">
        <v>240</v>
      </c>
      <c r="HA3060" s="5" t="s">
        <v>240</v>
      </c>
      <c r="HB3060" s="5" t="s">
        <v>240</v>
      </c>
      <c r="HC3060" s="5" t="s">
        <v>240</v>
      </c>
      <c r="HD3060" s="5" t="s">
        <v>240</v>
      </c>
      <c r="HE3060" s="5" t="s">
        <v>240</v>
      </c>
      <c r="HF3060" s="5" t="s">
        <v>240</v>
      </c>
      <c r="HG3060" s="5" t="s">
        <v>240</v>
      </c>
      <c r="HH3060" s="5" t="s">
        <v>240</v>
      </c>
      <c r="HI3060" s="5" t="s">
        <v>240</v>
      </c>
      <c r="HJ3060" s="5" t="s">
        <v>240</v>
      </c>
      <c r="HK3060" s="5" t="s">
        <v>240</v>
      </c>
      <c r="HL3060" s="5" t="s">
        <v>240</v>
      </c>
      <c r="HM3060" s="5" t="s">
        <v>240</v>
      </c>
      <c r="HN3060" s="5" t="s">
        <v>240</v>
      </c>
      <c r="HO3060" s="5" t="s">
        <v>312</v>
      </c>
      <c r="HP3060" s="5" t="s">
        <v>240</v>
      </c>
      <c r="HQ3060" s="5" t="s">
        <v>240</v>
      </c>
      <c r="HR3060" s="5" t="s">
        <v>240</v>
      </c>
      <c r="HS3060" s="5" t="s">
        <v>240</v>
      </c>
      <c r="HT3060" s="5" t="s">
        <v>240</v>
      </c>
      <c r="HU3060" s="5" t="s">
        <v>240</v>
      </c>
      <c r="HV3060" s="5" t="s">
        <v>240</v>
      </c>
      <c r="HW3060" s="5" t="s">
        <v>240</v>
      </c>
      <c r="HX3060" s="5" t="s">
        <v>240</v>
      </c>
      <c r="HY3060" s="5" t="s">
        <v>240</v>
      </c>
      <c r="HZ3060" s="5" t="s">
        <v>240</v>
      </c>
      <c r="IA3060" s="5" t="s">
        <v>240</v>
      </c>
      <c r="IB3060" s="5" t="s">
        <v>240</v>
      </c>
      <c r="IC3060" s="5" t="s">
        <v>240</v>
      </c>
      <c r="ID3060" s="5" t="s">
        <v>240</v>
      </c>
      <c r="IE3060" s="5" t="s">
        <v>240</v>
      </c>
      <c r="IF3060" s="5" t="s">
        <v>240</v>
      </c>
    </row>
    <row r="3061" spans="1:240" x14ac:dyDescent="0.4">
      <c r="A3061" s="5">
        <v>4765</v>
      </c>
      <c r="B3061" s="5">
        <v>1</v>
      </c>
      <c r="C3061" s="5">
        <v>1</v>
      </c>
      <c r="D3061" s="5" t="s">
        <v>810</v>
      </c>
      <c r="E3061" s="5" t="s">
        <v>245</v>
      </c>
      <c r="F3061" s="5" t="s">
        <v>254</v>
      </c>
      <c r="G3061" s="5" t="s">
        <v>240</v>
      </c>
      <c r="H3061" s="6" t="s">
        <v>2423</v>
      </c>
      <c r="I3061" s="5" t="s">
        <v>809</v>
      </c>
      <c r="J3061" s="8">
        <f>1076</f>
        <v>1076</v>
      </c>
      <c r="K3061" s="5" t="s">
        <v>308</v>
      </c>
      <c r="L3061" s="7">
        <f>1</f>
        <v>1</v>
      </c>
      <c r="M3061" s="7">
        <f>1</f>
        <v>1</v>
      </c>
      <c r="N3061" s="5" t="s">
        <v>242</v>
      </c>
      <c r="O3061" s="5">
        <v>1</v>
      </c>
      <c r="P3061" s="5" t="s">
        <v>294</v>
      </c>
      <c r="Q3061" s="5" t="s">
        <v>3678</v>
      </c>
      <c r="R3061" s="5" t="s">
        <v>240</v>
      </c>
      <c r="S3061" s="5" t="s">
        <v>240</v>
      </c>
      <c r="T3061" s="5" t="s">
        <v>243</v>
      </c>
      <c r="U3061" s="5" t="s">
        <v>244</v>
      </c>
      <c r="V3061" s="5" t="s">
        <v>240</v>
      </c>
      <c r="W3061" s="5" t="s">
        <v>240</v>
      </c>
      <c r="X3061" s="5" t="s">
        <v>240</v>
      </c>
      <c r="Y3061" s="5" t="s">
        <v>240</v>
      </c>
      <c r="Z3061" s="6" t="s">
        <v>298</v>
      </c>
      <c r="AA3061" s="6" t="s">
        <v>240</v>
      </c>
      <c r="AB3061" s="6" t="s">
        <v>240</v>
      </c>
      <c r="AC3061" s="5" t="s">
        <v>240</v>
      </c>
      <c r="AD3061" s="6" t="s">
        <v>240</v>
      </c>
      <c r="AE3061" s="6" t="s">
        <v>299</v>
      </c>
      <c r="AF3061" s="5" t="s">
        <v>248</v>
      </c>
      <c r="AG3061" s="5" t="s">
        <v>249</v>
      </c>
      <c r="AH3061" s="5" t="s">
        <v>240</v>
      </c>
      <c r="AI3061" s="5" t="s">
        <v>240</v>
      </c>
      <c r="AJ3061" s="5" t="s">
        <v>240</v>
      </c>
      <c r="AK3061" s="5" t="s">
        <v>240</v>
      </c>
      <c r="AL3061" s="5" t="s">
        <v>240</v>
      </c>
      <c r="AM3061" s="5" t="s">
        <v>240</v>
      </c>
      <c r="AN3061" s="5" t="s">
        <v>240</v>
      </c>
      <c r="AO3061" s="5" t="s">
        <v>240</v>
      </c>
      <c r="AP3061" s="6" t="s">
        <v>240</v>
      </c>
      <c r="AQ3061" s="6" t="s">
        <v>240</v>
      </c>
      <c r="AR3061" s="6" t="s">
        <v>240</v>
      </c>
      <c r="AS3061" s="6" t="s">
        <v>240</v>
      </c>
      <c r="AT3061" s="5" t="s">
        <v>240</v>
      </c>
      <c r="AU3061" s="5" t="s">
        <v>729</v>
      </c>
      <c r="AV3061" s="5" t="s">
        <v>729</v>
      </c>
      <c r="AW3061" s="5" t="s">
        <v>251</v>
      </c>
      <c r="AX3061" s="5" t="s">
        <v>252</v>
      </c>
      <c r="AY3061" s="5" t="s">
        <v>253</v>
      </c>
      <c r="AZ3061" s="5" t="s">
        <v>240</v>
      </c>
      <c r="BA3061" s="5" t="s">
        <v>255</v>
      </c>
      <c r="BB3061" s="5" t="s">
        <v>731</v>
      </c>
      <c r="BD3061" s="5" t="s">
        <v>240</v>
      </c>
      <c r="BF3061" s="5" t="s">
        <v>732</v>
      </c>
      <c r="BG3061" s="6" t="s">
        <v>733</v>
      </c>
      <c r="BH3061" s="5" t="s">
        <v>734</v>
      </c>
      <c r="BI3061" s="5" t="s">
        <v>734</v>
      </c>
      <c r="BJ3061" s="5" t="s">
        <v>240</v>
      </c>
      <c r="BK3061" s="7">
        <f>1</f>
        <v>1</v>
      </c>
      <c r="BL3061" s="7">
        <f>1</f>
        <v>1</v>
      </c>
      <c r="BM3061" s="5" t="s">
        <v>258</v>
      </c>
      <c r="BN3061" s="5" t="s">
        <v>259</v>
      </c>
      <c r="BO3061" s="5" t="s">
        <v>240</v>
      </c>
      <c r="BP3061" s="5" t="s">
        <v>240</v>
      </c>
      <c r="BQ3061" s="5" t="s">
        <v>240</v>
      </c>
      <c r="BR3061" s="5" t="s">
        <v>240</v>
      </c>
      <c r="BS3061" s="5" t="s">
        <v>240</v>
      </c>
      <c r="BT3061" s="5" t="s">
        <v>240</v>
      </c>
      <c r="BU3061" s="5" t="s">
        <v>240</v>
      </c>
      <c r="BV3061" s="5" t="s">
        <v>240</v>
      </c>
      <c r="BW3061" s="6" t="s">
        <v>240</v>
      </c>
      <c r="BX3061" s="5" t="s">
        <v>240</v>
      </c>
      <c r="BY3061" s="5" t="s">
        <v>240</v>
      </c>
      <c r="BZ3061" s="5" t="s">
        <v>240</v>
      </c>
      <c r="CA3061" s="5" t="s">
        <v>259</v>
      </c>
      <c r="CB3061" s="5" t="s">
        <v>240</v>
      </c>
      <c r="CC3061" s="5" t="s">
        <v>240</v>
      </c>
      <c r="CD3061" s="5" t="s">
        <v>240</v>
      </c>
      <c r="CE3061" s="5" t="s">
        <v>240</v>
      </c>
      <c r="CF3061" s="5" t="s">
        <v>240</v>
      </c>
      <c r="CG3061" s="5" t="s">
        <v>304</v>
      </c>
      <c r="CH3061" s="5" t="s">
        <v>305</v>
      </c>
      <c r="CI3061" s="5" t="s">
        <v>240</v>
      </c>
      <c r="CK3061" s="5" t="s">
        <v>3681</v>
      </c>
      <c r="CL3061" s="6" t="s">
        <v>261</v>
      </c>
      <c r="CM3061" s="5" t="s">
        <v>262</v>
      </c>
      <c r="CN3061" s="5" t="s">
        <v>263</v>
      </c>
      <c r="CO3061" s="5" t="s">
        <v>264</v>
      </c>
      <c r="CP3061" s="5" t="s">
        <v>240</v>
      </c>
      <c r="CQ3061" s="5">
        <v>0</v>
      </c>
      <c r="CR3061" s="5" t="s">
        <v>735</v>
      </c>
      <c r="CS3061" s="5" t="s">
        <v>307</v>
      </c>
      <c r="CT3061" s="5" t="s">
        <v>307</v>
      </c>
      <c r="CU3061" s="5" t="s">
        <v>260</v>
      </c>
      <c r="CV3061" s="5" t="s">
        <v>612</v>
      </c>
      <c r="CW3061" s="8">
        <f>1</f>
        <v>1</v>
      </c>
      <c r="CX3061" s="7">
        <f>1</f>
        <v>1</v>
      </c>
      <c r="CY3061" s="7">
        <f>0</f>
        <v>0</v>
      </c>
      <c r="DA3061" s="7">
        <f>1</f>
        <v>1</v>
      </c>
      <c r="DB3061" s="7" t="s">
        <v>240</v>
      </c>
      <c r="DC3061" s="5" t="s">
        <v>240</v>
      </c>
      <c r="DD3061" s="5" t="s">
        <v>240</v>
      </c>
      <c r="DE3061" s="5" t="s">
        <v>240</v>
      </c>
      <c r="DF3061" s="5" t="s">
        <v>240</v>
      </c>
      <c r="DG3061" s="7">
        <f>0</f>
        <v>0</v>
      </c>
      <c r="DI3061" s="5" t="s">
        <v>240</v>
      </c>
      <c r="DJ3061" s="5" t="s">
        <v>240</v>
      </c>
      <c r="DK3061" s="5" t="s">
        <v>240</v>
      </c>
      <c r="DL3061" s="5" t="s">
        <v>240</v>
      </c>
      <c r="DM3061" s="5" t="s">
        <v>240</v>
      </c>
      <c r="DN3061" s="5" t="s">
        <v>240</v>
      </c>
      <c r="DO3061" s="7" t="s">
        <v>240</v>
      </c>
      <c r="DP3061" s="5" t="s">
        <v>240</v>
      </c>
      <c r="DQ3061" s="5" t="s">
        <v>240</v>
      </c>
      <c r="DR3061" s="5" t="s">
        <v>731</v>
      </c>
      <c r="DS3061" s="5" t="s">
        <v>731</v>
      </c>
      <c r="DT3061" s="5" t="s">
        <v>240</v>
      </c>
      <c r="DU3061" s="5" t="s">
        <v>240</v>
      </c>
      <c r="DV3061" s="5" t="s">
        <v>3683</v>
      </c>
      <c r="DW3061" s="5" t="s">
        <v>715</v>
      </c>
      <c r="DX3061" s="5" t="s">
        <v>240</v>
      </c>
      <c r="DY3061" s="5" t="s">
        <v>240</v>
      </c>
      <c r="DZ3061" s="5" t="s">
        <v>240</v>
      </c>
      <c r="EA3061" s="5" t="s">
        <v>240</v>
      </c>
      <c r="EB3061" s="5" t="s">
        <v>240</v>
      </c>
      <c r="EC3061" s="5" t="s">
        <v>240</v>
      </c>
      <c r="ED3061" s="5" t="s">
        <v>240</v>
      </c>
      <c r="EE3061" s="5" t="s">
        <v>240</v>
      </c>
      <c r="EF3061" s="5" t="s">
        <v>240</v>
      </c>
      <c r="EG3061" s="5" t="s">
        <v>240</v>
      </c>
      <c r="EH3061" s="5" t="s">
        <v>240</v>
      </c>
      <c r="EI3061" s="5" t="s">
        <v>240</v>
      </c>
      <c r="EJ3061" s="5" t="s">
        <v>240</v>
      </c>
      <c r="EK3061" s="5" t="s">
        <v>240</v>
      </c>
      <c r="EL3061" s="5" t="s">
        <v>240</v>
      </c>
      <c r="EM3061" s="5" t="s">
        <v>240</v>
      </c>
      <c r="EN3061" s="5" t="s">
        <v>240</v>
      </c>
      <c r="EO3061" s="5" t="s">
        <v>240</v>
      </c>
      <c r="EP3061" s="5" t="s">
        <v>240</v>
      </c>
      <c r="EQ3061" s="5" t="s">
        <v>240</v>
      </c>
      <c r="ER3061" s="5" t="s">
        <v>240</v>
      </c>
      <c r="ES3061" s="5" t="s">
        <v>240</v>
      </c>
      <c r="ET3061" s="5" t="s">
        <v>240</v>
      </c>
      <c r="EU3061" s="5" t="s">
        <v>240</v>
      </c>
      <c r="EV3061" s="5" t="s">
        <v>240</v>
      </c>
      <c r="EW3061" s="5" t="s">
        <v>240</v>
      </c>
      <c r="EX3061" s="5" t="s">
        <v>240</v>
      </c>
      <c r="EY3061" s="5" t="s">
        <v>240</v>
      </c>
      <c r="EZ3061" s="5" t="s">
        <v>240</v>
      </c>
      <c r="FA3061" s="5" t="s">
        <v>240</v>
      </c>
      <c r="FB3061" s="5" t="s">
        <v>240</v>
      </c>
      <c r="FC3061" s="5" t="s">
        <v>240</v>
      </c>
      <c r="FD3061" s="5" t="s">
        <v>240</v>
      </c>
      <c r="FE3061" s="5" t="s">
        <v>240</v>
      </c>
      <c r="FF3061" s="5" t="s">
        <v>240</v>
      </c>
      <c r="FG3061" s="5" t="s">
        <v>240</v>
      </c>
      <c r="FH3061" s="5" t="s">
        <v>240</v>
      </c>
      <c r="FI3061" s="5" t="s">
        <v>240</v>
      </c>
      <c r="FJ3061" s="5" t="s">
        <v>240</v>
      </c>
      <c r="FK3061" s="5" t="s">
        <v>240</v>
      </c>
      <c r="FL3061" s="5" t="s">
        <v>240</v>
      </c>
      <c r="FM3061" s="5" t="s">
        <v>240</v>
      </c>
      <c r="FN3061" s="5" t="s">
        <v>240</v>
      </c>
      <c r="FO3061" s="5" t="s">
        <v>240</v>
      </c>
      <c r="FP3061" s="5" t="s">
        <v>240</v>
      </c>
      <c r="FQ3061" s="5" t="s">
        <v>240</v>
      </c>
      <c r="FR3061" s="5" t="s">
        <v>240</v>
      </c>
      <c r="FS3061" s="5" t="s">
        <v>240</v>
      </c>
      <c r="FT3061" s="5" t="s">
        <v>240</v>
      </c>
      <c r="FU3061" s="5" t="s">
        <v>240</v>
      </c>
      <c r="FV3061" s="5" t="s">
        <v>240</v>
      </c>
      <c r="FW3061" s="5" t="s">
        <v>240</v>
      </c>
      <c r="FX3061" s="5" t="s">
        <v>240</v>
      </c>
      <c r="FY3061" s="5" t="s">
        <v>240</v>
      </c>
      <c r="FZ3061" s="5" t="s">
        <v>240</v>
      </c>
      <c r="GA3061" s="5" t="s">
        <v>240</v>
      </c>
      <c r="GB3061" s="5" t="s">
        <v>240</v>
      </c>
      <c r="GC3061" s="5" t="s">
        <v>240</v>
      </c>
      <c r="GD3061" s="5" t="s">
        <v>240</v>
      </c>
      <c r="GE3061" s="5" t="s">
        <v>240</v>
      </c>
      <c r="GF3061" s="5" t="s">
        <v>240</v>
      </c>
      <c r="GG3061" s="5" t="s">
        <v>240</v>
      </c>
      <c r="GH3061" s="5" t="s">
        <v>240</v>
      </c>
      <c r="GI3061" s="5" t="s">
        <v>240</v>
      </c>
      <c r="GJ3061" s="5" t="s">
        <v>240</v>
      </c>
      <c r="GK3061" s="5" t="s">
        <v>240</v>
      </c>
      <c r="GL3061" s="5" t="s">
        <v>240</v>
      </c>
      <c r="GM3061" s="5" t="s">
        <v>240</v>
      </c>
      <c r="GN3061" s="5" t="s">
        <v>240</v>
      </c>
      <c r="GO3061" s="5" t="s">
        <v>240</v>
      </c>
      <c r="GP3061" s="5" t="s">
        <v>240</v>
      </c>
      <c r="GQ3061" s="5" t="s">
        <v>240</v>
      </c>
      <c r="GR3061" s="5" t="s">
        <v>240</v>
      </c>
      <c r="GS3061" s="5" t="s">
        <v>240</v>
      </c>
      <c r="GT3061" s="5" t="s">
        <v>240</v>
      </c>
      <c r="GU3061" s="5" t="s">
        <v>240</v>
      </c>
      <c r="GV3061" s="5" t="s">
        <v>240</v>
      </c>
      <c r="GW3061" s="5" t="s">
        <v>240</v>
      </c>
      <c r="GX3061" s="5" t="s">
        <v>240</v>
      </c>
      <c r="GY3061" s="5" t="s">
        <v>240</v>
      </c>
      <c r="GZ3061" s="5" t="s">
        <v>240</v>
      </c>
      <c r="HA3061" s="5" t="s">
        <v>240</v>
      </c>
      <c r="HB3061" s="5" t="s">
        <v>240</v>
      </c>
      <c r="HC3061" s="5" t="s">
        <v>240</v>
      </c>
      <c r="HD3061" s="5" t="s">
        <v>240</v>
      </c>
      <c r="HE3061" s="5" t="s">
        <v>240</v>
      </c>
      <c r="HF3061" s="5" t="s">
        <v>240</v>
      </c>
      <c r="HG3061" s="5" t="s">
        <v>240</v>
      </c>
      <c r="HH3061" s="5" t="s">
        <v>240</v>
      </c>
      <c r="HI3061" s="5" t="s">
        <v>240</v>
      </c>
      <c r="HJ3061" s="5" t="s">
        <v>240</v>
      </c>
      <c r="HK3061" s="5" t="s">
        <v>240</v>
      </c>
      <c r="HL3061" s="5" t="s">
        <v>240</v>
      </c>
      <c r="HM3061" s="5" t="s">
        <v>240</v>
      </c>
      <c r="HN3061" s="5" t="s">
        <v>240</v>
      </c>
      <c r="HO3061" s="5" t="s">
        <v>312</v>
      </c>
      <c r="HP3061" s="5" t="s">
        <v>240</v>
      </c>
      <c r="HQ3061" s="5" t="s">
        <v>240</v>
      </c>
      <c r="HR3061" s="5" t="s">
        <v>240</v>
      </c>
      <c r="HS3061" s="5" t="s">
        <v>240</v>
      </c>
      <c r="HT3061" s="5" t="s">
        <v>240</v>
      </c>
      <c r="HU3061" s="5" t="s">
        <v>240</v>
      </c>
      <c r="HV3061" s="5" t="s">
        <v>240</v>
      </c>
      <c r="HW3061" s="5" t="s">
        <v>240</v>
      </c>
      <c r="HX3061" s="5" t="s">
        <v>240</v>
      </c>
      <c r="HY3061" s="5" t="s">
        <v>240</v>
      </c>
      <c r="HZ3061" s="5" t="s">
        <v>240</v>
      </c>
      <c r="IA3061" s="5" t="s">
        <v>240</v>
      </c>
      <c r="IB3061" s="5" t="s">
        <v>240</v>
      </c>
      <c r="IC3061" s="5" t="s">
        <v>240</v>
      </c>
      <c r="ID3061" s="5" t="s">
        <v>240</v>
      </c>
      <c r="IE3061" s="5" t="s">
        <v>240</v>
      </c>
      <c r="IF3061" s="5" t="s">
        <v>240</v>
      </c>
    </row>
    <row r="3062" spans="1:240" x14ac:dyDescent="0.4">
      <c r="A3062" s="5">
        <v>4766</v>
      </c>
      <c r="B3062" s="5">
        <v>1</v>
      </c>
      <c r="C3062" s="5">
        <v>1</v>
      </c>
      <c r="D3062" s="5" t="s">
        <v>810</v>
      </c>
      <c r="E3062" s="5" t="s">
        <v>245</v>
      </c>
      <c r="F3062" s="5" t="s">
        <v>254</v>
      </c>
      <c r="G3062" s="5" t="s">
        <v>240</v>
      </c>
      <c r="H3062" s="6" t="s">
        <v>2421</v>
      </c>
      <c r="I3062" s="5" t="s">
        <v>809</v>
      </c>
      <c r="J3062" s="8">
        <f>1191</f>
        <v>1191</v>
      </c>
      <c r="K3062" s="5" t="s">
        <v>308</v>
      </c>
      <c r="L3062" s="7">
        <f>1</f>
        <v>1</v>
      </c>
      <c r="M3062" s="7">
        <f>1</f>
        <v>1</v>
      </c>
      <c r="N3062" s="5" t="s">
        <v>242</v>
      </c>
      <c r="O3062" s="5">
        <v>1</v>
      </c>
      <c r="P3062" s="5" t="s">
        <v>294</v>
      </c>
      <c r="Q3062" s="5" t="s">
        <v>266</v>
      </c>
      <c r="R3062" s="5" t="s">
        <v>240</v>
      </c>
      <c r="S3062" s="5" t="s">
        <v>240</v>
      </c>
      <c r="T3062" s="5" t="s">
        <v>296</v>
      </c>
      <c r="U3062" s="5" t="s">
        <v>244</v>
      </c>
      <c r="V3062" s="5" t="s">
        <v>240</v>
      </c>
      <c r="Y3062" s="5" t="s">
        <v>240</v>
      </c>
      <c r="Z3062" s="6" t="s">
        <v>298</v>
      </c>
      <c r="AB3062" s="6" t="s">
        <v>240</v>
      </c>
      <c r="AE3062" s="6" t="s">
        <v>299</v>
      </c>
      <c r="AF3062" s="5" t="s">
        <v>248</v>
      </c>
      <c r="AG3062" s="5" t="s">
        <v>249</v>
      </c>
      <c r="AW3062" s="5" t="s">
        <v>251</v>
      </c>
      <c r="AX3062" s="5" t="s">
        <v>240</v>
      </c>
      <c r="AY3062" s="5" t="s">
        <v>253</v>
      </c>
      <c r="AZ3062" s="5" t="s">
        <v>240</v>
      </c>
      <c r="BA3062" s="5" t="s">
        <v>255</v>
      </c>
      <c r="BB3062" s="5" t="s">
        <v>240</v>
      </c>
      <c r="BD3062" s="5" t="s">
        <v>240</v>
      </c>
      <c r="BF3062" s="5" t="s">
        <v>301</v>
      </c>
      <c r="BG3062" s="6" t="s">
        <v>299</v>
      </c>
      <c r="BH3062" s="5" t="s">
        <v>302</v>
      </c>
      <c r="BI3062" s="5" t="s">
        <v>303</v>
      </c>
      <c r="BJ3062" s="5" t="s">
        <v>240</v>
      </c>
      <c r="BK3062" s="8">
        <f>0</f>
        <v>0</v>
      </c>
      <c r="BL3062" s="7">
        <f>0</f>
        <v>0</v>
      </c>
      <c r="BM3062" s="5" t="s">
        <v>258</v>
      </c>
      <c r="BN3062" s="5" t="s">
        <v>259</v>
      </c>
      <c r="CB3062" s="5" t="s">
        <v>240</v>
      </c>
      <c r="CC3062" s="5" t="s">
        <v>240</v>
      </c>
      <c r="CG3062" s="5" t="s">
        <v>304</v>
      </c>
      <c r="CH3062" s="5" t="s">
        <v>305</v>
      </c>
      <c r="CI3062" s="5" t="s">
        <v>240</v>
      </c>
      <c r="CL3062" s="6" t="s">
        <v>261</v>
      </c>
      <c r="CM3062" s="5" t="s">
        <v>240</v>
      </c>
      <c r="CN3062" s="5" t="s">
        <v>263</v>
      </c>
      <c r="CO3062" s="5" t="s">
        <v>240</v>
      </c>
      <c r="CP3062" s="5" t="s">
        <v>240</v>
      </c>
      <c r="CQ3062" s="5">
        <v>0</v>
      </c>
      <c r="CR3062" s="5" t="s">
        <v>306</v>
      </c>
      <c r="CS3062" s="5" t="s">
        <v>307</v>
      </c>
      <c r="CT3062" s="5" t="s">
        <v>307</v>
      </c>
      <c r="CU3062" s="5" t="s">
        <v>260</v>
      </c>
      <c r="CX3062" s="7">
        <f>1</f>
        <v>1</v>
      </c>
      <c r="CY3062" s="7">
        <f>0</f>
        <v>0</v>
      </c>
      <c r="DA3062" s="7">
        <f>0</f>
        <v>0</v>
      </c>
      <c r="DC3062" s="5" t="s">
        <v>812</v>
      </c>
      <c r="DD3062" s="5" t="s">
        <v>240</v>
      </c>
      <c r="DF3062" s="5" t="s">
        <v>812</v>
      </c>
      <c r="DG3062" s="7">
        <f>922</f>
        <v>922</v>
      </c>
      <c r="DI3062" s="5" t="s">
        <v>240</v>
      </c>
      <c r="DJ3062" s="5" t="s">
        <v>240</v>
      </c>
      <c r="DK3062" s="5" t="s">
        <v>240</v>
      </c>
      <c r="DL3062" s="5" t="s">
        <v>240</v>
      </c>
      <c r="DP3062" s="5" t="s">
        <v>240</v>
      </c>
      <c r="DQ3062" s="5" t="s">
        <v>240</v>
      </c>
      <c r="DR3062" s="5" t="s">
        <v>240</v>
      </c>
      <c r="DS3062" s="5" t="s">
        <v>240</v>
      </c>
      <c r="DV3062" s="5" t="s">
        <v>813</v>
      </c>
      <c r="DW3062" s="5" t="s">
        <v>530</v>
      </c>
      <c r="HO3062" s="5" t="s">
        <v>312</v>
      </c>
    </row>
    <row r="3063" spans="1:240" x14ac:dyDescent="0.4">
      <c r="A3063" s="5">
        <v>4767</v>
      </c>
      <c r="B3063" s="5">
        <v>1</v>
      </c>
      <c r="C3063" s="5">
        <v>1</v>
      </c>
      <c r="D3063" s="5" t="s">
        <v>810</v>
      </c>
      <c r="E3063" s="5" t="s">
        <v>245</v>
      </c>
      <c r="F3063" s="5" t="s">
        <v>254</v>
      </c>
      <c r="G3063" s="5" t="s">
        <v>240</v>
      </c>
      <c r="H3063" s="6" t="s">
        <v>2419</v>
      </c>
      <c r="I3063" s="5" t="s">
        <v>809</v>
      </c>
      <c r="J3063" s="8">
        <f>2217</f>
        <v>2217</v>
      </c>
      <c r="K3063" s="5" t="s">
        <v>308</v>
      </c>
      <c r="L3063" s="7">
        <f>1</f>
        <v>1</v>
      </c>
      <c r="M3063" s="7">
        <f>1</f>
        <v>1</v>
      </c>
      <c r="N3063" s="5" t="s">
        <v>242</v>
      </c>
      <c r="O3063" s="5">
        <v>1</v>
      </c>
      <c r="P3063" s="5" t="s">
        <v>294</v>
      </c>
      <c r="Q3063" s="5" t="s">
        <v>3678</v>
      </c>
      <c r="R3063" s="5" t="s">
        <v>240</v>
      </c>
      <c r="S3063" s="5" t="s">
        <v>240</v>
      </c>
      <c r="T3063" s="5" t="s">
        <v>243</v>
      </c>
      <c r="U3063" s="5" t="s">
        <v>244</v>
      </c>
      <c r="V3063" s="5" t="s">
        <v>240</v>
      </c>
      <c r="W3063" s="5" t="s">
        <v>240</v>
      </c>
      <c r="X3063" s="5" t="s">
        <v>240</v>
      </c>
      <c r="Y3063" s="5" t="s">
        <v>240</v>
      </c>
      <c r="Z3063" s="6" t="s">
        <v>298</v>
      </c>
      <c r="AA3063" s="6" t="s">
        <v>240</v>
      </c>
      <c r="AB3063" s="6" t="s">
        <v>240</v>
      </c>
      <c r="AC3063" s="5" t="s">
        <v>240</v>
      </c>
      <c r="AD3063" s="6" t="s">
        <v>240</v>
      </c>
      <c r="AE3063" s="6" t="s">
        <v>299</v>
      </c>
      <c r="AF3063" s="5" t="s">
        <v>248</v>
      </c>
      <c r="AG3063" s="5" t="s">
        <v>249</v>
      </c>
      <c r="AH3063" s="5" t="s">
        <v>240</v>
      </c>
      <c r="AI3063" s="5" t="s">
        <v>240</v>
      </c>
      <c r="AJ3063" s="5" t="s">
        <v>240</v>
      </c>
      <c r="AK3063" s="5" t="s">
        <v>240</v>
      </c>
      <c r="AL3063" s="5" t="s">
        <v>240</v>
      </c>
      <c r="AM3063" s="5" t="s">
        <v>240</v>
      </c>
      <c r="AN3063" s="5" t="s">
        <v>240</v>
      </c>
      <c r="AO3063" s="5" t="s">
        <v>240</v>
      </c>
      <c r="AP3063" s="6" t="s">
        <v>240</v>
      </c>
      <c r="AQ3063" s="6" t="s">
        <v>240</v>
      </c>
      <c r="AR3063" s="6" t="s">
        <v>240</v>
      </c>
      <c r="AS3063" s="6" t="s">
        <v>240</v>
      </c>
      <c r="AT3063" s="5" t="s">
        <v>240</v>
      </c>
      <c r="AU3063" s="5" t="s">
        <v>729</v>
      </c>
      <c r="AV3063" s="5" t="s">
        <v>729</v>
      </c>
      <c r="AW3063" s="5" t="s">
        <v>251</v>
      </c>
      <c r="AX3063" s="5" t="s">
        <v>252</v>
      </c>
      <c r="AY3063" s="5" t="s">
        <v>253</v>
      </c>
      <c r="AZ3063" s="5" t="s">
        <v>240</v>
      </c>
      <c r="BA3063" s="5" t="s">
        <v>255</v>
      </c>
      <c r="BB3063" s="5" t="s">
        <v>731</v>
      </c>
      <c r="BD3063" s="5" t="s">
        <v>240</v>
      </c>
      <c r="BF3063" s="5" t="s">
        <v>732</v>
      </c>
      <c r="BG3063" s="6" t="s">
        <v>733</v>
      </c>
      <c r="BH3063" s="5" t="s">
        <v>734</v>
      </c>
      <c r="BI3063" s="5" t="s">
        <v>734</v>
      </c>
      <c r="BJ3063" s="5" t="s">
        <v>240</v>
      </c>
      <c r="BK3063" s="7">
        <f>1</f>
        <v>1</v>
      </c>
      <c r="BL3063" s="7">
        <f>1</f>
        <v>1</v>
      </c>
      <c r="BM3063" s="5" t="s">
        <v>258</v>
      </c>
      <c r="BN3063" s="5" t="s">
        <v>259</v>
      </c>
      <c r="BO3063" s="5" t="s">
        <v>240</v>
      </c>
      <c r="BP3063" s="5" t="s">
        <v>240</v>
      </c>
      <c r="BQ3063" s="5" t="s">
        <v>240</v>
      </c>
      <c r="BR3063" s="5" t="s">
        <v>240</v>
      </c>
      <c r="BS3063" s="5" t="s">
        <v>240</v>
      </c>
      <c r="BT3063" s="5" t="s">
        <v>240</v>
      </c>
      <c r="BU3063" s="5" t="s">
        <v>240</v>
      </c>
      <c r="BV3063" s="5" t="s">
        <v>240</v>
      </c>
      <c r="BW3063" s="6" t="s">
        <v>240</v>
      </c>
      <c r="BX3063" s="5" t="s">
        <v>240</v>
      </c>
      <c r="BY3063" s="5" t="s">
        <v>240</v>
      </c>
      <c r="BZ3063" s="5" t="s">
        <v>240</v>
      </c>
      <c r="CA3063" s="5" t="s">
        <v>259</v>
      </c>
      <c r="CB3063" s="5" t="s">
        <v>240</v>
      </c>
      <c r="CC3063" s="5" t="s">
        <v>240</v>
      </c>
      <c r="CD3063" s="5" t="s">
        <v>240</v>
      </c>
      <c r="CE3063" s="5" t="s">
        <v>240</v>
      </c>
      <c r="CF3063" s="5" t="s">
        <v>240</v>
      </c>
      <c r="CG3063" s="5" t="s">
        <v>304</v>
      </c>
      <c r="CH3063" s="5" t="s">
        <v>305</v>
      </c>
      <c r="CI3063" s="5" t="s">
        <v>240</v>
      </c>
      <c r="CK3063" s="5" t="s">
        <v>3681</v>
      </c>
      <c r="CL3063" s="6" t="s">
        <v>261</v>
      </c>
      <c r="CM3063" s="5" t="s">
        <v>262</v>
      </c>
      <c r="CN3063" s="5" t="s">
        <v>263</v>
      </c>
      <c r="CO3063" s="5" t="s">
        <v>264</v>
      </c>
      <c r="CP3063" s="5" t="s">
        <v>240</v>
      </c>
      <c r="CQ3063" s="5">
        <v>0</v>
      </c>
      <c r="CR3063" s="5" t="s">
        <v>735</v>
      </c>
      <c r="CS3063" s="5" t="s">
        <v>307</v>
      </c>
      <c r="CT3063" s="5" t="s">
        <v>307</v>
      </c>
      <c r="CU3063" s="5" t="s">
        <v>260</v>
      </c>
      <c r="CV3063" s="5" t="s">
        <v>612</v>
      </c>
      <c r="CW3063" s="8">
        <f>1</f>
        <v>1</v>
      </c>
      <c r="CX3063" s="7">
        <f>1</f>
        <v>1</v>
      </c>
      <c r="CY3063" s="7">
        <f>0</f>
        <v>0</v>
      </c>
      <c r="DA3063" s="7">
        <f>1</f>
        <v>1</v>
      </c>
      <c r="DB3063" s="7" t="s">
        <v>240</v>
      </c>
      <c r="DC3063" s="5" t="s">
        <v>240</v>
      </c>
      <c r="DD3063" s="5" t="s">
        <v>240</v>
      </c>
      <c r="DE3063" s="5" t="s">
        <v>240</v>
      </c>
      <c r="DF3063" s="5" t="s">
        <v>240</v>
      </c>
      <c r="DG3063" s="7">
        <f>0</f>
        <v>0</v>
      </c>
      <c r="DI3063" s="5" t="s">
        <v>240</v>
      </c>
      <c r="DJ3063" s="5" t="s">
        <v>240</v>
      </c>
      <c r="DK3063" s="5" t="s">
        <v>240</v>
      </c>
      <c r="DL3063" s="5" t="s">
        <v>240</v>
      </c>
      <c r="DM3063" s="5" t="s">
        <v>240</v>
      </c>
      <c r="DN3063" s="5" t="s">
        <v>240</v>
      </c>
      <c r="DO3063" s="7" t="s">
        <v>240</v>
      </c>
      <c r="DP3063" s="5" t="s">
        <v>240</v>
      </c>
      <c r="DQ3063" s="5" t="s">
        <v>240</v>
      </c>
      <c r="DR3063" s="5" t="s">
        <v>731</v>
      </c>
      <c r="DS3063" s="5" t="s">
        <v>731</v>
      </c>
      <c r="DT3063" s="5" t="s">
        <v>240</v>
      </c>
      <c r="DU3063" s="5" t="s">
        <v>240</v>
      </c>
      <c r="DV3063" s="5" t="s">
        <v>3683</v>
      </c>
      <c r="DW3063" s="5" t="s">
        <v>699</v>
      </c>
      <c r="DX3063" s="5" t="s">
        <v>240</v>
      </c>
      <c r="DY3063" s="5" t="s">
        <v>240</v>
      </c>
      <c r="DZ3063" s="5" t="s">
        <v>240</v>
      </c>
      <c r="EA3063" s="5" t="s">
        <v>240</v>
      </c>
      <c r="EB3063" s="5" t="s">
        <v>240</v>
      </c>
      <c r="EC3063" s="5" t="s">
        <v>240</v>
      </c>
      <c r="ED3063" s="5" t="s">
        <v>240</v>
      </c>
      <c r="EE3063" s="5" t="s">
        <v>240</v>
      </c>
      <c r="EF3063" s="5" t="s">
        <v>240</v>
      </c>
      <c r="EG3063" s="5" t="s">
        <v>240</v>
      </c>
      <c r="EH3063" s="5" t="s">
        <v>240</v>
      </c>
      <c r="EI3063" s="5" t="s">
        <v>240</v>
      </c>
      <c r="EJ3063" s="5" t="s">
        <v>240</v>
      </c>
      <c r="EK3063" s="5" t="s">
        <v>240</v>
      </c>
      <c r="EL3063" s="5" t="s">
        <v>240</v>
      </c>
      <c r="EM3063" s="5" t="s">
        <v>240</v>
      </c>
      <c r="EN3063" s="5" t="s">
        <v>240</v>
      </c>
      <c r="EO3063" s="5" t="s">
        <v>240</v>
      </c>
      <c r="EP3063" s="5" t="s">
        <v>240</v>
      </c>
      <c r="EQ3063" s="5" t="s">
        <v>240</v>
      </c>
      <c r="ER3063" s="5" t="s">
        <v>240</v>
      </c>
      <c r="ES3063" s="5" t="s">
        <v>240</v>
      </c>
      <c r="ET3063" s="5" t="s">
        <v>240</v>
      </c>
      <c r="EU3063" s="5" t="s">
        <v>240</v>
      </c>
      <c r="EV3063" s="5" t="s">
        <v>240</v>
      </c>
      <c r="EW3063" s="5" t="s">
        <v>240</v>
      </c>
      <c r="EX3063" s="5" t="s">
        <v>240</v>
      </c>
      <c r="EY3063" s="5" t="s">
        <v>240</v>
      </c>
      <c r="EZ3063" s="5" t="s">
        <v>240</v>
      </c>
      <c r="FA3063" s="5" t="s">
        <v>240</v>
      </c>
      <c r="FB3063" s="5" t="s">
        <v>240</v>
      </c>
      <c r="FC3063" s="5" t="s">
        <v>240</v>
      </c>
      <c r="FD3063" s="5" t="s">
        <v>240</v>
      </c>
      <c r="FE3063" s="5" t="s">
        <v>240</v>
      </c>
      <c r="FF3063" s="5" t="s">
        <v>240</v>
      </c>
      <c r="FG3063" s="5" t="s">
        <v>240</v>
      </c>
      <c r="FH3063" s="5" t="s">
        <v>240</v>
      </c>
      <c r="FI3063" s="5" t="s">
        <v>240</v>
      </c>
      <c r="FJ3063" s="5" t="s">
        <v>240</v>
      </c>
      <c r="FK3063" s="5" t="s">
        <v>240</v>
      </c>
      <c r="FL3063" s="5" t="s">
        <v>240</v>
      </c>
      <c r="FM3063" s="5" t="s">
        <v>240</v>
      </c>
      <c r="FN3063" s="5" t="s">
        <v>240</v>
      </c>
      <c r="FO3063" s="5" t="s">
        <v>240</v>
      </c>
      <c r="FP3063" s="5" t="s">
        <v>240</v>
      </c>
      <c r="FQ3063" s="5" t="s">
        <v>240</v>
      </c>
      <c r="FR3063" s="5" t="s">
        <v>240</v>
      </c>
      <c r="FS3063" s="5" t="s">
        <v>240</v>
      </c>
      <c r="FT3063" s="5" t="s">
        <v>240</v>
      </c>
      <c r="FU3063" s="5" t="s">
        <v>240</v>
      </c>
      <c r="FV3063" s="5" t="s">
        <v>240</v>
      </c>
      <c r="FW3063" s="5" t="s">
        <v>240</v>
      </c>
      <c r="FX3063" s="5" t="s">
        <v>240</v>
      </c>
      <c r="FY3063" s="5" t="s">
        <v>240</v>
      </c>
      <c r="FZ3063" s="5" t="s">
        <v>240</v>
      </c>
      <c r="GA3063" s="5" t="s">
        <v>240</v>
      </c>
      <c r="GB3063" s="5" t="s">
        <v>240</v>
      </c>
      <c r="GC3063" s="5" t="s">
        <v>240</v>
      </c>
      <c r="GD3063" s="5" t="s">
        <v>240</v>
      </c>
      <c r="GE3063" s="5" t="s">
        <v>240</v>
      </c>
      <c r="GF3063" s="5" t="s">
        <v>240</v>
      </c>
      <c r="GG3063" s="5" t="s">
        <v>240</v>
      </c>
      <c r="GH3063" s="5" t="s">
        <v>240</v>
      </c>
      <c r="GI3063" s="5" t="s">
        <v>240</v>
      </c>
      <c r="GJ3063" s="5" t="s">
        <v>240</v>
      </c>
      <c r="GK3063" s="5" t="s">
        <v>240</v>
      </c>
      <c r="GL3063" s="5" t="s">
        <v>240</v>
      </c>
      <c r="GM3063" s="5" t="s">
        <v>240</v>
      </c>
      <c r="GN3063" s="5" t="s">
        <v>240</v>
      </c>
      <c r="GO3063" s="5" t="s">
        <v>240</v>
      </c>
      <c r="GP3063" s="5" t="s">
        <v>240</v>
      </c>
      <c r="GQ3063" s="5" t="s">
        <v>240</v>
      </c>
      <c r="GR3063" s="5" t="s">
        <v>240</v>
      </c>
      <c r="GS3063" s="5" t="s">
        <v>240</v>
      </c>
      <c r="GT3063" s="5" t="s">
        <v>240</v>
      </c>
      <c r="GU3063" s="5" t="s">
        <v>240</v>
      </c>
      <c r="GV3063" s="5" t="s">
        <v>240</v>
      </c>
      <c r="GW3063" s="5" t="s">
        <v>240</v>
      </c>
      <c r="GX3063" s="5" t="s">
        <v>240</v>
      </c>
      <c r="GY3063" s="5" t="s">
        <v>240</v>
      </c>
      <c r="GZ3063" s="5" t="s">
        <v>240</v>
      </c>
      <c r="HA3063" s="5" t="s">
        <v>240</v>
      </c>
      <c r="HB3063" s="5" t="s">
        <v>240</v>
      </c>
      <c r="HC3063" s="5" t="s">
        <v>240</v>
      </c>
      <c r="HD3063" s="5" t="s">
        <v>240</v>
      </c>
      <c r="HE3063" s="5" t="s">
        <v>240</v>
      </c>
      <c r="HF3063" s="5" t="s">
        <v>240</v>
      </c>
      <c r="HG3063" s="5" t="s">
        <v>240</v>
      </c>
      <c r="HH3063" s="5" t="s">
        <v>240</v>
      </c>
      <c r="HI3063" s="5" t="s">
        <v>240</v>
      </c>
      <c r="HJ3063" s="5" t="s">
        <v>240</v>
      </c>
      <c r="HK3063" s="5" t="s">
        <v>240</v>
      </c>
      <c r="HL3063" s="5" t="s">
        <v>240</v>
      </c>
      <c r="HM3063" s="5" t="s">
        <v>240</v>
      </c>
      <c r="HN3063" s="5" t="s">
        <v>240</v>
      </c>
      <c r="HO3063" s="5" t="s">
        <v>312</v>
      </c>
      <c r="HP3063" s="5" t="s">
        <v>240</v>
      </c>
      <c r="HQ3063" s="5" t="s">
        <v>240</v>
      </c>
      <c r="HR3063" s="5" t="s">
        <v>240</v>
      </c>
      <c r="HS3063" s="5" t="s">
        <v>240</v>
      </c>
      <c r="HT3063" s="5" t="s">
        <v>240</v>
      </c>
      <c r="HU3063" s="5" t="s">
        <v>240</v>
      </c>
      <c r="HV3063" s="5" t="s">
        <v>240</v>
      </c>
      <c r="HW3063" s="5" t="s">
        <v>240</v>
      </c>
      <c r="HX3063" s="5" t="s">
        <v>240</v>
      </c>
      <c r="HY3063" s="5" t="s">
        <v>240</v>
      </c>
      <c r="HZ3063" s="5" t="s">
        <v>240</v>
      </c>
      <c r="IA3063" s="5" t="s">
        <v>240</v>
      </c>
      <c r="IB3063" s="5" t="s">
        <v>240</v>
      </c>
      <c r="IC3063" s="5" t="s">
        <v>240</v>
      </c>
      <c r="ID3063" s="5" t="s">
        <v>240</v>
      </c>
      <c r="IE3063" s="5" t="s">
        <v>240</v>
      </c>
      <c r="IF3063" s="5" t="s">
        <v>240</v>
      </c>
    </row>
    <row r="3064" spans="1:240" x14ac:dyDescent="0.4">
      <c r="A3064" s="5">
        <v>4768</v>
      </c>
      <c r="B3064" s="5">
        <v>1</v>
      </c>
      <c r="C3064" s="5">
        <v>1</v>
      </c>
      <c r="D3064" s="5" t="s">
        <v>810</v>
      </c>
      <c r="E3064" s="5" t="s">
        <v>245</v>
      </c>
      <c r="F3064" s="5" t="s">
        <v>254</v>
      </c>
      <c r="G3064" s="5" t="s">
        <v>240</v>
      </c>
      <c r="H3064" s="6" t="s">
        <v>2417</v>
      </c>
      <c r="I3064" s="5" t="s">
        <v>809</v>
      </c>
      <c r="J3064" s="8">
        <f>977</f>
        <v>977</v>
      </c>
      <c r="K3064" s="5" t="s">
        <v>308</v>
      </c>
      <c r="L3064" s="7">
        <f>1</f>
        <v>1</v>
      </c>
      <c r="M3064" s="7">
        <f>1</f>
        <v>1</v>
      </c>
      <c r="N3064" s="5" t="s">
        <v>242</v>
      </c>
      <c r="O3064" s="5">
        <v>1</v>
      </c>
      <c r="P3064" s="5" t="s">
        <v>294</v>
      </c>
      <c r="Q3064" s="5" t="s">
        <v>3678</v>
      </c>
      <c r="R3064" s="5" t="s">
        <v>240</v>
      </c>
      <c r="S3064" s="5" t="s">
        <v>240</v>
      </c>
      <c r="T3064" s="5" t="s">
        <v>243</v>
      </c>
      <c r="U3064" s="5" t="s">
        <v>244</v>
      </c>
      <c r="V3064" s="5" t="s">
        <v>240</v>
      </c>
      <c r="W3064" s="5" t="s">
        <v>240</v>
      </c>
      <c r="X3064" s="5" t="s">
        <v>240</v>
      </c>
      <c r="Y3064" s="5" t="s">
        <v>240</v>
      </c>
      <c r="Z3064" s="6" t="s">
        <v>298</v>
      </c>
      <c r="AA3064" s="6" t="s">
        <v>240</v>
      </c>
      <c r="AB3064" s="6" t="s">
        <v>240</v>
      </c>
      <c r="AC3064" s="5" t="s">
        <v>240</v>
      </c>
      <c r="AD3064" s="6" t="s">
        <v>240</v>
      </c>
      <c r="AE3064" s="6" t="s">
        <v>299</v>
      </c>
      <c r="AF3064" s="5" t="s">
        <v>248</v>
      </c>
      <c r="AG3064" s="5" t="s">
        <v>249</v>
      </c>
      <c r="AH3064" s="5" t="s">
        <v>240</v>
      </c>
      <c r="AI3064" s="5" t="s">
        <v>240</v>
      </c>
      <c r="AJ3064" s="5" t="s">
        <v>240</v>
      </c>
      <c r="AK3064" s="5" t="s">
        <v>240</v>
      </c>
      <c r="AL3064" s="5" t="s">
        <v>240</v>
      </c>
      <c r="AM3064" s="5" t="s">
        <v>240</v>
      </c>
      <c r="AN3064" s="5" t="s">
        <v>240</v>
      </c>
      <c r="AO3064" s="5" t="s">
        <v>240</v>
      </c>
      <c r="AP3064" s="6" t="s">
        <v>240</v>
      </c>
      <c r="AQ3064" s="6" t="s">
        <v>240</v>
      </c>
      <c r="AR3064" s="6" t="s">
        <v>240</v>
      </c>
      <c r="AS3064" s="6" t="s">
        <v>240</v>
      </c>
      <c r="AT3064" s="5" t="s">
        <v>240</v>
      </c>
      <c r="AU3064" s="5" t="s">
        <v>729</v>
      </c>
      <c r="AV3064" s="5" t="s">
        <v>729</v>
      </c>
      <c r="AW3064" s="5" t="s">
        <v>251</v>
      </c>
      <c r="AX3064" s="5" t="s">
        <v>252</v>
      </c>
      <c r="AY3064" s="5" t="s">
        <v>253</v>
      </c>
      <c r="AZ3064" s="5" t="s">
        <v>240</v>
      </c>
      <c r="BA3064" s="5" t="s">
        <v>255</v>
      </c>
      <c r="BB3064" s="5" t="s">
        <v>731</v>
      </c>
      <c r="BD3064" s="5" t="s">
        <v>240</v>
      </c>
      <c r="BF3064" s="5" t="s">
        <v>732</v>
      </c>
      <c r="BG3064" s="6" t="s">
        <v>733</v>
      </c>
      <c r="BH3064" s="5" t="s">
        <v>734</v>
      </c>
      <c r="BI3064" s="5" t="s">
        <v>734</v>
      </c>
      <c r="BJ3064" s="5" t="s">
        <v>240</v>
      </c>
      <c r="BK3064" s="7">
        <f>1</f>
        <v>1</v>
      </c>
      <c r="BL3064" s="7">
        <f>1</f>
        <v>1</v>
      </c>
      <c r="BM3064" s="5" t="s">
        <v>258</v>
      </c>
      <c r="BN3064" s="5" t="s">
        <v>259</v>
      </c>
      <c r="BO3064" s="5" t="s">
        <v>240</v>
      </c>
      <c r="BP3064" s="5" t="s">
        <v>240</v>
      </c>
      <c r="BQ3064" s="5" t="s">
        <v>240</v>
      </c>
      <c r="BR3064" s="5" t="s">
        <v>240</v>
      </c>
      <c r="BS3064" s="5" t="s">
        <v>240</v>
      </c>
      <c r="BT3064" s="5" t="s">
        <v>240</v>
      </c>
      <c r="BU3064" s="5" t="s">
        <v>240</v>
      </c>
      <c r="BV3064" s="5" t="s">
        <v>240</v>
      </c>
      <c r="BW3064" s="6" t="s">
        <v>240</v>
      </c>
      <c r="BX3064" s="5" t="s">
        <v>240</v>
      </c>
      <c r="BY3064" s="5" t="s">
        <v>240</v>
      </c>
      <c r="BZ3064" s="5" t="s">
        <v>240</v>
      </c>
      <c r="CA3064" s="5" t="s">
        <v>259</v>
      </c>
      <c r="CB3064" s="5" t="s">
        <v>240</v>
      </c>
      <c r="CC3064" s="5" t="s">
        <v>240</v>
      </c>
      <c r="CD3064" s="5" t="s">
        <v>240</v>
      </c>
      <c r="CE3064" s="5" t="s">
        <v>240</v>
      </c>
      <c r="CF3064" s="5" t="s">
        <v>240</v>
      </c>
      <c r="CG3064" s="5" t="s">
        <v>304</v>
      </c>
      <c r="CH3064" s="5" t="s">
        <v>305</v>
      </c>
      <c r="CI3064" s="5" t="s">
        <v>240</v>
      </c>
      <c r="CK3064" s="5" t="s">
        <v>3681</v>
      </c>
      <c r="CL3064" s="6" t="s">
        <v>261</v>
      </c>
      <c r="CM3064" s="5" t="s">
        <v>262</v>
      </c>
      <c r="CN3064" s="5" t="s">
        <v>263</v>
      </c>
      <c r="CO3064" s="5" t="s">
        <v>264</v>
      </c>
      <c r="CP3064" s="5" t="s">
        <v>240</v>
      </c>
      <c r="CQ3064" s="5">
        <v>0</v>
      </c>
      <c r="CR3064" s="5" t="s">
        <v>735</v>
      </c>
      <c r="CS3064" s="5" t="s">
        <v>307</v>
      </c>
      <c r="CT3064" s="5" t="s">
        <v>307</v>
      </c>
      <c r="CU3064" s="5" t="s">
        <v>260</v>
      </c>
      <c r="CV3064" s="5" t="s">
        <v>612</v>
      </c>
      <c r="CW3064" s="8">
        <f>1</f>
        <v>1</v>
      </c>
      <c r="CX3064" s="7">
        <f>1</f>
        <v>1</v>
      </c>
      <c r="CY3064" s="7">
        <f>0</f>
        <v>0</v>
      </c>
      <c r="DA3064" s="7">
        <f>1</f>
        <v>1</v>
      </c>
      <c r="DB3064" s="7" t="s">
        <v>240</v>
      </c>
      <c r="DC3064" s="5" t="s">
        <v>240</v>
      </c>
      <c r="DD3064" s="5" t="s">
        <v>240</v>
      </c>
      <c r="DE3064" s="5" t="s">
        <v>240</v>
      </c>
      <c r="DF3064" s="5" t="s">
        <v>240</v>
      </c>
      <c r="DG3064" s="7">
        <f>0</f>
        <v>0</v>
      </c>
      <c r="DI3064" s="5" t="s">
        <v>240</v>
      </c>
      <c r="DJ3064" s="5" t="s">
        <v>240</v>
      </c>
      <c r="DK3064" s="5" t="s">
        <v>240</v>
      </c>
      <c r="DL3064" s="5" t="s">
        <v>240</v>
      </c>
      <c r="DM3064" s="5" t="s">
        <v>240</v>
      </c>
      <c r="DN3064" s="5" t="s">
        <v>240</v>
      </c>
      <c r="DO3064" s="7" t="s">
        <v>240</v>
      </c>
      <c r="DP3064" s="5" t="s">
        <v>240</v>
      </c>
      <c r="DQ3064" s="5" t="s">
        <v>240</v>
      </c>
      <c r="DR3064" s="5" t="s">
        <v>731</v>
      </c>
      <c r="DS3064" s="5" t="s">
        <v>731</v>
      </c>
      <c r="DT3064" s="5" t="s">
        <v>240</v>
      </c>
      <c r="DU3064" s="5" t="s">
        <v>240</v>
      </c>
      <c r="DV3064" s="5" t="s">
        <v>3683</v>
      </c>
      <c r="DW3064" s="5" t="s">
        <v>1225</v>
      </c>
      <c r="DX3064" s="5" t="s">
        <v>240</v>
      </c>
      <c r="DY3064" s="5" t="s">
        <v>240</v>
      </c>
      <c r="DZ3064" s="5" t="s">
        <v>240</v>
      </c>
      <c r="EA3064" s="5" t="s">
        <v>240</v>
      </c>
      <c r="EB3064" s="5" t="s">
        <v>240</v>
      </c>
      <c r="EC3064" s="5" t="s">
        <v>240</v>
      </c>
      <c r="ED3064" s="5" t="s">
        <v>240</v>
      </c>
      <c r="EE3064" s="5" t="s">
        <v>240</v>
      </c>
      <c r="EF3064" s="5" t="s">
        <v>240</v>
      </c>
      <c r="EG3064" s="5" t="s">
        <v>240</v>
      </c>
      <c r="EH3064" s="5" t="s">
        <v>240</v>
      </c>
      <c r="EI3064" s="5" t="s">
        <v>240</v>
      </c>
      <c r="EJ3064" s="5" t="s">
        <v>240</v>
      </c>
      <c r="EK3064" s="5" t="s">
        <v>240</v>
      </c>
      <c r="EL3064" s="5" t="s">
        <v>240</v>
      </c>
      <c r="EM3064" s="5" t="s">
        <v>240</v>
      </c>
      <c r="EN3064" s="5" t="s">
        <v>240</v>
      </c>
      <c r="EO3064" s="5" t="s">
        <v>240</v>
      </c>
      <c r="EP3064" s="5" t="s">
        <v>240</v>
      </c>
      <c r="EQ3064" s="5" t="s">
        <v>240</v>
      </c>
      <c r="ER3064" s="5" t="s">
        <v>240</v>
      </c>
      <c r="ES3064" s="5" t="s">
        <v>240</v>
      </c>
      <c r="ET3064" s="5" t="s">
        <v>240</v>
      </c>
      <c r="EU3064" s="5" t="s">
        <v>240</v>
      </c>
      <c r="EV3064" s="5" t="s">
        <v>240</v>
      </c>
      <c r="EW3064" s="5" t="s">
        <v>240</v>
      </c>
      <c r="EX3064" s="5" t="s">
        <v>240</v>
      </c>
      <c r="EY3064" s="5" t="s">
        <v>240</v>
      </c>
      <c r="EZ3064" s="5" t="s">
        <v>240</v>
      </c>
      <c r="FA3064" s="5" t="s">
        <v>240</v>
      </c>
      <c r="FB3064" s="5" t="s">
        <v>240</v>
      </c>
      <c r="FC3064" s="5" t="s">
        <v>240</v>
      </c>
      <c r="FD3064" s="5" t="s">
        <v>240</v>
      </c>
      <c r="FE3064" s="5" t="s">
        <v>240</v>
      </c>
      <c r="FF3064" s="5" t="s">
        <v>240</v>
      </c>
      <c r="FG3064" s="5" t="s">
        <v>240</v>
      </c>
      <c r="FH3064" s="5" t="s">
        <v>240</v>
      </c>
      <c r="FI3064" s="5" t="s">
        <v>240</v>
      </c>
      <c r="FJ3064" s="5" t="s">
        <v>240</v>
      </c>
      <c r="FK3064" s="5" t="s">
        <v>240</v>
      </c>
      <c r="FL3064" s="5" t="s">
        <v>240</v>
      </c>
      <c r="FM3064" s="5" t="s">
        <v>240</v>
      </c>
      <c r="FN3064" s="5" t="s">
        <v>240</v>
      </c>
      <c r="FO3064" s="5" t="s">
        <v>240</v>
      </c>
      <c r="FP3064" s="5" t="s">
        <v>240</v>
      </c>
      <c r="FQ3064" s="5" t="s">
        <v>240</v>
      </c>
      <c r="FR3064" s="5" t="s">
        <v>240</v>
      </c>
      <c r="FS3064" s="5" t="s">
        <v>240</v>
      </c>
      <c r="FT3064" s="5" t="s">
        <v>240</v>
      </c>
      <c r="FU3064" s="5" t="s">
        <v>240</v>
      </c>
      <c r="FV3064" s="5" t="s">
        <v>240</v>
      </c>
      <c r="FW3064" s="5" t="s">
        <v>240</v>
      </c>
      <c r="FX3064" s="5" t="s">
        <v>240</v>
      </c>
      <c r="FY3064" s="5" t="s">
        <v>240</v>
      </c>
      <c r="FZ3064" s="5" t="s">
        <v>240</v>
      </c>
      <c r="GA3064" s="5" t="s">
        <v>240</v>
      </c>
      <c r="GB3064" s="5" t="s">
        <v>240</v>
      </c>
      <c r="GC3064" s="5" t="s">
        <v>240</v>
      </c>
      <c r="GD3064" s="5" t="s">
        <v>240</v>
      </c>
      <c r="GE3064" s="5" t="s">
        <v>240</v>
      </c>
      <c r="GF3064" s="5" t="s">
        <v>240</v>
      </c>
      <c r="GG3064" s="5" t="s">
        <v>240</v>
      </c>
      <c r="GH3064" s="5" t="s">
        <v>240</v>
      </c>
      <c r="GI3064" s="5" t="s">
        <v>240</v>
      </c>
      <c r="GJ3064" s="5" t="s">
        <v>240</v>
      </c>
      <c r="GK3064" s="5" t="s">
        <v>240</v>
      </c>
      <c r="GL3064" s="5" t="s">
        <v>240</v>
      </c>
      <c r="GM3064" s="5" t="s">
        <v>240</v>
      </c>
      <c r="GN3064" s="5" t="s">
        <v>240</v>
      </c>
      <c r="GO3064" s="5" t="s">
        <v>240</v>
      </c>
      <c r="GP3064" s="5" t="s">
        <v>240</v>
      </c>
      <c r="GQ3064" s="5" t="s">
        <v>240</v>
      </c>
      <c r="GR3064" s="5" t="s">
        <v>240</v>
      </c>
      <c r="GS3064" s="5" t="s">
        <v>240</v>
      </c>
      <c r="GT3064" s="5" t="s">
        <v>240</v>
      </c>
      <c r="GU3064" s="5" t="s">
        <v>240</v>
      </c>
      <c r="GV3064" s="5" t="s">
        <v>240</v>
      </c>
      <c r="GW3064" s="5" t="s">
        <v>240</v>
      </c>
      <c r="GX3064" s="5" t="s">
        <v>240</v>
      </c>
      <c r="GY3064" s="5" t="s">
        <v>240</v>
      </c>
      <c r="GZ3064" s="5" t="s">
        <v>240</v>
      </c>
      <c r="HA3064" s="5" t="s">
        <v>240</v>
      </c>
      <c r="HB3064" s="5" t="s">
        <v>240</v>
      </c>
      <c r="HC3064" s="5" t="s">
        <v>240</v>
      </c>
      <c r="HD3064" s="5" t="s">
        <v>240</v>
      </c>
      <c r="HE3064" s="5" t="s">
        <v>240</v>
      </c>
      <c r="HF3064" s="5" t="s">
        <v>240</v>
      </c>
      <c r="HG3064" s="5" t="s">
        <v>240</v>
      </c>
      <c r="HH3064" s="5" t="s">
        <v>240</v>
      </c>
      <c r="HI3064" s="5" t="s">
        <v>240</v>
      </c>
      <c r="HJ3064" s="5" t="s">
        <v>240</v>
      </c>
      <c r="HK3064" s="5" t="s">
        <v>240</v>
      </c>
      <c r="HL3064" s="5" t="s">
        <v>240</v>
      </c>
      <c r="HM3064" s="5" t="s">
        <v>240</v>
      </c>
      <c r="HN3064" s="5" t="s">
        <v>240</v>
      </c>
      <c r="HO3064" s="5" t="s">
        <v>312</v>
      </c>
      <c r="HP3064" s="5" t="s">
        <v>240</v>
      </c>
      <c r="HQ3064" s="5" t="s">
        <v>240</v>
      </c>
      <c r="HR3064" s="5" t="s">
        <v>240</v>
      </c>
      <c r="HS3064" s="5" t="s">
        <v>240</v>
      </c>
      <c r="HT3064" s="5" t="s">
        <v>240</v>
      </c>
      <c r="HU3064" s="5" t="s">
        <v>240</v>
      </c>
      <c r="HV3064" s="5" t="s">
        <v>240</v>
      </c>
      <c r="HW3064" s="5" t="s">
        <v>240</v>
      </c>
      <c r="HX3064" s="5" t="s">
        <v>240</v>
      </c>
      <c r="HY3064" s="5" t="s">
        <v>240</v>
      </c>
      <c r="HZ3064" s="5" t="s">
        <v>240</v>
      </c>
      <c r="IA3064" s="5" t="s">
        <v>240</v>
      </c>
      <c r="IB3064" s="5" t="s">
        <v>240</v>
      </c>
      <c r="IC3064" s="5" t="s">
        <v>240</v>
      </c>
      <c r="ID3064" s="5" t="s">
        <v>240</v>
      </c>
      <c r="IE3064" s="5" t="s">
        <v>240</v>
      </c>
      <c r="IF3064" s="5" t="s">
        <v>240</v>
      </c>
    </row>
    <row r="3065" spans="1:240" x14ac:dyDescent="0.4">
      <c r="A3065" s="5">
        <v>4769</v>
      </c>
      <c r="B3065" s="5">
        <v>1</v>
      </c>
      <c r="C3065" s="5">
        <v>1</v>
      </c>
      <c r="D3065" s="5" t="s">
        <v>810</v>
      </c>
      <c r="E3065" s="5" t="s">
        <v>245</v>
      </c>
      <c r="F3065" s="5" t="s">
        <v>254</v>
      </c>
      <c r="G3065" s="5" t="s">
        <v>240</v>
      </c>
      <c r="H3065" s="6" t="s">
        <v>2415</v>
      </c>
      <c r="I3065" s="5" t="s">
        <v>809</v>
      </c>
      <c r="J3065" s="8">
        <f>249</f>
        <v>249</v>
      </c>
      <c r="K3065" s="5" t="s">
        <v>308</v>
      </c>
      <c r="L3065" s="7">
        <f>1</f>
        <v>1</v>
      </c>
      <c r="M3065" s="7">
        <f>1</f>
        <v>1</v>
      </c>
      <c r="N3065" s="5" t="s">
        <v>242</v>
      </c>
      <c r="O3065" s="5">
        <v>1</v>
      </c>
      <c r="P3065" s="5" t="s">
        <v>294</v>
      </c>
      <c r="Q3065" s="5" t="s">
        <v>3678</v>
      </c>
      <c r="R3065" s="5" t="s">
        <v>240</v>
      </c>
      <c r="S3065" s="5" t="s">
        <v>240</v>
      </c>
      <c r="T3065" s="5" t="s">
        <v>243</v>
      </c>
      <c r="U3065" s="5" t="s">
        <v>244</v>
      </c>
      <c r="V3065" s="5" t="s">
        <v>240</v>
      </c>
      <c r="W3065" s="5" t="s">
        <v>240</v>
      </c>
      <c r="X3065" s="5" t="s">
        <v>240</v>
      </c>
      <c r="Y3065" s="5" t="s">
        <v>240</v>
      </c>
      <c r="Z3065" s="6" t="s">
        <v>298</v>
      </c>
      <c r="AA3065" s="6" t="s">
        <v>240</v>
      </c>
      <c r="AB3065" s="6" t="s">
        <v>240</v>
      </c>
      <c r="AC3065" s="5" t="s">
        <v>240</v>
      </c>
      <c r="AD3065" s="6" t="s">
        <v>240</v>
      </c>
      <c r="AE3065" s="6" t="s">
        <v>299</v>
      </c>
      <c r="AF3065" s="5" t="s">
        <v>248</v>
      </c>
      <c r="AG3065" s="5" t="s">
        <v>249</v>
      </c>
      <c r="AH3065" s="5" t="s">
        <v>240</v>
      </c>
      <c r="AI3065" s="5" t="s">
        <v>240</v>
      </c>
      <c r="AJ3065" s="5" t="s">
        <v>240</v>
      </c>
      <c r="AK3065" s="5" t="s">
        <v>240</v>
      </c>
      <c r="AL3065" s="5" t="s">
        <v>240</v>
      </c>
      <c r="AM3065" s="5" t="s">
        <v>240</v>
      </c>
      <c r="AN3065" s="5" t="s">
        <v>240</v>
      </c>
      <c r="AO3065" s="5" t="s">
        <v>240</v>
      </c>
      <c r="AP3065" s="6" t="s">
        <v>240</v>
      </c>
      <c r="AQ3065" s="6" t="s">
        <v>240</v>
      </c>
      <c r="AR3065" s="6" t="s">
        <v>240</v>
      </c>
      <c r="AS3065" s="6" t="s">
        <v>240</v>
      </c>
      <c r="AT3065" s="5" t="s">
        <v>240</v>
      </c>
      <c r="AU3065" s="5" t="s">
        <v>729</v>
      </c>
      <c r="AV3065" s="5" t="s">
        <v>729</v>
      </c>
      <c r="AW3065" s="5" t="s">
        <v>251</v>
      </c>
      <c r="AX3065" s="5" t="s">
        <v>252</v>
      </c>
      <c r="AY3065" s="5" t="s">
        <v>253</v>
      </c>
      <c r="AZ3065" s="5" t="s">
        <v>240</v>
      </c>
      <c r="BA3065" s="5" t="s">
        <v>255</v>
      </c>
      <c r="BB3065" s="5" t="s">
        <v>731</v>
      </c>
      <c r="BD3065" s="5" t="s">
        <v>240</v>
      </c>
      <c r="BF3065" s="5" t="s">
        <v>732</v>
      </c>
      <c r="BG3065" s="6" t="s">
        <v>733</v>
      </c>
      <c r="BH3065" s="5" t="s">
        <v>734</v>
      </c>
      <c r="BI3065" s="5" t="s">
        <v>734</v>
      </c>
      <c r="BJ3065" s="5" t="s">
        <v>240</v>
      </c>
      <c r="BK3065" s="7">
        <f>1</f>
        <v>1</v>
      </c>
      <c r="BL3065" s="7">
        <f>1</f>
        <v>1</v>
      </c>
      <c r="BM3065" s="5" t="s">
        <v>258</v>
      </c>
      <c r="BN3065" s="5" t="s">
        <v>259</v>
      </c>
      <c r="BO3065" s="5" t="s">
        <v>240</v>
      </c>
      <c r="BP3065" s="5" t="s">
        <v>240</v>
      </c>
      <c r="BQ3065" s="5" t="s">
        <v>240</v>
      </c>
      <c r="BR3065" s="5" t="s">
        <v>240</v>
      </c>
      <c r="BS3065" s="5" t="s">
        <v>240</v>
      </c>
      <c r="BT3065" s="5" t="s">
        <v>240</v>
      </c>
      <c r="BU3065" s="5" t="s">
        <v>240</v>
      </c>
      <c r="BV3065" s="5" t="s">
        <v>240</v>
      </c>
      <c r="BW3065" s="6" t="s">
        <v>240</v>
      </c>
      <c r="BX3065" s="5" t="s">
        <v>240</v>
      </c>
      <c r="BY3065" s="5" t="s">
        <v>240</v>
      </c>
      <c r="BZ3065" s="5" t="s">
        <v>240</v>
      </c>
      <c r="CA3065" s="5" t="s">
        <v>259</v>
      </c>
      <c r="CB3065" s="5" t="s">
        <v>240</v>
      </c>
      <c r="CC3065" s="5" t="s">
        <v>240</v>
      </c>
      <c r="CD3065" s="5" t="s">
        <v>240</v>
      </c>
      <c r="CE3065" s="5" t="s">
        <v>240</v>
      </c>
      <c r="CF3065" s="5" t="s">
        <v>240</v>
      </c>
      <c r="CG3065" s="5" t="s">
        <v>304</v>
      </c>
      <c r="CH3065" s="5" t="s">
        <v>305</v>
      </c>
      <c r="CI3065" s="5" t="s">
        <v>240</v>
      </c>
      <c r="CK3065" s="5" t="s">
        <v>3681</v>
      </c>
      <c r="CL3065" s="6" t="s">
        <v>261</v>
      </c>
      <c r="CM3065" s="5" t="s">
        <v>262</v>
      </c>
      <c r="CN3065" s="5" t="s">
        <v>263</v>
      </c>
      <c r="CO3065" s="5" t="s">
        <v>264</v>
      </c>
      <c r="CP3065" s="5" t="s">
        <v>240</v>
      </c>
      <c r="CQ3065" s="5">
        <v>0</v>
      </c>
      <c r="CR3065" s="5" t="s">
        <v>735</v>
      </c>
      <c r="CS3065" s="5" t="s">
        <v>307</v>
      </c>
      <c r="CT3065" s="5" t="s">
        <v>307</v>
      </c>
      <c r="CU3065" s="5" t="s">
        <v>260</v>
      </c>
      <c r="CV3065" s="5" t="s">
        <v>612</v>
      </c>
      <c r="CW3065" s="8">
        <f>1</f>
        <v>1</v>
      </c>
      <c r="CX3065" s="7">
        <f>1</f>
        <v>1</v>
      </c>
      <c r="CY3065" s="7">
        <f>0</f>
        <v>0</v>
      </c>
      <c r="DA3065" s="7">
        <f>1</f>
        <v>1</v>
      </c>
      <c r="DB3065" s="7" t="s">
        <v>240</v>
      </c>
      <c r="DC3065" s="5" t="s">
        <v>240</v>
      </c>
      <c r="DD3065" s="5" t="s">
        <v>240</v>
      </c>
      <c r="DE3065" s="5" t="s">
        <v>240</v>
      </c>
      <c r="DF3065" s="5" t="s">
        <v>240</v>
      </c>
      <c r="DG3065" s="7">
        <f>0</f>
        <v>0</v>
      </c>
      <c r="DI3065" s="5" t="s">
        <v>240</v>
      </c>
      <c r="DJ3065" s="5" t="s">
        <v>240</v>
      </c>
      <c r="DK3065" s="5" t="s">
        <v>240</v>
      </c>
      <c r="DL3065" s="5" t="s">
        <v>240</v>
      </c>
      <c r="DM3065" s="5" t="s">
        <v>240</v>
      </c>
      <c r="DN3065" s="5" t="s">
        <v>240</v>
      </c>
      <c r="DO3065" s="7" t="s">
        <v>240</v>
      </c>
      <c r="DP3065" s="5" t="s">
        <v>240</v>
      </c>
      <c r="DQ3065" s="5" t="s">
        <v>240</v>
      </c>
      <c r="DR3065" s="5" t="s">
        <v>731</v>
      </c>
      <c r="DS3065" s="5" t="s">
        <v>731</v>
      </c>
      <c r="DT3065" s="5" t="s">
        <v>240</v>
      </c>
      <c r="DU3065" s="5" t="s">
        <v>240</v>
      </c>
      <c r="DV3065" s="5" t="s">
        <v>3683</v>
      </c>
      <c r="DW3065" s="5" t="s">
        <v>265</v>
      </c>
      <c r="DX3065" s="5" t="s">
        <v>240</v>
      </c>
      <c r="DY3065" s="5" t="s">
        <v>240</v>
      </c>
      <c r="DZ3065" s="5" t="s">
        <v>240</v>
      </c>
      <c r="EA3065" s="5" t="s">
        <v>240</v>
      </c>
      <c r="EB3065" s="5" t="s">
        <v>240</v>
      </c>
      <c r="EC3065" s="5" t="s">
        <v>240</v>
      </c>
      <c r="ED3065" s="5" t="s">
        <v>240</v>
      </c>
      <c r="EE3065" s="5" t="s">
        <v>240</v>
      </c>
      <c r="EF3065" s="5" t="s">
        <v>240</v>
      </c>
      <c r="EG3065" s="5" t="s">
        <v>240</v>
      </c>
      <c r="EH3065" s="5" t="s">
        <v>240</v>
      </c>
      <c r="EI3065" s="5" t="s">
        <v>240</v>
      </c>
      <c r="EJ3065" s="5" t="s">
        <v>240</v>
      </c>
      <c r="EK3065" s="5" t="s">
        <v>240</v>
      </c>
      <c r="EL3065" s="5" t="s">
        <v>240</v>
      </c>
      <c r="EM3065" s="5" t="s">
        <v>240</v>
      </c>
      <c r="EN3065" s="5" t="s">
        <v>240</v>
      </c>
      <c r="EO3065" s="5" t="s">
        <v>240</v>
      </c>
      <c r="EP3065" s="5" t="s">
        <v>240</v>
      </c>
      <c r="EQ3065" s="5" t="s">
        <v>240</v>
      </c>
      <c r="ER3065" s="5" t="s">
        <v>240</v>
      </c>
      <c r="ES3065" s="5" t="s">
        <v>240</v>
      </c>
      <c r="ET3065" s="5" t="s">
        <v>240</v>
      </c>
      <c r="EU3065" s="5" t="s">
        <v>240</v>
      </c>
      <c r="EV3065" s="5" t="s">
        <v>240</v>
      </c>
      <c r="EW3065" s="5" t="s">
        <v>240</v>
      </c>
      <c r="EX3065" s="5" t="s">
        <v>240</v>
      </c>
      <c r="EY3065" s="5" t="s">
        <v>240</v>
      </c>
      <c r="EZ3065" s="5" t="s">
        <v>240</v>
      </c>
      <c r="FA3065" s="5" t="s">
        <v>240</v>
      </c>
      <c r="FB3065" s="5" t="s">
        <v>240</v>
      </c>
      <c r="FC3065" s="5" t="s">
        <v>240</v>
      </c>
      <c r="FD3065" s="5" t="s">
        <v>240</v>
      </c>
      <c r="FE3065" s="5" t="s">
        <v>240</v>
      </c>
      <c r="FF3065" s="5" t="s">
        <v>240</v>
      </c>
      <c r="FG3065" s="5" t="s">
        <v>240</v>
      </c>
      <c r="FH3065" s="5" t="s">
        <v>240</v>
      </c>
      <c r="FI3065" s="5" t="s">
        <v>240</v>
      </c>
      <c r="FJ3065" s="5" t="s">
        <v>240</v>
      </c>
      <c r="FK3065" s="5" t="s">
        <v>240</v>
      </c>
      <c r="FL3065" s="5" t="s">
        <v>240</v>
      </c>
      <c r="FM3065" s="5" t="s">
        <v>240</v>
      </c>
      <c r="FN3065" s="5" t="s">
        <v>240</v>
      </c>
      <c r="FO3065" s="5" t="s">
        <v>240</v>
      </c>
      <c r="FP3065" s="5" t="s">
        <v>240</v>
      </c>
      <c r="FQ3065" s="5" t="s">
        <v>240</v>
      </c>
      <c r="FR3065" s="5" t="s">
        <v>240</v>
      </c>
      <c r="FS3065" s="5" t="s">
        <v>240</v>
      </c>
      <c r="FT3065" s="5" t="s">
        <v>240</v>
      </c>
      <c r="FU3065" s="5" t="s">
        <v>240</v>
      </c>
      <c r="FV3065" s="5" t="s">
        <v>240</v>
      </c>
      <c r="FW3065" s="5" t="s">
        <v>240</v>
      </c>
      <c r="FX3065" s="5" t="s">
        <v>240</v>
      </c>
      <c r="FY3065" s="5" t="s">
        <v>240</v>
      </c>
      <c r="FZ3065" s="5" t="s">
        <v>240</v>
      </c>
      <c r="GA3065" s="5" t="s">
        <v>240</v>
      </c>
      <c r="GB3065" s="5" t="s">
        <v>240</v>
      </c>
      <c r="GC3065" s="5" t="s">
        <v>240</v>
      </c>
      <c r="GD3065" s="5" t="s">
        <v>240</v>
      </c>
      <c r="GE3065" s="5" t="s">
        <v>240</v>
      </c>
      <c r="GF3065" s="5" t="s">
        <v>240</v>
      </c>
      <c r="GG3065" s="5" t="s">
        <v>240</v>
      </c>
      <c r="GH3065" s="5" t="s">
        <v>240</v>
      </c>
      <c r="GI3065" s="5" t="s">
        <v>240</v>
      </c>
      <c r="GJ3065" s="5" t="s">
        <v>240</v>
      </c>
      <c r="GK3065" s="5" t="s">
        <v>240</v>
      </c>
      <c r="GL3065" s="5" t="s">
        <v>240</v>
      </c>
      <c r="GM3065" s="5" t="s">
        <v>240</v>
      </c>
      <c r="GN3065" s="5" t="s">
        <v>240</v>
      </c>
      <c r="GO3065" s="5" t="s">
        <v>240</v>
      </c>
      <c r="GP3065" s="5" t="s">
        <v>240</v>
      </c>
      <c r="GQ3065" s="5" t="s">
        <v>240</v>
      </c>
      <c r="GR3065" s="5" t="s">
        <v>240</v>
      </c>
      <c r="GS3065" s="5" t="s">
        <v>240</v>
      </c>
      <c r="GT3065" s="5" t="s">
        <v>240</v>
      </c>
      <c r="GU3065" s="5" t="s">
        <v>240</v>
      </c>
      <c r="GV3065" s="5" t="s">
        <v>240</v>
      </c>
      <c r="GW3065" s="5" t="s">
        <v>240</v>
      </c>
      <c r="GX3065" s="5" t="s">
        <v>240</v>
      </c>
      <c r="GY3065" s="5" t="s">
        <v>240</v>
      </c>
      <c r="GZ3065" s="5" t="s">
        <v>240</v>
      </c>
      <c r="HA3065" s="5" t="s">
        <v>240</v>
      </c>
      <c r="HB3065" s="5" t="s">
        <v>240</v>
      </c>
      <c r="HC3065" s="5" t="s">
        <v>240</v>
      </c>
      <c r="HD3065" s="5" t="s">
        <v>240</v>
      </c>
      <c r="HE3065" s="5" t="s">
        <v>240</v>
      </c>
      <c r="HF3065" s="5" t="s">
        <v>240</v>
      </c>
      <c r="HG3065" s="5" t="s">
        <v>240</v>
      </c>
      <c r="HH3065" s="5" t="s">
        <v>240</v>
      </c>
      <c r="HI3065" s="5" t="s">
        <v>240</v>
      </c>
      <c r="HJ3065" s="5" t="s">
        <v>240</v>
      </c>
      <c r="HK3065" s="5" t="s">
        <v>240</v>
      </c>
      <c r="HL3065" s="5" t="s">
        <v>240</v>
      </c>
      <c r="HM3065" s="5" t="s">
        <v>240</v>
      </c>
      <c r="HN3065" s="5" t="s">
        <v>240</v>
      </c>
      <c r="HO3065" s="5" t="s">
        <v>312</v>
      </c>
      <c r="HP3065" s="5" t="s">
        <v>240</v>
      </c>
      <c r="HQ3065" s="5" t="s">
        <v>240</v>
      </c>
      <c r="HR3065" s="5" t="s">
        <v>240</v>
      </c>
      <c r="HS3065" s="5" t="s">
        <v>240</v>
      </c>
      <c r="HT3065" s="5" t="s">
        <v>240</v>
      </c>
      <c r="HU3065" s="5" t="s">
        <v>240</v>
      </c>
      <c r="HV3065" s="5" t="s">
        <v>240</v>
      </c>
      <c r="HW3065" s="5" t="s">
        <v>240</v>
      </c>
      <c r="HX3065" s="5" t="s">
        <v>240</v>
      </c>
      <c r="HY3065" s="5" t="s">
        <v>240</v>
      </c>
      <c r="HZ3065" s="5" t="s">
        <v>240</v>
      </c>
      <c r="IA3065" s="5" t="s">
        <v>240</v>
      </c>
      <c r="IB3065" s="5" t="s">
        <v>240</v>
      </c>
      <c r="IC3065" s="5" t="s">
        <v>240</v>
      </c>
      <c r="ID3065" s="5" t="s">
        <v>240</v>
      </c>
      <c r="IE3065" s="5" t="s">
        <v>240</v>
      </c>
      <c r="IF3065" s="5" t="s">
        <v>240</v>
      </c>
    </row>
    <row r="3066" spans="1:240" x14ac:dyDescent="0.4">
      <c r="A3066" s="5">
        <v>4770</v>
      </c>
      <c r="B3066" s="5">
        <v>1</v>
      </c>
      <c r="C3066" s="5">
        <v>1</v>
      </c>
      <c r="D3066" s="5" t="s">
        <v>810</v>
      </c>
      <c r="E3066" s="5" t="s">
        <v>245</v>
      </c>
      <c r="F3066" s="5" t="s">
        <v>254</v>
      </c>
      <c r="G3066" s="5" t="s">
        <v>240</v>
      </c>
      <c r="H3066" s="6" t="s">
        <v>4677</v>
      </c>
      <c r="I3066" s="5" t="s">
        <v>809</v>
      </c>
      <c r="J3066" s="8">
        <f>713</f>
        <v>713</v>
      </c>
      <c r="K3066" s="5" t="s">
        <v>308</v>
      </c>
      <c r="L3066" s="7">
        <f>1</f>
        <v>1</v>
      </c>
      <c r="M3066" s="7">
        <f>1</f>
        <v>1</v>
      </c>
      <c r="N3066" s="5" t="s">
        <v>242</v>
      </c>
      <c r="O3066" s="5">
        <v>1</v>
      </c>
      <c r="P3066" s="5" t="s">
        <v>294</v>
      </c>
      <c r="Q3066" s="5" t="s">
        <v>266</v>
      </c>
      <c r="R3066" s="5" t="s">
        <v>240</v>
      </c>
      <c r="S3066" s="5" t="s">
        <v>240</v>
      </c>
      <c r="T3066" s="5" t="s">
        <v>296</v>
      </c>
      <c r="U3066" s="5" t="s">
        <v>244</v>
      </c>
      <c r="V3066" s="5" t="s">
        <v>240</v>
      </c>
      <c r="Y3066" s="5" t="s">
        <v>240</v>
      </c>
      <c r="Z3066" s="6" t="s">
        <v>298</v>
      </c>
      <c r="AB3066" s="6" t="s">
        <v>240</v>
      </c>
      <c r="AE3066" s="6" t="s">
        <v>299</v>
      </c>
      <c r="AF3066" s="5" t="s">
        <v>248</v>
      </c>
      <c r="AG3066" s="5" t="s">
        <v>249</v>
      </c>
      <c r="AW3066" s="5" t="s">
        <v>251</v>
      </c>
      <c r="AX3066" s="5" t="s">
        <v>240</v>
      </c>
      <c r="AY3066" s="5" t="s">
        <v>253</v>
      </c>
      <c r="AZ3066" s="5" t="s">
        <v>240</v>
      </c>
      <c r="BA3066" s="5" t="s">
        <v>255</v>
      </c>
      <c r="BB3066" s="5" t="s">
        <v>240</v>
      </c>
      <c r="BD3066" s="5" t="s">
        <v>240</v>
      </c>
      <c r="BF3066" s="5" t="s">
        <v>301</v>
      </c>
      <c r="BG3066" s="6" t="s">
        <v>299</v>
      </c>
      <c r="BH3066" s="5" t="s">
        <v>302</v>
      </c>
      <c r="BI3066" s="5" t="s">
        <v>303</v>
      </c>
      <c r="BJ3066" s="5" t="s">
        <v>240</v>
      </c>
      <c r="BK3066" s="8">
        <f>0</f>
        <v>0</v>
      </c>
      <c r="BL3066" s="7">
        <f>0</f>
        <v>0</v>
      </c>
      <c r="BM3066" s="5" t="s">
        <v>258</v>
      </c>
      <c r="BN3066" s="5" t="s">
        <v>259</v>
      </c>
      <c r="CB3066" s="5" t="s">
        <v>240</v>
      </c>
      <c r="CC3066" s="5" t="s">
        <v>240</v>
      </c>
      <c r="CG3066" s="5" t="s">
        <v>304</v>
      </c>
      <c r="CH3066" s="5" t="s">
        <v>305</v>
      </c>
      <c r="CI3066" s="5" t="s">
        <v>240</v>
      </c>
      <c r="CL3066" s="6" t="s">
        <v>261</v>
      </c>
      <c r="CM3066" s="5" t="s">
        <v>240</v>
      </c>
      <c r="CN3066" s="5" t="s">
        <v>263</v>
      </c>
      <c r="CO3066" s="5" t="s">
        <v>240</v>
      </c>
      <c r="CP3066" s="5" t="s">
        <v>240</v>
      </c>
      <c r="CQ3066" s="5">
        <v>0</v>
      </c>
      <c r="CR3066" s="5" t="s">
        <v>306</v>
      </c>
      <c r="CS3066" s="5" t="s">
        <v>307</v>
      </c>
      <c r="CT3066" s="5" t="s">
        <v>307</v>
      </c>
      <c r="CU3066" s="5" t="s">
        <v>260</v>
      </c>
      <c r="CX3066" s="7">
        <f>1</f>
        <v>1</v>
      </c>
      <c r="CY3066" s="7">
        <f>0</f>
        <v>0</v>
      </c>
      <c r="DA3066" s="7">
        <f>0</f>
        <v>0</v>
      </c>
      <c r="DC3066" s="5" t="s">
        <v>812</v>
      </c>
      <c r="DD3066" s="5" t="s">
        <v>240</v>
      </c>
      <c r="DF3066" s="5" t="s">
        <v>812</v>
      </c>
      <c r="DG3066" s="7">
        <f>3680</f>
        <v>3680</v>
      </c>
      <c r="DI3066" s="5" t="s">
        <v>240</v>
      </c>
      <c r="DJ3066" s="5" t="s">
        <v>240</v>
      </c>
      <c r="DK3066" s="5" t="s">
        <v>240</v>
      </c>
      <c r="DL3066" s="5" t="s">
        <v>240</v>
      </c>
      <c r="DP3066" s="5" t="s">
        <v>240</v>
      </c>
      <c r="DQ3066" s="5" t="s">
        <v>240</v>
      </c>
      <c r="DR3066" s="5" t="s">
        <v>240</v>
      </c>
      <c r="DS3066" s="5" t="s">
        <v>240</v>
      </c>
      <c r="DV3066" s="5" t="s">
        <v>813</v>
      </c>
      <c r="DW3066" s="5" t="s">
        <v>546</v>
      </c>
      <c r="HO3066" s="5" t="s">
        <v>312</v>
      </c>
    </row>
    <row r="3067" spans="1:240" x14ac:dyDescent="0.4">
      <c r="A3067" s="5">
        <v>4771</v>
      </c>
      <c r="B3067" s="5">
        <v>1</v>
      </c>
      <c r="C3067" s="5">
        <v>1</v>
      </c>
      <c r="D3067" s="5" t="s">
        <v>810</v>
      </c>
      <c r="E3067" s="5" t="s">
        <v>245</v>
      </c>
      <c r="F3067" s="5" t="s">
        <v>254</v>
      </c>
      <c r="G3067" s="5" t="s">
        <v>240</v>
      </c>
      <c r="H3067" s="6" t="s">
        <v>2412</v>
      </c>
      <c r="I3067" s="5" t="s">
        <v>809</v>
      </c>
      <c r="J3067" s="8">
        <f>514</f>
        <v>514</v>
      </c>
      <c r="K3067" s="5" t="s">
        <v>308</v>
      </c>
      <c r="L3067" s="7">
        <f>1</f>
        <v>1</v>
      </c>
      <c r="M3067" s="7">
        <f>1</f>
        <v>1</v>
      </c>
      <c r="N3067" s="5" t="s">
        <v>242</v>
      </c>
      <c r="O3067" s="5">
        <v>1</v>
      </c>
      <c r="P3067" s="5" t="s">
        <v>294</v>
      </c>
      <c r="Q3067" s="5" t="s">
        <v>3678</v>
      </c>
      <c r="R3067" s="5" t="s">
        <v>240</v>
      </c>
      <c r="S3067" s="5" t="s">
        <v>240</v>
      </c>
      <c r="T3067" s="5" t="s">
        <v>243</v>
      </c>
      <c r="U3067" s="5" t="s">
        <v>244</v>
      </c>
      <c r="V3067" s="5" t="s">
        <v>240</v>
      </c>
      <c r="W3067" s="5" t="s">
        <v>240</v>
      </c>
      <c r="X3067" s="5" t="s">
        <v>240</v>
      </c>
      <c r="Y3067" s="5" t="s">
        <v>240</v>
      </c>
      <c r="Z3067" s="6" t="s">
        <v>298</v>
      </c>
      <c r="AA3067" s="6" t="s">
        <v>240</v>
      </c>
      <c r="AB3067" s="6" t="s">
        <v>240</v>
      </c>
      <c r="AC3067" s="5" t="s">
        <v>240</v>
      </c>
      <c r="AD3067" s="6" t="s">
        <v>240</v>
      </c>
      <c r="AE3067" s="6" t="s">
        <v>299</v>
      </c>
      <c r="AF3067" s="5" t="s">
        <v>248</v>
      </c>
      <c r="AG3067" s="5" t="s">
        <v>249</v>
      </c>
      <c r="AH3067" s="5" t="s">
        <v>240</v>
      </c>
      <c r="AI3067" s="5" t="s">
        <v>240</v>
      </c>
      <c r="AJ3067" s="5" t="s">
        <v>240</v>
      </c>
      <c r="AK3067" s="5" t="s">
        <v>240</v>
      </c>
      <c r="AL3067" s="5" t="s">
        <v>240</v>
      </c>
      <c r="AM3067" s="5" t="s">
        <v>240</v>
      </c>
      <c r="AN3067" s="5" t="s">
        <v>240</v>
      </c>
      <c r="AO3067" s="5" t="s">
        <v>240</v>
      </c>
      <c r="AP3067" s="6" t="s">
        <v>240</v>
      </c>
      <c r="AQ3067" s="6" t="s">
        <v>240</v>
      </c>
      <c r="AR3067" s="6" t="s">
        <v>240</v>
      </c>
      <c r="AS3067" s="6" t="s">
        <v>240</v>
      </c>
      <c r="AT3067" s="5" t="s">
        <v>240</v>
      </c>
      <c r="AU3067" s="5" t="s">
        <v>729</v>
      </c>
      <c r="AV3067" s="5" t="s">
        <v>729</v>
      </c>
      <c r="AW3067" s="5" t="s">
        <v>251</v>
      </c>
      <c r="AX3067" s="5" t="s">
        <v>252</v>
      </c>
      <c r="AY3067" s="5" t="s">
        <v>253</v>
      </c>
      <c r="AZ3067" s="5" t="s">
        <v>240</v>
      </c>
      <c r="BA3067" s="5" t="s">
        <v>255</v>
      </c>
      <c r="BB3067" s="5" t="s">
        <v>731</v>
      </c>
      <c r="BD3067" s="5" t="s">
        <v>240</v>
      </c>
      <c r="BF3067" s="5" t="s">
        <v>732</v>
      </c>
      <c r="BG3067" s="6" t="s">
        <v>733</v>
      </c>
      <c r="BH3067" s="5" t="s">
        <v>734</v>
      </c>
      <c r="BI3067" s="5" t="s">
        <v>734</v>
      </c>
      <c r="BJ3067" s="5" t="s">
        <v>240</v>
      </c>
      <c r="BK3067" s="7">
        <f>1</f>
        <v>1</v>
      </c>
      <c r="BL3067" s="7">
        <f>1</f>
        <v>1</v>
      </c>
      <c r="BM3067" s="5" t="s">
        <v>258</v>
      </c>
      <c r="BN3067" s="5" t="s">
        <v>259</v>
      </c>
      <c r="BO3067" s="5" t="s">
        <v>240</v>
      </c>
      <c r="BP3067" s="5" t="s">
        <v>240</v>
      </c>
      <c r="BQ3067" s="5" t="s">
        <v>240</v>
      </c>
      <c r="BR3067" s="5" t="s">
        <v>240</v>
      </c>
      <c r="BS3067" s="5" t="s">
        <v>240</v>
      </c>
      <c r="BT3067" s="5" t="s">
        <v>240</v>
      </c>
      <c r="BU3067" s="5" t="s">
        <v>240</v>
      </c>
      <c r="BV3067" s="5" t="s">
        <v>240</v>
      </c>
      <c r="BW3067" s="6" t="s">
        <v>240</v>
      </c>
      <c r="BX3067" s="5" t="s">
        <v>240</v>
      </c>
      <c r="BY3067" s="5" t="s">
        <v>240</v>
      </c>
      <c r="BZ3067" s="5" t="s">
        <v>240</v>
      </c>
      <c r="CA3067" s="5" t="s">
        <v>259</v>
      </c>
      <c r="CB3067" s="5" t="s">
        <v>240</v>
      </c>
      <c r="CC3067" s="5" t="s">
        <v>240</v>
      </c>
      <c r="CD3067" s="5" t="s">
        <v>240</v>
      </c>
      <c r="CE3067" s="5" t="s">
        <v>240</v>
      </c>
      <c r="CF3067" s="5" t="s">
        <v>240</v>
      </c>
      <c r="CG3067" s="5" t="s">
        <v>304</v>
      </c>
      <c r="CH3067" s="5" t="s">
        <v>305</v>
      </c>
      <c r="CI3067" s="5" t="s">
        <v>240</v>
      </c>
      <c r="CK3067" s="5" t="s">
        <v>3681</v>
      </c>
      <c r="CL3067" s="6" t="s">
        <v>261</v>
      </c>
      <c r="CM3067" s="5" t="s">
        <v>262</v>
      </c>
      <c r="CN3067" s="5" t="s">
        <v>263</v>
      </c>
      <c r="CO3067" s="5" t="s">
        <v>264</v>
      </c>
      <c r="CP3067" s="5" t="s">
        <v>240</v>
      </c>
      <c r="CQ3067" s="5">
        <v>0</v>
      </c>
      <c r="CR3067" s="5" t="s">
        <v>735</v>
      </c>
      <c r="CS3067" s="5" t="s">
        <v>307</v>
      </c>
      <c r="CT3067" s="5" t="s">
        <v>307</v>
      </c>
      <c r="CU3067" s="5" t="s">
        <v>260</v>
      </c>
      <c r="CV3067" s="5" t="s">
        <v>612</v>
      </c>
      <c r="CW3067" s="8">
        <f>1</f>
        <v>1</v>
      </c>
      <c r="CX3067" s="7">
        <f>1</f>
        <v>1</v>
      </c>
      <c r="CY3067" s="7">
        <f>0</f>
        <v>0</v>
      </c>
      <c r="DA3067" s="7">
        <f>1</f>
        <v>1</v>
      </c>
      <c r="DB3067" s="7" t="s">
        <v>240</v>
      </c>
      <c r="DC3067" s="5" t="s">
        <v>240</v>
      </c>
      <c r="DD3067" s="5" t="s">
        <v>240</v>
      </c>
      <c r="DE3067" s="5" t="s">
        <v>240</v>
      </c>
      <c r="DF3067" s="5" t="s">
        <v>240</v>
      </c>
      <c r="DG3067" s="7">
        <f>0</f>
        <v>0</v>
      </c>
      <c r="DI3067" s="5" t="s">
        <v>240</v>
      </c>
      <c r="DJ3067" s="5" t="s">
        <v>240</v>
      </c>
      <c r="DK3067" s="5" t="s">
        <v>240</v>
      </c>
      <c r="DL3067" s="5" t="s">
        <v>240</v>
      </c>
      <c r="DM3067" s="5" t="s">
        <v>240</v>
      </c>
      <c r="DN3067" s="5" t="s">
        <v>240</v>
      </c>
      <c r="DO3067" s="7" t="s">
        <v>240</v>
      </c>
      <c r="DP3067" s="5" t="s">
        <v>240</v>
      </c>
      <c r="DQ3067" s="5" t="s">
        <v>240</v>
      </c>
      <c r="DR3067" s="5" t="s">
        <v>731</v>
      </c>
      <c r="DS3067" s="5" t="s">
        <v>731</v>
      </c>
      <c r="DT3067" s="5" t="s">
        <v>240</v>
      </c>
      <c r="DU3067" s="5" t="s">
        <v>240</v>
      </c>
      <c r="DV3067" s="5" t="s">
        <v>3683</v>
      </c>
      <c r="DW3067" s="5" t="s">
        <v>2057</v>
      </c>
      <c r="DX3067" s="5" t="s">
        <v>240</v>
      </c>
      <c r="DY3067" s="5" t="s">
        <v>240</v>
      </c>
      <c r="DZ3067" s="5" t="s">
        <v>240</v>
      </c>
      <c r="EA3067" s="5" t="s">
        <v>240</v>
      </c>
      <c r="EB3067" s="5" t="s">
        <v>240</v>
      </c>
      <c r="EC3067" s="5" t="s">
        <v>240</v>
      </c>
      <c r="ED3067" s="5" t="s">
        <v>240</v>
      </c>
      <c r="EE3067" s="5" t="s">
        <v>240</v>
      </c>
      <c r="EF3067" s="5" t="s">
        <v>240</v>
      </c>
      <c r="EG3067" s="5" t="s">
        <v>240</v>
      </c>
      <c r="EH3067" s="5" t="s">
        <v>240</v>
      </c>
      <c r="EI3067" s="5" t="s">
        <v>240</v>
      </c>
      <c r="EJ3067" s="5" t="s">
        <v>240</v>
      </c>
      <c r="EK3067" s="5" t="s">
        <v>240</v>
      </c>
      <c r="EL3067" s="5" t="s">
        <v>240</v>
      </c>
      <c r="EM3067" s="5" t="s">
        <v>240</v>
      </c>
      <c r="EN3067" s="5" t="s">
        <v>240</v>
      </c>
      <c r="EO3067" s="5" t="s">
        <v>240</v>
      </c>
      <c r="EP3067" s="5" t="s">
        <v>240</v>
      </c>
      <c r="EQ3067" s="5" t="s">
        <v>240</v>
      </c>
      <c r="ER3067" s="5" t="s">
        <v>240</v>
      </c>
      <c r="ES3067" s="5" t="s">
        <v>240</v>
      </c>
      <c r="ET3067" s="5" t="s">
        <v>240</v>
      </c>
      <c r="EU3067" s="5" t="s">
        <v>240</v>
      </c>
      <c r="EV3067" s="5" t="s">
        <v>240</v>
      </c>
      <c r="EW3067" s="5" t="s">
        <v>240</v>
      </c>
      <c r="EX3067" s="5" t="s">
        <v>240</v>
      </c>
      <c r="EY3067" s="5" t="s">
        <v>240</v>
      </c>
      <c r="EZ3067" s="5" t="s">
        <v>240</v>
      </c>
      <c r="FA3067" s="5" t="s">
        <v>240</v>
      </c>
      <c r="FB3067" s="5" t="s">
        <v>240</v>
      </c>
      <c r="FC3067" s="5" t="s">
        <v>240</v>
      </c>
      <c r="FD3067" s="5" t="s">
        <v>240</v>
      </c>
      <c r="FE3067" s="5" t="s">
        <v>240</v>
      </c>
      <c r="FF3067" s="5" t="s">
        <v>240</v>
      </c>
      <c r="FG3067" s="5" t="s">
        <v>240</v>
      </c>
      <c r="FH3067" s="5" t="s">
        <v>240</v>
      </c>
      <c r="FI3067" s="5" t="s">
        <v>240</v>
      </c>
      <c r="FJ3067" s="5" t="s">
        <v>240</v>
      </c>
      <c r="FK3067" s="5" t="s">
        <v>240</v>
      </c>
      <c r="FL3067" s="5" t="s">
        <v>240</v>
      </c>
      <c r="FM3067" s="5" t="s">
        <v>240</v>
      </c>
      <c r="FN3067" s="5" t="s">
        <v>240</v>
      </c>
      <c r="FO3067" s="5" t="s">
        <v>240</v>
      </c>
      <c r="FP3067" s="5" t="s">
        <v>240</v>
      </c>
      <c r="FQ3067" s="5" t="s">
        <v>240</v>
      </c>
      <c r="FR3067" s="5" t="s">
        <v>240</v>
      </c>
      <c r="FS3067" s="5" t="s">
        <v>240</v>
      </c>
      <c r="FT3067" s="5" t="s">
        <v>240</v>
      </c>
      <c r="FU3067" s="5" t="s">
        <v>240</v>
      </c>
      <c r="FV3067" s="5" t="s">
        <v>240</v>
      </c>
      <c r="FW3067" s="5" t="s">
        <v>240</v>
      </c>
      <c r="FX3067" s="5" t="s">
        <v>240</v>
      </c>
      <c r="FY3067" s="5" t="s">
        <v>240</v>
      </c>
      <c r="FZ3067" s="5" t="s">
        <v>240</v>
      </c>
      <c r="GA3067" s="5" t="s">
        <v>240</v>
      </c>
      <c r="GB3067" s="5" t="s">
        <v>240</v>
      </c>
      <c r="GC3067" s="5" t="s">
        <v>240</v>
      </c>
      <c r="GD3067" s="5" t="s">
        <v>240</v>
      </c>
      <c r="GE3067" s="5" t="s">
        <v>240</v>
      </c>
      <c r="GF3067" s="5" t="s">
        <v>240</v>
      </c>
      <c r="GG3067" s="5" t="s">
        <v>240</v>
      </c>
      <c r="GH3067" s="5" t="s">
        <v>240</v>
      </c>
      <c r="GI3067" s="5" t="s">
        <v>240</v>
      </c>
      <c r="GJ3067" s="5" t="s">
        <v>240</v>
      </c>
      <c r="GK3067" s="5" t="s">
        <v>240</v>
      </c>
      <c r="GL3067" s="5" t="s">
        <v>240</v>
      </c>
      <c r="GM3067" s="5" t="s">
        <v>240</v>
      </c>
      <c r="GN3067" s="5" t="s">
        <v>240</v>
      </c>
      <c r="GO3067" s="5" t="s">
        <v>240</v>
      </c>
      <c r="GP3067" s="5" t="s">
        <v>240</v>
      </c>
      <c r="GQ3067" s="5" t="s">
        <v>240</v>
      </c>
      <c r="GR3067" s="5" t="s">
        <v>240</v>
      </c>
      <c r="GS3067" s="5" t="s">
        <v>240</v>
      </c>
      <c r="GT3067" s="5" t="s">
        <v>240</v>
      </c>
      <c r="GU3067" s="5" t="s">
        <v>240</v>
      </c>
      <c r="GV3067" s="5" t="s">
        <v>240</v>
      </c>
      <c r="GW3067" s="5" t="s">
        <v>240</v>
      </c>
      <c r="GX3067" s="5" t="s">
        <v>240</v>
      </c>
      <c r="GY3067" s="5" t="s">
        <v>240</v>
      </c>
      <c r="GZ3067" s="5" t="s">
        <v>240</v>
      </c>
      <c r="HA3067" s="5" t="s">
        <v>240</v>
      </c>
      <c r="HB3067" s="5" t="s">
        <v>240</v>
      </c>
      <c r="HC3067" s="5" t="s">
        <v>240</v>
      </c>
      <c r="HD3067" s="5" t="s">
        <v>240</v>
      </c>
      <c r="HE3067" s="5" t="s">
        <v>240</v>
      </c>
      <c r="HF3067" s="5" t="s">
        <v>240</v>
      </c>
      <c r="HG3067" s="5" t="s">
        <v>240</v>
      </c>
      <c r="HH3067" s="5" t="s">
        <v>240</v>
      </c>
      <c r="HI3067" s="5" t="s">
        <v>240</v>
      </c>
      <c r="HJ3067" s="5" t="s">
        <v>240</v>
      </c>
      <c r="HK3067" s="5" t="s">
        <v>240</v>
      </c>
      <c r="HL3067" s="5" t="s">
        <v>240</v>
      </c>
      <c r="HM3067" s="5" t="s">
        <v>240</v>
      </c>
      <c r="HN3067" s="5" t="s">
        <v>240</v>
      </c>
      <c r="HO3067" s="5" t="s">
        <v>312</v>
      </c>
      <c r="HP3067" s="5" t="s">
        <v>240</v>
      </c>
      <c r="HQ3067" s="5" t="s">
        <v>240</v>
      </c>
      <c r="HR3067" s="5" t="s">
        <v>240</v>
      </c>
      <c r="HS3067" s="5" t="s">
        <v>240</v>
      </c>
      <c r="HT3067" s="5" t="s">
        <v>240</v>
      </c>
      <c r="HU3067" s="5" t="s">
        <v>240</v>
      </c>
      <c r="HV3067" s="5" t="s">
        <v>240</v>
      </c>
      <c r="HW3067" s="5" t="s">
        <v>240</v>
      </c>
      <c r="HX3067" s="5" t="s">
        <v>240</v>
      </c>
      <c r="HY3067" s="5" t="s">
        <v>240</v>
      </c>
      <c r="HZ3067" s="5" t="s">
        <v>240</v>
      </c>
      <c r="IA3067" s="5" t="s">
        <v>240</v>
      </c>
      <c r="IB3067" s="5" t="s">
        <v>240</v>
      </c>
      <c r="IC3067" s="5" t="s">
        <v>240</v>
      </c>
      <c r="ID3067" s="5" t="s">
        <v>240</v>
      </c>
      <c r="IE3067" s="5" t="s">
        <v>240</v>
      </c>
      <c r="IF3067" s="5" t="s">
        <v>240</v>
      </c>
    </row>
    <row r="3068" spans="1:240" x14ac:dyDescent="0.4">
      <c r="A3068" s="5">
        <v>4772</v>
      </c>
      <c r="B3068" s="5">
        <v>1</v>
      </c>
      <c r="C3068" s="5">
        <v>1</v>
      </c>
      <c r="D3068" s="5" t="s">
        <v>810</v>
      </c>
      <c r="E3068" s="5" t="s">
        <v>245</v>
      </c>
      <c r="F3068" s="5" t="s">
        <v>254</v>
      </c>
      <c r="G3068" s="5" t="s">
        <v>240</v>
      </c>
      <c r="H3068" s="6" t="s">
        <v>2410</v>
      </c>
      <c r="I3068" s="5" t="s">
        <v>809</v>
      </c>
      <c r="J3068" s="8">
        <f>2934</f>
        <v>2934</v>
      </c>
      <c r="K3068" s="5" t="s">
        <v>308</v>
      </c>
      <c r="L3068" s="7">
        <f>1</f>
        <v>1</v>
      </c>
      <c r="M3068" s="7">
        <f>1</f>
        <v>1</v>
      </c>
      <c r="N3068" s="5" t="s">
        <v>242</v>
      </c>
      <c r="O3068" s="5">
        <v>1</v>
      </c>
      <c r="P3068" s="5" t="s">
        <v>294</v>
      </c>
      <c r="Q3068" s="5" t="s">
        <v>3678</v>
      </c>
      <c r="R3068" s="5" t="s">
        <v>240</v>
      </c>
      <c r="S3068" s="5" t="s">
        <v>240</v>
      </c>
      <c r="T3068" s="5" t="s">
        <v>243</v>
      </c>
      <c r="U3068" s="5" t="s">
        <v>244</v>
      </c>
      <c r="V3068" s="5" t="s">
        <v>240</v>
      </c>
      <c r="W3068" s="5" t="s">
        <v>240</v>
      </c>
      <c r="X3068" s="5" t="s">
        <v>240</v>
      </c>
      <c r="Y3068" s="5" t="s">
        <v>240</v>
      </c>
      <c r="Z3068" s="6" t="s">
        <v>298</v>
      </c>
      <c r="AA3068" s="6" t="s">
        <v>240</v>
      </c>
      <c r="AB3068" s="6" t="s">
        <v>240</v>
      </c>
      <c r="AC3068" s="5" t="s">
        <v>240</v>
      </c>
      <c r="AD3068" s="6" t="s">
        <v>240</v>
      </c>
      <c r="AE3068" s="6" t="s">
        <v>299</v>
      </c>
      <c r="AF3068" s="5" t="s">
        <v>248</v>
      </c>
      <c r="AG3068" s="5" t="s">
        <v>249</v>
      </c>
      <c r="AH3068" s="5" t="s">
        <v>240</v>
      </c>
      <c r="AI3068" s="5" t="s">
        <v>240</v>
      </c>
      <c r="AJ3068" s="5" t="s">
        <v>240</v>
      </c>
      <c r="AK3068" s="5" t="s">
        <v>240</v>
      </c>
      <c r="AL3068" s="5" t="s">
        <v>240</v>
      </c>
      <c r="AM3068" s="5" t="s">
        <v>240</v>
      </c>
      <c r="AN3068" s="5" t="s">
        <v>240</v>
      </c>
      <c r="AO3068" s="5" t="s">
        <v>240</v>
      </c>
      <c r="AP3068" s="6" t="s">
        <v>240</v>
      </c>
      <c r="AQ3068" s="6" t="s">
        <v>240</v>
      </c>
      <c r="AR3068" s="6" t="s">
        <v>240</v>
      </c>
      <c r="AS3068" s="6" t="s">
        <v>240</v>
      </c>
      <c r="AT3068" s="5" t="s">
        <v>240</v>
      </c>
      <c r="AU3068" s="5" t="s">
        <v>729</v>
      </c>
      <c r="AV3068" s="5" t="s">
        <v>729</v>
      </c>
      <c r="AW3068" s="5" t="s">
        <v>251</v>
      </c>
      <c r="AX3068" s="5" t="s">
        <v>252</v>
      </c>
      <c r="AY3068" s="5" t="s">
        <v>253</v>
      </c>
      <c r="AZ3068" s="5" t="s">
        <v>240</v>
      </c>
      <c r="BA3068" s="5" t="s">
        <v>255</v>
      </c>
      <c r="BB3068" s="5" t="s">
        <v>731</v>
      </c>
      <c r="BD3068" s="5" t="s">
        <v>240</v>
      </c>
      <c r="BF3068" s="5" t="s">
        <v>732</v>
      </c>
      <c r="BG3068" s="6" t="s">
        <v>733</v>
      </c>
      <c r="BH3068" s="5" t="s">
        <v>734</v>
      </c>
      <c r="BI3068" s="5" t="s">
        <v>734</v>
      </c>
      <c r="BJ3068" s="5" t="s">
        <v>240</v>
      </c>
      <c r="BK3068" s="7">
        <f>1</f>
        <v>1</v>
      </c>
      <c r="BL3068" s="7">
        <f>1</f>
        <v>1</v>
      </c>
      <c r="BM3068" s="5" t="s">
        <v>258</v>
      </c>
      <c r="BN3068" s="5" t="s">
        <v>259</v>
      </c>
      <c r="BO3068" s="5" t="s">
        <v>240</v>
      </c>
      <c r="BP3068" s="5" t="s">
        <v>240</v>
      </c>
      <c r="BQ3068" s="5" t="s">
        <v>240</v>
      </c>
      <c r="BR3068" s="5" t="s">
        <v>240</v>
      </c>
      <c r="BS3068" s="5" t="s">
        <v>240</v>
      </c>
      <c r="BT3068" s="5" t="s">
        <v>240</v>
      </c>
      <c r="BU3068" s="5" t="s">
        <v>240</v>
      </c>
      <c r="BV3068" s="5" t="s">
        <v>240</v>
      </c>
      <c r="BW3068" s="6" t="s">
        <v>240</v>
      </c>
      <c r="BX3068" s="5" t="s">
        <v>240</v>
      </c>
      <c r="BY3068" s="5" t="s">
        <v>240</v>
      </c>
      <c r="BZ3068" s="5" t="s">
        <v>240</v>
      </c>
      <c r="CA3068" s="5" t="s">
        <v>259</v>
      </c>
      <c r="CB3068" s="5" t="s">
        <v>240</v>
      </c>
      <c r="CC3068" s="5" t="s">
        <v>240</v>
      </c>
      <c r="CD3068" s="5" t="s">
        <v>240</v>
      </c>
      <c r="CE3068" s="5" t="s">
        <v>240</v>
      </c>
      <c r="CF3068" s="5" t="s">
        <v>240</v>
      </c>
      <c r="CG3068" s="5" t="s">
        <v>304</v>
      </c>
      <c r="CH3068" s="5" t="s">
        <v>305</v>
      </c>
      <c r="CI3068" s="5" t="s">
        <v>240</v>
      </c>
      <c r="CK3068" s="5" t="s">
        <v>3681</v>
      </c>
      <c r="CL3068" s="6" t="s">
        <v>261</v>
      </c>
      <c r="CM3068" s="5" t="s">
        <v>262</v>
      </c>
      <c r="CN3068" s="5" t="s">
        <v>263</v>
      </c>
      <c r="CO3068" s="5" t="s">
        <v>264</v>
      </c>
      <c r="CP3068" s="5" t="s">
        <v>240</v>
      </c>
      <c r="CQ3068" s="5">
        <v>0</v>
      </c>
      <c r="CR3068" s="5" t="s">
        <v>735</v>
      </c>
      <c r="CS3068" s="5" t="s">
        <v>307</v>
      </c>
      <c r="CT3068" s="5" t="s">
        <v>307</v>
      </c>
      <c r="CU3068" s="5" t="s">
        <v>260</v>
      </c>
      <c r="CV3068" s="5" t="s">
        <v>612</v>
      </c>
      <c r="CW3068" s="8">
        <f>1</f>
        <v>1</v>
      </c>
      <c r="CX3068" s="7">
        <f>1</f>
        <v>1</v>
      </c>
      <c r="CY3068" s="7">
        <f>0</f>
        <v>0</v>
      </c>
      <c r="DA3068" s="7">
        <f>1</f>
        <v>1</v>
      </c>
      <c r="DB3068" s="7" t="s">
        <v>240</v>
      </c>
      <c r="DC3068" s="5" t="s">
        <v>240</v>
      </c>
      <c r="DD3068" s="5" t="s">
        <v>240</v>
      </c>
      <c r="DE3068" s="5" t="s">
        <v>240</v>
      </c>
      <c r="DF3068" s="5" t="s">
        <v>240</v>
      </c>
      <c r="DG3068" s="7">
        <f>0</f>
        <v>0</v>
      </c>
      <c r="DI3068" s="5" t="s">
        <v>240</v>
      </c>
      <c r="DJ3068" s="5" t="s">
        <v>240</v>
      </c>
      <c r="DK3068" s="5" t="s">
        <v>240</v>
      </c>
      <c r="DL3068" s="5" t="s">
        <v>240</v>
      </c>
      <c r="DM3068" s="5" t="s">
        <v>240</v>
      </c>
      <c r="DN3068" s="5" t="s">
        <v>240</v>
      </c>
      <c r="DO3068" s="7" t="s">
        <v>240</v>
      </c>
      <c r="DP3068" s="5" t="s">
        <v>240</v>
      </c>
      <c r="DQ3068" s="5" t="s">
        <v>240</v>
      </c>
      <c r="DR3068" s="5" t="s">
        <v>731</v>
      </c>
      <c r="DS3068" s="5" t="s">
        <v>731</v>
      </c>
      <c r="DT3068" s="5" t="s">
        <v>240</v>
      </c>
      <c r="DU3068" s="5" t="s">
        <v>240</v>
      </c>
      <c r="DV3068" s="5" t="s">
        <v>3683</v>
      </c>
      <c r="DW3068" s="5" t="s">
        <v>1202</v>
      </c>
      <c r="DX3068" s="5" t="s">
        <v>240</v>
      </c>
      <c r="DY3068" s="5" t="s">
        <v>240</v>
      </c>
      <c r="DZ3068" s="5" t="s">
        <v>240</v>
      </c>
      <c r="EA3068" s="5" t="s">
        <v>240</v>
      </c>
      <c r="EB3068" s="5" t="s">
        <v>240</v>
      </c>
      <c r="EC3068" s="5" t="s">
        <v>240</v>
      </c>
      <c r="ED3068" s="5" t="s">
        <v>240</v>
      </c>
      <c r="EE3068" s="5" t="s">
        <v>240</v>
      </c>
      <c r="EF3068" s="5" t="s">
        <v>240</v>
      </c>
      <c r="EG3068" s="5" t="s">
        <v>240</v>
      </c>
      <c r="EH3068" s="5" t="s">
        <v>240</v>
      </c>
      <c r="EI3068" s="5" t="s">
        <v>240</v>
      </c>
      <c r="EJ3068" s="5" t="s">
        <v>240</v>
      </c>
      <c r="EK3068" s="5" t="s">
        <v>240</v>
      </c>
      <c r="EL3068" s="5" t="s">
        <v>240</v>
      </c>
      <c r="EM3068" s="5" t="s">
        <v>240</v>
      </c>
      <c r="EN3068" s="5" t="s">
        <v>240</v>
      </c>
      <c r="EO3068" s="5" t="s">
        <v>240</v>
      </c>
      <c r="EP3068" s="5" t="s">
        <v>240</v>
      </c>
      <c r="EQ3068" s="5" t="s">
        <v>240</v>
      </c>
      <c r="ER3068" s="5" t="s">
        <v>240</v>
      </c>
      <c r="ES3068" s="5" t="s">
        <v>240</v>
      </c>
      <c r="ET3068" s="5" t="s">
        <v>240</v>
      </c>
      <c r="EU3068" s="5" t="s">
        <v>240</v>
      </c>
      <c r="EV3068" s="5" t="s">
        <v>240</v>
      </c>
      <c r="EW3068" s="5" t="s">
        <v>240</v>
      </c>
      <c r="EX3068" s="5" t="s">
        <v>240</v>
      </c>
      <c r="EY3068" s="5" t="s">
        <v>240</v>
      </c>
      <c r="EZ3068" s="5" t="s">
        <v>240</v>
      </c>
      <c r="FA3068" s="5" t="s">
        <v>240</v>
      </c>
      <c r="FB3068" s="5" t="s">
        <v>240</v>
      </c>
      <c r="FC3068" s="5" t="s">
        <v>240</v>
      </c>
      <c r="FD3068" s="5" t="s">
        <v>240</v>
      </c>
      <c r="FE3068" s="5" t="s">
        <v>240</v>
      </c>
      <c r="FF3068" s="5" t="s">
        <v>240</v>
      </c>
      <c r="FG3068" s="5" t="s">
        <v>240</v>
      </c>
      <c r="FH3068" s="5" t="s">
        <v>240</v>
      </c>
      <c r="FI3068" s="5" t="s">
        <v>240</v>
      </c>
      <c r="FJ3068" s="5" t="s">
        <v>240</v>
      </c>
      <c r="FK3068" s="5" t="s">
        <v>240</v>
      </c>
      <c r="FL3068" s="5" t="s">
        <v>240</v>
      </c>
      <c r="FM3068" s="5" t="s">
        <v>240</v>
      </c>
      <c r="FN3068" s="5" t="s">
        <v>240</v>
      </c>
      <c r="FO3068" s="5" t="s">
        <v>240</v>
      </c>
      <c r="FP3068" s="5" t="s">
        <v>240</v>
      </c>
      <c r="FQ3068" s="5" t="s">
        <v>240</v>
      </c>
      <c r="FR3068" s="5" t="s">
        <v>240</v>
      </c>
      <c r="FS3068" s="5" t="s">
        <v>240</v>
      </c>
      <c r="FT3068" s="5" t="s">
        <v>240</v>
      </c>
      <c r="FU3068" s="5" t="s">
        <v>240</v>
      </c>
      <c r="FV3068" s="5" t="s">
        <v>240</v>
      </c>
      <c r="FW3068" s="5" t="s">
        <v>240</v>
      </c>
      <c r="FX3068" s="5" t="s">
        <v>240</v>
      </c>
      <c r="FY3068" s="5" t="s">
        <v>240</v>
      </c>
      <c r="FZ3068" s="5" t="s">
        <v>240</v>
      </c>
      <c r="GA3068" s="5" t="s">
        <v>240</v>
      </c>
      <c r="GB3068" s="5" t="s">
        <v>240</v>
      </c>
      <c r="GC3068" s="5" t="s">
        <v>240</v>
      </c>
      <c r="GD3068" s="5" t="s">
        <v>240</v>
      </c>
      <c r="GE3068" s="5" t="s">
        <v>240</v>
      </c>
      <c r="GF3068" s="5" t="s">
        <v>240</v>
      </c>
      <c r="GG3068" s="5" t="s">
        <v>240</v>
      </c>
      <c r="GH3068" s="5" t="s">
        <v>240</v>
      </c>
      <c r="GI3068" s="5" t="s">
        <v>240</v>
      </c>
      <c r="GJ3068" s="5" t="s">
        <v>240</v>
      </c>
      <c r="GK3068" s="5" t="s">
        <v>240</v>
      </c>
      <c r="GL3068" s="5" t="s">
        <v>240</v>
      </c>
      <c r="GM3068" s="5" t="s">
        <v>240</v>
      </c>
      <c r="GN3068" s="5" t="s">
        <v>240</v>
      </c>
      <c r="GO3068" s="5" t="s">
        <v>240</v>
      </c>
      <c r="GP3068" s="5" t="s">
        <v>240</v>
      </c>
      <c r="GQ3068" s="5" t="s">
        <v>240</v>
      </c>
      <c r="GR3068" s="5" t="s">
        <v>240</v>
      </c>
      <c r="GS3068" s="5" t="s">
        <v>240</v>
      </c>
      <c r="GT3068" s="5" t="s">
        <v>240</v>
      </c>
      <c r="GU3068" s="5" t="s">
        <v>240</v>
      </c>
      <c r="GV3068" s="5" t="s">
        <v>240</v>
      </c>
      <c r="GW3068" s="5" t="s">
        <v>240</v>
      </c>
      <c r="GX3068" s="5" t="s">
        <v>240</v>
      </c>
      <c r="GY3068" s="5" t="s">
        <v>240</v>
      </c>
      <c r="GZ3068" s="5" t="s">
        <v>240</v>
      </c>
      <c r="HA3068" s="5" t="s">
        <v>240</v>
      </c>
      <c r="HB3068" s="5" t="s">
        <v>240</v>
      </c>
      <c r="HC3068" s="5" t="s">
        <v>240</v>
      </c>
      <c r="HD3068" s="5" t="s">
        <v>240</v>
      </c>
      <c r="HE3068" s="5" t="s">
        <v>240</v>
      </c>
      <c r="HF3068" s="5" t="s">
        <v>240</v>
      </c>
      <c r="HG3068" s="5" t="s">
        <v>240</v>
      </c>
      <c r="HH3068" s="5" t="s">
        <v>240</v>
      </c>
      <c r="HI3068" s="5" t="s">
        <v>240</v>
      </c>
      <c r="HJ3068" s="5" t="s">
        <v>240</v>
      </c>
      <c r="HK3068" s="5" t="s">
        <v>240</v>
      </c>
      <c r="HL3068" s="5" t="s">
        <v>240</v>
      </c>
      <c r="HM3068" s="5" t="s">
        <v>240</v>
      </c>
      <c r="HN3068" s="5" t="s">
        <v>240</v>
      </c>
      <c r="HO3068" s="5" t="s">
        <v>312</v>
      </c>
      <c r="HP3068" s="5" t="s">
        <v>240</v>
      </c>
      <c r="HQ3068" s="5" t="s">
        <v>240</v>
      </c>
      <c r="HR3068" s="5" t="s">
        <v>240</v>
      </c>
      <c r="HS3068" s="5" t="s">
        <v>240</v>
      </c>
      <c r="HT3068" s="5" t="s">
        <v>240</v>
      </c>
      <c r="HU3068" s="5" t="s">
        <v>240</v>
      </c>
      <c r="HV3068" s="5" t="s">
        <v>240</v>
      </c>
      <c r="HW3068" s="5" t="s">
        <v>240</v>
      </c>
      <c r="HX3068" s="5" t="s">
        <v>240</v>
      </c>
      <c r="HY3068" s="5" t="s">
        <v>240</v>
      </c>
      <c r="HZ3068" s="5" t="s">
        <v>240</v>
      </c>
      <c r="IA3068" s="5" t="s">
        <v>240</v>
      </c>
      <c r="IB3068" s="5" t="s">
        <v>240</v>
      </c>
      <c r="IC3068" s="5" t="s">
        <v>240</v>
      </c>
      <c r="ID3068" s="5" t="s">
        <v>240</v>
      </c>
      <c r="IE3068" s="5" t="s">
        <v>240</v>
      </c>
      <c r="IF3068" s="5" t="s">
        <v>240</v>
      </c>
    </row>
    <row r="3069" spans="1:240" x14ac:dyDescent="0.4">
      <c r="A3069" s="5">
        <v>4773</v>
      </c>
      <c r="B3069" s="5">
        <v>1</v>
      </c>
      <c r="C3069" s="5">
        <v>1</v>
      </c>
      <c r="D3069" s="5" t="s">
        <v>810</v>
      </c>
      <c r="E3069" s="5" t="s">
        <v>245</v>
      </c>
      <c r="F3069" s="5" t="s">
        <v>254</v>
      </c>
      <c r="G3069" s="5" t="s">
        <v>240</v>
      </c>
      <c r="H3069" s="6" t="s">
        <v>2408</v>
      </c>
      <c r="I3069" s="5" t="s">
        <v>809</v>
      </c>
      <c r="J3069" s="8">
        <f>2774</f>
        <v>2774</v>
      </c>
      <c r="K3069" s="5" t="s">
        <v>308</v>
      </c>
      <c r="L3069" s="7">
        <f>1</f>
        <v>1</v>
      </c>
      <c r="M3069" s="7">
        <f>1</f>
        <v>1</v>
      </c>
      <c r="N3069" s="5" t="s">
        <v>242</v>
      </c>
      <c r="O3069" s="5">
        <v>1</v>
      </c>
      <c r="P3069" s="5" t="s">
        <v>294</v>
      </c>
      <c r="Q3069" s="5" t="s">
        <v>3678</v>
      </c>
      <c r="R3069" s="5" t="s">
        <v>240</v>
      </c>
      <c r="S3069" s="5" t="s">
        <v>240</v>
      </c>
      <c r="T3069" s="5" t="s">
        <v>243</v>
      </c>
      <c r="U3069" s="5" t="s">
        <v>244</v>
      </c>
      <c r="V3069" s="5" t="s">
        <v>240</v>
      </c>
      <c r="W3069" s="5" t="s">
        <v>240</v>
      </c>
      <c r="X3069" s="5" t="s">
        <v>240</v>
      </c>
      <c r="Y3069" s="5" t="s">
        <v>240</v>
      </c>
      <c r="Z3069" s="6" t="s">
        <v>298</v>
      </c>
      <c r="AA3069" s="6" t="s">
        <v>240</v>
      </c>
      <c r="AB3069" s="6" t="s">
        <v>240</v>
      </c>
      <c r="AC3069" s="5" t="s">
        <v>240</v>
      </c>
      <c r="AD3069" s="6" t="s">
        <v>240</v>
      </c>
      <c r="AE3069" s="6" t="s">
        <v>299</v>
      </c>
      <c r="AF3069" s="5" t="s">
        <v>248</v>
      </c>
      <c r="AG3069" s="5" t="s">
        <v>249</v>
      </c>
      <c r="AH3069" s="5" t="s">
        <v>240</v>
      </c>
      <c r="AI3069" s="5" t="s">
        <v>240</v>
      </c>
      <c r="AJ3069" s="5" t="s">
        <v>240</v>
      </c>
      <c r="AK3069" s="5" t="s">
        <v>240</v>
      </c>
      <c r="AL3069" s="5" t="s">
        <v>240</v>
      </c>
      <c r="AM3069" s="5" t="s">
        <v>240</v>
      </c>
      <c r="AN3069" s="5" t="s">
        <v>240</v>
      </c>
      <c r="AO3069" s="5" t="s">
        <v>240</v>
      </c>
      <c r="AP3069" s="6" t="s">
        <v>240</v>
      </c>
      <c r="AQ3069" s="6" t="s">
        <v>240</v>
      </c>
      <c r="AR3069" s="6" t="s">
        <v>240</v>
      </c>
      <c r="AS3069" s="6" t="s">
        <v>240</v>
      </c>
      <c r="AT3069" s="5" t="s">
        <v>240</v>
      </c>
      <c r="AU3069" s="5" t="s">
        <v>729</v>
      </c>
      <c r="AV3069" s="5" t="s">
        <v>729</v>
      </c>
      <c r="AW3069" s="5" t="s">
        <v>251</v>
      </c>
      <c r="AX3069" s="5" t="s">
        <v>252</v>
      </c>
      <c r="AY3069" s="5" t="s">
        <v>253</v>
      </c>
      <c r="AZ3069" s="5" t="s">
        <v>240</v>
      </c>
      <c r="BA3069" s="5" t="s">
        <v>255</v>
      </c>
      <c r="BB3069" s="5" t="s">
        <v>731</v>
      </c>
      <c r="BD3069" s="5" t="s">
        <v>240</v>
      </c>
      <c r="BF3069" s="5" t="s">
        <v>732</v>
      </c>
      <c r="BG3069" s="6" t="s">
        <v>733</v>
      </c>
      <c r="BH3069" s="5" t="s">
        <v>734</v>
      </c>
      <c r="BI3069" s="5" t="s">
        <v>734</v>
      </c>
      <c r="BJ3069" s="5" t="s">
        <v>240</v>
      </c>
      <c r="BK3069" s="7">
        <f>1</f>
        <v>1</v>
      </c>
      <c r="BL3069" s="7">
        <f>1</f>
        <v>1</v>
      </c>
      <c r="BM3069" s="5" t="s">
        <v>258</v>
      </c>
      <c r="BN3069" s="5" t="s">
        <v>259</v>
      </c>
      <c r="BO3069" s="5" t="s">
        <v>240</v>
      </c>
      <c r="BP3069" s="5" t="s">
        <v>240</v>
      </c>
      <c r="BQ3069" s="5" t="s">
        <v>240</v>
      </c>
      <c r="BR3069" s="5" t="s">
        <v>240</v>
      </c>
      <c r="BS3069" s="5" t="s">
        <v>240</v>
      </c>
      <c r="BT3069" s="5" t="s">
        <v>240</v>
      </c>
      <c r="BU3069" s="5" t="s">
        <v>240</v>
      </c>
      <c r="BV3069" s="5" t="s">
        <v>240</v>
      </c>
      <c r="BW3069" s="6" t="s">
        <v>240</v>
      </c>
      <c r="BX3069" s="5" t="s">
        <v>240</v>
      </c>
      <c r="BY3069" s="5" t="s">
        <v>240</v>
      </c>
      <c r="BZ3069" s="5" t="s">
        <v>240</v>
      </c>
      <c r="CA3069" s="5" t="s">
        <v>259</v>
      </c>
      <c r="CB3069" s="5" t="s">
        <v>240</v>
      </c>
      <c r="CC3069" s="5" t="s">
        <v>240</v>
      </c>
      <c r="CD3069" s="5" t="s">
        <v>240</v>
      </c>
      <c r="CE3069" s="5" t="s">
        <v>240</v>
      </c>
      <c r="CF3069" s="5" t="s">
        <v>240</v>
      </c>
      <c r="CG3069" s="5" t="s">
        <v>304</v>
      </c>
      <c r="CH3069" s="5" t="s">
        <v>305</v>
      </c>
      <c r="CI3069" s="5" t="s">
        <v>240</v>
      </c>
      <c r="CK3069" s="5" t="s">
        <v>3681</v>
      </c>
      <c r="CL3069" s="6" t="s">
        <v>261</v>
      </c>
      <c r="CM3069" s="5" t="s">
        <v>262</v>
      </c>
      <c r="CN3069" s="5" t="s">
        <v>263</v>
      </c>
      <c r="CO3069" s="5" t="s">
        <v>264</v>
      </c>
      <c r="CP3069" s="5" t="s">
        <v>240</v>
      </c>
      <c r="CQ3069" s="5">
        <v>0</v>
      </c>
      <c r="CR3069" s="5" t="s">
        <v>735</v>
      </c>
      <c r="CS3069" s="5" t="s">
        <v>307</v>
      </c>
      <c r="CT3069" s="5" t="s">
        <v>307</v>
      </c>
      <c r="CU3069" s="5" t="s">
        <v>260</v>
      </c>
      <c r="CV3069" s="5" t="s">
        <v>612</v>
      </c>
      <c r="CW3069" s="8">
        <f>1</f>
        <v>1</v>
      </c>
      <c r="CX3069" s="7">
        <f>1</f>
        <v>1</v>
      </c>
      <c r="CY3069" s="7">
        <f>0</f>
        <v>0</v>
      </c>
      <c r="DA3069" s="7">
        <f>1</f>
        <v>1</v>
      </c>
      <c r="DB3069" s="7" t="s">
        <v>240</v>
      </c>
      <c r="DC3069" s="5" t="s">
        <v>240</v>
      </c>
      <c r="DD3069" s="5" t="s">
        <v>240</v>
      </c>
      <c r="DE3069" s="5" t="s">
        <v>240</v>
      </c>
      <c r="DF3069" s="5" t="s">
        <v>240</v>
      </c>
      <c r="DG3069" s="7">
        <f>0</f>
        <v>0</v>
      </c>
      <c r="DI3069" s="5" t="s">
        <v>240</v>
      </c>
      <c r="DJ3069" s="5" t="s">
        <v>240</v>
      </c>
      <c r="DK3069" s="5" t="s">
        <v>240</v>
      </c>
      <c r="DL3069" s="5" t="s">
        <v>240</v>
      </c>
      <c r="DM3069" s="5" t="s">
        <v>240</v>
      </c>
      <c r="DN3069" s="5" t="s">
        <v>240</v>
      </c>
      <c r="DO3069" s="7" t="s">
        <v>240</v>
      </c>
      <c r="DP3069" s="5" t="s">
        <v>240</v>
      </c>
      <c r="DQ3069" s="5" t="s">
        <v>240</v>
      </c>
      <c r="DR3069" s="5" t="s">
        <v>731</v>
      </c>
      <c r="DS3069" s="5" t="s">
        <v>731</v>
      </c>
      <c r="DT3069" s="5" t="s">
        <v>240</v>
      </c>
      <c r="DU3069" s="5" t="s">
        <v>240</v>
      </c>
      <c r="DV3069" s="5" t="s">
        <v>3683</v>
      </c>
      <c r="DW3069" s="5" t="s">
        <v>1194</v>
      </c>
      <c r="DX3069" s="5" t="s">
        <v>240</v>
      </c>
      <c r="DY3069" s="5" t="s">
        <v>240</v>
      </c>
      <c r="DZ3069" s="5" t="s">
        <v>240</v>
      </c>
      <c r="EA3069" s="5" t="s">
        <v>240</v>
      </c>
      <c r="EB3069" s="5" t="s">
        <v>240</v>
      </c>
      <c r="EC3069" s="5" t="s">
        <v>240</v>
      </c>
      <c r="ED3069" s="5" t="s">
        <v>240</v>
      </c>
      <c r="EE3069" s="5" t="s">
        <v>240</v>
      </c>
      <c r="EF3069" s="5" t="s">
        <v>240</v>
      </c>
      <c r="EG3069" s="5" t="s">
        <v>240</v>
      </c>
      <c r="EH3069" s="5" t="s">
        <v>240</v>
      </c>
      <c r="EI3069" s="5" t="s">
        <v>240</v>
      </c>
      <c r="EJ3069" s="5" t="s">
        <v>240</v>
      </c>
      <c r="EK3069" s="5" t="s">
        <v>240</v>
      </c>
      <c r="EL3069" s="5" t="s">
        <v>240</v>
      </c>
      <c r="EM3069" s="5" t="s">
        <v>240</v>
      </c>
      <c r="EN3069" s="5" t="s">
        <v>240</v>
      </c>
      <c r="EO3069" s="5" t="s">
        <v>240</v>
      </c>
      <c r="EP3069" s="5" t="s">
        <v>240</v>
      </c>
      <c r="EQ3069" s="5" t="s">
        <v>240</v>
      </c>
      <c r="ER3069" s="5" t="s">
        <v>240</v>
      </c>
      <c r="ES3069" s="5" t="s">
        <v>240</v>
      </c>
      <c r="ET3069" s="5" t="s">
        <v>240</v>
      </c>
      <c r="EU3069" s="5" t="s">
        <v>240</v>
      </c>
      <c r="EV3069" s="5" t="s">
        <v>240</v>
      </c>
      <c r="EW3069" s="5" t="s">
        <v>240</v>
      </c>
      <c r="EX3069" s="5" t="s">
        <v>240</v>
      </c>
      <c r="EY3069" s="5" t="s">
        <v>240</v>
      </c>
      <c r="EZ3069" s="5" t="s">
        <v>240</v>
      </c>
      <c r="FA3069" s="5" t="s">
        <v>240</v>
      </c>
      <c r="FB3069" s="5" t="s">
        <v>240</v>
      </c>
      <c r="FC3069" s="5" t="s">
        <v>240</v>
      </c>
      <c r="FD3069" s="5" t="s">
        <v>240</v>
      </c>
      <c r="FE3069" s="5" t="s">
        <v>240</v>
      </c>
      <c r="FF3069" s="5" t="s">
        <v>240</v>
      </c>
      <c r="FG3069" s="5" t="s">
        <v>240</v>
      </c>
      <c r="FH3069" s="5" t="s">
        <v>240</v>
      </c>
      <c r="FI3069" s="5" t="s">
        <v>240</v>
      </c>
      <c r="FJ3069" s="5" t="s">
        <v>240</v>
      </c>
      <c r="FK3069" s="5" t="s">
        <v>240</v>
      </c>
      <c r="FL3069" s="5" t="s">
        <v>240</v>
      </c>
      <c r="FM3069" s="5" t="s">
        <v>240</v>
      </c>
      <c r="FN3069" s="5" t="s">
        <v>240</v>
      </c>
      <c r="FO3069" s="5" t="s">
        <v>240</v>
      </c>
      <c r="FP3069" s="5" t="s">
        <v>240</v>
      </c>
      <c r="FQ3069" s="5" t="s">
        <v>240</v>
      </c>
      <c r="FR3069" s="5" t="s">
        <v>240</v>
      </c>
      <c r="FS3069" s="5" t="s">
        <v>240</v>
      </c>
      <c r="FT3069" s="5" t="s">
        <v>240</v>
      </c>
      <c r="FU3069" s="5" t="s">
        <v>240</v>
      </c>
      <c r="FV3069" s="5" t="s">
        <v>240</v>
      </c>
      <c r="FW3069" s="5" t="s">
        <v>240</v>
      </c>
      <c r="FX3069" s="5" t="s">
        <v>240</v>
      </c>
      <c r="FY3069" s="5" t="s">
        <v>240</v>
      </c>
      <c r="FZ3069" s="5" t="s">
        <v>240</v>
      </c>
      <c r="GA3069" s="5" t="s">
        <v>240</v>
      </c>
      <c r="GB3069" s="5" t="s">
        <v>240</v>
      </c>
      <c r="GC3069" s="5" t="s">
        <v>240</v>
      </c>
      <c r="GD3069" s="5" t="s">
        <v>240</v>
      </c>
      <c r="GE3069" s="5" t="s">
        <v>240</v>
      </c>
      <c r="GF3069" s="5" t="s">
        <v>240</v>
      </c>
      <c r="GG3069" s="5" t="s">
        <v>240</v>
      </c>
      <c r="GH3069" s="5" t="s">
        <v>240</v>
      </c>
      <c r="GI3069" s="5" t="s">
        <v>240</v>
      </c>
      <c r="GJ3069" s="5" t="s">
        <v>240</v>
      </c>
      <c r="GK3069" s="5" t="s">
        <v>240</v>
      </c>
      <c r="GL3069" s="5" t="s">
        <v>240</v>
      </c>
      <c r="GM3069" s="5" t="s">
        <v>240</v>
      </c>
      <c r="GN3069" s="5" t="s">
        <v>240</v>
      </c>
      <c r="GO3069" s="5" t="s">
        <v>240</v>
      </c>
      <c r="GP3069" s="5" t="s">
        <v>240</v>
      </c>
      <c r="GQ3069" s="5" t="s">
        <v>240</v>
      </c>
      <c r="GR3069" s="5" t="s">
        <v>240</v>
      </c>
      <c r="GS3069" s="5" t="s">
        <v>240</v>
      </c>
      <c r="GT3069" s="5" t="s">
        <v>240</v>
      </c>
      <c r="GU3069" s="5" t="s">
        <v>240</v>
      </c>
      <c r="GV3069" s="5" t="s">
        <v>240</v>
      </c>
      <c r="GW3069" s="5" t="s">
        <v>240</v>
      </c>
      <c r="GX3069" s="5" t="s">
        <v>240</v>
      </c>
      <c r="GY3069" s="5" t="s">
        <v>240</v>
      </c>
      <c r="GZ3069" s="5" t="s">
        <v>240</v>
      </c>
      <c r="HA3069" s="5" t="s">
        <v>240</v>
      </c>
      <c r="HB3069" s="5" t="s">
        <v>240</v>
      </c>
      <c r="HC3069" s="5" t="s">
        <v>240</v>
      </c>
      <c r="HD3069" s="5" t="s">
        <v>240</v>
      </c>
      <c r="HE3069" s="5" t="s">
        <v>240</v>
      </c>
      <c r="HF3069" s="5" t="s">
        <v>240</v>
      </c>
      <c r="HG3069" s="5" t="s">
        <v>240</v>
      </c>
      <c r="HH3069" s="5" t="s">
        <v>240</v>
      </c>
      <c r="HI3069" s="5" t="s">
        <v>240</v>
      </c>
      <c r="HJ3069" s="5" t="s">
        <v>240</v>
      </c>
      <c r="HK3069" s="5" t="s">
        <v>240</v>
      </c>
      <c r="HL3069" s="5" t="s">
        <v>240</v>
      </c>
      <c r="HM3069" s="5" t="s">
        <v>240</v>
      </c>
      <c r="HN3069" s="5" t="s">
        <v>240</v>
      </c>
      <c r="HO3069" s="5" t="s">
        <v>312</v>
      </c>
      <c r="HP3069" s="5" t="s">
        <v>240</v>
      </c>
      <c r="HQ3069" s="5" t="s">
        <v>240</v>
      </c>
      <c r="HR3069" s="5" t="s">
        <v>240</v>
      </c>
      <c r="HS3069" s="5" t="s">
        <v>240</v>
      </c>
      <c r="HT3069" s="5" t="s">
        <v>240</v>
      </c>
      <c r="HU3069" s="5" t="s">
        <v>240</v>
      </c>
      <c r="HV3069" s="5" t="s">
        <v>240</v>
      </c>
      <c r="HW3069" s="5" t="s">
        <v>240</v>
      </c>
      <c r="HX3069" s="5" t="s">
        <v>240</v>
      </c>
      <c r="HY3069" s="5" t="s">
        <v>240</v>
      </c>
      <c r="HZ3069" s="5" t="s">
        <v>240</v>
      </c>
      <c r="IA3069" s="5" t="s">
        <v>240</v>
      </c>
      <c r="IB3069" s="5" t="s">
        <v>240</v>
      </c>
      <c r="IC3069" s="5" t="s">
        <v>240</v>
      </c>
      <c r="ID3069" s="5" t="s">
        <v>240</v>
      </c>
      <c r="IE3069" s="5" t="s">
        <v>240</v>
      </c>
      <c r="IF3069" s="5" t="s">
        <v>240</v>
      </c>
    </row>
    <row r="3070" spans="1:240" x14ac:dyDescent="0.4">
      <c r="A3070" s="5">
        <v>4774</v>
      </c>
      <c r="B3070" s="5">
        <v>1</v>
      </c>
      <c r="C3070" s="5">
        <v>1</v>
      </c>
      <c r="D3070" s="5" t="s">
        <v>810</v>
      </c>
      <c r="E3070" s="5" t="s">
        <v>245</v>
      </c>
      <c r="F3070" s="5" t="s">
        <v>254</v>
      </c>
      <c r="G3070" s="5" t="s">
        <v>240</v>
      </c>
      <c r="H3070" s="6" t="s">
        <v>4674</v>
      </c>
      <c r="I3070" s="5" t="s">
        <v>809</v>
      </c>
      <c r="J3070" s="8">
        <f>1508</f>
        <v>1508</v>
      </c>
      <c r="K3070" s="5" t="s">
        <v>308</v>
      </c>
      <c r="L3070" s="7">
        <f>1</f>
        <v>1</v>
      </c>
      <c r="M3070" s="7">
        <f>1</f>
        <v>1</v>
      </c>
      <c r="N3070" s="5" t="s">
        <v>242</v>
      </c>
      <c r="O3070" s="5">
        <v>1</v>
      </c>
      <c r="P3070" s="5" t="s">
        <v>294</v>
      </c>
      <c r="Q3070" s="5" t="s">
        <v>266</v>
      </c>
      <c r="R3070" s="5" t="s">
        <v>240</v>
      </c>
      <c r="S3070" s="5" t="s">
        <v>240</v>
      </c>
      <c r="T3070" s="5" t="s">
        <v>296</v>
      </c>
      <c r="U3070" s="5" t="s">
        <v>244</v>
      </c>
      <c r="V3070" s="5" t="s">
        <v>240</v>
      </c>
      <c r="Y3070" s="5" t="s">
        <v>240</v>
      </c>
      <c r="Z3070" s="6" t="s">
        <v>298</v>
      </c>
      <c r="AB3070" s="6" t="s">
        <v>240</v>
      </c>
      <c r="AE3070" s="6" t="s">
        <v>299</v>
      </c>
      <c r="AF3070" s="5" t="s">
        <v>248</v>
      </c>
      <c r="AG3070" s="5" t="s">
        <v>249</v>
      </c>
      <c r="AW3070" s="5" t="s">
        <v>251</v>
      </c>
      <c r="AX3070" s="5" t="s">
        <v>240</v>
      </c>
      <c r="AY3070" s="5" t="s">
        <v>253</v>
      </c>
      <c r="AZ3070" s="5" t="s">
        <v>240</v>
      </c>
      <c r="BA3070" s="5" t="s">
        <v>255</v>
      </c>
      <c r="BB3070" s="5" t="s">
        <v>240</v>
      </c>
      <c r="BD3070" s="5" t="s">
        <v>240</v>
      </c>
      <c r="BF3070" s="5" t="s">
        <v>301</v>
      </c>
      <c r="BG3070" s="6" t="s">
        <v>299</v>
      </c>
      <c r="BH3070" s="5" t="s">
        <v>302</v>
      </c>
      <c r="BI3070" s="5" t="s">
        <v>303</v>
      </c>
      <c r="BJ3070" s="5" t="s">
        <v>240</v>
      </c>
      <c r="BK3070" s="8">
        <f>0</f>
        <v>0</v>
      </c>
      <c r="BL3070" s="7">
        <f>0</f>
        <v>0</v>
      </c>
      <c r="BM3070" s="5" t="s">
        <v>258</v>
      </c>
      <c r="BN3070" s="5" t="s">
        <v>259</v>
      </c>
      <c r="CB3070" s="5" t="s">
        <v>240</v>
      </c>
      <c r="CC3070" s="5" t="s">
        <v>240</v>
      </c>
      <c r="CG3070" s="5" t="s">
        <v>304</v>
      </c>
      <c r="CH3070" s="5" t="s">
        <v>305</v>
      </c>
      <c r="CI3070" s="5" t="s">
        <v>240</v>
      </c>
      <c r="CL3070" s="6" t="s">
        <v>261</v>
      </c>
      <c r="CM3070" s="5" t="s">
        <v>240</v>
      </c>
      <c r="CN3070" s="5" t="s">
        <v>263</v>
      </c>
      <c r="CO3070" s="5" t="s">
        <v>240</v>
      </c>
      <c r="CP3070" s="5" t="s">
        <v>240</v>
      </c>
      <c r="CQ3070" s="5">
        <v>0</v>
      </c>
      <c r="CR3070" s="5" t="s">
        <v>306</v>
      </c>
      <c r="CS3070" s="5" t="s">
        <v>307</v>
      </c>
      <c r="CT3070" s="5" t="s">
        <v>307</v>
      </c>
      <c r="CU3070" s="5" t="s">
        <v>260</v>
      </c>
      <c r="CX3070" s="7">
        <f>1</f>
        <v>1</v>
      </c>
      <c r="CY3070" s="7">
        <f>0</f>
        <v>0</v>
      </c>
      <c r="DA3070" s="7">
        <f>0</f>
        <v>0</v>
      </c>
      <c r="DC3070" s="5" t="s">
        <v>812</v>
      </c>
      <c r="DD3070" s="5" t="s">
        <v>240</v>
      </c>
      <c r="DF3070" s="5" t="s">
        <v>812</v>
      </c>
      <c r="DG3070" s="7">
        <f>3777</f>
        <v>3777</v>
      </c>
      <c r="DI3070" s="5" t="s">
        <v>240</v>
      </c>
      <c r="DJ3070" s="5" t="s">
        <v>240</v>
      </c>
      <c r="DK3070" s="5" t="s">
        <v>240</v>
      </c>
      <c r="DL3070" s="5" t="s">
        <v>240</v>
      </c>
      <c r="DP3070" s="5" t="s">
        <v>240</v>
      </c>
      <c r="DQ3070" s="5" t="s">
        <v>240</v>
      </c>
      <c r="DR3070" s="5" t="s">
        <v>240</v>
      </c>
      <c r="DS3070" s="5" t="s">
        <v>240</v>
      </c>
      <c r="DV3070" s="5" t="s">
        <v>813</v>
      </c>
      <c r="DW3070" s="5" t="s">
        <v>562</v>
      </c>
      <c r="HO3070" s="5" t="s">
        <v>312</v>
      </c>
    </row>
    <row r="3071" spans="1:240" x14ac:dyDescent="0.4">
      <c r="A3071" s="5">
        <v>4775</v>
      </c>
      <c r="B3071" s="5">
        <v>1</v>
      </c>
      <c r="C3071" s="5">
        <v>1</v>
      </c>
      <c r="D3071" s="5" t="s">
        <v>810</v>
      </c>
      <c r="E3071" s="5" t="s">
        <v>245</v>
      </c>
      <c r="F3071" s="5" t="s">
        <v>254</v>
      </c>
      <c r="G3071" s="5" t="s">
        <v>240</v>
      </c>
      <c r="H3071" s="6" t="s">
        <v>2404</v>
      </c>
      <c r="I3071" s="5" t="s">
        <v>809</v>
      </c>
      <c r="J3071" s="8">
        <f>794</f>
        <v>794</v>
      </c>
      <c r="K3071" s="5" t="s">
        <v>308</v>
      </c>
      <c r="L3071" s="7">
        <f>1</f>
        <v>1</v>
      </c>
      <c r="M3071" s="7">
        <f>1</f>
        <v>1</v>
      </c>
      <c r="N3071" s="5" t="s">
        <v>242</v>
      </c>
      <c r="O3071" s="5">
        <v>1</v>
      </c>
      <c r="P3071" s="5" t="s">
        <v>294</v>
      </c>
      <c r="Q3071" s="5" t="s">
        <v>3678</v>
      </c>
      <c r="R3071" s="5" t="s">
        <v>240</v>
      </c>
      <c r="S3071" s="5" t="s">
        <v>240</v>
      </c>
      <c r="T3071" s="5" t="s">
        <v>243</v>
      </c>
      <c r="U3071" s="5" t="s">
        <v>244</v>
      </c>
      <c r="V3071" s="5" t="s">
        <v>240</v>
      </c>
      <c r="W3071" s="5" t="s">
        <v>240</v>
      </c>
      <c r="X3071" s="5" t="s">
        <v>240</v>
      </c>
      <c r="Y3071" s="5" t="s">
        <v>240</v>
      </c>
      <c r="Z3071" s="6" t="s">
        <v>298</v>
      </c>
      <c r="AA3071" s="6" t="s">
        <v>240</v>
      </c>
      <c r="AB3071" s="6" t="s">
        <v>240</v>
      </c>
      <c r="AC3071" s="5" t="s">
        <v>240</v>
      </c>
      <c r="AD3071" s="6" t="s">
        <v>240</v>
      </c>
      <c r="AE3071" s="6" t="s">
        <v>299</v>
      </c>
      <c r="AF3071" s="5" t="s">
        <v>248</v>
      </c>
      <c r="AG3071" s="5" t="s">
        <v>249</v>
      </c>
      <c r="AH3071" s="5" t="s">
        <v>240</v>
      </c>
      <c r="AI3071" s="5" t="s">
        <v>240</v>
      </c>
      <c r="AJ3071" s="5" t="s">
        <v>240</v>
      </c>
      <c r="AK3071" s="5" t="s">
        <v>240</v>
      </c>
      <c r="AL3071" s="5" t="s">
        <v>240</v>
      </c>
      <c r="AM3071" s="5" t="s">
        <v>240</v>
      </c>
      <c r="AN3071" s="5" t="s">
        <v>240</v>
      </c>
      <c r="AO3071" s="5" t="s">
        <v>240</v>
      </c>
      <c r="AP3071" s="6" t="s">
        <v>240</v>
      </c>
      <c r="AQ3071" s="6" t="s">
        <v>240</v>
      </c>
      <c r="AR3071" s="6" t="s">
        <v>240</v>
      </c>
      <c r="AS3071" s="6" t="s">
        <v>240</v>
      </c>
      <c r="AT3071" s="5" t="s">
        <v>240</v>
      </c>
      <c r="AU3071" s="5" t="s">
        <v>729</v>
      </c>
      <c r="AV3071" s="5" t="s">
        <v>729</v>
      </c>
      <c r="AW3071" s="5" t="s">
        <v>251</v>
      </c>
      <c r="AX3071" s="5" t="s">
        <v>252</v>
      </c>
      <c r="AY3071" s="5" t="s">
        <v>253</v>
      </c>
      <c r="AZ3071" s="5" t="s">
        <v>240</v>
      </c>
      <c r="BA3071" s="5" t="s">
        <v>255</v>
      </c>
      <c r="BB3071" s="5" t="s">
        <v>731</v>
      </c>
      <c r="BD3071" s="5" t="s">
        <v>240</v>
      </c>
      <c r="BF3071" s="5" t="s">
        <v>732</v>
      </c>
      <c r="BG3071" s="6" t="s">
        <v>733</v>
      </c>
      <c r="BH3071" s="5" t="s">
        <v>734</v>
      </c>
      <c r="BI3071" s="5" t="s">
        <v>734</v>
      </c>
      <c r="BJ3071" s="5" t="s">
        <v>240</v>
      </c>
      <c r="BK3071" s="7">
        <f>1</f>
        <v>1</v>
      </c>
      <c r="BL3071" s="7">
        <f>1</f>
        <v>1</v>
      </c>
      <c r="BM3071" s="5" t="s">
        <v>258</v>
      </c>
      <c r="BN3071" s="5" t="s">
        <v>259</v>
      </c>
      <c r="BO3071" s="5" t="s">
        <v>240</v>
      </c>
      <c r="BP3071" s="5" t="s">
        <v>240</v>
      </c>
      <c r="BQ3071" s="5" t="s">
        <v>240</v>
      </c>
      <c r="BR3071" s="5" t="s">
        <v>240</v>
      </c>
      <c r="BS3071" s="5" t="s">
        <v>240</v>
      </c>
      <c r="BT3071" s="5" t="s">
        <v>240</v>
      </c>
      <c r="BU3071" s="5" t="s">
        <v>240</v>
      </c>
      <c r="BV3071" s="5" t="s">
        <v>240</v>
      </c>
      <c r="BW3071" s="6" t="s">
        <v>240</v>
      </c>
      <c r="BX3071" s="5" t="s">
        <v>240</v>
      </c>
      <c r="BY3071" s="5" t="s">
        <v>240</v>
      </c>
      <c r="BZ3071" s="5" t="s">
        <v>240</v>
      </c>
      <c r="CA3071" s="5" t="s">
        <v>259</v>
      </c>
      <c r="CB3071" s="5" t="s">
        <v>240</v>
      </c>
      <c r="CC3071" s="5" t="s">
        <v>240</v>
      </c>
      <c r="CD3071" s="5" t="s">
        <v>240</v>
      </c>
      <c r="CE3071" s="5" t="s">
        <v>240</v>
      </c>
      <c r="CF3071" s="5" t="s">
        <v>240</v>
      </c>
      <c r="CG3071" s="5" t="s">
        <v>304</v>
      </c>
      <c r="CH3071" s="5" t="s">
        <v>305</v>
      </c>
      <c r="CI3071" s="5" t="s">
        <v>240</v>
      </c>
      <c r="CK3071" s="5" t="s">
        <v>3681</v>
      </c>
      <c r="CL3071" s="6" t="s">
        <v>261</v>
      </c>
      <c r="CM3071" s="5" t="s">
        <v>262</v>
      </c>
      <c r="CN3071" s="5" t="s">
        <v>263</v>
      </c>
      <c r="CO3071" s="5" t="s">
        <v>264</v>
      </c>
      <c r="CP3071" s="5" t="s">
        <v>240</v>
      </c>
      <c r="CQ3071" s="5">
        <v>0</v>
      </c>
      <c r="CR3071" s="5" t="s">
        <v>735</v>
      </c>
      <c r="CS3071" s="5" t="s">
        <v>307</v>
      </c>
      <c r="CT3071" s="5" t="s">
        <v>307</v>
      </c>
      <c r="CU3071" s="5" t="s">
        <v>260</v>
      </c>
      <c r="CV3071" s="5" t="s">
        <v>612</v>
      </c>
      <c r="CW3071" s="8">
        <f>1</f>
        <v>1</v>
      </c>
      <c r="CX3071" s="7">
        <f>1</f>
        <v>1</v>
      </c>
      <c r="CY3071" s="7">
        <f>0</f>
        <v>0</v>
      </c>
      <c r="DA3071" s="7">
        <f>1</f>
        <v>1</v>
      </c>
      <c r="DB3071" s="7" t="s">
        <v>240</v>
      </c>
      <c r="DC3071" s="5" t="s">
        <v>240</v>
      </c>
      <c r="DD3071" s="5" t="s">
        <v>240</v>
      </c>
      <c r="DE3071" s="5" t="s">
        <v>240</v>
      </c>
      <c r="DF3071" s="5" t="s">
        <v>240</v>
      </c>
      <c r="DG3071" s="7">
        <f>0</f>
        <v>0</v>
      </c>
      <c r="DI3071" s="5" t="s">
        <v>240</v>
      </c>
      <c r="DJ3071" s="5" t="s">
        <v>240</v>
      </c>
      <c r="DK3071" s="5" t="s">
        <v>240</v>
      </c>
      <c r="DL3071" s="5" t="s">
        <v>240</v>
      </c>
      <c r="DM3071" s="5" t="s">
        <v>240</v>
      </c>
      <c r="DN3071" s="5" t="s">
        <v>240</v>
      </c>
      <c r="DO3071" s="7" t="s">
        <v>240</v>
      </c>
      <c r="DP3071" s="5" t="s">
        <v>240</v>
      </c>
      <c r="DQ3071" s="5" t="s">
        <v>240</v>
      </c>
      <c r="DR3071" s="5" t="s">
        <v>731</v>
      </c>
      <c r="DS3071" s="5" t="s">
        <v>731</v>
      </c>
      <c r="DT3071" s="5" t="s">
        <v>240</v>
      </c>
      <c r="DU3071" s="5" t="s">
        <v>240</v>
      </c>
      <c r="DV3071" s="5" t="s">
        <v>3683</v>
      </c>
      <c r="DW3071" s="5" t="s">
        <v>682</v>
      </c>
      <c r="DX3071" s="5" t="s">
        <v>240</v>
      </c>
      <c r="DY3071" s="5" t="s">
        <v>240</v>
      </c>
      <c r="DZ3071" s="5" t="s">
        <v>240</v>
      </c>
      <c r="EA3071" s="5" t="s">
        <v>240</v>
      </c>
      <c r="EB3071" s="5" t="s">
        <v>240</v>
      </c>
      <c r="EC3071" s="5" t="s">
        <v>240</v>
      </c>
      <c r="ED3071" s="5" t="s">
        <v>240</v>
      </c>
      <c r="EE3071" s="5" t="s">
        <v>240</v>
      </c>
      <c r="EF3071" s="5" t="s">
        <v>240</v>
      </c>
      <c r="EG3071" s="5" t="s">
        <v>240</v>
      </c>
      <c r="EH3071" s="5" t="s">
        <v>240</v>
      </c>
      <c r="EI3071" s="5" t="s">
        <v>240</v>
      </c>
      <c r="EJ3071" s="5" t="s">
        <v>240</v>
      </c>
      <c r="EK3071" s="5" t="s">
        <v>240</v>
      </c>
      <c r="EL3071" s="5" t="s">
        <v>240</v>
      </c>
      <c r="EM3071" s="5" t="s">
        <v>240</v>
      </c>
      <c r="EN3071" s="5" t="s">
        <v>240</v>
      </c>
      <c r="EO3071" s="5" t="s">
        <v>240</v>
      </c>
      <c r="EP3071" s="5" t="s">
        <v>240</v>
      </c>
      <c r="EQ3071" s="5" t="s">
        <v>240</v>
      </c>
      <c r="ER3071" s="5" t="s">
        <v>240</v>
      </c>
      <c r="ES3071" s="5" t="s">
        <v>240</v>
      </c>
      <c r="ET3071" s="5" t="s">
        <v>240</v>
      </c>
      <c r="EU3071" s="5" t="s">
        <v>240</v>
      </c>
      <c r="EV3071" s="5" t="s">
        <v>240</v>
      </c>
      <c r="EW3071" s="5" t="s">
        <v>240</v>
      </c>
      <c r="EX3071" s="5" t="s">
        <v>240</v>
      </c>
      <c r="EY3071" s="5" t="s">
        <v>240</v>
      </c>
      <c r="EZ3071" s="5" t="s">
        <v>240</v>
      </c>
      <c r="FA3071" s="5" t="s">
        <v>240</v>
      </c>
      <c r="FB3071" s="5" t="s">
        <v>240</v>
      </c>
      <c r="FC3071" s="5" t="s">
        <v>240</v>
      </c>
      <c r="FD3071" s="5" t="s">
        <v>240</v>
      </c>
      <c r="FE3071" s="5" t="s">
        <v>240</v>
      </c>
      <c r="FF3071" s="5" t="s">
        <v>240</v>
      </c>
      <c r="FG3071" s="5" t="s">
        <v>240</v>
      </c>
      <c r="FH3071" s="5" t="s">
        <v>240</v>
      </c>
      <c r="FI3071" s="5" t="s">
        <v>240</v>
      </c>
      <c r="FJ3071" s="5" t="s">
        <v>240</v>
      </c>
      <c r="FK3071" s="5" t="s">
        <v>240</v>
      </c>
      <c r="FL3071" s="5" t="s">
        <v>240</v>
      </c>
      <c r="FM3071" s="5" t="s">
        <v>240</v>
      </c>
      <c r="FN3071" s="5" t="s">
        <v>240</v>
      </c>
      <c r="FO3071" s="5" t="s">
        <v>240</v>
      </c>
      <c r="FP3071" s="5" t="s">
        <v>240</v>
      </c>
      <c r="FQ3071" s="5" t="s">
        <v>240</v>
      </c>
      <c r="FR3071" s="5" t="s">
        <v>240</v>
      </c>
      <c r="FS3071" s="5" t="s">
        <v>240</v>
      </c>
      <c r="FT3071" s="5" t="s">
        <v>240</v>
      </c>
      <c r="FU3071" s="5" t="s">
        <v>240</v>
      </c>
      <c r="FV3071" s="5" t="s">
        <v>240</v>
      </c>
      <c r="FW3071" s="5" t="s">
        <v>240</v>
      </c>
      <c r="FX3071" s="5" t="s">
        <v>240</v>
      </c>
      <c r="FY3071" s="5" t="s">
        <v>240</v>
      </c>
      <c r="FZ3071" s="5" t="s">
        <v>240</v>
      </c>
      <c r="GA3071" s="5" t="s">
        <v>240</v>
      </c>
      <c r="GB3071" s="5" t="s">
        <v>240</v>
      </c>
      <c r="GC3071" s="5" t="s">
        <v>240</v>
      </c>
      <c r="GD3071" s="5" t="s">
        <v>240</v>
      </c>
      <c r="GE3071" s="5" t="s">
        <v>240</v>
      </c>
      <c r="GF3071" s="5" t="s">
        <v>240</v>
      </c>
      <c r="GG3071" s="5" t="s">
        <v>240</v>
      </c>
      <c r="GH3071" s="5" t="s">
        <v>240</v>
      </c>
      <c r="GI3071" s="5" t="s">
        <v>240</v>
      </c>
      <c r="GJ3071" s="5" t="s">
        <v>240</v>
      </c>
      <c r="GK3071" s="5" t="s">
        <v>240</v>
      </c>
      <c r="GL3071" s="5" t="s">
        <v>240</v>
      </c>
      <c r="GM3071" s="5" t="s">
        <v>240</v>
      </c>
      <c r="GN3071" s="5" t="s">
        <v>240</v>
      </c>
      <c r="GO3071" s="5" t="s">
        <v>240</v>
      </c>
      <c r="GP3071" s="5" t="s">
        <v>240</v>
      </c>
      <c r="GQ3071" s="5" t="s">
        <v>240</v>
      </c>
      <c r="GR3071" s="5" t="s">
        <v>240</v>
      </c>
      <c r="GS3071" s="5" t="s">
        <v>240</v>
      </c>
      <c r="GT3071" s="5" t="s">
        <v>240</v>
      </c>
      <c r="GU3071" s="5" t="s">
        <v>240</v>
      </c>
      <c r="GV3071" s="5" t="s">
        <v>240</v>
      </c>
      <c r="GW3071" s="5" t="s">
        <v>240</v>
      </c>
      <c r="GX3071" s="5" t="s">
        <v>240</v>
      </c>
      <c r="GY3071" s="5" t="s">
        <v>240</v>
      </c>
      <c r="GZ3071" s="5" t="s">
        <v>240</v>
      </c>
      <c r="HA3071" s="5" t="s">
        <v>240</v>
      </c>
      <c r="HB3071" s="5" t="s">
        <v>240</v>
      </c>
      <c r="HC3071" s="5" t="s">
        <v>240</v>
      </c>
      <c r="HD3071" s="5" t="s">
        <v>240</v>
      </c>
      <c r="HE3071" s="5" t="s">
        <v>240</v>
      </c>
      <c r="HF3071" s="5" t="s">
        <v>240</v>
      </c>
      <c r="HG3071" s="5" t="s">
        <v>240</v>
      </c>
      <c r="HH3071" s="5" t="s">
        <v>240</v>
      </c>
      <c r="HI3071" s="5" t="s">
        <v>240</v>
      </c>
      <c r="HJ3071" s="5" t="s">
        <v>240</v>
      </c>
      <c r="HK3071" s="5" t="s">
        <v>240</v>
      </c>
      <c r="HL3071" s="5" t="s">
        <v>240</v>
      </c>
      <c r="HM3071" s="5" t="s">
        <v>240</v>
      </c>
      <c r="HN3071" s="5" t="s">
        <v>240</v>
      </c>
      <c r="HO3071" s="5" t="s">
        <v>312</v>
      </c>
      <c r="HP3071" s="5" t="s">
        <v>240</v>
      </c>
      <c r="HQ3071" s="5" t="s">
        <v>240</v>
      </c>
      <c r="HR3071" s="5" t="s">
        <v>240</v>
      </c>
      <c r="HS3071" s="5" t="s">
        <v>240</v>
      </c>
      <c r="HT3071" s="5" t="s">
        <v>240</v>
      </c>
      <c r="HU3071" s="5" t="s">
        <v>240</v>
      </c>
      <c r="HV3071" s="5" t="s">
        <v>240</v>
      </c>
      <c r="HW3071" s="5" t="s">
        <v>240</v>
      </c>
      <c r="HX3071" s="5" t="s">
        <v>240</v>
      </c>
      <c r="HY3071" s="5" t="s">
        <v>240</v>
      </c>
      <c r="HZ3071" s="5" t="s">
        <v>240</v>
      </c>
      <c r="IA3071" s="5" t="s">
        <v>240</v>
      </c>
      <c r="IB3071" s="5" t="s">
        <v>240</v>
      </c>
      <c r="IC3071" s="5" t="s">
        <v>240</v>
      </c>
      <c r="ID3071" s="5" t="s">
        <v>240</v>
      </c>
      <c r="IE3071" s="5" t="s">
        <v>240</v>
      </c>
      <c r="IF3071" s="5" t="s">
        <v>240</v>
      </c>
    </row>
    <row r="3072" spans="1:240" x14ac:dyDescent="0.4">
      <c r="A3072" s="5">
        <v>4776</v>
      </c>
      <c r="B3072" s="5">
        <v>1</v>
      </c>
      <c r="C3072" s="5">
        <v>1</v>
      </c>
      <c r="D3072" s="5" t="s">
        <v>810</v>
      </c>
      <c r="E3072" s="5" t="s">
        <v>245</v>
      </c>
      <c r="F3072" s="5" t="s">
        <v>254</v>
      </c>
      <c r="G3072" s="5" t="s">
        <v>240</v>
      </c>
      <c r="H3072" s="6" t="s">
        <v>2402</v>
      </c>
      <c r="I3072" s="5" t="s">
        <v>809</v>
      </c>
      <c r="J3072" s="8">
        <f>863</f>
        <v>863</v>
      </c>
      <c r="K3072" s="5" t="s">
        <v>308</v>
      </c>
      <c r="L3072" s="7">
        <f>1</f>
        <v>1</v>
      </c>
      <c r="M3072" s="7">
        <f>1</f>
        <v>1</v>
      </c>
      <c r="N3072" s="5" t="s">
        <v>242</v>
      </c>
      <c r="O3072" s="5">
        <v>1</v>
      </c>
      <c r="P3072" s="5" t="s">
        <v>294</v>
      </c>
      <c r="Q3072" s="5" t="s">
        <v>3678</v>
      </c>
      <c r="R3072" s="5" t="s">
        <v>240</v>
      </c>
      <c r="S3072" s="5" t="s">
        <v>240</v>
      </c>
      <c r="T3072" s="5" t="s">
        <v>243</v>
      </c>
      <c r="U3072" s="5" t="s">
        <v>244</v>
      </c>
      <c r="V3072" s="5" t="s">
        <v>240</v>
      </c>
      <c r="W3072" s="5" t="s">
        <v>240</v>
      </c>
      <c r="X3072" s="5" t="s">
        <v>240</v>
      </c>
      <c r="Y3072" s="5" t="s">
        <v>240</v>
      </c>
      <c r="Z3072" s="6" t="s">
        <v>298</v>
      </c>
      <c r="AA3072" s="6" t="s">
        <v>240</v>
      </c>
      <c r="AB3072" s="6" t="s">
        <v>240</v>
      </c>
      <c r="AC3072" s="5" t="s">
        <v>240</v>
      </c>
      <c r="AD3072" s="6" t="s">
        <v>240</v>
      </c>
      <c r="AE3072" s="6" t="s">
        <v>299</v>
      </c>
      <c r="AF3072" s="5" t="s">
        <v>248</v>
      </c>
      <c r="AG3072" s="5" t="s">
        <v>249</v>
      </c>
      <c r="AH3072" s="5" t="s">
        <v>240</v>
      </c>
      <c r="AI3072" s="5" t="s">
        <v>240</v>
      </c>
      <c r="AJ3072" s="5" t="s">
        <v>240</v>
      </c>
      <c r="AK3072" s="5" t="s">
        <v>240</v>
      </c>
      <c r="AL3072" s="5" t="s">
        <v>240</v>
      </c>
      <c r="AM3072" s="5" t="s">
        <v>240</v>
      </c>
      <c r="AN3072" s="5" t="s">
        <v>240</v>
      </c>
      <c r="AO3072" s="5" t="s">
        <v>240</v>
      </c>
      <c r="AP3072" s="6" t="s">
        <v>240</v>
      </c>
      <c r="AQ3072" s="6" t="s">
        <v>240</v>
      </c>
      <c r="AR3072" s="6" t="s">
        <v>240</v>
      </c>
      <c r="AS3072" s="6" t="s">
        <v>240</v>
      </c>
      <c r="AT3072" s="5" t="s">
        <v>240</v>
      </c>
      <c r="AU3072" s="5" t="s">
        <v>729</v>
      </c>
      <c r="AV3072" s="5" t="s">
        <v>729</v>
      </c>
      <c r="AW3072" s="5" t="s">
        <v>251</v>
      </c>
      <c r="AX3072" s="5" t="s">
        <v>252</v>
      </c>
      <c r="AY3072" s="5" t="s">
        <v>253</v>
      </c>
      <c r="AZ3072" s="5" t="s">
        <v>240</v>
      </c>
      <c r="BA3072" s="5" t="s">
        <v>255</v>
      </c>
      <c r="BB3072" s="5" t="s">
        <v>731</v>
      </c>
      <c r="BD3072" s="5" t="s">
        <v>240</v>
      </c>
      <c r="BF3072" s="5" t="s">
        <v>732</v>
      </c>
      <c r="BG3072" s="6" t="s">
        <v>733</v>
      </c>
      <c r="BH3072" s="5" t="s">
        <v>734</v>
      </c>
      <c r="BI3072" s="5" t="s">
        <v>734</v>
      </c>
      <c r="BJ3072" s="5" t="s">
        <v>240</v>
      </c>
      <c r="BK3072" s="7">
        <f>1</f>
        <v>1</v>
      </c>
      <c r="BL3072" s="7">
        <f>1</f>
        <v>1</v>
      </c>
      <c r="BM3072" s="5" t="s">
        <v>258</v>
      </c>
      <c r="BN3072" s="5" t="s">
        <v>259</v>
      </c>
      <c r="BO3072" s="5" t="s">
        <v>240</v>
      </c>
      <c r="BP3072" s="5" t="s">
        <v>240</v>
      </c>
      <c r="BQ3072" s="5" t="s">
        <v>240</v>
      </c>
      <c r="BR3072" s="5" t="s">
        <v>240</v>
      </c>
      <c r="BS3072" s="5" t="s">
        <v>240</v>
      </c>
      <c r="BT3072" s="5" t="s">
        <v>240</v>
      </c>
      <c r="BU3072" s="5" t="s">
        <v>240</v>
      </c>
      <c r="BV3072" s="5" t="s">
        <v>240</v>
      </c>
      <c r="BW3072" s="6" t="s">
        <v>240</v>
      </c>
      <c r="BX3072" s="5" t="s">
        <v>240</v>
      </c>
      <c r="BY3072" s="5" t="s">
        <v>240</v>
      </c>
      <c r="BZ3072" s="5" t="s">
        <v>240</v>
      </c>
      <c r="CA3072" s="5" t="s">
        <v>259</v>
      </c>
      <c r="CB3072" s="5" t="s">
        <v>240</v>
      </c>
      <c r="CC3072" s="5" t="s">
        <v>240</v>
      </c>
      <c r="CD3072" s="5" t="s">
        <v>240</v>
      </c>
      <c r="CE3072" s="5" t="s">
        <v>240</v>
      </c>
      <c r="CF3072" s="5" t="s">
        <v>240</v>
      </c>
      <c r="CG3072" s="5" t="s">
        <v>304</v>
      </c>
      <c r="CH3072" s="5" t="s">
        <v>305</v>
      </c>
      <c r="CI3072" s="5" t="s">
        <v>240</v>
      </c>
      <c r="CK3072" s="5" t="s">
        <v>3681</v>
      </c>
      <c r="CL3072" s="6" t="s">
        <v>261</v>
      </c>
      <c r="CM3072" s="5" t="s">
        <v>262</v>
      </c>
      <c r="CN3072" s="5" t="s">
        <v>263</v>
      </c>
      <c r="CO3072" s="5" t="s">
        <v>264</v>
      </c>
      <c r="CP3072" s="5" t="s">
        <v>240</v>
      </c>
      <c r="CQ3072" s="5">
        <v>0</v>
      </c>
      <c r="CR3072" s="5" t="s">
        <v>735</v>
      </c>
      <c r="CS3072" s="5" t="s">
        <v>307</v>
      </c>
      <c r="CT3072" s="5" t="s">
        <v>307</v>
      </c>
      <c r="CU3072" s="5" t="s">
        <v>260</v>
      </c>
      <c r="CV3072" s="5" t="s">
        <v>612</v>
      </c>
      <c r="CW3072" s="8">
        <f>1</f>
        <v>1</v>
      </c>
      <c r="CX3072" s="7">
        <f>1</f>
        <v>1</v>
      </c>
      <c r="CY3072" s="7">
        <f>0</f>
        <v>0</v>
      </c>
      <c r="DA3072" s="7">
        <f>1</f>
        <v>1</v>
      </c>
      <c r="DB3072" s="7" t="s">
        <v>240</v>
      </c>
      <c r="DC3072" s="5" t="s">
        <v>240</v>
      </c>
      <c r="DD3072" s="5" t="s">
        <v>240</v>
      </c>
      <c r="DE3072" s="5" t="s">
        <v>240</v>
      </c>
      <c r="DF3072" s="5" t="s">
        <v>240</v>
      </c>
      <c r="DG3072" s="7">
        <f>0</f>
        <v>0</v>
      </c>
      <c r="DI3072" s="5" t="s">
        <v>240</v>
      </c>
      <c r="DJ3072" s="5" t="s">
        <v>240</v>
      </c>
      <c r="DK3072" s="5" t="s">
        <v>240</v>
      </c>
      <c r="DL3072" s="5" t="s">
        <v>240</v>
      </c>
      <c r="DM3072" s="5" t="s">
        <v>240</v>
      </c>
      <c r="DN3072" s="5" t="s">
        <v>240</v>
      </c>
      <c r="DO3072" s="7" t="s">
        <v>240</v>
      </c>
      <c r="DP3072" s="5" t="s">
        <v>240</v>
      </c>
      <c r="DQ3072" s="5" t="s">
        <v>240</v>
      </c>
      <c r="DR3072" s="5" t="s">
        <v>731</v>
      </c>
      <c r="DS3072" s="5" t="s">
        <v>731</v>
      </c>
      <c r="DT3072" s="5" t="s">
        <v>240</v>
      </c>
      <c r="DU3072" s="5" t="s">
        <v>240</v>
      </c>
      <c r="DV3072" s="5" t="s">
        <v>3683</v>
      </c>
      <c r="DW3072" s="5" t="s">
        <v>674</v>
      </c>
      <c r="DX3072" s="5" t="s">
        <v>240</v>
      </c>
      <c r="DY3072" s="5" t="s">
        <v>240</v>
      </c>
      <c r="DZ3072" s="5" t="s">
        <v>240</v>
      </c>
      <c r="EA3072" s="5" t="s">
        <v>240</v>
      </c>
      <c r="EB3072" s="5" t="s">
        <v>240</v>
      </c>
      <c r="EC3072" s="5" t="s">
        <v>240</v>
      </c>
      <c r="ED3072" s="5" t="s">
        <v>240</v>
      </c>
      <c r="EE3072" s="5" t="s">
        <v>240</v>
      </c>
      <c r="EF3072" s="5" t="s">
        <v>240</v>
      </c>
      <c r="EG3072" s="5" t="s">
        <v>240</v>
      </c>
      <c r="EH3072" s="5" t="s">
        <v>240</v>
      </c>
      <c r="EI3072" s="5" t="s">
        <v>240</v>
      </c>
      <c r="EJ3072" s="5" t="s">
        <v>240</v>
      </c>
      <c r="EK3072" s="5" t="s">
        <v>240</v>
      </c>
      <c r="EL3072" s="5" t="s">
        <v>240</v>
      </c>
      <c r="EM3072" s="5" t="s">
        <v>240</v>
      </c>
      <c r="EN3072" s="5" t="s">
        <v>240</v>
      </c>
      <c r="EO3072" s="5" t="s">
        <v>240</v>
      </c>
      <c r="EP3072" s="5" t="s">
        <v>240</v>
      </c>
      <c r="EQ3072" s="5" t="s">
        <v>240</v>
      </c>
      <c r="ER3072" s="5" t="s">
        <v>240</v>
      </c>
      <c r="ES3072" s="5" t="s">
        <v>240</v>
      </c>
      <c r="ET3072" s="5" t="s">
        <v>240</v>
      </c>
      <c r="EU3072" s="5" t="s">
        <v>240</v>
      </c>
      <c r="EV3072" s="5" t="s">
        <v>240</v>
      </c>
      <c r="EW3072" s="5" t="s">
        <v>240</v>
      </c>
      <c r="EX3072" s="5" t="s">
        <v>240</v>
      </c>
      <c r="EY3072" s="5" t="s">
        <v>240</v>
      </c>
      <c r="EZ3072" s="5" t="s">
        <v>240</v>
      </c>
      <c r="FA3072" s="5" t="s">
        <v>240</v>
      </c>
      <c r="FB3072" s="5" t="s">
        <v>240</v>
      </c>
      <c r="FC3072" s="5" t="s">
        <v>240</v>
      </c>
      <c r="FD3072" s="5" t="s">
        <v>240</v>
      </c>
      <c r="FE3072" s="5" t="s">
        <v>240</v>
      </c>
      <c r="FF3072" s="5" t="s">
        <v>240</v>
      </c>
      <c r="FG3072" s="5" t="s">
        <v>240</v>
      </c>
      <c r="FH3072" s="5" t="s">
        <v>240</v>
      </c>
      <c r="FI3072" s="5" t="s">
        <v>240</v>
      </c>
      <c r="FJ3072" s="5" t="s">
        <v>240</v>
      </c>
      <c r="FK3072" s="5" t="s">
        <v>240</v>
      </c>
      <c r="FL3072" s="5" t="s">
        <v>240</v>
      </c>
      <c r="FM3072" s="5" t="s">
        <v>240</v>
      </c>
      <c r="FN3072" s="5" t="s">
        <v>240</v>
      </c>
      <c r="FO3072" s="5" t="s">
        <v>240</v>
      </c>
      <c r="FP3072" s="5" t="s">
        <v>240</v>
      </c>
      <c r="FQ3072" s="5" t="s">
        <v>240</v>
      </c>
      <c r="FR3072" s="5" t="s">
        <v>240</v>
      </c>
      <c r="FS3072" s="5" t="s">
        <v>240</v>
      </c>
      <c r="FT3072" s="5" t="s">
        <v>240</v>
      </c>
      <c r="FU3072" s="5" t="s">
        <v>240</v>
      </c>
      <c r="FV3072" s="5" t="s">
        <v>240</v>
      </c>
      <c r="FW3072" s="5" t="s">
        <v>240</v>
      </c>
      <c r="FX3072" s="5" t="s">
        <v>240</v>
      </c>
      <c r="FY3072" s="5" t="s">
        <v>240</v>
      </c>
      <c r="FZ3072" s="5" t="s">
        <v>240</v>
      </c>
      <c r="GA3072" s="5" t="s">
        <v>240</v>
      </c>
      <c r="GB3072" s="5" t="s">
        <v>240</v>
      </c>
      <c r="GC3072" s="5" t="s">
        <v>240</v>
      </c>
      <c r="GD3072" s="5" t="s">
        <v>240</v>
      </c>
      <c r="GE3072" s="5" t="s">
        <v>240</v>
      </c>
      <c r="GF3072" s="5" t="s">
        <v>240</v>
      </c>
      <c r="GG3072" s="5" t="s">
        <v>240</v>
      </c>
      <c r="GH3072" s="5" t="s">
        <v>240</v>
      </c>
      <c r="GI3072" s="5" t="s">
        <v>240</v>
      </c>
      <c r="GJ3072" s="5" t="s">
        <v>240</v>
      </c>
      <c r="GK3072" s="5" t="s">
        <v>240</v>
      </c>
      <c r="GL3072" s="5" t="s">
        <v>240</v>
      </c>
      <c r="GM3072" s="5" t="s">
        <v>240</v>
      </c>
      <c r="GN3072" s="5" t="s">
        <v>240</v>
      </c>
      <c r="GO3072" s="5" t="s">
        <v>240</v>
      </c>
      <c r="GP3072" s="5" t="s">
        <v>240</v>
      </c>
      <c r="GQ3072" s="5" t="s">
        <v>240</v>
      </c>
      <c r="GR3072" s="5" t="s">
        <v>240</v>
      </c>
      <c r="GS3072" s="5" t="s">
        <v>240</v>
      </c>
      <c r="GT3072" s="5" t="s">
        <v>240</v>
      </c>
      <c r="GU3072" s="5" t="s">
        <v>240</v>
      </c>
      <c r="GV3072" s="5" t="s">
        <v>240</v>
      </c>
      <c r="GW3072" s="5" t="s">
        <v>240</v>
      </c>
      <c r="GX3072" s="5" t="s">
        <v>240</v>
      </c>
      <c r="GY3072" s="5" t="s">
        <v>240</v>
      </c>
      <c r="GZ3072" s="5" t="s">
        <v>240</v>
      </c>
      <c r="HA3072" s="5" t="s">
        <v>240</v>
      </c>
      <c r="HB3072" s="5" t="s">
        <v>240</v>
      </c>
      <c r="HC3072" s="5" t="s">
        <v>240</v>
      </c>
      <c r="HD3072" s="5" t="s">
        <v>240</v>
      </c>
      <c r="HE3072" s="5" t="s">
        <v>240</v>
      </c>
      <c r="HF3072" s="5" t="s">
        <v>240</v>
      </c>
      <c r="HG3072" s="5" t="s">
        <v>240</v>
      </c>
      <c r="HH3072" s="5" t="s">
        <v>240</v>
      </c>
      <c r="HI3072" s="5" t="s">
        <v>240</v>
      </c>
      <c r="HJ3072" s="5" t="s">
        <v>240</v>
      </c>
      <c r="HK3072" s="5" t="s">
        <v>240</v>
      </c>
      <c r="HL3072" s="5" t="s">
        <v>240</v>
      </c>
      <c r="HM3072" s="5" t="s">
        <v>240</v>
      </c>
      <c r="HN3072" s="5" t="s">
        <v>240</v>
      </c>
      <c r="HO3072" s="5" t="s">
        <v>312</v>
      </c>
      <c r="HP3072" s="5" t="s">
        <v>240</v>
      </c>
      <c r="HQ3072" s="5" t="s">
        <v>240</v>
      </c>
      <c r="HR3072" s="5" t="s">
        <v>240</v>
      </c>
      <c r="HS3072" s="5" t="s">
        <v>240</v>
      </c>
      <c r="HT3072" s="5" t="s">
        <v>240</v>
      </c>
      <c r="HU3072" s="5" t="s">
        <v>240</v>
      </c>
      <c r="HV3072" s="5" t="s">
        <v>240</v>
      </c>
      <c r="HW3072" s="5" t="s">
        <v>240</v>
      </c>
      <c r="HX3072" s="5" t="s">
        <v>240</v>
      </c>
      <c r="HY3072" s="5" t="s">
        <v>240</v>
      </c>
      <c r="HZ3072" s="5" t="s">
        <v>240</v>
      </c>
      <c r="IA3072" s="5" t="s">
        <v>240</v>
      </c>
      <c r="IB3072" s="5" t="s">
        <v>240</v>
      </c>
      <c r="IC3072" s="5" t="s">
        <v>240</v>
      </c>
      <c r="ID3072" s="5" t="s">
        <v>240</v>
      </c>
      <c r="IE3072" s="5" t="s">
        <v>240</v>
      </c>
      <c r="IF3072" s="5" t="s">
        <v>240</v>
      </c>
    </row>
    <row r="3073" spans="1:240" x14ac:dyDescent="0.4">
      <c r="A3073" s="5">
        <v>4777</v>
      </c>
      <c r="B3073" s="5">
        <v>1</v>
      </c>
      <c r="C3073" s="5">
        <v>1</v>
      </c>
      <c r="D3073" s="5" t="s">
        <v>810</v>
      </c>
      <c r="E3073" s="5" t="s">
        <v>245</v>
      </c>
      <c r="F3073" s="5" t="s">
        <v>254</v>
      </c>
      <c r="G3073" s="5" t="s">
        <v>240</v>
      </c>
      <c r="H3073" s="6" t="s">
        <v>2400</v>
      </c>
      <c r="I3073" s="5" t="s">
        <v>809</v>
      </c>
      <c r="J3073" s="8">
        <f>196</f>
        <v>196</v>
      </c>
      <c r="K3073" s="5" t="s">
        <v>308</v>
      </c>
      <c r="L3073" s="7">
        <f>1</f>
        <v>1</v>
      </c>
      <c r="M3073" s="7">
        <f>1</f>
        <v>1</v>
      </c>
      <c r="N3073" s="5" t="s">
        <v>242</v>
      </c>
      <c r="O3073" s="5">
        <v>1</v>
      </c>
      <c r="P3073" s="5" t="s">
        <v>294</v>
      </c>
      <c r="Q3073" s="5" t="s">
        <v>3678</v>
      </c>
      <c r="R3073" s="5" t="s">
        <v>240</v>
      </c>
      <c r="S3073" s="5" t="s">
        <v>240</v>
      </c>
      <c r="T3073" s="5" t="s">
        <v>243</v>
      </c>
      <c r="U3073" s="5" t="s">
        <v>244</v>
      </c>
      <c r="V3073" s="5" t="s">
        <v>240</v>
      </c>
      <c r="W3073" s="5" t="s">
        <v>240</v>
      </c>
      <c r="X3073" s="5" t="s">
        <v>240</v>
      </c>
      <c r="Y3073" s="5" t="s">
        <v>240</v>
      </c>
      <c r="Z3073" s="6" t="s">
        <v>298</v>
      </c>
      <c r="AA3073" s="6" t="s">
        <v>240</v>
      </c>
      <c r="AB3073" s="6" t="s">
        <v>240</v>
      </c>
      <c r="AC3073" s="5" t="s">
        <v>240</v>
      </c>
      <c r="AD3073" s="6" t="s">
        <v>240</v>
      </c>
      <c r="AE3073" s="6" t="s">
        <v>299</v>
      </c>
      <c r="AF3073" s="5" t="s">
        <v>248</v>
      </c>
      <c r="AG3073" s="5" t="s">
        <v>249</v>
      </c>
      <c r="AH3073" s="5" t="s">
        <v>240</v>
      </c>
      <c r="AI3073" s="5" t="s">
        <v>240</v>
      </c>
      <c r="AJ3073" s="5" t="s">
        <v>240</v>
      </c>
      <c r="AK3073" s="5" t="s">
        <v>240</v>
      </c>
      <c r="AL3073" s="5" t="s">
        <v>240</v>
      </c>
      <c r="AM3073" s="5" t="s">
        <v>240</v>
      </c>
      <c r="AN3073" s="5" t="s">
        <v>240</v>
      </c>
      <c r="AO3073" s="5" t="s">
        <v>240</v>
      </c>
      <c r="AP3073" s="6" t="s">
        <v>240</v>
      </c>
      <c r="AQ3073" s="6" t="s">
        <v>240</v>
      </c>
      <c r="AR3073" s="6" t="s">
        <v>240</v>
      </c>
      <c r="AS3073" s="6" t="s">
        <v>240</v>
      </c>
      <c r="AT3073" s="5" t="s">
        <v>240</v>
      </c>
      <c r="AU3073" s="5" t="s">
        <v>729</v>
      </c>
      <c r="AV3073" s="5" t="s">
        <v>729</v>
      </c>
      <c r="AW3073" s="5" t="s">
        <v>251</v>
      </c>
      <c r="AX3073" s="5" t="s">
        <v>252</v>
      </c>
      <c r="AY3073" s="5" t="s">
        <v>253</v>
      </c>
      <c r="AZ3073" s="5" t="s">
        <v>240</v>
      </c>
      <c r="BA3073" s="5" t="s">
        <v>255</v>
      </c>
      <c r="BB3073" s="5" t="s">
        <v>731</v>
      </c>
      <c r="BD3073" s="5" t="s">
        <v>240</v>
      </c>
      <c r="BF3073" s="5" t="s">
        <v>732</v>
      </c>
      <c r="BG3073" s="6" t="s">
        <v>733</v>
      </c>
      <c r="BH3073" s="5" t="s">
        <v>734</v>
      </c>
      <c r="BI3073" s="5" t="s">
        <v>734</v>
      </c>
      <c r="BJ3073" s="5" t="s">
        <v>240</v>
      </c>
      <c r="BK3073" s="7">
        <f>1</f>
        <v>1</v>
      </c>
      <c r="BL3073" s="7">
        <f>1</f>
        <v>1</v>
      </c>
      <c r="BM3073" s="5" t="s">
        <v>258</v>
      </c>
      <c r="BN3073" s="5" t="s">
        <v>259</v>
      </c>
      <c r="BO3073" s="5" t="s">
        <v>240</v>
      </c>
      <c r="BP3073" s="5" t="s">
        <v>240</v>
      </c>
      <c r="BQ3073" s="5" t="s">
        <v>240</v>
      </c>
      <c r="BR3073" s="5" t="s">
        <v>240</v>
      </c>
      <c r="BS3073" s="5" t="s">
        <v>240</v>
      </c>
      <c r="BT3073" s="5" t="s">
        <v>240</v>
      </c>
      <c r="BU3073" s="5" t="s">
        <v>240</v>
      </c>
      <c r="BV3073" s="5" t="s">
        <v>240</v>
      </c>
      <c r="BW3073" s="6" t="s">
        <v>240</v>
      </c>
      <c r="BX3073" s="5" t="s">
        <v>240</v>
      </c>
      <c r="BY3073" s="5" t="s">
        <v>240</v>
      </c>
      <c r="BZ3073" s="5" t="s">
        <v>240</v>
      </c>
      <c r="CA3073" s="5" t="s">
        <v>259</v>
      </c>
      <c r="CB3073" s="5" t="s">
        <v>240</v>
      </c>
      <c r="CC3073" s="5" t="s">
        <v>240</v>
      </c>
      <c r="CD3073" s="5" t="s">
        <v>240</v>
      </c>
      <c r="CE3073" s="5" t="s">
        <v>240</v>
      </c>
      <c r="CF3073" s="5" t="s">
        <v>240</v>
      </c>
      <c r="CG3073" s="5" t="s">
        <v>304</v>
      </c>
      <c r="CH3073" s="5" t="s">
        <v>305</v>
      </c>
      <c r="CI3073" s="5" t="s">
        <v>240</v>
      </c>
      <c r="CK3073" s="5" t="s">
        <v>3681</v>
      </c>
      <c r="CL3073" s="6" t="s">
        <v>261</v>
      </c>
      <c r="CM3073" s="5" t="s">
        <v>262</v>
      </c>
      <c r="CN3073" s="5" t="s">
        <v>263</v>
      </c>
      <c r="CO3073" s="5" t="s">
        <v>264</v>
      </c>
      <c r="CP3073" s="5" t="s">
        <v>240</v>
      </c>
      <c r="CQ3073" s="5">
        <v>0</v>
      </c>
      <c r="CR3073" s="5" t="s">
        <v>735</v>
      </c>
      <c r="CS3073" s="5" t="s">
        <v>307</v>
      </c>
      <c r="CT3073" s="5" t="s">
        <v>307</v>
      </c>
      <c r="CU3073" s="5" t="s">
        <v>260</v>
      </c>
      <c r="CV3073" s="5" t="s">
        <v>612</v>
      </c>
      <c r="CW3073" s="8">
        <f>1</f>
        <v>1</v>
      </c>
      <c r="CX3073" s="7">
        <f>1</f>
        <v>1</v>
      </c>
      <c r="CY3073" s="7">
        <f>0</f>
        <v>0</v>
      </c>
      <c r="DA3073" s="7">
        <f>1</f>
        <v>1</v>
      </c>
      <c r="DB3073" s="7" t="s">
        <v>240</v>
      </c>
      <c r="DC3073" s="5" t="s">
        <v>240</v>
      </c>
      <c r="DD3073" s="5" t="s">
        <v>240</v>
      </c>
      <c r="DE3073" s="5" t="s">
        <v>240</v>
      </c>
      <c r="DF3073" s="5" t="s">
        <v>240</v>
      </c>
      <c r="DG3073" s="7">
        <f>0</f>
        <v>0</v>
      </c>
      <c r="DI3073" s="5" t="s">
        <v>240</v>
      </c>
      <c r="DJ3073" s="5" t="s">
        <v>240</v>
      </c>
      <c r="DK3073" s="5" t="s">
        <v>240</v>
      </c>
      <c r="DL3073" s="5" t="s">
        <v>240</v>
      </c>
      <c r="DM3073" s="5" t="s">
        <v>240</v>
      </c>
      <c r="DN3073" s="5" t="s">
        <v>240</v>
      </c>
      <c r="DO3073" s="7" t="s">
        <v>240</v>
      </c>
      <c r="DP3073" s="5" t="s">
        <v>240</v>
      </c>
      <c r="DQ3073" s="5" t="s">
        <v>240</v>
      </c>
      <c r="DR3073" s="5" t="s">
        <v>731</v>
      </c>
      <c r="DS3073" s="5" t="s">
        <v>731</v>
      </c>
      <c r="DT3073" s="5" t="s">
        <v>240</v>
      </c>
      <c r="DU3073" s="5" t="s">
        <v>240</v>
      </c>
      <c r="DV3073" s="5" t="s">
        <v>3683</v>
      </c>
      <c r="DW3073" s="5" t="s">
        <v>666</v>
      </c>
      <c r="DX3073" s="5" t="s">
        <v>240</v>
      </c>
      <c r="DY3073" s="5" t="s">
        <v>240</v>
      </c>
      <c r="DZ3073" s="5" t="s">
        <v>240</v>
      </c>
      <c r="EA3073" s="5" t="s">
        <v>240</v>
      </c>
      <c r="EB3073" s="5" t="s">
        <v>240</v>
      </c>
      <c r="EC3073" s="5" t="s">
        <v>240</v>
      </c>
      <c r="ED3073" s="5" t="s">
        <v>240</v>
      </c>
      <c r="EE3073" s="5" t="s">
        <v>240</v>
      </c>
      <c r="EF3073" s="5" t="s">
        <v>240</v>
      </c>
      <c r="EG3073" s="5" t="s">
        <v>240</v>
      </c>
      <c r="EH3073" s="5" t="s">
        <v>240</v>
      </c>
      <c r="EI3073" s="5" t="s">
        <v>240</v>
      </c>
      <c r="EJ3073" s="5" t="s">
        <v>240</v>
      </c>
      <c r="EK3073" s="5" t="s">
        <v>240</v>
      </c>
      <c r="EL3073" s="5" t="s">
        <v>240</v>
      </c>
      <c r="EM3073" s="5" t="s">
        <v>240</v>
      </c>
      <c r="EN3073" s="5" t="s">
        <v>240</v>
      </c>
      <c r="EO3073" s="5" t="s">
        <v>240</v>
      </c>
      <c r="EP3073" s="5" t="s">
        <v>240</v>
      </c>
      <c r="EQ3073" s="5" t="s">
        <v>240</v>
      </c>
      <c r="ER3073" s="5" t="s">
        <v>240</v>
      </c>
      <c r="ES3073" s="5" t="s">
        <v>240</v>
      </c>
      <c r="ET3073" s="5" t="s">
        <v>240</v>
      </c>
      <c r="EU3073" s="5" t="s">
        <v>240</v>
      </c>
      <c r="EV3073" s="5" t="s">
        <v>240</v>
      </c>
      <c r="EW3073" s="5" t="s">
        <v>240</v>
      </c>
      <c r="EX3073" s="5" t="s">
        <v>240</v>
      </c>
      <c r="EY3073" s="5" t="s">
        <v>240</v>
      </c>
      <c r="EZ3073" s="5" t="s">
        <v>240</v>
      </c>
      <c r="FA3073" s="5" t="s">
        <v>240</v>
      </c>
      <c r="FB3073" s="5" t="s">
        <v>240</v>
      </c>
      <c r="FC3073" s="5" t="s">
        <v>240</v>
      </c>
      <c r="FD3073" s="5" t="s">
        <v>240</v>
      </c>
      <c r="FE3073" s="5" t="s">
        <v>240</v>
      </c>
      <c r="FF3073" s="5" t="s">
        <v>240</v>
      </c>
      <c r="FG3073" s="5" t="s">
        <v>240</v>
      </c>
      <c r="FH3073" s="5" t="s">
        <v>240</v>
      </c>
      <c r="FI3073" s="5" t="s">
        <v>240</v>
      </c>
      <c r="FJ3073" s="5" t="s">
        <v>240</v>
      </c>
      <c r="FK3073" s="5" t="s">
        <v>240</v>
      </c>
      <c r="FL3073" s="5" t="s">
        <v>240</v>
      </c>
      <c r="FM3073" s="5" t="s">
        <v>240</v>
      </c>
      <c r="FN3073" s="5" t="s">
        <v>240</v>
      </c>
      <c r="FO3073" s="5" t="s">
        <v>240</v>
      </c>
      <c r="FP3073" s="5" t="s">
        <v>240</v>
      </c>
      <c r="FQ3073" s="5" t="s">
        <v>240</v>
      </c>
      <c r="FR3073" s="5" t="s">
        <v>240</v>
      </c>
      <c r="FS3073" s="5" t="s">
        <v>240</v>
      </c>
      <c r="FT3073" s="5" t="s">
        <v>240</v>
      </c>
      <c r="FU3073" s="5" t="s">
        <v>240</v>
      </c>
      <c r="FV3073" s="5" t="s">
        <v>240</v>
      </c>
      <c r="FW3073" s="5" t="s">
        <v>240</v>
      </c>
      <c r="FX3073" s="5" t="s">
        <v>240</v>
      </c>
      <c r="FY3073" s="5" t="s">
        <v>240</v>
      </c>
      <c r="FZ3073" s="5" t="s">
        <v>240</v>
      </c>
      <c r="GA3073" s="5" t="s">
        <v>240</v>
      </c>
      <c r="GB3073" s="5" t="s">
        <v>240</v>
      </c>
      <c r="GC3073" s="5" t="s">
        <v>240</v>
      </c>
      <c r="GD3073" s="5" t="s">
        <v>240</v>
      </c>
      <c r="GE3073" s="5" t="s">
        <v>240</v>
      </c>
      <c r="GF3073" s="5" t="s">
        <v>240</v>
      </c>
      <c r="GG3073" s="5" t="s">
        <v>240</v>
      </c>
      <c r="GH3073" s="5" t="s">
        <v>240</v>
      </c>
      <c r="GI3073" s="5" t="s">
        <v>240</v>
      </c>
      <c r="GJ3073" s="5" t="s">
        <v>240</v>
      </c>
      <c r="GK3073" s="5" t="s">
        <v>240</v>
      </c>
      <c r="GL3073" s="5" t="s">
        <v>240</v>
      </c>
      <c r="GM3073" s="5" t="s">
        <v>240</v>
      </c>
      <c r="GN3073" s="5" t="s">
        <v>240</v>
      </c>
      <c r="GO3073" s="5" t="s">
        <v>240</v>
      </c>
      <c r="GP3073" s="5" t="s">
        <v>240</v>
      </c>
      <c r="GQ3073" s="5" t="s">
        <v>240</v>
      </c>
      <c r="GR3073" s="5" t="s">
        <v>240</v>
      </c>
      <c r="GS3073" s="5" t="s">
        <v>240</v>
      </c>
      <c r="GT3073" s="5" t="s">
        <v>240</v>
      </c>
      <c r="GU3073" s="5" t="s">
        <v>240</v>
      </c>
      <c r="GV3073" s="5" t="s">
        <v>240</v>
      </c>
      <c r="GW3073" s="5" t="s">
        <v>240</v>
      </c>
      <c r="GX3073" s="5" t="s">
        <v>240</v>
      </c>
      <c r="GY3073" s="5" t="s">
        <v>240</v>
      </c>
      <c r="GZ3073" s="5" t="s">
        <v>240</v>
      </c>
      <c r="HA3073" s="5" t="s">
        <v>240</v>
      </c>
      <c r="HB3073" s="5" t="s">
        <v>240</v>
      </c>
      <c r="HC3073" s="5" t="s">
        <v>240</v>
      </c>
      <c r="HD3073" s="5" t="s">
        <v>240</v>
      </c>
      <c r="HE3073" s="5" t="s">
        <v>240</v>
      </c>
      <c r="HF3073" s="5" t="s">
        <v>240</v>
      </c>
      <c r="HG3073" s="5" t="s">
        <v>240</v>
      </c>
      <c r="HH3073" s="5" t="s">
        <v>240</v>
      </c>
      <c r="HI3073" s="5" t="s">
        <v>240</v>
      </c>
      <c r="HJ3073" s="5" t="s">
        <v>240</v>
      </c>
      <c r="HK3073" s="5" t="s">
        <v>240</v>
      </c>
      <c r="HL3073" s="5" t="s">
        <v>240</v>
      </c>
      <c r="HM3073" s="5" t="s">
        <v>240</v>
      </c>
      <c r="HN3073" s="5" t="s">
        <v>240</v>
      </c>
      <c r="HO3073" s="5" t="s">
        <v>312</v>
      </c>
      <c r="HP3073" s="5" t="s">
        <v>240</v>
      </c>
      <c r="HQ3073" s="5" t="s">
        <v>240</v>
      </c>
      <c r="HR3073" s="5" t="s">
        <v>240</v>
      </c>
      <c r="HS3073" s="5" t="s">
        <v>240</v>
      </c>
      <c r="HT3073" s="5" t="s">
        <v>240</v>
      </c>
      <c r="HU3073" s="5" t="s">
        <v>240</v>
      </c>
      <c r="HV3073" s="5" t="s">
        <v>240</v>
      </c>
      <c r="HW3073" s="5" t="s">
        <v>240</v>
      </c>
      <c r="HX3073" s="5" t="s">
        <v>240</v>
      </c>
      <c r="HY3073" s="5" t="s">
        <v>240</v>
      </c>
      <c r="HZ3073" s="5" t="s">
        <v>240</v>
      </c>
      <c r="IA3073" s="5" t="s">
        <v>240</v>
      </c>
      <c r="IB3073" s="5" t="s">
        <v>240</v>
      </c>
      <c r="IC3073" s="5" t="s">
        <v>240</v>
      </c>
      <c r="ID3073" s="5" t="s">
        <v>240</v>
      </c>
      <c r="IE3073" s="5" t="s">
        <v>240</v>
      </c>
      <c r="IF3073" s="5" t="s">
        <v>240</v>
      </c>
    </row>
    <row r="3074" spans="1:240" x14ac:dyDescent="0.4">
      <c r="A3074" s="5">
        <v>4778</v>
      </c>
      <c r="B3074" s="5">
        <v>1</v>
      </c>
      <c r="C3074" s="5">
        <v>1</v>
      </c>
      <c r="D3074" s="5" t="s">
        <v>810</v>
      </c>
      <c r="E3074" s="5" t="s">
        <v>245</v>
      </c>
      <c r="F3074" s="5" t="s">
        <v>254</v>
      </c>
      <c r="G3074" s="5" t="s">
        <v>240</v>
      </c>
      <c r="H3074" s="6" t="s">
        <v>4671</v>
      </c>
      <c r="I3074" s="5" t="s">
        <v>809</v>
      </c>
      <c r="J3074" s="8">
        <f>70</f>
        <v>70</v>
      </c>
      <c r="K3074" s="5" t="s">
        <v>308</v>
      </c>
      <c r="L3074" s="7">
        <f>1</f>
        <v>1</v>
      </c>
      <c r="M3074" s="7">
        <f>1</f>
        <v>1</v>
      </c>
      <c r="N3074" s="5" t="s">
        <v>242</v>
      </c>
      <c r="O3074" s="5">
        <v>1</v>
      </c>
      <c r="P3074" s="5" t="s">
        <v>294</v>
      </c>
      <c r="Q3074" s="5" t="s">
        <v>266</v>
      </c>
      <c r="R3074" s="5" t="s">
        <v>240</v>
      </c>
      <c r="S3074" s="5" t="s">
        <v>240</v>
      </c>
      <c r="T3074" s="5" t="s">
        <v>296</v>
      </c>
      <c r="U3074" s="5" t="s">
        <v>244</v>
      </c>
      <c r="V3074" s="5" t="s">
        <v>240</v>
      </c>
      <c r="Y3074" s="5" t="s">
        <v>240</v>
      </c>
      <c r="Z3074" s="6" t="s">
        <v>298</v>
      </c>
      <c r="AB3074" s="6" t="s">
        <v>240</v>
      </c>
      <c r="AE3074" s="6" t="s">
        <v>299</v>
      </c>
      <c r="AF3074" s="5" t="s">
        <v>248</v>
      </c>
      <c r="AG3074" s="5" t="s">
        <v>249</v>
      </c>
      <c r="AW3074" s="5" t="s">
        <v>251</v>
      </c>
      <c r="AX3074" s="5" t="s">
        <v>240</v>
      </c>
      <c r="AY3074" s="5" t="s">
        <v>253</v>
      </c>
      <c r="AZ3074" s="5" t="s">
        <v>240</v>
      </c>
      <c r="BA3074" s="5" t="s">
        <v>255</v>
      </c>
      <c r="BB3074" s="5" t="s">
        <v>240</v>
      </c>
      <c r="BD3074" s="5" t="s">
        <v>240</v>
      </c>
      <c r="BF3074" s="5" t="s">
        <v>301</v>
      </c>
      <c r="BG3074" s="6" t="s">
        <v>299</v>
      </c>
      <c r="BH3074" s="5" t="s">
        <v>302</v>
      </c>
      <c r="BI3074" s="5" t="s">
        <v>303</v>
      </c>
      <c r="BJ3074" s="5" t="s">
        <v>240</v>
      </c>
      <c r="BK3074" s="8">
        <f>0</f>
        <v>0</v>
      </c>
      <c r="BL3074" s="7">
        <f>0</f>
        <v>0</v>
      </c>
      <c r="BM3074" s="5" t="s">
        <v>258</v>
      </c>
      <c r="BN3074" s="5" t="s">
        <v>259</v>
      </c>
      <c r="CB3074" s="5" t="s">
        <v>240</v>
      </c>
      <c r="CC3074" s="5" t="s">
        <v>240</v>
      </c>
      <c r="CG3074" s="5" t="s">
        <v>304</v>
      </c>
      <c r="CH3074" s="5" t="s">
        <v>305</v>
      </c>
      <c r="CI3074" s="5" t="s">
        <v>240</v>
      </c>
      <c r="CL3074" s="6" t="s">
        <v>261</v>
      </c>
      <c r="CM3074" s="5" t="s">
        <v>240</v>
      </c>
      <c r="CN3074" s="5" t="s">
        <v>263</v>
      </c>
      <c r="CO3074" s="5" t="s">
        <v>240</v>
      </c>
      <c r="CP3074" s="5" t="s">
        <v>240</v>
      </c>
      <c r="CQ3074" s="5">
        <v>0</v>
      </c>
      <c r="CR3074" s="5" t="s">
        <v>306</v>
      </c>
      <c r="CS3074" s="5" t="s">
        <v>307</v>
      </c>
      <c r="CT3074" s="5" t="s">
        <v>307</v>
      </c>
      <c r="CU3074" s="5" t="s">
        <v>260</v>
      </c>
      <c r="CX3074" s="7">
        <f>1</f>
        <v>1</v>
      </c>
      <c r="CY3074" s="7">
        <f>0</f>
        <v>0</v>
      </c>
      <c r="DA3074" s="7">
        <f>0</f>
        <v>0</v>
      </c>
      <c r="DC3074" s="5" t="s">
        <v>812</v>
      </c>
      <c r="DD3074" s="5" t="s">
        <v>240</v>
      </c>
      <c r="DF3074" s="5" t="s">
        <v>812</v>
      </c>
      <c r="DG3074" s="7">
        <f>1721</f>
        <v>1721</v>
      </c>
      <c r="DI3074" s="5" t="s">
        <v>240</v>
      </c>
      <c r="DJ3074" s="5" t="s">
        <v>240</v>
      </c>
      <c r="DK3074" s="5" t="s">
        <v>240</v>
      </c>
      <c r="DL3074" s="5" t="s">
        <v>240</v>
      </c>
      <c r="DP3074" s="5" t="s">
        <v>240</v>
      </c>
      <c r="DQ3074" s="5" t="s">
        <v>240</v>
      </c>
      <c r="DR3074" s="5" t="s">
        <v>240</v>
      </c>
      <c r="DS3074" s="5" t="s">
        <v>240</v>
      </c>
      <c r="DV3074" s="5" t="s">
        <v>813</v>
      </c>
      <c r="DW3074" s="5" t="s">
        <v>578</v>
      </c>
      <c r="HO3074" s="5" t="s">
        <v>312</v>
      </c>
    </row>
    <row r="3075" spans="1:240" x14ac:dyDescent="0.4">
      <c r="A3075" s="5">
        <v>4779</v>
      </c>
      <c r="B3075" s="5">
        <v>1</v>
      </c>
      <c r="C3075" s="5">
        <v>1</v>
      </c>
      <c r="D3075" s="5" t="s">
        <v>810</v>
      </c>
      <c r="E3075" s="5" t="s">
        <v>245</v>
      </c>
      <c r="F3075" s="5" t="s">
        <v>254</v>
      </c>
      <c r="G3075" s="5" t="s">
        <v>240</v>
      </c>
      <c r="H3075" s="6" t="s">
        <v>2396</v>
      </c>
      <c r="I3075" s="5" t="s">
        <v>809</v>
      </c>
      <c r="J3075" s="8">
        <f>384</f>
        <v>384</v>
      </c>
      <c r="K3075" s="5" t="s">
        <v>308</v>
      </c>
      <c r="L3075" s="7">
        <f>1</f>
        <v>1</v>
      </c>
      <c r="M3075" s="7">
        <f>1</f>
        <v>1</v>
      </c>
      <c r="N3075" s="5" t="s">
        <v>242</v>
      </c>
      <c r="O3075" s="5">
        <v>1</v>
      </c>
      <c r="P3075" s="5" t="s">
        <v>294</v>
      </c>
      <c r="Q3075" s="5" t="s">
        <v>3678</v>
      </c>
      <c r="R3075" s="5" t="s">
        <v>240</v>
      </c>
      <c r="S3075" s="5" t="s">
        <v>240</v>
      </c>
      <c r="T3075" s="5" t="s">
        <v>243</v>
      </c>
      <c r="U3075" s="5" t="s">
        <v>244</v>
      </c>
      <c r="V3075" s="5" t="s">
        <v>240</v>
      </c>
      <c r="W3075" s="5" t="s">
        <v>240</v>
      </c>
      <c r="X3075" s="5" t="s">
        <v>240</v>
      </c>
      <c r="Y3075" s="5" t="s">
        <v>240</v>
      </c>
      <c r="Z3075" s="6" t="s">
        <v>298</v>
      </c>
      <c r="AA3075" s="6" t="s">
        <v>240</v>
      </c>
      <c r="AB3075" s="6" t="s">
        <v>240</v>
      </c>
      <c r="AC3075" s="5" t="s">
        <v>240</v>
      </c>
      <c r="AD3075" s="6" t="s">
        <v>240</v>
      </c>
      <c r="AE3075" s="6" t="s">
        <v>299</v>
      </c>
      <c r="AF3075" s="5" t="s">
        <v>248</v>
      </c>
      <c r="AG3075" s="5" t="s">
        <v>249</v>
      </c>
      <c r="AH3075" s="5" t="s">
        <v>240</v>
      </c>
      <c r="AI3075" s="5" t="s">
        <v>240</v>
      </c>
      <c r="AJ3075" s="5" t="s">
        <v>240</v>
      </c>
      <c r="AK3075" s="5" t="s">
        <v>240</v>
      </c>
      <c r="AL3075" s="5" t="s">
        <v>240</v>
      </c>
      <c r="AM3075" s="5" t="s">
        <v>240</v>
      </c>
      <c r="AN3075" s="5" t="s">
        <v>240</v>
      </c>
      <c r="AO3075" s="5" t="s">
        <v>240</v>
      </c>
      <c r="AP3075" s="6" t="s">
        <v>240</v>
      </c>
      <c r="AQ3075" s="6" t="s">
        <v>240</v>
      </c>
      <c r="AR3075" s="6" t="s">
        <v>240</v>
      </c>
      <c r="AS3075" s="6" t="s">
        <v>240</v>
      </c>
      <c r="AT3075" s="5" t="s">
        <v>240</v>
      </c>
      <c r="AU3075" s="5" t="s">
        <v>729</v>
      </c>
      <c r="AV3075" s="5" t="s">
        <v>729</v>
      </c>
      <c r="AW3075" s="5" t="s">
        <v>251</v>
      </c>
      <c r="AX3075" s="5" t="s">
        <v>252</v>
      </c>
      <c r="AY3075" s="5" t="s">
        <v>253</v>
      </c>
      <c r="AZ3075" s="5" t="s">
        <v>240</v>
      </c>
      <c r="BA3075" s="5" t="s">
        <v>255</v>
      </c>
      <c r="BB3075" s="5" t="s">
        <v>731</v>
      </c>
      <c r="BD3075" s="5" t="s">
        <v>240</v>
      </c>
      <c r="BF3075" s="5" t="s">
        <v>732</v>
      </c>
      <c r="BG3075" s="6" t="s">
        <v>733</v>
      </c>
      <c r="BH3075" s="5" t="s">
        <v>734</v>
      </c>
      <c r="BI3075" s="5" t="s">
        <v>734</v>
      </c>
      <c r="BJ3075" s="5" t="s">
        <v>240</v>
      </c>
      <c r="BK3075" s="7">
        <f>1</f>
        <v>1</v>
      </c>
      <c r="BL3075" s="7">
        <f>1</f>
        <v>1</v>
      </c>
      <c r="BM3075" s="5" t="s">
        <v>258</v>
      </c>
      <c r="BN3075" s="5" t="s">
        <v>259</v>
      </c>
      <c r="BO3075" s="5" t="s">
        <v>240</v>
      </c>
      <c r="BP3075" s="5" t="s">
        <v>240</v>
      </c>
      <c r="BQ3075" s="5" t="s">
        <v>240</v>
      </c>
      <c r="BR3075" s="5" t="s">
        <v>240</v>
      </c>
      <c r="BS3075" s="5" t="s">
        <v>240</v>
      </c>
      <c r="BT3075" s="5" t="s">
        <v>240</v>
      </c>
      <c r="BU3075" s="5" t="s">
        <v>240</v>
      </c>
      <c r="BV3075" s="5" t="s">
        <v>240</v>
      </c>
      <c r="BW3075" s="6" t="s">
        <v>240</v>
      </c>
      <c r="BX3075" s="5" t="s">
        <v>240</v>
      </c>
      <c r="BY3075" s="5" t="s">
        <v>240</v>
      </c>
      <c r="BZ3075" s="5" t="s">
        <v>240</v>
      </c>
      <c r="CA3075" s="5" t="s">
        <v>259</v>
      </c>
      <c r="CB3075" s="5" t="s">
        <v>240</v>
      </c>
      <c r="CC3075" s="5" t="s">
        <v>240</v>
      </c>
      <c r="CD3075" s="5" t="s">
        <v>240</v>
      </c>
      <c r="CE3075" s="5" t="s">
        <v>240</v>
      </c>
      <c r="CF3075" s="5" t="s">
        <v>240</v>
      </c>
      <c r="CG3075" s="5" t="s">
        <v>304</v>
      </c>
      <c r="CH3075" s="5" t="s">
        <v>305</v>
      </c>
      <c r="CI3075" s="5" t="s">
        <v>240</v>
      </c>
      <c r="CK3075" s="5" t="s">
        <v>3681</v>
      </c>
      <c r="CL3075" s="6" t="s">
        <v>261</v>
      </c>
      <c r="CM3075" s="5" t="s">
        <v>262</v>
      </c>
      <c r="CN3075" s="5" t="s">
        <v>263</v>
      </c>
      <c r="CO3075" s="5" t="s">
        <v>264</v>
      </c>
      <c r="CP3075" s="5" t="s">
        <v>240</v>
      </c>
      <c r="CQ3075" s="5">
        <v>0</v>
      </c>
      <c r="CR3075" s="5" t="s">
        <v>735</v>
      </c>
      <c r="CS3075" s="5" t="s">
        <v>307</v>
      </c>
      <c r="CT3075" s="5" t="s">
        <v>307</v>
      </c>
      <c r="CU3075" s="5" t="s">
        <v>260</v>
      </c>
      <c r="CV3075" s="5" t="s">
        <v>612</v>
      </c>
      <c r="CW3075" s="8">
        <f>1</f>
        <v>1</v>
      </c>
      <c r="CX3075" s="7">
        <f>1</f>
        <v>1</v>
      </c>
      <c r="CY3075" s="7">
        <f>0</f>
        <v>0</v>
      </c>
      <c r="DA3075" s="7">
        <f>1</f>
        <v>1</v>
      </c>
      <c r="DB3075" s="7" t="s">
        <v>240</v>
      </c>
      <c r="DC3075" s="5" t="s">
        <v>240</v>
      </c>
      <c r="DD3075" s="5" t="s">
        <v>240</v>
      </c>
      <c r="DE3075" s="5" t="s">
        <v>240</v>
      </c>
      <c r="DF3075" s="5" t="s">
        <v>240</v>
      </c>
      <c r="DG3075" s="7">
        <f>0</f>
        <v>0</v>
      </c>
      <c r="DI3075" s="5" t="s">
        <v>240</v>
      </c>
      <c r="DJ3075" s="5" t="s">
        <v>240</v>
      </c>
      <c r="DK3075" s="5" t="s">
        <v>240</v>
      </c>
      <c r="DL3075" s="5" t="s">
        <v>240</v>
      </c>
      <c r="DM3075" s="5" t="s">
        <v>240</v>
      </c>
      <c r="DN3075" s="5" t="s">
        <v>240</v>
      </c>
      <c r="DO3075" s="7" t="s">
        <v>240</v>
      </c>
      <c r="DP3075" s="5" t="s">
        <v>240</v>
      </c>
      <c r="DQ3075" s="5" t="s">
        <v>240</v>
      </c>
      <c r="DR3075" s="5" t="s">
        <v>731</v>
      </c>
      <c r="DS3075" s="5" t="s">
        <v>731</v>
      </c>
      <c r="DT3075" s="5" t="s">
        <v>240</v>
      </c>
      <c r="DU3075" s="5" t="s">
        <v>240</v>
      </c>
      <c r="DV3075" s="5" t="s">
        <v>3683</v>
      </c>
      <c r="DW3075" s="5" t="s">
        <v>249</v>
      </c>
      <c r="DX3075" s="5" t="s">
        <v>240</v>
      </c>
      <c r="DY3075" s="5" t="s">
        <v>240</v>
      </c>
      <c r="DZ3075" s="5" t="s">
        <v>240</v>
      </c>
      <c r="EA3075" s="5" t="s">
        <v>240</v>
      </c>
      <c r="EB3075" s="5" t="s">
        <v>240</v>
      </c>
      <c r="EC3075" s="5" t="s">
        <v>240</v>
      </c>
      <c r="ED3075" s="5" t="s">
        <v>240</v>
      </c>
      <c r="EE3075" s="5" t="s">
        <v>240</v>
      </c>
      <c r="EF3075" s="5" t="s">
        <v>240</v>
      </c>
      <c r="EG3075" s="5" t="s">
        <v>240</v>
      </c>
      <c r="EH3075" s="5" t="s">
        <v>240</v>
      </c>
      <c r="EI3075" s="5" t="s">
        <v>240</v>
      </c>
      <c r="EJ3075" s="5" t="s">
        <v>240</v>
      </c>
      <c r="EK3075" s="5" t="s">
        <v>240</v>
      </c>
      <c r="EL3075" s="5" t="s">
        <v>240</v>
      </c>
      <c r="EM3075" s="5" t="s">
        <v>240</v>
      </c>
      <c r="EN3075" s="5" t="s">
        <v>240</v>
      </c>
      <c r="EO3075" s="5" t="s">
        <v>240</v>
      </c>
      <c r="EP3075" s="5" t="s">
        <v>240</v>
      </c>
      <c r="EQ3075" s="5" t="s">
        <v>240</v>
      </c>
      <c r="ER3075" s="5" t="s">
        <v>240</v>
      </c>
      <c r="ES3075" s="5" t="s">
        <v>240</v>
      </c>
      <c r="ET3075" s="5" t="s">
        <v>240</v>
      </c>
      <c r="EU3075" s="5" t="s">
        <v>240</v>
      </c>
      <c r="EV3075" s="5" t="s">
        <v>240</v>
      </c>
      <c r="EW3075" s="5" t="s">
        <v>240</v>
      </c>
      <c r="EX3075" s="5" t="s">
        <v>240</v>
      </c>
      <c r="EY3075" s="5" t="s">
        <v>240</v>
      </c>
      <c r="EZ3075" s="5" t="s">
        <v>240</v>
      </c>
      <c r="FA3075" s="5" t="s">
        <v>240</v>
      </c>
      <c r="FB3075" s="5" t="s">
        <v>240</v>
      </c>
      <c r="FC3075" s="5" t="s">
        <v>240</v>
      </c>
      <c r="FD3075" s="5" t="s">
        <v>240</v>
      </c>
      <c r="FE3075" s="5" t="s">
        <v>240</v>
      </c>
      <c r="FF3075" s="5" t="s">
        <v>240</v>
      </c>
      <c r="FG3075" s="5" t="s">
        <v>240</v>
      </c>
      <c r="FH3075" s="5" t="s">
        <v>240</v>
      </c>
      <c r="FI3075" s="5" t="s">
        <v>240</v>
      </c>
      <c r="FJ3075" s="5" t="s">
        <v>240</v>
      </c>
      <c r="FK3075" s="5" t="s">
        <v>240</v>
      </c>
      <c r="FL3075" s="5" t="s">
        <v>240</v>
      </c>
      <c r="FM3075" s="5" t="s">
        <v>240</v>
      </c>
      <c r="FN3075" s="5" t="s">
        <v>240</v>
      </c>
      <c r="FO3075" s="5" t="s">
        <v>240</v>
      </c>
      <c r="FP3075" s="5" t="s">
        <v>240</v>
      </c>
      <c r="FQ3075" s="5" t="s">
        <v>240</v>
      </c>
      <c r="FR3075" s="5" t="s">
        <v>240</v>
      </c>
      <c r="FS3075" s="5" t="s">
        <v>240</v>
      </c>
      <c r="FT3075" s="5" t="s">
        <v>240</v>
      </c>
      <c r="FU3075" s="5" t="s">
        <v>240</v>
      </c>
      <c r="FV3075" s="5" t="s">
        <v>240</v>
      </c>
      <c r="FW3075" s="5" t="s">
        <v>240</v>
      </c>
      <c r="FX3075" s="5" t="s">
        <v>240</v>
      </c>
      <c r="FY3075" s="5" t="s">
        <v>240</v>
      </c>
      <c r="FZ3075" s="5" t="s">
        <v>240</v>
      </c>
      <c r="GA3075" s="5" t="s">
        <v>240</v>
      </c>
      <c r="GB3075" s="5" t="s">
        <v>240</v>
      </c>
      <c r="GC3075" s="5" t="s">
        <v>240</v>
      </c>
      <c r="GD3075" s="5" t="s">
        <v>240</v>
      </c>
      <c r="GE3075" s="5" t="s">
        <v>240</v>
      </c>
      <c r="GF3075" s="5" t="s">
        <v>240</v>
      </c>
      <c r="GG3075" s="5" t="s">
        <v>240</v>
      </c>
      <c r="GH3075" s="5" t="s">
        <v>240</v>
      </c>
      <c r="GI3075" s="5" t="s">
        <v>240</v>
      </c>
      <c r="GJ3075" s="5" t="s">
        <v>240</v>
      </c>
      <c r="GK3075" s="5" t="s">
        <v>240</v>
      </c>
      <c r="GL3075" s="5" t="s">
        <v>240</v>
      </c>
      <c r="GM3075" s="5" t="s">
        <v>240</v>
      </c>
      <c r="GN3075" s="5" t="s">
        <v>240</v>
      </c>
      <c r="GO3075" s="5" t="s">
        <v>240</v>
      </c>
      <c r="GP3075" s="5" t="s">
        <v>240</v>
      </c>
      <c r="GQ3075" s="5" t="s">
        <v>240</v>
      </c>
      <c r="GR3075" s="5" t="s">
        <v>240</v>
      </c>
      <c r="GS3075" s="5" t="s">
        <v>240</v>
      </c>
      <c r="GT3075" s="5" t="s">
        <v>240</v>
      </c>
      <c r="GU3075" s="5" t="s">
        <v>240</v>
      </c>
      <c r="GV3075" s="5" t="s">
        <v>240</v>
      </c>
      <c r="GW3075" s="5" t="s">
        <v>240</v>
      </c>
      <c r="GX3075" s="5" t="s">
        <v>240</v>
      </c>
      <c r="GY3075" s="5" t="s">
        <v>240</v>
      </c>
      <c r="GZ3075" s="5" t="s">
        <v>240</v>
      </c>
      <c r="HA3075" s="5" t="s">
        <v>240</v>
      </c>
      <c r="HB3075" s="5" t="s">
        <v>240</v>
      </c>
      <c r="HC3075" s="5" t="s">
        <v>240</v>
      </c>
      <c r="HD3075" s="5" t="s">
        <v>240</v>
      </c>
      <c r="HE3075" s="5" t="s">
        <v>240</v>
      </c>
      <c r="HF3075" s="5" t="s">
        <v>240</v>
      </c>
      <c r="HG3075" s="5" t="s">
        <v>240</v>
      </c>
      <c r="HH3075" s="5" t="s">
        <v>240</v>
      </c>
      <c r="HI3075" s="5" t="s">
        <v>240</v>
      </c>
      <c r="HJ3075" s="5" t="s">
        <v>240</v>
      </c>
      <c r="HK3075" s="5" t="s">
        <v>240</v>
      </c>
      <c r="HL3075" s="5" t="s">
        <v>240</v>
      </c>
      <c r="HM3075" s="5" t="s">
        <v>240</v>
      </c>
      <c r="HN3075" s="5" t="s">
        <v>240</v>
      </c>
      <c r="HO3075" s="5" t="s">
        <v>312</v>
      </c>
      <c r="HP3075" s="5" t="s">
        <v>240</v>
      </c>
      <c r="HQ3075" s="5" t="s">
        <v>240</v>
      </c>
      <c r="HR3075" s="5" t="s">
        <v>240</v>
      </c>
      <c r="HS3075" s="5" t="s">
        <v>240</v>
      </c>
      <c r="HT3075" s="5" t="s">
        <v>240</v>
      </c>
      <c r="HU3075" s="5" t="s">
        <v>240</v>
      </c>
      <c r="HV3075" s="5" t="s">
        <v>240</v>
      </c>
      <c r="HW3075" s="5" t="s">
        <v>240</v>
      </c>
      <c r="HX3075" s="5" t="s">
        <v>240</v>
      </c>
      <c r="HY3075" s="5" t="s">
        <v>240</v>
      </c>
      <c r="HZ3075" s="5" t="s">
        <v>240</v>
      </c>
      <c r="IA3075" s="5" t="s">
        <v>240</v>
      </c>
      <c r="IB3075" s="5" t="s">
        <v>240</v>
      </c>
      <c r="IC3075" s="5" t="s">
        <v>240</v>
      </c>
      <c r="ID3075" s="5" t="s">
        <v>240</v>
      </c>
      <c r="IE3075" s="5" t="s">
        <v>240</v>
      </c>
      <c r="IF3075" s="5" t="s">
        <v>240</v>
      </c>
    </row>
    <row r="3076" spans="1:240" x14ac:dyDescent="0.4">
      <c r="A3076" s="5">
        <v>4780</v>
      </c>
      <c r="B3076" s="5">
        <v>1</v>
      </c>
      <c r="C3076" s="5">
        <v>1</v>
      </c>
      <c r="D3076" s="5" t="s">
        <v>810</v>
      </c>
      <c r="E3076" s="5" t="s">
        <v>245</v>
      </c>
      <c r="F3076" s="5" t="s">
        <v>254</v>
      </c>
      <c r="G3076" s="5" t="s">
        <v>240</v>
      </c>
      <c r="H3076" s="6" t="s">
        <v>2394</v>
      </c>
      <c r="I3076" s="5" t="s">
        <v>809</v>
      </c>
      <c r="J3076" s="8">
        <f>179</f>
        <v>179</v>
      </c>
      <c r="K3076" s="5" t="s">
        <v>308</v>
      </c>
      <c r="L3076" s="7">
        <f>1</f>
        <v>1</v>
      </c>
      <c r="M3076" s="7">
        <f>1</f>
        <v>1</v>
      </c>
      <c r="N3076" s="5" t="s">
        <v>242</v>
      </c>
      <c r="O3076" s="5">
        <v>1</v>
      </c>
      <c r="P3076" s="5" t="s">
        <v>294</v>
      </c>
      <c r="Q3076" s="5" t="s">
        <v>266</v>
      </c>
      <c r="R3076" s="5" t="s">
        <v>240</v>
      </c>
      <c r="S3076" s="5" t="s">
        <v>240</v>
      </c>
      <c r="T3076" s="5" t="s">
        <v>296</v>
      </c>
      <c r="U3076" s="5" t="s">
        <v>244</v>
      </c>
      <c r="V3076" s="5" t="s">
        <v>240</v>
      </c>
      <c r="Y3076" s="5" t="s">
        <v>240</v>
      </c>
      <c r="Z3076" s="6" t="s">
        <v>298</v>
      </c>
      <c r="AB3076" s="6" t="s">
        <v>240</v>
      </c>
      <c r="AE3076" s="6" t="s">
        <v>299</v>
      </c>
      <c r="AF3076" s="5" t="s">
        <v>248</v>
      </c>
      <c r="AG3076" s="5" t="s">
        <v>249</v>
      </c>
      <c r="AW3076" s="5" t="s">
        <v>251</v>
      </c>
      <c r="AX3076" s="5" t="s">
        <v>240</v>
      </c>
      <c r="AY3076" s="5" t="s">
        <v>253</v>
      </c>
      <c r="AZ3076" s="5" t="s">
        <v>240</v>
      </c>
      <c r="BA3076" s="5" t="s">
        <v>255</v>
      </c>
      <c r="BB3076" s="5" t="s">
        <v>240</v>
      </c>
      <c r="BD3076" s="5" t="s">
        <v>240</v>
      </c>
      <c r="BF3076" s="5" t="s">
        <v>301</v>
      </c>
      <c r="BG3076" s="6" t="s">
        <v>299</v>
      </c>
      <c r="BH3076" s="5" t="s">
        <v>302</v>
      </c>
      <c r="BI3076" s="5" t="s">
        <v>303</v>
      </c>
      <c r="BJ3076" s="5" t="s">
        <v>240</v>
      </c>
      <c r="BK3076" s="8">
        <f>0</f>
        <v>0</v>
      </c>
      <c r="BL3076" s="7">
        <f>0</f>
        <v>0</v>
      </c>
      <c r="BM3076" s="5" t="s">
        <v>258</v>
      </c>
      <c r="BN3076" s="5" t="s">
        <v>259</v>
      </c>
      <c r="CB3076" s="5" t="s">
        <v>240</v>
      </c>
      <c r="CC3076" s="5" t="s">
        <v>240</v>
      </c>
      <c r="CG3076" s="5" t="s">
        <v>304</v>
      </c>
      <c r="CH3076" s="5" t="s">
        <v>305</v>
      </c>
      <c r="CI3076" s="5" t="s">
        <v>240</v>
      </c>
      <c r="CL3076" s="6" t="s">
        <v>261</v>
      </c>
      <c r="CM3076" s="5" t="s">
        <v>240</v>
      </c>
      <c r="CN3076" s="5" t="s">
        <v>263</v>
      </c>
      <c r="CO3076" s="5" t="s">
        <v>240</v>
      </c>
      <c r="CP3076" s="5" t="s">
        <v>240</v>
      </c>
      <c r="CQ3076" s="5">
        <v>0</v>
      </c>
      <c r="CR3076" s="5" t="s">
        <v>306</v>
      </c>
      <c r="CS3076" s="5" t="s">
        <v>307</v>
      </c>
      <c r="CT3076" s="5" t="s">
        <v>307</v>
      </c>
      <c r="CU3076" s="5" t="s">
        <v>260</v>
      </c>
      <c r="CX3076" s="7">
        <f>1</f>
        <v>1</v>
      </c>
      <c r="CY3076" s="7">
        <f>0</f>
        <v>0</v>
      </c>
      <c r="DA3076" s="7">
        <f>0</f>
        <v>0</v>
      </c>
      <c r="DC3076" s="5" t="s">
        <v>812</v>
      </c>
      <c r="DD3076" s="5" t="s">
        <v>240</v>
      </c>
      <c r="DF3076" s="5" t="s">
        <v>812</v>
      </c>
      <c r="DG3076" s="7">
        <f>264</f>
        <v>264</v>
      </c>
      <c r="DI3076" s="5" t="s">
        <v>240</v>
      </c>
      <c r="DJ3076" s="5" t="s">
        <v>240</v>
      </c>
      <c r="DK3076" s="5" t="s">
        <v>240</v>
      </c>
      <c r="DL3076" s="5" t="s">
        <v>240</v>
      </c>
      <c r="DP3076" s="5" t="s">
        <v>240</v>
      </c>
      <c r="DQ3076" s="5" t="s">
        <v>240</v>
      </c>
      <c r="DR3076" s="5" t="s">
        <v>240</v>
      </c>
      <c r="DS3076" s="5" t="s">
        <v>240</v>
      </c>
      <c r="DV3076" s="5" t="s">
        <v>813</v>
      </c>
      <c r="DW3076" s="5" t="s">
        <v>586</v>
      </c>
      <c r="HO3076" s="5" t="s">
        <v>312</v>
      </c>
    </row>
    <row r="3077" spans="1:240" x14ac:dyDescent="0.4">
      <c r="A3077" s="5">
        <v>4781</v>
      </c>
      <c r="B3077" s="5">
        <v>1</v>
      </c>
      <c r="C3077" s="5">
        <v>1</v>
      </c>
      <c r="D3077" s="5" t="s">
        <v>810</v>
      </c>
      <c r="E3077" s="5" t="s">
        <v>245</v>
      </c>
      <c r="F3077" s="5" t="s">
        <v>254</v>
      </c>
      <c r="G3077" s="5" t="s">
        <v>240</v>
      </c>
      <c r="H3077" s="6" t="s">
        <v>2392</v>
      </c>
      <c r="I3077" s="5" t="s">
        <v>809</v>
      </c>
      <c r="J3077" s="8">
        <f>366</f>
        <v>366</v>
      </c>
      <c r="K3077" s="5" t="s">
        <v>308</v>
      </c>
      <c r="L3077" s="7">
        <f>1</f>
        <v>1</v>
      </c>
      <c r="M3077" s="7">
        <f>1</f>
        <v>1</v>
      </c>
      <c r="N3077" s="5" t="s">
        <v>242</v>
      </c>
      <c r="O3077" s="5">
        <v>1</v>
      </c>
      <c r="P3077" s="5" t="s">
        <v>294</v>
      </c>
      <c r="Q3077" s="5" t="s">
        <v>3678</v>
      </c>
      <c r="R3077" s="5" t="s">
        <v>240</v>
      </c>
      <c r="S3077" s="5" t="s">
        <v>240</v>
      </c>
      <c r="T3077" s="5" t="s">
        <v>243</v>
      </c>
      <c r="U3077" s="5" t="s">
        <v>244</v>
      </c>
      <c r="V3077" s="5" t="s">
        <v>240</v>
      </c>
      <c r="W3077" s="5" t="s">
        <v>240</v>
      </c>
      <c r="X3077" s="5" t="s">
        <v>240</v>
      </c>
      <c r="Y3077" s="5" t="s">
        <v>240</v>
      </c>
      <c r="Z3077" s="6" t="s">
        <v>298</v>
      </c>
      <c r="AA3077" s="6" t="s">
        <v>240</v>
      </c>
      <c r="AB3077" s="6" t="s">
        <v>240</v>
      </c>
      <c r="AC3077" s="5" t="s">
        <v>240</v>
      </c>
      <c r="AD3077" s="6" t="s">
        <v>240</v>
      </c>
      <c r="AE3077" s="6" t="s">
        <v>299</v>
      </c>
      <c r="AF3077" s="5" t="s">
        <v>248</v>
      </c>
      <c r="AG3077" s="5" t="s">
        <v>249</v>
      </c>
      <c r="AH3077" s="5" t="s">
        <v>240</v>
      </c>
      <c r="AI3077" s="5" t="s">
        <v>240</v>
      </c>
      <c r="AJ3077" s="5" t="s">
        <v>240</v>
      </c>
      <c r="AK3077" s="5" t="s">
        <v>240</v>
      </c>
      <c r="AL3077" s="5" t="s">
        <v>240</v>
      </c>
      <c r="AM3077" s="5" t="s">
        <v>240</v>
      </c>
      <c r="AN3077" s="5" t="s">
        <v>240</v>
      </c>
      <c r="AO3077" s="5" t="s">
        <v>240</v>
      </c>
      <c r="AP3077" s="6" t="s">
        <v>240</v>
      </c>
      <c r="AQ3077" s="6" t="s">
        <v>240</v>
      </c>
      <c r="AR3077" s="6" t="s">
        <v>240</v>
      </c>
      <c r="AS3077" s="6" t="s">
        <v>240</v>
      </c>
      <c r="AT3077" s="5" t="s">
        <v>240</v>
      </c>
      <c r="AU3077" s="5" t="s">
        <v>729</v>
      </c>
      <c r="AV3077" s="5" t="s">
        <v>729</v>
      </c>
      <c r="AW3077" s="5" t="s">
        <v>251</v>
      </c>
      <c r="AX3077" s="5" t="s">
        <v>252</v>
      </c>
      <c r="AY3077" s="5" t="s">
        <v>253</v>
      </c>
      <c r="AZ3077" s="5" t="s">
        <v>240</v>
      </c>
      <c r="BA3077" s="5" t="s">
        <v>255</v>
      </c>
      <c r="BB3077" s="5" t="s">
        <v>731</v>
      </c>
      <c r="BD3077" s="5" t="s">
        <v>240</v>
      </c>
      <c r="BF3077" s="5" t="s">
        <v>732</v>
      </c>
      <c r="BG3077" s="6" t="s">
        <v>733</v>
      </c>
      <c r="BH3077" s="5" t="s">
        <v>734</v>
      </c>
      <c r="BI3077" s="5" t="s">
        <v>734</v>
      </c>
      <c r="BJ3077" s="5" t="s">
        <v>240</v>
      </c>
      <c r="BK3077" s="7">
        <f>1</f>
        <v>1</v>
      </c>
      <c r="BL3077" s="7">
        <f>1</f>
        <v>1</v>
      </c>
      <c r="BM3077" s="5" t="s">
        <v>258</v>
      </c>
      <c r="BN3077" s="5" t="s">
        <v>259</v>
      </c>
      <c r="BO3077" s="5" t="s">
        <v>240</v>
      </c>
      <c r="BP3077" s="5" t="s">
        <v>240</v>
      </c>
      <c r="BQ3077" s="5" t="s">
        <v>240</v>
      </c>
      <c r="BR3077" s="5" t="s">
        <v>240</v>
      </c>
      <c r="BS3077" s="5" t="s">
        <v>240</v>
      </c>
      <c r="BT3077" s="5" t="s">
        <v>240</v>
      </c>
      <c r="BU3077" s="5" t="s">
        <v>240</v>
      </c>
      <c r="BV3077" s="5" t="s">
        <v>240</v>
      </c>
      <c r="BW3077" s="6" t="s">
        <v>240</v>
      </c>
      <c r="BX3077" s="5" t="s">
        <v>240</v>
      </c>
      <c r="BY3077" s="5" t="s">
        <v>240</v>
      </c>
      <c r="BZ3077" s="5" t="s">
        <v>240</v>
      </c>
      <c r="CA3077" s="5" t="s">
        <v>259</v>
      </c>
      <c r="CB3077" s="5" t="s">
        <v>240</v>
      </c>
      <c r="CC3077" s="5" t="s">
        <v>240</v>
      </c>
      <c r="CD3077" s="5" t="s">
        <v>240</v>
      </c>
      <c r="CE3077" s="5" t="s">
        <v>240</v>
      </c>
      <c r="CF3077" s="5" t="s">
        <v>240</v>
      </c>
      <c r="CG3077" s="5" t="s">
        <v>304</v>
      </c>
      <c r="CH3077" s="5" t="s">
        <v>305</v>
      </c>
      <c r="CI3077" s="5" t="s">
        <v>240</v>
      </c>
      <c r="CK3077" s="5" t="s">
        <v>3681</v>
      </c>
      <c r="CL3077" s="6" t="s">
        <v>261</v>
      </c>
      <c r="CM3077" s="5" t="s">
        <v>262</v>
      </c>
      <c r="CN3077" s="5" t="s">
        <v>263</v>
      </c>
      <c r="CO3077" s="5" t="s">
        <v>264</v>
      </c>
      <c r="CP3077" s="5" t="s">
        <v>240</v>
      </c>
      <c r="CQ3077" s="5">
        <v>0</v>
      </c>
      <c r="CR3077" s="5" t="s">
        <v>735</v>
      </c>
      <c r="CS3077" s="5" t="s">
        <v>307</v>
      </c>
      <c r="CT3077" s="5" t="s">
        <v>307</v>
      </c>
      <c r="CU3077" s="5" t="s">
        <v>260</v>
      </c>
      <c r="CV3077" s="5" t="s">
        <v>612</v>
      </c>
      <c r="CW3077" s="8">
        <f>1</f>
        <v>1</v>
      </c>
      <c r="CX3077" s="7">
        <f>1</f>
        <v>1</v>
      </c>
      <c r="CY3077" s="7">
        <f>0</f>
        <v>0</v>
      </c>
      <c r="DA3077" s="7">
        <f>1</f>
        <v>1</v>
      </c>
      <c r="DB3077" s="7" t="s">
        <v>240</v>
      </c>
      <c r="DC3077" s="5" t="s">
        <v>240</v>
      </c>
      <c r="DD3077" s="5" t="s">
        <v>240</v>
      </c>
      <c r="DE3077" s="5" t="s">
        <v>240</v>
      </c>
      <c r="DF3077" s="5" t="s">
        <v>240</v>
      </c>
      <c r="DG3077" s="7">
        <f>0</f>
        <v>0</v>
      </c>
      <c r="DI3077" s="5" t="s">
        <v>240</v>
      </c>
      <c r="DJ3077" s="5" t="s">
        <v>240</v>
      </c>
      <c r="DK3077" s="5" t="s">
        <v>240</v>
      </c>
      <c r="DL3077" s="5" t="s">
        <v>240</v>
      </c>
      <c r="DM3077" s="5" t="s">
        <v>240</v>
      </c>
      <c r="DN3077" s="5" t="s">
        <v>240</v>
      </c>
      <c r="DO3077" s="7" t="s">
        <v>240</v>
      </c>
      <c r="DP3077" s="5" t="s">
        <v>240</v>
      </c>
      <c r="DQ3077" s="5" t="s">
        <v>240</v>
      </c>
      <c r="DR3077" s="5" t="s">
        <v>731</v>
      </c>
      <c r="DS3077" s="5" t="s">
        <v>731</v>
      </c>
      <c r="DT3077" s="5" t="s">
        <v>240</v>
      </c>
      <c r="DU3077" s="5" t="s">
        <v>240</v>
      </c>
      <c r="DV3077" s="5" t="s">
        <v>3683</v>
      </c>
      <c r="DW3077" s="5" t="s">
        <v>598</v>
      </c>
      <c r="DX3077" s="5" t="s">
        <v>240</v>
      </c>
      <c r="DY3077" s="5" t="s">
        <v>240</v>
      </c>
      <c r="DZ3077" s="5" t="s">
        <v>240</v>
      </c>
      <c r="EA3077" s="5" t="s">
        <v>240</v>
      </c>
      <c r="EB3077" s="5" t="s">
        <v>240</v>
      </c>
      <c r="EC3077" s="5" t="s">
        <v>240</v>
      </c>
      <c r="ED3077" s="5" t="s">
        <v>240</v>
      </c>
      <c r="EE3077" s="5" t="s">
        <v>240</v>
      </c>
      <c r="EF3077" s="5" t="s">
        <v>240</v>
      </c>
      <c r="EG3077" s="5" t="s">
        <v>240</v>
      </c>
      <c r="EH3077" s="5" t="s">
        <v>240</v>
      </c>
      <c r="EI3077" s="5" t="s">
        <v>240</v>
      </c>
      <c r="EJ3077" s="5" t="s">
        <v>240</v>
      </c>
      <c r="EK3077" s="5" t="s">
        <v>240</v>
      </c>
      <c r="EL3077" s="5" t="s">
        <v>240</v>
      </c>
      <c r="EM3077" s="5" t="s">
        <v>240</v>
      </c>
      <c r="EN3077" s="5" t="s">
        <v>240</v>
      </c>
      <c r="EO3077" s="5" t="s">
        <v>240</v>
      </c>
      <c r="EP3077" s="5" t="s">
        <v>240</v>
      </c>
      <c r="EQ3077" s="5" t="s">
        <v>240</v>
      </c>
      <c r="ER3077" s="5" t="s">
        <v>240</v>
      </c>
      <c r="ES3077" s="5" t="s">
        <v>240</v>
      </c>
      <c r="ET3077" s="5" t="s">
        <v>240</v>
      </c>
      <c r="EU3077" s="5" t="s">
        <v>240</v>
      </c>
      <c r="EV3077" s="5" t="s">
        <v>240</v>
      </c>
      <c r="EW3077" s="5" t="s">
        <v>240</v>
      </c>
      <c r="EX3077" s="5" t="s">
        <v>240</v>
      </c>
      <c r="EY3077" s="5" t="s">
        <v>240</v>
      </c>
      <c r="EZ3077" s="5" t="s">
        <v>240</v>
      </c>
      <c r="FA3077" s="5" t="s">
        <v>240</v>
      </c>
      <c r="FB3077" s="5" t="s">
        <v>240</v>
      </c>
      <c r="FC3077" s="5" t="s">
        <v>240</v>
      </c>
      <c r="FD3077" s="5" t="s">
        <v>240</v>
      </c>
      <c r="FE3077" s="5" t="s">
        <v>240</v>
      </c>
      <c r="FF3077" s="5" t="s">
        <v>240</v>
      </c>
      <c r="FG3077" s="5" t="s">
        <v>240</v>
      </c>
      <c r="FH3077" s="5" t="s">
        <v>240</v>
      </c>
      <c r="FI3077" s="5" t="s">
        <v>240</v>
      </c>
      <c r="FJ3077" s="5" t="s">
        <v>240</v>
      </c>
      <c r="FK3077" s="5" t="s">
        <v>240</v>
      </c>
      <c r="FL3077" s="5" t="s">
        <v>240</v>
      </c>
      <c r="FM3077" s="5" t="s">
        <v>240</v>
      </c>
      <c r="FN3077" s="5" t="s">
        <v>240</v>
      </c>
      <c r="FO3077" s="5" t="s">
        <v>240</v>
      </c>
      <c r="FP3077" s="5" t="s">
        <v>240</v>
      </c>
      <c r="FQ3077" s="5" t="s">
        <v>240</v>
      </c>
      <c r="FR3077" s="5" t="s">
        <v>240</v>
      </c>
      <c r="FS3077" s="5" t="s">
        <v>240</v>
      </c>
      <c r="FT3077" s="5" t="s">
        <v>240</v>
      </c>
      <c r="FU3077" s="5" t="s">
        <v>240</v>
      </c>
      <c r="FV3077" s="5" t="s">
        <v>240</v>
      </c>
      <c r="FW3077" s="5" t="s">
        <v>240</v>
      </c>
      <c r="FX3077" s="5" t="s">
        <v>240</v>
      </c>
      <c r="FY3077" s="5" t="s">
        <v>240</v>
      </c>
      <c r="FZ3077" s="5" t="s">
        <v>240</v>
      </c>
      <c r="GA3077" s="5" t="s">
        <v>240</v>
      </c>
      <c r="GB3077" s="5" t="s">
        <v>240</v>
      </c>
      <c r="GC3077" s="5" t="s">
        <v>240</v>
      </c>
      <c r="GD3077" s="5" t="s">
        <v>240</v>
      </c>
      <c r="GE3077" s="5" t="s">
        <v>240</v>
      </c>
      <c r="GF3077" s="5" t="s">
        <v>240</v>
      </c>
      <c r="GG3077" s="5" t="s">
        <v>240</v>
      </c>
      <c r="GH3077" s="5" t="s">
        <v>240</v>
      </c>
      <c r="GI3077" s="5" t="s">
        <v>240</v>
      </c>
      <c r="GJ3077" s="5" t="s">
        <v>240</v>
      </c>
      <c r="GK3077" s="5" t="s">
        <v>240</v>
      </c>
      <c r="GL3077" s="5" t="s">
        <v>240</v>
      </c>
      <c r="GM3077" s="5" t="s">
        <v>240</v>
      </c>
      <c r="GN3077" s="5" t="s">
        <v>240</v>
      </c>
      <c r="GO3077" s="5" t="s">
        <v>240</v>
      </c>
      <c r="GP3077" s="5" t="s">
        <v>240</v>
      </c>
      <c r="GQ3077" s="5" t="s">
        <v>240</v>
      </c>
      <c r="GR3077" s="5" t="s">
        <v>240</v>
      </c>
      <c r="GS3077" s="5" t="s">
        <v>240</v>
      </c>
      <c r="GT3077" s="5" t="s">
        <v>240</v>
      </c>
      <c r="GU3077" s="5" t="s">
        <v>240</v>
      </c>
      <c r="GV3077" s="5" t="s">
        <v>240</v>
      </c>
      <c r="GW3077" s="5" t="s">
        <v>240</v>
      </c>
      <c r="GX3077" s="5" t="s">
        <v>240</v>
      </c>
      <c r="GY3077" s="5" t="s">
        <v>240</v>
      </c>
      <c r="GZ3077" s="5" t="s">
        <v>240</v>
      </c>
      <c r="HA3077" s="5" t="s">
        <v>240</v>
      </c>
      <c r="HB3077" s="5" t="s">
        <v>240</v>
      </c>
      <c r="HC3077" s="5" t="s">
        <v>240</v>
      </c>
      <c r="HD3077" s="5" t="s">
        <v>240</v>
      </c>
      <c r="HE3077" s="5" t="s">
        <v>240</v>
      </c>
      <c r="HF3077" s="5" t="s">
        <v>240</v>
      </c>
      <c r="HG3077" s="5" t="s">
        <v>240</v>
      </c>
      <c r="HH3077" s="5" t="s">
        <v>240</v>
      </c>
      <c r="HI3077" s="5" t="s">
        <v>240</v>
      </c>
      <c r="HJ3077" s="5" t="s">
        <v>240</v>
      </c>
      <c r="HK3077" s="5" t="s">
        <v>240</v>
      </c>
      <c r="HL3077" s="5" t="s">
        <v>240</v>
      </c>
      <c r="HM3077" s="5" t="s">
        <v>240</v>
      </c>
      <c r="HN3077" s="5" t="s">
        <v>240</v>
      </c>
      <c r="HO3077" s="5" t="s">
        <v>312</v>
      </c>
      <c r="HP3077" s="5" t="s">
        <v>240</v>
      </c>
      <c r="HQ3077" s="5" t="s">
        <v>240</v>
      </c>
      <c r="HR3077" s="5" t="s">
        <v>240</v>
      </c>
      <c r="HS3077" s="5" t="s">
        <v>240</v>
      </c>
      <c r="HT3077" s="5" t="s">
        <v>240</v>
      </c>
      <c r="HU3077" s="5" t="s">
        <v>240</v>
      </c>
      <c r="HV3077" s="5" t="s">
        <v>240</v>
      </c>
      <c r="HW3077" s="5" t="s">
        <v>240</v>
      </c>
      <c r="HX3077" s="5" t="s">
        <v>240</v>
      </c>
      <c r="HY3077" s="5" t="s">
        <v>240</v>
      </c>
      <c r="HZ3077" s="5" t="s">
        <v>240</v>
      </c>
      <c r="IA3077" s="5" t="s">
        <v>240</v>
      </c>
      <c r="IB3077" s="5" t="s">
        <v>240</v>
      </c>
      <c r="IC3077" s="5" t="s">
        <v>240</v>
      </c>
      <c r="ID3077" s="5" t="s">
        <v>240</v>
      </c>
      <c r="IE3077" s="5" t="s">
        <v>240</v>
      </c>
      <c r="IF3077" s="5" t="s">
        <v>240</v>
      </c>
    </row>
    <row r="3078" spans="1:240" x14ac:dyDescent="0.4">
      <c r="A3078" s="5">
        <v>4782</v>
      </c>
      <c r="B3078" s="5">
        <v>1</v>
      </c>
      <c r="C3078" s="5">
        <v>1</v>
      </c>
      <c r="D3078" s="5" t="s">
        <v>810</v>
      </c>
      <c r="E3078" s="5" t="s">
        <v>245</v>
      </c>
      <c r="F3078" s="5" t="s">
        <v>254</v>
      </c>
      <c r="G3078" s="5" t="s">
        <v>240</v>
      </c>
      <c r="H3078" s="6" t="s">
        <v>2390</v>
      </c>
      <c r="I3078" s="5" t="s">
        <v>809</v>
      </c>
      <c r="J3078" s="8">
        <f>513</f>
        <v>513</v>
      </c>
      <c r="K3078" s="5" t="s">
        <v>308</v>
      </c>
      <c r="L3078" s="7">
        <f>1</f>
        <v>1</v>
      </c>
      <c r="M3078" s="7">
        <f>1</f>
        <v>1</v>
      </c>
      <c r="N3078" s="5" t="s">
        <v>242</v>
      </c>
      <c r="O3078" s="5">
        <v>1</v>
      </c>
      <c r="P3078" s="5" t="s">
        <v>294</v>
      </c>
      <c r="Q3078" s="5" t="s">
        <v>266</v>
      </c>
      <c r="R3078" s="5" t="s">
        <v>240</v>
      </c>
      <c r="S3078" s="5" t="s">
        <v>240</v>
      </c>
      <c r="T3078" s="5" t="s">
        <v>296</v>
      </c>
      <c r="U3078" s="5" t="s">
        <v>244</v>
      </c>
      <c r="V3078" s="5" t="s">
        <v>240</v>
      </c>
      <c r="Y3078" s="5" t="s">
        <v>240</v>
      </c>
      <c r="Z3078" s="6" t="s">
        <v>298</v>
      </c>
      <c r="AB3078" s="6" t="s">
        <v>240</v>
      </c>
      <c r="AE3078" s="6" t="s">
        <v>299</v>
      </c>
      <c r="AF3078" s="5" t="s">
        <v>248</v>
      </c>
      <c r="AG3078" s="5" t="s">
        <v>249</v>
      </c>
      <c r="AW3078" s="5" t="s">
        <v>251</v>
      </c>
      <c r="AX3078" s="5" t="s">
        <v>240</v>
      </c>
      <c r="AY3078" s="5" t="s">
        <v>253</v>
      </c>
      <c r="AZ3078" s="5" t="s">
        <v>240</v>
      </c>
      <c r="BA3078" s="5" t="s">
        <v>255</v>
      </c>
      <c r="BB3078" s="5" t="s">
        <v>240</v>
      </c>
      <c r="BD3078" s="5" t="s">
        <v>240</v>
      </c>
      <c r="BF3078" s="5" t="s">
        <v>301</v>
      </c>
      <c r="BG3078" s="6" t="s">
        <v>299</v>
      </c>
      <c r="BH3078" s="5" t="s">
        <v>302</v>
      </c>
      <c r="BI3078" s="5" t="s">
        <v>303</v>
      </c>
      <c r="BJ3078" s="5" t="s">
        <v>240</v>
      </c>
      <c r="BK3078" s="8">
        <f>0</f>
        <v>0</v>
      </c>
      <c r="BL3078" s="7">
        <f>0</f>
        <v>0</v>
      </c>
      <c r="BM3078" s="5" t="s">
        <v>258</v>
      </c>
      <c r="BN3078" s="5" t="s">
        <v>259</v>
      </c>
      <c r="CB3078" s="5" t="s">
        <v>240</v>
      </c>
      <c r="CC3078" s="5" t="s">
        <v>240</v>
      </c>
      <c r="CG3078" s="5" t="s">
        <v>304</v>
      </c>
      <c r="CH3078" s="5" t="s">
        <v>305</v>
      </c>
      <c r="CI3078" s="5" t="s">
        <v>240</v>
      </c>
      <c r="CL3078" s="6" t="s">
        <v>261</v>
      </c>
      <c r="CM3078" s="5" t="s">
        <v>240</v>
      </c>
      <c r="CN3078" s="5" t="s">
        <v>263</v>
      </c>
      <c r="CO3078" s="5" t="s">
        <v>240</v>
      </c>
      <c r="CP3078" s="5" t="s">
        <v>240</v>
      </c>
      <c r="CQ3078" s="5">
        <v>0</v>
      </c>
      <c r="CR3078" s="5" t="s">
        <v>306</v>
      </c>
      <c r="CS3078" s="5" t="s">
        <v>307</v>
      </c>
      <c r="CT3078" s="5" t="s">
        <v>307</v>
      </c>
      <c r="CU3078" s="5" t="s">
        <v>260</v>
      </c>
      <c r="CX3078" s="7">
        <f>1</f>
        <v>1</v>
      </c>
      <c r="CY3078" s="7">
        <f>0</f>
        <v>0</v>
      </c>
      <c r="DA3078" s="7">
        <f>0</f>
        <v>0</v>
      </c>
      <c r="DC3078" s="5" t="s">
        <v>812</v>
      </c>
      <c r="DD3078" s="5" t="s">
        <v>240</v>
      </c>
      <c r="DF3078" s="5" t="s">
        <v>812</v>
      </c>
      <c r="DG3078" s="7">
        <f>2484</f>
        <v>2484</v>
      </c>
      <c r="DI3078" s="5" t="s">
        <v>240</v>
      </c>
      <c r="DJ3078" s="5" t="s">
        <v>240</v>
      </c>
      <c r="DK3078" s="5" t="s">
        <v>240</v>
      </c>
      <c r="DL3078" s="5" t="s">
        <v>240</v>
      </c>
      <c r="DP3078" s="5" t="s">
        <v>240</v>
      </c>
      <c r="DQ3078" s="5" t="s">
        <v>240</v>
      </c>
      <c r="DR3078" s="5" t="s">
        <v>240</v>
      </c>
      <c r="DS3078" s="5" t="s">
        <v>240</v>
      </c>
      <c r="DV3078" s="5" t="s">
        <v>813</v>
      </c>
      <c r="DW3078" s="5" t="s">
        <v>594</v>
      </c>
      <c r="HO3078" s="5" t="s">
        <v>312</v>
      </c>
    </row>
    <row r="3079" spans="1:240" x14ac:dyDescent="0.4">
      <c r="A3079" s="5">
        <v>4783</v>
      </c>
      <c r="B3079" s="5">
        <v>1</v>
      </c>
      <c r="C3079" s="5">
        <v>1</v>
      </c>
      <c r="D3079" s="5" t="s">
        <v>810</v>
      </c>
      <c r="E3079" s="5" t="s">
        <v>245</v>
      </c>
      <c r="F3079" s="5" t="s">
        <v>254</v>
      </c>
      <c r="G3079" s="5" t="s">
        <v>240</v>
      </c>
      <c r="H3079" s="6" t="s">
        <v>2388</v>
      </c>
      <c r="I3079" s="5" t="s">
        <v>809</v>
      </c>
      <c r="J3079" s="8">
        <f>1692</f>
        <v>1692</v>
      </c>
      <c r="K3079" s="5" t="s">
        <v>308</v>
      </c>
      <c r="L3079" s="7">
        <f>1</f>
        <v>1</v>
      </c>
      <c r="M3079" s="7">
        <f>1</f>
        <v>1</v>
      </c>
      <c r="N3079" s="5" t="s">
        <v>242</v>
      </c>
      <c r="O3079" s="5">
        <v>1</v>
      </c>
      <c r="P3079" s="5" t="s">
        <v>294</v>
      </c>
      <c r="Q3079" s="5" t="s">
        <v>3678</v>
      </c>
      <c r="R3079" s="5" t="s">
        <v>240</v>
      </c>
      <c r="S3079" s="5" t="s">
        <v>240</v>
      </c>
      <c r="T3079" s="5" t="s">
        <v>243</v>
      </c>
      <c r="U3079" s="5" t="s">
        <v>244</v>
      </c>
      <c r="V3079" s="5" t="s">
        <v>240</v>
      </c>
      <c r="W3079" s="5" t="s">
        <v>240</v>
      </c>
      <c r="X3079" s="5" t="s">
        <v>240</v>
      </c>
      <c r="Y3079" s="5" t="s">
        <v>240</v>
      </c>
      <c r="Z3079" s="6" t="s">
        <v>298</v>
      </c>
      <c r="AA3079" s="6" t="s">
        <v>240</v>
      </c>
      <c r="AB3079" s="6" t="s">
        <v>240</v>
      </c>
      <c r="AC3079" s="5" t="s">
        <v>240</v>
      </c>
      <c r="AD3079" s="6" t="s">
        <v>240</v>
      </c>
      <c r="AE3079" s="6" t="s">
        <v>299</v>
      </c>
      <c r="AF3079" s="5" t="s">
        <v>248</v>
      </c>
      <c r="AG3079" s="5" t="s">
        <v>249</v>
      </c>
      <c r="AH3079" s="5" t="s">
        <v>240</v>
      </c>
      <c r="AI3079" s="5" t="s">
        <v>240</v>
      </c>
      <c r="AJ3079" s="5" t="s">
        <v>240</v>
      </c>
      <c r="AK3079" s="5" t="s">
        <v>240</v>
      </c>
      <c r="AL3079" s="5" t="s">
        <v>240</v>
      </c>
      <c r="AM3079" s="5" t="s">
        <v>240</v>
      </c>
      <c r="AN3079" s="5" t="s">
        <v>240</v>
      </c>
      <c r="AO3079" s="5" t="s">
        <v>240</v>
      </c>
      <c r="AP3079" s="6" t="s">
        <v>240</v>
      </c>
      <c r="AQ3079" s="6" t="s">
        <v>240</v>
      </c>
      <c r="AR3079" s="6" t="s">
        <v>240</v>
      </c>
      <c r="AS3079" s="6" t="s">
        <v>240</v>
      </c>
      <c r="AT3079" s="5" t="s">
        <v>240</v>
      </c>
      <c r="AU3079" s="5" t="s">
        <v>729</v>
      </c>
      <c r="AV3079" s="5" t="s">
        <v>729</v>
      </c>
      <c r="AW3079" s="5" t="s">
        <v>251</v>
      </c>
      <c r="AX3079" s="5" t="s">
        <v>252</v>
      </c>
      <c r="AY3079" s="5" t="s">
        <v>253</v>
      </c>
      <c r="AZ3079" s="5" t="s">
        <v>240</v>
      </c>
      <c r="BA3079" s="5" t="s">
        <v>255</v>
      </c>
      <c r="BB3079" s="5" t="s">
        <v>731</v>
      </c>
      <c r="BD3079" s="5" t="s">
        <v>240</v>
      </c>
      <c r="BF3079" s="5" t="s">
        <v>732</v>
      </c>
      <c r="BG3079" s="6" t="s">
        <v>733</v>
      </c>
      <c r="BH3079" s="5" t="s">
        <v>734</v>
      </c>
      <c r="BI3079" s="5" t="s">
        <v>734</v>
      </c>
      <c r="BJ3079" s="5" t="s">
        <v>240</v>
      </c>
      <c r="BK3079" s="7">
        <f>1</f>
        <v>1</v>
      </c>
      <c r="BL3079" s="7">
        <f>1</f>
        <v>1</v>
      </c>
      <c r="BM3079" s="5" t="s">
        <v>258</v>
      </c>
      <c r="BN3079" s="5" t="s">
        <v>259</v>
      </c>
      <c r="BO3079" s="5" t="s">
        <v>240</v>
      </c>
      <c r="BP3079" s="5" t="s">
        <v>240</v>
      </c>
      <c r="BQ3079" s="5" t="s">
        <v>240</v>
      </c>
      <c r="BR3079" s="5" t="s">
        <v>240</v>
      </c>
      <c r="BS3079" s="5" t="s">
        <v>240</v>
      </c>
      <c r="BT3079" s="5" t="s">
        <v>240</v>
      </c>
      <c r="BU3079" s="5" t="s">
        <v>240</v>
      </c>
      <c r="BV3079" s="5" t="s">
        <v>240</v>
      </c>
      <c r="BW3079" s="6" t="s">
        <v>240</v>
      </c>
      <c r="BX3079" s="5" t="s">
        <v>240</v>
      </c>
      <c r="BY3079" s="5" t="s">
        <v>240</v>
      </c>
      <c r="BZ3079" s="5" t="s">
        <v>240</v>
      </c>
      <c r="CA3079" s="5" t="s">
        <v>259</v>
      </c>
      <c r="CB3079" s="5" t="s">
        <v>240</v>
      </c>
      <c r="CC3079" s="5" t="s">
        <v>240</v>
      </c>
      <c r="CD3079" s="5" t="s">
        <v>240</v>
      </c>
      <c r="CE3079" s="5" t="s">
        <v>240</v>
      </c>
      <c r="CF3079" s="5" t="s">
        <v>240</v>
      </c>
      <c r="CG3079" s="5" t="s">
        <v>304</v>
      </c>
      <c r="CH3079" s="5" t="s">
        <v>305</v>
      </c>
      <c r="CI3079" s="5" t="s">
        <v>240</v>
      </c>
      <c r="CK3079" s="5" t="s">
        <v>3681</v>
      </c>
      <c r="CL3079" s="6" t="s">
        <v>261</v>
      </c>
      <c r="CM3079" s="5" t="s">
        <v>262</v>
      </c>
      <c r="CN3079" s="5" t="s">
        <v>263</v>
      </c>
      <c r="CO3079" s="5" t="s">
        <v>264</v>
      </c>
      <c r="CP3079" s="5" t="s">
        <v>240</v>
      </c>
      <c r="CQ3079" s="5">
        <v>0</v>
      </c>
      <c r="CR3079" s="5" t="s">
        <v>735</v>
      </c>
      <c r="CS3079" s="5" t="s">
        <v>307</v>
      </c>
      <c r="CT3079" s="5" t="s">
        <v>307</v>
      </c>
      <c r="CU3079" s="5" t="s">
        <v>260</v>
      </c>
      <c r="CV3079" s="5" t="s">
        <v>612</v>
      </c>
      <c r="CW3079" s="8">
        <f>1</f>
        <v>1</v>
      </c>
      <c r="CX3079" s="7">
        <f>1</f>
        <v>1</v>
      </c>
      <c r="CY3079" s="7">
        <f>0</f>
        <v>0</v>
      </c>
      <c r="DA3079" s="7">
        <f>1</f>
        <v>1</v>
      </c>
      <c r="DB3079" s="7" t="s">
        <v>240</v>
      </c>
      <c r="DC3079" s="5" t="s">
        <v>240</v>
      </c>
      <c r="DD3079" s="5" t="s">
        <v>240</v>
      </c>
      <c r="DE3079" s="5" t="s">
        <v>240</v>
      </c>
      <c r="DF3079" s="5" t="s">
        <v>240</v>
      </c>
      <c r="DG3079" s="7">
        <f>0</f>
        <v>0</v>
      </c>
      <c r="DI3079" s="5" t="s">
        <v>240</v>
      </c>
      <c r="DJ3079" s="5" t="s">
        <v>240</v>
      </c>
      <c r="DK3079" s="5" t="s">
        <v>240</v>
      </c>
      <c r="DL3079" s="5" t="s">
        <v>240</v>
      </c>
      <c r="DM3079" s="5" t="s">
        <v>240</v>
      </c>
      <c r="DN3079" s="5" t="s">
        <v>240</v>
      </c>
      <c r="DO3079" s="7" t="s">
        <v>240</v>
      </c>
      <c r="DP3079" s="5" t="s">
        <v>240</v>
      </c>
      <c r="DQ3079" s="5" t="s">
        <v>240</v>
      </c>
      <c r="DR3079" s="5" t="s">
        <v>731</v>
      </c>
      <c r="DS3079" s="5" t="s">
        <v>731</v>
      </c>
      <c r="DT3079" s="5" t="s">
        <v>240</v>
      </c>
      <c r="DU3079" s="5" t="s">
        <v>240</v>
      </c>
      <c r="DV3079" s="5" t="s">
        <v>3683</v>
      </c>
      <c r="DW3079" s="5" t="s">
        <v>740</v>
      </c>
      <c r="DX3079" s="5" t="s">
        <v>240</v>
      </c>
      <c r="DY3079" s="5" t="s">
        <v>240</v>
      </c>
      <c r="DZ3079" s="5" t="s">
        <v>240</v>
      </c>
      <c r="EA3079" s="5" t="s">
        <v>240</v>
      </c>
      <c r="EB3079" s="5" t="s">
        <v>240</v>
      </c>
      <c r="EC3079" s="5" t="s">
        <v>240</v>
      </c>
      <c r="ED3079" s="5" t="s">
        <v>240</v>
      </c>
      <c r="EE3079" s="5" t="s">
        <v>240</v>
      </c>
      <c r="EF3079" s="5" t="s">
        <v>240</v>
      </c>
      <c r="EG3079" s="5" t="s">
        <v>240</v>
      </c>
      <c r="EH3079" s="5" t="s">
        <v>240</v>
      </c>
      <c r="EI3079" s="5" t="s">
        <v>240</v>
      </c>
      <c r="EJ3079" s="5" t="s">
        <v>240</v>
      </c>
      <c r="EK3079" s="5" t="s">
        <v>240</v>
      </c>
      <c r="EL3079" s="5" t="s">
        <v>240</v>
      </c>
      <c r="EM3079" s="5" t="s">
        <v>240</v>
      </c>
      <c r="EN3079" s="5" t="s">
        <v>240</v>
      </c>
      <c r="EO3079" s="5" t="s">
        <v>240</v>
      </c>
      <c r="EP3079" s="5" t="s">
        <v>240</v>
      </c>
      <c r="EQ3079" s="5" t="s">
        <v>240</v>
      </c>
      <c r="ER3079" s="5" t="s">
        <v>240</v>
      </c>
      <c r="ES3079" s="5" t="s">
        <v>240</v>
      </c>
      <c r="ET3079" s="5" t="s">
        <v>240</v>
      </c>
      <c r="EU3079" s="5" t="s">
        <v>240</v>
      </c>
      <c r="EV3079" s="5" t="s">
        <v>240</v>
      </c>
      <c r="EW3079" s="5" t="s">
        <v>240</v>
      </c>
      <c r="EX3079" s="5" t="s">
        <v>240</v>
      </c>
      <c r="EY3079" s="5" t="s">
        <v>240</v>
      </c>
      <c r="EZ3079" s="5" t="s">
        <v>240</v>
      </c>
      <c r="FA3079" s="5" t="s">
        <v>240</v>
      </c>
      <c r="FB3079" s="5" t="s">
        <v>240</v>
      </c>
      <c r="FC3079" s="5" t="s">
        <v>240</v>
      </c>
      <c r="FD3079" s="5" t="s">
        <v>240</v>
      </c>
      <c r="FE3079" s="5" t="s">
        <v>240</v>
      </c>
      <c r="FF3079" s="5" t="s">
        <v>240</v>
      </c>
      <c r="FG3079" s="5" t="s">
        <v>240</v>
      </c>
      <c r="FH3079" s="5" t="s">
        <v>240</v>
      </c>
      <c r="FI3079" s="5" t="s">
        <v>240</v>
      </c>
      <c r="FJ3079" s="5" t="s">
        <v>240</v>
      </c>
      <c r="FK3079" s="5" t="s">
        <v>240</v>
      </c>
      <c r="FL3079" s="5" t="s">
        <v>240</v>
      </c>
      <c r="FM3079" s="5" t="s">
        <v>240</v>
      </c>
      <c r="FN3079" s="5" t="s">
        <v>240</v>
      </c>
      <c r="FO3079" s="5" t="s">
        <v>240</v>
      </c>
      <c r="FP3079" s="5" t="s">
        <v>240</v>
      </c>
      <c r="FQ3079" s="5" t="s">
        <v>240</v>
      </c>
      <c r="FR3079" s="5" t="s">
        <v>240</v>
      </c>
      <c r="FS3079" s="5" t="s">
        <v>240</v>
      </c>
      <c r="FT3079" s="5" t="s">
        <v>240</v>
      </c>
      <c r="FU3079" s="5" t="s">
        <v>240</v>
      </c>
      <c r="FV3079" s="5" t="s">
        <v>240</v>
      </c>
      <c r="FW3079" s="5" t="s">
        <v>240</v>
      </c>
      <c r="FX3079" s="5" t="s">
        <v>240</v>
      </c>
      <c r="FY3079" s="5" t="s">
        <v>240</v>
      </c>
      <c r="FZ3079" s="5" t="s">
        <v>240</v>
      </c>
      <c r="GA3079" s="5" t="s">
        <v>240</v>
      </c>
      <c r="GB3079" s="5" t="s">
        <v>240</v>
      </c>
      <c r="GC3079" s="5" t="s">
        <v>240</v>
      </c>
      <c r="GD3079" s="5" t="s">
        <v>240</v>
      </c>
      <c r="GE3079" s="5" t="s">
        <v>240</v>
      </c>
      <c r="GF3079" s="5" t="s">
        <v>240</v>
      </c>
      <c r="GG3079" s="5" t="s">
        <v>240</v>
      </c>
      <c r="GH3079" s="5" t="s">
        <v>240</v>
      </c>
      <c r="GI3079" s="5" t="s">
        <v>240</v>
      </c>
      <c r="GJ3079" s="5" t="s">
        <v>240</v>
      </c>
      <c r="GK3079" s="5" t="s">
        <v>240</v>
      </c>
      <c r="GL3079" s="5" t="s">
        <v>240</v>
      </c>
      <c r="GM3079" s="5" t="s">
        <v>240</v>
      </c>
      <c r="GN3079" s="5" t="s">
        <v>240</v>
      </c>
      <c r="GO3079" s="5" t="s">
        <v>240</v>
      </c>
      <c r="GP3079" s="5" t="s">
        <v>240</v>
      </c>
      <c r="GQ3079" s="5" t="s">
        <v>240</v>
      </c>
      <c r="GR3079" s="5" t="s">
        <v>240</v>
      </c>
      <c r="GS3079" s="5" t="s">
        <v>240</v>
      </c>
      <c r="GT3079" s="5" t="s">
        <v>240</v>
      </c>
      <c r="GU3079" s="5" t="s">
        <v>240</v>
      </c>
      <c r="GV3079" s="5" t="s">
        <v>240</v>
      </c>
      <c r="GW3079" s="5" t="s">
        <v>240</v>
      </c>
      <c r="GX3079" s="5" t="s">
        <v>240</v>
      </c>
      <c r="GY3079" s="5" t="s">
        <v>240</v>
      </c>
      <c r="GZ3079" s="5" t="s">
        <v>240</v>
      </c>
      <c r="HA3079" s="5" t="s">
        <v>240</v>
      </c>
      <c r="HB3079" s="5" t="s">
        <v>240</v>
      </c>
      <c r="HC3079" s="5" t="s">
        <v>240</v>
      </c>
      <c r="HD3079" s="5" t="s">
        <v>240</v>
      </c>
      <c r="HE3079" s="5" t="s">
        <v>240</v>
      </c>
      <c r="HF3079" s="5" t="s">
        <v>240</v>
      </c>
      <c r="HG3079" s="5" t="s">
        <v>240</v>
      </c>
      <c r="HH3079" s="5" t="s">
        <v>240</v>
      </c>
      <c r="HI3079" s="5" t="s">
        <v>240</v>
      </c>
      <c r="HJ3079" s="5" t="s">
        <v>240</v>
      </c>
      <c r="HK3079" s="5" t="s">
        <v>240</v>
      </c>
      <c r="HL3079" s="5" t="s">
        <v>240</v>
      </c>
      <c r="HM3079" s="5" t="s">
        <v>240</v>
      </c>
      <c r="HN3079" s="5" t="s">
        <v>240</v>
      </c>
      <c r="HO3079" s="5" t="s">
        <v>312</v>
      </c>
      <c r="HP3079" s="5" t="s">
        <v>240</v>
      </c>
      <c r="HQ3079" s="5" t="s">
        <v>240</v>
      </c>
      <c r="HR3079" s="5" t="s">
        <v>240</v>
      </c>
      <c r="HS3079" s="5" t="s">
        <v>240</v>
      </c>
      <c r="HT3079" s="5" t="s">
        <v>240</v>
      </c>
      <c r="HU3079" s="5" t="s">
        <v>240</v>
      </c>
      <c r="HV3079" s="5" t="s">
        <v>240</v>
      </c>
      <c r="HW3079" s="5" t="s">
        <v>240</v>
      </c>
      <c r="HX3079" s="5" t="s">
        <v>240</v>
      </c>
      <c r="HY3079" s="5" t="s">
        <v>240</v>
      </c>
      <c r="HZ3079" s="5" t="s">
        <v>240</v>
      </c>
      <c r="IA3079" s="5" t="s">
        <v>240</v>
      </c>
      <c r="IB3079" s="5" t="s">
        <v>240</v>
      </c>
      <c r="IC3079" s="5" t="s">
        <v>240</v>
      </c>
      <c r="ID3079" s="5" t="s">
        <v>240</v>
      </c>
      <c r="IE3079" s="5" t="s">
        <v>240</v>
      </c>
      <c r="IF3079" s="5" t="s">
        <v>240</v>
      </c>
    </row>
    <row r="3080" spans="1:240" x14ac:dyDescent="0.4">
      <c r="A3080" s="5">
        <v>4784</v>
      </c>
      <c r="B3080" s="5">
        <v>1</v>
      </c>
      <c r="C3080" s="5">
        <v>1</v>
      </c>
      <c r="D3080" s="5" t="s">
        <v>810</v>
      </c>
      <c r="E3080" s="5" t="s">
        <v>245</v>
      </c>
      <c r="F3080" s="5" t="s">
        <v>254</v>
      </c>
      <c r="G3080" s="5" t="s">
        <v>240</v>
      </c>
      <c r="H3080" s="6" t="s">
        <v>2386</v>
      </c>
      <c r="I3080" s="5" t="s">
        <v>809</v>
      </c>
      <c r="J3080" s="8">
        <f>1068</f>
        <v>1068</v>
      </c>
      <c r="K3080" s="5" t="s">
        <v>308</v>
      </c>
      <c r="L3080" s="7">
        <f>1</f>
        <v>1</v>
      </c>
      <c r="M3080" s="7">
        <f>1</f>
        <v>1</v>
      </c>
      <c r="N3080" s="5" t="s">
        <v>242</v>
      </c>
      <c r="O3080" s="5">
        <v>1</v>
      </c>
      <c r="P3080" s="5" t="s">
        <v>294</v>
      </c>
      <c r="Q3080" s="5" t="s">
        <v>3678</v>
      </c>
      <c r="R3080" s="5" t="s">
        <v>240</v>
      </c>
      <c r="S3080" s="5" t="s">
        <v>240</v>
      </c>
      <c r="T3080" s="5" t="s">
        <v>243</v>
      </c>
      <c r="U3080" s="5" t="s">
        <v>244</v>
      </c>
      <c r="V3080" s="5" t="s">
        <v>240</v>
      </c>
      <c r="W3080" s="5" t="s">
        <v>240</v>
      </c>
      <c r="X3080" s="5" t="s">
        <v>240</v>
      </c>
      <c r="Y3080" s="5" t="s">
        <v>240</v>
      </c>
      <c r="Z3080" s="6" t="s">
        <v>298</v>
      </c>
      <c r="AA3080" s="6" t="s">
        <v>240</v>
      </c>
      <c r="AB3080" s="6" t="s">
        <v>240</v>
      </c>
      <c r="AC3080" s="5" t="s">
        <v>240</v>
      </c>
      <c r="AD3080" s="6" t="s">
        <v>240</v>
      </c>
      <c r="AE3080" s="6" t="s">
        <v>299</v>
      </c>
      <c r="AF3080" s="5" t="s">
        <v>248</v>
      </c>
      <c r="AG3080" s="5" t="s">
        <v>249</v>
      </c>
      <c r="AH3080" s="5" t="s">
        <v>240</v>
      </c>
      <c r="AI3080" s="5" t="s">
        <v>240</v>
      </c>
      <c r="AJ3080" s="5" t="s">
        <v>240</v>
      </c>
      <c r="AK3080" s="5" t="s">
        <v>240</v>
      </c>
      <c r="AL3080" s="5" t="s">
        <v>240</v>
      </c>
      <c r="AM3080" s="5" t="s">
        <v>240</v>
      </c>
      <c r="AN3080" s="5" t="s">
        <v>240</v>
      </c>
      <c r="AO3080" s="5" t="s">
        <v>240</v>
      </c>
      <c r="AP3080" s="6" t="s">
        <v>240</v>
      </c>
      <c r="AQ3080" s="6" t="s">
        <v>240</v>
      </c>
      <c r="AR3080" s="6" t="s">
        <v>240</v>
      </c>
      <c r="AS3080" s="6" t="s">
        <v>240</v>
      </c>
      <c r="AT3080" s="5" t="s">
        <v>240</v>
      </c>
      <c r="AU3080" s="5" t="s">
        <v>729</v>
      </c>
      <c r="AV3080" s="5" t="s">
        <v>729</v>
      </c>
      <c r="AW3080" s="5" t="s">
        <v>251</v>
      </c>
      <c r="AX3080" s="5" t="s">
        <v>252</v>
      </c>
      <c r="AY3080" s="5" t="s">
        <v>253</v>
      </c>
      <c r="AZ3080" s="5" t="s">
        <v>240</v>
      </c>
      <c r="BA3080" s="5" t="s">
        <v>255</v>
      </c>
      <c r="BB3080" s="5" t="s">
        <v>731</v>
      </c>
      <c r="BD3080" s="5" t="s">
        <v>240</v>
      </c>
      <c r="BF3080" s="5" t="s">
        <v>732</v>
      </c>
      <c r="BG3080" s="6" t="s">
        <v>733</v>
      </c>
      <c r="BH3080" s="5" t="s">
        <v>734</v>
      </c>
      <c r="BI3080" s="5" t="s">
        <v>734</v>
      </c>
      <c r="BJ3080" s="5" t="s">
        <v>240</v>
      </c>
      <c r="BK3080" s="7">
        <f>1</f>
        <v>1</v>
      </c>
      <c r="BL3080" s="7">
        <f>1</f>
        <v>1</v>
      </c>
      <c r="BM3080" s="5" t="s">
        <v>258</v>
      </c>
      <c r="BN3080" s="5" t="s">
        <v>259</v>
      </c>
      <c r="BO3080" s="5" t="s">
        <v>240</v>
      </c>
      <c r="BP3080" s="5" t="s">
        <v>240</v>
      </c>
      <c r="BQ3080" s="5" t="s">
        <v>240</v>
      </c>
      <c r="BR3080" s="5" t="s">
        <v>240</v>
      </c>
      <c r="BS3080" s="5" t="s">
        <v>240</v>
      </c>
      <c r="BT3080" s="5" t="s">
        <v>240</v>
      </c>
      <c r="BU3080" s="5" t="s">
        <v>240</v>
      </c>
      <c r="BV3080" s="5" t="s">
        <v>240</v>
      </c>
      <c r="BW3080" s="6" t="s">
        <v>240</v>
      </c>
      <c r="BX3080" s="5" t="s">
        <v>240</v>
      </c>
      <c r="BY3080" s="5" t="s">
        <v>240</v>
      </c>
      <c r="BZ3080" s="5" t="s">
        <v>240</v>
      </c>
      <c r="CA3080" s="5" t="s">
        <v>259</v>
      </c>
      <c r="CB3080" s="5" t="s">
        <v>240</v>
      </c>
      <c r="CC3080" s="5" t="s">
        <v>240</v>
      </c>
      <c r="CD3080" s="5" t="s">
        <v>240</v>
      </c>
      <c r="CE3080" s="5" t="s">
        <v>240</v>
      </c>
      <c r="CF3080" s="5" t="s">
        <v>240</v>
      </c>
      <c r="CG3080" s="5" t="s">
        <v>304</v>
      </c>
      <c r="CH3080" s="5" t="s">
        <v>305</v>
      </c>
      <c r="CI3080" s="5" t="s">
        <v>240</v>
      </c>
      <c r="CK3080" s="5" t="s">
        <v>3681</v>
      </c>
      <c r="CL3080" s="6" t="s">
        <v>261</v>
      </c>
      <c r="CM3080" s="5" t="s">
        <v>262</v>
      </c>
      <c r="CN3080" s="5" t="s">
        <v>263</v>
      </c>
      <c r="CO3080" s="5" t="s">
        <v>264</v>
      </c>
      <c r="CP3080" s="5" t="s">
        <v>240</v>
      </c>
      <c r="CQ3080" s="5">
        <v>0</v>
      </c>
      <c r="CR3080" s="5" t="s">
        <v>735</v>
      </c>
      <c r="CS3080" s="5" t="s">
        <v>307</v>
      </c>
      <c r="CT3080" s="5" t="s">
        <v>307</v>
      </c>
      <c r="CU3080" s="5" t="s">
        <v>260</v>
      </c>
      <c r="CV3080" s="5" t="s">
        <v>612</v>
      </c>
      <c r="CW3080" s="8">
        <f>1</f>
        <v>1</v>
      </c>
      <c r="CX3080" s="7">
        <f>1</f>
        <v>1</v>
      </c>
      <c r="CY3080" s="7">
        <f>0</f>
        <v>0</v>
      </c>
      <c r="DA3080" s="7">
        <f>1</f>
        <v>1</v>
      </c>
      <c r="DB3080" s="7" t="s">
        <v>240</v>
      </c>
      <c r="DC3080" s="5" t="s">
        <v>240</v>
      </c>
      <c r="DD3080" s="5" t="s">
        <v>240</v>
      </c>
      <c r="DE3080" s="5" t="s">
        <v>240</v>
      </c>
      <c r="DF3080" s="5" t="s">
        <v>240</v>
      </c>
      <c r="DG3080" s="7">
        <f>0</f>
        <v>0</v>
      </c>
      <c r="DI3080" s="5" t="s">
        <v>240</v>
      </c>
      <c r="DJ3080" s="5" t="s">
        <v>240</v>
      </c>
      <c r="DK3080" s="5" t="s">
        <v>240</v>
      </c>
      <c r="DL3080" s="5" t="s">
        <v>240</v>
      </c>
      <c r="DM3080" s="5" t="s">
        <v>240</v>
      </c>
      <c r="DN3080" s="5" t="s">
        <v>240</v>
      </c>
      <c r="DO3080" s="7" t="s">
        <v>240</v>
      </c>
      <c r="DP3080" s="5" t="s">
        <v>240</v>
      </c>
      <c r="DQ3080" s="5" t="s">
        <v>240</v>
      </c>
      <c r="DR3080" s="5" t="s">
        <v>731</v>
      </c>
      <c r="DS3080" s="5" t="s">
        <v>731</v>
      </c>
      <c r="DT3080" s="5" t="s">
        <v>240</v>
      </c>
      <c r="DU3080" s="5" t="s">
        <v>240</v>
      </c>
      <c r="DV3080" s="5" t="s">
        <v>3683</v>
      </c>
      <c r="DW3080" s="5" t="s">
        <v>1066</v>
      </c>
      <c r="DX3080" s="5" t="s">
        <v>240</v>
      </c>
      <c r="DY3080" s="5" t="s">
        <v>240</v>
      </c>
      <c r="DZ3080" s="5" t="s">
        <v>240</v>
      </c>
      <c r="EA3080" s="5" t="s">
        <v>240</v>
      </c>
      <c r="EB3080" s="5" t="s">
        <v>240</v>
      </c>
      <c r="EC3080" s="5" t="s">
        <v>240</v>
      </c>
      <c r="ED3080" s="5" t="s">
        <v>240</v>
      </c>
      <c r="EE3080" s="5" t="s">
        <v>240</v>
      </c>
      <c r="EF3080" s="5" t="s">
        <v>240</v>
      </c>
      <c r="EG3080" s="5" t="s">
        <v>240</v>
      </c>
      <c r="EH3080" s="5" t="s">
        <v>240</v>
      </c>
      <c r="EI3080" s="5" t="s">
        <v>240</v>
      </c>
      <c r="EJ3080" s="5" t="s">
        <v>240</v>
      </c>
      <c r="EK3080" s="5" t="s">
        <v>240</v>
      </c>
      <c r="EL3080" s="5" t="s">
        <v>240</v>
      </c>
      <c r="EM3080" s="5" t="s">
        <v>240</v>
      </c>
      <c r="EN3080" s="5" t="s">
        <v>240</v>
      </c>
      <c r="EO3080" s="5" t="s">
        <v>240</v>
      </c>
      <c r="EP3080" s="5" t="s">
        <v>240</v>
      </c>
      <c r="EQ3080" s="5" t="s">
        <v>240</v>
      </c>
      <c r="ER3080" s="5" t="s">
        <v>240</v>
      </c>
      <c r="ES3080" s="5" t="s">
        <v>240</v>
      </c>
      <c r="ET3080" s="5" t="s">
        <v>240</v>
      </c>
      <c r="EU3080" s="5" t="s">
        <v>240</v>
      </c>
      <c r="EV3080" s="5" t="s">
        <v>240</v>
      </c>
      <c r="EW3080" s="5" t="s">
        <v>240</v>
      </c>
      <c r="EX3080" s="5" t="s">
        <v>240</v>
      </c>
      <c r="EY3080" s="5" t="s">
        <v>240</v>
      </c>
      <c r="EZ3080" s="5" t="s">
        <v>240</v>
      </c>
      <c r="FA3080" s="5" t="s">
        <v>240</v>
      </c>
      <c r="FB3080" s="5" t="s">
        <v>240</v>
      </c>
      <c r="FC3080" s="5" t="s">
        <v>240</v>
      </c>
      <c r="FD3080" s="5" t="s">
        <v>240</v>
      </c>
      <c r="FE3080" s="5" t="s">
        <v>240</v>
      </c>
      <c r="FF3080" s="5" t="s">
        <v>240</v>
      </c>
      <c r="FG3080" s="5" t="s">
        <v>240</v>
      </c>
      <c r="FH3080" s="5" t="s">
        <v>240</v>
      </c>
      <c r="FI3080" s="5" t="s">
        <v>240</v>
      </c>
      <c r="FJ3080" s="5" t="s">
        <v>240</v>
      </c>
      <c r="FK3080" s="5" t="s">
        <v>240</v>
      </c>
      <c r="FL3080" s="5" t="s">
        <v>240</v>
      </c>
      <c r="FM3080" s="5" t="s">
        <v>240</v>
      </c>
      <c r="FN3080" s="5" t="s">
        <v>240</v>
      </c>
      <c r="FO3080" s="5" t="s">
        <v>240</v>
      </c>
      <c r="FP3080" s="5" t="s">
        <v>240</v>
      </c>
      <c r="FQ3080" s="5" t="s">
        <v>240</v>
      </c>
      <c r="FR3080" s="5" t="s">
        <v>240</v>
      </c>
      <c r="FS3080" s="5" t="s">
        <v>240</v>
      </c>
      <c r="FT3080" s="5" t="s">
        <v>240</v>
      </c>
      <c r="FU3080" s="5" t="s">
        <v>240</v>
      </c>
      <c r="FV3080" s="5" t="s">
        <v>240</v>
      </c>
      <c r="FW3080" s="5" t="s">
        <v>240</v>
      </c>
      <c r="FX3080" s="5" t="s">
        <v>240</v>
      </c>
      <c r="FY3080" s="5" t="s">
        <v>240</v>
      </c>
      <c r="FZ3080" s="5" t="s">
        <v>240</v>
      </c>
      <c r="GA3080" s="5" t="s">
        <v>240</v>
      </c>
      <c r="GB3080" s="5" t="s">
        <v>240</v>
      </c>
      <c r="GC3080" s="5" t="s">
        <v>240</v>
      </c>
      <c r="GD3080" s="5" t="s">
        <v>240</v>
      </c>
      <c r="GE3080" s="5" t="s">
        <v>240</v>
      </c>
      <c r="GF3080" s="5" t="s">
        <v>240</v>
      </c>
      <c r="GG3080" s="5" t="s">
        <v>240</v>
      </c>
      <c r="GH3080" s="5" t="s">
        <v>240</v>
      </c>
      <c r="GI3080" s="5" t="s">
        <v>240</v>
      </c>
      <c r="GJ3080" s="5" t="s">
        <v>240</v>
      </c>
      <c r="GK3080" s="5" t="s">
        <v>240</v>
      </c>
      <c r="GL3080" s="5" t="s">
        <v>240</v>
      </c>
      <c r="GM3080" s="5" t="s">
        <v>240</v>
      </c>
      <c r="GN3080" s="5" t="s">
        <v>240</v>
      </c>
      <c r="GO3080" s="5" t="s">
        <v>240</v>
      </c>
      <c r="GP3080" s="5" t="s">
        <v>240</v>
      </c>
      <c r="GQ3080" s="5" t="s">
        <v>240</v>
      </c>
      <c r="GR3080" s="5" t="s">
        <v>240</v>
      </c>
      <c r="GS3080" s="5" t="s">
        <v>240</v>
      </c>
      <c r="GT3080" s="5" t="s">
        <v>240</v>
      </c>
      <c r="GU3080" s="5" t="s">
        <v>240</v>
      </c>
      <c r="GV3080" s="5" t="s">
        <v>240</v>
      </c>
      <c r="GW3080" s="5" t="s">
        <v>240</v>
      </c>
      <c r="GX3080" s="5" t="s">
        <v>240</v>
      </c>
      <c r="GY3080" s="5" t="s">
        <v>240</v>
      </c>
      <c r="GZ3080" s="5" t="s">
        <v>240</v>
      </c>
      <c r="HA3080" s="5" t="s">
        <v>240</v>
      </c>
      <c r="HB3080" s="5" t="s">
        <v>240</v>
      </c>
      <c r="HC3080" s="5" t="s">
        <v>240</v>
      </c>
      <c r="HD3080" s="5" t="s">
        <v>240</v>
      </c>
      <c r="HE3080" s="5" t="s">
        <v>240</v>
      </c>
      <c r="HF3080" s="5" t="s">
        <v>240</v>
      </c>
      <c r="HG3080" s="5" t="s">
        <v>240</v>
      </c>
      <c r="HH3080" s="5" t="s">
        <v>240</v>
      </c>
      <c r="HI3080" s="5" t="s">
        <v>240</v>
      </c>
      <c r="HJ3080" s="5" t="s">
        <v>240</v>
      </c>
      <c r="HK3080" s="5" t="s">
        <v>240</v>
      </c>
      <c r="HL3080" s="5" t="s">
        <v>240</v>
      </c>
      <c r="HM3080" s="5" t="s">
        <v>240</v>
      </c>
      <c r="HN3080" s="5" t="s">
        <v>240</v>
      </c>
      <c r="HO3080" s="5" t="s">
        <v>312</v>
      </c>
      <c r="HP3080" s="5" t="s">
        <v>240</v>
      </c>
      <c r="HQ3080" s="5" t="s">
        <v>240</v>
      </c>
      <c r="HR3080" s="5" t="s">
        <v>240</v>
      </c>
      <c r="HS3080" s="5" t="s">
        <v>240</v>
      </c>
      <c r="HT3080" s="5" t="s">
        <v>240</v>
      </c>
      <c r="HU3080" s="5" t="s">
        <v>240</v>
      </c>
      <c r="HV3080" s="5" t="s">
        <v>240</v>
      </c>
      <c r="HW3080" s="5" t="s">
        <v>240</v>
      </c>
      <c r="HX3080" s="5" t="s">
        <v>240</v>
      </c>
      <c r="HY3080" s="5" t="s">
        <v>240</v>
      </c>
      <c r="HZ3080" s="5" t="s">
        <v>240</v>
      </c>
      <c r="IA3080" s="5" t="s">
        <v>240</v>
      </c>
      <c r="IB3080" s="5" t="s">
        <v>240</v>
      </c>
      <c r="IC3080" s="5" t="s">
        <v>240</v>
      </c>
      <c r="ID3080" s="5" t="s">
        <v>240</v>
      </c>
      <c r="IE3080" s="5" t="s">
        <v>240</v>
      </c>
      <c r="IF3080" s="5" t="s">
        <v>240</v>
      </c>
    </row>
    <row r="3081" spans="1:240" x14ac:dyDescent="0.4">
      <c r="A3081" s="5">
        <v>4785</v>
      </c>
      <c r="B3081" s="5">
        <v>1</v>
      </c>
      <c r="C3081" s="5">
        <v>1</v>
      </c>
      <c r="D3081" s="5" t="s">
        <v>810</v>
      </c>
      <c r="E3081" s="5" t="s">
        <v>245</v>
      </c>
      <c r="F3081" s="5" t="s">
        <v>254</v>
      </c>
      <c r="G3081" s="5" t="s">
        <v>240</v>
      </c>
      <c r="H3081" s="6" t="s">
        <v>2384</v>
      </c>
      <c r="I3081" s="5" t="s">
        <v>809</v>
      </c>
      <c r="J3081" s="8">
        <f>1005</f>
        <v>1005</v>
      </c>
      <c r="K3081" s="5" t="s">
        <v>308</v>
      </c>
      <c r="L3081" s="7">
        <f>1</f>
        <v>1</v>
      </c>
      <c r="M3081" s="7">
        <f>1</f>
        <v>1</v>
      </c>
      <c r="N3081" s="5" t="s">
        <v>242</v>
      </c>
      <c r="O3081" s="5">
        <v>1</v>
      </c>
      <c r="P3081" s="5" t="s">
        <v>294</v>
      </c>
      <c r="Q3081" s="5" t="s">
        <v>3678</v>
      </c>
      <c r="R3081" s="5" t="s">
        <v>240</v>
      </c>
      <c r="S3081" s="5" t="s">
        <v>240</v>
      </c>
      <c r="T3081" s="5" t="s">
        <v>243</v>
      </c>
      <c r="U3081" s="5" t="s">
        <v>244</v>
      </c>
      <c r="V3081" s="5" t="s">
        <v>240</v>
      </c>
      <c r="W3081" s="5" t="s">
        <v>240</v>
      </c>
      <c r="X3081" s="5" t="s">
        <v>240</v>
      </c>
      <c r="Y3081" s="5" t="s">
        <v>240</v>
      </c>
      <c r="Z3081" s="6" t="s">
        <v>298</v>
      </c>
      <c r="AA3081" s="6" t="s">
        <v>240</v>
      </c>
      <c r="AB3081" s="6" t="s">
        <v>240</v>
      </c>
      <c r="AC3081" s="5" t="s">
        <v>240</v>
      </c>
      <c r="AD3081" s="6" t="s">
        <v>240</v>
      </c>
      <c r="AE3081" s="6" t="s">
        <v>299</v>
      </c>
      <c r="AF3081" s="5" t="s">
        <v>248</v>
      </c>
      <c r="AG3081" s="5" t="s">
        <v>249</v>
      </c>
      <c r="AH3081" s="5" t="s">
        <v>240</v>
      </c>
      <c r="AI3081" s="5" t="s">
        <v>240</v>
      </c>
      <c r="AJ3081" s="5" t="s">
        <v>240</v>
      </c>
      <c r="AK3081" s="5" t="s">
        <v>240</v>
      </c>
      <c r="AL3081" s="5" t="s">
        <v>240</v>
      </c>
      <c r="AM3081" s="5" t="s">
        <v>240</v>
      </c>
      <c r="AN3081" s="5" t="s">
        <v>240</v>
      </c>
      <c r="AO3081" s="5" t="s">
        <v>240</v>
      </c>
      <c r="AP3081" s="6" t="s">
        <v>240</v>
      </c>
      <c r="AQ3081" s="6" t="s">
        <v>240</v>
      </c>
      <c r="AR3081" s="6" t="s">
        <v>240</v>
      </c>
      <c r="AS3081" s="6" t="s">
        <v>240</v>
      </c>
      <c r="AT3081" s="5" t="s">
        <v>240</v>
      </c>
      <c r="AU3081" s="5" t="s">
        <v>729</v>
      </c>
      <c r="AV3081" s="5" t="s">
        <v>729</v>
      </c>
      <c r="AW3081" s="5" t="s">
        <v>251</v>
      </c>
      <c r="AX3081" s="5" t="s">
        <v>252</v>
      </c>
      <c r="AY3081" s="5" t="s">
        <v>253</v>
      </c>
      <c r="AZ3081" s="5" t="s">
        <v>240</v>
      </c>
      <c r="BA3081" s="5" t="s">
        <v>255</v>
      </c>
      <c r="BB3081" s="5" t="s">
        <v>731</v>
      </c>
      <c r="BD3081" s="5" t="s">
        <v>240</v>
      </c>
      <c r="BF3081" s="5" t="s">
        <v>732</v>
      </c>
      <c r="BG3081" s="6" t="s">
        <v>733</v>
      </c>
      <c r="BH3081" s="5" t="s">
        <v>734</v>
      </c>
      <c r="BI3081" s="5" t="s">
        <v>734</v>
      </c>
      <c r="BJ3081" s="5" t="s">
        <v>240</v>
      </c>
      <c r="BK3081" s="7">
        <f>1</f>
        <v>1</v>
      </c>
      <c r="BL3081" s="7">
        <f>1</f>
        <v>1</v>
      </c>
      <c r="BM3081" s="5" t="s">
        <v>258</v>
      </c>
      <c r="BN3081" s="5" t="s">
        <v>259</v>
      </c>
      <c r="BO3081" s="5" t="s">
        <v>240</v>
      </c>
      <c r="BP3081" s="5" t="s">
        <v>240</v>
      </c>
      <c r="BQ3081" s="5" t="s">
        <v>240</v>
      </c>
      <c r="BR3081" s="5" t="s">
        <v>240</v>
      </c>
      <c r="BS3081" s="5" t="s">
        <v>240</v>
      </c>
      <c r="BT3081" s="5" t="s">
        <v>240</v>
      </c>
      <c r="BU3081" s="5" t="s">
        <v>240</v>
      </c>
      <c r="BV3081" s="5" t="s">
        <v>240</v>
      </c>
      <c r="BW3081" s="6" t="s">
        <v>240</v>
      </c>
      <c r="BX3081" s="5" t="s">
        <v>240</v>
      </c>
      <c r="BY3081" s="5" t="s">
        <v>240</v>
      </c>
      <c r="BZ3081" s="5" t="s">
        <v>240</v>
      </c>
      <c r="CA3081" s="5" t="s">
        <v>259</v>
      </c>
      <c r="CB3081" s="5" t="s">
        <v>240</v>
      </c>
      <c r="CC3081" s="5" t="s">
        <v>240</v>
      </c>
      <c r="CD3081" s="5" t="s">
        <v>240</v>
      </c>
      <c r="CE3081" s="5" t="s">
        <v>240</v>
      </c>
      <c r="CF3081" s="5" t="s">
        <v>240</v>
      </c>
      <c r="CG3081" s="5" t="s">
        <v>304</v>
      </c>
      <c r="CH3081" s="5" t="s">
        <v>305</v>
      </c>
      <c r="CI3081" s="5" t="s">
        <v>240</v>
      </c>
      <c r="CK3081" s="5" t="s">
        <v>3681</v>
      </c>
      <c r="CL3081" s="6" t="s">
        <v>261</v>
      </c>
      <c r="CM3081" s="5" t="s">
        <v>262</v>
      </c>
      <c r="CN3081" s="5" t="s">
        <v>263</v>
      </c>
      <c r="CO3081" s="5" t="s">
        <v>264</v>
      </c>
      <c r="CP3081" s="5" t="s">
        <v>240</v>
      </c>
      <c r="CQ3081" s="5">
        <v>0</v>
      </c>
      <c r="CR3081" s="5" t="s">
        <v>735</v>
      </c>
      <c r="CS3081" s="5" t="s">
        <v>307</v>
      </c>
      <c r="CT3081" s="5" t="s">
        <v>307</v>
      </c>
      <c r="CU3081" s="5" t="s">
        <v>260</v>
      </c>
      <c r="CV3081" s="5" t="s">
        <v>612</v>
      </c>
      <c r="CW3081" s="8">
        <f>1</f>
        <v>1</v>
      </c>
      <c r="CX3081" s="7">
        <f>1</f>
        <v>1</v>
      </c>
      <c r="CY3081" s="7">
        <f>0</f>
        <v>0</v>
      </c>
      <c r="DA3081" s="7">
        <f>1</f>
        <v>1</v>
      </c>
      <c r="DB3081" s="7" t="s">
        <v>240</v>
      </c>
      <c r="DC3081" s="5" t="s">
        <v>240</v>
      </c>
      <c r="DD3081" s="5" t="s">
        <v>240</v>
      </c>
      <c r="DE3081" s="5" t="s">
        <v>240</v>
      </c>
      <c r="DF3081" s="5" t="s">
        <v>240</v>
      </c>
      <c r="DG3081" s="7">
        <f>0</f>
        <v>0</v>
      </c>
      <c r="DI3081" s="5" t="s">
        <v>240</v>
      </c>
      <c r="DJ3081" s="5" t="s">
        <v>240</v>
      </c>
      <c r="DK3081" s="5" t="s">
        <v>240</v>
      </c>
      <c r="DL3081" s="5" t="s">
        <v>240</v>
      </c>
      <c r="DM3081" s="5" t="s">
        <v>240</v>
      </c>
      <c r="DN3081" s="5" t="s">
        <v>240</v>
      </c>
      <c r="DO3081" s="7" t="s">
        <v>240</v>
      </c>
      <c r="DP3081" s="5" t="s">
        <v>240</v>
      </c>
      <c r="DQ3081" s="5" t="s">
        <v>240</v>
      </c>
      <c r="DR3081" s="5" t="s">
        <v>731</v>
      </c>
      <c r="DS3081" s="5" t="s">
        <v>731</v>
      </c>
      <c r="DT3081" s="5" t="s">
        <v>240</v>
      </c>
      <c r="DU3081" s="5" t="s">
        <v>240</v>
      </c>
      <c r="DV3081" s="5" t="s">
        <v>3683</v>
      </c>
      <c r="DW3081" s="5" t="s">
        <v>3975</v>
      </c>
      <c r="DX3081" s="5" t="s">
        <v>240</v>
      </c>
      <c r="DY3081" s="5" t="s">
        <v>240</v>
      </c>
      <c r="DZ3081" s="5" t="s">
        <v>240</v>
      </c>
      <c r="EA3081" s="5" t="s">
        <v>240</v>
      </c>
      <c r="EB3081" s="5" t="s">
        <v>240</v>
      </c>
      <c r="EC3081" s="5" t="s">
        <v>240</v>
      </c>
      <c r="ED3081" s="5" t="s">
        <v>240</v>
      </c>
      <c r="EE3081" s="5" t="s">
        <v>240</v>
      </c>
      <c r="EF3081" s="5" t="s">
        <v>240</v>
      </c>
      <c r="EG3081" s="5" t="s">
        <v>240</v>
      </c>
      <c r="EH3081" s="5" t="s">
        <v>240</v>
      </c>
      <c r="EI3081" s="5" t="s">
        <v>240</v>
      </c>
      <c r="EJ3081" s="5" t="s">
        <v>240</v>
      </c>
      <c r="EK3081" s="5" t="s">
        <v>240</v>
      </c>
      <c r="EL3081" s="5" t="s">
        <v>240</v>
      </c>
      <c r="EM3081" s="5" t="s">
        <v>240</v>
      </c>
      <c r="EN3081" s="5" t="s">
        <v>240</v>
      </c>
      <c r="EO3081" s="5" t="s">
        <v>240</v>
      </c>
      <c r="EP3081" s="5" t="s">
        <v>240</v>
      </c>
      <c r="EQ3081" s="5" t="s">
        <v>240</v>
      </c>
      <c r="ER3081" s="5" t="s">
        <v>240</v>
      </c>
      <c r="ES3081" s="5" t="s">
        <v>240</v>
      </c>
      <c r="ET3081" s="5" t="s">
        <v>240</v>
      </c>
      <c r="EU3081" s="5" t="s">
        <v>240</v>
      </c>
      <c r="EV3081" s="5" t="s">
        <v>240</v>
      </c>
      <c r="EW3081" s="5" t="s">
        <v>240</v>
      </c>
      <c r="EX3081" s="5" t="s">
        <v>240</v>
      </c>
      <c r="EY3081" s="5" t="s">
        <v>240</v>
      </c>
      <c r="EZ3081" s="5" t="s">
        <v>240</v>
      </c>
      <c r="FA3081" s="5" t="s">
        <v>240</v>
      </c>
      <c r="FB3081" s="5" t="s">
        <v>240</v>
      </c>
      <c r="FC3081" s="5" t="s">
        <v>240</v>
      </c>
      <c r="FD3081" s="5" t="s">
        <v>240</v>
      </c>
      <c r="FE3081" s="5" t="s">
        <v>240</v>
      </c>
      <c r="FF3081" s="5" t="s">
        <v>240</v>
      </c>
      <c r="FG3081" s="5" t="s">
        <v>240</v>
      </c>
      <c r="FH3081" s="5" t="s">
        <v>240</v>
      </c>
      <c r="FI3081" s="5" t="s">
        <v>240</v>
      </c>
      <c r="FJ3081" s="5" t="s">
        <v>240</v>
      </c>
      <c r="FK3081" s="5" t="s">
        <v>240</v>
      </c>
      <c r="FL3081" s="5" t="s">
        <v>240</v>
      </c>
      <c r="FM3081" s="5" t="s">
        <v>240</v>
      </c>
      <c r="FN3081" s="5" t="s">
        <v>240</v>
      </c>
      <c r="FO3081" s="5" t="s">
        <v>240</v>
      </c>
      <c r="FP3081" s="5" t="s">
        <v>240</v>
      </c>
      <c r="FQ3081" s="5" t="s">
        <v>240</v>
      </c>
      <c r="FR3081" s="5" t="s">
        <v>240</v>
      </c>
      <c r="FS3081" s="5" t="s">
        <v>240</v>
      </c>
      <c r="FT3081" s="5" t="s">
        <v>240</v>
      </c>
      <c r="FU3081" s="5" t="s">
        <v>240</v>
      </c>
      <c r="FV3081" s="5" t="s">
        <v>240</v>
      </c>
      <c r="FW3081" s="5" t="s">
        <v>240</v>
      </c>
      <c r="FX3081" s="5" t="s">
        <v>240</v>
      </c>
      <c r="FY3081" s="5" t="s">
        <v>240</v>
      </c>
      <c r="FZ3081" s="5" t="s">
        <v>240</v>
      </c>
      <c r="GA3081" s="5" t="s">
        <v>240</v>
      </c>
      <c r="GB3081" s="5" t="s">
        <v>240</v>
      </c>
      <c r="GC3081" s="5" t="s">
        <v>240</v>
      </c>
      <c r="GD3081" s="5" t="s">
        <v>240</v>
      </c>
      <c r="GE3081" s="5" t="s">
        <v>240</v>
      </c>
      <c r="GF3081" s="5" t="s">
        <v>240</v>
      </c>
      <c r="GG3081" s="5" t="s">
        <v>240</v>
      </c>
      <c r="GH3081" s="5" t="s">
        <v>240</v>
      </c>
      <c r="GI3081" s="5" t="s">
        <v>240</v>
      </c>
      <c r="GJ3081" s="5" t="s">
        <v>240</v>
      </c>
      <c r="GK3081" s="5" t="s">
        <v>240</v>
      </c>
      <c r="GL3081" s="5" t="s">
        <v>240</v>
      </c>
      <c r="GM3081" s="5" t="s">
        <v>240</v>
      </c>
      <c r="GN3081" s="5" t="s">
        <v>240</v>
      </c>
      <c r="GO3081" s="5" t="s">
        <v>240</v>
      </c>
      <c r="GP3081" s="5" t="s">
        <v>240</v>
      </c>
      <c r="GQ3081" s="5" t="s">
        <v>240</v>
      </c>
      <c r="GR3081" s="5" t="s">
        <v>240</v>
      </c>
      <c r="GS3081" s="5" t="s">
        <v>240</v>
      </c>
      <c r="GT3081" s="5" t="s">
        <v>240</v>
      </c>
      <c r="GU3081" s="5" t="s">
        <v>240</v>
      </c>
      <c r="GV3081" s="5" t="s">
        <v>240</v>
      </c>
      <c r="GW3081" s="5" t="s">
        <v>240</v>
      </c>
      <c r="GX3081" s="5" t="s">
        <v>240</v>
      </c>
      <c r="GY3081" s="5" t="s">
        <v>240</v>
      </c>
      <c r="GZ3081" s="5" t="s">
        <v>240</v>
      </c>
      <c r="HA3081" s="5" t="s">
        <v>240</v>
      </c>
      <c r="HB3081" s="5" t="s">
        <v>240</v>
      </c>
      <c r="HC3081" s="5" t="s">
        <v>240</v>
      </c>
      <c r="HD3081" s="5" t="s">
        <v>240</v>
      </c>
      <c r="HE3081" s="5" t="s">
        <v>240</v>
      </c>
      <c r="HF3081" s="5" t="s">
        <v>240</v>
      </c>
      <c r="HG3081" s="5" t="s">
        <v>240</v>
      </c>
      <c r="HH3081" s="5" t="s">
        <v>240</v>
      </c>
      <c r="HI3081" s="5" t="s">
        <v>240</v>
      </c>
      <c r="HJ3081" s="5" t="s">
        <v>240</v>
      </c>
      <c r="HK3081" s="5" t="s">
        <v>240</v>
      </c>
      <c r="HL3081" s="5" t="s">
        <v>240</v>
      </c>
      <c r="HM3081" s="5" t="s">
        <v>240</v>
      </c>
      <c r="HN3081" s="5" t="s">
        <v>240</v>
      </c>
      <c r="HO3081" s="5" t="s">
        <v>312</v>
      </c>
      <c r="HP3081" s="5" t="s">
        <v>240</v>
      </c>
      <c r="HQ3081" s="5" t="s">
        <v>240</v>
      </c>
      <c r="HR3081" s="5" t="s">
        <v>240</v>
      </c>
      <c r="HS3081" s="5" t="s">
        <v>240</v>
      </c>
      <c r="HT3081" s="5" t="s">
        <v>240</v>
      </c>
      <c r="HU3081" s="5" t="s">
        <v>240</v>
      </c>
      <c r="HV3081" s="5" t="s">
        <v>240</v>
      </c>
      <c r="HW3081" s="5" t="s">
        <v>240</v>
      </c>
      <c r="HX3081" s="5" t="s">
        <v>240</v>
      </c>
      <c r="HY3081" s="5" t="s">
        <v>240</v>
      </c>
      <c r="HZ3081" s="5" t="s">
        <v>240</v>
      </c>
      <c r="IA3081" s="5" t="s">
        <v>240</v>
      </c>
      <c r="IB3081" s="5" t="s">
        <v>240</v>
      </c>
      <c r="IC3081" s="5" t="s">
        <v>240</v>
      </c>
      <c r="ID3081" s="5" t="s">
        <v>240</v>
      </c>
      <c r="IE3081" s="5" t="s">
        <v>240</v>
      </c>
      <c r="IF3081" s="5" t="s">
        <v>240</v>
      </c>
    </row>
    <row r="3082" spans="1:240" x14ac:dyDescent="0.4">
      <c r="A3082" s="5">
        <v>4786</v>
      </c>
      <c r="B3082" s="5">
        <v>1</v>
      </c>
      <c r="C3082" s="5">
        <v>1</v>
      </c>
      <c r="D3082" s="5" t="s">
        <v>810</v>
      </c>
      <c r="E3082" s="5" t="s">
        <v>245</v>
      </c>
      <c r="F3082" s="5" t="s">
        <v>254</v>
      </c>
      <c r="G3082" s="5" t="s">
        <v>240</v>
      </c>
      <c r="H3082" s="6" t="s">
        <v>2382</v>
      </c>
      <c r="I3082" s="5" t="s">
        <v>809</v>
      </c>
      <c r="J3082" s="8">
        <f>532</f>
        <v>532</v>
      </c>
      <c r="K3082" s="5" t="s">
        <v>308</v>
      </c>
      <c r="L3082" s="7">
        <f>1</f>
        <v>1</v>
      </c>
      <c r="M3082" s="7">
        <f>1</f>
        <v>1</v>
      </c>
      <c r="N3082" s="5" t="s">
        <v>242</v>
      </c>
      <c r="O3082" s="5">
        <v>1</v>
      </c>
      <c r="P3082" s="5" t="s">
        <v>294</v>
      </c>
      <c r="Q3082" s="5" t="s">
        <v>3678</v>
      </c>
      <c r="R3082" s="5" t="s">
        <v>240</v>
      </c>
      <c r="S3082" s="5" t="s">
        <v>240</v>
      </c>
      <c r="T3082" s="5" t="s">
        <v>243</v>
      </c>
      <c r="U3082" s="5" t="s">
        <v>244</v>
      </c>
      <c r="V3082" s="5" t="s">
        <v>240</v>
      </c>
      <c r="W3082" s="5" t="s">
        <v>240</v>
      </c>
      <c r="X3082" s="5" t="s">
        <v>240</v>
      </c>
      <c r="Y3082" s="5" t="s">
        <v>240</v>
      </c>
      <c r="Z3082" s="6" t="s">
        <v>298</v>
      </c>
      <c r="AA3082" s="6" t="s">
        <v>240</v>
      </c>
      <c r="AB3082" s="6" t="s">
        <v>240</v>
      </c>
      <c r="AC3082" s="5" t="s">
        <v>240</v>
      </c>
      <c r="AD3082" s="6" t="s">
        <v>240</v>
      </c>
      <c r="AE3082" s="6" t="s">
        <v>299</v>
      </c>
      <c r="AF3082" s="5" t="s">
        <v>248</v>
      </c>
      <c r="AG3082" s="5" t="s">
        <v>249</v>
      </c>
      <c r="AH3082" s="5" t="s">
        <v>240</v>
      </c>
      <c r="AI3082" s="5" t="s">
        <v>240</v>
      </c>
      <c r="AJ3082" s="5" t="s">
        <v>240</v>
      </c>
      <c r="AK3082" s="5" t="s">
        <v>240</v>
      </c>
      <c r="AL3082" s="5" t="s">
        <v>240</v>
      </c>
      <c r="AM3082" s="5" t="s">
        <v>240</v>
      </c>
      <c r="AN3082" s="5" t="s">
        <v>240</v>
      </c>
      <c r="AO3082" s="5" t="s">
        <v>240</v>
      </c>
      <c r="AP3082" s="6" t="s">
        <v>240</v>
      </c>
      <c r="AQ3082" s="6" t="s">
        <v>240</v>
      </c>
      <c r="AR3082" s="6" t="s">
        <v>240</v>
      </c>
      <c r="AS3082" s="6" t="s">
        <v>240</v>
      </c>
      <c r="AT3082" s="5" t="s">
        <v>240</v>
      </c>
      <c r="AU3082" s="5" t="s">
        <v>729</v>
      </c>
      <c r="AV3082" s="5" t="s">
        <v>729</v>
      </c>
      <c r="AW3082" s="5" t="s">
        <v>251</v>
      </c>
      <c r="AX3082" s="5" t="s">
        <v>252</v>
      </c>
      <c r="AY3082" s="5" t="s">
        <v>253</v>
      </c>
      <c r="AZ3082" s="5" t="s">
        <v>240</v>
      </c>
      <c r="BA3082" s="5" t="s">
        <v>255</v>
      </c>
      <c r="BB3082" s="5" t="s">
        <v>731</v>
      </c>
      <c r="BD3082" s="5" t="s">
        <v>240</v>
      </c>
      <c r="BF3082" s="5" t="s">
        <v>732</v>
      </c>
      <c r="BG3082" s="6" t="s">
        <v>733</v>
      </c>
      <c r="BH3082" s="5" t="s">
        <v>734</v>
      </c>
      <c r="BI3082" s="5" t="s">
        <v>734</v>
      </c>
      <c r="BJ3082" s="5" t="s">
        <v>240</v>
      </c>
      <c r="BK3082" s="7">
        <f>1</f>
        <v>1</v>
      </c>
      <c r="BL3082" s="7">
        <f>1</f>
        <v>1</v>
      </c>
      <c r="BM3082" s="5" t="s">
        <v>258</v>
      </c>
      <c r="BN3082" s="5" t="s">
        <v>259</v>
      </c>
      <c r="BO3082" s="5" t="s">
        <v>240</v>
      </c>
      <c r="BP3082" s="5" t="s">
        <v>240</v>
      </c>
      <c r="BQ3082" s="5" t="s">
        <v>240</v>
      </c>
      <c r="BR3082" s="5" t="s">
        <v>240</v>
      </c>
      <c r="BS3082" s="5" t="s">
        <v>240</v>
      </c>
      <c r="BT3082" s="5" t="s">
        <v>240</v>
      </c>
      <c r="BU3082" s="5" t="s">
        <v>240</v>
      </c>
      <c r="BV3082" s="5" t="s">
        <v>240</v>
      </c>
      <c r="BW3082" s="6" t="s">
        <v>240</v>
      </c>
      <c r="BX3082" s="5" t="s">
        <v>240</v>
      </c>
      <c r="BY3082" s="5" t="s">
        <v>240</v>
      </c>
      <c r="BZ3082" s="5" t="s">
        <v>240</v>
      </c>
      <c r="CA3082" s="5" t="s">
        <v>259</v>
      </c>
      <c r="CB3082" s="5" t="s">
        <v>240</v>
      </c>
      <c r="CC3082" s="5" t="s">
        <v>240</v>
      </c>
      <c r="CD3082" s="5" t="s">
        <v>240</v>
      </c>
      <c r="CE3082" s="5" t="s">
        <v>240</v>
      </c>
      <c r="CF3082" s="5" t="s">
        <v>240</v>
      </c>
      <c r="CG3082" s="5" t="s">
        <v>304</v>
      </c>
      <c r="CH3082" s="5" t="s">
        <v>305</v>
      </c>
      <c r="CI3082" s="5" t="s">
        <v>240</v>
      </c>
      <c r="CK3082" s="5" t="s">
        <v>3681</v>
      </c>
      <c r="CL3082" s="6" t="s">
        <v>261</v>
      </c>
      <c r="CM3082" s="5" t="s">
        <v>262</v>
      </c>
      <c r="CN3082" s="5" t="s">
        <v>263</v>
      </c>
      <c r="CO3082" s="5" t="s">
        <v>264</v>
      </c>
      <c r="CP3082" s="5" t="s">
        <v>240</v>
      </c>
      <c r="CQ3082" s="5">
        <v>0</v>
      </c>
      <c r="CR3082" s="5" t="s">
        <v>735</v>
      </c>
      <c r="CS3082" s="5" t="s">
        <v>307</v>
      </c>
      <c r="CT3082" s="5" t="s">
        <v>307</v>
      </c>
      <c r="CU3082" s="5" t="s">
        <v>260</v>
      </c>
      <c r="CV3082" s="5" t="s">
        <v>612</v>
      </c>
      <c r="CW3082" s="8">
        <f>1</f>
        <v>1</v>
      </c>
      <c r="CX3082" s="7">
        <f>1</f>
        <v>1</v>
      </c>
      <c r="CY3082" s="7">
        <f>0</f>
        <v>0</v>
      </c>
      <c r="DA3082" s="7">
        <f>1</f>
        <v>1</v>
      </c>
      <c r="DB3082" s="7" t="s">
        <v>240</v>
      </c>
      <c r="DC3082" s="5" t="s">
        <v>240</v>
      </c>
      <c r="DD3082" s="5" t="s">
        <v>240</v>
      </c>
      <c r="DE3082" s="5" t="s">
        <v>240</v>
      </c>
      <c r="DF3082" s="5" t="s">
        <v>240</v>
      </c>
      <c r="DG3082" s="7">
        <f>0</f>
        <v>0</v>
      </c>
      <c r="DI3082" s="5" t="s">
        <v>240</v>
      </c>
      <c r="DJ3082" s="5" t="s">
        <v>240</v>
      </c>
      <c r="DK3082" s="5" t="s">
        <v>240</v>
      </c>
      <c r="DL3082" s="5" t="s">
        <v>240</v>
      </c>
      <c r="DM3082" s="5" t="s">
        <v>240</v>
      </c>
      <c r="DN3082" s="5" t="s">
        <v>240</v>
      </c>
      <c r="DO3082" s="7" t="s">
        <v>240</v>
      </c>
      <c r="DP3082" s="5" t="s">
        <v>240</v>
      </c>
      <c r="DQ3082" s="5" t="s">
        <v>240</v>
      </c>
      <c r="DR3082" s="5" t="s">
        <v>731</v>
      </c>
      <c r="DS3082" s="5" t="s">
        <v>731</v>
      </c>
      <c r="DT3082" s="5" t="s">
        <v>240</v>
      </c>
      <c r="DU3082" s="5" t="s">
        <v>240</v>
      </c>
      <c r="DV3082" s="5" t="s">
        <v>3683</v>
      </c>
      <c r="DW3082" s="5" t="s">
        <v>4015</v>
      </c>
      <c r="DX3082" s="5" t="s">
        <v>240</v>
      </c>
      <c r="DY3082" s="5" t="s">
        <v>240</v>
      </c>
      <c r="DZ3082" s="5" t="s">
        <v>240</v>
      </c>
      <c r="EA3082" s="5" t="s">
        <v>240</v>
      </c>
      <c r="EB3082" s="5" t="s">
        <v>240</v>
      </c>
      <c r="EC3082" s="5" t="s">
        <v>240</v>
      </c>
      <c r="ED3082" s="5" t="s">
        <v>240</v>
      </c>
      <c r="EE3082" s="5" t="s">
        <v>240</v>
      </c>
      <c r="EF3082" s="5" t="s">
        <v>240</v>
      </c>
      <c r="EG3082" s="5" t="s">
        <v>240</v>
      </c>
      <c r="EH3082" s="5" t="s">
        <v>240</v>
      </c>
      <c r="EI3082" s="5" t="s">
        <v>240</v>
      </c>
      <c r="EJ3082" s="5" t="s">
        <v>240</v>
      </c>
      <c r="EK3082" s="5" t="s">
        <v>240</v>
      </c>
      <c r="EL3082" s="5" t="s">
        <v>240</v>
      </c>
      <c r="EM3082" s="5" t="s">
        <v>240</v>
      </c>
      <c r="EN3082" s="5" t="s">
        <v>240</v>
      </c>
      <c r="EO3082" s="5" t="s">
        <v>240</v>
      </c>
      <c r="EP3082" s="5" t="s">
        <v>240</v>
      </c>
      <c r="EQ3082" s="5" t="s">
        <v>240</v>
      </c>
      <c r="ER3082" s="5" t="s">
        <v>240</v>
      </c>
      <c r="ES3082" s="5" t="s">
        <v>240</v>
      </c>
      <c r="ET3082" s="5" t="s">
        <v>240</v>
      </c>
      <c r="EU3082" s="5" t="s">
        <v>240</v>
      </c>
      <c r="EV3082" s="5" t="s">
        <v>240</v>
      </c>
      <c r="EW3082" s="5" t="s">
        <v>240</v>
      </c>
      <c r="EX3082" s="5" t="s">
        <v>240</v>
      </c>
      <c r="EY3082" s="5" t="s">
        <v>240</v>
      </c>
      <c r="EZ3082" s="5" t="s">
        <v>240</v>
      </c>
      <c r="FA3082" s="5" t="s">
        <v>240</v>
      </c>
      <c r="FB3082" s="5" t="s">
        <v>240</v>
      </c>
      <c r="FC3082" s="5" t="s">
        <v>240</v>
      </c>
      <c r="FD3082" s="5" t="s">
        <v>240</v>
      </c>
      <c r="FE3082" s="5" t="s">
        <v>240</v>
      </c>
      <c r="FF3082" s="5" t="s">
        <v>240</v>
      </c>
      <c r="FG3082" s="5" t="s">
        <v>240</v>
      </c>
      <c r="FH3082" s="5" t="s">
        <v>240</v>
      </c>
      <c r="FI3082" s="5" t="s">
        <v>240</v>
      </c>
      <c r="FJ3082" s="5" t="s">
        <v>240</v>
      </c>
      <c r="FK3082" s="5" t="s">
        <v>240</v>
      </c>
      <c r="FL3082" s="5" t="s">
        <v>240</v>
      </c>
      <c r="FM3082" s="5" t="s">
        <v>240</v>
      </c>
      <c r="FN3082" s="5" t="s">
        <v>240</v>
      </c>
      <c r="FO3082" s="5" t="s">
        <v>240</v>
      </c>
      <c r="FP3082" s="5" t="s">
        <v>240</v>
      </c>
      <c r="FQ3082" s="5" t="s">
        <v>240</v>
      </c>
      <c r="FR3082" s="5" t="s">
        <v>240</v>
      </c>
      <c r="FS3082" s="5" t="s">
        <v>240</v>
      </c>
      <c r="FT3082" s="5" t="s">
        <v>240</v>
      </c>
      <c r="FU3082" s="5" t="s">
        <v>240</v>
      </c>
      <c r="FV3082" s="5" t="s">
        <v>240</v>
      </c>
      <c r="FW3082" s="5" t="s">
        <v>240</v>
      </c>
      <c r="FX3082" s="5" t="s">
        <v>240</v>
      </c>
      <c r="FY3082" s="5" t="s">
        <v>240</v>
      </c>
      <c r="FZ3082" s="5" t="s">
        <v>240</v>
      </c>
      <c r="GA3082" s="5" t="s">
        <v>240</v>
      </c>
      <c r="GB3082" s="5" t="s">
        <v>240</v>
      </c>
      <c r="GC3082" s="5" t="s">
        <v>240</v>
      </c>
      <c r="GD3082" s="5" t="s">
        <v>240</v>
      </c>
      <c r="GE3082" s="5" t="s">
        <v>240</v>
      </c>
      <c r="GF3082" s="5" t="s">
        <v>240</v>
      </c>
      <c r="GG3082" s="5" t="s">
        <v>240</v>
      </c>
      <c r="GH3082" s="5" t="s">
        <v>240</v>
      </c>
      <c r="GI3082" s="5" t="s">
        <v>240</v>
      </c>
      <c r="GJ3082" s="5" t="s">
        <v>240</v>
      </c>
      <c r="GK3082" s="5" t="s">
        <v>240</v>
      </c>
      <c r="GL3082" s="5" t="s">
        <v>240</v>
      </c>
      <c r="GM3082" s="5" t="s">
        <v>240</v>
      </c>
      <c r="GN3082" s="5" t="s">
        <v>240</v>
      </c>
      <c r="GO3082" s="5" t="s">
        <v>240</v>
      </c>
      <c r="GP3082" s="5" t="s">
        <v>240</v>
      </c>
      <c r="GQ3082" s="5" t="s">
        <v>240</v>
      </c>
      <c r="GR3082" s="5" t="s">
        <v>240</v>
      </c>
      <c r="GS3082" s="5" t="s">
        <v>240</v>
      </c>
      <c r="GT3082" s="5" t="s">
        <v>240</v>
      </c>
      <c r="GU3082" s="5" t="s">
        <v>240</v>
      </c>
      <c r="GV3082" s="5" t="s">
        <v>240</v>
      </c>
      <c r="GW3082" s="5" t="s">
        <v>240</v>
      </c>
      <c r="GX3082" s="5" t="s">
        <v>240</v>
      </c>
      <c r="GY3082" s="5" t="s">
        <v>240</v>
      </c>
      <c r="GZ3082" s="5" t="s">
        <v>240</v>
      </c>
      <c r="HA3082" s="5" t="s">
        <v>240</v>
      </c>
      <c r="HB3082" s="5" t="s">
        <v>240</v>
      </c>
      <c r="HC3082" s="5" t="s">
        <v>240</v>
      </c>
      <c r="HD3082" s="5" t="s">
        <v>240</v>
      </c>
      <c r="HE3082" s="5" t="s">
        <v>240</v>
      </c>
      <c r="HF3082" s="5" t="s">
        <v>240</v>
      </c>
      <c r="HG3082" s="5" t="s">
        <v>240</v>
      </c>
      <c r="HH3082" s="5" t="s">
        <v>240</v>
      </c>
      <c r="HI3082" s="5" t="s">
        <v>240</v>
      </c>
      <c r="HJ3082" s="5" t="s">
        <v>240</v>
      </c>
      <c r="HK3082" s="5" t="s">
        <v>240</v>
      </c>
      <c r="HL3082" s="5" t="s">
        <v>240</v>
      </c>
      <c r="HM3082" s="5" t="s">
        <v>240</v>
      </c>
      <c r="HN3082" s="5" t="s">
        <v>240</v>
      </c>
      <c r="HO3082" s="5" t="s">
        <v>312</v>
      </c>
      <c r="HP3082" s="5" t="s">
        <v>240</v>
      </c>
      <c r="HQ3082" s="5" t="s">
        <v>240</v>
      </c>
      <c r="HR3082" s="5" t="s">
        <v>240</v>
      </c>
      <c r="HS3082" s="5" t="s">
        <v>240</v>
      </c>
      <c r="HT3082" s="5" t="s">
        <v>240</v>
      </c>
      <c r="HU3082" s="5" t="s">
        <v>240</v>
      </c>
      <c r="HV3082" s="5" t="s">
        <v>240</v>
      </c>
      <c r="HW3082" s="5" t="s">
        <v>240</v>
      </c>
      <c r="HX3082" s="5" t="s">
        <v>240</v>
      </c>
      <c r="HY3082" s="5" t="s">
        <v>240</v>
      </c>
      <c r="HZ3082" s="5" t="s">
        <v>240</v>
      </c>
      <c r="IA3082" s="5" t="s">
        <v>240</v>
      </c>
      <c r="IB3082" s="5" t="s">
        <v>240</v>
      </c>
      <c r="IC3082" s="5" t="s">
        <v>240</v>
      </c>
      <c r="ID3082" s="5" t="s">
        <v>240</v>
      </c>
      <c r="IE3082" s="5" t="s">
        <v>240</v>
      </c>
      <c r="IF3082" s="5" t="s">
        <v>240</v>
      </c>
    </row>
    <row r="3083" spans="1:240" x14ac:dyDescent="0.4">
      <c r="A3083" s="5">
        <v>4787</v>
      </c>
      <c r="B3083" s="5">
        <v>1</v>
      </c>
      <c r="C3083" s="5">
        <v>1</v>
      </c>
      <c r="D3083" s="5" t="s">
        <v>810</v>
      </c>
      <c r="E3083" s="5" t="s">
        <v>245</v>
      </c>
      <c r="F3083" s="5" t="s">
        <v>254</v>
      </c>
      <c r="G3083" s="5" t="s">
        <v>240</v>
      </c>
      <c r="H3083" s="6" t="s">
        <v>2380</v>
      </c>
      <c r="I3083" s="5" t="s">
        <v>809</v>
      </c>
      <c r="J3083" s="8">
        <f>1273</f>
        <v>1273</v>
      </c>
      <c r="K3083" s="5" t="s">
        <v>308</v>
      </c>
      <c r="L3083" s="7">
        <f>1</f>
        <v>1</v>
      </c>
      <c r="M3083" s="7">
        <f>1</f>
        <v>1</v>
      </c>
      <c r="N3083" s="5" t="s">
        <v>242</v>
      </c>
      <c r="O3083" s="5">
        <v>1</v>
      </c>
      <c r="P3083" s="5" t="s">
        <v>294</v>
      </c>
      <c r="Q3083" s="5" t="s">
        <v>3678</v>
      </c>
      <c r="R3083" s="5" t="s">
        <v>240</v>
      </c>
      <c r="S3083" s="5" t="s">
        <v>240</v>
      </c>
      <c r="T3083" s="5" t="s">
        <v>243</v>
      </c>
      <c r="U3083" s="5" t="s">
        <v>244</v>
      </c>
      <c r="V3083" s="5" t="s">
        <v>240</v>
      </c>
      <c r="W3083" s="5" t="s">
        <v>240</v>
      </c>
      <c r="X3083" s="5" t="s">
        <v>240</v>
      </c>
      <c r="Y3083" s="5" t="s">
        <v>240</v>
      </c>
      <c r="Z3083" s="6" t="s">
        <v>298</v>
      </c>
      <c r="AA3083" s="6" t="s">
        <v>240</v>
      </c>
      <c r="AB3083" s="6" t="s">
        <v>240</v>
      </c>
      <c r="AC3083" s="5" t="s">
        <v>240</v>
      </c>
      <c r="AD3083" s="6" t="s">
        <v>240</v>
      </c>
      <c r="AE3083" s="6" t="s">
        <v>299</v>
      </c>
      <c r="AF3083" s="5" t="s">
        <v>248</v>
      </c>
      <c r="AG3083" s="5" t="s">
        <v>249</v>
      </c>
      <c r="AH3083" s="5" t="s">
        <v>240</v>
      </c>
      <c r="AI3083" s="5" t="s">
        <v>240</v>
      </c>
      <c r="AJ3083" s="5" t="s">
        <v>240</v>
      </c>
      <c r="AK3083" s="5" t="s">
        <v>240</v>
      </c>
      <c r="AL3083" s="5" t="s">
        <v>240</v>
      </c>
      <c r="AM3083" s="5" t="s">
        <v>240</v>
      </c>
      <c r="AN3083" s="5" t="s">
        <v>240</v>
      </c>
      <c r="AO3083" s="5" t="s">
        <v>240</v>
      </c>
      <c r="AP3083" s="6" t="s">
        <v>240</v>
      </c>
      <c r="AQ3083" s="6" t="s">
        <v>240</v>
      </c>
      <c r="AR3083" s="6" t="s">
        <v>240</v>
      </c>
      <c r="AS3083" s="6" t="s">
        <v>240</v>
      </c>
      <c r="AT3083" s="5" t="s">
        <v>240</v>
      </c>
      <c r="AU3083" s="5" t="s">
        <v>729</v>
      </c>
      <c r="AV3083" s="5" t="s">
        <v>729</v>
      </c>
      <c r="AW3083" s="5" t="s">
        <v>251</v>
      </c>
      <c r="AX3083" s="5" t="s">
        <v>252</v>
      </c>
      <c r="AY3083" s="5" t="s">
        <v>253</v>
      </c>
      <c r="AZ3083" s="5" t="s">
        <v>240</v>
      </c>
      <c r="BA3083" s="5" t="s">
        <v>255</v>
      </c>
      <c r="BB3083" s="5" t="s">
        <v>731</v>
      </c>
      <c r="BD3083" s="5" t="s">
        <v>240</v>
      </c>
      <c r="BF3083" s="5" t="s">
        <v>732</v>
      </c>
      <c r="BG3083" s="6" t="s">
        <v>733</v>
      </c>
      <c r="BH3083" s="5" t="s">
        <v>734</v>
      </c>
      <c r="BI3083" s="5" t="s">
        <v>734</v>
      </c>
      <c r="BJ3083" s="5" t="s">
        <v>240</v>
      </c>
      <c r="BK3083" s="7">
        <f>1</f>
        <v>1</v>
      </c>
      <c r="BL3083" s="7">
        <f>1</f>
        <v>1</v>
      </c>
      <c r="BM3083" s="5" t="s">
        <v>258</v>
      </c>
      <c r="BN3083" s="5" t="s">
        <v>259</v>
      </c>
      <c r="BO3083" s="5" t="s">
        <v>240</v>
      </c>
      <c r="BP3083" s="5" t="s">
        <v>240</v>
      </c>
      <c r="BQ3083" s="5" t="s">
        <v>240</v>
      </c>
      <c r="BR3083" s="5" t="s">
        <v>240</v>
      </c>
      <c r="BS3083" s="5" t="s">
        <v>240</v>
      </c>
      <c r="BT3083" s="5" t="s">
        <v>240</v>
      </c>
      <c r="BU3083" s="5" t="s">
        <v>240</v>
      </c>
      <c r="BV3083" s="5" t="s">
        <v>240</v>
      </c>
      <c r="BW3083" s="6" t="s">
        <v>240</v>
      </c>
      <c r="BX3083" s="5" t="s">
        <v>240</v>
      </c>
      <c r="BY3083" s="5" t="s">
        <v>240</v>
      </c>
      <c r="BZ3083" s="5" t="s">
        <v>240</v>
      </c>
      <c r="CA3083" s="5" t="s">
        <v>259</v>
      </c>
      <c r="CB3083" s="5" t="s">
        <v>240</v>
      </c>
      <c r="CC3083" s="5" t="s">
        <v>240</v>
      </c>
      <c r="CD3083" s="5" t="s">
        <v>240</v>
      </c>
      <c r="CE3083" s="5" t="s">
        <v>240</v>
      </c>
      <c r="CF3083" s="5" t="s">
        <v>240</v>
      </c>
      <c r="CG3083" s="5" t="s">
        <v>304</v>
      </c>
      <c r="CH3083" s="5" t="s">
        <v>305</v>
      </c>
      <c r="CI3083" s="5" t="s">
        <v>240</v>
      </c>
      <c r="CK3083" s="5" t="s">
        <v>3681</v>
      </c>
      <c r="CL3083" s="6" t="s">
        <v>261</v>
      </c>
      <c r="CM3083" s="5" t="s">
        <v>262</v>
      </c>
      <c r="CN3083" s="5" t="s">
        <v>263</v>
      </c>
      <c r="CO3083" s="5" t="s">
        <v>264</v>
      </c>
      <c r="CP3083" s="5" t="s">
        <v>240</v>
      </c>
      <c r="CQ3083" s="5">
        <v>0</v>
      </c>
      <c r="CR3083" s="5" t="s">
        <v>735</v>
      </c>
      <c r="CS3083" s="5" t="s">
        <v>307</v>
      </c>
      <c r="CT3083" s="5" t="s">
        <v>307</v>
      </c>
      <c r="CU3083" s="5" t="s">
        <v>260</v>
      </c>
      <c r="CV3083" s="5" t="s">
        <v>612</v>
      </c>
      <c r="CW3083" s="8">
        <f>1</f>
        <v>1</v>
      </c>
      <c r="CX3083" s="7">
        <f>1</f>
        <v>1</v>
      </c>
      <c r="CY3083" s="7">
        <f>0</f>
        <v>0</v>
      </c>
      <c r="DA3083" s="7">
        <f>1</f>
        <v>1</v>
      </c>
      <c r="DB3083" s="7" t="s">
        <v>240</v>
      </c>
      <c r="DC3083" s="5" t="s">
        <v>240</v>
      </c>
      <c r="DD3083" s="5" t="s">
        <v>240</v>
      </c>
      <c r="DE3083" s="5" t="s">
        <v>240</v>
      </c>
      <c r="DF3083" s="5" t="s">
        <v>240</v>
      </c>
      <c r="DG3083" s="7">
        <f>0</f>
        <v>0</v>
      </c>
      <c r="DI3083" s="5" t="s">
        <v>240</v>
      </c>
      <c r="DJ3083" s="5" t="s">
        <v>240</v>
      </c>
      <c r="DK3083" s="5" t="s">
        <v>240</v>
      </c>
      <c r="DL3083" s="5" t="s">
        <v>240</v>
      </c>
      <c r="DM3083" s="5" t="s">
        <v>240</v>
      </c>
      <c r="DN3083" s="5" t="s">
        <v>240</v>
      </c>
      <c r="DO3083" s="7" t="s">
        <v>240</v>
      </c>
      <c r="DP3083" s="5" t="s">
        <v>240</v>
      </c>
      <c r="DQ3083" s="5" t="s">
        <v>240</v>
      </c>
      <c r="DR3083" s="5" t="s">
        <v>731</v>
      </c>
      <c r="DS3083" s="5" t="s">
        <v>731</v>
      </c>
      <c r="DT3083" s="5" t="s">
        <v>240</v>
      </c>
      <c r="DU3083" s="5" t="s">
        <v>240</v>
      </c>
      <c r="DV3083" s="5" t="s">
        <v>3683</v>
      </c>
      <c r="DW3083" s="5" t="s">
        <v>4038</v>
      </c>
      <c r="DX3083" s="5" t="s">
        <v>240</v>
      </c>
      <c r="DY3083" s="5" t="s">
        <v>240</v>
      </c>
      <c r="DZ3083" s="5" t="s">
        <v>240</v>
      </c>
      <c r="EA3083" s="5" t="s">
        <v>240</v>
      </c>
      <c r="EB3083" s="5" t="s">
        <v>240</v>
      </c>
      <c r="EC3083" s="5" t="s">
        <v>240</v>
      </c>
      <c r="ED3083" s="5" t="s">
        <v>240</v>
      </c>
      <c r="EE3083" s="5" t="s">
        <v>240</v>
      </c>
      <c r="EF3083" s="5" t="s">
        <v>240</v>
      </c>
      <c r="EG3083" s="5" t="s">
        <v>240</v>
      </c>
      <c r="EH3083" s="5" t="s">
        <v>240</v>
      </c>
      <c r="EI3083" s="5" t="s">
        <v>240</v>
      </c>
      <c r="EJ3083" s="5" t="s">
        <v>240</v>
      </c>
      <c r="EK3083" s="5" t="s">
        <v>240</v>
      </c>
      <c r="EL3083" s="5" t="s">
        <v>240</v>
      </c>
      <c r="EM3083" s="5" t="s">
        <v>240</v>
      </c>
      <c r="EN3083" s="5" t="s">
        <v>240</v>
      </c>
      <c r="EO3083" s="5" t="s">
        <v>240</v>
      </c>
      <c r="EP3083" s="5" t="s">
        <v>240</v>
      </c>
      <c r="EQ3083" s="5" t="s">
        <v>240</v>
      </c>
      <c r="ER3083" s="5" t="s">
        <v>240</v>
      </c>
      <c r="ES3083" s="5" t="s">
        <v>240</v>
      </c>
      <c r="ET3083" s="5" t="s">
        <v>240</v>
      </c>
      <c r="EU3083" s="5" t="s">
        <v>240</v>
      </c>
      <c r="EV3083" s="5" t="s">
        <v>240</v>
      </c>
      <c r="EW3083" s="5" t="s">
        <v>240</v>
      </c>
      <c r="EX3083" s="5" t="s">
        <v>240</v>
      </c>
      <c r="EY3083" s="5" t="s">
        <v>240</v>
      </c>
      <c r="EZ3083" s="5" t="s">
        <v>240</v>
      </c>
      <c r="FA3083" s="5" t="s">
        <v>240</v>
      </c>
      <c r="FB3083" s="5" t="s">
        <v>240</v>
      </c>
      <c r="FC3083" s="5" t="s">
        <v>240</v>
      </c>
      <c r="FD3083" s="5" t="s">
        <v>240</v>
      </c>
      <c r="FE3083" s="5" t="s">
        <v>240</v>
      </c>
      <c r="FF3083" s="5" t="s">
        <v>240</v>
      </c>
      <c r="FG3083" s="5" t="s">
        <v>240</v>
      </c>
      <c r="FH3083" s="5" t="s">
        <v>240</v>
      </c>
      <c r="FI3083" s="5" t="s">
        <v>240</v>
      </c>
      <c r="FJ3083" s="5" t="s">
        <v>240</v>
      </c>
      <c r="FK3083" s="5" t="s">
        <v>240</v>
      </c>
      <c r="FL3083" s="5" t="s">
        <v>240</v>
      </c>
      <c r="FM3083" s="5" t="s">
        <v>240</v>
      </c>
      <c r="FN3083" s="5" t="s">
        <v>240</v>
      </c>
      <c r="FO3083" s="5" t="s">
        <v>240</v>
      </c>
      <c r="FP3083" s="5" t="s">
        <v>240</v>
      </c>
      <c r="FQ3083" s="5" t="s">
        <v>240</v>
      </c>
      <c r="FR3083" s="5" t="s">
        <v>240</v>
      </c>
      <c r="FS3083" s="5" t="s">
        <v>240</v>
      </c>
      <c r="FT3083" s="5" t="s">
        <v>240</v>
      </c>
      <c r="FU3083" s="5" t="s">
        <v>240</v>
      </c>
      <c r="FV3083" s="5" t="s">
        <v>240</v>
      </c>
      <c r="FW3083" s="5" t="s">
        <v>240</v>
      </c>
      <c r="FX3083" s="5" t="s">
        <v>240</v>
      </c>
      <c r="FY3083" s="5" t="s">
        <v>240</v>
      </c>
      <c r="FZ3083" s="5" t="s">
        <v>240</v>
      </c>
      <c r="GA3083" s="5" t="s">
        <v>240</v>
      </c>
      <c r="GB3083" s="5" t="s">
        <v>240</v>
      </c>
      <c r="GC3083" s="5" t="s">
        <v>240</v>
      </c>
      <c r="GD3083" s="5" t="s">
        <v>240</v>
      </c>
      <c r="GE3083" s="5" t="s">
        <v>240</v>
      </c>
      <c r="GF3083" s="5" t="s">
        <v>240</v>
      </c>
      <c r="GG3083" s="5" t="s">
        <v>240</v>
      </c>
      <c r="GH3083" s="5" t="s">
        <v>240</v>
      </c>
      <c r="GI3083" s="5" t="s">
        <v>240</v>
      </c>
      <c r="GJ3083" s="5" t="s">
        <v>240</v>
      </c>
      <c r="GK3083" s="5" t="s">
        <v>240</v>
      </c>
      <c r="GL3083" s="5" t="s">
        <v>240</v>
      </c>
      <c r="GM3083" s="5" t="s">
        <v>240</v>
      </c>
      <c r="GN3083" s="5" t="s">
        <v>240</v>
      </c>
      <c r="GO3083" s="5" t="s">
        <v>240</v>
      </c>
      <c r="GP3083" s="5" t="s">
        <v>240</v>
      </c>
      <c r="GQ3083" s="5" t="s">
        <v>240</v>
      </c>
      <c r="GR3083" s="5" t="s">
        <v>240</v>
      </c>
      <c r="GS3083" s="5" t="s">
        <v>240</v>
      </c>
      <c r="GT3083" s="5" t="s">
        <v>240</v>
      </c>
      <c r="GU3083" s="5" t="s">
        <v>240</v>
      </c>
      <c r="GV3083" s="5" t="s">
        <v>240</v>
      </c>
      <c r="GW3083" s="5" t="s">
        <v>240</v>
      </c>
      <c r="GX3083" s="5" t="s">
        <v>240</v>
      </c>
      <c r="GY3083" s="5" t="s">
        <v>240</v>
      </c>
      <c r="GZ3083" s="5" t="s">
        <v>240</v>
      </c>
      <c r="HA3083" s="5" t="s">
        <v>240</v>
      </c>
      <c r="HB3083" s="5" t="s">
        <v>240</v>
      </c>
      <c r="HC3083" s="5" t="s">
        <v>240</v>
      </c>
      <c r="HD3083" s="5" t="s">
        <v>240</v>
      </c>
      <c r="HE3083" s="5" t="s">
        <v>240</v>
      </c>
      <c r="HF3083" s="5" t="s">
        <v>240</v>
      </c>
      <c r="HG3083" s="5" t="s">
        <v>240</v>
      </c>
      <c r="HH3083" s="5" t="s">
        <v>240</v>
      </c>
      <c r="HI3083" s="5" t="s">
        <v>240</v>
      </c>
      <c r="HJ3083" s="5" t="s">
        <v>240</v>
      </c>
      <c r="HK3083" s="5" t="s">
        <v>240</v>
      </c>
      <c r="HL3083" s="5" t="s">
        <v>240</v>
      </c>
      <c r="HM3083" s="5" t="s">
        <v>240</v>
      </c>
      <c r="HN3083" s="5" t="s">
        <v>240</v>
      </c>
      <c r="HO3083" s="5" t="s">
        <v>312</v>
      </c>
      <c r="HP3083" s="5" t="s">
        <v>240</v>
      </c>
      <c r="HQ3083" s="5" t="s">
        <v>240</v>
      </c>
      <c r="HR3083" s="5" t="s">
        <v>240</v>
      </c>
      <c r="HS3083" s="5" t="s">
        <v>240</v>
      </c>
      <c r="HT3083" s="5" t="s">
        <v>240</v>
      </c>
      <c r="HU3083" s="5" t="s">
        <v>240</v>
      </c>
      <c r="HV3083" s="5" t="s">
        <v>240</v>
      </c>
      <c r="HW3083" s="5" t="s">
        <v>240</v>
      </c>
      <c r="HX3083" s="5" t="s">
        <v>240</v>
      </c>
      <c r="HY3083" s="5" t="s">
        <v>240</v>
      </c>
      <c r="HZ3083" s="5" t="s">
        <v>240</v>
      </c>
      <c r="IA3083" s="5" t="s">
        <v>240</v>
      </c>
      <c r="IB3083" s="5" t="s">
        <v>240</v>
      </c>
      <c r="IC3083" s="5" t="s">
        <v>240</v>
      </c>
      <c r="ID3083" s="5" t="s">
        <v>240</v>
      </c>
      <c r="IE3083" s="5" t="s">
        <v>240</v>
      </c>
      <c r="IF3083" s="5" t="s">
        <v>240</v>
      </c>
    </row>
    <row r="3084" spans="1:240" x14ac:dyDescent="0.4">
      <c r="A3084" s="5">
        <v>4788</v>
      </c>
      <c r="B3084" s="5">
        <v>1</v>
      </c>
      <c r="C3084" s="5">
        <v>1</v>
      </c>
      <c r="D3084" s="5" t="s">
        <v>810</v>
      </c>
      <c r="E3084" s="5" t="s">
        <v>245</v>
      </c>
      <c r="F3084" s="5" t="s">
        <v>254</v>
      </c>
      <c r="G3084" s="5" t="s">
        <v>240</v>
      </c>
      <c r="H3084" s="6" t="s">
        <v>2378</v>
      </c>
      <c r="I3084" s="5" t="s">
        <v>809</v>
      </c>
      <c r="J3084" s="8">
        <f>654</f>
        <v>654</v>
      </c>
      <c r="K3084" s="5" t="s">
        <v>308</v>
      </c>
      <c r="L3084" s="7">
        <f>1</f>
        <v>1</v>
      </c>
      <c r="M3084" s="7">
        <f>1</f>
        <v>1</v>
      </c>
      <c r="N3084" s="5" t="s">
        <v>242</v>
      </c>
      <c r="O3084" s="5">
        <v>1</v>
      </c>
      <c r="P3084" s="5" t="s">
        <v>294</v>
      </c>
      <c r="Q3084" s="5" t="s">
        <v>3678</v>
      </c>
      <c r="R3084" s="5" t="s">
        <v>240</v>
      </c>
      <c r="S3084" s="5" t="s">
        <v>240</v>
      </c>
      <c r="T3084" s="5" t="s">
        <v>243</v>
      </c>
      <c r="U3084" s="5" t="s">
        <v>244</v>
      </c>
      <c r="V3084" s="5" t="s">
        <v>240</v>
      </c>
      <c r="W3084" s="5" t="s">
        <v>240</v>
      </c>
      <c r="X3084" s="5" t="s">
        <v>240</v>
      </c>
      <c r="Y3084" s="5" t="s">
        <v>240</v>
      </c>
      <c r="Z3084" s="6" t="s">
        <v>298</v>
      </c>
      <c r="AA3084" s="6" t="s">
        <v>240</v>
      </c>
      <c r="AB3084" s="6" t="s">
        <v>240</v>
      </c>
      <c r="AC3084" s="5" t="s">
        <v>240</v>
      </c>
      <c r="AD3084" s="6" t="s">
        <v>240</v>
      </c>
      <c r="AE3084" s="6" t="s">
        <v>299</v>
      </c>
      <c r="AF3084" s="5" t="s">
        <v>248</v>
      </c>
      <c r="AG3084" s="5" t="s">
        <v>249</v>
      </c>
      <c r="AH3084" s="5" t="s">
        <v>240</v>
      </c>
      <c r="AI3084" s="5" t="s">
        <v>240</v>
      </c>
      <c r="AJ3084" s="5" t="s">
        <v>240</v>
      </c>
      <c r="AK3084" s="5" t="s">
        <v>240</v>
      </c>
      <c r="AL3084" s="5" t="s">
        <v>240</v>
      </c>
      <c r="AM3084" s="5" t="s">
        <v>240</v>
      </c>
      <c r="AN3084" s="5" t="s">
        <v>240</v>
      </c>
      <c r="AO3084" s="5" t="s">
        <v>240</v>
      </c>
      <c r="AP3084" s="6" t="s">
        <v>240</v>
      </c>
      <c r="AQ3084" s="6" t="s">
        <v>240</v>
      </c>
      <c r="AR3084" s="6" t="s">
        <v>240</v>
      </c>
      <c r="AS3084" s="6" t="s">
        <v>240</v>
      </c>
      <c r="AT3084" s="5" t="s">
        <v>240</v>
      </c>
      <c r="AU3084" s="5" t="s">
        <v>729</v>
      </c>
      <c r="AV3084" s="5" t="s">
        <v>729</v>
      </c>
      <c r="AW3084" s="5" t="s">
        <v>251</v>
      </c>
      <c r="AX3084" s="5" t="s">
        <v>252</v>
      </c>
      <c r="AY3084" s="5" t="s">
        <v>253</v>
      </c>
      <c r="AZ3084" s="5" t="s">
        <v>240</v>
      </c>
      <c r="BA3084" s="5" t="s">
        <v>255</v>
      </c>
      <c r="BB3084" s="5" t="s">
        <v>731</v>
      </c>
      <c r="BD3084" s="5" t="s">
        <v>240</v>
      </c>
      <c r="BF3084" s="5" t="s">
        <v>732</v>
      </c>
      <c r="BG3084" s="6" t="s">
        <v>733</v>
      </c>
      <c r="BH3084" s="5" t="s">
        <v>734</v>
      </c>
      <c r="BI3084" s="5" t="s">
        <v>734</v>
      </c>
      <c r="BJ3084" s="5" t="s">
        <v>240</v>
      </c>
      <c r="BK3084" s="7">
        <f>1</f>
        <v>1</v>
      </c>
      <c r="BL3084" s="7">
        <f>1</f>
        <v>1</v>
      </c>
      <c r="BM3084" s="5" t="s">
        <v>258</v>
      </c>
      <c r="BN3084" s="5" t="s">
        <v>259</v>
      </c>
      <c r="BO3084" s="5" t="s">
        <v>240</v>
      </c>
      <c r="BP3084" s="5" t="s">
        <v>240</v>
      </c>
      <c r="BQ3084" s="5" t="s">
        <v>240</v>
      </c>
      <c r="BR3084" s="5" t="s">
        <v>240</v>
      </c>
      <c r="BS3084" s="5" t="s">
        <v>240</v>
      </c>
      <c r="BT3084" s="5" t="s">
        <v>240</v>
      </c>
      <c r="BU3084" s="5" t="s">
        <v>240</v>
      </c>
      <c r="BV3084" s="5" t="s">
        <v>240</v>
      </c>
      <c r="BW3084" s="6" t="s">
        <v>240</v>
      </c>
      <c r="BX3084" s="5" t="s">
        <v>240</v>
      </c>
      <c r="BY3084" s="5" t="s">
        <v>240</v>
      </c>
      <c r="BZ3084" s="5" t="s">
        <v>240</v>
      </c>
      <c r="CA3084" s="5" t="s">
        <v>259</v>
      </c>
      <c r="CB3084" s="5" t="s">
        <v>240</v>
      </c>
      <c r="CC3084" s="5" t="s">
        <v>240</v>
      </c>
      <c r="CD3084" s="5" t="s">
        <v>240</v>
      </c>
      <c r="CE3084" s="5" t="s">
        <v>240</v>
      </c>
      <c r="CF3084" s="5" t="s">
        <v>240</v>
      </c>
      <c r="CG3084" s="5" t="s">
        <v>304</v>
      </c>
      <c r="CH3084" s="5" t="s">
        <v>305</v>
      </c>
      <c r="CI3084" s="5" t="s">
        <v>240</v>
      </c>
      <c r="CK3084" s="5" t="s">
        <v>3681</v>
      </c>
      <c r="CL3084" s="6" t="s">
        <v>261</v>
      </c>
      <c r="CM3084" s="5" t="s">
        <v>262</v>
      </c>
      <c r="CN3084" s="5" t="s">
        <v>263</v>
      </c>
      <c r="CO3084" s="5" t="s">
        <v>264</v>
      </c>
      <c r="CP3084" s="5" t="s">
        <v>240</v>
      </c>
      <c r="CQ3084" s="5">
        <v>0</v>
      </c>
      <c r="CR3084" s="5" t="s">
        <v>735</v>
      </c>
      <c r="CS3084" s="5" t="s">
        <v>307</v>
      </c>
      <c r="CT3084" s="5" t="s">
        <v>307</v>
      </c>
      <c r="CU3084" s="5" t="s">
        <v>260</v>
      </c>
      <c r="CV3084" s="5" t="s">
        <v>612</v>
      </c>
      <c r="CW3084" s="8">
        <f>1</f>
        <v>1</v>
      </c>
      <c r="CX3084" s="7">
        <f>1</f>
        <v>1</v>
      </c>
      <c r="CY3084" s="7">
        <f>0</f>
        <v>0</v>
      </c>
      <c r="DA3084" s="7">
        <f>1</f>
        <v>1</v>
      </c>
      <c r="DB3084" s="7" t="s">
        <v>240</v>
      </c>
      <c r="DC3084" s="5" t="s">
        <v>240</v>
      </c>
      <c r="DD3084" s="5" t="s">
        <v>240</v>
      </c>
      <c r="DE3084" s="5" t="s">
        <v>240</v>
      </c>
      <c r="DF3084" s="5" t="s">
        <v>240</v>
      </c>
      <c r="DG3084" s="7">
        <f>0</f>
        <v>0</v>
      </c>
      <c r="DI3084" s="5" t="s">
        <v>240</v>
      </c>
      <c r="DJ3084" s="5" t="s">
        <v>240</v>
      </c>
      <c r="DK3084" s="5" t="s">
        <v>240</v>
      </c>
      <c r="DL3084" s="5" t="s">
        <v>240</v>
      </c>
      <c r="DM3084" s="5" t="s">
        <v>240</v>
      </c>
      <c r="DN3084" s="5" t="s">
        <v>240</v>
      </c>
      <c r="DO3084" s="7" t="s">
        <v>240</v>
      </c>
      <c r="DP3084" s="5" t="s">
        <v>240</v>
      </c>
      <c r="DQ3084" s="5" t="s">
        <v>240</v>
      </c>
      <c r="DR3084" s="5" t="s">
        <v>731</v>
      </c>
      <c r="DS3084" s="5" t="s">
        <v>731</v>
      </c>
      <c r="DT3084" s="5" t="s">
        <v>240</v>
      </c>
      <c r="DU3084" s="5" t="s">
        <v>240</v>
      </c>
      <c r="DV3084" s="5" t="s">
        <v>3683</v>
      </c>
      <c r="DW3084" s="5" t="s">
        <v>4046</v>
      </c>
      <c r="DX3084" s="5" t="s">
        <v>240</v>
      </c>
      <c r="DY3084" s="5" t="s">
        <v>240</v>
      </c>
      <c r="DZ3084" s="5" t="s">
        <v>240</v>
      </c>
      <c r="EA3084" s="5" t="s">
        <v>240</v>
      </c>
      <c r="EB3084" s="5" t="s">
        <v>240</v>
      </c>
      <c r="EC3084" s="5" t="s">
        <v>240</v>
      </c>
      <c r="ED3084" s="5" t="s">
        <v>240</v>
      </c>
      <c r="EE3084" s="5" t="s">
        <v>240</v>
      </c>
      <c r="EF3084" s="5" t="s">
        <v>240</v>
      </c>
      <c r="EG3084" s="5" t="s">
        <v>240</v>
      </c>
      <c r="EH3084" s="5" t="s">
        <v>240</v>
      </c>
      <c r="EI3084" s="5" t="s">
        <v>240</v>
      </c>
      <c r="EJ3084" s="5" t="s">
        <v>240</v>
      </c>
      <c r="EK3084" s="5" t="s">
        <v>240</v>
      </c>
      <c r="EL3084" s="5" t="s">
        <v>240</v>
      </c>
      <c r="EM3084" s="5" t="s">
        <v>240</v>
      </c>
      <c r="EN3084" s="5" t="s">
        <v>240</v>
      </c>
      <c r="EO3084" s="5" t="s">
        <v>240</v>
      </c>
      <c r="EP3084" s="5" t="s">
        <v>240</v>
      </c>
      <c r="EQ3084" s="5" t="s">
        <v>240</v>
      </c>
      <c r="ER3084" s="5" t="s">
        <v>240</v>
      </c>
      <c r="ES3084" s="5" t="s">
        <v>240</v>
      </c>
      <c r="ET3084" s="5" t="s">
        <v>240</v>
      </c>
      <c r="EU3084" s="5" t="s">
        <v>240</v>
      </c>
      <c r="EV3084" s="5" t="s">
        <v>240</v>
      </c>
      <c r="EW3084" s="5" t="s">
        <v>240</v>
      </c>
      <c r="EX3084" s="5" t="s">
        <v>240</v>
      </c>
      <c r="EY3084" s="5" t="s">
        <v>240</v>
      </c>
      <c r="EZ3084" s="5" t="s">
        <v>240</v>
      </c>
      <c r="FA3084" s="5" t="s">
        <v>240</v>
      </c>
      <c r="FB3084" s="5" t="s">
        <v>240</v>
      </c>
      <c r="FC3084" s="5" t="s">
        <v>240</v>
      </c>
      <c r="FD3084" s="5" t="s">
        <v>240</v>
      </c>
      <c r="FE3084" s="5" t="s">
        <v>240</v>
      </c>
      <c r="FF3084" s="5" t="s">
        <v>240</v>
      </c>
      <c r="FG3084" s="5" t="s">
        <v>240</v>
      </c>
      <c r="FH3084" s="5" t="s">
        <v>240</v>
      </c>
      <c r="FI3084" s="5" t="s">
        <v>240</v>
      </c>
      <c r="FJ3084" s="5" t="s">
        <v>240</v>
      </c>
      <c r="FK3084" s="5" t="s">
        <v>240</v>
      </c>
      <c r="FL3084" s="5" t="s">
        <v>240</v>
      </c>
      <c r="FM3084" s="5" t="s">
        <v>240</v>
      </c>
      <c r="FN3084" s="5" t="s">
        <v>240</v>
      </c>
      <c r="FO3084" s="5" t="s">
        <v>240</v>
      </c>
      <c r="FP3084" s="5" t="s">
        <v>240</v>
      </c>
      <c r="FQ3084" s="5" t="s">
        <v>240</v>
      </c>
      <c r="FR3084" s="5" t="s">
        <v>240</v>
      </c>
      <c r="FS3084" s="5" t="s">
        <v>240</v>
      </c>
      <c r="FT3084" s="5" t="s">
        <v>240</v>
      </c>
      <c r="FU3084" s="5" t="s">
        <v>240</v>
      </c>
      <c r="FV3084" s="5" t="s">
        <v>240</v>
      </c>
      <c r="FW3084" s="5" t="s">
        <v>240</v>
      </c>
      <c r="FX3084" s="5" t="s">
        <v>240</v>
      </c>
      <c r="FY3084" s="5" t="s">
        <v>240</v>
      </c>
      <c r="FZ3084" s="5" t="s">
        <v>240</v>
      </c>
      <c r="GA3084" s="5" t="s">
        <v>240</v>
      </c>
      <c r="GB3084" s="5" t="s">
        <v>240</v>
      </c>
      <c r="GC3084" s="5" t="s">
        <v>240</v>
      </c>
      <c r="GD3084" s="5" t="s">
        <v>240</v>
      </c>
      <c r="GE3084" s="5" t="s">
        <v>240</v>
      </c>
      <c r="GF3084" s="5" t="s">
        <v>240</v>
      </c>
      <c r="GG3084" s="5" t="s">
        <v>240</v>
      </c>
      <c r="GH3084" s="5" t="s">
        <v>240</v>
      </c>
      <c r="GI3084" s="5" t="s">
        <v>240</v>
      </c>
      <c r="GJ3084" s="5" t="s">
        <v>240</v>
      </c>
      <c r="GK3084" s="5" t="s">
        <v>240</v>
      </c>
      <c r="GL3084" s="5" t="s">
        <v>240</v>
      </c>
      <c r="GM3084" s="5" t="s">
        <v>240</v>
      </c>
      <c r="GN3084" s="5" t="s">
        <v>240</v>
      </c>
      <c r="GO3084" s="5" t="s">
        <v>240</v>
      </c>
      <c r="GP3084" s="5" t="s">
        <v>240</v>
      </c>
      <c r="GQ3084" s="5" t="s">
        <v>240</v>
      </c>
      <c r="GR3084" s="5" t="s">
        <v>240</v>
      </c>
      <c r="GS3084" s="5" t="s">
        <v>240</v>
      </c>
      <c r="GT3084" s="5" t="s">
        <v>240</v>
      </c>
      <c r="GU3084" s="5" t="s">
        <v>240</v>
      </c>
      <c r="GV3084" s="5" t="s">
        <v>240</v>
      </c>
      <c r="GW3084" s="5" t="s">
        <v>240</v>
      </c>
      <c r="GX3084" s="5" t="s">
        <v>240</v>
      </c>
      <c r="GY3084" s="5" t="s">
        <v>240</v>
      </c>
      <c r="GZ3084" s="5" t="s">
        <v>240</v>
      </c>
      <c r="HA3084" s="5" t="s">
        <v>240</v>
      </c>
      <c r="HB3084" s="5" t="s">
        <v>240</v>
      </c>
      <c r="HC3084" s="5" t="s">
        <v>240</v>
      </c>
      <c r="HD3084" s="5" t="s">
        <v>240</v>
      </c>
      <c r="HE3084" s="5" t="s">
        <v>240</v>
      </c>
      <c r="HF3084" s="5" t="s">
        <v>240</v>
      </c>
      <c r="HG3084" s="5" t="s">
        <v>240</v>
      </c>
      <c r="HH3084" s="5" t="s">
        <v>240</v>
      </c>
      <c r="HI3084" s="5" t="s">
        <v>240</v>
      </c>
      <c r="HJ3084" s="5" t="s">
        <v>240</v>
      </c>
      <c r="HK3084" s="5" t="s">
        <v>240</v>
      </c>
      <c r="HL3084" s="5" t="s">
        <v>240</v>
      </c>
      <c r="HM3084" s="5" t="s">
        <v>240</v>
      </c>
      <c r="HN3084" s="5" t="s">
        <v>240</v>
      </c>
      <c r="HO3084" s="5" t="s">
        <v>312</v>
      </c>
      <c r="HP3084" s="5" t="s">
        <v>240</v>
      </c>
      <c r="HQ3084" s="5" t="s">
        <v>240</v>
      </c>
      <c r="HR3084" s="5" t="s">
        <v>240</v>
      </c>
      <c r="HS3084" s="5" t="s">
        <v>240</v>
      </c>
      <c r="HT3084" s="5" t="s">
        <v>240</v>
      </c>
      <c r="HU3084" s="5" t="s">
        <v>240</v>
      </c>
      <c r="HV3084" s="5" t="s">
        <v>240</v>
      </c>
      <c r="HW3084" s="5" t="s">
        <v>240</v>
      </c>
      <c r="HX3084" s="5" t="s">
        <v>240</v>
      </c>
      <c r="HY3084" s="5" t="s">
        <v>240</v>
      </c>
      <c r="HZ3084" s="5" t="s">
        <v>240</v>
      </c>
      <c r="IA3084" s="5" t="s">
        <v>240</v>
      </c>
      <c r="IB3084" s="5" t="s">
        <v>240</v>
      </c>
      <c r="IC3084" s="5" t="s">
        <v>240</v>
      </c>
      <c r="ID3084" s="5" t="s">
        <v>240</v>
      </c>
      <c r="IE3084" s="5" t="s">
        <v>240</v>
      </c>
      <c r="IF3084" s="5" t="s">
        <v>240</v>
      </c>
    </row>
    <row r="3085" spans="1:240" x14ac:dyDescent="0.4">
      <c r="A3085" s="5">
        <v>4789</v>
      </c>
      <c r="B3085" s="5">
        <v>1</v>
      </c>
      <c r="C3085" s="5">
        <v>1</v>
      </c>
      <c r="D3085" s="5" t="s">
        <v>810</v>
      </c>
      <c r="E3085" s="5" t="s">
        <v>245</v>
      </c>
      <c r="F3085" s="5" t="s">
        <v>254</v>
      </c>
      <c r="G3085" s="5" t="s">
        <v>240</v>
      </c>
      <c r="H3085" s="6" t="s">
        <v>2376</v>
      </c>
      <c r="I3085" s="5" t="s">
        <v>809</v>
      </c>
      <c r="J3085" s="8">
        <f>125</f>
        <v>125</v>
      </c>
      <c r="K3085" s="5" t="s">
        <v>308</v>
      </c>
      <c r="L3085" s="7">
        <f>1</f>
        <v>1</v>
      </c>
      <c r="M3085" s="7">
        <f>1</f>
        <v>1</v>
      </c>
      <c r="N3085" s="5" t="s">
        <v>242</v>
      </c>
      <c r="O3085" s="5">
        <v>1</v>
      </c>
      <c r="P3085" s="5" t="s">
        <v>294</v>
      </c>
      <c r="Q3085" s="5" t="s">
        <v>3678</v>
      </c>
      <c r="R3085" s="5" t="s">
        <v>240</v>
      </c>
      <c r="S3085" s="5" t="s">
        <v>240</v>
      </c>
      <c r="T3085" s="5" t="s">
        <v>243</v>
      </c>
      <c r="U3085" s="5" t="s">
        <v>244</v>
      </c>
      <c r="V3085" s="5" t="s">
        <v>240</v>
      </c>
      <c r="W3085" s="5" t="s">
        <v>240</v>
      </c>
      <c r="X3085" s="5" t="s">
        <v>240</v>
      </c>
      <c r="Y3085" s="5" t="s">
        <v>240</v>
      </c>
      <c r="Z3085" s="6" t="s">
        <v>298</v>
      </c>
      <c r="AA3085" s="6" t="s">
        <v>240</v>
      </c>
      <c r="AB3085" s="6" t="s">
        <v>240</v>
      </c>
      <c r="AC3085" s="5" t="s">
        <v>240</v>
      </c>
      <c r="AD3085" s="6" t="s">
        <v>240</v>
      </c>
      <c r="AE3085" s="6" t="s">
        <v>299</v>
      </c>
      <c r="AF3085" s="5" t="s">
        <v>248</v>
      </c>
      <c r="AG3085" s="5" t="s">
        <v>249</v>
      </c>
      <c r="AH3085" s="5" t="s">
        <v>240</v>
      </c>
      <c r="AI3085" s="5" t="s">
        <v>240</v>
      </c>
      <c r="AJ3085" s="5" t="s">
        <v>240</v>
      </c>
      <c r="AK3085" s="5" t="s">
        <v>240</v>
      </c>
      <c r="AL3085" s="5" t="s">
        <v>240</v>
      </c>
      <c r="AM3085" s="5" t="s">
        <v>240</v>
      </c>
      <c r="AN3085" s="5" t="s">
        <v>240</v>
      </c>
      <c r="AO3085" s="5" t="s">
        <v>240</v>
      </c>
      <c r="AP3085" s="6" t="s">
        <v>240</v>
      </c>
      <c r="AQ3085" s="6" t="s">
        <v>240</v>
      </c>
      <c r="AR3085" s="6" t="s">
        <v>240</v>
      </c>
      <c r="AS3085" s="6" t="s">
        <v>240</v>
      </c>
      <c r="AT3085" s="5" t="s">
        <v>240</v>
      </c>
      <c r="AU3085" s="5" t="s">
        <v>729</v>
      </c>
      <c r="AV3085" s="5" t="s">
        <v>729</v>
      </c>
      <c r="AW3085" s="5" t="s">
        <v>251</v>
      </c>
      <c r="AX3085" s="5" t="s">
        <v>252</v>
      </c>
      <c r="AY3085" s="5" t="s">
        <v>253</v>
      </c>
      <c r="AZ3085" s="5" t="s">
        <v>240</v>
      </c>
      <c r="BA3085" s="5" t="s">
        <v>255</v>
      </c>
      <c r="BB3085" s="5" t="s">
        <v>731</v>
      </c>
      <c r="BD3085" s="5" t="s">
        <v>240</v>
      </c>
      <c r="BF3085" s="5" t="s">
        <v>732</v>
      </c>
      <c r="BG3085" s="6" t="s">
        <v>733</v>
      </c>
      <c r="BH3085" s="5" t="s">
        <v>734</v>
      </c>
      <c r="BI3085" s="5" t="s">
        <v>734</v>
      </c>
      <c r="BJ3085" s="5" t="s">
        <v>240</v>
      </c>
      <c r="BK3085" s="7">
        <f>1</f>
        <v>1</v>
      </c>
      <c r="BL3085" s="7">
        <f>1</f>
        <v>1</v>
      </c>
      <c r="BM3085" s="5" t="s">
        <v>258</v>
      </c>
      <c r="BN3085" s="5" t="s">
        <v>259</v>
      </c>
      <c r="BO3085" s="5" t="s">
        <v>240</v>
      </c>
      <c r="BP3085" s="5" t="s">
        <v>240</v>
      </c>
      <c r="BQ3085" s="5" t="s">
        <v>240</v>
      </c>
      <c r="BR3085" s="5" t="s">
        <v>240</v>
      </c>
      <c r="BS3085" s="5" t="s">
        <v>240</v>
      </c>
      <c r="BT3085" s="5" t="s">
        <v>240</v>
      </c>
      <c r="BU3085" s="5" t="s">
        <v>240</v>
      </c>
      <c r="BV3085" s="5" t="s">
        <v>240</v>
      </c>
      <c r="BW3085" s="6" t="s">
        <v>240</v>
      </c>
      <c r="BX3085" s="5" t="s">
        <v>240</v>
      </c>
      <c r="BY3085" s="5" t="s">
        <v>240</v>
      </c>
      <c r="BZ3085" s="5" t="s">
        <v>240</v>
      </c>
      <c r="CA3085" s="5" t="s">
        <v>259</v>
      </c>
      <c r="CB3085" s="5" t="s">
        <v>240</v>
      </c>
      <c r="CC3085" s="5" t="s">
        <v>240</v>
      </c>
      <c r="CD3085" s="5" t="s">
        <v>240</v>
      </c>
      <c r="CE3085" s="5" t="s">
        <v>240</v>
      </c>
      <c r="CF3085" s="5" t="s">
        <v>240</v>
      </c>
      <c r="CG3085" s="5" t="s">
        <v>304</v>
      </c>
      <c r="CH3085" s="5" t="s">
        <v>305</v>
      </c>
      <c r="CI3085" s="5" t="s">
        <v>240</v>
      </c>
      <c r="CK3085" s="5" t="s">
        <v>3681</v>
      </c>
      <c r="CL3085" s="6" t="s">
        <v>261</v>
      </c>
      <c r="CM3085" s="5" t="s">
        <v>262</v>
      </c>
      <c r="CN3085" s="5" t="s">
        <v>263</v>
      </c>
      <c r="CO3085" s="5" t="s">
        <v>264</v>
      </c>
      <c r="CP3085" s="5" t="s">
        <v>240</v>
      </c>
      <c r="CQ3085" s="5">
        <v>0</v>
      </c>
      <c r="CR3085" s="5" t="s">
        <v>735</v>
      </c>
      <c r="CS3085" s="5" t="s">
        <v>307</v>
      </c>
      <c r="CT3085" s="5" t="s">
        <v>307</v>
      </c>
      <c r="CU3085" s="5" t="s">
        <v>260</v>
      </c>
      <c r="CV3085" s="5" t="s">
        <v>612</v>
      </c>
      <c r="CW3085" s="8">
        <f>1</f>
        <v>1</v>
      </c>
      <c r="CX3085" s="7">
        <f>1</f>
        <v>1</v>
      </c>
      <c r="CY3085" s="7">
        <f>0</f>
        <v>0</v>
      </c>
      <c r="DA3085" s="7">
        <f>1</f>
        <v>1</v>
      </c>
      <c r="DB3085" s="7" t="s">
        <v>240</v>
      </c>
      <c r="DC3085" s="5" t="s">
        <v>240</v>
      </c>
      <c r="DD3085" s="5" t="s">
        <v>240</v>
      </c>
      <c r="DE3085" s="5" t="s">
        <v>240</v>
      </c>
      <c r="DF3085" s="5" t="s">
        <v>240</v>
      </c>
      <c r="DG3085" s="7">
        <f>0</f>
        <v>0</v>
      </c>
      <c r="DI3085" s="5" t="s">
        <v>240</v>
      </c>
      <c r="DJ3085" s="5" t="s">
        <v>240</v>
      </c>
      <c r="DK3085" s="5" t="s">
        <v>240</v>
      </c>
      <c r="DL3085" s="5" t="s">
        <v>240</v>
      </c>
      <c r="DM3085" s="5" t="s">
        <v>240</v>
      </c>
      <c r="DN3085" s="5" t="s">
        <v>240</v>
      </c>
      <c r="DO3085" s="7" t="s">
        <v>240</v>
      </c>
      <c r="DP3085" s="5" t="s">
        <v>240</v>
      </c>
      <c r="DQ3085" s="5" t="s">
        <v>240</v>
      </c>
      <c r="DR3085" s="5" t="s">
        <v>731</v>
      </c>
      <c r="DS3085" s="5" t="s">
        <v>731</v>
      </c>
      <c r="DT3085" s="5" t="s">
        <v>240</v>
      </c>
      <c r="DU3085" s="5" t="s">
        <v>240</v>
      </c>
      <c r="DV3085" s="5" t="s">
        <v>3683</v>
      </c>
      <c r="DW3085" s="5" t="s">
        <v>4007</v>
      </c>
      <c r="DX3085" s="5" t="s">
        <v>240</v>
      </c>
      <c r="DY3085" s="5" t="s">
        <v>240</v>
      </c>
      <c r="DZ3085" s="5" t="s">
        <v>240</v>
      </c>
      <c r="EA3085" s="5" t="s">
        <v>240</v>
      </c>
      <c r="EB3085" s="5" t="s">
        <v>240</v>
      </c>
      <c r="EC3085" s="5" t="s">
        <v>240</v>
      </c>
      <c r="ED3085" s="5" t="s">
        <v>240</v>
      </c>
      <c r="EE3085" s="5" t="s">
        <v>240</v>
      </c>
      <c r="EF3085" s="5" t="s">
        <v>240</v>
      </c>
      <c r="EG3085" s="5" t="s">
        <v>240</v>
      </c>
      <c r="EH3085" s="5" t="s">
        <v>240</v>
      </c>
      <c r="EI3085" s="5" t="s">
        <v>240</v>
      </c>
      <c r="EJ3085" s="5" t="s">
        <v>240</v>
      </c>
      <c r="EK3085" s="5" t="s">
        <v>240</v>
      </c>
      <c r="EL3085" s="5" t="s">
        <v>240</v>
      </c>
      <c r="EM3085" s="5" t="s">
        <v>240</v>
      </c>
      <c r="EN3085" s="5" t="s">
        <v>240</v>
      </c>
      <c r="EO3085" s="5" t="s">
        <v>240</v>
      </c>
      <c r="EP3085" s="5" t="s">
        <v>240</v>
      </c>
      <c r="EQ3085" s="5" t="s">
        <v>240</v>
      </c>
      <c r="ER3085" s="5" t="s">
        <v>240</v>
      </c>
      <c r="ES3085" s="5" t="s">
        <v>240</v>
      </c>
      <c r="ET3085" s="5" t="s">
        <v>240</v>
      </c>
      <c r="EU3085" s="5" t="s">
        <v>240</v>
      </c>
      <c r="EV3085" s="5" t="s">
        <v>240</v>
      </c>
      <c r="EW3085" s="5" t="s">
        <v>240</v>
      </c>
      <c r="EX3085" s="5" t="s">
        <v>240</v>
      </c>
      <c r="EY3085" s="5" t="s">
        <v>240</v>
      </c>
      <c r="EZ3085" s="5" t="s">
        <v>240</v>
      </c>
      <c r="FA3085" s="5" t="s">
        <v>240</v>
      </c>
      <c r="FB3085" s="5" t="s">
        <v>240</v>
      </c>
      <c r="FC3085" s="5" t="s">
        <v>240</v>
      </c>
      <c r="FD3085" s="5" t="s">
        <v>240</v>
      </c>
      <c r="FE3085" s="5" t="s">
        <v>240</v>
      </c>
      <c r="FF3085" s="5" t="s">
        <v>240</v>
      </c>
      <c r="FG3085" s="5" t="s">
        <v>240</v>
      </c>
      <c r="FH3085" s="5" t="s">
        <v>240</v>
      </c>
      <c r="FI3085" s="5" t="s">
        <v>240</v>
      </c>
      <c r="FJ3085" s="5" t="s">
        <v>240</v>
      </c>
      <c r="FK3085" s="5" t="s">
        <v>240</v>
      </c>
      <c r="FL3085" s="5" t="s">
        <v>240</v>
      </c>
      <c r="FM3085" s="5" t="s">
        <v>240</v>
      </c>
      <c r="FN3085" s="5" t="s">
        <v>240</v>
      </c>
      <c r="FO3085" s="5" t="s">
        <v>240</v>
      </c>
      <c r="FP3085" s="5" t="s">
        <v>240</v>
      </c>
      <c r="FQ3085" s="5" t="s">
        <v>240</v>
      </c>
      <c r="FR3085" s="5" t="s">
        <v>240</v>
      </c>
      <c r="FS3085" s="5" t="s">
        <v>240</v>
      </c>
      <c r="FT3085" s="5" t="s">
        <v>240</v>
      </c>
      <c r="FU3085" s="5" t="s">
        <v>240</v>
      </c>
      <c r="FV3085" s="5" t="s">
        <v>240</v>
      </c>
      <c r="FW3085" s="5" t="s">
        <v>240</v>
      </c>
      <c r="FX3085" s="5" t="s">
        <v>240</v>
      </c>
      <c r="FY3085" s="5" t="s">
        <v>240</v>
      </c>
      <c r="FZ3085" s="5" t="s">
        <v>240</v>
      </c>
      <c r="GA3085" s="5" t="s">
        <v>240</v>
      </c>
      <c r="GB3085" s="5" t="s">
        <v>240</v>
      </c>
      <c r="GC3085" s="5" t="s">
        <v>240</v>
      </c>
      <c r="GD3085" s="5" t="s">
        <v>240</v>
      </c>
      <c r="GE3085" s="5" t="s">
        <v>240</v>
      </c>
      <c r="GF3085" s="5" t="s">
        <v>240</v>
      </c>
      <c r="GG3085" s="5" t="s">
        <v>240</v>
      </c>
      <c r="GH3085" s="5" t="s">
        <v>240</v>
      </c>
      <c r="GI3085" s="5" t="s">
        <v>240</v>
      </c>
      <c r="GJ3085" s="5" t="s">
        <v>240</v>
      </c>
      <c r="GK3085" s="5" t="s">
        <v>240</v>
      </c>
      <c r="GL3085" s="5" t="s">
        <v>240</v>
      </c>
      <c r="GM3085" s="5" t="s">
        <v>240</v>
      </c>
      <c r="GN3085" s="5" t="s">
        <v>240</v>
      </c>
      <c r="GO3085" s="5" t="s">
        <v>240</v>
      </c>
      <c r="GP3085" s="5" t="s">
        <v>240</v>
      </c>
      <c r="GQ3085" s="5" t="s">
        <v>240</v>
      </c>
      <c r="GR3085" s="5" t="s">
        <v>240</v>
      </c>
      <c r="GS3085" s="5" t="s">
        <v>240</v>
      </c>
      <c r="GT3085" s="5" t="s">
        <v>240</v>
      </c>
      <c r="GU3085" s="5" t="s">
        <v>240</v>
      </c>
      <c r="GV3085" s="5" t="s">
        <v>240</v>
      </c>
      <c r="GW3085" s="5" t="s">
        <v>240</v>
      </c>
      <c r="GX3085" s="5" t="s">
        <v>240</v>
      </c>
      <c r="GY3085" s="5" t="s">
        <v>240</v>
      </c>
      <c r="GZ3085" s="5" t="s">
        <v>240</v>
      </c>
      <c r="HA3085" s="5" t="s">
        <v>240</v>
      </c>
      <c r="HB3085" s="5" t="s">
        <v>240</v>
      </c>
      <c r="HC3085" s="5" t="s">
        <v>240</v>
      </c>
      <c r="HD3085" s="5" t="s">
        <v>240</v>
      </c>
      <c r="HE3085" s="5" t="s">
        <v>240</v>
      </c>
      <c r="HF3085" s="5" t="s">
        <v>240</v>
      </c>
      <c r="HG3085" s="5" t="s">
        <v>240</v>
      </c>
      <c r="HH3085" s="5" t="s">
        <v>240</v>
      </c>
      <c r="HI3085" s="5" t="s">
        <v>240</v>
      </c>
      <c r="HJ3085" s="5" t="s">
        <v>240</v>
      </c>
      <c r="HK3085" s="5" t="s">
        <v>240</v>
      </c>
      <c r="HL3085" s="5" t="s">
        <v>240</v>
      </c>
      <c r="HM3085" s="5" t="s">
        <v>240</v>
      </c>
      <c r="HN3085" s="5" t="s">
        <v>240</v>
      </c>
      <c r="HO3085" s="5" t="s">
        <v>312</v>
      </c>
      <c r="HP3085" s="5" t="s">
        <v>240</v>
      </c>
      <c r="HQ3085" s="5" t="s">
        <v>240</v>
      </c>
      <c r="HR3085" s="5" t="s">
        <v>240</v>
      </c>
      <c r="HS3085" s="5" t="s">
        <v>240</v>
      </c>
      <c r="HT3085" s="5" t="s">
        <v>240</v>
      </c>
      <c r="HU3085" s="5" t="s">
        <v>240</v>
      </c>
      <c r="HV3085" s="5" t="s">
        <v>240</v>
      </c>
      <c r="HW3085" s="5" t="s">
        <v>240</v>
      </c>
      <c r="HX3085" s="5" t="s">
        <v>240</v>
      </c>
      <c r="HY3085" s="5" t="s">
        <v>240</v>
      </c>
      <c r="HZ3085" s="5" t="s">
        <v>240</v>
      </c>
      <c r="IA3085" s="5" t="s">
        <v>240</v>
      </c>
      <c r="IB3085" s="5" t="s">
        <v>240</v>
      </c>
      <c r="IC3085" s="5" t="s">
        <v>240</v>
      </c>
      <c r="ID3085" s="5" t="s">
        <v>240</v>
      </c>
      <c r="IE3085" s="5" t="s">
        <v>240</v>
      </c>
      <c r="IF3085" s="5" t="s">
        <v>240</v>
      </c>
    </row>
    <row r="3086" spans="1:240" x14ac:dyDescent="0.4">
      <c r="A3086" s="5">
        <v>4790</v>
      </c>
      <c r="B3086" s="5">
        <v>1</v>
      </c>
      <c r="C3086" s="5">
        <v>1</v>
      </c>
      <c r="D3086" s="5" t="s">
        <v>810</v>
      </c>
      <c r="E3086" s="5" t="s">
        <v>245</v>
      </c>
      <c r="F3086" s="5" t="s">
        <v>254</v>
      </c>
      <c r="G3086" s="5" t="s">
        <v>240</v>
      </c>
      <c r="H3086" s="6" t="s">
        <v>2374</v>
      </c>
      <c r="I3086" s="5" t="s">
        <v>809</v>
      </c>
      <c r="J3086" s="8">
        <f>822</f>
        <v>822</v>
      </c>
      <c r="K3086" s="5" t="s">
        <v>308</v>
      </c>
      <c r="L3086" s="7">
        <f>1</f>
        <v>1</v>
      </c>
      <c r="M3086" s="7">
        <f>1</f>
        <v>1</v>
      </c>
      <c r="N3086" s="5" t="s">
        <v>242</v>
      </c>
      <c r="O3086" s="5">
        <v>1</v>
      </c>
      <c r="P3086" s="5" t="s">
        <v>294</v>
      </c>
      <c r="Q3086" s="5" t="s">
        <v>266</v>
      </c>
      <c r="R3086" s="5" t="s">
        <v>240</v>
      </c>
      <c r="S3086" s="5" t="s">
        <v>240</v>
      </c>
      <c r="T3086" s="5" t="s">
        <v>296</v>
      </c>
      <c r="U3086" s="5" t="s">
        <v>244</v>
      </c>
      <c r="V3086" s="5" t="s">
        <v>240</v>
      </c>
      <c r="Y3086" s="5" t="s">
        <v>240</v>
      </c>
      <c r="Z3086" s="6" t="s">
        <v>298</v>
      </c>
      <c r="AB3086" s="6" t="s">
        <v>240</v>
      </c>
      <c r="AE3086" s="6" t="s">
        <v>299</v>
      </c>
      <c r="AF3086" s="5" t="s">
        <v>248</v>
      </c>
      <c r="AG3086" s="5" t="s">
        <v>249</v>
      </c>
      <c r="AW3086" s="5" t="s">
        <v>251</v>
      </c>
      <c r="AX3086" s="5" t="s">
        <v>240</v>
      </c>
      <c r="AY3086" s="5" t="s">
        <v>253</v>
      </c>
      <c r="AZ3086" s="5" t="s">
        <v>240</v>
      </c>
      <c r="BA3086" s="5" t="s">
        <v>255</v>
      </c>
      <c r="BB3086" s="5" t="s">
        <v>240</v>
      </c>
      <c r="BD3086" s="5" t="s">
        <v>240</v>
      </c>
      <c r="BF3086" s="5" t="s">
        <v>301</v>
      </c>
      <c r="BG3086" s="6" t="s">
        <v>299</v>
      </c>
      <c r="BH3086" s="5" t="s">
        <v>302</v>
      </c>
      <c r="BI3086" s="5" t="s">
        <v>303</v>
      </c>
      <c r="BJ3086" s="5" t="s">
        <v>240</v>
      </c>
      <c r="BK3086" s="8">
        <f>0</f>
        <v>0</v>
      </c>
      <c r="BL3086" s="7">
        <f>0</f>
        <v>0</v>
      </c>
      <c r="BM3086" s="5" t="s">
        <v>258</v>
      </c>
      <c r="BN3086" s="5" t="s">
        <v>259</v>
      </c>
      <c r="CB3086" s="5" t="s">
        <v>240</v>
      </c>
      <c r="CC3086" s="5" t="s">
        <v>240</v>
      </c>
      <c r="CG3086" s="5" t="s">
        <v>304</v>
      </c>
      <c r="CH3086" s="5" t="s">
        <v>305</v>
      </c>
      <c r="CI3086" s="5" t="s">
        <v>240</v>
      </c>
      <c r="CL3086" s="6" t="s">
        <v>261</v>
      </c>
      <c r="CM3086" s="5" t="s">
        <v>240</v>
      </c>
      <c r="CN3086" s="5" t="s">
        <v>263</v>
      </c>
      <c r="CO3086" s="5" t="s">
        <v>240</v>
      </c>
      <c r="CP3086" s="5" t="s">
        <v>240</v>
      </c>
      <c r="CQ3086" s="5">
        <v>0</v>
      </c>
      <c r="CR3086" s="5" t="s">
        <v>306</v>
      </c>
      <c r="CS3086" s="5" t="s">
        <v>307</v>
      </c>
      <c r="CT3086" s="5" t="s">
        <v>307</v>
      </c>
      <c r="CU3086" s="5" t="s">
        <v>260</v>
      </c>
      <c r="CX3086" s="7">
        <f>1</f>
        <v>1</v>
      </c>
      <c r="CY3086" s="7">
        <f>0</f>
        <v>0</v>
      </c>
      <c r="DA3086" s="7">
        <f>0</f>
        <v>0</v>
      </c>
      <c r="DC3086" s="5" t="s">
        <v>812</v>
      </c>
      <c r="DD3086" s="5" t="s">
        <v>240</v>
      </c>
      <c r="DF3086" s="5" t="s">
        <v>812</v>
      </c>
      <c r="DG3086" s="7">
        <f>138</f>
        <v>138</v>
      </c>
      <c r="DI3086" s="5" t="s">
        <v>240</v>
      </c>
      <c r="DJ3086" s="5" t="s">
        <v>240</v>
      </c>
      <c r="DK3086" s="5" t="s">
        <v>240</v>
      </c>
      <c r="DL3086" s="5" t="s">
        <v>240</v>
      </c>
      <c r="DP3086" s="5" t="s">
        <v>240</v>
      </c>
      <c r="DQ3086" s="5" t="s">
        <v>240</v>
      </c>
      <c r="DR3086" s="5" t="s">
        <v>240</v>
      </c>
      <c r="DS3086" s="5" t="s">
        <v>240</v>
      </c>
      <c r="DV3086" s="5" t="s">
        <v>813</v>
      </c>
      <c r="DW3086" s="5" t="s">
        <v>633</v>
      </c>
      <c r="HO3086" s="5" t="s">
        <v>312</v>
      </c>
    </row>
    <row r="3087" spans="1:240" x14ac:dyDescent="0.4">
      <c r="A3087" s="5">
        <v>4791</v>
      </c>
      <c r="B3087" s="5">
        <v>1</v>
      </c>
      <c r="C3087" s="5">
        <v>1</v>
      </c>
      <c r="D3087" s="5" t="s">
        <v>810</v>
      </c>
      <c r="E3087" s="5" t="s">
        <v>245</v>
      </c>
      <c r="F3087" s="5" t="s">
        <v>254</v>
      </c>
      <c r="G3087" s="5" t="s">
        <v>240</v>
      </c>
      <c r="H3087" s="6" t="s">
        <v>2372</v>
      </c>
      <c r="I3087" s="5" t="s">
        <v>809</v>
      </c>
      <c r="J3087" s="8">
        <f>723</f>
        <v>723</v>
      </c>
      <c r="K3087" s="5" t="s">
        <v>308</v>
      </c>
      <c r="L3087" s="7">
        <f>1</f>
        <v>1</v>
      </c>
      <c r="M3087" s="7">
        <f>1</f>
        <v>1</v>
      </c>
      <c r="N3087" s="5" t="s">
        <v>242</v>
      </c>
      <c r="O3087" s="5">
        <v>1</v>
      </c>
      <c r="P3087" s="5" t="s">
        <v>294</v>
      </c>
      <c r="Q3087" s="5" t="s">
        <v>3678</v>
      </c>
      <c r="R3087" s="5" t="s">
        <v>240</v>
      </c>
      <c r="S3087" s="5" t="s">
        <v>240</v>
      </c>
      <c r="T3087" s="5" t="s">
        <v>243</v>
      </c>
      <c r="U3087" s="5" t="s">
        <v>244</v>
      </c>
      <c r="V3087" s="5" t="s">
        <v>240</v>
      </c>
      <c r="W3087" s="5" t="s">
        <v>240</v>
      </c>
      <c r="X3087" s="5" t="s">
        <v>240</v>
      </c>
      <c r="Y3087" s="5" t="s">
        <v>240</v>
      </c>
      <c r="Z3087" s="6" t="s">
        <v>298</v>
      </c>
      <c r="AA3087" s="6" t="s">
        <v>240</v>
      </c>
      <c r="AB3087" s="6" t="s">
        <v>240</v>
      </c>
      <c r="AC3087" s="5" t="s">
        <v>240</v>
      </c>
      <c r="AD3087" s="6" t="s">
        <v>240</v>
      </c>
      <c r="AE3087" s="6" t="s">
        <v>299</v>
      </c>
      <c r="AF3087" s="5" t="s">
        <v>248</v>
      </c>
      <c r="AG3087" s="5" t="s">
        <v>249</v>
      </c>
      <c r="AH3087" s="5" t="s">
        <v>240</v>
      </c>
      <c r="AI3087" s="5" t="s">
        <v>240</v>
      </c>
      <c r="AJ3087" s="5" t="s">
        <v>240</v>
      </c>
      <c r="AK3087" s="5" t="s">
        <v>240</v>
      </c>
      <c r="AL3087" s="5" t="s">
        <v>240</v>
      </c>
      <c r="AM3087" s="5" t="s">
        <v>240</v>
      </c>
      <c r="AN3087" s="5" t="s">
        <v>240</v>
      </c>
      <c r="AO3087" s="5" t="s">
        <v>240</v>
      </c>
      <c r="AP3087" s="6" t="s">
        <v>240</v>
      </c>
      <c r="AQ3087" s="6" t="s">
        <v>240</v>
      </c>
      <c r="AR3087" s="6" t="s">
        <v>240</v>
      </c>
      <c r="AS3087" s="6" t="s">
        <v>240</v>
      </c>
      <c r="AT3087" s="5" t="s">
        <v>240</v>
      </c>
      <c r="AU3087" s="5" t="s">
        <v>729</v>
      </c>
      <c r="AV3087" s="5" t="s">
        <v>729</v>
      </c>
      <c r="AW3087" s="5" t="s">
        <v>251</v>
      </c>
      <c r="AX3087" s="5" t="s">
        <v>252</v>
      </c>
      <c r="AY3087" s="5" t="s">
        <v>253</v>
      </c>
      <c r="AZ3087" s="5" t="s">
        <v>240</v>
      </c>
      <c r="BA3087" s="5" t="s">
        <v>255</v>
      </c>
      <c r="BB3087" s="5" t="s">
        <v>731</v>
      </c>
      <c r="BD3087" s="5" t="s">
        <v>240</v>
      </c>
      <c r="BF3087" s="5" t="s">
        <v>732</v>
      </c>
      <c r="BG3087" s="6" t="s">
        <v>733</v>
      </c>
      <c r="BH3087" s="5" t="s">
        <v>734</v>
      </c>
      <c r="BI3087" s="5" t="s">
        <v>734</v>
      </c>
      <c r="BJ3087" s="5" t="s">
        <v>240</v>
      </c>
      <c r="BK3087" s="7">
        <f>1</f>
        <v>1</v>
      </c>
      <c r="BL3087" s="7">
        <f>1</f>
        <v>1</v>
      </c>
      <c r="BM3087" s="5" t="s">
        <v>258</v>
      </c>
      <c r="BN3087" s="5" t="s">
        <v>259</v>
      </c>
      <c r="BO3087" s="5" t="s">
        <v>240</v>
      </c>
      <c r="BP3087" s="5" t="s">
        <v>240</v>
      </c>
      <c r="BQ3087" s="5" t="s">
        <v>240</v>
      </c>
      <c r="BR3087" s="5" t="s">
        <v>240</v>
      </c>
      <c r="BS3087" s="5" t="s">
        <v>240</v>
      </c>
      <c r="BT3087" s="5" t="s">
        <v>240</v>
      </c>
      <c r="BU3087" s="5" t="s">
        <v>240</v>
      </c>
      <c r="BV3087" s="5" t="s">
        <v>240</v>
      </c>
      <c r="BW3087" s="6" t="s">
        <v>240</v>
      </c>
      <c r="BX3087" s="5" t="s">
        <v>240</v>
      </c>
      <c r="BY3087" s="5" t="s">
        <v>240</v>
      </c>
      <c r="BZ3087" s="5" t="s">
        <v>240</v>
      </c>
      <c r="CA3087" s="5" t="s">
        <v>259</v>
      </c>
      <c r="CB3087" s="5" t="s">
        <v>240</v>
      </c>
      <c r="CC3087" s="5" t="s">
        <v>240</v>
      </c>
      <c r="CD3087" s="5" t="s">
        <v>240</v>
      </c>
      <c r="CE3087" s="5" t="s">
        <v>240</v>
      </c>
      <c r="CF3087" s="5" t="s">
        <v>240</v>
      </c>
      <c r="CG3087" s="5" t="s">
        <v>304</v>
      </c>
      <c r="CH3087" s="5" t="s">
        <v>305</v>
      </c>
      <c r="CI3087" s="5" t="s">
        <v>240</v>
      </c>
      <c r="CK3087" s="5" t="s">
        <v>3681</v>
      </c>
      <c r="CL3087" s="6" t="s">
        <v>261</v>
      </c>
      <c r="CM3087" s="5" t="s">
        <v>262</v>
      </c>
      <c r="CN3087" s="5" t="s">
        <v>263</v>
      </c>
      <c r="CO3087" s="5" t="s">
        <v>264</v>
      </c>
      <c r="CP3087" s="5" t="s">
        <v>240</v>
      </c>
      <c r="CQ3087" s="5">
        <v>0</v>
      </c>
      <c r="CR3087" s="5" t="s">
        <v>735</v>
      </c>
      <c r="CS3087" s="5" t="s">
        <v>307</v>
      </c>
      <c r="CT3087" s="5" t="s">
        <v>307</v>
      </c>
      <c r="CU3087" s="5" t="s">
        <v>260</v>
      </c>
      <c r="CV3087" s="5" t="s">
        <v>612</v>
      </c>
      <c r="CW3087" s="8">
        <f>1</f>
        <v>1</v>
      </c>
      <c r="CX3087" s="7">
        <f>1</f>
        <v>1</v>
      </c>
      <c r="CY3087" s="7">
        <f>0</f>
        <v>0</v>
      </c>
      <c r="DA3087" s="7">
        <f>1</f>
        <v>1</v>
      </c>
      <c r="DB3087" s="7" t="s">
        <v>240</v>
      </c>
      <c r="DC3087" s="5" t="s">
        <v>240</v>
      </c>
      <c r="DD3087" s="5" t="s">
        <v>240</v>
      </c>
      <c r="DE3087" s="5" t="s">
        <v>240</v>
      </c>
      <c r="DF3087" s="5" t="s">
        <v>240</v>
      </c>
      <c r="DG3087" s="7">
        <f>0</f>
        <v>0</v>
      </c>
      <c r="DI3087" s="5" t="s">
        <v>240</v>
      </c>
      <c r="DJ3087" s="5" t="s">
        <v>240</v>
      </c>
      <c r="DK3087" s="5" t="s">
        <v>240</v>
      </c>
      <c r="DL3087" s="5" t="s">
        <v>240</v>
      </c>
      <c r="DM3087" s="5" t="s">
        <v>240</v>
      </c>
      <c r="DN3087" s="5" t="s">
        <v>240</v>
      </c>
      <c r="DO3087" s="7" t="s">
        <v>240</v>
      </c>
      <c r="DP3087" s="5" t="s">
        <v>240</v>
      </c>
      <c r="DQ3087" s="5" t="s">
        <v>240</v>
      </c>
      <c r="DR3087" s="5" t="s">
        <v>731</v>
      </c>
      <c r="DS3087" s="5" t="s">
        <v>731</v>
      </c>
      <c r="DT3087" s="5" t="s">
        <v>240</v>
      </c>
      <c r="DU3087" s="5" t="s">
        <v>240</v>
      </c>
      <c r="DV3087" s="5" t="s">
        <v>3683</v>
      </c>
      <c r="DW3087" s="5" t="s">
        <v>1098</v>
      </c>
      <c r="DX3087" s="5" t="s">
        <v>240</v>
      </c>
      <c r="DY3087" s="5" t="s">
        <v>240</v>
      </c>
      <c r="DZ3087" s="5" t="s">
        <v>240</v>
      </c>
      <c r="EA3087" s="5" t="s">
        <v>240</v>
      </c>
      <c r="EB3087" s="5" t="s">
        <v>240</v>
      </c>
      <c r="EC3087" s="5" t="s">
        <v>240</v>
      </c>
      <c r="ED3087" s="5" t="s">
        <v>240</v>
      </c>
      <c r="EE3087" s="5" t="s">
        <v>240</v>
      </c>
      <c r="EF3087" s="5" t="s">
        <v>240</v>
      </c>
      <c r="EG3087" s="5" t="s">
        <v>240</v>
      </c>
      <c r="EH3087" s="5" t="s">
        <v>240</v>
      </c>
      <c r="EI3087" s="5" t="s">
        <v>240</v>
      </c>
      <c r="EJ3087" s="5" t="s">
        <v>240</v>
      </c>
      <c r="EK3087" s="5" t="s">
        <v>240</v>
      </c>
      <c r="EL3087" s="5" t="s">
        <v>240</v>
      </c>
      <c r="EM3087" s="5" t="s">
        <v>240</v>
      </c>
      <c r="EN3087" s="5" t="s">
        <v>240</v>
      </c>
      <c r="EO3087" s="5" t="s">
        <v>240</v>
      </c>
      <c r="EP3087" s="5" t="s">
        <v>240</v>
      </c>
      <c r="EQ3087" s="5" t="s">
        <v>240</v>
      </c>
      <c r="ER3087" s="5" t="s">
        <v>240</v>
      </c>
      <c r="ES3087" s="5" t="s">
        <v>240</v>
      </c>
      <c r="ET3087" s="5" t="s">
        <v>240</v>
      </c>
      <c r="EU3087" s="5" t="s">
        <v>240</v>
      </c>
      <c r="EV3087" s="5" t="s">
        <v>240</v>
      </c>
      <c r="EW3087" s="5" t="s">
        <v>240</v>
      </c>
      <c r="EX3087" s="5" t="s">
        <v>240</v>
      </c>
      <c r="EY3087" s="5" t="s">
        <v>240</v>
      </c>
      <c r="EZ3087" s="5" t="s">
        <v>240</v>
      </c>
      <c r="FA3087" s="5" t="s">
        <v>240</v>
      </c>
      <c r="FB3087" s="5" t="s">
        <v>240</v>
      </c>
      <c r="FC3087" s="5" t="s">
        <v>240</v>
      </c>
      <c r="FD3087" s="5" t="s">
        <v>240</v>
      </c>
      <c r="FE3087" s="5" t="s">
        <v>240</v>
      </c>
      <c r="FF3087" s="5" t="s">
        <v>240</v>
      </c>
      <c r="FG3087" s="5" t="s">
        <v>240</v>
      </c>
      <c r="FH3087" s="5" t="s">
        <v>240</v>
      </c>
      <c r="FI3087" s="5" t="s">
        <v>240</v>
      </c>
      <c r="FJ3087" s="5" t="s">
        <v>240</v>
      </c>
      <c r="FK3087" s="5" t="s">
        <v>240</v>
      </c>
      <c r="FL3087" s="5" t="s">
        <v>240</v>
      </c>
      <c r="FM3087" s="5" t="s">
        <v>240</v>
      </c>
      <c r="FN3087" s="5" t="s">
        <v>240</v>
      </c>
      <c r="FO3087" s="5" t="s">
        <v>240</v>
      </c>
      <c r="FP3087" s="5" t="s">
        <v>240</v>
      </c>
      <c r="FQ3087" s="5" t="s">
        <v>240</v>
      </c>
      <c r="FR3087" s="5" t="s">
        <v>240</v>
      </c>
      <c r="FS3087" s="5" t="s">
        <v>240</v>
      </c>
      <c r="FT3087" s="5" t="s">
        <v>240</v>
      </c>
      <c r="FU3087" s="5" t="s">
        <v>240</v>
      </c>
      <c r="FV3087" s="5" t="s">
        <v>240</v>
      </c>
      <c r="FW3087" s="5" t="s">
        <v>240</v>
      </c>
      <c r="FX3087" s="5" t="s">
        <v>240</v>
      </c>
      <c r="FY3087" s="5" t="s">
        <v>240</v>
      </c>
      <c r="FZ3087" s="5" t="s">
        <v>240</v>
      </c>
      <c r="GA3087" s="5" t="s">
        <v>240</v>
      </c>
      <c r="GB3087" s="5" t="s">
        <v>240</v>
      </c>
      <c r="GC3087" s="5" t="s">
        <v>240</v>
      </c>
      <c r="GD3087" s="5" t="s">
        <v>240</v>
      </c>
      <c r="GE3087" s="5" t="s">
        <v>240</v>
      </c>
      <c r="GF3087" s="5" t="s">
        <v>240</v>
      </c>
      <c r="GG3087" s="5" t="s">
        <v>240</v>
      </c>
      <c r="GH3087" s="5" t="s">
        <v>240</v>
      </c>
      <c r="GI3087" s="5" t="s">
        <v>240</v>
      </c>
      <c r="GJ3087" s="5" t="s">
        <v>240</v>
      </c>
      <c r="GK3087" s="5" t="s">
        <v>240</v>
      </c>
      <c r="GL3087" s="5" t="s">
        <v>240</v>
      </c>
      <c r="GM3087" s="5" t="s">
        <v>240</v>
      </c>
      <c r="GN3087" s="5" t="s">
        <v>240</v>
      </c>
      <c r="GO3087" s="5" t="s">
        <v>240</v>
      </c>
      <c r="GP3087" s="5" t="s">
        <v>240</v>
      </c>
      <c r="GQ3087" s="5" t="s">
        <v>240</v>
      </c>
      <c r="GR3087" s="5" t="s">
        <v>240</v>
      </c>
      <c r="GS3087" s="5" t="s">
        <v>240</v>
      </c>
      <c r="GT3087" s="5" t="s">
        <v>240</v>
      </c>
      <c r="GU3087" s="5" t="s">
        <v>240</v>
      </c>
      <c r="GV3087" s="5" t="s">
        <v>240</v>
      </c>
      <c r="GW3087" s="5" t="s">
        <v>240</v>
      </c>
      <c r="GX3087" s="5" t="s">
        <v>240</v>
      </c>
      <c r="GY3087" s="5" t="s">
        <v>240</v>
      </c>
      <c r="GZ3087" s="5" t="s">
        <v>240</v>
      </c>
      <c r="HA3087" s="5" t="s">
        <v>240</v>
      </c>
      <c r="HB3087" s="5" t="s">
        <v>240</v>
      </c>
      <c r="HC3087" s="5" t="s">
        <v>240</v>
      </c>
      <c r="HD3087" s="5" t="s">
        <v>240</v>
      </c>
      <c r="HE3087" s="5" t="s">
        <v>240</v>
      </c>
      <c r="HF3087" s="5" t="s">
        <v>240</v>
      </c>
      <c r="HG3087" s="5" t="s">
        <v>240</v>
      </c>
      <c r="HH3087" s="5" t="s">
        <v>240</v>
      </c>
      <c r="HI3087" s="5" t="s">
        <v>240</v>
      </c>
      <c r="HJ3087" s="5" t="s">
        <v>240</v>
      </c>
      <c r="HK3087" s="5" t="s">
        <v>240</v>
      </c>
      <c r="HL3087" s="5" t="s">
        <v>240</v>
      </c>
      <c r="HM3087" s="5" t="s">
        <v>240</v>
      </c>
      <c r="HN3087" s="5" t="s">
        <v>240</v>
      </c>
      <c r="HO3087" s="5" t="s">
        <v>312</v>
      </c>
      <c r="HP3087" s="5" t="s">
        <v>240</v>
      </c>
      <c r="HQ3087" s="5" t="s">
        <v>240</v>
      </c>
      <c r="HR3087" s="5" t="s">
        <v>240</v>
      </c>
      <c r="HS3087" s="5" t="s">
        <v>240</v>
      </c>
      <c r="HT3087" s="5" t="s">
        <v>240</v>
      </c>
      <c r="HU3087" s="5" t="s">
        <v>240</v>
      </c>
      <c r="HV3087" s="5" t="s">
        <v>240</v>
      </c>
      <c r="HW3087" s="5" t="s">
        <v>240</v>
      </c>
      <c r="HX3087" s="5" t="s">
        <v>240</v>
      </c>
      <c r="HY3087" s="5" t="s">
        <v>240</v>
      </c>
      <c r="HZ3087" s="5" t="s">
        <v>240</v>
      </c>
      <c r="IA3087" s="5" t="s">
        <v>240</v>
      </c>
      <c r="IB3087" s="5" t="s">
        <v>240</v>
      </c>
      <c r="IC3087" s="5" t="s">
        <v>240</v>
      </c>
      <c r="ID3087" s="5" t="s">
        <v>240</v>
      </c>
      <c r="IE3087" s="5" t="s">
        <v>240</v>
      </c>
      <c r="IF3087" s="5" t="s">
        <v>240</v>
      </c>
    </row>
    <row r="3088" spans="1:240" x14ac:dyDescent="0.4">
      <c r="A3088" s="5">
        <v>4792</v>
      </c>
      <c r="B3088" s="5">
        <v>1</v>
      </c>
      <c r="C3088" s="5">
        <v>1</v>
      </c>
      <c r="D3088" s="5" t="s">
        <v>810</v>
      </c>
      <c r="E3088" s="5" t="s">
        <v>245</v>
      </c>
      <c r="F3088" s="5" t="s">
        <v>254</v>
      </c>
      <c r="G3088" s="5" t="s">
        <v>240</v>
      </c>
      <c r="H3088" s="6" t="s">
        <v>2370</v>
      </c>
      <c r="I3088" s="5" t="s">
        <v>809</v>
      </c>
      <c r="J3088" s="8">
        <f>201</f>
        <v>201</v>
      </c>
      <c r="K3088" s="5" t="s">
        <v>308</v>
      </c>
      <c r="L3088" s="7">
        <f>1</f>
        <v>1</v>
      </c>
      <c r="M3088" s="7">
        <f>1</f>
        <v>1</v>
      </c>
      <c r="N3088" s="5" t="s">
        <v>242</v>
      </c>
      <c r="O3088" s="5">
        <v>1</v>
      </c>
      <c r="P3088" s="5" t="s">
        <v>294</v>
      </c>
      <c r="Q3088" s="5" t="s">
        <v>3678</v>
      </c>
      <c r="R3088" s="5" t="s">
        <v>240</v>
      </c>
      <c r="S3088" s="5" t="s">
        <v>240</v>
      </c>
      <c r="T3088" s="5" t="s">
        <v>243</v>
      </c>
      <c r="U3088" s="5" t="s">
        <v>244</v>
      </c>
      <c r="V3088" s="5" t="s">
        <v>240</v>
      </c>
      <c r="W3088" s="5" t="s">
        <v>240</v>
      </c>
      <c r="X3088" s="5" t="s">
        <v>240</v>
      </c>
      <c r="Y3088" s="5" t="s">
        <v>240</v>
      </c>
      <c r="Z3088" s="6" t="s">
        <v>298</v>
      </c>
      <c r="AA3088" s="6" t="s">
        <v>240</v>
      </c>
      <c r="AB3088" s="6" t="s">
        <v>240</v>
      </c>
      <c r="AC3088" s="5" t="s">
        <v>240</v>
      </c>
      <c r="AD3088" s="6" t="s">
        <v>240</v>
      </c>
      <c r="AE3088" s="6" t="s">
        <v>299</v>
      </c>
      <c r="AF3088" s="5" t="s">
        <v>248</v>
      </c>
      <c r="AG3088" s="5" t="s">
        <v>249</v>
      </c>
      <c r="AH3088" s="5" t="s">
        <v>240</v>
      </c>
      <c r="AI3088" s="5" t="s">
        <v>240</v>
      </c>
      <c r="AJ3088" s="5" t="s">
        <v>240</v>
      </c>
      <c r="AK3088" s="5" t="s">
        <v>240</v>
      </c>
      <c r="AL3088" s="5" t="s">
        <v>240</v>
      </c>
      <c r="AM3088" s="5" t="s">
        <v>240</v>
      </c>
      <c r="AN3088" s="5" t="s">
        <v>240</v>
      </c>
      <c r="AO3088" s="5" t="s">
        <v>240</v>
      </c>
      <c r="AP3088" s="6" t="s">
        <v>240</v>
      </c>
      <c r="AQ3088" s="6" t="s">
        <v>240</v>
      </c>
      <c r="AR3088" s="6" t="s">
        <v>240</v>
      </c>
      <c r="AS3088" s="6" t="s">
        <v>240</v>
      </c>
      <c r="AT3088" s="5" t="s">
        <v>240</v>
      </c>
      <c r="AU3088" s="5" t="s">
        <v>729</v>
      </c>
      <c r="AV3088" s="5" t="s">
        <v>729</v>
      </c>
      <c r="AW3088" s="5" t="s">
        <v>251</v>
      </c>
      <c r="AX3088" s="5" t="s">
        <v>252</v>
      </c>
      <c r="AY3088" s="5" t="s">
        <v>253</v>
      </c>
      <c r="AZ3088" s="5" t="s">
        <v>240</v>
      </c>
      <c r="BA3088" s="5" t="s">
        <v>255</v>
      </c>
      <c r="BB3088" s="5" t="s">
        <v>731</v>
      </c>
      <c r="BD3088" s="5" t="s">
        <v>240</v>
      </c>
      <c r="BF3088" s="5" t="s">
        <v>732</v>
      </c>
      <c r="BG3088" s="6" t="s">
        <v>733</v>
      </c>
      <c r="BH3088" s="5" t="s">
        <v>734</v>
      </c>
      <c r="BI3088" s="5" t="s">
        <v>734</v>
      </c>
      <c r="BJ3088" s="5" t="s">
        <v>240</v>
      </c>
      <c r="BK3088" s="7">
        <f>1</f>
        <v>1</v>
      </c>
      <c r="BL3088" s="7">
        <f>1</f>
        <v>1</v>
      </c>
      <c r="BM3088" s="5" t="s">
        <v>258</v>
      </c>
      <c r="BN3088" s="5" t="s">
        <v>259</v>
      </c>
      <c r="BO3088" s="5" t="s">
        <v>240</v>
      </c>
      <c r="BP3088" s="5" t="s">
        <v>240</v>
      </c>
      <c r="BQ3088" s="5" t="s">
        <v>240</v>
      </c>
      <c r="BR3088" s="5" t="s">
        <v>240</v>
      </c>
      <c r="BS3088" s="5" t="s">
        <v>240</v>
      </c>
      <c r="BT3088" s="5" t="s">
        <v>240</v>
      </c>
      <c r="BU3088" s="5" t="s">
        <v>240</v>
      </c>
      <c r="BV3088" s="5" t="s">
        <v>240</v>
      </c>
      <c r="BW3088" s="6" t="s">
        <v>240</v>
      </c>
      <c r="BX3088" s="5" t="s">
        <v>240</v>
      </c>
      <c r="BY3088" s="5" t="s">
        <v>240</v>
      </c>
      <c r="BZ3088" s="5" t="s">
        <v>240</v>
      </c>
      <c r="CA3088" s="5" t="s">
        <v>259</v>
      </c>
      <c r="CB3088" s="5" t="s">
        <v>240</v>
      </c>
      <c r="CC3088" s="5" t="s">
        <v>240</v>
      </c>
      <c r="CD3088" s="5" t="s">
        <v>240</v>
      </c>
      <c r="CE3088" s="5" t="s">
        <v>240</v>
      </c>
      <c r="CF3088" s="5" t="s">
        <v>240</v>
      </c>
      <c r="CG3088" s="5" t="s">
        <v>304</v>
      </c>
      <c r="CH3088" s="5" t="s">
        <v>305</v>
      </c>
      <c r="CI3088" s="5" t="s">
        <v>240</v>
      </c>
      <c r="CK3088" s="5" t="s">
        <v>3681</v>
      </c>
      <c r="CL3088" s="6" t="s">
        <v>261</v>
      </c>
      <c r="CM3088" s="5" t="s">
        <v>262</v>
      </c>
      <c r="CN3088" s="5" t="s">
        <v>263</v>
      </c>
      <c r="CO3088" s="5" t="s">
        <v>264</v>
      </c>
      <c r="CP3088" s="5" t="s">
        <v>240</v>
      </c>
      <c r="CQ3088" s="5">
        <v>0</v>
      </c>
      <c r="CR3088" s="5" t="s">
        <v>735</v>
      </c>
      <c r="CS3088" s="5" t="s">
        <v>307</v>
      </c>
      <c r="CT3088" s="5" t="s">
        <v>307</v>
      </c>
      <c r="CU3088" s="5" t="s">
        <v>260</v>
      </c>
      <c r="CV3088" s="5" t="s">
        <v>612</v>
      </c>
      <c r="CW3088" s="8">
        <f>1</f>
        <v>1</v>
      </c>
      <c r="CX3088" s="7">
        <f>1</f>
        <v>1</v>
      </c>
      <c r="CY3088" s="7">
        <f>0</f>
        <v>0</v>
      </c>
      <c r="DA3088" s="7">
        <f>1</f>
        <v>1</v>
      </c>
      <c r="DB3088" s="7" t="s">
        <v>240</v>
      </c>
      <c r="DC3088" s="5" t="s">
        <v>240</v>
      </c>
      <c r="DD3088" s="5" t="s">
        <v>240</v>
      </c>
      <c r="DE3088" s="5" t="s">
        <v>240</v>
      </c>
      <c r="DF3088" s="5" t="s">
        <v>240</v>
      </c>
      <c r="DG3088" s="7">
        <f>0</f>
        <v>0</v>
      </c>
      <c r="DI3088" s="5" t="s">
        <v>240</v>
      </c>
      <c r="DJ3088" s="5" t="s">
        <v>240</v>
      </c>
      <c r="DK3088" s="5" t="s">
        <v>240</v>
      </c>
      <c r="DL3088" s="5" t="s">
        <v>240</v>
      </c>
      <c r="DM3088" s="5" t="s">
        <v>240</v>
      </c>
      <c r="DN3088" s="5" t="s">
        <v>240</v>
      </c>
      <c r="DO3088" s="7" t="s">
        <v>240</v>
      </c>
      <c r="DP3088" s="5" t="s">
        <v>240</v>
      </c>
      <c r="DQ3088" s="5" t="s">
        <v>240</v>
      </c>
      <c r="DR3088" s="5" t="s">
        <v>731</v>
      </c>
      <c r="DS3088" s="5" t="s">
        <v>731</v>
      </c>
      <c r="DT3088" s="5" t="s">
        <v>240</v>
      </c>
      <c r="DU3088" s="5" t="s">
        <v>240</v>
      </c>
      <c r="DV3088" s="5" t="s">
        <v>3683</v>
      </c>
      <c r="DW3088" s="5" t="s">
        <v>312</v>
      </c>
      <c r="DX3088" s="5" t="s">
        <v>240</v>
      </c>
      <c r="DY3088" s="5" t="s">
        <v>240</v>
      </c>
      <c r="DZ3088" s="5" t="s">
        <v>240</v>
      </c>
      <c r="EA3088" s="5" t="s">
        <v>240</v>
      </c>
      <c r="EB3088" s="5" t="s">
        <v>240</v>
      </c>
      <c r="EC3088" s="5" t="s">
        <v>240</v>
      </c>
      <c r="ED3088" s="5" t="s">
        <v>240</v>
      </c>
      <c r="EE3088" s="5" t="s">
        <v>240</v>
      </c>
      <c r="EF3088" s="5" t="s">
        <v>240</v>
      </c>
      <c r="EG3088" s="5" t="s">
        <v>240</v>
      </c>
      <c r="EH3088" s="5" t="s">
        <v>240</v>
      </c>
      <c r="EI3088" s="5" t="s">
        <v>240</v>
      </c>
      <c r="EJ3088" s="5" t="s">
        <v>240</v>
      </c>
      <c r="EK3088" s="5" t="s">
        <v>240</v>
      </c>
      <c r="EL3088" s="5" t="s">
        <v>240</v>
      </c>
      <c r="EM3088" s="5" t="s">
        <v>240</v>
      </c>
      <c r="EN3088" s="5" t="s">
        <v>240</v>
      </c>
      <c r="EO3088" s="5" t="s">
        <v>240</v>
      </c>
      <c r="EP3088" s="5" t="s">
        <v>240</v>
      </c>
      <c r="EQ3088" s="5" t="s">
        <v>240</v>
      </c>
      <c r="ER3088" s="5" t="s">
        <v>240</v>
      </c>
      <c r="ES3088" s="5" t="s">
        <v>240</v>
      </c>
      <c r="ET3088" s="5" t="s">
        <v>240</v>
      </c>
      <c r="EU3088" s="5" t="s">
        <v>240</v>
      </c>
      <c r="EV3088" s="5" t="s">
        <v>240</v>
      </c>
      <c r="EW3088" s="5" t="s">
        <v>240</v>
      </c>
      <c r="EX3088" s="5" t="s">
        <v>240</v>
      </c>
      <c r="EY3088" s="5" t="s">
        <v>240</v>
      </c>
      <c r="EZ3088" s="5" t="s">
        <v>240</v>
      </c>
      <c r="FA3088" s="5" t="s">
        <v>240</v>
      </c>
      <c r="FB3088" s="5" t="s">
        <v>240</v>
      </c>
      <c r="FC3088" s="5" t="s">
        <v>240</v>
      </c>
      <c r="FD3088" s="5" t="s">
        <v>240</v>
      </c>
      <c r="FE3088" s="5" t="s">
        <v>240</v>
      </c>
      <c r="FF3088" s="5" t="s">
        <v>240</v>
      </c>
      <c r="FG3088" s="5" t="s">
        <v>240</v>
      </c>
      <c r="FH3088" s="5" t="s">
        <v>240</v>
      </c>
      <c r="FI3088" s="5" t="s">
        <v>240</v>
      </c>
      <c r="FJ3088" s="5" t="s">
        <v>240</v>
      </c>
      <c r="FK3088" s="5" t="s">
        <v>240</v>
      </c>
      <c r="FL3088" s="5" t="s">
        <v>240</v>
      </c>
      <c r="FM3088" s="5" t="s">
        <v>240</v>
      </c>
      <c r="FN3088" s="5" t="s">
        <v>240</v>
      </c>
      <c r="FO3088" s="5" t="s">
        <v>240</v>
      </c>
      <c r="FP3088" s="5" t="s">
        <v>240</v>
      </c>
      <c r="FQ3088" s="5" t="s">
        <v>240</v>
      </c>
      <c r="FR3088" s="5" t="s">
        <v>240</v>
      </c>
      <c r="FS3088" s="5" t="s">
        <v>240</v>
      </c>
      <c r="FT3088" s="5" t="s">
        <v>240</v>
      </c>
      <c r="FU3088" s="5" t="s">
        <v>240</v>
      </c>
      <c r="FV3088" s="5" t="s">
        <v>240</v>
      </c>
      <c r="FW3088" s="5" t="s">
        <v>240</v>
      </c>
      <c r="FX3088" s="5" t="s">
        <v>240</v>
      </c>
      <c r="FY3088" s="5" t="s">
        <v>240</v>
      </c>
      <c r="FZ3088" s="5" t="s">
        <v>240</v>
      </c>
      <c r="GA3088" s="5" t="s">
        <v>240</v>
      </c>
      <c r="GB3088" s="5" t="s">
        <v>240</v>
      </c>
      <c r="GC3088" s="5" t="s">
        <v>240</v>
      </c>
      <c r="GD3088" s="5" t="s">
        <v>240</v>
      </c>
      <c r="GE3088" s="5" t="s">
        <v>240</v>
      </c>
      <c r="GF3088" s="5" t="s">
        <v>240</v>
      </c>
      <c r="GG3088" s="5" t="s">
        <v>240</v>
      </c>
      <c r="GH3088" s="5" t="s">
        <v>240</v>
      </c>
      <c r="GI3088" s="5" t="s">
        <v>240</v>
      </c>
      <c r="GJ3088" s="5" t="s">
        <v>240</v>
      </c>
      <c r="GK3088" s="5" t="s">
        <v>240</v>
      </c>
      <c r="GL3088" s="5" t="s">
        <v>240</v>
      </c>
      <c r="GM3088" s="5" t="s">
        <v>240</v>
      </c>
      <c r="GN3088" s="5" t="s">
        <v>240</v>
      </c>
      <c r="GO3088" s="5" t="s">
        <v>240</v>
      </c>
      <c r="GP3088" s="5" t="s">
        <v>240</v>
      </c>
      <c r="GQ3088" s="5" t="s">
        <v>240</v>
      </c>
      <c r="GR3088" s="5" t="s">
        <v>240</v>
      </c>
      <c r="GS3088" s="5" t="s">
        <v>240</v>
      </c>
      <c r="GT3088" s="5" t="s">
        <v>240</v>
      </c>
      <c r="GU3088" s="5" t="s">
        <v>240</v>
      </c>
      <c r="GV3088" s="5" t="s">
        <v>240</v>
      </c>
      <c r="GW3088" s="5" t="s">
        <v>240</v>
      </c>
      <c r="GX3088" s="5" t="s">
        <v>240</v>
      </c>
      <c r="GY3088" s="5" t="s">
        <v>240</v>
      </c>
      <c r="GZ3088" s="5" t="s">
        <v>240</v>
      </c>
      <c r="HA3088" s="5" t="s">
        <v>240</v>
      </c>
      <c r="HB3088" s="5" t="s">
        <v>240</v>
      </c>
      <c r="HC3088" s="5" t="s">
        <v>240</v>
      </c>
      <c r="HD3088" s="5" t="s">
        <v>240</v>
      </c>
      <c r="HE3088" s="5" t="s">
        <v>240</v>
      </c>
      <c r="HF3088" s="5" t="s">
        <v>240</v>
      </c>
      <c r="HG3088" s="5" t="s">
        <v>240</v>
      </c>
      <c r="HH3088" s="5" t="s">
        <v>240</v>
      </c>
      <c r="HI3088" s="5" t="s">
        <v>240</v>
      </c>
      <c r="HJ3088" s="5" t="s">
        <v>240</v>
      </c>
      <c r="HK3088" s="5" t="s">
        <v>240</v>
      </c>
      <c r="HL3088" s="5" t="s">
        <v>240</v>
      </c>
      <c r="HM3088" s="5" t="s">
        <v>240</v>
      </c>
      <c r="HN3088" s="5" t="s">
        <v>240</v>
      </c>
      <c r="HO3088" s="5" t="s">
        <v>312</v>
      </c>
      <c r="HP3088" s="5" t="s">
        <v>240</v>
      </c>
      <c r="HQ3088" s="5" t="s">
        <v>240</v>
      </c>
      <c r="HR3088" s="5" t="s">
        <v>240</v>
      </c>
      <c r="HS3088" s="5" t="s">
        <v>240</v>
      </c>
      <c r="HT3088" s="5" t="s">
        <v>240</v>
      </c>
      <c r="HU3088" s="5" t="s">
        <v>240</v>
      </c>
      <c r="HV3088" s="5" t="s">
        <v>240</v>
      </c>
      <c r="HW3088" s="5" t="s">
        <v>240</v>
      </c>
      <c r="HX3088" s="5" t="s">
        <v>240</v>
      </c>
      <c r="HY3088" s="5" t="s">
        <v>240</v>
      </c>
      <c r="HZ3088" s="5" t="s">
        <v>240</v>
      </c>
      <c r="IA3088" s="5" t="s">
        <v>240</v>
      </c>
      <c r="IB3088" s="5" t="s">
        <v>240</v>
      </c>
      <c r="IC3088" s="5" t="s">
        <v>240</v>
      </c>
      <c r="ID3088" s="5" t="s">
        <v>240</v>
      </c>
      <c r="IE3088" s="5" t="s">
        <v>240</v>
      </c>
      <c r="IF3088" s="5" t="s">
        <v>240</v>
      </c>
    </row>
    <row r="3089" spans="1:240" x14ac:dyDescent="0.4">
      <c r="A3089" s="5">
        <v>4793</v>
      </c>
      <c r="B3089" s="5">
        <v>1</v>
      </c>
      <c r="C3089" s="5">
        <v>1</v>
      </c>
      <c r="D3089" s="5" t="s">
        <v>810</v>
      </c>
      <c r="E3089" s="5" t="s">
        <v>245</v>
      </c>
      <c r="F3089" s="5" t="s">
        <v>254</v>
      </c>
      <c r="G3089" s="5" t="s">
        <v>240</v>
      </c>
      <c r="H3089" s="6" t="s">
        <v>2368</v>
      </c>
      <c r="I3089" s="5" t="s">
        <v>809</v>
      </c>
      <c r="J3089" s="8">
        <f>122</f>
        <v>122</v>
      </c>
      <c r="K3089" s="5" t="s">
        <v>308</v>
      </c>
      <c r="L3089" s="7">
        <f>1</f>
        <v>1</v>
      </c>
      <c r="M3089" s="7">
        <f>1</f>
        <v>1</v>
      </c>
      <c r="N3089" s="5" t="s">
        <v>242</v>
      </c>
      <c r="O3089" s="5">
        <v>1</v>
      </c>
      <c r="P3089" s="5" t="s">
        <v>294</v>
      </c>
      <c r="Q3089" s="5" t="s">
        <v>3678</v>
      </c>
      <c r="R3089" s="5" t="s">
        <v>240</v>
      </c>
      <c r="S3089" s="5" t="s">
        <v>240</v>
      </c>
      <c r="T3089" s="5" t="s">
        <v>243</v>
      </c>
      <c r="U3089" s="5" t="s">
        <v>244</v>
      </c>
      <c r="V3089" s="5" t="s">
        <v>240</v>
      </c>
      <c r="W3089" s="5" t="s">
        <v>240</v>
      </c>
      <c r="X3089" s="5" t="s">
        <v>240</v>
      </c>
      <c r="Y3089" s="5" t="s">
        <v>240</v>
      </c>
      <c r="Z3089" s="6" t="s">
        <v>298</v>
      </c>
      <c r="AA3089" s="6" t="s">
        <v>240</v>
      </c>
      <c r="AB3089" s="6" t="s">
        <v>240</v>
      </c>
      <c r="AC3089" s="5" t="s">
        <v>240</v>
      </c>
      <c r="AD3089" s="6" t="s">
        <v>240</v>
      </c>
      <c r="AE3089" s="6" t="s">
        <v>299</v>
      </c>
      <c r="AF3089" s="5" t="s">
        <v>248</v>
      </c>
      <c r="AG3089" s="5" t="s">
        <v>249</v>
      </c>
      <c r="AH3089" s="5" t="s">
        <v>240</v>
      </c>
      <c r="AI3089" s="5" t="s">
        <v>240</v>
      </c>
      <c r="AJ3089" s="5" t="s">
        <v>240</v>
      </c>
      <c r="AK3089" s="5" t="s">
        <v>240</v>
      </c>
      <c r="AL3089" s="5" t="s">
        <v>240</v>
      </c>
      <c r="AM3089" s="5" t="s">
        <v>240</v>
      </c>
      <c r="AN3089" s="5" t="s">
        <v>240</v>
      </c>
      <c r="AO3089" s="5" t="s">
        <v>240</v>
      </c>
      <c r="AP3089" s="6" t="s">
        <v>240</v>
      </c>
      <c r="AQ3089" s="6" t="s">
        <v>240</v>
      </c>
      <c r="AR3089" s="6" t="s">
        <v>240</v>
      </c>
      <c r="AS3089" s="6" t="s">
        <v>240</v>
      </c>
      <c r="AT3089" s="5" t="s">
        <v>240</v>
      </c>
      <c r="AU3089" s="5" t="s">
        <v>729</v>
      </c>
      <c r="AV3089" s="5" t="s">
        <v>729</v>
      </c>
      <c r="AW3089" s="5" t="s">
        <v>251</v>
      </c>
      <c r="AX3089" s="5" t="s">
        <v>252</v>
      </c>
      <c r="AY3089" s="5" t="s">
        <v>253</v>
      </c>
      <c r="AZ3089" s="5" t="s">
        <v>240</v>
      </c>
      <c r="BA3089" s="5" t="s">
        <v>255</v>
      </c>
      <c r="BB3089" s="5" t="s">
        <v>731</v>
      </c>
      <c r="BD3089" s="5" t="s">
        <v>240</v>
      </c>
      <c r="BF3089" s="5" t="s">
        <v>732</v>
      </c>
      <c r="BG3089" s="6" t="s">
        <v>733</v>
      </c>
      <c r="BH3089" s="5" t="s">
        <v>734</v>
      </c>
      <c r="BI3089" s="5" t="s">
        <v>734</v>
      </c>
      <c r="BJ3089" s="5" t="s">
        <v>240</v>
      </c>
      <c r="BK3089" s="7">
        <f>1</f>
        <v>1</v>
      </c>
      <c r="BL3089" s="7">
        <f>1</f>
        <v>1</v>
      </c>
      <c r="BM3089" s="5" t="s">
        <v>258</v>
      </c>
      <c r="BN3089" s="5" t="s">
        <v>259</v>
      </c>
      <c r="BO3089" s="5" t="s">
        <v>240</v>
      </c>
      <c r="BP3089" s="5" t="s">
        <v>240</v>
      </c>
      <c r="BQ3089" s="5" t="s">
        <v>240</v>
      </c>
      <c r="BR3089" s="5" t="s">
        <v>240</v>
      </c>
      <c r="BS3089" s="5" t="s">
        <v>240</v>
      </c>
      <c r="BT3089" s="5" t="s">
        <v>240</v>
      </c>
      <c r="BU3089" s="5" t="s">
        <v>240</v>
      </c>
      <c r="BV3089" s="5" t="s">
        <v>240</v>
      </c>
      <c r="BW3089" s="6" t="s">
        <v>240</v>
      </c>
      <c r="BX3089" s="5" t="s">
        <v>240</v>
      </c>
      <c r="BY3089" s="5" t="s">
        <v>240</v>
      </c>
      <c r="BZ3089" s="5" t="s">
        <v>240</v>
      </c>
      <c r="CA3089" s="5" t="s">
        <v>259</v>
      </c>
      <c r="CB3089" s="5" t="s">
        <v>240</v>
      </c>
      <c r="CC3089" s="5" t="s">
        <v>240</v>
      </c>
      <c r="CD3089" s="5" t="s">
        <v>240</v>
      </c>
      <c r="CE3089" s="5" t="s">
        <v>240</v>
      </c>
      <c r="CF3089" s="5" t="s">
        <v>240</v>
      </c>
      <c r="CG3089" s="5" t="s">
        <v>304</v>
      </c>
      <c r="CH3089" s="5" t="s">
        <v>305</v>
      </c>
      <c r="CI3089" s="5" t="s">
        <v>240</v>
      </c>
      <c r="CK3089" s="5" t="s">
        <v>3681</v>
      </c>
      <c r="CL3089" s="6" t="s">
        <v>261</v>
      </c>
      <c r="CM3089" s="5" t="s">
        <v>262</v>
      </c>
      <c r="CN3089" s="5" t="s">
        <v>263</v>
      </c>
      <c r="CO3089" s="5" t="s">
        <v>264</v>
      </c>
      <c r="CP3089" s="5" t="s">
        <v>240</v>
      </c>
      <c r="CQ3089" s="5">
        <v>0</v>
      </c>
      <c r="CR3089" s="5" t="s">
        <v>735</v>
      </c>
      <c r="CS3089" s="5" t="s">
        <v>307</v>
      </c>
      <c r="CT3089" s="5" t="s">
        <v>307</v>
      </c>
      <c r="CU3089" s="5" t="s">
        <v>260</v>
      </c>
      <c r="CV3089" s="5" t="s">
        <v>612</v>
      </c>
      <c r="CW3089" s="8">
        <f>1</f>
        <v>1</v>
      </c>
      <c r="CX3089" s="7">
        <f>1</f>
        <v>1</v>
      </c>
      <c r="CY3089" s="7">
        <f>0</f>
        <v>0</v>
      </c>
      <c r="DA3089" s="7">
        <f>1</f>
        <v>1</v>
      </c>
      <c r="DB3089" s="7" t="s">
        <v>240</v>
      </c>
      <c r="DC3089" s="5" t="s">
        <v>240</v>
      </c>
      <c r="DD3089" s="5" t="s">
        <v>240</v>
      </c>
      <c r="DE3089" s="5" t="s">
        <v>240</v>
      </c>
      <c r="DF3089" s="5" t="s">
        <v>240</v>
      </c>
      <c r="DG3089" s="7">
        <f>0</f>
        <v>0</v>
      </c>
      <c r="DI3089" s="5" t="s">
        <v>240</v>
      </c>
      <c r="DJ3089" s="5" t="s">
        <v>240</v>
      </c>
      <c r="DK3089" s="5" t="s">
        <v>240</v>
      </c>
      <c r="DL3089" s="5" t="s">
        <v>240</v>
      </c>
      <c r="DM3089" s="5" t="s">
        <v>240</v>
      </c>
      <c r="DN3089" s="5" t="s">
        <v>240</v>
      </c>
      <c r="DO3089" s="7" t="s">
        <v>240</v>
      </c>
      <c r="DP3089" s="5" t="s">
        <v>240</v>
      </c>
      <c r="DQ3089" s="5" t="s">
        <v>240</v>
      </c>
      <c r="DR3089" s="5" t="s">
        <v>731</v>
      </c>
      <c r="DS3089" s="5" t="s">
        <v>731</v>
      </c>
      <c r="DT3089" s="5" t="s">
        <v>240</v>
      </c>
      <c r="DU3089" s="5" t="s">
        <v>240</v>
      </c>
      <c r="DV3089" s="5" t="s">
        <v>3683</v>
      </c>
      <c r="DW3089" s="5" t="s">
        <v>1090</v>
      </c>
      <c r="DX3089" s="5" t="s">
        <v>240</v>
      </c>
      <c r="DY3089" s="5" t="s">
        <v>240</v>
      </c>
      <c r="DZ3089" s="5" t="s">
        <v>240</v>
      </c>
      <c r="EA3089" s="5" t="s">
        <v>240</v>
      </c>
      <c r="EB3089" s="5" t="s">
        <v>240</v>
      </c>
      <c r="EC3089" s="5" t="s">
        <v>240</v>
      </c>
      <c r="ED3089" s="5" t="s">
        <v>240</v>
      </c>
      <c r="EE3089" s="5" t="s">
        <v>240</v>
      </c>
      <c r="EF3089" s="5" t="s">
        <v>240</v>
      </c>
      <c r="EG3089" s="5" t="s">
        <v>240</v>
      </c>
      <c r="EH3089" s="5" t="s">
        <v>240</v>
      </c>
      <c r="EI3089" s="5" t="s">
        <v>240</v>
      </c>
      <c r="EJ3089" s="5" t="s">
        <v>240</v>
      </c>
      <c r="EK3089" s="5" t="s">
        <v>240</v>
      </c>
      <c r="EL3089" s="5" t="s">
        <v>240</v>
      </c>
      <c r="EM3089" s="5" t="s">
        <v>240</v>
      </c>
      <c r="EN3089" s="5" t="s">
        <v>240</v>
      </c>
      <c r="EO3089" s="5" t="s">
        <v>240</v>
      </c>
      <c r="EP3089" s="5" t="s">
        <v>240</v>
      </c>
      <c r="EQ3089" s="5" t="s">
        <v>240</v>
      </c>
      <c r="ER3089" s="5" t="s">
        <v>240</v>
      </c>
      <c r="ES3089" s="5" t="s">
        <v>240</v>
      </c>
      <c r="ET3089" s="5" t="s">
        <v>240</v>
      </c>
      <c r="EU3089" s="5" t="s">
        <v>240</v>
      </c>
      <c r="EV3089" s="5" t="s">
        <v>240</v>
      </c>
      <c r="EW3089" s="5" t="s">
        <v>240</v>
      </c>
      <c r="EX3089" s="5" t="s">
        <v>240</v>
      </c>
      <c r="EY3089" s="5" t="s">
        <v>240</v>
      </c>
      <c r="EZ3089" s="5" t="s">
        <v>240</v>
      </c>
      <c r="FA3089" s="5" t="s">
        <v>240</v>
      </c>
      <c r="FB3089" s="5" t="s">
        <v>240</v>
      </c>
      <c r="FC3089" s="5" t="s">
        <v>240</v>
      </c>
      <c r="FD3089" s="5" t="s">
        <v>240</v>
      </c>
      <c r="FE3089" s="5" t="s">
        <v>240</v>
      </c>
      <c r="FF3089" s="5" t="s">
        <v>240</v>
      </c>
      <c r="FG3089" s="5" t="s">
        <v>240</v>
      </c>
      <c r="FH3089" s="5" t="s">
        <v>240</v>
      </c>
      <c r="FI3089" s="5" t="s">
        <v>240</v>
      </c>
      <c r="FJ3089" s="5" t="s">
        <v>240</v>
      </c>
      <c r="FK3089" s="5" t="s">
        <v>240</v>
      </c>
      <c r="FL3089" s="5" t="s">
        <v>240</v>
      </c>
      <c r="FM3089" s="5" t="s">
        <v>240</v>
      </c>
      <c r="FN3089" s="5" t="s">
        <v>240</v>
      </c>
      <c r="FO3089" s="5" t="s">
        <v>240</v>
      </c>
      <c r="FP3089" s="5" t="s">
        <v>240</v>
      </c>
      <c r="FQ3089" s="5" t="s">
        <v>240</v>
      </c>
      <c r="FR3089" s="5" t="s">
        <v>240</v>
      </c>
      <c r="FS3089" s="5" t="s">
        <v>240</v>
      </c>
      <c r="FT3089" s="5" t="s">
        <v>240</v>
      </c>
      <c r="FU3089" s="5" t="s">
        <v>240</v>
      </c>
      <c r="FV3089" s="5" t="s">
        <v>240</v>
      </c>
      <c r="FW3089" s="5" t="s">
        <v>240</v>
      </c>
      <c r="FX3089" s="5" t="s">
        <v>240</v>
      </c>
      <c r="FY3089" s="5" t="s">
        <v>240</v>
      </c>
      <c r="FZ3089" s="5" t="s">
        <v>240</v>
      </c>
      <c r="GA3089" s="5" t="s">
        <v>240</v>
      </c>
      <c r="GB3089" s="5" t="s">
        <v>240</v>
      </c>
      <c r="GC3089" s="5" t="s">
        <v>240</v>
      </c>
      <c r="GD3089" s="5" t="s">
        <v>240</v>
      </c>
      <c r="GE3089" s="5" t="s">
        <v>240</v>
      </c>
      <c r="GF3089" s="5" t="s">
        <v>240</v>
      </c>
      <c r="GG3089" s="5" t="s">
        <v>240</v>
      </c>
      <c r="GH3089" s="5" t="s">
        <v>240</v>
      </c>
      <c r="GI3089" s="5" t="s">
        <v>240</v>
      </c>
      <c r="GJ3089" s="5" t="s">
        <v>240</v>
      </c>
      <c r="GK3089" s="5" t="s">
        <v>240</v>
      </c>
      <c r="GL3089" s="5" t="s">
        <v>240</v>
      </c>
      <c r="GM3089" s="5" t="s">
        <v>240</v>
      </c>
      <c r="GN3089" s="5" t="s">
        <v>240</v>
      </c>
      <c r="GO3089" s="5" t="s">
        <v>240</v>
      </c>
      <c r="GP3089" s="5" t="s">
        <v>240</v>
      </c>
      <c r="GQ3089" s="5" t="s">
        <v>240</v>
      </c>
      <c r="GR3089" s="5" t="s">
        <v>240</v>
      </c>
      <c r="GS3089" s="5" t="s">
        <v>240</v>
      </c>
      <c r="GT3089" s="5" t="s">
        <v>240</v>
      </c>
      <c r="GU3089" s="5" t="s">
        <v>240</v>
      </c>
      <c r="GV3089" s="5" t="s">
        <v>240</v>
      </c>
      <c r="GW3089" s="5" t="s">
        <v>240</v>
      </c>
      <c r="GX3089" s="5" t="s">
        <v>240</v>
      </c>
      <c r="GY3089" s="5" t="s">
        <v>240</v>
      </c>
      <c r="GZ3089" s="5" t="s">
        <v>240</v>
      </c>
      <c r="HA3089" s="5" t="s">
        <v>240</v>
      </c>
      <c r="HB3089" s="5" t="s">
        <v>240</v>
      </c>
      <c r="HC3089" s="5" t="s">
        <v>240</v>
      </c>
      <c r="HD3089" s="5" t="s">
        <v>240</v>
      </c>
      <c r="HE3089" s="5" t="s">
        <v>240</v>
      </c>
      <c r="HF3089" s="5" t="s">
        <v>240</v>
      </c>
      <c r="HG3089" s="5" t="s">
        <v>240</v>
      </c>
      <c r="HH3089" s="5" t="s">
        <v>240</v>
      </c>
      <c r="HI3089" s="5" t="s">
        <v>240</v>
      </c>
      <c r="HJ3089" s="5" t="s">
        <v>240</v>
      </c>
      <c r="HK3089" s="5" t="s">
        <v>240</v>
      </c>
      <c r="HL3089" s="5" t="s">
        <v>240</v>
      </c>
      <c r="HM3089" s="5" t="s">
        <v>240</v>
      </c>
      <c r="HN3089" s="5" t="s">
        <v>240</v>
      </c>
      <c r="HO3089" s="5" t="s">
        <v>312</v>
      </c>
      <c r="HP3089" s="5" t="s">
        <v>240</v>
      </c>
      <c r="HQ3089" s="5" t="s">
        <v>240</v>
      </c>
      <c r="HR3089" s="5" t="s">
        <v>240</v>
      </c>
      <c r="HS3089" s="5" t="s">
        <v>240</v>
      </c>
      <c r="HT3089" s="5" t="s">
        <v>240</v>
      </c>
      <c r="HU3089" s="5" t="s">
        <v>240</v>
      </c>
      <c r="HV3089" s="5" t="s">
        <v>240</v>
      </c>
      <c r="HW3089" s="5" t="s">
        <v>240</v>
      </c>
      <c r="HX3089" s="5" t="s">
        <v>240</v>
      </c>
      <c r="HY3089" s="5" t="s">
        <v>240</v>
      </c>
      <c r="HZ3089" s="5" t="s">
        <v>240</v>
      </c>
      <c r="IA3089" s="5" t="s">
        <v>240</v>
      </c>
      <c r="IB3089" s="5" t="s">
        <v>240</v>
      </c>
      <c r="IC3089" s="5" t="s">
        <v>240</v>
      </c>
      <c r="ID3089" s="5" t="s">
        <v>240</v>
      </c>
      <c r="IE3089" s="5" t="s">
        <v>240</v>
      </c>
      <c r="IF3089" s="5" t="s">
        <v>240</v>
      </c>
    </row>
    <row r="3090" spans="1:240" x14ac:dyDescent="0.4">
      <c r="A3090" s="5">
        <v>4794</v>
      </c>
      <c r="B3090" s="5">
        <v>1</v>
      </c>
      <c r="C3090" s="5">
        <v>1</v>
      </c>
      <c r="D3090" s="5" t="s">
        <v>810</v>
      </c>
      <c r="E3090" s="5" t="s">
        <v>245</v>
      </c>
      <c r="F3090" s="5" t="s">
        <v>254</v>
      </c>
      <c r="G3090" s="5" t="s">
        <v>240</v>
      </c>
      <c r="H3090" s="6" t="s">
        <v>2366</v>
      </c>
      <c r="I3090" s="5" t="s">
        <v>809</v>
      </c>
      <c r="J3090" s="8">
        <f>17</f>
        <v>17</v>
      </c>
      <c r="K3090" s="5" t="s">
        <v>308</v>
      </c>
      <c r="L3090" s="7">
        <f>1</f>
        <v>1</v>
      </c>
      <c r="M3090" s="7">
        <f>1</f>
        <v>1</v>
      </c>
      <c r="N3090" s="5" t="s">
        <v>242</v>
      </c>
      <c r="O3090" s="5">
        <v>1</v>
      </c>
      <c r="P3090" s="5" t="s">
        <v>294</v>
      </c>
      <c r="Q3090" s="5" t="s">
        <v>266</v>
      </c>
      <c r="R3090" s="5" t="s">
        <v>240</v>
      </c>
      <c r="S3090" s="5" t="s">
        <v>240</v>
      </c>
      <c r="T3090" s="5" t="s">
        <v>296</v>
      </c>
      <c r="U3090" s="5" t="s">
        <v>244</v>
      </c>
      <c r="V3090" s="5" t="s">
        <v>240</v>
      </c>
      <c r="Y3090" s="5" t="s">
        <v>240</v>
      </c>
      <c r="Z3090" s="6" t="s">
        <v>298</v>
      </c>
      <c r="AB3090" s="6" t="s">
        <v>240</v>
      </c>
      <c r="AE3090" s="6" t="s">
        <v>299</v>
      </c>
      <c r="AF3090" s="5" t="s">
        <v>248</v>
      </c>
      <c r="AG3090" s="5" t="s">
        <v>249</v>
      </c>
      <c r="AW3090" s="5" t="s">
        <v>251</v>
      </c>
      <c r="AX3090" s="5" t="s">
        <v>240</v>
      </c>
      <c r="AY3090" s="5" t="s">
        <v>253</v>
      </c>
      <c r="AZ3090" s="5" t="s">
        <v>240</v>
      </c>
      <c r="BA3090" s="5" t="s">
        <v>255</v>
      </c>
      <c r="BB3090" s="5" t="s">
        <v>240</v>
      </c>
      <c r="BD3090" s="5" t="s">
        <v>240</v>
      </c>
      <c r="BF3090" s="5" t="s">
        <v>301</v>
      </c>
      <c r="BG3090" s="6" t="s">
        <v>299</v>
      </c>
      <c r="BH3090" s="5" t="s">
        <v>302</v>
      </c>
      <c r="BI3090" s="5" t="s">
        <v>303</v>
      </c>
      <c r="BJ3090" s="5" t="s">
        <v>240</v>
      </c>
      <c r="BK3090" s="8">
        <f>0</f>
        <v>0</v>
      </c>
      <c r="BL3090" s="7">
        <f>0</f>
        <v>0</v>
      </c>
      <c r="BM3090" s="5" t="s">
        <v>258</v>
      </c>
      <c r="BN3090" s="5" t="s">
        <v>259</v>
      </c>
      <c r="CB3090" s="5" t="s">
        <v>240</v>
      </c>
      <c r="CC3090" s="5" t="s">
        <v>240</v>
      </c>
      <c r="CG3090" s="5" t="s">
        <v>304</v>
      </c>
      <c r="CH3090" s="5" t="s">
        <v>305</v>
      </c>
      <c r="CI3090" s="5" t="s">
        <v>240</v>
      </c>
      <c r="CL3090" s="6" t="s">
        <v>261</v>
      </c>
      <c r="CM3090" s="5" t="s">
        <v>240</v>
      </c>
      <c r="CN3090" s="5" t="s">
        <v>263</v>
      </c>
      <c r="CO3090" s="5" t="s">
        <v>240</v>
      </c>
      <c r="CP3090" s="5" t="s">
        <v>240</v>
      </c>
      <c r="CQ3090" s="5">
        <v>0</v>
      </c>
      <c r="CR3090" s="5" t="s">
        <v>306</v>
      </c>
      <c r="CS3090" s="5" t="s">
        <v>307</v>
      </c>
      <c r="CT3090" s="5" t="s">
        <v>307</v>
      </c>
      <c r="CU3090" s="5" t="s">
        <v>260</v>
      </c>
      <c r="CX3090" s="7">
        <f>1</f>
        <v>1</v>
      </c>
      <c r="CY3090" s="7">
        <f>0</f>
        <v>0</v>
      </c>
      <c r="DA3090" s="7">
        <f>0</f>
        <v>0</v>
      </c>
      <c r="DC3090" s="5" t="s">
        <v>812</v>
      </c>
      <c r="DD3090" s="5" t="s">
        <v>240</v>
      </c>
      <c r="DF3090" s="5" t="s">
        <v>812</v>
      </c>
      <c r="DG3090" s="7">
        <f>639</f>
        <v>639</v>
      </c>
      <c r="DI3090" s="5" t="s">
        <v>240</v>
      </c>
      <c r="DJ3090" s="5" t="s">
        <v>240</v>
      </c>
      <c r="DK3090" s="5" t="s">
        <v>240</v>
      </c>
      <c r="DL3090" s="5" t="s">
        <v>240</v>
      </c>
      <c r="DP3090" s="5" t="s">
        <v>240</v>
      </c>
      <c r="DQ3090" s="5" t="s">
        <v>240</v>
      </c>
      <c r="DR3090" s="5" t="s">
        <v>240</v>
      </c>
      <c r="DS3090" s="5" t="s">
        <v>240</v>
      </c>
      <c r="DV3090" s="5" t="s">
        <v>813</v>
      </c>
      <c r="DW3090" s="5" t="s">
        <v>649</v>
      </c>
      <c r="HO3090" s="5" t="s">
        <v>312</v>
      </c>
    </row>
    <row r="3091" spans="1:240" x14ac:dyDescent="0.4">
      <c r="A3091" s="5">
        <v>4795</v>
      </c>
      <c r="B3091" s="5">
        <v>1</v>
      </c>
      <c r="C3091" s="5">
        <v>1</v>
      </c>
      <c r="D3091" s="5" t="s">
        <v>810</v>
      </c>
      <c r="E3091" s="5" t="s">
        <v>245</v>
      </c>
      <c r="F3091" s="5" t="s">
        <v>254</v>
      </c>
      <c r="G3091" s="5" t="s">
        <v>240</v>
      </c>
      <c r="H3091" s="6" t="s">
        <v>2364</v>
      </c>
      <c r="I3091" s="5" t="s">
        <v>809</v>
      </c>
      <c r="J3091" s="8">
        <f>111</f>
        <v>111</v>
      </c>
      <c r="K3091" s="5" t="s">
        <v>308</v>
      </c>
      <c r="L3091" s="7">
        <f>1</f>
        <v>1</v>
      </c>
      <c r="M3091" s="7">
        <f>1</f>
        <v>1</v>
      </c>
      <c r="N3091" s="5" t="s">
        <v>242</v>
      </c>
      <c r="O3091" s="5">
        <v>1</v>
      </c>
      <c r="P3091" s="5" t="s">
        <v>294</v>
      </c>
      <c r="Q3091" s="5" t="s">
        <v>3678</v>
      </c>
      <c r="R3091" s="5" t="s">
        <v>240</v>
      </c>
      <c r="S3091" s="5" t="s">
        <v>240</v>
      </c>
      <c r="T3091" s="5" t="s">
        <v>243</v>
      </c>
      <c r="U3091" s="5" t="s">
        <v>244</v>
      </c>
      <c r="V3091" s="5" t="s">
        <v>240</v>
      </c>
      <c r="W3091" s="5" t="s">
        <v>240</v>
      </c>
      <c r="X3091" s="5" t="s">
        <v>240</v>
      </c>
      <c r="Y3091" s="5" t="s">
        <v>240</v>
      </c>
      <c r="Z3091" s="6" t="s">
        <v>298</v>
      </c>
      <c r="AA3091" s="6" t="s">
        <v>240</v>
      </c>
      <c r="AB3091" s="6" t="s">
        <v>240</v>
      </c>
      <c r="AC3091" s="5" t="s">
        <v>240</v>
      </c>
      <c r="AD3091" s="6" t="s">
        <v>240</v>
      </c>
      <c r="AE3091" s="6" t="s">
        <v>299</v>
      </c>
      <c r="AF3091" s="5" t="s">
        <v>248</v>
      </c>
      <c r="AG3091" s="5" t="s">
        <v>249</v>
      </c>
      <c r="AH3091" s="5" t="s">
        <v>240</v>
      </c>
      <c r="AI3091" s="5" t="s">
        <v>240</v>
      </c>
      <c r="AJ3091" s="5" t="s">
        <v>240</v>
      </c>
      <c r="AK3091" s="5" t="s">
        <v>240</v>
      </c>
      <c r="AL3091" s="5" t="s">
        <v>240</v>
      </c>
      <c r="AM3091" s="5" t="s">
        <v>240</v>
      </c>
      <c r="AN3091" s="5" t="s">
        <v>240</v>
      </c>
      <c r="AO3091" s="5" t="s">
        <v>240</v>
      </c>
      <c r="AP3091" s="6" t="s">
        <v>240</v>
      </c>
      <c r="AQ3091" s="6" t="s">
        <v>240</v>
      </c>
      <c r="AR3091" s="6" t="s">
        <v>240</v>
      </c>
      <c r="AS3091" s="6" t="s">
        <v>240</v>
      </c>
      <c r="AT3091" s="5" t="s">
        <v>240</v>
      </c>
      <c r="AU3091" s="5" t="s">
        <v>729</v>
      </c>
      <c r="AV3091" s="5" t="s">
        <v>729</v>
      </c>
      <c r="AW3091" s="5" t="s">
        <v>251</v>
      </c>
      <c r="AX3091" s="5" t="s">
        <v>252</v>
      </c>
      <c r="AY3091" s="5" t="s">
        <v>253</v>
      </c>
      <c r="AZ3091" s="5" t="s">
        <v>240</v>
      </c>
      <c r="BA3091" s="5" t="s">
        <v>255</v>
      </c>
      <c r="BB3091" s="5" t="s">
        <v>731</v>
      </c>
      <c r="BD3091" s="5" t="s">
        <v>240</v>
      </c>
      <c r="BF3091" s="5" t="s">
        <v>732</v>
      </c>
      <c r="BG3091" s="6" t="s">
        <v>733</v>
      </c>
      <c r="BH3091" s="5" t="s">
        <v>734</v>
      </c>
      <c r="BI3091" s="5" t="s">
        <v>734</v>
      </c>
      <c r="BJ3091" s="5" t="s">
        <v>240</v>
      </c>
      <c r="BK3091" s="7">
        <f>1</f>
        <v>1</v>
      </c>
      <c r="BL3091" s="7">
        <f>1</f>
        <v>1</v>
      </c>
      <c r="BM3091" s="5" t="s">
        <v>258</v>
      </c>
      <c r="BN3091" s="5" t="s">
        <v>259</v>
      </c>
      <c r="BO3091" s="5" t="s">
        <v>240</v>
      </c>
      <c r="BP3091" s="5" t="s">
        <v>240</v>
      </c>
      <c r="BQ3091" s="5" t="s">
        <v>240</v>
      </c>
      <c r="BR3091" s="5" t="s">
        <v>240</v>
      </c>
      <c r="BS3091" s="5" t="s">
        <v>240</v>
      </c>
      <c r="BT3091" s="5" t="s">
        <v>240</v>
      </c>
      <c r="BU3091" s="5" t="s">
        <v>240</v>
      </c>
      <c r="BV3091" s="5" t="s">
        <v>240</v>
      </c>
      <c r="BW3091" s="6" t="s">
        <v>240</v>
      </c>
      <c r="BX3091" s="5" t="s">
        <v>240</v>
      </c>
      <c r="BY3091" s="5" t="s">
        <v>240</v>
      </c>
      <c r="BZ3091" s="5" t="s">
        <v>240</v>
      </c>
      <c r="CA3091" s="5" t="s">
        <v>259</v>
      </c>
      <c r="CB3091" s="5" t="s">
        <v>240</v>
      </c>
      <c r="CC3091" s="5" t="s">
        <v>240</v>
      </c>
      <c r="CD3091" s="5" t="s">
        <v>240</v>
      </c>
      <c r="CE3091" s="5" t="s">
        <v>240</v>
      </c>
      <c r="CF3091" s="5" t="s">
        <v>240</v>
      </c>
      <c r="CG3091" s="5" t="s">
        <v>304</v>
      </c>
      <c r="CH3091" s="5" t="s">
        <v>305</v>
      </c>
      <c r="CI3091" s="5" t="s">
        <v>240</v>
      </c>
      <c r="CK3091" s="5" t="s">
        <v>3681</v>
      </c>
      <c r="CL3091" s="6" t="s">
        <v>261</v>
      </c>
      <c r="CM3091" s="5" t="s">
        <v>262</v>
      </c>
      <c r="CN3091" s="5" t="s">
        <v>263</v>
      </c>
      <c r="CO3091" s="5" t="s">
        <v>264</v>
      </c>
      <c r="CP3091" s="5" t="s">
        <v>240</v>
      </c>
      <c r="CQ3091" s="5">
        <v>0</v>
      </c>
      <c r="CR3091" s="5" t="s">
        <v>735</v>
      </c>
      <c r="CS3091" s="5" t="s">
        <v>307</v>
      </c>
      <c r="CT3091" s="5" t="s">
        <v>307</v>
      </c>
      <c r="CU3091" s="5" t="s">
        <v>260</v>
      </c>
      <c r="CV3091" s="5" t="s">
        <v>612</v>
      </c>
      <c r="CW3091" s="8">
        <f>1</f>
        <v>1</v>
      </c>
      <c r="CX3091" s="7">
        <f>1</f>
        <v>1</v>
      </c>
      <c r="CY3091" s="7">
        <f>0</f>
        <v>0</v>
      </c>
      <c r="DA3091" s="7">
        <f>1</f>
        <v>1</v>
      </c>
      <c r="DB3091" s="7" t="s">
        <v>240</v>
      </c>
      <c r="DC3091" s="5" t="s">
        <v>240</v>
      </c>
      <c r="DD3091" s="5" t="s">
        <v>240</v>
      </c>
      <c r="DE3091" s="5" t="s">
        <v>240</v>
      </c>
      <c r="DF3091" s="5" t="s">
        <v>240</v>
      </c>
      <c r="DG3091" s="7">
        <f>0</f>
        <v>0</v>
      </c>
      <c r="DI3091" s="5" t="s">
        <v>240</v>
      </c>
      <c r="DJ3091" s="5" t="s">
        <v>240</v>
      </c>
      <c r="DK3091" s="5" t="s">
        <v>240</v>
      </c>
      <c r="DL3091" s="5" t="s">
        <v>240</v>
      </c>
      <c r="DM3091" s="5" t="s">
        <v>240</v>
      </c>
      <c r="DN3091" s="5" t="s">
        <v>240</v>
      </c>
      <c r="DO3091" s="7" t="s">
        <v>240</v>
      </c>
      <c r="DP3091" s="5" t="s">
        <v>240</v>
      </c>
      <c r="DQ3091" s="5" t="s">
        <v>240</v>
      </c>
      <c r="DR3091" s="5" t="s">
        <v>731</v>
      </c>
      <c r="DS3091" s="5" t="s">
        <v>731</v>
      </c>
      <c r="DT3091" s="5" t="s">
        <v>240</v>
      </c>
      <c r="DU3091" s="5" t="s">
        <v>240</v>
      </c>
      <c r="DV3091" s="5" t="s">
        <v>3683</v>
      </c>
      <c r="DW3091" s="5" t="s">
        <v>820</v>
      </c>
      <c r="DX3091" s="5" t="s">
        <v>240</v>
      </c>
      <c r="DY3091" s="5" t="s">
        <v>240</v>
      </c>
      <c r="DZ3091" s="5" t="s">
        <v>240</v>
      </c>
      <c r="EA3091" s="5" t="s">
        <v>240</v>
      </c>
      <c r="EB3091" s="5" t="s">
        <v>240</v>
      </c>
      <c r="EC3091" s="5" t="s">
        <v>240</v>
      </c>
      <c r="ED3091" s="5" t="s">
        <v>240</v>
      </c>
      <c r="EE3091" s="5" t="s">
        <v>240</v>
      </c>
      <c r="EF3091" s="5" t="s">
        <v>240</v>
      </c>
      <c r="EG3091" s="5" t="s">
        <v>240</v>
      </c>
      <c r="EH3091" s="5" t="s">
        <v>240</v>
      </c>
      <c r="EI3091" s="5" t="s">
        <v>240</v>
      </c>
      <c r="EJ3091" s="5" t="s">
        <v>240</v>
      </c>
      <c r="EK3091" s="5" t="s">
        <v>240</v>
      </c>
      <c r="EL3091" s="5" t="s">
        <v>240</v>
      </c>
      <c r="EM3091" s="5" t="s">
        <v>240</v>
      </c>
      <c r="EN3091" s="5" t="s">
        <v>240</v>
      </c>
      <c r="EO3091" s="5" t="s">
        <v>240</v>
      </c>
      <c r="EP3091" s="5" t="s">
        <v>240</v>
      </c>
      <c r="EQ3091" s="5" t="s">
        <v>240</v>
      </c>
      <c r="ER3091" s="5" t="s">
        <v>240</v>
      </c>
      <c r="ES3091" s="5" t="s">
        <v>240</v>
      </c>
      <c r="ET3091" s="5" t="s">
        <v>240</v>
      </c>
      <c r="EU3091" s="5" t="s">
        <v>240</v>
      </c>
      <c r="EV3091" s="5" t="s">
        <v>240</v>
      </c>
      <c r="EW3091" s="5" t="s">
        <v>240</v>
      </c>
      <c r="EX3091" s="5" t="s">
        <v>240</v>
      </c>
      <c r="EY3091" s="5" t="s">
        <v>240</v>
      </c>
      <c r="EZ3091" s="5" t="s">
        <v>240</v>
      </c>
      <c r="FA3091" s="5" t="s">
        <v>240</v>
      </c>
      <c r="FB3091" s="5" t="s">
        <v>240</v>
      </c>
      <c r="FC3091" s="5" t="s">
        <v>240</v>
      </c>
      <c r="FD3091" s="5" t="s">
        <v>240</v>
      </c>
      <c r="FE3091" s="5" t="s">
        <v>240</v>
      </c>
      <c r="FF3091" s="5" t="s">
        <v>240</v>
      </c>
      <c r="FG3091" s="5" t="s">
        <v>240</v>
      </c>
      <c r="FH3091" s="5" t="s">
        <v>240</v>
      </c>
      <c r="FI3091" s="5" t="s">
        <v>240</v>
      </c>
      <c r="FJ3091" s="5" t="s">
        <v>240</v>
      </c>
      <c r="FK3091" s="5" t="s">
        <v>240</v>
      </c>
      <c r="FL3091" s="5" t="s">
        <v>240</v>
      </c>
      <c r="FM3091" s="5" t="s">
        <v>240</v>
      </c>
      <c r="FN3091" s="5" t="s">
        <v>240</v>
      </c>
      <c r="FO3091" s="5" t="s">
        <v>240</v>
      </c>
      <c r="FP3091" s="5" t="s">
        <v>240</v>
      </c>
      <c r="FQ3091" s="5" t="s">
        <v>240</v>
      </c>
      <c r="FR3091" s="5" t="s">
        <v>240</v>
      </c>
      <c r="FS3091" s="5" t="s">
        <v>240</v>
      </c>
      <c r="FT3091" s="5" t="s">
        <v>240</v>
      </c>
      <c r="FU3091" s="5" t="s">
        <v>240</v>
      </c>
      <c r="FV3091" s="5" t="s">
        <v>240</v>
      </c>
      <c r="FW3091" s="5" t="s">
        <v>240</v>
      </c>
      <c r="FX3091" s="5" t="s">
        <v>240</v>
      </c>
      <c r="FY3091" s="5" t="s">
        <v>240</v>
      </c>
      <c r="FZ3091" s="5" t="s">
        <v>240</v>
      </c>
      <c r="GA3091" s="5" t="s">
        <v>240</v>
      </c>
      <c r="GB3091" s="5" t="s">
        <v>240</v>
      </c>
      <c r="GC3091" s="5" t="s">
        <v>240</v>
      </c>
      <c r="GD3091" s="5" t="s">
        <v>240</v>
      </c>
      <c r="GE3091" s="5" t="s">
        <v>240</v>
      </c>
      <c r="GF3091" s="5" t="s">
        <v>240</v>
      </c>
      <c r="GG3091" s="5" t="s">
        <v>240</v>
      </c>
      <c r="GH3091" s="5" t="s">
        <v>240</v>
      </c>
      <c r="GI3091" s="5" t="s">
        <v>240</v>
      </c>
      <c r="GJ3091" s="5" t="s">
        <v>240</v>
      </c>
      <c r="GK3091" s="5" t="s">
        <v>240</v>
      </c>
      <c r="GL3091" s="5" t="s">
        <v>240</v>
      </c>
      <c r="GM3091" s="5" t="s">
        <v>240</v>
      </c>
      <c r="GN3091" s="5" t="s">
        <v>240</v>
      </c>
      <c r="GO3091" s="5" t="s">
        <v>240</v>
      </c>
      <c r="GP3091" s="5" t="s">
        <v>240</v>
      </c>
      <c r="GQ3091" s="5" t="s">
        <v>240</v>
      </c>
      <c r="GR3091" s="5" t="s">
        <v>240</v>
      </c>
      <c r="GS3091" s="5" t="s">
        <v>240</v>
      </c>
      <c r="GT3091" s="5" t="s">
        <v>240</v>
      </c>
      <c r="GU3091" s="5" t="s">
        <v>240</v>
      </c>
      <c r="GV3091" s="5" t="s">
        <v>240</v>
      </c>
      <c r="GW3091" s="5" t="s">
        <v>240</v>
      </c>
      <c r="GX3091" s="5" t="s">
        <v>240</v>
      </c>
      <c r="GY3091" s="5" t="s">
        <v>240</v>
      </c>
      <c r="GZ3091" s="5" t="s">
        <v>240</v>
      </c>
      <c r="HA3091" s="5" t="s">
        <v>240</v>
      </c>
      <c r="HB3091" s="5" t="s">
        <v>240</v>
      </c>
      <c r="HC3091" s="5" t="s">
        <v>240</v>
      </c>
      <c r="HD3091" s="5" t="s">
        <v>240</v>
      </c>
      <c r="HE3091" s="5" t="s">
        <v>240</v>
      </c>
      <c r="HF3091" s="5" t="s">
        <v>240</v>
      </c>
      <c r="HG3091" s="5" t="s">
        <v>240</v>
      </c>
      <c r="HH3091" s="5" t="s">
        <v>240</v>
      </c>
      <c r="HI3091" s="5" t="s">
        <v>240</v>
      </c>
      <c r="HJ3091" s="5" t="s">
        <v>240</v>
      </c>
      <c r="HK3091" s="5" t="s">
        <v>240</v>
      </c>
      <c r="HL3091" s="5" t="s">
        <v>240</v>
      </c>
      <c r="HM3091" s="5" t="s">
        <v>240</v>
      </c>
      <c r="HN3091" s="5" t="s">
        <v>240</v>
      </c>
      <c r="HO3091" s="5" t="s">
        <v>312</v>
      </c>
      <c r="HP3091" s="5" t="s">
        <v>240</v>
      </c>
      <c r="HQ3091" s="5" t="s">
        <v>240</v>
      </c>
      <c r="HR3091" s="5" t="s">
        <v>240</v>
      </c>
      <c r="HS3091" s="5" t="s">
        <v>240</v>
      </c>
      <c r="HT3091" s="5" t="s">
        <v>240</v>
      </c>
      <c r="HU3091" s="5" t="s">
        <v>240</v>
      </c>
      <c r="HV3091" s="5" t="s">
        <v>240</v>
      </c>
      <c r="HW3091" s="5" t="s">
        <v>240</v>
      </c>
      <c r="HX3091" s="5" t="s">
        <v>240</v>
      </c>
      <c r="HY3091" s="5" t="s">
        <v>240</v>
      </c>
      <c r="HZ3091" s="5" t="s">
        <v>240</v>
      </c>
      <c r="IA3091" s="5" t="s">
        <v>240</v>
      </c>
      <c r="IB3091" s="5" t="s">
        <v>240</v>
      </c>
      <c r="IC3091" s="5" t="s">
        <v>240</v>
      </c>
      <c r="ID3091" s="5" t="s">
        <v>240</v>
      </c>
      <c r="IE3091" s="5" t="s">
        <v>240</v>
      </c>
      <c r="IF3091" s="5" t="s">
        <v>240</v>
      </c>
    </row>
    <row r="3092" spans="1:240" x14ac:dyDescent="0.4">
      <c r="A3092" s="5">
        <v>4796</v>
      </c>
      <c r="B3092" s="5">
        <v>1</v>
      </c>
      <c r="C3092" s="5">
        <v>1</v>
      </c>
      <c r="D3092" s="5" t="s">
        <v>810</v>
      </c>
      <c r="E3092" s="5" t="s">
        <v>245</v>
      </c>
      <c r="F3092" s="5" t="s">
        <v>254</v>
      </c>
      <c r="G3092" s="5" t="s">
        <v>240</v>
      </c>
      <c r="H3092" s="6" t="s">
        <v>2362</v>
      </c>
      <c r="I3092" s="5" t="s">
        <v>809</v>
      </c>
      <c r="J3092" s="8">
        <f>876</f>
        <v>876</v>
      </c>
      <c r="K3092" s="5" t="s">
        <v>308</v>
      </c>
      <c r="L3092" s="7">
        <f>1</f>
        <v>1</v>
      </c>
      <c r="M3092" s="7">
        <f>1</f>
        <v>1</v>
      </c>
      <c r="N3092" s="5" t="s">
        <v>242</v>
      </c>
      <c r="O3092" s="5">
        <v>1</v>
      </c>
      <c r="P3092" s="5" t="s">
        <v>294</v>
      </c>
      <c r="Q3092" s="5" t="s">
        <v>3678</v>
      </c>
      <c r="R3092" s="5" t="s">
        <v>240</v>
      </c>
      <c r="S3092" s="5" t="s">
        <v>240</v>
      </c>
      <c r="T3092" s="5" t="s">
        <v>243</v>
      </c>
      <c r="U3092" s="5" t="s">
        <v>244</v>
      </c>
      <c r="V3092" s="5" t="s">
        <v>240</v>
      </c>
      <c r="W3092" s="5" t="s">
        <v>240</v>
      </c>
      <c r="X3092" s="5" t="s">
        <v>240</v>
      </c>
      <c r="Y3092" s="5" t="s">
        <v>240</v>
      </c>
      <c r="Z3092" s="6" t="s">
        <v>298</v>
      </c>
      <c r="AA3092" s="6" t="s">
        <v>240</v>
      </c>
      <c r="AB3092" s="6" t="s">
        <v>240</v>
      </c>
      <c r="AC3092" s="5" t="s">
        <v>240</v>
      </c>
      <c r="AD3092" s="6" t="s">
        <v>240</v>
      </c>
      <c r="AE3092" s="6" t="s">
        <v>299</v>
      </c>
      <c r="AF3092" s="5" t="s">
        <v>248</v>
      </c>
      <c r="AG3092" s="5" t="s">
        <v>249</v>
      </c>
      <c r="AH3092" s="5" t="s">
        <v>240</v>
      </c>
      <c r="AI3092" s="5" t="s">
        <v>240</v>
      </c>
      <c r="AJ3092" s="5" t="s">
        <v>240</v>
      </c>
      <c r="AK3092" s="5" t="s">
        <v>240</v>
      </c>
      <c r="AL3092" s="5" t="s">
        <v>240</v>
      </c>
      <c r="AM3092" s="5" t="s">
        <v>240</v>
      </c>
      <c r="AN3092" s="5" t="s">
        <v>240</v>
      </c>
      <c r="AO3092" s="5" t="s">
        <v>240</v>
      </c>
      <c r="AP3092" s="6" t="s">
        <v>240</v>
      </c>
      <c r="AQ3092" s="6" t="s">
        <v>240</v>
      </c>
      <c r="AR3092" s="6" t="s">
        <v>240</v>
      </c>
      <c r="AS3092" s="6" t="s">
        <v>240</v>
      </c>
      <c r="AT3092" s="5" t="s">
        <v>240</v>
      </c>
      <c r="AU3092" s="5" t="s">
        <v>729</v>
      </c>
      <c r="AV3092" s="5" t="s">
        <v>729</v>
      </c>
      <c r="AW3092" s="5" t="s">
        <v>251</v>
      </c>
      <c r="AX3092" s="5" t="s">
        <v>252</v>
      </c>
      <c r="AY3092" s="5" t="s">
        <v>253</v>
      </c>
      <c r="AZ3092" s="5" t="s">
        <v>240</v>
      </c>
      <c r="BA3092" s="5" t="s">
        <v>255</v>
      </c>
      <c r="BB3092" s="5" t="s">
        <v>731</v>
      </c>
      <c r="BD3092" s="5" t="s">
        <v>240</v>
      </c>
      <c r="BF3092" s="5" t="s">
        <v>732</v>
      </c>
      <c r="BG3092" s="6" t="s">
        <v>733</v>
      </c>
      <c r="BH3092" s="5" t="s">
        <v>734</v>
      </c>
      <c r="BI3092" s="5" t="s">
        <v>734</v>
      </c>
      <c r="BJ3092" s="5" t="s">
        <v>240</v>
      </c>
      <c r="BK3092" s="7">
        <f>1</f>
        <v>1</v>
      </c>
      <c r="BL3092" s="7">
        <f>1</f>
        <v>1</v>
      </c>
      <c r="BM3092" s="5" t="s">
        <v>258</v>
      </c>
      <c r="BN3092" s="5" t="s">
        <v>259</v>
      </c>
      <c r="BO3092" s="5" t="s">
        <v>240</v>
      </c>
      <c r="BP3092" s="5" t="s">
        <v>240</v>
      </c>
      <c r="BQ3092" s="5" t="s">
        <v>240</v>
      </c>
      <c r="BR3092" s="5" t="s">
        <v>240</v>
      </c>
      <c r="BS3092" s="5" t="s">
        <v>240</v>
      </c>
      <c r="BT3092" s="5" t="s">
        <v>240</v>
      </c>
      <c r="BU3092" s="5" t="s">
        <v>240</v>
      </c>
      <c r="BV3092" s="5" t="s">
        <v>240</v>
      </c>
      <c r="BW3092" s="6" t="s">
        <v>240</v>
      </c>
      <c r="BX3092" s="5" t="s">
        <v>240</v>
      </c>
      <c r="BY3092" s="5" t="s">
        <v>240</v>
      </c>
      <c r="BZ3092" s="5" t="s">
        <v>240</v>
      </c>
      <c r="CA3092" s="5" t="s">
        <v>259</v>
      </c>
      <c r="CB3092" s="5" t="s">
        <v>240</v>
      </c>
      <c r="CC3092" s="5" t="s">
        <v>240</v>
      </c>
      <c r="CD3092" s="5" t="s">
        <v>240</v>
      </c>
      <c r="CE3092" s="5" t="s">
        <v>240</v>
      </c>
      <c r="CF3092" s="5" t="s">
        <v>240</v>
      </c>
      <c r="CG3092" s="5" t="s">
        <v>304</v>
      </c>
      <c r="CH3092" s="5" t="s">
        <v>305</v>
      </c>
      <c r="CI3092" s="5" t="s">
        <v>240</v>
      </c>
      <c r="CK3092" s="5" t="s">
        <v>3681</v>
      </c>
      <c r="CL3092" s="6" t="s">
        <v>261</v>
      </c>
      <c r="CM3092" s="5" t="s">
        <v>262</v>
      </c>
      <c r="CN3092" s="5" t="s">
        <v>263</v>
      </c>
      <c r="CO3092" s="5" t="s">
        <v>264</v>
      </c>
      <c r="CP3092" s="5" t="s">
        <v>240</v>
      </c>
      <c r="CQ3092" s="5">
        <v>0</v>
      </c>
      <c r="CR3092" s="5" t="s">
        <v>735</v>
      </c>
      <c r="CS3092" s="5" t="s">
        <v>307</v>
      </c>
      <c r="CT3092" s="5" t="s">
        <v>307</v>
      </c>
      <c r="CU3092" s="5" t="s">
        <v>260</v>
      </c>
      <c r="CV3092" s="5" t="s">
        <v>612</v>
      </c>
      <c r="CW3092" s="8">
        <f>1</f>
        <v>1</v>
      </c>
      <c r="CX3092" s="7">
        <f>1</f>
        <v>1</v>
      </c>
      <c r="CY3092" s="7">
        <f>0</f>
        <v>0</v>
      </c>
      <c r="DA3092" s="7">
        <f>1</f>
        <v>1</v>
      </c>
      <c r="DB3092" s="7" t="s">
        <v>240</v>
      </c>
      <c r="DC3092" s="5" t="s">
        <v>240</v>
      </c>
      <c r="DD3092" s="5" t="s">
        <v>240</v>
      </c>
      <c r="DE3092" s="5" t="s">
        <v>240</v>
      </c>
      <c r="DF3092" s="5" t="s">
        <v>240</v>
      </c>
      <c r="DG3092" s="7">
        <f>0</f>
        <v>0</v>
      </c>
      <c r="DI3092" s="5" t="s">
        <v>240</v>
      </c>
      <c r="DJ3092" s="5" t="s">
        <v>240</v>
      </c>
      <c r="DK3092" s="5" t="s">
        <v>240</v>
      </c>
      <c r="DL3092" s="5" t="s">
        <v>240</v>
      </c>
      <c r="DM3092" s="5" t="s">
        <v>240</v>
      </c>
      <c r="DN3092" s="5" t="s">
        <v>240</v>
      </c>
      <c r="DO3092" s="7" t="s">
        <v>240</v>
      </c>
      <c r="DP3092" s="5" t="s">
        <v>240</v>
      </c>
      <c r="DQ3092" s="5" t="s">
        <v>240</v>
      </c>
      <c r="DR3092" s="5" t="s">
        <v>731</v>
      </c>
      <c r="DS3092" s="5" t="s">
        <v>731</v>
      </c>
      <c r="DT3092" s="5" t="s">
        <v>240</v>
      </c>
      <c r="DU3092" s="5" t="s">
        <v>240</v>
      </c>
      <c r="DV3092" s="5" t="s">
        <v>3683</v>
      </c>
      <c r="DW3092" s="5" t="s">
        <v>808</v>
      </c>
      <c r="DX3092" s="5" t="s">
        <v>240</v>
      </c>
      <c r="DY3092" s="5" t="s">
        <v>240</v>
      </c>
      <c r="DZ3092" s="5" t="s">
        <v>240</v>
      </c>
      <c r="EA3092" s="5" t="s">
        <v>240</v>
      </c>
      <c r="EB3092" s="5" t="s">
        <v>240</v>
      </c>
      <c r="EC3092" s="5" t="s">
        <v>240</v>
      </c>
      <c r="ED3092" s="5" t="s">
        <v>240</v>
      </c>
      <c r="EE3092" s="5" t="s">
        <v>240</v>
      </c>
      <c r="EF3092" s="5" t="s">
        <v>240</v>
      </c>
      <c r="EG3092" s="5" t="s">
        <v>240</v>
      </c>
      <c r="EH3092" s="5" t="s">
        <v>240</v>
      </c>
      <c r="EI3092" s="5" t="s">
        <v>240</v>
      </c>
      <c r="EJ3092" s="5" t="s">
        <v>240</v>
      </c>
      <c r="EK3092" s="5" t="s">
        <v>240</v>
      </c>
      <c r="EL3092" s="5" t="s">
        <v>240</v>
      </c>
      <c r="EM3092" s="5" t="s">
        <v>240</v>
      </c>
      <c r="EN3092" s="5" t="s">
        <v>240</v>
      </c>
      <c r="EO3092" s="5" t="s">
        <v>240</v>
      </c>
      <c r="EP3092" s="5" t="s">
        <v>240</v>
      </c>
      <c r="EQ3092" s="5" t="s">
        <v>240</v>
      </c>
      <c r="ER3092" s="5" t="s">
        <v>240</v>
      </c>
      <c r="ES3092" s="5" t="s">
        <v>240</v>
      </c>
      <c r="ET3092" s="5" t="s">
        <v>240</v>
      </c>
      <c r="EU3092" s="5" t="s">
        <v>240</v>
      </c>
      <c r="EV3092" s="5" t="s">
        <v>240</v>
      </c>
      <c r="EW3092" s="5" t="s">
        <v>240</v>
      </c>
      <c r="EX3092" s="5" t="s">
        <v>240</v>
      </c>
      <c r="EY3092" s="5" t="s">
        <v>240</v>
      </c>
      <c r="EZ3092" s="5" t="s">
        <v>240</v>
      </c>
      <c r="FA3092" s="5" t="s">
        <v>240</v>
      </c>
      <c r="FB3092" s="5" t="s">
        <v>240</v>
      </c>
      <c r="FC3092" s="5" t="s">
        <v>240</v>
      </c>
      <c r="FD3092" s="5" t="s">
        <v>240</v>
      </c>
      <c r="FE3092" s="5" t="s">
        <v>240</v>
      </c>
      <c r="FF3092" s="5" t="s">
        <v>240</v>
      </c>
      <c r="FG3092" s="5" t="s">
        <v>240</v>
      </c>
      <c r="FH3092" s="5" t="s">
        <v>240</v>
      </c>
      <c r="FI3092" s="5" t="s">
        <v>240</v>
      </c>
      <c r="FJ3092" s="5" t="s">
        <v>240</v>
      </c>
      <c r="FK3092" s="5" t="s">
        <v>240</v>
      </c>
      <c r="FL3092" s="5" t="s">
        <v>240</v>
      </c>
      <c r="FM3092" s="5" t="s">
        <v>240</v>
      </c>
      <c r="FN3092" s="5" t="s">
        <v>240</v>
      </c>
      <c r="FO3092" s="5" t="s">
        <v>240</v>
      </c>
      <c r="FP3092" s="5" t="s">
        <v>240</v>
      </c>
      <c r="FQ3092" s="5" t="s">
        <v>240</v>
      </c>
      <c r="FR3092" s="5" t="s">
        <v>240</v>
      </c>
      <c r="FS3092" s="5" t="s">
        <v>240</v>
      </c>
      <c r="FT3092" s="5" t="s">
        <v>240</v>
      </c>
      <c r="FU3092" s="5" t="s">
        <v>240</v>
      </c>
      <c r="FV3092" s="5" t="s">
        <v>240</v>
      </c>
      <c r="FW3092" s="5" t="s">
        <v>240</v>
      </c>
      <c r="FX3092" s="5" t="s">
        <v>240</v>
      </c>
      <c r="FY3092" s="5" t="s">
        <v>240</v>
      </c>
      <c r="FZ3092" s="5" t="s">
        <v>240</v>
      </c>
      <c r="GA3092" s="5" t="s">
        <v>240</v>
      </c>
      <c r="GB3092" s="5" t="s">
        <v>240</v>
      </c>
      <c r="GC3092" s="5" t="s">
        <v>240</v>
      </c>
      <c r="GD3092" s="5" t="s">
        <v>240</v>
      </c>
      <c r="GE3092" s="5" t="s">
        <v>240</v>
      </c>
      <c r="GF3092" s="5" t="s">
        <v>240</v>
      </c>
      <c r="GG3092" s="5" t="s">
        <v>240</v>
      </c>
      <c r="GH3092" s="5" t="s">
        <v>240</v>
      </c>
      <c r="GI3092" s="5" t="s">
        <v>240</v>
      </c>
      <c r="GJ3092" s="5" t="s">
        <v>240</v>
      </c>
      <c r="GK3092" s="5" t="s">
        <v>240</v>
      </c>
      <c r="GL3092" s="5" t="s">
        <v>240</v>
      </c>
      <c r="GM3092" s="5" t="s">
        <v>240</v>
      </c>
      <c r="GN3092" s="5" t="s">
        <v>240</v>
      </c>
      <c r="GO3092" s="5" t="s">
        <v>240</v>
      </c>
      <c r="GP3092" s="5" t="s">
        <v>240</v>
      </c>
      <c r="GQ3092" s="5" t="s">
        <v>240</v>
      </c>
      <c r="GR3092" s="5" t="s">
        <v>240</v>
      </c>
      <c r="GS3092" s="5" t="s">
        <v>240</v>
      </c>
      <c r="GT3092" s="5" t="s">
        <v>240</v>
      </c>
      <c r="GU3092" s="5" t="s">
        <v>240</v>
      </c>
      <c r="GV3092" s="5" t="s">
        <v>240</v>
      </c>
      <c r="GW3092" s="5" t="s">
        <v>240</v>
      </c>
      <c r="GX3092" s="5" t="s">
        <v>240</v>
      </c>
      <c r="GY3092" s="5" t="s">
        <v>240</v>
      </c>
      <c r="GZ3092" s="5" t="s">
        <v>240</v>
      </c>
      <c r="HA3092" s="5" t="s">
        <v>240</v>
      </c>
      <c r="HB3092" s="5" t="s">
        <v>240</v>
      </c>
      <c r="HC3092" s="5" t="s">
        <v>240</v>
      </c>
      <c r="HD3092" s="5" t="s">
        <v>240</v>
      </c>
      <c r="HE3092" s="5" t="s">
        <v>240</v>
      </c>
      <c r="HF3092" s="5" t="s">
        <v>240</v>
      </c>
      <c r="HG3092" s="5" t="s">
        <v>240</v>
      </c>
      <c r="HH3092" s="5" t="s">
        <v>240</v>
      </c>
      <c r="HI3092" s="5" t="s">
        <v>240</v>
      </c>
      <c r="HJ3092" s="5" t="s">
        <v>240</v>
      </c>
      <c r="HK3092" s="5" t="s">
        <v>240</v>
      </c>
      <c r="HL3092" s="5" t="s">
        <v>240</v>
      </c>
      <c r="HM3092" s="5" t="s">
        <v>240</v>
      </c>
      <c r="HN3092" s="5" t="s">
        <v>240</v>
      </c>
      <c r="HO3092" s="5" t="s">
        <v>312</v>
      </c>
      <c r="HP3092" s="5" t="s">
        <v>240</v>
      </c>
      <c r="HQ3092" s="5" t="s">
        <v>240</v>
      </c>
      <c r="HR3092" s="5" t="s">
        <v>240</v>
      </c>
      <c r="HS3092" s="5" t="s">
        <v>240</v>
      </c>
      <c r="HT3092" s="5" t="s">
        <v>240</v>
      </c>
      <c r="HU3092" s="5" t="s">
        <v>240</v>
      </c>
      <c r="HV3092" s="5" t="s">
        <v>240</v>
      </c>
      <c r="HW3092" s="5" t="s">
        <v>240</v>
      </c>
      <c r="HX3092" s="5" t="s">
        <v>240</v>
      </c>
      <c r="HY3092" s="5" t="s">
        <v>240</v>
      </c>
      <c r="HZ3092" s="5" t="s">
        <v>240</v>
      </c>
      <c r="IA3092" s="5" t="s">
        <v>240</v>
      </c>
      <c r="IB3092" s="5" t="s">
        <v>240</v>
      </c>
      <c r="IC3092" s="5" t="s">
        <v>240</v>
      </c>
      <c r="ID3092" s="5" t="s">
        <v>240</v>
      </c>
      <c r="IE3092" s="5" t="s">
        <v>240</v>
      </c>
      <c r="IF3092" s="5" t="s">
        <v>240</v>
      </c>
    </row>
    <row r="3093" spans="1:240" x14ac:dyDescent="0.4">
      <c r="A3093" s="5">
        <v>4797</v>
      </c>
      <c r="B3093" s="5">
        <v>1</v>
      </c>
      <c r="C3093" s="5">
        <v>1</v>
      </c>
      <c r="D3093" s="5" t="s">
        <v>810</v>
      </c>
      <c r="E3093" s="5" t="s">
        <v>245</v>
      </c>
      <c r="F3093" s="5" t="s">
        <v>254</v>
      </c>
      <c r="G3093" s="5" t="s">
        <v>240</v>
      </c>
      <c r="H3093" s="6" t="s">
        <v>2360</v>
      </c>
      <c r="I3093" s="5" t="s">
        <v>809</v>
      </c>
      <c r="J3093" s="8">
        <f>712</f>
        <v>712</v>
      </c>
      <c r="K3093" s="5" t="s">
        <v>308</v>
      </c>
      <c r="L3093" s="7">
        <f>1</f>
        <v>1</v>
      </c>
      <c r="M3093" s="7">
        <f>1</f>
        <v>1</v>
      </c>
      <c r="N3093" s="5" t="s">
        <v>242</v>
      </c>
      <c r="O3093" s="5">
        <v>1</v>
      </c>
      <c r="P3093" s="5" t="s">
        <v>294</v>
      </c>
      <c r="Q3093" s="5" t="s">
        <v>3678</v>
      </c>
      <c r="R3093" s="5" t="s">
        <v>240</v>
      </c>
      <c r="S3093" s="5" t="s">
        <v>240</v>
      </c>
      <c r="T3093" s="5" t="s">
        <v>243</v>
      </c>
      <c r="U3093" s="5" t="s">
        <v>244</v>
      </c>
      <c r="V3093" s="5" t="s">
        <v>240</v>
      </c>
      <c r="W3093" s="5" t="s">
        <v>240</v>
      </c>
      <c r="X3093" s="5" t="s">
        <v>240</v>
      </c>
      <c r="Y3093" s="5" t="s">
        <v>240</v>
      </c>
      <c r="Z3093" s="6" t="s">
        <v>298</v>
      </c>
      <c r="AA3093" s="6" t="s">
        <v>240</v>
      </c>
      <c r="AB3093" s="6" t="s">
        <v>240</v>
      </c>
      <c r="AC3093" s="5" t="s">
        <v>240</v>
      </c>
      <c r="AD3093" s="6" t="s">
        <v>240</v>
      </c>
      <c r="AE3093" s="6" t="s">
        <v>299</v>
      </c>
      <c r="AF3093" s="5" t="s">
        <v>248</v>
      </c>
      <c r="AG3093" s="5" t="s">
        <v>249</v>
      </c>
      <c r="AH3093" s="5" t="s">
        <v>240</v>
      </c>
      <c r="AI3093" s="5" t="s">
        <v>240</v>
      </c>
      <c r="AJ3093" s="5" t="s">
        <v>240</v>
      </c>
      <c r="AK3093" s="5" t="s">
        <v>240</v>
      </c>
      <c r="AL3093" s="5" t="s">
        <v>240</v>
      </c>
      <c r="AM3093" s="5" t="s">
        <v>240</v>
      </c>
      <c r="AN3093" s="5" t="s">
        <v>240</v>
      </c>
      <c r="AO3093" s="5" t="s">
        <v>240</v>
      </c>
      <c r="AP3093" s="6" t="s">
        <v>240</v>
      </c>
      <c r="AQ3093" s="6" t="s">
        <v>240</v>
      </c>
      <c r="AR3093" s="6" t="s">
        <v>240</v>
      </c>
      <c r="AS3093" s="6" t="s">
        <v>240</v>
      </c>
      <c r="AT3093" s="5" t="s">
        <v>240</v>
      </c>
      <c r="AU3093" s="5" t="s">
        <v>729</v>
      </c>
      <c r="AV3093" s="5" t="s">
        <v>729</v>
      </c>
      <c r="AW3093" s="5" t="s">
        <v>251</v>
      </c>
      <c r="AX3093" s="5" t="s">
        <v>252</v>
      </c>
      <c r="AY3093" s="5" t="s">
        <v>253</v>
      </c>
      <c r="AZ3093" s="5" t="s">
        <v>240</v>
      </c>
      <c r="BA3093" s="5" t="s">
        <v>255</v>
      </c>
      <c r="BB3093" s="5" t="s">
        <v>731</v>
      </c>
      <c r="BD3093" s="5" t="s">
        <v>240</v>
      </c>
      <c r="BF3093" s="5" t="s">
        <v>732</v>
      </c>
      <c r="BG3093" s="6" t="s">
        <v>733</v>
      </c>
      <c r="BH3093" s="5" t="s">
        <v>734</v>
      </c>
      <c r="BI3093" s="5" t="s">
        <v>734</v>
      </c>
      <c r="BJ3093" s="5" t="s">
        <v>240</v>
      </c>
      <c r="BK3093" s="7">
        <f>1</f>
        <v>1</v>
      </c>
      <c r="BL3093" s="7">
        <f>1</f>
        <v>1</v>
      </c>
      <c r="BM3093" s="5" t="s">
        <v>258</v>
      </c>
      <c r="BN3093" s="5" t="s">
        <v>259</v>
      </c>
      <c r="BO3093" s="5" t="s">
        <v>240</v>
      </c>
      <c r="BP3093" s="5" t="s">
        <v>240</v>
      </c>
      <c r="BQ3093" s="5" t="s">
        <v>240</v>
      </c>
      <c r="BR3093" s="5" t="s">
        <v>240</v>
      </c>
      <c r="BS3093" s="5" t="s">
        <v>240</v>
      </c>
      <c r="BT3093" s="5" t="s">
        <v>240</v>
      </c>
      <c r="BU3093" s="5" t="s">
        <v>240</v>
      </c>
      <c r="BV3093" s="5" t="s">
        <v>240</v>
      </c>
      <c r="BW3093" s="6" t="s">
        <v>240</v>
      </c>
      <c r="BX3093" s="5" t="s">
        <v>240</v>
      </c>
      <c r="BY3093" s="5" t="s">
        <v>240</v>
      </c>
      <c r="BZ3093" s="5" t="s">
        <v>240</v>
      </c>
      <c r="CA3093" s="5" t="s">
        <v>259</v>
      </c>
      <c r="CB3093" s="5" t="s">
        <v>240</v>
      </c>
      <c r="CC3093" s="5" t="s">
        <v>240</v>
      </c>
      <c r="CD3093" s="5" t="s">
        <v>240</v>
      </c>
      <c r="CE3093" s="5" t="s">
        <v>240</v>
      </c>
      <c r="CF3093" s="5" t="s">
        <v>240</v>
      </c>
      <c r="CG3093" s="5" t="s">
        <v>304</v>
      </c>
      <c r="CH3093" s="5" t="s">
        <v>305</v>
      </c>
      <c r="CI3093" s="5" t="s">
        <v>240</v>
      </c>
      <c r="CK3093" s="5" t="s">
        <v>3681</v>
      </c>
      <c r="CL3093" s="6" t="s">
        <v>261</v>
      </c>
      <c r="CM3093" s="5" t="s">
        <v>262</v>
      </c>
      <c r="CN3093" s="5" t="s">
        <v>263</v>
      </c>
      <c r="CO3093" s="5" t="s">
        <v>264</v>
      </c>
      <c r="CP3093" s="5" t="s">
        <v>240</v>
      </c>
      <c r="CQ3093" s="5">
        <v>0</v>
      </c>
      <c r="CR3093" s="5" t="s">
        <v>735</v>
      </c>
      <c r="CS3093" s="5" t="s">
        <v>307</v>
      </c>
      <c r="CT3093" s="5" t="s">
        <v>307</v>
      </c>
      <c r="CU3093" s="5" t="s">
        <v>260</v>
      </c>
      <c r="CV3093" s="5" t="s">
        <v>612</v>
      </c>
      <c r="CW3093" s="8">
        <f>1</f>
        <v>1</v>
      </c>
      <c r="CX3093" s="7">
        <f>1</f>
        <v>1</v>
      </c>
      <c r="CY3093" s="7">
        <f>0</f>
        <v>0</v>
      </c>
      <c r="DA3093" s="7">
        <f>1</f>
        <v>1</v>
      </c>
      <c r="DB3093" s="7" t="s">
        <v>240</v>
      </c>
      <c r="DC3093" s="5" t="s">
        <v>240</v>
      </c>
      <c r="DD3093" s="5" t="s">
        <v>240</v>
      </c>
      <c r="DE3093" s="5" t="s">
        <v>240</v>
      </c>
      <c r="DF3093" s="5" t="s">
        <v>240</v>
      </c>
      <c r="DG3093" s="7">
        <f>0</f>
        <v>0</v>
      </c>
      <c r="DI3093" s="5" t="s">
        <v>240</v>
      </c>
      <c r="DJ3093" s="5" t="s">
        <v>240</v>
      </c>
      <c r="DK3093" s="5" t="s">
        <v>240</v>
      </c>
      <c r="DL3093" s="5" t="s">
        <v>240</v>
      </c>
      <c r="DM3093" s="5" t="s">
        <v>240</v>
      </c>
      <c r="DN3093" s="5" t="s">
        <v>240</v>
      </c>
      <c r="DO3093" s="7" t="s">
        <v>240</v>
      </c>
      <c r="DP3093" s="5" t="s">
        <v>240</v>
      </c>
      <c r="DQ3093" s="5" t="s">
        <v>240</v>
      </c>
      <c r="DR3093" s="5" t="s">
        <v>731</v>
      </c>
      <c r="DS3093" s="5" t="s">
        <v>731</v>
      </c>
      <c r="DT3093" s="5" t="s">
        <v>240</v>
      </c>
      <c r="DU3093" s="5" t="s">
        <v>240</v>
      </c>
      <c r="DV3093" s="5" t="s">
        <v>3683</v>
      </c>
      <c r="DW3093" s="5" t="s">
        <v>793</v>
      </c>
      <c r="DX3093" s="5" t="s">
        <v>240</v>
      </c>
      <c r="DY3093" s="5" t="s">
        <v>240</v>
      </c>
      <c r="DZ3093" s="5" t="s">
        <v>240</v>
      </c>
      <c r="EA3093" s="5" t="s">
        <v>240</v>
      </c>
      <c r="EB3093" s="5" t="s">
        <v>240</v>
      </c>
      <c r="EC3093" s="5" t="s">
        <v>240</v>
      </c>
      <c r="ED3093" s="5" t="s">
        <v>240</v>
      </c>
      <c r="EE3093" s="5" t="s">
        <v>240</v>
      </c>
      <c r="EF3093" s="5" t="s">
        <v>240</v>
      </c>
      <c r="EG3093" s="5" t="s">
        <v>240</v>
      </c>
      <c r="EH3093" s="5" t="s">
        <v>240</v>
      </c>
      <c r="EI3093" s="5" t="s">
        <v>240</v>
      </c>
      <c r="EJ3093" s="5" t="s">
        <v>240</v>
      </c>
      <c r="EK3093" s="5" t="s">
        <v>240</v>
      </c>
      <c r="EL3093" s="5" t="s">
        <v>240</v>
      </c>
      <c r="EM3093" s="5" t="s">
        <v>240</v>
      </c>
      <c r="EN3093" s="5" t="s">
        <v>240</v>
      </c>
      <c r="EO3093" s="5" t="s">
        <v>240</v>
      </c>
      <c r="EP3093" s="5" t="s">
        <v>240</v>
      </c>
      <c r="EQ3093" s="5" t="s">
        <v>240</v>
      </c>
      <c r="ER3093" s="5" t="s">
        <v>240</v>
      </c>
      <c r="ES3093" s="5" t="s">
        <v>240</v>
      </c>
      <c r="ET3093" s="5" t="s">
        <v>240</v>
      </c>
      <c r="EU3093" s="5" t="s">
        <v>240</v>
      </c>
      <c r="EV3093" s="5" t="s">
        <v>240</v>
      </c>
      <c r="EW3093" s="5" t="s">
        <v>240</v>
      </c>
      <c r="EX3093" s="5" t="s">
        <v>240</v>
      </c>
      <c r="EY3093" s="5" t="s">
        <v>240</v>
      </c>
      <c r="EZ3093" s="5" t="s">
        <v>240</v>
      </c>
      <c r="FA3093" s="5" t="s">
        <v>240</v>
      </c>
      <c r="FB3093" s="5" t="s">
        <v>240</v>
      </c>
      <c r="FC3093" s="5" t="s">
        <v>240</v>
      </c>
      <c r="FD3093" s="5" t="s">
        <v>240</v>
      </c>
      <c r="FE3093" s="5" t="s">
        <v>240</v>
      </c>
      <c r="FF3093" s="5" t="s">
        <v>240</v>
      </c>
      <c r="FG3093" s="5" t="s">
        <v>240</v>
      </c>
      <c r="FH3093" s="5" t="s">
        <v>240</v>
      </c>
      <c r="FI3093" s="5" t="s">
        <v>240</v>
      </c>
      <c r="FJ3093" s="5" t="s">
        <v>240</v>
      </c>
      <c r="FK3093" s="5" t="s">
        <v>240</v>
      </c>
      <c r="FL3093" s="5" t="s">
        <v>240</v>
      </c>
      <c r="FM3093" s="5" t="s">
        <v>240</v>
      </c>
      <c r="FN3093" s="5" t="s">
        <v>240</v>
      </c>
      <c r="FO3093" s="5" t="s">
        <v>240</v>
      </c>
      <c r="FP3093" s="5" t="s">
        <v>240</v>
      </c>
      <c r="FQ3093" s="5" t="s">
        <v>240</v>
      </c>
      <c r="FR3093" s="5" t="s">
        <v>240</v>
      </c>
      <c r="FS3093" s="5" t="s">
        <v>240</v>
      </c>
      <c r="FT3093" s="5" t="s">
        <v>240</v>
      </c>
      <c r="FU3093" s="5" t="s">
        <v>240</v>
      </c>
      <c r="FV3093" s="5" t="s">
        <v>240</v>
      </c>
      <c r="FW3093" s="5" t="s">
        <v>240</v>
      </c>
      <c r="FX3093" s="5" t="s">
        <v>240</v>
      </c>
      <c r="FY3093" s="5" t="s">
        <v>240</v>
      </c>
      <c r="FZ3093" s="5" t="s">
        <v>240</v>
      </c>
      <c r="GA3093" s="5" t="s">
        <v>240</v>
      </c>
      <c r="GB3093" s="5" t="s">
        <v>240</v>
      </c>
      <c r="GC3093" s="5" t="s">
        <v>240</v>
      </c>
      <c r="GD3093" s="5" t="s">
        <v>240</v>
      </c>
      <c r="GE3093" s="5" t="s">
        <v>240</v>
      </c>
      <c r="GF3093" s="5" t="s">
        <v>240</v>
      </c>
      <c r="GG3093" s="5" t="s">
        <v>240</v>
      </c>
      <c r="GH3093" s="5" t="s">
        <v>240</v>
      </c>
      <c r="GI3093" s="5" t="s">
        <v>240</v>
      </c>
      <c r="GJ3093" s="5" t="s">
        <v>240</v>
      </c>
      <c r="GK3093" s="5" t="s">
        <v>240</v>
      </c>
      <c r="GL3093" s="5" t="s">
        <v>240</v>
      </c>
      <c r="GM3093" s="5" t="s">
        <v>240</v>
      </c>
      <c r="GN3093" s="5" t="s">
        <v>240</v>
      </c>
      <c r="GO3093" s="5" t="s">
        <v>240</v>
      </c>
      <c r="GP3093" s="5" t="s">
        <v>240</v>
      </c>
      <c r="GQ3093" s="5" t="s">
        <v>240</v>
      </c>
      <c r="GR3093" s="5" t="s">
        <v>240</v>
      </c>
      <c r="GS3093" s="5" t="s">
        <v>240</v>
      </c>
      <c r="GT3093" s="5" t="s">
        <v>240</v>
      </c>
      <c r="GU3093" s="5" t="s">
        <v>240</v>
      </c>
      <c r="GV3093" s="5" t="s">
        <v>240</v>
      </c>
      <c r="GW3093" s="5" t="s">
        <v>240</v>
      </c>
      <c r="GX3093" s="5" t="s">
        <v>240</v>
      </c>
      <c r="GY3093" s="5" t="s">
        <v>240</v>
      </c>
      <c r="GZ3093" s="5" t="s">
        <v>240</v>
      </c>
      <c r="HA3093" s="5" t="s">
        <v>240</v>
      </c>
      <c r="HB3093" s="5" t="s">
        <v>240</v>
      </c>
      <c r="HC3093" s="5" t="s">
        <v>240</v>
      </c>
      <c r="HD3093" s="5" t="s">
        <v>240</v>
      </c>
      <c r="HE3093" s="5" t="s">
        <v>240</v>
      </c>
      <c r="HF3093" s="5" t="s">
        <v>240</v>
      </c>
      <c r="HG3093" s="5" t="s">
        <v>240</v>
      </c>
      <c r="HH3093" s="5" t="s">
        <v>240</v>
      </c>
      <c r="HI3093" s="5" t="s">
        <v>240</v>
      </c>
      <c r="HJ3093" s="5" t="s">
        <v>240</v>
      </c>
      <c r="HK3093" s="5" t="s">
        <v>240</v>
      </c>
      <c r="HL3093" s="5" t="s">
        <v>240</v>
      </c>
      <c r="HM3093" s="5" t="s">
        <v>240</v>
      </c>
      <c r="HN3093" s="5" t="s">
        <v>240</v>
      </c>
      <c r="HO3093" s="5" t="s">
        <v>312</v>
      </c>
      <c r="HP3093" s="5" t="s">
        <v>240</v>
      </c>
      <c r="HQ3093" s="5" t="s">
        <v>240</v>
      </c>
      <c r="HR3093" s="5" t="s">
        <v>240</v>
      </c>
      <c r="HS3093" s="5" t="s">
        <v>240</v>
      </c>
      <c r="HT3093" s="5" t="s">
        <v>240</v>
      </c>
      <c r="HU3093" s="5" t="s">
        <v>240</v>
      </c>
      <c r="HV3093" s="5" t="s">
        <v>240</v>
      </c>
      <c r="HW3093" s="5" t="s">
        <v>240</v>
      </c>
      <c r="HX3093" s="5" t="s">
        <v>240</v>
      </c>
      <c r="HY3093" s="5" t="s">
        <v>240</v>
      </c>
      <c r="HZ3093" s="5" t="s">
        <v>240</v>
      </c>
      <c r="IA3093" s="5" t="s">
        <v>240</v>
      </c>
      <c r="IB3093" s="5" t="s">
        <v>240</v>
      </c>
      <c r="IC3093" s="5" t="s">
        <v>240</v>
      </c>
      <c r="ID3093" s="5" t="s">
        <v>240</v>
      </c>
      <c r="IE3093" s="5" t="s">
        <v>240</v>
      </c>
      <c r="IF3093" s="5" t="s">
        <v>240</v>
      </c>
    </row>
    <row r="3094" spans="1:240" x14ac:dyDescent="0.4">
      <c r="A3094" s="5">
        <v>4798</v>
      </c>
      <c r="B3094" s="5">
        <v>1</v>
      </c>
      <c r="C3094" s="5">
        <v>1</v>
      </c>
      <c r="D3094" s="5" t="s">
        <v>810</v>
      </c>
      <c r="E3094" s="5" t="s">
        <v>245</v>
      </c>
      <c r="F3094" s="5" t="s">
        <v>254</v>
      </c>
      <c r="G3094" s="5" t="s">
        <v>240</v>
      </c>
      <c r="H3094" s="6" t="s">
        <v>2358</v>
      </c>
      <c r="I3094" s="5" t="s">
        <v>809</v>
      </c>
      <c r="J3094" s="8">
        <f>86</f>
        <v>86</v>
      </c>
      <c r="K3094" s="5" t="s">
        <v>308</v>
      </c>
      <c r="L3094" s="7">
        <f>1</f>
        <v>1</v>
      </c>
      <c r="M3094" s="7">
        <f>1</f>
        <v>1</v>
      </c>
      <c r="N3094" s="5" t="s">
        <v>242</v>
      </c>
      <c r="O3094" s="5">
        <v>1</v>
      </c>
      <c r="P3094" s="5" t="s">
        <v>294</v>
      </c>
      <c r="Q3094" s="5" t="s">
        <v>266</v>
      </c>
      <c r="R3094" s="5" t="s">
        <v>240</v>
      </c>
      <c r="S3094" s="5" t="s">
        <v>240</v>
      </c>
      <c r="T3094" s="5" t="s">
        <v>296</v>
      </c>
      <c r="U3094" s="5" t="s">
        <v>244</v>
      </c>
      <c r="V3094" s="5" t="s">
        <v>240</v>
      </c>
      <c r="Y3094" s="5" t="s">
        <v>240</v>
      </c>
      <c r="Z3094" s="6" t="s">
        <v>298</v>
      </c>
      <c r="AB3094" s="6" t="s">
        <v>240</v>
      </c>
      <c r="AE3094" s="6" t="s">
        <v>299</v>
      </c>
      <c r="AF3094" s="5" t="s">
        <v>248</v>
      </c>
      <c r="AG3094" s="5" t="s">
        <v>249</v>
      </c>
      <c r="AW3094" s="5" t="s">
        <v>251</v>
      </c>
      <c r="AX3094" s="5" t="s">
        <v>240</v>
      </c>
      <c r="AY3094" s="5" t="s">
        <v>253</v>
      </c>
      <c r="AZ3094" s="5" t="s">
        <v>240</v>
      </c>
      <c r="BA3094" s="5" t="s">
        <v>255</v>
      </c>
      <c r="BB3094" s="5" t="s">
        <v>240</v>
      </c>
      <c r="BD3094" s="5" t="s">
        <v>240</v>
      </c>
      <c r="BF3094" s="5" t="s">
        <v>301</v>
      </c>
      <c r="BG3094" s="6" t="s">
        <v>299</v>
      </c>
      <c r="BH3094" s="5" t="s">
        <v>302</v>
      </c>
      <c r="BI3094" s="5" t="s">
        <v>303</v>
      </c>
      <c r="BJ3094" s="5" t="s">
        <v>240</v>
      </c>
      <c r="BK3094" s="8">
        <f>0</f>
        <v>0</v>
      </c>
      <c r="BL3094" s="7">
        <f>0</f>
        <v>0</v>
      </c>
      <c r="BM3094" s="5" t="s">
        <v>258</v>
      </c>
      <c r="BN3094" s="5" t="s">
        <v>259</v>
      </c>
      <c r="CB3094" s="5" t="s">
        <v>240</v>
      </c>
      <c r="CC3094" s="5" t="s">
        <v>240</v>
      </c>
      <c r="CG3094" s="5" t="s">
        <v>304</v>
      </c>
      <c r="CH3094" s="5" t="s">
        <v>305</v>
      </c>
      <c r="CI3094" s="5" t="s">
        <v>240</v>
      </c>
      <c r="CL3094" s="6" t="s">
        <v>261</v>
      </c>
      <c r="CM3094" s="5" t="s">
        <v>240</v>
      </c>
      <c r="CN3094" s="5" t="s">
        <v>263</v>
      </c>
      <c r="CO3094" s="5" t="s">
        <v>240</v>
      </c>
      <c r="CP3094" s="5" t="s">
        <v>240</v>
      </c>
      <c r="CQ3094" s="5">
        <v>0</v>
      </c>
      <c r="CR3094" s="5" t="s">
        <v>306</v>
      </c>
      <c r="CS3094" s="5" t="s">
        <v>307</v>
      </c>
      <c r="CT3094" s="5" t="s">
        <v>307</v>
      </c>
      <c r="CU3094" s="5" t="s">
        <v>260</v>
      </c>
      <c r="CX3094" s="7">
        <f>1</f>
        <v>1</v>
      </c>
      <c r="CY3094" s="7">
        <f>0</f>
        <v>0</v>
      </c>
      <c r="DA3094" s="7">
        <f>0</f>
        <v>0</v>
      </c>
      <c r="DC3094" s="5" t="s">
        <v>812</v>
      </c>
      <c r="DD3094" s="5" t="s">
        <v>240</v>
      </c>
      <c r="DF3094" s="5" t="s">
        <v>812</v>
      </c>
      <c r="DG3094" s="7">
        <f>274</f>
        <v>274</v>
      </c>
      <c r="DI3094" s="5" t="s">
        <v>240</v>
      </c>
      <c r="DJ3094" s="5" t="s">
        <v>240</v>
      </c>
      <c r="DK3094" s="5" t="s">
        <v>240</v>
      </c>
      <c r="DL3094" s="5" t="s">
        <v>240</v>
      </c>
      <c r="DP3094" s="5" t="s">
        <v>240</v>
      </c>
      <c r="DQ3094" s="5" t="s">
        <v>240</v>
      </c>
      <c r="DR3094" s="5" t="s">
        <v>240</v>
      </c>
      <c r="DS3094" s="5" t="s">
        <v>240</v>
      </c>
      <c r="DV3094" s="5" t="s">
        <v>813</v>
      </c>
      <c r="DW3094" s="5" t="s">
        <v>664</v>
      </c>
      <c r="HO3094" s="5" t="s">
        <v>312</v>
      </c>
    </row>
    <row r="3095" spans="1:240" x14ac:dyDescent="0.4">
      <c r="A3095" s="5">
        <v>4799</v>
      </c>
      <c r="B3095" s="5">
        <v>1</v>
      </c>
      <c r="C3095" s="5">
        <v>1</v>
      </c>
      <c r="D3095" s="5" t="s">
        <v>810</v>
      </c>
      <c r="E3095" s="5" t="s">
        <v>245</v>
      </c>
      <c r="F3095" s="5" t="s">
        <v>254</v>
      </c>
      <c r="G3095" s="5" t="s">
        <v>240</v>
      </c>
      <c r="H3095" s="6" t="s">
        <v>2356</v>
      </c>
      <c r="I3095" s="5" t="s">
        <v>809</v>
      </c>
      <c r="J3095" s="8">
        <f>1532</f>
        <v>1532</v>
      </c>
      <c r="K3095" s="5" t="s">
        <v>308</v>
      </c>
      <c r="L3095" s="7">
        <f>1</f>
        <v>1</v>
      </c>
      <c r="M3095" s="7">
        <f>1</f>
        <v>1</v>
      </c>
      <c r="N3095" s="5" t="s">
        <v>242</v>
      </c>
      <c r="O3095" s="5">
        <v>1</v>
      </c>
      <c r="P3095" s="5" t="s">
        <v>294</v>
      </c>
      <c r="Q3095" s="5" t="s">
        <v>3678</v>
      </c>
      <c r="R3095" s="5" t="s">
        <v>240</v>
      </c>
      <c r="S3095" s="5" t="s">
        <v>240</v>
      </c>
      <c r="T3095" s="5" t="s">
        <v>243</v>
      </c>
      <c r="U3095" s="5" t="s">
        <v>244</v>
      </c>
      <c r="V3095" s="5" t="s">
        <v>240</v>
      </c>
      <c r="W3095" s="5" t="s">
        <v>240</v>
      </c>
      <c r="X3095" s="5" t="s">
        <v>240</v>
      </c>
      <c r="Y3095" s="5" t="s">
        <v>240</v>
      </c>
      <c r="Z3095" s="6" t="s">
        <v>298</v>
      </c>
      <c r="AA3095" s="6" t="s">
        <v>240</v>
      </c>
      <c r="AB3095" s="6" t="s">
        <v>240</v>
      </c>
      <c r="AC3095" s="5" t="s">
        <v>240</v>
      </c>
      <c r="AD3095" s="6" t="s">
        <v>240</v>
      </c>
      <c r="AE3095" s="6" t="s">
        <v>299</v>
      </c>
      <c r="AF3095" s="5" t="s">
        <v>248</v>
      </c>
      <c r="AG3095" s="5" t="s">
        <v>249</v>
      </c>
      <c r="AH3095" s="5" t="s">
        <v>240</v>
      </c>
      <c r="AI3095" s="5" t="s">
        <v>240</v>
      </c>
      <c r="AJ3095" s="5" t="s">
        <v>240</v>
      </c>
      <c r="AK3095" s="5" t="s">
        <v>240</v>
      </c>
      <c r="AL3095" s="5" t="s">
        <v>240</v>
      </c>
      <c r="AM3095" s="5" t="s">
        <v>240</v>
      </c>
      <c r="AN3095" s="5" t="s">
        <v>240</v>
      </c>
      <c r="AO3095" s="5" t="s">
        <v>240</v>
      </c>
      <c r="AP3095" s="6" t="s">
        <v>240</v>
      </c>
      <c r="AQ3095" s="6" t="s">
        <v>240</v>
      </c>
      <c r="AR3095" s="6" t="s">
        <v>240</v>
      </c>
      <c r="AS3095" s="6" t="s">
        <v>240</v>
      </c>
      <c r="AT3095" s="5" t="s">
        <v>240</v>
      </c>
      <c r="AU3095" s="5" t="s">
        <v>729</v>
      </c>
      <c r="AV3095" s="5" t="s">
        <v>729</v>
      </c>
      <c r="AW3095" s="5" t="s">
        <v>251</v>
      </c>
      <c r="AX3095" s="5" t="s">
        <v>252</v>
      </c>
      <c r="AY3095" s="5" t="s">
        <v>253</v>
      </c>
      <c r="AZ3095" s="5" t="s">
        <v>240</v>
      </c>
      <c r="BA3095" s="5" t="s">
        <v>255</v>
      </c>
      <c r="BB3095" s="5" t="s">
        <v>731</v>
      </c>
      <c r="BD3095" s="5" t="s">
        <v>240</v>
      </c>
      <c r="BF3095" s="5" t="s">
        <v>732</v>
      </c>
      <c r="BG3095" s="6" t="s">
        <v>733</v>
      </c>
      <c r="BH3095" s="5" t="s">
        <v>734</v>
      </c>
      <c r="BI3095" s="5" t="s">
        <v>734</v>
      </c>
      <c r="BJ3095" s="5" t="s">
        <v>240</v>
      </c>
      <c r="BK3095" s="7">
        <f>1</f>
        <v>1</v>
      </c>
      <c r="BL3095" s="7">
        <f>1</f>
        <v>1</v>
      </c>
      <c r="BM3095" s="5" t="s">
        <v>258</v>
      </c>
      <c r="BN3095" s="5" t="s">
        <v>259</v>
      </c>
      <c r="BO3095" s="5" t="s">
        <v>240</v>
      </c>
      <c r="BP3095" s="5" t="s">
        <v>240</v>
      </c>
      <c r="BQ3095" s="5" t="s">
        <v>240</v>
      </c>
      <c r="BR3095" s="5" t="s">
        <v>240</v>
      </c>
      <c r="BS3095" s="5" t="s">
        <v>240</v>
      </c>
      <c r="BT3095" s="5" t="s">
        <v>240</v>
      </c>
      <c r="BU3095" s="5" t="s">
        <v>240</v>
      </c>
      <c r="BV3095" s="5" t="s">
        <v>240</v>
      </c>
      <c r="BW3095" s="6" t="s">
        <v>240</v>
      </c>
      <c r="BX3095" s="5" t="s">
        <v>240</v>
      </c>
      <c r="BY3095" s="5" t="s">
        <v>240</v>
      </c>
      <c r="BZ3095" s="5" t="s">
        <v>240</v>
      </c>
      <c r="CA3095" s="5" t="s">
        <v>259</v>
      </c>
      <c r="CB3095" s="5" t="s">
        <v>240</v>
      </c>
      <c r="CC3095" s="5" t="s">
        <v>240</v>
      </c>
      <c r="CD3095" s="5" t="s">
        <v>240</v>
      </c>
      <c r="CE3095" s="5" t="s">
        <v>240</v>
      </c>
      <c r="CF3095" s="5" t="s">
        <v>240</v>
      </c>
      <c r="CG3095" s="5" t="s">
        <v>304</v>
      </c>
      <c r="CH3095" s="5" t="s">
        <v>305</v>
      </c>
      <c r="CI3095" s="5" t="s">
        <v>240</v>
      </c>
      <c r="CK3095" s="5" t="s">
        <v>3681</v>
      </c>
      <c r="CL3095" s="6" t="s">
        <v>261</v>
      </c>
      <c r="CM3095" s="5" t="s">
        <v>262</v>
      </c>
      <c r="CN3095" s="5" t="s">
        <v>263</v>
      </c>
      <c r="CO3095" s="5" t="s">
        <v>264</v>
      </c>
      <c r="CP3095" s="5" t="s">
        <v>240</v>
      </c>
      <c r="CQ3095" s="5">
        <v>0</v>
      </c>
      <c r="CR3095" s="5" t="s">
        <v>735</v>
      </c>
      <c r="CS3095" s="5" t="s">
        <v>307</v>
      </c>
      <c r="CT3095" s="5" t="s">
        <v>307</v>
      </c>
      <c r="CU3095" s="5" t="s">
        <v>260</v>
      </c>
      <c r="CV3095" s="5" t="s">
        <v>612</v>
      </c>
      <c r="CW3095" s="8">
        <f>1</f>
        <v>1</v>
      </c>
      <c r="CX3095" s="7">
        <f>1</f>
        <v>1</v>
      </c>
      <c r="CY3095" s="7">
        <f>0</f>
        <v>0</v>
      </c>
      <c r="DA3095" s="7">
        <f>1</f>
        <v>1</v>
      </c>
      <c r="DB3095" s="7" t="s">
        <v>240</v>
      </c>
      <c r="DC3095" s="5" t="s">
        <v>240</v>
      </c>
      <c r="DD3095" s="5" t="s">
        <v>240</v>
      </c>
      <c r="DE3095" s="5" t="s">
        <v>240</v>
      </c>
      <c r="DF3095" s="5" t="s">
        <v>240</v>
      </c>
      <c r="DG3095" s="7">
        <f>0</f>
        <v>0</v>
      </c>
      <c r="DI3095" s="5" t="s">
        <v>240</v>
      </c>
      <c r="DJ3095" s="5" t="s">
        <v>240</v>
      </c>
      <c r="DK3095" s="5" t="s">
        <v>240</v>
      </c>
      <c r="DL3095" s="5" t="s">
        <v>240</v>
      </c>
      <c r="DM3095" s="5" t="s">
        <v>240</v>
      </c>
      <c r="DN3095" s="5" t="s">
        <v>240</v>
      </c>
      <c r="DO3095" s="7" t="s">
        <v>240</v>
      </c>
      <c r="DP3095" s="5" t="s">
        <v>240</v>
      </c>
      <c r="DQ3095" s="5" t="s">
        <v>240</v>
      </c>
      <c r="DR3095" s="5" t="s">
        <v>731</v>
      </c>
      <c r="DS3095" s="5" t="s">
        <v>731</v>
      </c>
      <c r="DT3095" s="5" t="s">
        <v>240</v>
      </c>
      <c r="DU3095" s="5" t="s">
        <v>240</v>
      </c>
      <c r="DV3095" s="5" t="s">
        <v>3683</v>
      </c>
      <c r="DW3095" s="5" t="s">
        <v>779</v>
      </c>
      <c r="DX3095" s="5" t="s">
        <v>240</v>
      </c>
      <c r="DY3095" s="5" t="s">
        <v>240</v>
      </c>
      <c r="DZ3095" s="5" t="s">
        <v>240</v>
      </c>
      <c r="EA3095" s="5" t="s">
        <v>240</v>
      </c>
      <c r="EB3095" s="5" t="s">
        <v>240</v>
      </c>
      <c r="EC3095" s="5" t="s">
        <v>240</v>
      </c>
      <c r="ED3095" s="5" t="s">
        <v>240</v>
      </c>
      <c r="EE3095" s="5" t="s">
        <v>240</v>
      </c>
      <c r="EF3095" s="5" t="s">
        <v>240</v>
      </c>
      <c r="EG3095" s="5" t="s">
        <v>240</v>
      </c>
      <c r="EH3095" s="5" t="s">
        <v>240</v>
      </c>
      <c r="EI3095" s="5" t="s">
        <v>240</v>
      </c>
      <c r="EJ3095" s="5" t="s">
        <v>240</v>
      </c>
      <c r="EK3095" s="5" t="s">
        <v>240</v>
      </c>
      <c r="EL3095" s="5" t="s">
        <v>240</v>
      </c>
      <c r="EM3095" s="5" t="s">
        <v>240</v>
      </c>
      <c r="EN3095" s="5" t="s">
        <v>240</v>
      </c>
      <c r="EO3095" s="5" t="s">
        <v>240</v>
      </c>
      <c r="EP3095" s="5" t="s">
        <v>240</v>
      </c>
      <c r="EQ3095" s="5" t="s">
        <v>240</v>
      </c>
      <c r="ER3095" s="5" t="s">
        <v>240</v>
      </c>
      <c r="ES3095" s="5" t="s">
        <v>240</v>
      </c>
      <c r="ET3095" s="5" t="s">
        <v>240</v>
      </c>
      <c r="EU3095" s="5" t="s">
        <v>240</v>
      </c>
      <c r="EV3095" s="5" t="s">
        <v>240</v>
      </c>
      <c r="EW3095" s="5" t="s">
        <v>240</v>
      </c>
      <c r="EX3095" s="5" t="s">
        <v>240</v>
      </c>
      <c r="EY3095" s="5" t="s">
        <v>240</v>
      </c>
      <c r="EZ3095" s="5" t="s">
        <v>240</v>
      </c>
      <c r="FA3095" s="5" t="s">
        <v>240</v>
      </c>
      <c r="FB3095" s="5" t="s">
        <v>240</v>
      </c>
      <c r="FC3095" s="5" t="s">
        <v>240</v>
      </c>
      <c r="FD3095" s="5" t="s">
        <v>240</v>
      </c>
      <c r="FE3095" s="5" t="s">
        <v>240</v>
      </c>
      <c r="FF3095" s="5" t="s">
        <v>240</v>
      </c>
      <c r="FG3095" s="5" t="s">
        <v>240</v>
      </c>
      <c r="FH3095" s="5" t="s">
        <v>240</v>
      </c>
      <c r="FI3095" s="5" t="s">
        <v>240</v>
      </c>
      <c r="FJ3095" s="5" t="s">
        <v>240</v>
      </c>
      <c r="FK3095" s="5" t="s">
        <v>240</v>
      </c>
      <c r="FL3095" s="5" t="s">
        <v>240</v>
      </c>
      <c r="FM3095" s="5" t="s">
        <v>240</v>
      </c>
      <c r="FN3095" s="5" t="s">
        <v>240</v>
      </c>
      <c r="FO3095" s="5" t="s">
        <v>240</v>
      </c>
      <c r="FP3095" s="5" t="s">
        <v>240</v>
      </c>
      <c r="FQ3095" s="5" t="s">
        <v>240</v>
      </c>
      <c r="FR3095" s="5" t="s">
        <v>240</v>
      </c>
      <c r="FS3095" s="5" t="s">
        <v>240</v>
      </c>
      <c r="FT3095" s="5" t="s">
        <v>240</v>
      </c>
      <c r="FU3095" s="5" t="s">
        <v>240</v>
      </c>
      <c r="FV3095" s="5" t="s">
        <v>240</v>
      </c>
      <c r="FW3095" s="5" t="s">
        <v>240</v>
      </c>
      <c r="FX3095" s="5" t="s">
        <v>240</v>
      </c>
      <c r="FY3095" s="5" t="s">
        <v>240</v>
      </c>
      <c r="FZ3095" s="5" t="s">
        <v>240</v>
      </c>
      <c r="GA3095" s="5" t="s">
        <v>240</v>
      </c>
      <c r="GB3095" s="5" t="s">
        <v>240</v>
      </c>
      <c r="GC3095" s="5" t="s">
        <v>240</v>
      </c>
      <c r="GD3095" s="5" t="s">
        <v>240</v>
      </c>
      <c r="GE3095" s="5" t="s">
        <v>240</v>
      </c>
      <c r="GF3095" s="5" t="s">
        <v>240</v>
      </c>
      <c r="GG3095" s="5" t="s">
        <v>240</v>
      </c>
      <c r="GH3095" s="5" t="s">
        <v>240</v>
      </c>
      <c r="GI3095" s="5" t="s">
        <v>240</v>
      </c>
      <c r="GJ3095" s="5" t="s">
        <v>240</v>
      </c>
      <c r="GK3095" s="5" t="s">
        <v>240</v>
      </c>
      <c r="GL3095" s="5" t="s">
        <v>240</v>
      </c>
      <c r="GM3095" s="5" t="s">
        <v>240</v>
      </c>
      <c r="GN3095" s="5" t="s">
        <v>240</v>
      </c>
      <c r="GO3095" s="5" t="s">
        <v>240</v>
      </c>
      <c r="GP3095" s="5" t="s">
        <v>240</v>
      </c>
      <c r="GQ3095" s="5" t="s">
        <v>240</v>
      </c>
      <c r="GR3095" s="5" t="s">
        <v>240</v>
      </c>
      <c r="GS3095" s="5" t="s">
        <v>240</v>
      </c>
      <c r="GT3095" s="5" t="s">
        <v>240</v>
      </c>
      <c r="GU3095" s="5" t="s">
        <v>240</v>
      </c>
      <c r="GV3095" s="5" t="s">
        <v>240</v>
      </c>
      <c r="GW3095" s="5" t="s">
        <v>240</v>
      </c>
      <c r="GX3095" s="5" t="s">
        <v>240</v>
      </c>
      <c r="GY3095" s="5" t="s">
        <v>240</v>
      </c>
      <c r="GZ3095" s="5" t="s">
        <v>240</v>
      </c>
      <c r="HA3095" s="5" t="s">
        <v>240</v>
      </c>
      <c r="HB3095" s="5" t="s">
        <v>240</v>
      </c>
      <c r="HC3095" s="5" t="s">
        <v>240</v>
      </c>
      <c r="HD3095" s="5" t="s">
        <v>240</v>
      </c>
      <c r="HE3095" s="5" t="s">
        <v>240</v>
      </c>
      <c r="HF3095" s="5" t="s">
        <v>240</v>
      </c>
      <c r="HG3095" s="5" t="s">
        <v>240</v>
      </c>
      <c r="HH3095" s="5" t="s">
        <v>240</v>
      </c>
      <c r="HI3095" s="5" t="s">
        <v>240</v>
      </c>
      <c r="HJ3095" s="5" t="s">
        <v>240</v>
      </c>
      <c r="HK3095" s="5" t="s">
        <v>240</v>
      </c>
      <c r="HL3095" s="5" t="s">
        <v>240</v>
      </c>
      <c r="HM3095" s="5" t="s">
        <v>240</v>
      </c>
      <c r="HN3095" s="5" t="s">
        <v>240</v>
      </c>
      <c r="HO3095" s="5" t="s">
        <v>312</v>
      </c>
      <c r="HP3095" s="5" t="s">
        <v>240</v>
      </c>
      <c r="HQ3095" s="5" t="s">
        <v>240</v>
      </c>
      <c r="HR3095" s="5" t="s">
        <v>240</v>
      </c>
      <c r="HS3095" s="5" t="s">
        <v>240</v>
      </c>
      <c r="HT3095" s="5" t="s">
        <v>240</v>
      </c>
      <c r="HU3095" s="5" t="s">
        <v>240</v>
      </c>
      <c r="HV3095" s="5" t="s">
        <v>240</v>
      </c>
      <c r="HW3095" s="5" t="s">
        <v>240</v>
      </c>
      <c r="HX3095" s="5" t="s">
        <v>240</v>
      </c>
      <c r="HY3095" s="5" t="s">
        <v>240</v>
      </c>
      <c r="HZ3095" s="5" t="s">
        <v>240</v>
      </c>
      <c r="IA3095" s="5" t="s">
        <v>240</v>
      </c>
      <c r="IB3095" s="5" t="s">
        <v>240</v>
      </c>
      <c r="IC3095" s="5" t="s">
        <v>240</v>
      </c>
      <c r="ID3095" s="5" t="s">
        <v>240</v>
      </c>
      <c r="IE3095" s="5" t="s">
        <v>240</v>
      </c>
      <c r="IF3095" s="5" t="s">
        <v>240</v>
      </c>
    </row>
    <row r="3096" spans="1:240" x14ac:dyDescent="0.4">
      <c r="A3096" s="5">
        <v>4800</v>
      </c>
      <c r="B3096" s="5">
        <v>1</v>
      </c>
      <c r="C3096" s="5">
        <v>1</v>
      </c>
      <c r="D3096" s="5" t="s">
        <v>810</v>
      </c>
      <c r="E3096" s="5" t="s">
        <v>245</v>
      </c>
      <c r="F3096" s="5" t="s">
        <v>254</v>
      </c>
      <c r="G3096" s="5" t="s">
        <v>240</v>
      </c>
      <c r="H3096" s="6" t="s">
        <v>2354</v>
      </c>
      <c r="I3096" s="5" t="s">
        <v>809</v>
      </c>
      <c r="J3096" s="8">
        <f>808</f>
        <v>808</v>
      </c>
      <c r="K3096" s="5" t="s">
        <v>308</v>
      </c>
      <c r="L3096" s="7">
        <f>1</f>
        <v>1</v>
      </c>
      <c r="M3096" s="7">
        <f>1</f>
        <v>1</v>
      </c>
      <c r="N3096" s="5" t="s">
        <v>242</v>
      </c>
      <c r="O3096" s="5">
        <v>1</v>
      </c>
      <c r="P3096" s="5" t="s">
        <v>294</v>
      </c>
      <c r="Q3096" s="5" t="s">
        <v>3678</v>
      </c>
      <c r="R3096" s="5" t="s">
        <v>240</v>
      </c>
      <c r="S3096" s="5" t="s">
        <v>240</v>
      </c>
      <c r="T3096" s="5" t="s">
        <v>243</v>
      </c>
      <c r="U3096" s="5" t="s">
        <v>244</v>
      </c>
      <c r="V3096" s="5" t="s">
        <v>240</v>
      </c>
      <c r="W3096" s="5" t="s">
        <v>240</v>
      </c>
      <c r="X3096" s="5" t="s">
        <v>240</v>
      </c>
      <c r="Y3096" s="5" t="s">
        <v>240</v>
      </c>
      <c r="Z3096" s="6" t="s">
        <v>298</v>
      </c>
      <c r="AA3096" s="6" t="s">
        <v>240</v>
      </c>
      <c r="AB3096" s="6" t="s">
        <v>240</v>
      </c>
      <c r="AC3096" s="5" t="s">
        <v>240</v>
      </c>
      <c r="AD3096" s="6" t="s">
        <v>240</v>
      </c>
      <c r="AE3096" s="6" t="s">
        <v>299</v>
      </c>
      <c r="AF3096" s="5" t="s">
        <v>248</v>
      </c>
      <c r="AG3096" s="5" t="s">
        <v>249</v>
      </c>
      <c r="AH3096" s="5" t="s">
        <v>240</v>
      </c>
      <c r="AI3096" s="5" t="s">
        <v>240</v>
      </c>
      <c r="AJ3096" s="5" t="s">
        <v>240</v>
      </c>
      <c r="AK3096" s="5" t="s">
        <v>240</v>
      </c>
      <c r="AL3096" s="5" t="s">
        <v>240</v>
      </c>
      <c r="AM3096" s="5" t="s">
        <v>240</v>
      </c>
      <c r="AN3096" s="5" t="s">
        <v>240</v>
      </c>
      <c r="AO3096" s="5" t="s">
        <v>240</v>
      </c>
      <c r="AP3096" s="6" t="s">
        <v>240</v>
      </c>
      <c r="AQ3096" s="6" t="s">
        <v>240</v>
      </c>
      <c r="AR3096" s="6" t="s">
        <v>240</v>
      </c>
      <c r="AS3096" s="6" t="s">
        <v>240</v>
      </c>
      <c r="AT3096" s="5" t="s">
        <v>240</v>
      </c>
      <c r="AU3096" s="5" t="s">
        <v>729</v>
      </c>
      <c r="AV3096" s="5" t="s">
        <v>729</v>
      </c>
      <c r="AW3096" s="5" t="s">
        <v>251</v>
      </c>
      <c r="AX3096" s="5" t="s">
        <v>252</v>
      </c>
      <c r="AY3096" s="5" t="s">
        <v>253</v>
      </c>
      <c r="AZ3096" s="5" t="s">
        <v>240</v>
      </c>
      <c r="BA3096" s="5" t="s">
        <v>255</v>
      </c>
      <c r="BB3096" s="5" t="s">
        <v>731</v>
      </c>
      <c r="BD3096" s="5" t="s">
        <v>240</v>
      </c>
      <c r="BF3096" s="5" t="s">
        <v>732</v>
      </c>
      <c r="BG3096" s="6" t="s">
        <v>733</v>
      </c>
      <c r="BH3096" s="5" t="s">
        <v>734</v>
      </c>
      <c r="BI3096" s="5" t="s">
        <v>734</v>
      </c>
      <c r="BJ3096" s="5" t="s">
        <v>240</v>
      </c>
      <c r="BK3096" s="7">
        <f>1</f>
        <v>1</v>
      </c>
      <c r="BL3096" s="7">
        <f>1</f>
        <v>1</v>
      </c>
      <c r="BM3096" s="5" t="s">
        <v>258</v>
      </c>
      <c r="BN3096" s="5" t="s">
        <v>259</v>
      </c>
      <c r="BO3096" s="5" t="s">
        <v>240</v>
      </c>
      <c r="BP3096" s="5" t="s">
        <v>240</v>
      </c>
      <c r="BQ3096" s="5" t="s">
        <v>240</v>
      </c>
      <c r="BR3096" s="5" t="s">
        <v>240</v>
      </c>
      <c r="BS3096" s="5" t="s">
        <v>240</v>
      </c>
      <c r="BT3096" s="5" t="s">
        <v>240</v>
      </c>
      <c r="BU3096" s="5" t="s">
        <v>240</v>
      </c>
      <c r="BV3096" s="5" t="s">
        <v>240</v>
      </c>
      <c r="BW3096" s="6" t="s">
        <v>240</v>
      </c>
      <c r="BX3096" s="5" t="s">
        <v>240</v>
      </c>
      <c r="BY3096" s="5" t="s">
        <v>240</v>
      </c>
      <c r="BZ3096" s="5" t="s">
        <v>240</v>
      </c>
      <c r="CA3096" s="5" t="s">
        <v>259</v>
      </c>
      <c r="CB3096" s="5" t="s">
        <v>240</v>
      </c>
      <c r="CC3096" s="5" t="s">
        <v>240</v>
      </c>
      <c r="CD3096" s="5" t="s">
        <v>240</v>
      </c>
      <c r="CE3096" s="5" t="s">
        <v>240</v>
      </c>
      <c r="CF3096" s="5" t="s">
        <v>240</v>
      </c>
      <c r="CG3096" s="5" t="s">
        <v>304</v>
      </c>
      <c r="CH3096" s="5" t="s">
        <v>305</v>
      </c>
      <c r="CI3096" s="5" t="s">
        <v>240</v>
      </c>
      <c r="CK3096" s="5" t="s">
        <v>3681</v>
      </c>
      <c r="CL3096" s="6" t="s">
        <v>261</v>
      </c>
      <c r="CM3096" s="5" t="s">
        <v>262</v>
      </c>
      <c r="CN3096" s="5" t="s">
        <v>263</v>
      </c>
      <c r="CO3096" s="5" t="s">
        <v>264</v>
      </c>
      <c r="CP3096" s="5" t="s">
        <v>240</v>
      </c>
      <c r="CQ3096" s="5">
        <v>0</v>
      </c>
      <c r="CR3096" s="5" t="s">
        <v>735</v>
      </c>
      <c r="CS3096" s="5" t="s">
        <v>307</v>
      </c>
      <c r="CT3096" s="5" t="s">
        <v>307</v>
      </c>
      <c r="CU3096" s="5" t="s">
        <v>260</v>
      </c>
      <c r="CV3096" s="5" t="s">
        <v>612</v>
      </c>
      <c r="CW3096" s="8">
        <f>1</f>
        <v>1</v>
      </c>
      <c r="CX3096" s="7">
        <f>1</f>
        <v>1</v>
      </c>
      <c r="CY3096" s="7">
        <f>0</f>
        <v>0</v>
      </c>
      <c r="DA3096" s="7">
        <f>1</f>
        <v>1</v>
      </c>
      <c r="DB3096" s="7" t="s">
        <v>240</v>
      </c>
      <c r="DC3096" s="5" t="s">
        <v>240</v>
      </c>
      <c r="DD3096" s="5" t="s">
        <v>240</v>
      </c>
      <c r="DE3096" s="5" t="s">
        <v>240</v>
      </c>
      <c r="DF3096" s="5" t="s">
        <v>240</v>
      </c>
      <c r="DG3096" s="7">
        <f>0</f>
        <v>0</v>
      </c>
      <c r="DI3096" s="5" t="s">
        <v>240</v>
      </c>
      <c r="DJ3096" s="5" t="s">
        <v>240</v>
      </c>
      <c r="DK3096" s="5" t="s">
        <v>240</v>
      </c>
      <c r="DL3096" s="5" t="s">
        <v>240</v>
      </c>
      <c r="DM3096" s="5" t="s">
        <v>240</v>
      </c>
      <c r="DN3096" s="5" t="s">
        <v>240</v>
      </c>
      <c r="DO3096" s="7" t="s">
        <v>240</v>
      </c>
      <c r="DP3096" s="5" t="s">
        <v>240</v>
      </c>
      <c r="DQ3096" s="5" t="s">
        <v>240</v>
      </c>
      <c r="DR3096" s="5" t="s">
        <v>731</v>
      </c>
      <c r="DS3096" s="5" t="s">
        <v>731</v>
      </c>
      <c r="DT3096" s="5" t="s">
        <v>240</v>
      </c>
      <c r="DU3096" s="5" t="s">
        <v>240</v>
      </c>
      <c r="DV3096" s="5" t="s">
        <v>3683</v>
      </c>
      <c r="DW3096" s="5" t="s">
        <v>637</v>
      </c>
      <c r="DX3096" s="5" t="s">
        <v>240</v>
      </c>
      <c r="DY3096" s="5" t="s">
        <v>240</v>
      </c>
      <c r="DZ3096" s="5" t="s">
        <v>240</v>
      </c>
      <c r="EA3096" s="5" t="s">
        <v>240</v>
      </c>
      <c r="EB3096" s="5" t="s">
        <v>240</v>
      </c>
      <c r="EC3096" s="5" t="s">
        <v>240</v>
      </c>
      <c r="ED3096" s="5" t="s">
        <v>240</v>
      </c>
      <c r="EE3096" s="5" t="s">
        <v>240</v>
      </c>
      <c r="EF3096" s="5" t="s">
        <v>240</v>
      </c>
      <c r="EG3096" s="5" t="s">
        <v>240</v>
      </c>
      <c r="EH3096" s="5" t="s">
        <v>240</v>
      </c>
      <c r="EI3096" s="5" t="s">
        <v>240</v>
      </c>
      <c r="EJ3096" s="5" t="s">
        <v>240</v>
      </c>
      <c r="EK3096" s="5" t="s">
        <v>240</v>
      </c>
      <c r="EL3096" s="5" t="s">
        <v>240</v>
      </c>
      <c r="EM3096" s="5" t="s">
        <v>240</v>
      </c>
      <c r="EN3096" s="5" t="s">
        <v>240</v>
      </c>
      <c r="EO3096" s="5" t="s">
        <v>240</v>
      </c>
      <c r="EP3096" s="5" t="s">
        <v>240</v>
      </c>
      <c r="EQ3096" s="5" t="s">
        <v>240</v>
      </c>
      <c r="ER3096" s="5" t="s">
        <v>240</v>
      </c>
      <c r="ES3096" s="5" t="s">
        <v>240</v>
      </c>
      <c r="ET3096" s="5" t="s">
        <v>240</v>
      </c>
      <c r="EU3096" s="5" t="s">
        <v>240</v>
      </c>
      <c r="EV3096" s="5" t="s">
        <v>240</v>
      </c>
      <c r="EW3096" s="5" t="s">
        <v>240</v>
      </c>
      <c r="EX3096" s="5" t="s">
        <v>240</v>
      </c>
      <c r="EY3096" s="5" t="s">
        <v>240</v>
      </c>
      <c r="EZ3096" s="5" t="s">
        <v>240</v>
      </c>
      <c r="FA3096" s="5" t="s">
        <v>240</v>
      </c>
      <c r="FB3096" s="5" t="s">
        <v>240</v>
      </c>
      <c r="FC3096" s="5" t="s">
        <v>240</v>
      </c>
      <c r="FD3096" s="5" t="s">
        <v>240</v>
      </c>
      <c r="FE3096" s="5" t="s">
        <v>240</v>
      </c>
      <c r="FF3096" s="5" t="s">
        <v>240</v>
      </c>
      <c r="FG3096" s="5" t="s">
        <v>240</v>
      </c>
      <c r="FH3096" s="5" t="s">
        <v>240</v>
      </c>
      <c r="FI3096" s="5" t="s">
        <v>240</v>
      </c>
      <c r="FJ3096" s="5" t="s">
        <v>240</v>
      </c>
      <c r="FK3096" s="5" t="s">
        <v>240</v>
      </c>
      <c r="FL3096" s="5" t="s">
        <v>240</v>
      </c>
      <c r="FM3096" s="5" t="s">
        <v>240</v>
      </c>
      <c r="FN3096" s="5" t="s">
        <v>240</v>
      </c>
      <c r="FO3096" s="5" t="s">
        <v>240</v>
      </c>
      <c r="FP3096" s="5" t="s">
        <v>240</v>
      </c>
      <c r="FQ3096" s="5" t="s">
        <v>240</v>
      </c>
      <c r="FR3096" s="5" t="s">
        <v>240</v>
      </c>
      <c r="FS3096" s="5" t="s">
        <v>240</v>
      </c>
      <c r="FT3096" s="5" t="s">
        <v>240</v>
      </c>
      <c r="FU3096" s="5" t="s">
        <v>240</v>
      </c>
      <c r="FV3096" s="5" t="s">
        <v>240</v>
      </c>
      <c r="FW3096" s="5" t="s">
        <v>240</v>
      </c>
      <c r="FX3096" s="5" t="s">
        <v>240</v>
      </c>
      <c r="FY3096" s="5" t="s">
        <v>240</v>
      </c>
      <c r="FZ3096" s="5" t="s">
        <v>240</v>
      </c>
      <c r="GA3096" s="5" t="s">
        <v>240</v>
      </c>
      <c r="GB3096" s="5" t="s">
        <v>240</v>
      </c>
      <c r="GC3096" s="5" t="s">
        <v>240</v>
      </c>
      <c r="GD3096" s="5" t="s">
        <v>240</v>
      </c>
      <c r="GE3096" s="5" t="s">
        <v>240</v>
      </c>
      <c r="GF3096" s="5" t="s">
        <v>240</v>
      </c>
      <c r="GG3096" s="5" t="s">
        <v>240</v>
      </c>
      <c r="GH3096" s="5" t="s">
        <v>240</v>
      </c>
      <c r="GI3096" s="5" t="s">
        <v>240</v>
      </c>
      <c r="GJ3096" s="5" t="s">
        <v>240</v>
      </c>
      <c r="GK3096" s="5" t="s">
        <v>240</v>
      </c>
      <c r="GL3096" s="5" t="s">
        <v>240</v>
      </c>
      <c r="GM3096" s="5" t="s">
        <v>240</v>
      </c>
      <c r="GN3096" s="5" t="s">
        <v>240</v>
      </c>
      <c r="GO3096" s="5" t="s">
        <v>240</v>
      </c>
      <c r="GP3096" s="5" t="s">
        <v>240</v>
      </c>
      <c r="GQ3096" s="5" t="s">
        <v>240</v>
      </c>
      <c r="GR3096" s="5" t="s">
        <v>240</v>
      </c>
      <c r="GS3096" s="5" t="s">
        <v>240</v>
      </c>
      <c r="GT3096" s="5" t="s">
        <v>240</v>
      </c>
      <c r="GU3096" s="5" t="s">
        <v>240</v>
      </c>
      <c r="GV3096" s="5" t="s">
        <v>240</v>
      </c>
      <c r="GW3096" s="5" t="s">
        <v>240</v>
      </c>
      <c r="GX3096" s="5" t="s">
        <v>240</v>
      </c>
      <c r="GY3096" s="5" t="s">
        <v>240</v>
      </c>
      <c r="GZ3096" s="5" t="s">
        <v>240</v>
      </c>
      <c r="HA3096" s="5" t="s">
        <v>240</v>
      </c>
      <c r="HB3096" s="5" t="s">
        <v>240</v>
      </c>
      <c r="HC3096" s="5" t="s">
        <v>240</v>
      </c>
      <c r="HD3096" s="5" t="s">
        <v>240</v>
      </c>
      <c r="HE3096" s="5" t="s">
        <v>240</v>
      </c>
      <c r="HF3096" s="5" t="s">
        <v>240</v>
      </c>
      <c r="HG3096" s="5" t="s">
        <v>240</v>
      </c>
      <c r="HH3096" s="5" t="s">
        <v>240</v>
      </c>
      <c r="HI3096" s="5" t="s">
        <v>240</v>
      </c>
      <c r="HJ3096" s="5" t="s">
        <v>240</v>
      </c>
      <c r="HK3096" s="5" t="s">
        <v>240</v>
      </c>
      <c r="HL3096" s="5" t="s">
        <v>240</v>
      </c>
      <c r="HM3096" s="5" t="s">
        <v>240</v>
      </c>
      <c r="HN3096" s="5" t="s">
        <v>240</v>
      </c>
      <c r="HO3096" s="5" t="s">
        <v>312</v>
      </c>
      <c r="HP3096" s="5" t="s">
        <v>240</v>
      </c>
      <c r="HQ3096" s="5" t="s">
        <v>240</v>
      </c>
      <c r="HR3096" s="5" t="s">
        <v>240</v>
      </c>
      <c r="HS3096" s="5" t="s">
        <v>240</v>
      </c>
      <c r="HT3096" s="5" t="s">
        <v>240</v>
      </c>
      <c r="HU3096" s="5" t="s">
        <v>240</v>
      </c>
      <c r="HV3096" s="5" t="s">
        <v>240</v>
      </c>
      <c r="HW3096" s="5" t="s">
        <v>240</v>
      </c>
      <c r="HX3096" s="5" t="s">
        <v>240</v>
      </c>
      <c r="HY3096" s="5" t="s">
        <v>240</v>
      </c>
      <c r="HZ3096" s="5" t="s">
        <v>240</v>
      </c>
      <c r="IA3096" s="5" t="s">
        <v>240</v>
      </c>
      <c r="IB3096" s="5" t="s">
        <v>240</v>
      </c>
      <c r="IC3096" s="5" t="s">
        <v>240</v>
      </c>
      <c r="ID3096" s="5" t="s">
        <v>240</v>
      </c>
      <c r="IE3096" s="5" t="s">
        <v>240</v>
      </c>
      <c r="IF3096" s="5" t="s">
        <v>240</v>
      </c>
    </row>
    <row r="3097" spans="1:240" x14ac:dyDescent="0.4">
      <c r="A3097" s="5">
        <v>4801</v>
      </c>
      <c r="B3097" s="5">
        <v>1</v>
      </c>
      <c r="C3097" s="5">
        <v>1</v>
      </c>
      <c r="D3097" s="5" t="s">
        <v>810</v>
      </c>
      <c r="E3097" s="5" t="s">
        <v>245</v>
      </c>
      <c r="F3097" s="5" t="s">
        <v>254</v>
      </c>
      <c r="G3097" s="5" t="s">
        <v>240</v>
      </c>
      <c r="H3097" s="6" t="s">
        <v>2352</v>
      </c>
      <c r="I3097" s="5" t="s">
        <v>809</v>
      </c>
      <c r="J3097" s="8">
        <f>149</f>
        <v>149</v>
      </c>
      <c r="K3097" s="5" t="s">
        <v>308</v>
      </c>
      <c r="L3097" s="7">
        <f>1</f>
        <v>1</v>
      </c>
      <c r="M3097" s="7">
        <f>1</f>
        <v>1</v>
      </c>
      <c r="N3097" s="5" t="s">
        <v>242</v>
      </c>
      <c r="O3097" s="5">
        <v>1</v>
      </c>
      <c r="P3097" s="5" t="s">
        <v>294</v>
      </c>
      <c r="Q3097" s="5" t="s">
        <v>3678</v>
      </c>
      <c r="R3097" s="5" t="s">
        <v>240</v>
      </c>
      <c r="S3097" s="5" t="s">
        <v>240</v>
      </c>
      <c r="T3097" s="5" t="s">
        <v>243</v>
      </c>
      <c r="U3097" s="5" t="s">
        <v>244</v>
      </c>
      <c r="V3097" s="5" t="s">
        <v>240</v>
      </c>
      <c r="W3097" s="5" t="s">
        <v>240</v>
      </c>
      <c r="X3097" s="5" t="s">
        <v>240</v>
      </c>
      <c r="Y3097" s="5" t="s">
        <v>240</v>
      </c>
      <c r="Z3097" s="6" t="s">
        <v>298</v>
      </c>
      <c r="AA3097" s="6" t="s">
        <v>240</v>
      </c>
      <c r="AB3097" s="6" t="s">
        <v>240</v>
      </c>
      <c r="AC3097" s="5" t="s">
        <v>240</v>
      </c>
      <c r="AD3097" s="6" t="s">
        <v>240</v>
      </c>
      <c r="AE3097" s="6" t="s">
        <v>299</v>
      </c>
      <c r="AF3097" s="5" t="s">
        <v>248</v>
      </c>
      <c r="AG3097" s="5" t="s">
        <v>249</v>
      </c>
      <c r="AH3097" s="5" t="s">
        <v>240</v>
      </c>
      <c r="AI3097" s="5" t="s">
        <v>240</v>
      </c>
      <c r="AJ3097" s="5" t="s">
        <v>240</v>
      </c>
      <c r="AK3097" s="5" t="s">
        <v>240</v>
      </c>
      <c r="AL3097" s="5" t="s">
        <v>240</v>
      </c>
      <c r="AM3097" s="5" t="s">
        <v>240</v>
      </c>
      <c r="AN3097" s="5" t="s">
        <v>240</v>
      </c>
      <c r="AO3097" s="5" t="s">
        <v>240</v>
      </c>
      <c r="AP3097" s="6" t="s">
        <v>240</v>
      </c>
      <c r="AQ3097" s="6" t="s">
        <v>240</v>
      </c>
      <c r="AR3097" s="6" t="s">
        <v>240</v>
      </c>
      <c r="AS3097" s="6" t="s">
        <v>240</v>
      </c>
      <c r="AT3097" s="5" t="s">
        <v>240</v>
      </c>
      <c r="AU3097" s="5" t="s">
        <v>729</v>
      </c>
      <c r="AV3097" s="5" t="s">
        <v>729</v>
      </c>
      <c r="AW3097" s="5" t="s">
        <v>251</v>
      </c>
      <c r="AX3097" s="5" t="s">
        <v>252</v>
      </c>
      <c r="AY3097" s="5" t="s">
        <v>253</v>
      </c>
      <c r="AZ3097" s="5" t="s">
        <v>240</v>
      </c>
      <c r="BA3097" s="5" t="s">
        <v>255</v>
      </c>
      <c r="BB3097" s="5" t="s">
        <v>731</v>
      </c>
      <c r="BD3097" s="5" t="s">
        <v>240</v>
      </c>
      <c r="BF3097" s="5" t="s">
        <v>732</v>
      </c>
      <c r="BG3097" s="6" t="s">
        <v>733</v>
      </c>
      <c r="BH3097" s="5" t="s">
        <v>734</v>
      </c>
      <c r="BI3097" s="5" t="s">
        <v>734</v>
      </c>
      <c r="BJ3097" s="5" t="s">
        <v>240</v>
      </c>
      <c r="BK3097" s="7">
        <f>1</f>
        <v>1</v>
      </c>
      <c r="BL3097" s="7">
        <f>1</f>
        <v>1</v>
      </c>
      <c r="BM3097" s="5" t="s">
        <v>258</v>
      </c>
      <c r="BN3097" s="5" t="s">
        <v>259</v>
      </c>
      <c r="BO3097" s="5" t="s">
        <v>240</v>
      </c>
      <c r="BP3097" s="5" t="s">
        <v>240</v>
      </c>
      <c r="BQ3097" s="5" t="s">
        <v>240</v>
      </c>
      <c r="BR3097" s="5" t="s">
        <v>240</v>
      </c>
      <c r="BS3097" s="5" t="s">
        <v>240</v>
      </c>
      <c r="BT3097" s="5" t="s">
        <v>240</v>
      </c>
      <c r="BU3097" s="5" t="s">
        <v>240</v>
      </c>
      <c r="BV3097" s="5" t="s">
        <v>240</v>
      </c>
      <c r="BW3097" s="6" t="s">
        <v>240</v>
      </c>
      <c r="BX3097" s="5" t="s">
        <v>240</v>
      </c>
      <c r="BY3097" s="5" t="s">
        <v>240</v>
      </c>
      <c r="BZ3097" s="5" t="s">
        <v>240</v>
      </c>
      <c r="CA3097" s="5" t="s">
        <v>259</v>
      </c>
      <c r="CB3097" s="5" t="s">
        <v>240</v>
      </c>
      <c r="CC3097" s="5" t="s">
        <v>240</v>
      </c>
      <c r="CD3097" s="5" t="s">
        <v>240</v>
      </c>
      <c r="CE3097" s="5" t="s">
        <v>240</v>
      </c>
      <c r="CF3097" s="5" t="s">
        <v>240</v>
      </c>
      <c r="CG3097" s="5" t="s">
        <v>304</v>
      </c>
      <c r="CH3097" s="5" t="s">
        <v>305</v>
      </c>
      <c r="CI3097" s="5" t="s">
        <v>240</v>
      </c>
      <c r="CK3097" s="5" t="s">
        <v>3681</v>
      </c>
      <c r="CL3097" s="6" t="s">
        <v>261</v>
      </c>
      <c r="CM3097" s="5" t="s">
        <v>262</v>
      </c>
      <c r="CN3097" s="5" t="s">
        <v>263</v>
      </c>
      <c r="CO3097" s="5" t="s">
        <v>264</v>
      </c>
      <c r="CP3097" s="5" t="s">
        <v>240</v>
      </c>
      <c r="CQ3097" s="5">
        <v>0</v>
      </c>
      <c r="CR3097" s="5" t="s">
        <v>735</v>
      </c>
      <c r="CS3097" s="5" t="s">
        <v>307</v>
      </c>
      <c r="CT3097" s="5" t="s">
        <v>307</v>
      </c>
      <c r="CU3097" s="5" t="s">
        <v>260</v>
      </c>
      <c r="CV3097" s="5" t="s">
        <v>612</v>
      </c>
      <c r="CW3097" s="8">
        <f>1</f>
        <v>1</v>
      </c>
      <c r="CX3097" s="7">
        <f>1</f>
        <v>1</v>
      </c>
      <c r="CY3097" s="7">
        <f>0</f>
        <v>0</v>
      </c>
      <c r="DA3097" s="7">
        <f>1</f>
        <v>1</v>
      </c>
      <c r="DB3097" s="7" t="s">
        <v>240</v>
      </c>
      <c r="DC3097" s="5" t="s">
        <v>240</v>
      </c>
      <c r="DD3097" s="5" t="s">
        <v>240</v>
      </c>
      <c r="DE3097" s="5" t="s">
        <v>240</v>
      </c>
      <c r="DF3097" s="5" t="s">
        <v>240</v>
      </c>
      <c r="DG3097" s="7">
        <f>0</f>
        <v>0</v>
      </c>
      <c r="DI3097" s="5" t="s">
        <v>240</v>
      </c>
      <c r="DJ3097" s="5" t="s">
        <v>240</v>
      </c>
      <c r="DK3097" s="5" t="s">
        <v>240</v>
      </c>
      <c r="DL3097" s="5" t="s">
        <v>240</v>
      </c>
      <c r="DM3097" s="5" t="s">
        <v>240</v>
      </c>
      <c r="DN3097" s="5" t="s">
        <v>240</v>
      </c>
      <c r="DO3097" s="7" t="s">
        <v>240</v>
      </c>
      <c r="DP3097" s="5" t="s">
        <v>240</v>
      </c>
      <c r="DQ3097" s="5" t="s">
        <v>240</v>
      </c>
      <c r="DR3097" s="5" t="s">
        <v>731</v>
      </c>
      <c r="DS3097" s="5" t="s">
        <v>731</v>
      </c>
      <c r="DT3097" s="5" t="s">
        <v>240</v>
      </c>
      <c r="DU3097" s="5" t="s">
        <v>240</v>
      </c>
      <c r="DV3097" s="5" t="s">
        <v>3683</v>
      </c>
      <c r="DW3097" s="5" t="s">
        <v>769</v>
      </c>
      <c r="DX3097" s="5" t="s">
        <v>240</v>
      </c>
      <c r="DY3097" s="5" t="s">
        <v>240</v>
      </c>
      <c r="DZ3097" s="5" t="s">
        <v>240</v>
      </c>
      <c r="EA3097" s="5" t="s">
        <v>240</v>
      </c>
      <c r="EB3097" s="5" t="s">
        <v>240</v>
      </c>
      <c r="EC3097" s="5" t="s">
        <v>240</v>
      </c>
      <c r="ED3097" s="5" t="s">
        <v>240</v>
      </c>
      <c r="EE3097" s="5" t="s">
        <v>240</v>
      </c>
      <c r="EF3097" s="5" t="s">
        <v>240</v>
      </c>
      <c r="EG3097" s="5" t="s">
        <v>240</v>
      </c>
      <c r="EH3097" s="5" t="s">
        <v>240</v>
      </c>
      <c r="EI3097" s="5" t="s">
        <v>240</v>
      </c>
      <c r="EJ3097" s="5" t="s">
        <v>240</v>
      </c>
      <c r="EK3097" s="5" t="s">
        <v>240</v>
      </c>
      <c r="EL3097" s="5" t="s">
        <v>240</v>
      </c>
      <c r="EM3097" s="5" t="s">
        <v>240</v>
      </c>
      <c r="EN3097" s="5" t="s">
        <v>240</v>
      </c>
      <c r="EO3097" s="5" t="s">
        <v>240</v>
      </c>
      <c r="EP3097" s="5" t="s">
        <v>240</v>
      </c>
      <c r="EQ3097" s="5" t="s">
        <v>240</v>
      </c>
      <c r="ER3097" s="5" t="s">
        <v>240</v>
      </c>
      <c r="ES3097" s="5" t="s">
        <v>240</v>
      </c>
      <c r="ET3097" s="5" t="s">
        <v>240</v>
      </c>
      <c r="EU3097" s="5" t="s">
        <v>240</v>
      </c>
      <c r="EV3097" s="5" t="s">
        <v>240</v>
      </c>
      <c r="EW3097" s="5" t="s">
        <v>240</v>
      </c>
      <c r="EX3097" s="5" t="s">
        <v>240</v>
      </c>
      <c r="EY3097" s="5" t="s">
        <v>240</v>
      </c>
      <c r="EZ3097" s="5" t="s">
        <v>240</v>
      </c>
      <c r="FA3097" s="5" t="s">
        <v>240</v>
      </c>
      <c r="FB3097" s="5" t="s">
        <v>240</v>
      </c>
      <c r="FC3097" s="5" t="s">
        <v>240</v>
      </c>
      <c r="FD3097" s="5" t="s">
        <v>240</v>
      </c>
      <c r="FE3097" s="5" t="s">
        <v>240</v>
      </c>
      <c r="FF3097" s="5" t="s">
        <v>240</v>
      </c>
      <c r="FG3097" s="5" t="s">
        <v>240</v>
      </c>
      <c r="FH3097" s="5" t="s">
        <v>240</v>
      </c>
      <c r="FI3097" s="5" t="s">
        <v>240</v>
      </c>
      <c r="FJ3097" s="5" t="s">
        <v>240</v>
      </c>
      <c r="FK3097" s="5" t="s">
        <v>240</v>
      </c>
      <c r="FL3097" s="5" t="s">
        <v>240</v>
      </c>
      <c r="FM3097" s="5" t="s">
        <v>240</v>
      </c>
      <c r="FN3097" s="5" t="s">
        <v>240</v>
      </c>
      <c r="FO3097" s="5" t="s">
        <v>240</v>
      </c>
      <c r="FP3097" s="5" t="s">
        <v>240</v>
      </c>
      <c r="FQ3097" s="5" t="s">
        <v>240</v>
      </c>
      <c r="FR3097" s="5" t="s">
        <v>240</v>
      </c>
      <c r="FS3097" s="5" t="s">
        <v>240</v>
      </c>
      <c r="FT3097" s="5" t="s">
        <v>240</v>
      </c>
      <c r="FU3097" s="5" t="s">
        <v>240</v>
      </c>
      <c r="FV3097" s="5" t="s">
        <v>240</v>
      </c>
      <c r="FW3097" s="5" t="s">
        <v>240</v>
      </c>
      <c r="FX3097" s="5" t="s">
        <v>240</v>
      </c>
      <c r="FY3097" s="5" t="s">
        <v>240</v>
      </c>
      <c r="FZ3097" s="5" t="s">
        <v>240</v>
      </c>
      <c r="GA3097" s="5" t="s">
        <v>240</v>
      </c>
      <c r="GB3097" s="5" t="s">
        <v>240</v>
      </c>
      <c r="GC3097" s="5" t="s">
        <v>240</v>
      </c>
      <c r="GD3097" s="5" t="s">
        <v>240</v>
      </c>
      <c r="GE3097" s="5" t="s">
        <v>240</v>
      </c>
      <c r="GF3097" s="5" t="s">
        <v>240</v>
      </c>
      <c r="GG3097" s="5" t="s">
        <v>240</v>
      </c>
      <c r="GH3097" s="5" t="s">
        <v>240</v>
      </c>
      <c r="GI3097" s="5" t="s">
        <v>240</v>
      </c>
      <c r="GJ3097" s="5" t="s">
        <v>240</v>
      </c>
      <c r="GK3097" s="5" t="s">
        <v>240</v>
      </c>
      <c r="GL3097" s="5" t="s">
        <v>240</v>
      </c>
      <c r="GM3097" s="5" t="s">
        <v>240</v>
      </c>
      <c r="GN3097" s="5" t="s">
        <v>240</v>
      </c>
      <c r="GO3097" s="5" t="s">
        <v>240</v>
      </c>
      <c r="GP3097" s="5" t="s">
        <v>240</v>
      </c>
      <c r="GQ3097" s="5" t="s">
        <v>240</v>
      </c>
      <c r="GR3097" s="5" t="s">
        <v>240</v>
      </c>
      <c r="GS3097" s="5" t="s">
        <v>240</v>
      </c>
      <c r="GT3097" s="5" t="s">
        <v>240</v>
      </c>
      <c r="GU3097" s="5" t="s">
        <v>240</v>
      </c>
      <c r="GV3097" s="5" t="s">
        <v>240</v>
      </c>
      <c r="GW3097" s="5" t="s">
        <v>240</v>
      </c>
      <c r="GX3097" s="5" t="s">
        <v>240</v>
      </c>
      <c r="GY3097" s="5" t="s">
        <v>240</v>
      </c>
      <c r="GZ3097" s="5" t="s">
        <v>240</v>
      </c>
      <c r="HA3097" s="5" t="s">
        <v>240</v>
      </c>
      <c r="HB3097" s="5" t="s">
        <v>240</v>
      </c>
      <c r="HC3097" s="5" t="s">
        <v>240</v>
      </c>
      <c r="HD3097" s="5" t="s">
        <v>240</v>
      </c>
      <c r="HE3097" s="5" t="s">
        <v>240</v>
      </c>
      <c r="HF3097" s="5" t="s">
        <v>240</v>
      </c>
      <c r="HG3097" s="5" t="s">
        <v>240</v>
      </c>
      <c r="HH3097" s="5" t="s">
        <v>240</v>
      </c>
      <c r="HI3097" s="5" t="s">
        <v>240</v>
      </c>
      <c r="HJ3097" s="5" t="s">
        <v>240</v>
      </c>
      <c r="HK3097" s="5" t="s">
        <v>240</v>
      </c>
      <c r="HL3097" s="5" t="s">
        <v>240</v>
      </c>
      <c r="HM3097" s="5" t="s">
        <v>240</v>
      </c>
      <c r="HN3097" s="5" t="s">
        <v>240</v>
      </c>
      <c r="HO3097" s="5" t="s">
        <v>312</v>
      </c>
      <c r="HP3097" s="5" t="s">
        <v>240</v>
      </c>
      <c r="HQ3097" s="5" t="s">
        <v>240</v>
      </c>
      <c r="HR3097" s="5" t="s">
        <v>240</v>
      </c>
      <c r="HS3097" s="5" t="s">
        <v>240</v>
      </c>
      <c r="HT3097" s="5" t="s">
        <v>240</v>
      </c>
      <c r="HU3097" s="5" t="s">
        <v>240</v>
      </c>
      <c r="HV3097" s="5" t="s">
        <v>240</v>
      </c>
      <c r="HW3097" s="5" t="s">
        <v>240</v>
      </c>
      <c r="HX3097" s="5" t="s">
        <v>240</v>
      </c>
      <c r="HY3097" s="5" t="s">
        <v>240</v>
      </c>
      <c r="HZ3097" s="5" t="s">
        <v>240</v>
      </c>
      <c r="IA3097" s="5" t="s">
        <v>240</v>
      </c>
      <c r="IB3097" s="5" t="s">
        <v>240</v>
      </c>
      <c r="IC3097" s="5" t="s">
        <v>240</v>
      </c>
      <c r="ID3097" s="5" t="s">
        <v>240</v>
      </c>
      <c r="IE3097" s="5" t="s">
        <v>240</v>
      </c>
      <c r="IF3097" s="5" t="s">
        <v>240</v>
      </c>
    </row>
    <row r="3098" spans="1:240" x14ac:dyDescent="0.4">
      <c r="A3098" s="5">
        <v>4802</v>
      </c>
      <c r="B3098" s="5">
        <v>1</v>
      </c>
      <c r="C3098" s="5">
        <v>1</v>
      </c>
      <c r="D3098" s="5" t="s">
        <v>810</v>
      </c>
      <c r="E3098" s="5" t="s">
        <v>245</v>
      </c>
      <c r="F3098" s="5" t="s">
        <v>254</v>
      </c>
      <c r="G3098" s="5" t="s">
        <v>240</v>
      </c>
      <c r="H3098" s="6" t="s">
        <v>4657</v>
      </c>
      <c r="I3098" s="5" t="s">
        <v>809</v>
      </c>
      <c r="J3098" s="8">
        <f>464</f>
        <v>464</v>
      </c>
      <c r="K3098" s="5" t="s">
        <v>308</v>
      </c>
      <c r="L3098" s="7">
        <f>1</f>
        <v>1</v>
      </c>
      <c r="M3098" s="7">
        <f>1</f>
        <v>1</v>
      </c>
      <c r="N3098" s="5" t="s">
        <v>242</v>
      </c>
      <c r="O3098" s="5">
        <v>1</v>
      </c>
      <c r="P3098" s="5" t="s">
        <v>294</v>
      </c>
      <c r="Q3098" s="5" t="s">
        <v>3678</v>
      </c>
      <c r="R3098" s="5" t="s">
        <v>240</v>
      </c>
      <c r="S3098" s="5" t="s">
        <v>240</v>
      </c>
      <c r="T3098" s="5" t="s">
        <v>243</v>
      </c>
      <c r="U3098" s="5" t="s">
        <v>244</v>
      </c>
      <c r="V3098" s="5" t="s">
        <v>240</v>
      </c>
      <c r="W3098" s="5" t="s">
        <v>240</v>
      </c>
      <c r="X3098" s="5" t="s">
        <v>240</v>
      </c>
      <c r="Y3098" s="5" t="s">
        <v>240</v>
      </c>
      <c r="Z3098" s="6" t="s">
        <v>298</v>
      </c>
      <c r="AA3098" s="6" t="s">
        <v>240</v>
      </c>
      <c r="AB3098" s="6" t="s">
        <v>240</v>
      </c>
      <c r="AC3098" s="5" t="s">
        <v>240</v>
      </c>
      <c r="AD3098" s="6" t="s">
        <v>240</v>
      </c>
      <c r="AE3098" s="6" t="s">
        <v>299</v>
      </c>
      <c r="AF3098" s="5" t="s">
        <v>248</v>
      </c>
      <c r="AG3098" s="5" t="s">
        <v>249</v>
      </c>
      <c r="AH3098" s="5" t="s">
        <v>240</v>
      </c>
      <c r="AI3098" s="5" t="s">
        <v>240</v>
      </c>
      <c r="AJ3098" s="5" t="s">
        <v>240</v>
      </c>
      <c r="AK3098" s="5" t="s">
        <v>240</v>
      </c>
      <c r="AL3098" s="5" t="s">
        <v>240</v>
      </c>
      <c r="AM3098" s="5" t="s">
        <v>240</v>
      </c>
      <c r="AN3098" s="5" t="s">
        <v>240</v>
      </c>
      <c r="AO3098" s="5" t="s">
        <v>240</v>
      </c>
      <c r="AP3098" s="6" t="s">
        <v>240</v>
      </c>
      <c r="AQ3098" s="6" t="s">
        <v>240</v>
      </c>
      <c r="AR3098" s="6" t="s">
        <v>240</v>
      </c>
      <c r="AS3098" s="6" t="s">
        <v>240</v>
      </c>
      <c r="AT3098" s="5" t="s">
        <v>240</v>
      </c>
      <c r="AU3098" s="5" t="s">
        <v>729</v>
      </c>
      <c r="AV3098" s="5" t="s">
        <v>729</v>
      </c>
      <c r="AW3098" s="5" t="s">
        <v>251</v>
      </c>
      <c r="AX3098" s="5" t="s">
        <v>252</v>
      </c>
      <c r="AY3098" s="5" t="s">
        <v>253</v>
      </c>
      <c r="AZ3098" s="5" t="s">
        <v>240</v>
      </c>
      <c r="BA3098" s="5" t="s">
        <v>255</v>
      </c>
      <c r="BB3098" s="5" t="s">
        <v>731</v>
      </c>
      <c r="BD3098" s="5" t="s">
        <v>240</v>
      </c>
      <c r="BF3098" s="5" t="s">
        <v>732</v>
      </c>
      <c r="BG3098" s="6" t="s">
        <v>733</v>
      </c>
      <c r="BH3098" s="5" t="s">
        <v>734</v>
      </c>
      <c r="BI3098" s="5" t="s">
        <v>734</v>
      </c>
      <c r="BJ3098" s="5" t="s">
        <v>240</v>
      </c>
      <c r="BK3098" s="7">
        <f>1</f>
        <v>1</v>
      </c>
      <c r="BL3098" s="7">
        <f>1</f>
        <v>1</v>
      </c>
      <c r="BM3098" s="5" t="s">
        <v>258</v>
      </c>
      <c r="BN3098" s="5" t="s">
        <v>259</v>
      </c>
      <c r="BO3098" s="5" t="s">
        <v>240</v>
      </c>
      <c r="BP3098" s="5" t="s">
        <v>240</v>
      </c>
      <c r="BQ3098" s="5" t="s">
        <v>240</v>
      </c>
      <c r="BR3098" s="5" t="s">
        <v>240</v>
      </c>
      <c r="BS3098" s="5" t="s">
        <v>240</v>
      </c>
      <c r="BT3098" s="5" t="s">
        <v>240</v>
      </c>
      <c r="BU3098" s="5" t="s">
        <v>240</v>
      </c>
      <c r="BV3098" s="5" t="s">
        <v>240</v>
      </c>
      <c r="BW3098" s="6" t="s">
        <v>240</v>
      </c>
      <c r="BX3098" s="5" t="s">
        <v>240</v>
      </c>
      <c r="BY3098" s="5" t="s">
        <v>240</v>
      </c>
      <c r="BZ3098" s="5" t="s">
        <v>240</v>
      </c>
      <c r="CA3098" s="5" t="s">
        <v>259</v>
      </c>
      <c r="CB3098" s="5" t="s">
        <v>240</v>
      </c>
      <c r="CC3098" s="5" t="s">
        <v>240</v>
      </c>
      <c r="CD3098" s="5" t="s">
        <v>240</v>
      </c>
      <c r="CE3098" s="5" t="s">
        <v>240</v>
      </c>
      <c r="CF3098" s="5" t="s">
        <v>240</v>
      </c>
      <c r="CG3098" s="5" t="s">
        <v>304</v>
      </c>
      <c r="CH3098" s="5" t="s">
        <v>305</v>
      </c>
      <c r="CI3098" s="5" t="s">
        <v>240</v>
      </c>
      <c r="CK3098" s="5" t="s">
        <v>3681</v>
      </c>
      <c r="CL3098" s="6" t="s">
        <v>261</v>
      </c>
      <c r="CM3098" s="5" t="s">
        <v>262</v>
      </c>
      <c r="CN3098" s="5" t="s">
        <v>263</v>
      </c>
      <c r="CO3098" s="5" t="s">
        <v>264</v>
      </c>
      <c r="CP3098" s="5" t="s">
        <v>240</v>
      </c>
      <c r="CQ3098" s="5">
        <v>0</v>
      </c>
      <c r="CR3098" s="5" t="s">
        <v>735</v>
      </c>
      <c r="CS3098" s="5" t="s">
        <v>307</v>
      </c>
      <c r="CT3098" s="5" t="s">
        <v>307</v>
      </c>
      <c r="CU3098" s="5" t="s">
        <v>260</v>
      </c>
      <c r="CV3098" s="5" t="s">
        <v>612</v>
      </c>
      <c r="CW3098" s="8">
        <f>1</f>
        <v>1</v>
      </c>
      <c r="CX3098" s="7">
        <f>1</f>
        <v>1</v>
      </c>
      <c r="CY3098" s="7">
        <f>0</f>
        <v>0</v>
      </c>
      <c r="DA3098" s="7">
        <f>1</f>
        <v>1</v>
      </c>
      <c r="DB3098" s="7" t="s">
        <v>240</v>
      </c>
      <c r="DC3098" s="5" t="s">
        <v>240</v>
      </c>
      <c r="DD3098" s="5" t="s">
        <v>240</v>
      </c>
      <c r="DE3098" s="5" t="s">
        <v>240</v>
      </c>
      <c r="DF3098" s="5" t="s">
        <v>240</v>
      </c>
      <c r="DG3098" s="7">
        <f>0</f>
        <v>0</v>
      </c>
      <c r="DI3098" s="5" t="s">
        <v>240</v>
      </c>
      <c r="DJ3098" s="5" t="s">
        <v>240</v>
      </c>
      <c r="DK3098" s="5" t="s">
        <v>240</v>
      </c>
      <c r="DL3098" s="5" t="s">
        <v>240</v>
      </c>
      <c r="DM3098" s="5" t="s">
        <v>240</v>
      </c>
      <c r="DN3098" s="5" t="s">
        <v>240</v>
      </c>
      <c r="DO3098" s="7" t="s">
        <v>240</v>
      </c>
      <c r="DP3098" s="5" t="s">
        <v>240</v>
      </c>
      <c r="DQ3098" s="5" t="s">
        <v>240</v>
      </c>
      <c r="DR3098" s="5" t="s">
        <v>731</v>
      </c>
      <c r="DS3098" s="5" t="s">
        <v>731</v>
      </c>
      <c r="DT3098" s="5" t="s">
        <v>240</v>
      </c>
      <c r="DU3098" s="5" t="s">
        <v>240</v>
      </c>
      <c r="DV3098" s="5" t="s">
        <v>3683</v>
      </c>
      <c r="DW3098" s="5" t="s">
        <v>629</v>
      </c>
      <c r="DX3098" s="5" t="s">
        <v>240</v>
      </c>
      <c r="DY3098" s="5" t="s">
        <v>240</v>
      </c>
      <c r="DZ3098" s="5" t="s">
        <v>240</v>
      </c>
      <c r="EA3098" s="5" t="s">
        <v>240</v>
      </c>
      <c r="EB3098" s="5" t="s">
        <v>240</v>
      </c>
      <c r="EC3098" s="5" t="s">
        <v>240</v>
      </c>
      <c r="ED3098" s="5" t="s">
        <v>240</v>
      </c>
      <c r="EE3098" s="5" t="s">
        <v>240</v>
      </c>
      <c r="EF3098" s="5" t="s">
        <v>240</v>
      </c>
      <c r="EG3098" s="5" t="s">
        <v>240</v>
      </c>
      <c r="EH3098" s="5" t="s">
        <v>240</v>
      </c>
      <c r="EI3098" s="5" t="s">
        <v>240</v>
      </c>
      <c r="EJ3098" s="5" t="s">
        <v>240</v>
      </c>
      <c r="EK3098" s="5" t="s">
        <v>240</v>
      </c>
      <c r="EL3098" s="5" t="s">
        <v>240</v>
      </c>
      <c r="EM3098" s="5" t="s">
        <v>240</v>
      </c>
      <c r="EN3098" s="5" t="s">
        <v>240</v>
      </c>
      <c r="EO3098" s="5" t="s">
        <v>240</v>
      </c>
      <c r="EP3098" s="5" t="s">
        <v>240</v>
      </c>
      <c r="EQ3098" s="5" t="s">
        <v>240</v>
      </c>
      <c r="ER3098" s="5" t="s">
        <v>240</v>
      </c>
      <c r="ES3098" s="5" t="s">
        <v>240</v>
      </c>
      <c r="ET3098" s="5" t="s">
        <v>240</v>
      </c>
      <c r="EU3098" s="5" t="s">
        <v>240</v>
      </c>
      <c r="EV3098" s="5" t="s">
        <v>240</v>
      </c>
      <c r="EW3098" s="5" t="s">
        <v>240</v>
      </c>
      <c r="EX3098" s="5" t="s">
        <v>240</v>
      </c>
      <c r="EY3098" s="5" t="s">
        <v>240</v>
      </c>
      <c r="EZ3098" s="5" t="s">
        <v>240</v>
      </c>
      <c r="FA3098" s="5" t="s">
        <v>240</v>
      </c>
      <c r="FB3098" s="5" t="s">
        <v>240</v>
      </c>
      <c r="FC3098" s="5" t="s">
        <v>240</v>
      </c>
      <c r="FD3098" s="5" t="s">
        <v>240</v>
      </c>
      <c r="FE3098" s="5" t="s">
        <v>240</v>
      </c>
      <c r="FF3098" s="5" t="s">
        <v>240</v>
      </c>
      <c r="FG3098" s="5" t="s">
        <v>240</v>
      </c>
      <c r="FH3098" s="5" t="s">
        <v>240</v>
      </c>
      <c r="FI3098" s="5" t="s">
        <v>240</v>
      </c>
      <c r="FJ3098" s="5" t="s">
        <v>240</v>
      </c>
      <c r="FK3098" s="5" t="s">
        <v>240</v>
      </c>
      <c r="FL3098" s="5" t="s">
        <v>240</v>
      </c>
      <c r="FM3098" s="5" t="s">
        <v>240</v>
      </c>
      <c r="FN3098" s="5" t="s">
        <v>240</v>
      </c>
      <c r="FO3098" s="5" t="s">
        <v>240</v>
      </c>
      <c r="FP3098" s="5" t="s">
        <v>240</v>
      </c>
      <c r="FQ3098" s="5" t="s">
        <v>240</v>
      </c>
      <c r="FR3098" s="5" t="s">
        <v>240</v>
      </c>
      <c r="FS3098" s="5" t="s">
        <v>240</v>
      </c>
      <c r="FT3098" s="5" t="s">
        <v>240</v>
      </c>
      <c r="FU3098" s="5" t="s">
        <v>240</v>
      </c>
      <c r="FV3098" s="5" t="s">
        <v>240</v>
      </c>
      <c r="FW3098" s="5" t="s">
        <v>240</v>
      </c>
      <c r="FX3098" s="5" t="s">
        <v>240</v>
      </c>
      <c r="FY3098" s="5" t="s">
        <v>240</v>
      </c>
      <c r="FZ3098" s="5" t="s">
        <v>240</v>
      </c>
      <c r="GA3098" s="5" t="s">
        <v>240</v>
      </c>
      <c r="GB3098" s="5" t="s">
        <v>240</v>
      </c>
      <c r="GC3098" s="5" t="s">
        <v>240</v>
      </c>
      <c r="GD3098" s="5" t="s">
        <v>240</v>
      </c>
      <c r="GE3098" s="5" t="s">
        <v>240</v>
      </c>
      <c r="GF3098" s="5" t="s">
        <v>240</v>
      </c>
      <c r="GG3098" s="5" t="s">
        <v>240</v>
      </c>
      <c r="GH3098" s="5" t="s">
        <v>240</v>
      </c>
      <c r="GI3098" s="5" t="s">
        <v>240</v>
      </c>
      <c r="GJ3098" s="5" t="s">
        <v>240</v>
      </c>
      <c r="GK3098" s="5" t="s">
        <v>240</v>
      </c>
      <c r="GL3098" s="5" t="s">
        <v>240</v>
      </c>
      <c r="GM3098" s="5" t="s">
        <v>240</v>
      </c>
      <c r="GN3098" s="5" t="s">
        <v>240</v>
      </c>
      <c r="GO3098" s="5" t="s">
        <v>240</v>
      </c>
      <c r="GP3098" s="5" t="s">
        <v>240</v>
      </c>
      <c r="GQ3098" s="5" t="s">
        <v>240</v>
      </c>
      <c r="GR3098" s="5" t="s">
        <v>240</v>
      </c>
      <c r="GS3098" s="5" t="s">
        <v>240</v>
      </c>
      <c r="GT3098" s="5" t="s">
        <v>240</v>
      </c>
      <c r="GU3098" s="5" t="s">
        <v>240</v>
      </c>
      <c r="GV3098" s="5" t="s">
        <v>240</v>
      </c>
      <c r="GW3098" s="5" t="s">
        <v>240</v>
      </c>
      <c r="GX3098" s="5" t="s">
        <v>240</v>
      </c>
      <c r="GY3098" s="5" t="s">
        <v>240</v>
      </c>
      <c r="GZ3098" s="5" t="s">
        <v>240</v>
      </c>
      <c r="HA3098" s="5" t="s">
        <v>240</v>
      </c>
      <c r="HB3098" s="5" t="s">
        <v>240</v>
      </c>
      <c r="HC3098" s="5" t="s">
        <v>240</v>
      </c>
      <c r="HD3098" s="5" t="s">
        <v>240</v>
      </c>
      <c r="HE3098" s="5" t="s">
        <v>240</v>
      </c>
      <c r="HF3098" s="5" t="s">
        <v>240</v>
      </c>
      <c r="HG3098" s="5" t="s">
        <v>240</v>
      </c>
      <c r="HH3098" s="5" t="s">
        <v>240</v>
      </c>
      <c r="HI3098" s="5" t="s">
        <v>240</v>
      </c>
      <c r="HJ3098" s="5" t="s">
        <v>240</v>
      </c>
      <c r="HK3098" s="5" t="s">
        <v>240</v>
      </c>
      <c r="HL3098" s="5" t="s">
        <v>240</v>
      </c>
      <c r="HM3098" s="5" t="s">
        <v>240</v>
      </c>
      <c r="HN3098" s="5" t="s">
        <v>240</v>
      </c>
      <c r="HO3098" s="5" t="s">
        <v>312</v>
      </c>
      <c r="HP3098" s="5" t="s">
        <v>240</v>
      </c>
      <c r="HQ3098" s="5" t="s">
        <v>240</v>
      </c>
      <c r="HR3098" s="5" t="s">
        <v>240</v>
      </c>
      <c r="HS3098" s="5" t="s">
        <v>240</v>
      </c>
      <c r="HT3098" s="5" t="s">
        <v>240</v>
      </c>
      <c r="HU3098" s="5" t="s">
        <v>240</v>
      </c>
      <c r="HV3098" s="5" t="s">
        <v>240</v>
      </c>
      <c r="HW3098" s="5" t="s">
        <v>240</v>
      </c>
      <c r="HX3098" s="5" t="s">
        <v>240</v>
      </c>
      <c r="HY3098" s="5" t="s">
        <v>240</v>
      </c>
      <c r="HZ3098" s="5" t="s">
        <v>240</v>
      </c>
      <c r="IA3098" s="5" t="s">
        <v>240</v>
      </c>
      <c r="IB3098" s="5" t="s">
        <v>240</v>
      </c>
      <c r="IC3098" s="5" t="s">
        <v>240</v>
      </c>
      <c r="ID3098" s="5" t="s">
        <v>240</v>
      </c>
      <c r="IE3098" s="5" t="s">
        <v>240</v>
      </c>
      <c r="IF3098" s="5" t="s">
        <v>240</v>
      </c>
    </row>
    <row r="3099" spans="1:240" x14ac:dyDescent="0.4">
      <c r="A3099" s="5">
        <v>4803</v>
      </c>
      <c r="B3099" s="5">
        <v>1</v>
      </c>
      <c r="C3099" s="5">
        <v>1</v>
      </c>
      <c r="D3099" s="5" t="s">
        <v>810</v>
      </c>
      <c r="E3099" s="5" t="s">
        <v>245</v>
      </c>
      <c r="F3099" s="5" t="s">
        <v>254</v>
      </c>
      <c r="G3099" s="5" t="s">
        <v>240</v>
      </c>
      <c r="H3099" s="6" t="s">
        <v>2349</v>
      </c>
      <c r="I3099" s="5" t="s">
        <v>809</v>
      </c>
      <c r="J3099" s="8">
        <f>677</f>
        <v>677</v>
      </c>
      <c r="K3099" s="5" t="s">
        <v>308</v>
      </c>
      <c r="L3099" s="7">
        <f>1</f>
        <v>1</v>
      </c>
      <c r="M3099" s="7">
        <f>1</f>
        <v>1</v>
      </c>
      <c r="N3099" s="5" t="s">
        <v>242</v>
      </c>
      <c r="O3099" s="5">
        <v>1</v>
      </c>
      <c r="P3099" s="5" t="s">
        <v>294</v>
      </c>
      <c r="Q3099" s="5" t="s">
        <v>3678</v>
      </c>
      <c r="R3099" s="5" t="s">
        <v>240</v>
      </c>
      <c r="S3099" s="5" t="s">
        <v>240</v>
      </c>
      <c r="T3099" s="5" t="s">
        <v>243</v>
      </c>
      <c r="U3099" s="5" t="s">
        <v>244</v>
      </c>
      <c r="V3099" s="5" t="s">
        <v>240</v>
      </c>
      <c r="W3099" s="5" t="s">
        <v>240</v>
      </c>
      <c r="X3099" s="5" t="s">
        <v>240</v>
      </c>
      <c r="Y3099" s="5" t="s">
        <v>240</v>
      </c>
      <c r="Z3099" s="6" t="s">
        <v>298</v>
      </c>
      <c r="AA3099" s="6" t="s">
        <v>240</v>
      </c>
      <c r="AB3099" s="6" t="s">
        <v>240</v>
      </c>
      <c r="AC3099" s="5" t="s">
        <v>240</v>
      </c>
      <c r="AD3099" s="6" t="s">
        <v>240</v>
      </c>
      <c r="AE3099" s="6" t="s">
        <v>299</v>
      </c>
      <c r="AF3099" s="5" t="s">
        <v>248</v>
      </c>
      <c r="AG3099" s="5" t="s">
        <v>249</v>
      </c>
      <c r="AH3099" s="5" t="s">
        <v>240</v>
      </c>
      <c r="AI3099" s="5" t="s">
        <v>240</v>
      </c>
      <c r="AJ3099" s="5" t="s">
        <v>240</v>
      </c>
      <c r="AK3099" s="5" t="s">
        <v>240</v>
      </c>
      <c r="AL3099" s="5" t="s">
        <v>240</v>
      </c>
      <c r="AM3099" s="5" t="s">
        <v>240</v>
      </c>
      <c r="AN3099" s="5" t="s">
        <v>240</v>
      </c>
      <c r="AO3099" s="5" t="s">
        <v>240</v>
      </c>
      <c r="AP3099" s="6" t="s">
        <v>240</v>
      </c>
      <c r="AQ3099" s="6" t="s">
        <v>240</v>
      </c>
      <c r="AR3099" s="6" t="s">
        <v>240</v>
      </c>
      <c r="AS3099" s="6" t="s">
        <v>240</v>
      </c>
      <c r="AT3099" s="5" t="s">
        <v>240</v>
      </c>
      <c r="AU3099" s="5" t="s">
        <v>729</v>
      </c>
      <c r="AV3099" s="5" t="s">
        <v>729</v>
      </c>
      <c r="AW3099" s="5" t="s">
        <v>251</v>
      </c>
      <c r="AX3099" s="5" t="s">
        <v>252</v>
      </c>
      <c r="AY3099" s="5" t="s">
        <v>253</v>
      </c>
      <c r="AZ3099" s="5" t="s">
        <v>240</v>
      </c>
      <c r="BA3099" s="5" t="s">
        <v>255</v>
      </c>
      <c r="BB3099" s="5" t="s">
        <v>731</v>
      </c>
      <c r="BD3099" s="5" t="s">
        <v>240</v>
      </c>
      <c r="BF3099" s="5" t="s">
        <v>732</v>
      </c>
      <c r="BG3099" s="6" t="s">
        <v>733</v>
      </c>
      <c r="BH3099" s="5" t="s">
        <v>734</v>
      </c>
      <c r="BI3099" s="5" t="s">
        <v>734</v>
      </c>
      <c r="BJ3099" s="5" t="s">
        <v>240</v>
      </c>
      <c r="BK3099" s="7">
        <f>1</f>
        <v>1</v>
      </c>
      <c r="BL3099" s="7">
        <f>1</f>
        <v>1</v>
      </c>
      <c r="BM3099" s="5" t="s">
        <v>258</v>
      </c>
      <c r="BN3099" s="5" t="s">
        <v>259</v>
      </c>
      <c r="BO3099" s="5" t="s">
        <v>240</v>
      </c>
      <c r="BP3099" s="5" t="s">
        <v>240</v>
      </c>
      <c r="BQ3099" s="5" t="s">
        <v>240</v>
      </c>
      <c r="BR3099" s="5" t="s">
        <v>240</v>
      </c>
      <c r="BS3099" s="5" t="s">
        <v>240</v>
      </c>
      <c r="BT3099" s="5" t="s">
        <v>240</v>
      </c>
      <c r="BU3099" s="5" t="s">
        <v>240</v>
      </c>
      <c r="BV3099" s="5" t="s">
        <v>240</v>
      </c>
      <c r="BW3099" s="6" t="s">
        <v>240</v>
      </c>
      <c r="BX3099" s="5" t="s">
        <v>240</v>
      </c>
      <c r="BY3099" s="5" t="s">
        <v>240</v>
      </c>
      <c r="BZ3099" s="5" t="s">
        <v>240</v>
      </c>
      <c r="CA3099" s="5" t="s">
        <v>259</v>
      </c>
      <c r="CB3099" s="5" t="s">
        <v>240</v>
      </c>
      <c r="CC3099" s="5" t="s">
        <v>240</v>
      </c>
      <c r="CD3099" s="5" t="s">
        <v>240</v>
      </c>
      <c r="CE3099" s="5" t="s">
        <v>240</v>
      </c>
      <c r="CF3099" s="5" t="s">
        <v>240</v>
      </c>
      <c r="CG3099" s="5" t="s">
        <v>304</v>
      </c>
      <c r="CH3099" s="5" t="s">
        <v>305</v>
      </c>
      <c r="CI3099" s="5" t="s">
        <v>240</v>
      </c>
      <c r="CK3099" s="5" t="s">
        <v>3681</v>
      </c>
      <c r="CL3099" s="6" t="s">
        <v>261</v>
      </c>
      <c r="CM3099" s="5" t="s">
        <v>262</v>
      </c>
      <c r="CN3099" s="5" t="s">
        <v>263</v>
      </c>
      <c r="CO3099" s="5" t="s">
        <v>264</v>
      </c>
      <c r="CP3099" s="5" t="s">
        <v>240</v>
      </c>
      <c r="CQ3099" s="5">
        <v>0</v>
      </c>
      <c r="CR3099" s="5" t="s">
        <v>735</v>
      </c>
      <c r="CS3099" s="5" t="s">
        <v>307</v>
      </c>
      <c r="CT3099" s="5" t="s">
        <v>307</v>
      </c>
      <c r="CU3099" s="5" t="s">
        <v>260</v>
      </c>
      <c r="CV3099" s="5" t="s">
        <v>612</v>
      </c>
      <c r="CW3099" s="8">
        <f>1</f>
        <v>1</v>
      </c>
      <c r="CX3099" s="7">
        <f>1</f>
        <v>1</v>
      </c>
      <c r="CY3099" s="7">
        <f>0</f>
        <v>0</v>
      </c>
      <c r="DA3099" s="7">
        <f>1</f>
        <v>1</v>
      </c>
      <c r="DB3099" s="7" t="s">
        <v>240</v>
      </c>
      <c r="DC3099" s="5" t="s">
        <v>240</v>
      </c>
      <c r="DD3099" s="5" t="s">
        <v>240</v>
      </c>
      <c r="DE3099" s="5" t="s">
        <v>240</v>
      </c>
      <c r="DF3099" s="5" t="s">
        <v>240</v>
      </c>
      <c r="DG3099" s="7">
        <f>0</f>
        <v>0</v>
      </c>
      <c r="DI3099" s="5" t="s">
        <v>240</v>
      </c>
      <c r="DJ3099" s="5" t="s">
        <v>240</v>
      </c>
      <c r="DK3099" s="5" t="s">
        <v>240</v>
      </c>
      <c r="DL3099" s="5" t="s">
        <v>240</v>
      </c>
      <c r="DM3099" s="5" t="s">
        <v>240</v>
      </c>
      <c r="DN3099" s="5" t="s">
        <v>240</v>
      </c>
      <c r="DO3099" s="7" t="s">
        <v>240</v>
      </c>
      <c r="DP3099" s="5" t="s">
        <v>240</v>
      </c>
      <c r="DQ3099" s="5" t="s">
        <v>240</v>
      </c>
      <c r="DR3099" s="5" t="s">
        <v>731</v>
      </c>
      <c r="DS3099" s="5" t="s">
        <v>731</v>
      </c>
      <c r="DT3099" s="5" t="s">
        <v>240</v>
      </c>
      <c r="DU3099" s="5" t="s">
        <v>240</v>
      </c>
      <c r="DV3099" s="5" t="s">
        <v>3683</v>
      </c>
      <c r="DW3099" s="5" t="s">
        <v>1151</v>
      </c>
      <c r="DX3099" s="5" t="s">
        <v>240</v>
      </c>
      <c r="DY3099" s="5" t="s">
        <v>240</v>
      </c>
      <c r="DZ3099" s="5" t="s">
        <v>240</v>
      </c>
      <c r="EA3099" s="5" t="s">
        <v>240</v>
      </c>
      <c r="EB3099" s="5" t="s">
        <v>240</v>
      </c>
      <c r="EC3099" s="5" t="s">
        <v>240</v>
      </c>
      <c r="ED3099" s="5" t="s">
        <v>240</v>
      </c>
      <c r="EE3099" s="5" t="s">
        <v>240</v>
      </c>
      <c r="EF3099" s="5" t="s">
        <v>240</v>
      </c>
      <c r="EG3099" s="5" t="s">
        <v>240</v>
      </c>
      <c r="EH3099" s="5" t="s">
        <v>240</v>
      </c>
      <c r="EI3099" s="5" t="s">
        <v>240</v>
      </c>
      <c r="EJ3099" s="5" t="s">
        <v>240</v>
      </c>
      <c r="EK3099" s="5" t="s">
        <v>240</v>
      </c>
      <c r="EL3099" s="5" t="s">
        <v>240</v>
      </c>
      <c r="EM3099" s="5" t="s">
        <v>240</v>
      </c>
      <c r="EN3099" s="5" t="s">
        <v>240</v>
      </c>
      <c r="EO3099" s="5" t="s">
        <v>240</v>
      </c>
      <c r="EP3099" s="5" t="s">
        <v>240</v>
      </c>
      <c r="EQ3099" s="5" t="s">
        <v>240</v>
      </c>
      <c r="ER3099" s="5" t="s">
        <v>240</v>
      </c>
      <c r="ES3099" s="5" t="s">
        <v>240</v>
      </c>
      <c r="ET3099" s="5" t="s">
        <v>240</v>
      </c>
      <c r="EU3099" s="5" t="s">
        <v>240</v>
      </c>
      <c r="EV3099" s="5" t="s">
        <v>240</v>
      </c>
      <c r="EW3099" s="5" t="s">
        <v>240</v>
      </c>
      <c r="EX3099" s="5" t="s">
        <v>240</v>
      </c>
      <c r="EY3099" s="5" t="s">
        <v>240</v>
      </c>
      <c r="EZ3099" s="5" t="s">
        <v>240</v>
      </c>
      <c r="FA3099" s="5" t="s">
        <v>240</v>
      </c>
      <c r="FB3099" s="5" t="s">
        <v>240</v>
      </c>
      <c r="FC3099" s="5" t="s">
        <v>240</v>
      </c>
      <c r="FD3099" s="5" t="s">
        <v>240</v>
      </c>
      <c r="FE3099" s="5" t="s">
        <v>240</v>
      </c>
      <c r="FF3099" s="5" t="s">
        <v>240</v>
      </c>
      <c r="FG3099" s="5" t="s">
        <v>240</v>
      </c>
      <c r="FH3099" s="5" t="s">
        <v>240</v>
      </c>
      <c r="FI3099" s="5" t="s">
        <v>240</v>
      </c>
      <c r="FJ3099" s="5" t="s">
        <v>240</v>
      </c>
      <c r="FK3099" s="5" t="s">
        <v>240</v>
      </c>
      <c r="FL3099" s="5" t="s">
        <v>240</v>
      </c>
      <c r="FM3099" s="5" t="s">
        <v>240</v>
      </c>
      <c r="FN3099" s="5" t="s">
        <v>240</v>
      </c>
      <c r="FO3099" s="5" t="s">
        <v>240</v>
      </c>
      <c r="FP3099" s="5" t="s">
        <v>240</v>
      </c>
      <c r="FQ3099" s="5" t="s">
        <v>240</v>
      </c>
      <c r="FR3099" s="5" t="s">
        <v>240</v>
      </c>
      <c r="FS3099" s="5" t="s">
        <v>240</v>
      </c>
      <c r="FT3099" s="5" t="s">
        <v>240</v>
      </c>
      <c r="FU3099" s="5" t="s">
        <v>240</v>
      </c>
      <c r="FV3099" s="5" t="s">
        <v>240</v>
      </c>
      <c r="FW3099" s="5" t="s">
        <v>240</v>
      </c>
      <c r="FX3099" s="5" t="s">
        <v>240</v>
      </c>
      <c r="FY3099" s="5" t="s">
        <v>240</v>
      </c>
      <c r="FZ3099" s="5" t="s">
        <v>240</v>
      </c>
      <c r="GA3099" s="5" t="s">
        <v>240</v>
      </c>
      <c r="GB3099" s="5" t="s">
        <v>240</v>
      </c>
      <c r="GC3099" s="5" t="s">
        <v>240</v>
      </c>
      <c r="GD3099" s="5" t="s">
        <v>240</v>
      </c>
      <c r="GE3099" s="5" t="s">
        <v>240</v>
      </c>
      <c r="GF3099" s="5" t="s">
        <v>240</v>
      </c>
      <c r="GG3099" s="5" t="s">
        <v>240</v>
      </c>
      <c r="GH3099" s="5" t="s">
        <v>240</v>
      </c>
      <c r="GI3099" s="5" t="s">
        <v>240</v>
      </c>
      <c r="GJ3099" s="5" t="s">
        <v>240</v>
      </c>
      <c r="GK3099" s="5" t="s">
        <v>240</v>
      </c>
      <c r="GL3099" s="5" t="s">
        <v>240</v>
      </c>
      <c r="GM3099" s="5" t="s">
        <v>240</v>
      </c>
      <c r="GN3099" s="5" t="s">
        <v>240</v>
      </c>
      <c r="GO3099" s="5" t="s">
        <v>240</v>
      </c>
      <c r="GP3099" s="5" t="s">
        <v>240</v>
      </c>
      <c r="GQ3099" s="5" t="s">
        <v>240</v>
      </c>
      <c r="GR3099" s="5" t="s">
        <v>240</v>
      </c>
      <c r="GS3099" s="5" t="s">
        <v>240</v>
      </c>
      <c r="GT3099" s="5" t="s">
        <v>240</v>
      </c>
      <c r="GU3099" s="5" t="s">
        <v>240</v>
      </c>
      <c r="GV3099" s="5" t="s">
        <v>240</v>
      </c>
      <c r="GW3099" s="5" t="s">
        <v>240</v>
      </c>
      <c r="GX3099" s="5" t="s">
        <v>240</v>
      </c>
      <c r="GY3099" s="5" t="s">
        <v>240</v>
      </c>
      <c r="GZ3099" s="5" t="s">
        <v>240</v>
      </c>
      <c r="HA3099" s="5" t="s">
        <v>240</v>
      </c>
      <c r="HB3099" s="5" t="s">
        <v>240</v>
      </c>
      <c r="HC3099" s="5" t="s">
        <v>240</v>
      </c>
      <c r="HD3099" s="5" t="s">
        <v>240</v>
      </c>
      <c r="HE3099" s="5" t="s">
        <v>240</v>
      </c>
      <c r="HF3099" s="5" t="s">
        <v>240</v>
      </c>
      <c r="HG3099" s="5" t="s">
        <v>240</v>
      </c>
      <c r="HH3099" s="5" t="s">
        <v>240</v>
      </c>
      <c r="HI3099" s="5" t="s">
        <v>240</v>
      </c>
      <c r="HJ3099" s="5" t="s">
        <v>240</v>
      </c>
      <c r="HK3099" s="5" t="s">
        <v>240</v>
      </c>
      <c r="HL3099" s="5" t="s">
        <v>240</v>
      </c>
      <c r="HM3099" s="5" t="s">
        <v>240</v>
      </c>
      <c r="HN3099" s="5" t="s">
        <v>240</v>
      </c>
      <c r="HO3099" s="5" t="s">
        <v>312</v>
      </c>
      <c r="HP3099" s="5" t="s">
        <v>240</v>
      </c>
      <c r="HQ3099" s="5" t="s">
        <v>240</v>
      </c>
      <c r="HR3099" s="5" t="s">
        <v>240</v>
      </c>
      <c r="HS3099" s="5" t="s">
        <v>240</v>
      </c>
      <c r="HT3099" s="5" t="s">
        <v>240</v>
      </c>
      <c r="HU3099" s="5" t="s">
        <v>240</v>
      </c>
      <c r="HV3099" s="5" t="s">
        <v>240</v>
      </c>
      <c r="HW3099" s="5" t="s">
        <v>240</v>
      </c>
      <c r="HX3099" s="5" t="s">
        <v>240</v>
      </c>
      <c r="HY3099" s="5" t="s">
        <v>240</v>
      </c>
      <c r="HZ3099" s="5" t="s">
        <v>240</v>
      </c>
      <c r="IA3099" s="5" t="s">
        <v>240</v>
      </c>
      <c r="IB3099" s="5" t="s">
        <v>240</v>
      </c>
      <c r="IC3099" s="5" t="s">
        <v>240</v>
      </c>
      <c r="ID3099" s="5" t="s">
        <v>240</v>
      </c>
      <c r="IE3099" s="5" t="s">
        <v>240</v>
      </c>
      <c r="IF3099" s="5" t="s">
        <v>240</v>
      </c>
    </row>
    <row r="3100" spans="1:240" x14ac:dyDescent="0.4">
      <c r="A3100" s="5">
        <v>4804</v>
      </c>
      <c r="B3100" s="5">
        <v>1</v>
      </c>
      <c r="C3100" s="5">
        <v>1</v>
      </c>
      <c r="D3100" s="5" t="s">
        <v>810</v>
      </c>
      <c r="E3100" s="5" t="s">
        <v>245</v>
      </c>
      <c r="F3100" s="5" t="s">
        <v>254</v>
      </c>
      <c r="G3100" s="5" t="s">
        <v>240</v>
      </c>
      <c r="H3100" s="6" t="s">
        <v>2348</v>
      </c>
      <c r="I3100" s="5" t="s">
        <v>809</v>
      </c>
      <c r="J3100" s="8">
        <f>80</f>
        <v>80</v>
      </c>
      <c r="K3100" s="5" t="s">
        <v>308</v>
      </c>
      <c r="L3100" s="7">
        <f>1</f>
        <v>1</v>
      </c>
      <c r="M3100" s="7">
        <f>1</f>
        <v>1</v>
      </c>
      <c r="N3100" s="5" t="s">
        <v>242</v>
      </c>
      <c r="O3100" s="5">
        <v>1</v>
      </c>
      <c r="P3100" s="5" t="s">
        <v>294</v>
      </c>
      <c r="Q3100" s="5" t="s">
        <v>3678</v>
      </c>
      <c r="R3100" s="5" t="s">
        <v>240</v>
      </c>
      <c r="S3100" s="5" t="s">
        <v>240</v>
      </c>
      <c r="T3100" s="5" t="s">
        <v>243</v>
      </c>
      <c r="U3100" s="5" t="s">
        <v>244</v>
      </c>
      <c r="V3100" s="5" t="s">
        <v>240</v>
      </c>
      <c r="W3100" s="5" t="s">
        <v>240</v>
      </c>
      <c r="X3100" s="5" t="s">
        <v>240</v>
      </c>
      <c r="Y3100" s="5" t="s">
        <v>240</v>
      </c>
      <c r="Z3100" s="6" t="s">
        <v>298</v>
      </c>
      <c r="AA3100" s="6" t="s">
        <v>240</v>
      </c>
      <c r="AB3100" s="6" t="s">
        <v>240</v>
      </c>
      <c r="AC3100" s="5" t="s">
        <v>240</v>
      </c>
      <c r="AD3100" s="6" t="s">
        <v>240</v>
      </c>
      <c r="AE3100" s="6" t="s">
        <v>299</v>
      </c>
      <c r="AF3100" s="5" t="s">
        <v>248</v>
      </c>
      <c r="AG3100" s="5" t="s">
        <v>249</v>
      </c>
      <c r="AH3100" s="5" t="s">
        <v>240</v>
      </c>
      <c r="AI3100" s="5" t="s">
        <v>240</v>
      </c>
      <c r="AJ3100" s="5" t="s">
        <v>240</v>
      </c>
      <c r="AK3100" s="5" t="s">
        <v>240</v>
      </c>
      <c r="AL3100" s="5" t="s">
        <v>240</v>
      </c>
      <c r="AM3100" s="5" t="s">
        <v>240</v>
      </c>
      <c r="AN3100" s="5" t="s">
        <v>240</v>
      </c>
      <c r="AO3100" s="5" t="s">
        <v>240</v>
      </c>
      <c r="AP3100" s="6" t="s">
        <v>240</v>
      </c>
      <c r="AQ3100" s="6" t="s">
        <v>240</v>
      </c>
      <c r="AR3100" s="6" t="s">
        <v>240</v>
      </c>
      <c r="AS3100" s="6" t="s">
        <v>240</v>
      </c>
      <c r="AT3100" s="5" t="s">
        <v>240</v>
      </c>
      <c r="AU3100" s="5" t="s">
        <v>729</v>
      </c>
      <c r="AV3100" s="5" t="s">
        <v>729</v>
      </c>
      <c r="AW3100" s="5" t="s">
        <v>251</v>
      </c>
      <c r="AX3100" s="5" t="s">
        <v>252</v>
      </c>
      <c r="AY3100" s="5" t="s">
        <v>253</v>
      </c>
      <c r="AZ3100" s="5" t="s">
        <v>240</v>
      </c>
      <c r="BA3100" s="5" t="s">
        <v>255</v>
      </c>
      <c r="BB3100" s="5" t="s">
        <v>731</v>
      </c>
      <c r="BD3100" s="5" t="s">
        <v>240</v>
      </c>
      <c r="BF3100" s="5" t="s">
        <v>732</v>
      </c>
      <c r="BG3100" s="6" t="s">
        <v>733</v>
      </c>
      <c r="BH3100" s="5" t="s">
        <v>734</v>
      </c>
      <c r="BI3100" s="5" t="s">
        <v>734</v>
      </c>
      <c r="BJ3100" s="5" t="s">
        <v>240</v>
      </c>
      <c r="BK3100" s="7">
        <f>1</f>
        <v>1</v>
      </c>
      <c r="BL3100" s="7">
        <f>1</f>
        <v>1</v>
      </c>
      <c r="BM3100" s="5" t="s">
        <v>258</v>
      </c>
      <c r="BN3100" s="5" t="s">
        <v>259</v>
      </c>
      <c r="BO3100" s="5" t="s">
        <v>240</v>
      </c>
      <c r="BP3100" s="5" t="s">
        <v>240</v>
      </c>
      <c r="BQ3100" s="5" t="s">
        <v>240</v>
      </c>
      <c r="BR3100" s="5" t="s">
        <v>240</v>
      </c>
      <c r="BS3100" s="5" t="s">
        <v>240</v>
      </c>
      <c r="BT3100" s="5" t="s">
        <v>240</v>
      </c>
      <c r="BU3100" s="5" t="s">
        <v>240</v>
      </c>
      <c r="BV3100" s="5" t="s">
        <v>240</v>
      </c>
      <c r="BW3100" s="6" t="s">
        <v>240</v>
      </c>
      <c r="BX3100" s="5" t="s">
        <v>240</v>
      </c>
      <c r="BY3100" s="5" t="s">
        <v>240</v>
      </c>
      <c r="BZ3100" s="5" t="s">
        <v>240</v>
      </c>
      <c r="CA3100" s="5" t="s">
        <v>259</v>
      </c>
      <c r="CB3100" s="5" t="s">
        <v>240</v>
      </c>
      <c r="CC3100" s="5" t="s">
        <v>240</v>
      </c>
      <c r="CD3100" s="5" t="s">
        <v>240</v>
      </c>
      <c r="CE3100" s="5" t="s">
        <v>240</v>
      </c>
      <c r="CF3100" s="5" t="s">
        <v>240</v>
      </c>
      <c r="CG3100" s="5" t="s">
        <v>304</v>
      </c>
      <c r="CH3100" s="5" t="s">
        <v>305</v>
      </c>
      <c r="CI3100" s="5" t="s">
        <v>240</v>
      </c>
      <c r="CK3100" s="5" t="s">
        <v>3681</v>
      </c>
      <c r="CL3100" s="6" t="s">
        <v>261</v>
      </c>
      <c r="CM3100" s="5" t="s">
        <v>262</v>
      </c>
      <c r="CN3100" s="5" t="s">
        <v>263</v>
      </c>
      <c r="CO3100" s="5" t="s">
        <v>264</v>
      </c>
      <c r="CP3100" s="5" t="s">
        <v>240</v>
      </c>
      <c r="CQ3100" s="5">
        <v>0</v>
      </c>
      <c r="CR3100" s="5" t="s">
        <v>735</v>
      </c>
      <c r="CS3100" s="5" t="s">
        <v>307</v>
      </c>
      <c r="CT3100" s="5" t="s">
        <v>307</v>
      </c>
      <c r="CU3100" s="5" t="s">
        <v>260</v>
      </c>
      <c r="CV3100" s="5" t="s">
        <v>612</v>
      </c>
      <c r="CW3100" s="8">
        <f>1</f>
        <v>1</v>
      </c>
      <c r="CX3100" s="7">
        <f>1</f>
        <v>1</v>
      </c>
      <c r="CY3100" s="7">
        <f>0</f>
        <v>0</v>
      </c>
      <c r="DA3100" s="7">
        <f>1</f>
        <v>1</v>
      </c>
      <c r="DB3100" s="7" t="s">
        <v>240</v>
      </c>
      <c r="DC3100" s="5" t="s">
        <v>240</v>
      </c>
      <c r="DD3100" s="5" t="s">
        <v>240</v>
      </c>
      <c r="DE3100" s="5" t="s">
        <v>240</v>
      </c>
      <c r="DF3100" s="5" t="s">
        <v>240</v>
      </c>
      <c r="DG3100" s="7">
        <f>0</f>
        <v>0</v>
      </c>
      <c r="DI3100" s="5" t="s">
        <v>240</v>
      </c>
      <c r="DJ3100" s="5" t="s">
        <v>240</v>
      </c>
      <c r="DK3100" s="5" t="s">
        <v>240</v>
      </c>
      <c r="DL3100" s="5" t="s">
        <v>240</v>
      </c>
      <c r="DM3100" s="5" t="s">
        <v>240</v>
      </c>
      <c r="DN3100" s="5" t="s">
        <v>240</v>
      </c>
      <c r="DO3100" s="7" t="s">
        <v>240</v>
      </c>
      <c r="DP3100" s="5" t="s">
        <v>240</v>
      </c>
      <c r="DQ3100" s="5" t="s">
        <v>240</v>
      </c>
      <c r="DR3100" s="5" t="s">
        <v>731</v>
      </c>
      <c r="DS3100" s="5" t="s">
        <v>731</v>
      </c>
      <c r="DT3100" s="5" t="s">
        <v>240</v>
      </c>
      <c r="DU3100" s="5" t="s">
        <v>240</v>
      </c>
      <c r="DV3100" s="5" t="s">
        <v>3683</v>
      </c>
      <c r="DW3100" s="5" t="s">
        <v>758</v>
      </c>
      <c r="DX3100" s="5" t="s">
        <v>240</v>
      </c>
      <c r="DY3100" s="5" t="s">
        <v>240</v>
      </c>
      <c r="DZ3100" s="5" t="s">
        <v>240</v>
      </c>
      <c r="EA3100" s="5" t="s">
        <v>240</v>
      </c>
      <c r="EB3100" s="5" t="s">
        <v>240</v>
      </c>
      <c r="EC3100" s="5" t="s">
        <v>240</v>
      </c>
      <c r="ED3100" s="5" t="s">
        <v>240</v>
      </c>
      <c r="EE3100" s="5" t="s">
        <v>240</v>
      </c>
      <c r="EF3100" s="5" t="s">
        <v>240</v>
      </c>
      <c r="EG3100" s="5" t="s">
        <v>240</v>
      </c>
      <c r="EH3100" s="5" t="s">
        <v>240</v>
      </c>
      <c r="EI3100" s="5" t="s">
        <v>240</v>
      </c>
      <c r="EJ3100" s="5" t="s">
        <v>240</v>
      </c>
      <c r="EK3100" s="5" t="s">
        <v>240</v>
      </c>
      <c r="EL3100" s="5" t="s">
        <v>240</v>
      </c>
      <c r="EM3100" s="5" t="s">
        <v>240</v>
      </c>
      <c r="EN3100" s="5" t="s">
        <v>240</v>
      </c>
      <c r="EO3100" s="5" t="s">
        <v>240</v>
      </c>
      <c r="EP3100" s="5" t="s">
        <v>240</v>
      </c>
      <c r="EQ3100" s="5" t="s">
        <v>240</v>
      </c>
      <c r="ER3100" s="5" t="s">
        <v>240</v>
      </c>
      <c r="ES3100" s="5" t="s">
        <v>240</v>
      </c>
      <c r="ET3100" s="5" t="s">
        <v>240</v>
      </c>
      <c r="EU3100" s="5" t="s">
        <v>240</v>
      </c>
      <c r="EV3100" s="5" t="s">
        <v>240</v>
      </c>
      <c r="EW3100" s="5" t="s">
        <v>240</v>
      </c>
      <c r="EX3100" s="5" t="s">
        <v>240</v>
      </c>
      <c r="EY3100" s="5" t="s">
        <v>240</v>
      </c>
      <c r="EZ3100" s="5" t="s">
        <v>240</v>
      </c>
      <c r="FA3100" s="5" t="s">
        <v>240</v>
      </c>
      <c r="FB3100" s="5" t="s">
        <v>240</v>
      </c>
      <c r="FC3100" s="5" t="s">
        <v>240</v>
      </c>
      <c r="FD3100" s="5" t="s">
        <v>240</v>
      </c>
      <c r="FE3100" s="5" t="s">
        <v>240</v>
      </c>
      <c r="FF3100" s="5" t="s">
        <v>240</v>
      </c>
      <c r="FG3100" s="5" t="s">
        <v>240</v>
      </c>
      <c r="FH3100" s="5" t="s">
        <v>240</v>
      </c>
      <c r="FI3100" s="5" t="s">
        <v>240</v>
      </c>
      <c r="FJ3100" s="5" t="s">
        <v>240</v>
      </c>
      <c r="FK3100" s="5" t="s">
        <v>240</v>
      </c>
      <c r="FL3100" s="5" t="s">
        <v>240</v>
      </c>
      <c r="FM3100" s="5" t="s">
        <v>240</v>
      </c>
      <c r="FN3100" s="5" t="s">
        <v>240</v>
      </c>
      <c r="FO3100" s="5" t="s">
        <v>240</v>
      </c>
      <c r="FP3100" s="5" t="s">
        <v>240</v>
      </c>
      <c r="FQ3100" s="5" t="s">
        <v>240</v>
      </c>
      <c r="FR3100" s="5" t="s">
        <v>240</v>
      </c>
      <c r="FS3100" s="5" t="s">
        <v>240</v>
      </c>
      <c r="FT3100" s="5" t="s">
        <v>240</v>
      </c>
      <c r="FU3100" s="5" t="s">
        <v>240</v>
      </c>
      <c r="FV3100" s="5" t="s">
        <v>240</v>
      </c>
      <c r="FW3100" s="5" t="s">
        <v>240</v>
      </c>
      <c r="FX3100" s="5" t="s">
        <v>240</v>
      </c>
      <c r="FY3100" s="5" t="s">
        <v>240</v>
      </c>
      <c r="FZ3100" s="5" t="s">
        <v>240</v>
      </c>
      <c r="GA3100" s="5" t="s">
        <v>240</v>
      </c>
      <c r="GB3100" s="5" t="s">
        <v>240</v>
      </c>
      <c r="GC3100" s="5" t="s">
        <v>240</v>
      </c>
      <c r="GD3100" s="5" t="s">
        <v>240</v>
      </c>
      <c r="GE3100" s="5" t="s">
        <v>240</v>
      </c>
      <c r="GF3100" s="5" t="s">
        <v>240</v>
      </c>
      <c r="GG3100" s="5" t="s">
        <v>240</v>
      </c>
      <c r="GH3100" s="5" t="s">
        <v>240</v>
      </c>
      <c r="GI3100" s="5" t="s">
        <v>240</v>
      </c>
      <c r="GJ3100" s="5" t="s">
        <v>240</v>
      </c>
      <c r="GK3100" s="5" t="s">
        <v>240</v>
      </c>
      <c r="GL3100" s="5" t="s">
        <v>240</v>
      </c>
      <c r="GM3100" s="5" t="s">
        <v>240</v>
      </c>
      <c r="GN3100" s="5" t="s">
        <v>240</v>
      </c>
      <c r="GO3100" s="5" t="s">
        <v>240</v>
      </c>
      <c r="GP3100" s="5" t="s">
        <v>240</v>
      </c>
      <c r="GQ3100" s="5" t="s">
        <v>240</v>
      </c>
      <c r="GR3100" s="5" t="s">
        <v>240</v>
      </c>
      <c r="GS3100" s="5" t="s">
        <v>240</v>
      </c>
      <c r="GT3100" s="5" t="s">
        <v>240</v>
      </c>
      <c r="GU3100" s="5" t="s">
        <v>240</v>
      </c>
      <c r="GV3100" s="5" t="s">
        <v>240</v>
      </c>
      <c r="GW3100" s="5" t="s">
        <v>240</v>
      </c>
      <c r="GX3100" s="5" t="s">
        <v>240</v>
      </c>
      <c r="GY3100" s="5" t="s">
        <v>240</v>
      </c>
      <c r="GZ3100" s="5" t="s">
        <v>240</v>
      </c>
      <c r="HA3100" s="5" t="s">
        <v>240</v>
      </c>
      <c r="HB3100" s="5" t="s">
        <v>240</v>
      </c>
      <c r="HC3100" s="5" t="s">
        <v>240</v>
      </c>
      <c r="HD3100" s="5" t="s">
        <v>240</v>
      </c>
      <c r="HE3100" s="5" t="s">
        <v>240</v>
      </c>
      <c r="HF3100" s="5" t="s">
        <v>240</v>
      </c>
      <c r="HG3100" s="5" t="s">
        <v>240</v>
      </c>
      <c r="HH3100" s="5" t="s">
        <v>240</v>
      </c>
      <c r="HI3100" s="5" t="s">
        <v>240</v>
      </c>
      <c r="HJ3100" s="5" t="s">
        <v>240</v>
      </c>
      <c r="HK3100" s="5" t="s">
        <v>240</v>
      </c>
      <c r="HL3100" s="5" t="s">
        <v>240</v>
      </c>
      <c r="HM3100" s="5" t="s">
        <v>240</v>
      </c>
      <c r="HN3100" s="5" t="s">
        <v>240</v>
      </c>
      <c r="HO3100" s="5" t="s">
        <v>312</v>
      </c>
      <c r="HP3100" s="5" t="s">
        <v>240</v>
      </c>
      <c r="HQ3100" s="5" t="s">
        <v>240</v>
      </c>
      <c r="HR3100" s="5" t="s">
        <v>240</v>
      </c>
      <c r="HS3100" s="5" t="s">
        <v>240</v>
      </c>
      <c r="HT3100" s="5" t="s">
        <v>240</v>
      </c>
      <c r="HU3100" s="5" t="s">
        <v>240</v>
      </c>
      <c r="HV3100" s="5" t="s">
        <v>240</v>
      </c>
      <c r="HW3100" s="5" t="s">
        <v>240</v>
      </c>
      <c r="HX3100" s="5" t="s">
        <v>240</v>
      </c>
      <c r="HY3100" s="5" t="s">
        <v>240</v>
      </c>
      <c r="HZ3100" s="5" t="s">
        <v>240</v>
      </c>
      <c r="IA3100" s="5" t="s">
        <v>240</v>
      </c>
      <c r="IB3100" s="5" t="s">
        <v>240</v>
      </c>
      <c r="IC3100" s="5" t="s">
        <v>240</v>
      </c>
      <c r="ID3100" s="5" t="s">
        <v>240</v>
      </c>
      <c r="IE3100" s="5" t="s">
        <v>240</v>
      </c>
      <c r="IF3100" s="5" t="s">
        <v>240</v>
      </c>
    </row>
    <row r="3101" spans="1:240" x14ac:dyDescent="0.4">
      <c r="A3101" s="5">
        <v>4805</v>
      </c>
      <c r="B3101" s="5">
        <v>1</v>
      </c>
      <c r="C3101" s="5">
        <v>1</v>
      </c>
      <c r="D3101" s="5" t="s">
        <v>810</v>
      </c>
      <c r="E3101" s="5" t="s">
        <v>245</v>
      </c>
      <c r="F3101" s="5" t="s">
        <v>254</v>
      </c>
      <c r="G3101" s="5" t="s">
        <v>240</v>
      </c>
      <c r="H3101" s="6" t="s">
        <v>2346</v>
      </c>
      <c r="I3101" s="5" t="s">
        <v>809</v>
      </c>
      <c r="J3101" s="8">
        <f>73</f>
        <v>73</v>
      </c>
      <c r="K3101" s="5" t="s">
        <v>308</v>
      </c>
      <c r="L3101" s="7">
        <f>1</f>
        <v>1</v>
      </c>
      <c r="M3101" s="7">
        <f>1</f>
        <v>1</v>
      </c>
      <c r="N3101" s="5" t="s">
        <v>242</v>
      </c>
      <c r="O3101" s="5">
        <v>1</v>
      </c>
      <c r="P3101" s="5" t="s">
        <v>294</v>
      </c>
      <c r="Q3101" s="5" t="s">
        <v>3678</v>
      </c>
      <c r="R3101" s="5" t="s">
        <v>240</v>
      </c>
      <c r="S3101" s="5" t="s">
        <v>240</v>
      </c>
      <c r="T3101" s="5" t="s">
        <v>243</v>
      </c>
      <c r="U3101" s="5" t="s">
        <v>244</v>
      </c>
      <c r="V3101" s="5" t="s">
        <v>240</v>
      </c>
      <c r="W3101" s="5" t="s">
        <v>240</v>
      </c>
      <c r="X3101" s="5" t="s">
        <v>240</v>
      </c>
      <c r="Y3101" s="5" t="s">
        <v>240</v>
      </c>
      <c r="Z3101" s="6" t="s">
        <v>298</v>
      </c>
      <c r="AA3101" s="6" t="s">
        <v>240</v>
      </c>
      <c r="AB3101" s="6" t="s">
        <v>240</v>
      </c>
      <c r="AC3101" s="5" t="s">
        <v>240</v>
      </c>
      <c r="AD3101" s="6" t="s">
        <v>240</v>
      </c>
      <c r="AE3101" s="6" t="s">
        <v>299</v>
      </c>
      <c r="AF3101" s="5" t="s">
        <v>248</v>
      </c>
      <c r="AG3101" s="5" t="s">
        <v>249</v>
      </c>
      <c r="AH3101" s="5" t="s">
        <v>240</v>
      </c>
      <c r="AI3101" s="5" t="s">
        <v>240</v>
      </c>
      <c r="AJ3101" s="5" t="s">
        <v>240</v>
      </c>
      <c r="AK3101" s="5" t="s">
        <v>240</v>
      </c>
      <c r="AL3101" s="5" t="s">
        <v>240</v>
      </c>
      <c r="AM3101" s="5" t="s">
        <v>240</v>
      </c>
      <c r="AN3101" s="5" t="s">
        <v>240</v>
      </c>
      <c r="AO3101" s="5" t="s">
        <v>240</v>
      </c>
      <c r="AP3101" s="6" t="s">
        <v>240</v>
      </c>
      <c r="AQ3101" s="6" t="s">
        <v>240</v>
      </c>
      <c r="AR3101" s="6" t="s">
        <v>240</v>
      </c>
      <c r="AS3101" s="6" t="s">
        <v>240</v>
      </c>
      <c r="AT3101" s="5" t="s">
        <v>240</v>
      </c>
      <c r="AU3101" s="5" t="s">
        <v>729</v>
      </c>
      <c r="AV3101" s="5" t="s">
        <v>729</v>
      </c>
      <c r="AW3101" s="5" t="s">
        <v>251</v>
      </c>
      <c r="AX3101" s="5" t="s">
        <v>252</v>
      </c>
      <c r="AY3101" s="5" t="s">
        <v>253</v>
      </c>
      <c r="AZ3101" s="5" t="s">
        <v>240</v>
      </c>
      <c r="BA3101" s="5" t="s">
        <v>255</v>
      </c>
      <c r="BB3101" s="5" t="s">
        <v>731</v>
      </c>
      <c r="BD3101" s="5" t="s">
        <v>240</v>
      </c>
      <c r="BF3101" s="5" t="s">
        <v>732</v>
      </c>
      <c r="BG3101" s="6" t="s">
        <v>733</v>
      </c>
      <c r="BH3101" s="5" t="s">
        <v>734</v>
      </c>
      <c r="BI3101" s="5" t="s">
        <v>734</v>
      </c>
      <c r="BJ3101" s="5" t="s">
        <v>240</v>
      </c>
      <c r="BK3101" s="7">
        <f>1</f>
        <v>1</v>
      </c>
      <c r="BL3101" s="7">
        <f>1</f>
        <v>1</v>
      </c>
      <c r="BM3101" s="5" t="s">
        <v>258</v>
      </c>
      <c r="BN3101" s="5" t="s">
        <v>259</v>
      </c>
      <c r="BO3101" s="5" t="s">
        <v>240</v>
      </c>
      <c r="BP3101" s="5" t="s">
        <v>240</v>
      </c>
      <c r="BQ3101" s="5" t="s">
        <v>240</v>
      </c>
      <c r="BR3101" s="5" t="s">
        <v>240</v>
      </c>
      <c r="BS3101" s="5" t="s">
        <v>240</v>
      </c>
      <c r="BT3101" s="5" t="s">
        <v>240</v>
      </c>
      <c r="BU3101" s="5" t="s">
        <v>240</v>
      </c>
      <c r="BV3101" s="5" t="s">
        <v>240</v>
      </c>
      <c r="BW3101" s="6" t="s">
        <v>240</v>
      </c>
      <c r="BX3101" s="5" t="s">
        <v>240</v>
      </c>
      <c r="BY3101" s="5" t="s">
        <v>240</v>
      </c>
      <c r="BZ3101" s="5" t="s">
        <v>240</v>
      </c>
      <c r="CA3101" s="5" t="s">
        <v>259</v>
      </c>
      <c r="CB3101" s="5" t="s">
        <v>240</v>
      </c>
      <c r="CC3101" s="5" t="s">
        <v>240</v>
      </c>
      <c r="CD3101" s="5" t="s">
        <v>240</v>
      </c>
      <c r="CE3101" s="5" t="s">
        <v>240</v>
      </c>
      <c r="CF3101" s="5" t="s">
        <v>240</v>
      </c>
      <c r="CG3101" s="5" t="s">
        <v>304</v>
      </c>
      <c r="CH3101" s="5" t="s">
        <v>305</v>
      </c>
      <c r="CI3101" s="5" t="s">
        <v>240</v>
      </c>
      <c r="CK3101" s="5" t="s">
        <v>3681</v>
      </c>
      <c r="CL3101" s="6" t="s">
        <v>261</v>
      </c>
      <c r="CM3101" s="5" t="s">
        <v>262</v>
      </c>
      <c r="CN3101" s="5" t="s">
        <v>263</v>
      </c>
      <c r="CO3101" s="5" t="s">
        <v>264</v>
      </c>
      <c r="CP3101" s="5" t="s">
        <v>240</v>
      </c>
      <c r="CQ3101" s="5">
        <v>0</v>
      </c>
      <c r="CR3101" s="5" t="s">
        <v>735</v>
      </c>
      <c r="CS3101" s="5" t="s">
        <v>307</v>
      </c>
      <c r="CT3101" s="5" t="s">
        <v>307</v>
      </c>
      <c r="CU3101" s="5" t="s">
        <v>260</v>
      </c>
      <c r="CV3101" s="5" t="s">
        <v>612</v>
      </c>
      <c r="CW3101" s="8">
        <f>1</f>
        <v>1</v>
      </c>
      <c r="CX3101" s="7">
        <f>1</f>
        <v>1</v>
      </c>
      <c r="CY3101" s="7">
        <f>0</f>
        <v>0</v>
      </c>
      <c r="DA3101" s="7">
        <f>1</f>
        <v>1</v>
      </c>
      <c r="DB3101" s="7" t="s">
        <v>240</v>
      </c>
      <c r="DC3101" s="5" t="s">
        <v>240</v>
      </c>
      <c r="DD3101" s="5" t="s">
        <v>240</v>
      </c>
      <c r="DE3101" s="5" t="s">
        <v>240</v>
      </c>
      <c r="DF3101" s="5" t="s">
        <v>240</v>
      </c>
      <c r="DG3101" s="7">
        <f>0</f>
        <v>0</v>
      </c>
      <c r="DI3101" s="5" t="s">
        <v>240</v>
      </c>
      <c r="DJ3101" s="5" t="s">
        <v>240</v>
      </c>
      <c r="DK3101" s="5" t="s">
        <v>240</v>
      </c>
      <c r="DL3101" s="5" t="s">
        <v>240</v>
      </c>
      <c r="DM3101" s="5" t="s">
        <v>240</v>
      </c>
      <c r="DN3101" s="5" t="s">
        <v>240</v>
      </c>
      <c r="DO3101" s="7" t="s">
        <v>240</v>
      </c>
      <c r="DP3101" s="5" t="s">
        <v>240</v>
      </c>
      <c r="DQ3101" s="5" t="s">
        <v>240</v>
      </c>
      <c r="DR3101" s="5" t="s">
        <v>731</v>
      </c>
      <c r="DS3101" s="5" t="s">
        <v>731</v>
      </c>
      <c r="DT3101" s="5" t="s">
        <v>240</v>
      </c>
      <c r="DU3101" s="5" t="s">
        <v>240</v>
      </c>
      <c r="DV3101" s="5" t="s">
        <v>3683</v>
      </c>
      <c r="DW3101" s="5" t="s">
        <v>606</v>
      </c>
      <c r="DX3101" s="5" t="s">
        <v>240</v>
      </c>
      <c r="DY3101" s="5" t="s">
        <v>240</v>
      </c>
      <c r="DZ3101" s="5" t="s">
        <v>240</v>
      </c>
      <c r="EA3101" s="5" t="s">
        <v>240</v>
      </c>
      <c r="EB3101" s="5" t="s">
        <v>240</v>
      </c>
      <c r="EC3101" s="5" t="s">
        <v>240</v>
      </c>
      <c r="ED3101" s="5" t="s">
        <v>240</v>
      </c>
      <c r="EE3101" s="5" t="s">
        <v>240</v>
      </c>
      <c r="EF3101" s="5" t="s">
        <v>240</v>
      </c>
      <c r="EG3101" s="5" t="s">
        <v>240</v>
      </c>
      <c r="EH3101" s="5" t="s">
        <v>240</v>
      </c>
      <c r="EI3101" s="5" t="s">
        <v>240</v>
      </c>
      <c r="EJ3101" s="5" t="s">
        <v>240</v>
      </c>
      <c r="EK3101" s="5" t="s">
        <v>240</v>
      </c>
      <c r="EL3101" s="5" t="s">
        <v>240</v>
      </c>
      <c r="EM3101" s="5" t="s">
        <v>240</v>
      </c>
      <c r="EN3101" s="5" t="s">
        <v>240</v>
      </c>
      <c r="EO3101" s="5" t="s">
        <v>240</v>
      </c>
      <c r="EP3101" s="5" t="s">
        <v>240</v>
      </c>
      <c r="EQ3101" s="5" t="s">
        <v>240</v>
      </c>
      <c r="ER3101" s="5" t="s">
        <v>240</v>
      </c>
      <c r="ES3101" s="5" t="s">
        <v>240</v>
      </c>
      <c r="ET3101" s="5" t="s">
        <v>240</v>
      </c>
      <c r="EU3101" s="5" t="s">
        <v>240</v>
      </c>
      <c r="EV3101" s="5" t="s">
        <v>240</v>
      </c>
      <c r="EW3101" s="5" t="s">
        <v>240</v>
      </c>
      <c r="EX3101" s="5" t="s">
        <v>240</v>
      </c>
      <c r="EY3101" s="5" t="s">
        <v>240</v>
      </c>
      <c r="EZ3101" s="5" t="s">
        <v>240</v>
      </c>
      <c r="FA3101" s="5" t="s">
        <v>240</v>
      </c>
      <c r="FB3101" s="5" t="s">
        <v>240</v>
      </c>
      <c r="FC3101" s="5" t="s">
        <v>240</v>
      </c>
      <c r="FD3101" s="5" t="s">
        <v>240</v>
      </c>
      <c r="FE3101" s="5" t="s">
        <v>240</v>
      </c>
      <c r="FF3101" s="5" t="s">
        <v>240</v>
      </c>
      <c r="FG3101" s="5" t="s">
        <v>240</v>
      </c>
      <c r="FH3101" s="5" t="s">
        <v>240</v>
      </c>
      <c r="FI3101" s="5" t="s">
        <v>240</v>
      </c>
      <c r="FJ3101" s="5" t="s">
        <v>240</v>
      </c>
      <c r="FK3101" s="5" t="s">
        <v>240</v>
      </c>
      <c r="FL3101" s="5" t="s">
        <v>240</v>
      </c>
      <c r="FM3101" s="5" t="s">
        <v>240</v>
      </c>
      <c r="FN3101" s="5" t="s">
        <v>240</v>
      </c>
      <c r="FO3101" s="5" t="s">
        <v>240</v>
      </c>
      <c r="FP3101" s="5" t="s">
        <v>240</v>
      </c>
      <c r="FQ3101" s="5" t="s">
        <v>240</v>
      </c>
      <c r="FR3101" s="5" t="s">
        <v>240</v>
      </c>
      <c r="FS3101" s="5" t="s">
        <v>240</v>
      </c>
      <c r="FT3101" s="5" t="s">
        <v>240</v>
      </c>
      <c r="FU3101" s="5" t="s">
        <v>240</v>
      </c>
      <c r="FV3101" s="5" t="s">
        <v>240</v>
      </c>
      <c r="FW3101" s="5" t="s">
        <v>240</v>
      </c>
      <c r="FX3101" s="5" t="s">
        <v>240</v>
      </c>
      <c r="FY3101" s="5" t="s">
        <v>240</v>
      </c>
      <c r="FZ3101" s="5" t="s">
        <v>240</v>
      </c>
      <c r="GA3101" s="5" t="s">
        <v>240</v>
      </c>
      <c r="GB3101" s="5" t="s">
        <v>240</v>
      </c>
      <c r="GC3101" s="5" t="s">
        <v>240</v>
      </c>
      <c r="GD3101" s="5" t="s">
        <v>240</v>
      </c>
      <c r="GE3101" s="5" t="s">
        <v>240</v>
      </c>
      <c r="GF3101" s="5" t="s">
        <v>240</v>
      </c>
      <c r="GG3101" s="5" t="s">
        <v>240</v>
      </c>
      <c r="GH3101" s="5" t="s">
        <v>240</v>
      </c>
      <c r="GI3101" s="5" t="s">
        <v>240</v>
      </c>
      <c r="GJ3101" s="5" t="s">
        <v>240</v>
      </c>
      <c r="GK3101" s="5" t="s">
        <v>240</v>
      </c>
      <c r="GL3101" s="5" t="s">
        <v>240</v>
      </c>
      <c r="GM3101" s="5" t="s">
        <v>240</v>
      </c>
      <c r="GN3101" s="5" t="s">
        <v>240</v>
      </c>
      <c r="GO3101" s="5" t="s">
        <v>240</v>
      </c>
      <c r="GP3101" s="5" t="s">
        <v>240</v>
      </c>
      <c r="GQ3101" s="5" t="s">
        <v>240</v>
      </c>
      <c r="GR3101" s="5" t="s">
        <v>240</v>
      </c>
      <c r="GS3101" s="5" t="s">
        <v>240</v>
      </c>
      <c r="GT3101" s="5" t="s">
        <v>240</v>
      </c>
      <c r="GU3101" s="5" t="s">
        <v>240</v>
      </c>
      <c r="GV3101" s="5" t="s">
        <v>240</v>
      </c>
      <c r="GW3101" s="5" t="s">
        <v>240</v>
      </c>
      <c r="GX3101" s="5" t="s">
        <v>240</v>
      </c>
      <c r="GY3101" s="5" t="s">
        <v>240</v>
      </c>
      <c r="GZ3101" s="5" t="s">
        <v>240</v>
      </c>
      <c r="HA3101" s="5" t="s">
        <v>240</v>
      </c>
      <c r="HB3101" s="5" t="s">
        <v>240</v>
      </c>
      <c r="HC3101" s="5" t="s">
        <v>240</v>
      </c>
      <c r="HD3101" s="5" t="s">
        <v>240</v>
      </c>
      <c r="HE3101" s="5" t="s">
        <v>240</v>
      </c>
      <c r="HF3101" s="5" t="s">
        <v>240</v>
      </c>
      <c r="HG3101" s="5" t="s">
        <v>240</v>
      </c>
      <c r="HH3101" s="5" t="s">
        <v>240</v>
      </c>
      <c r="HI3101" s="5" t="s">
        <v>240</v>
      </c>
      <c r="HJ3101" s="5" t="s">
        <v>240</v>
      </c>
      <c r="HK3101" s="5" t="s">
        <v>240</v>
      </c>
      <c r="HL3101" s="5" t="s">
        <v>240</v>
      </c>
      <c r="HM3101" s="5" t="s">
        <v>240</v>
      </c>
      <c r="HN3101" s="5" t="s">
        <v>240</v>
      </c>
      <c r="HO3101" s="5" t="s">
        <v>312</v>
      </c>
      <c r="HP3101" s="5" t="s">
        <v>240</v>
      </c>
      <c r="HQ3101" s="5" t="s">
        <v>240</v>
      </c>
      <c r="HR3101" s="5" t="s">
        <v>240</v>
      </c>
      <c r="HS3101" s="5" t="s">
        <v>240</v>
      </c>
      <c r="HT3101" s="5" t="s">
        <v>240</v>
      </c>
      <c r="HU3101" s="5" t="s">
        <v>240</v>
      </c>
      <c r="HV3101" s="5" t="s">
        <v>240</v>
      </c>
      <c r="HW3101" s="5" t="s">
        <v>240</v>
      </c>
      <c r="HX3101" s="5" t="s">
        <v>240</v>
      </c>
      <c r="HY3101" s="5" t="s">
        <v>240</v>
      </c>
      <c r="HZ3101" s="5" t="s">
        <v>240</v>
      </c>
      <c r="IA3101" s="5" t="s">
        <v>240</v>
      </c>
      <c r="IB3101" s="5" t="s">
        <v>240</v>
      </c>
      <c r="IC3101" s="5" t="s">
        <v>240</v>
      </c>
      <c r="ID3101" s="5" t="s">
        <v>240</v>
      </c>
      <c r="IE3101" s="5" t="s">
        <v>240</v>
      </c>
      <c r="IF3101" s="5" t="s">
        <v>240</v>
      </c>
    </row>
    <row r="3102" spans="1:240" x14ac:dyDescent="0.4">
      <c r="A3102" s="5">
        <v>4806</v>
      </c>
      <c r="B3102" s="5">
        <v>1</v>
      </c>
      <c r="C3102" s="5">
        <v>1</v>
      </c>
      <c r="D3102" s="5" t="s">
        <v>810</v>
      </c>
      <c r="E3102" s="5" t="s">
        <v>245</v>
      </c>
      <c r="F3102" s="5" t="s">
        <v>254</v>
      </c>
      <c r="G3102" s="5" t="s">
        <v>240</v>
      </c>
      <c r="H3102" s="6" t="s">
        <v>2344</v>
      </c>
      <c r="I3102" s="5" t="s">
        <v>809</v>
      </c>
      <c r="J3102" s="8">
        <f>159</f>
        <v>159</v>
      </c>
      <c r="K3102" s="5" t="s">
        <v>308</v>
      </c>
      <c r="L3102" s="7">
        <f>1</f>
        <v>1</v>
      </c>
      <c r="M3102" s="7">
        <f>1</f>
        <v>1</v>
      </c>
      <c r="N3102" s="5" t="s">
        <v>242</v>
      </c>
      <c r="O3102" s="5">
        <v>1</v>
      </c>
      <c r="P3102" s="5" t="s">
        <v>294</v>
      </c>
      <c r="Q3102" s="5" t="s">
        <v>3678</v>
      </c>
      <c r="R3102" s="5" t="s">
        <v>240</v>
      </c>
      <c r="S3102" s="5" t="s">
        <v>240</v>
      </c>
      <c r="T3102" s="5" t="s">
        <v>243</v>
      </c>
      <c r="U3102" s="5" t="s">
        <v>244</v>
      </c>
      <c r="V3102" s="5" t="s">
        <v>240</v>
      </c>
      <c r="W3102" s="5" t="s">
        <v>240</v>
      </c>
      <c r="X3102" s="5" t="s">
        <v>240</v>
      </c>
      <c r="Y3102" s="5" t="s">
        <v>240</v>
      </c>
      <c r="Z3102" s="6" t="s">
        <v>298</v>
      </c>
      <c r="AA3102" s="6" t="s">
        <v>240</v>
      </c>
      <c r="AB3102" s="6" t="s">
        <v>240</v>
      </c>
      <c r="AC3102" s="5" t="s">
        <v>240</v>
      </c>
      <c r="AD3102" s="6" t="s">
        <v>240</v>
      </c>
      <c r="AE3102" s="6" t="s">
        <v>299</v>
      </c>
      <c r="AF3102" s="5" t="s">
        <v>248</v>
      </c>
      <c r="AG3102" s="5" t="s">
        <v>249</v>
      </c>
      <c r="AH3102" s="5" t="s">
        <v>240</v>
      </c>
      <c r="AI3102" s="5" t="s">
        <v>240</v>
      </c>
      <c r="AJ3102" s="5" t="s">
        <v>240</v>
      </c>
      <c r="AK3102" s="5" t="s">
        <v>240</v>
      </c>
      <c r="AL3102" s="5" t="s">
        <v>240</v>
      </c>
      <c r="AM3102" s="5" t="s">
        <v>240</v>
      </c>
      <c r="AN3102" s="5" t="s">
        <v>240</v>
      </c>
      <c r="AO3102" s="5" t="s">
        <v>240</v>
      </c>
      <c r="AP3102" s="6" t="s">
        <v>240</v>
      </c>
      <c r="AQ3102" s="6" t="s">
        <v>240</v>
      </c>
      <c r="AR3102" s="6" t="s">
        <v>240</v>
      </c>
      <c r="AS3102" s="6" t="s">
        <v>240</v>
      </c>
      <c r="AT3102" s="5" t="s">
        <v>240</v>
      </c>
      <c r="AU3102" s="5" t="s">
        <v>729</v>
      </c>
      <c r="AV3102" s="5" t="s">
        <v>729</v>
      </c>
      <c r="AW3102" s="5" t="s">
        <v>251</v>
      </c>
      <c r="AX3102" s="5" t="s">
        <v>252</v>
      </c>
      <c r="AY3102" s="5" t="s">
        <v>253</v>
      </c>
      <c r="AZ3102" s="5" t="s">
        <v>240</v>
      </c>
      <c r="BA3102" s="5" t="s">
        <v>255</v>
      </c>
      <c r="BB3102" s="5" t="s">
        <v>731</v>
      </c>
      <c r="BD3102" s="5" t="s">
        <v>240</v>
      </c>
      <c r="BF3102" s="5" t="s">
        <v>732</v>
      </c>
      <c r="BG3102" s="6" t="s">
        <v>733</v>
      </c>
      <c r="BH3102" s="5" t="s">
        <v>734</v>
      </c>
      <c r="BI3102" s="5" t="s">
        <v>734</v>
      </c>
      <c r="BJ3102" s="5" t="s">
        <v>240</v>
      </c>
      <c r="BK3102" s="7">
        <f>1</f>
        <v>1</v>
      </c>
      <c r="BL3102" s="7">
        <f>1</f>
        <v>1</v>
      </c>
      <c r="BM3102" s="5" t="s">
        <v>258</v>
      </c>
      <c r="BN3102" s="5" t="s">
        <v>259</v>
      </c>
      <c r="BO3102" s="5" t="s">
        <v>240</v>
      </c>
      <c r="BP3102" s="5" t="s">
        <v>240</v>
      </c>
      <c r="BQ3102" s="5" t="s">
        <v>240</v>
      </c>
      <c r="BR3102" s="5" t="s">
        <v>240</v>
      </c>
      <c r="BS3102" s="5" t="s">
        <v>240</v>
      </c>
      <c r="BT3102" s="5" t="s">
        <v>240</v>
      </c>
      <c r="BU3102" s="5" t="s">
        <v>240</v>
      </c>
      <c r="BV3102" s="5" t="s">
        <v>240</v>
      </c>
      <c r="BW3102" s="6" t="s">
        <v>240</v>
      </c>
      <c r="BX3102" s="5" t="s">
        <v>240</v>
      </c>
      <c r="BY3102" s="5" t="s">
        <v>240</v>
      </c>
      <c r="BZ3102" s="5" t="s">
        <v>240</v>
      </c>
      <c r="CA3102" s="5" t="s">
        <v>259</v>
      </c>
      <c r="CB3102" s="5" t="s">
        <v>240</v>
      </c>
      <c r="CC3102" s="5" t="s">
        <v>240</v>
      </c>
      <c r="CD3102" s="5" t="s">
        <v>240</v>
      </c>
      <c r="CE3102" s="5" t="s">
        <v>240</v>
      </c>
      <c r="CF3102" s="5" t="s">
        <v>240</v>
      </c>
      <c r="CG3102" s="5" t="s">
        <v>304</v>
      </c>
      <c r="CH3102" s="5" t="s">
        <v>305</v>
      </c>
      <c r="CI3102" s="5" t="s">
        <v>240</v>
      </c>
      <c r="CK3102" s="5" t="s">
        <v>3681</v>
      </c>
      <c r="CL3102" s="6" t="s">
        <v>261</v>
      </c>
      <c r="CM3102" s="5" t="s">
        <v>262</v>
      </c>
      <c r="CN3102" s="5" t="s">
        <v>263</v>
      </c>
      <c r="CO3102" s="5" t="s">
        <v>264</v>
      </c>
      <c r="CP3102" s="5" t="s">
        <v>240</v>
      </c>
      <c r="CQ3102" s="5">
        <v>0</v>
      </c>
      <c r="CR3102" s="5" t="s">
        <v>735</v>
      </c>
      <c r="CS3102" s="5" t="s">
        <v>307</v>
      </c>
      <c r="CT3102" s="5" t="s">
        <v>307</v>
      </c>
      <c r="CU3102" s="5" t="s">
        <v>260</v>
      </c>
      <c r="CV3102" s="5" t="s">
        <v>612</v>
      </c>
      <c r="CW3102" s="8">
        <f>1</f>
        <v>1</v>
      </c>
      <c r="CX3102" s="7">
        <f>1</f>
        <v>1</v>
      </c>
      <c r="CY3102" s="7">
        <f>0</f>
        <v>0</v>
      </c>
      <c r="DA3102" s="7">
        <f>1</f>
        <v>1</v>
      </c>
      <c r="DB3102" s="7" t="s">
        <v>240</v>
      </c>
      <c r="DC3102" s="5" t="s">
        <v>240</v>
      </c>
      <c r="DD3102" s="5" t="s">
        <v>240</v>
      </c>
      <c r="DE3102" s="5" t="s">
        <v>240</v>
      </c>
      <c r="DF3102" s="5" t="s">
        <v>240</v>
      </c>
      <c r="DG3102" s="7">
        <f>0</f>
        <v>0</v>
      </c>
      <c r="DI3102" s="5" t="s">
        <v>240</v>
      </c>
      <c r="DJ3102" s="5" t="s">
        <v>240</v>
      </c>
      <c r="DK3102" s="5" t="s">
        <v>240</v>
      </c>
      <c r="DL3102" s="5" t="s">
        <v>240</v>
      </c>
      <c r="DM3102" s="5" t="s">
        <v>240</v>
      </c>
      <c r="DN3102" s="5" t="s">
        <v>240</v>
      </c>
      <c r="DO3102" s="7" t="s">
        <v>240</v>
      </c>
      <c r="DP3102" s="5" t="s">
        <v>240</v>
      </c>
      <c r="DQ3102" s="5" t="s">
        <v>240</v>
      </c>
      <c r="DR3102" s="5" t="s">
        <v>731</v>
      </c>
      <c r="DS3102" s="5" t="s">
        <v>731</v>
      </c>
      <c r="DT3102" s="5" t="s">
        <v>240</v>
      </c>
      <c r="DU3102" s="5" t="s">
        <v>240</v>
      </c>
      <c r="DV3102" s="5" t="s">
        <v>3683</v>
      </c>
      <c r="DW3102" s="5" t="s">
        <v>645</v>
      </c>
      <c r="DX3102" s="5" t="s">
        <v>240</v>
      </c>
      <c r="DY3102" s="5" t="s">
        <v>240</v>
      </c>
      <c r="DZ3102" s="5" t="s">
        <v>240</v>
      </c>
      <c r="EA3102" s="5" t="s">
        <v>240</v>
      </c>
      <c r="EB3102" s="5" t="s">
        <v>240</v>
      </c>
      <c r="EC3102" s="5" t="s">
        <v>240</v>
      </c>
      <c r="ED3102" s="5" t="s">
        <v>240</v>
      </c>
      <c r="EE3102" s="5" t="s">
        <v>240</v>
      </c>
      <c r="EF3102" s="5" t="s">
        <v>240</v>
      </c>
      <c r="EG3102" s="5" t="s">
        <v>240</v>
      </c>
      <c r="EH3102" s="5" t="s">
        <v>240</v>
      </c>
      <c r="EI3102" s="5" t="s">
        <v>240</v>
      </c>
      <c r="EJ3102" s="5" t="s">
        <v>240</v>
      </c>
      <c r="EK3102" s="5" t="s">
        <v>240</v>
      </c>
      <c r="EL3102" s="5" t="s">
        <v>240</v>
      </c>
      <c r="EM3102" s="5" t="s">
        <v>240</v>
      </c>
      <c r="EN3102" s="5" t="s">
        <v>240</v>
      </c>
      <c r="EO3102" s="5" t="s">
        <v>240</v>
      </c>
      <c r="EP3102" s="5" t="s">
        <v>240</v>
      </c>
      <c r="EQ3102" s="5" t="s">
        <v>240</v>
      </c>
      <c r="ER3102" s="5" t="s">
        <v>240</v>
      </c>
      <c r="ES3102" s="5" t="s">
        <v>240</v>
      </c>
      <c r="ET3102" s="5" t="s">
        <v>240</v>
      </c>
      <c r="EU3102" s="5" t="s">
        <v>240</v>
      </c>
      <c r="EV3102" s="5" t="s">
        <v>240</v>
      </c>
      <c r="EW3102" s="5" t="s">
        <v>240</v>
      </c>
      <c r="EX3102" s="5" t="s">
        <v>240</v>
      </c>
      <c r="EY3102" s="5" t="s">
        <v>240</v>
      </c>
      <c r="EZ3102" s="5" t="s">
        <v>240</v>
      </c>
      <c r="FA3102" s="5" t="s">
        <v>240</v>
      </c>
      <c r="FB3102" s="5" t="s">
        <v>240</v>
      </c>
      <c r="FC3102" s="5" t="s">
        <v>240</v>
      </c>
      <c r="FD3102" s="5" t="s">
        <v>240</v>
      </c>
      <c r="FE3102" s="5" t="s">
        <v>240</v>
      </c>
      <c r="FF3102" s="5" t="s">
        <v>240</v>
      </c>
      <c r="FG3102" s="5" t="s">
        <v>240</v>
      </c>
      <c r="FH3102" s="5" t="s">
        <v>240</v>
      </c>
      <c r="FI3102" s="5" t="s">
        <v>240</v>
      </c>
      <c r="FJ3102" s="5" t="s">
        <v>240</v>
      </c>
      <c r="FK3102" s="5" t="s">
        <v>240</v>
      </c>
      <c r="FL3102" s="5" t="s">
        <v>240</v>
      </c>
      <c r="FM3102" s="5" t="s">
        <v>240</v>
      </c>
      <c r="FN3102" s="5" t="s">
        <v>240</v>
      </c>
      <c r="FO3102" s="5" t="s">
        <v>240</v>
      </c>
      <c r="FP3102" s="5" t="s">
        <v>240</v>
      </c>
      <c r="FQ3102" s="5" t="s">
        <v>240</v>
      </c>
      <c r="FR3102" s="5" t="s">
        <v>240</v>
      </c>
      <c r="FS3102" s="5" t="s">
        <v>240</v>
      </c>
      <c r="FT3102" s="5" t="s">
        <v>240</v>
      </c>
      <c r="FU3102" s="5" t="s">
        <v>240</v>
      </c>
      <c r="FV3102" s="5" t="s">
        <v>240</v>
      </c>
      <c r="FW3102" s="5" t="s">
        <v>240</v>
      </c>
      <c r="FX3102" s="5" t="s">
        <v>240</v>
      </c>
      <c r="FY3102" s="5" t="s">
        <v>240</v>
      </c>
      <c r="FZ3102" s="5" t="s">
        <v>240</v>
      </c>
      <c r="GA3102" s="5" t="s">
        <v>240</v>
      </c>
      <c r="GB3102" s="5" t="s">
        <v>240</v>
      </c>
      <c r="GC3102" s="5" t="s">
        <v>240</v>
      </c>
      <c r="GD3102" s="5" t="s">
        <v>240</v>
      </c>
      <c r="GE3102" s="5" t="s">
        <v>240</v>
      </c>
      <c r="GF3102" s="5" t="s">
        <v>240</v>
      </c>
      <c r="GG3102" s="5" t="s">
        <v>240</v>
      </c>
      <c r="GH3102" s="5" t="s">
        <v>240</v>
      </c>
      <c r="GI3102" s="5" t="s">
        <v>240</v>
      </c>
      <c r="GJ3102" s="5" t="s">
        <v>240</v>
      </c>
      <c r="GK3102" s="5" t="s">
        <v>240</v>
      </c>
      <c r="GL3102" s="5" t="s">
        <v>240</v>
      </c>
      <c r="GM3102" s="5" t="s">
        <v>240</v>
      </c>
      <c r="GN3102" s="5" t="s">
        <v>240</v>
      </c>
      <c r="GO3102" s="5" t="s">
        <v>240</v>
      </c>
      <c r="GP3102" s="5" t="s">
        <v>240</v>
      </c>
      <c r="GQ3102" s="5" t="s">
        <v>240</v>
      </c>
      <c r="GR3102" s="5" t="s">
        <v>240</v>
      </c>
      <c r="GS3102" s="5" t="s">
        <v>240</v>
      </c>
      <c r="GT3102" s="5" t="s">
        <v>240</v>
      </c>
      <c r="GU3102" s="5" t="s">
        <v>240</v>
      </c>
      <c r="GV3102" s="5" t="s">
        <v>240</v>
      </c>
      <c r="GW3102" s="5" t="s">
        <v>240</v>
      </c>
      <c r="GX3102" s="5" t="s">
        <v>240</v>
      </c>
      <c r="GY3102" s="5" t="s">
        <v>240</v>
      </c>
      <c r="GZ3102" s="5" t="s">
        <v>240</v>
      </c>
      <c r="HA3102" s="5" t="s">
        <v>240</v>
      </c>
      <c r="HB3102" s="5" t="s">
        <v>240</v>
      </c>
      <c r="HC3102" s="5" t="s">
        <v>240</v>
      </c>
      <c r="HD3102" s="5" t="s">
        <v>240</v>
      </c>
      <c r="HE3102" s="5" t="s">
        <v>240</v>
      </c>
      <c r="HF3102" s="5" t="s">
        <v>240</v>
      </c>
      <c r="HG3102" s="5" t="s">
        <v>240</v>
      </c>
      <c r="HH3102" s="5" t="s">
        <v>240</v>
      </c>
      <c r="HI3102" s="5" t="s">
        <v>240</v>
      </c>
      <c r="HJ3102" s="5" t="s">
        <v>240</v>
      </c>
      <c r="HK3102" s="5" t="s">
        <v>240</v>
      </c>
      <c r="HL3102" s="5" t="s">
        <v>240</v>
      </c>
      <c r="HM3102" s="5" t="s">
        <v>240</v>
      </c>
      <c r="HN3102" s="5" t="s">
        <v>240</v>
      </c>
      <c r="HO3102" s="5" t="s">
        <v>312</v>
      </c>
      <c r="HP3102" s="5" t="s">
        <v>240</v>
      </c>
      <c r="HQ3102" s="5" t="s">
        <v>240</v>
      </c>
      <c r="HR3102" s="5" t="s">
        <v>240</v>
      </c>
      <c r="HS3102" s="5" t="s">
        <v>240</v>
      </c>
      <c r="HT3102" s="5" t="s">
        <v>240</v>
      </c>
      <c r="HU3102" s="5" t="s">
        <v>240</v>
      </c>
      <c r="HV3102" s="5" t="s">
        <v>240</v>
      </c>
      <c r="HW3102" s="5" t="s">
        <v>240</v>
      </c>
      <c r="HX3102" s="5" t="s">
        <v>240</v>
      </c>
      <c r="HY3102" s="5" t="s">
        <v>240</v>
      </c>
      <c r="HZ3102" s="5" t="s">
        <v>240</v>
      </c>
      <c r="IA3102" s="5" t="s">
        <v>240</v>
      </c>
      <c r="IB3102" s="5" t="s">
        <v>240</v>
      </c>
      <c r="IC3102" s="5" t="s">
        <v>240</v>
      </c>
      <c r="ID3102" s="5" t="s">
        <v>240</v>
      </c>
      <c r="IE3102" s="5" t="s">
        <v>240</v>
      </c>
      <c r="IF3102" s="5" t="s">
        <v>240</v>
      </c>
    </row>
    <row r="3103" spans="1:240" x14ac:dyDescent="0.4">
      <c r="A3103" s="5">
        <v>4807</v>
      </c>
      <c r="B3103" s="5">
        <v>1</v>
      </c>
      <c r="C3103" s="5">
        <v>1</v>
      </c>
      <c r="D3103" s="5" t="s">
        <v>810</v>
      </c>
      <c r="E3103" s="5" t="s">
        <v>245</v>
      </c>
      <c r="F3103" s="5" t="s">
        <v>254</v>
      </c>
      <c r="G3103" s="5" t="s">
        <v>240</v>
      </c>
      <c r="H3103" s="6" t="s">
        <v>2342</v>
      </c>
      <c r="I3103" s="5" t="s">
        <v>809</v>
      </c>
      <c r="J3103" s="8">
        <f>176</f>
        <v>176</v>
      </c>
      <c r="K3103" s="5" t="s">
        <v>308</v>
      </c>
      <c r="L3103" s="7">
        <f>1</f>
        <v>1</v>
      </c>
      <c r="M3103" s="7">
        <f>1</f>
        <v>1</v>
      </c>
      <c r="N3103" s="5" t="s">
        <v>242</v>
      </c>
      <c r="O3103" s="5">
        <v>1</v>
      </c>
      <c r="P3103" s="5" t="s">
        <v>294</v>
      </c>
      <c r="Q3103" s="5" t="s">
        <v>3678</v>
      </c>
      <c r="R3103" s="5" t="s">
        <v>240</v>
      </c>
      <c r="S3103" s="5" t="s">
        <v>240</v>
      </c>
      <c r="T3103" s="5" t="s">
        <v>243</v>
      </c>
      <c r="U3103" s="5" t="s">
        <v>244</v>
      </c>
      <c r="V3103" s="5" t="s">
        <v>240</v>
      </c>
      <c r="W3103" s="5" t="s">
        <v>240</v>
      </c>
      <c r="X3103" s="5" t="s">
        <v>240</v>
      </c>
      <c r="Y3103" s="5" t="s">
        <v>240</v>
      </c>
      <c r="Z3103" s="6" t="s">
        <v>298</v>
      </c>
      <c r="AA3103" s="6" t="s">
        <v>240</v>
      </c>
      <c r="AB3103" s="6" t="s">
        <v>240</v>
      </c>
      <c r="AC3103" s="5" t="s">
        <v>240</v>
      </c>
      <c r="AD3103" s="6" t="s">
        <v>240</v>
      </c>
      <c r="AE3103" s="6" t="s">
        <v>299</v>
      </c>
      <c r="AF3103" s="5" t="s">
        <v>248</v>
      </c>
      <c r="AG3103" s="5" t="s">
        <v>249</v>
      </c>
      <c r="AH3103" s="5" t="s">
        <v>240</v>
      </c>
      <c r="AI3103" s="5" t="s">
        <v>240</v>
      </c>
      <c r="AJ3103" s="5" t="s">
        <v>240</v>
      </c>
      <c r="AK3103" s="5" t="s">
        <v>240</v>
      </c>
      <c r="AL3103" s="5" t="s">
        <v>240</v>
      </c>
      <c r="AM3103" s="5" t="s">
        <v>240</v>
      </c>
      <c r="AN3103" s="5" t="s">
        <v>240</v>
      </c>
      <c r="AO3103" s="5" t="s">
        <v>240</v>
      </c>
      <c r="AP3103" s="6" t="s">
        <v>240</v>
      </c>
      <c r="AQ3103" s="6" t="s">
        <v>240</v>
      </c>
      <c r="AR3103" s="6" t="s">
        <v>240</v>
      </c>
      <c r="AS3103" s="6" t="s">
        <v>240</v>
      </c>
      <c r="AT3103" s="5" t="s">
        <v>240</v>
      </c>
      <c r="AU3103" s="5" t="s">
        <v>729</v>
      </c>
      <c r="AV3103" s="5" t="s">
        <v>729</v>
      </c>
      <c r="AW3103" s="5" t="s">
        <v>251</v>
      </c>
      <c r="AX3103" s="5" t="s">
        <v>252</v>
      </c>
      <c r="AY3103" s="5" t="s">
        <v>253</v>
      </c>
      <c r="AZ3103" s="5" t="s">
        <v>240</v>
      </c>
      <c r="BA3103" s="5" t="s">
        <v>255</v>
      </c>
      <c r="BB3103" s="5" t="s">
        <v>731</v>
      </c>
      <c r="BD3103" s="5" t="s">
        <v>240</v>
      </c>
      <c r="BF3103" s="5" t="s">
        <v>732</v>
      </c>
      <c r="BG3103" s="6" t="s">
        <v>733</v>
      </c>
      <c r="BH3103" s="5" t="s">
        <v>734</v>
      </c>
      <c r="BI3103" s="5" t="s">
        <v>734</v>
      </c>
      <c r="BJ3103" s="5" t="s">
        <v>240</v>
      </c>
      <c r="BK3103" s="7">
        <f>1</f>
        <v>1</v>
      </c>
      <c r="BL3103" s="7">
        <f>1</f>
        <v>1</v>
      </c>
      <c r="BM3103" s="5" t="s">
        <v>258</v>
      </c>
      <c r="BN3103" s="5" t="s">
        <v>259</v>
      </c>
      <c r="BO3103" s="5" t="s">
        <v>240</v>
      </c>
      <c r="BP3103" s="5" t="s">
        <v>240</v>
      </c>
      <c r="BQ3103" s="5" t="s">
        <v>240</v>
      </c>
      <c r="BR3103" s="5" t="s">
        <v>240</v>
      </c>
      <c r="BS3103" s="5" t="s">
        <v>240</v>
      </c>
      <c r="BT3103" s="5" t="s">
        <v>240</v>
      </c>
      <c r="BU3103" s="5" t="s">
        <v>240</v>
      </c>
      <c r="BV3103" s="5" t="s">
        <v>240</v>
      </c>
      <c r="BW3103" s="6" t="s">
        <v>240</v>
      </c>
      <c r="BX3103" s="5" t="s">
        <v>240</v>
      </c>
      <c r="BY3103" s="5" t="s">
        <v>240</v>
      </c>
      <c r="BZ3103" s="5" t="s">
        <v>240</v>
      </c>
      <c r="CA3103" s="5" t="s">
        <v>259</v>
      </c>
      <c r="CB3103" s="5" t="s">
        <v>240</v>
      </c>
      <c r="CC3103" s="5" t="s">
        <v>240</v>
      </c>
      <c r="CD3103" s="5" t="s">
        <v>240</v>
      </c>
      <c r="CE3103" s="5" t="s">
        <v>240</v>
      </c>
      <c r="CF3103" s="5" t="s">
        <v>240</v>
      </c>
      <c r="CG3103" s="5" t="s">
        <v>304</v>
      </c>
      <c r="CH3103" s="5" t="s">
        <v>305</v>
      </c>
      <c r="CI3103" s="5" t="s">
        <v>240</v>
      </c>
      <c r="CK3103" s="5" t="s">
        <v>3681</v>
      </c>
      <c r="CL3103" s="6" t="s">
        <v>261</v>
      </c>
      <c r="CM3103" s="5" t="s">
        <v>262</v>
      </c>
      <c r="CN3103" s="5" t="s">
        <v>263</v>
      </c>
      <c r="CO3103" s="5" t="s">
        <v>264</v>
      </c>
      <c r="CP3103" s="5" t="s">
        <v>240</v>
      </c>
      <c r="CQ3103" s="5">
        <v>0</v>
      </c>
      <c r="CR3103" s="5" t="s">
        <v>735</v>
      </c>
      <c r="CS3103" s="5" t="s">
        <v>307</v>
      </c>
      <c r="CT3103" s="5" t="s">
        <v>307</v>
      </c>
      <c r="CU3103" s="5" t="s">
        <v>260</v>
      </c>
      <c r="CV3103" s="5" t="s">
        <v>612</v>
      </c>
      <c r="CW3103" s="8">
        <f>1</f>
        <v>1</v>
      </c>
      <c r="CX3103" s="7">
        <f>1</f>
        <v>1</v>
      </c>
      <c r="CY3103" s="7">
        <f>0</f>
        <v>0</v>
      </c>
      <c r="DA3103" s="7">
        <f>1</f>
        <v>1</v>
      </c>
      <c r="DB3103" s="7" t="s">
        <v>240</v>
      </c>
      <c r="DC3103" s="5" t="s">
        <v>240</v>
      </c>
      <c r="DD3103" s="5" t="s">
        <v>240</v>
      </c>
      <c r="DE3103" s="5" t="s">
        <v>240</v>
      </c>
      <c r="DF3103" s="5" t="s">
        <v>240</v>
      </c>
      <c r="DG3103" s="7">
        <f>0</f>
        <v>0</v>
      </c>
      <c r="DI3103" s="5" t="s">
        <v>240</v>
      </c>
      <c r="DJ3103" s="5" t="s">
        <v>240</v>
      </c>
      <c r="DK3103" s="5" t="s">
        <v>240</v>
      </c>
      <c r="DL3103" s="5" t="s">
        <v>240</v>
      </c>
      <c r="DM3103" s="5" t="s">
        <v>240</v>
      </c>
      <c r="DN3103" s="5" t="s">
        <v>240</v>
      </c>
      <c r="DO3103" s="7" t="s">
        <v>240</v>
      </c>
      <c r="DP3103" s="5" t="s">
        <v>240</v>
      </c>
      <c r="DQ3103" s="5" t="s">
        <v>240</v>
      </c>
      <c r="DR3103" s="5" t="s">
        <v>731</v>
      </c>
      <c r="DS3103" s="5" t="s">
        <v>731</v>
      </c>
      <c r="DT3103" s="5" t="s">
        <v>240</v>
      </c>
      <c r="DU3103" s="5" t="s">
        <v>240</v>
      </c>
      <c r="DV3103" s="5" t="s">
        <v>3683</v>
      </c>
      <c r="DW3103" s="5" t="s">
        <v>1042</v>
      </c>
      <c r="DX3103" s="5" t="s">
        <v>240</v>
      </c>
      <c r="DY3103" s="5" t="s">
        <v>240</v>
      </c>
      <c r="DZ3103" s="5" t="s">
        <v>240</v>
      </c>
      <c r="EA3103" s="5" t="s">
        <v>240</v>
      </c>
      <c r="EB3103" s="5" t="s">
        <v>240</v>
      </c>
      <c r="EC3103" s="5" t="s">
        <v>240</v>
      </c>
      <c r="ED3103" s="5" t="s">
        <v>240</v>
      </c>
      <c r="EE3103" s="5" t="s">
        <v>240</v>
      </c>
      <c r="EF3103" s="5" t="s">
        <v>240</v>
      </c>
      <c r="EG3103" s="5" t="s">
        <v>240</v>
      </c>
      <c r="EH3103" s="5" t="s">
        <v>240</v>
      </c>
      <c r="EI3103" s="5" t="s">
        <v>240</v>
      </c>
      <c r="EJ3103" s="5" t="s">
        <v>240</v>
      </c>
      <c r="EK3103" s="5" t="s">
        <v>240</v>
      </c>
      <c r="EL3103" s="5" t="s">
        <v>240</v>
      </c>
      <c r="EM3103" s="5" t="s">
        <v>240</v>
      </c>
      <c r="EN3103" s="5" t="s">
        <v>240</v>
      </c>
      <c r="EO3103" s="5" t="s">
        <v>240</v>
      </c>
      <c r="EP3103" s="5" t="s">
        <v>240</v>
      </c>
      <c r="EQ3103" s="5" t="s">
        <v>240</v>
      </c>
      <c r="ER3103" s="5" t="s">
        <v>240</v>
      </c>
      <c r="ES3103" s="5" t="s">
        <v>240</v>
      </c>
      <c r="ET3103" s="5" t="s">
        <v>240</v>
      </c>
      <c r="EU3103" s="5" t="s">
        <v>240</v>
      </c>
      <c r="EV3103" s="5" t="s">
        <v>240</v>
      </c>
      <c r="EW3103" s="5" t="s">
        <v>240</v>
      </c>
      <c r="EX3103" s="5" t="s">
        <v>240</v>
      </c>
      <c r="EY3103" s="5" t="s">
        <v>240</v>
      </c>
      <c r="EZ3103" s="5" t="s">
        <v>240</v>
      </c>
      <c r="FA3103" s="5" t="s">
        <v>240</v>
      </c>
      <c r="FB3103" s="5" t="s">
        <v>240</v>
      </c>
      <c r="FC3103" s="5" t="s">
        <v>240</v>
      </c>
      <c r="FD3103" s="5" t="s">
        <v>240</v>
      </c>
      <c r="FE3103" s="5" t="s">
        <v>240</v>
      </c>
      <c r="FF3103" s="5" t="s">
        <v>240</v>
      </c>
      <c r="FG3103" s="5" t="s">
        <v>240</v>
      </c>
      <c r="FH3103" s="5" t="s">
        <v>240</v>
      </c>
      <c r="FI3103" s="5" t="s">
        <v>240</v>
      </c>
      <c r="FJ3103" s="5" t="s">
        <v>240</v>
      </c>
      <c r="FK3103" s="5" t="s">
        <v>240</v>
      </c>
      <c r="FL3103" s="5" t="s">
        <v>240</v>
      </c>
      <c r="FM3103" s="5" t="s">
        <v>240</v>
      </c>
      <c r="FN3103" s="5" t="s">
        <v>240</v>
      </c>
      <c r="FO3103" s="5" t="s">
        <v>240</v>
      </c>
      <c r="FP3103" s="5" t="s">
        <v>240</v>
      </c>
      <c r="FQ3103" s="5" t="s">
        <v>240</v>
      </c>
      <c r="FR3103" s="5" t="s">
        <v>240</v>
      </c>
      <c r="FS3103" s="5" t="s">
        <v>240</v>
      </c>
      <c r="FT3103" s="5" t="s">
        <v>240</v>
      </c>
      <c r="FU3103" s="5" t="s">
        <v>240</v>
      </c>
      <c r="FV3103" s="5" t="s">
        <v>240</v>
      </c>
      <c r="FW3103" s="5" t="s">
        <v>240</v>
      </c>
      <c r="FX3103" s="5" t="s">
        <v>240</v>
      </c>
      <c r="FY3103" s="5" t="s">
        <v>240</v>
      </c>
      <c r="FZ3103" s="5" t="s">
        <v>240</v>
      </c>
      <c r="GA3103" s="5" t="s">
        <v>240</v>
      </c>
      <c r="GB3103" s="5" t="s">
        <v>240</v>
      </c>
      <c r="GC3103" s="5" t="s">
        <v>240</v>
      </c>
      <c r="GD3103" s="5" t="s">
        <v>240</v>
      </c>
      <c r="GE3103" s="5" t="s">
        <v>240</v>
      </c>
      <c r="GF3103" s="5" t="s">
        <v>240</v>
      </c>
      <c r="GG3103" s="5" t="s">
        <v>240</v>
      </c>
      <c r="GH3103" s="5" t="s">
        <v>240</v>
      </c>
      <c r="GI3103" s="5" t="s">
        <v>240</v>
      </c>
      <c r="GJ3103" s="5" t="s">
        <v>240</v>
      </c>
      <c r="GK3103" s="5" t="s">
        <v>240</v>
      </c>
      <c r="GL3103" s="5" t="s">
        <v>240</v>
      </c>
      <c r="GM3103" s="5" t="s">
        <v>240</v>
      </c>
      <c r="GN3103" s="5" t="s">
        <v>240</v>
      </c>
      <c r="GO3103" s="5" t="s">
        <v>240</v>
      </c>
      <c r="GP3103" s="5" t="s">
        <v>240</v>
      </c>
      <c r="GQ3103" s="5" t="s">
        <v>240</v>
      </c>
      <c r="GR3103" s="5" t="s">
        <v>240</v>
      </c>
      <c r="GS3103" s="5" t="s">
        <v>240</v>
      </c>
      <c r="GT3103" s="5" t="s">
        <v>240</v>
      </c>
      <c r="GU3103" s="5" t="s">
        <v>240</v>
      </c>
      <c r="GV3103" s="5" t="s">
        <v>240</v>
      </c>
      <c r="GW3103" s="5" t="s">
        <v>240</v>
      </c>
      <c r="GX3103" s="5" t="s">
        <v>240</v>
      </c>
      <c r="GY3103" s="5" t="s">
        <v>240</v>
      </c>
      <c r="GZ3103" s="5" t="s">
        <v>240</v>
      </c>
      <c r="HA3103" s="5" t="s">
        <v>240</v>
      </c>
      <c r="HB3103" s="5" t="s">
        <v>240</v>
      </c>
      <c r="HC3103" s="5" t="s">
        <v>240</v>
      </c>
      <c r="HD3103" s="5" t="s">
        <v>240</v>
      </c>
      <c r="HE3103" s="5" t="s">
        <v>240</v>
      </c>
      <c r="HF3103" s="5" t="s">
        <v>240</v>
      </c>
      <c r="HG3103" s="5" t="s">
        <v>240</v>
      </c>
      <c r="HH3103" s="5" t="s">
        <v>240</v>
      </c>
      <c r="HI3103" s="5" t="s">
        <v>240</v>
      </c>
      <c r="HJ3103" s="5" t="s">
        <v>240</v>
      </c>
      <c r="HK3103" s="5" t="s">
        <v>240</v>
      </c>
      <c r="HL3103" s="5" t="s">
        <v>240</v>
      </c>
      <c r="HM3103" s="5" t="s">
        <v>240</v>
      </c>
      <c r="HN3103" s="5" t="s">
        <v>240</v>
      </c>
      <c r="HO3103" s="5" t="s">
        <v>312</v>
      </c>
      <c r="HP3103" s="5" t="s">
        <v>240</v>
      </c>
      <c r="HQ3103" s="5" t="s">
        <v>240</v>
      </c>
      <c r="HR3103" s="5" t="s">
        <v>240</v>
      </c>
      <c r="HS3103" s="5" t="s">
        <v>240</v>
      </c>
      <c r="HT3103" s="5" t="s">
        <v>240</v>
      </c>
      <c r="HU3103" s="5" t="s">
        <v>240</v>
      </c>
      <c r="HV3103" s="5" t="s">
        <v>240</v>
      </c>
      <c r="HW3103" s="5" t="s">
        <v>240</v>
      </c>
      <c r="HX3103" s="5" t="s">
        <v>240</v>
      </c>
      <c r="HY3103" s="5" t="s">
        <v>240</v>
      </c>
      <c r="HZ3103" s="5" t="s">
        <v>240</v>
      </c>
      <c r="IA3103" s="5" t="s">
        <v>240</v>
      </c>
      <c r="IB3103" s="5" t="s">
        <v>240</v>
      </c>
      <c r="IC3103" s="5" t="s">
        <v>240</v>
      </c>
      <c r="ID3103" s="5" t="s">
        <v>240</v>
      </c>
      <c r="IE3103" s="5" t="s">
        <v>240</v>
      </c>
      <c r="IF3103" s="5" t="s">
        <v>240</v>
      </c>
    </row>
    <row r="3104" spans="1:240" x14ac:dyDescent="0.4">
      <c r="A3104" s="5">
        <v>4808</v>
      </c>
      <c r="B3104" s="5">
        <v>1</v>
      </c>
      <c r="C3104" s="5">
        <v>1</v>
      </c>
      <c r="D3104" s="5" t="s">
        <v>810</v>
      </c>
      <c r="E3104" s="5" t="s">
        <v>245</v>
      </c>
      <c r="F3104" s="5" t="s">
        <v>254</v>
      </c>
      <c r="G3104" s="5" t="s">
        <v>240</v>
      </c>
      <c r="H3104" s="6" t="s">
        <v>2340</v>
      </c>
      <c r="I3104" s="5" t="s">
        <v>809</v>
      </c>
      <c r="J3104" s="8">
        <f>837</f>
        <v>837</v>
      </c>
      <c r="K3104" s="5" t="s">
        <v>308</v>
      </c>
      <c r="L3104" s="7">
        <f>1</f>
        <v>1</v>
      </c>
      <c r="M3104" s="7">
        <f>1</f>
        <v>1</v>
      </c>
      <c r="N3104" s="5" t="s">
        <v>242</v>
      </c>
      <c r="O3104" s="5">
        <v>1</v>
      </c>
      <c r="P3104" s="5" t="s">
        <v>294</v>
      </c>
      <c r="Q3104" s="5" t="s">
        <v>3678</v>
      </c>
      <c r="R3104" s="5" t="s">
        <v>240</v>
      </c>
      <c r="S3104" s="5" t="s">
        <v>240</v>
      </c>
      <c r="T3104" s="5" t="s">
        <v>243</v>
      </c>
      <c r="U3104" s="5" t="s">
        <v>244</v>
      </c>
      <c r="V3104" s="5" t="s">
        <v>240</v>
      </c>
      <c r="W3104" s="5" t="s">
        <v>240</v>
      </c>
      <c r="X3104" s="5" t="s">
        <v>240</v>
      </c>
      <c r="Y3104" s="5" t="s">
        <v>240</v>
      </c>
      <c r="Z3104" s="6" t="s">
        <v>298</v>
      </c>
      <c r="AA3104" s="6" t="s">
        <v>240</v>
      </c>
      <c r="AB3104" s="6" t="s">
        <v>240</v>
      </c>
      <c r="AC3104" s="5" t="s">
        <v>240</v>
      </c>
      <c r="AD3104" s="6" t="s">
        <v>240</v>
      </c>
      <c r="AE3104" s="6" t="s">
        <v>299</v>
      </c>
      <c r="AF3104" s="5" t="s">
        <v>248</v>
      </c>
      <c r="AG3104" s="5" t="s">
        <v>249</v>
      </c>
      <c r="AH3104" s="5" t="s">
        <v>240</v>
      </c>
      <c r="AI3104" s="5" t="s">
        <v>240</v>
      </c>
      <c r="AJ3104" s="5" t="s">
        <v>240</v>
      </c>
      <c r="AK3104" s="5" t="s">
        <v>240</v>
      </c>
      <c r="AL3104" s="5" t="s">
        <v>240</v>
      </c>
      <c r="AM3104" s="5" t="s">
        <v>240</v>
      </c>
      <c r="AN3104" s="5" t="s">
        <v>240</v>
      </c>
      <c r="AO3104" s="5" t="s">
        <v>240</v>
      </c>
      <c r="AP3104" s="6" t="s">
        <v>240</v>
      </c>
      <c r="AQ3104" s="6" t="s">
        <v>240</v>
      </c>
      <c r="AR3104" s="6" t="s">
        <v>240</v>
      </c>
      <c r="AS3104" s="6" t="s">
        <v>240</v>
      </c>
      <c r="AT3104" s="5" t="s">
        <v>240</v>
      </c>
      <c r="AU3104" s="5" t="s">
        <v>729</v>
      </c>
      <c r="AV3104" s="5" t="s">
        <v>729</v>
      </c>
      <c r="AW3104" s="5" t="s">
        <v>251</v>
      </c>
      <c r="AX3104" s="5" t="s">
        <v>252</v>
      </c>
      <c r="AY3104" s="5" t="s">
        <v>253</v>
      </c>
      <c r="AZ3104" s="5" t="s">
        <v>240</v>
      </c>
      <c r="BA3104" s="5" t="s">
        <v>255</v>
      </c>
      <c r="BB3104" s="5" t="s">
        <v>731</v>
      </c>
      <c r="BD3104" s="5" t="s">
        <v>240</v>
      </c>
      <c r="BF3104" s="5" t="s">
        <v>732</v>
      </c>
      <c r="BG3104" s="6" t="s">
        <v>733</v>
      </c>
      <c r="BH3104" s="5" t="s">
        <v>734</v>
      </c>
      <c r="BI3104" s="5" t="s">
        <v>734</v>
      </c>
      <c r="BJ3104" s="5" t="s">
        <v>240</v>
      </c>
      <c r="BK3104" s="7">
        <f>1</f>
        <v>1</v>
      </c>
      <c r="BL3104" s="7">
        <f>1</f>
        <v>1</v>
      </c>
      <c r="BM3104" s="5" t="s">
        <v>258</v>
      </c>
      <c r="BN3104" s="5" t="s">
        <v>259</v>
      </c>
      <c r="BO3104" s="5" t="s">
        <v>240</v>
      </c>
      <c r="BP3104" s="5" t="s">
        <v>240</v>
      </c>
      <c r="BQ3104" s="5" t="s">
        <v>240</v>
      </c>
      <c r="BR3104" s="5" t="s">
        <v>240</v>
      </c>
      <c r="BS3104" s="5" t="s">
        <v>240</v>
      </c>
      <c r="BT3104" s="5" t="s">
        <v>240</v>
      </c>
      <c r="BU3104" s="5" t="s">
        <v>240</v>
      </c>
      <c r="BV3104" s="5" t="s">
        <v>240</v>
      </c>
      <c r="BW3104" s="6" t="s">
        <v>240</v>
      </c>
      <c r="BX3104" s="5" t="s">
        <v>240</v>
      </c>
      <c r="BY3104" s="5" t="s">
        <v>240</v>
      </c>
      <c r="BZ3104" s="5" t="s">
        <v>240</v>
      </c>
      <c r="CA3104" s="5" t="s">
        <v>259</v>
      </c>
      <c r="CB3104" s="5" t="s">
        <v>240</v>
      </c>
      <c r="CC3104" s="5" t="s">
        <v>240</v>
      </c>
      <c r="CD3104" s="5" t="s">
        <v>240</v>
      </c>
      <c r="CE3104" s="5" t="s">
        <v>240</v>
      </c>
      <c r="CF3104" s="5" t="s">
        <v>240</v>
      </c>
      <c r="CG3104" s="5" t="s">
        <v>304</v>
      </c>
      <c r="CH3104" s="5" t="s">
        <v>305</v>
      </c>
      <c r="CI3104" s="5" t="s">
        <v>240</v>
      </c>
      <c r="CK3104" s="5" t="s">
        <v>3681</v>
      </c>
      <c r="CL3104" s="6" t="s">
        <v>261</v>
      </c>
      <c r="CM3104" s="5" t="s">
        <v>262</v>
      </c>
      <c r="CN3104" s="5" t="s">
        <v>263</v>
      </c>
      <c r="CO3104" s="5" t="s">
        <v>264</v>
      </c>
      <c r="CP3104" s="5" t="s">
        <v>240</v>
      </c>
      <c r="CQ3104" s="5">
        <v>0</v>
      </c>
      <c r="CR3104" s="5" t="s">
        <v>735</v>
      </c>
      <c r="CS3104" s="5" t="s">
        <v>307</v>
      </c>
      <c r="CT3104" s="5" t="s">
        <v>307</v>
      </c>
      <c r="CU3104" s="5" t="s">
        <v>260</v>
      </c>
      <c r="CV3104" s="5" t="s">
        <v>612</v>
      </c>
      <c r="CW3104" s="8">
        <f>1</f>
        <v>1</v>
      </c>
      <c r="CX3104" s="7">
        <f>1</f>
        <v>1</v>
      </c>
      <c r="CY3104" s="7">
        <f>0</f>
        <v>0</v>
      </c>
      <c r="DA3104" s="7">
        <f>1</f>
        <v>1</v>
      </c>
      <c r="DB3104" s="7" t="s">
        <v>240</v>
      </c>
      <c r="DC3104" s="5" t="s">
        <v>240</v>
      </c>
      <c r="DD3104" s="5" t="s">
        <v>240</v>
      </c>
      <c r="DE3104" s="5" t="s">
        <v>240</v>
      </c>
      <c r="DF3104" s="5" t="s">
        <v>240</v>
      </c>
      <c r="DG3104" s="7">
        <f>0</f>
        <v>0</v>
      </c>
      <c r="DI3104" s="5" t="s">
        <v>240</v>
      </c>
      <c r="DJ3104" s="5" t="s">
        <v>240</v>
      </c>
      <c r="DK3104" s="5" t="s">
        <v>240</v>
      </c>
      <c r="DL3104" s="5" t="s">
        <v>240</v>
      </c>
      <c r="DM3104" s="5" t="s">
        <v>240</v>
      </c>
      <c r="DN3104" s="5" t="s">
        <v>240</v>
      </c>
      <c r="DO3104" s="7" t="s">
        <v>240</v>
      </c>
      <c r="DP3104" s="5" t="s">
        <v>240</v>
      </c>
      <c r="DQ3104" s="5" t="s">
        <v>240</v>
      </c>
      <c r="DR3104" s="5" t="s">
        <v>731</v>
      </c>
      <c r="DS3104" s="5" t="s">
        <v>731</v>
      </c>
      <c r="DT3104" s="5" t="s">
        <v>240</v>
      </c>
      <c r="DU3104" s="5" t="s">
        <v>240</v>
      </c>
      <c r="DV3104" s="5" t="s">
        <v>3683</v>
      </c>
      <c r="DW3104" s="5" t="s">
        <v>1050</v>
      </c>
      <c r="DX3104" s="5" t="s">
        <v>240</v>
      </c>
      <c r="DY3104" s="5" t="s">
        <v>240</v>
      </c>
      <c r="DZ3104" s="5" t="s">
        <v>240</v>
      </c>
      <c r="EA3104" s="5" t="s">
        <v>240</v>
      </c>
      <c r="EB3104" s="5" t="s">
        <v>240</v>
      </c>
      <c r="EC3104" s="5" t="s">
        <v>240</v>
      </c>
      <c r="ED3104" s="5" t="s">
        <v>240</v>
      </c>
      <c r="EE3104" s="5" t="s">
        <v>240</v>
      </c>
      <c r="EF3104" s="5" t="s">
        <v>240</v>
      </c>
      <c r="EG3104" s="5" t="s">
        <v>240</v>
      </c>
      <c r="EH3104" s="5" t="s">
        <v>240</v>
      </c>
      <c r="EI3104" s="5" t="s">
        <v>240</v>
      </c>
      <c r="EJ3104" s="5" t="s">
        <v>240</v>
      </c>
      <c r="EK3104" s="5" t="s">
        <v>240</v>
      </c>
      <c r="EL3104" s="5" t="s">
        <v>240</v>
      </c>
      <c r="EM3104" s="5" t="s">
        <v>240</v>
      </c>
      <c r="EN3104" s="5" t="s">
        <v>240</v>
      </c>
      <c r="EO3104" s="5" t="s">
        <v>240</v>
      </c>
      <c r="EP3104" s="5" t="s">
        <v>240</v>
      </c>
      <c r="EQ3104" s="5" t="s">
        <v>240</v>
      </c>
      <c r="ER3104" s="5" t="s">
        <v>240</v>
      </c>
      <c r="ES3104" s="5" t="s">
        <v>240</v>
      </c>
      <c r="ET3104" s="5" t="s">
        <v>240</v>
      </c>
      <c r="EU3104" s="5" t="s">
        <v>240</v>
      </c>
      <c r="EV3104" s="5" t="s">
        <v>240</v>
      </c>
      <c r="EW3104" s="5" t="s">
        <v>240</v>
      </c>
      <c r="EX3104" s="5" t="s">
        <v>240</v>
      </c>
      <c r="EY3104" s="5" t="s">
        <v>240</v>
      </c>
      <c r="EZ3104" s="5" t="s">
        <v>240</v>
      </c>
      <c r="FA3104" s="5" t="s">
        <v>240</v>
      </c>
      <c r="FB3104" s="5" t="s">
        <v>240</v>
      </c>
      <c r="FC3104" s="5" t="s">
        <v>240</v>
      </c>
      <c r="FD3104" s="5" t="s">
        <v>240</v>
      </c>
      <c r="FE3104" s="5" t="s">
        <v>240</v>
      </c>
      <c r="FF3104" s="5" t="s">
        <v>240</v>
      </c>
      <c r="FG3104" s="5" t="s">
        <v>240</v>
      </c>
      <c r="FH3104" s="5" t="s">
        <v>240</v>
      </c>
      <c r="FI3104" s="5" t="s">
        <v>240</v>
      </c>
      <c r="FJ3104" s="5" t="s">
        <v>240</v>
      </c>
      <c r="FK3104" s="5" t="s">
        <v>240</v>
      </c>
      <c r="FL3104" s="5" t="s">
        <v>240</v>
      </c>
      <c r="FM3104" s="5" t="s">
        <v>240</v>
      </c>
      <c r="FN3104" s="5" t="s">
        <v>240</v>
      </c>
      <c r="FO3104" s="5" t="s">
        <v>240</v>
      </c>
      <c r="FP3104" s="5" t="s">
        <v>240</v>
      </c>
      <c r="FQ3104" s="5" t="s">
        <v>240</v>
      </c>
      <c r="FR3104" s="5" t="s">
        <v>240</v>
      </c>
      <c r="FS3104" s="5" t="s">
        <v>240</v>
      </c>
      <c r="FT3104" s="5" t="s">
        <v>240</v>
      </c>
      <c r="FU3104" s="5" t="s">
        <v>240</v>
      </c>
      <c r="FV3104" s="5" t="s">
        <v>240</v>
      </c>
      <c r="FW3104" s="5" t="s">
        <v>240</v>
      </c>
      <c r="FX3104" s="5" t="s">
        <v>240</v>
      </c>
      <c r="FY3104" s="5" t="s">
        <v>240</v>
      </c>
      <c r="FZ3104" s="5" t="s">
        <v>240</v>
      </c>
      <c r="GA3104" s="5" t="s">
        <v>240</v>
      </c>
      <c r="GB3104" s="5" t="s">
        <v>240</v>
      </c>
      <c r="GC3104" s="5" t="s">
        <v>240</v>
      </c>
      <c r="GD3104" s="5" t="s">
        <v>240</v>
      </c>
      <c r="GE3104" s="5" t="s">
        <v>240</v>
      </c>
      <c r="GF3104" s="5" t="s">
        <v>240</v>
      </c>
      <c r="GG3104" s="5" t="s">
        <v>240</v>
      </c>
      <c r="GH3104" s="5" t="s">
        <v>240</v>
      </c>
      <c r="GI3104" s="5" t="s">
        <v>240</v>
      </c>
      <c r="GJ3104" s="5" t="s">
        <v>240</v>
      </c>
      <c r="GK3104" s="5" t="s">
        <v>240</v>
      </c>
      <c r="GL3104" s="5" t="s">
        <v>240</v>
      </c>
      <c r="GM3104" s="5" t="s">
        <v>240</v>
      </c>
      <c r="GN3104" s="5" t="s">
        <v>240</v>
      </c>
      <c r="GO3104" s="5" t="s">
        <v>240</v>
      </c>
      <c r="GP3104" s="5" t="s">
        <v>240</v>
      </c>
      <c r="GQ3104" s="5" t="s">
        <v>240</v>
      </c>
      <c r="GR3104" s="5" t="s">
        <v>240</v>
      </c>
      <c r="GS3104" s="5" t="s">
        <v>240</v>
      </c>
      <c r="GT3104" s="5" t="s">
        <v>240</v>
      </c>
      <c r="GU3104" s="5" t="s">
        <v>240</v>
      </c>
      <c r="GV3104" s="5" t="s">
        <v>240</v>
      </c>
      <c r="GW3104" s="5" t="s">
        <v>240</v>
      </c>
      <c r="GX3104" s="5" t="s">
        <v>240</v>
      </c>
      <c r="GY3104" s="5" t="s">
        <v>240</v>
      </c>
      <c r="GZ3104" s="5" t="s">
        <v>240</v>
      </c>
      <c r="HA3104" s="5" t="s">
        <v>240</v>
      </c>
      <c r="HB3104" s="5" t="s">
        <v>240</v>
      </c>
      <c r="HC3104" s="5" t="s">
        <v>240</v>
      </c>
      <c r="HD3104" s="5" t="s">
        <v>240</v>
      </c>
      <c r="HE3104" s="5" t="s">
        <v>240</v>
      </c>
      <c r="HF3104" s="5" t="s">
        <v>240</v>
      </c>
      <c r="HG3104" s="5" t="s">
        <v>240</v>
      </c>
      <c r="HH3104" s="5" t="s">
        <v>240</v>
      </c>
      <c r="HI3104" s="5" t="s">
        <v>240</v>
      </c>
      <c r="HJ3104" s="5" t="s">
        <v>240</v>
      </c>
      <c r="HK3104" s="5" t="s">
        <v>240</v>
      </c>
      <c r="HL3104" s="5" t="s">
        <v>240</v>
      </c>
      <c r="HM3104" s="5" t="s">
        <v>240</v>
      </c>
      <c r="HN3104" s="5" t="s">
        <v>240</v>
      </c>
      <c r="HO3104" s="5" t="s">
        <v>312</v>
      </c>
      <c r="HP3104" s="5" t="s">
        <v>240</v>
      </c>
      <c r="HQ3104" s="5" t="s">
        <v>240</v>
      </c>
      <c r="HR3104" s="5" t="s">
        <v>240</v>
      </c>
      <c r="HS3104" s="5" t="s">
        <v>240</v>
      </c>
      <c r="HT3104" s="5" t="s">
        <v>240</v>
      </c>
      <c r="HU3104" s="5" t="s">
        <v>240</v>
      </c>
      <c r="HV3104" s="5" t="s">
        <v>240</v>
      </c>
      <c r="HW3104" s="5" t="s">
        <v>240</v>
      </c>
      <c r="HX3104" s="5" t="s">
        <v>240</v>
      </c>
      <c r="HY3104" s="5" t="s">
        <v>240</v>
      </c>
      <c r="HZ3104" s="5" t="s">
        <v>240</v>
      </c>
      <c r="IA3104" s="5" t="s">
        <v>240</v>
      </c>
      <c r="IB3104" s="5" t="s">
        <v>240</v>
      </c>
      <c r="IC3104" s="5" t="s">
        <v>240</v>
      </c>
      <c r="ID3104" s="5" t="s">
        <v>240</v>
      </c>
      <c r="IE3104" s="5" t="s">
        <v>240</v>
      </c>
      <c r="IF3104" s="5" t="s">
        <v>240</v>
      </c>
    </row>
    <row r="3105" spans="1:240" x14ac:dyDescent="0.4">
      <c r="A3105" s="5">
        <v>4809</v>
      </c>
      <c r="B3105" s="5">
        <v>1</v>
      </c>
      <c r="C3105" s="5">
        <v>1</v>
      </c>
      <c r="D3105" s="5" t="s">
        <v>810</v>
      </c>
      <c r="E3105" s="5" t="s">
        <v>245</v>
      </c>
      <c r="F3105" s="5" t="s">
        <v>254</v>
      </c>
      <c r="G3105" s="5" t="s">
        <v>240</v>
      </c>
      <c r="H3105" s="6" t="s">
        <v>2339</v>
      </c>
      <c r="I3105" s="5" t="s">
        <v>809</v>
      </c>
      <c r="J3105" s="8">
        <f>228</f>
        <v>228</v>
      </c>
      <c r="K3105" s="5" t="s">
        <v>308</v>
      </c>
      <c r="L3105" s="7">
        <f>1</f>
        <v>1</v>
      </c>
      <c r="M3105" s="7">
        <f>1</f>
        <v>1</v>
      </c>
      <c r="N3105" s="5" t="s">
        <v>242</v>
      </c>
      <c r="O3105" s="5">
        <v>1</v>
      </c>
      <c r="P3105" s="5" t="s">
        <v>294</v>
      </c>
      <c r="Q3105" s="5" t="s">
        <v>3678</v>
      </c>
      <c r="R3105" s="5" t="s">
        <v>240</v>
      </c>
      <c r="S3105" s="5" t="s">
        <v>240</v>
      </c>
      <c r="T3105" s="5" t="s">
        <v>243</v>
      </c>
      <c r="U3105" s="5" t="s">
        <v>244</v>
      </c>
      <c r="V3105" s="5" t="s">
        <v>240</v>
      </c>
      <c r="W3105" s="5" t="s">
        <v>240</v>
      </c>
      <c r="X3105" s="5" t="s">
        <v>240</v>
      </c>
      <c r="Y3105" s="5" t="s">
        <v>240</v>
      </c>
      <c r="Z3105" s="6" t="s">
        <v>298</v>
      </c>
      <c r="AA3105" s="6" t="s">
        <v>240</v>
      </c>
      <c r="AB3105" s="6" t="s">
        <v>240</v>
      </c>
      <c r="AC3105" s="5" t="s">
        <v>240</v>
      </c>
      <c r="AD3105" s="6" t="s">
        <v>240</v>
      </c>
      <c r="AE3105" s="6" t="s">
        <v>299</v>
      </c>
      <c r="AF3105" s="5" t="s">
        <v>248</v>
      </c>
      <c r="AG3105" s="5" t="s">
        <v>249</v>
      </c>
      <c r="AH3105" s="5" t="s">
        <v>240</v>
      </c>
      <c r="AI3105" s="5" t="s">
        <v>240</v>
      </c>
      <c r="AJ3105" s="5" t="s">
        <v>240</v>
      </c>
      <c r="AK3105" s="5" t="s">
        <v>240</v>
      </c>
      <c r="AL3105" s="5" t="s">
        <v>240</v>
      </c>
      <c r="AM3105" s="5" t="s">
        <v>240</v>
      </c>
      <c r="AN3105" s="5" t="s">
        <v>240</v>
      </c>
      <c r="AO3105" s="5" t="s">
        <v>240</v>
      </c>
      <c r="AP3105" s="6" t="s">
        <v>240</v>
      </c>
      <c r="AQ3105" s="6" t="s">
        <v>240</v>
      </c>
      <c r="AR3105" s="6" t="s">
        <v>240</v>
      </c>
      <c r="AS3105" s="6" t="s">
        <v>240</v>
      </c>
      <c r="AT3105" s="5" t="s">
        <v>240</v>
      </c>
      <c r="AU3105" s="5" t="s">
        <v>729</v>
      </c>
      <c r="AV3105" s="5" t="s">
        <v>729</v>
      </c>
      <c r="AW3105" s="5" t="s">
        <v>251</v>
      </c>
      <c r="AX3105" s="5" t="s">
        <v>252</v>
      </c>
      <c r="AY3105" s="5" t="s">
        <v>253</v>
      </c>
      <c r="AZ3105" s="5" t="s">
        <v>240</v>
      </c>
      <c r="BA3105" s="5" t="s">
        <v>255</v>
      </c>
      <c r="BB3105" s="5" t="s">
        <v>731</v>
      </c>
      <c r="BD3105" s="5" t="s">
        <v>240</v>
      </c>
      <c r="BF3105" s="5" t="s">
        <v>732</v>
      </c>
      <c r="BG3105" s="6" t="s">
        <v>733</v>
      </c>
      <c r="BH3105" s="5" t="s">
        <v>734</v>
      </c>
      <c r="BI3105" s="5" t="s">
        <v>734</v>
      </c>
      <c r="BJ3105" s="5" t="s">
        <v>240</v>
      </c>
      <c r="BK3105" s="7">
        <f>1</f>
        <v>1</v>
      </c>
      <c r="BL3105" s="7">
        <f>1</f>
        <v>1</v>
      </c>
      <c r="BM3105" s="5" t="s">
        <v>258</v>
      </c>
      <c r="BN3105" s="5" t="s">
        <v>259</v>
      </c>
      <c r="BO3105" s="5" t="s">
        <v>240</v>
      </c>
      <c r="BP3105" s="5" t="s">
        <v>240</v>
      </c>
      <c r="BQ3105" s="5" t="s">
        <v>240</v>
      </c>
      <c r="BR3105" s="5" t="s">
        <v>240</v>
      </c>
      <c r="BS3105" s="5" t="s">
        <v>240</v>
      </c>
      <c r="BT3105" s="5" t="s">
        <v>240</v>
      </c>
      <c r="BU3105" s="5" t="s">
        <v>240</v>
      </c>
      <c r="BV3105" s="5" t="s">
        <v>240</v>
      </c>
      <c r="BW3105" s="6" t="s">
        <v>240</v>
      </c>
      <c r="BX3105" s="5" t="s">
        <v>240</v>
      </c>
      <c r="BY3105" s="5" t="s">
        <v>240</v>
      </c>
      <c r="BZ3105" s="5" t="s">
        <v>240</v>
      </c>
      <c r="CA3105" s="5" t="s">
        <v>259</v>
      </c>
      <c r="CB3105" s="5" t="s">
        <v>240</v>
      </c>
      <c r="CC3105" s="5" t="s">
        <v>240</v>
      </c>
      <c r="CD3105" s="5" t="s">
        <v>240</v>
      </c>
      <c r="CE3105" s="5" t="s">
        <v>240</v>
      </c>
      <c r="CF3105" s="5" t="s">
        <v>240</v>
      </c>
      <c r="CG3105" s="5" t="s">
        <v>304</v>
      </c>
      <c r="CH3105" s="5" t="s">
        <v>305</v>
      </c>
      <c r="CI3105" s="5" t="s">
        <v>240</v>
      </c>
      <c r="CK3105" s="5" t="s">
        <v>3681</v>
      </c>
      <c r="CL3105" s="6" t="s">
        <v>261</v>
      </c>
      <c r="CM3105" s="5" t="s">
        <v>262</v>
      </c>
      <c r="CN3105" s="5" t="s">
        <v>263</v>
      </c>
      <c r="CO3105" s="5" t="s">
        <v>264</v>
      </c>
      <c r="CP3105" s="5" t="s">
        <v>240</v>
      </c>
      <c r="CQ3105" s="5">
        <v>0</v>
      </c>
      <c r="CR3105" s="5" t="s">
        <v>735</v>
      </c>
      <c r="CS3105" s="5" t="s">
        <v>307</v>
      </c>
      <c r="CT3105" s="5" t="s">
        <v>307</v>
      </c>
      <c r="CU3105" s="5" t="s">
        <v>260</v>
      </c>
      <c r="CV3105" s="5" t="s">
        <v>612</v>
      </c>
      <c r="CW3105" s="8">
        <f>1</f>
        <v>1</v>
      </c>
      <c r="CX3105" s="7">
        <f>1</f>
        <v>1</v>
      </c>
      <c r="CY3105" s="7">
        <f>0</f>
        <v>0</v>
      </c>
      <c r="DA3105" s="7">
        <f>1</f>
        <v>1</v>
      </c>
      <c r="DB3105" s="7" t="s">
        <v>240</v>
      </c>
      <c r="DC3105" s="5" t="s">
        <v>240</v>
      </c>
      <c r="DD3105" s="5" t="s">
        <v>240</v>
      </c>
      <c r="DE3105" s="5" t="s">
        <v>240</v>
      </c>
      <c r="DF3105" s="5" t="s">
        <v>240</v>
      </c>
      <c r="DG3105" s="7">
        <f>0</f>
        <v>0</v>
      </c>
      <c r="DI3105" s="5" t="s">
        <v>240</v>
      </c>
      <c r="DJ3105" s="5" t="s">
        <v>240</v>
      </c>
      <c r="DK3105" s="5" t="s">
        <v>240</v>
      </c>
      <c r="DL3105" s="5" t="s">
        <v>240</v>
      </c>
      <c r="DM3105" s="5" t="s">
        <v>240</v>
      </c>
      <c r="DN3105" s="5" t="s">
        <v>240</v>
      </c>
      <c r="DO3105" s="7" t="s">
        <v>240</v>
      </c>
      <c r="DP3105" s="5" t="s">
        <v>240</v>
      </c>
      <c r="DQ3105" s="5" t="s">
        <v>240</v>
      </c>
      <c r="DR3105" s="5" t="s">
        <v>731</v>
      </c>
      <c r="DS3105" s="5" t="s">
        <v>731</v>
      </c>
      <c r="DT3105" s="5" t="s">
        <v>240</v>
      </c>
      <c r="DU3105" s="5" t="s">
        <v>240</v>
      </c>
      <c r="DV3105" s="5" t="s">
        <v>3683</v>
      </c>
      <c r="DW3105" s="5" t="s">
        <v>1058</v>
      </c>
      <c r="DX3105" s="5" t="s">
        <v>240</v>
      </c>
      <c r="DY3105" s="5" t="s">
        <v>240</v>
      </c>
      <c r="DZ3105" s="5" t="s">
        <v>240</v>
      </c>
      <c r="EA3105" s="5" t="s">
        <v>240</v>
      </c>
      <c r="EB3105" s="5" t="s">
        <v>240</v>
      </c>
      <c r="EC3105" s="5" t="s">
        <v>240</v>
      </c>
      <c r="ED3105" s="5" t="s">
        <v>240</v>
      </c>
      <c r="EE3105" s="5" t="s">
        <v>240</v>
      </c>
      <c r="EF3105" s="5" t="s">
        <v>240</v>
      </c>
      <c r="EG3105" s="5" t="s">
        <v>240</v>
      </c>
      <c r="EH3105" s="5" t="s">
        <v>240</v>
      </c>
      <c r="EI3105" s="5" t="s">
        <v>240</v>
      </c>
      <c r="EJ3105" s="5" t="s">
        <v>240</v>
      </c>
      <c r="EK3105" s="5" t="s">
        <v>240</v>
      </c>
      <c r="EL3105" s="5" t="s">
        <v>240</v>
      </c>
      <c r="EM3105" s="5" t="s">
        <v>240</v>
      </c>
      <c r="EN3105" s="5" t="s">
        <v>240</v>
      </c>
      <c r="EO3105" s="5" t="s">
        <v>240</v>
      </c>
      <c r="EP3105" s="5" t="s">
        <v>240</v>
      </c>
      <c r="EQ3105" s="5" t="s">
        <v>240</v>
      </c>
      <c r="ER3105" s="5" t="s">
        <v>240</v>
      </c>
      <c r="ES3105" s="5" t="s">
        <v>240</v>
      </c>
      <c r="ET3105" s="5" t="s">
        <v>240</v>
      </c>
      <c r="EU3105" s="5" t="s">
        <v>240</v>
      </c>
      <c r="EV3105" s="5" t="s">
        <v>240</v>
      </c>
      <c r="EW3105" s="5" t="s">
        <v>240</v>
      </c>
      <c r="EX3105" s="5" t="s">
        <v>240</v>
      </c>
      <c r="EY3105" s="5" t="s">
        <v>240</v>
      </c>
      <c r="EZ3105" s="5" t="s">
        <v>240</v>
      </c>
      <c r="FA3105" s="5" t="s">
        <v>240</v>
      </c>
      <c r="FB3105" s="5" t="s">
        <v>240</v>
      </c>
      <c r="FC3105" s="5" t="s">
        <v>240</v>
      </c>
      <c r="FD3105" s="5" t="s">
        <v>240</v>
      </c>
      <c r="FE3105" s="5" t="s">
        <v>240</v>
      </c>
      <c r="FF3105" s="5" t="s">
        <v>240</v>
      </c>
      <c r="FG3105" s="5" t="s">
        <v>240</v>
      </c>
      <c r="FH3105" s="5" t="s">
        <v>240</v>
      </c>
      <c r="FI3105" s="5" t="s">
        <v>240</v>
      </c>
      <c r="FJ3105" s="5" t="s">
        <v>240</v>
      </c>
      <c r="FK3105" s="5" t="s">
        <v>240</v>
      </c>
      <c r="FL3105" s="5" t="s">
        <v>240</v>
      </c>
      <c r="FM3105" s="5" t="s">
        <v>240</v>
      </c>
      <c r="FN3105" s="5" t="s">
        <v>240</v>
      </c>
      <c r="FO3105" s="5" t="s">
        <v>240</v>
      </c>
      <c r="FP3105" s="5" t="s">
        <v>240</v>
      </c>
      <c r="FQ3105" s="5" t="s">
        <v>240</v>
      </c>
      <c r="FR3105" s="5" t="s">
        <v>240</v>
      </c>
      <c r="FS3105" s="5" t="s">
        <v>240</v>
      </c>
      <c r="FT3105" s="5" t="s">
        <v>240</v>
      </c>
      <c r="FU3105" s="5" t="s">
        <v>240</v>
      </c>
      <c r="FV3105" s="5" t="s">
        <v>240</v>
      </c>
      <c r="FW3105" s="5" t="s">
        <v>240</v>
      </c>
      <c r="FX3105" s="5" t="s">
        <v>240</v>
      </c>
      <c r="FY3105" s="5" t="s">
        <v>240</v>
      </c>
      <c r="FZ3105" s="5" t="s">
        <v>240</v>
      </c>
      <c r="GA3105" s="5" t="s">
        <v>240</v>
      </c>
      <c r="GB3105" s="5" t="s">
        <v>240</v>
      </c>
      <c r="GC3105" s="5" t="s">
        <v>240</v>
      </c>
      <c r="GD3105" s="5" t="s">
        <v>240</v>
      </c>
      <c r="GE3105" s="5" t="s">
        <v>240</v>
      </c>
      <c r="GF3105" s="5" t="s">
        <v>240</v>
      </c>
      <c r="GG3105" s="5" t="s">
        <v>240</v>
      </c>
      <c r="GH3105" s="5" t="s">
        <v>240</v>
      </c>
      <c r="GI3105" s="5" t="s">
        <v>240</v>
      </c>
      <c r="GJ3105" s="5" t="s">
        <v>240</v>
      </c>
      <c r="GK3105" s="5" t="s">
        <v>240</v>
      </c>
      <c r="GL3105" s="5" t="s">
        <v>240</v>
      </c>
      <c r="GM3105" s="5" t="s">
        <v>240</v>
      </c>
      <c r="GN3105" s="5" t="s">
        <v>240</v>
      </c>
      <c r="GO3105" s="5" t="s">
        <v>240</v>
      </c>
      <c r="GP3105" s="5" t="s">
        <v>240</v>
      </c>
      <c r="GQ3105" s="5" t="s">
        <v>240</v>
      </c>
      <c r="GR3105" s="5" t="s">
        <v>240</v>
      </c>
      <c r="GS3105" s="5" t="s">
        <v>240</v>
      </c>
      <c r="GT3105" s="5" t="s">
        <v>240</v>
      </c>
      <c r="GU3105" s="5" t="s">
        <v>240</v>
      </c>
      <c r="GV3105" s="5" t="s">
        <v>240</v>
      </c>
      <c r="GW3105" s="5" t="s">
        <v>240</v>
      </c>
      <c r="GX3105" s="5" t="s">
        <v>240</v>
      </c>
      <c r="GY3105" s="5" t="s">
        <v>240</v>
      </c>
      <c r="GZ3105" s="5" t="s">
        <v>240</v>
      </c>
      <c r="HA3105" s="5" t="s">
        <v>240</v>
      </c>
      <c r="HB3105" s="5" t="s">
        <v>240</v>
      </c>
      <c r="HC3105" s="5" t="s">
        <v>240</v>
      </c>
      <c r="HD3105" s="5" t="s">
        <v>240</v>
      </c>
      <c r="HE3105" s="5" t="s">
        <v>240</v>
      </c>
      <c r="HF3105" s="5" t="s">
        <v>240</v>
      </c>
      <c r="HG3105" s="5" t="s">
        <v>240</v>
      </c>
      <c r="HH3105" s="5" t="s">
        <v>240</v>
      </c>
      <c r="HI3105" s="5" t="s">
        <v>240</v>
      </c>
      <c r="HJ3105" s="5" t="s">
        <v>240</v>
      </c>
      <c r="HK3105" s="5" t="s">
        <v>240</v>
      </c>
      <c r="HL3105" s="5" t="s">
        <v>240</v>
      </c>
      <c r="HM3105" s="5" t="s">
        <v>240</v>
      </c>
      <c r="HN3105" s="5" t="s">
        <v>240</v>
      </c>
      <c r="HO3105" s="5" t="s">
        <v>312</v>
      </c>
      <c r="HP3105" s="5" t="s">
        <v>240</v>
      </c>
      <c r="HQ3105" s="5" t="s">
        <v>240</v>
      </c>
      <c r="HR3105" s="5" t="s">
        <v>240</v>
      </c>
      <c r="HS3105" s="5" t="s">
        <v>240</v>
      </c>
      <c r="HT3105" s="5" t="s">
        <v>240</v>
      </c>
      <c r="HU3105" s="5" t="s">
        <v>240</v>
      </c>
      <c r="HV3105" s="5" t="s">
        <v>240</v>
      </c>
      <c r="HW3105" s="5" t="s">
        <v>240</v>
      </c>
      <c r="HX3105" s="5" t="s">
        <v>240</v>
      </c>
      <c r="HY3105" s="5" t="s">
        <v>240</v>
      </c>
      <c r="HZ3105" s="5" t="s">
        <v>240</v>
      </c>
      <c r="IA3105" s="5" t="s">
        <v>240</v>
      </c>
      <c r="IB3105" s="5" t="s">
        <v>240</v>
      </c>
      <c r="IC3105" s="5" t="s">
        <v>240</v>
      </c>
      <c r="ID3105" s="5" t="s">
        <v>240</v>
      </c>
      <c r="IE3105" s="5" t="s">
        <v>240</v>
      </c>
      <c r="IF3105" s="5" t="s">
        <v>240</v>
      </c>
    </row>
    <row r="3106" spans="1:240" x14ac:dyDescent="0.4">
      <c r="A3106" s="5">
        <v>4810</v>
      </c>
      <c r="B3106" s="5">
        <v>1</v>
      </c>
      <c r="C3106" s="5">
        <v>1</v>
      </c>
      <c r="D3106" s="5" t="s">
        <v>810</v>
      </c>
      <c r="E3106" s="5" t="s">
        <v>245</v>
      </c>
      <c r="F3106" s="5" t="s">
        <v>254</v>
      </c>
      <c r="G3106" s="5" t="s">
        <v>240</v>
      </c>
      <c r="H3106" s="6" t="s">
        <v>2337</v>
      </c>
      <c r="I3106" s="5" t="s">
        <v>809</v>
      </c>
      <c r="J3106" s="8">
        <f>128</f>
        <v>128</v>
      </c>
      <c r="K3106" s="5" t="s">
        <v>308</v>
      </c>
      <c r="L3106" s="7">
        <f>1</f>
        <v>1</v>
      </c>
      <c r="M3106" s="7">
        <f>1</f>
        <v>1</v>
      </c>
      <c r="N3106" s="5" t="s">
        <v>242</v>
      </c>
      <c r="O3106" s="5">
        <v>1</v>
      </c>
      <c r="P3106" s="5" t="s">
        <v>294</v>
      </c>
      <c r="Q3106" s="5" t="s">
        <v>3678</v>
      </c>
      <c r="R3106" s="5" t="s">
        <v>240</v>
      </c>
      <c r="S3106" s="5" t="s">
        <v>240</v>
      </c>
      <c r="T3106" s="5" t="s">
        <v>243</v>
      </c>
      <c r="U3106" s="5" t="s">
        <v>244</v>
      </c>
      <c r="V3106" s="5" t="s">
        <v>240</v>
      </c>
      <c r="W3106" s="5" t="s">
        <v>240</v>
      </c>
      <c r="X3106" s="5" t="s">
        <v>240</v>
      </c>
      <c r="Y3106" s="5" t="s">
        <v>240</v>
      </c>
      <c r="Z3106" s="6" t="s">
        <v>298</v>
      </c>
      <c r="AA3106" s="6" t="s">
        <v>240</v>
      </c>
      <c r="AB3106" s="6" t="s">
        <v>240</v>
      </c>
      <c r="AC3106" s="5" t="s">
        <v>240</v>
      </c>
      <c r="AD3106" s="6" t="s">
        <v>240</v>
      </c>
      <c r="AE3106" s="6" t="s">
        <v>299</v>
      </c>
      <c r="AF3106" s="5" t="s">
        <v>248</v>
      </c>
      <c r="AG3106" s="5" t="s">
        <v>249</v>
      </c>
      <c r="AH3106" s="5" t="s">
        <v>240</v>
      </c>
      <c r="AI3106" s="5" t="s">
        <v>240</v>
      </c>
      <c r="AJ3106" s="5" t="s">
        <v>240</v>
      </c>
      <c r="AK3106" s="5" t="s">
        <v>240</v>
      </c>
      <c r="AL3106" s="5" t="s">
        <v>240</v>
      </c>
      <c r="AM3106" s="5" t="s">
        <v>240</v>
      </c>
      <c r="AN3106" s="5" t="s">
        <v>240</v>
      </c>
      <c r="AO3106" s="5" t="s">
        <v>240</v>
      </c>
      <c r="AP3106" s="6" t="s">
        <v>240</v>
      </c>
      <c r="AQ3106" s="6" t="s">
        <v>240</v>
      </c>
      <c r="AR3106" s="6" t="s">
        <v>240</v>
      </c>
      <c r="AS3106" s="6" t="s">
        <v>240</v>
      </c>
      <c r="AT3106" s="5" t="s">
        <v>240</v>
      </c>
      <c r="AU3106" s="5" t="s">
        <v>729</v>
      </c>
      <c r="AV3106" s="5" t="s">
        <v>729</v>
      </c>
      <c r="AW3106" s="5" t="s">
        <v>251</v>
      </c>
      <c r="AX3106" s="5" t="s">
        <v>252</v>
      </c>
      <c r="AY3106" s="5" t="s">
        <v>253</v>
      </c>
      <c r="AZ3106" s="5" t="s">
        <v>240</v>
      </c>
      <c r="BA3106" s="5" t="s">
        <v>255</v>
      </c>
      <c r="BB3106" s="5" t="s">
        <v>731</v>
      </c>
      <c r="BD3106" s="5" t="s">
        <v>240</v>
      </c>
      <c r="BF3106" s="5" t="s">
        <v>732</v>
      </c>
      <c r="BG3106" s="6" t="s">
        <v>733</v>
      </c>
      <c r="BH3106" s="5" t="s">
        <v>734</v>
      </c>
      <c r="BI3106" s="5" t="s">
        <v>734</v>
      </c>
      <c r="BJ3106" s="5" t="s">
        <v>240</v>
      </c>
      <c r="BK3106" s="7">
        <f>1</f>
        <v>1</v>
      </c>
      <c r="BL3106" s="7">
        <f>1</f>
        <v>1</v>
      </c>
      <c r="BM3106" s="5" t="s">
        <v>258</v>
      </c>
      <c r="BN3106" s="5" t="s">
        <v>259</v>
      </c>
      <c r="BO3106" s="5" t="s">
        <v>240</v>
      </c>
      <c r="BP3106" s="5" t="s">
        <v>240</v>
      </c>
      <c r="BQ3106" s="5" t="s">
        <v>240</v>
      </c>
      <c r="BR3106" s="5" t="s">
        <v>240</v>
      </c>
      <c r="BS3106" s="5" t="s">
        <v>240</v>
      </c>
      <c r="BT3106" s="5" t="s">
        <v>240</v>
      </c>
      <c r="BU3106" s="5" t="s">
        <v>240</v>
      </c>
      <c r="BV3106" s="5" t="s">
        <v>240</v>
      </c>
      <c r="BW3106" s="6" t="s">
        <v>240</v>
      </c>
      <c r="BX3106" s="5" t="s">
        <v>240</v>
      </c>
      <c r="BY3106" s="5" t="s">
        <v>240</v>
      </c>
      <c r="BZ3106" s="5" t="s">
        <v>240</v>
      </c>
      <c r="CA3106" s="5" t="s">
        <v>259</v>
      </c>
      <c r="CB3106" s="5" t="s">
        <v>240</v>
      </c>
      <c r="CC3106" s="5" t="s">
        <v>240</v>
      </c>
      <c r="CD3106" s="5" t="s">
        <v>240</v>
      </c>
      <c r="CE3106" s="5" t="s">
        <v>240</v>
      </c>
      <c r="CF3106" s="5" t="s">
        <v>240</v>
      </c>
      <c r="CG3106" s="5" t="s">
        <v>304</v>
      </c>
      <c r="CH3106" s="5" t="s">
        <v>305</v>
      </c>
      <c r="CI3106" s="5" t="s">
        <v>240</v>
      </c>
      <c r="CK3106" s="5" t="s">
        <v>3681</v>
      </c>
      <c r="CL3106" s="6" t="s">
        <v>261</v>
      </c>
      <c r="CM3106" s="5" t="s">
        <v>262</v>
      </c>
      <c r="CN3106" s="5" t="s">
        <v>263</v>
      </c>
      <c r="CO3106" s="5" t="s">
        <v>264</v>
      </c>
      <c r="CP3106" s="5" t="s">
        <v>240</v>
      </c>
      <c r="CQ3106" s="5">
        <v>0</v>
      </c>
      <c r="CR3106" s="5" t="s">
        <v>735</v>
      </c>
      <c r="CS3106" s="5" t="s">
        <v>307</v>
      </c>
      <c r="CT3106" s="5" t="s">
        <v>307</v>
      </c>
      <c r="CU3106" s="5" t="s">
        <v>260</v>
      </c>
      <c r="CV3106" s="5" t="s">
        <v>612</v>
      </c>
      <c r="CW3106" s="8">
        <f>1</f>
        <v>1</v>
      </c>
      <c r="CX3106" s="7">
        <f>1</f>
        <v>1</v>
      </c>
      <c r="CY3106" s="7">
        <f>0</f>
        <v>0</v>
      </c>
      <c r="DA3106" s="7">
        <f>1</f>
        <v>1</v>
      </c>
      <c r="DB3106" s="7" t="s">
        <v>240</v>
      </c>
      <c r="DC3106" s="5" t="s">
        <v>240</v>
      </c>
      <c r="DD3106" s="5" t="s">
        <v>240</v>
      </c>
      <c r="DE3106" s="5" t="s">
        <v>240</v>
      </c>
      <c r="DF3106" s="5" t="s">
        <v>240</v>
      </c>
      <c r="DG3106" s="7">
        <f>0</f>
        <v>0</v>
      </c>
      <c r="DI3106" s="5" t="s">
        <v>240</v>
      </c>
      <c r="DJ3106" s="5" t="s">
        <v>240</v>
      </c>
      <c r="DK3106" s="5" t="s">
        <v>240</v>
      </c>
      <c r="DL3106" s="5" t="s">
        <v>240</v>
      </c>
      <c r="DM3106" s="5" t="s">
        <v>240</v>
      </c>
      <c r="DN3106" s="5" t="s">
        <v>240</v>
      </c>
      <c r="DO3106" s="7" t="s">
        <v>240</v>
      </c>
      <c r="DP3106" s="5" t="s">
        <v>240</v>
      </c>
      <c r="DQ3106" s="5" t="s">
        <v>240</v>
      </c>
      <c r="DR3106" s="5" t="s">
        <v>731</v>
      </c>
      <c r="DS3106" s="5" t="s">
        <v>731</v>
      </c>
      <c r="DT3106" s="5" t="s">
        <v>240</v>
      </c>
      <c r="DU3106" s="5" t="s">
        <v>240</v>
      </c>
      <c r="DV3106" s="5" t="s">
        <v>3683</v>
      </c>
      <c r="DW3106" s="5" t="s">
        <v>1074</v>
      </c>
      <c r="DX3106" s="5" t="s">
        <v>240</v>
      </c>
      <c r="DY3106" s="5" t="s">
        <v>240</v>
      </c>
      <c r="DZ3106" s="5" t="s">
        <v>240</v>
      </c>
      <c r="EA3106" s="5" t="s">
        <v>240</v>
      </c>
      <c r="EB3106" s="5" t="s">
        <v>240</v>
      </c>
      <c r="EC3106" s="5" t="s">
        <v>240</v>
      </c>
      <c r="ED3106" s="5" t="s">
        <v>240</v>
      </c>
      <c r="EE3106" s="5" t="s">
        <v>240</v>
      </c>
      <c r="EF3106" s="5" t="s">
        <v>240</v>
      </c>
      <c r="EG3106" s="5" t="s">
        <v>240</v>
      </c>
      <c r="EH3106" s="5" t="s">
        <v>240</v>
      </c>
      <c r="EI3106" s="5" t="s">
        <v>240</v>
      </c>
      <c r="EJ3106" s="5" t="s">
        <v>240</v>
      </c>
      <c r="EK3106" s="5" t="s">
        <v>240</v>
      </c>
      <c r="EL3106" s="5" t="s">
        <v>240</v>
      </c>
      <c r="EM3106" s="5" t="s">
        <v>240</v>
      </c>
      <c r="EN3106" s="5" t="s">
        <v>240</v>
      </c>
      <c r="EO3106" s="5" t="s">
        <v>240</v>
      </c>
      <c r="EP3106" s="5" t="s">
        <v>240</v>
      </c>
      <c r="EQ3106" s="5" t="s">
        <v>240</v>
      </c>
      <c r="ER3106" s="5" t="s">
        <v>240</v>
      </c>
      <c r="ES3106" s="5" t="s">
        <v>240</v>
      </c>
      <c r="ET3106" s="5" t="s">
        <v>240</v>
      </c>
      <c r="EU3106" s="5" t="s">
        <v>240</v>
      </c>
      <c r="EV3106" s="5" t="s">
        <v>240</v>
      </c>
      <c r="EW3106" s="5" t="s">
        <v>240</v>
      </c>
      <c r="EX3106" s="5" t="s">
        <v>240</v>
      </c>
      <c r="EY3106" s="5" t="s">
        <v>240</v>
      </c>
      <c r="EZ3106" s="5" t="s">
        <v>240</v>
      </c>
      <c r="FA3106" s="5" t="s">
        <v>240</v>
      </c>
      <c r="FB3106" s="5" t="s">
        <v>240</v>
      </c>
      <c r="FC3106" s="5" t="s">
        <v>240</v>
      </c>
      <c r="FD3106" s="5" t="s">
        <v>240</v>
      </c>
      <c r="FE3106" s="5" t="s">
        <v>240</v>
      </c>
      <c r="FF3106" s="5" t="s">
        <v>240</v>
      </c>
      <c r="FG3106" s="5" t="s">
        <v>240</v>
      </c>
      <c r="FH3106" s="5" t="s">
        <v>240</v>
      </c>
      <c r="FI3106" s="5" t="s">
        <v>240</v>
      </c>
      <c r="FJ3106" s="5" t="s">
        <v>240</v>
      </c>
      <c r="FK3106" s="5" t="s">
        <v>240</v>
      </c>
      <c r="FL3106" s="5" t="s">
        <v>240</v>
      </c>
      <c r="FM3106" s="5" t="s">
        <v>240</v>
      </c>
      <c r="FN3106" s="5" t="s">
        <v>240</v>
      </c>
      <c r="FO3106" s="5" t="s">
        <v>240</v>
      </c>
      <c r="FP3106" s="5" t="s">
        <v>240</v>
      </c>
      <c r="FQ3106" s="5" t="s">
        <v>240</v>
      </c>
      <c r="FR3106" s="5" t="s">
        <v>240</v>
      </c>
      <c r="FS3106" s="5" t="s">
        <v>240</v>
      </c>
      <c r="FT3106" s="5" t="s">
        <v>240</v>
      </c>
      <c r="FU3106" s="5" t="s">
        <v>240</v>
      </c>
      <c r="FV3106" s="5" t="s">
        <v>240</v>
      </c>
      <c r="FW3106" s="5" t="s">
        <v>240</v>
      </c>
      <c r="FX3106" s="5" t="s">
        <v>240</v>
      </c>
      <c r="FY3106" s="5" t="s">
        <v>240</v>
      </c>
      <c r="FZ3106" s="5" t="s">
        <v>240</v>
      </c>
      <c r="GA3106" s="5" t="s">
        <v>240</v>
      </c>
      <c r="GB3106" s="5" t="s">
        <v>240</v>
      </c>
      <c r="GC3106" s="5" t="s">
        <v>240</v>
      </c>
      <c r="GD3106" s="5" t="s">
        <v>240</v>
      </c>
      <c r="GE3106" s="5" t="s">
        <v>240</v>
      </c>
      <c r="GF3106" s="5" t="s">
        <v>240</v>
      </c>
      <c r="GG3106" s="5" t="s">
        <v>240</v>
      </c>
      <c r="GH3106" s="5" t="s">
        <v>240</v>
      </c>
      <c r="GI3106" s="5" t="s">
        <v>240</v>
      </c>
      <c r="GJ3106" s="5" t="s">
        <v>240</v>
      </c>
      <c r="GK3106" s="5" t="s">
        <v>240</v>
      </c>
      <c r="GL3106" s="5" t="s">
        <v>240</v>
      </c>
      <c r="GM3106" s="5" t="s">
        <v>240</v>
      </c>
      <c r="GN3106" s="5" t="s">
        <v>240</v>
      </c>
      <c r="GO3106" s="5" t="s">
        <v>240</v>
      </c>
      <c r="GP3106" s="5" t="s">
        <v>240</v>
      </c>
      <c r="GQ3106" s="5" t="s">
        <v>240</v>
      </c>
      <c r="GR3106" s="5" t="s">
        <v>240</v>
      </c>
      <c r="GS3106" s="5" t="s">
        <v>240</v>
      </c>
      <c r="GT3106" s="5" t="s">
        <v>240</v>
      </c>
      <c r="GU3106" s="5" t="s">
        <v>240</v>
      </c>
      <c r="GV3106" s="5" t="s">
        <v>240</v>
      </c>
      <c r="GW3106" s="5" t="s">
        <v>240</v>
      </c>
      <c r="GX3106" s="5" t="s">
        <v>240</v>
      </c>
      <c r="GY3106" s="5" t="s">
        <v>240</v>
      </c>
      <c r="GZ3106" s="5" t="s">
        <v>240</v>
      </c>
      <c r="HA3106" s="5" t="s">
        <v>240</v>
      </c>
      <c r="HB3106" s="5" t="s">
        <v>240</v>
      </c>
      <c r="HC3106" s="5" t="s">
        <v>240</v>
      </c>
      <c r="HD3106" s="5" t="s">
        <v>240</v>
      </c>
      <c r="HE3106" s="5" t="s">
        <v>240</v>
      </c>
      <c r="HF3106" s="5" t="s">
        <v>240</v>
      </c>
      <c r="HG3106" s="5" t="s">
        <v>240</v>
      </c>
      <c r="HH3106" s="5" t="s">
        <v>240</v>
      </c>
      <c r="HI3106" s="5" t="s">
        <v>240</v>
      </c>
      <c r="HJ3106" s="5" t="s">
        <v>240</v>
      </c>
      <c r="HK3106" s="5" t="s">
        <v>240</v>
      </c>
      <c r="HL3106" s="5" t="s">
        <v>240</v>
      </c>
      <c r="HM3106" s="5" t="s">
        <v>240</v>
      </c>
      <c r="HN3106" s="5" t="s">
        <v>240</v>
      </c>
      <c r="HO3106" s="5" t="s">
        <v>312</v>
      </c>
      <c r="HP3106" s="5" t="s">
        <v>240</v>
      </c>
      <c r="HQ3106" s="5" t="s">
        <v>240</v>
      </c>
      <c r="HR3106" s="5" t="s">
        <v>240</v>
      </c>
      <c r="HS3106" s="5" t="s">
        <v>240</v>
      </c>
      <c r="HT3106" s="5" t="s">
        <v>240</v>
      </c>
      <c r="HU3106" s="5" t="s">
        <v>240</v>
      </c>
      <c r="HV3106" s="5" t="s">
        <v>240</v>
      </c>
      <c r="HW3106" s="5" t="s">
        <v>240</v>
      </c>
      <c r="HX3106" s="5" t="s">
        <v>240</v>
      </c>
      <c r="HY3106" s="5" t="s">
        <v>240</v>
      </c>
      <c r="HZ3106" s="5" t="s">
        <v>240</v>
      </c>
      <c r="IA3106" s="5" t="s">
        <v>240</v>
      </c>
      <c r="IB3106" s="5" t="s">
        <v>240</v>
      </c>
      <c r="IC3106" s="5" t="s">
        <v>240</v>
      </c>
      <c r="ID3106" s="5" t="s">
        <v>240</v>
      </c>
      <c r="IE3106" s="5" t="s">
        <v>240</v>
      </c>
      <c r="IF3106" s="5" t="s">
        <v>240</v>
      </c>
    </row>
    <row r="3107" spans="1:240" x14ac:dyDescent="0.4">
      <c r="A3107" s="5">
        <v>4811</v>
      </c>
      <c r="B3107" s="5">
        <v>1</v>
      </c>
      <c r="C3107" s="5">
        <v>1</v>
      </c>
      <c r="D3107" s="5" t="s">
        <v>810</v>
      </c>
      <c r="E3107" s="5" t="s">
        <v>245</v>
      </c>
      <c r="F3107" s="5" t="s">
        <v>254</v>
      </c>
      <c r="G3107" s="5" t="s">
        <v>240</v>
      </c>
      <c r="H3107" s="6" t="s">
        <v>2335</v>
      </c>
      <c r="I3107" s="5" t="s">
        <v>809</v>
      </c>
      <c r="J3107" s="8">
        <f>388</f>
        <v>388</v>
      </c>
      <c r="K3107" s="5" t="s">
        <v>308</v>
      </c>
      <c r="L3107" s="7">
        <f>1</f>
        <v>1</v>
      </c>
      <c r="M3107" s="7">
        <f>1</f>
        <v>1</v>
      </c>
      <c r="N3107" s="5" t="s">
        <v>242</v>
      </c>
      <c r="O3107" s="5">
        <v>1</v>
      </c>
      <c r="P3107" s="5" t="s">
        <v>294</v>
      </c>
      <c r="Q3107" s="5" t="s">
        <v>3678</v>
      </c>
      <c r="R3107" s="5" t="s">
        <v>240</v>
      </c>
      <c r="S3107" s="5" t="s">
        <v>240</v>
      </c>
      <c r="T3107" s="5" t="s">
        <v>243</v>
      </c>
      <c r="U3107" s="5" t="s">
        <v>244</v>
      </c>
      <c r="V3107" s="5" t="s">
        <v>240</v>
      </c>
      <c r="W3107" s="5" t="s">
        <v>240</v>
      </c>
      <c r="X3107" s="5" t="s">
        <v>240</v>
      </c>
      <c r="Y3107" s="5" t="s">
        <v>240</v>
      </c>
      <c r="Z3107" s="6" t="s">
        <v>298</v>
      </c>
      <c r="AA3107" s="6" t="s">
        <v>240</v>
      </c>
      <c r="AB3107" s="6" t="s">
        <v>240</v>
      </c>
      <c r="AC3107" s="5" t="s">
        <v>240</v>
      </c>
      <c r="AD3107" s="6" t="s">
        <v>240</v>
      </c>
      <c r="AE3107" s="6" t="s">
        <v>299</v>
      </c>
      <c r="AF3107" s="5" t="s">
        <v>248</v>
      </c>
      <c r="AG3107" s="5" t="s">
        <v>249</v>
      </c>
      <c r="AH3107" s="5" t="s">
        <v>240</v>
      </c>
      <c r="AI3107" s="5" t="s">
        <v>240</v>
      </c>
      <c r="AJ3107" s="5" t="s">
        <v>240</v>
      </c>
      <c r="AK3107" s="5" t="s">
        <v>240</v>
      </c>
      <c r="AL3107" s="5" t="s">
        <v>240</v>
      </c>
      <c r="AM3107" s="5" t="s">
        <v>240</v>
      </c>
      <c r="AN3107" s="5" t="s">
        <v>240</v>
      </c>
      <c r="AO3107" s="5" t="s">
        <v>240</v>
      </c>
      <c r="AP3107" s="6" t="s">
        <v>240</v>
      </c>
      <c r="AQ3107" s="6" t="s">
        <v>240</v>
      </c>
      <c r="AR3107" s="6" t="s">
        <v>240</v>
      </c>
      <c r="AS3107" s="6" t="s">
        <v>240</v>
      </c>
      <c r="AT3107" s="5" t="s">
        <v>240</v>
      </c>
      <c r="AU3107" s="5" t="s">
        <v>729</v>
      </c>
      <c r="AV3107" s="5" t="s">
        <v>729</v>
      </c>
      <c r="AW3107" s="5" t="s">
        <v>251</v>
      </c>
      <c r="AX3107" s="5" t="s">
        <v>252</v>
      </c>
      <c r="AY3107" s="5" t="s">
        <v>253</v>
      </c>
      <c r="AZ3107" s="5" t="s">
        <v>240</v>
      </c>
      <c r="BA3107" s="5" t="s">
        <v>255</v>
      </c>
      <c r="BB3107" s="5" t="s">
        <v>731</v>
      </c>
      <c r="BD3107" s="5" t="s">
        <v>240</v>
      </c>
      <c r="BF3107" s="5" t="s">
        <v>732</v>
      </c>
      <c r="BG3107" s="6" t="s">
        <v>733</v>
      </c>
      <c r="BH3107" s="5" t="s">
        <v>734</v>
      </c>
      <c r="BI3107" s="5" t="s">
        <v>734</v>
      </c>
      <c r="BJ3107" s="5" t="s">
        <v>240</v>
      </c>
      <c r="BK3107" s="7">
        <f>1</f>
        <v>1</v>
      </c>
      <c r="BL3107" s="7">
        <f>1</f>
        <v>1</v>
      </c>
      <c r="BM3107" s="5" t="s">
        <v>258</v>
      </c>
      <c r="BN3107" s="5" t="s">
        <v>259</v>
      </c>
      <c r="BO3107" s="5" t="s">
        <v>240</v>
      </c>
      <c r="BP3107" s="5" t="s">
        <v>240</v>
      </c>
      <c r="BQ3107" s="5" t="s">
        <v>240</v>
      </c>
      <c r="BR3107" s="5" t="s">
        <v>240</v>
      </c>
      <c r="BS3107" s="5" t="s">
        <v>240</v>
      </c>
      <c r="BT3107" s="5" t="s">
        <v>240</v>
      </c>
      <c r="BU3107" s="5" t="s">
        <v>240</v>
      </c>
      <c r="BV3107" s="5" t="s">
        <v>240</v>
      </c>
      <c r="BW3107" s="6" t="s">
        <v>240</v>
      </c>
      <c r="BX3107" s="5" t="s">
        <v>240</v>
      </c>
      <c r="BY3107" s="5" t="s">
        <v>240</v>
      </c>
      <c r="BZ3107" s="5" t="s">
        <v>240</v>
      </c>
      <c r="CA3107" s="5" t="s">
        <v>259</v>
      </c>
      <c r="CB3107" s="5" t="s">
        <v>240</v>
      </c>
      <c r="CC3107" s="5" t="s">
        <v>240</v>
      </c>
      <c r="CD3107" s="5" t="s">
        <v>240</v>
      </c>
      <c r="CE3107" s="5" t="s">
        <v>240</v>
      </c>
      <c r="CF3107" s="5" t="s">
        <v>240</v>
      </c>
      <c r="CG3107" s="5" t="s">
        <v>304</v>
      </c>
      <c r="CH3107" s="5" t="s">
        <v>305</v>
      </c>
      <c r="CI3107" s="5" t="s">
        <v>240</v>
      </c>
      <c r="CK3107" s="5" t="s">
        <v>3681</v>
      </c>
      <c r="CL3107" s="6" t="s">
        <v>261</v>
      </c>
      <c r="CM3107" s="5" t="s">
        <v>262</v>
      </c>
      <c r="CN3107" s="5" t="s">
        <v>263</v>
      </c>
      <c r="CO3107" s="5" t="s">
        <v>264</v>
      </c>
      <c r="CP3107" s="5" t="s">
        <v>240</v>
      </c>
      <c r="CQ3107" s="5">
        <v>0</v>
      </c>
      <c r="CR3107" s="5" t="s">
        <v>735</v>
      </c>
      <c r="CS3107" s="5" t="s">
        <v>307</v>
      </c>
      <c r="CT3107" s="5" t="s">
        <v>307</v>
      </c>
      <c r="CU3107" s="5" t="s">
        <v>260</v>
      </c>
      <c r="CV3107" s="5" t="s">
        <v>612</v>
      </c>
      <c r="CW3107" s="8">
        <f>1</f>
        <v>1</v>
      </c>
      <c r="CX3107" s="7">
        <f>1</f>
        <v>1</v>
      </c>
      <c r="CY3107" s="7">
        <f>0</f>
        <v>0</v>
      </c>
      <c r="DA3107" s="7">
        <f>1</f>
        <v>1</v>
      </c>
      <c r="DB3107" s="7" t="s">
        <v>240</v>
      </c>
      <c r="DC3107" s="5" t="s">
        <v>240</v>
      </c>
      <c r="DD3107" s="5" t="s">
        <v>240</v>
      </c>
      <c r="DE3107" s="5" t="s">
        <v>240</v>
      </c>
      <c r="DF3107" s="5" t="s">
        <v>240</v>
      </c>
      <c r="DG3107" s="7">
        <f>0</f>
        <v>0</v>
      </c>
      <c r="DI3107" s="5" t="s">
        <v>240</v>
      </c>
      <c r="DJ3107" s="5" t="s">
        <v>240</v>
      </c>
      <c r="DK3107" s="5" t="s">
        <v>240</v>
      </c>
      <c r="DL3107" s="5" t="s">
        <v>240</v>
      </c>
      <c r="DM3107" s="5" t="s">
        <v>240</v>
      </c>
      <c r="DN3107" s="5" t="s">
        <v>240</v>
      </c>
      <c r="DO3107" s="7" t="s">
        <v>240</v>
      </c>
      <c r="DP3107" s="5" t="s">
        <v>240</v>
      </c>
      <c r="DQ3107" s="5" t="s">
        <v>240</v>
      </c>
      <c r="DR3107" s="5" t="s">
        <v>731</v>
      </c>
      <c r="DS3107" s="5" t="s">
        <v>731</v>
      </c>
      <c r="DT3107" s="5" t="s">
        <v>240</v>
      </c>
      <c r="DU3107" s="5" t="s">
        <v>240</v>
      </c>
      <c r="DV3107" s="5" t="s">
        <v>3683</v>
      </c>
      <c r="DW3107" s="5" t="s">
        <v>717</v>
      </c>
      <c r="DX3107" s="5" t="s">
        <v>240</v>
      </c>
      <c r="DY3107" s="5" t="s">
        <v>240</v>
      </c>
      <c r="DZ3107" s="5" t="s">
        <v>240</v>
      </c>
      <c r="EA3107" s="5" t="s">
        <v>240</v>
      </c>
      <c r="EB3107" s="5" t="s">
        <v>240</v>
      </c>
      <c r="EC3107" s="5" t="s">
        <v>240</v>
      </c>
      <c r="ED3107" s="5" t="s">
        <v>240</v>
      </c>
      <c r="EE3107" s="5" t="s">
        <v>240</v>
      </c>
      <c r="EF3107" s="5" t="s">
        <v>240</v>
      </c>
      <c r="EG3107" s="5" t="s">
        <v>240</v>
      </c>
      <c r="EH3107" s="5" t="s">
        <v>240</v>
      </c>
      <c r="EI3107" s="5" t="s">
        <v>240</v>
      </c>
      <c r="EJ3107" s="5" t="s">
        <v>240</v>
      </c>
      <c r="EK3107" s="5" t="s">
        <v>240</v>
      </c>
      <c r="EL3107" s="5" t="s">
        <v>240</v>
      </c>
      <c r="EM3107" s="5" t="s">
        <v>240</v>
      </c>
      <c r="EN3107" s="5" t="s">
        <v>240</v>
      </c>
      <c r="EO3107" s="5" t="s">
        <v>240</v>
      </c>
      <c r="EP3107" s="5" t="s">
        <v>240</v>
      </c>
      <c r="EQ3107" s="5" t="s">
        <v>240</v>
      </c>
      <c r="ER3107" s="5" t="s">
        <v>240</v>
      </c>
      <c r="ES3107" s="5" t="s">
        <v>240</v>
      </c>
      <c r="ET3107" s="5" t="s">
        <v>240</v>
      </c>
      <c r="EU3107" s="5" t="s">
        <v>240</v>
      </c>
      <c r="EV3107" s="5" t="s">
        <v>240</v>
      </c>
      <c r="EW3107" s="5" t="s">
        <v>240</v>
      </c>
      <c r="EX3107" s="5" t="s">
        <v>240</v>
      </c>
      <c r="EY3107" s="5" t="s">
        <v>240</v>
      </c>
      <c r="EZ3107" s="5" t="s">
        <v>240</v>
      </c>
      <c r="FA3107" s="5" t="s">
        <v>240</v>
      </c>
      <c r="FB3107" s="5" t="s">
        <v>240</v>
      </c>
      <c r="FC3107" s="5" t="s">
        <v>240</v>
      </c>
      <c r="FD3107" s="5" t="s">
        <v>240</v>
      </c>
      <c r="FE3107" s="5" t="s">
        <v>240</v>
      </c>
      <c r="FF3107" s="5" t="s">
        <v>240</v>
      </c>
      <c r="FG3107" s="5" t="s">
        <v>240</v>
      </c>
      <c r="FH3107" s="5" t="s">
        <v>240</v>
      </c>
      <c r="FI3107" s="5" t="s">
        <v>240</v>
      </c>
      <c r="FJ3107" s="5" t="s">
        <v>240</v>
      </c>
      <c r="FK3107" s="5" t="s">
        <v>240</v>
      </c>
      <c r="FL3107" s="5" t="s">
        <v>240</v>
      </c>
      <c r="FM3107" s="5" t="s">
        <v>240</v>
      </c>
      <c r="FN3107" s="5" t="s">
        <v>240</v>
      </c>
      <c r="FO3107" s="5" t="s">
        <v>240</v>
      </c>
      <c r="FP3107" s="5" t="s">
        <v>240</v>
      </c>
      <c r="FQ3107" s="5" t="s">
        <v>240</v>
      </c>
      <c r="FR3107" s="5" t="s">
        <v>240</v>
      </c>
      <c r="FS3107" s="5" t="s">
        <v>240</v>
      </c>
      <c r="FT3107" s="5" t="s">
        <v>240</v>
      </c>
      <c r="FU3107" s="5" t="s">
        <v>240</v>
      </c>
      <c r="FV3107" s="5" t="s">
        <v>240</v>
      </c>
      <c r="FW3107" s="5" t="s">
        <v>240</v>
      </c>
      <c r="FX3107" s="5" t="s">
        <v>240</v>
      </c>
      <c r="FY3107" s="5" t="s">
        <v>240</v>
      </c>
      <c r="FZ3107" s="5" t="s">
        <v>240</v>
      </c>
      <c r="GA3107" s="5" t="s">
        <v>240</v>
      </c>
      <c r="GB3107" s="5" t="s">
        <v>240</v>
      </c>
      <c r="GC3107" s="5" t="s">
        <v>240</v>
      </c>
      <c r="GD3107" s="5" t="s">
        <v>240</v>
      </c>
      <c r="GE3107" s="5" t="s">
        <v>240</v>
      </c>
      <c r="GF3107" s="5" t="s">
        <v>240</v>
      </c>
      <c r="GG3107" s="5" t="s">
        <v>240</v>
      </c>
      <c r="GH3107" s="5" t="s">
        <v>240</v>
      </c>
      <c r="GI3107" s="5" t="s">
        <v>240</v>
      </c>
      <c r="GJ3107" s="5" t="s">
        <v>240</v>
      </c>
      <c r="GK3107" s="5" t="s">
        <v>240</v>
      </c>
      <c r="GL3107" s="5" t="s">
        <v>240</v>
      </c>
      <c r="GM3107" s="5" t="s">
        <v>240</v>
      </c>
      <c r="GN3107" s="5" t="s">
        <v>240</v>
      </c>
      <c r="GO3107" s="5" t="s">
        <v>240</v>
      </c>
      <c r="GP3107" s="5" t="s">
        <v>240</v>
      </c>
      <c r="GQ3107" s="5" t="s">
        <v>240</v>
      </c>
      <c r="GR3107" s="5" t="s">
        <v>240</v>
      </c>
      <c r="GS3107" s="5" t="s">
        <v>240</v>
      </c>
      <c r="GT3107" s="5" t="s">
        <v>240</v>
      </c>
      <c r="GU3107" s="5" t="s">
        <v>240</v>
      </c>
      <c r="GV3107" s="5" t="s">
        <v>240</v>
      </c>
      <c r="GW3107" s="5" t="s">
        <v>240</v>
      </c>
      <c r="GX3107" s="5" t="s">
        <v>240</v>
      </c>
      <c r="GY3107" s="5" t="s">
        <v>240</v>
      </c>
      <c r="GZ3107" s="5" t="s">
        <v>240</v>
      </c>
      <c r="HA3107" s="5" t="s">
        <v>240</v>
      </c>
      <c r="HB3107" s="5" t="s">
        <v>240</v>
      </c>
      <c r="HC3107" s="5" t="s">
        <v>240</v>
      </c>
      <c r="HD3107" s="5" t="s">
        <v>240</v>
      </c>
      <c r="HE3107" s="5" t="s">
        <v>240</v>
      </c>
      <c r="HF3107" s="5" t="s">
        <v>240</v>
      </c>
      <c r="HG3107" s="5" t="s">
        <v>240</v>
      </c>
      <c r="HH3107" s="5" t="s">
        <v>240</v>
      </c>
      <c r="HI3107" s="5" t="s">
        <v>240</v>
      </c>
      <c r="HJ3107" s="5" t="s">
        <v>240</v>
      </c>
      <c r="HK3107" s="5" t="s">
        <v>240</v>
      </c>
      <c r="HL3107" s="5" t="s">
        <v>240</v>
      </c>
      <c r="HM3107" s="5" t="s">
        <v>240</v>
      </c>
      <c r="HN3107" s="5" t="s">
        <v>240</v>
      </c>
      <c r="HO3107" s="5" t="s">
        <v>312</v>
      </c>
      <c r="HP3107" s="5" t="s">
        <v>240</v>
      </c>
      <c r="HQ3107" s="5" t="s">
        <v>240</v>
      </c>
      <c r="HR3107" s="5" t="s">
        <v>240</v>
      </c>
      <c r="HS3107" s="5" t="s">
        <v>240</v>
      </c>
      <c r="HT3107" s="5" t="s">
        <v>240</v>
      </c>
      <c r="HU3107" s="5" t="s">
        <v>240</v>
      </c>
      <c r="HV3107" s="5" t="s">
        <v>240</v>
      </c>
      <c r="HW3107" s="5" t="s">
        <v>240</v>
      </c>
      <c r="HX3107" s="5" t="s">
        <v>240</v>
      </c>
      <c r="HY3107" s="5" t="s">
        <v>240</v>
      </c>
      <c r="HZ3107" s="5" t="s">
        <v>240</v>
      </c>
      <c r="IA3107" s="5" t="s">
        <v>240</v>
      </c>
      <c r="IB3107" s="5" t="s">
        <v>240</v>
      </c>
      <c r="IC3107" s="5" t="s">
        <v>240</v>
      </c>
      <c r="ID3107" s="5" t="s">
        <v>240</v>
      </c>
      <c r="IE3107" s="5" t="s">
        <v>240</v>
      </c>
      <c r="IF3107" s="5" t="s">
        <v>240</v>
      </c>
    </row>
    <row r="3108" spans="1:240" x14ac:dyDescent="0.4">
      <c r="A3108" s="5">
        <v>4812</v>
      </c>
      <c r="B3108" s="5">
        <v>1</v>
      </c>
      <c r="C3108" s="5">
        <v>1</v>
      </c>
      <c r="D3108" s="5" t="s">
        <v>810</v>
      </c>
      <c r="E3108" s="5" t="s">
        <v>245</v>
      </c>
      <c r="F3108" s="5" t="s">
        <v>254</v>
      </c>
      <c r="G3108" s="5" t="s">
        <v>240</v>
      </c>
      <c r="H3108" s="6" t="s">
        <v>2333</v>
      </c>
      <c r="I3108" s="5" t="s">
        <v>809</v>
      </c>
      <c r="J3108" s="8">
        <f>88</f>
        <v>88</v>
      </c>
      <c r="K3108" s="5" t="s">
        <v>308</v>
      </c>
      <c r="L3108" s="7">
        <f>1</f>
        <v>1</v>
      </c>
      <c r="M3108" s="7">
        <f>1</f>
        <v>1</v>
      </c>
      <c r="N3108" s="5" t="s">
        <v>242</v>
      </c>
      <c r="O3108" s="5">
        <v>1</v>
      </c>
      <c r="P3108" s="5" t="s">
        <v>294</v>
      </c>
      <c r="Q3108" s="5" t="s">
        <v>3678</v>
      </c>
      <c r="R3108" s="5" t="s">
        <v>240</v>
      </c>
      <c r="S3108" s="5" t="s">
        <v>240</v>
      </c>
      <c r="T3108" s="5" t="s">
        <v>243</v>
      </c>
      <c r="U3108" s="5" t="s">
        <v>244</v>
      </c>
      <c r="V3108" s="5" t="s">
        <v>240</v>
      </c>
      <c r="W3108" s="5" t="s">
        <v>240</v>
      </c>
      <c r="X3108" s="5" t="s">
        <v>240</v>
      </c>
      <c r="Y3108" s="5" t="s">
        <v>240</v>
      </c>
      <c r="Z3108" s="6" t="s">
        <v>298</v>
      </c>
      <c r="AA3108" s="6" t="s">
        <v>240</v>
      </c>
      <c r="AB3108" s="6" t="s">
        <v>240</v>
      </c>
      <c r="AC3108" s="5" t="s">
        <v>240</v>
      </c>
      <c r="AD3108" s="6" t="s">
        <v>240</v>
      </c>
      <c r="AE3108" s="6" t="s">
        <v>299</v>
      </c>
      <c r="AF3108" s="5" t="s">
        <v>248</v>
      </c>
      <c r="AG3108" s="5" t="s">
        <v>249</v>
      </c>
      <c r="AH3108" s="5" t="s">
        <v>240</v>
      </c>
      <c r="AI3108" s="5" t="s">
        <v>240</v>
      </c>
      <c r="AJ3108" s="5" t="s">
        <v>240</v>
      </c>
      <c r="AK3108" s="5" t="s">
        <v>240</v>
      </c>
      <c r="AL3108" s="5" t="s">
        <v>240</v>
      </c>
      <c r="AM3108" s="5" t="s">
        <v>240</v>
      </c>
      <c r="AN3108" s="5" t="s">
        <v>240</v>
      </c>
      <c r="AO3108" s="5" t="s">
        <v>240</v>
      </c>
      <c r="AP3108" s="6" t="s">
        <v>240</v>
      </c>
      <c r="AQ3108" s="6" t="s">
        <v>240</v>
      </c>
      <c r="AR3108" s="6" t="s">
        <v>240</v>
      </c>
      <c r="AS3108" s="6" t="s">
        <v>240</v>
      </c>
      <c r="AT3108" s="5" t="s">
        <v>240</v>
      </c>
      <c r="AU3108" s="5" t="s">
        <v>729</v>
      </c>
      <c r="AV3108" s="5" t="s">
        <v>729</v>
      </c>
      <c r="AW3108" s="5" t="s">
        <v>251</v>
      </c>
      <c r="AX3108" s="5" t="s">
        <v>252</v>
      </c>
      <c r="AY3108" s="5" t="s">
        <v>253</v>
      </c>
      <c r="AZ3108" s="5" t="s">
        <v>240</v>
      </c>
      <c r="BA3108" s="5" t="s">
        <v>255</v>
      </c>
      <c r="BB3108" s="5" t="s">
        <v>731</v>
      </c>
      <c r="BD3108" s="5" t="s">
        <v>240</v>
      </c>
      <c r="BF3108" s="5" t="s">
        <v>732</v>
      </c>
      <c r="BG3108" s="6" t="s">
        <v>733</v>
      </c>
      <c r="BH3108" s="5" t="s">
        <v>734</v>
      </c>
      <c r="BI3108" s="5" t="s">
        <v>734</v>
      </c>
      <c r="BJ3108" s="5" t="s">
        <v>240</v>
      </c>
      <c r="BK3108" s="7">
        <f>1</f>
        <v>1</v>
      </c>
      <c r="BL3108" s="7">
        <f>1</f>
        <v>1</v>
      </c>
      <c r="BM3108" s="5" t="s">
        <v>258</v>
      </c>
      <c r="BN3108" s="5" t="s">
        <v>259</v>
      </c>
      <c r="BO3108" s="5" t="s">
        <v>240</v>
      </c>
      <c r="BP3108" s="5" t="s">
        <v>240</v>
      </c>
      <c r="BQ3108" s="5" t="s">
        <v>240</v>
      </c>
      <c r="BR3108" s="5" t="s">
        <v>240</v>
      </c>
      <c r="BS3108" s="5" t="s">
        <v>240</v>
      </c>
      <c r="BT3108" s="5" t="s">
        <v>240</v>
      </c>
      <c r="BU3108" s="5" t="s">
        <v>240</v>
      </c>
      <c r="BV3108" s="5" t="s">
        <v>240</v>
      </c>
      <c r="BW3108" s="6" t="s">
        <v>240</v>
      </c>
      <c r="BX3108" s="5" t="s">
        <v>240</v>
      </c>
      <c r="BY3108" s="5" t="s">
        <v>240</v>
      </c>
      <c r="BZ3108" s="5" t="s">
        <v>240</v>
      </c>
      <c r="CA3108" s="5" t="s">
        <v>259</v>
      </c>
      <c r="CB3108" s="5" t="s">
        <v>240</v>
      </c>
      <c r="CC3108" s="5" t="s">
        <v>240</v>
      </c>
      <c r="CD3108" s="5" t="s">
        <v>240</v>
      </c>
      <c r="CE3108" s="5" t="s">
        <v>240</v>
      </c>
      <c r="CF3108" s="5" t="s">
        <v>240</v>
      </c>
      <c r="CG3108" s="5" t="s">
        <v>304</v>
      </c>
      <c r="CH3108" s="5" t="s">
        <v>305</v>
      </c>
      <c r="CI3108" s="5" t="s">
        <v>240</v>
      </c>
      <c r="CK3108" s="5" t="s">
        <v>3681</v>
      </c>
      <c r="CL3108" s="6" t="s">
        <v>261</v>
      </c>
      <c r="CM3108" s="5" t="s">
        <v>262</v>
      </c>
      <c r="CN3108" s="5" t="s">
        <v>263</v>
      </c>
      <c r="CO3108" s="5" t="s">
        <v>264</v>
      </c>
      <c r="CP3108" s="5" t="s">
        <v>240</v>
      </c>
      <c r="CQ3108" s="5">
        <v>0</v>
      </c>
      <c r="CR3108" s="5" t="s">
        <v>735</v>
      </c>
      <c r="CS3108" s="5" t="s">
        <v>307</v>
      </c>
      <c r="CT3108" s="5" t="s">
        <v>307</v>
      </c>
      <c r="CU3108" s="5" t="s">
        <v>260</v>
      </c>
      <c r="CV3108" s="5" t="s">
        <v>612</v>
      </c>
      <c r="CW3108" s="8">
        <f>1</f>
        <v>1</v>
      </c>
      <c r="CX3108" s="7">
        <f>1</f>
        <v>1</v>
      </c>
      <c r="CY3108" s="7">
        <f>0</f>
        <v>0</v>
      </c>
      <c r="DA3108" s="7">
        <f>1</f>
        <v>1</v>
      </c>
      <c r="DB3108" s="7" t="s">
        <v>240</v>
      </c>
      <c r="DC3108" s="5" t="s">
        <v>240</v>
      </c>
      <c r="DD3108" s="5" t="s">
        <v>240</v>
      </c>
      <c r="DE3108" s="5" t="s">
        <v>240</v>
      </c>
      <c r="DF3108" s="5" t="s">
        <v>240</v>
      </c>
      <c r="DG3108" s="7">
        <f>0</f>
        <v>0</v>
      </c>
      <c r="DI3108" s="5" t="s">
        <v>240</v>
      </c>
      <c r="DJ3108" s="5" t="s">
        <v>240</v>
      </c>
      <c r="DK3108" s="5" t="s">
        <v>240</v>
      </c>
      <c r="DL3108" s="5" t="s">
        <v>240</v>
      </c>
      <c r="DM3108" s="5" t="s">
        <v>240</v>
      </c>
      <c r="DN3108" s="5" t="s">
        <v>240</v>
      </c>
      <c r="DO3108" s="7" t="s">
        <v>240</v>
      </c>
      <c r="DP3108" s="5" t="s">
        <v>240</v>
      </c>
      <c r="DQ3108" s="5" t="s">
        <v>240</v>
      </c>
      <c r="DR3108" s="5" t="s">
        <v>731</v>
      </c>
      <c r="DS3108" s="5" t="s">
        <v>731</v>
      </c>
      <c r="DT3108" s="5" t="s">
        <v>240</v>
      </c>
      <c r="DU3108" s="5" t="s">
        <v>240</v>
      </c>
      <c r="DV3108" s="5" t="s">
        <v>3683</v>
      </c>
      <c r="DW3108" s="5" t="s">
        <v>590</v>
      </c>
      <c r="DX3108" s="5" t="s">
        <v>240</v>
      </c>
      <c r="DY3108" s="5" t="s">
        <v>240</v>
      </c>
      <c r="DZ3108" s="5" t="s">
        <v>240</v>
      </c>
      <c r="EA3108" s="5" t="s">
        <v>240</v>
      </c>
      <c r="EB3108" s="5" t="s">
        <v>240</v>
      </c>
      <c r="EC3108" s="5" t="s">
        <v>240</v>
      </c>
      <c r="ED3108" s="5" t="s">
        <v>240</v>
      </c>
      <c r="EE3108" s="5" t="s">
        <v>240</v>
      </c>
      <c r="EF3108" s="5" t="s">
        <v>240</v>
      </c>
      <c r="EG3108" s="5" t="s">
        <v>240</v>
      </c>
      <c r="EH3108" s="5" t="s">
        <v>240</v>
      </c>
      <c r="EI3108" s="5" t="s">
        <v>240</v>
      </c>
      <c r="EJ3108" s="5" t="s">
        <v>240</v>
      </c>
      <c r="EK3108" s="5" t="s">
        <v>240</v>
      </c>
      <c r="EL3108" s="5" t="s">
        <v>240</v>
      </c>
      <c r="EM3108" s="5" t="s">
        <v>240</v>
      </c>
      <c r="EN3108" s="5" t="s">
        <v>240</v>
      </c>
      <c r="EO3108" s="5" t="s">
        <v>240</v>
      </c>
      <c r="EP3108" s="5" t="s">
        <v>240</v>
      </c>
      <c r="EQ3108" s="5" t="s">
        <v>240</v>
      </c>
      <c r="ER3108" s="5" t="s">
        <v>240</v>
      </c>
      <c r="ES3108" s="5" t="s">
        <v>240</v>
      </c>
      <c r="ET3108" s="5" t="s">
        <v>240</v>
      </c>
      <c r="EU3108" s="5" t="s">
        <v>240</v>
      </c>
      <c r="EV3108" s="5" t="s">
        <v>240</v>
      </c>
      <c r="EW3108" s="5" t="s">
        <v>240</v>
      </c>
      <c r="EX3108" s="5" t="s">
        <v>240</v>
      </c>
      <c r="EY3108" s="5" t="s">
        <v>240</v>
      </c>
      <c r="EZ3108" s="5" t="s">
        <v>240</v>
      </c>
      <c r="FA3108" s="5" t="s">
        <v>240</v>
      </c>
      <c r="FB3108" s="5" t="s">
        <v>240</v>
      </c>
      <c r="FC3108" s="5" t="s">
        <v>240</v>
      </c>
      <c r="FD3108" s="5" t="s">
        <v>240</v>
      </c>
      <c r="FE3108" s="5" t="s">
        <v>240</v>
      </c>
      <c r="FF3108" s="5" t="s">
        <v>240</v>
      </c>
      <c r="FG3108" s="5" t="s">
        <v>240</v>
      </c>
      <c r="FH3108" s="5" t="s">
        <v>240</v>
      </c>
      <c r="FI3108" s="5" t="s">
        <v>240</v>
      </c>
      <c r="FJ3108" s="5" t="s">
        <v>240</v>
      </c>
      <c r="FK3108" s="5" t="s">
        <v>240</v>
      </c>
      <c r="FL3108" s="5" t="s">
        <v>240</v>
      </c>
      <c r="FM3108" s="5" t="s">
        <v>240</v>
      </c>
      <c r="FN3108" s="5" t="s">
        <v>240</v>
      </c>
      <c r="FO3108" s="5" t="s">
        <v>240</v>
      </c>
      <c r="FP3108" s="5" t="s">
        <v>240</v>
      </c>
      <c r="FQ3108" s="5" t="s">
        <v>240</v>
      </c>
      <c r="FR3108" s="5" t="s">
        <v>240</v>
      </c>
      <c r="FS3108" s="5" t="s">
        <v>240</v>
      </c>
      <c r="FT3108" s="5" t="s">
        <v>240</v>
      </c>
      <c r="FU3108" s="5" t="s">
        <v>240</v>
      </c>
      <c r="FV3108" s="5" t="s">
        <v>240</v>
      </c>
      <c r="FW3108" s="5" t="s">
        <v>240</v>
      </c>
      <c r="FX3108" s="5" t="s">
        <v>240</v>
      </c>
      <c r="FY3108" s="5" t="s">
        <v>240</v>
      </c>
      <c r="FZ3108" s="5" t="s">
        <v>240</v>
      </c>
      <c r="GA3108" s="5" t="s">
        <v>240</v>
      </c>
      <c r="GB3108" s="5" t="s">
        <v>240</v>
      </c>
      <c r="GC3108" s="5" t="s">
        <v>240</v>
      </c>
      <c r="GD3108" s="5" t="s">
        <v>240</v>
      </c>
      <c r="GE3108" s="5" t="s">
        <v>240</v>
      </c>
      <c r="GF3108" s="5" t="s">
        <v>240</v>
      </c>
      <c r="GG3108" s="5" t="s">
        <v>240</v>
      </c>
      <c r="GH3108" s="5" t="s">
        <v>240</v>
      </c>
      <c r="GI3108" s="5" t="s">
        <v>240</v>
      </c>
      <c r="GJ3108" s="5" t="s">
        <v>240</v>
      </c>
      <c r="GK3108" s="5" t="s">
        <v>240</v>
      </c>
      <c r="GL3108" s="5" t="s">
        <v>240</v>
      </c>
      <c r="GM3108" s="5" t="s">
        <v>240</v>
      </c>
      <c r="GN3108" s="5" t="s">
        <v>240</v>
      </c>
      <c r="GO3108" s="5" t="s">
        <v>240</v>
      </c>
      <c r="GP3108" s="5" t="s">
        <v>240</v>
      </c>
      <c r="GQ3108" s="5" t="s">
        <v>240</v>
      </c>
      <c r="GR3108" s="5" t="s">
        <v>240</v>
      </c>
      <c r="GS3108" s="5" t="s">
        <v>240</v>
      </c>
      <c r="GT3108" s="5" t="s">
        <v>240</v>
      </c>
      <c r="GU3108" s="5" t="s">
        <v>240</v>
      </c>
      <c r="GV3108" s="5" t="s">
        <v>240</v>
      </c>
      <c r="GW3108" s="5" t="s">
        <v>240</v>
      </c>
      <c r="GX3108" s="5" t="s">
        <v>240</v>
      </c>
      <c r="GY3108" s="5" t="s">
        <v>240</v>
      </c>
      <c r="GZ3108" s="5" t="s">
        <v>240</v>
      </c>
      <c r="HA3108" s="5" t="s">
        <v>240</v>
      </c>
      <c r="HB3108" s="5" t="s">
        <v>240</v>
      </c>
      <c r="HC3108" s="5" t="s">
        <v>240</v>
      </c>
      <c r="HD3108" s="5" t="s">
        <v>240</v>
      </c>
      <c r="HE3108" s="5" t="s">
        <v>240</v>
      </c>
      <c r="HF3108" s="5" t="s">
        <v>240</v>
      </c>
      <c r="HG3108" s="5" t="s">
        <v>240</v>
      </c>
      <c r="HH3108" s="5" t="s">
        <v>240</v>
      </c>
      <c r="HI3108" s="5" t="s">
        <v>240</v>
      </c>
      <c r="HJ3108" s="5" t="s">
        <v>240</v>
      </c>
      <c r="HK3108" s="5" t="s">
        <v>240</v>
      </c>
      <c r="HL3108" s="5" t="s">
        <v>240</v>
      </c>
      <c r="HM3108" s="5" t="s">
        <v>240</v>
      </c>
      <c r="HN3108" s="5" t="s">
        <v>240</v>
      </c>
      <c r="HO3108" s="5" t="s">
        <v>312</v>
      </c>
      <c r="HP3108" s="5" t="s">
        <v>240</v>
      </c>
      <c r="HQ3108" s="5" t="s">
        <v>240</v>
      </c>
      <c r="HR3108" s="5" t="s">
        <v>240</v>
      </c>
      <c r="HS3108" s="5" t="s">
        <v>240</v>
      </c>
      <c r="HT3108" s="5" t="s">
        <v>240</v>
      </c>
      <c r="HU3108" s="5" t="s">
        <v>240</v>
      </c>
      <c r="HV3108" s="5" t="s">
        <v>240</v>
      </c>
      <c r="HW3108" s="5" t="s">
        <v>240</v>
      </c>
      <c r="HX3108" s="5" t="s">
        <v>240</v>
      </c>
      <c r="HY3108" s="5" t="s">
        <v>240</v>
      </c>
      <c r="HZ3108" s="5" t="s">
        <v>240</v>
      </c>
      <c r="IA3108" s="5" t="s">
        <v>240</v>
      </c>
      <c r="IB3108" s="5" t="s">
        <v>240</v>
      </c>
      <c r="IC3108" s="5" t="s">
        <v>240</v>
      </c>
      <c r="ID3108" s="5" t="s">
        <v>240</v>
      </c>
      <c r="IE3108" s="5" t="s">
        <v>240</v>
      </c>
      <c r="IF3108" s="5" t="s">
        <v>240</v>
      </c>
    </row>
    <row r="3109" spans="1:240" x14ac:dyDescent="0.4">
      <c r="A3109" s="5">
        <v>4813</v>
      </c>
      <c r="B3109" s="5">
        <v>1</v>
      </c>
      <c r="C3109" s="5">
        <v>1</v>
      </c>
      <c r="D3109" s="5" t="s">
        <v>810</v>
      </c>
      <c r="E3109" s="5" t="s">
        <v>245</v>
      </c>
      <c r="F3109" s="5" t="s">
        <v>254</v>
      </c>
      <c r="G3109" s="5" t="s">
        <v>240</v>
      </c>
      <c r="H3109" s="6" t="s">
        <v>2331</v>
      </c>
      <c r="I3109" s="5" t="s">
        <v>809</v>
      </c>
      <c r="J3109" s="8">
        <f>151</f>
        <v>151</v>
      </c>
      <c r="K3109" s="5" t="s">
        <v>308</v>
      </c>
      <c r="L3109" s="7">
        <f>1</f>
        <v>1</v>
      </c>
      <c r="M3109" s="7">
        <f>1</f>
        <v>1</v>
      </c>
      <c r="N3109" s="5" t="s">
        <v>242</v>
      </c>
      <c r="O3109" s="5">
        <v>1</v>
      </c>
      <c r="P3109" s="5" t="s">
        <v>294</v>
      </c>
      <c r="Q3109" s="5" t="s">
        <v>3678</v>
      </c>
      <c r="R3109" s="5" t="s">
        <v>240</v>
      </c>
      <c r="S3109" s="5" t="s">
        <v>240</v>
      </c>
      <c r="T3109" s="5" t="s">
        <v>243</v>
      </c>
      <c r="U3109" s="5" t="s">
        <v>244</v>
      </c>
      <c r="V3109" s="5" t="s">
        <v>240</v>
      </c>
      <c r="W3109" s="5" t="s">
        <v>240</v>
      </c>
      <c r="X3109" s="5" t="s">
        <v>240</v>
      </c>
      <c r="Y3109" s="5" t="s">
        <v>240</v>
      </c>
      <c r="Z3109" s="6" t="s">
        <v>298</v>
      </c>
      <c r="AA3109" s="6" t="s">
        <v>240</v>
      </c>
      <c r="AB3109" s="6" t="s">
        <v>240</v>
      </c>
      <c r="AC3109" s="5" t="s">
        <v>240</v>
      </c>
      <c r="AD3109" s="6" t="s">
        <v>240</v>
      </c>
      <c r="AE3109" s="6" t="s">
        <v>299</v>
      </c>
      <c r="AF3109" s="5" t="s">
        <v>248</v>
      </c>
      <c r="AG3109" s="5" t="s">
        <v>249</v>
      </c>
      <c r="AH3109" s="5" t="s">
        <v>240</v>
      </c>
      <c r="AI3109" s="5" t="s">
        <v>240</v>
      </c>
      <c r="AJ3109" s="5" t="s">
        <v>240</v>
      </c>
      <c r="AK3109" s="5" t="s">
        <v>240</v>
      </c>
      <c r="AL3109" s="5" t="s">
        <v>240</v>
      </c>
      <c r="AM3109" s="5" t="s">
        <v>240</v>
      </c>
      <c r="AN3109" s="5" t="s">
        <v>240</v>
      </c>
      <c r="AO3109" s="5" t="s">
        <v>240</v>
      </c>
      <c r="AP3109" s="6" t="s">
        <v>240</v>
      </c>
      <c r="AQ3109" s="6" t="s">
        <v>240</v>
      </c>
      <c r="AR3109" s="6" t="s">
        <v>240</v>
      </c>
      <c r="AS3109" s="6" t="s">
        <v>240</v>
      </c>
      <c r="AT3109" s="5" t="s">
        <v>240</v>
      </c>
      <c r="AU3109" s="5" t="s">
        <v>729</v>
      </c>
      <c r="AV3109" s="5" t="s">
        <v>729</v>
      </c>
      <c r="AW3109" s="5" t="s">
        <v>251</v>
      </c>
      <c r="AX3109" s="5" t="s">
        <v>252</v>
      </c>
      <c r="AY3109" s="5" t="s">
        <v>253</v>
      </c>
      <c r="AZ3109" s="5" t="s">
        <v>240</v>
      </c>
      <c r="BA3109" s="5" t="s">
        <v>255</v>
      </c>
      <c r="BB3109" s="5" t="s">
        <v>731</v>
      </c>
      <c r="BD3109" s="5" t="s">
        <v>240</v>
      </c>
      <c r="BF3109" s="5" t="s">
        <v>732</v>
      </c>
      <c r="BG3109" s="6" t="s">
        <v>733</v>
      </c>
      <c r="BH3109" s="5" t="s">
        <v>734</v>
      </c>
      <c r="BI3109" s="5" t="s">
        <v>734</v>
      </c>
      <c r="BJ3109" s="5" t="s">
        <v>240</v>
      </c>
      <c r="BK3109" s="7">
        <f>1</f>
        <v>1</v>
      </c>
      <c r="BL3109" s="7">
        <f>1</f>
        <v>1</v>
      </c>
      <c r="BM3109" s="5" t="s">
        <v>258</v>
      </c>
      <c r="BN3109" s="5" t="s">
        <v>259</v>
      </c>
      <c r="BO3109" s="5" t="s">
        <v>240</v>
      </c>
      <c r="BP3109" s="5" t="s">
        <v>240</v>
      </c>
      <c r="BQ3109" s="5" t="s">
        <v>240</v>
      </c>
      <c r="BR3109" s="5" t="s">
        <v>240</v>
      </c>
      <c r="BS3109" s="5" t="s">
        <v>240</v>
      </c>
      <c r="BT3109" s="5" t="s">
        <v>240</v>
      </c>
      <c r="BU3109" s="5" t="s">
        <v>240</v>
      </c>
      <c r="BV3109" s="5" t="s">
        <v>240</v>
      </c>
      <c r="BW3109" s="6" t="s">
        <v>240</v>
      </c>
      <c r="BX3109" s="5" t="s">
        <v>240</v>
      </c>
      <c r="BY3109" s="5" t="s">
        <v>240</v>
      </c>
      <c r="BZ3109" s="5" t="s">
        <v>240</v>
      </c>
      <c r="CA3109" s="5" t="s">
        <v>259</v>
      </c>
      <c r="CB3109" s="5" t="s">
        <v>240</v>
      </c>
      <c r="CC3109" s="5" t="s">
        <v>240</v>
      </c>
      <c r="CD3109" s="5" t="s">
        <v>240</v>
      </c>
      <c r="CE3109" s="5" t="s">
        <v>240</v>
      </c>
      <c r="CF3109" s="5" t="s">
        <v>240</v>
      </c>
      <c r="CG3109" s="5" t="s">
        <v>304</v>
      </c>
      <c r="CH3109" s="5" t="s">
        <v>305</v>
      </c>
      <c r="CI3109" s="5" t="s">
        <v>240</v>
      </c>
      <c r="CK3109" s="5" t="s">
        <v>3681</v>
      </c>
      <c r="CL3109" s="6" t="s">
        <v>261</v>
      </c>
      <c r="CM3109" s="5" t="s">
        <v>262</v>
      </c>
      <c r="CN3109" s="5" t="s">
        <v>263</v>
      </c>
      <c r="CO3109" s="5" t="s">
        <v>264</v>
      </c>
      <c r="CP3109" s="5" t="s">
        <v>240</v>
      </c>
      <c r="CQ3109" s="5">
        <v>0</v>
      </c>
      <c r="CR3109" s="5" t="s">
        <v>735</v>
      </c>
      <c r="CS3109" s="5" t="s">
        <v>307</v>
      </c>
      <c r="CT3109" s="5" t="s">
        <v>307</v>
      </c>
      <c r="CU3109" s="5" t="s">
        <v>260</v>
      </c>
      <c r="CV3109" s="5" t="s">
        <v>612</v>
      </c>
      <c r="CW3109" s="8">
        <f>1</f>
        <v>1</v>
      </c>
      <c r="CX3109" s="7">
        <f>1</f>
        <v>1</v>
      </c>
      <c r="CY3109" s="7">
        <f>0</f>
        <v>0</v>
      </c>
      <c r="DA3109" s="7">
        <f>1</f>
        <v>1</v>
      </c>
      <c r="DB3109" s="7" t="s">
        <v>240</v>
      </c>
      <c r="DC3109" s="5" t="s">
        <v>240</v>
      </c>
      <c r="DD3109" s="5" t="s">
        <v>240</v>
      </c>
      <c r="DE3109" s="5" t="s">
        <v>240</v>
      </c>
      <c r="DF3109" s="5" t="s">
        <v>240</v>
      </c>
      <c r="DG3109" s="7">
        <f>0</f>
        <v>0</v>
      </c>
      <c r="DI3109" s="5" t="s">
        <v>240</v>
      </c>
      <c r="DJ3109" s="5" t="s">
        <v>240</v>
      </c>
      <c r="DK3109" s="5" t="s">
        <v>240</v>
      </c>
      <c r="DL3109" s="5" t="s">
        <v>240</v>
      </c>
      <c r="DM3109" s="5" t="s">
        <v>240</v>
      </c>
      <c r="DN3109" s="5" t="s">
        <v>240</v>
      </c>
      <c r="DO3109" s="7" t="s">
        <v>240</v>
      </c>
      <c r="DP3109" s="5" t="s">
        <v>240</v>
      </c>
      <c r="DQ3109" s="5" t="s">
        <v>240</v>
      </c>
      <c r="DR3109" s="5" t="s">
        <v>731</v>
      </c>
      <c r="DS3109" s="5" t="s">
        <v>731</v>
      </c>
      <c r="DT3109" s="5" t="s">
        <v>240</v>
      </c>
      <c r="DU3109" s="5" t="s">
        <v>240</v>
      </c>
      <c r="DV3109" s="5" t="s">
        <v>3683</v>
      </c>
      <c r="DW3109" s="5" t="s">
        <v>709</v>
      </c>
      <c r="DX3109" s="5" t="s">
        <v>240</v>
      </c>
      <c r="DY3109" s="5" t="s">
        <v>240</v>
      </c>
      <c r="DZ3109" s="5" t="s">
        <v>240</v>
      </c>
      <c r="EA3109" s="5" t="s">
        <v>240</v>
      </c>
      <c r="EB3109" s="5" t="s">
        <v>240</v>
      </c>
      <c r="EC3109" s="5" t="s">
        <v>240</v>
      </c>
      <c r="ED3109" s="5" t="s">
        <v>240</v>
      </c>
      <c r="EE3109" s="5" t="s">
        <v>240</v>
      </c>
      <c r="EF3109" s="5" t="s">
        <v>240</v>
      </c>
      <c r="EG3109" s="5" t="s">
        <v>240</v>
      </c>
      <c r="EH3109" s="5" t="s">
        <v>240</v>
      </c>
      <c r="EI3109" s="5" t="s">
        <v>240</v>
      </c>
      <c r="EJ3109" s="5" t="s">
        <v>240</v>
      </c>
      <c r="EK3109" s="5" t="s">
        <v>240</v>
      </c>
      <c r="EL3109" s="5" t="s">
        <v>240</v>
      </c>
      <c r="EM3109" s="5" t="s">
        <v>240</v>
      </c>
      <c r="EN3109" s="5" t="s">
        <v>240</v>
      </c>
      <c r="EO3109" s="5" t="s">
        <v>240</v>
      </c>
      <c r="EP3109" s="5" t="s">
        <v>240</v>
      </c>
      <c r="EQ3109" s="5" t="s">
        <v>240</v>
      </c>
      <c r="ER3109" s="5" t="s">
        <v>240</v>
      </c>
      <c r="ES3109" s="5" t="s">
        <v>240</v>
      </c>
      <c r="ET3109" s="5" t="s">
        <v>240</v>
      </c>
      <c r="EU3109" s="5" t="s">
        <v>240</v>
      </c>
      <c r="EV3109" s="5" t="s">
        <v>240</v>
      </c>
      <c r="EW3109" s="5" t="s">
        <v>240</v>
      </c>
      <c r="EX3109" s="5" t="s">
        <v>240</v>
      </c>
      <c r="EY3109" s="5" t="s">
        <v>240</v>
      </c>
      <c r="EZ3109" s="5" t="s">
        <v>240</v>
      </c>
      <c r="FA3109" s="5" t="s">
        <v>240</v>
      </c>
      <c r="FB3109" s="5" t="s">
        <v>240</v>
      </c>
      <c r="FC3109" s="5" t="s">
        <v>240</v>
      </c>
      <c r="FD3109" s="5" t="s">
        <v>240</v>
      </c>
      <c r="FE3109" s="5" t="s">
        <v>240</v>
      </c>
      <c r="FF3109" s="5" t="s">
        <v>240</v>
      </c>
      <c r="FG3109" s="5" t="s">
        <v>240</v>
      </c>
      <c r="FH3109" s="5" t="s">
        <v>240</v>
      </c>
      <c r="FI3109" s="5" t="s">
        <v>240</v>
      </c>
      <c r="FJ3109" s="5" t="s">
        <v>240</v>
      </c>
      <c r="FK3109" s="5" t="s">
        <v>240</v>
      </c>
      <c r="FL3109" s="5" t="s">
        <v>240</v>
      </c>
      <c r="FM3109" s="5" t="s">
        <v>240</v>
      </c>
      <c r="FN3109" s="5" t="s">
        <v>240</v>
      </c>
      <c r="FO3109" s="5" t="s">
        <v>240</v>
      </c>
      <c r="FP3109" s="5" t="s">
        <v>240</v>
      </c>
      <c r="FQ3109" s="5" t="s">
        <v>240</v>
      </c>
      <c r="FR3109" s="5" t="s">
        <v>240</v>
      </c>
      <c r="FS3109" s="5" t="s">
        <v>240</v>
      </c>
      <c r="FT3109" s="5" t="s">
        <v>240</v>
      </c>
      <c r="FU3109" s="5" t="s">
        <v>240</v>
      </c>
      <c r="FV3109" s="5" t="s">
        <v>240</v>
      </c>
      <c r="FW3109" s="5" t="s">
        <v>240</v>
      </c>
      <c r="FX3109" s="5" t="s">
        <v>240</v>
      </c>
      <c r="FY3109" s="5" t="s">
        <v>240</v>
      </c>
      <c r="FZ3109" s="5" t="s">
        <v>240</v>
      </c>
      <c r="GA3109" s="5" t="s">
        <v>240</v>
      </c>
      <c r="GB3109" s="5" t="s">
        <v>240</v>
      </c>
      <c r="GC3109" s="5" t="s">
        <v>240</v>
      </c>
      <c r="GD3109" s="5" t="s">
        <v>240</v>
      </c>
      <c r="GE3109" s="5" t="s">
        <v>240</v>
      </c>
      <c r="GF3109" s="5" t="s">
        <v>240</v>
      </c>
      <c r="GG3109" s="5" t="s">
        <v>240</v>
      </c>
      <c r="GH3109" s="5" t="s">
        <v>240</v>
      </c>
      <c r="GI3109" s="5" t="s">
        <v>240</v>
      </c>
      <c r="GJ3109" s="5" t="s">
        <v>240</v>
      </c>
      <c r="GK3109" s="5" t="s">
        <v>240</v>
      </c>
      <c r="GL3109" s="5" t="s">
        <v>240</v>
      </c>
      <c r="GM3109" s="5" t="s">
        <v>240</v>
      </c>
      <c r="GN3109" s="5" t="s">
        <v>240</v>
      </c>
      <c r="GO3109" s="5" t="s">
        <v>240</v>
      </c>
      <c r="GP3109" s="5" t="s">
        <v>240</v>
      </c>
      <c r="GQ3109" s="5" t="s">
        <v>240</v>
      </c>
      <c r="GR3109" s="5" t="s">
        <v>240</v>
      </c>
      <c r="GS3109" s="5" t="s">
        <v>240</v>
      </c>
      <c r="GT3109" s="5" t="s">
        <v>240</v>
      </c>
      <c r="GU3109" s="5" t="s">
        <v>240</v>
      </c>
      <c r="GV3109" s="5" t="s">
        <v>240</v>
      </c>
      <c r="GW3109" s="5" t="s">
        <v>240</v>
      </c>
      <c r="GX3109" s="5" t="s">
        <v>240</v>
      </c>
      <c r="GY3109" s="5" t="s">
        <v>240</v>
      </c>
      <c r="GZ3109" s="5" t="s">
        <v>240</v>
      </c>
      <c r="HA3109" s="5" t="s">
        <v>240</v>
      </c>
      <c r="HB3109" s="5" t="s">
        <v>240</v>
      </c>
      <c r="HC3109" s="5" t="s">
        <v>240</v>
      </c>
      <c r="HD3109" s="5" t="s">
        <v>240</v>
      </c>
      <c r="HE3109" s="5" t="s">
        <v>240</v>
      </c>
      <c r="HF3109" s="5" t="s">
        <v>240</v>
      </c>
      <c r="HG3109" s="5" t="s">
        <v>240</v>
      </c>
      <c r="HH3109" s="5" t="s">
        <v>240</v>
      </c>
      <c r="HI3109" s="5" t="s">
        <v>240</v>
      </c>
      <c r="HJ3109" s="5" t="s">
        <v>240</v>
      </c>
      <c r="HK3109" s="5" t="s">
        <v>240</v>
      </c>
      <c r="HL3109" s="5" t="s">
        <v>240</v>
      </c>
      <c r="HM3109" s="5" t="s">
        <v>240</v>
      </c>
      <c r="HN3109" s="5" t="s">
        <v>240</v>
      </c>
      <c r="HO3109" s="5" t="s">
        <v>312</v>
      </c>
      <c r="HP3109" s="5" t="s">
        <v>240</v>
      </c>
      <c r="HQ3109" s="5" t="s">
        <v>240</v>
      </c>
      <c r="HR3109" s="5" t="s">
        <v>240</v>
      </c>
      <c r="HS3109" s="5" t="s">
        <v>240</v>
      </c>
      <c r="HT3109" s="5" t="s">
        <v>240</v>
      </c>
      <c r="HU3109" s="5" t="s">
        <v>240</v>
      </c>
      <c r="HV3109" s="5" t="s">
        <v>240</v>
      </c>
      <c r="HW3109" s="5" t="s">
        <v>240</v>
      </c>
      <c r="HX3109" s="5" t="s">
        <v>240</v>
      </c>
      <c r="HY3109" s="5" t="s">
        <v>240</v>
      </c>
      <c r="HZ3109" s="5" t="s">
        <v>240</v>
      </c>
      <c r="IA3109" s="5" t="s">
        <v>240</v>
      </c>
      <c r="IB3109" s="5" t="s">
        <v>240</v>
      </c>
      <c r="IC3109" s="5" t="s">
        <v>240</v>
      </c>
      <c r="ID3109" s="5" t="s">
        <v>240</v>
      </c>
      <c r="IE3109" s="5" t="s">
        <v>240</v>
      </c>
      <c r="IF3109" s="5" t="s">
        <v>240</v>
      </c>
    </row>
    <row r="3110" spans="1:240" x14ac:dyDescent="0.4">
      <c r="A3110" s="5">
        <v>4814</v>
      </c>
      <c r="B3110" s="5">
        <v>1</v>
      </c>
      <c r="C3110" s="5">
        <v>1</v>
      </c>
      <c r="D3110" s="5" t="s">
        <v>810</v>
      </c>
      <c r="E3110" s="5" t="s">
        <v>245</v>
      </c>
      <c r="F3110" s="5" t="s">
        <v>254</v>
      </c>
      <c r="G3110" s="5" t="s">
        <v>240</v>
      </c>
      <c r="H3110" s="6" t="s">
        <v>2329</v>
      </c>
      <c r="I3110" s="5" t="s">
        <v>809</v>
      </c>
      <c r="J3110" s="8">
        <f>152</f>
        <v>152</v>
      </c>
      <c r="K3110" s="5" t="s">
        <v>308</v>
      </c>
      <c r="L3110" s="7">
        <f>1</f>
        <v>1</v>
      </c>
      <c r="M3110" s="7">
        <f>1</f>
        <v>1</v>
      </c>
      <c r="N3110" s="5" t="s">
        <v>242</v>
      </c>
      <c r="O3110" s="5">
        <v>1</v>
      </c>
      <c r="P3110" s="5" t="s">
        <v>294</v>
      </c>
      <c r="Q3110" s="5" t="s">
        <v>266</v>
      </c>
      <c r="R3110" s="5" t="s">
        <v>240</v>
      </c>
      <c r="S3110" s="5" t="s">
        <v>240</v>
      </c>
      <c r="T3110" s="5" t="s">
        <v>296</v>
      </c>
      <c r="U3110" s="5" t="s">
        <v>244</v>
      </c>
      <c r="V3110" s="5" t="s">
        <v>240</v>
      </c>
      <c r="Y3110" s="5" t="s">
        <v>240</v>
      </c>
      <c r="Z3110" s="6" t="s">
        <v>298</v>
      </c>
      <c r="AB3110" s="6" t="s">
        <v>240</v>
      </c>
      <c r="AE3110" s="6" t="s">
        <v>299</v>
      </c>
      <c r="AF3110" s="5" t="s">
        <v>248</v>
      </c>
      <c r="AG3110" s="5" t="s">
        <v>249</v>
      </c>
      <c r="AW3110" s="5" t="s">
        <v>251</v>
      </c>
      <c r="AX3110" s="5" t="s">
        <v>240</v>
      </c>
      <c r="AY3110" s="5" t="s">
        <v>253</v>
      </c>
      <c r="AZ3110" s="5" t="s">
        <v>240</v>
      </c>
      <c r="BA3110" s="5" t="s">
        <v>255</v>
      </c>
      <c r="BB3110" s="5" t="s">
        <v>240</v>
      </c>
      <c r="BD3110" s="5" t="s">
        <v>240</v>
      </c>
      <c r="BF3110" s="5" t="s">
        <v>301</v>
      </c>
      <c r="BG3110" s="6" t="s">
        <v>299</v>
      </c>
      <c r="BH3110" s="5" t="s">
        <v>302</v>
      </c>
      <c r="BI3110" s="5" t="s">
        <v>303</v>
      </c>
      <c r="BJ3110" s="5" t="s">
        <v>240</v>
      </c>
      <c r="BK3110" s="8">
        <f>0</f>
        <v>0</v>
      </c>
      <c r="BL3110" s="7">
        <f>0</f>
        <v>0</v>
      </c>
      <c r="BM3110" s="5" t="s">
        <v>258</v>
      </c>
      <c r="BN3110" s="5" t="s">
        <v>259</v>
      </c>
      <c r="CB3110" s="5" t="s">
        <v>240</v>
      </c>
      <c r="CC3110" s="5" t="s">
        <v>240</v>
      </c>
      <c r="CG3110" s="5" t="s">
        <v>304</v>
      </c>
      <c r="CH3110" s="5" t="s">
        <v>305</v>
      </c>
      <c r="CI3110" s="5" t="s">
        <v>240</v>
      </c>
      <c r="CL3110" s="6" t="s">
        <v>261</v>
      </c>
      <c r="CM3110" s="5" t="s">
        <v>240</v>
      </c>
      <c r="CN3110" s="5" t="s">
        <v>263</v>
      </c>
      <c r="CO3110" s="5" t="s">
        <v>240</v>
      </c>
      <c r="CP3110" s="5" t="s">
        <v>240</v>
      </c>
      <c r="CQ3110" s="5">
        <v>0</v>
      </c>
      <c r="CR3110" s="5" t="s">
        <v>306</v>
      </c>
      <c r="CS3110" s="5" t="s">
        <v>307</v>
      </c>
      <c r="CT3110" s="5" t="s">
        <v>307</v>
      </c>
      <c r="CU3110" s="5" t="s">
        <v>260</v>
      </c>
      <c r="CX3110" s="7">
        <f>1</f>
        <v>1</v>
      </c>
      <c r="CY3110" s="7">
        <f>0</f>
        <v>0</v>
      </c>
      <c r="DA3110" s="7">
        <f>0</f>
        <v>0</v>
      </c>
      <c r="DC3110" s="5" t="s">
        <v>812</v>
      </c>
      <c r="DD3110" s="5" t="s">
        <v>240</v>
      </c>
      <c r="DF3110" s="5" t="s">
        <v>812</v>
      </c>
      <c r="DG3110" s="7">
        <f>9993</f>
        <v>9993</v>
      </c>
      <c r="DI3110" s="5" t="s">
        <v>240</v>
      </c>
      <c r="DJ3110" s="5" t="s">
        <v>240</v>
      </c>
      <c r="DK3110" s="5" t="s">
        <v>240</v>
      </c>
      <c r="DL3110" s="5" t="s">
        <v>240</v>
      </c>
      <c r="DP3110" s="5" t="s">
        <v>240</v>
      </c>
      <c r="DQ3110" s="5" t="s">
        <v>240</v>
      </c>
      <c r="DR3110" s="5" t="s">
        <v>240</v>
      </c>
      <c r="DS3110" s="5" t="s">
        <v>240</v>
      </c>
      <c r="DV3110" s="5" t="s">
        <v>813</v>
      </c>
      <c r="DW3110" s="5" t="s">
        <v>265</v>
      </c>
      <c r="HO3110" s="5" t="s">
        <v>312</v>
      </c>
    </row>
    <row r="3111" spans="1:240" x14ac:dyDescent="0.4">
      <c r="A3111" s="5">
        <v>4815</v>
      </c>
      <c r="B3111" s="5">
        <v>1</v>
      </c>
      <c r="C3111" s="5">
        <v>1</v>
      </c>
      <c r="D3111" s="5" t="s">
        <v>810</v>
      </c>
      <c r="E3111" s="5" t="s">
        <v>245</v>
      </c>
      <c r="F3111" s="5" t="s">
        <v>254</v>
      </c>
      <c r="G3111" s="5" t="s">
        <v>240</v>
      </c>
      <c r="H3111" s="6" t="s">
        <v>2327</v>
      </c>
      <c r="I3111" s="5" t="s">
        <v>809</v>
      </c>
      <c r="J3111" s="8">
        <f>3424</f>
        <v>3424</v>
      </c>
      <c r="K3111" s="5" t="s">
        <v>308</v>
      </c>
      <c r="L3111" s="7">
        <f>1</f>
        <v>1</v>
      </c>
      <c r="M3111" s="7">
        <f>1</f>
        <v>1</v>
      </c>
      <c r="N3111" s="5" t="s">
        <v>242</v>
      </c>
      <c r="O3111" s="5">
        <v>1</v>
      </c>
      <c r="P3111" s="5" t="s">
        <v>294</v>
      </c>
      <c r="Q3111" s="5" t="s">
        <v>3678</v>
      </c>
      <c r="R3111" s="5" t="s">
        <v>240</v>
      </c>
      <c r="S3111" s="5" t="s">
        <v>240</v>
      </c>
      <c r="T3111" s="5" t="s">
        <v>243</v>
      </c>
      <c r="U3111" s="5" t="s">
        <v>244</v>
      </c>
      <c r="V3111" s="5" t="s">
        <v>240</v>
      </c>
      <c r="W3111" s="5" t="s">
        <v>240</v>
      </c>
      <c r="X3111" s="5" t="s">
        <v>240</v>
      </c>
      <c r="Y3111" s="5" t="s">
        <v>240</v>
      </c>
      <c r="Z3111" s="6" t="s">
        <v>298</v>
      </c>
      <c r="AA3111" s="6" t="s">
        <v>240</v>
      </c>
      <c r="AB3111" s="6" t="s">
        <v>240</v>
      </c>
      <c r="AC3111" s="5" t="s">
        <v>240</v>
      </c>
      <c r="AD3111" s="6" t="s">
        <v>240</v>
      </c>
      <c r="AE3111" s="6" t="s">
        <v>299</v>
      </c>
      <c r="AF3111" s="5" t="s">
        <v>248</v>
      </c>
      <c r="AG3111" s="5" t="s">
        <v>249</v>
      </c>
      <c r="AH3111" s="5" t="s">
        <v>240</v>
      </c>
      <c r="AI3111" s="5" t="s">
        <v>240</v>
      </c>
      <c r="AJ3111" s="5" t="s">
        <v>240</v>
      </c>
      <c r="AK3111" s="5" t="s">
        <v>240</v>
      </c>
      <c r="AL3111" s="5" t="s">
        <v>240</v>
      </c>
      <c r="AM3111" s="5" t="s">
        <v>240</v>
      </c>
      <c r="AN3111" s="5" t="s">
        <v>240</v>
      </c>
      <c r="AO3111" s="5" t="s">
        <v>240</v>
      </c>
      <c r="AP3111" s="6" t="s">
        <v>240</v>
      </c>
      <c r="AQ3111" s="6" t="s">
        <v>240</v>
      </c>
      <c r="AR3111" s="6" t="s">
        <v>240</v>
      </c>
      <c r="AS3111" s="6" t="s">
        <v>240</v>
      </c>
      <c r="AT3111" s="5" t="s">
        <v>240</v>
      </c>
      <c r="AU3111" s="5" t="s">
        <v>729</v>
      </c>
      <c r="AV3111" s="5" t="s">
        <v>729</v>
      </c>
      <c r="AW3111" s="5" t="s">
        <v>251</v>
      </c>
      <c r="AX3111" s="5" t="s">
        <v>252</v>
      </c>
      <c r="AY3111" s="5" t="s">
        <v>253</v>
      </c>
      <c r="AZ3111" s="5" t="s">
        <v>240</v>
      </c>
      <c r="BA3111" s="5" t="s">
        <v>255</v>
      </c>
      <c r="BB3111" s="5" t="s">
        <v>731</v>
      </c>
      <c r="BD3111" s="5" t="s">
        <v>240</v>
      </c>
      <c r="BF3111" s="5" t="s">
        <v>732</v>
      </c>
      <c r="BG3111" s="6" t="s">
        <v>733</v>
      </c>
      <c r="BH3111" s="5" t="s">
        <v>734</v>
      </c>
      <c r="BI3111" s="5" t="s">
        <v>734</v>
      </c>
      <c r="BJ3111" s="5" t="s">
        <v>240</v>
      </c>
      <c r="BK3111" s="7">
        <f>1</f>
        <v>1</v>
      </c>
      <c r="BL3111" s="7">
        <f>1</f>
        <v>1</v>
      </c>
      <c r="BM3111" s="5" t="s">
        <v>258</v>
      </c>
      <c r="BN3111" s="5" t="s">
        <v>259</v>
      </c>
      <c r="BO3111" s="5" t="s">
        <v>240</v>
      </c>
      <c r="BP3111" s="5" t="s">
        <v>240</v>
      </c>
      <c r="BQ3111" s="5" t="s">
        <v>240</v>
      </c>
      <c r="BR3111" s="5" t="s">
        <v>240</v>
      </c>
      <c r="BS3111" s="5" t="s">
        <v>240</v>
      </c>
      <c r="BT3111" s="5" t="s">
        <v>240</v>
      </c>
      <c r="BU3111" s="5" t="s">
        <v>240</v>
      </c>
      <c r="BV3111" s="5" t="s">
        <v>240</v>
      </c>
      <c r="BW3111" s="6" t="s">
        <v>240</v>
      </c>
      <c r="BX3111" s="5" t="s">
        <v>240</v>
      </c>
      <c r="BY3111" s="5" t="s">
        <v>240</v>
      </c>
      <c r="BZ3111" s="5" t="s">
        <v>240</v>
      </c>
      <c r="CA3111" s="5" t="s">
        <v>259</v>
      </c>
      <c r="CB3111" s="5" t="s">
        <v>240</v>
      </c>
      <c r="CC3111" s="5" t="s">
        <v>240</v>
      </c>
      <c r="CD3111" s="5" t="s">
        <v>240</v>
      </c>
      <c r="CE3111" s="5" t="s">
        <v>240</v>
      </c>
      <c r="CF3111" s="5" t="s">
        <v>240</v>
      </c>
      <c r="CG3111" s="5" t="s">
        <v>304</v>
      </c>
      <c r="CH3111" s="5" t="s">
        <v>305</v>
      </c>
      <c r="CI3111" s="5" t="s">
        <v>240</v>
      </c>
      <c r="CK3111" s="5" t="s">
        <v>3681</v>
      </c>
      <c r="CL3111" s="6" t="s">
        <v>261</v>
      </c>
      <c r="CM3111" s="5" t="s">
        <v>262</v>
      </c>
      <c r="CN3111" s="5" t="s">
        <v>263</v>
      </c>
      <c r="CO3111" s="5" t="s">
        <v>264</v>
      </c>
      <c r="CP3111" s="5" t="s">
        <v>240</v>
      </c>
      <c r="CQ3111" s="5">
        <v>0</v>
      </c>
      <c r="CR3111" s="5" t="s">
        <v>735</v>
      </c>
      <c r="CS3111" s="5" t="s">
        <v>307</v>
      </c>
      <c r="CT3111" s="5" t="s">
        <v>307</v>
      </c>
      <c r="CU3111" s="5" t="s">
        <v>260</v>
      </c>
      <c r="CV3111" s="5" t="s">
        <v>612</v>
      </c>
      <c r="CW3111" s="8">
        <f>1</f>
        <v>1</v>
      </c>
      <c r="CX3111" s="7">
        <f>1</f>
        <v>1</v>
      </c>
      <c r="CY3111" s="7">
        <f>0</f>
        <v>0</v>
      </c>
      <c r="DA3111" s="7">
        <f>1</f>
        <v>1</v>
      </c>
      <c r="DB3111" s="7" t="s">
        <v>240</v>
      </c>
      <c r="DC3111" s="5" t="s">
        <v>240</v>
      </c>
      <c r="DD3111" s="5" t="s">
        <v>240</v>
      </c>
      <c r="DE3111" s="5" t="s">
        <v>240</v>
      </c>
      <c r="DF3111" s="5" t="s">
        <v>240</v>
      </c>
      <c r="DG3111" s="7">
        <f>0</f>
        <v>0</v>
      </c>
      <c r="DI3111" s="5" t="s">
        <v>240</v>
      </c>
      <c r="DJ3111" s="5" t="s">
        <v>240</v>
      </c>
      <c r="DK3111" s="5" t="s">
        <v>240</v>
      </c>
      <c r="DL3111" s="5" t="s">
        <v>240</v>
      </c>
      <c r="DM3111" s="5" t="s">
        <v>240</v>
      </c>
      <c r="DN3111" s="5" t="s">
        <v>240</v>
      </c>
      <c r="DO3111" s="7" t="s">
        <v>240</v>
      </c>
      <c r="DP3111" s="5" t="s">
        <v>240</v>
      </c>
      <c r="DQ3111" s="5" t="s">
        <v>240</v>
      </c>
      <c r="DR3111" s="5" t="s">
        <v>731</v>
      </c>
      <c r="DS3111" s="5" t="s">
        <v>731</v>
      </c>
      <c r="DT3111" s="5" t="s">
        <v>240</v>
      </c>
      <c r="DU3111" s="5" t="s">
        <v>240</v>
      </c>
      <c r="DV3111" s="5" t="s">
        <v>3683</v>
      </c>
      <c r="DW3111" s="5" t="s">
        <v>574</v>
      </c>
      <c r="DX3111" s="5" t="s">
        <v>240</v>
      </c>
      <c r="DY3111" s="5" t="s">
        <v>240</v>
      </c>
      <c r="DZ3111" s="5" t="s">
        <v>240</v>
      </c>
      <c r="EA3111" s="5" t="s">
        <v>240</v>
      </c>
      <c r="EB3111" s="5" t="s">
        <v>240</v>
      </c>
      <c r="EC3111" s="5" t="s">
        <v>240</v>
      </c>
      <c r="ED3111" s="5" t="s">
        <v>240</v>
      </c>
      <c r="EE3111" s="5" t="s">
        <v>240</v>
      </c>
      <c r="EF3111" s="5" t="s">
        <v>240</v>
      </c>
      <c r="EG3111" s="5" t="s">
        <v>240</v>
      </c>
      <c r="EH3111" s="5" t="s">
        <v>240</v>
      </c>
      <c r="EI3111" s="5" t="s">
        <v>240</v>
      </c>
      <c r="EJ3111" s="5" t="s">
        <v>240</v>
      </c>
      <c r="EK3111" s="5" t="s">
        <v>240</v>
      </c>
      <c r="EL3111" s="5" t="s">
        <v>240</v>
      </c>
      <c r="EM3111" s="5" t="s">
        <v>240</v>
      </c>
      <c r="EN3111" s="5" t="s">
        <v>240</v>
      </c>
      <c r="EO3111" s="5" t="s">
        <v>240</v>
      </c>
      <c r="EP3111" s="5" t="s">
        <v>240</v>
      </c>
      <c r="EQ3111" s="5" t="s">
        <v>240</v>
      </c>
      <c r="ER3111" s="5" t="s">
        <v>240</v>
      </c>
      <c r="ES3111" s="5" t="s">
        <v>240</v>
      </c>
      <c r="ET3111" s="5" t="s">
        <v>240</v>
      </c>
      <c r="EU3111" s="5" t="s">
        <v>240</v>
      </c>
      <c r="EV3111" s="5" t="s">
        <v>240</v>
      </c>
      <c r="EW3111" s="5" t="s">
        <v>240</v>
      </c>
      <c r="EX3111" s="5" t="s">
        <v>240</v>
      </c>
      <c r="EY3111" s="5" t="s">
        <v>240</v>
      </c>
      <c r="EZ3111" s="5" t="s">
        <v>240</v>
      </c>
      <c r="FA3111" s="5" t="s">
        <v>240</v>
      </c>
      <c r="FB3111" s="5" t="s">
        <v>240</v>
      </c>
      <c r="FC3111" s="5" t="s">
        <v>240</v>
      </c>
      <c r="FD3111" s="5" t="s">
        <v>240</v>
      </c>
      <c r="FE3111" s="5" t="s">
        <v>240</v>
      </c>
      <c r="FF3111" s="5" t="s">
        <v>240</v>
      </c>
      <c r="FG3111" s="5" t="s">
        <v>240</v>
      </c>
      <c r="FH3111" s="5" t="s">
        <v>240</v>
      </c>
      <c r="FI3111" s="5" t="s">
        <v>240</v>
      </c>
      <c r="FJ3111" s="5" t="s">
        <v>240</v>
      </c>
      <c r="FK3111" s="5" t="s">
        <v>240</v>
      </c>
      <c r="FL3111" s="5" t="s">
        <v>240</v>
      </c>
      <c r="FM3111" s="5" t="s">
        <v>240</v>
      </c>
      <c r="FN3111" s="5" t="s">
        <v>240</v>
      </c>
      <c r="FO3111" s="5" t="s">
        <v>240</v>
      </c>
      <c r="FP3111" s="5" t="s">
        <v>240</v>
      </c>
      <c r="FQ3111" s="5" t="s">
        <v>240</v>
      </c>
      <c r="FR3111" s="5" t="s">
        <v>240</v>
      </c>
      <c r="FS3111" s="5" t="s">
        <v>240</v>
      </c>
      <c r="FT3111" s="5" t="s">
        <v>240</v>
      </c>
      <c r="FU3111" s="5" t="s">
        <v>240</v>
      </c>
      <c r="FV3111" s="5" t="s">
        <v>240</v>
      </c>
      <c r="FW3111" s="5" t="s">
        <v>240</v>
      </c>
      <c r="FX3111" s="5" t="s">
        <v>240</v>
      </c>
      <c r="FY3111" s="5" t="s">
        <v>240</v>
      </c>
      <c r="FZ3111" s="5" t="s">
        <v>240</v>
      </c>
      <c r="GA3111" s="5" t="s">
        <v>240</v>
      </c>
      <c r="GB3111" s="5" t="s">
        <v>240</v>
      </c>
      <c r="GC3111" s="5" t="s">
        <v>240</v>
      </c>
      <c r="GD3111" s="5" t="s">
        <v>240</v>
      </c>
      <c r="GE3111" s="5" t="s">
        <v>240</v>
      </c>
      <c r="GF3111" s="5" t="s">
        <v>240</v>
      </c>
      <c r="GG3111" s="5" t="s">
        <v>240</v>
      </c>
      <c r="GH3111" s="5" t="s">
        <v>240</v>
      </c>
      <c r="GI3111" s="5" t="s">
        <v>240</v>
      </c>
      <c r="GJ3111" s="5" t="s">
        <v>240</v>
      </c>
      <c r="GK3111" s="5" t="s">
        <v>240</v>
      </c>
      <c r="GL3111" s="5" t="s">
        <v>240</v>
      </c>
      <c r="GM3111" s="5" t="s">
        <v>240</v>
      </c>
      <c r="GN3111" s="5" t="s">
        <v>240</v>
      </c>
      <c r="GO3111" s="5" t="s">
        <v>240</v>
      </c>
      <c r="GP3111" s="5" t="s">
        <v>240</v>
      </c>
      <c r="GQ3111" s="5" t="s">
        <v>240</v>
      </c>
      <c r="GR3111" s="5" t="s">
        <v>240</v>
      </c>
      <c r="GS3111" s="5" t="s">
        <v>240</v>
      </c>
      <c r="GT3111" s="5" t="s">
        <v>240</v>
      </c>
      <c r="GU3111" s="5" t="s">
        <v>240</v>
      </c>
      <c r="GV3111" s="5" t="s">
        <v>240</v>
      </c>
      <c r="GW3111" s="5" t="s">
        <v>240</v>
      </c>
      <c r="GX3111" s="5" t="s">
        <v>240</v>
      </c>
      <c r="GY3111" s="5" t="s">
        <v>240</v>
      </c>
      <c r="GZ3111" s="5" t="s">
        <v>240</v>
      </c>
      <c r="HA3111" s="5" t="s">
        <v>240</v>
      </c>
      <c r="HB3111" s="5" t="s">
        <v>240</v>
      </c>
      <c r="HC3111" s="5" t="s">
        <v>240</v>
      </c>
      <c r="HD3111" s="5" t="s">
        <v>240</v>
      </c>
      <c r="HE3111" s="5" t="s">
        <v>240</v>
      </c>
      <c r="HF3111" s="5" t="s">
        <v>240</v>
      </c>
      <c r="HG3111" s="5" t="s">
        <v>240</v>
      </c>
      <c r="HH3111" s="5" t="s">
        <v>240</v>
      </c>
      <c r="HI3111" s="5" t="s">
        <v>240</v>
      </c>
      <c r="HJ3111" s="5" t="s">
        <v>240</v>
      </c>
      <c r="HK3111" s="5" t="s">
        <v>240</v>
      </c>
      <c r="HL3111" s="5" t="s">
        <v>240</v>
      </c>
      <c r="HM3111" s="5" t="s">
        <v>240</v>
      </c>
      <c r="HN3111" s="5" t="s">
        <v>240</v>
      </c>
      <c r="HO3111" s="5" t="s">
        <v>312</v>
      </c>
      <c r="HP3111" s="5" t="s">
        <v>240</v>
      </c>
      <c r="HQ3111" s="5" t="s">
        <v>240</v>
      </c>
      <c r="HR3111" s="5" t="s">
        <v>240</v>
      </c>
      <c r="HS3111" s="5" t="s">
        <v>240</v>
      </c>
      <c r="HT3111" s="5" t="s">
        <v>240</v>
      </c>
      <c r="HU3111" s="5" t="s">
        <v>240</v>
      </c>
      <c r="HV3111" s="5" t="s">
        <v>240</v>
      </c>
      <c r="HW3111" s="5" t="s">
        <v>240</v>
      </c>
      <c r="HX3111" s="5" t="s">
        <v>240</v>
      </c>
      <c r="HY3111" s="5" t="s">
        <v>240</v>
      </c>
      <c r="HZ3111" s="5" t="s">
        <v>240</v>
      </c>
      <c r="IA3111" s="5" t="s">
        <v>240</v>
      </c>
      <c r="IB3111" s="5" t="s">
        <v>240</v>
      </c>
      <c r="IC3111" s="5" t="s">
        <v>240</v>
      </c>
      <c r="ID3111" s="5" t="s">
        <v>240</v>
      </c>
      <c r="IE3111" s="5" t="s">
        <v>240</v>
      </c>
      <c r="IF3111" s="5" t="s">
        <v>240</v>
      </c>
    </row>
    <row r="3112" spans="1:240" x14ac:dyDescent="0.4">
      <c r="A3112" s="5">
        <v>4816</v>
      </c>
      <c r="B3112" s="5">
        <v>1</v>
      </c>
      <c r="C3112" s="5">
        <v>1</v>
      </c>
      <c r="D3112" s="5" t="s">
        <v>810</v>
      </c>
      <c r="E3112" s="5" t="s">
        <v>245</v>
      </c>
      <c r="F3112" s="5" t="s">
        <v>254</v>
      </c>
      <c r="G3112" s="5" t="s">
        <v>240</v>
      </c>
      <c r="H3112" s="6" t="s">
        <v>2325</v>
      </c>
      <c r="I3112" s="5" t="s">
        <v>809</v>
      </c>
      <c r="J3112" s="8">
        <f>504</f>
        <v>504</v>
      </c>
      <c r="K3112" s="5" t="s">
        <v>308</v>
      </c>
      <c r="L3112" s="7">
        <f>1</f>
        <v>1</v>
      </c>
      <c r="M3112" s="7">
        <f>1</f>
        <v>1</v>
      </c>
      <c r="N3112" s="5" t="s">
        <v>242</v>
      </c>
      <c r="O3112" s="5">
        <v>1</v>
      </c>
      <c r="P3112" s="5" t="s">
        <v>294</v>
      </c>
      <c r="Q3112" s="5" t="s">
        <v>3678</v>
      </c>
      <c r="R3112" s="5" t="s">
        <v>240</v>
      </c>
      <c r="S3112" s="5" t="s">
        <v>240</v>
      </c>
      <c r="T3112" s="5" t="s">
        <v>243</v>
      </c>
      <c r="U3112" s="5" t="s">
        <v>244</v>
      </c>
      <c r="V3112" s="5" t="s">
        <v>240</v>
      </c>
      <c r="W3112" s="5" t="s">
        <v>240</v>
      </c>
      <c r="X3112" s="5" t="s">
        <v>240</v>
      </c>
      <c r="Y3112" s="5" t="s">
        <v>240</v>
      </c>
      <c r="Z3112" s="6" t="s">
        <v>298</v>
      </c>
      <c r="AA3112" s="6" t="s">
        <v>240</v>
      </c>
      <c r="AB3112" s="6" t="s">
        <v>240</v>
      </c>
      <c r="AC3112" s="5" t="s">
        <v>240</v>
      </c>
      <c r="AD3112" s="6" t="s">
        <v>240</v>
      </c>
      <c r="AE3112" s="6" t="s">
        <v>299</v>
      </c>
      <c r="AF3112" s="5" t="s">
        <v>248</v>
      </c>
      <c r="AG3112" s="5" t="s">
        <v>249</v>
      </c>
      <c r="AH3112" s="5" t="s">
        <v>240</v>
      </c>
      <c r="AI3112" s="5" t="s">
        <v>240</v>
      </c>
      <c r="AJ3112" s="5" t="s">
        <v>240</v>
      </c>
      <c r="AK3112" s="5" t="s">
        <v>240</v>
      </c>
      <c r="AL3112" s="5" t="s">
        <v>240</v>
      </c>
      <c r="AM3112" s="5" t="s">
        <v>240</v>
      </c>
      <c r="AN3112" s="5" t="s">
        <v>240</v>
      </c>
      <c r="AO3112" s="5" t="s">
        <v>240</v>
      </c>
      <c r="AP3112" s="6" t="s">
        <v>240</v>
      </c>
      <c r="AQ3112" s="6" t="s">
        <v>240</v>
      </c>
      <c r="AR3112" s="6" t="s">
        <v>240</v>
      </c>
      <c r="AS3112" s="6" t="s">
        <v>240</v>
      </c>
      <c r="AT3112" s="5" t="s">
        <v>240</v>
      </c>
      <c r="AU3112" s="5" t="s">
        <v>729</v>
      </c>
      <c r="AV3112" s="5" t="s">
        <v>729</v>
      </c>
      <c r="AW3112" s="5" t="s">
        <v>251</v>
      </c>
      <c r="AX3112" s="5" t="s">
        <v>252</v>
      </c>
      <c r="AY3112" s="5" t="s">
        <v>253</v>
      </c>
      <c r="AZ3112" s="5" t="s">
        <v>240</v>
      </c>
      <c r="BA3112" s="5" t="s">
        <v>255</v>
      </c>
      <c r="BB3112" s="5" t="s">
        <v>731</v>
      </c>
      <c r="BD3112" s="5" t="s">
        <v>240</v>
      </c>
      <c r="BF3112" s="5" t="s">
        <v>732</v>
      </c>
      <c r="BG3112" s="6" t="s">
        <v>733</v>
      </c>
      <c r="BH3112" s="5" t="s">
        <v>734</v>
      </c>
      <c r="BI3112" s="5" t="s">
        <v>734</v>
      </c>
      <c r="BJ3112" s="5" t="s">
        <v>240</v>
      </c>
      <c r="BK3112" s="7">
        <f>1</f>
        <v>1</v>
      </c>
      <c r="BL3112" s="7">
        <f>1</f>
        <v>1</v>
      </c>
      <c r="BM3112" s="5" t="s">
        <v>258</v>
      </c>
      <c r="BN3112" s="5" t="s">
        <v>259</v>
      </c>
      <c r="BO3112" s="5" t="s">
        <v>240</v>
      </c>
      <c r="BP3112" s="5" t="s">
        <v>240</v>
      </c>
      <c r="BQ3112" s="5" t="s">
        <v>240</v>
      </c>
      <c r="BR3112" s="5" t="s">
        <v>240</v>
      </c>
      <c r="BS3112" s="5" t="s">
        <v>240</v>
      </c>
      <c r="BT3112" s="5" t="s">
        <v>240</v>
      </c>
      <c r="BU3112" s="5" t="s">
        <v>240</v>
      </c>
      <c r="BV3112" s="5" t="s">
        <v>240</v>
      </c>
      <c r="BW3112" s="6" t="s">
        <v>240</v>
      </c>
      <c r="BX3112" s="5" t="s">
        <v>240</v>
      </c>
      <c r="BY3112" s="5" t="s">
        <v>240</v>
      </c>
      <c r="BZ3112" s="5" t="s">
        <v>240</v>
      </c>
      <c r="CA3112" s="5" t="s">
        <v>259</v>
      </c>
      <c r="CB3112" s="5" t="s">
        <v>240</v>
      </c>
      <c r="CC3112" s="5" t="s">
        <v>240</v>
      </c>
      <c r="CD3112" s="5" t="s">
        <v>240</v>
      </c>
      <c r="CE3112" s="5" t="s">
        <v>240</v>
      </c>
      <c r="CF3112" s="5" t="s">
        <v>240</v>
      </c>
      <c r="CG3112" s="5" t="s">
        <v>304</v>
      </c>
      <c r="CH3112" s="5" t="s">
        <v>305</v>
      </c>
      <c r="CI3112" s="5" t="s">
        <v>240</v>
      </c>
      <c r="CK3112" s="5" t="s">
        <v>3681</v>
      </c>
      <c r="CL3112" s="6" t="s">
        <v>261</v>
      </c>
      <c r="CM3112" s="5" t="s">
        <v>262</v>
      </c>
      <c r="CN3112" s="5" t="s">
        <v>263</v>
      </c>
      <c r="CO3112" s="5" t="s">
        <v>264</v>
      </c>
      <c r="CP3112" s="5" t="s">
        <v>240</v>
      </c>
      <c r="CQ3112" s="5">
        <v>0</v>
      </c>
      <c r="CR3112" s="5" t="s">
        <v>735</v>
      </c>
      <c r="CS3112" s="5" t="s">
        <v>307</v>
      </c>
      <c r="CT3112" s="5" t="s">
        <v>307</v>
      </c>
      <c r="CU3112" s="5" t="s">
        <v>260</v>
      </c>
      <c r="CV3112" s="5" t="s">
        <v>612</v>
      </c>
      <c r="CW3112" s="8">
        <f>1</f>
        <v>1</v>
      </c>
      <c r="CX3112" s="7">
        <f>1</f>
        <v>1</v>
      </c>
      <c r="CY3112" s="7">
        <f>0</f>
        <v>0</v>
      </c>
      <c r="DA3112" s="7">
        <f>1</f>
        <v>1</v>
      </c>
      <c r="DB3112" s="7" t="s">
        <v>240</v>
      </c>
      <c r="DC3112" s="5" t="s">
        <v>240</v>
      </c>
      <c r="DD3112" s="5" t="s">
        <v>240</v>
      </c>
      <c r="DE3112" s="5" t="s">
        <v>240</v>
      </c>
      <c r="DF3112" s="5" t="s">
        <v>240</v>
      </c>
      <c r="DG3112" s="7">
        <f>0</f>
        <v>0</v>
      </c>
      <c r="DI3112" s="5" t="s">
        <v>240</v>
      </c>
      <c r="DJ3112" s="5" t="s">
        <v>240</v>
      </c>
      <c r="DK3112" s="5" t="s">
        <v>240</v>
      </c>
      <c r="DL3112" s="5" t="s">
        <v>240</v>
      </c>
      <c r="DM3112" s="5" t="s">
        <v>240</v>
      </c>
      <c r="DN3112" s="5" t="s">
        <v>240</v>
      </c>
      <c r="DO3112" s="7" t="s">
        <v>240</v>
      </c>
      <c r="DP3112" s="5" t="s">
        <v>240</v>
      </c>
      <c r="DQ3112" s="5" t="s">
        <v>240</v>
      </c>
      <c r="DR3112" s="5" t="s">
        <v>731</v>
      </c>
      <c r="DS3112" s="5" t="s">
        <v>731</v>
      </c>
      <c r="DT3112" s="5" t="s">
        <v>240</v>
      </c>
      <c r="DU3112" s="5" t="s">
        <v>240</v>
      </c>
      <c r="DV3112" s="5" t="s">
        <v>3683</v>
      </c>
      <c r="DW3112" s="5" t="s">
        <v>566</v>
      </c>
      <c r="DX3112" s="5" t="s">
        <v>240</v>
      </c>
      <c r="DY3112" s="5" t="s">
        <v>240</v>
      </c>
      <c r="DZ3112" s="5" t="s">
        <v>240</v>
      </c>
      <c r="EA3112" s="5" t="s">
        <v>240</v>
      </c>
      <c r="EB3112" s="5" t="s">
        <v>240</v>
      </c>
      <c r="EC3112" s="5" t="s">
        <v>240</v>
      </c>
      <c r="ED3112" s="5" t="s">
        <v>240</v>
      </c>
      <c r="EE3112" s="5" t="s">
        <v>240</v>
      </c>
      <c r="EF3112" s="5" t="s">
        <v>240</v>
      </c>
      <c r="EG3112" s="5" t="s">
        <v>240</v>
      </c>
      <c r="EH3112" s="5" t="s">
        <v>240</v>
      </c>
      <c r="EI3112" s="5" t="s">
        <v>240</v>
      </c>
      <c r="EJ3112" s="5" t="s">
        <v>240</v>
      </c>
      <c r="EK3112" s="5" t="s">
        <v>240</v>
      </c>
      <c r="EL3112" s="5" t="s">
        <v>240</v>
      </c>
      <c r="EM3112" s="5" t="s">
        <v>240</v>
      </c>
      <c r="EN3112" s="5" t="s">
        <v>240</v>
      </c>
      <c r="EO3112" s="5" t="s">
        <v>240</v>
      </c>
      <c r="EP3112" s="5" t="s">
        <v>240</v>
      </c>
      <c r="EQ3112" s="5" t="s">
        <v>240</v>
      </c>
      <c r="ER3112" s="5" t="s">
        <v>240</v>
      </c>
      <c r="ES3112" s="5" t="s">
        <v>240</v>
      </c>
      <c r="ET3112" s="5" t="s">
        <v>240</v>
      </c>
      <c r="EU3112" s="5" t="s">
        <v>240</v>
      </c>
      <c r="EV3112" s="5" t="s">
        <v>240</v>
      </c>
      <c r="EW3112" s="5" t="s">
        <v>240</v>
      </c>
      <c r="EX3112" s="5" t="s">
        <v>240</v>
      </c>
      <c r="EY3112" s="5" t="s">
        <v>240</v>
      </c>
      <c r="EZ3112" s="5" t="s">
        <v>240</v>
      </c>
      <c r="FA3112" s="5" t="s">
        <v>240</v>
      </c>
      <c r="FB3112" s="5" t="s">
        <v>240</v>
      </c>
      <c r="FC3112" s="5" t="s">
        <v>240</v>
      </c>
      <c r="FD3112" s="5" t="s">
        <v>240</v>
      </c>
      <c r="FE3112" s="5" t="s">
        <v>240</v>
      </c>
      <c r="FF3112" s="5" t="s">
        <v>240</v>
      </c>
      <c r="FG3112" s="5" t="s">
        <v>240</v>
      </c>
      <c r="FH3112" s="5" t="s">
        <v>240</v>
      </c>
      <c r="FI3112" s="5" t="s">
        <v>240</v>
      </c>
      <c r="FJ3112" s="5" t="s">
        <v>240</v>
      </c>
      <c r="FK3112" s="5" t="s">
        <v>240</v>
      </c>
      <c r="FL3112" s="5" t="s">
        <v>240</v>
      </c>
      <c r="FM3112" s="5" t="s">
        <v>240</v>
      </c>
      <c r="FN3112" s="5" t="s">
        <v>240</v>
      </c>
      <c r="FO3112" s="5" t="s">
        <v>240</v>
      </c>
      <c r="FP3112" s="5" t="s">
        <v>240</v>
      </c>
      <c r="FQ3112" s="5" t="s">
        <v>240</v>
      </c>
      <c r="FR3112" s="5" t="s">
        <v>240</v>
      </c>
      <c r="FS3112" s="5" t="s">
        <v>240</v>
      </c>
      <c r="FT3112" s="5" t="s">
        <v>240</v>
      </c>
      <c r="FU3112" s="5" t="s">
        <v>240</v>
      </c>
      <c r="FV3112" s="5" t="s">
        <v>240</v>
      </c>
      <c r="FW3112" s="5" t="s">
        <v>240</v>
      </c>
      <c r="FX3112" s="5" t="s">
        <v>240</v>
      </c>
      <c r="FY3112" s="5" t="s">
        <v>240</v>
      </c>
      <c r="FZ3112" s="5" t="s">
        <v>240</v>
      </c>
      <c r="GA3112" s="5" t="s">
        <v>240</v>
      </c>
      <c r="GB3112" s="5" t="s">
        <v>240</v>
      </c>
      <c r="GC3112" s="5" t="s">
        <v>240</v>
      </c>
      <c r="GD3112" s="5" t="s">
        <v>240</v>
      </c>
      <c r="GE3112" s="5" t="s">
        <v>240</v>
      </c>
      <c r="GF3112" s="5" t="s">
        <v>240</v>
      </c>
      <c r="GG3112" s="5" t="s">
        <v>240</v>
      </c>
      <c r="GH3112" s="5" t="s">
        <v>240</v>
      </c>
      <c r="GI3112" s="5" t="s">
        <v>240</v>
      </c>
      <c r="GJ3112" s="5" t="s">
        <v>240</v>
      </c>
      <c r="GK3112" s="5" t="s">
        <v>240</v>
      </c>
      <c r="GL3112" s="5" t="s">
        <v>240</v>
      </c>
      <c r="GM3112" s="5" t="s">
        <v>240</v>
      </c>
      <c r="GN3112" s="5" t="s">
        <v>240</v>
      </c>
      <c r="GO3112" s="5" t="s">
        <v>240</v>
      </c>
      <c r="GP3112" s="5" t="s">
        <v>240</v>
      </c>
      <c r="GQ3112" s="5" t="s">
        <v>240</v>
      </c>
      <c r="GR3112" s="5" t="s">
        <v>240</v>
      </c>
      <c r="GS3112" s="5" t="s">
        <v>240</v>
      </c>
      <c r="GT3112" s="5" t="s">
        <v>240</v>
      </c>
      <c r="GU3112" s="5" t="s">
        <v>240</v>
      </c>
      <c r="GV3112" s="5" t="s">
        <v>240</v>
      </c>
      <c r="GW3112" s="5" t="s">
        <v>240</v>
      </c>
      <c r="GX3112" s="5" t="s">
        <v>240</v>
      </c>
      <c r="GY3112" s="5" t="s">
        <v>240</v>
      </c>
      <c r="GZ3112" s="5" t="s">
        <v>240</v>
      </c>
      <c r="HA3112" s="5" t="s">
        <v>240</v>
      </c>
      <c r="HB3112" s="5" t="s">
        <v>240</v>
      </c>
      <c r="HC3112" s="5" t="s">
        <v>240</v>
      </c>
      <c r="HD3112" s="5" t="s">
        <v>240</v>
      </c>
      <c r="HE3112" s="5" t="s">
        <v>240</v>
      </c>
      <c r="HF3112" s="5" t="s">
        <v>240</v>
      </c>
      <c r="HG3112" s="5" t="s">
        <v>240</v>
      </c>
      <c r="HH3112" s="5" t="s">
        <v>240</v>
      </c>
      <c r="HI3112" s="5" t="s">
        <v>240</v>
      </c>
      <c r="HJ3112" s="5" t="s">
        <v>240</v>
      </c>
      <c r="HK3112" s="5" t="s">
        <v>240</v>
      </c>
      <c r="HL3112" s="5" t="s">
        <v>240</v>
      </c>
      <c r="HM3112" s="5" t="s">
        <v>240</v>
      </c>
      <c r="HN3112" s="5" t="s">
        <v>240</v>
      </c>
      <c r="HO3112" s="5" t="s">
        <v>312</v>
      </c>
      <c r="HP3112" s="5" t="s">
        <v>240</v>
      </c>
      <c r="HQ3112" s="5" t="s">
        <v>240</v>
      </c>
      <c r="HR3112" s="5" t="s">
        <v>240</v>
      </c>
      <c r="HS3112" s="5" t="s">
        <v>240</v>
      </c>
      <c r="HT3112" s="5" t="s">
        <v>240</v>
      </c>
      <c r="HU3112" s="5" t="s">
        <v>240</v>
      </c>
      <c r="HV3112" s="5" t="s">
        <v>240</v>
      </c>
      <c r="HW3112" s="5" t="s">
        <v>240</v>
      </c>
      <c r="HX3112" s="5" t="s">
        <v>240</v>
      </c>
      <c r="HY3112" s="5" t="s">
        <v>240</v>
      </c>
      <c r="HZ3112" s="5" t="s">
        <v>240</v>
      </c>
      <c r="IA3112" s="5" t="s">
        <v>240</v>
      </c>
      <c r="IB3112" s="5" t="s">
        <v>240</v>
      </c>
      <c r="IC3112" s="5" t="s">
        <v>240</v>
      </c>
      <c r="ID3112" s="5" t="s">
        <v>240</v>
      </c>
      <c r="IE3112" s="5" t="s">
        <v>240</v>
      </c>
      <c r="IF3112" s="5" t="s">
        <v>240</v>
      </c>
    </row>
    <row r="3113" spans="1:240" x14ac:dyDescent="0.4">
      <c r="A3113" s="5">
        <v>4817</v>
      </c>
      <c r="B3113" s="5">
        <v>1</v>
      </c>
      <c r="C3113" s="5">
        <v>1</v>
      </c>
      <c r="D3113" s="5" t="s">
        <v>810</v>
      </c>
      <c r="E3113" s="5" t="s">
        <v>245</v>
      </c>
      <c r="F3113" s="5" t="s">
        <v>254</v>
      </c>
      <c r="G3113" s="5" t="s">
        <v>240</v>
      </c>
      <c r="H3113" s="6" t="s">
        <v>2323</v>
      </c>
      <c r="I3113" s="5" t="s">
        <v>809</v>
      </c>
      <c r="J3113" s="8">
        <f>926</f>
        <v>926</v>
      </c>
      <c r="K3113" s="5" t="s">
        <v>308</v>
      </c>
      <c r="L3113" s="7">
        <f>1</f>
        <v>1</v>
      </c>
      <c r="M3113" s="7">
        <f>1</f>
        <v>1</v>
      </c>
      <c r="N3113" s="5" t="s">
        <v>242</v>
      </c>
      <c r="O3113" s="5">
        <v>1</v>
      </c>
      <c r="P3113" s="5" t="s">
        <v>294</v>
      </c>
      <c r="Q3113" s="5" t="s">
        <v>3678</v>
      </c>
      <c r="R3113" s="5" t="s">
        <v>240</v>
      </c>
      <c r="S3113" s="5" t="s">
        <v>240</v>
      </c>
      <c r="T3113" s="5" t="s">
        <v>243</v>
      </c>
      <c r="U3113" s="5" t="s">
        <v>244</v>
      </c>
      <c r="V3113" s="5" t="s">
        <v>240</v>
      </c>
      <c r="W3113" s="5" t="s">
        <v>240</v>
      </c>
      <c r="X3113" s="5" t="s">
        <v>240</v>
      </c>
      <c r="Y3113" s="5" t="s">
        <v>240</v>
      </c>
      <c r="Z3113" s="6" t="s">
        <v>298</v>
      </c>
      <c r="AA3113" s="6" t="s">
        <v>240</v>
      </c>
      <c r="AB3113" s="6" t="s">
        <v>240</v>
      </c>
      <c r="AC3113" s="5" t="s">
        <v>240</v>
      </c>
      <c r="AD3113" s="6" t="s">
        <v>240</v>
      </c>
      <c r="AE3113" s="6" t="s">
        <v>299</v>
      </c>
      <c r="AF3113" s="5" t="s">
        <v>248</v>
      </c>
      <c r="AG3113" s="5" t="s">
        <v>249</v>
      </c>
      <c r="AH3113" s="5" t="s">
        <v>240</v>
      </c>
      <c r="AI3113" s="5" t="s">
        <v>240</v>
      </c>
      <c r="AJ3113" s="5" t="s">
        <v>240</v>
      </c>
      <c r="AK3113" s="5" t="s">
        <v>240</v>
      </c>
      <c r="AL3113" s="5" t="s">
        <v>240</v>
      </c>
      <c r="AM3113" s="5" t="s">
        <v>240</v>
      </c>
      <c r="AN3113" s="5" t="s">
        <v>240</v>
      </c>
      <c r="AO3113" s="5" t="s">
        <v>240</v>
      </c>
      <c r="AP3113" s="6" t="s">
        <v>240</v>
      </c>
      <c r="AQ3113" s="6" t="s">
        <v>240</v>
      </c>
      <c r="AR3113" s="6" t="s">
        <v>240</v>
      </c>
      <c r="AS3113" s="6" t="s">
        <v>240</v>
      </c>
      <c r="AT3113" s="5" t="s">
        <v>240</v>
      </c>
      <c r="AU3113" s="5" t="s">
        <v>729</v>
      </c>
      <c r="AV3113" s="5" t="s">
        <v>729</v>
      </c>
      <c r="AW3113" s="5" t="s">
        <v>251</v>
      </c>
      <c r="AX3113" s="5" t="s">
        <v>252</v>
      </c>
      <c r="AY3113" s="5" t="s">
        <v>253</v>
      </c>
      <c r="AZ3113" s="5" t="s">
        <v>240</v>
      </c>
      <c r="BA3113" s="5" t="s">
        <v>255</v>
      </c>
      <c r="BB3113" s="5" t="s">
        <v>731</v>
      </c>
      <c r="BD3113" s="5" t="s">
        <v>240</v>
      </c>
      <c r="BF3113" s="5" t="s">
        <v>732</v>
      </c>
      <c r="BG3113" s="6" t="s">
        <v>733</v>
      </c>
      <c r="BH3113" s="5" t="s">
        <v>734</v>
      </c>
      <c r="BI3113" s="5" t="s">
        <v>734</v>
      </c>
      <c r="BJ3113" s="5" t="s">
        <v>240</v>
      </c>
      <c r="BK3113" s="7">
        <f>1</f>
        <v>1</v>
      </c>
      <c r="BL3113" s="7">
        <f>1</f>
        <v>1</v>
      </c>
      <c r="BM3113" s="5" t="s">
        <v>258</v>
      </c>
      <c r="BN3113" s="5" t="s">
        <v>259</v>
      </c>
      <c r="BO3113" s="5" t="s">
        <v>240</v>
      </c>
      <c r="BP3113" s="5" t="s">
        <v>240</v>
      </c>
      <c r="BQ3113" s="5" t="s">
        <v>240</v>
      </c>
      <c r="BR3113" s="5" t="s">
        <v>240</v>
      </c>
      <c r="BS3113" s="5" t="s">
        <v>240</v>
      </c>
      <c r="BT3113" s="5" t="s">
        <v>240</v>
      </c>
      <c r="BU3113" s="5" t="s">
        <v>240</v>
      </c>
      <c r="BV3113" s="5" t="s">
        <v>240</v>
      </c>
      <c r="BW3113" s="6" t="s">
        <v>240</v>
      </c>
      <c r="BX3113" s="5" t="s">
        <v>240</v>
      </c>
      <c r="BY3113" s="5" t="s">
        <v>240</v>
      </c>
      <c r="BZ3113" s="5" t="s">
        <v>240</v>
      </c>
      <c r="CA3113" s="5" t="s">
        <v>259</v>
      </c>
      <c r="CB3113" s="5" t="s">
        <v>240</v>
      </c>
      <c r="CC3113" s="5" t="s">
        <v>240</v>
      </c>
      <c r="CD3113" s="5" t="s">
        <v>240</v>
      </c>
      <c r="CE3113" s="5" t="s">
        <v>240</v>
      </c>
      <c r="CF3113" s="5" t="s">
        <v>240</v>
      </c>
      <c r="CG3113" s="5" t="s">
        <v>304</v>
      </c>
      <c r="CH3113" s="5" t="s">
        <v>305</v>
      </c>
      <c r="CI3113" s="5" t="s">
        <v>240</v>
      </c>
      <c r="CK3113" s="5" t="s">
        <v>3681</v>
      </c>
      <c r="CL3113" s="6" t="s">
        <v>261</v>
      </c>
      <c r="CM3113" s="5" t="s">
        <v>262</v>
      </c>
      <c r="CN3113" s="5" t="s">
        <v>263</v>
      </c>
      <c r="CO3113" s="5" t="s">
        <v>264</v>
      </c>
      <c r="CP3113" s="5" t="s">
        <v>240</v>
      </c>
      <c r="CQ3113" s="5">
        <v>0</v>
      </c>
      <c r="CR3113" s="5" t="s">
        <v>735</v>
      </c>
      <c r="CS3113" s="5" t="s">
        <v>307</v>
      </c>
      <c r="CT3113" s="5" t="s">
        <v>307</v>
      </c>
      <c r="CU3113" s="5" t="s">
        <v>260</v>
      </c>
      <c r="CV3113" s="5" t="s">
        <v>612</v>
      </c>
      <c r="CW3113" s="8">
        <f>1</f>
        <v>1</v>
      </c>
      <c r="CX3113" s="7">
        <f>1</f>
        <v>1</v>
      </c>
      <c r="CY3113" s="7">
        <f>0</f>
        <v>0</v>
      </c>
      <c r="DA3113" s="7">
        <f>1</f>
        <v>1</v>
      </c>
      <c r="DB3113" s="7" t="s">
        <v>240</v>
      </c>
      <c r="DC3113" s="5" t="s">
        <v>240</v>
      </c>
      <c r="DD3113" s="5" t="s">
        <v>240</v>
      </c>
      <c r="DE3113" s="5" t="s">
        <v>240</v>
      </c>
      <c r="DF3113" s="5" t="s">
        <v>240</v>
      </c>
      <c r="DG3113" s="7">
        <f>0</f>
        <v>0</v>
      </c>
      <c r="DI3113" s="5" t="s">
        <v>240</v>
      </c>
      <c r="DJ3113" s="5" t="s">
        <v>240</v>
      </c>
      <c r="DK3113" s="5" t="s">
        <v>240</v>
      </c>
      <c r="DL3113" s="5" t="s">
        <v>240</v>
      </c>
      <c r="DM3113" s="5" t="s">
        <v>240</v>
      </c>
      <c r="DN3113" s="5" t="s">
        <v>240</v>
      </c>
      <c r="DO3113" s="7" t="s">
        <v>240</v>
      </c>
      <c r="DP3113" s="5" t="s">
        <v>240</v>
      </c>
      <c r="DQ3113" s="5" t="s">
        <v>240</v>
      </c>
      <c r="DR3113" s="5" t="s">
        <v>731</v>
      </c>
      <c r="DS3113" s="5" t="s">
        <v>731</v>
      </c>
      <c r="DT3113" s="5" t="s">
        <v>240</v>
      </c>
      <c r="DU3113" s="5" t="s">
        <v>240</v>
      </c>
      <c r="DV3113" s="5" t="s">
        <v>3683</v>
      </c>
      <c r="DW3113" s="5" t="s">
        <v>701</v>
      </c>
      <c r="DX3113" s="5" t="s">
        <v>240</v>
      </c>
      <c r="DY3113" s="5" t="s">
        <v>240</v>
      </c>
      <c r="DZ3113" s="5" t="s">
        <v>240</v>
      </c>
      <c r="EA3113" s="5" t="s">
        <v>240</v>
      </c>
      <c r="EB3113" s="5" t="s">
        <v>240</v>
      </c>
      <c r="EC3113" s="5" t="s">
        <v>240</v>
      </c>
      <c r="ED3113" s="5" t="s">
        <v>240</v>
      </c>
      <c r="EE3113" s="5" t="s">
        <v>240</v>
      </c>
      <c r="EF3113" s="5" t="s">
        <v>240</v>
      </c>
      <c r="EG3113" s="5" t="s">
        <v>240</v>
      </c>
      <c r="EH3113" s="5" t="s">
        <v>240</v>
      </c>
      <c r="EI3113" s="5" t="s">
        <v>240</v>
      </c>
      <c r="EJ3113" s="5" t="s">
        <v>240</v>
      </c>
      <c r="EK3113" s="5" t="s">
        <v>240</v>
      </c>
      <c r="EL3113" s="5" t="s">
        <v>240</v>
      </c>
      <c r="EM3113" s="5" t="s">
        <v>240</v>
      </c>
      <c r="EN3113" s="5" t="s">
        <v>240</v>
      </c>
      <c r="EO3113" s="5" t="s">
        <v>240</v>
      </c>
      <c r="EP3113" s="5" t="s">
        <v>240</v>
      </c>
      <c r="EQ3113" s="5" t="s">
        <v>240</v>
      </c>
      <c r="ER3113" s="5" t="s">
        <v>240</v>
      </c>
      <c r="ES3113" s="5" t="s">
        <v>240</v>
      </c>
      <c r="ET3113" s="5" t="s">
        <v>240</v>
      </c>
      <c r="EU3113" s="5" t="s">
        <v>240</v>
      </c>
      <c r="EV3113" s="5" t="s">
        <v>240</v>
      </c>
      <c r="EW3113" s="5" t="s">
        <v>240</v>
      </c>
      <c r="EX3113" s="5" t="s">
        <v>240</v>
      </c>
      <c r="EY3113" s="5" t="s">
        <v>240</v>
      </c>
      <c r="EZ3113" s="5" t="s">
        <v>240</v>
      </c>
      <c r="FA3113" s="5" t="s">
        <v>240</v>
      </c>
      <c r="FB3113" s="5" t="s">
        <v>240</v>
      </c>
      <c r="FC3113" s="5" t="s">
        <v>240</v>
      </c>
      <c r="FD3113" s="5" t="s">
        <v>240</v>
      </c>
      <c r="FE3113" s="5" t="s">
        <v>240</v>
      </c>
      <c r="FF3113" s="5" t="s">
        <v>240</v>
      </c>
      <c r="FG3113" s="5" t="s">
        <v>240</v>
      </c>
      <c r="FH3113" s="5" t="s">
        <v>240</v>
      </c>
      <c r="FI3113" s="5" t="s">
        <v>240</v>
      </c>
      <c r="FJ3113" s="5" t="s">
        <v>240</v>
      </c>
      <c r="FK3113" s="5" t="s">
        <v>240</v>
      </c>
      <c r="FL3113" s="5" t="s">
        <v>240</v>
      </c>
      <c r="FM3113" s="5" t="s">
        <v>240</v>
      </c>
      <c r="FN3113" s="5" t="s">
        <v>240</v>
      </c>
      <c r="FO3113" s="5" t="s">
        <v>240</v>
      </c>
      <c r="FP3113" s="5" t="s">
        <v>240</v>
      </c>
      <c r="FQ3113" s="5" t="s">
        <v>240</v>
      </c>
      <c r="FR3113" s="5" t="s">
        <v>240</v>
      </c>
      <c r="FS3113" s="5" t="s">
        <v>240</v>
      </c>
      <c r="FT3113" s="5" t="s">
        <v>240</v>
      </c>
      <c r="FU3113" s="5" t="s">
        <v>240</v>
      </c>
      <c r="FV3113" s="5" t="s">
        <v>240</v>
      </c>
      <c r="FW3113" s="5" t="s">
        <v>240</v>
      </c>
      <c r="FX3113" s="5" t="s">
        <v>240</v>
      </c>
      <c r="FY3113" s="5" t="s">
        <v>240</v>
      </c>
      <c r="FZ3113" s="5" t="s">
        <v>240</v>
      </c>
      <c r="GA3113" s="5" t="s">
        <v>240</v>
      </c>
      <c r="GB3113" s="5" t="s">
        <v>240</v>
      </c>
      <c r="GC3113" s="5" t="s">
        <v>240</v>
      </c>
      <c r="GD3113" s="5" t="s">
        <v>240</v>
      </c>
      <c r="GE3113" s="5" t="s">
        <v>240</v>
      </c>
      <c r="GF3113" s="5" t="s">
        <v>240</v>
      </c>
      <c r="GG3113" s="5" t="s">
        <v>240</v>
      </c>
      <c r="GH3113" s="5" t="s">
        <v>240</v>
      </c>
      <c r="GI3113" s="5" t="s">
        <v>240</v>
      </c>
      <c r="GJ3113" s="5" t="s">
        <v>240</v>
      </c>
      <c r="GK3113" s="5" t="s">
        <v>240</v>
      </c>
      <c r="GL3113" s="5" t="s">
        <v>240</v>
      </c>
      <c r="GM3113" s="5" t="s">
        <v>240</v>
      </c>
      <c r="GN3113" s="5" t="s">
        <v>240</v>
      </c>
      <c r="GO3113" s="5" t="s">
        <v>240</v>
      </c>
      <c r="GP3113" s="5" t="s">
        <v>240</v>
      </c>
      <c r="GQ3113" s="5" t="s">
        <v>240</v>
      </c>
      <c r="GR3113" s="5" t="s">
        <v>240</v>
      </c>
      <c r="GS3113" s="5" t="s">
        <v>240</v>
      </c>
      <c r="GT3113" s="5" t="s">
        <v>240</v>
      </c>
      <c r="GU3113" s="5" t="s">
        <v>240</v>
      </c>
      <c r="GV3113" s="5" t="s">
        <v>240</v>
      </c>
      <c r="GW3113" s="5" t="s">
        <v>240</v>
      </c>
      <c r="GX3113" s="5" t="s">
        <v>240</v>
      </c>
      <c r="GY3113" s="5" t="s">
        <v>240</v>
      </c>
      <c r="GZ3113" s="5" t="s">
        <v>240</v>
      </c>
      <c r="HA3113" s="5" t="s">
        <v>240</v>
      </c>
      <c r="HB3113" s="5" t="s">
        <v>240</v>
      </c>
      <c r="HC3113" s="5" t="s">
        <v>240</v>
      </c>
      <c r="HD3113" s="5" t="s">
        <v>240</v>
      </c>
      <c r="HE3113" s="5" t="s">
        <v>240</v>
      </c>
      <c r="HF3113" s="5" t="s">
        <v>240</v>
      </c>
      <c r="HG3113" s="5" t="s">
        <v>240</v>
      </c>
      <c r="HH3113" s="5" t="s">
        <v>240</v>
      </c>
      <c r="HI3113" s="5" t="s">
        <v>240</v>
      </c>
      <c r="HJ3113" s="5" t="s">
        <v>240</v>
      </c>
      <c r="HK3113" s="5" t="s">
        <v>240</v>
      </c>
      <c r="HL3113" s="5" t="s">
        <v>240</v>
      </c>
      <c r="HM3113" s="5" t="s">
        <v>240</v>
      </c>
      <c r="HN3113" s="5" t="s">
        <v>240</v>
      </c>
      <c r="HO3113" s="5" t="s">
        <v>312</v>
      </c>
      <c r="HP3113" s="5" t="s">
        <v>240</v>
      </c>
      <c r="HQ3113" s="5" t="s">
        <v>240</v>
      </c>
      <c r="HR3113" s="5" t="s">
        <v>240</v>
      </c>
      <c r="HS3113" s="5" t="s">
        <v>240</v>
      </c>
      <c r="HT3113" s="5" t="s">
        <v>240</v>
      </c>
      <c r="HU3113" s="5" t="s">
        <v>240</v>
      </c>
      <c r="HV3113" s="5" t="s">
        <v>240</v>
      </c>
      <c r="HW3113" s="5" t="s">
        <v>240</v>
      </c>
      <c r="HX3113" s="5" t="s">
        <v>240</v>
      </c>
      <c r="HY3113" s="5" t="s">
        <v>240</v>
      </c>
      <c r="HZ3113" s="5" t="s">
        <v>240</v>
      </c>
      <c r="IA3113" s="5" t="s">
        <v>240</v>
      </c>
      <c r="IB3113" s="5" t="s">
        <v>240</v>
      </c>
      <c r="IC3113" s="5" t="s">
        <v>240</v>
      </c>
      <c r="ID3113" s="5" t="s">
        <v>240</v>
      </c>
      <c r="IE3113" s="5" t="s">
        <v>240</v>
      </c>
      <c r="IF3113" s="5" t="s">
        <v>240</v>
      </c>
    </row>
    <row r="3114" spans="1:240" x14ac:dyDescent="0.4">
      <c r="A3114" s="5">
        <v>4818</v>
      </c>
      <c r="B3114" s="5">
        <v>1</v>
      </c>
      <c r="C3114" s="5">
        <v>1</v>
      </c>
      <c r="D3114" s="5" t="s">
        <v>810</v>
      </c>
      <c r="E3114" s="5" t="s">
        <v>245</v>
      </c>
      <c r="F3114" s="5" t="s">
        <v>254</v>
      </c>
      <c r="G3114" s="5" t="s">
        <v>240</v>
      </c>
      <c r="H3114" s="6" t="s">
        <v>2321</v>
      </c>
      <c r="I3114" s="5" t="s">
        <v>809</v>
      </c>
      <c r="J3114" s="8">
        <f>2871</f>
        <v>2871</v>
      </c>
      <c r="K3114" s="5" t="s">
        <v>308</v>
      </c>
      <c r="L3114" s="7">
        <f>1</f>
        <v>1</v>
      </c>
      <c r="M3114" s="7">
        <f>1</f>
        <v>1</v>
      </c>
      <c r="N3114" s="5" t="s">
        <v>242</v>
      </c>
      <c r="O3114" s="5">
        <v>1</v>
      </c>
      <c r="P3114" s="5" t="s">
        <v>294</v>
      </c>
      <c r="Q3114" s="5" t="s">
        <v>3678</v>
      </c>
      <c r="R3114" s="5" t="s">
        <v>240</v>
      </c>
      <c r="S3114" s="5" t="s">
        <v>240</v>
      </c>
      <c r="T3114" s="5" t="s">
        <v>243</v>
      </c>
      <c r="U3114" s="5" t="s">
        <v>244</v>
      </c>
      <c r="V3114" s="5" t="s">
        <v>240</v>
      </c>
      <c r="W3114" s="5" t="s">
        <v>240</v>
      </c>
      <c r="X3114" s="5" t="s">
        <v>240</v>
      </c>
      <c r="Y3114" s="5" t="s">
        <v>240</v>
      </c>
      <c r="Z3114" s="6" t="s">
        <v>298</v>
      </c>
      <c r="AA3114" s="6" t="s">
        <v>240</v>
      </c>
      <c r="AB3114" s="6" t="s">
        <v>240</v>
      </c>
      <c r="AC3114" s="5" t="s">
        <v>240</v>
      </c>
      <c r="AD3114" s="6" t="s">
        <v>240</v>
      </c>
      <c r="AE3114" s="6" t="s">
        <v>299</v>
      </c>
      <c r="AF3114" s="5" t="s">
        <v>248</v>
      </c>
      <c r="AG3114" s="5" t="s">
        <v>249</v>
      </c>
      <c r="AH3114" s="5" t="s">
        <v>240</v>
      </c>
      <c r="AI3114" s="5" t="s">
        <v>240</v>
      </c>
      <c r="AJ3114" s="5" t="s">
        <v>240</v>
      </c>
      <c r="AK3114" s="5" t="s">
        <v>240</v>
      </c>
      <c r="AL3114" s="5" t="s">
        <v>240</v>
      </c>
      <c r="AM3114" s="5" t="s">
        <v>240</v>
      </c>
      <c r="AN3114" s="5" t="s">
        <v>240</v>
      </c>
      <c r="AO3114" s="5" t="s">
        <v>240</v>
      </c>
      <c r="AP3114" s="6" t="s">
        <v>240</v>
      </c>
      <c r="AQ3114" s="6" t="s">
        <v>240</v>
      </c>
      <c r="AR3114" s="6" t="s">
        <v>240</v>
      </c>
      <c r="AS3114" s="6" t="s">
        <v>240</v>
      </c>
      <c r="AT3114" s="5" t="s">
        <v>240</v>
      </c>
      <c r="AU3114" s="5" t="s">
        <v>729</v>
      </c>
      <c r="AV3114" s="5" t="s">
        <v>729</v>
      </c>
      <c r="AW3114" s="5" t="s">
        <v>251</v>
      </c>
      <c r="AX3114" s="5" t="s">
        <v>252</v>
      </c>
      <c r="AY3114" s="5" t="s">
        <v>253</v>
      </c>
      <c r="AZ3114" s="5" t="s">
        <v>240</v>
      </c>
      <c r="BA3114" s="5" t="s">
        <v>255</v>
      </c>
      <c r="BB3114" s="5" t="s">
        <v>731</v>
      </c>
      <c r="BD3114" s="5" t="s">
        <v>240</v>
      </c>
      <c r="BF3114" s="5" t="s">
        <v>732</v>
      </c>
      <c r="BG3114" s="6" t="s">
        <v>733</v>
      </c>
      <c r="BH3114" s="5" t="s">
        <v>734</v>
      </c>
      <c r="BI3114" s="5" t="s">
        <v>734</v>
      </c>
      <c r="BJ3114" s="5" t="s">
        <v>240</v>
      </c>
      <c r="BK3114" s="7">
        <f>1</f>
        <v>1</v>
      </c>
      <c r="BL3114" s="7">
        <f>1</f>
        <v>1</v>
      </c>
      <c r="BM3114" s="5" t="s">
        <v>258</v>
      </c>
      <c r="BN3114" s="5" t="s">
        <v>259</v>
      </c>
      <c r="BO3114" s="5" t="s">
        <v>240</v>
      </c>
      <c r="BP3114" s="5" t="s">
        <v>240</v>
      </c>
      <c r="BQ3114" s="5" t="s">
        <v>240</v>
      </c>
      <c r="BR3114" s="5" t="s">
        <v>240</v>
      </c>
      <c r="BS3114" s="5" t="s">
        <v>240</v>
      </c>
      <c r="BT3114" s="5" t="s">
        <v>240</v>
      </c>
      <c r="BU3114" s="5" t="s">
        <v>240</v>
      </c>
      <c r="BV3114" s="5" t="s">
        <v>240</v>
      </c>
      <c r="BW3114" s="6" t="s">
        <v>240</v>
      </c>
      <c r="BX3114" s="5" t="s">
        <v>240</v>
      </c>
      <c r="BY3114" s="5" t="s">
        <v>240</v>
      </c>
      <c r="BZ3114" s="5" t="s">
        <v>240</v>
      </c>
      <c r="CA3114" s="5" t="s">
        <v>259</v>
      </c>
      <c r="CB3114" s="5" t="s">
        <v>240</v>
      </c>
      <c r="CC3114" s="5" t="s">
        <v>240</v>
      </c>
      <c r="CD3114" s="5" t="s">
        <v>240</v>
      </c>
      <c r="CE3114" s="5" t="s">
        <v>240</v>
      </c>
      <c r="CF3114" s="5" t="s">
        <v>240</v>
      </c>
      <c r="CG3114" s="5" t="s">
        <v>304</v>
      </c>
      <c r="CH3114" s="5" t="s">
        <v>305</v>
      </c>
      <c r="CI3114" s="5" t="s">
        <v>240</v>
      </c>
      <c r="CK3114" s="5" t="s">
        <v>3681</v>
      </c>
      <c r="CL3114" s="6" t="s">
        <v>261</v>
      </c>
      <c r="CM3114" s="5" t="s">
        <v>262</v>
      </c>
      <c r="CN3114" s="5" t="s">
        <v>263</v>
      </c>
      <c r="CO3114" s="5" t="s">
        <v>264</v>
      </c>
      <c r="CP3114" s="5" t="s">
        <v>240</v>
      </c>
      <c r="CQ3114" s="5">
        <v>0</v>
      </c>
      <c r="CR3114" s="5" t="s">
        <v>735</v>
      </c>
      <c r="CS3114" s="5" t="s">
        <v>307</v>
      </c>
      <c r="CT3114" s="5" t="s">
        <v>307</v>
      </c>
      <c r="CU3114" s="5" t="s">
        <v>260</v>
      </c>
      <c r="CV3114" s="5" t="s">
        <v>612</v>
      </c>
      <c r="CW3114" s="8">
        <f>1</f>
        <v>1</v>
      </c>
      <c r="CX3114" s="7">
        <f>1</f>
        <v>1</v>
      </c>
      <c r="CY3114" s="7">
        <f>0</f>
        <v>0</v>
      </c>
      <c r="DA3114" s="7">
        <f>1</f>
        <v>1</v>
      </c>
      <c r="DB3114" s="7" t="s">
        <v>240</v>
      </c>
      <c r="DC3114" s="5" t="s">
        <v>240</v>
      </c>
      <c r="DD3114" s="5" t="s">
        <v>240</v>
      </c>
      <c r="DE3114" s="5" t="s">
        <v>240</v>
      </c>
      <c r="DF3114" s="5" t="s">
        <v>240</v>
      </c>
      <c r="DG3114" s="7">
        <f>0</f>
        <v>0</v>
      </c>
      <c r="DI3114" s="5" t="s">
        <v>240</v>
      </c>
      <c r="DJ3114" s="5" t="s">
        <v>240</v>
      </c>
      <c r="DK3114" s="5" t="s">
        <v>240</v>
      </c>
      <c r="DL3114" s="5" t="s">
        <v>240</v>
      </c>
      <c r="DM3114" s="5" t="s">
        <v>240</v>
      </c>
      <c r="DN3114" s="5" t="s">
        <v>240</v>
      </c>
      <c r="DO3114" s="7" t="s">
        <v>240</v>
      </c>
      <c r="DP3114" s="5" t="s">
        <v>240</v>
      </c>
      <c r="DQ3114" s="5" t="s">
        <v>240</v>
      </c>
      <c r="DR3114" s="5" t="s">
        <v>731</v>
      </c>
      <c r="DS3114" s="5" t="s">
        <v>731</v>
      </c>
      <c r="DT3114" s="5" t="s">
        <v>240</v>
      </c>
      <c r="DU3114" s="5" t="s">
        <v>240</v>
      </c>
      <c r="DV3114" s="5" t="s">
        <v>3683</v>
      </c>
      <c r="DW3114" s="5" t="s">
        <v>558</v>
      </c>
      <c r="DX3114" s="5" t="s">
        <v>240</v>
      </c>
      <c r="DY3114" s="5" t="s">
        <v>240</v>
      </c>
      <c r="DZ3114" s="5" t="s">
        <v>240</v>
      </c>
      <c r="EA3114" s="5" t="s">
        <v>240</v>
      </c>
      <c r="EB3114" s="5" t="s">
        <v>240</v>
      </c>
      <c r="EC3114" s="5" t="s">
        <v>240</v>
      </c>
      <c r="ED3114" s="5" t="s">
        <v>240</v>
      </c>
      <c r="EE3114" s="5" t="s">
        <v>240</v>
      </c>
      <c r="EF3114" s="5" t="s">
        <v>240</v>
      </c>
      <c r="EG3114" s="5" t="s">
        <v>240</v>
      </c>
      <c r="EH3114" s="5" t="s">
        <v>240</v>
      </c>
      <c r="EI3114" s="5" t="s">
        <v>240</v>
      </c>
      <c r="EJ3114" s="5" t="s">
        <v>240</v>
      </c>
      <c r="EK3114" s="5" t="s">
        <v>240</v>
      </c>
      <c r="EL3114" s="5" t="s">
        <v>240</v>
      </c>
      <c r="EM3114" s="5" t="s">
        <v>240</v>
      </c>
      <c r="EN3114" s="5" t="s">
        <v>240</v>
      </c>
      <c r="EO3114" s="5" t="s">
        <v>240</v>
      </c>
      <c r="EP3114" s="5" t="s">
        <v>240</v>
      </c>
      <c r="EQ3114" s="5" t="s">
        <v>240</v>
      </c>
      <c r="ER3114" s="5" t="s">
        <v>240</v>
      </c>
      <c r="ES3114" s="5" t="s">
        <v>240</v>
      </c>
      <c r="ET3114" s="5" t="s">
        <v>240</v>
      </c>
      <c r="EU3114" s="5" t="s">
        <v>240</v>
      </c>
      <c r="EV3114" s="5" t="s">
        <v>240</v>
      </c>
      <c r="EW3114" s="5" t="s">
        <v>240</v>
      </c>
      <c r="EX3114" s="5" t="s">
        <v>240</v>
      </c>
      <c r="EY3114" s="5" t="s">
        <v>240</v>
      </c>
      <c r="EZ3114" s="5" t="s">
        <v>240</v>
      </c>
      <c r="FA3114" s="5" t="s">
        <v>240</v>
      </c>
      <c r="FB3114" s="5" t="s">
        <v>240</v>
      </c>
      <c r="FC3114" s="5" t="s">
        <v>240</v>
      </c>
      <c r="FD3114" s="5" t="s">
        <v>240</v>
      </c>
      <c r="FE3114" s="5" t="s">
        <v>240</v>
      </c>
      <c r="FF3114" s="5" t="s">
        <v>240</v>
      </c>
      <c r="FG3114" s="5" t="s">
        <v>240</v>
      </c>
      <c r="FH3114" s="5" t="s">
        <v>240</v>
      </c>
      <c r="FI3114" s="5" t="s">
        <v>240</v>
      </c>
      <c r="FJ3114" s="5" t="s">
        <v>240</v>
      </c>
      <c r="FK3114" s="5" t="s">
        <v>240</v>
      </c>
      <c r="FL3114" s="5" t="s">
        <v>240</v>
      </c>
      <c r="FM3114" s="5" t="s">
        <v>240</v>
      </c>
      <c r="FN3114" s="5" t="s">
        <v>240</v>
      </c>
      <c r="FO3114" s="5" t="s">
        <v>240</v>
      </c>
      <c r="FP3114" s="5" t="s">
        <v>240</v>
      </c>
      <c r="FQ3114" s="5" t="s">
        <v>240</v>
      </c>
      <c r="FR3114" s="5" t="s">
        <v>240</v>
      </c>
      <c r="FS3114" s="5" t="s">
        <v>240</v>
      </c>
      <c r="FT3114" s="5" t="s">
        <v>240</v>
      </c>
      <c r="FU3114" s="5" t="s">
        <v>240</v>
      </c>
      <c r="FV3114" s="5" t="s">
        <v>240</v>
      </c>
      <c r="FW3114" s="5" t="s">
        <v>240</v>
      </c>
      <c r="FX3114" s="5" t="s">
        <v>240</v>
      </c>
      <c r="FY3114" s="5" t="s">
        <v>240</v>
      </c>
      <c r="FZ3114" s="5" t="s">
        <v>240</v>
      </c>
      <c r="GA3114" s="5" t="s">
        <v>240</v>
      </c>
      <c r="GB3114" s="5" t="s">
        <v>240</v>
      </c>
      <c r="GC3114" s="5" t="s">
        <v>240</v>
      </c>
      <c r="GD3114" s="5" t="s">
        <v>240</v>
      </c>
      <c r="GE3114" s="5" t="s">
        <v>240</v>
      </c>
      <c r="GF3114" s="5" t="s">
        <v>240</v>
      </c>
      <c r="GG3114" s="5" t="s">
        <v>240</v>
      </c>
      <c r="GH3114" s="5" t="s">
        <v>240</v>
      </c>
      <c r="GI3114" s="5" t="s">
        <v>240</v>
      </c>
      <c r="GJ3114" s="5" t="s">
        <v>240</v>
      </c>
      <c r="GK3114" s="5" t="s">
        <v>240</v>
      </c>
      <c r="GL3114" s="5" t="s">
        <v>240</v>
      </c>
      <c r="GM3114" s="5" t="s">
        <v>240</v>
      </c>
      <c r="GN3114" s="5" t="s">
        <v>240</v>
      </c>
      <c r="GO3114" s="5" t="s">
        <v>240</v>
      </c>
      <c r="GP3114" s="5" t="s">
        <v>240</v>
      </c>
      <c r="GQ3114" s="5" t="s">
        <v>240</v>
      </c>
      <c r="GR3114" s="5" t="s">
        <v>240</v>
      </c>
      <c r="GS3114" s="5" t="s">
        <v>240</v>
      </c>
      <c r="GT3114" s="5" t="s">
        <v>240</v>
      </c>
      <c r="GU3114" s="5" t="s">
        <v>240</v>
      </c>
      <c r="GV3114" s="5" t="s">
        <v>240</v>
      </c>
      <c r="GW3114" s="5" t="s">
        <v>240</v>
      </c>
      <c r="GX3114" s="5" t="s">
        <v>240</v>
      </c>
      <c r="GY3114" s="5" t="s">
        <v>240</v>
      </c>
      <c r="GZ3114" s="5" t="s">
        <v>240</v>
      </c>
      <c r="HA3114" s="5" t="s">
        <v>240</v>
      </c>
      <c r="HB3114" s="5" t="s">
        <v>240</v>
      </c>
      <c r="HC3114" s="5" t="s">
        <v>240</v>
      </c>
      <c r="HD3114" s="5" t="s">
        <v>240</v>
      </c>
      <c r="HE3114" s="5" t="s">
        <v>240</v>
      </c>
      <c r="HF3114" s="5" t="s">
        <v>240</v>
      </c>
      <c r="HG3114" s="5" t="s">
        <v>240</v>
      </c>
      <c r="HH3114" s="5" t="s">
        <v>240</v>
      </c>
      <c r="HI3114" s="5" t="s">
        <v>240</v>
      </c>
      <c r="HJ3114" s="5" t="s">
        <v>240</v>
      </c>
      <c r="HK3114" s="5" t="s">
        <v>240</v>
      </c>
      <c r="HL3114" s="5" t="s">
        <v>240</v>
      </c>
      <c r="HM3114" s="5" t="s">
        <v>240</v>
      </c>
      <c r="HN3114" s="5" t="s">
        <v>240</v>
      </c>
      <c r="HO3114" s="5" t="s">
        <v>312</v>
      </c>
      <c r="HP3114" s="5" t="s">
        <v>240</v>
      </c>
      <c r="HQ3114" s="5" t="s">
        <v>240</v>
      </c>
      <c r="HR3114" s="5" t="s">
        <v>240</v>
      </c>
      <c r="HS3114" s="5" t="s">
        <v>240</v>
      </c>
      <c r="HT3114" s="5" t="s">
        <v>240</v>
      </c>
      <c r="HU3114" s="5" t="s">
        <v>240</v>
      </c>
      <c r="HV3114" s="5" t="s">
        <v>240</v>
      </c>
      <c r="HW3114" s="5" t="s">
        <v>240</v>
      </c>
      <c r="HX3114" s="5" t="s">
        <v>240</v>
      </c>
      <c r="HY3114" s="5" t="s">
        <v>240</v>
      </c>
      <c r="HZ3114" s="5" t="s">
        <v>240</v>
      </c>
      <c r="IA3114" s="5" t="s">
        <v>240</v>
      </c>
      <c r="IB3114" s="5" t="s">
        <v>240</v>
      </c>
      <c r="IC3114" s="5" t="s">
        <v>240</v>
      </c>
      <c r="ID3114" s="5" t="s">
        <v>240</v>
      </c>
      <c r="IE3114" s="5" t="s">
        <v>240</v>
      </c>
      <c r="IF3114" s="5" t="s">
        <v>240</v>
      </c>
    </row>
    <row r="3115" spans="1:240" x14ac:dyDescent="0.4">
      <c r="A3115" s="5">
        <v>4819</v>
      </c>
      <c r="B3115" s="5">
        <v>1</v>
      </c>
      <c r="C3115" s="5">
        <v>1</v>
      </c>
      <c r="D3115" s="5" t="s">
        <v>810</v>
      </c>
      <c r="E3115" s="5" t="s">
        <v>245</v>
      </c>
      <c r="F3115" s="5" t="s">
        <v>254</v>
      </c>
      <c r="G3115" s="5" t="s">
        <v>240</v>
      </c>
      <c r="H3115" s="6" t="s">
        <v>2319</v>
      </c>
      <c r="I3115" s="5" t="s">
        <v>809</v>
      </c>
      <c r="J3115" s="8">
        <f>1373</f>
        <v>1373</v>
      </c>
      <c r="K3115" s="5" t="s">
        <v>308</v>
      </c>
      <c r="L3115" s="7">
        <f>1</f>
        <v>1</v>
      </c>
      <c r="M3115" s="7">
        <f>1</f>
        <v>1</v>
      </c>
      <c r="N3115" s="5" t="s">
        <v>242</v>
      </c>
      <c r="O3115" s="5">
        <v>1</v>
      </c>
      <c r="P3115" s="5" t="s">
        <v>294</v>
      </c>
      <c r="Q3115" s="5" t="s">
        <v>3678</v>
      </c>
      <c r="R3115" s="5" t="s">
        <v>240</v>
      </c>
      <c r="S3115" s="5" t="s">
        <v>240</v>
      </c>
      <c r="T3115" s="5" t="s">
        <v>243</v>
      </c>
      <c r="U3115" s="5" t="s">
        <v>244</v>
      </c>
      <c r="V3115" s="5" t="s">
        <v>240</v>
      </c>
      <c r="W3115" s="5" t="s">
        <v>240</v>
      </c>
      <c r="X3115" s="5" t="s">
        <v>240</v>
      </c>
      <c r="Y3115" s="5" t="s">
        <v>240</v>
      </c>
      <c r="Z3115" s="6" t="s">
        <v>298</v>
      </c>
      <c r="AA3115" s="6" t="s">
        <v>240</v>
      </c>
      <c r="AB3115" s="6" t="s">
        <v>240</v>
      </c>
      <c r="AC3115" s="5" t="s">
        <v>240</v>
      </c>
      <c r="AD3115" s="6" t="s">
        <v>240</v>
      </c>
      <c r="AE3115" s="6" t="s">
        <v>299</v>
      </c>
      <c r="AF3115" s="5" t="s">
        <v>248</v>
      </c>
      <c r="AG3115" s="5" t="s">
        <v>249</v>
      </c>
      <c r="AH3115" s="5" t="s">
        <v>240</v>
      </c>
      <c r="AI3115" s="5" t="s">
        <v>240</v>
      </c>
      <c r="AJ3115" s="5" t="s">
        <v>240</v>
      </c>
      <c r="AK3115" s="5" t="s">
        <v>240</v>
      </c>
      <c r="AL3115" s="5" t="s">
        <v>240</v>
      </c>
      <c r="AM3115" s="5" t="s">
        <v>240</v>
      </c>
      <c r="AN3115" s="5" t="s">
        <v>240</v>
      </c>
      <c r="AO3115" s="5" t="s">
        <v>240</v>
      </c>
      <c r="AP3115" s="6" t="s">
        <v>240</v>
      </c>
      <c r="AQ3115" s="6" t="s">
        <v>240</v>
      </c>
      <c r="AR3115" s="6" t="s">
        <v>240</v>
      </c>
      <c r="AS3115" s="6" t="s">
        <v>240</v>
      </c>
      <c r="AT3115" s="5" t="s">
        <v>240</v>
      </c>
      <c r="AU3115" s="5" t="s">
        <v>729</v>
      </c>
      <c r="AV3115" s="5" t="s">
        <v>729</v>
      </c>
      <c r="AW3115" s="5" t="s">
        <v>251</v>
      </c>
      <c r="AX3115" s="5" t="s">
        <v>252</v>
      </c>
      <c r="AY3115" s="5" t="s">
        <v>253</v>
      </c>
      <c r="AZ3115" s="5" t="s">
        <v>240</v>
      </c>
      <c r="BA3115" s="5" t="s">
        <v>255</v>
      </c>
      <c r="BB3115" s="5" t="s">
        <v>731</v>
      </c>
      <c r="BD3115" s="5" t="s">
        <v>240</v>
      </c>
      <c r="BF3115" s="5" t="s">
        <v>732</v>
      </c>
      <c r="BG3115" s="6" t="s">
        <v>733</v>
      </c>
      <c r="BH3115" s="5" t="s">
        <v>734</v>
      </c>
      <c r="BI3115" s="5" t="s">
        <v>734</v>
      </c>
      <c r="BJ3115" s="5" t="s">
        <v>240</v>
      </c>
      <c r="BK3115" s="7">
        <f>1</f>
        <v>1</v>
      </c>
      <c r="BL3115" s="7">
        <f>1</f>
        <v>1</v>
      </c>
      <c r="BM3115" s="5" t="s">
        <v>258</v>
      </c>
      <c r="BN3115" s="5" t="s">
        <v>259</v>
      </c>
      <c r="BO3115" s="5" t="s">
        <v>240</v>
      </c>
      <c r="BP3115" s="5" t="s">
        <v>240</v>
      </c>
      <c r="BQ3115" s="5" t="s">
        <v>240</v>
      </c>
      <c r="BR3115" s="5" t="s">
        <v>240</v>
      </c>
      <c r="BS3115" s="5" t="s">
        <v>240</v>
      </c>
      <c r="BT3115" s="5" t="s">
        <v>240</v>
      </c>
      <c r="BU3115" s="5" t="s">
        <v>240</v>
      </c>
      <c r="BV3115" s="5" t="s">
        <v>240</v>
      </c>
      <c r="BW3115" s="6" t="s">
        <v>240</v>
      </c>
      <c r="BX3115" s="5" t="s">
        <v>240</v>
      </c>
      <c r="BY3115" s="5" t="s">
        <v>240</v>
      </c>
      <c r="BZ3115" s="5" t="s">
        <v>240</v>
      </c>
      <c r="CA3115" s="5" t="s">
        <v>259</v>
      </c>
      <c r="CB3115" s="5" t="s">
        <v>240</v>
      </c>
      <c r="CC3115" s="5" t="s">
        <v>240</v>
      </c>
      <c r="CD3115" s="5" t="s">
        <v>240</v>
      </c>
      <c r="CE3115" s="5" t="s">
        <v>240</v>
      </c>
      <c r="CF3115" s="5" t="s">
        <v>240</v>
      </c>
      <c r="CG3115" s="5" t="s">
        <v>304</v>
      </c>
      <c r="CH3115" s="5" t="s">
        <v>305</v>
      </c>
      <c r="CI3115" s="5" t="s">
        <v>240</v>
      </c>
      <c r="CK3115" s="5" t="s">
        <v>3681</v>
      </c>
      <c r="CL3115" s="6" t="s">
        <v>261</v>
      </c>
      <c r="CM3115" s="5" t="s">
        <v>262</v>
      </c>
      <c r="CN3115" s="5" t="s">
        <v>263</v>
      </c>
      <c r="CO3115" s="5" t="s">
        <v>264</v>
      </c>
      <c r="CP3115" s="5" t="s">
        <v>240</v>
      </c>
      <c r="CQ3115" s="5">
        <v>0</v>
      </c>
      <c r="CR3115" s="5" t="s">
        <v>735</v>
      </c>
      <c r="CS3115" s="5" t="s">
        <v>307</v>
      </c>
      <c r="CT3115" s="5" t="s">
        <v>307</v>
      </c>
      <c r="CU3115" s="5" t="s">
        <v>260</v>
      </c>
      <c r="CV3115" s="5" t="s">
        <v>612</v>
      </c>
      <c r="CW3115" s="8">
        <f>1</f>
        <v>1</v>
      </c>
      <c r="CX3115" s="7">
        <f>1</f>
        <v>1</v>
      </c>
      <c r="CY3115" s="7">
        <f>0</f>
        <v>0</v>
      </c>
      <c r="DA3115" s="7">
        <f>1</f>
        <v>1</v>
      </c>
      <c r="DB3115" s="7" t="s">
        <v>240</v>
      </c>
      <c r="DC3115" s="5" t="s">
        <v>240</v>
      </c>
      <c r="DD3115" s="5" t="s">
        <v>240</v>
      </c>
      <c r="DE3115" s="5" t="s">
        <v>240</v>
      </c>
      <c r="DF3115" s="5" t="s">
        <v>240</v>
      </c>
      <c r="DG3115" s="7">
        <f>0</f>
        <v>0</v>
      </c>
      <c r="DI3115" s="5" t="s">
        <v>240</v>
      </c>
      <c r="DJ3115" s="5" t="s">
        <v>240</v>
      </c>
      <c r="DK3115" s="5" t="s">
        <v>240</v>
      </c>
      <c r="DL3115" s="5" t="s">
        <v>240</v>
      </c>
      <c r="DM3115" s="5" t="s">
        <v>240</v>
      </c>
      <c r="DN3115" s="5" t="s">
        <v>240</v>
      </c>
      <c r="DO3115" s="7" t="s">
        <v>240</v>
      </c>
      <c r="DP3115" s="5" t="s">
        <v>240</v>
      </c>
      <c r="DQ3115" s="5" t="s">
        <v>240</v>
      </c>
      <c r="DR3115" s="5" t="s">
        <v>731</v>
      </c>
      <c r="DS3115" s="5" t="s">
        <v>731</v>
      </c>
      <c r="DT3115" s="5" t="s">
        <v>240</v>
      </c>
      <c r="DU3115" s="5" t="s">
        <v>240</v>
      </c>
      <c r="DV3115" s="5" t="s">
        <v>3683</v>
      </c>
      <c r="DW3115" s="5" t="s">
        <v>550</v>
      </c>
      <c r="DX3115" s="5" t="s">
        <v>240</v>
      </c>
      <c r="DY3115" s="5" t="s">
        <v>240</v>
      </c>
      <c r="DZ3115" s="5" t="s">
        <v>240</v>
      </c>
      <c r="EA3115" s="5" t="s">
        <v>240</v>
      </c>
      <c r="EB3115" s="5" t="s">
        <v>240</v>
      </c>
      <c r="EC3115" s="5" t="s">
        <v>240</v>
      </c>
      <c r="ED3115" s="5" t="s">
        <v>240</v>
      </c>
      <c r="EE3115" s="5" t="s">
        <v>240</v>
      </c>
      <c r="EF3115" s="5" t="s">
        <v>240</v>
      </c>
      <c r="EG3115" s="5" t="s">
        <v>240</v>
      </c>
      <c r="EH3115" s="5" t="s">
        <v>240</v>
      </c>
      <c r="EI3115" s="5" t="s">
        <v>240</v>
      </c>
      <c r="EJ3115" s="5" t="s">
        <v>240</v>
      </c>
      <c r="EK3115" s="5" t="s">
        <v>240</v>
      </c>
      <c r="EL3115" s="5" t="s">
        <v>240</v>
      </c>
      <c r="EM3115" s="5" t="s">
        <v>240</v>
      </c>
      <c r="EN3115" s="5" t="s">
        <v>240</v>
      </c>
      <c r="EO3115" s="5" t="s">
        <v>240</v>
      </c>
      <c r="EP3115" s="5" t="s">
        <v>240</v>
      </c>
      <c r="EQ3115" s="5" t="s">
        <v>240</v>
      </c>
      <c r="ER3115" s="5" t="s">
        <v>240</v>
      </c>
      <c r="ES3115" s="5" t="s">
        <v>240</v>
      </c>
      <c r="ET3115" s="5" t="s">
        <v>240</v>
      </c>
      <c r="EU3115" s="5" t="s">
        <v>240</v>
      </c>
      <c r="EV3115" s="5" t="s">
        <v>240</v>
      </c>
      <c r="EW3115" s="5" t="s">
        <v>240</v>
      </c>
      <c r="EX3115" s="5" t="s">
        <v>240</v>
      </c>
      <c r="EY3115" s="5" t="s">
        <v>240</v>
      </c>
      <c r="EZ3115" s="5" t="s">
        <v>240</v>
      </c>
      <c r="FA3115" s="5" t="s">
        <v>240</v>
      </c>
      <c r="FB3115" s="5" t="s">
        <v>240</v>
      </c>
      <c r="FC3115" s="5" t="s">
        <v>240</v>
      </c>
      <c r="FD3115" s="5" t="s">
        <v>240</v>
      </c>
      <c r="FE3115" s="5" t="s">
        <v>240</v>
      </c>
      <c r="FF3115" s="5" t="s">
        <v>240</v>
      </c>
      <c r="FG3115" s="5" t="s">
        <v>240</v>
      </c>
      <c r="FH3115" s="5" t="s">
        <v>240</v>
      </c>
      <c r="FI3115" s="5" t="s">
        <v>240</v>
      </c>
      <c r="FJ3115" s="5" t="s">
        <v>240</v>
      </c>
      <c r="FK3115" s="5" t="s">
        <v>240</v>
      </c>
      <c r="FL3115" s="5" t="s">
        <v>240</v>
      </c>
      <c r="FM3115" s="5" t="s">
        <v>240</v>
      </c>
      <c r="FN3115" s="5" t="s">
        <v>240</v>
      </c>
      <c r="FO3115" s="5" t="s">
        <v>240</v>
      </c>
      <c r="FP3115" s="5" t="s">
        <v>240</v>
      </c>
      <c r="FQ3115" s="5" t="s">
        <v>240</v>
      </c>
      <c r="FR3115" s="5" t="s">
        <v>240</v>
      </c>
      <c r="FS3115" s="5" t="s">
        <v>240</v>
      </c>
      <c r="FT3115" s="5" t="s">
        <v>240</v>
      </c>
      <c r="FU3115" s="5" t="s">
        <v>240</v>
      </c>
      <c r="FV3115" s="5" t="s">
        <v>240</v>
      </c>
      <c r="FW3115" s="5" t="s">
        <v>240</v>
      </c>
      <c r="FX3115" s="5" t="s">
        <v>240</v>
      </c>
      <c r="FY3115" s="5" t="s">
        <v>240</v>
      </c>
      <c r="FZ3115" s="5" t="s">
        <v>240</v>
      </c>
      <c r="GA3115" s="5" t="s">
        <v>240</v>
      </c>
      <c r="GB3115" s="5" t="s">
        <v>240</v>
      </c>
      <c r="GC3115" s="5" t="s">
        <v>240</v>
      </c>
      <c r="GD3115" s="5" t="s">
        <v>240</v>
      </c>
      <c r="GE3115" s="5" t="s">
        <v>240</v>
      </c>
      <c r="GF3115" s="5" t="s">
        <v>240</v>
      </c>
      <c r="GG3115" s="5" t="s">
        <v>240</v>
      </c>
      <c r="GH3115" s="5" t="s">
        <v>240</v>
      </c>
      <c r="GI3115" s="5" t="s">
        <v>240</v>
      </c>
      <c r="GJ3115" s="5" t="s">
        <v>240</v>
      </c>
      <c r="GK3115" s="5" t="s">
        <v>240</v>
      </c>
      <c r="GL3115" s="5" t="s">
        <v>240</v>
      </c>
      <c r="GM3115" s="5" t="s">
        <v>240</v>
      </c>
      <c r="GN3115" s="5" t="s">
        <v>240</v>
      </c>
      <c r="GO3115" s="5" t="s">
        <v>240</v>
      </c>
      <c r="GP3115" s="5" t="s">
        <v>240</v>
      </c>
      <c r="GQ3115" s="5" t="s">
        <v>240</v>
      </c>
      <c r="GR3115" s="5" t="s">
        <v>240</v>
      </c>
      <c r="GS3115" s="5" t="s">
        <v>240</v>
      </c>
      <c r="GT3115" s="5" t="s">
        <v>240</v>
      </c>
      <c r="GU3115" s="5" t="s">
        <v>240</v>
      </c>
      <c r="GV3115" s="5" t="s">
        <v>240</v>
      </c>
      <c r="GW3115" s="5" t="s">
        <v>240</v>
      </c>
      <c r="GX3115" s="5" t="s">
        <v>240</v>
      </c>
      <c r="GY3115" s="5" t="s">
        <v>240</v>
      </c>
      <c r="GZ3115" s="5" t="s">
        <v>240</v>
      </c>
      <c r="HA3115" s="5" t="s">
        <v>240</v>
      </c>
      <c r="HB3115" s="5" t="s">
        <v>240</v>
      </c>
      <c r="HC3115" s="5" t="s">
        <v>240</v>
      </c>
      <c r="HD3115" s="5" t="s">
        <v>240</v>
      </c>
      <c r="HE3115" s="5" t="s">
        <v>240</v>
      </c>
      <c r="HF3115" s="5" t="s">
        <v>240</v>
      </c>
      <c r="HG3115" s="5" t="s">
        <v>240</v>
      </c>
      <c r="HH3115" s="5" t="s">
        <v>240</v>
      </c>
      <c r="HI3115" s="5" t="s">
        <v>240</v>
      </c>
      <c r="HJ3115" s="5" t="s">
        <v>240</v>
      </c>
      <c r="HK3115" s="5" t="s">
        <v>240</v>
      </c>
      <c r="HL3115" s="5" t="s">
        <v>240</v>
      </c>
      <c r="HM3115" s="5" t="s">
        <v>240</v>
      </c>
      <c r="HN3115" s="5" t="s">
        <v>240</v>
      </c>
      <c r="HO3115" s="5" t="s">
        <v>312</v>
      </c>
      <c r="HP3115" s="5" t="s">
        <v>240</v>
      </c>
      <c r="HQ3115" s="5" t="s">
        <v>240</v>
      </c>
      <c r="HR3115" s="5" t="s">
        <v>240</v>
      </c>
      <c r="HS3115" s="5" t="s">
        <v>240</v>
      </c>
      <c r="HT3115" s="5" t="s">
        <v>240</v>
      </c>
      <c r="HU3115" s="5" t="s">
        <v>240</v>
      </c>
      <c r="HV3115" s="5" t="s">
        <v>240</v>
      </c>
      <c r="HW3115" s="5" t="s">
        <v>240</v>
      </c>
      <c r="HX3115" s="5" t="s">
        <v>240</v>
      </c>
      <c r="HY3115" s="5" t="s">
        <v>240</v>
      </c>
      <c r="HZ3115" s="5" t="s">
        <v>240</v>
      </c>
      <c r="IA3115" s="5" t="s">
        <v>240</v>
      </c>
      <c r="IB3115" s="5" t="s">
        <v>240</v>
      </c>
      <c r="IC3115" s="5" t="s">
        <v>240</v>
      </c>
      <c r="ID3115" s="5" t="s">
        <v>240</v>
      </c>
      <c r="IE3115" s="5" t="s">
        <v>240</v>
      </c>
      <c r="IF3115" s="5" t="s">
        <v>240</v>
      </c>
    </row>
    <row r="3116" spans="1:240" x14ac:dyDescent="0.4">
      <c r="A3116" s="5">
        <v>4820</v>
      </c>
      <c r="B3116" s="5">
        <v>1</v>
      </c>
      <c r="C3116" s="5">
        <v>1</v>
      </c>
      <c r="D3116" s="5" t="s">
        <v>810</v>
      </c>
      <c r="E3116" s="5" t="s">
        <v>245</v>
      </c>
      <c r="F3116" s="5" t="s">
        <v>254</v>
      </c>
      <c r="G3116" s="5" t="s">
        <v>240</v>
      </c>
      <c r="H3116" s="6" t="s">
        <v>2317</v>
      </c>
      <c r="I3116" s="5" t="s">
        <v>809</v>
      </c>
      <c r="J3116" s="8">
        <f>1107</f>
        <v>1107</v>
      </c>
      <c r="K3116" s="5" t="s">
        <v>308</v>
      </c>
      <c r="L3116" s="7">
        <f>1</f>
        <v>1</v>
      </c>
      <c r="M3116" s="7">
        <f>1</f>
        <v>1</v>
      </c>
      <c r="N3116" s="5" t="s">
        <v>242</v>
      </c>
      <c r="O3116" s="5">
        <v>1</v>
      </c>
      <c r="P3116" s="5" t="s">
        <v>294</v>
      </c>
      <c r="Q3116" s="5" t="s">
        <v>3678</v>
      </c>
      <c r="R3116" s="5" t="s">
        <v>240</v>
      </c>
      <c r="S3116" s="5" t="s">
        <v>240</v>
      </c>
      <c r="T3116" s="5" t="s">
        <v>243</v>
      </c>
      <c r="U3116" s="5" t="s">
        <v>244</v>
      </c>
      <c r="V3116" s="5" t="s">
        <v>240</v>
      </c>
      <c r="W3116" s="5" t="s">
        <v>240</v>
      </c>
      <c r="X3116" s="5" t="s">
        <v>240</v>
      </c>
      <c r="Y3116" s="5" t="s">
        <v>240</v>
      </c>
      <c r="Z3116" s="6" t="s">
        <v>298</v>
      </c>
      <c r="AA3116" s="6" t="s">
        <v>240</v>
      </c>
      <c r="AB3116" s="6" t="s">
        <v>240</v>
      </c>
      <c r="AC3116" s="5" t="s">
        <v>240</v>
      </c>
      <c r="AD3116" s="6" t="s">
        <v>240</v>
      </c>
      <c r="AE3116" s="6" t="s">
        <v>299</v>
      </c>
      <c r="AF3116" s="5" t="s">
        <v>248</v>
      </c>
      <c r="AG3116" s="5" t="s">
        <v>249</v>
      </c>
      <c r="AH3116" s="5" t="s">
        <v>240</v>
      </c>
      <c r="AI3116" s="5" t="s">
        <v>240</v>
      </c>
      <c r="AJ3116" s="5" t="s">
        <v>240</v>
      </c>
      <c r="AK3116" s="5" t="s">
        <v>240</v>
      </c>
      <c r="AL3116" s="5" t="s">
        <v>240</v>
      </c>
      <c r="AM3116" s="5" t="s">
        <v>240</v>
      </c>
      <c r="AN3116" s="5" t="s">
        <v>240</v>
      </c>
      <c r="AO3116" s="5" t="s">
        <v>240</v>
      </c>
      <c r="AP3116" s="6" t="s">
        <v>240</v>
      </c>
      <c r="AQ3116" s="6" t="s">
        <v>240</v>
      </c>
      <c r="AR3116" s="6" t="s">
        <v>240</v>
      </c>
      <c r="AS3116" s="6" t="s">
        <v>240</v>
      </c>
      <c r="AT3116" s="5" t="s">
        <v>240</v>
      </c>
      <c r="AU3116" s="5" t="s">
        <v>729</v>
      </c>
      <c r="AV3116" s="5" t="s">
        <v>729</v>
      </c>
      <c r="AW3116" s="5" t="s">
        <v>251</v>
      </c>
      <c r="AX3116" s="5" t="s">
        <v>252</v>
      </c>
      <c r="AY3116" s="5" t="s">
        <v>253</v>
      </c>
      <c r="AZ3116" s="5" t="s">
        <v>240</v>
      </c>
      <c r="BA3116" s="5" t="s">
        <v>255</v>
      </c>
      <c r="BB3116" s="5" t="s">
        <v>731</v>
      </c>
      <c r="BD3116" s="5" t="s">
        <v>240</v>
      </c>
      <c r="BF3116" s="5" t="s">
        <v>732</v>
      </c>
      <c r="BG3116" s="6" t="s">
        <v>733</v>
      </c>
      <c r="BH3116" s="5" t="s">
        <v>734</v>
      </c>
      <c r="BI3116" s="5" t="s">
        <v>734</v>
      </c>
      <c r="BJ3116" s="5" t="s">
        <v>240</v>
      </c>
      <c r="BK3116" s="7">
        <f>1</f>
        <v>1</v>
      </c>
      <c r="BL3116" s="7">
        <f>1</f>
        <v>1</v>
      </c>
      <c r="BM3116" s="5" t="s">
        <v>258</v>
      </c>
      <c r="BN3116" s="5" t="s">
        <v>259</v>
      </c>
      <c r="BO3116" s="5" t="s">
        <v>240</v>
      </c>
      <c r="BP3116" s="5" t="s">
        <v>240</v>
      </c>
      <c r="BQ3116" s="5" t="s">
        <v>240</v>
      </c>
      <c r="BR3116" s="5" t="s">
        <v>240</v>
      </c>
      <c r="BS3116" s="5" t="s">
        <v>240</v>
      </c>
      <c r="BT3116" s="5" t="s">
        <v>240</v>
      </c>
      <c r="BU3116" s="5" t="s">
        <v>240</v>
      </c>
      <c r="BV3116" s="5" t="s">
        <v>240</v>
      </c>
      <c r="BW3116" s="6" t="s">
        <v>240</v>
      </c>
      <c r="BX3116" s="5" t="s">
        <v>240</v>
      </c>
      <c r="BY3116" s="5" t="s">
        <v>240</v>
      </c>
      <c r="BZ3116" s="5" t="s">
        <v>240</v>
      </c>
      <c r="CA3116" s="5" t="s">
        <v>259</v>
      </c>
      <c r="CB3116" s="5" t="s">
        <v>240</v>
      </c>
      <c r="CC3116" s="5" t="s">
        <v>240</v>
      </c>
      <c r="CD3116" s="5" t="s">
        <v>240</v>
      </c>
      <c r="CE3116" s="5" t="s">
        <v>240</v>
      </c>
      <c r="CF3116" s="5" t="s">
        <v>240</v>
      </c>
      <c r="CG3116" s="5" t="s">
        <v>304</v>
      </c>
      <c r="CH3116" s="5" t="s">
        <v>305</v>
      </c>
      <c r="CI3116" s="5" t="s">
        <v>240</v>
      </c>
      <c r="CK3116" s="5" t="s">
        <v>3681</v>
      </c>
      <c r="CL3116" s="6" t="s">
        <v>261</v>
      </c>
      <c r="CM3116" s="5" t="s">
        <v>262</v>
      </c>
      <c r="CN3116" s="5" t="s">
        <v>263</v>
      </c>
      <c r="CO3116" s="5" t="s">
        <v>264</v>
      </c>
      <c r="CP3116" s="5" t="s">
        <v>240</v>
      </c>
      <c r="CQ3116" s="5">
        <v>0</v>
      </c>
      <c r="CR3116" s="5" t="s">
        <v>735</v>
      </c>
      <c r="CS3116" s="5" t="s">
        <v>307</v>
      </c>
      <c r="CT3116" s="5" t="s">
        <v>307</v>
      </c>
      <c r="CU3116" s="5" t="s">
        <v>260</v>
      </c>
      <c r="CV3116" s="5" t="s">
        <v>612</v>
      </c>
      <c r="CW3116" s="8">
        <f>1</f>
        <v>1</v>
      </c>
      <c r="CX3116" s="7">
        <f>1</f>
        <v>1</v>
      </c>
      <c r="CY3116" s="7">
        <f>0</f>
        <v>0</v>
      </c>
      <c r="DA3116" s="7">
        <f>1</f>
        <v>1</v>
      </c>
      <c r="DB3116" s="7" t="s">
        <v>240</v>
      </c>
      <c r="DC3116" s="5" t="s">
        <v>240</v>
      </c>
      <c r="DD3116" s="5" t="s">
        <v>240</v>
      </c>
      <c r="DE3116" s="5" t="s">
        <v>240</v>
      </c>
      <c r="DF3116" s="5" t="s">
        <v>240</v>
      </c>
      <c r="DG3116" s="7">
        <f>0</f>
        <v>0</v>
      </c>
      <c r="DI3116" s="5" t="s">
        <v>240</v>
      </c>
      <c r="DJ3116" s="5" t="s">
        <v>240</v>
      </c>
      <c r="DK3116" s="5" t="s">
        <v>240</v>
      </c>
      <c r="DL3116" s="5" t="s">
        <v>240</v>
      </c>
      <c r="DM3116" s="5" t="s">
        <v>240</v>
      </c>
      <c r="DN3116" s="5" t="s">
        <v>240</v>
      </c>
      <c r="DO3116" s="7" t="s">
        <v>240</v>
      </c>
      <c r="DP3116" s="5" t="s">
        <v>240</v>
      </c>
      <c r="DQ3116" s="5" t="s">
        <v>240</v>
      </c>
      <c r="DR3116" s="5" t="s">
        <v>731</v>
      </c>
      <c r="DS3116" s="5" t="s">
        <v>731</v>
      </c>
      <c r="DT3116" s="5" t="s">
        <v>240</v>
      </c>
      <c r="DU3116" s="5" t="s">
        <v>240</v>
      </c>
      <c r="DV3116" s="5" t="s">
        <v>3683</v>
      </c>
      <c r="DW3116" s="5" t="s">
        <v>542</v>
      </c>
      <c r="DX3116" s="5" t="s">
        <v>240</v>
      </c>
      <c r="DY3116" s="5" t="s">
        <v>240</v>
      </c>
      <c r="DZ3116" s="5" t="s">
        <v>240</v>
      </c>
      <c r="EA3116" s="5" t="s">
        <v>240</v>
      </c>
      <c r="EB3116" s="5" t="s">
        <v>240</v>
      </c>
      <c r="EC3116" s="5" t="s">
        <v>240</v>
      </c>
      <c r="ED3116" s="5" t="s">
        <v>240</v>
      </c>
      <c r="EE3116" s="5" t="s">
        <v>240</v>
      </c>
      <c r="EF3116" s="5" t="s">
        <v>240</v>
      </c>
      <c r="EG3116" s="5" t="s">
        <v>240</v>
      </c>
      <c r="EH3116" s="5" t="s">
        <v>240</v>
      </c>
      <c r="EI3116" s="5" t="s">
        <v>240</v>
      </c>
      <c r="EJ3116" s="5" t="s">
        <v>240</v>
      </c>
      <c r="EK3116" s="5" t="s">
        <v>240</v>
      </c>
      <c r="EL3116" s="5" t="s">
        <v>240</v>
      </c>
      <c r="EM3116" s="5" t="s">
        <v>240</v>
      </c>
      <c r="EN3116" s="5" t="s">
        <v>240</v>
      </c>
      <c r="EO3116" s="5" t="s">
        <v>240</v>
      </c>
      <c r="EP3116" s="5" t="s">
        <v>240</v>
      </c>
      <c r="EQ3116" s="5" t="s">
        <v>240</v>
      </c>
      <c r="ER3116" s="5" t="s">
        <v>240</v>
      </c>
      <c r="ES3116" s="5" t="s">
        <v>240</v>
      </c>
      <c r="ET3116" s="5" t="s">
        <v>240</v>
      </c>
      <c r="EU3116" s="5" t="s">
        <v>240</v>
      </c>
      <c r="EV3116" s="5" t="s">
        <v>240</v>
      </c>
      <c r="EW3116" s="5" t="s">
        <v>240</v>
      </c>
      <c r="EX3116" s="5" t="s">
        <v>240</v>
      </c>
      <c r="EY3116" s="5" t="s">
        <v>240</v>
      </c>
      <c r="EZ3116" s="5" t="s">
        <v>240</v>
      </c>
      <c r="FA3116" s="5" t="s">
        <v>240</v>
      </c>
      <c r="FB3116" s="5" t="s">
        <v>240</v>
      </c>
      <c r="FC3116" s="5" t="s">
        <v>240</v>
      </c>
      <c r="FD3116" s="5" t="s">
        <v>240</v>
      </c>
      <c r="FE3116" s="5" t="s">
        <v>240</v>
      </c>
      <c r="FF3116" s="5" t="s">
        <v>240</v>
      </c>
      <c r="FG3116" s="5" t="s">
        <v>240</v>
      </c>
      <c r="FH3116" s="5" t="s">
        <v>240</v>
      </c>
      <c r="FI3116" s="5" t="s">
        <v>240</v>
      </c>
      <c r="FJ3116" s="5" t="s">
        <v>240</v>
      </c>
      <c r="FK3116" s="5" t="s">
        <v>240</v>
      </c>
      <c r="FL3116" s="5" t="s">
        <v>240</v>
      </c>
      <c r="FM3116" s="5" t="s">
        <v>240</v>
      </c>
      <c r="FN3116" s="5" t="s">
        <v>240</v>
      </c>
      <c r="FO3116" s="5" t="s">
        <v>240</v>
      </c>
      <c r="FP3116" s="5" t="s">
        <v>240</v>
      </c>
      <c r="FQ3116" s="5" t="s">
        <v>240</v>
      </c>
      <c r="FR3116" s="5" t="s">
        <v>240</v>
      </c>
      <c r="FS3116" s="5" t="s">
        <v>240</v>
      </c>
      <c r="FT3116" s="5" t="s">
        <v>240</v>
      </c>
      <c r="FU3116" s="5" t="s">
        <v>240</v>
      </c>
      <c r="FV3116" s="5" t="s">
        <v>240</v>
      </c>
      <c r="FW3116" s="5" t="s">
        <v>240</v>
      </c>
      <c r="FX3116" s="5" t="s">
        <v>240</v>
      </c>
      <c r="FY3116" s="5" t="s">
        <v>240</v>
      </c>
      <c r="FZ3116" s="5" t="s">
        <v>240</v>
      </c>
      <c r="GA3116" s="5" t="s">
        <v>240</v>
      </c>
      <c r="GB3116" s="5" t="s">
        <v>240</v>
      </c>
      <c r="GC3116" s="5" t="s">
        <v>240</v>
      </c>
      <c r="GD3116" s="5" t="s">
        <v>240</v>
      </c>
      <c r="GE3116" s="5" t="s">
        <v>240</v>
      </c>
      <c r="GF3116" s="5" t="s">
        <v>240</v>
      </c>
      <c r="GG3116" s="5" t="s">
        <v>240</v>
      </c>
      <c r="GH3116" s="5" t="s">
        <v>240</v>
      </c>
      <c r="GI3116" s="5" t="s">
        <v>240</v>
      </c>
      <c r="GJ3116" s="5" t="s">
        <v>240</v>
      </c>
      <c r="GK3116" s="5" t="s">
        <v>240</v>
      </c>
      <c r="GL3116" s="5" t="s">
        <v>240</v>
      </c>
      <c r="GM3116" s="5" t="s">
        <v>240</v>
      </c>
      <c r="GN3116" s="5" t="s">
        <v>240</v>
      </c>
      <c r="GO3116" s="5" t="s">
        <v>240</v>
      </c>
      <c r="GP3116" s="5" t="s">
        <v>240</v>
      </c>
      <c r="GQ3116" s="5" t="s">
        <v>240</v>
      </c>
      <c r="GR3116" s="5" t="s">
        <v>240</v>
      </c>
      <c r="GS3116" s="5" t="s">
        <v>240</v>
      </c>
      <c r="GT3116" s="5" t="s">
        <v>240</v>
      </c>
      <c r="GU3116" s="5" t="s">
        <v>240</v>
      </c>
      <c r="GV3116" s="5" t="s">
        <v>240</v>
      </c>
      <c r="GW3116" s="5" t="s">
        <v>240</v>
      </c>
      <c r="GX3116" s="5" t="s">
        <v>240</v>
      </c>
      <c r="GY3116" s="5" t="s">
        <v>240</v>
      </c>
      <c r="GZ3116" s="5" t="s">
        <v>240</v>
      </c>
      <c r="HA3116" s="5" t="s">
        <v>240</v>
      </c>
      <c r="HB3116" s="5" t="s">
        <v>240</v>
      </c>
      <c r="HC3116" s="5" t="s">
        <v>240</v>
      </c>
      <c r="HD3116" s="5" t="s">
        <v>240</v>
      </c>
      <c r="HE3116" s="5" t="s">
        <v>240</v>
      </c>
      <c r="HF3116" s="5" t="s">
        <v>240</v>
      </c>
      <c r="HG3116" s="5" t="s">
        <v>240</v>
      </c>
      <c r="HH3116" s="5" t="s">
        <v>240</v>
      </c>
      <c r="HI3116" s="5" t="s">
        <v>240</v>
      </c>
      <c r="HJ3116" s="5" t="s">
        <v>240</v>
      </c>
      <c r="HK3116" s="5" t="s">
        <v>240</v>
      </c>
      <c r="HL3116" s="5" t="s">
        <v>240</v>
      </c>
      <c r="HM3116" s="5" t="s">
        <v>240</v>
      </c>
      <c r="HN3116" s="5" t="s">
        <v>240</v>
      </c>
      <c r="HO3116" s="5" t="s">
        <v>312</v>
      </c>
      <c r="HP3116" s="5" t="s">
        <v>240</v>
      </c>
      <c r="HQ3116" s="5" t="s">
        <v>240</v>
      </c>
      <c r="HR3116" s="5" t="s">
        <v>240</v>
      </c>
      <c r="HS3116" s="5" t="s">
        <v>240</v>
      </c>
      <c r="HT3116" s="5" t="s">
        <v>240</v>
      </c>
      <c r="HU3116" s="5" t="s">
        <v>240</v>
      </c>
      <c r="HV3116" s="5" t="s">
        <v>240</v>
      </c>
      <c r="HW3116" s="5" t="s">
        <v>240</v>
      </c>
      <c r="HX3116" s="5" t="s">
        <v>240</v>
      </c>
      <c r="HY3116" s="5" t="s">
        <v>240</v>
      </c>
      <c r="HZ3116" s="5" t="s">
        <v>240</v>
      </c>
      <c r="IA3116" s="5" t="s">
        <v>240</v>
      </c>
      <c r="IB3116" s="5" t="s">
        <v>240</v>
      </c>
      <c r="IC3116" s="5" t="s">
        <v>240</v>
      </c>
      <c r="ID3116" s="5" t="s">
        <v>240</v>
      </c>
      <c r="IE3116" s="5" t="s">
        <v>240</v>
      </c>
      <c r="IF3116" s="5" t="s">
        <v>240</v>
      </c>
    </row>
    <row r="3117" spans="1:240" x14ac:dyDescent="0.4">
      <c r="A3117" s="5">
        <v>4821</v>
      </c>
      <c r="B3117" s="5">
        <v>1</v>
      </c>
      <c r="C3117" s="5">
        <v>1</v>
      </c>
      <c r="D3117" s="5" t="s">
        <v>810</v>
      </c>
      <c r="E3117" s="5" t="s">
        <v>245</v>
      </c>
      <c r="F3117" s="5" t="s">
        <v>254</v>
      </c>
      <c r="G3117" s="5" t="s">
        <v>240</v>
      </c>
      <c r="H3117" s="6" t="s">
        <v>2315</v>
      </c>
      <c r="I3117" s="5" t="s">
        <v>809</v>
      </c>
      <c r="J3117" s="8">
        <f>836</f>
        <v>836</v>
      </c>
      <c r="K3117" s="5" t="s">
        <v>308</v>
      </c>
      <c r="L3117" s="7">
        <f>1</f>
        <v>1</v>
      </c>
      <c r="M3117" s="7">
        <f>1</f>
        <v>1</v>
      </c>
      <c r="N3117" s="5" t="s">
        <v>242</v>
      </c>
      <c r="O3117" s="5">
        <v>1</v>
      </c>
      <c r="P3117" s="5" t="s">
        <v>294</v>
      </c>
      <c r="Q3117" s="5" t="s">
        <v>3678</v>
      </c>
      <c r="R3117" s="5" t="s">
        <v>240</v>
      </c>
      <c r="S3117" s="5" t="s">
        <v>240</v>
      </c>
      <c r="T3117" s="5" t="s">
        <v>243</v>
      </c>
      <c r="U3117" s="5" t="s">
        <v>244</v>
      </c>
      <c r="V3117" s="5" t="s">
        <v>240</v>
      </c>
      <c r="W3117" s="5" t="s">
        <v>240</v>
      </c>
      <c r="X3117" s="5" t="s">
        <v>240</v>
      </c>
      <c r="Y3117" s="5" t="s">
        <v>240</v>
      </c>
      <c r="Z3117" s="6" t="s">
        <v>298</v>
      </c>
      <c r="AA3117" s="6" t="s">
        <v>240</v>
      </c>
      <c r="AB3117" s="6" t="s">
        <v>240</v>
      </c>
      <c r="AC3117" s="5" t="s">
        <v>240</v>
      </c>
      <c r="AD3117" s="6" t="s">
        <v>240</v>
      </c>
      <c r="AE3117" s="6" t="s">
        <v>299</v>
      </c>
      <c r="AF3117" s="5" t="s">
        <v>248</v>
      </c>
      <c r="AG3117" s="5" t="s">
        <v>249</v>
      </c>
      <c r="AH3117" s="5" t="s">
        <v>240</v>
      </c>
      <c r="AI3117" s="5" t="s">
        <v>240</v>
      </c>
      <c r="AJ3117" s="5" t="s">
        <v>240</v>
      </c>
      <c r="AK3117" s="5" t="s">
        <v>240</v>
      </c>
      <c r="AL3117" s="5" t="s">
        <v>240</v>
      </c>
      <c r="AM3117" s="5" t="s">
        <v>240</v>
      </c>
      <c r="AN3117" s="5" t="s">
        <v>240</v>
      </c>
      <c r="AO3117" s="5" t="s">
        <v>240</v>
      </c>
      <c r="AP3117" s="6" t="s">
        <v>240</v>
      </c>
      <c r="AQ3117" s="6" t="s">
        <v>240</v>
      </c>
      <c r="AR3117" s="6" t="s">
        <v>240</v>
      </c>
      <c r="AS3117" s="6" t="s">
        <v>240</v>
      </c>
      <c r="AT3117" s="5" t="s">
        <v>240</v>
      </c>
      <c r="AU3117" s="5" t="s">
        <v>729</v>
      </c>
      <c r="AV3117" s="5" t="s">
        <v>729</v>
      </c>
      <c r="AW3117" s="5" t="s">
        <v>251</v>
      </c>
      <c r="AX3117" s="5" t="s">
        <v>252</v>
      </c>
      <c r="AY3117" s="5" t="s">
        <v>253</v>
      </c>
      <c r="AZ3117" s="5" t="s">
        <v>240</v>
      </c>
      <c r="BA3117" s="5" t="s">
        <v>255</v>
      </c>
      <c r="BB3117" s="5" t="s">
        <v>731</v>
      </c>
      <c r="BD3117" s="5" t="s">
        <v>240</v>
      </c>
      <c r="BF3117" s="5" t="s">
        <v>732</v>
      </c>
      <c r="BG3117" s="6" t="s">
        <v>733</v>
      </c>
      <c r="BH3117" s="5" t="s">
        <v>734</v>
      </c>
      <c r="BI3117" s="5" t="s">
        <v>734</v>
      </c>
      <c r="BJ3117" s="5" t="s">
        <v>240</v>
      </c>
      <c r="BK3117" s="7">
        <f>1</f>
        <v>1</v>
      </c>
      <c r="BL3117" s="7">
        <f>1</f>
        <v>1</v>
      </c>
      <c r="BM3117" s="5" t="s">
        <v>258</v>
      </c>
      <c r="BN3117" s="5" t="s">
        <v>259</v>
      </c>
      <c r="BO3117" s="5" t="s">
        <v>240</v>
      </c>
      <c r="BP3117" s="5" t="s">
        <v>240</v>
      </c>
      <c r="BQ3117" s="5" t="s">
        <v>240</v>
      </c>
      <c r="BR3117" s="5" t="s">
        <v>240</v>
      </c>
      <c r="BS3117" s="5" t="s">
        <v>240</v>
      </c>
      <c r="BT3117" s="5" t="s">
        <v>240</v>
      </c>
      <c r="BU3117" s="5" t="s">
        <v>240</v>
      </c>
      <c r="BV3117" s="5" t="s">
        <v>240</v>
      </c>
      <c r="BW3117" s="6" t="s">
        <v>240</v>
      </c>
      <c r="BX3117" s="5" t="s">
        <v>240</v>
      </c>
      <c r="BY3117" s="5" t="s">
        <v>240</v>
      </c>
      <c r="BZ3117" s="5" t="s">
        <v>240</v>
      </c>
      <c r="CA3117" s="5" t="s">
        <v>259</v>
      </c>
      <c r="CB3117" s="5" t="s">
        <v>240</v>
      </c>
      <c r="CC3117" s="5" t="s">
        <v>240</v>
      </c>
      <c r="CD3117" s="5" t="s">
        <v>240</v>
      </c>
      <c r="CE3117" s="5" t="s">
        <v>240</v>
      </c>
      <c r="CF3117" s="5" t="s">
        <v>240</v>
      </c>
      <c r="CG3117" s="5" t="s">
        <v>304</v>
      </c>
      <c r="CH3117" s="5" t="s">
        <v>305</v>
      </c>
      <c r="CI3117" s="5" t="s">
        <v>240</v>
      </c>
      <c r="CK3117" s="5" t="s">
        <v>3681</v>
      </c>
      <c r="CL3117" s="6" t="s">
        <v>261</v>
      </c>
      <c r="CM3117" s="5" t="s">
        <v>262</v>
      </c>
      <c r="CN3117" s="5" t="s">
        <v>263</v>
      </c>
      <c r="CO3117" s="5" t="s">
        <v>264</v>
      </c>
      <c r="CP3117" s="5" t="s">
        <v>240</v>
      </c>
      <c r="CQ3117" s="5">
        <v>0</v>
      </c>
      <c r="CR3117" s="5" t="s">
        <v>735</v>
      </c>
      <c r="CS3117" s="5" t="s">
        <v>307</v>
      </c>
      <c r="CT3117" s="5" t="s">
        <v>307</v>
      </c>
      <c r="CU3117" s="5" t="s">
        <v>260</v>
      </c>
      <c r="CV3117" s="5" t="s">
        <v>612</v>
      </c>
      <c r="CW3117" s="8">
        <f>1</f>
        <v>1</v>
      </c>
      <c r="CX3117" s="7">
        <f>1</f>
        <v>1</v>
      </c>
      <c r="CY3117" s="7">
        <f>0</f>
        <v>0</v>
      </c>
      <c r="DA3117" s="7">
        <f>1</f>
        <v>1</v>
      </c>
      <c r="DB3117" s="7" t="s">
        <v>240</v>
      </c>
      <c r="DC3117" s="5" t="s">
        <v>240</v>
      </c>
      <c r="DD3117" s="5" t="s">
        <v>240</v>
      </c>
      <c r="DE3117" s="5" t="s">
        <v>240</v>
      </c>
      <c r="DF3117" s="5" t="s">
        <v>240</v>
      </c>
      <c r="DG3117" s="7">
        <f>0</f>
        <v>0</v>
      </c>
      <c r="DI3117" s="5" t="s">
        <v>240</v>
      </c>
      <c r="DJ3117" s="5" t="s">
        <v>240</v>
      </c>
      <c r="DK3117" s="5" t="s">
        <v>240</v>
      </c>
      <c r="DL3117" s="5" t="s">
        <v>240</v>
      </c>
      <c r="DM3117" s="5" t="s">
        <v>240</v>
      </c>
      <c r="DN3117" s="5" t="s">
        <v>240</v>
      </c>
      <c r="DO3117" s="7" t="s">
        <v>240</v>
      </c>
      <c r="DP3117" s="5" t="s">
        <v>240</v>
      </c>
      <c r="DQ3117" s="5" t="s">
        <v>240</v>
      </c>
      <c r="DR3117" s="5" t="s">
        <v>731</v>
      </c>
      <c r="DS3117" s="5" t="s">
        <v>731</v>
      </c>
      <c r="DT3117" s="5" t="s">
        <v>240</v>
      </c>
      <c r="DU3117" s="5" t="s">
        <v>240</v>
      </c>
      <c r="DV3117" s="5" t="s">
        <v>3683</v>
      </c>
      <c r="DW3117" s="5" t="s">
        <v>1227</v>
      </c>
      <c r="DX3117" s="5" t="s">
        <v>240</v>
      </c>
      <c r="DY3117" s="5" t="s">
        <v>240</v>
      </c>
      <c r="DZ3117" s="5" t="s">
        <v>240</v>
      </c>
      <c r="EA3117" s="5" t="s">
        <v>240</v>
      </c>
      <c r="EB3117" s="5" t="s">
        <v>240</v>
      </c>
      <c r="EC3117" s="5" t="s">
        <v>240</v>
      </c>
      <c r="ED3117" s="5" t="s">
        <v>240</v>
      </c>
      <c r="EE3117" s="5" t="s">
        <v>240</v>
      </c>
      <c r="EF3117" s="5" t="s">
        <v>240</v>
      </c>
      <c r="EG3117" s="5" t="s">
        <v>240</v>
      </c>
      <c r="EH3117" s="5" t="s">
        <v>240</v>
      </c>
      <c r="EI3117" s="5" t="s">
        <v>240</v>
      </c>
      <c r="EJ3117" s="5" t="s">
        <v>240</v>
      </c>
      <c r="EK3117" s="5" t="s">
        <v>240</v>
      </c>
      <c r="EL3117" s="5" t="s">
        <v>240</v>
      </c>
      <c r="EM3117" s="5" t="s">
        <v>240</v>
      </c>
      <c r="EN3117" s="5" t="s">
        <v>240</v>
      </c>
      <c r="EO3117" s="5" t="s">
        <v>240</v>
      </c>
      <c r="EP3117" s="5" t="s">
        <v>240</v>
      </c>
      <c r="EQ3117" s="5" t="s">
        <v>240</v>
      </c>
      <c r="ER3117" s="5" t="s">
        <v>240</v>
      </c>
      <c r="ES3117" s="5" t="s">
        <v>240</v>
      </c>
      <c r="ET3117" s="5" t="s">
        <v>240</v>
      </c>
      <c r="EU3117" s="5" t="s">
        <v>240</v>
      </c>
      <c r="EV3117" s="5" t="s">
        <v>240</v>
      </c>
      <c r="EW3117" s="5" t="s">
        <v>240</v>
      </c>
      <c r="EX3117" s="5" t="s">
        <v>240</v>
      </c>
      <c r="EY3117" s="5" t="s">
        <v>240</v>
      </c>
      <c r="EZ3117" s="5" t="s">
        <v>240</v>
      </c>
      <c r="FA3117" s="5" t="s">
        <v>240</v>
      </c>
      <c r="FB3117" s="5" t="s">
        <v>240</v>
      </c>
      <c r="FC3117" s="5" t="s">
        <v>240</v>
      </c>
      <c r="FD3117" s="5" t="s">
        <v>240</v>
      </c>
      <c r="FE3117" s="5" t="s">
        <v>240</v>
      </c>
      <c r="FF3117" s="5" t="s">
        <v>240</v>
      </c>
      <c r="FG3117" s="5" t="s">
        <v>240</v>
      </c>
      <c r="FH3117" s="5" t="s">
        <v>240</v>
      </c>
      <c r="FI3117" s="5" t="s">
        <v>240</v>
      </c>
      <c r="FJ3117" s="5" t="s">
        <v>240</v>
      </c>
      <c r="FK3117" s="5" t="s">
        <v>240</v>
      </c>
      <c r="FL3117" s="5" t="s">
        <v>240</v>
      </c>
      <c r="FM3117" s="5" t="s">
        <v>240</v>
      </c>
      <c r="FN3117" s="5" t="s">
        <v>240</v>
      </c>
      <c r="FO3117" s="5" t="s">
        <v>240</v>
      </c>
      <c r="FP3117" s="5" t="s">
        <v>240</v>
      </c>
      <c r="FQ3117" s="5" t="s">
        <v>240</v>
      </c>
      <c r="FR3117" s="5" t="s">
        <v>240</v>
      </c>
      <c r="FS3117" s="5" t="s">
        <v>240</v>
      </c>
      <c r="FT3117" s="5" t="s">
        <v>240</v>
      </c>
      <c r="FU3117" s="5" t="s">
        <v>240</v>
      </c>
      <c r="FV3117" s="5" t="s">
        <v>240</v>
      </c>
      <c r="FW3117" s="5" t="s">
        <v>240</v>
      </c>
      <c r="FX3117" s="5" t="s">
        <v>240</v>
      </c>
      <c r="FY3117" s="5" t="s">
        <v>240</v>
      </c>
      <c r="FZ3117" s="5" t="s">
        <v>240</v>
      </c>
      <c r="GA3117" s="5" t="s">
        <v>240</v>
      </c>
      <c r="GB3117" s="5" t="s">
        <v>240</v>
      </c>
      <c r="GC3117" s="5" t="s">
        <v>240</v>
      </c>
      <c r="GD3117" s="5" t="s">
        <v>240</v>
      </c>
      <c r="GE3117" s="5" t="s">
        <v>240</v>
      </c>
      <c r="GF3117" s="5" t="s">
        <v>240</v>
      </c>
      <c r="GG3117" s="5" t="s">
        <v>240</v>
      </c>
      <c r="GH3117" s="5" t="s">
        <v>240</v>
      </c>
      <c r="GI3117" s="5" t="s">
        <v>240</v>
      </c>
      <c r="GJ3117" s="5" t="s">
        <v>240</v>
      </c>
      <c r="GK3117" s="5" t="s">
        <v>240</v>
      </c>
      <c r="GL3117" s="5" t="s">
        <v>240</v>
      </c>
      <c r="GM3117" s="5" t="s">
        <v>240</v>
      </c>
      <c r="GN3117" s="5" t="s">
        <v>240</v>
      </c>
      <c r="GO3117" s="5" t="s">
        <v>240</v>
      </c>
      <c r="GP3117" s="5" t="s">
        <v>240</v>
      </c>
      <c r="GQ3117" s="5" t="s">
        <v>240</v>
      </c>
      <c r="GR3117" s="5" t="s">
        <v>240</v>
      </c>
      <c r="GS3117" s="5" t="s">
        <v>240</v>
      </c>
      <c r="GT3117" s="5" t="s">
        <v>240</v>
      </c>
      <c r="GU3117" s="5" t="s">
        <v>240</v>
      </c>
      <c r="GV3117" s="5" t="s">
        <v>240</v>
      </c>
      <c r="GW3117" s="5" t="s">
        <v>240</v>
      </c>
      <c r="GX3117" s="5" t="s">
        <v>240</v>
      </c>
      <c r="GY3117" s="5" t="s">
        <v>240</v>
      </c>
      <c r="GZ3117" s="5" t="s">
        <v>240</v>
      </c>
      <c r="HA3117" s="5" t="s">
        <v>240</v>
      </c>
      <c r="HB3117" s="5" t="s">
        <v>240</v>
      </c>
      <c r="HC3117" s="5" t="s">
        <v>240</v>
      </c>
      <c r="HD3117" s="5" t="s">
        <v>240</v>
      </c>
      <c r="HE3117" s="5" t="s">
        <v>240</v>
      </c>
      <c r="HF3117" s="5" t="s">
        <v>240</v>
      </c>
      <c r="HG3117" s="5" t="s">
        <v>240</v>
      </c>
      <c r="HH3117" s="5" t="s">
        <v>240</v>
      </c>
      <c r="HI3117" s="5" t="s">
        <v>240</v>
      </c>
      <c r="HJ3117" s="5" t="s">
        <v>240</v>
      </c>
      <c r="HK3117" s="5" t="s">
        <v>240</v>
      </c>
      <c r="HL3117" s="5" t="s">
        <v>240</v>
      </c>
      <c r="HM3117" s="5" t="s">
        <v>240</v>
      </c>
      <c r="HN3117" s="5" t="s">
        <v>240</v>
      </c>
      <c r="HO3117" s="5" t="s">
        <v>312</v>
      </c>
      <c r="HP3117" s="5" t="s">
        <v>240</v>
      </c>
      <c r="HQ3117" s="5" t="s">
        <v>240</v>
      </c>
      <c r="HR3117" s="5" t="s">
        <v>240</v>
      </c>
      <c r="HS3117" s="5" t="s">
        <v>240</v>
      </c>
      <c r="HT3117" s="5" t="s">
        <v>240</v>
      </c>
      <c r="HU3117" s="5" t="s">
        <v>240</v>
      </c>
      <c r="HV3117" s="5" t="s">
        <v>240</v>
      </c>
      <c r="HW3117" s="5" t="s">
        <v>240</v>
      </c>
      <c r="HX3117" s="5" t="s">
        <v>240</v>
      </c>
      <c r="HY3117" s="5" t="s">
        <v>240</v>
      </c>
      <c r="HZ3117" s="5" t="s">
        <v>240</v>
      </c>
      <c r="IA3117" s="5" t="s">
        <v>240</v>
      </c>
      <c r="IB3117" s="5" t="s">
        <v>240</v>
      </c>
      <c r="IC3117" s="5" t="s">
        <v>240</v>
      </c>
      <c r="ID3117" s="5" t="s">
        <v>240</v>
      </c>
      <c r="IE3117" s="5" t="s">
        <v>240</v>
      </c>
      <c r="IF3117" s="5" t="s">
        <v>240</v>
      </c>
    </row>
    <row r="3118" spans="1:240" x14ac:dyDescent="0.4">
      <c r="A3118" s="5">
        <v>4822</v>
      </c>
      <c r="B3118" s="5">
        <v>1</v>
      </c>
      <c r="C3118" s="5">
        <v>1</v>
      </c>
      <c r="D3118" s="5" t="s">
        <v>810</v>
      </c>
      <c r="E3118" s="5" t="s">
        <v>245</v>
      </c>
      <c r="F3118" s="5" t="s">
        <v>254</v>
      </c>
      <c r="G3118" s="5" t="s">
        <v>240</v>
      </c>
      <c r="H3118" s="6" t="s">
        <v>2313</v>
      </c>
      <c r="I3118" s="5" t="s">
        <v>809</v>
      </c>
      <c r="J3118" s="8">
        <f>2771</f>
        <v>2771</v>
      </c>
      <c r="K3118" s="5" t="s">
        <v>308</v>
      </c>
      <c r="L3118" s="7">
        <f>1</f>
        <v>1</v>
      </c>
      <c r="M3118" s="7">
        <f>1</f>
        <v>1</v>
      </c>
      <c r="N3118" s="5" t="s">
        <v>242</v>
      </c>
      <c r="O3118" s="5">
        <v>1</v>
      </c>
      <c r="P3118" s="5" t="s">
        <v>294</v>
      </c>
      <c r="Q3118" s="5" t="s">
        <v>266</v>
      </c>
      <c r="R3118" s="5" t="s">
        <v>240</v>
      </c>
      <c r="S3118" s="5" t="s">
        <v>240</v>
      </c>
      <c r="T3118" s="5" t="s">
        <v>296</v>
      </c>
      <c r="U3118" s="5" t="s">
        <v>244</v>
      </c>
      <c r="V3118" s="5" t="s">
        <v>240</v>
      </c>
      <c r="Y3118" s="5" t="s">
        <v>240</v>
      </c>
      <c r="Z3118" s="6" t="s">
        <v>298</v>
      </c>
      <c r="AB3118" s="6" t="s">
        <v>240</v>
      </c>
      <c r="AE3118" s="6" t="s">
        <v>299</v>
      </c>
      <c r="AF3118" s="5" t="s">
        <v>248</v>
      </c>
      <c r="AG3118" s="5" t="s">
        <v>249</v>
      </c>
      <c r="AW3118" s="5" t="s">
        <v>251</v>
      </c>
      <c r="AX3118" s="5" t="s">
        <v>240</v>
      </c>
      <c r="AY3118" s="5" t="s">
        <v>253</v>
      </c>
      <c r="AZ3118" s="5" t="s">
        <v>240</v>
      </c>
      <c r="BA3118" s="5" t="s">
        <v>255</v>
      </c>
      <c r="BB3118" s="5" t="s">
        <v>240</v>
      </c>
      <c r="BD3118" s="5" t="s">
        <v>240</v>
      </c>
      <c r="BF3118" s="5" t="s">
        <v>301</v>
      </c>
      <c r="BG3118" s="6" t="s">
        <v>299</v>
      </c>
      <c r="BH3118" s="5" t="s">
        <v>302</v>
      </c>
      <c r="BI3118" s="5" t="s">
        <v>303</v>
      </c>
      <c r="BJ3118" s="5" t="s">
        <v>240</v>
      </c>
      <c r="BK3118" s="8">
        <f>0</f>
        <v>0</v>
      </c>
      <c r="BL3118" s="7">
        <f>0</f>
        <v>0</v>
      </c>
      <c r="BM3118" s="5" t="s">
        <v>258</v>
      </c>
      <c r="BN3118" s="5" t="s">
        <v>259</v>
      </c>
      <c r="CB3118" s="5" t="s">
        <v>240</v>
      </c>
      <c r="CC3118" s="5" t="s">
        <v>240</v>
      </c>
      <c r="CG3118" s="5" t="s">
        <v>304</v>
      </c>
      <c r="CH3118" s="5" t="s">
        <v>305</v>
      </c>
      <c r="CI3118" s="5" t="s">
        <v>240</v>
      </c>
      <c r="CL3118" s="6" t="s">
        <v>261</v>
      </c>
      <c r="CM3118" s="5" t="s">
        <v>240</v>
      </c>
      <c r="CN3118" s="5" t="s">
        <v>263</v>
      </c>
      <c r="CO3118" s="5" t="s">
        <v>240</v>
      </c>
      <c r="CP3118" s="5" t="s">
        <v>240</v>
      </c>
      <c r="CQ3118" s="5">
        <v>0</v>
      </c>
      <c r="CR3118" s="5" t="s">
        <v>306</v>
      </c>
      <c r="CS3118" s="5" t="s">
        <v>307</v>
      </c>
      <c r="CT3118" s="5" t="s">
        <v>307</v>
      </c>
      <c r="CU3118" s="5" t="s">
        <v>260</v>
      </c>
      <c r="CX3118" s="7">
        <f>1</f>
        <v>1</v>
      </c>
      <c r="CY3118" s="7">
        <f>0</f>
        <v>0</v>
      </c>
      <c r="DA3118" s="7">
        <f>0</f>
        <v>0</v>
      </c>
      <c r="DC3118" s="5" t="s">
        <v>812</v>
      </c>
      <c r="DD3118" s="5" t="s">
        <v>240</v>
      </c>
      <c r="DF3118" s="5" t="s">
        <v>812</v>
      </c>
      <c r="DG3118" s="7">
        <f>1031</f>
        <v>1031</v>
      </c>
      <c r="DI3118" s="5" t="s">
        <v>240</v>
      </c>
      <c r="DJ3118" s="5" t="s">
        <v>240</v>
      </c>
      <c r="DK3118" s="5" t="s">
        <v>240</v>
      </c>
      <c r="DL3118" s="5" t="s">
        <v>240</v>
      </c>
      <c r="DP3118" s="5" t="s">
        <v>240</v>
      </c>
      <c r="DQ3118" s="5" t="s">
        <v>240</v>
      </c>
      <c r="DR3118" s="5" t="s">
        <v>240</v>
      </c>
      <c r="DS3118" s="5" t="s">
        <v>240</v>
      </c>
      <c r="DV3118" s="5" t="s">
        <v>813</v>
      </c>
      <c r="DW3118" s="5" t="s">
        <v>715</v>
      </c>
      <c r="HO3118" s="5" t="s">
        <v>312</v>
      </c>
    </row>
    <row r="3119" spans="1:240" x14ac:dyDescent="0.4">
      <c r="A3119" s="5">
        <v>4823</v>
      </c>
      <c r="B3119" s="5">
        <v>1</v>
      </c>
      <c r="C3119" s="5">
        <v>1</v>
      </c>
      <c r="D3119" s="5" t="s">
        <v>810</v>
      </c>
      <c r="E3119" s="5" t="s">
        <v>245</v>
      </c>
      <c r="F3119" s="5" t="s">
        <v>254</v>
      </c>
      <c r="G3119" s="5" t="s">
        <v>240</v>
      </c>
      <c r="H3119" s="6" t="s">
        <v>2311</v>
      </c>
      <c r="I3119" s="5" t="s">
        <v>809</v>
      </c>
      <c r="J3119" s="8">
        <f>199</f>
        <v>199</v>
      </c>
      <c r="K3119" s="5" t="s">
        <v>308</v>
      </c>
      <c r="L3119" s="7">
        <f>1</f>
        <v>1</v>
      </c>
      <c r="M3119" s="7">
        <f>1</f>
        <v>1</v>
      </c>
      <c r="N3119" s="5" t="s">
        <v>242</v>
      </c>
      <c r="O3119" s="5">
        <v>1</v>
      </c>
      <c r="P3119" s="5" t="s">
        <v>294</v>
      </c>
      <c r="Q3119" s="5" t="s">
        <v>3678</v>
      </c>
      <c r="R3119" s="5" t="s">
        <v>240</v>
      </c>
      <c r="S3119" s="5" t="s">
        <v>240</v>
      </c>
      <c r="T3119" s="5" t="s">
        <v>243</v>
      </c>
      <c r="U3119" s="5" t="s">
        <v>244</v>
      </c>
      <c r="V3119" s="5" t="s">
        <v>240</v>
      </c>
      <c r="W3119" s="5" t="s">
        <v>240</v>
      </c>
      <c r="X3119" s="5" t="s">
        <v>240</v>
      </c>
      <c r="Y3119" s="5" t="s">
        <v>240</v>
      </c>
      <c r="Z3119" s="6" t="s">
        <v>298</v>
      </c>
      <c r="AA3119" s="6" t="s">
        <v>240</v>
      </c>
      <c r="AB3119" s="6" t="s">
        <v>240</v>
      </c>
      <c r="AC3119" s="5" t="s">
        <v>240</v>
      </c>
      <c r="AD3119" s="6" t="s">
        <v>240</v>
      </c>
      <c r="AE3119" s="6" t="s">
        <v>299</v>
      </c>
      <c r="AF3119" s="5" t="s">
        <v>248</v>
      </c>
      <c r="AG3119" s="5" t="s">
        <v>249</v>
      </c>
      <c r="AH3119" s="5" t="s">
        <v>240</v>
      </c>
      <c r="AI3119" s="5" t="s">
        <v>240</v>
      </c>
      <c r="AJ3119" s="5" t="s">
        <v>240</v>
      </c>
      <c r="AK3119" s="5" t="s">
        <v>240</v>
      </c>
      <c r="AL3119" s="5" t="s">
        <v>240</v>
      </c>
      <c r="AM3119" s="5" t="s">
        <v>240</v>
      </c>
      <c r="AN3119" s="5" t="s">
        <v>240</v>
      </c>
      <c r="AO3119" s="5" t="s">
        <v>240</v>
      </c>
      <c r="AP3119" s="6" t="s">
        <v>240</v>
      </c>
      <c r="AQ3119" s="6" t="s">
        <v>240</v>
      </c>
      <c r="AR3119" s="6" t="s">
        <v>240</v>
      </c>
      <c r="AS3119" s="6" t="s">
        <v>240</v>
      </c>
      <c r="AT3119" s="5" t="s">
        <v>240</v>
      </c>
      <c r="AU3119" s="5" t="s">
        <v>729</v>
      </c>
      <c r="AV3119" s="5" t="s">
        <v>729</v>
      </c>
      <c r="AW3119" s="5" t="s">
        <v>251</v>
      </c>
      <c r="AX3119" s="5" t="s">
        <v>252</v>
      </c>
      <c r="AY3119" s="5" t="s">
        <v>253</v>
      </c>
      <c r="AZ3119" s="5" t="s">
        <v>240</v>
      </c>
      <c r="BA3119" s="5" t="s">
        <v>255</v>
      </c>
      <c r="BB3119" s="5" t="s">
        <v>731</v>
      </c>
      <c r="BD3119" s="5" t="s">
        <v>240</v>
      </c>
      <c r="BF3119" s="5" t="s">
        <v>732</v>
      </c>
      <c r="BG3119" s="6" t="s">
        <v>733</v>
      </c>
      <c r="BH3119" s="5" t="s">
        <v>734</v>
      </c>
      <c r="BI3119" s="5" t="s">
        <v>734</v>
      </c>
      <c r="BJ3119" s="5" t="s">
        <v>240</v>
      </c>
      <c r="BK3119" s="7">
        <f>1</f>
        <v>1</v>
      </c>
      <c r="BL3119" s="7">
        <f>1</f>
        <v>1</v>
      </c>
      <c r="BM3119" s="5" t="s">
        <v>258</v>
      </c>
      <c r="BN3119" s="5" t="s">
        <v>259</v>
      </c>
      <c r="BO3119" s="5" t="s">
        <v>240</v>
      </c>
      <c r="BP3119" s="5" t="s">
        <v>240</v>
      </c>
      <c r="BQ3119" s="5" t="s">
        <v>240</v>
      </c>
      <c r="BR3119" s="5" t="s">
        <v>240</v>
      </c>
      <c r="BS3119" s="5" t="s">
        <v>240</v>
      </c>
      <c r="BT3119" s="5" t="s">
        <v>240</v>
      </c>
      <c r="BU3119" s="5" t="s">
        <v>240</v>
      </c>
      <c r="BV3119" s="5" t="s">
        <v>240</v>
      </c>
      <c r="BW3119" s="6" t="s">
        <v>240</v>
      </c>
      <c r="BX3119" s="5" t="s">
        <v>240</v>
      </c>
      <c r="BY3119" s="5" t="s">
        <v>240</v>
      </c>
      <c r="BZ3119" s="5" t="s">
        <v>240</v>
      </c>
      <c r="CA3119" s="5" t="s">
        <v>259</v>
      </c>
      <c r="CB3119" s="5" t="s">
        <v>240</v>
      </c>
      <c r="CC3119" s="5" t="s">
        <v>240</v>
      </c>
      <c r="CD3119" s="5" t="s">
        <v>240</v>
      </c>
      <c r="CE3119" s="5" t="s">
        <v>240</v>
      </c>
      <c r="CF3119" s="5" t="s">
        <v>240</v>
      </c>
      <c r="CG3119" s="5" t="s">
        <v>304</v>
      </c>
      <c r="CH3119" s="5" t="s">
        <v>305</v>
      </c>
      <c r="CI3119" s="5" t="s">
        <v>240</v>
      </c>
      <c r="CK3119" s="5" t="s">
        <v>3681</v>
      </c>
      <c r="CL3119" s="6" t="s">
        <v>261</v>
      </c>
      <c r="CM3119" s="5" t="s">
        <v>262</v>
      </c>
      <c r="CN3119" s="5" t="s">
        <v>263</v>
      </c>
      <c r="CO3119" s="5" t="s">
        <v>264</v>
      </c>
      <c r="CP3119" s="5" t="s">
        <v>240</v>
      </c>
      <c r="CQ3119" s="5">
        <v>0</v>
      </c>
      <c r="CR3119" s="5" t="s">
        <v>735</v>
      </c>
      <c r="CS3119" s="5" t="s">
        <v>307</v>
      </c>
      <c r="CT3119" s="5" t="s">
        <v>307</v>
      </c>
      <c r="CU3119" s="5" t="s">
        <v>260</v>
      </c>
      <c r="CV3119" s="5" t="s">
        <v>612</v>
      </c>
      <c r="CW3119" s="8">
        <f>1</f>
        <v>1</v>
      </c>
      <c r="CX3119" s="7">
        <f>1</f>
        <v>1</v>
      </c>
      <c r="CY3119" s="7">
        <f>0</f>
        <v>0</v>
      </c>
      <c r="DA3119" s="7">
        <f>1</f>
        <v>1</v>
      </c>
      <c r="DB3119" s="7" t="s">
        <v>240</v>
      </c>
      <c r="DC3119" s="5" t="s">
        <v>240</v>
      </c>
      <c r="DD3119" s="5" t="s">
        <v>240</v>
      </c>
      <c r="DE3119" s="5" t="s">
        <v>240</v>
      </c>
      <c r="DF3119" s="5" t="s">
        <v>240</v>
      </c>
      <c r="DG3119" s="7">
        <f>0</f>
        <v>0</v>
      </c>
      <c r="DI3119" s="5" t="s">
        <v>240</v>
      </c>
      <c r="DJ3119" s="5" t="s">
        <v>240</v>
      </c>
      <c r="DK3119" s="5" t="s">
        <v>240</v>
      </c>
      <c r="DL3119" s="5" t="s">
        <v>240</v>
      </c>
      <c r="DM3119" s="5" t="s">
        <v>240</v>
      </c>
      <c r="DN3119" s="5" t="s">
        <v>240</v>
      </c>
      <c r="DO3119" s="7" t="s">
        <v>240</v>
      </c>
      <c r="DP3119" s="5" t="s">
        <v>240</v>
      </c>
      <c r="DQ3119" s="5" t="s">
        <v>240</v>
      </c>
      <c r="DR3119" s="5" t="s">
        <v>731</v>
      </c>
      <c r="DS3119" s="5" t="s">
        <v>731</v>
      </c>
      <c r="DT3119" s="5" t="s">
        <v>240</v>
      </c>
      <c r="DU3119" s="5" t="s">
        <v>240</v>
      </c>
      <c r="DV3119" s="5" t="s">
        <v>3683</v>
      </c>
      <c r="DW3119" s="5" t="s">
        <v>526</v>
      </c>
      <c r="DX3119" s="5" t="s">
        <v>240</v>
      </c>
      <c r="DY3119" s="5" t="s">
        <v>240</v>
      </c>
      <c r="DZ3119" s="5" t="s">
        <v>240</v>
      </c>
      <c r="EA3119" s="5" t="s">
        <v>240</v>
      </c>
      <c r="EB3119" s="5" t="s">
        <v>240</v>
      </c>
      <c r="EC3119" s="5" t="s">
        <v>240</v>
      </c>
      <c r="ED3119" s="5" t="s">
        <v>240</v>
      </c>
      <c r="EE3119" s="5" t="s">
        <v>240</v>
      </c>
      <c r="EF3119" s="5" t="s">
        <v>240</v>
      </c>
      <c r="EG3119" s="5" t="s">
        <v>240</v>
      </c>
      <c r="EH3119" s="5" t="s">
        <v>240</v>
      </c>
      <c r="EI3119" s="5" t="s">
        <v>240</v>
      </c>
      <c r="EJ3119" s="5" t="s">
        <v>240</v>
      </c>
      <c r="EK3119" s="5" t="s">
        <v>240</v>
      </c>
      <c r="EL3119" s="5" t="s">
        <v>240</v>
      </c>
      <c r="EM3119" s="5" t="s">
        <v>240</v>
      </c>
      <c r="EN3119" s="5" t="s">
        <v>240</v>
      </c>
      <c r="EO3119" s="5" t="s">
        <v>240</v>
      </c>
      <c r="EP3119" s="5" t="s">
        <v>240</v>
      </c>
      <c r="EQ3119" s="5" t="s">
        <v>240</v>
      </c>
      <c r="ER3119" s="5" t="s">
        <v>240</v>
      </c>
      <c r="ES3119" s="5" t="s">
        <v>240</v>
      </c>
      <c r="ET3119" s="5" t="s">
        <v>240</v>
      </c>
      <c r="EU3119" s="5" t="s">
        <v>240</v>
      </c>
      <c r="EV3119" s="5" t="s">
        <v>240</v>
      </c>
      <c r="EW3119" s="5" t="s">
        <v>240</v>
      </c>
      <c r="EX3119" s="5" t="s">
        <v>240</v>
      </c>
      <c r="EY3119" s="5" t="s">
        <v>240</v>
      </c>
      <c r="EZ3119" s="5" t="s">
        <v>240</v>
      </c>
      <c r="FA3119" s="5" t="s">
        <v>240</v>
      </c>
      <c r="FB3119" s="5" t="s">
        <v>240</v>
      </c>
      <c r="FC3119" s="5" t="s">
        <v>240</v>
      </c>
      <c r="FD3119" s="5" t="s">
        <v>240</v>
      </c>
      <c r="FE3119" s="5" t="s">
        <v>240</v>
      </c>
      <c r="FF3119" s="5" t="s">
        <v>240</v>
      </c>
      <c r="FG3119" s="5" t="s">
        <v>240</v>
      </c>
      <c r="FH3119" s="5" t="s">
        <v>240</v>
      </c>
      <c r="FI3119" s="5" t="s">
        <v>240</v>
      </c>
      <c r="FJ3119" s="5" t="s">
        <v>240</v>
      </c>
      <c r="FK3119" s="5" t="s">
        <v>240</v>
      </c>
      <c r="FL3119" s="5" t="s">
        <v>240</v>
      </c>
      <c r="FM3119" s="5" t="s">
        <v>240</v>
      </c>
      <c r="FN3119" s="5" t="s">
        <v>240</v>
      </c>
      <c r="FO3119" s="5" t="s">
        <v>240</v>
      </c>
      <c r="FP3119" s="5" t="s">
        <v>240</v>
      </c>
      <c r="FQ3119" s="5" t="s">
        <v>240</v>
      </c>
      <c r="FR3119" s="5" t="s">
        <v>240</v>
      </c>
      <c r="FS3119" s="5" t="s">
        <v>240</v>
      </c>
      <c r="FT3119" s="5" t="s">
        <v>240</v>
      </c>
      <c r="FU3119" s="5" t="s">
        <v>240</v>
      </c>
      <c r="FV3119" s="5" t="s">
        <v>240</v>
      </c>
      <c r="FW3119" s="5" t="s">
        <v>240</v>
      </c>
      <c r="FX3119" s="5" t="s">
        <v>240</v>
      </c>
      <c r="FY3119" s="5" t="s">
        <v>240</v>
      </c>
      <c r="FZ3119" s="5" t="s">
        <v>240</v>
      </c>
      <c r="GA3119" s="5" t="s">
        <v>240</v>
      </c>
      <c r="GB3119" s="5" t="s">
        <v>240</v>
      </c>
      <c r="GC3119" s="5" t="s">
        <v>240</v>
      </c>
      <c r="GD3119" s="5" t="s">
        <v>240</v>
      </c>
      <c r="GE3119" s="5" t="s">
        <v>240</v>
      </c>
      <c r="GF3119" s="5" t="s">
        <v>240</v>
      </c>
      <c r="GG3119" s="5" t="s">
        <v>240</v>
      </c>
      <c r="GH3119" s="5" t="s">
        <v>240</v>
      </c>
      <c r="GI3119" s="5" t="s">
        <v>240</v>
      </c>
      <c r="GJ3119" s="5" t="s">
        <v>240</v>
      </c>
      <c r="GK3119" s="5" t="s">
        <v>240</v>
      </c>
      <c r="GL3119" s="5" t="s">
        <v>240</v>
      </c>
      <c r="GM3119" s="5" t="s">
        <v>240</v>
      </c>
      <c r="GN3119" s="5" t="s">
        <v>240</v>
      </c>
      <c r="GO3119" s="5" t="s">
        <v>240</v>
      </c>
      <c r="GP3119" s="5" t="s">
        <v>240</v>
      </c>
      <c r="GQ3119" s="5" t="s">
        <v>240</v>
      </c>
      <c r="GR3119" s="5" t="s">
        <v>240</v>
      </c>
      <c r="GS3119" s="5" t="s">
        <v>240</v>
      </c>
      <c r="GT3119" s="5" t="s">
        <v>240</v>
      </c>
      <c r="GU3119" s="5" t="s">
        <v>240</v>
      </c>
      <c r="GV3119" s="5" t="s">
        <v>240</v>
      </c>
      <c r="GW3119" s="5" t="s">
        <v>240</v>
      </c>
      <c r="GX3119" s="5" t="s">
        <v>240</v>
      </c>
      <c r="GY3119" s="5" t="s">
        <v>240</v>
      </c>
      <c r="GZ3119" s="5" t="s">
        <v>240</v>
      </c>
      <c r="HA3119" s="5" t="s">
        <v>240</v>
      </c>
      <c r="HB3119" s="5" t="s">
        <v>240</v>
      </c>
      <c r="HC3119" s="5" t="s">
        <v>240</v>
      </c>
      <c r="HD3119" s="5" t="s">
        <v>240</v>
      </c>
      <c r="HE3119" s="5" t="s">
        <v>240</v>
      </c>
      <c r="HF3119" s="5" t="s">
        <v>240</v>
      </c>
      <c r="HG3119" s="5" t="s">
        <v>240</v>
      </c>
      <c r="HH3119" s="5" t="s">
        <v>240</v>
      </c>
      <c r="HI3119" s="5" t="s">
        <v>240</v>
      </c>
      <c r="HJ3119" s="5" t="s">
        <v>240</v>
      </c>
      <c r="HK3119" s="5" t="s">
        <v>240</v>
      </c>
      <c r="HL3119" s="5" t="s">
        <v>240</v>
      </c>
      <c r="HM3119" s="5" t="s">
        <v>240</v>
      </c>
      <c r="HN3119" s="5" t="s">
        <v>240</v>
      </c>
      <c r="HO3119" s="5" t="s">
        <v>312</v>
      </c>
      <c r="HP3119" s="5" t="s">
        <v>240</v>
      </c>
      <c r="HQ3119" s="5" t="s">
        <v>240</v>
      </c>
      <c r="HR3119" s="5" t="s">
        <v>240</v>
      </c>
      <c r="HS3119" s="5" t="s">
        <v>240</v>
      </c>
      <c r="HT3119" s="5" t="s">
        <v>240</v>
      </c>
      <c r="HU3119" s="5" t="s">
        <v>240</v>
      </c>
      <c r="HV3119" s="5" t="s">
        <v>240</v>
      </c>
      <c r="HW3119" s="5" t="s">
        <v>240</v>
      </c>
      <c r="HX3119" s="5" t="s">
        <v>240</v>
      </c>
      <c r="HY3119" s="5" t="s">
        <v>240</v>
      </c>
      <c r="HZ3119" s="5" t="s">
        <v>240</v>
      </c>
      <c r="IA3119" s="5" t="s">
        <v>240</v>
      </c>
      <c r="IB3119" s="5" t="s">
        <v>240</v>
      </c>
      <c r="IC3119" s="5" t="s">
        <v>240</v>
      </c>
      <c r="ID3119" s="5" t="s">
        <v>240</v>
      </c>
      <c r="IE3119" s="5" t="s">
        <v>240</v>
      </c>
      <c r="IF3119" s="5" t="s">
        <v>240</v>
      </c>
    </row>
    <row r="3120" spans="1:240" x14ac:dyDescent="0.4">
      <c r="A3120" s="5">
        <v>4824</v>
      </c>
      <c r="B3120" s="5">
        <v>1</v>
      </c>
      <c r="C3120" s="5">
        <v>1</v>
      </c>
      <c r="D3120" s="5" t="s">
        <v>810</v>
      </c>
      <c r="E3120" s="5" t="s">
        <v>245</v>
      </c>
      <c r="F3120" s="5" t="s">
        <v>254</v>
      </c>
      <c r="G3120" s="5" t="s">
        <v>240</v>
      </c>
      <c r="H3120" s="6" t="s">
        <v>2309</v>
      </c>
      <c r="I3120" s="5" t="s">
        <v>809</v>
      </c>
      <c r="J3120" s="8">
        <f>867</f>
        <v>867</v>
      </c>
      <c r="K3120" s="5" t="s">
        <v>308</v>
      </c>
      <c r="L3120" s="7">
        <f>1</f>
        <v>1</v>
      </c>
      <c r="M3120" s="7">
        <f>1</f>
        <v>1</v>
      </c>
      <c r="N3120" s="5" t="s">
        <v>242</v>
      </c>
      <c r="O3120" s="5">
        <v>1</v>
      </c>
      <c r="P3120" s="5" t="s">
        <v>294</v>
      </c>
      <c r="Q3120" s="5" t="s">
        <v>3678</v>
      </c>
      <c r="R3120" s="5" t="s">
        <v>240</v>
      </c>
      <c r="S3120" s="5" t="s">
        <v>240</v>
      </c>
      <c r="T3120" s="5" t="s">
        <v>243</v>
      </c>
      <c r="U3120" s="5" t="s">
        <v>244</v>
      </c>
      <c r="V3120" s="5" t="s">
        <v>240</v>
      </c>
      <c r="W3120" s="5" t="s">
        <v>240</v>
      </c>
      <c r="X3120" s="5" t="s">
        <v>240</v>
      </c>
      <c r="Y3120" s="5" t="s">
        <v>240</v>
      </c>
      <c r="Z3120" s="6" t="s">
        <v>298</v>
      </c>
      <c r="AA3120" s="6" t="s">
        <v>240</v>
      </c>
      <c r="AB3120" s="6" t="s">
        <v>240</v>
      </c>
      <c r="AC3120" s="5" t="s">
        <v>240</v>
      </c>
      <c r="AD3120" s="6" t="s">
        <v>240</v>
      </c>
      <c r="AE3120" s="6" t="s">
        <v>299</v>
      </c>
      <c r="AF3120" s="5" t="s">
        <v>248</v>
      </c>
      <c r="AG3120" s="5" t="s">
        <v>249</v>
      </c>
      <c r="AH3120" s="5" t="s">
        <v>240</v>
      </c>
      <c r="AI3120" s="5" t="s">
        <v>240</v>
      </c>
      <c r="AJ3120" s="5" t="s">
        <v>240</v>
      </c>
      <c r="AK3120" s="5" t="s">
        <v>240</v>
      </c>
      <c r="AL3120" s="5" t="s">
        <v>240</v>
      </c>
      <c r="AM3120" s="5" t="s">
        <v>240</v>
      </c>
      <c r="AN3120" s="5" t="s">
        <v>240</v>
      </c>
      <c r="AO3120" s="5" t="s">
        <v>240</v>
      </c>
      <c r="AP3120" s="6" t="s">
        <v>240</v>
      </c>
      <c r="AQ3120" s="6" t="s">
        <v>240</v>
      </c>
      <c r="AR3120" s="6" t="s">
        <v>240</v>
      </c>
      <c r="AS3120" s="6" t="s">
        <v>240</v>
      </c>
      <c r="AT3120" s="5" t="s">
        <v>240</v>
      </c>
      <c r="AU3120" s="5" t="s">
        <v>729</v>
      </c>
      <c r="AV3120" s="5" t="s">
        <v>729</v>
      </c>
      <c r="AW3120" s="5" t="s">
        <v>251</v>
      </c>
      <c r="AX3120" s="5" t="s">
        <v>252</v>
      </c>
      <c r="AY3120" s="5" t="s">
        <v>253</v>
      </c>
      <c r="AZ3120" s="5" t="s">
        <v>240</v>
      </c>
      <c r="BA3120" s="5" t="s">
        <v>255</v>
      </c>
      <c r="BB3120" s="5" t="s">
        <v>731</v>
      </c>
      <c r="BD3120" s="5" t="s">
        <v>240</v>
      </c>
      <c r="BF3120" s="5" t="s">
        <v>732</v>
      </c>
      <c r="BG3120" s="6" t="s">
        <v>733</v>
      </c>
      <c r="BH3120" s="5" t="s">
        <v>734</v>
      </c>
      <c r="BI3120" s="5" t="s">
        <v>734</v>
      </c>
      <c r="BJ3120" s="5" t="s">
        <v>240</v>
      </c>
      <c r="BK3120" s="7">
        <f>1</f>
        <v>1</v>
      </c>
      <c r="BL3120" s="7">
        <f>1</f>
        <v>1</v>
      </c>
      <c r="BM3120" s="5" t="s">
        <v>258</v>
      </c>
      <c r="BN3120" s="5" t="s">
        <v>259</v>
      </c>
      <c r="BO3120" s="5" t="s">
        <v>240</v>
      </c>
      <c r="BP3120" s="5" t="s">
        <v>240</v>
      </c>
      <c r="BQ3120" s="5" t="s">
        <v>240</v>
      </c>
      <c r="BR3120" s="5" t="s">
        <v>240</v>
      </c>
      <c r="BS3120" s="5" t="s">
        <v>240</v>
      </c>
      <c r="BT3120" s="5" t="s">
        <v>240</v>
      </c>
      <c r="BU3120" s="5" t="s">
        <v>240</v>
      </c>
      <c r="BV3120" s="5" t="s">
        <v>240</v>
      </c>
      <c r="BW3120" s="6" t="s">
        <v>240</v>
      </c>
      <c r="BX3120" s="5" t="s">
        <v>240</v>
      </c>
      <c r="BY3120" s="5" t="s">
        <v>240</v>
      </c>
      <c r="BZ3120" s="5" t="s">
        <v>240</v>
      </c>
      <c r="CA3120" s="5" t="s">
        <v>259</v>
      </c>
      <c r="CB3120" s="5" t="s">
        <v>240</v>
      </c>
      <c r="CC3120" s="5" t="s">
        <v>240</v>
      </c>
      <c r="CD3120" s="5" t="s">
        <v>240</v>
      </c>
      <c r="CE3120" s="5" t="s">
        <v>240</v>
      </c>
      <c r="CF3120" s="5" t="s">
        <v>240</v>
      </c>
      <c r="CG3120" s="5" t="s">
        <v>304</v>
      </c>
      <c r="CH3120" s="5" t="s">
        <v>305</v>
      </c>
      <c r="CI3120" s="5" t="s">
        <v>240</v>
      </c>
      <c r="CK3120" s="5" t="s">
        <v>3681</v>
      </c>
      <c r="CL3120" s="6" t="s">
        <v>261</v>
      </c>
      <c r="CM3120" s="5" t="s">
        <v>262</v>
      </c>
      <c r="CN3120" s="5" t="s">
        <v>263</v>
      </c>
      <c r="CO3120" s="5" t="s">
        <v>264</v>
      </c>
      <c r="CP3120" s="5" t="s">
        <v>240</v>
      </c>
      <c r="CQ3120" s="5">
        <v>0</v>
      </c>
      <c r="CR3120" s="5" t="s">
        <v>735</v>
      </c>
      <c r="CS3120" s="5" t="s">
        <v>307</v>
      </c>
      <c r="CT3120" s="5" t="s">
        <v>307</v>
      </c>
      <c r="CU3120" s="5" t="s">
        <v>260</v>
      </c>
      <c r="CV3120" s="5" t="s">
        <v>612</v>
      </c>
      <c r="CW3120" s="8">
        <f>1</f>
        <v>1</v>
      </c>
      <c r="CX3120" s="7">
        <f>1</f>
        <v>1</v>
      </c>
      <c r="CY3120" s="7">
        <f>0</f>
        <v>0</v>
      </c>
      <c r="DA3120" s="7">
        <f>1</f>
        <v>1</v>
      </c>
      <c r="DB3120" s="7" t="s">
        <v>240</v>
      </c>
      <c r="DC3120" s="5" t="s">
        <v>240</v>
      </c>
      <c r="DD3120" s="5" t="s">
        <v>240</v>
      </c>
      <c r="DE3120" s="5" t="s">
        <v>240</v>
      </c>
      <c r="DF3120" s="5" t="s">
        <v>240</v>
      </c>
      <c r="DG3120" s="7">
        <f>0</f>
        <v>0</v>
      </c>
      <c r="DI3120" s="5" t="s">
        <v>240</v>
      </c>
      <c r="DJ3120" s="5" t="s">
        <v>240</v>
      </c>
      <c r="DK3120" s="5" t="s">
        <v>240</v>
      </c>
      <c r="DL3120" s="5" t="s">
        <v>240</v>
      </c>
      <c r="DM3120" s="5" t="s">
        <v>240</v>
      </c>
      <c r="DN3120" s="5" t="s">
        <v>240</v>
      </c>
      <c r="DO3120" s="7" t="s">
        <v>240</v>
      </c>
      <c r="DP3120" s="5" t="s">
        <v>240</v>
      </c>
      <c r="DQ3120" s="5" t="s">
        <v>240</v>
      </c>
      <c r="DR3120" s="5" t="s">
        <v>731</v>
      </c>
      <c r="DS3120" s="5" t="s">
        <v>731</v>
      </c>
      <c r="DT3120" s="5" t="s">
        <v>240</v>
      </c>
      <c r="DU3120" s="5" t="s">
        <v>240</v>
      </c>
      <c r="DV3120" s="5" t="s">
        <v>3683</v>
      </c>
      <c r="DW3120" s="5" t="s">
        <v>1219</v>
      </c>
      <c r="DX3120" s="5" t="s">
        <v>240</v>
      </c>
      <c r="DY3120" s="5" t="s">
        <v>240</v>
      </c>
      <c r="DZ3120" s="5" t="s">
        <v>240</v>
      </c>
      <c r="EA3120" s="5" t="s">
        <v>240</v>
      </c>
      <c r="EB3120" s="5" t="s">
        <v>240</v>
      </c>
      <c r="EC3120" s="5" t="s">
        <v>240</v>
      </c>
      <c r="ED3120" s="5" t="s">
        <v>240</v>
      </c>
      <c r="EE3120" s="5" t="s">
        <v>240</v>
      </c>
      <c r="EF3120" s="5" t="s">
        <v>240</v>
      </c>
      <c r="EG3120" s="5" t="s">
        <v>240</v>
      </c>
      <c r="EH3120" s="5" t="s">
        <v>240</v>
      </c>
      <c r="EI3120" s="5" t="s">
        <v>240</v>
      </c>
      <c r="EJ3120" s="5" t="s">
        <v>240</v>
      </c>
      <c r="EK3120" s="5" t="s">
        <v>240</v>
      </c>
      <c r="EL3120" s="5" t="s">
        <v>240</v>
      </c>
      <c r="EM3120" s="5" t="s">
        <v>240</v>
      </c>
      <c r="EN3120" s="5" t="s">
        <v>240</v>
      </c>
      <c r="EO3120" s="5" t="s">
        <v>240</v>
      </c>
      <c r="EP3120" s="5" t="s">
        <v>240</v>
      </c>
      <c r="EQ3120" s="5" t="s">
        <v>240</v>
      </c>
      <c r="ER3120" s="5" t="s">
        <v>240</v>
      </c>
      <c r="ES3120" s="5" t="s">
        <v>240</v>
      </c>
      <c r="ET3120" s="5" t="s">
        <v>240</v>
      </c>
      <c r="EU3120" s="5" t="s">
        <v>240</v>
      </c>
      <c r="EV3120" s="5" t="s">
        <v>240</v>
      </c>
      <c r="EW3120" s="5" t="s">
        <v>240</v>
      </c>
      <c r="EX3120" s="5" t="s">
        <v>240</v>
      </c>
      <c r="EY3120" s="5" t="s">
        <v>240</v>
      </c>
      <c r="EZ3120" s="5" t="s">
        <v>240</v>
      </c>
      <c r="FA3120" s="5" t="s">
        <v>240</v>
      </c>
      <c r="FB3120" s="5" t="s">
        <v>240</v>
      </c>
      <c r="FC3120" s="5" t="s">
        <v>240</v>
      </c>
      <c r="FD3120" s="5" t="s">
        <v>240</v>
      </c>
      <c r="FE3120" s="5" t="s">
        <v>240</v>
      </c>
      <c r="FF3120" s="5" t="s">
        <v>240</v>
      </c>
      <c r="FG3120" s="5" t="s">
        <v>240</v>
      </c>
      <c r="FH3120" s="5" t="s">
        <v>240</v>
      </c>
      <c r="FI3120" s="5" t="s">
        <v>240</v>
      </c>
      <c r="FJ3120" s="5" t="s">
        <v>240</v>
      </c>
      <c r="FK3120" s="5" t="s">
        <v>240</v>
      </c>
      <c r="FL3120" s="5" t="s">
        <v>240</v>
      </c>
      <c r="FM3120" s="5" t="s">
        <v>240</v>
      </c>
      <c r="FN3120" s="5" t="s">
        <v>240</v>
      </c>
      <c r="FO3120" s="5" t="s">
        <v>240</v>
      </c>
      <c r="FP3120" s="5" t="s">
        <v>240</v>
      </c>
      <c r="FQ3120" s="5" t="s">
        <v>240</v>
      </c>
      <c r="FR3120" s="5" t="s">
        <v>240</v>
      </c>
      <c r="FS3120" s="5" t="s">
        <v>240</v>
      </c>
      <c r="FT3120" s="5" t="s">
        <v>240</v>
      </c>
      <c r="FU3120" s="5" t="s">
        <v>240</v>
      </c>
      <c r="FV3120" s="5" t="s">
        <v>240</v>
      </c>
      <c r="FW3120" s="5" t="s">
        <v>240</v>
      </c>
      <c r="FX3120" s="5" t="s">
        <v>240</v>
      </c>
      <c r="FY3120" s="5" t="s">
        <v>240</v>
      </c>
      <c r="FZ3120" s="5" t="s">
        <v>240</v>
      </c>
      <c r="GA3120" s="5" t="s">
        <v>240</v>
      </c>
      <c r="GB3120" s="5" t="s">
        <v>240</v>
      </c>
      <c r="GC3120" s="5" t="s">
        <v>240</v>
      </c>
      <c r="GD3120" s="5" t="s">
        <v>240</v>
      </c>
      <c r="GE3120" s="5" t="s">
        <v>240</v>
      </c>
      <c r="GF3120" s="5" t="s">
        <v>240</v>
      </c>
      <c r="GG3120" s="5" t="s">
        <v>240</v>
      </c>
      <c r="GH3120" s="5" t="s">
        <v>240</v>
      </c>
      <c r="GI3120" s="5" t="s">
        <v>240</v>
      </c>
      <c r="GJ3120" s="5" t="s">
        <v>240</v>
      </c>
      <c r="GK3120" s="5" t="s">
        <v>240</v>
      </c>
      <c r="GL3120" s="5" t="s">
        <v>240</v>
      </c>
      <c r="GM3120" s="5" t="s">
        <v>240</v>
      </c>
      <c r="GN3120" s="5" t="s">
        <v>240</v>
      </c>
      <c r="GO3120" s="5" t="s">
        <v>240</v>
      </c>
      <c r="GP3120" s="5" t="s">
        <v>240</v>
      </c>
      <c r="GQ3120" s="5" t="s">
        <v>240</v>
      </c>
      <c r="GR3120" s="5" t="s">
        <v>240</v>
      </c>
      <c r="GS3120" s="5" t="s">
        <v>240</v>
      </c>
      <c r="GT3120" s="5" t="s">
        <v>240</v>
      </c>
      <c r="GU3120" s="5" t="s">
        <v>240</v>
      </c>
      <c r="GV3120" s="5" t="s">
        <v>240</v>
      </c>
      <c r="GW3120" s="5" t="s">
        <v>240</v>
      </c>
      <c r="GX3120" s="5" t="s">
        <v>240</v>
      </c>
      <c r="GY3120" s="5" t="s">
        <v>240</v>
      </c>
      <c r="GZ3120" s="5" t="s">
        <v>240</v>
      </c>
      <c r="HA3120" s="5" t="s">
        <v>240</v>
      </c>
      <c r="HB3120" s="5" t="s">
        <v>240</v>
      </c>
      <c r="HC3120" s="5" t="s">
        <v>240</v>
      </c>
      <c r="HD3120" s="5" t="s">
        <v>240</v>
      </c>
      <c r="HE3120" s="5" t="s">
        <v>240</v>
      </c>
      <c r="HF3120" s="5" t="s">
        <v>240</v>
      </c>
      <c r="HG3120" s="5" t="s">
        <v>240</v>
      </c>
      <c r="HH3120" s="5" t="s">
        <v>240</v>
      </c>
      <c r="HI3120" s="5" t="s">
        <v>240</v>
      </c>
      <c r="HJ3120" s="5" t="s">
        <v>240</v>
      </c>
      <c r="HK3120" s="5" t="s">
        <v>240</v>
      </c>
      <c r="HL3120" s="5" t="s">
        <v>240</v>
      </c>
      <c r="HM3120" s="5" t="s">
        <v>240</v>
      </c>
      <c r="HN3120" s="5" t="s">
        <v>240</v>
      </c>
      <c r="HO3120" s="5" t="s">
        <v>312</v>
      </c>
      <c r="HP3120" s="5" t="s">
        <v>240</v>
      </c>
      <c r="HQ3120" s="5" t="s">
        <v>240</v>
      </c>
      <c r="HR3120" s="5" t="s">
        <v>240</v>
      </c>
      <c r="HS3120" s="5" t="s">
        <v>240</v>
      </c>
      <c r="HT3120" s="5" t="s">
        <v>240</v>
      </c>
      <c r="HU3120" s="5" t="s">
        <v>240</v>
      </c>
      <c r="HV3120" s="5" t="s">
        <v>240</v>
      </c>
      <c r="HW3120" s="5" t="s">
        <v>240</v>
      </c>
      <c r="HX3120" s="5" t="s">
        <v>240</v>
      </c>
      <c r="HY3120" s="5" t="s">
        <v>240</v>
      </c>
      <c r="HZ3120" s="5" t="s">
        <v>240</v>
      </c>
      <c r="IA3120" s="5" t="s">
        <v>240</v>
      </c>
      <c r="IB3120" s="5" t="s">
        <v>240</v>
      </c>
      <c r="IC3120" s="5" t="s">
        <v>240</v>
      </c>
      <c r="ID3120" s="5" t="s">
        <v>240</v>
      </c>
      <c r="IE3120" s="5" t="s">
        <v>240</v>
      </c>
      <c r="IF3120" s="5" t="s">
        <v>240</v>
      </c>
    </row>
    <row r="3121" spans="1:240" x14ac:dyDescent="0.4">
      <c r="A3121" s="5">
        <v>4825</v>
      </c>
      <c r="B3121" s="5">
        <v>1</v>
      </c>
      <c r="C3121" s="5">
        <v>1</v>
      </c>
      <c r="D3121" s="5" t="s">
        <v>810</v>
      </c>
      <c r="E3121" s="5" t="s">
        <v>245</v>
      </c>
      <c r="F3121" s="5" t="s">
        <v>254</v>
      </c>
      <c r="G3121" s="5" t="s">
        <v>240</v>
      </c>
      <c r="H3121" s="6" t="s">
        <v>2307</v>
      </c>
      <c r="I3121" s="5" t="s">
        <v>809</v>
      </c>
      <c r="J3121" s="8">
        <f>2242</f>
        <v>2242</v>
      </c>
      <c r="K3121" s="5" t="s">
        <v>308</v>
      </c>
      <c r="L3121" s="7">
        <f>1</f>
        <v>1</v>
      </c>
      <c r="M3121" s="7">
        <f>1</f>
        <v>1</v>
      </c>
      <c r="N3121" s="5" t="s">
        <v>242</v>
      </c>
      <c r="O3121" s="5">
        <v>1</v>
      </c>
      <c r="P3121" s="5" t="s">
        <v>294</v>
      </c>
      <c r="Q3121" s="5" t="s">
        <v>3678</v>
      </c>
      <c r="R3121" s="5" t="s">
        <v>240</v>
      </c>
      <c r="S3121" s="5" t="s">
        <v>240</v>
      </c>
      <c r="T3121" s="5" t="s">
        <v>243</v>
      </c>
      <c r="U3121" s="5" t="s">
        <v>244</v>
      </c>
      <c r="V3121" s="5" t="s">
        <v>240</v>
      </c>
      <c r="W3121" s="5" t="s">
        <v>240</v>
      </c>
      <c r="X3121" s="5" t="s">
        <v>240</v>
      </c>
      <c r="Y3121" s="5" t="s">
        <v>240</v>
      </c>
      <c r="Z3121" s="6" t="s">
        <v>298</v>
      </c>
      <c r="AA3121" s="6" t="s">
        <v>240</v>
      </c>
      <c r="AB3121" s="6" t="s">
        <v>240</v>
      </c>
      <c r="AC3121" s="5" t="s">
        <v>240</v>
      </c>
      <c r="AD3121" s="6" t="s">
        <v>240</v>
      </c>
      <c r="AE3121" s="6" t="s">
        <v>299</v>
      </c>
      <c r="AF3121" s="5" t="s">
        <v>248</v>
      </c>
      <c r="AG3121" s="5" t="s">
        <v>249</v>
      </c>
      <c r="AH3121" s="5" t="s">
        <v>240</v>
      </c>
      <c r="AI3121" s="5" t="s">
        <v>240</v>
      </c>
      <c r="AJ3121" s="5" t="s">
        <v>240</v>
      </c>
      <c r="AK3121" s="5" t="s">
        <v>240</v>
      </c>
      <c r="AL3121" s="5" t="s">
        <v>240</v>
      </c>
      <c r="AM3121" s="5" t="s">
        <v>240</v>
      </c>
      <c r="AN3121" s="5" t="s">
        <v>240</v>
      </c>
      <c r="AO3121" s="5" t="s">
        <v>240</v>
      </c>
      <c r="AP3121" s="6" t="s">
        <v>240</v>
      </c>
      <c r="AQ3121" s="6" t="s">
        <v>240</v>
      </c>
      <c r="AR3121" s="6" t="s">
        <v>240</v>
      </c>
      <c r="AS3121" s="6" t="s">
        <v>240</v>
      </c>
      <c r="AT3121" s="5" t="s">
        <v>240</v>
      </c>
      <c r="AU3121" s="5" t="s">
        <v>729</v>
      </c>
      <c r="AV3121" s="5" t="s">
        <v>729</v>
      </c>
      <c r="AW3121" s="5" t="s">
        <v>251</v>
      </c>
      <c r="AX3121" s="5" t="s">
        <v>252</v>
      </c>
      <c r="AY3121" s="5" t="s">
        <v>253</v>
      </c>
      <c r="AZ3121" s="5" t="s">
        <v>240</v>
      </c>
      <c r="BA3121" s="5" t="s">
        <v>255</v>
      </c>
      <c r="BB3121" s="5" t="s">
        <v>731</v>
      </c>
      <c r="BD3121" s="5" t="s">
        <v>240</v>
      </c>
      <c r="BF3121" s="5" t="s">
        <v>732</v>
      </c>
      <c r="BG3121" s="6" t="s">
        <v>733</v>
      </c>
      <c r="BH3121" s="5" t="s">
        <v>734</v>
      </c>
      <c r="BI3121" s="5" t="s">
        <v>734</v>
      </c>
      <c r="BJ3121" s="5" t="s">
        <v>240</v>
      </c>
      <c r="BK3121" s="7">
        <f>1</f>
        <v>1</v>
      </c>
      <c r="BL3121" s="7">
        <f>1</f>
        <v>1</v>
      </c>
      <c r="BM3121" s="5" t="s">
        <v>258</v>
      </c>
      <c r="BN3121" s="5" t="s">
        <v>259</v>
      </c>
      <c r="BO3121" s="5" t="s">
        <v>240</v>
      </c>
      <c r="BP3121" s="5" t="s">
        <v>240</v>
      </c>
      <c r="BQ3121" s="5" t="s">
        <v>240</v>
      </c>
      <c r="BR3121" s="5" t="s">
        <v>240</v>
      </c>
      <c r="BS3121" s="5" t="s">
        <v>240</v>
      </c>
      <c r="BT3121" s="5" t="s">
        <v>240</v>
      </c>
      <c r="BU3121" s="5" t="s">
        <v>240</v>
      </c>
      <c r="BV3121" s="5" t="s">
        <v>240</v>
      </c>
      <c r="BW3121" s="6" t="s">
        <v>240</v>
      </c>
      <c r="BX3121" s="5" t="s">
        <v>240</v>
      </c>
      <c r="BY3121" s="5" t="s">
        <v>240</v>
      </c>
      <c r="BZ3121" s="5" t="s">
        <v>240</v>
      </c>
      <c r="CA3121" s="5" t="s">
        <v>259</v>
      </c>
      <c r="CB3121" s="5" t="s">
        <v>240</v>
      </c>
      <c r="CC3121" s="5" t="s">
        <v>240</v>
      </c>
      <c r="CD3121" s="5" t="s">
        <v>240</v>
      </c>
      <c r="CE3121" s="5" t="s">
        <v>240</v>
      </c>
      <c r="CF3121" s="5" t="s">
        <v>240</v>
      </c>
      <c r="CG3121" s="5" t="s">
        <v>304</v>
      </c>
      <c r="CH3121" s="5" t="s">
        <v>305</v>
      </c>
      <c r="CI3121" s="5" t="s">
        <v>240</v>
      </c>
      <c r="CK3121" s="5" t="s">
        <v>3681</v>
      </c>
      <c r="CL3121" s="6" t="s">
        <v>261</v>
      </c>
      <c r="CM3121" s="5" t="s">
        <v>262</v>
      </c>
      <c r="CN3121" s="5" t="s">
        <v>263</v>
      </c>
      <c r="CO3121" s="5" t="s">
        <v>264</v>
      </c>
      <c r="CP3121" s="5" t="s">
        <v>240</v>
      </c>
      <c r="CQ3121" s="5">
        <v>0</v>
      </c>
      <c r="CR3121" s="5" t="s">
        <v>735</v>
      </c>
      <c r="CS3121" s="5" t="s">
        <v>307</v>
      </c>
      <c r="CT3121" s="5" t="s">
        <v>307</v>
      </c>
      <c r="CU3121" s="5" t="s">
        <v>260</v>
      </c>
      <c r="CV3121" s="5" t="s">
        <v>612</v>
      </c>
      <c r="CW3121" s="8">
        <f>1</f>
        <v>1</v>
      </c>
      <c r="CX3121" s="7">
        <f>1</f>
        <v>1</v>
      </c>
      <c r="CY3121" s="7">
        <f>0</f>
        <v>0</v>
      </c>
      <c r="DA3121" s="7">
        <f>1</f>
        <v>1</v>
      </c>
      <c r="DB3121" s="7" t="s">
        <v>240</v>
      </c>
      <c r="DC3121" s="5" t="s">
        <v>240</v>
      </c>
      <c r="DD3121" s="5" t="s">
        <v>240</v>
      </c>
      <c r="DE3121" s="5" t="s">
        <v>240</v>
      </c>
      <c r="DF3121" s="5" t="s">
        <v>240</v>
      </c>
      <c r="DG3121" s="7">
        <f>0</f>
        <v>0</v>
      </c>
      <c r="DI3121" s="5" t="s">
        <v>240</v>
      </c>
      <c r="DJ3121" s="5" t="s">
        <v>240</v>
      </c>
      <c r="DK3121" s="5" t="s">
        <v>240</v>
      </c>
      <c r="DL3121" s="5" t="s">
        <v>240</v>
      </c>
      <c r="DM3121" s="5" t="s">
        <v>240</v>
      </c>
      <c r="DN3121" s="5" t="s">
        <v>240</v>
      </c>
      <c r="DO3121" s="7" t="s">
        <v>240</v>
      </c>
      <c r="DP3121" s="5" t="s">
        <v>240</v>
      </c>
      <c r="DQ3121" s="5" t="s">
        <v>240</v>
      </c>
      <c r="DR3121" s="5" t="s">
        <v>731</v>
      </c>
      <c r="DS3121" s="5" t="s">
        <v>731</v>
      </c>
      <c r="DT3121" s="5" t="s">
        <v>240</v>
      </c>
      <c r="DU3121" s="5" t="s">
        <v>240</v>
      </c>
      <c r="DV3121" s="5" t="s">
        <v>3683</v>
      </c>
      <c r="DW3121" s="5" t="s">
        <v>518</v>
      </c>
      <c r="DX3121" s="5" t="s">
        <v>240</v>
      </c>
      <c r="DY3121" s="5" t="s">
        <v>240</v>
      </c>
      <c r="DZ3121" s="5" t="s">
        <v>240</v>
      </c>
      <c r="EA3121" s="5" t="s">
        <v>240</v>
      </c>
      <c r="EB3121" s="5" t="s">
        <v>240</v>
      </c>
      <c r="EC3121" s="5" t="s">
        <v>240</v>
      </c>
      <c r="ED3121" s="5" t="s">
        <v>240</v>
      </c>
      <c r="EE3121" s="5" t="s">
        <v>240</v>
      </c>
      <c r="EF3121" s="5" t="s">
        <v>240</v>
      </c>
      <c r="EG3121" s="5" t="s">
        <v>240</v>
      </c>
      <c r="EH3121" s="5" t="s">
        <v>240</v>
      </c>
      <c r="EI3121" s="5" t="s">
        <v>240</v>
      </c>
      <c r="EJ3121" s="5" t="s">
        <v>240</v>
      </c>
      <c r="EK3121" s="5" t="s">
        <v>240</v>
      </c>
      <c r="EL3121" s="5" t="s">
        <v>240</v>
      </c>
      <c r="EM3121" s="5" t="s">
        <v>240</v>
      </c>
      <c r="EN3121" s="5" t="s">
        <v>240</v>
      </c>
      <c r="EO3121" s="5" t="s">
        <v>240</v>
      </c>
      <c r="EP3121" s="5" t="s">
        <v>240</v>
      </c>
      <c r="EQ3121" s="5" t="s">
        <v>240</v>
      </c>
      <c r="ER3121" s="5" t="s">
        <v>240</v>
      </c>
      <c r="ES3121" s="5" t="s">
        <v>240</v>
      </c>
      <c r="ET3121" s="5" t="s">
        <v>240</v>
      </c>
      <c r="EU3121" s="5" t="s">
        <v>240</v>
      </c>
      <c r="EV3121" s="5" t="s">
        <v>240</v>
      </c>
      <c r="EW3121" s="5" t="s">
        <v>240</v>
      </c>
      <c r="EX3121" s="5" t="s">
        <v>240</v>
      </c>
      <c r="EY3121" s="5" t="s">
        <v>240</v>
      </c>
      <c r="EZ3121" s="5" t="s">
        <v>240</v>
      </c>
      <c r="FA3121" s="5" t="s">
        <v>240</v>
      </c>
      <c r="FB3121" s="5" t="s">
        <v>240</v>
      </c>
      <c r="FC3121" s="5" t="s">
        <v>240</v>
      </c>
      <c r="FD3121" s="5" t="s">
        <v>240</v>
      </c>
      <c r="FE3121" s="5" t="s">
        <v>240</v>
      </c>
      <c r="FF3121" s="5" t="s">
        <v>240</v>
      </c>
      <c r="FG3121" s="5" t="s">
        <v>240</v>
      </c>
      <c r="FH3121" s="5" t="s">
        <v>240</v>
      </c>
      <c r="FI3121" s="5" t="s">
        <v>240</v>
      </c>
      <c r="FJ3121" s="5" t="s">
        <v>240</v>
      </c>
      <c r="FK3121" s="5" t="s">
        <v>240</v>
      </c>
      <c r="FL3121" s="5" t="s">
        <v>240</v>
      </c>
      <c r="FM3121" s="5" t="s">
        <v>240</v>
      </c>
      <c r="FN3121" s="5" t="s">
        <v>240</v>
      </c>
      <c r="FO3121" s="5" t="s">
        <v>240</v>
      </c>
      <c r="FP3121" s="5" t="s">
        <v>240</v>
      </c>
      <c r="FQ3121" s="5" t="s">
        <v>240</v>
      </c>
      <c r="FR3121" s="5" t="s">
        <v>240</v>
      </c>
      <c r="FS3121" s="5" t="s">
        <v>240</v>
      </c>
      <c r="FT3121" s="5" t="s">
        <v>240</v>
      </c>
      <c r="FU3121" s="5" t="s">
        <v>240</v>
      </c>
      <c r="FV3121" s="5" t="s">
        <v>240</v>
      </c>
      <c r="FW3121" s="5" t="s">
        <v>240</v>
      </c>
      <c r="FX3121" s="5" t="s">
        <v>240</v>
      </c>
      <c r="FY3121" s="5" t="s">
        <v>240</v>
      </c>
      <c r="FZ3121" s="5" t="s">
        <v>240</v>
      </c>
      <c r="GA3121" s="5" t="s">
        <v>240</v>
      </c>
      <c r="GB3121" s="5" t="s">
        <v>240</v>
      </c>
      <c r="GC3121" s="5" t="s">
        <v>240</v>
      </c>
      <c r="GD3121" s="5" t="s">
        <v>240</v>
      </c>
      <c r="GE3121" s="5" t="s">
        <v>240</v>
      </c>
      <c r="GF3121" s="5" t="s">
        <v>240</v>
      </c>
      <c r="GG3121" s="5" t="s">
        <v>240</v>
      </c>
      <c r="GH3121" s="5" t="s">
        <v>240</v>
      </c>
      <c r="GI3121" s="5" t="s">
        <v>240</v>
      </c>
      <c r="GJ3121" s="5" t="s">
        <v>240</v>
      </c>
      <c r="GK3121" s="5" t="s">
        <v>240</v>
      </c>
      <c r="GL3121" s="5" t="s">
        <v>240</v>
      </c>
      <c r="GM3121" s="5" t="s">
        <v>240</v>
      </c>
      <c r="GN3121" s="5" t="s">
        <v>240</v>
      </c>
      <c r="GO3121" s="5" t="s">
        <v>240</v>
      </c>
      <c r="GP3121" s="5" t="s">
        <v>240</v>
      </c>
      <c r="GQ3121" s="5" t="s">
        <v>240</v>
      </c>
      <c r="GR3121" s="5" t="s">
        <v>240</v>
      </c>
      <c r="GS3121" s="5" t="s">
        <v>240</v>
      </c>
      <c r="GT3121" s="5" t="s">
        <v>240</v>
      </c>
      <c r="GU3121" s="5" t="s">
        <v>240</v>
      </c>
      <c r="GV3121" s="5" t="s">
        <v>240</v>
      </c>
      <c r="GW3121" s="5" t="s">
        <v>240</v>
      </c>
      <c r="GX3121" s="5" t="s">
        <v>240</v>
      </c>
      <c r="GY3121" s="5" t="s">
        <v>240</v>
      </c>
      <c r="GZ3121" s="5" t="s">
        <v>240</v>
      </c>
      <c r="HA3121" s="5" t="s">
        <v>240</v>
      </c>
      <c r="HB3121" s="5" t="s">
        <v>240</v>
      </c>
      <c r="HC3121" s="5" t="s">
        <v>240</v>
      </c>
      <c r="HD3121" s="5" t="s">
        <v>240</v>
      </c>
      <c r="HE3121" s="5" t="s">
        <v>240</v>
      </c>
      <c r="HF3121" s="5" t="s">
        <v>240</v>
      </c>
      <c r="HG3121" s="5" t="s">
        <v>240</v>
      </c>
      <c r="HH3121" s="5" t="s">
        <v>240</v>
      </c>
      <c r="HI3121" s="5" t="s">
        <v>240</v>
      </c>
      <c r="HJ3121" s="5" t="s">
        <v>240</v>
      </c>
      <c r="HK3121" s="5" t="s">
        <v>240</v>
      </c>
      <c r="HL3121" s="5" t="s">
        <v>240</v>
      </c>
      <c r="HM3121" s="5" t="s">
        <v>240</v>
      </c>
      <c r="HN3121" s="5" t="s">
        <v>240</v>
      </c>
      <c r="HO3121" s="5" t="s">
        <v>312</v>
      </c>
      <c r="HP3121" s="5" t="s">
        <v>240</v>
      </c>
      <c r="HQ3121" s="5" t="s">
        <v>240</v>
      </c>
      <c r="HR3121" s="5" t="s">
        <v>240</v>
      </c>
      <c r="HS3121" s="5" t="s">
        <v>240</v>
      </c>
      <c r="HT3121" s="5" t="s">
        <v>240</v>
      </c>
      <c r="HU3121" s="5" t="s">
        <v>240</v>
      </c>
      <c r="HV3121" s="5" t="s">
        <v>240</v>
      </c>
      <c r="HW3121" s="5" t="s">
        <v>240</v>
      </c>
      <c r="HX3121" s="5" t="s">
        <v>240</v>
      </c>
      <c r="HY3121" s="5" t="s">
        <v>240</v>
      </c>
      <c r="HZ3121" s="5" t="s">
        <v>240</v>
      </c>
      <c r="IA3121" s="5" t="s">
        <v>240</v>
      </c>
      <c r="IB3121" s="5" t="s">
        <v>240</v>
      </c>
      <c r="IC3121" s="5" t="s">
        <v>240</v>
      </c>
      <c r="ID3121" s="5" t="s">
        <v>240</v>
      </c>
      <c r="IE3121" s="5" t="s">
        <v>240</v>
      </c>
      <c r="IF3121" s="5" t="s">
        <v>240</v>
      </c>
    </row>
    <row r="3122" spans="1:240" x14ac:dyDescent="0.4">
      <c r="A3122" s="5">
        <v>4826</v>
      </c>
      <c r="B3122" s="5">
        <v>1</v>
      </c>
      <c r="C3122" s="5">
        <v>1</v>
      </c>
      <c r="D3122" s="5" t="s">
        <v>810</v>
      </c>
      <c r="E3122" s="5" t="s">
        <v>245</v>
      </c>
      <c r="F3122" s="5" t="s">
        <v>254</v>
      </c>
      <c r="G3122" s="5" t="s">
        <v>240</v>
      </c>
      <c r="H3122" s="6" t="s">
        <v>2305</v>
      </c>
      <c r="I3122" s="5" t="s">
        <v>809</v>
      </c>
      <c r="J3122" s="8">
        <f>1177</f>
        <v>1177</v>
      </c>
      <c r="K3122" s="5" t="s">
        <v>308</v>
      </c>
      <c r="L3122" s="7">
        <f>1</f>
        <v>1</v>
      </c>
      <c r="M3122" s="7">
        <f>1</f>
        <v>1</v>
      </c>
      <c r="N3122" s="5" t="s">
        <v>242</v>
      </c>
      <c r="O3122" s="5">
        <v>1</v>
      </c>
      <c r="P3122" s="5" t="s">
        <v>294</v>
      </c>
      <c r="Q3122" s="5" t="s">
        <v>3678</v>
      </c>
      <c r="R3122" s="5" t="s">
        <v>240</v>
      </c>
      <c r="S3122" s="5" t="s">
        <v>240</v>
      </c>
      <c r="T3122" s="5" t="s">
        <v>243</v>
      </c>
      <c r="U3122" s="5" t="s">
        <v>244</v>
      </c>
      <c r="V3122" s="5" t="s">
        <v>240</v>
      </c>
      <c r="W3122" s="5" t="s">
        <v>240</v>
      </c>
      <c r="X3122" s="5" t="s">
        <v>240</v>
      </c>
      <c r="Y3122" s="5" t="s">
        <v>240</v>
      </c>
      <c r="Z3122" s="6" t="s">
        <v>298</v>
      </c>
      <c r="AA3122" s="6" t="s">
        <v>240</v>
      </c>
      <c r="AB3122" s="6" t="s">
        <v>240</v>
      </c>
      <c r="AC3122" s="5" t="s">
        <v>240</v>
      </c>
      <c r="AD3122" s="6" t="s">
        <v>240</v>
      </c>
      <c r="AE3122" s="6" t="s">
        <v>299</v>
      </c>
      <c r="AF3122" s="5" t="s">
        <v>248</v>
      </c>
      <c r="AG3122" s="5" t="s">
        <v>249</v>
      </c>
      <c r="AH3122" s="5" t="s">
        <v>240</v>
      </c>
      <c r="AI3122" s="5" t="s">
        <v>240</v>
      </c>
      <c r="AJ3122" s="5" t="s">
        <v>240</v>
      </c>
      <c r="AK3122" s="5" t="s">
        <v>240</v>
      </c>
      <c r="AL3122" s="5" t="s">
        <v>240</v>
      </c>
      <c r="AM3122" s="5" t="s">
        <v>240</v>
      </c>
      <c r="AN3122" s="5" t="s">
        <v>240</v>
      </c>
      <c r="AO3122" s="5" t="s">
        <v>240</v>
      </c>
      <c r="AP3122" s="6" t="s">
        <v>240</v>
      </c>
      <c r="AQ3122" s="6" t="s">
        <v>240</v>
      </c>
      <c r="AR3122" s="6" t="s">
        <v>240</v>
      </c>
      <c r="AS3122" s="6" t="s">
        <v>240</v>
      </c>
      <c r="AT3122" s="5" t="s">
        <v>240</v>
      </c>
      <c r="AU3122" s="5" t="s">
        <v>729</v>
      </c>
      <c r="AV3122" s="5" t="s">
        <v>729</v>
      </c>
      <c r="AW3122" s="5" t="s">
        <v>251</v>
      </c>
      <c r="AX3122" s="5" t="s">
        <v>252</v>
      </c>
      <c r="AY3122" s="5" t="s">
        <v>253</v>
      </c>
      <c r="AZ3122" s="5" t="s">
        <v>240</v>
      </c>
      <c r="BA3122" s="5" t="s">
        <v>255</v>
      </c>
      <c r="BB3122" s="5" t="s">
        <v>731</v>
      </c>
      <c r="BD3122" s="5" t="s">
        <v>240</v>
      </c>
      <c r="BF3122" s="5" t="s">
        <v>732</v>
      </c>
      <c r="BG3122" s="6" t="s">
        <v>733</v>
      </c>
      <c r="BH3122" s="5" t="s">
        <v>734</v>
      </c>
      <c r="BI3122" s="5" t="s">
        <v>734</v>
      </c>
      <c r="BJ3122" s="5" t="s">
        <v>240</v>
      </c>
      <c r="BK3122" s="7">
        <f>1</f>
        <v>1</v>
      </c>
      <c r="BL3122" s="7">
        <f>1</f>
        <v>1</v>
      </c>
      <c r="BM3122" s="5" t="s">
        <v>258</v>
      </c>
      <c r="BN3122" s="5" t="s">
        <v>259</v>
      </c>
      <c r="BO3122" s="5" t="s">
        <v>240</v>
      </c>
      <c r="BP3122" s="5" t="s">
        <v>240</v>
      </c>
      <c r="BQ3122" s="5" t="s">
        <v>240</v>
      </c>
      <c r="BR3122" s="5" t="s">
        <v>240</v>
      </c>
      <c r="BS3122" s="5" t="s">
        <v>240</v>
      </c>
      <c r="BT3122" s="5" t="s">
        <v>240</v>
      </c>
      <c r="BU3122" s="5" t="s">
        <v>240</v>
      </c>
      <c r="BV3122" s="5" t="s">
        <v>240</v>
      </c>
      <c r="BW3122" s="6" t="s">
        <v>240</v>
      </c>
      <c r="BX3122" s="5" t="s">
        <v>240</v>
      </c>
      <c r="BY3122" s="5" t="s">
        <v>240</v>
      </c>
      <c r="BZ3122" s="5" t="s">
        <v>240</v>
      </c>
      <c r="CA3122" s="5" t="s">
        <v>259</v>
      </c>
      <c r="CB3122" s="5" t="s">
        <v>240</v>
      </c>
      <c r="CC3122" s="5" t="s">
        <v>240</v>
      </c>
      <c r="CD3122" s="5" t="s">
        <v>240</v>
      </c>
      <c r="CE3122" s="5" t="s">
        <v>240</v>
      </c>
      <c r="CF3122" s="5" t="s">
        <v>240</v>
      </c>
      <c r="CG3122" s="5" t="s">
        <v>304</v>
      </c>
      <c r="CH3122" s="5" t="s">
        <v>305</v>
      </c>
      <c r="CI3122" s="5" t="s">
        <v>240</v>
      </c>
      <c r="CK3122" s="5" t="s">
        <v>3681</v>
      </c>
      <c r="CL3122" s="6" t="s">
        <v>261</v>
      </c>
      <c r="CM3122" s="5" t="s">
        <v>262</v>
      </c>
      <c r="CN3122" s="5" t="s">
        <v>263</v>
      </c>
      <c r="CO3122" s="5" t="s">
        <v>264</v>
      </c>
      <c r="CP3122" s="5" t="s">
        <v>240</v>
      </c>
      <c r="CQ3122" s="5">
        <v>0</v>
      </c>
      <c r="CR3122" s="5" t="s">
        <v>735</v>
      </c>
      <c r="CS3122" s="5" t="s">
        <v>307</v>
      </c>
      <c r="CT3122" s="5" t="s">
        <v>307</v>
      </c>
      <c r="CU3122" s="5" t="s">
        <v>260</v>
      </c>
      <c r="CV3122" s="5" t="s">
        <v>612</v>
      </c>
      <c r="CW3122" s="8">
        <f>1</f>
        <v>1</v>
      </c>
      <c r="CX3122" s="7">
        <f>1</f>
        <v>1</v>
      </c>
      <c r="CY3122" s="7">
        <f>0</f>
        <v>0</v>
      </c>
      <c r="DA3122" s="7">
        <f>1</f>
        <v>1</v>
      </c>
      <c r="DB3122" s="7" t="s">
        <v>240</v>
      </c>
      <c r="DC3122" s="5" t="s">
        <v>240</v>
      </c>
      <c r="DD3122" s="5" t="s">
        <v>240</v>
      </c>
      <c r="DE3122" s="5" t="s">
        <v>240</v>
      </c>
      <c r="DF3122" s="5" t="s">
        <v>240</v>
      </c>
      <c r="DG3122" s="7">
        <f>0</f>
        <v>0</v>
      </c>
      <c r="DI3122" s="5" t="s">
        <v>240</v>
      </c>
      <c r="DJ3122" s="5" t="s">
        <v>240</v>
      </c>
      <c r="DK3122" s="5" t="s">
        <v>240</v>
      </c>
      <c r="DL3122" s="5" t="s">
        <v>240</v>
      </c>
      <c r="DM3122" s="5" t="s">
        <v>240</v>
      </c>
      <c r="DN3122" s="5" t="s">
        <v>240</v>
      </c>
      <c r="DO3122" s="7" t="s">
        <v>240</v>
      </c>
      <c r="DP3122" s="5" t="s">
        <v>240</v>
      </c>
      <c r="DQ3122" s="5" t="s">
        <v>240</v>
      </c>
      <c r="DR3122" s="5" t="s">
        <v>731</v>
      </c>
      <c r="DS3122" s="5" t="s">
        <v>731</v>
      </c>
      <c r="DT3122" s="5" t="s">
        <v>240</v>
      </c>
      <c r="DU3122" s="5" t="s">
        <v>240</v>
      </c>
      <c r="DV3122" s="5" t="s">
        <v>3683</v>
      </c>
      <c r="DW3122" s="5" t="s">
        <v>510</v>
      </c>
      <c r="DX3122" s="5" t="s">
        <v>240</v>
      </c>
      <c r="DY3122" s="5" t="s">
        <v>240</v>
      </c>
      <c r="DZ3122" s="5" t="s">
        <v>240</v>
      </c>
      <c r="EA3122" s="5" t="s">
        <v>240</v>
      </c>
      <c r="EB3122" s="5" t="s">
        <v>240</v>
      </c>
      <c r="EC3122" s="5" t="s">
        <v>240</v>
      </c>
      <c r="ED3122" s="5" t="s">
        <v>240</v>
      </c>
      <c r="EE3122" s="5" t="s">
        <v>240</v>
      </c>
      <c r="EF3122" s="5" t="s">
        <v>240</v>
      </c>
      <c r="EG3122" s="5" t="s">
        <v>240</v>
      </c>
      <c r="EH3122" s="5" t="s">
        <v>240</v>
      </c>
      <c r="EI3122" s="5" t="s">
        <v>240</v>
      </c>
      <c r="EJ3122" s="5" t="s">
        <v>240</v>
      </c>
      <c r="EK3122" s="5" t="s">
        <v>240</v>
      </c>
      <c r="EL3122" s="5" t="s">
        <v>240</v>
      </c>
      <c r="EM3122" s="5" t="s">
        <v>240</v>
      </c>
      <c r="EN3122" s="5" t="s">
        <v>240</v>
      </c>
      <c r="EO3122" s="5" t="s">
        <v>240</v>
      </c>
      <c r="EP3122" s="5" t="s">
        <v>240</v>
      </c>
      <c r="EQ3122" s="5" t="s">
        <v>240</v>
      </c>
      <c r="ER3122" s="5" t="s">
        <v>240</v>
      </c>
      <c r="ES3122" s="5" t="s">
        <v>240</v>
      </c>
      <c r="ET3122" s="5" t="s">
        <v>240</v>
      </c>
      <c r="EU3122" s="5" t="s">
        <v>240</v>
      </c>
      <c r="EV3122" s="5" t="s">
        <v>240</v>
      </c>
      <c r="EW3122" s="5" t="s">
        <v>240</v>
      </c>
      <c r="EX3122" s="5" t="s">
        <v>240</v>
      </c>
      <c r="EY3122" s="5" t="s">
        <v>240</v>
      </c>
      <c r="EZ3122" s="5" t="s">
        <v>240</v>
      </c>
      <c r="FA3122" s="5" t="s">
        <v>240</v>
      </c>
      <c r="FB3122" s="5" t="s">
        <v>240</v>
      </c>
      <c r="FC3122" s="5" t="s">
        <v>240</v>
      </c>
      <c r="FD3122" s="5" t="s">
        <v>240</v>
      </c>
      <c r="FE3122" s="5" t="s">
        <v>240</v>
      </c>
      <c r="FF3122" s="5" t="s">
        <v>240</v>
      </c>
      <c r="FG3122" s="5" t="s">
        <v>240</v>
      </c>
      <c r="FH3122" s="5" t="s">
        <v>240</v>
      </c>
      <c r="FI3122" s="5" t="s">
        <v>240</v>
      </c>
      <c r="FJ3122" s="5" t="s">
        <v>240</v>
      </c>
      <c r="FK3122" s="5" t="s">
        <v>240</v>
      </c>
      <c r="FL3122" s="5" t="s">
        <v>240</v>
      </c>
      <c r="FM3122" s="5" t="s">
        <v>240</v>
      </c>
      <c r="FN3122" s="5" t="s">
        <v>240</v>
      </c>
      <c r="FO3122" s="5" t="s">
        <v>240</v>
      </c>
      <c r="FP3122" s="5" t="s">
        <v>240</v>
      </c>
      <c r="FQ3122" s="5" t="s">
        <v>240</v>
      </c>
      <c r="FR3122" s="5" t="s">
        <v>240</v>
      </c>
      <c r="FS3122" s="5" t="s">
        <v>240</v>
      </c>
      <c r="FT3122" s="5" t="s">
        <v>240</v>
      </c>
      <c r="FU3122" s="5" t="s">
        <v>240</v>
      </c>
      <c r="FV3122" s="5" t="s">
        <v>240</v>
      </c>
      <c r="FW3122" s="5" t="s">
        <v>240</v>
      </c>
      <c r="FX3122" s="5" t="s">
        <v>240</v>
      </c>
      <c r="FY3122" s="5" t="s">
        <v>240</v>
      </c>
      <c r="FZ3122" s="5" t="s">
        <v>240</v>
      </c>
      <c r="GA3122" s="5" t="s">
        <v>240</v>
      </c>
      <c r="GB3122" s="5" t="s">
        <v>240</v>
      </c>
      <c r="GC3122" s="5" t="s">
        <v>240</v>
      </c>
      <c r="GD3122" s="5" t="s">
        <v>240</v>
      </c>
      <c r="GE3122" s="5" t="s">
        <v>240</v>
      </c>
      <c r="GF3122" s="5" t="s">
        <v>240</v>
      </c>
      <c r="GG3122" s="5" t="s">
        <v>240</v>
      </c>
      <c r="GH3122" s="5" t="s">
        <v>240</v>
      </c>
      <c r="GI3122" s="5" t="s">
        <v>240</v>
      </c>
      <c r="GJ3122" s="5" t="s">
        <v>240</v>
      </c>
      <c r="GK3122" s="5" t="s">
        <v>240</v>
      </c>
      <c r="GL3122" s="5" t="s">
        <v>240</v>
      </c>
      <c r="GM3122" s="5" t="s">
        <v>240</v>
      </c>
      <c r="GN3122" s="5" t="s">
        <v>240</v>
      </c>
      <c r="GO3122" s="5" t="s">
        <v>240</v>
      </c>
      <c r="GP3122" s="5" t="s">
        <v>240</v>
      </c>
      <c r="GQ3122" s="5" t="s">
        <v>240</v>
      </c>
      <c r="GR3122" s="5" t="s">
        <v>240</v>
      </c>
      <c r="GS3122" s="5" t="s">
        <v>240</v>
      </c>
      <c r="GT3122" s="5" t="s">
        <v>240</v>
      </c>
      <c r="GU3122" s="5" t="s">
        <v>240</v>
      </c>
      <c r="GV3122" s="5" t="s">
        <v>240</v>
      </c>
      <c r="GW3122" s="5" t="s">
        <v>240</v>
      </c>
      <c r="GX3122" s="5" t="s">
        <v>240</v>
      </c>
      <c r="GY3122" s="5" t="s">
        <v>240</v>
      </c>
      <c r="GZ3122" s="5" t="s">
        <v>240</v>
      </c>
      <c r="HA3122" s="5" t="s">
        <v>240</v>
      </c>
      <c r="HB3122" s="5" t="s">
        <v>240</v>
      </c>
      <c r="HC3122" s="5" t="s">
        <v>240</v>
      </c>
      <c r="HD3122" s="5" t="s">
        <v>240</v>
      </c>
      <c r="HE3122" s="5" t="s">
        <v>240</v>
      </c>
      <c r="HF3122" s="5" t="s">
        <v>240</v>
      </c>
      <c r="HG3122" s="5" t="s">
        <v>240</v>
      </c>
      <c r="HH3122" s="5" t="s">
        <v>240</v>
      </c>
      <c r="HI3122" s="5" t="s">
        <v>240</v>
      </c>
      <c r="HJ3122" s="5" t="s">
        <v>240</v>
      </c>
      <c r="HK3122" s="5" t="s">
        <v>240</v>
      </c>
      <c r="HL3122" s="5" t="s">
        <v>240</v>
      </c>
      <c r="HM3122" s="5" t="s">
        <v>240</v>
      </c>
      <c r="HN3122" s="5" t="s">
        <v>240</v>
      </c>
      <c r="HO3122" s="5" t="s">
        <v>312</v>
      </c>
      <c r="HP3122" s="5" t="s">
        <v>240</v>
      </c>
      <c r="HQ3122" s="5" t="s">
        <v>240</v>
      </c>
      <c r="HR3122" s="5" t="s">
        <v>240</v>
      </c>
      <c r="HS3122" s="5" t="s">
        <v>240</v>
      </c>
      <c r="HT3122" s="5" t="s">
        <v>240</v>
      </c>
      <c r="HU3122" s="5" t="s">
        <v>240</v>
      </c>
      <c r="HV3122" s="5" t="s">
        <v>240</v>
      </c>
      <c r="HW3122" s="5" t="s">
        <v>240</v>
      </c>
      <c r="HX3122" s="5" t="s">
        <v>240</v>
      </c>
      <c r="HY3122" s="5" t="s">
        <v>240</v>
      </c>
      <c r="HZ3122" s="5" t="s">
        <v>240</v>
      </c>
      <c r="IA3122" s="5" t="s">
        <v>240</v>
      </c>
      <c r="IB3122" s="5" t="s">
        <v>240</v>
      </c>
      <c r="IC3122" s="5" t="s">
        <v>240</v>
      </c>
      <c r="ID3122" s="5" t="s">
        <v>240</v>
      </c>
      <c r="IE3122" s="5" t="s">
        <v>240</v>
      </c>
      <c r="IF3122" s="5" t="s">
        <v>240</v>
      </c>
    </row>
    <row r="3123" spans="1:240" x14ac:dyDescent="0.4">
      <c r="A3123" s="5">
        <v>4827</v>
      </c>
      <c r="B3123" s="5">
        <v>1</v>
      </c>
      <c r="C3123" s="5">
        <v>1</v>
      </c>
      <c r="D3123" s="5" t="s">
        <v>810</v>
      </c>
      <c r="E3123" s="5" t="s">
        <v>245</v>
      </c>
      <c r="F3123" s="5" t="s">
        <v>254</v>
      </c>
      <c r="G3123" s="5" t="s">
        <v>240</v>
      </c>
      <c r="H3123" s="6" t="s">
        <v>2303</v>
      </c>
      <c r="I3123" s="5" t="s">
        <v>809</v>
      </c>
      <c r="J3123" s="8">
        <f>6.86</f>
        <v>6.86</v>
      </c>
      <c r="K3123" s="5" t="s">
        <v>308</v>
      </c>
      <c r="L3123" s="7">
        <f>1</f>
        <v>1</v>
      </c>
      <c r="M3123" s="7">
        <f>1</f>
        <v>1</v>
      </c>
      <c r="N3123" s="5" t="s">
        <v>242</v>
      </c>
      <c r="O3123" s="5">
        <v>1</v>
      </c>
      <c r="P3123" s="5" t="s">
        <v>294</v>
      </c>
      <c r="Q3123" s="5" t="s">
        <v>3678</v>
      </c>
      <c r="R3123" s="5" t="s">
        <v>240</v>
      </c>
      <c r="S3123" s="5" t="s">
        <v>240</v>
      </c>
      <c r="T3123" s="5" t="s">
        <v>243</v>
      </c>
      <c r="U3123" s="5" t="s">
        <v>244</v>
      </c>
      <c r="V3123" s="5" t="s">
        <v>240</v>
      </c>
      <c r="W3123" s="5" t="s">
        <v>240</v>
      </c>
      <c r="X3123" s="5" t="s">
        <v>240</v>
      </c>
      <c r="Y3123" s="5" t="s">
        <v>240</v>
      </c>
      <c r="Z3123" s="6" t="s">
        <v>298</v>
      </c>
      <c r="AA3123" s="6" t="s">
        <v>240</v>
      </c>
      <c r="AB3123" s="6" t="s">
        <v>240</v>
      </c>
      <c r="AC3123" s="5" t="s">
        <v>240</v>
      </c>
      <c r="AD3123" s="6" t="s">
        <v>240</v>
      </c>
      <c r="AE3123" s="6" t="s">
        <v>299</v>
      </c>
      <c r="AF3123" s="5" t="s">
        <v>248</v>
      </c>
      <c r="AG3123" s="5" t="s">
        <v>249</v>
      </c>
      <c r="AH3123" s="5" t="s">
        <v>240</v>
      </c>
      <c r="AI3123" s="5" t="s">
        <v>240</v>
      </c>
      <c r="AJ3123" s="5" t="s">
        <v>240</v>
      </c>
      <c r="AK3123" s="5" t="s">
        <v>240</v>
      </c>
      <c r="AL3123" s="5" t="s">
        <v>240</v>
      </c>
      <c r="AM3123" s="5" t="s">
        <v>240</v>
      </c>
      <c r="AN3123" s="5" t="s">
        <v>240</v>
      </c>
      <c r="AO3123" s="5" t="s">
        <v>240</v>
      </c>
      <c r="AP3123" s="6" t="s">
        <v>240</v>
      </c>
      <c r="AQ3123" s="6" t="s">
        <v>240</v>
      </c>
      <c r="AR3123" s="6" t="s">
        <v>240</v>
      </c>
      <c r="AS3123" s="6" t="s">
        <v>240</v>
      </c>
      <c r="AT3123" s="5" t="s">
        <v>240</v>
      </c>
      <c r="AU3123" s="5" t="s">
        <v>729</v>
      </c>
      <c r="AV3123" s="5" t="s">
        <v>729</v>
      </c>
      <c r="AW3123" s="5" t="s">
        <v>251</v>
      </c>
      <c r="AX3123" s="5" t="s">
        <v>252</v>
      </c>
      <c r="AY3123" s="5" t="s">
        <v>253</v>
      </c>
      <c r="AZ3123" s="5" t="s">
        <v>240</v>
      </c>
      <c r="BA3123" s="5" t="s">
        <v>255</v>
      </c>
      <c r="BB3123" s="5" t="s">
        <v>731</v>
      </c>
      <c r="BD3123" s="5" t="s">
        <v>240</v>
      </c>
      <c r="BF3123" s="5" t="s">
        <v>732</v>
      </c>
      <c r="BG3123" s="6" t="s">
        <v>733</v>
      </c>
      <c r="BH3123" s="5" t="s">
        <v>734</v>
      </c>
      <c r="BI3123" s="5" t="s">
        <v>734</v>
      </c>
      <c r="BJ3123" s="5" t="s">
        <v>240</v>
      </c>
      <c r="BK3123" s="7">
        <f>1</f>
        <v>1</v>
      </c>
      <c r="BL3123" s="7">
        <f>1</f>
        <v>1</v>
      </c>
      <c r="BM3123" s="5" t="s">
        <v>258</v>
      </c>
      <c r="BN3123" s="5" t="s">
        <v>259</v>
      </c>
      <c r="BO3123" s="5" t="s">
        <v>240</v>
      </c>
      <c r="BP3123" s="5" t="s">
        <v>240</v>
      </c>
      <c r="BQ3123" s="5" t="s">
        <v>240</v>
      </c>
      <c r="BR3123" s="5" t="s">
        <v>240</v>
      </c>
      <c r="BS3123" s="5" t="s">
        <v>240</v>
      </c>
      <c r="BT3123" s="5" t="s">
        <v>240</v>
      </c>
      <c r="BU3123" s="5" t="s">
        <v>240</v>
      </c>
      <c r="BV3123" s="5" t="s">
        <v>240</v>
      </c>
      <c r="BW3123" s="6" t="s">
        <v>240</v>
      </c>
      <c r="BX3123" s="5" t="s">
        <v>240</v>
      </c>
      <c r="BY3123" s="5" t="s">
        <v>240</v>
      </c>
      <c r="BZ3123" s="5" t="s">
        <v>240</v>
      </c>
      <c r="CA3123" s="5" t="s">
        <v>259</v>
      </c>
      <c r="CB3123" s="5" t="s">
        <v>240</v>
      </c>
      <c r="CC3123" s="5" t="s">
        <v>240</v>
      </c>
      <c r="CD3123" s="5" t="s">
        <v>240</v>
      </c>
      <c r="CE3123" s="5" t="s">
        <v>240</v>
      </c>
      <c r="CF3123" s="5" t="s">
        <v>240</v>
      </c>
      <c r="CG3123" s="5" t="s">
        <v>304</v>
      </c>
      <c r="CH3123" s="5" t="s">
        <v>305</v>
      </c>
      <c r="CI3123" s="5" t="s">
        <v>240</v>
      </c>
      <c r="CK3123" s="5" t="s">
        <v>3681</v>
      </c>
      <c r="CL3123" s="6" t="s">
        <v>261</v>
      </c>
      <c r="CM3123" s="5" t="s">
        <v>262</v>
      </c>
      <c r="CN3123" s="5" t="s">
        <v>263</v>
      </c>
      <c r="CO3123" s="5" t="s">
        <v>264</v>
      </c>
      <c r="CP3123" s="5" t="s">
        <v>240</v>
      </c>
      <c r="CQ3123" s="5">
        <v>0</v>
      </c>
      <c r="CR3123" s="5" t="s">
        <v>735</v>
      </c>
      <c r="CS3123" s="5" t="s">
        <v>307</v>
      </c>
      <c r="CT3123" s="5" t="s">
        <v>307</v>
      </c>
      <c r="CU3123" s="5" t="s">
        <v>260</v>
      </c>
      <c r="CV3123" s="5" t="s">
        <v>612</v>
      </c>
      <c r="CW3123" s="8">
        <f>1</f>
        <v>1</v>
      </c>
      <c r="CX3123" s="7">
        <f>1</f>
        <v>1</v>
      </c>
      <c r="CY3123" s="7">
        <f>0</f>
        <v>0</v>
      </c>
      <c r="DA3123" s="7">
        <f>1</f>
        <v>1</v>
      </c>
      <c r="DB3123" s="7" t="s">
        <v>240</v>
      </c>
      <c r="DC3123" s="5" t="s">
        <v>240</v>
      </c>
      <c r="DD3123" s="5" t="s">
        <v>240</v>
      </c>
      <c r="DE3123" s="5" t="s">
        <v>240</v>
      </c>
      <c r="DF3123" s="5" t="s">
        <v>240</v>
      </c>
      <c r="DG3123" s="7">
        <f>0</f>
        <v>0</v>
      </c>
      <c r="DI3123" s="5" t="s">
        <v>240</v>
      </c>
      <c r="DJ3123" s="5" t="s">
        <v>240</v>
      </c>
      <c r="DK3123" s="5" t="s">
        <v>240</v>
      </c>
      <c r="DL3123" s="5" t="s">
        <v>240</v>
      </c>
      <c r="DM3123" s="5" t="s">
        <v>240</v>
      </c>
      <c r="DN3123" s="5" t="s">
        <v>240</v>
      </c>
      <c r="DO3123" s="7" t="s">
        <v>240</v>
      </c>
      <c r="DP3123" s="5" t="s">
        <v>240</v>
      </c>
      <c r="DQ3123" s="5" t="s">
        <v>240</v>
      </c>
      <c r="DR3123" s="5" t="s">
        <v>731</v>
      </c>
      <c r="DS3123" s="5" t="s">
        <v>731</v>
      </c>
      <c r="DT3123" s="5" t="s">
        <v>240</v>
      </c>
      <c r="DU3123" s="5" t="s">
        <v>240</v>
      </c>
      <c r="DV3123" s="5" t="s">
        <v>3683</v>
      </c>
      <c r="DW3123" s="5" t="s">
        <v>502</v>
      </c>
      <c r="DX3123" s="5" t="s">
        <v>240</v>
      </c>
      <c r="DY3123" s="5" t="s">
        <v>240</v>
      </c>
      <c r="DZ3123" s="5" t="s">
        <v>240</v>
      </c>
      <c r="EA3123" s="5" t="s">
        <v>240</v>
      </c>
      <c r="EB3123" s="5" t="s">
        <v>240</v>
      </c>
      <c r="EC3123" s="5" t="s">
        <v>240</v>
      </c>
      <c r="ED3123" s="5" t="s">
        <v>240</v>
      </c>
      <c r="EE3123" s="5" t="s">
        <v>240</v>
      </c>
      <c r="EF3123" s="5" t="s">
        <v>240</v>
      </c>
      <c r="EG3123" s="5" t="s">
        <v>240</v>
      </c>
      <c r="EH3123" s="5" t="s">
        <v>240</v>
      </c>
      <c r="EI3123" s="5" t="s">
        <v>240</v>
      </c>
      <c r="EJ3123" s="5" t="s">
        <v>240</v>
      </c>
      <c r="EK3123" s="5" t="s">
        <v>240</v>
      </c>
      <c r="EL3123" s="5" t="s">
        <v>240</v>
      </c>
      <c r="EM3123" s="5" t="s">
        <v>240</v>
      </c>
      <c r="EN3123" s="5" t="s">
        <v>240</v>
      </c>
      <c r="EO3123" s="5" t="s">
        <v>240</v>
      </c>
      <c r="EP3123" s="5" t="s">
        <v>240</v>
      </c>
      <c r="EQ3123" s="5" t="s">
        <v>240</v>
      </c>
      <c r="ER3123" s="5" t="s">
        <v>240</v>
      </c>
      <c r="ES3123" s="5" t="s">
        <v>240</v>
      </c>
      <c r="ET3123" s="5" t="s">
        <v>240</v>
      </c>
      <c r="EU3123" s="5" t="s">
        <v>240</v>
      </c>
      <c r="EV3123" s="5" t="s">
        <v>240</v>
      </c>
      <c r="EW3123" s="5" t="s">
        <v>240</v>
      </c>
      <c r="EX3123" s="5" t="s">
        <v>240</v>
      </c>
      <c r="EY3123" s="5" t="s">
        <v>240</v>
      </c>
      <c r="EZ3123" s="5" t="s">
        <v>240</v>
      </c>
      <c r="FA3123" s="5" t="s">
        <v>240</v>
      </c>
      <c r="FB3123" s="5" t="s">
        <v>240</v>
      </c>
      <c r="FC3123" s="5" t="s">
        <v>240</v>
      </c>
      <c r="FD3123" s="5" t="s">
        <v>240</v>
      </c>
      <c r="FE3123" s="5" t="s">
        <v>240</v>
      </c>
      <c r="FF3123" s="5" t="s">
        <v>240</v>
      </c>
      <c r="FG3123" s="5" t="s">
        <v>240</v>
      </c>
      <c r="FH3123" s="5" t="s">
        <v>240</v>
      </c>
      <c r="FI3123" s="5" t="s">
        <v>240</v>
      </c>
      <c r="FJ3123" s="5" t="s">
        <v>240</v>
      </c>
      <c r="FK3123" s="5" t="s">
        <v>240</v>
      </c>
      <c r="FL3123" s="5" t="s">
        <v>240</v>
      </c>
      <c r="FM3123" s="5" t="s">
        <v>240</v>
      </c>
      <c r="FN3123" s="5" t="s">
        <v>240</v>
      </c>
      <c r="FO3123" s="5" t="s">
        <v>240</v>
      </c>
      <c r="FP3123" s="5" t="s">
        <v>240</v>
      </c>
      <c r="FQ3123" s="5" t="s">
        <v>240</v>
      </c>
      <c r="FR3123" s="5" t="s">
        <v>240</v>
      </c>
      <c r="FS3123" s="5" t="s">
        <v>240</v>
      </c>
      <c r="FT3123" s="5" t="s">
        <v>240</v>
      </c>
      <c r="FU3123" s="5" t="s">
        <v>240</v>
      </c>
      <c r="FV3123" s="5" t="s">
        <v>240</v>
      </c>
      <c r="FW3123" s="5" t="s">
        <v>240</v>
      </c>
      <c r="FX3123" s="5" t="s">
        <v>240</v>
      </c>
      <c r="FY3123" s="5" t="s">
        <v>240</v>
      </c>
      <c r="FZ3123" s="5" t="s">
        <v>240</v>
      </c>
      <c r="GA3123" s="5" t="s">
        <v>240</v>
      </c>
      <c r="GB3123" s="5" t="s">
        <v>240</v>
      </c>
      <c r="GC3123" s="5" t="s">
        <v>240</v>
      </c>
      <c r="GD3123" s="5" t="s">
        <v>240</v>
      </c>
      <c r="GE3123" s="5" t="s">
        <v>240</v>
      </c>
      <c r="GF3123" s="5" t="s">
        <v>240</v>
      </c>
      <c r="GG3123" s="5" t="s">
        <v>240</v>
      </c>
      <c r="GH3123" s="5" t="s">
        <v>240</v>
      </c>
      <c r="GI3123" s="5" t="s">
        <v>240</v>
      </c>
      <c r="GJ3123" s="5" t="s">
        <v>240</v>
      </c>
      <c r="GK3123" s="5" t="s">
        <v>240</v>
      </c>
      <c r="GL3123" s="5" t="s">
        <v>240</v>
      </c>
      <c r="GM3123" s="5" t="s">
        <v>240</v>
      </c>
      <c r="GN3123" s="5" t="s">
        <v>240</v>
      </c>
      <c r="GO3123" s="5" t="s">
        <v>240</v>
      </c>
      <c r="GP3123" s="5" t="s">
        <v>240</v>
      </c>
      <c r="GQ3123" s="5" t="s">
        <v>240</v>
      </c>
      <c r="GR3123" s="5" t="s">
        <v>240</v>
      </c>
      <c r="GS3123" s="5" t="s">
        <v>240</v>
      </c>
      <c r="GT3123" s="5" t="s">
        <v>240</v>
      </c>
      <c r="GU3123" s="5" t="s">
        <v>240</v>
      </c>
      <c r="GV3123" s="5" t="s">
        <v>240</v>
      </c>
      <c r="GW3123" s="5" t="s">
        <v>240</v>
      </c>
      <c r="GX3123" s="5" t="s">
        <v>240</v>
      </c>
      <c r="GY3123" s="5" t="s">
        <v>240</v>
      </c>
      <c r="GZ3123" s="5" t="s">
        <v>240</v>
      </c>
      <c r="HA3123" s="5" t="s">
        <v>240</v>
      </c>
      <c r="HB3123" s="5" t="s">
        <v>240</v>
      </c>
      <c r="HC3123" s="5" t="s">
        <v>240</v>
      </c>
      <c r="HD3123" s="5" t="s">
        <v>240</v>
      </c>
      <c r="HE3123" s="5" t="s">
        <v>240</v>
      </c>
      <c r="HF3123" s="5" t="s">
        <v>240</v>
      </c>
      <c r="HG3123" s="5" t="s">
        <v>240</v>
      </c>
      <c r="HH3123" s="5" t="s">
        <v>240</v>
      </c>
      <c r="HI3123" s="5" t="s">
        <v>240</v>
      </c>
      <c r="HJ3123" s="5" t="s">
        <v>240</v>
      </c>
      <c r="HK3123" s="5" t="s">
        <v>240</v>
      </c>
      <c r="HL3123" s="5" t="s">
        <v>240</v>
      </c>
      <c r="HM3123" s="5" t="s">
        <v>240</v>
      </c>
      <c r="HN3123" s="5" t="s">
        <v>240</v>
      </c>
      <c r="HO3123" s="5" t="s">
        <v>312</v>
      </c>
      <c r="HP3123" s="5" t="s">
        <v>240</v>
      </c>
      <c r="HQ3123" s="5" t="s">
        <v>240</v>
      </c>
      <c r="HR3123" s="5" t="s">
        <v>240</v>
      </c>
      <c r="HS3123" s="5" t="s">
        <v>240</v>
      </c>
      <c r="HT3123" s="5" t="s">
        <v>240</v>
      </c>
      <c r="HU3123" s="5" t="s">
        <v>240</v>
      </c>
      <c r="HV3123" s="5" t="s">
        <v>240</v>
      </c>
      <c r="HW3123" s="5" t="s">
        <v>240</v>
      </c>
      <c r="HX3123" s="5" t="s">
        <v>240</v>
      </c>
      <c r="HY3123" s="5" t="s">
        <v>240</v>
      </c>
      <c r="HZ3123" s="5" t="s">
        <v>240</v>
      </c>
      <c r="IA3123" s="5" t="s">
        <v>240</v>
      </c>
      <c r="IB3123" s="5" t="s">
        <v>240</v>
      </c>
      <c r="IC3123" s="5" t="s">
        <v>240</v>
      </c>
      <c r="ID3123" s="5" t="s">
        <v>240</v>
      </c>
      <c r="IE3123" s="5" t="s">
        <v>240</v>
      </c>
      <c r="IF3123" s="5" t="s">
        <v>240</v>
      </c>
    </row>
    <row r="3124" spans="1:240" x14ac:dyDescent="0.4">
      <c r="A3124" s="5">
        <v>4828</v>
      </c>
      <c r="B3124" s="5">
        <v>1</v>
      </c>
      <c r="C3124" s="5">
        <v>1</v>
      </c>
      <c r="D3124" s="5" t="s">
        <v>810</v>
      </c>
      <c r="E3124" s="5" t="s">
        <v>245</v>
      </c>
      <c r="F3124" s="5" t="s">
        <v>254</v>
      </c>
      <c r="G3124" s="5" t="s">
        <v>240</v>
      </c>
      <c r="H3124" s="6" t="s">
        <v>2301</v>
      </c>
      <c r="I3124" s="5" t="s">
        <v>809</v>
      </c>
      <c r="J3124" s="8">
        <f>33</f>
        <v>33</v>
      </c>
      <c r="K3124" s="5" t="s">
        <v>308</v>
      </c>
      <c r="L3124" s="7">
        <f>1</f>
        <v>1</v>
      </c>
      <c r="M3124" s="7">
        <f>1</f>
        <v>1</v>
      </c>
      <c r="N3124" s="5" t="s">
        <v>242</v>
      </c>
      <c r="O3124" s="5">
        <v>1</v>
      </c>
      <c r="P3124" s="5" t="s">
        <v>294</v>
      </c>
      <c r="Q3124" s="5" t="s">
        <v>3678</v>
      </c>
      <c r="R3124" s="5" t="s">
        <v>240</v>
      </c>
      <c r="S3124" s="5" t="s">
        <v>240</v>
      </c>
      <c r="T3124" s="5" t="s">
        <v>243</v>
      </c>
      <c r="U3124" s="5" t="s">
        <v>244</v>
      </c>
      <c r="V3124" s="5" t="s">
        <v>240</v>
      </c>
      <c r="W3124" s="5" t="s">
        <v>240</v>
      </c>
      <c r="X3124" s="5" t="s">
        <v>240</v>
      </c>
      <c r="Y3124" s="5" t="s">
        <v>240</v>
      </c>
      <c r="Z3124" s="6" t="s">
        <v>298</v>
      </c>
      <c r="AA3124" s="6" t="s">
        <v>240</v>
      </c>
      <c r="AB3124" s="6" t="s">
        <v>240</v>
      </c>
      <c r="AC3124" s="5" t="s">
        <v>240</v>
      </c>
      <c r="AD3124" s="6" t="s">
        <v>240</v>
      </c>
      <c r="AE3124" s="6" t="s">
        <v>299</v>
      </c>
      <c r="AF3124" s="5" t="s">
        <v>248</v>
      </c>
      <c r="AG3124" s="5" t="s">
        <v>249</v>
      </c>
      <c r="AH3124" s="5" t="s">
        <v>240</v>
      </c>
      <c r="AI3124" s="5" t="s">
        <v>240</v>
      </c>
      <c r="AJ3124" s="5" t="s">
        <v>240</v>
      </c>
      <c r="AK3124" s="5" t="s">
        <v>240</v>
      </c>
      <c r="AL3124" s="5" t="s">
        <v>240</v>
      </c>
      <c r="AM3124" s="5" t="s">
        <v>240</v>
      </c>
      <c r="AN3124" s="5" t="s">
        <v>240</v>
      </c>
      <c r="AO3124" s="5" t="s">
        <v>240</v>
      </c>
      <c r="AP3124" s="6" t="s">
        <v>240</v>
      </c>
      <c r="AQ3124" s="6" t="s">
        <v>240</v>
      </c>
      <c r="AR3124" s="6" t="s">
        <v>240</v>
      </c>
      <c r="AS3124" s="6" t="s">
        <v>240</v>
      </c>
      <c r="AT3124" s="5" t="s">
        <v>240</v>
      </c>
      <c r="AU3124" s="5" t="s">
        <v>729</v>
      </c>
      <c r="AV3124" s="5" t="s">
        <v>729</v>
      </c>
      <c r="AW3124" s="5" t="s">
        <v>251</v>
      </c>
      <c r="AX3124" s="5" t="s">
        <v>252</v>
      </c>
      <c r="AY3124" s="5" t="s">
        <v>253</v>
      </c>
      <c r="AZ3124" s="5" t="s">
        <v>240</v>
      </c>
      <c r="BA3124" s="5" t="s">
        <v>255</v>
      </c>
      <c r="BB3124" s="5" t="s">
        <v>731</v>
      </c>
      <c r="BD3124" s="5" t="s">
        <v>240</v>
      </c>
      <c r="BF3124" s="5" t="s">
        <v>732</v>
      </c>
      <c r="BG3124" s="6" t="s">
        <v>733</v>
      </c>
      <c r="BH3124" s="5" t="s">
        <v>734</v>
      </c>
      <c r="BI3124" s="5" t="s">
        <v>734</v>
      </c>
      <c r="BJ3124" s="5" t="s">
        <v>240</v>
      </c>
      <c r="BK3124" s="7">
        <f>1</f>
        <v>1</v>
      </c>
      <c r="BL3124" s="7">
        <f>1</f>
        <v>1</v>
      </c>
      <c r="BM3124" s="5" t="s">
        <v>258</v>
      </c>
      <c r="BN3124" s="5" t="s">
        <v>259</v>
      </c>
      <c r="BO3124" s="5" t="s">
        <v>240</v>
      </c>
      <c r="BP3124" s="5" t="s">
        <v>240</v>
      </c>
      <c r="BQ3124" s="5" t="s">
        <v>240</v>
      </c>
      <c r="BR3124" s="5" t="s">
        <v>240</v>
      </c>
      <c r="BS3124" s="5" t="s">
        <v>240</v>
      </c>
      <c r="BT3124" s="5" t="s">
        <v>240</v>
      </c>
      <c r="BU3124" s="5" t="s">
        <v>240</v>
      </c>
      <c r="BV3124" s="5" t="s">
        <v>240</v>
      </c>
      <c r="BW3124" s="6" t="s">
        <v>240</v>
      </c>
      <c r="BX3124" s="5" t="s">
        <v>240</v>
      </c>
      <c r="BY3124" s="5" t="s">
        <v>240</v>
      </c>
      <c r="BZ3124" s="5" t="s">
        <v>240</v>
      </c>
      <c r="CA3124" s="5" t="s">
        <v>259</v>
      </c>
      <c r="CB3124" s="5" t="s">
        <v>240</v>
      </c>
      <c r="CC3124" s="5" t="s">
        <v>240</v>
      </c>
      <c r="CD3124" s="5" t="s">
        <v>240</v>
      </c>
      <c r="CE3124" s="5" t="s">
        <v>240</v>
      </c>
      <c r="CF3124" s="5" t="s">
        <v>240</v>
      </c>
      <c r="CG3124" s="5" t="s">
        <v>304</v>
      </c>
      <c r="CH3124" s="5" t="s">
        <v>305</v>
      </c>
      <c r="CI3124" s="5" t="s">
        <v>240</v>
      </c>
      <c r="CK3124" s="5" t="s">
        <v>3681</v>
      </c>
      <c r="CL3124" s="6" t="s">
        <v>261</v>
      </c>
      <c r="CM3124" s="5" t="s">
        <v>262</v>
      </c>
      <c r="CN3124" s="5" t="s">
        <v>263</v>
      </c>
      <c r="CO3124" s="5" t="s">
        <v>264</v>
      </c>
      <c r="CP3124" s="5" t="s">
        <v>240</v>
      </c>
      <c r="CQ3124" s="5">
        <v>0</v>
      </c>
      <c r="CR3124" s="5" t="s">
        <v>735</v>
      </c>
      <c r="CS3124" s="5" t="s">
        <v>307</v>
      </c>
      <c r="CT3124" s="5" t="s">
        <v>307</v>
      </c>
      <c r="CU3124" s="5" t="s">
        <v>260</v>
      </c>
      <c r="CV3124" s="5" t="s">
        <v>612</v>
      </c>
      <c r="CW3124" s="8">
        <f>1</f>
        <v>1</v>
      </c>
      <c r="CX3124" s="7">
        <f>1</f>
        <v>1</v>
      </c>
      <c r="CY3124" s="7">
        <f>0</f>
        <v>0</v>
      </c>
      <c r="DA3124" s="7">
        <f>1</f>
        <v>1</v>
      </c>
      <c r="DB3124" s="7" t="s">
        <v>240</v>
      </c>
      <c r="DC3124" s="5" t="s">
        <v>240</v>
      </c>
      <c r="DD3124" s="5" t="s">
        <v>240</v>
      </c>
      <c r="DE3124" s="5" t="s">
        <v>240</v>
      </c>
      <c r="DF3124" s="5" t="s">
        <v>240</v>
      </c>
      <c r="DG3124" s="7">
        <f>0</f>
        <v>0</v>
      </c>
      <c r="DI3124" s="5" t="s">
        <v>240</v>
      </c>
      <c r="DJ3124" s="5" t="s">
        <v>240</v>
      </c>
      <c r="DK3124" s="5" t="s">
        <v>240</v>
      </c>
      <c r="DL3124" s="5" t="s">
        <v>240</v>
      </c>
      <c r="DM3124" s="5" t="s">
        <v>240</v>
      </c>
      <c r="DN3124" s="5" t="s">
        <v>240</v>
      </c>
      <c r="DO3124" s="7" t="s">
        <v>240</v>
      </c>
      <c r="DP3124" s="5" t="s">
        <v>240</v>
      </c>
      <c r="DQ3124" s="5" t="s">
        <v>240</v>
      </c>
      <c r="DR3124" s="5" t="s">
        <v>731</v>
      </c>
      <c r="DS3124" s="5" t="s">
        <v>731</v>
      </c>
      <c r="DT3124" s="5" t="s">
        <v>240</v>
      </c>
      <c r="DU3124" s="5" t="s">
        <v>240</v>
      </c>
      <c r="DV3124" s="5" t="s">
        <v>3683</v>
      </c>
      <c r="DW3124" s="5" t="s">
        <v>1212</v>
      </c>
      <c r="DX3124" s="5" t="s">
        <v>240</v>
      </c>
      <c r="DY3124" s="5" t="s">
        <v>240</v>
      </c>
      <c r="DZ3124" s="5" t="s">
        <v>240</v>
      </c>
      <c r="EA3124" s="5" t="s">
        <v>240</v>
      </c>
      <c r="EB3124" s="5" t="s">
        <v>240</v>
      </c>
      <c r="EC3124" s="5" t="s">
        <v>240</v>
      </c>
      <c r="ED3124" s="5" t="s">
        <v>240</v>
      </c>
      <c r="EE3124" s="5" t="s">
        <v>240</v>
      </c>
      <c r="EF3124" s="5" t="s">
        <v>240</v>
      </c>
      <c r="EG3124" s="5" t="s">
        <v>240</v>
      </c>
      <c r="EH3124" s="5" t="s">
        <v>240</v>
      </c>
      <c r="EI3124" s="5" t="s">
        <v>240</v>
      </c>
      <c r="EJ3124" s="5" t="s">
        <v>240</v>
      </c>
      <c r="EK3124" s="5" t="s">
        <v>240</v>
      </c>
      <c r="EL3124" s="5" t="s">
        <v>240</v>
      </c>
      <c r="EM3124" s="5" t="s">
        <v>240</v>
      </c>
      <c r="EN3124" s="5" t="s">
        <v>240</v>
      </c>
      <c r="EO3124" s="5" t="s">
        <v>240</v>
      </c>
      <c r="EP3124" s="5" t="s">
        <v>240</v>
      </c>
      <c r="EQ3124" s="5" t="s">
        <v>240</v>
      </c>
      <c r="ER3124" s="5" t="s">
        <v>240</v>
      </c>
      <c r="ES3124" s="5" t="s">
        <v>240</v>
      </c>
      <c r="ET3124" s="5" t="s">
        <v>240</v>
      </c>
      <c r="EU3124" s="5" t="s">
        <v>240</v>
      </c>
      <c r="EV3124" s="5" t="s">
        <v>240</v>
      </c>
      <c r="EW3124" s="5" t="s">
        <v>240</v>
      </c>
      <c r="EX3124" s="5" t="s">
        <v>240</v>
      </c>
      <c r="EY3124" s="5" t="s">
        <v>240</v>
      </c>
      <c r="EZ3124" s="5" t="s">
        <v>240</v>
      </c>
      <c r="FA3124" s="5" t="s">
        <v>240</v>
      </c>
      <c r="FB3124" s="5" t="s">
        <v>240</v>
      </c>
      <c r="FC3124" s="5" t="s">
        <v>240</v>
      </c>
      <c r="FD3124" s="5" t="s">
        <v>240</v>
      </c>
      <c r="FE3124" s="5" t="s">
        <v>240</v>
      </c>
      <c r="FF3124" s="5" t="s">
        <v>240</v>
      </c>
      <c r="FG3124" s="5" t="s">
        <v>240</v>
      </c>
      <c r="FH3124" s="5" t="s">
        <v>240</v>
      </c>
      <c r="FI3124" s="5" t="s">
        <v>240</v>
      </c>
      <c r="FJ3124" s="5" t="s">
        <v>240</v>
      </c>
      <c r="FK3124" s="5" t="s">
        <v>240</v>
      </c>
      <c r="FL3124" s="5" t="s">
        <v>240</v>
      </c>
      <c r="FM3124" s="5" t="s">
        <v>240</v>
      </c>
      <c r="FN3124" s="5" t="s">
        <v>240</v>
      </c>
      <c r="FO3124" s="5" t="s">
        <v>240</v>
      </c>
      <c r="FP3124" s="5" t="s">
        <v>240</v>
      </c>
      <c r="FQ3124" s="5" t="s">
        <v>240</v>
      </c>
      <c r="FR3124" s="5" t="s">
        <v>240</v>
      </c>
      <c r="FS3124" s="5" t="s">
        <v>240</v>
      </c>
      <c r="FT3124" s="5" t="s">
        <v>240</v>
      </c>
      <c r="FU3124" s="5" t="s">
        <v>240</v>
      </c>
      <c r="FV3124" s="5" t="s">
        <v>240</v>
      </c>
      <c r="FW3124" s="5" t="s">
        <v>240</v>
      </c>
      <c r="FX3124" s="5" t="s">
        <v>240</v>
      </c>
      <c r="FY3124" s="5" t="s">
        <v>240</v>
      </c>
      <c r="FZ3124" s="5" t="s">
        <v>240</v>
      </c>
      <c r="GA3124" s="5" t="s">
        <v>240</v>
      </c>
      <c r="GB3124" s="5" t="s">
        <v>240</v>
      </c>
      <c r="GC3124" s="5" t="s">
        <v>240</v>
      </c>
      <c r="GD3124" s="5" t="s">
        <v>240</v>
      </c>
      <c r="GE3124" s="5" t="s">
        <v>240</v>
      </c>
      <c r="GF3124" s="5" t="s">
        <v>240</v>
      </c>
      <c r="GG3124" s="5" t="s">
        <v>240</v>
      </c>
      <c r="GH3124" s="5" t="s">
        <v>240</v>
      </c>
      <c r="GI3124" s="5" t="s">
        <v>240</v>
      </c>
      <c r="GJ3124" s="5" t="s">
        <v>240</v>
      </c>
      <c r="GK3124" s="5" t="s">
        <v>240</v>
      </c>
      <c r="GL3124" s="5" t="s">
        <v>240</v>
      </c>
      <c r="GM3124" s="5" t="s">
        <v>240</v>
      </c>
      <c r="GN3124" s="5" t="s">
        <v>240</v>
      </c>
      <c r="GO3124" s="5" t="s">
        <v>240</v>
      </c>
      <c r="GP3124" s="5" t="s">
        <v>240</v>
      </c>
      <c r="GQ3124" s="5" t="s">
        <v>240</v>
      </c>
      <c r="GR3124" s="5" t="s">
        <v>240</v>
      </c>
      <c r="GS3124" s="5" t="s">
        <v>240</v>
      </c>
      <c r="GT3124" s="5" t="s">
        <v>240</v>
      </c>
      <c r="GU3124" s="5" t="s">
        <v>240</v>
      </c>
      <c r="GV3124" s="5" t="s">
        <v>240</v>
      </c>
      <c r="GW3124" s="5" t="s">
        <v>240</v>
      </c>
      <c r="GX3124" s="5" t="s">
        <v>240</v>
      </c>
      <c r="GY3124" s="5" t="s">
        <v>240</v>
      </c>
      <c r="GZ3124" s="5" t="s">
        <v>240</v>
      </c>
      <c r="HA3124" s="5" t="s">
        <v>240</v>
      </c>
      <c r="HB3124" s="5" t="s">
        <v>240</v>
      </c>
      <c r="HC3124" s="5" t="s">
        <v>240</v>
      </c>
      <c r="HD3124" s="5" t="s">
        <v>240</v>
      </c>
      <c r="HE3124" s="5" t="s">
        <v>240</v>
      </c>
      <c r="HF3124" s="5" t="s">
        <v>240</v>
      </c>
      <c r="HG3124" s="5" t="s">
        <v>240</v>
      </c>
      <c r="HH3124" s="5" t="s">
        <v>240</v>
      </c>
      <c r="HI3124" s="5" t="s">
        <v>240</v>
      </c>
      <c r="HJ3124" s="5" t="s">
        <v>240</v>
      </c>
      <c r="HK3124" s="5" t="s">
        <v>240</v>
      </c>
      <c r="HL3124" s="5" t="s">
        <v>240</v>
      </c>
      <c r="HM3124" s="5" t="s">
        <v>240</v>
      </c>
      <c r="HN3124" s="5" t="s">
        <v>240</v>
      </c>
      <c r="HO3124" s="5" t="s">
        <v>312</v>
      </c>
      <c r="HP3124" s="5" t="s">
        <v>240</v>
      </c>
      <c r="HQ3124" s="5" t="s">
        <v>240</v>
      </c>
      <c r="HR3124" s="5" t="s">
        <v>240</v>
      </c>
      <c r="HS3124" s="5" t="s">
        <v>240</v>
      </c>
      <c r="HT3124" s="5" t="s">
        <v>240</v>
      </c>
      <c r="HU3124" s="5" t="s">
        <v>240</v>
      </c>
      <c r="HV3124" s="5" t="s">
        <v>240</v>
      </c>
      <c r="HW3124" s="5" t="s">
        <v>240</v>
      </c>
      <c r="HX3124" s="5" t="s">
        <v>240</v>
      </c>
      <c r="HY3124" s="5" t="s">
        <v>240</v>
      </c>
      <c r="HZ3124" s="5" t="s">
        <v>240</v>
      </c>
      <c r="IA3124" s="5" t="s">
        <v>240</v>
      </c>
      <c r="IB3124" s="5" t="s">
        <v>240</v>
      </c>
      <c r="IC3124" s="5" t="s">
        <v>240</v>
      </c>
      <c r="ID3124" s="5" t="s">
        <v>240</v>
      </c>
      <c r="IE3124" s="5" t="s">
        <v>240</v>
      </c>
      <c r="IF3124" s="5" t="s">
        <v>240</v>
      </c>
    </row>
    <row r="3125" spans="1:240" x14ac:dyDescent="0.4">
      <c r="A3125" s="5">
        <v>4829</v>
      </c>
      <c r="B3125" s="5">
        <v>1</v>
      </c>
      <c r="C3125" s="5">
        <v>1</v>
      </c>
      <c r="D3125" s="5" t="s">
        <v>810</v>
      </c>
      <c r="E3125" s="5" t="s">
        <v>245</v>
      </c>
      <c r="F3125" s="5" t="s">
        <v>254</v>
      </c>
      <c r="G3125" s="5" t="s">
        <v>240</v>
      </c>
      <c r="H3125" s="6" t="s">
        <v>2299</v>
      </c>
      <c r="I3125" s="5" t="s">
        <v>809</v>
      </c>
      <c r="J3125" s="8">
        <f>2153</f>
        <v>2153</v>
      </c>
      <c r="K3125" s="5" t="s">
        <v>308</v>
      </c>
      <c r="L3125" s="7">
        <f>1</f>
        <v>1</v>
      </c>
      <c r="M3125" s="7">
        <f>1</f>
        <v>1</v>
      </c>
      <c r="N3125" s="5" t="s">
        <v>242</v>
      </c>
      <c r="O3125" s="5">
        <v>1</v>
      </c>
      <c r="P3125" s="5" t="s">
        <v>294</v>
      </c>
      <c r="Q3125" s="5" t="s">
        <v>3678</v>
      </c>
      <c r="R3125" s="5" t="s">
        <v>240</v>
      </c>
      <c r="S3125" s="5" t="s">
        <v>240</v>
      </c>
      <c r="T3125" s="5" t="s">
        <v>243</v>
      </c>
      <c r="U3125" s="5" t="s">
        <v>244</v>
      </c>
      <c r="V3125" s="5" t="s">
        <v>240</v>
      </c>
      <c r="W3125" s="5" t="s">
        <v>240</v>
      </c>
      <c r="X3125" s="5" t="s">
        <v>240</v>
      </c>
      <c r="Y3125" s="5" t="s">
        <v>240</v>
      </c>
      <c r="Z3125" s="6" t="s">
        <v>298</v>
      </c>
      <c r="AA3125" s="6" t="s">
        <v>240</v>
      </c>
      <c r="AB3125" s="6" t="s">
        <v>240</v>
      </c>
      <c r="AC3125" s="5" t="s">
        <v>240</v>
      </c>
      <c r="AD3125" s="6" t="s">
        <v>240</v>
      </c>
      <c r="AE3125" s="6" t="s">
        <v>299</v>
      </c>
      <c r="AF3125" s="5" t="s">
        <v>248</v>
      </c>
      <c r="AG3125" s="5" t="s">
        <v>249</v>
      </c>
      <c r="AH3125" s="5" t="s">
        <v>240</v>
      </c>
      <c r="AI3125" s="5" t="s">
        <v>240</v>
      </c>
      <c r="AJ3125" s="5" t="s">
        <v>240</v>
      </c>
      <c r="AK3125" s="5" t="s">
        <v>240</v>
      </c>
      <c r="AL3125" s="5" t="s">
        <v>240</v>
      </c>
      <c r="AM3125" s="5" t="s">
        <v>240</v>
      </c>
      <c r="AN3125" s="5" t="s">
        <v>240</v>
      </c>
      <c r="AO3125" s="5" t="s">
        <v>240</v>
      </c>
      <c r="AP3125" s="6" t="s">
        <v>240</v>
      </c>
      <c r="AQ3125" s="6" t="s">
        <v>240</v>
      </c>
      <c r="AR3125" s="6" t="s">
        <v>240</v>
      </c>
      <c r="AS3125" s="6" t="s">
        <v>240</v>
      </c>
      <c r="AT3125" s="5" t="s">
        <v>240</v>
      </c>
      <c r="AU3125" s="5" t="s">
        <v>729</v>
      </c>
      <c r="AV3125" s="5" t="s">
        <v>729</v>
      </c>
      <c r="AW3125" s="5" t="s">
        <v>251</v>
      </c>
      <c r="AX3125" s="5" t="s">
        <v>252</v>
      </c>
      <c r="AY3125" s="5" t="s">
        <v>253</v>
      </c>
      <c r="AZ3125" s="5" t="s">
        <v>240</v>
      </c>
      <c r="BA3125" s="5" t="s">
        <v>255</v>
      </c>
      <c r="BB3125" s="5" t="s">
        <v>731</v>
      </c>
      <c r="BD3125" s="5" t="s">
        <v>240</v>
      </c>
      <c r="BF3125" s="5" t="s">
        <v>732</v>
      </c>
      <c r="BG3125" s="6" t="s">
        <v>733</v>
      </c>
      <c r="BH3125" s="5" t="s">
        <v>734</v>
      </c>
      <c r="BI3125" s="5" t="s">
        <v>734</v>
      </c>
      <c r="BJ3125" s="5" t="s">
        <v>240</v>
      </c>
      <c r="BK3125" s="7">
        <f>1</f>
        <v>1</v>
      </c>
      <c r="BL3125" s="7">
        <f>1</f>
        <v>1</v>
      </c>
      <c r="BM3125" s="5" t="s">
        <v>258</v>
      </c>
      <c r="BN3125" s="5" t="s">
        <v>259</v>
      </c>
      <c r="BO3125" s="5" t="s">
        <v>240</v>
      </c>
      <c r="BP3125" s="5" t="s">
        <v>240</v>
      </c>
      <c r="BQ3125" s="5" t="s">
        <v>240</v>
      </c>
      <c r="BR3125" s="5" t="s">
        <v>240</v>
      </c>
      <c r="BS3125" s="5" t="s">
        <v>240</v>
      </c>
      <c r="BT3125" s="5" t="s">
        <v>240</v>
      </c>
      <c r="BU3125" s="5" t="s">
        <v>240</v>
      </c>
      <c r="BV3125" s="5" t="s">
        <v>240</v>
      </c>
      <c r="BW3125" s="6" t="s">
        <v>240</v>
      </c>
      <c r="BX3125" s="5" t="s">
        <v>240</v>
      </c>
      <c r="BY3125" s="5" t="s">
        <v>240</v>
      </c>
      <c r="BZ3125" s="5" t="s">
        <v>240</v>
      </c>
      <c r="CA3125" s="5" t="s">
        <v>259</v>
      </c>
      <c r="CB3125" s="5" t="s">
        <v>240</v>
      </c>
      <c r="CC3125" s="5" t="s">
        <v>240</v>
      </c>
      <c r="CD3125" s="5" t="s">
        <v>240</v>
      </c>
      <c r="CE3125" s="5" t="s">
        <v>240</v>
      </c>
      <c r="CF3125" s="5" t="s">
        <v>240</v>
      </c>
      <c r="CG3125" s="5" t="s">
        <v>304</v>
      </c>
      <c r="CH3125" s="5" t="s">
        <v>305</v>
      </c>
      <c r="CI3125" s="5" t="s">
        <v>240</v>
      </c>
      <c r="CK3125" s="5" t="s">
        <v>3681</v>
      </c>
      <c r="CL3125" s="6" t="s">
        <v>261</v>
      </c>
      <c r="CM3125" s="5" t="s">
        <v>262</v>
      </c>
      <c r="CN3125" s="5" t="s">
        <v>263</v>
      </c>
      <c r="CO3125" s="5" t="s">
        <v>264</v>
      </c>
      <c r="CP3125" s="5" t="s">
        <v>240</v>
      </c>
      <c r="CQ3125" s="5">
        <v>0</v>
      </c>
      <c r="CR3125" s="5" t="s">
        <v>735</v>
      </c>
      <c r="CS3125" s="5" t="s">
        <v>307</v>
      </c>
      <c r="CT3125" s="5" t="s">
        <v>307</v>
      </c>
      <c r="CU3125" s="5" t="s">
        <v>260</v>
      </c>
      <c r="CV3125" s="5" t="s">
        <v>612</v>
      </c>
      <c r="CW3125" s="8">
        <f>1</f>
        <v>1</v>
      </c>
      <c r="CX3125" s="7">
        <f>1</f>
        <v>1</v>
      </c>
      <c r="CY3125" s="7">
        <f>0</f>
        <v>0</v>
      </c>
      <c r="DA3125" s="7">
        <f>1</f>
        <v>1</v>
      </c>
      <c r="DB3125" s="7" t="s">
        <v>240</v>
      </c>
      <c r="DC3125" s="5" t="s">
        <v>240</v>
      </c>
      <c r="DD3125" s="5" t="s">
        <v>240</v>
      </c>
      <c r="DE3125" s="5" t="s">
        <v>240</v>
      </c>
      <c r="DF3125" s="5" t="s">
        <v>240</v>
      </c>
      <c r="DG3125" s="7">
        <f>0</f>
        <v>0</v>
      </c>
      <c r="DI3125" s="5" t="s">
        <v>240</v>
      </c>
      <c r="DJ3125" s="5" t="s">
        <v>240</v>
      </c>
      <c r="DK3125" s="5" t="s">
        <v>240</v>
      </c>
      <c r="DL3125" s="5" t="s">
        <v>240</v>
      </c>
      <c r="DM3125" s="5" t="s">
        <v>240</v>
      </c>
      <c r="DN3125" s="5" t="s">
        <v>240</v>
      </c>
      <c r="DO3125" s="7" t="s">
        <v>240</v>
      </c>
      <c r="DP3125" s="5" t="s">
        <v>240</v>
      </c>
      <c r="DQ3125" s="5" t="s">
        <v>240</v>
      </c>
      <c r="DR3125" s="5" t="s">
        <v>731</v>
      </c>
      <c r="DS3125" s="5" t="s">
        <v>731</v>
      </c>
      <c r="DT3125" s="5" t="s">
        <v>240</v>
      </c>
      <c r="DU3125" s="5" t="s">
        <v>240</v>
      </c>
      <c r="DV3125" s="5" t="s">
        <v>3683</v>
      </c>
      <c r="DW3125" s="5" t="s">
        <v>494</v>
      </c>
      <c r="DX3125" s="5" t="s">
        <v>240</v>
      </c>
      <c r="DY3125" s="5" t="s">
        <v>240</v>
      </c>
      <c r="DZ3125" s="5" t="s">
        <v>240</v>
      </c>
      <c r="EA3125" s="5" t="s">
        <v>240</v>
      </c>
      <c r="EB3125" s="5" t="s">
        <v>240</v>
      </c>
      <c r="EC3125" s="5" t="s">
        <v>240</v>
      </c>
      <c r="ED3125" s="5" t="s">
        <v>240</v>
      </c>
      <c r="EE3125" s="5" t="s">
        <v>240</v>
      </c>
      <c r="EF3125" s="5" t="s">
        <v>240</v>
      </c>
      <c r="EG3125" s="5" t="s">
        <v>240</v>
      </c>
      <c r="EH3125" s="5" t="s">
        <v>240</v>
      </c>
      <c r="EI3125" s="5" t="s">
        <v>240</v>
      </c>
      <c r="EJ3125" s="5" t="s">
        <v>240</v>
      </c>
      <c r="EK3125" s="5" t="s">
        <v>240</v>
      </c>
      <c r="EL3125" s="5" t="s">
        <v>240</v>
      </c>
      <c r="EM3125" s="5" t="s">
        <v>240</v>
      </c>
      <c r="EN3125" s="5" t="s">
        <v>240</v>
      </c>
      <c r="EO3125" s="5" t="s">
        <v>240</v>
      </c>
      <c r="EP3125" s="5" t="s">
        <v>240</v>
      </c>
      <c r="EQ3125" s="5" t="s">
        <v>240</v>
      </c>
      <c r="ER3125" s="5" t="s">
        <v>240</v>
      </c>
      <c r="ES3125" s="5" t="s">
        <v>240</v>
      </c>
      <c r="ET3125" s="5" t="s">
        <v>240</v>
      </c>
      <c r="EU3125" s="5" t="s">
        <v>240</v>
      </c>
      <c r="EV3125" s="5" t="s">
        <v>240</v>
      </c>
      <c r="EW3125" s="5" t="s">
        <v>240</v>
      </c>
      <c r="EX3125" s="5" t="s">
        <v>240</v>
      </c>
      <c r="EY3125" s="5" t="s">
        <v>240</v>
      </c>
      <c r="EZ3125" s="5" t="s">
        <v>240</v>
      </c>
      <c r="FA3125" s="5" t="s">
        <v>240</v>
      </c>
      <c r="FB3125" s="5" t="s">
        <v>240</v>
      </c>
      <c r="FC3125" s="5" t="s">
        <v>240</v>
      </c>
      <c r="FD3125" s="5" t="s">
        <v>240</v>
      </c>
      <c r="FE3125" s="5" t="s">
        <v>240</v>
      </c>
      <c r="FF3125" s="5" t="s">
        <v>240</v>
      </c>
      <c r="FG3125" s="5" t="s">
        <v>240</v>
      </c>
      <c r="FH3125" s="5" t="s">
        <v>240</v>
      </c>
      <c r="FI3125" s="5" t="s">
        <v>240</v>
      </c>
      <c r="FJ3125" s="5" t="s">
        <v>240</v>
      </c>
      <c r="FK3125" s="5" t="s">
        <v>240</v>
      </c>
      <c r="FL3125" s="5" t="s">
        <v>240</v>
      </c>
      <c r="FM3125" s="5" t="s">
        <v>240</v>
      </c>
      <c r="FN3125" s="5" t="s">
        <v>240</v>
      </c>
      <c r="FO3125" s="5" t="s">
        <v>240</v>
      </c>
      <c r="FP3125" s="5" t="s">
        <v>240</v>
      </c>
      <c r="FQ3125" s="5" t="s">
        <v>240</v>
      </c>
      <c r="FR3125" s="5" t="s">
        <v>240</v>
      </c>
      <c r="FS3125" s="5" t="s">
        <v>240</v>
      </c>
      <c r="FT3125" s="5" t="s">
        <v>240</v>
      </c>
      <c r="FU3125" s="5" t="s">
        <v>240</v>
      </c>
      <c r="FV3125" s="5" t="s">
        <v>240</v>
      </c>
      <c r="FW3125" s="5" t="s">
        <v>240</v>
      </c>
      <c r="FX3125" s="5" t="s">
        <v>240</v>
      </c>
      <c r="FY3125" s="5" t="s">
        <v>240</v>
      </c>
      <c r="FZ3125" s="5" t="s">
        <v>240</v>
      </c>
      <c r="GA3125" s="5" t="s">
        <v>240</v>
      </c>
      <c r="GB3125" s="5" t="s">
        <v>240</v>
      </c>
      <c r="GC3125" s="5" t="s">
        <v>240</v>
      </c>
      <c r="GD3125" s="5" t="s">
        <v>240</v>
      </c>
      <c r="GE3125" s="5" t="s">
        <v>240</v>
      </c>
      <c r="GF3125" s="5" t="s">
        <v>240</v>
      </c>
      <c r="GG3125" s="5" t="s">
        <v>240</v>
      </c>
      <c r="GH3125" s="5" t="s">
        <v>240</v>
      </c>
      <c r="GI3125" s="5" t="s">
        <v>240</v>
      </c>
      <c r="GJ3125" s="5" t="s">
        <v>240</v>
      </c>
      <c r="GK3125" s="5" t="s">
        <v>240</v>
      </c>
      <c r="GL3125" s="5" t="s">
        <v>240</v>
      </c>
      <c r="GM3125" s="5" t="s">
        <v>240</v>
      </c>
      <c r="GN3125" s="5" t="s">
        <v>240</v>
      </c>
      <c r="GO3125" s="5" t="s">
        <v>240</v>
      </c>
      <c r="GP3125" s="5" t="s">
        <v>240</v>
      </c>
      <c r="GQ3125" s="5" t="s">
        <v>240</v>
      </c>
      <c r="GR3125" s="5" t="s">
        <v>240</v>
      </c>
      <c r="GS3125" s="5" t="s">
        <v>240</v>
      </c>
      <c r="GT3125" s="5" t="s">
        <v>240</v>
      </c>
      <c r="GU3125" s="5" t="s">
        <v>240</v>
      </c>
      <c r="GV3125" s="5" t="s">
        <v>240</v>
      </c>
      <c r="GW3125" s="5" t="s">
        <v>240</v>
      </c>
      <c r="GX3125" s="5" t="s">
        <v>240</v>
      </c>
      <c r="GY3125" s="5" t="s">
        <v>240</v>
      </c>
      <c r="GZ3125" s="5" t="s">
        <v>240</v>
      </c>
      <c r="HA3125" s="5" t="s">
        <v>240</v>
      </c>
      <c r="HB3125" s="5" t="s">
        <v>240</v>
      </c>
      <c r="HC3125" s="5" t="s">
        <v>240</v>
      </c>
      <c r="HD3125" s="5" t="s">
        <v>240</v>
      </c>
      <c r="HE3125" s="5" t="s">
        <v>240</v>
      </c>
      <c r="HF3125" s="5" t="s">
        <v>240</v>
      </c>
      <c r="HG3125" s="5" t="s">
        <v>240</v>
      </c>
      <c r="HH3125" s="5" t="s">
        <v>240</v>
      </c>
      <c r="HI3125" s="5" t="s">
        <v>240</v>
      </c>
      <c r="HJ3125" s="5" t="s">
        <v>240</v>
      </c>
      <c r="HK3125" s="5" t="s">
        <v>240</v>
      </c>
      <c r="HL3125" s="5" t="s">
        <v>240</v>
      </c>
      <c r="HM3125" s="5" t="s">
        <v>240</v>
      </c>
      <c r="HN3125" s="5" t="s">
        <v>240</v>
      </c>
      <c r="HO3125" s="5" t="s">
        <v>312</v>
      </c>
      <c r="HP3125" s="5" t="s">
        <v>240</v>
      </c>
      <c r="HQ3125" s="5" t="s">
        <v>240</v>
      </c>
      <c r="HR3125" s="5" t="s">
        <v>240</v>
      </c>
      <c r="HS3125" s="5" t="s">
        <v>240</v>
      </c>
      <c r="HT3125" s="5" t="s">
        <v>240</v>
      </c>
      <c r="HU3125" s="5" t="s">
        <v>240</v>
      </c>
      <c r="HV3125" s="5" t="s">
        <v>240</v>
      </c>
      <c r="HW3125" s="5" t="s">
        <v>240</v>
      </c>
      <c r="HX3125" s="5" t="s">
        <v>240</v>
      </c>
      <c r="HY3125" s="5" t="s">
        <v>240</v>
      </c>
      <c r="HZ3125" s="5" t="s">
        <v>240</v>
      </c>
      <c r="IA3125" s="5" t="s">
        <v>240</v>
      </c>
      <c r="IB3125" s="5" t="s">
        <v>240</v>
      </c>
      <c r="IC3125" s="5" t="s">
        <v>240</v>
      </c>
      <c r="ID3125" s="5" t="s">
        <v>240</v>
      </c>
      <c r="IE3125" s="5" t="s">
        <v>240</v>
      </c>
      <c r="IF3125" s="5" t="s">
        <v>240</v>
      </c>
    </row>
    <row r="3126" spans="1:240" x14ac:dyDescent="0.4">
      <c r="A3126" s="5">
        <v>4830</v>
      </c>
      <c r="B3126" s="5">
        <v>1</v>
      </c>
      <c r="C3126" s="5">
        <v>1</v>
      </c>
      <c r="D3126" s="5" t="s">
        <v>810</v>
      </c>
      <c r="E3126" s="5" t="s">
        <v>245</v>
      </c>
      <c r="F3126" s="5" t="s">
        <v>254</v>
      </c>
      <c r="G3126" s="5" t="s">
        <v>240</v>
      </c>
      <c r="H3126" s="6" t="s">
        <v>2297</v>
      </c>
      <c r="I3126" s="5" t="s">
        <v>809</v>
      </c>
      <c r="J3126" s="8">
        <f>1200</f>
        <v>1200</v>
      </c>
      <c r="K3126" s="5" t="s">
        <v>308</v>
      </c>
      <c r="L3126" s="7">
        <f>1</f>
        <v>1</v>
      </c>
      <c r="M3126" s="7">
        <f>1</f>
        <v>1</v>
      </c>
      <c r="N3126" s="5" t="s">
        <v>242</v>
      </c>
      <c r="O3126" s="5">
        <v>1</v>
      </c>
      <c r="P3126" s="5" t="s">
        <v>294</v>
      </c>
      <c r="Q3126" s="5" t="s">
        <v>266</v>
      </c>
      <c r="R3126" s="5" t="s">
        <v>240</v>
      </c>
      <c r="S3126" s="5" t="s">
        <v>240</v>
      </c>
      <c r="T3126" s="5" t="s">
        <v>296</v>
      </c>
      <c r="U3126" s="5" t="s">
        <v>244</v>
      </c>
      <c r="V3126" s="5" t="s">
        <v>240</v>
      </c>
      <c r="Y3126" s="5" t="s">
        <v>240</v>
      </c>
      <c r="Z3126" s="6" t="s">
        <v>298</v>
      </c>
      <c r="AB3126" s="6" t="s">
        <v>240</v>
      </c>
      <c r="AE3126" s="6" t="s">
        <v>299</v>
      </c>
      <c r="AF3126" s="5" t="s">
        <v>248</v>
      </c>
      <c r="AG3126" s="5" t="s">
        <v>249</v>
      </c>
      <c r="AW3126" s="5" t="s">
        <v>251</v>
      </c>
      <c r="AX3126" s="5" t="s">
        <v>240</v>
      </c>
      <c r="AY3126" s="5" t="s">
        <v>253</v>
      </c>
      <c r="AZ3126" s="5" t="s">
        <v>240</v>
      </c>
      <c r="BA3126" s="5" t="s">
        <v>255</v>
      </c>
      <c r="BB3126" s="5" t="s">
        <v>240</v>
      </c>
      <c r="BD3126" s="5" t="s">
        <v>240</v>
      </c>
      <c r="BF3126" s="5" t="s">
        <v>301</v>
      </c>
      <c r="BG3126" s="6" t="s">
        <v>299</v>
      </c>
      <c r="BH3126" s="5" t="s">
        <v>302</v>
      </c>
      <c r="BI3126" s="5" t="s">
        <v>303</v>
      </c>
      <c r="BJ3126" s="5" t="s">
        <v>240</v>
      </c>
      <c r="BK3126" s="8">
        <f>0</f>
        <v>0</v>
      </c>
      <c r="BL3126" s="7">
        <f>0</f>
        <v>0</v>
      </c>
      <c r="BM3126" s="5" t="s">
        <v>258</v>
      </c>
      <c r="BN3126" s="5" t="s">
        <v>259</v>
      </c>
      <c r="CB3126" s="5" t="s">
        <v>240</v>
      </c>
      <c r="CC3126" s="5" t="s">
        <v>240</v>
      </c>
      <c r="CG3126" s="5" t="s">
        <v>304</v>
      </c>
      <c r="CH3126" s="5" t="s">
        <v>305</v>
      </c>
      <c r="CI3126" s="5" t="s">
        <v>240</v>
      </c>
      <c r="CL3126" s="6" t="s">
        <v>261</v>
      </c>
      <c r="CM3126" s="5" t="s">
        <v>240</v>
      </c>
      <c r="CN3126" s="5" t="s">
        <v>263</v>
      </c>
      <c r="CO3126" s="5" t="s">
        <v>240</v>
      </c>
      <c r="CP3126" s="5" t="s">
        <v>240</v>
      </c>
      <c r="CQ3126" s="5">
        <v>0</v>
      </c>
      <c r="CR3126" s="5" t="s">
        <v>306</v>
      </c>
      <c r="CS3126" s="5" t="s">
        <v>307</v>
      </c>
      <c r="CT3126" s="5" t="s">
        <v>307</v>
      </c>
      <c r="CU3126" s="5" t="s">
        <v>260</v>
      </c>
      <c r="CX3126" s="7">
        <f>1</f>
        <v>1</v>
      </c>
      <c r="CY3126" s="7">
        <f>0</f>
        <v>0</v>
      </c>
      <c r="DA3126" s="7">
        <f>0</f>
        <v>0</v>
      </c>
      <c r="DC3126" s="5" t="s">
        <v>812</v>
      </c>
      <c r="DD3126" s="5" t="s">
        <v>240</v>
      </c>
      <c r="DF3126" s="5" t="s">
        <v>812</v>
      </c>
      <c r="DG3126" s="7">
        <f>206</f>
        <v>206</v>
      </c>
      <c r="DI3126" s="5" t="s">
        <v>240</v>
      </c>
      <c r="DJ3126" s="5" t="s">
        <v>240</v>
      </c>
      <c r="DK3126" s="5" t="s">
        <v>240</v>
      </c>
      <c r="DL3126" s="5" t="s">
        <v>240</v>
      </c>
      <c r="DP3126" s="5" t="s">
        <v>240</v>
      </c>
      <c r="DQ3126" s="5" t="s">
        <v>240</v>
      </c>
      <c r="DR3126" s="5" t="s">
        <v>240</v>
      </c>
      <c r="DS3126" s="5" t="s">
        <v>240</v>
      </c>
      <c r="DV3126" s="5" t="s">
        <v>813</v>
      </c>
      <c r="DW3126" s="5" t="s">
        <v>765</v>
      </c>
      <c r="HO3126" s="5" t="s">
        <v>312</v>
      </c>
    </row>
    <row r="3127" spans="1:240" x14ac:dyDescent="0.4">
      <c r="A3127" s="5">
        <v>4831</v>
      </c>
      <c r="B3127" s="5">
        <v>1</v>
      </c>
      <c r="C3127" s="5">
        <v>1</v>
      </c>
      <c r="D3127" s="5" t="s">
        <v>810</v>
      </c>
      <c r="E3127" s="5" t="s">
        <v>245</v>
      </c>
      <c r="F3127" s="5" t="s">
        <v>254</v>
      </c>
      <c r="G3127" s="5" t="s">
        <v>240</v>
      </c>
      <c r="H3127" s="6" t="s">
        <v>2295</v>
      </c>
      <c r="I3127" s="5" t="s">
        <v>809</v>
      </c>
      <c r="J3127" s="8">
        <f>2614</f>
        <v>2614</v>
      </c>
      <c r="K3127" s="5" t="s">
        <v>308</v>
      </c>
      <c r="L3127" s="7">
        <f>1</f>
        <v>1</v>
      </c>
      <c r="M3127" s="7">
        <f>1</f>
        <v>1</v>
      </c>
      <c r="N3127" s="5" t="s">
        <v>242</v>
      </c>
      <c r="O3127" s="5">
        <v>1</v>
      </c>
      <c r="P3127" s="5" t="s">
        <v>294</v>
      </c>
      <c r="Q3127" s="5" t="s">
        <v>3678</v>
      </c>
      <c r="R3127" s="5" t="s">
        <v>240</v>
      </c>
      <c r="S3127" s="5" t="s">
        <v>240</v>
      </c>
      <c r="T3127" s="5" t="s">
        <v>243</v>
      </c>
      <c r="U3127" s="5" t="s">
        <v>244</v>
      </c>
      <c r="V3127" s="5" t="s">
        <v>240</v>
      </c>
      <c r="W3127" s="5" t="s">
        <v>240</v>
      </c>
      <c r="X3127" s="5" t="s">
        <v>240</v>
      </c>
      <c r="Y3127" s="5" t="s">
        <v>240</v>
      </c>
      <c r="Z3127" s="6" t="s">
        <v>298</v>
      </c>
      <c r="AA3127" s="6" t="s">
        <v>240</v>
      </c>
      <c r="AB3127" s="6" t="s">
        <v>240</v>
      </c>
      <c r="AC3127" s="5" t="s">
        <v>240</v>
      </c>
      <c r="AD3127" s="6" t="s">
        <v>240</v>
      </c>
      <c r="AE3127" s="6" t="s">
        <v>299</v>
      </c>
      <c r="AF3127" s="5" t="s">
        <v>248</v>
      </c>
      <c r="AG3127" s="5" t="s">
        <v>249</v>
      </c>
      <c r="AH3127" s="5" t="s">
        <v>240</v>
      </c>
      <c r="AI3127" s="5" t="s">
        <v>240</v>
      </c>
      <c r="AJ3127" s="5" t="s">
        <v>240</v>
      </c>
      <c r="AK3127" s="5" t="s">
        <v>240</v>
      </c>
      <c r="AL3127" s="5" t="s">
        <v>240</v>
      </c>
      <c r="AM3127" s="5" t="s">
        <v>240</v>
      </c>
      <c r="AN3127" s="5" t="s">
        <v>240</v>
      </c>
      <c r="AO3127" s="5" t="s">
        <v>240</v>
      </c>
      <c r="AP3127" s="6" t="s">
        <v>240</v>
      </c>
      <c r="AQ3127" s="6" t="s">
        <v>240</v>
      </c>
      <c r="AR3127" s="6" t="s">
        <v>240</v>
      </c>
      <c r="AS3127" s="6" t="s">
        <v>240</v>
      </c>
      <c r="AT3127" s="5" t="s">
        <v>240</v>
      </c>
      <c r="AU3127" s="5" t="s">
        <v>729</v>
      </c>
      <c r="AV3127" s="5" t="s">
        <v>729</v>
      </c>
      <c r="AW3127" s="5" t="s">
        <v>251</v>
      </c>
      <c r="AX3127" s="5" t="s">
        <v>252</v>
      </c>
      <c r="AY3127" s="5" t="s">
        <v>253</v>
      </c>
      <c r="AZ3127" s="5" t="s">
        <v>240</v>
      </c>
      <c r="BA3127" s="5" t="s">
        <v>255</v>
      </c>
      <c r="BB3127" s="5" t="s">
        <v>731</v>
      </c>
      <c r="BD3127" s="5" t="s">
        <v>240</v>
      </c>
      <c r="BF3127" s="5" t="s">
        <v>732</v>
      </c>
      <c r="BG3127" s="6" t="s">
        <v>733</v>
      </c>
      <c r="BH3127" s="5" t="s">
        <v>734</v>
      </c>
      <c r="BI3127" s="5" t="s">
        <v>734</v>
      </c>
      <c r="BJ3127" s="5" t="s">
        <v>240</v>
      </c>
      <c r="BK3127" s="7">
        <f>1</f>
        <v>1</v>
      </c>
      <c r="BL3127" s="7">
        <f>1</f>
        <v>1</v>
      </c>
      <c r="BM3127" s="5" t="s">
        <v>258</v>
      </c>
      <c r="BN3127" s="5" t="s">
        <v>259</v>
      </c>
      <c r="BO3127" s="5" t="s">
        <v>240</v>
      </c>
      <c r="BP3127" s="5" t="s">
        <v>240</v>
      </c>
      <c r="BQ3127" s="5" t="s">
        <v>240</v>
      </c>
      <c r="BR3127" s="5" t="s">
        <v>240</v>
      </c>
      <c r="BS3127" s="5" t="s">
        <v>240</v>
      </c>
      <c r="BT3127" s="5" t="s">
        <v>240</v>
      </c>
      <c r="BU3127" s="5" t="s">
        <v>240</v>
      </c>
      <c r="BV3127" s="5" t="s">
        <v>240</v>
      </c>
      <c r="BW3127" s="6" t="s">
        <v>240</v>
      </c>
      <c r="BX3127" s="5" t="s">
        <v>240</v>
      </c>
      <c r="BY3127" s="5" t="s">
        <v>240</v>
      </c>
      <c r="BZ3127" s="5" t="s">
        <v>240</v>
      </c>
      <c r="CA3127" s="5" t="s">
        <v>259</v>
      </c>
      <c r="CB3127" s="5" t="s">
        <v>240</v>
      </c>
      <c r="CC3127" s="5" t="s">
        <v>240</v>
      </c>
      <c r="CD3127" s="5" t="s">
        <v>240</v>
      </c>
      <c r="CE3127" s="5" t="s">
        <v>240</v>
      </c>
      <c r="CF3127" s="5" t="s">
        <v>240</v>
      </c>
      <c r="CG3127" s="5" t="s">
        <v>304</v>
      </c>
      <c r="CH3127" s="5" t="s">
        <v>305</v>
      </c>
      <c r="CI3127" s="5" t="s">
        <v>240</v>
      </c>
      <c r="CK3127" s="5" t="s">
        <v>3681</v>
      </c>
      <c r="CL3127" s="6" t="s">
        <v>261</v>
      </c>
      <c r="CM3127" s="5" t="s">
        <v>262</v>
      </c>
      <c r="CN3127" s="5" t="s">
        <v>263</v>
      </c>
      <c r="CO3127" s="5" t="s">
        <v>264</v>
      </c>
      <c r="CP3127" s="5" t="s">
        <v>240</v>
      </c>
      <c r="CQ3127" s="5">
        <v>0</v>
      </c>
      <c r="CR3127" s="5" t="s">
        <v>735</v>
      </c>
      <c r="CS3127" s="5" t="s">
        <v>307</v>
      </c>
      <c r="CT3127" s="5" t="s">
        <v>307</v>
      </c>
      <c r="CU3127" s="5" t="s">
        <v>260</v>
      </c>
      <c r="CV3127" s="5" t="s">
        <v>612</v>
      </c>
      <c r="CW3127" s="8">
        <f>1</f>
        <v>1</v>
      </c>
      <c r="CX3127" s="7">
        <f>1</f>
        <v>1</v>
      </c>
      <c r="CY3127" s="7">
        <f>0</f>
        <v>0</v>
      </c>
      <c r="DA3127" s="7">
        <f>1</f>
        <v>1</v>
      </c>
      <c r="DB3127" s="7" t="s">
        <v>240</v>
      </c>
      <c r="DC3127" s="5" t="s">
        <v>240</v>
      </c>
      <c r="DD3127" s="5" t="s">
        <v>240</v>
      </c>
      <c r="DE3127" s="5" t="s">
        <v>240</v>
      </c>
      <c r="DF3127" s="5" t="s">
        <v>240</v>
      </c>
      <c r="DG3127" s="7">
        <f>0</f>
        <v>0</v>
      </c>
      <c r="DI3127" s="5" t="s">
        <v>240</v>
      </c>
      <c r="DJ3127" s="5" t="s">
        <v>240</v>
      </c>
      <c r="DK3127" s="5" t="s">
        <v>240</v>
      </c>
      <c r="DL3127" s="5" t="s">
        <v>240</v>
      </c>
      <c r="DM3127" s="5" t="s">
        <v>240</v>
      </c>
      <c r="DN3127" s="5" t="s">
        <v>240</v>
      </c>
      <c r="DO3127" s="7" t="s">
        <v>240</v>
      </c>
      <c r="DP3127" s="5" t="s">
        <v>240</v>
      </c>
      <c r="DQ3127" s="5" t="s">
        <v>240</v>
      </c>
      <c r="DR3127" s="5" t="s">
        <v>731</v>
      </c>
      <c r="DS3127" s="5" t="s">
        <v>731</v>
      </c>
      <c r="DT3127" s="5" t="s">
        <v>240</v>
      </c>
      <c r="DU3127" s="5" t="s">
        <v>240</v>
      </c>
      <c r="DV3127" s="5" t="s">
        <v>3683</v>
      </c>
      <c r="DW3127" s="5" t="s">
        <v>475</v>
      </c>
      <c r="DX3127" s="5" t="s">
        <v>240</v>
      </c>
      <c r="DY3127" s="5" t="s">
        <v>240</v>
      </c>
      <c r="DZ3127" s="5" t="s">
        <v>240</v>
      </c>
      <c r="EA3127" s="5" t="s">
        <v>240</v>
      </c>
      <c r="EB3127" s="5" t="s">
        <v>240</v>
      </c>
      <c r="EC3127" s="5" t="s">
        <v>240</v>
      </c>
      <c r="ED3127" s="5" t="s">
        <v>240</v>
      </c>
      <c r="EE3127" s="5" t="s">
        <v>240</v>
      </c>
      <c r="EF3127" s="5" t="s">
        <v>240</v>
      </c>
      <c r="EG3127" s="5" t="s">
        <v>240</v>
      </c>
      <c r="EH3127" s="5" t="s">
        <v>240</v>
      </c>
      <c r="EI3127" s="5" t="s">
        <v>240</v>
      </c>
      <c r="EJ3127" s="5" t="s">
        <v>240</v>
      </c>
      <c r="EK3127" s="5" t="s">
        <v>240</v>
      </c>
      <c r="EL3127" s="5" t="s">
        <v>240</v>
      </c>
      <c r="EM3127" s="5" t="s">
        <v>240</v>
      </c>
      <c r="EN3127" s="5" t="s">
        <v>240</v>
      </c>
      <c r="EO3127" s="5" t="s">
        <v>240</v>
      </c>
      <c r="EP3127" s="5" t="s">
        <v>240</v>
      </c>
      <c r="EQ3127" s="5" t="s">
        <v>240</v>
      </c>
      <c r="ER3127" s="5" t="s">
        <v>240</v>
      </c>
      <c r="ES3127" s="5" t="s">
        <v>240</v>
      </c>
      <c r="ET3127" s="5" t="s">
        <v>240</v>
      </c>
      <c r="EU3127" s="5" t="s">
        <v>240</v>
      </c>
      <c r="EV3127" s="5" t="s">
        <v>240</v>
      </c>
      <c r="EW3127" s="5" t="s">
        <v>240</v>
      </c>
      <c r="EX3127" s="5" t="s">
        <v>240</v>
      </c>
      <c r="EY3127" s="5" t="s">
        <v>240</v>
      </c>
      <c r="EZ3127" s="5" t="s">
        <v>240</v>
      </c>
      <c r="FA3127" s="5" t="s">
        <v>240</v>
      </c>
      <c r="FB3127" s="5" t="s">
        <v>240</v>
      </c>
      <c r="FC3127" s="5" t="s">
        <v>240</v>
      </c>
      <c r="FD3127" s="5" t="s">
        <v>240</v>
      </c>
      <c r="FE3127" s="5" t="s">
        <v>240</v>
      </c>
      <c r="FF3127" s="5" t="s">
        <v>240</v>
      </c>
      <c r="FG3127" s="5" t="s">
        <v>240</v>
      </c>
      <c r="FH3127" s="5" t="s">
        <v>240</v>
      </c>
      <c r="FI3127" s="5" t="s">
        <v>240</v>
      </c>
      <c r="FJ3127" s="5" t="s">
        <v>240</v>
      </c>
      <c r="FK3127" s="5" t="s">
        <v>240</v>
      </c>
      <c r="FL3127" s="5" t="s">
        <v>240</v>
      </c>
      <c r="FM3127" s="5" t="s">
        <v>240</v>
      </c>
      <c r="FN3127" s="5" t="s">
        <v>240</v>
      </c>
      <c r="FO3127" s="5" t="s">
        <v>240</v>
      </c>
      <c r="FP3127" s="5" t="s">
        <v>240</v>
      </c>
      <c r="FQ3127" s="5" t="s">
        <v>240</v>
      </c>
      <c r="FR3127" s="5" t="s">
        <v>240</v>
      </c>
      <c r="FS3127" s="5" t="s">
        <v>240</v>
      </c>
      <c r="FT3127" s="5" t="s">
        <v>240</v>
      </c>
      <c r="FU3127" s="5" t="s">
        <v>240</v>
      </c>
      <c r="FV3127" s="5" t="s">
        <v>240</v>
      </c>
      <c r="FW3127" s="5" t="s">
        <v>240</v>
      </c>
      <c r="FX3127" s="5" t="s">
        <v>240</v>
      </c>
      <c r="FY3127" s="5" t="s">
        <v>240</v>
      </c>
      <c r="FZ3127" s="5" t="s">
        <v>240</v>
      </c>
      <c r="GA3127" s="5" t="s">
        <v>240</v>
      </c>
      <c r="GB3127" s="5" t="s">
        <v>240</v>
      </c>
      <c r="GC3127" s="5" t="s">
        <v>240</v>
      </c>
      <c r="GD3127" s="5" t="s">
        <v>240</v>
      </c>
      <c r="GE3127" s="5" t="s">
        <v>240</v>
      </c>
      <c r="GF3127" s="5" t="s">
        <v>240</v>
      </c>
      <c r="GG3127" s="5" t="s">
        <v>240</v>
      </c>
      <c r="GH3127" s="5" t="s">
        <v>240</v>
      </c>
      <c r="GI3127" s="5" t="s">
        <v>240</v>
      </c>
      <c r="GJ3127" s="5" t="s">
        <v>240</v>
      </c>
      <c r="GK3127" s="5" t="s">
        <v>240</v>
      </c>
      <c r="GL3127" s="5" t="s">
        <v>240</v>
      </c>
      <c r="GM3127" s="5" t="s">
        <v>240</v>
      </c>
      <c r="GN3127" s="5" t="s">
        <v>240</v>
      </c>
      <c r="GO3127" s="5" t="s">
        <v>240</v>
      </c>
      <c r="GP3127" s="5" t="s">
        <v>240</v>
      </c>
      <c r="GQ3127" s="5" t="s">
        <v>240</v>
      </c>
      <c r="GR3127" s="5" t="s">
        <v>240</v>
      </c>
      <c r="GS3127" s="5" t="s">
        <v>240</v>
      </c>
      <c r="GT3127" s="5" t="s">
        <v>240</v>
      </c>
      <c r="GU3127" s="5" t="s">
        <v>240</v>
      </c>
      <c r="GV3127" s="5" t="s">
        <v>240</v>
      </c>
      <c r="GW3127" s="5" t="s">
        <v>240</v>
      </c>
      <c r="GX3127" s="5" t="s">
        <v>240</v>
      </c>
      <c r="GY3127" s="5" t="s">
        <v>240</v>
      </c>
      <c r="GZ3127" s="5" t="s">
        <v>240</v>
      </c>
      <c r="HA3127" s="5" t="s">
        <v>240</v>
      </c>
      <c r="HB3127" s="5" t="s">
        <v>240</v>
      </c>
      <c r="HC3127" s="5" t="s">
        <v>240</v>
      </c>
      <c r="HD3127" s="5" t="s">
        <v>240</v>
      </c>
      <c r="HE3127" s="5" t="s">
        <v>240</v>
      </c>
      <c r="HF3127" s="5" t="s">
        <v>240</v>
      </c>
      <c r="HG3127" s="5" t="s">
        <v>240</v>
      </c>
      <c r="HH3127" s="5" t="s">
        <v>240</v>
      </c>
      <c r="HI3127" s="5" t="s">
        <v>240</v>
      </c>
      <c r="HJ3127" s="5" t="s">
        <v>240</v>
      </c>
      <c r="HK3127" s="5" t="s">
        <v>240</v>
      </c>
      <c r="HL3127" s="5" t="s">
        <v>240</v>
      </c>
      <c r="HM3127" s="5" t="s">
        <v>240</v>
      </c>
      <c r="HN3127" s="5" t="s">
        <v>240</v>
      </c>
      <c r="HO3127" s="5" t="s">
        <v>312</v>
      </c>
      <c r="HP3127" s="5" t="s">
        <v>240</v>
      </c>
      <c r="HQ3127" s="5" t="s">
        <v>240</v>
      </c>
      <c r="HR3127" s="5" t="s">
        <v>240</v>
      </c>
      <c r="HS3127" s="5" t="s">
        <v>240</v>
      </c>
      <c r="HT3127" s="5" t="s">
        <v>240</v>
      </c>
      <c r="HU3127" s="5" t="s">
        <v>240</v>
      </c>
      <c r="HV3127" s="5" t="s">
        <v>240</v>
      </c>
      <c r="HW3127" s="5" t="s">
        <v>240</v>
      </c>
      <c r="HX3127" s="5" t="s">
        <v>240</v>
      </c>
      <c r="HY3127" s="5" t="s">
        <v>240</v>
      </c>
      <c r="HZ3127" s="5" t="s">
        <v>240</v>
      </c>
      <c r="IA3127" s="5" t="s">
        <v>240</v>
      </c>
      <c r="IB3127" s="5" t="s">
        <v>240</v>
      </c>
      <c r="IC3127" s="5" t="s">
        <v>240</v>
      </c>
      <c r="ID3127" s="5" t="s">
        <v>240</v>
      </c>
      <c r="IE3127" s="5" t="s">
        <v>240</v>
      </c>
      <c r="IF3127" s="5" t="s">
        <v>240</v>
      </c>
    </row>
    <row r="3128" spans="1:240" x14ac:dyDescent="0.4">
      <c r="A3128" s="5">
        <v>4832</v>
      </c>
      <c r="B3128" s="5">
        <v>1</v>
      </c>
      <c r="C3128" s="5">
        <v>1</v>
      </c>
      <c r="D3128" s="5" t="s">
        <v>810</v>
      </c>
      <c r="E3128" s="5" t="s">
        <v>245</v>
      </c>
      <c r="F3128" s="5" t="s">
        <v>254</v>
      </c>
      <c r="G3128" s="5" t="s">
        <v>240</v>
      </c>
      <c r="H3128" s="6" t="s">
        <v>2293</v>
      </c>
      <c r="I3128" s="5" t="s">
        <v>809</v>
      </c>
      <c r="J3128" s="8">
        <f>305</f>
        <v>305</v>
      </c>
      <c r="K3128" s="5" t="s">
        <v>308</v>
      </c>
      <c r="L3128" s="7">
        <f>1</f>
        <v>1</v>
      </c>
      <c r="M3128" s="7">
        <f>1</f>
        <v>1</v>
      </c>
      <c r="N3128" s="5" t="s">
        <v>242</v>
      </c>
      <c r="O3128" s="5">
        <v>1</v>
      </c>
      <c r="P3128" s="5" t="s">
        <v>294</v>
      </c>
      <c r="Q3128" s="5" t="s">
        <v>3678</v>
      </c>
      <c r="R3128" s="5" t="s">
        <v>240</v>
      </c>
      <c r="S3128" s="5" t="s">
        <v>240</v>
      </c>
      <c r="T3128" s="5" t="s">
        <v>243</v>
      </c>
      <c r="U3128" s="5" t="s">
        <v>244</v>
      </c>
      <c r="V3128" s="5" t="s">
        <v>240</v>
      </c>
      <c r="W3128" s="5" t="s">
        <v>240</v>
      </c>
      <c r="X3128" s="5" t="s">
        <v>240</v>
      </c>
      <c r="Y3128" s="5" t="s">
        <v>240</v>
      </c>
      <c r="Z3128" s="6" t="s">
        <v>298</v>
      </c>
      <c r="AA3128" s="6" t="s">
        <v>240</v>
      </c>
      <c r="AB3128" s="6" t="s">
        <v>240</v>
      </c>
      <c r="AC3128" s="5" t="s">
        <v>240</v>
      </c>
      <c r="AD3128" s="6" t="s">
        <v>240</v>
      </c>
      <c r="AE3128" s="6" t="s">
        <v>299</v>
      </c>
      <c r="AF3128" s="5" t="s">
        <v>248</v>
      </c>
      <c r="AG3128" s="5" t="s">
        <v>249</v>
      </c>
      <c r="AH3128" s="5" t="s">
        <v>240</v>
      </c>
      <c r="AI3128" s="5" t="s">
        <v>240</v>
      </c>
      <c r="AJ3128" s="5" t="s">
        <v>240</v>
      </c>
      <c r="AK3128" s="5" t="s">
        <v>240</v>
      </c>
      <c r="AL3128" s="5" t="s">
        <v>240</v>
      </c>
      <c r="AM3128" s="5" t="s">
        <v>240</v>
      </c>
      <c r="AN3128" s="5" t="s">
        <v>240</v>
      </c>
      <c r="AO3128" s="5" t="s">
        <v>240</v>
      </c>
      <c r="AP3128" s="6" t="s">
        <v>240</v>
      </c>
      <c r="AQ3128" s="6" t="s">
        <v>240</v>
      </c>
      <c r="AR3128" s="6" t="s">
        <v>240</v>
      </c>
      <c r="AS3128" s="6" t="s">
        <v>240</v>
      </c>
      <c r="AT3128" s="5" t="s">
        <v>240</v>
      </c>
      <c r="AU3128" s="5" t="s">
        <v>729</v>
      </c>
      <c r="AV3128" s="5" t="s">
        <v>729</v>
      </c>
      <c r="AW3128" s="5" t="s">
        <v>251</v>
      </c>
      <c r="AX3128" s="5" t="s">
        <v>252</v>
      </c>
      <c r="AY3128" s="5" t="s">
        <v>253</v>
      </c>
      <c r="AZ3128" s="5" t="s">
        <v>240</v>
      </c>
      <c r="BA3128" s="5" t="s">
        <v>255</v>
      </c>
      <c r="BB3128" s="5" t="s">
        <v>731</v>
      </c>
      <c r="BD3128" s="5" t="s">
        <v>240</v>
      </c>
      <c r="BF3128" s="5" t="s">
        <v>732</v>
      </c>
      <c r="BG3128" s="6" t="s">
        <v>733</v>
      </c>
      <c r="BH3128" s="5" t="s">
        <v>734</v>
      </c>
      <c r="BI3128" s="5" t="s">
        <v>734</v>
      </c>
      <c r="BJ3128" s="5" t="s">
        <v>240</v>
      </c>
      <c r="BK3128" s="7">
        <f>1</f>
        <v>1</v>
      </c>
      <c r="BL3128" s="7">
        <f>1</f>
        <v>1</v>
      </c>
      <c r="BM3128" s="5" t="s">
        <v>258</v>
      </c>
      <c r="BN3128" s="5" t="s">
        <v>259</v>
      </c>
      <c r="BO3128" s="5" t="s">
        <v>240</v>
      </c>
      <c r="BP3128" s="5" t="s">
        <v>240</v>
      </c>
      <c r="BQ3128" s="5" t="s">
        <v>240</v>
      </c>
      <c r="BR3128" s="5" t="s">
        <v>240</v>
      </c>
      <c r="BS3128" s="5" t="s">
        <v>240</v>
      </c>
      <c r="BT3128" s="5" t="s">
        <v>240</v>
      </c>
      <c r="BU3128" s="5" t="s">
        <v>240</v>
      </c>
      <c r="BV3128" s="5" t="s">
        <v>240</v>
      </c>
      <c r="BW3128" s="6" t="s">
        <v>240</v>
      </c>
      <c r="BX3128" s="5" t="s">
        <v>240</v>
      </c>
      <c r="BY3128" s="5" t="s">
        <v>240</v>
      </c>
      <c r="BZ3128" s="5" t="s">
        <v>240</v>
      </c>
      <c r="CA3128" s="5" t="s">
        <v>259</v>
      </c>
      <c r="CB3128" s="5" t="s">
        <v>240</v>
      </c>
      <c r="CC3128" s="5" t="s">
        <v>240</v>
      </c>
      <c r="CD3128" s="5" t="s">
        <v>240</v>
      </c>
      <c r="CE3128" s="5" t="s">
        <v>240</v>
      </c>
      <c r="CF3128" s="5" t="s">
        <v>240</v>
      </c>
      <c r="CG3128" s="5" t="s">
        <v>304</v>
      </c>
      <c r="CH3128" s="5" t="s">
        <v>305</v>
      </c>
      <c r="CI3128" s="5" t="s">
        <v>240</v>
      </c>
      <c r="CK3128" s="5" t="s">
        <v>3681</v>
      </c>
      <c r="CL3128" s="6" t="s">
        <v>261</v>
      </c>
      <c r="CM3128" s="5" t="s">
        <v>262</v>
      </c>
      <c r="CN3128" s="5" t="s">
        <v>263</v>
      </c>
      <c r="CO3128" s="5" t="s">
        <v>264</v>
      </c>
      <c r="CP3128" s="5" t="s">
        <v>240</v>
      </c>
      <c r="CQ3128" s="5">
        <v>0</v>
      </c>
      <c r="CR3128" s="5" t="s">
        <v>735</v>
      </c>
      <c r="CS3128" s="5" t="s">
        <v>307</v>
      </c>
      <c r="CT3128" s="5" t="s">
        <v>307</v>
      </c>
      <c r="CU3128" s="5" t="s">
        <v>260</v>
      </c>
      <c r="CV3128" s="5" t="s">
        <v>612</v>
      </c>
      <c r="CW3128" s="8">
        <f>1</f>
        <v>1</v>
      </c>
      <c r="CX3128" s="7">
        <f>1</f>
        <v>1</v>
      </c>
      <c r="CY3128" s="7">
        <f>0</f>
        <v>0</v>
      </c>
      <c r="DA3128" s="7">
        <f>1</f>
        <v>1</v>
      </c>
      <c r="DB3128" s="7" t="s">
        <v>240</v>
      </c>
      <c r="DC3128" s="5" t="s">
        <v>240</v>
      </c>
      <c r="DD3128" s="5" t="s">
        <v>240</v>
      </c>
      <c r="DE3128" s="5" t="s">
        <v>240</v>
      </c>
      <c r="DF3128" s="5" t="s">
        <v>240</v>
      </c>
      <c r="DG3128" s="7">
        <f>0</f>
        <v>0</v>
      </c>
      <c r="DI3128" s="5" t="s">
        <v>240</v>
      </c>
      <c r="DJ3128" s="5" t="s">
        <v>240</v>
      </c>
      <c r="DK3128" s="5" t="s">
        <v>240</v>
      </c>
      <c r="DL3128" s="5" t="s">
        <v>240</v>
      </c>
      <c r="DM3128" s="5" t="s">
        <v>240</v>
      </c>
      <c r="DN3128" s="5" t="s">
        <v>240</v>
      </c>
      <c r="DO3128" s="7" t="s">
        <v>240</v>
      </c>
      <c r="DP3128" s="5" t="s">
        <v>240</v>
      </c>
      <c r="DQ3128" s="5" t="s">
        <v>240</v>
      </c>
      <c r="DR3128" s="5" t="s">
        <v>731</v>
      </c>
      <c r="DS3128" s="5" t="s">
        <v>731</v>
      </c>
      <c r="DT3128" s="5" t="s">
        <v>240</v>
      </c>
      <c r="DU3128" s="5" t="s">
        <v>240</v>
      </c>
      <c r="DV3128" s="5" t="s">
        <v>3683</v>
      </c>
      <c r="DW3128" s="5" t="s">
        <v>1126</v>
      </c>
      <c r="DX3128" s="5" t="s">
        <v>240</v>
      </c>
      <c r="DY3128" s="5" t="s">
        <v>240</v>
      </c>
      <c r="DZ3128" s="5" t="s">
        <v>240</v>
      </c>
      <c r="EA3128" s="5" t="s">
        <v>240</v>
      </c>
      <c r="EB3128" s="5" t="s">
        <v>240</v>
      </c>
      <c r="EC3128" s="5" t="s">
        <v>240</v>
      </c>
      <c r="ED3128" s="5" t="s">
        <v>240</v>
      </c>
      <c r="EE3128" s="5" t="s">
        <v>240</v>
      </c>
      <c r="EF3128" s="5" t="s">
        <v>240</v>
      </c>
      <c r="EG3128" s="5" t="s">
        <v>240</v>
      </c>
      <c r="EH3128" s="5" t="s">
        <v>240</v>
      </c>
      <c r="EI3128" s="5" t="s">
        <v>240</v>
      </c>
      <c r="EJ3128" s="5" t="s">
        <v>240</v>
      </c>
      <c r="EK3128" s="5" t="s">
        <v>240</v>
      </c>
      <c r="EL3128" s="5" t="s">
        <v>240</v>
      </c>
      <c r="EM3128" s="5" t="s">
        <v>240</v>
      </c>
      <c r="EN3128" s="5" t="s">
        <v>240</v>
      </c>
      <c r="EO3128" s="5" t="s">
        <v>240</v>
      </c>
      <c r="EP3128" s="5" t="s">
        <v>240</v>
      </c>
      <c r="EQ3128" s="5" t="s">
        <v>240</v>
      </c>
      <c r="ER3128" s="5" t="s">
        <v>240</v>
      </c>
      <c r="ES3128" s="5" t="s">
        <v>240</v>
      </c>
      <c r="ET3128" s="5" t="s">
        <v>240</v>
      </c>
      <c r="EU3128" s="5" t="s">
        <v>240</v>
      </c>
      <c r="EV3128" s="5" t="s">
        <v>240</v>
      </c>
      <c r="EW3128" s="5" t="s">
        <v>240</v>
      </c>
      <c r="EX3128" s="5" t="s">
        <v>240</v>
      </c>
      <c r="EY3128" s="5" t="s">
        <v>240</v>
      </c>
      <c r="EZ3128" s="5" t="s">
        <v>240</v>
      </c>
      <c r="FA3128" s="5" t="s">
        <v>240</v>
      </c>
      <c r="FB3128" s="5" t="s">
        <v>240</v>
      </c>
      <c r="FC3128" s="5" t="s">
        <v>240</v>
      </c>
      <c r="FD3128" s="5" t="s">
        <v>240</v>
      </c>
      <c r="FE3128" s="5" t="s">
        <v>240</v>
      </c>
      <c r="FF3128" s="5" t="s">
        <v>240</v>
      </c>
      <c r="FG3128" s="5" t="s">
        <v>240</v>
      </c>
      <c r="FH3128" s="5" t="s">
        <v>240</v>
      </c>
      <c r="FI3128" s="5" t="s">
        <v>240</v>
      </c>
      <c r="FJ3128" s="5" t="s">
        <v>240</v>
      </c>
      <c r="FK3128" s="5" t="s">
        <v>240</v>
      </c>
      <c r="FL3128" s="5" t="s">
        <v>240</v>
      </c>
      <c r="FM3128" s="5" t="s">
        <v>240</v>
      </c>
      <c r="FN3128" s="5" t="s">
        <v>240</v>
      </c>
      <c r="FO3128" s="5" t="s">
        <v>240</v>
      </c>
      <c r="FP3128" s="5" t="s">
        <v>240</v>
      </c>
      <c r="FQ3128" s="5" t="s">
        <v>240</v>
      </c>
      <c r="FR3128" s="5" t="s">
        <v>240</v>
      </c>
      <c r="FS3128" s="5" t="s">
        <v>240</v>
      </c>
      <c r="FT3128" s="5" t="s">
        <v>240</v>
      </c>
      <c r="FU3128" s="5" t="s">
        <v>240</v>
      </c>
      <c r="FV3128" s="5" t="s">
        <v>240</v>
      </c>
      <c r="FW3128" s="5" t="s">
        <v>240</v>
      </c>
      <c r="FX3128" s="5" t="s">
        <v>240</v>
      </c>
      <c r="FY3128" s="5" t="s">
        <v>240</v>
      </c>
      <c r="FZ3128" s="5" t="s">
        <v>240</v>
      </c>
      <c r="GA3128" s="5" t="s">
        <v>240</v>
      </c>
      <c r="GB3128" s="5" t="s">
        <v>240</v>
      </c>
      <c r="GC3128" s="5" t="s">
        <v>240</v>
      </c>
      <c r="GD3128" s="5" t="s">
        <v>240</v>
      </c>
      <c r="GE3128" s="5" t="s">
        <v>240</v>
      </c>
      <c r="GF3128" s="5" t="s">
        <v>240</v>
      </c>
      <c r="GG3128" s="5" t="s">
        <v>240</v>
      </c>
      <c r="GH3128" s="5" t="s">
        <v>240</v>
      </c>
      <c r="GI3128" s="5" t="s">
        <v>240</v>
      </c>
      <c r="GJ3128" s="5" t="s">
        <v>240</v>
      </c>
      <c r="GK3128" s="5" t="s">
        <v>240</v>
      </c>
      <c r="GL3128" s="5" t="s">
        <v>240</v>
      </c>
      <c r="GM3128" s="5" t="s">
        <v>240</v>
      </c>
      <c r="GN3128" s="5" t="s">
        <v>240</v>
      </c>
      <c r="GO3128" s="5" t="s">
        <v>240</v>
      </c>
      <c r="GP3128" s="5" t="s">
        <v>240</v>
      </c>
      <c r="GQ3128" s="5" t="s">
        <v>240</v>
      </c>
      <c r="GR3128" s="5" t="s">
        <v>240</v>
      </c>
      <c r="GS3128" s="5" t="s">
        <v>240</v>
      </c>
      <c r="GT3128" s="5" t="s">
        <v>240</v>
      </c>
      <c r="GU3128" s="5" t="s">
        <v>240</v>
      </c>
      <c r="GV3128" s="5" t="s">
        <v>240</v>
      </c>
      <c r="GW3128" s="5" t="s">
        <v>240</v>
      </c>
      <c r="GX3128" s="5" t="s">
        <v>240</v>
      </c>
      <c r="GY3128" s="5" t="s">
        <v>240</v>
      </c>
      <c r="GZ3128" s="5" t="s">
        <v>240</v>
      </c>
      <c r="HA3128" s="5" t="s">
        <v>240</v>
      </c>
      <c r="HB3128" s="5" t="s">
        <v>240</v>
      </c>
      <c r="HC3128" s="5" t="s">
        <v>240</v>
      </c>
      <c r="HD3128" s="5" t="s">
        <v>240</v>
      </c>
      <c r="HE3128" s="5" t="s">
        <v>240</v>
      </c>
      <c r="HF3128" s="5" t="s">
        <v>240</v>
      </c>
      <c r="HG3128" s="5" t="s">
        <v>240</v>
      </c>
      <c r="HH3128" s="5" t="s">
        <v>240</v>
      </c>
      <c r="HI3128" s="5" t="s">
        <v>240</v>
      </c>
      <c r="HJ3128" s="5" t="s">
        <v>240</v>
      </c>
      <c r="HK3128" s="5" t="s">
        <v>240</v>
      </c>
      <c r="HL3128" s="5" t="s">
        <v>240</v>
      </c>
      <c r="HM3128" s="5" t="s">
        <v>240</v>
      </c>
      <c r="HN3128" s="5" t="s">
        <v>240</v>
      </c>
      <c r="HO3128" s="5" t="s">
        <v>312</v>
      </c>
      <c r="HP3128" s="5" t="s">
        <v>240</v>
      </c>
      <c r="HQ3128" s="5" t="s">
        <v>240</v>
      </c>
      <c r="HR3128" s="5" t="s">
        <v>240</v>
      </c>
      <c r="HS3128" s="5" t="s">
        <v>240</v>
      </c>
      <c r="HT3128" s="5" t="s">
        <v>240</v>
      </c>
      <c r="HU3128" s="5" t="s">
        <v>240</v>
      </c>
      <c r="HV3128" s="5" t="s">
        <v>240</v>
      </c>
      <c r="HW3128" s="5" t="s">
        <v>240</v>
      </c>
      <c r="HX3128" s="5" t="s">
        <v>240</v>
      </c>
      <c r="HY3128" s="5" t="s">
        <v>240</v>
      </c>
      <c r="HZ3128" s="5" t="s">
        <v>240</v>
      </c>
      <c r="IA3128" s="5" t="s">
        <v>240</v>
      </c>
      <c r="IB3128" s="5" t="s">
        <v>240</v>
      </c>
      <c r="IC3128" s="5" t="s">
        <v>240</v>
      </c>
      <c r="ID3128" s="5" t="s">
        <v>240</v>
      </c>
      <c r="IE3128" s="5" t="s">
        <v>240</v>
      </c>
      <c r="IF3128" s="5" t="s">
        <v>240</v>
      </c>
    </row>
    <row r="3129" spans="1:240" x14ac:dyDescent="0.4">
      <c r="A3129" s="5">
        <v>4833</v>
      </c>
      <c r="B3129" s="5">
        <v>1</v>
      </c>
      <c r="C3129" s="5">
        <v>1</v>
      </c>
      <c r="D3129" s="5" t="s">
        <v>810</v>
      </c>
      <c r="E3129" s="5" t="s">
        <v>245</v>
      </c>
      <c r="F3129" s="5" t="s">
        <v>254</v>
      </c>
      <c r="G3129" s="5" t="s">
        <v>240</v>
      </c>
      <c r="H3129" s="6" t="s">
        <v>2291</v>
      </c>
      <c r="I3129" s="5" t="s">
        <v>809</v>
      </c>
      <c r="J3129" s="8">
        <f>383</f>
        <v>383</v>
      </c>
      <c r="K3129" s="5" t="s">
        <v>308</v>
      </c>
      <c r="L3129" s="7">
        <f>1</f>
        <v>1</v>
      </c>
      <c r="M3129" s="7">
        <f>1</f>
        <v>1</v>
      </c>
      <c r="N3129" s="5" t="s">
        <v>242</v>
      </c>
      <c r="O3129" s="5">
        <v>1</v>
      </c>
      <c r="P3129" s="5" t="s">
        <v>294</v>
      </c>
      <c r="Q3129" s="5" t="s">
        <v>3678</v>
      </c>
      <c r="R3129" s="5" t="s">
        <v>240</v>
      </c>
      <c r="S3129" s="5" t="s">
        <v>240</v>
      </c>
      <c r="T3129" s="5" t="s">
        <v>243</v>
      </c>
      <c r="U3129" s="5" t="s">
        <v>244</v>
      </c>
      <c r="V3129" s="5" t="s">
        <v>240</v>
      </c>
      <c r="W3129" s="5" t="s">
        <v>240</v>
      </c>
      <c r="X3129" s="5" t="s">
        <v>240</v>
      </c>
      <c r="Y3129" s="5" t="s">
        <v>240</v>
      </c>
      <c r="Z3129" s="6" t="s">
        <v>298</v>
      </c>
      <c r="AA3129" s="6" t="s">
        <v>240</v>
      </c>
      <c r="AB3129" s="6" t="s">
        <v>240</v>
      </c>
      <c r="AC3129" s="5" t="s">
        <v>240</v>
      </c>
      <c r="AD3129" s="6" t="s">
        <v>240</v>
      </c>
      <c r="AE3129" s="6" t="s">
        <v>299</v>
      </c>
      <c r="AF3129" s="5" t="s">
        <v>248</v>
      </c>
      <c r="AG3129" s="5" t="s">
        <v>249</v>
      </c>
      <c r="AH3129" s="5" t="s">
        <v>240</v>
      </c>
      <c r="AI3129" s="5" t="s">
        <v>240</v>
      </c>
      <c r="AJ3129" s="5" t="s">
        <v>240</v>
      </c>
      <c r="AK3129" s="5" t="s">
        <v>240</v>
      </c>
      <c r="AL3129" s="5" t="s">
        <v>240</v>
      </c>
      <c r="AM3129" s="5" t="s">
        <v>240</v>
      </c>
      <c r="AN3129" s="5" t="s">
        <v>240</v>
      </c>
      <c r="AO3129" s="5" t="s">
        <v>240</v>
      </c>
      <c r="AP3129" s="6" t="s">
        <v>240</v>
      </c>
      <c r="AQ3129" s="6" t="s">
        <v>240</v>
      </c>
      <c r="AR3129" s="6" t="s">
        <v>240</v>
      </c>
      <c r="AS3129" s="6" t="s">
        <v>240</v>
      </c>
      <c r="AT3129" s="5" t="s">
        <v>240</v>
      </c>
      <c r="AU3129" s="5" t="s">
        <v>729</v>
      </c>
      <c r="AV3129" s="5" t="s">
        <v>729</v>
      </c>
      <c r="AW3129" s="5" t="s">
        <v>251</v>
      </c>
      <c r="AX3129" s="5" t="s">
        <v>252</v>
      </c>
      <c r="AY3129" s="5" t="s">
        <v>253</v>
      </c>
      <c r="AZ3129" s="5" t="s">
        <v>240</v>
      </c>
      <c r="BA3129" s="5" t="s">
        <v>255</v>
      </c>
      <c r="BB3129" s="5" t="s">
        <v>731</v>
      </c>
      <c r="BD3129" s="5" t="s">
        <v>240</v>
      </c>
      <c r="BF3129" s="5" t="s">
        <v>732</v>
      </c>
      <c r="BG3129" s="6" t="s">
        <v>733</v>
      </c>
      <c r="BH3129" s="5" t="s">
        <v>734</v>
      </c>
      <c r="BI3129" s="5" t="s">
        <v>734</v>
      </c>
      <c r="BJ3129" s="5" t="s">
        <v>240</v>
      </c>
      <c r="BK3129" s="7">
        <f>1</f>
        <v>1</v>
      </c>
      <c r="BL3129" s="7">
        <f>1</f>
        <v>1</v>
      </c>
      <c r="BM3129" s="5" t="s">
        <v>258</v>
      </c>
      <c r="BN3129" s="5" t="s">
        <v>259</v>
      </c>
      <c r="BO3129" s="5" t="s">
        <v>240</v>
      </c>
      <c r="BP3129" s="5" t="s">
        <v>240</v>
      </c>
      <c r="BQ3129" s="5" t="s">
        <v>240</v>
      </c>
      <c r="BR3129" s="5" t="s">
        <v>240</v>
      </c>
      <c r="BS3129" s="5" t="s">
        <v>240</v>
      </c>
      <c r="BT3129" s="5" t="s">
        <v>240</v>
      </c>
      <c r="BU3129" s="5" t="s">
        <v>240</v>
      </c>
      <c r="BV3129" s="5" t="s">
        <v>240</v>
      </c>
      <c r="BW3129" s="6" t="s">
        <v>240</v>
      </c>
      <c r="BX3129" s="5" t="s">
        <v>240</v>
      </c>
      <c r="BY3129" s="5" t="s">
        <v>240</v>
      </c>
      <c r="BZ3129" s="5" t="s">
        <v>240</v>
      </c>
      <c r="CA3129" s="5" t="s">
        <v>259</v>
      </c>
      <c r="CB3129" s="5" t="s">
        <v>240</v>
      </c>
      <c r="CC3129" s="5" t="s">
        <v>240</v>
      </c>
      <c r="CD3129" s="5" t="s">
        <v>240</v>
      </c>
      <c r="CE3129" s="5" t="s">
        <v>240</v>
      </c>
      <c r="CF3129" s="5" t="s">
        <v>240</v>
      </c>
      <c r="CG3129" s="5" t="s">
        <v>304</v>
      </c>
      <c r="CH3129" s="5" t="s">
        <v>305</v>
      </c>
      <c r="CI3129" s="5" t="s">
        <v>240</v>
      </c>
      <c r="CK3129" s="5" t="s">
        <v>3681</v>
      </c>
      <c r="CL3129" s="6" t="s">
        <v>261</v>
      </c>
      <c r="CM3129" s="5" t="s">
        <v>262</v>
      </c>
      <c r="CN3129" s="5" t="s">
        <v>263</v>
      </c>
      <c r="CO3129" s="5" t="s">
        <v>264</v>
      </c>
      <c r="CP3129" s="5" t="s">
        <v>240</v>
      </c>
      <c r="CQ3129" s="5">
        <v>0</v>
      </c>
      <c r="CR3129" s="5" t="s">
        <v>735</v>
      </c>
      <c r="CS3129" s="5" t="s">
        <v>307</v>
      </c>
      <c r="CT3129" s="5" t="s">
        <v>307</v>
      </c>
      <c r="CU3129" s="5" t="s">
        <v>260</v>
      </c>
      <c r="CV3129" s="5" t="s">
        <v>612</v>
      </c>
      <c r="CW3129" s="8">
        <f>1</f>
        <v>1</v>
      </c>
      <c r="CX3129" s="7">
        <f>1</f>
        <v>1</v>
      </c>
      <c r="CY3129" s="7">
        <f>0</f>
        <v>0</v>
      </c>
      <c r="DA3129" s="7">
        <f>1</f>
        <v>1</v>
      </c>
      <c r="DB3129" s="7" t="s">
        <v>240</v>
      </c>
      <c r="DC3129" s="5" t="s">
        <v>240</v>
      </c>
      <c r="DD3129" s="5" t="s">
        <v>240</v>
      </c>
      <c r="DE3129" s="5" t="s">
        <v>240</v>
      </c>
      <c r="DF3129" s="5" t="s">
        <v>240</v>
      </c>
      <c r="DG3129" s="7">
        <f>0</f>
        <v>0</v>
      </c>
      <c r="DI3129" s="5" t="s">
        <v>240</v>
      </c>
      <c r="DJ3129" s="5" t="s">
        <v>240</v>
      </c>
      <c r="DK3129" s="5" t="s">
        <v>240</v>
      </c>
      <c r="DL3129" s="5" t="s">
        <v>240</v>
      </c>
      <c r="DM3129" s="5" t="s">
        <v>240</v>
      </c>
      <c r="DN3129" s="5" t="s">
        <v>240</v>
      </c>
      <c r="DO3129" s="7" t="s">
        <v>240</v>
      </c>
      <c r="DP3129" s="5" t="s">
        <v>240</v>
      </c>
      <c r="DQ3129" s="5" t="s">
        <v>240</v>
      </c>
      <c r="DR3129" s="5" t="s">
        <v>731</v>
      </c>
      <c r="DS3129" s="5" t="s">
        <v>731</v>
      </c>
      <c r="DT3129" s="5" t="s">
        <v>240</v>
      </c>
      <c r="DU3129" s="5" t="s">
        <v>240</v>
      </c>
      <c r="DV3129" s="5" t="s">
        <v>3683</v>
      </c>
      <c r="DW3129" s="5" t="s">
        <v>467</v>
      </c>
      <c r="DX3129" s="5" t="s">
        <v>240</v>
      </c>
      <c r="DY3129" s="5" t="s">
        <v>240</v>
      </c>
      <c r="DZ3129" s="5" t="s">
        <v>240</v>
      </c>
      <c r="EA3129" s="5" t="s">
        <v>240</v>
      </c>
      <c r="EB3129" s="5" t="s">
        <v>240</v>
      </c>
      <c r="EC3129" s="5" t="s">
        <v>240</v>
      </c>
      <c r="ED3129" s="5" t="s">
        <v>240</v>
      </c>
      <c r="EE3129" s="5" t="s">
        <v>240</v>
      </c>
      <c r="EF3129" s="5" t="s">
        <v>240</v>
      </c>
      <c r="EG3129" s="5" t="s">
        <v>240</v>
      </c>
      <c r="EH3129" s="5" t="s">
        <v>240</v>
      </c>
      <c r="EI3129" s="5" t="s">
        <v>240</v>
      </c>
      <c r="EJ3129" s="5" t="s">
        <v>240</v>
      </c>
      <c r="EK3129" s="5" t="s">
        <v>240</v>
      </c>
      <c r="EL3129" s="5" t="s">
        <v>240</v>
      </c>
      <c r="EM3129" s="5" t="s">
        <v>240</v>
      </c>
      <c r="EN3129" s="5" t="s">
        <v>240</v>
      </c>
      <c r="EO3129" s="5" t="s">
        <v>240</v>
      </c>
      <c r="EP3129" s="5" t="s">
        <v>240</v>
      </c>
      <c r="EQ3129" s="5" t="s">
        <v>240</v>
      </c>
      <c r="ER3129" s="5" t="s">
        <v>240</v>
      </c>
      <c r="ES3129" s="5" t="s">
        <v>240</v>
      </c>
      <c r="ET3129" s="5" t="s">
        <v>240</v>
      </c>
      <c r="EU3129" s="5" t="s">
        <v>240</v>
      </c>
      <c r="EV3129" s="5" t="s">
        <v>240</v>
      </c>
      <c r="EW3129" s="5" t="s">
        <v>240</v>
      </c>
      <c r="EX3129" s="5" t="s">
        <v>240</v>
      </c>
      <c r="EY3129" s="5" t="s">
        <v>240</v>
      </c>
      <c r="EZ3129" s="5" t="s">
        <v>240</v>
      </c>
      <c r="FA3129" s="5" t="s">
        <v>240</v>
      </c>
      <c r="FB3129" s="5" t="s">
        <v>240</v>
      </c>
      <c r="FC3129" s="5" t="s">
        <v>240</v>
      </c>
      <c r="FD3129" s="5" t="s">
        <v>240</v>
      </c>
      <c r="FE3129" s="5" t="s">
        <v>240</v>
      </c>
      <c r="FF3129" s="5" t="s">
        <v>240</v>
      </c>
      <c r="FG3129" s="5" t="s">
        <v>240</v>
      </c>
      <c r="FH3129" s="5" t="s">
        <v>240</v>
      </c>
      <c r="FI3129" s="5" t="s">
        <v>240</v>
      </c>
      <c r="FJ3129" s="5" t="s">
        <v>240</v>
      </c>
      <c r="FK3129" s="5" t="s">
        <v>240</v>
      </c>
      <c r="FL3129" s="5" t="s">
        <v>240</v>
      </c>
      <c r="FM3129" s="5" t="s">
        <v>240</v>
      </c>
      <c r="FN3129" s="5" t="s">
        <v>240</v>
      </c>
      <c r="FO3129" s="5" t="s">
        <v>240</v>
      </c>
      <c r="FP3129" s="5" t="s">
        <v>240</v>
      </c>
      <c r="FQ3129" s="5" t="s">
        <v>240</v>
      </c>
      <c r="FR3129" s="5" t="s">
        <v>240</v>
      </c>
      <c r="FS3129" s="5" t="s">
        <v>240</v>
      </c>
      <c r="FT3129" s="5" t="s">
        <v>240</v>
      </c>
      <c r="FU3129" s="5" t="s">
        <v>240</v>
      </c>
      <c r="FV3129" s="5" t="s">
        <v>240</v>
      </c>
      <c r="FW3129" s="5" t="s">
        <v>240</v>
      </c>
      <c r="FX3129" s="5" t="s">
        <v>240</v>
      </c>
      <c r="FY3129" s="5" t="s">
        <v>240</v>
      </c>
      <c r="FZ3129" s="5" t="s">
        <v>240</v>
      </c>
      <c r="GA3129" s="5" t="s">
        <v>240</v>
      </c>
      <c r="GB3129" s="5" t="s">
        <v>240</v>
      </c>
      <c r="GC3129" s="5" t="s">
        <v>240</v>
      </c>
      <c r="GD3129" s="5" t="s">
        <v>240</v>
      </c>
      <c r="GE3129" s="5" t="s">
        <v>240</v>
      </c>
      <c r="GF3129" s="5" t="s">
        <v>240</v>
      </c>
      <c r="GG3129" s="5" t="s">
        <v>240</v>
      </c>
      <c r="GH3129" s="5" t="s">
        <v>240</v>
      </c>
      <c r="GI3129" s="5" t="s">
        <v>240</v>
      </c>
      <c r="GJ3129" s="5" t="s">
        <v>240</v>
      </c>
      <c r="GK3129" s="5" t="s">
        <v>240</v>
      </c>
      <c r="GL3129" s="5" t="s">
        <v>240</v>
      </c>
      <c r="GM3129" s="5" t="s">
        <v>240</v>
      </c>
      <c r="GN3129" s="5" t="s">
        <v>240</v>
      </c>
      <c r="GO3129" s="5" t="s">
        <v>240</v>
      </c>
      <c r="GP3129" s="5" t="s">
        <v>240</v>
      </c>
      <c r="GQ3129" s="5" t="s">
        <v>240</v>
      </c>
      <c r="GR3129" s="5" t="s">
        <v>240</v>
      </c>
      <c r="GS3129" s="5" t="s">
        <v>240</v>
      </c>
      <c r="GT3129" s="5" t="s">
        <v>240</v>
      </c>
      <c r="GU3129" s="5" t="s">
        <v>240</v>
      </c>
      <c r="GV3129" s="5" t="s">
        <v>240</v>
      </c>
      <c r="GW3129" s="5" t="s">
        <v>240</v>
      </c>
      <c r="GX3129" s="5" t="s">
        <v>240</v>
      </c>
      <c r="GY3129" s="5" t="s">
        <v>240</v>
      </c>
      <c r="GZ3129" s="5" t="s">
        <v>240</v>
      </c>
      <c r="HA3129" s="5" t="s">
        <v>240</v>
      </c>
      <c r="HB3129" s="5" t="s">
        <v>240</v>
      </c>
      <c r="HC3129" s="5" t="s">
        <v>240</v>
      </c>
      <c r="HD3129" s="5" t="s">
        <v>240</v>
      </c>
      <c r="HE3129" s="5" t="s">
        <v>240</v>
      </c>
      <c r="HF3129" s="5" t="s">
        <v>240</v>
      </c>
      <c r="HG3129" s="5" t="s">
        <v>240</v>
      </c>
      <c r="HH3129" s="5" t="s">
        <v>240</v>
      </c>
      <c r="HI3129" s="5" t="s">
        <v>240</v>
      </c>
      <c r="HJ3129" s="5" t="s">
        <v>240</v>
      </c>
      <c r="HK3129" s="5" t="s">
        <v>240</v>
      </c>
      <c r="HL3129" s="5" t="s">
        <v>240</v>
      </c>
      <c r="HM3129" s="5" t="s">
        <v>240</v>
      </c>
      <c r="HN3129" s="5" t="s">
        <v>240</v>
      </c>
      <c r="HO3129" s="5" t="s">
        <v>312</v>
      </c>
      <c r="HP3129" s="5" t="s">
        <v>240</v>
      </c>
      <c r="HQ3129" s="5" t="s">
        <v>240</v>
      </c>
      <c r="HR3129" s="5" t="s">
        <v>240</v>
      </c>
      <c r="HS3129" s="5" t="s">
        <v>240</v>
      </c>
      <c r="HT3129" s="5" t="s">
        <v>240</v>
      </c>
      <c r="HU3129" s="5" t="s">
        <v>240</v>
      </c>
      <c r="HV3129" s="5" t="s">
        <v>240</v>
      </c>
      <c r="HW3129" s="5" t="s">
        <v>240</v>
      </c>
      <c r="HX3129" s="5" t="s">
        <v>240</v>
      </c>
      <c r="HY3129" s="5" t="s">
        <v>240</v>
      </c>
      <c r="HZ3129" s="5" t="s">
        <v>240</v>
      </c>
      <c r="IA3129" s="5" t="s">
        <v>240</v>
      </c>
      <c r="IB3129" s="5" t="s">
        <v>240</v>
      </c>
      <c r="IC3129" s="5" t="s">
        <v>240</v>
      </c>
      <c r="ID3129" s="5" t="s">
        <v>240</v>
      </c>
      <c r="IE3129" s="5" t="s">
        <v>240</v>
      </c>
      <c r="IF3129" s="5" t="s">
        <v>240</v>
      </c>
    </row>
    <row r="3130" spans="1:240" x14ac:dyDescent="0.4">
      <c r="A3130" s="5">
        <v>4834</v>
      </c>
      <c r="B3130" s="5">
        <v>1</v>
      </c>
      <c r="C3130" s="5">
        <v>1</v>
      </c>
      <c r="D3130" s="5" t="s">
        <v>810</v>
      </c>
      <c r="E3130" s="5" t="s">
        <v>245</v>
      </c>
      <c r="F3130" s="5" t="s">
        <v>254</v>
      </c>
      <c r="G3130" s="5" t="s">
        <v>240</v>
      </c>
      <c r="H3130" s="6" t="s">
        <v>2289</v>
      </c>
      <c r="I3130" s="5" t="s">
        <v>809</v>
      </c>
      <c r="J3130" s="8">
        <f>362</f>
        <v>362</v>
      </c>
      <c r="K3130" s="5" t="s">
        <v>308</v>
      </c>
      <c r="L3130" s="7">
        <f>1</f>
        <v>1</v>
      </c>
      <c r="M3130" s="7">
        <f>1</f>
        <v>1</v>
      </c>
      <c r="N3130" s="5" t="s">
        <v>242</v>
      </c>
      <c r="O3130" s="5">
        <v>1</v>
      </c>
      <c r="P3130" s="5" t="s">
        <v>294</v>
      </c>
      <c r="Q3130" s="5" t="s">
        <v>3678</v>
      </c>
      <c r="R3130" s="5" t="s">
        <v>240</v>
      </c>
      <c r="S3130" s="5" t="s">
        <v>240</v>
      </c>
      <c r="T3130" s="5" t="s">
        <v>243</v>
      </c>
      <c r="U3130" s="5" t="s">
        <v>244</v>
      </c>
      <c r="V3130" s="5" t="s">
        <v>240</v>
      </c>
      <c r="W3130" s="5" t="s">
        <v>240</v>
      </c>
      <c r="X3130" s="5" t="s">
        <v>240</v>
      </c>
      <c r="Y3130" s="5" t="s">
        <v>240</v>
      </c>
      <c r="Z3130" s="6" t="s">
        <v>298</v>
      </c>
      <c r="AA3130" s="6" t="s">
        <v>240</v>
      </c>
      <c r="AB3130" s="6" t="s">
        <v>240</v>
      </c>
      <c r="AC3130" s="5" t="s">
        <v>240</v>
      </c>
      <c r="AD3130" s="6" t="s">
        <v>240</v>
      </c>
      <c r="AE3130" s="6" t="s">
        <v>299</v>
      </c>
      <c r="AF3130" s="5" t="s">
        <v>248</v>
      </c>
      <c r="AG3130" s="5" t="s">
        <v>249</v>
      </c>
      <c r="AH3130" s="5" t="s">
        <v>240</v>
      </c>
      <c r="AI3130" s="5" t="s">
        <v>240</v>
      </c>
      <c r="AJ3130" s="5" t="s">
        <v>240</v>
      </c>
      <c r="AK3130" s="5" t="s">
        <v>240</v>
      </c>
      <c r="AL3130" s="5" t="s">
        <v>240</v>
      </c>
      <c r="AM3130" s="5" t="s">
        <v>240</v>
      </c>
      <c r="AN3130" s="5" t="s">
        <v>240</v>
      </c>
      <c r="AO3130" s="5" t="s">
        <v>240</v>
      </c>
      <c r="AP3130" s="6" t="s">
        <v>240</v>
      </c>
      <c r="AQ3130" s="6" t="s">
        <v>240</v>
      </c>
      <c r="AR3130" s="6" t="s">
        <v>240</v>
      </c>
      <c r="AS3130" s="6" t="s">
        <v>240</v>
      </c>
      <c r="AT3130" s="5" t="s">
        <v>240</v>
      </c>
      <c r="AU3130" s="5" t="s">
        <v>729</v>
      </c>
      <c r="AV3130" s="5" t="s">
        <v>729</v>
      </c>
      <c r="AW3130" s="5" t="s">
        <v>251</v>
      </c>
      <c r="AX3130" s="5" t="s">
        <v>252</v>
      </c>
      <c r="AY3130" s="5" t="s">
        <v>253</v>
      </c>
      <c r="AZ3130" s="5" t="s">
        <v>240</v>
      </c>
      <c r="BA3130" s="5" t="s">
        <v>255</v>
      </c>
      <c r="BB3130" s="5" t="s">
        <v>731</v>
      </c>
      <c r="BD3130" s="5" t="s">
        <v>240</v>
      </c>
      <c r="BF3130" s="5" t="s">
        <v>732</v>
      </c>
      <c r="BG3130" s="6" t="s">
        <v>733</v>
      </c>
      <c r="BH3130" s="5" t="s">
        <v>734</v>
      </c>
      <c r="BI3130" s="5" t="s">
        <v>734</v>
      </c>
      <c r="BJ3130" s="5" t="s">
        <v>240</v>
      </c>
      <c r="BK3130" s="7">
        <f>1</f>
        <v>1</v>
      </c>
      <c r="BL3130" s="7">
        <f>1</f>
        <v>1</v>
      </c>
      <c r="BM3130" s="5" t="s">
        <v>258</v>
      </c>
      <c r="BN3130" s="5" t="s">
        <v>259</v>
      </c>
      <c r="BO3130" s="5" t="s">
        <v>240</v>
      </c>
      <c r="BP3130" s="5" t="s">
        <v>240</v>
      </c>
      <c r="BQ3130" s="5" t="s">
        <v>240</v>
      </c>
      <c r="BR3130" s="5" t="s">
        <v>240</v>
      </c>
      <c r="BS3130" s="5" t="s">
        <v>240</v>
      </c>
      <c r="BT3130" s="5" t="s">
        <v>240</v>
      </c>
      <c r="BU3130" s="5" t="s">
        <v>240</v>
      </c>
      <c r="BV3130" s="5" t="s">
        <v>240</v>
      </c>
      <c r="BW3130" s="6" t="s">
        <v>240</v>
      </c>
      <c r="BX3130" s="5" t="s">
        <v>240</v>
      </c>
      <c r="BY3130" s="5" t="s">
        <v>240</v>
      </c>
      <c r="BZ3130" s="5" t="s">
        <v>240</v>
      </c>
      <c r="CA3130" s="5" t="s">
        <v>259</v>
      </c>
      <c r="CB3130" s="5" t="s">
        <v>240</v>
      </c>
      <c r="CC3130" s="5" t="s">
        <v>240</v>
      </c>
      <c r="CD3130" s="5" t="s">
        <v>240</v>
      </c>
      <c r="CE3130" s="5" t="s">
        <v>240</v>
      </c>
      <c r="CF3130" s="5" t="s">
        <v>240</v>
      </c>
      <c r="CG3130" s="5" t="s">
        <v>304</v>
      </c>
      <c r="CH3130" s="5" t="s">
        <v>305</v>
      </c>
      <c r="CI3130" s="5" t="s">
        <v>240</v>
      </c>
      <c r="CK3130" s="5" t="s">
        <v>3681</v>
      </c>
      <c r="CL3130" s="6" t="s">
        <v>261</v>
      </c>
      <c r="CM3130" s="5" t="s">
        <v>262</v>
      </c>
      <c r="CN3130" s="5" t="s">
        <v>263</v>
      </c>
      <c r="CO3130" s="5" t="s">
        <v>264</v>
      </c>
      <c r="CP3130" s="5" t="s">
        <v>240</v>
      </c>
      <c r="CQ3130" s="5">
        <v>0</v>
      </c>
      <c r="CR3130" s="5" t="s">
        <v>735</v>
      </c>
      <c r="CS3130" s="5" t="s">
        <v>307</v>
      </c>
      <c r="CT3130" s="5" t="s">
        <v>307</v>
      </c>
      <c r="CU3130" s="5" t="s">
        <v>260</v>
      </c>
      <c r="CV3130" s="5" t="s">
        <v>612</v>
      </c>
      <c r="CW3130" s="8">
        <f>1</f>
        <v>1</v>
      </c>
      <c r="CX3130" s="7">
        <f>1</f>
        <v>1</v>
      </c>
      <c r="CY3130" s="7">
        <f>0</f>
        <v>0</v>
      </c>
      <c r="DA3130" s="7">
        <f>1</f>
        <v>1</v>
      </c>
      <c r="DB3130" s="7" t="s">
        <v>240</v>
      </c>
      <c r="DC3130" s="5" t="s">
        <v>240</v>
      </c>
      <c r="DD3130" s="5" t="s">
        <v>240</v>
      </c>
      <c r="DE3130" s="5" t="s">
        <v>240</v>
      </c>
      <c r="DF3130" s="5" t="s">
        <v>240</v>
      </c>
      <c r="DG3130" s="7">
        <f>0</f>
        <v>0</v>
      </c>
      <c r="DI3130" s="5" t="s">
        <v>240</v>
      </c>
      <c r="DJ3130" s="5" t="s">
        <v>240</v>
      </c>
      <c r="DK3130" s="5" t="s">
        <v>240</v>
      </c>
      <c r="DL3130" s="5" t="s">
        <v>240</v>
      </c>
      <c r="DM3130" s="5" t="s">
        <v>240</v>
      </c>
      <c r="DN3130" s="5" t="s">
        <v>240</v>
      </c>
      <c r="DO3130" s="7" t="s">
        <v>240</v>
      </c>
      <c r="DP3130" s="5" t="s">
        <v>240</v>
      </c>
      <c r="DQ3130" s="5" t="s">
        <v>240</v>
      </c>
      <c r="DR3130" s="5" t="s">
        <v>731</v>
      </c>
      <c r="DS3130" s="5" t="s">
        <v>731</v>
      </c>
      <c r="DT3130" s="5" t="s">
        <v>240</v>
      </c>
      <c r="DU3130" s="5" t="s">
        <v>240</v>
      </c>
      <c r="DV3130" s="5" t="s">
        <v>3683</v>
      </c>
      <c r="DW3130" s="5" t="s">
        <v>459</v>
      </c>
      <c r="DX3130" s="5" t="s">
        <v>240</v>
      </c>
      <c r="DY3130" s="5" t="s">
        <v>240</v>
      </c>
      <c r="DZ3130" s="5" t="s">
        <v>240</v>
      </c>
      <c r="EA3130" s="5" t="s">
        <v>240</v>
      </c>
      <c r="EB3130" s="5" t="s">
        <v>240</v>
      </c>
      <c r="EC3130" s="5" t="s">
        <v>240</v>
      </c>
      <c r="ED3130" s="5" t="s">
        <v>240</v>
      </c>
      <c r="EE3130" s="5" t="s">
        <v>240</v>
      </c>
      <c r="EF3130" s="5" t="s">
        <v>240</v>
      </c>
      <c r="EG3130" s="5" t="s">
        <v>240</v>
      </c>
      <c r="EH3130" s="5" t="s">
        <v>240</v>
      </c>
      <c r="EI3130" s="5" t="s">
        <v>240</v>
      </c>
      <c r="EJ3130" s="5" t="s">
        <v>240</v>
      </c>
      <c r="EK3130" s="5" t="s">
        <v>240</v>
      </c>
      <c r="EL3130" s="5" t="s">
        <v>240</v>
      </c>
      <c r="EM3130" s="5" t="s">
        <v>240</v>
      </c>
      <c r="EN3130" s="5" t="s">
        <v>240</v>
      </c>
      <c r="EO3130" s="5" t="s">
        <v>240</v>
      </c>
      <c r="EP3130" s="5" t="s">
        <v>240</v>
      </c>
      <c r="EQ3130" s="5" t="s">
        <v>240</v>
      </c>
      <c r="ER3130" s="5" t="s">
        <v>240</v>
      </c>
      <c r="ES3130" s="5" t="s">
        <v>240</v>
      </c>
      <c r="ET3130" s="5" t="s">
        <v>240</v>
      </c>
      <c r="EU3130" s="5" t="s">
        <v>240</v>
      </c>
      <c r="EV3130" s="5" t="s">
        <v>240</v>
      </c>
      <c r="EW3130" s="5" t="s">
        <v>240</v>
      </c>
      <c r="EX3130" s="5" t="s">
        <v>240</v>
      </c>
      <c r="EY3130" s="5" t="s">
        <v>240</v>
      </c>
      <c r="EZ3130" s="5" t="s">
        <v>240</v>
      </c>
      <c r="FA3130" s="5" t="s">
        <v>240</v>
      </c>
      <c r="FB3130" s="5" t="s">
        <v>240</v>
      </c>
      <c r="FC3130" s="5" t="s">
        <v>240</v>
      </c>
      <c r="FD3130" s="5" t="s">
        <v>240</v>
      </c>
      <c r="FE3130" s="5" t="s">
        <v>240</v>
      </c>
      <c r="FF3130" s="5" t="s">
        <v>240</v>
      </c>
      <c r="FG3130" s="5" t="s">
        <v>240</v>
      </c>
      <c r="FH3130" s="5" t="s">
        <v>240</v>
      </c>
      <c r="FI3130" s="5" t="s">
        <v>240</v>
      </c>
      <c r="FJ3130" s="5" t="s">
        <v>240</v>
      </c>
      <c r="FK3130" s="5" t="s">
        <v>240</v>
      </c>
      <c r="FL3130" s="5" t="s">
        <v>240</v>
      </c>
      <c r="FM3130" s="5" t="s">
        <v>240</v>
      </c>
      <c r="FN3130" s="5" t="s">
        <v>240</v>
      </c>
      <c r="FO3130" s="5" t="s">
        <v>240</v>
      </c>
      <c r="FP3130" s="5" t="s">
        <v>240</v>
      </c>
      <c r="FQ3130" s="5" t="s">
        <v>240</v>
      </c>
      <c r="FR3130" s="5" t="s">
        <v>240</v>
      </c>
      <c r="FS3130" s="5" t="s">
        <v>240</v>
      </c>
      <c r="FT3130" s="5" t="s">
        <v>240</v>
      </c>
      <c r="FU3130" s="5" t="s">
        <v>240</v>
      </c>
      <c r="FV3130" s="5" t="s">
        <v>240</v>
      </c>
      <c r="FW3130" s="5" t="s">
        <v>240</v>
      </c>
      <c r="FX3130" s="5" t="s">
        <v>240</v>
      </c>
      <c r="FY3130" s="5" t="s">
        <v>240</v>
      </c>
      <c r="FZ3130" s="5" t="s">
        <v>240</v>
      </c>
      <c r="GA3130" s="5" t="s">
        <v>240</v>
      </c>
      <c r="GB3130" s="5" t="s">
        <v>240</v>
      </c>
      <c r="GC3130" s="5" t="s">
        <v>240</v>
      </c>
      <c r="GD3130" s="5" t="s">
        <v>240</v>
      </c>
      <c r="GE3130" s="5" t="s">
        <v>240</v>
      </c>
      <c r="GF3130" s="5" t="s">
        <v>240</v>
      </c>
      <c r="GG3130" s="5" t="s">
        <v>240</v>
      </c>
      <c r="GH3130" s="5" t="s">
        <v>240</v>
      </c>
      <c r="GI3130" s="5" t="s">
        <v>240</v>
      </c>
      <c r="GJ3130" s="5" t="s">
        <v>240</v>
      </c>
      <c r="GK3130" s="5" t="s">
        <v>240</v>
      </c>
      <c r="GL3130" s="5" t="s">
        <v>240</v>
      </c>
      <c r="GM3130" s="5" t="s">
        <v>240</v>
      </c>
      <c r="GN3130" s="5" t="s">
        <v>240</v>
      </c>
      <c r="GO3130" s="5" t="s">
        <v>240</v>
      </c>
      <c r="GP3130" s="5" t="s">
        <v>240</v>
      </c>
      <c r="GQ3130" s="5" t="s">
        <v>240</v>
      </c>
      <c r="GR3130" s="5" t="s">
        <v>240</v>
      </c>
      <c r="GS3130" s="5" t="s">
        <v>240</v>
      </c>
      <c r="GT3130" s="5" t="s">
        <v>240</v>
      </c>
      <c r="GU3130" s="5" t="s">
        <v>240</v>
      </c>
      <c r="GV3130" s="5" t="s">
        <v>240</v>
      </c>
      <c r="GW3130" s="5" t="s">
        <v>240</v>
      </c>
      <c r="GX3130" s="5" t="s">
        <v>240</v>
      </c>
      <c r="GY3130" s="5" t="s">
        <v>240</v>
      </c>
      <c r="GZ3130" s="5" t="s">
        <v>240</v>
      </c>
      <c r="HA3130" s="5" t="s">
        <v>240</v>
      </c>
      <c r="HB3130" s="5" t="s">
        <v>240</v>
      </c>
      <c r="HC3130" s="5" t="s">
        <v>240</v>
      </c>
      <c r="HD3130" s="5" t="s">
        <v>240</v>
      </c>
      <c r="HE3130" s="5" t="s">
        <v>240</v>
      </c>
      <c r="HF3130" s="5" t="s">
        <v>240</v>
      </c>
      <c r="HG3130" s="5" t="s">
        <v>240</v>
      </c>
      <c r="HH3130" s="5" t="s">
        <v>240</v>
      </c>
      <c r="HI3130" s="5" t="s">
        <v>240</v>
      </c>
      <c r="HJ3130" s="5" t="s">
        <v>240</v>
      </c>
      <c r="HK3130" s="5" t="s">
        <v>240</v>
      </c>
      <c r="HL3130" s="5" t="s">
        <v>240</v>
      </c>
      <c r="HM3130" s="5" t="s">
        <v>240</v>
      </c>
      <c r="HN3130" s="5" t="s">
        <v>240</v>
      </c>
      <c r="HO3130" s="5" t="s">
        <v>312</v>
      </c>
      <c r="HP3130" s="5" t="s">
        <v>240</v>
      </c>
      <c r="HQ3130" s="5" t="s">
        <v>240</v>
      </c>
      <c r="HR3130" s="5" t="s">
        <v>240</v>
      </c>
      <c r="HS3130" s="5" t="s">
        <v>240</v>
      </c>
      <c r="HT3130" s="5" t="s">
        <v>240</v>
      </c>
      <c r="HU3130" s="5" t="s">
        <v>240</v>
      </c>
      <c r="HV3130" s="5" t="s">
        <v>240</v>
      </c>
      <c r="HW3130" s="5" t="s">
        <v>240</v>
      </c>
      <c r="HX3130" s="5" t="s">
        <v>240</v>
      </c>
      <c r="HY3130" s="5" t="s">
        <v>240</v>
      </c>
      <c r="HZ3130" s="5" t="s">
        <v>240</v>
      </c>
      <c r="IA3130" s="5" t="s">
        <v>240</v>
      </c>
      <c r="IB3130" s="5" t="s">
        <v>240</v>
      </c>
      <c r="IC3130" s="5" t="s">
        <v>240</v>
      </c>
      <c r="ID3130" s="5" t="s">
        <v>240</v>
      </c>
      <c r="IE3130" s="5" t="s">
        <v>240</v>
      </c>
      <c r="IF3130" s="5" t="s">
        <v>240</v>
      </c>
    </row>
    <row r="3131" spans="1:240" x14ac:dyDescent="0.4">
      <c r="A3131" s="5">
        <v>4835</v>
      </c>
      <c r="B3131" s="5">
        <v>1</v>
      </c>
      <c r="C3131" s="5">
        <v>1</v>
      </c>
      <c r="D3131" s="5" t="s">
        <v>810</v>
      </c>
      <c r="E3131" s="5" t="s">
        <v>245</v>
      </c>
      <c r="F3131" s="5" t="s">
        <v>254</v>
      </c>
      <c r="G3131" s="5" t="s">
        <v>240</v>
      </c>
      <c r="H3131" s="6" t="s">
        <v>2287</v>
      </c>
      <c r="I3131" s="5" t="s">
        <v>809</v>
      </c>
      <c r="J3131" s="8">
        <f>966</f>
        <v>966</v>
      </c>
      <c r="K3131" s="5" t="s">
        <v>308</v>
      </c>
      <c r="L3131" s="7">
        <f>1</f>
        <v>1</v>
      </c>
      <c r="M3131" s="7">
        <f>1</f>
        <v>1</v>
      </c>
      <c r="N3131" s="5" t="s">
        <v>242</v>
      </c>
      <c r="O3131" s="5">
        <v>1</v>
      </c>
      <c r="P3131" s="5" t="s">
        <v>294</v>
      </c>
      <c r="Q3131" s="5" t="s">
        <v>3678</v>
      </c>
      <c r="R3131" s="5" t="s">
        <v>240</v>
      </c>
      <c r="S3131" s="5" t="s">
        <v>240</v>
      </c>
      <c r="T3131" s="5" t="s">
        <v>243</v>
      </c>
      <c r="U3131" s="5" t="s">
        <v>244</v>
      </c>
      <c r="V3131" s="5" t="s">
        <v>240</v>
      </c>
      <c r="W3131" s="5" t="s">
        <v>240</v>
      </c>
      <c r="X3131" s="5" t="s">
        <v>240</v>
      </c>
      <c r="Y3131" s="5" t="s">
        <v>240</v>
      </c>
      <c r="Z3131" s="6" t="s">
        <v>298</v>
      </c>
      <c r="AA3131" s="6" t="s">
        <v>240</v>
      </c>
      <c r="AB3131" s="6" t="s">
        <v>240</v>
      </c>
      <c r="AC3131" s="5" t="s">
        <v>240</v>
      </c>
      <c r="AD3131" s="6" t="s">
        <v>240</v>
      </c>
      <c r="AE3131" s="6" t="s">
        <v>299</v>
      </c>
      <c r="AF3131" s="5" t="s">
        <v>248</v>
      </c>
      <c r="AG3131" s="5" t="s">
        <v>249</v>
      </c>
      <c r="AH3131" s="5" t="s">
        <v>240</v>
      </c>
      <c r="AI3131" s="5" t="s">
        <v>240</v>
      </c>
      <c r="AJ3131" s="5" t="s">
        <v>240</v>
      </c>
      <c r="AK3131" s="5" t="s">
        <v>240</v>
      </c>
      <c r="AL3131" s="5" t="s">
        <v>240</v>
      </c>
      <c r="AM3131" s="5" t="s">
        <v>240</v>
      </c>
      <c r="AN3131" s="5" t="s">
        <v>240</v>
      </c>
      <c r="AO3131" s="5" t="s">
        <v>240</v>
      </c>
      <c r="AP3131" s="6" t="s">
        <v>240</v>
      </c>
      <c r="AQ3131" s="6" t="s">
        <v>240</v>
      </c>
      <c r="AR3131" s="6" t="s">
        <v>240</v>
      </c>
      <c r="AS3131" s="6" t="s">
        <v>240</v>
      </c>
      <c r="AT3131" s="5" t="s">
        <v>240</v>
      </c>
      <c r="AU3131" s="5" t="s">
        <v>729</v>
      </c>
      <c r="AV3131" s="5" t="s">
        <v>729</v>
      </c>
      <c r="AW3131" s="5" t="s">
        <v>251</v>
      </c>
      <c r="AX3131" s="5" t="s">
        <v>252</v>
      </c>
      <c r="AY3131" s="5" t="s">
        <v>253</v>
      </c>
      <c r="AZ3131" s="5" t="s">
        <v>240</v>
      </c>
      <c r="BA3131" s="5" t="s">
        <v>255</v>
      </c>
      <c r="BB3131" s="5" t="s">
        <v>731</v>
      </c>
      <c r="BD3131" s="5" t="s">
        <v>240</v>
      </c>
      <c r="BF3131" s="5" t="s">
        <v>732</v>
      </c>
      <c r="BG3131" s="6" t="s">
        <v>733</v>
      </c>
      <c r="BH3131" s="5" t="s">
        <v>734</v>
      </c>
      <c r="BI3131" s="5" t="s">
        <v>734</v>
      </c>
      <c r="BJ3131" s="5" t="s">
        <v>240</v>
      </c>
      <c r="BK3131" s="7">
        <f>1</f>
        <v>1</v>
      </c>
      <c r="BL3131" s="7">
        <f>1</f>
        <v>1</v>
      </c>
      <c r="BM3131" s="5" t="s">
        <v>258</v>
      </c>
      <c r="BN3131" s="5" t="s">
        <v>259</v>
      </c>
      <c r="BO3131" s="5" t="s">
        <v>240</v>
      </c>
      <c r="BP3131" s="5" t="s">
        <v>240</v>
      </c>
      <c r="BQ3131" s="5" t="s">
        <v>240</v>
      </c>
      <c r="BR3131" s="5" t="s">
        <v>240</v>
      </c>
      <c r="BS3131" s="5" t="s">
        <v>240</v>
      </c>
      <c r="BT3131" s="5" t="s">
        <v>240</v>
      </c>
      <c r="BU3131" s="5" t="s">
        <v>240</v>
      </c>
      <c r="BV3131" s="5" t="s">
        <v>240</v>
      </c>
      <c r="BW3131" s="6" t="s">
        <v>240</v>
      </c>
      <c r="BX3131" s="5" t="s">
        <v>240</v>
      </c>
      <c r="BY3131" s="5" t="s">
        <v>240</v>
      </c>
      <c r="BZ3131" s="5" t="s">
        <v>240</v>
      </c>
      <c r="CA3131" s="5" t="s">
        <v>259</v>
      </c>
      <c r="CB3131" s="5" t="s">
        <v>240</v>
      </c>
      <c r="CC3131" s="5" t="s">
        <v>240</v>
      </c>
      <c r="CD3131" s="5" t="s">
        <v>240</v>
      </c>
      <c r="CE3131" s="5" t="s">
        <v>240</v>
      </c>
      <c r="CF3131" s="5" t="s">
        <v>240</v>
      </c>
      <c r="CG3131" s="5" t="s">
        <v>304</v>
      </c>
      <c r="CH3131" s="5" t="s">
        <v>305</v>
      </c>
      <c r="CI3131" s="5" t="s">
        <v>240</v>
      </c>
      <c r="CK3131" s="5" t="s">
        <v>3681</v>
      </c>
      <c r="CL3131" s="6" t="s">
        <v>261</v>
      </c>
      <c r="CM3131" s="5" t="s">
        <v>262</v>
      </c>
      <c r="CN3131" s="5" t="s">
        <v>263</v>
      </c>
      <c r="CO3131" s="5" t="s">
        <v>264</v>
      </c>
      <c r="CP3131" s="5" t="s">
        <v>240</v>
      </c>
      <c r="CQ3131" s="5">
        <v>0</v>
      </c>
      <c r="CR3131" s="5" t="s">
        <v>735</v>
      </c>
      <c r="CS3131" s="5" t="s">
        <v>307</v>
      </c>
      <c r="CT3131" s="5" t="s">
        <v>307</v>
      </c>
      <c r="CU3131" s="5" t="s">
        <v>260</v>
      </c>
      <c r="CV3131" s="5" t="s">
        <v>612</v>
      </c>
      <c r="CW3131" s="8">
        <f>1</f>
        <v>1</v>
      </c>
      <c r="CX3131" s="7">
        <f>1</f>
        <v>1</v>
      </c>
      <c r="CY3131" s="7">
        <f>0</f>
        <v>0</v>
      </c>
      <c r="DA3131" s="7">
        <f>1</f>
        <v>1</v>
      </c>
      <c r="DB3131" s="7" t="s">
        <v>240</v>
      </c>
      <c r="DC3131" s="5" t="s">
        <v>240</v>
      </c>
      <c r="DD3131" s="5" t="s">
        <v>240</v>
      </c>
      <c r="DE3131" s="5" t="s">
        <v>240</v>
      </c>
      <c r="DF3131" s="5" t="s">
        <v>240</v>
      </c>
      <c r="DG3131" s="7">
        <f>0</f>
        <v>0</v>
      </c>
      <c r="DI3131" s="5" t="s">
        <v>240</v>
      </c>
      <c r="DJ3131" s="5" t="s">
        <v>240</v>
      </c>
      <c r="DK3131" s="5" t="s">
        <v>240</v>
      </c>
      <c r="DL3131" s="5" t="s">
        <v>240</v>
      </c>
      <c r="DM3131" s="5" t="s">
        <v>240</v>
      </c>
      <c r="DN3131" s="5" t="s">
        <v>240</v>
      </c>
      <c r="DO3131" s="7" t="s">
        <v>240</v>
      </c>
      <c r="DP3131" s="5" t="s">
        <v>240</v>
      </c>
      <c r="DQ3131" s="5" t="s">
        <v>240</v>
      </c>
      <c r="DR3131" s="5" t="s">
        <v>731</v>
      </c>
      <c r="DS3131" s="5" t="s">
        <v>731</v>
      </c>
      <c r="DT3131" s="5" t="s">
        <v>240</v>
      </c>
      <c r="DU3131" s="5" t="s">
        <v>240</v>
      </c>
      <c r="DV3131" s="5" t="s">
        <v>3683</v>
      </c>
      <c r="DW3131" s="5" t="s">
        <v>1204</v>
      </c>
      <c r="DX3131" s="5" t="s">
        <v>240</v>
      </c>
      <c r="DY3131" s="5" t="s">
        <v>240</v>
      </c>
      <c r="DZ3131" s="5" t="s">
        <v>240</v>
      </c>
      <c r="EA3131" s="5" t="s">
        <v>240</v>
      </c>
      <c r="EB3131" s="5" t="s">
        <v>240</v>
      </c>
      <c r="EC3131" s="5" t="s">
        <v>240</v>
      </c>
      <c r="ED3131" s="5" t="s">
        <v>240</v>
      </c>
      <c r="EE3131" s="5" t="s">
        <v>240</v>
      </c>
      <c r="EF3131" s="5" t="s">
        <v>240</v>
      </c>
      <c r="EG3131" s="5" t="s">
        <v>240</v>
      </c>
      <c r="EH3131" s="5" t="s">
        <v>240</v>
      </c>
      <c r="EI3131" s="5" t="s">
        <v>240</v>
      </c>
      <c r="EJ3131" s="5" t="s">
        <v>240</v>
      </c>
      <c r="EK3131" s="5" t="s">
        <v>240</v>
      </c>
      <c r="EL3131" s="5" t="s">
        <v>240</v>
      </c>
      <c r="EM3131" s="5" t="s">
        <v>240</v>
      </c>
      <c r="EN3131" s="5" t="s">
        <v>240</v>
      </c>
      <c r="EO3131" s="5" t="s">
        <v>240</v>
      </c>
      <c r="EP3131" s="5" t="s">
        <v>240</v>
      </c>
      <c r="EQ3131" s="5" t="s">
        <v>240</v>
      </c>
      <c r="ER3131" s="5" t="s">
        <v>240</v>
      </c>
      <c r="ES3131" s="5" t="s">
        <v>240</v>
      </c>
      <c r="ET3131" s="5" t="s">
        <v>240</v>
      </c>
      <c r="EU3131" s="5" t="s">
        <v>240</v>
      </c>
      <c r="EV3131" s="5" t="s">
        <v>240</v>
      </c>
      <c r="EW3131" s="5" t="s">
        <v>240</v>
      </c>
      <c r="EX3131" s="5" t="s">
        <v>240</v>
      </c>
      <c r="EY3131" s="5" t="s">
        <v>240</v>
      </c>
      <c r="EZ3131" s="5" t="s">
        <v>240</v>
      </c>
      <c r="FA3131" s="5" t="s">
        <v>240</v>
      </c>
      <c r="FB3131" s="5" t="s">
        <v>240</v>
      </c>
      <c r="FC3131" s="5" t="s">
        <v>240</v>
      </c>
      <c r="FD3131" s="5" t="s">
        <v>240</v>
      </c>
      <c r="FE3131" s="5" t="s">
        <v>240</v>
      </c>
      <c r="FF3131" s="5" t="s">
        <v>240</v>
      </c>
      <c r="FG3131" s="5" t="s">
        <v>240</v>
      </c>
      <c r="FH3131" s="5" t="s">
        <v>240</v>
      </c>
      <c r="FI3131" s="5" t="s">
        <v>240</v>
      </c>
      <c r="FJ3131" s="5" t="s">
        <v>240</v>
      </c>
      <c r="FK3131" s="5" t="s">
        <v>240</v>
      </c>
      <c r="FL3131" s="5" t="s">
        <v>240</v>
      </c>
      <c r="FM3131" s="5" t="s">
        <v>240</v>
      </c>
      <c r="FN3131" s="5" t="s">
        <v>240</v>
      </c>
      <c r="FO3131" s="5" t="s">
        <v>240</v>
      </c>
      <c r="FP3131" s="5" t="s">
        <v>240</v>
      </c>
      <c r="FQ3131" s="5" t="s">
        <v>240</v>
      </c>
      <c r="FR3131" s="5" t="s">
        <v>240</v>
      </c>
      <c r="FS3131" s="5" t="s">
        <v>240</v>
      </c>
      <c r="FT3131" s="5" t="s">
        <v>240</v>
      </c>
      <c r="FU3131" s="5" t="s">
        <v>240</v>
      </c>
      <c r="FV3131" s="5" t="s">
        <v>240</v>
      </c>
      <c r="FW3131" s="5" t="s">
        <v>240</v>
      </c>
      <c r="FX3131" s="5" t="s">
        <v>240</v>
      </c>
      <c r="FY3131" s="5" t="s">
        <v>240</v>
      </c>
      <c r="FZ3131" s="5" t="s">
        <v>240</v>
      </c>
      <c r="GA3131" s="5" t="s">
        <v>240</v>
      </c>
      <c r="GB3131" s="5" t="s">
        <v>240</v>
      </c>
      <c r="GC3131" s="5" t="s">
        <v>240</v>
      </c>
      <c r="GD3131" s="5" t="s">
        <v>240</v>
      </c>
      <c r="GE3131" s="5" t="s">
        <v>240</v>
      </c>
      <c r="GF3131" s="5" t="s">
        <v>240</v>
      </c>
      <c r="GG3131" s="5" t="s">
        <v>240</v>
      </c>
      <c r="GH3131" s="5" t="s">
        <v>240</v>
      </c>
      <c r="GI3131" s="5" t="s">
        <v>240</v>
      </c>
      <c r="GJ3131" s="5" t="s">
        <v>240</v>
      </c>
      <c r="GK3131" s="5" t="s">
        <v>240</v>
      </c>
      <c r="GL3131" s="5" t="s">
        <v>240</v>
      </c>
      <c r="GM3131" s="5" t="s">
        <v>240</v>
      </c>
      <c r="GN3131" s="5" t="s">
        <v>240</v>
      </c>
      <c r="GO3131" s="5" t="s">
        <v>240</v>
      </c>
      <c r="GP3131" s="5" t="s">
        <v>240</v>
      </c>
      <c r="GQ3131" s="5" t="s">
        <v>240</v>
      </c>
      <c r="GR3131" s="5" t="s">
        <v>240</v>
      </c>
      <c r="GS3131" s="5" t="s">
        <v>240</v>
      </c>
      <c r="GT3131" s="5" t="s">
        <v>240</v>
      </c>
      <c r="GU3131" s="5" t="s">
        <v>240</v>
      </c>
      <c r="GV3131" s="5" t="s">
        <v>240</v>
      </c>
      <c r="GW3131" s="5" t="s">
        <v>240</v>
      </c>
      <c r="GX3131" s="5" t="s">
        <v>240</v>
      </c>
      <c r="GY3131" s="5" t="s">
        <v>240</v>
      </c>
      <c r="GZ3131" s="5" t="s">
        <v>240</v>
      </c>
      <c r="HA3131" s="5" t="s">
        <v>240</v>
      </c>
      <c r="HB3131" s="5" t="s">
        <v>240</v>
      </c>
      <c r="HC3131" s="5" t="s">
        <v>240</v>
      </c>
      <c r="HD3131" s="5" t="s">
        <v>240</v>
      </c>
      <c r="HE3131" s="5" t="s">
        <v>240</v>
      </c>
      <c r="HF3131" s="5" t="s">
        <v>240</v>
      </c>
      <c r="HG3131" s="5" t="s">
        <v>240</v>
      </c>
      <c r="HH3131" s="5" t="s">
        <v>240</v>
      </c>
      <c r="HI3131" s="5" t="s">
        <v>240</v>
      </c>
      <c r="HJ3131" s="5" t="s">
        <v>240</v>
      </c>
      <c r="HK3131" s="5" t="s">
        <v>240</v>
      </c>
      <c r="HL3131" s="5" t="s">
        <v>240</v>
      </c>
      <c r="HM3131" s="5" t="s">
        <v>240</v>
      </c>
      <c r="HN3131" s="5" t="s">
        <v>240</v>
      </c>
      <c r="HO3131" s="5" t="s">
        <v>312</v>
      </c>
      <c r="HP3131" s="5" t="s">
        <v>240</v>
      </c>
      <c r="HQ3131" s="5" t="s">
        <v>240</v>
      </c>
      <c r="HR3131" s="5" t="s">
        <v>240</v>
      </c>
      <c r="HS3131" s="5" t="s">
        <v>240</v>
      </c>
      <c r="HT3131" s="5" t="s">
        <v>240</v>
      </c>
      <c r="HU3131" s="5" t="s">
        <v>240</v>
      </c>
      <c r="HV3131" s="5" t="s">
        <v>240</v>
      </c>
      <c r="HW3131" s="5" t="s">
        <v>240</v>
      </c>
      <c r="HX3131" s="5" t="s">
        <v>240</v>
      </c>
      <c r="HY3131" s="5" t="s">
        <v>240</v>
      </c>
      <c r="HZ3131" s="5" t="s">
        <v>240</v>
      </c>
      <c r="IA3131" s="5" t="s">
        <v>240</v>
      </c>
      <c r="IB3131" s="5" t="s">
        <v>240</v>
      </c>
      <c r="IC3131" s="5" t="s">
        <v>240</v>
      </c>
      <c r="ID3131" s="5" t="s">
        <v>240</v>
      </c>
      <c r="IE3131" s="5" t="s">
        <v>240</v>
      </c>
      <c r="IF3131" s="5" t="s">
        <v>240</v>
      </c>
    </row>
    <row r="3132" spans="1:240" x14ac:dyDescent="0.4">
      <c r="A3132" s="5">
        <v>4836</v>
      </c>
      <c r="B3132" s="5">
        <v>1</v>
      </c>
      <c r="C3132" s="5">
        <v>1</v>
      </c>
      <c r="D3132" s="5" t="s">
        <v>810</v>
      </c>
      <c r="E3132" s="5" t="s">
        <v>245</v>
      </c>
      <c r="F3132" s="5" t="s">
        <v>254</v>
      </c>
      <c r="G3132" s="5" t="s">
        <v>240</v>
      </c>
      <c r="H3132" s="6" t="s">
        <v>2285</v>
      </c>
      <c r="I3132" s="5" t="s">
        <v>809</v>
      </c>
      <c r="J3132" s="8">
        <f>149</f>
        <v>149</v>
      </c>
      <c r="K3132" s="5" t="s">
        <v>308</v>
      </c>
      <c r="L3132" s="7">
        <f>1</f>
        <v>1</v>
      </c>
      <c r="M3132" s="7">
        <f>1</f>
        <v>1</v>
      </c>
      <c r="N3132" s="5" t="s">
        <v>242</v>
      </c>
      <c r="O3132" s="5">
        <v>1</v>
      </c>
      <c r="P3132" s="5" t="s">
        <v>294</v>
      </c>
      <c r="Q3132" s="5" t="s">
        <v>3678</v>
      </c>
      <c r="R3132" s="5" t="s">
        <v>240</v>
      </c>
      <c r="S3132" s="5" t="s">
        <v>240</v>
      </c>
      <c r="T3132" s="5" t="s">
        <v>243</v>
      </c>
      <c r="U3132" s="5" t="s">
        <v>244</v>
      </c>
      <c r="V3132" s="5" t="s">
        <v>240</v>
      </c>
      <c r="W3132" s="5" t="s">
        <v>240</v>
      </c>
      <c r="X3132" s="5" t="s">
        <v>240</v>
      </c>
      <c r="Y3132" s="5" t="s">
        <v>240</v>
      </c>
      <c r="Z3132" s="6" t="s">
        <v>298</v>
      </c>
      <c r="AA3132" s="6" t="s">
        <v>240</v>
      </c>
      <c r="AB3132" s="6" t="s">
        <v>240</v>
      </c>
      <c r="AC3132" s="5" t="s">
        <v>240</v>
      </c>
      <c r="AD3132" s="6" t="s">
        <v>240</v>
      </c>
      <c r="AE3132" s="6" t="s">
        <v>299</v>
      </c>
      <c r="AF3132" s="5" t="s">
        <v>248</v>
      </c>
      <c r="AG3132" s="5" t="s">
        <v>249</v>
      </c>
      <c r="AH3132" s="5" t="s">
        <v>240</v>
      </c>
      <c r="AI3132" s="5" t="s">
        <v>240</v>
      </c>
      <c r="AJ3132" s="5" t="s">
        <v>240</v>
      </c>
      <c r="AK3132" s="5" t="s">
        <v>240</v>
      </c>
      <c r="AL3132" s="5" t="s">
        <v>240</v>
      </c>
      <c r="AM3132" s="5" t="s">
        <v>240</v>
      </c>
      <c r="AN3132" s="5" t="s">
        <v>240</v>
      </c>
      <c r="AO3132" s="5" t="s">
        <v>240</v>
      </c>
      <c r="AP3132" s="6" t="s">
        <v>240</v>
      </c>
      <c r="AQ3132" s="6" t="s">
        <v>240</v>
      </c>
      <c r="AR3132" s="6" t="s">
        <v>240</v>
      </c>
      <c r="AS3132" s="6" t="s">
        <v>240</v>
      </c>
      <c r="AT3132" s="5" t="s">
        <v>240</v>
      </c>
      <c r="AU3132" s="5" t="s">
        <v>729</v>
      </c>
      <c r="AV3132" s="5" t="s">
        <v>729</v>
      </c>
      <c r="AW3132" s="5" t="s">
        <v>251</v>
      </c>
      <c r="AX3132" s="5" t="s">
        <v>252</v>
      </c>
      <c r="AY3132" s="5" t="s">
        <v>253</v>
      </c>
      <c r="AZ3132" s="5" t="s">
        <v>240</v>
      </c>
      <c r="BA3132" s="5" t="s">
        <v>255</v>
      </c>
      <c r="BB3132" s="5" t="s">
        <v>731</v>
      </c>
      <c r="BD3132" s="5" t="s">
        <v>240</v>
      </c>
      <c r="BF3132" s="5" t="s">
        <v>732</v>
      </c>
      <c r="BG3132" s="6" t="s">
        <v>733</v>
      </c>
      <c r="BH3132" s="5" t="s">
        <v>734</v>
      </c>
      <c r="BI3132" s="5" t="s">
        <v>734</v>
      </c>
      <c r="BJ3132" s="5" t="s">
        <v>240</v>
      </c>
      <c r="BK3132" s="7">
        <f>1</f>
        <v>1</v>
      </c>
      <c r="BL3132" s="7">
        <f>1</f>
        <v>1</v>
      </c>
      <c r="BM3132" s="5" t="s">
        <v>258</v>
      </c>
      <c r="BN3132" s="5" t="s">
        <v>259</v>
      </c>
      <c r="BO3132" s="5" t="s">
        <v>240</v>
      </c>
      <c r="BP3132" s="5" t="s">
        <v>240</v>
      </c>
      <c r="BQ3132" s="5" t="s">
        <v>240</v>
      </c>
      <c r="BR3132" s="5" t="s">
        <v>240</v>
      </c>
      <c r="BS3132" s="5" t="s">
        <v>240</v>
      </c>
      <c r="BT3132" s="5" t="s">
        <v>240</v>
      </c>
      <c r="BU3132" s="5" t="s">
        <v>240</v>
      </c>
      <c r="BV3132" s="5" t="s">
        <v>240</v>
      </c>
      <c r="BW3132" s="6" t="s">
        <v>240</v>
      </c>
      <c r="BX3132" s="5" t="s">
        <v>240</v>
      </c>
      <c r="BY3132" s="5" t="s">
        <v>240</v>
      </c>
      <c r="BZ3132" s="5" t="s">
        <v>240</v>
      </c>
      <c r="CA3132" s="5" t="s">
        <v>259</v>
      </c>
      <c r="CB3132" s="5" t="s">
        <v>240</v>
      </c>
      <c r="CC3132" s="5" t="s">
        <v>240</v>
      </c>
      <c r="CD3132" s="5" t="s">
        <v>240</v>
      </c>
      <c r="CE3132" s="5" t="s">
        <v>240</v>
      </c>
      <c r="CF3132" s="5" t="s">
        <v>240</v>
      </c>
      <c r="CG3132" s="5" t="s">
        <v>304</v>
      </c>
      <c r="CH3132" s="5" t="s">
        <v>305</v>
      </c>
      <c r="CI3132" s="5" t="s">
        <v>240</v>
      </c>
      <c r="CK3132" s="5" t="s">
        <v>3681</v>
      </c>
      <c r="CL3132" s="6" t="s">
        <v>261</v>
      </c>
      <c r="CM3132" s="5" t="s">
        <v>262</v>
      </c>
      <c r="CN3132" s="5" t="s">
        <v>263</v>
      </c>
      <c r="CO3132" s="5" t="s">
        <v>264</v>
      </c>
      <c r="CP3132" s="5" t="s">
        <v>240</v>
      </c>
      <c r="CQ3132" s="5">
        <v>0</v>
      </c>
      <c r="CR3132" s="5" t="s">
        <v>735</v>
      </c>
      <c r="CS3132" s="5" t="s">
        <v>307</v>
      </c>
      <c r="CT3132" s="5" t="s">
        <v>307</v>
      </c>
      <c r="CU3132" s="5" t="s">
        <v>260</v>
      </c>
      <c r="CV3132" s="5" t="s">
        <v>612</v>
      </c>
      <c r="CW3132" s="8">
        <f>1</f>
        <v>1</v>
      </c>
      <c r="CX3132" s="7">
        <f>1</f>
        <v>1</v>
      </c>
      <c r="CY3132" s="7">
        <f>0</f>
        <v>0</v>
      </c>
      <c r="DA3132" s="7">
        <f>1</f>
        <v>1</v>
      </c>
      <c r="DB3132" s="7" t="s">
        <v>240</v>
      </c>
      <c r="DC3132" s="5" t="s">
        <v>240</v>
      </c>
      <c r="DD3132" s="5" t="s">
        <v>240</v>
      </c>
      <c r="DE3132" s="5" t="s">
        <v>240</v>
      </c>
      <c r="DF3132" s="5" t="s">
        <v>240</v>
      </c>
      <c r="DG3132" s="7">
        <f>0</f>
        <v>0</v>
      </c>
      <c r="DI3132" s="5" t="s">
        <v>240</v>
      </c>
      <c r="DJ3132" s="5" t="s">
        <v>240</v>
      </c>
      <c r="DK3132" s="5" t="s">
        <v>240</v>
      </c>
      <c r="DL3132" s="5" t="s">
        <v>240</v>
      </c>
      <c r="DM3132" s="5" t="s">
        <v>240</v>
      </c>
      <c r="DN3132" s="5" t="s">
        <v>240</v>
      </c>
      <c r="DO3132" s="7" t="s">
        <v>240</v>
      </c>
      <c r="DP3132" s="5" t="s">
        <v>240</v>
      </c>
      <c r="DQ3132" s="5" t="s">
        <v>240</v>
      </c>
      <c r="DR3132" s="5" t="s">
        <v>731</v>
      </c>
      <c r="DS3132" s="5" t="s">
        <v>731</v>
      </c>
      <c r="DT3132" s="5" t="s">
        <v>240</v>
      </c>
      <c r="DU3132" s="5" t="s">
        <v>240</v>
      </c>
      <c r="DV3132" s="5" t="s">
        <v>3683</v>
      </c>
      <c r="DW3132" s="5" t="s">
        <v>2091</v>
      </c>
      <c r="DX3132" s="5" t="s">
        <v>240</v>
      </c>
      <c r="DY3132" s="5" t="s">
        <v>240</v>
      </c>
      <c r="DZ3132" s="5" t="s">
        <v>240</v>
      </c>
      <c r="EA3132" s="5" t="s">
        <v>240</v>
      </c>
      <c r="EB3132" s="5" t="s">
        <v>240</v>
      </c>
      <c r="EC3132" s="5" t="s">
        <v>240</v>
      </c>
      <c r="ED3132" s="5" t="s">
        <v>240</v>
      </c>
      <c r="EE3132" s="5" t="s">
        <v>240</v>
      </c>
      <c r="EF3132" s="5" t="s">
        <v>240</v>
      </c>
      <c r="EG3132" s="5" t="s">
        <v>240</v>
      </c>
      <c r="EH3132" s="5" t="s">
        <v>240</v>
      </c>
      <c r="EI3132" s="5" t="s">
        <v>240</v>
      </c>
      <c r="EJ3132" s="5" t="s">
        <v>240</v>
      </c>
      <c r="EK3132" s="5" t="s">
        <v>240</v>
      </c>
      <c r="EL3132" s="5" t="s">
        <v>240</v>
      </c>
      <c r="EM3132" s="5" t="s">
        <v>240</v>
      </c>
      <c r="EN3132" s="5" t="s">
        <v>240</v>
      </c>
      <c r="EO3132" s="5" t="s">
        <v>240</v>
      </c>
      <c r="EP3132" s="5" t="s">
        <v>240</v>
      </c>
      <c r="EQ3132" s="5" t="s">
        <v>240</v>
      </c>
      <c r="ER3132" s="5" t="s">
        <v>240</v>
      </c>
      <c r="ES3132" s="5" t="s">
        <v>240</v>
      </c>
      <c r="ET3132" s="5" t="s">
        <v>240</v>
      </c>
      <c r="EU3132" s="5" t="s">
        <v>240</v>
      </c>
      <c r="EV3132" s="5" t="s">
        <v>240</v>
      </c>
      <c r="EW3132" s="5" t="s">
        <v>240</v>
      </c>
      <c r="EX3132" s="5" t="s">
        <v>240</v>
      </c>
      <c r="EY3132" s="5" t="s">
        <v>240</v>
      </c>
      <c r="EZ3132" s="5" t="s">
        <v>240</v>
      </c>
      <c r="FA3132" s="5" t="s">
        <v>240</v>
      </c>
      <c r="FB3132" s="5" t="s">
        <v>240</v>
      </c>
      <c r="FC3132" s="5" t="s">
        <v>240</v>
      </c>
      <c r="FD3132" s="5" t="s">
        <v>240</v>
      </c>
      <c r="FE3132" s="5" t="s">
        <v>240</v>
      </c>
      <c r="FF3132" s="5" t="s">
        <v>240</v>
      </c>
      <c r="FG3132" s="5" t="s">
        <v>240</v>
      </c>
      <c r="FH3132" s="5" t="s">
        <v>240</v>
      </c>
      <c r="FI3132" s="5" t="s">
        <v>240</v>
      </c>
      <c r="FJ3132" s="5" t="s">
        <v>240</v>
      </c>
      <c r="FK3132" s="5" t="s">
        <v>240</v>
      </c>
      <c r="FL3132" s="5" t="s">
        <v>240</v>
      </c>
      <c r="FM3132" s="5" t="s">
        <v>240</v>
      </c>
      <c r="FN3132" s="5" t="s">
        <v>240</v>
      </c>
      <c r="FO3132" s="5" t="s">
        <v>240</v>
      </c>
      <c r="FP3132" s="5" t="s">
        <v>240</v>
      </c>
      <c r="FQ3132" s="5" t="s">
        <v>240</v>
      </c>
      <c r="FR3132" s="5" t="s">
        <v>240</v>
      </c>
      <c r="FS3132" s="5" t="s">
        <v>240</v>
      </c>
      <c r="FT3132" s="5" t="s">
        <v>240</v>
      </c>
      <c r="FU3132" s="5" t="s">
        <v>240</v>
      </c>
      <c r="FV3132" s="5" t="s">
        <v>240</v>
      </c>
      <c r="FW3132" s="5" t="s">
        <v>240</v>
      </c>
      <c r="FX3132" s="5" t="s">
        <v>240</v>
      </c>
      <c r="FY3132" s="5" t="s">
        <v>240</v>
      </c>
      <c r="FZ3132" s="5" t="s">
        <v>240</v>
      </c>
      <c r="GA3132" s="5" t="s">
        <v>240</v>
      </c>
      <c r="GB3132" s="5" t="s">
        <v>240</v>
      </c>
      <c r="GC3132" s="5" t="s">
        <v>240</v>
      </c>
      <c r="GD3132" s="5" t="s">
        <v>240</v>
      </c>
      <c r="GE3132" s="5" t="s">
        <v>240</v>
      </c>
      <c r="GF3132" s="5" t="s">
        <v>240</v>
      </c>
      <c r="GG3132" s="5" t="s">
        <v>240</v>
      </c>
      <c r="GH3132" s="5" t="s">
        <v>240</v>
      </c>
      <c r="GI3132" s="5" t="s">
        <v>240</v>
      </c>
      <c r="GJ3132" s="5" t="s">
        <v>240</v>
      </c>
      <c r="GK3132" s="5" t="s">
        <v>240</v>
      </c>
      <c r="GL3132" s="5" t="s">
        <v>240</v>
      </c>
      <c r="GM3132" s="5" t="s">
        <v>240</v>
      </c>
      <c r="GN3132" s="5" t="s">
        <v>240</v>
      </c>
      <c r="GO3132" s="5" t="s">
        <v>240</v>
      </c>
      <c r="GP3132" s="5" t="s">
        <v>240</v>
      </c>
      <c r="GQ3132" s="5" t="s">
        <v>240</v>
      </c>
      <c r="GR3132" s="5" t="s">
        <v>240</v>
      </c>
      <c r="GS3132" s="5" t="s">
        <v>240</v>
      </c>
      <c r="GT3132" s="5" t="s">
        <v>240</v>
      </c>
      <c r="GU3132" s="5" t="s">
        <v>240</v>
      </c>
      <c r="GV3132" s="5" t="s">
        <v>240</v>
      </c>
      <c r="GW3132" s="5" t="s">
        <v>240</v>
      </c>
      <c r="GX3132" s="5" t="s">
        <v>240</v>
      </c>
      <c r="GY3132" s="5" t="s">
        <v>240</v>
      </c>
      <c r="GZ3132" s="5" t="s">
        <v>240</v>
      </c>
      <c r="HA3132" s="5" t="s">
        <v>240</v>
      </c>
      <c r="HB3132" s="5" t="s">
        <v>240</v>
      </c>
      <c r="HC3132" s="5" t="s">
        <v>240</v>
      </c>
      <c r="HD3132" s="5" t="s">
        <v>240</v>
      </c>
      <c r="HE3132" s="5" t="s">
        <v>240</v>
      </c>
      <c r="HF3132" s="5" t="s">
        <v>240</v>
      </c>
      <c r="HG3132" s="5" t="s">
        <v>240</v>
      </c>
      <c r="HH3132" s="5" t="s">
        <v>240</v>
      </c>
      <c r="HI3132" s="5" t="s">
        <v>240</v>
      </c>
      <c r="HJ3132" s="5" t="s">
        <v>240</v>
      </c>
      <c r="HK3132" s="5" t="s">
        <v>240</v>
      </c>
      <c r="HL3132" s="5" t="s">
        <v>240</v>
      </c>
      <c r="HM3132" s="5" t="s">
        <v>240</v>
      </c>
      <c r="HN3132" s="5" t="s">
        <v>240</v>
      </c>
      <c r="HO3132" s="5" t="s">
        <v>312</v>
      </c>
      <c r="HP3132" s="5" t="s">
        <v>240</v>
      </c>
      <c r="HQ3132" s="5" t="s">
        <v>240</v>
      </c>
      <c r="HR3132" s="5" t="s">
        <v>240</v>
      </c>
      <c r="HS3132" s="5" t="s">
        <v>240</v>
      </c>
      <c r="HT3132" s="5" t="s">
        <v>240</v>
      </c>
      <c r="HU3132" s="5" t="s">
        <v>240</v>
      </c>
      <c r="HV3132" s="5" t="s">
        <v>240</v>
      </c>
      <c r="HW3132" s="5" t="s">
        <v>240</v>
      </c>
      <c r="HX3132" s="5" t="s">
        <v>240</v>
      </c>
      <c r="HY3132" s="5" t="s">
        <v>240</v>
      </c>
      <c r="HZ3132" s="5" t="s">
        <v>240</v>
      </c>
      <c r="IA3132" s="5" t="s">
        <v>240</v>
      </c>
      <c r="IB3132" s="5" t="s">
        <v>240</v>
      </c>
      <c r="IC3132" s="5" t="s">
        <v>240</v>
      </c>
      <c r="ID3132" s="5" t="s">
        <v>240</v>
      </c>
      <c r="IE3132" s="5" t="s">
        <v>240</v>
      </c>
      <c r="IF3132" s="5" t="s">
        <v>240</v>
      </c>
    </row>
    <row r="3133" spans="1:240" x14ac:dyDescent="0.4">
      <c r="A3133" s="5">
        <v>4837</v>
      </c>
      <c r="B3133" s="5">
        <v>1</v>
      </c>
      <c r="C3133" s="5">
        <v>1</v>
      </c>
      <c r="D3133" s="5" t="s">
        <v>810</v>
      </c>
      <c r="E3133" s="5" t="s">
        <v>245</v>
      </c>
      <c r="F3133" s="5" t="s">
        <v>254</v>
      </c>
      <c r="G3133" s="5" t="s">
        <v>240</v>
      </c>
      <c r="H3133" s="6" t="s">
        <v>2283</v>
      </c>
      <c r="I3133" s="5" t="s">
        <v>809</v>
      </c>
      <c r="J3133" s="8">
        <f>58</f>
        <v>58</v>
      </c>
      <c r="K3133" s="5" t="s">
        <v>308</v>
      </c>
      <c r="L3133" s="7">
        <f>1</f>
        <v>1</v>
      </c>
      <c r="M3133" s="7">
        <f>1</f>
        <v>1</v>
      </c>
      <c r="N3133" s="5" t="s">
        <v>242</v>
      </c>
      <c r="O3133" s="5">
        <v>1</v>
      </c>
      <c r="P3133" s="5" t="s">
        <v>294</v>
      </c>
      <c r="Q3133" s="5" t="s">
        <v>3678</v>
      </c>
      <c r="R3133" s="5" t="s">
        <v>240</v>
      </c>
      <c r="S3133" s="5" t="s">
        <v>240</v>
      </c>
      <c r="T3133" s="5" t="s">
        <v>243</v>
      </c>
      <c r="U3133" s="5" t="s">
        <v>244</v>
      </c>
      <c r="V3133" s="5" t="s">
        <v>240</v>
      </c>
      <c r="W3133" s="5" t="s">
        <v>240</v>
      </c>
      <c r="X3133" s="5" t="s">
        <v>240</v>
      </c>
      <c r="Y3133" s="5" t="s">
        <v>240</v>
      </c>
      <c r="Z3133" s="6" t="s">
        <v>298</v>
      </c>
      <c r="AA3133" s="6" t="s">
        <v>240</v>
      </c>
      <c r="AB3133" s="6" t="s">
        <v>240</v>
      </c>
      <c r="AC3133" s="5" t="s">
        <v>240</v>
      </c>
      <c r="AD3133" s="6" t="s">
        <v>240</v>
      </c>
      <c r="AE3133" s="6" t="s">
        <v>299</v>
      </c>
      <c r="AF3133" s="5" t="s">
        <v>248</v>
      </c>
      <c r="AG3133" s="5" t="s">
        <v>249</v>
      </c>
      <c r="AH3133" s="5" t="s">
        <v>240</v>
      </c>
      <c r="AI3133" s="5" t="s">
        <v>240</v>
      </c>
      <c r="AJ3133" s="5" t="s">
        <v>240</v>
      </c>
      <c r="AK3133" s="5" t="s">
        <v>240</v>
      </c>
      <c r="AL3133" s="5" t="s">
        <v>240</v>
      </c>
      <c r="AM3133" s="5" t="s">
        <v>240</v>
      </c>
      <c r="AN3133" s="5" t="s">
        <v>240</v>
      </c>
      <c r="AO3133" s="5" t="s">
        <v>240</v>
      </c>
      <c r="AP3133" s="6" t="s">
        <v>240</v>
      </c>
      <c r="AQ3133" s="6" t="s">
        <v>240</v>
      </c>
      <c r="AR3133" s="6" t="s">
        <v>240</v>
      </c>
      <c r="AS3133" s="6" t="s">
        <v>240</v>
      </c>
      <c r="AT3133" s="5" t="s">
        <v>240</v>
      </c>
      <c r="AU3133" s="5" t="s">
        <v>729</v>
      </c>
      <c r="AV3133" s="5" t="s">
        <v>729</v>
      </c>
      <c r="AW3133" s="5" t="s">
        <v>251</v>
      </c>
      <c r="AX3133" s="5" t="s">
        <v>252</v>
      </c>
      <c r="AY3133" s="5" t="s">
        <v>253</v>
      </c>
      <c r="AZ3133" s="5" t="s">
        <v>240</v>
      </c>
      <c r="BA3133" s="5" t="s">
        <v>255</v>
      </c>
      <c r="BB3133" s="5" t="s">
        <v>731</v>
      </c>
      <c r="BD3133" s="5" t="s">
        <v>240</v>
      </c>
      <c r="BF3133" s="5" t="s">
        <v>732</v>
      </c>
      <c r="BG3133" s="6" t="s">
        <v>733</v>
      </c>
      <c r="BH3133" s="5" t="s">
        <v>734</v>
      </c>
      <c r="BI3133" s="5" t="s">
        <v>734</v>
      </c>
      <c r="BJ3133" s="5" t="s">
        <v>240</v>
      </c>
      <c r="BK3133" s="7">
        <f>1</f>
        <v>1</v>
      </c>
      <c r="BL3133" s="7">
        <f>1</f>
        <v>1</v>
      </c>
      <c r="BM3133" s="5" t="s">
        <v>258</v>
      </c>
      <c r="BN3133" s="5" t="s">
        <v>259</v>
      </c>
      <c r="BO3133" s="5" t="s">
        <v>240</v>
      </c>
      <c r="BP3133" s="5" t="s">
        <v>240</v>
      </c>
      <c r="BQ3133" s="5" t="s">
        <v>240</v>
      </c>
      <c r="BR3133" s="5" t="s">
        <v>240</v>
      </c>
      <c r="BS3133" s="5" t="s">
        <v>240</v>
      </c>
      <c r="BT3133" s="5" t="s">
        <v>240</v>
      </c>
      <c r="BU3133" s="5" t="s">
        <v>240</v>
      </c>
      <c r="BV3133" s="5" t="s">
        <v>240</v>
      </c>
      <c r="BW3133" s="6" t="s">
        <v>240</v>
      </c>
      <c r="BX3133" s="5" t="s">
        <v>240</v>
      </c>
      <c r="BY3133" s="5" t="s">
        <v>240</v>
      </c>
      <c r="BZ3133" s="5" t="s">
        <v>240</v>
      </c>
      <c r="CA3133" s="5" t="s">
        <v>259</v>
      </c>
      <c r="CB3133" s="5" t="s">
        <v>240</v>
      </c>
      <c r="CC3133" s="5" t="s">
        <v>240</v>
      </c>
      <c r="CD3133" s="5" t="s">
        <v>240</v>
      </c>
      <c r="CE3133" s="5" t="s">
        <v>240</v>
      </c>
      <c r="CF3133" s="5" t="s">
        <v>240</v>
      </c>
      <c r="CG3133" s="5" t="s">
        <v>304</v>
      </c>
      <c r="CH3133" s="5" t="s">
        <v>305</v>
      </c>
      <c r="CI3133" s="5" t="s">
        <v>240</v>
      </c>
      <c r="CK3133" s="5" t="s">
        <v>3681</v>
      </c>
      <c r="CL3133" s="6" t="s">
        <v>261</v>
      </c>
      <c r="CM3133" s="5" t="s">
        <v>262</v>
      </c>
      <c r="CN3133" s="5" t="s">
        <v>263</v>
      </c>
      <c r="CO3133" s="5" t="s">
        <v>264</v>
      </c>
      <c r="CP3133" s="5" t="s">
        <v>240</v>
      </c>
      <c r="CQ3133" s="5">
        <v>0</v>
      </c>
      <c r="CR3133" s="5" t="s">
        <v>735</v>
      </c>
      <c r="CS3133" s="5" t="s">
        <v>307</v>
      </c>
      <c r="CT3133" s="5" t="s">
        <v>307</v>
      </c>
      <c r="CU3133" s="5" t="s">
        <v>260</v>
      </c>
      <c r="CV3133" s="5" t="s">
        <v>612</v>
      </c>
      <c r="CW3133" s="8">
        <f>1</f>
        <v>1</v>
      </c>
      <c r="CX3133" s="7">
        <f>1</f>
        <v>1</v>
      </c>
      <c r="CY3133" s="7">
        <f>0</f>
        <v>0</v>
      </c>
      <c r="DA3133" s="7">
        <f>1</f>
        <v>1</v>
      </c>
      <c r="DB3133" s="7" t="s">
        <v>240</v>
      </c>
      <c r="DC3133" s="5" t="s">
        <v>240</v>
      </c>
      <c r="DD3133" s="5" t="s">
        <v>240</v>
      </c>
      <c r="DE3133" s="5" t="s">
        <v>240</v>
      </c>
      <c r="DF3133" s="5" t="s">
        <v>240</v>
      </c>
      <c r="DG3133" s="7">
        <f>0</f>
        <v>0</v>
      </c>
      <c r="DI3133" s="5" t="s">
        <v>240</v>
      </c>
      <c r="DJ3133" s="5" t="s">
        <v>240</v>
      </c>
      <c r="DK3133" s="5" t="s">
        <v>240</v>
      </c>
      <c r="DL3133" s="5" t="s">
        <v>240</v>
      </c>
      <c r="DM3133" s="5" t="s">
        <v>240</v>
      </c>
      <c r="DN3133" s="5" t="s">
        <v>240</v>
      </c>
      <c r="DO3133" s="7" t="s">
        <v>240</v>
      </c>
      <c r="DP3133" s="5" t="s">
        <v>240</v>
      </c>
      <c r="DQ3133" s="5" t="s">
        <v>240</v>
      </c>
      <c r="DR3133" s="5" t="s">
        <v>731</v>
      </c>
      <c r="DS3133" s="5" t="s">
        <v>731</v>
      </c>
      <c r="DT3133" s="5" t="s">
        <v>240</v>
      </c>
      <c r="DU3133" s="5" t="s">
        <v>240</v>
      </c>
      <c r="DV3133" s="5" t="s">
        <v>3683</v>
      </c>
      <c r="DW3133" s="5" t="s">
        <v>436</v>
      </c>
      <c r="DX3133" s="5" t="s">
        <v>240</v>
      </c>
      <c r="DY3133" s="5" t="s">
        <v>240</v>
      </c>
      <c r="DZ3133" s="5" t="s">
        <v>240</v>
      </c>
      <c r="EA3133" s="5" t="s">
        <v>240</v>
      </c>
      <c r="EB3133" s="5" t="s">
        <v>240</v>
      </c>
      <c r="EC3133" s="5" t="s">
        <v>240</v>
      </c>
      <c r="ED3133" s="5" t="s">
        <v>240</v>
      </c>
      <c r="EE3133" s="5" t="s">
        <v>240</v>
      </c>
      <c r="EF3133" s="5" t="s">
        <v>240</v>
      </c>
      <c r="EG3133" s="5" t="s">
        <v>240</v>
      </c>
      <c r="EH3133" s="5" t="s">
        <v>240</v>
      </c>
      <c r="EI3133" s="5" t="s">
        <v>240</v>
      </c>
      <c r="EJ3133" s="5" t="s">
        <v>240</v>
      </c>
      <c r="EK3133" s="5" t="s">
        <v>240</v>
      </c>
      <c r="EL3133" s="5" t="s">
        <v>240</v>
      </c>
      <c r="EM3133" s="5" t="s">
        <v>240</v>
      </c>
      <c r="EN3133" s="5" t="s">
        <v>240</v>
      </c>
      <c r="EO3133" s="5" t="s">
        <v>240</v>
      </c>
      <c r="EP3133" s="5" t="s">
        <v>240</v>
      </c>
      <c r="EQ3133" s="5" t="s">
        <v>240</v>
      </c>
      <c r="ER3133" s="5" t="s">
        <v>240</v>
      </c>
      <c r="ES3133" s="5" t="s">
        <v>240</v>
      </c>
      <c r="ET3133" s="5" t="s">
        <v>240</v>
      </c>
      <c r="EU3133" s="5" t="s">
        <v>240</v>
      </c>
      <c r="EV3133" s="5" t="s">
        <v>240</v>
      </c>
      <c r="EW3133" s="5" t="s">
        <v>240</v>
      </c>
      <c r="EX3133" s="5" t="s">
        <v>240</v>
      </c>
      <c r="EY3133" s="5" t="s">
        <v>240</v>
      </c>
      <c r="EZ3133" s="5" t="s">
        <v>240</v>
      </c>
      <c r="FA3133" s="5" t="s">
        <v>240</v>
      </c>
      <c r="FB3133" s="5" t="s">
        <v>240</v>
      </c>
      <c r="FC3133" s="5" t="s">
        <v>240</v>
      </c>
      <c r="FD3133" s="5" t="s">
        <v>240</v>
      </c>
      <c r="FE3133" s="5" t="s">
        <v>240</v>
      </c>
      <c r="FF3133" s="5" t="s">
        <v>240</v>
      </c>
      <c r="FG3133" s="5" t="s">
        <v>240</v>
      </c>
      <c r="FH3133" s="5" t="s">
        <v>240</v>
      </c>
      <c r="FI3133" s="5" t="s">
        <v>240</v>
      </c>
      <c r="FJ3133" s="5" t="s">
        <v>240</v>
      </c>
      <c r="FK3133" s="5" t="s">
        <v>240</v>
      </c>
      <c r="FL3133" s="5" t="s">
        <v>240</v>
      </c>
      <c r="FM3133" s="5" t="s">
        <v>240</v>
      </c>
      <c r="FN3133" s="5" t="s">
        <v>240</v>
      </c>
      <c r="FO3133" s="5" t="s">
        <v>240</v>
      </c>
      <c r="FP3133" s="5" t="s">
        <v>240</v>
      </c>
      <c r="FQ3133" s="5" t="s">
        <v>240</v>
      </c>
      <c r="FR3133" s="5" t="s">
        <v>240</v>
      </c>
      <c r="FS3133" s="5" t="s">
        <v>240</v>
      </c>
      <c r="FT3133" s="5" t="s">
        <v>240</v>
      </c>
      <c r="FU3133" s="5" t="s">
        <v>240</v>
      </c>
      <c r="FV3133" s="5" t="s">
        <v>240</v>
      </c>
      <c r="FW3133" s="5" t="s">
        <v>240</v>
      </c>
      <c r="FX3133" s="5" t="s">
        <v>240</v>
      </c>
      <c r="FY3133" s="5" t="s">
        <v>240</v>
      </c>
      <c r="FZ3133" s="5" t="s">
        <v>240</v>
      </c>
      <c r="GA3133" s="5" t="s">
        <v>240</v>
      </c>
      <c r="GB3133" s="5" t="s">
        <v>240</v>
      </c>
      <c r="GC3133" s="5" t="s">
        <v>240</v>
      </c>
      <c r="GD3133" s="5" t="s">
        <v>240</v>
      </c>
      <c r="GE3133" s="5" t="s">
        <v>240</v>
      </c>
      <c r="GF3133" s="5" t="s">
        <v>240</v>
      </c>
      <c r="GG3133" s="5" t="s">
        <v>240</v>
      </c>
      <c r="GH3133" s="5" t="s">
        <v>240</v>
      </c>
      <c r="GI3133" s="5" t="s">
        <v>240</v>
      </c>
      <c r="GJ3133" s="5" t="s">
        <v>240</v>
      </c>
      <c r="GK3133" s="5" t="s">
        <v>240</v>
      </c>
      <c r="GL3133" s="5" t="s">
        <v>240</v>
      </c>
      <c r="GM3133" s="5" t="s">
        <v>240</v>
      </c>
      <c r="GN3133" s="5" t="s">
        <v>240</v>
      </c>
      <c r="GO3133" s="5" t="s">
        <v>240</v>
      </c>
      <c r="GP3133" s="5" t="s">
        <v>240</v>
      </c>
      <c r="GQ3133" s="5" t="s">
        <v>240</v>
      </c>
      <c r="GR3133" s="5" t="s">
        <v>240</v>
      </c>
      <c r="GS3133" s="5" t="s">
        <v>240</v>
      </c>
      <c r="GT3133" s="5" t="s">
        <v>240</v>
      </c>
      <c r="GU3133" s="5" t="s">
        <v>240</v>
      </c>
      <c r="GV3133" s="5" t="s">
        <v>240</v>
      </c>
      <c r="GW3133" s="5" t="s">
        <v>240</v>
      </c>
      <c r="GX3133" s="5" t="s">
        <v>240</v>
      </c>
      <c r="GY3133" s="5" t="s">
        <v>240</v>
      </c>
      <c r="GZ3133" s="5" t="s">
        <v>240</v>
      </c>
      <c r="HA3133" s="5" t="s">
        <v>240</v>
      </c>
      <c r="HB3133" s="5" t="s">
        <v>240</v>
      </c>
      <c r="HC3133" s="5" t="s">
        <v>240</v>
      </c>
      <c r="HD3133" s="5" t="s">
        <v>240</v>
      </c>
      <c r="HE3133" s="5" t="s">
        <v>240</v>
      </c>
      <c r="HF3133" s="5" t="s">
        <v>240</v>
      </c>
      <c r="HG3133" s="5" t="s">
        <v>240</v>
      </c>
      <c r="HH3133" s="5" t="s">
        <v>240</v>
      </c>
      <c r="HI3133" s="5" t="s">
        <v>240</v>
      </c>
      <c r="HJ3133" s="5" t="s">
        <v>240</v>
      </c>
      <c r="HK3133" s="5" t="s">
        <v>240</v>
      </c>
      <c r="HL3133" s="5" t="s">
        <v>240</v>
      </c>
      <c r="HM3133" s="5" t="s">
        <v>240</v>
      </c>
      <c r="HN3133" s="5" t="s">
        <v>240</v>
      </c>
      <c r="HO3133" s="5" t="s">
        <v>312</v>
      </c>
      <c r="HP3133" s="5" t="s">
        <v>240</v>
      </c>
      <c r="HQ3133" s="5" t="s">
        <v>240</v>
      </c>
      <c r="HR3133" s="5" t="s">
        <v>240</v>
      </c>
      <c r="HS3133" s="5" t="s">
        <v>240</v>
      </c>
      <c r="HT3133" s="5" t="s">
        <v>240</v>
      </c>
      <c r="HU3133" s="5" t="s">
        <v>240</v>
      </c>
      <c r="HV3133" s="5" t="s">
        <v>240</v>
      </c>
      <c r="HW3133" s="5" t="s">
        <v>240</v>
      </c>
      <c r="HX3133" s="5" t="s">
        <v>240</v>
      </c>
      <c r="HY3133" s="5" t="s">
        <v>240</v>
      </c>
      <c r="HZ3133" s="5" t="s">
        <v>240</v>
      </c>
      <c r="IA3133" s="5" t="s">
        <v>240</v>
      </c>
      <c r="IB3133" s="5" t="s">
        <v>240</v>
      </c>
      <c r="IC3133" s="5" t="s">
        <v>240</v>
      </c>
      <c r="ID3133" s="5" t="s">
        <v>240</v>
      </c>
      <c r="IE3133" s="5" t="s">
        <v>240</v>
      </c>
      <c r="IF3133" s="5" t="s">
        <v>240</v>
      </c>
    </row>
    <row r="3134" spans="1:240" x14ac:dyDescent="0.4">
      <c r="A3134" s="5">
        <v>4838</v>
      </c>
      <c r="B3134" s="5">
        <v>1</v>
      </c>
      <c r="C3134" s="5">
        <v>1</v>
      </c>
      <c r="D3134" s="5" t="s">
        <v>810</v>
      </c>
      <c r="E3134" s="5" t="s">
        <v>245</v>
      </c>
      <c r="F3134" s="5" t="s">
        <v>254</v>
      </c>
      <c r="G3134" s="5" t="s">
        <v>240</v>
      </c>
      <c r="H3134" s="6" t="s">
        <v>2281</v>
      </c>
      <c r="I3134" s="5" t="s">
        <v>809</v>
      </c>
      <c r="J3134" s="8">
        <f>31</f>
        <v>31</v>
      </c>
      <c r="K3134" s="5" t="s">
        <v>308</v>
      </c>
      <c r="L3134" s="7">
        <f>1</f>
        <v>1</v>
      </c>
      <c r="M3134" s="7">
        <f>1</f>
        <v>1</v>
      </c>
      <c r="N3134" s="5" t="s">
        <v>242</v>
      </c>
      <c r="O3134" s="5">
        <v>1</v>
      </c>
      <c r="P3134" s="5" t="s">
        <v>294</v>
      </c>
      <c r="Q3134" s="5" t="s">
        <v>3678</v>
      </c>
      <c r="R3134" s="5" t="s">
        <v>240</v>
      </c>
      <c r="S3134" s="5" t="s">
        <v>240</v>
      </c>
      <c r="T3134" s="5" t="s">
        <v>243</v>
      </c>
      <c r="U3134" s="5" t="s">
        <v>244</v>
      </c>
      <c r="V3134" s="5" t="s">
        <v>240</v>
      </c>
      <c r="W3134" s="5" t="s">
        <v>240</v>
      </c>
      <c r="X3134" s="5" t="s">
        <v>240</v>
      </c>
      <c r="Y3134" s="5" t="s">
        <v>240</v>
      </c>
      <c r="Z3134" s="6" t="s">
        <v>298</v>
      </c>
      <c r="AA3134" s="6" t="s">
        <v>240</v>
      </c>
      <c r="AB3134" s="6" t="s">
        <v>240</v>
      </c>
      <c r="AC3134" s="5" t="s">
        <v>240</v>
      </c>
      <c r="AD3134" s="6" t="s">
        <v>240</v>
      </c>
      <c r="AE3134" s="6" t="s">
        <v>299</v>
      </c>
      <c r="AF3134" s="5" t="s">
        <v>248</v>
      </c>
      <c r="AG3134" s="5" t="s">
        <v>249</v>
      </c>
      <c r="AH3134" s="5" t="s">
        <v>240</v>
      </c>
      <c r="AI3134" s="5" t="s">
        <v>240</v>
      </c>
      <c r="AJ3134" s="5" t="s">
        <v>240</v>
      </c>
      <c r="AK3134" s="5" t="s">
        <v>240</v>
      </c>
      <c r="AL3134" s="5" t="s">
        <v>240</v>
      </c>
      <c r="AM3134" s="5" t="s">
        <v>240</v>
      </c>
      <c r="AN3134" s="5" t="s">
        <v>240</v>
      </c>
      <c r="AO3134" s="5" t="s">
        <v>240</v>
      </c>
      <c r="AP3134" s="6" t="s">
        <v>240</v>
      </c>
      <c r="AQ3134" s="6" t="s">
        <v>240</v>
      </c>
      <c r="AR3134" s="6" t="s">
        <v>240</v>
      </c>
      <c r="AS3134" s="6" t="s">
        <v>240</v>
      </c>
      <c r="AT3134" s="5" t="s">
        <v>240</v>
      </c>
      <c r="AU3134" s="5" t="s">
        <v>729</v>
      </c>
      <c r="AV3134" s="5" t="s">
        <v>729</v>
      </c>
      <c r="AW3134" s="5" t="s">
        <v>251</v>
      </c>
      <c r="AX3134" s="5" t="s">
        <v>252</v>
      </c>
      <c r="AY3134" s="5" t="s">
        <v>253</v>
      </c>
      <c r="AZ3134" s="5" t="s">
        <v>240</v>
      </c>
      <c r="BA3134" s="5" t="s">
        <v>255</v>
      </c>
      <c r="BB3134" s="5" t="s">
        <v>731</v>
      </c>
      <c r="BD3134" s="5" t="s">
        <v>240</v>
      </c>
      <c r="BF3134" s="5" t="s">
        <v>732</v>
      </c>
      <c r="BG3134" s="6" t="s">
        <v>733</v>
      </c>
      <c r="BH3134" s="5" t="s">
        <v>734</v>
      </c>
      <c r="BI3134" s="5" t="s">
        <v>734</v>
      </c>
      <c r="BJ3134" s="5" t="s">
        <v>240</v>
      </c>
      <c r="BK3134" s="7">
        <f>1</f>
        <v>1</v>
      </c>
      <c r="BL3134" s="7">
        <f>1</f>
        <v>1</v>
      </c>
      <c r="BM3134" s="5" t="s">
        <v>258</v>
      </c>
      <c r="BN3134" s="5" t="s">
        <v>259</v>
      </c>
      <c r="BO3134" s="5" t="s">
        <v>240</v>
      </c>
      <c r="BP3134" s="5" t="s">
        <v>240</v>
      </c>
      <c r="BQ3134" s="5" t="s">
        <v>240</v>
      </c>
      <c r="BR3134" s="5" t="s">
        <v>240</v>
      </c>
      <c r="BS3134" s="5" t="s">
        <v>240</v>
      </c>
      <c r="BT3134" s="5" t="s">
        <v>240</v>
      </c>
      <c r="BU3134" s="5" t="s">
        <v>240</v>
      </c>
      <c r="BV3134" s="5" t="s">
        <v>240</v>
      </c>
      <c r="BW3134" s="6" t="s">
        <v>240</v>
      </c>
      <c r="BX3134" s="5" t="s">
        <v>240</v>
      </c>
      <c r="BY3134" s="5" t="s">
        <v>240</v>
      </c>
      <c r="BZ3134" s="5" t="s">
        <v>240</v>
      </c>
      <c r="CA3134" s="5" t="s">
        <v>259</v>
      </c>
      <c r="CB3134" s="5" t="s">
        <v>240</v>
      </c>
      <c r="CC3134" s="5" t="s">
        <v>240</v>
      </c>
      <c r="CD3134" s="5" t="s">
        <v>240</v>
      </c>
      <c r="CE3134" s="5" t="s">
        <v>240</v>
      </c>
      <c r="CF3134" s="5" t="s">
        <v>240</v>
      </c>
      <c r="CG3134" s="5" t="s">
        <v>304</v>
      </c>
      <c r="CH3134" s="5" t="s">
        <v>305</v>
      </c>
      <c r="CI3134" s="5" t="s">
        <v>240</v>
      </c>
      <c r="CK3134" s="5" t="s">
        <v>3681</v>
      </c>
      <c r="CL3134" s="6" t="s">
        <v>261</v>
      </c>
      <c r="CM3134" s="5" t="s">
        <v>262</v>
      </c>
      <c r="CN3134" s="5" t="s">
        <v>263</v>
      </c>
      <c r="CO3134" s="5" t="s">
        <v>264</v>
      </c>
      <c r="CP3134" s="5" t="s">
        <v>240</v>
      </c>
      <c r="CQ3134" s="5">
        <v>0</v>
      </c>
      <c r="CR3134" s="5" t="s">
        <v>735</v>
      </c>
      <c r="CS3134" s="5" t="s">
        <v>307</v>
      </c>
      <c r="CT3134" s="5" t="s">
        <v>307</v>
      </c>
      <c r="CU3134" s="5" t="s">
        <v>260</v>
      </c>
      <c r="CV3134" s="5" t="s">
        <v>612</v>
      </c>
      <c r="CW3134" s="8">
        <f>1</f>
        <v>1</v>
      </c>
      <c r="CX3134" s="7">
        <f>1</f>
        <v>1</v>
      </c>
      <c r="CY3134" s="7">
        <f>0</f>
        <v>0</v>
      </c>
      <c r="DA3134" s="7">
        <f>1</f>
        <v>1</v>
      </c>
      <c r="DB3134" s="7" t="s">
        <v>240</v>
      </c>
      <c r="DC3134" s="5" t="s">
        <v>240</v>
      </c>
      <c r="DD3134" s="5" t="s">
        <v>240</v>
      </c>
      <c r="DE3134" s="5" t="s">
        <v>240</v>
      </c>
      <c r="DF3134" s="5" t="s">
        <v>240</v>
      </c>
      <c r="DG3134" s="7">
        <f>0</f>
        <v>0</v>
      </c>
      <c r="DI3134" s="5" t="s">
        <v>240</v>
      </c>
      <c r="DJ3134" s="5" t="s">
        <v>240</v>
      </c>
      <c r="DK3134" s="5" t="s">
        <v>240</v>
      </c>
      <c r="DL3134" s="5" t="s">
        <v>240</v>
      </c>
      <c r="DM3134" s="5" t="s">
        <v>240</v>
      </c>
      <c r="DN3134" s="5" t="s">
        <v>240</v>
      </c>
      <c r="DO3134" s="7" t="s">
        <v>240</v>
      </c>
      <c r="DP3134" s="5" t="s">
        <v>240</v>
      </c>
      <c r="DQ3134" s="5" t="s">
        <v>240</v>
      </c>
      <c r="DR3134" s="5" t="s">
        <v>731</v>
      </c>
      <c r="DS3134" s="5" t="s">
        <v>731</v>
      </c>
      <c r="DT3134" s="5" t="s">
        <v>240</v>
      </c>
      <c r="DU3134" s="5" t="s">
        <v>240</v>
      </c>
      <c r="DV3134" s="5" t="s">
        <v>3683</v>
      </c>
      <c r="DW3134" s="5" t="s">
        <v>428</v>
      </c>
      <c r="DX3134" s="5" t="s">
        <v>240</v>
      </c>
      <c r="DY3134" s="5" t="s">
        <v>240</v>
      </c>
      <c r="DZ3134" s="5" t="s">
        <v>240</v>
      </c>
      <c r="EA3134" s="5" t="s">
        <v>240</v>
      </c>
      <c r="EB3134" s="5" t="s">
        <v>240</v>
      </c>
      <c r="EC3134" s="5" t="s">
        <v>240</v>
      </c>
      <c r="ED3134" s="5" t="s">
        <v>240</v>
      </c>
      <c r="EE3134" s="5" t="s">
        <v>240</v>
      </c>
      <c r="EF3134" s="5" t="s">
        <v>240</v>
      </c>
      <c r="EG3134" s="5" t="s">
        <v>240</v>
      </c>
      <c r="EH3134" s="5" t="s">
        <v>240</v>
      </c>
      <c r="EI3134" s="5" t="s">
        <v>240</v>
      </c>
      <c r="EJ3134" s="5" t="s">
        <v>240</v>
      </c>
      <c r="EK3134" s="5" t="s">
        <v>240</v>
      </c>
      <c r="EL3134" s="5" t="s">
        <v>240</v>
      </c>
      <c r="EM3134" s="5" t="s">
        <v>240</v>
      </c>
      <c r="EN3134" s="5" t="s">
        <v>240</v>
      </c>
      <c r="EO3134" s="5" t="s">
        <v>240</v>
      </c>
      <c r="EP3134" s="5" t="s">
        <v>240</v>
      </c>
      <c r="EQ3134" s="5" t="s">
        <v>240</v>
      </c>
      <c r="ER3134" s="5" t="s">
        <v>240</v>
      </c>
      <c r="ES3134" s="5" t="s">
        <v>240</v>
      </c>
      <c r="ET3134" s="5" t="s">
        <v>240</v>
      </c>
      <c r="EU3134" s="5" t="s">
        <v>240</v>
      </c>
      <c r="EV3134" s="5" t="s">
        <v>240</v>
      </c>
      <c r="EW3134" s="5" t="s">
        <v>240</v>
      </c>
      <c r="EX3134" s="5" t="s">
        <v>240</v>
      </c>
      <c r="EY3134" s="5" t="s">
        <v>240</v>
      </c>
      <c r="EZ3134" s="5" t="s">
        <v>240</v>
      </c>
      <c r="FA3134" s="5" t="s">
        <v>240</v>
      </c>
      <c r="FB3134" s="5" t="s">
        <v>240</v>
      </c>
      <c r="FC3134" s="5" t="s">
        <v>240</v>
      </c>
      <c r="FD3134" s="5" t="s">
        <v>240</v>
      </c>
      <c r="FE3134" s="5" t="s">
        <v>240</v>
      </c>
      <c r="FF3134" s="5" t="s">
        <v>240</v>
      </c>
      <c r="FG3134" s="5" t="s">
        <v>240</v>
      </c>
      <c r="FH3134" s="5" t="s">
        <v>240</v>
      </c>
      <c r="FI3134" s="5" t="s">
        <v>240</v>
      </c>
      <c r="FJ3134" s="5" t="s">
        <v>240</v>
      </c>
      <c r="FK3134" s="5" t="s">
        <v>240</v>
      </c>
      <c r="FL3134" s="5" t="s">
        <v>240</v>
      </c>
      <c r="FM3134" s="5" t="s">
        <v>240</v>
      </c>
      <c r="FN3134" s="5" t="s">
        <v>240</v>
      </c>
      <c r="FO3134" s="5" t="s">
        <v>240</v>
      </c>
      <c r="FP3134" s="5" t="s">
        <v>240</v>
      </c>
      <c r="FQ3134" s="5" t="s">
        <v>240</v>
      </c>
      <c r="FR3134" s="5" t="s">
        <v>240</v>
      </c>
      <c r="FS3134" s="5" t="s">
        <v>240</v>
      </c>
      <c r="FT3134" s="5" t="s">
        <v>240</v>
      </c>
      <c r="FU3134" s="5" t="s">
        <v>240</v>
      </c>
      <c r="FV3134" s="5" t="s">
        <v>240</v>
      </c>
      <c r="FW3134" s="5" t="s">
        <v>240</v>
      </c>
      <c r="FX3134" s="5" t="s">
        <v>240</v>
      </c>
      <c r="FY3134" s="5" t="s">
        <v>240</v>
      </c>
      <c r="FZ3134" s="5" t="s">
        <v>240</v>
      </c>
      <c r="GA3134" s="5" t="s">
        <v>240</v>
      </c>
      <c r="GB3134" s="5" t="s">
        <v>240</v>
      </c>
      <c r="GC3134" s="5" t="s">
        <v>240</v>
      </c>
      <c r="GD3134" s="5" t="s">
        <v>240</v>
      </c>
      <c r="GE3134" s="5" t="s">
        <v>240</v>
      </c>
      <c r="GF3134" s="5" t="s">
        <v>240</v>
      </c>
      <c r="GG3134" s="5" t="s">
        <v>240</v>
      </c>
      <c r="GH3134" s="5" t="s">
        <v>240</v>
      </c>
      <c r="GI3134" s="5" t="s">
        <v>240</v>
      </c>
      <c r="GJ3134" s="5" t="s">
        <v>240</v>
      </c>
      <c r="GK3134" s="5" t="s">
        <v>240</v>
      </c>
      <c r="GL3134" s="5" t="s">
        <v>240</v>
      </c>
      <c r="GM3134" s="5" t="s">
        <v>240</v>
      </c>
      <c r="GN3134" s="5" t="s">
        <v>240</v>
      </c>
      <c r="GO3134" s="5" t="s">
        <v>240</v>
      </c>
      <c r="GP3134" s="5" t="s">
        <v>240</v>
      </c>
      <c r="GQ3134" s="5" t="s">
        <v>240</v>
      </c>
      <c r="GR3134" s="5" t="s">
        <v>240</v>
      </c>
      <c r="GS3134" s="5" t="s">
        <v>240</v>
      </c>
      <c r="GT3134" s="5" t="s">
        <v>240</v>
      </c>
      <c r="GU3134" s="5" t="s">
        <v>240</v>
      </c>
      <c r="GV3134" s="5" t="s">
        <v>240</v>
      </c>
      <c r="GW3134" s="5" t="s">
        <v>240</v>
      </c>
      <c r="GX3134" s="5" t="s">
        <v>240</v>
      </c>
      <c r="GY3134" s="5" t="s">
        <v>240</v>
      </c>
      <c r="GZ3134" s="5" t="s">
        <v>240</v>
      </c>
      <c r="HA3134" s="5" t="s">
        <v>240</v>
      </c>
      <c r="HB3134" s="5" t="s">
        <v>240</v>
      </c>
      <c r="HC3134" s="5" t="s">
        <v>240</v>
      </c>
      <c r="HD3134" s="5" t="s">
        <v>240</v>
      </c>
      <c r="HE3134" s="5" t="s">
        <v>240</v>
      </c>
      <c r="HF3134" s="5" t="s">
        <v>240</v>
      </c>
      <c r="HG3134" s="5" t="s">
        <v>240</v>
      </c>
      <c r="HH3134" s="5" t="s">
        <v>240</v>
      </c>
      <c r="HI3134" s="5" t="s">
        <v>240</v>
      </c>
      <c r="HJ3134" s="5" t="s">
        <v>240</v>
      </c>
      <c r="HK3134" s="5" t="s">
        <v>240</v>
      </c>
      <c r="HL3134" s="5" t="s">
        <v>240</v>
      </c>
      <c r="HM3134" s="5" t="s">
        <v>240</v>
      </c>
      <c r="HN3134" s="5" t="s">
        <v>240</v>
      </c>
      <c r="HO3134" s="5" t="s">
        <v>312</v>
      </c>
      <c r="HP3134" s="5" t="s">
        <v>240</v>
      </c>
      <c r="HQ3134" s="5" t="s">
        <v>240</v>
      </c>
      <c r="HR3134" s="5" t="s">
        <v>240</v>
      </c>
      <c r="HS3134" s="5" t="s">
        <v>240</v>
      </c>
      <c r="HT3134" s="5" t="s">
        <v>240</v>
      </c>
      <c r="HU3134" s="5" t="s">
        <v>240</v>
      </c>
      <c r="HV3134" s="5" t="s">
        <v>240</v>
      </c>
      <c r="HW3134" s="5" t="s">
        <v>240</v>
      </c>
      <c r="HX3134" s="5" t="s">
        <v>240</v>
      </c>
      <c r="HY3134" s="5" t="s">
        <v>240</v>
      </c>
      <c r="HZ3134" s="5" t="s">
        <v>240</v>
      </c>
      <c r="IA3134" s="5" t="s">
        <v>240</v>
      </c>
      <c r="IB3134" s="5" t="s">
        <v>240</v>
      </c>
      <c r="IC3134" s="5" t="s">
        <v>240</v>
      </c>
      <c r="ID3134" s="5" t="s">
        <v>240</v>
      </c>
      <c r="IE3134" s="5" t="s">
        <v>240</v>
      </c>
      <c r="IF3134" s="5" t="s">
        <v>240</v>
      </c>
    </row>
    <row r="3135" spans="1:240" x14ac:dyDescent="0.4">
      <c r="A3135" s="5">
        <v>4839</v>
      </c>
      <c r="B3135" s="5">
        <v>1</v>
      </c>
      <c r="C3135" s="5">
        <v>1</v>
      </c>
      <c r="D3135" s="5" t="s">
        <v>810</v>
      </c>
      <c r="E3135" s="5" t="s">
        <v>245</v>
      </c>
      <c r="F3135" s="5" t="s">
        <v>254</v>
      </c>
      <c r="G3135" s="5" t="s">
        <v>240</v>
      </c>
      <c r="H3135" s="6" t="s">
        <v>2279</v>
      </c>
      <c r="I3135" s="5" t="s">
        <v>809</v>
      </c>
      <c r="J3135" s="8">
        <f>2010</f>
        <v>2010</v>
      </c>
      <c r="K3135" s="5" t="s">
        <v>308</v>
      </c>
      <c r="L3135" s="7">
        <f>1</f>
        <v>1</v>
      </c>
      <c r="M3135" s="7">
        <f>1</f>
        <v>1</v>
      </c>
      <c r="N3135" s="5" t="s">
        <v>242</v>
      </c>
      <c r="O3135" s="5">
        <v>1</v>
      </c>
      <c r="P3135" s="5" t="s">
        <v>294</v>
      </c>
      <c r="Q3135" s="5" t="s">
        <v>3678</v>
      </c>
      <c r="R3135" s="5" t="s">
        <v>240</v>
      </c>
      <c r="S3135" s="5" t="s">
        <v>240</v>
      </c>
      <c r="T3135" s="5" t="s">
        <v>243</v>
      </c>
      <c r="U3135" s="5" t="s">
        <v>244</v>
      </c>
      <c r="V3135" s="5" t="s">
        <v>240</v>
      </c>
      <c r="W3135" s="5" t="s">
        <v>240</v>
      </c>
      <c r="X3135" s="5" t="s">
        <v>240</v>
      </c>
      <c r="Y3135" s="5" t="s">
        <v>240</v>
      </c>
      <c r="Z3135" s="6" t="s">
        <v>298</v>
      </c>
      <c r="AA3135" s="6" t="s">
        <v>240</v>
      </c>
      <c r="AB3135" s="6" t="s">
        <v>240</v>
      </c>
      <c r="AC3135" s="5" t="s">
        <v>240</v>
      </c>
      <c r="AD3135" s="6" t="s">
        <v>240</v>
      </c>
      <c r="AE3135" s="6" t="s">
        <v>299</v>
      </c>
      <c r="AF3135" s="5" t="s">
        <v>248</v>
      </c>
      <c r="AG3135" s="5" t="s">
        <v>249</v>
      </c>
      <c r="AH3135" s="5" t="s">
        <v>240</v>
      </c>
      <c r="AI3135" s="5" t="s">
        <v>240</v>
      </c>
      <c r="AJ3135" s="5" t="s">
        <v>240</v>
      </c>
      <c r="AK3135" s="5" t="s">
        <v>240</v>
      </c>
      <c r="AL3135" s="5" t="s">
        <v>240</v>
      </c>
      <c r="AM3135" s="5" t="s">
        <v>240</v>
      </c>
      <c r="AN3135" s="5" t="s">
        <v>240</v>
      </c>
      <c r="AO3135" s="5" t="s">
        <v>240</v>
      </c>
      <c r="AP3135" s="6" t="s">
        <v>240</v>
      </c>
      <c r="AQ3135" s="6" t="s">
        <v>240</v>
      </c>
      <c r="AR3135" s="6" t="s">
        <v>240</v>
      </c>
      <c r="AS3135" s="6" t="s">
        <v>240</v>
      </c>
      <c r="AT3135" s="5" t="s">
        <v>240</v>
      </c>
      <c r="AU3135" s="5" t="s">
        <v>729</v>
      </c>
      <c r="AV3135" s="5" t="s">
        <v>729</v>
      </c>
      <c r="AW3135" s="5" t="s">
        <v>251</v>
      </c>
      <c r="AX3135" s="5" t="s">
        <v>252</v>
      </c>
      <c r="AY3135" s="5" t="s">
        <v>253</v>
      </c>
      <c r="AZ3135" s="5" t="s">
        <v>240</v>
      </c>
      <c r="BA3135" s="5" t="s">
        <v>255</v>
      </c>
      <c r="BB3135" s="5" t="s">
        <v>731</v>
      </c>
      <c r="BD3135" s="5" t="s">
        <v>240</v>
      </c>
      <c r="BF3135" s="5" t="s">
        <v>732</v>
      </c>
      <c r="BG3135" s="6" t="s">
        <v>733</v>
      </c>
      <c r="BH3135" s="5" t="s">
        <v>734</v>
      </c>
      <c r="BI3135" s="5" t="s">
        <v>734</v>
      </c>
      <c r="BJ3135" s="5" t="s">
        <v>240</v>
      </c>
      <c r="BK3135" s="7">
        <f>1</f>
        <v>1</v>
      </c>
      <c r="BL3135" s="7">
        <f>1</f>
        <v>1</v>
      </c>
      <c r="BM3135" s="5" t="s">
        <v>258</v>
      </c>
      <c r="BN3135" s="5" t="s">
        <v>259</v>
      </c>
      <c r="BO3135" s="5" t="s">
        <v>240</v>
      </c>
      <c r="BP3135" s="5" t="s">
        <v>240</v>
      </c>
      <c r="BQ3135" s="5" t="s">
        <v>240</v>
      </c>
      <c r="BR3135" s="5" t="s">
        <v>240</v>
      </c>
      <c r="BS3135" s="5" t="s">
        <v>240</v>
      </c>
      <c r="BT3135" s="5" t="s">
        <v>240</v>
      </c>
      <c r="BU3135" s="5" t="s">
        <v>240</v>
      </c>
      <c r="BV3135" s="5" t="s">
        <v>240</v>
      </c>
      <c r="BW3135" s="6" t="s">
        <v>240</v>
      </c>
      <c r="BX3135" s="5" t="s">
        <v>240</v>
      </c>
      <c r="BY3135" s="5" t="s">
        <v>240</v>
      </c>
      <c r="BZ3135" s="5" t="s">
        <v>240</v>
      </c>
      <c r="CA3135" s="5" t="s">
        <v>259</v>
      </c>
      <c r="CB3135" s="5" t="s">
        <v>240</v>
      </c>
      <c r="CC3135" s="5" t="s">
        <v>240</v>
      </c>
      <c r="CD3135" s="5" t="s">
        <v>240</v>
      </c>
      <c r="CE3135" s="5" t="s">
        <v>240</v>
      </c>
      <c r="CF3135" s="5" t="s">
        <v>240</v>
      </c>
      <c r="CG3135" s="5" t="s">
        <v>304</v>
      </c>
      <c r="CH3135" s="5" t="s">
        <v>305</v>
      </c>
      <c r="CI3135" s="5" t="s">
        <v>240</v>
      </c>
      <c r="CK3135" s="5" t="s">
        <v>3681</v>
      </c>
      <c r="CL3135" s="6" t="s">
        <v>261</v>
      </c>
      <c r="CM3135" s="5" t="s">
        <v>262</v>
      </c>
      <c r="CN3135" s="5" t="s">
        <v>263</v>
      </c>
      <c r="CO3135" s="5" t="s">
        <v>264</v>
      </c>
      <c r="CP3135" s="5" t="s">
        <v>240</v>
      </c>
      <c r="CQ3135" s="5">
        <v>0</v>
      </c>
      <c r="CR3135" s="5" t="s">
        <v>735</v>
      </c>
      <c r="CS3135" s="5" t="s">
        <v>307</v>
      </c>
      <c r="CT3135" s="5" t="s">
        <v>307</v>
      </c>
      <c r="CU3135" s="5" t="s">
        <v>260</v>
      </c>
      <c r="CV3135" s="5" t="s">
        <v>612</v>
      </c>
      <c r="CW3135" s="8">
        <f>1</f>
        <v>1</v>
      </c>
      <c r="CX3135" s="7">
        <f>1</f>
        <v>1</v>
      </c>
      <c r="CY3135" s="7">
        <f>0</f>
        <v>0</v>
      </c>
      <c r="DA3135" s="7">
        <f>1</f>
        <v>1</v>
      </c>
      <c r="DB3135" s="7" t="s">
        <v>240</v>
      </c>
      <c r="DC3135" s="5" t="s">
        <v>240</v>
      </c>
      <c r="DD3135" s="5" t="s">
        <v>240</v>
      </c>
      <c r="DE3135" s="5" t="s">
        <v>240</v>
      </c>
      <c r="DF3135" s="5" t="s">
        <v>240</v>
      </c>
      <c r="DG3135" s="7">
        <f>0</f>
        <v>0</v>
      </c>
      <c r="DI3135" s="5" t="s">
        <v>240</v>
      </c>
      <c r="DJ3135" s="5" t="s">
        <v>240</v>
      </c>
      <c r="DK3135" s="5" t="s">
        <v>240</v>
      </c>
      <c r="DL3135" s="5" t="s">
        <v>240</v>
      </c>
      <c r="DM3135" s="5" t="s">
        <v>240</v>
      </c>
      <c r="DN3135" s="5" t="s">
        <v>240</v>
      </c>
      <c r="DO3135" s="7" t="s">
        <v>240</v>
      </c>
      <c r="DP3135" s="5" t="s">
        <v>240</v>
      </c>
      <c r="DQ3135" s="5" t="s">
        <v>240</v>
      </c>
      <c r="DR3135" s="5" t="s">
        <v>731</v>
      </c>
      <c r="DS3135" s="5" t="s">
        <v>731</v>
      </c>
      <c r="DT3135" s="5" t="s">
        <v>240</v>
      </c>
      <c r="DU3135" s="5" t="s">
        <v>240</v>
      </c>
      <c r="DV3135" s="5" t="s">
        <v>3683</v>
      </c>
      <c r="DW3135" s="5" t="s">
        <v>1196</v>
      </c>
      <c r="DX3135" s="5" t="s">
        <v>240</v>
      </c>
      <c r="DY3135" s="5" t="s">
        <v>240</v>
      </c>
      <c r="DZ3135" s="5" t="s">
        <v>240</v>
      </c>
      <c r="EA3135" s="5" t="s">
        <v>240</v>
      </c>
      <c r="EB3135" s="5" t="s">
        <v>240</v>
      </c>
      <c r="EC3135" s="5" t="s">
        <v>240</v>
      </c>
      <c r="ED3135" s="5" t="s">
        <v>240</v>
      </c>
      <c r="EE3135" s="5" t="s">
        <v>240</v>
      </c>
      <c r="EF3135" s="5" t="s">
        <v>240</v>
      </c>
      <c r="EG3135" s="5" t="s">
        <v>240</v>
      </c>
      <c r="EH3135" s="5" t="s">
        <v>240</v>
      </c>
      <c r="EI3135" s="5" t="s">
        <v>240</v>
      </c>
      <c r="EJ3135" s="5" t="s">
        <v>240</v>
      </c>
      <c r="EK3135" s="5" t="s">
        <v>240</v>
      </c>
      <c r="EL3135" s="5" t="s">
        <v>240</v>
      </c>
      <c r="EM3135" s="5" t="s">
        <v>240</v>
      </c>
      <c r="EN3135" s="5" t="s">
        <v>240</v>
      </c>
      <c r="EO3135" s="5" t="s">
        <v>240</v>
      </c>
      <c r="EP3135" s="5" t="s">
        <v>240</v>
      </c>
      <c r="EQ3135" s="5" t="s">
        <v>240</v>
      </c>
      <c r="ER3135" s="5" t="s">
        <v>240</v>
      </c>
      <c r="ES3135" s="5" t="s">
        <v>240</v>
      </c>
      <c r="ET3135" s="5" t="s">
        <v>240</v>
      </c>
      <c r="EU3135" s="5" t="s">
        <v>240</v>
      </c>
      <c r="EV3135" s="5" t="s">
        <v>240</v>
      </c>
      <c r="EW3135" s="5" t="s">
        <v>240</v>
      </c>
      <c r="EX3135" s="5" t="s">
        <v>240</v>
      </c>
      <c r="EY3135" s="5" t="s">
        <v>240</v>
      </c>
      <c r="EZ3135" s="5" t="s">
        <v>240</v>
      </c>
      <c r="FA3135" s="5" t="s">
        <v>240</v>
      </c>
      <c r="FB3135" s="5" t="s">
        <v>240</v>
      </c>
      <c r="FC3135" s="5" t="s">
        <v>240</v>
      </c>
      <c r="FD3135" s="5" t="s">
        <v>240</v>
      </c>
      <c r="FE3135" s="5" t="s">
        <v>240</v>
      </c>
      <c r="FF3135" s="5" t="s">
        <v>240</v>
      </c>
      <c r="FG3135" s="5" t="s">
        <v>240</v>
      </c>
      <c r="FH3135" s="5" t="s">
        <v>240</v>
      </c>
      <c r="FI3135" s="5" t="s">
        <v>240</v>
      </c>
      <c r="FJ3135" s="5" t="s">
        <v>240</v>
      </c>
      <c r="FK3135" s="5" t="s">
        <v>240</v>
      </c>
      <c r="FL3135" s="5" t="s">
        <v>240</v>
      </c>
      <c r="FM3135" s="5" t="s">
        <v>240</v>
      </c>
      <c r="FN3135" s="5" t="s">
        <v>240</v>
      </c>
      <c r="FO3135" s="5" t="s">
        <v>240</v>
      </c>
      <c r="FP3135" s="5" t="s">
        <v>240</v>
      </c>
      <c r="FQ3135" s="5" t="s">
        <v>240</v>
      </c>
      <c r="FR3135" s="5" t="s">
        <v>240</v>
      </c>
      <c r="FS3135" s="5" t="s">
        <v>240</v>
      </c>
      <c r="FT3135" s="5" t="s">
        <v>240</v>
      </c>
      <c r="FU3135" s="5" t="s">
        <v>240</v>
      </c>
      <c r="FV3135" s="5" t="s">
        <v>240</v>
      </c>
      <c r="FW3135" s="5" t="s">
        <v>240</v>
      </c>
      <c r="FX3135" s="5" t="s">
        <v>240</v>
      </c>
      <c r="FY3135" s="5" t="s">
        <v>240</v>
      </c>
      <c r="FZ3135" s="5" t="s">
        <v>240</v>
      </c>
      <c r="GA3135" s="5" t="s">
        <v>240</v>
      </c>
      <c r="GB3135" s="5" t="s">
        <v>240</v>
      </c>
      <c r="GC3135" s="5" t="s">
        <v>240</v>
      </c>
      <c r="GD3135" s="5" t="s">
        <v>240</v>
      </c>
      <c r="GE3135" s="5" t="s">
        <v>240</v>
      </c>
      <c r="GF3135" s="5" t="s">
        <v>240</v>
      </c>
      <c r="GG3135" s="5" t="s">
        <v>240</v>
      </c>
      <c r="GH3135" s="5" t="s">
        <v>240</v>
      </c>
      <c r="GI3135" s="5" t="s">
        <v>240</v>
      </c>
      <c r="GJ3135" s="5" t="s">
        <v>240</v>
      </c>
      <c r="GK3135" s="5" t="s">
        <v>240</v>
      </c>
      <c r="GL3135" s="5" t="s">
        <v>240</v>
      </c>
      <c r="GM3135" s="5" t="s">
        <v>240</v>
      </c>
      <c r="GN3135" s="5" t="s">
        <v>240</v>
      </c>
      <c r="GO3135" s="5" t="s">
        <v>240</v>
      </c>
      <c r="GP3135" s="5" t="s">
        <v>240</v>
      </c>
      <c r="GQ3135" s="5" t="s">
        <v>240</v>
      </c>
      <c r="GR3135" s="5" t="s">
        <v>240</v>
      </c>
      <c r="GS3135" s="5" t="s">
        <v>240</v>
      </c>
      <c r="GT3135" s="5" t="s">
        <v>240</v>
      </c>
      <c r="GU3135" s="5" t="s">
        <v>240</v>
      </c>
      <c r="GV3135" s="5" t="s">
        <v>240</v>
      </c>
      <c r="GW3135" s="5" t="s">
        <v>240</v>
      </c>
      <c r="GX3135" s="5" t="s">
        <v>240</v>
      </c>
      <c r="GY3135" s="5" t="s">
        <v>240</v>
      </c>
      <c r="GZ3135" s="5" t="s">
        <v>240</v>
      </c>
      <c r="HA3135" s="5" t="s">
        <v>240</v>
      </c>
      <c r="HB3135" s="5" t="s">
        <v>240</v>
      </c>
      <c r="HC3135" s="5" t="s">
        <v>240</v>
      </c>
      <c r="HD3135" s="5" t="s">
        <v>240</v>
      </c>
      <c r="HE3135" s="5" t="s">
        <v>240</v>
      </c>
      <c r="HF3135" s="5" t="s">
        <v>240</v>
      </c>
      <c r="HG3135" s="5" t="s">
        <v>240</v>
      </c>
      <c r="HH3135" s="5" t="s">
        <v>240</v>
      </c>
      <c r="HI3135" s="5" t="s">
        <v>240</v>
      </c>
      <c r="HJ3135" s="5" t="s">
        <v>240</v>
      </c>
      <c r="HK3135" s="5" t="s">
        <v>240</v>
      </c>
      <c r="HL3135" s="5" t="s">
        <v>240</v>
      </c>
      <c r="HM3135" s="5" t="s">
        <v>240</v>
      </c>
      <c r="HN3135" s="5" t="s">
        <v>240</v>
      </c>
      <c r="HO3135" s="5" t="s">
        <v>312</v>
      </c>
      <c r="HP3135" s="5" t="s">
        <v>240</v>
      </c>
      <c r="HQ3135" s="5" t="s">
        <v>240</v>
      </c>
      <c r="HR3135" s="5" t="s">
        <v>240</v>
      </c>
      <c r="HS3135" s="5" t="s">
        <v>240</v>
      </c>
      <c r="HT3135" s="5" t="s">
        <v>240</v>
      </c>
      <c r="HU3135" s="5" t="s">
        <v>240</v>
      </c>
      <c r="HV3135" s="5" t="s">
        <v>240</v>
      </c>
      <c r="HW3135" s="5" t="s">
        <v>240</v>
      </c>
      <c r="HX3135" s="5" t="s">
        <v>240</v>
      </c>
      <c r="HY3135" s="5" t="s">
        <v>240</v>
      </c>
      <c r="HZ3135" s="5" t="s">
        <v>240</v>
      </c>
      <c r="IA3135" s="5" t="s">
        <v>240</v>
      </c>
      <c r="IB3135" s="5" t="s">
        <v>240</v>
      </c>
      <c r="IC3135" s="5" t="s">
        <v>240</v>
      </c>
      <c r="ID3135" s="5" t="s">
        <v>240</v>
      </c>
      <c r="IE3135" s="5" t="s">
        <v>240</v>
      </c>
      <c r="IF3135" s="5" t="s">
        <v>240</v>
      </c>
    </row>
    <row r="3136" spans="1:240" x14ac:dyDescent="0.4">
      <c r="A3136" s="5">
        <v>4840</v>
      </c>
      <c r="B3136" s="5">
        <v>1</v>
      </c>
      <c r="C3136" s="5">
        <v>1</v>
      </c>
      <c r="D3136" s="5" t="s">
        <v>810</v>
      </c>
      <c r="E3136" s="5" t="s">
        <v>245</v>
      </c>
      <c r="F3136" s="5" t="s">
        <v>254</v>
      </c>
      <c r="G3136" s="5" t="s">
        <v>240</v>
      </c>
      <c r="H3136" s="6" t="s">
        <v>2277</v>
      </c>
      <c r="I3136" s="5" t="s">
        <v>809</v>
      </c>
      <c r="J3136" s="8">
        <f>940</f>
        <v>940</v>
      </c>
      <c r="K3136" s="5" t="s">
        <v>308</v>
      </c>
      <c r="L3136" s="7">
        <f>1</f>
        <v>1</v>
      </c>
      <c r="M3136" s="7">
        <f>1</f>
        <v>1</v>
      </c>
      <c r="N3136" s="5" t="s">
        <v>242</v>
      </c>
      <c r="O3136" s="5">
        <v>1</v>
      </c>
      <c r="P3136" s="5" t="s">
        <v>294</v>
      </c>
      <c r="Q3136" s="5" t="s">
        <v>3678</v>
      </c>
      <c r="R3136" s="5" t="s">
        <v>240</v>
      </c>
      <c r="S3136" s="5" t="s">
        <v>240</v>
      </c>
      <c r="T3136" s="5" t="s">
        <v>243</v>
      </c>
      <c r="U3136" s="5" t="s">
        <v>244</v>
      </c>
      <c r="V3136" s="5" t="s">
        <v>240</v>
      </c>
      <c r="W3136" s="5" t="s">
        <v>240</v>
      </c>
      <c r="X3136" s="5" t="s">
        <v>240</v>
      </c>
      <c r="Y3136" s="5" t="s">
        <v>240</v>
      </c>
      <c r="Z3136" s="6" t="s">
        <v>298</v>
      </c>
      <c r="AA3136" s="6" t="s">
        <v>240</v>
      </c>
      <c r="AB3136" s="6" t="s">
        <v>240</v>
      </c>
      <c r="AC3136" s="5" t="s">
        <v>240</v>
      </c>
      <c r="AD3136" s="6" t="s">
        <v>240</v>
      </c>
      <c r="AE3136" s="6" t="s">
        <v>299</v>
      </c>
      <c r="AF3136" s="5" t="s">
        <v>248</v>
      </c>
      <c r="AG3136" s="5" t="s">
        <v>249</v>
      </c>
      <c r="AH3136" s="5" t="s">
        <v>240</v>
      </c>
      <c r="AI3136" s="5" t="s">
        <v>240</v>
      </c>
      <c r="AJ3136" s="5" t="s">
        <v>240</v>
      </c>
      <c r="AK3136" s="5" t="s">
        <v>240</v>
      </c>
      <c r="AL3136" s="5" t="s">
        <v>240</v>
      </c>
      <c r="AM3136" s="5" t="s">
        <v>240</v>
      </c>
      <c r="AN3136" s="5" t="s">
        <v>240</v>
      </c>
      <c r="AO3136" s="5" t="s">
        <v>240</v>
      </c>
      <c r="AP3136" s="6" t="s">
        <v>240</v>
      </c>
      <c r="AQ3136" s="6" t="s">
        <v>240</v>
      </c>
      <c r="AR3136" s="6" t="s">
        <v>240</v>
      </c>
      <c r="AS3136" s="6" t="s">
        <v>240</v>
      </c>
      <c r="AT3136" s="5" t="s">
        <v>240</v>
      </c>
      <c r="AU3136" s="5" t="s">
        <v>729</v>
      </c>
      <c r="AV3136" s="5" t="s">
        <v>729</v>
      </c>
      <c r="AW3136" s="5" t="s">
        <v>251</v>
      </c>
      <c r="AX3136" s="5" t="s">
        <v>252</v>
      </c>
      <c r="AY3136" s="5" t="s">
        <v>253</v>
      </c>
      <c r="AZ3136" s="5" t="s">
        <v>240</v>
      </c>
      <c r="BA3136" s="5" t="s">
        <v>255</v>
      </c>
      <c r="BB3136" s="5" t="s">
        <v>731</v>
      </c>
      <c r="BD3136" s="5" t="s">
        <v>240</v>
      </c>
      <c r="BF3136" s="5" t="s">
        <v>732</v>
      </c>
      <c r="BG3136" s="6" t="s">
        <v>733</v>
      </c>
      <c r="BH3136" s="5" t="s">
        <v>734</v>
      </c>
      <c r="BI3136" s="5" t="s">
        <v>734</v>
      </c>
      <c r="BJ3136" s="5" t="s">
        <v>240</v>
      </c>
      <c r="BK3136" s="7">
        <f>1</f>
        <v>1</v>
      </c>
      <c r="BL3136" s="7">
        <f>1</f>
        <v>1</v>
      </c>
      <c r="BM3136" s="5" t="s">
        <v>258</v>
      </c>
      <c r="BN3136" s="5" t="s">
        <v>259</v>
      </c>
      <c r="BO3136" s="5" t="s">
        <v>240</v>
      </c>
      <c r="BP3136" s="5" t="s">
        <v>240</v>
      </c>
      <c r="BQ3136" s="5" t="s">
        <v>240</v>
      </c>
      <c r="BR3136" s="5" t="s">
        <v>240</v>
      </c>
      <c r="BS3136" s="5" t="s">
        <v>240</v>
      </c>
      <c r="BT3136" s="5" t="s">
        <v>240</v>
      </c>
      <c r="BU3136" s="5" t="s">
        <v>240</v>
      </c>
      <c r="BV3136" s="5" t="s">
        <v>240</v>
      </c>
      <c r="BW3136" s="6" t="s">
        <v>240</v>
      </c>
      <c r="BX3136" s="5" t="s">
        <v>240</v>
      </c>
      <c r="BY3136" s="5" t="s">
        <v>240</v>
      </c>
      <c r="BZ3136" s="5" t="s">
        <v>240</v>
      </c>
      <c r="CA3136" s="5" t="s">
        <v>259</v>
      </c>
      <c r="CB3136" s="5" t="s">
        <v>240</v>
      </c>
      <c r="CC3136" s="5" t="s">
        <v>240</v>
      </c>
      <c r="CD3136" s="5" t="s">
        <v>240</v>
      </c>
      <c r="CE3136" s="5" t="s">
        <v>240</v>
      </c>
      <c r="CF3136" s="5" t="s">
        <v>240</v>
      </c>
      <c r="CG3136" s="5" t="s">
        <v>304</v>
      </c>
      <c r="CH3136" s="5" t="s">
        <v>305</v>
      </c>
      <c r="CI3136" s="5" t="s">
        <v>240</v>
      </c>
      <c r="CK3136" s="5" t="s">
        <v>3681</v>
      </c>
      <c r="CL3136" s="6" t="s">
        <v>261</v>
      </c>
      <c r="CM3136" s="5" t="s">
        <v>262</v>
      </c>
      <c r="CN3136" s="5" t="s">
        <v>263</v>
      </c>
      <c r="CO3136" s="5" t="s">
        <v>264</v>
      </c>
      <c r="CP3136" s="5" t="s">
        <v>240</v>
      </c>
      <c r="CQ3136" s="5">
        <v>0</v>
      </c>
      <c r="CR3136" s="5" t="s">
        <v>735</v>
      </c>
      <c r="CS3136" s="5" t="s">
        <v>307</v>
      </c>
      <c r="CT3136" s="5" t="s">
        <v>307</v>
      </c>
      <c r="CU3136" s="5" t="s">
        <v>260</v>
      </c>
      <c r="CV3136" s="5" t="s">
        <v>612</v>
      </c>
      <c r="CW3136" s="8">
        <f>1</f>
        <v>1</v>
      </c>
      <c r="CX3136" s="7">
        <f>1</f>
        <v>1</v>
      </c>
      <c r="CY3136" s="7">
        <f>0</f>
        <v>0</v>
      </c>
      <c r="DA3136" s="7">
        <f>1</f>
        <v>1</v>
      </c>
      <c r="DB3136" s="7" t="s">
        <v>240</v>
      </c>
      <c r="DC3136" s="5" t="s">
        <v>240</v>
      </c>
      <c r="DD3136" s="5" t="s">
        <v>240</v>
      </c>
      <c r="DE3136" s="5" t="s">
        <v>240</v>
      </c>
      <c r="DF3136" s="5" t="s">
        <v>240</v>
      </c>
      <c r="DG3136" s="7">
        <f>0</f>
        <v>0</v>
      </c>
      <c r="DI3136" s="5" t="s">
        <v>240</v>
      </c>
      <c r="DJ3136" s="5" t="s">
        <v>240</v>
      </c>
      <c r="DK3136" s="5" t="s">
        <v>240</v>
      </c>
      <c r="DL3136" s="5" t="s">
        <v>240</v>
      </c>
      <c r="DM3136" s="5" t="s">
        <v>240</v>
      </c>
      <c r="DN3136" s="5" t="s">
        <v>240</v>
      </c>
      <c r="DO3136" s="7" t="s">
        <v>240</v>
      </c>
      <c r="DP3136" s="5" t="s">
        <v>240</v>
      </c>
      <c r="DQ3136" s="5" t="s">
        <v>240</v>
      </c>
      <c r="DR3136" s="5" t="s">
        <v>731</v>
      </c>
      <c r="DS3136" s="5" t="s">
        <v>731</v>
      </c>
      <c r="DT3136" s="5" t="s">
        <v>240</v>
      </c>
      <c r="DU3136" s="5" t="s">
        <v>240</v>
      </c>
      <c r="DV3136" s="5" t="s">
        <v>3683</v>
      </c>
      <c r="DW3136" s="5" t="s">
        <v>977</v>
      </c>
      <c r="DX3136" s="5" t="s">
        <v>240</v>
      </c>
      <c r="DY3136" s="5" t="s">
        <v>240</v>
      </c>
      <c r="DZ3136" s="5" t="s">
        <v>240</v>
      </c>
      <c r="EA3136" s="5" t="s">
        <v>240</v>
      </c>
      <c r="EB3136" s="5" t="s">
        <v>240</v>
      </c>
      <c r="EC3136" s="5" t="s">
        <v>240</v>
      </c>
      <c r="ED3136" s="5" t="s">
        <v>240</v>
      </c>
      <c r="EE3136" s="5" t="s">
        <v>240</v>
      </c>
      <c r="EF3136" s="5" t="s">
        <v>240</v>
      </c>
      <c r="EG3136" s="5" t="s">
        <v>240</v>
      </c>
      <c r="EH3136" s="5" t="s">
        <v>240</v>
      </c>
      <c r="EI3136" s="5" t="s">
        <v>240</v>
      </c>
      <c r="EJ3136" s="5" t="s">
        <v>240</v>
      </c>
      <c r="EK3136" s="5" t="s">
        <v>240</v>
      </c>
      <c r="EL3136" s="5" t="s">
        <v>240</v>
      </c>
      <c r="EM3136" s="5" t="s">
        <v>240</v>
      </c>
      <c r="EN3136" s="5" t="s">
        <v>240</v>
      </c>
      <c r="EO3136" s="5" t="s">
        <v>240</v>
      </c>
      <c r="EP3136" s="5" t="s">
        <v>240</v>
      </c>
      <c r="EQ3136" s="5" t="s">
        <v>240</v>
      </c>
      <c r="ER3136" s="5" t="s">
        <v>240</v>
      </c>
      <c r="ES3136" s="5" t="s">
        <v>240</v>
      </c>
      <c r="ET3136" s="5" t="s">
        <v>240</v>
      </c>
      <c r="EU3136" s="5" t="s">
        <v>240</v>
      </c>
      <c r="EV3136" s="5" t="s">
        <v>240</v>
      </c>
      <c r="EW3136" s="5" t="s">
        <v>240</v>
      </c>
      <c r="EX3136" s="5" t="s">
        <v>240</v>
      </c>
      <c r="EY3136" s="5" t="s">
        <v>240</v>
      </c>
      <c r="EZ3136" s="5" t="s">
        <v>240</v>
      </c>
      <c r="FA3136" s="5" t="s">
        <v>240</v>
      </c>
      <c r="FB3136" s="5" t="s">
        <v>240</v>
      </c>
      <c r="FC3136" s="5" t="s">
        <v>240</v>
      </c>
      <c r="FD3136" s="5" t="s">
        <v>240</v>
      </c>
      <c r="FE3136" s="5" t="s">
        <v>240</v>
      </c>
      <c r="FF3136" s="5" t="s">
        <v>240</v>
      </c>
      <c r="FG3136" s="5" t="s">
        <v>240</v>
      </c>
      <c r="FH3136" s="5" t="s">
        <v>240</v>
      </c>
      <c r="FI3136" s="5" t="s">
        <v>240</v>
      </c>
      <c r="FJ3136" s="5" t="s">
        <v>240</v>
      </c>
      <c r="FK3136" s="5" t="s">
        <v>240</v>
      </c>
      <c r="FL3136" s="5" t="s">
        <v>240</v>
      </c>
      <c r="FM3136" s="5" t="s">
        <v>240</v>
      </c>
      <c r="FN3136" s="5" t="s">
        <v>240</v>
      </c>
      <c r="FO3136" s="5" t="s">
        <v>240</v>
      </c>
      <c r="FP3136" s="5" t="s">
        <v>240</v>
      </c>
      <c r="FQ3136" s="5" t="s">
        <v>240</v>
      </c>
      <c r="FR3136" s="5" t="s">
        <v>240</v>
      </c>
      <c r="FS3136" s="5" t="s">
        <v>240</v>
      </c>
      <c r="FT3136" s="5" t="s">
        <v>240</v>
      </c>
      <c r="FU3136" s="5" t="s">
        <v>240</v>
      </c>
      <c r="FV3136" s="5" t="s">
        <v>240</v>
      </c>
      <c r="FW3136" s="5" t="s">
        <v>240</v>
      </c>
      <c r="FX3136" s="5" t="s">
        <v>240</v>
      </c>
      <c r="FY3136" s="5" t="s">
        <v>240</v>
      </c>
      <c r="FZ3136" s="5" t="s">
        <v>240</v>
      </c>
      <c r="GA3136" s="5" t="s">
        <v>240</v>
      </c>
      <c r="GB3136" s="5" t="s">
        <v>240</v>
      </c>
      <c r="GC3136" s="5" t="s">
        <v>240</v>
      </c>
      <c r="GD3136" s="5" t="s">
        <v>240</v>
      </c>
      <c r="GE3136" s="5" t="s">
        <v>240</v>
      </c>
      <c r="GF3136" s="5" t="s">
        <v>240</v>
      </c>
      <c r="GG3136" s="5" t="s">
        <v>240</v>
      </c>
      <c r="GH3136" s="5" t="s">
        <v>240</v>
      </c>
      <c r="GI3136" s="5" t="s">
        <v>240</v>
      </c>
      <c r="GJ3136" s="5" t="s">
        <v>240</v>
      </c>
      <c r="GK3136" s="5" t="s">
        <v>240</v>
      </c>
      <c r="GL3136" s="5" t="s">
        <v>240</v>
      </c>
      <c r="GM3136" s="5" t="s">
        <v>240</v>
      </c>
      <c r="GN3136" s="5" t="s">
        <v>240</v>
      </c>
      <c r="GO3136" s="5" t="s">
        <v>240</v>
      </c>
      <c r="GP3136" s="5" t="s">
        <v>240</v>
      </c>
      <c r="GQ3136" s="5" t="s">
        <v>240</v>
      </c>
      <c r="GR3136" s="5" t="s">
        <v>240</v>
      </c>
      <c r="GS3136" s="5" t="s">
        <v>240</v>
      </c>
      <c r="GT3136" s="5" t="s">
        <v>240</v>
      </c>
      <c r="GU3136" s="5" t="s">
        <v>240</v>
      </c>
      <c r="GV3136" s="5" t="s">
        <v>240</v>
      </c>
      <c r="GW3136" s="5" t="s">
        <v>240</v>
      </c>
      <c r="GX3136" s="5" t="s">
        <v>240</v>
      </c>
      <c r="GY3136" s="5" t="s">
        <v>240</v>
      </c>
      <c r="GZ3136" s="5" t="s">
        <v>240</v>
      </c>
      <c r="HA3136" s="5" t="s">
        <v>240</v>
      </c>
      <c r="HB3136" s="5" t="s">
        <v>240</v>
      </c>
      <c r="HC3136" s="5" t="s">
        <v>240</v>
      </c>
      <c r="HD3136" s="5" t="s">
        <v>240</v>
      </c>
      <c r="HE3136" s="5" t="s">
        <v>240</v>
      </c>
      <c r="HF3136" s="5" t="s">
        <v>240</v>
      </c>
      <c r="HG3136" s="5" t="s">
        <v>240</v>
      </c>
      <c r="HH3136" s="5" t="s">
        <v>240</v>
      </c>
      <c r="HI3136" s="5" t="s">
        <v>240</v>
      </c>
      <c r="HJ3136" s="5" t="s">
        <v>240</v>
      </c>
      <c r="HK3136" s="5" t="s">
        <v>240</v>
      </c>
      <c r="HL3136" s="5" t="s">
        <v>240</v>
      </c>
      <c r="HM3136" s="5" t="s">
        <v>240</v>
      </c>
      <c r="HN3136" s="5" t="s">
        <v>240</v>
      </c>
      <c r="HO3136" s="5" t="s">
        <v>312</v>
      </c>
      <c r="HP3136" s="5" t="s">
        <v>240</v>
      </c>
      <c r="HQ3136" s="5" t="s">
        <v>240</v>
      </c>
      <c r="HR3136" s="5" t="s">
        <v>240</v>
      </c>
      <c r="HS3136" s="5" t="s">
        <v>240</v>
      </c>
      <c r="HT3136" s="5" t="s">
        <v>240</v>
      </c>
      <c r="HU3136" s="5" t="s">
        <v>240</v>
      </c>
      <c r="HV3136" s="5" t="s">
        <v>240</v>
      </c>
      <c r="HW3136" s="5" t="s">
        <v>240</v>
      </c>
      <c r="HX3136" s="5" t="s">
        <v>240</v>
      </c>
      <c r="HY3136" s="5" t="s">
        <v>240</v>
      </c>
      <c r="HZ3136" s="5" t="s">
        <v>240</v>
      </c>
      <c r="IA3136" s="5" t="s">
        <v>240</v>
      </c>
      <c r="IB3136" s="5" t="s">
        <v>240</v>
      </c>
      <c r="IC3136" s="5" t="s">
        <v>240</v>
      </c>
      <c r="ID3136" s="5" t="s">
        <v>240</v>
      </c>
      <c r="IE3136" s="5" t="s">
        <v>240</v>
      </c>
      <c r="IF3136" s="5" t="s">
        <v>240</v>
      </c>
    </row>
    <row r="3137" spans="1:240" x14ac:dyDescent="0.4">
      <c r="A3137" s="5">
        <v>4841</v>
      </c>
      <c r="B3137" s="5">
        <v>1</v>
      </c>
      <c r="C3137" s="5">
        <v>1</v>
      </c>
      <c r="D3137" s="5" t="s">
        <v>810</v>
      </c>
      <c r="E3137" s="5" t="s">
        <v>245</v>
      </c>
      <c r="F3137" s="5" t="s">
        <v>254</v>
      </c>
      <c r="G3137" s="5" t="s">
        <v>240</v>
      </c>
      <c r="H3137" s="6" t="s">
        <v>2275</v>
      </c>
      <c r="I3137" s="5" t="s">
        <v>809</v>
      </c>
      <c r="J3137" s="8">
        <f>981</f>
        <v>981</v>
      </c>
      <c r="K3137" s="5" t="s">
        <v>308</v>
      </c>
      <c r="L3137" s="7">
        <f>1</f>
        <v>1</v>
      </c>
      <c r="M3137" s="7">
        <f>1</f>
        <v>1</v>
      </c>
      <c r="N3137" s="5" t="s">
        <v>242</v>
      </c>
      <c r="O3137" s="5">
        <v>1</v>
      </c>
      <c r="P3137" s="5" t="s">
        <v>294</v>
      </c>
      <c r="Q3137" s="5" t="s">
        <v>3678</v>
      </c>
      <c r="R3137" s="5" t="s">
        <v>240</v>
      </c>
      <c r="S3137" s="5" t="s">
        <v>240</v>
      </c>
      <c r="T3137" s="5" t="s">
        <v>243</v>
      </c>
      <c r="U3137" s="5" t="s">
        <v>244</v>
      </c>
      <c r="V3137" s="5" t="s">
        <v>240</v>
      </c>
      <c r="W3137" s="5" t="s">
        <v>240</v>
      </c>
      <c r="X3137" s="5" t="s">
        <v>240</v>
      </c>
      <c r="Y3137" s="5" t="s">
        <v>240</v>
      </c>
      <c r="Z3137" s="6" t="s">
        <v>298</v>
      </c>
      <c r="AA3137" s="6" t="s">
        <v>240</v>
      </c>
      <c r="AB3137" s="6" t="s">
        <v>240</v>
      </c>
      <c r="AC3137" s="5" t="s">
        <v>240</v>
      </c>
      <c r="AD3137" s="6" t="s">
        <v>240</v>
      </c>
      <c r="AE3137" s="6" t="s">
        <v>299</v>
      </c>
      <c r="AF3137" s="5" t="s">
        <v>248</v>
      </c>
      <c r="AG3137" s="5" t="s">
        <v>249</v>
      </c>
      <c r="AH3137" s="5" t="s">
        <v>240</v>
      </c>
      <c r="AI3137" s="5" t="s">
        <v>240</v>
      </c>
      <c r="AJ3137" s="5" t="s">
        <v>240</v>
      </c>
      <c r="AK3137" s="5" t="s">
        <v>240</v>
      </c>
      <c r="AL3137" s="5" t="s">
        <v>240</v>
      </c>
      <c r="AM3137" s="5" t="s">
        <v>240</v>
      </c>
      <c r="AN3137" s="5" t="s">
        <v>240</v>
      </c>
      <c r="AO3137" s="5" t="s">
        <v>240</v>
      </c>
      <c r="AP3137" s="6" t="s">
        <v>240</v>
      </c>
      <c r="AQ3137" s="6" t="s">
        <v>240</v>
      </c>
      <c r="AR3137" s="6" t="s">
        <v>240</v>
      </c>
      <c r="AS3137" s="6" t="s">
        <v>240</v>
      </c>
      <c r="AT3137" s="5" t="s">
        <v>240</v>
      </c>
      <c r="AU3137" s="5" t="s">
        <v>729</v>
      </c>
      <c r="AV3137" s="5" t="s">
        <v>729</v>
      </c>
      <c r="AW3137" s="5" t="s">
        <v>251</v>
      </c>
      <c r="AX3137" s="5" t="s">
        <v>252</v>
      </c>
      <c r="AY3137" s="5" t="s">
        <v>253</v>
      </c>
      <c r="AZ3137" s="5" t="s">
        <v>240</v>
      </c>
      <c r="BA3137" s="5" t="s">
        <v>255</v>
      </c>
      <c r="BB3137" s="5" t="s">
        <v>731</v>
      </c>
      <c r="BD3137" s="5" t="s">
        <v>240</v>
      </c>
      <c r="BF3137" s="5" t="s">
        <v>732</v>
      </c>
      <c r="BG3137" s="6" t="s">
        <v>733</v>
      </c>
      <c r="BH3137" s="5" t="s">
        <v>734</v>
      </c>
      <c r="BI3137" s="5" t="s">
        <v>734</v>
      </c>
      <c r="BJ3137" s="5" t="s">
        <v>240</v>
      </c>
      <c r="BK3137" s="7">
        <f>1</f>
        <v>1</v>
      </c>
      <c r="BL3137" s="7">
        <f>1</f>
        <v>1</v>
      </c>
      <c r="BM3137" s="5" t="s">
        <v>258</v>
      </c>
      <c r="BN3137" s="5" t="s">
        <v>259</v>
      </c>
      <c r="BO3137" s="5" t="s">
        <v>240</v>
      </c>
      <c r="BP3137" s="5" t="s">
        <v>240</v>
      </c>
      <c r="BQ3137" s="5" t="s">
        <v>240</v>
      </c>
      <c r="BR3137" s="5" t="s">
        <v>240</v>
      </c>
      <c r="BS3137" s="5" t="s">
        <v>240</v>
      </c>
      <c r="BT3137" s="5" t="s">
        <v>240</v>
      </c>
      <c r="BU3137" s="5" t="s">
        <v>240</v>
      </c>
      <c r="BV3137" s="5" t="s">
        <v>240</v>
      </c>
      <c r="BW3137" s="6" t="s">
        <v>240</v>
      </c>
      <c r="BX3137" s="5" t="s">
        <v>240</v>
      </c>
      <c r="BY3137" s="5" t="s">
        <v>240</v>
      </c>
      <c r="BZ3137" s="5" t="s">
        <v>240</v>
      </c>
      <c r="CA3137" s="5" t="s">
        <v>259</v>
      </c>
      <c r="CB3137" s="5" t="s">
        <v>240</v>
      </c>
      <c r="CC3137" s="5" t="s">
        <v>240</v>
      </c>
      <c r="CD3137" s="5" t="s">
        <v>240</v>
      </c>
      <c r="CE3137" s="5" t="s">
        <v>240</v>
      </c>
      <c r="CF3137" s="5" t="s">
        <v>240</v>
      </c>
      <c r="CG3137" s="5" t="s">
        <v>304</v>
      </c>
      <c r="CH3137" s="5" t="s">
        <v>305</v>
      </c>
      <c r="CI3137" s="5" t="s">
        <v>240</v>
      </c>
      <c r="CK3137" s="5" t="s">
        <v>3681</v>
      </c>
      <c r="CL3137" s="6" t="s">
        <v>261</v>
      </c>
      <c r="CM3137" s="5" t="s">
        <v>262</v>
      </c>
      <c r="CN3137" s="5" t="s">
        <v>263</v>
      </c>
      <c r="CO3137" s="5" t="s">
        <v>264</v>
      </c>
      <c r="CP3137" s="5" t="s">
        <v>240</v>
      </c>
      <c r="CQ3137" s="5">
        <v>0</v>
      </c>
      <c r="CR3137" s="5" t="s">
        <v>735</v>
      </c>
      <c r="CS3137" s="5" t="s">
        <v>307</v>
      </c>
      <c r="CT3137" s="5" t="s">
        <v>307</v>
      </c>
      <c r="CU3137" s="5" t="s">
        <v>260</v>
      </c>
      <c r="CV3137" s="5" t="s">
        <v>612</v>
      </c>
      <c r="CW3137" s="8">
        <f>1</f>
        <v>1</v>
      </c>
      <c r="CX3137" s="7">
        <f>1</f>
        <v>1</v>
      </c>
      <c r="CY3137" s="7">
        <f>0</f>
        <v>0</v>
      </c>
      <c r="DA3137" s="7">
        <f>1</f>
        <v>1</v>
      </c>
      <c r="DB3137" s="7" t="s">
        <v>240</v>
      </c>
      <c r="DC3137" s="5" t="s">
        <v>240</v>
      </c>
      <c r="DD3137" s="5" t="s">
        <v>240</v>
      </c>
      <c r="DE3137" s="5" t="s">
        <v>240</v>
      </c>
      <c r="DF3137" s="5" t="s">
        <v>240</v>
      </c>
      <c r="DG3137" s="7">
        <f>0</f>
        <v>0</v>
      </c>
      <c r="DI3137" s="5" t="s">
        <v>240</v>
      </c>
      <c r="DJ3137" s="5" t="s">
        <v>240</v>
      </c>
      <c r="DK3137" s="5" t="s">
        <v>240</v>
      </c>
      <c r="DL3137" s="5" t="s">
        <v>240</v>
      </c>
      <c r="DM3137" s="5" t="s">
        <v>240</v>
      </c>
      <c r="DN3137" s="5" t="s">
        <v>240</v>
      </c>
      <c r="DO3137" s="7" t="s">
        <v>240</v>
      </c>
      <c r="DP3137" s="5" t="s">
        <v>240</v>
      </c>
      <c r="DQ3137" s="5" t="s">
        <v>240</v>
      </c>
      <c r="DR3137" s="5" t="s">
        <v>731</v>
      </c>
      <c r="DS3137" s="5" t="s">
        <v>731</v>
      </c>
      <c r="DT3137" s="5" t="s">
        <v>240</v>
      </c>
      <c r="DU3137" s="5" t="s">
        <v>240</v>
      </c>
      <c r="DV3137" s="5" t="s">
        <v>3683</v>
      </c>
      <c r="DW3137" s="5" t="s">
        <v>972</v>
      </c>
      <c r="DX3137" s="5" t="s">
        <v>240</v>
      </c>
      <c r="DY3137" s="5" t="s">
        <v>240</v>
      </c>
      <c r="DZ3137" s="5" t="s">
        <v>240</v>
      </c>
      <c r="EA3137" s="5" t="s">
        <v>240</v>
      </c>
      <c r="EB3137" s="5" t="s">
        <v>240</v>
      </c>
      <c r="EC3137" s="5" t="s">
        <v>240</v>
      </c>
      <c r="ED3137" s="5" t="s">
        <v>240</v>
      </c>
      <c r="EE3137" s="5" t="s">
        <v>240</v>
      </c>
      <c r="EF3137" s="5" t="s">
        <v>240</v>
      </c>
      <c r="EG3137" s="5" t="s">
        <v>240</v>
      </c>
      <c r="EH3137" s="5" t="s">
        <v>240</v>
      </c>
      <c r="EI3137" s="5" t="s">
        <v>240</v>
      </c>
      <c r="EJ3137" s="5" t="s">
        <v>240</v>
      </c>
      <c r="EK3137" s="5" t="s">
        <v>240</v>
      </c>
      <c r="EL3137" s="5" t="s">
        <v>240</v>
      </c>
      <c r="EM3137" s="5" t="s">
        <v>240</v>
      </c>
      <c r="EN3137" s="5" t="s">
        <v>240</v>
      </c>
      <c r="EO3137" s="5" t="s">
        <v>240</v>
      </c>
      <c r="EP3137" s="5" t="s">
        <v>240</v>
      </c>
      <c r="EQ3137" s="5" t="s">
        <v>240</v>
      </c>
      <c r="ER3137" s="5" t="s">
        <v>240</v>
      </c>
      <c r="ES3137" s="5" t="s">
        <v>240</v>
      </c>
      <c r="ET3137" s="5" t="s">
        <v>240</v>
      </c>
      <c r="EU3137" s="5" t="s">
        <v>240</v>
      </c>
      <c r="EV3137" s="5" t="s">
        <v>240</v>
      </c>
      <c r="EW3137" s="5" t="s">
        <v>240</v>
      </c>
      <c r="EX3137" s="5" t="s">
        <v>240</v>
      </c>
      <c r="EY3137" s="5" t="s">
        <v>240</v>
      </c>
      <c r="EZ3137" s="5" t="s">
        <v>240</v>
      </c>
      <c r="FA3137" s="5" t="s">
        <v>240</v>
      </c>
      <c r="FB3137" s="5" t="s">
        <v>240</v>
      </c>
      <c r="FC3137" s="5" t="s">
        <v>240</v>
      </c>
      <c r="FD3137" s="5" t="s">
        <v>240</v>
      </c>
      <c r="FE3137" s="5" t="s">
        <v>240</v>
      </c>
      <c r="FF3137" s="5" t="s">
        <v>240</v>
      </c>
      <c r="FG3137" s="5" t="s">
        <v>240</v>
      </c>
      <c r="FH3137" s="5" t="s">
        <v>240</v>
      </c>
      <c r="FI3137" s="5" t="s">
        <v>240</v>
      </c>
      <c r="FJ3137" s="5" t="s">
        <v>240</v>
      </c>
      <c r="FK3137" s="5" t="s">
        <v>240</v>
      </c>
      <c r="FL3137" s="5" t="s">
        <v>240</v>
      </c>
      <c r="FM3137" s="5" t="s">
        <v>240</v>
      </c>
      <c r="FN3137" s="5" t="s">
        <v>240</v>
      </c>
      <c r="FO3137" s="5" t="s">
        <v>240</v>
      </c>
      <c r="FP3137" s="5" t="s">
        <v>240</v>
      </c>
      <c r="FQ3137" s="5" t="s">
        <v>240</v>
      </c>
      <c r="FR3137" s="5" t="s">
        <v>240</v>
      </c>
      <c r="FS3137" s="5" t="s">
        <v>240</v>
      </c>
      <c r="FT3137" s="5" t="s">
        <v>240</v>
      </c>
      <c r="FU3137" s="5" t="s">
        <v>240</v>
      </c>
      <c r="FV3137" s="5" t="s">
        <v>240</v>
      </c>
      <c r="FW3137" s="5" t="s">
        <v>240</v>
      </c>
      <c r="FX3137" s="5" t="s">
        <v>240</v>
      </c>
      <c r="FY3137" s="5" t="s">
        <v>240</v>
      </c>
      <c r="FZ3137" s="5" t="s">
        <v>240</v>
      </c>
      <c r="GA3137" s="5" t="s">
        <v>240</v>
      </c>
      <c r="GB3137" s="5" t="s">
        <v>240</v>
      </c>
      <c r="GC3137" s="5" t="s">
        <v>240</v>
      </c>
      <c r="GD3137" s="5" t="s">
        <v>240</v>
      </c>
      <c r="GE3137" s="5" t="s">
        <v>240</v>
      </c>
      <c r="GF3137" s="5" t="s">
        <v>240</v>
      </c>
      <c r="GG3137" s="5" t="s">
        <v>240</v>
      </c>
      <c r="GH3137" s="5" t="s">
        <v>240</v>
      </c>
      <c r="GI3137" s="5" t="s">
        <v>240</v>
      </c>
      <c r="GJ3137" s="5" t="s">
        <v>240</v>
      </c>
      <c r="GK3137" s="5" t="s">
        <v>240</v>
      </c>
      <c r="GL3137" s="5" t="s">
        <v>240</v>
      </c>
      <c r="GM3137" s="5" t="s">
        <v>240</v>
      </c>
      <c r="GN3137" s="5" t="s">
        <v>240</v>
      </c>
      <c r="GO3137" s="5" t="s">
        <v>240</v>
      </c>
      <c r="GP3137" s="5" t="s">
        <v>240</v>
      </c>
      <c r="GQ3137" s="5" t="s">
        <v>240</v>
      </c>
      <c r="GR3137" s="5" t="s">
        <v>240</v>
      </c>
      <c r="GS3137" s="5" t="s">
        <v>240</v>
      </c>
      <c r="GT3137" s="5" t="s">
        <v>240</v>
      </c>
      <c r="GU3137" s="5" t="s">
        <v>240</v>
      </c>
      <c r="GV3137" s="5" t="s">
        <v>240</v>
      </c>
      <c r="GW3137" s="5" t="s">
        <v>240</v>
      </c>
      <c r="GX3137" s="5" t="s">
        <v>240</v>
      </c>
      <c r="GY3137" s="5" t="s">
        <v>240</v>
      </c>
      <c r="GZ3137" s="5" t="s">
        <v>240</v>
      </c>
      <c r="HA3137" s="5" t="s">
        <v>240</v>
      </c>
      <c r="HB3137" s="5" t="s">
        <v>240</v>
      </c>
      <c r="HC3137" s="5" t="s">
        <v>240</v>
      </c>
      <c r="HD3137" s="5" t="s">
        <v>240</v>
      </c>
      <c r="HE3137" s="5" t="s">
        <v>240</v>
      </c>
      <c r="HF3137" s="5" t="s">
        <v>240</v>
      </c>
      <c r="HG3137" s="5" t="s">
        <v>240</v>
      </c>
      <c r="HH3137" s="5" t="s">
        <v>240</v>
      </c>
      <c r="HI3137" s="5" t="s">
        <v>240</v>
      </c>
      <c r="HJ3137" s="5" t="s">
        <v>240</v>
      </c>
      <c r="HK3137" s="5" t="s">
        <v>240</v>
      </c>
      <c r="HL3137" s="5" t="s">
        <v>240</v>
      </c>
      <c r="HM3137" s="5" t="s">
        <v>240</v>
      </c>
      <c r="HN3137" s="5" t="s">
        <v>240</v>
      </c>
      <c r="HO3137" s="5" t="s">
        <v>312</v>
      </c>
      <c r="HP3137" s="5" t="s">
        <v>240</v>
      </c>
      <c r="HQ3137" s="5" t="s">
        <v>240</v>
      </c>
      <c r="HR3137" s="5" t="s">
        <v>240</v>
      </c>
      <c r="HS3137" s="5" t="s">
        <v>240</v>
      </c>
      <c r="HT3137" s="5" t="s">
        <v>240</v>
      </c>
      <c r="HU3137" s="5" t="s">
        <v>240</v>
      </c>
      <c r="HV3137" s="5" t="s">
        <v>240</v>
      </c>
      <c r="HW3137" s="5" t="s">
        <v>240</v>
      </c>
      <c r="HX3137" s="5" t="s">
        <v>240</v>
      </c>
      <c r="HY3137" s="5" t="s">
        <v>240</v>
      </c>
      <c r="HZ3137" s="5" t="s">
        <v>240</v>
      </c>
      <c r="IA3137" s="5" t="s">
        <v>240</v>
      </c>
      <c r="IB3137" s="5" t="s">
        <v>240</v>
      </c>
      <c r="IC3137" s="5" t="s">
        <v>240</v>
      </c>
      <c r="ID3137" s="5" t="s">
        <v>240</v>
      </c>
      <c r="IE3137" s="5" t="s">
        <v>240</v>
      </c>
      <c r="IF3137" s="5" t="s">
        <v>240</v>
      </c>
    </row>
    <row r="3138" spans="1:240" x14ac:dyDescent="0.4">
      <c r="A3138" s="5">
        <v>4842</v>
      </c>
      <c r="B3138" s="5">
        <v>1</v>
      </c>
      <c r="C3138" s="5">
        <v>1</v>
      </c>
      <c r="D3138" s="5" t="s">
        <v>810</v>
      </c>
      <c r="E3138" s="5" t="s">
        <v>245</v>
      </c>
      <c r="F3138" s="5" t="s">
        <v>254</v>
      </c>
      <c r="G3138" s="5" t="s">
        <v>240</v>
      </c>
      <c r="H3138" s="6" t="s">
        <v>2273</v>
      </c>
      <c r="I3138" s="5" t="s">
        <v>809</v>
      </c>
      <c r="J3138" s="8">
        <f>996</f>
        <v>996</v>
      </c>
      <c r="K3138" s="5" t="s">
        <v>308</v>
      </c>
      <c r="L3138" s="7">
        <f>1</f>
        <v>1</v>
      </c>
      <c r="M3138" s="7">
        <f>1</f>
        <v>1</v>
      </c>
      <c r="N3138" s="5" t="s">
        <v>242</v>
      </c>
      <c r="O3138" s="5">
        <v>1</v>
      </c>
      <c r="P3138" s="5" t="s">
        <v>294</v>
      </c>
      <c r="Q3138" s="5" t="s">
        <v>3678</v>
      </c>
      <c r="R3138" s="5" t="s">
        <v>240</v>
      </c>
      <c r="S3138" s="5" t="s">
        <v>240</v>
      </c>
      <c r="T3138" s="5" t="s">
        <v>243</v>
      </c>
      <c r="U3138" s="5" t="s">
        <v>244</v>
      </c>
      <c r="V3138" s="5" t="s">
        <v>240</v>
      </c>
      <c r="W3138" s="5" t="s">
        <v>240</v>
      </c>
      <c r="X3138" s="5" t="s">
        <v>240</v>
      </c>
      <c r="Y3138" s="5" t="s">
        <v>240</v>
      </c>
      <c r="Z3138" s="6" t="s">
        <v>298</v>
      </c>
      <c r="AA3138" s="6" t="s">
        <v>240</v>
      </c>
      <c r="AB3138" s="6" t="s">
        <v>240</v>
      </c>
      <c r="AC3138" s="5" t="s">
        <v>240</v>
      </c>
      <c r="AD3138" s="6" t="s">
        <v>240</v>
      </c>
      <c r="AE3138" s="6" t="s">
        <v>299</v>
      </c>
      <c r="AF3138" s="5" t="s">
        <v>248</v>
      </c>
      <c r="AG3138" s="5" t="s">
        <v>249</v>
      </c>
      <c r="AH3138" s="5" t="s">
        <v>240</v>
      </c>
      <c r="AI3138" s="5" t="s">
        <v>240</v>
      </c>
      <c r="AJ3138" s="5" t="s">
        <v>240</v>
      </c>
      <c r="AK3138" s="5" t="s">
        <v>240</v>
      </c>
      <c r="AL3138" s="5" t="s">
        <v>240</v>
      </c>
      <c r="AM3138" s="5" t="s">
        <v>240</v>
      </c>
      <c r="AN3138" s="5" t="s">
        <v>240</v>
      </c>
      <c r="AO3138" s="5" t="s">
        <v>240</v>
      </c>
      <c r="AP3138" s="6" t="s">
        <v>240</v>
      </c>
      <c r="AQ3138" s="6" t="s">
        <v>240</v>
      </c>
      <c r="AR3138" s="6" t="s">
        <v>240</v>
      </c>
      <c r="AS3138" s="6" t="s">
        <v>240</v>
      </c>
      <c r="AT3138" s="5" t="s">
        <v>240</v>
      </c>
      <c r="AU3138" s="5" t="s">
        <v>729</v>
      </c>
      <c r="AV3138" s="5" t="s">
        <v>729</v>
      </c>
      <c r="AW3138" s="5" t="s">
        <v>251</v>
      </c>
      <c r="AX3138" s="5" t="s">
        <v>252</v>
      </c>
      <c r="AY3138" s="5" t="s">
        <v>253</v>
      </c>
      <c r="AZ3138" s="5" t="s">
        <v>240</v>
      </c>
      <c r="BA3138" s="5" t="s">
        <v>255</v>
      </c>
      <c r="BB3138" s="5" t="s">
        <v>731</v>
      </c>
      <c r="BD3138" s="5" t="s">
        <v>240</v>
      </c>
      <c r="BF3138" s="5" t="s">
        <v>732</v>
      </c>
      <c r="BG3138" s="6" t="s">
        <v>733</v>
      </c>
      <c r="BH3138" s="5" t="s">
        <v>734</v>
      </c>
      <c r="BI3138" s="5" t="s">
        <v>734</v>
      </c>
      <c r="BJ3138" s="5" t="s">
        <v>240</v>
      </c>
      <c r="BK3138" s="7">
        <f>1</f>
        <v>1</v>
      </c>
      <c r="BL3138" s="7">
        <f>1</f>
        <v>1</v>
      </c>
      <c r="BM3138" s="5" t="s">
        <v>258</v>
      </c>
      <c r="BN3138" s="5" t="s">
        <v>259</v>
      </c>
      <c r="BO3138" s="5" t="s">
        <v>240</v>
      </c>
      <c r="BP3138" s="5" t="s">
        <v>240</v>
      </c>
      <c r="BQ3138" s="5" t="s">
        <v>240</v>
      </c>
      <c r="BR3138" s="5" t="s">
        <v>240</v>
      </c>
      <c r="BS3138" s="5" t="s">
        <v>240</v>
      </c>
      <c r="BT3138" s="5" t="s">
        <v>240</v>
      </c>
      <c r="BU3138" s="5" t="s">
        <v>240</v>
      </c>
      <c r="BV3138" s="5" t="s">
        <v>240</v>
      </c>
      <c r="BW3138" s="6" t="s">
        <v>240</v>
      </c>
      <c r="BX3138" s="5" t="s">
        <v>240</v>
      </c>
      <c r="BY3138" s="5" t="s">
        <v>240</v>
      </c>
      <c r="BZ3138" s="5" t="s">
        <v>240</v>
      </c>
      <c r="CA3138" s="5" t="s">
        <v>259</v>
      </c>
      <c r="CB3138" s="5" t="s">
        <v>240</v>
      </c>
      <c r="CC3138" s="5" t="s">
        <v>240</v>
      </c>
      <c r="CD3138" s="5" t="s">
        <v>240</v>
      </c>
      <c r="CE3138" s="5" t="s">
        <v>240</v>
      </c>
      <c r="CF3138" s="5" t="s">
        <v>240</v>
      </c>
      <c r="CG3138" s="5" t="s">
        <v>304</v>
      </c>
      <c r="CH3138" s="5" t="s">
        <v>305</v>
      </c>
      <c r="CI3138" s="5" t="s">
        <v>240</v>
      </c>
      <c r="CK3138" s="5" t="s">
        <v>3681</v>
      </c>
      <c r="CL3138" s="6" t="s">
        <v>261</v>
      </c>
      <c r="CM3138" s="5" t="s">
        <v>262</v>
      </c>
      <c r="CN3138" s="5" t="s">
        <v>263</v>
      </c>
      <c r="CO3138" s="5" t="s">
        <v>264</v>
      </c>
      <c r="CP3138" s="5" t="s">
        <v>240</v>
      </c>
      <c r="CQ3138" s="5">
        <v>0</v>
      </c>
      <c r="CR3138" s="5" t="s">
        <v>735</v>
      </c>
      <c r="CS3138" s="5" t="s">
        <v>307</v>
      </c>
      <c r="CT3138" s="5" t="s">
        <v>307</v>
      </c>
      <c r="CU3138" s="5" t="s">
        <v>260</v>
      </c>
      <c r="CV3138" s="5" t="s">
        <v>612</v>
      </c>
      <c r="CW3138" s="8">
        <f>1</f>
        <v>1</v>
      </c>
      <c r="CX3138" s="7">
        <f>1</f>
        <v>1</v>
      </c>
      <c r="CY3138" s="7">
        <f>0</f>
        <v>0</v>
      </c>
      <c r="DA3138" s="7">
        <f>1</f>
        <v>1</v>
      </c>
      <c r="DB3138" s="7" t="s">
        <v>240</v>
      </c>
      <c r="DC3138" s="5" t="s">
        <v>240</v>
      </c>
      <c r="DD3138" s="5" t="s">
        <v>240</v>
      </c>
      <c r="DE3138" s="5" t="s">
        <v>240</v>
      </c>
      <c r="DF3138" s="5" t="s">
        <v>240</v>
      </c>
      <c r="DG3138" s="7">
        <f>0</f>
        <v>0</v>
      </c>
      <c r="DI3138" s="5" t="s">
        <v>240</v>
      </c>
      <c r="DJ3138" s="5" t="s">
        <v>240</v>
      </c>
      <c r="DK3138" s="5" t="s">
        <v>240</v>
      </c>
      <c r="DL3138" s="5" t="s">
        <v>240</v>
      </c>
      <c r="DM3138" s="5" t="s">
        <v>240</v>
      </c>
      <c r="DN3138" s="5" t="s">
        <v>240</v>
      </c>
      <c r="DO3138" s="7" t="s">
        <v>240</v>
      </c>
      <c r="DP3138" s="5" t="s">
        <v>240</v>
      </c>
      <c r="DQ3138" s="5" t="s">
        <v>240</v>
      </c>
      <c r="DR3138" s="5" t="s">
        <v>731</v>
      </c>
      <c r="DS3138" s="5" t="s">
        <v>731</v>
      </c>
      <c r="DT3138" s="5" t="s">
        <v>240</v>
      </c>
      <c r="DU3138" s="5" t="s">
        <v>240</v>
      </c>
      <c r="DV3138" s="5" t="s">
        <v>3683</v>
      </c>
      <c r="DW3138" s="5" t="s">
        <v>402</v>
      </c>
      <c r="DX3138" s="5" t="s">
        <v>240</v>
      </c>
      <c r="DY3138" s="5" t="s">
        <v>240</v>
      </c>
      <c r="DZ3138" s="5" t="s">
        <v>240</v>
      </c>
      <c r="EA3138" s="5" t="s">
        <v>240</v>
      </c>
      <c r="EB3138" s="5" t="s">
        <v>240</v>
      </c>
      <c r="EC3138" s="5" t="s">
        <v>240</v>
      </c>
      <c r="ED3138" s="5" t="s">
        <v>240</v>
      </c>
      <c r="EE3138" s="5" t="s">
        <v>240</v>
      </c>
      <c r="EF3138" s="5" t="s">
        <v>240</v>
      </c>
      <c r="EG3138" s="5" t="s">
        <v>240</v>
      </c>
      <c r="EH3138" s="5" t="s">
        <v>240</v>
      </c>
      <c r="EI3138" s="5" t="s">
        <v>240</v>
      </c>
      <c r="EJ3138" s="5" t="s">
        <v>240</v>
      </c>
      <c r="EK3138" s="5" t="s">
        <v>240</v>
      </c>
      <c r="EL3138" s="5" t="s">
        <v>240</v>
      </c>
      <c r="EM3138" s="5" t="s">
        <v>240</v>
      </c>
      <c r="EN3138" s="5" t="s">
        <v>240</v>
      </c>
      <c r="EO3138" s="5" t="s">
        <v>240</v>
      </c>
      <c r="EP3138" s="5" t="s">
        <v>240</v>
      </c>
      <c r="EQ3138" s="5" t="s">
        <v>240</v>
      </c>
      <c r="ER3138" s="5" t="s">
        <v>240</v>
      </c>
      <c r="ES3138" s="5" t="s">
        <v>240</v>
      </c>
      <c r="ET3138" s="5" t="s">
        <v>240</v>
      </c>
      <c r="EU3138" s="5" t="s">
        <v>240</v>
      </c>
      <c r="EV3138" s="5" t="s">
        <v>240</v>
      </c>
      <c r="EW3138" s="5" t="s">
        <v>240</v>
      </c>
      <c r="EX3138" s="5" t="s">
        <v>240</v>
      </c>
      <c r="EY3138" s="5" t="s">
        <v>240</v>
      </c>
      <c r="EZ3138" s="5" t="s">
        <v>240</v>
      </c>
      <c r="FA3138" s="5" t="s">
        <v>240</v>
      </c>
      <c r="FB3138" s="5" t="s">
        <v>240</v>
      </c>
      <c r="FC3138" s="5" t="s">
        <v>240</v>
      </c>
      <c r="FD3138" s="5" t="s">
        <v>240</v>
      </c>
      <c r="FE3138" s="5" t="s">
        <v>240</v>
      </c>
      <c r="FF3138" s="5" t="s">
        <v>240</v>
      </c>
      <c r="FG3138" s="5" t="s">
        <v>240</v>
      </c>
      <c r="FH3138" s="5" t="s">
        <v>240</v>
      </c>
      <c r="FI3138" s="5" t="s">
        <v>240</v>
      </c>
      <c r="FJ3138" s="5" t="s">
        <v>240</v>
      </c>
      <c r="FK3138" s="5" t="s">
        <v>240</v>
      </c>
      <c r="FL3138" s="5" t="s">
        <v>240</v>
      </c>
      <c r="FM3138" s="5" t="s">
        <v>240</v>
      </c>
      <c r="FN3138" s="5" t="s">
        <v>240</v>
      </c>
      <c r="FO3138" s="5" t="s">
        <v>240</v>
      </c>
      <c r="FP3138" s="5" t="s">
        <v>240</v>
      </c>
      <c r="FQ3138" s="5" t="s">
        <v>240</v>
      </c>
      <c r="FR3138" s="5" t="s">
        <v>240</v>
      </c>
      <c r="FS3138" s="5" t="s">
        <v>240</v>
      </c>
      <c r="FT3138" s="5" t="s">
        <v>240</v>
      </c>
      <c r="FU3138" s="5" t="s">
        <v>240</v>
      </c>
      <c r="FV3138" s="5" t="s">
        <v>240</v>
      </c>
      <c r="FW3138" s="5" t="s">
        <v>240</v>
      </c>
      <c r="FX3138" s="5" t="s">
        <v>240</v>
      </c>
      <c r="FY3138" s="5" t="s">
        <v>240</v>
      </c>
      <c r="FZ3138" s="5" t="s">
        <v>240</v>
      </c>
      <c r="GA3138" s="5" t="s">
        <v>240</v>
      </c>
      <c r="GB3138" s="5" t="s">
        <v>240</v>
      </c>
      <c r="GC3138" s="5" t="s">
        <v>240</v>
      </c>
      <c r="GD3138" s="5" t="s">
        <v>240</v>
      </c>
      <c r="GE3138" s="5" t="s">
        <v>240</v>
      </c>
      <c r="GF3138" s="5" t="s">
        <v>240</v>
      </c>
      <c r="GG3138" s="5" t="s">
        <v>240</v>
      </c>
      <c r="GH3138" s="5" t="s">
        <v>240</v>
      </c>
      <c r="GI3138" s="5" t="s">
        <v>240</v>
      </c>
      <c r="GJ3138" s="5" t="s">
        <v>240</v>
      </c>
      <c r="GK3138" s="5" t="s">
        <v>240</v>
      </c>
      <c r="GL3138" s="5" t="s">
        <v>240</v>
      </c>
      <c r="GM3138" s="5" t="s">
        <v>240</v>
      </c>
      <c r="GN3138" s="5" t="s">
        <v>240</v>
      </c>
      <c r="GO3138" s="5" t="s">
        <v>240</v>
      </c>
      <c r="GP3138" s="5" t="s">
        <v>240</v>
      </c>
      <c r="GQ3138" s="5" t="s">
        <v>240</v>
      </c>
      <c r="GR3138" s="5" t="s">
        <v>240</v>
      </c>
      <c r="GS3138" s="5" t="s">
        <v>240</v>
      </c>
      <c r="GT3138" s="5" t="s">
        <v>240</v>
      </c>
      <c r="GU3138" s="5" t="s">
        <v>240</v>
      </c>
      <c r="GV3138" s="5" t="s">
        <v>240</v>
      </c>
      <c r="GW3138" s="5" t="s">
        <v>240</v>
      </c>
      <c r="GX3138" s="5" t="s">
        <v>240</v>
      </c>
      <c r="GY3138" s="5" t="s">
        <v>240</v>
      </c>
      <c r="GZ3138" s="5" t="s">
        <v>240</v>
      </c>
      <c r="HA3138" s="5" t="s">
        <v>240</v>
      </c>
      <c r="HB3138" s="5" t="s">
        <v>240</v>
      </c>
      <c r="HC3138" s="5" t="s">
        <v>240</v>
      </c>
      <c r="HD3138" s="5" t="s">
        <v>240</v>
      </c>
      <c r="HE3138" s="5" t="s">
        <v>240</v>
      </c>
      <c r="HF3138" s="5" t="s">
        <v>240</v>
      </c>
      <c r="HG3138" s="5" t="s">
        <v>240</v>
      </c>
      <c r="HH3138" s="5" t="s">
        <v>240</v>
      </c>
      <c r="HI3138" s="5" t="s">
        <v>240</v>
      </c>
      <c r="HJ3138" s="5" t="s">
        <v>240</v>
      </c>
      <c r="HK3138" s="5" t="s">
        <v>240</v>
      </c>
      <c r="HL3138" s="5" t="s">
        <v>240</v>
      </c>
      <c r="HM3138" s="5" t="s">
        <v>240</v>
      </c>
      <c r="HN3138" s="5" t="s">
        <v>240</v>
      </c>
      <c r="HO3138" s="5" t="s">
        <v>312</v>
      </c>
      <c r="HP3138" s="5" t="s">
        <v>240</v>
      </c>
      <c r="HQ3138" s="5" t="s">
        <v>240</v>
      </c>
      <c r="HR3138" s="5" t="s">
        <v>240</v>
      </c>
      <c r="HS3138" s="5" t="s">
        <v>240</v>
      </c>
      <c r="HT3138" s="5" t="s">
        <v>240</v>
      </c>
      <c r="HU3138" s="5" t="s">
        <v>240</v>
      </c>
      <c r="HV3138" s="5" t="s">
        <v>240</v>
      </c>
      <c r="HW3138" s="5" t="s">
        <v>240</v>
      </c>
      <c r="HX3138" s="5" t="s">
        <v>240</v>
      </c>
      <c r="HY3138" s="5" t="s">
        <v>240</v>
      </c>
      <c r="HZ3138" s="5" t="s">
        <v>240</v>
      </c>
      <c r="IA3138" s="5" t="s">
        <v>240</v>
      </c>
      <c r="IB3138" s="5" t="s">
        <v>240</v>
      </c>
      <c r="IC3138" s="5" t="s">
        <v>240</v>
      </c>
      <c r="ID3138" s="5" t="s">
        <v>240</v>
      </c>
      <c r="IE3138" s="5" t="s">
        <v>240</v>
      </c>
      <c r="IF3138" s="5" t="s">
        <v>240</v>
      </c>
    </row>
    <row r="3139" spans="1:240" x14ac:dyDescent="0.4">
      <c r="A3139" s="5">
        <v>4843</v>
      </c>
      <c r="B3139" s="5">
        <v>1</v>
      </c>
      <c r="C3139" s="5">
        <v>1</v>
      </c>
      <c r="D3139" s="5" t="s">
        <v>810</v>
      </c>
      <c r="E3139" s="5" t="s">
        <v>245</v>
      </c>
      <c r="F3139" s="5" t="s">
        <v>254</v>
      </c>
      <c r="G3139" s="5" t="s">
        <v>240</v>
      </c>
      <c r="H3139" s="6" t="s">
        <v>2271</v>
      </c>
      <c r="I3139" s="5" t="s">
        <v>809</v>
      </c>
      <c r="J3139" s="8">
        <f>2238</f>
        <v>2238</v>
      </c>
      <c r="K3139" s="5" t="s">
        <v>308</v>
      </c>
      <c r="L3139" s="7">
        <f>1</f>
        <v>1</v>
      </c>
      <c r="M3139" s="7">
        <f>1</f>
        <v>1</v>
      </c>
      <c r="N3139" s="5" t="s">
        <v>242</v>
      </c>
      <c r="O3139" s="5">
        <v>1</v>
      </c>
      <c r="P3139" s="5" t="s">
        <v>294</v>
      </c>
      <c r="Q3139" s="5" t="s">
        <v>3678</v>
      </c>
      <c r="R3139" s="5" t="s">
        <v>240</v>
      </c>
      <c r="S3139" s="5" t="s">
        <v>240</v>
      </c>
      <c r="T3139" s="5" t="s">
        <v>243</v>
      </c>
      <c r="U3139" s="5" t="s">
        <v>244</v>
      </c>
      <c r="V3139" s="5" t="s">
        <v>240</v>
      </c>
      <c r="W3139" s="5" t="s">
        <v>240</v>
      </c>
      <c r="X3139" s="5" t="s">
        <v>240</v>
      </c>
      <c r="Y3139" s="5" t="s">
        <v>240</v>
      </c>
      <c r="Z3139" s="6" t="s">
        <v>298</v>
      </c>
      <c r="AA3139" s="6" t="s">
        <v>240</v>
      </c>
      <c r="AB3139" s="6" t="s">
        <v>240</v>
      </c>
      <c r="AC3139" s="5" t="s">
        <v>240</v>
      </c>
      <c r="AD3139" s="6" t="s">
        <v>240</v>
      </c>
      <c r="AE3139" s="6" t="s">
        <v>299</v>
      </c>
      <c r="AF3139" s="5" t="s">
        <v>248</v>
      </c>
      <c r="AG3139" s="5" t="s">
        <v>249</v>
      </c>
      <c r="AH3139" s="5" t="s">
        <v>240</v>
      </c>
      <c r="AI3139" s="5" t="s">
        <v>240</v>
      </c>
      <c r="AJ3139" s="5" t="s">
        <v>240</v>
      </c>
      <c r="AK3139" s="5" t="s">
        <v>240</v>
      </c>
      <c r="AL3139" s="5" t="s">
        <v>240</v>
      </c>
      <c r="AM3139" s="5" t="s">
        <v>240</v>
      </c>
      <c r="AN3139" s="5" t="s">
        <v>240</v>
      </c>
      <c r="AO3139" s="5" t="s">
        <v>240</v>
      </c>
      <c r="AP3139" s="6" t="s">
        <v>240</v>
      </c>
      <c r="AQ3139" s="6" t="s">
        <v>240</v>
      </c>
      <c r="AR3139" s="6" t="s">
        <v>240</v>
      </c>
      <c r="AS3139" s="6" t="s">
        <v>240</v>
      </c>
      <c r="AT3139" s="5" t="s">
        <v>240</v>
      </c>
      <c r="AU3139" s="5" t="s">
        <v>729</v>
      </c>
      <c r="AV3139" s="5" t="s">
        <v>729</v>
      </c>
      <c r="AW3139" s="5" t="s">
        <v>251</v>
      </c>
      <c r="AX3139" s="5" t="s">
        <v>252</v>
      </c>
      <c r="AY3139" s="5" t="s">
        <v>253</v>
      </c>
      <c r="AZ3139" s="5" t="s">
        <v>240</v>
      </c>
      <c r="BA3139" s="5" t="s">
        <v>255</v>
      </c>
      <c r="BB3139" s="5" t="s">
        <v>731</v>
      </c>
      <c r="BD3139" s="5" t="s">
        <v>240</v>
      </c>
      <c r="BF3139" s="5" t="s">
        <v>732</v>
      </c>
      <c r="BG3139" s="6" t="s">
        <v>733</v>
      </c>
      <c r="BH3139" s="5" t="s">
        <v>734</v>
      </c>
      <c r="BI3139" s="5" t="s">
        <v>734</v>
      </c>
      <c r="BJ3139" s="5" t="s">
        <v>240</v>
      </c>
      <c r="BK3139" s="7">
        <f>1</f>
        <v>1</v>
      </c>
      <c r="BL3139" s="7">
        <f>1</f>
        <v>1</v>
      </c>
      <c r="BM3139" s="5" t="s">
        <v>258</v>
      </c>
      <c r="BN3139" s="5" t="s">
        <v>259</v>
      </c>
      <c r="BO3139" s="5" t="s">
        <v>240</v>
      </c>
      <c r="BP3139" s="5" t="s">
        <v>240</v>
      </c>
      <c r="BQ3139" s="5" t="s">
        <v>240</v>
      </c>
      <c r="BR3139" s="5" t="s">
        <v>240</v>
      </c>
      <c r="BS3139" s="5" t="s">
        <v>240</v>
      </c>
      <c r="BT3139" s="5" t="s">
        <v>240</v>
      </c>
      <c r="BU3139" s="5" t="s">
        <v>240</v>
      </c>
      <c r="BV3139" s="5" t="s">
        <v>240</v>
      </c>
      <c r="BW3139" s="6" t="s">
        <v>240</v>
      </c>
      <c r="BX3139" s="5" t="s">
        <v>240</v>
      </c>
      <c r="BY3139" s="5" t="s">
        <v>240</v>
      </c>
      <c r="BZ3139" s="5" t="s">
        <v>240</v>
      </c>
      <c r="CA3139" s="5" t="s">
        <v>259</v>
      </c>
      <c r="CB3139" s="5" t="s">
        <v>240</v>
      </c>
      <c r="CC3139" s="5" t="s">
        <v>240</v>
      </c>
      <c r="CD3139" s="5" t="s">
        <v>240</v>
      </c>
      <c r="CE3139" s="5" t="s">
        <v>240</v>
      </c>
      <c r="CF3139" s="5" t="s">
        <v>240</v>
      </c>
      <c r="CG3139" s="5" t="s">
        <v>304</v>
      </c>
      <c r="CH3139" s="5" t="s">
        <v>305</v>
      </c>
      <c r="CI3139" s="5" t="s">
        <v>240</v>
      </c>
      <c r="CK3139" s="5" t="s">
        <v>3681</v>
      </c>
      <c r="CL3139" s="6" t="s">
        <v>261</v>
      </c>
      <c r="CM3139" s="5" t="s">
        <v>262</v>
      </c>
      <c r="CN3139" s="5" t="s">
        <v>263</v>
      </c>
      <c r="CO3139" s="5" t="s">
        <v>264</v>
      </c>
      <c r="CP3139" s="5" t="s">
        <v>240</v>
      </c>
      <c r="CQ3139" s="5">
        <v>0</v>
      </c>
      <c r="CR3139" s="5" t="s">
        <v>735</v>
      </c>
      <c r="CS3139" s="5" t="s">
        <v>307</v>
      </c>
      <c r="CT3139" s="5" t="s">
        <v>307</v>
      </c>
      <c r="CU3139" s="5" t="s">
        <v>260</v>
      </c>
      <c r="CV3139" s="5" t="s">
        <v>612</v>
      </c>
      <c r="CW3139" s="8">
        <f>1</f>
        <v>1</v>
      </c>
      <c r="CX3139" s="7">
        <f>1</f>
        <v>1</v>
      </c>
      <c r="CY3139" s="7">
        <f>0</f>
        <v>0</v>
      </c>
      <c r="DA3139" s="7">
        <f>1</f>
        <v>1</v>
      </c>
      <c r="DB3139" s="7" t="s">
        <v>240</v>
      </c>
      <c r="DC3139" s="5" t="s">
        <v>240</v>
      </c>
      <c r="DD3139" s="5" t="s">
        <v>240</v>
      </c>
      <c r="DE3139" s="5" t="s">
        <v>240</v>
      </c>
      <c r="DF3139" s="5" t="s">
        <v>240</v>
      </c>
      <c r="DG3139" s="7">
        <f>0</f>
        <v>0</v>
      </c>
      <c r="DI3139" s="5" t="s">
        <v>240</v>
      </c>
      <c r="DJ3139" s="5" t="s">
        <v>240</v>
      </c>
      <c r="DK3139" s="5" t="s">
        <v>240</v>
      </c>
      <c r="DL3139" s="5" t="s">
        <v>240</v>
      </c>
      <c r="DM3139" s="5" t="s">
        <v>240</v>
      </c>
      <c r="DN3139" s="5" t="s">
        <v>240</v>
      </c>
      <c r="DO3139" s="7" t="s">
        <v>240</v>
      </c>
      <c r="DP3139" s="5" t="s">
        <v>240</v>
      </c>
      <c r="DQ3139" s="5" t="s">
        <v>240</v>
      </c>
      <c r="DR3139" s="5" t="s">
        <v>731</v>
      </c>
      <c r="DS3139" s="5" t="s">
        <v>731</v>
      </c>
      <c r="DT3139" s="5" t="s">
        <v>240</v>
      </c>
      <c r="DU3139" s="5" t="s">
        <v>240</v>
      </c>
      <c r="DV3139" s="5" t="s">
        <v>3683</v>
      </c>
      <c r="DW3139" s="5" t="s">
        <v>827</v>
      </c>
      <c r="DX3139" s="5" t="s">
        <v>240</v>
      </c>
      <c r="DY3139" s="5" t="s">
        <v>240</v>
      </c>
      <c r="DZ3139" s="5" t="s">
        <v>240</v>
      </c>
      <c r="EA3139" s="5" t="s">
        <v>240</v>
      </c>
      <c r="EB3139" s="5" t="s">
        <v>240</v>
      </c>
      <c r="EC3139" s="5" t="s">
        <v>240</v>
      </c>
      <c r="ED3139" s="5" t="s">
        <v>240</v>
      </c>
      <c r="EE3139" s="5" t="s">
        <v>240</v>
      </c>
      <c r="EF3139" s="5" t="s">
        <v>240</v>
      </c>
      <c r="EG3139" s="5" t="s">
        <v>240</v>
      </c>
      <c r="EH3139" s="5" t="s">
        <v>240</v>
      </c>
      <c r="EI3139" s="5" t="s">
        <v>240</v>
      </c>
      <c r="EJ3139" s="5" t="s">
        <v>240</v>
      </c>
      <c r="EK3139" s="5" t="s">
        <v>240</v>
      </c>
      <c r="EL3139" s="5" t="s">
        <v>240</v>
      </c>
      <c r="EM3139" s="5" t="s">
        <v>240</v>
      </c>
      <c r="EN3139" s="5" t="s">
        <v>240</v>
      </c>
      <c r="EO3139" s="5" t="s">
        <v>240</v>
      </c>
      <c r="EP3139" s="5" t="s">
        <v>240</v>
      </c>
      <c r="EQ3139" s="5" t="s">
        <v>240</v>
      </c>
      <c r="ER3139" s="5" t="s">
        <v>240</v>
      </c>
      <c r="ES3139" s="5" t="s">
        <v>240</v>
      </c>
      <c r="ET3139" s="5" t="s">
        <v>240</v>
      </c>
      <c r="EU3139" s="5" t="s">
        <v>240</v>
      </c>
      <c r="EV3139" s="5" t="s">
        <v>240</v>
      </c>
      <c r="EW3139" s="5" t="s">
        <v>240</v>
      </c>
      <c r="EX3139" s="5" t="s">
        <v>240</v>
      </c>
      <c r="EY3139" s="5" t="s">
        <v>240</v>
      </c>
      <c r="EZ3139" s="5" t="s">
        <v>240</v>
      </c>
      <c r="FA3139" s="5" t="s">
        <v>240</v>
      </c>
      <c r="FB3139" s="5" t="s">
        <v>240</v>
      </c>
      <c r="FC3139" s="5" t="s">
        <v>240</v>
      </c>
      <c r="FD3139" s="5" t="s">
        <v>240</v>
      </c>
      <c r="FE3139" s="5" t="s">
        <v>240</v>
      </c>
      <c r="FF3139" s="5" t="s">
        <v>240</v>
      </c>
      <c r="FG3139" s="5" t="s">
        <v>240</v>
      </c>
      <c r="FH3139" s="5" t="s">
        <v>240</v>
      </c>
      <c r="FI3139" s="5" t="s">
        <v>240</v>
      </c>
      <c r="FJ3139" s="5" t="s">
        <v>240</v>
      </c>
      <c r="FK3139" s="5" t="s">
        <v>240</v>
      </c>
      <c r="FL3139" s="5" t="s">
        <v>240</v>
      </c>
      <c r="FM3139" s="5" t="s">
        <v>240</v>
      </c>
      <c r="FN3139" s="5" t="s">
        <v>240</v>
      </c>
      <c r="FO3139" s="5" t="s">
        <v>240</v>
      </c>
      <c r="FP3139" s="5" t="s">
        <v>240</v>
      </c>
      <c r="FQ3139" s="5" t="s">
        <v>240</v>
      </c>
      <c r="FR3139" s="5" t="s">
        <v>240</v>
      </c>
      <c r="FS3139" s="5" t="s">
        <v>240</v>
      </c>
      <c r="FT3139" s="5" t="s">
        <v>240</v>
      </c>
      <c r="FU3139" s="5" t="s">
        <v>240</v>
      </c>
      <c r="FV3139" s="5" t="s">
        <v>240</v>
      </c>
      <c r="FW3139" s="5" t="s">
        <v>240</v>
      </c>
      <c r="FX3139" s="5" t="s">
        <v>240</v>
      </c>
      <c r="FY3139" s="5" t="s">
        <v>240</v>
      </c>
      <c r="FZ3139" s="5" t="s">
        <v>240</v>
      </c>
      <c r="GA3139" s="5" t="s">
        <v>240</v>
      </c>
      <c r="GB3139" s="5" t="s">
        <v>240</v>
      </c>
      <c r="GC3139" s="5" t="s">
        <v>240</v>
      </c>
      <c r="GD3139" s="5" t="s">
        <v>240</v>
      </c>
      <c r="GE3139" s="5" t="s">
        <v>240</v>
      </c>
      <c r="GF3139" s="5" t="s">
        <v>240</v>
      </c>
      <c r="GG3139" s="5" t="s">
        <v>240</v>
      </c>
      <c r="GH3139" s="5" t="s">
        <v>240</v>
      </c>
      <c r="GI3139" s="5" t="s">
        <v>240</v>
      </c>
      <c r="GJ3139" s="5" t="s">
        <v>240</v>
      </c>
      <c r="GK3139" s="5" t="s">
        <v>240</v>
      </c>
      <c r="GL3139" s="5" t="s">
        <v>240</v>
      </c>
      <c r="GM3139" s="5" t="s">
        <v>240</v>
      </c>
      <c r="GN3139" s="5" t="s">
        <v>240</v>
      </c>
      <c r="GO3139" s="5" t="s">
        <v>240</v>
      </c>
      <c r="GP3139" s="5" t="s">
        <v>240</v>
      </c>
      <c r="GQ3139" s="5" t="s">
        <v>240</v>
      </c>
      <c r="GR3139" s="5" t="s">
        <v>240</v>
      </c>
      <c r="GS3139" s="5" t="s">
        <v>240</v>
      </c>
      <c r="GT3139" s="5" t="s">
        <v>240</v>
      </c>
      <c r="GU3139" s="5" t="s">
        <v>240</v>
      </c>
      <c r="GV3139" s="5" t="s">
        <v>240</v>
      </c>
      <c r="GW3139" s="5" t="s">
        <v>240</v>
      </c>
      <c r="GX3139" s="5" t="s">
        <v>240</v>
      </c>
      <c r="GY3139" s="5" t="s">
        <v>240</v>
      </c>
      <c r="GZ3139" s="5" t="s">
        <v>240</v>
      </c>
      <c r="HA3139" s="5" t="s">
        <v>240</v>
      </c>
      <c r="HB3139" s="5" t="s">
        <v>240</v>
      </c>
      <c r="HC3139" s="5" t="s">
        <v>240</v>
      </c>
      <c r="HD3139" s="5" t="s">
        <v>240</v>
      </c>
      <c r="HE3139" s="5" t="s">
        <v>240</v>
      </c>
      <c r="HF3139" s="5" t="s">
        <v>240</v>
      </c>
      <c r="HG3139" s="5" t="s">
        <v>240</v>
      </c>
      <c r="HH3139" s="5" t="s">
        <v>240</v>
      </c>
      <c r="HI3139" s="5" t="s">
        <v>240</v>
      </c>
      <c r="HJ3139" s="5" t="s">
        <v>240</v>
      </c>
      <c r="HK3139" s="5" t="s">
        <v>240</v>
      </c>
      <c r="HL3139" s="5" t="s">
        <v>240</v>
      </c>
      <c r="HM3139" s="5" t="s">
        <v>240</v>
      </c>
      <c r="HN3139" s="5" t="s">
        <v>240</v>
      </c>
      <c r="HO3139" s="5" t="s">
        <v>312</v>
      </c>
      <c r="HP3139" s="5" t="s">
        <v>240</v>
      </c>
      <c r="HQ3139" s="5" t="s">
        <v>240</v>
      </c>
      <c r="HR3139" s="5" t="s">
        <v>240</v>
      </c>
      <c r="HS3139" s="5" t="s">
        <v>240</v>
      </c>
      <c r="HT3139" s="5" t="s">
        <v>240</v>
      </c>
      <c r="HU3139" s="5" t="s">
        <v>240</v>
      </c>
      <c r="HV3139" s="5" t="s">
        <v>240</v>
      </c>
      <c r="HW3139" s="5" t="s">
        <v>240</v>
      </c>
      <c r="HX3139" s="5" t="s">
        <v>240</v>
      </c>
      <c r="HY3139" s="5" t="s">
        <v>240</v>
      </c>
      <c r="HZ3139" s="5" t="s">
        <v>240</v>
      </c>
      <c r="IA3139" s="5" t="s">
        <v>240</v>
      </c>
      <c r="IB3139" s="5" t="s">
        <v>240</v>
      </c>
      <c r="IC3139" s="5" t="s">
        <v>240</v>
      </c>
      <c r="ID3139" s="5" t="s">
        <v>240</v>
      </c>
      <c r="IE3139" s="5" t="s">
        <v>240</v>
      </c>
      <c r="IF3139" s="5" t="s">
        <v>240</v>
      </c>
    </row>
    <row r="3140" spans="1:240" x14ac:dyDescent="0.4">
      <c r="A3140" s="5">
        <v>4844</v>
      </c>
      <c r="B3140" s="5">
        <v>1</v>
      </c>
      <c r="C3140" s="5">
        <v>1</v>
      </c>
      <c r="D3140" s="5" t="s">
        <v>810</v>
      </c>
      <c r="E3140" s="5" t="s">
        <v>245</v>
      </c>
      <c r="F3140" s="5" t="s">
        <v>254</v>
      </c>
      <c r="G3140" s="5" t="s">
        <v>240</v>
      </c>
      <c r="H3140" s="6" t="s">
        <v>2269</v>
      </c>
      <c r="I3140" s="5" t="s">
        <v>809</v>
      </c>
      <c r="J3140" s="8">
        <f>916</f>
        <v>916</v>
      </c>
      <c r="K3140" s="5" t="s">
        <v>308</v>
      </c>
      <c r="L3140" s="7">
        <f>1</f>
        <v>1</v>
      </c>
      <c r="M3140" s="7">
        <f>1</f>
        <v>1</v>
      </c>
      <c r="N3140" s="5" t="s">
        <v>242</v>
      </c>
      <c r="O3140" s="5">
        <v>1</v>
      </c>
      <c r="P3140" s="5" t="s">
        <v>294</v>
      </c>
      <c r="Q3140" s="5" t="s">
        <v>3678</v>
      </c>
      <c r="R3140" s="5" t="s">
        <v>240</v>
      </c>
      <c r="S3140" s="5" t="s">
        <v>240</v>
      </c>
      <c r="T3140" s="5" t="s">
        <v>243</v>
      </c>
      <c r="U3140" s="5" t="s">
        <v>244</v>
      </c>
      <c r="V3140" s="5" t="s">
        <v>240</v>
      </c>
      <c r="W3140" s="5" t="s">
        <v>240</v>
      </c>
      <c r="X3140" s="5" t="s">
        <v>240</v>
      </c>
      <c r="Y3140" s="5" t="s">
        <v>240</v>
      </c>
      <c r="Z3140" s="6" t="s">
        <v>298</v>
      </c>
      <c r="AA3140" s="6" t="s">
        <v>240</v>
      </c>
      <c r="AB3140" s="6" t="s">
        <v>240</v>
      </c>
      <c r="AC3140" s="5" t="s">
        <v>240</v>
      </c>
      <c r="AD3140" s="6" t="s">
        <v>240</v>
      </c>
      <c r="AE3140" s="6" t="s">
        <v>299</v>
      </c>
      <c r="AF3140" s="5" t="s">
        <v>248</v>
      </c>
      <c r="AG3140" s="5" t="s">
        <v>249</v>
      </c>
      <c r="AH3140" s="5" t="s">
        <v>240</v>
      </c>
      <c r="AI3140" s="5" t="s">
        <v>240</v>
      </c>
      <c r="AJ3140" s="5" t="s">
        <v>240</v>
      </c>
      <c r="AK3140" s="5" t="s">
        <v>240</v>
      </c>
      <c r="AL3140" s="5" t="s">
        <v>240</v>
      </c>
      <c r="AM3140" s="5" t="s">
        <v>240</v>
      </c>
      <c r="AN3140" s="5" t="s">
        <v>240</v>
      </c>
      <c r="AO3140" s="5" t="s">
        <v>240</v>
      </c>
      <c r="AP3140" s="6" t="s">
        <v>240</v>
      </c>
      <c r="AQ3140" s="6" t="s">
        <v>240</v>
      </c>
      <c r="AR3140" s="6" t="s">
        <v>240</v>
      </c>
      <c r="AS3140" s="6" t="s">
        <v>240</v>
      </c>
      <c r="AT3140" s="5" t="s">
        <v>240</v>
      </c>
      <c r="AU3140" s="5" t="s">
        <v>729</v>
      </c>
      <c r="AV3140" s="5" t="s">
        <v>729</v>
      </c>
      <c r="AW3140" s="5" t="s">
        <v>251</v>
      </c>
      <c r="AX3140" s="5" t="s">
        <v>252</v>
      </c>
      <c r="AY3140" s="5" t="s">
        <v>253</v>
      </c>
      <c r="AZ3140" s="5" t="s">
        <v>240</v>
      </c>
      <c r="BA3140" s="5" t="s">
        <v>255</v>
      </c>
      <c r="BB3140" s="5" t="s">
        <v>731</v>
      </c>
      <c r="BD3140" s="5" t="s">
        <v>240</v>
      </c>
      <c r="BF3140" s="5" t="s">
        <v>732</v>
      </c>
      <c r="BG3140" s="6" t="s">
        <v>733</v>
      </c>
      <c r="BH3140" s="5" t="s">
        <v>734</v>
      </c>
      <c r="BI3140" s="5" t="s">
        <v>734</v>
      </c>
      <c r="BJ3140" s="5" t="s">
        <v>240</v>
      </c>
      <c r="BK3140" s="7">
        <f>1</f>
        <v>1</v>
      </c>
      <c r="BL3140" s="7">
        <f>1</f>
        <v>1</v>
      </c>
      <c r="BM3140" s="5" t="s">
        <v>258</v>
      </c>
      <c r="BN3140" s="5" t="s">
        <v>259</v>
      </c>
      <c r="BO3140" s="5" t="s">
        <v>240</v>
      </c>
      <c r="BP3140" s="5" t="s">
        <v>240</v>
      </c>
      <c r="BQ3140" s="5" t="s">
        <v>240</v>
      </c>
      <c r="BR3140" s="5" t="s">
        <v>240</v>
      </c>
      <c r="BS3140" s="5" t="s">
        <v>240</v>
      </c>
      <c r="BT3140" s="5" t="s">
        <v>240</v>
      </c>
      <c r="BU3140" s="5" t="s">
        <v>240</v>
      </c>
      <c r="BV3140" s="5" t="s">
        <v>240</v>
      </c>
      <c r="BW3140" s="6" t="s">
        <v>240</v>
      </c>
      <c r="BX3140" s="5" t="s">
        <v>240</v>
      </c>
      <c r="BY3140" s="5" t="s">
        <v>240</v>
      </c>
      <c r="BZ3140" s="5" t="s">
        <v>240</v>
      </c>
      <c r="CA3140" s="5" t="s">
        <v>259</v>
      </c>
      <c r="CB3140" s="5" t="s">
        <v>240</v>
      </c>
      <c r="CC3140" s="5" t="s">
        <v>240</v>
      </c>
      <c r="CD3140" s="5" t="s">
        <v>240</v>
      </c>
      <c r="CE3140" s="5" t="s">
        <v>240</v>
      </c>
      <c r="CF3140" s="5" t="s">
        <v>240</v>
      </c>
      <c r="CG3140" s="5" t="s">
        <v>304</v>
      </c>
      <c r="CH3140" s="5" t="s">
        <v>305</v>
      </c>
      <c r="CI3140" s="5" t="s">
        <v>240</v>
      </c>
      <c r="CK3140" s="5" t="s">
        <v>3681</v>
      </c>
      <c r="CL3140" s="6" t="s">
        <v>261</v>
      </c>
      <c r="CM3140" s="5" t="s">
        <v>262</v>
      </c>
      <c r="CN3140" s="5" t="s">
        <v>263</v>
      </c>
      <c r="CO3140" s="5" t="s">
        <v>264</v>
      </c>
      <c r="CP3140" s="5" t="s">
        <v>240</v>
      </c>
      <c r="CQ3140" s="5">
        <v>0</v>
      </c>
      <c r="CR3140" s="5" t="s">
        <v>735</v>
      </c>
      <c r="CS3140" s="5" t="s">
        <v>307</v>
      </c>
      <c r="CT3140" s="5" t="s">
        <v>307</v>
      </c>
      <c r="CU3140" s="5" t="s">
        <v>260</v>
      </c>
      <c r="CV3140" s="5" t="s">
        <v>612</v>
      </c>
      <c r="CW3140" s="8">
        <f>1</f>
        <v>1</v>
      </c>
      <c r="CX3140" s="7">
        <f>1</f>
        <v>1</v>
      </c>
      <c r="CY3140" s="7">
        <f>0</f>
        <v>0</v>
      </c>
      <c r="DA3140" s="7">
        <f>1</f>
        <v>1</v>
      </c>
      <c r="DB3140" s="7" t="s">
        <v>240</v>
      </c>
      <c r="DC3140" s="5" t="s">
        <v>240</v>
      </c>
      <c r="DD3140" s="5" t="s">
        <v>240</v>
      </c>
      <c r="DE3140" s="5" t="s">
        <v>240</v>
      </c>
      <c r="DF3140" s="5" t="s">
        <v>240</v>
      </c>
      <c r="DG3140" s="7">
        <f>0</f>
        <v>0</v>
      </c>
      <c r="DI3140" s="5" t="s">
        <v>240</v>
      </c>
      <c r="DJ3140" s="5" t="s">
        <v>240</v>
      </c>
      <c r="DK3140" s="5" t="s">
        <v>240</v>
      </c>
      <c r="DL3140" s="5" t="s">
        <v>240</v>
      </c>
      <c r="DM3140" s="5" t="s">
        <v>240</v>
      </c>
      <c r="DN3140" s="5" t="s">
        <v>240</v>
      </c>
      <c r="DO3140" s="7" t="s">
        <v>240</v>
      </c>
      <c r="DP3140" s="5" t="s">
        <v>240</v>
      </c>
      <c r="DQ3140" s="5" t="s">
        <v>240</v>
      </c>
      <c r="DR3140" s="5" t="s">
        <v>731</v>
      </c>
      <c r="DS3140" s="5" t="s">
        <v>731</v>
      </c>
      <c r="DT3140" s="5" t="s">
        <v>240</v>
      </c>
      <c r="DU3140" s="5" t="s">
        <v>240</v>
      </c>
      <c r="DV3140" s="5" t="s">
        <v>3683</v>
      </c>
      <c r="DW3140" s="5" t="s">
        <v>394</v>
      </c>
      <c r="DX3140" s="5" t="s">
        <v>240</v>
      </c>
      <c r="DY3140" s="5" t="s">
        <v>240</v>
      </c>
      <c r="DZ3140" s="5" t="s">
        <v>240</v>
      </c>
      <c r="EA3140" s="5" t="s">
        <v>240</v>
      </c>
      <c r="EB3140" s="5" t="s">
        <v>240</v>
      </c>
      <c r="EC3140" s="5" t="s">
        <v>240</v>
      </c>
      <c r="ED3140" s="5" t="s">
        <v>240</v>
      </c>
      <c r="EE3140" s="5" t="s">
        <v>240</v>
      </c>
      <c r="EF3140" s="5" t="s">
        <v>240</v>
      </c>
      <c r="EG3140" s="5" t="s">
        <v>240</v>
      </c>
      <c r="EH3140" s="5" t="s">
        <v>240</v>
      </c>
      <c r="EI3140" s="5" t="s">
        <v>240</v>
      </c>
      <c r="EJ3140" s="5" t="s">
        <v>240</v>
      </c>
      <c r="EK3140" s="5" t="s">
        <v>240</v>
      </c>
      <c r="EL3140" s="5" t="s">
        <v>240</v>
      </c>
      <c r="EM3140" s="5" t="s">
        <v>240</v>
      </c>
      <c r="EN3140" s="5" t="s">
        <v>240</v>
      </c>
      <c r="EO3140" s="5" t="s">
        <v>240</v>
      </c>
      <c r="EP3140" s="5" t="s">
        <v>240</v>
      </c>
      <c r="EQ3140" s="5" t="s">
        <v>240</v>
      </c>
      <c r="ER3140" s="5" t="s">
        <v>240</v>
      </c>
      <c r="ES3140" s="5" t="s">
        <v>240</v>
      </c>
      <c r="ET3140" s="5" t="s">
        <v>240</v>
      </c>
      <c r="EU3140" s="5" t="s">
        <v>240</v>
      </c>
      <c r="EV3140" s="5" t="s">
        <v>240</v>
      </c>
      <c r="EW3140" s="5" t="s">
        <v>240</v>
      </c>
      <c r="EX3140" s="5" t="s">
        <v>240</v>
      </c>
      <c r="EY3140" s="5" t="s">
        <v>240</v>
      </c>
      <c r="EZ3140" s="5" t="s">
        <v>240</v>
      </c>
      <c r="FA3140" s="5" t="s">
        <v>240</v>
      </c>
      <c r="FB3140" s="5" t="s">
        <v>240</v>
      </c>
      <c r="FC3140" s="5" t="s">
        <v>240</v>
      </c>
      <c r="FD3140" s="5" t="s">
        <v>240</v>
      </c>
      <c r="FE3140" s="5" t="s">
        <v>240</v>
      </c>
      <c r="FF3140" s="5" t="s">
        <v>240</v>
      </c>
      <c r="FG3140" s="5" t="s">
        <v>240</v>
      </c>
      <c r="FH3140" s="5" t="s">
        <v>240</v>
      </c>
      <c r="FI3140" s="5" t="s">
        <v>240</v>
      </c>
      <c r="FJ3140" s="5" t="s">
        <v>240</v>
      </c>
      <c r="FK3140" s="5" t="s">
        <v>240</v>
      </c>
      <c r="FL3140" s="5" t="s">
        <v>240</v>
      </c>
      <c r="FM3140" s="5" t="s">
        <v>240</v>
      </c>
      <c r="FN3140" s="5" t="s">
        <v>240</v>
      </c>
      <c r="FO3140" s="5" t="s">
        <v>240</v>
      </c>
      <c r="FP3140" s="5" t="s">
        <v>240</v>
      </c>
      <c r="FQ3140" s="5" t="s">
        <v>240</v>
      </c>
      <c r="FR3140" s="5" t="s">
        <v>240</v>
      </c>
      <c r="FS3140" s="5" t="s">
        <v>240</v>
      </c>
      <c r="FT3140" s="5" t="s">
        <v>240</v>
      </c>
      <c r="FU3140" s="5" t="s">
        <v>240</v>
      </c>
      <c r="FV3140" s="5" t="s">
        <v>240</v>
      </c>
      <c r="FW3140" s="5" t="s">
        <v>240</v>
      </c>
      <c r="FX3140" s="5" t="s">
        <v>240</v>
      </c>
      <c r="FY3140" s="5" t="s">
        <v>240</v>
      </c>
      <c r="FZ3140" s="5" t="s">
        <v>240</v>
      </c>
      <c r="GA3140" s="5" t="s">
        <v>240</v>
      </c>
      <c r="GB3140" s="5" t="s">
        <v>240</v>
      </c>
      <c r="GC3140" s="5" t="s">
        <v>240</v>
      </c>
      <c r="GD3140" s="5" t="s">
        <v>240</v>
      </c>
      <c r="GE3140" s="5" t="s">
        <v>240</v>
      </c>
      <c r="GF3140" s="5" t="s">
        <v>240</v>
      </c>
      <c r="GG3140" s="5" t="s">
        <v>240</v>
      </c>
      <c r="GH3140" s="5" t="s">
        <v>240</v>
      </c>
      <c r="GI3140" s="5" t="s">
        <v>240</v>
      </c>
      <c r="GJ3140" s="5" t="s">
        <v>240</v>
      </c>
      <c r="GK3140" s="5" t="s">
        <v>240</v>
      </c>
      <c r="GL3140" s="5" t="s">
        <v>240</v>
      </c>
      <c r="GM3140" s="5" t="s">
        <v>240</v>
      </c>
      <c r="GN3140" s="5" t="s">
        <v>240</v>
      </c>
      <c r="GO3140" s="5" t="s">
        <v>240</v>
      </c>
      <c r="GP3140" s="5" t="s">
        <v>240</v>
      </c>
      <c r="GQ3140" s="5" t="s">
        <v>240</v>
      </c>
      <c r="GR3140" s="5" t="s">
        <v>240</v>
      </c>
      <c r="GS3140" s="5" t="s">
        <v>240</v>
      </c>
      <c r="GT3140" s="5" t="s">
        <v>240</v>
      </c>
      <c r="GU3140" s="5" t="s">
        <v>240</v>
      </c>
      <c r="GV3140" s="5" t="s">
        <v>240</v>
      </c>
      <c r="GW3140" s="5" t="s">
        <v>240</v>
      </c>
      <c r="GX3140" s="5" t="s">
        <v>240</v>
      </c>
      <c r="GY3140" s="5" t="s">
        <v>240</v>
      </c>
      <c r="GZ3140" s="5" t="s">
        <v>240</v>
      </c>
      <c r="HA3140" s="5" t="s">
        <v>240</v>
      </c>
      <c r="HB3140" s="5" t="s">
        <v>240</v>
      </c>
      <c r="HC3140" s="5" t="s">
        <v>240</v>
      </c>
      <c r="HD3140" s="5" t="s">
        <v>240</v>
      </c>
      <c r="HE3140" s="5" t="s">
        <v>240</v>
      </c>
      <c r="HF3140" s="5" t="s">
        <v>240</v>
      </c>
      <c r="HG3140" s="5" t="s">
        <v>240</v>
      </c>
      <c r="HH3140" s="5" t="s">
        <v>240</v>
      </c>
      <c r="HI3140" s="5" t="s">
        <v>240</v>
      </c>
      <c r="HJ3140" s="5" t="s">
        <v>240</v>
      </c>
      <c r="HK3140" s="5" t="s">
        <v>240</v>
      </c>
      <c r="HL3140" s="5" t="s">
        <v>240</v>
      </c>
      <c r="HM3140" s="5" t="s">
        <v>240</v>
      </c>
      <c r="HN3140" s="5" t="s">
        <v>240</v>
      </c>
      <c r="HO3140" s="5" t="s">
        <v>312</v>
      </c>
      <c r="HP3140" s="5" t="s">
        <v>240</v>
      </c>
      <c r="HQ3140" s="5" t="s">
        <v>240</v>
      </c>
      <c r="HR3140" s="5" t="s">
        <v>240</v>
      </c>
      <c r="HS3140" s="5" t="s">
        <v>240</v>
      </c>
      <c r="HT3140" s="5" t="s">
        <v>240</v>
      </c>
      <c r="HU3140" s="5" t="s">
        <v>240</v>
      </c>
      <c r="HV3140" s="5" t="s">
        <v>240</v>
      </c>
      <c r="HW3140" s="5" t="s">
        <v>240</v>
      </c>
      <c r="HX3140" s="5" t="s">
        <v>240</v>
      </c>
      <c r="HY3140" s="5" t="s">
        <v>240</v>
      </c>
      <c r="HZ3140" s="5" t="s">
        <v>240</v>
      </c>
      <c r="IA3140" s="5" t="s">
        <v>240</v>
      </c>
      <c r="IB3140" s="5" t="s">
        <v>240</v>
      </c>
      <c r="IC3140" s="5" t="s">
        <v>240</v>
      </c>
      <c r="ID3140" s="5" t="s">
        <v>240</v>
      </c>
      <c r="IE3140" s="5" t="s">
        <v>240</v>
      </c>
      <c r="IF3140" s="5" t="s">
        <v>240</v>
      </c>
    </row>
    <row r="3141" spans="1:240" x14ac:dyDescent="0.4">
      <c r="A3141" s="5">
        <v>4845</v>
      </c>
      <c r="B3141" s="5">
        <v>1</v>
      </c>
      <c r="C3141" s="5">
        <v>1</v>
      </c>
      <c r="D3141" s="5" t="s">
        <v>810</v>
      </c>
      <c r="E3141" s="5" t="s">
        <v>245</v>
      </c>
      <c r="F3141" s="5" t="s">
        <v>254</v>
      </c>
      <c r="G3141" s="5" t="s">
        <v>240</v>
      </c>
      <c r="H3141" s="6" t="s">
        <v>2267</v>
      </c>
      <c r="I3141" s="5" t="s">
        <v>809</v>
      </c>
      <c r="J3141" s="8">
        <f>749</f>
        <v>749</v>
      </c>
      <c r="K3141" s="5" t="s">
        <v>308</v>
      </c>
      <c r="L3141" s="7">
        <f>1</f>
        <v>1</v>
      </c>
      <c r="M3141" s="7">
        <f>1</f>
        <v>1</v>
      </c>
      <c r="N3141" s="5" t="s">
        <v>242</v>
      </c>
      <c r="O3141" s="5">
        <v>1</v>
      </c>
      <c r="P3141" s="5" t="s">
        <v>294</v>
      </c>
      <c r="Q3141" s="5" t="s">
        <v>3678</v>
      </c>
      <c r="R3141" s="5" t="s">
        <v>240</v>
      </c>
      <c r="S3141" s="5" t="s">
        <v>240</v>
      </c>
      <c r="T3141" s="5" t="s">
        <v>243</v>
      </c>
      <c r="U3141" s="5" t="s">
        <v>244</v>
      </c>
      <c r="V3141" s="5" t="s">
        <v>240</v>
      </c>
      <c r="W3141" s="5" t="s">
        <v>240</v>
      </c>
      <c r="X3141" s="5" t="s">
        <v>240</v>
      </c>
      <c r="Y3141" s="5" t="s">
        <v>240</v>
      </c>
      <c r="Z3141" s="6" t="s">
        <v>298</v>
      </c>
      <c r="AA3141" s="6" t="s">
        <v>240</v>
      </c>
      <c r="AB3141" s="6" t="s">
        <v>240</v>
      </c>
      <c r="AC3141" s="5" t="s">
        <v>240</v>
      </c>
      <c r="AD3141" s="6" t="s">
        <v>240</v>
      </c>
      <c r="AE3141" s="6" t="s">
        <v>299</v>
      </c>
      <c r="AF3141" s="5" t="s">
        <v>248</v>
      </c>
      <c r="AG3141" s="5" t="s">
        <v>249</v>
      </c>
      <c r="AH3141" s="5" t="s">
        <v>240</v>
      </c>
      <c r="AI3141" s="5" t="s">
        <v>240</v>
      </c>
      <c r="AJ3141" s="5" t="s">
        <v>240</v>
      </c>
      <c r="AK3141" s="5" t="s">
        <v>240</v>
      </c>
      <c r="AL3141" s="5" t="s">
        <v>240</v>
      </c>
      <c r="AM3141" s="5" t="s">
        <v>240</v>
      </c>
      <c r="AN3141" s="5" t="s">
        <v>240</v>
      </c>
      <c r="AO3141" s="5" t="s">
        <v>240</v>
      </c>
      <c r="AP3141" s="6" t="s">
        <v>240</v>
      </c>
      <c r="AQ3141" s="6" t="s">
        <v>240</v>
      </c>
      <c r="AR3141" s="6" t="s">
        <v>240</v>
      </c>
      <c r="AS3141" s="6" t="s">
        <v>240</v>
      </c>
      <c r="AT3141" s="5" t="s">
        <v>240</v>
      </c>
      <c r="AU3141" s="5" t="s">
        <v>729</v>
      </c>
      <c r="AV3141" s="5" t="s">
        <v>729</v>
      </c>
      <c r="AW3141" s="5" t="s">
        <v>251</v>
      </c>
      <c r="AX3141" s="5" t="s">
        <v>252</v>
      </c>
      <c r="AY3141" s="5" t="s">
        <v>253</v>
      </c>
      <c r="AZ3141" s="5" t="s">
        <v>240</v>
      </c>
      <c r="BA3141" s="5" t="s">
        <v>255</v>
      </c>
      <c r="BB3141" s="5" t="s">
        <v>731</v>
      </c>
      <c r="BD3141" s="5" t="s">
        <v>240</v>
      </c>
      <c r="BF3141" s="5" t="s">
        <v>732</v>
      </c>
      <c r="BG3141" s="6" t="s">
        <v>733</v>
      </c>
      <c r="BH3141" s="5" t="s">
        <v>734</v>
      </c>
      <c r="BI3141" s="5" t="s">
        <v>734</v>
      </c>
      <c r="BJ3141" s="5" t="s">
        <v>240</v>
      </c>
      <c r="BK3141" s="7">
        <f>1</f>
        <v>1</v>
      </c>
      <c r="BL3141" s="7">
        <f>1</f>
        <v>1</v>
      </c>
      <c r="BM3141" s="5" t="s">
        <v>258</v>
      </c>
      <c r="BN3141" s="5" t="s">
        <v>259</v>
      </c>
      <c r="BO3141" s="5" t="s">
        <v>240</v>
      </c>
      <c r="BP3141" s="5" t="s">
        <v>240</v>
      </c>
      <c r="BQ3141" s="5" t="s">
        <v>240</v>
      </c>
      <c r="BR3141" s="5" t="s">
        <v>240</v>
      </c>
      <c r="BS3141" s="5" t="s">
        <v>240</v>
      </c>
      <c r="BT3141" s="5" t="s">
        <v>240</v>
      </c>
      <c r="BU3141" s="5" t="s">
        <v>240</v>
      </c>
      <c r="BV3141" s="5" t="s">
        <v>240</v>
      </c>
      <c r="BW3141" s="6" t="s">
        <v>240</v>
      </c>
      <c r="BX3141" s="5" t="s">
        <v>240</v>
      </c>
      <c r="BY3141" s="5" t="s">
        <v>240</v>
      </c>
      <c r="BZ3141" s="5" t="s">
        <v>240</v>
      </c>
      <c r="CA3141" s="5" t="s">
        <v>259</v>
      </c>
      <c r="CB3141" s="5" t="s">
        <v>240</v>
      </c>
      <c r="CC3141" s="5" t="s">
        <v>240</v>
      </c>
      <c r="CD3141" s="5" t="s">
        <v>240</v>
      </c>
      <c r="CE3141" s="5" t="s">
        <v>240</v>
      </c>
      <c r="CF3141" s="5" t="s">
        <v>240</v>
      </c>
      <c r="CG3141" s="5" t="s">
        <v>304</v>
      </c>
      <c r="CH3141" s="5" t="s">
        <v>305</v>
      </c>
      <c r="CI3141" s="5" t="s">
        <v>240</v>
      </c>
      <c r="CK3141" s="5" t="s">
        <v>3681</v>
      </c>
      <c r="CL3141" s="6" t="s">
        <v>261</v>
      </c>
      <c r="CM3141" s="5" t="s">
        <v>262</v>
      </c>
      <c r="CN3141" s="5" t="s">
        <v>263</v>
      </c>
      <c r="CO3141" s="5" t="s">
        <v>264</v>
      </c>
      <c r="CP3141" s="5" t="s">
        <v>240</v>
      </c>
      <c r="CQ3141" s="5">
        <v>0</v>
      </c>
      <c r="CR3141" s="5" t="s">
        <v>735</v>
      </c>
      <c r="CS3141" s="5" t="s">
        <v>307</v>
      </c>
      <c r="CT3141" s="5" t="s">
        <v>307</v>
      </c>
      <c r="CU3141" s="5" t="s">
        <v>260</v>
      </c>
      <c r="CV3141" s="5" t="s">
        <v>612</v>
      </c>
      <c r="CW3141" s="8">
        <f>1</f>
        <v>1</v>
      </c>
      <c r="CX3141" s="7">
        <f>1</f>
        <v>1</v>
      </c>
      <c r="CY3141" s="7">
        <f>0</f>
        <v>0</v>
      </c>
      <c r="DA3141" s="7">
        <f>1</f>
        <v>1</v>
      </c>
      <c r="DB3141" s="7" t="s">
        <v>240</v>
      </c>
      <c r="DC3141" s="5" t="s">
        <v>240</v>
      </c>
      <c r="DD3141" s="5" t="s">
        <v>240</v>
      </c>
      <c r="DE3141" s="5" t="s">
        <v>240</v>
      </c>
      <c r="DF3141" s="5" t="s">
        <v>240</v>
      </c>
      <c r="DG3141" s="7">
        <f>0</f>
        <v>0</v>
      </c>
      <c r="DI3141" s="5" t="s">
        <v>240</v>
      </c>
      <c r="DJ3141" s="5" t="s">
        <v>240</v>
      </c>
      <c r="DK3141" s="5" t="s">
        <v>240</v>
      </c>
      <c r="DL3141" s="5" t="s">
        <v>240</v>
      </c>
      <c r="DM3141" s="5" t="s">
        <v>240</v>
      </c>
      <c r="DN3141" s="5" t="s">
        <v>240</v>
      </c>
      <c r="DO3141" s="7" t="s">
        <v>240</v>
      </c>
      <c r="DP3141" s="5" t="s">
        <v>240</v>
      </c>
      <c r="DQ3141" s="5" t="s">
        <v>240</v>
      </c>
      <c r="DR3141" s="5" t="s">
        <v>731</v>
      </c>
      <c r="DS3141" s="5" t="s">
        <v>731</v>
      </c>
      <c r="DT3141" s="5" t="s">
        <v>240</v>
      </c>
      <c r="DU3141" s="5" t="s">
        <v>240</v>
      </c>
      <c r="DV3141" s="5" t="s">
        <v>3683</v>
      </c>
      <c r="DW3141" s="5" t="s">
        <v>386</v>
      </c>
      <c r="DX3141" s="5" t="s">
        <v>240</v>
      </c>
      <c r="DY3141" s="5" t="s">
        <v>240</v>
      </c>
      <c r="DZ3141" s="5" t="s">
        <v>240</v>
      </c>
      <c r="EA3141" s="5" t="s">
        <v>240</v>
      </c>
      <c r="EB3141" s="5" t="s">
        <v>240</v>
      </c>
      <c r="EC3141" s="5" t="s">
        <v>240</v>
      </c>
      <c r="ED3141" s="5" t="s">
        <v>240</v>
      </c>
      <c r="EE3141" s="5" t="s">
        <v>240</v>
      </c>
      <c r="EF3141" s="5" t="s">
        <v>240</v>
      </c>
      <c r="EG3141" s="5" t="s">
        <v>240</v>
      </c>
      <c r="EH3141" s="5" t="s">
        <v>240</v>
      </c>
      <c r="EI3141" s="5" t="s">
        <v>240</v>
      </c>
      <c r="EJ3141" s="5" t="s">
        <v>240</v>
      </c>
      <c r="EK3141" s="5" t="s">
        <v>240</v>
      </c>
      <c r="EL3141" s="5" t="s">
        <v>240</v>
      </c>
      <c r="EM3141" s="5" t="s">
        <v>240</v>
      </c>
      <c r="EN3141" s="5" t="s">
        <v>240</v>
      </c>
      <c r="EO3141" s="5" t="s">
        <v>240</v>
      </c>
      <c r="EP3141" s="5" t="s">
        <v>240</v>
      </c>
      <c r="EQ3141" s="5" t="s">
        <v>240</v>
      </c>
      <c r="ER3141" s="5" t="s">
        <v>240</v>
      </c>
      <c r="ES3141" s="5" t="s">
        <v>240</v>
      </c>
      <c r="ET3141" s="5" t="s">
        <v>240</v>
      </c>
      <c r="EU3141" s="5" t="s">
        <v>240</v>
      </c>
      <c r="EV3141" s="5" t="s">
        <v>240</v>
      </c>
      <c r="EW3141" s="5" t="s">
        <v>240</v>
      </c>
      <c r="EX3141" s="5" t="s">
        <v>240</v>
      </c>
      <c r="EY3141" s="5" t="s">
        <v>240</v>
      </c>
      <c r="EZ3141" s="5" t="s">
        <v>240</v>
      </c>
      <c r="FA3141" s="5" t="s">
        <v>240</v>
      </c>
      <c r="FB3141" s="5" t="s">
        <v>240</v>
      </c>
      <c r="FC3141" s="5" t="s">
        <v>240</v>
      </c>
      <c r="FD3141" s="5" t="s">
        <v>240</v>
      </c>
      <c r="FE3141" s="5" t="s">
        <v>240</v>
      </c>
      <c r="FF3141" s="5" t="s">
        <v>240</v>
      </c>
      <c r="FG3141" s="5" t="s">
        <v>240</v>
      </c>
      <c r="FH3141" s="5" t="s">
        <v>240</v>
      </c>
      <c r="FI3141" s="5" t="s">
        <v>240</v>
      </c>
      <c r="FJ3141" s="5" t="s">
        <v>240</v>
      </c>
      <c r="FK3141" s="5" t="s">
        <v>240</v>
      </c>
      <c r="FL3141" s="5" t="s">
        <v>240</v>
      </c>
      <c r="FM3141" s="5" t="s">
        <v>240</v>
      </c>
      <c r="FN3141" s="5" t="s">
        <v>240</v>
      </c>
      <c r="FO3141" s="5" t="s">
        <v>240</v>
      </c>
      <c r="FP3141" s="5" t="s">
        <v>240</v>
      </c>
      <c r="FQ3141" s="5" t="s">
        <v>240</v>
      </c>
      <c r="FR3141" s="5" t="s">
        <v>240</v>
      </c>
      <c r="FS3141" s="5" t="s">
        <v>240</v>
      </c>
      <c r="FT3141" s="5" t="s">
        <v>240</v>
      </c>
      <c r="FU3141" s="5" t="s">
        <v>240</v>
      </c>
      <c r="FV3141" s="5" t="s">
        <v>240</v>
      </c>
      <c r="FW3141" s="5" t="s">
        <v>240</v>
      </c>
      <c r="FX3141" s="5" t="s">
        <v>240</v>
      </c>
      <c r="FY3141" s="5" t="s">
        <v>240</v>
      </c>
      <c r="FZ3141" s="5" t="s">
        <v>240</v>
      </c>
      <c r="GA3141" s="5" t="s">
        <v>240</v>
      </c>
      <c r="GB3141" s="5" t="s">
        <v>240</v>
      </c>
      <c r="GC3141" s="5" t="s">
        <v>240</v>
      </c>
      <c r="GD3141" s="5" t="s">
        <v>240</v>
      </c>
      <c r="GE3141" s="5" t="s">
        <v>240</v>
      </c>
      <c r="GF3141" s="5" t="s">
        <v>240</v>
      </c>
      <c r="GG3141" s="5" t="s">
        <v>240</v>
      </c>
      <c r="GH3141" s="5" t="s">
        <v>240</v>
      </c>
      <c r="GI3141" s="5" t="s">
        <v>240</v>
      </c>
      <c r="GJ3141" s="5" t="s">
        <v>240</v>
      </c>
      <c r="GK3141" s="5" t="s">
        <v>240</v>
      </c>
      <c r="GL3141" s="5" t="s">
        <v>240</v>
      </c>
      <c r="GM3141" s="5" t="s">
        <v>240</v>
      </c>
      <c r="GN3141" s="5" t="s">
        <v>240</v>
      </c>
      <c r="GO3141" s="5" t="s">
        <v>240</v>
      </c>
      <c r="GP3141" s="5" t="s">
        <v>240</v>
      </c>
      <c r="GQ3141" s="5" t="s">
        <v>240</v>
      </c>
      <c r="GR3141" s="5" t="s">
        <v>240</v>
      </c>
      <c r="GS3141" s="5" t="s">
        <v>240</v>
      </c>
      <c r="GT3141" s="5" t="s">
        <v>240</v>
      </c>
      <c r="GU3141" s="5" t="s">
        <v>240</v>
      </c>
      <c r="GV3141" s="5" t="s">
        <v>240</v>
      </c>
      <c r="GW3141" s="5" t="s">
        <v>240</v>
      </c>
      <c r="GX3141" s="5" t="s">
        <v>240</v>
      </c>
      <c r="GY3141" s="5" t="s">
        <v>240</v>
      </c>
      <c r="GZ3141" s="5" t="s">
        <v>240</v>
      </c>
      <c r="HA3141" s="5" t="s">
        <v>240</v>
      </c>
      <c r="HB3141" s="5" t="s">
        <v>240</v>
      </c>
      <c r="HC3141" s="5" t="s">
        <v>240</v>
      </c>
      <c r="HD3141" s="5" t="s">
        <v>240</v>
      </c>
      <c r="HE3141" s="5" t="s">
        <v>240</v>
      </c>
      <c r="HF3141" s="5" t="s">
        <v>240</v>
      </c>
      <c r="HG3141" s="5" t="s">
        <v>240</v>
      </c>
      <c r="HH3141" s="5" t="s">
        <v>240</v>
      </c>
      <c r="HI3141" s="5" t="s">
        <v>240</v>
      </c>
      <c r="HJ3141" s="5" t="s">
        <v>240</v>
      </c>
      <c r="HK3141" s="5" t="s">
        <v>240</v>
      </c>
      <c r="HL3141" s="5" t="s">
        <v>240</v>
      </c>
      <c r="HM3141" s="5" t="s">
        <v>240</v>
      </c>
      <c r="HN3141" s="5" t="s">
        <v>240</v>
      </c>
      <c r="HO3141" s="5" t="s">
        <v>312</v>
      </c>
      <c r="HP3141" s="5" t="s">
        <v>240</v>
      </c>
      <c r="HQ3141" s="5" t="s">
        <v>240</v>
      </c>
      <c r="HR3141" s="5" t="s">
        <v>240</v>
      </c>
      <c r="HS3141" s="5" t="s">
        <v>240</v>
      </c>
      <c r="HT3141" s="5" t="s">
        <v>240</v>
      </c>
      <c r="HU3141" s="5" t="s">
        <v>240</v>
      </c>
      <c r="HV3141" s="5" t="s">
        <v>240</v>
      </c>
      <c r="HW3141" s="5" t="s">
        <v>240</v>
      </c>
      <c r="HX3141" s="5" t="s">
        <v>240</v>
      </c>
      <c r="HY3141" s="5" t="s">
        <v>240</v>
      </c>
      <c r="HZ3141" s="5" t="s">
        <v>240</v>
      </c>
      <c r="IA3141" s="5" t="s">
        <v>240</v>
      </c>
      <c r="IB3141" s="5" t="s">
        <v>240</v>
      </c>
      <c r="IC3141" s="5" t="s">
        <v>240</v>
      </c>
      <c r="ID3141" s="5" t="s">
        <v>240</v>
      </c>
      <c r="IE3141" s="5" t="s">
        <v>240</v>
      </c>
      <c r="IF3141" s="5" t="s">
        <v>240</v>
      </c>
    </row>
    <row r="3142" spans="1:240" x14ac:dyDescent="0.4">
      <c r="A3142" s="5">
        <v>4846</v>
      </c>
      <c r="B3142" s="5">
        <v>1</v>
      </c>
      <c r="C3142" s="5">
        <v>1</v>
      </c>
      <c r="D3142" s="5" t="s">
        <v>810</v>
      </c>
      <c r="E3142" s="5" t="s">
        <v>245</v>
      </c>
      <c r="F3142" s="5" t="s">
        <v>254</v>
      </c>
      <c r="G3142" s="5" t="s">
        <v>240</v>
      </c>
      <c r="H3142" s="6" t="s">
        <v>2265</v>
      </c>
      <c r="I3142" s="5" t="s">
        <v>809</v>
      </c>
      <c r="J3142" s="8">
        <f>483</f>
        <v>483</v>
      </c>
      <c r="K3142" s="5" t="s">
        <v>308</v>
      </c>
      <c r="L3142" s="7">
        <f>1</f>
        <v>1</v>
      </c>
      <c r="M3142" s="7">
        <f>1</f>
        <v>1</v>
      </c>
      <c r="N3142" s="5" t="s">
        <v>242</v>
      </c>
      <c r="O3142" s="5">
        <v>1</v>
      </c>
      <c r="P3142" s="5" t="s">
        <v>294</v>
      </c>
      <c r="Q3142" s="5" t="s">
        <v>266</v>
      </c>
      <c r="R3142" s="5" t="s">
        <v>240</v>
      </c>
      <c r="S3142" s="5" t="s">
        <v>240</v>
      </c>
      <c r="T3142" s="5" t="s">
        <v>296</v>
      </c>
      <c r="U3142" s="5" t="s">
        <v>244</v>
      </c>
      <c r="V3142" s="5" t="s">
        <v>240</v>
      </c>
      <c r="Y3142" s="5" t="s">
        <v>240</v>
      </c>
      <c r="Z3142" s="6" t="s">
        <v>298</v>
      </c>
      <c r="AB3142" s="6" t="s">
        <v>240</v>
      </c>
      <c r="AE3142" s="6" t="s">
        <v>299</v>
      </c>
      <c r="AF3142" s="5" t="s">
        <v>248</v>
      </c>
      <c r="AG3142" s="5" t="s">
        <v>249</v>
      </c>
      <c r="AW3142" s="5" t="s">
        <v>251</v>
      </c>
      <c r="AX3142" s="5" t="s">
        <v>240</v>
      </c>
      <c r="AY3142" s="5" t="s">
        <v>253</v>
      </c>
      <c r="AZ3142" s="5" t="s">
        <v>240</v>
      </c>
      <c r="BA3142" s="5" t="s">
        <v>255</v>
      </c>
      <c r="BB3142" s="5" t="s">
        <v>240</v>
      </c>
      <c r="BD3142" s="5" t="s">
        <v>240</v>
      </c>
      <c r="BF3142" s="5" t="s">
        <v>301</v>
      </c>
      <c r="BG3142" s="6" t="s">
        <v>299</v>
      </c>
      <c r="BH3142" s="5" t="s">
        <v>302</v>
      </c>
      <c r="BI3142" s="5" t="s">
        <v>303</v>
      </c>
      <c r="BJ3142" s="5" t="s">
        <v>240</v>
      </c>
      <c r="BK3142" s="8">
        <f>0</f>
        <v>0</v>
      </c>
      <c r="BL3142" s="7">
        <f>0</f>
        <v>0</v>
      </c>
      <c r="BM3142" s="5" t="s">
        <v>258</v>
      </c>
      <c r="BN3142" s="5" t="s">
        <v>259</v>
      </c>
      <c r="CB3142" s="5" t="s">
        <v>240</v>
      </c>
      <c r="CC3142" s="5" t="s">
        <v>240</v>
      </c>
      <c r="CG3142" s="5" t="s">
        <v>304</v>
      </c>
      <c r="CH3142" s="5" t="s">
        <v>305</v>
      </c>
      <c r="CI3142" s="5" t="s">
        <v>240</v>
      </c>
      <c r="CL3142" s="6" t="s">
        <v>261</v>
      </c>
      <c r="CM3142" s="5" t="s">
        <v>240</v>
      </c>
      <c r="CN3142" s="5" t="s">
        <v>263</v>
      </c>
      <c r="CO3142" s="5" t="s">
        <v>240</v>
      </c>
      <c r="CP3142" s="5" t="s">
        <v>240</v>
      </c>
      <c r="CQ3142" s="5">
        <v>0</v>
      </c>
      <c r="CR3142" s="5" t="s">
        <v>306</v>
      </c>
      <c r="CS3142" s="5" t="s">
        <v>307</v>
      </c>
      <c r="CT3142" s="5" t="s">
        <v>307</v>
      </c>
      <c r="CU3142" s="5" t="s">
        <v>260</v>
      </c>
      <c r="CX3142" s="7">
        <f>1</f>
        <v>1</v>
      </c>
      <c r="CY3142" s="7">
        <f>0</f>
        <v>0</v>
      </c>
      <c r="DA3142" s="7">
        <f>0</f>
        <v>0</v>
      </c>
      <c r="DC3142" s="5" t="s">
        <v>309</v>
      </c>
      <c r="DD3142" s="5" t="s">
        <v>240</v>
      </c>
      <c r="DF3142" s="5" t="s">
        <v>309</v>
      </c>
      <c r="DG3142" s="7">
        <f>532</f>
        <v>532</v>
      </c>
      <c r="DI3142" s="5" t="s">
        <v>240</v>
      </c>
      <c r="DJ3142" s="5" t="s">
        <v>240</v>
      </c>
      <c r="DK3142" s="5" t="s">
        <v>240</v>
      </c>
      <c r="DL3142" s="5" t="s">
        <v>240</v>
      </c>
      <c r="DP3142" s="5" t="s">
        <v>240</v>
      </c>
      <c r="DQ3142" s="5" t="s">
        <v>240</v>
      </c>
      <c r="DR3142" s="5" t="s">
        <v>240</v>
      </c>
      <c r="DS3142" s="5" t="s">
        <v>240</v>
      </c>
      <c r="DV3142" s="5" t="s">
        <v>310</v>
      </c>
      <c r="DW3142" s="5" t="s">
        <v>2636</v>
      </c>
      <c r="HO3142" s="5" t="s">
        <v>312</v>
      </c>
    </row>
    <row r="3143" spans="1:240" x14ac:dyDescent="0.4">
      <c r="A3143" s="5">
        <v>4847</v>
      </c>
      <c r="B3143" s="5">
        <v>1</v>
      </c>
      <c r="C3143" s="5">
        <v>1</v>
      </c>
      <c r="D3143" s="5" t="s">
        <v>810</v>
      </c>
      <c r="E3143" s="5" t="s">
        <v>245</v>
      </c>
      <c r="F3143" s="5" t="s">
        <v>254</v>
      </c>
      <c r="G3143" s="5" t="s">
        <v>240</v>
      </c>
      <c r="H3143" s="6" t="s">
        <v>2263</v>
      </c>
      <c r="I3143" s="5" t="s">
        <v>809</v>
      </c>
      <c r="J3143" s="8">
        <f>114</f>
        <v>114</v>
      </c>
      <c r="K3143" s="5" t="s">
        <v>308</v>
      </c>
      <c r="L3143" s="7">
        <f>1</f>
        <v>1</v>
      </c>
      <c r="M3143" s="7">
        <f>1</f>
        <v>1</v>
      </c>
      <c r="N3143" s="5" t="s">
        <v>242</v>
      </c>
      <c r="O3143" s="5">
        <v>1</v>
      </c>
      <c r="P3143" s="5" t="s">
        <v>294</v>
      </c>
      <c r="Q3143" s="5" t="s">
        <v>3678</v>
      </c>
      <c r="R3143" s="5" t="s">
        <v>240</v>
      </c>
      <c r="S3143" s="5" t="s">
        <v>240</v>
      </c>
      <c r="T3143" s="5" t="s">
        <v>243</v>
      </c>
      <c r="U3143" s="5" t="s">
        <v>244</v>
      </c>
      <c r="V3143" s="5" t="s">
        <v>240</v>
      </c>
      <c r="W3143" s="5" t="s">
        <v>240</v>
      </c>
      <c r="X3143" s="5" t="s">
        <v>240</v>
      </c>
      <c r="Y3143" s="5" t="s">
        <v>240</v>
      </c>
      <c r="Z3143" s="6" t="s">
        <v>298</v>
      </c>
      <c r="AA3143" s="6" t="s">
        <v>240</v>
      </c>
      <c r="AB3143" s="6" t="s">
        <v>240</v>
      </c>
      <c r="AC3143" s="5" t="s">
        <v>240</v>
      </c>
      <c r="AD3143" s="6" t="s">
        <v>240</v>
      </c>
      <c r="AE3143" s="6" t="s">
        <v>299</v>
      </c>
      <c r="AF3143" s="5" t="s">
        <v>248</v>
      </c>
      <c r="AG3143" s="5" t="s">
        <v>249</v>
      </c>
      <c r="AH3143" s="5" t="s">
        <v>240</v>
      </c>
      <c r="AI3143" s="5" t="s">
        <v>240</v>
      </c>
      <c r="AJ3143" s="5" t="s">
        <v>240</v>
      </c>
      <c r="AK3143" s="5" t="s">
        <v>240</v>
      </c>
      <c r="AL3143" s="5" t="s">
        <v>240</v>
      </c>
      <c r="AM3143" s="5" t="s">
        <v>240</v>
      </c>
      <c r="AN3143" s="5" t="s">
        <v>240</v>
      </c>
      <c r="AO3143" s="5" t="s">
        <v>240</v>
      </c>
      <c r="AP3143" s="6" t="s">
        <v>240</v>
      </c>
      <c r="AQ3143" s="6" t="s">
        <v>240</v>
      </c>
      <c r="AR3143" s="6" t="s">
        <v>240</v>
      </c>
      <c r="AS3143" s="6" t="s">
        <v>240</v>
      </c>
      <c r="AT3143" s="5" t="s">
        <v>240</v>
      </c>
      <c r="AU3143" s="5" t="s">
        <v>729</v>
      </c>
      <c r="AV3143" s="5" t="s">
        <v>729</v>
      </c>
      <c r="AW3143" s="5" t="s">
        <v>251</v>
      </c>
      <c r="AX3143" s="5" t="s">
        <v>252</v>
      </c>
      <c r="AY3143" s="5" t="s">
        <v>253</v>
      </c>
      <c r="AZ3143" s="5" t="s">
        <v>240</v>
      </c>
      <c r="BA3143" s="5" t="s">
        <v>255</v>
      </c>
      <c r="BB3143" s="5" t="s">
        <v>731</v>
      </c>
      <c r="BD3143" s="5" t="s">
        <v>240</v>
      </c>
      <c r="BF3143" s="5" t="s">
        <v>732</v>
      </c>
      <c r="BG3143" s="6" t="s">
        <v>733</v>
      </c>
      <c r="BH3143" s="5" t="s">
        <v>734</v>
      </c>
      <c r="BI3143" s="5" t="s">
        <v>734</v>
      </c>
      <c r="BJ3143" s="5" t="s">
        <v>240</v>
      </c>
      <c r="BK3143" s="7">
        <f>1</f>
        <v>1</v>
      </c>
      <c r="BL3143" s="7">
        <f>1</f>
        <v>1</v>
      </c>
      <c r="BM3143" s="5" t="s">
        <v>258</v>
      </c>
      <c r="BN3143" s="5" t="s">
        <v>259</v>
      </c>
      <c r="BO3143" s="5" t="s">
        <v>240</v>
      </c>
      <c r="BP3143" s="5" t="s">
        <v>240</v>
      </c>
      <c r="BQ3143" s="5" t="s">
        <v>240</v>
      </c>
      <c r="BR3143" s="5" t="s">
        <v>240</v>
      </c>
      <c r="BS3143" s="5" t="s">
        <v>240</v>
      </c>
      <c r="BT3143" s="5" t="s">
        <v>240</v>
      </c>
      <c r="BU3143" s="5" t="s">
        <v>240</v>
      </c>
      <c r="BV3143" s="5" t="s">
        <v>240</v>
      </c>
      <c r="BW3143" s="6" t="s">
        <v>240</v>
      </c>
      <c r="BX3143" s="5" t="s">
        <v>240</v>
      </c>
      <c r="BY3143" s="5" t="s">
        <v>240</v>
      </c>
      <c r="BZ3143" s="5" t="s">
        <v>240</v>
      </c>
      <c r="CA3143" s="5" t="s">
        <v>259</v>
      </c>
      <c r="CB3143" s="5" t="s">
        <v>240</v>
      </c>
      <c r="CC3143" s="5" t="s">
        <v>240</v>
      </c>
      <c r="CD3143" s="5" t="s">
        <v>240</v>
      </c>
      <c r="CE3143" s="5" t="s">
        <v>240</v>
      </c>
      <c r="CF3143" s="5" t="s">
        <v>240</v>
      </c>
      <c r="CG3143" s="5" t="s">
        <v>304</v>
      </c>
      <c r="CH3143" s="5" t="s">
        <v>305</v>
      </c>
      <c r="CI3143" s="5" t="s">
        <v>240</v>
      </c>
      <c r="CK3143" s="5" t="s">
        <v>3681</v>
      </c>
      <c r="CL3143" s="6" t="s">
        <v>261</v>
      </c>
      <c r="CM3143" s="5" t="s">
        <v>262</v>
      </c>
      <c r="CN3143" s="5" t="s">
        <v>263</v>
      </c>
      <c r="CO3143" s="5" t="s">
        <v>264</v>
      </c>
      <c r="CP3143" s="5" t="s">
        <v>240</v>
      </c>
      <c r="CQ3143" s="5">
        <v>0</v>
      </c>
      <c r="CR3143" s="5" t="s">
        <v>735</v>
      </c>
      <c r="CS3143" s="5" t="s">
        <v>307</v>
      </c>
      <c r="CT3143" s="5" t="s">
        <v>307</v>
      </c>
      <c r="CU3143" s="5" t="s">
        <v>260</v>
      </c>
      <c r="CV3143" s="5" t="s">
        <v>612</v>
      </c>
      <c r="CW3143" s="8">
        <f>1</f>
        <v>1</v>
      </c>
      <c r="CX3143" s="7">
        <f>1</f>
        <v>1</v>
      </c>
      <c r="CY3143" s="7">
        <f>0</f>
        <v>0</v>
      </c>
      <c r="DA3143" s="7">
        <f>1</f>
        <v>1</v>
      </c>
      <c r="DB3143" s="7" t="s">
        <v>240</v>
      </c>
      <c r="DC3143" s="5" t="s">
        <v>240</v>
      </c>
      <c r="DD3143" s="5" t="s">
        <v>240</v>
      </c>
      <c r="DE3143" s="5" t="s">
        <v>240</v>
      </c>
      <c r="DF3143" s="5" t="s">
        <v>240</v>
      </c>
      <c r="DG3143" s="7">
        <f>0</f>
        <v>0</v>
      </c>
      <c r="DI3143" s="5" t="s">
        <v>240</v>
      </c>
      <c r="DJ3143" s="5" t="s">
        <v>240</v>
      </c>
      <c r="DK3143" s="5" t="s">
        <v>240</v>
      </c>
      <c r="DL3143" s="5" t="s">
        <v>240</v>
      </c>
      <c r="DM3143" s="5" t="s">
        <v>240</v>
      </c>
      <c r="DN3143" s="5" t="s">
        <v>240</v>
      </c>
      <c r="DO3143" s="7" t="s">
        <v>240</v>
      </c>
      <c r="DP3143" s="5" t="s">
        <v>240</v>
      </c>
      <c r="DQ3143" s="5" t="s">
        <v>240</v>
      </c>
      <c r="DR3143" s="5" t="s">
        <v>731</v>
      </c>
      <c r="DS3143" s="5" t="s">
        <v>731</v>
      </c>
      <c r="DT3143" s="5" t="s">
        <v>240</v>
      </c>
      <c r="DU3143" s="5" t="s">
        <v>240</v>
      </c>
      <c r="DV3143" s="5" t="s">
        <v>3683</v>
      </c>
      <c r="DW3143" s="5" t="s">
        <v>1184</v>
      </c>
      <c r="DX3143" s="5" t="s">
        <v>240</v>
      </c>
      <c r="DY3143" s="5" t="s">
        <v>240</v>
      </c>
      <c r="DZ3143" s="5" t="s">
        <v>240</v>
      </c>
      <c r="EA3143" s="5" t="s">
        <v>240</v>
      </c>
      <c r="EB3143" s="5" t="s">
        <v>240</v>
      </c>
      <c r="EC3143" s="5" t="s">
        <v>240</v>
      </c>
      <c r="ED3143" s="5" t="s">
        <v>240</v>
      </c>
      <c r="EE3143" s="5" t="s">
        <v>240</v>
      </c>
      <c r="EF3143" s="5" t="s">
        <v>240</v>
      </c>
      <c r="EG3143" s="5" t="s">
        <v>240</v>
      </c>
      <c r="EH3143" s="5" t="s">
        <v>240</v>
      </c>
      <c r="EI3143" s="5" t="s">
        <v>240</v>
      </c>
      <c r="EJ3143" s="5" t="s">
        <v>240</v>
      </c>
      <c r="EK3143" s="5" t="s">
        <v>240</v>
      </c>
      <c r="EL3143" s="5" t="s">
        <v>240</v>
      </c>
      <c r="EM3143" s="5" t="s">
        <v>240</v>
      </c>
      <c r="EN3143" s="5" t="s">
        <v>240</v>
      </c>
      <c r="EO3143" s="5" t="s">
        <v>240</v>
      </c>
      <c r="EP3143" s="5" t="s">
        <v>240</v>
      </c>
      <c r="EQ3143" s="5" t="s">
        <v>240</v>
      </c>
      <c r="ER3143" s="5" t="s">
        <v>240</v>
      </c>
      <c r="ES3143" s="5" t="s">
        <v>240</v>
      </c>
      <c r="ET3143" s="5" t="s">
        <v>240</v>
      </c>
      <c r="EU3143" s="5" t="s">
        <v>240</v>
      </c>
      <c r="EV3143" s="5" t="s">
        <v>240</v>
      </c>
      <c r="EW3143" s="5" t="s">
        <v>240</v>
      </c>
      <c r="EX3143" s="5" t="s">
        <v>240</v>
      </c>
      <c r="EY3143" s="5" t="s">
        <v>240</v>
      </c>
      <c r="EZ3143" s="5" t="s">
        <v>240</v>
      </c>
      <c r="FA3143" s="5" t="s">
        <v>240</v>
      </c>
      <c r="FB3143" s="5" t="s">
        <v>240</v>
      </c>
      <c r="FC3143" s="5" t="s">
        <v>240</v>
      </c>
      <c r="FD3143" s="5" t="s">
        <v>240</v>
      </c>
      <c r="FE3143" s="5" t="s">
        <v>240</v>
      </c>
      <c r="FF3143" s="5" t="s">
        <v>240</v>
      </c>
      <c r="FG3143" s="5" t="s">
        <v>240</v>
      </c>
      <c r="FH3143" s="5" t="s">
        <v>240</v>
      </c>
      <c r="FI3143" s="5" t="s">
        <v>240</v>
      </c>
      <c r="FJ3143" s="5" t="s">
        <v>240</v>
      </c>
      <c r="FK3143" s="5" t="s">
        <v>240</v>
      </c>
      <c r="FL3143" s="5" t="s">
        <v>240</v>
      </c>
      <c r="FM3143" s="5" t="s">
        <v>240</v>
      </c>
      <c r="FN3143" s="5" t="s">
        <v>240</v>
      </c>
      <c r="FO3143" s="5" t="s">
        <v>240</v>
      </c>
      <c r="FP3143" s="5" t="s">
        <v>240</v>
      </c>
      <c r="FQ3143" s="5" t="s">
        <v>240</v>
      </c>
      <c r="FR3143" s="5" t="s">
        <v>240</v>
      </c>
      <c r="FS3143" s="5" t="s">
        <v>240</v>
      </c>
      <c r="FT3143" s="5" t="s">
        <v>240</v>
      </c>
      <c r="FU3143" s="5" t="s">
        <v>240</v>
      </c>
      <c r="FV3143" s="5" t="s">
        <v>240</v>
      </c>
      <c r="FW3143" s="5" t="s">
        <v>240</v>
      </c>
      <c r="FX3143" s="5" t="s">
        <v>240</v>
      </c>
      <c r="FY3143" s="5" t="s">
        <v>240</v>
      </c>
      <c r="FZ3143" s="5" t="s">
        <v>240</v>
      </c>
      <c r="GA3143" s="5" t="s">
        <v>240</v>
      </c>
      <c r="GB3143" s="5" t="s">
        <v>240</v>
      </c>
      <c r="GC3143" s="5" t="s">
        <v>240</v>
      </c>
      <c r="GD3143" s="5" t="s">
        <v>240</v>
      </c>
      <c r="GE3143" s="5" t="s">
        <v>240</v>
      </c>
      <c r="GF3143" s="5" t="s">
        <v>240</v>
      </c>
      <c r="GG3143" s="5" t="s">
        <v>240</v>
      </c>
      <c r="GH3143" s="5" t="s">
        <v>240</v>
      </c>
      <c r="GI3143" s="5" t="s">
        <v>240</v>
      </c>
      <c r="GJ3143" s="5" t="s">
        <v>240</v>
      </c>
      <c r="GK3143" s="5" t="s">
        <v>240</v>
      </c>
      <c r="GL3143" s="5" t="s">
        <v>240</v>
      </c>
      <c r="GM3143" s="5" t="s">
        <v>240</v>
      </c>
      <c r="GN3143" s="5" t="s">
        <v>240</v>
      </c>
      <c r="GO3143" s="5" t="s">
        <v>240</v>
      </c>
      <c r="GP3143" s="5" t="s">
        <v>240</v>
      </c>
      <c r="GQ3143" s="5" t="s">
        <v>240</v>
      </c>
      <c r="GR3143" s="5" t="s">
        <v>240</v>
      </c>
      <c r="GS3143" s="5" t="s">
        <v>240</v>
      </c>
      <c r="GT3143" s="5" t="s">
        <v>240</v>
      </c>
      <c r="GU3143" s="5" t="s">
        <v>240</v>
      </c>
      <c r="GV3143" s="5" t="s">
        <v>240</v>
      </c>
      <c r="GW3143" s="5" t="s">
        <v>240</v>
      </c>
      <c r="GX3143" s="5" t="s">
        <v>240</v>
      </c>
      <c r="GY3143" s="5" t="s">
        <v>240</v>
      </c>
      <c r="GZ3143" s="5" t="s">
        <v>240</v>
      </c>
      <c r="HA3143" s="5" t="s">
        <v>240</v>
      </c>
      <c r="HB3143" s="5" t="s">
        <v>240</v>
      </c>
      <c r="HC3143" s="5" t="s">
        <v>240</v>
      </c>
      <c r="HD3143" s="5" t="s">
        <v>240</v>
      </c>
      <c r="HE3143" s="5" t="s">
        <v>240</v>
      </c>
      <c r="HF3143" s="5" t="s">
        <v>240</v>
      </c>
      <c r="HG3143" s="5" t="s">
        <v>240</v>
      </c>
      <c r="HH3143" s="5" t="s">
        <v>240</v>
      </c>
      <c r="HI3143" s="5" t="s">
        <v>240</v>
      </c>
      <c r="HJ3143" s="5" t="s">
        <v>240</v>
      </c>
      <c r="HK3143" s="5" t="s">
        <v>240</v>
      </c>
      <c r="HL3143" s="5" t="s">
        <v>240</v>
      </c>
      <c r="HM3143" s="5" t="s">
        <v>240</v>
      </c>
      <c r="HN3143" s="5" t="s">
        <v>240</v>
      </c>
      <c r="HO3143" s="5" t="s">
        <v>312</v>
      </c>
      <c r="HP3143" s="5" t="s">
        <v>240</v>
      </c>
      <c r="HQ3143" s="5" t="s">
        <v>240</v>
      </c>
      <c r="HR3143" s="5" t="s">
        <v>240</v>
      </c>
      <c r="HS3143" s="5" t="s">
        <v>240</v>
      </c>
      <c r="HT3143" s="5" t="s">
        <v>240</v>
      </c>
      <c r="HU3143" s="5" t="s">
        <v>240</v>
      </c>
      <c r="HV3143" s="5" t="s">
        <v>240</v>
      </c>
      <c r="HW3143" s="5" t="s">
        <v>240</v>
      </c>
      <c r="HX3143" s="5" t="s">
        <v>240</v>
      </c>
      <c r="HY3143" s="5" t="s">
        <v>240</v>
      </c>
      <c r="HZ3143" s="5" t="s">
        <v>240</v>
      </c>
      <c r="IA3143" s="5" t="s">
        <v>240</v>
      </c>
      <c r="IB3143" s="5" t="s">
        <v>240</v>
      </c>
      <c r="IC3143" s="5" t="s">
        <v>240</v>
      </c>
      <c r="ID3143" s="5" t="s">
        <v>240</v>
      </c>
      <c r="IE3143" s="5" t="s">
        <v>240</v>
      </c>
      <c r="IF3143" s="5" t="s">
        <v>240</v>
      </c>
    </row>
    <row r="3144" spans="1:240" x14ac:dyDescent="0.4">
      <c r="A3144" s="5">
        <v>4848</v>
      </c>
      <c r="B3144" s="5">
        <v>1</v>
      </c>
      <c r="C3144" s="5">
        <v>1</v>
      </c>
      <c r="D3144" s="5" t="s">
        <v>810</v>
      </c>
      <c r="E3144" s="5" t="s">
        <v>245</v>
      </c>
      <c r="F3144" s="5" t="s">
        <v>254</v>
      </c>
      <c r="G3144" s="5" t="s">
        <v>240</v>
      </c>
      <c r="H3144" s="6" t="s">
        <v>2261</v>
      </c>
      <c r="I3144" s="5" t="s">
        <v>809</v>
      </c>
      <c r="J3144" s="8">
        <f>1228</f>
        <v>1228</v>
      </c>
      <c r="K3144" s="5" t="s">
        <v>308</v>
      </c>
      <c r="L3144" s="7">
        <f>1</f>
        <v>1</v>
      </c>
      <c r="M3144" s="7">
        <f>1</f>
        <v>1</v>
      </c>
      <c r="N3144" s="5" t="s">
        <v>242</v>
      </c>
      <c r="O3144" s="5">
        <v>1</v>
      </c>
      <c r="P3144" s="5" t="s">
        <v>294</v>
      </c>
      <c r="Q3144" s="5" t="s">
        <v>3678</v>
      </c>
      <c r="R3144" s="5" t="s">
        <v>240</v>
      </c>
      <c r="S3144" s="5" t="s">
        <v>240</v>
      </c>
      <c r="T3144" s="5" t="s">
        <v>243</v>
      </c>
      <c r="U3144" s="5" t="s">
        <v>244</v>
      </c>
      <c r="V3144" s="5" t="s">
        <v>240</v>
      </c>
      <c r="W3144" s="5" t="s">
        <v>240</v>
      </c>
      <c r="X3144" s="5" t="s">
        <v>240</v>
      </c>
      <c r="Y3144" s="5" t="s">
        <v>240</v>
      </c>
      <c r="Z3144" s="6" t="s">
        <v>298</v>
      </c>
      <c r="AA3144" s="6" t="s">
        <v>240</v>
      </c>
      <c r="AB3144" s="6" t="s">
        <v>240</v>
      </c>
      <c r="AC3144" s="5" t="s">
        <v>240</v>
      </c>
      <c r="AD3144" s="6" t="s">
        <v>240</v>
      </c>
      <c r="AE3144" s="6" t="s">
        <v>299</v>
      </c>
      <c r="AF3144" s="5" t="s">
        <v>248</v>
      </c>
      <c r="AG3144" s="5" t="s">
        <v>249</v>
      </c>
      <c r="AH3144" s="5" t="s">
        <v>240</v>
      </c>
      <c r="AI3144" s="5" t="s">
        <v>240</v>
      </c>
      <c r="AJ3144" s="5" t="s">
        <v>240</v>
      </c>
      <c r="AK3144" s="5" t="s">
        <v>240</v>
      </c>
      <c r="AL3144" s="5" t="s">
        <v>240</v>
      </c>
      <c r="AM3144" s="5" t="s">
        <v>240</v>
      </c>
      <c r="AN3144" s="5" t="s">
        <v>240</v>
      </c>
      <c r="AO3144" s="5" t="s">
        <v>240</v>
      </c>
      <c r="AP3144" s="6" t="s">
        <v>240</v>
      </c>
      <c r="AQ3144" s="6" t="s">
        <v>240</v>
      </c>
      <c r="AR3144" s="6" t="s">
        <v>240</v>
      </c>
      <c r="AS3144" s="6" t="s">
        <v>240</v>
      </c>
      <c r="AT3144" s="5" t="s">
        <v>240</v>
      </c>
      <c r="AU3144" s="5" t="s">
        <v>729</v>
      </c>
      <c r="AV3144" s="5" t="s">
        <v>729</v>
      </c>
      <c r="AW3144" s="5" t="s">
        <v>251</v>
      </c>
      <c r="AX3144" s="5" t="s">
        <v>252</v>
      </c>
      <c r="AY3144" s="5" t="s">
        <v>253</v>
      </c>
      <c r="AZ3144" s="5" t="s">
        <v>240</v>
      </c>
      <c r="BA3144" s="5" t="s">
        <v>255</v>
      </c>
      <c r="BB3144" s="5" t="s">
        <v>731</v>
      </c>
      <c r="BD3144" s="5" t="s">
        <v>240</v>
      </c>
      <c r="BF3144" s="5" t="s">
        <v>732</v>
      </c>
      <c r="BG3144" s="6" t="s">
        <v>733</v>
      </c>
      <c r="BH3144" s="5" t="s">
        <v>734</v>
      </c>
      <c r="BI3144" s="5" t="s">
        <v>734</v>
      </c>
      <c r="BJ3144" s="5" t="s">
        <v>240</v>
      </c>
      <c r="BK3144" s="7">
        <f>1</f>
        <v>1</v>
      </c>
      <c r="BL3144" s="7">
        <f>1</f>
        <v>1</v>
      </c>
      <c r="BM3144" s="5" t="s">
        <v>258</v>
      </c>
      <c r="BN3144" s="5" t="s">
        <v>259</v>
      </c>
      <c r="BO3144" s="5" t="s">
        <v>240</v>
      </c>
      <c r="BP3144" s="5" t="s">
        <v>240</v>
      </c>
      <c r="BQ3144" s="5" t="s">
        <v>240</v>
      </c>
      <c r="BR3144" s="5" t="s">
        <v>240</v>
      </c>
      <c r="BS3144" s="5" t="s">
        <v>240</v>
      </c>
      <c r="BT3144" s="5" t="s">
        <v>240</v>
      </c>
      <c r="BU3144" s="5" t="s">
        <v>240</v>
      </c>
      <c r="BV3144" s="5" t="s">
        <v>240</v>
      </c>
      <c r="BW3144" s="6" t="s">
        <v>240</v>
      </c>
      <c r="BX3144" s="5" t="s">
        <v>240</v>
      </c>
      <c r="BY3144" s="5" t="s">
        <v>240</v>
      </c>
      <c r="BZ3144" s="5" t="s">
        <v>240</v>
      </c>
      <c r="CA3144" s="5" t="s">
        <v>259</v>
      </c>
      <c r="CB3144" s="5" t="s">
        <v>240</v>
      </c>
      <c r="CC3144" s="5" t="s">
        <v>240</v>
      </c>
      <c r="CD3144" s="5" t="s">
        <v>240</v>
      </c>
      <c r="CE3144" s="5" t="s">
        <v>240</v>
      </c>
      <c r="CF3144" s="5" t="s">
        <v>240</v>
      </c>
      <c r="CG3144" s="5" t="s">
        <v>304</v>
      </c>
      <c r="CH3144" s="5" t="s">
        <v>305</v>
      </c>
      <c r="CI3144" s="5" t="s">
        <v>240</v>
      </c>
      <c r="CK3144" s="5" t="s">
        <v>3681</v>
      </c>
      <c r="CL3144" s="6" t="s">
        <v>261</v>
      </c>
      <c r="CM3144" s="5" t="s">
        <v>262</v>
      </c>
      <c r="CN3144" s="5" t="s">
        <v>263</v>
      </c>
      <c r="CO3144" s="5" t="s">
        <v>264</v>
      </c>
      <c r="CP3144" s="5" t="s">
        <v>240</v>
      </c>
      <c r="CQ3144" s="5">
        <v>0</v>
      </c>
      <c r="CR3144" s="5" t="s">
        <v>735</v>
      </c>
      <c r="CS3144" s="5" t="s">
        <v>307</v>
      </c>
      <c r="CT3144" s="5" t="s">
        <v>307</v>
      </c>
      <c r="CU3144" s="5" t="s">
        <v>260</v>
      </c>
      <c r="CV3144" s="5" t="s">
        <v>612</v>
      </c>
      <c r="CW3144" s="8">
        <f>1</f>
        <v>1</v>
      </c>
      <c r="CX3144" s="7">
        <f>1</f>
        <v>1</v>
      </c>
      <c r="CY3144" s="7">
        <f>0</f>
        <v>0</v>
      </c>
      <c r="DA3144" s="7">
        <f>1</f>
        <v>1</v>
      </c>
      <c r="DB3144" s="7" t="s">
        <v>240</v>
      </c>
      <c r="DC3144" s="5" t="s">
        <v>240</v>
      </c>
      <c r="DD3144" s="5" t="s">
        <v>240</v>
      </c>
      <c r="DE3144" s="5" t="s">
        <v>240</v>
      </c>
      <c r="DF3144" s="5" t="s">
        <v>240</v>
      </c>
      <c r="DG3144" s="7">
        <f>0</f>
        <v>0</v>
      </c>
      <c r="DI3144" s="5" t="s">
        <v>240</v>
      </c>
      <c r="DJ3144" s="5" t="s">
        <v>240</v>
      </c>
      <c r="DK3144" s="5" t="s">
        <v>240</v>
      </c>
      <c r="DL3144" s="5" t="s">
        <v>240</v>
      </c>
      <c r="DM3144" s="5" t="s">
        <v>240</v>
      </c>
      <c r="DN3144" s="5" t="s">
        <v>240</v>
      </c>
      <c r="DO3144" s="7" t="s">
        <v>240</v>
      </c>
      <c r="DP3144" s="5" t="s">
        <v>240</v>
      </c>
      <c r="DQ3144" s="5" t="s">
        <v>240</v>
      </c>
      <c r="DR3144" s="5" t="s">
        <v>731</v>
      </c>
      <c r="DS3144" s="5" t="s">
        <v>731</v>
      </c>
      <c r="DT3144" s="5" t="s">
        <v>240</v>
      </c>
      <c r="DU3144" s="5" t="s">
        <v>240</v>
      </c>
      <c r="DV3144" s="5" t="s">
        <v>3683</v>
      </c>
      <c r="DW3144" s="5" t="s">
        <v>370</v>
      </c>
      <c r="DX3144" s="5" t="s">
        <v>240</v>
      </c>
      <c r="DY3144" s="5" t="s">
        <v>240</v>
      </c>
      <c r="DZ3144" s="5" t="s">
        <v>240</v>
      </c>
      <c r="EA3144" s="5" t="s">
        <v>240</v>
      </c>
      <c r="EB3144" s="5" t="s">
        <v>240</v>
      </c>
      <c r="EC3144" s="5" t="s">
        <v>240</v>
      </c>
      <c r="ED3144" s="5" t="s">
        <v>240</v>
      </c>
      <c r="EE3144" s="5" t="s">
        <v>240</v>
      </c>
      <c r="EF3144" s="5" t="s">
        <v>240</v>
      </c>
      <c r="EG3144" s="5" t="s">
        <v>240</v>
      </c>
      <c r="EH3144" s="5" t="s">
        <v>240</v>
      </c>
      <c r="EI3144" s="5" t="s">
        <v>240</v>
      </c>
      <c r="EJ3144" s="5" t="s">
        <v>240</v>
      </c>
      <c r="EK3144" s="5" t="s">
        <v>240</v>
      </c>
      <c r="EL3144" s="5" t="s">
        <v>240</v>
      </c>
      <c r="EM3144" s="5" t="s">
        <v>240</v>
      </c>
      <c r="EN3144" s="5" t="s">
        <v>240</v>
      </c>
      <c r="EO3144" s="5" t="s">
        <v>240</v>
      </c>
      <c r="EP3144" s="5" t="s">
        <v>240</v>
      </c>
      <c r="EQ3144" s="5" t="s">
        <v>240</v>
      </c>
      <c r="ER3144" s="5" t="s">
        <v>240</v>
      </c>
      <c r="ES3144" s="5" t="s">
        <v>240</v>
      </c>
      <c r="ET3144" s="5" t="s">
        <v>240</v>
      </c>
      <c r="EU3144" s="5" t="s">
        <v>240</v>
      </c>
      <c r="EV3144" s="5" t="s">
        <v>240</v>
      </c>
      <c r="EW3144" s="5" t="s">
        <v>240</v>
      </c>
      <c r="EX3144" s="5" t="s">
        <v>240</v>
      </c>
      <c r="EY3144" s="5" t="s">
        <v>240</v>
      </c>
      <c r="EZ3144" s="5" t="s">
        <v>240</v>
      </c>
      <c r="FA3144" s="5" t="s">
        <v>240</v>
      </c>
      <c r="FB3144" s="5" t="s">
        <v>240</v>
      </c>
      <c r="FC3144" s="5" t="s">
        <v>240</v>
      </c>
      <c r="FD3144" s="5" t="s">
        <v>240</v>
      </c>
      <c r="FE3144" s="5" t="s">
        <v>240</v>
      </c>
      <c r="FF3144" s="5" t="s">
        <v>240</v>
      </c>
      <c r="FG3144" s="5" t="s">
        <v>240</v>
      </c>
      <c r="FH3144" s="5" t="s">
        <v>240</v>
      </c>
      <c r="FI3144" s="5" t="s">
        <v>240</v>
      </c>
      <c r="FJ3144" s="5" t="s">
        <v>240</v>
      </c>
      <c r="FK3144" s="5" t="s">
        <v>240</v>
      </c>
      <c r="FL3144" s="5" t="s">
        <v>240</v>
      </c>
      <c r="FM3144" s="5" t="s">
        <v>240</v>
      </c>
      <c r="FN3144" s="5" t="s">
        <v>240</v>
      </c>
      <c r="FO3144" s="5" t="s">
        <v>240</v>
      </c>
      <c r="FP3144" s="5" t="s">
        <v>240</v>
      </c>
      <c r="FQ3144" s="5" t="s">
        <v>240</v>
      </c>
      <c r="FR3144" s="5" t="s">
        <v>240</v>
      </c>
      <c r="FS3144" s="5" t="s">
        <v>240</v>
      </c>
      <c r="FT3144" s="5" t="s">
        <v>240</v>
      </c>
      <c r="FU3144" s="5" t="s">
        <v>240</v>
      </c>
      <c r="FV3144" s="5" t="s">
        <v>240</v>
      </c>
      <c r="FW3144" s="5" t="s">
        <v>240</v>
      </c>
      <c r="FX3144" s="5" t="s">
        <v>240</v>
      </c>
      <c r="FY3144" s="5" t="s">
        <v>240</v>
      </c>
      <c r="FZ3144" s="5" t="s">
        <v>240</v>
      </c>
      <c r="GA3144" s="5" t="s">
        <v>240</v>
      </c>
      <c r="GB3144" s="5" t="s">
        <v>240</v>
      </c>
      <c r="GC3144" s="5" t="s">
        <v>240</v>
      </c>
      <c r="GD3144" s="5" t="s">
        <v>240</v>
      </c>
      <c r="GE3144" s="5" t="s">
        <v>240</v>
      </c>
      <c r="GF3144" s="5" t="s">
        <v>240</v>
      </c>
      <c r="GG3144" s="5" t="s">
        <v>240</v>
      </c>
      <c r="GH3144" s="5" t="s">
        <v>240</v>
      </c>
      <c r="GI3144" s="5" t="s">
        <v>240</v>
      </c>
      <c r="GJ3144" s="5" t="s">
        <v>240</v>
      </c>
      <c r="GK3144" s="5" t="s">
        <v>240</v>
      </c>
      <c r="GL3144" s="5" t="s">
        <v>240</v>
      </c>
      <c r="GM3144" s="5" t="s">
        <v>240</v>
      </c>
      <c r="GN3144" s="5" t="s">
        <v>240</v>
      </c>
      <c r="GO3144" s="5" t="s">
        <v>240</v>
      </c>
      <c r="GP3144" s="5" t="s">
        <v>240</v>
      </c>
      <c r="GQ3144" s="5" t="s">
        <v>240</v>
      </c>
      <c r="GR3144" s="5" t="s">
        <v>240</v>
      </c>
      <c r="GS3144" s="5" t="s">
        <v>240</v>
      </c>
      <c r="GT3144" s="5" t="s">
        <v>240</v>
      </c>
      <c r="GU3144" s="5" t="s">
        <v>240</v>
      </c>
      <c r="GV3144" s="5" t="s">
        <v>240</v>
      </c>
      <c r="GW3144" s="5" t="s">
        <v>240</v>
      </c>
      <c r="GX3144" s="5" t="s">
        <v>240</v>
      </c>
      <c r="GY3144" s="5" t="s">
        <v>240</v>
      </c>
      <c r="GZ3144" s="5" t="s">
        <v>240</v>
      </c>
      <c r="HA3144" s="5" t="s">
        <v>240</v>
      </c>
      <c r="HB3144" s="5" t="s">
        <v>240</v>
      </c>
      <c r="HC3144" s="5" t="s">
        <v>240</v>
      </c>
      <c r="HD3144" s="5" t="s">
        <v>240</v>
      </c>
      <c r="HE3144" s="5" t="s">
        <v>240</v>
      </c>
      <c r="HF3144" s="5" t="s">
        <v>240</v>
      </c>
      <c r="HG3144" s="5" t="s">
        <v>240</v>
      </c>
      <c r="HH3144" s="5" t="s">
        <v>240</v>
      </c>
      <c r="HI3144" s="5" t="s">
        <v>240</v>
      </c>
      <c r="HJ3144" s="5" t="s">
        <v>240</v>
      </c>
      <c r="HK3144" s="5" t="s">
        <v>240</v>
      </c>
      <c r="HL3144" s="5" t="s">
        <v>240</v>
      </c>
      <c r="HM3144" s="5" t="s">
        <v>240</v>
      </c>
      <c r="HN3144" s="5" t="s">
        <v>240</v>
      </c>
      <c r="HO3144" s="5" t="s">
        <v>312</v>
      </c>
      <c r="HP3144" s="5" t="s">
        <v>240</v>
      </c>
      <c r="HQ3144" s="5" t="s">
        <v>240</v>
      </c>
      <c r="HR3144" s="5" t="s">
        <v>240</v>
      </c>
      <c r="HS3144" s="5" t="s">
        <v>240</v>
      </c>
      <c r="HT3144" s="5" t="s">
        <v>240</v>
      </c>
      <c r="HU3144" s="5" t="s">
        <v>240</v>
      </c>
      <c r="HV3144" s="5" t="s">
        <v>240</v>
      </c>
      <c r="HW3144" s="5" t="s">
        <v>240</v>
      </c>
      <c r="HX3144" s="5" t="s">
        <v>240</v>
      </c>
      <c r="HY3144" s="5" t="s">
        <v>240</v>
      </c>
      <c r="HZ3144" s="5" t="s">
        <v>240</v>
      </c>
      <c r="IA3144" s="5" t="s">
        <v>240</v>
      </c>
      <c r="IB3144" s="5" t="s">
        <v>240</v>
      </c>
      <c r="IC3144" s="5" t="s">
        <v>240</v>
      </c>
      <c r="ID3144" s="5" t="s">
        <v>240</v>
      </c>
      <c r="IE3144" s="5" t="s">
        <v>240</v>
      </c>
      <c r="IF3144" s="5" t="s">
        <v>240</v>
      </c>
    </row>
    <row r="3145" spans="1:240" x14ac:dyDescent="0.4">
      <c r="A3145" s="5">
        <v>4849</v>
      </c>
      <c r="B3145" s="5">
        <v>1</v>
      </c>
      <c r="C3145" s="5">
        <v>1</v>
      </c>
      <c r="D3145" s="5" t="s">
        <v>810</v>
      </c>
      <c r="E3145" s="5" t="s">
        <v>245</v>
      </c>
      <c r="F3145" s="5" t="s">
        <v>254</v>
      </c>
      <c r="G3145" s="5" t="s">
        <v>240</v>
      </c>
      <c r="H3145" s="6" t="s">
        <v>2259</v>
      </c>
      <c r="I3145" s="5" t="s">
        <v>809</v>
      </c>
      <c r="J3145" s="8">
        <f>473</f>
        <v>473</v>
      </c>
      <c r="K3145" s="5" t="s">
        <v>308</v>
      </c>
      <c r="L3145" s="7">
        <f>1</f>
        <v>1</v>
      </c>
      <c r="M3145" s="7">
        <f>1</f>
        <v>1</v>
      </c>
      <c r="N3145" s="5" t="s">
        <v>242</v>
      </c>
      <c r="O3145" s="5">
        <v>1</v>
      </c>
      <c r="P3145" s="5" t="s">
        <v>294</v>
      </c>
      <c r="Q3145" s="5" t="s">
        <v>3678</v>
      </c>
      <c r="R3145" s="5" t="s">
        <v>240</v>
      </c>
      <c r="S3145" s="5" t="s">
        <v>240</v>
      </c>
      <c r="T3145" s="5" t="s">
        <v>243</v>
      </c>
      <c r="U3145" s="5" t="s">
        <v>244</v>
      </c>
      <c r="V3145" s="5" t="s">
        <v>240</v>
      </c>
      <c r="W3145" s="5" t="s">
        <v>240</v>
      </c>
      <c r="X3145" s="5" t="s">
        <v>240</v>
      </c>
      <c r="Y3145" s="5" t="s">
        <v>240</v>
      </c>
      <c r="Z3145" s="6" t="s">
        <v>298</v>
      </c>
      <c r="AA3145" s="6" t="s">
        <v>240</v>
      </c>
      <c r="AB3145" s="6" t="s">
        <v>240</v>
      </c>
      <c r="AC3145" s="5" t="s">
        <v>240</v>
      </c>
      <c r="AD3145" s="6" t="s">
        <v>240</v>
      </c>
      <c r="AE3145" s="6" t="s">
        <v>299</v>
      </c>
      <c r="AF3145" s="5" t="s">
        <v>248</v>
      </c>
      <c r="AG3145" s="5" t="s">
        <v>249</v>
      </c>
      <c r="AH3145" s="5" t="s">
        <v>240</v>
      </c>
      <c r="AI3145" s="5" t="s">
        <v>240</v>
      </c>
      <c r="AJ3145" s="5" t="s">
        <v>240</v>
      </c>
      <c r="AK3145" s="5" t="s">
        <v>240</v>
      </c>
      <c r="AL3145" s="5" t="s">
        <v>240</v>
      </c>
      <c r="AM3145" s="5" t="s">
        <v>240</v>
      </c>
      <c r="AN3145" s="5" t="s">
        <v>240</v>
      </c>
      <c r="AO3145" s="5" t="s">
        <v>240</v>
      </c>
      <c r="AP3145" s="6" t="s">
        <v>240</v>
      </c>
      <c r="AQ3145" s="6" t="s">
        <v>240</v>
      </c>
      <c r="AR3145" s="6" t="s">
        <v>240</v>
      </c>
      <c r="AS3145" s="6" t="s">
        <v>240</v>
      </c>
      <c r="AT3145" s="5" t="s">
        <v>240</v>
      </c>
      <c r="AU3145" s="5" t="s">
        <v>729</v>
      </c>
      <c r="AV3145" s="5" t="s">
        <v>729</v>
      </c>
      <c r="AW3145" s="5" t="s">
        <v>251</v>
      </c>
      <c r="AX3145" s="5" t="s">
        <v>252</v>
      </c>
      <c r="AY3145" s="5" t="s">
        <v>253</v>
      </c>
      <c r="AZ3145" s="5" t="s">
        <v>240</v>
      </c>
      <c r="BA3145" s="5" t="s">
        <v>255</v>
      </c>
      <c r="BB3145" s="5" t="s">
        <v>731</v>
      </c>
      <c r="BD3145" s="5" t="s">
        <v>240</v>
      </c>
      <c r="BF3145" s="5" t="s">
        <v>732</v>
      </c>
      <c r="BG3145" s="6" t="s">
        <v>733</v>
      </c>
      <c r="BH3145" s="5" t="s">
        <v>734</v>
      </c>
      <c r="BI3145" s="5" t="s">
        <v>734</v>
      </c>
      <c r="BJ3145" s="5" t="s">
        <v>240</v>
      </c>
      <c r="BK3145" s="7">
        <f>1</f>
        <v>1</v>
      </c>
      <c r="BL3145" s="7">
        <f>1</f>
        <v>1</v>
      </c>
      <c r="BM3145" s="5" t="s">
        <v>258</v>
      </c>
      <c r="BN3145" s="5" t="s">
        <v>259</v>
      </c>
      <c r="BO3145" s="5" t="s">
        <v>240</v>
      </c>
      <c r="BP3145" s="5" t="s">
        <v>240</v>
      </c>
      <c r="BQ3145" s="5" t="s">
        <v>240</v>
      </c>
      <c r="BR3145" s="5" t="s">
        <v>240</v>
      </c>
      <c r="BS3145" s="5" t="s">
        <v>240</v>
      </c>
      <c r="BT3145" s="5" t="s">
        <v>240</v>
      </c>
      <c r="BU3145" s="5" t="s">
        <v>240</v>
      </c>
      <c r="BV3145" s="5" t="s">
        <v>240</v>
      </c>
      <c r="BW3145" s="6" t="s">
        <v>240</v>
      </c>
      <c r="BX3145" s="5" t="s">
        <v>240</v>
      </c>
      <c r="BY3145" s="5" t="s">
        <v>240</v>
      </c>
      <c r="BZ3145" s="5" t="s">
        <v>240</v>
      </c>
      <c r="CA3145" s="5" t="s">
        <v>259</v>
      </c>
      <c r="CB3145" s="5" t="s">
        <v>240</v>
      </c>
      <c r="CC3145" s="5" t="s">
        <v>240</v>
      </c>
      <c r="CD3145" s="5" t="s">
        <v>240</v>
      </c>
      <c r="CE3145" s="5" t="s">
        <v>240</v>
      </c>
      <c r="CF3145" s="5" t="s">
        <v>240</v>
      </c>
      <c r="CG3145" s="5" t="s">
        <v>304</v>
      </c>
      <c r="CH3145" s="5" t="s">
        <v>305</v>
      </c>
      <c r="CI3145" s="5" t="s">
        <v>240</v>
      </c>
      <c r="CK3145" s="5" t="s">
        <v>3681</v>
      </c>
      <c r="CL3145" s="6" t="s">
        <v>261</v>
      </c>
      <c r="CM3145" s="5" t="s">
        <v>262</v>
      </c>
      <c r="CN3145" s="5" t="s">
        <v>263</v>
      </c>
      <c r="CO3145" s="5" t="s">
        <v>264</v>
      </c>
      <c r="CP3145" s="5" t="s">
        <v>240</v>
      </c>
      <c r="CQ3145" s="5">
        <v>0</v>
      </c>
      <c r="CR3145" s="5" t="s">
        <v>735</v>
      </c>
      <c r="CS3145" s="5" t="s">
        <v>307</v>
      </c>
      <c r="CT3145" s="5" t="s">
        <v>307</v>
      </c>
      <c r="CU3145" s="5" t="s">
        <v>260</v>
      </c>
      <c r="CV3145" s="5" t="s">
        <v>612</v>
      </c>
      <c r="CW3145" s="8">
        <f>1</f>
        <v>1</v>
      </c>
      <c r="CX3145" s="7">
        <f>1</f>
        <v>1</v>
      </c>
      <c r="CY3145" s="7">
        <f>0</f>
        <v>0</v>
      </c>
      <c r="DA3145" s="7">
        <f>1</f>
        <v>1</v>
      </c>
      <c r="DB3145" s="7" t="s">
        <v>240</v>
      </c>
      <c r="DC3145" s="5" t="s">
        <v>240</v>
      </c>
      <c r="DD3145" s="5" t="s">
        <v>240</v>
      </c>
      <c r="DE3145" s="5" t="s">
        <v>240</v>
      </c>
      <c r="DF3145" s="5" t="s">
        <v>240</v>
      </c>
      <c r="DG3145" s="7">
        <f>0</f>
        <v>0</v>
      </c>
      <c r="DI3145" s="5" t="s">
        <v>240</v>
      </c>
      <c r="DJ3145" s="5" t="s">
        <v>240</v>
      </c>
      <c r="DK3145" s="5" t="s">
        <v>240</v>
      </c>
      <c r="DL3145" s="5" t="s">
        <v>240</v>
      </c>
      <c r="DM3145" s="5" t="s">
        <v>240</v>
      </c>
      <c r="DN3145" s="5" t="s">
        <v>240</v>
      </c>
      <c r="DO3145" s="7" t="s">
        <v>240</v>
      </c>
      <c r="DP3145" s="5" t="s">
        <v>240</v>
      </c>
      <c r="DQ3145" s="5" t="s">
        <v>240</v>
      </c>
      <c r="DR3145" s="5" t="s">
        <v>731</v>
      </c>
      <c r="DS3145" s="5" t="s">
        <v>731</v>
      </c>
      <c r="DT3145" s="5" t="s">
        <v>240</v>
      </c>
      <c r="DU3145" s="5" t="s">
        <v>240</v>
      </c>
      <c r="DV3145" s="5" t="s">
        <v>3683</v>
      </c>
      <c r="DW3145" s="5" t="s">
        <v>362</v>
      </c>
      <c r="DX3145" s="5" t="s">
        <v>240</v>
      </c>
      <c r="DY3145" s="5" t="s">
        <v>240</v>
      </c>
      <c r="DZ3145" s="5" t="s">
        <v>240</v>
      </c>
      <c r="EA3145" s="5" t="s">
        <v>240</v>
      </c>
      <c r="EB3145" s="5" t="s">
        <v>240</v>
      </c>
      <c r="EC3145" s="5" t="s">
        <v>240</v>
      </c>
      <c r="ED3145" s="5" t="s">
        <v>240</v>
      </c>
      <c r="EE3145" s="5" t="s">
        <v>240</v>
      </c>
      <c r="EF3145" s="5" t="s">
        <v>240</v>
      </c>
      <c r="EG3145" s="5" t="s">
        <v>240</v>
      </c>
      <c r="EH3145" s="5" t="s">
        <v>240</v>
      </c>
      <c r="EI3145" s="5" t="s">
        <v>240</v>
      </c>
      <c r="EJ3145" s="5" t="s">
        <v>240</v>
      </c>
      <c r="EK3145" s="5" t="s">
        <v>240</v>
      </c>
      <c r="EL3145" s="5" t="s">
        <v>240</v>
      </c>
      <c r="EM3145" s="5" t="s">
        <v>240</v>
      </c>
      <c r="EN3145" s="5" t="s">
        <v>240</v>
      </c>
      <c r="EO3145" s="5" t="s">
        <v>240</v>
      </c>
      <c r="EP3145" s="5" t="s">
        <v>240</v>
      </c>
      <c r="EQ3145" s="5" t="s">
        <v>240</v>
      </c>
      <c r="ER3145" s="5" t="s">
        <v>240</v>
      </c>
      <c r="ES3145" s="5" t="s">
        <v>240</v>
      </c>
      <c r="ET3145" s="5" t="s">
        <v>240</v>
      </c>
      <c r="EU3145" s="5" t="s">
        <v>240</v>
      </c>
      <c r="EV3145" s="5" t="s">
        <v>240</v>
      </c>
      <c r="EW3145" s="5" t="s">
        <v>240</v>
      </c>
      <c r="EX3145" s="5" t="s">
        <v>240</v>
      </c>
      <c r="EY3145" s="5" t="s">
        <v>240</v>
      </c>
      <c r="EZ3145" s="5" t="s">
        <v>240</v>
      </c>
      <c r="FA3145" s="5" t="s">
        <v>240</v>
      </c>
      <c r="FB3145" s="5" t="s">
        <v>240</v>
      </c>
      <c r="FC3145" s="5" t="s">
        <v>240</v>
      </c>
      <c r="FD3145" s="5" t="s">
        <v>240</v>
      </c>
      <c r="FE3145" s="5" t="s">
        <v>240</v>
      </c>
      <c r="FF3145" s="5" t="s">
        <v>240</v>
      </c>
      <c r="FG3145" s="5" t="s">
        <v>240</v>
      </c>
      <c r="FH3145" s="5" t="s">
        <v>240</v>
      </c>
      <c r="FI3145" s="5" t="s">
        <v>240</v>
      </c>
      <c r="FJ3145" s="5" t="s">
        <v>240</v>
      </c>
      <c r="FK3145" s="5" t="s">
        <v>240</v>
      </c>
      <c r="FL3145" s="5" t="s">
        <v>240</v>
      </c>
      <c r="FM3145" s="5" t="s">
        <v>240</v>
      </c>
      <c r="FN3145" s="5" t="s">
        <v>240</v>
      </c>
      <c r="FO3145" s="5" t="s">
        <v>240</v>
      </c>
      <c r="FP3145" s="5" t="s">
        <v>240</v>
      </c>
      <c r="FQ3145" s="5" t="s">
        <v>240</v>
      </c>
      <c r="FR3145" s="5" t="s">
        <v>240</v>
      </c>
      <c r="FS3145" s="5" t="s">
        <v>240</v>
      </c>
      <c r="FT3145" s="5" t="s">
        <v>240</v>
      </c>
      <c r="FU3145" s="5" t="s">
        <v>240</v>
      </c>
      <c r="FV3145" s="5" t="s">
        <v>240</v>
      </c>
      <c r="FW3145" s="5" t="s">
        <v>240</v>
      </c>
      <c r="FX3145" s="5" t="s">
        <v>240</v>
      </c>
      <c r="FY3145" s="5" t="s">
        <v>240</v>
      </c>
      <c r="FZ3145" s="5" t="s">
        <v>240</v>
      </c>
      <c r="GA3145" s="5" t="s">
        <v>240</v>
      </c>
      <c r="GB3145" s="5" t="s">
        <v>240</v>
      </c>
      <c r="GC3145" s="5" t="s">
        <v>240</v>
      </c>
      <c r="GD3145" s="5" t="s">
        <v>240</v>
      </c>
      <c r="GE3145" s="5" t="s">
        <v>240</v>
      </c>
      <c r="GF3145" s="5" t="s">
        <v>240</v>
      </c>
      <c r="GG3145" s="5" t="s">
        <v>240</v>
      </c>
      <c r="GH3145" s="5" t="s">
        <v>240</v>
      </c>
      <c r="GI3145" s="5" t="s">
        <v>240</v>
      </c>
      <c r="GJ3145" s="5" t="s">
        <v>240</v>
      </c>
      <c r="GK3145" s="5" t="s">
        <v>240</v>
      </c>
      <c r="GL3145" s="5" t="s">
        <v>240</v>
      </c>
      <c r="GM3145" s="5" t="s">
        <v>240</v>
      </c>
      <c r="GN3145" s="5" t="s">
        <v>240</v>
      </c>
      <c r="GO3145" s="5" t="s">
        <v>240</v>
      </c>
      <c r="GP3145" s="5" t="s">
        <v>240</v>
      </c>
      <c r="GQ3145" s="5" t="s">
        <v>240</v>
      </c>
      <c r="GR3145" s="5" t="s">
        <v>240</v>
      </c>
      <c r="GS3145" s="5" t="s">
        <v>240</v>
      </c>
      <c r="GT3145" s="5" t="s">
        <v>240</v>
      </c>
      <c r="GU3145" s="5" t="s">
        <v>240</v>
      </c>
      <c r="GV3145" s="5" t="s">
        <v>240</v>
      </c>
      <c r="GW3145" s="5" t="s">
        <v>240</v>
      </c>
      <c r="GX3145" s="5" t="s">
        <v>240</v>
      </c>
      <c r="GY3145" s="5" t="s">
        <v>240</v>
      </c>
      <c r="GZ3145" s="5" t="s">
        <v>240</v>
      </c>
      <c r="HA3145" s="5" t="s">
        <v>240</v>
      </c>
      <c r="HB3145" s="5" t="s">
        <v>240</v>
      </c>
      <c r="HC3145" s="5" t="s">
        <v>240</v>
      </c>
      <c r="HD3145" s="5" t="s">
        <v>240</v>
      </c>
      <c r="HE3145" s="5" t="s">
        <v>240</v>
      </c>
      <c r="HF3145" s="5" t="s">
        <v>240</v>
      </c>
      <c r="HG3145" s="5" t="s">
        <v>240</v>
      </c>
      <c r="HH3145" s="5" t="s">
        <v>240</v>
      </c>
      <c r="HI3145" s="5" t="s">
        <v>240</v>
      </c>
      <c r="HJ3145" s="5" t="s">
        <v>240</v>
      </c>
      <c r="HK3145" s="5" t="s">
        <v>240</v>
      </c>
      <c r="HL3145" s="5" t="s">
        <v>240</v>
      </c>
      <c r="HM3145" s="5" t="s">
        <v>240</v>
      </c>
      <c r="HN3145" s="5" t="s">
        <v>240</v>
      </c>
      <c r="HO3145" s="5" t="s">
        <v>312</v>
      </c>
      <c r="HP3145" s="5" t="s">
        <v>240</v>
      </c>
      <c r="HQ3145" s="5" t="s">
        <v>240</v>
      </c>
      <c r="HR3145" s="5" t="s">
        <v>240</v>
      </c>
      <c r="HS3145" s="5" t="s">
        <v>240</v>
      </c>
      <c r="HT3145" s="5" t="s">
        <v>240</v>
      </c>
      <c r="HU3145" s="5" t="s">
        <v>240</v>
      </c>
      <c r="HV3145" s="5" t="s">
        <v>240</v>
      </c>
      <c r="HW3145" s="5" t="s">
        <v>240</v>
      </c>
      <c r="HX3145" s="5" t="s">
        <v>240</v>
      </c>
      <c r="HY3145" s="5" t="s">
        <v>240</v>
      </c>
      <c r="HZ3145" s="5" t="s">
        <v>240</v>
      </c>
      <c r="IA3145" s="5" t="s">
        <v>240</v>
      </c>
      <c r="IB3145" s="5" t="s">
        <v>240</v>
      </c>
      <c r="IC3145" s="5" t="s">
        <v>240</v>
      </c>
      <c r="ID3145" s="5" t="s">
        <v>240</v>
      </c>
      <c r="IE3145" s="5" t="s">
        <v>240</v>
      </c>
      <c r="IF3145" s="5" t="s">
        <v>240</v>
      </c>
    </row>
    <row r="3146" spans="1:240" x14ac:dyDescent="0.4">
      <c r="A3146" s="5">
        <v>4850</v>
      </c>
      <c r="B3146" s="5">
        <v>1</v>
      </c>
      <c r="C3146" s="5">
        <v>1</v>
      </c>
      <c r="D3146" s="5" t="s">
        <v>810</v>
      </c>
      <c r="E3146" s="5" t="s">
        <v>245</v>
      </c>
      <c r="F3146" s="5" t="s">
        <v>254</v>
      </c>
      <c r="G3146" s="5" t="s">
        <v>240</v>
      </c>
      <c r="H3146" s="6" t="s">
        <v>2257</v>
      </c>
      <c r="I3146" s="5" t="s">
        <v>809</v>
      </c>
      <c r="J3146" s="8">
        <f>35</f>
        <v>35</v>
      </c>
      <c r="K3146" s="5" t="s">
        <v>308</v>
      </c>
      <c r="L3146" s="7">
        <f>1</f>
        <v>1</v>
      </c>
      <c r="M3146" s="7">
        <f>1</f>
        <v>1</v>
      </c>
      <c r="N3146" s="5" t="s">
        <v>242</v>
      </c>
      <c r="O3146" s="5">
        <v>1</v>
      </c>
      <c r="P3146" s="5" t="s">
        <v>294</v>
      </c>
      <c r="Q3146" s="5" t="s">
        <v>3678</v>
      </c>
      <c r="R3146" s="5" t="s">
        <v>240</v>
      </c>
      <c r="S3146" s="5" t="s">
        <v>240</v>
      </c>
      <c r="T3146" s="5" t="s">
        <v>243</v>
      </c>
      <c r="U3146" s="5" t="s">
        <v>244</v>
      </c>
      <c r="V3146" s="5" t="s">
        <v>240</v>
      </c>
      <c r="W3146" s="5" t="s">
        <v>240</v>
      </c>
      <c r="X3146" s="5" t="s">
        <v>240</v>
      </c>
      <c r="Y3146" s="5" t="s">
        <v>240</v>
      </c>
      <c r="Z3146" s="6" t="s">
        <v>298</v>
      </c>
      <c r="AA3146" s="6" t="s">
        <v>240</v>
      </c>
      <c r="AB3146" s="6" t="s">
        <v>240</v>
      </c>
      <c r="AC3146" s="5" t="s">
        <v>240</v>
      </c>
      <c r="AD3146" s="6" t="s">
        <v>240</v>
      </c>
      <c r="AE3146" s="6" t="s">
        <v>299</v>
      </c>
      <c r="AF3146" s="5" t="s">
        <v>248</v>
      </c>
      <c r="AG3146" s="5" t="s">
        <v>249</v>
      </c>
      <c r="AH3146" s="5" t="s">
        <v>240</v>
      </c>
      <c r="AI3146" s="5" t="s">
        <v>240</v>
      </c>
      <c r="AJ3146" s="5" t="s">
        <v>240</v>
      </c>
      <c r="AK3146" s="5" t="s">
        <v>240</v>
      </c>
      <c r="AL3146" s="5" t="s">
        <v>240</v>
      </c>
      <c r="AM3146" s="5" t="s">
        <v>240</v>
      </c>
      <c r="AN3146" s="5" t="s">
        <v>240</v>
      </c>
      <c r="AO3146" s="5" t="s">
        <v>240</v>
      </c>
      <c r="AP3146" s="6" t="s">
        <v>240</v>
      </c>
      <c r="AQ3146" s="6" t="s">
        <v>240</v>
      </c>
      <c r="AR3146" s="6" t="s">
        <v>240</v>
      </c>
      <c r="AS3146" s="6" t="s">
        <v>240</v>
      </c>
      <c r="AT3146" s="5" t="s">
        <v>240</v>
      </c>
      <c r="AU3146" s="5" t="s">
        <v>729</v>
      </c>
      <c r="AV3146" s="5" t="s">
        <v>729</v>
      </c>
      <c r="AW3146" s="5" t="s">
        <v>251</v>
      </c>
      <c r="AX3146" s="5" t="s">
        <v>252</v>
      </c>
      <c r="AY3146" s="5" t="s">
        <v>253</v>
      </c>
      <c r="AZ3146" s="5" t="s">
        <v>240</v>
      </c>
      <c r="BA3146" s="5" t="s">
        <v>255</v>
      </c>
      <c r="BB3146" s="5" t="s">
        <v>731</v>
      </c>
      <c r="BD3146" s="5" t="s">
        <v>240</v>
      </c>
      <c r="BF3146" s="5" t="s">
        <v>732</v>
      </c>
      <c r="BG3146" s="6" t="s">
        <v>733</v>
      </c>
      <c r="BH3146" s="5" t="s">
        <v>734</v>
      </c>
      <c r="BI3146" s="5" t="s">
        <v>734</v>
      </c>
      <c r="BJ3146" s="5" t="s">
        <v>240</v>
      </c>
      <c r="BK3146" s="7">
        <f>1</f>
        <v>1</v>
      </c>
      <c r="BL3146" s="7">
        <f>1</f>
        <v>1</v>
      </c>
      <c r="BM3146" s="5" t="s">
        <v>258</v>
      </c>
      <c r="BN3146" s="5" t="s">
        <v>259</v>
      </c>
      <c r="BO3146" s="5" t="s">
        <v>240</v>
      </c>
      <c r="BP3146" s="5" t="s">
        <v>240</v>
      </c>
      <c r="BQ3146" s="5" t="s">
        <v>240</v>
      </c>
      <c r="BR3146" s="5" t="s">
        <v>240</v>
      </c>
      <c r="BS3146" s="5" t="s">
        <v>240</v>
      </c>
      <c r="BT3146" s="5" t="s">
        <v>240</v>
      </c>
      <c r="BU3146" s="5" t="s">
        <v>240</v>
      </c>
      <c r="BV3146" s="5" t="s">
        <v>240</v>
      </c>
      <c r="BW3146" s="6" t="s">
        <v>240</v>
      </c>
      <c r="BX3146" s="5" t="s">
        <v>240</v>
      </c>
      <c r="BY3146" s="5" t="s">
        <v>240</v>
      </c>
      <c r="BZ3146" s="5" t="s">
        <v>240</v>
      </c>
      <c r="CA3146" s="5" t="s">
        <v>259</v>
      </c>
      <c r="CB3146" s="5" t="s">
        <v>240</v>
      </c>
      <c r="CC3146" s="5" t="s">
        <v>240</v>
      </c>
      <c r="CD3146" s="5" t="s">
        <v>240</v>
      </c>
      <c r="CE3146" s="5" t="s">
        <v>240</v>
      </c>
      <c r="CF3146" s="5" t="s">
        <v>240</v>
      </c>
      <c r="CG3146" s="5" t="s">
        <v>304</v>
      </c>
      <c r="CH3146" s="5" t="s">
        <v>305</v>
      </c>
      <c r="CI3146" s="5" t="s">
        <v>240</v>
      </c>
      <c r="CK3146" s="5" t="s">
        <v>3681</v>
      </c>
      <c r="CL3146" s="6" t="s">
        <v>261</v>
      </c>
      <c r="CM3146" s="5" t="s">
        <v>262</v>
      </c>
      <c r="CN3146" s="5" t="s">
        <v>263</v>
      </c>
      <c r="CO3146" s="5" t="s">
        <v>264</v>
      </c>
      <c r="CP3146" s="5" t="s">
        <v>240</v>
      </c>
      <c r="CQ3146" s="5">
        <v>0</v>
      </c>
      <c r="CR3146" s="5" t="s">
        <v>735</v>
      </c>
      <c r="CS3146" s="5" t="s">
        <v>307</v>
      </c>
      <c r="CT3146" s="5" t="s">
        <v>307</v>
      </c>
      <c r="CU3146" s="5" t="s">
        <v>260</v>
      </c>
      <c r="CV3146" s="5" t="s">
        <v>612</v>
      </c>
      <c r="CW3146" s="8">
        <f>1</f>
        <v>1</v>
      </c>
      <c r="CX3146" s="7">
        <f>1</f>
        <v>1</v>
      </c>
      <c r="CY3146" s="7">
        <f>0</f>
        <v>0</v>
      </c>
      <c r="DA3146" s="7">
        <f>1</f>
        <v>1</v>
      </c>
      <c r="DB3146" s="7" t="s">
        <v>240</v>
      </c>
      <c r="DC3146" s="5" t="s">
        <v>240</v>
      </c>
      <c r="DD3146" s="5" t="s">
        <v>240</v>
      </c>
      <c r="DE3146" s="5" t="s">
        <v>240</v>
      </c>
      <c r="DF3146" s="5" t="s">
        <v>240</v>
      </c>
      <c r="DG3146" s="7">
        <f>0</f>
        <v>0</v>
      </c>
      <c r="DI3146" s="5" t="s">
        <v>240</v>
      </c>
      <c r="DJ3146" s="5" t="s">
        <v>240</v>
      </c>
      <c r="DK3146" s="5" t="s">
        <v>240</v>
      </c>
      <c r="DL3146" s="5" t="s">
        <v>240</v>
      </c>
      <c r="DM3146" s="5" t="s">
        <v>240</v>
      </c>
      <c r="DN3146" s="5" t="s">
        <v>240</v>
      </c>
      <c r="DO3146" s="7" t="s">
        <v>240</v>
      </c>
      <c r="DP3146" s="5" t="s">
        <v>240</v>
      </c>
      <c r="DQ3146" s="5" t="s">
        <v>240</v>
      </c>
      <c r="DR3146" s="5" t="s">
        <v>731</v>
      </c>
      <c r="DS3146" s="5" t="s">
        <v>731</v>
      </c>
      <c r="DT3146" s="5" t="s">
        <v>240</v>
      </c>
      <c r="DU3146" s="5" t="s">
        <v>240</v>
      </c>
      <c r="DV3146" s="5" t="s">
        <v>3683</v>
      </c>
      <c r="DW3146" s="5" t="s">
        <v>676</v>
      </c>
      <c r="DX3146" s="5" t="s">
        <v>240</v>
      </c>
      <c r="DY3146" s="5" t="s">
        <v>240</v>
      </c>
      <c r="DZ3146" s="5" t="s">
        <v>240</v>
      </c>
      <c r="EA3146" s="5" t="s">
        <v>240</v>
      </c>
      <c r="EB3146" s="5" t="s">
        <v>240</v>
      </c>
      <c r="EC3146" s="5" t="s">
        <v>240</v>
      </c>
      <c r="ED3146" s="5" t="s">
        <v>240</v>
      </c>
      <c r="EE3146" s="5" t="s">
        <v>240</v>
      </c>
      <c r="EF3146" s="5" t="s">
        <v>240</v>
      </c>
      <c r="EG3146" s="5" t="s">
        <v>240</v>
      </c>
      <c r="EH3146" s="5" t="s">
        <v>240</v>
      </c>
      <c r="EI3146" s="5" t="s">
        <v>240</v>
      </c>
      <c r="EJ3146" s="5" t="s">
        <v>240</v>
      </c>
      <c r="EK3146" s="5" t="s">
        <v>240</v>
      </c>
      <c r="EL3146" s="5" t="s">
        <v>240</v>
      </c>
      <c r="EM3146" s="5" t="s">
        <v>240</v>
      </c>
      <c r="EN3146" s="5" t="s">
        <v>240</v>
      </c>
      <c r="EO3146" s="5" t="s">
        <v>240</v>
      </c>
      <c r="EP3146" s="5" t="s">
        <v>240</v>
      </c>
      <c r="EQ3146" s="5" t="s">
        <v>240</v>
      </c>
      <c r="ER3146" s="5" t="s">
        <v>240</v>
      </c>
      <c r="ES3146" s="5" t="s">
        <v>240</v>
      </c>
      <c r="ET3146" s="5" t="s">
        <v>240</v>
      </c>
      <c r="EU3146" s="5" t="s">
        <v>240</v>
      </c>
      <c r="EV3146" s="5" t="s">
        <v>240</v>
      </c>
      <c r="EW3146" s="5" t="s">
        <v>240</v>
      </c>
      <c r="EX3146" s="5" t="s">
        <v>240</v>
      </c>
      <c r="EY3146" s="5" t="s">
        <v>240</v>
      </c>
      <c r="EZ3146" s="5" t="s">
        <v>240</v>
      </c>
      <c r="FA3146" s="5" t="s">
        <v>240</v>
      </c>
      <c r="FB3146" s="5" t="s">
        <v>240</v>
      </c>
      <c r="FC3146" s="5" t="s">
        <v>240</v>
      </c>
      <c r="FD3146" s="5" t="s">
        <v>240</v>
      </c>
      <c r="FE3146" s="5" t="s">
        <v>240</v>
      </c>
      <c r="FF3146" s="5" t="s">
        <v>240</v>
      </c>
      <c r="FG3146" s="5" t="s">
        <v>240</v>
      </c>
      <c r="FH3146" s="5" t="s">
        <v>240</v>
      </c>
      <c r="FI3146" s="5" t="s">
        <v>240</v>
      </c>
      <c r="FJ3146" s="5" t="s">
        <v>240</v>
      </c>
      <c r="FK3146" s="5" t="s">
        <v>240</v>
      </c>
      <c r="FL3146" s="5" t="s">
        <v>240</v>
      </c>
      <c r="FM3146" s="5" t="s">
        <v>240</v>
      </c>
      <c r="FN3146" s="5" t="s">
        <v>240</v>
      </c>
      <c r="FO3146" s="5" t="s">
        <v>240</v>
      </c>
      <c r="FP3146" s="5" t="s">
        <v>240</v>
      </c>
      <c r="FQ3146" s="5" t="s">
        <v>240</v>
      </c>
      <c r="FR3146" s="5" t="s">
        <v>240</v>
      </c>
      <c r="FS3146" s="5" t="s">
        <v>240</v>
      </c>
      <c r="FT3146" s="5" t="s">
        <v>240</v>
      </c>
      <c r="FU3146" s="5" t="s">
        <v>240</v>
      </c>
      <c r="FV3146" s="5" t="s">
        <v>240</v>
      </c>
      <c r="FW3146" s="5" t="s">
        <v>240</v>
      </c>
      <c r="FX3146" s="5" t="s">
        <v>240</v>
      </c>
      <c r="FY3146" s="5" t="s">
        <v>240</v>
      </c>
      <c r="FZ3146" s="5" t="s">
        <v>240</v>
      </c>
      <c r="GA3146" s="5" t="s">
        <v>240</v>
      </c>
      <c r="GB3146" s="5" t="s">
        <v>240</v>
      </c>
      <c r="GC3146" s="5" t="s">
        <v>240</v>
      </c>
      <c r="GD3146" s="5" t="s">
        <v>240</v>
      </c>
      <c r="GE3146" s="5" t="s">
        <v>240</v>
      </c>
      <c r="GF3146" s="5" t="s">
        <v>240</v>
      </c>
      <c r="GG3146" s="5" t="s">
        <v>240</v>
      </c>
      <c r="GH3146" s="5" t="s">
        <v>240</v>
      </c>
      <c r="GI3146" s="5" t="s">
        <v>240</v>
      </c>
      <c r="GJ3146" s="5" t="s">
        <v>240</v>
      </c>
      <c r="GK3146" s="5" t="s">
        <v>240</v>
      </c>
      <c r="GL3146" s="5" t="s">
        <v>240</v>
      </c>
      <c r="GM3146" s="5" t="s">
        <v>240</v>
      </c>
      <c r="GN3146" s="5" t="s">
        <v>240</v>
      </c>
      <c r="GO3146" s="5" t="s">
        <v>240</v>
      </c>
      <c r="GP3146" s="5" t="s">
        <v>240</v>
      </c>
      <c r="GQ3146" s="5" t="s">
        <v>240</v>
      </c>
      <c r="GR3146" s="5" t="s">
        <v>240</v>
      </c>
      <c r="GS3146" s="5" t="s">
        <v>240</v>
      </c>
      <c r="GT3146" s="5" t="s">
        <v>240</v>
      </c>
      <c r="GU3146" s="5" t="s">
        <v>240</v>
      </c>
      <c r="GV3146" s="5" t="s">
        <v>240</v>
      </c>
      <c r="GW3146" s="5" t="s">
        <v>240</v>
      </c>
      <c r="GX3146" s="5" t="s">
        <v>240</v>
      </c>
      <c r="GY3146" s="5" t="s">
        <v>240</v>
      </c>
      <c r="GZ3146" s="5" t="s">
        <v>240</v>
      </c>
      <c r="HA3146" s="5" t="s">
        <v>240</v>
      </c>
      <c r="HB3146" s="5" t="s">
        <v>240</v>
      </c>
      <c r="HC3146" s="5" t="s">
        <v>240</v>
      </c>
      <c r="HD3146" s="5" t="s">
        <v>240</v>
      </c>
      <c r="HE3146" s="5" t="s">
        <v>240</v>
      </c>
      <c r="HF3146" s="5" t="s">
        <v>240</v>
      </c>
      <c r="HG3146" s="5" t="s">
        <v>240</v>
      </c>
      <c r="HH3146" s="5" t="s">
        <v>240</v>
      </c>
      <c r="HI3146" s="5" t="s">
        <v>240</v>
      </c>
      <c r="HJ3146" s="5" t="s">
        <v>240</v>
      </c>
      <c r="HK3146" s="5" t="s">
        <v>240</v>
      </c>
      <c r="HL3146" s="5" t="s">
        <v>240</v>
      </c>
      <c r="HM3146" s="5" t="s">
        <v>240</v>
      </c>
      <c r="HN3146" s="5" t="s">
        <v>240</v>
      </c>
      <c r="HO3146" s="5" t="s">
        <v>312</v>
      </c>
      <c r="HP3146" s="5" t="s">
        <v>240</v>
      </c>
      <c r="HQ3146" s="5" t="s">
        <v>240</v>
      </c>
      <c r="HR3146" s="5" t="s">
        <v>240</v>
      </c>
      <c r="HS3146" s="5" t="s">
        <v>240</v>
      </c>
      <c r="HT3146" s="5" t="s">
        <v>240</v>
      </c>
      <c r="HU3146" s="5" t="s">
        <v>240</v>
      </c>
      <c r="HV3146" s="5" t="s">
        <v>240</v>
      </c>
      <c r="HW3146" s="5" t="s">
        <v>240</v>
      </c>
      <c r="HX3146" s="5" t="s">
        <v>240</v>
      </c>
      <c r="HY3146" s="5" t="s">
        <v>240</v>
      </c>
      <c r="HZ3146" s="5" t="s">
        <v>240</v>
      </c>
      <c r="IA3146" s="5" t="s">
        <v>240</v>
      </c>
      <c r="IB3146" s="5" t="s">
        <v>240</v>
      </c>
      <c r="IC3146" s="5" t="s">
        <v>240</v>
      </c>
      <c r="ID3146" s="5" t="s">
        <v>240</v>
      </c>
      <c r="IE3146" s="5" t="s">
        <v>240</v>
      </c>
      <c r="IF3146" s="5" t="s">
        <v>240</v>
      </c>
    </row>
    <row r="3147" spans="1:240" x14ac:dyDescent="0.4">
      <c r="A3147" s="5">
        <v>4851</v>
      </c>
      <c r="B3147" s="5">
        <v>1</v>
      </c>
      <c r="C3147" s="5">
        <v>1</v>
      </c>
      <c r="D3147" s="5" t="s">
        <v>810</v>
      </c>
      <c r="E3147" s="5" t="s">
        <v>245</v>
      </c>
      <c r="F3147" s="5" t="s">
        <v>254</v>
      </c>
      <c r="G3147" s="5" t="s">
        <v>240</v>
      </c>
      <c r="H3147" s="6" t="s">
        <v>2254</v>
      </c>
      <c r="I3147" s="5" t="s">
        <v>809</v>
      </c>
      <c r="J3147" s="8">
        <f>454</f>
        <v>454</v>
      </c>
      <c r="K3147" s="5" t="s">
        <v>308</v>
      </c>
      <c r="L3147" s="7">
        <f>1</f>
        <v>1</v>
      </c>
      <c r="M3147" s="7">
        <f>1</f>
        <v>1</v>
      </c>
      <c r="N3147" s="5" t="s">
        <v>242</v>
      </c>
      <c r="O3147" s="5">
        <v>1</v>
      </c>
      <c r="P3147" s="5" t="s">
        <v>294</v>
      </c>
      <c r="Q3147" s="5" t="s">
        <v>3678</v>
      </c>
      <c r="R3147" s="5" t="s">
        <v>240</v>
      </c>
      <c r="S3147" s="5" t="s">
        <v>240</v>
      </c>
      <c r="T3147" s="5" t="s">
        <v>243</v>
      </c>
      <c r="U3147" s="5" t="s">
        <v>244</v>
      </c>
      <c r="V3147" s="5" t="s">
        <v>240</v>
      </c>
      <c r="W3147" s="5" t="s">
        <v>240</v>
      </c>
      <c r="X3147" s="5" t="s">
        <v>240</v>
      </c>
      <c r="Y3147" s="5" t="s">
        <v>240</v>
      </c>
      <c r="Z3147" s="6" t="s">
        <v>298</v>
      </c>
      <c r="AA3147" s="6" t="s">
        <v>240</v>
      </c>
      <c r="AB3147" s="6" t="s">
        <v>240</v>
      </c>
      <c r="AC3147" s="5" t="s">
        <v>240</v>
      </c>
      <c r="AD3147" s="6" t="s">
        <v>240</v>
      </c>
      <c r="AE3147" s="6" t="s">
        <v>299</v>
      </c>
      <c r="AF3147" s="5" t="s">
        <v>248</v>
      </c>
      <c r="AG3147" s="5" t="s">
        <v>249</v>
      </c>
      <c r="AH3147" s="5" t="s">
        <v>240</v>
      </c>
      <c r="AI3147" s="5" t="s">
        <v>240</v>
      </c>
      <c r="AJ3147" s="5" t="s">
        <v>240</v>
      </c>
      <c r="AK3147" s="5" t="s">
        <v>240</v>
      </c>
      <c r="AL3147" s="5" t="s">
        <v>240</v>
      </c>
      <c r="AM3147" s="5" t="s">
        <v>240</v>
      </c>
      <c r="AN3147" s="5" t="s">
        <v>240</v>
      </c>
      <c r="AO3147" s="5" t="s">
        <v>240</v>
      </c>
      <c r="AP3147" s="6" t="s">
        <v>240</v>
      </c>
      <c r="AQ3147" s="6" t="s">
        <v>240</v>
      </c>
      <c r="AR3147" s="6" t="s">
        <v>240</v>
      </c>
      <c r="AS3147" s="6" t="s">
        <v>240</v>
      </c>
      <c r="AT3147" s="5" t="s">
        <v>240</v>
      </c>
      <c r="AU3147" s="5" t="s">
        <v>729</v>
      </c>
      <c r="AV3147" s="5" t="s">
        <v>729</v>
      </c>
      <c r="AW3147" s="5" t="s">
        <v>251</v>
      </c>
      <c r="AX3147" s="5" t="s">
        <v>252</v>
      </c>
      <c r="AY3147" s="5" t="s">
        <v>253</v>
      </c>
      <c r="AZ3147" s="5" t="s">
        <v>240</v>
      </c>
      <c r="BA3147" s="5" t="s">
        <v>255</v>
      </c>
      <c r="BB3147" s="5" t="s">
        <v>731</v>
      </c>
      <c r="BD3147" s="5" t="s">
        <v>240</v>
      </c>
      <c r="BF3147" s="5" t="s">
        <v>732</v>
      </c>
      <c r="BG3147" s="6" t="s">
        <v>733</v>
      </c>
      <c r="BH3147" s="5" t="s">
        <v>734</v>
      </c>
      <c r="BI3147" s="5" t="s">
        <v>734</v>
      </c>
      <c r="BJ3147" s="5" t="s">
        <v>240</v>
      </c>
      <c r="BK3147" s="7">
        <f>1</f>
        <v>1</v>
      </c>
      <c r="BL3147" s="7">
        <f>1</f>
        <v>1</v>
      </c>
      <c r="BM3147" s="5" t="s">
        <v>258</v>
      </c>
      <c r="BN3147" s="5" t="s">
        <v>259</v>
      </c>
      <c r="BO3147" s="5" t="s">
        <v>240</v>
      </c>
      <c r="BP3147" s="5" t="s">
        <v>240</v>
      </c>
      <c r="BQ3147" s="5" t="s">
        <v>240</v>
      </c>
      <c r="BR3147" s="5" t="s">
        <v>240</v>
      </c>
      <c r="BS3147" s="5" t="s">
        <v>240</v>
      </c>
      <c r="BT3147" s="5" t="s">
        <v>240</v>
      </c>
      <c r="BU3147" s="5" t="s">
        <v>240</v>
      </c>
      <c r="BV3147" s="5" t="s">
        <v>240</v>
      </c>
      <c r="BW3147" s="6" t="s">
        <v>240</v>
      </c>
      <c r="BX3147" s="5" t="s">
        <v>240</v>
      </c>
      <c r="BY3147" s="5" t="s">
        <v>240</v>
      </c>
      <c r="BZ3147" s="5" t="s">
        <v>240</v>
      </c>
      <c r="CA3147" s="5" t="s">
        <v>259</v>
      </c>
      <c r="CB3147" s="5" t="s">
        <v>240</v>
      </c>
      <c r="CC3147" s="5" t="s">
        <v>240</v>
      </c>
      <c r="CD3147" s="5" t="s">
        <v>240</v>
      </c>
      <c r="CE3147" s="5" t="s">
        <v>240</v>
      </c>
      <c r="CF3147" s="5" t="s">
        <v>240</v>
      </c>
      <c r="CG3147" s="5" t="s">
        <v>304</v>
      </c>
      <c r="CH3147" s="5" t="s">
        <v>305</v>
      </c>
      <c r="CI3147" s="5" t="s">
        <v>240</v>
      </c>
      <c r="CK3147" s="5" t="s">
        <v>3681</v>
      </c>
      <c r="CL3147" s="6" t="s">
        <v>261</v>
      </c>
      <c r="CM3147" s="5" t="s">
        <v>262</v>
      </c>
      <c r="CN3147" s="5" t="s">
        <v>263</v>
      </c>
      <c r="CO3147" s="5" t="s">
        <v>264</v>
      </c>
      <c r="CP3147" s="5" t="s">
        <v>240</v>
      </c>
      <c r="CQ3147" s="5">
        <v>0</v>
      </c>
      <c r="CR3147" s="5" t="s">
        <v>735</v>
      </c>
      <c r="CS3147" s="5" t="s">
        <v>307</v>
      </c>
      <c r="CT3147" s="5" t="s">
        <v>307</v>
      </c>
      <c r="CU3147" s="5" t="s">
        <v>260</v>
      </c>
      <c r="CV3147" s="5" t="s">
        <v>612</v>
      </c>
      <c r="CW3147" s="8">
        <f>1</f>
        <v>1</v>
      </c>
      <c r="CX3147" s="7">
        <f>1</f>
        <v>1</v>
      </c>
      <c r="CY3147" s="7">
        <f>0</f>
        <v>0</v>
      </c>
      <c r="DA3147" s="7">
        <f>1</f>
        <v>1</v>
      </c>
      <c r="DB3147" s="7" t="s">
        <v>240</v>
      </c>
      <c r="DC3147" s="5" t="s">
        <v>240</v>
      </c>
      <c r="DD3147" s="5" t="s">
        <v>240</v>
      </c>
      <c r="DE3147" s="5" t="s">
        <v>240</v>
      </c>
      <c r="DF3147" s="5" t="s">
        <v>240</v>
      </c>
      <c r="DG3147" s="7">
        <f>0</f>
        <v>0</v>
      </c>
      <c r="DI3147" s="5" t="s">
        <v>240</v>
      </c>
      <c r="DJ3147" s="5" t="s">
        <v>240</v>
      </c>
      <c r="DK3147" s="5" t="s">
        <v>240</v>
      </c>
      <c r="DL3147" s="5" t="s">
        <v>240</v>
      </c>
      <c r="DM3147" s="5" t="s">
        <v>240</v>
      </c>
      <c r="DN3147" s="5" t="s">
        <v>240</v>
      </c>
      <c r="DO3147" s="7" t="s">
        <v>240</v>
      </c>
      <c r="DP3147" s="5" t="s">
        <v>240</v>
      </c>
      <c r="DQ3147" s="5" t="s">
        <v>240</v>
      </c>
      <c r="DR3147" s="5" t="s">
        <v>731</v>
      </c>
      <c r="DS3147" s="5" t="s">
        <v>731</v>
      </c>
      <c r="DT3147" s="5" t="s">
        <v>240</v>
      </c>
      <c r="DU3147" s="5" t="s">
        <v>240</v>
      </c>
      <c r="DV3147" s="5" t="s">
        <v>3683</v>
      </c>
      <c r="DW3147" s="5" t="s">
        <v>354</v>
      </c>
      <c r="DX3147" s="5" t="s">
        <v>240</v>
      </c>
      <c r="DY3147" s="5" t="s">
        <v>240</v>
      </c>
      <c r="DZ3147" s="5" t="s">
        <v>240</v>
      </c>
      <c r="EA3147" s="5" t="s">
        <v>240</v>
      </c>
      <c r="EB3147" s="5" t="s">
        <v>240</v>
      </c>
      <c r="EC3147" s="5" t="s">
        <v>240</v>
      </c>
      <c r="ED3147" s="5" t="s">
        <v>240</v>
      </c>
      <c r="EE3147" s="5" t="s">
        <v>240</v>
      </c>
      <c r="EF3147" s="5" t="s">
        <v>240</v>
      </c>
      <c r="EG3147" s="5" t="s">
        <v>240</v>
      </c>
      <c r="EH3147" s="5" t="s">
        <v>240</v>
      </c>
      <c r="EI3147" s="5" t="s">
        <v>240</v>
      </c>
      <c r="EJ3147" s="5" t="s">
        <v>240</v>
      </c>
      <c r="EK3147" s="5" t="s">
        <v>240</v>
      </c>
      <c r="EL3147" s="5" t="s">
        <v>240</v>
      </c>
      <c r="EM3147" s="5" t="s">
        <v>240</v>
      </c>
      <c r="EN3147" s="5" t="s">
        <v>240</v>
      </c>
      <c r="EO3147" s="5" t="s">
        <v>240</v>
      </c>
      <c r="EP3147" s="5" t="s">
        <v>240</v>
      </c>
      <c r="EQ3147" s="5" t="s">
        <v>240</v>
      </c>
      <c r="ER3147" s="5" t="s">
        <v>240</v>
      </c>
      <c r="ES3147" s="5" t="s">
        <v>240</v>
      </c>
      <c r="ET3147" s="5" t="s">
        <v>240</v>
      </c>
      <c r="EU3147" s="5" t="s">
        <v>240</v>
      </c>
      <c r="EV3147" s="5" t="s">
        <v>240</v>
      </c>
      <c r="EW3147" s="5" t="s">
        <v>240</v>
      </c>
      <c r="EX3147" s="5" t="s">
        <v>240</v>
      </c>
      <c r="EY3147" s="5" t="s">
        <v>240</v>
      </c>
      <c r="EZ3147" s="5" t="s">
        <v>240</v>
      </c>
      <c r="FA3147" s="5" t="s">
        <v>240</v>
      </c>
      <c r="FB3147" s="5" t="s">
        <v>240</v>
      </c>
      <c r="FC3147" s="5" t="s">
        <v>240</v>
      </c>
      <c r="FD3147" s="5" t="s">
        <v>240</v>
      </c>
      <c r="FE3147" s="5" t="s">
        <v>240</v>
      </c>
      <c r="FF3147" s="5" t="s">
        <v>240</v>
      </c>
      <c r="FG3147" s="5" t="s">
        <v>240</v>
      </c>
      <c r="FH3147" s="5" t="s">
        <v>240</v>
      </c>
      <c r="FI3147" s="5" t="s">
        <v>240</v>
      </c>
      <c r="FJ3147" s="5" t="s">
        <v>240</v>
      </c>
      <c r="FK3147" s="5" t="s">
        <v>240</v>
      </c>
      <c r="FL3147" s="5" t="s">
        <v>240</v>
      </c>
      <c r="FM3147" s="5" t="s">
        <v>240</v>
      </c>
      <c r="FN3147" s="5" t="s">
        <v>240</v>
      </c>
      <c r="FO3147" s="5" t="s">
        <v>240</v>
      </c>
      <c r="FP3147" s="5" t="s">
        <v>240</v>
      </c>
      <c r="FQ3147" s="5" t="s">
        <v>240</v>
      </c>
      <c r="FR3147" s="5" t="s">
        <v>240</v>
      </c>
      <c r="FS3147" s="5" t="s">
        <v>240</v>
      </c>
      <c r="FT3147" s="5" t="s">
        <v>240</v>
      </c>
      <c r="FU3147" s="5" t="s">
        <v>240</v>
      </c>
      <c r="FV3147" s="5" t="s">
        <v>240</v>
      </c>
      <c r="FW3147" s="5" t="s">
        <v>240</v>
      </c>
      <c r="FX3147" s="5" t="s">
        <v>240</v>
      </c>
      <c r="FY3147" s="5" t="s">
        <v>240</v>
      </c>
      <c r="FZ3147" s="5" t="s">
        <v>240</v>
      </c>
      <c r="GA3147" s="5" t="s">
        <v>240</v>
      </c>
      <c r="GB3147" s="5" t="s">
        <v>240</v>
      </c>
      <c r="GC3147" s="5" t="s">
        <v>240</v>
      </c>
      <c r="GD3147" s="5" t="s">
        <v>240</v>
      </c>
      <c r="GE3147" s="5" t="s">
        <v>240</v>
      </c>
      <c r="GF3147" s="5" t="s">
        <v>240</v>
      </c>
      <c r="GG3147" s="5" t="s">
        <v>240</v>
      </c>
      <c r="GH3147" s="5" t="s">
        <v>240</v>
      </c>
      <c r="GI3147" s="5" t="s">
        <v>240</v>
      </c>
      <c r="GJ3147" s="5" t="s">
        <v>240</v>
      </c>
      <c r="GK3147" s="5" t="s">
        <v>240</v>
      </c>
      <c r="GL3147" s="5" t="s">
        <v>240</v>
      </c>
      <c r="GM3147" s="5" t="s">
        <v>240</v>
      </c>
      <c r="GN3147" s="5" t="s">
        <v>240</v>
      </c>
      <c r="GO3147" s="5" t="s">
        <v>240</v>
      </c>
      <c r="GP3147" s="5" t="s">
        <v>240</v>
      </c>
      <c r="GQ3147" s="5" t="s">
        <v>240</v>
      </c>
      <c r="GR3147" s="5" t="s">
        <v>240</v>
      </c>
      <c r="GS3147" s="5" t="s">
        <v>240</v>
      </c>
      <c r="GT3147" s="5" t="s">
        <v>240</v>
      </c>
      <c r="GU3147" s="5" t="s">
        <v>240</v>
      </c>
      <c r="GV3147" s="5" t="s">
        <v>240</v>
      </c>
      <c r="GW3147" s="5" t="s">
        <v>240</v>
      </c>
      <c r="GX3147" s="5" t="s">
        <v>240</v>
      </c>
      <c r="GY3147" s="5" t="s">
        <v>240</v>
      </c>
      <c r="GZ3147" s="5" t="s">
        <v>240</v>
      </c>
      <c r="HA3147" s="5" t="s">
        <v>240</v>
      </c>
      <c r="HB3147" s="5" t="s">
        <v>240</v>
      </c>
      <c r="HC3147" s="5" t="s">
        <v>240</v>
      </c>
      <c r="HD3147" s="5" t="s">
        <v>240</v>
      </c>
      <c r="HE3147" s="5" t="s">
        <v>240</v>
      </c>
      <c r="HF3147" s="5" t="s">
        <v>240</v>
      </c>
      <c r="HG3147" s="5" t="s">
        <v>240</v>
      </c>
      <c r="HH3147" s="5" t="s">
        <v>240</v>
      </c>
      <c r="HI3147" s="5" t="s">
        <v>240</v>
      </c>
      <c r="HJ3147" s="5" t="s">
        <v>240</v>
      </c>
      <c r="HK3147" s="5" t="s">
        <v>240</v>
      </c>
      <c r="HL3147" s="5" t="s">
        <v>240</v>
      </c>
      <c r="HM3147" s="5" t="s">
        <v>240</v>
      </c>
      <c r="HN3147" s="5" t="s">
        <v>240</v>
      </c>
      <c r="HO3147" s="5" t="s">
        <v>312</v>
      </c>
      <c r="HP3147" s="5" t="s">
        <v>240</v>
      </c>
      <c r="HQ3147" s="5" t="s">
        <v>240</v>
      </c>
      <c r="HR3147" s="5" t="s">
        <v>240</v>
      </c>
      <c r="HS3147" s="5" t="s">
        <v>240</v>
      </c>
      <c r="HT3147" s="5" t="s">
        <v>240</v>
      </c>
      <c r="HU3147" s="5" t="s">
        <v>240</v>
      </c>
      <c r="HV3147" s="5" t="s">
        <v>240</v>
      </c>
      <c r="HW3147" s="5" t="s">
        <v>240</v>
      </c>
      <c r="HX3147" s="5" t="s">
        <v>240</v>
      </c>
      <c r="HY3147" s="5" t="s">
        <v>240</v>
      </c>
      <c r="HZ3147" s="5" t="s">
        <v>240</v>
      </c>
      <c r="IA3147" s="5" t="s">
        <v>240</v>
      </c>
      <c r="IB3147" s="5" t="s">
        <v>240</v>
      </c>
      <c r="IC3147" s="5" t="s">
        <v>240</v>
      </c>
      <c r="ID3147" s="5" t="s">
        <v>240</v>
      </c>
      <c r="IE3147" s="5" t="s">
        <v>240</v>
      </c>
      <c r="IF3147" s="5" t="s">
        <v>240</v>
      </c>
    </row>
    <row r="3148" spans="1:240" x14ac:dyDescent="0.4">
      <c r="A3148" s="5">
        <v>4852</v>
      </c>
      <c r="B3148" s="5">
        <v>1</v>
      </c>
      <c r="C3148" s="5">
        <v>1</v>
      </c>
      <c r="D3148" s="5" t="s">
        <v>810</v>
      </c>
      <c r="E3148" s="5" t="s">
        <v>245</v>
      </c>
      <c r="F3148" s="5" t="s">
        <v>254</v>
      </c>
      <c r="G3148" s="5" t="s">
        <v>240</v>
      </c>
      <c r="H3148" s="6" t="s">
        <v>2252</v>
      </c>
      <c r="I3148" s="5" t="s">
        <v>809</v>
      </c>
      <c r="J3148" s="8">
        <f>496</f>
        <v>496</v>
      </c>
      <c r="K3148" s="5" t="s">
        <v>308</v>
      </c>
      <c r="L3148" s="7">
        <f>1</f>
        <v>1</v>
      </c>
      <c r="M3148" s="7">
        <f>1</f>
        <v>1</v>
      </c>
      <c r="N3148" s="5" t="s">
        <v>242</v>
      </c>
      <c r="O3148" s="5">
        <v>1</v>
      </c>
      <c r="P3148" s="5" t="s">
        <v>294</v>
      </c>
      <c r="Q3148" s="5" t="s">
        <v>3678</v>
      </c>
      <c r="R3148" s="5" t="s">
        <v>240</v>
      </c>
      <c r="S3148" s="5" t="s">
        <v>240</v>
      </c>
      <c r="T3148" s="5" t="s">
        <v>243</v>
      </c>
      <c r="U3148" s="5" t="s">
        <v>244</v>
      </c>
      <c r="V3148" s="5" t="s">
        <v>240</v>
      </c>
      <c r="W3148" s="5" t="s">
        <v>240</v>
      </c>
      <c r="X3148" s="5" t="s">
        <v>240</v>
      </c>
      <c r="Y3148" s="5" t="s">
        <v>240</v>
      </c>
      <c r="Z3148" s="6" t="s">
        <v>298</v>
      </c>
      <c r="AA3148" s="6" t="s">
        <v>240</v>
      </c>
      <c r="AB3148" s="6" t="s">
        <v>240</v>
      </c>
      <c r="AC3148" s="5" t="s">
        <v>240</v>
      </c>
      <c r="AD3148" s="6" t="s">
        <v>240</v>
      </c>
      <c r="AE3148" s="6" t="s">
        <v>299</v>
      </c>
      <c r="AF3148" s="5" t="s">
        <v>248</v>
      </c>
      <c r="AG3148" s="5" t="s">
        <v>249</v>
      </c>
      <c r="AH3148" s="5" t="s">
        <v>240</v>
      </c>
      <c r="AI3148" s="5" t="s">
        <v>240</v>
      </c>
      <c r="AJ3148" s="5" t="s">
        <v>240</v>
      </c>
      <c r="AK3148" s="5" t="s">
        <v>240</v>
      </c>
      <c r="AL3148" s="5" t="s">
        <v>240</v>
      </c>
      <c r="AM3148" s="5" t="s">
        <v>240</v>
      </c>
      <c r="AN3148" s="5" t="s">
        <v>240</v>
      </c>
      <c r="AO3148" s="5" t="s">
        <v>240</v>
      </c>
      <c r="AP3148" s="6" t="s">
        <v>240</v>
      </c>
      <c r="AQ3148" s="6" t="s">
        <v>240</v>
      </c>
      <c r="AR3148" s="6" t="s">
        <v>240</v>
      </c>
      <c r="AS3148" s="6" t="s">
        <v>240</v>
      </c>
      <c r="AT3148" s="5" t="s">
        <v>240</v>
      </c>
      <c r="AU3148" s="5" t="s">
        <v>729</v>
      </c>
      <c r="AV3148" s="5" t="s">
        <v>729</v>
      </c>
      <c r="AW3148" s="5" t="s">
        <v>251</v>
      </c>
      <c r="AX3148" s="5" t="s">
        <v>252</v>
      </c>
      <c r="AY3148" s="5" t="s">
        <v>253</v>
      </c>
      <c r="AZ3148" s="5" t="s">
        <v>240</v>
      </c>
      <c r="BA3148" s="5" t="s">
        <v>255</v>
      </c>
      <c r="BB3148" s="5" t="s">
        <v>731</v>
      </c>
      <c r="BD3148" s="5" t="s">
        <v>240</v>
      </c>
      <c r="BF3148" s="5" t="s">
        <v>732</v>
      </c>
      <c r="BG3148" s="6" t="s">
        <v>733</v>
      </c>
      <c r="BH3148" s="5" t="s">
        <v>734</v>
      </c>
      <c r="BI3148" s="5" t="s">
        <v>734</v>
      </c>
      <c r="BJ3148" s="5" t="s">
        <v>240</v>
      </c>
      <c r="BK3148" s="7">
        <f>1</f>
        <v>1</v>
      </c>
      <c r="BL3148" s="7">
        <f>1</f>
        <v>1</v>
      </c>
      <c r="BM3148" s="5" t="s">
        <v>258</v>
      </c>
      <c r="BN3148" s="5" t="s">
        <v>259</v>
      </c>
      <c r="BO3148" s="5" t="s">
        <v>240</v>
      </c>
      <c r="BP3148" s="5" t="s">
        <v>240</v>
      </c>
      <c r="BQ3148" s="5" t="s">
        <v>240</v>
      </c>
      <c r="BR3148" s="5" t="s">
        <v>240</v>
      </c>
      <c r="BS3148" s="5" t="s">
        <v>240</v>
      </c>
      <c r="BT3148" s="5" t="s">
        <v>240</v>
      </c>
      <c r="BU3148" s="5" t="s">
        <v>240</v>
      </c>
      <c r="BV3148" s="5" t="s">
        <v>240</v>
      </c>
      <c r="BW3148" s="6" t="s">
        <v>240</v>
      </c>
      <c r="BX3148" s="5" t="s">
        <v>240</v>
      </c>
      <c r="BY3148" s="5" t="s">
        <v>240</v>
      </c>
      <c r="BZ3148" s="5" t="s">
        <v>240</v>
      </c>
      <c r="CA3148" s="5" t="s">
        <v>259</v>
      </c>
      <c r="CB3148" s="5" t="s">
        <v>240</v>
      </c>
      <c r="CC3148" s="5" t="s">
        <v>240</v>
      </c>
      <c r="CD3148" s="5" t="s">
        <v>240</v>
      </c>
      <c r="CE3148" s="5" t="s">
        <v>240</v>
      </c>
      <c r="CF3148" s="5" t="s">
        <v>240</v>
      </c>
      <c r="CG3148" s="5" t="s">
        <v>304</v>
      </c>
      <c r="CH3148" s="5" t="s">
        <v>305</v>
      </c>
      <c r="CI3148" s="5" t="s">
        <v>240</v>
      </c>
      <c r="CK3148" s="5" t="s">
        <v>3681</v>
      </c>
      <c r="CL3148" s="6" t="s">
        <v>261</v>
      </c>
      <c r="CM3148" s="5" t="s">
        <v>262</v>
      </c>
      <c r="CN3148" s="5" t="s">
        <v>263</v>
      </c>
      <c r="CO3148" s="5" t="s">
        <v>264</v>
      </c>
      <c r="CP3148" s="5" t="s">
        <v>240</v>
      </c>
      <c r="CQ3148" s="5">
        <v>0</v>
      </c>
      <c r="CR3148" s="5" t="s">
        <v>735</v>
      </c>
      <c r="CS3148" s="5" t="s">
        <v>307</v>
      </c>
      <c r="CT3148" s="5" t="s">
        <v>307</v>
      </c>
      <c r="CU3148" s="5" t="s">
        <v>260</v>
      </c>
      <c r="CV3148" s="5" t="s">
        <v>612</v>
      </c>
      <c r="CW3148" s="8">
        <f>1</f>
        <v>1</v>
      </c>
      <c r="CX3148" s="7">
        <f>1</f>
        <v>1</v>
      </c>
      <c r="CY3148" s="7">
        <f>0</f>
        <v>0</v>
      </c>
      <c r="DA3148" s="7">
        <f>1</f>
        <v>1</v>
      </c>
      <c r="DB3148" s="7" t="s">
        <v>240</v>
      </c>
      <c r="DC3148" s="5" t="s">
        <v>240</v>
      </c>
      <c r="DD3148" s="5" t="s">
        <v>240</v>
      </c>
      <c r="DE3148" s="5" t="s">
        <v>240</v>
      </c>
      <c r="DF3148" s="5" t="s">
        <v>240</v>
      </c>
      <c r="DG3148" s="7">
        <f>0</f>
        <v>0</v>
      </c>
      <c r="DI3148" s="5" t="s">
        <v>240</v>
      </c>
      <c r="DJ3148" s="5" t="s">
        <v>240</v>
      </c>
      <c r="DK3148" s="5" t="s">
        <v>240</v>
      </c>
      <c r="DL3148" s="5" t="s">
        <v>240</v>
      </c>
      <c r="DM3148" s="5" t="s">
        <v>240</v>
      </c>
      <c r="DN3148" s="5" t="s">
        <v>240</v>
      </c>
      <c r="DO3148" s="7" t="s">
        <v>240</v>
      </c>
      <c r="DP3148" s="5" t="s">
        <v>240</v>
      </c>
      <c r="DQ3148" s="5" t="s">
        <v>240</v>
      </c>
      <c r="DR3148" s="5" t="s">
        <v>731</v>
      </c>
      <c r="DS3148" s="5" t="s">
        <v>731</v>
      </c>
      <c r="DT3148" s="5" t="s">
        <v>240</v>
      </c>
      <c r="DU3148" s="5" t="s">
        <v>240</v>
      </c>
      <c r="DV3148" s="5" t="s">
        <v>3683</v>
      </c>
      <c r="DW3148" s="5" t="s">
        <v>4114</v>
      </c>
      <c r="DX3148" s="5" t="s">
        <v>240</v>
      </c>
      <c r="DY3148" s="5" t="s">
        <v>240</v>
      </c>
      <c r="DZ3148" s="5" t="s">
        <v>240</v>
      </c>
      <c r="EA3148" s="5" t="s">
        <v>240</v>
      </c>
      <c r="EB3148" s="5" t="s">
        <v>240</v>
      </c>
      <c r="EC3148" s="5" t="s">
        <v>240</v>
      </c>
      <c r="ED3148" s="5" t="s">
        <v>240</v>
      </c>
      <c r="EE3148" s="5" t="s">
        <v>240</v>
      </c>
      <c r="EF3148" s="5" t="s">
        <v>240</v>
      </c>
      <c r="EG3148" s="5" t="s">
        <v>240</v>
      </c>
      <c r="EH3148" s="5" t="s">
        <v>240</v>
      </c>
      <c r="EI3148" s="5" t="s">
        <v>240</v>
      </c>
      <c r="EJ3148" s="5" t="s">
        <v>240</v>
      </c>
      <c r="EK3148" s="5" t="s">
        <v>240</v>
      </c>
      <c r="EL3148" s="5" t="s">
        <v>240</v>
      </c>
      <c r="EM3148" s="5" t="s">
        <v>240</v>
      </c>
      <c r="EN3148" s="5" t="s">
        <v>240</v>
      </c>
      <c r="EO3148" s="5" t="s">
        <v>240</v>
      </c>
      <c r="EP3148" s="5" t="s">
        <v>240</v>
      </c>
      <c r="EQ3148" s="5" t="s">
        <v>240</v>
      </c>
      <c r="ER3148" s="5" t="s">
        <v>240</v>
      </c>
      <c r="ES3148" s="5" t="s">
        <v>240</v>
      </c>
      <c r="ET3148" s="5" t="s">
        <v>240</v>
      </c>
      <c r="EU3148" s="5" t="s">
        <v>240</v>
      </c>
      <c r="EV3148" s="5" t="s">
        <v>240</v>
      </c>
      <c r="EW3148" s="5" t="s">
        <v>240</v>
      </c>
      <c r="EX3148" s="5" t="s">
        <v>240</v>
      </c>
      <c r="EY3148" s="5" t="s">
        <v>240</v>
      </c>
      <c r="EZ3148" s="5" t="s">
        <v>240</v>
      </c>
      <c r="FA3148" s="5" t="s">
        <v>240</v>
      </c>
      <c r="FB3148" s="5" t="s">
        <v>240</v>
      </c>
      <c r="FC3148" s="5" t="s">
        <v>240</v>
      </c>
      <c r="FD3148" s="5" t="s">
        <v>240</v>
      </c>
      <c r="FE3148" s="5" t="s">
        <v>240</v>
      </c>
      <c r="FF3148" s="5" t="s">
        <v>240</v>
      </c>
      <c r="FG3148" s="5" t="s">
        <v>240</v>
      </c>
      <c r="FH3148" s="5" t="s">
        <v>240</v>
      </c>
      <c r="FI3148" s="5" t="s">
        <v>240</v>
      </c>
      <c r="FJ3148" s="5" t="s">
        <v>240</v>
      </c>
      <c r="FK3148" s="5" t="s">
        <v>240</v>
      </c>
      <c r="FL3148" s="5" t="s">
        <v>240</v>
      </c>
      <c r="FM3148" s="5" t="s">
        <v>240</v>
      </c>
      <c r="FN3148" s="5" t="s">
        <v>240</v>
      </c>
      <c r="FO3148" s="5" t="s">
        <v>240</v>
      </c>
      <c r="FP3148" s="5" t="s">
        <v>240</v>
      </c>
      <c r="FQ3148" s="5" t="s">
        <v>240</v>
      </c>
      <c r="FR3148" s="5" t="s">
        <v>240</v>
      </c>
      <c r="FS3148" s="5" t="s">
        <v>240</v>
      </c>
      <c r="FT3148" s="5" t="s">
        <v>240</v>
      </c>
      <c r="FU3148" s="5" t="s">
        <v>240</v>
      </c>
      <c r="FV3148" s="5" t="s">
        <v>240</v>
      </c>
      <c r="FW3148" s="5" t="s">
        <v>240</v>
      </c>
      <c r="FX3148" s="5" t="s">
        <v>240</v>
      </c>
      <c r="FY3148" s="5" t="s">
        <v>240</v>
      </c>
      <c r="FZ3148" s="5" t="s">
        <v>240</v>
      </c>
      <c r="GA3148" s="5" t="s">
        <v>240</v>
      </c>
      <c r="GB3148" s="5" t="s">
        <v>240</v>
      </c>
      <c r="GC3148" s="5" t="s">
        <v>240</v>
      </c>
      <c r="GD3148" s="5" t="s">
        <v>240</v>
      </c>
      <c r="GE3148" s="5" t="s">
        <v>240</v>
      </c>
      <c r="GF3148" s="5" t="s">
        <v>240</v>
      </c>
      <c r="GG3148" s="5" t="s">
        <v>240</v>
      </c>
      <c r="GH3148" s="5" t="s">
        <v>240</v>
      </c>
      <c r="GI3148" s="5" t="s">
        <v>240</v>
      </c>
      <c r="GJ3148" s="5" t="s">
        <v>240</v>
      </c>
      <c r="GK3148" s="5" t="s">
        <v>240</v>
      </c>
      <c r="GL3148" s="5" t="s">
        <v>240</v>
      </c>
      <c r="GM3148" s="5" t="s">
        <v>240</v>
      </c>
      <c r="GN3148" s="5" t="s">
        <v>240</v>
      </c>
      <c r="GO3148" s="5" t="s">
        <v>240</v>
      </c>
      <c r="GP3148" s="5" t="s">
        <v>240</v>
      </c>
      <c r="GQ3148" s="5" t="s">
        <v>240</v>
      </c>
      <c r="GR3148" s="5" t="s">
        <v>240</v>
      </c>
      <c r="GS3148" s="5" t="s">
        <v>240</v>
      </c>
      <c r="GT3148" s="5" t="s">
        <v>240</v>
      </c>
      <c r="GU3148" s="5" t="s">
        <v>240</v>
      </c>
      <c r="GV3148" s="5" t="s">
        <v>240</v>
      </c>
      <c r="GW3148" s="5" t="s">
        <v>240</v>
      </c>
      <c r="GX3148" s="5" t="s">
        <v>240</v>
      </c>
      <c r="GY3148" s="5" t="s">
        <v>240</v>
      </c>
      <c r="GZ3148" s="5" t="s">
        <v>240</v>
      </c>
      <c r="HA3148" s="5" t="s">
        <v>240</v>
      </c>
      <c r="HB3148" s="5" t="s">
        <v>240</v>
      </c>
      <c r="HC3148" s="5" t="s">
        <v>240</v>
      </c>
      <c r="HD3148" s="5" t="s">
        <v>240</v>
      </c>
      <c r="HE3148" s="5" t="s">
        <v>240</v>
      </c>
      <c r="HF3148" s="5" t="s">
        <v>240</v>
      </c>
      <c r="HG3148" s="5" t="s">
        <v>240</v>
      </c>
      <c r="HH3148" s="5" t="s">
        <v>240</v>
      </c>
      <c r="HI3148" s="5" t="s">
        <v>240</v>
      </c>
      <c r="HJ3148" s="5" t="s">
        <v>240</v>
      </c>
      <c r="HK3148" s="5" t="s">
        <v>240</v>
      </c>
      <c r="HL3148" s="5" t="s">
        <v>240</v>
      </c>
      <c r="HM3148" s="5" t="s">
        <v>240</v>
      </c>
      <c r="HN3148" s="5" t="s">
        <v>240</v>
      </c>
      <c r="HO3148" s="5" t="s">
        <v>312</v>
      </c>
      <c r="HP3148" s="5" t="s">
        <v>240</v>
      </c>
      <c r="HQ3148" s="5" t="s">
        <v>240</v>
      </c>
      <c r="HR3148" s="5" t="s">
        <v>240</v>
      </c>
      <c r="HS3148" s="5" t="s">
        <v>240</v>
      </c>
      <c r="HT3148" s="5" t="s">
        <v>240</v>
      </c>
      <c r="HU3148" s="5" t="s">
        <v>240</v>
      </c>
      <c r="HV3148" s="5" t="s">
        <v>240</v>
      </c>
      <c r="HW3148" s="5" t="s">
        <v>240</v>
      </c>
      <c r="HX3148" s="5" t="s">
        <v>240</v>
      </c>
      <c r="HY3148" s="5" t="s">
        <v>240</v>
      </c>
      <c r="HZ3148" s="5" t="s">
        <v>240</v>
      </c>
      <c r="IA3148" s="5" t="s">
        <v>240</v>
      </c>
      <c r="IB3148" s="5" t="s">
        <v>240</v>
      </c>
      <c r="IC3148" s="5" t="s">
        <v>240</v>
      </c>
      <c r="ID3148" s="5" t="s">
        <v>240</v>
      </c>
      <c r="IE3148" s="5" t="s">
        <v>240</v>
      </c>
      <c r="IF3148" s="5" t="s">
        <v>240</v>
      </c>
    </row>
    <row r="3149" spans="1:240" x14ac:dyDescent="0.4">
      <c r="A3149" s="5">
        <v>4853</v>
      </c>
      <c r="B3149" s="5">
        <v>1</v>
      </c>
      <c r="C3149" s="5">
        <v>1</v>
      </c>
      <c r="D3149" s="5" t="s">
        <v>810</v>
      </c>
      <c r="E3149" s="5" t="s">
        <v>245</v>
      </c>
      <c r="F3149" s="5" t="s">
        <v>254</v>
      </c>
      <c r="G3149" s="5" t="s">
        <v>240</v>
      </c>
      <c r="H3149" s="6" t="s">
        <v>2250</v>
      </c>
      <c r="I3149" s="5" t="s">
        <v>809</v>
      </c>
      <c r="J3149" s="8">
        <f>806</f>
        <v>806</v>
      </c>
      <c r="K3149" s="5" t="s">
        <v>308</v>
      </c>
      <c r="L3149" s="7">
        <f>1</f>
        <v>1</v>
      </c>
      <c r="M3149" s="7">
        <f>1</f>
        <v>1</v>
      </c>
      <c r="N3149" s="5" t="s">
        <v>242</v>
      </c>
      <c r="O3149" s="5">
        <v>1</v>
      </c>
      <c r="P3149" s="5" t="s">
        <v>294</v>
      </c>
      <c r="Q3149" s="5" t="s">
        <v>3678</v>
      </c>
      <c r="R3149" s="5" t="s">
        <v>240</v>
      </c>
      <c r="S3149" s="5" t="s">
        <v>240</v>
      </c>
      <c r="T3149" s="5" t="s">
        <v>243</v>
      </c>
      <c r="U3149" s="5" t="s">
        <v>244</v>
      </c>
      <c r="V3149" s="5" t="s">
        <v>240</v>
      </c>
      <c r="W3149" s="5" t="s">
        <v>240</v>
      </c>
      <c r="X3149" s="5" t="s">
        <v>240</v>
      </c>
      <c r="Y3149" s="5" t="s">
        <v>240</v>
      </c>
      <c r="Z3149" s="6" t="s">
        <v>298</v>
      </c>
      <c r="AA3149" s="6" t="s">
        <v>240</v>
      </c>
      <c r="AB3149" s="6" t="s">
        <v>240</v>
      </c>
      <c r="AC3149" s="5" t="s">
        <v>240</v>
      </c>
      <c r="AD3149" s="6" t="s">
        <v>240</v>
      </c>
      <c r="AE3149" s="6" t="s">
        <v>299</v>
      </c>
      <c r="AF3149" s="5" t="s">
        <v>248</v>
      </c>
      <c r="AG3149" s="5" t="s">
        <v>249</v>
      </c>
      <c r="AH3149" s="5" t="s">
        <v>240</v>
      </c>
      <c r="AI3149" s="5" t="s">
        <v>240</v>
      </c>
      <c r="AJ3149" s="5" t="s">
        <v>240</v>
      </c>
      <c r="AK3149" s="5" t="s">
        <v>240</v>
      </c>
      <c r="AL3149" s="5" t="s">
        <v>240</v>
      </c>
      <c r="AM3149" s="5" t="s">
        <v>240</v>
      </c>
      <c r="AN3149" s="5" t="s">
        <v>240</v>
      </c>
      <c r="AO3149" s="5" t="s">
        <v>240</v>
      </c>
      <c r="AP3149" s="6" t="s">
        <v>240</v>
      </c>
      <c r="AQ3149" s="6" t="s">
        <v>240</v>
      </c>
      <c r="AR3149" s="6" t="s">
        <v>240</v>
      </c>
      <c r="AS3149" s="6" t="s">
        <v>240</v>
      </c>
      <c r="AT3149" s="5" t="s">
        <v>240</v>
      </c>
      <c r="AU3149" s="5" t="s">
        <v>729</v>
      </c>
      <c r="AV3149" s="5" t="s">
        <v>729</v>
      </c>
      <c r="AW3149" s="5" t="s">
        <v>251</v>
      </c>
      <c r="AX3149" s="5" t="s">
        <v>252</v>
      </c>
      <c r="AY3149" s="5" t="s">
        <v>253</v>
      </c>
      <c r="AZ3149" s="5" t="s">
        <v>240</v>
      </c>
      <c r="BA3149" s="5" t="s">
        <v>255</v>
      </c>
      <c r="BB3149" s="5" t="s">
        <v>731</v>
      </c>
      <c r="BD3149" s="5" t="s">
        <v>240</v>
      </c>
      <c r="BF3149" s="5" t="s">
        <v>732</v>
      </c>
      <c r="BG3149" s="6" t="s">
        <v>733</v>
      </c>
      <c r="BH3149" s="5" t="s">
        <v>734</v>
      </c>
      <c r="BI3149" s="5" t="s">
        <v>734</v>
      </c>
      <c r="BJ3149" s="5" t="s">
        <v>240</v>
      </c>
      <c r="BK3149" s="7">
        <f>1</f>
        <v>1</v>
      </c>
      <c r="BL3149" s="7">
        <f>1</f>
        <v>1</v>
      </c>
      <c r="BM3149" s="5" t="s">
        <v>258</v>
      </c>
      <c r="BN3149" s="5" t="s">
        <v>259</v>
      </c>
      <c r="BO3149" s="5" t="s">
        <v>240</v>
      </c>
      <c r="BP3149" s="5" t="s">
        <v>240</v>
      </c>
      <c r="BQ3149" s="5" t="s">
        <v>240</v>
      </c>
      <c r="BR3149" s="5" t="s">
        <v>240</v>
      </c>
      <c r="BS3149" s="5" t="s">
        <v>240</v>
      </c>
      <c r="BT3149" s="5" t="s">
        <v>240</v>
      </c>
      <c r="BU3149" s="5" t="s">
        <v>240</v>
      </c>
      <c r="BV3149" s="5" t="s">
        <v>240</v>
      </c>
      <c r="BW3149" s="6" t="s">
        <v>240</v>
      </c>
      <c r="BX3149" s="5" t="s">
        <v>240</v>
      </c>
      <c r="BY3149" s="5" t="s">
        <v>240</v>
      </c>
      <c r="BZ3149" s="5" t="s">
        <v>240</v>
      </c>
      <c r="CA3149" s="5" t="s">
        <v>259</v>
      </c>
      <c r="CB3149" s="5" t="s">
        <v>240</v>
      </c>
      <c r="CC3149" s="5" t="s">
        <v>240</v>
      </c>
      <c r="CD3149" s="5" t="s">
        <v>240</v>
      </c>
      <c r="CE3149" s="5" t="s">
        <v>240</v>
      </c>
      <c r="CF3149" s="5" t="s">
        <v>240</v>
      </c>
      <c r="CG3149" s="5" t="s">
        <v>304</v>
      </c>
      <c r="CH3149" s="5" t="s">
        <v>305</v>
      </c>
      <c r="CI3149" s="5" t="s">
        <v>240</v>
      </c>
      <c r="CK3149" s="5" t="s">
        <v>3681</v>
      </c>
      <c r="CL3149" s="6" t="s">
        <v>261</v>
      </c>
      <c r="CM3149" s="5" t="s">
        <v>262</v>
      </c>
      <c r="CN3149" s="5" t="s">
        <v>263</v>
      </c>
      <c r="CO3149" s="5" t="s">
        <v>264</v>
      </c>
      <c r="CP3149" s="5" t="s">
        <v>240</v>
      </c>
      <c r="CQ3149" s="5">
        <v>0</v>
      </c>
      <c r="CR3149" s="5" t="s">
        <v>735</v>
      </c>
      <c r="CS3149" s="5" t="s">
        <v>307</v>
      </c>
      <c r="CT3149" s="5" t="s">
        <v>307</v>
      </c>
      <c r="CU3149" s="5" t="s">
        <v>260</v>
      </c>
      <c r="CV3149" s="5" t="s">
        <v>612</v>
      </c>
      <c r="CW3149" s="8">
        <f>1</f>
        <v>1</v>
      </c>
      <c r="CX3149" s="7">
        <f>1</f>
        <v>1</v>
      </c>
      <c r="CY3149" s="7">
        <f>0</f>
        <v>0</v>
      </c>
      <c r="DA3149" s="7">
        <f>1</f>
        <v>1</v>
      </c>
      <c r="DB3149" s="7" t="s">
        <v>240</v>
      </c>
      <c r="DC3149" s="5" t="s">
        <v>240</v>
      </c>
      <c r="DD3149" s="5" t="s">
        <v>240</v>
      </c>
      <c r="DE3149" s="5" t="s">
        <v>240</v>
      </c>
      <c r="DF3149" s="5" t="s">
        <v>240</v>
      </c>
      <c r="DG3149" s="7">
        <f>0</f>
        <v>0</v>
      </c>
      <c r="DI3149" s="5" t="s">
        <v>240</v>
      </c>
      <c r="DJ3149" s="5" t="s">
        <v>240</v>
      </c>
      <c r="DK3149" s="5" t="s">
        <v>240</v>
      </c>
      <c r="DL3149" s="5" t="s">
        <v>240</v>
      </c>
      <c r="DM3149" s="5" t="s">
        <v>240</v>
      </c>
      <c r="DN3149" s="5" t="s">
        <v>240</v>
      </c>
      <c r="DO3149" s="7" t="s">
        <v>240</v>
      </c>
      <c r="DP3149" s="5" t="s">
        <v>240</v>
      </c>
      <c r="DQ3149" s="5" t="s">
        <v>240</v>
      </c>
      <c r="DR3149" s="5" t="s">
        <v>731</v>
      </c>
      <c r="DS3149" s="5" t="s">
        <v>731</v>
      </c>
      <c r="DT3149" s="5" t="s">
        <v>240</v>
      </c>
      <c r="DU3149" s="5" t="s">
        <v>240</v>
      </c>
      <c r="DV3149" s="5" t="s">
        <v>3683</v>
      </c>
      <c r="DW3149" s="5" t="s">
        <v>338</v>
      </c>
      <c r="DX3149" s="5" t="s">
        <v>240</v>
      </c>
      <c r="DY3149" s="5" t="s">
        <v>240</v>
      </c>
      <c r="DZ3149" s="5" t="s">
        <v>240</v>
      </c>
      <c r="EA3149" s="5" t="s">
        <v>240</v>
      </c>
      <c r="EB3149" s="5" t="s">
        <v>240</v>
      </c>
      <c r="EC3149" s="5" t="s">
        <v>240</v>
      </c>
      <c r="ED3149" s="5" t="s">
        <v>240</v>
      </c>
      <c r="EE3149" s="5" t="s">
        <v>240</v>
      </c>
      <c r="EF3149" s="5" t="s">
        <v>240</v>
      </c>
      <c r="EG3149" s="5" t="s">
        <v>240</v>
      </c>
      <c r="EH3149" s="5" t="s">
        <v>240</v>
      </c>
      <c r="EI3149" s="5" t="s">
        <v>240</v>
      </c>
      <c r="EJ3149" s="5" t="s">
        <v>240</v>
      </c>
      <c r="EK3149" s="5" t="s">
        <v>240</v>
      </c>
      <c r="EL3149" s="5" t="s">
        <v>240</v>
      </c>
      <c r="EM3149" s="5" t="s">
        <v>240</v>
      </c>
      <c r="EN3149" s="5" t="s">
        <v>240</v>
      </c>
      <c r="EO3149" s="5" t="s">
        <v>240</v>
      </c>
      <c r="EP3149" s="5" t="s">
        <v>240</v>
      </c>
      <c r="EQ3149" s="5" t="s">
        <v>240</v>
      </c>
      <c r="ER3149" s="5" t="s">
        <v>240</v>
      </c>
      <c r="ES3149" s="5" t="s">
        <v>240</v>
      </c>
      <c r="ET3149" s="5" t="s">
        <v>240</v>
      </c>
      <c r="EU3149" s="5" t="s">
        <v>240</v>
      </c>
      <c r="EV3149" s="5" t="s">
        <v>240</v>
      </c>
      <c r="EW3149" s="5" t="s">
        <v>240</v>
      </c>
      <c r="EX3149" s="5" t="s">
        <v>240</v>
      </c>
      <c r="EY3149" s="5" t="s">
        <v>240</v>
      </c>
      <c r="EZ3149" s="5" t="s">
        <v>240</v>
      </c>
      <c r="FA3149" s="5" t="s">
        <v>240</v>
      </c>
      <c r="FB3149" s="5" t="s">
        <v>240</v>
      </c>
      <c r="FC3149" s="5" t="s">
        <v>240</v>
      </c>
      <c r="FD3149" s="5" t="s">
        <v>240</v>
      </c>
      <c r="FE3149" s="5" t="s">
        <v>240</v>
      </c>
      <c r="FF3149" s="5" t="s">
        <v>240</v>
      </c>
      <c r="FG3149" s="5" t="s">
        <v>240</v>
      </c>
      <c r="FH3149" s="5" t="s">
        <v>240</v>
      </c>
      <c r="FI3149" s="5" t="s">
        <v>240</v>
      </c>
      <c r="FJ3149" s="5" t="s">
        <v>240</v>
      </c>
      <c r="FK3149" s="5" t="s">
        <v>240</v>
      </c>
      <c r="FL3149" s="5" t="s">
        <v>240</v>
      </c>
      <c r="FM3149" s="5" t="s">
        <v>240</v>
      </c>
      <c r="FN3149" s="5" t="s">
        <v>240</v>
      </c>
      <c r="FO3149" s="5" t="s">
        <v>240</v>
      </c>
      <c r="FP3149" s="5" t="s">
        <v>240</v>
      </c>
      <c r="FQ3149" s="5" t="s">
        <v>240</v>
      </c>
      <c r="FR3149" s="5" t="s">
        <v>240</v>
      </c>
      <c r="FS3149" s="5" t="s">
        <v>240</v>
      </c>
      <c r="FT3149" s="5" t="s">
        <v>240</v>
      </c>
      <c r="FU3149" s="5" t="s">
        <v>240</v>
      </c>
      <c r="FV3149" s="5" t="s">
        <v>240</v>
      </c>
      <c r="FW3149" s="5" t="s">
        <v>240</v>
      </c>
      <c r="FX3149" s="5" t="s">
        <v>240</v>
      </c>
      <c r="FY3149" s="5" t="s">
        <v>240</v>
      </c>
      <c r="FZ3149" s="5" t="s">
        <v>240</v>
      </c>
      <c r="GA3149" s="5" t="s">
        <v>240</v>
      </c>
      <c r="GB3149" s="5" t="s">
        <v>240</v>
      </c>
      <c r="GC3149" s="5" t="s">
        <v>240</v>
      </c>
      <c r="GD3149" s="5" t="s">
        <v>240</v>
      </c>
      <c r="GE3149" s="5" t="s">
        <v>240</v>
      </c>
      <c r="GF3149" s="5" t="s">
        <v>240</v>
      </c>
      <c r="GG3149" s="5" t="s">
        <v>240</v>
      </c>
      <c r="GH3149" s="5" t="s">
        <v>240</v>
      </c>
      <c r="GI3149" s="5" t="s">
        <v>240</v>
      </c>
      <c r="GJ3149" s="5" t="s">
        <v>240</v>
      </c>
      <c r="GK3149" s="5" t="s">
        <v>240</v>
      </c>
      <c r="GL3149" s="5" t="s">
        <v>240</v>
      </c>
      <c r="GM3149" s="5" t="s">
        <v>240</v>
      </c>
      <c r="GN3149" s="5" t="s">
        <v>240</v>
      </c>
      <c r="GO3149" s="5" t="s">
        <v>240</v>
      </c>
      <c r="GP3149" s="5" t="s">
        <v>240</v>
      </c>
      <c r="GQ3149" s="5" t="s">
        <v>240</v>
      </c>
      <c r="GR3149" s="5" t="s">
        <v>240</v>
      </c>
      <c r="GS3149" s="5" t="s">
        <v>240</v>
      </c>
      <c r="GT3149" s="5" t="s">
        <v>240</v>
      </c>
      <c r="GU3149" s="5" t="s">
        <v>240</v>
      </c>
      <c r="GV3149" s="5" t="s">
        <v>240</v>
      </c>
      <c r="GW3149" s="5" t="s">
        <v>240</v>
      </c>
      <c r="GX3149" s="5" t="s">
        <v>240</v>
      </c>
      <c r="GY3149" s="5" t="s">
        <v>240</v>
      </c>
      <c r="GZ3149" s="5" t="s">
        <v>240</v>
      </c>
      <c r="HA3149" s="5" t="s">
        <v>240</v>
      </c>
      <c r="HB3149" s="5" t="s">
        <v>240</v>
      </c>
      <c r="HC3149" s="5" t="s">
        <v>240</v>
      </c>
      <c r="HD3149" s="5" t="s">
        <v>240</v>
      </c>
      <c r="HE3149" s="5" t="s">
        <v>240</v>
      </c>
      <c r="HF3149" s="5" t="s">
        <v>240</v>
      </c>
      <c r="HG3149" s="5" t="s">
        <v>240</v>
      </c>
      <c r="HH3149" s="5" t="s">
        <v>240</v>
      </c>
      <c r="HI3149" s="5" t="s">
        <v>240</v>
      </c>
      <c r="HJ3149" s="5" t="s">
        <v>240</v>
      </c>
      <c r="HK3149" s="5" t="s">
        <v>240</v>
      </c>
      <c r="HL3149" s="5" t="s">
        <v>240</v>
      </c>
      <c r="HM3149" s="5" t="s">
        <v>240</v>
      </c>
      <c r="HN3149" s="5" t="s">
        <v>240</v>
      </c>
      <c r="HO3149" s="5" t="s">
        <v>312</v>
      </c>
      <c r="HP3149" s="5" t="s">
        <v>240</v>
      </c>
      <c r="HQ3149" s="5" t="s">
        <v>240</v>
      </c>
      <c r="HR3149" s="5" t="s">
        <v>240</v>
      </c>
      <c r="HS3149" s="5" t="s">
        <v>240</v>
      </c>
      <c r="HT3149" s="5" t="s">
        <v>240</v>
      </c>
      <c r="HU3149" s="5" t="s">
        <v>240</v>
      </c>
      <c r="HV3149" s="5" t="s">
        <v>240</v>
      </c>
      <c r="HW3149" s="5" t="s">
        <v>240</v>
      </c>
      <c r="HX3149" s="5" t="s">
        <v>240</v>
      </c>
      <c r="HY3149" s="5" t="s">
        <v>240</v>
      </c>
      <c r="HZ3149" s="5" t="s">
        <v>240</v>
      </c>
      <c r="IA3149" s="5" t="s">
        <v>240</v>
      </c>
      <c r="IB3149" s="5" t="s">
        <v>240</v>
      </c>
      <c r="IC3149" s="5" t="s">
        <v>240</v>
      </c>
      <c r="ID3149" s="5" t="s">
        <v>240</v>
      </c>
      <c r="IE3149" s="5" t="s">
        <v>240</v>
      </c>
      <c r="IF3149" s="5" t="s">
        <v>240</v>
      </c>
    </row>
    <row r="3150" spans="1:240" x14ac:dyDescent="0.4">
      <c r="A3150" s="5">
        <v>4854</v>
      </c>
      <c r="B3150" s="5">
        <v>1</v>
      </c>
      <c r="C3150" s="5">
        <v>1</v>
      </c>
      <c r="D3150" s="5" t="s">
        <v>810</v>
      </c>
      <c r="E3150" s="5" t="s">
        <v>245</v>
      </c>
      <c r="F3150" s="5" t="s">
        <v>254</v>
      </c>
      <c r="G3150" s="5" t="s">
        <v>240</v>
      </c>
      <c r="H3150" s="6" t="s">
        <v>2248</v>
      </c>
      <c r="I3150" s="5" t="s">
        <v>809</v>
      </c>
      <c r="J3150" s="8">
        <f>1185</f>
        <v>1185</v>
      </c>
      <c r="K3150" s="5" t="s">
        <v>308</v>
      </c>
      <c r="L3150" s="7">
        <f>1</f>
        <v>1</v>
      </c>
      <c r="M3150" s="7">
        <f>1</f>
        <v>1</v>
      </c>
      <c r="N3150" s="5" t="s">
        <v>242</v>
      </c>
      <c r="O3150" s="5">
        <v>1</v>
      </c>
      <c r="P3150" s="5" t="s">
        <v>294</v>
      </c>
      <c r="Q3150" s="5" t="s">
        <v>266</v>
      </c>
      <c r="R3150" s="5" t="s">
        <v>240</v>
      </c>
      <c r="S3150" s="5" t="s">
        <v>240</v>
      </c>
      <c r="T3150" s="5" t="s">
        <v>296</v>
      </c>
      <c r="U3150" s="5" t="s">
        <v>244</v>
      </c>
      <c r="V3150" s="5" t="s">
        <v>240</v>
      </c>
      <c r="Y3150" s="5" t="s">
        <v>240</v>
      </c>
      <c r="Z3150" s="6" t="s">
        <v>298</v>
      </c>
      <c r="AB3150" s="6" t="s">
        <v>240</v>
      </c>
      <c r="AE3150" s="6" t="s">
        <v>299</v>
      </c>
      <c r="AF3150" s="5" t="s">
        <v>248</v>
      </c>
      <c r="AG3150" s="5" t="s">
        <v>249</v>
      </c>
      <c r="AW3150" s="5" t="s">
        <v>251</v>
      </c>
      <c r="AX3150" s="5" t="s">
        <v>240</v>
      </c>
      <c r="AY3150" s="5" t="s">
        <v>253</v>
      </c>
      <c r="AZ3150" s="5" t="s">
        <v>240</v>
      </c>
      <c r="BA3150" s="5" t="s">
        <v>255</v>
      </c>
      <c r="BB3150" s="5" t="s">
        <v>240</v>
      </c>
      <c r="BD3150" s="5" t="s">
        <v>240</v>
      </c>
      <c r="BF3150" s="5" t="s">
        <v>301</v>
      </c>
      <c r="BG3150" s="6" t="s">
        <v>299</v>
      </c>
      <c r="BH3150" s="5" t="s">
        <v>302</v>
      </c>
      <c r="BI3150" s="5" t="s">
        <v>303</v>
      </c>
      <c r="BJ3150" s="5" t="s">
        <v>240</v>
      </c>
      <c r="BK3150" s="8">
        <f>0</f>
        <v>0</v>
      </c>
      <c r="BL3150" s="7">
        <f>0</f>
        <v>0</v>
      </c>
      <c r="BM3150" s="5" t="s">
        <v>258</v>
      </c>
      <c r="BN3150" s="5" t="s">
        <v>259</v>
      </c>
      <c r="CB3150" s="5" t="s">
        <v>240</v>
      </c>
      <c r="CC3150" s="5" t="s">
        <v>240</v>
      </c>
      <c r="CG3150" s="5" t="s">
        <v>304</v>
      </c>
      <c r="CH3150" s="5" t="s">
        <v>305</v>
      </c>
      <c r="CI3150" s="5" t="s">
        <v>240</v>
      </c>
      <c r="CL3150" s="6" t="s">
        <v>261</v>
      </c>
      <c r="CM3150" s="5" t="s">
        <v>240</v>
      </c>
      <c r="CN3150" s="5" t="s">
        <v>263</v>
      </c>
      <c r="CO3150" s="5" t="s">
        <v>240</v>
      </c>
      <c r="CP3150" s="5" t="s">
        <v>240</v>
      </c>
      <c r="CQ3150" s="5">
        <v>0</v>
      </c>
      <c r="CR3150" s="5" t="s">
        <v>306</v>
      </c>
      <c r="CS3150" s="5" t="s">
        <v>307</v>
      </c>
      <c r="CT3150" s="5" t="s">
        <v>307</v>
      </c>
      <c r="CU3150" s="5" t="s">
        <v>260</v>
      </c>
      <c r="CX3150" s="7">
        <f>1</f>
        <v>1</v>
      </c>
      <c r="CY3150" s="7">
        <f>0</f>
        <v>0</v>
      </c>
      <c r="DA3150" s="7">
        <f>0</f>
        <v>0</v>
      </c>
      <c r="DC3150" s="5" t="s">
        <v>309</v>
      </c>
      <c r="DD3150" s="5" t="s">
        <v>240</v>
      </c>
      <c r="DF3150" s="5" t="s">
        <v>309</v>
      </c>
      <c r="DG3150" s="7">
        <f>921</f>
        <v>921</v>
      </c>
      <c r="DI3150" s="5" t="s">
        <v>240</v>
      </c>
      <c r="DJ3150" s="5" t="s">
        <v>240</v>
      </c>
      <c r="DK3150" s="5" t="s">
        <v>240</v>
      </c>
      <c r="DL3150" s="5" t="s">
        <v>240</v>
      </c>
      <c r="DP3150" s="5" t="s">
        <v>240</v>
      </c>
      <c r="DQ3150" s="5" t="s">
        <v>240</v>
      </c>
      <c r="DR3150" s="5" t="s">
        <v>240</v>
      </c>
      <c r="DS3150" s="5" t="s">
        <v>240</v>
      </c>
      <c r="DV3150" s="5" t="s">
        <v>310</v>
      </c>
      <c r="DW3150" s="5" t="s">
        <v>2670</v>
      </c>
      <c r="HO3150" s="5" t="s">
        <v>312</v>
      </c>
    </row>
    <row r="3151" spans="1:240" x14ac:dyDescent="0.4">
      <c r="A3151" s="5">
        <v>4855</v>
      </c>
      <c r="B3151" s="5">
        <v>1</v>
      </c>
      <c r="C3151" s="5">
        <v>1</v>
      </c>
      <c r="D3151" s="5" t="s">
        <v>810</v>
      </c>
      <c r="E3151" s="5" t="s">
        <v>245</v>
      </c>
      <c r="F3151" s="5" t="s">
        <v>254</v>
      </c>
      <c r="G3151" s="5" t="s">
        <v>240</v>
      </c>
      <c r="H3151" s="6" t="s">
        <v>2246</v>
      </c>
      <c r="I3151" s="5" t="s">
        <v>809</v>
      </c>
      <c r="J3151" s="8">
        <f>1238</f>
        <v>1238</v>
      </c>
      <c r="K3151" s="5" t="s">
        <v>308</v>
      </c>
      <c r="L3151" s="7">
        <f>1</f>
        <v>1</v>
      </c>
      <c r="M3151" s="7">
        <f>1</f>
        <v>1</v>
      </c>
      <c r="N3151" s="5" t="s">
        <v>242</v>
      </c>
      <c r="O3151" s="5">
        <v>1</v>
      </c>
      <c r="P3151" s="5" t="s">
        <v>294</v>
      </c>
      <c r="Q3151" s="5" t="s">
        <v>3678</v>
      </c>
      <c r="R3151" s="5" t="s">
        <v>240</v>
      </c>
      <c r="S3151" s="5" t="s">
        <v>240</v>
      </c>
      <c r="T3151" s="5" t="s">
        <v>243</v>
      </c>
      <c r="U3151" s="5" t="s">
        <v>244</v>
      </c>
      <c r="V3151" s="5" t="s">
        <v>240</v>
      </c>
      <c r="W3151" s="5" t="s">
        <v>240</v>
      </c>
      <c r="X3151" s="5" t="s">
        <v>240</v>
      </c>
      <c r="Y3151" s="5" t="s">
        <v>240</v>
      </c>
      <c r="Z3151" s="6" t="s">
        <v>298</v>
      </c>
      <c r="AA3151" s="6" t="s">
        <v>240</v>
      </c>
      <c r="AB3151" s="6" t="s">
        <v>240</v>
      </c>
      <c r="AC3151" s="5" t="s">
        <v>240</v>
      </c>
      <c r="AD3151" s="6" t="s">
        <v>240</v>
      </c>
      <c r="AE3151" s="6" t="s">
        <v>299</v>
      </c>
      <c r="AF3151" s="5" t="s">
        <v>248</v>
      </c>
      <c r="AG3151" s="5" t="s">
        <v>249</v>
      </c>
      <c r="AH3151" s="5" t="s">
        <v>240</v>
      </c>
      <c r="AI3151" s="5" t="s">
        <v>240</v>
      </c>
      <c r="AJ3151" s="5" t="s">
        <v>240</v>
      </c>
      <c r="AK3151" s="5" t="s">
        <v>240</v>
      </c>
      <c r="AL3151" s="5" t="s">
        <v>240</v>
      </c>
      <c r="AM3151" s="5" t="s">
        <v>240</v>
      </c>
      <c r="AN3151" s="5" t="s">
        <v>240</v>
      </c>
      <c r="AO3151" s="5" t="s">
        <v>240</v>
      </c>
      <c r="AP3151" s="6" t="s">
        <v>240</v>
      </c>
      <c r="AQ3151" s="6" t="s">
        <v>240</v>
      </c>
      <c r="AR3151" s="6" t="s">
        <v>240</v>
      </c>
      <c r="AS3151" s="6" t="s">
        <v>240</v>
      </c>
      <c r="AT3151" s="5" t="s">
        <v>240</v>
      </c>
      <c r="AU3151" s="5" t="s">
        <v>729</v>
      </c>
      <c r="AV3151" s="5" t="s">
        <v>729</v>
      </c>
      <c r="AW3151" s="5" t="s">
        <v>251</v>
      </c>
      <c r="AX3151" s="5" t="s">
        <v>252</v>
      </c>
      <c r="AY3151" s="5" t="s">
        <v>253</v>
      </c>
      <c r="AZ3151" s="5" t="s">
        <v>240</v>
      </c>
      <c r="BA3151" s="5" t="s">
        <v>255</v>
      </c>
      <c r="BB3151" s="5" t="s">
        <v>731</v>
      </c>
      <c r="BD3151" s="5" t="s">
        <v>240</v>
      </c>
      <c r="BF3151" s="5" t="s">
        <v>732</v>
      </c>
      <c r="BG3151" s="6" t="s">
        <v>733</v>
      </c>
      <c r="BH3151" s="5" t="s">
        <v>734</v>
      </c>
      <c r="BI3151" s="5" t="s">
        <v>734</v>
      </c>
      <c r="BJ3151" s="5" t="s">
        <v>240</v>
      </c>
      <c r="BK3151" s="7">
        <f>1</f>
        <v>1</v>
      </c>
      <c r="BL3151" s="7">
        <f>1</f>
        <v>1</v>
      </c>
      <c r="BM3151" s="5" t="s">
        <v>258</v>
      </c>
      <c r="BN3151" s="5" t="s">
        <v>259</v>
      </c>
      <c r="BO3151" s="5" t="s">
        <v>240</v>
      </c>
      <c r="BP3151" s="5" t="s">
        <v>240</v>
      </c>
      <c r="BQ3151" s="5" t="s">
        <v>240</v>
      </c>
      <c r="BR3151" s="5" t="s">
        <v>240</v>
      </c>
      <c r="BS3151" s="5" t="s">
        <v>240</v>
      </c>
      <c r="BT3151" s="5" t="s">
        <v>240</v>
      </c>
      <c r="BU3151" s="5" t="s">
        <v>240</v>
      </c>
      <c r="BV3151" s="5" t="s">
        <v>240</v>
      </c>
      <c r="BW3151" s="6" t="s">
        <v>240</v>
      </c>
      <c r="BX3151" s="5" t="s">
        <v>240</v>
      </c>
      <c r="BY3151" s="5" t="s">
        <v>240</v>
      </c>
      <c r="BZ3151" s="5" t="s">
        <v>240</v>
      </c>
      <c r="CA3151" s="5" t="s">
        <v>259</v>
      </c>
      <c r="CB3151" s="5" t="s">
        <v>240</v>
      </c>
      <c r="CC3151" s="5" t="s">
        <v>240</v>
      </c>
      <c r="CD3151" s="5" t="s">
        <v>240</v>
      </c>
      <c r="CE3151" s="5" t="s">
        <v>240</v>
      </c>
      <c r="CF3151" s="5" t="s">
        <v>240</v>
      </c>
      <c r="CG3151" s="5" t="s">
        <v>304</v>
      </c>
      <c r="CH3151" s="5" t="s">
        <v>305</v>
      </c>
      <c r="CI3151" s="5" t="s">
        <v>240</v>
      </c>
      <c r="CK3151" s="5" t="s">
        <v>3681</v>
      </c>
      <c r="CL3151" s="6" t="s">
        <v>261</v>
      </c>
      <c r="CM3151" s="5" t="s">
        <v>262</v>
      </c>
      <c r="CN3151" s="5" t="s">
        <v>263</v>
      </c>
      <c r="CO3151" s="5" t="s">
        <v>264</v>
      </c>
      <c r="CP3151" s="5" t="s">
        <v>240</v>
      </c>
      <c r="CQ3151" s="5">
        <v>0</v>
      </c>
      <c r="CR3151" s="5" t="s">
        <v>735</v>
      </c>
      <c r="CS3151" s="5" t="s">
        <v>307</v>
      </c>
      <c r="CT3151" s="5" t="s">
        <v>307</v>
      </c>
      <c r="CU3151" s="5" t="s">
        <v>260</v>
      </c>
      <c r="CV3151" s="5" t="s">
        <v>612</v>
      </c>
      <c r="CW3151" s="8">
        <f>1</f>
        <v>1</v>
      </c>
      <c r="CX3151" s="7">
        <f>1</f>
        <v>1</v>
      </c>
      <c r="CY3151" s="7">
        <f>0</f>
        <v>0</v>
      </c>
      <c r="DA3151" s="7">
        <f>1</f>
        <v>1</v>
      </c>
      <c r="DB3151" s="7" t="s">
        <v>240</v>
      </c>
      <c r="DC3151" s="5" t="s">
        <v>240</v>
      </c>
      <c r="DD3151" s="5" t="s">
        <v>240</v>
      </c>
      <c r="DE3151" s="5" t="s">
        <v>240</v>
      </c>
      <c r="DF3151" s="5" t="s">
        <v>240</v>
      </c>
      <c r="DG3151" s="7">
        <f>0</f>
        <v>0</v>
      </c>
      <c r="DI3151" s="5" t="s">
        <v>240</v>
      </c>
      <c r="DJ3151" s="5" t="s">
        <v>240</v>
      </c>
      <c r="DK3151" s="5" t="s">
        <v>240</v>
      </c>
      <c r="DL3151" s="5" t="s">
        <v>240</v>
      </c>
      <c r="DM3151" s="5" t="s">
        <v>240</v>
      </c>
      <c r="DN3151" s="5" t="s">
        <v>240</v>
      </c>
      <c r="DO3151" s="7" t="s">
        <v>240</v>
      </c>
      <c r="DP3151" s="5" t="s">
        <v>240</v>
      </c>
      <c r="DQ3151" s="5" t="s">
        <v>240</v>
      </c>
      <c r="DR3151" s="5" t="s">
        <v>731</v>
      </c>
      <c r="DS3151" s="5" t="s">
        <v>731</v>
      </c>
      <c r="DT3151" s="5" t="s">
        <v>240</v>
      </c>
      <c r="DU3151" s="5" t="s">
        <v>240</v>
      </c>
      <c r="DV3151" s="5" t="s">
        <v>3683</v>
      </c>
      <c r="DW3151" s="5" t="s">
        <v>330</v>
      </c>
      <c r="DX3151" s="5" t="s">
        <v>240</v>
      </c>
      <c r="DY3151" s="5" t="s">
        <v>240</v>
      </c>
      <c r="DZ3151" s="5" t="s">
        <v>240</v>
      </c>
      <c r="EA3151" s="5" t="s">
        <v>240</v>
      </c>
      <c r="EB3151" s="5" t="s">
        <v>240</v>
      </c>
      <c r="EC3151" s="5" t="s">
        <v>240</v>
      </c>
      <c r="ED3151" s="5" t="s">
        <v>240</v>
      </c>
      <c r="EE3151" s="5" t="s">
        <v>240</v>
      </c>
      <c r="EF3151" s="5" t="s">
        <v>240</v>
      </c>
      <c r="EG3151" s="5" t="s">
        <v>240</v>
      </c>
      <c r="EH3151" s="5" t="s">
        <v>240</v>
      </c>
      <c r="EI3151" s="5" t="s">
        <v>240</v>
      </c>
      <c r="EJ3151" s="5" t="s">
        <v>240</v>
      </c>
      <c r="EK3151" s="5" t="s">
        <v>240</v>
      </c>
      <c r="EL3151" s="5" t="s">
        <v>240</v>
      </c>
      <c r="EM3151" s="5" t="s">
        <v>240</v>
      </c>
      <c r="EN3151" s="5" t="s">
        <v>240</v>
      </c>
      <c r="EO3151" s="5" t="s">
        <v>240</v>
      </c>
      <c r="EP3151" s="5" t="s">
        <v>240</v>
      </c>
      <c r="EQ3151" s="5" t="s">
        <v>240</v>
      </c>
      <c r="ER3151" s="5" t="s">
        <v>240</v>
      </c>
      <c r="ES3151" s="5" t="s">
        <v>240</v>
      </c>
      <c r="ET3151" s="5" t="s">
        <v>240</v>
      </c>
      <c r="EU3151" s="5" t="s">
        <v>240</v>
      </c>
      <c r="EV3151" s="5" t="s">
        <v>240</v>
      </c>
      <c r="EW3151" s="5" t="s">
        <v>240</v>
      </c>
      <c r="EX3151" s="5" t="s">
        <v>240</v>
      </c>
      <c r="EY3151" s="5" t="s">
        <v>240</v>
      </c>
      <c r="EZ3151" s="5" t="s">
        <v>240</v>
      </c>
      <c r="FA3151" s="5" t="s">
        <v>240</v>
      </c>
      <c r="FB3151" s="5" t="s">
        <v>240</v>
      </c>
      <c r="FC3151" s="5" t="s">
        <v>240</v>
      </c>
      <c r="FD3151" s="5" t="s">
        <v>240</v>
      </c>
      <c r="FE3151" s="5" t="s">
        <v>240</v>
      </c>
      <c r="FF3151" s="5" t="s">
        <v>240</v>
      </c>
      <c r="FG3151" s="5" t="s">
        <v>240</v>
      </c>
      <c r="FH3151" s="5" t="s">
        <v>240</v>
      </c>
      <c r="FI3151" s="5" t="s">
        <v>240</v>
      </c>
      <c r="FJ3151" s="5" t="s">
        <v>240</v>
      </c>
      <c r="FK3151" s="5" t="s">
        <v>240</v>
      </c>
      <c r="FL3151" s="5" t="s">
        <v>240</v>
      </c>
      <c r="FM3151" s="5" t="s">
        <v>240</v>
      </c>
      <c r="FN3151" s="5" t="s">
        <v>240</v>
      </c>
      <c r="FO3151" s="5" t="s">
        <v>240</v>
      </c>
      <c r="FP3151" s="5" t="s">
        <v>240</v>
      </c>
      <c r="FQ3151" s="5" t="s">
        <v>240</v>
      </c>
      <c r="FR3151" s="5" t="s">
        <v>240</v>
      </c>
      <c r="FS3151" s="5" t="s">
        <v>240</v>
      </c>
      <c r="FT3151" s="5" t="s">
        <v>240</v>
      </c>
      <c r="FU3151" s="5" t="s">
        <v>240</v>
      </c>
      <c r="FV3151" s="5" t="s">
        <v>240</v>
      </c>
      <c r="FW3151" s="5" t="s">
        <v>240</v>
      </c>
      <c r="FX3151" s="5" t="s">
        <v>240</v>
      </c>
      <c r="FY3151" s="5" t="s">
        <v>240</v>
      </c>
      <c r="FZ3151" s="5" t="s">
        <v>240</v>
      </c>
      <c r="GA3151" s="5" t="s">
        <v>240</v>
      </c>
      <c r="GB3151" s="5" t="s">
        <v>240</v>
      </c>
      <c r="GC3151" s="5" t="s">
        <v>240</v>
      </c>
      <c r="GD3151" s="5" t="s">
        <v>240</v>
      </c>
      <c r="GE3151" s="5" t="s">
        <v>240</v>
      </c>
      <c r="GF3151" s="5" t="s">
        <v>240</v>
      </c>
      <c r="GG3151" s="5" t="s">
        <v>240</v>
      </c>
      <c r="GH3151" s="5" t="s">
        <v>240</v>
      </c>
      <c r="GI3151" s="5" t="s">
        <v>240</v>
      </c>
      <c r="GJ3151" s="5" t="s">
        <v>240</v>
      </c>
      <c r="GK3151" s="5" t="s">
        <v>240</v>
      </c>
      <c r="GL3151" s="5" t="s">
        <v>240</v>
      </c>
      <c r="GM3151" s="5" t="s">
        <v>240</v>
      </c>
      <c r="GN3151" s="5" t="s">
        <v>240</v>
      </c>
      <c r="GO3151" s="5" t="s">
        <v>240</v>
      </c>
      <c r="GP3151" s="5" t="s">
        <v>240</v>
      </c>
      <c r="GQ3151" s="5" t="s">
        <v>240</v>
      </c>
      <c r="GR3151" s="5" t="s">
        <v>240</v>
      </c>
      <c r="GS3151" s="5" t="s">
        <v>240</v>
      </c>
      <c r="GT3151" s="5" t="s">
        <v>240</v>
      </c>
      <c r="GU3151" s="5" t="s">
        <v>240</v>
      </c>
      <c r="GV3151" s="5" t="s">
        <v>240</v>
      </c>
      <c r="GW3151" s="5" t="s">
        <v>240</v>
      </c>
      <c r="GX3151" s="5" t="s">
        <v>240</v>
      </c>
      <c r="GY3151" s="5" t="s">
        <v>240</v>
      </c>
      <c r="GZ3151" s="5" t="s">
        <v>240</v>
      </c>
      <c r="HA3151" s="5" t="s">
        <v>240</v>
      </c>
      <c r="HB3151" s="5" t="s">
        <v>240</v>
      </c>
      <c r="HC3151" s="5" t="s">
        <v>240</v>
      </c>
      <c r="HD3151" s="5" t="s">
        <v>240</v>
      </c>
      <c r="HE3151" s="5" t="s">
        <v>240</v>
      </c>
      <c r="HF3151" s="5" t="s">
        <v>240</v>
      </c>
      <c r="HG3151" s="5" t="s">
        <v>240</v>
      </c>
      <c r="HH3151" s="5" t="s">
        <v>240</v>
      </c>
      <c r="HI3151" s="5" t="s">
        <v>240</v>
      </c>
      <c r="HJ3151" s="5" t="s">
        <v>240</v>
      </c>
      <c r="HK3151" s="5" t="s">
        <v>240</v>
      </c>
      <c r="HL3151" s="5" t="s">
        <v>240</v>
      </c>
      <c r="HM3151" s="5" t="s">
        <v>240</v>
      </c>
      <c r="HN3151" s="5" t="s">
        <v>240</v>
      </c>
      <c r="HO3151" s="5" t="s">
        <v>312</v>
      </c>
      <c r="HP3151" s="5" t="s">
        <v>240</v>
      </c>
      <c r="HQ3151" s="5" t="s">
        <v>240</v>
      </c>
      <c r="HR3151" s="5" t="s">
        <v>240</v>
      </c>
      <c r="HS3151" s="5" t="s">
        <v>240</v>
      </c>
      <c r="HT3151" s="5" t="s">
        <v>240</v>
      </c>
      <c r="HU3151" s="5" t="s">
        <v>240</v>
      </c>
      <c r="HV3151" s="5" t="s">
        <v>240</v>
      </c>
      <c r="HW3151" s="5" t="s">
        <v>240</v>
      </c>
      <c r="HX3151" s="5" t="s">
        <v>240</v>
      </c>
      <c r="HY3151" s="5" t="s">
        <v>240</v>
      </c>
      <c r="HZ3151" s="5" t="s">
        <v>240</v>
      </c>
      <c r="IA3151" s="5" t="s">
        <v>240</v>
      </c>
      <c r="IB3151" s="5" t="s">
        <v>240</v>
      </c>
      <c r="IC3151" s="5" t="s">
        <v>240</v>
      </c>
      <c r="ID3151" s="5" t="s">
        <v>240</v>
      </c>
      <c r="IE3151" s="5" t="s">
        <v>240</v>
      </c>
      <c r="IF3151" s="5" t="s">
        <v>240</v>
      </c>
    </row>
    <row r="3152" spans="1:240" x14ac:dyDescent="0.4">
      <c r="A3152" s="5">
        <v>4856</v>
      </c>
      <c r="B3152" s="5">
        <v>1</v>
      </c>
      <c r="C3152" s="5">
        <v>1</v>
      </c>
      <c r="D3152" s="5" t="s">
        <v>810</v>
      </c>
      <c r="E3152" s="5" t="s">
        <v>245</v>
      </c>
      <c r="F3152" s="5" t="s">
        <v>254</v>
      </c>
      <c r="G3152" s="5" t="s">
        <v>240</v>
      </c>
      <c r="H3152" s="6" t="s">
        <v>2244</v>
      </c>
      <c r="I3152" s="5" t="s">
        <v>809</v>
      </c>
      <c r="J3152" s="8">
        <f>1736</f>
        <v>1736</v>
      </c>
      <c r="K3152" s="5" t="s">
        <v>308</v>
      </c>
      <c r="L3152" s="7">
        <f>1</f>
        <v>1</v>
      </c>
      <c r="M3152" s="7">
        <f>1</f>
        <v>1</v>
      </c>
      <c r="N3152" s="5" t="s">
        <v>242</v>
      </c>
      <c r="O3152" s="5">
        <v>1</v>
      </c>
      <c r="P3152" s="5" t="s">
        <v>294</v>
      </c>
      <c r="Q3152" s="5" t="s">
        <v>3678</v>
      </c>
      <c r="R3152" s="5" t="s">
        <v>240</v>
      </c>
      <c r="S3152" s="5" t="s">
        <v>240</v>
      </c>
      <c r="T3152" s="5" t="s">
        <v>243</v>
      </c>
      <c r="U3152" s="5" t="s">
        <v>244</v>
      </c>
      <c r="V3152" s="5" t="s">
        <v>240</v>
      </c>
      <c r="W3152" s="5" t="s">
        <v>240</v>
      </c>
      <c r="X3152" s="5" t="s">
        <v>240</v>
      </c>
      <c r="Y3152" s="5" t="s">
        <v>240</v>
      </c>
      <c r="Z3152" s="6" t="s">
        <v>298</v>
      </c>
      <c r="AA3152" s="6" t="s">
        <v>240</v>
      </c>
      <c r="AB3152" s="6" t="s">
        <v>240</v>
      </c>
      <c r="AC3152" s="5" t="s">
        <v>240</v>
      </c>
      <c r="AD3152" s="6" t="s">
        <v>240</v>
      </c>
      <c r="AE3152" s="6" t="s">
        <v>299</v>
      </c>
      <c r="AF3152" s="5" t="s">
        <v>248</v>
      </c>
      <c r="AG3152" s="5" t="s">
        <v>249</v>
      </c>
      <c r="AH3152" s="5" t="s">
        <v>240</v>
      </c>
      <c r="AI3152" s="5" t="s">
        <v>240</v>
      </c>
      <c r="AJ3152" s="5" t="s">
        <v>240</v>
      </c>
      <c r="AK3152" s="5" t="s">
        <v>240</v>
      </c>
      <c r="AL3152" s="5" t="s">
        <v>240</v>
      </c>
      <c r="AM3152" s="5" t="s">
        <v>240</v>
      </c>
      <c r="AN3152" s="5" t="s">
        <v>240</v>
      </c>
      <c r="AO3152" s="5" t="s">
        <v>240</v>
      </c>
      <c r="AP3152" s="6" t="s">
        <v>240</v>
      </c>
      <c r="AQ3152" s="6" t="s">
        <v>240</v>
      </c>
      <c r="AR3152" s="6" t="s">
        <v>240</v>
      </c>
      <c r="AS3152" s="6" t="s">
        <v>240</v>
      </c>
      <c r="AT3152" s="5" t="s">
        <v>240</v>
      </c>
      <c r="AU3152" s="5" t="s">
        <v>729</v>
      </c>
      <c r="AV3152" s="5" t="s">
        <v>729</v>
      </c>
      <c r="AW3152" s="5" t="s">
        <v>251</v>
      </c>
      <c r="AX3152" s="5" t="s">
        <v>252</v>
      </c>
      <c r="AY3152" s="5" t="s">
        <v>253</v>
      </c>
      <c r="AZ3152" s="5" t="s">
        <v>240</v>
      </c>
      <c r="BA3152" s="5" t="s">
        <v>255</v>
      </c>
      <c r="BB3152" s="5" t="s">
        <v>731</v>
      </c>
      <c r="BD3152" s="5" t="s">
        <v>240</v>
      </c>
      <c r="BF3152" s="5" t="s">
        <v>732</v>
      </c>
      <c r="BG3152" s="6" t="s">
        <v>733</v>
      </c>
      <c r="BH3152" s="5" t="s">
        <v>734</v>
      </c>
      <c r="BI3152" s="5" t="s">
        <v>734</v>
      </c>
      <c r="BJ3152" s="5" t="s">
        <v>240</v>
      </c>
      <c r="BK3152" s="7">
        <f>1</f>
        <v>1</v>
      </c>
      <c r="BL3152" s="7">
        <f>1</f>
        <v>1</v>
      </c>
      <c r="BM3152" s="5" t="s">
        <v>258</v>
      </c>
      <c r="BN3152" s="5" t="s">
        <v>259</v>
      </c>
      <c r="BO3152" s="5" t="s">
        <v>240</v>
      </c>
      <c r="BP3152" s="5" t="s">
        <v>240</v>
      </c>
      <c r="BQ3152" s="5" t="s">
        <v>240</v>
      </c>
      <c r="BR3152" s="5" t="s">
        <v>240</v>
      </c>
      <c r="BS3152" s="5" t="s">
        <v>240</v>
      </c>
      <c r="BT3152" s="5" t="s">
        <v>240</v>
      </c>
      <c r="BU3152" s="5" t="s">
        <v>240</v>
      </c>
      <c r="BV3152" s="5" t="s">
        <v>240</v>
      </c>
      <c r="BW3152" s="6" t="s">
        <v>240</v>
      </c>
      <c r="BX3152" s="5" t="s">
        <v>240</v>
      </c>
      <c r="BY3152" s="5" t="s">
        <v>240</v>
      </c>
      <c r="BZ3152" s="5" t="s">
        <v>240</v>
      </c>
      <c r="CA3152" s="5" t="s">
        <v>259</v>
      </c>
      <c r="CB3152" s="5" t="s">
        <v>240</v>
      </c>
      <c r="CC3152" s="5" t="s">
        <v>240</v>
      </c>
      <c r="CD3152" s="5" t="s">
        <v>240</v>
      </c>
      <c r="CE3152" s="5" t="s">
        <v>240</v>
      </c>
      <c r="CF3152" s="5" t="s">
        <v>240</v>
      </c>
      <c r="CG3152" s="5" t="s">
        <v>304</v>
      </c>
      <c r="CH3152" s="5" t="s">
        <v>305</v>
      </c>
      <c r="CI3152" s="5" t="s">
        <v>240</v>
      </c>
      <c r="CK3152" s="5" t="s">
        <v>3681</v>
      </c>
      <c r="CL3152" s="6" t="s">
        <v>261</v>
      </c>
      <c r="CM3152" s="5" t="s">
        <v>262</v>
      </c>
      <c r="CN3152" s="5" t="s">
        <v>263</v>
      </c>
      <c r="CO3152" s="5" t="s">
        <v>264</v>
      </c>
      <c r="CP3152" s="5" t="s">
        <v>240</v>
      </c>
      <c r="CQ3152" s="5">
        <v>0</v>
      </c>
      <c r="CR3152" s="5" t="s">
        <v>735</v>
      </c>
      <c r="CS3152" s="5" t="s">
        <v>307</v>
      </c>
      <c r="CT3152" s="5" t="s">
        <v>307</v>
      </c>
      <c r="CU3152" s="5" t="s">
        <v>260</v>
      </c>
      <c r="CV3152" s="5" t="s">
        <v>612</v>
      </c>
      <c r="CW3152" s="8">
        <f>1</f>
        <v>1</v>
      </c>
      <c r="CX3152" s="7">
        <f>1</f>
        <v>1</v>
      </c>
      <c r="CY3152" s="7">
        <f>0</f>
        <v>0</v>
      </c>
      <c r="DA3152" s="7">
        <f>1</f>
        <v>1</v>
      </c>
      <c r="DB3152" s="7" t="s">
        <v>240</v>
      </c>
      <c r="DC3152" s="5" t="s">
        <v>240</v>
      </c>
      <c r="DD3152" s="5" t="s">
        <v>240</v>
      </c>
      <c r="DE3152" s="5" t="s">
        <v>240</v>
      </c>
      <c r="DF3152" s="5" t="s">
        <v>240</v>
      </c>
      <c r="DG3152" s="7">
        <f>0</f>
        <v>0</v>
      </c>
      <c r="DI3152" s="5" t="s">
        <v>240</v>
      </c>
      <c r="DJ3152" s="5" t="s">
        <v>240</v>
      </c>
      <c r="DK3152" s="5" t="s">
        <v>240</v>
      </c>
      <c r="DL3152" s="5" t="s">
        <v>240</v>
      </c>
      <c r="DM3152" s="5" t="s">
        <v>240</v>
      </c>
      <c r="DN3152" s="5" t="s">
        <v>240</v>
      </c>
      <c r="DO3152" s="7" t="s">
        <v>240</v>
      </c>
      <c r="DP3152" s="5" t="s">
        <v>240</v>
      </c>
      <c r="DQ3152" s="5" t="s">
        <v>240</v>
      </c>
      <c r="DR3152" s="5" t="s">
        <v>731</v>
      </c>
      <c r="DS3152" s="5" t="s">
        <v>731</v>
      </c>
      <c r="DT3152" s="5" t="s">
        <v>240</v>
      </c>
      <c r="DU3152" s="5" t="s">
        <v>240</v>
      </c>
      <c r="DV3152" s="5" t="s">
        <v>3683</v>
      </c>
      <c r="DW3152" s="5" t="s">
        <v>322</v>
      </c>
      <c r="DX3152" s="5" t="s">
        <v>240</v>
      </c>
      <c r="DY3152" s="5" t="s">
        <v>240</v>
      </c>
      <c r="DZ3152" s="5" t="s">
        <v>240</v>
      </c>
      <c r="EA3152" s="5" t="s">
        <v>240</v>
      </c>
      <c r="EB3152" s="5" t="s">
        <v>240</v>
      </c>
      <c r="EC3152" s="5" t="s">
        <v>240</v>
      </c>
      <c r="ED3152" s="5" t="s">
        <v>240</v>
      </c>
      <c r="EE3152" s="5" t="s">
        <v>240</v>
      </c>
      <c r="EF3152" s="5" t="s">
        <v>240</v>
      </c>
      <c r="EG3152" s="5" t="s">
        <v>240</v>
      </c>
      <c r="EH3152" s="5" t="s">
        <v>240</v>
      </c>
      <c r="EI3152" s="5" t="s">
        <v>240</v>
      </c>
      <c r="EJ3152" s="5" t="s">
        <v>240</v>
      </c>
      <c r="EK3152" s="5" t="s">
        <v>240</v>
      </c>
      <c r="EL3152" s="5" t="s">
        <v>240</v>
      </c>
      <c r="EM3152" s="5" t="s">
        <v>240</v>
      </c>
      <c r="EN3152" s="5" t="s">
        <v>240</v>
      </c>
      <c r="EO3152" s="5" t="s">
        <v>240</v>
      </c>
      <c r="EP3152" s="5" t="s">
        <v>240</v>
      </c>
      <c r="EQ3152" s="5" t="s">
        <v>240</v>
      </c>
      <c r="ER3152" s="5" t="s">
        <v>240</v>
      </c>
      <c r="ES3152" s="5" t="s">
        <v>240</v>
      </c>
      <c r="ET3152" s="5" t="s">
        <v>240</v>
      </c>
      <c r="EU3152" s="5" t="s">
        <v>240</v>
      </c>
      <c r="EV3152" s="5" t="s">
        <v>240</v>
      </c>
      <c r="EW3152" s="5" t="s">
        <v>240</v>
      </c>
      <c r="EX3152" s="5" t="s">
        <v>240</v>
      </c>
      <c r="EY3152" s="5" t="s">
        <v>240</v>
      </c>
      <c r="EZ3152" s="5" t="s">
        <v>240</v>
      </c>
      <c r="FA3152" s="5" t="s">
        <v>240</v>
      </c>
      <c r="FB3152" s="5" t="s">
        <v>240</v>
      </c>
      <c r="FC3152" s="5" t="s">
        <v>240</v>
      </c>
      <c r="FD3152" s="5" t="s">
        <v>240</v>
      </c>
      <c r="FE3152" s="5" t="s">
        <v>240</v>
      </c>
      <c r="FF3152" s="5" t="s">
        <v>240</v>
      </c>
      <c r="FG3152" s="5" t="s">
        <v>240</v>
      </c>
      <c r="FH3152" s="5" t="s">
        <v>240</v>
      </c>
      <c r="FI3152" s="5" t="s">
        <v>240</v>
      </c>
      <c r="FJ3152" s="5" t="s">
        <v>240</v>
      </c>
      <c r="FK3152" s="5" t="s">
        <v>240</v>
      </c>
      <c r="FL3152" s="5" t="s">
        <v>240</v>
      </c>
      <c r="FM3152" s="5" t="s">
        <v>240</v>
      </c>
      <c r="FN3152" s="5" t="s">
        <v>240</v>
      </c>
      <c r="FO3152" s="5" t="s">
        <v>240</v>
      </c>
      <c r="FP3152" s="5" t="s">
        <v>240</v>
      </c>
      <c r="FQ3152" s="5" t="s">
        <v>240</v>
      </c>
      <c r="FR3152" s="5" t="s">
        <v>240</v>
      </c>
      <c r="FS3152" s="5" t="s">
        <v>240</v>
      </c>
      <c r="FT3152" s="5" t="s">
        <v>240</v>
      </c>
      <c r="FU3152" s="5" t="s">
        <v>240</v>
      </c>
      <c r="FV3152" s="5" t="s">
        <v>240</v>
      </c>
      <c r="FW3152" s="5" t="s">
        <v>240</v>
      </c>
      <c r="FX3152" s="5" t="s">
        <v>240</v>
      </c>
      <c r="FY3152" s="5" t="s">
        <v>240</v>
      </c>
      <c r="FZ3152" s="5" t="s">
        <v>240</v>
      </c>
      <c r="GA3152" s="5" t="s">
        <v>240</v>
      </c>
      <c r="GB3152" s="5" t="s">
        <v>240</v>
      </c>
      <c r="GC3152" s="5" t="s">
        <v>240</v>
      </c>
      <c r="GD3152" s="5" t="s">
        <v>240</v>
      </c>
      <c r="GE3152" s="5" t="s">
        <v>240</v>
      </c>
      <c r="GF3152" s="5" t="s">
        <v>240</v>
      </c>
      <c r="GG3152" s="5" t="s">
        <v>240</v>
      </c>
      <c r="GH3152" s="5" t="s">
        <v>240</v>
      </c>
      <c r="GI3152" s="5" t="s">
        <v>240</v>
      </c>
      <c r="GJ3152" s="5" t="s">
        <v>240</v>
      </c>
      <c r="GK3152" s="5" t="s">
        <v>240</v>
      </c>
      <c r="GL3152" s="5" t="s">
        <v>240</v>
      </c>
      <c r="GM3152" s="5" t="s">
        <v>240</v>
      </c>
      <c r="GN3152" s="5" t="s">
        <v>240</v>
      </c>
      <c r="GO3152" s="5" t="s">
        <v>240</v>
      </c>
      <c r="GP3152" s="5" t="s">
        <v>240</v>
      </c>
      <c r="GQ3152" s="5" t="s">
        <v>240</v>
      </c>
      <c r="GR3152" s="5" t="s">
        <v>240</v>
      </c>
      <c r="GS3152" s="5" t="s">
        <v>240</v>
      </c>
      <c r="GT3152" s="5" t="s">
        <v>240</v>
      </c>
      <c r="GU3152" s="5" t="s">
        <v>240</v>
      </c>
      <c r="GV3152" s="5" t="s">
        <v>240</v>
      </c>
      <c r="GW3152" s="5" t="s">
        <v>240</v>
      </c>
      <c r="GX3152" s="5" t="s">
        <v>240</v>
      </c>
      <c r="GY3152" s="5" t="s">
        <v>240</v>
      </c>
      <c r="GZ3152" s="5" t="s">
        <v>240</v>
      </c>
      <c r="HA3152" s="5" t="s">
        <v>240</v>
      </c>
      <c r="HB3152" s="5" t="s">
        <v>240</v>
      </c>
      <c r="HC3152" s="5" t="s">
        <v>240</v>
      </c>
      <c r="HD3152" s="5" t="s">
        <v>240</v>
      </c>
      <c r="HE3152" s="5" t="s">
        <v>240</v>
      </c>
      <c r="HF3152" s="5" t="s">
        <v>240</v>
      </c>
      <c r="HG3152" s="5" t="s">
        <v>240</v>
      </c>
      <c r="HH3152" s="5" t="s">
        <v>240</v>
      </c>
      <c r="HI3152" s="5" t="s">
        <v>240</v>
      </c>
      <c r="HJ3152" s="5" t="s">
        <v>240</v>
      </c>
      <c r="HK3152" s="5" t="s">
        <v>240</v>
      </c>
      <c r="HL3152" s="5" t="s">
        <v>240</v>
      </c>
      <c r="HM3152" s="5" t="s">
        <v>240</v>
      </c>
      <c r="HN3152" s="5" t="s">
        <v>240</v>
      </c>
      <c r="HO3152" s="5" t="s">
        <v>312</v>
      </c>
      <c r="HP3152" s="5" t="s">
        <v>240</v>
      </c>
      <c r="HQ3152" s="5" t="s">
        <v>240</v>
      </c>
      <c r="HR3152" s="5" t="s">
        <v>240</v>
      </c>
      <c r="HS3152" s="5" t="s">
        <v>240</v>
      </c>
      <c r="HT3152" s="5" t="s">
        <v>240</v>
      </c>
      <c r="HU3152" s="5" t="s">
        <v>240</v>
      </c>
      <c r="HV3152" s="5" t="s">
        <v>240</v>
      </c>
      <c r="HW3152" s="5" t="s">
        <v>240</v>
      </c>
      <c r="HX3152" s="5" t="s">
        <v>240</v>
      </c>
      <c r="HY3152" s="5" t="s">
        <v>240</v>
      </c>
      <c r="HZ3152" s="5" t="s">
        <v>240</v>
      </c>
      <c r="IA3152" s="5" t="s">
        <v>240</v>
      </c>
      <c r="IB3152" s="5" t="s">
        <v>240</v>
      </c>
      <c r="IC3152" s="5" t="s">
        <v>240</v>
      </c>
      <c r="ID3152" s="5" t="s">
        <v>240</v>
      </c>
      <c r="IE3152" s="5" t="s">
        <v>240</v>
      </c>
      <c r="IF3152" s="5" t="s">
        <v>240</v>
      </c>
    </row>
    <row r="3153" spans="1:240" x14ac:dyDescent="0.4">
      <c r="A3153" s="5">
        <v>4857</v>
      </c>
      <c r="B3153" s="5">
        <v>1</v>
      </c>
      <c r="C3153" s="5">
        <v>1</v>
      </c>
      <c r="D3153" s="5" t="s">
        <v>810</v>
      </c>
      <c r="E3153" s="5" t="s">
        <v>245</v>
      </c>
      <c r="F3153" s="5" t="s">
        <v>254</v>
      </c>
      <c r="G3153" s="5" t="s">
        <v>240</v>
      </c>
      <c r="H3153" s="6" t="s">
        <v>2242</v>
      </c>
      <c r="I3153" s="5" t="s">
        <v>809</v>
      </c>
      <c r="J3153" s="8">
        <f>142</f>
        <v>142</v>
      </c>
      <c r="K3153" s="5" t="s">
        <v>308</v>
      </c>
      <c r="L3153" s="7">
        <f>1</f>
        <v>1</v>
      </c>
      <c r="M3153" s="7">
        <f>1</f>
        <v>1</v>
      </c>
      <c r="N3153" s="5" t="s">
        <v>242</v>
      </c>
      <c r="O3153" s="5">
        <v>1</v>
      </c>
      <c r="P3153" s="5" t="s">
        <v>294</v>
      </c>
      <c r="Q3153" s="5" t="s">
        <v>3678</v>
      </c>
      <c r="R3153" s="5" t="s">
        <v>240</v>
      </c>
      <c r="S3153" s="5" t="s">
        <v>240</v>
      </c>
      <c r="T3153" s="5" t="s">
        <v>243</v>
      </c>
      <c r="U3153" s="5" t="s">
        <v>244</v>
      </c>
      <c r="V3153" s="5" t="s">
        <v>240</v>
      </c>
      <c r="W3153" s="5" t="s">
        <v>240</v>
      </c>
      <c r="X3153" s="5" t="s">
        <v>240</v>
      </c>
      <c r="Y3153" s="5" t="s">
        <v>240</v>
      </c>
      <c r="Z3153" s="6" t="s">
        <v>298</v>
      </c>
      <c r="AA3153" s="6" t="s">
        <v>240</v>
      </c>
      <c r="AB3153" s="6" t="s">
        <v>240</v>
      </c>
      <c r="AC3153" s="5" t="s">
        <v>240</v>
      </c>
      <c r="AD3153" s="6" t="s">
        <v>240</v>
      </c>
      <c r="AE3153" s="6" t="s">
        <v>299</v>
      </c>
      <c r="AF3153" s="5" t="s">
        <v>248</v>
      </c>
      <c r="AG3153" s="5" t="s">
        <v>249</v>
      </c>
      <c r="AH3153" s="5" t="s">
        <v>240</v>
      </c>
      <c r="AI3153" s="5" t="s">
        <v>240</v>
      </c>
      <c r="AJ3153" s="5" t="s">
        <v>240</v>
      </c>
      <c r="AK3153" s="5" t="s">
        <v>240</v>
      </c>
      <c r="AL3153" s="5" t="s">
        <v>240</v>
      </c>
      <c r="AM3153" s="5" t="s">
        <v>240</v>
      </c>
      <c r="AN3153" s="5" t="s">
        <v>240</v>
      </c>
      <c r="AO3153" s="5" t="s">
        <v>240</v>
      </c>
      <c r="AP3153" s="6" t="s">
        <v>240</v>
      </c>
      <c r="AQ3153" s="6" t="s">
        <v>240</v>
      </c>
      <c r="AR3153" s="6" t="s">
        <v>240</v>
      </c>
      <c r="AS3153" s="6" t="s">
        <v>240</v>
      </c>
      <c r="AT3153" s="5" t="s">
        <v>240</v>
      </c>
      <c r="AU3153" s="5" t="s">
        <v>729</v>
      </c>
      <c r="AV3153" s="5" t="s">
        <v>729</v>
      </c>
      <c r="AW3153" s="5" t="s">
        <v>251</v>
      </c>
      <c r="AX3153" s="5" t="s">
        <v>252</v>
      </c>
      <c r="AY3153" s="5" t="s">
        <v>253</v>
      </c>
      <c r="AZ3153" s="5" t="s">
        <v>240</v>
      </c>
      <c r="BA3153" s="5" t="s">
        <v>255</v>
      </c>
      <c r="BB3153" s="5" t="s">
        <v>731</v>
      </c>
      <c r="BD3153" s="5" t="s">
        <v>240</v>
      </c>
      <c r="BF3153" s="5" t="s">
        <v>732</v>
      </c>
      <c r="BG3153" s="6" t="s">
        <v>733</v>
      </c>
      <c r="BH3153" s="5" t="s">
        <v>734</v>
      </c>
      <c r="BI3153" s="5" t="s">
        <v>734</v>
      </c>
      <c r="BJ3153" s="5" t="s">
        <v>240</v>
      </c>
      <c r="BK3153" s="7">
        <f>1</f>
        <v>1</v>
      </c>
      <c r="BL3153" s="7">
        <f>1</f>
        <v>1</v>
      </c>
      <c r="BM3153" s="5" t="s">
        <v>258</v>
      </c>
      <c r="BN3153" s="5" t="s">
        <v>259</v>
      </c>
      <c r="BO3153" s="5" t="s">
        <v>240</v>
      </c>
      <c r="BP3153" s="5" t="s">
        <v>240</v>
      </c>
      <c r="BQ3153" s="5" t="s">
        <v>240</v>
      </c>
      <c r="BR3153" s="5" t="s">
        <v>240</v>
      </c>
      <c r="BS3153" s="5" t="s">
        <v>240</v>
      </c>
      <c r="BT3153" s="5" t="s">
        <v>240</v>
      </c>
      <c r="BU3153" s="5" t="s">
        <v>240</v>
      </c>
      <c r="BV3153" s="5" t="s">
        <v>240</v>
      </c>
      <c r="BW3153" s="6" t="s">
        <v>240</v>
      </c>
      <c r="BX3153" s="5" t="s">
        <v>240</v>
      </c>
      <c r="BY3153" s="5" t="s">
        <v>240</v>
      </c>
      <c r="BZ3153" s="5" t="s">
        <v>240</v>
      </c>
      <c r="CA3153" s="5" t="s">
        <v>259</v>
      </c>
      <c r="CB3153" s="5" t="s">
        <v>240</v>
      </c>
      <c r="CC3153" s="5" t="s">
        <v>240</v>
      </c>
      <c r="CD3153" s="5" t="s">
        <v>240</v>
      </c>
      <c r="CE3153" s="5" t="s">
        <v>240</v>
      </c>
      <c r="CF3153" s="5" t="s">
        <v>240</v>
      </c>
      <c r="CG3153" s="5" t="s">
        <v>304</v>
      </c>
      <c r="CH3153" s="5" t="s">
        <v>305</v>
      </c>
      <c r="CI3153" s="5" t="s">
        <v>240</v>
      </c>
      <c r="CK3153" s="5" t="s">
        <v>3681</v>
      </c>
      <c r="CL3153" s="6" t="s">
        <v>261</v>
      </c>
      <c r="CM3153" s="5" t="s">
        <v>262</v>
      </c>
      <c r="CN3153" s="5" t="s">
        <v>263</v>
      </c>
      <c r="CO3153" s="5" t="s">
        <v>264</v>
      </c>
      <c r="CP3153" s="5" t="s">
        <v>240</v>
      </c>
      <c r="CQ3153" s="5">
        <v>0</v>
      </c>
      <c r="CR3153" s="5" t="s">
        <v>735</v>
      </c>
      <c r="CS3153" s="5" t="s">
        <v>307</v>
      </c>
      <c r="CT3153" s="5" t="s">
        <v>307</v>
      </c>
      <c r="CU3153" s="5" t="s">
        <v>260</v>
      </c>
      <c r="CV3153" s="5" t="s">
        <v>612</v>
      </c>
      <c r="CW3153" s="8">
        <f>1</f>
        <v>1</v>
      </c>
      <c r="CX3153" s="7">
        <f>1</f>
        <v>1</v>
      </c>
      <c r="CY3153" s="7">
        <f>0</f>
        <v>0</v>
      </c>
      <c r="DA3153" s="7">
        <f>1</f>
        <v>1</v>
      </c>
      <c r="DB3153" s="7" t="s">
        <v>240</v>
      </c>
      <c r="DC3153" s="5" t="s">
        <v>240</v>
      </c>
      <c r="DD3153" s="5" t="s">
        <v>240</v>
      </c>
      <c r="DE3153" s="5" t="s">
        <v>240</v>
      </c>
      <c r="DF3153" s="5" t="s">
        <v>240</v>
      </c>
      <c r="DG3153" s="7">
        <f>0</f>
        <v>0</v>
      </c>
      <c r="DI3153" s="5" t="s">
        <v>240</v>
      </c>
      <c r="DJ3153" s="5" t="s">
        <v>240</v>
      </c>
      <c r="DK3153" s="5" t="s">
        <v>240</v>
      </c>
      <c r="DL3153" s="5" t="s">
        <v>240</v>
      </c>
      <c r="DM3153" s="5" t="s">
        <v>240</v>
      </c>
      <c r="DN3153" s="5" t="s">
        <v>240</v>
      </c>
      <c r="DO3153" s="7" t="s">
        <v>240</v>
      </c>
      <c r="DP3153" s="5" t="s">
        <v>240</v>
      </c>
      <c r="DQ3153" s="5" t="s">
        <v>240</v>
      </c>
      <c r="DR3153" s="5" t="s">
        <v>731</v>
      </c>
      <c r="DS3153" s="5" t="s">
        <v>731</v>
      </c>
      <c r="DT3153" s="5" t="s">
        <v>240</v>
      </c>
      <c r="DU3153" s="5" t="s">
        <v>240</v>
      </c>
      <c r="DV3153" s="5" t="s">
        <v>3683</v>
      </c>
      <c r="DW3153" s="5" t="s">
        <v>314</v>
      </c>
      <c r="DX3153" s="5" t="s">
        <v>240</v>
      </c>
      <c r="DY3153" s="5" t="s">
        <v>240</v>
      </c>
      <c r="DZ3153" s="5" t="s">
        <v>240</v>
      </c>
      <c r="EA3153" s="5" t="s">
        <v>240</v>
      </c>
      <c r="EB3153" s="5" t="s">
        <v>240</v>
      </c>
      <c r="EC3153" s="5" t="s">
        <v>240</v>
      </c>
      <c r="ED3153" s="5" t="s">
        <v>240</v>
      </c>
      <c r="EE3153" s="5" t="s">
        <v>240</v>
      </c>
      <c r="EF3153" s="5" t="s">
        <v>240</v>
      </c>
      <c r="EG3153" s="5" t="s">
        <v>240</v>
      </c>
      <c r="EH3153" s="5" t="s">
        <v>240</v>
      </c>
      <c r="EI3153" s="5" t="s">
        <v>240</v>
      </c>
      <c r="EJ3153" s="5" t="s">
        <v>240</v>
      </c>
      <c r="EK3153" s="5" t="s">
        <v>240</v>
      </c>
      <c r="EL3153" s="5" t="s">
        <v>240</v>
      </c>
      <c r="EM3153" s="5" t="s">
        <v>240</v>
      </c>
      <c r="EN3153" s="5" t="s">
        <v>240</v>
      </c>
      <c r="EO3153" s="5" t="s">
        <v>240</v>
      </c>
      <c r="EP3153" s="5" t="s">
        <v>240</v>
      </c>
      <c r="EQ3153" s="5" t="s">
        <v>240</v>
      </c>
      <c r="ER3153" s="5" t="s">
        <v>240</v>
      </c>
      <c r="ES3153" s="5" t="s">
        <v>240</v>
      </c>
      <c r="ET3153" s="5" t="s">
        <v>240</v>
      </c>
      <c r="EU3153" s="5" t="s">
        <v>240</v>
      </c>
      <c r="EV3153" s="5" t="s">
        <v>240</v>
      </c>
      <c r="EW3153" s="5" t="s">
        <v>240</v>
      </c>
      <c r="EX3153" s="5" t="s">
        <v>240</v>
      </c>
      <c r="EY3153" s="5" t="s">
        <v>240</v>
      </c>
      <c r="EZ3153" s="5" t="s">
        <v>240</v>
      </c>
      <c r="FA3153" s="5" t="s">
        <v>240</v>
      </c>
      <c r="FB3153" s="5" t="s">
        <v>240</v>
      </c>
      <c r="FC3153" s="5" t="s">
        <v>240</v>
      </c>
      <c r="FD3153" s="5" t="s">
        <v>240</v>
      </c>
      <c r="FE3153" s="5" t="s">
        <v>240</v>
      </c>
      <c r="FF3153" s="5" t="s">
        <v>240</v>
      </c>
      <c r="FG3153" s="5" t="s">
        <v>240</v>
      </c>
      <c r="FH3153" s="5" t="s">
        <v>240</v>
      </c>
      <c r="FI3153" s="5" t="s">
        <v>240</v>
      </c>
      <c r="FJ3153" s="5" t="s">
        <v>240</v>
      </c>
      <c r="FK3153" s="5" t="s">
        <v>240</v>
      </c>
      <c r="FL3153" s="5" t="s">
        <v>240</v>
      </c>
      <c r="FM3153" s="5" t="s">
        <v>240</v>
      </c>
      <c r="FN3153" s="5" t="s">
        <v>240</v>
      </c>
      <c r="FO3153" s="5" t="s">
        <v>240</v>
      </c>
      <c r="FP3153" s="5" t="s">
        <v>240</v>
      </c>
      <c r="FQ3153" s="5" t="s">
        <v>240</v>
      </c>
      <c r="FR3153" s="5" t="s">
        <v>240</v>
      </c>
      <c r="FS3153" s="5" t="s">
        <v>240</v>
      </c>
      <c r="FT3153" s="5" t="s">
        <v>240</v>
      </c>
      <c r="FU3153" s="5" t="s">
        <v>240</v>
      </c>
      <c r="FV3153" s="5" t="s">
        <v>240</v>
      </c>
      <c r="FW3153" s="5" t="s">
        <v>240</v>
      </c>
      <c r="FX3153" s="5" t="s">
        <v>240</v>
      </c>
      <c r="FY3153" s="5" t="s">
        <v>240</v>
      </c>
      <c r="FZ3153" s="5" t="s">
        <v>240</v>
      </c>
      <c r="GA3153" s="5" t="s">
        <v>240</v>
      </c>
      <c r="GB3153" s="5" t="s">
        <v>240</v>
      </c>
      <c r="GC3153" s="5" t="s">
        <v>240</v>
      </c>
      <c r="GD3153" s="5" t="s">
        <v>240</v>
      </c>
      <c r="GE3153" s="5" t="s">
        <v>240</v>
      </c>
      <c r="GF3153" s="5" t="s">
        <v>240</v>
      </c>
      <c r="GG3153" s="5" t="s">
        <v>240</v>
      </c>
      <c r="GH3153" s="5" t="s">
        <v>240</v>
      </c>
      <c r="GI3153" s="5" t="s">
        <v>240</v>
      </c>
      <c r="GJ3153" s="5" t="s">
        <v>240</v>
      </c>
      <c r="GK3153" s="5" t="s">
        <v>240</v>
      </c>
      <c r="GL3153" s="5" t="s">
        <v>240</v>
      </c>
      <c r="GM3153" s="5" t="s">
        <v>240</v>
      </c>
      <c r="GN3153" s="5" t="s">
        <v>240</v>
      </c>
      <c r="GO3153" s="5" t="s">
        <v>240</v>
      </c>
      <c r="GP3153" s="5" t="s">
        <v>240</v>
      </c>
      <c r="GQ3153" s="5" t="s">
        <v>240</v>
      </c>
      <c r="GR3153" s="5" t="s">
        <v>240</v>
      </c>
      <c r="GS3153" s="5" t="s">
        <v>240</v>
      </c>
      <c r="GT3153" s="5" t="s">
        <v>240</v>
      </c>
      <c r="GU3153" s="5" t="s">
        <v>240</v>
      </c>
      <c r="GV3153" s="5" t="s">
        <v>240</v>
      </c>
      <c r="GW3153" s="5" t="s">
        <v>240</v>
      </c>
      <c r="GX3153" s="5" t="s">
        <v>240</v>
      </c>
      <c r="GY3153" s="5" t="s">
        <v>240</v>
      </c>
      <c r="GZ3153" s="5" t="s">
        <v>240</v>
      </c>
      <c r="HA3153" s="5" t="s">
        <v>240</v>
      </c>
      <c r="HB3153" s="5" t="s">
        <v>240</v>
      </c>
      <c r="HC3153" s="5" t="s">
        <v>240</v>
      </c>
      <c r="HD3153" s="5" t="s">
        <v>240</v>
      </c>
      <c r="HE3153" s="5" t="s">
        <v>240</v>
      </c>
      <c r="HF3153" s="5" t="s">
        <v>240</v>
      </c>
      <c r="HG3153" s="5" t="s">
        <v>240</v>
      </c>
      <c r="HH3153" s="5" t="s">
        <v>240</v>
      </c>
      <c r="HI3153" s="5" t="s">
        <v>240</v>
      </c>
      <c r="HJ3153" s="5" t="s">
        <v>240</v>
      </c>
      <c r="HK3153" s="5" t="s">
        <v>240</v>
      </c>
      <c r="HL3153" s="5" t="s">
        <v>240</v>
      </c>
      <c r="HM3153" s="5" t="s">
        <v>240</v>
      </c>
      <c r="HN3153" s="5" t="s">
        <v>240</v>
      </c>
      <c r="HO3153" s="5" t="s">
        <v>312</v>
      </c>
      <c r="HP3153" s="5" t="s">
        <v>240</v>
      </c>
      <c r="HQ3153" s="5" t="s">
        <v>240</v>
      </c>
      <c r="HR3153" s="5" t="s">
        <v>240</v>
      </c>
      <c r="HS3153" s="5" t="s">
        <v>240</v>
      </c>
      <c r="HT3153" s="5" t="s">
        <v>240</v>
      </c>
      <c r="HU3153" s="5" t="s">
        <v>240</v>
      </c>
      <c r="HV3153" s="5" t="s">
        <v>240</v>
      </c>
      <c r="HW3153" s="5" t="s">
        <v>240</v>
      </c>
      <c r="HX3153" s="5" t="s">
        <v>240</v>
      </c>
      <c r="HY3153" s="5" t="s">
        <v>240</v>
      </c>
      <c r="HZ3153" s="5" t="s">
        <v>240</v>
      </c>
      <c r="IA3153" s="5" t="s">
        <v>240</v>
      </c>
      <c r="IB3153" s="5" t="s">
        <v>240</v>
      </c>
      <c r="IC3153" s="5" t="s">
        <v>240</v>
      </c>
      <c r="ID3153" s="5" t="s">
        <v>240</v>
      </c>
      <c r="IE3153" s="5" t="s">
        <v>240</v>
      </c>
      <c r="IF3153" s="5" t="s">
        <v>240</v>
      </c>
    </row>
    <row r="3154" spans="1:240" x14ac:dyDescent="0.4">
      <c r="A3154" s="5">
        <v>4858</v>
      </c>
      <c r="B3154" s="5">
        <v>1</v>
      </c>
      <c r="C3154" s="5">
        <v>1</v>
      </c>
      <c r="D3154" s="5" t="s">
        <v>810</v>
      </c>
      <c r="E3154" s="5" t="s">
        <v>245</v>
      </c>
      <c r="F3154" s="5" t="s">
        <v>254</v>
      </c>
      <c r="G3154" s="5" t="s">
        <v>240</v>
      </c>
      <c r="H3154" s="6" t="s">
        <v>4627</v>
      </c>
      <c r="I3154" s="5" t="s">
        <v>809</v>
      </c>
      <c r="J3154" s="8">
        <f>180</f>
        <v>180</v>
      </c>
      <c r="K3154" s="5" t="s">
        <v>308</v>
      </c>
      <c r="L3154" s="7">
        <f>1</f>
        <v>1</v>
      </c>
      <c r="M3154" s="7">
        <f>1</f>
        <v>1</v>
      </c>
      <c r="N3154" s="5" t="s">
        <v>242</v>
      </c>
      <c r="O3154" s="5">
        <v>1</v>
      </c>
      <c r="P3154" s="5" t="s">
        <v>294</v>
      </c>
      <c r="Q3154" s="5" t="s">
        <v>3678</v>
      </c>
      <c r="R3154" s="5" t="s">
        <v>240</v>
      </c>
      <c r="S3154" s="5" t="s">
        <v>240</v>
      </c>
      <c r="T3154" s="5" t="s">
        <v>243</v>
      </c>
      <c r="U3154" s="5" t="s">
        <v>244</v>
      </c>
      <c r="V3154" s="5" t="s">
        <v>240</v>
      </c>
      <c r="W3154" s="5" t="s">
        <v>240</v>
      </c>
      <c r="X3154" s="5" t="s">
        <v>240</v>
      </c>
      <c r="Y3154" s="5" t="s">
        <v>240</v>
      </c>
      <c r="Z3154" s="6" t="s">
        <v>298</v>
      </c>
      <c r="AA3154" s="6" t="s">
        <v>240</v>
      </c>
      <c r="AB3154" s="6" t="s">
        <v>240</v>
      </c>
      <c r="AC3154" s="5" t="s">
        <v>240</v>
      </c>
      <c r="AD3154" s="6" t="s">
        <v>240</v>
      </c>
      <c r="AE3154" s="6" t="s">
        <v>299</v>
      </c>
      <c r="AF3154" s="5" t="s">
        <v>248</v>
      </c>
      <c r="AG3154" s="5" t="s">
        <v>249</v>
      </c>
      <c r="AH3154" s="5" t="s">
        <v>240</v>
      </c>
      <c r="AI3154" s="5" t="s">
        <v>240</v>
      </c>
      <c r="AJ3154" s="5" t="s">
        <v>240</v>
      </c>
      <c r="AK3154" s="5" t="s">
        <v>240</v>
      </c>
      <c r="AL3154" s="5" t="s">
        <v>240</v>
      </c>
      <c r="AM3154" s="5" t="s">
        <v>240</v>
      </c>
      <c r="AN3154" s="5" t="s">
        <v>240</v>
      </c>
      <c r="AO3154" s="5" t="s">
        <v>240</v>
      </c>
      <c r="AP3154" s="6" t="s">
        <v>240</v>
      </c>
      <c r="AQ3154" s="6" t="s">
        <v>240</v>
      </c>
      <c r="AR3154" s="6" t="s">
        <v>240</v>
      </c>
      <c r="AS3154" s="6" t="s">
        <v>240</v>
      </c>
      <c r="AT3154" s="5" t="s">
        <v>240</v>
      </c>
      <c r="AU3154" s="5" t="s">
        <v>729</v>
      </c>
      <c r="AV3154" s="5" t="s">
        <v>729</v>
      </c>
      <c r="AW3154" s="5" t="s">
        <v>251</v>
      </c>
      <c r="AX3154" s="5" t="s">
        <v>252</v>
      </c>
      <c r="AY3154" s="5" t="s">
        <v>253</v>
      </c>
      <c r="AZ3154" s="5" t="s">
        <v>240</v>
      </c>
      <c r="BA3154" s="5" t="s">
        <v>255</v>
      </c>
      <c r="BB3154" s="5" t="s">
        <v>731</v>
      </c>
      <c r="BD3154" s="5" t="s">
        <v>240</v>
      </c>
      <c r="BF3154" s="5" t="s">
        <v>732</v>
      </c>
      <c r="BG3154" s="6" t="s">
        <v>733</v>
      </c>
      <c r="BH3154" s="5" t="s">
        <v>734</v>
      </c>
      <c r="BI3154" s="5" t="s">
        <v>734</v>
      </c>
      <c r="BJ3154" s="5" t="s">
        <v>240</v>
      </c>
      <c r="BK3154" s="7">
        <f>1</f>
        <v>1</v>
      </c>
      <c r="BL3154" s="7">
        <f>1</f>
        <v>1</v>
      </c>
      <c r="BM3154" s="5" t="s">
        <v>258</v>
      </c>
      <c r="BN3154" s="5" t="s">
        <v>259</v>
      </c>
      <c r="BO3154" s="5" t="s">
        <v>240</v>
      </c>
      <c r="BP3154" s="5" t="s">
        <v>240</v>
      </c>
      <c r="BQ3154" s="5" t="s">
        <v>240</v>
      </c>
      <c r="BR3154" s="5" t="s">
        <v>240</v>
      </c>
      <c r="BS3154" s="5" t="s">
        <v>240</v>
      </c>
      <c r="BT3154" s="5" t="s">
        <v>240</v>
      </c>
      <c r="BU3154" s="5" t="s">
        <v>240</v>
      </c>
      <c r="BV3154" s="5" t="s">
        <v>240</v>
      </c>
      <c r="BW3154" s="6" t="s">
        <v>240</v>
      </c>
      <c r="BX3154" s="5" t="s">
        <v>240</v>
      </c>
      <c r="BY3154" s="5" t="s">
        <v>240</v>
      </c>
      <c r="BZ3154" s="5" t="s">
        <v>240</v>
      </c>
      <c r="CA3154" s="5" t="s">
        <v>259</v>
      </c>
      <c r="CB3154" s="5" t="s">
        <v>240</v>
      </c>
      <c r="CC3154" s="5" t="s">
        <v>240</v>
      </c>
      <c r="CD3154" s="5" t="s">
        <v>240</v>
      </c>
      <c r="CE3154" s="5" t="s">
        <v>240</v>
      </c>
      <c r="CF3154" s="5" t="s">
        <v>240</v>
      </c>
      <c r="CG3154" s="5" t="s">
        <v>304</v>
      </c>
      <c r="CH3154" s="5" t="s">
        <v>305</v>
      </c>
      <c r="CI3154" s="5" t="s">
        <v>240</v>
      </c>
      <c r="CK3154" s="5" t="s">
        <v>3681</v>
      </c>
      <c r="CL3154" s="6" t="s">
        <v>261</v>
      </c>
      <c r="CM3154" s="5" t="s">
        <v>262</v>
      </c>
      <c r="CN3154" s="5" t="s">
        <v>263</v>
      </c>
      <c r="CO3154" s="5" t="s">
        <v>264</v>
      </c>
      <c r="CP3154" s="5" t="s">
        <v>240</v>
      </c>
      <c r="CQ3154" s="5">
        <v>0</v>
      </c>
      <c r="CR3154" s="5" t="s">
        <v>735</v>
      </c>
      <c r="CS3154" s="5" t="s">
        <v>307</v>
      </c>
      <c r="CT3154" s="5" t="s">
        <v>307</v>
      </c>
      <c r="CU3154" s="5" t="s">
        <v>260</v>
      </c>
      <c r="CV3154" s="5" t="s">
        <v>612</v>
      </c>
      <c r="CW3154" s="8">
        <f>1</f>
        <v>1</v>
      </c>
      <c r="CX3154" s="7">
        <f>1</f>
        <v>1</v>
      </c>
      <c r="CY3154" s="7">
        <f>0</f>
        <v>0</v>
      </c>
      <c r="DA3154" s="7">
        <f>1</f>
        <v>1</v>
      </c>
      <c r="DB3154" s="7" t="s">
        <v>240</v>
      </c>
      <c r="DC3154" s="5" t="s">
        <v>240</v>
      </c>
      <c r="DD3154" s="5" t="s">
        <v>240</v>
      </c>
      <c r="DE3154" s="5" t="s">
        <v>240</v>
      </c>
      <c r="DF3154" s="5" t="s">
        <v>240</v>
      </c>
      <c r="DG3154" s="7">
        <f>0</f>
        <v>0</v>
      </c>
      <c r="DI3154" s="5" t="s">
        <v>240</v>
      </c>
      <c r="DJ3154" s="5" t="s">
        <v>240</v>
      </c>
      <c r="DK3154" s="5" t="s">
        <v>240</v>
      </c>
      <c r="DL3154" s="5" t="s">
        <v>240</v>
      </c>
      <c r="DM3154" s="5" t="s">
        <v>240</v>
      </c>
      <c r="DN3154" s="5" t="s">
        <v>240</v>
      </c>
      <c r="DO3154" s="7" t="s">
        <v>240</v>
      </c>
      <c r="DP3154" s="5" t="s">
        <v>240</v>
      </c>
      <c r="DQ3154" s="5" t="s">
        <v>240</v>
      </c>
      <c r="DR3154" s="5" t="s">
        <v>731</v>
      </c>
      <c r="DS3154" s="5" t="s">
        <v>731</v>
      </c>
      <c r="DT3154" s="5" t="s">
        <v>240</v>
      </c>
      <c r="DU3154" s="5" t="s">
        <v>240</v>
      </c>
      <c r="DV3154" s="5" t="s">
        <v>3683</v>
      </c>
      <c r="DW3154" s="5" t="s">
        <v>660</v>
      </c>
      <c r="DX3154" s="5" t="s">
        <v>240</v>
      </c>
      <c r="DY3154" s="5" t="s">
        <v>240</v>
      </c>
      <c r="DZ3154" s="5" t="s">
        <v>240</v>
      </c>
      <c r="EA3154" s="5" t="s">
        <v>240</v>
      </c>
      <c r="EB3154" s="5" t="s">
        <v>240</v>
      </c>
      <c r="EC3154" s="5" t="s">
        <v>240</v>
      </c>
      <c r="ED3154" s="5" t="s">
        <v>240</v>
      </c>
      <c r="EE3154" s="5" t="s">
        <v>240</v>
      </c>
      <c r="EF3154" s="5" t="s">
        <v>240</v>
      </c>
      <c r="EG3154" s="5" t="s">
        <v>240</v>
      </c>
      <c r="EH3154" s="5" t="s">
        <v>240</v>
      </c>
      <c r="EI3154" s="5" t="s">
        <v>240</v>
      </c>
      <c r="EJ3154" s="5" t="s">
        <v>240</v>
      </c>
      <c r="EK3154" s="5" t="s">
        <v>240</v>
      </c>
      <c r="EL3154" s="5" t="s">
        <v>240</v>
      </c>
      <c r="EM3154" s="5" t="s">
        <v>240</v>
      </c>
      <c r="EN3154" s="5" t="s">
        <v>240</v>
      </c>
      <c r="EO3154" s="5" t="s">
        <v>240</v>
      </c>
      <c r="EP3154" s="5" t="s">
        <v>240</v>
      </c>
      <c r="EQ3154" s="5" t="s">
        <v>240</v>
      </c>
      <c r="ER3154" s="5" t="s">
        <v>240</v>
      </c>
      <c r="ES3154" s="5" t="s">
        <v>240</v>
      </c>
      <c r="ET3154" s="5" t="s">
        <v>240</v>
      </c>
      <c r="EU3154" s="5" t="s">
        <v>240</v>
      </c>
      <c r="EV3154" s="5" t="s">
        <v>240</v>
      </c>
      <c r="EW3154" s="5" t="s">
        <v>240</v>
      </c>
      <c r="EX3154" s="5" t="s">
        <v>240</v>
      </c>
      <c r="EY3154" s="5" t="s">
        <v>240</v>
      </c>
      <c r="EZ3154" s="5" t="s">
        <v>240</v>
      </c>
      <c r="FA3154" s="5" t="s">
        <v>240</v>
      </c>
      <c r="FB3154" s="5" t="s">
        <v>240</v>
      </c>
      <c r="FC3154" s="5" t="s">
        <v>240</v>
      </c>
      <c r="FD3154" s="5" t="s">
        <v>240</v>
      </c>
      <c r="FE3154" s="5" t="s">
        <v>240</v>
      </c>
      <c r="FF3154" s="5" t="s">
        <v>240</v>
      </c>
      <c r="FG3154" s="5" t="s">
        <v>240</v>
      </c>
      <c r="FH3154" s="5" t="s">
        <v>240</v>
      </c>
      <c r="FI3154" s="5" t="s">
        <v>240</v>
      </c>
      <c r="FJ3154" s="5" t="s">
        <v>240</v>
      </c>
      <c r="FK3154" s="5" t="s">
        <v>240</v>
      </c>
      <c r="FL3154" s="5" t="s">
        <v>240</v>
      </c>
      <c r="FM3154" s="5" t="s">
        <v>240</v>
      </c>
      <c r="FN3154" s="5" t="s">
        <v>240</v>
      </c>
      <c r="FO3154" s="5" t="s">
        <v>240</v>
      </c>
      <c r="FP3154" s="5" t="s">
        <v>240</v>
      </c>
      <c r="FQ3154" s="5" t="s">
        <v>240</v>
      </c>
      <c r="FR3154" s="5" t="s">
        <v>240</v>
      </c>
      <c r="FS3154" s="5" t="s">
        <v>240</v>
      </c>
      <c r="FT3154" s="5" t="s">
        <v>240</v>
      </c>
      <c r="FU3154" s="5" t="s">
        <v>240</v>
      </c>
      <c r="FV3154" s="5" t="s">
        <v>240</v>
      </c>
      <c r="FW3154" s="5" t="s">
        <v>240</v>
      </c>
      <c r="FX3154" s="5" t="s">
        <v>240</v>
      </c>
      <c r="FY3154" s="5" t="s">
        <v>240</v>
      </c>
      <c r="FZ3154" s="5" t="s">
        <v>240</v>
      </c>
      <c r="GA3154" s="5" t="s">
        <v>240</v>
      </c>
      <c r="GB3154" s="5" t="s">
        <v>240</v>
      </c>
      <c r="GC3154" s="5" t="s">
        <v>240</v>
      </c>
      <c r="GD3154" s="5" t="s">
        <v>240</v>
      </c>
      <c r="GE3154" s="5" t="s">
        <v>240</v>
      </c>
      <c r="GF3154" s="5" t="s">
        <v>240</v>
      </c>
      <c r="GG3154" s="5" t="s">
        <v>240</v>
      </c>
      <c r="GH3154" s="5" t="s">
        <v>240</v>
      </c>
      <c r="GI3154" s="5" t="s">
        <v>240</v>
      </c>
      <c r="GJ3154" s="5" t="s">
        <v>240</v>
      </c>
      <c r="GK3154" s="5" t="s">
        <v>240</v>
      </c>
      <c r="GL3154" s="5" t="s">
        <v>240</v>
      </c>
      <c r="GM3154" s="5" t="s">
        <v>240</v>
      </c>
      <c r="GN3154" s="5" t="s">
        <v>240</v>
      </c>
      <c r="GO3154" s="5" t="s">
        <v>240</v>
      </c>
      <c r="GP3154" s="5" t="s">
        <v>240</v>
      </c>
      <c r="GQ3154" s="5" t="s">
        <v>240</v>
      </c>
      <c r="GR3154" s="5" t="s">
        <v>240</v>
      </c>
      <c r="GS3154" s="5" t="s">
        <v>240</v>
      </c>
      <c r="GT3154" s="5" t="s">
        <v>240</v>
      </c>
      <c r="GU3154" s="5" t="s">
        <v>240</v>
      </c>
      <c r="GV3154" s="5" t="s">
        <v>240</v>
      </c>
      <c r="GW3154" s="5" t="s">
        <v>240</v>
      </c>
      <c r="GX3154" s="5" t="s">
        <v>240</v>
      </c>
      <c r="GY3154" s="5" t="s">
        <v>240</v>
      </c>
      <c r="GZ3154" s="5" t="s">
        <v>240</v>
      </c>
      <c r="HA3154" s="5" t="s">
        <v>240</v>
      </c>
      <c r="HB3154" s="5" t="s">
        <v>240</v>
      </c>
      <c r="HC3154" s="5" t="s">
        <v>240</v>
      </c>
      <c r="HD3154" s="5" t="s">
        <v>240</v>
      </c>
      <c r="HE3154" s="5" t="s">
        <v>240</v>
      </c>
      <c r="HF3154" s="5" t="s">
        <v>240</v>
      </c>
      <c r="HG3154" s="5" t="s">
        <v>240</v>
      </c>
      <c r="HH3154" s="5" t="s">
        <v>240</v>
      </c>
      <c r="HI3154" s="5" t="s">
        <v>240</v>
      </c>
      <c r="HJ3154" s="5" t="s">
        <v>240</v>
      </c>
      <c r="HK3154" s="5" t="s">
        <v>240</v>
      </c>
      <c r="HL3154" s="5" t="s">
        <v>240</v>
      </c>
      <c r="HM3154" s="5" t="s">
        <v>240</v>
      </c>
      <c r="HN3154" s="5" t="s">
        <v>240</v>
      </c>
      <c r="HO3154" s="5" t="s">
        <v>312</v>
      </c>
      <c r="HP3154" s="5" t="s">
        <v>240</v>
      </c>
      <c r="HQ3154" s="5" t="s">
        <v>240</v>
      </c>
      <c r="HR3154" s="5" t="s">
        <v>240</v>
      </c>
      <c r="HS3154" s="5" t="s">
        <v>240</v>
      </c>
      <c r="HT3154" s="5" t="s">
        <v>240</v>
      </c>
      <c r="HU3154" s="5" t="s">
        <v>240</v>
      </c>
      <c r="HV3154" s="5" t="s">
        <v>240</v>
      </c>
      <c r="HW3154" s="5" t="s">
        <v>240</v>
      </c>
      <c r="HX3154" s="5" t="s">
        <v>240</v>
      </c>
      <c r="HY3154" s="5" t="s">
        <v>240</v>
      </c>
      <c r="HZ3154" s="5" t="s">
        <v>240</v>
      </c>
      <c r="IA3154" s="5" t="s">
        <v>240</v>
      </c>
      <c r="IB3154" s="5" t="s">
        <v>240</v>
      </c>
      <c r="IC3154" s="5" t="s">
        <v>240</v>
      </c>
      <c r="ID3154" s="5" t="s">
        <v>240</v>
      </c>
      <c r="IE3154" s="5" t="s">
        <v>240</v>
      </c>
      <c r="IF3154" s="5" t="s">
        <v>240</v>
      </c>
    </row>
    <row r="3155" spans="1:240" x14ac:dyDescent="0.4">
      <c r="A3155" s="5">
        <v>4859</v>
      </c>
      <c r="B3155" s="5">
        <v>1</v>
      </c>
      <c r="C3155" s="5">
        <v>1</v>
      </c>
      <c r="D3155" s="5" t="s">
        <v>810</v>
      </c>
      <c r="E3155" s="5" t="s">
        <v>245</v>
      </c>
      <c r="F3155" s="5" t="s">
        <v>254</v>
      </c>
      <c r="G3155" s="5" t="s">
        <v>240</v>
      </c>
      <c r="H3155" s="6" t="s">
        <v>2239</v>
      </c>
      <c r="I3155" s="5" t="s">
        <v>809</v>
      </c>
      <c r="J3155" s="8">
        <f>177</f>
        <v>177</v>
      </c>
      <c r="K3155" s="5" t="s">
        <v>308</v>
      </c>
      <c r="L3155" s="7">
        <f>1</f>
        <v>1</v>
      </c>
      <c r="M3155" s="7">
        <f>1</f>
        <v>1</v>
      </c>
      <c r="N3155" s="5" t="s">
        <v>242</v>
      </c>
      <c r="O3155" s="5">
        <v>1</v>
      </c>
      <c r="P3155" s="5" t="s">
        <v>294</v>
      </c>
      <c r="Q3155" s="5" t="s">
        <v>3678</v>
      </c>
      <c r="R3155" s="5" t="s">
        <v>240</v>
      </c>
      <c r="S3155" s="5" t="s">
        <v>240</v>
      </c>
      <c r="T3155" s="5" t="s">
        <v>243</v>
      </c>
      <c r="U3155" s="5" t="s">
        <v>244</v>
      </c>
      <c r="V3155" s="5" t="s">
        <v>240</v>
      </c>
      <c r="W3155" s="5" t="s">
        <v>240</v>
      </c>
      <c r="X3155" s="5" t="s">
        <v>240</v>
      </c>
      <c r="Y3155" s="5" t="s">
        <v>240</v>
      </c>
      <c r="Z3155" s="6" t="s">
        <v>298</v>
      </c>
      <c r="AA3155" s="6" t="s">
        <v>240</v>
      </c>
      <c r="AB3155" s="6" t="s">
        <v>240</v>
      </c>
      <c r="AC3155" s="5" t="s">
        <v>240</v>
      </c>
      <c r="AD3155" s="6" t="s">
        <v>240</v>
      </c>
      <c r="AE3155" s="6" t="s">
        <v>299</v>
      </c>
      <c r="AF3155" s="5" t="s">
        <v>248</v>
      </c>
      <c r="AG3155" s="5" t="s">
        <v>249</v>
      </c>
      <c r="AH3155" s="5" t="s">
        <v>240</v>
      </c>
      <c r="AI3155" s="5" t="s">
        <v>240</v>
      </c>
      <c r="AJ3155" s="5" t="s">
        <v>240</v>
      </c>
      <c r="AK3155" s="5" t="s">
        <v>240</v>
      </c>
      <c r="AL3155" s="5" t="s">
        <v>240</v>
      </c>
      <c r="AM3155" s="5" t="s">
        <v>240</v>
      </c>
      <c r="AN3155" s="5" t="s">
        <v>240</v>
      </c>
      <c r="AO3155" s="5" t="s">
        <v>240</v>
      </c>
      <c r="AP3155" s="6" t="s">
        <v>240</v>
      </c>
      <c r="AQ3155" s="6" t="s">
        <v>240</v>
      </c>
      <c r="AR3155" s="6" t="s">
        <v>240</v>
      </c>
      <c r="AS3155" s="6" t="s">
        <v>240</v>
      </c>
      <c r="AT3155" s="5" t="s">
        <v>240</v>
      </c>
      <c r="AU3155" s="5" t="s">
        <v>729</v>
      </c>
      <c r="AV3155" s="5" t="s">
        <v>729</v>
      </c>
      <c r="AW3155" s="5" t="s">
        <v>251</v>
      </c>
      <c r="AX3155" s="5" t="s">
        <v>252</v>
      </c>
      <c r="AY3155" s="5" t="s">
        <v>253</v>
      </c>
      <c r="AZ3155" s="5" t="s">
        <v>240</v>
      </c>
      <c r="BA3155" s="5" t="s">
        <v>255</v>
      </c>
      <c r="BB3155" s="5" t="s">
        <v>731</v>
      </c>
      <c r="BD3155" s="5" t="s">
        <v>240</v>
      </c>
      <c r="BF3155" s="5" t="s">
        <v>732</v>
      </c>
      <c r="BG3155" s="6" t="s">
        <v>733</v>
      </c>
      <c r="BH3155" s="5" t="s">
        <v>734</v>
      </c>
      <c r="BI3155" s="5" t="s">
        <v>734</v>
      </c>
      <c r="BJ3155" s="5" t="s">
        <v>240</v>
      </c>
      <c r="BK3155" s="7">
        <f>1</f>
        <v>1</v>
      </c>
      <c r="BL3155" s="7">
        <f>1</f>
        <v>1</v>
      </c>
      <c r="BM3155" s="5" t="s">
        <v>258</v>
      </c>
      <c r="BN3155" s="5" t="s">
        <v>259</v>
      </c>
      <c r="BO3155" s="5" t="s">
        <v>240</v>
      </c>
      <c r="BP3155" s="5" t="s">
        <v>240</v>
      </c>
      <c r="BQ3155" s="5" t="s">
        <v>240</v>
      </c>
      <c r="BR3155" s="5" t="s">
        <v>240</v>
      </c>
      <c r="BS3155" s="5" t="s">
        <v>240</v>
      </c>
      <c r="BT3155" s="5" t="s">
        <v>240</v>
      </c>
      <c r="BU3155" s="5" t="s">
        <v>240</v>
      </c>
      <c r="BV3155" s="5" t="s">
        <v>240</v>
      </c>
      <c r="BW3155" s="6" t="s">
        <v>240</v>
      </c>
      <c r="BX3155" s="5" t="s">
        <v>240</v>
      </c>
      <c r="BY3155" s="5" t="s">
        <v>240</v>
      </c>
      <c r="BZ3155" s="5" t="s">
        <v>240</v>
      </c>
      <c r="CA3155" s="5" t="s">
        <v>259</v>
      </c>
      <c r="CB3155" s="5" t="s">
        <v>240</v>
      </c>
      <c r="CC3155" s="5" t="s">
        <v>240</v>
      </c>
      <c r="CD3155" s="5" t="s">
        <v>240</v>
      </c>
      <c r="CE3155" s="5" t="s">
        <v>240</v>
      </c>
      <c r="CF3155" s="5" t="s">
        <v>240</v>
      </c>
      <c r="CG3155" s="5" t="s">
        <v>304</v>
      </c>
      <c r="CH3155" s="5" t="s">
        <v>305</v>
      </c>
      <c r="CI3155" s="5" t="s">
        <v>240</v>
      </c>
      <c r="CK3155" s="5" t="s">
        <v>3681</v>
      </c>
      <c r="CL3155" s="6" t="s">
        <v>261</v>
      </c>
      <c r="CM3155" s="5" t="s">
        <v>262</v>
      </c>
      <c r="CN3155" s="5" t="s">
        <v>263</v>
      </c>
      <c r="CO3155" s="5" t="s">
        <v>264</v>
      </c>
      <c r="CP3155" s="5" t="s">
        <v>240</v>
      </c>
      <c r="CQ3155" s="5">
        <v>0</v>
      </c>
      <c r="CR3155" s="5" t="s">
        <v>735</v>
      </c>
      <c r="CS3155" s="5" t="s">
        <v>307</v>
      </c>
      <c r="CT3155" s="5" t="s">
        <v>307</v>
      </c>
      <c r="CU3155" s="5" t="s">
        <v>260</v>
      </c>
      <c r="CV3155" s="5" t="s">
        <v>612</v>
      </c>
      <c r="CW3155" s="8">
        <f>1</f>
        <v>1</v>
      </c>
      <c r="CX3155" s="7">
        <f>1</f>
        <v>1</v>
      </c>
      <c r="CY3155" s="7">
        <f>0</f>
        <v>0</v>
      </c>
      <c r="DA3155" s="7">
        <f>1</f>
        <v>1</v>
      </c>
      <c r="DB3155" s="7" t="s">
        <v>240</v>
      </c>
      <c r="DC3155" s="5" t="s">
        <v>240</v>
      </c>
      <c r="DD3155" s="5" t="s">
        <v>240</v>
      </c>
      <c r="DE3155" s="5" t="s">
        <v>240</v>
      </c>
      <c r="DF3155" s="5" t="s">
        <v>240</v>
      </c>
      <c r="DG3155" s="7">
        <f>0</f>
        <v>0</v>
      </c>
      <c r="DI3155" s="5" t="s">
        <v>240</v>
      </c>
      <c r="DJ3155" s="5" t="s">
        <v>240</v>
      </c>
      <c r="DK3155" s="5" t="s">
        <v>240</v>
      </c>
      <c r="DL3155" s="5" t="s">
        <v>240</v>
      </c>
      <c r="DM3155" s="5" t="s">
        <v>240</v>
      </c>
      <c r="DN3155" s="5" t="s">
        <v>240</v>
      </c>
      <c r="DO3155" s="7" t="s">
        <v>240</v>
      </c>
      <c r="DP3155" s="5" t="s">
        <v>240</v>
      </c>
      <c r="DQ3155" s="5" t="s">
        <v>240</v>
      </c>
      <c r="DR3155" s="5" t="s">
        <v>731</v>
      </c>
      <c r="DS3155" s="5" t="s">
        <v>731</v>
      </c>
      <c r="DT3155" s="5" t="s">
        <v>240</v>
      </c>
      <c r="DU3155" s="5" t="s">
        <v>240</v>
      </c>
      <c r="DV3155" s="5" t="s">
        <v>3683</v>
      </c>
      <c r="DW3155" s="5" t="s">
        <v>4101</v>
      </c>
      <c r="DX3155" s="5" t="s">
        <v>240</v>
      </c>
      <c r="DY3155" s="5" t="s">
        <v>240</v>
      </c>
      <c r="DZ3155" s="5" t="s">
        <v>240</v>
      </c>
      <c r="EA3155" s="5" t="s">
        <v>240</v>
      </c>
      <c r="EB3155" s="5" t="s">
        <v>240</v>
      </c>
      <c r="EC3155" s="5" t="s">
        <v>240</v>
      </c>
      <c r="ED3155" s="5" t="s">
        <v>240</v>
      </c>
      <c r="EE3155" s="5" t="s">
        <v>240</v>
      </c>
      <c r="EF3155" s="5" t="s">
        <v>240</v>
      </c>
      <c r="EG3155" s="5" t="s">
        <v>240</v>
      </c>
      <c r="EH3155" s="5" t="s">
        <v>240</v>
      </c>
      <c r="EI3155" s="5" t="s">
        <v>240</v>
      </c>
      <c r="EJ3155" s="5" t="s">
        <v>240</v>
      </c>
      <c r="EK3155" s="5" t="s">
        <v>240</v>
      </c>
      <c r="EL3155" s="5" t="s">
        <v>240</v>
      </c>
      <c r="EM3155" s="5" t="s">
        <v>240</v>
      </c>
      <c r="EN3155" s="5" t="s">
        <v>240</v>
      </c>
      <c r="EO3155" s="5" t="s">
        <v>240</v>
      </c>
      <c r="EP3155" s="5" t="s">
        <v>240</v>
      </c>
      <c r="EQ3155" s="5" t="s">
        <v>240</v>
      </c>
      <c r="ER3155" s="5" t="s">
        <v>240</v>
      </c>
      <c r="ES3155" s="5" t="s">
        <v>240</v>
      </c>
      <c r="ET3155" s="5" t="s">
        <v>240</v>
      </c>
      <c r="EU3155" s="5" t="s">
        <v>240</v>
      </c>
      <c r="EV3155" s="5" t="s">
        <v>240</v>
      </c>
      <c r="EW3155" s="5" t="s">
        <v>240</v>
      </c>
      <c r="EX3155" s="5" t="s">
        <v>240</v>
      </c>
      <c r="EY3155" s="5" t="s">
        <v>240</v>
      </c>
      <c r="EZ3155" s="5" t="s">
        <v>240</v>
      </c>
      <c r="FA3155" s="5" t="s">
        <v>240</v>
      </c>
      <c r="FB3155" s="5" t="s">
        <v>240</v>
      </c>
      <c r="FC3155" s="5" t="s">
        <v>240</v>
      </c>
      <c r="FD3155" s="5" t="s">
        <v>240</v>
      </c>
      <c r="FE3155" s="5" t="s">
        <v>240</v>
      </c>
      <c r="FF3155" s="5" t="s">
        <v>240</v>
      </c>
      <c r="FG3155" s="5" t="s">
        <v>240</v>
      </c>
      <c r="FH3155" s="5" t="s">
        <v>240</v>
      </c>
      <c r="FI3155" s="5" t="s">
        <v>240</v>
      </c>
      <c r="FJ3155" s="5" t="s">
        <v>240</v>
      </c>
      <c r="FK3155" s="5" t="s">
        <v>240</v>
      </c>
      <c r="FL3155" s="5" t="s">
        <v>240</v>
      </c>
      <c r="FM3155" s="5" t="s">
        <v>240</v>
      </c>
      <c r="FN3155" s="5" t="s">
        <v>240</v>
      </c>
      <c r="FO3155" s="5" t="s">
        <v>240</v>
      </c>
      <c r="FP3155" s="5" t="s">
        <v>240</v>
      </c>
      <c r="FQ3155" s="5" t="s">
        <v>240</v>
      </c>
      <c r="FR3155" s="5" t="s">
        <v>240</v>
      </c>
      <c r="FS3155" s="5" t="s">
        <v>240</v>
      </c>
      <c r="FT3155" s="5" t="s">
        <v>240</v>
      </c>
      <c r="FU3155" s="5" t="s">
        <v>240</v>
      </c>
      <c r="FV3155" s="5" t="s">
        <v>240</v>
      </c>
      <c r="FW3155" s="5" t="s">
        <v>240</v>
      </c>
      <c r="FX3155" s="5" t="s">
        <v>240</v>
      </c>
      <c r="FY3155" s="5" t="s">
        <v>240</v>
      </c>
      <c r="FZ3155" s="5" t="s">
        <v>240</v>
      </c>
      <c r="GA3155" s="5" t="s">
        <v>240</v>
      </c>
      <c r="GB3155" s="5" t="s">
        <v>240</v>
      </c>
      <c r="GC3155" s="5" t="s">
        <v>240</v>
      </c>
      <c r="GD3155" s="5" t="s">
        <v>240</v>
      </c>
      <c r="GE3155" s="5" t="s">
        <v>240</v>
      </c>
      <c r="GF3155" s="5" t="s">
        <v>240</v>
      </c>
      <c r="GG3155" s="5" t="s">
        <v>240</v>
      </c>
      <c r="GH3155" s="5" t="s">
        <v>240</v>
      </c>
      <c r="GI3155" s="5" t="s">
        <v>240</v>
      </c>
      <c r="GJ3155" s="5" t="s">
        <v>240</v>
      </c>
      <c r="GK3155" s="5" t="s">
        <v>240</v>
      </c>
      <c r="GL3155" s="5" t="s">
        <v>240</v>
      </c>
      <c r="GM3155" s="5" t="s">
        <v>240</v>
      </c>
      <c r="GN3155" s="5" t="s">
        <v>240</v>
      </c>
      <c r="GO3155" s="5" t="s">
        <v>240</v>
      </c>
      <c r="GP3155" s="5" t="s">
        <v>240</v>
      </c>
      <c r="GQ3155" s="5" t="s">
        <v>240</v>
      </c>
      <c r="GR3155" s="5" t="s">
        <v>240</v>
      </c>
      <c r="GS3155" s="5" t="s">
        <v>240</v>
      </c>
      <c r="GT3155" s="5" t="s">
        <v>240</v>
      </c>
      <c r="GU3155" s="5" t="s">
        <v>240</v>
      </c>
      <c r="GV3155" s="5" t="s">
        <v>240</v>
      </c>
      <c r="GW3155" s="5" t="s">
        <v>240</v>
      </c>
      <c r="GX3155" s="5" t="s">
        <v>240</v>
      </c>
      <c r="GY3155" s="5" t="s">
        <v>240</v>
      </c>
      <c r="GZ3155" s="5" t="s">
        <v>240</v>
      </c>
      <c r="HA3155" s="5" t="s">
        <v>240</v>
      </c>
      <c r="HB3155" s="5" t="s">
        <v>240</v>
      </c>
      <c r="HC3155" s="5" t="s">
        <v>240</v>
      </c>
      <c r="HD3155" s="5" t="s">
        <v>240</v>
      </c>
      <c r="HE3155" s="5" t="s">
        <v>240</v>
      </c>
      <c r="HF3155" s="5" t="s">
        <v>240</v>
      </c>
      <c r="HG3155" s="5" t="s">
        <v>240</v>
      </c>
      <c r="HH3155" s="5" t="s">
        <v>240</v>
      </c>
      <c r="HI3155" s="5" t="s">
        <v>240</v>
      </c>
      <c r="HJ3155" s="5" t="s">
        <v>240</v>
      </c>
      <c r="HK3155" s="5" t="s">
        <v>240</v>
      </c>
      <c r="HL3155" s="5" t="s">
        <v>240</v>
      </c>
      <c r="HM3155" s="5" t="s">
        <v>240</v>
      </c>
      <c r="HN3155" s="5" t="s">
        <v>240</v>
      </c>
      <c r="HO3155" s="5" t="s">
        <v>312</v>
      </c>
      <c r="HP3155" s="5" t="s">
        <v>240</v>
      </c>
      <c r="HQ3155" s="5" t="s">
        <v>240</v>
      </c>
      <c r="HR3155" s="5" t="s">
        <v>240</v>
      </c>
      <c r="HS3155" s="5" t="s">
        <v>240</v>
      </c>
      <c r="HT3155" s="5" t="s">
        <v>240</v>
      </c>
      <c r="HU3155" s="5" t="s">
        <v>240</v>
      </c>
      <c r="HV3155" s="5" t="s">
        <v>240</v>
      </c>
      <c r="HW3155" s="5" t="s">
        <v>240</v>
      </c>
      <c r="HX3155" s="5" t="s">
        <v>240</v>
      </c>
      <c r="HY3155" s="5" t="s">
        <v>240</v>
      </c>
      <c r="HZ3155" s="5" t="s">
        <v>240</v>
      </c>
      <c r="IA3155" s="5" t="s">
        <v>240</v>
      </c>
      <c r="IB3155" s="5" t="s">
        <v>240</v>
      </c>
      <c r="IC3155" s="5" t="s">
        <v>240</v>
      </c>
      <c r="ID3155" s="5" t="s">
        <v>240</v>
      </c>
      <c r="IE3155" s="5" t="s">
        <v>240</v>
      </c>
      <c r="IF3155" s="5" t="s">
        <v>240</v>
      </c>
    </row>
    <row r="3156" spans="1:240" x14ac:dyDescent="0.4">
      <c r="A3156" s="5">
        <v>4860</v>
      </c>
      <c r="B3156" s="5">
        <v>1</v>
      </c>
      <c r="C3156" s="5">
        <v>1</v>
      </c>
      <c r="D3156" s="5" t="s">
        <v>810</v>
      </c>
      <c r="E3156" s="5" t="s">
        <v>245</v>
      </c>
      <c r="F3156" s="5" t="s">
        <v>254</v>
      </c>
      <c r="G3156" s="5" t="s">
        <v>240</v>
      </c>
      <c r="H3156" s="6" t="s">
        <v>2237</v>
      </c>
      <c r="I3156" s="5" t="s">
        <v>809</v>
      </c>
      <c r="J3156" s="8">
        <f>130</f>
        <v>130</v>
      </c>
      <c r="K3156" s="5" t="s">
        <v>308</v>
      </c>
      <c r="L3156" s="7">
        <f>1</f>
        <v>1</v>
      </c>
      <c r="M3156" s="7">
        <f>1</f>
        <v>1</v>
      </c>
      <c r="N3156" s="5" t="s">
        <v>242</v>
      </c>
      <c r="O3156" s="5">
        <v>1</v>
      </c>
      <c r="P3156" s="5" t="s">
        <v>294</v>
      </c>
      <c r="Q3156" s="5" t="s">
        <v>266</v>
      </c>
      <c r="R3156" s="5" t="s">
        <v>240</v>
      </c>
      <c r="S3156" s="5" t="s">
        <v>240</v>
      </c>
      <c r="T3156" s="5" t="s">
        <v>296</v>
      </c>
      <c r="U3156" s="5" t="s">
        <v>244</v>
      </c>
      <c r="V3156" s="5" t="s">
        <v>240</v>
      </c>
      <c r="Y3156" s="5" t="s">
        <v>240</v>
      </c>
      <c r="Z3156" s="6" t="s">
        <v>298</v>
      </c>
      <c r="AB3156" s="6" t="s">
        <v>240</v>
      </c>
      <c r="AE3156" s="6" t="s">
        <v>299</v>
      </c>
      <c r="AF3156" s="5" t="s">
        <v>248</v>
      </c>
      <c r="AG3156" s="5" t="s">
        <v>249</v>
      </c>
      <c r="AW3156" s="5" t="s">
        <v>251</v>
      </c>
      <c r="AX3156" s="5" t="s">
        <v>240</v>
      </c>
      <c r="AY3156" s="5" t="s">
        <v>253</v>
      </c>
      <c r="AZ3156" s="5" t="s">
        <v>240</v>
      </c>
      <c r="BA3156" s="5" t="s">
        <v>255</v>
      </c>
      <c r="BB3156" s="5" t="s">
        <v>240</v>
      </c>
      <c r="BD3156" s="5" t="s">
        <v>240</v>
      </c>
      <c r="BF3156" s="5" t="s">
        <v>301</v>
      </c>
      <c r="BG3156" s="6" t="s">
        <v>299</v>
      </c>
      <c r="BH3156" s="5" t="s">
        <v>302</v>
      </c>
      <c r="BI3156" s="5" t="s">
        <v>303</v>
      </c>
      <c r="BJ3156" s="5" t="s">
        <v>240</v>
      </c>
      <c r="BK3156" s="8">
        <f>0</f>
        <v>0</v>
      </c>
      <c r="BL3156" s="7">
        <f>0</f>
        <v>0</v>
      </c>
      <c r="BM3156" s="5" t="s">
        <v>258</v>
      </c>
      <c r="BN3156" s="5" t="s">
        <v>259</v>
      </c>
      <c r="CB3156" s="5" t="s">
        <v>240</v>
      </c>
      <c r="CC3156" s="5" t="s">
        <v>240</v>
      </c>
      <c r="CG3156" s="5" t="s">
        <v>304</v>
      </c>
      <c r="CH3156" s="5" t="s">
        <v>305</v>
      </c>
      <c r="CI3156" s="5" t="s">
        <v>240</v>
      </c>
      <c r="CL3156" s="6" t="s">
        <v>261</v>
      </c>
      <c r="CM3156" s="5" t="s">
        <v>240</v>
      </c>
      <c r="CN3156" s="5" t="s">
        <v>263</v>
      </c>
      <c r="CO3156" s="5" t="s">
        <v>240</v>
      </c>
      <c r="CP3156" s="5" t="s">
        <v>240</v>
      </c>
      <c r="CQ3156" s="5">
        <v>0</v>
      </c>
      <c r="CR3156" s="5" t="s">
        <v>306</v>
      </c>
      <c r="CS3156" s="5" t="s">
        <v>307</v>
      </c>
      <c r="CT3156" s="5" t="s">
        <v>307</v>
      </c>
      <c r="CU3156" s="5" t="s">
        <v>260</v>
      </c>
      <c r="CX3156" s="7">
        <f>1</f>
        <v>1</v>
      </c>
      <c r="CY3156" s="7">
        <f>0</f>
        <v>0</v>
      </c>
      <c r="DA3156" s="7">
        <f>0</f>
        <v>0</v>
      </c>
      <c r="DC3156" s="5" t="s">
        <v>309</v>
      </c>
      <c r="DD3156" s="5" t="s">
        <v>240</v>
      </c>
      <c r="DF3156" s="5" t="s">
        <v>309</v>
      </c>
      <c r="DG3156" s="7">
        <f>3657</f>
        <v>3657</v>
      </c>
      <c r="DI3156" s="5" t="s">
        <v>240</v>
      </c>
      <c r="DJ3156" s="5" t="s">
        <v>240</v>
      </c>
      <c r="DK3156" s="5" t="s">
        <v>240</v>
      </c>
      <c r="DL3156" s="5" t="s">
        <v>240</v>
      </c>
      <c r="DP3156" s="5" t="s">
        <v>240</v>
      </c>
      <c r="DQ3156" s="5" t="s">
        <v>240</v>
      </c>
      <c r="DR3156" s="5" t="s">
        <v>240</v>
      </c>
      <c r="DS3156" s="5" t="s">
        <v>240</v>
      </c>
      <c r="DV3156" s="5" t="s">
        <v>310</v>
      </c>
      <c r="DW3156" s="5" t="s">
        <v>2694</v>
      </c>
      <c r="HO3156" s="5" t="s">
        <v>312</v>
      </c>
    </row>
    <row r="3157" spans="1:240" x14ac:dyDescent="0.4">
      <c r="A3157" s="5">
        <v>4861</v>
      </c>
      <c r="B3157" s="5">
        <v>1</v>
      </c>
      <c r="C3157" s="5">
        <v>1</v>
      </c>
      <c r="D3157" s="5" t="s">
        <v>810</v>
      </c>
      <c r="E3157" s="5" t="s">
        <v>245</v>
      </c>
      <c r="F3157" s="5" t="s">
        <v>254</v>
      </c>
      <c r="G3157" s="5" t="s">
        <v>240</v>
      </c>
      <c r="H3157" s="6" t="s">
        <v>2235</v>
      </c>
      <c r="I3157" s="5" t="s">
        <v>809</v>
      </c>
      <c r="J3157" s="8">
        <f>188</f>
        <v>188</v>
      </c>
      <c r="K3157" s="5" t="s">
        <v>308</v>
      </c>
      <c r="L3157" s="7">
        <f>1</f>
        <v>1</v>
      </c>
      <c r="M3157" s="7">
        <f>1</f>
        <v>1</v>
      </c>
      <c r="N3157" s="5" t="s">
        <v>242</v>
      </c>
      <c r="O3157" s="5">
        <v>1</v>
      </c>
      <c r="P3157" s="5" t="s">
        <v>294</v>
      </c>
      <c r="Q3157" s="5" t="s">
        <v>3678</v>
      </c>
      <c r="R3157" s="5" t="s">
        <v>240</v>
      </c>
      <c r="S3157" s="5" t="s">
        <v>240</v>
      </c>
      <c r="T3157" s="5" t="s">
        <v>243</v>
      </c>
      <c r="U3157" s="5" t="s">
        <v>244</v>
      </c>
      <c r="V3157" s="5" t="s">
        <v>240</v>
      </c>
      <c r="W3157" s="5" t="s">
        <v>240</v>
      </c>
      <c r="X3157" s="5" t="s">
        <v>240</v>
      </c>
      <c r="Y3157" s="5" t="s">
        <v>240</v>
      </c>
      <c r="Z3157" s="6" t="s">
        <v>298</v>
      </c>
      <c r="AA3157" s="6" t="s">
        <v>240</v>
      </c>
      <c r="AB3157" s="6" t="s">
        <v>240</v>
      </c>
      <c r="AC3157" s="5" t="s">
        <v>240</v>
      </c>
      <c r="AD3157" s="6" t="s">
        <v>240</v>
      </c>
      <c r="AE3157" s="6" t="s">
        <v>299</v>
      </c>
      <c r="AF3157" s="5" t="s">
        <v>248</v>
      </c>
      <c r="AG3157" s="5" t="s">
        <v>249</v>
      </c>
      <c r="AH3157" s="5" t="s">
        <v>240</v>
      </c>
      <c r="AI3157" s="5" t="s">
        <v>240</v>
      </c>
      <c r="AJ3157" s="5" t="s">
        <v>240</v>
      </c>
      <c r="AK3157" s="5" t="s">
        <v>240</v>
      </c>
      <c r="AL3157" s="5" t="s">
        <v>240</v>
      </c>
      <c r="AM3157" s="5" t="s">
        <v>240</v>
      </c>
      <c r="AN3157" s="5" t="s">
        <v>240</v>
      </c>
      <c r="AO3157" s="5" t="s">
        <v>240</v>
      </c>
      <c r="AP3157" s="6" t="s">
        <v>240</v>
      </c>
      <c r="AQ3157" s="6" t="s">
        <v>240</v>
      </c>
      <c r="AR3157" s="6" t="s">
        <v>240</v>
      </c>
      <c r="AS3157" s="6" t="s">
        <v>240</v>
      </c>
      <c r="AT3157" s="5" t="s">
        <v>240</v>
      </c>
      <c r="AU3157" s="5" t="s">
        <v>729</v>
      </c>
      <c r="AV3157" s="5" t="s">
        <v>729</v>
      </c>
      <c r="AW3157" s="5" t="s">
        <v>251</v>
      </c>
      <c r="AX3157" s="5" t="s">
        <v>252</v>
      </c>
      <c r="AY3157" s="5" t="s">
        <v>253</v>
      </c>
      <c r="AZ3157" s="5" t="s">
        <v>240</v>
      </c>
      <c r="BA3157" s="5" t="s">
        <v>255</v>
      </c>
      <c r="BB3157" s="5" t="s">
        <v>731</v>
      </c>
      <c r="BD3157" s="5" t="s">
        <v>240</v>
      </c>
      <c r="BF3157" s="5" t="s">
        <v>732</v>
      </c>
      <c r="BG3157" s="6" t="s">
        <v>733</v>
      </c>
      <c r="BH3157" s="5" t="s">
        <v>734</v>
      </c>
      <c r="BI3157" s="5" t="s">
        <v>734</v>
      </c>
      <c r="BJ3157" s="5" t="s">
        <v>240</v>
      </c>
      <c r="BK3157" s="7">
        <f>1</f>
        <v>1</v>
      </c>
      <c r="BL3157" s="7">
        <f>1</f>
        <v>1</v>
      </c>
      <c r="BM3157" s="5" t="s">
        <v>258</v>
      </c>
      <c r="BN3157" s="5" t="s">
        <v>259</v>
      </c>
      <c r="BO3157" s="5" t="s">
        <v>240</v>
      </c>
      <c r="BP3157" s="5" t="s">
        <v>240</v>
      </c>
      <c r="BQ3157" s="5" t="s">
        <v>240</v>
      </c>
      <c r="BR3157" s="5" t="s">
        <v>240</v>
      </c>
      <c r="BS3157" s="5" t="s">
        <v>240</v>
      </c>
      <c r="BT3157" s="5" t="s">
        <v>240</v>
      </c>
      <c r="BU3157" s="5" t="s">
        <v>240</v>
      </c>
      <c r="BV3157" s="5" t="s">
        <v>240</v>
      </c>
      <c r="BW3157" s="6" t="s">
        <v>240</v>
      </c>
      <c r="BX3157" s="5" t="s">
        <v>240</v>
      </c>
      <c r="BY3157" s="5" t="s">
        <v>240</v>
      </c>
      <c r="BZ3157" s="5" t="s">
        <v>240</v>
      </c>
      <c r="CA3157" s="5" t="s">
        <v>259</v>
      </c>
      <c r="CB3157" s="5" t="s">
        <v>240</v>
      </c>
      <c r="CC3157" s="5" t="s">
        <v>240</v>
      </c>
      <c r="CD3157" s="5" t="s">
        <v>240</v>
      </c>
      <c r="CE3157" s="5" t="s">
        <v>240</v>
      </c>
      <c r="CF3157" s="5" t="s">
        <v>240</v>
      </c>
      <c r="CG3157" s="5" t="s">
        <v>304</v>
      </c>
      <c r="CH3157" s="5" t="s">
        <v>305</v>
      </c>
      <c r="CI3157" s="5" t="s">
        <v>240</v>
      </c>
      <c r="CK3157" s="5" t="s">
        <v>3681</v>
      </c>
      <c r="CL3157" s="6" t="s">
        <v>261</v>
      </c>
      <c r="CM3157" s="5" t="s">
        <v>262</v>
      </c>
      <c r="CN3157" s="5" t="s">
        <v>263</v>
      </c>
      <c r="CO3157" s="5" t="s">
        <v>264</v>
      </c>
      <c r="CP3157" s="5" t="s">
        <v>240</v>
      </c>
      <c r="CQ3157" s="5">
        <v>0</v>
      </c>
      <c r="CR3157" s="5" t="s">
        <v>735</v>
      </c>
      <c r="CS3157" s="5" t="s">
        <v>307</v>
      </c>
      <c r="CT3157" s="5" t="s">
        <v>307</v>
      </c>
      <c r="CU3157" s="5" t="s">
        <v>260</v>
      </c>
      <c r="CV3157" s="5" t="s">
        <v>612</v>
      </c>
      <c r="CW3157" s="8">
        <f>1</f>
        <v>1</v>
      </c>
      <c r="CX3157" s="7">
        <f>1</f>
        <v>1</v>
      </c>
      <c r="CY3157" s="7">
        <f>0</f>
        <v>0</v>
      </c>
      <c r="DA3157" s="7">
        <f>1</f>
        <v>1</v>
      </c>
      <c r="DB3157" s="7" t="s">
        <v>240</v>
      </c>
      <c r="DC3157" s="5" t="s">
        <v>240</v>
      </c>
      <c r="DD3157" s="5" t="s">
        <v>240</v>
      </c>
      <c r="DE3157" s="5" t="s">
        <v>240</v>
      </c>
      <c r="DF3157" s="5" t="s">
        <v>240</v>
      </c>
      <c r="DG3157" s="7">
        <f>0</f>
        <v>0</v>
      </c>
      <c r="DI3157" s="5" t="s">
        <v>240</v>
      </c>
      <c r="DJ3157" s="5" t="s">
        <v>240</v>
      </c>
      <c r="DK3157" s="5" t="s">
        <v>240</v>
      </c>
      <c r="DL3157" s="5" t="s">
        <v>240</v>
      </c>
      <c r="DM3157" s="5" t="s">
        <v>240</v>
      </c>
      <c r="DN3157" s="5" t="s">
        <v>240</v>
      </c>
      <c r="DO3157" s="7" t="s">
        <v>240</v>
      </c>
      <c r="DP3157" s="5" t="s">
        <v>240</v>
      </c>
      <c r="DQ3157" s="5" t="s">
        <v>240</v>
      </c>
      <c r="DR3157" s="5" t="s">
        <v>731</v>
      </c>
      <c r="DS3157" s="5" t="s">
        <v>731</v>
      </c>
      <c r="DT3157" s="5" t="s">
        <v>240</v>
      </c>
      <c r="DU3157" s="5" t="s">
        <v>240</v>
      </c>
      <c r="DV3157" s="5" t="s">
        <v>3683</v>
      </c>
      <c r="DW3157" s="5" t="s">
        <v>1034</v>
      </c>
      <c r="DX3157" s="5" t="s">
        <v>240</v>
      </c>
      <c r="DY3157" s="5" t="s">
        <v>240</v>
      </c>
      <c r="DZ3157" s="5" t="s">
        <v>240</v>
      </c>
      <c r="EA3157" s="5" t="s">
        <v>240</v>
      </c>
      <c r="EB3157" s="5" t="s">
        <v>240</v>
      </c>
      <c r="EC3157" s="5" t="s">
        <v>240</v>
      </c>
      <c r="ED3157" s="5" t="s">
        <v>240</v>
      </c>
      <c r="EE3157" s="5" t="s">
        <v>240</v>
      </c>
      <c r="EF3157" s="5" t="s">
        <v>240</v>
      </c>
      <c r="EG3157" s="5" t="s">
        <v>240</v>
      </c>
      <c r="EH3157" s="5" t="s">
        <v>240</v>
      </c>
      <c r="EI3157" s="5" t="s">
        <v>240</v>
      </c>
      <c r="EJ3157" s="5" t="s">
        <v>240</v>
      </c>
      <c r="EK3157" s="5" t="s">
        <v>240</v>
      </c>
      <c r="EL3157" s="5" t="s">
        <v>240</v>
      </c>
      <c r="EM3157" s="5" t="s">
        <v>240</v>
      </c>
      <c r="EN3157" s="5" t="s">
        <v>240</v>
      </c>
      <c r="EO3157" s="5" t="s">
        <v>240</v>
      </c>
      <c r="EP3157" s="5" t="s">
        <v>240</v>
      </c>
      <c r="EQ3157" s="5" t="s">
        <v>240</v>
      </c>
      <c r="ER3157" s="5" t="s">
        <v>240</v>
      </c>
      <c r="ES3157" s="5" t="s">
        <v>240</v>
      </c>
      <c r="ET3157" s="5" t="s">
        <v>240</v>
      </c>
      <c r="EU3157" s="5" t="s">
        <v>240</v>
      </c>
      <c r="EV3157" s="5" t="s">
        <v>240</v>
      </c>
      <c r="EW3157" s="5" t="s">
        <v>240</v>
      </c>
      <c r="EX3157" s="5" t="s">
        <v>240</v>
      </c>
      <c r="EY3157" s="5" t="s">
        <v>240</v>
      </c>
      <c r="EZ3157" s="5" t="s">
        <v>240</v>
      </c>
      <c r="FA3157" s="5" t="s">
        <v>240</v>
      </c>
      <c r="FB3157" s="5" t="s">
        <v>240</v>
      </c>
      <c r="FC3157" s="5" t="s">
        <v>240</v>
      </c>
      <c r="FD3157" s="5" t="s">
        <v>240</v>
      </c>
      <c r="FE3157" s="5" t="s">
        <v>240</v>
      </c>
      <c r="FF3157" s="5" t="s">
        <v>240</v>
      </c>
      <c r="FG3157" s="5" t="s">
        <v>240</v>
      </c>
      <c r="FH3157" s="5" t="s">
        <v>240</v>
      </c>
      <c r="FI3157" s="5" t="s">
        <v>240</v>
      </c>
      <c r="FJ3157" s="5" t="s">
        <v>240</v>
      </c>
      <c r="FK3157" s="5" t="s">
        <v>240</v>
      </c>
      <c r="FL3157" s="5" t="s">
        <v>240</v>
      </c>
      <c r="FM3157" s="5" t="s">
        <v>240</v>
      </c>
      <c r="FN3157" s="5" t="s">
        <v>240</v>
      </c>
      <c r="FO3157" s="5" t="s">
        <v>240</v>
      </c>
      <c r="FP3157" s="5" t="s">
        <v>240</v>
      </c>
      <c r="FQ3157" s="5" t="s">
        <v>240</v>
      </c>
      <c r="FR3157" s="5" t="s">
        <v>240</v>
      </c>
      <c r="FS3157" s="5" t="s">
        <v>240</v>
      </c>
      <c r="FT3157" s="5" t="s">
        <v>240</v>
      </c>
      <c r="FU3157" s="5" t="s">
        <v>240</v>
      </c>
      <c r="FV3157" s="5" t="s">
        <v>240</v>
      </c>
      <c r="FW3157" s="5" t="s">
        <v>240</v>
      </c>
      <c r="FX3157" s="5" t="s">
        <v>240</v>
      </c>
      <c r="FY3157" s="5" t="s">
        <v>240</v>
      </c>
      <c r="FZ3157" s="5" t="s">
        <v>240</v>
      </c>
      <c r="GA3157" s="5" t="s">
        <v>240</v>
      </c>
      <c r="GB3157" s="5" t="s">
        <v>240</v>
      </c>
      <c r="GC3157" s="5" t="s">
        <v>240</v>
      </c>
      <c r="GD3157" s="5" t="s">
        <v>240</v>
      </c>
      <c r="GE3157" s="5" t="s">
        <v>240</v>
      </c>
      <c r="GF3157" s="5" t="s">
        <v>240</v>
      </c>
      <c r="GG3157" s="5" t="s">
        <v>240</v>
      </c>
      <c r="GH3157" s="5" t="s">
        <v>240</v>
      </c>
      <c r="GI3157" s="5" t="s">
        <v>240</v>
      </c>
      <c r="GJ3157" s="5" t="s">
        <v>240</v>
      </c>
      <c r="GK3157" s="5" t="s">
        <v>240</v>
      </c>
      <c r="GL3157" s="5" t="s">
        <v>240</v>
      </c>
      <c r="GM3157" s="5" t="s">
        <v>240</v>
      </c>
      <c r="GN3157" s="5" t="s">
        <v>240</v>
      </c>
      <c r="GO3157" s="5" t="s">
        <v>240</v>
      </c>
      <c r="GP3157" s="5" t="s">
        <v>240</v>
      </c>
      <c r="GQ3157" s="5" t="s">
        <v>240</v>
      </c>
      <c r="GR3157" s="5" t="s">
        <v>240</v>
      </c>
      <c r="GS3157" s="5" t="s">
        <v>240</v>
      </c>
      <c r="GT3157" s="5" t="s">
        <v>240</v>
      </c>
      <c r="GU3157" s="5" t="s">
        <v>240</v>
      </c>
      <c r="GV3157" s="5" t="s">
        <v>240</v>
      </c>
      <c r="GW3157" s="5" t="s">
        <v>240</v>
      </c>
      <c r="GX3157" s="5" t="s">
        <v>240</v>
      </c>
      <c r="GY3157" s="5" t="s">
        <v>240</v>
      </c>
      <c r="GZ3157" s="5" t="s">
        <v>240</v>
      </c>
      <c r="HA3157" s="5" t="s">
        <v>240</v>
      </c>
      <c r="HB3157" s="5" t="s">
        <v>240</v>
      </c>
      <c r="HC3157" s="5" t="s">
        <v>240</v>
      </c>
      <c r="HD3157" s="5" t="s">
        <v>240</v>
      </c>
      <c r="HE3157" s="5" t="s">
        <v>240</v>
      </c>
      <c r="HF3157" s="5" t="s">
        <v>240</v>
      </c>
      <c r="HG3157" s="5" t="s">
        <v>240</v>
      </c>
      <c r="HH3157" s="5" t="s">
        <v>240</v>
      </c>
      <c r="HI3157" s="5" t="s">
        <v>240</v>
      </c>
      <c r="HJ3157" s="5" t="s">
        <v>240</v>
      </c>
      <c r="HK3157" s="5" t="s">
        <v>240</v>
      </c>
      <c r="HL3157" s="5" t="s">
        <v>240</v>
      </c>
      <c r="HM3157" s="5" t="s">
        <v>240</v>
      </c>
      <c r="HN3157" s="5" t="s">
        <v>240</v>
      </c>
      <c r="HO3157" s="5" t="s">
        <v>312</v>
      </c>
      <c r="HP3157" s="5" t="s">
        <v>240</v>
      </c>
      <c r="HQ3157" s="5" t="s">
        <v>240</v>
      </c>
      <c r="HR3157" s="5" t="s">
        <v>240</v>
      </c>
      <c r="HS3157" s="5" t="s">
        <v>240</v>
      </c>
      <c r="HT3157" s="5" t="s">
        <v>240</v>
      </c>
      <c r="HU3157" s="5" t="s">
        <v>240</v>
      </c>
      <c r="HV3157" s="5" t="s">
        <v>240</v>
      </c>
      <c r="HW3157" s="5" t="s">
        <v>240</v>
      </c>
      <c r="HX3157" s="5" t="s">
        <v>240</v>
      </c>
      <c r="HY3157" s="5" t="s">
        <v>240</v>
      </c>
      <c r="HZ3157" s="5" t="s">
        <v>240</v>
      </c>
      <c r="IA3157" s="5" t="s">
        <v>240</v>
      </c>
      <c r="IB3157" s="5" t="s">
        <v>240</v>
      </c>
      <c r="IC3157" s="5" t="s">
        <v>240</v>
      </c>
      <c r="ID3157" s="5" t="s">
        <v>240</v>
      </c>
      <c r="IE3157" s="5" t="s">
        <v>240</v>
      </c>
      <c r="IF3157" s="5" t="s">
        <v>240</v>
      </c>
    </row>
    <row r="3158" spans="1:240" x14ac:dyDescent="0.4">
      <c r="A3158" s="5">
        <v>4862</v>
      </c>
      <c r="B3158" s="5">
        <v>1</v>
      </c>
      <c r="C3158" s="5">
        <v>1</v>
      </c>
      <c r="D3158" s="5" t="s">
        <v>810</v>
      </c>
      <c r="E3158" s="5" t="s">
        <v>245</v>
      </c>
      <c r="F3158" s="5" t="s">
        <v>254</v>
      </c>
      <c r="G3158" s="5" t="s">
        <v>240</v>
      </c>
      <c r="H3158" s="6" t="s">
        <v>2233</v>
      </c>
      <c r="I3158" s="5" t="s">
        <v>809</v>
      </c>
      <c r="J3158" s="8">
        <f>190</f>
        <v>190</v>
      </c>
      <c r="K3158" s="5" t="s">
        <v>308</v>
      </c>
      <c r="L3158" s="7">
        <f>1</f>
        <v>1</v>
      </c>
      <c r="M3158" s="7">
        <f>1</f>
        <v>1</v>
      </c>
      <c r="N3158" s="5" t="s">
        <v>242</v>
      </c>
      <c r="O3158" s="5">
        <v>1</v>
      </c>
      <c r="P3158" s="5" t="s">
        <v>294</v>
      </c>
      <c r="Q3158" s="5" t="s">
        <v>266</v>
      </c>
      <c r="R3158" s="5" t="s">
        <v>240</v>
      </c>
      <c r="S3158" s="5" t="s">
        <v>240</v>
      </c>
      <c r="T3158" s="5" t="s">
        <v>296</v>
      </c>
      <c r="U3158" s="5" t="s">
        <v>244</v>
      </c>
      <c r="V3158" s="5" t="s">
        <v>240</v>
      </c>
      <c r="Y3158" s="5" t="s">
        <v>240</v>
      </c>
      <c r="Z3158" s="6" t="s">
        <v>298</v>
      </c>
      <c r="AB3158" s="6" t="s">
        <v>240</v>
      </c>
      <c r="AE3158" s="6" t="s">
        <v>299</v>
      </c>
      <c r="AF3158" s="5" t="s">
        <v>248</v>
      </c>
      <c r="AG3158" s="5" t="s">
        <v>249</v>
      </c>
      <c r="AW3158" s="5" t="s">
        <v>251</v>
      </c>
      <c r="AX3158" s="5" t="s">
        <v>240</v>
      </c>
      <c r="AY3158" s="5" t="s">
        <v>253</v>
      </c>
      <c r="AZ3158" s="5" t="s">
        <v>240</v>
      </c>
      <c r="BA3158" s="5" t="s">
        <v>255</v>
      </c>
      <c r="BB3158" s="5" t="s">
        <v>240</v>
      </c>
      <c r="BD3158" s="5" t="s">
        <v>240</v>
      </c>
      <c r="BF3158" s="5" t="s">
        <v>301</v>
      </c>
      <c r="BG3158" s="6" t="s">
        <v>299</v>
      </c>
      <c r="BH3158" s="5" t="s">
        <v>302</v>
      </c>
      <c r="BI3158" s="5" t="s">
        <v>303</v>
      </c>
      <c r="BJ3158" s="5" t="s">
        <v>240</v>
      </c>
      <c r="BK3158" s="8">
        <f>0</f>
        <v>0</v>
      </c>
      <c r="BL3158" s="7">
        <f>0</f>
        <v>0</v>
      </c>
      <c r="BM3158" s="5" t="s">
        <v>258</v>
      </c>
      <c r="BN3158" s="5" t="s">
        <v>259</v>
      </c>
      <c r="CB3158" s="5" t="s">
        <v>240</v>
      </c>
      <c r="CC3158" s="5" t="s">
        <v>240</v>
      </c>
      <c r="CG3158" s="5" t="s">
        <v>304</v>
      </c>
      <c r="CH3158" s="5" t="s">
        <v>305</v>
      </c>
      <c r="CI3158" s="5" t="s">
        <v>240</v>
      </c>
      <c r="CL3158" s="6" t="s">
        <v>261</v>
      </c>
      <c r="CM3158" s="5" t="s">
        <v>240</v>
      </c>
      <c r="CN3158" s="5" t="s">
        <v>263</v>
      </c>
      <c r="CO3158" s="5" t="s">
        <v>240</v>
      </c>
      <c r="CP3158" s="5" t="s">
        <v>240</v>
      </c>
      <c r="CQ3158" s="5">
        <v>0</v>
      </c>
      <c r="CR3158" s="5" t="s">
        <v>306</v>
      </c>
      <c r="CS3158" s="5" t="s">
        <v>307</v>
      </c>
      <c r="CT3158" s="5" t="s">
        <v>307</v>
      </c>
      <c r="CU3158" s="5" t="s">
        <v>260</v>
      </c>
      <c r="CX3158" s="7">
        <f>1</f>
        <v>1</v>
      </c>
      <c r="CY3158" s="7">
        <f>0</f>
        <v>0</v>
      </c>
      <c r="DA3158" s="7">
        <f>0</f>
        <v>0</v>
      </c>
      <c r="DC3158" s="5" t="s">
        <v>309</v>
      </c>
      <c r="DD3158" s="5" t="s">
        <v>240</v>
      </c>
      <c r="DF3158" s="5" t="s">
        <v>309</v>
      </c>
      <c r="DG3158" s="7">
        <f>17</f>
        <v>17</v>
      </c>
      <c r="DI3158" s="5" t="s">
        <v>240</v>
      </c>
      <c r="DJ3158" s="5" t="s">
        <v>240</v>
      </c>
      <c r="DK3158" s="5" t="s">
        <v>240</v>
      </c>
      <c r="DL3158" s="5" t="s">
        <v>240</v>
      </c>
      <c r="DP3158" s="5" t="s">
        <v>240</v>
      </c>
      <c r="DQ3158" s="5" t="s">
        <v>240</v>
      </c>
      <c r="DR3158" s="5" t="s">
        <v>240</v>
      </c>
      <c r="DS3158" s="5" t="s">
        <v>240</v>
      </c>
      <c r="DV3158" s="5" t="s">
        <v>310</v>
      </c>
      <c r="DW3158" s="5" t="s">
        <v>2702</v>
      </c>
      <c r="HO3158" s="5" t="s">
        <v>312</v>
      </c>
    </row>
    <row r="3159" spans="1:240" x14ac:dyDescent="0.4">
      <c r="A3159" s="5">
        <v>4863</v>
      </c>
      <c r="B3159" s="5">
        <v>1</v>
      </c>
      <c r="C3159" s="5">
        <v>1</v>
      </c>
      <c r="D3159" s="5" t="s">
        <v>810</v>
      </c>
      <c r="E3159" s="5" t="s">
        <v>245</v>
      </c>
      <c r="F3159" s="5" t="s">
        <v>254</v>
      </c>
      <c r="G3159" s="5" t="s">
        <v>240</v>
      </c>
      <c r="H3159" s="6" t="s">
        <v>2231</v>
      </c>
      <c r="I3159" s="5" t="s">
        <v>809</v>
      </c>
      <c r="J3159" s="8">
        <f>302</f>
        <v>302</v>
      </c>
      <c r="K3159" s="5" t="s">
        <v>308</v>
      </c>
      <c r="L3159" s="7">
        <f>1</f>
        <v>1</v>
      </c>
      <c r="M3159" s="7">
        <f>1</f>
        <v>1</v>
      </c>
      <c r="N3159" s="5" t="s">
        <v>242</v>
      </c>
      <c r="O3159" s="5">
        <v>1</v>
      </c>
      <c r="P3159" s="5" t="s">
        <v>294</v>
      </c>
      <c r="Q3159" s="5" t="s">
        <v>3678</v>
      </c>
      <c r="R3159" s="5" t="s">
        <v>240</v>
      </c>
      <c r="S3159" s="5" t="s">
        <v>240</v>
      </c>
      <c r="T3159" s="5" t="s">
        <v>243</v>
      </c>
      <c r="U3159" s="5" t="s">
        <v>244</v>
      </c>
      <c r="V3159" s="5" t="s">
        <v>240</v>
      </c>
      <c r="W3159" s="5" t="s">
        <v>240</v>
      </c>
      <c r="X3159" s="5" t="s">
        <v>240</v>
      </c>
      <c r="Y3159" s="5" t="s">
        <v>240</v>
      </c>
      <c r="Z3159" s="6" t="s">
        <v>298</v>
      </c>
      <c r="AA3159" s="6" t="s">
        <v>240</v>
      </c>
      <c r="AB3159" s="6" t="s">
        <v>240</v>
      </c>
      <c r="AC3159" s="5" t="s">
        <v>240</v>
      </c>
      <c r="AD3159" s="6" t="s">
        <v>240</v>
      </c>
      <c r="AE3159" s="6" t="s">
        <v>299</v>
      </c>
      <c r="AF3159" s="5" t="s">
        <v>248</v>
      </c>
      <c r="AG3159" s="5" t="s">
        <v>249</v>
      </c>
      <c r="AH3159" s="5" t="s">
        <v>240</v>
      </c>
      <c r="AI3159" s="5" t="s">
        <v>240</v>
      </c>
      <c r="AJ3159" s="5" t="s">
        <v>240</v>
      </c>
      <c r="AK3159" s="5" t="s">
        <v>240</v>
      </c>
      <c r="AL3159" s="5" t="s">
        <v>240</v>
      </c>
      <c r="AM3159" s="5" t="s">
        <v>240</v>
      </c>
      <c r="AN3159" s="5" t="s">
        <v>240</v>
      </c>
      <c r="AO3159" s="5" t="s">
        <v>240</v>
      </c>
      <c r="AP3159" s="6" t="s">
        <v>240</v>
      </c>
      <c r="AQ3159" s="6" t="s">
        <v>240</v>
      </c>
      <c r="AR3159" s="6" t="s">
        <v>240</v>
      </c>
      <c r="AS3159" s="6" t="s">
        <v>240</v>
      </c>
      <c r="AT3159" s="5" t="s">
        <v>240</v>
      </c>
      <c r="AU3159" s="5" t="s">
        <v>729</v>
      </c>
      <c r="AV3159" s="5" t="s">
        <v>729</v>
      </c>
      <c r="AW3159" s="5" t="s">
        <v>251</v>
      </c>
      <c r="AX3159" s="5" t="s">
        <v>252</v>
      </c>
      <c r="AY3159" s="5" t="s">
        <v>253</v>
      </c>
      <c r="AZ3159" s="5" t="s">
        <v>240</v>
      </c>
      <c r="BA3159" s="5" t="s">
        <v>255</v>
      </c>
      <c r="BB3159" s="5" t="s">
        <v>731</v>
      </c>
      <c r="BD3159" s="5" t="s">
        <v>240</v>
      </c>
      <c r="BF3159" s="5" t="s">
        <v>732</v>
      </c>
      <c r="BG3159" s="6" t="s">
        <v>733</v>
      </c>
      <c r="BH3159" s="5" t="s">
        <v>734</v>
      </c>
      <c r="BI3159" s="5" t="s">
        <v>734</v>
      </c>
      <c r="BJ3159" s="5" t="s">
        <v>240</v>
      </c>
      <c r="BK3159" s="7">
        <f>1</f>
        <v>1</v>
      </c>
      <c r="BL3159" s="7">
        <f>1</f>
        <v>1</v>
      </c>
      <c r="BM3159" s="5" t="s">
        <v>258</v>
      </c>
      <c r="BN3159" s="5" t="s">
        <v>259</v>
      </c>
      <c r="BO3159" s="5" t="s">
        <v>240</v>
      </c>
      <c r="BP3159" s="5" t="s">
        <v>240</v>
      </c>
      <c r="BQ3159" s="5" t="s">
        <v>240</v>
      </c>
      <c r="BR3159" s="5" t="s">
        <v>240</v>
      </c>
      <c r="BS3159" s="5" t="s">
        <v>240</v>
      </c>
      <c r="BT3159" s="5" t="s">
        <v>240</v>
      </c>
      <c r="BU3159" s="5" t="s">
        <v>240</v>
      </c>
      <c r="BV3159" s="5" t="s">
        <v>240</v>
      </c>
      <c r="BW3159" s="6" t="s">
        <v>240</v>
      </c>
      <c r="BX3159" s="5" t="s">
        <v>240</v>
      </c>
      <c r="BY3159" s="5" t="s">
        <v>240</v>
      </c>
      <c r="BZ3159" s="5" t="s">
        <v>240</v>
      </c>
      <c r="CA3159" s="5" t="s">
        <v>259</v>
      </c>
      <c r="CB3159" s="5" t="s">
        <v>240</v>
      </c>
      <c r="CC3159" s="5" t="s">
        <v>240</v>
      </c>
      <c r="CD3159" s="5" t="s">
        <v>240</v>
      </c>
      <c r="CE3159" s="5" t="s">
        <v>240</v>
      </c>
      <c r="CF3159" s="5" t="s">
        <v>240</v>
      </c>
      <c r="CG3159" s="5" t="s">
        <v>304</v>
      </c>
      <c r="CH3159" s="5" t="s">
        <v>305</v>
      </c>
      <c r="CI3159" s="5" t="s">
        <v>240</v>
      </c>
      <c r="CK3159" s="5" t="s">
        <v>3681</v>
      </c>
      <c r="CL3159" s="6" t="s">
        <v>261</v>
      </c>
      <c r="CM3159" s="5" t="s">
        <v>262</v>
      </c>
      <c r="CN3159" s="5" t="s">
        <v>263</v>
      </c>
      <c r="CO3159" s="5" t="s">
        <v>264</v>
      </c>
      <c r="CP3159" s="5" t="s">
        <v>240</v>
      </c>
      <c r="CQ3159" s="5">
        <v>0</v>
      </c>
      <c r="CR3159" s="5" t="s">
        <v>735</v>
      </c>
      <c r="CS3159" s="5" t="s">
        <v>307</v>
      </c>
      <c r="CT3159" s="5" t="s">
        <v>307</v>
      </c>
      <c r="CU3159" s="5" t="s">
        <v>260</v>
      </c>
      <c r="CV3159" s="5" t="s">
        <v>612</v>
      </c>
      <c r="CW3159" s="8">
        <f>1</f>
        <v>1</v>
      </c>
      <c r="CX3159" s="7">
        <f>1</f>
        <v>1</v>
      </c>
      <c r="CY3159" s="7">
        <f>0</f>
        <v>0</v>
      </c>
      <c r="DA3159" s="7">
        <f>1</f>
        <v>1</v>
      </c>
      <c r="DB3159" s="7" t="s">
        <v>240</v>
      </c>
      <c r="DC3159" s="5" t="s">
        <v>240</v>
      </c>
      <c r="DD3159" s="5" t="s">
        <v>240</v>
      </c>
      <c r="DE3159" s="5" t="s">
        <v>240</v>
      </c>
      <c r="DF3159" s="5" t="s">
        <v>240</v>
      </c>
      <c r="DG3159" s="7">
        <f>0</f>
        <v>0</v>
      </c>
      <c r="DI3159" s="5" t="s">
        <v>240</v>
      </c>
      <c r="DJ3159" s="5" t="s">
        <v>240</v>
      </c>
      <c r="DK3159" s="5" t="s">
        <v>240</v>
      </c>
      <c r="DL3159" s="5" t="s">
        <v>240</v>
      </c>
      <c r="DM3159" s="5" t="s">
        <v>240</v>
      </c>
      <c r="DN3159" s="5" t="s">
        <v>240</v>
      </c>
      <c r="DO3159" s="7" t="s">
        <v>240</v>
      </c>
      <c r="DP3159" s="5" t="s">
        <v>240</v>
      </c>
      <c r="DQ3159" s="5" t="s">
        <v>240</v>
      </c>
      <c r="DR3159" s="5" t="s">
        <v>731</v>
      </c>
      <c r="DS3159" s="5" t="s">
        <v>731</v>
      </c>
      <c r="DT3159" s="5" t="s">
        <v>240</v>
      </c>
      <c r="DU3159" s="5" t="s">
        <v>240</v>
      </c>
      <c r="DV3159" s="5" t="s">
        <v>3683</v>
      </c>
      <c r="DW3159" s="5" t="s">
        <v>1080</v>
      </c>
      <c r="DX3159" s="5" t="s">
        <v>240</v>
      </c>
      <c r="DY3159" s="5" t="s">
        <v>240</v>
      </c>
      <c r="DZ3159" s="5" t="s">
        <v>240</v>
      </c>
      <c r="EA3159" s="5" t="s">
        <v>240</v>
      </c>
      <c r="EB3159" s="5" t="s">
        <v>240</v>
      </c>
      <c r="EC3159" s="5" t="s">
        <v>240</v>
      </c>
      <c r="ED3159" s="5" t="s">
        <v>240</v>
      </c>
      <c r="EE3159" s="5" t="s">
        <v>240</v>
      </c>
      <c r="EF3159" s="5" t="s">
        <v>240</v>
      </c>
      <c r="EG3159" s="5" t="s">
        <v>240</v>
      </c>
      <c r="EH3159" s="5" t="s">
        <v>240</v>
      </c>
      <c r="EI3159" s="5" t="s">
        <v>240</v>
      </c>
      <c r="EJ3159" s="5" t="s">
        <v>240</v>
      </c>
      <c r="EK3159" s="5" t="s">
        <v>240</v>
      </c>
      <c r="EL3159" s="5" t="s">
        <v>240</v>
      </c>
      <c r="EM3159" s="5" t="s">
        <v>240</v>
      </c>
      <c r="EN3159" s="5" t="s">
        <v>240</v>
      </c>
      <c r="EO3159" s="5" t="s">
        <v>240</v>
      </c>
      <c r="EP3159" s="5" t="s">
        <v>240</v>
      </c>
      <c r="EQ3159" s="5" t="s">
        <v>240</v>
      </c>
      <c r="ER3159" s="5" t="s">
        <v>240</v>
      </c>
      <c r="ES3159" s="5" t="s">
        <v>240</v>
      </c>
      <c r="ET3159" s="5" t="s">
        <v>240</v>
      </c>
      <c r="EU3159" s="5" t="s">
        <v>240</v>
      </c>
      <c r="EV3159" s="5" t="s">
        <v>240</v>
      </c>
      <c r="EW3159" s="5" t="s">
        <v>240</v>
      </c>
      <c r="EX3159" s="5" t="s">
        <v>240</v>
      </c>
      <c r="EY3159" s="5" t="s">
        <v>240</v>
      </c>
      <c r="EZ3159" s="5" t="s">
        <v>240</v>
      </c>
      <c r="FA3159" s="5" t="s">
        <v>240</v>
      </c>
      <c r="FB3159" s="5" t="s">
        <v>240</v>
      </c>
      <c r="FC3159" s="5" t="s">
        <v>240</v>
      </c>
      <c r="FD3159" s="5" t="s">
        <v>240</v>
      </c>
      <c r="FE3159" s="5" t="s">
        <v>240</v>
      </c>
      <c r="FF3159" s="5" t="s">
        <v>240</v>
      </c>
      <c r="FG3159" s="5" t="s">
        <v>240</v>
      </c>
      <c r="FH3159" s="5" t="s">
        <v>240</v>
      </c>
      <c r="FI3159" s="5" t="s">
        <v>240</v>
      </c>
      <c r="FJ3159" s="5" t="s">
        <v>240</v>
      </c>
      <c r="FK3159" s="5" t="s">
        <v>240</v>
      </c>
      <c r="FL3159" s="5" t="s">
        <v>240</v>
      </c>
      <c r="FM3159" s="5" t="s">
        <v>240</v>
      </c>
      <c r="FN3159" s="5" t="s">
        <v>240</v>
      </c>
      <c r="FO3159" s="5" t="s">
        <v>240</v>
      </c>
      <c r="FP3159" s="5" t="s">
        <v>240</v>
      </c>
      <c r="FQ3159" s="5" t="s">
        <v>240</v>
      </c>
      <c r="FR3159" s="5" t="s">
        <v>240</v>
      </c>
      <c r="FS3159" s="5" t="s">
        <v>240</v>
      </c>
      <c r="FT3159" s="5" t="s">
        <v>240</v>
      </c>
      <c r="FU3159" s="5" t="s">
        <v>240</v>
      </c>
      <c r="FV3159" s="5" t="s">
        <v>240</v>
      </c>
      <c r="FW3159" s="5" t="s">
        <v>240</v>
      </c>
      <c r="FX3159" s="5" t="s">
        <v>240</v>
      </c>
      <c r="FY3159" s="5" t="s">
        <v>240</v>
      </c>
      <c r="FZ3159" s="5" t="s">
        <v>240</v>
      </c>
      <c r="GA3159" s="5" t="s">
        <v>240</v>
      </c>
      <c r="GB3159" s="5" t="s">
        <v>240</v>
      </c>
      <c r="GC3159" s="5" t="s">
        <v>240</v>
      </c>
      <c r="GD3159" s="5" t="s">
        <v>240</v>
      </c>
      <c r="GE3159" s="5" t="s">
        <v>240</v>
      </c>
      <c r="GF3159" s="5" t="s">
        <v>240</v>
      </c>
      <c r="GG3159" s="5" t="s">
        <v>240</v>
      </c>
      <c r="GH3159" s="5" t="s">
        <v>240</v>
      </c>
      <c r="GI3159" s="5" t="s">
        <v>240</v>
      </c>
      <c r="GJ3159" s="5" t="s">
        <v>240</v>
      </c>
      <c r="GK3159" s="5" t="s">
        <v>240</v>
      </c>
      <c r="GL3159" s="5" t="s">
        <v>240</v>
      </c>
      <c r="GM3159" s="5" t="s">
        <v>240</v>
      </c>
      <c r="GN3159" s="5" t="s">
        <v>240</v>
      </c>
      <c r="GO3159" s="5" t="s">
        <v>240</v>
      </c>
      <c r="GP3159" s="5" t="s">
        <v>240</v>
      </c>
      <c r="GQ3159" s="5" t="s">
        <v>240</v>
      </c>
      <c r="GR3159" s="5" t="s">
        <v>240</v>
      </c>
      <c r="GS3159" s="5" t="s">
        <v>240</v>
      </c>
      <c r="GT3159" s="5" t="s">
        <v>240</v>
      </c>
      <c r="GU3159" s="5" t="s">
        <v>240</v>
      </c>
      <c r="GV3159" s="5" t="s">
        <v>240</v>
      </c>
      <c r="GW3159" s="5" t="s">
        <v>240</v>
      </c>
      <c r="GX3159" s="5" t="s">
        <v>240</v>
      </c>
      <c r="GY3159" s="5" t="s">
        <v>240</v>
      </c>
      <c r="GZ3159" s="5" t="s">
        <v>240</v>
      </c>
      <c r="HA3159" s="5" t="s">
        <v>240</v>
      </c>
      <c r="HB3159" s="5" t="s">
        <v>240</v>
      </c>
      <c r="HC3159" s="5" t="s">
        <v>240</v>
      </c>
      <c r="HD3159" s="5" t="s">
        <v>240</v>
      </c>
      <c r="HE3159" s="5" t="s">
        <v>240</v>
      </c>
      <c r="HF3159" s="5" t="s">
        <v>240</v>
      </c>
      <c r="HG3159" s="5" t="s">
        <v>240</v>
      </c>
      <c r="HH3159" s="5" t="s">
        <v>240</v>
      </c>
      <c r="HI3159" s="5" t="s">
        <v>240</v>
      </c>
      <c r="HJ3159" s="5" t="s">
        <v>240</v>
      </c>
      <c r="HK3159" s="5" t="s">
        <v>240</v>
      </c>
      <c r="HL3159" s="5" t="s">
        <v>240</v>
      </c>
      <c r="HM3159" s="5" t="s">
        <v>240</v>
      </c>
      <c r="HN3159" s="5" t="s">
        <v>240</v>
      </c>
      <c r="HO3159" s="5" t="s">
        <v>312</v>
      </c>
      <c r="HP3159" s="5" t="s">
        <v>240</v>
      </c>
      <c r="HQ3159" s="5" t="s">
        <v>240</v>
      </c>
      <c r="HR3159" s="5" t="s">
        <v>240</v>
      </c>
      <c r="HS3159" s="5" t="s">
        <v>240</v>
      </c>
      <c r="HT3159" s="5" t="s">
        <v>240</v>
      </c>
      <c r="HU3159" s="5" t="s">
        <v>240</v>
      </c>
      <c r="HV3159" s="5" t="s">
        <v>240</v>
      </c>
      <c r="HW3159" s="5" t="s">
        <v>240</v>
      </c>
      <c r="HX3159" s="5" t="s">
        <v>240</v>
      </c>
      <c r="HY3159" s="5" t="s">
        <v>240</v>
      </c>
      <c r="HZ3159" s="5" t="s">
        <v>240</v>
      </c>
      <c r="IA3159" s="5" t="s">
        <v>240</v>
      </c>
      <c r="IB3159" s="5" t="s">
        <v>240</v>
      </c>
      <c r="IC3159" s="5" t="s">
        <v>240</v>
      </c>
      <c r="ID3159" s="5" t="s">
        <v>240</v>
      </c>
      <c r="IE3159" s="5" t="s">
        <v>240</v>
      </c>
      <c r="IF3159" s="5" t="s">
        <v>240</v>
      </c>
    </row>
    <row r="3160" spans="1:240" x14ac:dyDescent="0.4">
      <c r="A3160" s="5">
        <v>4864</v>
      </c>
      <c r="B3160" s="5">
        <v>1</v>
      </c>
      <c r="C3160" s="5">
        <v>1</v>
      </c>
      <c r="D3160" s="5" t="s">
        <v>810</v>
      </c>
      <c r="E3160" s="5" t="s">
        <v>245</v>
      </c>
      <c r="F3160" s="5" t="s">
        <v>254</v>
      </c>
      <c r="G3160" s="5" t="s">
        <v>240</v>
      </c>
      <c r="H3160" s="6" t="s">
        <v>2229</v>
      </c>
      <c r="I3160" s="5" t="s">
        <v>809</v>
      </c>
      <c r="J3160" s="8">
        <f>1314</f>
        <v>1314</v>
      </c>
      <c r="K3160" s="5" t="s">
        <v>308</v>
      </c>
      <c r="L3160" s="7">
        <f>1</f>
        <v>1</v>
      </c>
      <c r="M3160" s="7">
        <f>1</f>
        <v>1</v>
      </c>
      <c r="N3160" s="5" t="s">
        <v>242</v>
      </c>
      <c r="O3160" s="5">
        <v>1</v>
      </c>
      <c r="P3160" s="5" t="s">
        <v>294</v>
      </c>
      <c r="Q3160" s="5" t="s">
        <v>3678</v>
      </c>
      <c r="R3160" s="5" t="s">
        <v>240</v>
      </c>
      <c r="S3160" s="5" t="s">
        <v>240</v>
      </c>
      <c r="T3160" s="5" t="s">
        <v>243</v>
      </c>
      <c r="U3160" s="5" t="s">
        <v>244</v>
      </c>
      <c r="V3160" s="5" t="s">
        <v>240</v>
      </c>
      <c r="W3160" s="5" t="s">
        <v>240</v>
      </c>
      <c r="X3160" s="5" t="s">
        <v>240</v>
      </c>
      <c r="Y3160" s="5" t="s">
        <v>240</v>
      </c>
      <c r="Z3160" s="6" t="s">
        <v>298</v>
      </c>
      <c r="AA3160" s="6" t="s">
        <v>240</v>
      </c>
      <c r="AB3160" s="6" t="s">
        <v>240</v>
      </c>
      <c r="AC3160" s="5" t="s">
        <v>240</v>
      </c>
      <c r="AD3160" s="6" t="s">
        <v>240</v>
      </c>
      <c r="AE3160" s="6" t="s">
        <v>299</v>
      </c>
      <c r="AF3160" s="5" t="s">
        <v>248</v>
      </c>
      <c r="AG3160" s="5" t="s">
        <v>249</v>
      </c>
      <c r="AH3160" s="5" t="s">
        <v>240</v>
      </c>
      <c r="AI3160" s="5" t="s">
        <v>240</v>
      </c>
      <c r="AJ3160" s="5" t="s">
        <v>240</v>
      </c>
      <c r="AK3160" s="5" t="s">
        <v>240</v>
      </c>
      <c r="AL3160" s="5" t="s">
        <v>240</v>
      </c>
      <c r="AM3160" s="5" t="s">
        <v>240</v>
      </c>
      <c r="AN3160" s="5" t="s">
        <v>240</v>
      </c>
      <c r="AO3160" s="5" t="s">
        <v>240</v>
      </c>
      <c r="AP3160" s="6" t="s">
        <v>240</v>
      </c>
      <c r="AQ3160" s="6" t="s">
        <v>240</v>
      </c>
      <c r="AR3160" s="6" t="s">
        <v>240</v>
      </c>
      <c r="AS3160" s="6" t="s">
        <v>240</v>
      </c>
      <c r="AT3160" s="5" t="s">
        <v>240</v>
      </c>
      <c r="AU3160" s="5" t="s">
        <v>729</v>
      </c>
      <c r="AV3160" s="5" t="s">
        <v>729</v>
      </c>
      <c r="AW3160" s="5" t="s">
        <v>251</v>
      </c>
      <c r="AX3160" s="5" t="s">
        <v>252</v>
      </c>
      <c r="AY3160" s="5" t="s">
        <v>253</v>
      </c>
      <c r="AZ3160" s="5" t="s">
        <v>240</v>
      </c>
      <c r="BA3160" s="5" t="s">
        <v>255</v>
      </c>
      <c r="BB3160" s="5" t="s">
        <v>731</v>
      </c>
      <c r="BD3160" s="5" t="s">
        <v>240</v>
      </c>
      <c r="BF3160" s="5" t="s">
        <v>732</v>
      </c>
      <c r="BG3160" s="6" t="s">
        <v>733</v>
      </c>
      <c r="BH3160" s="5" t="s">
        <v>734</v>
      </c>
      <c r="BI3160" s="5" t="s">
        <v>734</v>
      </c>
      <c r="BJ3160" s="5" t="s">
        <v>240</v>
      </c>
      <c r="BK3160" s="7">
        <f>1</f>
        <v>1</v>
      </c>
      <c r="BL3160" s="7">
        <f>1</f>
        <v>1</v>
      </c>
      <c r="BM3160" s="5" t="s">
        <v>258</v>
      </c>
      <c r="BN3160" s="5" t="s">
        <v>259</v>
      </c>
      <c r="BO3160" s="5" t="s">
        <v>240</v>
      </c>
      <c r="BP3160" s="5" t="s">
        <v>240</v>
      </c>
      <c r="BQ3160" s="5" t="s">
        <v>240</v>
      </c>
      <c r="BR3160" s="5" t="s">
        <v>240</v>
      </c>
      <c r="BS3160" s="5" t="s">
        <v>240</v>
      </c>
      <c r="BT3160" s="5" t="s">
        <v>240</v>
      </c>
      <c r="BU3160" s="5" t="s">
        <v>240</v>
      </c>
      <c r="BV3160" s="5" t="s">
        <v>240</v>
      </c>
      <c r="BW3160" s="6" t="s">
        <v>240</v>
      </c>
      <c r="BX3160" s="5" t="s">
        <v>240</v>
      </c>
      <c r="BY3160" s="5" t="s">
        <v>240</v>
      </c>
      <c r="BZ3160" s="5" t="s">
        <v>240</v>
      </c>
      <c r="CA3160" s="5" t="s">
        <v>259</v>
      </c>
      <c r="CB3160" s="5" t="s">
        <v>240</v>
      </c>
      <c r="CC3160" s="5" t="s">
        <v>240</v>
      </c>
      <c r="CD3160" s="5" t="s">
        <v>240</v>
      </c>
      <c r="CE3160" s="5" t="s">
        <v>240</v>
      </c>
      <c r="CF3160" s="5" t="s">
        <v>240</v>
      </c>
      <c r="CG3160" s="5" t="s">
        <v>304</v>
      </c>
      <c r="CH3160" s="5" t="s">
        <v>305</v>
      </c>
      <c r="CI3160" s="5" t="s">
        <v>240</v>
      </c>
      <c r="CK3160" s="5" t="s">
        <v>3681</v>
      </c>
      <c r="CL3160" s="6" t="s">
        <v>261</v>
      </c>
      <c r="CM3160" s="5" t="s">
        <v>262</v>
      </c>
      <c r="CN3160" s="5" t="s">
        <v>263</v>
      </c>
      <c r="CO3160" s="5" t="s">
        <v>264</v>
      </c>
      <c r="CP3160" s="5" t="s">
        <v>240</v>
      </c>
      <c r="CQ3160" s="5">
        <v>0</v>
      </c>
      <c r="CR3160" s="5" t="s">
        <v>735</v>
      </c>
      <c r="CS3160" s="5" t="s">
        <v>307</v>
      </c>
      <c r="CT3160" s="5" t="s">
        <v>307</v>
      </c>
      <c r="CU3160" s="5" t="s">
        <v>260</v>
      </c>
      <c r="CV3160" s="5" t="s">
        <v>612</v>
      </c>
      <c r="CW3160" s="8">
        <f>1</f>
        <v>1</v>
      </c>
      <c r="CX3160" s="7">
        <f>1</f>
        <v>1</v>
      </c>
      <c r="CY3160" s="7">
        <f>0</f>
        <v>0</v>
      </c>
      <c r="DA3160" s="7">
        <f>1</f>
        <v>1</v>
      </c>
      <c r="DB3160" s="7" t="s">
        <v>240</v>
      </c>
      <c r="DC3160" s="5" t="s">
        <v>240</v>
      </c>
      <c r="DD3160" s="5" t="s">
        <v>240</v>
      </c>
      <c r="DE3160" s="5" t="s">
        <v>240</v>
      </c>
      <c r="DF3160" s="5" t="s">
        <v>240</v>
      </c>
      <c r="DG3160" s="7">
        <f>0</f>
        <v>0</v>
      </c>
      <c r="DI3160" s="5" t="s">
        <v>240</v>
      </c>
      <c r="DJ3160" s="5" t="s">
        <v>240</v>
      </c>
      <c r="DK3160" s="5" t="s">
        <v>240</v>
      </c>
      <c r="DL3160" s="5" t="s">
        <v>240</v>
      </c>
      <c r="DM3160" s="5" t="s">
        <v>240</v>
      </c>
      <c r="DN3160" s="5" t="s">
        <v>240</v>
      </c>
      <c r="DO3160" s="7" t="s">
        <v>240</v>
      </c>
      <c r="DP3160" s="5" t="s">
        <v>240</v>
      </c>
      <c r="DQ3160" s="5" t="s">
        <v>240</v>
      </c>
      <c r="DR3160" s="5" t="s">
        <v>731</v>
      </c>
      <c r="DS3160" s="5" t="s">
        <v>731</v>
      </c>
      <c r="DT3160" s="5" t="s">
        <v>240</v>
      </c>
      <c r="DU3160" s="5" t="s">
        <v>240</v>
      </c>
      <c r="DV3160" s="5" t="s">
        <v>3683</v>
      </c>
      <c r="DW3160" s="5" t="s">
        <v>1056</v>
      </c>
      <c r="DX3160" s="5" t="s">
        <v>240</v>
      </c>
      <c r="DY3160" s="5" t="s">
        <v>240</v>
      </c>
      <c r="DZ3160" s="5" t="s">
        <v>240</v>
      </c>
      <c r="EA3160" s="5" t="s">
        <v>240</v>
      </c>
      <c r="EB3160" s="5" t="s">
        <v>240</v>
      </c>
      <c r="EC3160" s="5" t="s">
        <v>240</v>
      </c>
      <c r="ED3160" s="5" t="s">
        <v>240</v>
      </c>
      <c r="EE3160" s="5" t="s">
        <v>240</v>
      </c>
      <c r="EF3160" s="5" t="s">
        <v>240</v>
      </c>
      <c r="EG3160" s="5" t="s">
        <v>240</v>
      </c>
      <c r="EH3160" s="5" t="s">
        <v>240</v>
      </c>
      <c r="EI3160" s="5" t="s">
        <v>240</v>
      </c>
      <c r="EJ3160" s="5" t="s">
        <v>240</v>
      </c>
      <c r="EK3160" s="5" t="s">
        <v>240</v>
      </c>
      <c r="EL3160" s="5" t="s">
        <v>240</v>
      </c>
      <c r="EM3160" s="5" t="s">
        <v>240</v>
      </c>
      <c r="EN3160" s="5" t="s">
        <v>240</v>
      </c>
      <c r="EO3160" s="5" t="s">
        <v>240</v>
      </c>
      <c r="EP3160" s="5" t="s">
        <v>240</v>
      </c>
      <c r="EQ3160" s="5" t="s">
        <v>240</v>
      </c>
      <c r="ER3160" s="5" t="s">
        <v>240</v>
      </c>
      <c r="ES3160" s="5" t="s">
        <v>240</v>
      </c>
      <c r="ET3160" s="5" t="s">
        <v>240</v>
      </c>
      <c r="EU3160" s="5" t="s">
        <v>240</v>
      </c>
      <c r="EV3160" s="5" t="s">
        <v>240</v>
      </c>
      <c r="EW3160" s="5" t="s">
        <v>240</v>
      </c>
      <c r="EX3160" s="5" t="s">
        <v>240</v>
      </c>
      <c r="EY3160" s="5" t="s">
        <v>240</v>
      </c>
      <c r="EZ3160" s="5" t="s">
        <v>240</v>
      </c>
      <c r="FA3160" s="5" t="s">
        <v>240</v>
      </c>
      <c r="FB3160" s="5" t="s">
        <v>240</v>
      </c>
      <c r="FC3160" s="5" t="s">
        <v>240</v>
      </c>
      <c r="FD3160" s="5" t="s">
        <v>240</v>
      </c>
      <c r="FE3160" s="5" t="s">
        <v>240</v>
      </c>
      <c r="FF3160" s="5" t="s">
        <v>240</v>
      </c>
      <c r="FG3160" s="5" t="s">
        <v>240</v>
      </c>
      <c r="FH3160" s="5" t="s">
        <v>240</v>
      </c>
      <c r="FI3160" s="5" t="s">
        <v>240</v>
      </c>
      <c r="FJ3160" s="5" t="s">
        <v>240</v>
      </c>
      <c r="FK3160" s="5" t="s">
        <v>240</v>
      </c>
      <c r="FL3160" s="5" t="s">
        <v>240</v>
      </c>
      <c r="FM3160" s="5" t="s">
        <v>240</v>
      </c>
      <c r="FN3160" s="5" t="s">
        <v>240</v>
      </c>
      <c r="FO3160" s="5" t="s">
        <v>240</v>
      </c>
      <c r="FP3160" s="5" t="s">
        <v>240</v>
      </c>
      <c r="FQ3160" s="5" t="s">
        <v>240</v>
      </c>
      <c r="FR3160" s="5" t="s">
        <v>240</v>
      </c>
      <c r="FS3160" s="5" t="s">
        <v>240</v>
      </c>
      <c r="FT3160" s="5" t="s">
        <v>240</v>
      </c>
      <c r="FU3160" s="5" t="s">
        <v>240</v>
      </c>
      <c r="FV3160" s="5" t="s">
        <v>240</v>
      </c>
      <c r="FW3160" s="5" t="s">
        <v>240</v>
      </c>
      <c r="FX3160" s="5" t="s">
        <v>240</v>
      </c>
      <c r="FY3160" s="5" t="s">
        <v>240</v>
      </c>
      <c r="FZ3160" s="5" t="s">
        <v>240</v>
      </c>
      <c r="GA3160" s="5" t="s">
        <v>240</v>
      </c>
      <c r="GB3160" s="5" t="s">
        <v>240</v>
      </c>
      <c r="GC3160" s="5" t="s">
        <v>240</v>
      </c>
      <c r="GD3160" s="5" t="s">
        <v>240</v>
      </c>
      <c r="GE3160" s="5" t="s">
        <v>240</v>
      </c>
      <c r="GF3160" s="5" t="s">
        <v>240</v>
      </c>
      <c r="GG3160" s="5" t="s">
        <v>240</v>
      </c>
      <c r="GH3160" s="5" t="s">
        <v>240</v>
      </c>
      <c r="GI3160" s="5" t="s">
        <v>240</v>
      </c>
      <c r="GJ3160" s="5" t="s">
        <v>240</v>
      </c>
      <c r="GK3160" s="5" t="s">
        <v>240</v>
      </c>
      <c r="GL3160" s="5" t="s">
        <v>240</v>
      </c>
      <c r="GM3160" s="5" t="s">
        <v>240</v>
      </c>
      <c r="GN3160" s="5" t="s">
        <v>240</v>
      </c>
      <c r="GO3160" s="5" t="s">
        <v>240</v>
      </c>
      <c r="GP3160" s="5" t="s">
        <v>240</v>
      </c>
      <c r="GQ3160" s="5" t="s">
        <v>240</v>
      </c>
      <c r="GR3160" s="5" t="s">
        <v>240</v>
      </c>
      <c r="GS3160" s="5" t="s">
        <v>240</v>
      </c>
      <c r="GT3160" s="5" t="s">
        <v>240</v>
      </c>
      <c r="GU3160" s="5" t="s">
        <v>240</v>
      </c>
      <c r="GV3160" s="5" t="s">
        <v>240</v>
      </c>
      <c r="GW3160" s="5" t="s">
        <v>240</v>
      </c>
      <c r="GX3160" s="5" t="s">
        <v>240</v>
      </c>
      <c r="GY3160" s="5" t="s">
        <v>240</v>
      </c>
      <c r="GZ3160" s="5" t="s">
        <v>240</v>
      </c>
      <c r="HA3160" s="5" t="s">
        <v>240</v>
      </c>
      <c r="HB3160" s="5" t="s">
        <v>240</v>
      </c>
      <c r="HC3160" s="5" t="s">
        <v>240</v>
      </c>
      <c r="HD3160" s="5" t="s">
        <v>240</v>
      </c>
      <c r="HE3160" s="5" t="s">
        <v>240</v>
      </c>
      <c r="HF3160" s="5" t="s">
        <v>240</v>
      </c>
      <c r="HG3160" s="5" t="s">
        <v>240</v>
      </c>
      <c r="HH3160" s="5" t="s">
        <v>240</v>
      </c>
      <c r="HI3160" s="5" t="s">
        <v>240</v>
      </c>
      <c r="HJ3160" s="5" t="s">
        <v>240</v>
      </c>
      <c r="HK3160" s="5" t="s">
        <v>240</v>
      </c>
      <c r="HL3160" s="5" t="s">
        <v>240</v>
      </c>
      <c r="HM3160" s="5" t="s">
        <v>240</v>
      </c>
      <c r="HN3160" s="5" t="s">
        <v>240</v>
      </c>
      <c r="HO3160" s="5" t="s">
        <v>312</v>
      </c>
      <c r="HP3160" s="5" t="s">
        <v>240</v>
      </c>
      <c r="HQ3160" s="5" t="s">
        <v>240</v>
      </c>
      <c r="HR3160" s="5" t="s">
        <v>240</v>
      </c>
      <c r="HS3160" s="5" t="s">
        <v>240</v>
      </c>
      <c r="HT3160" s="5" t="s">
        <v>240</v>
      </c>
      <c r="HU3160" s="5" t="s">
        <v>240</v>
      </c>
      <c r="HV3160" s="5" t="s">
        <v>240</v>
      </c>
      <c r="HW3160" s="5" t="s">
        <v>240</v>
      </c>
      <c r="HX3160" s="5" t="s">
        <v>240</v>
      </c>
      <c r="HY3160" s="5" t="s">
        <v>240</v>
      </c>
      <c r="HZ3160" s="5" t="s">
        <v>240</v>
      </c>
      <c r="IA3160" s="5" t="s">
        <v>240</v>
      </c>
      <c r="IB3160" s="5" t="s">
        <v>240</v>
      </c>
      <c r="IC3160" s="5" t="s">
        <v>240</v>
      </c>
      <c r="ID3160" s="5" t="s">
        <v>240</v>
      </c>
      <c r="IE3160" s="5" t="s">
        <v>240</v>
      </c>
      <c r="IF3160" s="5" t="s">
        <v>240</v>
      </c>
    </row>
    <row r="3161" spans="1:240" x14ac:dyDescent="0.4">
      <c r="A3161" s="5">
        <v>4865</v>
      </c>
      <c r="B3161" s="5">
        <v>1</v>
      </c>
      <c r="C3161" s="5">
        <v>1</v>
      </c>
      <c r="D3161" s="5" t="s">
        <v>810</v>
      </c>
      <c r="E3161" s="5" t="s">
        <v>245</v>
      </c>
      <c r="F3161" s="5" t="s">
        <v>254</v>
      </c>
      <c r="G3161" s="5" t="s">
        <v>240</v>
      </c>
      <c r="H3161" s="6" t="s">
        <v>2227</v>
      </c>
      <c r="I3161" s="5" t="s">
        <v>809</v>
      </c>
      <c r="J3161" s="8">
        <f>261</f>
        <v>261</v>
      </c>
      <c r="K3161" s="5" t="s">
        <v>308</v>
      </c>
      <c r="L3161" s="7">
        <f>1</f>
        <v>1</v>
      </c>
      <c r="M3161" s="7">
        <f>1</f>
        <v>1</v>
      </c>
      <c r="N3161" s="5" t="s">
        <v>242</v>
      </c>
      <c r="O3161" s="5">
        <v>1</v>
      </c>
      <c r="P3161" s="5" t="s">
        <v>294</v>
      </c>
      <c r="Q3161" s="5" t="s">
        <v>3678</v>
      </c>
      <c r="R3161" s="5" t="s">
        <v>240</v>
      </c>
      <c r="S3161" s="5" t="s">
        <v>240</v>
      </c>
      <c r="T3161" s="5" t="s">
        <v>243</v>
      </c>
      <c r="U3161" s="5" t="s">
        <v>244</v>
      </c>
      <c r="V3161" s="5" t="s">
        <v>240</v>
      </c>
      <c r="W3161" s="5" t="s">
        <v>240</v>
      </c>
      <c r="X3161" s="5" t="s">
        <v>240</v>
      </c>
      <c r="Y3161" s="5" t="s">
        <v>240</v>
      </c>
      <c r="Z3161" s="6" t="s">
        <v>298</v>
      </c>
      <c r="AA3161" s="6" t="s">
        <v>240</v>
      </c>
      <c r="AB3161" s="6" t="s">
        <v>240</v>
      </c>
      <c r="AC3161" s="5" t="s">
        <v>240</v>
      </c>
      <c r="AD3161" s="6" t="s">
        <v>240</v>
      </c>
      <c r="AE3161" s="6" t="s">
        <v>299</v>
      </c>
      <c r="AF3161" s="5" t="s">
        <v>248</v>
      </c>
      <c r="AG3161" s="5" t="s">
        <v>249</v>
      </c>
      <c r="AH3161" s="5" t="s">
        <v>240</v>
      </c>
      <c r="AI3161" s="5" t="s">
        <v>240</v>
      </c>
      <c r="AJ3161" s="5" t="s">
        <v>240</v>
      </c>
      <c r="AK3161" s="5" t="s">
        <v>240</v>
      </c>
      <c r="AL3161" s="5" t="s">
        <v>240</v>
      </c>
      <c r="AM3161" s="5" t="s">
        <v>240</v>
      </c>
      <c r="AN3161" s="5" t="s">
        <v>240</v>
      </c>
      <c r="AO3161" s="5" t="s">
        <v>240</v>
      </c>
      <c r="AP3161" s="6" t="s">
        <v>240</v>
      </c>
      <c r="AQ3161" s="6" t="s">
        <v>240</v>
      </c>
      <c r="AR3161" s="6" t="s">
        <v>240</v>
      </c>
      <c r="AS3161" s="6" t="s">
        <v>240</v>
      </c>
      <c r="AT3161" s="5" t="s">
        <v>240</v>
      </c>
      <c r="AU3161" s="5" t="s">
        <v>729</v>
      </c>
      <c r="AV3161" s="5" t="s">
        <v>729</v>
      </c>
      <c r="AW3161" s="5" t="s">
        <v>251</v>
      </c>
      <c r="AX3161" s="5" t="s">
        <v>252</v>
      </c>
      <c r="AY3161" s="5" t="s">
        <v>253</v>
      </c>
      <c r="AZ3161" s="5" t="s">
        <v>240</v>
      </c>
      <c r="BA3161" s="5" t="s">
        <v>255</v>
      </c>
      <c r="BB3161" s="5" t="s">
        <v>731</v>
      </c>
      <c r="BD3161" s="5" t="s">
        <v>240</v>
      </c>
      <c r="BF3161" s="5" t="s">
        <v>732</v>
      </c>
      <c r="BG3161" s="6" t="s">
        <v>733</v>
      </c>
      <c r="BH3161" s="5" t="s">
        <v>734</v>
      </c>
      <c r="BI3161" s="5" t="s">
        <v>734</v>
      </c>
      <c r="BJ3161" s="5" t="s">
        <v>240</v>
      </c>
      <c r="BK3161" s="7">
        <f>1</f>
        <v>1</v>
      </c>
      <c r="BL3161" s="7">
        <f>1</f>
        <v>1</v>
      </c>
      <c r="BM3161" s="5" t="s">
        <v>258</v>
      </c>
      <c r="BN3161" s="5" t="s">
        <v>259</v>
      </c>
      <c r="BO3161" s="5" t="s">
        <v>240</v>
      </c>
      <c r="BP3161" s="5" t="s">
        <v>240</v>
      </c>
      <c r="BQ3161" s="5" t="s">
        <v>240</v>
      </c>
      <c r="BR3161" s="5" t="s">
        <v>240</v>
      </c>
      <c r="BS3161" s="5" t="s">
        <v>240</v>
      </c>
      <c r="BT3161" s="5" t="s">
        <v>240</v>
      </c>
      <c r="BU3161" s="5" t="s">
        <v>240</v>
      </c>
      <c r="BV3161" s="5" t="s">
        <v>240</v>
      </c>
      <c r="BW3161" s="6" t="s">
        <v>240</v>
      </c>
      <c r="BX3161" s="5" t="s">
        <v>240</v>
      </c>
      <c r="BY3161" s="5" t="s">
        <v>240</v>
      </c>
      <c r="BZ3161" s="5" t="s">
        <v>240</v>
      </c>
      <c r="CA3161" s="5" t="s">
        <v>259</v>
      </c>
      <c r="CB3161" s="5" t="s">
        <v>240</v>
      </c>
      <c r="CC3161" s="5" t="s">
        <v>240</v>
      </c>
      <c r="CD3161" s="5" t="s">
        <v>240</v>
      </c>
      <c r="CE3161" s="5" t="s">
        <v>240</v>
      </c>
      <c r="CF3161" s="5" t="s">
        <v>240</v>
      </c>
      <c r="CG3161" s="5" t="s">
        <v>304</v>
      </c>
      <c r="CH3161" s="5" t="s">
        <v>305</v>
      </c>
      <c r="CI3161" s="5" t="s">
        <v>240</v>
      </c>
      <c r="CK3161" s="5" t="s">
        <v>3681</v>
      </c>
      <c r="CL3161" s="6" t="s">
        <v>261</v>
      </c>
      <c r="CM3161" s="5" t="s">
        <v>262</v>
      </c>
      <c r="CN3161" s="5" t="s">
        <v>263</v>
      </c>
      <c r="CO3161" s="5" t="s">
        <v>264</v>
      </c>
      <c r="CP3161" s="5" t="s">
        <v>240</v>
      </c>
      <c r="CQ3161" s="5">
        <v>0</v>
      </c>
      <c r="CR3161" s="5" t="s">
        <v>735</v>
      </c>
      <c r="CS3161" s="5" t="s">
        <v>307</v>
      </c>
      <c r="CT3161" s="5" t="s">
        <v>307</v>
      </c>
      <c r="CU3161" s="5" t="s">
        <v>260</v>
      </c>
      <c r="CV3161" s="5" t="s">
        <v>612</v>
      </c>
      <c r="CW3161" s="8">
        <f>1</f>
        <v>1</v>
      </c>
      <c r="CX3161" s="7">
        <f>1</f>
        <v>1</v>
      </c>
      <c r="CY3161" s="7">
        <f>0</f>
        <v>0</v>
      </c>
      <c r="DA3161" s="7">
        <f>1</f>
        <v>1</v>
      </c>
      <c r="DB3161" s="7" t="s">
        <v>240</v>
      </c>
      <c r="DC3161" s="5" t="s">
        <v>240</v>
      </c>
      <c r="DD3161" s="5" t="s">
        <v>240</v>
      </c>
      <c r="DE3161" s="5" t="s">
        <v>240</v>
      </c>
      <c r="DF3161" s="5" t="s">
        <v>240</v>
      </c>
      <c r="DG3161" s="7">
        <f>0</f>
        <v>0</v>
      </c>
      <c r="DI3161" s="5" t="s">
        <v>240</v>
      </c>
      <c r="DJ3161" s="5" t="s">
        <v>240</v>
      </c>
      <c r="DK3161" s="5" t="s">
        <v>240</v>
      </c>
      <c r="DL3161" s="5" t="s">
        <v>240</v>
      </c>
      <c r="DM3161" s="5" t="s">
        <v>240</v>
      </c>
      <c r="DN3161" s="5" t="s">
        <v>240</v>
      </c>
      <c r="DO3161" s="7" t="s">
        <v>240</v>
      </c>
      <c r="DP3161" s="5" t="s">
        <v>240</v>
      </c>
      <c r="DQ3161" s="5" t="s">
        <v>240</v>
      </c>
      <c r="DR3161" s="5" t="s">
        <v>731</v>
      </c>
      <c r="DS3161" s="5" t="s">
        <v>731</v>
      </c>
      <c r="DT3161" s="5" t="s">
        <v>240</v>
      </c>
      <c r="DU3161" s="5" t="s">
        <v>240</v>
      </c>
      <c r="DV3161" s="5" t="s">
        <v>3683</v>
      </c>
      <c r="DW3161" s="5" t="s">
        <v>647</v>
      </c>
      <c r="DX3161" s="5" t="s">
        <v>240</v>
      </c>
      <c r="DY3161" s="5" t="s">
        <v>240</v>
      </c>
      <c r="DZ3161" s="5" t="s">
        <v>240</v>
      </c>
      <c r="EA3161" s="5" t="s">
        <v>240</v>
      </c>
      <c r="EB3161" s="5" t="s">
        <v>240</v>
      </c>
      <c r="EC3161" s="5" t="s">
        <v>240</v>
      </c>
      <c r="ED3161" s="5" t="s">
        <v>240</v>
      </c>
      <c r="EE3161" s="5" t="s">
        <v>240</v>
      </c>
      <c r="EF3161" s="5" t="s">
        <v>240</v>
      </c>
      <c r="EG3161" s="5" t="s">
        <v>240</v>
      </c>
      <c r="EH3161" s="5" t="s">
        <v>240</v>
      </c>
      <c r="EI3161" s="5" t="s">
        <v>240</v>
      </c>
      <c r="EJ3161" s="5" t="s">
        <v>240</v>
      </c>
      <c r="EK3161" s="5" t="s">
        <v>240</v>
      </c>
      <c r="EL3161" s="5" t="s">
        <v>240</v>
      </c>
      <c r="EM3161" s="5" t="s">
        <v>240</v>
      </c>
      <c r="EN3161" s="5" t="s">
        <v>240</v>
      </c>
      <c r="EO3161" s="5" t="s">
        <v>240</v>
      </c>
      <c r="EP3161" s="5" t="s">
        <v>240</v>
      </c>
      <c r="EQ3161" s="5" t="s">
        <v>240</v>
      </c>
      <c r="ER3161" s="5" t="s">
        <v>240</v>
      </c>
      <c r="ES3161" s="5" t="s">
        <v>240</v>
      </c>
      <c r="ET3161" s="5" t="s">
        <v>240</v>
      </c>
      <c r="EU3161" s="5" t="s">
        <v>240</v>
      </c>
      <c r="EV3161" s="5" t="s">
        <v>240</v>
      </c>
      <c r="EW3161" s="5" t="s">
        <v>240</v>
      </c>
      <c r="EX3161" s="5" t="s">
        <v>240</v>
      </c>
      <c r="EY3161" s="5" t="s">
        <v>240</v>
      </c>
      <c r="EZ3161" s="5" t="s">
        <v>240</v>
      </c>
      <c r="FA3161" s="5" t="s">
        <v>240</v>
      </c>
      <c r="FB3161" s="5" t="s">
        <v>240</v>
      </c>
      <c r="FC3161" s="5" t="s">
        <v>240</v>
      </c>
      <c r="FD3161" s="5" t="s">
        <v>240</v>
      </c>
      <c r="FE3161" s="5" t="s">
        <v>240</v>
      </c>
      <c r="FF3161" s="5" t="s">
        <v>240</v>
      </c>
      <c r="FG3161" s="5" t="s">
        <v>240</v>
      </c>
      <c r="FH3161" s="5" t="s">
        <v>240</v>
      </c>
      <c r="FI3161" s="5" t="s">
        <v>240</v>
      </c>
      <c r="FJ3161" s="5" t="s">
        <v>240</v>
      </c>
      <c r="FK3161" s="5" t="s">
        <v>240</v>
      </c>
      <c r="FL3161" s="5" t="s">
        <v>240</v>
      </c>
      <c r="FM3161" s="5" t="s">
        <v>240</v>
      </c>
      <c r="FN3161" s="5" t="s">
        <v>240</v>
      </c>
      <c r="FO3161" s="5" t="s">
        <v>240</v>
      </c>
      <c r="FP3161" s="5" t="s">
        <v>240</v>
      </c>
      <c r="FQ3161" s="5" t="s">
        <v>240</v>
      </c>
      <c r="FR3161" s="5" t="s">
        <v>240</v>
      </c>
      <c r="FS3161" s="5" t="s">
        <v>240</v>
      </c>
      <c r="FT3161" s="5" t="s">
        <v>240</v>
      </c>
      <c r="FU3161" s="5" t="s">
        <v>240</v>
      </c>
      <c r="FV3161" s="5" t="s">
        <v>240</v>
      </c>
      <c r="FW3161" s="5" t="s">
        <v>240</v>
      </c>
      <c r="FX3161" s="5" t="s">
        <v>240</v>
      </c>
      <c r="FY3161" s="5" t="s">
        <v>240</v>
      </c>
      <c r="FZ3161" s="5" t="s">
        <v>240</v>
      </c>
      <c r="GA3161" s="5" t="s">
        <v>240</v>
      </c>
      <c r="GB3161" s="5" t="s">
        <v>240</v>
      </c>
      <c r="GC3161" s="5" t="s">
        <v>240</v>
      </c>
      <c r="GD3161" s="5" t="s">
        <v>240</v>
      </c>
      <c r="GE3161" s="5" t="s">
        <v>240</v>
      </c>
      <c r="GF3161" s="5" t="s">
        <v>240</v>
      </c>
      <c r="GG3161" s="5" t="s">
        <v>240</v>
      </c>
      <c r="GH3161" s="5" t="s">
        <v>240</v>
      </c>
      <c r="GI3161" s="5" t="s">
        <v>240</v>
      </c>
      <c r="GJ3161" s="5" t="s">
        <v>240</v>
      </c>
      <c r="GK3161" s="5" t="s">
        <v>240</v>
      </c>
      <c r="GL3161" s="5" t="s">
        <v>240</v>
      </c>
      <c r="GM3161" s="5" t="s">
        <v>240</v>
      </c>
      <c r="GN3161" s="5" t="s">
        <v>240</v>
      </c>
      <c r="GO3161" s="5" t="s">
        <v>240</v>
      </c>
      <c r="GP3161" s="5" t="s">
        <v>240</v>
      </c>
      <c r="GQ3161" s="5" t="s">
        <v>240</v>
      </c>
      <c r="GR3161" s="5" t="s">
        <v>240</v>
      </c>
      <c r="GS3161" s="5" t="s">
        <v>240</v>
      </c>
      <c r="GT3161" s="5" t="s">
        <v>240</v>
      </c>
      <c r="GU3161" s="5" t="s">
        <v>240</v>
      </c>
      <c r="GV3161" s="5" t="s">
        <v>240</v>
      </c>
      <c r="GW3161" s="5" t="s">
        <v>240</v>
      </c>
      <c r="GX3161" s="5" t="s">
        <v>240</v>
      </c>
      <c r="GY3161" s="5" t="s">
        <v>240</v>
      </c>
      <c r="GZ3161" s="5" t="s">
        <v>240</v>
      </c>
      <c r="HA3161" s="5" t="s">
        <v>240</v>
      </c>
      <c r="HB3161" s="5" t="s">
        <v>240</v>
      </c>
      <c r="HC3161" s="5" t="s">
        <v>240</v>
      </c>
      <c r="HD3161" s="5" t="s">
        <v>240</v>
      </c>
      <c r="HE3161" s="5" t="s">
        <v>240</v>
      </c>
      <c r="HF3161" s="5" t="s">
        <v>240</v>
      </c>
      <c r="HG3161" s="5" t="s">
        <v>240</v>
      </c>
      <c r="HH3161" s="5" t="s">
        <v>240</v>
      </c>
      <c r="HI3161" s="5" t="s">
        <v>240</v>
      </c>
      <c r="HJ3161" s="5" t="s">
        <v>240</v>
      </c>
      <c r="HK3161" s="5" t="s">
        <v>240</v>
      </c>
      <c r="HL3161" s="5" t="s">
        <v>240</v>
      </c>
      <c r="HM3161" s="5" t="s">
        <v>240</v>
      </c>
      <c r="HN3161" s="5" t="s">
        <v>240</v>
      </c>
      <c r="HO3161" s="5" t="s">
        <v>312</v>
      </c>
      <c r="HP3161" s="5" t="s">
        <v>240</v>
      </c>
      <c r="HQ3161" s="5" t="s">
        <v>240</v>
      </c>
      <c r="HR3161" s="5" t="s">
        <v>240</v>
      </c>
      <c r="HS3161" s="5" t="s">
        <v>240</v>
      </c>
      <c r="HT3161" s="5" t="s">
        <v>240</v>
      </c>
      <c r="HU3161" s="5" t="s">
        <v>240</v>
      </c>
      <c r="HV3161" s="5" t="s">
        <v>240</v>
      </c>
      <c r="HW3161" s="5" t="s">
        <v>240</v>
      </c>
      <c r="HX3161" s="5" t="s">
        <v>240</v>
      </c>
      <c r="HY3161" s="5" t="s">
        <v>240</v>
      </c>
      <c r="HZ3161" s="5" t="s">
        <v>240</v>
      </c>
      <c r="IA3161" s="5" t="s">
        <v>240</v>
      </c>
      <c r="IB3161" s="5" t="s">
        <v>240</v>
      </c>
      <c r="IC3161" s="5" t="s">
        <v>240</v>
      </c>
      <c r="ID3161" s="5" t="s">
        <v>240</v>
      </c>
      <c r="IE3161" s="5" t="s">
        <v>240</v>
      </c>
      <c r="IF3161" s="5" t="s">
        <v>240</v>
      </c>
    </row>
    <row r="3162" spans="1:240" x14ac:dyDescent="0.4">
      <c r="A3162" s="5">
        <v>4866</v>
      </c>
      <c r="B3162" s="5">
        <v>1</v>
      </c>
      <c r="C3162" s="5">
        <v>1</v>
      </c>
      <c r="D3162" s="5" t="s">
        <v>810</v>
      </c>
      <c r="E3162" s="5" t="s">
        <v>245</v>
      </c>
      <c r="F3162" s="5" t="s">
        <v>254</v>
      </c>
      <c r="G3162" s="5" t="s">
        <v>240</v>
      </c>
      <c r="H3162" s="6" t="s">
        <v>4622</v>
      </c>
      <c r="I3162" s="5" t="s">
        <v>809</v>
      </c>
      <c r="J3162" s="8">
        <f>25</f>
        <v>25</v>
      </c>
      <c r="K3162" s="5" t="s">
        <v>308</v>
      </c>
      <c r="L3162" s="7">
        <f>1</f>
        <v>1</v>
      </c>
      <c r="M3162" s="7">
        <f>1</f>
        <v>1</v>
      </c>
      <c r="N3162" s="5" t="s">
        <v>242</v>
      </c>
      <c r="O3162" s="5">
        <v>1</v>
      </c>
      <c r="P3162" s="5" t="s">
        <v>294</v>
      </c>
      <c r="Q3162" s="5" t="s">
        <v>3678</v>
      </c>
      <c r="R3162" s="5" t="s">
        <v>240</v>
      </c>
      <c r="S3162" s="5" t="s">
        <v>240</v>
      </c>
      <c r="T3162" s="5" t="s">
        <v>243</v>
      </c>
      <c r="U3162" s="5" t="s">
        <v>244</v>
      </c>
      <c r="V3162" s="5" t="s">
        <v>240</v>
      </c>
      <c r="W3162" s="5" t="s">
        <v>240</v>
      </c>
      <c r="X3162" s="5" t="s">
        <v>240</v>
      </c>
      <c r="Y3162" s="5" t="s">
        <v>240</v>
      </c>
      <c r="Z3162" s="6" t="s">
        <v>298</v>
      </c>
      <c r="AA3162" s="6" t="s">
        <v>240</v>
      </c>
      <c r="AB3162" s="6" t="s">
        <v>240</v>
      </c>
      <c r="AC3162" s="5" t="s">
        <v>240</v>
      </c>
      <c r="AD3162" s="6" t="s">
        <v>240</v>
      </c>
      <c r="AE3162" s="6" t="s">
        <v>299</v>
      </c>
      <c r="AF3162" s="5" t="s">
        <v>248</v>
      </c>
      <c r="AG3162" s="5" t="s">
        <v>249</v>
      </c>
      <c r="AH3162" s="5" t="s">
        <v>240</v>
      </c>
      <c r="AI3162" s="5" t="s">
        <v>240</v>
      </c>
      <c r="AJ3162" s="5" t="s">
        <v>240</v>
      </c>
      <c r="AK3162" s="5" t="s">
        <v>240</v>
      </c>
      <c r="AL3162" s="5" t="s">
        <v>240</v>
      </c>
      <c r="AM3162" s="5" t="s">
        <v>240</v>
      </c>
      <c r="AN3162" s="5" t="s">
        <v>240</v>
      </c>
      <c r="AO3162" s="5" t="s">
        <v>240</v>
      </c>
      <c r="AP3162" s="6" t="s">
        <v>240</v>
      </c>
      <c r="AQ3162" s="6" t="s">
        <v>240</v>
      </c>
      <c r="AR3162" s="6" t="s">
        <v>240</v>
      </c>
      <c r="AS3162" s="6" t="s">
        <v>240</v>
      </c>
      <c r="AT3162" s="5" t="s">
        <v>240</v>
      </c>
      <c r="AU3162" s="5" t="s">
        <v>729</v>
      </c>
      <c r="AV3162" s="5" t="s">
        <v>729</v>
      </c>
      <c r="AW3162" s="5" t="s">
        <v>251</v>
      </c>
      <c r="AX3162" s="5" t="s">
        <v>252</v>
      </c>
      <c r="AY3162" s="5" t="s">
        <v>253</v>
      </c>
      <c r="AZ3162" s="5" t="s">
        <v>240</v>
      </c>
      <c r="BA3162" s="5" t="s">
        <v>255</v>
      </c>
      <c r="BB3162" s="5" t="s">
        <v>731</v>
      </c>
      <c r="BD3162" s="5" t="s">
        <v>240</v>
      </c>
      <c r="BF3162" s="5" t="s">
        <v>732</v>
      </c>
      <c r="BG3162" s="6" t="s">
        <v>733</v>
      </c>
      <c r="BH3162" s="5" t="s">
        <v>734</v>
      </c>
      <c r="BI3162" s="5" t="s">
        <v>734</v>
      </c>
      <c r="BJ3162" s="5" t="s">
        <v>240</v>
      </c>
      <c r="BK3162" s="7">
        <f>1</f>
        <v>1</v>
      </c>
      <c r="BL3162" s="7">
        <f>1</f>
        <v>1</v>
      </c>
      <c r="BM3162" s="5" t="s">
        <v>258</v>
      </c>
      <c r="BN3162" s="5" t="s">
        <v>259</v>
      </c>
      <c r="BO3162" s="5" t="s">
        <v>240</v>
      </c>
      <c r="BP3162" s="5" t="s">
        <v>240</v>
      </c>
      <c r="BQ3162" s="5" t="s">
        <v>240</v>
      </c>
      <c r="BR3162" s="5" t="s">
        <v>240</v>
      </c>
      <c r="BS3162" s="5" t="s">
        <v>240</v>
      </c>
      <c r="BT3162" s="5" t="s">
        <v>240</v>
      </c>
      <c r="BU3162" s="5" t="s">
        <v>240</v>
      </c>
      <c r="BV3162" s="5" t="s">
        <v>240</v>
      </c>
      <c r="BW3162" s="6" t="s">
        <v>240</v>
      </c>
      <c r="BX3162" s="5" t="s">
        <v>240</v>
      </c>
      <c r="BY3162" s="5" t="s">
        <v>240</v>
      </c>
      <c r="BZ3162" s="5" t="s">
        <v>240</v>
      </c>
      <c r="CA3162" s="5" t="s">
        <v>259</v>
      </c>
      <c r="CB3162" s="5" t="s">
        <v>240</v>
      </c>
      <c r="CC3162" s="5" t="s">
        <v>240</v>
      </c>
      <c r="CD3162" s="5" t="s">
        <v>240</v>
      </c>
      <c r="CE3162" s="5" t="s">
        <v>240</v>
      </c>
      <c r="CF3162" s="5" t="s">
        <v>240</v>
      </c>
      <c r="CG3162" s="5" t="s">
        <v>304</v>
      </c>
      <c r="CH3162" s="5" t="s">
        <v>305</v>
      </c>
      <c r="CI3162" s="5" t="s">
        <v>240</v>
      </c>
      <c r="CK3162" s="5" t="s">
        <v>3681</v>
      </c>
      <c r="CL3162" s="6" t="s">
        <v>261</v>
      </c>
      <c r="CM3162" s="5" t="s">
        <v>262</v>
      </c>
      <c r="CN3162" s="5" t="s">
        <v>263</v>
      </c>
      <c r="CO3162" s="5" t="s">
        <v>264</v>
      </c>
      <c r="CP3162" s="5" t="s">
        <v>240</v>
      </c>
      <c r="CQ3162" s="5">
        <v>0</v>
      </c>
      <c r="CR3162" s="5" t="s">
        <v>735</v>
      </c>
      <c r="CS3162" s="5" t="s">
        <v>307</v>
      </c>
      <c r="CT3162" s="5" t="s">
        <v>307</v>
      </c>
      <c r="CU3162" s="5" t="s">
        <v>260</v>
      </c>
      <c r="CV3162" s="5" t="s">
        <v>612</v>
      </c>
      <c r="CW3162" s="8">
        <f>1</f>
        <v>1</v>
      </c>
      <c r="CX3162" s="7">
        <f>1</f>
        <v>1</v>
      </c>
      <c r="CY3162" s="7">
        <f>0</f>
        <v>0</v>
      </c>
      <c r="DA3162" s="7">
        <f>1</f>
        <v>1</v>
      </c>
      <c r="DB3162" s="7" t="s">
        <v>240</v>
      </c>
      <c r="DC3162" s="5" t="s">
        <v>240</v>
      </c>
      <c r="DD3162" s="5" t="s">
        <v>240</v>
      </c>
      <c r="DE3162" s="5" t="s">
        <v>240</v>
      </c>
      <c r="DF3162" s="5" t="s">
        <v>240</v>
      </c>
      <c r="DG3162" s="7">
        <f>0</f>
        <v>0</v>
      </c>
      <c r="DI3162" s="5" t="s">
        <v>240</v>
      </c>
      <c r="DJ3162" s="5" t="s">
        <v>240</v>
      </c>
      <c r="DK3162" s="5" t="s">
        <v>240</v>
      </c>
      <c r="DL3162" s="5" t="s">
        <v>240</v>
      </c>
      <c r="DM3162" s="5" t="s">
        <v>240</v>
      </c>
      <c r="DN3162" s="5" t="s">
        <v>240</v>
      </c>
      <c r="DO3162" s="7" t="s">
        <v>240</v>
      </c>
      <c r="DP3162" s="5" t="s">
        <v>240</v>
      </c>
      <c r="DQ3162" s="5" t="s">
        <v>240</v>
      </c>
      <c r="DR3162" s="5" t="s">
        <v>731</v>
      </c>
      <c r="DS3162" s="5" t="s">
        <v>731</v>
      </c>
      <c r="DT3162" s="5" t="s">
        <v>240</v>
      </c>
      <c r="DU3162" s="5" t="s">
        <v>240</v>
      </c>
      <c r="DV3162" s="5" t="s">
        <v>3683</v>
      </c>
      <c r="DW3162" s="5" t="s">
        <v>1048</v>
      </c>
      <c r="DX3162" s="5" t="s">
        <v>240</v>
      </c>
      <c r="DY3162" s="5" t="s">
        <v>240</v>
      </c>
      <c r="DZ3162" s="5" t="s">
        <v>240</v>
      </c>
      <c r="EA3162" s="5" t="s">
        <v>240</v>
      </c>
      <c r="EB3162" s="5" t="s">
        <v>240</v>
      </c>
      <c r="EC3162" s="5" t="s">
        <v>240</v>
      </c>
      <c r="ED3162" s="5" t="s">
        <v>240</v>
      </c>
      <c r="EE3162" s="5" t="s">
        <v>240</v>
      </c>
      <c r="EF3162" s="5" t="s">
        <v>240</v>
      </c>
      <c r="EG3162" s="5" t="s">
        <v>240</v>
      </c>
      <c r="EH3162" s="5" t="s">
        <v>240</v>
      </c>
      <c r="EI3162" s="5" t="s">
        <v>240</v>
      </c>
      <c r="EJ3162" s="5" t="s">
        <v>240</v>
      </c>
      <c r="EK3162" s="5" t="s">
        <v>240</v>
      </c>
      <c r="EL3162" s="5" t="s">
        <v>240</v>
      </c>
      <c r="EM3162" s="5" t="s">
        <v>240</v>
      </c>
      <c r="EN3162" s="5" t="s">
        <v>240</v>
      </c>
      <c r="EO3162" s="5" t="s">
        <v>240</v>
      </c>
      <c r="EP3162" s="5" t="s">
        <v>240</v>
      </c>
      <c r="EQ3162" s="5" t="s">
        <v>240</v>
      </c>
      <c r="ER3162" s="5" t="s">
        <v>240</v>
      </c>
      <c r="ES3162" s="5" t="s">
        <v>240</v>
      </c>
      <c r="ET3162" s="5" t="s">
        <v>240</v>
      </c>
      <c r="EU3162" s="5" t="s">
        <v>240</v>
      </c>
      <c r="EV3162" s="5" t="s">
        <v>240</v>
      </c>
      <c r="EW3162" s="5" t="s">
        <v>240</v>
      </c>
      <c r="EX3162" s="5" t="s">
        <v>240</v>
      </c>
      <c r="EY3162" s="5" t="s">
        <v>240</v>
      </c>
      <c r="EZ3162" s="5" t="s">
        <v>240</v>
      </c>
      <c r="FA3162" s="5" t="s">
        <v>240</v>
      </c>
      <c r="FB3162" s="5" t="s">
        <v>240</v>
      </c>
      <c r="FC3162" s="5" t="s">
        <v>240</v>
      </c>
      <c r="FD3162" s="5" t="s">
        <v>240</v>
      </c>
      <c r="FE3162" s="5" t="s">
        <v>240</v>
      </c>
      <c r="FF3162" s="5" t="s">
        <v>240</v>
      </c>
      <c r="FG3162" s="5" t="s">
        <v>240</v>
      </c>
      <c r="FH3162" s="5" t="s">
        <v>240</v>
      </c>
      <c r="FI3162" s="5" t="s">
        <v>240</v>
      </c>
      <c r="FJ3162" s="5" t="s">
        <v>240</v>
      </c>
      <c r="FK3162" s="5" t="s">
        <v>240</v>
      </c>
      <c r="FL3162" s="5" t="s">
        <v>240</v>
      </c>
      <c r="FM3162" s="5" t="s">
        <v>240</v>
      </c>
      <c r="FN3162" s="5" t="s">
        <v>240</v>
      </c>
      <c r="FO3162" s="5" t="s">
        <v>240</v>
      </c>
      <c r="FP3162" s="5" t="s">
        <v>240</v>
      </c>
      <c r="FQ3162" s="5" t="s">
        <v>240</v>
      </c>
      <c r="FR3162" s="5" t="s">
        <v>240</v>
      </c>
      <c r="FS3162" s="5" t="s">
        <v>240</v>
      </c>
      <c r="FT3162" s="5" t="s">
        <v>240</v>
      </c>
      <c r="FU3162" s="5" t="s">
        <v>240</v>
      </c>
      <c r="FV3162" s="5" t="s">
        <v>240</v>
      </c>
      <c r="FW3162" s="5" t="s">
        <v>240</v>
      </c>
      <c r="FX3162" s="5" t="s">
        <v>240</v>
      </c>
      <c r="FY3162" s="5" t="s">
        <v>240</v>
      </c>
      <c r="FZ3162" s="5" t="s">
        <v>240</v>
      </c>
      <c r="GA3162" s="5" t="s">
        <v>240</v>
      </c>
      <c r="GB3162" s="5" t="s">
        <v>240</v>
      </c>
      <c r="GC3162" s="5" t="s">
        <v>240</v>
      </c>
      <c r="GD3162" s="5" t="s">
        <v>240</v>
      </c>
      <c r="GE3162" s="5" t="s">
        <v>240</v>
      </c>
      <c r="GF3162" s="5" t="s">
        <v>240</v>
      </c>
      <c r="GG3162" s="5" t="s">
        <v>240</v>
      </c>
      <c r="GH3162" s="5" t="s">
        <v>240</v>
      </c>
      <c r="GI3162" s="5" t="s">
        <v>240</v>
      </c>
      <c r="GJ3162" s="5" t="s">
        <v>240</v>
      </c>
      <c r="GK3162" s="5" t="s">
        <v>240</v>
      </c>
      <c r="GL3162" s="5" t="s">
        <v>240</v>
      </c>
      <c r="GM3162" s="5" t="s">
        <v>240</v>
      </c>
      <c r="GN3162" s="5" t="s">
        <v>240</v>
      </c>
      <c r="GO3162" s="5" t="s">
        <v>240</v>
      </c>
      <c r="GP3162" s="5" t="s">
        <v>240</v>
      </c>
      <c r="GQ3162" s="5" t="s">
        <v>240</v>
      </c>
      <c r="GR3162" s="5" t="s">
        <v>240</v>
      </c>
      <c r="GS3162" s="5" t="s">
        <v>240</v>
      </c>
      <c r="GT3162" s="5" t="s">
        <v>240</v>
      </c>
      <c r="GU3162" s="5" t="s">
        <v>240</v>
      </c>
      <c r="GV3162" s="5" t="s">
        <v>240</v>
      </c>
      <c r="GW3162" s="5" t="s">
        <v>240</v>
      </c>
      <c r="GX3162" s="5" t="s">
        <v>240</v>
      </c>
      <c r="GY3162" s="5" t="s">
        <v>240</v>
      </c>
      <c r="GZ3162" s="5" t="s">
        <v>240</v>
      </c>
      <c r="HA3162" s="5" t="s">
        <v>240</v>
      </c>
      <c r="HB3162" s="5" t="s">
        <v>240</v>
      </c>
      <c r="HC3162" s="5" t="s">
        <v>240</v>
      </c>
      <c r="HD3162" s="5" t="s">
        <v>240</v>
      </c>
      <c r="HE3162" s="5" t="s">
        <v>240</v>
      </c>
      <c r="HF3162" s="5" t="s">
        <v>240</v>
      </c>
      <c r="HG3162" s="5" t="s">
        <v>240</v>
      </c>
      <c r="HH3162" s="5" t="s">
        <v>240</v>
      </c>
      <c r="HI3162" s="5" t="s">
        <v>240</v>
      </c>
      <c r="HJ3162" s="5" t="s">
        <v>240</v>
      </c>
      <c r="HK3162" s="5" t="s">
        <v>240</v>
      </c>
      <c r="HL3162" s="5" t="s">
        <v>240</v>
      </c>
      <c r="HM3162" s="5" t="s">
        <v>240</v>
      </c>
      <c r="HN3162" s="5" t="s">
        <v>240</v>
      </c>
      <c r="HO3162" s="5" t="s">
        <v>312</v>
      </c>
      <c r="HP3162" s="5" t="s">
        <v>240</v>
      </c>
      <c r="HQ3162" s="5" t="s">
        <v>240</v>
      </c>
      <c r="HR3162" s="5" t="s">
        <v>240</v>
      </c>
      <c r="HS3162" s="5" t="s">
        <v>240</v>
      </c>
      <c r="HT3162" s="5" t="s">
        <v>240</v>
      </c>
      <c r="HU3162" s="5" t="s">
        <v>240</v>
      </c>
      <c r="HV3162" s="5" t="s">
        <v>240</v>
      </c>
      <c r="HW3162" s="5" t="s">
        <v>240</v>
      </c>
      <c r="HX3162" s="5" t="s">
        <v>240</v>
      </c>
      <c r="HY3162" s="5" t="s">
        <v>240</v>
      </c>
      <c r="HZ3162" s="5" t="s">
        <v>240</v>
      </c>
      <c r="IA3162" s="5" t="s">
        <v>240</v>
      </c>
      <c r="IB3162" s="5" t="s">
        <v>240</v>
      </c>
      <c r="IC3162" s="5" t="s">
        <v>240</v>
      </c>
      <c r="ID3162" s="5" t="s">
        <v>240</v>
      </c>
      <c r="IE3162" s="5" t="s">
        <v>240</v>
      </c>
      <c r="IF3162" s="5" t="s">
        <v>240</v>
      </c>
    </row>
    <row r="3163" spans="1:240" x14ac:dyDescent="0.4">
      <c r="A3163" s="5">
        <v>4867</v>
      </c>
      <c r="B3163" s="5">
        <v>1</v>
      </c>
      <c r="C3163" s="5">
        <v>1</v>
      </c>
      <c r="D3163" s="5" t="s">
        <v>810</v>
      </c>
      <c r="E3163" s="5" t="s">
        <v>245</v>
      </c>
      <c r="F3163" s="5" t="s">
        <v>254</v>
      </c>
      <c r="G3163" s="5" t="s">
        <v>240</v>
      </c>
      <c r="H3163" s="6" t="s">
        <v>2223</v>
      </c>
      <c r="I3163" s="5" t="s">
        <v>809</v>
      </c>
      <c r="J3163" s="8">
        <f>21</f>
        <v>21</v>
      </c>
      <c r="K3163" s="5" t="s">
        <v>308</v>
      </c>
      <c r="L3163" s="7">
        <f>1</f>
        <v>1</v>
      </c>
      <c r="M3163" s="7">
        <f>1</f>
        <v>1</v>
      </c>
      <c r="N3163" s="5" t="s">
        <v>242</v>
      </c>
      <c r="O3163" s="5">
        <v>1</v>
      </c>
      <c r="P3163" s="5" t="s">
        <v>294</v>
      </c>
      <c r="Q3163" s="5" t="s">
        <v>3678</v>
      </c>
      <c r="R3163" s="5" t="s">
        <v>240</v>
      </c>
      <c r="S3163" s="5" t="s">
        <v>240</v>
      </c>
      <c r="T3163" s="5" t="s">
        <v>243</v>
      </c>
      <c r="U3163" s="5" t="s">
        <v>244</v>
      </c>
      <c r="V3163" s="5" t="s">
        <v>240</v>
      </c>
      <c r="W3163" s="5" t="s">
        <v>240</v>
      </c>
      <c r="X3163" s="5" t="s">
        <v>240</v>
      </c>
      <c r="Y3163" s="5" t="s">
        <v>240</v>
      </c>
      <c r="Z3163" s="6" t="s">
        <v>298</v>
      </c>
      <c r="AA3163" s="6" t="s">
        <v>240</v>
      </c>
      <c r="AB3163" s="6" t="s">
        <v>240</v>
      </c>
      <c r="AC3163" s="5" t="s">
        <v>240</v>
      </c>
      <c r="AD3163" s="6" t="s">
        <v>240</v>
      </c>
      <c r="AE3163" s="6" t="s">
        <v>299</v>
      </c>
      <c r="AF3163" s="5" t="s">
        <v>248</v>
      </c>
      <c r="AG3163" s="5" t="s">
        <v>249</v>
      </c>
      <c r="AH3163" s="5" t="s">
        <v>240</v>
      </c>
      <c r="AI3163" s="5" t="s">
        <v>240</v>
      </c>
      <c r="AJ3163" s="5" t="s">
        <v>240</v>
      </c>
      <c r="AK3163" s="5" t="s">
        <v>240</v>
      </c>
      <c r="AL3163" s="5" t="s">
        <v>240</v>
      </c>
      <c r="AM3163" s="5" t="s">
        <v>240</v>
      </c>
      <c r="AN3163" s="5" t="s">
        <v>240</v>
      </c>
      <c r="AO3163" s="5" t="s">
        <v>240</v>
      </c>
      <c r="AP3163" s="6" t="s">
        <v>240</v>
      </c>
      <c r="AQ3163" s="6" t="s">
        <v>240</v>
      </c>
      <c r="AR3163" s="6" t="s">
        <v>240</v>
      </c>
      <c r="AS3163" s="6" t="s">
        <v>240</v>
      </c>
      <c r="AT3163" s="5" t="s">
        <v>240</v>
      </c>
      <c r="AU3163" s="5" t="s">
        <v>729</v>
      </c>
      <c r="AV3163" s="5" t="s">
        <v>729</v>
      </c>
      <c r="AW3163" s="5" t="s">
        <v>251</v>
      </c>
      <c r="AX3163" s="5" t="s">
        <v>252</v>
      </c>
      <c r="AY3163" s="5" t="s">
        <v>253</v>
      </c>
      <c r="AZ3163" s="5" t="s">
        <v>240</v>
      </c>
      <c r="BA3163" s="5" t="s">
        <v>255</v>
      </c>
      <c r="BB3163" s="5" t="s">
        <v>731</v>
      </c>
      <c r="BD3163" s="5" t="s">
        <v>240</v>
      </c>
      <c r="BF3163" s="5" t="s">
        <v>732</v>
      </c>
      <c r="BG3163" s="6" t="s">
        <v>733</v>
      </c>
      <c r="BH3163" s="5" t="s">
        <v>734</v>
      </c>
      <c r="BI3163" s="5" t="s">
        <v>734</v>
      </c>
      <c r="BJ3163" s="5" t="s">
        <v>240</v>
      </c>
      <c r="BK3163" s="7">
        <f>1</f>
        <v>1</v>
      </c>
      <c r="BL3163" s="7">
        <f>1</f>
        <v>1</v>
      </c>
      <c r="BM3163" s="5" t="s">
        <v>258</v>
      </c>
      <c r="BN3163" s="5" t="s">
        <v>259</v>
      </c>
      <c r="BO3163" s="5" t="s">
        <v>240</v>
      </c>
      <c r="BP3163" s="5" t="s">
        <v>240</v>
      </c>
      <c r="BQ3163" s="5" t="s">
        <v>240</v>
      </c>
      <c r="BR3163" s="5" t="s">
        <v>240</v>
      </c>
      <c r="BS3163" s="5" t="s">
        <v>240</v>
      </c>
      <c r="BT3163" s="5" t="s">
        <v>240</v>
      </c>
      <c r="BU3163" s="5" t="s">
        <v>240</v>
      </c>
      <c r="BV3163" s="5" t="s">
        <v>240</v>
      </c>
      <c r="BW3163" s="6" t="s">
        <v>240</v>
      </c>
      <c r="BX3163" s="5" t="s">
        <v>240</v>
      </c>
      <c r="BY3163" s="5" t="s">
        <v>240</v>
      </c>
      <c r="BZ3163" s="5" t="s">
        <v>240</v>
      </c>
      <c r="CA3163" s="5" t="s">
        <v>259</v>
      </c>
      <c r="CB3163" s="5" t="s">
        <v>240</v>
      </c>
      <c r="CC3163" s="5" t="s">
        <v>240</v>
      </c>
      <c r="CD3163" s="5" t="s">
        <v>240</v>
      </c>
      <c r="CE3163" s="5" t="s">
        <v>240</v>
      </c>
      <c r="CF3163" s="5" t="s">
        <v>240</v>
      </c>
      <c r="CG3163" s="5" t="s">
        <v>304</v>
      </c>
      <c r="CH3163" s="5" t="s">
        <v>305</v>
      </c>
      <c r="CI3163" s="5" t="s">
        <v>240</v>
      </c>
      <c r="CK3163" s="5" t="s">
        <v>3681</v>
      </c>
      <c r="CL3163" s="6" t="s">
        <v>261</v>
      </c>
      <c r="CM3163" s="5" t="s">
        <v>262</v>
      </c>
      <c r="CN3163" s="5" t="s">
        <v>263</v>
      </c>
      <c r="CO3163" s="5" t="s">
        <v>264</v>
      </c>
      <c r="CP3163" s="5" t="s">
        <v>240</v>
      </c>
      <c r="CQ3163" s="5">
        <v>0</v>
      </c>
      <c r="CR3163" s="5" t="s">
        <v>735</v>
      </c>
      <c r="CS3163" s="5" t="s">
        <v>307</v>
      </c>
      <c r="CT3163" s="5" t="s">
        <v>307</v>
      </c>
      <c r="CU3163" s="5" t="s">
        <v>260</v>
      </c>
      <c r="CV3163" s="5" t="s">
        <v>612</v>
      </c>
      <c r="CW3163" s="8">
        <f>1</f>
        <v>1</v>
      </c>
      <c r="CX3163" s="7">
        <f>1</f>
        <v>1</v>
      </c>
      <c r="CY3163" s="7">
        <f>0</f>
        <v>0</v>
      </c>
      <c r="DA3163" s="7">
        <f>1</f>
        <v>1</v>
      </c>
      <c r="DB3163" s="7" t="s">
        <v>240</v>
      </c>
      <c r="DC3163" s="5" t="s">
        <v>240</v>
      </c>
      <c r="DD3163" s="5" t="s">
        <v>240</v>
      </c>
      <c r="DE3163" s="5" t="s">
        <v>240</v>
      </c>
      <c r="DF3163" s="5" t="s">
        <v>240</v>
      </c>
      <c r="DG3163" s="7">
        <f>0</f>
        <v>0</v>
      </c>
      <c r="DI3163" s="5" t="s">
        <v>240</v>
      </c>
      <c r="DJ3163" s="5" t="s">
        <v>240</v>
      </c>
      <c r="DK3163" s="5" t="s">
        <v>240</v>
      </c>
      <c r="DL3163" s="5" t="s">
        <v>240</v>
      </c>
      <c r="DM3163" s="5" t="s">
        <v>240</v>
      </c>
      <c r="DN3163" s="5" t="s">
        <v>240</v>
      </c>
      <c r="DO3163" s="7" t="s">
        <v>240</v>
      </c>
      <c r="DP3163" s="5" t="s">
        <v>240</v>
      </c>
      <c r="DQ3163" s="5" t="s">
        <v>240</v>
      </c>
      <c r="DR3163" s="5" t="s">
        <v>731</v>
      </c>
      <c r="DS3163" s="5" t="s">
        <v>731</v>
      </c>
      <c r="DT3163" s="5" t="s">
        <v>240</v>
      </c>
      <c r="DU3163" s="5" t="s">
        <v>240</v>
      </c>
      <c r="DV3163" s="5" t="s">
        <v>3683</v>
      </c>
      <c r="DW3163" s="5" t="s">
        <v>1040</v>
      </c>
      <c r="DX3163" s="5" t="s">
        <v>240</v>
      </c>
      <c r="DY3163" s="5" t="s">
        <v>240</v>
      </c>
      <c r="DZ3163" s="5" t="s">
        <v>240</v>
      </c>
      <c r="EA3163" s="5" t="s">
        <v>240</v>
      </c>
      <c r="EB3163" s="5" t="s">
        <v>240</v>
      </c>
      <c r="EC3163" s="5" t="s">
        <v>240</v>
      </c>
      <c r="ED3163" s="5" t="s">
        <v>240</v>
      </c>
      <c r="EE3163" s="5" t="s">
        <v>240</v>
      </c>
      <c r="EF3163" s="5" t="s">
        <v>240</v>
      </c>
      <c r="EG3163" s="5" t="s">
        <v>240</v>
      </c>
      <c r="EH3163" s="5" t="s">
        <v>240</v>
      </c>
      <c r="EI3163" s="5" t="s">
        <v>240</v>
      </c>
      <c r="EJ3163" s="5" t="s">
        <v>240</v>
      </c>
      <c r="EK3163" s="5" t="s">
        <v>240</v>
      </c>
      <c r="EL3163" s="5" t="s">
        <v>240</v>
      </c>
      <c r="EM3163" s="5" t="s">
        <v>240</v>
      </c>
      <c r="EN3163" s="5" t="s">
        <v>240</v>
      </c>
      <c r="EO3163" s="5" t="s">
        <v>240</v>
      </c>
      <c r="EP3163" s="5" t="s">
        <v>240</v>
      </c>
      <c r="EQ3163" s="5" t="s">
        <v>240</v>
      </c>
      <c r="ER3163" s="5" t="s">
        <v>240</v>
      </c>
      <c r="ES3163" s="5" t="s">
        <v>240</v>
      </c>
      <c r="ET3163" s="5" t="s">
        <v>240</v>
      </c>
      <c r="EU3163" s="5" t="s">
        <v>240</v>
      </c>
      <c r="EV3163" s="5" t="s">
        <v>240</v>
      </c>
      <c r="EW3163" s="5" t="s">
        <v>240</v>
      </c>
      <c r="EX3163" s="5" t="s">
        <v>240</v>
      </c>
      <c r="EY3163" s="5" t="s">
        <v>240</v>
      </c>
      <c r="EZ3163" s="5" t="s">
        <v>240</v>
      </c>
      <c r="FA3163" s="5" t="s">
        <v>240</v>
      </c>
      <c r="FB3163" s="5" t="s">
        <v>240</v>
      </c>
      <c r="FC3163" s="5" t="s">
        <v>240</v>
      </c>
      <c r="FD3163" s="5" t="s">
        <v>240</v>
      </c>
      <c r="FE3163" s="5" t="s">
        <v>240</v>
      </c>
      <c r="FF3163" s="5" t="s">
        <v>240</v>
      </c>
      <c r="FG3163" s="5" t="s">
        <v>240</v>
      </c>
      <c r="FH3163" s="5" t="s">
        <v>240</v>
      </c>
      <c r="FI3163" s="5" t="s">
        <v>240</v>
      </c>
      <c r="FJ3163" s="5" t="s">
        <v>240</v>
      </c>
      <c r="FK3163" s="5" t="s">
        <v>240</v>
      </c>
      <c r="FL3163" s="5" t="s">
        <v>240</v>
      </c>
      <c r="FM3163" s="5" t="s">
        <v>240</v>
      </c>
      <c r="FN3163" s="5" t="s">
        <v>240</v>
      </c>
      <c r="FO3163" s="5" t="s">
        <v>240</v>
      </c>
      <c r="FP3163" s="5" t="s">
        <v>240</v>
      </c>
      <c r="FQ3163" s="5" t="s">
        <v>240</v>
      </c>
      <c r="FR3163" s="5" t="s">
        <v>240</v>
      </c>
      <c r="FS3163" s="5" t="s">
        <v>240</v>
      </c>
      <c r="FT3163" s="5" t="s">
        <v>240</v>
      </c>
      <c r="FU3163" s="5" t="s">
        <v>240</v>
      </c>
      <c r="FV3163" s="5" t="s">
        <v>240</v>
      </c>
      <c r="FW3163" s="5" t="s">
        <v>240</v>
      </c>
      <c r="FX3163" s="5" t="s">
        <v>240</v>
      </c>
      <c r="FY3163" s="5" t="s">
        <v>240</v>
      </c>
      <c r="FZ3163" s="5" t="s">
        <v>240</v>
      </c>
      <c r="GA3163" s="5" t="s">
        <v>240</v>
      </c>
      <c r="GB3163" s="5" t="s">
        <v>240</v>
      </c>
      <c r="GC3163" s="5" t="s">
        <v>240</v>
      </c>
      <c r="GD3163" s="5" t="s">
        <v>240</v>
      </c>
      <c r="GE3163" s="5" t="s">
        <v>240</v>
      </c>
      <c r="GF3163" s="5" t="s">
        <v>240</v>
      </c>
      <c r="GG3163" s="5" t="s">
        <v>240</v>
      </c>
      <c r="GH3163" s="5" t="s">
        <v>240</v>
      </c>
      <c r="GI3163" s="5" t="s">
        <v>240</v>
      </c>
      <c r="GJ3163" s="5" t="s">
        <v>240</v>
      </c>
      <c r="GK3163" s="5" t="s">
        <v>240</v>
      </c>
      <c r="GL3163" s="5" t="s">
        <v>240</v>
      </c>
      <c r="GM3163" s="5" t="s">
        <v>240</v>
      </c>
      <c r="GN3163" s="5" t="s">
        <v>240</v>
      </c>
      <c r="GO3163" s="5" t="s">
        <v>240</v>
      </c>
      <c r="GP3163" s="5" t="s">
        <v>240</v>
      </c>
      <c r="GQ3163" s="5" t="s">
        <v>240</v>
      </c>
      <c r="GR3163" s="5" t="s">
        <v>240</v>
      </c>
      <c r="GS3163" s="5" t="s">
        <v>240</v>
      </c>
      <c r="GT3163" s="5" t="s">
        <v>240</v>
      </c>
      <c r="GU3163" s="5" t="s">
        <v>240</v>
      </c>
      <c r="GV3163" s="5" t="s">
        <v>240</v>
      </c>
      <c r="GW3163" s="5" t="s">
        <v>240</v>
      </c>
      <c r="GX3163" s="5" t="s">
        <v>240</v>
      </c>
      <c r="GY3163" s="5" t="s">
        <v>240</v>
      </c>
      <c r="GZ3163" s="5" t="s">
        <v>240</v>
      </c>
      <c r="HA3163" s="5" t="s">
        <v>240</v>
      </c>
      <c r="HB3163" s="5" t="s">
        <v>240</v>
      </c>
      <c r="HC3163" s="5" t="s">
        <v>240</v>
      </c>
      <c r="HD3163" s="5" t="s">
        <v>240</v>
      </c>
      <c r="HE3163" s="5" t="s">
        <v>240</v>
      </c>
      <c r="HF3163" s="5" t="s">
        <v>240</v>
      </c>
      <c r="HG3163" s="5" t="s">
        <v>240</v>
      </c>
      <c r="HH3163" s="5" t="s">
        <v>240</v>
      </c>
      <c r="HI3163" s="5" t="s">
        <v>240</v>
      </c>
      <c r="HJ3163" s="5" t="s">
        <v>240</v>
      </c>
      <c r="HK3163" s="5" t="s">
        <v>240</v>
      </c>
      <c r="HL3163" s="5" t="s">
        <v>240</v>
      </c>
      <c r="HM3163" s="5" t="s">
        <v>240</v>
      </c>
      <c r="HN3163" s="5" t="s">
        <v>240</v>
      </c>
      <c r="HO3163" s="5" t="s">
        <v>312</v>
      </c>
      <c r="HP3163" s="5" t="s">
        <v>240</v>
      </c>
      <c r="HQ3163" s="5" t="s">
        <v>240</v>
      </c>
      <c r="HR3163" s="5" t="s">
        <v>240</v>
      </c>
      <c r="HS3163" s="5" t="s">
        <v>240</v>
      </c>
      <c r="HT3163" s="5" t="s">
        <v>240</v>
      </c>
      <c r="HU3163" s="5" t="s">
        <v>240</v>
      </c>
      <c r="HV3163" s="5" t="s">
        <v>240</v>
      </c>
      <c r="HW3163" s="5" t="s">
        <v>240</v>
      </c>
      <c r="HX3163" s="5" t="s">
        <v>240</v>
      </c>
      <c r="HY3163" s="5" t="s">
        <v>240</v>
      </c>
      <c r="HZ3163" s="5" t="s">
        <v>240</v>
      </c>
      <c r="IA3163" s="5" t="s">
        <v>240</v>
      </c>
      <c r="IB3163" s="5" t="s">
        <v>240</v>
      </c>
      <c r="IC3163" s="5" t="s">
        <v>240</v>
      </c>
      <c r="ID3163" s="5" t="s">
        <v>240</v>
      </c>
      <c r="IE3163" s="5" t="s">
        <v>240</v>
      </c>
      <c r="IF3163" s="5" t="s">
        <v>240</v>
      </c>
    </row>
    <row r="3164" spans="1:240" x14ac:dyDescent="0.4">
      <c r="A3164" s="5">
        <v>4868</v>
      </c>
      <c r="B3164" s="5">
        <v>1</v>
      </c>
      <c r="C3164" s="5">
        <v>1</v>
      </c>
      <c r="D3164" s="5" t="s">
        <v>810</v>
      </c>
      <c r="E3164" s="5" t="s">
        <v>245</v>
      </c>
      <c r="F3164" s="5" t="s">
        <v>254</v>
      </c>
      <c r="G3164" s="5" t="s">
        <v>240</v>
      </c>
      <c r="H3164" s="6" t="s">
        <v>2221</v>
      </c>
      <c r="I3164" s="5" t="s">
        <v>809</v>
      </c>
      <c r="J3164" s="8">
        <f>78</f>
        <v>78</v>
      </c>
      <c r="K3164" s="5" t="s">
        <v>308</v>
      </c>
      <c r="L3164" s="7">
        <f>1</f>
        <v>1</v>
      </c>
      <c r="M3164" s="7">
        <f>1</f>
        <v>1</v>
      </c>
      <c r="N3164" s="5" t="s">
        <v>242</v>
      </c>
      <c r="O3164" s="5">
        <v>1</v>
      </c>
      <c r="P3164" s="5" t="s">
        <v>294</v>
      </c>
      <c r="Q3164" s="5" t="s">
        <v>3678</v>
      </c>
      <c r="R3164" s="5" t="s">
        <v>240</v>
      </c>
      <c r="S3164" s="5" t="s">
        <v>240</v>
      </c>
      <c r="T3164" s="5" t="s">
        <v>243</v>
      </c>
      <c r="U3164" s="5" t="s">
        <v>244</v>
      </c>
      <c r="V3164" s="5" t="s">
        <v>240</v>
      </c>
      <c r="W3164" s="5" t="s">
        <v>240</v>
      </c>
      <c r="X3164" s="5" t="s">
        <v>240</v>
      </c>
      <c r="Y3164" s="5" t="s">
        <v>240</v>
      </c>
      <c r="Z3164" s="6" t="s">
        <v>298</v>
      </c>
      <c r="AA3164" s="6" t="s">
        <v>240</v>
      </c>
      <c r="AB3164" s="6" t="s">
        <v>240</v>
      </c>
      <c r="AC3164" s="5" t="s">
        <v>240</v>
      </c>
      <c r="AD3164" s="6" t="s">
        <v>240</v>
      </c>
      <c r="AE3164" s="6" t="s">
        <v>299</v>
      </c>
      <c r="AF3164" s="5" t="s">
        <v>248</v>
      </c>
      <c r="AG3164" s="5" t="s">
        <v>249</v>
      </c>
      <c r="AH3164" s="5" t="s">
        <v>240</v>
      </c>
      <c r="AI3164" s="5" t="s">
        <v>240</v>
      </c>
      <c r="AJ3164" s="5" t="s">
        <v>240</v>
      </c>
      <c r="AK3164" s="5" t="s">
        <v>240</v>
      </c>
      <c r="AL3164" s="5" t="s">
        <v>240</v>
      </c>
      <c r="AM3164" s="5" t="s">
        <v>240</v>
      </c>
      <c r="AN3164" s="5" t="s">
        <v>240</v>
      </c>
      <c r="AO3164" s="5" t="s">
        <v>240</v>
      </c>
      <c r="AP3164" s="6" t="s">
        <v>240</v>
      </c>
      <c r="AQ3164" s="6" t="s">
        <v>240</v>
      </c>
      <c r="AR3164" s="6" t="s">
        <v>240</v>
      </c>
      <c r="AS3164" s="6" t="s">
        <v>240</v>
      </c>
      <c r="AT3164" s="5" t="s">
        <v>240</v>
      </c>
      <c r="AU3164" s="5" t="s">
        <v>729</v>
      </c>
      <c r="AV3164" s="5" t="s">
        <v>729</v>
      </c>
      <c r="AW3164" s="5" t="s">
        <v>251</v>
      </c>
      <c r="AX3164" s="5" t="s">
        <v>252</v>
      </c>
      <c r="AY3164" s="5" t="s">
        <v>253</v>
      </c>
      <c r="AZ3164" s="5" t="s">
        <v>240</v>
      </c>
      <c r="BA3164" s="5" t="s">
        <v>255</v>
      </c>
      <c r="BB3164" s="5" t="s">
        <v>731</v>
      </c>
      <c r="BD3164" s="5" t="s">
        <v>240</v>
      </c>
      <c r="BF3164" s="5" t="s">
        <v>732</v>
      </c>
      <c r="BG3164" s="6" t="s">
        <v>733</v>
      </c>
      <c r="BH3164" s="5" t="s">
        <v>734</v>
      </c>
      <c r="BI3164" s="5" t="s">
        <v>734</v>
      </c>
      <c r="BJ3164" s="5" t="s">
        <v>240</v>
      </c>
      <c r="BK3164" s="7">
        <f>1</f>
        <v>1</v>
      </c>
      <c r="BL3164" s="7">
        <f>1</f>
        <v>1</v>
      </c>
      <c r="BM3164" s="5" t="s">
        <v>258</v>
      </c>
      <c r="BN3164" s="5" t="s">
        <v>259</v>
      </c>
      <c r="BO3164" s="5" t="s">
        <v>240</v>
      </c>
      <c r="BP3164" s="5" t="s">
        <v>240</v>
      </c>
      <c r="BQ3164" s="5" t="s">
        <v>240</v>
      </c>
      <c r="BR3164" s="5" t="s">
        <v>240</v>
      </c>
      <c r="BS3164" s="5" t="s">
        <v>240</v>
      </c>
      <c r="BT3164" s="5" t="s">
        <v>240</v>
      </c>
      <c r="BU3164" s="5" t="s">
        <v>240</v>
      </c>
      <c r="BV3164" s="5" t="s">
        <v>240</v>
      </c>
      <c r="BW3164" s="6" t="s">
        <v>240</v>
      </c>
      <c r="BX3164" s="5" t="s">
        <v>240</v>
      </c>
      <c r="BY3164" s="5" t="s">
        <v>240</v>
      </c>
      <c r="BZ3164" s="5" t="s">
        <v>240</v>
      </c>
      <c r="CA3164" s="5" t="s">
        <v>259</v>
      </c>
      <c r="CB3164" s="5" t="s">
        <v>240</v>
      </c>
      <c r="CC3164" s="5" t="s">
        <v>240</v>
      </c>
      <c r="CD3164" s="5" t="s">
        <v>240</v>
      </c>
      <c r="CE3164" s="5" t="s">
        <v>240</v>
      </c>
      <c r="CF3164" s="5" t="s">
        <v>240</v>
      </c>
      <c r="CG3164" s="5" t="s">
        <v>304</v>
      </c>
      <c r="CH3164" s="5" t="s">
        <v>305</v>
      </c>
      <c r="CI3164" s="5" t="s">
        <v>240</v>
      </c>
      <c r="CK3164" s="5" t="s">
        <v>3681</v>
      </c>
      <c r="CL3164" s="6" t="s">
        <v>261</v>
      </c>
      <c r="CM3164" s="5" t="s">
        <v>262</v>
      </c>
      <c r="CN3164" s="5" t="s">
        <v>263</v>
      </c>
      <c r="CO3164" s="5" t="s">
        <v>264</v>
      </c>
      <c r="CP3164" s="5" t="s">
        <v>240</v>
      </c>
      <c r="CQ3164" s="5">
        <v>0</v>
      </c>
      <c r="CR3164" s="5" t="s">
        <v>735</v>
      </c>
      <c r="CS3164" s="5" t="s">
        <v>307</v>
      </c>
      <c r="CT3164" s="5" t="s">
        <v>307</v>
      </c>
      <c r="CU3164" s="5" t="s">
        <v>260</v>
      </c>
      <c r="CV3164" s="5" t="s">
        <v>612</v>
      </c>
      <c r="CW3164" s="8">
        <f>1</f>
        <v>1</v>
      </c>
      <c r="CX3164" s="7">
        <f>1</f>
        <v>1</v>
      </c>
      <c r="CY3164" s="7">
        <f>0</f>
        <v>0</v>
      </c>
      <c r="DA3164" s="7">
        <f>1</f>
        <v>1</v>
      </c>
      <c r="DB3164" s="7" t="s">
        <v>240</v>
      </c>
      <c r="DC3164" s="5" t="s">
        <v>240</v>
      </c>
      <c r="DD3164" s="5" t="s">
        <v>240</v>
      </c>
      <c r="DE3164" s="5" t="s">
        <v>240</v>
      </c>
      <c r="DF3164" s="5" t="s">
        <v>240</v>
      </c>
      <c r="DG3164" s="7">
        <f>0</f>
        <v>0</v>
      </c>
      <c r="DI3164" s="5" t="s">
        <v>240</v>
      </c>
      <c r="DJ3164" s="5" t="s">
        <v>240</v>
      </c>
      <c r="DK3164" s="5" t="s">
        <v>240</v>
      </c>
      <c r="DL3164" s="5" t="s">
        <v>240</v>
      </c>
      <c r="DM3164" s="5" t="s">
        <v>240</v>
      </c>
      <c r="DN3164" s="5" t="s">
        <v>240</v>
      </c>
      <c r="DO3164" s="7" t="s">
        <v>240</v>
      </c>
      <c r="DP3164" s="5" t="s">
        <v>240</v>
      </c>
      <c r="DQ3164" s="5" t="s">
        <v>240</v>
      </c>
      <c r="DR3164" s="5" t="s">
        <v>731</v>
      </c>
      <c r="DS3164" s="5" t="s">
        <v>731</v>
      </c>
      <c r="DT3164" s="5" t="s">
        <v>240</v>
      </c>
      <c r="DU3164" s="5" t="s">
        <v>240</v>
      </c>
      <c r="DV3164" s="5" t="s">
        <v>3683</v>
      </c>
      <c r="DW3164" s="5" t="s">
        <v>654</v>
      </c>
      <c r="DX3164" s="5" t="s">
        <v>240</v>
      </c>
      <c r="DY3164" s="5" t="s">
        <v>240</v>
      </c>
      <c r="DZ3164" s="5" t="s">
        <v>240</v>
      </c>
      <c r="EA3164" s="5" t="s">
        <v>240</v>
      </c>
      <c r="EB3164" s="5" t="s">
        <v>240</v>
      </c>
      <c r="EC3164" s="5" t="s">
        <v>240</v>
      </c>
      <c r="ED3164" s="5" t="s">
        <v>240</v>
      </c>
      <c r="EE3164" s="5" t="s">
        <v>240</v>
      </c>
      <c r="EF3164" s="5" t="s">
        <v>240</v>
      </c>
      <c r="EG3164" s="5" t="s">
        <v>240</v>
      </c>
      <c r="EH3164" s="5" t="s">
        <v>240</v>
      </c>
      <c r="EI3164" s="5" t="s">
        <v>240</v>
      </c>
      <c r="EJ3164" s="5" t="s">
        <v>240</v>
      </c>
      <c r="EK3164" s="5" t="s">
        <v>240</v>
      </c>
      <c r="EL3164" s="5" t="s">
        <v>240</v>
      </c>
      <c r="EM3164" s="5" t="s">
        <v>240</v>
      </c>
      <c r="EN3164" s="5" t="s">
        <v>240</v>
      </c>
      <c r="EO3164" s="5" t="s">
        <v>240</v>
      </c>
      <c r="EP3164" s="5" t="s">
        <v>240</v>
      </c>
      <c r="EQ3164" s="5" t="s">
        <v>240</v>
      </c>
      <c r="ER3164" s="5" t="s">
        <v>240</v>
      </c>
      <c r="ES3164" s="5" t="s">
        <v>240</v>
      </c>
      <c r="ET3164" s="5" t="s">
        <v>240</v>
      </c>
      <c r="EU3164" s="5" t="s">
        <v>240</v>
      </c>
      <c r="EV3164" s="5" t="s">
        <v>240</v>
      </c>
      <c r="EW3164" s="5" t="s">
        <v>240</v>
      </c>
      <c r="EX3164" s="5" t="s">
        <v>240</v>
      </c>
      <c r="EY3164" s="5" t="s">
        <v>240</v>
      </c>
      <c r="EZ3164" s="5" t="s">
        <v>240</v>
      </c>
      <c r="FA3164" s="5" t="s">
        <v>240</v>
      </c>
      <c r="FB3164" s="5" t="s">
        <v>240</v>
      </c>
      <c r="FC3164" s="5" t="s">
        <v>240</v>
      </c>
      <c r="FD3164" s="5" t="s">
        <v>240</v>
      </c>
      <c r="FE3164" s="5" t="s">
        <v>240</v>
      </c>
      <c r="FF3164" s="5" t="s">
        <v>240</v>
      </c>
      <c r="FG3164" s="5" t="s">
        <v>240</v>
      </c>
      <c r="FH3164" s="5" t="s">
        <v>240</v>
      </c>
      <c r="FI3164" s="5" t="s">
        <v>240</v>
      </c>
      <c r="FJ3164" s="5" t="s">
        <v>240</v>
      </c>
      <c r="FK3164" s="5" t="s">
        <v>240</v>
      </c>
      <c r="FL3164" s="5" t="s">
        <v>240</v>
      </c>
      <c r="FM3164" s="5" t="s">
        <v>240</v>
      </c>
      <c r="FN3164" s="5" t="s">
        <v>240</v>
      </c>
      <c r="FO3164" s="5" t="s">
        <v>240</v>
      </c>
      <c r="FP3164" s="5" t="s">
        <v>240</v>
      </c>
      <c r="FQ3164" s="5" t="s">
        <v>240</v>
      </c>
      <c r="FR3164" s="5" t="s">
        <v>240</v>
      </c>
      <c r="FS3164" s="5" t="s">
        <v>240</v>
      </c>
      <c r="FT3164" s="5" t="s">
        <v>240</v>
      </c>
      <c r="FU3164" s="5" t="s">
        <v>240</v>
      </c>
      <c r="FV3164" s="5" t="s">
        <v>240</v>
      </c>
      <c r="FW3164" s="5" t="s">
        <v>240</v>
      </c>
      <c r="FX3164" s="5" t="s">
        <v>240</v>
      </c>
      <c r="FY3164" s="5" t="s">
        <v>240</v>
      </c>
      <c r="FZ3164" s="5" t="s">
        <v>240</v>
      </c>
      <c r="GA3164" s="5" t="s">
        <v>240</v>
      </c>
      <c r="GB3164" s="5" t="s">
        <v>240</v>
      </c>
      <c r="GC3164" s="5" t="s">
        <v>240</v>
      </c>
      <c r="GD3164" s="5" t="s">
        <v>240</v>
      </c>
      <c r="GE3164" s="5" t="s">
        <v>240</v>
      </c>
      <c r="GF3164" s="5" t="s">
        <v>240</v>
      </c>
      <c r="GG3164" s="5" t="s">
        <v>240</v>
      </c>
      <c r="GH3164" s="5" t="s">
        <v>240</v>
      </c>
      <c r="GI3164" s="5" t="s">
        <v>240</v>
      </c>
      <c r="GJ3164" s="5" t="s">
        <v>240</v>
      </c>
      <c r="GK3164" s="5" t="s">
        <v>240</v>
      </c>
      <c r="GL3164" s="5" t="s">
        <v>240</v>
      </c>
      <c r="GM3164" s="5" t="s">
        <v>240</v>
      </c>
      <c r="GN3164" s="5" t="s">
        <v>240</v>
      </c>
      <c r="GO3164" s="5" t="s">
        <v>240</v>
      </c>
      <c r="GP3164" s="5" t="s">
        <v>240</v>
      </c>
      <c r="GQ3164" s="5" t="s">
        <v>240</v>
      </c>
      <c r="GR3164" s="5" t="s">
        <v>240</v>
      </c>
      <c r="GS3164" s="5" t="s">
        <v>240</v>
      </c>
      <c r="GT3164" s="5" t="s">
        <v>240</v>
      </c>
      <c r="GU3164" s="5" t="s">
        <v>240</v>
      </c>
      <c r="GV3164" s="5" t="s">
        <v>240</v>
      </c>
      <c r="GW3164" s="5" t="s">
        <v>240</v>
      </c>
      <c r="GX3164" s="5" t="s">
        <v>240</v>
      </c>
      <c r="GY3164" s="5" t="s">
        <v>240</v>
      </c>
      <c r="GZ3164" s="5" t="s">
        <v>240</v>
      </c>
      <c r="HA3164" s="5" t="s">
        <v>240</v>
      </c>
      <c r="HB3164" s="5" t="s">
        <v>240</v>
      </c>
      <c r="HC3164" s="5" t="s">
        <v>240</v>
      </c>
      <c r="HD3164" s="5" t="s">
        <v>240</v>
      </c>
      <c r="HE3164" s="5" t="s">
        <v>240</v>
      </c>
      <c r="HF3164" s="5" t="s">
        <v>240</v>
      </c>
      <c r="HG3164" s="5" t="s">
        <v>240</v>
      </c>
      <c r="HH3164" s="5" t="s">
        <v>240</v>
      </c>
      <c r="HI3164" s="5" t="s">
        <v>240</v>
      </c>
      <c r="HJ3164" s="5" t="s">
        <v>240</v>
      </c>
      <c r="HK3164" s="5" t="s">
        <v>240</v>
      </c>
      <c r="HL3164" s="5" t="s">
        <v>240</v>
      </c>
      <c r="HM3164" s="5" t="s">
        <v>240</v>
      </c>
      <c r="HN3164" s="5" t="s">
        <v>240</v>
      </c>
      <c r="HO3164" s="5" t="s">
        <v>312</v>
      </c>
      <c r="HP3164" s="5" t="s">
        <v>240</v>
      </c>
      <c r="HQ3164" s="5" t="s">
        <v>240</v>
      </c>
      <c r="HR3164" s="5" t="s">
        <v>240</v>
      </c>
      <c r="HS3164" s="5" t="s">
        <v>240</v>
      </c>
      <c r="HT3164" s="5" t="s">
        <v>240</v>
      </c>
      <c r="HU3164" s="5" t="s">
        <v>240</v>
      </c>
      <c r="HV3164" s="5" t="s">
        <v>240</v>
      </c>
      <c r="HW3164" s="5" t="s">
        <v>240</v>
      </c>
      <c r="HX3164" s="5" t="s">
        <v>240</v>
      </c>
      <c r="HY3164" s="5" t="s">
        <v>240</v>
      </c>
      <c r="HZ3164" s="5" t="s">
        <v>240</v>
      </c>
      <c r="IA3164" s="5" t="s">
        <v>240</v>
      </c>
      <c r="IB3164" s="5" t="s">
        <v>240</v>
      </c>
      <c r="IC3164" s="5" t="s">
        <v>240</v>
      </c>
      <c r="ID3164" s="5" t="s">
        <v>240</v>
      </c>
      <c r="IE3164" s="5" t="s">
        <v>240</v>
      </c>
      <c r="IF3164" s="5" t="s">
        <v>240</v>
      </c>
    </row>
    <row r="3165" spans="1:240" x14ac:dyDescent="0.4">
      <c r="A3165" s="5">
        <v>4869</v>
      </c>
      <c r="B3165" s="5">
        <v>1</v>
      </c>
      <c r="C3165" s="5">
        <v>1</v>
      </c>
      <c r="D3165" s="5" t="s">
        <v>810</v>
      </c>
      <c r="E3165" s="5" t="s">
        <v>245</v>
      </c>
      <c r="F3165" s="5" t="s">
        <v>254</v>
      </c>
      <c r="G3165" s="5" t="s">
        <v>240</v>
      </c>
      <c r="H3165" s="6" t="s">
        <v>2219</v>
      </c>
      <c r="I3165" s="5" t="s">
        <v>809</v>
      </c>
      <c r="J3165" s="8">
        <f>555</f>
        <v>555</v>
      </c>
      <c r="K3165" s="5" t="s">
        <v>308</v>
      </c>
      <c r="L3165" s="7">
        <f>1</f>
        <v>1</v>
      </c>
      <c r="M3165" s="7">
        <f>1</f>
        <v>1</v>
      </c>
      <c r="N3165" s="5" t="s">
        <v>242</v>
      </c>
      <c r="O3165" s="5">
        <v>1</v>
      </c>
      <c r="P3165" s="5" t="s">
        <v>294</v>
      </c>
      <c r="Q3165" s="5" t="s">
        <v>3678</v>
      </c>
      <c r="R3165" s="5" t="s">
        <v>240</v>
      </c>
      <c r="S3165" s="5" t="s">
        <v>240</v>
      </c>
      <c r="T3165" s="5" t="s">
        <v>243</v>
      </c>
      <c r="U3165" s="5" t="s">
        <v>244</v>
      </c>
      <c r="V3165" s="5" t="s">
        <v>240</v>
      </c>
      <c r="W3165" s="5" t="s">
        <v>240</v>
      </c>
      <c r="X3165" s="5" t="s">
        <v>240</v>
      </c>
      <c r="Y3165" s="5" t="s">
        <v>240</v>
      </c>
      <c r="Z3165" s="6" t="s">
        <v>298</v>
      </c>
      <c r="AA3165" s="6" t="s">
        <v>240</v>
      </c>
      <c r="AB3165" s="6" t="s">
        <v>240</v>
      </c>
      <c r="AC3165" s="5" t="s">
        <v>240</v>
      </c>
      <c r="AD3165" s="6" t="s">
        <v>240</v>
      </c>
      <c r="AE3165" s="6" t="s">
        <v>299</v>
      </c>
      <c r="AF3165" s="5" t="s">
        <v>248</v>
      </c>
      <c r="AG3165" s="5" t="s">
        <v>249</v>
      </c>
      <c r="AH3165" s="5" t="s">
        <v>240</v>
      </c>
      <c r="AI3165" s="5" t="s">
        <v>240</v>
      </c>
      <c r="AJ3165" s="5" t="s">
        <v>240</v>
      </c>
      <c r="AK3165" s="5" t="s">
        <v>240</v>
      </c>
      <c r="AL3165" s="5" t="s">
        <v>240</v>
      </c>
      <c r="AM3165" s="5" t="s">
        <v>240</v>
      </c>
      <c r="AN3165" s="5" t="s">
        <v>240</v>
      </c>
      <c r="AO3165" s="5" t="s">
        <v>240</v>
      </c>
      <c r="AP3165" s="6" t="s">
        <v>240</v>
      </c>
      <c r="AQ3165" s="6" t="s">
        <v>240</v>
      </c>
      <c r="AR3165" s="6" t="s">
        <v>240</v>
      </c>
      <c r="AS3165" s="6" t="s">
        <v>240</v>
      </c>
      <c r="AT3165" s="5" t="s">
        <v>240</v>
      </c>
      <c r="AU3165" s="5" t="s">
        <v>729</v>
      </c>
      <c r="AV3165" s="5" t="s">
        <v>729</v>
      </c>
      <c r="AW3165" s="5" t="s">
        <v>251</v>
      </c>
      <c r="AX3165" s="5" t="s">
        <v>252</v>
      </c>
      <c r="AY3165" s="5" t="s">
        <v>253</v>
      </c>
      <c r="AZ3165" s="5" t="s">
        <v>240</v>
      </c>
      <c r="BA3165" s="5" t="s">
        <v>255</v>
      </c>
      <c r="BB3165" s="5" t="s">
        <v>731</v>
      </c>
      <c r="BD3165" s="5" t="s">
        <v>240</v>
      </c>
      <c r="BF3165" s="5" t="s">
        <v>732</v>
      </c>
      <c r="BG3165" s="6" t="s">
        <v>733</v>
      </c>
      <c r="BH3165" s="5" t="s">
        <v>734</v>
      </c>
      <c r="BI3165" s="5" t="s">
        <v>734</v>
      </c>
      <c r="BJ3165" s="5" t="s">
        <v>240</v>
      </c>
      <c r="BK3165" s="7">
        <f>1</f>
        <v>1</v>
      </c>
      <c r="BL3165" s="7">
        <f>1</f>
        <v>1</v>
      </c>
      <c r="BM3165" s="5" t="s">
        <v>258</v>
      </c>
      <c r="BN3165" s="5" t="s">
        <v>259</v>
      </c>
      <c r="BO3165" s="5" t="s">
        <v>240</v>
      </c>
      <c r="BP3165" s="5" t="s">
        <v>240</v>
      </c>
      <c r="BQ3165" s="5" t="s">
        <v>240</v>
      </c>
      <c r="BR3165" s="5" t="s">
        <v>240</v>
      </c>
      <c r="BS3165" s="5" t="s">
        <v>240</v>
      </c>
      <c r="BT3165" s="5" t="s">
        <v>240</v>
      </c>
      <c r="BU3165" s="5" t="s">
        <v>240</v>
      </c>
      <c r="BV3165" s="5" t="s">
        <v>240</v>
      </c>
      <c r="BW3165" s="6" t="s">
        <v>240</v>
      </c>
      <c r="BX3165" s="5" t="s">
        <v>240</v>
      </c>
      <c r="BY3165" s="5" t="s">
        <v>240</v>
      </c>
      <c r="BZ3165" s="5" t="s">
        <v>240</v>
      </c>
      <c r="CA3165" s="5" t="s">
        <v>259</v>
      </c>
      <c r="CB3165" s="5" t="s">
        <v>240</v>
      </c>
      <c r="CC3165" s="5" t="s">
        <v>240</v>
      </c>
      <c r="CD3165" s="5" t="s">
        <v>240</v>
      </c>
      <c r="CE3165" s="5" t="s">
        <v>240</v>
      </c>
      <c r="CF3165" s="5" t="s">
        <v>240</v>
      </c>
      <c r="CG3165" s="5" t="s">
        <v>304</v>
      </c>
      <c r="CH3165" s="5" t="s">
        <v>305</v>
      </c>
      <c r="CI3165" s="5" t="s">
        <v>240</v>
      </c>
      <c r="CK3165" s="5" t="s">
        <v>3681</v>
      </c>
      <c r="CL3165" s="6" t="s">
        <v>261</v>
      </c>
      <c r="CM3165" s="5" t="s">
        <v>262</v>
      </c>
      <c r="CN3165" s="5" t="s">
        <v>263</v>
      </c>
      <c r="CO3165" s="5" t="s">
        <v>264</v>
      </c>
      <c r="CP3165" s="5" t="s">
        <v>240</v>
      </c>
      <c r="CQ3165" s="5">
        <v>0</v>
      </c>
      <c r="CR3165" s="5" t="s">
        <v>735</v>
      </c>
      <c r="CS3165" s="5" t="s">
        <v>307</v>
      </c>
      <c r="CT3165" s="5" t="s">
        <v>307</v>
      </c>
      <c r="CU3165" s="5" t="s">
        <v>260</v>
      </c>
      <c r="CV3165" s="5" t="s">
        <v>612</v>
      </c>
      <c r="CW3165" s="8">
        <f>1</f>
        <v>1</v>
      </c>
      <c r="CX3165" s="7">
        <f>1</f>
        <v>1</v>
      </c>
      <c r="CY3165" s="7">
        <f>0</f>
        <v>0</v>
      </c>
      <c r="DA3165" s="7">
        <f>1</f>
        <v>1</v>
      </c>
      <c r="DB3165" s="7" t="s">
        <v>240</v>
      </c>
      <c r="DC3165" s="5" t="s">
        <v>240</v>
      </c>
      <c r="DD3165" s="5" t="s">
        <v>240</v>
      </c>
      <c r="DE3165" s="5" t="s">
        <v>240</v>
      </c>
      <c r="DF3165" s="5" t="s">
        <v>240</v>
      </c>
      <c r="DG3165" s="7">
        <f>0</f>
        <v>0</v>
      </c>
      <c r="DI3165" s="5" t="s">
        <v>240</v>
      </c>
      <c r="DJ3165" s="5" t="s">
        <v>240</v>
      </c>
      <c r="DK3165" s="5" t="s">
        <v>240</v>
      </c>
      <c r="DL3165" s="5" t="s">
        <v>240</v>
      </c>
      <c r="DM3165" s="5" t="s">
        <v>240</v>
      </c>
      <c r="DN3165" s="5" t="s">
        <v>240</v>
      </c>
      <c r="DO3165" s="7" t="s">
        <v>240</v>
      </c>
      <c r="DP3165" s="5" t="s">
        <v>240</v>
      </c>
      <c r="DQ3165" s="5" t="s">
        <v>240</v>
      </c>
      <c r="DR3165" s="5" t="s">
        <v>731</v>
      </c>
      <c r="DS3165" s="5" t="s">
        <v>731</v>
      </c>
      <c r="DT3165" s="5" t="s">
        <v>240</v>
      </c>
      <c r="DU3165" s="5" t="s">
        <v>240</v>
      </c>
      <c r="DV3165" s="5" t="s">
        <v>3683</v>
      </c>
      <c r="DW3165" s="5" t="s">
        <v>1032</v>
      </c>
      <c r="DX3165" s="5" t="s">
        <v>240</v>
      </c>
      <c r="DY3165" s="5" t="s">
        <v>240</v>
      </c>
      <c r="DZ3165" s="5" t="s">
        <v>240</v>
      </c>
      <c r="EA3165" s="5" t="s">
        <v>240</v>
      </c>
      <c r="EB3165" s="5" t="s">
        <v>240</v>
      </c>
      <c r="EC3165" s="5" t="s">
        <v>240</v>
      </c>
      <c r="ED3165" s="5" t="s">
        <v>240</v>
      </c>
      <c r="EE3165" s="5" t="s">
        <v>240</v>
      </c>
      <c r="EF3165" s="5" t="s">
        <v>240</v>
      </c>
      <c r="EG3165" s="5" t="s">
        <v>240</v>
      </c>
      <c r="EH3165" s="5" t="s">
        <v>240</v>
      </c>
      <c r="EI3165" s="5" t="s">
        <v>240</v>
      </c>
      <c r="EJ3165" s="5" t="s">
        <v>240</v>
      </c>
      <c r="EK3165" s="5" t="s">
        <v>240</v>
      </c>
      <c r="EL3165" s="5" t="s">
        <v>240</v>
      </c>
      <c r="EM3165" s="5" t="s">
        <v>240</v>
      </c>
      <c r="EN3165" s="5" t="s">
        <v>240</v>
      </c>
      <c r="EO3165" s="5" t="s">
        <v>240</v>
      </c>
      <c r="EP3165" s="5" t="s">
        <v>240</v>
      </c>
      <c r="EQ3165" s="5" t="s">
        <v>240</v>
      </c>
      <c r="ER3165" s="5" t="s">
        <v>240</v>
      </c>
      <c r="ES3165" s="5" t="s">
        <v>240</v>
      </c>
      <c r="ET3165" s="5" t="s">
        <v>240</v>
      </c>
      <c r="EU3165" s="5" t="s">
        <v>240</v>
      </c>
      <c r="EV3165" s="5" t="s">
        <v>240</v>
      </c>
      <c r="EW3165" s="5" t="s">
        <v>240</v>
      </c>
      <c r="EX3165" s="5" t="s">
        <v>240</v>
      </c>
      <c r="EY3165" s="5" t="s">
        <v>240</v>
      </c>
      <c r="EZ3165" s="5" t="s">
        <v>240</v>
      </c>
      <c r="FA3165" s="5" t="s">
        <v>240</v>
      </c>
      <c r="FB3165" s="5" t="s">
        <v>240</v>
      </c>
      <c r="FC3165" s="5" t="s">
        <v>240</v>
      </c>
      <c r="FD3165" s="5" t="s">
        <v>240</v>
      </c>
      <c r="FE3165" s="5" t="s">
        <v>240</v>
      </c>
      <c r="FF3165" s="5" t="s">
        <v>240</v>
      </c>
      <c r="FG3165" s="5" t="s">
        <v>240</v>
      </c>
      <c r="FH3165" s="5" t="s">
        <v>240</v>
      </c>
      <c r="FI3165" s="5" t="s">
        <v>240</v>
      </c>
      <c r="FJ3165" s="5" t="s">
        <v>240</v>
      </c>
      <c r="FK3165" s="5" t="s">
        <v>240</v>
      </c>
      <c r="FL3165" s="5" t="s">
        <v>240</v>
      </c>
      <c r="FM3165" s="5" t="s">
        <v>240</v>
      </c>
      <c r="FN3165" s="5" t="s">
        <v>240</v>
      </c>
      <c r="FO3165" s="5" t="s">
        <v>240</v>
      </c>
      <c r="FP3165" s="5" t="s">
        <v>240</v>
      </c>
      <c r="FQ3165" s="5" t="s">
        <v>240</v>
      </c>
      <c r="FR3165" s="5" t="s">
        <v>240</v>
      </c>
      <c r="FS3165" s="5" t="s">
        <v>240</v>
      </c>
      <c r="FT3165" s="5" t="s">
        <v>240</v>
      </c>
      <c r="FU3165" s="5" t="s">
        <v>240</v>
      </c>
      <c r="FV3165" s="5" t="s">
        <v>240</v>
      </c>
      <c r="FW3165" s="5" t="s">
        <v>240</v>
      </c>
      <c r="FX3165" s="5" t="s">
        <v>240</v>
      </c>
      <c r="FY3165" s="5" t="s">
        <v>240</v>
      </c>
      <c r="FZ3165" s="5" t="s">
        <v>240</v>
      </c>
      <c r="GA3165" s="5" t="s">
        <v>240</v>
      </c>
      <c r="GB3165" s="5" t="s">
        <v>240</v>
      </c>
      <c r="GC3165" s="5" t="s">
        <v>240</v>
      </c>
      <c r="GD3165" s="5" t="s">
        <v>240</v>
      </c>
      <c r="GE3165" s="5" t="s">
        <v>240</v>
      </c>
      <c r="GF3165" s="5" t="s">
        <v>240</v>
      </c>
      <c r="GG3165" s="5" t="s">
        <v>240</v>
      </c>
      <c r="GH3165" s="5" t="s">
        <v>240</v>
      </c>
      <c r="GI3165" s="5" t="s">
        <v>240</v>
      </c>
      <c r="GJ3165" s="5" t="s">
        <v>240</v>
      </c>
      <c r="GK3165" s="5" t="s">
        <v>240</v>
      </c>
      <c r="GL3165" s="5" t="s">
        <v>240</v>
      </c>
      <c r="GM3165" s="5" t="s">
        <v>240</v>
      </c>
      <c r="GN3165" s="5" t="s">
        <v>240</v>
      </c>
      <c r="GO3165" s="5" t="s">
        <v>240</v>
      </c>
      <c r="GP3165" s="5" t="s">
        <v>240</v>
      </c>
      <c r="GQ3165" s="5" t="s">
        <v>240</v>
      </c>
      <c r="GR3165" s="5" t="s">
        <v>240</v>
      </c>
      <c r="GS3165" s="5" t="s">
        <v>240</v>
      </c>
      <c r="GT3165" s="5" t="s">
        <v>240</v>
      </c>
      <c r="GU3165" s="5" t="s">
        <v>240</v>
      </c>
      <c r="GV3165" s="5" t="s">
        <v>240</v>
      </c>
      <c r="GW3165" s="5" t="s">
        <v>240</v>
      </c>
      <c r="GX3165" s="5" t="s">
        <v>240</v>
      </c>
      <c r="GY3165" s="5" t="s">
        <v>240</v>
      </c>
      <c r="GZ3165" s="5" t="s">
        <v>240</v>
      </c>
      <c r="HA3165" s="5" t="s">
        <v>240</v>
      </c>
      <c r="HB3165" s="5" t="s">
        <v>240</v>
      </c>
      <c r="HC3165" s="5" t="s">
        <v>240</v>
      </c>
      <c r="HD3165" s="5" t="s">
        <v>240</v>
      </c>
      <c r="HE3165" s="5" t="s">
        <v>240</v>
      </c>
      <c r="HF3165" s="5" t="s">
        <v>240</v>
      </c>
      <c r="HG3165" s="5" t="s">
        <v>240</v>
      </c>
      <c r="HH3165" s="5" t="s">
        <v>240</v>
      </c>
      <c r="HI3165" s="5" t="s">
        <v>240</v>
      </c>
      <c r="HJ3165" s="5" t="s">
        <v>240</v>
      </c>
      <c r="HK3165" s="5" t="s">
        <v>240</v>
      </c>
      <c r="HL3165" s="5" t="s">
        <v>240</v>
      </c>
      <c r="HM3165" s="5" t="s">
        <v>240</v>
      </c>
      <c r="HN3165" s="5" t="s">
        <v>240</v>
      </c>
      <c r="HO3165" s="5" t="s">
        <v>312</v>
      </c>
      <c r="HP3165" s="5" t="s">
        <v>240</v>
      </c>
      <c r="HQ3165" s="5" t="s">
        <v>240</v>
      </c>
      <c r="HR3165" s="5" t="s">
        <v>240</v>
      </c>
      <c r="HS3165" s="5" t="s">
        <v>240</v>
      </c>
      <c r="HT3165" s="5" t="s">
        <v>240</v>
      </c>
      <c r="HU3165" s="5" t="s">
        <v>240</v>
      </c>
      <c r="HV3165" s="5" t="s">
        <v>240</v>
      </c>
      <c r="HW3165" s="5" t="s">
        <v>240</v>
      </c>
      <c r="HX3165" s="5" t="s">
        <v>240</v>
      </c>
      <c r="HY3165" s="5" t="s">
        <v>240</v>
      </c>
      <c r="HZ3165" s="5" t="s">
        <v>240</v>
      </c>
      <c r="IA3165" s="5" t="s">
        <v>240</v>
      </c>
      <c r="IB3165" s="5" t="s">
        <v>240</v>
      </c>
      <c r="IC3165" s="5" t="s">
        <v>240</v>
      </c>
      <c r="ID3165" s="5" t="s">
        <v>240</v>
      </c>
      <c r="IE3165" s="5" t="s">
        <v>240</v>
      </c>
      <c r="IF3165" s="5" t="s">
        <v>240</v>
      </c>
    </row>
    <row r="3166" spans="1:240" x14ac:dyDescent="0.4">
      <c r="A3166" s="5">
        <v>4870</v>
      </c>
      <c r="B3166" s="5">
        <v>1</v>
      </c>
      <c r="C3166" s="5">
        <v>1</v>
      </c>
      <c r="D3166" s="5" t="s">
        <v>810</v>
      </c>
      <c r="E3166" s="5" t="s">
        <v>245</v>
      </c>
      <c r="F3166" s="5" t="s">
        <v>254</v>
      </c>
      <c r="G3166" s="5" t="s">
        <v>240</v>
      </c>
      <c r="H3166" s="6" t="s">
        <v>2217</v>
      </c>
      <c r="I3166" s="5" t="s">
        <v>809</v>
      </c>
      <c r="J3166" s="8">
        <f>548</f>
        <v>548</v>
      </c>
      <c r="K3166" s="5" t="s">
        <v>308</v>
      </c>
      <c r="L3166" s="7">
        <f>1</f>
        <v>1</v>
      </c>
      <c r="M3166" s="7">
        <f>1</f>
        <v>1</v>
      </c>
      <c r="N3166" s="5" t="s">
        <v>242</v>
      </c>
      <c r="O3166" s="5">
        <v>1</v>
      </c>
      <c r="P3166" s="5" t="s">
        <v>294</v>
      </c>
      <c r="Q3166" s="5" t="s">
        <v>3678</v>
      </c>
      <c r="R3166" s="5" t="s">
        <v>240</v>
      </c>
      <c r="S3166" s="5" t="s">
        <v>240</v>
      </c>
      <c r="T3166" s="5" t="s">
        <v>243</v>
      </c>
      <c r="U3166" s="5" t="s">
        <v>244</v>
      </c>
      <c r="V3166" s="5" t="s">
        <v>240</v>
      </c>
      <c r="W3166" s="5" t="s">
        <v>240</v>
      </c>
      <c r="X3166" s="5" t="s">
        <v>240</v>
      </c>
      <c r="Y3166" s="5" t="s">
        <v>240</v>
      </c>
      <c r="Z3166" s="6" t="s">
        <v>298</v>
      </c>
      <c r="AA3166" s="6" t="s">
        <v>240</v>
      </c>
      <c r="AB3166" s="6" t="s">
        <v>240</v>
      </c>
      <c r="AC3166" s="5" t="s">
        <v>240</v>
      </c>
      <c r="AD3166" s="6" t="s">
        <v>240</v>
      </c>
      <c r="AE3166" s="6" t="s">
        <v>299</v>
      </c>
      <c r="AF3166" s="5" t="s">
        <v>248</v>
      </c>
      <c r="AG3166" s="5" t="s">
        <v>249</v>
      </c>
      <c r="AH3166" s="5" t="s">
        <v>240</v>
      </c>
      <c r="AI3166" s="5" t="s">
        <v>240</v>
      </c>
      <c r="AJ3166" s="5" t="s">
        <v>240</v>
      </c>
      <c r="AK3166" s="5" t="s">
        <v>240</v>
      </c>
      <c r="AL3166" s="5" t="s">
        <v>240</v>
      </c>
      <c r="AM3166" s="5" t="s">
        <v>240</v>
      </c>
      <c r="AN3166" s="5" t="s">
        <v>240</v>
      </c>
      <c r="AO3166" s="5" t="s">
        <v>240</v>
      </c>
      <c r="AP3166" s="6" t="s">
        <v>240</v>
      </c>
      <c r="AQ3166" s="6" t="s">
        <v>240</v>
      </c>
      <c r="AR3166" s="6" t="s">
        <v>240</v>
      </c>
      <c r="AS3166" s="6" t="s">
        <v>240</v>
      </c>
      <c r="AT3166" s="5" t="s">
        <v>240</v>
      </c>
      <c r="AU3166" s="5" t="s">
        <v>729</v>
      </c>
      <c r="AV3166" s="5" t="s">
        <v>729</v>
      </c>
      <c r="AW3166" s="5" t="s">
        <v>251</v>
      </c>
      <c r="AX3166" s="5" t="s">
        <v>252</v>
      </c>
      <c r="AY3166" s="5" t="s">
        <v>253</v>
      </c>
      <c r="AZ3166" s="5" t="s">
        <v>240</v>
      </c>
      <c r="BA3166" s="5" t="s">
        <v>255</v>
      </c>
      <c r="BB3166" s="5" t="s">
        <v>731</v>
      </c>
      <c r="BD3166" s="5" t="s">
        <v>240</v>
      </c>
      <c r="BF3166" s="5" t="s">
        <v>732</v>
      </c>
      <c r="BG3166" s="6" t="s">
        <v>733</v>
      </c>
      <c r="BH3166" s="5" t="s">
        <v>734</v>
      </c>
      <c r="BI3166" s="5" t="s">
        <v>734</v>
      </c>
      <c r="BJ3166" s="5" t="s">
        <v>240</v>
      </c>
      <c r="BK3166" s="7">
        <f>1</f>
        <v>1</v>
      </c>
      <c r="BL3166" s="7">
        <f>1</f>
        <v>1</v>
      </c>
      <c r="BM3166" s="5" t="s">
        <v>258</v>
      </c>
      <c r="BN3166" s="5" t="s">
        <v>259</v>
      </c>
      <c r="BO3166" s="5" t="s">
        <v>240</v>
      </c>
      <c r="BP3166" s="5" t="s">
        <v>240</v>
      </c>
      <c r="BQ3166" s="5" t="s">
        <v>240</v>
      </c>
      <c r="BR3166" s="5" t="s">
        <v>240</v>
      </c>
      <c r="BS3166" s="5" t="s">
        <v>240</v>
      </c>
      <c r="BT3166" s="5" t="s">
        <v>240</v>
      </c>
      <c r="BU3166" s="5" t="s">
        <v>240</v>
      </c>
      <c r="BV3166" s="5" t="s">
        <v>240</v>
      </c>
      <c r="BW3166" s="6" t="s">
        <v>240</v>
      </c>
      <c r="BX3166" s="5" t="s">
        <v>240</v>
      </c>
      <c r="BY3166" s="5" t="s">
        <v>240</v>
      </c>
      <c r="BZ3166" s="5" t="s">
        <v>240</v>
      </c>
      <c r="CA3166" s="5" t="s">
        <v>259</v>
      </c>
      <c r="CB3166" s="5" t="s">
        <v>240</v>
      </c>
      <c r="CC3166" s="5" t="s">
        <v>240</v>
      </c>
      <c r="CD3166" s="5" t="s">
        <v>240</v>
      </c>
      <c r="CE3166" s="5" t="s">
        <v>240</v>
      </c>
      <c r="CF3166" s="5" t="s">
        <v>240</v>
      </c>
      <c r="CG3166" s="5" t="s">
        <v>304</v>
      </c>
      <c r="CH3166" s="5" t="s">
        <v>305</v>
      </c>
      <c r="CI3166" s="5" t="s">
        <v>240</v>
      </c>
      <c r="CK3166" s="5" t="s">
        <v>3681</v>
      </c>
      <c r="CL3166" s="6" t="s">
        <v>261</v>
      </c>
      <c r="CM3166" s="5" t="s">
        <v>262</v>
      </c>
      <c r="CN3166" s="5" t="s">
        <v>263</v>
      </c>
      <c r="CO3166" s="5" t="s">
        <v>264</v>
      </c>
      <c r="CP3166" s="5" t="s">
        <v>240</v>
      </c>
      <c r="CQ3166" s="5">
        <v>0</v>
      </c>
      <c r="CR3166" s="5" t="s">
        <v>735</v>
      </c>
      <c r="CS3166" s="5" t="s">
        <v>307</v>
      </c>
      <c r="CT3166" s="5" t="s">
        <v>307</v>
      </c>
      <c r="CU3166" s="5" t="s">
        <v>260</v>
      </c>
      <c r="CV3166" s="5" t="s">
        <v>612</v>
      </c>
      <c r="CW3166" s="8">
        <f>1</f>
        <v>1</v>
      </c>
      <c r="CX3166" s="7">
        <f>1</f>
        <v>1</v>
      </c>
      <c r="CY3166" s="7">
        <f>0</f>
        <v>0</v>
      </c>
      <c r="DA3166" s="7">
        <f>1</f>
        <v>1</v>
      </c>
      <c r="DB3166" s="7" t="s">
        <v>240</v>
      </c>
      <c r="DC3166" s="5" t="s">
        <v>240</v>
      </c>
      <c r="DD3166" s="5" t="s">
        <v>240</v>
      </c>
      <c r="DE3166" s="5" t="s">
        <v>240</v>
      </c>
      <c r="DF3166" s="5" t="s">
        <v>240</v>
      </c>
      <c r="DG3166" s="7">
        <f>0</f>
        <v>0</v>
      </c>
      <c r="DI3166" s="5" t="s">
        <v>240</v>
      </c>
      <c r="DJ3166" s="5" t="s">
        <v>240</v>
      </c>
      <c r="DK3166" s="5" t="s">
        <v>240</v>
      </c>
      <c r="DL3166" s="5" t="s">
        <v>240</v>
      </c>
      <c r="DM3166" s="5" t="s">
        <v>240</v>
      </c>
      <c r="DN3166" s="5" t="s">
        <v>240</v>
      </c>
      <c r="DO3166" s="7" t="s">
        <v>240</v>
      </c>
      <c r="DP3166" s="5" t="s">
        <v>240</v>
      </c>
      <c r="DQ3166" s="5" t="s">
        <v>240</v>
      </c>
      <c r="DR3166" s="5" t="s">
        <v>731</v>
      </c>
      <c r="DS3166" s="5" t="s">
        <v>731</v>
      </c>
      <c r="DT3166" s="5" t="s">
        <v>240</v>
      </c>
      <c r="DU3166" s="5" t="s">
        <v>240</v>
      </c>
      <c r="DV3166" s="5" t="s">
        <v>3683</v>
      </c>
      <c r="DW3166" s="5" t="s">
        <v>4097</v>
      </c>
      <c r="DX3166" s="5" t="s">
        <v>240</v>
      </c>
      <c r="DY3166" s="5" t="s">
        <v>240</v>
      </c>
      <c r="DZ3166" s="5" t="s">
        <v>240</v>
      </c>
      <c r="EA3166" s="5" t="s">
        <v>240</v>
      </c>
      <c r="EB3166" s="5" t="s">
        <v>240</v>
      </c>
      <c r="EC3166" s="5" t="s">
        <v>240</v>
      </c>
      <c r="ED3166" s="5" t="s">
        <v>240</v>
      </c>
      <c r="EE3166" s="5" t="s">
        <v>240</v>
      </c>
      <c r="EF3166" s="5" t="s">
        <v>240</v>
      </c>
      <c r="EG3166" s="5" t="s">
        <v>240</v>
      </c>
      <c r="EH3166" s="5" t="s">
        <v>240</v>
      </c>
      <c r="EI3166" s="5" t="s">
        <v>240</v>
      </c>
      <c r="EJ3166" s="5" t="s">
        <v>240</v>
      </c>
      <c r="EK3166" s="5" t="s">
        <v>240</v>
      </c>
      <c r="EL3166" s="5" t="s">
        <v>240</v>
      </c>
      <c r="EM3166" s="5" t="s">
        <v>240</v>
      </c>
      <c r="EN3166" s="5" t="s">
        <v>240</v>
      </c>
      <c r="EO3166" s="5" t="s">
        <v>240</v>
      </c>
      <c r="EP3166" s="5" t="s">
        <v>240</v>
      </c>
      <c r="EQ3166" s="5" t="s">
        <v>240</v>
      </c>
      <c r="ER3166" s="5" t="s">
        <v>240</v>
      </c>
      <c r="ES3166" s="5" t="s">
        <v>240</v>
      </c>
      <c r="ET3166" s="5" t="s">
        <v>240</v>
      </c>
      <c r="EU3166" s="5" t="s">
        <v>240</v>
      </c>
      <c r="EV3166" s="5" t="s">
        <v>240</v>
      </c>
      <c r="EW3166" s="5" t="s">
        <v>240</v>
      </c>
      <c r="EX3166" s="5" t="s">
        <v>240</v>
      </c>
      <c r="EY3166" s="5" t="s">
        <v>240</v>
      </c>
      <c r="EZ3166" s="5" t="s">
        <v>240</v>
      </c>
      <c r="FA3166" s="5" t="s">
        <v>240</v>
      </c>
      <c r="FB3166" s="5" t="s">
        <v>240</v>
      </c>
      <c r="FC3166" s="5" t="s">
        <v>240</v>
      </c>
      <c r="FD3166" s="5" t="s">
        <v>240</v>
      </c>
      <c r="FE3166" s="5" t="s">
        <v>240</v>
      </c>
      <c r="FF3166" s="5" t="s">
        <v>240</v>
      </c>
      <c r="FG3166" s="5" t="s">
        <v>240</v>
      </c>
      <c r="FH3166" s="5" t="s">
        <v>240</v>
      </c>
      <c r="FI3166" s="5" t="s">
        <v>240</v>
      </c>
      <c r="FJ3166" s="5" t="s">
        <v>240</v>
      </c>
      <c r="FK3166" s="5" t="s">
        <v>240</v>
      </c>
      <c r="FL3166" s="5" t="s">
        <v>240</v>
      </c>
      <c r="FM3166" s="5" t="s">
        <v>240</v>
      </c>
      <c r="FN3166" s="5" t="s">
        <v>240</v>
      </c>
      <c r="FO3166" s="5" t="s">
        <v>240</v>
      </c>
      <c r="FP3166" s="5" t="s">
        <v>240</v>
      </c>
      <c r="FQ3166" s="5" t="s">
        <v>240</v>
      </c>
      <c r="FR3166" s="5" t="s">
        <v>240</v>
      </c>
      <c r="FS3166" s="5" t="s">
        <v>240</v>
      </c>
      <c r="FT3166" s="5" t="s">
        <v>240</v>
      </c>
      <c r="FU3166" s="5" t="s">
        <v>240</v>
      </c>
      <c r="FV3166" s="5" t="s">
        <v>240</v>
      </c>
      <c r="FW3166" s="5" t="s">
        <v>240</v>
      </c>
      <c r="FX3166" s="5" t="s">
        <v>240</v>
      </c>
      <c r="FY3166" s="5" t="s">
        <v>240</v>
      </c>
      <c r="FZ3166" s="5" t="s">
        <v>240</v>
      </c>
      <c r="GA3166" s="5" t="s">
        <v>240</v>
      </c>
      <c r="GB3166" s="5" t="s">
        <v>240</v>
      </c>
      <c r="GC3166" s="5" t="s">
        <v>240</v>
      </c>
      <c r="GD3166" s="5" t="s">
        <v>240</v>
      </c>
      <c r="GE3166" s="5" t="s">
        <v>240</v>
      </c>
      <c r="GF3166" s="5" t="s">
        <v>240</v>
      </c>
      <c r="GG3166" s="5" t="s">
        <v>240</v>
      </c>
      <c r="GH3166" s="5" t="s">
        <v>240</v>
      </c>
      <c r="GI3166" s="5" t="s">
        <v>240</v>
      </c>
      <c r="GJ3166" s="5" t="s">
        <v>240</v>
      </c>
      <c r="GK3166" s="5" t="s">
        <v>240</v>
      </c>
      <c r="GL3166" s="5" t="s">
        <v>240</v>
      </c>
      <c r="GM3166" s="5" t="s">
        <v>240</v>
      </c>
      <c r="GN3166" s="5" t="s">
        <v>240</v>
      </c>
      <c r="GO3166" s="5" t="s">
        <v>240</v>
      </c>
      <c r="GP3166" s="5" t="s">
        <v>240</v>
      </c>
      <c r="GQ3166" s="5" t="s">
        <v>240</v>
      </c>
      <c r="GR3166" s="5" t="s">
        <v>240</v>
      </c>
      <c r="GS3166" s="5" t="s">
        <v>240</v>
      </c>
      <c r="GT3166" s="5" t="s">
        <v>240</v>
      </c>
      <c r="GU3166" s="5" t="s">
        <v>240</v>
      </c>
      <c r="GV3166" s="5" t="s">
        <v>240</v>
      </c>
      <c r="GW3166" s="5" t="s">
        <v>240</v>
      </c>
      <c r="GX3166" s="5" t="s">
        <v>240</v>
      </c>
      <c r="GY3166" s="5" t="s">
        <v>240</v>
      </c>
      <c r="GZ3166" s="5" t="s">
        <v>240</v>
      </c>
      <c r="HA3166" s="5" t="s">
        <v>240</v>
      </c>
      <c r="HB3166" s="5" t="s">
        <v>240</v>
      </c>
      <c r="HC3166" s="5" t="s">
        <v>240</v>
      </c>
      <c r="HD3166" s="5" t="s">
        <v>240</v>
      </c>
      <c r="HE3166" s="5" t="s">
        <v>240</v>
      </c>
      <c r="HF3166" s="5" t="s">
        <v>240</v>
      </c>
      <c r="HG3166" s="5" t="s">
        <v>240</v>
      </c>
      <c r="HH3166" s="5" t="s">
        <v>240</v>
      </c>
      <c r="HI3166" s="5" t="s">
        <v>240</v>
      </c>
      <c r="HJ3166" s="5" t="s">
        <v>240</v>
      </c>
      <c r="HK3166" s="5" t="s">
        <v>240</v>
      </c>
      <c r="HL3166" s="5" t="s">
        <v>240</v>
      </c>
      <c r="HM3166" s="5" t="s">
        <v>240</v>
      </c>
      <c r="HN3166" s="5" t="s">
        <v>240</v>
      </c>
      <c r="HO3166" s="5" t="s">
        <v>312</v>
      </c>
      <c r="HP3166" s="5" t="s">
        <v>240</v>
      </c>
      <c r="HQ3166" s="5" t="s">
        <v>240</v>
      </c>
      <c r="HR3166" s="5" t="s">
        <v>240</v>
      </c>
      <c r="HS3166" s="5" t="s">
        <v>240</v>
      </c>
      <c r="HT3166" s="5" t="s">
        <v>240</v>
      </c>
      <c r="HU3166" s="5" t="s">
        <v>240</v>
      </c>
      <c r="HV3166" s="5" t="s">
        <v>240</v>
      </c>
      <c r="HW3166" s="5" t="s">
        <v>240</v>
      </c>
      <c r="HX3166" s="5" t="s">
        <v>240</v>
      </c>
      <c r="HY3166" s="5" t="s">
        <v>240</v>
      </c>
      <c r="HZ3166" s="5" t="s">
        <v>240</v>
      </c>
      <c r="IA3166" s="5" t="s">
        <v>240</v>
      </c>
      <c r="IB3166" s="5" t="s">
        <v>240</v>
      </c>
      <c r="IC3166" s="5" t="s">
        <v>240</v>
      </c>
      <c r="ID3166" s="5" t="s">
        <v>240</v>
      </c>
      <c r="IE3166" s="5" t="s">
        <v>240</v>
      </c>
      <c r="IF3166" s="5" t="s">
        <v>240</v>
      </c>
    </row>
    <row r="3167" spans="1:240" x14ac:dyDescent="0.4">
      <c r="A3167" s="5">
        <v>4871</v>
      </c>
      <c r="B3167" s="5">
        <v>1</v>
      </c>
      <c r="C3167" s="5">
        <v>1</v>
      </c>
      <c r="D3167" s="5" t="s">
        <v>810</v>
      </c>
      <c r="E3167" s="5" t="s">
        <v>245</v>
      </c>
      <c r="F3167" s="5" t="s">
        <v>254</v>
      </c>
      <c r="G3167" s="5" t="s">
        <v>240</v>
      </c>
      <c r="H3167" s="6" t="s">
        <v>2215</v>
      </c>
      <c r="I3167" s="5" t="s">
        <v>809</v>
      </c>
      <c r="J3167" s="8">
        <f>147</f>
        <v>147</v>
      </c>
      <c r="K3167" s="5" t="s">
        <v>308</v>
      </c>
      <c r="L3167" s="7">
        <f>1</f>
        <v>1</v>
      </c>
      <c r="M3167" s="7">
        <f>1</f>
        <v>1</v>
      </c>
      <c r="N3167" s="5" t="s">
        <v>242</v>
      </c>
      <c r="O3167" s="5">
        <v>1</v>
      </c>
      <c r="P3167" s="5" t="s">
        <v>294</v>
      </c>
      <c r="Q3167" s="5" t="s">
        <v>3678</v>
      </c>
      <c r="R3167" s="5" t="s">
        <v>240</v>
      </c>
      <c r="S3167" s="5" t="s">
        <v>240</v>
      </c>
      <c r="T3167" s="5" t="s">
        <v>243</v>
      </c>
      <c r="U3167" s="5" t="s">
        <v>244</v>
      </c>
      <c r="V3167" s="5" t="s">
        <v>240</v>
      </c>
      <c r="W3167" s="5" t="s">
        <v>240</v>
      </c>
      <c r="X3167" s="5" t="s">
        <v>240</v>
      </c>
      <c r="Y3167" s="5" t="s">
        <v>240</v>
      </c>
      <c r="Z3167" s="6" t="s">
        <v>298</v>
      </c>
      <c r="AA3167" s="6" t="s">
        <v>240</v>
      </c>
      <c r="AB3167" s="6" t="s">
        <v>240</v>
      </c>
      <c r="AC3167" s="5" t="s">
        <v>240</v>
      </c>
      <c r="AD3167" s="6" t="s">
        <v>240</v>
      </c>
      <c r="AE3167" s="6" t="s">
        <v>299</v>
      </c>
      <c r="AF3167" s="5" t="s">
        <v>248</v>
      </c>
      <c r="AG3167" s="5" t="s">
        <v>249</v>
      </c>
      <c r="AH3167" s="5" t="s">
        <v>240</v>
      </c>
      <c r="AI3167" s="5" t="s">
        <v>240</v>
      </c>
      <c r="AJ3167" s="5" t="s">
        <v>240</v>
      </c>
      <c r="AK3167" s="5" t="s">
        <v>240</v>
      </c>
      <c r="AL3167" s="5" t="s">
        <v>240</v>
      </c>
      <c r="AM3167" s="5" t="s">
        <v>240</v>
      </c>
      <c r="AN3167" s="5" t="s">
        <v>240</v>
      </c>
      <c r="AO3167" s="5" t="s">
        <v>240</v>
      </c>
      <c r="AP3167" s="6" t="s">
        <v>240</v>
      </c>
      <c r="AQ3167" s="6" t="s">
        <v>240</v>
      </c>
      <c r="AR3167" s="6" t="s">
        <v>240</v>
      </c>
      <c r="AS3167" s="6" t="s">
        <v>240</v>
      </c>
      <c r="AT3167" s="5" t="s">
        <v>240</v>
      </c>
      <c r="AU3167" s="5" t="s">
        <v>729</v>
      </c>
      <c r="AV3167" s="5" t="s">
        <v>729</v>
      </c>
      <c r="AW3167" s="5" t="s">
        <v>251</v>
      </c>
      <c r="AX3167" s="5" t="s">
        <v>252</v>
      </c>
      <c r="AY3167" s="5" t="s">
        <v>253</v>
      </c>
      <c r="AZ3167" s="5" t="s">
        <v>240</v>
      </c>
      <c r="BA3167" s="5" t="s">
        <v>255</v>
      </c>
      <c r="BB3167" s="5" t="s">
        <v>731</v>
      </c>
      <c r="BD3167" s="5" t="s">
        <v>240</v>
      </c>
      <c r="BF3167" s="5" t="s">
        <v>732</v>
      </c>
      <c r="BG3167" s="6" t="s">
        <v>733</v>
      </c>
      <c r="BH3167" s="5" t="s">
        <v>734</v>
      </c>
      <c r="BI3167" s="5" t="s">
        <v>734</v>
      </c>
      <c r="BJ3167" s="5" t="s">
        <v>240</v>
      </c>
      <c r="BK3167" s="7">
        <f>1</f>
        <v>1</v>
      </c>
      <c r="BL3167" s="7">
        <f>1</f>
        <v>1</v>
      </c>
      <c r="BM3167" s="5" t="s">
        <v>258</v>
      </c>
      <c r="BN3167" s="5" t="s">
        <v>259</v>
      </c>
      <c r="BO3167" s="5" t="s">
        <v>240</v>
      </c>
      <c r="BP3167" s="5" t="s">
        <v>240</v>
      </c>
      <c r="BQ3167" s="5" t="s">
        <v>240</v>
      </c>
      <c r="BR3167" s="5" t="s">
        <v>240</v>
      </c>
      <c r="BS3167" s="5" t="s">
        <v>240</v>
      </c>
      <c r="BT3167" s="5" t="s">
        <v>240</v>
      </c>
      <c r="BU3167" s="5" t="s">
        <v>240</v>
      </c>
      <c r="BV3167" s="5" t="s">
        <v>240</v>
      </c>
      <c r="BW3167" s="6" t="s">
        <v>240</v>
      </c>
      <c r="BX3167" s="5" t="s">
        <v>240</v>
      </c>
      <c r="BY3167" s="5" t="s">
        <v>240</v>
      </c>
      <c r="BZ3167" s="5" t="s">
        <v>240</v>
      </c>
      <c r="CA3167" s="5" t="s">
        <v>259</v>
      </c>
      <c r="CB3167" s="5" t="s">
        <v>240</v>
      </c>
      <c r="CC3167" s="5" t="s">
        <v>240</v>
      </c>
      <c r="CD3167" s="5" t="s">
        <v>240</v>
      </c>
      <c r="CE3167" s="5" t="s">
        <v>240</v>
      </c>
      <c r="CF3167" s="5" t="s">
        <v>240</v>
      </c>
      <c r="CG3167" s="5" t="s">
        <v>304</v>
      </c>
      <c r="CH3167" s="5" t="s">
        <v>305</v>
      </c>
      <c r="CI3167" s="5" t="s">
        <v>240</v>
      </c>
      <c r="CK3167" s="5" t="s">
        <v>3681</v>
      </c>
      <c r="CL3167" s="6" t="s">
        <v>261</v>
      </c>
      <c r="CM3167" s="5" t="s">
        <v>262</v>
      </c>
      <c r="CN3167" s="5" t="s">
        <v>263</v>
      </c>
      <c r="CO3167" s="5" t="s">
        <v>264</v>
      </c>
      <c r="CP3167" s="5" t="s">
        <v>240</v>
      </c>
      <c r="CQ3167" s="5">
        <v>0</v>
      </c>
      <c r="CR3167" s="5" t="s">
        <v>735</v>
      </c>
      <c r="CS3167" s="5" t="s">
        <v>307</v>
      </c>
      <c r="CT3167" s="5" t="s">
        <v>307</v>
      </c>
      <c r="CU3167" s="5" t="s">
        <v>260</v>
      </c>
      <c r="CV3167" s="5" t="s">
        <v>612</v>
      </c>
      <c r="CW3167" s="8">
        <f>1</f>
        <v>1</v>
      </c>
      <c r="CX3167" s="7">
        <f>1</f>
        <v>1</v>
      </c>
      <c r="CY3167" s="7">
        <f>0</f>
        <v>0</v>
      </c>
      <c r="DA3167" s="7">
        <f>1</f>
        <v>1</v>
      </c>
      <c r="DB3167" s="7" t="s">
        <v>240</v>
      </c>
      <c r="DC3167" s="5" t="s">
        <v>240</v>
      </c>
      <c r="DD3167" s="5" t="s">
        <v>240</v>
      </c>
      <c r="DE3167" s="5" t="s">
        <v>240</v>
      </c>
      <c r="DF3167" s="5" t="s">
        <v>240</v>
      </c>
      <c r="DG3167" s="7">
        <f>0</f>
        <v>0</v>
      </c>
      <c r="DI3167" s="5" t="s">
        <v>240</v>
      </c>
      <c r="DJ3167" s="5" t="s">
        <v>240</v>
      </c>
      <c r="DK3167" s="5" t="s">
        <v>240</v>
      </c>
      <c r="DL3167" s="5" t="s">
        <v>240</v>
      </c>
      <c r="DM3167" s="5" t="s">
        <v>240</v>
      </c>
      <c r="DN3167" s="5" t="s">
        <v>240</v>
      </c>
      <c r="DO3167" s="7" t="s">
        <v>240</v>
      </c>
      <c r="DP3167" s="5" t="s">
        <v>240</v>
      </c>
      <c r="DQ3167" s="5" t="s">
        <v>240</v>
      </c>
      <c r="DR3167" s="5" t="s">
        <v>731</v>
      </c>
      <c r="DS3167" s="5" t="s">
        <v>731</v>
      </c>
      <c r="DT3167" s="5" t="s">
        <v>240</v>
      </c>
      <c r="DU3167" s="5" t="s">
        <v>240</v>
      </c>
      <c r="DV3167" s="5" t="s">
        <v>3683</v>
      </c>
      <c r="DW3167" s="5" t="s">
        <v>4103</v>
      </c>
      <c r="DX3167" s="5" t="s">
        <v>240</v>
      </c>
      <c r="DY3167" s="5" t="s">
        <v>240</v>
      </c>
      <c r="DZ3167" s="5" t="s">
        <v>240</v>
      </c>
      <c r="EA3167" s="5" t="s">
        <v>240</v>
      </c>
      <c r="EB3167" s="5" t="s">
        <v>240</v>
      </c>
      <c r="EC3167" s="5" t="s">
        <v>240</v>
      </c>
      <c r="ED3167" s="5" t="s">
        <v>240</v>
      </c>
      <c r="EE3167" s="5" t="s">
        <v>240</v>
      </c>
      <c r="EF3167" s="5" t="s">
        <v>240</v>
      </c>
      <c r="EG3167" s="5" t="s">
        <v>240</v>
      </c>
      <c r="EH3167" s="5" t="s">
        <v>240</v>
      </c>
      <c r="EI3167" s="5" t="s">
        <v>240</v>
      </c>
      <c r="EJ3167" s="5" t="s">
        <v>240</v>
      </c>
      <c r="EK3167" s="5" t="s">
        <v>240</v>
      </c>
      <c r="EL3167" s="5" t="s">
        <v>240</v>
      </c>
      <c r="EM3167" s="5" t="s">
        <v>240</v>
      </c>
      <c r="EN3167" s="5" t="s">
        <v>240</v>
      </c>
      <c r="EO3167" s="5" t="s">
        <v>240</v>
      </c>
      <c r="EP3167" s="5" t="s">
        <v>240</v>
      </c>
      <c r="EQ3167" s="5" t="s">
        <v>240</v>
      </c>
      <c r="ER3167" s="5" t="s">
        <v>240</v>
      </c>
      <c r="ES3167" s="5" t="s">
        <v>240</v>
      </c>
      <c r="ET3167" s="5" t="s">
        <v>240</v>
      </c>
      <c r="EU3167" s="5" t="s">
        <v>240</v>
      </c>
      <c r="EV3167" s="5" t="s">
        <v>240</v>
      </c>
      <c r="EW3167" s="5" t="s">
        <v>240</v>
      </c>
      <c r="EX3167" s="5" t="s">
        <v>240</v>
      </c>
      <c r="EY3167" s="5" t="s">
        <v>240</v>
      </c>
      <c r="EZ3167" s="5" t="s">
        <v>240</v>
      </c>
      <c r="FA3167" s="5" t="s">
        <v>240</v>
      </c>
      <c r="FB3167" s="5" t="s">
        <v>240</v>
      </c>
      <c r="FC3167" s="5" t="s">
        <v>240</v>
      </c>
      <c r="FD3167" s="5" t="s">
        <v>240</v>
      </c>
      <c r="FE3167" s="5" t="s">
        <v>240</v>
      </c>
      <c r="FF3167" s="5" t="s">
        <v>240</v>
      </c>
      <c r="FG3167" s="5" t="s">
        <v>240</v>
      </c>
      <c r="FH3167" s="5" t="s">
        <v>240</v>
      </c>
      <c r="FI3167" s="5" t="s">
        <v>240</v>
      </c>
      <c r="FJ3167" s="5" t="s">
        <v>240</v>
      </c>
      <c r="FK3167" s="5" t="s">
        <v>240</v>
      </c>
      <c r="FL3167" s="5" t="s">
        <v>240</v>
      </c>
      <c r="FM3167" s="5" t="s">
        <v>240</v>
      </c>
      <c r="FN3167" s="5" t="s">
        <v>240</v>
      </c>
      <c r="FO3167" s="5" t="s">
        <v>240</v>
      </c>
      <c r="FP3167" s="5" t="s">
        <v>240</v>
      </c>
      <c r="FQ3167" s="5" t="s">
        <v>240</v>
      </c>
      <c r="FR3167" s="5" t="s">
        <v>240</v>
      </c>
      <c r="FS3167" s="5" t="s">
        <v>240</v>
      </c>
      <c r="FT3167" s="5" t="s">
        <v>240</v>
      </c>
      <c r="FU3167" s="5" t="s">
        <v>240</v>
      </c>
      <c r="FV3167" s="5" t="s">
        <v>240</v>
      </c>
      <c r="FW3167" s="5" t="s">
        <v>240</v>
      </c>
      <c r="FX3167" s="5" t="s">
        <v>240</v>
      </c>
      <c r="FY3167" s="5" t="s">
        <v>240</v>
      </c>
      <c r="FZ3167" s="5" t="s">
        <v>240</v>
      </c>
      <c r="GA3167" s="5" t="s">
        <v>240</v>
      </c>
      <c r="GB3167" s="5" t="s">
        <v>240</v>
      </c>
      <c r="GC3167" s="5" t="s">
        <v>240</v>
      </c>
      <c r="GD3167" s="5" t="s">
        <v>240</v>
      </c>
      <c r="GE3167" s="5" t="s">
        <v>240</v>
      </c>
      <c r="GF3167" s="5" t="s">
        <v>240</v>
      </c>
      <c r="GG3167" s="5" t="s">
        <v>240</v>
      </c>
      <c r="GH3167" s="5" t="s">
        <v>240</v>
      </c>
      <c r="GI3167" s="5" t="s">
        <v>240</v>
      </c>
      <c r="GJ3167" s="5" t="s">
        <v>240</v>
      </c>
      <c r="GK3167" s="5" t="s">
        <v>240</v>
      </c>
      <c r="GL3167" s="5" t="s">
        <v>240</v>
      </c>
      <c r="GM3167" s="5" t="s">
        <v>240</v>
      </c>
      <c r="GN3167" s="5" t="s">
        <v>240</v>
      </c>
      <c r="GO3167" s="5" t="s">
        <v>240</v>
      </c>
      <c r="GP3167" s="5" t="s">
        <v>240</v>
      </c>
      <c r="GQ3167" s="5" t="s">
        <v>240</v>
      </c>
      <c r="GR3167" s="5" t="s">
        <v>240</v>
      </c>
      <c r="GS3167" s="5" t="s">
        <v>240</v>
      </c>
      <c r="GT3167" s="5" t="s">
        <v>240</v>
      </c>
      <c r="GU3167" s="5" t="s">
        <v>240</v>
      </c>
      <c r="GV3167" s="5" t="s">
        <v>240</v>
      </c>
      <c r="GW3167" s="5" t="s">
        <v>240</v>
      </c>
      <c r="GX3167" s="5" t="s">
        <v>240</v>
      </c>
      <c r="GY3167" s="5" t="s">
        <v>240</v>
      </c>
      <c r="GZ3167" s="5" t="s">
        <v>240</v>
      </c>
      <c r="HA3167" s="5" t="s">
        <v>240</v>
      </c>
      <c r="HB3167" s="5" t="s">
        <v>240</v>
      </c>
      <c r="HC3167" s="5" t="s">
        <v>240</v>
      </c>
      <c r="HD3167" s="5" t="s">
        <v>240</v>
      </c>
      <c r="HE3167" s="5" t="s">
        <v>240</v>
      </c>
      <c r="HF3167" s="5" t="s">
        <v>240</v>
      </c>
      <c r="HG3167" s="5" t="s">
        <v>240</v>
      </c>
      <c r="HH3167" s="5" t="s">
        <v>240</v>
      </c>
      <c r="HI3167" s="5" t="s">
        <v>240</v>
      </c>
      <c r="HJ3167" s="5" t="s">
        <v>240</v>
      </c>
      <c r="HK3167" s="5" t="s">
        <v>240</v>
      </c>
      <c r="HL3167" s="5" t="s">
        <v>240</v>
      </c>
      <c r="HM3167" s="5" t="s">
        <v>240</v>
      </c>
      <c r="HN3167" s="5" t="s">
        <v>240</v>
      </c>
      <c r="HO3167" s="5" t="s">
        <v>312</v>
      </c>
      <c r="HP3167" s="5" t="s">
        <v>240</v>
      </c>
      <c r="HQ3167" s="5" t="s">
        <v>240</v>
      </c>
      <c r="HR3167" s="5" t="s">
        <v>240</v>
      </c>
      <c r="HS3167" s="5" t="s">
        <v>240</v>
      </c>
      <c r="HT3167" s="5" t="s">
        <v>240</v>
      </c>
      <c r="HU3167" s="5" t="s">
        <v>240</v>
      </c>
      <c r="HV3167" s="5" t="s">
        <v>240</v>
      </c>
      <c r="HW3167" s="5" t="s">
        <v>240</v>
      </c>
      <c r="HX3167" s="5" t="s">
        <v>240</v>
      </c>
      <c r="HY3167" s="5" t="s">
        <v>240</v>
      </c>
      <c r="HZ3167" s="5" t="s">
        <v>240</v>
      </c>
      <c r="IA3167" s="5" t="s">
        <v>240</v>
      </c>
      <c r="IB3167" s="5" t="s">
        <v>240</v>
      </c>
      <c r="IC3167" s="5" t="s">
        <v>240</v>
      </c>
      <c r="ID3167" s="5" t="s">
        <v>240</v>
      </c>
      <c r="IE3167" s="5" t="s">
        <v>240</v>
      </c>
      <c r="IF3167" s="5" t="s">
        <v>240</v>
      </c>
    </row>
    <row r="3168" spans="1:240" x14ac:dyDescent="0.4">
      <c r="A3168" s="5">
        <v>4872</v>
      </c>
      <c r="B3168" s="5">
        <v>1</v>
      </c>
      <c r="C3168" s="5">
        <v>1</v>
      </c>
      <c r="D3168" s="5" t="s">
        <v>810</v>
      </c>
      <c r="E3168" s="5" t="s">
        <v>245</v>
      </c>
      <c r="F3168" s="5" t="s">
        <v>254</v>
      </c>
      <c r="G3168" s="5" t="s">
        <v>240</v>
      </c>
      <c r="H3168" s="6" t="s">
        <v>2211</v>
      </c>
      <c r="I3168" s="5" t="s">
        <v>809</v>
      </c>
      <c r="J3168" s="8">
        <f>444</f>
        <v>444</v>
      </c>
      <c r="K3168" s="5" t="s">
        <v>308</v>
      </c>
      <c r="L3168" s="7">
        <f>1</f>
        <v>1</v>
      </c>
      <c r="M3168" s="7">
        <f>1</f>
        <v>1</v>
      </c>
      <c r="N3168" s="5" t="s">
        <v>242</v>
      </c>
      <c r="O3168" s="5">
        <v>1</v>
      </c>
      <c r="P3168" s="5" t="s">
        <v>294</v>
      </c>
      <c r="Q3168" s="5" t="s">
        <v>3678</v>
      </c>
      <c r="R3168" s="5" t="s">
        <v>240</v>
      </c>
      <c r="S3168" s="5" t="s">
        <v>240</v>
      </c>
      <c r="T3168" s="5" t="s">
        <v>243</v>
      </c>
      <c r="U3168" s="5" t="s">
        <v>244</v>
      </c>
      <c r="V3168" s="5" t="s">
        <v>240</v>
      </c>
      <c r="W3168" s="5" t="s">
        <v>240</v>
      </c>
      <c r="X3168" s="5" t="s">
        <v>240</v>
      </c>
      <c r="Y3168" s="5" t="s">
        <v>240</v>
      </c>
      <c r="Z3168" s="6" t="s">
        <v>298</v>
      </c>
      <c r="AA3168" s="6" t="s">
        <v>240</v>
      </c>
      <c r="AB3168" s="6" t="s">
        <v>240</v>
      </c>
      <c r="AC3168" s="5" t="s">
        <v>240</v>
      </c>
      <c r="AD3168" s="6" t="s">
        <v>240</v>
      </c>
      <c r="AE3168" s="6" t="s">
        <v>299</v>
      </c>
      <c r="AF3168" s="5" t="s">
        <v>248</v>
      </c>
      <c r="AG3168" s="5" t="s">
        <v>249</v>
      </c>
      <c r="AH3168" s="5" t="s">
        <v>240</v>
      </c>
      <c r="AI3168" s="5" t="s">
        <v>240</v>
      </c>
      <c r="AJ3168" s="5" t="s">
        <v>240</v>
      </c>
      <c r="AK3168" s="5" t="s">
        <v>240</v>
      </c>
      <c r="AL3168" s="5" t="s">
        <v>240</v>
      </c>
      <c r="AM3168" s="5" t="s">
        <v>240</v>
      </c>
      <c r="AN3168" s="5" t="s">
        <v>240</v>
      </c>
      <c r="AO3168" s="5" t="s">
        <v>240</v>
      </c>
      <c r="AP3168" s="6" t="s">
        <v>240</v>
      </c>
      <c r="AQ3168" s="6" t="s">
        <v>240</v>
      </c>
      <c r="AR3168" s="6" t="s">
        <v>240</v>
      </c>
      <c r="AS3168" s="6" t="s">
        <v>240</v>
      </c>
      <c r="AT3168" s="5" t="s">
        <v>240</v>
      </c>
      <c r="AU3168" s="5" t="s">
        <v>729</v>
      </c>
      <c r="AV3168" s="5" t="s">
        <v>729</v>
      </c>
      <c r="AW3168" s="5" t="s">
        <v>251</v>
      </c>
      <c r="AX3168" s="5" t="s">
        <v>252</v>
      </c>
      <c r="AY3168" s="5" t="s">
        <v>253</v>
      </c>
      <c r="AZ3168" s="5" t="s">
        <v>240</v>
      </c>
      <c r="BA3168" s="5" t="s">
        <v>255</v>
      </c>
      <c r="BB3168" s="5" t="s">
        <v>731</v>
      </c>
      <c r="BD3168" s="5" t="s">
        <v>240</v>
      </c>
      <c r="BF3168" s="5" t="s">
        <v>732</v>
      </c>
      <c r="BG3168" s="6" t="s">
        <v>733</v>
      </c>
      <c r="BH3168" s="5" t="s">
        <v>734</v>
      </c>
      <c r="BI3168" s="5" t="s">
        <v>734</v>
      </c>
      <c r="BJ3168" s="5" t="s">
        <v>240</v>
      </c>
      <c r="BK3168" s="7">
        <f>1</f>
        <v>1</v>
      </c>
      <c r="BL3168" s="7">
        <f>1</f>
        <v>1</v>
      </c>
      <c r="BM3168" s="5" t="s">
        <v>258</v>
      </c>
      <c r="BN3168" s="5" t="s">
        <v>259</v>
      </c>
      <c r="BO3168" s="5" t="s">
        <v>240</v>
      </c>
      <c r="BP3168" s="5" t="s">
        <v>240</v>
      </c>
      <c r="BQ3168" s="5" t="s">
        <v>240</v>
      </c>
      <c r="BR3168" s="5" t="s">
        <v>240</v>
      </c>
      <c r="BS3168" s="5" t="s">
        <v>240</v>
      </c>
      <c r="BT3168" s="5" t="s">
        <v>240</v>
      </c>
      <c r="BU3168" s="5" t="s">
        <v>240</v>
      </c>
      <c r="BV3168" s="5" t="s">
        <v>240</v>
      </c>
      <c r="BW3168" s="6" t="s">
        <v>240</v>
      </c>
      <c r="BX3168" s="5" t="s">
        <v>240</v>
      </c>
      <c r="BY3168" s="5" t="s">
        <v>240</v>
      </c>
      <c r="BZ3168" s="5" t="s">
        <v>240</v>
      </c>
      <c r="CA3168" s="5" t="s">
        <v>259</v>
      </c>
      <c r="CB3168" s="5" t="s">
        <v>240</v>
      </c>
      <c r="CC3168" s="5" t="s">
        <v>240</v>
      </c>
      <c r="CD3168" s="5" t="s">
        <v>240</v>
      </c>
      <c r="CE3168" s="5" t="s">
        <v>240</v>
      </c>
      <c r="CF3168" s="5" t="s">
        <v>240</v>
      </c>
      <c r="CG3168" s="5" t="s">
        <v>304</v>
      </c>
      <c r="CH3168" s="5" t="s">
        <v>305</v>
      </c>
      <c r="CI3168" s="5" t="s">
        <v>240</v>
      </c>
      <c r="CK3168" s="5" t="s">
        <v>3681</v>
      </c>
      <c r="CL3168" s="6" t="s">
        <v>261</v>
      </c>
      <c r="CM3168" s="5" t="s">
        <v>262</v>
      </c>
      <c r="CN3168" s="5" t="s">
        <v>263</v>
      </c>
      <c r="CO3168" s="5" t="s">
        <v>264</v>
      </c>
      <c r="CP3168" s="5" t="s">
        <v>240</v>
      </c>
      <c r="CQ3168" s="5">
        <v>0</v>
      </c>
      <c r="CR3168" s="5" t="s">
        <v>735</v>
      </c>
      <c r="CS3168" s="5" t="s">
        <v>307</v>
      </c>
      <c r="CT3168" s="5" t="s">
        <v>307</v>
      </c>
      <c r="CU3168" s="5" t="s">
        <v>260</v>
      </c>
      <c r="CV3168" s="5" t="s">
        <v>612</v>
      </c>
      <c r="CW3168" s="8">
        <f>1</f>
        <v>1</v>
      </c>
      <c r="CX3168" s="7">
        <f>1</f>
        <v>1</v>
      </c>
      <c r="CY3168" s="7">
        <f>0</f>
        <v>0</v>
      </c>
      <c r="DA3168" s="7">
        <f>1</f>
        <v>1</v>
      </c>
      <c r="DB3168" s="7" t="s">
        <v>240</v>
      </c>
      <c r="DC3168" s="5" t="s">
        <v>240</v>
      </c>
      <c r="DD3168" s="5" t="s">
        <v>240</v>
      </c>
      <c r="DE3168" s="5" t="s">
        <v>240</v>
      </c>
      <c r="DF3168" s="5" t="s">
        <v>240</v>
      </c>
      <c r="DG3168" s="7">
        <f>0</f>
        <v>0</v>
      </c>
      <c r="DI3168" s="5" t="s">
        <v>240</v>
      </c>
      <c r="DJ3168" s="5" t="s">
        <v>240</v>
      </c>
      <c r="DK3168" s="5" t="s">
        <v>240</v>
      </c>
      <c r="DL3168" s="5" t="s">
        <v>240</v>
      </c>
      <c r="DM3168" s="5" t="s">
        <v>240</v>
      </c>
      <c r="DN3168" s="5" t="s">
        <v>240</v>
      </c>
      <c r="DO3168" s="7" t="s">
        <v>240</v>
      </c>
      <c r="DP3168" s="5" t="s">
        <v>240</v>
      </c>
      <c r="DQ3168" s="5" t="s">
        <v>240</v>
      </c>
      <c r="DR3168" s="5" t="s">
        <v>731</v>
      </c>
      <c r="DS3168" s="5" t="s">
        <v>731</v>
      </c>
      <c r="DT3168" s="5" t="s">
        <v>240</v>
      </c>
      <c r="DU3168" s="5" t="s">
        <v>240</v>
      </c>
      <c r="DV3168" s="5" t="s">
        <v>3683</v>
      </c>
      <c r="DW3168" s="5" t="s">
        <v>662</v>
      </c>
      <c r="DX3168" s="5" t="s">
        <v>240</v>
      </c>
      <c r="DY3168" s="5" t="s">
        <v>240</v>
      </c>
      <c r="DZ3168" s="5" t="s">
        <v>240</v>
      </c>
      <c r="EA3168" s="5" t="s">
        <v>240</v>
      </c>
      <c r="EB3168" s="5" t="s">
        <v>240</v>
      </c>
      <c r="EC3168" s="5" t="s">
        <v>240</v>
      </c>
      <c r="ED3168" s="5" t="s">
        <v>240</v>
      </c>
      <c r="EE3168" s="5" t="s">
        <v>240</v>
      </c>
      <c r="EF3168" s="5" t="s">
        <v>240</v>
      </c>
      <c r="EG3168" s="5" t="s">
        <v>240</v>
      </c>
      <c r="EH3168" s="5" t="s">
        <v>240</v>
      </c>
      <c r="EI3168" s="5" t="s">
        <v>240</v>
      </c>
      <c r="EJ3168" s="5" t="s">
        <v>240</v>
      </c>
      <c r="EK3168" s="5" t="s">
        <v>240</v>
      </c>
      <c r="EL3168" s="5" t="s">
        <v>240</v>
      </c>
      <c r="EM3168" s="5" t="s">
        <v>240</v>
      </c>
      <c r="EN3168" s="5" t="s">
        <v>240</v>
      </c>
      <c r="EO3168" s="5" t="s">
        <v>240</v>
      </c>
      <c r="EP3168" s="5" t="s">
        <v>240</v>
      </c>
      <c r="EQ3168" s="5" t="s">
        <v>240</v>
      </c>
      <c r="ER3168" s="5" t="s">
        <v>240</v>
      </c>
      <c r="ES3168" s="5" t="s">
        <v>240</v>
      </c>
      <c r="ET3168" s="5" t="s">
        <v>240</v>
      </c>
      <c r="EU3168" s="5" t="s">
        <v>240</v>
      </c>
      <c r="EV3168" s="5" t="s">
        <v>240</v>
      </c>
      <c r="EW3168" s="5" t="s">
        <v>240</v>
      </c>
      <c r="EX3168" s="5" t="s">
        <v>240</v>
      </c>
      <c r="EY3168" s="5" t="s">
        <v>240</v>
      </c>
      <c r="EZ3168" s="5" t="s">
        <v>240</v>
      </c>
      <c r="FA3168" s="5" t="s">
        <v>240</v>
      </c>
      <c r="FB3168" s="5" t="s">
        <v>240</v>
      </c>
      <c r="FC3168" s="5" t="s">
        <v>240</v>
      </c>
      <c r="FD3168" s="5" t="s">
        <v>240</v>
      </c>
      <c r="FE3168" s="5" t="s">
        <v>240</v>
      </c>
      <c r="FF3168" s="5" t="s">
        <v>240</v>
      </c>
      <c r="FG3168" s="5" t="s">
        <v>240</v>
      </c>
      <c r="FH3168" s="5" t="s">
        <v>240</v>
      </c>
      <c r="FI3168" s="5" t="s">
        <v>240</v>
      </c>
      <c r="FJ3168" s="5" t="s">
        <v>240</v>
      </c>
      <c r="FK3168" s="5" t="s">
        <v>240</v>
      </c>
      <c r="FL3168" s="5" t="s">
        <v>240</v>
      </c>
      <c r="FM3168" s="5" t="s">
        <v>240</v>
      </c>
      <c r="FN3168" s="5" t="s">
        <v>240</v>
      </c>
      <c r="FO3168" s="5" t="s">
        <v>240</v>
      </c>
      <c r="FP3168" s="5" t="s">
        <v>240</v>
      </c>
      <c r="FQ3168" s="5" t="s">
        <v>240</v>
      </c>
      <c r="FR3168" s="5" t="s">
        <v>240</v>
      </c>
      <c r="FS3168" s="5" t="s">
        <v>240</v>
      </c>
      <c r="FT3168" s="5" t="s">
        <v>240</v>
      </c>
      <c r="FU3168" s="5" t="s">
        <v>240</v>
      </c>
      <c r="FV3168" s="5" t="s">
        <v>240</v>
      </c>
      <c r="FW3168" s="5" t="s">
        <v>240</v>
      </c>
      <c r="FX3168" s="5" t="s">
        <v>240</v>
      </c>
      <c r="FY3168" s="5" t="s">
        <v>240</v>
      </c>
      <c r="FZ3168" s="5" t="s">
        <v>240</v>
      </c>
      <c r="GA3168" s="5" t="s">
        <v>240</v>
      </c>
      <c r="GB3168" s="5" t="s">
        <v>240</v>
      </c>
      <c r="GC3168" s="5" t="s">
        <v>240</v>
      </c>
      <c r="GD3168" s="5" t="s">
        <v>240</v>
      </c>
      <c r="GE3168" s="5" t="s">
        <v>240</v>
      </c>
      <c r="GF3168" s="5" t="s">
        <v>240</v>
      </c>
      <c r="GG3168" s="5" t="s">
        <v>240</v>
      </c>
      <c r="GH3168" s="5" t="s">
        <v>240</v>
      </c>
      <c r="GI3168" s="5" t="s">
        <v>240</v>
      </c>
      <c r="GJ3168" s="5" t="s">
        <v>240</v>
      </c>
      <c r="GK3168" s="5" t="s">
        <v>240</v>
      </c>
      <c r="GL3168" s="5" t="s">
        <v>240</v>
      </c>
      <c r="GM3168" s="5" t="s">
        <v>240</v>
      </c>
      <c r="GN3168" s="5" t="s">
        <v>240</v>
      </c>
      <c r="GO3168" s="5" t="s">
        <v>240</v>
      </c>
      <c r="GP3168" s="5" t="s">
        <v>240</v>
      </c>
      <c r="GQ3168" s="5" t="s">
        <v>240</v>
      </c>
      <c r="GR3168" s="5" t="s">
        <v>240</v>
      </c>
      <c r="GS3168" s="5" t="s">
        <v>240</v>
      </c>
      <c r="GT3168" s="5" t="s">
        <v>240</v>
      </c>
      <c r="GU3168" s="5" t="s">
        <v>240</v>
      </c>
      <c r="GV3168" s="5" t="s">
        <v>240</v>
      </c>
      <c r="GW3168" s="5" t="s">
        <v>240</v>
      </c>
      <c r="GX3168" s="5" t="s">
        <v>240</v>
      </c>
      <c r="GY3168" s="5" t="s">
        <v>240</v>
      </c>
      <c r="GZ3168" s="5" t="s">
        <v>240</v>
      </c>
      <c r="HA3168" s="5" t="s">
        <v>240</v>
      </c>
      <c r="HB3168" s="5" t="s">
        <v>240</v>
      </c>
      <c r="HC3168" s="5" t="s">
        <v>240</v>
      </c>
      <c r="HD3168" s="5" t="s">
        <v>240</v>
      </c>
      <c r="HE3168" s="5" t="s">
        <v>240</v>
      </c>
      <c r="HF3168" s="5" t="s">
        <v>240</v>
      </c>
      <c r="HG3168" s="5" t="s">
        <v>240</v>
      </c>
      <c r="HH3168" s="5" t="s">
        <v>240</v>
      </c>
      <c r="HI3168" s="5" t="s">
        <v>240</v>
      </c>
      <c r="HJ3168" s="5" t="s">
        <v>240</v>
      </c>
      <c r="HK3168" s="5" t="s">
        <v>240</v>
      </c>
      <c r="HL3168" s="5" t="s">
        <v>240</v>
      </c>
      <c r="HM3168" s="5" t="s">
        <v>240</v>
      </c>
      <c r="HN3168" s="5" t="s">
        <v>240</v>
      </c>
      <c r="HO3168" s="5" t="s">
        <v>312</v>
      </c>
      <c r="HP3168" s="5" t="s">
        <v>240</v>
      </c>
      <c r="HQ3168" s="5" t="s">
        <v>240</v>
      </c>
      <c r="HR3168" s="5" t="s">
        <v>240</v>
      </c>
      <c r="HS3168" s="5" t="s">
        <v>240</v>
      </c>
      <c r="HT3168" s="5" t="s">
        <v>240</v>
      </c>
      <c r="HU3168" s="5" t="s">
        <v>240</v>
      </c>
      <c r="HV3168" s="5" t="s">
        <v>240</v>
      </c>
      <c r="HW3168" s="5" t="s">
        <v>240</v>
      </c>
      <c r="HX3168" s="5" t="s">
        <v>240</v>
      </c>
      <c r="HY3168" s="5" t="s">
        <v>240</v>
      </c>
      <c r="HZ3168" s="5" t="s">
        <v>240</v>
      </c>
      <c r="IA3168" s="5" t="s">
        <v>240</v>
      </c>
      <c r="IB3168" s="5" t="s">
        <v>240</v>
      </c>
      <c r="IC3168" s="5" t="s">
        <v>240</v>
      </c>
      <c r="ID3168" s="5" t="s">
        <v>240</v>
      </c>
      <c r="IE3168" s="5" t="s">
        <v>240</v>
      </c>
      <c r="IF3168" s="5" t="s">
        <v>240</v>
      </c>
    </row>
    <row r="3169" spans="1:240" x14ac:dyDescent="0.4">
      <c r="A3169" s="5">
        <v>4873</v>
      </c>
      <c r="B3169" s="5">
        <v>1</v>
      </c>
      <c r="C3169" s="5">
        <v>1</v>
      </c>
      <c r="D3169" s="5" t="s">
        <v>810</v>
      </c>
      <c r="E3169" s="5" t="s">
        <v>245</v>
      </c>
      <c r="F3169" s="5" t="s">
        <v>254</v>
      </c>
      <c r="G3169" s="5" t="s">
        <v>240</v>
      </c>
      <c r="H3169" s="6" t="s">
        <v>2208</v>
      </c>
      <c r="I3169" s="5" t="s">
        <v>809</v>
      </c>
      <c r="J3169" s="8">
        <f>482</f>
        <v>482</v>
      </c>
      <c r="K3169" s="5" t="s">
        <v>308</v>
      </c>
      <c r="L3169" s="7">
        <f>1</f>
        <v>1</v>
      </c>
      <c r="M3169" s="7">
        <f>1</f>
        <v>1</v>
      </c>
      <c r="N3169" s="5" t="s">
        <v>242</v>
      </c>
      <c r="O3169" s="5">
        <v>1</v>
      </c>
      <c r="P3169" s="5" t="s">
        <v>294</v>
      </c>
      <c r="Q3169" s="5" t="s">
        <v>3678</v>
      </c>
      <c r="R3169" s="5" t="s">
        <v>240</v>
      </c>
      <c r="S3169" s="5" t="s">
        <v>240</v>
      </c>
      <c r="T3169" s="5" t="s">
        <v>243</v>
      </c>
      <c r="U3169" s="5" t="s">
        <v>244</v>
      </c>
      <c r="V3169" s="5" t="s">
        <v>240</v>
      </c>
      <c r="W3169" s="5" t="s">
        <v>240</v>
      </c>
      <c r="X3169" s="5" t="s">
        <v>240</v>
      </c>
      <c r="Y3169" s="5" t="s">
        <v>240</v>
      </c>
      <c r="Z3169" s="6" t="s">
        <v>298</v>
      </c>
      <c r="AA3169" s="6" t="s">
        <v>240</v>
      </c>
      <c r="AB3169" s="6" t="s">
        <v>240</v>
      </c>
      <c r="AC3169" s="5" t="s">
        <v>240</v>
      </c>
      <c r="AD3169" s="6" t="s">
        <v>240</v>
      </c>
      <c r="AE3169" s="6" t="s">
        <v>299</v>
      </c>
      <c r="AF3169" s="5" t="s">
        <v>248</v>
      </c>
      <c r="AG3169" s="5" t="s">
        <v>249</v>
      </c>
      <c r="AH3169" s="5" t="s">
        <v>240</v>
      </c>
      <c r="AI3169" s="5" t="s">
        <v>240</v>
      </c>
      <c r="AJ3169" s="5" t="s">
        <v>240</v>
      </c>
      <c r="AK3169" s="5" t="s">
        <v>240</v>
      </c>
      <c r="AL3169" s="5" t="s">
        <v>240</v>
      </c>
      <c r="AM3169" s="5" t="s">
        <v>240</v>
      </c>
      <c r="AN3169" s="5" t="s">
        <v>240</v>
      </c>
      <c r="AO3169" s="5" t="s">
        <v>240</v>
      </c>
      <c r="AP3169" s="6" t="s">
        <v>240</v>
      </c>
      <c r="AQ3169" s="6" t="s">
        <v>240</v>
      </c>
      <c r="AR3169" s="6" t="s">
        <v>240</v>
      </c>
      <c r="AS3169" s="6" t="s">
        <v>240</v>
      </c>
      <c r="AT3169" s="5" t="s">
        <v>240</v>
      </c>
      <c r="AU3169" s="5" t="s">
        <v>729</v>
      </c>
      <c r="AV3169" s="5" t="s">
        <v>729</v>
      </c>
      <c r="AW3169" s="5" t="s">
        <v>251</v>
      </c>
      <c r="AX3169" s="5" t="s">
        <v>252</v>
      </c>
      <c r="AY3169" s="5" t="s">
        <v>253</v>
      </c>
      <c r="AZ3169" s="5" t="s">
        <v>240</v>
      </c>
      <c r="BA3169" s="5" t="s">
        <v>255</v>
      </c>
      <c r="BB3169" s="5" t="s">
        <v>731</v>
      </c>
      <c r="BD3169" s="5" t="s">
        <v>240</v>
      </c>
      <c r="BF3169" s="5" t="s">
        <v>732</v>
      </c>
      <c r="BG3169" s="6" t="s">
        <v>733</v>
      </c>
      <c r="BH3169" s="5" t="s">
        <v>734</v>
      </c>
      <c r="BI3169" s="5" t="s">
        <v>734</v>
      </c>
      <c r="BJ3169" s="5" t="s">
        <v>240</v>
      </c>
      <c r="BK3169" s="7">
        <f>1</f>
        <v>1</v>
      </c>
      <c r="BL3169" s="7">
        <f>1</f>
        <v>1</v>
      </c>
      <c r="BM3169" s="5" t="s">
        <v>258</v>
      </c>
      <c r="BN3169" s="5" t="s">
        <v>259</v>
      </c>
      <c r="BO3169" s="5" t="s">
        <v>240</v>
      </c>
      <c r="BP3169" s="5" t="s">
        <v>240</v>
      </c>
      <c r="BQ3169" s="5" t="s">
        <v>240</v>
      </c>
      <c r="BR3169" s="5" t="s">
        <v>240</v>
      </c>
      <c r="BS3169" s="5" t="s">
        <v>240</v>
      </c>
      <c r="BT3169" s="5" t="s">
        <v>240</v>
      </c>
      <c r="BU3169" s="5" t="s">
        <v>240</v>
      </c>
      <c r="BV3169" s="5" t="s">
        <v>240</v>
      </c>
      <c r="BW3169" s="6" t="s">
        <v>240</v>
      </c>
      <c r="BX3169" s="5" t="s">
        <v>240</v>
      </c>
      <c r="BY3169" s="5" t="s">
        <v>240</v>
      </c>
      <c r="BZ3169" s="5" t="s">
        <v>240</v>
      </c>
      <c r="CA3169" s="5" t="s">
        <v>259</v>
      </c>
      <c r="CB3169" s="5" t="s">
        <v>240</v>
      </c>
      <c r="CC3169" s="5" t="s">
        <v>240</v>
      </c>
      <c r="CD3169" s="5" t="s">
        <v>240</v>
      </c>
      <c r="CE3169" s="5" t="s">
        <v>240</v>
      </c>
      <c r="CF3169" s="5" t="s">
        <v>240</v>
      </c>
      <c r="CG3169" s="5" t="s">
        <v>304</v>
      </c>
      <c r="CH3169" s="5" t="s">
        <v>305</v>
      </c>
      <c r="CI3169" s="5" t="s">
        <v>240</v>
      </c>
      <c r="CK3169" s="5" t="s">
        <v>3681</v>
      </c>
      <c r="CL3169" s="6" t="s">
        <v>261</v>
      </c>
      <c r="CM3169" s="5" t="s">
        <v>262</v>
      </c>
      <c r="CN3169" s="5" t="s">
        <v>263</v>
      </c>
      <c r="CO3169" s="5" t="s">
        <v>264</v>
      </c>
      <c r="CP3169" s="5" t="s">
        <v>240</v>
      </c>
      <c r="CQ3169" s="5">
        <v>0</v>
      </c>
      <c r="CR3169" s="5" t="s">
        <v>735</v>
      </c>
      <c r="CS3169" s="5" t="s">
        <v>307</v>
      </c>
      <c r="CT3169" s="5" t="s">
        <v>307</v>
      </c>
      <c r="CU3169" s="5" t="s">
        <v>260</v>
      </c>
      <c r="CV3169" s="5" t="s">
        <v>612</v>
      </c>
      <c r="CW3169" s="8">
        <f>1</f>
        <v>1</v>
      </c>
      <c r="CX3169" s="7">
        <f>1</f>
        <v>1</v>
      </c>
      <c r="CY3169" s="7">
        <f>0</f>
        <v>0</v>
      </c>
      <c r="DA3169" s="7">
        <f>1</f>
        <v>1</v>
      </c>
      <c r="DB3169" s="7" t="s">
        <v>240</v>
      </c>
      <c r="DC3169" s="5" t="s">
        <v>240</v>
      </c>
      <c r="DD3169" s="5" t="s">
        <v>240</v>
      </c>
      <c r="DE3169" s="5" t="s">
        <v>240</v>
      </c>
      <c r="DF3169" s="5" t="s">
        <v>240</v>
      </c>
      <c r="DG3169" s="7">
        <f>0</f>
        <v>0</v>
      </c>
      <c r="DI3169" s="5" t="s">
        <v>240</v>
      </c>
      <c r="DJ3169" s="5" t="s">
        <v>240</v>
      </c>
      <c r="DK3169" s="5" t="s">
        <v>240</v>
      </c>
      <c r="DL3169" s="5" t="s">
        <v>240</v>
      </c>
      <c r="DM3169" s="5" t="s">
        <v>240</v>
      </c>
      <c r="DN3169" s="5" t="s">
        <v>240</v>
      </c>
      <c r="DO3169" s="7" t="s">
        <v>240</v>
      </c>
      <c r="DP3169" s="5" t="s">
        <v>240</v>
      </c>
      <c r="DQ3169" s="5" t="s">
        <v>240</v>
      </c>
      <c r="DR3169" s="5" t="s">
        <v>731</v>
      </c>
      <c r="DS3169" s="5" t="s">
        <v>731</v>
      </c>
      <c r="DT3169" s="5" t="s">
        <v>240</v>
      </c>
      <c r="DU3169" s="5" t="s">
        <v>240</v>
      </c>
      <c r="DV3169" s="5" t="s">
        <v>3683</v>
      </c>
      <c r="DW3169" s="5" t="s">
        <v>316</v>
      </c>
      <c r="DX3169" s="5" t="s">
        <v>240</v>
      </c>
      <c r="DY3169" s="5" t="s">
        <v>240</v>
      </c>
      <c r="DZ3169" s="5" t="s">
        <v>240</v>
      </c>
      <c r="EA3169" s="5" t="s">
        <v>240</v>
      </c>
      <c r="EB3169" s="5" t="s">
        <v>240</v>
      </c>
      <c r="EC3169" s="5" t="s">
        <v>240</v>
      </c>
      <c r="ED3169" s="5" t="s">
        <v>240</v>
      </c>
      <c r="EE3169" s="5" t="s">
        <v>240</v>
      </c>
      <c r="EF3169" s="5" t="s">
        <v>240</v>
      </c>
      <c r="EG3169" s="5" t="s">
        <v>240</v>
      </c>
      <c r="EH3169" s="5" t="s">
        <v>240</v>
      </c>
      <c r="EI3169" s="5" t="s">
        <v>240</v>
      </c>
      <c r="EJ3169" s="5" t="s">
        <v>240</v>
      </c>
      <c r="EK3169" s="5" t="s">
        <v>240</v>
      </c>
      <c r="EL3169" s="5" t="s">
        <v>240</v>
      </c>
      <c r="EM3169" s="5" t="s">
        <v>240</v>
      </c>
      <c r="EN3169" s="5" t="s">
        <v>240</v>
      </c>
      <c r="EO3169" s="5" t="s">
        <v>240</v>
      </c>
      <c r="EP3169" s="5" t="s">
        <v>240</v>
      </c>
      <c r="EQ3169" s="5" t="s">
        <v>240</v>
      </c>
      <c r="ER3169" s="5" t="s">
        <v>240</v>
      </c>
      <c r="ES3169" s="5" t="s">
        <v>240</v>
      </c>
      <c r="ET3169" s="5" t="s">
        <v>240</v>
      </c>
      <c r="EU3169" s="5" t="s">
        <v>240</v>
      </c>
      <c r="EV3169" s="5" t="s">
        <v>240</v>
      </c>
      <c r="EW3169" s="5" t="s">
        <v>240</v>
      </c>
      <c r="EX3169" s="5" t="s">
        <v>240</v>
      </c>
      <c r="EY3169" s="5" t="s">
        <v>240</v>
      </c>
      <c r="EZ3169" s="5" t="s">
        <v>240</v>
      </c>
      <c r="FA3169" s="5" t="s">
        <v>240</v>
      </c>
      <c r="FB3169" s="5" t="s">
        <v>240</v>
      </c>
      <c r="FC3169" s="5" t="s">
        <v>240</v>
      </c>
      <c r="FD3169" s="5" t="s">
        <v>240</v>
      </c>
      <c r="FE3169" s="5" t="s">
        <v>240</v>
      </c>
      <c r="FF3169" s="5" t="s">
        <v>240</v>
      </c>
      <c r="FG3169" s="5" t="s">
        <v>240</v>
      </c>
      <c r="FH3169" s="5" t="s">
        <v>240</v>
      </c>
      <c r="FI3169" s="5" t="s">
        <v>240</v>
      </c>
      <c r="FJ3169" s="5" t="s">
        <v>240</v>
      </c>
      <c r="FK3169" s="5" t="s">
        <v>240</v>
      </c>
      <c r="FL3169" s="5" t="s">
        <v>240</v>
      </c>
      <c r="FM3169" s="5" t="s">
        <v>240</v>
      </c>
      <c r="FN3169" s="5" t="s">
        <v>240</v>
      </c>
      <c r="FO3169" s="5" t="s">
        <v>240</v>
      </c>
      <c r="FP3169" s="5" t="s">
        <v>240</v>
      </c>
      <c r="FQ3169" s="5" t="s">
        <v>240</v>
      </c>
      <c r="FR3169" s="5" t="s">
        <v>240</v>
      </c>
      <c r="FS3169" s="5" t="s">
        <v>240</v>
      </c>
      <c r="FT3169" s="5" t="s">
        <v>240</v>
      </c>
      <c r="FU3169" s="5" t="s">
        <v>240</v>
      </c>
      <c r="FV3169" s="5" t="s">
        <v>240</v>
      </c>
      <c r="FW3169" s="5" t="s">
        <v>240</v>
      </c>
      <c r="FX3169" s="5" t="s">
        <v>240</v>
      </c>
      <c r="FY3169" s="5" t="s">
        <v>240</v>
      </c>
      <c r="FZ3169" s="5" t="s">
        <v>240</v>
      </c>
      <c r="GA3169" s="5" t="s">
        <v>240</v>
      </c>
      <c r="GB3169" s="5" t="s">
        <v>240</v>
      </c>
      <c r="GC3169" s="5" t="s">
        <v>240</v>
      </c>
      <c r="GD3169" s="5" t="s">
        <v>240</v>
      </c>
      <c r="GE3169" s="5" t="s">
        <v>240</v>
      </c>
      <c r="GF3169" s="5" t="s">
        <v>240</v>
      </c>
      <c r="GG3169" s="5" t="s">
        <v>240</v>
      </c>
      <c r="GH3169" s="5" t="s">
        <v>240</v>
      </c>
      <c r="GI3169" s="5" t="s">
        <v>240</v>
      </c>
      <c r="GJ3169" s="5" t="s">
        <v>240</v>
      </c>
      <c r="GK3169" s="5" t="s">
        <v>240</v>
      </c>
      <c r="GL3169" s="5" t="s">
        <v>240</v>
      </c>
      <c r="GM3169" s="5" t="s">
        <v>240</v>
      </c>
      <c r="GN3169" s="5" t="s">
        <v>240</v>
      </c>
      <c r="GO3169" s="5" t="s">
        <v>240</v>
      </c>
      <c r="GP3169" s="5" t="s">
        <v>240</v>
      </c>
      <c r="GQ3169" s="5" t="s">
        <v>240</v>
      </c>
      <c r="GR3169" s="5" t="s">
        <v>240</v>
      </c>
      <c r="GS3169" s="5" t="s">
        <v>240</v>
      </c>
      <c r="GT3169" s="5" t="s">
        <v>240</v>
      </c>
      <c r="GU3169" s="5" t="s">
        <v>240</v>
      </c>
      <c r="GV3169" s="5" t="s">
        <v>240</v>
      </c>
      <c r="GW3169" s="5" t="s">
        <v>240</v>
      </c>
      <c r="GX3169" s="5" t="s">
        <v>240</v>
      </c>
      <c r="GY3169" s="5" t="s">
        <v>240</v>
      </c>
      <c r="GZ3169" s="5" t="s">
        <v>240</v>
      </c>
      <c r="HA3169" s="5" t="s">
        <v>240</v>
      </c>
      <c r="HB3169" s="5" t="s">
        <v>240</v>
      </c>
      <c r="HC3169" s="5" t="s">
        <v>240</v>
      </c>
      <c r="HD3169" s="5" t="s">
        <v>240</v>
      </c>
      <c r="HE3169" s="5" t="s">
        <v>240</v>
      </c>
      <c r="HF3169" s="5" t="s">
        <v>240</v>
      </c>
      <c r="HG3169" s="5" t="s">
        <v>240</v>
      </c>
      <c r="HH3169" s="5" t="s">
        <v>240</v>
      </c>
      <c r="HI3169" s="5" t="s">
        <v>240</v>
      </c>
      <c r="HJ3169" s="5" t="s">
        <v>240</v>
      </c>
      <c r="HK3169" s="5" t="s">
        <v>240</v>
      </c>
      <c r="HL3169" s="5" t="s">
        <v>240</v>
      </c>
      <c r="HM3169" s="5" t="s">
        <v>240</v>
      </c>
      <c r="HN3169" s="5" t="s">
        <v>240</v>
      </c>
      <c r="HO3169" s="5" t="s">
        <v>312</v>
      </c>
      <c r="HP3169" s="5" t="s">
        <v>240</v>
      </c>
      <c r="HQ3169" s="5" t="s">
        <v>240</v>
      </c>
      <c r="HR3169" s="5" t="s">
        <v>240</v>
      </c>
      <c r="HS3169" s="5" t="s">
        <v>240</v>
      </c>
      <c r="HT3169" s="5" t="s">
        <v>240</v>
      </c>
      <c r="HU3169" s="5" t="s">
        <v>240</v>
      </c>
      <c r="HV3169" s="5" t="s">
        <v>240</v>
      </c>
      <c r="HW3169" s="5" t="s">
        <v>240</v>
      </c>
      <c r="HX3169" s="5" t="s">
        <v>240</v>
      </c>
      <c r="HY3169" s="5" t="s">
        <v>240</v>
      </c>
      <c r="HZ3169" s="5" t="s">
        <v>240</v>
      </c>
      <c r="IA3169" s="5" t="s">
        <v>240</v>
      </c>
      <c r="IB3169" s="5" t="s">
        <v>240</v>
      </c>
      <c r="IC3169" s="5" t="s">
        <v>240</v>
      </c>
      <c r="ID3169" s="5" t="s">
        <v>240</v>
      </c>
      <c r="IE3169" s="5" t="s">
        <v>240</v>
      </c>
      <c r="IF3169" s="5" t="s">
        <v>240</v>
      </c>
    </row>
    <row r="3170" spans="1:240" x14ac:dyDescent="0.4">
      <c r="A3170" s="5">
        <v>4874</v>
      </c>
      <c r="B3170" s="5">
        <v>1</v>
      </c>
      <c r="C3170" s="5">
        <v>1</v>
      </c>
      <c r="D3170" s="5" t="s">
        <v>810</v>
      </c>
      <c r="E3170" s="5" t="s">
        <v>245</v>
      </c>
      <c r="F3170" s="5" t="s">
        <v>254</v>
      </c>
      <c r="G3170" s="5" t="s">
        <v>240</v>
      </c>
      <c r="H3170" s="6" t="s">
        <v>4617</v>
      </c>
      <c r="I3170" s="5" t="s">
        <v>809</v>
      </c>
      <c r="J3170" s="8">
        <f>98</f>
        <v>98</v>
      </c>
      <c r="K3170" s="5" t="s">
        <v>308</v>
      </c>
      <c r="L3170" s="7">
        <f>1</f>
        <v>1</v>
      </c>
      <c r="M3170" s="7">
        <f>1</f>
        <v>1</v>
      </c>
      <c r="N3170" s="5" t="s">
        <v>242</v>
      </c>
      <c r="O3170" s="5">
        <v>1</v>
      </c>
      <c r="P3170" s="5" t="s">
        <v>294</v>
      </c>
      <c r="Q3170" s="5" t="s">
        <v>3678</v>
      </c>
      <c r="R3170" s="5" t="s">
        <v>240</v>
      </c>
      <c r="S3170" s="5" t="s">
        <v>240</v>
      </c>
      <c r="T3170" s="5" t="s">
        <v>243</v>
      </c>
      <c r="U3170" s="5" t="s">
        <v>244</v>
      </c>
      <c r="V3170" s="5" t="s">
        <v>240</v>
      </c>
      <c r="W3170" s="5" t="s">
        <v>240</v>
      </c>
      <c r="X3170" s="5" t="s">
        <v>240</v>
      </c>
      <c r="Y3170" s="5" t="s">
        <v>240</v>
      </c>
      <c r="Z3170" s="6" t="s">
        <v>298</v>
      </c>
      <c r="AA3170" s="6" t="s">
        <v>240</v>
      </c>
      <c r="AB3170" s="6" t="s">
        <v>240</v>
      </c>
      <c r="AC3170" s="5" t="s">
        <v>240</v>
      </c>
      <c r="AD3170" s="6" t="s">
        <v>240</v>
      </c>
      <c r="AE3170" s="6" t="s">
        <v>299</v>
      </c>
      <c r="AF3170" s="5" t="s">
        <v>248</v>
      </c>
      <c r="AG3170" s="5" t="s">
        <v>249</v>
      </c>
      <c r="AH3170" s="5" t="s">
        <v>240</v>
      </c>
      <c r="AI3170" s="5" t="s">
        <v>240</v>
      </c>
      <c r="AJ3170" s="5" t="s">
        <v>240</v>
      </c>
      <c r="AK3170" s="5" t="s">
        <v>240</v>
      </c>
      <c r="AL3170" s="5" t="s">
        <v>240</v>
      </c>
      <c r="AM3170" s="5" t="s">
        <v>240</v>
      </c>
      <c r="AN3170" s="5" t="s">
        <v>240</v>
      </c>
      <c r="AO3170" s="5" t="s">
        <v>240</v>
      </c>
      <c r="AP3170" s="6" t="s">
        <v>240</v>
      </c>
      <c r="AQ3170" s="6" t="s">
        <v>240</v>
      </c>
      <c r="AR3170" s="6" t="s">
        <v>240</v>
      </c>
      <c r="AS3170" s="6" t="s">
        <v>240</v>
      </c>
      <c r="AT3170" s="5" t="s">
        <v>240</v>
      </c>
      <c r="AU3170" s="5" t="s">
        <v>729</v>
      </c>
      <c r="AV3170" s="5" t="s">
        <v>729</v>
      </c>
      <c r="AW3170" s="5" t="s">
        <v>251</v>
      </c>
      <c r="AX3170" s="5" t="s">
        <v>252</v>
      </c>
      <c r="AY3170" s="5" t="s">
        <v>253</v>
      </c>
      <c r="AZ3170" s="5" t="s">
        <v>240</v>
      </c>
      <c r="BA3170" s="5" t="s">
        <v>255</v>
      </c>
      <c r="BB3170" s="5" t="s">
        <v>731</v>
      </c>
      <c r="BD3170" s="5" t="s">
        <v>240</v>
      </c>
      <c r="BF3170" s="5" t="s">
        <v>732</v>
      </c>
      <c r="BG3170" s="6" t="s">
        <v>733</v>
      </c>
      <c r="BH3170" s="5" t="s">
        <v>734</v>
      </c>
      <c r="BI3170" s="5" t="s">
        <v>734</v>
      </c>
      <c r="BJ3170" s="5" t="s">
        <v>240</v>
      </c>
      <c r="BK3170" s="7">
        <f>1</f>
        <v>1</v>
      </c>
      <c r="BL3170" s="7">
        <f>1</f>
        <v>1</v>
      </c>
      <c r="BM3170" s="5" t="s">
        <v>258</v>
      </c>
      <c r="BN3170" s="5" t="s">
        <v>259</v>
      </c>
      <c r="BO3170" s="5" t="s">
        <v>240</v>
      </c>
      <c r="BP3170" s="5" t="s">
        <v>240</v>
      </c>
      <c r="BQ3170" s="5" t="s">
        <v>240</v>
      </c>
      <c r="BR3170" s="5" t="s">
        <v>240</v>
      </c>
      <c r="BS3170" s="5" t="s">
        <v>240</v>
      </c>
      <c r="BT3170" s="5" t="s">
        <v>240</v>
      </c>
      <c r="BU3170" s="5" t="s">
        <v>240</v>
      </c>
      <c r="BV3170" s="5" t="s">
        <v>240</v>
      </c>
      <c r="BW3170" s="6" t="s">
        <v>240</v>
      </c>
      <c r="BX3170" s="5" t="s">
        <v>240</v>
      </c>
      <c r="BY3170" s="5" t="s">
        <v>240</v>
      </c>
      <c r="BZ3170" s="5" t="s">
        <v>240</v>
      </c>
      <c r="CA3170" s="5" t="s">
        <v>259</v>
      </c>
      <c r="CB3170" s="5" t="s">
        <v>240</v>
      </c>
      <c r="CC3170" s="5" t="s">
        <v>240</v>
      </c>
      <c r="CD3170" s="5" t="s">
        <v>240</v>
      </c>
      <c r="CE3170" s="5" t="s">
        <v>240</v>
      </c>
      <c r="CF3170" s="5" t="s">
        <v>240</v>
      </c>
      <c r="CG3170" s="5" t="s">
        <v>304</v>
      </c>
      <c r="CH3170" s="5" t="s">
        <v>305</v>
      </c>
      <c r="CI3170" s="5" t="s">
        <v>240</v>
      </c>
      <c r="CK3170" s="5" t="s">
        <v>3681</v>
      </c>
      <c r="CL3170" s="6" t="s">
        <v>261</v>
      </c>
      <c r="CM3170" s="5" t="s">
        <v>262</v>
      </c>
      <c r="CN3170" s="5" t="s">
        <v>263</v>
      </c>
      <c r="CO3170" s="5" t="s">
        <v>264</v>
      </c>
      <c r="CP3170" s="5" t="s">
        <v>240</v>
      </c>
      <c r="CQ3170" s="5">
        <v>0</v>
      </c>
      <c r="CR3170" s="5" t="s">
        <v>735</v>
      </c>
      <c r="CS3170" s="5" t="s">
        <v>307</v>
      </c>
      <c r="CT3170" s="5" t="s">
        <v>307</v>
      </c>
      <c r="CU3170" s="5" t="s">
        <v>260</v>
      </c>
      <c r="CV3170" s="5" t="s">
        <v>612</v>
      </c>
      <c r="CW3170" s="8">
        <f>1</f>
        <v>1</v>
      </c>
      <c r="CX3170" s="7">
        <f>1</f>
        <v>1</v>
      </c>
      <c r="CY3170" s="7">
        <f>0</f>
        <v>0</v>
      </c>
      <c r="DA3170" s="7">
        <f>1</f>
        <v>1</v>
      </c>
      <c r="DB3170" s="7" t="s">
        <v>240</v>
      </c>
      <c r="DC3170" s="5" t="s">
        <v>240</v>
      </c>
      <c r="DD3170" s="5" t="s">
        <v>240</v>
      </c>
      <c r="DE3170" s="5" t="s">
        <v>240</v>
      </c>
      <c r="DF3170" s="5" t="s">
        <v>240</v>
      </c>
      <c r="DG3170" s="7">
        <f>0</f>
        <v>0</v>
      </c>
      <c r="DI3170" s="5" t="s">
        <v>240</v>
      </c>
      <c r="DJ3170" s="5" t="s">
        <v>240</v>
      </c>
      <c r="DK3170" s="5" t="s">
        <v>240</v>
      </c>
      <c r="DL3170" s="5" t="s">
        <v>240</v>
      </c>
      <c r="DM3170" s="5" t="s">
        <v>240</v>
      </c>
      <c r="DN3170" s="5" t="s">
        <v>240</v>
      </c>
      <c r="DO3170" s="7" t="s">
        <v>240</v>
      </c>
      <c r="DP3170" s="5" t="s">
        <v>240</v>
      </c>
      <c r="DQ3170" s="5" t="s">
        <v>240</v>
      </c>
      <c r="DR3170" s="5" t="s">
        <v>731</v>
      </c>
      <c r="DS3170" s="5" t="s">
        <v>731</v>
      </c>
      <c r="DT3170" s="5" t="s">
        <v>240</v>
      </c>
      <c r="DU3170" s="5" t="s">
        <v>240</v>
      </c>
      <c r="DV3170" s="5" t="s">
        <v>3683</v>
      </c>
      <c r="DW3170" s="5" t="s">
        <v>324</v>
      </c>
      <c r="DX3170" s="5" t="s">
        <v>240</v>
      </c>
      <c r="DY3170" s="5" t="s">
        <v>240</v>
      </c>
      <c r="DZ3170" s="5" t="s">
        <v>240</v>
      </c>
      <c r="EA3170" s="5" t="s">
        <v>240</v>
      </c>
      <c r="EB3170" s="5" t="s">
        <v>240</v>
      </c>
      <c r="EC3170" s="5" t="s">
        <v>240</v>
      </c>
      <c r="ED3170" s="5" t="s">
        <v>240</v>
      </c>
      <c r="EE3170" s="5" t="s">
        <v>240</v>
      </c>
      <c r="EF3170" s="5" t="s">
        <v>240</v>
      </c>
      <c r="EG3170" s="5" t="s">
        <v>240</v>
      </c>
      <c r="EH3170" s="5" t="s">
        <v>240</v>
      </c>
      <c r="EI3170" s="5" t="s">
        <v>240</v>
      </c>
      <c r="EJ3170" s="5" t="s">
        <v>240</v>
      </c>
      <c r="EK3170" s="5" t="s">
        <v>240</v>
      </c>
      <c r="EL3170" s="5" t="s">
        <v>240</v>
      </c>
      <c r="EM3170" s="5" t="s">
        <v>240</v>
      </c>
      <c r="EN3170" s="5" t="s">
        <v>240</v>
      </c>
      <c r="EO3170" s="5" t="s">
        <v>240</v>
      </c>
      <c r="EP3170" s="5" t="s">
        <v>240</v>
      </c>
      <c r="EQ3170" s="5" t="s">
        <v>240</v>
      </c>
      <c r="ER3170" s="5" t="s">
        <v>240</v>
      </c>
      <c r="ES3170" s="5" t="s">
        <v>240</v>
      </c>
      <c r="ET3170" s="5" t="s">
        <v>240</v>
      </c>
      <c r="EU3170" s="5" t="s">
        <v>240</v>
      </c>
      <c r="EV3170" s="5" t="s">
        <v>240</v>
      </c>
      <c r="EW3170" s="5" t="s">
        <v>240</v>
      </c>
      <c r="EX3170" s="5" t="s">
        <v>240</v>
      </c>
      <c r="EY3170" s="5" t="s">
        <v>240</v>
      </c>
      <c r="EZ3170" s="5" t="s">
        <v>240</v>
      </c>
      <c r="FA3170" s="5" t="s">
        <v>240</v>
      </c>
      <c r="FB3170" s="5" t="s">
        <v>240</v>
      </c>
      <c r="FC3170" s="5" t="s">
        <v>240</v>
      </c>
      <c r="FD3170" s="5" t="s">
        <v>240</v>
      </c>
      <c r="FE3170" s="5" t="s">
        <v>240</v>
      </c>
      <c r="FF3170" s="5" t="s">
        <v>240</v>
      </c>
      <c r="FG3170" s="5" t="s">
        <v>240</v>
      </c>
      <c r="FH3170" s="5" t="s">
        <v>240</v>
      </c>
      <c r="FI3170" s="5" t="s">
        <v>240</v>
      </c>
      <c r="FJ3170" s="5" t="s">
        <v>240</v>
      </c>
      <c r="FK3170" s="5" t="s">
        <v>240</v>
      </c>
      <c r="FL3170" s="5" t="s">
        <v>240</v>
      </c>
      <c r="FM3170" s="5" t="s">
        <v>240</v>
      </c>
      <c r="FN3170" s="5" t="s">
        <v>240</v>
      </c>
      <c r="FO3170" s="5" t="s">
        <v>240</v>
      </c>
      <c r="FP3170" s="5" t="s">
        <v>240</v>
      </c>
      <c r="FQ3170" s="5" t="s">
        <v>240</v>
      </c>
      <c r="FR3170" s="5" t="s">
        <v>240</v>
      </c>
      <c r="FS3170" s="5" t="s">
        <v>240</v>
      </c>
      <c r="FT3170" s="5" t="s">
        <v>240</v>
      </c>
      <c r="FU3170" s="5" t="s">
        <v>240</v>
      </c>
      <c r="FV3170" s="5" t="s">
        <v>240</v>
      </c>
      <c r="FW3170" s="5" t="s">
        <v>240</v>
      </c>
      <c r="FX3170" s="5" t="s">
        <v>240</v>
      </c>
      <c r="FY3170" s="5" t="s">
        <v>240</v>
      </c>
      <c r="FZ3170" s="5" t="s">
        <v>240</v>
      </c>
      <c r="GA3170" s="5" t="s">
        <v>240</v>
      </c>
      <c r="GB3170" s="5" t="s">
        <v>240</v>
      </c>
      <c r="GC3170" s="5" t="s">
        <v>240</v>
      </c>
      <c r="GD3170" s="5" t="s">
        <v>240</v>
      </c>
      <c r="GE3170" s="5" t="s">
        <v>240</v>
      </c>
      <c r="GF3170" s="5" t="s">
        <v>240</v>
      </c>
      <c r="GG3170" s="5" t="s">
        <v>240</v>
      </c>
      <c r="GH3170" s="5" t="s">
        <v>240</v>
      </c>
      <c r="GI3170" s="5" t="s">
        <v>240</v>
      </c>
      <c r="GJ3170" s="5" t="s">
        <v>240</v>
      </c>
      <c r="GK3170" s="5" t="s">
        <v>240</v>
      </c>
      <c r="GL3170" s="5" t="s">
        <v>240</v>
      </c>
      <c r="GM3170" s="5" t="s">
        <v>240</v>
      </c>
      <c r="GN3170" s="5" t="s">
        <v>240</v>
      </c>
      <c r="GO3170" s="5" t="s">
        <v>240</v>
      </c>
      <c r="GP3170" s="5" t="s">
        <v>240</v>
      </c>
      <c r="GQ3170" s="5" t="s">
        <v>240</v>
      </c>
      <c r="GR3170" s="5" t="s">
        <v>240</v>
      </c>
      <c r="GS3170" s="5" t="s">
        <v>240</v>
      </c>
      <c r="GT3170" s="5" t="s">
        <v>240</v>
      </c>
      <c r="GU3170" s="5" t="s">
        <v>240</v>
      </c>
      <c r="GV3170" s="5" t="s">
        <v>240</v>
      </c>
      <c r="GW3170" s="5" t="s">
        <v>240</v>
      </c>
      <c r="GX3170" s="5" t="s">
        <v>240</v>
      </c>
      <c r="GY3170" s="5" t="s">
        <v>240</v>
      </c>
      <c r="GZ3170" s="5" t="s">
        <v>240</v>
      </c>
      <c r="HA3170" s="5" t="s">
        <v>240</v>
      </c>
      <c r="HB3170" s="5" t="s">
        <v>240</v>
      </c>
      <c r="HC3170" s="5" t="s">
        <v>240</v>
      </c>
      <c r="HD3170" s="5" t="s">
        <v>240</v>
      </c>
      <c r="HE3170" s="5" t="s">
        <v>240</v>
      </c>
      <c r="HF3170" s="5" t="s">
        <v>240</v>
      </c>
      <c r="HG3170" s="5" t="s">
        <v>240</v>
      </c>
      <c r="HH3170" s="5" t="s">
        <v>240</v>
      </c>
      <c r="HI3170" s="5" t="s">
        <v>240</v>
      </c>
      <c r="HJ3170" s="5" t="s">
        <v>240</v>
      </c>
      <c r="HK3170" s="5" t="s">
        <v>240</v>
      </c>
      <c r="HL3170" s="5" t="s">
        <v>240</v>
      </c>
      <c r="HM3170" s="5" t="s">
        <v>240</v>
      </c>
      <c r="HN3170" s="5" t="s">
        <v>240</v>
      </c>
      <c r="HO3170" s="5" t="s">
        <v>312</v>
      </c>
      <c r="HP3170" s="5" t="s">
        <v>240</v>
      </c>
      <c r="HQ3170" s="5" t="s">
        <v>240</v>
      </c>
      <c r="HR3170" s="5" t="s">
        <v>240</v>
      </c>
      <c r="HS3170" s="5" t="s">
        <v>240</v>
      </c>
      <c r="HT3170" s="5" t="s">
        <v>240</v>
      </c>
      <c r="HU3170" s="5" t="s">
        <v>240</v>
      </c>
      <c r="HV3170" s="5" t="s">
        <v>240</v>
      </c>
      <c r="HW3170" s="5" t="s">
        <v>240</v>
      </c>
      <c r="HX3170" s="5" t="s">
        <v>240</v>
      </c>
      <c r="HY3170" s="5" t="s">
        <v>240</v>
      </c>
      <c r="HZ3170" s="5" t="s">
        <v>240</v>
      </c>
      <c r="IA3170" s="5" t="s">
        <v>240</v>
      </c>
      <c r="IB3170" s="5" t="s">
        <v>240</v>
      </c>
      <c r="IC3170" s="5" t="s">
        <v>240</v>
      </c>
      <c r="ID3170" s="5" t="s">
        <v>240</v>
      </c>
      <c r="IE3170" s="5" t="s">
        <v>240</v>
      </c>
      <c r="IF3170" s="5" t="s">
        <v>240</v>
      </c>
    </row>
    <row r="3171" spans="1:240" x14ac:dyDescent="0.4">
      <c r="A3171" s="5">
        <v>4875</v>
      </c>
      <c r="B3171" s="5">
        <v>1</v>
      </c>
      <c r="C3171" s="5">
        <v>1</v>
      </c>
      <c r="D3171" s="5" t="s">
        <v>810</v>
      </c>
      <c r="E3171" s="5" t="s">
        <v>245</v>
      </c>
      <c r="F3171" s="5" t="s">
        <v>254</v>
      </c>
      <c r="G3171" s="5" t="s">
        <v>240</v>
      </c>
      <c r="H3171" s="6" t="s">
        <v>2203</v>
      </c>
      <c r="I3171" s="5" t="s">
        <v>809</v>
      </c>
      <c r="J3171" s="8">
        <f>4685</f>
        <v>4685</v>
      </c>
      <c r="K3171" s="5" t="s">
        <v>308</v>
      </c>
      <c r="L3171" s="7">
        <f>1</f>
        <v>1</v>
      </c>
      <c r="M3171" s="7">
        <f>1</f>
        <v>1</v>
      </c>
      <c r="N3171" s="5" t="s">
        <v>242</v>
      </c>
      <c r="O3171" s="5">
        <v>1</v>
      </c>
      <c r="P3171" s="5" t="s">
        <v>294</v>
      </c>
      <c r="Q3171" s="5" t="s">
        <v>3678</v>
      </c>
      <c r="R3171" s="5" t="s">
        <v>240</v>
      </c>
      <c r="S3171" s="5" t="s">
        <v>240</v>
      </c>
      <c r="T3171" s="5" t="s">
        <v>243</v>
      </c>
      <c r="U3171" s="5" t="s">
        <v>244</v>
      </c>
      <c r="V3171" s="5" t="s">
        <v>240</v>
      </c>
      <c r="W3171" s="5" t="s">
        <v>240</v>
      </c>
      <c r="X3171" s="5" t="s">
        <v>240</v>
      </c>
      <c r="Y3171" s="5" t="s">
        <v>240</v>
      </c>
      <c r="Z3171" s="6" t="s">
        <v>298</v>
      </c>
      <c r="AA3171" s="6" t="s">
        <v>240</v>
      </c>
      <c r="AB3171" s="6" t="s">
        <v>240</v>
      </c>
      <c r="AC3171" s="5" t="s">
        <v>240</v>
      </c>
      <c r="AD3171" s="6" t="s">
        <v>240</v>
      </c>
      <c r="AE3171" s="6" t="s">
        <v>299</v>
      </c>
      <c r="AF3171" s="5" t="s">
        <v>248</v>
      </c>
      <c r="AG3171" s="5" t="s">
        <v>249</v>
      </c>
      <c r="AH3171" s="5" t="s">
        <v>240</v>
      </c>
      <c r="AI3171" s="5" t="s">
        <v>240</v>
      </c>
      <c r="AJ3171" s="5" t="s">
        <v>240</v>
      </c>
      <c r="AK3171" s="5" t="s">
        <v>240</v>
      </c>
      <c r="AL3171" s="5" t="s">
        <v>240</v>
      </c>
      <c r="AM3171" s="5" t="s">
        <v>240</v>
      </c>
      <c r="AN3171" s="5" t="s">
        <v>240</v>
      </c>
      <c r="AO3171" s="5" t="s">
        <v>240</v>
      </c>
      <c r="AP3171" s="6" t="s">
        <v>240</v>
      </c>
      <c r="AQ3171" s="6" t="s">
        <v>240</v>
      </c>
      <c r="AR3171" s="6" t="s">
        <v>240</v>
      </c>
      <c r="AS3171" s="6" t="s">
        <v>240</v>
      </c>
      <c r="AT3171" s="5" t="s">
        <v>240</v>
      </c>
      <c r="AU3171" s="5" t="s">
        <v>729</v>
      </c>
      <c r="AV3171" s="5" t="s">
        <v>729</v>
      </c>
      <c r="AW3171" s="5" t="s">
        <v>251</v>
      </c>
      <c r="AX3171" s="5" t="s">
        <v>252</v>
      </c>
      <c r="AY3171" s="5" t="s">
        <v>253</v>
      </c>
      <c r="AZ3171" s="5" t="s">
        <v>240</v>
      </c>
      <c r="BA3171" s="5" t="s">
        <v>255</v>
      </c>
      <c r="BB3171" s="5" t="s">
        <v>731</v>
      </c>
      <c r="BD3171" s="5" t="s">
        <v>240</v>
      </c>
      <c r="BF3171" s="5" t="s">
        <v>732</v>
      </c>
      <c r="BG3171" s="6" t="s">
        <v>733</v>
      </c>
      <c r="BH3171" s="5" t="s">
        <v>734</v>
      </c>
      <c r="BI3171" s="5" t="s">
        <v>734</v>
      </c>
      <c r="BJ3171" s="5" t="s">
        <v>240</v>
      </c>
      <c r="BK3171" s="7">
        <f>1</f>
        <v>1</v>
      </c>
      <c r="BL3171" s="7">
        <f>1</f>
        <v>1</v>
      </c>
      <c r="BM3171" s="5" t="s">
        <v>258</v>
      </c>
      <c r="BN3171" s="5" t="s">
        <v>259</v>
      </c>
      <c r="BO3171" s="5" t="s">
        <v>240</v>
      </c>
      <c r="BP3171" s="5" t="s">
        <v>240</v>
      </c>
      <c r="BQ3171" s="5" t="s">
        <v>240</v>
      </c>
      <c r="BR3171" s="5" t="s">
        <v>240</v>
      </c>
      <c r="BS3171" s="5" t="s">
        <v>240</v>
      </c>
      <c r="BT3171" s="5" t="s">
        <v>240</v>
      </c>
      <c r="BU3171" s="5" t="s">
        <v>240</v>
      </c>
      <c r="BV3171" s="5" t="s">
        <v>240</v>
      </c>
      <c r="BW3171" s="6" t="s">
        <v>240</v>
      </c>
      <c r="BX3171" s="5" t="s">
        <v>240</v>
      </c>
      <c r="BY3171" s="5" t="s">
        <v>240</v>
      </c>
      <c r="BZ3171" s="5" t="s">
        <v>240</v>
      </c>
      <c r="CA3171" s="5" t="s">
        <v>259</v>
      </c>
      <c r="CB3171" s="5" t="s">
        <v>240</v>
      </c>
      <c r="CC3171" s="5" t="s">
        <v>240</v>
      </c>
      <c r="CD3171" s="5" t="s">
        <v>240</v>
      </c>
      <c r="CE3171" s="5" t="s">
        <v>240</v>
      </c>
      <c r="CF3171" s="5" t="s">
        <v>240</v>
      </c>
      <c r="CG3171" s="5" t="s">
        <v>304</v>
      </c>
      <c r="CH3171" s="5" t="s">
        <v>305</v>
      </c>
      <c r="CI3171" s="5" t="s">
        <v>240</v>
      </c>
      <c r="CK3171" s="5" t="s">
        <v>3681</v>
      </c>
      <c r="CL3171" s="6" t="s">
        <v>261</v>
      </c>
      <c r="CM3171" s="5" t="s">
        <v>262</v>
      </c>
      <c r="CN3171" s="5" t="s">
        <v>263</v>
      </c>
      <c r="CO3171" s="5" t="s">
        <v>264</v>
      </c>
      <c r="CP3171" s="5" t="s">
        <v>240</v>
      </c>
      <c r="CQ3171" s="5">
        <v>0</v>
      </c>
      <c r="CR3171" s="5" t="s">
        <v>735</v>
      </c>
      <c r="CS3171" s="5" t="s">
        <v>307</v>
      </c>
      <c r="CT3171" s="5" t="s">
        <v>307</v>
      </c>
      <c r="CU3171" s="5" t="s">
        <v>260</v>
      </c>
      <c r="CV3171" s="5" t="s">
        <v>612</v>
      </c>
      <c r="CW3171" s="8">
        <f>1</f>
        <v>1</v>
      </c>
      <c r="CX3171" s="7">
        <f>1</f>
        <v>1</v>
      </c>
      <c r="CY3171" s="7">
        <f>0</f>
        <v>0</v>
      </c>
      <c r="DA3171" s="7">
        <f>1</f>
        <v>1</v>
      </c>
      <c r="DB3171" s="7" t="s">
        <v>240</v>
      </c>
      <c r="DC3171" s="5" t="s">
        <v>240</v>
      </c>
      <c r="DD3171" s="5" t="s">
        <v>240</v>
      </c>
      <c r="DE3171" s="5" t="s">
        <v>240</v>
      </c>
      <c r="DF3171" s="5" t="s">
        <v>240</v>
      </c>
      <c r="DG3171" s="7">
        <f>0</f>
        <v>0</v>
      </c>
      <c r="DI3171" s="5" t="s">
        <v>240</v>
      </c>
      <c r="DJ3171" s="5" t="s">
        <v>240</v>
      </c>
      <c r="DK3171" s="5" t="s">
        <v>240</v>
      </c>
      <c r="DL3171" s="5" t="s">
        <v>240</v>
      </c>
      <c r="DM3171" s="5" t="s">
        <v>240</v>
      </c>
      <c r="DN3171" s="5" t="s">
        <v>240</v>
      </c>
      <c r="DO3171" s="7" t="s">
        <v>240</v>
      </c>
      <c r="DP3171" s="5" t="s">
        <v>240</v>
      </c>
      <c r="DQ3171" s="5" t="s">
        <v>240</v>
      </c>
      <c r="DR3171" s="5" t="s">
        <v>731</v>
      </c>
      <c r="DS3171" s="5" t="s">
        <v>731</v>
      </c>
      <c r="DT3171" s="5" t="s">
        <v>240</v>
      </c>
      <c r="DU3171" s="5" t="s">
        <v>240</v>
      </c>
      <c r="DV3171" s="5" t="s">
        <v>3683</v>
      </c>
      <c r="DW3171" s="5" t="s">
        <v>332</v>
      </c>
      <c r="DX3171" s="5" t="s">
        <v>240</v>
      </c>
      <c r="DY3171" s="5" t="s">
        <v>240</v>
      </c>
      <c r="DZ3171" s="5" t="s">
        <v>240</v>
      </c>
      <c r="EA3171" s="5" t="s">
        <v>240</v>
      </c>
      <c r="EB3171" s="5" t="s">
        <v>240</v>
      </c>
      <c r="EC3171" s="5" t="s">
        <v>240</v>
      </c>
      <c r="ED3171" s="5" t="s">
        <v>240</v>
      </c>
      <c r="EE3171" s="5" t="s">
        <v>240</v>
      </c>
      <c r="EF3171" s="5" t="s">
        <v>240</v>
      </c>
      <c r="EG3171" s="5" t="s">
        <v>240</v>
      </c>
      <c r="EH3171" s="5" t="s">
        <v>240</v>
      </c>
      <c r="EI3171" s="5" t="s">
        <v>240</v>
      </c>
      <c r="EJ3171" s="5" t="s">
        <v>240</v>
      </c>
      <c r="EK3171" s="5" t="s">
        <v>240</v>
      </c>
      <c r="EL3171" s="5" t="s">
        <v>240</v>
      </c>
      <c r="EM3171" s="5" t="s">
        <v>240</v>
      </c>
      <c r="EN3171" s="5" t="s">
        <v>240</v>
      </c>
      <c r="EO3171" s="5" t="s">
        <v>240</v>
      </c>
      <c r="EP3171" s="5" t="s">
        <v>240</v>
      </c>
      <c r="EQ3171" s="5" t="s">
        <v>240</v>
      </c>
      <c r="ER3171" s="5" t="s">
        <v>240</v>
      </c>
      <c r="ES3171" s="5" t="s">
        <v>240</v>
      </c>
      <c r="ET3171" s="5" t="s">
        <v>240</v>
      </c>
      <c r="EU3171" s="5" t="s">
        <v>240</v>
      </c>
      <c r="EV3171" s="5" t="s">
        <v>240</v>
      </c>
      <c r="EW3171" s="5" t="s">
        <v>240</v>
      </c>
      <c r="EX3171" s="5" t="s">
        <v>240</v>
      </c>
      <c r="EY3171" s="5" t="s">
        <v>240</v>
      </c>
      <c r="EZ3171" s="5" t="s">
        <v>240</v>
      </c>
      <c r="FA3171" s="5" t="s">
        <v>240</v>
      </c>
      <c r="FB3171" s="5" t="s">
        <v>240</v>
      </c>
      <c r="FC3171" s="5" t="s">
        <v>240</v>
      </c>
      <c r="FD3171" s="5" t="s">
        <v>240</v>
      </c>
      <c r="FE3171" s="5" t="s">
        <v>240</v>
      </c>
      <c r="FF3171" s="5" t="s">
        <v>240</v>
      </c>
      <c r="FG3171" s="5" t="s">
        <v>240</v>
      </c>
      <c r="FH3171" s="5" t="s">
        <v>240</v>
      </c>
      <c r="FI3171" s="5" t="s">
        <v>240</v>
      </c>
      <c r="FJ3171" s="5" t="s">
        <v>240</v>
      </c>
      <c r="FK3171" s="5" t="s">
        <v>240</v>
      </c>
      <c r="FL3171" s="5" t="s">
        <v>240</v>
      </c>
      <c r="FM3171" s="5" t="s">
        <v>240</v>
      </c>
      <c r="FN3171" s="5" t="s">
        <v>240</v>
      </c>
      <c r="FO3171" s="5" t="s">
        <v>240</v>
      </c>
      <c r="FP3171" s="5" t="s">
        <v>240</v>
      </c>
      <c r="FQ3171" s="5" t="s">
        <v>240</v>
      </c>
      <c r="FR3171" s="5" t="s">
        <v>240</v>
      </c>
      <c r="FS3171" s="5" t="s">
        <v>240</v>
      </c>
      <c r="FT3171" s="5" t="s">
        <v>240</v>
      </c>
      <c r="FU3171" s="5" t="s">
        <v>240</v>
      </c>
      <c r="FV3171" s="5" t="s">
        <v>240</v>
      </c>
      <c r="FW3171" s="5" t="s">
        <v>240</v>
      </c>
      <c r="FX3171" s="5" t="s">
        <v>240</v>
      </c>
      <c r="FY3171" s="5" t="s">
        <v>240</v>
      </c>
      <c r="FZ3171" s="5" t="s">
        <v>240</v>
      </c>
      <c r="GA3171" s="5" t="s">
        <v>240</v>
      </c>
      <c r="GB3171" s="5" t="s">
        <v>240</v>
      </c>
      <c r="GC3171" s="5" t="s">
        <v>240</v>
      </c>
      <c r="GD3171" s="5" t="s">
        <v>240</v>
      </c>
      <c r="GE3171" s="5" t="s">
        <v>240</v>
      </c>
      <c r="GF3171" s="5" t="s">
        <v>240</v>
      </c>
      <c r="GG3171" s="5" t="s">
        <v>240</v>
      </c>
      <c r="GH3171" s="5" t="s">
        <v>240</v>
      </c>
      <c r="GI3171" s="5" t="s">
        <v>240</v>
      </c>
      <c r="GJ3171" s="5" t="s">
        <v>240</v>
      </c>
      <c r="GK3171" s="5" t="s">
        <v>240</v>
      </c>
      <c r="GL3171" s="5" t="s">
        <v>240</v>
      </c>
      <c r="GM3171" s="5" t="s">
        <v>240</v>
      </c>
      <c r="GN3171" s="5" t="s">
        <v>240</v>
      </c>
      <c r="GO3171" s="5" t="s">
        <v>240</v>
      </c>
      <c r="GP3171" s="5" t="s">
        <v>240</v>
      </c>
      <c r="GQ3171" s="5" t="s">
        <v>240</v>
      </c>
      <c r="GR3171" s="5" t="s">
        <v>240</v>
      </c>
      <c r="GS3171" s="5" t="s">
        <v>240</v>
      </c>
      <c r="GT3171" s="5" t="s">
        <v>240</v>
      </c>
      <c r="GU3171" s="5" t="s">
        <v>240</v>
      </c>
      <c r="GV3171" s="5" t="s">
        <v>240</v>
      </c>
      <c r="GW3171" s="5" t="s">
        <v>240</v>
      </c>
      <c r="GX3171" s="5" t="s">
        <v>240</v>
      </c>
      <c r="GY3171" s="5" t="s">
        <v>240</v>
      </c>
      <c r="GZ3171" s="5" t="s">
        <v>240</v>
      </c>
      <c r="HA3171" s="5" t="s">
        <v>240</v>
      </c>
      <c r="HB3171" s="5" t="s">
        <v>240</v>
      </c>
      <c r="HC3171" s="5" t="s">
        <v>240</v>
      </c>
      <c r="HD3171" s="5" t="s">
        <v>240</v>
      </c>
      <c r="HE3171" s="5" t="s">
        <v>240</v>
      </c>
      <c r="HF3171" s="5" t="s">
        <v>240</v>
      </c>
      <c r="HG3171" s="5" t="s">
        <v>240</v>
      </c>
      <c r="HH3171" s="5" t="s">
        <v>240</v>
      </c>
      <c r="HI3171" s="5" t="s">
        <v>240</v>
      </c>
      <c r="HJ3171" s="5" t="s">
        <v>240</v>
      </c>
      <c r="HK3171" s="5" t="s">
        <v>240</v>
      </c>
      <c r="HL3171" s="5" t="s">
        <v>240</v>
      </c>
      <c r="HM3171" s="5" t="s">
        <v>240</v>
      </c>
      <c r="HN3171" s="5" t="s">
        <v>240</v>
      </c>
      <c r="HO3171" s="5" t="s">
        <v>312</v>
      </c>
      <c r="HP3171" s="5" t="s">
        <v>240</v>
      </c>
      <c r="HQ3171" s="5" t="s">
        <v>240</v>
      </c>
      <c r="HR3171" s="5" t="s">
        <v>240</v>
      </c>
      <c r="HS3171" s="5" t="s">
        <v>240</v>
      </c>
      <c r="HT3171" s="5" t="s">
        <v>240</v>
      </c>
      <c r="HU3171" s="5" t="s">
        <v>240</v>
      </c>
      <c r="HV3171" s="5" t="s">
        <v>240</v>
      </c>
      <c r="HW3171" s="5" t="s">
        <v>240</v>
      </c>
      <c r="HX3171" s="5" t="s">
        <v>240</v>
      </c>
      <c r="HY3171" s="5" t="s">
        <v>240</v>
      </c>
      <c r="HZ3171" s="5" t="s">
        <v>240</v>
      </c>
      <c r="IA3171" s="5" t="s">
        <v>240</v>
      </c>
      <c r="IB3171" s="5" t="s">
        <v>240</v>
      </c>
      <c r="IC3171" s="5" t="s">
        <v>240</v>
      </c>
      <c r="ID3171" s="5" t="s">
        <v>240</v>
      </c>
      <c r="IE3171" s="5" t="s">
        <v>240</v>
      </c>
      <c r="IF3171" s="5" t="s">
        <v>240</v>
      </c>
    </row>
    <row r="3172" spans="1:240" x14ac:dyDescent="0.4">
      <c r="A3172" s="5">
        <v>4876</v>
      </c>
      <c r="B3172" s="5">
        <v>1</v>
      </c>
      <c r="C3172" s="5">
        <v>1</v>
      </c>
      <c r="D3172" s="5" t="s">
        <v>810</v>
      </c>
      <c r="E3172" s="5" t="s">
        <v>245</v>
      </c>
      <c r="F3172" s="5" t="s">
        <v>254</v>
      </c>
      <c r="G3172" s="5" t="s">
        <v>240</v>
      </c>
      <c r="H3172" s="6" t="s">
        <v>2200</v>
      </c>
      <c r="I3172" s="5" t="s">
        <v>809</v>
      </c>
      <c r="J3172" s="8">
        <f>2904</f>
        <v>2904</v>
      </c>
      <c r="K3172" s="5" t="s">
        <v>308</v>
      </c>
      <c r="L3172" s="7">
        <f>1</f>
        <v>1</v>
      </c>
      <c r="M3172" s="7">
        <f>1</f>
        <v>1</v>
      </c>
      <c r="N3172" s="5" t="s">
        <v>242</v>
      </c>
      <c r="O3172" s="5">
        <v>1</v>
      </c>
      <c r="P3172" s="5" t="s">
        <v>294</v>
      </c>
      <c r="Q3172" s="5" t="s">
        <v>3678</v>
      </c>
      <c r="R3172" s="5" t="s">
        <v>240</v>
      </c>
      <c r="S3172" s="5" t="s">
        <v>240</v>
      </c>
      <c r="T3172" s="5" t="s">
        <v>243</v>
      </c>
      <c r="U3172" s="5" t="s">
        <v>244</v>
      </c>
      <c r="V3172" s="5" t="s">
        <v>240</v>
      </c>
      <c r="W3172" s="5" t="s">
        <v>240</v>
      </c>
      <c r="X3172" s="5" t="s">
        <v>240</v>
      </c>
      <c r="Y3172" s="5" t="s">
        <v>240</v>
      </c>
      <c r="Z3172" s="6" t="s">
        <v>298</v>
      </c>
      <c r="AA3172" s="6" t="s">
        <v>240</v>
      </c>
      <c r="AB3172" s="6" t="s">
        <v>240</v>
      </c>
      <c r="AC3172" s="5" t="s">
        <v>240</v>
      </c>
      <c r="AD3172" s="6" t="s">
        <v>240</v>
      </c>
      <c r="AE3172" s="6" t="s">
        <v>299</v>
      </c>
      <c r="AF3172" s="5" t="s">
        <v>248</v>
      </c>
      <c r="AG3172" s="5" t="s">
        <v>249</v>
      </c>
      <c r="AH3172" s="5" t="s">
        <v>240</v>
      </c>
      <c r="AI3172" s="5" t="s">
        <v>240</v>
      </c>
      <c r="AJ3172" s="5" t="s">
        <v>240</v>
      </c>
      <c r="AK3172" s="5" t="s">
        <v>240</v>
      </c>
      <c r="AL3172" s="5" t="s">
        <v>240</v>
      </c>
      <c r="AM3172" s="5" t="s">
        <v>240</v>
      </c>
      <c r="AN3172" s="5" t="s">
        <v>240</v>
      </c>
      <c r="AO3172" s="5" t="s">
        <v>240</v>
      </c>
      <c r="AP3172" s="6" t="s">
        <v>240</v>
      </c>
      <c r="AQ3172" s="6" t="s">
        <v>240</v>
      </c>
      <c r="AR3172" s="6" t="s">
        <v>240</v>
      </c>
      <c r="AS3172" s="6" t="s">
        <v>240</v>
      </c>
      <c r="AT3172" s="5" t="s">
        <v>240</v>
      </c>
      <c r="AU3172" s="5" t="s">
        <v>729</v>
      </c>
      <c r="AV3172" s="5" t="s">
        <v>729</v>
      </c>
      <c r="AW3172" s="5" t="s">
        <v>251</v>
      </c>
      <c r="AX3172" s="5" t="s">
        <v>252</v>
      </c>
      <c r="AY3172" s="5" t="s">
        <v>253</v>
      </c>
      <c r="AZ3172" s="5" t="s">
        <v>240</v>
      </c>
      <c r="BA3172" s="5" t="s">
        <v>255</v>
      </c>
      <c r="BB3172" s="5" t="s">
        <v>731</v>
      </c>
      <c r="BD3172" s="5" t="s">
        <v>240</v>
      </c>
      <c r="BF3172" s="5" t="s">
        <v>732</v>
      </c>
      <c r="BG3172" s="6" t="s">
        <v>733</v>
      </c>
      <c r="BH3172" s="5" t="s">
        <v>734</v>
      </c>
      <c r="BI3172" s="5" t="s">
        <v>734</v>
      </c>
      <c r="BJ3172" s="5" t="s">
        <v>240</v>
      </c>
      <c r="BK3172" s="7">
        <f>1</f>
        <v>1</v>
      </c>
      <c r="BL3172" s="7">
        <f>1</f>
        <v>1</v>
      </c>
      <c r="BM3172" s="5" t="s">
        <v>258</v>
      </c>
      <c r="BN3172" s="5" t="s">
        <v>259</v>
      </c>
      <c r="BO3172" s="5" t="s">
        <v>240</v>
      </c>
      <c r="BP3172" s="5" t="s">
        <v>240</v>
      </c>
      <c r="BQ3172" s="5" t="s">
        <v>240</v>
      </c>
      <c r="BR3172" s="5" t="s">
        <v>240</v>
      </c>
      <c r="BS3172" s="5" t="s">
        <v>240</v>
      </c>
      <c r="BT3172" s="5" t="s">
        <v>240</v>
      </c>
      <c r="BU3172" s="5" t="s">
        <v>240</v>
      </c>
      <c r="BV3172" s="5" t="s">
        <v>240</v>
      </c>
      <c r="BW3172" s="6" t="s">
        <v>240</v>
      </c>
      <c r="BX3172" s="5" t="s">
        <v>240</v>
      </c>
      <c r="BY3172" s="5" t="s">
        <v>240</v>
      </c>
      <c r="BZ3172" s="5" t="s">
        <v>240</v>
      </c>
      <c r="CA3172" s="5" t="s">
        <v>259</v>
      </c>
      <c r="CB3172" s="5" t="s">
        <v>240</v>
      </c>
      <c r="CC3172" s="5" t="s">
        <v>240</v>
      </c>
      <c r="CD3172" s="5" t="s">
        <v>240</v>
      </c>
      <c r="CE3172" s="5" t="s">
        <v>240</v>
      </c>
      <c r="CF3172" s="5" t="s">
        <v>240</v>
      </c>
      <c r="CG3172" s="5" t="s">
        <v>304</v>
      </c>
      <c r="CH3172" s="5" t="s">
        <v>305</v>
      </c>
      <c r="CI3172" s="5" t="s">
        <v>240</v>
      </c>
      <c r="CK3172" s="5" t="s">
        <v>3681</v>
      </c>
      <c r="CL3172" s="6" t="s">
        <v>261</v>
      </c>
      <c r="CM3172" s="5" t="s">
        <v>262</v>
      </c>
      <c r="CN3172" s="5" t="s">
        <v>263</v>
      </c>
      <c r="CO3172" s="5" t="s">
        <v>264</v>
      </c>
      <c r="CP3172" s="5" t="s">
        <v>240</v>
      </c>
      <c r="CQ3172" s="5">
        <v>0</v>
      </c>
      <c r="CR3172" s="5" t="s">
        <v>735</v>
      </c>
      <c r="CS3172" s="5" t="s">
        <v>307</v>
      </c>
      <c r="CT3172" s="5" t="s">
        <v>307</v>
      </c>
      <c r="CU3172" s="5" t="s">
        <v>260</v>
      </c>
      <c r="CV3172" s="5" t="s">
        <v>612</v>
      </c>
      <c r="CW3172" s="8">
        <f>1</f>
        <v>1</v>
      </c>
      <c r="CX3172" s="7">
        <f>1</f>
        <v>1</v>
      </c>
      <c r="CY3172" s="7">
        <f>0</f>
        <v>0</v>
      </c>
      <c r="DA3172" s="7">
        <f>1</f>
        <v>1</v>
      </c>
      <c r="DB3172" s="7" t="s">
        <v>240</v>
      </c>
      <c r="DC3172" s="5" t="s">
        <v>240</v>
      </c>
      <c r="DD3172" s="5" t="s">
        <v>240</v>
      </c>
      <c r="DE3172" s="5" t="s">
        <v>240</v>
      </c>
      <c r="DF3172" s="5" t="s">
        <v>240</v>
      </c>
      <c r="DG3172" s="7">
        <f>0</f>
        <v>0</v>
      </c>
      <c r="DI3172" s="5" t="s">
        <v>240</v>
      </c>
      <c r="DJ3172" s="5" t="s">
        <v>240</v>
      </c>
      <c r="DK3172" s="5" t="s">
        <v>240</v>
      </c>
      <c r="DL3172" s="5" t="s">
        <v>240</v>
      </c>
      <c r="DM3172" s="5" t="s">
        <v>240</v>
      </c>
      <c r="DN3172" s="5" t="s">
        <v>240</v>
      </c>
      <c r="DO3172" s="7" t="s">
        <v>240</v>
      </c>
      <c r="DP3172" s="5" t="s">
        <v>240</v>
      </c>
      <c r="DQ3172" s="5" t="s">
        <v>240</v>
      </c>
      <c r="DR3172" s="5" t="s">
        <v>731</v>
      </c>
      <c r="DS3172" s="5" t="s">
        <v>731</v>
      </c>
      <c r="DT3172" s="5" t="s">
        <v>240</v>
      </c>
      <c r="DU3172" s="5" t="s">
        <v>240</v>
      </c>
      <c r="DV3172" s="5" t="s">
        <v>3683</v>
      </c>
      <c r="DW3172" s="5" t="s">
        <v>670</v>
      </c>
      <c r="DX3172" s="5" t="s">
        <v>240</v>
      </c>
      <c r="DY3172" s="5" t="s">
        <v>240</v>
      </c>
      <c r="DZ3172" s="5" t="s">
        <v>240</v>
      </c>
      <c r="EA3172" s="5" t="s">
        <v>240</v>
      </c>
      <c r="EB3172" s="5" t="s">
        <v>240</v>
      </c>
      <c r="EC3172" s="5" t="s">
        <v>240</v>
      </c>
      <c r="ED3172" s="5" t="s">
        <v>240</v>
      </c>
      <c r="EE3172" s="5" t="s">
        <v>240</v>
      </c>
      <c r="EF3172" s="5" t="s">
        <v>240</v>
      </c>
      <c r="EG3172" s="5" t="s">
        <v>240</v>
      </c>
      <c r="EH3172" s="5" t="s">
        <v>240</v>
      </c>
      <c r="EI3172" s="5" t="s">
        <v>240</v>
      </c>
      <c r="EJ3172" s="5" t="s">
        <v>240</v>
      </c>
      <c r="EK3172" s="5" t="s">
        <v>240</v>
      </c>
      <c r="EL3172" s="5" t="s">
        <v>240</v>
      </c>
      <c r="EM3172" s="5" t="s">
        <v>240</v>
      </c>
      <c r="EN3172" s="5" t="s">
        <v>240</v>
      </c>
      <c r="EO3172" s="5" t="s">
        <v>240</v>
      </c>
      <c r="EP3172" s="5" t="s">
        <v>240</v>
      </c>
      <c r="EQ3172" s="5" t="s">
        <v>240</v>
      </c>
      <c r="ER3172" s="5" t="s">
        <v>240</v>
      </c>
      <c r="ES3172" s="5" t="s">
        <v>240</v>
      </c>
      <c r="ET3172" s="5" t="s">
        <v>240</v>
      </c>
      <c r="EU3172" s="5" t="s">
        <v>240</v>
      </c>
      <c r="EV3172" s="5" t="s">
        <v>240</v>
      </c>
      <c r="EW3172" s="5" t="s">
        <v>240</v>
      </c>
      <c r="EX3172" s="5" t="s">
        <v>240</v>
      </c>
      <c r="EY3172" s="5" t="s">
        <v>240</v>
      </c>
      <c r="EZ3172" s="5" t="s">
        <v>240</v>
      </c>
      <c r="FA3172" s="5" t="s">
        <v>240</v>
      </c>
      <c r="FB3172" s="5" t="s">
        <v>240</v>
      </c>
      <c r="FC3172" s="5" t="s">
        <v>240</v>
      </c>
      <c r="FD3172" s="5" t="s">
        <v>240</v>
      </c>
      <c r="FE3172" s="5" t="s">
        <v>240</v>
      </c>
      <c r="FF3172" s="5" t="s">
        <v>240</v>
      </c>
      <c r="FG3172" s="5" t="s">
        <v>240</v>
      </c>
      <c r="FH3172" s="5" t="s">
        <v>240</v>
      </c>
      <c r="FI3172" s="5" t="s">
        <v>240</v>
      </c>
      <c r="FJ3172" s="5" t="s">
        <v>240</v>
      </c>
      <c r="FK3172" s="5" t="s">
        <v>240</v>
      </c>
      <c r="FL3172" s="5" t="s">
        <v>240</v>
      </c>
      <c r="FM3172" s="5" t="s">
        <v>240</v>
      </c>
      <c r="FN3172" s="5" t="s">
        <v>240</v>
      </c>
      <c r="FO3172" s="5" t="s">
        <v>240</v>
      </c>
      <c r="FP3172" s="5" t="s">
        <v>240</v>
      </c>
      <c r="FQ3172" s="5" t="s">
        <v>240</v>
      </c>
      <c r="FR3172" s="5" t="s">
        <v>240</v>
      </c>
      <c r="FS3172" s="5" t="s">
        <v>240</v>
      </c>
      <c r="FT3172" s="5" t="s">
        <v>240</v>
      </c>
      <c r="FU3172" s="5" t="s">
        <v>240</v>
      </c>
      <c r="FV3172" s="5" t="s">
        <v>240</v>
      </c>
      <c r="FW3172" s="5" t="s">
        <v>240</v>
      </c>
      <c r="FX3172" s="5" t="s">
        <v>240</v>
      </c>
      <c r="FY3172" s="5" t="s">
        <v>240</v>
      </c>
      <c r="FZ3172" s="5" t="s">
        <v>240</v>
      </c>
      <c r="GA3172" s="5" t="s">
        <v>240</v>
      </c>
      <c r="GB3172" s="5" t="s">
        <v>240</v>
      </c>
      <c r="GC3172" s="5" t="s">
        <v>240</v>
      </c>
      <c r="GD3172" s="5" t="s">
        <v>240</v>
      </c>
      <c r="GE3172" s="5" t="s">
        <v>240</v>
      </c>
      <c r="GF3172" s="5" t="s">
        <v>240</v>
      </c>
      <c r="GG3172" s="5" t="s">
        <v>240</v>
      </c>
      <c r="GH3172" s="5" t="s">
        <v>240</v>
      </c>
      <c r="GI3172" s="5" t="s">
        <v>240</v>
      </c>
      <c r="GJ3172" s="5" t="s">
        <v>240</v>
      </c>
      <c r="GK3172" s="5" t="s">
        <v>240</v>
      </c>
      <c r="GL3172" s="5" t="s">
        <v>240</v>
      </c>
      <c r="GM3172" s="5" t="s">
        <v>240</v>
      </c>
      <c r="GN3172" s="5" t="s">
        <v>240</v>
      </c>
      <c r="GO3172" s="5" t="s">
        <v>240</v>
      </c>
      <c r="GP3172" s="5" t="s">
        <v>240</v>
      </c>
      <c r="GQ3172" s="5" t="s">
        <v>240</v>
      </c>
      <c r="GR3172" s="5" t="s">
        <v>240</v>
      </c>
      <c r="GS3172" s="5" t="s">
        <v>240</v>
      </c>
      <c r="GT3172" s="5" t="s">
        <v>240</v>
      </c>
      <c r="GU3172" s="5" t="s">
        <v>240</v>
      </c>
      <c r="GV3172" s="5" t="s">
        <v>240</v>
      </c>
      <c r="GW3172" s="5" t="s">
        <v>240</v>
      </c>
      <c r="GX3172" s="5" t="s">
        <v>240</v>
      </c>
      <c r="GY3172" s="5" t="s">
        <v>240</v>
      </c>
      <c r="GZ3172" s="5" t="s">
        <v>240</v>
      </c>
      <c r="HA3172" s="5" t="s">
        <v>240</v>
      </c>
      <c r="HB3172" s="5" t="s">
        <v>240</v>
      </c>
      <c r="HC3172" s="5" t="s">
        <v>240</v>
      </c>
      <c r="HD3172" s="5" t="s">
        <v>240</v>
      </c>
      <c r="HE3172" s="5" t="s">
        <v>240</v>
      </c>
      <c r="HF3172" s="5" t="s">
        <v>240</v>
      </c>
      <c r="HG3172" s="5" t="s">
        <v>240</v>
      </c>
      <c r="HH3172" s="5" t="s">
        <v>240</v>
      </c>
      <c r="HI3172" s="5" t="s">
        <v>240</v>
      </c>
      <c r="HJ3172" s="5" t="s">
        <v>240</v>
      </c>
      <c r="HK3172" s="5" t="s">
        <v>240</v>
      </c>
      <c r="HL3172" s="5" t="s">
        <v>240</v>
      </c>
      <c r="HM3172" s="5" t="s">
        <v>240</v>
      </c>
      <c r="HN3172" s="5" t="s">
        <v>240</v>
      </c>
      <c r="HO3172" s="5" t="s">
        <v>312</v>
      </c>
      <c r="HP3172" s="5" t="s">
        <v>240</v>
      </c>
      <c r="HQ3172" s="5" t="s">
        <v>240</v>
      </c>
      <c r="HR3172" s="5" t="s">
        <v>240</v>
      </c>
      <c r="HS3172" s="5" t="s">
        <v>240</v>
      </c>
      <c r="HT3172" s="5" t="s">
        <v>240</v>
      </c>
      <c r="HU3172" s="5" t="s">
        <v>240</v>
      </c>
      <c r="HV3172" s="5" t="s">
        <v>240</v>
      </c>
      <c r="HW3172" s="5" t="s">
        <v>240</v>
      </c>
      <c r="HX3172" s="5" t="s">
        <v>240</v>
      </c>
      <c r="HY3172" s="5" t="s">
        <v>240</v>
      </c>
      <c r="HZ3172" s="5" t="s">
        <v>240</v>
      </c>
      <c r="IA3172" s="5" t="s">
        <v>240</v>
      </c>
      <c r="IB3172" s="5" t="s">
        <v>240</v>
      </c>
      <c r="IC3172" s="5" t="s">
        <v>240</v>
      </c>
      <c r="ID3172" s="5" t="s">
        <v>240</v>
      </c>
      <c r="IE3172" s="5" t="s">
        <v>240</v>
      </c>
      <c r="IF3172" s="5" t="s">
        <v>240</v>
      </c>
    </row>
    <row r="3173" spans="1:240" x14ac:dyDescent="0.4">
      <c r="A3173" s="5">
        <v>4877</v>
      </c>
      <c r="B3173" s="5">
        <v>1</v>
      </c>
      <c r="C3173" s="5">
        <v>1</v>
      </c>
      <c r="D3173" s="5" t="s">
        <v>810</v>
      </c>
      <c r="E3173" s="5" t="s">
        <v>245</v>
      </c>
      <c r="F3173" s="5" t="s">
        <v>254</v>
      </c>
      <c r="G3173" s="5" t="s">
        <v>240</v>
      </c>
      <c r="H3173" s="6" t="s">
        <v>2198</v>
      </c>
      <c r="I3173" s="5" t="s">
        <v>809</v>
      </c>
      <c r="J3173" s="8">
        <f>3492</f>
        <v>3492</v>
      </c>
      <c r="K3173" s="5" t="s">
        <v>308</v>
      </c>
      <c r="L3173" s="7">
        <f>1</f>
        <v>1</v>
      </c>
      <c r="M3173" s="7">
        <f>1</f>
        <v>1</v>
      </c>
      <c r="N3173" s="5" t="s">
        <v>242</v>
      </c>
      <c r="O3173" s="5">
        <v>1</v>
      </c>
      <c r="P3173" s="5" t="s">
        <v>294</v>
      </c>
      <c r="Q3173" s="5" t="s">
        <v>3678</v>
      </c>
      <c r="R3173" s="5" t="s">
        <v>240</v>
      </c>
      <c r="S3173" s="5" t="s">
        <v>240</v>
      </c>
      <c r="T3173" s="5" t="s">
        <v>243</v>
      </c>
      <c r="U3173" s="5" t="s">
        <v>244</v>
      </c>
      <c r="V3173" s="5" t="s">
        <v>240</v>
      </c>
      <c r="W3173" s="5" t="s">
        <v>240</v>
      </c>
      <c r="X3173" s="5" t="s">
        <v>240</v>
      </c>
      <c r="Y3173" s="5" t="s">
        <v>240</v>
      </c>
      <c r="Z3173" s="6" t="s">
        <v>298</v>
      </c>
      <c r="AA3173" s="6" t="s">
        <v>240</v>
      </c>
      <c r="AB3173" s="6" t="s">
        <v>240</v>
      </c>
      <c r="AC3173" s="5" t="s">
        <v>240</v>
      </c>
      <c r="AD3173" s="6" t="s">
        <v>240</v>
      </c>
      <c r="AE3173" s="6" t="s">
        <v>299</v>
      </c>
      <c r="AF3173" s="5" t="s">
        <v>248</v>
      </c>
      <c r="AG3173" s="5" t="s">
        <v>249</v>
      </c>
      <c r="AH3173" s="5" t="s">
        <v>240</v>
      </c>
      <c r="AI3173" s="5" t="s">
        <v>240</v>
      </c>
      <c r="AJ3173" s="5" t="s">
        <v>240</v>
      </c>
      <c r="AK3173" s="5" t="s">
        <v>240</v>
      </c>
      <c r="AL3173" s="5" t="s">
        <v>240</v>
      </c>
      <c r="AM3173" s="5" t="s">
        <v>240</v>
      </c>
      <c r="AN3173" s="5" t="s">
        <v>240</v>
      </c>
      <c r="AO3173" s="5" t="s">
        <v>240</v>
      </c>
      <c r="AP3173" s="6" t="s">
        <v>240</v>
      </c>
      <c r="AQ3173" s="6" t="s">
        <v>240</v>
      </c>
      <c r="AR3173" s="6" t="s">
        <v>240</v>
      </c>
      <c r="AS3173" s="6" t="s">
        <v>240</v>
      </c>
      <c r="AT3173" s="5" t="s">
        <v>240</v>
      </c>
      <c r="AU3173" s="5" t="s">
        <v>729</v>
      </c>
      <c r="AV3173" s="5" t="s">
        <v>729</v>
      </c>
      <c r="AW3173" s="5" t="s">
        <v>251</v>
      </c>
      <c r="AX3173" s="5" t="s">
        <v>252</v>
      </c>
      <c r="AY3173" s="5" t="s">
        <v>253</v>
      </c>
      <c r="AZ3173" s="5" t="s">
        <v>240</v>
      </c>
      <c r="BA3173" s="5" t="s">
        <v>255</v>
      </c>
      <c r="BB3173" s="5" t="s">
        <v>731</v>
      </c>
      <c r="BD3173" s="5" t="s">
        <v>240</v>
      </c>
      <c r="BF3173" s="5" t="s">
        <v>732</v>
      </c>
      <c r="BG3173" s="6" t="s">
        <v>733</v>
      </c>
      <c r="BH3173" s="5" t="s">
        <v>734</v>
      </c>
      <c r="BI3173" s="5" t="s">
        <v>734</v>
      </c>
      <c r="BJ3173" s="5" t="s">
        <v>240</v>
      </c>
      <c r="BK3173" s="7">
        <f>1</f>
        <v>1</v>
      </c>
      <c r="BL3173" s="7">
        <f>1</f>
        <v>1</v>
      </c>
      <c r="BM3173" s="5" t="s">
        <v>258</v>
      </c>
      <c r="BN3173" s="5" t="s">
        <v>259</v>
      </c>
      <c r="BO3173" s="5" t="s">
        <v>240</v>
      </c>
      <c r="BP3173" s="5" t="s">
        <v>240</v>
      </c>
      <c r="BQ3173" s="5" t="s">
        <v>240</v>
      </c>
      <c r="BR3173" s="5" t="s">
        <v>240</v>
      </c>
      <c r="BS3173" s="5" t="s">
        <v>240</v>
      </c>
      <c r="BT3173" s="5" t="s">
        <v>240</v>
      </c>
      <c r="BU3173" s="5" t="s">
        <v>240</v>
      </c>
      <c r="BV3173" s="5" t="s">
        <v>240</v>
      </c>
      <c r="BW3173" s="6" t="s">
        <v>240</v>
      </c>
      <c r="BX3173" s="5" t="s">
        <v>240</v>
      </c>
      <c r="BY3173" s="5" t="s">
        <v>240</v>
      </c>
      <c r="BZ3173" s="5" t="s">
        <v>240</v>
      </c>
      <c r="CA3173" s="5" t="s">
        <v>259</v>
      </c>
      <c r="CB3173" s="5" t="s">
        <v>240</v>
      </c>
      <c r="CC3173" s="5" t="s">
        <v>240</v>
      </c>
      <c r="CD3173" s="5" t="s">
        <v>240</v>
      </c>
      <c r="CE3173" s="5" t="s">
        <v>240</v>
      </c>
      <c r="CF3173" s="5" t="s">
        <v>240</v>
      </c>
      <c r="CG3173" s="5" t="s">
        <v>304</v>
      </c>
      <c r="CH3173" s="5" t="s">
        <v>305</v>
      </c>
      <c r="CI3173" s="5" t="s">
        <v>240</v>
      </c>
      <c r="CK3173" s="5" t="s">
        <v>3681</v>
      </c>
      <c r="CL3173" s="6" t="s">
        <v>261</v>
      </c>
      <c r="CM3173" s="5" t="s">
        <v>262</v>
      </c>
      <c r="CN3173" s="5" t="s">
        <v>263</v>
      </c>
      <c r="CO3173" s="5" t="s">
        <v>264</v>
      </c>
      <c r="CP3173" s="5" t="s">
        <v>240</v>
      </c>
      <c r="CQ3173" s="5">
        <v>0</v>
      </c>
      <c r="CR3173" s="5" t="s">
        <v>735</v>
      </c>
      <c r="CS3173" s="5" t="s">
        <v>307</v>
      </c>
      <c r="CT3173" s="5" t="s">
        <v>307</v>
      </c>
      <c r="CU3173" s="5" t="s">
        <v>260</v>
      </c>
      <c r="CV3173" s="5" t="s">
        <v>612</v>
      </c>
      <c r="CW3173" s="8">
        <f>1</f>
        <v>1</v>
      </c>
      <c r="CX3173" s="7">
        <f>1</f>
        <v>1</v>
      </c>
      <c r="CY3173" s="7">
        <f>0</f>
        <v>0</v>
      </c>
      <c r="DA3173" s="7">
        <f>1</f>
        <v>1</v>
      </c>
      <c r="DB3173" s="7" t="s">
        <v>240</v>
      </c>
      <c r="DC3173" s="5" t="s">
        <v>240</v>
      </c>
      <c r="DD3173" s="5" t="s">
        <v>240</v>
      </c>
      <c r="DE3173" s="5" t="s">
        <v>240</v>
      </c>
      <c r="DF3173" s="5" t="s">
        <v>240</v>
      </c>
      <c r="DG3173" s="7">
        <f>0</f>
        <v>0</v>
      </c>
      <c r="DI3173" s="5" t="s">
        <v>240</v>
      </c>
      <c r="DJ3173" s="5" t="s">
        <v>240</v>
      </c>
      <c r="DK3173" s="5" t="s">
        <v>240</v>
      </c>
      <c r="DL3173" s="5" t="s">
        <v>240</v>
      </c>
      <c r="DM3173" s="5" t="s">
        <v>240</v>
      </c>
      <c r="DN3173" s="5" t="s">
        <v>240</v>
      </c>
      <c r="DO3173" s="7" t="s">
        <v>240</v>
      </c>
      <c r="DP3173" s="5" t="s">
        <v>240</v>
      </c>
      <c r="DQ3173" s="5" t="s">
        <v>240</v>
      </c>
      <c r="DR3173" s="5" t="s">
        <v>731</v>
      </c>
      <c r="DS3173" s="5" t="s">
        <v>731</v>
      </c>
      <c r="DT3173" s="5" t="s">
        <v>240</v>
      </c>
      <c r="DU3173" s="5" t="s">
        <v>240</v>
      </c>
      <c r="DV3173" s="5" t="s">
        <v>3683</v>
      </c>
      <c r="DW3173" s="5" t="s">
        <v>1064</v>
      </c>
      <c r="DX3173" s="5" t="s">
        <v>240</v>
      </c>
      <c r="DY3173" s="5" t="s">
        <v>240</v>
      </c>
      <c r="DZ3173" s="5" t="s">
        <v>240</v>
      </c>
      <c r="EA3173" s="5" t="s">
        <v>240</v>
      </c>
      <c r="EB3173" s="5" t="s">
        <v>240</v>
      </c>
      <c r="EC3173" s="5" t="s">
        <v>240</v>
      </c>
      <c r="ED3173" s="5" t="s">
        <v>240</v>
      </c>
      <c r="EE3173" s="5" t="s">
        <v>240</v>
      </c>
      <c r="EF3173" s="5" t="s">
        <v>240</v>
      </c>
      <c r="EG3173" s="5" t="s">
        <v>240</v>
      </c>
      <c r="EH3173" s="5" t="s">
        <v>240</v>
      </c>
      <c r="EI3173" s="5" t="s">
        <v>240</v>
      </c>
      <c r="EJ3173" s="5" t="s">
        <v>240</v>
      </c>
      <c r="EK3173" s="5" t="s">
        <v>240</v>
      </c>
      <c r="EL3173" s="5" t="s">
        <v>240</v>
      </c>
      <c r="EM3173" s="5" t="s">
        <v>240</v>
      </c>
      <c r="EN3173" s="5" t="s">
        <v>240</v>
      </c>
      <c r="EO3173" s="5" t="s">
        <v>240</v>
      </c>
      <c r="EP3173" s="5" t="s">
        <v>240</v>
      </c>
      <c r="EQ3173" s="5" t="s">
        <v>240</v>
      </c>
      <c r="ER3173" s="5" t="s">
        <v>240</v>
      </c>
      <c r="ES3173" s="5" t="s">
        <v>240</v>
      </c>
      <c r="ET3173" s="5" t="s">
        <v>240</v>
      </c>
      <c r="EU3173" s="5" t="s">
        <v>240</v>
      </c>
      <c r="EV3173" s="5" t="s">
        <v>240</v>
      </c>
      <c r="EW3173" s="5" t="s">
        <v>240</v>
      </c>
      <c r="EX3173" s="5" t="s">
        <v>240</v>
      </c>
      <c r="EY3173" s="5" t="s">
        <v>240</v>
      </c>
      <c r="EZ3173" s="5" t="s">
        <v>240</v>
      </c>
      <c r="FA3173" s="5" t="s">
        <v>240</v>
      </c>
      <c r="FB3173" s="5" t="s">
        <v>240</v>
      </c>
      <c r="FC3173" s="5" t="s">
        <v>240</v>
      </c>
      <c r="FD3173" s="5" t="s">
        <v>240</v>
      </c>
      <c r="FE3173" s="5" t="s">
        <v>240</v>
      </c>
      <c r="FF3173" s="5" t="s">
        <v>240</v>
      </c>
      <c r="FG3173" s="5" t="s">
        <v>240</v>
      </c>
      <c r="FH3173" s="5" t="s">
        <v>240</v>
      </c>
      <c r="FI3173" s="5" t="s">
        <v>240</v>
      </c>
      <c r="FJ3173" s="5" t="s">
        <v>240</v>
      </c>
      <c r="FK3173" s="5" t="s">
        <v>240</v>
      </c>
      <c r="FL3173" s="5" t="s">
        <v>240</v>
      </c>
      <c r="FM3173" s="5" t="s">
        <v>240</v>
      </c>
      <c r="FN3173" s="5" t="s">
        <v>240</v>
      </c>
      <c r="FO3173" s="5" t="s">
        <v>240</v>
      </c>
      <c r="FP3173" s="5" t="s">
        <v>240</v>
      </c>
      <c r="FQ3173" s="5" t="s">
        <v>240</v>
      </c>
      <c r="FR3173" s="5" t="s">
        <v>240</v>
      </c>
      <c r="FS3173" s="5" t="s">
        <v>240</v>
      </c>
      <c r="FT3173" s="5" t="s">
        <v>240</v>
      </c>
      <c r="FU3173" s="5" t="s">
        <v>240</v>
      </c>
      <c r="FV3173" s="5" t="s">
        <v>240</v>
      </c>
      <c r="FW3173" s="5" t="s">
        <v>240</v>
      </c>
      <c r="FX3173" s="5" t="s">
        <v>240</v>
      </c>
      <c r="FY3173" s="5" t="s">
        <v>240</v>
      </c>
      <c r="FZ3173" s="5" t="s">
        <v>240</v>
      </c>
      <c r="GA3173" s="5" t="s">
        <v>240</v>
      </c>
      <c r="GB3173" s="5" t="s">
        <v>240</v>
      </c>
      <c r="GC3173" s="5" t="s">
        <v>240</v>
      </c>
      <c r="GD3173" s="5" t="s">
        <v>240</v>
      </c>
      <c r="GE3173" s="5" t="s">
        <v>240</v>
      </c>
      <c r="GF3173" s="5" t="s">
        <v>240</v>
      </c>
      <c r="GG3173" s="5" t="s">
        <v>240</v>
      </c>
      <c r="GH3173" s="5" t="s">
        <v>240</v>
      </c>
      <c r="GI3173" s="5" t="s">
        <v>240</v>
      </c>
      <c r="GJ3173" s="5" t="s">
        <v>240</v>
      </c>
      <c r="GK3173" s="5" t="s">
        <v>240</v>
      </c>
      <c r="GL3173" s="5" t="s">
        <v>240</v>
      </c>
      <c r="GM3173" s="5" t="s">
        <v>240</v>
      </c>
      <c r="GN3173" s="5" t="s">
        <v>240</v>
      </c>
      <c r="GO3173" s="5" t="s">
        <v>240</v>
      </c>
      <c r="GP3173" s="5" t="s">
        <v>240</v>
      </c>
      <c r="GQ3173" s="5" t="s">
        <v>240</v>
      </c>
      <c r="GR3173" s="5" t="s">
        <v>240</v>
      </c>
      <c r="GS3173" s="5" t="s">
        <v>240</v>
      </c>
      <c r="GT3173" s="5" t="s">
        <v>240</v>
      </c>
      <c r="GU3173" s="5" t="s">
        <v>240</v>
      </c>
      <c r="GV3173" s="5" t="s">
        <v>240</v>
      </c>
      <c r="GW3173" s="5" t="s">
        <v>240</v>
      </c>
      <c r="GX3173" s="5" t="s">
        <v>240</v>
      </c>
      <c r="GY3173" s="5" t="s">
        <v>240</v>
      </c>
      <c r="GZ3173" s="5" t="s">
        <v>240</v>
      </c>
      <c r="HA3173" s="5" t="s">
        <v>240</v>
      </c>
      <c r="HB3173" s="5" t="s">
        <v>240</v>
      </c>
      <c r="HC3173" s="5" t="s">
        <v>240</v>
      </c>
      <c r="HD3173" s="5" t="s">
        <v>240</v>
      </c>
      <c r="HE3173" s="5" t="s">
        <v>240</v>
      </c>
      <c r="HF3173" s="5" t="s">
        <v>240</v>
      </c>
      <c r="HG3173" s="5" t="s">
        <v>240</v>
      </c>
      <c r="HH3173" s="5" t="s">
        <v>240</v>
      </c>
      <c r="HI3173" s="5" t="s">
        <v>240</v>
      </c>
      <c r="HJ3173" s="5" t="s">
        <v>240</v>
      </c>
      <c r="HK3173" s="5" t="s">
        <v>240</v>
      </c>
      <c r="HL3173" s="5" t="s">
        <v>240</v>
      </c>
      <c r="HM3173" s="5" t="s">
        <v>240</v>
      </c>
      <c r="HN3173" s="5" t="s">
        <v>240</v>
      </c>
      <c r="HO3173" s="5" t="s">
        <v>312</v>
      </c>
      <c r="HP3173" s="5" t="s">
        <v>240</v>
      </c>
      <c r="HQ3173" s="5" t="s">
        <v>240</v>
      </c>
      <c r="HR3173" s="5" t="s">
        <v>240</v>
      </c>
      <c r="HS3173" s="5" t="s">
        <v>240</v>
      </c>
      <c r="HT3173" s="5" t="s">
        <v>240</v>
      </c>
      <c r="HU3173" s="5" t="s">
        <v>240</v>
      </c>
      <c r="HV3173" s="5" t="s">
        <v>240</v>
      </c>
      <c r="HW3173" s="5" t="s">
        <v>240</v>
      </c>
      <c r="HX3173" s="5" t="s">
        <v>240</v>
      </c>
      <c r="HY3173" s="5" t="s">
        <v>240</v>
      </c>
      <c r="HZ3173" s="5" t="s">
        <v>240</v>
      </c>
      <c r="IA3173" s="5" t="s">
        <v>240</v>
      </c>
      <c r="IB3173" s="5" t="s">
        <v>240</v>
      </c>
      <c r="IC3173" s="5" t="s">
        <v>240</v>
      </c>
      <c r="ID3173" s="5" t="s">
        <v>240</v>
      </c>
      <c r="IE3173" s="5" t="s">
        <v>240</v>
      </c>
      <c r="IF3173" s="5" t="s">
        <v>240</v>
      </c>
    </row>
    <row r="3174" spans="1:240" x14ac:dyDescent="0.4">
      <c r="A3174" s="5">
        <v>4878</v>
      </c>
      <c r="B3174" s="5">
        <v>1</v>
      </c>
      <c r="C3174" s="5">
        <v>1</v>
      </c>
      <c r="D3174" s="5" t="s">
        <v>810</v>
      </c>
      <c r="E3174" s="5" t="s">
        <v>245</v>
      </c>
      <c r="F3174" s="5" t="s">
        <v>254</v>
      </c>
      <c r="G3174" s="5" t="s">
        <v>240</v>
      </c>
      <c r="H3174" s="6" t="s">
        <v>2195</v>
      </c>
      <c r="I3174" s="5" t="s">
        <v>809</v>
      </c>
      <c r="J3174" s="8">
        <f>2335</f>
        <v>2335</v>
      </c>
      <c r="K3174" s="5" t="s">
        <v>308</v>
      </c>
      <c r="L3174" s="7">
        <f>1</f>
        <v>1</v>
      </c>
      <c r="M3174" s="7">
        <f>1</f>
        <v>1</v>
      </c>
      <c r="N3174" s="5" t="s">
        <v>242</v>
      </c>
      <c r="O3174" s="5">
        <v>1</v>
      </c>
      <c r="P3174" s="5" t="s">
        <v>294</v>
      </c>
      <c r="Q3174" s="5" t="s">
        <v>266</v>
      </c>
      <c r="R3174" s="5" t="s">
        <v>240</v>
      </c>
      <c r="S3174" s="5" t="s">
        <v>240</v>
      </c>
      <c r="T3174" s="5" t="s">
        <v>296</v>
      </c>
      <c r="U3174" s="5" t="s">
        <v>244</v>
      </c>
      <c r="V3174" s="5" t="s">
        <v>240</v>
      </c>
      <c r="Y3174" s="5" t="s">
        <v>240</v>
      </c>
      <c r="Z3174" s="6" t="s">
        <v>298</v>
      </c>
      <c r="AB3174" s="6" t="s">
        <v>240</v>
      </c>
      <c r="AE3174" s="6" t="s">
        <v>299</v>
      </c>
      <c r="AF3174" s="5" t="s">
        <v>248</v>
      </c>
      <c r="AG3174" s="5" t="s">
        <v>249</v>
      </c>
      <c r="AW3174" s="5" t="s">
        <v>251</v>
      </c>
      <c r="AX3174" s="5" t="s">
        <v>240</v>
      </c>
      <c r="AY3174" s="5" t="s">
        <v>253</v>
      </c>
      <c r="AZ3174" s="5" t="s">
        <v>240</v>
      </c>
      <c r="BA3174" s="5" t="s">
        <v>255</v>
      </c>
      <c r="BB3174" s="5" t="s">
        <v>240</v>
      </c>
      <c r="BD3174" s="5" t="s">
        <v>240</v>
      </c>
      <c r="BF3174" s="5" t="s">
        <v>301</v>
      </c>
      <c r="BG3174" s="6" t="s">
        <v>299</v>
      </c>
      <c r="BH3174" s="5" t="s">
        <v>302</v>
      </c>
      <c r="BI3174" s="5" t="s">
        <v>303</v>
      </c>
      <c r="BJ3174" s="5" t="s">
        <v>240</v>
      </c>
      <c r="BK3174" s="8">
        <f>0</f>
        <v>0</v>
      </c>
      <c r="BL3174" s="7">
        <f>0</f>
        <v>0</v>
      </c>
      <c r="BM3174" s="5" t="s">
        <v>258</v>
      </c>
      <c r="BN3174" s="5" t="s">
        <v>259</v>
      </c>
      <c r="CB3174" s="5" t="s">
        <v>240</v>
      </c>
      <c r="CC3174" s="5" t="s">
        <v>240</v>
      </c>
      <c r="CG3174" s="5" t="s">
        <v>304</v>
      </c>
      <c r="CH3174" s="5" t="s">
        <v>305</v>
      </c>
      <c r="CI3174" s="5" t="s">
        <v>240</v>
      </c>
      <c r="CL3174" s="6" t="s">
        <v>261</v>
      </c>
      <c r="CM3174" s="5" t="s">
        <v>240</v>
      </c>
      <c r="CN3174" s="5" t="s">
        <v>263</v>
      </c>
      <c r="CO3174" s="5" t="s">
        <v>240</v>
      </c>
      <c r="CP3174" s="5" t="s">
        <v>240</v>
      </c>
      <c r="CQ3174" s="5">
        <v>0</v>
      </c>
      <c r="CR3174" s="5" t="s">
        <v>306</v>
      </c>
      <c r="CS3174" s="5" t="s">
        <v>307</v>
      </c>
      <c r="CT3174" s="5" t="s">
        <v>307</v>
      </c>
      <c r="CU3174" s="5" t="s">
        <v>260</v>
      </c>
      <c r="CX3174" s="7">
        <f>1</f>
        <v>1</v>
      </c>
      <c r="CY3174" s="7">
        <f>0</f>
        <v>0</v>
      </c>
      <c r="DA3174" s="7">
        <f>0</f>
        <v>0</v>
      </c>
      <c r="DC3174" s="5" t="s">
        <v>309</v>
      </c>
      <c r="DD3174" s="5" t="s">
        <v>240</v>
      </c>
      <c r="DF3174" s="5" t="s">
        <v>309</v>
      </c>
      <c r="DG3174" s="7">
        <f>113</f>
        <v>113</v>
      </c>
      <c r="DI3174" s="5" t="s">
        <v>240</v>
      </c>
      <c r="DJ3174" s="5" t="s">
        <v>240</v>
      </c>
      <c r="DK3174" s="5" t="s">
        <v>240</v>
      </c>
      <c r="DL3174" s="5" t="s">
        <v>240</v>
      </c>
      <c r="DP3174" s="5" t="s">
        <v>240</v>
      </c>
      <c r="DQ3174" s="5" t="s">
        <v>240</v>
      </c>
      <c r="DR3174" s="5" t="s">
        <v>240</v>
      </c>
      <c r="DS3174" s="5" t="s">
        <v>240</v>
      </c>
      <c r="DV3174" s="5" t="s">
        <v>310</v>
      </c>
      <c r="DW3174" s="5" t="s">
        <v>2769</v>
      </c>
      <c r="HO3174" s="5" t="s">
        <v>312</v>
      </c>
    </row>
    <row r="3175" spans="1:240" x14ac:dyDescent="0.4">
      <c r="A3175" s="5">
        <v>4879</v>
      </c>
      <c r="B3175" s="5">
        <v>1</v>
      </c>
      <c r="C3175" s="5">
        <v>1</v>
      </c>
      <c r="D3175" s="5" t="s">
        <v>810</v>
      </c>
      <c r="E3175" s="5" t="s">
        <v>245</v>
      </c>
      <c r="F3175" s="5" t="s">
        <v>254</v>
      </c>
      <c r="G3175" s="5" t="s">
        <v>240</v>
      </c>
      <c r="H3175" s="6" t="s">
        <v>2193</v>
      </c>
      <c r="I3175" s="5" t="s">
        <v>809</v>
      </c>
      <c r="J3175" s="8">
        <f>957</f>
        <v>957</v>
      </c>
      <c r="K3175" s="5" t="s">
        <v>308</v>
      </c>
      <c r="L3175" s="7">
        <f>1</f>
        <v>1</v>
      </c>
      <c r="M3175" s="7">
        <f>1</f>
        <v>1</v>
      </c>
      <c r="N3175" s="5" t="s">
        <v>242</v>
      </c>
      <c r="O3175" s="5">
        <v>1</v>
      </c>
      <c r="P3175" s="5" t="s">
        <v>294</v>
      </c>
      <c r="Q3175" s="5" t="s">
        <v>3678</v>
      </c>
      <c r="R3175" s="5" t="s">
        <v>240</v>
      </c>
      <c r="S3175" s="5" t="s">
        <v>240</v>
      </c>
      <c r="T3175" s="5" t="s">
        <v>243</v>
      </c>
      <c r="U3175" s="5" t="s">
        <v>244</v>
      </c>
      <c r="V3175" s="5" t="s">
        <v>240</v>
      </c>
      <c r="W3175" s="5" t="s">
        <v>240</v>
      </c>
      <c r="X3175" s="5" t="s">
        <v>240</v>
      </c>
      <c r="Y3175" s="5" t="s">
        <v>240</v>
      </c>
      <c r="Z3175" s="6" t="s">
        <v>298</v>
      </c>
      <c r="AA3175" s="6" t="s">
        <v>240</v>
      </c>
      <c r="AB3175" s="6" t="s">
        <v>240</v>
      </c>
      <c r="AC3175" s="5" t="s">
        <v>240</v>
      </c>
      <c r="AD3175" s="6" t="s">
        <v>240</v>
      </c>
      <c r="AE3175" s="6" t="s">
        <v>299</v>
      </c>
      <c r="AF3175" s="5" t="s">
        <v>248</v>
      </c>
      <c r="AG3175" s="5" t="s">
        <v>249</v>
      </c>
      <c r="AH3175" s="5" t="s">
        <v>240</v>
      </c>
      <c r="AI3175" s="5" t="s">
        <v>240</v>
      </c>
      <c r="AJ3175" s="5" t="s">
        <v>240</v>
      </c>
      <c r="AK3175" s="5" t="s">
        <v>240</v>
      </c>
      <c r="AL3175" s="5" t="s">
        <v>240</v>
      </c>
      <c r="AM3175" s="5" t="s">
        <v>240</v>
      </c>
      <c r="AN3175" s="5" t="s">
        <v>240</v>
      </c>
      <c r="AO3175" s="5" t="s">
        <v>240</v>
      </c>
      <c r="AP3175" s="6" t="s">
        <v>240</v>
      </c>
      <c r="AQ3175" s="6" t="s">
        <v>240</v>
      </c>
      <c r="AR3175" s="6" t="s">
        <v>240</v>
      </c>
      <c r="AS3175" s="6" t="s">
        <v>240</v>
      </c>
      <c r="AT3175" s="5" t="s">
        <v>240</v>
      </c>
      <c r="AU3175" s="5" t="s">
        <v>729</v>
      </c>
      <c r="AV3175" s="5" t="s">
        <v>729</v>
      </c>
      <c r="AW3175" s="5" t="s">
        <v>251</v>
      </c>
      <c r="AX3175" s="5" t="s">
        <v>252</v>
      </c>
      <c r="AY3175" s="5" t="s">
        <v>253</v>
      </c>
      <c r="AZ3175" s="5" t="s">
        <v>240</v>
      </c>
      <c r="BA3175" s="5" t="s">
        <v>255</v>
      </c>
      <c r="BB3175" s="5" t="s">
        <v>731</v>
      </c>
      <c r="BD3175" s="5" t="s">
        <v>240</v>
      </c>
      <c r="BF3175" s="5" t="s">
        <v>732</v>
      </c>
      <c r="BG3175" s="6" t="s">
        <v>733</v>
      </c>
      <c r="BH3175" s="5" t="s">
        <v>734</v>
      </c>
      <c r="BI3175" s="5" t="s">
        <v>734</v>
      </c>
      <c r="BJ3175" s="5" t="s">
        <v>240</v>
      </c>
      <c r="BK3175" s="7">
        <f>1</f>
        <v>1</v>
      </c>
      <c r="BL3175" s="7">
        <f>1</f>
        <v>1</v>
      </c>
      <c r="BM3175" s="5" t="s">
        <v>258</v>
      </c>
      <c r="BN3175" s="5" t="s">
        <v>259</v>
      </c>
      <c r="BO3175" s="5" t="s">
        <v>240</v>
      </c>
      <c r="BP3175" s="5" t="s">
        <v>240</v>
      </c>
      <c r="BQ3175" s="5" t="s">
        <v>240</v>
      </c>
      <c r="BR3175" s="5" t="s">
        <v>240</v>
      </c>
      <c r="BS3175" s="5" t="s">
        <v>240</v>
      </c>
      <c r="BT3175" s="5" t="s">
        <v>240</v>
      </c>
      <c r="BU3175" s="5" t="s">
        <v>240</v>
      </c>
      <c r="BV3175" s="5" t="s">
        <v>240</v>
      </c>
      <c r="BW3175" s="6" t="s">
        <v>240</v>
      </c>
      <c r="BX3175" s="5" t="s">
        <v>240</v>
      </c>
      <c r="BY3175" s="5" t="s">
        <v>240</v>
      </c>
      <c r="BZ3175" s="5" t="s">
        <v>240</v>
      </c>
      <c r="CA3175" s="5" t="s">
        <v>259</v>
      </c>
      <c r="CB3175" s="5" t="s">
        <v>240</v>
      </c>
      <c r="CC3175" s="5" t="s">
        <v>240</v>
      </c>
      <c r="CD3175" s="5" t="s">
        <v>240</v>
      </c>
      <c r="CE3175" s="5" t="s">
        <v>240</v>
      </c>
      <c r="CF3175" s="5" t="s">
        <v>240</v>
      </c>
      <c r="CG3175" s="5" t="s">
        <v>304</v>
      </c>
      <c r="CH3175" s="5" t="s">
        <v>305</v>
      </c>
      <c r="CI3175" s="5" t="s">
        <v>240</v>
      </c>
      <c r="CK3175" s="5" t="s">
        <v>3681</v>
      </c>
      <c r="CL3175" s="6" t="s">
        <v>261</v>
      </c>
      <c r="CM3175" s="5" t="s">
        <v>262</v>
      </c>
      <c r="CN3175" s="5" t="s">
        <v>263</v>
      </c>
      <c r="CO3175" s="5" t="s">
        <v>264</v>
      </c>
      <c r="CP3175" s="5" t="s">
        <v>240</v>
      </c>
      <c r="CQ3175" s="5">
        <v>0</v>
      </c>
      <c r="CR3175" s="5" t="s">
        <v>735</v>
      </c>
      <c r="CS3175" s="5" t="s">
        <v>307</v>
      </c>
      <c r="CT3175" s="5" t="s">
        <v>307</v>
      </c>
      <c r="CU3175" s="5" t="s">
        <v>260</v>
      </c>
      <c r="CV3175" s="5" t="s">
        <v>612</v>
      </c>
      <c r="CW3175" s="8">
        <f>1</f>
        <v>1</v>
      </c>
      <c r="CX3175" s="7">
        <f>1</f>
        <v>1</v>
      </c>
      <c r="CY3175" s="7">
        <f>0</f>
        <v>0</v>
      </c>
      <c r="DA3175" s="7">
        <f>1</f>
        <v>1</v>
      </c>
      <c r="DB3175" s="7" t="s">
        <v>240</v>
      </c>
      <c r="DC3175" s="5" t="s">
        <v>240</v>
      </c>
      <c r="DD3175" s="5" t="s">
        <v>240</v>
      </c>
      <c r="DE3175" s="5" t="s">
        <v>240</v>
      </c>
      <c r="DF3175" s="5" t="s">
        <v>240</v>
      </c>
      <c r="DG3175" s="7">
        <f>0</f>
        <v>0</v>
      </c>
      <c r="DI3175" s="5" t="s">
        <v>240</v>
      </c>
      <c r="DJ3175" s="5" t="s">
        <v>240</v>
      </c>
      <c r="DK3175" s="5" t="s">
        <v>240</v>
      </c>
      <c r="DL3175" s="5" t="s">
        <v>240</v>
      </c>
      <c r="DM3175" s="5" t="s">
        <v>240</v>
      </c>
      <c r="DN3175" s="5" t="s">
        <v>240</v>
      </c>
      <c r="DO3175" s="7" t="s">
        <v>240</v>
      </c>
      <c r="DP3175" s="5" t="s">
        <v>240</v>
      </c>
      <c r="DQ3175" s="5" t="s">
        <v>240</v>
      </c>
      <c r="DR3175" s="5" t="s">
        <v>731</v>
      </c>
      <c r="DS3175" s="5" t="s">
        <v>731</v>
      </c>
      <c r="DT3175" s="5" t="s">
        <v>240</v>
      </c>
      <c r="DU3175" s="5" t="s">
        <v>240</v>
      </c>
      <c r="DV3175" s="5" t="s">
        <v>3683</v>
      </c>
      <c r="DW3175" s="5" t="s">
        <v>356</v>
      </c>
      <c r="DX3175" s="5" t="s">
        <v>240</v>
      </c>
      <c r="DY3175" s="5" t="s">
        <v>240</v>
      </c>
      <c r="DZ3175" s="5" t="s">
        <v>240</v>
      </c>
      <c r="EA3175" s="5" t="s">
        <v>240</v>
      </c>
      <c r="EB3175" s="5" t="s">
        <v>240</v>
      </c>
      <c r="EC3175" s="5" t="s">
        <v>240</v>
      </c>
      <c r="ED3175" s="5" t="s">
        <v>240</v>
      </c>
      <c r="EE3175" s="5" t="s">
        <v>240</v>
      </c>
      <c r="EF3175" s="5" t="s">
        <v>240</v>
      </c>
      <c r="EG3175" s="5" t="s">
        <v>240</v>
      </c>
      <c r="EH3175" s="5" t="s">
        <v>240</v>
      </c>
      <c r="EI3175" s="5" t="s">
        <v>240</v>
      </c>
      <c r="EJ3175" s="5" t="s">
        <v>240</v>
      </c>
      <c r="EK3175" s="5" t="s">
        <v>240</v>
      </c>
      <c r="EL3175" s="5" t="s">
        <v>240</v>
      </c>
      <c r="EM3175" s="5" t="s">
        <v>240</v>
      </c>
      <c r="EN3175" s="5" t="s">
        <v>240</v>
      </c>
      <c r="EO3175" s="5" t="s">
        <v>240</v>
      </c>
      <c r="EP3175" s="5" t="s">
        <v>240</v>
      </c>
      <c r="EQ3175" s="5" t="s">
        <v>240</v>
      </c>
      <c r="ER3175" s="5" t="s">
        <v>240</v>
      </c>
      <c r="ES3175" s="5" t="s">
        <v>240</v>
      </c>
      <c r="ET3175" s="5" t="s">
        <v>240</v>
      </c>
      <c r="EU3175" s="5" t="s">
        <v>240</v>
      </c>
      <c r="EV3175" s="5" t="s">
        <v>240</v>
      </c>
      <c r="EW3175" s="5" t="s">
        <v>240</v>
      </c>
      <c r="EX3175" s="5" t="s">
        <v>240</v>
      </c>
      <c r="EY3175" s="5" t="s">
        <v>240</v>
      </c>
      <c r="EZ3175" s="5" t="s">
        <v>240</v>
      </c>
      <c r="FA3175" s="5" t="s">
        <v>240</v>
      </c>
      <c r="FB3175" s="5" t="s">
        <v>240</v>
      </c>
      <c r="FC3175" s="5" t="s">
        <v>240</v>
      </c>
      <c r="FD3175" s="5" t="s">
        <v>240</v>
      </c>
      <c r="FE3175" s="5" t="s">
        <v>240</v>
      </c>
      <c r="FF3175" s="5" t="s">
        <v>240</v>
      </c>
      <c r="FG3175" s="5" t="s">
        <v>240</v>
      </c>
      <c r="FH3175" s="5" t="s">
        <v>240</v>
      </c>
      <c r="FI3175" s="5" t="s">
        <v>240</v>
      </c>
      <c r="FJ3175" s="5" t="s">
        <v>240</v>
      </c>
      <c r="FK3175" s="5" t="s">
        <v>240</v>
      </c>
      <c r="FL3175" s="5" t="s">
        <v>240</v>
      </c>
      <c r="FM3175" s="5" t="s">
        <v>240</v>
      </c>
      <c r="FN3175" s="5" t="s">
        <v>240</v>
      </c>
      <c r="FO3175" s="5" t="s">
        <v>240</v>
      </c>
      <c r="FP3175" s="5" t="s">
        <v>240</v>
      </c>
      <c r="FQ3175" s="5" t="s">
        <v>240</v>
      </c>
      <c r="FR3175" s="5" t="s">
        <v>240</v>
      </c>
      <c r="FS3175" s="5" t="s">
        <v>240</v>
      </c>
      <c r="FT3175" s="5" t="s">
        <v>240</v>
      </c>
      <c r="FU3175" s="5" t="s">
        <v>240</v>
      </c>
      <c r="FV3175" s="5" t="s">
        <v>240</v>
      </c>
      <c r="FW3175" s="5" t="s">
        <v>240</v>
      </c>
      <c r="FX3175" s="5" t="s">
        <v>240</v>
      </c>
      <c r="FY3175" s="5" t="s">
        <v>240</v>
      </c>
      <c r="FZ3175" s="5" t="s">
        <v>240</v>
      </c>
      <c r="GA3175" s="5" t="s">
        <v>240</v>
      </c>
      <c r="GB3175" s="5" t="s">
        <v>240</v>
      </c>
      <c r="GC3175" s="5" t="s">
        <v>240</v>
      </c>
      <c r="GD3175" s="5" t="s">
        <v>240</v>
      </c>
      <c r="GE3175" s="5" t="s">
        <v>240</v>
      </c>
      <c r="GF3175" s="5" t="s">
        <v>240</v>
      </c>
      <c r="GG3175" s="5" t="s">
        <v>240</v>
      </c>
      <c r="GH3175" s="5" t="s">
        <v>240</v>
      </c>
      <c r="GI3175" s="5" t="s">
        <v>240</v>
      </c>
      <c r="GJ3175" s="5" t="s">
        <v>240</v>
      </c>
      <c r="GK3175" s="5" t="s">
        <v>240</v>
      </c>
      <c r="GL3175" s="5" t="s">
        <v>240</v>
      </c>
      <c r="GM3175" s="5" t="s">
        <v>240</v>
      </c>
      <c r="GN3175" s="5" t="s">
        <v>240</v>
      </c>
      <c r="GO3175" s="5" t="s">
        <v>240</v>
      </c>
      <c r="GP3175" s="5" t="s">
        <v>240</v>
      </c>
      <c r="GQ3175" s="5" t="s">
        <v>240</v>
      </c>
      <c r="GR3175" s="5" t="s">
        <v>240</v>
      </c>
      <c r="GS3175" s="5" t="s">
        <v>240</v>
      </c>
      <c r="GT3175" s="5" t="s">
        <v>240</v>
      </c>
      <c r="GU3175" s="5" t="s">
        <v>240</v>
      </c>
      <c r="GV3175" s="5" t="s">
        <v>240</v>
      </c>
      <c r="GW3175" s="5" t="s">
        <v>240</v>
      </c>
      <c r="GX3175" s="5" t="s">
        <v>240</v>
      </c>
      <c r="GY3175" s="5" t="s">
        <v>240</v>
      </c>
      <c r="GZ3175" s="5" t="s">
        <v>240</v>
      </c>
      <c r="HA3175" s="5" t="s">
        <v>240</v>
      </c>
      <c r="HB3175" s="5" t="s">
        <v>240</v>
      </c>
      <c r="HC3175" s="5" t="s">
        <v>240</v>
      </c>
      <c r="HD3175" s="5" t="s">
        <v>240</v>
      </c>
      <c r="HE3175" s="5" t="s">
        <v>240</v>
      </c>
      <c r="HF3175" s="5" t="s">
        <v>240</v>
      </c>
      <c r="HG3175" s="5" t="s">
        <v>240</v>
      </c>
      <c r="HH3175" s="5" t="s">
        <v>240</v>
      </c>
      <c r="HI3175" s="5" t="s">
        <v>240</v>
      </c>
      <c r="HJ3175" s="5" t="s">
        <v>240</v>
      </c>
      <c r="HK3175" s="5" t="s">
        <v>240</v>
      </c>
      <c r="HL3175" s="5" t="s">
        <v>240</v>
      </c>
      <c r="HM3175" s="5" t="s">
        <v>240</v>
      </c>
      <c r="HN3175" s="5" t="s">
        <v>240</v>
      </c>
      <c r="HO3175" s="5" t="s">
        <v>312</v>
      </c>
      <c r="HP3175" s="5" t="s">
        <v>240</v>
      </c>
      <c r="HQ3175" s="5" t="s">
        <v>240</v>
      </c>
      <c r="HR3175" s="5" t="s">
        <v>240</v>
      </c>
      <c r="HS3175" s="5" t="s">
        <v>240</v>
      </c>
      <c r="HT3175" s="5" t="s">
        <v>240</v>
      </c>
      <c r="HU3175" s="5" t="s">
        <v>240</v>
      </c>
      <c r="HV3175" s="5" t="s">
        <v>240</v>
      </c>
      <c r="HW3175" s="5" t="s">
        <v>240</v>
      </c>
      <c r="HX3175" s="5" t="s">
        <v>240</v>
      </c>
      <c r="HY3175" s="5" t="s">
        <v>240</v>
      </c>
      <c r="HZ3175" s="5" t="s">
        <v>240</v>
      </c>
      <c r="IA3175" s="5" t="s">
        <v>240</v>
      </c>
      <c r="IB3175" s="5" t="s">
        <v>240</v>
      </c>
      <c r="IC3175" s="5" t="s">
        <v>240</v>
      </c>
      <c r="ID3175" s="5" t="s">
        <v>240</v>
      </c>
      <c r="IE3175" s="5" t="s">
        <v>240</v>
      </c>
      <c r="IF3175" s="5" t="s">
        <v>240</v>
      </c>
    </row>
    <row r="3176" spans="1:240" x14ac:dyDescent="0.4">
      <c r="A3176" s="5">
        <v>4880</v>
      </c>
      <c r="B3176" s="5">
        <v>1</v>
      </c>
      <c r="C3176" s="5">
        <v>1</v>
      </c>
      <c r="D3176" s="5" t="s">
        <v>810</v>
      </c>
      <c r="E3176" s="5" t="s">
        <v>245</v>
      </c>
      <c r="F3176" s="5" t="s">
        <v>254</v>
      </c>
      <c r="G3176" s="5" t="s">
        <v>240</v>
      </c>
      <c r="H3176" s="6" t="s">
        <v>2191</v>
      </c>
      <c r="I3176" s="5" t="s">
        <v>809</v>
      </c>
      <c r="J3176" s="8">
        <f>398</f>
        <v>398</v>
      </c>
      <c r="K3176" s="5" t="s">
        <v>308</v>
      </c>
      <c r="L3176" s="7">
        <f>1</f>
        <v>1</v>
      </c>
      <c r="M3176" s="7">
        <f>1</f>
        <v>1</v>
      </c>
      <c r="N3176" s="5" t="s">
        <v>242</v>
      </c>
      <c r="O3176" s="5">
        <v>1</v>
      </c>
      <c r="P3176" s="5" t="s">
        <v>294</v>
      </c>
      <c r="Q3176" s="5" t="s">
        <v>3678</v>
      </c>
      <c r="R3176" s="5" t="s">
        <v>240</v>
      </c>
      <c r="S3176" s="5" t="s">
        <v>240</v>
      </c>
      <c r="T3176" s="5" t="s">
        <v>243</v>
      </c>
      <c r="U3176" s="5" t="s">
        <v>244</v>
      </c>
      <c r="V3176" s="5" t="s">
        <v>240</v>
      </c>
      <c r="W3176" s="5" t="s">
        <v>240</v>
      </c>
      <c r="X3176" s="5" t="s">
        <v>240</v>
      </c>
      <c r="Y3176" s="5" t="s">
        <v>240</v>
      </c>
      <c r="Z3176" s="6" t="s">
        <v>298</v>
      </c>
      <c r="AA3176" s="6" t="s">
        <v>240</v>
      </c>
      <c r="AB3176" s="6" t="s">
        <v>240</v>
      </c>
      <c r="AC3176" s="5" t="s">
        <v>240</v>
      </c>
      <c r="AD3176" s="6" t="s">
        <v>240</v>
      </c>
      <c r="AE3176" s="6" t="s">
        <v>299</v>
      </c>
      <c r="AF3176" s="5" t="s">
        <v>248</v>
      </c>
      <c r="AG3176" s="5" t="s">
        <v>249</v>
      </c>
      <c r="AH3176" s="5" t="s">
        <v>240</v>
      </c>
      <c r="AI3176" s="5" t="s">
        <v>240</v>
      </c>
      <c r="AJ3176" s="5" t="s">
        <v>240</v>
      </c>
      <c r="AK3176" s="5" t="s">
        <v>240</v>
      </c>
      <c r="AL3176" s="5" t="s">
        <v>240</v>
      </c>
      <c r="AM3176" s="5" t="s">
        <v>240</v>
      </c>
      <c r="AN3176" s="5" t="s">
        <v>240</v>
      </c>
      <c r="AO3176" s="5" t="s">
        <v>240</v>
      </c>
      <c r="AP3176" s="6" t="s">
        <v>240</v>
      </c>
      <c r="AQ3176" s="6" t="s">
        <v>240</v>
      </c>
      <c r="AR3176" s="6" t="s">
        <v>240</v>
      </c>
      <c r="AS3176" s="6" t="s">
        <v>240</v>
      </c>
      <c r="AT3176" s="5" t="s">
        <v>240</v>
      </c>
      <c r="AU3176" s="5" t="s">
        <v>729</v>
      </c>
      <c r="AV3176" s="5" t="s">
        <v>729</v>
      </c>
      <c r="AW3176" s="5" t="s">
        <v>251</v>
      </c>
      <c r="AX3176" s="5" t="s">
        <v>252</v>
      </c>
      <c r="AY3176" s="5" t="s">
        <v>253</v>
      </c>
      <c r="AZ3176" s="5" t="s">
        <v>240</v>
      </c>
      <c r="BA3176" s="5" t="s">
        <v>255</v>
      </c>
      <c r="BB3176" s="5" t="s">
        <v>731</v>
      </c>
      <c r="BD3176" s="5" t="s">
        <v>240</v>
      </c>
      <c r="BF3176" s="5" t="s">
        <v>732</v>
      </c>
      <c r="BG3176" s="6" t="s">
        <v>733</v>
      </c>
      <c r="BH3176" s="5" t="s">
        <v>734</v>
      </c>
      <c r="BI3176" s="5" t="s">
        <v>734</v>
      </c>
      <c r="BJ3176" s="5" t="s">
        <v>240</v>
      </c>
      <c r="BK3176" s="7">
        <f>1</f>
        <v>1</v>
      </c>
      <c r="BL3176" s="7">
        <f>1</f>
        <v>1</v>
      </c>
      <c r="BM3176" s="5" t="s">
        <v>258</v>
      </c>
      <c r="BN3176" s="5" t="s">
        <v>259</v>
      </c>
      <c r="BO3176" s="5" t="s">
        <v>240</v>
      </c>
      <c r="BP3176" s="5" t="s">
        <v>240</v>
      </c>
      <c r="BQ3176" s="5" t="s">
        <v>240</v>
      </c>
      <c r="BR3176" s="5" t="s">
        <v>240</v>
      </c>
      <c r="BS3176" s="5" t="s">
        <v>240</v>
      </c>
      <c r="BT3176" s="5" t="s">
        <v>240</v>
      </c>
      <c r="BU3176" s="5" t="s">
        <v>240</v>
      </c>
      <c r="BV3176" s="5" t="s">
        <v>240</v>
      </c>
      <c r="BW3176" s="6" t="s">
        <v>240</v>
      </c>
      <c r="BX3176" s="5" t="s">
        <v>240</v>
      </c>
      <c r="BY3176" s="5" t="s">
        <v>240</v>
      </c>
      <c r="BZ3176" s="5" t="s">
        <v>240</v>
      </c>
      <c r="CA3176" s="5" t="s">
        <v>259</v>
      </c>
      <c r="CB3176" s="5" t="s">
        <v>240</v>
      </c>
      <c r="CC3176" s="5" t="s">
        <v>240</v>
      </c>
      <c r="CD3176" s="5" t="s">
        <v>240</v>
      </c>
      <c r="CE3176" s="5" t="s">
        <v>240</v>
      </c>
      <c r="CF3176" s="5" t="s">
        <v>240</v>
      </c>
      <c r="CG3176" s="5" t="s">
        <v>304</v>
      </c>
      <c r="CH3176" s="5" t="s">
        <v>305</v>
      </c>
      <c r="CI3176" s="5" t="s">
        <v>240</v>
      </c>
      <c r="CK3176" s="5" t="s">
        <v>3681</v>
      </c>
      <c r="CL3176" s="6" t="s">
        <v>261</v>
      </c>
      <c r="CM3176" s="5" t="s">
        <v>262</v>
      </c>
      <c r="CN3176" s="5" t="s">
        <v>263</v>
      </c>
      <c r="CO3176" s="5" t="s">
        <v>264</v>
      </c>
      <c r="CP3176" s="5" t="s">
        <v>240</v>
      </c>
      <c r="CQ3176" s="5">
        <v>0</v>
      </c>
      <c r="CR3176" s="5" t="s">
        <v>735</v>
      </c>
      <c r="CS3176" s="5" t="s">
        <v>307</v>
      </c>
      <c r="CT3176" s="5" t="s">
        <v>307</v>
      </c>
      <c r="CU3176" s="5" t="s">
        <v>260</v>
      </c>
      <c r="CV3176" s="5" t="s">
        <v>612</v>
      </c>
      <c r="CW3176" s="8">
        <f>1</f>
        <v>1</v>
      </c>
      <c r="CX3176" s="7">
        <f>1</f>
        <v>1</v>
      </c>
      <c r="CY3176" s="7">
        <f>0</f>
        <v>0</v>
      </c>
      <c r="DA3176" s="7">
        <f>1</f>
        <v>1</v>
      </c>
      <c r="DB3176" s="7" t="s">
        <v>240</v>
      </c>
      <c r="DC3176" s="5" t="s">
        <v>240</v>
      </c>
      <c r="DD3176" s="5" t="s">
        <v>240</v>
      </c>
      <c r="DE3176" s="5" t="s">
        <v>240</v>
      </c>
      <c r="DF3176" s="5" t="s">
        <v>240</v>
      </c>
      <c r="DG3176" s="7">
        <f>0</f>
        <v>0</v>
      </c>
      <c r="DI3176" s="5" t="s">
        <v>240</v>
      </c>
      <c r="DJ3176" s="5" t="s">
        <v>240</v>
      </c>
      <c r="DK3176" s="5" t="s">
        <v>240</v>
      </c>
      <c r="DL3176" s="5" t="s">
        <v>240</v>
      </c>
      <c r="DM3176" s="5" t="s">
        <v>240</v>
      </c>
      <c r="DN3176" s="5" t="s">
        <v>240</v>
      </c>
      <c r="DO3176" s="7" t="s">
        <v>240</v>
      </c>
      <c r="DP3176" s="5" t="s">
        <v>240</v>
      </c>
      <c r="DQ3176" s="5" t="s">
        <v>240</v>
      </c>
      <c r="DR3176" s="5" t="s">
        <v>731</v>
      </c>
      <c r="DS3176" s="5" t="s">
        <v>731</v>
      </c>
      <c r="DT3176" s="5" t="s">
        <v>240</v>
      </c>
      <c r="DU3176" s="5" t="s">
        <v>240</v>
      </c>
      <c r="DV3176" s="5" t="s">
        <v>3683</v>
      </c>
      <c r="DW3176" s="5" t="s">
        <v>678</v>
      </c>
      <c r="DX3176" s="5" t="s">
        <v>240</v>
      </c>
      <c r="DY3176" s="5" t="s">
        <v>240</v>
      </c>
      <c r="DZ3176" s="5" t="s">
        <v>240</v>
      </c>
      <c r="EA3176" s="5" t="s">
        <v>240</v>
      </c>
      <c r="EB3176" s="5" t="s">
        <v>240</v>
      </c>
      <c r="EC3176" s="5" t="s">
        <v>240</v>
      </c>
      <c r="ED3176" s="5" t="s">
        <v>240</v>
      </c>
      <c r="EE3176" s="5" t="s">
        <v>240</v>
      </c>
      <c r="EF3176" s="5" t="s">
        <v>240</v>
      </c>
      <c r="EG3176" s="5" t="s">
        <v>240</v>
      </c>
      <c r="EH3176" s="5" t="s">
        <v>240</v>
      </c>
      <c r="EI3176" s="5" t="s">
        <v>240</v>
      </c>
      <c r="EJ3176" s="5" t="s">
        <v>240</v>
      </c>
      <c r="EK3176" s="5" t="s">
        <v>240</v>
      </c>
      <c r="EL3176" s="5" t="s">
        <v>240</v>
      </c>
      <c r="EM3176" s="5" t="s">
        <v>240</v>
      </c>
      <c r="EN3176" s="5" t="s">
        <v>240</v>
      </c>
      <c r="EO3176" s="5" t="s">
        <v>240</v>
      </c>
      <c r="EP3176" s="5" t="s">
        <v>240</v>
      </c>
      <c r="EQ3176" s="5" t="s">
        <v>240</v>
      </c>
      <c r="ER3176" s="5" t="s">
        <v>240</v>
      </c>
      <c r="ES3176" s="5" t="s">
        <v>240</v>
      </c>
      <c r="ET3176" s="5" t="s">
        <v>240</v>
      </c>
      <c r="EU3176" s="5" t="s">
        <v>240</v>
      </c>
      <c r="EV3176" s="5" t="s">
        <v>240</v>
      </c>
      <c r="EW3176" s="5" t="s">
        <v>240</v>
      </c>
      <c r="EX3176" s="5" t="s">
        <v>240</v>
      </c>
      <c r="EY3176" s="5" t="s">
        <v>240</v>
      </c>
      <c r="EZ3176" s="5" t="s">
        <v>240</v>
      </c>
      <c r="FA3176" s="5" t="s">
        <v>240</v>
      </c>
      <c r="FB3176" s="5" t="s">
        <v>240</v>
      </c>
      <c r="FC3176" s="5" t="s">
        <v>240</v>
      </c>
      <c r="FD3176" s="5" t="s">
        <v>240</v>
      </c>
      <c r="FE3176" s="5" t="s">
        <v>240</v>
      </c>
      <c r="FF3176" s="5" t="s">
        <v>240</v>
      </c>
      <c r="FG3176" s="5" t="s">
        <v>240</v>
      </c>
      <c r="FH3176" s="5" t="s">
        <v>240</v>
      </c>
      <c r="FI3176" s="5" t="s">
        <v>240</v>
      </c>
      <c r="FJ3176" s="5" t="s">
        <v>240</v>
      </c>
      <c r="FK3176" s="5" t="s">
        <v>240</v>
      </c>
      <c r="FL3176" s="5" t="s">
        <v>240</v>
      </c>
      <c r="FM3176" s="5" t="s">
        <v>240</v>
      </c>
      <c r="FN3176" s="5" t="s">
        <v>240</v>
      </c>
      <c r="FO3176" s="5" t="s">
        <v>240</v>
      </c>
      <c r="FP3176" s="5" t="s">
        <v>240</v>
      </c>
      <c r="FQ3176" s="5" t="s">
        <v>240</v>
      </c>
      <c r="FR3176" s="5" t="s">
        <v>240</v>
      </c>
      <c r="FS3176" s="5" t="s">
        <v>240</v>
      </c>
      <c r="FT3176" s="5" t="s">
        <v>240</v>
      </c>
      <c r="FU3176" s="5" t="s">
        <v>240</v>
      </c>
      <c r="FV3176" s="5" t="s">
        <v>240</v>
      </c>
      <c r="FW3176" s="5" t="s">
        <v>240</v>
      </c>
      <c r="FX3176" s="5" t="s">
        <v>240</v>
      </c>
      <c r="FY3176" s="5" t="s">
        <v>240</v>
      </c>
      <c r="FZ3176" s="5" t="s">
        <v>240</v>
      </c>
      <c r="GA3176" s="5" t="s">
        <v>240</v>
      </c>
      <c r="GB3176" s="5" t="s">
        <v>240</v>
      </c>
      <c r="GC3176" s="5" t="s">
        <v>240</v>
      </c>
      <c r="GD3176" s="5" t="s">
        <v>240</v>
      </c>
      <c r="GE3176" s="5" t="s">
        <v>240</v>
      </c>
      <c r="GF3176" s="5" t="s">
        <v>240</v>
      </c>
      <c r="GG3176" s="5" t="s">
        <v>240</v>
      </c>
      <c r="GH3176" s="5" t="s">
        <v>240</v>
      </c>
      <c r="GI3176" s="5" t="s">
        <v>240</v>
      </c>
      <c r="GJ3176" s="5" t="s">
        <v>240</v>
      </c>
      <c r="GK3176" s="5" t="s">
        <v>240</v>
      </c>
      <c r="GL3176" s="5" t="s">
        <v>240</v>
      </c>
      <c r="GM3176" s="5" t="s">
        <v>240</v>
      </c>
      <c r="GN3176" s="5" t="s">
        <v>240</v>
      </c>
      <c r="GO3176" s="5" t="s">
        <v>240</v>
      </c>
      <c r="GP3176" s="5" t="s">
        <v>240</v>
      </c>
      <c r="GQ3176" s="5" t="s">
        <v>240</v>
      </c>
      <c r="GR3176" s="5" t="s">
        <v>240</v>
      </c>
      <c r="GS3176" s="5" t="s">
        <v>240</v>
      </c>
      <c r="GT3176" s="5" t="s">
        <v>240</v>
      </c>
      <c r="GU3176" s="5" t="s">
        <v>240</v>
      </c>
      <c r="GV3176" s="5" t="s">
        <v>240</v>
      </c>
      <c r="GW3176" s="5" t="s">
        <v>240</v>
      </c>
      <c r="GX3176" s="5" t="s">
        <v>240</v>
      </c>
      <c r="GY3176" s="5" t="s">
        <v>240</v>
      </c>
      <c r="GZ3176" s="5" t="s">
        <v>240</v>
      </c>
      <c r="HA3176" s="5" t="s">
        <v>240</v>
      </c>
      <c r="HB3176" s="5" t="s">
        <v>240</v>
      </c>
      <c r="HC3176" s="5" t="s">
        <v>240</v>
      </c>
      <c r="HD3176" s="5" t="s">
        <v>240</v>
      </c>
      <c r="HE3176" s="5" t="s">
        <v>240</v>
      </c>
      <c r="HF3176" s="5" t="s">
        <v>240</v>
      </c>
      <c r="HG3176" s="5" t="s">
        <v>240</v>
      </c>
      <c r="HH3176" s="5" t="s">
        <v>240</v>
      </c>
      <c r="HI3176" s="5" t="s">
        <v>240</v>
      </c>
      <c r="HJ3176" s="5" t="s">
        <v>240</v>
      </c>
      <c r="HK3176" s="5" t="s">
        <v>240</v>
      </c>
      <c r="HL3176" s="5" t="s">
        <v>240</v>
      </c>
      <c r="HM3176" s="5" t="s">
        <v>240</v>
      </c>
      <c r="HN3176" s="5" t="s">
        <v>240</v>
      </c>
      <c r="HO3176" s="5" t="s">
        <v>312</v>
      </c>
      <c r="HP3176" s="5" t="s">
        <v>240</v>
      </c>
      <c r="HQ3176" s="5" t="s">
        <v>240</v>
      </c>
      <c r="HR3176" s="5" t="s">
        <v>240</v>
      </c>
      <c r="HS3176" s="5" t="s">
        <v>240</v>
      </c>
      <c r="HT3176" s="5" t="s">
        <v>240</v>
      </c>
      <c r="HU3176" s="5" t="s">
        <v>240</v>
      </c>
      <c r="HV3176" s="5" t="s">
        <v>240</v>
      </c>
      <c r="HW3176" s="5" t="s">
        <v>240</v>
      </c>
      <c r="HX3176" s="5" t="s">
        <v>240</v>
      </c>
      <c r="HY3176" s="5" t="s">
        <v>240</v>
      </c>
      <c r="HZ3176" s="5" t="s">
        <v>240</v>
      </c>
      <c r="IA3176" s="5" t="s">
        <v>240</v>
      </c>
      <c r="IB3176" s="5" t="s">
        <v>240</v>
      </c>
      <c r="IC3176" s="5" t="s">
        <v>240</v>
      </c>
      <c r="ID3176" s="5" t="s">
        <v>240</v>
      </c>
      <c r="IE3176" s="5" t="s">
        <v>240</v>
      </c>
      <c r="IF3176" s="5" t="s">
        <v>240</v>
      </c>
    </row>
    <row r="3177" spans="1:240" x14ac:dyDescent="0.4">
      <c r="A3177" s="5">
        <v>4881</v>
      </c>
      <c r="B3177" s="5">
        <v>1</v>
      </c>
      <c r="C3177" s="5">
        <v>1</v>
      </c>
      <c r="D3177" s="5" t="s">
        <v>810</v>
      </c>
      <c r="E3177" s="5" t="s">
        <v>245</v>
      </c>
      <c r="F3177" s="5" t="s">
        <v>254</v>
      </c>
      <c r="G3177" s="5" t="s">
        <v>240</v>
      </c>
      <c r="H3177" s="6" t="s">
        <v>2189</v>
      </c>
      <c r="I3177" s="5" t="s">
        <v>809</v>
      </c>
      <c r="J3177" s="8">
        <f>756</f>
        <v>756</v>
      </c>
      <c r="K3177" s="5" t="s">
        <v>308</v>
      </c>
      <c r="L3177" s="7">
        <f>1</f>
        <v>1</v>
      </c>
      <c r="M3177" s="7">
        <f>1</f>
        <v>1</v>
      </c>
      <c r="N3177" s="5" t="s">
        <v>242</v>
      </c>
      <c r="O3177" s="5">
        <v>1</v>
      </c>
      <c r="P3177" s="5" t="s">
        <v>294</v>
      </c>
      <c r="Q3177" s="5" t="s">
        <v>3678</v>
      </c>
      <c r="R3177" s="5" t="s">
        <v>240</v>
      </c>
      <c r="S3177" s="5" t="s">
        <v>240</v>
      </c>
      <c r="T3177" s="5" t="s">
        <v>243</v>
      </c>
      <c r="U3177" s="5" t="s">
        <v>244</v>
      </c>
      <c r="V3177" s="5" t="s">
        <v>240</v>
      </c>
      <c r="W3177" s="5" t="s">
        <v>240</v>
      </c>
      <c r="X3177" s="5" t="s">
        <v>240</v>
      </c>
      <c r="Y3177" s="5" t="s">
        <v>240</v>
      </c>
      <c r="Z3177" s="6" t="s">
        <v>298</v>
      </c>
      <c r="AA3177" s="6" t="s">
        <v>240</v>
      </c>
      <c r="AB3177" s="6" t="s">
        <v>240</v>
      </c>
      <c r="AC3177" s="5" t="s">
        <v>240</v>
      </c>
      <c r="AD3177" s="6" t="s">
        <v>240</v>
      </c>
      <c r="AE3177" s="6" t="s">
        <v>299</v>
      </c>
      <c r="AF3177" s="5" t="s">
        <v>248</v>
      </c>
      <c r="AG3177" s="5" t="s">
        <v>249</v>
      </c>
      <c r="AH3177" s="5" t="s">
        <v>240</v>
      </c>
      <c r="AI3177" s="5" t="s">
        <v>240</v>
      </c>
      <c r="AJ3177" s="5" t="s">
        <v>240</v>
      </c>
      <c r="AK3177" s="5" t="s">
        <v>240</v>
      </c>
      <c r="AL3177" s="5" t="s">
        <v>240</v>
      </c>
      <c r="AM3177" s="5" t="s">
        <v>240</v>
      </c>
      <c r="AN3177" s="5" t="s">
        <v>240</v>
      </c>
      <c r="AO3177" s="5" t="s">
        <v>240</v>
      </c>
      <c r="AP3177" s="6" t="s">
        <v>240</v>
      </c>
      <c r="AQ3177" s="6" t="s">
        <v>240</v>
      </c>
      <c r="AR3177" s="6" t="s">
        <v>240</v>
      </c>
      <c r="AS3177" s="6" t="s">
        <v>240</v>
      </c>
      <c r="AT3177" s="5" t="s">
        <v>240</v>
      </c>
      <c r="AU3177" s="5" t="s">
        <v>729</v>
      </c>
      <c r="AV3177" s="5" t="s">
        <v>729</v>
      </c>
      <c r="AW3177" s="5" t="s">
        <v>251</v>
      </c>
      <c r="AX3177" s="5" t="s">
        <v>252</v>
      </c>
      <c r="AY3177" s="5" t="s">
        <v>253</v>
      </c>
      <c r="AZ3177" s="5" t="s">
        <v>240</v>
      </c>
      <c r="BA3177" s="5" t="s">
        <v>255</v>
      </c>
      <c r="BB3177" s="5" t="s">
        <v>731</v>
      </c>
      <c r="BD3177" s="5" t="s">
        <v>240</v>
      </c>
      <c r="BF3177" s="5" t="s">
        <v>732</v>
      </c>
      <c r="BG3177" s="6" t="s">
        <v>733</v>
      </c>
      <c r="BH3177" s="5" t="s">
        <v>734</v>
      </c>
      <c r="BI3177" s="5" t="s">
        <v>734</v>
      </c>
      <c r="BJ3177" s="5" t="s">
        <v>240</v>
      </c>
      <c r="BK3177" s="7">
        <f>1</f>
        <v>1</v>
      </c>
      <c r="BL3177" s="7">
        <f>1</f>
        <v>1</v>
      </c>
      <c r="BM3177" s="5" t="s">
        <v>258</v>
      </c>
      <c r="BN3177" s="5" t="s">
        <v>259</v>
      </c>
      <c r="BO3177" s="5" t="s">
        <v>240</v>
      </c>
      <c r="BP3177" s="5" t="s">
        <v>240</v>
      </c>
      <c r="BQ3177" s="5" t="s">
        <v>240</v>
      </c>
      <c r="BR3177" s="5" t="s">
        <v>240</v>
      </c>
      <c r="BS3177" s="5" t="s">
        <v>240</v>
      </c>
      <c r="BT3177" s="5" t="s">
        <v>240</v>
      </c>
      <c r="BU3177" s="5" t="s">
        <v>240</v>
      </c>
      <c r="BV3177" s="5" t="s">
        <v>240</v>
      </c>
      <c r="BW3177" s="6" t="s">
        <v>240</v>
      </c>
      <c r="BX3177" s="5" t="s">
        <v>240</v>
      </c>
      <c r="BY3177" s="5" t="s">
        <v>240</v>
      </c>
      <c r="BZ3177" s="5" t="s">
        <v>240</v>
      </c>
      <c r="CA3177" s="5" t="s">
        <v>259</v>
      </c>
      <c r="CB3177" s="5" t="s">
        <v>240</v>
      </c>
      <c r="CC3177" s="5" t="s">
        <v>240</v>
      </c>
      <c r="CD3177" s="5" t="s">
        <v>240</v>
      </c>
      <c r="CE3177" s="5" t="s">
        <v>240</v>
      </c>
      <c r="CF3177" s="5" t="s">
        <v>240</v>
      </c>
      <c r="CG3177" s="5" t="s">
        <v>304</v>
      </c>
      <c r="CH3177" s="5" t="s">
        <v>305</v>
      </c>
      <c r="CI3177" s="5" t="s">
        <v>240</v>
      </c>
      <c r="CK3177" s="5" t="s">
        <v>3681</v>
      </c>
      <c r="CL3177" s="6" t="s">
        <v>261</v>
      </c>
      <c r="CM3177" s="5" t="s">
        <v>262</v>
      </c>
      <c r="CN3177" s="5" t="s">
        <v>263</v>
      </c>
      <c r="CO3177" s="5" t="s">
        <v>264</v>
      </c>
      <c r="CP3177" s="5" t="s">
        <v>240</v>
      </c>
      <c r="CQ3177" s="5">
        <v>0</v>
      </c>
      <c r="CR3177" s="5" t="s">
        <v>735</v>
      </c>
      <c r="CS3177" s="5" t="s">
        <v>307</v>
      </c>
      <c r="CT3177" s="5" t="s">
        <v>307</v>
      </c>
      <c r="CU3177" s="5" t="s">
        <v>260</v>
      </c>
      <c r="CV3177" s="5" t="s">
        <v>612</v>
      </c>
      <c r="CW3177" s="8">
        <f>1</f>
        <v>1</v>
      </c>
      <c r="CX3177" s="7">
        <f>1</f>
        <v>1</v>
      </c>
      <c r="CY3177" s="7">
        <f>0</f>
        <v>0</v>
      </c>
      <c r="DA3177" s="7">
        <f>1</f>
        <v>1</v>
      </c>
      <c r="DB3177" s="7" t="s">
        <v>240</v>
      </c>
      <c r="DC3177" s="5" t="s">
        <v>240</v>
      </c>
      <c r="DD3177" s="5" t="s">
        <v>240</v>
      </c>
      <c r="DE3177" s="5" t="s">
        <v>240</v>
      </c>
      <c r="DF3177" s="5" t="s">
        <v>240</v>
      </c>
      <c r="DG3177" s="7">
        <f>0</f>
        <v>0</v>
      </c>
      <c r="DI3177" s="5" t="s">
        <v>240</v>
      </c>
      <c r="DJ3177" s="5" t="s">
        <v>240</v>
      </c>
      <c r="DK3177" s="5" t="s">
        <v>240</v>
      </c>
      <c r="DL3177" s="5" t="s">
        <v>240</v>
      </c>
      <c r="DM3177" s="5" t="s">
        <v>240</v>
      </c>
      <c r="DN3177" s="5" t="s">
        <v>240</v>
      </c>
      <c r="DO3177" s="7" t="s">
        <v>240</v>
      </c>
      <c r="DP3177" s="5" t="s">
        <v>240</v>
      </c>
      <c r="DQ3177" s="5" t="s">
        <v>240</v>
      </c>
      <c r="DR3177" s="5" t="s">
        <v>731</v>
      </c>
      <c r="DS3177" s="5" t="s">
        <v>731</v>
      </c>
      <c r="DT3177" s="5" t="s">
        <v>240</v>
      </c>
      <c r="DU3177" s="5" t="s">
        <v>240</v>
      </c>
      <c r="DV3177" s="5" t="s">
        <v>3683</v>
      </c>
      <c r="DW3177" s="5" t="s">
        <v>372</v>
      </c>
      <c r="DX3177" s="5" t="s">
        <v>240</v>
      </c>
      <c r="DY3177" s="5" t="s">
        <v>240</v>
      </c>
      <c r="DZ3177" s="5" t="s">
        <v>240</v>
      </c>
      <c r="EA3177" s="5" t="s">
        <v>240</v>
      </c>
      <c r="EB3177" s="5" t="s">
        <v>240</v>
      </c>
      <c r="EC3177" s="5" t="s">
        <v>240</v>
      </c>
      <c r="ED3177" s="5" t="s">
        <v>240</v>
      </c>
      <c r="EE3177" s="5" t="s">
        <v>240</v>
      </c>
      <c r="EF3177" s="5" t="s">
        <v>240</v>
      </c>
      <c r="EG3177" s="5" t="s">
        <v>240</v>
      </c>
      <c r="EH3177" s="5" t="s">
        <v>240</v>
      </c>
      <c r="EI3177" s="5" t="s">
        <v>240</v>
      </c>
      <c r="EJ3177" s="5" t="s">
        <v>240</v>
      </c>
      <c r="EK3177" s="5" t="s">
        <v>240</v>
      </c>
      <c r="EL3177" s="5" t="s">
        <v>240</v>
      </c>
      <c r="EM3177" s="5" t="s">
        <v>240</v>
      </c>
      <c r="EN3177" s="5" t="s">
        <v>240</v>
      </c>
      <c r="EO3177" s="5" t="s">
        <v>240</v>
      </c>
      <c r="EP3177" s="5" t="s">
        <v>240</v>
      </c>
      <c r="EQ3177" s="5" t="s">
        <v>240</v>
      </c>
      <c r="ER3177" s="5" t="s">
        <v>240</v>
      </c>
      <c r="ES3177" s="5" t="s">
        <v>240</v>
      </c>
      <c r="ET3177" s="5" t="s">
        <v>240</v>
      </c>
      <c r="EU3177" s="5" t="s">
        <v>240</v>
      </c>
      <c r="EV3177" s="5" t="s">
        <v>240</v>
      </c>
      <c r="EW3177" s="5" t="s">
        <v>240</v>
      </c>
      <c r="EX3177" s="5" t="s">
        <v>240</v>
      </c>
      <c r="EY3177" s="5" t="s">
        <v>240</v>
      </c>
      <c r="EZ3177" s="5" t="s">
        <v>240</v>
      </c>
      <c r="FA3177" s="5" t="s">
        <v>240</v>
      </c>
      <c r="FB3177" s="5" t="s">
        <v>240</v>
      </c>
      <c r="FC3177" s="5" t="s">
        <v>240</v>
      </c>
      <c r="FD3177" s="5" t="s">
        <v>240</v>
      </c>
      <c r="FE3177" s="5" t="s">
        <v>240</v>
      </c>
      <c r="FF3177" s="5" t="s">
        <v>240</v>
      </c>
      <c r="FG3177" s="5" t="s">
        <v>240</v>
      </c>
      <c r="FH3177" s="5" t="s">
        <v>240</v>
      </c>
      <c r="FI3177" s="5" t="s">
        <v>240</v>
      </c>
      <c r="FJ3177" s="5" t="s">
        <v>240</v>
      </c>
      <c r="FK3177" s="5" t="s">
        <v>240</v>
      </c>
      <c r="FL3177" s="5" t="s">
        <v>240</v>
      </c>
      <c r="FM3177" s="5" t="s">
        <v>240</v>
      </c>
      <c r="FN3177" s="5" t="s">
        <v>240</v>
      </c>
      <c r="FO3177" s="5" t="s">
        <v>240</v>
      </c>
      <c r="FP3177" s="5" t="s">
        <v>240</v>
      </c>
      <c r="FQ3177" s="5" t="s">
        <v>240</v>
      </c>
      <c r="FR3177" s="5" t="s">
        <v>240</v>
      </c>
      <c r="FS3177" s="5" t="s">
        <v>240</v>
      </c>
      <c r="FT3177" s="5" t="s">
        <v>240</v>
      </c>
      <c r="FU3177" s="5" t="s">
        <v>240</v>
      </c>
      <c r="FV3177" s="5" t="s">
        <v>240</v>
      </c>
      <c r="FW3177" s="5" t="s">
        <v>240</v>
      </c>
      <c r="FX3177" s="5" t="s">
        <v>240</v>
      </c>
      <c r="FY3177" s="5" t="s">
        <v>240</v>
      </c>
      <c r="FZ3177" s="5" t="s">
        <v>240</v>
      </c>
      <c r="GA3177" s="5" t="s">
        <v>240</v>
      </c>
      <c r="GB3177" s="5" t="s">
        <v>240</v>
      </c>
      <c r="GC3177" s="5" t="s">
        <v>240</v>
      </c>
      <c r="GD3177" s="5" t="s">
        <v>240</v>
      </c>
      <c r="GE3177" s="5" t="s">
        <v>240</v>
      </c>
      <c r="GF3177" s="5" t="s">
        <v>240</v>
      </c>
      <c r="GG3177" s="5" t="s">
        <v>240</v>
      </c>
      <c r="GH3177" s="5" t="s">
        <v>240</v>
      </c>
      <c r="GI3177" s="5" t="s">
        <v>240</v>
      </c>
      <c r="GJ3177" s="5" t="s">
        <v>240</v>
      </c>
      <c r="GK3177" s="5" t="s">
        <v>240</v>
      </c>
      <c r="GL3177" s="5" t="s">
        <v>240</v>
      </c>
      <c r="GM3177" s="5" t="s">
        <v>240</v>
      </c>
      <c r="GN3177" s="5" t="s">
        <v>240</v>
      </c>
      <c r="GO3177" s="5" t="s">
        <v>240</v>
      </c>
      <c r="GP3177" s="5" t="s">
        <v>240</v>
      </c>
      <c r="GQ3177" s="5" t="s">
        <v>240</v>
      </c>
      <c r="GR3177" s="5" t="s">
        <v>240</v>
      </c>
      <c r="GS3177" s="5" t="s">
        <v>240</v>
      </c>
      <c r="GT3177" s="5" t="s">
        <v>240</v>
      </c>
      <c r="GU3177" s="5" t="s">
        <v>240</v>
      </c>
      <c r="GV3177" s="5" t="s">
        <v>240</v>
      </c>
      <c r="GW3177" s="5" t="s">
        <v>240</v>
      </c>
      <c r="GX3177" s="5" t="s">
        <v>240</v>
      </c>
      <c r="GY3177" s="5" t="s">
        <v>240</v>
      </c>
      <c r="GZ3177" s="5" t="s">
        <v>240</v>
      </c>
      <c r="HA3177" s="5" t="s">
        <v>240</v>
      </c>
      <c r="HB3177" s="5" t="s">
        <v>240</v>
      </c>
      <c r="HC3177" s="5" t="s">
        <v>240</v>
      </c>
      <c r="HD3177" s="5" t="s">
        <v>240</v>
      </c>
      <c r="HE3177" s="5" t="s">
        <v>240</v>
      </c>
      <c r="HF3177" s="5" t="s">
        <v>240</v>
      </c>
      <c r="HG3177" s="5" t="s">
        <v>240</v>
      </c>
      <c r="HH3177" s="5" t="s">
        <v>240</v>
      </c>
      <c r="HI3177" s="5" t="s">
        <v>240</v>
      </c>
      <c r="HJ3177" s="5" t="s">
        <v>240</v>
      </c>
      <c r="HK3177" s="5" t="s">
        <v>240</v>
      </c>
      <c r="HL3177" s="5" t="s">
        <v>240</v>
      </c>
      <c r="HM3177" s="5" t="s">
        <v>240</v>
      </c>
      <c r="HN3177" s="5" t="s">
        <v>240</v>
      </c>
      <c r="HO3177" s="5" t="s">
        <v>312</v>
      </c>
      <c r="HP3177" s="5" t="s">
        <v>240</v>
      </c>
      <c r="HQ3177" s="5" t="s">
        <v>240</v>
      </c>
      <c r="HR3177" s="5" t="s">
        <v>240</v>
      </c>
      <c r="HS3177" s="5" t="s">
        <v>240</v>
      </c>
      <c r="HT3177" s="5" t="s">
        <v>240</v>
      </c>
      <c r="HU3177" s="5" t="s">
        <v>240</v>
      </c>
      <c r="HV3177" s="5" t="s">
        <v>240</v>
      </c>
      <c r="HW3177" s="5" t="s">
        <v>240</v>
      </c>
      <c r="HX3177" s="5" t="s">
        <v>240</v>
      </c>
      <c r="HY3177" s="5" t="s">
        <v>240</v>
      </c>
      <c r="HZ3177" s="5" t="s">
        <v>240</v>
      </c>
      <c r="IA3177" s="5" t="s">
        <v>240</v>
      </c>
      <c r="IB3177" s="5" t="s">
        <v>240</v>
      </c>
      <c r="IC3177" s="5" t="s">
        <v>240</v>
      </c>
      <c r="ID3177" s="5" t="s">
        <v>240</v>
      </c>
      <c r="IE3177" s="5" t="s">
        <v>240</v>
      </c>
      <c r="IF3177" s="5" t="s">
        <v>240</v>
      </c>
    </row>
    <row r="3178" spans="1:240" x14ac:dyDescent="0.4">
      <c r="A3178" s="5">
        <v>4882</v>
      </c>
      <c r="B3178" s="5">
        <v>1</v>
      </c>
      <c r="C3178" s="5">
        <v>1</v>
      </c>
      <c r="D3178" s="5" t="s">
        <v>810</v>
      </c>
      <c r="E3178" s="5" t="s">
        <v>245</v>
      </c>
      <c r="F3178" s="5" t="s">
        <v>254</v>
      </c>
      <c r="G3178" s="5" t="s">
        <v>240</v>
      </c>
      <c r="H3178" s="6" t="s">
        <v>2187</v>
      </c>
      <c r="I3178" s="5" t="s">
        <v>809</v>
      </c>
      <c r="J3178" s="8">
        <f>1760</f>
        <v>1760</v>
      </c>
      <c r="K3178" s="5" t="s">
        <v>308</v>
      </c>
      <c r="L3178" s="7">
        <f>1</f>
        <v>1</v>
      </c>
      <c r="M3178" s="7">
        <f>1</f>
        <v>1</v>
      </c>
      <c r="N3178" s="5" t="s">
        <v>242</v>
      </c>
      <c r="O3178" s="5">
        <v>1</v>
      </c>
      <c r="P3178" s="5" t="s">
        <v>294</v>
      </c>
      <c r="Q3178" s="5" t="s">
        <v>266</v>
      </c>
      <c r="R3178" s="5" t="s">
        <v>240</v>
      </c>
      <c r="S3178" s="5" t="s">
        <v>240</v>
      </c>
      <c r="T3178" s="5" t="s">
        <v>296</v>
      </c>
      <c r="U3178" s="5" t="s">
        <v>244</v>
      </c>
      <c r="V3178" s="5" t="s">
        <v>240</v>
      </c>
      <c r="Y3178" s="5" t="s">
        <v>240</v>
      </c>
      <c r="Z3178" s="6" t="s">
        <v>298</v>
      </c>
      <c r="AB3178" s="6" t="s">
        <v>240</v>
      </c>
      <c r="AE3178" s="6" t="s">
        <v>299</v>
      </c>
      <c r="AF3178" s="5" t="s">
        <v>248</v>
      </c>
      <c r="AG3178" s="5" t="s">
        <v>249</v>
      </c>
      <c r="AW3178" s="5" t="s">
        <v>251</v>
      </c>
      <c r="AX3178" s="5" t="s">
        <v>240</v>
      </c>
      <c r="AY3178" s="5" t="s">
        <v>253</v>
      </c>
      <c r="AZ3178" s="5" t="s">
        <v>240</v>
      </c>
      <c r="BA3178" s="5" t="s">
        <v>255</v>
      </c>
      <c r="BB3178" s="5" t="s">
        <v>240</v>
      </c>
      <c r="BD3178" s="5" t="s">
        <v>240</v>
      </c>
      <c r="BF3178" s="5" t="s">
        <v>301</v>
      </c>
      <c r="BG3178" s="6" t="s">
        <v>299</v>
      </c>
      <c r="BH3178" s="5" t="s">
        <v>302</v>
      </c>
      <c r="BI3178" s="5" t="s">
        <v>303</v>
      </c>
      <c r="BJ3178" s="5" t="s">
        <v>240</v>
      </c>
      <c r="BK3178" s="8">
        <f>0</f>
        <v>0</v>
      </c>
      <c r="BL3178" s="7">
        <f>0</f>
        <v>0</v>
      </c>
      <c r="BM3178" s="5" t="s">
        <v>258</v>
      </c>
      <c r="BN3178" s="5" t="s">
        <v>259</v>
      </c>
      <c r="CB3178" s="5" t="s">
        <v>240</v>
      </c>
      <c r="CC3178" s="5" t="s">
        <v>240</v>
      </c>
      <c r="CG3178" s="5" t="s">
        <v>304</v>
      </c>
      <c r="CH3178" s="5" t="s">
        <v>305</v>
      </c>
      <c r="CI3178" s="5" t="s">
        <v>240</v>
      </c>
      <c r="CL3178" s="6" t="s">
        <v>261</v>
      </c>
      <c r="CM3178" s="5" t="s">
        <v>240</v>
      </c>
      <c r="CN3178" s="5" t="s">
        <v>263</v>
      </c>
      <c r="CO3178" s="5" t="s">
        <v>240</v>
      </c>
      <c r="CP3178" s="5" t="s">
        <v>240</v>
      </c>
      <c r="CQ3178" s="5">
        <v>0</v>
      </c>
      <c r="CR3178" s="5" t="s">
        <v>306</v>
      </c>
      <c r="CS3178" s="5" t="s">
        <v>307</v>
      </c>
      <c r="CT3178" s="5" t="s">
        <v>307</v>
      </c>
      <c r="CU3178" s="5" t="s">
        <v>260</v>
      </c>
      <c r="CX3178" s="7">
        <f>1</f>
        <v>1</v>
      </c>
      <c r="CY3178" s="7">
        <f>0</f>
        <v>0</v>
      </c>
      <c r="DA3178" s="7">
        <f>0</f>
        <v>0</v>
      </c>
      <c r="DC3178" s="5" t="s">
        <v>309</v>
      </c>
      <c r="DD3178" s="5" t="s">
        <v>240</v>
      </c>
      <c r="DF3178" s="5" t="s">
        <v>309</v>
      </c>
      <c r="DG3178" s="7">
        <f>1816</f>
        <v>1816</v>
      </c>
      <c r="DI3178" s="5" t="s">
        <v>240</v>
      </c>
      <c r="DJ3178" s="5" t="s">
        <v>240</v>
      </c>
      <c r="DK3178" s="5" t="s">
        <v>240</v>
      </c>
      <c r="DL3178" s="5" t="s">
        <v>240</v>
      </c>
      <c r="DP3178" s="5" t="s">
        <v>240</v>
      </c>
      <c r="DQ3178" s="5" t="s">
        <v>240</v>
      </c>
      <c r="DR3178" s="5" t="s">
        <v>240</v>
      </c>
      <c r="DS3178" s="5" t="s">
        <v>240</v>
      </c>
      <c r="DV3178" s="5" t="s">
        <v>310</v>
      </c>
      <c r="DW3178" s="5" t="s">
        <v>2785</v>
      </c>
      <c r="HO3178" s="5" t="s">
        <v>312</v>
      </c>
    </row>
    <row r="3179" spans="1:240" x14ac:dyDescent="0.4">
      <c r="A3179" s="5">
        <v>4883</v>
      </c>
      <c r="B3179" s="5">
        <v>1</v>
      </c>
      <c r="C3179" s="5">
        <v>1</v>
      </c>
      <c r="D3179" s="5" t="s">
        <v>810</v>
      </c>
      <c r="E3179" s="5" t="s">
        <v>245</v>
      </c>
      <c r="F3179" s="5" t="s">
        <v>254</v>
      </c>
      <c r="G3179" s="5" t="s">
        <v>240</v>
      </c>
      <c r="H3179" s="6" t="s">
        <v>2185</v>
      </c>
      <c r="I3179" s="5" t="s">
        <v>809</v>
      </c>
      <c r="J3179" s="8">
        <f>1091</f>
        <v>1091</v>
      </c>
      <c r="K3179" s="5" t="s">
        <v>308</v>
      </c>
      <c r="L3179" s="7">
        <f>1</f>
        <v>1</v>
      </c>
      <c r="M3179" s="7">
        <f>1</f>
        <v>1</v>
      </c>
      <c r="N3179" s="5" t="s">
        <v>242</v>
      </c>
      <c r="O3179" s="5">
        <v>1</v>
      </c>
      <c r="P3179" s="5" t="s">
        <v>294</v>
      </c>
      <c r="Q3179" s="5" t="s">
        <v>3678</v>
      </c>
      <c r="R3179" s="5" t="s">
        <v>240</v>
      </c>
      <c r="S3179" s="5" t="s">
        <v>240</v>
      </c>
      <c r="T3179" s="5" t="s">
        <v>243</v>
      </c>
      <c r="U3179" s="5" t="s">
        <v>244</v>
      </c>
      <c r="V3179" s="5" t="s">
        <v>240</v>
      </c>
      <c r="W3179" s="5" t="s">
        <v>240</v>
      </c>
      <c r="X3179" s="5" t="s">
        <v>240</v>
      </c>
      <c r="Y3179" s="5" t="s">
        <v>240</v>
      </c>
      <c r="Z3179" s="6" t="s">
        <v>298</v>
      </c>
      <c r="AA3179" s="6" t="s">
        <v>240</v>
      </c>
      <c r="AB3179" s="6" t="s">
        <v>240</v>
      </c>
      <c r="AC3179" s="5" t="s">
        <v>240</v>
      </c>
      <c r="AD3179" s="6" t="s">
        <v>240</v>
      </c>
      <c r="AE3179" s="6" t="s">
        <v>299</v>
      </c>
      <c r="AF3179" s="5" t="s">
        <v>248</v>
      </c>
      <c r="AG3179" s="5" t="s">
        <v>249</v>
      </c>
      <c r="AH3179" s="5" t="s">
        <v>240</v>
      </c>
      <c r="AI3179" s="5" t="s">
        <v>240</v>
      </c>
      <c r="AJ3179" s="5" t="s">
        <v>240</v>
      </c>
      <c r="AK3179" s="5" t="s">
        <v>240</v>
      </c>
      <c r="AL3179" s="5" t="s">
        <v>240</v>
      </c>
      <c r="AM3179" s="5" t="s">
        <v>240</v>
      </c>
      <c r="AN3179" s="5" t="s">
        <v>240</v>
      </c>
      <c r="AO3179" s="5" t="s">
        <v>240</v>
      </c>
      <c r="AP3179" s="6" t="s">
        <v>240</v>
      </c>
      <c r="AQ3179" s="6" t="s">
        <v>240</v>
      </c>
      <c r="AR3179" s="6" t="s">
        <v>240</v>
      </c>
      <c r="AS3179" s="6" t="s">
        <v>240</v>
      </c>
      <c r="AT3179" s="5" t="s">
        <v>240</v>
      </c>
      <c r="AU3179" s="5" t="s">
        <v>729</v>
      </c>
      <c r="AV3179" s="5" t="s">
        <v>729</v>
      </c>
      <c r="AW3179" s="5" t="s">
        <v>251</v>
      </c>
      <c r="AX3179" s="5" t="s">
        <v>252</v>
      </c>
      <c r="AY3179" s="5" t="s">
        <v>253</v>
      </c>
      <c r="AZ3179" s="5" t="s">
        <v>240</v>
      </c>
      <c r="BA3179" s="5" t="s">
        <v>255</v>
      </c>
      <c r="BB3179" s="5" t="s">
        <v>731</v>
      </c>
      <c r="BD3179" s="5" t="s">
        <v>240</v>
      </c>
      <c r="BF3179" s="5" t="s">
        <v>732</v>
      </c>
      <c r="BG3179" s="6" t="s">
        <v>733</v>
      </c>
      <c r="BH3179" s="5" t="s">
        <v>734</v>
      </c>
      <c r="BI3179" s="5" t="s">
        <v>734</v>
      </c>
      <c r="BJ3179" s="5" t="s">
        <v>240</v>
      </c>
      <c r="BK3179" s="7">
        <f>1</f>
        <v>1</v>
      </c>
      <c r="BL3179" s="7">
        <f>1</f>
        <v>1</v>
      </c>
      <c r="BM3179" s="5" t="s">
        <v>258</v>
      </c>
      <c r="BN3179" s="5" t="s">
        <v>259</v>
      </c>
      <c r="BO3179" s="5" t="s">
        <v>240</v>
      </c>
      <c r="BP3179" s="5" t="s">
        <v>240</v>
      </c>
      <c r="BQ3179" s="5" t="s">
        <v>240</v>
      </c>
      <c r="BR3179" s="5" t="s">
        <v>240</v>
      </c>
      <c r="BS3179" s="5" t="s">
        <v>240</v>
      </c>
      <c r="BT3179" s="5" t="s">
        <v>240</v>
      </c>
      <c r="BU3179" s="5" t="s">
        <v>240</v>
      </c>
      <c r="BV3179" s="5" t="s">
        <v>240</v>
      </c>
      <c r="BW3179" s="6" t="s">
        <v>240</v>
      </c>
      <c r="BX3179" s="5" t="s">
        <v>240</v>
      </c>
      <c r="BY3179" s="5" t="s">
        <v>240</v>
      </c>
      <c r="BZ3179" s="5" t="s">
        <v>240</v>
      </c>
      <c r="CA3179" s="5" t="s">
        <v>259</v>
      </c>
      <c r="CB3179" s="5" t="s">
        <v>240</v>
      </c>
      <c r="CC3179" s="5" t="s">
        <v>240</v>
      </c>
      <c r="CD3179" s="5" t="s">
        <v>240</v>
      </c>
      <c r="CE3179" s="5" t="s">
        <v>240</v>
      </c>
      <c r="CF3179" s="5" t="s">
        <v>240</v>
      </c>
      <c r="CG3179" s="5" t="s">
        <v>304</v>
      </c>
      <c r="CH3179" s="5" t="s">
        <v>305</v>
      </c>
      <c r="CI3179" s="5" t="s">
        <v>240</v>
      </c>
      <c r="CK3179" s="5" t="s">
        <v>3681</v>
      </c>
      <c r="CL3179" s="6" t="s">
        <v>261</v>
      </c>
      <c r="CM3179" s="5" t="s">
        <v>262</v>
      </c>
      <c r="CN3179" s="5" t="s">
        <v>263</v>
      </c>
      <c r="CO3179" s="5" t="s">
        <v>264</v>
      </c>
      <c r="CP3179" s="5" t="s">
        <v>240</v>
      </c>
      <c r="CQ3179" s="5">
        <v>0</v>
      </c>
      <c r="CR3179" s="5" t="s">
        <v>735</v>
      </c>
      <c r="CS3179" s="5" t="s">
        <v>307</v>
      </c>
      <c r="CT3179" s="5" t="s">
        <v>307</v>
      </c>
      <c r="CU3179" s="5" t="s">
        <v>260</v>
      </c>
      <c r="CV3179" s="5" t="s">
        <v>612</v>
      </c>
      <c r="CW3179" s="8">
        <f>1</f>
        <v>1</v>
      </c>
      <c r="CX3179" s="7">
        <f>1</f>
        <v>1</v>
      </c>
      <c r="CY3179" s="7">
        <f>0</f>
        <v>0</v>
      </c>
      <c r="DA3179" s="7">
        <f>1</f>
        <v>1</v>
      </c>
      <c r="DB3179" s="7" t="s">
        <v>240</v>
      </c>
      <c r="DC3179" s="5" t="s">
        <v>240</v>
      </c>
      <c r="DD3179" s="5" t="s">
        <v>240</v>
      </c>
      <c r="DE3179" s="5" t="s">
        <v>240</v>
      </c>
      <c r="DF3179" s="5" t="s">
        <v>240</v>
      </c>
      <c r="DG3179" s="7">
        <f>0</f>
        <v>0</v>
      </c>
      <c r="DI3179" s="5" t="s">
        <v>240</v>
      </c>
      <c r="DJ3179" s="5" t="s">
        <v>240</v>
      </c>
      <c r="DK3179" s="5" t="s">
        <v>240</v>
      </c>
      <c r="DL3179" s="5" t="s">
        <v>240</v>
      </c>
      <c r="DM3179" s="5" t="s">
        <v>240</v>
      </c>
      <c r="DN3179" s="5" t="s">
        <v>240</v>
      </c>
      <c r="DO3179" s="7" t="s">
        <v>240</v>
      </c>
      <c r="DP3179" s="5" t="s">
        <v>240</v>
      </c>
      <c r="DQ3179" s="5" t="s">
        <v>240</v>
      </c>
      <c r="DR3179" s="5" t="s">
        <v>731</v>
      </c>
      <c r="DS3179" s="5" t="s">
        <v>731</v>
      </c>
      <c r="DT3179" s="5" t="s">
        <v>240</v>
      </c>
      <c r="DU3179" s="5" t="s">
        <v>240</v>
      </c>
      <c r="DV3179" s="5" t="s">
        <v>3683</v>
      </c>
      <c r="DW3179" s="5" t="s">
        <v>380</v>
      </c>
      <c r="DX3179" s="5" t="s">
        <v>240</v>
      </c>
      <c r="DY3179" s="5" t="s">
        <v>240</v>
      </c>
      <c r="DZ3179" s="5" t="s">
        <v>240</v>
      </c>
      <c r="EA3179" s="5" t="s">
        <v>240</v>
      </c>
      <c r="EB3179" s="5" t="s">
        <v>240</v>
      </c>
      <c r="EC3179" s="5" t="s">
        <v>240</v>
      </c>
      <c r="ED3179" s="5" t="s">
        <v>240</v>
      </c>
      <c r="EE3179" s="5" t="s">
        <v>240</v>
      </c>
      <c r="EF3179" s="5" t="s">
        <v>240</v>
      </c>
      <c r="EG3179" s="5" t="s">
        <v>240</v>
      </c>
      <c r="EH3179" s="5" t="s">
        <v>240</v>
      </c>
      <c r="EI3179" s="5" t="s">
        <v>240</v>
      </c>
      <c r="EJ3179" s="5" t="s">
        <v>240</v>
      </c>
      <c r="EK3179" s="5" t="s">
        <v>240</v>
      </c>
      <c r="EL3179" s="5" t="s">
        <v>240</v>
      </c>
      <c r="EM3179" s="5" t="s">
        <v>240</v>
      </c>
      <c r="EN3179" s="5" t="s">
        <v>240</v>
      </c>
      <c r="EO3179" s="5" t="s">
        <v>240</v>
      </c>
      <c r="EP3179" s="5" t="s">
        <v>240</v>
      </c>
      <c r="EQ3179" s="5" t="s">
        <v>240</v>
      </c>
      <c r="ER3179" s="5" t="s">
        <v>240</v>
      </c>
      <c r="ES3179" s="5" t="s">
        <v>240</v>
      </c>
      <c r="ET3179" s="5" t="s">
        <v>240</v>
      </c>
      <c r="EU3179" s="5" t="s">
        <v>240</v>
      </c>
      <c r="EV3179" s="5" t="s">
        <v>240</v>
      </c>
      <c r="EW3179" s="5" t="s">
        <v>240</v>
      </c>
      <c r="EX3179" s="5" t="s">
        <v>240</v>
      </c>
      <c r="EY3179" s="5" t="s">
        <v>240</v>
      </c>
      <c r="EZ3179" s="5" t="s">
        <v>240</v>
      </c>
      <c r="FA3179" s="5" t="s">
        <v>240</v>
      </c>
      <c r="FB3179" s="5" t="s">
        <v>240</v>
      </c>
      <c r="FC3179" s="5" t="s">
        <v>240</v>
      </c>
      <c r="FD3179" s="5" t="s">
        <v>240</v>
      </c>
      <c r="FE3179" s="5" t="s">
        <v>240</v>
      </c>
      <c r="FF3179" s="5" t="s">
        <v>240</v>
      </c>
      <c r="FG3179" s="5" t="s">
        <v>240</v>
      </c>
      <c r="FH3179" s="5" t="s">
        <v>240</v>
      </c>
      <c r="FI3179" s="5" t="s">
        <v>240</v>
      </c>
      <c r="FJ3179" s="5" t="s">
        <v>240</v>
      </c>
      <c r="FK3179" s="5" t="s">
        <v>240</v>
      </c>
      <c r="FL3179" s="5" t="s">
        <v>240</v>
      </c>
      <c r="FM3179" s="5" t="s">
        <v>240</v>
      </c>
      <c r="FN3179" s="5" t="s">
        <v>240</v>
      </c>
      <c r="FO3179" s="5" t="s">
        <v>240</v>
      </c>
      <c r="FP3179" s="5" t="s">
        <v>240</v>
      </c>
      <c r="FQ3179" s="5" t="s">
        <v>240</v>
      </c>
      <c r="FR3179" s="5" t="s">
        <v>240</v>
      </c>
      <c r="FS3179" s="5" t="s">
        <v>240</v>
      </c>
      <c r="FT3179" s="5" t="s">
        <v>240</v>
      </c>
      <c r="FU3179" s="5" t="s">
        <v>240</v>
      </c>
      <c r="FV3179" s="5" t="s">
        <v>240</v>
      </c>
      <c r="FW3179" s="5" t="s">
        <v>240</v>
      </c>
      <c r="FX3179" s="5" t="s">
        <v>240</v>
      </c>
      <c r="FY3179" s="5" t="s">
        <v>240</v>
      </c>
      <c r="FZ3179" s="5" t="s">
        <v>240</v>
      </c>
      <c r="GA3179" s="5" t="s">
        <v>240</v>
      </c>
      <c r="GB3179" s="5" t="s">
        <v>240</v>
      </c>
      <c r="GC3179" s="5" t="s">
        <v>240</v>
      </c>
      <c r="GD3179" s="5" t="s">
        <v>240</v>
      </c>
      <c r="GE3179" s="5" t="s">
        <v>240</v>
      </c>
      <c r="GF3179" s="5" t="s">
        <v>240</v>
      </c>
      <c r="GG3179" s="5" t="s">
        <v>240</v>
      </c>
      <c r="GH3179" s="5" t="s">
        <v>240</v>
      </c>
      <c r="GI3179" s="5" t="s">
        <v>240</v>
      </c>
      <c r="GJ3179" s="5" t="s">
        <v>240</v>
      </c>
      <c r="GK3179" s="5" t="s">
        <v>240</v>
      </c>
      <c r="GL3179" s="5" t="s">
        <v>240</v>
      </c>
      <c r="GM3179" s="5" t="s">
        <v>240</v>
      </c>
      <c r="GN3179" s="5" t="s">
        <v>240</v>
      </c>
      <c r="GO3179" s="5" t="s">
        <v>240</v>
      </c>
      <c r="GP3179" s="5" t="s">
        <v>240</v>
      </c>
      <c r="GQ3179" s="5" t="s">
        <v>240</v>
      </c>
      <c r="GR3179" s="5" t="s">
        <v>240</v>
      </c>
      <c r="GS3179" s="5" t="s">
        <v>240</v>
      </c>
      <c r="GT3179" s="5" t="s">
        <v>240</v>
      </c>
      <c r="GU3179" s="5" t="s">
        <v>240</v>
      </c>
      <c r="GV3179" s="5" t="s">
        <v>240</v>
      </c>
      <c r="GW3179" s="5" t="s">
        <v>240</v>
      </c>
      <c r="GX3179" s="5" t="s">
        <v>240</v>
      </c>
      <c r="GY3179" s="5" t="s">
        <v>240</v>
      </c>
      <c r="GZ3179" s="5" t="s">
        <v>240</v>
      </c>
      <c r="HA3179" s="5" t="s">
        <v>240</v>
      </c>
      <c r="HB3179" s="5" t="s">
        <v>240</v>
      </c>
      <c r="HC3179" s="5" t="s">
        <v>240</v>
      </c>
      <c r="HD3179" s="5" t="s">
        <v>240</v>
      </c>
      <c r="HE3179" s="5" t="s">
        <v>240</v>
      </c>
      <c r="HF3179" s="5" t="s">
        <v>240</v>
      </c>
      <c r="HG3179" s="5" t="s">
        <v>240</v>
      </c>
      <c r="HH3179" s="5" t="s">
        <v>240</v>
      </c>
      <c r="HI3179" s="5" t="s">
        <v>240</v>
      </c>
      <c r="HJ3179" s="5" t="s">
        <v>240</v>
      </c>
      <c r="HK3179" s="5" t="s">
        <v>240</v>
      </c>
      <c r="HL3179" s="5" t="s">
        <v>240</v>
      </c>
      <c r="HM3179" s="5" t="s">
        <v>240</v>
      </c>
      <c r="HN3179" s="5" t="s">
        <v>240</v>
      </c>
      <c r="HO3179" s="5" t="s">
        <v>312</v>
      </c>
      <c r="HP3179" s="5" t="s">
        <v>240</v>
      </c>
      <c r="HQ3179" s="5" t="s">
        <v>240</v>
      </c>
      <c r="HR3179" s="5" t="s">
        <v>240</v>
      </c>
      <c r="HS3179" s="5" t="s">
        <v>240</v>
      </c>
      <c r="HT3179" s="5" t="s">
        <v>240</v>
      </c>
      <c r="HU3179" s="5" t="s">
        <v>240</v>
      </c>
      <c r="HV3179" s="5" t="s">
        <v>240</v>
      </c>
      <c r="HW3179" s="5" t="s">
        <v>240</v>
      </c>
      <c r="HX3179" s="5" t="s">
        <v>240</v>
      </c>
      <c r="HY3179" s="5" t="s">
        <v>240</v>
      </c>
      <c r="HZ3179" s="5" t="s">
        <v>240</v>
      </c>
      <c r="IA3179" s="5" t="s">
        <v>240</v>
      </c>
      <c r="IB3179" s="5" t="s">
        <v>240</v>
      </c>
      <c r="IC3179" s="5" t="s">
        <v>240</v>
      </c>
      <c r="ID3179" s="5" t="s">
        <v>240</v>
      </c>
      <c r="IE3179" s="5" t="s">
        <v>240</v>
      </c>
      <c r="IF3179" s="5" t="s">
        <v>240</v>
      </c>
    </row>
    <row r="3180" spans="1:240" x14ac:dyDescent="0.4">
      <c r="A3180" s="5">
        <v>4884</v>
      </c>
      <c r="B3180" s="5">
        <v>1</v>
      </c>
      <c r="C3180" s="5">
        <v>1</v>
      </c>
      <c r="D3180" s="5" t="s">
        <v>810</v>
      </c>
      <c r="E3180" s="5" t="s">
        <v>245</v>
      </c>
      <c r="F3180" s="5" t="s">
        <v>254</v>
      </c>
      <c r="G3180" s="5" t="s">
        <v>240</v>
      </c>
      <c r="H3180" s="6" t="s">
        <v>2182</v>
      </c>
      <c r="I3180" s="5" t="s">
        <v>809</v>
      </c>
      <c r="J3180" s="8">
        <f>415</f>
        <v>415</v>
      </c>
      <c r="K3180" s="5" t="s">
        <v>308</v>
      </c>
      <c r="L3180" s="7">
        <f>1</f>
        <v>1</v>
      </c>
      <c r="M3180" s="7">
        <f>1</f>
        <v>1</v>
      </c>
      <c r="N3180" s="5" t="s">
        <v>242</v>
      </c>
      <c r="O3180" s="5">
        <v>1</v>
      </c>
      <c r="P3180" s="5" t="s">
        <v>294</v>
      </c>
      <c r="Q3180" s="5" t="s">
        <v>266</v>
      </c>
      <c r="R3180" s="5" t="s">
        <v>240</v>
      </c>
      <c r="S3180" s="5" t="s">
        <v>240</v>
      </c>
      <c r="T3180" s="5" t="s">
        <v>296</v>
      </c>
      <c r="U3180" s="5" t="s">
        <v>244</v>
      </c>
      <c r="V3180" s="5" t="s">
        <v>240</v>
      </c>
      <c r="Y3180" s="5" t="s">
        <v>240</v>
      </c>
      <c r="Z3180" s="6" t="s">
        <v>298</v>
      </c>
      <c r="AB3180" s="6" t="s">
        <v>240</v>
      </c>
      <c r="AE3180" s="6" t="s">
        <v>299</v>
      </c>
      <c r="AF3180" s="5" t="s">
        <v>248</v>
      </c>
      <c r="AG3180" s="5" t="s">
        <v>249</v>
      </c>
      <c r="AW3180" s="5" t="s">
        <v>251</v>
      </c>
      <c r="AX3180" s="5" t="s">
        <v>240</v>
      </c>
      <c r="AY3180" s="5" t="s">
        <v>253</v>
      </c>
      <c r="AZ3180" s="5" t="s">
        <v>240</v>
      </c>
      <c r="BA3180" s="5" t="s">
        <v>255</v>
      </c>
      <c r="BB3180" s="5" t="s">
        <v>240</v>
      </c>
      <c r="BD3180" s="5" t="s">
        <v>240</v>
      </c>
      <c r="BF3180" s="5" t="s">
        <v>301</v>
      </c>
      <c r="BG3180" s="6" t="s">
        <v>299</v>
      </c>
      <c r="BH3180" s="5" t="s">
        <v>302</v>
      </c>
      <c r="BI3180" s="5" t="s">
        <v>303</v>
      </c>
      <c r="BJ3180" s="5" t="s">
        <v>240</v>
      </c>
      <c r="BK3180" s="8">
        <f>0</f>
        <v>0</v>
      </c>
      <c r="BL3180" s="7">
        <f>0</f>
        <v>0</v>
      </c>
      <c r="BM3180" s="5" t="s">
        <v>258</v>
      </c>
      <c r="BN3180" s="5" t="s">
        <v>259</v>
      </c>
      <c r="CB3180" s="5" t="s">
        <v>240</v>
      </c>
      <c r="CC3180" s="5" t="s">
        <v>240</v>
      </c>
      <c r="CG3180" s="5" t="s">
        <v>304</v>
      </c>
      <c r="CH3180" s="5" t="s">
        <v>305</v>
      </c>
      <c r="CI3180" s="5" t="s">
        <v>240</v>
      </c>
      <c r="CL3180" s="6" t="s">
        <v>261</v>
      </c>
      <c r="CM3180" s="5" t="s">
        <v>240</v>
      </c>
      <c r="CN3180" s="5" t="s">
        <v>263</v>
      </c>
      <c r="CO3180" s="5" t="s">
        <v>240</v>
      </c>
      <c r="CP3180" s="5" t="s">
        <v>240</v>
      </c>
      <c r="CQ3180" s="5">
        <v>0</v>
      </c>
      <c r="CR3180" s="5" t="s">
        <v>306</v>
      </c>
      <c r="CS3180" s="5" t="s">
        <v>307</v>
      </c>
      <c r="CT3180" s="5" t="s">
        <v>307</v>
      </c>
      <c r="CU3180" s="5" t="s">
        <v>260</v>
      </c>
      <c r="CX3180" s="7">
        <f>1</f>
        <v>1</v>
      </c>
      <c r="CY3180" s="7">
        <f>0</f>
        <v>0</v>
      </c>
      <c r="DA3180" s="7">
        <f>0</f>
        <v>0</v>
      </c>
      <c r="DC3180" s="5" t="s">
        <v>309</v>
      </c>
      <c r="DD3180" s="5" t="s">
        <v>240</v>
      </c>
      <c r="DF3180" s="5" t="s">
        <v>309</v>
      </c>
      <c r="DG3180" s="7">
        <f>3958</f>
        <v>3958</v>
      </c>
      <c r="DI3180" s="5" t="s">
        <v>240</v>
      </c>
      <c r="DJ3180" s="5" t="s">
        <v>240</v>
      </c>
      <c r="DK3180" s="5" t="s">
        <v>240</v>
      </c>
      <c r="DL3180" s="5" t="s">
        <v>240</v>
      </c>
      <c r="DP3180" s="5" t="s">
        <v>240</v>
      </c>
      <c r="DQ3180" s="5" t="s">
        <v>240</v>
      </c>
      <c r="DR3180" s="5" t="s">
        <v>240</v>
      </c>
      <c r="DS3180" s="5" t="s">
        <v>240</v>
      </c>
      <c r="DV3180" s="5" t="s">
        <v>310</v>
      </c>
      <c r="DW3180" s="5" t="s">
        <v>2793</v>
      </c>
      <c r="HO3180" s="5" t="s">
        <v>312</v>
      </c>
    </row>
    <row r="3181" spans="1:240" x14ac:dyDescent="0.4">
      <c r="A3181" s="5">
        <v>4885</v>
      </c>
      <c r="B3181" s="5">
        <v>1</v>
      </c>
      <c r="C3181" s="5">
        <v>1</v>
      </c>
      <c r="D3181" s="5" t="s">
        <v>810</v>
      </c>
      <c r="E3181" s="5" t="s">
        <v>245</v>
      </c>
      <c r="F3181" s="5" t="s">
        <v>254</v>
      </c>
      <c r="G3181" s="5" t="s">
        <v>240</v>
      </c>
      <c r="H3181" s="6" t="s">
        <v>2180</v>
      </c>
      <c r="I3181" s="5" t="s">
        <v>809</v>
      </c>
      <c r="J3181" s="8">
        <f>411</f>
        <v>411</v>
      </c>
      <c r="K3181" s="5" t="s">
        <v>308</v>
      </c>
      <c r="L3181" s="7">
        <f>1</f>
        <v>1</v>
      </c>
      <c r="M3181" s="7">
        <f>1</f>
        <v>1</v>
      </c>
      <c r="N3181" s="5" t="s">
        <v>242</v>
      </c>
      <c r="O3181" s="5">
        <v>1</v>
      </c>
      <c r="P3181" s="5" t="s">
        <v>294</v>
      </c>
      <c r="Q3181" s="5" t="s">
        <v>3678</v>
      </c>
      <c r="R3181" s="5" t="s">
        <v>240</v>
      </c>
      <c r="S3181" s="5" t="s">
        <v>240</v>
      </c>
      <c r="T3181" s="5" t="s">
        <v>243</v>
      </c>
      <c r="U3181" s="5" t="s">
        <v>244</v>
      </c>
      <c r="V3181" s="5" t="s">
        <v>240</v>
      </c>
      <c r="W3181" s="5" t="s">
        <v>240</v>
      </c>
      <c r="X3181" s="5" t="s">
        <v>240</v>
      </c>
      <c r="Y3181" s="5" t="s">
        <v>240</v>
      </c>
      <c r="Z3181" s="6" t="s">
        <v>298</v>
      </c>
      <c r="AA3181" s="6" t="s">
        <v>240</v>
      </c>
      <c r="AB3181" s="6" t="s">
        <v>240</v>
      </c>
      <c r="AC3181" s="5" t="s">
        <v>240</v>
      </c>
      <c r="AD3181" s="6" t="s">
        <v>240</v>
      </c>
      <c r="AE3181" s="6" t="s">
        <v>299</v>
      </c>
      <c r="AF3181" s="5" t="s">
        <v>248</v>
      </c>
      <c r="AG3181" s="5" t="s">
        <v>249</v>
      </c>
      <c r="AH3181" s="5" t="s">
        <v>240</v>
      </c>
      <c r="AI3181" s="5" t="s">
        <v>240</v>
      </c>
      <c r="AJ3181" s="5" t="s">
        <v>240</v>
      </c>
      <c r="AK3181" s="5" t="s">
        <v>240</v>
      </c>
      <c r="AL3181" s="5" t="s">
        <v>240</v>
      </c>
      <c r="AM3181" s="5" t="s">
        <v>240</v>
      </c>
      <c r="AN3181" s="5" t="s">
        <v>240</v>
      </c>
      <c r="AO3181" s="5" t="s">
        <v>240</v>
      </c>
      <c r="AP3181" s="6" t="s">
        <v>240</v>
      </c>
      <c r="AQ3181" s="6" t="s">
        <v>240</v>
      </c>
      <c r="AR3181" s="6" t="s">
        <v>240</v>
      </c>
      <c r="AS3181" s="6" t="s">
        <v>240</v>
      </c>
      <c r="AT3181" s="5" t="s">
        <v>240</v>
      </c>
      <c r="AU3181" s="5" t="s">
        <v>729</v>
      </c>
      <c r="AV3181" s="5" t="s">
        <v>729</v>
      </c>
      <c r="AW3181" s="5" t="s">
        <v>251</v>
      </c>
      <c r="AX3181" s="5" t="s">
        <v>252</v>
      </c>
      <c r="AY3181" s="5" t="s">
        <v>253</v>
      </c>
      <c r="AZ3181" s="5" t="s">
        <v>240</v>
      </c>
      <c r="BA3181" s="5" t="s">
        <v>255</v>
      </c>
      <c r="BB3181" s="5" t="s">
        <v>731</v>
      </c>
      <c r="BD3181" s="5" t="s">
        <v>240</v>
      </c>
      <c r="BF3181" s="5" t="s">
        <v>732</v>
      </c>
      <c r="BG3181" s="6" t="s">
        <v>733</v>
      </c>
      <c r="BH3181" s="5" t="s">
        <v>734</v>
      </c>
      <c r="BI3181" s="5" t="s">
        <v>734</v>
      </c>
      <c r="BJ3181" s="5" t="s">
        <v>240</v>
      </c>
      <c r="BK3181" s="7">
        <f>1</f>
        <v>1</v>
      </c>
      <c r="BL3181" s="7">
        <f>1</f>
        <v>1</v>
      </c>
      <c r="BM3181" s="5" t="s">
        <v>258</v>
      </c>
      <c r="BN3181" s="5" t="s">
        <v>259</v>
      </c>
      <c r="BO3181" s="5" t="s">
        <v>240</v>
      </c>
      <c r="BP3181" s="5" t="s">
        <v>240</v>
      </c>
      <c r="BQ3181" s="5" t="s">
        <v>240</v>
      </c>
      <c r="BR3181" s="5" t="s">
        <v>240</v>
      </c>
      <c r="BS3181" s="5" t="s">
        <v>240</v>
      </c>
      <c r="BT3181" s="5" t="s">
        <v>240</v>
      </c>
      <c r="BU3181" s="5" t="s">
        <v>240</v>
      </c>
      <c r="BV3181" s="5" t="s">
        <v>240</v>
      </c>
      <c r="BW3181" s="6" t="s">
        <v>240</v>
      </c>
      <c r="BX3181" s="5" t="s">
        <v>240</v>
      </c>
      <c r="BY3181" s="5" t="s">
        <v>240</v>
      </c>
      <c r="BZ3181" s="5" t="s">
        <v>240</v>
      </c>
      <c r="CA3181" s="5" t="s">
        <v>259</v>
      </c>
      <c r="CB3181" s="5" t="s">
        <v>240</v>
      </c>
      <c r="CC3181" s="5" t="s">
        <v>240</v>
      </c>
      <c r="CD3181" s="5" t="s">
        <v>240</v>
      </c>
      <c r="CE3181" s="5" t="s">
        <v>240</v>
      </c>
      <c r="CF3181" s="5" t="s">
        <v>240</v>
      </c>
      <c r="CG3181" s="5" t="s">
        <v>304</v>
      </c>
      <c r="CH3181" s="5" t="s">
        <v>305</v>
      </c>
      <c r="CI3181" s="5" t="s">
        <v>240</v>
      </c>
      <c r="CK3181" s="5" t="s">
        <v>3681</v>
      </c>
      <c r="CL3181" s="6" t="s">
        <v>261</v>
      </c>
      <c r="CM3181" s="5" t="s">
        <v>262</v>
      </c>
      <c r="CN3181" s="5" t="s">
        <v>263</v>
      </c>
      <c r="CO3181" s="5" t="s">
        <v>264</v>
      </c>
      <c r="CP3181" s="5" t="s">
        <v>240</v>
      </c>
      <c r="CQ3181" s="5">
        <v>0</v>
      </c>
      <c r="CR3181" s="5" t="s">
        <v>735</v>
      </c>
      <c r="CS3181" s="5" t="s">
        <v>307</v>
      </c>
      <c r="CT3181" s="5" t="s">
        <v>307</v>
      </c>
      <c r="CU3181" s="5" t="s">
        <v>260</v>
      </c>
      <c r="CV3181" s="5" t="s">
        <v>612</v>
      </c>
      <c r="CW3181" s="8">
        <f>1</f>
        <v>1</v>
      </c>
      <c r="CX3181" s="7">
        <f>1</f>
        <v>1</v>
      </c>
      <c r="CY3181" s="7">
        <f>0</f>
        <v>0</v>
      </c>
      <c r="DA3181" s="7">
        <f>1</f>
        <v>1</v>
      </c>
      <c r="DB3181" s="7" t="s">
        <v>240</v>
      </c>
      <c r="DC3181" s="5" t="s">
        <v>240</v>
      </c>
      <c r="DD3181" s="5" t="s">
        <v>240</v>
      </c>
      <c r="DE3181" s="5" t="s">
        <v>240</v>
      </c>
      <c r="DF3181" s="5" t="s">
        <v>240</v>
      </c>
      <c r="DG3181" s="7">
        <f>0</f>
        <v>0</v>
      </c>
      <c r="DI3181" s="5" t="s">
        <v>240</v>
      </c>
      <c r="DJ3181" s="5" t="s">
        <v>240</v>
      </c>
      <c r="DK3181" s="5" t="s">
        <v>240</v>
      </c>
      <c r="DL3181" s="5" t="s">
        <v>240</v>
      </c>
      <c r="DM3181" s="5" t="s">
        <v>240</v>
      </c>
      <c r="DN3181" s="5" t="s">
        <v>240</v>
      </c>
      <c r="DO3181" s="7" t="s">
        <v>240</v>
      </c>
      <c r="DP3181" s="5" t="s">
        <v>240</v>
      </c>
      <c r="DQ3181" s="5" t="s">
        <v>240</v>
      </c>
      <c r="DR3181" s="5" t="s">
        <v>731</v>
      </c>
      <c r="DS3181" s="5" t="s">
        <v>731</v>
      </c>
      <c r="DT3181" s="5" t="s">
        <v>240</v>
      </c>
      <c r="DU3181" s="5" t="s">
        <v>240</v>
      </c>
      <c r="DV3181" s="5" t="s">
        <v>3683</v>
      </c>
      <c r="DW3181" s="5" t="s">
        <v>396</v>
      </c>
      <c r="DX3181" s="5" t="s">
        <v>240</v>
      </c>
      <c r="DY3181" s="5" t="s">
        <v>240</v>
      </c>
      <c r="DZ3181" s="5" t="s">
        <v>240</v>
      </c>
      <c r="EA3181" s="5" t="s">
        <v>240</v>
      </c>
      <c r="EB3181" s="5" t="s">
        <v>240</v>
      </c>
      <c r="EC3181" s="5" t="s">
        <v>240</v>
      </c>
      <c r="ED3181" s="5" t="s">
        <v>240</v>
      </c>
      <c r="EE3181" s="5" t="s">
        <v>240</v>
      </c>
      <c r="EF3181" s="5" t="s">
        <v>240</v>
      </c>
      <c r="EG3181" s="5" t="s">
        <v>240</v>
      </c>
      <c r="EH3181" s="5" t="s">
        <v>240</v>
      </c>
      <c r="EI3181" s="5" t="s">
        <v>240</v>
      </c>
      <c r="EJ3181" s="5" t="s">
        <v>240</v>
      </c>
      <c r="EK3181" s="5" t="s">
        <v>240</v>
      </c>
      <c r="EL3181" s="5" t="s">
        <v>240</v>
      </c>
      <c r="EM3181" s="5" t="s">
        <v>240</v>
      </c>
      <c r="EN3181" s="5" t="s">
        <v>240</v>
      </c>
      <c r="EO3181" s="5" t="s">
        <v>240</v>
      </c>
      <c r="EP3181" s="5" t="s">
        <v>240</v>
      </c>
      <c r="EQ3181" s="5" t="s">
        <v>240</v>
      </c>
      <c r="ER3181" s="5" t="s">
        <v>240</v>
      </c>
      <c r="ES3181" s="5" t="s">
        <v>240</v>
      </c>
      <c r="ET3181" s="5" t="s">
        <v>240</v>
      </c>
      <c r="EU3181" s="5" t="s">
        <v>240</v>
      </c>
      <c r="EV3181" s="5" t="s">
        <v>240</v>
      </c>
      <c r="EW3181" s="5" t="s">
        <v>240</v>
      </c>
      <c r="EX3181" s="5" t="s">
        <v>240</v>
      </c>
      <c r="EY3181" s="5" t="s">
        <v>240</v>
      </c>
      <c r="EZ3181" s="5" t="s">
        <v>240</v>
      </c>
      <c r="FA3181" s="5" t="s">
        <v>240</v>
      </c>
      <c r="FB3181" s="5" t="s">
        <v>240</v>
      </c>
      <c r="FC3181" s="5" t="s">
        <v>240</v>
      </c>
      <c r="FD3181" s="5" t="s">
        <v>240</v>
      </c>
      <c r="FE3181" s="5" t="s">
        <v>240</v>
      </c>
      <c r="FF3181" s="5" t="s">
        <v>240</v>
      </c>
      <c r="FG3181" s="5" t="s">
        <v>240</v>
      </c>
      <c r="FH3181" s="5" t="s">
        <v>240</v>
      </c>
      <c r="FI3181" s="5" t="s">
        <v>240</v>
      </c>
      <c r="FJ3181" s="5" t="s">
        <v>240</v>
      </c>
      <c r="FK3181" s="5" t="s">
        <v>240</v>
      </c>
      <c r="FL3181" s="5" t="s">
        <v>240</v>
      </c>
      <c r="FM3181" s="5" t="s">
        <v>240</v>
      </c>
      <c r="FN3181" s="5" t="s">
        <v>240</v>
      </c>
      <c r="FO3181" s="5" t="s">
        <v>240</v>
      </c>
      <c r="FP3181" s="5" t="s">
        <v>240</v>
      </c>
      <c r="FQ3181" s="5" t="s">
        <v>240</v>
      </c>
      <c r="FR3181" s="5" t="s">
        <v>240</v>
      </c>
      <c r="FS3181" s="5" t="s">
        <v>240</v>
      </c>
      <c r="FT3181" s="5" t="s">
        <v>240</v>
      </c>
      <c r="FU3181" s="5" t="s">
        <v>240</v>
      </c>
      <c r="FV3181" s="5" t="s">
        <v>240</v>
      </c>
      <c r="FW3181" s="5" t="s">
        <v>240</v>
      </c>
      <c r="FX3181" s="5" t="s">
        <v>240</v>
      </c>
      <c r="FY3181" s="5" t="s">
        <v>240</v>
      </c>
      <c r="FZ3181" s="5" t="s">
        <v>240</v>
      </c>
      <c r="GA3181" s="5" t="s">
        <v>240</v>
      </c>
      <c r="GB3181" s="5" t="s">
        <v>240</v>
      </c>
      <c r="GC3181" s="5" t="s">
        <v>240</v>
      </c>
      <c r="GD3181" s="5" t="s">
        <v>240</v>
      </c>
      <c r="GE3181" s="5" t="s">
        <v>240</v>
      </c>
      <c r="GF3181" s="5" t="s">
        <v>240</v>
      </c>
      <c r="GG3181" s="5" t="s">
        <v>240</v>
      </c>
      <c r="GH3181" s="5" t="s">
        <v>240</v>
      </c>
      <c r="GI3181" s="5" t="s">
        <v>240</v>
      </c>
      <c r="GJ3181" s="5" t="s">
        <v>240</v>
      </c>
      <c r="GK3181" s="5" t="s">
        <v>240</v>
      </c>
      <c r="GL3181" s="5" t="s">
        <v>240</v>
      </c>
      <c r="GM3181" s="5" t="s">
        <v>240</v>
      </c>
      <c r="GN3181" s="5" t="s">
        <v>240</v>
      </c>
      <c r="GO3181" s="5" t="s">
        <v>240</v>
      </c>
      <c r="GP3181" s="5" t="s">
        <v>240</v>
      </c>
      <c r="GQ3181" s="5" t="s">
        <v>240</v>
      </c>
      <c r="GR3181" s="5" t="s">
        <v>240</v>
      </c>
      <c r="GS3181" s="5" t="s">
        <v>240</v>
      </c>
      <c r="GT3181" s="5" t="s">
        <v>240</v>
      </c>
      <c r="GU3181" s="5" t="s">
        <v>240</v>
      </c>
      <c r="GV3181" s="5" t="s">
        <v>240</v>
      </c>
      <c r="GW3181" s="5" t="s">
        <v>240</v>
      </c>
      <c r="GX3181" s="5" t="s">
        <v>240</v>
      </c>
      <c r="GY3181" s="5" t="s">
        <v>240</v>
      </c>
      <c r="GZ3181" s="5" t="s">
        <v>240</v>
      </c>
      <c r="HA3181" s="5" t="s">
        <v>240</v>
      </c>
      <c r="HB3181" s="5" t="s">
        <v>240</v>
      </c>
      <c r="HC3181" s="5" t="s">
        <v>240</v>
      </c>
      <c r="HD3181" s="5" t="s">
        <v>240</v>
      </c>
      <c r="HE3181" s="5" t="s">
        <v>240</v>
      </c>
      <c r="HF3181" s="5" t="s">
        <v>240</v>
      </c>
      <c r="HG3181" s="5" t="s">
        <v>240</v>
      </c>
      <c r="HH3181" s="5" t="s">
        <v>240</v>
      </c>
      <c r="HI3181" s="5" t="s">
        <v>240</v>
      </c>
      <c r="HJ3181" s="5" t="s">
        <v>240</v>
      </c>
      <c r="HK3181" s="5" t="s">
        <v>240</v>
      </c>
      <c r="HL3181" s="5" t="s">
        <v>240</v>
      </c>
      <c r="HM3181" s="5" t="s">
        <v>240</v>
      </c>
      <c r="HN3181" s="5" t="s">
        <v>240</v>
      </c>
      <c r="HO3181" s="5" t="s">
        <v>312</v>
      </c>
      <c r="HP3181" s="5" t="s">
        <v>240</v>
      </c>
      <c r="HQ3181" s="5" t="s">
        <v>240</v>
      </c>
      <c r="HR3181" s="5" t="s">
        <v>240</v>
      </c>
      <c r="HS3181" s="5" t="s">
        <v>240</v>
      </c>
      <c r="HT3181" s="5" t="s">
        <v>240</v>
      </c>
      <c r="HU3181" s="5" t="s">
        <v>240</v>
      </c>
      <c r="HV3181" s="5" t="s">
        <v>240</v>
      </c>
      <c r="HW3181" s="5" t="s">
        <v>240</v>
      </c>
      <c r="HX3181" s="5" t="s">
        <v>240</v>
      </c>
      <c r="HY3181" s="5" t="s">
        <v>240</v>
      </c>
      <c r="HZ3181" s="5" t="s">
        <v>240</v>
      </c>
      <c r="IA3181" s="5" t="s">
        <v>240</v>
      </c>
      <c r="IB3181" s="5" t="s">
        <v>240</v>
      </c>
      <c r="IC3181" s="5" t="s">
        <v>240</v>
      </c>
      <c r="ID3181" s="5" t="s">
        <v>240</v>
      </c>
      <c r="IE3181" s="5" t="s">
        <v>240</v>
      </c>
      <c r="IF3181" s="5" t="s">
        <v>240</v>
      </c>
    </row>
    <row r="3182" spans="1:240" x14ac:dyDescent="0.4">
      <c r="A3182" s="5">
        <v>4886</v>
      </c>
      <c r="B3182" s="5">
        <v>1</v>
      </c>
      <c r="C3182" s="5">
        <v>1</v>
      </c>
      <c r="D3182" s="5" t="s">
        <v>810</v>
      </c>
      <c r="E3182" s="5" t="s">
        <v>245</v>
      </c>
      <c r="F3182" s="5" t="s">
        <v>254</v>
      </c>
      <c r="G3182" s="5" t="s">
        <v>240</v>
      </c>
      <c r="H3182" s="6" t="s">
        <v>2178</v>
      </c>
      <c r="I3182" s="5" t="s">
        <v>809</v>
      </c>
      <c r="J3182" s="8">
        <f>14362</f>
        <v>14362</v>
      </c>
      <c r="K3182" s="5" t="s">
        <v>308</v>
      </c>
      <c r="L3182" s="7">
        <f>1</f>
        <v>1</v>
      </c>
      <c r="M3182" s="7">
        <f>1</f>
        <v>1</v>
      </c>
      <c r="N3182" s="5" t="s">
        <v>242</v>
      </c>
      <c r="O3182" s="5">
        <v>1</v>
      </c>
      <c r="P3182" s="5" t="s">
        <v>294</v>
      </c>
      <c r="Q3182" s="5" t="s">
        <v>266</v>
      </c>
      <c r="R3182" s="5" t="s">
        <v>240</v>
      </c>
      <c r="S3182" s="5" t="s">
        <v>240</v>
      </c>
      <c r="T3182" s="5" t="s">
        <v>296</v>
      </c>
      <c r="U3182" s="5" t="s">
        <v>244</v>
      </c>
      <c r="V3182" s="5" t="s">
        <v>240</v>
      </c>
      <c r="Y3182" s="5" t="s">
        <v>240</v>
      </c>
      <c r="Z3182" s="6" t="s">
        <v>298</v>
      </c>
      <c r="AB3182" s="6" t="s">
        <v>240</v>
      </c>
      <c r="AE3182" s="6" t="s">
        <v>299</v>
      </c>
      <c r="AF3182" s="5" t="s">
        <v>248</v>
      </c>
      <c r="AG3182" s="5" t="s">
        <v>249</v>
      </c>
      <c r="AW3182" s="5" t="s">
        <v>251</v>
      </c>
      <c r="AX3182" s="5" t="s">
        <v>240</v>
      </c>
      <c r="AY3182" s="5" t="s">
        <v>253</v>
      </c>
      <c r="AZ3182" s="5" t="s">
        <v>240</v>
      </c>
      <c r="BA3182" s="5" t="s">
        <v>255</v>
      </c>
      <c r="BB3182" s="5" t="s">
        <v>240</v>
      </c>
      <c r="BD3182" s="5" t="s">
        <v>240</v>
      </c>
      <c r="BF3182" s="5" t="s">
        <v>301</v>
      </c>
      <c r="BG3182" s="6" t="s">
        <v>299</v>
      </c>
      <c r="BH3182" s="5" t="s">
        <v>302</v>
      </c>
      <c r="BI3182" s="5" t="s">
        <v>303</v>
      </c>
      <c r="BJ3182" s="5" t="s">
        <v>240</v>
      </c>
      <c r="BK3182" s="8">
        <f>0</f>
        <v>0</v>
      </c>
      <c r="BL3182" s="7">
        <f>0</f>
        <v>0</v>
      </c>
      <c r="BM3182" s="5" t="s">
        <v>258</v>
      </c>
      <c r="BN3182" s="5" t="s">
        <v>259</v>
      </c>
      <c r="CB3182" s="5" t="s">
        <v>240</v>
      </c>
      <c r="CC3182" s="5" t="s">
        <v>240</v>
      </c>
      <c r="CG3182" s="5" t="s">
        <v>304</v>
      </c>
      <c r="CH3182" s="5" t="s">
        <v>305</v>
      </c>
      <c r="CI3182" s="5" t="s">
        <v>240</v>
      </c>
      <c r="CL3182" s="6" t="s">
        <v>261</v>
      </c>
      <c r="CM3182" s="5" t="s">
        <v>240</v>
      </c>
      <c r="CN3182" s="5" t="s">
        <v>263</v>
      </c>
      <c r="CO3182" s="5" t="s">
        <v>240</v>
      </c>
      <c r="CP3182" s="5" t="s">
        <v>240</v>
      </c>
      <c r="CQ3182" s="5">
        <v>0</v>
      </c>
      <c r="CR3182" s="5" t="s">
        <v>306</v>
      </c>
      <c r="CS3182" s="5" t="s">
        <v>307</v>
      </c>
      <c r="CT3182" s="5" t="s">
        <v>307</v>
      </c>
      <c r="CU3182" s="5" t="s">
        <v>260</v>
      </c>
      <c r="CX3182" s="7">
        <f>1</f>
        <v>1</v>
      </c>
      <c r="CY3182" s="7">
        <f>0</f>
        <v>0</v>
      </c>
      <c r="DA3182" s="7">
        <f>0</f>
        <v>0</v>
      </c>
      <c r="DC3182" s="5" t="s">
        <v>309</v>
      </c>
      <c r="DD3182" s="5" t="s">
        <v>240</v>
      </c>
      <c r="DF3182" s="5" t="s">
        <v>309</v>
      </c>
      <c r="DG3182" s="7">
        <f>2990</f>
        <v>2990</v>
      </c>
      <c r="DI3182" s="5" t="s">
        <v>240</v>
      </c>
      <c r="DJ3182" s="5" t="s">
        <v>240</v>
      </c>
      <c r="DK3182" s="5" t="s">
        <v>240</v>
      </c>
      <c r="DL3182" s="5" t="s">
        <v>240</v>
      </c>
      <c r="DP3182" s="5" t="s">
        <v>240</v>
      </c>
      <c r="DQ3182" s="5" t="s">
        <v>240</v>
      </c>
      <c r="DR3182" s="5" t="s">
        <v>240</v>
      </c>
      <c r="DS3182" s="5" t="s">
        <v>240</v>
      </c>
      <c r="DV3182" s="5" t="s">
        <v>310</v>
      </c>
      <c r="DW3182" s="5" t="s">
        <v>2801</v>
      </c>
      <c r="HO3182" s="5" t="s">
        <v>312</v>
      </c>
    </row>
    <row r="3183" spans="1:240" x14ac:dyDescent="0.4">
      <c r="A3183" s="5">
        <v>4887</v>
      </c>
      <c r="B3183" s="5">
        <v>1</v>
      </c>
      <c r="C3183" s="5">
        <v>1</v>
      </c>
      <c r="D3183" s="5" t="s">
        <v>810</v>
      </c>
      <c r="E3183" s="5" t="s">
        <v>245</v>
      </c>
      <c r="F3183" s="5" t="s">
        <v>254</v>
      </c>
      <c r="G3183" s="5" t="s">
        <v>240</v>
      </c>
      <c r="H3183" s="6" t="s">
        <v>2176</v>
      </c>
      <c r="I3183" s="5" t="s">
        <v>809</v>
      </c>
      <c r="J3183" s="8">
        <f>391</f>
        <v>391</v>
      </c>
      <c r="K3183" s="5" t="s">
        <v>308</v>
      </c>
      <c r="L3183" s="7">
        <f>1</f>
        <v>1</v>
      </c>
      <c r="M3183" s="7">
        <f>1</f>
        <v>1</v>
      </c>
      <c r="N3183" s="5" t="s">
        <v>242</v>
      </c>
      <c r="O3183" s="5">
        <v>1</v>
      </c>
      <c r="P3183" s="5" t="s">
        <v>294</v>
      </c>
      <c r="Q3183" s="5" t="s">
        <v>3678</v>
      </c>
      <c r="R3183" s="5" t="s">
        <v>240</v>
      </c>
      <c r="S3183" s="5" t="s">
        <v>240</v>
      </c>
      <c r="T3183" s="5" t="s">
        <v>243</v>
      </c>
      <c r="U3183" s="5" t="s">
        <v>244</v>
      </c>
      <c r="V3183" s="5" t="s">
        <v>240</v>
      </c>
      <c r="W3183" s="5" t="s">
        <v>240</v>
      </c>
      <c r="X3183" s="5" t="s">
        <v>240</v>
      </c>
      <c r="Y3183" s="5" t="s">
        <v>240</v>
      </c>
      <c r="Z3183" s="6" t="s">
        <v>298</v>
      </c>
      <c r="AA3183" s="6" t="s">
        <v>240</v>
      </c>
      <c r="AB3183" s="6" t="s">
        <v>240</v>
      </c>
      <c r="AC3183" s="5" t="s">
        <v>240</v>
      </c>
      <c r="AD3183" s="6" t="s">
        <v>240</v>
      </c>
      <c r="AE3183" s="6" t="s">
        <v>299</v>
      </c>
      <c r="AF3183" s="5" t="s">
        <v>248</v>
      </c>
      <c r="AG3183" s="5" t="s">
        <v>249</v>
      </c>
      <c r="AH3183" s="5" t="s">
        <v>240</v>
      </c>
      <c r="AI3183" s="5" t="s">
        <v>240</v>
      </c>
      <c r="AJ3183" s="5" t="s">
        <v>240</v>
      </c>
      <c r="AK3183" s="5" t="s">
        <v>240</v>
      </c>
      <c r="AL3183" s="5" t="s">
        <v>240</v>
      </c>
      <c r="AM3183" s="5" t="s">
        <v>240</v>
      </c>
      <c r="AN3183" s="5" t="s">
        <v>240</v>
      </c>
      <c r="AO3183" s="5" t="s">
        <v>240</v>
      </c>
      <c r="AP3183" s="6" t="s">
        <v>240</v>
      </c>
      <c r="AQ3183" s="6" t="s">
        <v>240</v>
      </c>
      <c r="AR3183" s="6" t="s">
        <v>240</v>
      </c>
      <c r="AS3183" s="6" t="s">
        <v>240</v>
      </c>
      <c r="AT3183" s="5" t="s">
        <v>240</v>
      </c>
      <c r="AU3183" s="5" t="s">
        <v>729</v>
      </c>
      <c r="AV3183" s="5" t="s">
        <v>729</v>
      </c>
      <c r="AW3183" s="5" t="s">
        <v>251</v>
      </c>
      <c r="AX3183" s="5" t="s">
        <v>252</v>
      </c>
      <c r="AY3183" s="5" t="s">
        <v>253</v>
      </c>
      <c r="AZ3183" s="5" t="s">
        <v>240</v>
      </c>
      <c r="BA3183" s="5" t="s">
        <v>255</v>
      </c>
      <c r="BB3183" s="5" t="s">
        <v>731</v>
      </c>
      <c r="BD3183" s="5" t="s">
        <v>240</v>
      </c>
      <c r="BF3183" s="5" t="s">
        <v>732</v>
      </c>
      <c r="BG3183" s="6" t="s">
        <v>733</v>
      </c>
      <c r="BH3183" s="5" t="s">
        <v>734</v>
      </c>
      <c r="BI3183" s="5" t="s">
        <v>734</v>
      </c>
      <c r="BJ3183" s="5" t="s">
        <v>240</v>
      </c>
      <c r="BK3183" s="7">
        <f>1</f>
        <v>1</v>
      </c>
      <c r="BL3183" s="7">
        <f>1</f>
        <v>1</v>
      </c>
      <c r="BM3183" s="5" t="s">
        <v>258</v>
      </c>
      <c r="BN3183" s="5" t="s">
        <v>259</v>
      </c>
      <c r="BO3183" s="5" t="s">
        <v>240</v>
      </c>
      <c r="BP3183" s="5" t="s">
        <v>240</v>
      </c>
      <c r="BQ3183" s="5" t="s">
        <v>240</v>
      </c>
      <c r="BR3183" s="5" t="s">
        <v>240</v>
      </c>
      <c r="BS3183" s="5" t="s">
        <v>240</v>
      </c>
      <c r="BT3183" s="5" t="s">
        <v>240</v>
      </c>
      <c r="BU3183" s="5" t="s">
        <v>240</v>
      </c>
      <c r="BV3183" s="5" t="s">
        <v>240</v>
      </c>
      <c r="BW3183" s="6" t="s">
        <v>240</v>
      </c>
      <c r="BX3183" s="5" t="s">
        <v>240</v>
      </c>
      <c r="BY3183" s="5" t="s">
        <v>240</v>
      </c>
      <c r="BZ3183" s="5" t="s">
        <v>240</v>
      </c>
      <c r="CA3183" s="5" t="s">
        <v>259</v>
      </c>
      <c r="CB3183" s="5" t="s">
        <v>240</v>
      </c>
      <c r="CC3183" s="5" t="s">
        <v>240</v>
      </c>
      <c r="CD3183" s="5" t="s">
        <v>240</v>
      </c>
      <c r="CE3183" s="5" t="s">
        <v>240</v>
      </c>
      <c r="CF3183" s="5" t="s">
        <v>240</v>
      </c>
      <c r="CG3183" s="5" t="s">
        <v>304</v>
      </c>
      <c r="CH3183" s="5" t="s">
        <v>305</v>
      </c>
      <c r="CI3183" s="5" t="s">
        <v>240</v>
      </c>
      <c r="CK3183" s="5" t="s">
        <v>3681</v>
      </c>
      <c r="CL3183" s="6" t="s">
        <v>261</v>
      </c>
      <c r="CM3183" s="5" t="s">
        <v>262</v>
      </c>
      <c r="CN3183" s="5" t="s">
        <v>263</v>
      </c>
      <c r="CO3183" s="5" t="s">
        <v>264</v>
      </c>
      <c r="CP3183" s="5" t="s">
        <v>240</v>
      </c>
      <c r="CQ3183" s="5">
        <v>0</v>
      </c>
      <c r="CR3183" s="5" t="s">
        <v>735</v>
      </c>
      <c r="CS3183" s="5" t="s">
        <v>307</v>
      </c>
      <c r="CT3183" s="5" t="s">
        <v>307</v>
      </c>
      <c r="CU3183" s="5" t="s">
        <v>260</v>
      </c>
      <c r="CV3183" s="5" t="s">
        <v>612</v>
      </c>
      <c r="CW3183" s="8">
        <f>1</f>
        <v>1</v>
      </c>
      <c r="CX3183" s="7">
        <f>1</f>
        <v>1</v>
      </c>
      <c r="CY3183" s="7">
        <f>0</f>
        <v>0</v>
      </c>
      <c r="DA3183" s="7">
        <f>1</f>
        <v>1</v>
      </c>
      <c r="DB3183" s="7" t="s">
        <v>240</v>
      </c>
      <c r="DC3183" s="5" t="s">
        <v>240</v>
      </c>
      <c r="DD3183" s="5" t="s">
        <v>240</v>
      </c>
      <c r="DE3183" s="5" t="s">
        <v>240</v>
      </c>
      <c r="DF3183" s="5" t="s">
        <v>240</v>
      </c>
      <c r="DG3183" s="7">
        <f>0</f>
        <v>0</v>
      </c>
      <c r="DI3183" s="5" t="s">
        <v>240</v>
      </c>
      <c r="DJ3183" s="5" t="s">
        <v>240</v>
      </c>
      <c r="DK3183" s="5" t="s">
        <v>240</v>
      </c>
      <c r="DL3183" s="5" t="s">
        <v>240</v>
      </c>
      <c r="DM3183" s="5" t="s">
        <v>240</v>
      </c>
      <c r="DN3183" s="5" t="s">
        <v>240</v>
      </c>
      <c r="DO3183" s="7" t="s">
        <v>240</v>
      </c>
      <c r="DP3183" s="5" t="s">
        <v>240</v>
      </c>
      <c r="DQ3183" s="5" t="s">
        <v>240</v>
      </c>
      <c r="DR3183" s="5" t="s">
        <v>731</v>
      </c>
      <c r="DS3183" s="5" t="s">
        <v>731</v>
      </c>
      <c r="DT3183" s="5" t="s">
        <v>240</v>
      </c>
      <c r="DU3183" s="5" t="s">
        <v>240</v>
      </c>
      <c r="DV3183" s="5" t="s">
        <v>3683</v>
      </c>
      <c r="DW3183" s="5" t="s">
        <v>404</v>
      </c>
      <c r="DX3183" s="5" t="s">
        <v>240</v>
      </c>
      <c r="DY3183" s="5" t="s">
        <v>240</v>
      </c>
      <c r="DZ3183" s="5" t="s">
        <v>240</v>
      </c>
      <c r="EA3183" s="5" t="s">
        <v>240</v>
      </c>
      <c r="EB3183" s="5" t="s">
        <v>240</v>
      </c>
      <c r="EC3183" s="5" t="s">
        <v>240</v>
      </c>
      <c r="ED3183" s="5" t="s">
        <v>240</v>
      </c>
      <c r="EE3183" s="5" t="s">
        <v>240</v>
      </c>
      <c r="EF3183" s="5" t="s">
        <v>240</v>
      </c>
      <c r="EG3183" s="5" t="s">
        <v>240</v>
      </c>
      <c r="EH3183" s="5" t="s">
        <v>240</v>
      </c>
      <c r="EI3183" s="5" t="s">
        <v>240</v>
      </c>
      <c r="EJ3183" s="5" t="s">
        <v>240</v>
      </c>
      <c r="EK3183" s="5" t="s">
        <v>240</v>
      </c>
      <c r="EL3183" s="5" t="s">
        <v>240</v>
      </c>
      <c r="EM3183" s="5" t="s">
        <v>240</v>
      </c>
      <c r="EN3183" s="5" t="s">
        <v>240</v>
      </c>
      <c r="EO3183" s="5" t="s">
        <v>240</v>
      </c>
      <c r="EP3183" s="5" t="s">
        <v>240</v>
      </c>
      <c r="EQ3183" s="5" t="s">
        <v>240</v>
      </c>
      <c r="ER3183" s="5" t="s">
        <v>240</v>
      </c>
      <c r="ES3183" s="5" t="s">
        <v>240</v>
      </c>
      <c r="ET3183" s="5" t="s">
        <v>240</v>
      </c>
      <c r="EU3183" s="5" t="s">
        <v>240</v>
      </c>
      <c r="EV3183" s="5" t="s">
        <v>240</v>
      </c>
      <c r="EW3183" s="5" t="s">
        <v>240</v>
      </c>
      <c r="EX3183" s="5" t="s">
        <v>240</v>
      </c>
      <c r="EY3183" s="5" t="s">
        <v>240</v>
      </c>
      <c r="EZ3183" s="5" t="s">
        <v>240</v>
      </c>
      <c r="FA3183" s="5" t="s">
        <v>240</v>
      </c>
      <c r="FB3183" s="5" t="s">
        <v>240</v>
      </c>
      <c r="FC3183" s="5" t="s">
        <v>240</v>
      </c>
      <c r="FD3183" s="5" t="s">
        <v>240</v>
      </c>
      <c r="FE3183" s="5" t="s">
        <v>240</v>
      </c>
      <c r="FF3183" s="5" t="s">
        <v>240</v>
      </c>
      <c r="FG3183" s="5" t="s">
        <v>240</v>
      </c>
      <c r="FH3183" s="5" t="s">
        <v>240</v>
      </c>
      <c r="FI3183" s="5" t="s">
        <v>240</v>
      </c>
      <c r="FJ3183" s="5" t="s">
        <v>240</v>
      </c>
      <c r="FK3183" s="5" t="s">
        <v>240</v>
      </c>
      <c r="FL3183" s="5" t="s">
        <v>240</v>
      </c>
      <c r="FM3183" s="5" t="s">
        <v>240</v>
      </c>
      <c r="FN3183" s="5" t="s">
        <v>240</v>
      </c>
      <c r="FO3183" s="5" t="s">
        <v>240</v>
      </c>
      <c r="FP3183" s="5" t="s">
        <v>240</v>
      </c>
      <c r="FQ3183" s="5" t="s">
        <v>240</v>
      </c>
      <c r="FR3183" s="5" t="s">
        <v>240</v>
      </c>
      <c r="FS3183" s="5" t="s">
        <v>240</v>
      </c>
      <c r="FT3183" s="5" t="s">
        <v>240</v>
      </c>
      <c r="FU3183" s="5" t="s">
        <v>240</v>
      </c>
      <c r="FV3183" s="5" t="s">
        <v>240</v>
      </c>
      <c r="FW3183" s="5" t="s">
        <v>240</v>
      </c>
      <c r="FX3183" s="5" t="s">
        <v>240</v>
      </c>
      <c r="FY3183" s="5" t="s">
        <v>240</v>
      </c>
      <c r="FZ3183" s="5" t="s">
        <v>240</v>
      </c>
      <c r="GA3183" s="5" t="s">
        <v>240</v>
      </c>
      <c r="GB3183" s="5" t="s">
        <v>240</v>
      </c>
      <c r="GC3183" s="5" t="s">
        <v>240</v>
      </c>
      <c r="GD3183" s="5" t="s">
        <v>240</v>
      </c>
      <c r="GE3183" s="5" t="s">
        <v>240</v>
      </c>
      <c r="GF3183" s="5" t="s">
        <v>240</v>
      </c>
      <c r="GG3183" s="5" t="s">
        <v>240</v>
      </c>
      <c r="GH3183" s="5" t="s">
        <v>240</v>
      </c>
      <c r="GI3183" s="5" t="s">
        <v>240</v>
      </c>
      <c r="GJ3183" s="5" t="s">
        <v>240</v>
      </c>
      <c r="GK3183" s="5" t="s">
        <v>240</v>
      </c>
      <c r="GL3183" s="5" t="s">
        <v>240</v>
      </c>
      <c r="GM3183" s="5" t="s">
        <v>240</v>
      </c>
      <c r="GN3183" s="5" t="s">
        <v>240</v>
      </c>
      <c r="GO3183" s="5" t="s">
        <v>240</v>
      </c>
      <c r="GP3183" s="5" t="s">
        <v>240</v>
      </c>
      <c r="GQ3183" s="5" t="s">
        <v>240</v>
      </c>
      <c r="GR3183" s="5" t="s">
        <v>240</v>
      </c>
      <c r="GS3183" s="5" t="s">
        <v>240</v>
      </c>
      <c r="GT3183" s="5" t="s">
        <v>240</v>
      </c>
      <c r="GU3183" s="5" t="s">
        <v>240</v>
      </c>
      <c r="GV3183" s="5" t="s">
        <v>240</v>
      </c>
      <c r="GW3183" s="5" t="s">
        <v>240</v>
      </c>
      <c r="GX3183" s="5" t="s">
        <v>240</v>
      </c>
      <c r="GY3183" s="5" t="s">
        <v>240</v>
      </c>
      <c r="GZ3183" s="5" t="s">
        <v>240</v>
      </c>
      <c r="HA3183" s="5" t="s">
        <v>240</v>
      </c>
      <c r="HB3183" s="5" t="s">
        <v>240</v>
      </c>
      <c r="HC3183" s="5" t="s">
        <v>240</v>
      </c>
      <c r="HD3183" s="5" t="s">
        <v>240</v>
      </c>
      <c r="HE3183" s="5" t="s">
        <v>240</v>
      </c>
      <c r="HF3183" s="5" t="s">
        <v>240</v>
      </c>
      <c r="HG3183" s="5" t="s">
        <v>240</v>
      </c>
      <c r="HH3183" s="5" t="s">
        <v>240</v>
      </c>
      <c r="HI3183" s="5" t="s">
        <v>240</v>
      </c>
      <c r="HJ3183" s="5" t="s">
        <v>240</v>
      </c>
      <c r="HK3183" s="5" t="s">
        <v>240</v>
      </c>
      <c r="HL3183" s="5" t="s">
        <v>240</v>
      </c>
      <c r="HM3183" s="5" t="s">
        <v>240</v>
      </c>
      <c r="HN3183" s="5" t="s">
        <v>240</v>
      </c>
      <c r="HO3183" s="5" t="s">
        <v>312</v>
      </c>
      <c r="HP3183" s="5" t="s">
        <v>240</v>
      </c>
      <c r="HQ3183" s="5" t="s">
        <v>240</v>
      </c>
      <c r="HR3183" s="5" t="s">
        <v>240</v>
      </c>
      <c r="HS3183" s="5" t="s">
        <v>240</v>
      </c>
      <c r="HT3183" s="5" t="s">
        <v>240</v>
      </c>
      <c r="HU3183" s="5" t="s">
        <v>240</v>
      </c>
      <c r="HV3183" s="5" t="s">
        <v>240</v>
      </c>
      <c r="HW3183" s="5" t="s">
        <v>240</v>
      </c>
      <c r="HX3183" s="5" t="s">
        <v>240</v>
      </c>
      <c r="HY3183" s="5" t="s">
        <v>240</v>
      </c>
      <c r="HZ3183" s="5" t="s">
        <v>240</v>
      </c>
      <c r="IA3183" s="5" t="s">
        <v>240</v>
      </c>
      <c r="IB3183" s="5" t="s">
        <v>240</v>
      </c>
      <c r="IC3183" s="5" t="s">
        <v>240</v>
      </c>
      <c r="ID3183" s="5" t="s">
        <v>240</v>
      </c>
      <c r="IE3183" s="5" t="s">
        <v>240</v>
      </c>
      <c r="IF3183" s="5" t="s">
        <v>240</v>
      </c>
    </row>
    <row r="3184" spans="1:240" x14ac:dyDescent="0.4">
      <c r="A3184" s="5">
        <v>4888</v>
      </c>
      <c r="B3184" s="5">
        <v>1</v>
      </c>
      <c r="C3184" s="5">
        <v>1</v>
      </c>
      <c r="D3184" s="5" t="s">
        <v>810</v>
      </c>
      <c r="E3184" s="5" t="s">
        <v>245</v>
      </c>
      <c r="F3184" s="5" t="s">
        <v>254</v>
      </c>
      <c r="G3184" s="5" t="s">
        <v>240</v>
      </c>
      <c r="H3184" s="6" t="s">
        <v>2174</v>
      </c>
      <c r="I3184" s="5" t="s">
        <v>809</v>
      </c>
      <c r="J3184" s="8">
        <f>231</f>
        <v>231</v>
      </c>
      <c r="K3184" s="5" t="s">
        <v>308</v>
      </c>
      <c r="L3184" s="7">
        <f>1</f>
        <v>1</v>
      </c>
      <c r="M3184" s="7">
        <f>1</f>
        <v>1</v>
      </c>
      <c r="N3184" s="5" t="s">
        <v>242</v>
      </c>
      <c r="O3184" s="5">
        <v>1</v>
      </c>
      <c r="P3184" s="5" t="s">
        <v>294</v>
      </c>
      <c r="Q3184" s="5" t="s">
        <v>3678</v>
      </c>
      <c r="R3184" s="5" t="s">
        <v>240</v>
      </c>
      <c r="S3184" s="5" t="s">
        <v>240</v>
      </c>
      <c r="T3184" s="5" t="s">
        <v>243</v>
      </c>
      <c r="U3184" s="5" t="s">
        <v>244</v>
      </c>
      <c r="V3184" s="5" t="s">
        <v>240</v>
      </c>
      <c r="W3184" s="5" t="s">
        <v>240</v>
      </c>
      <c r="X3184" s="5" t="s">
        <v>240</v>
      </c>
      <c r="Y3184" s="5" t="s">
        <v>240</v>
      </c>
      <c r="Z3184" s="6" t="s">
        <v>298</v>
      </c>
      <c r="AA3184" s="6" t="s">
        <v>240</v>
      </c>
      <c r="AB3184" s="6" t="s">
        <v>240</v>
      </c>
      <c r="AC3184" s="5" t="s">
        <v>240</v>
      </c>
      <c r="AD3184" s="6" t="s">
        <v>240</v>
      </c>
      <c r="AE3184" s="6" t="s">
        <v>299</v>
      </c>
      <c r="AF3184" s="5" t="s">
        <v>248</v>
      </c>
      <c r="AG3184" s="5" t="s">
        <v>249</v>
      </c>
      <c r="AH3184" s="5" t="s">
        <v>240</v>
      </c>
      <c r="AI3184" s="5" t="s">
        <v>240</v>
      </c>
      <c r="AJ3184" s="5" t="s">
        <v>240</v>
      </c>
      <c r="AK3184" s="5" t="s">
        <v>240</v>
      </c>
      <c r="AL3184" s="5" t="s">
        <v>240</v>
      </c>
      <c r="AM3184" s="5" t="s">
        <v>240</v>
      </c>
      <c r="AN3184" s="5" t="s">
        <v>240</v>
      </c>
      <c r="AO3184" s="5" t="s">
        <v>240</v>
      </c>
      <c r="AP3184" s="6" t="s">
        <v>240</v>
      </c>
      <c r="AQ3184" s="6" t="s">
        <v>240</v>
      </c>
      <c r="AR3184" s="6" t="s">
        <v>240</v>
      </c>
      <c r="AS3184" s="6" t="s">
        <v>240</v>
      </c>
      <c r="AT3184" s="5" t="s">
        <v>240</v>
      </c>
      <c r="AU3184" s="5" t="s">
        <v>729</v>
      </c>
      <c r="AV3184" s="5" t="s">
        <v>729</v>
      </c>
      <c r="AW3184" s="5" t="s">
        <v>251</v>
      </c>
      <c r="AX3184" s="5" t="s">
        <v>252</v>
      </c>
      <c r="AY3184" s="5" t="s">
        <v>253</v>
      </c>
      <c r="AZ3184" s="5" t="s">
        <v>240</v>
      </c>
      <c r="BA3184" s="5" t="s">
        <v>255</v>
      </c>
      <c r="BB3184" s="5" t="s">
        <v>731</v>
      </c>
      <c r="BD3184" s="5" t="s">
        <v>240</v>
      </c>
      <c r="BF3184" s="5" t="s">
        <v>732</v>
      </c>
      <c r="BG3184" s="6" t="s">
        <v>733</v>
      </c>
      <c r="BH3184" s="5" t="s">
        <v>734</v>
      </c>
      <c r="BI3184" s="5" t="s">
        <v>734</v>
      </c>
      <c r="BJ3184" s="5" t="s">
        <v>240</v>
      </c>
      <c r="BK3184" s="7">
        <f>1</f>
        <v>1</v>
      </c>
      <c r="BL3184" s="7">
        <f>1</f>
        <v>1</v>
      </c>
      <c r="BM3184" s="5" t="s">
        <v>258</v>
      </c>
      <c r="BN3184" s="5" t="s">
        <v>259</v>
      </c>
      <c r="BO3184" s="5" t="s">
        <v>240</v>
      </c>
      <c r="BP3184" s="5" t="s">
        <v>240</v>
      </c>
      <c r="BQ3184" s="5" t="s">
        <v>240</v>
      </c>
      <c r="BR3184" s="5" t="s">
        <v>240</v>
      </c>
      <c r="BS3184" s="5" t="s">
        <v>240</v>
      </c>
      <c r="BT3184" s="5" t="s">
        <v>240</v>
      </c>
      <c r="BU3184" s="5" t="s">
        <v>240</v>
      </c>
      <c r="BV3184" s="5" t="s">
        <v>240</v>
      </c>
      <c r="BW3184" s="6" t="s">
        <v>240</v>
      </c>
      <c r="BX3184" s="5" t="s">
        <v>240</v>
      </c>
      <c r="BY3184" s="5" t="s">
        <v>240</v>
      </c>
      <c r="BZ3184" s="5" t="s">
        <v>240</v>
      </c>
      <c r="CA3184" s="5" t="s">
        <v>259</v>
      </c>
      <c r="CB3184" s="5" t="s">
        <v>240</v>
      </c>
      <c r="CC3184" s="5" t="s">
        <v>240</v>
      </c>
      <c r="CD3184" s="5" t="s">
        <v>240</v>
      </c>
      <c r="CE3184" s="5" t="s">
        <v>240</v>
      </c>
      <c r="CF3184" s="5" t="s">
        <v>240</v>
      </c>
      <c r="CG3184" s="5" t="s">
        <v>304</v>
      </c>
      <c r="CH3184" s="5" t="s">
        <v>305</v>
      </c>
      <c r="CI3184" s="5" t="s">
        <v>240</v>
      </c>
      <c r="CK3184" s="5" t="s">
        <v>3681</v>
      </c>
      <c r="CL3184" s="6" t="s">
        <v>261</v>
      </c>
      <c r="CM3184" s="5" t="s">
        <v>262</v>
      </c>
      <c r="CN3184" s="5" t="s">
        <v>263</v>
      </c>
      <c r="CO3184" s="5" t="s">
        <v>264</v>
      </c>
      <c r="CP3184" s="5" t="s">
        <v>240</v>
      </c>
      <c r="CQ3184" s="5">
        <v>0</v>
      </c>
      <c r="CR3184" s="5" t="s">
        <v>735</v>
      </c>
      <c r="CS3184" s="5" t="s">
        <v>307</v>
      </c>
      <c r="CT3184" s="5" t="s">
        <v>307</v>
      </c>
      <c r="CU3184" s="5" t="s">
        <v>260</v>
      </c>
      <c r="CV3184" s="5" t="s">
        <v>612</v>
      </c>
      <c r="CW3184" s="8">
        <f>1</f>
        <v>1</v>
      </c>
      <c r="CX3184" s="7">
        <f>1</f>
        <v>1</v>
      </c>
      <c r="CY3184" s="7">
        <f>0</f>
        <v>0</v>
      </c>
      <c r="DA3184" s="7">
        <f>1</f>
        <v>1</v>
      </c>
      <c r="DB3184" s="7" t="s">
        <v>240</v>
      </c>
      <c r="DC3184" s="5" t="s">
        <v>240</v>
      </c>
      <c r="DD3184" s="5" t="s">
        <v>240</v>
      </c>
      <c r="DE3184" s="5" t="s">
        <v>240</v>
      </c>
      <c r="DF3184" s="5" t="s">
        <v>240</v>
      </c>
      <c r="DG3184" s="7">
        <f>0</f>
        <v>0</v>
      </c>
      <c r="DI3184" s="5" t="s">
        <v>240</v>
      </c>
      <c r="DJ3184" s="5" t="s">
        <v>240</v>
      </c>
      <c r="DK3184" s="5" t="s">
        <v>240</v>
      </c>
      <c r="DL3184" s="5" t="s">
        <v>240</v>
      </c>
      <c r="DM3184" s="5" t="s">
        <v>240</v>
      </c>
      <c r="DN3184" s="5" t="s">
        <v>240</v>
      </c>
      <c r="DO3184" s="7" t="s">
        <v>240</v>
      </c>
      <c r="DP3184" s="5" t="s">
        <v>240</v>
      </c>
      <c r="DQ3184" s="5" t="s">
        <v>240</v>
      </c>
      <c r="DR3184" s="5" t="s">
        <v>731</v>
      </c>
      <c r="DS3184" s="5" t="s">
        <v>731</v>
      </c>
      <c r="DT3184" s="5" t="s">
        <v>240</v>
      </c>
      <c r="DU3184" s="5" t="s">
        <v>240</v>
      </c>
      <c r="DV3184" s="5" t="s">
        <v>3683</v>
      </c>
      <c r="DW3184" s="5" t="s">
        <v>412</v>
      </c>
      <c r="DX3184" s="5" t="s">
        <v>240</v>
      </c>
      <c r="DY3184" s="5" t="s">
        <v>240</v>
      </c>
      <c r="DZ3184" s="5" t="s">
        <v>240</v>
      </c>
      <c r="EA3184" s="5" t="s">
        <v>240</v>
      </c>
      <c r="EB3184" s="5" t="s">
        <v>240</v>
      </c>
      <c r="EC3184" s="5" t="s">
        <v>240</v>
      </c>
      <c r="ED3184" s="5" t="s">
        <v>240</v>
      </c>
      <c r="EE3184" s="5" t="s">
        <v>240</v>
      </c>
      <c r="EF3184" s="5" t="s">
        <v>240</v>
      </c>
      <c r="EG3184" s="5" t="s">
        <v>240</v>
      </c>
      <c r="EH3184" s="5" t="s">
        <v>240</v>
      </c>
      <c r="EI3184" s="5" t="s">
        <v>240</v>
      </c>
      <c r="EJ3184" s="5" t="s">
        <v>240</v>
      </c>
      <c r="EK3184" s="5" t="s">
        <v>240</v>
      </c>
      <c r="EL3184" s="5" t="s">
        <v>240</v>
      </c>
      <c r="EM3184" s="5" t="s">
        <v>240</v>
      </c>
      <c r="EN3184" s="5" t="s">
        <v>240</v>
      </c>
      <c r="EO3184" s="5" t="s">
        <v>240</v>
      </c>
      <c r="EP3184" s="5" t="s">
        <v>240</v>
      </c>
      <c r="EQ3184" s="5" t="s">
        <v>240</v>
      </c>
      <c r="ER3184" s="5" t="s">
        <v>240</v>
      </c>
      <c r="ES3184" s="5" t="s">
        <v>240</v>
      </c>
      <c r="ET3184" s="5" t="s">
        <v>240</v>
      </c>
      <c r="EU3184" s="5" t="s">
        <v>240</v>
      </c>
      <c r="EV3184" s="5" t="s">
        <v>240</v>
      </c>
      <c r="EW3184" s="5" t="s">
        <v>240</v>
      </c>
      <c r="EX3184" s="5" t="s">
        <v>240</v>
      </c>
      <c r="EY3184" s="5" t="s">
        <v>240</v>
      </c>
      <c r="EZ3184" s="5" t="s">
        <v>240</v>
      </c>
      <c r="FA3184" s="5" t="s">
        <v>240</v>
      </c>
      <c r="FB3184" s="5" t="s">
        <v>240</v>
      </c>
      <c r="FC3184" s="5" t="s">
        <v>240</v>
      </c>
      <c r="FD3184" s="5" t="s">
        <v>240</v>
      </c>
      <c r="FE3184" s="5" t="s">
        <v>240</v>
      </c>
      <c r="FF3184" s="5" t="s">
        <v>240</v>
      </c>
      <c r="FG3184" s="5" t="s">
        <v>240</v>
      </c>
      <c r="FH3184" s="5" t="s">
        <v>240</v>
      </c>
      <c r="FI3184" s="5" t="s">
        <v>240</v>
      </c>
      <c r="FJ3184" s="5" t="s">
        <v>240</v>
      </c>
      <c r="FK3184" s="5" t="s">
        <v>240</v>
      </c>
      <c r="FL3184" s="5" t="s">
        <v>240</v>
      </c>
      <c r="FM3184" s="5" t="s">
        <v>240</v>
      </c>
      <c r="FN3184" s="5" t="s">
        <v>240</v>
      </c>
      <c r="FO3184" s="5" t="s">
        <v>240</v>
      </c>
      <c r="FP3184" s="5" t="s">
        <v>240</v>
      </c>
      <c r="FQ3184" s="5" t="s">
        <v>240</v>
      </c>
      <c r="FR3184" s="5" t="s">
        <v>240</v>
      </c>
      <c r="FS3184" s="5" t="s">
        <v>240</v>
      </c>
      <c r="FT3184" s="5" t="s">
        <v>240</v>
      </c>
      <c r="FU3184" s="5" t="s">
        <v>240</v>
      </c>
      <c r="FV3184" s="5" t="s">
        <v>240</v>
      </c>
      <c r="FW3184" s="5" t="s">
        <v>240</v>
      </c>
      <c r="FX3184" s="5" t="s">
        <v>240</v>
      </c>
      <c r="FY3184" s="5" t="s">
        <v>240</v>
      </c>
      <c r="FZ3184" s="5" t="s">
        <v>240</v>
      </c>
      <c r="GA3184" s="5" t="s">
        <v>240</v>
      </c>
      <c r="GB3184" s="5" t="s">
        <v>240</v>
      </c>
      <c r="GC3184" s="5" t="s">
        <v>240</v>
      </c>
      <c r="GD3184" s="5" t="s">
        <v>240</v>
      </c>
      <c r="GE3184" s="5" t="s">
        <v>240</v>
      </c>
      <c r="GF3184" s="5" t="s">
        <v>240</v>
      </c>
      <c r="GG3184" s="5" t="s">
        <v>240</v>
      </c>
      <c r="GH3184" s="5" t="s">
        <v>240</v>
      </c>
      <c r="GI3184" s="5" t="s">
        <v>240</v>
      </c>
      <c r="GJ3184" s="5" t="s">
        <v>240</v>
      </c>
      <c r="GK3184" s="5" t="s">
        <v>240</v>
      </c>
      <c r="GL3184" s="5" t="s">
        <v>240</v>
      </c>
      <c r="GM3184" s="5" t="s">
        <v>240</v>
      </c>
      <c r="GN3184" s="5" t="s">
        <v>240</v>
      </c>
      <c r="GO3184" s="5" t="s">
        <v>240</v>
      </c>
      <c r="GP3184" s="5" t="s">
        <v>240</v>
      </c>
      <c r="GQ3184" s="5" t="s">
        <v>240</v>
      </c>
      <c r="GR3184" s="5" t="s">
        <v>240</v>
      </c>
      <c r="GS3184" s="5" t="s">
        <v>240</v>
      </c>
      <c r="GT3184" s="5" t="s">
        <v>240</v>
      </c>
      <c r="GU3184" s="5" t="s">
        <v>240</v>
      </c>
      <c r="GV3184" s="5" t="s">
        <v>240</v>
      </c>
      <c r="GW3184" s="5" t="s">
        <v>240</v>
      </c>
      <c r="GX3184" s="5" t="s">
        <v>240</v>
      </c>
      <c r="GY3184" s="5" t="s">
        <v>240</v>
      </c>
      <c r="GZ3184" s="5" t="s">
        <v>240</v>
      </c>
      <c r="HA3184" s="5" t="s">
        <v>240</v>
      </c>
      <c r="HB3184" s="5" t="s">
        <v>240</v>
      </c>
      <c r="HC3184" s="5" t="s">
        <v>240</v>
      </c>
      <c r="HD3184" s="5" t="s">
        <v>240</v>
      </c>
      <c r="HE3184" s="5" t="s">
        <v>240</v>
      </c>
      <c r="HF3184" s="5" t="s">
        <v>240</v>
      </c>
      <c r="HG3184" s="5" t="s">
        <v>240</v>
      </c>
      <c r="HH3184" s="5" t="s">
        <v>240</v>
      </c>
      <c r="HI3184" s="5" t="s">
        <v>240</v>
      </c>
      <c r="HJ3184" s="5" t="s">
        <v>240</v>
      </c>
      <c r="HK3184" s="5" t="s">
        <v>240</v>
      </c>
      <c r="HL3184" s="5" t="s">
        <v>240</v>
      </c>
      <c r="HM3184" s="5" t="s">
        <v>240</v>
      </c>
      <c r="HN3184" s="5" t="s">
        <v>240</v>
      </c>
      <c r="HO3184" s="5" t="s">
        <v>312</v>
      </c>
      <c r="HP3184" s="5" t="s">
        <v>240</v>
      </c>
      <c r="HQ3184" s="5" t="s">
        <v>240</v>
      </c>
      <c r="HR3184" s="5" t="s">
        <v>240</v>
      </c>
      <c r="HS3184" s="5" t="s">
        <v>240</v>
      </c>
      <c r="HT3184" s="5" t="s">
        <v>240</v>
      </c>
      <c r="HU3184" s="5" t="s">
        <v>240</v>
      </c>
      <c r="HV3184" s="5" t="s">
        <v>240</v>
      </c>
      <c r="HW3184" s="5" t="s">
        <v>240</v>
      </c>
      <c r="HX3184" s="5" t="s">
        <v>240</v>
      </c>
      <c r="HY3184" s="5" t="s">
        <v>240</v>
      </c>
      <c r="HZ3184" s="5" t="s">
        <v>240</v>
      </c>
      <c r="IA3184" s="5" t="s">
        <v>240</v>
      </c>
      <c r="IB3184" s="5" t="s">
        <v>240</v>
      </c>
      <c r="IC3184" s="5" t="s">
        <v>240</v>
      </c>
      <c r="ID3184" s="5" t="s">
        <v>240</v>
      </c>
      <c r="IE3184" s="5" t="s">
        <v>240</v>
      </c>
      <c r="IF3184" s="5" t="s">
        <v>240</v>
      </c>
    </row>
    <row r="3185" spans="1:240" x14ac:dyDescent="0.4">
      <c r="A3185" s="5">
        <v>4889</v>
      </c>
      <c r="B3185" s="5">
        <v>1</v>
      </c>
      <c r="C3185" s="5">
        <v>1</v>
      </c>
      <c r="D3185" s="5" t="s">
        <v>810</v>
      </c>
      <c r="E3185" s="5" t="s">
        <v>245</v>
      </c>
      <c r="F3185" s="5" t="s">
        <v>254</v>
      </c>
      <c r="G3185" s="5" t="s">
        <v>240</v>
      </c>
      <c r="H3185" s="6" t="s">
        <v>2171</v>
      </c>
      <c r="I3185" s="5" t="s">
        <v>809</v>
      </c>
      <c r="J3185" s="8">
        <f>2473</f>
        <v>2473</v>
      </c>
      <c r="K3185" s="5" t="s">
        <v>308</v>
      </c>
      <c r="L3185" s="7">
        <f>1</f>
        <v>1</v>
      </c>
      <c r="M3185" s="7">
        <f>1</f>
        <v>1</v>
      </c>
      <c r="N3185" s="5" t="s">
        <v>242</v>
      </c>
      <c r="O3185" s="5">
        <v>1</v>
      </c>
      <c r="P3185" s="5" t="s">
        <v>294</v>
      </c>
      <c r="Q3185" s="5" t="s">
        <v>3678</v>
      </c>
      <c r="R3185" s="5" t="s">
        <v>240</v>
      </c>
      <c r="S3185" s="5" t="s">
        <v>240</v>
      </c>
      <c r="T3185" s="5" t="s">
        <v>243</v>
      </c>
      <c r="U3185" s="5" t="s">
        <v>244</v>
      </c>
      <c r="V3185" s="5" t="s">
        <v>240</v>
      </c>
      <c r="W3185" s="5" t="s">
        <v>240</v>
      </c>
      <c r="X3185" s="5" t="s">
        <v>240</v>
      </c>
      <c r="Y3185" s="5" t="s">
        <v>240</v>
      </c>
      <c r="Z3185" s="6" t="s">
        <v>298</v>
      </c>
      <c r="AA3185" s="6" t="s">
        <v>240</v>
      </c>
      <c r="AB3185" s="6" t="s">
        <v>240</v>
      </c>
      <c r="AC3185" s="5" t="s">
        <v>240</v>
      </c>
      <c r="AD3185" s="6" t="s">
        <v>240</v>
      </c>
      <c r="AE3185" s="6" t="s">
        <v>299</v>
      </c>
      <c r="AF3185" s="5" t="s">
        <v>248</v>
      </c>
      <c r="AG3185" s="5" t="s">
        <v>249</v>
      </c>
      <c r="AH3185" s="5" t="s">
        <v>240</v>
      </c>
      <c r="AI3185" s="5" t="s">
        <v>240</v>
      </c>
      <c r="AJ3185" s="5" t="s">
        <v>240</v>
      </c>
      <c r="AK3185" s="5" t="s">
        <v>240</v>
      </c>
      <c r="AL3185" s="5" t="s">
        <v>240</v>
      </c>
      <c r="AM3185" s="5" t="s">
        <v>240</v>
      </c>
      <c r="AN3185" s="5" t="s">
        <v>240</v>
      </c>
      <c r="AO3185" s="5" t="s">
        <v>240</v>
      </c>
      <c r="AP3185" s="6" t="s">
        <v>240</v>
      </c>
      <c r="AQ3185" s="6" t="s">
        <v>240</v>
      </c>
      <c r="AR3185" s="6" t="s">
        <v>240</v>
      </c>
      <c r="AS3185" s="6" t="s">
        <v>240</v>
      </c>
      <c r="AT3185" s="5" t="s">
        <v>240</v>
      </c>
      <c r="AU3185" s="5" t="s">
        <v>729</v>
      </c>
      <c r="AV3185" s="5" t="s">
        <v>729</v>
      </c>
      <c r="AW3185" s="5" t="s">
        <v>251</v>
      </c>
      <c r="AX3185" s="5" t="s">
        <v>252</v>
      </c>
      <c r="AY3185" s="5" t="s">
        <v>253</v>
      </c>
      <c r="AZ3185" s="5" t="s">
        <v>240</v>
      </c>
      <c r="BA3185" s="5" t="s">
        <v>255</v>
      </c>
      <c r="BB3185" s="5" t="s">
        <v>731</v>
      </c>
      <c r="BD3185" s="5" t="s">
        <v>240</v>
      </c>
      <c r="BF3185" s="5" t="s">
        <v>732</v>
      </c>
      <c r="BG3185" s="6" t="s">
        <v>733</v>
      </c>
      <c r="BH3185" s="5" t="s">
        <v>734</v>
      </c>
      <c r="BI3185" s="5" t="s">
        <v>734</v>
      </c>
      <c r="BJ3185" s="5" t="s">
        <v>240</v>
      </c>
      <c r="BK3185" s="7">
        <f>1</f>
        <v>1</v>
      </c>
      <c r="BL3185" s="7">
        <f>1</f>
        <v>1</v>
      </c>
      <c r="BM3185" s="5" t="s">
        <v>258</v>
      </c>
      <c r="BN3185" s="5" t="s">
        <v>259</v>
      </c>
      <c r="BO3185" s="5" t="s">
        <v>240</v>
      </c>
      <c r="BP3185" s="5" t="s">
        <v>240</v>
      </c>
      <c r="BQ3185" s="5" t="s">
        <v>240</v>
      </c>
      <c r="BR3185" s="5" t="s">
        <v>240</v>
      </c>
      <c r="BS3185" s="5" t="s">
        <v>240</v>
      </c>
      <c r="BT3185" s="5" t="s">
        <v>240</v>
      </c>
      <c r="BU3185" s="5" t="s">
        <v>240</v>
      </c>
      <c r="BV3185" s="5" t="s">
        <v>240</v>
      </c>
      <c r="BW3185" s="6" t="s">
        <v>240</v>
      </c>
      <c r="BX3185" s="5" t="s">
        <v>240</v>
      </c>
      <c r="BY3185" s="5" t="s">
        <v>240</v>
      </c>
      <c r="BZ3185" s="5" t="s">
        <v>240</v>
      </c>
      <c r="CA3185" s="5" t="s">
        <v>259</v>
      </c>
      <c r="CB3185" s="5" t="s">
        <v>240</v>
      </c>
      <c r="CC3185" s="5" t="s">
        <v>240</v>
      </c>
      <c r="CD3185" s="5" t="s">
        <v>240</v>
      </c>
      <c r="CE3185" s="5" t="s">
        <v>240</v>
      </c>
      <c r="CF3185" s="5" t="s">
        <v>240</v>
      </c>
      <c r="CG3185" s="5" t="s">
        <v>304</v>
      </c>
      <c r="CH3185" s="5" t="s">
        <v>305</v>
      </c>
      <c r="CI3185" s="5" t="s">
        <v>240</v>
      </c>
      <c r="CK3185" s="5" t="s">
        <v>3681</v>
      </c>
      <c r="CL3185" s="6" t="s">
        <v>261</v>
      </c>
      <c r="CM3185" s="5" t="s">
        <v>262</v>
      </c>
      <c r="CN3185" s="5" t="s">
        <v>263</v>
      </c>
      <c r="CO3185" s="5" t="s">
        <v>264</v>
      </c>
      <c r="CP3185" s="5" t="s">
        <v>240</v>
      </c>
      <c r="CQ3185" s="5">
        <v>0</v>
      </c>
      <c r="CR3185" s="5" t="s">
        <v>735</v>
      </c>
      <c r="CS3185" s="5" t="s">
        <v>307</v>
      </c>
      <c r="CT3185" s="5" t="s">
        <v>307</v>
      </c>
      <c r="CU3185" s="5" t="s">
        <v>260</v>
      </c>
      <c r="CV3185" s="5" t="s">
        <v>612</v>
      </c>
      <c r="CW3185" s="8">
        <f>1</f>
        <v>1</v>
      </c>
      <c r="CX3185" s="7">
        <f>1</f>
        <v>1</v>
      </c>
      <c r="CY3185" s="7">
        <f>0</f>
        <v>0</v>
      </c>
      <c r="DA3185" s="7">
        <f>1</f>
        <v>1</v>
      </c>
      <c r="DB3185" s="7" t="s">
        <v>240</v>
      </c>
      <c r="DC3185" s="5" t="s">
        <v>240</v>
      </c>
      <c r="DD3185" s="5" t="s">
        <v>240</v>
      </c>
      <c r="DE3185" s="5" t="s">
        <v>240</v>
      </c>
      <c r="DF3185" s="5" t="s">
        <v>240</v>
      </c>
      <c r="DG3185" s="7">
        <f>0</f>
        <v>0</v>
      </c>
      <c r="DI3185" s="5" t="s">
        <v>240</v>
      </c>
      <c r="DJ3185" s="5" t="s">
        <v>240</v>
      </c>
      <c r="DK3185" s="5" t="s">
        <v>240</v>
      </c>
      <c r="DL3185" s="5" t="s">
        <v>240</v>
      </c>
      <c r="DM3185" s="5" t="s">
        <v>240</v>
      </c>
      <c r="DN3185" s="5" t="s">
        <v>240</v>
      </c>
      <c r="DO3185" s="7" t="s">
        <v>240</v>
      </c>
      <c r="DP3185" s="5" t="s">
        <v>240</v>
      </c>
      <c r="DQ3185" s="5" t="s">
        <v>240</v>
      </c>
      <c r="DR3185" s="5" t="s">
        <v>731</v>
      </c>
      <c r="DS3185" s="5" t="s">
        <v>731</v>
      </c>
      <c r="DT3185" s="5" t="s">
        <v>240</v>
      </c>
      <c r="DU3185" s="5" t="s">
        <v>240</v>
      </c>
      <c r="DV3185" s="5" t="s">
        <v>3683</v>
      </c>
      <c r="DW3185" s="5" t="s">
        <v>422</v>
      </c>
      <c r="DX3185" s="5" t="s">
        <v>240</v>
      </c>
      <c r="DY3185" s="5" t="s">
        <v>240</v>
      </c>
      <c r="DZ3185" s="5" t="s">
        <v>240</v>
      </c>
      <c r="EA3185" s="5" t="s">
        <v>240</v>
      </c>
      <c r="EB3185" s="5" t="s">
        <v>240</v>
      </c>
      <c r="EC3185" s="5" t="s">
        <v>240</v>
      </c>
      <c r="ED3185" s="5" t="s">
        <v>240</v>
      </c>
      <c r="EE3185" s="5" t="s">
        <v>240</v>
      </c>
      <c r="EF3185" s="5" t="s">
        <v>240</v>
      </c>
      <c r="EG3185" s="5" t="s">
        <v>240</v>
      </c>
      <c r="EH3185" s="5" t="s">
        <v>240</v>
      </c>
      <c r="EI3185" s="5" t="s">
        <v>240</v>
      </c>
      <c r="EJ3185" s="5" t="s">
        <v>240</v>
      </c>
      <c r="EK3185" s="5" t="s">
        <v>240</v>
      </c>
      <c r="EL3185" s="5" t="s">
        <v>240</v>
      </c>
      <c r="EM3185" s="5" t="s">
        <v>240</v>
      </c>
      <c r="EN3185" s="5" t="s">
        <v>240</v>
      </c>
      <c r="EO3185" s="5" t="s">
        <v>240</v>
      </c>
      <c r="EP3185" s="5" t="s">
        <v>240</v>
      </c>
      <c r="EQ3185" s="5" t="s">
        <v>240</v>
      </c>
      <c r="ER3185" s="5" t="s">
        <v>240</v>
      </c>
      <c r="ES3185" s="5" t="s">
        <v>240</v>
      </c>
      <c r="ET3185" s="5" t="s">
        <v>240</v>
      </c>
      <c r="EU3185" s="5" t="s">
        <v>240</v>
      </c>
      <c r="EV3185" s="5" t="s">
        <v>240</v>
      </c>
      <c r="EW3185" s="5" t="s">
        <v>240</v>
      </c>
      <c r="EX3185" s="5" t="s">
        <v>240</v>
      </c>
      <c r="EY3185" s="5" t="s">
        <v>240</v>
      </c>
      <c r="EZ3185" s="5" t="s">
        <v>240</v>
      </c>
      <c r="FA3185" s="5" t="s">
        <v>240</v>
      </c>
      <c r="FB3185" s="5" t="s">
        <v>240</v>
      </c>
      <c r="FC3185" s="5" t="s">
        <v>240</v>
      </c>
      <c r="FD3185" s="5" t="s">
        <v>240</v>
      </c>
      <c r="FE3185" s="5" t="s">
        <v>240</v>
      </c>
      <c r="FF3185" s="5" t="s">
        <v>240</v>
      </c>
      <c r="FG3185" s="5" t="s">
        <v>240</v>
      </c>
      <c r="FH3185" s="5" t="s">
        <v>240</v>
      </c>
      <c r="FI3185" s="5" t="s">
        <v>240</v>
      </c>
      <c r="FJ3185" s="5" t="s">
        <v>240</v>
      </c>
      <c r="FK3185" s="5" t="s">
        <v>240</v>
      </c>
      <c r="FL3185" s="5" t="s">
        <v>240</v>
      </c>
      <c r="FM3185" s="5" t="s">
        <v>240</v>
      </c>
      <c r="FN3185" s="5" t="s">
        <v>240</v>
      </c>
      <c r="FO3185" s="5" t="s">
        <v>240</v>
      </c>
      <c r="FP3185" s="5" t="s">
        <v>240</v>
      </c>
      <c r="FQ3185" s="5" t="s">
        <v>240</v>
      </c>
      <c r="FR3185" s="5" t="s">
        <v>240</v>
      </c>
      <c r="FS3185" s="5" t="s">
        <v>240</v>
      </c>
      <c r="FT3185" s="5" t="s">
        <v>240</v>
      </c>
      <c r="FU3185" s="5" t="s">
        <v>240</v>
      </c>
      <c r="FV3185" s="5" t="s">
        <v>240</v>
      </c>
      <c r="FW3185" s="5" t="s">
        <v>240</v>
      </c>
      <c r="FX3185" s="5" t="s">
        <v>240</v>
      </c>
      <c r="FY3185" s="5" t="s">
        <v>240</v>
      </c>
      <c r="FZ3185" s="5" t="s">
        <v>240</v>
      </c>
      <c r="GA3185" s="5" t="s">
        <v>240</v>
      </c>
      <c r="GB3185" s="5" t="s">
        <v>240</v>
      </c>
      <c r="GC3185" s="5" t="s">
        <v>240</v>
      </c>
      <c r="GD3185" s="5" t="s">
        <v>240</v>
      </c>
      <c r="GE3185" s="5" t="s">
        <v>240</v>
      </c>
      <c r="GF3185" s="5" t="s">
        <v>240</v>
      </c>
      <c r="GG3185" s="5" t="s">
        <v>240</v>
      </c>
      <c r="GH3185" s="5" t="s">
        <v>240</v>
      </c>
      <c r="GI3185" s="5" t="s">
        <v>240</v>
      </c>
      <c r="GJ3185" s="5" t="s">
        <v>240</v>
      </c>
      <c r="GK3185" s="5" t="s">
        <v>240</v>
      </c>
      <c r="GL3185" s="5" t="s">
        <v>240</v>
      </c>
      <c r="GM3185" s="5" t="s">
        <v>240</v>
      </c>
      <c r="GN3185" s="5" t="s">
        <v>240</v>
      </c>
      <c r="GO3185" s="5" t="s">
        <v>240</v>
      </c>
      <c r="GP3185" s="5" t="s">
        <v>240</v>
      </c>
      <c r="GQ3185" s="5" t="s">
        <v>240</v>
      </c>
      <c r="GR3185" s="5" t="s">
        <v>240</v>
      </c>
      <c r="GS3185" s="5" t="s">
        <v>240</v>
      </c>
      <c r="GT3185" s="5" t="s">
        <v>240</v>
      </c>
      <c r="GU3185" s="5" t="s">
        <v>240</v>
      </c>
      <c r="GV3185" s="5" t="s">
        <v>240</v>
      </c>
      <c r="GW3185" s="5" t="s">
        <v>240</v>
      </c>
      <c r="GX3185" s="5" t="s">
        <v>240</v>
      </c>
      <c r="GY3185" s="5" t="s">
        <v>240</v>
      </c>
      <c r="GZ3185" s="5" t="s">
        <v>240</v>
      </c>
      <c r="HA3185" s="5" t="s">
        <v>240</v>
      </c>
      <c r="HB3185" s="5" t="s">
        <v>240</v>
      </c>
      <c r="HC3185" s="5" t="s">
        <v>240</v>
      </c>
      <c r="HD3185" s="5" t="s">
        <v>240</v>
      </c>
      <c r="HE3185" s="5" t="s">
        <v>240</v>
      </c>
      <c r="HF3185" s="5" t="s">
        <v>240</v>
      </c>
      <c r="HG3185" s="5" t="s">
        <v>240</v>
      </c>
      <c r="HH3185" s="5" t="s">
        <v>240</v>
      </c>
      <c r="HI3185" s="5" t="s">
        <v>240</v>
      </c>
      <c r="HJ3185" s="5" t="s">
        <v>240</v>
      </c>
      <c r="HK3185" s="5" t="s">
        <v>240</v>
      </c>
      <c r="HL3185" s="5" t="s">
        <v>240</v>
      </c>
      <c r="HM3185" s="5" t="s">
        <v>240</v>
      </c>
      <c r="HN3185" s="5" t="s">
        <v>240</v>
      </c>
      <c r="HO3185" s="5" t="s">
        <v>312</v>
      </c>
      <c r="HP3185" s="5" t="s">
        <v>240</v>
      </c>
      <c r="HQ3185" s="5" t="s">
        <v>240</v>
      </c>
      <c r="HR3185" s="5" t="s">
        <v>240</v>
      </c>
      <c r="HS3185" s="5" t="s">
        <v>240</v>
      </c>
      <c r="HT3185" s="5" t="s">
        <v>240</v>
      </c>
      <c r="HU3185" s="5" t="s">
        <v>240</v>
      </c>
      <c r="HV3185" s="5" t="s">
        <v>240</v>
      </c>
      <c r="HW3185" s="5" t="s">
        <v>240</v>
      </c>
      <c r="HX3185" s="5" t="s">
        <v>240</v>
      </c>
      <c r="HY3185" s="5" t="s">
        <v>240</v>
      </c>
      <c r="HZ3185" s="5" t="s">
        <v>240</v>
      </c>
      <c r="IA3185" s="5" t="s">
        <v>240</v>
      </c>
      <c r="IB3185" s="5" t="s">
        <v>240</v>
      </c>
      <c r="IC3185" s="5" t="s">
        <v>240</v>
      </c>
      <c r="ID3185" s="5" t="s">
        <v>240</v>
      </c>
      <c r="IE3185" s="5" t="s">
        <v>240</v>
      </c>
      <c r="IF3185" s="5" t="s">
        <v>240</v>
      </c>
    </row>
    <row r="3186" spans="1:240" x14ac:dyDescent="0.4">
      <c r="A3186" s="5">
        <v>4890</v>
      </c>
      <c r="B3186" s="5">
        <v>1</v>
      </c>
      <c r="C3186" s="5">
        <v>1</v>
      </c>
      <c r="D3186" s="5" t="s">
        <v>810</v>
      </c>
      <c r="E3186" s="5" t="s">
        <v>245</v>
      </c>
      <c r="F3186" s="5" t="s">
        <v>254</v>
      </c>
      <c r="G3186" s="5" t="s">
        <v>240</v>
      </c>
      <c r="H3186" s="6" t="s">
        <v>2168</v>
      </c>
      <c r="I3186" s="5" t="s">
        <v>809</v>
      </c>
      <c r="J3186" s="8">
        <f>399</f>
        <v>399</v>
      </c>
      <c r="K3186" s="5" t="s">
        <v>308</v>
      </c>
      <c r="L3186" s="7">
        <f>1</f>
        <v>1</v>
      </c>
      <c r="M3186" s="7">
        <f>1</f>
        <v>1</v>
      </c>
      <c r="N3186" s="5" t="s">
        <v>242</v>
      </c>
      <c r="O3186" s="5">
        <v>1</v>
      </c>
      <c r="P3186" s="5" t="s">
        <v>294</v>
      </c>
      <c r="Q3186" s="5" t="s">
        <v>266</v>
      </c>
      <c r="R3186" s="5" t="s">
        <v>240</v>
      </c>
      <c r="S3186" s="5" t="s">
        <v>240</v>
      </c>
      <c r="T3186" s="5" t="s">
        <v>296</v>
      </c>
      <c r="U3186" s="5" t="s">
        <v>244</v>
      </c>
      <c r="V3186" s="5" t="s">
        <v>240</v>
      </c>
      <c r="Y3186" s="5" t="s">
        <v>240</v>
      </c>
      <c r="Z3186" s="6" t="s">
        <v>298</v>
      </c>
      <c r="AB3186" s="6" t="s">
        <v>240</v>
      </c>
      <c r="AE3186" s="6" t="s">
        <v>299</v>
      </c>
      <c r="AF3186" s="5" t="s">
        <v>248</v>
      </c>
      <c r="AG3186" s="5" t="s">
        <v>249</v>
      </c>
      <c r="AW3186" s="5" t="s">
        <v>251</v>
      </c>
      <c r="AX3186" s="5" t="s">
        <v>240</v>
      </c>
      <c r="AY3186" s="5" t="s">
        <v>253</v>
      </c>
      <c r="AZ3186" s="5" t="s">
        <v>240</v>
      </c>
      <c r="BA3186" s="5" t="s">
        <v>255</v>
      </c>
      <c r="BB3186" s="5" t="s">
        <v>240</v>
      </c>
      <c r="BD3186" s="5" t="s">
        <v>240</v>
      </c>
      <c r="BF3186" s="5" t="s">
        <v>301</v>
      </c>
      <c r="BG3186" s="6" t="s">
        <v>299</v>
      </c>
      <c r="BH3186" s="5" t="s">
        <v>302</v>
      </c>
      <c r="BI3186" s="5" t="s">
        <v>303</v>
      </c>
      <c r="BJ3186" s="5" t="s">
        <v>240</v>
      </c>
      <c r="BK3186" s="8">
        <f>0</f>
        <v>0</v>
      </c>
      <c r="BL3186" s="7">
        <f>0</f>
        <v>0</v>
      </c>
      <c r="BM3186" s="5" t="s">
        <v>258</v>
      </c>
      <c r="BN3186" s="5" t="s">
        <v>259</v>
      </c>
      <c r="CB3186" s="5" t="s">
        <v>240</v>
      </c>
      <c r="CC3186" s="5" t="s">
        <v>240</v>
      </c>
      <c r="CG3186" s="5" t="s">
        <v>304</v>
      </c>
      <c r="CH3186" s="5" t="s">
        <v>305</v>
      </c>
      <c r="CI3186" s="5" t="s">
        <v>240</v>
      </c>
      <c r="CL3186" s="6" t="s">
        <v>261</v>
      </c>
      <c r="CM3186" s="5" t="s">
        <v>240</v>
      </c>
      <c r="CN3186" s="5" t="s">
        <v>263</v>
      </c>
      <c r="CO3186" s="5" t="s">
        <v>240</v>
      </c>
      <c r="CP3186" s="5" t="s">
        <v>240</v>
      </c>
      <c r="CQ3186" s="5">
        <v>0</v>
      </c>
      <c r="CR3186" s="5" t="s">
        <v>306</v>
      </c>
      <c r="CS3186" s="5" t="s">
        <v>307</v>
      </c>
      <c r="CT3186" s="5" t="s">
        <v>307</v>
      </c>
      <c r="CU3186" s="5" t="s">
        <v>260</v>
      </c>
      <c r="CX3186" s="7">
        <f>1</f>
        <v>1</v>
      </c>
      <c r="CY3186" s="7">
        <f>0</f>
        <v>0</v>
      </c>
      <c r="DA3186" s="7">
        <f>0</f>
        <v>0</v>
      </c>
      <c r="DC3186" s="5" t="s">
        <v>309</v>
      </c>
      <c r="DD3186" s="5" t="s">
        <v>240</v>
      </c>
      <c r="DF3186" s="5" t="s">
        <v>309</v>
      </c>
      <c r="DG3186" s="7">
        <f>939</f>
        <v>939</v>
      </c>
      <c r="DI3186" s="5" t="s">
        <v>240</v>
      </c>
      <c r="DJ3186" s="5" t="s">
        <v>240</v>
      </c>
      <c r="DK3186" s="5" t="s">
        <v>240</v>
      </c>
      <c r="DL3186" s="5" t="s">
        <v>240</v>
      </c>
      <c r="DP3186" s="5" t="s">
        <v>240</v>
      </c>
      <c r="DQ3186" s="5" t="s">
        <v>240</v>
      </c>
      <c r="DR3186" s="5" t="s">
        <v>240</v>
      </c>
      <c r="DS3186" s="5" t="s">
        <v>240</v>
      </c>
      <c r="DV3186" s="5" t="s">
        <v>310</v>
      </c>
      <c r="DW3186" s="5" t="s">
        <v>2817</v>
      </c>
      <c r="HO3186" s="5" t="s">
        <v>312</v>
      </c>
    </row>
    <row r="3187" spans="1:240" x14ac:dyDescent="0.4">
      <c r="A3187" s="5">
        <v>4891</v>
      </c>
      <c r="B3187" s="5">
        <v>1</v>
      </c>
      <c r="C3187" s="5">
        <v>1</v>
      </c>
      <c r="D3187" s="5" t="s">
        <v>810</v>
      </c>
      <c r="E3187" s="5" t="s">
        <v>245</v>
      </c>
      <c r="F3187" s="5" t="s">
        <v>254</v>
      </c>
      <c r="G3187" s="5" t="s">
        <v>240</v>
      </c>
      <c r="H3187" s="6" t="s">
        <v>2165</v>
      </c>
      <c r="I3187" s="5" t="s">
        <v>809</v>
      </c>
      <c r="J3187" s="8">
        <f>318</f>
        <v>318</v>
      </c>
      <c r="K3187" s="5" t="s">
        <v>308</v>
      </c>
      <c r="L3187" s="7">
        <f>1</f>
        <v>1</v>
      </c>
      <c r="M3187" s="7">
        <f>1</f>
        <v>1</v>
      </c>
      <c r="N3187" s="5" t="s">
        <v>242</v>
      </c>
      <c r="O3187" s="5">
        <v>1</v>
      </c>
      <c r="P3187" s="5" t="s">
        <v>294</v>
      </c>
      <c r="Q3187" s="5" t="s">
        <v>3678</v>
      </c>
      <c r="R3187" s="5" t="s">
        <v>240</v>
      </c>
      <c r="S3187" s="5" t="s">
        <v>240</v>
      </c>
      <c r="T3187" s="5" t="s">
        <v>243</v>
      </c>
      <c r="U3187" s="5" t="s">
        <v>244</v>
      </c>
      <c r="V3187" s="5" t="s">
        <v>240</v>
      </c>
      <c r="W3187" s="5" t="s">
        <v>240</v>
      </c>
      <c r="X3187" s="5" t="s">
        <v>240</v>
      </c>
      <c r="Y3187" s="5" t="s">
        <v>240</v>
      </c>
      <c r="Z3187" s="6" t="s">
        <v>298</v>
      </c>
      <c r="AA3187" s="6" t="s">
        <v>240</v>
      </c>
      <c r="AB3187" s="6" t="s">
        <v>240</v>
      </c>
      <c r="AC3187" s="5" t="s">
        <v>240</v>
      </c>
      <c r="AD3187" s="6" t="s">
        <v>240</v>
      </c>
      <c r="AE3187" s="6" t="s">
        <v>299</v>
      </c>
      <c r="AF3187" s="5" t="s">
        <v>248</v>
      </c>
      <c r="AG3187" s="5" t="s">
        <v>249</v>
      </c>
      <c r="AH3187" s="5" t="s">
        <v>240</v>
      </c>
      <c r="AI3187" s="5" t="s">
        <v>240</v>
      </c>
      <c r="AJ3187" s="5" t="s">
        <v>240</v>
      </c>
      <c r="AK3187" s="5" t="s">
        <v>240</v>
      </c>
      <c r="AL3187" s="5" t="s">
        <v>240</v>
      </c>
      <c r="AM3187" s="5" t="s">
        <v>240</v>
      </c>
      <c r="AN3187" s="5" t="s">
        <v>240</v>
      </c>
      <c r="AO3187" s="5" t="s">
        <v>240</v>
      </c>
      <c r="AP3187" s="6" t="s">
        <v>240</v>
      </c>
      <c r="AQ3187" s="6" t="s">
        <v>240</v>
      </c>
      <c r="AR3187" s="6" t="s">
        <v>240</v>
      </c>
      <c r="AS3187" s="6" t="s">
        <v>240</v>
      </c>
      <c r="AT3187" s="5" t="s">
        <v>240</v>
      </c>
      <c r="AU3187" s="5" t="s">
        <v>729</v>
      </c>
      <c r="AV3187" s="5" t="s">
        <v>729</v>
      </c>
      <c r="AW3187" s="5" t="s">
        <v>251</v>
      </c>
      <c r="AX3187" s="5" t="s">
        <v>252</v>
      </c>
      <c r="AY3187" s="5" t="s">
        <v>253</v>
      </c>
      <c r="AZ3187" s="5" t="s">
        <v>240</v>
      </c>
      <c r="BA3187" s="5" t="s">
        <v>255</v>
      </c>
      <c r="BB3187" s="5" t="s">
        <v>731</v>
      </c>
      <c r="BD3187" s="5" t="s">
        <v>240</v>
      </c>
      <c r="BF3187" s="5" t="s">
        <v>732</v>
      </c>
      <c r="BG3187" s="6" t="s">
        <v>733</v>
      </c>
      <c r="BH3187" s="5" t="s">
        <v>734</v>
      </c>
      <c r="BI3187" s="5" t="s">
        <v>734</v>
      </c>
      <c r="BJ3187" s="5" t="s">
        <v>240</v>
      </c>
      <c r="BK3187" s="7">
        <f>1</f>
        <v>1</v>
      </c>
      <c r="BL3187" s="7">
        <f>1</f>
        <v>1</v>
      </c>
      <c r="BM3187" s="5" t="s">
        <v>258</v>
      </c>
      <c r="BN3187" s="5" t="s">
        <v>259</v>
      </c>
      <c r="BO3187" s="5" t="s">
        <v>240</v>
      </c>
      <c r="BP3187" s="5" t="s">
        <v>240</v>
      </c>
      <c r="BQ3187" s="5" t="s">
        <v>240</v>
      </c>
      <c r="BR3187" s="5" t="s">
        <v>240</v>
      </c>
      <c r="BS3187" s="5" t="s">
        <v>240</v>
      </c>
      <c r="BT3187" s="5" t="s">
        <v>240</v>
      </c>
      <c r="BU3187" s="5" t="s">
        <v>240</v>
      </c>
      <c r="BV3187" s="5" t="s">
        <v>240</v>
      </c>
      <c r="BW3187" s="6" t="s">
        <v>240</v>
      </c>
      <c r="BX3187" s="5" t="s">
        <v>240</v>
      </c>
      <c r="BY3187" s="5" t="s">
        <v>240</v>
      </c>
      <c r="BZ3187" s="5" t="s">
        <v>240</v>
      </c>
      <c r="CA3187" s="5" t="s">
        <v>259</v>
      </c>
      <c r="CB3187" s="5" t="s">
        <v>240</v>
      </c>
      <c r="CC3187" s="5" t="s">
        <v>240</v>
      </c>
      <c r="CD3187" s="5" t="s">
        <v>240</v>
      </c>
      <c r="CE3187" s="5" t="s">
        <v>240</v>
      </c>
      <c r="CF3187" s="5" t="s">
        <v>240</v>
      </c>
      <c r="CG3187" s="5" t="s">
        <v>304</v>
      </c>
      <c r="CH3187" s="5" t="s">
        <v>305</v>
      </c>
      <c r="CI3187" s="5" t="s">
        <v>240</v>
      </c>
      <c r="CK3187" s="5" t="s">
        <v>3681</v>
      </c>
      <c r="CL3187" s="6" t="s">
        <v>261</v>
      </c>
      <c r="CM3187" s="5" t="s">
        <v>262</v>
      </c>
      <c r="CN3187" s="5" t="s">
        <v>263</v>
      </c>
      <c r="CO3187" s="5" t="s">
        <v>264</v>
      </c>
      <c r="CP3187" s="5" t="s">
        <v>240</v>
      </c>
      <c r="CQ3187" s="5">
        <v>0</v>
      </c>
      <c r="CR3187" s="5" t="s">
        <v>735</v>
      </c>
      <c r="CS3187" s="5" t="s">
        <v>307</v>
      </c>
      <c r="CT3187" s="5" t="s">
        <v>307</v>
      </c>
      <c r="CU3187" s="5" t="s">
        <v>260</v>
      </c>
      <c r="CV3187" s="5" t="s">
        <v>612</v>
      </c>
      <c r="CW3187" s="8">
        <f>1</f>
        <v>1</v>
      </c>
      <c r="CX3187" s="7">
        <f>1</f>
        <v>1</v>
      </c>
      <c r="CY3187" s="7">
        <f>0</f>
        <v>0</v>
      </c>
      <c r="DA3187" s="7">
        <f>1</f>
        <v>1</v>
      </c>
      <c r="DB3187" s="7" t="s">
        <v>240</v>
      </c>
      <c r="DC3187" s="5" t="s">
        <v>240</v>
      </c>
      <c r="DD3187" s="5" t="s">
        <v>240</v>
      </c>
      <c r="DE3187" s="5" t="s">
        <v>240</v>
      </c>
      <c r="DF3187" s="5" t="s">
        <v>240</v>
      </c>
      <c r="DG3187" s="7">
        <f>0</f>
        <v>0</v>
      </c>
      <c r="DI3187" s="5" t="s">
        <v>240</v>
      </c>
      <c r="DJ3187" s="5" t="s">
        <v>240</v>
      </c>
      <c r="DK3187" s="5" t="s">
        <v>240</v>
      </c>
      <c r="DL3187" s="5" t="s">
        <v>240</v>
      </c>
      <c r="DM3187" s="5" t="s">
        <v>240</v>
      </c>
      <c r="DN3187" s="5" t="s">
        <v>240</v>
      </c>
      <c r="DO3187" s="7" t="s">
        <v>240</v>
      </c>
      <c r="DP3187" s="5" t="s">
        <v>240</v>
      </c>
      <c r="DQ3187" s="5" t="s">
        <v>240</v>
      </c>
      <c r="DR3187" s="5" t="s">
        <v>731</v>
      </c>
      <c r="DS3187" s="5" t="s">
        <v>731</v>
      </c>
      <c r="DT3187" s="5" t="s">
        <v>240</v>
      </c>
      <c r="DU3187" s="5" t="s">
        <v>240</v>
      </c>
      <c r="DV3187" s="5" t="s">
        <v>3683</v>
      </c>
      <c r="DW3187" s="5" t="s">
        <v>430</v>
      </c>
      <c r="DX3187" s="5" t="s">
        <v>240</v>
      </c>
      <c r="DY3187" s="5" t="s">
        <v>240</v>
      </c>
      <c r="DZ3187" s="5" t="s">
        <v>240</v>
      </c>
      <c r="EA3187" s="5" t="s">
        <v>240</v>
      </c>
      <c r="EB3187" s="5" t="s">
        <v>240</v>
      </c>
      <c r="EC3187" s="5" t="s">
        <v>240</v>
      </c>
      <c r="ED3187" s="5" t="s">
        <v>240</v>
      </c>
      <c r="EE3187" s="5" t="s">
        <v>240</v>
      </c>
      <c r="EF3187" s="5" t="s">
        <v>240</v>
      </c>
      <c r="EG3187" s="5" t="s">
        <v>240</v>
      </c>
      <c r="EH3187" s="5" t="s">
        <v>240</v>
      </c>
      <c r="EI3187" s="5" t="s">
        <v>240</v>
      </c>
      <c r="EJ3187" s="5" t="s">
        <v>240</v>
      </c>
      <c r="EK3187" s="5" t="s">
        <v>240</v>
      </c>
      <c r="EL3187" s="5" t="s">
        <v>240</v>
      </c>
      <c r="EM3187" s="5" t="s">
        <v>240</v>
      </c>
      <c r="EN3187" s="5" t="s">
        <v>240</v>
      </c>
      <c r="EO3187" s="5" t="s">
        <v>240</v>
      </c>
      <c r="EP3187" s="5" t="s">
        <v>240</v>
      </c>
      <c r="EQ3187" s="5" t="s">
        <v>240</v>
      </c>
      <c r="ER3187" s="5" t="s">
        <v>240</v>
      </c>
      <c r="ES3187" s="5" t="s">
        <v>240</v>
      </c>
      <c r="ET3187" s="5" t="s">
        <v>240</v>
      </c>
      <c r="EU3187" s="5" t="s">
        <v>240</v>
      </c>
      <c r="EV3187" s="5" t="s">
        <v>240</v>
      </c>
      <c r="EW3187" s="5" t="s">
        <v>240</v>
      </c>
      <c r="EX3187" s="5" t="s">
        <v>240</v>
      </c>
      <c r="EY3187" s="5" t="s">
        <v>240</v>
      </c>
      <c r="EZ3187" s="5" t="s">
        <v>240</v>
      </c>
      <c r="FA3187" s="5" t="s">
        <v>240</v>
      </c>
      <c r="FB3187" s="5" t="s">
        <v>240</v>
      </c>
      <c r="FC3187" s="5" t="s">
        <v>240</v>
      </c>
      <c r="FD3187" s="5" t="s">
        <v>240</v>
      </c>
      <c r="FE3187" s="5" t="s">
        <v>240</v>
      </c>
      <c r="FF3187" s="5" t="s">
        <v>240</v>
      </c>
      <c r="FG3187" s="5" t="s">
        <v>240</v>
      </c>
      <c r="FH3187" s="5" t="s">
        <v>240</v>
      </c>
      <c r="FI3187" s="5" t="s">
        <v>240</v>
      </c>
      <c r="FJ3187" s="5" t="s">
        <v>240</v>
      </c>
      <c r="FK3187" s="5" t="s">
        <v>240</v>
      </c>
      <c r="FL3187" s="5" t="s">
        <v>240</v>
      </c>
      <c r="FM3187" s="5" t="s">
        <v>240</v>
      </c>
      <c r="FN3187" s="5" t="s">
        <v>240</v>
      </c>
      <c r="FO3187" s="5" t="s">
        <v>240</v>
      </c>
      <c r="FP3187" s="5" t="s">
        <v>240</v>
      </c>
      <c r="FQ3187" s="5" t="s">
        <v>240</v>
      </c>
      <c r="FR3187" s="5" t="s">
        <v>240</v>
      </c>
      <c r="FS3187" s="5" t="s">
        <v>240</v>
      </c>
      <c r="FT3187" s="5" t="s">
        <v>240</v>
      </c>
      <c r="FU3187" s="5" t="s">
        <v>240</v>
      </c>
      <c r="FV3187" s="5" t="s">
        <v>240</v>
      </c>
      <c r="FW3187" s="5" t="s">
        <v>240</v>
      </c>
      <c r="FX3187" s="5" t="s">
        <v>240</v>
      </c>
      <c r="FY3187" s="5" t="s">
        <v>240</v>
      </c>
      <c r="FZ3187" s="5" t="s">
        <v>240</v>
      </c>
      <c r="GA3187" s="5" t="s">
        <v>240</v>
      </c>
      <c r="GB3187" s="5" t="s">
        <v>240</v>
      </c>
      <c r="GC3187" s="5" t="s">
        <v>240</v>
      </c>
      <c r="GD3187" s="5" t="s">
        <v>240</v>
      </c>
      <c r="GE3187" s="5" t="s">
        <v>240</v>
      </c>
      <c r="GF3187" s="5" t="s">
        <v>240</v>
      </c>
      <c r="GG3187" s="5" t="s">
        <v>240</v>
      </c>
      <c r="GH3187" s="5" t="s">
        <v>240</v>
      </c>
      <c r="GI3187" s="5" t="s">
        <v>240</v>
      </c>
      <c r="GJ3187" s="5" t="s">
        <v>240</v>
      </c>
      <c r="GK3187" s="5" t="s">
        <v>240</v>
      </c>
      <c r="GL3187" s="5" t="s">
        <v>240</v>
      </c>
      <c r="GM3187" s="5" t="s">
        <v>240</v>
      </c>
      <c r="GN3187" s="5" t="s">
        <v>240</v>
      </c>
      <c r="GO3187" s="5" t="s">
        <v>240</v>
      </c>
      <c r="GP3187" s="5" t="s">
        <v>240</v>
      </c>
      <c r="GQ3187" s="5" t="s">
        <v>240</v>
      </c>
      <c r="GR3187" s="5" t="s">
        <v>240</v>
      </c>
      <c r="GS3187" s="5" t="s">
        <v>240</v>
      </c>
      <c r="GT3187" s="5" t="s">
        <v>240</v>
      </c>
      <c r="GU3187" s="5" t="s">
        <v>240</v>
      </c>
      <c r="GV3187" s="5" t="s">
        <v>240</v>
      </c>
      <c r="GW3187" s="5" t="s">
        <v>240</v>
      </c>
      <c r="GX3187" s="5" t="s">
        <v>240</v>
      </c>
      <c r="GY3187" s="5" t="s">
        <v>240</v>
      </c>
      <c r="GZ3187" s="5" t="s">
        <v>240</v>
      </c>
      <c r="HA3187" s="5" t="s">
        <v>240</v>
      </c>
      <c r="HB3187" s="5" t="s">
        <v>240</v>
      </c>
      <c r="HC3187" s="5" t="s">
        <v>240</v>
      </c>
      <c r="HD3187" s="5" t="s">
        <v>240</v>
      </c>
      <c r="HE3187" s="5" t="s">
        <v>240</v>
      </c>
      <c r="HF3187" s="5" t="s">
        <v>240</v>
      </c>
      <c r="HG3187" s="5" t="s">
        <v>240</v>
      </c>
      <c r="HH3187" s="5" t="s">
        <v>240</v>
      </c>
      <c r="HI3187" s="5" t="s">
        <v>240</v>
      </c>
      <c r="HJ3187" s="5" t="s">
        <v>240</v>
      </c>
      <c r="HK3187" s="5" t="s">
        <v>240</v>
      </c>
      <c r="HL3187" s="5" t="s">
        <v>240</v>
      </c>
      <c r="HM3187" s="5" t="s">
        <v>240</v>
      </c>
      <c r="HN3187" s="5" t="s">
        <v>240</v>
      </c>
      <c r="HO3187" s="5" t="s">
        <v>312</v>
      </c>
      <c r="HP3187" s="5" t="s">
        <v>240</v>
      </c>
      <c r="HQ3187" s="5" t="s">
        <v>240</v>
      </c>
      <c r="HR3187" s="5" t="s">
        <v>240</v>
      </c>
      <c r="HS3187" s="5" t="s">
        <v>240</v>
      </c>
      <c r="HT3187" s="5" t="s">
        <v>240</v>
      </c>
      <c r="HU3187" s="5" t="s">
        <v>240</v>
      </c>
      <c r="HV3187" s="5" t="s">
        <v>240</v>
      </c>
      <c r="HW3187" s="5" t="s">
        <v>240</v>
      </c>
      <c r="HX3187" s="5" t="s">
        <v>240</v>
      </c>
      <c r="HY3187" s="5" t="s">
        <v>240</v>
      </c>
      <c r="HZ3187" s="5" t="s">
        <v>240</v>
      </c>
      <c r="IA3187" s="5" t="s">
        <v>240</v>
      </c>
      <c r="IB3187" s="5" t="s">
        <v>240</v>
      </c>
      <c r="IC3187" s="5" t="s">
        <v>240</v>
      </c>
      <c r="ID3187" s="5" t="s">
        <v>240</v>
      </c>
      <c r="IE3187" s="5" t="s">
        <v>240</v>
      </c>
      <c r="IF3187" s="5" t="s">
        <v>240</v>
      </c>
    </row>
    <row r="3188" spans="1:240" x14ac:dyDescent="0.4">
      <c r="A3188" s="5">
        <v>4892</v>
      </c>
      <c r="B3188" s="5">
        <v>1</v>
      </c>
      <c r="C3188" s="5">
        <v>1</v>
      </c>
      <c r="D3188" s="5" t="s">
        <v>810</v>
      </c>
      <c r="E3188" s="5" t="s">
        <v>245</v>
      </c>
      <c r="F3188" s="5" t="s">
        <v>254</v>
      </c>
      <c r="G3188" s="5" t="s">
        <v>240</v>
      </c>
      <c r="H3188" s="6" t="s">
        <v>2162</v>
      </c>
      <c r="I3188" s="5" t="s">
        <v>809</v>
      </c>
      <c r="J3188" s="8">
        <f>10373</f>
        <v>10373</v>
      </c>
      <c r="K3188" s="5" t="s">
        <v>308</v>
      </c>
      <c r="L3188" s="7">
        <f>1</f>
        <v>1</v>
      </c>
      <c r="M3188" s="7">
        <f>1</f>
        <v>1</v>
      </c>
      <c r="N3188" s="5" t="s">
        <v>242</v>
      </c>
      <c r="O3188" s="5">
        <v>1</v>
      </c>
      <c r="P3188" s="5" t="s">
        <v>294</v>
      </c>
      <c r="Q3188" s="5" t="s">
        <v>266</v>
      </c>
      <c r="R3188" s="5" t="s">
        <v>240</v>
      </c>
      <c r="S3188" s="5" t="s">
        <v>240</v>
      </c>
      <c r="T3188" s="5" t="s">
        <v>296</v>
      </c>
      <c r="U3188" s="5" t="s">
        <v>244</v>
      </c>
      <c r="V3188" s="5" t="s">
        <v>240</v>
      </c>
      <c r="Y3188" s="5" t="s">
        <v>240</v>
      </c>
      <c r="Z3188" s="6" t="s">
        <v>298</v>
      </c>
      <c r="AB3188" s="6" t="s">
        <v>240</v>
      </c>
      <c r="AE3188" s="6" t="s">
        <v>299</v>
      </c>
      <c r="AF3188" s="5" t="s">
        <v>248</v>
      </c>
      <c r="AG3188" s="5" t="s">
        <v>249</v>
      </c>
      <c r="AW3188" s="5" t="s">
        <v>251</v>
      </c>
      <c r="AX3188" s="5" t="s">
        <v>240</v>
      </c>
      <c r="AY3188" s="5" t="s">
        <v>253</v>
      </c>
      <c r="AZ3188" s="5" t="s">
        <v>240</v>
      </c>
      <c r="BA3188" s="5" t="s">
        <v>255</v>
      </c>
      <c r="BB3188" s="5" t="s">
        <v>240</v>
      </c>
      <c r="BD3188" s="5" t="s">
        <v>240</v>
      </c>
      <c r="BF3188" s="5" t="s">
        <v>301</v>
      </c>
      <c r="BG3188" s="6" t="s">
        <v>299</v>
      </c>
      <c r="BH3188" s="5" t="s">
        <v>302</v>
      </c>
      <c r="BI3188" s="5" t="s">
        <v>303</v>
      </c>
      <c r="BJ3188" s="5" t="s">
        <v>240</v>
      </c>
      <c r="BK3188" s="8">
        <f>0</f>
        <v>0</v>
      </c>
      <c r="BL3188" s="7">
        <f>0</f>
        <v>0</v>
      </c>
      <c r="BM3188" s="5" t="s">
        <v>258</v>
      </c>
      <c r="BN3188" s="5" t="s">
        <v>259</v>
      </c>
      <c r="CB3188" s="5" t="s">
        <v>240</v>
      </c>
      <c r="CC3188" s="5" t="s">
        <v>240</v>
      </c>
      <c r="CG3188" s="5" t="s">
        <v>304</v>
      </c>
      <c r="CH3188" s="5" t="s">
        <v>305</v>
      </c>
      <c r="CI3188" s="5" t="s">
        <v>240</v>
      </c>
      <c r="CL3188" s="6" t="s">
        <v>261</v>
      </c>
      <c r="CM3188" s="5" t="s">
        <v>240</v>
      </c>
      <c r="CN3188" s="5" t="s">
        <v>263</v>
      </c>
      <c r="CO3188" s="5" t="s">
        <v>240</v>
      </c>
      <c r="CP3188" s="5" t="s">
        <v>240</v>
      </c>
      <c r="CQ3188" s="5">
        <v>0</v>
      </c>
      <c r="CR3188" s="5" t="s">
        <v>306</v>
      </c>
      <c r="CS3188" s="5" t="s">
        <v>307</v>
      </c>
      <c r="CT3188" s="5" t="s">
        <v>307</v>
      </c>
      <c r="CU3188" s="5" t="s">
        <v>260</v>
      </c>
      <c r="CX3188" s="7">
        <f>1</f>
        <v>1</v>
      </c>
      <c r="CY3188" s="7">
        <f>0</f>
        <v>0</v>
      </c>
      <c r="DA3188" s="7">
        <f>0</f>
        <v>0</v>
      </c>
      <c r="DC3188" s="5" t="s">
        <v>309</v>
      </c>
      <c r="DD3188" s="5" t="s">
        <v>240</v>
      </c>
      <c r="DF3188" s="5" t="s">
        <v>309</v>
      </c>
      <c r="DG3188" s="7">
        <f>1714</f>
        <v>1714</v>
      </c>
      <c r="DI3188" s="5" t="s">
        <v>240</v>
      </c>
      <c r="DJ3188" s="5" t="s">
        <v>240</v>
      </c>
      <c r="DK3188" s="5" t="s">
        <v>240</v>
      </c>
      <c r="DL3188" s="5" t="s">
        <v>240</v>
      </c>
      <c r="DP3188" s="5" t="s">
        <v>240</v>
      </c>
      <c r="DQ3188" s="5" t="s">
        <v>240</v>
      </c>
      <c r="DR3188" s="5" t="s">
        <v>240</v>
      </c>
      <c r="DS3188" s="5" t="s">
        <v>240</v>
      </c>
      <c r="DV3188" s="5" t="s">
        <v>310</v>
      </c>
      <c r="DW3188" s="5" t="s">
        <v>2825</v>
      </c>
      <c r="HO3188" s="5" t="s">
        <v>312</v>
      </c>
    </row>
    <row r="3189" spans="1:240" x14ac:dyDescent="0.4">
      <c r="A3189" s="5">
        <v>4893</v>
      </c>
      <c r="B3189" s="5">
        <v>1</v>
      </c>
      <c r="C3189" s="5">
        <v>1</v>
      </c>
      <c r="D3189" s="5" t="s">
        <v>810</v>
      </c>
      <c r="E3189" s="5" t="s">
        <v>245</v>
      </c>
      <c r="F3189" s="5" t="s">
        <v>254</v>
      </c>
      <c r="G3189" s="5" t="s">
        <v>240</v>
      </c>
      <c r="H3189" s="6" t="s">
        <v>2159</v>
      </c>
      <c r="I3189" s="5" t="s">
        <v>809</v>
      </c>
      <c r="J3189" s="8">
        <f>361</f>
        <v>361</v>
      </c>
      <c r="K3189" s="5" t="s">
        <v>308</v>
      </c>
      <c r="L3189" s="7">
        <f>1</f>
        <v>1</v>
      </c>
      <c r="M3189" s="7">
        <f>1</f>
        <v>1</v>
      </c>
      <c r="N3189" s="5" t="s">
        <v>242</v>
      </c>
      <c r="O3189" s="5">
        <v>1</v>
      </c>
      <c r="P3189" s="5" t="s">
        <v>294</v>
      </c>
      <c r="Q3189" s="5" t="s">
        <v>3678</v>
      </c>
      <c r="R3189" s="5" t="s">
        <v>240</v>
      </c>
      <c r="S3189" s="5" t="s">
        <v>240</v>
      </c>
      <c r="T3189" s="5" t="s">
        <v>243</v>
      </c>
      <c r="U3189" s="5" t="s">
        <v>244</v>
      </c>
      <c r="V3189" s="5" t="s">
        <v>240</v>
      </c>
      <c r="W3189" s="5" t="s">
        <v>240</v>
      </c>
      <c r="X3189" s="5" t="s">
        <v>240</v>
      </c>
      <c r="Y3189" s="5" t="s">
        <v>240</v>
      </c>
      <c r="Z3189" s="6" t="s">
        <v>298</v>
      </c>
      <c r="AA3189" s="6" t="s">
        <v>240</v>
      </c>
      <c r="AB3189" s="6" t="s">
        <v>240</v>
      </c>
      <c r="AC3189" s="5" t="s">
        <v>240</v>
      </c>
      <c r="AD3189" s="6" t="s">
        <v>240</v>
      </c>
      <c r="AE3189" s="6" t="s">
        <v>299</v>
      </c>
      <c r="AF3189" s="5" t="s">
        <v>248</v>
      </c>
      <c r="AG3189" s="5" t="s">
        <v>249</v>
      </c>
      <c r="AH3189" s="5" t="s">
        <v>240</v>
      </c>
      <c r="AI3189" s="5" t="s">
        <v>240</v>
      </c>
      <c r="AJ3189" s="5" t="s">
        <v>240</v>
      </c>
      <c r="AK3189" s="5" t="s">
        <v>240</v>
      </c>
      <c r="AL3189" s="5" t="s">
        <v>240</v>
      </c>
      <c r="AM3189" s="5" t="s">
        <v>240</v>
      </c>
      <c r="AN3189" s="5" t="s">
        <v>240</v>
      </c>
      <c r="AO3189" s="5" t="s">
        <v>240</v>
      </c>
      <c r="AP3189" s="6" t="s">
        <v>240</v>
      </c>
      <c r="AQ3189" s="6" t="s">
        <v>240</v>
      </c>
      <c r="AR3189" s="6" t="s">
        <v>240</v>
      </c>
      <c r="AS3189" s="6" t="s">
        <v>240</v>
      </c>
      <c r="AT3189" s="5" t="s">
        <v>240</v>
      </c>
      <c r="AU3189" s="5" t="s">
        <v>729</v>
      </c>
      <c r="AV3189" s="5" t="s">
        <v>729</v>
      </c>
      <c r="AW3189" s="5" t="s">
        <v>251</v>
      </c>
      <c r="AX3189" s="5" t="s">
        <v>252</v>
      </c>
      <c r="AY3189" s="5" t="s">
        <v>253</v>
      </c>
      <c r="AZ3189" s="5" t="s">
        <v>240</v>
      </c>
      <c r="BA3189" s="5" t="s">
        <v>255</v>
      </c>
      <c r="BB3189" s="5" t="s">
        <v>731</v>
      </c>
      <c r="BD3189" s="5" t="s">
        <v>240</v>
      </c>
      <c r="BF3189" s="5" t="s">
        <v>732</v>
      </c>
      <c r="BG3189" s="6" t="s">
        <v>733</v>
      </c>
      <c r="BH3189" s="5" t="s">
        <v>734</v>
      </c>
      <c r="BI3189" s="5" t="s">
        <v>734</v>
      </c>
      <c r="BJ3189" s="5" t="s">
        <v>240</v>
      </c>
      <c r="BK3189" s="7">
        <f>1</f>
        <v>1</v>
      </c>
      <c r="BL3189" s="7">
        <f>1</f>
        <v>1</v>
      </c>
      <c r="BM3189" s="5" t="s">
        <v>258</v>
      </c>
      <c r="BN3189" s="5" t="s">
        <v>259</v>
      </c>
      <c r="BO3189" s="5" t="s">
        <v>240</v>
      </c>
      <c r="BP3189" s="5" t="s">
        <v>240</v>
      </c>
      <c r="BQ3189" s="5" t="s">
        <v>240</v>
      </c>
      <c r="BR3189" s="5" t="s">
        <v>240</v>
      </c>
      <c r="BS3189" s="5" t="s">
        <v>240</v>
      </c>
      <c r="BT3189" s="5" t="s">
        <v>240</v>
      </c>
      <c r="BU3189" s="5" t="s">
        <v>240</v>
      </c>
      <c r="BV3189" s="5" t="s">
        <v>240</v>
      </c>
      <c r="BW3189" s="6" t="s">
        <v>240</v>
      </c>
      <c r="BX3189" s="5" t="s">
        <v>240</v>
      </c>
      <c r="BY3189" s="5" t="s">
        <v>240</v>
      </c>
      <c r="BZ3189" s="5" t="s">
        <v>240</v>
      </c>
      <c r="CA3189" s="5" t="s">
        <v>259</v>
      </c>
      <c r="CB3189" s="5" t="s">
        <v>240</v>
      </c>
      <c r="CC3189" s="5" t="s">
        <v>240</v>
      </c>
      <c r="CD3189" s="5" t="s">
        <v>240</v>
      </c>
      <c r="CE3189" s="5" t="s">
        <v>240</v>
      </c>
      <c r="CF3189" s="5" t="s">
        <v>240</v>
      </c>
      <c r="CG3189" s="5" t="s">
        <v>304</v>
      </c>
      <c r="CH3189" s="5" t="s">
        <v>305</v>
      </c>
      <c r="CI3189" s="5" t="s">
        <v>240</v>
      </c>
      <c r="CK3189" s="5" t="s">
        <v>3681</v>
      </c>
      <c r="CL3189" s="6" t="s">
        <v>261</v>
      </c>
      <c r="CM3189" s="5" t="s">
        <v>262</v>
      </c>
      <c r="CN3189" s="5" t="s">
        <v>263</v>
      </c>
      <c r="CO3189" s="5" t="s">
        <v>264</v>
      </c>
      <c r="CP3189" s="5" t="s">
        <v>240</v>
      </c>
      <c r="CQ3189" s="5">
        <v>0</v>
      </c>
      <c r="CR3189" s="5" t="s">
        <v>735</v>
      </c>
      <c r="CS3189" s="5" t="s">
        <v>307</v>
      </c>
      <c r="CT3189" s="5" t="s">
        <v>307</v>
      </c>
      <c r="CU3189" s="5" t="s">
        <v>260</v>
      </c>
      <c r="CV3189" s="5" t="s">
        <v>612</v>
      </c>
      <c r="CW3189" s="8">
        <f>1</f>
        <v>1</v>
      </c>
      <c r="CX3189" s="7">
        <f>1</f>
        <v>1</v>
      </c>
      <c r="CY3189" s="7">
        <f>0</f>
        <v>0</v>
      </c>
      <c r="DA3189" s="7">
        <f>1</f>
        <v>1</v>
      </c>
      <c r="DB3189" s="7" t="s">
        <v>240</v>
      </c>
      <c r="DC3189" s="5" t="s">
        <v>240</v>
      </c>
      <c r="DD3189" s="5" t="s">
        <v>240</v>
      </c>
      <c r="DE3189" s="5" t="s">
        <v>240</v>
      </c>
      <c r="DF3189" s="5" t="s">
        <v>240</v>
      </c>
      <c r="DG3189" s="7">
        <f>0</f>
        <v>0</v>
      </c>
      <c r="DI3189" s="5" t="s">
        <v>240</v>
      </c>
      <c r="DJ3189" s="5" t="s">
        <v>240</v>
      </c>
      <c r="DK3189" s="5" t="s">
        <v>240</v>
      </c>
      <c r="DL3189" s="5" t="s">
        <v>240</v>
      </c>
      <c r="DM3189" s="5" t="s">
        <v>240</v>
      </c>
      <c r="DN3189" s="5" t="s">
        <v>240</v>
      </c>
      <c r="DO3189" s="7" t="s">
        <v>240</v>
      </c>
      <c r="DP3189" s="5" t="s">
        <v>240</v>
      </c>
      <c r="DQ3189" s="5" t="s">
        <v>240</v>
      </c>
      <c r="DR3189" s="5" t="s">
        <v>731</v>
      </c>
      <c r="DS3189" s="5" t="s">
        <v>731</v>
      </c>
      <c r="DT3189" s="5" t="s">
        <v>240</v>
      </c>
      <c r="DU3189" s="5" t="s">
        <v>240</v>
      </c>
      <c r="DV3189" s="5" t="s">
        <v>3683</v>
      </c>
      <c r="DW3189" s="5" t="s">
        <v>453</v>
      </c>
      <c r="DX3189" s="5" t="s">
        <v>240</v>
      </c>
      <c r="DY3189" s="5" t="s">
        <v>240</v>
      </c>
      <c r="DZ3189" s="5" t="s">
        <v>240</v>
      </c>
      <c r="EA3189" s="5" t="s">
        <v>240</v>
      </c>
      <c r="EB3189" s="5" t="s">
        <v>240</v>
      </c>
      <c r="EC3189" s="5" t="s">
        <v>240</v>
      </c>
      <c r="ED3189" s="5" t="s">
        <v>240</v>
      </c>
      <c r="EE3189" s="5" t="s">
        <v>240</v>
      </c>
      <c r="EF3189" s="5" t="s">
        <v>240</v>
      </c>
      <c r="EG3189" s="5" t="s">
        <v>240</v>
      </c>
      <c r="EH3189" s="5" t="s">
        <v>240</v>
      </c>
      <c r="EI3189" s="5" t="s">
        <v>240</v>
      </c>
      <c r="EJ3189" s="5" t="s">
        <v>240</v>
      </c>
      <c r="EK3189" s="5" t="s">
        <v>240</v>
      </c>
      <c r="EL3189" s="5" t="s">
        <v>240</v>
      </c>
      <c r="EM3189" s="5" t="s">
        <v>240</v>
      </c>
      <c r="EN3189" s="5" t="s">
        <v>240</v>
      </c>
      <c r="EO3189" s="5" t="s">
        <v>240</v>
      </c>
      <c r="EP3189" s="5" t="s">
        <v>240</v>
      </c>
      <c r="EQ3189" s="5" t="s">
        <v>240</v>
      </c>
      <c r="ER3189" s="5" t="s">
        <v>240</v>
      </c>
      <c r="ES3189" s="5" t="s">
        <v>240</v>
      </c>
      <c r="ET3189" s="5" t="s">
        <v>240</v>
      </c>
      <c r="EU3189" s="5" t="s">
        <v>240</v>
      </c>
      <c r="EV3189" s="5" t="s">
        <v>240</v>
      </c>
      <c r="EW3189" s="5" t="s">
        <v>240</v>
      </c>
      <c r="EX3189" s="5" t="s">
        <v>240</v>
      </c>
      <c r="EY3189" s="5" t="s">
        <v>240</v>
      </c>
      <c r="EZ3189" s="5" t="s">
        <v>240</v>
      </c>
      <c r="FA3189" s="5" t="s">
        <v>240</v>
      </c>
      <c r="FB3189" s="5" t="s">
        <v>240</v>
      </c>
      <c r="FC3189" s="5" t="s">
        <v>240</v>
      </c>
      <c r="FD3189" s="5" t="s">
        <v>240</v>
      </c>
      <c r="FE3189" s="5" t="s">
        <v>240</v>
      </c>
      <c r="FF3189" s="5" t="s">
        <v>240</v>
      </c>
      <c r="FG3189" s="5" t="s">
        <v>240</v>
      </c>
      <c r="FH3189" s="5" t="s">
        <v>240</v>
      </c>
      <c r="FI3189" s="5" t="s">
        <v>240</v>
      </c>
      <c r="FJ3189" s="5" t="s">
        <v>240</v>
      </c>
      <c r="FK3189" s="5" t="s">
        <v>240</v>
      </c>
      <c r="FL3189" s="5" t="s">
        <v>240</v>
      </c>
      <c r="FM3189" s="5" t="s">
        <v>240</v>
      </c>
      <c r="FN3189" s="5" t="s">
        <v>240</v>
      </c>
      <c r="FO3189" s="5" t="s">
        <v>240</v>
      </c>
      <c r="FP3189" s="5" t="s">
        <v>240</v>
      </c>
      <c r="FQ3189" s="5" t="s">
        <v>240</v>
      </c>
      <c r="FR3189" s="5" t="s">
        <v>240</v>
      </c>
      <c r="FS3189" s="5" t="s">
        <v>240</v>
      </c>
      <c r="FT3189" s="5" t="s">
        <v>240</v>
      </c>
      <c r="FU3189" s="5" t="s">
        <v>240</v>
      </c>
      <c r="FV3189" s="5" t="s">
        <v>240</v>
      </c>
      <c r="FW3189" s="5" t="s">
        <v>240</v>
      </c>
      <c r="FX3189" s="5" t="s">
        <v>240</v>
      </c>
      <c r="FY3189" s="5" t="s">
        <v>240</v>
      </c>
      <c r="FZ3189" s="5" t="s">
        <v>240</v>
      </c>
      <c r="GA3189" s="5" t="s">
        <v>240</v>
      </c>
      <c r="GB3189" s="5" t="s">
        <v>240</v>
      </c>
      <c r="GC3189" s="5" t="s">
        <v>240</v>
      </c>
      <c r="GD3189" s="5" t="s">
        <v>240</v>
      </c>
      <c r="GE3189" s="5" t="s">
        <v>240</v>
      </c>
      <c r="GF3189" s="5" t="s">
        <v>240</v>
      </c>
      <c r="GG3189" s="5" t="s">
        <v>240</v>
      </c>
      <c r="GH3189" s="5" t="s">
        <v>240</v>
      </c>
      <c r="GI3189" s="5" t="s">
        <v>240</v>
      </c>
      <c r="GJ3189" s="5" t="s">
        <v>240</v>
      </c>
      <c r="GK3189" s="5" t="s">
        <v>240</v>
      </c>
      <c r="GL3189" s="5" t="s">
        <v>240</v>
      </c>
      <c r="GM3189" s="5" t="s">
        <v>240</v>
      </c>
      <c r="GN3189" s="5" t="s">
        <v>240</v>
      </c>
      <c r="GO3189" s="5" t="s">
        <v>240</v>
      </c>
      <c r="GP3189" s="5" t="s">
        <v>240</v>
      </c>
      <c r="GQ3189" s="5" t="s">
        <v>240</v>
      </c>
      <c r="GR3189" s="5" t="s">
        <v>240</v>
      </c>
      <c r="GS3189" s="5" t="s">
        <v>240</v>
      </c>
      <c r="GT3189" s="5" t="s">
        <v>240</v>
      </c>
      <c r="GU3189" s="5" t="s">
        <v>240</v>
      </c>
      <c r="GV3189" s="5" t="s">
        <v>240</v>
      </c>
      <c r="GW3189" s="5" t="s">
        <v>240</v>
      </c>
      <c r="GX3189" s="5" t="s">
        <v>240</v>
      </c>
      <c r="GY3189" s="5" t="s">
        <v>240</v>
      </c>
      <c r="GZ3189" s="5" t="s">
        <v>240</v>
      </c>
      <c r="HA3189" s="5" t="s">
        <v>240</v>
      </c>
      <c r="HB3189" s="5" t="s">
        <v>240</v>
      </c>
      <c r="HC3189" s="5" t="s">
        <v>240</v>
      </c>
      <c r="HD3189" s="5" t="s">
        <v>240</v>
      </c>
      <c r="HE3189" s="5" t="s">
        <v>240</v>
      </c>
      <c r="HF3189" s="5" t="s">
        <v>240</v>
      </c>
      <c r="HG3189" s="5" t="s">
        <v>240</v>
      </c>
      <c r="HH3189" s="5" t="s">
        <v>240</v>
      </c>
      <c r="HI3189" s="5" t="s">
        <v>240</v>
      </c>
      <c r="HJ3189" s="5" t="s">
        <v>240</v>
      </c>
      <c r="HK3189" s="5" t="s">
        <v>240</v>
      </c>
      <c r="HL3189" s="5" t="s">
        <v>240</v>
      </c>
      <c r="HM3189" s="5" t="s">
        <v>240</v>
      </c>
      <c r="HN3189" s="5" t="s">
        <v>240</v>
      </c>
      <c r="HO3189" s="5" t="s">
        <v>312</v>
      </c>
      <c r="HP3189" s="5" t="s">
        <v>240</v>
      </c>
      <c r="HQ3189" s="5" t="s">
        <v>240</v>
      </c>
      <c r="HR3189" s="5" t="s">
        <v>240</v>
      </c>
      <c r="HS3189" s="5" t="s">
        <v>240</v>
      </c>
      <c r="HT3189" s="5" t="s">
        <v>240</v>
      </c>
      <c r="HU3189" s="5" t="s">
        <v>240</v>
      </c>
      <c r="HV3189" s="5" t="s">
        <v>240</v>
      </c>
      <c r="HW3189" s="5" t="s">
        <v>240</v>
      </c>
      <c r="HX3189" s="5" t="s">
        <v>240</v>
      </c>
      <c r="HY3189" s="5" t="s">
        <v>240</v>
      </c>
      <c r="HZ3189" s="5" t="s">
        <v>240</v>
      </c>
      <c r="IA3189" s="5" t="s">
        <v>240</v>
      </c>
      <c r="IB3189" s="5" t="s">
        <v>240</v>
      </c>
      <c r="IC3189" s="5" t="s">
        <v>240</v>
      </c>
      <c r="ID3189" s="5" t="s">
        <v>240</v>
      </c>
      <c r="IE3189" s="5" t="s">
        <v>240</v>
      </c>
      <c r="IF3189" s="5" t="s">
        <v>240</v>
      </c>
    </row>
    <row r="3190" spans="1:240" x14ac:dyDescent="0.4">
      <c r="A3190" s="5">
        <v>4894</v>
      </c>
      <c r="B3190" s="5">
        <v>1</v>
      </c>
      <c r="C3190" s="5">
        <v>1</v>
      </c>
      <c r="D3190" s="5" t="s">
        <v>810</v>
      </c>
      <c r="E3190" s="5" t="s">
        <v>245</v>
      </c>
      <c r="F3190" s="5" t="s">
        <v>254</v>
      </c>
      <c r="G3190" s="5" t="s">
        <v>240</v>
      </c>
      <c r="H3190" s="6" t="s">
        <v>2156</v>
      </c>
      <c r="I3190" s="5" t="s">
        <v>809</v>
      </c>
      <c r="J3190" s="8">
        <f>76</f>
        <v>76</v>
      </c>
      <c r="K3190" s="5" t="s">
        <v>308</v>
      </c>
      <c r="L3190" s="7">
        <f>1</f>
        <v>1</v>
      </c>
      <c r="M3190" s="7">
        <f>1</f>
        <v>1</v>
      </c>
      <c r="N3190" s="5" t="s">
        <v>242</v>
      </c>
      <c r="O3190" s="5">
        <v>1</v>
      </c>
      <c r="P3190" s="5" t="s">
        <v>294</v>
      </c>
      <c r="Q3190" s="5" t="s">
        <v>266</v>
      </c>
      <c r="R3190" s="5" t="s">
        <v>240</v>
      </c>
      <c r="S3190" s="5" t="s">
        <v>240</v>
      </c>
      <c r="T3190" s="5" t="s">
        <v>296</v>
      </c>
      <c r="U3190" s="5" t="s">
        <v>244</v>
      </c>
      <c r="V3190" s="5" t="s">
        <v>240</v>
      </c>
      <c r="Y3190" s="5" t="s">
        <v>240</v>
      </c>
      <c r="Z3190" s="6" t="s">
        <v>298</v>
      </c>
      <c r="AB3190" s="6" t="s">
        <v>240</v>
      </c>
      <c r="AE3190" s="6" t="s">
        <v>299</v>
      </c>
      <c r="AF3190" s="5" t="s">
        <v>248</v>
      </c>
      <c r="AG3190" s="5" t="s">
        <v>249</v>
      </c>
      <c r="AW3190" s="5" t="s">
        <v>251</v>
      </c>
      <c r="AX3190" s="5" t="s">
        <v>240</v>
      </c>
      <c r="AY3190" s="5" t="s">
        <v>253</v>
      </c>
      <c r="AZ3190" s="5" t="s">
        <v>240</v>
      </c>
      <c r="BA3190" s="5" t="s">
        <v>255</v>
      </c>
      <c r="BB3190" s="5" t="s">
        <v>240</v>
      </c>
      <c r="BD3190" s="5" t="s">
        <v>240</v>
      </c>
      <c r="BF3190" s="5" t="s">
        <v>301</v>
      </c>
      <c r="BG3190" s="6" t="s">
        <v>299</v>
      </c>
      <c r="BH3190" s="5" t="s">
        <v>302</v>
      </c>
      <c r="BI3190" s="5" t="s">
        <v>303</v>
      </c>
      <c r="BJ3190" s="5" t="s">
        <v>240</v>
      </c>
      <c r="BK3190" s="8">
        <f>0</f>
        <v>0</v>
      </c>
      <c r="BL3190" s="7">
        <f>0</f>
        <v>0</v>
      </c>
      <c r="BM3190" s="5" t="s">
        <v>258</v>
      </c>
      <c r="BN3190" s="5" t="s">
        <v>259</v>
      </c>
      <c r="CB3190" s="5" t="s">
        <v>240</v>
      </c>
      <c r="CC3190" s="5" t="s">
        <v>240</v>
      </c>
      <c r="CG3190" s="5" t="s">
        <v>304</v>
      </c>
      <c r="CH3190" s="5" t="s">
        <v>305</v>
      </c>
      <c r="CI3190" s="5" t="s">
        <v>240</v>
      </c>
      <c r="CL3190" s="6" t="s">
        <v>261</v>
      </c>
      <c r="CM3190" s="5" t="s">
        <v>240</v>
      </c>
      <c r="CN3190" s="5" t="s">
        <v>263</v>
      </c>
      <c r="CO3190" s="5" t="s">
        <v>240</v>
      </c>
      <c r="CP3190" s="5" t="s">
        <v>240</v>
      </c>
      <c r="CQ3190" s="5">
        <v>0</v>
      </c>
      <c r="CR3190" s="5" t="s">
        <v>306</v>
      </c>
      <c r="CS3190" s="5" t="s">
        <v>307</v>
      </c>
      <c r="CT3190" s="5" t="s">
        <v>307</v>
      </c>
      <c r="CU3190" s="5" t="s">
        <v>260</v>
      </c>
      <c r="CX3190" s="7">
        <f>1</f>
        <v>1</v>
      </c>
      <c r="CY3190" s="7">
        <f>0</f>
        <v>0</v>
      </c>
      <c r="DA3190" s="7">
        <f>0</f>
        <v>0</v>
      </c>
      <c r="DC3190" s="5" t="s">
        <v>309</v>
      </c>
      <c r="DD3190" s="5" t="s">
        <v>240</v>
      </c>
      <c r="DF3190" s="5" t="s">
        <v>309</v>
      </c>
      <c r="DG3190" s="7">
        <f>1675</f>
        <v>1675</v>
      </c>
      <c r="DI3190" s="5" t="s">
        <v>240</v>
      </c>
      <c r="DJ3190" s="5" t="s">
        <v>240</v>
      </c>
      <c r="DK3190" s="5" t="s">
        <v>240</v>
      </c>
      <c r="DL3190" s="5" t="s">
        <v>240</v>
      </c>
      <c r="DP3190" s="5" t="s">
        <v>240</v>
      </c>
      <c r="DQ3190" s="5" t="s">
        <v>240</v>
      </c>
      <c r="DR3190" s="5" t="s">
        <v>240</v>
      </c>
      <c r="DS3190" s="5" t="s">
        <v>240</v>
      </c>
      <c r="DV3190" s="5" t="s">
        <v>310</v>
      </c>
      <c r="DW3190" s="5" t="s">
        <v>2833</v>
      </c>
      <c r="HO3190" s="5" t="s">
        <v>312</v>
      </c>
    </row>
    <row r="3191" spans="1:240" x14ac:dyDescent="0.4">
      <c r="A3191" s="5">
        <v>4895</v>
      </c>
      <c r="B3191" s="5">
        <v>1</v>
      </c>
      <c r="C3191" s="5">
        <v>1</v>
      </c>
      <c r="D3191" s="5" t="s">
        <v>810</v>
      </c>
      <c r="E3191" s="5" t="s">
        <v>245</v>
      </c>
      <c r="F3191" s="5" t="s">
        <v>254</v>
      </c>
      <c r="G3191" s="5" t="s">
        <v>240</v>
      </c>
      <c r="H3191" s="6" t="s">
        <v>6542</v>
      </c>
      <c r="I3191" s="5" t="s">
        <v>6541</v>
      </c>
      <c r="J3191" s="8">
        <f>62.6</f>
        <v>62.6</v>
      </c>
      <c r="K3191" s="5" t="s">
        <v>308</v>
      </c>
      <c r="L3191" s="7">
        <f>215970</f>
        <v>215970</v>
      </c>
      <c r="M3191" s="7">
        <f>215970</f>
        <v>215970</v>
      </c>
      <c r="N3191" s="5" t="s">
        <v>242</v>
      </c>
      <c r="O3191" s="5">
        <v>1</v>
      </c>
      <c r="P3191" s="5" t="s">
        <v>294</v>
      </c>
      <c r="Q3191" s="5" t="s">
        <v>3678</v>
      </c>
      <c r="R3191" s="5" t="s">
        <v>240</v>
      </c>
      <c r="S3191" s="5" t="s">
        <v>240</v>
      </c>
      <c r="T3191" s="5" t="s">
        <v>243</v>
      </c>
      <c r="U3191" s="5" t="s">
        <v>244</v>
      </c>
      <c r="V3191" s="5" t="s">
        <v>240</v>
      </c>
      <c r="W3191" s="5" t="s">
        <v>240</v>
      </c>
      <c r="X3191" s="5" t="s">
        <v>240</v>
      </c>
      <c r="Y3191" s="5" t="s">
        <v>240</v>
      </c>
      <c r="Z3191" s="6" t="s">
        <v>298</v>
      </c>
      <c r="AA3191" s="6" t="s">
        <v>240</v>
      </c>
      <c r="AB3191" s="6" t="s">
        <v>240</v>
      </c>
      <c r="AC3191" s="5" t="s">
        <v>240</v>
      </c>
      <c r="AD3191" s="6" t="s">
        <v>240</v>
      </c>
      <c r="AE3191" s="6" t="s">
        <v>299</v>
      </c>
      <c r="AF3191" s="5" t="s">
        <v>248</v>
      </c>
      <c r="AG3191" s="5" t="s">
        <v>249</v>
      </c>
      <c r="AH3191" s="5" t="s">
        <v>240</v>
      </c>
      <c r="AI3191" s="5" t="s">
        <v>240</v>
      </c>
      <c r="AJ3191" s="5" t="s">
        <v>240</v>
      </c>
      <c r="AK3191" s="5" t="s">
        <v>240</v>
      </c>
      <c r="AL3191" s="5" t="s">
        <v>240</v>
      </c>
      <c r="AM3191" s="5" t="s">
        <v>240</v>
      </c>
      <c r="AN3191" s="5" t="s">
        <v>240</v>
      </c>
      <c r="AO3191" s="5" t="s">
        <v>240</v>
      </c>
      <c r="AP3191" s="6" t="s">
        <v>240</v>
      </c>
      <c r="AQ3191" s="6" t="s">
        <v>240</v>
      </c>
      <c r="AR3191" s="6" t="s">
        <v>240</v>
      </c>
      <c r="AS3191" s="6" t="s">
        <v>240</v>
      </c>
      <c r="AT3191" s="5" t="s">
        <v>240</v>
      </c>
      <c r="AU3191" s="5" t="s">
        <v>729</v>
      </c>
      <c r="AV3191" s="5" t="s">
        <v>729</v>
      </c>
      <c r="AW3191" s="5" t="s">
        <v>251</v>
      </c>
      <c r="AX3191" s="5" t="s">
        <v>252</v>
      </c>
      <c r="AY3191" s="5" t="s">
        <v>253</v>
      </c>
      <c r="AZ3191" s="5" t="s">
        <v>240</v>
      </c>
      <c r="BA3191" s="5" t="s">
        <v>255</v>
      </c>
      <c r="BB3191" s="5" t="s">
        <v>731</v>
      </c>
      <c r="BD3191" s="5" t="s">
        <v>240</v>
      </c>
      <c r="BF3191" s="5" t="s">
        <v>732</v>
      </c>
      <c r="BG3191" s="6" t="s">
        <v>733</v>
      </c>
      <c r="BH3191" s="5" t="s">
        <v>734</v>
      </c>
      <c r="BI3191" s="5" t="s">
        <v>734</v>
      </c>
      <c r="BJ3191" s="5" t="s">
        <v>240</v>
      </c>
      <c r="BK3191" s="7">
        <f>1</f>
        <v>1</v>
      </c>
      <c r="BL3191" s="7">
        <f>1</f>
        <v>1</v>
      </c>
      <c r="BM3191" s="5" t="s">
        <v>258</v>
      </c>
      <c r="BN3191" s="5" t="s">
        <v>259</v>
      </c>
      <c r="BO3191" s="5" t="s">
        <v>240</v>
      </c>
      <c r="BP3191" s="5" t="s">
        <v>240</v>
      </c>
      <c r="BQ3191" s="5" t="s">
        <v>240</v>
      </c>
      <c r="BR3191" s="5" t="s">
        <v>240</v>
      </c>
      <c r="BS3191" s="5" t="s">
        <v>240</v>
      </c>
      <c r="BT3191" s="5" t="s">
        <v>240</v>
      </c>
      <c r="BU3191" s="5" t="s">
        <v>240</v>
      </c>
      <c r="BV3191" s="5" t="s">
        <v>240</v>
      </c>
      <c r="BW3191" s="6" t="s">
        <v>240</v>
      </c>
      <c r="BX3191" s="5" t="s">
        <v>240</v>
      </c>
      <c r="BY3191" s="5" t="s">
        <v>240</v>
      </c>
      <c r="BZ3191" s="5" t="s">
        <v>240</v>
      </c>
      <c r="CA3191" s="5" t="s">
        <v>259</v>
      </c>
      <c r="CB3191" s="5" t="s">
        <v>240</v>
      </c>
      <c r="CC3191" s="5" t="s">
        <v>240</v>
      </c>
      <c r="CD3191" s="5" t="s">
        <v>240</v>
      </c>
      <c r="CE3191" s="5" t="s">
        <v>240</v>
      </c>
      <c r="CF3191" s="5" t="s">
        <v>240</v>
      </c>
      <c r="CG3191" s="5" t="s">
        <v>304</v>
      </c>
      <c r="CH3191" s="5" t="s">
        <v>305</v>
      </c>
      <c r="CI3191" s="5" t="s">
        <v>240</v>
      </c>
      <c r="CK3191" s="5" t="s">
        <v>3681</v>
      </c>
      <c r="CL3191" s="6" t="s">
        <v>261</v>
      </c>
      <c r="CM3191" s="5" t="s">
        <v>262</v>
      </c>
      <c r="CN3191" s="5" t="s">
        <v>263</v>
      </c>
      <c r="CO3191" s="5" t="s">
        <v>264</v>
      </c>
      <c r="CP3191" s="5" t="s">
        <v>240</v>
      </c>
      <c r="CQ3191" s="5">
        <v>0</v>
      </c>
      <c r="CR3191" s="5" t="s">
        <v>735</v>
      </c>
      <c r="CS3191" s="5" t="s">
        <v>307</v>
      </c>
      <c r="CT3191" s="5" t="s">
        <v>307</v>
      </c>
      <c r="CU3191" s="5" t="s">
        <v>260</v>
      </c>
      <c r="CV3191" s="5" t="s">
        <v>612</v>
      </c>
      <c r="CW3191" s="8">
        <f>1</f>
        <v>1</v>
      </c>
      <c r="CX3191" s="7">
        <f>1</f>
        <v>1</v>
      </c>
      <c r="CY3191" s="7">
        <f>0</f>
        <v>0</v>
      </c>
      <c r="DA3191" s="7">
        <f>1</f>
        <v>1</v>
      </c>
      <c r="DB3191" s="7" t="s">
        <v>240</v>
      </c>
      <c r="DC3191" s="5" t="s">
        <v>240</v>
      </c>
      <c r="DD3191" s="5" t="s">
        <v>240</v>
      </c>
      <c r="DE3191" s="5" t="s">
        <v>240</v>
      </c>
      <c r="DF3191" s="5" t="s">
        <v>240</v>
      </c>
      <c r="DG3191" s="7">
        <f>0</f>
        <v>0</v>
      </c>
      <c r="DI3191" s="5" t="s">
        <v>240</v>
      </c>
      <c r="DJ3191" s="5" t="s">
        <v>240</v>
      </c>
      <c r="DK3191" s="5" t="s">
        <v>240</v>
      </c>
      <c r="DL3191" s="5" t="s">
        <v>240</v>
      </c>
      <c r="DM3191" s="5" t="s">
        <v>240</v>
      </c>
      <c r="DN3191" s="5" t="s">
        <v>240</v>
      </c>
      <c r="DO3191" s="7" t="s">
        <v>240</v>
      </c>
      <c r="DP3191" s="5" t="s">
        <v>240</v>
      </c>
      <c r="DQ3191" s="5" t="s">
        <v>240</v>
      </c>
      <c r="DR3191" s="5" t="s">
        <v>731</v>
      </c>
      <c r="DS3191" s="5" t="s">
        <v>731</v>
      </c>
      <c r="DT3191" s="5" t="s">
        <v>240</v>
      </c>
      <c r="DU3191" s="5" t="s">
        <v>240</v>
      </c>
      <c r="DV3191" s="5" t="s">
        <v>3683</v>
      </c>
      <c r="DW3191" s="5" t="s">
        <v>461</v>
      </c>
      <c r="DX3191" s="5" t="s">
        <v>240</v>
      </c>
      <c r="DY3191" s="5" t="s">
        <v>240</v>
      </c>
      <c r="DZ3191" s="5" t="s">
        <v>240</v>
      </c>
      <c r="EA3191" s="5" t="s">
        <v>240</v>
      </c>
      <c r="EB3191" s="5" t="s">
        <v>240</v>
      </c>
      <c r="EC3191" s="5" t="s">
        <v>240</v>
      </c>
      <c r="ED3191" s="5" t="s">
        <v>240</v>
      </c>
      <c r="EE3191" s="5" t="s">
        <v>240</v>
      </c>
      <c r="EF3191" s="5" t="s">
        <v>240</v>
      </c>
      <c r="EG3191" s="5" t="s">
        <v>240</v>
      </c>
      <c r="EH3191" s="5" t="s">
        <v>240</v>
      </c>
      <c r="EI3191" s="5" t="s">
        <v>240</v>
      </c>
      <c r="EJ3191" s="5" t="s">
        <v>240</v>
      </c>
      <c r="EK3191" s="5" t="s">
        <v>240</v>
      </c>
      <c r="EL3191" s="5" t="s">
        <v>240</v>
      </c>
      <c r="EM3191" s="5" t="s">
        <v>240</v>
      </c>
      <c r="EN3191" s="5" t="s">
        <v>240</v>
      </c>
      <c r="EO3191" s="5" t="s">
        <v>240</v>
      </c>
      <c r="EP3191" s="5" t="s">
        <v>240</v>
      </c>
      <c r="EQ3191" s="5" t="s">
        <v>240</v>
      </c>
      <c r="ER3191" s="5" t="s">
        <v>240</v>
      </c>
      <c r="ES3191" s="5" t="s">
        <v>240</v>
      </c>
      <c r="ET3191" s="5" t="s">
        <v>240</v>
      </c>
      <c r="EU3191" s="5" t="s">
        <v>240</v>
      </c>
      <c r="EV3191" s="5" t="s">
        <v>240</v>
      </c>
      <c r="EW3191" s="5" t="s">
        <v>240</v>
      </c>
      <c r="EX3191" s="5" t="s">
        <v>240</v>
      </c>
      <c r="EY3191" s="5" t="s">
        <v>240</v>
      </c>
      <c r="EZ3191" s="5" t="s">
        <v>240</v>
      </c>
      <c r="FA3191" s="5" t="s">
        <v>240</v>
      </c>
      <c r="FB3191" s="5" t="s">
        <v>240</v>
      </c>
      <c r="FC3191" s="5" t="s">
        <v>240</v>
      </c>
      <c r="FD3191" s="5" t="s">
        <v>240</v>
      </c>
      <c r="FE3191" s="5" t="s">
        <v>240</v>
      </c>
      <c r="FF3191" s="5" t="s">
        <v>240</v>
      </c>
      <c r="FG3191" s="5" t="s">
        <v>240</v>
      </c>
      <c r="FH3191" s="5" t="s">
        <v>240</v>
      </c>
      <c r="FI3191" s="5" t="s">
        <v>240</v>
      </c>
      <c r="FJ3191" s="5" t="s">
        <v>240</v>
      </c>
      <c r="FK3191" s="5" t="s">
        <v>240</v>
      </c>
      <c r="FL3191" s="5" t="s">
        <v>240</v>
      </c>
      <c r="FM3191" s="5" t="s">
        <v>240</v>
      </c>
      <c r="FN3191" s="5" t="s">
        <v>240</v>
      </c>
      <c r="FO3191" s="5" t="s">
        <v>240</v>
      </c>
      <c r="FP3191" s="5" t="s">
        <v>240</v>
      </c>
      <c r="FQ3191" s="5" t="s">
        <v>240</v>
      </c>
      <c r="FR3191" s="5" t="s">
        <v>240</v>
      </c>
      <c r="FS3191" s="5" t="s">
        <v>240</v>
      </c>
      <c r="FT3191" s="5" t="s">
        <v>240</v>
      </c>
      <c r="FU3191" s="5" t="s">
        <v>240</v>
      </c>
      <c r="FV3191" s="5" t="s">
        <v>240</v>
      </c>
      <c r="FW3191" s="5" t="s">
        <v>240</v>
      </c>
      <c r="FX3191" s="5" t="s">
        <v>240</v>
      </c>
      <c r="FY3191" s="5" t="s">
        <v>240</v>
      </c>
      <c r="FZ3191" s="5" t="s">
        <v>240</v>
      </c>
      <c r="GA3191" s="5" t="s">
        <v>240</v>
      </c>
      <c r="GB3191" s="5" t="s">
        <v>240</v>
      </c>
      <c r="GC3191" s="5" t="s">
        <v>240</v>
      </c>
      <c r="GD3191" s="5" t="s">
        <v>240</v>
      </c>
      <c r="GE3191" s="5" t="s">
        <v>240</v>
      </c>
      <c r="GF3191" s="5" t="s">
        <v>240</v>
      </c>
      <c r="GG3191" s="5" t="s">
        <v>240</v>
      </c>
      <c r="GH3191" s="5" t="s">
        <v>240</v>
      </c>
      <c r="GI3191" s="5" t="s">
        <v>240</v>
      </c>
      <c r="GJ3191" s="5" t="s">
        <v>240</v>
      </c>
      <c r="GK3191" s="5" t="s">
        <v>240</v>
      </c>
      <c r="GL3191" s="5" t="s">
        <v>240</v>
      </c>
      <c r="GM3191" s="5" t="s">
        <v>240</v>
      </c>
      <c r="GN3191" s="5" t="s">
        <v>240</v>
      </c>
      <c r="GO3191" s="5" t="s">
        <v>240</v>
      </c>
      <c r="GP3191" s="5" t="s">
        <v>240</v>
      </c>
      <c r="GQ3191" s="5" t="s">
        <v>240</v>
      </c>
      <c r="GR3191" s="5" t="s">
        <v>240</v>
      </c>
      <c r="GS3191" s="5" t="s">
        <v>240</v>
      </c>
      <c r="GT3191" s="5" t="s">
        <v>240</v>
      </c>
      <c r="GU3191" s="5" t="s">
        <v>240</v>
      </c>
      <c r="GV3191" s="5" t="s">
        <v>240</v>
      </c>
      <c r="GW3191" s="5" t="s">
        <v>240</v>
      </c>
      <c r="GX3191" s="5" t="s">
        <v>240</v>
      </c>
      <c r="GY3191" s="5" t="s">
        <v>240</v>
      </c>
      <c r="GZ3191" s="5" t="s">
        <v>240</v>
      </c>
      <c r="HA3191" s="5" t="s">
        <v>240</v>
      </c>
      <c r="HB3191" s="5" t="s">
        <v>240</v>
      </c>
      <c r="HC3191" s="5" t="s">
        <v>240</v>
      </c>
      <c r="HD3191" s="5" t="s">
        <v>240</v>
      </c>
      <c r="HE3191" s="5" t="s">
        <v>240</v>
      </c>
      <c r="HF3191" s="5" t="s">
        <v>240</v>
      </c>
      <c r="HG3191" s="5" t="s">
        <v>240</v>
      </c>
      <c r="HH3191" s="5" t="s">
        <v>240</v>
      </c>
      <c r="HI3191" s="5" t="s">
        <v>240</v>
      </c>
      <c r="HJ3191" s="5" t="s">
        <v>240</v>
      </c>
      <c r="HK3191" s="5" t="s">
        <v>240</v>
      </c>
      <c r="HL3191" s="5" t="s">
        <v>240</v>
      </c>
      <c r="HM3191" s="5" t="s">
        <v>240</v>
      </c>
      <c r="HN3191" s="5" t="s">
        <v>240</v>
      </c>
      <c r="HO3191" s="5" t="s">
        <v>312</v>
      </c>
      <c r="HP3191" s="5" t="s">
        <v>240</v>
      </c>
      <c r="HQ3191" s="5" t="s">
        <v>240</v>
      </c>
      <c r="HR3191" s="5" t="s">
        <v>240</v>
      </c>
      <c r="HS3191" s="5" t="s">
        <v>240</v>
      </c>
      <c r="HT3191" s="5" t="s">
        <v>240</v>
      </c>
      <c r="HU3191" s="5" t="s">
        <v>240</v>
      </c>
      <c r="HV3191" s="5" t="s">
        <v>240</v>
      </c>
      <c r="HW3191" s="5" t="s">
        <v>240</v>
      </c>
      <c r="HX3191" s="5" t="s">
        <v>240</v>
      </c>
      <c r="HY3191" s="5" t="s">
        <v>240</v>
      </c>
      <c r="HZ3191" s="5" t="s">
        <v>240</v>
      </c>
      <c r="IA3191" s="5" t="s">
        <v>240</v>
      </c>
      <c r="IB3191" s="5" t="s">
        <v>240</v>
      </c>
      <c r="IC3191" s="5" t="s">
        <v>240</v>
      </c>
      <c r="ID3191" s="5" t="s">
        <v>240</v>
      </c>
      <c r="IE3191" s="5" t="s">
        <v>240</v>
      </c>
      <c r="IF3191" s="5" t="s">
        <v>240</v>
      </c>
    </row>
    <row r="3192" spans="1:240" x14ac:dyDescent="0.4">
      <c r="A3192" s="5">
        <v>4896</v>
      </c>
      <c r="B3192" s="5">
        <v>1</v>
      </c>
      <c r="C3192" s="5">
        <v>1</v>
      </c>
      <c r="D3192" s="5" t="s">
        <v>810</v>
      </c>
      <c r="E3192" s="5" t="s">
        <v>245</v>
      </c>
      <c r="F3192" s="5" t="s">
        <v>254</v>
      </c>
      <c r="G3192" s="5" t="s">
        <v>240</v>
      </c>
      <c r="H3192" s="6" t="s">
        <v>5286</v>
      </c>
      <c r="I3192" s="5" t="s">
        <v>809</v>
      </c>
      <c r="J3192" s="8">
        <f>68</f>
        <v>68</v>
      </c>
      <c r="K3192" s="5" t="s">
        <v>308</v>
      </c>
      <c r="L3192" s="7">
        <f>516800</f>
        <v>516800</v>
      </c>
      <c r="M3192" s="7">
        <f>516800</f>
        <v>516800</v>
      </c>
      <c r="N3192" s="5" t="s">
        <v>242</v>
      </c>
      <c r="O3192" s="5">
        <v>1</v>
      </c>
      <c r="P3192" s="5" t="s">
        <v>294</v>
      </c>
      <c r="Q3192" s="5" t="s">
        <v>3678</v>
      </c>
      <c r="R3192" s="5" t="s">
        <v>240</v>
      </c>
      <c r="S3192" s="5" t="s">
        <v>240</v>
      </c>
      <c r="T3192" s="5" t="s">
        <v>243</v>
      </c>
      <c r="U3192" s="5" t="s">
        <v>244</v>
      </c>
      <c r="V3192" s="5" t="s">
        <v>240</v>
      </c>
      <c r="W3192" s="5" t="s">
        <v>240</v>
      </c>
      <c r="X3192" s="5" t="s">
        <v>240</v>
      </c>
      <c r="Y3192" s="5" t="s">
        <v>240</v>
      </c>
      <c r="Z3192" s="6" t="s">
        <v>298</v>
      </c>
      <c r="AA3192" s="6" t="s">
        <v>240</v>
      </c>
      <c r="AB3192" s="6" t="s">
        <v>240</v>
      </c>
      <c r="AC3192" s="5" t="s">
        <v>240</v>
      </c>
      <c r="AD3192" s="6" t="s">
        <v>240</v>
      </c>
      <c r="AE3192" s="6" t="s">
        <v>299</v>
      </c>
      <c r="AF3192" s="5" t="s">
        <v>248</v>
      </c>
      <c r="AG3192" s="5" t="s">
        <v>249</v>
      </c>
      <c r="AH3192" s="5" t="s">
        <v>240</v>
      </c>
      <c r="AI3192" s="5" t="s">
        <v>240</v>
      </c>
      <c r="AJ3192" s="5" t="s">
        <v>240</v>
      </c>
      <c r="AK3192" s="5" t="s">
        <v>240</v>
      </c>
      <c r="AL3192" s="5" t="s">
        <v>240</v>
      </c>
      <c r="AM3192" s="5" t="s">
        <v>240</v>
      </c>
      <c r="AN3192" s="5" t="s">
        <v>240</v>
      </c>
      <c r="AO3192" s="5" t="s">
        <v>240</v>
      </c>
      <c r="AP3192" s="6" t="s">
        <v>240</v>
      </c>
      <c r="AQ3192" s="6" t="s">
        <v>240</v>
      </c>
      <c r="AR3192" s="6" t="s">
        <v>240</v>
      </c>
      <c r="AS3192" s="6" t="s">
        <v>240</v>
      </c>
      <c r="AT3192" s="5" t="s">
        <v>240</v>
      </c>
      <c r="AU3192" s="5" t="s">
        <v>729</v>
      </c>
      <c r="AV3192" s="5" t="s">
        <v>729</v>
      </c>
      <c r="AW3192" s="5" t="s">
        <v>251</v>
      </c>
      <c r="AX3192" s="5" t="s">
        <v>252</v>
      </c>
      <c r="AY3192" s="5" t="s">
        <v>253</v>
      </c>
      <c r="AZ3192" s="5" t="s">
        <v>240</v>
      </c>
      <c r="BA3192" s="5" t="s">
        <v>255</v>
      </c>
      <c r="BB3192" s="5" t="s">
        <v>731</v>
      </c>
      <c r="BD3192" s="5" t="s">
        <v>240</v>
      </c>
      <c r="BF3192" s="5" t="s">
        <v>732</v>
      </c>
      <c r="BG3192" s="6" t="s">
        <v>733</v>
      </c>
      <c r="BH3192" s="5" t="s">
        <v>734</v>
      </c>
      <c r="BI3192" s="5" t="s">
        <v>734</v>
      </c>
      <c r="BJ3192" s="5" t="s">
        <v>240</v>
      </c>
      <c r="BK3192" s="7">
        <f>1</f>
        <v>1</v>
      </c>
      <c r="BL3192" s="7">
        <f>1</f>
        <v>1</v>
      </c>
      <c r="BM3192" s="5" t="s">
        <v>258</v>
      </c>
      <c r="BN3192" s="5" t="s">
        <v>259</v>
      </c>
      <c r="BO3192" s="5" t="s">
        <v>240</v>
      </c>
      <c r="BP3192" s="5" t="s">
        <v>240</v>
      </c>
      <c r="BQ3192" s="5" t="s">
        <v>240</v>
      </c>
      <c r="BR3192" s="5" t="s">
        <v>240</v>
      </c>
      <c r="BS3192" s="5" t="s">
        <v>240</v>
      </c>
      <c r="BT3192" s="5" t="s">
        <v>240</v>
      </c>
      <c r="BU3192" s="5" t="s">
        <v>240</v>
      </c>
      <c r="BV3192" s="5" t="s">
        <v>240</v>
      </c>
      <c r="BW3192" s="6" t="s">
        <v>240</v>
      </c>
      <c r="BX3192" s="5" t="s">
        <v>240</v>
      </c>
      <c r="BY3192" s="5" t="s">
        <v>240</v>
      </c>
      <c r="BZ3192" s="5" t="s">
        <v>240</v>
      </c>
      <c r="CA3192" s="5" t="s">
        <v>259</v>
      </c>
      <c r="CB3192" s="5" t="s">
        <v>240</v>
      </c>
      <c r="CC3192" s="5" t="s">
        <v>240</v>
      </c>
      <c r="CD3192" s="5" t="s">
        <v>240</v>
      </c>
      <c r="CE3192" s="5" t="s">
        <v>240</v>
      </c>
      <c r="CF3192" s="5" t="s">
        <v>240</v>
      </c>
      <c r="CG3192" s="5" t="s">
        <v>304</v>
      </c>
      <c r="CH3192" s="5" t="s">
        <v>305</v>
      </c>
      <c r="CI3192" s="5" t="s">
        <v>240</v>
      </c>
      <c r="CK3192" s="5" t="s">
        <v>3681</v>
      </c>
      <c r="CL3192" s="6" t="s">
        <v>261</v>
      </c>
      <c r="CM3192" s="5" t="s">
        <v>262</v>
      </c>
      <c r="CN3192" s="5" t="s">
        <v>263</v>
      </c>
      <c r="CO3192" s="5" t="s">
        <v>264</v>
      </c>
      <c r="CP3192" s="5" t="s">
        <v>240</v>
      </c>
      <c r="CQ3192" s="5">
        <v>0</v>
      </c>
      <c r="CR3192" s="5" t="s">
        <v>735</v>
      </c>
      <c r="CS3192" s="5" t="s">
        <v>307</v>
      </c>
      <c r="CT3192" s="5" t="s">
        <v>307</v>
      </c>
      <c r="CU3192" s="5" t="s">
        <v>260</v>
      </c>
      <c r="CV3192" s="5" t="s">
        <v>612</v>
      </c>
      <c r="CW3192" s="8">
        <f>1</f>
        <v>1</v>
      </c>
      <c r="CX3192" s="7">
        <f>1</f>
        <v>1</v>
      </c>
      <c r="CY3192" s="7">
        <f>0</f>
        <v>0</v>
      </c>
      <c r="DA3192" s="7">
        <f>1</f>
        <v>1</v>
      </c>
      <c r="DB3192" s="7" t="s">
        <v>240</v>
      </c>
      <c r="DC3192" s="5" t="s">
        <v>240</v>
      </c>
      <c r="DD3192" s="5" t="s">
        <v>240</v>
      </c>
      <c r="DE3192" s="5" t="s">
        <v>240</v>
      </c>
      <c r="DF3192" s="5" t="s">
        <v>240</v>
      </c>
      <c r="DG3192" s="7">
        <f>0</f>
        <v>0</v>
      </c>
      <c r="DI3192" s="5" t="s">
        <v>240</v>
      </c>
      <c r="DJ3192" s="5" t="s">
        <v>240</v>
      </c>
      <c r="DK3192" s="5" t="s">
        <v>240</v>
      </c>
      <c r="DL3192" s="5" t="s">
        <v>240</v>
      </c>
      <c r="DM3192" s="5" t="s">
        <v>240</v>
      </c>
      <c r="DN3192" s="5" t="s">
        <v>240</v>
      </c>
      <c r="DO3192" s="7" t="s">
        <v>240</v>
      </c>
      <c r="DP3192" s="5" t="s">
        <v>240</v>
      </c>
      <c r="DQ3192" s="5" t="s">
        <v>240</v>
      </c>
      <c r="DR3192" s="5" t="s">
        <v>731</v>
      </c>
      <c r="DS3192" s="5" t="s">
        <v>731</v>
      </c>
      <c r="DT3192" s="5" t="s">
        <v>240</v>
      </c>
      <c r="DU3192" s="5" t="s">
        <v>240</v>
      </c>
      <c r="DV3192" s="5" t="s">
        <v>3683</v>
      </c>
      <c r="DW3192" s="5" t="s">
        <v>469</v>
      </c>
      <c r="DX3192" s="5" t="s">
        <v>240</v>
      </c>
      <c r="DY3192" s="5" t="s">
        <v>240</v>
      </c>
      <c r="DZ3192" s="5" t="s">
        <v>240</v>
      </c>
      <c r="EA3192" s="5" t="s">
        <v>240</v>
      </c>
      <c r="EB3192" s="5" t="s">
        <v>240</v>
      </c>
      <c r="EC3192" s="5" t="s">
        <v>240</v>
      </c>
      <c r="ED3192" s="5" t="s">
        <v>240</v>
      </c>
      <c r="EE3192" s="5" t="s">
        <v>240</v>
      </c>
      <c r="EF3192" s="5" t="s">
        <v>240</v>
      </c>
      <c r="EG3192" s="5" t="s">
        <v>240</v>
      </c>
      <c r="EH3192" s="5" t="s">
        <v>240</v>
      </c>
      <c r="EI3192" s="5" t="s">
        <v>240</v>
      </c>
      <c r="EJ3192" s="5" t="s">
        <v>240</v>
      </c>
      <c r="EK3192" s="5" t="s">
        <v>240</v>
      </c>
      <c r="EL3192" s="5" t="s">
        <v>240</v>
      </c>
      <c r="EM3192" s="5" t="s">
        <v>240</v>
      </c>
      <c r="EN3192" s="5" t="s">
        <v>240</v>
      </c>
      <c r="EO3192" s="5" t="s">
        <v>240</v>
      </c>
      <c r="EP3192" s="5" t="s">
        <v>240</v>
      </c>
      <c r="EQ3192" s="5" t="s">
        <v>240</v>
      </c>
      <c r="ER3192" s="5" t="s">
        <v>240</v>
      </c>
      <c r="ES3192" s="5" t="s">
        <v>240</v>
      </c>
      <c r="ET3192" s="5" t="s">
        <v>240</v>
      </c>
      <c r="EU3192" s="5" t="s">
        <v>240</v>
      </c>
      <c r="EV3192" s="5" t="s">
        <v>240</v>
      </c>
      <c r="EW3192" s="5" t="s">
        <v>240</v>
      </c>
      <c r="EX3192" s="5" t="s">
        <v>240</v>
      </c>
      <c r="EY3192" s="5" t="s">
        <v>240</v>
      </c>
      <c r="EZ3192" s="5" t="s">
        <v>240</v>
      </c>
      <c r="FA3192" s="5" t="s">
        <v>240</v>
      </c>
      <c r="FB3192" s="5" t="s">
        <v>240</v>
      </c>
      <c r="FC3192" s="5" t="s">
        <v>240</v>
      </c>
      <c r="FD3192" s="5" t="s">
        <v>240</v>
      </c>
      <c r="FE3192" s="5" t="s">
        <v>240</v>
      </c>
      <c r="FF3192" s="5" t="s">
        <v>240</v>
      </c>
      <c r="FG3192" s="5" t="s">
        <v>240</v>
      </c>
      <c r="FH3192" s="5" t="s">
        <v>240</v>
      </c>
      <c r="FI3192" s="5" t="s">
        <v>240</v>
      </c>
      <c r="FJ3192" s="5" t="s">
        <v>240</v>
      </c>
      <c r="FK3192" s="5" t="s">
        <v>240</v>
      </c>
      <c r="FL3192" s="5" t="s">
        <v>240</v>
      </c>
      <c r="FM3192" s="5" t="s">
        <v>240</v>
      </c>
      <c r="FN3192" s="5" t="s">
        <v>240</v>
      </c>
      <c r="FO3192" s="5" t="s">
        <v>240</v>
      </c>
      <c r="FP3192" s="5" t="s">
        <v>240</v>
      </c>
      <c r="FQ3192" s="5" t="s">
        <v>240</v>
      </c>
      <c r="FR3192" s="5" t="s">
        <v>240</v>
      </c>
      <c r="FS3192" s="5" t="s">
        <v>240</v>
      </c>
      <c r="FT3192" s="5" t="s">
        <v>240</v>
      </c>
      <c r="FU3192" s="5" t="s">
        <v>240</v>
      </c>
      <c r="FV3192" s="5" t="s">
        <v>240</v>
      </c>
      <c r="FW3192" s="5" t="s">
        <v>240</v>
      </c>
      <c r="FX3192" s="5" t="s">
        <v>240</v>
      </c>
      <c r="FY3192" s="5" t="s">
        <v>240</v>
      </c>
      <c r="FZ3192" s="5" t="s">
        <v>240</v>
      </c>
      <c r="GA3192" s="5" t="s">
        <v>240</v>
      </c>
      <c r="GB3192" s="5" t="s">
        <v>240</v>
      </c>
      <c r="GC3192" s="5" t="s">
        <v>240</v>
      </c>
      <c r="GD3192" s="5" t="s">
        <v>240</v>
      </c>
      <c r="GE3192" s="5" t="s">
        <v>240</v>
      </c>
      <c r="GF3192" s="5" t="s">
        <v>240</v>
      </c>
      <c r="GG3192" s="5" t="s">
        <v>240</v>
      </c>
      <c r="GH3192" s="5" t="s">
        <v>240</v>
      </c>
      <c r="GI3192" s="5" t="s">
        <v>240</v>
      </c>
      <c r="GJ3192" s="5" t="s">
        <v>240</v>
      </c>
      <c r="GK3192" s="5" t="s">
        <v>240</v>
      </c>
      <c r="GL3192" s="5" t="s">
        <v>240</v>
      </c>
      <c r="GM3192" s="5" t="s">
        <v>240</v>
      </c>
      <c r="GN3192" s="5" t="s">
        <v>240</v>
      </c>
      <c r="GO3192" s="5" t="s">
        <v>240</v>
      </c>
      <c r="GP3192" s="5" t="s">
        <v>240</v>
      </c>
      <c r="GQ3192" s="5" t="s">
        <v>240</v>
      </c>
      <c r="GR3192" s="5" t="s">
        <v>240</v>
      </c>
      <c r="GS3192" s="5" t="s">
        <v>240</v>
      </c>
      <c r="GT3192" s="5" t="s">
        <v>240</v>
      </c>
      <c r="GU3192" s="5" t="s">
        <v>240</v>
      </c>
      <c r="GV3192" s="5" t="s">
        <v>240</v>
      </c>
      <c r="GW3192" s="5" t="s">
        <v>240</v>
      </c>
      <c r="GX3192" s="5" t="s">
        <v>240</v>
      </c>
      <c r="GY3192" s="5" t="s">
        <v>240</v>
      </c>
      <c r="GZ3192" s="5" t="s">
        <v>240</v>
      </c>
      <c r="HA3192" s="5" t="s">
        <v>240</v>
      </c>
      <c r="HB3192" s="5" t="s">
        <v>240</v>
      </c>
      <c r="HC3192" s="5" t="s">
        <v>240</v>
      </c>
      <c r="HD3192" s="5" t="s">
        <v>240</v>
      </c>
      <c r="HE3192" s="5" t="s">
        <v>240</v>
      </c>
      <c r="HF3192" s="5" t="s">
        <v>240</v>
      </c>
      <c r="HG3192" s="5" t="s">
        <v>240</v>
      </c>
      <c r="HH3192" s="5" t="s">
        <v>240</v>
      </c>
      <c r="HI3192" s="5" t="s">
        <v>240</v>
      </c>
      <c r="HJ3192" s="5" t="s">
        <v>240</v>
      </c>
      <c r="HK3192" s="5" t="s">
        <v>240</v>
      </c>
      <c r="HL3192" s="5" t="s">
        <v>240</v>
      </c>
      <c r="HM3192" s="5" t="s">
        <v>240</v>
      </c>
      <c r="HN3192" s="5" t="s">
        <v>240</v>
      </c>
      <c r="HO3192" s="5" t="s">
        <v>312</v>
      </c>
      <c r="HP3192" s="5" t="s">
        <v>240</v>
      </c>
      <c r="HQ3192" s="5" t="s">
        <v>240</v>
      </c>
      <c r="HR3192" s="5" t="s">
        <v>240</v>
      </c>
      <c r="HS3192" s="5" t="s">
        <v>240</v>
      </c>
      <c r="HT3192" s="5" t="s">
        <v>240</v>
      </c>
      <c r="HU3192" s="5" t="s">
        <v>240</v>
      </c>
      <c r="HV3192" s="5" t="s">
        <v>240</v>
      </c>
      <c r="HW3192" s="5" t="s">
        <v>240</v>
      </c>
      <c r="HX3192" s="5" t="s">
        <v>240</v>
      </c>
      <c r="HY3192" s="5" t="s">
        <v>240</v>
      </c>
      <c r="HZ3192" s="5" t="s">
        <v>240</v>
      </c>
      <c r="IA3192" s="5" t="s">
        <v>240</v>
      </c>
      <c r="IB3192" s="5" t="s">
        <v>240</v>
      </c>
      <c r="IC3192" s="5" t="s">
        <v>240</v>
      </c>
      <c r="ID3192" s="5" t="s">
        <v>240</v>
      </c>
      <c r="IE3192" s="5" t="s">
        <v>240</v>
      </c>
      <c r="IF3192" s="5" t="s">
        <v>240</v>
      </c>
    </row>
    <row r="3193" spans="1:240" x14ac:dyDescent="0.4">
      <c r="A3193" s="5">
        <v>4897</v>
      </c>
      <c r="B3193" s="5">
        <v>1</v>
      </c>
      <c r="C3193" s="5">
        <v>1</v>
      </c>
      <c r="D3193" s="5" t="s">
        <v>810</v>
      </c>
      <c r="E3193" s="5" t="s">
        <v>245</v>
      </c>
      <c r="F3193" s="5" t="s">
        <v>254</v>
      </c>
      <c r="G3193" s="5" t="s">
        <v>240</v>
      </c>
      <c r="H3193" s="6" t="s">
        <v>5288</v>
      </c>
      <c r="I3193" s="5" t="s">
        <v>809</v>
      </c>
      <c r="J3193" s="8">
        <f>617</f>
        <v>617</v>
      </c>
      <c r="K3193" s="5" t="s">
        <v>308</v>
      </c>
      <c r="L3193" s="7">
        <f>4689200</f>
        <v>4689200</v>
      </c>
      <c r="M3193" s="7">
        <f>4689200</f>
        <v>4689200</v>
      </c>
      <c r="N3193" s="5" t="s">
        <v>242</v>
      </c>
      <c r="O3193" s="5">
        <v>1</v>
      </c>
      <c r="P3193" s="5" t="s">
        <v>294</v>
      </c>
      <c r="Q3193" s="5" t="s">
        <v>3678</v>
      </c>
      <c r="R3193" s="5" t="s">
        <v>240</v>
      </c>
      <c r="S3193" s="5" t="s">
        <v>240</v>
      </c>
      <c r="T3193" s="5" t="s">
        <v>243</v>
      </c>
      <c r="U3193" s="5" t="s">
        <v>244</v>
      </c>
      <c r="V3193" s="5" t="s">
        <v>240</v>
      </c>
      <c r="W3193" s="5" t="s">
        <v>240</v>
      </c>
      <c r="X3193" s="5" t="s">
        <v>240</v>
      </c>
      <c r="Y3193" s="5" t="s">
        <v>240</v>
      </c>
      <c r="Z3193" s="6" t="s">
        <v>298</v>
      </c>
      <c r="AA3193" s="6" t="s">
        <v>240</v>
      </c>
      <c r="AB3193" s="6" t="s">
        <v>240</v>
      </c>
      <c r="AC3193" s="5" t="s">
        <v>240</v>
      </c>
      <c r="AD3193" s="6" t="s">
        <v>240</v>
      </c>
      <c r="AE3193" s="6" t="s">
        <v>299</v>
      </c>
      <c r="AF3193" s="5" t="s">
        <v>248</v>
      </c>
      <c r="AG3193" s="5" t="s">
        <v>249</v>
      </c>
      <c r="AH3193" s="5" t="s">
        <v>240</v>
      </c>
      <c r="AI3193" s="5" t="s">
        <v>240</v>
      </c>
      <c r="AJ3193" s="5" t="s">
        <v>240</v>
      </c>
      <c r="AK3193" s="5" t="s">
        <v>240</v>
      </c>
      <c r="AL3193" s="5" t="s">
        <v>240</v>
      </c>
      <c r="AM3193" s="5" t="s">
        <v>240</v>
      </c>
      <c r="AN3193" s="5" t="s">
        <v>240</v>
      </c>
      <c r="AO3193" s="5" t="s">
        <v>240</v>
      </c>
      <c r="AP3193" s="6" t="s">
        <v>240</v>
      </c>
      <c r="AQ3193" s="6" t="s">
        <v>240</v>
      </c>
      <c r="AR3193" s="6" t="s">
        <v>240</v>
      </c>
      <c r="AS3193" s="6" t="s">
        <v>240</v>
      </c>
      <c r="AT3193" s="5" t="s">
        <v>240</v>
      </c>
      <c r="AU3193" s="5" t="s">
        <v>729</v>
      </c>
      <c r="AV3193" s="5" t="s">
        <v>729</v>
      </c>
      <c r="AW3193" s="5" t="s">
        <v>251</v>
      </c>
      <c r="AX3193" s="5" t="s">
        <v>252</v>
      </c>
      <c r="AY3193" s="5" t="s">
        <v>253</v>
      </c>
      <c r="AZ3193" s="5" t="s">
        <v>240</v>
      </c>
      <c r="BA3193" s="5" t="s">
        <v>255</v>
      </c>
      <c r="BB3193" s="5" t="s">
        <v>731</v>
      </c>
      <c r="BD3193" s="5" t="s">
        <v>240</v>
      </c>
      <c r="BF3193" s="5" t="s">
        <v>732</v>
      </c>
      <c r="BG3193" s="6" t="s">
        <v>733</v>
      </c>
      <c r="BH3193" s="5" t="s">
        <v>734</v>
      </c>
      <c r="BI3193" s="5" t="s">
        <v>734</v>
      </c>
      <c r="BJ3193" s="5" t="s">
        <v>240</v>
      </c>
      <c r="BK3193" s="7">
        <f>1</f>
        <v>1</v>
      </c>
      <c r="BL3193" s="7">
        <f>1</f>
        <v>1</v>
      </c>
      <c r="BM3193" s="5" t="s">
        <v>258</v>
      </c>
      <c r="BN3193" s="5" t="s">
        <v>259</v>
      </c>
      <c r="BO3193" s="5" t="s">
        <v>240</v>
      </c>
      <c r="BP3193" s="5" t="s">
        <v>240</v>
      </c>
      <c r="BQ3193" s="5" t="s">
        <v>240</v>
      </c>
      <c r="BR3193" s="5" t="s">
        <v>240</v>
      </c>
      <c r="BS3193" s="5" t="s">
        <v>240</v>
      </c>
      <c r="BT3193" s="5" t="s">
        <v>240</v>
      </c>
      <c r="BU3193" s="5" t="s">
        <v>240</v>
      </c>
      <c r="BV3193" s="5" t="s">
        <v>240</v>
      </c>
      <c r="BW3193" s="6" t="s">
        <v>240</v>
      </c>
      <c r="BX3193" s="5" t="s">
        <v>240</v>
      </c>
      <c r="BY3193" s="5" t="s">
        <v>240</v>
      </c>
      <c r="BZ3193" s="5" t="s">
        <v>240</v>
      </c>
      <c r="CA3193" s="5" t="s">
        <v>259</v>
      </c>
      <c r="CB3193" s="5" t="s">
        <v>240</v>
      </c>
      <c r="CC3193" s="5" t="s">
        <v>240</v>
      </c>
      <c r="CD3193" s="5" t="s">
        <v>240</v>
      </c>
      <c r="CE3193" s="5" t="s">
        <v>240</v>
      </c>
      <c r="CF3193" s="5" t="s">
        <v>240</v>
      </c>
      <c r="CG3193" s="5" t="s">
        <v>304</v>
      </c>
      <c r="CH3193" s="5" t="s">
        <v>305</v>
      </c>
      <c r="CI3193" s="5" t="s">
        <v>240</v>
      </c>
      <c r="CK3193" s="5" t="s">
        <v>3681</v>
      </c>
      <c r="CL3193" s="6" t="s">
        <v>261</v>
      </c>
      <c r="CM3193" s="5" t="s">
        <v>262</v>
      </c>
      <c r="CN3193" s="5" t="s">
        <v>263</v>
      </c>
      <c r="CO3193" s="5" t="s">
        <v>264</v>
      </c>
      <c r="CP3193" s="5" t="s">
        <v>240</v>
      </c>
      <c r="CQ3193" s="5">
        <v>0</v>
      </c>
      <c r="CR3193" s="5" t="s">
        <v>735</v>
      </c>
      <c r="CS3193" s="5" t="s">
        <v>307</v>
      </c>
      <c r="CT3193" s="5" t="s">
        <v>307</v>
      </c>
      <c r="CU3193" s="5" t="s">
        <v>260</v>
      </c>
      <c r="CV3193" s="5" t="s">
        <v>612</v>
      </c>
      <c r="CW3193" s="8">
        <f>1</f>
        <v>1</v>
      </c>
      <c r="CX3193" s="7">
        <f>1</f>
        <v>1</v>
      </c>
      <c r="CY3193" s="7">
        <f>0</f>
        <v>0</v>
      </c>
      <c r="DA3193" s="7">
        <f>1</f>
        <v>1</v>
      </c>
      <c r="DB3193" s="7" t="s">
        <v>240</v>
      </c>
      <c r="DC3193" s="5" t="s">
        <v>240</v>
      </c>
      <c r="DD3193" s="5" t="s">
        <v>240</v>
      </c>
      <c r="DE3193" s="5" t="s">
        <v>240</v>
      </c>
      <c r="DF3193" s="5" t="s">
        <v>240</v>
      </c>
      <c r="DG3193" s="7">
        <f>0</f>
        <v>0</v>
      </c>
      <c r="DI3193" s="5" t="s">
        <v>240</v>
      </c>
      <c r="DJ3193" s="5" t="s">
        <v>240</v>
      </c>
      <c r="DK3193" s="5" t="s">
        <v>240</v>
      </c>
      <c r="DL3193" s="5" t="s">
        <v>240</v>
      </c>
      <c r="DM3193" s="5" t="s">
        <v>240</v>
      </c>
      <c r="DN3193" s="5" t="s">
        <v>240</v>
      </c>
      <c r="DO3193" s="7" t="s">
        <v>240</v>
      </c>
      <c r="DP3193" s="5" t="s">
        <v>240</v>
      </c>
      <c r="DQ3193" s="5" t="s">
        <v>240</v>
      </c>
      <c r="DR3193" s="5" t="s">
        <v>731</v>
      </c>
      <c r="DS3193" s="5" t="s">
        <v>731</v>
      </c>
      <c r="DT3193" s="5" t="s">
        <v>240</v>
      </c>
      <c r="DU3193" s="5" t="s">
        <v>240</v>
      </c>
      <c r="DV3193" s="5" t="s">
        <v>3683</v>
      </c>
      <c r="DW3193" s="5" t="s">
        <v>1124</v>
      </c>
      <c r="DX3193" s="5" t="s">
        <v>240</v>
      </c>
      <c r="DY3193" s="5" t="s">
        <v>240</v>
      </c>
      <c r="DZ3193" s="5" t="s">
        <v>240</v>
      </c>
      <c r="EA3193" s="5" t="s">
        <v>240</v>
      </c>
      <c r="EB3193" s="5" t="s">
        <v>240</v>
      </c>
      <c r="EC3193" s="5" t="s">
        <v>240</v>
      </c>
      <c r="ED3193" s="5" t="s">
        <v>240</v>
      </c>
      <c r="EE3193" s="5" t="s">
        <v>240</v>
      </c>
      <c r="EF3193" s="5" t="s">
        <v>240</v>
      </c>
      <c r="EG3193" s="5" t="s">
        <v>240</v>
      </c>
      <c r="EH3193" s="5" t="s">
        <v>240</v>
      </c>
      <c r="EI3193" s="5" t="s">
        <v>240</v>
      </c>
      <c r="EJ3193" s="5" t="s">
        <v>240</v>
      </c>
      <c r="EK3193" s="5" t="s">
        <v>240</v>
      </c>
      <c r="EL3193" s="5" t="s">
        <v>240</v>
      </c>
      <c r="EM3193" s="5" t="s">
        <v>240</v>
      </c>
      <c r="EN3193" s="5" t="s">
        <v>240</v>
      </c>
      <c r="EO3193" s="5" t="s">
        <v>240</v>
      </c>
      <c r="EP3193" s="5" t="s">
        <v>240</v>
      </c>
      <c r="EQ3193" s="5" t="s">
        <v>240</v>
      </c>
      <c r="ER3193" s="5" t="s">
        <v>240</v>
      </c>
      <c r="ES3193" s="5" t="s">
        <v>240</v>
      </c>
      <c r="ET3193" s="5" t="s">
        <v>240</v>
      </c>
      <c r="EU3193" s="5" t="s">
        <v>240</v>
      </c>
      <c r="EV3193" s="5" t="s">
        <v>240</v>
      </c>
      <c r="EW3193" s="5" t="s">
        <v>240</v>
      </c>
      <c r="EX3193" s="5" t="s">
        <v>240</v>
      </c>
      <c r="EY3193" s="5" t="s">
        <v>240</v>
      </c>
      <c r="EZ3193" s="5" t="s">
        <v>240</v>
      </c>
      <c r="FA3193" s="5" t="s">
        <v>240</v>
      </c>
      <c r="FB3193" s="5" t="s">
        <v>240</v>
      </c>
      <c r="FC3193" s="5" t="s">
        <v>240</v>
      </c>
      <c r="FD3193" s="5" t="s">
        <v>240</v>
      </c>
      <c r="FE3193" s="5" t="s">
        <v>240</v>
      </c>
      <c r="FF3193" s="5" t="s">
        <v>240</v>
      </c>
      <c r="FG3193" s="5" t="s">
        <v>240</v>
      </c>
      <c r="FH3193" s="5" t="s">
        <v>240</v>
      </c>
      <c r="FI3193" s="5" t="s">
        <v>240</v>
      </c>
      <c r="FJ3193" s="5" t="s">
        <v>240</v>
      </c>
      <c r="FK3193" s="5" t="s">
        <v>240</v>
      </c>
      <c r="FL3193" s="5" t="s">
        <v>240</v>
      </c>
      <c r="FM3193" s="5" t="s">
        <v>240</v>
      </c>
      <c r="FN3193" s="5" t="s">
        <v>240</v>
      </c>
      <c r="FO3193" s="5" t="s">
        <v>240</v>
      </c>
      <c r="FP3193" s="5" t="s">
        <v>240</v>
      </c>
      <c r="FQ3193" s="5" t="s">
        <v>240</v>
      </c>
      <c r="FR3193" s="5" t="s">
        <v>240</v>
      </c>
      <c r="FS3193" s="5" t="s">
        <v>240</v>
      </c>
      <c r="FT3193" s="5" t="s">
        <v>240</v>
      </c>
      <c r="FU3193" s="5" t="s">
        <v>240</v>
      </c>
      <c r="FV3193" s="5" t="s">
        <v>240</v>
      </c>
      <c r="FW3193" s="5" t="s">
        <v>240</v>
      </c>
      <c r="FX3193" s="5" t="s">
        <v>240</v>
      </c>
      <c r="FY3193" s="5" t="s">
        <v>240</v>
      </c>
      <c r="FZ3193" s="5" t="s">
        <v>240</v>
      </c>
      <c r="GA3193" s="5" t="s">
        <v>240</v>
      </c>
      <c r="GB3193" s="5" t="s">
        <v>240</v>
      </c>
      <c r="GC3193" s="5" t="s">
        <v>240</v>
      </c>
      <c r="GD3193" s="5" t="s">
        <v>240</v>
      </c>
      <c r="GE3193" s="5" t="s">
        <v>240</v>
      </c>
      <c r="GF3193" s="5" t="s">
        <v>240</v>
      </c>
      <c r="GG3193" s="5" t="s">
        <v>240</v>
      </c>
      <c r="GH3193" s="5" t="s">
        <v>240</v>
      </c>
      <c r="GI3193" s="5" t="s">
        <v>240</v>
      </c>
      <c r="GJ3193" s="5" t="s">
        <v>240</v>
      </c>
      <c r="GK3193" s="5" t="s">
        <v>240</v>
      </c>
      <c r="GL3193" s="5" t="s">
        <v>240</v>
      </c>
      <c r="GM3193" s="5" t="s">
        <v>240</v>
      </c>
      <c r="GN3193" s="5" t="s">
        <v>240</v>
      </c>
      <c r="GO3193" s="5" t="s">
        <v>240</v>
      </c>
      <c r="GP3193" s="5" t="s">
        <v>240</v>
      </c>
      <c r="GQ3193" s="5" t="s">
        <v>240</v>
      </c>
      <c r="GR3193" s="5" t="s">
        <v>240</v>
      </c>
      <c r="GS3193" s="5" t="s">
        <v>240</v>
      </c>
      <c r="GT3193" s="5" t="s">
        <v>240</v>
      </c>
      <c r="GU3193" s="5" t="s">
        <v>240</v>
      </c>
      <c r="GV3193" s="5" t="s">
        <v>240</v>
      </c>
      <c r="GW3193" s="5" t="s">
        <v>240</v>
      </c>
      <c r="GX3193" s="5" t="s">
        <v>240</v>
      </c>
      <c r="GY3193" s="5" t="s">
        <v>240</v>
      </c>
      <c r="GZ3193" s="5" t="s">
        <v>240</v>
      </c>
      <c r="HA3193" s="5" t="s">
        <v>240</v>
      </c>
      <c r="HB3193" s="5" t="s">
        <v>240</v>
      </c>
      <c r="HC3193" s="5" t="s">
        <v>240</v>
      </c>
      <c r="HD3193" s="5" t="s">
        <v>240</v>
      </c>
      <c r="HE3193" s="5" t="s">
        <v>240</v>
      </c>
      <c r="HF3193" s="5" t="s">
        <v>240</v>
      </c>
      <c r="HG3193" s="5" t="s">
        <v>240</v>
      </c>
      <c r="HH3193" s="5" t="s">
        <v>240</v>
      </c>
      <c r="HI3193" s="5" t="s">
        <v>240</v>
      </c>
      <c r="HJ3193" s="5" t="s">
        <v>240</v>
      </c>
      <c r="HK3193" s="5" t="s">
        <v>240</v>
      </c>
      <c r="HL3193" s="5" t="s">
        <v>240</v>
      </c>
      <c r="HM3193" s="5" t="s">
        <v>240</v>
      </c>
      <c r="HN3193" s="5" t="s">
        <v>240</v>
      </c>
      <c r="HO3193" s="5" t="s">
        <v>312</v>
      </c>
      <c r="HP3193" s="5" t="s">
        <v>240</v>
      </c>
      <c r="HQ3193" s="5" t="s">
        <v>240</v>
      </c>
      <c r="HR3193" s="5" t="s">
        <v>240</v>
      </c>
      <c r="HS3193" s="5" t="s">
        <v>240</v>
      </c>
      <c r="HT3193" s="5" t="s">
        <v>240</v>
      </c>
      <c r="HU3193" s="5" t="s">
        <v>240</v>
      </c>
      <c r="HV3193" s="5" t="s">
        <v>240</v>
      </c>
      <c r="HW3193" s="5" t="s">
        <v>240</v>
      </c>
      <c r="HX3193" s="5" t="s">
        <v>240</v>
      </c>
      <c r="HY3193" s="5" t="s">
        <v>240</v>
      </c>
      <c r="HZ3193" s="5" t="s">
        <v>240</v>
      </c>
      <c r="IA3193" s="5" t="s">
        <v>240</v>
      </c>
      <c r="IB3193" s="5" t="s">
        <v>240</v>
      </c>
      <c r="IC3193" s="5" t="s">
        <v>240</v>
      </c>
      <c r="ID3193" s="5" t="s">
        <v>240</v>
      </c>
      <c r="IE3193" s="5" t="s">
        <v>240</v>
      </c>
      <c r="IF3193" s="5" t="s">
        <v>240</v>
      </c>
    </row>
    <row r="3194" spans="1:240" x14ac:dyDescent="0.4">
      <c r="A3194" s="5">
        <v>4898</v>
      </c>
      <c r="B3194" s="5">
        <v>1</v>
      </c>
      <c r="C3194" s="5">
        <v>1</v>
      </c>
      <c r="D3194" s="5" t="s">
        <v>810</v>
      </c>
      <c r="E3194" s="5" t="s">
        <v>245</v>
      </c>
      <c r="F3194" s="5" t="s">
        <v>254</v>
      </c>
      <c r="G3194" s="5" t="s">
        <v>240</v>
      </c>
      <c r="H3194" s="6" t="s">
        <v>5291</v>
      </c>
      <c r="I3194" s="5" t="s">
        <v>809</v>
      </c>
      <c r="J3194" s="8">
        <f>7.29</f>
        <v>7.29</v>
      </c>
      <c r="K3194" s="5" t="s">
        <v>308</v>
      </c>
      <c r="L3194" s="7">
        <f>204</f>
        <v>204</v>
      </c>
      <c r="M3194" s="7">
        <f>204</f>
        <v>204</v>
      </c>
      <c r="N3194" s="5" t="s">
        <v>242</v>
      </c>
      <c r="O3194" s="5">
        <v>1</v>
      </c>
      <c r="P3194" s="5" t="s">
        <v>294</v>
      </c>
      <c r="Q3194" s="5" t="s">
        <v>266</v>
      </c>
      <c r="R3194" s="5" t="s">
        <v>240</v>
      </c>
      <c r="S3194" s="5" t="s">
        <v>240</v>
      </c>
      <c r="T3194" s="5" t="s">
        <v>296</v>
      </c>
      <c r="U3194" s="5" t="s">
        <v>244</v>
      </c>
      <c r="V3194" s="5" t="s">
        <v>240</v>
      </c>
      <c r="Y3194" s="5" t="s">
        <v>240</v>
      </c>
      <c r="Z3194" s="6" t="s">
        <v>298</v>
      </c>
      <c r="AB3194" s="6" t="s">
        <v>240</v>
      </c>
      <c r="AE3194" s="6" t="s">
        <v>299</v>
      </c>
      <c r="AF3194" s="5" t="s">
        <v>248</v>
      </c>
      <c r="AG3194" s="5" t="s">
        <v>249</v>
      </c>
      <c r="AW3194" s="5" t="s">
        <v>251</v>
      </c>
      <c r="AX3194" s="5" t="s">
        <v>240</v>
      </c>
      <c r="AY3194" s="5" t="s">
        <v>253</v>
      </c>
      <c r="AZ3194" s="5" t="s">
        <v>240</v>
      </c>
      <c r="BA3194" s="5" t="s">
        <v>255</v>
      </c>
      <c r="BB3194" s="5" t="s">
        <v>240</v>
      </c>
      <c r="BD3194" s="5" t="s">
        <v>240</v>
      </c>
      <c r="BF3194" s="5" t="s">
        <v>301</v>
      </c>
      <c r="BG3194" s="6" t="s">
        <v>299</v>
      </c>
      <c r="BH3194" s="5" t="s">
        <v>302</v>
      </c>
      <c r="BI3194" s="5" t="s">
        <v>303</v>
      </c>
      <c r="BJ3194" s="5" t="s">
        <v>240</v>
      </c>
      <c r="BK3194" s="8">
        <f>0</f>
        <v>0</v>
      </c>
      <c r="BL3194" s="7">
        <f>0</f>
        <v>0</v>
      </c>
      <c r="BM3194" s="5" t="s">
        <v>258</v>
      </c>
      <c r="BN3194" s="5" t="s">
        <v>259</v>
      </c>
      <c r="CB3194" s="5" t="s">
        <v>240</v>
      </c>
      <c r="CC3194" s="5" t="s">
        <v>240</v>
      </c>
      <c r="CG3194" s="5" t="s">
        <v>304</v>
      </c>
      <c r="CH3194" s="5" t="s">
        <v>305</v>
      </c>
      <c r="CI3194" s="5" t="s">
        <v>240</v>
      </c>
      <c r="CL3194" s="6" t="s">
        <v>261</v>
      </c>
      <c r="CM3194" s="5" t="s">
        <v>240</v>
      </c>
      <c r="CN3194" s="5" t="s">
        <v>263</v>
      </c>
      <c r="CO3194" s="5" t="s">
        <v>240</v>
      </c>
      <c r="CP3194" s="5" t="s">
        <v>240</v>
      </c>
      <c r="CQ3194" s="5">
        <v>0</v>
      </c>
      <c r="CR3194" s="5" t="s">
        <v>306</v>
      </c>
      <c r="CS3194" s="5" t="s">
        <v>307</v>
      </c>
      <c r="CT3194" s="5" t="s">
        <v>307</v>
      </c>
      <c r="CU3194" s="5" t="s">
        <v>260</v>
      </c>
      <c r="CX3194" s="7">
        <f>1</f>
        <v>1</v>
      </c>
      <c r="CY3194" s="7">
        <f>0</f>
        <v>0</v>
      </c>
      <c r="DA3194" s="7">
        <f>0</f>
        <v>0</v>
      </c>
      <c r="DC3194" s="5" t="s">
        <v>309</v>
      </c>
      <c r="DD3194" s="5" t="s">
        <v>240</v>
      </c>
      <c r="DF3194" s="5" t="s">
        <v>309</v>
      </c>
      <c r="DG3194" s="7">
        <f>97</f>
        <v>97</v>
      </c>
      <c r="DI3194" s="5" t="s">
        <v>240</v>
      </c>
      <c r="DJ3194" s="5" t="s">
        <v>240</v>
      </c>
      <c r="DK3194" s="5" t="s">
        <v>240</v>
      </c>
      <c r="DL3194" s="5" t="s">
        <v>240</v>
      </c>
      <c r="DP3194" s="5" t="s">
        <v>240</v>
      </c>
      <c r="DQ3194" s="5" t="s">
        <v>240</v>
      </c>
      <c r="DR3194" s="5" t="s">
        <v>240</v>
      </c>
      <c r="DS3194" s="5" t="s">
        <v>240</v>
      </c>
      <c r="DV3194" s="5" t="s">
        <v>310</v>
      </c>
      <c r="DW3194" s="5" t="s">
        <v>2849</v>
      </c>
      <c r="HO3194" s="5" t="s">
        <v>312</v>
      </c>
    </row>
    <row r="3195" spans="1:240" x14ac:dyDescent="0.4">
      <c r="A3195" s="5">
        <v>4899</v>
      </c>
      <c r="B3195" s="5">
        <v>1</v>
      </c>
      <c r="C3195" s="5">
        <v>2</v>
      </c>
      <c r="D3195" s="5" t="s">
        <v>297</v>
      </c>
      <c r="E3195" s="5" t="s">
        <v>245</v>
      </c>
      <c r="F3195" s="5" t="s">
        <v>254</v>
      </c>
      <c r="G3195" s="5" t="s">
        <v>6829</v>
      </c>
      <c r="H3195" s="6" t="s">
        <v>6830</v>
      </c>
      <c r="I3195" s="5" t="s">
        <v>5279</v>
      </c>
      <c r="J3195" s="8">
        <f>0</f>
        <v>0</v>
      </c>
      <c r="K3195" s="5" t="s">
        <v>308</v>
      </c>
      <c r="L3195" s="7">
        <f>224999</f>
        <v>224999</v>
      </c>
      <c r="M3195" s="7">
        <f>224999</f>
        <v>224999</v>
      </c>
      <c r="N3195" s="5" t="s">
        <v>242</v>
      </c>
      <c r="O3195" s="5">
        <v>1</v>
      </c>
      <c r="P3195" s="5" t="s">
        <v>294</v>
      </c>
      <c r="Q3195" s="5" t="s">
        <v>3678</v>
      </c>
      <c r="R3195" s="5" t="s">
        <v>240</v>
      </c>
      <c r="S3195" s="5" t="s">
        <v>240</v>
      </c>
      <c r="T3195" s="5" t="s">
        <v>243</v>
      </c>
      <c r="U3195" s="5" t="s">
        <v>244</v>
      </c>
      <c r="V3195" s="5" t="s">
        <v>240</v>
      </c>
      <c r="W3195" s="5" t="s">
        <v>240</v>
      </c>
      <c r="X3195" s="5" t="s">
        <v>240</v>
      </c>
      <c r="Y3195" s="5" t="s">
        <v>240</v>
      </c>
      <c r="Z3195" s="6" t="s">
        <v>298</v>
      </c>
      <c r="AA3195" s="6" t="s">
        <v>240</v>
      </c>
      <c r="AB3195" s="6" t="s">
        <v>240</v>
      </c>
      <c r="AC3195" s="5" t="s">
        <v>240</v>
      </c>
      <c r="AD3195" s="6" t="s">
        <v>240</v>
      </c>
      <c r="AE3195" s="6" t="s">
        <v>299</v>
      </c>
      <c r="AF3195" s="5" t="s">
        <v>248</v>
      </c>
      <c r="AG3195" s="5" t="s">
        <v>249</v>
      </c>
      <c r="AH3195" s="5" t="s">
        <v>240</v>
      </c>
      <c r="AI3195" s="5" t="s">
        <v>240</v>
      </c>
      <c r="AJ3195" s="5" t="s">
        <v>240</v>
      </c>
      <c r="AK3195" s="5" t="s">
        <v>240</v>
      </c>
      <c r="AL3195" s="5" t="s">
        <v>240</v>
      </c>
      <c r="AM3195" s="5" t="s">
        <v>240</v>
      </c>
      <c r="AN3195" s="5" t="s">
        <v>240</v>
      </c>
      <c r="AO3195" s="5" t="s">
        <v>240</v>
      </c>
      <c r="AP3195" s="6" t="s">
        <v>240</v>
      </c>
      <c r="AQ3195" s="6" t="s">
        <v>240</v>
      </c>
      <c r="AR3195" s="6" t="s">
        <v>240</v>
      </c>
      <c r="AS3195" s="6" t="s">
        <v>240</v>
      </c>
      <c r="AT3195" s="5" t="s">
        <v>240</v>
      </c>
      <c r="AU3195" s="5" t="s">
        <v>729</v>
      </c>
      <c r="AV3195" s="5" t="s">
        <v>729</v>
      </c>
      <c r="AW3195" s="5" t="s">
        <v>251</v>
      </c>
      <c r="AX3195" s="5" t="s">
        <v>252</v>
      </c>
      <c r="AY3195" s="5" t="s">
        <v>253</v>
      </c>
      <c r="AZ3195" s="5" t="s">
        <v>240</v>
      </c>
      <c r="BA3195" s="5" t="s">
        <v>255</v>
      </c>
      <c r="BB3195" s="5" t="s">
        <v>731</v>
      </c>
      <c r="BD3195" s="5" t="s">
        <v>240</v>
      </c>
      <c r="BF3195" s="5" t="s">
        <v>732</v>
      </c>
      <c r="BG3195" s="6" t="s">
        <v>733</v>
      </c>
      <c r="BH3195" s="5" t="s">
        <v>734</v>
      </c>
      <c r="BI3195" s="5" t="s">
        <v>734</v>
      </c>
      <c r="BJ3195" s="5" t="s">
        <v>240</v>
      </c>
      <c r="BK3195" s="7">
        <f>1</f>
        <v>1</v>
      </c>
      <c r="BL3195" s="7">
        <f>1</f>
        <v>1</v>
      </c>
      <c r="BM3195" s="5" t="s">
        <v>258</v>
      </c>
      <c r="BN3195" s="5" t="s">
        <v>259</v>
      </c>
      <c r="BO3195" s="5" t="s">
        <v>240</v>
      </c>
      <c r="BP3195" s="5" t="s">
        <v>240</v>
      </c>
      <c r="BQ3195" s="5" t="s">
        <v>240</v>
      </c>
      <c r="BR3195" s="5" t="s">
        <v>240</v>
      </c>
      <c r="BS3195" s="5" t="s">
        <v>240</v>
      </c>
      <c r="BT3195" s="5" t="s">
        <v>240</v>
      </c>
      <c r="BU3195" s="5" t="s">
        <v>240</v>
      </c>
      <c r="BV3195" s="5" t="s">
        <v>240</v>
      </c>
      <c r="BW3195" s="6" t="s">
        <v>240</v>
      </c>
      <c r="BX3195" s="5" t="s">
        <v>240</v>
      </c>
      <c r="BY3195" s="5" t="s">
        <v>240</v>
      </c>
      <c r="BZ3195" s="5" t="s">
        <v>240</v>
      </c>
      <c r="CA3195" s="5" t="s">
        <v>259</v>
      </c>
      <c r="CB3195" s="5" t="s">
        <v>240</v>
      </c>
      <c r="CC3195" s="5" t="s">
        <v>240</v>
      </c>
      <c r="CD3195" s="5" t="s">
        <v>240</v>
      </c>
      <c r="CE3195" s="5" t="s">
        <v>240</v>
      </c>
      <c r="CF3195" s="5" t="s">
        <v>240</v>
      </c>
      <c r="CG3195" s="5" t="s">
        <v>304</v>
      </c>
      <c r="CH3195" s="5" t="s">
        <v>305</v>
      </c>
      <c r="CI3195" s="5" t="s">
        <v>240</v>
      </c>
      <c r="CK3195" s="5" t="s">
        <v>3681</v>
      </c>
      <c r="CL3195" s="6" t="s">
        <v>261</v>
      </c>
      <c r="CM3195" s="5" t="s">
        <v>262</v>
      </c>
      <c r="CN3195" s="5" t="s">
        <v>263</v>
      </c>
      <c r="CO3195" s="5" t="s">
        <v>264</v>
      </c>
      <c r="CP3195" s="5" t="s">
        <v>240</v>
      </c>
      <c r="CQ3195" s="5">
        <v>0</v>
      </c>
      <c r="CR3195" s="5" t="s">
        <v>735</v>
      </c>
      <c r="CS3195" s="5" t="s">
        <v>307</v>
      </c>
      <c r="CT3195" s="5" t="s">
        <v>307</v>
      </c>
      <c r="CU3195" s="5" t="s">
        <v>260</v>
      </c>
      <c r="CV3195" s="5" t="s">
        <v>612</v>
      </c>
      <c r="CW3195" s="8">
        <f>1</f>
        <v>1</v>
      </c>
      <c r="CX3195" s="7">
        <f>1</f>
        <v>1</v>
      </c>
      <c r="CY3195" s="7">
        <f>0</f>
        <v>0</v>
      </c>
      <c r="DA3195" s="7">
        <f>1</f>
        <v>1</v>
      </c>
      <c r="DB3195" s="7" t="s">
        <v>240</v>
      </c>
      <c r="DC3195" s="5" t="s">
        <v>240</v>
      </c>
      <c r="DD3195" s="5" t="s">
        <v>240</v>
      </c>
      <c r="DE3195" s="5" t="s">
        <v>240</v>
      </c>
      <c r="DF3195" s="5" t="s">
        <v>240</v>
      </c>
      <c r="DG3195" s="7">
        <f>0</f>
        <v>0</v>
      </c>
      <c r="DI3195" s="5" t="s">
        <v>240</v>
      </c>
      <c r="DJ3195" s="5" t="s">
        <v>240</v>
      </c>
      <c r="DK3195" s="5" t="s">
        <v>240</v>
      </c>
      <c r="DL3195" s="5" t="s">
        <v>240</v>
      </c>
      <c r="DM3195" s="5" t="s">
        <v>240</v>
      </c>
      <c r="DN3195" s="5" t="s">
        <v>240</v>
      </c>
      <c r="DO3195" s="7" t="s">
        <v>240</v>
      </c>
      <c r="DP3195" s="5" t="s">
        <v>240</v>
      </c>
      <c r="DQ3195" s="5" t="s">
        <v>240</v>
      </c>
      <c r="DR3195" s="5" t="s">
        <v>731</v>
      </c>
      <c r="DS3195" s="5" t="s">
        <v>731</v>
      </c>
      <c r="DT3195" s="5" t="s">
        <v>240</v>
      </c>
      <c r="DU3195" s="5" t="s">
        <v>240</v>
      </c>
      <c r="DV3195" s="5" t="s">
        <v>3683</v>
      </c>
      <c r="DW3195" s="5" t="s">
        <v>488</v>
      </c>
      <c r="DX3195" s="5" t="s">
        <v>240</v>
      </c>
      <c r="DY3195" s="5" t="s">
        <v>240</v>
      </c>
      <c r="DZ3195" s="5" t="s">
        <v>240</v>
      </c>
      <c r="EA3195" s="5" t="s">
        <v>240</v>
      </c>
      <c r="EB3195" s="5" t="s">
        <v>240</v>
      </c>
      <c r="EC3195" s="5" t="s">
        <v>240</v>
      </c>
      <c r="ED3195" s="5" t="s">
        <v>240</v>
      </c>
      <c r="EE3195" s="5" t="s">
        <v>240</v>
      </c>
      <c r="EF3195" s="5" t="s">
        <v>240</v>
      </c>
      <c r="EG3195" s="5" t="s">
        <v>240</v>
      </c>
      <c r="EH3195" s="5" t="s">
        <v>240</v>
      </c>
      <c r="EI3195" s="5" t="s">
        <v>240</v>
      </c>
      <c r="EJ3195" s="5" t="s">
        <v>240</v>
      </c>
      <c r="EK3195" s="5" t="s">
        <v>240</v>
      </c>
      <c r="EL3195" s="5" t="s">
        <v>240</v>
      </c>
      <c r="EM3195" s="5" t="s">
        <v>240</v>
      </c>
      <c r="EN3195" s="5" t="s">
        <v>240</v>
      </c>
      <c r="EO3195" s="5" t="s">
        <v>240</v>
      </c>
      <c r="EP3195" s="5" t="s">
        <v>240</v>
      </c>
      <c r="EQ3195" s="5" t="s">
        <v>240</v>
      </c>
      <c r="ER3195" s="5" t="s">
        <v>240</v>
      </c>
      <c r="ES3195" s="5" t="s">
        <v>240</v>
      </c>
      <c r="ET3195" s="5" t="s">
        <v>240</v>
      </c>
      <c r="EU3195" s="5" t="s">
        <v>240</v>
      </c>
      <c r="EV3195" s="5" t="s">
        <v>240</v>
      </c>
      <c r="EW3195" s="5" t="s">
        <v>240</v>
      </c>
      <c r="EX3195" s="5" t="s">
        <v>240</v>
      </c>
      <c r="EY3195" s="5" t="s">
        <v>240</v>
      </c>
      <c r="EZ3195" s="5" t="s">
        <v>240</v>
      </c>
      <c r="FA3195" s="5" t="s">
        <v>240</v>
      </c>
      <c r="FB3195" s="5" t="s">
        <v>240</v>
      </c>
      <c r="FC3195" s="5" t="s">
        <v>240</v>
      </c>
      <c r="FD3195" s="5" t="s">
        <v>240</v>
      </c>
      <c r="FE3195" s="5" t="s">
        <v>240</v>
      </c>
      <c r="FF3195" s="5" t="s">
        <v>240</v>
      </c>
      <c r="FG3195" s="5" t="s">
        <v>240</v>
      </c>
      <c r="FH3195" s="5" t="s">
        <v>240</v>
      </c>
      <c r="FI3195" s="5" t="s">
        <v>240</v>
      </c>
      <c r="FJ3195" s="5" t="s">
        <v>240</v>
      </c>
      <c r="FK3195" s="5" t="s">
        <v>240</v>
      </c>
      <c r="FL3195" s="5" t="s">
        <v>240</v>
      </c>
      <c r="FM3195" s="5" t="s">
        <v>240</v>
      </c>
      <c r="FN3195" s="5" t="s">
        <v>240</v>
      </c>
      <c r="FO3195" s="5" t="s">
        <v>240</v>
      </c>
      <c r="FP3195" s="5" t="s">
        <v>240</v>
      </c>
      <c r="FQ3195" s="5" t="s">
        <v>240</v>
      </c>
      <c r="FR3195" s="5" t="s">
        <v>240</v>
      </c>
      <c r="FS3195" s="5" t="s">
        <v>240</v>
      </c>
      <c r="FT3195" s="5" t="s">
        <v>240</v>
      </c>
      <c r="FU3195" s="5" t="s">
        <v>240</v>
      </c>
      <c r="FV3195" s="5" t="s">
        <v>240</v>
      </c>
      <c r="FW3195" s="5" t="s">
        <v>240</v>
      </c>
      <c r="FX3195" s="5" t="s">
        <v>240</v>
      </c>
      <c r="FY3195" s="5" t="s">
        <v>240</v>
      </c>
      <c r="FZ3195" s="5" t="s">
        <v>240</v>
      </c>
      <c r="GA3195" s="5" t="s">
        <v>240</v>
      </c>
      <c r="GB3195" s="5" t="s">
        <v>240</v>
      </c>
      <c r="GC3195" s="5" t="s">
        <v>240</v>
      </c>
      <c r="GD3195" s="5" t="s">
        <v>240</v>
      </c>
      <c r="GE3195" s="5" t="s">
        <v>240</v>
      </c>
      <c r="GF3195" s="5" t="s">
        <v>240</v>
      </c>
      <c r="GG3195" s="5" t="s">
        <v>240</v>
      </c>
      <c r="GH3195" s="5" t="s">
        <v>240</v>
      </c>
      <c r="GI3195" s="5" t="s">
        <v>240</v>
      </c>
      <c r="GJ3195" s="5" t="s">
        <v>240</v>
      </c>
      <c r="GK3195" s="5" t="s">
        <v>240</v>
      </c>
      <c r="GL3195" s="5" t="s">
        <v>240</v>
      </c>
      <c r="GM3195" s="5" t="s">
        <v>240</v>
      </c>
      <c r="GN3195" s="5" t="s">
        <v>240</v>
      </c>
      <c r="GO3195" s="5" t="s">
        <v>240</v>
      </c>
      <c r="GP3195" s="5" t="s">
        <v>240</v>
      </c>
      <c r="GQ3195" s="5" t="s">
        <v>240</v>
      </c>
      <c r="GR3195" s="5" t="s">
        <v>240</v>
      </c>
      <c r="GS3195" s="5" t="s">
        <v>240</v>
      </c>
      <c r="GT3195" s="5" t="s">
        <v>240</v>
      </c>
      <c r="GU3195" s="5" t="s">
        <v>240</v>
      </c>
      <c r="GV3195" s="5" t="s">
        <v>240</v>
      </c>
      <c r="GW3195" s="5" t="s">
        <v>240</v>
      </c>
      <c r="GX3195" s="5" t="s">
        <v>240</v>
      </c>
      <c r="GY3195" s="5" t="s">
        <v>240</v>
      </c>
      <c r="GZ3195" s="5" t="s">
        <v>240</v>
      </c>
      <c r="HA3195" s="5" t="s">
        <v>240</v>
      </c>
      <c r="HB3195" s="5" t="s">
        <v>240</v>
      </c>
      <c r="HC3195" s="5" t="s">
        <v>240</v>
      </c>
      <c r="HD3195" s="5" t="s">
        <v>240</v>
      </c>
      <c r="HE3195" s="5" t="s">
        <v>240</v>
      </c>
      <c r="HF3195" s="5" t="s">
        <v>240</v>
      </c>
      <c r="HG3195" s="5" t="s">
        <v>240</v>
      </c>
      <c r="HH3195" s="5" t="s">
        <v>240</v>
      </c>
      <c r="HI3195" s="5" t="s">
        <v>240</v>
      </c>
      <c r="HJ3195" s="5" t="s">
        <v>240</v>
      </c>
      <c r="HK3195" s="5" t="s">
        <v>240</v>
      </c>
      <c r="HL3195" s="5" t="s">
        <v>240</v>
      </c>
      <c r="HM3195" s="5" t="s">
        <v>240</v>
      </c>
      <c r="HN3195" s="5" t="s">
        <v>240</v>
      </c>
      <c r="HO3195" s="5" t="s">
        <v>312</v>
      </c>
      <c r="HP3195" s="5" t="s">
        <v>240</v>
      </c>
      <c r="HQ3195" s="5" t="s">
        <v>240</v>
      </c>
      <c r="HR3195" s="5" t="s">
        <v>240</v>
      </c>
      <c r="HS3195" s="5" t="s">
        <v>240</v>
      </c>
      <c r="HT3195" s="5" t="s">
        <v>240</v>
      </c>
      <c r="HU3195" s="5" t="s">
        <v>240</v>
      </c>
      <c r="HV3195" s="5" t="s">
        <v>240</v>
      </c>
      <c r="HW3195" s="5" t="s">
        <v>240</v>
      </c>
      <c r="HX3195" s="5" t="s">
        <v>240</v>
      </c>
      <c r="HY3195" s="5" t="s">
        <v>240</v>
      </c>
      <c r="HZ3195" s="5" t="s">
        <v>240</v>
      </c>
      <c r="IA3195" s="5" t="s">
        <v>240</v>
      </c>
      <c r="IB3195" s="5" t="s">
        <v>240</v>
      </c>
      <c r="IC3195" s="5" t="s">
        <v>240</v>
      </c>
      <c r="ID3195" s="5" t="s">
        <v>240</v>
      </c>
      <c r="IE3195" s="5" t="s">
        <v>240</v>
      </c>
      <c r="IF3195" s="5" t="s">
        <v>240</v>
      </c>
    </row>
    <row r="3196" spans="1:240" x14ac:dyDescent="0.4">
      <c r="A3196" s="5">
        <v>4900</v>
      </c>
      <c r="B3196" s="5">
        <v>1</v>
      </c>
      <c r="C3196" s="5">
        <v>1</v>
      </c>
      <c r="D3196" s="5" t="s">
        <v>297</v>
      </c>
      <c r="E3196" s="5" t="s">
        <v>245</v>
      </c>
      <c r="F3196" s="5" t="s">
        <v>254</v>
      </c>
      <c r="G3196" s="5" t="s">
        <v>5296</v>
      </c>
      <c r="H3196" s="6" t="s">
        <v>5297</v>
      </c>
      <c r="I3196" s="5" t="s">
        <v>5295</v>
      </c>
      <c r="J3196" s="8">
        <f>13.6</f>
        <v>13.6</v>
      </c>
      <c r="K3196" s="5" t="s">
        <v>308</v>
      </c>
      <c r="L3196" s="7">
        <f>381</f>
        <v>381</v>
      </c>
      <c r="M3196" s="7">
        <f>381</f>
        <v>381</v>
      </c>
      <c r="N3196" s="5" t="s">
        <v>242</v>
      </c>
      <c r="O3196" s="5">
        <v>1</v>
      </c>
      <c r="P3196" s="5" t="s">
        <v>294</v>
      </c>
      <c r="Q3196" s="5" t="s">
        <v>3678</v>
      </c>
      <c r="R3196" s="5" t="s">
        <v>240</v>
      </c>
      <c r="S3196" s="5" t="s">
        <v>240</v>
      </c>
      <c r="T3196" s="5" t="s">
        <v>243</v>
      </c>
      <c r="U3196" s="5" t="s">
        <v>244</v>
      </c>
      <c r="V3196" s="5" t="s">
        <v>240</v>
      </c>
      <c r="W3196" s="5" t="s">
        <v>240</v>
      </c>
      <c r="X3196" s="5" t="s">
        <v>240</v>
      </c>
      <c r="Y3196" s="5" t="s">
        <v>240</v>
      </c>
      <c r="Z3196" s="6" t="s">
        <v>298</v>
      </c>
      <c r="AA3196" s="6" t="s">
        <v>240</v>
      </c>
      <c r="AB3196" s="6" t="s">
        <v>240</v>
      </c>
      <c r="AC3196" s="5" t="s">
        <v>240</v>
      </c>
      <c r="AD3196" s="6" t="s">
        <v>240</v>
      </c>
      <c r="AE3196" s="6" t="s">
        <v>299</v>
      </c>
      <c r="AF3196" s="5" t="s">
        <v>248</v>
      </c>
      <c r="AG3196" s="5" t="s">
        <v>249</v>
      </c>
      <c r="AH3196" s="5" t="s">
        <v>240</v>
      </c>
      <c r="AI3196" s="5" t="s">
        <v>240</v>
      </c>
      <c r="AJ3196" s="5" t="s">
        <v>240</v>
      </c>
      <c r="AK3196" s="5" t="s">
        <v>240</v>
      </c>
      <c r="AL3196" s="5" t="s">
        <v>240</v>
      </c>
      <c r="AM3196" s="5" t="s">
        <v>240</v>
      </c>
      <c r="AN3196" s="5" t="s">
        <v>240</v>
      </c>
      <c r="AO3196" s="5" t="s">
        <v>240</v>
      </c>
      <c r="AP3196" s="6" t="s">
        <v>240</v>
      </c>
      <c r="AQ3196" s="6" t="s">
        <v>240</v>
      </c>
      <c r="AR3196" s="6" t="s">
        <v>240</v>
      </c>
      <c r="AS3196" s="6" t="s">
        <v>240</v>
      </c>
      <c r="AT3196" s="5" t="s">
        <v>240</v>
      </c>
      <c r="AU3196" s="5" t="s">
        <v>729</v>
      </c>
      <c r="AV3196" s="5" t="s">
        <v>729</v>
      </c>
      <c r="AW3196" s="5" t="s">
        <v>251</v>
      </c>
      <c r="AX3196" s="5" t="s">
        <v>252</v>
      </c>
      <c r="AY3196" s="5" t="s">
        <v>253</v>
      </c>
      <c r="AZ3196" s="5" t="s">
        <v>240</v>
      </c>
      <c r="BA3196" s="5" t="s">
        <v>255</v>
      </c>
      <c r="BB3196" s="5" t="s">
        <v>731</v>
      </c>
      <c r="BD3196" s="5" t="s">
        <v>240</v>
      </c>
      <c r="BF3196" s="5" t="s">
        <v>732</v>
      </c>
      <c r="BG3196" s="6" t="s">
        <v>733</v>
      </c>
      <c r="BH3196" s="5" t="s">
        <v>734</v>
      </c>
      <c r="BI3196" s="5" t="s">
        <v>734</v>
      </c>
      <c r="BJ3196" s="5" t="s">
        <v>240</v>
      </c>
      <c r="BK3196" s="7">
        <f>1</f>
        <v>1</v>
      </c>
      <c r="BL3196" s="7">
        <f>1</f>
        <v>1</v>
      </c>
      <c r="BM3196" s="5" t="s">
        <v>258</v>
      </c>
      <c r="BN3196" s="5" t="s">
        <v>259</v>
      </c>
      <c r="BO3196" s="5" t="s">
        <v>240</v>
      </c>
      <c r="BP3196" s="5" t="s">
        <v>240</v>
      </c>
      <c r="BQ3196" s="5" t="s">
        <v>240</v>
      </c>
      <c r="BR3196" s="5" t="s">
        <v>240</v>
      </c>
      <c r="BS3196" s="5" t="s">
        <v>240</v>
      </c>
      <c r="BT3196" s="5" t="s">
        <v>240</v>
      </c>
      <c r="BU3196" s="5" t="s">
        <v>240</v>
      </c>
      <c r="BV3196" s="5" t="s">
        <v>240</v>
      </c>
      <c r="BW3196" s="6" t="s">
        <v>240</v>
      </c>
      <c r="BX3196" s="5" t="s">
        <v>240</v>
      </c>
      <c r="BY3196" s="5" t="s">
        <v>240</v>
      </c>
      <c r="BZ3196" s="5" t="s">
        <v>240</v>
      </c>
      <c r="CA3196" s="5" t="s">
        <v>259</v>
      </c>
      <c r="CB3196" s="5" t="s">
        <v>240</v>
      </c>
      <c r="CC3196" s="5" t="s">
        <v>240</v>
      </c>
      <c r="CD3196" s="5" t="s">
        <v>240</v>
      </c>
      <c r="CE3196" s="5" t="s">
        <v>240</v>
      </c>
      <c r="CF3196" s="5" t="s">
        <v>240</v>
      </c>
      <c r="CG3196" s="5" t="s">
        <v>304</v>
      </c>
      <c r="CH3196" s="5" t="s">
        <v>305</v>
      </c>
      <c r="CI3196" s="5" t="s">
        <v>240</v>
      </c>
      <c r="CK3196" s="5" t="s">
        <v>3681</v>
      </c>
      <c r="CL3196" s="6" t="s">
        <v>261</v>
      </c>
      <c r="CM3196" s="5" t="s">
        <v>262</v>
      </c>
      <c r="CN3196" s="5" t="s">
        <v>263</v>
      </c>
      <c r="CO3196" s="5" t="s">
        <v>264</v>
      </c>
      <c r="CP3196" s="5" t="s">
        <v>240</v>
      </c>
      <c r="CQ3196" s="5">
        <v>0</v>
      </c>
      <c r="CR3196" s="5" t="s">
        <v>735</v>
      </c>
      <c r="CS3196" s="5" t="s">
        <v>307</v>
      </c>
      <c r="CT3196" s="5" t="s">
        <v>307</v>
      </c>
      <c r="CU3196" s="5" t="s">
        <v>260</v>
      </c>
      <c r="CV3196" s="5" t="s">
        <v>612</v>
      </c>
      <c r="CW3196" s="8">
        <f>1</f>
        <v>1</v>
      </c>
      <c r="CX3196" s="7">
        <f>1</f>
        <v>1</v>
      </c>
      <c r="CY3196" s="7">
        <f>0</f>
        <v>0</v>
      </c>
      <c r="DA3196" s="7">
        <f>1</f>
        <v>1</v>
      </c>
      <c r="DB3196" s="7" t="s">
        <v>240</v>
      </c>
      <c r="DC3196" s="5" t="s">
        <v>240</v>
      </c>
      <c r="DD3196" s="5" t="s">
        <v>240</v>
      </c>
      <c r="DE3196" s="5" t="s">
        <v>240</v>
      </c>
      <c r="DF3196" s="5" t="s">
        <v>240</v>
      </c>
      <c r="DG3196" s="7">
        <f>0</f>
        <v>0</v>
      </c>
      <c r="DI3196" s="5" t="s">
        <v>240</v>
      </c>
      <c r="DJ3196" s="5" t="s">
        <v>240</v>
      </c>
      <c r="DK3196" s="5" t="s">
        <v>240</v>
      </c>
      <c r="DL3196" s="5" t="s">
        <v>240</v>
      </c>
      <c r="DM3196" s="5" t="s">
        <v>240</v>
      </c>
      <c r="DN3196" s="5" t="s">
        <v>240</v>
      </c>
      <c r="DO3196" s="7" t="s">
        <v>240</v>
      </c>
      <c r="DP3196" s="5" t="s">
        <v>240</v>
      </c>
      <c r="DQ3196" s="5" t="s">
        <v>240</v>
      </c>
      <c r="DR3196" s="5" t="s">
        <v>731</v>
      </c>
      <c r="DS3196" s="5" t="s">
        <v>731</v>
      </c>
      <c r="DT3196" s="5" t="s">
        <v>240</v>
      </c>
      <c r="DU3196" s="5" t="s">
        <v>240</v>
      </c>
      <c r="DV3196" s="5" t="s">
        <v>3683</v>
      </c>
      <c r="DW3196" s="5" t="s">
        <v>496</v>
      </c>
      <c r="DX3196" s="5" t="s">
        <v>240</v>
      </c>
      <c r="DY3196" s="5" t="s">
        <v>240</v>
      </c>
      <c r="DZ3196" s="5" t="s">
        <v>240</v>
      </c>
      <c r="EA3196" s="5" t="s">
        <v>240</v>
      </c>
      <c r="EB3196" s="5" t="s">
        <v>240</v>
      </c>
      <c r="EC3196" s="5" t="s">
        <v>240</v>
      </c>
      <c r="ED3196" s="5" t="s">
        <v>240</v>
      </c>
      <c r="EE3196" s="5" t="s">
        <v>240</v>
      </c>
      <c r="EF3196" s="5" t="s">
        <v>240</v>
      </c>
      <c r="EG3196" s="5" t="s">
        <v>240</v>
      </c>
      <c r="EH3196" s="5" t="s">
        <v>240</v>
      </c>
      <c r="EI3196" s="5" t="s">
        <v>240</v>
      </c>
      <c r="EJ3196" s="5" t="s">
        <v>240</v>
      </c>
      <c r="EK3196" s="5" t="s">
        <v>240</v>
      </c>
      <c r="EL3196" s="5" t="s">
        <v>240</v>
      </c>
      <c r="EM3196" s="5" t="s">
        <v>240</v>
      </c>
      <c r="EN3196" s="5" t="s">
        <v>240</v>
      </c>
      <c r="EO3196" s="5" t="s">
        <v>240</v>
      </c>
      <c r="EP3196" s="5" t="s">
        <v>240</v>
      </c>
      <c r="EQ3196" s="5" t="s">
        <v>240</v>
      </c>
      <c r="ER3196" s="5" t="s">
        <v>240</v>
      </c>
      <c r="ES3196" s="5" t="s">
        <v>240</v>
      </c>
      <c r="ET3196" s="5" t="s">
        <v>240</v>
      </c>
      <c r="EU3196" s="5" t="s">
        <v>240</v>
      </c>
      <c r="EV3196" s="5" t="s">
        <v>240</v>
      </c>
      <c r="EW3196" s="5" t="s">
        <v>240</v>
      </c>
      <c r="EX3196" s="5" t="s">
        <v>240</v>
      </c>
      <c r="EY3196" s="5" t="s">
        <v>240</v>
      </c>
      <c r="EZ3196" s="5" t="s">
        <v>240</v>
      </c>
      <c r="FA3196" s="5" t="s">
        <v>240</v>
      </c>
      <c r="FB3196" s="5" t="s">
        <v>240</v>
      </c>
      <c r="FC3196" s="5" t="s">
        <v>240</v>
      </c>
      <c r="FD3196" s="5" t="s">
        <v>240</v>
      </c>
      <c r="FE3196" s="5" t="s">
        <v>240</v>
      </c>
      <c r="FF3196" s="5" t="s">
        <v>240</v>
      </c>
      <c r="FG3196" s="5" t="s">
        <v>240</v>
      </c>
      <c r="FH3196" s="5" t="s">
        <v>240</v>
      </c>
      <c r="FI3196" s="5" t="s">
        <v>240</v>
      </c>
      <c r="FJ3196" s="5" t="s">
        <v>240</v>
      </c>
      <c r="FK3196" s="5" t="s">
        <v>240</v>
      </c>
      <c r="FL3196" s="5" t="s">
        <v>240</v>
      </c>
      <c r="FM3196" s="5" t="s">
        <v>240</v>
      </c>
      <c r="FN3196" s="5" t="s">
        <v>240</v>
      </c>
      <c r="FO3196" s="5" t="s">
        <v>240</v>
      </c>
      <c r="FP3196" s="5" t="s">
        <v>240</v>
      </c>
      <c r="FQ3196" s="5" t="s">
        <v>240</v>
      </c>
      <c r="FR3196" s="5" t="s">
        <v>240</v>
      </c>
      <c r="FS3196" s="5" t="s">
        <v>240</v>
      </c>
      <c r="FT3196" s="5" t="s">
        <v>240</v>
      </c>
      <c r="FU3196" s="5" t="s">
        <v>240</v>
      </c>
      <c r="FV3196" s="5" t="s">
        <v>240</v>
      </c>
      <c r="FW3196" s="5" t="s">
        <v>240</v>
      </c>
      <c r="FX3196" s="5" t="s">
        <v>240</v>
      </c>
      <c r="FY3196" s="5" t="s">
        <v>240</v>
      </c>
      <c r="FZ3196" s="5" t="s">
        <v>240</v>
      </c>
      <c r="GA3196" s="5" t="s">
        <v>240</v>
      </c>
      <c r="GB3196" s="5" t="s">
        <v>240</v>
      </c>
      <c r="GC3196" s="5" t="s">
        <v>240</v>
      </c>
      <c r="GD3196" s="5" t="s">
        <v>240</v>
      </c>
      <c r="GE3196" s="5" t="s">
        <v>240</v>
      </c>
      <c r="GF3196" s="5" t="s">
        <v>240</v>
      </c>
      <c r="GG3196" s="5" t="s">
        <v>240</v>
      </c>
      <c r="GH3196" s="5" t="s">
        <v>240</v>
      </c>
      <c r="GI3196" s="5" t="s">
        <v>240</v>
      </c>
      <c r="GJ3196" s="5" t="s">
        <v>240</v>
      </c>
      <c r="GK3196" s="5" t="s">
        <v>240</v>
      </c>
      <c r="GL3196" s="5" t="s">
        <v>240</v>
      </c>
      <c r="GM3196" s="5" t="s">
        <v>240</v>
      </c>
      <c r="GN3196" s="5" t="s">
        <v>240</v>
      </c>
      <c r="GO3196" s="5" t="s">
        <v>240</v>
      </c>
      <c r="GP3196" s="5" t="s">
        <v>240</v>
      </c>
      <c r="GQ3196" s="5" t="s">
        <v>240</v>
      </c>
      <c r="GR3196" s="5" t="s">
        <v>240</v>
      </c>
      <c r="GS3196" s="5" t="s">
        <v>240</v>
      </c>
      <c r="GT3196" s="5" t="s">
        <v>240</v>
      </c>
      <c r="GU3196" s="5" t="s">
        <v>240</v>
      </c>
      <c r="GV3196" s="5" t="s">
        <v>240</v>
      </c>
      <c r="GW3196" s="5" t="s">
        <v>240</v>
      </c>
      <c r="GX3196" s="5" t="s">
        <v>240</v>
      </c>
      <c r="GY3196" s="5" t="s">
        <v>240</v>
      </c>
      <c r="GZ3196" s="5" t="s">
        <v>240</v>
      </c>
      <c r="HA3196" s="5" t="s">
        <v>240</v>
      </c>
      <c r="HB3196" s="5" t="s">
        <v>240</v>
      </c>
      <c r="HC3196" s="5" t="s">
        <v>240</v>
      </c>
      <c r="HD3196" s="5" t="s">
        <v>240</v>
      </c>
      <c r="HE3196" s="5" t="s">
        <v>240</v>
      </c>
      <c r="HF3196" s="5" t="s">
        <v>240</v>
      </c>
      <c r="HG3196" s="5" t="s">
        <v>240</v>
      </c>
      <c r="HH3196" s="5" t="s">
        <v>240</v>
      </c>
      <c r="HI3196" s="5" t="s">
        <v>240</v>
      </c>
      <c r="HJ3196" s="5" t="s">
        <v>240</v>
      </c>
      <c r="HK3196" s="5" t="s">
        <v>240</v>
      </c>
      <c r="HL3196" s="5" t="s">
        <v>240</v>
      </c>
      <c r="HM3196" s="5" t="s">
        <v>240</v>
      </c>
      <c r="HN3196" s="5" t="s">
        <v>240</v>
      </c>
      <c r="HO3196" s="5" t="s">
        <v>312</v>
      </c>
      <c r="HP3196" s="5" t="s">
        <v>240</v>
      </c>
      <c r="HQ3196" s="5" t="s">
        <v>240</v>
      </c>
      <c r="HR3196" s="5" t="s">
        <v>240</v>
      </c>
      <c r="HS3196" s="5" t="s">
        <v>240</v>
      </c>
      <c r="HT3196" s="5" t="s">
        <v>240</v>
      </c>
      <c r="HU3196" s="5" t="s">
        <v>240</v>
      </c>
      <c r="HV3196" s="5" t="s">
        <v>240</v>
      </c>
      <c r="HW3196" s="5" t="s">
        <v>240</v>
      </c>
      <c r="HX3196" s="5" t="s">
        <v>240</v>
      </c>
      <c r="HY3196" s="5" t="s">
        <v>240</v>
      </c>
      <c r="HZ3196" s="5" t="s">
        <v>240</v>
      </c>
      <c r="IA3196" s="5" t="s">
        <v>240</v>
      </c>
      <c r="IB3196" s="5" t="s">
        <v>240</v>
      </c>
      <c r="IC3196" s="5" t="s">
        <v>240</v>
      </c>
      <c r="ID3196" s="5" t="s">
        <v>240</v>
      </c>
      <c r="IE3196" s="5" t="s">
        <v>240</v>
      </c>
      <c r="IF3196" s="5" t="s">
        <v>240</v>
      </c>
    </row>
    <row r="3197" spans="1:240" x14ac:dyDescent="0.4">
      <c r="A3197" s="5">
        <v>4901</v>
      </c>
      <c r="B3197" s="5">
        <v>1</v>
      </c>
      <c r="C3197" s="5">
        <v>1</v>
      </c>
      <c r="D3197" s="5" t="s">
        <v>6690</v>
      </c>
      <c r="E3197" s="5" t="s">
        <v>1308</v>
      </c>
      <c r="F3197" s="5" t="s">
        <v>254</v>
      </c>
      <c r="G3197" s="5" t="s">
        <v>240</v>
      </c>
      <c r="H3197" s="6" t="s">
        <v>6691</v>
      </c>
      <c r="I3197" s="5" t="s">
        <v>6729</v>
      </c>
      <c r="J3197" s="8">
        <f>5281.61</f>
        <v>5281.61</v>
      </c>
      <c r="K3197" s="5" t="s">
        <v>308</v>
      </c>
      <c r="L3197" s="7">
        <f>8321705</f>
        <v>8321705</v>
      </c>
      <c r="M3197" s="7">
        <f>8321705</f>
        <v>8321705</v>
      </c>
      <c r="N3197" s="5" t="s">
        <v>242</v>
      </c>
      <c r="O3197" s="5">
        <v>1</v>
      </c>
      <c r="P3197" s="5" t="s">
        <v>294</v>
      </c>
      <c r="Q3197" s="5" t="s">
        <v>3678</v>
      </c>
      <c r="R3197" s="5" t="s">
        <v>240</v>
      </c>
      <c r="S3197" s="5" t="s">
        <v>240</v>
      </c>
      <c r="T3197" s="5" t="s">
        <v>243</v>
      </c>
      <c r="U3197" s="5" t="s">
        <v>244</v>
      </c>
      <c r="V3197" s="5" t="s">
        <v>240</v>
      </c>
      <c r="W3197" s="5" t="s">
        <v>240</v>
      </c>
      <c r="X3197" s="5" t="s">
        <v>240</v>
      </c>
      <c r="Y3197" s="5" t="s">
        <v>240</v>
      </c>
      <c r="Z3197" s="6" t="s">
        <v>298</v>
      </c>
      <c r="AA3197" s="6" t="s">
        <v>240</v>
      </c>
      <c r="AB3197" s="6" t="s">
        <v>240</v>
      </c>
      <c r="AC3197" s="5" t="s">
        <v>240</v>
      </c>
      <c r="AD3197" s="6" t="s">
        <v>240</v>
      </c>
      <c r="AE3197" s="6" t="s">
        <v>299</v>
      </c>
      <c r="AF3197" s="5" t="s">
        <v>248</v>
      </c>
      <c r="AG3197" s="5" t="s">
        <v>249</v>
      </c>
      <c r="AH3197" s="5" t="s">
        <v>240</v>
      </c>
      <c r="AI3197" s="5" t="s">
        <v>240</v>
      </c>
      <c r="AJ3197" s="5" t="s">
        <v>240</v>
      </c>
      <c r="AK3197" s="5" t="s">
        <v>240</v>
      </c>
      <c r="AL3197" s="5" t="s">
        <v>240</v>
      </c>
      <c r="AM3197" s="5" t="s">
        <v>240</v>
      </c>
      <c r="AN3197" s="5" t="s">
        <v>240</v>
      </c>
      <c r="AO3197" s="5" t="s">
        <v>240</v>
      </c>
      <c r="AP3197" s="6" t="s">
        <v>240</v>
      </c>
      <c r="AQ3197" s="6" t="s">
        <v>240</v>
      </c>
      <c r="AR3197" s="6" t="s">
        <v>240</v>
      </c>
      <c r="AS3197" s="6" t="s">
        <v>240</v>
      </c>
      <c r="AT3197" s="5" t="s">
        <v>240</v>
      </c>
      <c r="AU3197" s="5" t="s">
        <v>729</v>
      </c>
      <c r="AV3197" s="5" t="s">
        <v>729</v>
      </c>
      <c r="AW3197" s="5" t="s">
        <v>251</v>
      </c>
      <c r="AX3197" s="5" t="s">
        <v>252</v>
      </c>
      <c r="AY3197" s="5" t="s">
        <v>253</v>
      </c>
      <c r="AZ3197" s="5" t="s">
        <v>240</v>
      </c>
      <c r="BA3197" s="5" t="s">
        <v>255</v>
      </c>
      <c r="BB3197" s="5" t="s">
        <v>731</v>
      </c>
      <c r="BD3197" s="5" t="s">
        <v>240</v>
      </c>
      <c r="BF3197" s="5" t="s">
        <v>732</v>
      </c>
      <c r="BG3197" s="6" t="s">
        <v>733</v>
      </c>
      <c r="BH3197" s="5" t="s">
        <v>734</v>
      </c>
      <c r="BI3197" s="5" t="s">
        <v>734</v>
      </c>
      <c r="BJ3197" s="5" t="s">
        <v>240</v>
      </c>
      <c r="BK3197" s="7">
        <f>1</f>
        <v>1</v>
      </c>
      <c r="BL3197" s="7">
        <f>1</f>
        <v>1</v>
      </c>
      <c r="BM3197" s="5" t="s">
        <v>258</v>
      </c>
      <c r="BN3197" s="5" t="s">
        <v>259</v>
      </c>
      <c r="BO3197" s="5" t="s">
        <v>240</v>
      </c>
      <c r="BP3197" s="5" t="s">
        <v>240</v>
      </c>
      <c r="BQ3197" s="5" t="s">
        <v>240</v>
      </c>
      <c r="BR3197" s="5" t="s">
        <v>240</v>
      </c>
      <c r="BS3197" s="5" t="s">
        <v>240</v>
      </c>
      <c r="BT3197" s="5" t="s">
        <v>240</v>
      </c>
      <c r="BU3197" s="5" t="s">
        <v>240</v>
      </c>
      <c r="BV3197" s="5" t="s">
        <v>240</v>
      </c>
      <c r="BW3197" s="6" t="s">
        <v>240</v>
      </c>
      <c r="BX3197" s="5" t="s">
        <v>240</v>
      </c>
      <c r="BY3197" s="5" t="s">
        <v>240</v>
      </c>
      <c r="BZ3197" s="5" t="s">
        <v>240</v>
      </c>
      <c r="CA3197" s="5" t="s">
        <v>259</v>
      </c>
      <c r="CB3197" s="5" t="s">
        <v>240</v>
      </c>
      <c r="CC3197" s="5" t="s">
        <v>240</v>
      </c>
      <c r="CD3197" s="5" t="s">
        <v>240</v>
      </c>
      <c r="CE3197" s="5" t="s">
        <v>240</v>
      </c>
      <c r="CF3197" s="5" t="s">
        <v>240</v>
      </c>
      <c r="CG3197" s="5" t="s">
        <v>304</v>
      </c>
      <c r="CH3197" s="5" t="s">
        <v>305</v>
      </c>
      <c r="CI3197" s="5" t="s">
        <v>240</v>
      </c>
      <c r="CK3197" s="5" t="s">
        <v>3681</v>
      </c>
      <c r="CL3197" s="6" t="s">
        <v>261</v>
      </c>
      <c r="CM3197" s="5" t="s">
        <v>262</v>
      </c>
      <c r="CN3197" s="5" t="s">
        <v>263</v>
      </c>
      <c r="CO3197" s="5" t="s">
        <v>264</v>
      </c>
      <c r="CP3197" s="5" t="s">
        <v>240</v>
      </c>
      <c r="CQ3197" s="5">
        <v>0</v>
      </c>
      <c r="CR3197" s="5" t="s">
        <v>735</v>
      </c>
      <c r="CS3197" s="5" t="s">
        <v>307</v>
      </c>
      <c r="CT3197" s="5" t="s">
        <v>307</v>
      </c>
      <c r="CU3197" s="5" t="s">
        <v>260</v>
      </c>
      <c r="CV3197" s="5" t="s">
        <v>612</v>
      </c>
      <c r="CW3197" s="8">
        <f>1</f>
        <v>1</v>
      </c>
      <c r="CX3197" s="7">
        <f>1</f>
        <v>1</v>
      </c>
      <c r="CY3197" s="7">
        <f>0</f>
        <v>0</v>
      </c>
      <c r="DA3197" s="7">
        <f>1</f>
        <v>1</v>
      </c>
      <c r="DB3197" s="7" t="s">
        <v>240</v>
      </c>
      <c r="DC3197" s="5" t="s">
        <v>240</v>
      </c>
      <c r="DD3197" s="5" t="s">
        <v>240</v>
      </c>
      <c r="DE3197" s="5" t="s">
        <v>240</v>
      </c>
      <c r="DF3197" s="5" t="s">
        <v>240</v>
      </c>
      <c r="DG3197" s="7">
        <f>0</f>
        <v>0</v>
      </c>
      <c r="DI3197" s="5" t="s">
        <v>240</v>
      </c>
      <c r="DJ3197" s="5" t="s">
        <v>240</v>
      </c>
      <c r="DK3197" s="5" t="s">
        <v>240</v>
      </c>
      <c r="DL3197" s="5" t="s">
        <v>240</v>
      </c>
      <c r="DM3197" s="5" t="s">
        <v>240</v>
      </c>
      <c r="DN3197" s="5" t="s">
        <v>240</v>
      </c>
      <c r="DO3197" s="7" t="s">
        <v>240</v>
      </c>
      <c r="DP3197" s="5" t="s">
        <v>240</v>
      </c>
      <c r="DQ3197" s="5" t="s">
        <v>240</v>
      </c>
      <c r="DR3197" s="5" t="s">
        <v>731</v>
      </c>
      <c r="DS3197" s="5" t="s">
        <v>731</v>
      </c>
      <c r="DT3197" s="5" t="s">
        <v>240</v>
      </c>
      <c r="DU3197" s="5" t="s">
        <v>240</v>
      </c>
      <c r="DV3197" s="5" t="s">
        <v>3683</v>
      </c>
      <c r="DW3197" s="5" t="s">
        <v>1214</v>
      </c>
      <c r="DX3197" s="5" t="s">
        <v>240</v>
      </c>
      <c r="DY3197" s="5" t="s">
        <v>240</v>
      </c>
      <c r="DZ3197" s="5" t="s">
        <v>240</v>
      </c>
      <c r="EA3197" s="5" t="s">
        <v>240</v>
      </c>
      <c r="EB3197" s="5" t="s">
        <v>240</v>
      </c>
      <c r="EC3197" s="5" t="s">
        <v>240</v>
      </c>
      <c r="ED3197" s="5" t="s">
        <v>240</v>
      </c>
      <c r="EE3197" s="5" t="s">
        <v>240</v>
      </c>
      <c r="EF3197" s="5" t="s">
        <v>240</v>
      </c>
      <c r="EG3197" s="5" t="s">
        <v>240</v>
      </c>
      <c r="EH3197" s="5" t="s">
        <v>240</v>
      </c>
      <c r="EI3197" s="5" t="s">
        <v>240</v>
      </c>
      <c r="EJ3197" s="5" t="s">
        <v>240</v>
      </c>
      <c r="EK3197" s="5" t="s">
        <v>240</v>
      </c>
      <c r="EL3197" s="5" t="s">
        <v>240</v>
      </c>
      <c r="EM3197" s="5" t="s">
        <v>240</v>
      </c>
      <c r="EN3197" s="5" t="s">
        <v>240</v>
      </c>
      <c r="EO3197" s="5" t="s">
        <v>240</v>
      </c>
      <c r="EP3197" s="5" t="s">
        <v>240</v>
      </c>
      <c r="EQ3197" s="5" t="s">
        <v>240</v>
      </c>
      <c r="ER3197" s="5" t="s">
        <v>240</v>
      </c>
      <c r="ES3197" s="5" t="s">
        <v>240</v>
      </c>
      <c r="ET3197" s="5" t="s">
        <v>240</v>
      </c>
      <c r="EU3197" s="5" t="s">
        <v>240</v>
      </c>
      <c r="EV3197" s="5" t="s">
        <v>240</v>
      </c>
      <c r="EW3197" s="5" t="s">
        <v>240</v>
      </c>
      <c r="EX3197" s="5" t="s">
        <v>240</v>
      </c>
      <c r="EY3197" s="5" t="s">
        <v>240</v>
      </c>
      <c r="EZ3197" s="5" t="s">
        <v>240</v>
      </c>
      <c r="FA3197" s="5" t="s">
        <v>240</v>
      </c>
      <c r="FB3197" s="5" t="s">
        <v>240</v>
      </c>
      <c r="FC3197" s="5" t="s">
        <v>240</v>
      </c>
      <c r="FD3197" s="5" t="s">
        <v>240</v>
      </c>
      <c r="FE3197" s="5" t="s">
        <v>240</v>
      </c>
      <c r="FF3197" s="5" t="s">
        <v>240</v>
      </c>
      <c r="FG3197" s="5" t="s">
        <v>240</v>
      </c>
      <c r="FH3197" s="5" t="s">
        <v>240</v>
      </c>
      <c r="FI3197" s="5" t="s">
        <v>240</v>
      </c>
      <c r="FJ3197" s="5" t="s">
        <v>240</v>
      </c>
      <c r="FK3197" s="5" t="s">
        <v>240</v>
      </c>
      <c r="FL3197" s="5" t="s">
        <v>240</v>
      </c>
      <c r="FM3197" s="5" t="s">
        <v>240</v>
      </c>
      <c r="FN3197" s="5" t="s">
        <v>240</v>
      </c>
      <c r="FO3197" s="5" t="s">
        <v>240</v>
      </c>
      <c r="FP3197" s="5" t="s">
        <v>240</v>
      </c>
      <c r="FQ3197" s="5" t="s">
        <v>240</v>
      </c>
      <c r="FR3197" s="5" t="s">
        <v>240</v>
      </c>
      <c r="FS3197" s="5" t="s">
        <v>240</v>
      </c>
      <c r="FT3197" s="5" t="s">
        <v>240</v>
      </c>
      <c r="FU3197" s="5" t="s">
        <v>240</v>
      </c>
      <c r="FV3197" s="5" t="s">
        <v>240</v>
      </c>
      <c r="FW3197" s="5" t="s">
        <v>240</v>
      </c>
      <c r="FX3197" s="5" t="s">
        <v>240</v>
      </c>
      <c r="FY3197" s="5" t="s">
        <v>240</v>
      </c>
      <c r="FZ3197" s="5" t="s">
        <v>240</v>
      </c>
      <c r="GA3197" s="5" t="s">
        <v>240</v>
      </c>
      <c r="GB3197" s="5" t="s">
        <v>240</v>
      </c>
      <c r="GC3197" s="5" t="s">
        <v>240</v>
      </c>
      <c r="GD3197" s="5" t="s">
        <v>240</v>
      </c>
      <c r="GE3197" s="5" t="s">
        <v>240</v>
      </c>
      <c r="GF3197" s="5" t="s">
        <v>240</v>
      </c>
      <c r="GG3197" s="5" t="s">
        <v>240</v>
      </c>
      <c r="GH3197" s="5" t="s">
        <v>240</v>
      </c>
      <c r="GI3197" s="5" t="s">
        <v>240</v>
      </c>
      <c r="GJ3197" s="5" t="s">
        <v>240</v>
      </c>
      <c r="GK3197" s="5" t="s">
        <v>240</v>
      </c>
      <c r="GL3197" s="5" t="s">
        <v>240</v>
      </c>
      <c r="GM3197" s="5" t="s">
        <v>240</v>
      </c>
      <c r="GN3197" s="5" t="s">
        <v>240</v>
      </c>
      <c r="GO3197" s="5" t="s">
        <v>240</v>
      </c>
      <c r="GP3197" s="5" t="s">
        <v>240</v>
      </c>
      <c r="GQ3197" s="5" t="s">
        <v>240</v>
      </c>
      <c r="GR3197" s="5" t="s">
        <v>240</v>
      </c>
      <c r="GS3197" s="5" t="s">
        <v>240</v>
      </c>
      <c r="GT3197" s="5" t="s">
        <v>240</v>
      </c>
      <c r="GU3197" s="5" t="s">
        <v>240</v>
      </c>
      <c r="GV3197" s="5" t="s">
        <v>240</v>
      </c>
      <c r="GW3197" s="5" t="s">
        <v>240</v>
      </c>
      <c r="GX3197" s="5" t="s">
        <v>240</v>
      </c>
      <c r="GY3197" s="5" t="s">
        <v>240</v>
      </c>
      <c r="GZ3197" s="5" t="s">
        <v>240</v>
      </c>
      <c r="HA3197" s="5" t="s">
        <v>240</v>
      </c>
      <c r="HB3197" s="5" t="s">
        <v>240</v>
      </c>
      <c r="HC3197" s="5" t="s">
        <v>240</v>
      </c>
      <c r="HD3197" s="5" t="s">
        <v>240</v>
      </c>
      <c r="HE3197" s="5" t="s">
        <v>240</v>
      </c>
      <c r="HF3197" s="5" t="s">
        <v>240</v>
      </c>
      <c r="HG3197" s="5" t="s">
        <v>240</v>
      </c>
      <c r="HH3197" s="5" t="s">
        <v>240</v>
      </c>
      <c r="HI3197" s="5" t="s">
        <v>240</v>
      </c>
      <c r="HJ3197" s="5" t="s">
        <v>240</v>
      </c>
      <c r="HK3197" s="5" t="s">
        <v>240</v>
      </c>
      <c r="HL3197" s="5" t="s">
        <v>240</v>
      </c>
      <c r="HM3197" s="5" t="s">
        <v>240</v>
      </c>
      <c r="HN3197" s="5" t="s">
        <v>240</v>
      </c>
      <c r="HO3197" s="5" t="s">
        <v>312</v>
      </c>
      <c r="HP3197" s="5" t="s">
        <v>240</v>
      </c>
      <c r="HQ3197" s="5" t="s">
        <v>240</v>
      </c>
      <c r="HR3197" s="5" t="s">
        <v>240</v>
      </c>
      <c r="HS3197" s="5" t="s">
        <v>240</v>
      </c>
      <c r="HT3197" s="5" t="s">
        <v>240</v>
      </c>
      <c r="HU3197" s="5" t="s">
        <v>240</v>
      </c>
      <c r="HV3197" s="5" t="s">
        <v>240</v>
      </c>
      <c r="HW3197" s="5" t="s">
        <v>240</v>
      </c>
      <c r="HX3197" s="5" t="s">
        <v>240</v>
      </c>
      <c r="HY3197" s="5" t="s">
        <v>240</v>
      </c>
      <c r="HZ3197" s="5" t="s">
        <v>240</v>
      </c>
      <c r="IA3197" s="5" t="s">
        <v>240</v>
      </c>
      <c r="IB3197" s="5" t="s">
        <v>240</v>
      </c>
      <c r="IC3197" s="5" t="s">
        <v>240</v>
      </c>
      <c r="ID3197" s="5" t="s">
        <v>240</v>
      </c>
      <c r="IE3197" s="5" t="s">
        <v>240</v>
      </c>
      <c r="IF3197" s="5" t="s">
        <v>240</v>
      </c>
    </row>
    <row r="3198" spans="1:240" x14ac:dyDescent="0.4">
      <c r="A3198" s="5">
        <v>4902</v>
      </c>
      <c r="B3198" s="5">
        <v>1</v>
      </c>
      <c r="C3198" s="5">
        <v>1</v>
      </c>
      <c r="D3198" s="5" t="s">
        <v>6690</v>
      </c>
      <c r="E3198" s="5" t="s">
        <v>1308</v>
      </c>
      <c r="F3198" s="5" t="s">
        <v>254</v>
      </c>
      <c r="G3198" s="5" t="s">
        <v>295</v>
      </c>
      <c r="H3198" s="6" t="s">
        <v>6691</v>
      </c>
      <c r="I3198" s="5" t="s">
        <v>6689</v>
      </c>
      <c r="J3198" s="8">
        <f>564.51</f>
        <v>564.51</v>
      </c>
      <c r="K3198" s="5" t="s">
        <v>308</v>
      </c>
      <c r="L3198" s="7">
        <f>5172335</f>
        <v>5172335</v>
      </c>
      <c r="M3198" s="7">
        <f>5172335</f>
        <v>5172335</v>
      </c>
      <c r="N3198" s="5" t="s">
        <v>242</v>
      </c>
      <c r="O3198" s="5">
        <v>1</v>
      </c>
      <c r="P3198" s="5" t="s">
        <v>294</v>
      </c>
      <c r="Q3198" s="5" t="s">
        <v>266</v>
      </c>
      <c r="R3198" s="5" t="s">
        <v>240</v>
      </c>
      <c r="S3198" s="5" t="s">
        <v>240</v>
      </c>
      <c r="T3198" s="5" t="s">
        <v>296</v>
      </c>
      <c r="U3198" s="5" t="s">
        <v>244</v>
      </c>
      <c r="V3198" s="5" t="s">
        <v>240</v>
      </c>
      <c r="Y3198" s="5" t="s">
        <v>240</v>
      </c>
      <c r="Z3198" s="6" t="s">
        <v>298</v>
      </c>
      <c r="AB3198" s="6" t="s">
        <v>240</v>
      </c>
      <c r="AE3198" s="6" t="s">
        <v>299</v>
      </c>
      <c r="AF3198" s="5" t="s">
        <v>248</v>
      </c>
      <c r="AG3198" s="5" t="s">
        <v>249</v>
      </c>
      <c r="AW3198" s="5" t="s">
        <v>251</v>
      </c>
      <c r="AX3198" s="5" t="s">
        <v>240</v>
      </c>
      <c r="AY3198" s="5" t="s">
        <v>253</v>
      </c>
      <c r="AZ3198" s="5" t="s">
        <v>240</v>
      </c>
      <c r="BA3198" s="5" t="s">
        <v>255</v>
      </c>
      <c r="BB3198" s="5" t="s">
        <v>240</v>
      </c>
      <c r="BD3198" s="5" t="s">
        <v>240</v>
      </c>
      <c r="BF3198" s="5" t="s">
        <v>301</v>
      </c>
      <c r="BG3198" s="6" t="s">
        <v>299</v>
      </c>
      <c r="BH3198" s="5" t="s">
        <v>302</v>
      </c>
      <c r="BI3198" s="5" t="s">
        <v>303</v>
      </c>
      <c r="BJ3198" s="5" t="s">
        <v>240</v>
      </c>
      <c r="BK3198" s="8">
        <f>0</f>
        <v>0</v>
      </c>
      <c r="BL3198" s="7">
        <f>0</f>
        <v>0</v>
      </c>
      <c r="BM3198" s="5" t="s">
        <v>258</v>
      </c>
      <c r="BN3198" s="5" t="s">
        <v>259</v>
      </c>
      <c r="CB3198" s="5" t="s">
        <v>240</v>
      </c>
      <c r="CC3198" s="5" t="s">
        <v>240</v>
      </c>
      <c r="CG3198" s="5" t="s">
        <v>304</v>
      </c>
      <c r="CH3198" s="5" t="s">
        <v>305</v>
      </c>
      <c r="CI3198" s="5" t="s">
        <v>240</v>
      </c>
      <c r="CL3198" s="6" t="s">
        <v>261</v>
      </c>
      <c r="CM3198" s="5" t="s">
        <v>240</v>
      </c>
      <c r="CN3198" s="5" t="s">
        <v>263</v>
      </c>
      <c r="CO3198" s="5" t="s">
        <v>240</v>
      </c>
      <c r="CP3198" s="5" t="s">
        <v>240</v>
      </c>
      <c r="CQ3198" s="5">
        <v>0</v>
      </c>
      <c r="CR3198" s="5" t="s">
        <v>306</v>
      </c>
      <c r="CS3198" s="5" t="s">
        <v>307</v>
      </c>
      <c r="CT3198" s="5" t="s">
        <v>307</v>
      </c>
      <c r="CU3198" s="5" t="s">
        <v>260</v>
      </c>
      <c r="CX3198" s="7">
        <f>1</f>
        <v>1</v>
      </c>
      <c r="CY3198" s="7">
        <f>0</f>
        <v>0</v>
      </c>
      <c r="DA3198" s="7">
        <f>0</f>
        <v>0</v>
      </c>
      <c r="DC3198" s="5" t="s">
        <v>309</v>
      </c>
      <c r="DD3198" s="5" t="s">
        <v>240</v>
      </c>
      <c r="DF3198" s="5" t="s">
        <v>309</v>
      </c>
      <c r="DG3198" s="7">
        <f>3055</f>
        <v>3055</v>
      </c>
      <c r="DI3198" s="5" t="s">
        <v>240</v>
      </c>
      <c r="DJ3198" s="5" t="s">
        <v>240</v>
      </c>
      <c r="DK3198" s="5" t="s">
        <v>240</v>
      </c>
      <c r="DL3198" s="5" t="s">
        <v>240</v>
      </c>
      <c r="DP3198" s="5" t="s">
        <v>240</v>
      </c>
      <c r="DQ3198" s="5" t="s">
        <v>240</v>
      </c>
      <c r="DR3198" s="5" t="s">
        <v>240</v>
      </c>
      <c r="DS3198" s="5" t="s">
        <v>240</v>
      </c>
      <c r="DV3198" s="5" t="s">
        <v>310</v>
      </c>
      <c r="DW3198" s="5" t="s">
        <v>4805</v>
      </c>
      <c r="HO3198" s="5" t="s">
        <v>312</v>
      </c>
    </row>
    <row r="3199" spans="1:240" x14ac:dyDescent="0.4">
      <c r="A3199" s="5">
        <v>8437</v>
      </c>
      <c r="B3199" s="5">
        <v>1</v>
      </c>
      <c r="C3199" s="5">
        <v>1</v>
      </c>
      <c r="D3199" s="5" t="s">
        <v>1819</v>
      </c>
      <c r="E3199" s="5" t="s">
        <v>5060</v>
      </c>
      <c r="F3199" s="5" t="s">
        <v>730</v>
      </c>
      <c r="G3199" s="5" t="s">
        <v>240</v>
      </c>
      <c r="H3199" s="6" t="s">
        <v>6694</v>
      </c>
      <c r="I3199" s="5" t="s">
        <v>1818</v>
      </c>
      <c r="J3199" s="8">
        <f>440</f>
        <v>440</v>
      </c>
      <c r="K3199" s="5" t="s">
        <v>308</v>
      </c>
      <c r="L3199" s="7">
        <f>974600</f>
        <v>974600</v>
      </c>
      <c r="M3199" s="7">
        <f>974600</f>
        <v>974600</v>
      </c>
      <c r="N3199" s="5" t="s">
        <v>242</v>
      </c>
      <c r="O3199" s="5">
        <v>1</v>
      </c>
      <c r="P3199" s="5" t="s">
        <v>294</v>
      </c>
      <c r="Q3199" s="5" t="s">
        <v>3678</v>
      </c>
      <c r="R3199" s="5" t="s">
        <v>240</v>
      </c>
      <c r="S3199" s="5" t="s">
        <v>240</v>
      </c>
      <c r="T3199" s="5" t="s">
        <v>243</v>
      </c>
      <c r="U3199" s="5" t="s">
        <v>244</v>
      </c>
      <c r="V3199" s="5" t="s">
        <v>240</v>
      </c>
      <c r="W3199" s="5" t="s">
        <v>240</v>
      </c>
      <c r="X3199" s="5" t="s">
        <v>240</v>
      </c>
      <c r="Y3199" s="5" t="s">
        <v>240</v>
      </c>
      <c r="Z3199" s="6" t="s">
        <v>298</v>
      </c>
      <c r="AA3199" s="6" t="s">
        <v>240</v>
      </c>
      <c r="AB3199" s="6" t="s">
        <v>240</v>
      </c>
      <c r="AC3199" s="5" t="s">
        <v>240</v>
      </c>
      <c r="AD3199" s="6" t="s">
        <v>240</v>
      </c>
      <c r="AE3199" s="6" t="s">
        <v>299</v>
      </c>
      <c r="AF3199" s="5" t="s">
        <v>248</v>
      </c>
      <c r="AG3199" s="5" t="s">
        <v>249</v>
      </c>
      <c r="AH3199" s="5" t="s">
        <v>240</v>
      </c>
      <c r="AI3199" s="5" t="s">
        <v>240</v>
      </c>
      <c r="AJ3199" s="5" t="s">
        <v>240</v>
      </c>
      <c r="AK3199" s="5" t="s">
        <v>240</v>
      </c>
      <c r="AL3199" s="5" t="s">
        <v>240</v>
      </c>
      <c r="AM3199" s="5" t="s">
        <v>240</v>
      </c>
      <c r="AN3199" s="5" t="s">
        <v>240</v>
      </c>
      <c r="AO3199" s="5" t="s">
        <v>240</v>
      </c>
      <c r="AP3199" s="6" t="s">
        <v>240</v>
      </c>
      <c r="AQ3199" s="6" t="s">
        <v>240</v>
      </c>
      <c r="AR3199" s="6" t="s">
        <v>240</v>
      </c>
      <c r="AS3199" s="6" t="s">
        <v>240</v>
      </c>
      <c r="AT3199" s="5" t="s">
        <v>240</v>
      </c>
      <c r="AU3199" s="5" t="s">
        <v>729</v>
      </c>
      <c r="AV3199" s="5" t="s">
        <v>729</v>
      </c>
      <c r="AW3199" s="5" t="s">
        <v>251</v>
      </c>
      <c r="AX3199" s="5" t="s">
        <v>252</v>
      </c>
      <c r="AY3199" s="5" t="s">
        <v>253</v>
      </c>
      <c r="AZ3199" s="5" t="s">
        <v>240</v>
      </c>
      <c r="BA3199" s="5" t="s">
        <v>255</v>
      </c>
      <c r="BB3199" s="5" t="s">
        <v>731</v>
      </c>
      <c r="BD3199" s="5" t="s">
        <v>240</v>
      </c>
      <c r="BF3199" s="5" t="s">
        <v>732</v>
      </c>
      <c r="BG3199" s="6" t="s">
        <v>733</v>
      </c>
      <c r="BH3199" s="5" t="s">
        <v>734</v>
      </c>
      <c r="BI3199" s="5" t="s">
        <v>734</v>
      </c>
      <c r="BJ3199" s="5" t="s">
        <v>240</v>
      </c>
      <c r="BK3199" s="7">
        <f>1</f>
        <v>1</v>
      </c>
      <c r="BL3199" s="7">
        <f>1</f>
        <v>1</v>
      </c>
      <c r="BM3199" s="5" t="s">
        <v>258</v>
      </c>
      <c r="BN3199" s="5" t="s">
        <v>259</v>
      </c>
      <c r="BO3199" s="5" t="s">
        <v>240</v>
      </c>
      <c r="BP3199" s="5" t="s">
        <v>240</v>
      </c>
      <c r="BQ3199" s="5" t="s">
        <v>240</v>
      </c>
      <c r="BR3199" s="5" t="s">
        <v>240</v>
      </c>
      <c r="BS3199" s="5" t="s">
        <v>240</v>
      </c>
      <c r="BT3199" s="5" t="s">
        <v>240</v>
      </c>
      <c r="BU3199" s="5" t="s">
        <v>240</v>
      </c>
      <c r="BV3199" s="5" t="s">
        <v>240</v>
      </c>
      <c r="BW3199" s="6" t="s">
        <v>240</v>
      </c>
      <c r="BX3199" s="5" t="s">
        <v>240</v>
      </c>
      <c r="BY3199" s="5" t="s">
        <v>240</v>
      </c>
      <c r="BZ3199" s="5" t="s">
        <v>240</v>
      </c>
      <c r="CA3199" s="5" t="s">
        <v>259</v>
      </c>
      <c r="CB3199" s="5" t="s">
        <v>240</v>
      </c>
      <c r="CC3199" s="5" t="s">
        <v>240</v>
      </c>
      <c r="CD3199" s="5" t="s">
        <v>240</v>
      </c>
      <c r="CE3199" s="5" t="s">
        <v>240</v>
      </c>
      <c r="CF3199" s="5" t="s">
        <v>240</v>
      </c>
      <c r="CG3199" s="5" t="s">
        <v>304</v>
      </c>
      <c r="CH3199" s="5" t="s">
        <v>305</v>
      </c>
      <c r="CI3199" s="5" t="s">
        <v>240</v>
      </c>
      <c r="CK3199" s="5" t="s">
        <v>3681</v>
      </c>
      <c r="CL3199" s="6" t="s">
        <v>261</v>
      </c>
      <c r="CM3199" s="5" t="s">
        <v>262</v>
      </c>
      <c r="CN3199" s="5" t="s">
        <v>263</v>
      </c>
      <c r="CO3199" s="5" t="s">
        <v>264</v>
      </c>
      <c r="CP3199" s="5" t="s">
        <v>240</v>
      </c>
      <c r="CQ3199" s="5">
        <v>0</v>
      </c>
      <c r="CR3199" s="5" t="s">
        <v>735</v>
      </c>
      <c r="CS3199" s="5" t="s">
        <v>307</v>
      </c>
      <c r="CT3199" s="5" t="s">
        <v>307</v>
      </c>
      <c r="CU3199" s="5" t="s">
        <v>260</v>
      </c>
      <c r="CV3199" s="5" t="s">
        <v>612</v>
      </c>
      <c r="CW3199" s="8">
        <f>1</f>
        <v>1</v>
      </c>
      <c r="CX3199" s="7">
        <f>1</f>
        <v>1</v>
      </c>
      <c r="CY3199" s="7">
        <f>0</f>
        <v>0</v>
      </c>
      <c r="DA3199" s="7">
        <f>1</f>
        <v>1</v>
      </c>
      <c r="DB3199" s="7" t="s">
        <v>240</v>
      </c>
      <c r="DC3199" s="5" t="s">
        <v>240</v>
      </c>
      <c r="DD3199" s="5" t="s">
        <v>240</v>
      </c>
      <c r="DE3199" s="5" t="s">
        <v>240</v>
      </c>
      <c r="DF3199" s="5" t="s">
        <v>240</v>
      </c>
      <c r="DG3199" s="7">
        <f>0</f>
        <v>0</v>
      </c>
      <c r="DI3199" s="5" t="s">
        <v>240</v>
      </c>
      <c r="DJ3199" s="5" t="s">
        <v>240</v>
      </c>
      <c r="DK3199" s="5" t="s">
        <v>240</v>
      </c>
      <c r="DL3199" s="5" t="s">
        <v>240</v>
      </c>
      <c r="DM3199" s="5" t="s">
        <v>240</v>
      </c>
      <c r="DN3199" s="5" t="s">
        <v>240</v>
      </c>
      <c r="DO3199" s="7" t="s">
        <v>240</v>
      </c>
      <c r="DP3199" s="5" t="s">
        <v>240</v>
      </c>
      <c r="DQ3199" s="5" t="s">
        <v>240</v>
      </c>
      <c r="DR3199" s="5" t="s">
        <v>731</v>
      </c>
      <c r="DS3199" s="5" t="s">
        <v>731</v>
      </c>
      <c r="DT3199" s="5" t="s">
        <v>240</v>
      </c>
      <c r="DU3199" s="5" t="s">
        <v>240</v>
      </c>
      <c r="DV3199" s="5" t="s">
        <v>3683</v>
      </c>
      <c r="DW3199" s="5" t="s">
        <v>512</v>
      </c>
      <c r="DX3199" s="5" t="s">
        <v>240</v>
      </c>
      <c r="DY3199" s="5" t="s">
        <v>240</v>
      </c>
      <c r="DZ3199" s="5" t="s">
        <v>240</v>
      </c>
      <c r="EA3199" s="5" t="s">
        <v>240</v>
      </c>
      <c r="EB3199" s="5" t="s">
        <v>240</v>
      </c>
      <c r="EC3199" s="5" t="s">
        <v>240</v>
      </c>
      <c r="ED3199" s="5" t="s">
        <v>240</v>
      </c>
      <c r="EE3199" s="5" t="s">
        <v>240</v>
      </c>
      <c r="EF3199" s="5" t="s">
        <v>240</v>
      </c>
      <c r="EG3199" s="5" t="s">
        <v>240</v>
      </c>
      <c r="EH3199" s="5" t="s">
        <v>240</v>
      </c>
      <c r="EI3199" s="5" t="s">
        <v>240</v>
      </c>
      <c r="EJ3199" s="5" t="s">
        <v>240</v>
      </c>
      <c r="EK3199" s="5" t="s">
        <v>240</v>
      </c>
      <c r="EL3199" s="5" t="s">
        <v>240</v>
      </c>
      <c r="EM3199" s="5" t="s">
        <v>240</v>
      </c>
      <c r="EN3199" s="5" t="s">
        <v>240</v>
      </c>
      <c r="EO3199" s="5" t="s">
        <v>240</v>
      </c>
      <c r="EP3199" s="5" t="s">
        <v>240</v>
      </c>
      <c r="EQ3199" s="5" t="s">
        <v>240</v>
      </c>
      <c r="ER3199" s="5" t="s">
        <v>240</v>
      </c>
      <c r="ES3199" s="5" t="s">
        <v>240</v>
      </c>
      <c r="ET3199" s="5" t="s">
        <v>240</v>
      </c>
      <c r="EU3199" s="5" t="s">
        <v>240</v>
      </c>
      <c r="EV3199" s="5" t="s">
        <v>240</v>
      </c>
      <c r="EW3199" s="5" t="s">
        <v>240</v>
      </c>
      <c r="EX3199" s="5" t="s">
        <v>240</v>
      </c>
      <c r="EY3199" s="5" t="s">
        <v>240</v>
      </c>
      <c r="EZ3199" s="5" t="s">
        <v>240</v>
      </c>
      <c r="FA3199" s="5" t="s">
        <v>240</v>
      </c>
      <c r="FB3199" s="5" t="s">
        <v>240</v>
      </c>
      <c r="FC3199" s="5" t="s">
        <v>240</v>
      </c>
      <c r="FD3199" s="5" t="s">
        <v>240</v>
      </c>
      <c r="FE3199" s="5" t="s">
        <v>240</v>
      </c>
      <c r="FF3199" s="5" t="s">
        <v>240</v>
      </c>
      <c r="FG3199" s="5" t="s">
        <v>240</v>
      </c>
      <c r="FH3199" s="5" t="s">
        <v>240</v>
      </c>
      <c r="FI3199" s="5" t="s">
        <v>240</v>
      </c>
      <c r="FJ3199" s="5" t="s">
        <v>240</v>
      </c>
      <c r="FK3199" s="5" t="s">
        <v>240</v>
      </c>
      <c r="FL3199" s="5" t="s">
        <v>240</v>
      </c>
      <c r="FM3199" s="5" t="s">
        <v>240</v>
      </c>
      <c r="FN3199" s="5" t="s">
        <v>240</v>
      </c>
      <c r="FO3199" s="5" t="s">
        <v>240</v>
      </c>
      <c r="FP3199" s="5" t="s">
        <v>240</v>
      </c>
      <c r="FQ3199" s="5" t="s">
        <v>240</v>
      </c>
      <c r="FR3199" s="5" t="s">
        <v>240</v>
      </c>
      <c r="FS3199" s="5" t="s">
        <v>240</v>
      </c>
      <c r="FT3199" s="5" t="s">
        <v>240</v>
      </c>
      <c r="FU3199" s="5" t="s">
        <v>240</v>
      </c>
      <c r="FV3199" s="5" t="s">
        <v>240</v>
      </c>
      <c r="FW3199" s="5" t="s">
        <v>240</v>
      </c>
      <c r="FX3199" s="5" t="s">
        <v>240</v>
      </c>
      <c r="FY3199" s="5" t="s">
        <v>240</v>
      </c>
      <c r="FZ3199" s="5" t="s">
        <v>240</v>
      </c>
      <c r="GA3199" s="5" t="s">
        <v>240</v>
      </c>
      <c r="GB3199" s="5" t="s">
        <v>240</v>
      </c>
      <c r="GC3199" s="5" t="s">
        <v>240</v>
      </c>
      <c r="GD3199" s="5" t="s">
        <v>240</v>
      </c>
      <c r="GE3199" s="5" t="s">
        <v>240</v>
      </c>
      <c r="GF3199" s="5" t="s">
        <v>240</v>
      </c>
      <c r="GG3199" s="5" t="s">
        <v>240</v>
      </c>
      <c r="GH3199" s="5" t="s">
        <v>240</v>
      </c>
      <c r="GI3199" s="5" t="s">
        <v>240</v>
      </c>
      <c r="GJ3199" s="5" t="s">
        <v>240</v>
      </c>
      <c r="GK3199" s="5" t="s">
        <v>240</v>
      </c>
      <c r="GL3199" s="5" t="s">
        <v>240</v>
      </c>
      <c r="GM3199" s="5" t="s">
        <v>240</v>
      </c>
      <c r="GN3199" s="5" t="s">
        <v>240</v>
      </c>
      <c r="GO3199" s="5" t="s">
        <v>240</v>
      </c>
      <c r="GP3199" s="5" t="s">
        <v>240</v>
      </c>
      <c r="GQ3199" s="5" t="s">
        <v>240</v>
      </c>
      <c r="GR3199" s="5" t="s">
        <v>240</v>
      </c>
      <c r="GS3199" s="5" t="s">
        <v>240</v>
      </c>
      <c r="GT3199" s="5" t="s">
        <v>240</v>
      </c>
      <c r="GU3199" s="5" t="s">
        <v>240</v>
      </c>
      <c r="GV3199" s="5" t="s">
        <v>240</v>
      </c>
      <c r="GW3199" s="5" t="s">
        <v>240</v>
      </c>
      <c r="GX3199" s="5" t="s">
        <v>240</v>
      </c>
      <c r="GY3199" s="5" t="s">
        <v>240</v>
      </c>
      <c r="GZ3199" s="5" t="s">
        <v>240</v>
      </c>
      <c r="HA3199" s="5" t="s">
        <v>240</v>
      </c>
      <c r="HB3199" s="5" t="s">
        <v>240</v>
      </c>
      <c r="HC3199" s="5" t="s">
        <v>240</v>
      </c>
      <c r="HD3199" s="5" t="s">
        <v>240</v>
      </c>
      <c r="HE3199" s="5" t="s">
        <v>240</v>
      </c>
      <c r="HF3199" s="5" t="s">
        <v>240</v>
      </c>
      <c r="HG3199" s="5" t="s">
        <v>240</v>
      </c>
      <c r="HH3199" s="5" t="s">
        <v>240</v>
      </c>
      <c r="HI3199" s="5" t="s">
        <v>240</v>
      </c>
      <c r="HJ3199" s="5" t="s">
        <v>240</v>
      </c>
      <c r="HK3199" s="5" t="s">
        <v>240</v>
      </c>
      <c r="HL3199" s="5" t="s">
        <v>240</v>
      </c>
      <c r="HM3199" s="5" t="s">
        <v>240</v>
      </c>
      <c r="HN3199" s="5" t="s">
        <v>240</v>
      </c>
      <c r="HO3199" s="5" t="s">
        <v>312</v>
      </c>
      <c r="HP3199" s="5" t="s">
        <v>240</v>
      </c>
      <c r="HQ3199" s="5" t="s">
        <v>240</v>
      </c>
      <c r="HR3199" s="5" t="s">
        <v>240</v>
      </c>
      <c r="HS3199" s="5" t="s">
        <v>240</v>
      </c>
      <c r="HT3199" s="5" t="s">
        <v>240</v>
      </c>
      <c r="HU3199" s="5" t="s">
        <v>240</v>
      </c>
      <c r="HV3199" s="5" t="s">
        <v>240</v>
      </c>
      <c r="HW3199" s="5" t="s">
        <v>240</v>
      </c>
      <c r="HX3199" s="5" t="s">
        <v>240</v>
      </c>
      <c r="HY3199" s="5" t="s">
        <v>240</v>
      </c>
      <c r="HZ3199" s="5" t="s">
        <v>240</v>
      </c>
      <c r="IA3199" s="5" t="s">
        <v>240</v>
      </c>
      <c r="IB3199" s="5" t="s">
        <v>240</v>
      </c>
      <c r="IC3199" s="5" t="s">
        <v>240</v>
      </c>
      <c r="ID3199" s="5" t="s">
        <v>240</v>
      </c>
      <c r="IE3199" s="5" t="s">
        <v>240</v>
      </c>
      <c r="IF3199" s="5" t="s">
        <v>240</v>
      </c>
    </row>
    <row r="3200" spans="1:240" x14ac:dyDescent="0.4">
      <c r="A3200" s="5">
        <v>8552</v>
      </c>
      <c r="B3200" s="5">
        <v>1</v>
      </c>
      <c r="C3200" s="5">
        <v>1</v>
      </c>
      <c r="D3200" s="5" t="s">
        <v>297</v>
      </c>
      <c r="E3200" s="5" t="s">
        <v>245</v>
      </c>
      <c r="F3200" s="5" t="s">
        <v>254</v>
      </c>
      <c r="G3200" s="5" t="s">
        <v>240</v>
      </c>
      <c r="H3200" s="6" t="s">
        <v>2105</v>
      </c>
      <c r="I3200" s="5" t="s">
        <v>2103</v>
      </c>
      <c r="K3200" s="5" t="s">
        <v>308</v>
      </c>
      <c r="L3200" s="7">
        <f>7101506</f>
        <v>7101506</v>
      </c>
      <c r="M3200" s="7">
        <f>7101506</f>
        <v>7101506</v>
      </c>
      <c r="N3200" s="5" t="s">
        <v>242</v>
      </c>
      <c r="O3200" s="5">
        <v>1</v>
      </c>
      <c r="P3200" s="5" t="s">
        <v>294</v>
      </c>
      <c r="Q3200" s="5" t="s">
        <v>3678</v>
      </c>
      <c r="R3200" s="5" t="s">
        <v>240</v>
      </c>
      <c r="S3200" s="5" t="s">
        <v>240</v>
      </c>
      <c r="T3200" s="5" t="s">
        <v>243</v>
      </c>
      <c r="U3200" s="5" t="s">
        <v>244</v>
      </c>
      <c r="V3200" s="5" t="s">
        <v>240</v>
      </c>
      <c r="W3200" s="5" t="s">
        <v>240</v>
      </c>
      <c r="X3200" s="5" t="s">
        <v>240</v>
      </c>
      <c r="Y3200" s="5" t="s">
        <v>240</v>
      </c>
      <c r="Z3200" s="6" t="s">
        <v>298</v>
      </c>
      <c r="AA3200" s="6" t="s">
        <v>240</v>
      </c>
      <c r="AB3200" s="6" t="s">
        <v>240</v>
      </c>
      <c r="AC3200" s="5" t="s">
        <v>240</v>
      </c>
      <c r="AD3200" s="6" t="s">
        <v>240</v>
      </c>
      <c r="AE3200" s="6" t="s">
        <v>299</v>
      </c>
      <c r="AF3200" s="5" t="s">
        <v>248</v>
      </c>
      <c r="AG3200" s="5" t="s">
        <v>249</v>
      </c>
      <c r="AH3200" s="5" t="s">
        <v>240</v>
      </c>
      <c r="AI3200" s="5" t="s">
        <v>240</v>
      </c>
      <c r="AJ3200" s="5" t="s">
        <v>240</v>
      </c>
      <c r="AK3200" s="5" t="s">
        <v>240</v>
      </c>
      <c r="AL3200" s="5" t="s">
        <v>240</v>
      </c>
      <c r="AM3200" s="5" t="s">
        <v>240</v>
      </c>
      <c r="AN3200" s="5" t="s">
        <v>240</v>
      </c>
      <c r="AO3200" s="5" t="s">
        <v>240</v>
      </c>
      <c r="AP3200" s="6" t="s">
        <v>240</v>
      </c>
      <c r="AQ3200" s="6" t="s">
        <v>240</v>
      </c>
      <c r="AR3200" s="6" t="s">
        <v>240</v>
      </c>
      <c r="AS3200" s="6" t="s">
        <v>240</v>
      </c>
      <c r="AT3200" s="5" t="s">
        <v>240</v>
      </c>
      <c r="AU3200" s="5" t="s">
        <v>729</v>
      </c>
      <c r="AV3200" s="5" t="s">
        <v>729</v>
      </c>
      <c r="AW3200" s="5" t="s">
        <v>251</v>
      </c>
      <c r="AX3200" s="5" t="s">
        <v>252</v>
      </c>
      <c r="AY3200" s="5" t="s">
        <v>253</v>
      </c>
      <c r="AZ3200" s="5" t="s">
        <v>240</v>
      </c>
      <c r="BA3200" s="5" t="s">
        <v>255</v>
      </c>
      <c r="BB3200" s="5" t="s">
        <v>731</v>
      </c>
      <c r="BD3200" s="5" t="s">
        <v>240</v>
      </c>
      <c r="BF3200" s="5" t="s">
        <v>732</v>
      </c>
      <c r="BG3200" s="6" t="s">
        <v>733</v>
      </c>
      <c r="BH3200" s="5" t="s">
        <v>734</v>
      </c>
      <c r="BI3200" s="5" t="s">
        <v>734</v>
      </c>
      <c r="BJ3200" s="5" t="s">
        <v>240</v>
      </c>
      <c r="BK3200" s="7">
        <f>1</f>
        <v>1</v>
      </c>
      <c r="BL3200" s="7">
        <f>1</f>
        <v>1</v>
      </c>
      <c r="BM3200" s="5" t="s">
        <v>258</v>
      </c>
      <c r="BN3200" s="5" t="s">
        <v>259</v>
      </c>
      <c r="BO3200" s="5" t="s">
        <v>240</v>
      </c>
      <c r="BP3200" s="5" t="s">
        <v>240</v>
      </c>
      <c r="BQ3200" s="5" t="s">
        <v>240</v>
      </c>
      <c r="BR3200" s="5" t="s">
        <v>240</v>
      </c>
      <c r="BS3200" s="5" t="s">
        <v>240</v>
      </c>
      <c r="BT3200" s="5" t="s">
        <v>240</v>
      </c>
      <c r="BU3200" s="5" t="s">
        <v>240</v>
      </c>
      <c r="BV3200" s="5" t="s">
        <v>240</v>
      </c>
      <c r="BW3200" s="6" t="s">
        <v>240</v>
      </c>
      <c r="BX3200" s="5" t="s">
        <v>240</v>
      </c>
      <c r="BY3200" s="5" t="s">
        <v>240</v>
      </c>
      <c r="BZ3200" s="5" t="s">
        <v>240</v>
      </c>
      <c r="CA3200" s="5" t="s">
        <v>259</v>
      </c>
      <c r="CB3200" s="5" t="s">
        <v>240</v>
      </c>
      <c r="CC3200" s="5" t="s">
        <v>240</v>
      </c>
      <c r="CD3200" s="5" t="s">
        <v>240</v>
      </c>
      <c r="CE3200" s="5" t="s">
        <v>240</v>
      </c>
      <c r="CF3200" s="5" t="s">
        <v>240</v>
      </c>
      <c r="CG3200" s="5" t="s">
        <v>304</v>
      </c>
      <c r="CH3200" s="5" t="s">
        <v>305</v>
      </c>
      <c r="CI3200" s="5" t="s">
        <v>240</v>
      </c>
      <c r="CK3200" s="5" t="s">
        <v>3681</v>
      </c>
      <c r="CL3200" s="6" t="s">
        <v>261</v>
      </c>
      <c r="CM3200" s="5" t="s">
        <v>262</v>
      </c>
      <c r="CN3200" s="5" t="s">
        <v>263</v>
      </c>
      <c r="CO3200" s="5" t="s">
        <v>264</v>
      </c>
      <c r="CP3200" s="5" t="s">
        <v>240</v>
      </c>
      <c r="CQ3200" s="5">
        <v>0</v>
      </c>
      <c r="CR3200" s="5" t="s">
        <v>735</v>
      </c>
      <c r="CS3200" s="5" t="s">
        <v>307</v>
      </c>
      <c r="CT3200" s="5" t="s">
        <v>307</v>
      </c>
      <c r="CU3200" s="5" t="s">
        <v>260</v>
      </c>
      <c r="CV3200" s="5" t="s">
        <v>612</v>
      </c>
      <c r="CW3200" s="8">
        <f>1</f>
        <v>1</v>
      </c>
      <c r="CX3200" s="7">
        <f>1</f>
        <v>1</v>
      </c>
      <c r="CY3200" s="7">
        <f>0</f>
        <v>0</v>
      </c>
      <c r="DA3200" s="7">
        <f>1</f>
        <v>1</v>
      </c>
      <c r="DB3200" s="7" t="s">
        <v>240</v>
      </c>
      <c r="DC3200" s="5" t="s">
        <v>240</v>
      </c>
      <c r="DD3200" s="5" t="s">
        <v>240</v>
      </c>
      <c r="DE3200" s="5" t="s">
        <v>240</v>
      </c>
      <c r="DF3200" s="5" t="s">
        <v>240</v>
      </c>
      <c r="DG3200" s="7">
        <f>0</f>
        <v>0</v>
      </c>
      <c r="DI3200" s="5" t="s">
        <v>240</v>
      </c>
      <c r="DJ3200" s="5" t="s">
        <v>240</v>
      </c>
      <c r="DK3200" s="5" t="s">
        <v>240</v>
      </c>
      <c r="DL3200" s="5" t="s">
        <v>240</v>
      </c>
      <c r="DM3200" s="5" t="s">
        <v>240</v>
      </c>
      <c r="DN3200" s="5" t="s">
        <v>240</v>
      </c>
      <c r="DO3200" s="7" t="s">
        <v>240</v>
      </c>
      <c r="DP3200" s="5" t="s">
        <v>240</v>
      </c>
      <c r="DQ3200" s="5" t="s">
        <v>240</v>
      </c>
      <c r="DR3200" s="5" t="s">
        <v>731</v>
      </c>
      <c r="DS3200" s="5" t="s">
        <v>731</v>
      </c>
      <c r="DT3200" s="5" t="s">
        <v>240</v>
      </c>
      <c r="DU3200" s="5" t="s">
        <v>240</v>
      </c>
      <c r="DV3200" s="5" t="s">
        <v>3683</v>
      </c>
      <c r="DW3200" s="5" t="s">
        <v>520</v>
      </c>
      <c r="DX3200" s="5" t="s">
        <v>240</v>
      </c>
      <c r="DY3200" s="5" t="s">
        <v>240</v>
      </c>
      <c r="DZ3200" s="5" t="s">
        <v>240</v>
      </c>
      <c r="EA3200" s="5" t="s">
        <v>240</v>
      </c>
      <c r="EB3200" s="5" t="s">
        <v>240</v>
      </c>
      <c r="EC3200" s="5" t="s">
        <v>240</v>
      </c>
      <c r="ED3200" s="5" t="s">
        <v>240</v>
      </c>
      <c r="EE3200" s="5" t="s">
        <v>240</v>
      </c>
      <c r="EF3200" s="5" t="s">
        <v>240</v>
      </c>
      <c r="EG3200" s="5" t="s">
        <v>240</v>
      </c>
      <c r="EH3200" s="5" t="s">
        <v>240</v>
      </c>
      <c r="EI3200" s="5" t="s">
        <v>240</v>
      </c>
      <c r="EJ3200" s="5" t="s">
        <v>240</v>
      </c>
      <c r="EK3200" s="5" t="s">
        <v>240</v>
      </c>
      <c r="EL3200" s="5" t="s">
        <v>240</v>
      </c>
      <c r="EM3200" s="5" t="s">
        <v>240</v>
      </c>
      <c r="EN3200" s="5" t="s">
        <v>240</v>
      </c>
      <c r="EO3200" s="5" t="s">
        <v>240</v>
      </c>
      <c r="EP3200" s="5" t="s">
        <v>240</v>
      </c>
      <c r="EQ3200" s="5" t="s">
        <v>240</v>
      </c>
      <c r="ER3200" s="5" t="s">
        <v>240</v>
      </c>
      <c r="ES3200" s="5" t="s">
        <v>240</v>
      </c>
      <c r="ET3200" s="5" t="s">
        <v>240</v>
      </c>
      <c r="EU3200" s="5" t="s">
        <v>240</v>
      </c>
      <c r="EV3200" s="5" t="s">
        <v>240</v>
      </c>
      <c r="EW3200" s="5" t="s">
        <v>240</v>
      </c>
      <c r="EX3200" s="5" t="s">
        <v>240</v>
      </c>
      <c r="EY3200" s="5" t="s">
        <v>240</v>
      </c>
      <c r="EZ3200" s="5" t="s">
        <v>240</v>
      </c>
      <c r="FA3200" s="5" t="s">
        <v>240</v>
      </c>
      <c r="FB3200" s="5" t="s">
        <v>240</v>
      </c>
      <c r="FC3200" s="5" t="s">
        <v>240</v>
      </c>
      <c r="FD3200" s="5" t="s">
        <v>240</v>
      </c>
      <c r="FE3200" s="5" t="s">
        <v>240</v>
      </c>
      <c r="FF3200" s="5" t="s">
        <v>240</v>
      </c>
      <c r="FG3200" s="5" t="s">
        <v>240</v>
      </c>
      <c r="FH3200" s="5" t="s">
        <v>240</v>
      </c>
      <c r="FI3200" s="5" t="s">
        <v>240</v>
      </c>
      <c r="FJ3200" s="5" t="s">
        <v>240</v>
      </c>
      <c r="FK3200" s="5" t="s">
        <v>240</v>
      </c>
      <c r="FL3200" s="5" t="s">
        <v>240</v>
      </c>
      <c r="FM3200" s="5" t="s">
        <v>240</v>
      </c>
      <c r="FN3200" s="5" t="s">
        <v>240</v>
      </c>
      <c r="FO3200" s="5" t="s">
        <v>240</v>
      </c>
      <c r="FP3200" s="5" t="s">
        <v>240</v>
      </c>
      <c r="FQ3200" s="5" t="s">
        <v>240</v>
      </c>
      <c r="FR3200" s="5" t="s">
        <v>240</v>
      </c>
      <c r="FS3200" s="5" t="s">
        <v>240</v>
      </c>
      <c r="FT3200" s="5" t="s">
        <v>240</v>
      </c>
      <c r="FU3200" s="5" t="s">
        <v>240</v>
      </c>
      <c r="FV3200" s="5" t="s">
        <v>240</v>
      </c>
      <c r="FW3200" s="5" t="s">
        <v>240</v>
      </c>
      <c r="FX3200" s="5" t="s">
        <v>240</v>
      </c>
      <c r="FY3200" s="5" t="s">
        <v>240</v>
      </c>
      <c r="FZ3200" s="5" t="s">
        <v>240</v>
      </c>
      <c r="GA3200" s="5" t="s">
        <v>240</v>
      </c>
      <c r="GB3200" s="5" t="s">
        <v>240</v>
      </c>
      <c r="GC3200" s="5" t="s">
        <v>240</v>
      </c>
      <c r="GD3200" s="5" t="s">
        <v>240</v>
      </c>
      <c r="GE3200" s="5" t="s">
        <v>240</v>
      </c>
      <c r="GF3200" s="5" t="s">
        <v>240</v>
      </c>
      <c r="GG3200" s="5" t="s">
        <v>240</v>
      </c>
      <c r="GH3200" s="5" t="s">
        <v>240</v>
      </c>
      <c r="GI3200" s="5" t="s">
        <v>240</v>
      </c>
      <c r="GJ3200" s="5" t="s">
        <v>240</v>
      </c>
      <c r="GK3200" s="5" t="s">
        <v>240</v>
      </c>
      <c r="GL3200" s="5" t="s">
        <v>240</v>
      </c>
      <c r="GM3200" s="5" t="s">
        <v>240</v>
      </c>
      <c r="GN3200" s="5" t="s">
        <v>240</v>
      </c>
      <c r="GO3200" s="5" t="s">
        <v>240</v>
      </c>
      <c r="GP3200" s="5" t="s">
        <v>240</v>
      </c>
      <c r="GQ3200" s="5" t="s">
        <v>240</v>
      </c>
      <c r="GR3200" s="5" t="s">
        <v>240</v>
      </c>
      <c r="GS3200" s="5" t="s">
        <v>240</v>
      </c>
      <c r="GT3200" s="5" t="s">
        <v>240</v>
      </c>
      <c r="GU3200" s="5" t="s">
        <v>240</v>
      </c>
      <c r="GV3200" s="5" t="s">
        <v>240</v>
      </c>
      <c r="GW3200" s="5" t="s">
        <v>240</v>
      </c>
      <c r="GX3200" s="5" t="s">
        <v>240</v>
      </c>
      <c r="GY3200" s="5" t="s">
        <v>240</v>
      </c>
      <c r="GZ3200" s="5" t="s">
        <v>240</v>
      </c>
      <c r="HA3200" s="5" t="s">
        <v>240</v>
      </c>
      <c r="HB3200" s="5" t="s">
        <v>240</v>
      </c>
      <c r="HC3200" s="5" t="s">
        <v>240</v>
      </c>
      <c r="HD3200" s="5" t="s">
        <v>240</v>
      </c>
      <c r="HE3200" s="5" t="s">
        <v>240</v>
      </c>
      <c r="HF3200" s="5" t="s">
        <v>240</v>
      </c>
      <c r="HG3200" s="5" t="s">
        <v>240</v>
      </c>
      <c r="HH3200" s="5" t="s">
        <v>240</v>
      </c>
      <c r="HI3200" s="5" t="s">
        <v>240</v>
      </c>
      <c r="HJ3200" s="5" t="s">
        <v>240</v>
      </c>
      <c r="HK3200" s="5" t="s">
        <v>240</v>
      </c>
      <c r="HL3200" s="5" t="s">
        <v>240</v>
      </c>
      <c r="HM3200" s="5" t="s">
        <v>240</v>
      </c>
      <c r="HN3200" s="5" t="s">
        <v>240</v>
      </c>
      <c r="HO3200" s="5" t="s">
        <v>312</v>
      </c>
      <c r="HP3200" s="5" t="s">
        <v>240</v>
      </c>
      <c r="HQ3200" s="5" t="s">
        <v>240</v>
      </c>
      <c r="HR3200" s="5" t="s">
        <v>240</v>
      </c>
      <c r="HS3200" s="5" t="s">
        <v>240</v>
      </c>
      <c r="HT3200" s="5" t="s">
        <v>240</v>
      </c>
      <c r="HU3200" s="5" t="s">
        <v>240</v>
      </c>
      <c r="HV3200" s="5" t="s">
        <v>240</v>
      </c>
      <c r="HW3200" s="5" t="s">
        <v>240</v>
      </c>
      <c r="HX3200" s="5" t="s">
        <v>240</v>
      </c>
      <c r="HY3200" s="5" t="s">
        <v>240</v>
      </c>
      <c r="HZ3200" s="5" t="s">
        <v>240</v>
      </c>
      <c r="IA3200" s="5" t="s">
        <v>240</v>
      </c>
      <c r="IB3200" s="5" t="s">
        <v>240</v>
      </c>
      <c r="IC3200" s="5" t="s">
        <v>240</v>
      </c>
      <c r="ID3200" s="5" t="s">
        <v>240</v>
      </c>
      <c r="IE3200" s="5" t="s">
        <v>240</v>
      </c>
      <c r="IF3200" s="5" t="s">
        <v>240</v>
      </c>
    </row>
    <row r="3201" spans="1:240" x14ac:dyDescent="0.4">
      <c r="A3201" s="5">
        <v>8553</v>
      </c>
      <c r="B3201" s="5">
        <v>1</v>
      </c>
      <c r="C3201" s="5">
        <v>1</v>
      </c>
      <c r="D3201" s="5" t="s">
        <v>297</v>
      </c>
      <c r="E3201" s="5" t="s">
        <v>245</v>
      </c>
      <c r="F3201" s="5" t="s">
        <v>254</v>
      </c>
      <c r="G3201" s="5" t="s">
        <v>240</v>
      </c>
      <c r="H3201" s="6" t="s">
        <v>2100</v>
      </c>
      <c r="I3201" s="5" t="s">
        <v>2098</v>
      </c>
      <c r="J3201" s="8">
        <f>526.65</f>
        <v>526.65</v>
      </c>
      <c r="K3201" s="5" t="s">
        <v>308</v>
      </c>
      <c r="L3201" s="7">
        <f>5266793</f>
        <v>5266793</v>
      </c>
      <c r="M3201" s="7">
        <f>5266793</f>
        <v>5266793</v>
      </c>
      <c r="N3201" s="5" t="s">
        <v>242</v>
      </c>
      <c r="O3201" s="5">
        <v>1</v>
      </c>
      <c r="P3201" s="5" t="s">
        <v>294</v>
      </c>
      <c r="Q3201" s="5" t="s">
        <v>3678</v>
      </c>
      <c r="R3201" s="5" t="s">
        <v>240</v>
      </c>
      <c r="S3201" s="5" t="s">
        <v>240</v>
      </c>
      <c r="T3201" s="5" t="s">
        <v>243</v>
      </c>
      <c r="U3201" s="5" t="s">
        <v>244</v>
      </c>
      <c r="V3201" s="5" t="s">
        <v>240</v>
      </c>
      <c r="W3201" s="5" t="s">
        <v>240</v>
      </c>
      <c r="X3201" s="5" t="s">
        <v>240</v>
      </c>
      <c r="Y3201" s="5" t="s">
        <v>240</v>
      </c>
      <c r="Z3201" s="6" t="s">
        <v>298</v>
      </c>
      <c r="AA3201" s="6" t="s">
        <v>240</v>
      </c>
      <c r="AB3201" s="6" t="s">
        <v>240</v>
      </c>
      <c r="AC3201" s="5" t="s">
        <v>240</v>
      </c>
      <c r="AD3201" s="6" t="s">
        <v>240</v>
      </c>
      <c r="AE3201" s="6" t="s">
        <v>299</v>
      </c>
      <c r="AF3201" s="5" t="s">
        <v>248</v>
      </c>
      <c r="AG3201" s="5" t="s">
        <v>249</v>
      </c>
      <c r="AH3201" s="5" t="s">
        <v>240</v>
      </c>
      <c r="AI3201" s="5" t="s">
        <v>240</v>
      </c>
      <c r="AJ3201" s="5" t="s">
        <v>240</v>
      </c>
      <c r="AK3201" s="5" t="s">
        <v>240</v>
      </c>
      <c r="AL3201" s="5" t="s">
        <v>240</v>
      </c>
      <c r="AM3201" s="5" t="s">
        <v>240</v>
      </c>
      <c r="AN3201" s="5" t="s">
        <v>240</v>
      </c>
      <c r="AO3201" s="5" t="s">
        <v>240</v>
      </c>
      <c r="AP3201" s="6" t="s">
        <v>240</v>
      </c>
      <c r="AQ3201" s="6" t="s">
        <v>240</v>
      </c>
      <c r="AR3201" s="6" t="s">
        <v>240</v>
      </c>
      <c r="AS3201" s="6" t="s">
        <v>240</v>
      </c>
      <c r="AT3201" s="5" t="s">
        <v>240</v>
      </c>
      <c r="AU3201" s="5" t="s">
        <v>729</v>
      </c>
      <c r="AV3201" s="5" t="s">
        <v>729</v>
      </c>
      <c r="AW3201" s="5" t="s">
        <v>251</v>
      </c>
      <c r="AX3201" s="5" t="s">
        <v>252</v>
      </c>
      <c r="AY3201" s="5" t="s">
        <v>253</v>
      </c>
      <c r="AZ3201" s="5" t="s">
        <v>240</v>
      </c>
      <c r="BA3201" s="5" t="s">
        <v>255</v>
      </c>
      <c r="BB3201" s="5" t="s">
        <v>731</v>
      </c>
      <c r="BD3201" s="5" t="s">
        <v>240</v>
      </c>
      <c r="BF3201" s="5" t="s">
        <v>732</v>
      </c>
      <c r="BG3201" s="6" t="s">
        <v>733</v>
      </c>
      <c r="BH3201" s="5" t="s">
        <v>734</v>
      </c>
      <c r="BI3201" s="5" t="s">
        <v>734</v>
      </c>
      <c r="BJ3201" s="5" t="s">
        <v>240</v>
      </c>
      <c r="BK3201" s="7">
        <f>1</f>
        <v>1</v>
      </c>
      <c r="BL3201" s="7">
        <f>1</f>
        <v>1</v>
      </c>
      <c r="BM3201" s="5" t="s">
        <v>258</v>
      </c>
      <c r="BN3201" s="5" t="s">
        <v>259</v>
      </c>
      <c r="BO3201" s="5" t="s">
        <v>240</v>
      </c>
      <c r="BP3201" s="5" t="s">
        <v>240</v>
      </c>
      <c r="BQ3201" s="5" t="s">
        <v>240</v>
      </c>
      <c r="BR3201" s="5" t="s">
        <v>240</v>
      </c>
      <c r="BS3201" s="5" t="s">
        <v>240</v>
      </c>
      <c r="BT3201" s="5" t="s">
        <v>240</v>
      </c>
      <c r="BU3201" s="5" t="s">
        <v>240</v>
      </c>
      <c r="BV3201" s="5" t="s">
        <v>240</v>
      </c>
      <c r="BW3201" s="6" t="s">
        <v>240</v>
      </c>
      <c r="BX3201" s="5" t="s">
        <v>240</v>
      </c>
      <c r="BY3201" s="5" t="s">
        <v>240</v>
      </c>
      <c r="BZ3201" s="5" t="s">
        <v>240</v>
      </c>
      <c r="CA3201" s="5" t="s">
        <v>259</v>
      </c>
      <c r="CB3201" s="5" t="s">
        <v>240</v>
      </c>
      <c r="CC3201" s="5" t="s">
        <v>240</v>
      </c>
      <c r="CD3201" s="5" t="s">
        <v>240</v>
      </c>
      <c r="CE3201" s="5" t="s">
        <v>240</v>
      </c>
      <c r="CF3201" s="5" t="s">
        <v>240</v>
      </c>
      <c r="CG3201" s="5" t="s">
        <v>304</v>
      </c>
      <c r="CH3201" s="5" t="s">
        <v>305</v>
      </c>
      <c r="CI3201" s="5" t="s">
        <v>240</v>
      </c>
      <c r="CK3201" s="5" t="s">
        <v>3681</v>
      </c>
      <c r="CL3201" s="6" t="s">
        <v>261</v>
      </c>
      <c r="CM3201" s="5" t="s">
        <v>262</v>
      </c>
      <c r="CN3201" s="5" t="s">
        <v>263</v>
      </c>
      <c r="CO3201" s="5" t="s">
        <v>264</v>
      </c>
      <c r="CP3201" s="5" t="s">
        <v>240</v>
      </c>
      <c r="CQ3201" s="5">
        <v>0</v>
      </c>
      <c r="CR3201" s="5" t="s">
        <v>735</v>
      </c>
      <c r="CS3201" s="5" t="s">
        <v>307</v>
      </c>
      <c r="CT3201" s="5" t="s">
        <v>307</v>
      </c>
      <c r="CU3201" s="5" t="s">
        <v>260</v>
      </c>
      <c r="CV3201" s="5" t="s">
        <v>612</v>
      </c>
      <c r="CW3201" s="8">
        <f>1</f>
        <v>1</v>
      </c>
      <c r="CX3201" s="7">
        <f>1</f>
        <v>1</v>
      </c>
      <c r="CY3201" s="7">
        <f>0</f>
        <v>0</v>
      </c>
      <c r="DA3201" s="7">
        <f>1</f>
        <v>1</v>
      </c>
      <c r="DB3201" s="7" t="s">
        <v>240</v>
      </c>
      <c r="DC3201" s="5" t="s">
        <v>240</v>
      </c>
      <c r="DD3201" s="5" t="s">
        <v>240</v>
      </c>
      <c r="DE3201" s="5" t="s">
        <v>240</v>
      </c>
      <c r="DF3201" s="5" t="s">
        <v>240</v>
      </c>
      <c r="DG3201" s="7">
        <f>0</f>
        <v>0</v>
      </c>
      <c r="DI3201" s="5" t="s">
        <v>240</v>
      </c>
      <c r="DJ3201" s="5" t="s">
        <v>240</v>
      </c>
      <c r="DK3201" s="5" t="s">
        <v>240</v>
      </c>
      <c r="DL3201" s="5" t="s">
        <v>240</v>
      </c>
      <c r="DM3201" s="5" t="s">
        <v>240</v>
      </c>
      <c r="DN3201" s="5" t="s">
        <v>240</v>
      </c>
      <c r="DO3201" s="7" t="s">
        <v>240</v>
      </c>
      <c r="DP3201" s="5" t="s">
        <v>240</v>
      </c>
      <c r="DQ3201" s="5" t="s">
        <v>240</v>
      </c>
      <c r="DR3201" s="5" t="s">
        <v>731</v>
      </c>
      <c r="DS3201" s="5" t="s">
        <v>731</v>
      </c>
      <c r="DT3201" s="5" t="s">
        <v>240</v>
      </c>
      <c r="DU3201" s="5" t="s">
        <v>240</v>
      </c>
      <c r="DV3201" s="5" t="s">
        <v>3683</v>
      </c>
      <c r="DW3201" s="5" t="s">
        <v>1221</v>
      </c>
      <c r="DX3201" s="5" t="s">
        <v>240</v>
      </c>
      <c r="DY3201" s="5" t="s">
        <v>240</v>
      </c>
      <c r="DZ3201" s="5" t="s">
        <v>240</v>
      </c>
      <c r="EA3201" s="5" t="s">
        <v>240</v>
      </c>
      <c r="EB3201" s="5" t="s">
        <v>240</v>
      </c>
      <c r="EC3201" s="5" t="s">
        <v>240</v>
      </c>
      <c r="ED3201" s="5" t="s">
        <v>240</v>
      </c>
      <c r="EE3201" s="5" t="s">
        <v>240</v>
      </c>
      <c r="EF3201" s="5" t="s">
        <v>240</v>
      </c>
      <c r="EG3201" s="5" t="s">
        <v>240</v>
      </c>
      <c r="EH3201" s="5" t="s">
        <v>240</v>
      </c>
      <c r="EI3201" s="5" t="s">
        <v>240</v>
      </c>
      <c r="EJ3201" s="5" t="s">
        <v>240</v>
      </c>
      <c r="EK3201" s="5" t="s">
        <v>240</v>
      </c>
      <c r="EL3201" s="5" t="s">
        <v>240</v>
      </c>
      <c r="EM3201" s="5" t="s">
        <v>240</v>
      </c>
      <c r="EN3201" s="5" t="s">
        <v>240</v>
      </c>
      <c r="EO3201" s="5" t="s">
        <v>240</v>
      </c>
      <c r="EP3201" s="5" t="s">
        <v>240</v>
      </c>
      <c r="EQ3201" s="5" t="s">
        <v>240</v>
      </c>
      <c r="ER3201" s="5" t="s">
        <v>240</v>
      </c>
      <c r="ES3201" s="5" t="s">
        <v>240</v>
      </c>
      <c r="ET3201" s="5" t="s">
        <v>240</v>
      </c>
      <c r="EU3201" s="5" t="s">
        <v>240</v>
      </c>
      <c r="EV3201" s="5" t="s">
        <v>240</v>
      </c>
      <c r="EW3201" s="5" t="s">
        <v>240</v>
      </c>
      <c r="EX3201" s="5" t="s">
        <v>240</v>
      </c>
      <c r="EY3201" s="5" t="s">
        <v>240</v>
      </c>
      <c r="EZ3201" s="5" t="s">
        <v>240</v>
      </c>
      <c r="FA3201" s="5" t="s">
        <v>240</v>
      </c>
      <c r="FB3201" s="5" t="s">
        <v>240</v>
      </c>
      <c r="FC3201" s="5" t="s">
        <v>240</v>
      </c>
      <c r="FD3201" s="5" t="s">
        <v>240</v>
      </c>
      <c r="FE3201" s="5" t="s">
        <v>240</v>
      </c>
      <c r="FF3201" s="5" t="s">
        <v>240</v>
      </c>
      <c r="FG3201" s="5" t="s">
        <v>240</v>
      </c>
      <c r="FH3201" s="5" t="s">
        <v>240</v>
      </c>
      <c r="FI3201" s="5" t="s">
        <v>240</v>
      </c>
      <c r="FJ3201" s="5" t="s">
        <v>240</v>
      </c>
      <c r="FK3201" s="5" t="s">
        <v>240</v>
      </c>
      <c r="FL3201" s="5" t="s">
        <v>240</v>
      </c>
      <c r="FM3201" s="5" t="s">
        <v>240</v>
      </c>
      <c r="FN3201" s="5" t="s">
        <v>240</v>
      </c>
      <c r="FO3201" s="5" t="s">
        <v>240</v>
      </c>
      <c r="FP3201" s="5" t="s">
        <v>240</v>
      </c>
      <c r="FQ3201" s="5" t="s">
        <v>240</v>
      </c>
      <c r="FR3201" s="5" t="s">
        <v>240</v>
      </c>
      <c r="FS3201" s="5" t="s">
        <v>240</v>
      </c>
      <c r="FT3201" s="5" t="s">
        <v>240</v>
      </c>
      <c r="FU3201" s="5" t="s">
        <v>240</v>
      </c>
      <c r="FV3201" s="5" t="s">
        <v>240</v>
      </c>
      <c r="FW3201" s="5" t="s">
        <v>240</v>
      </c>
      <c r="FX3201" s="5" t="s">
        <v>240</v>
      </c>
      <c r="FY3201" s="5" t="s">
        <v>240</v>
      </c>
      <c r="FZ3201" s="5" t="s">
        <v>240</v>
      </c>
      <c r="GA3201" s="5" t="s">
        <v>240</v>
      </c>
      <c r="GB3201" s="5" t="s">
        <v>240</v>
      </c>
      <c r="GC3201" s="5" t="s">
        <v>240</v>
      </c>
      <c r="GD3201" s="5" t="s">
        <v>240</v>
      </c>
      <c r="GE3201" s="5" t="s">
        <v>240</v>
      </c>
      <c r="GF3201" s="5" t="s">
        <v>240</v>
      </c>
      <c r="GG3201" s="5" t="s">
        <v>240</v>
      </c>
      <c r="GH3201" s="5" t="s">
        <v>240</v>
      </c>
      <c r="GI3201" s="5" t="s">
        <v>240</v>
      </c>
      <c r="GJ3201" s="5" t="s">
        <v>240</v>
      </c>
      <c r="GK3201" s="5" t="s">
        <v>240</v>
      </c>
      <c r="GL3201" s="5" t="s">
        <v>240</v>
      </c>
      <c r="GM3201" s="5" t="s">
        <v>240</v>
      </c>
      <c r="GN3201" s="5" t="s">
        <v>240</v>
      </c>
      <c r="GO3201" s="5" t="s">
        <v>240</v>
      </c>
      <c r="GP3201" s="5" t="s">
        <v>240</v>
      </c>
      <c r="GQ3201" s="5" t="s">
        <v>240</v>
      </c>
      <c r="GR3201" s="5" t="s">
        <v>240</v>
      </c>
      <c r="GS3201" s="5" t="s">
        <v>240</v>
      </c>
      <c r="GT3201" s="5" t="s">
        <v>240</v>
      </c>
      <c r="GU3201" s="5" t="s">
        <v>240</v>
      </c>
      <c r="GV3201" s="5" t="s">
        <v>240</v>
      </c>
      <c r="GW3201" s="5" t="s">
        <v>240</v>
      </c>
      <c r="GX3201" s="5" t="s">
        <v>240</v>
      </c>
      <c r="GY3201" s="5" t="s">
        <v>240</v>
      </c>
      <c r="GZ3201" s="5" t="s">
        <v>240</v>
      </c>
      <c r="HA3201" s="5" t="s">
        <v>240</v>
      </c>
      <c r="HB3201" s="5" t="s">
        <v>240</v>
      </c>
      <c r="HC3201" s="5" t="s">
        <v>240</v>
      </c>
      <c r="HD3201" s="5" t="s">
        <v>240</v>
      </c>
      <c r="HE3201" s="5" t="s">
        <v>240</v>
      </c>
      <c r="HF3201" s="5" t="s">
        <v>240</v>
      </c>
      <c r="HG3201" s="5" t="s">
        <v>240</v>
      </c>
      <c r="HH3201" s="5" t="s">
        <v>240</v>
      </c>
      <c r="HI3201" s="5" t="s">
        <v>240</v>
      </c>
      <c r="HJ3201" s="5" t="s">
        <v>240</v>
      </c>
      <c r="HK3201" s="5" t="s">
        <v>240</v>
      </c>
      <c r="HL3201" s="5" t="s">
        <v>240</v>
      </c>
      <c r="HM3201" s="5" t="s">
        <v>240</v>
      </c>
      <c r="HN3201" s="5" t="s">
        <v>240</v>
      </c>
      <c r="HO3201" s="5" t="s">
        <v>312</v>
      </c>
      <c r="HP3201" s="5" t="s">
        <v>240</v>
      </c>
      <c r="HQ3201" s="5" t="s">
        <v>240</v>
      </c>
      <c r="HR3201" s="5" t="s">
        <v>240</v>
      </c>
      <c r="HS3201" s="5" t="s">
        <v>240</v>
      </c>
      <c r="HT3201" s="5" t="s">
        <v>240</v>
      </c>
      <c r="HU3201" s="5" t="s">
        <v>240</v>
      </c>
      <c r="HV3201" s="5" t="s">
        <v>240</v>
      </c>
      <c r="HW3201" s="5" t="s">
        <v>240</v>
      </c>
      <c r="HX3201" s="5" t="s">
        <v>240</v>
      </c>
      <c r="HY3201" s="5" t="s">
        <v>240</v>
      </c>
      <c r="HZ3201" s="5" t="s">
        <v>240</v>
      </c>
      <c r="IA3201" s="5" t="s">
        <v>240</v>
      </c>
      <c r="IB3201" s="5" t="s">
        <v>240</v>
      </c>
      <c r="IC3201" s="5" t="s">
        <v>240</v>
      </c>
      <c r="ID3201" s="5" t="s">
        <v>240</v>
      </c>
      <c r="IE3201" s="5" t="s">
        <v>240</v>
      </c>
      <c r="IF3201" s="5" t="s">
        <v>240</v>
      </c>
    </row>
    <row r="3202" spans="1:240" x14ac:dyDescent="0.4">
      <c r="A3202" s="5">
        <v>8554</v>
      </c>
      <c r="B3202" s="5">
        <v>1</v>
      </c>
      <c r="C3202" s="5">
        <v>2</v>
      </c>
      <c r="D3202" s="5" t="s">
        <v>240</v>
      </c>
      <c r="E3202" s="5" t="s">
        <v>245</v>
      </c>
      <c r="F3202" s="5" t="s">
        <v>254</v>
      </c>
      <c r="G3202" s="5" t="s">
        <v>7042</v>
      </c>
      <c r="I3202" s="5" t="s">
        <v>7196</v>
      </c>
      <c r="J3202" s="8">
        <f>75.04</f>
        <v>75.040000000000006</v>
      </c>
      <c r="K3202" s="5" t="s">
        <v>308</v>
      </c>
      <c r="L3202" s="7">
        <f>105056</f>
        <v>105056</v>
      </c>
      <c r="M3202" s="7">
        <f>105056</f>
        <v>105056</v>
      </c>
      <c r="N3202" s="5" t="s">
        <v>242</v>
      </c>
      <c r="O3202" s="5">
        <v>1</v>
      </c>
      <c r="P3202" s="5" t="s">
        <v>294</v>
      </c>
      <c r="Q3202" s="5" t="s">
        <v>266</v>
      </c>
      <c r="R3202" s="5" t="s">
        <v>240</v>
      </c>
      <c r="S3202" s="5" t="s">
        <v>240</v>
      </c>
      <c r="T3202" s="5" t="s">
        <v>296</v>
      </c>
      <c r="U3202" s="5" t="s">
        <v>244</v>
      </c>
      <c r="V3202" s="5" t="s">
        <v>240</v>
      </c>
      <c r="Y3202" s="5" t="s">
        <v>240</v>
      </c>
      <c r="Z3202" s="6" t="s">
        <v>298</v>
      </c>
      <c r="AB3202" s="6" t="s">
        <v>240</v>
      </c>
      <c r="AE3202" s="6" t="s">
        <v>299</v>
      </c>
      <c r="AF3202" s="5" t="s">
        <v>248</v>
      </c>
      <c r="AG3202" s="5" t="s">
        <v>249</v>
      </c>
      <c r="AW3202" s="5" t="s">
        <v>251</v>
      </c>
      <c r="AX3202" s="5" t="s">
        <v>240</v>
      </c>
      <c r="AY3202" s="5" t="s">
        <v>253</v>
      </c>
      <c r="AZ3202" s="5" t="s">
        <v>240</v>
      </c>
      <c r="BA3202" s="5" t="s">
        <v>255</v>
      </c>
      <c r="BB3202" s="5" t="s">
        <v>240</v>
      </c>
      <c r="BD3202" s="5" t="s">
        <v>240</v>
      </c>
      <c r="BF3202" s="5" t="s">
        <v>301</v>
      </c>
      <c r="BG3202" s="6" t="s">
        <v>299</v>
      </c>
      <c r="BH3202" s="5" t="s">
        <v>302</v>
      </c>
      <c r="BI3202" s="5" t="s">
        <v>303</v>
      </c>
      <c r="BJ3202" s="5" t="s">
        <v>240</v>
      </c>
      <c r="BK3202" s="8">
        <f>0</f>
        <v>0</v>
      </c>
      <c r="BL3202" s="7">
        <f>0</f>
        <v>0</v>
      </c>
      <c r="BM3202" s="5" t="s">
        <v>258</v>
      </c>
      <c r="BN3202" s="5" t="s">
        <v>259</v>
      </c>
      <c r="CB3202" s="5" t="s">
        <v>240</v>
      </c>
      <c r="CC3202" s="5" t="s">
        <v>240</v>
      </c>
      <c r="CG3202" s="5" t="s">
        <v>304</v>
      </c>
      <c r="CH3202" s="5" t="s">
        <v>305</v>
      </c>
      <c r="CI3202" s="5" t="s">
        <v>240</v>
      </c>
      <c r="CL3202" s="6" t="s">
        <v>261</v>
      </c>
      <c r="CM3202" s="5" t="s">
        <v>240</v>
      </c>
      <c r="CN3202" s="5" t="s">
        <v>263</v>
      </c>
      <c r="CO3202" s="5" t="s">
        <v>240</v>
      </c>
      <c r="CP3202" s="5" t="s">
        <v>240</v>
      </c>
      <c r="CQ3202" s="5">
        <v>0</v>
      </c>
      <c r="CR3202" s="5" t="s">
        <v>306</v>
      </c>
      <c r="CS3202" s="5" t="s">
        <v>307</v>
      </c>
      <c r="CT3202" s="5" t="s">
        <v>307</v>
      </c>
      <c r="CU3202" s="5" t="s">
        <v>260</v>
      </c>
      <c r="CX3202" s="7">
        <f>1</f>
        <v>1</v>
      </c>
      <c r="CY3202" s="7">
        <f>0</f>
        <v>0</v>
      </c>
      <c r="DA3202" s="7">
        <f>0</f>
        <v>0</v>
      </c>
      <c r="DC3202" s="5" t="s">
        <v>309</v>
      </c>
      <c r="DD3202" s="5" t="s">
        <v>240</v>
      </c>
      <c r="DF3202" s="5" t="s">
        <v>309</v>
      </c>
      <c r="DG3202" s="7">
        <f>2009</f>
        <v>2009</v>
      </c>
      <c r="DI3202" s="5" t="s">
        <v>240</v>
      </c>
      <c r="DJ3202" s="5" t="s">
        <v>240</v>
      </c>
      <c r="DK3202" s="5" t="s">
        <v>240</v>
      </c>
      <c r="DL3202" s="5" t="s">
        <v>240</v>
      </c>
      <c r="DP3202" s="5" t="s">
        <v>240</v>
      </c>
      <c r="DQ3202" s="5" t="s">
        <v>240</v>
      </c>
      <c r="DR3202" s="5" t="s">
        <v>240</v>
      </c>
      <c r="DS3202" s="5" t="s">
        <v>240</v>
      </c>
      <c r="DV3202" s="5" t="s">
        <v>310</v>
      </c>
      <c r="DW3202" s="5" t="s">
        <v>2880</v>
      </c>
      <c r="HO3202" s="5" t="s">
        <v>312</v>
      </c>
    </row>
    <row r="3203" spans="1:240" x14ac:dyDescent="0.4">
      <c r="A3203" s="5">
        <v>8555</v>
      </c>
      <c r="B3203" s="5">
        <v>1</v>
      </c>
      <c r="C3203" s="5">
        <v>2</v>
      </c>
      <c r="D3203" s="5" t="s">
        <v>240</v>
      </c>
      <c r="E3203" s="5" t="s">
        <v>245</v>
      </c>
      <c r="F3203" s="5" t="s">
        <v>254</v>
      </c>
      <c r="G3203" s="5" t="s">
        <v>7042</v>
      </c>
      <c r="I3203" s="5" t="s">
        <v>7040</v>
      </c>
      <c r="J3203" s="8">
        <f>110.15</f>
        <v>110.15</v>
      </c>
      <c r="K3203" s="5" t="s">
        <v>308</v>
      </c>
      <c r="L3203" s="7">
        <f>220300</f>
        <v>220300</v>
      </c>
      <c r="M3203" s="7">
        <f>220300</f>
        <v>220300</v>
      </c>
      <c r="N3203" s="5" t="s">
        <v>242</v>
      </c>
      <c r="O3203" s="5">
        <v>1</v>
      </c>
      <c r="P3203" s="5" t="s">
        <v>294</v>
      </c>
      <c r="Q3203" s="5" t="s">
        <v>3678</v>
      </c>
      <c r="R3203" s="5" t="s">
        <v>240</v>
      </c>
      <c r="S3203" s="5" t="s">
        <v>240</v>
      </c>
      <c r="T3203" s="5" t="s">
        <v>243</v>
      </c>
      <c r="U3203" s="5" t="s">
        <v>244</v>
      </c>
      <c r="V3203" s="5" t="s">
        <v>240</v>
      </c>
      <c r="W3203" s="5" t="s">
        <v>240</v>
      </c>
      <c r="X3203" s="5" t="s">
        <v>240</v>
      </c>
      <c r="Y3203" s="5" t="s">
        <v>240</v>
      </c>
      <c r="Z3203" s="6" t="s">
        <v>298</v>
      </c>
      <c r="AA3203" s="6" t="s">
        <v>240</v>
      </c>
      <c r="AB3203" s="6" t="s">
        <v>240</v>
      </c>
      <c r="AC3203" s="5" t="s">
        <v>240</v>
      </c>
      <c r="AD3203" s="6" t="s">
        <v>240</v>
      </c>
      <c r="AE3203" s="6" t="s">
        <v>299</v>
      </c>
      <c r="AF3203" s="5" t="s">
        <v>248</v>
      </c>
      <c r="AG3203" s="5" t="s">
        <v>249</v>
      </c>
      <c r="AH3203" s="5" t="s">
        <v>240</v>
      </c>
      <c r="AI3203" s="5" t="s">
        <v>240</v>
      </c>
      <c r="AJ3203" s="5" t="s">
        <v>240</v>
      </c>
      <c r="AK3203" s="5" t="s">
        <v>240</v>
      </c>
      <c r="AL3203" s="5" t="s">
        <v>240</v>
      </c>
      <c r="AM3203" s="5" t="s">
        <v>240</v>
      </c>
      <c r="AN3203" s="5" t="s">
        <v>240</v>
      </c>
      <c r="AO3203" s="5" t="s">
        <v>240</v>
      </c>
      <c r="AP3203" s="6" t="s">
        <v>240</v>
      </c>
      <c r="AQ3203" s="6" t="s">
        <v>240</v>
      </c>
      <c r="AR3203" s="6" t="s">
        <v>240</v>
      </c>
      <c r="AS3203" s="6" t="s">
        <v>240</v>
      </c>
      <c r="AT3203" s="5" t="s">
        <v>240</v>
      </c>
      <c r="AU3203" s="5" t="s">
        <v>729</v>
      </c>
      <c r="AV3203" s="5" t="s">
        <v>729</v>
      </c>
      <c r="AW3203" s="5" t="s">
        <v>251</v>
      </c>
      <c r="AX3203" s="5" t="s">
        <v>252</v>
      </c>
      <c r="AY3203" s="5" t="s">
        <v>253</v>
      </c>
      <c r="AZ3203" s="5" t="s">
        <v>240</v>
      </c>
      <c r="BA3203" s="5" t="s">
        <v>255</v>
      </c>
      <c r="BB3203" s="5" t="s">
        <v>731</v>
      </c>
      <c r="BD3203" s="5" t="s">
        <v>240</v>
      </c>
      <c r="BF3203" s="5" t="s">
        <v>732</v>
      </c>
      <c r="BG3203" s="6" t="s">
        <v>733</v>
      </c>
      <c r="BH3203" s="5" t="s">
        <v>734</v>
      </c>
      <c r="BI3203" s="5" t="s">
        <v>734</v>
      </c>
      <c r="BJ3203" s="5" t="s">
        <v>240</v>
      </c>
      <c r="BK3203" s="7">
        <f>1</f>
        <v>1</v>
      </c>
      <c r="BL3203" s="7">
        <f>1</f>
        <v>1</v>
      </c>
      <c r="BM3203" s="5" t="s">
        <v>258</v>
      </c>
      <c r="BN3203" s="5" t="s">
        <v>259</v>
      </c>
      <c r="BO3203" s="5" t="s">
        <v>240</v>
      </c>
      <c r="BP3203" s="5" t="s">
        <v>240</v>
      </c>
      <c r="BQ3203" s="5" t="s">
        <v>240</v>
      </c>
      <c r="BR3203" s="5" t="s">
        <v>240</v>
      </c>
      <c r="BS3203" s="5" t="s">
        <v>240</v>
      </c>
      <c r="BT3203" s="5" t="s">
        <v>240</v>
      </c>
      <c r="BU3203" s="5" t="s">
        <v>240</v>
      </c>
      <c r="BV3203" s="5" t="s">
        <v>240</v>
      </c>
      <c r="BW3203" s="6" t="s">
        <v>240</v>
      </c>
      <c r="BX3203" s="5" t="s">
        <v>240</v>
      </c>
      <c r="BY3203" s="5" t="s">
        <v>240</v>
      </c>
      <c r="BZ3203" s="5" t="s">
        <v>240</v>
      </c>
      <c r="CA3203" s="5" t="s">
        <v>259</v>
      </c>
      <c r="CB3203" s="5" t="s">
        <v>240</v>
      </c>
      <c r="CC3203" s="5" t="s">
        <v>240</v>
      </c>
      <c r="CD3203" s="5" t="s">
        <v>240</v>
      </c>
      <c r="CE3203" s="5" t="s">
        <v>240</v>
      </c>
      <c r="CF3203" s="5" t="s">
        <v>240</v>
      </c>
      <c r="CG3203" s="5" t="s">
        <v>304</v>
      </c>
      <c r="CH3203" s="5" t="s">
        <v>305</v>
      </c>
      <c r="CI3203" s="5" t="s">
        <v>240</v>
      </c>
      <c r="CK3203" s="5" t="s">
        <v>3681</v>
      </c>
      <c r="CL3203" s="6" t="s">
        <v>261</v>
      </c>
      <c r="CM3203" s="5" t="s">
        <v>262</v>
      </c>
      <c r="CN3203" s="5" t="s">
        <v>263</v>
      </c>
      <c r="CO3203" s="5" t="s">
        <v>264</v>
      </c>
      <c r="CP3203" s="5" t="s">
        <v>240</v>
      </c>
      <c r="CQ3203" s="5">
        <v>0</v>
      </c>
      <c r="CR3203" s="5" t="s">
        <v>735</v>
      </c>
      <c r="CS3203" s="5" t="s">
        <v>307</v>
      </c>
      <c r="CT3203" s="5" t="s">
        <v>307</v>
      </c>
      <c r="CU3203" s="5" t="s">
        <v>260</v>
      </c>
      <c r="CV3203" s="5" t="s">
        <v>612</v>
      </c>
      <c r="CW3203" s="8">
        <f>1</f>
        <v>1</v>
      </c>
      <c r="CX3203" s="7">
        <f>1</f>
        <v>1</v>
      </c>
      <c r="CY3203" s="7">
        <f>0</f>
        <v>0</v>
      </c>
      <c r="DA3203" s="7">
        <f>1</f>
        <v>1</v>
      </c>
      <c r="DB3203" s="7" t="s">
        <v>240</v>
      </c>
      <c r="DC3203" s="5" t="s">
        <v>240</v>
      </c>
      <c r="DD3203" s="5" t="s">
        <v>240</v>
      </c>
      <c r="DE3203" s="5" t="s">
        <v>240</v>
      </c>
      <c r="DF3203" s="5" t="s">
        <v>240</v>
      </c>
      <c r="DG3203" s="7">
        <f>0</f>
        <v>0</v>
      </c>
      <c r="DI3203" s="5" t="s">
        <v>240</v>
      </c>
      <c r="DJ3203" s="5" t="s">
        <v>240</v>
      </c>
      <c r="DK3203" s="5" t="s">
        <v>240</v>
      </c>
      <c r="DL3203" s="5" t="s">
        <v>240</v>
      </c>
      <c r="DM3203" s="5" t="s">
        <v>240</v>
      </c>
      <c r="DN3203" s="5" t="s">
        <v>240</v>
      </c>
      <c r="DO3203" s="7" t="s">
        <v>240</v>
      </c>
      <c r="DP3203" s="5" t="s">
        <v>240</v>
      </c>
      <c r="DQ3203" s="5" t="s">
        <v>240</v>
      </c>
      <c r="DR3203" s="5" t="s">
        <v>731</v>
      </c>
      <c r="DS3203" s="5" t="s">
        <v>731</v>
      </c>
      <c r="DT3203" s="5" t="s">
        <v>240</v>
      </c>
      <c r="DU3203" s="5" t="s">
        <v>240</v>
      </c>
      <c r="DV3203" s="5" t="s">
        <v>3683</v>
      </c>
      <c r="DW3203" s="5" t="s">
        <v>536</v>
      </c>
      <c r="DX3203" s="5" t="s">
        <v>240</v>
      </c>
      <c r="DY3203" s="5" t="s">
        <v>240</v>
      </c>
      <c r="DZ3203" s="5" t="s">
        <v>240</v>
      </c>
      <c r="EA3203" s="5" t="s">
        <v>240</v>
      </c>
      <c r="EB3203" s="5" t="s">
        <v>240</v>
      </c>
      <c r="EC3203" s="5" t="s">
        <v>240</v>
      </c>
      <c r="ED3203" s="5" t="s">
        <v>240</v>
      </c>
      <c r="EE3203" s="5" t="s">
        <v>240</v>
      </c>
      <c r="EF3203" s="5" t="s">
        <v>240</v>
      </c>
      <c r="EG3203" s="5" t="s">
        <v>240</v>
      </c>
      <c r="EH3203" s="5" t="s">
        <v>240</v>
      </c>
      <c r="EI3203" s="5" t="s">
        <v>240</v>
      </c>
      <c r="EJ3203" s="5" t="s">
        <v>240</v>
      </c>
      <c r="EK3203" s="5" t="s">
        <v>240</v>
      </c>
      <c r="EL3203" s="5" t="s">
        <v>240</v>
      </c>
      <c r="EM3203" s="5" t="s">
        <v>240</v>
      </c>
      <c r="EN3203" s="5" t="s">
        <v>240</v>
      </c>
      <c r="EO3203" s="5" t="s">
        <v>240</v>
      </c>
      <c r="EP3203" s="5" t="s">
        <v>240</v>
      </c>
      <c r="EQ3203" s="5" t="s">
        <v>240</v>
      </c>
      <c r="ER3203" s="5" t="s">
        <v>240</v>
      </c>
      <c r="ES3203" s="5" t="s">
        <v>240</v>
      </c>
      <c r="ET3203" s="5" t="s">
        <v>240</v>
      </c>
      <c r="EU3203" s="5" t="s">
        <v>240</v>
      </c>
      <c r="EV3203" s="5" t="s">
        <v>240</v>
      </c>
      <c r="EW3203" s="5" t="s">
        <v>240</v>
      </c>
      <c r="EX3203" s="5" t="s">
        <v>240</v>
      </c>
      <c r="EY3203" s="5" t="s">
        <v>240</v>
      </c>
      <c r="EZ3203" s="5" t="s">
        <v>240</v>
      </c>
      <c r="FA3203" s="5" t="s">
        <v>240</v>
      </c>
      <c r="FB3203" s="5" t="s">
        <v>240</v>
      </c>
      <c r="FC3203" s="5" t="s">
        <v>240</v>
      </c>
      <c r="FD3203" s="5" t="s">
        <v>240</v>
      </c>
      <c r="FE3203" s="5" t="s">
        <v>240</v>
      </c>
      <c r="FF3203" s="5" t="s">
        <v>240</v>
      </c>
      <c r="FG3203" s="5" t="s">
        <v>240</v>
      </c>
      <c r="FH3203" s="5" t="s">
        <v>240</v>
      </c>
      <c r="FI3203" s="5" t="s">
        <v>240</v>
      </c>
      <c r="FJ3203" s="5" t="s">
        <v>240</v>
      </c>
      <c r="FK3203" s="5" t="s">
        <v>240</v>
      </c>
      <c r="FL3203" s="5" t="s">
        <v>240</v>
      </c>
      <c r="FM3203" s="5" t="s">
        <v>240</v>
      </c>
      <c r="FN3203" s="5" t="s">
        <v>240</v>
      </c>
      <c r="FO3203" s="5" t="s">
        <v>240</v>
      </c>
      <c r="FP3203" s="5" t="s">
        <v>240</v>
      </c>
      <c r="FQ3203" s="5" t="s">
        <v>240</v>
      </c>
      <c r="FR3203" s="5" t="s">
        <v>240</v>
      </c>
      <c r="FS3203" s="5" t="s">
        <v>240</v>
      </c>
      <c r="FT3203" s="5" t="s">
        <v>240</v>
      </c>
      <c r="FU3203" s="5" t="s">
        <v>240</v>
      </c>
      <c r="FV3203" s="5" t="s">
        <v>240</v>
      </c>
      <c r="FW3203" s="5" t="s">
        <v>240</v>
      </c>
      <c r="FX3203" s="5" t="s">
        <v>240</v>
      </c>
      <c r="FY3203" s="5" t="s">
        <v>240</v>
      </c>
      <c r="FZ3203" s="5" t="s">
        <v>240</v>
      </c>
      <c r="GA3203" s="5" t="s">
        <v>240</v>
      </c>
      <c r="GB3203" s="5" t="s">
        <v>240</v>
      </c>
      <c r="GC3203" s="5" t="s">
        <v>240</v>
      </c>
      <c r="GD3203" s="5" t="s">
        <v>240</v>
      </c>
      <c r="GE3203" s="5" t="s">
        <v>240</v>
      </c>
      <c r="GF3203" s="5" t="s">
        <v>240</v>
      </c>
      <c r="GG3203" s="5" t="s">
        <v>240</v>
      </c>
      <c r="GH3203" s="5" t="s">
        <v>240</v>
      </c>
      <c r="GI3203" s="5" t="s">
        <v>240</v>
      </c>
      <c r="GJ3203" s="5" t="s">
        <v>240</v>
      </c>
      <c r="GK3203" s="5" t="s">
        <v>240</v>
      </c>
      <c r="GL3203" s="5" t="s">
        <v>240</v>
      </c>
      <c r="GM3203" s="5" t="s">
        <v>240</v>
      </c>
      <c r="GN3203" s="5" t="s">
        <v>240</v>
      </c>
      <c r="GO3203" s="5" t="s">
        <v>240</v>
      </c>
      <c r="GP3203" s="5" t="s">
        <v>240</v>
      </c>
      <c r="GQ3203" s="5" t="s">
        <v>240</v>
      </c>
      <c r="GR3203" s="5" t="s">
        <v>240</v>
      </c>
      <c r="GS3203" s="5" t="s">
        <v>240</v>
      </c>
      <c r="GT3203" s="5" t="s">
        <v>240</v>
      </c>
      <c r="GU3203" s="5" t="s">
        <v>240</v>
      </c>
      <c r="GV3203" s="5" t="s">
        <v>240</v>
      </c>
      <c r="GW3203" s="5" t="s">
        <v>240</v>
      </c>
      <c r="GX3203" s="5" t="s">
        <v>240</v>
      </c>
      <c r="GY3203" s="5" t="s">
        <v>240</v>
      </c>
      <c r="GZ3203" s="5" t="s">
        <v>240</v>
      </c>
      <c r="HA3203" s="5" t="s">
        <v>240</v>
      </c>
      <c r="HB3203" s="5" t="s">
        <v>240</v>
      </c>
      <c r="HC3203" s="5" t="s">
        <v>240</v>
      </c>
      <c r="HD3203" s="5" t="s">
        <v>240</v>
      </c>
      <c r="HE3203" s="5" t="s">
        <v>240</v>
      </c>
      <c r="HF3203" s="5" t="s">
        <v>240</v>
      </c>
      <c r="HG3203" s="5" t="s">
        <v>240</v>
      </c>
      <c r="HH3203" s="5" t="s">
        <v>240</v>
      </c>
      <c r="HI3203" s="5" t="s">
        <v>240</v>
      </c>
      <c r="HJ3203" s="5" t="s">
        <v>240</v>
      </c>
      <c r="HK3203" s="5" t="s">
        <v>240</v>
      </c>
      <c r="HL3203" s="5" t="s">
        <v>240</v>
      </c>
      <c r="HM3203" s="5" t="s">
        <v>240</v>
      </c>
      <c r="HN3203" s="5" t="s">
        <v>240</v>
      </c>
      <c r="HO3203" s="5" t="s">
        <v>312</v>
      </c>
      <c r="HP3203" s="5" t="s">
        <v>240</v>
      </c>
      <c r="HQ3203" s="5" t="s">
        <v>240</v>
      </c>
      <c r="HR3203" s="5" t="s">
        <v>240</v>
      </c>
      <c r="HS3203" s="5" t="s">
        <v>240</v>
      </c>
      <c r="HT3203" s="5" t="s">
        <v>240</v>
      </c>
      <c r="HU3203" s="5" t="s">
        <v>240</v>
      </c>
      <c r="HV3203" s="5" t="s">
        <v>240</v>
      </c>
      <c r="HW3203" s="5" t="s">
        <v>240</v>
      </c>
      <c r="HX3203" s="5" t="s">
        <v>240</v>
      </c>
      <c r="HY3203" s="5" t="s">
        <v>240</v>
      </c>
      <c r="HZ3203" s="5" t="s">
        <v>240</v>
      </c>
      <c r="IA3203" s="5" t="s">
        <v>240</v>
      </c>
      <c r="IB3203" s="5" t="s">
        <v>240</v>
      </c>
      <c r="IC3203" s="5" t="s">
        <v>240</v>
      </c>
      <c r="ID3203" s="5" t="s">
        <v>240</v>
      </c>
      <c r="IE3203" s="5" t="s">
        <v>240</v>
      </c>
      <c r="IF3203" s="5" t="s">
        <v>240</v>
      </c>
    </row>
    <row r="3204" spans="1:240" x14ac:dyDescent="0.4">
      <c r="A3204" s="5">
        <v>8562</v>
      </c>
      <c r="B3204" s="5">
        <v>1</v>
      </c>
      <c r="C3204" s="5">
        <v>3</v>
      </c>
      <c r="D3204" s="5" t="s">
        <v>297</v>
      </c>
      <c r="E3204" s="5" t="s">
        <v>245</v>
      </c>
      <c r="F3204" s="5" t="s">
        <v>254</v>
      </c>
      <c r="G3204" s="5" t="s">
        <v>6761</v>
      </c>
      <c r="H3204" s="6" t="s">
        <v>7189</v>
      </c>
      <c r="I3204" s="5" t="s">
        <v>7186</v>
      </c>
      <c r="J3204" s="8">
        <f>71.2</f>
        <v>71.2</v>
      </c>
      <c r="K3204" s="5" t="s">
        <v>308</v>
      </c>
      <c r="L3204" s="7">
        <f>704979</f>
        <v>704979</v>
      </c>
      <c r="M3204" s="7">
        <f>704979</f>
        <v>704979</v>
      </c>
      <c r="N3204" s="5" t="s">
        <v>242</v>
      </c>
      <c r="O3204" s="5">
        <v>1</v>
      </c>
      <c r="P3204" s="5" t="s">
        <v>294</v>
      </c>
      <c r="Q3204" s="5" t="s">
        <v>266</v>
      </c>
      <c r="R3204" s="5" t="s">
        <v>240</v>
      </c>
      <c r="S3204" s="5" t="s">
        <v>240</v>
      </c>
      <c r="T3204" s="5" t="s">
        <v>296</v>
      </c>
      <c r="U3204" s="5" t="s">
        <v>244</v>
      </c>
      <c r="V3204" s="5" t="s">
        <v>240</v>
      </c>
      <c r="Y3204" s="5" t="s">
        <v>240</v>
      </c>
      <c r="Z3204" s="6" t="s">
        <v>298</v>
      </c>
      <c r="AB3204" s="6" t="s">
        <v>240</v>
      </c>
      <c r="AE3204" s="6" t="s">
        <v>299</v>
      </c>
      <c r="AF3204" s="5" t="s">
        <v>248</v>
      </c>
      <c r="AG3204" s="5" t="s">
        <v>249</v>
      </c>
      <c r="AW3204" s="5" t="s">
        <v>251</v>
      </c>
      <c r="AX3204" s="5" t="s">
        <v>240</v>
      </c>
      <c r="AY3204" s="5" t="s">
        <v>253</v>
      </c>
      <c r="AZ3204" s="5" t="s">
        <v>240</v>
      </c>
      <c r="BA3204" s="5" t="s">
        <v>255</v>
      </c>
      <c r="BB3204" s="5" t="s">
        <v>240</v>
      </c>
      <c r="BD3204" s="5" t="s">
        <v>240</v>
      </c>
      <c r="BF3204" s="5" t="s">
        <v>301</v>
      </c>
      <c r="BG3204" s="6" t="s">
        <v>299</v>
      </c>
      <c r="BH3204" s="5" t="s">
        <v>302</v>
      </c>
      <c r="BI3204" s="5" t="s">
        <v>303</v>
      </c>
      <c r="BJ3204" s="5" t="s">
        <v>240</v>
      </c>
      <c r="BK3204" s="8">
        <f>0</f>
        <v>0</v>
      </c>
      <c r="BL3204" s="7">
        <f>0</f>
        <v>0</v>
      </c>
      <c r="BM3204" s="5" t="s">
        <v>258</v>
      </c>
      <c r="BN3204" s="5" t="s">
        <v>259</v>
      </c>
      <c r="CB3204" s="5" t="s">
        <v>240</v>
      </c>
      <c r="CC3204" s="5" t="s">
        <v>240</v>
      </c>
      <c r="CG3204" s="5" t="s">
        <v>304</v>
      </c>
      <c r="CH3204" s="5" t="s">
        <v>305</v>
      </c>
      <c r="CI3204" s="5" t="s">
        <v>240</v>
      </c>
      <c r="CL3204" s="6" t="s">
        <v>261</v>
      </c>
      <c r="CM3204" s="5" t="s">
        <v>240</v>
      </c>
      <c r="CN3204" s="5" t="s">
        <v>263</v>
      </c>
      <c r="CO3204" s="5" t="s">
        <v>240</v>
      </c>
      <c r="CP3204" s="5" t="s">
        <v>240</v>
      </c>
      <c r="CQ3204" s="5">
        <v>0</v>
      </c>
      <c r="CR3204" s="5" t="s">
        <v>306</v>
      </c>
      <c r="CS3204" s="5" t="s">
        <v>307</v>
      </c>
      <c r="CT3204" s="5" t="s">
        <v>307</v>
      </c>
      <c r="CU3204" s="5" t="s">
        <v>260</v>
      </c>
      <c r="CX3204" s="7">
        <f>1</f>
        <v>1</v>
      </c>
      <c r="CY3204" s="7">
        <f>0</f>
        <v>0</v>
      </c>
      <c r="DA3204" s="7">
        <f>0</f>
        <v>0</v>
      </c>
      <c r="DC3204" s="5" t="s">
        <v>309</v>
      </c>
      <c r="DD3204" s="5" t="s">
        <v>240</v>
      </c>
      <c r="DF3204" s="5" t="s">
        <v>309</v>
      </c>
      <c r="DG3204" s="7">
        <f>268</f>
        <v>268</v>
      </c>
      <c r="DI3204" s="5" t="s">
        <v>240</v>
      </c>
      <c r="DJ3204" s="5" t="s">
        <v>240</v>
      </c>
      <c r="DK3204" s="5" t="s">
        <v>240</v>
      </c>
      <c r="DL3204" s="5" t="s">
        <v>240</v>
      </c>
      <c r="DP3204" s="5" t="s">
        <v>240</v>
      </c>
      <c r="DQ3204" s="5" t="s">
        <v>240</v>
      </c>
      <c r="DR3204" s="5" t="s">
        <v>240</v>
      </c>
      <c r="DS3204" s="5" t="s">
        <v>240</v>
      </c>
      <c r="DV3204" s="5" t="s">
        <v>310</v>
      </c>
      <c r="DW3204" s="5" t="s">
        <v>2888</v>
      </c>
      <c r="HO3204" s="5" t="s">
        <v>312</v>
      </c>
    </row>
    <row r="3205" spans="1:240" x14ac:dyDescent="0.4">
      <c r="A3205" s="5">
        <v>8568</v>
      </c>
      <c r="B3205" s="5">
        <v>1</v>
      </c>
      <c r="C3205" s="5">
        <v>9</v>
      </c>
      <c r="D3205" s="5" t="s">
        <v>240</v>
      </c>
      <c r="E3205" s="5" t="s">
        <v>245</v>
      </c>
      <c r="F3205" s="5" t="s">
        <v>254</v>
      </c>
      <c r="G3205" s="5" t="s">
        <v>6761</v>
      </c>
      <c r="H3205" s="6" t="s">
        <v>7165</v>
      </c>
      <c r="I3205" s="5" t="s">
        <v>7272</v>
      </c>
      <c r="J3205" s="8">
        <f>6637.19</f>
        <v>6637.19</v>
      </c>
      <c r="K3205" s="5" t="s">
        <v>308</v>
      </c>
      <c r="L3205" s="7">
        <f>28665217</f>
        <v>28665217</v>
      </c>
      <c r="M3205" s="7">
        <f>28665217</f>
        <v>28665217</v>
      </c>
      <c r="N3205" s="5" t="s">
        <v>242</v>
      </c>
      <c r="O3205" s="5">
        <v>1</v>
      </c>
      <c r="P3205" s="5" t="s">
        <v>294</v>
      </c>
      <c r="Q3205" s="5" t="s">
        <v>3678</v>
      </c>
      <c r="R3205" s="5" t="s">
        <v>240</v>
      </c>
      <c r="S3205" s="5" t="s">
        <v>240</v>
      </c>
      <c r="T3205" s="5" t="s">
        <v>243</v>
      </c>
      <c r="U3205" s="5" t="s">
        <v>244</v>
      </c>
      <c r="V3205" s="5" t="s">
        <v>240</v>
      </c>
      <c r="W3205" s="5" t="s">
        <v>240</v>
      </c>
      <c r="X3205" s="5" t="s">
        <v>240</v>
      </c>
      <c r="Y3205" s="5" t="s">
        <v>240</v>
      </c>
      <c r="Z3205" s="6" t="s">
        <v>298</v>
      </c>
      <c r="AA3205" s="6" t="s">
        <v>240</v>
      </c>
      <c r="AB3205" s="6" t="s">
        <v>240</v>
      </c>
      <c r="AC3205" s="5" t="s">
        <v>240</v>
      </c>
      <c r="AD3205" s="6" t="s">
        <v>240</v>
      </c>
      <c r="AE3205" s="6" t="s">
        <v>299</v>
      </c>
      <c r="AF3205" s="5" t="s">
        <v>248</v>
      </c>
      <c r="AG3205" s="5" t="s">
        <v>249</v>
      </c>
      <c r="AH3205" s="5" t="s">
        <v>240</v>
      </c>
      <c r="AI3205" s="5" t="s">
        <v>240</v>
      </c>
      <c r="AJ3205" s="5" t="s">
        <v>240</v>
      </c>
      <c r="AK3205" s="5" t="s">
        <v>240</v>
      </c>
      <c r="AL3205" s="5" t="s">
        <v>240</v>
      </c>
      <c r="AM3205" s="5" t="s">
        <v>240</v>
      </c>
      <c r="AN3205" s="5" t="s">
        <v>240</v>
      </c>
      <c r="AO3205" s="5" t="s">
        <v>240</v>
      </c>
      <c r="AP3205" s="6" t="s">
        <v>240</v>
      </c>
      <c r="AQ3205" s="6" t="s">
        <v>240</v>
      </c>
      <c r="AR3205" s="6" t="s">
        <v>240</v>
      </c>
      <c r="AS3205" s="6" t="s">
        <v>240</v>
      </c>
      <c r="AT3205" s="5" t="s">
        <v>240</v>
      </c>
      <c r="AU3205" s="5" t="s">
        <v>729</v>
      </c>
      <c r="AV3205" s="5" t="s">
        <v>729</v>
      </c>
      <c r="AW3205" s="5" t="s">
        <v>251</v>
      </c>
      <c r="AX3205" s="5" t="s">
        <v>252</v>
      </c>
      <c r="AY3205" s="5" t="s">
        <v>253</v>
      </c>
      <c r="AZ3205" s="5" t="s">
        <v>240</v>
      </c>
      <c r="BA3205" s="5" t="s">
        <v>255</v>
      </c>
      <c r="BB3205" s="5" t="s">
        <v>731</v>
      </c>
      <c r="BD3205" s="5" t="s">
        <v>240</v>
      </c>
      <c r="BF3205" s="5" t="s">
        <v>732</v>
      </c>
      <c r="BG3205" s="6" t="s">
        <v>733</v>
      </c>
      <c r="BH3205" s="5" t="s">
        <v>734</v>
      </c>
      <c r="BI3205" s="5" t="s">
        <v>734</v>
      </c>
      <c r="BJ3205" s="5" t="s">
        <v>240</v>
      </c>
      <c r="BK3205" s="7">
        <f>1</f>
        <v>1</v>
      </c>
      <c r="BL3205" s="7">
        <f>1</f>
        <v>1</v>
      </c>
      <c r="BM3205" s="5" t="s">
        <v>258</v>
      </c>
      <c r="BN3205" s="5" t="s">
        <v>259</v>
      </c>
      <c r="BO3205" s="5" t="s">
        <v>240</v>
      </c>
      <c r="BP3205" s="5" t="s">
        <v>240</v>
      </c>
      <c r="BQ3205" s="5" t="s">
        <v>240</v>
      </c>
      <c r="BR3205" s="5" t="s">
        <v>240</v>
      </c>
      <c r="BS3205" s="5" t="s">
        <v>240</v>
      </c>
      <c r="BT3205" s="5" t="s">
        <v>240</v>
      </c>
      <c r="BU3205" s="5" t="s">
        <v>240</v>
      </c>
      <c r="BV3205" s="5" t="s">
        <v>240</v>
      </c>
      <c r="BW3205" s="6" t="s">
        <v>240</v>
      </c>
      <c r="BX3205" s="5" t="s">
        <v>240</v>
      </c>
      <c r="BY3205" s="5" t="s">
        <v>240</v>
      </c>
      <c r="BZ3205" s="5" t="s">
        <v>240</v>
      </c>
      <c r="CA3205" s="5" t="s">
        <v>259</v>
      </c>
      <c r="CB3205" s="5" t="s">
        <v>240</v>
      </c>
      <c r="CC3205" s="5" t="s">
        <v>240</v>
      </c>
      <c r="CD3205" s="5" t="s">
        <v>240</v>
      </c>
      <c r="CE3205" s="5" t="s">
        <v>240</v>
      </c>
      <c r="CF3205" s="5" t="s">
        <v>240</v>
      </c>
      <c r="CG3205" s="5" t="s">
        <v>304</v>
      </c>
      <c r="CH3205" s="5" t="s">
        <v>305</v>
      </c>
      <c r="CI3205" s="5" t="s">
        <v>240</v>
      </c>
      <c r="CK3205" s="5" t="s">
        <v>3681</v>
      </c>
      <c r="CL3205" s="6" t="s">
        <v>261</v>
      </c>
      <c r="CM3205" s="5" t="s">
        <v>262</v>
      </c>
      <c r="CN3205" s="5" t="s">
        <v>263</v>
      </c>
      <c r="CO3205" s="5" t="s">
        <v>264</v>
      </c>
      <c r="CP3205" s="5" t="s">
        <v>240</v>
      </c>
      <c r="CQ3205" s="5">
        <v>0</v>
      </c>
      <c r="CR3205" s="5" t="s">
        <v>735</v>
      </c>
      <c r="CS3205" s="5" t="s">
        <v>307</v>
      </c>
      <c r="CT3205" s="5" t="s">
        <v>307</v>
      </c>
      <c r="CU3205" s="5" t="s">
        <v>260</v>
      </c>
      <c r="CV3205" s="5" t="s">
        <v>612</v>
      </c>
      <c r="CW3205" s="8">
        <f>1</f>
        <v>1</v>
      </c>
      <c r="CX3205" s="7">
        <f>1</f>
        <v>1</v>
      </c>
      <c r="CY3205" s="7">
        <f>0</f>
        <v>0</v>
      </c>
      <c r="DA3205" s="7">
        <f>1</f>
        <v>1</v>
      </c>
      <c r="DB3205" s="7" t="s">
        <v>240</v>
      </c>
      <c r="DC3205" s="5" t="s">
        <v>240</v>
      </c>
      <c r="DD3205" s="5" t="s">
        <v>240</v>
      </c>
      <c r="DE3205" s="5" t="s">
        <v>240</v>
      </c>
      <c r="DF3205" s="5" t="s">
        <v>240</v>
      </c>
      <c r="DG3205" s="7">
        <f>0</f>
        <v>0</v>
      </c>
      <c r="DI3205" s="5" t="s">
        <v>240</v>
      </c>
      <c r="DJ3205" s="5" t="s">
        <v>240</v>
      </c>
      <c r="DK3205" s="5" t="s">
        <v>240</v>
      </c>
      <c r="DL3205" s="5" t="s">
        <v>240</v>
      </c>
      <c r="DM3205" s="5" t="s">
        <v>240</v>
      </c>
      <c r="DN3205" s="5" t="s">
        <v>240</v>
      </c>
      <c r="DO3205" s="7" t="s">
        <v>240</v>
      </c>
      <c r="DP3205" s="5" t="s">
        <v>240</v>
      </c>
      <c r="DQ3205" s="5" t="s">
        <v>240</v>
      </c>
      <c r="DR3205" s="5" t="s">
        <v>731</v>
      </c>
      <c r="DS3205" s="5" t="s">
        <v>731</v>
      </c>
      <c r="DT3205" s="5" t="s">
        <v>240</v>
      </c>
      <c r="DU3205" s="5" t="s">
        <v>240</v>
      </c>
      <c r="DV3205" s="5" t="s">
        <v>3683</v>
      </c>
      <c r="DW3205" s="5" t="s">
        <v>544</v>
      </c>
      <c r="DX3205" s="5" t="s">
        <v>240</v>
      </c>
      <c r="DY3205" s="5" t="s">
        <v>240</v>
      </c>
      <c r="DZ3205" s="5" t="s">
        <v>240</v>
      </c>
      <c r="EA3205" s="5" t="s">
        <v>240</v>
      </c>
      <c r="EB3205" s="5" t="s">
        <v>240</v>
      </c>
      <c r="EC3205" s="5" t="s">
        <v>240</v>
      </c>
      <c r="ED3205" s="5" t="s">
        <v>240</v>
      </c>
      <c r="EE3205" s="5" t="s">
        <v>240</v>
      </c>
      <c r="EF3205" s="5" t="s">
        <v>240</v>
      </c>
      <c r="EG3205" s="5" t="s">
        <v>240</v>
      </c>
      <c r="EH3205" s="5" t="s">
        <v>240</v>
      </c>
      <c r="EI3205" s="5" t="s">
        <v>240</v>
      </c>
      <c r="EJ3205" s="5" t="s">
        <v>240</v>
      </c>
      <c r="EK3205" s="5" t="s">
        <v>240</v>
      </c>
      <c r="EL3205" s="5" t="s">
        <v>240</v>
      </c>
      <c r="EM3205" s="5" t="s">
        <v>240</v>
      </c>
      <c r="EN3205" s="5" t="s">
        <v>240</v>
      </c>
      <c r="EO3205" s="5" t="s">
        <v>240</v>
      </c>
      <c r="EP3205" s="5" t="s">
        <v>240</v>
      </c>
      <c r="EQ3205" s="5" t="s">
        <v>240</v>
      </c>
      <c r="ER3205" s="5" t="s">
        <v>240</v>
      </c>
      <c r="ES3205" s="5" t="s">
        <v>240</v>
      </c>
      <c r="ET3205" s="5" t="s">
        <v>240</v>
      </c>
      <c r="EU3205" s="5" t="s">
        <v>240</v>
      </c>
      <c r="EV3205" s="5" t="s">
        <v>240</v>
      </c>
      <c r="EW3205" s="5" t="s">
        <v>240</v>
      </c>
      <c r="EX3205" s="5" t="s">
        <v>240</v>
      </c>
      <c r="EY3205" s="5" t="s">
        <v>240</v>
      </c>
      <c r="EZ3205" s="5" t="s">
        <v>240</v>
      </c>
      <c r="FA3205" s="5" t="s">
        <v>240</v>
      </c>
      <c r="FB3205" s="5" t="s">
        <v>240</v>
      </c>
      <c r="FC3205" s="5" t="s">
        <v>240</v>
      </c>
      <c r="FD3205" s="5" t="s">
        <v>240</v>
      </c>
      <c r="FE3205" s="5" t="s">
        <v>240</v>
      </c>
      <c r="FF3205" s="5" t="s">
        <v>240</v>
      </c>
      <c r="FG3205" s="5" t="s">
        <v>240</v>
      </c>
      <c r="FH3205" s="5" t="s">
        <v>240</v>
      </c>
      <c r="FI3205" s="5" t="s">
        <v>240</v>
      </c>
      <c r="FJ3205" s="5" t="s">
        <v>240</v>
      </c>
      <c r="FK3205" s="5" t="s">
        <v>240</v>
      </c>
      <c r="FL3205" s="5" t="s">
        <v>240</v>
      </c>
      <c r="FM3205" s="5" t="s">
        <v>240</v>
      </c>
      <c r="FN3205" s="5" t="s">
        <v>240</v>
      </c>
      <c r="FO3205" s="5" t="s">
        <v>240</v>
      </c>
      <c r="FP3205" s="5" t="s">
        <v>240</v>
      </c>
      <c r="FQ3205" s="5" t="s">
        <v>240</v>
      </c>
      <c r="FR3205" s="5" t="s">
        <v>240</v>
      </c>
      <c r="FS3205" s="5" t="s">
        <v>240</v>
      </c>
      <c r="FT3205" s="5" t="s">
        <v>240</v>
      </c>
      <c r="FU3205" s="5" t="s">
        <v>240</v>
      </c>
      <c r="FV3205" s="5" t="s">
        <v>240</v>
      </c>
      <c r="FW3205" s="5" t="s">
        <v>240</v>
      </c>
      <c r="FX3205" s="5" t="s">
        <v>240</v>
      </c>
      <c r="FY3205" s="5" t="s">
        <v>240</v>
      </c>
      <c r="FZ3205" s="5" t="s">
        <v>240</v>
      </c>
      <c r="GA3205" s="5" t="s">
        <v>240</v>
      </c>
      <c r="GB3205" s="5" t="s">
        <v>240</v>
      </c>
      <c r="GC3205" s="5" t="s">
        <v>240</v>
      </c>
      <c r="GD3205" s="5" t="s">
        <v>240</v>
      </c>
      <c r="GE3205" s="5" t="s">
        <v>240</v>
      </c>
      <c r="GF3205" s="5" t="s">
        <v>240</v>
      </c>
      <c r="GG3205" s="5" t="s">
        <v>240</v>
      </c>
      <c r="GH3205" s="5" t="s">
        <v>240</v>
      </c>
      <c r="GI3205" s="5" t="s">
        <v>240</v>
      </c>
      <c r="GJ3205" s="5" t="s">
        <v>240</v>
      </c>
      <c r="GK3205" s="5" t="s">
        <v>240</v>
      </c>
      <c r="GL3205" s="5" t="s">
        <v>240</v>
      </c>
      <c r="GM3205" s="5" t="s">
        <v>240</v>
      </c>
      <c r="GN3205" s="5" t="s">
        <v>240</v>
      </c>
      <c r="GO3205" s="5" t="s">
        <v>240</v>
      </c>
      <c r="GP3205" s="5" t="s">
        <v>240</v>
      </c>
      <c r="GQ3205" s="5" t="s">
        <v>240</v>
      </c>
      <c r="GR3205" s="5" t="s">
        <v>240</v>
      </c>
      <c r="GS3205" s="5" t="s">
        <v>240</v>
      </c>
      <c r="GT3205" s="5" t="s">
        <v>240</v>
      </c>
      <c r="GU3205" s="5" t="s">
        <v>240</v>
      </c>
      <c r="GV3205" s="5" t="s">
        <v>240</v>
      </c>
      <c r="GW3205" s="5" t="s">
        <v>240</v>
      </c>
      <c r="GX3205" s="5" t="s">
        <v>240</v>
      </c>
      <c r="GY3205" s="5" t="s">
        <v>240</v>
      </c>
      <c r="GZ3205" s="5" t="s">
        <v>240</v>
      </c>
      <c r="HA3205" s="5" t="s">
        <v>240</v>
      </c>
      <c r="HB3205" s="5" t="s">
        <v>240</v>
      </c>
      <c r="HC3205" s="5" t="s">
        <v>240</v>
      </c>
      <c r="HD3205" s="5" t="s">
        <v>240</v>
      </c>
      <c r="HE3205" s="5" t="s">
        <v>240</v>
      </c>
      <c r="HF3205" s="5" t="s">
        <v>240</v>
      </c>
      <c r="HG3205" s="5" t="s">
        <v>240</v>
      </c>
      <c r="HH3205" s="5" t="s">
        <v>240</v>
      </c>
      <c r="HI3205" s="5" t="s">
        <v>240</v>
      </c>
      <c r="HJ3205" s="5" t="s">
        <v>240</v>
      </c>
      <c r="HK3205" s="5" t="s">
        <v>240</v>
      </c>
      <c r="HL3205" s="5" t="s">
        <v>240</v>
      </c>
      <c r="HM3205" s="5" t="s">
        <v>240</v>
      </c>
      <c r="HN3205" s="5" t="s">
        <v>240</v>
      </c>
      <c r="HO3205" s="5" t="s">
        <v>312</v>
      </c>
      <c r="HP3205" s="5" t="s">
        <v>240</v>
      </c>
      <c r="HQ3205" s="5" t="s">
        <v>240</v>
      </c>
      <c r="HR3205" s="5" t="s">
        <v>240</v>
      </c>
      <c r="HS3205" s="5" t="s">
        <v>240</v>
      </c>
      <c r="HT3205" s="5" t="s">
        <v>240</v>
      </c>
      <c r="HU3205" s="5" t="s">
        <v>240</v>
      </c>
      <c r="HV3205" s="5" t="s">
        <v>240</v>
      </c>
      <c r="HW3205" s="5" t="s">
        <v>240</v>
      </c>
      <c r="HX3205" s="5" t="s">
        <v>240</v>
      </c>
      <c r="HY3205" s="5" t="s">
        <v>240</v>
      </c>
      <c r="HZ3205" s="5" t="s">
        <v>240</v>
      </c>
      <c r="IA3205" s="5" t="s">
        <v>240</v>
      </c>
      <c r="IB3205" s="5" t="s">
        <v>240</v>
      </c>
      <c r="IC3205" s="5" t="s">
        <v>240</v>
      </c>
      <c r="ID3205" s="5" t="s">
        <v>240</v>
      </c>
      <c r="IE3205" s="5" t="s">
        <v>240</v>
      </c>
      <c r="IF3205" s="5" t="s">
        <v>240</v>
      </c>
    </row>
    <row r="3206" spans="1:240" x14ac:dyDescent="0.4">
      <c r="A3206" s="5">
        <v>8570</v>
      </c>
      <c r="B3206" s="5">
        <v>1</v>
      </c>
      <c r="C3206" s="5">
        <v>4</v>
      </c>
      <c r="D3206" s="5" t="s">
        <v>297</v>
      </c>
      <c r="E3206" s="5" t="s">
        <v>245</v>
      </c>
      <c r="F3206" s="5" t="s">
        <v>254</v>
      </c>
      <c r="G3206" s="5" t="s">
        <v>6761</v>
      </c>
      <c r="H3206" s="6" t="s">
        <v>7035</v>
      </c>
      <c r="I3206" s="5" t="s">
        <v>7033</v>
      </c>
      <c r="J3206" s="8">
        <f>621.7</f>
        <v>621.70000000000005</v>
      </c>
      <c r="K3206" s="5" t="s">
        <v>308</v>
      </c>
      <c r="L3206" s="7">
        <f>1234526</f>
        <v>1234526</v>
      </c>
      <c r="M3206" s="7">
        <f>1234526</f>
        <v>1234526</v>
      </c>
      <c r="N3206" s="5" t="s">
        <v>242</v>
      </c>
      <c r="O3206" s="5">
        <v>1</v>
      </c>
      <c r="P3206" s="5" t="s">
        <v>294</v>
      </c>
      <c r="Q3206" s="5" t="s">
        <v>266</v>
      </c>
      <c r="R3206" s="5" t="s">
        <v>240</v>
      </c>
      <c r="S3206" s="5" t="s">
        <v>240</v>
      </c>
      <c r="T3206" s="5" t="s">
        <v>296</v>
      </c>
      <c r="U3206" s="5" t="s">
        <v>244</v>
      </c>
      <c r="V3206" s="5" t="s">
        <v>240</v>
      </c>
      <c r="Y3206" s="5" t="s">
        <v>240</v>
      </c>
      <c r="Z3206" s="6" t="s">
        <v>298</v>
      </c>
      <c r="AB3206" s="6" t="s">
        <v>240</v>
      </c>
      <c r="AE3206" s="6" t="s">
        <v>299</v>
      </c>
      <c r="AF3206" s="5" t="s">
        <v>248</v>
      </c>
      <c r="AG3206" s="5" t="s">
        <v>249</v>
      </c>
      <c r="AW3206" s="5" t="s">
        <v>251</v>
      </c>
      <c r="AX3206" s="5" t="s">
        <v>240</v>
      </c>
      <c r="AY3206" s="5" t="s">
        <v>253</v>
      </c>
      <c r="AZ3206" s="5" t="s">
        <v>240</v>
      </c>
      <c r="BA3206" s="5" t="s">
        <v>255</v>
      </c>
      <c r="BB3206" s="5" t="s">
        <v>240</v>
      </c>
      <c r="BD3206" s="5" t="s">
        <v>240</v>
      </c>
      <c r="BF3206" s="5" t="s">
        <v>301</v>
      </c>
      <c r="BG3206" s="6" t="s">
        <v>299</v>
      </c>
      <c r="BH3206" s="5" t="s">
        <v>302</v>
      </c>
      <c r="BI3206" s="5" t="s">
        <v>303</v>
      </c>
      <c r="BJ3206" s="5" t="s">
        <v>240</v>
      </c>
      <c r="BK3206" s="8">
        <f>0</f>
        <v>0</v>
      </c>
      <c r="BL3206" s="7">
        <f>0</f>
        <v>0</v>
      </c>
      <c r="BM3206" s="5" t="s">
        <v>258</v>
      </c>
      <c r="BN3206" s="5" t="s">
        <v>259</v>
      </c>
      <c r="CB3206" s="5" t="s">
        <v>240</v>
      </c>
      <c r="CC3206" s="5" t="s">
        <v>240</v>
      </c>
      <c r="CG3206" s="5" t="s">
        <v>304</v>
      </c>
      <c r="CH3206" s="5" t="s">
        <v>305</v>
      </c>
      <c r="CI3206" s="5" t="s">
        <v>240</v>
      </c>
      <c r="CL3206" s="6" t="s">
        <v>261</v>
      </c>
      <c r="CM3206" s="5" t="s">
        <v>240</v>
      </c>
      <c r="CN3206" s="5" t="s">
        <v>263</v>
      </c>
      <c r="CO3206" s="5" t="s">
        <v>240</v>
      </c>
      <c r="CP3206" s="5" t="s">
        <v>240</v>
      </c>
      <c r="CQ3206" s="5">
        <v>0</v>
      </c>
      <c r="CR3206" s="5" t="s">
        <v>306</v>
      </c>
      <c r="CS3206" s="5" t="s">
        <v>307</v>
      </c>
      <c r="CT3206" s="5" t="s">
        <v>307</v>
      </c>
      <c r="CU3206" s="5" t="s">
        <v>260</v>
      </c>
      <c r="CX3206" s="7">
        <f>1</f>
        <v>1</v>
      </c>
      <c r="CY3206" s="7">
        <f>0</f>
        <v>0</v>
      </c>
      <c r="DA3206" s="7">
        <f>0</f>
        <v>0</v>
      </c>
      <c r="DC3206" s="5" t="s">
        <v>309</v>
      </c>
      <c r="DD3206" s="5" t="s">
        <v>240</v>
      </c>
      <c r="DF3206" s="5" t="s">
        <v>309</v>
      </c>
      <c r="DG3206" s="7">
        <f>1825</f>
        <v>1825</v>
      </c>
      <c r="DI3206" s="5" t="s">
        <v>240</v>
      </c>
      <c r="DJ3206" s="5" t="s">
        <v>240</v>
      </c>
      <c r="DK3206" s="5" t="s">
        <v>240</v>
      </c>
      <c r="DL3206" s="5" t="s">
        <v>240</v>
      </c>
      <c r="DP3206" s="5" t="s">
        <v>240</v>
      </c>
      <c r="DQ3206" s="5" t="s">
        <v>240</v>
      </c>
      <c r="DR3206" s="5" t="s">
        <v>240</v>
      </c>
      <c r="DS3206" s="5" t="s">
        <v>240</v>
      </c>
      <c r="DV3206" s="5" t="s">
        <v>310</v>
      </c>
      <c r="DW3206" s="5" t="s">
        <v>2896</v>
      </c>
      <c r="HO3206" s="5" t="s">
        <v>312</v>
      </c>
    </row>
    <row r="3207" spans="1:240" x14ac:dyDescent="0.4">
      <c r="A3207" s="5">
        <v>8571</v>
      </c>
      <c r="B3207" s="5">
        <v>1</v>
      </c>
      <c r="C3207" s="5">
        <v>2</v>
      </c>
      <c r="D3207" s="5" t="s">
        <v>297</v>
      </c>
      <c r="E3207" s="5" t="s">
        <v>245</v>
      </c>
      <c r="F3207" s="5" t="s">
        <v>254</v>
      </c>
      <c r="G3207" s="5" t="s">
        <v>6761</v>
      </c>
      <c r="I3207" s="5" t="s">
        <v>6866</v>
      </c>
      <c r="J3207" s="8">
        <f>10.85</f>
        <v>10.85</v>
      </c>
      <c r="K3207" s="5" t="s">
        <v>308</v>
      </c>
      <c r="L3207" s="7">
        <f>37975</f>
        <v>37975</v>
      </c>
      <c r="M3207" s="7">
        <f>37975</f>
        <v>37975</v>
      </c>
      <c r="N3207" s="5" t="s">
        <v>242</v>
      </c>
      <c r="O3207" s="5">
        <v>1</v>
      </c>
      <c r="P3207" s="5" t="s">
        <v>294</v>
      </c>
      <c r="Q3207" s="5" t="s">
        <v>3678</v>
      </c>
      <c r="R3207" s="5" t="s">
        <v>240</v>
      </c>
      <c r="S3207" s="5" t="s">
        <v>240</v>
      </c>
      <c r="T3207" s="5" t="s">
        <v>243</v>
      </c>
      <c r="U3207" s="5" t="s">
        <v>244</v>
      </c>
      <c r="V3207" s="5" t="s">
        <v>240</v>
      </c>
      <c r="W3207" s="5" t="s">
        <v>240</v>
      </c>
      <c r="X3207" s="5" t="s">
        <v>240</v>
      </c>
      <c r="Y3207" s="5" t="s">
        <v>240</v>
      </c>
      <c r="Z3207" s="6" t="s">
        <v>298</v>
      </c>
      <c r="AA3207" s="6" t="s">
        <v>240</v>
      </c>
      <c r="AB3207" s="6" t="s">
        <v>240</v>
      </c>
      <c r="AC3207" s="5" t="s">
        <v>240</v>
      </c>
      <c r="AD3207" s="6" t="s">
        <v>240</v>
      </c>
      <c r="AE3207" s="6" t="s">
        <v>299</v>
      </c>
      <c r="AF3207" s="5" t="s">
        <v>248</v>
      </c>
      <c r="AG3207" s="5" t="s">
        <v>249</v>
      </c>
      <c r="AH3207" s="5" t="s">
        <v>240</v>
      </c>
      <c r="AI3207" s="5" t="s">
        <v>240</v>
      </c>
      <c r="AJ3207" s="5" t="s">
        <v>240</v>
      </c>
      <c r="AK3207" s="5" t="s">
        <v>240</v>
      </c>
      <c r="AL3207" s="5" t="s">
        <v>240</v>
      </c>
      <c r="AM3207" s="5" t="s">
        <v>240</v>
      </c>
      <c r="AN3207" s="5" t="s">
        <v>240</v>
      </c>
      <c r="AO3207" s="5" t="s">
        <v>240</v>
      </c>
      <c r="AP3207" s="6" t="s">
        <v>240</v>
      </c>
      <c r="AQ3207" s="6" t="s">
        <v>240</v>
      </c>
      <c r="AR3207" s="6" t="s">
        <v>240</v>
      </c>
      <c r="AS3207" s="6" t="s">
        <v>240</v>
      </c>
      <c r="AT3207" s="5" t="s">
        <v>240</v>
      </c>
      <c r="AU3207" s="5" t="s">
        <v>729</v>
      </c>
      <c r="AV3207" s="5" t="s">
        <v>729</v>
      </c>
      <c r="AW3207" s="5" t="s">
        <v>251</v>
      </c>
      <c r="AX3207" s="5" t="s">
        <v>252</v>
      </c>
      <c r="AY3207" s="5" t="s">
        <v>253</v>
      </c>
      <c r="AZ3207" s="5" t="s">
        <v>240</v>
      </c>
      <c r="BA3207" s="5" t="s">
        <v>255</v>
      </c>
      <c r="BB3207" s="5" t="s">
        <v>731</v>
      </c>
      <c r="BD3207" s="5" t="s">
        <v>240</v>
      </c>
      <c r="BF3207" s="5" t="s">
        <v>732</v>
      </c>
      <c r="BG3207" s="6" t="s">
        <v>733</v>
      </c>
      <c r="BH3207" s="5" t="s">
        <v>734</v>
      </c>
      <c r="BI3207" s="5" t="s">
        <v>734</v>
      </c>
      <c r="BJ3207" s="5" t="s">
        <v>240</v>
      </c>
      <c r="BK3207" s="7">
        <f>1</f>
        <v>1</v>
      </c>
      <c r="BL3207" s="7">
        <f>1</f>
        <v>1</v>
      </c>
      <c r="BM3207" s="5" t="s">
        <v>258</v>
      </c>
      <c r="BN3207" s="5" t="s">
        <v>259</v>
      </c>
      <c r="BO3207" s="5" t="s">
        <v>240</v>
      </c>
      <c r="BP3207" s="5" t="s">
        <v>240</v>
      </c>
      <c r="BQ3207" s="5" t="s">
        <v>240</v>
      </c>
      <c r="BR3207" s="5" t="s">
        <v>240</v>
      </c>
      <c r="BS3207" s="5" t="s">
        <v>240</v>
      </c>
      <c r="BT3207" s="5" t="s">
        <v>240</v>
      </c>
      <c r="BU3207" s="5" t="s">
        <v>240</v>
      </c>
      <c r="BV3207" s="5" t="s">
        <v>240</v>
      </c>
      <c r="BW3207" s="6" t="s">
        <v>240</v>
      </c>
      <c r="BX3207" s="5" t="s">
        <v>240</v>
      </c>
      <c r="BY3207" s="5" t="s">
        <v>240</v>
      </c>
      <c r="BZ3207" s="5" t="s">
        <v>240</v>
      </c>
      <c r="CA3207" s="5" t="s">
        <v>259</v>
      </c>
      <c r="CB3207" s="5" t="s">
        <v>240</v>
      </c>
      <c r="CC3207" s="5" t="s">
        <v>240</v>
      </c>
      <c r="CD3207" s="5" t="s">
        <v>240</v>
      </c>
      <c r="CE3207" s="5" t="s">
        <v>240</v>
      </c>
      <c r="CF3207" s="5" t="s">
        <v>240</v>
      </c>
      <c r="CG3207" s="5" t="s">
        <v>304</v>
      </c>
      <c r="CH3207" s="5" t="s">
        <v>305</v>
      </c>
      <c r="CI3207" s="5" t="s">
        <v>240</v>
      </c>
      <c r="CK3207" s="5" t="s">
        <v>3681</v>
      </c>
      <c r="CL3207" s="6" t="s">
        <v>261</v>
      </c>
      <c r="CM3207" s="5" t="s">
        <v>262</v>
      </c>
      <c r="CN3207" s="5" t="s">
        <v>263</v>
      </c>
      <c r="CO3207" s="5" t="s">
        <v>264</v>
      </c>
      <c r="CP3207" s="5" t="s">
        <v>240</v>
      </c>
      <c r="CQ3207" s="5">
        <v>0</v>
      </c>
      <c r="CR3207" s="5" t="s">
        <v>735</v>
      </c>
      <c r="CS3207" s="5" t="s">
        <v>307</v>
      </c>
      <c r="CT3207" s="5" t="s">
        <v>307</v>
      </c>
      <c r="CU3207" s="5" t="s">
        <v>260</v>
      </c>
      <c r="CV3207" s="5" t="s">
        <v>612</v>
      </c>
      <c r="CW3207" s="8">
        <f>1</f>
        <v>1</v>
      </c>
      <c r="CX3207" s="7">
        <f>1</f>
        <v>1</v>
      </c>
      <c r="CY3207" s="7">
        <f>0</f>
        <v>0</v>
      </c>
      <c r="DA3207" s="7">
        <f>1</f>
        <v>1</v>
      </c>
      <c r="DB3207" s="7" t="s">
        <v>240</v>
      </c>
      <c r="DC3207" s="5" t="s">
        <v>240</v>
      </c>
      <c r="DD3207" s="5" t="s">
        <v>240</v>
      </c>
      <c r="DE3207" s="5" t="s">
        <v>240</v>
      </c>
      <c r="DF3207" s="5" t="s">
        <v>240</v>
      </c>
      <c r="DG3207" s="7">
        <f>0</f>
        <v>0</v>
      </c>
      <c r="DI3207" s="5" t="s">
        <v>240</v>
      </c>
      <c r="DJ3207" s="5" t="s">
        <v>240</v>
      </c>
      <c r="DK3207" s="5" t="s">
        <v>240</v>
      </c>
      <c r="DL3207" s="5" t="s">
        <v>240</v>
      </c>
      <c r="DM3207" s="5" t="s">
        <v>240</v>
      </c>
      <c r="DN3207" s="5" t="s">
        <v>240</v>
      </c>
      <c r="DO3207" s="7" t="s">
        <v>240</v>
      </c>
      <c r="DP3207" s="5" t="s">
        <v>240</v>
      </c>
      <c r="DQ3207" s="5" t="s">
        <v>240</v>
      </c>
      <c r="DR3207" s="5" t="s">
        <v>731</v>
      </c>
      <c r="DS3207" s="5" t="s">
        <v>731</v>
      </c>
      <c r="DT3207" s="5" t="s">
        <v>240</v>
      </c>
      <c r="DU3207" s="5" t="s">
        <v>240</v>
      </c>
      <c r="DV3207" s="5" t="s">
        <v>3683</v>
      </c>
      <c r="DW3207" s="5" t="s">
        <v>560</v>
      </c>
      <c r="DX3207" s="5" t="s">
        <v>240</v>
      </c>
      <c r="DY3207" s="5" t="s">
        <v>240</v>
      </c>
      <c r="DZ3207" s="5" t="s">
        <v>240</v>
      </c>
      <c r="EA3207" s="5" t="s">
        <v>240</v>
      </c>
      <c r="EB3207" s="5" t="s">
        <v>240</v>
      </c>
      <c r="EC3207" s="5" t="s">
        <v>240</v>
      </c>
      <c r="ED3207" s="5" t="s">
        <v>240</v>
      </c>
      <c r="EE3207" s="5" t="s">
        <v>240</v>
      </c>
      <c r="EF3207" s="5" t="s">
        <v>240</v>
      </c>
      <c r="EG3207" s="5" t="s">
        <v>240</v>
      </c>
      <c r="EH3207" s="5" t="s">
        <v>240</v>
      </c>
      <c r="EI3207" s="5" t="s">
        <v>240</v>
      </c>
      <c r="EJ3207" s="5" t="s">
        <v>240</v>
      </c>
      <c r="EK3207" s="5" t="s">
        <v>240</v>
      </c>
      <c r="EL3207" s="5" t="s">
        <v>240</v>
      </c>
      <c r="EM3207" s="5" t="s">
        <v>240</v>
      </c>
      <c r="EN3207" s="5" t="s">
        <v>240</v>
      </c>
      <c r="EO3207" s="5" t="s">
        <v>240</v>
      </c>
      <c r="EP3207" s="5" t="s">
        <v>240</v>
      </c>
      <c r="EQ3207" s="5" t="s">
        <v>240</v>
      </c>
      <c r="ER3207" s="5" t="s">
        <v>240</v>
      </c>
      <c r="ES3207" s="5" t="s">
        <v>240</v>
      </c>
      <c r="ET3207" s="5" t="s">
        <v>240</v>
      </c>
      <c r="EU3207" s="5" t="s">
        <v>240</v>
      </c>
      <c r="EV3207" s="5" t="s">
        <v>240</v>
      </c>
      <c r="EW3207" s="5" t="s">
        <v>240</v>
      </c>
      <c r="EX3207" s="5" t="s">
        <v>240</v>
      </c>
      <c r="EY3207" s="5" t="s">
        <v>240</v>
      </c>
      <c r="EZ3207" s="5" t="s">
        <v>240</v>
      </c>
      <c r="FA3207" s="5" t="s">
        <v>240</v>
      </c>
      <c r="FB3207" s="5" t="s">
        <v>240</v>
      </c>
      <c r="FC3207" s="5" t="s">
        <v>240</v>
      </c>
      <c r="FD3207" s="5" t="s">
        <v>240</v>
      </c>
      <c r="FE3207" s="5" t="s">
        <v>240</v>
      </c>
      <c r="FF3207" s="5" t="s">
        <v>240</v>
      </c>
      <c r="FG3207" s="5" t="s">
        <v>240</v>
      </c>
      <c r="FH3207" s="5" t="s">
        <v>240</v>
      </c>
      <c r="FI3207" s="5" t="s">
        <v>240</v>
      </c>
      <c r="FJ3207" s="5" t="s">
        <v>240</v>
      </c>
      <c r="FK3207" s="5" t="s">
        <v>240</v>
      </c>
      <c r="FL3207" s="5" t="s">
        <v>240</v>
      </c>
      <c r="FM3207" s="5" t="s">
        <v>240</v>
      </c>
      <c r="FN3207" s="5" t="s">
        <v>240</v>
      </c>
      <c r="FO3207" s="5" t="s">
        <v>240</v>
      </c>
      <c r="FP3207" s="5" t="s">
        <v>240</v>
      </c>
      <c r="FQ3207" s="5" t="s">
        <v>240</v>
      </c>
      <c r="FR3207" s="5" t="s">
        <v>240</v>
      </c>
      <c r="FS3207" s="5" t="s">
        <v>240</v>
      </c>
      <c r="FT3207" s="5" t="s">
        <v>240</v>
      </c>
      <c r="FU3207" s="5" t="s">
        <v>240</v>
      </c>
      <c r="FV3207" s="5" t="s">
        <v>240</v>
      </c>
      <c r="FW3207" s="5" t="s">
        <v>240</v>
      </c>
      <c r="FX3207" s="5" t="s">
        <v>240</v>
      </c>
      <c r="FY3207" s="5" t="s">
        <v>240</v>
      </c>
      <c r="FZ3207" s="5" t="s">
        <v>240</v>
      </c>
      <c r="GA3207" s="5" t="s">
        <v>240</v>
      </c>
      <c r="GB3207" s="5" t="s">
        <v>240</v>
      </c>
      <c r="GC3207" s="5" t="s">
        <v>240</v>
      </c>
      <c r="GD3207" s="5" t="s">
        <v>240</v>
      </c>
      <c r="GE3207" s="5" t="s">
        <v>240</v>
      </c>
      <c r="GF3207" s="5" t="s">
        <v>240</v>
      </c>
      <c r="GG3207" s="5" t="s">
        <v>240</v>
      </c>
      <c r="GH3207" s="5" t="s">
        <v>240</v>
      </c>
      <c r="GI3207" s="5" t="s">
        <v>240</v>
      </c>
      <c r="GJ3207" s="5" t="s">
        <v>240</v>
      </c>
      <c r="GK3207" s="5" t="s">
        <v>240</v>
      </c>
      <c r="GL3207" s="5" t="s">
        <v>240</v>
      </c>
      <c r="GM3207" s="5" t="s">
        <v>240</v>
      </c>
      <c r="GN3207" s="5" t="s">
        <v>240</v>
      </c>
      <c r="GO3207" s="5" t="s">
        <v>240</v>
      </c>
      <c r="GP3207" s="5" t="s">
        <v>240</v>
      </c>
      <c r="GQ3207" s="5" t="s">
        <v>240</v>
      </c>
      <c r="GR3207" s="5" t="s">
        <v>240</v>
      </c>
      <c r="GS3207" s="5" t="s">
        <v>240</v>
      </c>
      <c r="GT3207" s="5" t="s">
        <v>240</v>
      </c>
      <c r="GU3207" s="5" t="s">
        <v>240</v>
      </c>
      <c r="GV3207" s="5" t="s">
        <v>240</v>
      </c>
      <c r="GW3207" s="5" t="s">
        <v>240</v>
      </c>
      <c r="GX3207" s="5" t="s">
        <v>240</v>
      </c>
      <c r="GY3207" s="5" t="s">
        <v>240</v>
      </c>
      <c r="GZ3207" s="5" t="s">
        <v>240</v>
      </c>
      <c r="HA3207" s="5" t="s">
        <v>240</v>
      </c>
      <c r="HB3207" s="5" t="s">
        <v>240</v>
      </c>
      <c r="HC3207" s="5" t="s">
        <v>240</v>
      </c>
      <c r="HD3207" s="5" t="s">
        <v>240</v>
      </c>
      <c r="HE3207" s="5" t="s">
        <v>240</v>
      </c>
      <c r="HF3207" s="5" t="s">
        <v>240</v>
      </c>
      <c r="HG3207" s="5" t="s">
        <v>240</v>
      </c>
      <c r="HH3207" s="5" t="s">
        <v>240</v>
      </c>
      <c r="HI3207" s="5" t="s">
        <v>240</v>
      </c>
      <c r="HJ3207" s="5" t="s">
        <v>240</v>
      </c>
      <c r="HK3207" s="5" t="s">
        <v>240</v>
      </c>
      <c r="HL3207" s="5" t="s">
        <v>240</v>
      </c>
      <c r="HM3207" s="5" t="s">
        <v>240</v>
      </c>
      <c r="HN3207" s="5" t="s">
        <v>240</v>
      </c>
      <c r="HO3207" s="5" t="s">
        <v>312</v>
      </c>
      <c r="HP3207" s="5" t="s">
        <v>240</v>
      </c>
      <c r="HQ3207" s="5" t="s">
        <v>240</v>
      </c>
      <c r="HR3207" s="5" t="s">
        <v>240</v>
      </c>
      <c r="HS3207" s="5" t="s">
        <v>240</v>
      </c>
      <c r="HT3207" s="5" t="s">
        <v>240</v>
      </c>
      <c r="HU3207" s="5" t="s">
        <v>240</v>
      </c>
      <c r="HV3207" s="5" t="s">
        <v>240</v>
      </c>
      <c r="HW3207" s="5" t="s">
        <v>240</v>
      </c>
      <c r="HX3207" s="5" t="s">
        <v>240</v>
      </c>
      <c r="HY3207" s="5" t="s">
        <v>240</v>
      </c>
      <c r="HZ3207" s="5" t="s">
        <v>240</v>
      </c>
      <c r="IA3207" s="5" t="s">
        <v>240</v>
      </c>
      <c r="IB3207" s="5" t="s">
        <v>240</v>
      </c>
      <c r="IC3207" s="5" t="s">
        <v>240</v>
      </c>
      <c r="ID3207" s="5" t="s">
        <v>240</v>
      </c>
      <c r="IE3207" s="5" t="s">
        <v>240</v>
      </c>
      <c r="IF3207" s="5" t="s">
        <v>240</v>
      </c>
    </row>
    <row r="3208" spans="1:240" x14ac:dyDescent="0.4">
      <c r="A3208" s="5">
        <v>8572</v>
      </c>
      <c r="B3208" s="5">
        <v>1</v>
      </c>
      <c r="C3208" s="5">
        <v>4</v>
      </c>
      <c r="D3208" s="5" t="s">
        <v>240</v>
      </c>
      <c r="E3208" s="5" t="s">
        <v>245</v>
      </c>
      <c r="F3208" s="5" t="s">
        <v>254</v>
      </c>
      <c r="G3208" s="5" t="s">
        <v>6761</v>
      </c>
      <c r="H3208" s="6" t="s">
        <v>7255</v>
      </c>
      <c r="I3208" s="5" t="s">
        <v>7254</v>
      </c>
      <c r="J3208" s="8">
        <f>422.65</f>
        <v>422.65</v>
      </c>
      <c r="K3208" s="5" t="s">
        <v>308</v>
      </c>
      <c r="L3208" s="7">
        <f>845300</f>
        <v>845300</v>
      </c>
      <c r="M3208" s="7">
        <f>845300</f>
        <v>845300</v>
      </c>
      <c r="N3208" s="5" t="s">
        <v>242</v>
      </c>
      <c r="O3208" s="5">
        <v>1</v>
      </c>
      <c r="P3208" s="5" t="s">
        <v>294</v>
      </c>
      <c r="Q3208" s="5" t="s">
        <v>3678</v>
      </c>
      <c r="R3208" s="5" t="s">
        <v>240</v>
      </c>
      <c r="S3208" s="5" t="s">
        <v>240</v>
      </c>
      <c r="T3208" s="5" t="s">
        <v>243</v>
      </c>
      <c r="U3208" s="5" t="s">
        <v>244</v>
      </c>
      <c r="V3208" s="5" t="s">
        <v>240</v>
      </c>
      <c r="W3208" s="5" t="s">
        <v>240</v>
      </c>
      <c r="X3208" s="5" t="s">
        <v>240</v>
      </c>
      <c r="Y3208" s="5" t="s">
        <v>240</v>
      </c>
      <c r="Z3208" s="6" t="s">
        <v>298</v>
      </c>
      <c r="AA3208" s="6" t="s">
        <v>240</v>
      </c>
      <c r="AB3208" s="6" t="s">
        <v>240</v>
      </c>
      <c r="AC3208" s="5" t="s">
        <v>240</v>
      </c>
      <c r="AD3208" s="6" t="s">
        <v>240</v>
      </c>
      <c r="AE3208" s="6" t="s">
        <v>299</v>
      </c>
      <c r="AF3208" s="5" t="s">
        <v>248</v>
      </c>
      <c r="AG3208" s="5" t="s">
        <v>249</v>
      </c>
      <c r="AH3208" s="5" t="s">
        <v>240</v>
      </c>
      <c r="AI3208" s="5" t="s">
        <v>240</v>
      </c>
      <c r="AJ3208" s="5" t="s">
        <v>240</v>
      </c>
      <c r="AK3208" s="5" t="s">
        <v>240</v>
      </c>
      <c r="AL3208" s="5" t="s">
        <v>240</v>
      </c>
      <c r="AM3208" s="5" t="s">
        <v>240</v>
      </c>
      <c r="AN3208" s="5" t="s">
        <v>240</v>
      </c>
      <c r="AO3208" s="5" t="s">
        <v>240</v>
      </c>
      <c r="AP3208" s="6" t="s">
        <v>240</v>
      </c>
      <c r="AQ3208" s="6" t="s">
        <v>240</v>
      </c>
      <c r="AR3208" s="6" t="s">
        <v>240</v>
      </c>
      <c r="AS3208" s="6" t="s">
        <v>240</v>
      </c>
      <c r="AT3208" s="5" t="s">
        <v>240</v>
      </c>
      <c r="AU3208" s="5" t="s">
        <v>729</v>
      </c>
      <c r="AV3208" s="5" t="s">
        <v>729</v>
      </c>
      <c r="AW3208" s="5" t="s">
        <v>251</v>
      </c>
      <c r="AX3208" s="5" t="s">
        <v>252</v>
      </c>
      <c r="AY3208" s="5" t="s">
        <v>253</v>
      </c>
      <c r="AZ3208" s="5" t="s">
        <v>240</v>
      </c>
      <c r="BA3208" s="5" t="s">
        <v>255</v>
      </c>
      <c r="BB3208" s="5" t="s">
        <v>731</v>
      </c>
      <c r="BD3208" s="5" t="s">
        <v>240</v>
      </c>
      <c r="BF3208" s="5" t="s">
        <v>732</v>
      </c>
      <c r="BG3208" s="6" t="s">
        <v>733</v>
      </c>
      <c r="BH3208" s="5" t="s">
        <v>734</v>
      </c>
      <c r="BI3208" s="5" t="s">
        <v>734</v>
      </c>
      <c r="BJ3208" s="5" t="s">
        <v>240</v>
      </c>
      <c r="BK3208" s="7">
        <f>1</f>
        <v>1</v>
      </c>
      <c r="BL3208" s="7">
        <f>1</f>
        <v>1</v>
      </c>
      <c r="BM3208" s="5" t="s">
        <v>258</v>
      </c>
      <c r="BN3208" s="5" t="s">
        <v>259</v>
      </c>
      <c r="BO3208" s="5" t="s">
        <v>240</v>
      </c>
      <c r="BP3208" s="5" t="s">
        <v>240</v>
      </c>
      <c r="BQ3208" s="5" t="s">
        <v>240</v>
      </c>
      <c r="BR3208" s="5" t="s">
        <v>240</v>
      </c>
      <c r="BS3208" s="5" t="s">
        <v>240</v>
      </c>
      <c r="BT3208" s="5" t="s">
        <v>240</v>
      </c>
      <c r="BU3208" s="5" t="s">
        <v>240</v>
      </c>
      <c r="BV3208" s="5" t="s">
        <v>240</v>
      </c>
      <c r="BW3208" s="6" t="s">
        <v>240</v>
      </c>
      <c r="BX3208" s="5" t="s">
        <v>240</v>
      </c>
      <c r="BY3208" s="5" t="s">
        <v>240</v>
      </c>
      <c r="BZ3208" s="5" t="s">
        <v>240</v>
      </c>
      <c r="CA3208" s="5" t="s">
        <v>259</v>
      </c>
      <c r="CB3208" s="5" t="s">
        <v>240</v>
      </c>
      <c r="CC3208" s="5" t="s">
        <v>240</v>
      </c>
      <c r="CD3208" s="5" t="s">
        <v>240</v>
      </c>
      <c r="CE3208" s="5" t="s">
        <v>240</v>
      </c>
      <c r="CF3208" s="5" t="s">
        <v>240</v>
      </c>
      <c r="CG3208" s="5" t="s">
        <v>304</v>
      </c>
      <c r="CH3208" s="5" t="s">
        <v>305</v>
      </c>
      <c r="CI3208" s="5" t="s">
        <v>240</v>
      </c>
      <c r="CK3208" s="5" t="s">
        <v>3681</v>
      </c>
      <c r="CL3208" s="6" t="s">
        <v>261</v>
      </c>
      <c r="CM3208" s="5" t="s">
        <v>262</v>
      </c>
      <c r="CN3208" s="5" t="s">
        <v>263</v>
      </c>
      <c r="CO3208" s="5" t="s">
        <v>264</v>
      </c>
      <c r="CP3208" s="5" t="s">
        <v>240</v>
      </c>
      <c r="CQ3208" s="5">
        <v>0</v>
      </c>
      <c r="CR3208" s="5" t="s">
        <v>735</v>
      </c>
      <c r="CS3208" s="5" t="s">
        <v>307</v>
      </c>
      <c r="CT3208" s="5" t="s">
        <v>307</v>
      </c>
      <c r="CU3208" s="5" t="s">
        <v>260</v>
      </c>
      <c r="CV3208" s="5" t="s">
        <v>612</v>
      </c>
      <c r="CW3208" s="8">
        <f>1</f>
        <v>1</v>
      </c>
      <c r="CX3208" s="7">
        <f>1</f>
        <v>1</v>
      </c>
      <c r="CY3208" s="7">
        <f>0</f>
        <v>0</v>
      </c>
      <c r="DA3208" s="7">
        <f>1</f>
        <v>1</v>
      </c>
      <c r="DB3208" s="7" t="s">
        <v>240</v>
      </c>
      <c r="DC3208" s="5" t="s">
        <v>240</v>
      </c>
      <c r="DD3208" s="5" t="s">
        <v>240</v>
      </c>
      <c r="DE3208" s="5" t="s">
        <v>240</v>
      </c>
      <c r="DF3208" s="5" t="s">
        <v>240</v>
      </c>
      <c r="DG3208" s="7">
        <f>0</f>
        <v>0</v>
      </c>
      <c r="DI3208" s="5" t="s">
        <v>240</v>
      </c>
      <c r="DJ3208" s="5" t="s">
        <v>240</v>
      </c>
      <c r="DK3208" s="5" t="s">
        <v>240</v>
      </c>
      <c r="DL3208" s="5" t="s">
        <v>240</v>
      </c>
      <c r="DM3208" s="5" t="s">
        <v>240</v>
      </c>
      <c r="DN3208" s="5" t="s">
        <v>240</v>
      </c>
      <c r="DO3208" s="7" t="s">
        <v>240</v>
      </c>
      <c r="DP3208" s="5" t="s">
        <v>240</v>
      </c>
      <c r="DQ3208" s="5" t="s">
        <v>240</v>
      </c>
      <c r="DR3208" s="5" t="s">
        <v>731</v>
      </c>
      <c r="DS3208" s="5" t="s">
        <v>731</v>
      </c>
      <c r="DT3208" s="5" t="s">
        <v>240</v>
      </c>
      <c r="DU3208" s="5" t="s">
        <v>240</v>
      </c>
      <c r="DV3208" s="5" t="s">
        <v>3683</v>
      </c>
      <c r="DW3208" s="5" t="s">
        <v>703</v>
      </c>
      <c r="DX3208" s="5" t="s">
        <v>240</v>
      </c>
      <c r="DY3208" s="5" t="s">
        <v>240</v>
      </c>
      <c r="DZ3208" s="5" t="s">
        <v>240</v>
      </c>
      <c r="EA3208" s="5" t="s">
        <v>240</v>
      </c>
      <c r="EB3208" s="5" t="s">
        <v>240</v>
      </c>
      <c r="EC3208" s="5" t="s">
        <v>240</v>
      </c>
      <c r="ED3208" s="5" t="s">
        <v>240</v>
      </c>
      <c r="EE3208" s="5" t="s">
        <v>240</v>
      </c>
      <c r="EF3208" s="5" t="s">
        <v>240</v>
      </c>
      <c r="EG3208" s="5" t="s">
        <v>240</v>
      </c>
      <c r="EH3208" s="5" t="s">
        <v>240</v>
      </c>
      <c r="EI3208" s="5" t="s">
        <v>240</v>
      </c>
      <c r="EJ3208" s="5" t="s">
        <v>240</v>
      </c>
      <c r="EK3208" s="5" t="s">
        <v>240</v>
      </c>
      <c r="EL3208" s="5" t="s">
        <v>240</v>
      </c>
      <c r="EM3208" s="5" t="s">
        <v>240</v>
      </c>
      <c r="EN3208" s="5" t="s">
        <v>240</v>
      </c>
      <c r="EO3208" s="5" t="s">
        <v>240</v>
      </c>
      <c r="EP3208" s="5" t="s">
        <v>240</v>
      </c>
      <c r="EQ3208" s="5" t="s">
        <v>240</v>
      </c>
      <c r="ER3208" s="5" t="s">
        <v>240</v>
      </c>
      <c r="ES3208" s="5" t="s">
        <v>240</v>
      </c>
      <c r="ET3208" s="5" t="s">
        <v>240</v>
      </c>
      <c r="EU3208" s="5" t="s">
        <v>240</v>
      </c>
      <c r="EV3208" s="5" t="s">
        <v>240</v>
      </c>
      <c r="EW3208" s="5" t="s">
        <v>240</v>
      </c>
      <c r="EX3208" s="5" t="s">
        <v>240</v>
      </c>
      <c r="EY3208" s="5" t="s">
        <v>240</v>
      </c>
      <c r="EZ3208" s="5" t="s">
        <v>240</v>
      </c>
      <c r="FA3208" s="5" t="s">
        <v>240</v>
      </c>
      <c r="FB3208" s="5" t="s">
        <v>240</v>
      </c>
      <c r="FC3208" s="5" t="s">
        <v>240</v>
      </c>
      <c r="FD3208" s="5" t="s">
        <v>240</v>
      </c>
      <c r="FE3208" s="5" t="s">
        <v>240</v>
      </c>
      <c r="FF3208" s="5" t="s">
        <v>240</v>
      </c>
      <c r="FG3208" s="5" t="s">
        <v>240</v>
      </c>
      <c r="FH3208" s="5" t="s">
        <v>240</v>
      </c>
      <c r="FI3208" s="5" t="s">
        <v>240</v>
      </c>
      <c r="FJ3208" s="5" t="s">
        <v>240</v>
      </c>
      <c r="FK3208" s="5" t="s">
        <v>240</v>
      </c>
      <c r="FL3208" s="5" t="s">
        <v>240</v>
      </c>
      <c r="FM3208" s="5" t="s">
        <v>240</v>
      </c>
      <c r="FN3208" s="5" t="s">
        <v>240</v>
      </c>
      <c r="FO3208" s="5" t="s">
        <v>240</v>
      </c>
      <c r="FP3208" s="5" t="s">
        <v>240</v>
      </c>
      <c r="FQ3208" s="5" t="s">
        <v>240</v>
      </c>
      <c r="FR3208" s="5" t="s">
        <v>240</v>
      </c>
      <c r="FS3208" s="5" t="s">
        <v>240</v>
      </c>
      <c r="FT3208" s="5" t="s">
        <v>240</v>
      </c>
      <c r="FU3208" s="5" t="s">
        <v>240</v>
      </c>
      <c r="FV3208" s="5" t="s">
        <v>240</v>
      </c>
      <c r="FW3208" s="5" t="s">
        <v>240</v>
      </c>
      <c r="FX3208" s="5" t="s">
        <v>240</v>
      </c>
      <c r="FY3208" s="5" t="s">
        <v>240</v>
      </c>
      <c r="FZ3208" s="5" t="s">
        <v>240</v>
      </c>
      <c r="GA3208" s="5" t="s">
        <v>240</v>
      </c>
      <c r="GB3208" s="5" t="s">
        <v>240</v>
      </c>
      <c r="GC3208" s="5" t="s">
        <v>240</v>
      </c>
      <c r="GD3208" s="5" t="s">
        <v>240</v>
      </c>
      <c r="GE3208" s="5" t="s">
        <v>240</v>
      </c>
      <c r="GF3208" s="5" t="s">
        <v>240</v>
      </c>
      <c r="GG3208" s="5" t="s">
        <v>240</v>
      </c>
      <c r="GH3208" s="5" t="s">
        <v>240</v>
      </c>
      <c r="GI3208" s="5" t="s">
        <v>240</v>
      </c>
      <c r="GJ3208" s="5" t="s">
        <v>240</v>
      </c>
      <c r="GK3208" s="5" t="s">
        <v>240</v>
      </c>
      <c r="GL3208" s="5" t="s">
        <v>240</v>
      </c>
      <c r="GM3208" s="5" t="s">
        <v>240</v>
      </c>
      <c r="GN3208" s="5" t="s">
        <v>240</v>
      </c>
      <c r="GO3208" s="5" t="s">
        <v>240</v>
      </c>
      <c r="GP3208" s="5" t="s">
        <v>240</v>
      </c>
      <c r="GQ3208" s="5" t="s">
        <v>240</v>
      </c>
      <c r="GR3208" s="5" t="s">
        <v>240</v>
      </c>
      <c r="GS3208" s="5" t="s">
        <v>240</v>
      </c>
      <c r="GT3208" s="5" t="s">
        <v>240</v>
      </c>
      <c r="GU3208" s="5" t="s">
        <v>240</v>
      </c>
      <c r="GV3208" s="5" t="s">
        <v>240</v>
      </c>
      <c r="GW3208" s="5" t="s">
        <v>240</v>
      </c>
      <c r="GX3208" s="5" t="s">
        <v>240</v>
      </c>
      <c r="GY3208" s="5" t="s">
        <v>240</v>
      </c>
      <c r="GZ3208" s="5" t="s">
        <v>240</v>
      </c>
      <c r="HA3208" s="5" t="s">
        <v>240</v>
      </c>
      <c r="HB3208" s="5" t="s">
        <v>240</v>
      </c>
      <c r="HC3208" s="5" t="s">
        <v>240</v>
      </c>
      <c r="HD3208" s="5" t="s">
        <v>240</v>
      </c>
      <c r="HE3208" s="5" t="s">
        <v>240</v>
      </c>
      <c r="HF3208" s="5" t="s">
        <v>240</v>
      </c>
      <c r="HG3208" s="5" t="s">
        <v>240</v>
      </c>
      <c r="HH3208" s="5" t="s">
        <v>240</v>
      </c>
      <c r="HI3208" s="5" t="s">
        <v>240</v>
      </c>
      <c r="HJ3208" s="5" t="s">
        <v>240</v>
      </c>
      <c r="HK3208" s="5" t="s">
        <v>240</v>
      </c>
      <c r="HL3208" s="5" t="s">
        <v>240</v>
      </c>
      <c r="HM3208" s="5" t="s">
        <v>240</v>
      </c>
      <c r="HN3208" s="5" t="s">
        <v>240</v>
      </c>
      <c r="HO3208" s="5" t="s">
        <v>312</v>
      </c>
      <c r="HP3208" s="5" t="s">
        <v>240</v>
      </c>
      <c r="HQ3208" s="5" t="s">
        <v>240</v>
      </c>
      <c r="HR3208" s="5" t="s">
        <v>240</v>
      </c>
      <c r="HS3208" s="5" t="s">
        <v>240</v>
      </c>
      <c r="HT3208" s="5" t="s">
        <v>240</v>
      </c>
      <c r="HU3208" s="5" t="s">
        <v>240</v>
      </c>
      <c r="HV3208" s="5" t="s">
        <v>240</v>
      </c>
      <c r="HW3208" s="5" t="s">
        <v>240</v>
      </c>
      <c r="HX3208" s="5" t="s">
        <v>240</v>
      </c>
      <c r="HY3208" s="5" t="s">
        <v>240</v>
      </c>
      <c r="HZ3208" s="5" t="s">
        <v>240</v>
      </c>
      <c r="IA3208" s="5" t="s">
        <v>240</v>
      </c>
      <c r="IB3208" s="5" t="s">
        <v>240</v>
      </c>
      <c r="IC3208" s="5" t="s">
        <v>240</v>
      </c>
      <c r="ID3208" s="5" t="s">
        <v>240</v>
      </c>
      <c r="IE3208" s="5" t="s">
        <v>240</v>
      </c>
      <c r="IF3208" s="5" t="s">
        <v>240</v>
      </c>
    </row>
    <row r="3209" spans="1:240" x14ac:dyDescent="0.4">
      <c r="A3209" s="5">
        <v>8573</v>
      </c>
      <c r="B3209" s="5">
        <v>1</v>
      </c>
      <c r="C3209" s="5">
        <v>2</v>
      </c>
      <c r="D3209" s="5" t="s">
        <v>240</v>
      </c>
      <c r="E3209" s="5" t="s">
        <v>245</v>
      </c>
      <c r="F3209" s="5" t="s">
        <v>254</v>
      </c>
      <c r="G3209" s="5" t="s">
        <v>6761</v>
      </c>
      <c r="H3209" s="6" t="s">
        <v>250</v>
      </c>
      <c r="I3209" s="5" t="s">
        <v>7090</v>
      </c>
      <c r="J3209" s="8">
        <f>105.08</f>
        <v>105.08</v>
      </c>
      <c r="K3209" s="5" t="s">
        <v>308</v>
      </c>
      <c r="L3209" s="7">
        <f>1376548</f>
        <v>1376548</v>
      </c>
      <c r="M3209" s="7">
        <f>1376548</f>
        <v>1376548</v>
      </c>
      <c r="N3209" s="5" t="s">
        <v>242</v>
      </c>
      <c r="O3209" s="5">
        <v>1</v>
      </c>
      <c r="P3209" s="5" t="s">
        <v>294</v>
      </c>
      <c r="Q3209" s="5" t="s">
        <v>3678</v>
      </c>
      <c r="R3209" s="5" t="s">
        <v>240</v>
      </c>
      <c r="S3209" s="5" t="s">
        <v>240</v>
      </c>
      <c r="T3209" s="5" t="s">
        <v>243</v>
      </c>
      <c r="U3209" s="5" t="s">
        <v>244</v>
      </c>
      <c r="V3209" s="5" t="s">
        <v>240</v>
      </c>
      <c r="W3209" s="5" t="s">
        <v>240</v>
      </c>
      <c r="X3209" s="5" t="s">
        <v>240</v>
      </c>
      <c r="Y3209" s="5" t="s">
        <v>240</v>
      </c>
      <c r="Z3209" s="6" t="s">
        <v>298</v>
      </c>
      <c r="AA3209" s="6" t="s">
        <v>240</v>
      </c>
      <c r="AB3209" s="6" t="s">
        <v>240</v>
      </c>
      <c r="AC3209" s="5" t="s">
        <v>240</v>
      </c>
      <c r="AD3209" s="6" t="s">
        <v>240</v>
      </c>
      <c r="AE3209" s="6" t="s">
        <v>299</v>
      </c>
      <c r="AF3209" s="5" t="s">
        <v>248</v>
      </c>
      <c r="AG3209" s="5" t="s">
        <v>249</v>
      </c>
      <c r="AH3209" s="5" t="s">
        <v>240</v>
      </c>
      <c r="AI3209" s="5" t="s">
        <v>240</v>
      </c>
      <c r="AJ3209" s="5" t="s">
        <v>240</v>
      </c>
      <c r="AK3209" s="5" t="s">
        <v>240</v>
      </c>
      <c r="AL3209" s="5" t="s">
        <v>240</v>
      </c>
      <c r="AM3209" s="5" t="s">
        <v>240</v>
      </c>
      <c r="AN3209" s="5" t="s">
        <v>240</v>
      </c>
      <c r="AO3209" s="5" t="s">
        <v>240</v>
      </c>
      <c r="AP3209" s="6" t="s">
        <v>240</v>
      </c>
      <c r="AQ3209" s="6" t="s">
        <v>240</v>
      </c>
      <c r="AR3209" s="6" t="s">
        <v>240</v>
      </c>
      <c r="AS3209" s="6" t="s">
        <v>240</v>
      </c>
      <c r="AT3209" s="5" t="s">
        <v>240</v>
      </c>
      <c r="AU3209" s="5" t="s">
        <v>729</v>
      </c>
      <c r="AV3209" s="5" t="s">
        <v>729</v>
      </c>
      <c r="AW3209" s="5" t="s">
        <v>251</v>
      </c>
      <c r="AX3209" s="5" t="s">
        <v>252</v>
      </c>
      <c r="AY3209" s="5" t="s">
        <v>253</v>
      </c>
      <c r="AZ3209" s="5" t="s">
        <v>240</v>
      </c>
      <c r="BA3209" s="5" t="s">
        <v>255</v>
      </c>
      <c r="BB3209" s="5" t="s">
        <v>731</v>
      </c>
      <c r="BD3209" s="5" t="s">
        <v>240</v>
      </c>
      <c r="BF3209" s="5" t="s">
        <v>732</v>
      </c>
      <c r="BG3209" s="6" t="s">
        <v>733</v>
      </c>
      <c r="BH3209" s="5" t="s">
        <v>734</v>
      </c>
      <c r="BI3209" s="5" t="s">
        <v>734</v>
      </c>
      <c r="BJ3209" s="5" t="s">
        <v>240</v>
      </c>
      <c r="BK3209" s="7">
        <f>1</f>
        <v>1</v>
      </c>
      <c r="BL3209" s="7">
        <f>1</f>
        <v>1</v>
      </c>
      <c r="BM3209" s="5" t="s">
        <v>258</v>
      </c>
      <c r="BN3209" s="5" t="s">
        <v>259</v>
      </c>
      <c r="BO3209" s="5" t="s">
        <v>240</v>
      </c>
      <c r="BP3209" s="5" t="s">
        <v>240</v>
      </c>
      <c r="BQ3209" s="5" t="s">
        <v>240</v>
      </c>
      <c r="BR3209" s="5" t="s">
        <v>240</v>
      </c>
      <c r="BS3209" s="5" t="s">
        <v>240</v>
      </c>
      <c r="BT3209" s="5" t="s">
        <v>240</v>
      </c>
      <c r="BU3209" s="5" t="s">
        <v>240</v>
      </c>
      <c r="BV3209" s="5" t="s">
        <v>240</v>
      </c>
      <c r="BW3209" s="6" t="s">
        <v>240</v>
      </c>
      <c r="BX3209" s="5" t="s">
        <v>240</v>
      </c>
      <c r="BY3209" s="5" t="s">
        <v>240</v>
      </c>
      <c r="BZ3209" s="5" t="s">
        <v>240</v>
      </c>
      <c r="CA3209" s="5" t="s">
        <v>259</v>
      </c>
      <c r="CB3209" s="5" t="s">
        <v>240</v>
      </c>
      <c r="CC3209" s="5" t="s">
        <v>240</v>
      </c>
      <c r="CD3209" s="5" t="s">
        <v>240</v>
      </c>
      <c r="CE3209" s="5" t="s">
        <v>240</v>
      </c>
      <c r="CF3209" s="5" t="s">
        <v>240</v>
      </c>
      <c r="CG3209" s="5" t="s">
        <v>304</v>
      </c>
      <c r="CH3209" s="5" t="s">
        <v>305</v>
      </c>
      <c r="CI3209" s="5" t="s">
        <v>240</v>
      </c>
      <c r="CK3209" s="5" t="s">
        <v>3681</v>
      </c>
      <c r="CL3209" s="6" t="s">
        <v>261</v>
      </c>
      <c r="CM3209" s="5" t="s">
        <v>262</v>
      </c>
      <c r="CN3209" s="5" t="s">
        <v>263</v>
      </c>
      <c r="CO3209" s="5" t="s">
        <v>264</v>
      </c>
      <c r="CP3209" s="5" t="s">
        <v>240</v>
      </c>
      <c r="CQ3209" s="5">
        <v>0</v>
      </c>
      <c r="CR3209" s="5" t="s">
        <v>735</v>
      </c>
      <c r="CS3209" s="5" t="s">
        <v>307</v>
      </c>
      <c r="CT3209" s="5" t="s">
        <v>307</v>
      </c>
      <c r="CU3209" s="5" t="s">
        <v>260</v>
      </c>
      <c r="CV3209" s="5" t="s">
        <v>612</v>
      </c>
      <c r="CW3209" s="8">
        <f>1</f>
        <v>1</v>
      </c>
      <c r="CX3209" s="7">
        <f>1</f>
        <v>1</v>
      </c>
      <c r="CY3209" s="7">
        <f>0</f>
        <v>0</v>
      </c>
      <c r="DA3209" s="7">
        <f>1</f>
        <v>1</v>
      </c>
      <c r="DB3209" s="7" t="s">
        <v>240</v>
      </c>
      <c r="DC3209" s="5" t="s">
        <v>240</v>
      </c>
      <c r="DD3209" s="5" t="s">
        <v>240</v>
      </c>
      <c r="DE3209" s="5" t="s">
        <v>240</v>
      </c>
      <c r="DF3209" s="5" t="s">
        <v>240</v>
      </c>
      <c r="DG3209" s="7">
        <f>0</f>
        <v>0</v>
      </c>
      <c r="DI3209" s="5" t="s">
        <v>240</v>
      </c>
      <c r="DJ3209" s="5" t="s">
        <v>240</v>
      </c>
      <c r="DK3209" s="5" t="s">
        <v>240</v>
      </c>
      <c r="DL3209" s="5" t="s">
        <v>240</v>
      </c>
      <c r="DM3209" s="5" t="s">
        <v>240</v>
      </c>
      <c r="DN3209" s="5" t="s">
        <v>240</v>
      </c>
      <c r="DO3209" s="7" t="s">
        <v>240</v>
      </c>
      <c r="DP3209" s="5" t="s">
        <v>240</v>
      </c>
      <c r="DQ3209" s="5" t="s">
        <v>240</v>
      </c>
      <c r="DR3209" s="5" t="s">
        <v>731</v>
      </c>
      <c r="DS3209" s="5" t="s">
        <v>731</v>
      </c>
      <c r="DT3209" s="5" t="s">
        <v>240</v>
      </c>
      <c r="DU3209" s="5" t="s">
        <v>240</v>
      </c>
      <c r="DV3209" s="5" t="s">
        <v>3683</v>
      </c>
      <c r="DW3209" s="5" t="s">
        <v>568</v>
      </c>
      <c r="DX3209" s="5" t="s">
        <v>240</v>
      </c>
      <c r="DY3209" s="5" t="s">
        <v>240</v>
      </c>
      <c r="DZ3209" s="5" t="s">
        <v>240</v>
      </c>
      <c r="EA3209" s="5" t="s">
        <v>240</v>
      </c>
      <c r="EB3209" s="5" t="s">
        <v>240</v>
      </c>
      <c r="EC3209" s="5" t="s">
        <v>240</v>
      </c>
      <c r="ED3209" s="5" t="s">
        <v>240</v>
      </c>
      <c r="EE3209" s="5" t="s">
        <v>240</v>
      </c>
      <c r="EF3209" s="5" t="s">
        <v>240</v>
      </c>
      <c r="EG3209" s="5" t="s">
        <v>240</v>
      </c>
      <c r="EH3209" s="5" t="s">
        <v>240</v>
      </c>
      <c r="EI3209" s="5" t="s">
        <v>240</v>
      </c>
      <c r="EJ3209" s="5" t="s">
        <v>240</v>
      </c>
      <c r="EK3209" s="5" t="s">
        <v>240</v>
      </c>
      <c r="EL3209" s="5" t="s">
        <v>240</v>
      </c>
      <c r="EM3209" s="5" t="s">
        <v>240</v>
      </c>
      <c r="EN3209" s="5" t="s">
        <v>240</v>
      </c>
      <c r="EO3209" s="5" t="s">
        <v>240</v>
      </c>
      <c r="EP3209" s="5" t="s">
        <v>240</v>
      </c>
      <c r="EQ3209" s="5" t="s">
        <v>240</v>
      </c>
      <c r="ER3209" s="5" t="s">
        <v>240</v>
      </c>
      <c r="ES3209" s="5" t="s">
        <v>240</v>
      </c>
      <c r="ET3209" s="5" t="s">
        <v>240</v>
      </c>
      <c r="EU3209" s="5" t="s">
        <v>240</v>
      </c>
      <c r="EV3209" s="5" t="s">
        <v>240</v>
      </c>
      <c r="EW3209" s="5" t="s">
        <v>240</v>
      </c>
      <c r="EX3209" s="5" t="s">
        <v>240</v>
      </c>
      <c r="EY3209" s="5" t="s">
        <v>240</v>
      </c>
      <c r="EZ3209" s="5" t="s">
        <v>240</v>
      </c>
      <c r="FA3209" s="5" t="s">
        <v>240</v>
      </c>
      <c r="FB3209" s="5" t="s">
        <v>240</v>
      </c>
      <c r="FC3209" s="5" t="s">
        <v>240</v>
      </c>
      <c r="FD3209" s="5" t="s">
        <v>240</v>
      </c>
      <c r="FE3209" s="5" t="s">
        <v>240</v>
      </c>
      <c r="FF3209" s="5" t="s">
        <v>240</v>
      </c>
      <c r="FG3209" s="5" t="s">
        <v>240</v>
      </c>
      <c r="FH3209" s="5" t="s">
        <v>240</v>
      </c>
      <c r="FI3209" s="5" t="s">
        <v>240</v>
      </c>
      <c r="FJ3209" s="5" t="s">
        <v>240</v>
      </c>
      <c r="FK3209" s="5" t="s">
        <v>240</v>
      </c>
      <c r="FL3209" s="5" t="s">
        <v>240</v>
      </c>
      <c r="FM3209" s="5" t="s">
        <v>240</v>
      </c>
      <c r="FN3209" s="5" t="s">
        <v>240</v>
      </c>
      <c r="FO3209" s="5" t="s">
        <v>240</v>
      </c>
      <c r="FP3209" s="5" t="s">
        <v>240</v>
      </c>
      <c r="FQ3209" s="5" t="s">
        <v>240</v>
      </c>
      <c r="FR3209" s="5" t="s">
        <v>240</v>
      </c>
      <c r="FS3209" s="5" t="s">
        <v>240</v>
      </c>
      <c r="FT3209" s="5" t="s">
        <v>240</v>
      </c>
      <c r="FU3209" s="5" t="s">
        <v>240</v>
      </c>
      <c r="FV3209" s="5" t="s">
        <v>240</v>
      </c>
      <c r="FW3209" s="5" t="s">
        <v>240</v>
      </c>
      <c r="FX3209" s="5" t="s">
        <v>240</v>
      </c>
      <c r="FY3209" s="5" t="s">
        <v>240</v>
      </c>
      <c r="FZ3209" s="5" t="s">
        <v>240</v>
      </c>
      <c r="GA3209" s="5" t="s">
        <v>240</v>
      </c>
      <c r="GB3209" s="5" t="s">
        <v>240</v>
      </c>
      <c r="GC3209" s="5" t="s">
        <v>240</v>
      </c>
      <c r="GD3209" s="5" t="s">
        <v>240</v>
      </c>
      <c r="GE3209" s="5" t="s">
        <v>240</v>
      </c>
      <c r="GF3209" s="5" t="s">
        <v>240</v>
      </c>
      <c r="GG3209" s="5" t="s">
        <v>240</v>
      </c>
      <c r="GH3209" s="5" t="s">
        <v>240</v>
      </c>
      <c r="GI3209" s="5" t="s">
        <v>240</v>
      </c>
      <c r="GJ3209" s="5" t="s">
        <v>240</v>
      </c>
      <c r="GK3209" s="5" t="s">
        <v>240</v>
      </c>
      <c r="GL3209" s="5" t="s">
        <v>240</v>
      </c>
      <c r="GM3209" s="5" t="s">
        <v>240</v>
      </c>
      <c r="GN3209" s="5" t="s">
        <v>240</v>
      </c>
      <c r="GO3209" s="5" t="s">
        <v>240</v>
      </c>
      <c r="GP3209" s="5" t="s">
        <v>240</v>
      </c>
      <c r="GQ3209" s="5" t="s">
        <v>240</v>
      </c>
      <c r="GR3209" s="5" t="s">
        <v>240</v>
      </c>
      <c r="GS3209" s="5" t="s">
        <v>240</v>
      </c>
      <c r="GT3209" s="5" t="s">
        <v>240</v>
      </c>
      <c r="GU3209" s="5" t="s">
        <v>240</v>
      </c>
      <c r="GV3209" s="5" t="s">
        <v>240</v>
      </c>
      <c r="GW3209" s="5" t="s">
        <v>240</v>
      </c>
      <c r="GX3209" s="5" t="s">
        <v>240</v>
      </c>
      <c r="GY3209" s="5" t="s">
        <v>240</v>
      </c>
      <c r="GZ3209" s="5" t="s">
        <v>240</v>
      </c>
      <c r="HA3209" s="5" t="s">
        <v>240</v>
      </c>
      <c r="HB3209" s="5" t="s">
        <v>240</v>
      </c>
      <c r="HC3209" s="5" t="s">
        <v>240</v>
      </c>
      <c r="HD3209" s="5" t="s">
        <v>240</v>
      </c>
      <c r="HE3209" s="5" t="s">
        <v>240</v>
      </c>
      <c r="HF3209" s="5" t="s">
        <v>240</v>
      </c>
      <c r="HG3209" s="5" t="s">
        <v>240</v>
      </c>
      <c r="HH3209" s="5" t="s">
        <v>240</v>
      </c>
      <c r="HI3209" s="5" t="s">
        <v>240</v>
      </c>
      <c r="HJ3209" s="5" t="s">
        <v>240</v>
      </c>
      <c r="HK3209" s="5" t="s">
        <v>240</v>
      </c>
      <c r="HL3209" s="5" t="s">
        <v>240</v>
      </c>
      <c r="HM3209" s="5" t="s">
        <v>240</v>
      </c>
      <c r="HN3209" s="5" t="s">
        <v>240</v>
      </c>
      <c r="HO3209" s="5" t="s">
        <v>312</v>
      </c>
      <c r="HP3209" s="5" t="s">
        <v>240</v>
      </c>
      <c r="HQ3209" s="5" t="s">
        <v>240</v>
      </c>
      <c r="HR3209" s="5" t="s">
        <v>240</v>
      </c>
      <c r="HS3209" s="5" t="s">
        <v>240</v>
      </c>
      <c r="HT3209" s="5" t="s">
        <v>240</v>
      </c>
      <c r="HU3209" s="5" t="s">
        <v>240</v>
      </c>
      <c r="HV3209" s="5" t="s">
        <v>240</v>
      </c>
      <c r="HW3209" s="5" t="s">
        <v>240</v>
      </c>
      <c r="HX3209" s="5" t="s">
        <v>240</v>
      </c>
      <c r="HY3209" s="5" t="s">
        <v>240</v>
      </c>
      <c r="HZ3209" s="5" t="s">
        <v>240</v>
      </c>
      <c r="IA3209" s="5" t="s">
        <v>240</v>
      </c>
      <c r="IB3209" s="5" t="s">
        <v>240</v>
      </c>
      <c r="IC3209" s="5" t="s">
        <v>240</v>
      </c>
      <c r="ID3209" s="5" t="s">
        <v>240</v>
      </c>
      <c r="IE3209" s="5" t="s">
        <v>240</v>
      </c>
      <c r="IF3209" s="5" t="s">
        <v>240</v>
      </c>
    </row>
    <row r="3210" spans="1:240" x14ac:dyDescent="0.4">
      <c r="A3210" s="5">
        <v>8574</v>
      </c>
      <c r="B3210" s="5">
        <v>1</v>
      </c>
      <c r="C3210" s="5">
        <v>4</v>
      </c>
      <c r="D3210" s="5" t="s">
        <v>240</v>
      </c>
      <c r="E3210" s="5" t="s">
        <v>245</v>
      </c>
      <c r="F3210" s="5" t="s">
        <v>254</v>
      </c>
      <c r="G3210" s="5" t="s">
        <v>6761</v>
      </c>
      <c r="H3210" s="6" t="s">
        <v>6872</v>
      </c>
      <c r="I3210" s="5" t="s">
        <v>6975</v>
      </c>
      <c r="J3210" s="8">
        <f>4258.01</f>
        <v>4258.01</v>
      </c>
      <c r="K3210" s="5" t="s">
        <v>308</v>
      </c>
      <c r="L3210" s="7">
        <f>7662573</f>
        <v>7662573</v>
      </c>
      <c r="M3210" s="7">
        <f>7662573</f>
        <v>7662573</v>
      </c>
      <c r="N3210" s="5" t="s">
        <v>242</v>
      </c>
      <c r="O3210" s="5">
        <v>1</v>
      </c>
      <c r="P3210" s="5" t="s">
        <v>294</v>
      </c>
      <c r="Q3210" s="5" t="s">
        <v>266</v>
      </c>
      <c r="R3210" s="5" t="s">
        <v>240</v>
      </c>
      <c r="S3210" s="5" t="s">
        <v>240</v>
      </c>
      <c r="T3210" s="5" t="s">
        <v>296</v>
      </c>
      <c r="U3210" s="5" t="s">
        <v>244</v>
      </c>
      <c r="V3210" s="5" t="s">
        <v>240</v>
      </c>
      <c r="Y3210" s="5" t="s">
        <v>240</v>
      </c>
      <c r="Z3210" s="6" t="s">
        <v>298</v>
      </c>
      <c r="AB3210" s="6" t="s">
        <v>240</v>
      </c>
      <c r="AE3210" s="6" t="s">
        <v>299</v>
      </c>
      <c r="AF3210" s="5" t="s">
        <v>248</v>
      </c>
      <c r="AG3210" s="5" t="s">
        <v>249</v>
      </c>
      <c r="AW3210" s="5" t="s">
        <v>251</v>
      </c>
      <c r="AX3210" s="5" t="s">
        <v>240</v>
      </c>
      <c r="AY3210" s="5" t="s">
        <v>253</v>
      </c>
      <c r="AZ3210" s="5" t="s">
        <v>240</v>
      </c>
      <c r="BA3210" s="5" t="s">
        <v>255</v>
      </c>
      <c r="BB3210" s="5" t="s">
        <v>240</v>
      </c>
      <c r="BD3210" s="5" t="s">
        <v>240</v>
      </c>
      <c r="BF3210" s="5" t="s">
        <v>301</v>
      </c>
      <c r="BG3210" s="6" t="s">
        <v>299</v>
      </c>
      <c r="BH3210" s="5" t="s">
        <v>302</v>
      </c>
      <c r="BI3210" s="5" t="s">
        <v>303</v>
      </c>
      <c r="BJ3210" s="5" t="s">
        <v>240</v>
      </c>
      <c r="BK3210" s="8">
        <f>0</f>
        <v>0</v>
      </c>
      <c r="BL3210" s="7">
        <f>0</f>
        <v>0</v>
      </c>
      <c r="BM3210" s="5" t="s">
        <v>258</v>
      </c>
      <c r="BN3210" s="5" t="s">
        <v>259</v>
      </c>
      <c r="CB3210" s="5" t="s">
        <v>240</v>
      </c>
      <c r="CC3210" s="5" t="s">
        <v>240</v>
      </c>
      <c r="CG3210" s="5" t="s">
        <v>304</v>
      </c>
      <c r="CH3210" s="5" t="s">
        <v>305</v>
      </c>
      <c r="CI3210" s="5" t="s">
        <v>240</v>
      </c>
      <c r="CL3210" s="6" t="s">
        <v>261</v>
      </c>
      <c r="CM3210" s="5" t="s">
        <v>240</v>
      </c>
      <c r="CN3210" s="5" t="s">
        <v>263</v>
      </c>
      <c r="CO3210" s="5" t="s">
        <v>240</v>
      </c>
      <c r="CP3210" s="5" t="s">
        <v>240</v>
      </c>
      <c r="CQ3210" s="5">
        <v>0</v>
      </c>
      <c r="CR3210" s="5" t="s">
        <v>306</v>
      </c>
      <c r="CS3210" s="5" t="s">
        <v>307</v>
      </c>
      <c r="CT3210" s="5" t="s">
        <v>307</v>
      </c>
      <c r="CU3210" s="5" t="s">
        <v>260</v>
      </c>
      <c r="CX3210" s="7">
        <f>1</f>
        <v>1</v>
      </c>
      <c r="CY3210" s="7">
        <f>0</f>
        <v>0</v>
      </c>
      <c r="DA3210" s="7">
        <f>0</f>
        <v>0</v>
      </c>
      <c r="DC3210" s="5" t="s">
        <v>309</v>
      </c>
      <c r="DD3210" s="5" t="s">
        <v>240</v>
      </c>
      <c r="DF3210" s="5" t="s">
        <v>309</v>
      </c>
      <c r="DG3210" s="7">
        <f>1102</f>
        <v>1102</v>
      </c>
      <c r="DI3210" s="5" t="s">
        <v>240</v>
      </c>
      <c r="DJ3210" s="5" t="s">
        <v>240</v>
      </c>
      <c r="DK3210" s="5" t="s">
        <v>240</v>
      </c>
      <c r="DL3210" s="5" t="s">
        <v>240</v>
      </c>
      <c r="DP3210" s="5" t="s">
        <v>240</v>
      </c>
      <c r="DQ3210" s="5" t="s">
        <v>240</v>
      </c>
      <c r="DR3210" s="5" t="s">
        <v>240</v>
      </c>
      <c r="DS3210" s="5" t="s">
        <v>240</v>
      </c>
      <c r="DV3210" s="5" t="s">
        <v>310</v>
      </c>
      <c r="DW3210" s="5" t="s">
        <v>2912</v>
      </c>
      <c r="HO3210" s="5" t="s">
        <v>312</v>
      </c>
    </row>
    <row r="3211" spans="1:240" x14ac:dyDescent="0.4">
      <c r="A3211" s="5">
        <v>8575</v>
      </c>
      <c r="B3211" s="5">
        <v>1</v>
      </c>
      <c r="C3211" s="5">
        <v>1</v>
      </c>
      <c r="D3211" s="5" t="s">
        <v>240</v>
      </c>
      <c r="E3211" s="5" t="s">
        <v>245</v>
      </c>
      <c r="F3211" s="5" t="s">
        <v>254</v>
      </c>
      <c r="G3211" s="5" t="s">
        <v>6761</v>
      </c>
      <c r="H3211" s="6" t="s">
        <v>6986</v>
      </c>
      <c r="I3211" s="5" t="s">
        <v>6984</v>
      </c>
      <c r="J3211" s="8">
        <f>1670.88</f>
        <v>1670.88</v>
      </c>
      <c r="K3211" s="5" t="s">
        <v>308</v>
      </c>
      <c r="L3211" s="7">
        <f>3216460</f>
        <v>3216460</v>
      </c>
      <c r="M3211" s="7">
        <f>3216460</f>
        <v>3216460</v>
      </c>
      <c r="N3211" s="5" t="s">
        <v>242</v>
      </c>
      <c r="O3211" s="5">
        <v>1</v>
      </c>
      <c r="P3211" s="5" t="s">
        <v>294</v>
      </c>
      <c r="Q3211" s="5" t="s">
        <v>3678</v>
      </c>
      <c r="R3211" s="5" t="s">
        <v>240</v>
      </c>
      <c r="S3211" s="5" t="s">
        <v>240</v>
      </c>
      <c r="T3211" s="5" t="s">
        <v>243</v>
      </c>
      <c r="U3211" s="5" t="s">
        <v>244</v>
      </c>
      <c r="V3211" s="5" t="s">
        <v>240</v>
      </c>
      <c r="W3211" s="5" t="s">
        <v>240</v>
      </c>
      <c r="X3211" s="5" t="s">
        <v>240</v>
      </c>
      <c r="Y3211" s="5" t="s">
        <v>240</v>
      </c>
      <c r="Z3211" s="6" t="s">
        <v>298</v>
      </c>
      <c r="AA3211" s="6" t="s">
        <v>240</v>
      </c>
      <c r="AB3211" s="6" t="s">
        <v>240</v>
      </c>
      <c r="AC3211" s="5" t="s">
        <v>240</v>
      </c>
      <c r="AD3211" s="6" t="s">
        <v>240</v>
      </c>
      <c r="AE3211" s="6" t="s">
        <v>299</v>
      </c>
      <c r="AF3211" s="5" t="s">
        <v>248</v>
      </c>
      <c r="AG3211" s="5" t="s">
        <v>249</v>
      </c>
      <c r="AH3211" s="5" t="s">
        <v>240</v>
      </c>
      <c r="AI3211" s="5" t="s">
        <v>240</v>
      </c>
      <c r="AJ3211" s="5" t="s">
        <v>240</v>
      </c>
      <c r="AK3211" s="5" t="s">
        <v>240</v>
      </c>
      <c r="AL3211" s="5" t="s">
        <v>240</v>
      </c>
      <c r="AM3211" s="5" t="s">
        <v>240</v>
      </c>
      <c r="AN3211" s="5" t="s">
        <v>240</v>
      </c>
      <c r="AO3211" s="5" t="s">
        <v>240</v>
      </c>
      <c r="AP3211" s="6" t="s">
        <v>240</v>
      </c>
      <c r="AQ3211" s="6" t="s">
        <v>240</v>
      </c>
      <c r="AR3211" s="6" t="s">
        <v>240</v>
      </c>
      <c r="AS3211" s="6" t="s">
        <v>240</v>
      </c>
      <c r="AT3211" s="5" t="s">
        <v>240</v>
      </c>
      <c r="AU3211" s="5" t="s">
        <v>729</v>
      </c>
      <c r="AV3211" s="5" t="s">
        <v>729</v>
      </c>
      <c r="AW3211" s="5" t="s">
        <v>251</v>
      </c>
      <c r="AX3211" s="5" t="s">
        <v>252</v>
      </c>
      <c r="AY3211" s="5" t="s">
        <v>253</v>
      </c>
      <c r="AZ3211" s="5" t="s">
        <v>240</v>
      </c>
      <c r="BA3211" s="5" t="s">
        <v>255</v>
      </c>
      <c r="BB3211" s="5" t="s">
        <v>731</v>
      </c>
      <c r="BD3211" s="5" t="s">
        <v>240</v>
      </c>
      <c r="BF3211" s="5" t="s">
        <v>732</v>
      </c>
      <c r="BG3211" s="6" t="s">
        <v>733</v>
      </c>
      <c r="BH3211" s="5" t="s">
        <v>734</v>
      </c>
      <c r="BI3211" s="5" t="s">
        <v>734</v>
      </c>
      <c r="BJ3211" s="5" t="s">
        <v>240</v>
      </c>
      <c r="BK3211" s="7">
        <f>1</f>
        <v>1</v>
      </c>
      <c r="BL3211" s="7">
        <f>1</f>
        <v>1</v>
      </c>
      <c r="BM3211" s="5" t="s">
        <v>258</v>
      </c>
      <c r="BN3211" s="5" t="s">
        <v>259</v>
      </c>
      <c r="BO3211" s="5" t="s">
        <v>240</v>
      </c>
      <c r="BP3211" s="5" t="s">
        <v>240</v>
      </c>
      <c r="BQ3211" s="5" t="s">
        <v>240</v>
      </c>
      <c r="BR3211" s="5" t="s">
        <v>240</v>
      </c>
      <c r="BS3211" s="5" t="s">
        <v>240</v>
      </c>
      <c r="BT3211" s="5" t="s">
        <v>240</v>
      </c>
      <c r="BU3211" s="5" t="s">
        <v>240</v>
      </c>
      <c r="BV3211" s="5" t="s">
        <v>240</v>
      </c>
      <c r="BW3211" s="6" t="s">
        <v>240</v>
      </c>
      <c r="BX3211" s="5" t="s">
        <v>240</v>
      </c>
      <c r="BY3211" s="5" t="s">
        <v>240</v>
      </c>
      <c r="BZ3211" s="5" t="s">
        <v>240</v>
      </c>
      <c r="CA3211" s="5" t="s">
        <v>259</v>
      </c>
      <c r="CB3211" s="5" t="s">
        <v>240</v>
      </c>
      <c r="CC3211" s="5" t="s">
        <v>240</v>
      </c>
      <c r="CD3211" s="5" t="s">
        <v>240</v>
      </c>
      <c r="CE3211" s="5" t="s">
        <v>240</v>
      </c>
      <c r="CF3211" s="5" t="s">
        <v>240</v>
      </c>
      <c r="CG3211" s="5" t="s">
        <v>304</v>
      </c>
      <c r="CH3211" s="5" t="s">
        <v>305</v>
      </c>
      <c r="CI3211" s="5" t="s">
        <v>240</v>
      </c>
      <c r="CK3211" s="5" t="s">
        <v>3681</v>
      </c>
      <c r="CL3211" s="6" t="s">
        <v>261</v>
      </c>
      <c r="CM3211" s="5" t="s">
        <v>262</v>
      </c>
      <c r="CN3211" s="5" t="s">
        <v>263</v>
      </c>
      <c r="CO3211" s="5" t="s">
        <v>264</v>
      </c>
      <c r="CP3211" s="5" t="s">
        <v>240</v>
      </c>
      <c r="CQ3211" s="5">
        <v>0</v>
      </c>
      <c r="CR3211" s="5" t="s">
        <v>735</v>
      </c>
      <c r="CS3211" s="5" t="s">
        <v>307</v>
      </c>
      <c r="CT3211" s="5" t="s">
        <v>307</v>
      </c>
      <c r="CU3211" s="5" t="s">
        <v>260</v>
      </c>
      <c r="CV3211" s="5" t="s">
        <v>612</v>
      </c>
      <c r="CW3211" s="8">
        <f>1</f>
        <v>1</v>
      </c>
      <c r="CX3211" s="7">
        <f>1</f>
        <v>1</v>
      </c>
      <c r="CY3211" s="7">
        <f>0</f>
        <v>0</v>
      </c>
      <c r="DA3211" s="7">
        <f>1</f>
        <v>1</v>
      </c>
      <c r="DB3211" s="7" t="s">
        <v>240</v>
      </c>
      <c r="DC3211" s="5" t="s">
        <v>240</v>
      </c>
      <c r="DD3211" s="5" t="s">
        <v>240</v>
      </c>
      <c r="DE3211" s="5" t="s">
        <v>240</v>
      </c>
      <c r="DF3211" s="5" t="s">
        <v>240</v>
      </c>
      <c r="DG3211" s="7">
        <f>0</f>
        <v>0</v>
      </c>
      <c r="DI3211" s="5" t="s">
        <v>240</v>
      </c>
      <c r="DJ3211" s="5" t="s">
        <v>240</v>
      </c>
      <c r="DK3211" s="5" t="s">
        <v>240</v>
      </c>
      <c r="DL3211" s="5" t="s">
        <v>240</v>
      </c>
      <c r="DM3211" s="5" t="s">
        <v>240</v>
      </c>
      <c r="DN3211" s="5" t="s">
        <v>240</v>
      </c>
      <c r="DO3211" s="7" t="s">
        <v>240</v>
      </c>
      <c r="DP3211" s="5" t="s">
        <v>240</v>
      </c>
      <c r="DQ3211" s="5" t="s">
        <v>240</v>
      </c>
      <c r="DR3211" s="5" t="s">
        <v>731</v>
      </c>
      <c r="DS3211" s="5" t="s">
        <v>731</v>
      </c>
      <c r="DT3211" s="5" t="s">
        <v>240</v>
      </c>
      <c r="DU3211" s="5" t="s">
        <v>240</v>
      </c>
      <c r="DV3211" s="5" t="s">
        <v>3683</v>
      </c>
      <c r="DW3211" s="5" t="s">
        <v>584</v>
      </c>
      <c r="DX3211" s="5" t="s">
        <v>240</v>
      </c>
      <c r="DY3211" s="5" t="s">
        <v>240</v>
      </c>
      <c r="DZ3211" s="5" t="s">
        <v>240</v>
      </c>
      <c r="EA3211" s="5" t="s">
        <v>240</v>
      </c>
      <c r="EB3211" s="5" t="s">
        <v>240</v>
      </c>
      <c r="EC3211" s="5" t="s">
        <v>240</v>
      </c>
      <c r="ED3211" s="5" t="s">
        <v>240</v>
      </c>
      <c r="EE3211" s="5" t="s">
        <v>240</v>
      </c>
      <c r="EF3211" s="5" t="s">
        <v>240</v>
      </c>
      <c r="EG3211" s="5" t="s">
        <v>240</v>
      </c>
      <c r="EH3211" s="5" t="s">
        <v>240</v>
      </c>
      <c r="EI3211" s="5" t="s">
        <v>240</v>
      </c>
      <c r="EJ3211" s="5" t="s">
        <v>240</v>
      </c>
      <c r="EK3211" s="5" t="s">
        <v>240</v>
      </c>
      <c r="EL3211" s="5" t="s">
        <v>240</v>
      </c>
      <c r="EM3211" s="5" t="s">
        <v>240</v>
      </c>
      <c r="EN3211" s="5" t="s">
        <v>240</v>
      </c>
      <c r="EO3211" s="5" t="s">
        <v>240</v>
      </c>
      <c r="EP3211" s="5" t="s">
        <v>240</v>
      </c>
      <c r="EQ3211" s="5" t="s">
        <v>240</v>
      </c>
      <c r="ER3211" s="5" t="s">
        <v>240</v>
      </c>
      <c r="ES3211" s="5" t="s">
        <v>240</v>
      </c>
      <c r="ET3211" s="5" t="s">
        <v>240</v>
      </c>
      <c r="EU3211" s="5" t="s">
        <v>240</v>
      </c>
      <c r="EV3211" s="5" t="s">
        <v>240</v>
      </c>
      <c r="EW3211" s="5" t="s">
        <v>240</v>
      </c>
      <c r="EX3211" s="5" t="s">
        <v>240</v>
      </c>
      <c r="EY3211" s="5" t="s">
        <v>240</v>
      </c>
      <c r="EZ3211" s="5" t="s">
        <v>240</v>
      </c>
      <c r="FA3211" s="5" t="s">
        <v>240</v>
      </c>
      <c r="FB3211" s="5" t="s">
        <v>240</v>
      </c>
      <c r="FC3211" s="5" t="s">
        <v>240</v>
      </c>
      <c r="FD3211" s="5" t="s">
        <v>240</v>
      </c>
      <c r="FE3211" s="5" t="s">
        <v>240</v>
      </c>
      <c r="FF3211" s="5" t="s">
        <v>240</v>
      </c>
      <c r="FG3211" s="5" t="s">
        <v>240</v>
      </c>
      <c r="FH3211" s="5" t="s">
        <v>240</v>
      </c>
      <c r="FI3211" s="5" t="s">
        <v>240</v>
      </c>
      <c r="FJ3211" s="5" t="s">
        <v>240</v>
      </c>
      <c r="FK3211" s="5" t="s">
        <v>240</v>
      </c>
      <c r="FL3211" s="5" t="s">
        <v>240</v>
      </c>
      <c r="FM3211" s="5" t="s">
        <v>240</v>
      </c>
      <c r="FN3211" s="5" t="s">
        <v>240</v>
      </c>
      <c r="FO3211" s="5" t="s">
        <v>240</v>
      </c>
      <c r="FP3211" s="5" t="s">
        <v>240</v>
      </c>
      <c r="FQ3211" s="5" t="s">
        <v>240</v>
      </c>
      <c r="FR3211" s="5" t="s">
        <v>240</v>
      </c>
      <c r="FS3211" s="5" t="s">
        <v>240</v>
      </c>
      <c r="FT3211" s="5" t="s">
        <v>240</v>
      </c>
      <c r="FU3211" s="5" t="s">
        <v>240</v>
      </c>
      <c r="FV3211" s="5" t="s">
        <v>240</v>
      </c>
      <c r="FW3211" s="5" t="s">
        <v>240</v>
      </c>
      <c r="FX3211" s="5" t="s">
        <v>240</v>
      </c>
      <c r="FY3211" s="5" t="s">
        <v>240</v>
      </c>
      <c r="FZ3211" s="5" t="s">
        <v>240</v>
      </c>
      <c r="GA3211" s="5" t="s">
        <v>240</v>
      </c>
      <c r="GB3211" s="5" t="s">
        <v>240</v>
      </c>
      <c r="GC3211" s="5" t="s">
        <v>240</v>
      </c>
      <c r="GD3211" s="5" t="s">
        <v>240</v>
      </c>
      <c r="GE3211" s="5" t="s">
        <v>240</v>
      </c>
      <c r="GF3211" s="5" t="s">
        <v>240</v>
      </c>
      <c r="GG3211" s="5" t="s">
        <v>240</v>
      </c>
      <c r="GH3211" s="5" t="s">
        <v>240</v>
      </c>
      <c r="GI3211" s="5" t="s">
        <v>240</v>
      </c>
      <c r="GJ3211" s="5" t="s">
        <v>240</v>
      </c>
      <c r="GK3211" s="5" t="s">
        <v>240</v>
      </c>
      <c r="GL3211" s="5" t="s">
        <v>240</v>
      </c>
      <c r="GM3211" s="5" t="s">
        <v>240</v>
      </c>
      <c r="GN3211" s="5" t="s">
        <v>240</v>
      </c>
      <c r="GO3211" s="5" t="s">
        <v>240</v>
      </c>
      <c r="GP3211" s="5" t="s">
        <v>240</v>
      </c>
      <c r="GQ3211" s="5" t="s">
        <v>240</v>
      </c>
      <c r="GR3211" s="5" t="s">
        <v>240</v>
      </c>
      <c r="GS3211" s="5" t="s">
        <v>240</v>
      </c>
      <c r="GT3211" s="5" t="s">
        <v>240</v>
      </c>
      <c r="GU3211" s="5" t="s">
        <v>240</v>
      </c>
      <c r="GV3211" s="5" t="s">
        <v>240</v>
      </c>
      <c r="GW3211" s="5" t="s">
        <v>240</v>
      </c>
      <c r="GX3211" s="5" t="s">
        <v>240</v>
      </c>
      <c r="GY3211" s="5" t="s">
        <v>240</v>
      </c>
      <c r="GZ3211" s="5" t="s">
        <v>240</v>
      </c>
      <c r="HA3211" s="5" t="s">
        <v>240</v>
      </c>
      <c r="HB3211" s="5" t="s">
        <v>240</v>
      </c>
      <c r="HC3211" s="5" t="s">
        <v>240</v>
      </c>
      <c r="HD3211" s="5" t="s">
        <v>240</v>
      </c>
      <c r="HE3211" s="5" t="s">
        <v>240</v>
      </c>
      <c r="HF3211" s="5" t="s">
        <v>240</v>
      </c>
      <c r="HG3211" s="5" t="s">
        <v>240</v>
      </c>
      <c r="HH3211" s="5" t="s">
        <v>240</v>
      </c>
      <c r="HI3211" s="5" t="s">
        <v>240</v>
      </c>
      <c r="HJ3211" s="5" t="s">
        <v>240</v>
      </c>
      <c r="HK3211" s="5" t="s">
        <v>240</v>
      </c>
      <c r="HL3211" s="5" t="s">
        <v>240</v>
      </c>
      <c r="HM3211" s="5" t="s">
        <v>240</v>
      </c>
      <c r="HN3211" s="5" t="s">
        <v>240</v>
      </c>
      <c r="HO3211" s="5" t="s">
        <v>312</v>
      </c>
      <c r="HP3211" s="5" t="s">
        <v>240</v>
      </c>
      <c r="HQ3211" s="5" t="s">
        <v>240</v>
      </c>
      <c r="HR3211" s="5" t="s">
        <v>240</v>
      </c>
      <c r="HS3211" s="5" t="s">
        <v>240</v>
      </c>
      <c r="HT3211" s="5" t="s">
        <v>240</v>
      </c>
      <c r="HU3211" s="5" t="s">
        <v>240</v>
      </c>
      <c r="HV3211" s="5" t="s">
        <v>240</v>
      </c>
      <c r="HW3211" s="5" t="s">
        <v>240</v>
      </c>
      <c r="HX3211" s="5" t="s">
        <v>240</v>
      </c>
      <c r="HY3211" s="5" t="s">
        <v>240</v>
      </c>
      <c r="HZ3211" s="5" t="s">
        <v>240</v>
      </c>
      <c r="IA3211" s="5" t="s">
        <v>240</v>
      </c>
      <c r="IB3211" s="5" t="s">
        <v>240</v>
      </c>
      <c r="IC3211" s="5" t="s">
        <v>240</v>
      </c>
      <c r="ID3211" s="5" t="s">
        <v>240</v>
      </c>
      <c r="IE3211" s="5" t="s">
        <v>240</v>
      </c>
      <c r="IF3211" s="5" t="s">
        <v>240</v>
      </c>
    </row>
    <row r="3212" spans="1:240" x14ac:dyDescent="0.4">
      <c r="A3212" s="5">
        <v>8576</v>
      </c>
      <c r="B3212" s="5">
        <v>1</v>
      </c>
      <c r="C3212" s="5">
        <v>3</v>
      </c>
      <c r="D3212" s="5" t="s">
        <v>240</v>
      </c>
      <c r="E3212" s="5" t="s">
        <v>245</v>
      </c>
      <c r="F3212" s="5" t="s">
        <v>254</v>
      </c>
      <c r="G3212" s="5" t="s">
        <v>6761</v>
      </c>
      <c r="H3212" s="6" t="s">
        <v>6762</v>
      </c>
      <c r="I3212" s="5" t="s">
        <v>6759</v>
      </c>
      <c r="J3212" s="8">
        <f>374.82</f>
        <v>374.82</v>
      </c>
      <c r="K3212" s="5" t="s">
        <v>308</v>
      </c>
      <c r="L3212" s="7">
        <f>1071518</f>
        <v>1071518</v>
      </c>
      <c r="M3212" s="7">
        <f>1071518</f>
        <v>1071518</v>
      </c>
      <c r="N3212" s="5" t="s">
        <v>242</v>
      </c>
      <c r="O3212" s="5">
        <v>1</v>
      </c>
      <c r="P3212" s="5" t="s">
        <v>294</v>
      </c>
      <c r="Q3212" s="5" t="s">
        <v>266</v>
      </c>
      <c r="R3212" s="5" t="s">
        <v>240</v>
      </c>
      <c r="S3212" s="5" t="s">
        <v>240</v>
      </c>
      <c r="T3212" s="5" t="s">
        <v>296</v>
      </c>
      <c r="U3212" s="5" t="s">
        <v>244</v>
      </c>
      <c r="V3212" s="5" t="s">
        <v>240</v>
      </c>
      <c r="Y3212" s="5" t="s">
        <v>240</v>
      </c>
      <c r="Z3212" s="6" t="s">
        <v>298</v>
      </c>
      <c r="AB3212" s="6" t="s">
        <v>240</v>
      </c>
      <c r="AE3212" s="6" t="s">
        <v>299</v>
      </c>
      <c r="AF3212" s="5" t="s">
        <v>248</v>
      </c>
      <c r="AG3212" s="5" t="s">
        <v>249</v>
      </c>
      <c r="AW3212" s="5" t="s">
        <v>251</v>
      </c>
      <c r="AX3212" s="5" t="s">
        <v>240</v>
      </c>
      <c r="AY3212" s="5" t="s">
        <v>253</v>
      </c>
      <c r="AZ3212" s="5" t="s">
        <v>240</v>
      </c>
      <c r="BA3212" s="5" t="s">
        <v>255</v>
      </c>
      <c r="BB3212" s="5" t="s">
        <v>240</v>
      </c>
      <c r="BD3212" s="5" t="s">
        <v>240</v>
      </c>
      <c r="BF3212" s="5" t="s">
        <v>301</v>
      </c>
      <c r="BG3212" s="6" t="s">
        <v>299</v>
      </c>
      <c r="BH3212" s="5" t="s">
        <v>302</v>
      </c>
      <c r="BI3212" s="5" t="s">
        <v>303</v>
      </c>
      <c r="BJ3212" s="5" t="s">
        <v>240</v>
      </c>
      <c r="BK3212" s="8">
        <f>0</f>
        <v>0</v>
      </c>
      <c r="BL3212" s="7">
        <f>0</f>
        <v>0</v>
      </c>
      <c r="BM3212" s="5" t="s">
        <v>258</v>
      </c>
      <c r="BN3212" s="5" t="s">
        <v>259</v>
      </c>
      <c r="CB3212" s="5" t="s">
        <v>240</v>
      </c>
      <c r="CC3212" s="5" t="s">
        <v>240</v>
      </c>
      <c r="CG3212" s="5" t="s">
        <v>304</v>
      </c>
      <c r="CH3212" s="5" t="s">
        <v>305</v>
      </c>
      <c r="CI3212" s="5" t="s">
        <v>240</v>
      </c>
      <c r="CL3212" s="6" t="s">
        <v>261</v>
      </c>
      <c r="CM3212" s="5" t="s">
        <v>240</v>
      </c>
      <c r="CN3212" s="5" t="s">
        <v>263</v>
      </c>
      <c r="CO3212" s="5" t="s">
        <v>240</v>
      </c>
      <c r="CP3212" s="5" t="s">
        <v>240</v>
      </c>
      <c r="CQ3212" s="5">
        <v>0</v>
      </c>
      <c r="CR3212" s="5" t="s">
        <v>306</v>
      </c>
      <c r="CS3212" s="5" t="s">
        <v>307</v>
      </c>
      <c r="CT3212" s="5" t="s">
        <v>307</v>
      </c>
      <c r="CU3212" s="5" t="s">
        <v>260</v>
      </c>
      <c r="CX3212" s="7">
        <f>1</f>
        <v>1</v>
      </c>
      <c r="CY3212" s="7">
        <f>0</f>
        <v>0</v>
      </c>
      <c r="DA3212" s="7">
        <f>0</f>
        <v>0</v>
      </c>
      <c r="DC3212" s="5" t="s">
        <v>309</v>
      </c>
      <c r="DD3212" s="5" t="s">
        <v>240</v>
      </c>
      <c r="DF3212" s="5" t="s">
        <v>309</v>
      </c>
      <c r="DG3212" s="7">
        <f>688</f>
        <v>688</v>
      </c>
      <c r="DI3212" s="5" t="s">
        <v>240</v>
      </c>
      <c r="DJ3212" s="5" t="s">
        <v>240</v>
      </c>
      <c r="DK3212" s="5" t="s">
        <v>240</v>
      </c>
      <c r="DL3212" s="5" t="s">
        <v>240</v>
      </c>
      <c r="DP3212" s="5" t="s">
        <v>240</v>
      </c>
      <c r="DQ3212" s="5" t="s">
        <v>240</v>
      </c>
      <c r="DR3212" s="5" t="s">
        <v>240</v>
      </c>
      <c r="DS3212" s="5" t="s">
        <v>240</v>
      </c>
      <c r="DV3212" s="5" t="s">
        <v>310</v>
      </c>
      <c r="DW3212" s="5" t="s">
        <v>2920</v>
      </c>
      <c r="HO3212" s="5" t="s">
        <v>312</v>
      </c>
    </row>
    <row r="3213" spans="1:240" x14ac:dyDescent="0.4">
      <c r="A3213" s="5">
        <v>8577</v>
      </c>
      <c r="B3213" s="5">
        <v>1</v>
      </c>
      <c r="C3213" s="5">
        <v>2</v>
      </c>
      <c r="D3213" s="5" t="s">
        <v>297</v>
      </c>
      <c r="E3213" s="5" t="s">
        <v>245</v>
      </c>
      <c r="F3213" s="5" t="s">
        <v>254</v>
      </c>
      <c r="G3213" s="5" t="s">
        <v>7019</v>
      </c>
      <c r="H3213" s="6" t="s">
        <v>240</v>
      </c>
      <c r="I3213" s="5" t="s">
        <v>7018</v>
      </c>
      <c r="J3213" s="7">
        <f>0</f>
        <v>0</v>
      </c>
      <c r="K3213" s="5" t="s">
        <v>266</v>
      </c>
      <c r="L3213" s="7">
        <f>176000</f>
        <v>176000</v>
      </c>
      <c r="M3213" s="7">
        <f>176000</f>
        <v>176000</v>
      </c>
      <c r="N3213" s="5" t="s">
        <v>242</v>
      </c>
      <c r="O3213" s="5">
        <v>1</v>
      </c>
      <c r="P3213" s="5" t="s">
        <v>294</v>
      </c>
      <c r="Q3213" s="5" t="s">
        <v>3678</v>
      </c>
      <c r="R3213" s="5" t="s">
        <v>240</v>
      </c>
      <c r="S3213" s="5" t="s">
        <v>240</v>
      </c>
      <c r="T3213" s="5" t="s">
        <v>243</v>
      </c>
      <c r="U3213" s="5" t="s">
        <v>244</v>
      </c>
      <c r="V3213" s="5" t="s">
        <v>240</v>
      </c>
      <c r="W3213" s="5" t="s">
        <v>240</v>
      </c>
      <c r="X3213" s="5" t="s">
        <v>240</v>
      </c>
      <c r="Y3213" s="5" t="s">
        <v>240</v>
      </c>
      <c r="Z3213" s="6" t="s">
        <v>298</v>
      </c>
      <c r="AA3213" s="6" t="s">
        <v>240</v>
      </c>
      <c r="AB3213" s="6" t="s">
        <v>240</v>
      </c>
      <c r="AC3213" s="5" t="s">
        <v>240</v>
      </c>
      <c r="AD3213" s="6" t="s">
        <v>240</v>
      </c>
      <c r="AE3213" s="6" t="s">
        <v>299</v>
      </c>
      <c r="AF3213" s="5" t="s">
        <v>248</v>
      </c>
      <c r="AG3213" s="5" t="s">
        <v>249</v>
      </c>
      <c r="AH3213" s="5" t="s">
        <v>240</v>
      </c>
      <c r="AI3213" s="5" t="s">
        <v>240</v>
      </c>
      <c r="AJ3213" s="5" t="s">
        <v>240</v>
      </c>
      <c r="AK3213" s="5" t="s">
        <v>240</v>
      </c>
      <c r="AL3213" s="5" t="s">
        <v>240</v>
      </c>
      <c r="AM3213" s="5" t="s">
        <v>240</v>
      </c>
      <c r="AN3213" s="5" t="s">
        <v>240</v>
      </c>
      <c r="AO3213" s="5" t="s">
        <v>240</v>
      </c>
      <c r="AP3213" s="6" t="s">
        <v>240</v>
      </c>
      <c r="AQ3213" s="6" t="s">
        <v>240</v>
      </c>
      <c r="AR3213" s="6" t="s">
        <v>240</v>
      </c>
      <c r="AS3213" s="6" t="s">
        <v>240</v>
      </c>
      <c r="AT3213" s="5" t="s">
        <v>240</v>
      </c>
      <c r="AU3213" s="5" t="s">
        <v>729</v>
      </c>
      <c r="AV3213" s="5" t="s">
        <v>729</v>
      </c>
      <c r="AW3213" s="5" t="s">
        <v>251</v>
      </c>
      <c r="AX3213" s="5" t="s">
        <v>252</v>
      </c>
      <c r="AY3213" s="5" t="s">
        <v>253</v>
      </c>
      <c r="AZ3213" s="5" t="s">
        <v>240</v>
      </c>
      <c r="BA3213" s="5" t="s">
        <v>255</v>
      </c>
      <c r="BB3213" s="5" t="s">
        <v>731</v>
      </c>
      <c r="BD3213" s="5" t="s">
        <v>240</v>
      </c>
      <c r="BF3213" s="5" t="s">
        <v>732</v>
      </c>
      <c r="BG3213" s="6" t="s">
        <v>733</v>
      </c>
      <c r="BH3213" s="5" t="s">
        <v>734</v>
      </c>
      <c r="BI3213" s="5" t="s">
        <v>734</v>
      </c>
      <c r="BJ3213" s="5" t="s">
        <v>240</v>
      </c>
      <c r="BK3213" s="7">
        <f>1</f>
        <v>1</v>
      </c>
      <c r="BL3213" s="7">
        <f>1</f>
        <v>1</v>
      </c>
      <c r="BM3213" s="5" t="s">
        <v>258</v>
      </c>
      <c r="BN3213" s="5" t="s">
        <v>259</v>
      </c>
      <c r="BO3213" s="5" t="s">
        <v>240</v>
      </c>
      <c r="BP3213" s="5" t="s">
        <v>240</v>
      </c>
      <c r="BQ3213" s="5" t="s">
        <v>240</v>
      </c>
      <c r="BR3213" s="5" t="s">
        <v>240</v>
      </c>
      <c r="BS3213" s="5" t="s">
        <v>240</v>
      </c>
      <c r="BT3213" s="5" t="s">
        <v>240</v>
      </c>
      <c r="BU3213" s="5" t="s">
        <v>240</v>
      </c>
      <c r="BV3213" s="5" t="s">
        <v>240</v>
      </c>
      <c r="BW3213" s="6" t="s">
        <v>240</v>
      </c>
      <c r="BX3213" s="5" t="s">
        <v>240</v>
      </c>
      <c r="BY3213" s="5" t="s">
        <v>240</v>
      </c>
      <c r="BZ3213" s="5" t="s">
        <v>240</v>
      </c>
      <c r="CA3213" s="5" t="s">
        <v>259</v>
      </c>
      <c r="CB3213" s="5" t="s">
        <v>240</v>
      </c>
      <c r="CC3213" s="5" t="s">
        <v>240</v>
      </c>
      <c r="CD3213" s="5" t="s">
        <v>240</v>
      </c>
      <c r="CE3213" s="5" t="s">
        <v>240</v>
      </c>
      <c r="CF3213" s="5" t="s">
        <v>240</v>
      </c>
      <c r="CG3213" s="5" t="s">
        <v>304</v>
      </c>
      <c r="CH3213" s="5" t="s">
        <v>305</v>
      </c>
      <c r="CI3213" s="5" t="s">
        <v>240</v>
      </c>
      <c r="CK3213" s="5" t="s">
        <v>3681</v>
      </c>
      <c r="CL3213" s="6" t="s">
        <v>261</v>
      </c>
      <c r="CM3213" s="5" t="s">
        <v>262</v>
      </c>
      <c r="CN3213" s="5" t="s">
        <v>263</v>
      </c>
      <c r="CO3213" s="5" t="s">
        <v>264</v>
      </c>
      <c r="CP3213" s="5" t="s">
        <v>240</v>
      </c>
      <c r="CQ3213" s="5">
        <v>0</v>
      </c>
      <c r="CR3213" s="5" t="s">
        <v>735</v>
      </c>
      <c r="CS3213" s="5" t="s">
        <v>307</v>
      </c>
      <c r="CT3213" s="5" t="s">
        <v>307</v>
      </c>
      <c r="CU3213" s="5" t="s">
        <v>260</v>
      </c>
      <c r="CV3213" s="5" t="s">
        <v>612</v>
      </c>
      <c r="CW3213" s="8">
        <f>1</f>
        <v>1</v>
      </c>
      <c r="CX3213" s="7">
        <f>1</f>
        <v>1</v>
      </c>
      <c r="CY3213" s="7">
        <f>0</f>
        <v>0</v>
      </c>
      <c r="DA3213" s="7">
        <f>1</f>
        <v>1</v>
      </c>
      <c r="DB3213" s="7" t="s">
        <v>240</v>
      </c>
      <c r="DC3213" s="5" t="s">
        <v>240</v>
      </c>
      <c r="DD3213" s="5" t="s">
        <v>240</v>
      </c>
      <c r="DE3213" s="5" t="s">
        <v>240</v>
      </c>
      <c r="DF3213" s="5" t="s">
        <v>240</v>
      </c>
      <c r="DG3213" s="7">
        <f>0</f>
        <v>0</v>
      </c>
      <c r="DI3213" s="5" t="s">
        <v>240</v>
      </c>
      <c r="DJ3213" s="5" t="s">
        <v>240</v>
      </c>
      <c r="DK3213" s="5" t="s">
        <v>240</v>
      </c>
      <c r="DL3213" s="5" t="s">
        <v>240</v>
      </c>
      <c r="DM3213" s="5" t="s">
        <v>240</v>
      </c>
      <c r="DN3213" s="5" t="s">
        <v>240</v>
      </c>
      <c r="DO3213" s="7" t="s">
        <v>240</v>
      </c>
      <c r="DP3213" s="5" t="s">
        <v>240</v>
      </c>
      <c r="DQ3213" s="5" t="s">
        <v>240</v>
      </c>
      <c r="DR3213" s="5" t="s">
        <v>731</v>
      </c>
      <c r="DS3213" s="5" t="s">
        <v>731</v>
      </c>
      <c r="DT3213" s="5" t="s">
        <v>240</v>
      </c>
      <c r="DU3213" s="5" t="s">
        <v>240</v>
      </c>
      <c r="DV3213" s="5" t="s">
        <v>3683</v>
      </c>
      <c r="DW3213" s="5" t="s">
        <v>719</v>
      </c>
      <c r="DX3213" s="5" t="s">
        <v>240</v>
      </c>
      <c r="DY3213" s="5" t="s">
        <v>240</v>
      </c>
      <c r="DZ3213" s="5" t="s">
        <v>240</v>
      </c>
      <c r="EA3213" s="5" t="s">
        <v>240</v>
      </c>
      <c r="EB3213" s="5" t="s">
        <v>240</v>
      </c>
      <c r="EC3213" s="5" t="s">
        <v>240</v>
      </c>
      <c r="ED3213" s="5" t="s">
        <v>240</v>
      </c>
      <c r="EE3213" s="5" t="s">
        <v>240</v>
      </c>
      <c r="EF3213" s="5" t="s">
        <v>240</v>
      </c>
      <c r="EG3213" s="5" t="s">
        <v>240</v>
      </c>
      <c r="EH3213" s="5" t="s">
        <v>240</v>
      </c>
      <c r="EI3213" s="5" t="s">
        <v>240</v>
      </c>
      <c r="EJ3213" s="5" t="s">
        <v>240</v>
      </c>
      <c r="EK3213" s="5" t="s">
        <v>240</v>
      </c>
      <c r="EL3213" s="5" t="s">
        <v>240</v>
      </c>
      <c r="EM3213" s="5" t="s">
        <v>240</v>
      </c>
      <c r="EN3213" s="5" t="s">
        <v>240</v>
      </c>
      <c r="EO3213" s="5" t="s">
        <v>240</v>
      </c>
      <c r="EP3213" s="5" t="s">
        <v>240</v>
      </c>
      <c r="EQ3213" s="5" t="s">
        <v>240</v>
      </c>
      <c r="ER3213" s="5" t="s">
        <v>240</v>
      </c>
      <c r="ES3213" s="5" t="s">
        <v>240</v>
      </c>
      <c r="ET3213" s="5" t="s">
        <v>240</v>
      </c>
      <c r="EU3213" s="5" t="s">
        <v>240</v>
      </c>
      <c r="EV3213" s="5" t="s">
        <v>240</v>
      </c>
      <c r="EW3213" s="5" t="s">
        <v>240</v>
      </c>
      <c r="EX3213" s="5" t="s">
        <v>240</v>
      </c>
      <c r="EY3213" s="5" t="s">
        <v>240</v>
      </c>
      <c r="EZ3213" s="5" t="s">
        <v>240</v>
      </c>
      <c r="FA3213" s="5" t="s">
        <v>240</v>
      </c>
      <c r="FB3213" s="5" t="s">
        <v>240</v>
      </c>
      <c r="FC3213" s="5" t="s">
        <v>240</v>
      </c>
      <c r="FD3213" s="5" t="s">
        <v>240</v>
      </c>
      <c r="FE3213" s="5" t="s">
        <v>240</v>
      </c>
      <c r="FF3213" s="5" t="s">
        <v>240</v>
      </c>
      <c r="FG3213" s="5" t="s">
        <v>240</v>
      </c>
      <c r="FH3213" s="5" t="s">
        <v>240</v>
      </c>
      <c r="FI3213" s="5" t="s">
        <v>240</v>
      </c>
      <c r="FJ3213" s="5" t="s">
        <v>240</v>
      </c>
      <c r="FK3213" s="5" t="s">
        <v>240</v>
      </c>
      <c r="FL3213" s="5" t="s">
        <v>240</v>
      </c>
      <c r="FM3213" s="5" t="s">
        <v>240</v>
      </c>
      <c r="FN3213" s="5" t="s">
        <v>240</v>
      </c>
      <c r="FO3213" s="5" t="s">
        <v>240</v>
      </c>
      <c r="FP3213" s="5" t="s">
        <v>240</v>
      </c>
      <c r="FQ3213" s="5" t="s">
        <v>240</v>
      </c>
      <c r="FR3213" s="5" t="s">
        <v>240</v>
      </c>
      <c r="FS3213" s="5" t="s">
        <v>240</v>
      </c>
      <c r="FT3213" s="5" t="s">
        <v>240</v>
      </c>
      <c r="FU3213" s="5" t="s">
        <v>240</v>
      </c>
      <c r="FV3213" s="5" t="s">
        <v>240</v>
      </c>
      <c r="FW3213" s="5" t="s">
        <v>240</v>
      </c>
      <c r="FX3213" s="5" t="s">
        <v>240</v>
      </c>
      <c r="FY3213" s="5" t="s">
        <v>240</v>
      </c>
      <c r="FZ3213" s="5" t="s">
        <v>240</v>
      </c>
      <c r="GA3213" s="5" t="s">
        <v>240</v>
      </c>
      <c r="GB3213" s="5" t="s">
        <v>240</v>
      </c>
      <c r="GC3213" s="5" t="s">
        <v>240</v>
      </c>
      <c r="GD3213" s="5" t="s">
        <v>240</v>
      </c>
      <c r="GE3213" s="5" t="s">
        <v>240</v>
      </c>
      <c r="GF3213" s="5" t="s">
        <v>240</v>
      </c>
      <c r="GG3213" s="5" t="s">
        <v>240</v>
      </c>
      <c r="GH3213" s="5" t="s">
        <v>240</v>
      </c>
      <c r="GI3213" s="5" t="s">
        <v>240</v>
      </c>
      <c r="GJ3213" s="5" t="s">
        <v>240</v>
      </c>
      <c r="GK3213" s="5" t="s">
        <v>240</v>
      </c>
      <c r="GL3213" s="5" t="s">
        <v>240</v>
      </c>
      <c r="GM3213" s="5" t="s">
        <v>240</v>
      </c>
      <c r="GN3213" s="5" t="s">
        <v>240</v>
      </c>
      <c r="GO3213" s="5" t="s">
        <v>240</v>
      </c>
      <c r="GP3213" s="5" t="s">
        <v>240</v>
      </c>
      <c r="GQ3213" s="5" t="s">
        <v>240</v>
      </c>
      <c r="GR3213" s="5" t="s">
        <v>240</v>
      </c>
      <c r="GS3213" s="5" t="s">
        <v>240</v>
      </c>
      <c r="GT3213" s="5" t="s">
        <v>240</v>
      </c>
      <c r="GU3213" s="5" t="s">
        <v>240</v>
      </c>
      <c r="GV3213" s="5" t="s">
        <v>240</v>
      </c>
      <c r="GW3213" s="5" t="s">
        <v>240</v>
      </c>
      <c r="GX3213" s="5" t="s">
        <v>240</v>
      </c>
      <c r="GY3213" s="5" t="s">
        <v>240</v>
      </c>
      <c r="GZ3213" s="5" t="s">
        <v>240</v>
      </c>
      <c r="HA3213" s="5" t="s">
        <v>240</v>
      </c>
      <c r="HB3213" s="5" t="s">
        <v>240</v>
      </c>
      <c r="HC3213" s="5" t="s">
        <v>240</v>
      </c>
      <c r="HD3213" s="5" t="s">
        <v>240</v>
      </c>
      <c r="HE3213" s="5" t="s">
        <v>240</v>
      </c>
      <c r="HF3213" s="5" t="s">
        <v>240</v>
      </c>
      <c r="HG3213" s="5" t="s">
        <v>240</v>
      </c>
      <c r="HH3213" s="5" t="s">
        <v>240</v>
      </c>
      <c r="HI3213" s="5" t="s">
        <v>240</v>
      </c>
      <c r="HJ3213" s="5" t="s">
        <v>240</v>
      </c>
      <c r="HK3213" s="5" t="s">
        <v>240</v>
      </c>
      <c r="HL3213" s="5" t="s">
        <v>240</v>
      </c>
      <c r="HM3213" s="5" t="s">
        <v>240</v>
      </c>
      <c r="HN3213" s="5" t="s">
        <v>240</v>
      </c>
      <c r="HO3213" s="5" t="s">
        <v>312</v>
      </c>
      <c r="HP3213" s="5" t="s">
        <v>240</v>
      </c>
      <c r="HQ3213" s="5" t="s">
        <v>240</v>
      </c>
      <c r="HR3213" s="5" t="s">
        <v>240</v>
      </c>
      <c r="HS3213" s="5" t="s">
        <v>240</v>
      </c>
      <c r="HT3213" s="5" t="s">
        <v>240</v>
      </c>
      <c r="HU3213" s="5" t="s">
        <v>240</v>
      </c>
      <c r="HV3213" s="5" t="s">
        <v>240</v>
      </c>
      <c r="HW3213" s="5" t="s">
        <v>240</v>
      </c>
      <c r="HX3213" s="5" t="s">
        <v>240</v>
      </c>
      <c r="HY3213" s="5" t="s">
        <v>240</v>
      </c>
      <c r="HZ3213" s="5" t="s">
        <v>240</v>
      </c>
      <c r="IA3213" s="5" t="s">
        <v>240</v>
      </c>
      <c r="IB3213" s="5" t="s">
        <v>240</v>
      </c>
      <c r="IC3213" s="5" t="s">
        <v>240</v>
      </c>
      <c r="ID3213" s="5" t="s">
        <v>240</v>
      </c>
      <c r="IE3213" s="5" t="s">
        <v>240</v>
      </c>
      <c r="IF3213" s="5" t="s">
        <v>240</v>
      </c>
    </row>
    <row r="3214" spans="1:240" x14ac:dyDescent="0.4">
      <c r="A3214" s="5">
        <v>8578</v>
      </c>
      <c r="B3214" s="5">
        <v>1</v>
      </c>
      <c r="C3214" s="5">
        <v>2</v>
      </c>
      <c r="D3214" s="5" t="s">
        <v>240</v>
      </c>
      <c r="E3214" s="5" t="s">
        <v>245</v>
      </c>
      <c r="F3214" s="5" t="s">
        <v>254</v>
      </c>
      <c r="G3214" s="5" t="s">
        <v>7242</v>
      </c>
      <c r="I3214" s="5" t="s">
        <v>7240</v>
      </c>
      <c r="J3214" s="7">
        <f>0</f>
        <v>0</v>
      </c>
      <c r="K3214" s="5" t="s">
        <v>266</v>
      </c>
      <c r="L3214" s="7">
        <f>182700</f>
        <v>182700</v>
      </c>
      <c r="M3214" s="7">
        <f>182700</f>
        <v>182700</v>
      </c>
      <c r="N3214" s="5" t="s">
        <v>242</v>
      </c>
      <c r="O3214" s="5">
        <v>1</v>
      </c>
      <c r="P3214" s="5" t="s">
        <v>294</v>
      </c>
      <c r="Q3214" s="5" t="s">
        <v>266</v>
      </c>
      <c r="R3214" s="5" t="s">
        <v>240</v>
      </c>
      <c r="S3214" s="5" t="s">
        <v>240</v>
      </c>
      <c r="T3214" s="5" t="s">
        <v>296</v>
      </c>
      <c r="U3214" s="5" t="s">
        <v>244</v>
      </c>
      <c r="V3214" s="5" t="s">
        <v>240</v>
      </c>
      <c r="Y3214" s="5" t="s">
        <v>240</v>
      </c>
      <c r="Z3214" s="6" t="s">
        <v>298</v>
      </c>
      <c r="AB3214" s="6" t="s">
        <v>240</v>
      </c>
      <c r="AE3214" s="6" t="s">
        <v>299</v>
      </c>
      <c r="AF3214" s="5" t="s">
        <v>248</v>
      </c>
      <c r="AG3214" s="5" t="s">
        <v>249</v>
      </c>
      <c r="AW3214" s="5" t="s">
        <v>251</v>
      </c>
      <c r="AX3214" s="5" t="s">
        <v>240</v>
      </c>
      <c r="AY3214" s="5" t="s">
        <v>253</v>
      </c>
      <c r="AZ3214" s="5" t="s">
        <v>240</v>
      </c>
      <c r="BA3214" s="5" t="s">
        <v>255</v>
      </c>
      <c r="BB3214" s="5" t="s">
        <v>240</v>
      </c>
      <c r="BD3214" s="5" t="s">
        <v>240</v>
      </c>
      <c r="BF3214" s="5" t="s">
        <v>301</v>
      </c>
      <c r="BG3214" s="6" t="s">
        <v>299</v>
      </c>
      <c r="BH3214" s="5" t="s">
        <v>302</v>
      </c>
      <c r="BI3214" s="5" t="s">
        <v>303</v>
      </c>
      <c r="BJ3214" s="5" t="s">
        <v>240</v>
      </c>
      <c r="BK3214" s="8">
        <f>0</f>
        <v>0</v>
      </c>
      <c r="BL3214" s="7">
        <f>0</f>
        <v>0</v>
      </c>
      <c r="BM3214" s="5" t="s">
        <v>258</v>
      </c>
      <c r="BN3214" s="5" t="s">
        <v>259</v>
      </c>
      <c r="CB3214" s="5" t="s">
        <v>240</v>
      </c>
      <c r="CC3214" s="5" t="s">
        <v>240</v>
      </c>
      <c r="CG3214" s="5" t="s">
        <v>304</v>
      </c>
      <c r="CH3214" s="5" t="s">
        <v>305</v>
      </c>
      <c r="CI3214" s="5" t="s">
        <v>240</v>
      </c>
      <c r="CL3214" s="6" t="s">
        <v>261</v>
      </c>
      <c r="CM3214" s="5" t="s">
        <v>240</v>
      </c>
      <c r="CN3214" s="5" t="s">
        <v>263</v>
      </c>
      <c r="CO3214" s="5" t="s">
        <v>240</v>
      </c>
      <c r="CP3214" s="5" t="s">
        <v>240</v>
      </c>
      <c r="CQ3214" s="5">
        <v>0</v>
      </c>
      <c r="CR3214" s="5" t="s">
        <v>306</v>
      </c>
      <c r="CS3214" s="5" t="s">
        <v>307</v>
      </c>
      <c r="CT3214" s="5" t="s">
        <v>307</v>
      </c>
      <c r="CU3214" s="5" t="s">
        <v>260</v>
      </c>
      <c r="CX3214" s="7">
        <f>1</f>
        <v>1</v>
      </c>
      <c r="CY3214" s="7">
        <f>0</f>
        <v>0</v>
      </c>
      <c r="DA3214" s="7">
        <f>0</f>
        <v>0</v>
      </c>
      <c r="DC3214" s="5" t="s">
        <v>309</v>
      </c>
      <c r="DD3214" s="5" t="s">
        <v>240</v>
      </c>
      <c r="DF3214" s="5" t="s">
        <v>309</v>
      </c>
      <c r="DG3214" s="7">
        <f>1760</f>
        <v>1760</v>
      </c>
      <c r="DI3214" s="5" t="s">
        <v>240</v>
      </c>
      <c r="DJ3214" s="5" t="s">
        <v>240</v>
      </c>
      <c r="DK3214" s="5" t="s">
        <v>240</v>
      </c>
      <c r="DL3214" s="5" t="s">
        <v>240</v>
      </c>
      <c r="DP3214" s="5" t="s">
        <v>240</v>
      </c>
      <c r="DQ3214" s="5" t="s">
        <v>240</v>
      </c>
      <c r="DR3214" s="5" t="s">
        <v>240</v>
      </c>
      <c r="DS3214" s="5" t="s">
        <v>240</v>
      </c>
      <c r="DV3214" s="5" t="s">
        <v>310</v>
      </c>
      <c r="DW3214" s="5" t="s">
        <v>4822</v>
      </c>
      <c r="HO3214" s="5" t="s">
        <v>312</v>
      </c>
    </row>
    <row r="3215" spans="1:240" x14ac:dyDescent="0.4">
      <c r="A3215" s="5">
        <v>8579</v>
      </c>
      <c r="B3215" s="5">
        <v>1</v>
      </c>
      <c r="C3215" s="5">
        <v>2</v>
      </c>
      <c r="D3215" s="5" t="s">
        <v>240</v>
      </c>
      <c r="E3215" s="5" t="s">
        <v>245</v>
      </c>
      <c r="F3215" s="5" t="s">
        <v>254</v>
      </c>
      <c r="G3215" s="5" t="s">
        <v>7235</v>
      </c>
      <c r="I3215" s="5" t="s">
        <v>7233</v>
      </c>
      <c r="J3215" s="7">
        <f>0</f>
        <v>0</v>
      </c>
      <c r="K3215" s="5" t="s">
        <v>266</v>
      </c>
      <c r="L3215" s="7">
        <f>72900</f>
        <v>72900</v>
      </c>
      <c r="M3215" s="7">
        <f>72900</f>
        <v>72900</v>
      </c>
      <c r="N3215" s="5" t="s">
        <v>242</v>
      </c>
      <c r="O3215" s="5">
        <v>1</v>
      </c>
      <c r="P3215" s="5" t="s">
        <v>294</v>
      </c>
      <c r="Q3215" s="5" t="s">
        <v>3678</v>
      </c>
      <c r="R3215" s="5" t="s">
        <v>240</v>
      </c>
      <c r="S3215" s="5" t="s">
        <v>240</v>
      </c>
      <c r="T3215" s="5" t="s">
        <v>243</v>
      </c>
      <c r="U3215" s="5" t="s">
        <v>244</v>
      </c>
      <c r="V3215" s="5" t="s">
        <v>240</v>
      </c>
      <c r="W3215" s="5" t="s">
        <v>240</v>
      </c>
      <c r="X3215" s="5" t="s">
        <v>240</v>
      </c>
      <c r="Y3215" s="5" t="s">
        <v>240</v>
      </c>
      <c r="Z3215" s="6" t="s">
        <v>298</v>
      </c>
      <c r="AA3215" s="6" t="s">
        <v>240</v>
      </c>
      <c r="AB3215" s="6" t="s">
        <v>240</v>
      </c>
      <c r="AC3215" s="5" t="s">
        <v>240</v>
      </c>
      <c r="AD3215" s="6" t="s">
        <v>240</v>
      </c>
      <c r="AE3215" s="6" t="s">
        <v>299</v>
      </c>
      <c r="AF3215" s="5" t="s">
        <v>248</v>
      </c>
      <c r="AG3215" s="5" t="s">
        <v>249</v>
      </c>
      <c r="AH3215" s="5" t="s">
        <v>240</v>
      </c>
      <c r="AI3215" s="5" t="s">
        <v>240</v>
      </c>
      <c r="AJ3215" s="5" t="s">
        <v>240</v>
      </c>
      <c r="AK3215" s="5" t="s">
        <v>240</v>
      </c>
      <c r="AL3215" s="5" t="s">
        <v>240</v>
      </c>
      <c r="AM3215" s="5" t="s">
        <v>240</v>
      </c>
      <c r="AN3215" s="5" t="s">
        <v>240</v>
      </c>
      <c r="AO3215" s="5" t="s">
        <v>240</v>
      </c>
      <c r="AP3215" s="6" t="s">
        <v>240</v>
      </c>
      <c r="AQ3215" s="6" t="s">
        <v>240</v>
      </c>
      <c r="AR3215" s="6" t="s">
        <v>240</v>
      </c>
      <c r="AS3215" s="6" t="s">
        <v>240</v>
      </c>
      <c r="AT3215" s="5" t="s">
        <v>240</v>
      </c>
      <c r="AU3215" s="5" t="s">
        <v>729</v>
      </c>
      <c r="AV3215" s="5" t="s">
        <v>729</v>
      </c>
      <c r="AW3215" s="5" t="s">
        <v>251</v>
      </c>
      <c r="AX3215" s="5" t="s">
        <v>252</v>
      </c>
      <c r="AY3215" s="5" t="s">
        <v>253</v>
      </c>
      <c r="AZ3215" s="5" t="s">
        <v>240</v>
      </c>
      <c r="BA3215" s="5" t="s">
        <v>255</v>
      </c>
      <c r="BB3215" s="5" t="s">
        <v>731</v>
      </c>
      <c r="BD3215" s="5" t="s">
        <v>240</v>
      </c>
      <c r="BF3215" s="5" t="s">
        <v>732</v>
      </c>
      <c r="BG3215" s="6" t="s">
        <v>733</v>
      </c>
      <c r="BH3215" s="5" t="s">
        <v>734</v>
      </c>
      <c r="BI3215" s="5" t="s">
        <v>734</v>
      </c>
      <c r="BJ3215" s="5" t="s">
        <v>240</v>
      </c>
      <c r="BK3215" s="7">
        <f>1</f>
        <v>1</v>
      </c>
      <c r="BL3215" s="7">
        <f>1</f>
        <v>1</v>
      </c>
      <c r="BM3215" s="5" t="s">
        <v>258</v>
      </c>
      <c r="BN3215" s="5" t="s">
        <v>259</v>
      </c>
      <c r="BO3215" s="5" t="s">
        <v>240</v>
      </c>
      <c r="BP3215" s="5" t="s">
        <v>240</v>
      </c>
      <c r="BQ3215" s="5" t="s">
        <v>240</v>
      </c>
      <c r="BR3215" s="5" t="s">
        <v>240</v>
      </c>
      <c r="BS3215" s="5" t="s">
        <v>240</v>
      </c>
      <c r="BT3215" s="5" t="s">
        <v>240</v>
      </c>
      <c r="BU3215" s="5" t="s">
        <v>240</v>
      </c>
      <c r="BV3215" s="5" t="s">
        <v>240</v>
      </c>
      <c r="BW3215" s="6" t="s">
        <v>240</v>
      </c>
      <c r="BX3215" s="5" t="s">
        <v>240</v>
      </c>
      <c r="BY3215" s="5" t="s">
        <v>240</v>
      </c>
      <c r="BZ3215" s="5" t="s">
        <v>240</v>
      </c>
      <c r="CA3215" s="5" t="s">
        <v>259</v>
      </c>
      <c r="CB3215" s="5" t="s">
        <v>240</v>
      </c>
      <c r="CC3215" s="5" t="s">
        <v>240</v>
      </c>
      <c r="CD3215" s="5" t="s">
        <v>240</v>
      </c>
      <c r="CE3215" s="5" t="s">
        <v>240</v>
      </c>
      <c r="CF3215" s="5" t="s">
        <v>240</v>
      </c>
      <c r="CG3215" s="5" t="s">
        <v>304</v>
      </c>
      <c r="CH3215" s="5" t="s">
        <v>305</v>
      </c>
      <c r="CI3215" s="5" t="s">
        <v>240</v>
      </c>
      <c r="CK3215" s="5" t="s">
        <v>3681</v>
      </c>
      <c r="CL3215" s="6" t="s">
        <v>261</v>
      </c>
      <c r="CM3215" s="5" t="s">
        <v>262</v>
      </c>
      <c r="CN3215" s="5" t="s">
        <v>263</v>
      </c>
      <c r="CO3215" s="5" t="s">
        <v>264</v>
      </c>
      <c r="CP3215" s="5" t="s">
        <v>240</v>
      </c>
      <c r="CQ3215" s="5">
        <v>0</v>
      </c>
      <c r="CR3215" s="5" t="s">
        <v>735</v>
      </c>
      <c r="CS3215" s="5" t="s">
        <v>307</v>
      </c>
      <c r="CT3215" s="5" t="s">
        <v>307</v>
      </c>
      <c r="CU3215" s="5" t="s">
        <v>260</v>
      </c>
      <c r="CV3215" s="5" t="s">
        <v>612</v>
      </c>
      <c r="CW3215" s="8">
        <f>1</f>
        <v>1</v>
      </c>
      <c r="CX3215" s="7">
        <f>1</f>
        <v>1</v>
      </c>
      <c r="CY3215" s="7">
        <f>0</f>
        <v>0</v>
      </c>
      <c r="DA3215" s="7">
        <f>1</f>
        <v>1</v>
      </c>
      <c r="DB3215" s="7" t="s">
        <v>240</v>
      </c>
      <c r="DC3215" s="5" t="s">
        <v>240</v>
      </c>
      <c r="DD3215" s="5" t="s">
        <v>240</v>
      </c>
      <c r="DE3215" s="5" t="s">
        <v>240</v>
      </c>
      <c r="DF3215" s="5" t="s">
        <v>240</v>
      </c>
      <c r="DG3215" s="7">
        <f>0</f>
        <v>0</v>
      </c>
      <c r="DI3215" s="5" t="s">
        <v>240</v>
      </c>
      <c r="DJ3215" s="5" t="s">
        <v>240</v>
      </c>
      <c r="DK3215" s="5" t="s">
        <v>240</v>
      </c>
      <c r="DL3215" s="5" t="s">
        <v>240</v>
      </c>
      <c r="DM3215" s="5" t="s">
        <v>240</v>
      </c>
      <c r="DN3215" s="5" t="s">
        <v>240</v>
      </c>
      <c r="DO3215" s="7" t="s">
        <v>240</v>
      </c>
      <c r="DP3215" s="5" t="s">
        <v>240</v>
      </c>
      <c r="DQ3215" s="5" t="s">
        <v>240</v>
      </c>
      <c r="DR3215" s="5" t="s">
        <v>731</v>
      </c>
      <c r="DS3215" s="5" t="s">
        <v>731</v>
      </c>
      <c r="DT3215" s="5" t="s">
        <v>240</v>
      </c>
      <c r="DU3215" s="5" t="s">
        <v>240</v>
      </c>
      <c r="DV3215" s="5" t="s">
        <v>3683</v>
      </c>
      <c r="DW3215" s="5" t="s">
        <v>592</v>
      </c>
      <c r="DX3215" s="5" t="s">
        <v>240</v>
      </c>
      <c r="DY3215" s="5" t="s">
        <v>240</v>
      </c>
      <c r="DZ3215" s="5" t="s">
        <v>240</v>
      </c>
      <c r="EA3215" s="5" t="s">
        <v>240</v>
      </c>
      <c r="EB3215" s="5" t="s">
        <v>240</v>
      </c>
      <c r="EC3215" s="5" t="s">
        <v>240</v>
      </c>
      <c r="ED3215" s="5" t="s">
        <v>240</v>
      </c>
      <c r="EE3215" s="5" t="s">
        <v>240</v>
      </c>
      <c r="EF3215" s="5" t="s">
        <v>240</v>
      </c>
      <c r="EG3215" s="5" t="s">
        <v>240</v>
      </c>
      <c r="EH3215" s="5" t="s">
        <v>240</v>
      </c>
      <c r="EI3215" s="5" t="s">
        <v>240</v>
      </c>
      <c r="EJ3215" s="5" t="s">
        <v>240</v>
      </c>
      <c r="EK3215" s="5" t="s">
        <v>240</v>
      </c>
      <c r="EL3215" s="5" t="s">
        <v>240</v>
      </c>
      <c r="EM3215" s="5" t="s">
        <v>240</v>
      </c>
      <c r="EN3215" s="5" t="s">
        <v>240</v>
      </c>
      <c r="EO3215" s="5" t="s">
        <v>240</v>
      </c>
      <c r="EP3215" s="5" t="s">
        <v>240</v>
      </c>
      <c r="EQ3215" s="5" t="s">
        <v>240</v>
      </c>
      <c r="ER3215" s="5" t="s">
        <v>240</v>
      </c>
      <c r="ES3215" s="5" t="s">
        <v>240</v>
      </c>
      <c r="ET3215" s="5" t="s">
        <v>240</v>
      </c>
      <c r="EU3215" s="5" t="s">
        <v>240</v>
      </c>
      <c r="EV3215" s="5" t="s">
        <v>240</v>
      </c>
      <c r="EW3215" s="5" t="s">
        <v>240</v>
      </c>
      <c r="EX3215" s="5" t="s">
        <v>240</v>
      </c>
      <c r="EY3215" s="5" t="s">
        <v>240</v>
      </c>
      <c r="EZ3215" s="5" t="s">
        <v>240</v>
      </c>
      <c r="FA3215" s="5" t="s">
        <v>240</v>
      </c>
      <c r="FB3215" s="5" t="s">
        <v>240</v>
      </c>
      <c r="FC3215" s="5" t="s">
        <v>240</v>
      </c>
      <c r="FD3215" s="5" t="s">
        <v>240</v>
      </c>
      <c r="FE3215" s="5" t="s">
        <v>240</v>
      </c>
      <c r="FF3215" s="5" t="s">
        <v>240</v>
      </c>
      <c r="FG3215" s="5" t="s">
        <v>240</v>
      </c>
      <c r="FH3215" s="5" t="s">
        <v>240</v>
      </c>
      <c r="FI3215" s="5" t="s">
        <v>240</v>
      </c>
      <c r="FJ3215" s="5" t="s">
        <v>240</v>
      </c>
      <c r="FK3215" s="5" t="s">
        <v>240</v>
      </c>
      <c r="FL3215" s="5" t="s">
        <v>240</v>
      </c>
      <c r="FM3215" s="5" t="s">
        <v>240</v>
      </c>
      <c r="FN3215" s="5" t="s">
        <v>240</v>
      </c>
      <c r="FO3215" s="5" t="s">
        <v>240</v>
      </c>
      <c r="FP3215" s="5" t="s">
        <v>240</v>
      </c>
      <c r="FQ3215" s="5" t="s">
        <v>240</v>
      </c>
      <c r="FR3215" s="5" t="s">
        <v>240</v>
      </c>
      <c r="FS3215" s="5" t="s">
        <v>240</v>
      </c>
      <c r="FT3215" s="5" t="s">
        <v>240</v>
      </c>
      <c r="FU3215" s="5" t="s">
        <v>240</v>
      </c>
      <c r="FV3215" s="5" t="s">
        <v>240</v>
      </c>
      <c r="FW3215" s="5" t="s">
        <v>240</v>
      </c>
      <c r="FX3215" s="5" t="s">
        <v>240</v>
      </c>
      <c r="FY3215" s="5" t="s">
        <v>240</v>
      </c>
      <c r="FZ3215" s="5" t="s">
        <v>240</v>
      </c>
      <c r="GA3215" s="5" t="s">
        <v>240</v>
      </c>
      <c r="GB3215" s="5" t="s">
        <v>240</v>
      </c>
      <c r="GC3215" s="5" t="s">
        <v>240</v>
      </c>
      <c r="GD3215" s="5" t="s">
        <v>240</v>
      </c>
      <c r="GE3215" s="5" t="s">
        <v>240</v>
      </c>
      <c r="GF3215" s="5" t="s">
        <v>240</v>
      </c>
      <c r="GG3215" s="5" t="s">
        <v>240</v>
      </c>
      <c r="GH3215" s="5" t="s">
        <v>240</v>
      </c>
      <c r="GI3215" s="5" t="s">
        <v>240</v>
      </c>
      <c r="GJ3215" s="5" t="s">
        <v>240</v>
      </c>
      <c r="GK3215" s="5" t="s">
        <v>240</v>
      </c>
      <c r="GL3215" s="5" t="s">
        <v>240</v>
      </c>
      <c r="GM3215" s="5" t="s">
        <v>240</v>
      </c>
      <c r="GN3215" s="5" t="s">
        <v>240</v>
      </c>
      <c r="GO3215" s="5" t="s">
        <v>240</v>
      </c>
      <c r="GP3215" s="5" t="s">
        <v>240</v>
      </c>
      <c r="GQ3215" s="5" t="s">
        <v>240</v>
      </c>
      <c r="GR3215" s="5" t="s">
        <v>240</v>
      </c>
      <c r="GS3215" s="5" t="s">
        <v>240</v>
      </c>
      <c r="GT3215" s="5" t="s">
        <v>240</v>
      </c>
      <c r="GU3215" s="5" t="s">
        <v>240</v>
      </c>
      <c r="GV3215" s="5" t="s">
        <v>240</v>
      </c>
      <c r="GW3215" s="5" t="s">
        <v>240</v>
      </c>
      <c r="GX3215" s="5" t="s">
        <v>240</v>
      </c>
      <c r="GY3215" s="5" t="s">
        <v>240</v>
      </c>
      <c r="GZ3215" s="5" t="s">
        <v>240</v>
      </c>
      <c r="HA3215" s="5" t="s">
        <v>240</v>
      </c>
      <c r="HB3215" s="5" t="s">
        <v>240</v>
      </c>
      <c r="HC3215" s="5" t="s">
        <v>240</v>
      </c>
      <c r="HD3215" s="5" t="s">
        <v>240</v>
      </c>
      <c r="HE3215" s="5" t="s">
        <v>240</v>
      </c>
      <c r="HF3215" s="5" t="s">
        <v>240</v>
      </c>
      <c r="HG3215" s="5" t="s">
        <v>240</v>
      </c>
      <c r="HH3215" s="5" t="s">
        <v>240</v>
      </c>
      <c r="HI3215" s="5" t="s">
        <v>240</v>
      </c>
      <c r="HJ3215" s="5" t="s">
        <v>240</v>
      </c>
      <c r="HK3215" s="5" t="s">
        <v>240</v>
      </c>
      <c r="HL3215" s="5" t="s">
        <v>240</v>
      </c>
      <c r="HM3215" s="5" t="s">
        <v>240</v>
      </c>
      <c r="HN3215" s="5" t="s">
        <v>240</v>
      </c>
      <c r="HO3215" s="5" t="s">
        <v>312</v>
      </c>
      <c r="HP3215" s="5" t="s">
        <v>240</v>
      </c>
      <c r="HQ3215" s="5" t="s">
        <v>240</v>
      </c>
      <c r="HR3215" s="5" t="s">
        <v>240</v>
      </c>
      <c r="HS3215" s="5" t="s">
        <v>240</v>
      </c>
      <c r="HT3215" s="5" t="s">
        <v>240</v>
      </c>
      <c r="HU3215" s="5" t="s">
        <v>240</v>
      </c>
      <c r="HV3215" s="5" t="s">
        <v>240</v>
      </c>
      <c r="HW3215" s="5" t="s">
        <v>240</v>
      </c>
      <c r="HX3215" s="5" t="s">
        <v>240</v>
      </c>
      <c r="HY3215" s="5" t="s">
        <v>240</v>
      </c>
      <c r="HZ3215" s="5" t="s">
        <v>240</v>
      </c>
      <c r="IA3215" s="5" t="s">
        <v>240</v>
      </c>
      <c r="IB3215" s="5" t="s">
        <v>240</v>
      </c>
      <c r="IC3215" s="5" t="s">
        <v>240</v>
      </c>
      <c r="ID3215" s="5" t="s">
        <v>240</v>
      </c>
      <c r="IE3215" s="5" t="s">
        <v>240</v>
      </c>
      <c r="IF3215" s="5" t="s">
        <v>240</v>
      </c>
    </row>
    <row r="3216" spans="1:240" x14ac:dyDescent="0.4">
      <c r="A3216" s="5">
        <v>8580</v>
      </c>
      <c r="B3216" s="5">
        <v>1</v>
      </c>
      <c r="C3216" s="5">
        <v>2</v>
      </c>
      <c r="D3216" s="5" t="s">
        <v>240</v>
      </c>
      <c r="E3216" s="5" t="s">
        <v>245</v>
      </c>
      <c r="F3216" s="5" t="s">
        <v>254</v>
      </c>
      <c r="G3216" s="5" t="s">
        <v>6920</v>
      </c>
      <c r="I3216" s="5" t="s">
        <v>6918</v>
      </c>
      <c r="J3216" s="7">
        <f>0</f>
        <v>0</v>
      </c>
      <c r="K3216" s="5" t="s">
        <v>266</v>
      </c>
      <c r="L3216" s="7">
        <f>239000</f>
        <v>239000</v>
      </c>
      <c r="M3216" s="7">
        <f>239000</f>
        <v>239000</v>
      </c>
      <c r="N3216" s="5" t="s">
        <v>242</v>
      </c>
      <c r="O3216" s="5">
        <v>1</v>
      </c>
      <c r="P3216" s="5" t="s">
        <v>294</v>
      </c>
      <c r="Q3216" s="5" t="s">
        <v>3678</v>
      </c>
      <c r="R3216" s="5" t="s">
        <v>240</v>
      </c>
      <c r="S3216" s="5" t="s">
        <v>240</v>
      </c>
      <c r="T3216" s="5" t="s">
        <v>243</v>
      </c>
      <c r="U3216" s="5" t="s">
        <v>244</v>
      </c>
      <c r="V3216" s="5" t="s">
        <v>240</v>
      </c>
      <c r="W3216" s="5" t="s">
        <v>240</v>
      </c>
      <c r="X3216" s="5" t="s">
        <v>240</v>
      </c>
      <c r="Y3216" s="5" t="s">
        <v>240</v>
      </c>
      <c r="Z3216" s="6" t="s">
        <v>298</v>
      </c>
      <c r="AA3216" s="6" t="s">
        <v>240</v>
      </c>
      <c r="AB3216" s="6" t="s">
        <v>240</v>
      </c>
      <c r="AC3216" s="5" t="s">
        <v>240</v>
      </c>
      <c r="AD3216" s="6" t="s">
        <v>240</v>
      </c>
      <c r="AE3216" s="6" t="s">
        <v>299</v>
      </c>
      <c r="AF3216" s="5" t="s">
        <v>248</v>
      </c>
      <c r="AG3216" s="5" t="s">
        <v>249</v>
      </c>
      <c r="AH3216" s="5" t="s">
        <v>240</v>
      </c>
      <c r="AI3216" s="5" t="s">
        <v>240</v>
      </c>
      <c r="AJ3216" s="5" t="s">
        <v>240</v>
      </c>
      <c r="AK3216" s="5" t="s">
        <v>240</v>
      </c>
      <c r="AL3216" s="5" t="s">
        <v>240</v>
      </c>
      <c r="AM3216" s="5" t="s">
        <v>240</v>
      </c>
      <c r="AN3216" s="5" t="s">
        <v>240</v>
      </c>
      <c r="AO3216" s="5" t="s">
        <v>240</v>
      </c>
      <c r="AP3216" s="6" t="s">
        <v>240</v>
      </c>
      <c r="AQ3216" s="6" t="s">
        <v>240</v>
      </c>
      <c r="AR3216" s="6" t="s">
        <v>240</v>
      </c>
      <c r="AS3216" s="6" t="s">
        <v>240</v>
      </c>
      <c r="AT3216" s="5" t="s">
        <v>240</v>
      </c>
      <c r="AU3216" s="5" t="s">
        <v>729</v>
      </c>
      <c r="AV3216" s="5" t="s">
        <v>729</v>
      </c>
      <c r="AW3216" s="5" t="s">
        <v>251</v>
      </c>
      <c r="AX3216" s="5" t="s">
        <v>252</v>
      </c>
      <c r="AY3216" s="5" t="s">
        <v>253</v>
      </c>
      <c r="AZ3216" s="5" t="s">
        <v>240</v>
      </c>
      <c r="BA3216" s="5" t="s">
        <v>255</v>
      </c>
      <c r="BB3216" s="5" t="s">
        <v>731</v>
      </c>
      <c r="BD3216" s="5" t="s">
        <v>240</v>
      </c>
      <c r="BF3216" s="5" t="s">
        <v>732</v>
      </c>
      <c r="BG3216" s="6" t="s">
        <v>733</v>
      </c>
      <c r="BH3216" s="5" t="s">
        <v>734</v>
      </c>
      <c r="BI3216" s="5" t="s">
        <v>734</v>
      </c>
      <c r="BJ3216" s="5" t="s">
        <v>240</v>
      </c>
      <c r="BK3216" s="7">
        <f>1</f>
        <v>1</v>
      </c>
      <c r="BL3216" s="7">
        <f>1</f>
        <v>1</v>
      </c>
      <c r="BM3216" s="5" t="s">
        <v>258</v>
      </c>
      <c r="BN3216" s="5" t="s">
        <v>259</v>
      </c>
      <c r="BO3216" s="5" t="s">
        <v>240</v>
      </c>
      <c r="BP3216" s="5" t="s">
        <v>240</v>
      </c>
      <c r="BQ3216" s="5" t="s">
        <v>240</v>
      </c>
      <c r="BR3216" s="5" t="s">
        <v>240</v>
      </c>
      <c r="BS3216" s="5" t="s">
        <v>240</v>
      </c>
      <c r="BT3216" s="5" t="s">
        <v>240</v>
      </c>
      <c r="BU3216" s="5" t="s">
        <v>240</v>
      </c>
      <c r="BV3216" s="5" t="s">
        <v>240</v>
      </c>
      <c r="BW3216" s="6" t="s">
        <v>240</v>
      </c>
      <c r="BX3216" s="5" t="s">
        <v>240</v>
      </c>
      <c r="BY3216" s="5" t="s">
        <v>240</v>
      </c>
      <c r="BZ3216" s="5" t="s">
        <v>240</v>
      </c>
      <c r="CA3216" s="5" t="s">
        <v>259</v>
      </c>
      <c r="CB3216" s="5" t="s">
        <v>240</v>
      </c>
      <c r="CC3216" s="5" t="s">
        <v>240</v>
      </c>
      <c r="CD3216" s="5" t="s">
        <v>240</v>
      </c>
      <c r="CE3216" s="5" t="s">
        <v>240</v>
      </c>
      <c r="CF3216" s="5" t="s">
        <v>240</v>
      </c>
      <c r="CG3216" s="5" t="s">
        <v>304</v>
      </c>
      <c r="CH3216" s="5" t="s">
        <v>305</v>
      </c>
      <c r="CI3216" s="5" t="s">
        <v>240</v>
      </c>
      <c r="CK3216" s="5" t="s">
        <v>3681</v>
      </c>
      <c r="CL3216" s="6" t="s">
        <v>261</v>
      </c>
      <c r="CM3216" s="5" t="s">
        <v>262</v>
      </c>
      <c r="CN3216" s="5" t="s">
        <v>263</v>
      </c>
      <c r="CO3216" s="5" t="s">
        <v>264</v>
      </c>
      <c r="CP3216" s="5" t="s">
        <v>240</v>
      </c>
      <c r="CQ3216" s="5">
        <v>0</v>
      </c>
      <c r="CR3216" s="5" t="s">
        <v>735</v>
      </c>
      <c r="CS3216" s="5" t="s">
        <v>307</v>
      </c>
      <c r="CT3216" s="5" t="s">
        <v>307</v>
      </c>
      <c r="CU3216" s="5" t="s">
        <v>260</v>
      </c>
      <c r="CV3216" s="5" t="s">
        <v>612</v>
      </c>
      <c r="CW3216" s="8">
        <f>1</f>
        <v>1</v>
      </c>
      <c r="CX3216" s="7">
        <f>1</f>
        <v>1</v>
      </c>
      <c r="CY3216" s="7">
        <f>0</f>
        <v>0</v>
      </c>
      <c r="DA3216" s="7">
        <f>1</f>
        <v>1</v>
      </c>
      <c r="DB3216" s="7" t="s">
        <v>240</v>
      </c>
      <c r="DC3216" s="5" t="s">
        <v>240</v>
      </c>
      <c r="DD3216" s="5" t="s">
        <v>240</v>
      </c>
      <c r="DE3216" s="5" t="s">
        <v>240</v>
      </c>
      <c r="DF3216" s="5" t="s">
        <v>240</v>
      </c>
      <c r="DG3216" s="7">
        <f>0</f>
        <v>0</v>
      </c>
      <c r="DI3216" s="5" t="s">
        <v>240</v>
      </c>
      <c r="DJ3216" s="5" t="s">
        <v>240</v>
      </c>
      <c r="DK3216" s="5" t="s">
        <v>240</v>
      </c>
      <c r="DL3216" s="5" t="s">
        <v>240</v>
      </c>
      <c r="DM3216" s="5" t="s">
        <v>240</v>
      </c>
      <c r="DN3216" s="5" t="s">
        <v>240</v>
      </c>
      <c r="DO3216" s="7" t="s">
        <v>240</v>
      </c>
      <c r="DP3216" s="5" t="s">
        <v>240</v>
      </c>
      <c r="DQ3216" s="5" t="s">
        <v>240</v>
      </c>
      <c r="DR3216" s="5" t="s">
        <v>731</v>
      </c>
      <c r="DS3216" s="5" t="s">
        <v>731</v>
      </c>
      <c r="DT3216" s="5" t="s">
        <v>240</v>
      </c>
      <c r="DU3216" s="5" t="s">
        <v>240</v>
      </c>
      <c r="DV3216" s="5" t="s">
        <v>3683</v>
      </c>
      <c r="DW3216" s="5" t="s">
        <v>752</v>
      </c>
      <c r="DX3216" s="5" t="s">
        <v>240</v>
      </c>
      <c r="DY3216" s="5" t="s">
        <v>240</v>
      </c>
      <c r="DZ3216" s="5" t="s">
        <v>240</v>
      </c>
      <c r="EA3216" s="5" t="s">
        <v>240</v>
      </c>
      <c r="EB3216" s="5" t="s">
        <v>240</v>
      </c>
      <c r="EC3216" s="5" t="s">
        <v>240</v>
      </c>
      <c r="ED3216" s="5" t="s">
        <v>240</v>
      </c>
      <c r="EE3216" s="5" t="s">
        <v>240</v>
      </c>
      <c r="EF3216" s="5" t="s">
        <v>240</v>
      </c>
      <c r="EG3216" s="5" t="s">
        <v>240</v>
      </c>
      <c r="EH3216" s="5" t="s">
        <v>240</v>
      </c>
      <c r="EI3216" s="5" t="s">
        <v>240</v>
      </c>
      <c r="EJ3216" s="5" t="s">
        <v>240</v>
      </c>
      <c r="EK3216" s="5" t="s">
        <v>240</v>
      </c>
      <c r="EL3216" s="5" t="s">
        <v>240</v>
      </c>
      <c r="EM3216" s="5" t="s">
        <v>240</v>
      </c>
      <c r="EN3216" s="5" t="s">
        <v>240</v>
      </c>
      <c r="EO3216" s="5" t="s">
        <v>240</v>
      </c>
      <c r="EP3216" s="5" t="s">
        <v>240</v>
      </c>
      <c r="EQ3216" s="5" t="s">
        <v>240</v>
      </c>
      <c r="ER3216" s="5" t="s">
        <v>240</v>
      </c>
      <c r="ES3216" s="5" t="s">
        <v>240</v>
      </c>
      <c r="ET3216" s="5" t="s">
        <v>240</v>
      </c>
      <c r="EU3216" s="5" t="s">
        <v>240</v>
      </c>
      <c r="EV3216" s="5" t="s">
        <v>240</v>
      </c>
      <c r="EW3216" s="5" t="s">
        <v>240</v>
      </c>
      <c r="EX3216" s="5" t="s">
        <v>240</v>
      </c>
      <c r="EY3216" s="5" t="s">
        <v>240</v>
      </c>
      <c r="EZ3216" s="5" t="s">
        <v>240</v>
      </c>
      <c r="FA3216" s="5" t="s">
        <v>240</v>
      </c>
      <c r="FB3216" s="5" t="s">
        <v>240</v>
      </c>
      <c r="FC3216" s="5" t="s">
        <v>240</v>
      </c>
      <c r="FD3216" s="5" t="s">
        <v>240</v>
      </c>
      <c r="FE3216" s="5" t="s">
        <v>240</v>
      </c>
      <c r="FF3216" s="5" t="s">
        <v>240</v>
      </c>
      <c r="FG3216" s="5" t="s">
        <v>240</v>
      </c>
      <c r="FH3216" s="5" t="s">
        <v>240</v>
      </c>
      <c r="FI3216" s="5" t="s">
        <v>240</v>
      </c>
      <c r="FJ3216" s="5" t="s">
        <v>240</v>
      </c>
      <c r="FK3216" s="5" t="s">
        <v>240</v>
      </c>
      <c r="FL3216" s="5" t="s">
        <v>240</v>
      </c>
      <c r="FM3216" s="5" t="s">
        <v>240</v>
      </c>
      <c r="FN3216" s="5" t="s">
        <v>240</v>
      </c>
      <c r="FO3216" s="5" t="s">
        <v>240</v>
      </c>
      <c r="FP3216" s="5" t="s">
        <v>240</v>
      </c>
      <c r="FQ3216" s="5" t="s">
        <v>240</v>
      </c>
      <c r="FR3216" s="5" t="s">
        <v>240</v>
      </c>
      <c r="FS3216" s="5" t="s">
        <v>240</v>
      </c>
      <c r="FT3216" s="5" t="s">
        <v>240</v>
      </c>
      <c r="FU3216" s="5" t="s">
        <v>240</v>
      </c>
      <c r="FV3216" s="5" t="s">
        <v>240</v>
      </c>
      <c r="FW3216" s="5" t="s">
        <v>240</v>
      </c>
      <c r="FX3216" s="5" t="s">
        <v>240</v>
      </c>
      <c r="FY3216" s="5" t="s">
        <v>240</v>
      </c>
      <c r="FZ3216" s="5" t="s">
        <v>240</v>
      </c>
      <c r="GA3216" s="5" t="s">
        <v>240</v>
      </c>
      <c r="GB3216" s="5" t="s">
        <v>240</v>
      </c>
      <c r="GC3216" s="5" t="s">
        <v>240</v>
      </c>
      <c r="GD3216" s="5" t="s">
        <v>240</v>
      </c>
      <c r="GE3216" s="5" t="s">
        <v>240</v>
      </c>
      <c r="GF3216" s="5" t="s">
        <v>240</v>
      </c>
      <c r="GG3216" s="5" t="s">
        <v>240</v>
      </c>
      <c r="GH3216" s="5" t="s">
        <v>240</v>
      </c>
      <c r="GI3216" s="5" t="s">
        <v>240</v>
      </c>
      <c r="GJ3216" s="5" t="s">
        <v>240</v>
      </c>
      <c r="GK3216" s="5" t="s">
        <v>240</v>
      </c>
      <c r="GL3216" s="5" t="s">
        <v>240</v>
      </c>
      <c r="GM3216" s="5" t="s">
        <v>240</v>
      </c>
      <c r="GN3216" s="5" t="s">
        <v>240</v>
      </c>
      <c r="GO3216" s="5" t="s">
        <v>240</v>
      </c>
      <c r="GP3216" s="5" t="s">
        <v>240</v>
      </c>
      <c r="GQ3216" s="5" t="s">
        <v>240</v>
      </c>
      <c r="GR3216" s="5" t="s">
        <v>240</v>
      </c>
      <c r="GS3216" s="5" t="s">
        <v>240</v>
      </c>
      <c r="GT3216" s="5" t="s">
        <v>240</v>
      </c>
      <c r="GU3216" s="5" t="s">
        <v>240</v>
      </c>
      <c r="GV3216" s="5" t="s">
        <v>240</v>
      </c>
      <c r="GW3216" s="5" t="s">
        <v>240</v>
      </c>
      <c r="GX3216" s="5" t="s">
        <v>240</v>
      </c>
      <c r="GY3216" s="5" t="s">
        <v>240</v>
      </c>
      <c r="GZ3216" s="5" t="s">
        <v>240</v>
      </c>
      <c r="HA3216" s="5" t="s">
        <v>240</v>
      </c>
      <c r="HB3216" s="5" t="s">
        <v>240</v>
      </c>
      <c r="HC3216" s="5" t="s">
        <v>240</v>
      </c>
      <c r="HD3216" s="5" t="s">
        <v>240</v>
      </c>
      <c r="HE3216" s="5" t="s">
        <v>240</v>
      </c>
      <c r="HF3216" s="5" t="s">
        <v>240</v>
      </c>
      <c r="HG3216" s="5" t="s">
        <v>240</v>
      </c>
      <c r="HH3216" s="5" t="s">
        <v>240</v>
      </c>
      <c r="HI3216" s="5" t="s">
        <v>240</v>
      </c>
      <c r="HJ3216" s="5" t="s">
        <v>240</v>
      </c>
      <c r="HK3216" s="5" t="s">
        <v>240</v>
      </c>
      <c r="HL3216" s="5" t="s">
        <v>240</v>
      </c>
      <c r="HM3216" s="5" t="s">
        <v>240</v>
      </c>
      <c r="HN3216" s="5" t="s">
        <v>240</v>
      </c>
      <c r="HO3216" s="5" t="s">
        <v>312</v>
      </c>
      <c r="HP3216" s="5" t="s">
        <v>240</v>
      </c>
      <c r="HQ3216" s="5" t="s">
        <v>240</v>
      </c>
      <c r="HR3216" s="5" t="s">
        <v>240</v>
      </c>
      <c r="HS3216" s="5" t="s">
        <v>240</v>
      </c>
      <c r="HT3216" s="5" t="s">
        <v>240</v>
      </c>
      <c r="HU3216" s="5" t="s">
        <v>240</v>
      </c>
      <c r="HV3216" s="5" t="s">
        <v>240</v>
      </c>
      <c r="HW3216" s="5" t="s">
        <v>240</v>
      </c>
      <c r="HX3216" s="5" t="s">
        <v>240</v>
      </c>
      <c r="HY3216" s="5" t="s">
        <v>240</v>
      </c>
      <c r="HZ3216" s="5" t="s">
        <v>240</v>
      </c>
      <c r="IA3216" s="5" t="s">
        <v>240</v>
      </c>
      <c r="IB3216" s="5" t="s">
        <v>240</v>
      </c>
      <c r="IC3216" s="5" t="s">
        <v>240</v>
      </c>
      <c r="ID3216" s="5" t="s">
        <v>240</v>
      </c>
      <c r="IE3216" s="5" t="s">
        <v>240</v>
      </c>
      <c r="IF3216" s="5" t="s">
        <v>240</v>
      </c>
    </row>
    <row r="3217" spans="1:240" x14ac:dyDescent="0.4">
      <c r="A3217" s="5">
        <v>8581</v>
      </c>
      <c r="B3217" s="5">
        <v>1</v>
      </c>
      <c r="C3217" s="5">
        <v>2</v>
      </c>
      <c r="D3217" s="5" t="s">
        <v>297</v>
      </c>
      <c r="E3217" s="5" t="s">
        <v>245</v>
      </c>
      <c r="F3217" s="5" t="s">
        <v>254</v>
      </c>
      <c r="G3217" s="5" t="s">
        <v>6982</v>
      </c>
      <c r="H3217" s="6" t="s">
        <v>240</v>
      </c>
      <c r="I3217" s="5" t="s">
        <v>6981</v>
      </c>
      <c r="J3217" s="7">
        <f>0</f>
        <v>0</v>
      </c>
      <c r="K3217" s="5" t="s">
        <v>266</v>
      </c>
      <c r="L3217" s="7">
        <f>418000</f>
        <v>418000</v>
      </c>
      <c r="M3217" s="7">
        <f>418000</f>
        <v>418000</v>
      </c>
      <c r="N3217" s="5" t="s">
        <v>242</v>
      </c>
      <c r="O3217" s="5">
        <v>1</v>
      </c>
      <c r="P3217" s="5" t="s">
        <v>294</v>
      </c>
      <c r="Q3217" s="5" t="s">
        <v>3678</v>
      </c>
      <c r="R3217" s="5" t="s">
        <v>240</v>
      </c>
      <c r="S3217" s="5" t="s">
        <v>240</v>
      </c>
      <c r="T3217" s="5" t="s">
        <v>243</v>
      </c>
      <c r="U3217" s="5" t="s">
        <v>244</v>
      </c>
      <c r="V3217" s="5" t="s">
        <v>240</v>
      </c>
      <c r="W3217" s="5" t="s">
        <v>240</v>
      </c>
      <c r="X3217" s="5" t="s">
        <v>240</v>
      </c>
      <c r="Y3217" s="5" t="s">
        <v>240</v>
      </c>
      <c r="Z3217" s="6" t="s">
        <v>298</v>
      </c>
      <c r="AA3217" s="6" t="s">
        <v>240</v>
      </c>
      <c r="AB3217" s="6" t="s">
        <v>240</v>
      </c>
      <c r="AC3217" s="5" t="s">
        <v>240</v>
      </c>
      <c r="AD3217" s="6" t="s">
        <v>240</v>
      </c>
      <c r="AE3217" s="6" t="s">
        <v>299</v>
      </c>
      <c r="AF3217" s="5" t="s">
        <v>248</v>
      </c>
      <c r="AG3217" s="5" t="s">
        <v>249</v>
      </c>
      <c r="AH3217" s="5" t="s">
        <v>240</v>
      </c>
      <c r="AI3217" s="5" t="s">
        <v>240</v>
      </c>
      <c r="AJ3217" s="5" t="s">
        <v>240</v>
      </c>
      <c r="AK3217" s="5" t="s">
        <v>240</v>
      </c>
      <c r="AL3217" s="5" t="s">
        <v>240</v>
      </c>
      <c r="AM3217" s="5" t="s">
        <v>240</v>
      </c>
      <c r="AN3217" s="5" t="s">
        <v>240</v>
      </c>
      <c r="AO3217" s="5" t="s">
        <v>240</v>
      </c>
      <c r="AP3217" s="6" t="s">
        <v>240</v>
      </c>
      <c r="AQ3217" s="6" t="s">
        <v>240</v>
      </c>
      <c r="AR3217" s="6" t="s">
        <v>240</v>
      </c>
      <c r="AS3217" s="6" t="s">
        <v>240</v>
      </c>
      <c r="AT3217" s="5" t="s">
        <v>240</v>
      </c>
      <c r="AU3217" s="5" t="s">
        <v>729</v>
      </c>
      <c r="AV3217" s="5" t="s">
        <v>729</v>
      </c>
      <c r="AW3217" s="5" t="s">
        <v>251</v>
      </c>
      <c r="AX3217" s="5" t="s">
        <v>252</v>
      </c>
      <c r="AY3217" s="5" t="s">
        <v>253</v>
      </c>
      <c r="AZ3217" s="5" t="s">
        <v>240</v>
      </c>
      <c r="BA3217" s="5" t="s">
        <v>255</v>
      </c>
      <c r="BB3217" s="5" t="s">
        <v>731</v>
      </c>
      <c r="BD3217" s="5" t="s">
        <v>240</v>
      </c>
      <c r="BF3217" s="5" t="s">
        <v>732</v>
      </c>
      <c r="BG3217" s="6" t="s">
        <v>733</v>
      </c>
      <c r="BH3217" s="5" t="s">
        <v>734</v>
      </c>
      <c r="BI3217" s="5" t="s">
        <v>734</v>
      </c>
      <c r="BJ3217" s="5" t="s">
        <v>240</v>
      </c>
      <c r="BK3217" s="7">
        <f>1</f>
        <v>1</v>
      </c>
      <c r="BL3217" s="7">
        <f>1</f>
        <v>1</v>
      </c>
      <c r="BM3217" s="5" t="s">
        <v>258</v>
      </c>
      <c r="BN3217" s="5" t="s">
        <v>259</v>
      </c>
      <c r="BO3217" s="5" t="s">
        <v>240</v>
      </c>
      <c r="BP3217" s="5" t="s">
        <v>240</v>
      </c>
      <c r="BQ3217" s="5" t="s">
        <v>240</v>
      </c>
      <c r="BR3217" s="5" t="s">
        <v>240</v>
      </c>
      <c r="BS3217" s="5" t="s">
        <v>240</v>
      </c>
      <c r="BT3217" s="5" t="s">
        <v>240</v>
      </c>
      <c r="BU3217" s="5" t="s">
        <v>240</v>
      </c>
      <c r="BV3217" s="5" t="s">
        <v>240</v>
      </c>
      <c r="BW3217" s="6" t="s">
        <v>240</v>
      </c>
      <c r="BX3217" s="5" t="s">
        <v>240</v>
      </c>
      <c r="BY3217" s="5" t="s">
        <v>240</v>
      </c>
      <c r="BZ3217" s="5" t="s">
        <v>240</v>
      </c>
      <c r="CA3217" s="5" t="s">
        <v>259</v>
      </c>
      <c r="CB3217" s="5" t="s">
        <v>240</v>
      </c>
      <c r="CC3217" s="5" t="s">
        <v>240</v>
      </c>
      <c r="CD3217" s="5" t="s">
        <v>240</v>
      </c>
      <c r="CE3217" s="5" t="s">
        <v>240</v>
      </c>
      <c r="CF3217" s="5" t="s">
        <v>240</v>
      </c>
      <c r="CG3217" s="5" t="s">
        <v>304</v>
      </c>
      <c r="CH3217" s="5" t="s">
        <v>305</v>
      </c>
      <c r="CI3217" s="5" t="s">
        <v>240</v>
      </c>
      <c r="CK3217" s="5" t="s">
        <v>3681</v>
      </c>
      <c r="CL3217" s="6" t="s">
        <v>261</v>
      </c>
      <c r="CM3217" s="5" t="s">
        <v>262</v>
      </c>
      <c r="CN3217" s="5" t="s">
        <v>263</v>
      </c>
      <c r="CO3217" s="5" t="s">
        <v>264</v>
      </c>
      <c r="CP3217" s="5" t="s">
        <v>240</v>
      </c>
      <c r="CQ3217" s="5">
        <v>0</v>
      </c>
      <c r="CR3217" s="5" t="s">
        <v>735</v>
      </c>
      <c r="CS3217" s="5" t="s">
        <v>307</v>
      </c>
      <c r="CT3217" s="5" t="s">
        <v>307</v>
      </c>
      <c r="CU3217" s="5" t="s">
        <v>260</v>
      </c>
      <c r="CV3217" s="5" t="s">
        <v>612</v>
      </c>
      <c r="CW3217" s="8">
        <f>1</f>
        <v>1</v>
      </c>
      <c r="CX3217" s="7">
        <f>1</f>
        <v>1</v>
      </c>
      <c r="CY3217" s="7">
        <f>0</f>
        <v>0</v>
      </c>
      <c r="DA3217" s="7">
        <f>1</f>
        <v>1</v>
      </c>
      <c r="DB3217" s="7" t="s">
        <v>240</v>
      </c>
      <c r="DC3217" s="5" t="s">
        <v>240</v>
      </c>
      <c r="DD3217" s="5" t="s">
        <v>240</v>
      </c>
      <c r="DE3217" s="5" t="s">
        <v>240</v>
      </c>
      <c r="DF3217" s="5" t="s">
        <v>240</v>
      </c>
      <c r="DG3217" s="7">
        <f>0</f>
        <v>0</v>
      </c>
      <c r="DI3217" s="5" t="s">
        <v>240</v>
      </c>
      <c r="DJ3217" s="5" t="s">
        <v>240</v>
      </c>
      <c r="DK3217" s="5" t="s">
        <v>240</v>
      </c>
      <c r="DL3217" s="5" t="s">
        <v>240</v>
      </c>
      <c r="DM3217" s="5" t="s">
        <v>240</v>
      </c>
      <c r="DN3217" s="5" t="s">
        <v>240</v>
      </c>
      <c r="DO3217" s="7" t="s">
        <v>240</v>
      </c>
      <c r="DP3217" s="5" t="s">
        <v>240</v>
      </c>
      <c r="DQ3217" s="5" t="s">
        <v>240</v>
      </c>
      <c r="DR3217" s="5" t="s">
        <v>731</v>
      </c>
      <c r="DS3217" s="5" t="s">
        <v>731</v>
      </c>
      <c r="DT3217" s="5" t="s">
        <v>240</v>
      </c>
      <c r="DU3217" s="5" t="s">
        <v>240</v>
      </c>
      <c r="DV3217" s="5" t="s">
        <v>3683</v>
      </c>
      <c r="DW3217" s="5" t="s">
        <v>600</v>
      </c>
      <c r="DX3217" s="5" t="s">
        <v>240</v>
      </c>
      <c r="DY3217" s="5" t="s">
        <v>240</v>
      </c>
      <c r="DZ3217" s="5" t="s">
        <v>240</v>
      </c>
      <c r="EA3217" s="5" t="s">
        <v>240</v>
      </c>
      <c r="EB3217" s="5" t="s">
        <v>240</v>
      </c>
      <c r="EC3217" s="5" t="s">
        <v>240</v>
      </c>
      <c r="ED3217" s="5" t="s">
        <v>240</v>
      </c>
      <c r="EE3217" s="5" t="s">
        <v>240</v>
      </c>
      <c r="EF3217" s="5" t="s">
        <v>240</v>
      </c>
      <c r="EG3217" s="5" t="s">
        <v>240</v>
      </c>
      <c r="EH3217" s="5" t="s">
        <v>240</v>
      </c>
      <c r="EI3217" s="5" t="s">
        <v>240</v>
      </c>
      <c r="EJ3217" s="5" t="s">
        <v>240</v>
      </c>
      <c r="EK3217" s="5" t="s">
        <v>240</v>
      </c>
      <c r="EL3217" s="5" t="s">
        <v>240</v>
      </c>
      <c r="EM3217" s="5" t="s">
        <v>240</v>
      </c>
      <c r="EN3217" s="5" t="s">
        <v>240</v>
      </c>
      <c r="EO3217" s="5" t="s">
        <v>240</v>
      </c>
      <c r="EP3217" s="5" t="s">
        <v>240</v>
      </c>
      <c r="EQ3217" s="5" t="s">
        <v>240</v>
      </c>
      <c r="ER3217" s="5" t="s">
        <v>240</v>
      </c>
      <c r="ES3217" s="5" t="s">
        <v>240</v>
      </c>
      <c r="ET3217" s="5" t="s">
        <v>240</v>
      </c>
      <c r="EU3217" s="5" t="s">
        <v>240</v>
      </c>
      <c r="EV3217" s="5" t="s">
        <v>240</v>
      </c>
      <c r="EW3217" s="5" t="s">
        <v>240</v>
      </c>
      <c r="EX3217" s="5" t="s">
        <v>240</v>
      </c>
      <c r="EY3217" s="5" t="s">
        <v>240</v>
      </c>
      <c r="EZ3217" s="5" t="s">
        <v>240</v>
      </c>
      <c r="FA3217" s="5" t="s">
        <v>240</v>
      </c>
      <c r="FB3217" s="5" t="s">
        <v>240</v>
      </c>
      <c r="FC3217" s="5" t="s">
        <v>240</v>
      </c>
      <c r="FD3217" s="5" t="s">
        <v>240</v>
      </c>
      <c r="FE3217" s="5" t="s">
        <v>240</v>
      </c>
      <c r="FF3217" s="5" t="s">
        <v>240</v>
      </c>
      <c r="FG3217" s="5" t="s">
        <v>240</v>
      </c>
      <c r="FH3217" s="5" t="s">
        <v>240</v>
      </c>
      <c r="FI3217" s="5" t="s">
        <v>240</v>
      </c>
      <c r="FJ3217" s="5" t="s">
        <v>240</v>
      </c>
      <c r="FK3217" s="5" t="s">
        <v>240</v>
      </c>
      <c r="FL3217" s="5" t="s">
        <v>240</v>
      </c>
      <c r="FM3217" s="5" t="s">
        <v>240</v>
      </c>
      <c r="FN3217" s="5" t="s">
        <v>240</v>
      </c>
      <c r="FO3217" s="5" t="s">
        <v>240</v>
      </c>
      <c r="FP3217" s="5" t="s">
        <v>240</v>
      </c>
      <c r="FQ3217" s="5" t="s">
        <v>240</v>
      </c>
      <c r="FR3217" s="5" t="s">
        <v>240</v>
      </c>
      <c r="FS3217" s="5" t="s">
        <v>240</v>
      </c>
      <c r="FT3217" s="5" t="s">
        <v>240</v>
      </c>
      <c r="FU3217" s="5" t="s">
        <v>240</v>
      </c>
      <c r="FV3217" s="5" t="s">
        <v>240</v>
      </c>
      <c r="FW3217" s="5" t="s">
        <v>240</v>
      </c>
      <c r="FX3217" s="5" t="s">
        <v>240</v>
      </c>
      <c r="FY3217" s="5" t="s">
        <v>240</v>
      </c>
      <c r="FZ3217" s="5" t="s">
        <v>240</v>
      </c>
      <c r="GA3217" s="5" t="s">
        <v>240</v>
      </c>
      <c r="GB3217" s="5" t="s">
        <v>240</v>
      </c>
      <c r="GC3217" s="5" t="s">
        <v>240</v>
      </c>
      <c r="GD3217" s="5" t="s">
        <v>240</v>
      </c>
      <c r="GE3217" s="5" t="s">
        <v>240</v>
      </c>
      <c r="GF3217" s="5" t="s">
        <v>240</v>
      </c>
      <c r="GG3217" s="5" t="s">
        <v>240</v>
      </c>
      <c r="GH3217" s="5" t="s">
        <v>240</v>
      </c>
      <c r="GI3217" s="5" t="s">
        <v>240</v>
      </c>
      <c r="GJ3217" s="5" t="s">
        <v>240</v>
      </c>
      <c r="GK3217" s="5" t="s">
        <v>240</v>
      </c>
      <c r="GL3217" s="5" t="s">
        <v>240</v>
      </c>
      <c r="GM3217" s="5" t="s">
        <v>240</v>
      </c>
      <c r="GN3217" s="5" t="s">
        <v>240</v>
      </c>
      <c r="GO3217" s="5" t="s">
        <v>240</v>
      </c>
      <c r="GP3217" s="5" t="s">
        <v>240</v>
      </c>
      <c r="GQ3217" s="5" t="s">
        <v>240</v>
      </c>
      <c r="GR3217" s="5" t="s">
        <v>240</v>
      </c>
      <c r="GS3217" s="5" t="s">
        <v>240</v>
      </c>
      <c r="GT3217" s="5" t="s">
        <v>240</v>
      </c>
      <c r="GU3217" s="5" t="s">
        <v>240</v>
      </c>
      <c r="GV3217" s="5" t="s">
        <v>240</v>
      </c>
      <c r="GW3217" s="5" t="s">
        <v>240</v>
      </c>
      <c r="GX3217" s="5" t="s">
        <v>240</v>
      </c>
      <c r="GY3217" s="5" t="s">
        <v>240</v>
      </c>
      <c r="GZ3217" s="5" t="s">
        <v>240</v>
      </c>
      <c r="HA3217" s="5" t="s">
        <v>240</v>
      </c>
      <c r="HB3217" s="5" t="s">
        <v>240</v>
      </c>
      <c r="HC3217" s="5" t="s">
        <v>240</v>
      </c>
      <c r="HD3217" s="5" t="s">
        <v>240</v>
      </c>
      <c r="HE3217" s="5" t="s">
        <v>240</v>
      </c>
      <c r="HF3217" s="5" t="s">
        <v>240</v>
      </c>
      <c r="HG3217" s="5" t="s">
        <v>240</v>
      </c>
      <c r="HH3217" s="5" t="s">
        <v>240</v>
      </c>
      <c r="HI3217" s="5" t="s">
        <v>240</v>
      </c>
      <c r="HJ3217" s="5" t="s">
        <v>240</v>
      </c>
      <c r="HK3217" s="5" t="s">
        <v>240</v>
      </c>
      <c r="HL3217" s="5" t="s">
        <v>240</v>
      </c>
      <c r="HM3217" s="5" t="s">
        <v>240</v>
      </c>
      <c r="HN3217" s="5" t="s">
        <v>240</v>
      </c>
      <c r="HO3217" s="5" t="s">
        <v>312</v>
      </c>
      <c r="HP3217" s="5" t="s">
        <v>240</v>
      </c>
      <c r="HQ3217" s="5" t="s">
        <v>240</v>
      </c>
      <c r="HR3217" s="5" t="s">
        <v>240</v>
      </c>
      <c r="HS3217" s="5" t="s">
        <v>240</v>
      </c>
      <c r="HT3217" s="5" t="s">
        <v>240</v>
      </c>
      <c r="HU3217" s="5" t="s">
        <v>240</v>
      </c>
      <c r="HV3217" s="5" t="s">
        <v>240</v>
      </c>
      <c r="HW3217" s="5" t="s">
        <v>240</v>
      </c>
      <c r="HX3217" s="5" t="s">
        <v>240</v>
      </c>
      <c r="HY3217" s="5" t="s">
        <v>240</v>
      </c>
      <c r="HZ3217" s="5" t="s">
        <v>240</v>
      </c>
      <c r="IA3217" s="5" t="s">
        <v>240</v>
      </c>
      <c r="IB3217" s="5" t="s">
        <v>240</v>
      </c>
      <c r="IC3217" s="5" t="s">
        <v>240</v>
      </c>
      <c r="ID3217" s="5" t="s">
        <v>240</v>
      </c>
      <c r="IE3217" s="5" t="s">
        <v>240</v>
      </c>
      <c r="IF3217" s="5" t="s">
        <v>240</v>
      </c>
    </row>
    <row r="3218" spans="1:240" x14ac:dyDescent="0.4">
      <c r="A3218" s="5">
        <v>8582</v>
      </c>
      <c r="B3218" s="5">
        <v>1</v>
      </c>
      <c r="C3218" s="5">
        <v>2</v>
      </c>
      <c r="D3218" s="5" t="s">
        <v>297</v>
      </c>
      <c r="E3218" s="5" t="s">
        <v>245</v>
      </c>
      <c r="F3218" s="5" t="s">
        <v>254</v>
      </c>
      <c r="G3218" s="5" t="s">
        <v>6822</v>
      </c>
      <c r="H3218" s="6" t="s">
        <v>240</v>
      </c>
      <c r="I3218" s="5" t="s">
        <v>6820</v>
      </c>
      <c r="J3218" s="7">
        <f>0</f>
        <v>0</v>
      </c>
      <c r="K3218" s="5" t="s">
        <v>266</v>
      </c>
      <c r="L3218" s="7">
        <f>498203</f>
        <v>498203</v>
      </c>
      <c r="M3218" s="7">
        <f>498203</f>
        <v>498203</v>
      </c>
      <c r="N3218" s="5" t="s">
        <v>242</v>
      </c>
      <c r="O3218" s="5">
        <v>1</v>
      </c>
      <c r="P3218" s="5" t="s">
        <v>294</v>
      </c>
      <c r="Q3218" s="5" t="s">
        <v>266</v>
      </c>
      <c r="R3218" s="5" t="s">
        <v>240</v>
      </c>
      <c r="S3218" s="5" t="s">
        <v>240</v>
      </c>
      <c r="T3218" s="5" t="s">
        <v>296</v>
      </c>
      <c r="U3218" s="5" t="s">
        <v>244</v>
      </c>
      <c r="V3218" s="5" t="s">
        <v>240</v>
      </c>
      <c r="Y3218" s="5" t="s">
        <v>240</v>
      </c>
      <c r="Z3218" s="6" t="s">
        <v>298</v>
      </c>
      <c r="AB3218" s="6" t="s">
        <v>240</v>
      </c>
      <c r="AE3218" s="6" t="s">
        <v>299</v>
      </c>
      <c r="AF3218" s="5" t="s">
        <v>248</v>
      </c>
      <c r="AG3218" s="5" t="s">
        <v>249</v>
      </c>
      <c r="AW3218" s="5" t="s">
        <v>251</v>
      </c>
      <c r="AX3218" s="5" t="s">
        <v>240</v>
      </c>
      <c r="AY3218" s="5" t="s">
        <v>253</v>
      </c>
      <c r="AZ3218" s="5" t="s">
        <v>240</v>
      </c>
      <c r="BA3218" s="5" t="s">
        <v>255</v>
      </c>
      <c r="BB3218" s="5" t="s">
        <v>240</v>
      </c>
      <c r="BD3218" s="5" t="s">
        <v>240</v>
      </c>
      <c r="BF3218" s="5" t="s">
        <v>301</v>
      </c>
      <c r="BG3218" s="6" t="s">
        <v>299</v>
      </c>
      <c r="BH3218" s="5" t="s">
        <v>302</v>
      </c>
      <c r="BI3218" s="5" t="s">
        <v>303</v>
      </c>
      <c r="BJ3218" s="5" t="s">
        <v>240</v>
      </c>
      <c r="BK3218" s="8">
        <f>0</f>
        <v>0</v>
      </c>
      <c r="BL3218" s="7">
        <f>0</f>
        <v>0</v>
      </c>
      <c r="BM3218" s="5" t="s">
        <v>258</v>
      </c>
      <c r="BN3218" s="5" t="s">
        <v>259</v>
      </c>
      <c r="CB3218" s="5" t="s">
        <v>240</v>
      </c>
      <c r="CC3218" s="5" t="s">
        <v>240</v>
      </c>
      <c r="CG3218" s="5" t="s">
        <v>304</v>
      </c>
      <c r="CH3218" s="5" t="s">
        <v>305</v>
      </c>
      <c r="CI3218" s="5" t="s">
        <v>240</v>
      </c>
      <c r="CL3218" s="6" t="s">
        <v>261</v>
      </c>
      <c r="CM3218" s="5" t="s">
        <v>240</v>
      </c>
      <c r="CN3218" s="5" t="s">
        <v>263</v>
      </c>
      <c r="CO3218" s="5" t="s">
        <v>240</v>
      </c>
      <c r="CP3218" s="5" t="s">
        <v>240</v>
      </c>
      <c r="CQ3218" s="5">
        <v>0</v>
      </c>
      <c r="CR3218" s="5" t="s">
        <v>306</v>
      </c>
      <c r="CS3218" s="5" t="s">
        <v>307</v>
      </c>
      <c r="CT3218" s="5" t="s">
        <v>307</v>
      </c>
      <c r="CU3218" s="5" t="s">
        <v>260</v>
      </c>
      <c r="CX3218" s="7">
        <f>1</f>
        <v>1</v>
      </c>
      <c r="CY3218" s="7">
        <f>0</f>
        <v>0</v>
      </c>
      <c r="DA3218" s="7">
        <f>0</f>
        <v>0</v>
      </c>
      <c r="DC3218" s="5" t="s">
        <v>309</v>
      </c>
      <c r="DD3218" s="5" t="s">
        <v>240</v>
      </c>
      <c r="DF3218" s="5" t="s">
        <v>309</v>
      </c>
      <c r="DG3218" s="7">
        <f>123</f>
        <v>123</v>
      </c>
      <c r="DI3218" s="5" t="s">
        <v>240</v>
      </c>
      <c r="DJ3218" s="5" t="s">
        <v>240</v>
      </c>
      <c r="DK3218" s="5" t="s">
        <v>240</v>
      </c>
      <c r="DL3218" s="5" t="s">
        <v>240</v>
      </c>
      <c r="DP3218" s="5" t="s">
        <v>240</v>
      </c>
      <c r="DQ3218" s="5" t="s">
        <v>240</v>
      </c>
      <c r="DR3218" s="5" t="s">
        <v>240</v>
      </c>
      <c r="DS3218" s="5" t="s">
        <v>240</v>
      </c>
      <c r="DV3218" s="5" t="s">
        <v>310</v>
      </c>
      <c r="DW3218" s="5" t="s">
        <v>2943</v>
      </c>
      <c r="HO3218" s="5" t="s">
        <v>312</v>
      </c>
    </row>
    <row r="3219" spans="1:240" x14ac:dyDescent="0.4">
      <c r="A3219" s="5">
        <v>8583</v>
      </c>
      <c r="B3219" s="5">
        <v>1</v>
      </c>
      <c r="C3219" s="5">
        <v>2</v>
      </c>
      <c r="D3219" s="5" t="s">
        <v>240</v>
      </c>
      <c r="E3219" s="5" t="s">
        <v>245</v>
      </c>
      <c r="F3219" s="5" t="s">
        <v>254</v>
      </c>
      <c r="G3219" s="5" t="s">
        <v>7066</v>
      </c>
      <c r="I3219" s="5" t="s">
        <v>7064</v>
      </c>
      <c r="J3219" s="7">
        <f>0</f>
        <v>0</v>
      </c>
      <c r="K3219" s="5" t="s">
        <v>266</v>
      </c>
      <c r="L3219" s="7">
        <f>726000</f>
        <v>726000</v>
      </c>
      <c r="M3219" s="7">
        <f>726000</f>
        <v>726000</v>
      </c>
      <c r="N3219" s="5" t="s">
        <v>242</v>
      </c>
      <c r="O3219" s="5">
        <v>1</v>
      </c>
      <c r="P3219" s="5" t="s">
        <v>294</v>
      </c>
      <c r="Q3219" s="5" t="s">
        <v>3678</v>
      </c>
      <c r="R3219" s="5" t="s">
        <v>240</v>
      </c>
      <c r="S3219" s="5" t="s">
        <v>240</v>
      </c>
      <c r="T3219" s="5" t="s">
        <v>243</v>
      </c>
      <c r="U3219" s="5" t="s">
        <v>244</v>
      </c>
      <c r="V3219" s="5" t="s">
        <v>240</v>
      </c>
      <c r="W3219" s="5" t="s">
        <v>240</v>
      </c>
      <c r="X3219" s="5" t="s">
        <v>240</v>
      </c>
      <c r="Y3219" s="5" t="s">
        <v>240</v>
      </c>
      <c r="Z3219" s="6" t="s">
        <v>298</v>
      </c>
      <c r="AA3219" s="6" t="s">
        <v>240</v>
      </c>
      <c r="AB3219" s="6" t="s">
        <v>240</v>
      </c>
      <c r="AC3219" s="5" t="s">
        <v>240</v>
      </c>
      <c r="AD3219" s="6" t="s">
        <v>240</v>
      </c>
      <c r="AE3219" s="6" t="s">
        <v>299</v>
      </c>
      <c r="AF3219" s="5" t="s">
        <v>248</v>
      </c>
      <c r="AG3219" s="5" t="s">
        <v>249</v>
      </c>
      <c r="AH3219" s="5" t="s">
        <v>240</v>
      </c>
      <c r="AI3219" s="5" t="s">
        <v>240</v>
      </c>
      <c r="AJ3219" s="5" t="s">
        <v>240</v>
      </c>
      <c r="AK3219" s="5" t="s">
        <v>240</v>
      </c>
      <c r="AL3219" s="5" t="s">
        <v>240</v>
      </c>
      <c r="AM3219" s="5" t="s">
        <v>240</v>
      </c>
      <c r="AN3219" s="5" t="s">
        <v>240</v>
      </c>
      <c r="AO3219" s="5" t="s">
        <v>240</v>
      </c>
      <c r="AP3219" s="6" t="s">
        <v>240</v>
      </c>
      <c r="AQ3219" s="6" t="s">
        <v>240</v>
      </c>
      <c r="AR3219" s="6" t="s">
        <v>240</v>
      </c>
      <c r="AS3219" s="6" t="s">
        <v>240</v>
      </c>
      <c r="AT3219" s="5" t="s">
        <v>240</v>
      </c>
      <c r="AU3219" s="5" t="s">
        <v>729</v>
      </c>
      <c r="AV3219" s="5" t="s">
        <v>729</v>
      </c>
      <c r="AW3219" s="5" t="s">
        <v>251</v>
      </c>
      <c r="AX3219" s="5" t="s">
        <v>252</v>
      </c>
      <c r="AY3219" s="5" t="s">
        <v>253</v>
      </c>
      <c r="AZ3219" s="5" t="s">
        <v>240</v>
      </c>
      <c r="BA3219" s="5" t="s">
        <v>255</v>
      </c>
      <c r="BB3219" s="5" t="s">
        <v>731</v>
      </c>
      <c r="BD3219" s="5" t="s">
        <v>240</v>
      </c>
      <c r="BF3219" s="5" t="s">
        <v>732</v>
      </c>
      <c r="BG3219" s="6" t="s">
        <v>733</v>
      </c>
      <c r="BH3219" s="5" t="s">
        <v>734</v>
      </c>
      <c r="BI3219" s="5" t="s">
        <v>734</v>
      </c>
      <c r="BJ3219" s="5" t="s">
        <v>240</v>
      </c>
      <c r="BK3219" s="7">
        <f>1</f>
        <v>1</v>
      </c>
      <c r="BL3219" s="7">
        <f>1</f>
        <v>1</v>
      </c>
      <c r="BM3219" s="5" t="s">
        <v>258</v>
      </c>
      <c r="BN3219" s="5" t="s">
        <v>259</v>
      </c>
      <c r="BO3219" s="5" t="s">
        <v>240</v>
      </c>
      <c r="BP3219" s="5" t="s">
        <v>240</v>
      </c>
      <c r="BQ3219" s="5" t="s">
        <v>240</v>
      </c>
      <c r="BR3219" s="5" t="s">
        <v>240</v>
      </c>
      <c r="BS3219" s="5" t="s">
        <v>240</v>
      </c>
      <c r="BT3219" s="5" t="s">
        <v>240</v>
      </c>
      <c r="BU3219" s="5" t="s">
        <v>240</v>
      </c>
      <c r="BV3219" s="5" t="s">
        <v>240</v>
      </c>
      <c r="BW3219" s="6" t="s">
        <v>240</v>
      </c>
      <c r="BX3219" s="5" t="s">
        <v>240</v>
      </c>
      <c r="BY3219" s="5" t="s">
        <v>240</v>
      </c>
      <c r="BZ3219" s="5" t="s">
        <v>240</v>
      </c>
      <c r="CA3219" s="5" t="s">
        <v>259</v>
      </c>
      <c r="CB3219" s="5" t="s">
        <v>240</v>
      </c>
      <c r="CC3219" s="5" t="s">
        <v>240</v>
      </c>
      <c r="CD3219" s="5" t="s">
        <v>240</v>
      </c>
      <c r="CE3219" s="5" t="s">
        <v>240</v>
      </c>
      <c r="CF3219" s="5" t="s">
        <v>240</v>
      </c>
      <c r="CG3219" s="5" t="s">
        <v>304</v>
      </c>
      <c r="CH3219" s="5" t="s">
        <v>305</v>
      </c>
      <c r="CI3219" s="5" t="s">
        <v>240</v>
      </c>
      <c r="CK3219" s="5" t="s">
        <v>3681</v>
      </c>
      <c r="CL3219" s="6" t="s">
        <v>261</v>
      </c>
      <c r="CM3219" s="5" t="s">
        <v>262</v>
      </c>
      <c r="CN3219" s="5" t="s">
        <v>263</v>
      </c>
      <c r="CO3219" s="5" t="s">
        <v>264</v>
      </c>
      <c r="CP3219" s="5" t="s">
        <v>240</v>
      </c>
      <c r="CQ3219" s="5">
        <v>0</v>
      </c>
      <c r="CR3219" s="5" t="s">
        <v>735</v>
      </c>
      <c r="CS3219" s="5" t="s">
        <v>307</v>
      </c>
      <c r="CT3219" s="5" t="s">
        <v>307</v>
      </c>
      <c r="CU3219" s="5" t="s">
        <v>260</v>
      </c>
      <c r="CV3219" s="5" t="s">
        <v>612</v>
      </c>
      <c r="CW3219" s="8">
        <f>1</f>
        <v>1</v>
      </c>
      <c r="CX3219" s="7">
        <f>1</f>
        <v>1</v>
      </c>
      <c r="CY3219" s="7">
        <f>0</f>
        <v>0</v>
      </c>
      <c r="DA3219" s="7">
        <f>1</f>
        <v>1</v>
      </c>
      <c r="DB3219" s="7" t="s">
        <v>240</v>
      </c>
      <c r="DC3219" s="5" t="s">
        <v>240</v>
      </c>
      <c r="DD3219" s="5" t="s">
        <v>240</v>
      </c>
      <c r="DE3219" s="5" t="s">
        <v>240</v>
      </c>
      <c r="DF3219" s="5" t="s">
        <v>240</v>
      </c>
      <c r="DG3219" s="7">
        <f>0</f>
        <v>0</v>
      </c>
      <c r="DI3219" s="5" t="s">
        <v>240</v>
      </c>
      <c r="DJ3219" s="5" t="s">
        <v>240</v>
      </c>
      <c r="DK3219" s="5" t="s">
        <v>240</v>
      </c>
      <c r="DL3219" s="5" t="s">
        <v>240</v>
      </c>
      <c r="DM3219" s="5" t="s">
        <v>240</v>
      </c>
      <c r="DN3219" s="5" t="s">
        <v>240</v>
      </c>
      <c r="DO3219" s="7" t="s">
        <v>240</v>
      </c>
      <c r="DP3219" s="5" t="s">
        <v>240</v>
      </c>
      <c r="DQ3219" s="5" t="s">
        <v>240</v>
      </c>
      <c r="DR3219" s="5" t="s">
        <v>731</v>
      </c>
      <c r="DS3219" s="5" t="s">
        <v>731</v>
      </c>
      <c r="DT3219" s="5" t="s">
        <v>240</v>
      </c>
      <c r="DU3219" s="5" t="s">
        <v>240</v>
      </c>
      <c r="DV3219" s="5" t="s">
        <v>3683</v>
      </c>
      <c r="DW3219" s="5" t="s">
        <v>760</v>
      </c>
      <c r="DX3219" s="5" t="s">
        <v>240</v>
      </c>
      <c r="DY3219" s="5" t="s">
        <v>240</v>
      </c>
      <c r="DZ3219" s="5" t="s">
        <v>240</v>
      </c>
      <c r="EA3219" s="5" t="s">
        <v>240</v>
      </c>
      <c r="EB3219" s="5" t="s">
        <v>240</v>
      </c>
      <c r="EC3219" s="5" t="s">
        <v>240</v>
      </c>
      <c r="ED3219" s="5" t="s">
        <v>240</v>
      </c>
      <c r="EE3219" s="5" t="s">
        <v>240</v>
      </c>
      <c r="EF3219" s="5" t="s">
        <v>240</v>
      </c>
      <c r="EG3219" s="5" t="s">
        <v>240</v>
      </c>
      <c r="EH3219" s="5" t="s">
        <v>240</v>
      </c>
      <c r="EI3219" s="5" t="s">
        <v>240</v>
      </c>
      <c r="EJ3219" s="5" t="s">
        <v>240</v>
      </c>
      <c r="EK3219" s="5" t="s">
        <v>240</v>
      </c>
      <c r="EL3219" s="5" t="s">
        <v>240</v>
      </c>
      <c r="EM3219" s="5" t="s">
        <v>240</v>
      </c>
      <c r="EN3219" s="5" t="s">
        <v>240</v>
      </c>
      <c r="EO3219" s="5" t="s">
        <v>240</v>
      </c>
      <c r="EP3219" s="5" t="s">
        <v>240</v>
      </c>
      <c r="EQ3219" s="5" t="s">
        <v>240</v>
      </c>
      <c r="ER3219" s="5" t="s">
        <v>240</v>
      </c>
      <c r="ES3219" s="5" t="s">
        <v>240</v>
      </c>
      <c r="ET3219" s="5" t="s">
        <v>240</v>
      </c>
      <c r="EU3219" s="5" t="s">
        <v>240</v>
      </c>
      <c r="EV3219" s="5" t="s">
        <v>240</v>
      </c>
      <c r="EW3219" s="5" t="s">
        <v>240</v>
      </c>
      <c r="EX3219" s="5" t="s">
        <v>240</v>
      </c>
      <c r="EY3219" s="5" t="s">
        <v>240</v>
      </c>
      <c r="EZ3219" s="5" t="s">
        <v>240</v>
      </c>
      <c r="FA3219" s="5" t="s">
        <v>240</v>
      </c>
      <c r="FB3219" s="5" t="s">
        <v>240</v>
      </c>
      <c r="FC3219" s="5" t="s">
        <v>240</v>
      </c>
      <c r="FD3219" s="5" t="s">
        <v>240</v>
      </c>
      <c r="FE3219" s="5" t="s">
        <v>240</v>
      </c>
      <c r="FF3219" s="5" t="s">
        <v>240</v>
      </c>
      <c r="FG3219" s="5" t="s">
        <v>240</v>
      </c>
      <c r="FH3219" s="5" t="s">
        <v>240</v>
      </c>
      <c r="FI3219" s="5" t="s">
        <v>240</v>
      </c>
      <c r="FJ3219" s="5" t="s">
        <v>240</v>
      </c>
      <c r="FK3219" s="5" t="s">
        <v>240</v>
      </c>
      <c r="FL3219" s="5" t="s">
        <v>240</v>
      </c>
      <c r="FM3219" s="5" t="s">
        <v>240</v>
      </c>
      <c r="FN3219" s="5" t="s">
        <v>240</v>
      </c>
      <c r="FO3219" s="5" t="s">
        <v>240</v>
      </c>
      <c r="FP3219" s="5" t="s">
        <v>240</v>
      </c>
      <c r="FQ3219" s="5" t="s">
        <v>240</v>
      </c>
      <c r="FR3219" s="5" t="s">
        <v>240</v>
      </c>
      <c r="FS3219" s="5" t="s">
        <v>240</v>
      </c>
      <c r="FT3219" s="5" t="s">
        <v>240</v>
      </c>
      <c r="FU3219" s="5" t="s">
        <v>240</v>
      </c>
      <c r="FV3219" s="5" t="s">
        <v>240</v>
      </c>
      <c r="FW3219" s="5" t="s">
        <v>240</v>
      </c>
      <c r="FX3219" s="5" t="s">
        <v>240</v>
      </c>
      <c r="FY3219" s="5" t="s">
        <v>240</v>
      </c>
      <c r="FZ3219" s="5" t="s">
        <v>240</v>
      </c>
      <c r="GA3219" s="5" t="s">
        <v>240</v>
      </c>
      <c r="GB3219" s="5" t="s">
        <v>240</v>
      </c>
      <c r="GC3219" s="5" t="s">
        <v>240</v>
      </c>
      <c r="GD3219" s="5" t="s">
        <v>240</v>
      </c>
      <c r="GE3219" s="5" t="s">
        <v>240</v>
      </c>
      <c r="GF3219" s="5" t="s">
        <v>240</v>
      </c>
      <c r="GG3219" s="5" t="s">
        <v>240</v>
      </c>
      <c r="GH3219" s="5" t="s">
        <v>240</v>
      </c>
      <c r="GI3219" s="5" t="s">
        <v>240</v>
      </c>
      <c r="GJ3219" s="5" t="s">
        <v>240</v>
      </c>
      <c r="GK3219" s="5" t="s">
        <v>240</v>
      </c>
      <c r="GL3219" s="5" t="s">
        <v>240</v>
      </c>
      <c r="GM3219" s="5" t="s">
        <v>240</v>
      </c>
      <c r="GN3219" s="5" t="s">
        <v>240</v>
      </c>
      <c r="GO3219" s="5" t="s">
        <v>240</v>
      </c>
      <c r="GP3219" s="5" t="s">
        <v>240</v>
      </c>
      <c r="GQ3219" s="5" t="s">
        <v>240</v>
      </c>
      <c r="GR3219" s="5" t="s">
        <v>240</v>
      </c>
      <c r="GS3219" s="5" t="s">
        <v>240</v>
      </c>
      <c r="GT3219" s="5" t="s">
        <v>240</v>
      </c>
      <c r="GU3219" s="5" t="s">
        <v>240</v>
      </c>
      <c r="GV3219" s="5" t="s">
        <v>240</v>
      </c>
      <c r="GW3219" s="5" t="s">
        <v>240</v>
      </c>
      <c r="GX3219" s="5" t="s">
        <v>240</v>
      </c>
      <c r="GY3219" s="5" t="s">
        <v>240</v>
      </c>
      <c r="GZ3219" s="5" t="s">
        <v>240</v>
      </c>
      <c r="HA3219" s="5" t="s">
        <v>240</v>
      </c>
      <c r="HB3219" s="5" t="s">
        <v>240</v>
      </c>
      <c r="HC3219" s="5" t="s">
        <v>240</v>
      </c>
      <c r="HD3219" s="5" t="s">
        <v>240</v>
      </c>
      <c r="HE3219" s="5" t="s">
        <v>240</v>
      </c>
      <c r="HF3219" s="5" t="s">
        <v>240</v>
      </c>
      <c r="HG3219" s="5" t="s">
        <v>240</v>
      </c>
      <c r="HH3219" s="5" t="s">
        <v>240</v>
      </c>
      <c r="HI3219" s="5" t="s">
        <v>240</v>
      </c>
      <c r="HJ3219" s="5" t="s">
        <v>240</v>
      </c>
      <c r="HK3219" s="5" t="s">
        <v>240</v>
      </c>
      <c r="HL3219" s="5" t="s">
        <v>240</v>
      </c>
      <c r="HM3219" s="5" t="s">
        <v>240</v>
      </c>
      <c r="HN3219" s="5" t="s">
        <v>240</v>
      </c>
      <c r="HO3219" s="5" t="s">
        <v>312</v>
      </c>
      <c r="HP3219" s="5" t="s">
        <v>240</v>
      </c>
      <c r="HQ3219" s="5" t="s">
        <v>240</v>
      </c>
      <c r="HR3219" s="5" t="s">
        <v>240</v>
      </c>
      <c r="HS3219" s="5" t="s">
        <v>240</v>
      </c>
      <c r="HT3219" s="5" t="s">
        <v>240</v>
      </c>
      <c r="HU3219" s="5" t="s">
        <v>240</v>
      </c>
      <c r="HV3219" s="5" t="s">
        <v>240</v>
      </c>
      <c r="HW3219" s="5" t="s">
        <v>240</v>
      </c>
      <c r="HX3219" s="5" t="s">
        <v>240</v>
      </c>
      <c r="HY3219" s="5" t="s">
        <v>240</v>
      </c>
      <c r="HZ3219" s="5" t="s">
        <v>240</v>
      </c>
      <c r="IA3219" s="5" t="s">
        <v>240</v>
      </c>
      <c r="IB3219" s="5" t="s">
        <v>240</v>
      </c>
      <c r="IC3219" s="5" t="s">
        <v>240</v>
      </c>
      <c r="ID3219" s="5" t="s">
        <v>240</v>
      </c>
      <c r="IE3219" s="5" t="s">
        <v>240</v>
      </c>
      <c r="IF3219" s="5" t="s">
        <v>240</v>
      </c>
    </row>
    <row r="3220" spans="1:240" x14ac:dyDescent="0.4">
      <c r="A3220" s="5">
        <v>8584</v>
      </c>
      <c r="B3220" s="5">
        <v>1</v>
      </c>
      <c r="C3220" s="5">
        <v>2</v>
      </c>
      <c r="D3220" s="5" t="s">
        <v>297</v>
      </c>
      <c r="E3220" s="5" t="s">
        <v>245</v>
      </c>
      <c r="F3220" s="5" t="s">
        <v>254</v>
      </c>
      <c r="G3220" s="5" t="s">
        <v>7250</v>
      </c>
      <c r="H3220" s="6" t="s">
        <v>240</v>
      </c>
      <c r="I3220" s="5" t="s">
        <v>7249</v>
      </c>
      <c r="J3220" s="7">
        <f>0</f>
        <v>0</v>
      </c>
      <c r="K3220" s="5" t="s">
        <v>266</v>
      </c>
      <c r="L3220" s="7">
        <f>247020</f>
        <v>247020</v>
      </c>
      <c r="M3220" s="7">
        <f>247020</f>
        <v>247020</v>
      </c>
      <c r="N3220" s="5" t="s">
        <v>242</v>
      </c>
      <c r="O3220" s="5">
        <v>1</v>
      </c>
      <c r="P3220" s="5" t="s">
        <v>294</v>
      </c>
      <c r="Q3220" s="5" t="s">
        <v>266</v>
      </c>
      <c r="R3220" s="5" t="s">
        <v>240</v>
      </c>
      <c r="S3220" s="5" t="s">
        <v>240</v>
      </c>
      <c r="T3220" s="5" t="s">
        <v>296</v>
      </c>
      <c r="U3220" s="5" t="s">
        <v>244</v>
      </c>
      <c r="V3220" s="5" t="s">
        <v>240</v>
      </c>
      <c r="Y3220" s="5" t="s">
        <v>240</v>
      </c>
      <c r="Z3220" s="6" t="s">
        <v>298</v>
      </c>
      <c r="AB3220" s="6" t="s">
        <v>240</v>
      </c>
      <c r="AE3220" s="6" t="s">
        <v>299</v>
      </c>
      <c r="AF3220" s="5" t="s">
        <v>248</v>
      </c>
      <c r="AG3220" s="5" t="s">
        <v>249</v>
      </c>
      <c r="AW3220" s="5" t="s">
        <v>251</v>
      </c>
      <c r="AX3220" s="5" t="s">
        <v>240</v>
      </c>
      <c r="AY3220" s="5" t="s">
        <v>253</v>
      </c>
      <c r="AZ3220" s="5" t="s">
        <v>240</v>
      </c>
      <c r="BA3220" s="5" t="s">
        <v>255</v>
      </c>
      <c r="BB3220" s="5" t="s">
        <v>240</v>
      </c>
      <c r="BD3220" s="5" t="s">
        <v>240</v>
      </c>
      <c r="BF3220" s="5" t="s">
        <v>301</v>
      </c>
      <c r="BG3220" s="6" t="s">
        <v>299</v>
      </c>
      <c r="BH3220" s="5" t="s">
        <v>302</v>
      </c>
      <c r="BI3220" s="5" t="s">
        <v>303</v>
      </c>
      <c r="BJ3220" s="5" t="s">
        <v>240</v>
      </c>
      <c r="BK3220" s="8">
        <f>0</f>
        <v>0</v>
      </c>
      <c r="BL3220" s="7">
        <f>0</f>
        <v>0</v>
      </c>
      <c r="BM3220" s="5" t="s">
        <v>258</v>
      </c>
      <c r="BN3220" s="5" t="s">
        <v>259</v>
      </c>
      <c r="CB3220" s="5" t="s">
        <v>240</v>
      </c>
      <c r="CC3220" s="5" t="s">
        <v>240</v>
      </c>
      <c r="CG3220" s="5" t="s">
        <v>304</v>
      </c>
      <c r="CH3220" s="5" t="s">
        <v>305</v>
      </c>
      <c r="CI3220" s="5" t="s">
        <v>240</v>
      </c>
      <c r="CL3220" s="6" t="s">
        <v>261</v>
      </c>
      <c r="CM3220" s="5" t="s">
        <v>240</v>
      </c>
      <c r="CN3220" s="5" t="s">
        <v>263</v>
      </c>
      <c r="CO3220" s="5" t="s">
        <v>240</v>
      </c>
      <c r="CP3220" s="5" t="s">
        <v>240</v>
      </c>
      <c r="CQ3220" s="5">
        <v>0</v>
      </c>
      <c r="CR3220" s="5" t="s">
        <v>306</v>
      </c>
      <c r="CS3220" s="5" t="s">
        <v>307</v>
      </c>
      <c r="CT3220" s="5" t="s">
        <v>307</v>
      </c>
      <c r="CU3220" s="5" t="s">
        <v>260</v>
      </c>
      <c r="CX3220" s="7">
        <f>1</f>
        <v>1</v>
      </c>
      <c r="CY3220" s="7">
        <f>0</f>
        <v>0</v>
      </c>
      <c r="DA3220" s="7">
        <f>0</f>
        <v>0</v>
      </c>
      <c r="DC3220" s="5" t="s">
        <v>309</v>
      </c>
      <c r="DD3220" s="5" t="s">
        <v>240</v>
      </c>
      <c r="DF3220" s="5" t="s">
        <v>309</v>
      </c>
      <c r="DG3220" s="7">
        <f>416</f>
        <v>416</v>
      </c>
      <c r="DI3220" s="5" t="s">
        <v>240</v>
      </c>
      <c r="DJ3220" s="5" t="s">
        <v>240</v>
      </c>
      <c r="DK3220" s="5" t="s">
        <v>240</v>
      </c>
      <c r="DL3220" s="5" t="s">
        <v>240</v>
      </c>
      <c r="DP3220" s="5" t="s">
        <v>240</v>
      </c>
      <c r="DQ3220" s="5" t="s">
        <v>240</v>
      </c>
      <c r="DR3220" s="5" t="s">
        <v>240</v>
      </c>
      <c r="DS3220" s="5" t="s">
        <v>240</v>
      </c>
      <c r="DV3220" s="5" t="s">
        <v>310</v>
      </c>
      <c r="DW3220" s="5" t="s">
        <v>2951</v>
      </c>
      <c r="HO3220" s="5" t="s">
        <v>312</v>
      </c>
    </row>
    <row r="3221" spans="1:240" x14ac:dyDescent="0.4">
      <c r="A3221" s="5">
        <v>8585</v>
      </c>
      <c r="B3221" s="5">
        <v>1</v>
      </c>
      <c r="C3221" s="5">
        <v>2</v>
      </c>
      <c r="D3221" s="5" t="s">
        <v>240</v>
      </c>
      <c r="E3221" s="5" t="s">
        <v>245</v>
      </c>
      <c r="F3221" s="5" t="s">
        <v>254</v>
      </c>
      <c r="G3221" s="5" t="s">
        <v>7133</v>
      </c>
      <c r="I3221" s="5" t="s">
        <v>7131</v>
      </c>
      <c r="J3221" s="7">
        <f>0</f>
        <v>0</v>
      </c>
      <c r="K3221" s="5" t="s">
        <v>266</v>
      </c>
      <c r="L3221" s="7">
        <f>199276</f>
        <v>199276</v>
      </c>
      <c r="M3221" s="7">
        <f>199276</f>
        <v>199276</v>
      </c>
      <c r="N3221" s="5" t="s">
        <v>242</v>
      </c>
      <c r="O3221" s="5">
        <v>1</v>
      </c>
      <c r="P3221" s="5" t="s">
        <v>294</v>
      </c>
      <c r="Q3221" s="5" t="s">
        <v>3678</v>
      </c>
      <c r="R3221" s="5" t="s">
        <v>240</v>
      </c>
      <c r="S3221" s="5" t="s">
        <v>240</v>
      </c>
      <c r="T3221" s="5" t="s">
        <v>243</v>
      </c>
      <c r="U3221" s="5" t="s">
        <v>244</v>
      </c>
      <c r="V3221" s="5" t="s">
        <v>240</v>
      </c>
      <c r="W3221" s="5" t="s">
        <v>240</v>
      </c>
      <c r="X3221" s="5" t="s">
        <v>240</v>
      </c>
      <c r="Y3221" s="5" t="s">
        <v>240</v>
      </c>
      <c r="Z3221" s="6" t="s">
        <v>298</v>
      </c>
      <c r="AA3221" s="6" t="s">
        <v>240</v>
      </c>
      <c r="AB3221" s="6" t="s">
        <v>240</v>
      </c>
      <c r="AC3221" s="5" t="s">
        <v>240</v>
      </c>
      <c r="AD3221" s="6" t="s">
        <v>240</v>
      </c>
      <c r="AE3221" s="6" t="s">
        <v>299</v>
      </c>
      <c r="AF3221" s="5" t="s">
        <v>248</v>
      </c>
      <c r="AG3221" s="5" t="s">
        <v>249</v>
      </c>
      <c r="AH3221" s="5" t="s">
        <v>240</v>
      </c>
      <c r="AI3221" s="5" t="s">
        <v>240</v>
      </c>
      <c r="AJ3221" s="5" t="s">
        <v>240</v>
      </c>
      <c r="AK3221" s="5" t="s">
        <v>240</v>
      </c>
      <c r="AL3221" s="5" t="s">
        <v>240</v>
      </c>
      <c r="AM3221" s="5" t="s">
        <v>240</v>
      </c>
      <c r="AN3221" s="5" t="s">
        <v>240</v>
      </c>
      <c r="AO3221" s="5" t="s">
        <v>240</v>
      </c>
      <c r="AP3221" s="6" t="s">
        <v>240</v>
      </c>
      <c r="AQ3221" s="6" t="s">
        <v>240</v>
      </c>
      <c r="AR3221" s="6" t="s">
        <v>240</v>
      </c>
      <c r="AS3221" s="6" t="s">
        <v>240</v>
      </c>
      <c r="AT3221" s="5" t="s">
        <v>240</v>
      </c>
      <c r="AU3221" s="5" t="s">
        <v>729</v>
      </c>
      <c r="AV3221" s="5" t="s">
        <v>729</v>
      </c>
      <c r="AW3221" s="5" t="s">
        <v>251</v>
      </c>
      <c r="AX3221" s="5" t="s">
        <v>252</v>
      </c>
      <c r="AY3221" s="5" t="s">
        <v>253</v>
      </c>
      <c r="AZ3221" s="5" t="s">
        <v>240</v>
      </c>
      <c r="BA3221" s="5" t="s">
        <v>255</v>
      </c>
      <c r="BB3221" s="5" t="s">
        <v>731</v>
      </c>
      <c r="BD3221" s="5" t="s">
        <v>240</v>
      </c>
      <c r="BF3221" s="5" t="s">
        <v>732</v>
      </c>
      <c r="BG3221" s="6" t="s">
        <v>733</v>
      </c>
      <c r="BH3221" s="5" t="s">
        <v>734</v>
      </c>
      <c r="BI3221" s="5" t="s">
        <v>734</v>
      </c>
      <c r="BJ3221" s="5" t="s">
        <v>240</v>
      </c>
      <c r="BK3221" s="7">
        <f>1</f>
        <v>1</v>
      </c>
      <c r="BL3221" s="7">
        <f>1</f>
        <v>1</v>
      </c>
      <c r="BM3221" s="5" t="s">
        <v>258</v>
      </c>
      <c r="BN3221" s="5" t="s">
        <v>259</v>
      </c>
      <c r="BO3221" s="5" t="s">
        <v>240</v>
      </c>
      <c r="BP3221" s="5" t="s">
        <v>240</v>
      </c>
      <c r="BQ3221" s="5" t="s">
        <v>240</v>
      </c>
      <c r="BR3221" s="5" t="s">
        <v>240</v>
      </c>
      <c r="BS3221" s="5" t="s">
        <v>240</v>
      </c>
      <c r="BT3221" s="5" t="s">
        <v>240</v>
      </c>
      <c r="BU3221" s="5" t="s">
        <v>240</v>
      </c>
      <c r="BV3221" s="5" t="s">
        <v>240</v>
      </c>
      <c r="BW3221" s="6" t="s">
        <v>240</v>
      </c>
      <c r="BX3221" s="5" t="s">
        <v>240</v>
      </c>
      <c r="BY3221" s="5" t="s">
        <v>240</v>
      </c>
      <c r="BZ3221" s="5" t="s">
        <v>240</v>
      </c>
      <c r="CA3221" s="5" t="s">
        <v>259</v>
      </c>
      <c r="CB3221" s="5" t="s">
        <v>240</v>
      </c>
      <c r="CC3221" s="5" t="s">
        <v>240</v>
      </c>
      <c r="CD3221" s="5" t="s">
        <v>240</v>
      </c>
      <c r="CE3221" s="5" t="s">
        <v>240</v>
      </c>
      <c r="CF3221" s="5" t="s">
        <v>240</v>
      </c>
      <c r="CG3221" s="5" t="s">
        <v>304</v>
      </c>
      <c r="CH3221" s="5" t="s">
        <v>305</v>
      </c>
      <c r="CI3221" s="5" t="s">
        <v>240</v>
      </c>
      <c r="CK3221" s="5" t="s">
        <v>3681</v>
      </c>
      <c r="CL3221" s="6" t="s">
        <v>261</v>
      </c>
      <c r="CM3221" s="5" t="s">
        <v>262</v>
      </c>
      <c r="CN3221" s="5" t="s">
        <v>263</v>
      </c>
      <c r="CO3221" s="5" t="s">
        <v>264</v>
      </c>
      <c r="CP3221" s="5" t="s">
        <v>240</v>
      </c>
      <c r="CQ3221" s="5">
        <v>0</v>
      </c>
      <c r="CR3221" s="5" t="s">
        <v>735</v>
      </c>
      <c r="CS3221" s="5" t="s">
        <v>307</v>
      </c>
      <c r="CT3221" s="5" t="s">
        <v>307</v>
      </c>
      <c r="CU3221" s="5" t="s">
        <v>260</v>
      </c>
      <c r="CV3221" s="5" t="s">
        <v>612</v>
      </c>
      <c r="CW3221" s="8">
        <f>1</f>
        <v>1</v>
      </c>
      <c r="CX3221" s="7">
        <f>1</f>
        <v>1</v>
      </c>
      <c r="CY3221" s="7">
        <f>0</f>
        <v>0</v>
      </c>
      <c r="DA3221" s="7">
        <f>1</f>
        <v>1</v>
      </c>
      <c r="DB3221" s="7" t="s">
        <v>240</v>
      </c>
      <c r="DC3221" s="5" t="s">
        <v>240</v>
      </c>
      <c r="DD3221" s="5" t="s">
        <v>240</v>
      </c>
      <c r="DE3221" s="5" t="s">
        <v>240</v>
      </c>
      <c r="DF3221" s="5" t="s">
        <v>240</v>
      </c>
      <c r="DG3221" s="7">
        <f>0</f>
        <v>0</v>
      </c>
      <c r="DI3221" s="5" t="s">
        <v>240</v>
      </c>
      <c r="DJ3221" s="5" t="s">
        <v>240</v>
      </c>
      <c r="DK3221" s="5" t="s">
        <v>240</v>
      </c>
      <c r="DL3221" s="5" t="s">
        <v>240</v>
      </c>
      <c r="DM3221" s="5" t="s">
        <v>240</v>
      </c>
      <c r="DN3221" s="5" t="s">
        <v>240</v>
      </c>
      <c r="DO3221" s="7" t="s">
        <v>240</v>
      </c>
      <c r="DP3221" s="5" t="s">
        <v>240</v>
      </c>
      <c r="DQ3221" s="5" t="s">
        <v>240</v>
      </c>
      <c r="DR3221" s="5" t="s">
        <v>731</v>
      </c>
      <c r="DS3221" s="5" t="s">
        <v>731</v>
      </c>
      <c r="DT3221" s="5" t="s">
        <v>240</v>
      </c>
      <c r="DU3221" s="5" t="s">
        <v>240</v>
      </c>
      <c r="DV3221" s="5" t="s">
        <v>3683</v>
      </c>
      <c r="DW3221" s="5" t="s">
        <v>631</v>
      </c>
      <c r="DX3221" s="5" t="s">
        <v>240</v>
      </c>
      <c r="DY3221" s="5" t="s">
        <v>240</v>
      </c>
      <c r="DZ3221" s="5" t="s">
        <v>240</v>
      </c>
      <c r="EA3221" s="5" t="s">
        <v>240</v>
      </c>
      <c r="EB3221" s="5" t="s">
        <v>240</v>
      </c>
      <c r="EC3221" s="5" t="s">
        <v>240</v>
      </c>
      <c r="ED3221" s="5" t="s">
        <v>240</v>
      </c>
      <c r="EE3221" s="5" t="s">
        <v>240</v>
      </c>
      <c r="EF3221" s="5" t="s">
        <v>240</v>
      </c>
      <c r="EG3221" s="5" t="s">
        <v>240</v>
      </c>
      <c r="EH3221" s="5" t="s">
        <v>240</v>
      </c>
      <c r="EI3221" s="5" t="s">
        <v>240</v>
      </c>
      <c r="EJ3221" s="5" t="s">
        <v>240</v>
      </c>
      <c r="EK3221" s="5" t="s">
        <v>240</v>
      </c>
      <c r="EL3221" s="5" t="s">
        <v>240</v>
      </c>
      <c r="EM3221" s="5" t="s">
        <v>240</v>
      </c>
      <c r="EN3221" s="5" t="s">
        <v>240</v>
      </c>
      <c r="EO3221" s="5" t="s">
        <v>240</v>
      </c>
      <c r="EP3221" s="5" t="s">
        <v>240</v>
      </c>
      <c r="EQ3221" s="5" t="s">
        <v>240</v>
      </c>
      <c r="ER3221" s="5" t="s">
        <v>240</v>
      </c>
      <c r="ES3221" s="5" t="s">
        <v>240</v>
      </c>
      <c r="ET3221" s="5" t="s">
        <v>240</v>
      </c>
      <c r="EU3221" s="5" t="s">
        <v>240</v>
      </c>
      <c r="EV3221" s="5" t="s">
        <v>240</v>
      </c>
      <c r="EW3221" s="5" t="s">
        <v>240</v>
      </c>
      <c r="EX3221" s="5" t="s">
        <v>240</v>
      </c>
      <c r="EY3221" s="5" t="s">
        <v>240</v>
      </c>
      <c r="EZ3221" s="5" t="s">
        <v>240</v>
      </c>
      <c r="FA3221" s="5" t="s">
        <v>240</v>
      </c>
      <c r="FB3221" s="5" t="s">
        <v>240</v>
      </c>
      <c r="FC3221" s="5" t="s">
        <v>240</v>
      </c>
      <c r="FD3221" s="5" t="s">
        <v>240</v>
      </c>
      <c r="FE3221" s="5" t="s">
        <v>240</v>
      </c>
      <c r="FF3221" s="5" t="s">
        <v>240</v>
      </c>
      <c r="FG3221" s="5" t="s">
        <v>240</v>
      </c>
      <c r="FH3221" s="5" t="s">
        <v>240</v>
      </c>
      <c r="FI3221" s="5" t="s">
        <v>240</v>
      </c>
      <c r="FJ3221" s="5" t="s">
        <v>240</v>
      </c>
      <c r="FK3221" s="5" t="s">
        <v>240</v>
      </c>
      <c r="FL3221" s="5" t="s">
        <v>240</v>
      </c>
      <c r="FM3221" s="5" t="s">
        <v>240</v>
      </c>
      <c r="FN3221" s="5" t="s">
        <v>240</v>
      </c>
      <c r="FO3221" s="5" t="s">
        <v>240</v>
      </c>
      <c r="FP3221" s="5" t="s">
        <v>240</v>
      </c>
      <c r="FQ3221" s="5" t="s">
        <v>240</v>
      </c>
      <c r="FR3221" s="5" t="s">
        <v>240</v>
      </c>
      <c r="FS3221" s="5" t="s">
        <v>240</v>
      </c>
      <c r="FT3221" s="5" t="s">
        <v>240</v>
      </c>
      <c r="FU3221" s="5" t="s">
        <v>240</v>
      </c>
      <c r="FV3221" s="5" t="s">
        <v>240</v>
      </c>
      <c r="FW3221" s="5" t="s">
        <v>240</v>
      </c>
      <c r="FX3221" s="5" t="s">
        <v>240</v>
      </c>
      <c r="FY3221" s="5" t="s">
        <v>240</v>
      </c>
      <c r="FZ3221" s="5" t="s">
        <v>240</v>
      </c>
      <c r="GA3221" s="5" t="s">
        <v>240</v>
      </c>
      <c r="GB3221" s="5" t="s">
        <v>240</v>
      </c>
      <c r="GC3221" s="5" t="s">
        <v>240</v>
      </c>
      <c r="GD3221" s="5" t="s">
        <v>240</v>
      </c>
      <c r="GE3221" s="5" t="s">
        <v>240</v>
      </c>
      <c r="GF3221" s="5" t="s">
        <v>240</v>
      </c>
      <c r="GG3221" s="5" t="s">
        <v>240</v>
      </c>
      <c r="GH3221" s="5" t="s">
        <v>240</v>
      </c>
      <c r="GI3221" s="5" t="s">
        <v>240</v>
      </c>
      <c r="GJ3221" s="5" t="s">
        <v>240</v>
      </c>
      <c r="GK3221" s="5" t="s">
        <v>240</v>
      </c>
      <c r="GL3221" s="5" t="s">
        <v>240</v>
      </c>
      <c r="GM3221" s="5" t="s">
        <v>240</v>
      </c>
      <c r="GN3221" s="5" t="s">
        <v>240</v>
      </c>
      <c r="GO3221" s="5" t="s">
        <v>240</v>
      </c>
      <c r="GP3221" s="5" t="s">
        <v>240</v>
      </c>
      <c r="GQ3221" s="5" t="s">
        <v>240</v>
      </c>
      <c r="GR3221" s="5" t="s">
        <v>240</v>
      </c>
      <c r="GS3221" s="5" t="s">
        <v>240</v>
      </c>
      <c r="GT3221" s="5" t="s">
        <v>240</v>
      </c>
      <c r="GU3221" s="5" t="s">
        <v>240</v>
      </c>
      <c r="GV3221" s="5" t="s">
        <v>240</v>
      </c>
      <c r="GW3221" s="5" t="s">
        <v>240</v>
      </c>
      <c r="GX3221" s="5" t="s">
        <v>240</v>
      </c>
      <c r="GY3221" s="5" t="s">
        <v>240</v>
      </c>
      <c r="GZ3221" s="5" t="s">
        <v>240</v>
      </c>
      <c r="HA3221" s="5" t="s">
        <v>240</v>
      </c>
      <c r="HB3221" s="5" t="s">
        <v>240</v>
      </c>
      <c r="HC3221" s="5" t="s">
        <v>240</v>
      </c>
      <c r="HD3221" s="5" t="s">
        <v>240</v>
      </c>
      <c r="HE3221" s="5" t="s">
        <v>240</v>
      </c>
      <c r="HF3221" s="5" t="s">
        <v>240</v>
      </c>
      <c r="HG3221" s="5" t="s">
        <v>240</v>
      </c>
      <c r="HH3221" s="5" t="s">
        <v>240</v>
      </c>
      <c r="HI3221" s="5" t="s">
        <v>240</v>
      </c>
      <c r="HJ3221" s="5" t="s">
        <v>240</v>
      </c>
      <c r="HK3221" s="5" t="s">
        <v>240</v>
      </c>
      <c r="HL3221" s="5" t="s">
        <v>240</v>
      </c>
      <c r="HM3221" s="5" t="s">
        <v>240</v>
      </c>
      <c r="HN3221" s="5" t="s">
        <v>240</v>
      </c>
      <c r="HO3221" s="5" t="s">
        <v>312</v>
      </c>
      <c r="HP3221" s="5" t="s">
        <v>240</v>
      </c>
      <c r="HQ3221" s="5" t="s">
        <v>240</v>
      </c>
      <c r="HR3221" s="5" t="s">
        <v>240</v>
      </c>
      <c r="HS3221" s="5" t="s">
        <v>240</v>
      </c>
      <c r="HT3221" s="5" t="s">
        <v>240</v>
      </c>
      <c r="HU3221" s="5" t="s">
        <v>240</v>
      </c>
      <c r="HV3221" s="5" t="s">
        <v>240</v>
      </c>
      <c r="HW3221" s="5" t="s">
        <v>240</v>
      </c>
      <c r="HX3221" s="5" t="s">
        <v>240</v>
      </c>
      <c r="HY3221" s="5" t="s">
        <v>240</v>
      </c>
      <c r="HZ3221" s="5" t="s">
        <v>240</v>
      </c>
      <c r="IA3221" s="5" t="s">
        <v>240</v>
      </c>
      <c r="IB3221" s="5" t="s">
        <v>240</v>
      </c>
      <c r="IC3221" s="5" t="s">
        <v>240</v>
      </c>
      <c r="ID3221" s="5" t="s">
        <v>240</v>
      </c>
      <c r="IE3221" s="5" t="s">
        <v>240</v>
      </c>
      <c r="IF3221" s="5" t="s">
        <v>240</v>
      </c>
    </row>
    <row r="3222" spans="1:240" x14ac:dyDescent="0.4">
      <c r="A3222" s="5">
        <v>8586</v>
      </c>
      <c r="B3222" s="5">
        <v>1</v>
      </c>
      <c r="C3222" s="5">
        <v>2</v>
      </c>
      <c r="D3222" s="5" t="s">
        <v>240</v>
      </c>
      <c r="E3222" s="5" t="s">
        <v>245</v>
      </c>
      <c r="F3222" s="5" t="s">
        <v>254</v>
      </c>
      <c r="G3222" s="5" t="s">
        <v>7174</v>
      </c>
      <c r="I3222" s="5" t="s">
        <v>7172</v>
      </c>
      <c r="J3222" s="7">
        <f>0</f>
        <v>0</v>
      </c>
      <c r="K3222" s="5" t="s">
        <v>266</v>
      </c>
      <c r="L3222" s="7">
        <f>198000</f>
        <v>198000</v>
      </c>
      <c r="M3222" s="7">
        <f>198000</f>
        <v>198000</v>
      </c>
      <c r="N3222" s="5" t="s">
        <v>242</v>
      </c>
      <c r="O3222" s="5">
        <v>1</v>
      </c>
      <c r="P3222" s="5" t="s">
        <v>294</v>
      </c>
      <c r="Q3222" s="5" t="s">
        <v>266</v>
      </c>
      <c r="R3222" s="5" t="s">
        <v>240</v>
      </c>
      <c r="S3222" s="5" t="s">
        <v>240</v>
      </c>
      <c r="T3222" s="5" t="s">
        <v>296</v>
      </c>
      <c r="U3222" s="5" t="s">
        <v>244</v>
      </c>
      <c r="V3222" s="5" t="s">
        <v>240</v>
      </c>
      <c r="Y3222" s="5" t="s">
        <v>240</v>
      </c>
      <c r="Z3222" s="6" t="s">
        <v>298</v>
      </c>
      <c r="AB3222" s="6" t="s">
        <v>240</v>
      </c>
      <c r="AE3222" s="6" t="s">
        <v>299</v>
      </c>
      <c r="AF3222" s="5" t="s">
        <v>248</v>
      </c>
      <c r="AG3222" s="5" t="s">
        <v>249</v>
      </c>
      <c r="AW3222" s="5" t="s">
        <v>251</v>
      </c>
      <c r="AX3222" s="5" t="s">
        <v>240</v>
      </c>
      <c r="AY3222" s="5" t="s">
        <v>253</v>
      </c>
      <c r="AZ3222" s="5" t="s">
        <v>240</v>
      </c>
      <c r="BA3222" s="5" t="s">
        <v>255</v>
      </c>
      <c r="BB3222" s="5" t="s">
        <v>240</v>
      </c>
      <c r="BD3222" s="5" t="s">
        <v>240</v>
      </c>
      <c r="BF3222" s="5" t="s">
        <v>301</v>
      </c>
      <c r="BG3222" s="6" t="s">
        <v>299</v>
      </c>
      <c r="BH3222" s="5" t="s">
        <v>302</v>
      </c>
      <c r="BI3222" s="5" t="s">
        <v>303</v>
      </c>
      <c r="BJ3222" s="5" t="s">
        <v>240</v>
      </c>
      <c r="BK3222" s="8">
        <f>0</f>
        <v>0</v>
      </c>
      <c r="BL3222" s="7">
        <f>0</f>
        <v>0</v>
      </c>
      <c r="BM3222" s="5" t="s">
        <v>258</v>
      </c>
      <c r="BN3222" s="5" t="s">
        <v>259</v>
      </c>
      <c r="CB3222" s="5" t="s">
        <v>240</v>
      </c>
      <c r="CC3222" s="5" t="s">
        <v>240</v>
      </c>
      <c r="CG3222" s="5" t="s">
        <v>304</v>
      </c>
      <c r="CH3222" s="5" t="s">
        <v>305</v>
      </c>
      <c r="CI3222" s="5" t="s">
        <v>240</v>
      </c>
      <c r="CL3222" s="6" t="s">
        <v>261</v>
      </c>
      <c r="CM3222" s="5" t="s">
        <v>240</v>
      </c>
      <c r="CN3222" s="5" t="s">
        <v>263</v>
      </c>
      <c r="CO3222" s="5" t="s">
        <v>240</v>
      </c>
      <c r="CP3222" s="5" t="s">
        <v>240</v>
      </c>
      <c r="CQ3222" s="5">
        <v>0</v>
      </c>
      <c r="CR3222" s="5" t="s">
        <v>306</v>
      </c>
      <c r="CS3222" s="5" t="s">
        <v>307</v>
      </c>
      <c r="CT3222" s="5" t="s">
        <v>307</v>
      </c>
      <c r="CU3222" s="5" t="s">
        <v>260</v>
      </c>
      <c r="CX3222" s="7">
        <f>1</f>
        <v>1</v>
      </c>
      <c r="CY3222" s="7">
        <f>0</f>
        <v>0</v>
      </c>
      <c r="DA3222" s="7">
        <f>0</f>
        <v>0</v>
      </c>
      <c r="DC3222" s="5" t="s">
        <v>309</v>
      </c>
      <c r="DD3222" s="5" t="s">
        <v>240</v>
      </c>
      <c r="DF3222" s="5" t="s">
        <v>309</v>
      </c>
      <c r="DG3222" s="7">
        <f>747</f>
        <v>747</v>
      </c>
      <c r="DI3222" s="5" t="s">
        <v>240</v>
      </c>
      <c r="DJ3222" s="5" t="s">
        <v>240</v>
      </c>
      <c r="DK3222" s="5" t="s">
        <v>240</v>
      </c>
      <c r="DL3222" s="5" t="s">
        <v>240</v>
      </c>
      <c r="DP3222" s="5" t="s">
        <v>240</v>
      </c>
      <c r="DQ3222" s="5" t="s">
        <v>240</v>
      </c>
      <c r="DR3222" s="5" t="s">
        <v>240</v>
      </c>
      <c r="DS3222" s="5" t="s">
        <v>240</v>
      </c>
      <c r="DV3222" s="5" t="s">
        <v>310</v>
      </c>
      <c r="DW3222" s="5" t="s">
        <v>4831</v>
      </c>
      <c r="HO3222" s="5" t="s">
        <v>312</v>
      </c>
    </row>
    <row r="3223" spans="1:240" x14ac:dyDescent="0.4">
      <c r="A3223" s="5">
        <v>8587</v>
      </c>
      <c r="B3223" s="5">
        <v>1</v>
      </c>
      <c r="C3223" s="5">
        <v>3</v>
      </c>
      <c r="D3223" s="5" t="s">
        <v>297</v>
      </c>
      <c r="E3223" s="5" t="s">
        <v>245</v>
      </c>
      <c r="F3223" s="5" t="s">
        <v>254</v>
      </c>
      <c r="G3223" s="5" t="s">
        <v>240</v>
      </c>
      <c r="H3223" s="6" t="s">
        <v>6872</v>
      </c>
      <c r="I3223" s="5" t="s">
        <v>6870</v>
      </c>
      <c r="J3223" s="7">
        <f>1</f>
        <v>1</v>
      </c>
      <c r="K3223" s="5" t="s">
        <v>6749</v>
      </c>
      <c r="L3223" s="7">
        <f>17114564</f>
        <v>17114564</v>
      </c>
      <c r="M3223" s="7">
        <f>17114564</f>
        <v>17114564</v>
      </c>
      <c r="N3223" s="5" t="s">
        <v>242</v>
      </c>
      <c r="O3223" s="5">
        <v>1</v>
      </c>
      <c r="P3223" s="5" t="s">
        <v>294</v>
      </c>
      <c r="Q3223" s="5" t="s">
        <v>3678</v>
      </c>
      <c r="R3223" s="5" t="s">
        <v>240</v>
      </c>
      <c r="S3223" s="5" t="s">
        <v>240</v>
      </c>
      <c r="T3223" s="5" t="s">
        <v>243</v>
      </c>
      <c r="U3223" s="5" t="s">
        <v>244</v>
      </c>
      <c r="V3223" s="5" t="s">
        <v>240</v>
      </c>
      <c r="W3223" s="5" t="s">
        <v>240</v>
      </c>
      <c r="X3223" s="5" t="s">
        <v>240</v>
      </c>
      <c r="Y3223" s="5" t="s">
        <v>240</v>
      </c>
      <c r="Z3223" s="6" t="s">
        <v>298</v>
      </c>
      <c r="AA3223" s="6" t="s">
        <v>240</v>
      </c>
      <c r="AB3223" s="6" t="s">
        <v>240</v>
      </c>
      <c r="AC3223" s="5" t="s">
        <v>240</v>
      </c>
      <c r="AD3223" s="6" t="s">
        <v>240</v>
      </c>
      <c r="AE3223" s="6" t="s">
        <v>299</v>
      </c>
      <c r="AF3223" s="5" t="s">
        <v>248</v>
      </c>
      <c r="AG3223" s="5" t="s">
        <v>249</v>
      </c>
      <c r="AH3223" s="5" t="s">
        <v>240</v>
      </c>
      <c r="AI3223" s="5" t="s">
        <v>240</v>
      </c>
      <c r="AJ3223" s="5" t="s">
        <v>240</v>
      </c>
      <c r="AK3223" s="5" t="s">
        <v>240</v>
      </c>
      <c r="AL3223" s="5" t="s">
        <v>240</v>
      </c>
      <c r="AM3223" s="5" t="s">
        <v>240</v>
      </c>
      <c r="AN3223" s="5" t="s">
        <v>240</v>
      </c>
      <c r="AO3223" s="5" t="s">
        <v>240</v>
      </c>
      <c r="AP3223" s="6" t="s">
        <v>240</v>
      </c>
      <c r="AQ3223" s="6" t="s">
        <v>240</v>
      </c>
      <c r="AR3223" s="6" t="s">
        <v>240</v>
      </c>
      <c r="AS3223" s="6" t="s">
        <v>240</v>
      </c>
      <c r="AT3223" s="5" t="s">
        <v>240</v>
      </c>
      <c r="AU3223" s="5" t="s">
        <v>729</v>
      </c>
      <c r="AV3223" s="5" t="s">
        <v>729</v>
      </c>
      <c r="AW3223" s="5" t="s">
        <v>251</v>
      </c>
      <c r="AX3223" s="5" t="s">
        <v>252</v>
      </c>
      <c r="AY3223" s="5" t="s">
        <v>253</v>
      </c>
      <c r="AZ3223" s="5" t="s">
        <v>240</v>
      </c>
      <c r="BA3223" s="5" t="s">
        <v>255</v>
      </c>
      <c r="BB3223" s="5" t="s">
        <v>731</v>
      </c>
      <c r="BD3223" s="5" t="s">
        <v>240</v>
      </c>
      <c r="BF3223" s="5" t="s">
        <v>732</v>
      </c>
      <c r="BG3223" s="6" t="s">
        <v>733</v>
      </c>
      <c r="BH3223" s="5" t="s">
        <v>734</v>
      </c>
      <c r="BI3223" s="5" t="s">
        <v>734</v>
      </c>
      <c r="BJ3223" s="5" t="s">
        <v>240</v>
      </c>
      <c r="BK3223" s="7">
        <f>1</f>
        <v>1</v>
      </c>
      <c r="BL3223" s="7">
        <f>1</f>
        <v>1</v>
      </c>
      <c r="BM3223" s="5" t="s">
        <v>258</v>
      </c>
      <c r="BN3223" s="5" t="s">
        <v>259</v>
      </c>
      <c r="BO3223" s="5" t="s">
        <v>240</v>
      </c>
      <c r="BP3223" s="5" t="s">
        <v>240</v>
      </c>
      <c r="BQ3223" s="5" t="s">
        <v>240</v>
      </c>
      <c r="BR3223" s="5" t="s">
        <v>240</v>
      </c>
      <c r="BS3223" s="5" t="s">
        <v>240</v>
      </c>
      <c r="BT3223" s="5" t="s">
        <v>240</v>
      </c>
      <c r="BU3223" s="5" t="s">
        <v>240</v>
      </c>
      <c r="BV3223" s="5" t="s">
        <v>240</v>
      </c>
      <c r="BW3223" s="6" t="s">
        <v>240</v>
      </c>
      <c r="BX3223" s="5" t="s">
        <v>240</v>
      </c>
      <c r="BY3223" s="5" t="s">
        <v>240</v>
      </c>
      <c r="BZ3223" s="5" t="s">
        <v>240</v>
      </c>
      <c r="CA3223" s="5" t="s">
        <v>259</v>
      </c>
      <c r="CB3223" s="5" t="s">
        <v>240</v>
      </c>
      <c r="CC3223" s="5" t="s">
        <v>240</v>
      </c>
      <c r="CD3223" s="5" t="s">
        <v>240</v>
      </c>
      <c r="CE3223" s="5" t="s">
        <v>240</v>
      </c>
      <c r="CF3223" s="5" t="s">
        <v>240</v>
      </c>
      <c r="CG3223" s="5" t="s">
        <v>304</v>
      </c>
      <c r="CH3223" s="5" t="s">
        <v>305</v>
      </c>
      <c r="CI3223" s="5" t="s">
        <v>240</v>
      </c>
      <c r="CK3223" s="5" t="s">
        <v>3681</v>
      </c>
      <c r="CL3223" s="6" t="s">
        <v>261</v>
      </c>
      <c r="CM3223" s="5" t="s">
        <v>262</v>
      </c>
      <c r="CN3223" s="5" t="s">
        <v>263</v>
      </c>
      <c r="CO3223" s="5" t="s">
        <v>264</v>
      </c>
      <c r="CP3223" s="5" t="s">
        <v>240</v>
      </c>
      <c r="CQ3223" s="5">
        <v>0</v>
      </c>
      <c r="CR3223" s="5" t="s">
        <v>735</v>
      </c>
      <c r="CS3223" s="5" t="s">
        <v>307</v>
      </c>
      <c r="CT3223" s="5" t="s">
        <v>307</v>
      </c>
      <c r="CU3223" s="5" t="s">
        <v>260</v>
      </c>
      <c r="CV3223" s="5" t="s">
        <v>612</v>
      </c>
      <c r="CW3223" s="8">
        <f>1</f>
        <v>1</v>
      </c>
      <c r="CX3223" s="7">
        <f>1</f>
        <v>1</v>
      </c>
      <c r="CY3223" s="7">
        <f>0</f>
        <v>0</v>
      </c>
      <c r="DA3223" s="7">
        <f>1</f>
        <v>1</v>
      </c>
      <c r="DB3223" s="7" t="s">
        <v>240</v>
      </c>
      <c r="DC3223" s="5" t="s">
        <v>240</v>
      </c>
      <c r="DD3223" s="5" t="s">
        <v>240</v>
      </c>
      <c r="DE3223" s="5" t="s">
        <v>240</v>
      </c>
      <c r="DF3223" s="5" t="s">
        <v>240</v>
      </c>
      <c r="DG3223" s="7">
        <f>0</f>
        <v>0</v>
      </c>
      <c r="DI3223" s="5" t="s">
        <v>240</v>
      </c>
      <c r="DJ3223" s="5" t="s">
        <v>240</v>
      </c>
      <c r="DK3223" s="5" t="s">
        <v>240</v>
      </c>
      <c r="DL3223" s="5" t="s">
        <v>240</v>
      </c>
      <c r="DM3223" s="5" t="s">
        <v>240</v>
      </c>
      <c r="DN3223" s="5" t="s">
        <v>240</v>
      </c>
      <c r="DO3223" s="7" t="s">
        <v>240</v>
      </c>
      <c r="DP3223" s="5" t="s">
        <v>240</v>
      </c>
      <c r="DQ3223" s="5" t="s">
        <v>240</v>
      </c>
      <c r="DR3223" s="5" t="s">
        <v>731</v>
      </c>
      <c r="DS3223" s="5" t="s">
        <v>731</v>
      </c>
      <c r="DT3223" s="5" t="s">
        <v>240</v>
      </c>
      <c r="DU3223" s="5" t="s">
        <v>240</v>
      </c>
      <c r="DV3223" s="5" t="s">
        <v>3683</v>
      </c>
      <c r="DW3223" s="5" t="s">
        <v>639</v>
      </c>
      <c r="DX3223" s="5" t="s">
        <v>240</v>
      </c>
      <c r="DY3223" s="5" t="s">
        <v>240</v>
      </c>
      <c r="DZ3223" s="5" t="s">
        <v>240</v>
      </c>
      <c r="EA3223" s="5" t="s">
        <v>240</v>
      </c>
      <c r="EB3223" s="5" t="s">
        <v>240</v>
      </c>
      <c r="EC3223" s="5" t="s">
        <v>240</v>
      </c>
      <c r="ED3223" s="5" t="s">
        <v>240</v>
      </c>
      <c r="EE3223" s="5" t="s">
        <v>240</v>
      </c>
      <c r="EF3223" s="5" t="s">
        <v>240</v>
      </c>
      <c r="EG3223" s="5" t="s">
        <v>240</v>
      </c>
      <c r="EH3223" s="5" t="s">
        <v>240</v>
      </c>
      <c r="EI3223" s="5" t="s">
        <v>240</v>
      </c>
      <c r="EJ3223" s="5" t="s">
        <v>240</v>
      </c>
      <c r="EK3223" s="5" t="s">
        <v>240</v>
      </c>
      <c r="EL3223" s="5" t="s">
        <v>240</v>
      </c>
      <c r="EM3223" s="5" t="s">
        <v>240</v>
      </c>
      <c r="EN3223" s="5" t="s">
        <v>240</v>
      </c>
      <c r="EO3223" s="5" t="s">
        <v>240</v>
      </c>
      <c r="EP3223" s="5" t="s">
        <v>240</v>
      </c>
      <c r="EQ3223" s="5" t="s">
        <v>240</v>
      </c>
      <c r="ER3223" s="5" t="s">
        <v>240</v>
      </c>
      <c r="ES3223" s="5" t="s">
        <v>240</v>
      </c>
      <c r="ET3223" s="5" t="s">
        <v>240</v>
      </c>
      <c r="EU3223" s="5" t="s">
        <v>240</v>
      </c>
      <c r="EV3223" s="5" t="s">
        <v>240</v>
      </c>
      <c r="EW3223" s="5" t="s">
        <v>240</v>
      </c>
      <c r="EX3223" s="5" t="s">
        <v>240</v>
      </c>
      <c r="EY3223" s="5" t="s">
        <v>240</v>
      </c>
      <c r="EZ3223" s="5" t="s">
        <v>240</v>
      </c>
      <c r="FA3223" s="5" t="s">
        <v>240</v>
      </c>
      <c r="FB3223" s="5" t="s">
        <v>240</v>
      </c>
      <c r="FC3223" s="5" t="s">
        <v>240</v>
      </c>
      <c r="FD3223" s="5" t="s">
        <v>240</v>
      </c>
      <c r="FE3223" s="5" t="s">
        <v>240</v>
      </c>
      <c r="FF3223" s="5" t="s">
        <v>240</v>
      </c>
      <c r="FG3223" s="5" t="s">
        <v>240</v>
      </c>
      <c r="FH3223" s="5" t="s">
        <v>240</v>
      </c>
      <c r="FI3223" s="5" t="s">
        <v>240</v>
      </c>
      <c r="FJ3223" s="5" t="s">
        <v>240</v>
      </c>
      <c r="FK3223" s="5" t="s">
        <v>240</v>
      </c>
      <c r="FL3223" s="5" t="s">
        <v>240</v>
      </c>
      <c r="FM3223" s="5" t="s">
        <v>240</v>
      </c>
      <c r="FN3223" s="5" t="s">
        <v>240</v>
      </c>
      <c r="FO3223" s="5" t="s">
        <v>240</v>
      </c>
      <c r="FP3223" s="5" t="s">
        <v>240</v>
      </c>
      <c r="FQ3223" s="5" t="s">
        <v>240</v>
      </c>
      <c r="FR3223" s="5" t="s">
        <v>240</v>
      </c>
      <c r="FS3223" s="5" t="s">
        <v>240</v>
      </c>
      <c r="FT3223" s="5" t="s">
        <v>240</v>
      </c>
      <c r="FU3223" s="5" t="s">
        <v>240</v>
      </c>
      <c r="FV3223" s="5" t="s">
        <v>240</v>
      </c>
      <c r="FW3223" s="5" t="s">
        <v>240</v>
      </c>
      <c r="FX3223" s="5" t="s">
        <v>240</v>
      </c>
      <c r="FY3223" s="5" t="s">
        <v>240</v>
      </c>
      <c r="FZ3223" s="5" t="s">
        <v>240</v>
      </c>
      <c r="GA3223" s="5" t="s">
        <v>240</v>
      </c>
      <c r="GB3223" s="5" t="s">
        <v>240</v>
      </c>
      <c r="GC3223" s="5" t="s">
        <v>240</v>
      </c>
      <c r="GD3223" s="5" t="s">
        <v>240</v>
      </c>
      <c r="GE3223" s="5" t="s">
        <v>240</v>
      </c>
      <c r="GF3223" s="5" t="s">
        <v>240</v>
      </c>
      <c r="GG3223" s="5" t="s">
        <v>240</v>
      </c>
      <c r="GH3223" s="5" t="s">
        <v>240</v>
      </c>
      <c r="GI3223" s="5" t="s">
        <v>240</v>
      </c>
      <c r="GJ3223" s="5" t="s">
        <v>240</v>
      </c>
      <c r="GK3223" s="5" t="s">
        <v>240</v>
      </c>
      <c r="GL3223" s="5" t="s">
        <v>240</v>
      </c>
      <c r="GM3223" s="5" t="s">
        <v>240</v>
      </c>
      <c r="GN3223" s="5" t="s">
        <v>240</v>
      </c>
      <c r="GO3223" s="5" t="s">
        <v>240</v>
      </c>
      <c r="GP3223" s="5" t="s">
        <v>240</v>
      </c>
      <c r="GQ3223" s="5" t="s">
        <v>240</v>
      </c>
      <c r="GR3223" s="5" t="s">
        <v>240</v>
      </c>
      <c r="GS3223" s="5" t="s">
        <v>240</v>
      </c>
      <c r="GT3223" s="5" t="s">
        <v>240</v>
      </c>
      <c r="GU3223" s="5" t="s">
        <v>240</v>
      </c>
      <c r="GV3223" s="5" t="s">
        <v>240</v>
      </c>
      <c r="GW3223" s="5" t="s">
        <v>240</v>
      </c>
      <c r="GX3223" s="5" t="s">
        <v>240</v>
      </c>
      <c r="GY3223" s="5" t="s">
        <v>240</v>
      </c>
      <c r="GZ3223" s="5" t="s">
        <v>240</v>
      </c>
      <c r="HA3223" s="5" t="s">
        <v>240</v>
      </c>
      <c r="HB3223" s="5" t="s">
        <v>240</v>
      </c>
      <c r="HC3223" s="5" t="s">
        <v>240</v>
      </c>
      <c r="HD3223" s="5" t="s">
        <v>240</v>
      </c>
      <c r="HE3223" s="5" t="s">
        <v>240</v>
      </c>
      <c r="HF3223" s="5" t="s">
        <v>240</v>
      </c>
      <c r="HG3223" s="5" t="s">
        <v>240</v>
      </c>
      <c r="HH3223" s="5" t="s">
        <v>240</v>
      </c>
      <c r="HI3223" s="5" t="s">
        <v>240</v>
      </c>
      <c r="HJ3223" s="5" t="s">
        <v>240</v>
      </c>
      <c r="HK3223" s="5" t="s">
        <v>240</v>
      </c>
      <c r="HL3223" s="5" t="s">
        <v>240</v>
      </c>
      <c r="HM3223" s="5" t="s">
        <v>240</v>
      </c>
      <c r="HN3223" s="5" t="s">
        <v>240</v>
      </c>
      <c r="HO3223" s="5" t="s">
        <v>312</v>
      </c>
      <c r="HP3223" s="5" t="s">
        <v>240</v>
      </c>
      <c r="HQ3223" s="5" t="s">
        <v>240</v>
      </c>
      <c r="HR3223" s="5" t="s">
        <v>240</v>
      </c>
      <c r="HS3223" s="5" t="s">
        <v>240</v>
      </c>
      <c r="HT3223" s="5" t="s">
        <v>240</v>
      </c>
      <c r="HU3223" s="5" t="s">
        <v>240</v>
      </c>
      <c r="HV3223" s="5" t="s">
        <v>240</v>
      </c>
      <c r="HW3223" s="5" t="s">
        <v>240</v>
      </c>
      <c r="HX3223" s="5" t="s">
        <v>240</v>
      </c>
      <c r="HY3223" s="5" t="s">
        <v>240</v>
      </c>
      <c r="HZ3223" s="5" t="s">
        <v>240</v>
      </c>
      <c r="IA3223" s="5" t="s">
        <v>240</v>
      </c>
      <c r="IB3223" s="5" t="s">
        <v>240</v>
      </c>
      <c r="IC3223" s="5" t="s">
        <v>240</v>
      </c>
      <c r="ID3223" s="5" t="s">
        <v>240</v>
      </c>
      <c r="IE3223" s="5" t="s">
        <v>240</v>
      </c>
      <c r="IF3223" s="5" t="s">
        <v>240</v>
      </c>
    </row>
    <row r="3224" spans="1:240" x14ac:dyDescent="0.4">
      <c r="A3224" s="5">
        <v>8588</v>
      </c>
      <c r="B3224" s="5">
        <v>1</v>
      </c>
      <c r="C3224" s="5">
        <v>2</v>
      </c>
      <c r="D3224" s="5" t="s">
        <v>240</v>
      </c>
      <c r="E3224" s="5" t="s">
        <v>245</v>
      </c>
      <c r="F3224" s="5" t="s">
        <v>254</v>
      </c>
      <c r="G3224" s="5" t="s">
        <v>6761</v>
      </c>
      <c r="H3224" s="6" t="s">
        <v>288</v>
      </c>
      <c r="I3224" s="5" t="s">
        <v>7120</v>
      </c>
      <c r="J3224" s="7">
        <f>1</f>
        <v>1</v>
      </c>
      <c r="K3224" s="5" t="s">
        <v>6749</v>
      </c>
      <c r="L3224" s="7">
        <f>29278612</f>
        <v>29278612</v>
      </c>
      <c r="M3224" s="7">
        <f>29278612</f>
        <v>29278612</v>
      </c>
      <c r="N3224" s="5" t="s">
        <v>242</v>
      </c>
      <c r="O3224" s="5">
        <v>1</v>
      </c>
      <c r="P3224" s="5" t="s">
        <v>294</v>
      </c>
      <c r="Q3224" s="5" t="s">
        <v>3678</v>
      </c>
      <c r="R3224" s="5" t="s">
        <v>240</v>
      </c>
      <c r="S3224" s="5" t="s">
        <v>240</v>
      </c>
      <c r="T3224" s="5" t="s">
        <v>243</v>
      </c>
      <c r="U3224" s="5" t="s">
        <v>244</v>
      </c>
      <c r="V3224" s="5" t="s">
        <v>240</v>
      </c>
      <c r="W3224" s="5" t="s">
        <v>240</v>
      </c>
      <c r="X3224" s="5" t="s">
        <v>240</v>
      </c>
      <c r="Y3224" s="5" t="s">
        <v>240</v>
      </c>
      <c r="Z3224" s="6" t="s">
        <v>298</v>
      </c>
      <c r="AA3224" s="6" t="s">
        <v>240</v>
      </c>
      <c r="AB3224" s="6" t="s">
        <v>240</v>
      </c>
      <c r="AC3224" s="5" t="s">
        <v>240</v>
      </c>
      <c r="AD3224" s="6" t="s">
        <v>240</v>
      </c>
      <c r="AE3224" s="6" t="s">
        <v>299</v>
      </c>
      <c r="AF3224" s="5" t="s">
        <v>248</v>
      </c>
      <c r="AG3224" s="5" t="s">
        <v>249</v>
      </c>
      <c r="AH3224" s="5" t="s">
        <v>240</v>
      </c>
      <c r="AI3224" s="5" t="s">
        <v>240</v>
      </c>
      <c r="AJ3224" s="5" t="s">
        <v>240</v>
      </c>
      <c r="AK3224" s="5" t="s">
        <v>240</v>
      </c>
      <c r="AL3224" s="5" t="s">
        <v>240</v>
      </c>
      <c r="AM3224" s="5" t="s">
        <v>240</v>
      </c>
      <c r="AN3224" s="5" t="s">
        <v>240</v>
      </c>
      <c r="AO3224" s="5" t="s">
        <v>240</v>
      </c>
      <c r="AP3224" s="6" t="s">
        <v>240</v>
      </c>
      <c r="AQ3224" s="6" t="s">
        <v>240</v>
      </c>
      <c r="AR3224" s="6" t="s">
        <v>240</v>
      </c>
      <c r="AS3224" s="6" t="s">
        <v>240</v>
      </c>
      <c r="AT3224" s="5" t="s">
        <v>240</v>
      </c>
      <c r="AU3224" s="5" t="s">
        <v>729</v>
      </c>
      <c r="AV3224" s="5" t="s">
        <v>729</v>
      </c>
      <c r="AW3224" s="5" t="s">
        <v>251</v>
      </c>
      <c r="AX3224" s="5" t="s">
        <v>252</v>
      </c>
      <c r="AY3224" s="5" t="s">
        <v>253</v>
      </c>
      <c r="AZ3224" s="5" t="s">
        <v>240</v>
      </c>
      <c r="BA3224" s="5" t="s">
        <v>255</v>
      </c>
      <c r="BB3224" s="5" t="s">
        <v>731</v>
      </c>
      <c r="BD3224" s="5" t="s">
        <v>240</v>
      </c>
      <c r="BF3224" s="5" t="s">
        <v>732</v>
      </c>
      <c r="BG3224" s="6" t="s">
        <v>733</v>
      </c>
      <c r="BH3224" s="5" t="s">
        <v>734</v>
      </c>
      <c r="BI3224" s="5" t="s">
        <v>734</v>
      </c>
      <c r="BJ3224" s="5" t="s">
        <v>240</v>
      </c>
      <c r="BK3224" s="7">
        <f>1</f>
        <v>1</v>
      </c>
      <c r="BL3224" s="7">
        <f>1</f>
        <v>1</v>
      </c>
      <c r="BM3224" s="5" t="s">
        <v>258</v>
      </c>
      <c r="BN3224" s="5" t="s">
        <v>259</v>
      </c>
      <c r="BO3224" s="5" t="s">
        <v>240</v>
      </c>
      <c r="BP3224" s="5" t="s">
        <v>240</v>
      </c>
      <c r="BQ3224" s="5" t="s">
        <v>240</v>
      </c>
      <c r="BR3224" s="5" t="s">
        <v>240</v>
      </c>
      <c r="BS3224" s="5" t="s">
        <v>240</v>
      </c>
      <c r="BT3224" s="5" t="s">
        <v>240</v>
      </c>
      <c r="BU3224" s="5" t="s">
        <v>240</v>
      </c>
      <c r="BV3224" s="5" t="s">
        <v>240</v>
      </c>
      <c r="BW3224" s="6" t="s">
        <v>240</v>
      </c>
      <c r="BX3224" s="5" t="s">
        <v>240</v>
      </c>
      <c r="BY3224" s="5" t="s">
        <v>240</v>
      </c>
      <c r="BZ3224" s="5" t="s">
        <v>240</v>
      </c>
      <c r="CA3224" s="5" t="s">
        <v>259</v>
      </c>
      <c r="CB3224" s="5" t="s">
        <v>240</v>
      </c>
      <c r="CC3224" s="5" t="s">
        <v>240</v>
      </c>
      <c r="CD3224" s="5" t="s">
        <v>240</v>
      </c>
      <c r="CE3224" s="5" t="s">
        <v>240</v>
      </c>
      <c r="CF3224" s="5" t="s">
        <v>240</v>
      </c>
      <c r="CG3224" s="5" t="s">
        <v>304</v>
      </c>
      <c r="CH3224" s="5" t="s">
        <v>305</v>
      </c>
      <c r="CI3224" s="5" t="s">
        <v>240</v>
      </c>
      <c r="CK3224" s="5" t="s">
        <v>3681</v>
      </c>
      <c r="CL3224" s="6" t="s">
        <v>261</v>
      </c>
      <c r="CM3224" s="5" t="s">
        <v>262</v>
      </c>
      <c r="CN3224" s="5" t="s">
        <v>263</v>
      </c>
      <c r="CO3224" s="5" t="s">
        <v>264</v>
      </c>
      <c r="CP3224" s="5" t="s">
        <v>240</v>
      </c>
      <c r="CQ3224" s="5">
        <v>0</v>
      </c>
      <c r="CR3224" s="5" t="s">
        <v>735</v>
      </c>
      <c r="CS3224" s="5" t="s">
        <v>307</v>
      </c>
      <c r="CT3224" s="5" t="s">
        <v>307</v>
      </c>
      <c r="CU3224" s="5" t="s">
        <v>260</v>
      </c>
      <c r="CV3224" s="5" t="s">
        <v>612</v>
      </c>
      <c r="CW3224" s="8">
        <f>1</f>
        <v>1</v>
      </c>
      <c r="CX3224" s="7">
        <f>1</f>
        <v>1</v>
      </c>
      <c r="CY3224" s="7">
        <f>0</f>
        <v>0</v>
      </c>
      <c r="DA3224" s="7">
        <f>1</f>
        <v>1</v>
      </c>
      <c r="DB3224" s="7" t="s">
        <v>240</v>
      </c>
      <c r="DC3224" s="5" t="s">
        <v>240</v>
      </c>
      <c r="DD3224" s="5" t="s">
        <v>240</v>
      </c>
      <c r="DE3224" s="5" t="s">
        <v>240</v>
      </c>
      <c r="DF3224" s="5" t="s">
        <v>240</v>
      </c>
      <c r="DG3224" s="7">
        <f>0</f>
        <v>0</v>
      </c>
      <c r="DI3224" s="5" t="s">
        <v>240</v>
      </c>
      <c r="DJ3224" s="5" t="s">
        <v>240</v>
      </c>
      <c r="DK3224" s="5" t="s">
        <v>240</v>
      </c>
      <c r="DL3224" s="5" t="s">
        <v>240</v>
      </c>
      <c r="DM3224" s="5" t="s">
        <v>240</v>
      </c>
      <c r="DN3224" s="5" t="s">
        <v>240</v>
      </c>
      <c r="DO3224" s="7" t="s">
        <v>240</v>
      </c>
      <c r="DP3224" s="5" t="s">
        <v>240</v>
      </c>
      <c r="DQ3224" s="5" t="s">
        <v>240</v>
      </c>
      <c r="DR3224" s="5" t="s">
        <v>731</v>
      </c>
      <c r="DS3224" s="5" t="s">
        <v>731</v>
      </c>
      <c r="DT3224" s="5" t="s">
        <v>240</v>
      </c>
      <c r="DU3224" s="5" t="s">
        <v>240</v>
      </c>
      <c r="DV3224" s="5" t="s">
        <v>3683</v>
      </c>
      <c r="DW3224" s="5" t="s">
        <v>781</v>
      </c>
      <c r="DX3224" s="5" t="s">
        <v>240</v>
      </c>
      <c r="DY3224" s="5" t="s">
        <v>240</v>
      </c>
      <c r="DZ3224" s="5" t="s">
        <v>240</v>
      </c>
      <c r="EA3224" s="5" t="s">
        <v>240</v>
      </c>
      <c r="EB3224" s="5" t="s">
        <v>240</v>
      </c>
      <c r="EC3224" s="5" t="s">
        <v>240</v>
      </c>
      <c r="ED3224" s="5" t="s">
        <v>240</v>
      </c>
      <c r="EE3224" s="5" t="s">
        <v>240</v>
      </c>
      <c r="EF3224" s="5" t="s">
        <v>240</v>
      </c>
      <c r="EG3224" s="5" t="s">
        <v>240</v>
      </c>
      <c r="EH3224" s="5" t="s">
        <v>240</v>
      </c>
      <c r="EI3224" s="5" t="s">
        <v>240</v>
      </c>
      <c r="EJ3224" s="5" t="s">
        <v>240</v>
      </c>
      <c r="EK3224" s="5" t="s">
        <v>240</v>
      </c>
      <c r="EL3224" s="5" t="s">
        <v>240</v>
      </c>
      <c r="EM3224" s="5" t="s">
        <v>240</v>
      </c>
      <c r="EN3224" s="5" t="s">
        <v>240</v>
      </c>
      <c r="EO3224" s="5" t="s">
        <v>240</v>
      </c>
      <c r="EP3224" s="5" t="s">
        <v>240</v>
      </c>
      <c r="EQ3224" s="5" t="s">
        <v>240</v>
      </c>
      <c r="ER3224" s="5" t="s">
        <v>240</v>
      </c>
      <c r="ES3224" s="5" t="s">
        <v>240</v>
      </c>
      <c r="ET3224" s="5" t="s">
        <v>240</v>
      </c>
      <c r="EU3224" s="5" t="s">
        <v>240</v>
      </c>
      <c r="EV3224" s="5" t="s">
        <v>240</v>
      </c>
      <c r="EW3224" s="5" t="s">
        <v>240</v>
      </c>
      <c r="EX3224" s="5" t="s">
        <v>240</v>
      </c>
      <c r="EY3224" s="5" t="s">
        <v>240</v>
      </c>
      <c r="EZ3224" s="5" t="s">
        <v>240</v>
      </c>
      <c r="FA3224" s="5" t="s">
        <v>240</v>
      </c>
      <c r="FB3224" s="5" t="s">
        <v>240</v>
      </c>
      <c r="FC3224" s="5" t="s">
        <v>240</v>
      </c>
      <c r="FD3224" s="5" t="s">
        <v>240</v>
      </c>
      <c r="FE3224" s="5" t="s">
        <v>240</v>
      </c>
      <c r="FF3224" s="5" t="s">
        <v>240</v>
      </c>
      <c r="FG3224" s="5" t="s">
        <v>240</v>
      </c>
      <c r="FH3224" s="5" t="s">
        <v>240</v>
      </c>
      <c r="FI3224" s="5" t="s">
        <v>240</v>
      </c>
      <c r="FJ3224" s="5" t="s">
        <v>240</v>
      </c>
      <c r="FK3224" s="5" t="s">
        <v>240</v>
      </c>
      <c r="FL3224" s="5" t="s">
        <v>240</v>
      </c>
      <c r="FM3224" s="5" t="s">
        <v>240</v>
      </c>
      <c r="FN3224" s="5" t="s">
        <v>240</v>
      </c>
      <c r="FO3224" s="5" t="s">
        <v>240</v>
      </c>
      <c r="FP3224" s="5" t="s">
        <v>240</v>
      </c>
      <c r="FQ3224" s="5" t="s">
        <v>240</v>
      </c>
      <c r="FR3224" s="5" t="s">
        <v>240</v>
      </c>
      <c r="FS3224" s="5" t="s">
        <v>240</v>
      </c>
      <c r="FT3224" s="5" t="s">
        <v>240</v>
      </c>
      <c r="FU3224" s="5" t="s">
        <v>240</v>
      </c>
      <c r="FV3224" s="5" t="s">
        <v>240</v>
      </c>
      <c r="FW3224" s="5" t="s">
        <v>240</v>
      </c>
      <c r="FX3224" s="5" t="s">
        <v>240</v>
      </c>
      <c r="FY3224" s="5" t="s">
        <v>240</v>
      </c>
      <c r="FZ3224" s="5" t="s">
        <v>240</v>
      </c>
      <c r="GA3224" s="5" t="s">
        <v>240</v>
      </c>
      <c r="GB3224" s="5" t="s">
        <v>240</v>
      </c>
      <c r="GC3224" s="5" t="s">
        <v>240</v>
      </c>
      <c r="GD3224" s="5" t="s">
        <v>240</v>
      </c>
      <c r="GE3224" s="5" t="s">
        <v>240</v>
      </c>
      <c r="GF3224" s="5" t="s">
        <v>240</v>
      </c>
      <c r="GG3224" s="5" t="s">
        <v>240</v>
      </c>
      <c r="GH3224" s="5" t="s">
        <v>240</v>
      </c>
      <c r="GI3224" s="5" t="s">
        <v>240</v>
      </c>
      <c r="GJ3224" s="5" t="s">
        <v>240</v>
      </c>
      <c r="GK3224" s="5" t="s">
        <v>240</v>
      </c>
      <c r="GL3224" s="5" t="s">
        <v>240</v>
      </c>
      <c r="GM3224" s="5" t="s">
        <v>240</v>
      </c>
      <c r="GN3224" s="5" t="s">
        <v>240</v>
      </c>
      <c r="GO3224" s="5" t="s">
        <v>240</v>
      </c>
      <c r="GP3224" s="5" t="s">
        <v>240</v>
      </c>
      <c r="GQ3224" s="5" t="s">
        <v>240</v>
      </c>
      <c r="GR3224" s="5" t="s">
        <v>240</v>
      </c>
      <c r="GS3224" s="5" t="s">
        <v>240</v>
      </c>
      <c r="GT3224" s="5" t="s">
        <v>240</v>
      </c>
      <c r="GU3224" s="5" t="s">
        <v>240</v>
      </c>
      <c r="GV3224" s="5" t="s">
        <v>240</v>
      </c>
      <c r="GW3224" s="5" t="s">
        <v>240</v>
      </c>
      <c r="GX3224" s="5" t="s">
        <v>240</v>
      </c>
      <c r="GY3224" s="5" t="s">
        <v>240</v>
      </c>
      <c r="GZ3224" s="5" t="s">
        <v>240</v>
      </c>
      <c r="HA3224" s="5" t="s">
        <v>240</v>
      </c>
      <c r="HB3224" s="5" t="s">
        <v>240</v>
      </c>
      <c r="HC3224" s="5" t="s">
        <v>240</v>
      </c>
      <c r="HD3224" s="5" t="s">
        <v>240</v>
      </c>
      <c r="HE3224" s="5" t="s">
        <v>240</v>
      </c>
      <c r="HF3224" s="5" t="s">
        <v>240</v>
      </c>
      <c r="HG3224" s="5" t="s">
        <v>240</v>
      </c>
      <c r="HH3224" s="5" t="s">
        <v>240</v>
      </c>
      <c r="HI3224" s="5" t="s">
        <v>240</v>
      </c>
      <c r="HJ3224" s="5" t="s">
        <v>240</v>
      </c>
      <c r="HK3224" s="5" t="s">
        <v>240</v>
      </c>
      <c r="HL3224" s="5" t="s">
        <v>240</v>
      </c>
      <c r="HM3224" s="5" t="s">
        <v>240</v>
      </c>
      <c r="HN3224" s="5" t="s">
        <v>240</v>
      </c>
      <c r="HO3224" s="5" t="s">
        <v>312</v>
      </c>
      <c r="HP3224" s="5" t="s">
        <v>240</v>
      </c>
      <c r="HQ3224" s="5" t="s">
        <v>240</v>
      </c>
      <c r="HR3224" s="5" t="s">
        <v>240</v>
      </c>
      <c r="HS3224" s="5" t="s">
        <v>240</v>
      </c>
      <c r="HT3224" s="5" t="s">
        <v>240</v>
      </c>
      <c r="HU3224" s="5" t="s">
        <v>240</v>
      </c>
      <c r="HV3224" s="5" t="s">
        <v>240</v>
      </c>
      <c r="HW3224" s="5" t="s">
        <v>240</v>
      </c>
      <c r="HX3224" s="5" t="s">
        <v>240</v>
      </c>
      <c r="HY3224" s="5" t="s">
        <v>240</v>
      </c>
      <c r="HZ3224" s="5" t="s">
        <v>240</v>
      </c>
      <c r="IA3224" s="5" t="s">
        <v>240</v>
      </c>
      <c r="IB3224" s="5" t="s">
        <v>240</v>
      </c>
      <c r="IC3224" s="5" t="s">
        <v>240</v>
      </c>
      <c r="ID3224" s="5" t="s">
        <v>240</v>
      </c>
      <c r="IE3224" s="5" t="s">
        <v>240</v>
      </c>
      <c r="IF3224" s="5" t="s">
        <v>240</v>
      </c>
    </row>
    <row r="3225" spans="1:240" x14ac:dyDescent="0.4">
      <c r="A3225" s="5">
        <v>8589</v>
      </c>
      <c r="B3225" s="5">
        <v>1</v>
      </c>
      <c r="C3225" s="5">
        <v>2</v>
      </c>
      <c r="D3225" s="5" t="s">
        <v>240</v>
      </c>
      <c r="E3225" s="5" t="s">
        <v>245</v>
      </c>
      <c r="F3225" s="5" t="s">
        <v>254</v>
      </c>
      <c r="G3225" s="5" t="s">
        <v>6761</v>
      </c>
      <c r="I3225" s="5" t="s">
        <v>6861</v>
      </c>
      <c r="J3225" s="7">
        <f>1</f>
        <v>1</v>
      </c>
      <c r="K3225" s="5" t="s">
        <v>6749</v>
      </c>
      <c r="L3225" s="7">
        <f>364000</f>
        <v>364000</v>
      </c>
      <c r="M3225" s="7">
        <f>364000</f>
        <v>364000</v>
      </c>
      <c r="N3225" s="5" t="s">
        <v>242</v>
      </c>
      <c r="O3225" s="5">
        <v>1</v>
      </c>
      <c r="P3225" s="5" t="s">
        <v>294</v>
      </c>
      <c r="Q3225" s="5" t="s">
        <v>3678</v>
      </c>
      <c r="R3225" s="5" t="s">
        <v>240</v>
      </c>
      <c r="S3225" s="5" t="s">
        <v>240</v>
      </c>
      <c r="T3225" s="5" t="s">
        <v>243</v>
      </c>
      <c r="U3225" s="5" t="s">
        <v>244</v>
      </c>
      <c r="V3225" s="5" t="s">
        <v>240</v>
      </c>
      <c r="W3225" s="5" t="s">
        <v>240</v>
      </c>
      <c r="X3225" s="5" t="s">
        <v>240</v>
      </c>
      <c r="Y3225" s="5" t="s">
        <v>240</v>
      </c>
      <c r="Z3225" s="6" t="s">
        <v>298</v>
      </c>
      <c r="AA3225" s="6" t="s">
        <v>240</v>
      </c>
      <c r="AB3225" s="6" t="s">
        <v>240</v>
      </c>
      <c r="AC3225" s="5" t="s">
        <v>240</v>
      </c>
      <c r="AD3225" s="6" t="s">
        <v>240</v>
      </c>
      <c r="AE3225" s="6" t="s">
        <v>299</v>
      </c>
      <c r="AF3225" s="5" t="s">
        <v>248</v>
      </c>
      <c r="AG3225" s="5" t="s">
        <v>249</v>
      </c>
      <c r="AH3225" s="5" t="s">
        <v>240</v>
      </c>
      <c r="AI3225" s="5" t="s">
        <v>240</v>
      </c>
      <c r="AJ3225" s="5" t="s">
        <v>240</v>
      </c>
      <c r="AK3225" s="5" t="s">
        <v>240</v>
      </c>
      <c r="AL3225" s="5" t="s">
        <v>240</v>
      </c>
      <c r="AM3225" s="5" t="s">
        <v>240</v>
      </c>
      <c r="AN3225" s="5" t="s">
        <v>240</v>
      </c>
      <c r="AO3225" s="5" t="s">
        <v>240</v>
      </c>
      <c r="AP3225" s="6" t="s">
        <v>240</v>
      </c>
      <c r="AQ3225" s="6" t="s">
        <v>240</v>
      </c>
      <c r="AR3225" s="6" t="s">
        <v>240</v>
      </c>
      <c r="AS3225" s="6" t="s">
        <v>240</v>
      </c>
      <c r="AT3225" s="5" t="s">
        <v>240</v>
      </c>
      <c r="AU3225" s="5" t="s">
        <v>729</v>
      </c>
      <c r="AV3225" s="5" t="s">
        <v>729</v>
      </c>
      <c r="AW3225" s="5" t="s">
        <v>251</v>
      </c>
      <c r="AX3225" s="5" t="s">
        <v>252</v>
      </c>
      <c r="AY3225" s="5" t="s">
        <v>253</v>
      </c>
      <c r="AZ3225" s="5" t="s">
        <v>240</v>
      </c>
      <c r="BA3225" s="5" t="s">
        <v>255</v>
      </c>
      <c r="BB3225" s="5" t="s">
        <v>731</v>
      </c>
      <c r="BD3225" s="5" t="s">
        <v>240</v>
      </c>
      <c r="BF3225" s="5" t="s">
        <v>732</v>
      </c>
      <c r="BG3225" s="6" t="s">
        <v>733</v>
      </c>
      <c r="BH3225" s="5" t="s">
        <v>734</v>
      </c>
      <c r="BI3225" s="5" t="s">
        <v>734</v>
      </c>
      <c r="BJ3225" s="5" t="s">
        <v>240</v>
      </c>
      <c r="BK3225" s="7">
        <f>1</f>
        <v>1</v>
      </c>
      <c r="BL3225" s="7">
        <f>1</f>
        <v>1</v>
      </c>
      <c r="BM3225" s="5" t="s">
        <v>258</v>
      </c>
      <c r="BN3225" s="5" t="s">
        <v>259</v>
      </c>
      <c r="BO3225" s="5" t="s">
        <v>240</v>
      </c>
      <c r="BP3225" s="5" t="s">
        <v>240</v>
      </c>
      <c r="BQ3225" s="5" t="s">
        <v>240</v>
      </c>
      <c r="BR3225" s="5" t="s">
        <v>240</v>
      </c>
      <c r="BS3225" s="5" t="s">
        <v>240</v>
      </c>
      <c r="BT3225" s="5" t="s">
        <v>240</v>
      </c>
      <c r="BU3225" s="5" t="s">
        <v>240</v>
      </c>
      <c r="BV3225" s="5" t="s">
        <v>240</v>
      </c>
      <c r="BW3225" s="6" t="s">
        <v>240</v>
      </c>
      <c r="BX3225" s="5" t="s">
        <v>240</v>
      </c>
      <c r="BY3225" s="5" t="s">
        <v>240</v>
      </c>
      <c r="BZ3225" s="5" t="s">
        <v>240</v>
      </c>
      <c r="CA3225" s="5" t="s">
        <v>259</v>
      </c>
      <c r="CB3225" s="5" t="s">
        <v>240</v>
      </c>
      <c r="CC3225" s="5" t="s">
        <v>240</v>
      </c>
      <c r="CD3225" s="5" t="s">
        <v>240</v>
      </c>
      <c r="CE3225" s="5" t="s">
        <v>240</v>
      </c>
      <c r="CF3225" s="5" t="s">
        <v>240</v>
      </c>
      <c r="CG3225" s="5" t="s">
        <v>304</v>
      </c>
      <c r="CH3225" s="5" t="s">
        <v>305</v>
      </c>
      <c r="CI3225" s="5" t="s">
        <v>240</v>
      </c>
      <c r="CK3225" s="5" t="s">
        <v>3681</v>
      </c>
      <c r="CL3225" s="6" t="s">
        <v>261</v>
      </c>
      <c r="CM3225" s="5" t="s">
        <v>262</v>
      </c>
      <c r="CN3225" s="5" t="s">
        <v>263</v>
      </c>
      <c r="CO3225" s="5" t="s">
        <v>264</v>
      </c>
      <c r="CP3225" s="5" t="s">
        <v>240</v>
      </c>
      <c r="CQ3225" s="5">
        <v>0</v>
      </c>
      <c r="CR3225" s="5" t="s">
        <v>735</v>
      </c>
      <c r="CS3225" s="5" t="s">
        <v>307</v>
      </c>
      <c r="CT3225" s="5" t="s">
        <v>307</v>
      </c>
      <c r="CU3225" s="5" t="s">
        <v>260</v>
      </c>
      <c r="CV3225" s="5" t="s">
        <v>612</v>
      </c>
      <c r="CW3225" s="8">
        <f>1</f>
        <v>1</v>
      </c>
      <c r="CX3225" s="7">
        <f>1</f>
        <v>1</v>
      </c>
      <c r="CY3225" s="7">
        <f>0</f>
        <v>0</v>
      </c>
      <c r="DA3225" s="7">
        <f>1</f>
        <v>1</v>
      </c>
      <c r="DB3225" s="7" t="s">
        <v>240</v>
      </c>
      <c r="DC3225" s="5" t="s">
        <v>240</v>
      </c>
      <c r="DD3225" s="5" t="s">
        <v>240</v>
      </c>
      <c r="DE3225" s="5" t="s">
        <v>240</v>
      </c>
      <c r="DF3225" s="5" t="s">
        <v>240</v>
      </c>
      <c r="DG3225" s="7">
        <f>0</f>
        <v>0</v>
      </c>
      <c r="DI3225" s="5" t="s">
        <v>240</v>
      </c>
      <c r="DJ3225" s="5" t="s">
        <v>240</v>
      </c>
      <c r="DK3225" s="5" t="s">
        <v>240</v>
      </c>
      <c r="DL3225" s="5" t="s">
        <v>240</v>
      </c>
      <c r="DM3225" s="5" t="s">
        <v>240</v>
      </c>
      <c r="DN3225" s="5" t="s">
        <v>240</v>
      </c>
      <c r="DO3225" s="7" t="s">
        <v>240</v>
      </c>
      <c r="DP3225" s="5" t="s">
        <v>240</v>
      </c>
      <c r="DQ3225" s="5" t="s">
        <v>240</v>
      </c>
      <c r="DR3225" s="5" t="s">
        <v>731</v>
      </c>
      <c r="DS3225" s="5" t="s">
        <v>731</v>
      </c>
      <c r="DT3225" s="5" t="s">
        <v>240</v>
      </c>
      <c r="DU3225" s="5" t="s">
        <v>240</v>
      </c>
      <c r="DV3225" s="5" t="s">
        <v>3683</v>
      </c>
      <c r="DW3225" s="5" t="s">
        <v>3993</v>
      </c>
      <c r="DX3225" s="5" t="s">
        <v>240</v>
      </c>
      <c r="DY3225" s="5" t="s">
        <v>240</v>
      </c>
      <c r="DZ3225" s="5" t="s">
        <v>240</v>
      </c>
      <c r="EA3225" s="5" t="s">
        <v>240</v>
      </c>
      <c r="EB3225" s="5" t="s">
        <v>240</v>
      </c>
      <c r="EC3225" s="5" t="s">
        <v>240</v>
      </c>
      <c r="ED3225" s="5" t="s">
        <v>240</v>
      </c>
      <c r="EE3225" s="5" t="s">
        <v>240</v>
      </c>
      <c r="EF3225" s="5" t="s">
        <v>240</v>
      </c>
      <c r="EG3225" s="5" t="s">
        <v>240</v>
      </c>
      <c r="EH3225" s="5" t="s">
        <v>240</v>
      </c>
      <c r="EI3225" s="5" t="s">
        <v>240</v>
      </c>
      <c r="EJ3225" s="5" t="s">
        <v>240</v>
      </c>
      <c r="EK3225" s="5" t="s">
        <v>240</v>
      </c>
      <c r="EL3225" s="5" t="s">
        <v>240</v>
      </c>
      <c r="EM3225" s="5" t="s">
        <v>240</v>
      </c>
      <c r="EN3225" s="5" t="s">
        <v>240</v>
      </c>
      <c r="EO3225" s="5" t="s">
        <v>240</v>
      </c>
      <c r="EP3225" s="5" t="s">
        <v>240</v>
      </c>
      <c r="EQ3225" s="5" t="s">
        <v>240</v>
      </c>
      <c r="ER3225" s="5" t="s">
        <v>240</v>
      </c>
      <c r="ES3225" s="5" t="s">
        <v>240</v>
      </c>
      <c r="ET3225" s="5" t="s">
        <v>240</v>
      </c>
      <c r="EU3225" s="5" t="s">
        <v>240</v>
      </c>
      <c r="EV3225" s="5" t="s">
        <v>240</v>
      </c>
      <c r="EW3225" s="5" t="s">
        <v>240</v>
      </c>
      <c r="EX3225" s="5" t="s">
        <v>240</v>
      </c>
      <c r="EY3225" s="5" t="s">
        <v>240</v>
      </c>
      <c r="EZ3225" s="5" t="s">
        <v>240</v>
      </c>
      <c r="FA3225" s="5" t="s">
        <v>240</v>
      </c>
      <c r="FB3225" s="5" t="s">
        <v>240</v>
      </c>
      <c r="FC3225" s="5" t="s">
        <v>240</v>
      </c>
      <c r="FD3225" s="5" t="s">
        <v>240</v>
      </c>
      <c r="FE3225" s="5" t="s">
        <v>240</v>
      </c>
      <c r="FF3225" s="5" t="s">
        <v>240</v>
      </c>
      <c r="FG3225" s="5" t="s">
        <v>240</v>
      </c>
      <c r="FH3225" s="5" t="s">
        <v>240</v>
      </c>
      <c r="FI3225" s="5" t="s">
        <v>240</v>
      </c>
      <c r="FJ3225" s="5" t="s">
        <v>240</v>
      </c>
      <c r="FK3225" s="5" t="s">
        <v>240</v>
      </c>
      <c r="FL3225" s="5" t="s">
        <v>240</v>
      </c>
      <c r="FM3225" s="5" t="s">
        <v>240</v>
      </c>
      <c r="FN3225" s="5" t="s">
        <v>240</v>
      </c>
      <c r="FO3225" s="5" t="s">
        <v>240</v>
      </c>
      <c r="FP3225" s="5" t="s">
        <v>240</v>
      </c>
      <c r="FQ3225" s="5" t="s">
        <v>240</v>
      </c>
      <c r="FR3225" s="5" t="s">
        <v>240</v>
      </c>
      <c r="FS3225" s="5" t="s">
        <v>240</v>
      </c>
      <c r="FT3225" s="5" t="s">
        <v>240</v>
      </c>
      <c r="FU3225" s="5" t="s">
        <v>240</v>
      </c>
      <c r="FV3225" s="5" t="s">
        <v>240</v>
      </c>
      <c r="FW3225" s="5" t="s">
        <v>240</v>
      </c>
      <c r="FX3225" s="5" t="s">
        <v>240</v>
      </c>
      <c r="FY3225" s="5" t="s">
        <v>240</v>
      </c>
      <c r="FZ3225" s="5" t="s">
        <v>240</v>
      </c>
      <c r="GA3225" s="5" t="s">
        <v>240</v>
      </c>
      <c r="GB3225" s="5" t="s">
        <v>240</v>
      </c>
      <c r="GC3225" s="5" t="s">
        <v>240</v>
      </c>
      <c r="GD3225" s="5" t="s">
        <v>240</v>
      </c>
      <c r="GE3225" s="5" t="s">
        <v>240</v>
      </c>
      <c r="GF3225" s="5" t="s">
        <v>240</v>
      </c>
      <c r="GG3225" s="5" t="s">
        <v>240</v>
      </c>
      <c r="GH3225" s="5" t="s">
        <v>240</v>
      </c>
      <c r="GI3225" s="5" t="s">
        <v>240</v>
      </c>
      <c r="GJ3225" s="5" t="s">
        <v>240</v>
      </c>
      <c r="GK3225" s="5" t="s">
        <v>240</v>
      </c>
      <c r="GL3225" s="5" t="s">
        <v>240</v>
      </c>
      <c r="GM3225" s="5" t="s">
        <v>240</v>
      </c>
      <c r="GN3225" s="5" t="s">
        <v>240</v>
      </c>
      <c r="GO3225" s="5" t="s">
        <v>240</v>
      </c>
      <c r="GP3225" s="5" t="s">
        <v>240</v>
      </c>
      <c r="GQ3225" s="5" t="s">
        <v>240</v>
      </c>
      <c r="GR3225" s="5" t="s">
        <v>240</v>
      </c>
      <c r="GS3225" s="5" t="s">
        <v>240</v>
      </c>
      <c r="GT3225" s="5" t="s">
        <v>240</v>
      </c>
      <c r="GU3225" s="5" t="s">
        <v>240</v>
      </c>
      <c r="GV3225" s="5" t="s">
        <v>240</v>
      </c>
      <c r="GW3225" s="5" t="s">
        <v>240</v>
      </c>
      <c r="GX3225" s="5" t="s">
        <v>240</v>
      </c>
      <c r="GY3225" s="5" t="s">
        <v>240</v>
      </c>
      <c r="GZ3225" s="5" t="s">
        <v>240</v>
      </c>
      <c r="HA3225" s="5" t="s">
        <v>240</v>
      </c>
      <c r="HB3225" s="5" t="s">
        <v>240</v>
      </c>
      <c r="HC3225" s="5" t="s">
        <v>240</v>
      </c>
      <c r="HD3225" s="5" t="s">
        <v>240</v>
      </c>
      <c r="HE3225" s="5" t="s">
        <v>240</v>
      </c>
      <c r="HF3225" s="5" t="s">
        <v>240</v>
      </c>
      <c r="HG3225" s="5" t="s">
        <v>240</v>
      </c>
      <c r="HH3225" s="5" t="s">
        <v>240</v>
      </c>
      <c r="HI3225" s="5" t="s">
        <v>240</v>
      </c>
      <c r="HJ3225" s="5" t="s">
        <v>240</v>
      </c>
      <c r="HK3225" s="5" t="s">
        <v>240</v>
      </c>
      <c r="HL3225" s="5" t="s">
        <v>240</v>
      </c>
      <c r="HM3225" s="5" t="s">
        <v>240</v>
      </c>
      <c r="HN3225" s="5" t="s">
        <v>240</v>
      </c>
      <c r="HO3225" s="5" t="s">
        <v>312</v>
      </c>
      <c r="HP3225" s="5" t="s">
        <v>240</v>
      </c>
      <c r="HQ3225" s="5" t="s">
        <v>240</v>
      </c>
      <c r="HR3225" s="5" t="s">
        <v>240</v>
      </c>
      <c r="HS3225" s="5" t="s">
        <v>240</v>
      </c>
      <c r="HT3225" s="5" t="s">
        <v>240</v>
      </c>
      <c r="HU3225" s="5" t="s">
        <v>240</v>
      </c>
      <c r="HV3225" s="5" t="s">
        <v>240</v>
      </c>
      <c r="HW3225" s="5" t="s">
        <v>240</v>
      </c>
      <c r="HX3225" s="5" t="s">
        <v>240</v>
      </c>
      <c r="HY3225" s="5" t="s">
        <v>240</v>
      </c>
      <c r="HZ3225" s="5" t="s">
        <v>240</v>
      </c>
      <c r="IA3225" s="5" t="s">
        <v>240</v>
      </c>
      <c r="IB3225" s="5" t="s">
        <v>240</v>
      </c>
      <c r="IC3225" s="5" t="s">
        <v>240</v>
      </c>
      <c r="ID3225" s="5" t="s">
        <v>240</v>
      </c>
      <c r="IE3225" s="5" t="s">
        <v>240</v>
      </c>
      <c r="IF3225" s="5" t="s">
        <v>240</v>
      </c>
    </row>
    <row r="3226" spans="1:240" x14ac:dyDescent="0.4">
      <c r="A3226" s="5">
        <v>8590</v>
      </c>
      <c r="B3226" s="5">
        <v>1</v>
      </c>
      <c r="C3226" s="5">
        <v>2</v>
      </c>
      <c r="D3226" s="5" t="s">
        <v>240</v>
      </c>
      <c r="E3226" s="5" t="s">
        <v>245</v>
      </c>
      <c r="F3226" s="5" t="s">
        <v>254</v>
      </c>
      <c r="G3226" s="5" t="s">
        <v>6761</v>
      </c>
      <c r="H3226" s="6" t="s">
        <v>292</v>
      </c>
      <c r="I3226" s="5" t="s">
        <v>6782</v>
      </c>
      <c r="J3226" s="7">
        <f>1</f>
        <v>1</v>
      </c>
      <c r="K3226" s="5" t="s">
        <v>6749</v>
      </c>
      <c r="L3226" s="7">
        <f>576400</f>
        <v>576400</v>
      </c>
      <c r="M3226" s="7">
        <f>576400</f>
        <v>576400</v>
      </c>
      <c r="N3226" s="5" t="s">
        <v>242</v>
      </c>
      <c r="O3226" s="5">
        <v>1</v>
      </c>
      <c r="P3226" s="5" t="s">
        <v>294</v>
      </c>
      <c r="Q3226" s="5" t="s">
        <v>266</v>
      </c>
      <c r="R3226" s="5" t="s">
        <v>240</v>
      </c>
      <c r="S3226" s="5" t="s">
        <v>240</v>
      </c>
      <c r="T3226" s="5" t="s">
        <v>296</v>
      </c>
      <c r="U3226" s="5" t="s">
        <v>244</v>
      </c>
      <c r="V3226" s="5" t="s">
        <v>240</v>
      </c>
      <c r="Y3226" s="5" t="s">
        <v>240</v>
      </c>
      <c r="Z3226" s="6" t="s">
        <v>298</v>
      </c>
      <c r="AB3226" s="6" t="s">
        <v>240</v>
      </c>
      <c r="AE3226" s="6" t="s">
        <v>299</v>
      </c>
      <c r="AF3226" s="5" t="s">
        <v>248</v>
      </c>
      <c r="AG3226" s="5" t="s">
        <v>249</v>
      </c>
      <c r="AW3226" s="5" t="s">
        <v>251</v>
      </c>
      <c r="AX3226" s="5" t="s">
        <v>240</v>
      </c>
      <c r="AY3226" s="5" t="s">
        <v>253</v>
      </c>
      <c r="AZ3226" s="5" t="s">
        <v>240</v>
      </c>
      <c r="BA3226" s="5" t="s">
        <v>255</v>
      </c>
      <c r="BB3226" s="5" t="s">
        <v>240</v>
      </c>
      <c r="BD3226" s="5" t="s">
        <v>240</v>
      </c>
      <c r="BF3226" s="5" t="s">
        <v>301</v>
      </c>
      <c r="BG3226" s="6" t="s">
        <v>299</v>
      </c>
      <c r="BH3226" s="5" t="s">
        <v>302</v>
      </c>
      <c r="BI3226" s="5" t="s">
        <v>303</v>
      </c>
      <c r="BJ3226" s="5" t="s">
        <v>240</v>
      </c>
      <c r="BK3226" s="8">
        <f>0</f>
        <v>0</v>
      </c>
      <c r="BL3226" s="7">
        <f>0</f>
        <v>0</v>
      </c>
      <c r="BM3226" s="5" t="s">
        <v>258</v>
      </c>
      <c r="BN3226" s="5" t="s">
        <v>259</v>
      </c>
      <c r="CB3226" s="5" t="s">
        <v>240</v>
      </c>
      <c r="CC3226" s="5" t="s">
        <v>240</v>
      </c>
      <c r="CG3226" s="5" t="s">
        <v>304</v>
      </c>
      <c r="CH3226" s="5" t="s">
        <v>305</v>
      </c>
      <c r="CI3226" s="5" t="s">
        <v>240</v>
      </c>
      <c r="CL3226" s="6" t="s">
        <v>261</v>
      </c>
      <c r="CM3226" s="5" t="s">
        <v>240</v>
      </c>
      <c r="CN3226" s="5" t="s">
        <v>263</v>
      </c>
      <c r="CO3226" s="5" t="s">
        <v>240</v>
      </c>
      <c r="CP3226" s="5" t="s">
        <v>240</v>
      </c>
      <c r="CQ3226" s="5">
        <v>0</v>
      </c>
      <c r="CR3226" s="5" t="s">
        <v>306</v>
      </c>
      <c r="CS3226" s="5" t="s">
        <v>307</v>
      </c>
      <c r="CT3226" s="5" t="s">
        <v>307</v>
      </c>
      <c r="CU3226" s="5" t="s">
        <v>260</v>
      </c>
      <c r="CX3226" s="7">
        <f>1</f>
        <v>1</v>
      </c>
      <c r="CY3226" s="7">
        <f>0</f>
        <v>0</v>
      </c>
      <c r="DA3226" s="7">
        <f>0</f>
        <v>0</v>
      </c>
      <c r="DC3226" s="5" t="s">
        <v>309</v>
      </c>
      <c r="DD3226" s="5" t="s">
        <v>240</v>
      </c>
      <c r="DF3226" s="5" t="s">
        <v>309</v>
      </c>
      <c r="DG3226" s="7">
        <f>346</f>
        <v>346</v>
      </c>
      <c r="DI3226" s="5" t="s">
        <v>240</v>
      </c>
      <c r="DJ3226" s="5" t="s">
        <v>240</v>
      </c>
      <c r="DK3226" s="5" t="s">
        <v>240</v>
      </c>
      <c r="DL3226" s="5" t="s">
        <v>240</v>
      </c>
      <c r="DP3226" s="5" t="s">
        <v>240</v>
      </c>
      <c r="DQ3226" s="5" t="s">
        <v>240</v>
      </c>
      <c r="DR3226" s="5" t="s">
        <v>240</v>
      </c>
      <c r="DS3226" s="5" t="s">
        <v>240</v>
      </c>
      <c r="DV3226" s="5" t="s">
        <v>310</v>
      </c>
      <c r="DW3226" s="5" t="s">
        <v>2975</v>
      </c>
      <c r="HO3226" s="5" t="s">
        <v>312</v>
      </c>
    </row>
    <row r="3227" spans="1:240" x14ac:dyDescent="0.4">
      <c r="A3227" s="5">
        <v>8591</v>
      </c>
      <c r="B3227" s="5">
        <v>1</v>
      </c>
      <c r="C3227" s="5">
        <v>2</v>
      </c>
      <c r="D3227" s="5" t="s">
        <v>240</v>
      </c>
      <c r="E3227" s="5" t="s">
        <v>245</v>
      </c>
      <c r="F3227" s="5" t="s">
        <v>254</v>
      </c>
      <c r="G3227" s="5" t="s">
        <v>6761</v>
      </c>
      <c r="I3227" s="5" t="s">
        <v>6787</v>
      </c>
      <c r="J3227" s="7">
        <f>1</f>
        <v>1</v>
      </c>
      <c r="K3227" s="5" t="s">
        <v>6749</v>
      </c>
      <c r="L3227" s="7">
        <f>1246300</f>
        <v>1246300</v>
      </c>
      <c r="M3227" s="7">
        <f>1246300</f>
        <v>1246300</v>
      </c>
      <c r="N3227" s="5" t="s">
        <v>242</v>
      </c>
      <c r="O3227" s="5">
        <v>1</v>
      </c>
      <c r="P3227" s="5" t="s">
        <v>294</v>
      </c>
      <c r="Q3227" s="5" t="s">
        <v>3678</v>
      </c>
      <c r="R3227" s="5" t="s">
        <v>240</v>
      </c>
      <c r="S3227" s="5" t="s">
        <v>240</v>
      </c>
      <c r="T3227" s="5" t="s">
        <v>243</v>
      </c>
      <c r="U3227" s="5" t="s">
        <v>244</v>
      </c>
      <c r="V3227" s="5" t="s">
        <v>240</v>
      </c>
      <c r="W3227" s="5" t="s">
        <v>240</v>
      </c>
      <c r="X3227" s="5" t="s">
        <v>240</v>
      </c>
      <c r="Y3227" s="5" t="s">
        <v>240</v>
      </c>
      <c r="Z3227" s="6" t="s">
        <v>298</v>
      </c>
      <c r="AA3227" s="6" t="s">
        <v>240</v>
      </c>
      <c r="AB3227" s="6" t="s">
        <v>240</v>
      </c>
      <c r="AC3227" s="5" t="s">
        <v>240</v>
      </c>
      <c r="AD3227" s="6" t="s">
        <v>240</v>
      </c>
      <c r="AE3227" s="6" t="s">
        <v>299</v>
      </c>
      <c r="AF3227" s="5" t="s">
        <v>248</v>
      </c>
      <c r="AG3227" s="5" t="s">
        <v>249</v>
      </c>
      <c r="AH3227" s="5" t="s">
        <v>240</v>
      </c>
      <c r="AI3227" s="5" t="s">
        <v>240</v>
      </c>
      <c r="AJ3227" s="5" t="s">
        <v>240</v>
      </c>
      <c r="AK3227" s="5" t="s">
        <v>240</v>
      </c>
      <c r="AL3227" s="5" t="s">
        <v>240</v>
      </c>
      <c r="AM3227" s="5" t="s">
        <v>240</v>
      </c>
      <c r="AN3227" s="5" t="s">
        <v>240</v>
      </c>
      <c r="AO3227" s="5" t="s">
        <v>240</v>
      </c>
      <c r="AP3227" s="6" t="s">
        <v>240</v>
      </c>
      <c r="AQ3227" s="6" t="s">
        <v>240</v>
      </c>
      <c r="AR3227" s="6" t="s">
        <v>240</v>
      </c>
      <c r="AS3227" s="6" t="s">
        <v>240</v>
      </c>
      <c r="AT3227" s="5" t="s">
        <v>240</v>
      </c>
      <c r="AU3227" s="5" t="s">
        <v>729</v>
      </c>
      <c r="AV3227" s="5" t="s">
        <v>729</v>
      </c>
      <c r="AW3227" s="5" t="s">
        <v>251</v>
      </c>
      <c r="AX3227" s="5" t="s">
        <v>252</v>
      </c>
      <c r="AY3227" s="5" t="s">
        <v>253</v>
      </c>
      <c r="AZ3227" s="5" t="s">
        <v>240</v>
      </c>
      <c r="BA3227" s="5" t="s">
        <v>255</v>
      </c>
      <c r="BB3227" s="5" t="s">
        <v>731</v>
      </c>
      <c r="BD3227" s="5" t="s">
        <v>240</v>
      </c>
      <c r="BF3227" s="5" t="s">
        <v>732</v>
      </c>
      <c r="BG3227" s="6" t="s">
        <v>733</v>
      </c>
      <c r="BH3227" s="5" t="s">
        <v>734</v>
      </c>
      <c r="BI3227" s="5" t="s">
        <v>734</v>
      </c>
      <c r="BJ3227" s="5" t="s">
        <v>240</v>
      </c>
      <c r="BK3227" s="7">
        <f>1</f>
        <v>1</v>
      </c>
      <c r="BL3227" s="7">
        <f>1</f>
        <v>1</v>
      </c>
      <c r="BM3227" s="5" t="s">
        <v>258</v>
      </c>
      <c r="BN3227" s="5" t="s">
        <v>259</v>
      </c>
      <c r="BO3227" s="5" t="s">
        <v>240</v>
      </c>
      <c r="BP3227" s="5" t="s">
        <v>240</v>
      </c>
      <c r="BQ3227" s="5" t="s">
        <v>240</v>
      </c>
      <c r="BR3227" s="5" t="s">
        <v>240</v>
      </c>
      <c r="BS3227" s="5" t="s">
        <v>240</v>
      </c>
      <c r="BT3227" s="5" t="s">
        <v>240</v>
      </c>
      <c r="BU3227" s="5" t="s">
        <v>240</v>
      </c>
      <c r="BV3227" s="5" t="s">
        <v>240</v>
      </c>
      <c r="BW3227" s="6" t="s">
        <v>240</v>
      </c>
      <c r="BX3227" s="5" t="s">
        <v>240</v>
      </c>
      <c r="BY3227" s="5" t="s">
        <v>240</v>
      </c>
      <c r="BZ3227" s="5" t="s">
        <v>240</v>
      </c>
      <c r="CA3227" s="5" t="s">
        <v>259</v>
      </c>
      <c r="CB3227" s="5" t="s">
        <v>240</v>
      </c>
      <c r="CC3227" s="5" t="s">
        <v>240</v>
      </c>
      <c r="CD3227" s="5" t="s">
        <v>240</v>
      </c>
      <c r="CE3227" s="5" t="s">
        <v>240</v>
      </c>
      <c r="CF3227" s="5" t="s">
        <v>240</v>
      </c>
      <c r="CG3227" s="5" t="s">
        <v>304</v>
      </c>
      <c r="CH3227" s="5" t="s">
        <v>305</v>
      </c>
      <c r="CI3227" s="5" t="s">
        <v>240</v>
      </c>
      <c r="CK3227" s="5" t="s">
        <v>3681</v>
      </c>
      <c r="CL3227" s="6" t="s">
        <v>261</v>
      </c>
      <c r="CM3227" s="5" t="s">
        <v>262</v>
      </c>
      <c r="CN3227" s="5" t="s">
        <v>263</v>
      </c>
      <c r="CO3227" s="5" t="s">
        <v>264</v>
      </c>
      <c r="CP3227" s="5" t="s">
        <v>240</v>
      </c>
      <c r="CQ3227" s="5">
        <v>0</v>
      </c>
      <c r="CR3227" s="5" t="s">
        <v>735</v>
      </c>
      <c r="CS3227" s="5" t="s">
        <v>307</v>
      </c>
      <c r="CT3227" s="5" t="s">
        <v>307</v>
      </c>
      <c r="CU3227" s="5" t="s">
        <v>260</v>
      </c>
      <c r="CV3227" s="5" t="s">
        <v>612</v>
      </c>
      <c r="CW3227" s="8">
        <f>1</f>
        <v>1</v>
      </c>
      <c r="CX3227" s="7">
        <f>1</f>
        <v>1</v>
      </c>
      <c r="CY3227" s="7">
        <f>0</f>
        <v>0</v>
      </c>
      <c r="DA3227" s="7">
        <f>1</f>
        <v>1</v>
      </c>
      <c r="DB3227" s="7" t="s">
        <v>240</v>
      </c>
      <c r="DC3227" s="5" t="s">
        <v>240</v>
      </c>
      <c r="DD3227" s="5" t="s">
        <v>240</v>
      </c>
      <c r="DE3227" s="5" t="s">
        <v>240</v>
      </c>
      <c r="DF3227" s="5" t="s">
        <v>240</v>
      </c>
      <c r="DG3227" s="7">
        <f>0</f>
        <v>0</v>
      </c>
      <c r="DI3227" s="5" t="s">
        <v>240</v>
      </c>
      <c r="DJ3227" s="5" t="s">
        <v>240</v>
      </c>
      <c r="DK3227" s="5" t="s">
        <v>240</v>
      </c>
      <c r="DL3227" s="5" t="s">
        <v>240</v>
      </c>
      <c r="DM3227" s="5" t="s">
        <v>240</v>
      </c>
      <c r="DN3227" s="5" t="s">
        <v>240</v>
      </c>
      <c r="DO3227" s="7" t="s">
        <v>240</v>
      </c>
      <c r="DP3227" s="5" t="s">
        <v>240</v>
      </c>
      <c r="DQ3227" s="5" t="s">
        <v>240</v>
      </c>
      <c r="DR3227" s="5" t="s">
        <v>731</v>
      </c>
      <c r="DS3227" s="5" t="s">
        <v>731</v>
      </c>
      <c r="DT3227" s="5" t="s">
        <v>240</v>
      </c>
      <c r="DU3227" s="5" t="s">
        <v>240</v>
      </c>
      <c r="DV3227" s="5" t="s">
        <v>3683</v>
      </c>
      <c r="DW3227" s="5" t="s">
        <v>795</v>
      </c>
      <c r="DX3227" s="5" t="s">
        <v>240</v>
      </c>
      <c r="DY3227" s="5" t="s">
        <v>240</v>
      </c>
      <c r="DZ3227" s="5" t="s">
        <v>240</v>
      </c>
      <c r="EA3227" s="5" t="s">
        <v>240</v>
      </c>
      <c r="EB3227" s="5" t="s">
        <v>240</v>
      </c>
      <c r="EC3227" s="5" t="s">
        <v>240</v>
      </c>
      <c r="ED3227" s="5" t="s">
        <v>240</v>
      </c>
      <c r="EE3227" s="5" t="s">
        <v>240</v>
      </c>
      <c r="EF3227" s="5" t="s">
        <v>240</v>
      </c>
      <c r="EG3227" s="5" t="s">
        <v>240</v>
      </c>
      <c r="EH3227" s="5" t="s">
        <v>240</v>
      </c>
      <c r="EI3227" s="5" t="s">
        <v>240</v>
      </c>
      <c r="EJ3227" s="5" t="s">
        <v>240</v>
      </c>
      <c r="EK3227" s="5" t="s">
        <v>240</v>
      </c>
      <c r="EL3227" s="5" t="s">
        <v>240</v>
      </c>
      <c r="EM3227" s="5" t="s">
        <v>240</v>
      </c>
      <c r="EN3227" s="5" t="s">
        <v>240</v>
      </c>
      <c r="EO3227" s="5" t="s">
        <v>240</v>
      </c>
      <c r="EP3227" s="5" t="s">
        <v>240</v>
      </c>
      <c r="EQ3227" s="5" t="s">
        <v>240</v>
      </c>
      <c r="ER3227" s="5" t="s">
        <v>240</v>
      </c>
      <c r="ES3227" s="5" t="s">
        <v>240</v>
      </c>
      <c r="ET3227" s="5" t="s">
        <v>240</v>
      </c>
      <c r="EU3227" s="5" t="s">
        <v>240</v>
      </c>
      <c r="EV3227" s="5" t="s">
        <v>240</v>
      </c>
      <c r="EW3227" s="5" t="s">
        <v>240</v>
      </c>
      <c r="EX3227" s="5" t="s">
        <v>240</v>
      </c>
      <c r="EY3227" s="5" t="s">
        <v>240</v>
      </c>
      <c r="EZ3227" s="5" t="s">
        <v>240</v>
      </c>
      <c r="FA3227" s="5" t="s">
        <v>240</v>
      </c>
      <c r="FB3227" s="5" t="s">
        <v>240</v>
      </c>
      <c r="FC3227" s="5" t="s">
        <v>240</v>
      </c>
      <c r="FD3227" s="5" t="s">
        <v>240</v>
      </c>
      <c r="FE3227" s="5" t="s">
        <v>240</v>
      </c>
      <c r="FF3227" s="5" t="s">
        <v>240</v>
      </c>
      <c r="FG3227" s="5" t="s">
        <v>240</v>
      </c>
      <c r="FH3227" s="5" t="s">
        <v>240</v>
      </c>
      <c r="FI3227" s="5" t="s">
        <v>240</v>
      </c>
      <c r="FJ3227" s="5" t="s">
        <v>240</v>
      </c>
      <c r="FK3227" s="5" t="s">
        <v>240</v>
      </c>
      <c r="FL3227" s="5" t="s">
        <v>240</v>
      </c>
      <c r="FM3227" s="5" t="s">
        <v>240</v>
      </c>
      <c r="FN3227" s="5" t="s">
        <v>240</v>
      </c>
      <c r="FO3227" s="5" t="s">
        <v>240</v>
      </c>
      <c r="FP3227" s="5" t="s">
        <v>240</v>
      </c>
      <c r="FQ3227" s="5" t="s">
        <v>240</v>
      </c>
      <c r="FR3227" s="5" t="s">
        <v>240</v>
      </c>
      <c r="FS3227" s="5" t="s">
        <v>240</v>
      </c>
      <c r="FT3227" s="5" t="s">
        <v>240</v>
      </c>
      <c r="FU3227" s="5" t="s">
        <v>240</v>
      </c>
      <c r="FV3227" s="5" t="s">
        <v>240</v>
      </c>
      <c r="FW3227" s="5" t="s">
        <v>240</v>
      </c>
      <c r="FX3227" s="5" t="s">
        <v>240</v>
      </c>
      <c r="FY3227" s="5" t="s">
        <v>240</v>
      </c>
      <c r="FZ3227" s="5" t="s">
        <v>240</v>
      </c>
      <c r="GA3227" s="5" t="s">
        <v>240</v>
      </c>
      <c r="GB3227" s="5" t="s">
        <v>240</v>
      </c>
      <c r="GC3227" s="5" t="s">
        <v>240</v>
      </c>
      <c r="GD3227" s="5" t="s">
        <v>240</v>
      </c>
      <c r="GE3227" s="5" t="s">
        <v>240</v>
      </c>
      <c r="GF3227" s="5" t="s">
        <v>240</v>
      </c>
      <c r="GG3227" s="5" t="s">
        <v>240</v>
      </c>
      <c r="GH3227" s="5" t="s">
        <v>240</v>
      </c>
      <c r="GI3227" s="5" t="s">
        <v>240</v>
      </c>
      <c r="GJ3227" s="5" t="s">
        <v>240</v>
      </c>
      <c r="GK3227" s="5" t="s">
        <v>240</v>
      </c>
      <c r="GL3227" s="5" t="s">
        <v>240</v>
      </c>
      <c r="GM3227" s="5" t="s">
        <v>240</v>
      </c>
      <c r="GN3227" s="5" t="s">
        <v>240</v>
      </c>
      <c r="GO3227" s="5" t="s">
        <v>240</v>
      </c>
      <c r="GP3227" s="5" t="s">
        <v>240</v>
      </c>
      <c r="GQ3227" s="5" t="s">
        <v>240</v>
      </c>
      <c r="GR3227" s="5" t="s">
        <v>240</v>
      </c>
      <c r="GS3227" s="5" t="s">
        <v>240</v>
      </c>
      <c r="GT3227" s="5" t="s">
        <v>240</v>
      </c>
      <c r="GU3227" s="5" t="s">
        <v>240</v>
      </c>
      <c r="GV3227" s="5" t="s">
        <v>240</v>
      </c>
      <c r="GW3227" s="5" t="s">
        <v>240</v>
      </c>
      <c r="GX3227" s="5" t="s">
        <v>240</v>
      </c>
      <c r="GY3227" s="5" t="s">
        <v>240</v>
      </c>
      <c r="GZ3227" s="5" t="s">
        <v>240</v>
      </c>
      <c r="HA3227" s="5" t="s">
        <v>240</v>
      </c>
      <c r="HB3227" s="5" t="s">
        <v>240</v>
      </c>
      <c r="HC3227" s="5" t="s">
        <v>240</v>
      </c>
      <c r="HD3227" s="5" t="s">
        <v>240</v>
      </c>
      <c r="HE3227" s="5" t="s">
        <v>240</v>
      </c>
      <c r="HF3227" s="5" t="s">
        <v>240</v>
      </c>
      <c r="HG3227" s="5" t="s">
        <v>240</v>
      </c>
      <c r="HH3227" s="5" t="s">
        <v>240</v>
      </c>
      <c r="HI3227" s="5" t="s">
        <v>240</v>
      </c>
      <c r="HJ3227" s="5" t="s">
        <v>240</v>
      </c>
      <c r="HK3227" s="5" t="s">
        <v>240</v>
      </c>
      <c r="HL3227" s="5" t="s">
        <v>240</v>
      </c>
      <c r="HM3227" s="5" t="s">
        <v>240</v>
      </c>
      <c r="HN3227" s="5" t="s">
        <v>240</v>
      </c>
      <c r="HO3227" s="5" t="s">
        <v>312</v>
      </c>
      <c r="HP3227" s="5" t="s">
        <v>240</v>
      </c>
      <c r="HQ3227" s="5" t="s">
        <v>240</v>
      </c>
      <c r="HR3227" s="5" t="s">
        <v>240</v>
      </c>
      <c r="HS3227" s="5" t="s">
        <v>240</v>
      </c>
      <c r="HT3227" s="5" t="s">
        <v>240</v>
      </c>
      <c r="HU3227" s="5" t="s">
        <v>240</v>
      </c>
      <c r="HV3227" s="5" t="s">
        <v>240</v>
      </c>
      <c r="HW3227" s="5" t="s">
        <v>240</v>
      </c>
      <c r="HX3227" s="5" t="s">
        <v>240</v>
      </c>
      <c r="HY3227" s="5" t="s">
        <v>240</v>
      </c>
      <c r="HZ3227" s="5" t="s">
        <v>240</v>
      </c>
      <c r="IA3227" s="5" t="s">
        <v>240</v>
      </c>
      <c r="IB3227" s="5" t="s">
        <v>240</v>
      </c>
      <c r="IC3227" s="5" t="s">
        <v>240</v>
      </c>
      <c r="ID3227" s="5" t="s">
        <v>240</v>
      </c>
      <c r="IE3227" s="5" t="s">
        <v>240</v>
      </c>
      <c r="IF3227" s="5" t="s">
        <v>240</v>
      </c>
    </row>
    <row r="3228" spans="1:240" x14ac:dyDescent="0.4">
      <c r="A3228" s="5">
        <v>8592</v>
      </c>
      <c r="B3228" s="5">
        <v>1</v>
      </c>
      <c r="C3228" s="5">
        <v>2</v>
      </c>
      <c r="D3228" s="5" t="s">
        <v>240</v>
      </c>
      <c r="E3228" s="5" t="s">
        <v>245</v>
      </c>
      <c r="F3228" s="5" t="s">
        <v>254</v>
      </c>
      <c r="G3228" s="5" t="s">
        <v>6761</v>
      </c>
      <c r="H3228" s="6" t="s">
        <v>250</v>
      </c>
      <c r="I3228" s="5" t="s">
        <v>6935</v>
      </c>
      <c r="J3228" s="7">
        <f>1</f>
        <v>1</v>
      </c>
      <c r="K3228" s="5" t="s">
        <v>6749</v>
      </c>
      <c r="L3228" s="7">
        <f>1620044</f>
        <v>1620044</v>
      </c>
      <c r="M3228" s="7">
        <f>1620044</f>
        <v>1620044</v>
      </c>
      <c r="N3228" s="5" t="s">
        <v>242</v>
      </c>
      <c r="O3228" s="5">
        <v>1</v>
      </c>
      <c r="P3228" s="5" t="s">
        <v>294</v>
      </c>
      <c r="Q3228" s="5" t="s">
        <v>3678</v>
      </c>
      <c r="R3228" s="5" t="s">
        <v>240</v>
      </c>
      <c r="S3228" s="5" t="s">
        <v>240</v>
      </c>
      <c r="T3228" s="5" t="s">
        <v>243</v>
      </c>
      <c r="U3228" s="5" t="s">
        <v>244</v>
      </c>
      <c r="V3228" s="5" t="s">
        <v>240</v>
      </c>
      <c r="W3228" s="5" t="s">
        <v>240</v>
      </c>
      <c r="X3228" s="5" t="s">
        <v>240</v>
      </c>
      <c r="Y3228" s="5" t="s">
        <v>240</v>
      </c>
      <c r="Z3228" s="6" t="s">
        <v>298</v>
      </c>
      <c r="AA3228" s="6" t="s">
        <v>240</v>
      </c>
      <c r="AB3228" s="6" t="s">
        <v>240</v>
      </c>
      <c r="AC3228" s="5" t="s">
        <v>240</v>
      </c>
      <c r="AD3228" s="6" t="s">
        <v>240</v>
      </c>
      <c r="AE3228" s="6" t="s">
        <v>299</v>
      </c>
      <c r="AF3228" s="5" t="s">
        <v>248</v>
      </c>
      <c r="AG3228" s="5" t="s">
        <v>249</v>
      </c>
      <c r="AH3228" s="5" t="s">
        <v>240</v>
      </c>
      <c r="AI3228" s="5" t="s">
        <v>240</v>
      </c>
      <c r="AJ3228" s="5" t="s">
        <v>240</v>
      </c>
      <c r="AK3228" s="5" t="s">
        <v>240</v>
      </c>
      <c r="AL3228" s="5" t="s">
        <v>240</v>
      </c>
      <c r="AM3228" s="5" t="s">
        <v>240</v>
      </c>
      <c r="AN3228" s="5" t="s">
        <v>240</v>
      </c>
      <c r="AO3228" s="5" t="s">
        <v>240</v>
      </c>
      <c r="AP3228" s="6" t="s">
        <v>240</v>
      </c>
      <c r="AQ3228" s="6" t="s">
        <v>240</v>
      </c>
      <c r="AR3228" s="6" t="s">
        <v>240</v>
      </c>
      <c r="AS3228" s="6" t="s">
        <v>240</v>
      </c>
      <c r="AT3228" s="5" t="s">
        <v>240</v>
      </c>
      <c r="AU3228" s="5" t="s">
        <v>729</v>
      </c>
      <c r="AV3228" s="5" t="s">
        <v>729</v>
      </c>
      <c r="AW3228" s="5" t="s">
        <v>251</v>
      </c>
      <c r="AX3228" s="5" t="s">
        <v>252</v>
      </c>
      <c r="AY3228" s="5" t="s">
        <v>253</v>
      </c>
      <c r="AZ3228" s="5" t="s">
        <v>240</v>
      </c>
      <c r="BA3228" s="5" t="s">
        <v>255</v>
      </c>
      <c r="BB3228" s="5" t="s">
        <v>731</v>
      </c>
      <c r="BD3228" s="5" t="s">
        <v>240</v>
      </c>
      <c r="BF3228" s="5" t="s">
        <v>732</v>
      </c>
      <c r="BG3228" s="6" t="s">
        <v>733</v>
      </c>
      <c r="BH3228" s="5" t="s">
        <v>734</v>
      </c>
      <c r="BI3228" s="5" t="s">
        <v>734</v>
      </c>
      <c r="BJ3228" s="5" t="s">
        <v>240</v>
      </c>
      <c r="BK3228" s="7">
        <f>1</f>
        <v>1</v>
      </c>
      <c r="BL3228" s="7">
        <f>1</f>
        <v>1</v>
      </c>
      <c r="BM3228" s="5" t="s">
        <v>258</v>
      </c>
      <c r="BN3228" s="5" t="s">
        <v>259</v>
      </c>
      <c r="BO3228" s="5" t="s">
        <v>240</v>
      </c>
      <c r="BP3228" s="5" t="s">
        <v>240</v>
      </c>
      <c r="BQ3228" s="5" t="s">
        <v>240</v>
      </c>
      <c r="BR3228" s="5" t="s">
        <v>240</v>
      </c>
      <c r="BS3228" s="5" t="s">
        <v>240</v>
      </c>
      <c r="BT3228" s="5" t="s">
        <v>240</v>
      </c>
      <c r="BU3228" s="5" t="s">
        <v>240</v>
      </c>
      <c r="BV3228" s="5" t="s">
        <v>240</v>
      </c>
      <c r="BW3228" s="6" t="s">
        <v>240</v>
      </c>
      <c r="BX3228" s="5" t="s">
        <v>240</v>
      </c>
      <c r="BY3228" s="5" t="s">
        <v>240</v>
      </c>
      <c r="BZ3228" s="5" t="s">
        <v>240</v>
      </c>
      <c r="CA3228" s="5" t="s">
        <v>259</v>
      </c>
      <c r="CB3228" s="5" t="s">
        <v>240</v>
      </c>
      <c r="CC3228" s="5" t="s">
        <v>240</v>
      </c>
      <c r="CD3228" s="5" t="s">
        <v>240</v>
      </c>
      <c r="CE3228" s="5" t="s">
        <v>240</v>
      </c>
      <c r="CF3228" s="5" t="s">
        <v>240</v>
      </c>
      <c r="CG3228" s="5" t="s">
        <v>304</v>
      </c>
      <c r="CH3228" s="5" t="s">
        <v>305</v>
      </c>
      <c r="CI3228" s="5" t="s">
        <v>240</v>
      </c>
      <c r="CK3228" s="5" t="s">
        <v>3681</v>
      </c>
      <c r="CL3228" s="6" t="s">
        <v>261</v>
      </c>
      <c r="CM3228" s="5" t="s">
        <v>262</v>
      </c>
      <c r="CN3228" s="5" t="s">
        <v>263</v>
      </c>
      <c r="CO3228" s="5" t="s">
        <v>264</v>
      </c>
      <c r="CP3228" s="5" t="s">
        <v>240</v>
      </c>
      <c r="CQ3228" s="5">
        <v>0</v>
      </c>
      <c r="CR3228" s="5" t="s">
        <v>735</v>
      </c>
      <c r="CS3228" s="5" t="s">
        <v>307</v>
      </c>
      <c r="CT3228" s="5" t="s">
        <v>307</v>
      </c>
      <c r="CU3228" s="5" t="s">
        <v>260</v>
      </c>
      <c r="CV3228" s="5" t="s">
        <v>612</v>
      </c>
      <c r="CW3228" s="8">
        <f>1</f>
        <v>1</v>
      </c>
      <c r="CX3228" s="7">
        <f>1</f>
        <v>1</v>
      </c>
      <c r="CY3228" s="7">
        <f>0</f>
        <v>0</v>
      </c>
      <c r="DA3228" s="7">
        <f>1</f>
        <v>1</v>
      </c>
      <c r="DB3228" s="7" t="s">
        <v>240</v>
      </c>
      <c r="DC3228" s="5" t="s">
        <v>240</v>
      </c>
      <c r="DD3228" s="5" t="s">
        <v>240</v>
      </c>
      <c r="DE3228" s="5" t="s">
        <v>240</v>
      </c>
      <c r="DF3228" s="5" t="s">
        <v>240</v>
      </c>
      <c r="DG3228" s="7">
        <f>0</f>
        <v>0</v>
      </c>
      <c r="DI3228" s="5" t="s">
        <v>240</v>
      </c>
      <c r="DJ3228" s="5" t="s">
        <v>240</v>
      </c>
      <c r="DK3228" s="5" t="s">
        <v>240</v>
      </c>
      <c r="DL3228" s="5" t="s">
        <v>240</v>
      </c>
      <c r="DM3228" s="5" t="s">
        <v>240</v>
      </c>
      <c r="DN3228" s="5" t="s">
        <v>240</v>
      </c>
      <c r="DO3228" s="7" t="s">
        <v>240</v>
      </c>
      <c r="DP3228" s="5" t="s">
        <v>240</v>
      </c>
      <c r="DQ3228" s="5" t="s">
        <v>240</v>
      </c>
      <c r="DR3228" s="5" t="s">
        <v>731</v>
      </c>
      <c r="DS3228" s="5" t="s">
        <v>731</v>
      </c>
      <c r="DT3228" s="5" t="s">
        <v>240</v>
      </c>
      <c r="DU3228" s="5" t="s">
        <v>240</v>
      </c>
      <c r="DV3228" s="5" t="s">
        <v>3683</v>
      </c>
      <c r="DW3228" s="5" t="s">
        <v>1260</v>
      </c>
      <c r="DX3228" s="5" t="s">
        <v>240</v>
      </c>
      <c r="DY3228" s="5" t="s">
        <v>240</v>
      </c>
      <c r="DZ3228" s="5" t="s">
        <v>240</v>
      </c>
      <c r="EA3228" s="5" t="s">
        <v>240</v>
      </c>
      <c r="EB3228" s="5" t="s">
        <v>240</v>
      </c>
      <c r="EC3228" s="5" t="s">
        <v>240</v>
      </c>
      <c r="ED3228" s="5" t="s">
        <v>240</v>
      </c>
      <c r="EE3228" s="5" t="s">
        <v>240</v>
      </c>
      <c r="EF3228" s="5" t="s">
        <v>240</v>
      </c>
      <c r="EG3228" s="5" t="s">
        <v>240</v>
      </c>
      <c r="EH3228" s="5" t="s">
        <v>240</v>
      </c>
      <c r="EI3228" s="5" t="s">
        <v>240</v>
      </c>
      <c r="EJ3228" s="5" t="s">
        <v>240</v>
      </c>
      <c r="EK3228" s="5" t="s">
        <v>240</v>
      </c>
      <c r="EL3228" s="5" t="s">
        <v>240</v>
      </c>
      <c r="EM3228" s="5" t="s">
        <v>240</v>
      </c>
      <c r="EN3228" s="5" t="s">
        <v>240</v>
      </c>
      <c r="EO3228" s="5" t="s">
        <v>240</v>
      </c>
      <c r="EP3228" s="5" t="s">
        <v>240</v>
      </c>
      <c r="EQ3228" s="5" t="s">
        <v>240</v>
      </c>
      <c r="ER3228" s="5" t="s">
        <v>240</v>
      </c>
      <c r="ES3228" s="5" t="s">
        <v>240</v>
      </c>
      <c r="ET3228" s="5" t="s">
        <v>240</v>
      </c>
      <c r="EU3228" s="5" t="s">
        <v>240</v>
      </c>
      <c r="EV3228" s="5" t="s">
        <v>240</v>
      </c>
      <c r="EW3228" s="5" t="s">
        <v>240</v>
      </c>
      <c r="EX3228" s="5" t="s">
        <v>240</v>
      </c>
      <c r="EY3228" s="5" t="s">
        <v>240</v>
      </c>
      <c r="EZ3228" s="5" t="s">
        <v>240</v>
      </c>
      <c r="FA3228" s="5" t="s">
        <v>240</v>
      </c>
      <c r="FB3228" s="5" t="s">
        <v>240</v>
      </c>
      <c r="FC3228" s="5" t="s">
        <v>240</v>
      </c>
      <c r="FD3228" s="5" t="s">
        <v>240</v>
      </c>
      <c r="FE3228" s="5" t="s">
        <v>240</v>
      </c>
      <c r="FF3228" s="5" t="s">
        <v>240</v>
      </c>
      <c r="FG3228" s="5" t="s">
        <v>240</v>
      </c>
      <c r="FH3228" s="5" t="s">
        <v>240</v>
      </c>
      <c r="FI3228" s="5" t="s">
        <v>240</v>
      </c>
      <c r="FJ3228" s="5" t="s">
        <v>240</v>
      </c>
      <c r="FK3228" s="5" t="s">
        <v>240</v>
      </c>
      <c r="FL3228" s="5" t="s">
        <v>240</v>
      </c>
      <c r="FM3228" s="5" t="s">
        <v>240</v>
      </c>
      <c r="FN3228" s="5" t="s">
        <v>240</v>
      </c>
      <c r="FO3228" s="5" t="s">
        <v>240</v>
      </c>
      <c r="FP3228" s="5" t="s">
        <v>240</v>
      </c>
      <c r="FQ3228" s="5" t="s">
        <v>240</v>
      </c>
      <c r="FR3228" s="5" t="s">
        <v>240</v>
      </c>
      <c r="FS3228" s="5" t="s">
        <v>240</v>
      </c>
      <c r="FT3228" s="5" t="s">
        <v>240</v>
      </c>
      <c r="FU3228" s="5" t="s">
        <v>240</v>
      </c>
      <c r="FV3228" s="5" t="s">
        <v>240</v>
      </c>
      <c r="FW3228" s="5" t="s">
        <v>240</v>
      </c>
      <c r="FX3228" s="5" t="s">
        <v>240</v>
      </c>
      <c r="FY3228" s="5" t="s">
        <v>240</v>
      </c>
      <c r="FZ3228" s="5" t="s">
        <v>240</v>
      </c>
      <c r="GA3228" s="5" t="s">
        <v>240</v>
      </c>
      <c r="GB3228" s="5" t="s">
        <v>240</v>
      </c>
      <c r="GC3228" s="5" t="s">
        <v>240</v>
      </c>
      <c r="GD3228" s="5" t="s">
        <v>240</v>
      </c>
      <c r="GE3228" s="5" t="s">
        <v>240</v>
      </c>
      <c r="GF3228" s="5" t="s">
        <v>240</v>
      </c>
      <c r="GG3228" s="5" t="s">
        <v>240</v>
      </c>
      <c r="GH3228" s="5" t="s">
        <v>240</v>
      </c>
      <c r="GI3228" s="5" t="s">
        <v>240</v>
      </c>
      <c r="GJ3228" s="5" t="s">
        <v>240</v>
      </c>
      <c r="GK3228" s="5" t="s">
        <v>240</v>
      </c>
      <c r="GL3228" s="5" t="s">
        <v>240</v>
      </c>
      <c r="GM3228" s="5" t="s">
        <v>240</v>
      </c>
      <c r="GN3228" s="5" t="s">
        <v>240</v>
      </c>
      <c r="GO3228" s="5" t="s">
        <v>240</v>
      </c>
      <c r="GP3228" s="5" t="s">
        <v>240</v>
      </c>
      <c r="GQ3228" s="5" t="s">
        <v>240</v>
      </c>
      <c r="GR3228" s="5" t="s">
        <v>240</v>
      </c>
      <c r="GS3228" s="5" t="s">
        <v>240</v>
      </c>
      <c r="GT3228" s="5" t="s">
        <v>240</v>
      </c>
      <c r="GU3228" s="5" t="s">
        <v>240</v>
      </c>
      <c r="GV3228" s="5" t="s">
        <v>240</v>
      </c>
      <c r="GW3228" s="5" t="s">
        <v>240</v>
      </c>
      <c r="GX3228" s="5" t="s">
        <v>240</v>
      </c>
      <c r="GY3228" s="5" t="s">
        <v>240</v>
      </c>
      <c r="GZ3228" s="5" t="s">
        <v>240</v>
      </c>
      <c r="HA3228" s="5" t="s">
        <v>240</v>
      </c>
      <c r="HB3228" s="5" t="s">
        <v>240</v>
      </c>
      <c r="HC3228" s="5" t="s">
        <v>240</v>
      </c>
      <c r="HD3228" s="5" t="s">
        <v>240</v>
      </c>
      <c r="HE3228" s="5" t="s">
        <v>240</v>
      </c>
      <c r="HF3228" s="5" t="s">
        <v>240</v>
      </c>
      <c r="HG3228" s="5" t="s">
        <v>240</v>
      </c>
      <c r="HH3228" s="5" t="s">
        <v>240</v>
      </c>
      <c r="HI3228" s="5" t="s">
        <v>240</v>
      </c>
      <c r="HJ3228" s="5" t="s">
        <v>240</v>
      </c>
      <c r="HK3228" s="5" t="s">
        <v>240</v>
      </c>
      <c r="HL3228" s="5" t="s">
        <v>240</v>
      </c>
      <c r="HM3228" s="5" t="s">
        <v>240</v>
      </c>
      <c r="HN3228" s="5" t="s">
        <v>240</v>
      </c>
      <c r="HO3228" s="5" t="s">
        <v>312</v>
      </c>
      <c r="HP3228" s="5" t="s">
        <v>240</v>
      </c>
      <c r="HQ3228" s="5" t="s">
        <v>240</v>
      </c>
      <c r="HR3228" s="5" t="s">
        <v>240</v>
      </c>
      <c r="HS3228" s="5" t="s">
        <v>240</v>
      </c>
      <c r="HT3228" s="5" t="s">
        <v>240</v>
      </c>
      <c r="HU3228" s="5" t="s">
        <v>240</v>
      </c>
      <c r="HV3228" s="5" t="s">
        <v>240</v>
      </c>
      <c r="HW3228" s="5" t="s">
        <v>240</v>
      </c>
      <c r="HX3228" s="5" t="s">
        <v>240</v>
      </c>
      <c r="HY3228" s="5" t="s">
        <v>240</v>
      </c>
      <c r="HZ3228" s="5" t="s">
        <v>240</v>
      </c>
      <c r="IA3228" s="5" t="s">
        <v>240</v>
      </c>
      <c r="IB3228" s="5" t="s">
        <v>240</v>
      </c>
      <c r="IC3228" s="5" t="s">
        <v>240</v>
      </c>
      <c r="ID3228" s="5" t="s">
        <v>240</v>
      </c>
      <c r="IE3228" s="5" t="s">
        <v>240</v>
      </c>
      <c r="IF3228" s="5" t="s">
        <v>240</v>
      </c>
    </row>
    <row r="3229" spans="1:240" x14ac:dyDescent="0.4">
      <c r="A3229" s="5">
        <v>8593</v>
      </c>
      <c r="B3229" s="5">
        <v>1</v>
      </c>
      <c r="C3229" s="5">
        <v>2</v>
      </c>
      <c r="D3229" s="5" t="s">
        <v>240</v>
      </c>
      <c r="E3229" s="5" t="s">
        <v>245</v>
      </c>
      <c r="F3229" s="5" t="s">
        <v>254</v>
      </c>
      <c r="G3229" s="5" t="s">
        <v>6761</v>
      </c>
      <c r="H3229" s="6" t="s">
        <v>7204</v>
      </c>
      <c r="I3229" s="5" t="s">
        <v>7203</v>
      </c>
      <c r="J3229" s="7">
        <f>1</f>
        <v>1</v>
      </c>
      <c r="K3229" s="5" t="s">
        <v>6749</v>
      </c>
      <c r="L3229" s="7">
        <f>956112</f>
        <v>956112</v>
      </c>
      <c r="M3229" s="7">
        <f>956112</f>
        <v>956112</v>
      </c>
      <c r="N3229" s="5" t="s">
        <v>242</v>
      </c>
      <c r="O3229" s="5">
        <v>1</v>
      </c>
      <c r="P3229" s="5" t="s">
        <v>294</v>
      </c>
      <c r="Q3229" s="5" t="s">
        <v>3678</v>
      </c>
      <c r="R3229" s="5" t="s">
        <v>240</v>
      </c>
      <c r="S3229" s="5" t="s">
        <v>240</v>
      </c>
      <c r="T3229" s="5" t="s">
        <v>243</v>
      </c>
      <c r="U3229" s="5" t="s">
        <v>244</v>
      </c>
      <c r="V3229" s="5" t="s">
        <v>240</v>
      </c>
      <c r="W3229" s="5" t="s">
        <v>240</v>
      </c>
      <c r="X3229" s="5" t="s">
        <v>240</v>
      </c>
      <c r="Y3229" s="5" t="s">
        <v>240</v>
      </c>
      <c r="Z3229" s="6" t="s">
        <v>298</v>
      </c>
      <c r="AA3229" s="6" t="s">
        <v>240</v>
      </c>
      <c r="AB3229" s="6" t="s">
        <v>240</v>
      </c>
      <c r="AC3229" s="5" t="s">
        <v>240</v>
      </c>
      <c r="AD3229" s="6" t="s">
        <v>240</v>
      </c>
      <c r="AE3229" s="6" t="s">
        <v>299</v>
      </c>
      <c r="AF3229" s="5" t="s">
        <v>248</v>
      </c>
      <c r="AG3229" s="5" t="s">
        <v>249</v>
      </c>
      <c r="AH3229" s="5" t="s">
        <v>240</v>
      </c>
      <c r="AI3229" s="5" t="s">
        <v>240</v>
      </c>
      <c r="AJ3229" s="5" t="s">
        <v>240</v>
      </c>
      <c r="AK3229" s="5" t="s">
        <v>240</v>
      </c>
      <c r="AL3229" s="5" t="s">
        <v>240</v>
      </c>
      <c r="AM3229" s="5" t="s">
        <v>240</v>
      </c>
      <c r="AN3229" s="5" t="s">
        <v>240</v>
      </c>
      <c r="AO3229" s="5" t="s">
        <v>240</v>
      </c>
      <c r="AP3229" s="6" t="s">
        <v>240</v>
      </c>
      <c r="AQ3229" s="6" t="s">
        <v>240</v>
      </c>
      <c r="AR3229" s="6" t="s">
        <v>240</v>
      </c>
      <c r="AS3229" s="6" t="s">
        <v>240</v>
      </c>
      <c r="AT3229" s="5" t="s">
        <v>240</v>
      </c>
      <c r="AU3229" s="5" t="s">
        <v>729</v>
      </c>
      <c r="AV3229" s="5" t="s">
        <v>729</v>
      </c>
      <c r="AW3229" s="5" t="s">
        <v>251</v>
      </c>
      <c r="AX3229" s="5" t="s">
        <v>252</v>
      </c>
      <c r="AY3229" s="5" t="s">
        <v>253</v>
      </c>
      <c r="AZ3229" s="5" t="s">
        <v>240</v>
      </c>
      <c r="BA3229" s="5" t="s">
        <v>255</v>
      </c>
      <c r="BB3229" s="5" t="s">
        <v>731</v>
      </c>
      <c r="BD3229" s="5" t="s">
        <v>240</v>
      </c>
      <c r="BF3229" s="5" t="s">
        <v>732</v>
      </c>
      <c r="BG3229" s="6" t="s">
        <v>733</v>
      </c>
      <c r="BH3229" s="5" t="s">
        <v>734</v>
      </c>
      <c r="BI3229" s="5" t="s">
        <v>734</v>
      </c>
      <c r="BJ3229" s="5" t="s">
        <v>240</v>
      </c>
      <c r="BK3229" s="7">
        <f>1</f>
        <v>1</v>
      </c>
      <c r="BL3229" s="7">
        <f>1</f>
        <v>1</v>
      </c>
      <c r="BM3229" s="5" t="s">
        <v>258</v>
      </c>
      <c r="BN3229" s="5" t="s">
        <v>259</v>
      </c>
      <c r="BO3229" s="5" t="s">
        <v>240</v>
      </c>
      <c r="BP3229" s="5" t="s">
        <v>240</v>
      </c>
      <c r="BQ3229" s="5" t="s">
        <v>240</v>
      </c>
      <c r="BR3229" s="5" t="s">
        <v>240</v>
      </c>
      <c r="BS3229" s="5" t="s">
        <v>240</v>
      </c>
      <c r="BT3229" s="5" t="s">
        <v>240</v>
      </c>
      <c r="BU3229" s="5" t="s">
        <v>240</v>
      </c>
      <c r="BV3229" s="5" t="s">
        <v>240</v>
      </c>
      <c r="BW3229" s="6" t="s">
        <v>240</v>
      </c>
      <c r="BX3229" s="5" t="s">
        <v>240</v>
      </c>
      <c r="BY3229" s="5" t="s">
        <v>240</v>
      </c>
      <c r="BZ3229" s="5" t="s">
        <v>240</v>
      </c>
      <c r="CA3229" s="5" t="s">
        <v>259</v>
      </c>
      <c r="CB3229" s="5" t="s">
        <v>240</v>
      </c>
      <c r="CC3229" s="5" t="s">
        <v>240</v>
      </c>
      <c r="CD3229" s="5" t="s">
        <v>240</v>
      </c>
      <c r="CE3229" s="5" t="s">
        <v>240</v>
      </c>
      <c r="CF3229" s="5" t="s">
        <v>240</v>
      </c>
      <c r="CG3229" s="5" t="s">
        <v>304</v>
      </c>
      <c r="CH3229" s="5" t="s">
        <v>305</v>
      </c>
      <c r="CI3229" s="5" t="s">
        <v>240</v>
      </c>
      <c r="CK3229" s="5" t="s">
        <v>3681</v>
      </c>
      <c r="CL3229" s="6" t="s">
        <v>261</v>
      </c>
      <c r="CM3229" s="5" t="s">
        <v>262</v>
      </c>
      <c r="CN3229" s="5" t="s">
        <v>263</v>
      </c>
      <c r="CO3229" s="5" t="s">
        <v>264</v>
      </c>
      <c r="CP3229" s="5" t="s">
        <v>240</v>
      </c>
      <c r="CQ3229" s="5">
        <v>0</v>
      </c>
      <c r="CR3229" s="5" t="s">
        <v>735</v>
      </c>
      <c r="CS3229" s="5" t="s">
        <v>307</v>
      </c>
      <c r="CT3229" s="5" t="s">
        <v>307</v>
      </c>
      <c r="CU3229" s="5" t="s">
        <v>260</v>
      </c>
      <c r="CV3229" s="5" t="s">
        <v>612</v>
      </c>
      <c r="CW3229" s="8">
        <f>1</f>
        <v>1</v>
      </c>
      <c r="CX3229" s="7">
        <f>1</f>
        <v>1</v>
      </c>
      <c r="CY3229" s="7">
        <f>0</f>
        <v>0</v>
      </c>
      <c r="DA3229" s="7">
        <f>1</f>
        <v>1</v>
      </c>
      <c r="DB3229" s="7" t="s">
        <v>240</v>
      </c>
      <c r="DC3229" s="5" t="s">
        <v>240</v>
      </c>
      <c r="DD3229" s="5" t="s">
        <v>240</v>
      </c>
      <c r="DE3229" s="5" t="s">
        <v>240</v>
      </c>
      <c r="DF3229" s="5" t="s">
        <v>240</v>
      </c>
      <c r="DG3229" s="7">
        <f>0</f>
        <v>0</v>
      </c>
      <c r="DI3229" s="5" t="s">
        <v>240</v>
      </c>
      <c r="DJ3229" s="5" t="s">
        <v>240</v>
      </c>
      <c r="DK3229" s="5" t="s">
        <v>240</v>
      </c>
      <c r="DL3229" s="5" t="s">
        <v>240</v>
      </c>
      <c r="DM3229" s="5" t="s">
        <v>240</v>
      </c>
      <c r="DN3229" s="5" t="s">
        <v>240</v>
      </c>
      <c r="DO3229" s="7" t="s">
        <v>240</v>
      </c>
      <c r="DP3229" s="5" t="s">
        <v>240</v>
      </c>
      <c r="DQ3229" s="5" t="s">
        <v>240</v>
      </c>
      <c r="DR3229" s="5" t="s">
        <v>731</v>
      </c>
      <c r="DS3229" s="5" t="s">
        <v>731</v>
      </c>
      <c r="DT3229" s="5" t="s">
        <v>240</v>
      </c>
      <c r="DU3229" s="5" t="s">
        <v>240</v>
      </c>
      <c r="DV3229" s="5" t="s">
        <v>3683</v>
      </c>
      <c r="DW3229" s="5" t="s">
        <v>4001</v>
      </c>
      <c r="DX3229" s="5" t="s">
        <v>240</v>
      </c>
      <c r="DY3229" s="5" t="s">
        <v>240</v>
      </c>
      <c r="DZ3229" s="5" t="s">
        <v>240</v>
      </c>
      <c r="EA3229" s="5" t="s">
        <v>240</v>
      </c>
      <c r="EB3229" s="5" t="s">
        <v>240</v>
      </c>
      <c r="EC3229" s="5" t="s">
        <v>240</v>
      </c>
      <c r="ED3229" s="5" t="s">
        <v>240</v>
      </c>
      <c r="EE3229" s="5" t="s">
        <v>240</v>
      </c>
      <c r="EF3229" s="5" t="s">
        <v>240</v>
      </c>
      <c r="EG3229" s="5" t="s">
        <v>240</v>
      </c>
      <c r="EH3229" s="5" t="s">
        <v>240</v>
      </c>
      <c r="EI3229" s="5" t="s">
        <v>240</v>
      </c>
      <c r="EJ3229" s="5" t="s">
        <v>240</v>
      </c>
      <c r="EK3229" s="5" t="s">
        <v>240</v>
      </c>
      <c r="EL3229" s="5" t="s">
        <v>240</v>
      </c>
      <c r="EM3229" s="5" t="s">
        <v>240</v>
      </c>
      <c r="EN3229" s="5" t="s">
        <v>240</v>
      </c>
      <c r="EO3229" s="5" t="s">
        <v>240</v>
      </c>
      <c r="EP3229" s="5" t="s">
        <v>240</v>
      </c>
      <c r="EQ3229" s="5" t="s">
        <v>240</v>
      </c>
      <c r="ER3229" s="5" t="s">
        <v>240</v>
      </c>
      <c r="ES3229" s="5" t="s">
        <v>240</v>
      </c>
      <c r="ET3229" s="5" t="s">
        <v>240</v>
      </c>
      <c r="EU3229" s="5" t="s">
        <v>240</v>
      </c>
      <c r="EV3229" s="5" t="s">
        <v>240</v>
      </c>
      <c r="EW3229" s="5" t="s">
        <v>240</v>
      </c>
      <c r="EX3229" s="5" t="s">
        <v>240</v>
      </c>
      <c r="EY3229" s="5" t="s">
        <v>240</v>
      </c>
      <c r="EZ3229" s="5" t="s">
        <v>240</v>
      </c>
      <c r="FA3229" s="5" t="s">
        <v>240</v>
      </c>
      <c r="FB3229" s="5" t="s">
        <v>240</v>
      </c>
      <c r="FC3229" s="5" t="s">
        <v>240</v>
      </c>
      <c r="FD3229" s="5" t="s">
        <v>240</v>
      </c>
      <c r="FE3229" s="5" t="s">
        <v>240</v>
      </c>
      <c r="FF3229" s="5" t="s">
        <v>240</v>
      </c>
      <c r="FG3229" s="5" t="s">
        <v>240</v>
      </c>
      <c r="FH3229" s="5" t="s">
        <v>240</v>
      </c>
      <c r="FI3229" s="5" t="s">
        <v>240</v>
      </c>
      <c r="FJ3229" s="5" t="s">
        <v>240</v>
      </c>
      <c r="FK3229" s="5" t="s">
        <v>240</v>
      </c>
      <c r="FL3229" s="5" t="s">
        <v>240</v>
      </c>
      <c r="FM3229" s="5" t="s">
        <v>240</v>
      </c>
      <c r="FN3229" s="5" t="s">
        <v>240</v>
      </c>
      <c r="FO3229" s="5" t="s">
        <v>240</v>
      </c>
      <c r="FP3229" s="5" t="s">
        <v>240</v>
      </c>
      <c r="FQ3229" s="5" t="s">
        <v>240</v>
      </c>
      <c r="FR3229" s="5" t="s">
        <v>240</v>
      </c>
      <c r="FS3229" s="5" t="s">
        <v>240</v>
      </c>
      <c r="FT3229" s="5" t="s">
        <v>240</v>
      </c>
      <c r="FU3229" s="5" t="s">
        <v>240</v>
      </c>
      <c r="FV3229" s="5" t="s">
        <v>240</v>
      </c>
      <c r="FW3229" s="5" t="s">
        <v>240</v>
      </c>
      <c r="FX3229" s="5" t="s">
        <v>240</v>
      </c>
      <c r="FY3229" s="5" t="s">
        <v>240</v>
      </c>
      <c r="FZ3229" s="5" t="s">
        <v>240</v>
      </c>
      <c r="GA3229" s="5" t="s">
        <v>240</v>
      </c>
      <c r="GB3229" s="5" t="s">
        <v>240</v>
      </c>
      <c r="GC3229" s="5" t="s">
        <v>240</v>
      </c>
      <c r="GD3229" s="5" t="s">
        <v>240</v>
      </c>
      <c r="GE3229" s="5" t="s">
        <v>240</v>
      </c>
      <c r="GF3229" s="5" t="s">
        <v>240</v>
      </c>
      <c r="GG3229" s="5" t="s">
        <v>240</v>
      </c>
      <c r="GH3229" s="5" t="s">
        <v>240</v>
      </c>
      <c r="GI3229" s="5" t="s">
        <v>240</v>
      </c>
      <c r="GJ3229" s="5" t="s">
        <v>240</v>
      </c>
      <c r="GK3229" s="5" t="s">
        <v>240</v>
      </c>
      <c r="GL3229" s="5" t="s">
        <v>240</v>
      </c>
      <c r="GM3229" s="5" t="s">
        <v>240</v>
      </c>
      <c r="GN3229" s="5" t="s">
        <v>240</v>
      </c>
      <c r="GO3229" s="5" t="s">
        <v>240</v>
      </c>
      <c r="GP3229" s="5" t="s">
        <v>240</v>
      </c>
      <c r="GQ3229" s="5" t="s">
        <v>240</v>
      </c>
      <c r="GR3229" s="5" t="s">
        <v>240</v>
      </c>
      <c r="GS3229" s="5" t="s">
        <v>240</v>
      </c>
      <c r="GT3229" s="5" t="s">
        <v>240</v>
      </c>
      <c r="GU3229" s="5" t="s">
        <v>240</v>
      </c>
      <c r="GV3229" s="5" t="s">
        <v>240</v>
      </c>
      <c r="GW3229" s="5" t="s">
        <v>240</v>
      </c>
      <c r="GX3229" s="5" t="s">
        <v>240</v>
      </c>
      <c r="GY3229" s="5" t="s">
        <v>240</v>
      </c>
      <c r="GZ3229" s="5" t="s">
        <v>240</v>
      </c>
      <c r="HA3229" s="5" t="s">
        <v>240</v>
      </c>
      <c r="HB3229" s="5" t="s">
        <v>240</v>
      </c>
      <c r="HC3229" s="5" t="s">
        <v>240</v>
      </c>
      <c r="HD3229" s="5" t="s">
        <v>240</v>
      </c>
      <c r="HE3229" s="5" t="s">
        <v>240</v>
      </c>
      <c r="HF3229" s="5" t="s">
        <v>240</v>
      </c>
      <c r="HG3229" s="5" t="s">
        <v>240</v>
      </c>
      <c r="HH3229" s="5" t="s">
        <v>240</v>
      </c>
      <c r="HI3229" s="5" t="s">
        <v>240</v>
      </c>
      <c r="HJ3229" s="5" t="s">
        <v>240</v>
      </c>
      <c r="HK3229" s="5" t="s">
        <v>240</v>
      </c>
      <c r="HL3229" s="5" t="s">
        <v>240</v>
      </c>
      <c r="HM3229" s="5" t="s">
        <v>240</v>
      </c>
      <c r="HN3229" s="5" t="s">
        <v>240</v>
      </c>
      <c r="HO3229" s="5" t="s">
        <v>312</v>
      </c>
      <c r="HP3229" s="5" t="s">
        <v>240</v>
      </c>
      <c r="HQ3229" s="5" t="s">
        <v>240</v>
      </c>
      <c r="HR3229" s="5" t="s">
        <v>240</v>
      </c>
      <c r="HS3229" s="5" t="s">
        <v>240</v>
      </c>
      <c r="HT3229" s="5" t="s">
        <v>240</v>
      </c>
      <c r="HU3229" s="5" t="s">
        <v>240</v>
      </c>
      <c r="HV3229" s="5" t="s">
        <v>240</v>
      </c>
      <c r="HW3229" s="5" t="s">
        <v>240</v>
      </c>
      <c r="HX3229" s="5" t="s">
        <v>240</v>
      </c>
      <c r="HY3229" s="5" t="s">
        <v>240</v>
      </c>
      <c r="HZ3229" s="5" t="s">
        <v>240</v>
      </c>
      <c r="IA3229" s="5" t="s">
        <v>240</v>
      </c>
      <c r="IB3229" s="5" t="s">
        <v>240</v>
      </c>
      <c r="IC3229" s="5" t="s">
        <v>240</v>
      </c>
      <c r="ID3229" s="5" t="s">
        <v>240</v>
      </c>
      <c r="IE3229" s="5" t="s">
        <v>240</v>
      </c>
      <c r="IF3229" s="5" t="s">
        <v>240</v>
      </c>
    </row>
    <row r="3230" spans="1:240" x14ac:dyDescent="0.4">
      <c r="A3230" s="5">
        <v>8595</v>
      </c>
      <c r="B3230" s="5">
        <v>1</v>
      </c>
      <c r="C3230" s="5">
        <v>1</v>
      </c>
      <c r="D3230" s="5" t="s">
        <v>240</v>
      </c>
      <c r="E3230" s="5" t="s">
        <v>245</v>
      </c>
      <c r="F3230" s="5" t="s">
        <v>254</v>
      </c>
      <c r="G3230" s="5" t="s">
        <v>6910</v>
      </c>
      <c r="I3230" s="5" t="s">
        <v>6909</v>
      </c>
      <c r="J3230" s="7">
        <f>0</f>
        <v>0</v>
      </c>
      <c r="K3230" s="5" t="s">
        <v>266</v>
      </c>
      <c r="L3230" s="7">
        <f>7891459</f>
        <v>7891459</v>
      </c>
      <c r="M3230" s="7">
        <f>7891459</f>
        <v>7891459</v>
      </c>
      <c r="N3230" s="5" t="s">
        <v>242</v>
      </c>
      <c r="O3230" s="5">
        <v>1</v>
      </c>
      <c r="P3230" s="5" t="s">
        <v>294</v>
      </c>
      <c r="Q3230" s="5" t="s">
        <v>266</v>
      </c>
      <c r="R3230" s="5" t="s">
        <v>240</v>
      </c>
      <c r="S3230" s="5" t="s">
        <v>240</v>
      </c>
      <c r="T3230" s="5" t="s">
        <v>296</v>
      </c>
      <c r="U3230" s="5" t="s">
        <v>244</v>
      </c>
      <c r="V3230" s="5" t="s">
        <v>240</v>
      </c>
      <c r="Y3230" s="5" t="s">
        <v>240</v>
      </c>
      <c r="Z3230" s="6" t="s">
        <v>298</v>
      </c>
      <c r="AB3230" s="6" t="s">
        <v>240</v>
      </c>
      <c r="AE3230" s="6" t="s">
        <v>299</v>
      </c>
      <c r="AF3230" s="5" t="s">
        <v>248</v>
      </c>
      <c r="AG3230" s="5" t="s">
        <v>249</v>
      </c>
      <c r="AW3230" s="5" t="s">
        <v>251</v>
      </c>
      <c r="AX3230" s="5" t="s">
        <v>240</v>
      </c>
      <c r="AY3230" s="5" t="s">
        <v>253</v>
      </c>
      <c r="AZ3230" s="5" t="s">
        <v>240</v>
      </c>
      <c r="BA3230" s="5" t="s">
        <v>255</v>
      </c>
      <c r="BB3230" s="5" t="s">
        <v>240</v>
      </c>
      <c r="BD3230" s="5" t="s">
        <v>240</v>
      </c>
      <c r="BF3230" s="5" t="s">
        <v>301</v>
      </c>
      <c r="BG3230" s="6" t="s">
        <v>299</v>
      </c>
      <c r="BH3230" s="5" t="s">
        <v>302</v>
      </c>
      <c r="BI3230" s="5" t="s">
        <v>303</v>
      </c>
      <c r="BJ3230" s="5" t="s">
        <v>240</v>
      </c>
      <c r="BK3230" s="8">
        <f>0</f>
        <v>0</v>
      </c>
      <c r="BL3230" s="7">
        <f>0</f>
        <v>0</v>
      </c>
      <c r="BM3230" s="5" t="s">
        <v>258</v>
      </c>
      <c r="BN3230" s="5" t="s">
        <v>259</v>
      </c>
      <c r="CB3230" s="5" t="s">
        <v>240</v>
      </c>
      <c r="CC3230" s="5" t="s">
        <v>240</v>
      </c>
      <c r="CG3230" s="5" t="s">
        <v>304</v>
      </c>
      <c r="CH3230" s="5" t="s">
        <v>305</v>
      </c>
      <c r="CI3230" s="5" t="s">
        <v>240</v>
      </c>
      <c r="CL3230" s="6" t="s">
        <v>261</v>
      </c>
      <c r="CM3230" s="5" t="s">
        <v>240</v>
      </c>
      <c r="CN3230" s="5" t="s">
        <v>263</v>
      </c>
      <c r="CO3230" s="5" t="s">
        <v>240</v>
      </c>
      <c r="CP3230" s="5" t="s">
        <v>240</v>
      </c>
      <c r="CQ3230" s="5">
        <v>0</v>
      </c>
      <c r="CR3230" s="5" t="s">
        <v>306</v>
      </c>
      <c r="CS3230" s="5" t="s">
        <v>307</v>
      </c>
      <c r="CT3230" s="5" t="s">
        <v>307</v>
      </c>
      <c r="CU3230" s="5" t="s">
        <v>260</v>
      </c>
      <c r="CX3230" s="7">
        <f>1</f>
        <v>1</v>
      </c>
      <c r="CY3230" s="7">
        <f>0</f>
        <v>0</v>
      </c>
      <c r="DA3230" s="7">
        <f>0</f>
        <v>0</v>
      </c>
      <c r="DC3230" s="5" t="s">
        <v>309</v>
      </c>
      <c r="DD3230" s="5" t="s">
        <v>240</v>
      </c>
      <c r="DF3230" s="5" t="s">
        <v>309</v>
      </c>
      <c r="DG3230" s="7">
        <f>121</f>
        <v>121</v>
      </c>
      <c r="DI3230" s="5" t="s">
        <v>240</v>
      </c>
      <c r="DJ3230" s="5" t="s">
        <v>240</v>
      </c>
      <c r="DK3230" s="5" t="s">
        <v>240</v>
      </c>
      <c r="DL3230" s="5" t="s">
        <v>240</v>
      </c>
      <c r="DP3230" s="5" t="s">
        <v>240</v>
      </c>
      <c r="DQ3230" s="5" t="s">
        <v>240</v>
      </c>
      <c r="DR3230" s="5" t="s">
        <v>240</v>
      </c>
      <c r="DS3230" s="5" t="s">
        <v>240</v>
      </c>
      <c r="DV3230" s="5" t="s">
        <v>310</v>
      </c>
      <c r="DW3230" s="5" t="s">
        <v>4842</v>
      </c>
      <c r="HO3230" s="5" t="s">
        <v>312</v>
      </c>
    </row>
    <row r="3231" spans="1:240" x14ac:dyDescent="0.4">
      <c r="A3231" s="5">
        <v>8596</v>
      </c>
      <c r="B3231" s="5">
        <v>1</v>
      </c>
      <c r="C3231" s="5">
        <v>1</v>
      </c>
      <c r="D3231" s="5" t="s">
        <v>240</v>
      </c>
      <c r="E3231" s="5" t="s">
        <v>245</v>
      </c>
      <c r="F3231" s="5" t="s">
        <v>254</v>
      </c>
      <c r="G3231" s="5" t="s">
        <v>6910</v>
      </c>
      <c r="I3231" s="5" t="s">
        <v>6909</v>
      </c>
      <c r="J3231" s="7">
        <f>0</f>
        <v>0</v>
      </c>
      <c r="K3231" s="5" t="s">
        <v>266</v>
      </c>
      <c r="L3231" s="7">
        <f>7891459</f>
        <v>7891459</v>
      </c>
      <c r="M3231" s="7">
        <f>7891459</f>
        <v>7891459</v>
      </c>
      <c r="N3231" s="5" t="s">
        <v>242</v>
      </c>
      <c r="O3231" s="5">
        <v>1</v>
      </c>
      <c r="P3231" s="5" t="s">
        <v>294</v>
      </c>
      <c r="Q3231" s="5" t="s">
        <v>3678</v>
      </c>
      <c r="R3231" s="5" t="s">
        <v>240</v>
      </c>
      <c r="S3231" s="5" t="s">
        <v>240</v>
      </c>
      <c r="T3231" s="5" t="s">
        <v>243</v>
      </c>
      <c r="U3231" s="5" t="s">
        <v>244</v>
      </c>
      <c r="V3231" s="5" t="s">
        <v>240</v>
      </c>
      <c r="W3231" s="5" t="s">
        <v>240</v>
      </c>
      <c r="X3231" s="5" t="s">
        <v>240</v>
      </c>
      <c r="Y3231" s="5" t="s">
        <v>240</v>
      </c>
      <c r="Z3231" s="6" t="s">
        <v>298</v>
      </c>
      <c r="AA3231" s="6" t="s">
        <v>240</v>
      </c>
      <c r="AB3231" s="6" t="s">
        <v>240</v>
      </c>
      <c r="AC3231" s="5" t="s">
        <v>240</v>
      </c>
      <c r="AD3231" s="6" t="s">
        <v>240</v>
      </c>
      <c r="AE3231" s="6" t="s">
        <v>299</v>
      </c>
      <c r="AF3231" s="5" t="s">
        <v>248</v>
      </c>
      <c r="AG3231" s="5" t="s">
        <v>249</v>
      </c>
      <c r="AH3231" s="5" t="s">
        <v>240</v>
      </c>
      <c r="AI3231" s="5" t="s">
        <v>240</v>
      </c>
      <c r="AJ3231" s="5" t="s">
        <v>240</v>
      </c>
      <c r="AK3231" s="5" t="s">
        <v>240</v>
      </c>
      <c r="AL3231" s="5" t="s">
        <v>240</v>
      </c>
      <c r="AM3231" s="5" t="s">
        <v>240</v>
      </c>
      <c r="AN3231" s="5" t="s">
        <v>240</v>
      </c>
      <c r="AO3231" s="5" t="s">
        <v>240</v>
      </c>
      <c r="AP3231" s="6" t="s">
        <v>240</v>
      </c>
      <c r="AQ3231" s="6" t="s">
        <v>240</v>
      </c>
      <c r="AR3231" s="6" t="s">
        <v>240</v>
      </c>
      <c r="AS3231" s="6" t="s">
        <v>240</v>
      </c>
      <c r="AT3231" s="5" t="s">
        <v>240</v>
      </c>
      <c r="AU3231" s="5" t="s">
        <v>729</v>
      </c>
      <c r="AV3231" s="5" t="s">
        <v>729</v>
      </c>
      <c r="AW3231" s="5" t="s">
        <v>251</v>
      </c>
      <c r="AX3231" s="5" t="s">
        <v>252</v>
      </c>
      <c r="AY3231" s="5" t="s">
        <v>253</v>
      </c>
      <c r="AZ3231" s="5" t="s">
        <v>240</v>
      </c>
      <c r="BA3231" s="5" t="s">
        <v>255</v>
      </c>
      <c r="BB3231" s="5" t="s">
        <v>731</v>
      </c>
      <c r="BD3231" s="5" t="s">
        <v>240</v>
      </c>
      <c r="BF3231" s="5" t="s">
        <v>732</v>
      </c>
      <c r="BG3231" s="6" t="s">
        <v>733</v>
      </c>
      <c r="BH3231" s="5" t="s">
        <v>734</v>
      </c>
      <c r="BI3231" s="5" t="s">
        <v>734</v>
      </c>
      <c r="BJ3231" s="5" t="s">
        <v>240</v>
      </c>
      <c r="BK3231" s="7">
        <f>1</f>
        <v>1</v>
      </c>
      <c r="BL3231" s="7">
        <f>1</f>
        <v>1</v>
      </c>
      <c r="BM3231" s="5" t="s">
        <v>258</v>
      </c>
      <c r="BN3231" s="5" t="s">
        <v>259</v>
      </c>
      <c r="BO3231" s="5" t="s">
        <v>240</v>
      </c>
      <c r="BP3231" s="5" t="s">
        <v>240</v>
      </c>
      <c r="BQ3231" s="5" t="s">
        <v>240</v>
      </c>
      <c r="BR3231" s="5" t="s">
        <v>240</v>
      </c>
      <c r="BS3231" s="5" t="s">
        <v>240</v>
      </c>
      <c r="BT3231" s="5" t="s">
        <v>240</v>
      </c>
      <c r="BU3231" s="5" t="s">
        <v>240</v>
      </c>
      <c r="BV3231" s="5" t="s">
        <v>240</v>
      </c>
      <c r="BW3231" s="6" t="s">
        <v>240</v>
      </c>
      <c r="BX3231" s="5" t="s">
        <v>240</v>
      </c>
      <c r="BY3231" s="5" t="s">
        <v>240</v>
      </c>
      <c r="BZ3231" s="5" t="s">
        <v>240</v>
      </c>
      <c r="CA3231" s="5" t="s">
        <v>259</v>
      </c>
      <c r="CB3231" s="5" t="s">
        <v>240</v>
      </c>
      <c r="CC3231" s="5" t="s">
        <v>240</v>
      </c>
      <c r="CD3231" s="5" t="s">
        <v>240</v>
      </c>
      <c r="CE3231" s="5" t="s">
        <v>240</v>
      </c>
      <c r="CF3231" s="5" t="s">
        <v>240</v>
      </c>
      <c r="CG3231" s="5" t="s">
        <v>304</v>
      </c>
      <c r="CH3231" s="5" t="s">
        <v>305</v>
      </c>
      <c r="CI3231" s="5" t="s">
        <v>240</v>
      </c>
      <c r="CK3231" s="5" t="s">
        <v>3681</v>
      </c>
      <c r="CL3231" s="6" t="s">
        <v>261</v>
      </c>
      <c r="CM3231" s="5" t="s">
        <v>262</v>
      </c>
      <c r="CN3231" s="5" t="s">
        <v>263</v>
      </c>
      <c r="CO3231" s="5" t="s">
        <v>264</v>
      </c>
      <c r="CP3231" s="5" t="s">
        <v>240</v>
      </c>
      <c r="CQ3231" s="5">
        <v>0</v>
      </c>
      <c r="CR3231" s="5" t="s">
        <v>735</v>
      </c>
      <c r="CS3231" s="5" t="s">
        <v>307</v>
      </c>
      <c r="CT3231" s="5" t="s">
        <v>307</v>
      </c>
      <c r="CU3231" s="5" t="s">
        <v>260</v>
      </c>
      <c r="CV3231" s="5" t="s">
        <v>612</v>
      </c>
      <c r="CW3231" s="8">
        <f>1</f>
        <v>1</v>
      </c>
      <c r="CX3231" s="7">
        <f>1</f>
        <v>1</v>
      </c>
      <c r="CY3231" s="7">
        <f>0</f>
        <v>0</v>
      </c>
      <c r="DA3231" s="7">
        <f>1</f>
        <v>1</v>
      </c>
      <c r="DB3231" s="7" t="s">
        <v>240</v>
      </c>
      <c r="DC3231" s="5" t="s">
        <v>240</v>
      </c>
      <c r="DD3231" s="5" t="s">
        <v>240</v>
      </c>
      <c r="DE3231" s="5" t="s">
        <v>240</v>
      </c>
      <c r="DF3231" s="5" t="s">
        <v>240</v>
      </c>
      <c r="DG3231" s="7">
        <f>0</f>
        <v>0</v>
      </c>
      <c r="DI3231" s="5" t="s">
        <v>240</v>
      </c>
      <c r="DJ3231" s="5" t="s">
        <v>240</v>
      </c>
      <c r="DK3231" s="5" t="s">
        <v>240</v>
      </c>
      <c r="DL3231" s="5" t="s">
        <v>240</v>
      </c>
      <c r="DM3231" s="5" t="s">
        <v>240</v>
      </c>
      <c r="DN3231" s="5" t="s">
        <v>240</v>
      </c>
      <c r="DO3231" s="7" t="s">
        <v>240</v>
      </c>
      <c r="DP3231" s="5" t="s">
        <v>240</v>
      </c>
      <c r="DQ3231" s="5" t="s">
        <v>240</v>
      </c>
      <c r="DR3231" s="5" t="s">
        <v>731</v>
      </c>
      <c r="DS3231" s="5" t="s">
        <v>731</v>
      </c>
      <c r="DT3231" s="5" t="s">
        <v>240</v>
      </c>
      <c r="DU3231" s="5" t="s">
        <v>240</v>
      </c>
      <c r="DV3231" s="5" t="s">
        <v>3683</v>
      </c>
      <c r="DW3231" s="5" t="s">
        <v>1072</v>
      </c>
      <c r="DX3231" s="5" t="s">
        <v>240</v>
      </c>
      <c r="DY3231" s="5" t="s">
        <v>240</v>
      </c>
      <c r="DZ3231" s="5" t="s">
        <v>240</v>
      </c>
      <c r="EA3231" s="5" t="s">
        <v>240</v>
      </c>
      <c r="EB3231" s="5" t="s">
        <v>240</v>
      </c>
      <c r="EC3231" s="5" t="s">
        <v>240</v>
      </c>
      <c r="ED3231" s="5" t="s">
        <v>240</v>
      </c>
      <c r="EE3231" s="5" t="s">
        <v>240</v>
      </c>
      <c r="EF3231" s="5" t="s">
        <v>240</v>
      </c>
      <c r="EG3231" s="5" t="s">
        <v>240</v>
      </c>
      <c r="EH3231" s="5" t="s">
        <v>240</v>
      </c>
      <c r="EI3231" s="5" t="s">
        <v>240</v>
      </c>
      <c r="EJ3231" s="5" t="s">
        <v>240</v>
      </c>
      <c r="EK3231" s="5" t="s">
        <v>240</v>
      </c>
      <c r="EL3231" s="5" t="s">
        <v>240</v>
      </c>
      <c r="EM3231" s="5" t="s">
        <v>240</v>
      </c>
      <c r="EN3231" s="5" t="s">
        <v>240</v>
      </c>
      <c r="EO3231" s="5" t="s">
        <v>240</v>
      </c>
      <c r="EP3231" s="5" t="s">
        <v>240</v>
      </c>
      <c r="EQ3231" s="5" t="s">
        <v>240</v>
      </c>
      <c r="ER3231" s="5" t="s">
        <v>240</v>
      </c>
      <c r="ES3231" s="5" t="s">
        <v>240</v>
      </c>
      <c r="ET3231" s="5" t="s">
        <v>240</v>
      </c>
      <c r="EU3231" s="5" t="s">
        <v>240</v>
      </c>
      <c r="EV3231" s="5" t="s">
        <v>240</v>
      </c>
      <c r="EW3231" s="5" t="s">
        <v>240</v>
      </c>
      <c r="EX3231" s="5" t="s">
        <v>240</v>
      </c>
      <c r="EY3231" s="5" t="s">
        <v>240</v>
      </c>
      <c r="EZ3231" s="5" t="s">
        <v>240</v>
      </c>
      <c r="FA3231" s="5" t="s">
        <v>240</v>
      </c>
      <c r="FB3231" s="5" t="s">
        <v>240</v>
      </c>
      <c r="FC3231" s="5" t="s">
        <v>240</v>
      </c>
      <c r="FD3231" s="5" t="s">
        <v>240</v>
      </c>
      <c r="FE3231" s="5" t="s">
        <v>240</v>
      </c>
      <c r="FF3231" s="5" t="s">
        <v>240</v>
      </c>
      <c r="FG3231" s="5" t="s">
        <v>240</v>
      </c>
      <c r="FH3231" s="5" t="s">
        <v>240</v>
      </c>
      <c r="FI3231" s="5" t="s">
        <v>240</v>
      </c>
      <c r="FJ3231" s="5" t="s">
        <v>240</v>
      </c>
      <c r="FK3231" s="5" t="s">
        <v>240</v>
      </c>
      <c r="FL3231" s="5" t="s">
        <v>240</v>
      </c>
      <c r="FM3231" s="5" t="s">
        <v>240</v>
      </c>
      <c r="FN3231" s="5" t="s">
        <v>240</v>
      </c>
      <c r="FO3231" s="5" t="s">
        <v>240</v>
      </c>
      <c r="FP3231" s="5" t="s">
        <v>240</v>
      </c>
      <c r="FQ3231" s="5" t="s">
        <v>240</v>
      </c>
      <c r="FR3231" s="5" t="s">
        <v>240</v>
      </c>
      <c r="FS3231" s="5" t="s">
        <v>240</v>
      </c>
      <c r="FT3231" s="5" t="s">
        <v>240</v>
      </c>
      <c r="FU3231" s="5" t="s">
        <v>240</v>
      </c>
      <c r="FV3231" s="5" t="s">
        <v>240</v>
      </c>
      <c r="FW3231" s="5" t="s">
        <v>240</v>
      </c>
      <c r="FX3231" s="5" t="s">
        <v>240</v>
      </c>
      <c r="FY3231" s="5" t="s">
        <v>240</v>
      </c>
      <c r="FZ3231" s="5" t="s">
        <v>240</v>
      </c>
      <c r="GA3231" s="5" t="s">
        <v>240</v>
      </c>
      <c r="GB3231" s="5" t="s">
        <v>240</v>
      </c>
      <c r="GC3231" s="5" t="s">
        <v>240</v>
      </c>
      <c r="GD3231" s="5" t="s">
        <v>240</v>
      </c>
      <c r="GE3231" s="5" t="s">
        <v>240</v>
      </c>
      <c r="GF3231" s="5" t="s">
        <v>240</v>
      </c>
      <c r="GG3231" s="5" t="s">
        <v>240</v>
      </c>
      <c r="GH3231" s="5" t="s">
        <v>240</v>
      </c>
      <c r="GI3231" s="5" t="s">
        <v>240</v>
      </c>
      <c r="GJ3231" s="5" t="s">
        <v>240</v>
      </c>
      <c r="GK3231" s="5" t="s">
        <v>240</v>
      </c>
      <c r="GL3231" s="5" t="s">
        <v>240</v>
      </c>
      <c r="GM3231" s="5" t="s">
        <v>240</v>
      </c>
      <c r="GN3231" s="5" t="s">
        <v>240</v>
      </c>
      <c r="GO3231" s="5" t="s">
        <v>240</v>
      </c>
      <c r="GP3231" s="5" t="s">
        <v>240</v>
      </c>
      <c r="GQ3231" s="5" t="s">
        <v>240</v>
      </c>
      <c r="GR3231" s="5" t="s">
        <v>240</v>
      </c>
      <c r="GS3231" s="5" t="s">
        <v>240</v>
      </c>
      <c r="GT3231" s="5" t="s">
        <v>240</v>
      </c>
      <c r="GU3231" s="5" t="s">
        <v>240</v>
      </c>
      <c r="GV3231" s="5" t="s">
        <v>240</v>
      </c>
      <c r="GW3231" s="5" t="s">
        <v>240</v>
      </c>
      <c r="GX3231" s="5" t="s">
        <v>240</v>
      </c>
      <c r="GY3231" s="5" t="s">
        <v>240</v>
      </c>
      <c r="GZ3231" s="5" t="s">
        <v>240</v>
      </c>
      <c r="HA3231" s="5" t="s">
        <v>240</v>
      </c>
      <c r="HB3231" s="5" t="s">
        <v>240</v>
      </c>
      <c r="HC3231" s="5" t="s">
        <v>240</v>
      </c>
      <c r="HD3231" s="5" t="s">
        <v>240</v>
      </c>
      <c r="HE3231" s="5" t="s">
        <v>240</v>
      </c>
      <c r="HF3231" s="5" t="s">
        <v>240</v>
      </c>
      <c r="HG3231" s="5" t="s">
        <v>240</v>
      </c>
      <c r="HH3231" s="5" t="s">
        <v>240</v>
      </c>
      <c r="HI3231" s="5" t="s">
        <v>240</v>
      </c>
      <c r="HJ3231" s="5" t="s">
        <v>240</v>
      </c>
      <c r="HK3231" s="5" t="s">
        <v>240</v>
      </c>
      <c r="HL3231" s="5" t="s">
        <v>240</v>
      </c>
      <c r="HM3231" s="5" t="s">
        <v>240</v>
      </c>
      <c r="HN3231" s="5" t="s">
        <v>240</v>
      </c>
      <c r="HO3231" s="5" t="s">
        <v>312</v>
      </c>
      <c r="HP3231" s="5" t="s">
        <v>240</v>
      </c>
      <c r="HQ3231" s="5" t="s">
        <v>240</v>
      </c>
      <c r="HR3231" s="5" t="s">
        <v>240</v>
      </c>
      <c r="HS3231" s="5" t="s">
        <v>240</v>
      </c>
      <c r="HT3231" s="5" t="s">
        <v>240</v>
      </c>
      <c r="HU3231" s="5" t="s">
        <v>240</v>
      </c>
      <c r="HV3231" s="5" t="s">
        <v>240</v>
      </c>
      <c r="HW3231" s="5" t="s">
        <v>240</v>
      </c>
      <c r="HX3231" s="5" t="s">
        <v>240</v>
      </c>
      <c r="HY3231" s="5" t="s">
        <v>240</v>
      </c>
      <c r="HZ3231" s="5" t="s">
        <v>240</v>
      </c>
      <c r="IA3231" s="5" t="s">
        <v>240</v>
      </c>
      <c r="IB3231" s="5" t="s">
        <v>240</v>
      </c>
      <c r="IC3231" s="5" t="s">
        <v>240</v>
      </c>
      <c r="ID3231" s="5" t="s">
        <v>240</v>
      </c>
      <c r="IE3231" s="5" t="s">
        <v>240</v>
      </c>
      <c r="IF3231" s="5" t="s">
        <v>240</v>
      </c>
    </row>
    <row r="3232" spans="1:240" x14ac:dyDescent="0.4">
      <c r="A3232" s="5">
        <v>8597</v>
      </c>
      <c r="B3232" s="5">
        <v>1</v>
      </c>
      <c r="C3232" s="5">
        <v>1</v>
      </c>
      <c r="D3232" s="5" t="s">
        <v>240</v>
      </c>
      <c r="E3232" s="5" t="s">
        <v>245</v>
      </c>
      <c r="F3232" s="5" t="s">
        <v>254</v>
      </c>
      <c r="G3232" s="5" t="s">
        <v>240</v>
      </c>
      <c r="I3232" s="5" t="s">
        <v>6475</v>
      </c>
      <c r="J3232" s="7">
        <f>0</f>
        <v>0</v>
      </c>
      <c r="K3232" s="5" t="s">
        <v>266</v>
      </c>
      <c r="L3232" s="7">
        <f>251920</f>
        <v>251920</v>
      </c>
      <c r="M3232" s="7">
        <f>251920</f>
        <v>251920</v>
      </c>
      <c r="N3232" s="5" t="s">
        <v>242</v>
      </c>
      <c r="O3232" s="5">
        <v>1</v>
      </c>
      <c r="P3232" s="5" t="s">
        <v>294</v>
      </c>
      <c r="Q3232" s="5" t="s">
        <v>3678</v>
      </c>
      <c r="R3232" s="5" t="s">
        <v>240</v>
      </c>
      <c r="S3232" s="5" t="s">
        <v>240</v>
      </c>
      <c r="T3232" s="5" t="s">
        <v>243</v>
      </c>
      <c r="U3232" s="5" t="s">
        <v>244</v>
      </c>
      <c r="V3232" s="5" t="s">
        <v>240</v>
      </c>
      <c r="W3232" s="5" t="s">
        <v>240</v>
      </c>
      <c r="X3232" s="5" t="s">
        <v>240</v>
      </c>
      <c r="Y3232" s="5" t="s">
        <v>240</v>
      </c>
      <c r="Z3232" s="6" t="s">
        <v>298</v>
      </c>
      <c r="AA3232" s="6" t="s">
        <v>240</v>
      </c>
      <c r="AB3232" s="6" t="s">
        <v>240</v>
      </c>
      <c r="AC3232" s="5" t="s">
        <v>240</v>
      </c>
      <c r="AD3232" s="6" t="s">
        <v>240</v>
      </c>
      <c r="AE3232" s="6" t="s">
        <v>299</v>
      </c>
      <c r="AF3232" s="5" t="s">
        <v>248</v>
      </c>
      <c r="AG3232" s="5" t="s">
        <v>249</v>
      </c>
      <c r="AH3232" s="5" t="s">
        <v>240</v>
      </c>
      <c r="AI3232" s="5" t="s">
        <v>240</v>
      </c>
      <c r="AJ3232" s="5" t="s">
        <v>240</v>
      </c>
      <c r="AK3232" s="5" t="s">
        <v>240</v>
      </c>
      <c r="AL3232" s="5" t="s">
        <v>240</v>
      </c>
      <c r="AM3232" s="5" t="s">
        <v>240</v>
      </c>
      <c r="AN3232" s="5" t="s">
        <v>240</v>
      </c>
      <c r="AO3232" s="5" t="s">
        <v>240</v>
      </c>
      <c r="AP3232" s="6" t="s">
        <v>240</v>
      </c>
      <c r="AQ3232" s="6" t="s">
        <v>240</v>
      </c>
      <c r="AR3232" s="6" t="s">
        <v>240</v>
      </c>
      <c r="AS3232" s="6" t="s">
        <v>240</v>
      </c>
      <c r="AT3232" s="5" t="s">
        <v>240</v>
      </c>
      <c r="AU3232" s="5" t="s">
        <v>729</v>
      </c>
      <c r="AV3232" s="5" t="s">
        <v>729</v>
      </c>
      <c r="AW3232" s="5" t="s">
        <v>251</v>
      </c>
      <c r="AX3232" s="5" t="s">
        <v>252</v>
      </c>
      <c r="AY3232" s="5" t="s">
        <v>253</v>
      </c>
      <c r="AZ3232" s="5" t="s">
        <v>240</v>
      </c>
      <c r="BA3232" s="5" t="s">
        <v>255</v>
      </c>
      <c r="BB3232" s="5" t="s">
        <v>731</v>
      </c>
      <c r="BD3232" s="5" t="s">
        <v>240</v>
      </c>
      <c r="BF3232" s="5" t="s">
        <v>732</v>
      </c>
      <c r="BG3232" s="6" t="s">
        <v>733</v>
      </c>
      <c r="BH3232" s="5" t="s">
        <v>734</v>
      </c>
      <c r="BI3232" s="5" t="s">
        <v>734</v>
      </c>
      <c r="BJ3232" s="5" t="s">
        <v>240</v>
      </c>
      <c r="BK3232" s="7">
        <f>1</f>
        <v>1</v>
      </c>
      <c r="BL3232" s="7">
        <f>1</f>
        <v>1</v>
      </c>
      <c r="BM3232" s="5" t="s">
        <v>258</v>
      </c>
      <c r="BN3232" s="5" t="s">
        <v>259</v>
      </c>
      <c r="BO3232" s="5" t="s">
        <v>240</v>
      </c>
      <c r="BP3232" s="5" t="s">
        <v>240</v>
      </c>
      <c r="BQ3232" s="5" t="s">
        <v>240</v>
      </c>
      <c r="BR3232" s="5" t="s">
        <v>240</v>
      </c>
      <c r="BS3232" s="5" t="s">
        <v>240</v>
      </c>
      <c r="BT3232" s="5" t="s">
        <v>240</v>
      </c>
      <c r="BU3232" s="5" t="s">
        <v>240</v>
      </c>
      <c r="BV3232" s="5" t="s">
        <v>240</v>
      </c>
      <c r="BW3232" s="6" t="s">
        <v>240</v>
      </c>
      <c r="BX3232" s="5" t="s">
        <v>240</v>
      </c>
      <c r="BY3232" s="5" t="s">
        <v>240</v>
      </c>
      <c r="BZ3232" s="5" t="s">
        <v>240</v>
      </c>
      <c r="CA3232" s="5" t="s">
        <v>259</v>
      </c>
      <c r="CB3232" s="5" t="s">
        <v>240</v>
      </c>
      <c r="CC3232" s="5" t="s">
        <v>240</v>
      </c>
      <c r="CD3232" s="5" t="s">
        <v>240</v>
      </c>
      <c r="CE3232" s="5" t="s">
        <v>240</v>
      </c>
      <c r="CF3232" s="5" t="s">
        <v>240</v>
      </c>
      <c r="CG3232" s="5" t="s">
        <v>304</v>
      </c>
      <c r="CH3232" s="5" t="s">
        <v>305</v>
      </c>
      <c r="CI3232" s="5" t="s">
        <v>240</v>
      </c>
      <c r="CK3232" s="5" t="s">
        <v>3681</v>
      </c>
      <c r="CL3232" s="6" t="s">
        <v>261</v>
      </c>
      <c r="CM3232" s="5" t="s">
        <v>262</v>
      </c>
      <c r="CN3232" s="5" t="s">
        <v>263</v>
      </c>
      <c r="CO3232" s="5" t="s">
        <v>264</v>
      </c>
      <c r="CP3232" s="5" t="s">
        <v>240</v>
      </c>
      <c r="CQ3232" s="5">
        <v>0</v>
      </c>
      <c r="CR3232" s="5" t="s">
        <v>735</v>
      </c>
      <c r="CS3232" s="5" t="s">
        <v>307</v>
      </c>
      <c r="CT3232" s="5" t="s">
        <v>307</v>
      </c>
      <c r="CU3232" s="5" t="s">
        <v>260</v>
      </c>
      <c r="CV3232" s="5" t="s">
        <v>612</v>
      </c>
      <c r="CW3232" s="8">
        <f>1</f>
        <v>1</v>
      </c>
      <c r="CX3232" s="7">
        <f>1</f>
        <v>1</v>
      </c>
      <c r="CY3232" s="7">
        <f>0</f>
        <v>0</v>
      </c>
      <c r="DA3232" s="7">
        <f>1</f>
        <v>1</v>
      </c>
      <c r="DB3232" s="7" t="s">
        <v>240</v>
      </c>
      <c r="DC3232" s="5" t="s">
        <v>240</v>
      </c>
      <c r="DD3232" s="5" t="s">
        <v>240</v>
      </c>
      <c r="DE3232" s="5" t="s">
        <v>240</v>
      </c>
      <c r="DF3232" s="5" t="s">
        <v>240</v>
      </c>
      <c r="DG3232" s="7">
        <f>0</f>
        <v>0</v>
      </c>
      <c r="DI3232" s="5" t="s">
        <v>240</v>
      </c>
      <c r="DJ3232" s="5" t="s">
        <v>240</v>
      </c>
      <c r="DK3232" s="5" t="s">
        <v>240</v>
      </c>
      <c r="DL3232" s="5" t="s">
        <v>240</v>
      </c>
      <c r="DM3232" s="5" t="s">
        <v>240</v>
      </c>
      <c r="DN3232" s="5" t="s">
        <v>240</v>
      </c>
      <c r="DO3232" s="7" t="s">
        <v>240</v>
      </c>
      <c r="DP3232" s="5" t="s">
        <v>240</v>
      </c>
      <c r="DQ3232" s="5" t="s">
        <v>240</v>
      </c>
      <c r="DR3232" s="5" t="s">
        <v>731</v>
      </c>
      <c r="DS3232" s="5" t="s">
        <v>731</v>
      </c>
      <c r="DT3232" s="5" t="s">
        <v>240</v>
      </c>
      <c r="DU3232" s="5" t="s">
        <v>240</v>
      </c>
      <c r="DV3232" s="5" t="s">
        <v>3683</v>
      </c>
      <c r="DW3232" s="5" t="s">
        <v>340</v>
      </c>
      <c r="DX3232" s="5" t="s">
        <v>240</v>
      </c>
      <c r="DY3232" s="5" t="s">
        <v>240</v>
      </c>
      <c r="DZ3232" s="5" t="s">
        <v>240</v>
      </c>
      <c r="EA3232" s="5" t="s">
        <v>240</v>
      </c>
      <c r="EB3232" s="5" t="s">
        <v>240</v>
      </c>
      <c r="EC3232" s="5" t="s">
        <v>240</v>
      </c>
      <c r="ED3232" s="5" t="s">
        <v>240</v>
      </c>
      <c r="EE3232" s="5" t="s">
        <v>240</v>
      </c>
      <c r="EF3232" s="5" t="s">
        <v>240</v>
      </c>
      <c r="EG3232" s="5" t="s">
        <v>240</v>
      </c>
      <c r="EH3232" s="5" t="s">
        <v>240</v>
      </c>
      <c r="EI3232" s="5" t="s">
        <v>240</v>
      </c>
      <c r="EJ3232" s="5" t="s">
        <v>240</v>
      </c>
      <c r="EK3232" s="5" t="s">
        <v>240</v>
      </c>
      <c r="EL3232" s="5" t="s">
        <v>240</v>
      </c>
      <c r="EM3232" s="5" t="s">
        <v>240</v>
      </c>
      <c r="EN3232" s="5" t="s">
        <v>240</v>
      </c>
      <c r="EO3232" s="5" t="s">
        <v>240</v>
      </c>
      <c r="EP3232" s="5" t="s">
        <v>240</v>
      </c>
      <c r="EQ3232" s="5" t="s">
        <v>240</v>
      </c>
      <c r="ER3232" s="5" t="s">
        <v>240</v>
      </c>
      <c r="ES3232" s="5" t="s">
        <v>240</v>
      </c>
      <c r="ET3232" s="5" t="s">
        <v>240</v>
      </c>
      <c r="EU3232" s="5" t="s">
        <v>240</v>
      </c>
      <c r="EV3232" s="5" t="s">
        <v>240</v>
      </c>
      <c r="EW3232" s="5" t="s">
        <v>240</v>
      </c>
      <c r="EX3232" s="5" t="s">
        <v>240</v>
      </c>
      <c r="EY3232" s="5" t="s">
        <v>240</v>
      </c>
      <c r="EZ3232" s="5" t="s">
        <v>240</v>
      </c>
      <c r="FA3232" s="5" t="s">
        <v>240</v>
      </c>
      <c r="FB3232" s="5" t="s">
        <v>240</v>
      </c>
      <c r="FC3232" s="5" t="s">
        <v>240</v>
      </c>
      <c r="FD3232" s="5" t="s">
        <v>240</v>
      </c>
      <c r="FE3232" s="5" t="s">
        <v>240</v>
      </c>
      <c r="FF3232" s="5" t="s">
        <v>240</v>
      </c>
      <c r="FG3232" s="5" t="s">
        <v>240</v>
      </c>
      <c r="FH3232" s="5" t="s">
        <v>240</v>
      </c>
      <c r="FI3232" s="5" t="s">
        <v>240</v>
      </c>
      <c r="FJ3232" s="5" t="s">
        <v>240</v>
      </c>
      <c r="FK3232" s="5" t="s">
        <v>240</v>
      </c>
      <c r="FL3232" s="5" t="s">
        <v>240</v>
      </c>
      <c r="FM3232" s="5" t="s">
        <v>240</v>
      </c>
      <c r="FN3232" s="5" t="s">
        <v>240</v>
      </c>
      <c r="FO3232" s="5" t="s">
        <v>240</v>
      </c>
      <c r="FP3232" s="5" t="s">
        <v>240</v>
      </c>
      <c r="FQ3232" s="5" t="s">
        <v>240</v>
      </c>
      <c r="FR3232" s="5" t="s">
        <v>240</v>
      </c>
      <c r="FS3232" s="5" t="s">
        <v>240</v>
      </c>
      <c r="FT3232" s="5" t="s">
        <v>240</v>
      </c>
      <c r="FU3232" s="5" t="s">
        <v>240</v>
      </c>
      <c r="FV3232" s="5" t="s">
        <v>240</v>
      </c>
      <c r="FW3232" s="5" t="s">
        <v>240</v>
      </c>
      <c r="FX3232" s="5" t="s">
        <v>240</v>
      </c>
      <c r="FY3232" s="5" t="s">
        <v>240</v>
      </c>
      <c r="FZ3232" s="5" t="s">
        <v>240</v>
      </c>
      <c r="GA3232" s="5" t="s">
        <v>240</v>
      </c>
      <c r="GB3232" s="5" t="s">
        <v>240</v>
      </c>
      <c r="GC3232" s="5" t="s">
        <v>240</v>
      </c>
      <c r="GD3232" s="5" t="s">
        <v>240</v>
      </c>
      <c r="GE3232" s="5" t="s">
        <v>240</v>
      </c>
      <c r="GF3232" s="5" t="s">
        <v>240</v>
      </c>
      <c r="GG3232" s="5" t="s">
        <v>240</v>
      </c>
      <c r="GH3232" s="5" t="s">
        <v>240</v>
      </c>
      <c r="GI3232" s="5" t="s">
        <v>240</v>
      </c>
      <c r="GJ3232" s="5" t="s">
        <v>240</v>
      </c>
      <c r="GK3232" s="5" t="s">
        <v>240</v>
      </c>
      <c r="GL3232" s="5" t="s">
        <v>240</v>
      </c>
      <c r="GM3232" s="5" t="s">
        <v>240</v>
      </c>
      <c r="GN3232" s="5" t="s">
        <v>240</v>
      </c>
      <c r="GO3232" s="5" t="s">
        <v>240</v>
      </c>
      <c r="GP3232" s="5" t="s">
        <v>240</v>
      </c>
      <c r="GQ3232" s="5" t="s">
        <v>240</v>
      </c>
      <c r="GR3232" s="5" t="s">
        <v>240</v>
      </c>
      <c r="GS3232" s="5" t="s">
        <v>240</v>
      </c>
      <c r="GT3232" s="5" t="s">
        <v>240</v>
      </c>
      <c r="GU3232" s="5" t="s">
        <v>240</v>
      </c>
      <c r="GV3232" s="5" t="s">
        <v>240</v>
      </c>
      <c r="GW3232" s="5" t="s">
        <v>240</v>
      </c>
      <c r="GX3232" s="5" t="s">
        <v>240</v>
      </c>
      <c r="GY3232" s="5" t="s">
        <v>240</v>
      </c>
      <c r="GZ3232" s="5" t="s">
        <v>240</v>
      </c>
      <c r="HA3232" s="5" t="s">
        <v>240</v>
      </c>
      <c r="HB3232" s="5" t="s">
        <v>240</v>
      </c>
      <c r="HC3232" s="5" t="s">
        <v>240</v>
      </c>
      <c r="HD3232" s="5" t="s">
        <v>240</v>
      </c>
      <c r="HE3232" s="5" t="s">
        <v>240</v>
      </c>
      <c r="HF3232" s="5" t="s">
        <v>240</v>
      </c>
      <c r="HG3232" s="5" t="s">
        <v>240</v>
      </c>
      <c r="HH3232" s="5" t="s">
        <v>240</v>
      </c>
      <c r="HI3232" s="5" t="s">
        <v>240</v>
      </c>
      <c r="HJ3232" s="5" t="s">
        <v>240</v>
      </c>
      <c r="HK3232" s="5" t="s">
        <v>240</v>
      </c>
      <c r="HL3232" s="5" t="s">
        <v>240</v>
      </c>
      <c r="HM3232" s="5" t="s">
        <v>240</v>
      </c>
      <c r="HN3232" s="5" t="s">
        <v>240</v>
      </c>
      <c r="HO3232" s="5" t="s">
        <v>312</v>
      </c>
      <c r="HP3232" s="5" t="s">
        <v>240</v>
      </c>
      <c r="HQ3232" s="5" t="s">
        <v>240</v>
      </c>
      <c r="HR3232" s="5" t="s">
        <v>240</v>
      </c>
      <c r="HS3232" s="5" t="s">
        <v>240</v>
      </c>
      <c r="HT3232" s="5" t="s">
        <v>240</v>
      </c>
      <c r="HU3232" s="5" t="s">
        <v>240</v>
      </c>
      <c r="HV3232" s="5" t="s">
        <v>240</v>
      </c>
      <c r="HW3232" s="5" t="s">
        <v>240</v>
      </c>
      <c r="HX3232" s="5" t="s">
        <v>240</v>
      </c>
      <c r="HY3232" s="5" t="s">
        <v>240</v>
      </c>
      <c r="HZ3232" s="5" t="s">
        <v>240</v>
      </c>
      <c r="IA3232" s="5" t="s">
        <v>240</v>
      </c>
      <c r="IB3232" s="5" t="s">
        <v>240</v>
      </c>
      <c r="IC3232" s="5" t="s">
        <v>240</v>
      </c>
      <c r="ID3232" s="5" t="s">
        <v>240</v>
      </c>
      <c r="IE3232" s="5" t="s">
        <v>240</v>
      </c>
      <c r="IF3232" s="5" t="s">
        <v>240</v>
      </c>
    </row>
    <row r="3233" spans="1:240" x14ac:dyDescent="0.4">
      <c r="A3233" s="5">
        <v>8598</v>
      </c>
      <c r="B3233" s="5">
        <v>1</v>
      </c>
      <c r="C3233" s="5">
        <v>1</v>
      </c>
      <c r="D3233" s="5" t="s">
        <v>240</v>
      </c>
      <c r="E3233" s="5" t="s">
        <v>245</v>
      </c>
      <c r="F3233" s="5" t="s">
        <v>254</v>
      </c>
      <c r="G3233" s="5" t="s">
        <v>240</v>
      </c>
      <c r="I3233" s="5" t="s">
        <v>6973</v>
      </c>
      <c r="J3233" s="7">
        <f>0</f>
        <v>0</v>
      </c>
      <c r="K3233" s="5" t="s">
        <v>266</v>
      </c>
      <c r="L3233" s="7">
        <f>251920</f>
        <v>251920</v>
      </c>
      <c r="M3233" s="7">
        <f>251920</f>
        <v>251920</v>
      </c>
      <c r="N3233" s="5" t="s">
        <v>242</v>
      </c>
      <c r="O3233" s="5">
        <v>1</v>
      </c>
      <c r="P3233" s="5" t="s">
        <v>294</v>
      </c>
      <c r="Q3233" s="5" t="s">
        <v>3678</v>
      </c>
      <c r="R3233" s="5" t="s">
        <v>240</v>
      </c>
      <c r="S3233" s="5" t="s">
        <v>240</v>
      </c>
      <c r="T3233" s="5" t="s">
        <v>243</v>
      </c>
      <c r="U3233" s="5" t="s">
        <v>244</v>
      </c>
      <c r="V3233" s="5" t="s">
        <v>240</v>
      </c>
      <c r="W3233" s="5" t="s">
        <v>240</v>
      </c>
      <c r="X3233" s="5" t="s">
        <v>240</v>
      </c>
      <c r="Y3233" s="5" t="s">
        <v>240</v>
      </c>
      <c r="Z3233" s="6" t="s">
        <v>298</v>
      </c>
      <c r="AA3233" s="6" t="s">
        <v>240</v>
      </c>
      <c r="AB3233" s="6" t="s">
        <v>240</v>
      </c>
      <c r="AC3233" s="5" t="s">
        <v>240</v>
      </c>
      <c r="AD3233" s="6" t="s">
        <v>240</v>
      </c>
      <c r="AE3233" s="6" t="s">
        <v>299</v>
      </c>
      <c r="AF3233" s="5" t="s">
        <v>248</v>
      </c>
      <c r="AG3233" s="5" t="s">
        <v>249</v>
      </c>
      <c r="AH3233" s="5" t="s">
        <v>240</v>
      </c>
      <c r="AI3233" s="5" t="s">
        <v>240</v>
      </c>
      <c r="AJ3233" s="5" t="s">
        <v>240</v>
      </c>
      <c r="AK3233" s="5" t="s">
        <v>240</v>
      </c>
      <c r="AL3233" s="5" t="s">
        <v>240</v>
      </c>
      <c r="AM3233" s="5" t="s">
        <v>240</v>
      </c>
      <c r="AN3233" s="5" t="s">
        <v>240</v>
      </c>
      <c r="AO3233" s="5" t="s">
        <v>240</v>
      </c>
      <c r="AP3233" s="6" t="s">
        <v>240</v>
      </c>
      <c r="AQ3233" s="6" t="s">
        <v>240</v>
      </c>
      <c r="AR3233" s="6" t="s">
        <v>240</v>
      </c>
      <c r="AS3233" s="6" t="s">
        <v>240</v>
      </c>
      <c r="AT3233" s="5" t="s">
        <v>240</v>
      </c>
      <c r="AU3233" s="5" t="s">
        <v>729</v>
      </c>
      <c r="AV3233" s="5" t="s">
        <v>729</v>
      </c>
      <c r="AW3233" s="5" t="s">
        <v>251</v>
      </c>
      <c r="AX3233" s="5" t="s">
        <v>252</v>
      </c>
      <c r="AY3233" s="5" t="s">
        <v>253</v>
      </c>
      <c r="AZ3233" s="5" t="s">
        <v>240</v>
      </c>
      <c r="BA3233" s="5" t="s">
        <v>255</v>
      </c>
      <c r="BB3233" s="5" t="s">
        <v>731</v>
      </c>
      <c r="BD3233" s="5" t="s">
        <v>240</v>
      </c>
      <c r="BF3233" s="5" t="s">
        <v>732</v>
      </c>
      <c r="BG3233" s="6" t="s">
        <v>733</v>
      </c>
      <c r="BH3233" s="5" t="s">
        <v>734</v>
      </c>
      <c r="BI3233" s="5" t="s">
        <v>734</v>
      </c>
      <c r="BJ3233" s="5" t="s">
        <v>240</v>
      </c>
      <c r="BK3233" s="7">
        <f>1</f>
        <v>1</v>
      </c>
      <c r="BL3233" s="7">
        <f>1</f>
        <v>1</v>
      </c>
      <c r="BM3233" s="5" t="s">
        <v>258</v>
      </c>
      <c r="BN3233" s="5" t="s">
        <v>259</v>
      </c>
      <c r="BO3233" s="5" t="s">
        <v>240</v>
      </c>
      <c r="BP3233" s="5" t="s">
        <v>240</v>
      </c>
      <c r="BQ3233" s="5" t="s">
        <v>240</v>
      </c>
      <c r="BR3233" s="5" t="s">
        <v>240</v>
      </c>
      <c r="BS3233" s="5" t="s">
        <v>240</v>
      </c>
      <c r="BT3233" s="5" t="s">
        <v>240</v>
      </c>
      <c r="BU3233" s="5" t="s">
        <v>240</v>
      </c>
      <c r="BV3233" s="5" t="s">
        <v>240</v>
      </c>
      <c r="BW3233" s="6" t="s">
        <v>240</v>
      </c>
      <c r="BX3233" s="5" t="s">
        <v>240</v>
      </c>
      <c r="BY3233" s="5" t="s">
        <v>240</v>
      </c>
      <c r="BZ3233" s="5" t="s">
        <v>240</v>
      </c>
      <c r="CA3233" s="5" t="s">
        <v>259</v>
      </c>
      <c r="CB3233" s="5" t="s">
        <v>240</v>
      </c>
      <c r="CC3233" s="5" t="s">
        <v>240</v>
      </c>
      <c r="CD3233" s="5" t="s">
        <v>240</v>
      </c>
      <c r="CE3233" s="5" t="s">
        <v>240</v>
      </c>
      <c r="CF3233" s="5" t="s">
        <v>240</v>
      </c>
      <c r="CG3233" s="5" t="s">
        <v>304</v>
      </c>
      <c r="CH3233" s="5" t="s">
        <v>305</v>
      </c>
      <c r="CI3233" s="5" t="s">
        <v>240</v>
      </c>
      <c r="CK3233" s="5" t="s">
        <v>3681</v>
      </c>
      <c r="CL3233" s="6" t="s">
        <v>261</v>
      </c>
      <c r="CM3233" s="5" t="s">
        <v>262</v>
      </c>
      <c r="CN3233" s="5" t="s">
        <v>263</v>
      </c>
      <c r="CO3233" s="5" t="s">
        <v>264</v>
      </c>
      <c r="CP3233" s="5" t="s">
        <v>240</v>
      </c>
      <c r="CQ3233" s="5">
        <v>0</v>
      </c>
      <c r="CR3233" s="5" t="s">
        <v>735</v>
      </c>
      <c r="CS3233" s="5" t="s">
        <v>307</v>
      </c>
      <c r="CT3233" s="5" t="s">
        <v>307</v>
      </c>
      <c r="CU3233" s="5" t="s">
        <v>260</v>
      </c>
      <c r="CV3233" s="5" t="s">
        <v>612</v>
      </c>
      <c r="CW3233" s="8">
        <f>1</f>
        <v>1</v>
      </c>
      <c r="CX3233" s="7">
        <f>1</f>
        <v>1</v>
      </c>
      <c r="CY3233" s="7">
        <f>0</f>
        <v>0</v>
      </c>
      <c r="DA3233" s="7">
        <f>1</f>
        <v>1</v>
      </c>
      <c r="DB3233" s="7" t="s">
        <v>240</v>
      </c>
      <c r="DC3233" s="5" t="s">
        <v>240</v>
      </c>
      <c r="DD3233" s="5" t="s">
        <v>240</v>
      </c>
      <c r="DE3233" s="5" t="s">
        <v>240</v>
      </c>
      <c r="DF3233" s="5" t="s">
        <v>240</v>
      </c>
      <c r="DG3233" s="7">
        <f>0</f>
        <v>0</v>
      </c>
      <c r="DI3233" s="5" t="s">
        <v>240</v>
      </c>
      <c r="DJ3233" s="5" t="s">
        <v>240</v>
      </c>
      <c r="DK3233" s="5" t="s">
        <v>240</v>
      </c>
      <c r="DL3233" s="5" t="s">
        <v>240</v>
      </c>
      <c r="DM3233" s="5" t="s">
        <v>240</v>
      </c>
      <c r="DN3233" s="5" t="s">
        <v>240</v>
      </c>
      <c r="DO3233" s="7" t="s">
        <v>240</v>
      </c>
      <c r="DP3233" s="5" t="s">
        <v>240</v>
      </c>
      <c r="DQ3233" s="5" t="s">
        <v>240</v>
      </c>
      <c r="DR3233" s="5" t="s">
        <v>731</v>
      </c>
      <c r="DS3233" s="5" t="s">
        <v>731</v>
      </c>
      <c r="DT3233" s="5" t="s">
        <v>240</v>
      </c>
      <c r="DU3233" s="5" t="s">
        <v>240</v>
      </c>
      <c r="DV3233" s="5" t="s">
        <v>3683</v>
      </c>
      <c r="DW3233" s="5" t="s">
        <v>3995</v>
      </c>
      <c r="DX3233" s="5" t="s">
        <v>240</v>
      </c>
      <c r="DY3233" s="5" t="s">
        <v>240</v>
      </c>
      <c r="DZ3233" s="5" t="s">
        <v>240</v>
      </c>
      <c r="EA3233" s="5" t="s">
        <v>240</v>
      </c>
      <c r="EB3233" s="5" t="s">
        <v>240</v>
      </c>
      <c r="EC3233" s="5" t="s">
        <v>240</v>
      </c>
      <c r="ED3233" s="5" t="s">
        <v>240</v>
      </c>
      <c r="EE3233" s="5" t="s">
        <v>240</v>
      </c>
      <c r="EF3233" s="5" t="s">
        <v>240</v>
      </c>
      <c r="EG3233" s="5" t="s">
        <v>240</v>
      </c>
      <c r="EH3233" s="5" t="s">
        <v>240</v>
      </c>
      <c r="EI3233" s="5" t="s">
        <v>240</v>
      </c>
      <c r="EJ3233" s="5" t="s">
        <v>240</v>
      </c>
      <c r="EK3233" s="5" t="s">
        <v>240</v>
      </c>
      <c r="EL3233" s="5" t="s">
        <v>240</v>
      </c>
      <c r="EM3233" s="5" t="s">
        <v>240</v>
      </c>
      <c r="EN3233" s="5" t="s">
        <v>240</v>
      </c>
      <c r="EO3233" s="5" t="s">
        <v>240</v>
      </c>
      <c r="EP3233" s="5" t="s">
        <v>240</v>
      </c>
      <c r="EQ3233" s="5" t="s">
        <v>240</v>
      </c>
      <c r="ER3233" s="5" t="s">
        <v>240</v>
      </c>
      <c r="ES3233" s="5" t="s">
        <v>240</v>
      </c>
      <c r="ET3233" s="5" t="s">
        <v>240</v>
      </c>
      <c r="EU3233" s="5" t="s">
        <v>240</v>
      </c>
      <c r="EV3233" s="5" t="s">
        <v>240</v>
      </c>
      <c r="EW3233" s="5" t="s">
        <v>240</v>
      </c>
      <c r="EX3233" s="5" t="s">
        <v>240</v>
      </c>
      <c r="EY3233" s="5" t="s">
        <v>240</v>
      </c>
      <c r="EZ3233" s="5" t="s">
        <v>240</v>
      </c>
      <c r="FA3233" s="5" t="s">
        <v>240</v>
      </c>
      <c r="FB3233" s="5" t="s">
        <v>240</v>
      </c>
      <c r="FC3233" s="5" t="s">
        <v>240</v>
      </c>
      <c r="FD3233" s="5" t="s">
        <v>240</v>
      </c>
      <c r="FE3233" s="5" t="s">
        <v>240</v>
      </c>
      <c r="FF3233" s="5" t="s">
        <v>240</v>
      </c>
      <c r="FG3233" s="5" t="s">
        <v>240</v>
      </c>
      <c r="FH3233" s="5" t="s">
        <v>240</v>
      </c>
      <c r="FI3233" s="5" t="s">
        <v>240</v>
      </c>
      <c r="FJ3233" s="5" t="s">
        <v>240</v>
      </c>
      <c r="FK3233" s="5" t="s">
        <v>240</v>
      </c>
      <c r="FL3233" s="5" t="s">
        <v>240</v>
      </c>
      <c r="FM3233" s="5" t="s">
        <v>240</v>
      </c>
      <c r="FN3233" s="5" t="s">
        <v>240</v>
      </c>
      <c r="FO3233" s="5" t="s">
        <v>240</v>
      </c>
      <c r="FP3233" s="5" t="s">
        <v>240</v>
      </c>
      <c r="FQ3233" s="5" t="s">
        <v>240</v>
      </c>
      <c r="FR3233" s="5" t="s">
        <v>240</v>
      </c>
      <c r="FS3233" s="5" t="s">
        <v>240</v>
      </c>
      <c r="FT3233" s="5" t="s">
        <v>240</v>
      </c>
      <c r="FU3233" s="5" t="s">
        <v>240</v>
      </c>
      <c r="FV3233" s="5" t="s">
        <v>240</v>
      </c>
      <c r="FW3233" s="5" t="s">
        <v>240</v>
      </c>
      <c r="FX3233" s="5" t="s">
        <v>240</v>
      </c>
      <c r="FY3233" s="5" t="s">
        <v>240</v>
      </c>
      <c r="FZ3233" s="5" t="s">
        <v>240</v>
      </c>
      <c r="GA3233" s="5" t="s">
        <v>240</v>
      </c>
      <c r="GB3233" s="5" t="s">
        <v>240</v>
      </c>
      <c r="GC3233" s="5" t="s">
        <v>240</v>
      </c>
      <c r="GD3233" s="5" t="s">
        <v>240</v>
      </c>
      <c r="GE3233" s="5" t="s">
        <v>240</v>
      </c>
      <c r="GF3233" s="5" t="s">
        <v>240</v>
      </c>
      <c r="GG3233" s="5" t="s">
        <v>240</v>
      </c>
      <c r="GH3233" s="5" t="s">
        <v>240</v>
      </c>
      <c r="GI3233" s="5" t="s">
        <v>240</v>
      </c>
      <c r="GJ3233" s="5" t="s">
        <v>240</v>
      </c>
      <c r="GK3233" s="5" t="s">
        <v>240</v>
      </c>
      <c r="GL3233" s="5" t="s">
        <v>240</v>
      </c>
      <c r="GM3233" s="5" t="s">
        <v>240</v>
      </c>
      <c r="GN3233" s="5" t="s">
        <v>240</v>
      </c>
      <c r="GO3233" s="5" t="s">
        <v>240</v>
      </c>
      <c r="GP3233" s="5" t="s">
        <v>240</v>
      </c>
      <c r="GQ3233" s="5" t="s">
        <v>240</v>
      </c>
      <c r="GR3233" s="5" t="s">
        <v>240</v>
      </c>
      <c r="GS3233" s="5" t="s">
        <v>240</v>
      </c>
      <c r="GT3233" s="5" t="s">
        <v>240</v>
      </c>
      <c r="GU3233" s="5" t="s">
        <v>240</v>
      </c>
      <c r="GV3233" s="5" t="s">
        <v>240</v>
      </c>
      <c r="GW3233" s="5" t="s">
        <v>240</v>
      </c>
      <c r="GX3233" s="5" t="s">
        <v>240</v>
      </c>
      <c r="GY3233" s="5" t="s">
        <v>240</v>
      </c>
      <c r="GZ3233" s="5" t="s">
        <v>240</v>
      </c>
      <c r="HA3233" s="5" t="s">
        <v>240</v>
      </c>
      <c r="HB3233" s="5" t="s">
        <v>240</v>
      </c>
      <c r="HC3233" s="5" t="s">
        <v>240</v>
      </c>
      <c r="HD3233" s="5" t="s">
        <v>240</v>
      </c>
      <c r="HE3233" s="5" t="s">
        <v>240</v>
      </c>
      <c r="HF3233" s="5" t="s">
        <v>240</v>
      </c>
      <c r="HG3233" s="5" t="s">
        <v>240</v>
      </c>
      <c r="HH3233" s="5" t="s">
        <v>240</v>
      </c>
      <c r="HI3233" s="5" t="s">
        <v>240</v>
      </c>
      <c r="HJ3233" s="5" t="s">
        <v>240</v>
      </c>
      <c r="HK3233" s="5" t="s">
        <v>240</v>
      </c>
      <c r="HL3233" s="5" t="s">
        <v>240</v>
      </c>
      <c r="HM3233" s="5" t="s">
        <v>240</v>
      </c>
      <c r="HN3233" s="5" t="s">
        <v>240</v>
      </c>
      <c r="HO3233" s="5" t="s">
        <v>312</v>
      </c>
      <c r="HP3233" s="5" t="s">
        <v>240</v>
      </c>
      <c r="HQ3233" s="5" t="s">
        <v>240</v>
      </c>
      <c r="HR3233" s="5" t="s">
        <v>240</v>
      </c>
      <c r="HS3233" s="5" t="s">
        <v>240</v>
      </c>
      <c r="HT3233" s="5" t="s">
        <v>240</v>
      </c>
      <c r="HU3233" s="5" t="s">
        <v>240</v>
      </c>
      <c r="HV3233" s="5" t="s">
        <v>240</v>
      </c>
      <c r="HW3233" s="5" t="s">
        <v>240</v>
      </c>
      <c r="HX3233" s="5" t="s">
        <v>240</v>
      </c>
      <c r="HY3233" s="5" t="s">
        <v>240</v>
      </c>
      <c r="HZ3233" s="5" t="s">
        <v>240</v>
      </c>
      <c r="IA3233" s="5" t="s">
        <v>240</v>
      </c>
      <c r="IB3233" s="5" t="s">
        <v>240</v>
      </c>
      <c r="IC3233" s="5" t="s">
        <v>240</v>
      </c>
      <c r="ID3233" s="5" t="s">
        <v>240</v>
      </c>
      <c r="IE3233" s="5" t="s">
        <v>240</v>
      </c>
      <c r="IF3233" s="5" t="s">
        <v>240</v>
      </c>
    </row>
    <row r="3234" spans="1:240" x14ac:dyDescent="0.4">
      <c r="A3234" s="5">
        <v>8599</v>
      </c>
      <c r="B3234" s="5">
        <v>1</v>
      </c>
      <c r="C3234" s="5">
        <v>1</v>
      </c>
      <c r="D3234" s="5" t="s">
        <v>240</v>
      </c>
      <c r="E3234" s="5" t="s">
        <v>245</v>
      </c>
      <c r="F3234" s="5" t="s">
        <v>254</v>
      </c>
      <c r="G3234" s="5" t="s">
        <v>240</v>
      </c>
      <c r="I3234" s="5" t="s">
        <v>7148</v>
      </c>
      <c r="J3234" s="7">
        <f>0</f>
        <v>0</v>
      </c>
      <c r="K3234" s="5" t="s">
        <v>266</v>
      </c>
      <c r="L3234" s="7">
        <f>52883072</f>
        <v>52883072</v>
      </c>
      <c r="M3234" s="7">
        <f>52883072</f>
        <v>52883072</v>
      </c>
      <c r="N3234" s="5" t="s">
        <v>242</v>
      </c>
      <c r="O3234" s="5">
        <v>1</v>
      </c>
      <c r="P3234" s="5" t="s">
        <v>294</v>
      </c>
      <c r="Q3234" s="5" t="s">
        <v>266</v>
      </c>
      <c r="R3234" s="5" t="s">
        <v>240</v>
      </c>
      <c r="S3234" s="5" t="s">
        <v>240</v>
      </c>
      <c r="T3234" s="5" t="s">
        <v>296</v>
      </c>
      <c r="U3234" s="5" t="s">
        <v>244</v>
      </c>
      <c r="V3234" s="5" t="s">
        <v>240</v>
      </c>
      <c r="Y3234" s="5" t="s">
        <v>240</v>
      </c>
      <c r="Z3234" s="6" t="s">
        <v>298</v>
      </c>
      <c r="AB3234" s="6" t="s">
        <v>240</v>
      </c>
      <c r="AE3234" s="6" t="s">
        <v>299</v>
      </c>
      <c r="AF3234" s="5" t="s">
        <v>248</v>
      </c>
      <c r="AG3234" s="5" t="s">
        <v>249</v>
      </c>
      <c r="AW3234" s="5" t="s">
        <v>251</v>
      </c>
      <c r="AX3234" s="5" t="s">
        <v>240</v>
      </c>
      <c r="AY3234" s="5" t="s">
        <v>253</v>
      </c>
      <c r="AZ3234" s="5" t="s">
        <v>240</v>
      </c>
      <c r="BA3234" s="5" t="s">
        <v>255</v>
      </c>
      <c r="BB3234" s="5" t="s">
        <v>240</v>
      </c>
      <c r="BD3234" s="5" t="s">
        <v>240</v>
      </c>
      <c r="BF3234" s="5" t="s">
        <v>301</v>
      </c>
      <c r="BG3234" s="6" t="s">
        <v>299</v>
      </c>
      <c r="BH3234" s="5" t="s">
        <v>302</v>
      </c>
      <c r="BI3234" s="5" t="s">
        <v>303</v>
      </c>
      <c r="BJ3234" s="5" t="s">
        <v>240</v>
      </c>
      <c r="BK3234" s="8">
        <f>0</f>
        <v>0</v>
      </c>
      <c r="BL3234" s="7">
        <f>0</f>
        <v>0</v>
      </c>
      <c r="BM3234" s="5" t="s">
        <v>258</v>
      </c>
      <c r="BN3234" s="5" t="s">
        <v>259</v>
      </c>
      <c r="CB3234" s="5" t="s">
        <v>240</v>
      </c>
      <c r="CC3234" s="5" t="s">
        <v>240</v>
      </c>
      <c r="CG3234" s="5" t="s">
        <v>304</v>
      </c>
      <c r="CH3234" s="5" t="s">
        <v>305</v>
      </c>
      <c r="CI3234" s="5" t="s">
        <v>240</v>
      </c>
      <c r="CL3234" s="6" t="s">
        <v>261</v>
      </c>
      <c r="CM3234" s="5" t="s">
        <v>240</v>
      </c>
      <c r="CN3234" s="5" t="s">
        <v>263</v>
      </c>
      <c r="CO3234" s="5" t="s">
        <v>240</v>
      </c>
      <c r="CP3234" s="5" t="s">
        <v>240</v>
      </c>
      <c r="CQ3234" s="5">
        <v>0</v>
      </c>
      <c r="CR3234" s="5" t="s">
        <v>306</v>
      </c>
      <c r="CS3234" s="5" t="s">
        <v>307</v>
      </c>
      <c r="CT3234" s="5" t="s">
        <v>307</v>
      </c>
      <c r="CU3234" s="5" t="s">
        <v>260</v>
      </c>
      <c r="CX3234" s="7">
        <f>1</f>
        <v>1</v>
      </c>
      <c r="CY3234" s="7">
        <f>0</f>
        <v>0</v>
      </c>
      <c r="DA3234" s="7">
        <f>0</f>
        <v>0</v>
      </c>
      <c r="DC3234" s="5" t="s">
        <v>309</v>
      </c>
      <c r="DD3234" s="5" t="s">
        <v>240</v>
      </c>
      <c r="DF3234" s="5" t="s">
        <v>309</v>
      </c>
      <c r="DG3234" s="7">
        <f>685</f>
        <v>685</v>
      </c>
      <c r="DI3234" s="5" t="s">
        <v>240</v>
      </c>
      <c r="DJ3234" s="5" t="s">
        <v>240</v>
      </c>
      <c r="DK3234" s="5" t="s">
        <v>240</v>
      </c>
      <c r="DL3234" s="5" t="s">
        <v>240</v>
      </c>
      <c r="DP3234" s="5" t="s">
        <v>240</v>
      </c>
      <c r="DQ3234" s="5" t="s">
        <v>240</v>
      </c>
      <c r="DR3234" s="5" t="s">
        <v>240</v>
      </c>
      <c r="DS3234" s="5" t="s">
        <v>240</v>
      </c>
      <c r="DV3234" s="5" t="s">
        <v>310</v>
      </c>
      <c r="DW3234" s="5" t="s">
        <v>3007</v>
      </c>
      <c r="HO3234" s="5" t="s">
        <v>312</v>
      </c>
    </row>
    <row r="3235" spans="1:240" x14ac:dyDescent="0.4">
      <c r="A3235" s="5">
        <v>8600</v>
      </c>
      <c r="B3235" s="5">
        <v>1</v>
      </c>
      <c r="C3235" s="5">
        <v>1</v>
      </c>
      <c r="D3235" s="5" t="s">
        <v>240</v>
      </c>
      <c r="E3235" s="5" t="s">
        <v>245</v>
      </c>
      <c r="F3235" s="5" t="s">
        <v>254</v>
      </c>
      <c r="G3235" s="5" t="s">
        <v>240</v>
      </c>
      <c r="I3235" s="5" t="s">
        <v>6906</v>
      </c>
      <c r="J3235" s="7">
        <f>1</f>
        <v>1</v>
      </c>
      <c r="K3235" s="5" t="s">
        <v>6749</v>
      </c>
      <c r="L3235" s="7">
        <f>847432</f>
        <v>847432</v>
      </c>
      <c r="M3235" s="7">
        <f>847432</f>
        <v>847432</v>
      </c>
      <c r="N3235" s="5" t="s">
        <v>242</v>
      </c>
      <c r="O3235" s="5">
        <v>1</v>
      </c>
      <c r="P3235" s="5" t="s">
        <v>294</v>
      </c>
      <c r="Q3235" s="5" t="s">
        <v>3678</v>
      </c>
      <c r="R3235" s="5" t="s">
        <v>240</v>
      </c>
      <c r="S3235" s="5" t="s">
        <v>240</v>
      </c>
      <c r="T3235" s="5" t="s">
        <v>243</v>
      </c>
      <c r="U3235" s="5" t="s">
        <v>244</v>
      </c>
      <c r="V3235" s="5" t="s">
        <v>240</v>
      </c>
      <c r="W3235" s="5" t="s">
        <v>240</v>
      </c>
      <c r="X3235" s="5" t="s">
        <v>240</v>
      </c>
      <c r="Y3235" s="5" t="s">
        <v>240</v>
      </c>
      <c r="Z3235" s="6" t="s">
        <v>298</v>
      </c>
      <c r="AA3235" s="6" t="s">
        <v>240</v>
      </c>
      <c r="AB3235" s="6" t="s">
        <v>240</v>
      </c>
      <c r="AC3235" s="5" t="s">
        <v>240</v>
      </c>
      <c r="AD3235" s="6" t="s">
        <v>240</v>
      </c>
      <c r="AE3235" s="6" t="s">
        <v>299</v>
      </c>
      <c r="AF3235" s="5" t="s">
        <v>248</v>
      </c>
      <c r="AG3235" s="5" t="s">
        <v>249</v>
      </c>
      <c r="AH3235" s="5" t="s">
        <v>240</v>
      </c>
      <c r="AI3235" s="5" t="s">
        <v>240</v>
      </c>
      <c r="AJ3235" s="5" t="s">
        <v>240</v>
      </c>
      <c r="AK3235" s="5" t="s">
        <v>240</v>
      </c>
      <c r="AL3235" s="5" t="s">
        <v>240</v>
      </c>
      <c r="AM3235" s="5" t="s">
        <v>240</v>
      </c>
      <c r="AN3235" s="5" t="s">
        <v>240</v>
      </c>
      <c r="AO3235" s="5" t="s">
        <v>240</v>
      </c>
      <c r="AP3235" s="6" t="s">
        <v>240</v>
      </c>
      <c r="AQ3235" s="6" t="s">
        <v>240</v>
      </c>
      <c r="AR3235" s="6" t="s">
        <v>240</v>
      </c>
      <c r="AS3235" s="6" t="s">
        <v>240</v>
      </c>
      <c r="AT3235" s="5" t="s">
        <v>240</v>
      </c>
      <c r="AU3235" s="5" t="s">
        <v>729</v>
      </c>
      <c r="AV3235" s="5" t="s">
        <v>729</v>
      </c>
      <c r="AW3235" s="5" t="s">
        <v>251</v>
      </c>
      <c r="AX3235" s="5" t="s">
        <v>252</v>
      </c>
      <c r="AY3235" s="5" t="s">
        <v>253</v>
      </c>
      <c r="AZ3235" s="5" t="s">
        <v>240</v>
      </c>
      <c r="BA3235" s="5" t="s">
        <v>255</v>
      </c>
      <c r="BB3235" s="5" t="s">
        <v>731</v>
      </c>
      <c r="BD3235" s="5" t="s">
        <v>240</v>
      </c>
      <c r="BF3235" s="5" t="s">
        <v>732</v>
      </c>
      <c r="BG3235" s="6" t="s">
        <v>733</v>
      </c>
      <c r="BH3235" s="5" t="s">
        <v>734</v>
      </c>
      <c r="BI3235" s="5" t="s">
        <v>734</v>
      </c>
      <c r="BJ3235" s="5" t="s">
        <v>240</v>
      </c>
      <c r="BK3235" s="7">
        <f>1</f>
        <v>1</v>
      </c>
      <c r="BL3235" s="7">
        <f>1</f>
        <v>1</v>
      </c>
      <c r="BM3235" s="5" t="s">
        <v>258</v>
      </c>
      <c r="BN3235" s="5" t="s">
        <v>259</v>
      </c>
      <c r="BO3235" s="5" t="s">
        <v>240</v>
      </c>
      <c r="BP3235" s="5" t="s">
        <v>240</v>
      </c>
      <c r="BQ3235" s="5" t="s">
        <v>240</v>
      </c>
      <c r="BR3235" s="5" t="s">
        <v>240</v>
      </c>
      <c r="BS3235" s="5" t="s">
        <v>240</v>
      </c>
      <c r="BT3235" s="5" t="s">
        <v>240</v>
      </c>
      <c r="BU3235" s="5" t="s">
        <v>240</v>
      </c>
      <c r="BV3235" s="5" t="s">
        <v>240</v>
      </c>
      <c r="BW3235" s="6" t="s">
        <v>240</v>
      </c>
      <c r="BX3235" s="5" t="s">
        <v>240</v>
      </c>
      <c r="BY3235" s="5" t="s">
        <v>240</v>
      </c>
      <c r="BZ3235" s="5" t="s">
        <v>240</v>
      </c>
      <c r="CA3235" s="5" t="s">
        <v>259</v>
      </c>
      <c r="CB3235" s="5" t="s">
        <v>240</v>
      </c>
      <c r="CC3235" s="5" t="s">
        <v>240</v>
      </c>
      <c r="CD3235" s="5" t="s">
        <v>240</v>
      </c>
      <c r="CE3235" s="5" t="s">
        <v>240</v>
      </c>
      <c r="CF3235" s="5" t="s">
        <v>240</v>
      </c>
      <c r="CG3235" s="5" t="s">
        <v>304</v>
      </c>
      <c r="CH3235" s="5" t="s">
        <v>305</v>
      </c>
      <c r="CI3235" s="5" t="s">
        <v>240</v>
      </c>
      <c r="CK3235" s="5" t="s">
        <v>3681</v>
      </c>
      <c r="CL3235" s="6" t="s">
        <v>261</v>
      </c>
      <c r="CM3235" s="5" t="s">
        <v>262</v>
      </c>
      <c r="CN3235" s="5" t="s">
        <v>263</v>
      </c>
      <c r="CO3235" s="5" t="s">
        <v>264</v>
      </c>
      <c r="CP3235" s="5" t="s">
        <v>240</v>
      </c>
      <c r="CQ3235" s="5">
        <v>0</v>
      </c>
      <c r="CR3235" s="5" t="s">
        <v>735</v>
      </c>
      <c r="CS3235" s="5" t="s">
        <v>307</v>
      </c>
      <c r="CT3235" s="5" t="s">
        <v>307</v>
      </c>
      <c r="CU3235" s="5" t="s">
        <v>260</v>
      </c>
      <c r="CV3235" s="5" t="s">
        <v>612</v>
      </c>
      <c r="CW3235" s="8">
        <f>1</f>
        <v>1</v>
      </c>
      <c r="CX3235" s="7">
        <f>1</f>
        <v>1</v>
      </c>
      <c r="CY3235" s="7">
        <f>0</f>
        <v>0</v>
      </c>
      <c r="DA3235" s="7">
        <f>1</f>
        <v>1</v>
      </c>
      <c r="DB3235" s="7" t="s">
        <v>240</v>
      </c>
      <c r="DC3235" s="5" t="s">
        <v>240</v>
      </c>
      <c r="DD3235" s="5" t="s">
        <v>240</v>
      </c>
      <c r="DE3235" s="5" t="s">
        <v>240</v>
      </c>
      <c r="DF3235" s="5" t="s">
        <v>240</v>
      </c>
      <c r="DG3235" s="7">
        <f>0</f>
        <v>0</v>
      </c>
      <c r="DI3235" s="5" t="s">
        <v>240</v>
      </c>
      <c r="DJ3235" s="5" t="s">
        <v>240</v>
      </c>
      <c r="DK3235" s="5" t="s">
        <v>240</v>
      </c>
      <c r="DL3235" s="5" t="s">
        <v>240</v>
      </c>
      <c r="DM3235" s="5" t="s">
        <v>240</v>
      </c>
      <c r="DN3235" s="5" t="s">
        <v>240</v>
      </c>
      <c r="DO3235" s="7" t="s">
        <v>240</v>
      </c>
      <c r="DP3235" s="5" t="s">
        <v>240</v>
      </c>
      <c r="DQ3235" s="5" t="s">
        <v>240</v>
      </c>
      <c r="DR3235" s="5" t="s">
        <v>731</v>
      </c>
      <c r="DS3235" s="5" t="s">
        <v>731</v>
      </c>
      <c r="DT3235" s="5" t="s">
        <v>240</v>
      </c>
      <c r="DU3235" s="5" t="s">
        <v>240</v>
      </c>
      <c r="DV3235" s="5" t="s">
        <v>3683</v>
      </c>
      <c r="DW3235" s="5" t="s">
        <v>4050</v>
      </c>
      <c r="DX3235" s="5" t="s">
        <v>240</v>
      </c>
      <c r="DY3235" s="5" t="s">
        <v>240</v>
      </c>
      <c r="DZ3235" s="5" t="s">
        <v>240</v>
      </c>
      <c r="EA3235" s="5" t="s">
        <v>240</v>
      </c>
      <c r="EB3235" s="5" t="s">
        <v>240</v>
      </c>
      <c r="EC3235" s="5" t="s">
        <v>240</v>
      </c>
      <c r="ED3235" s="5" t="s">
        <v>240</v>
      </c>
      <c r="EE3235" s="5" t="s">
        <v>240</v>
      </c>
      <c r="EF3235" s="5" t="s">
        <v>240</v>
      </c>
      <c r="EG3235" s="5" t="s">
        <v>240</v>
      </c>
      <c r="EH3235" s="5" t="s">
        <v>240</v>
      </c>
      <c r="EI3235" s="5" t="s">
        <v>240</v>
      </c>
      <c r="EJ3235" s="5" t="s">
        <v>240</v>
      </c>
      <c r="EK3235" s="5" t="s">
        <v>240</v>
      </c>
      <c r="EL3235" s="5" t="s">
        <v>240</v>
      </c>
      <c r="EM3235" s="5" t="s">
        <v>240</v>
      </c>
      <c r="EN3235" s="5" t="s">
        <v>240</v>
      </c>
      <c r="EO3235" s="5" t="s">
        <v>240</v>
      </c>
      <c r="EP3235" s="5" t="s">
        <v>240</v>
      </c>
      <c r="EQ3235" s="5" t="s">
        <v>240</v>
      </c>
      <c r="ER3235" s="5" t="s">
        <v>240</v>
      </c>
      <c r="ES3235" s="5" t="s">
        <v>240</v>
      </c>
      <c r="ET3235" s="5" t="s">
        <v>240</v>
      </c>
      <c r="EU3235" s="5" t="s">
        <v>240</v>
      </c>
      <c r="EV3235" s="5" t="s">
        <v>240</v>
      </c>
      <c r="EW3235" s="5" t="s">
        <v>240</v>
      </c>
      <c r="EX3235" s="5" t="s">
        <v>240</v>
      </c>
      <c r="EY3235" s="5" t="s">
        <v>240</v>
      </c>
      <c r="EZ3235" s="5" t="s">
        <v>240</v>
      </c>
      <c r="FA3235" s="5" t="s">
        <v>240</v>
      </c>
      <c r="FB3235" s="5" t="s">
        <v>240</v>
      </c>
      <c r="FC3235" s="5" t="s">
        <v>240</v>
      </c>
      <c r="FD3235" s="5" t="s">
        <v>240</v>
      </c>
      <c r="FE3235" s="5" t="s">
        <v>240</v>
      </c>
      <c r="FF3235" s="5" t="s">
        <v>240</v>
      </c>
      <c r="FG3235" s="5" t="s">
        <v>240</v>
      </c>
      <c r="FH3235" s="5" t="s">
        <v>240</v>
      </c>
      <c r="FI3235" s="5" t="s">
        <v>240</v>
      </c>
      <c r="FJ3235" s="5" t="s">
        <v>240</v>
      </c>
      <c r="FK3235" s="5" t="s">
        <v>240</v>
      </c>
      <c r="FL3235" s="5" t="s">
        <v>240</v>
      </c>
      <c r="FM3235" s="5" t="s">
        <v>240</v>
      </c>
      <c r="FN3235" s="5" t="s">
        <v>240</v>
      </c>
      <c r="FO3235" s="5" t="s">
        <v>240</v>
      </c>
      <c r="FP3235" s="5" t="s">
        <v>240</v>
      </c>
      <c r="FQ3235" s="5" t="s">
        <v>240</v>
      </c>
      <c r="FR3235" s="5" t="s">
        <v>240</v>
      </c>
      <c r="FS3235" s="5" t="s">
        <v>240</v>
      </c>
      <c r="FT3235" s="5" t="s">
        <v>240</v>
      </c>
      <c r="FU3235" s="5" t="s">
        <v>240</v>
      </c>
      <c r="FV3235" s="5" t="s">
        <v>240</v>
      </c>
      <c r="FW3235" s="5" t="s">
        <v>240</v>
      </c>
      <c r="FX3235" s="5" t="s">
        <v>240</v>
      </c>
      <c r="FY3235" s="5" t="s">
        <v>240</v>
      </c>
      <c r="FZ3235" s="5" t="s">
        <v>240</v>
      </c>
      <c r="GA3235" s="5" t="s">
        <v>240</v>
      </c>
      <c r="GB3235" s="5" t="s">
        <v>240</v>
      </c>
      <c r="GC3235" s="5" t="s">
        <v>240</v>
      </c>
      <c r="GD3235" s="5" t="s">
        <v>240</v>
      </c>
      <c r="GE3235" s="5" t="s">
        <v>240</v>
      </c>
      <c r="GF3235" s="5" t="s">
        <v>240</v>
      </c>
      <c r="GG3235" s="5" t="s">
        <v>240</v>
      </c>
      <c r="GH3235" s="5" t="s">
        <v>240</v>
      </c>
      <c r="GI3235" s="5" t="s">
        <v>240</v>
      </c>
      <c r="GJ3235" s="5" t="s">
        <v>240</v>
      </c>
      <c r="GK3235" s="5" t="s">
        <v>240</v>
      </c>
      <c r="GL3235" s="5" t="s">
        <v>240</v>
      </c>
      <c r="GM3235" s="5" t="s">
        <v>240</v>
      </c>
      <c r="GN3235" s="5" t="s">
        <v>240</v>
      </c>
      <c r="GO3235" s="5" t="s">
        <v>240</v>
      </c>
      <c r="GP3235" s="5" t="s">
        <v>240</v>
      </c>
      <c r="GQ3235" s="5" t="s">
        <v>240</v>
      </c>
      <c r="GR3235" s="5" t="s">
        <v>240</v>
      </c>
      <c r="GS3235" s="5" t="s">
        <v>240</v>
      </c>
      <c r="GT3235" s="5" t="s">
        <v>240</v>
      </c>
      <c r="GU3235" s="5" t="s">
        <v>240</v>
      </c>
      <c r="GV3235" s="5" t="s">
        <v>240</v>
      </c>
      <c r="GW3235" s="5" t="s">
        <v>240</v>
      </c>
      <c r="GX3235" s="5" t="s">
        <v>240</v>
      </c>
      <c r="GY3235" s="5" t="s">
        <v>240</v>
      </c>
      <c r="GZ3235" s="5" t="s">
        <v>240</v>
      </c>
      <c r="HA3235" s="5" t="s">
        <v>240</v>
      </c>
      <c r="HB3235" s="5" t="s">
        <v>240</v>
      </c>
      <c r="HC3235" s="5" t="s">
        <v>240</v>
      </c>
      <c r="HD3235" s="5" t="s">
        <v>240</v>
      </c>
      <c r="HE3235" s="5" t="s">
        <v>240</v>
      </c>
      <c r="HF3235" s="5" t="s">
        <v>240</v>
      </c>
      <c r="HG3235" s="5" t="s">
        <v>240</v>
      </c>
      <c r="HH3235" s="5" t="s">
        <v>240</v>
      </c>
      <c r="HI3235" s="5" t="s">
        <v>240</v>
      </c>
      <c r="HJ3235" s="5" t="s">
        <v>240</v>
      </c>
      <c r="HK3235" s="5" t="s">
        <v>240</v>
      </c>
      <c r="HL3235" s="5" t="s">
        <v>240</v>
      </c>
      <c r="HM3235" s="5" t="s">
        <v>240</v>
      </c>
      <c r="HN3235" s="5" t="s">
        <v>240</v>
      </c>
      <c r="HO3235" s="5" t="s">
        <v>312</v>
      </c>
      <c r="HP3235" s="5" t="s">
        <v>240</v>
      </c>
      <c r="HQ3235" s="5" t="s">
        <v>240</v>
      </c>
      <c r="HR3235" s="5" t="s">
        <v>240</v>
      </c>
      <c r="HS3235" s="5" t="s">
        <v>240</v>
      </c>
      <c r="HT3235" s="5" t="s">
        <v>240</v>
      </c>
      <c r="HU3235" s="5" t="s">
        <v>240</v>
      </c>
      <c r="HV3235" s="5" t="s">
        <v>240</v>
      </c>
      <c r="HW3235" s="5" t="s">
        <v>240</v>
      </c>
      <c r="HX3235" s="5" t="s">
        <v>240</v>
      </c>
      <c r="HY3235" s="5" t="s">
        <v>240</v>
      </c>
      <c r="HZ3235" s="5" t="s">
        <v>240</v>
      </c>
      <c r="IA3235" s="5" t="s">
        <v>240</v>
      </c>
      <c r="IB3235" s="5" t="s">
        <v>240</v>
      </c>
      <c r="IC3235" s="5" t="s">
        <v>240</v>
      </c>
      <c r="ID3235" s="5" t="s">
        <v>240</v>
      </c>
      <c r="IE3235" s="5" t="s">
        <v>240</v>
      </c>
      <c r="IF3235" s="5" t="s">
        <v>240</v>
      </c>
    </row>
    <row r="3236" spans="1:240" x14ac:dyDescent="0.4">
      <c r="A3236" s="5">
        <v>8601</v>
      </c>
      <c r="B3236" s="5">
        <v>1</v>
      </c>
      <c r="C3236" s="5">
        <v>1</v>
      </c>
      <c r="D3236" s="5" t="s">
        <v>240</v>
      </c>
      <c r="E3236" s="5" t="s">
        <v>245</v>
      </c>
      <c r="F3236" s="5" t="s">
        <v>254</v>
      </c>
      <c r="G3236" s="5" t="s">
        <v>240</v>
      </c>
      <c r="I3236" s="5" t="s">
        <v>7209</v>
      </c>
      <c r="J3236" s="7">
        <f>0</f>
        <v>0</v>
      </c>
      <c r="K3236" s="5" t="s">
        <v>266</v>
      </c>
      <c r="L3236" s="7">
        <f>847432</f>
        <v>847432</v>
      </c>
      <c r="M3236" s="7">
        <f>847432</f>
        <v>847432</v>
      </c>
      <c r="N3236" s="5" t="s">
        <v>242</v>
      </c>
      <c r="O3236" s="5">
        <v>1</v>
      </c>
      <c r="P3236" s="5" t="s">
        <v>294</v>
      </c>
      <c r="Q3236" s="5" t="s">
        <v>3678</v>
      </c>
      <c r="R3236" s="5" t="s">
        <v>240</v>
      </c>
      <c r="S3236" s="5" t="s">
        <v>240</v>
      </c>
      <c r="T3236" s="5" t="s">
        <v>243</v>
      </c>
      <c r="U3236" s="5" t="s">
        <v>244</v>
      </c>
      <c r="V3236" s="5" t="s">
        <v>240</v>
      </c>
      <c r="W3236" s="5" t="s">
        <v>240</v>
      </c>
      <c r="X3236" s="5" t="s">
        <v>240</v>
      </c>
      <c r="Y3236" s="5" t="s">
        <v>240</v>
      </c>
      <c r="Z3236" s="6" t="s">
        <v>298</v>
      </c>
      <c r="AA3236" s="6" t="s">
        <v>240</v>
      </c>
      <c r="AB3236" s="6" t="s">
        <v>240</v>
      </c>
      <c r="AC3236" s="5" t="s">
        <v>240</v>
      </c>
      <c r="AD3236" s="6" t="s">
        <v>240</v>
      </c>
      <c r="AE3236" s="6" t="s">
        <v>299</v>
      </c>
      <c r="AF3236" s="5" t="s">
        <v>248</v>
      </c>
      <c r="AG3236" s="5" t="s">
        <v>249</v>
      </c>
      <c r="AH3236" s="5" t="s">
        <v>240</v>
      </c>
      <c r="AI3236" s="5" t="s">
        <v>240</v>
      </c>
      <c r="AJ3236" s="5" t="s">
        <v>240</v>
      </c>
      <c r="AK3236" s="5" t="s">
        <v>240</v>
      </c>
      <c r="AL3236" s="5" t="s">
        <v>240</v>
      </c>
      <c r="AM3236" s="5" t="s">
        <v>240</v>
      </c>
      <c r="AN3236" s="5" t="s">
        <v>240</v>
      </c>
      <c r="AO3236" s="5" t="s">
        <v>240</v>
      </c>
      <c r="AP3236" s="6" t="s">
        <v>240</v>
      </c>
      <c r="AQ3236" s="6" t="s">
        <v>240</v>
      </c>
      <c r="AR3236" s="6" t="s">
        <v>240</v>
      </c>
      <c r="AS3236" s="6" t="s">
        <v>240</v>
      </c>
      <c r="AT3236" s="5" t="s">
        <v>240</v>
      </c>
      <c r="AU3236" s="5" t="s">
        <v>729</v>
      </c>
      <c r="AV3236" s="5" t="s">
        <v>729</v>
      </c>
      <c r="AW3236" s="5" t="s">
        <v>251</v>
      </c>
      <c r="AX3236" s="5" t="s">
        <v>252</v>
      </c>
      <c r="AY3236" s="5" t="s">
        <v>253</v>
      </c>
      <c r="AZ3236" s="5" t="s">
        <v>240</v>
      </c>
      <c r="BA3236" s="5" t="s">
        <v>255</v>
      </c>
      <c r="BB3236" s="5" t="s">
        <v>731</v>
      </c>
      <c r="BD3236" s="5" t="s">
        <v>240</v>
      </c>
      <c r="BF3236" s="5" t="s">
        <v>732</v>
      </c>
      <c r="BG3236" s="6" t="s">
        <v>733</v>
      </c>
      <c r="BH3236" s="5" t="s">
        <v>734</v>
      </c>
      <c r="BI3236" s="5" t="s">
        <v>734</v>
      </c>
      <c r="BJ3236" s="5" t="s">
        <v>240</v>
      </c>
      <c r="BK3236" s="7">
        <f>1</f>
        <v>1</v>
      </c>
      <c r="BL3236" s="7">
        <f>1</f>
        <v>1</v>
      </c>
      <c r="BM3236" s="5" t="s">
        <v>258</v>
      </c>
      <c r="BN3236" s="5" t="s">
        <v>259</v>
      </c>
      <c r="BO3236" s="5" t="s">
        <v>240</v>
      </c>
      <c r="BP3236" s="5" t="s">
        <v>240</v>
      </c>
      <c r="BQ3236" s="5" t="s">
        <v>240</v>
      </c>
      <c r="BR3236" s="5" t="s">
        <v>240</v>
      </c>
      <c r="BS3236" s="5" t="s">
        <v>240</v>
      </c>
      <c r="BT3236" s="5" t="s">
        <v>240</v>
      </c>
      <c r="BU3236" s="5" t="s">
        <v>240</v>
      </c>
      <c r="BV3236" s="5" t="s">
        <v>240</v>
      </c>
      <c r="BW3236" s="6" t="s">
        <v>240</v>
      </c>
      <c r="BX3236" s="5" t="s">
        <v>240</v>
      </c>
      <c r="BY3236" s="5" t="s">
        <v>240</v>
      </c>
      <c r="BZ3236" s="5" t="s">
        <v>240</v>
      </c>
      <c r="CA3236" s="5" t="s">
        <v>259</v>
      </c>
      <c r="CB3236" s="5" t="s">
        <v>240</v>
      </c>
      <c r="CC3236" s="5" t="s">
        <v>240</v>
      </c>
      <c r="CD3236" s="5" t="s">
        <v>240</v>
      </c>
      <c r="CE3236" s="5" t="s">
        <v>240</v>
      </c>
      <c r="CF3236" s="5" t="s">
        <v>240</v>
      </c>
      <c r="CG3236" s="5" t="s">
        <v>304</v>
      </c>
      <c r="CH3236" s="5" t="s">
        <v>305</v>
      </c>
      <c r="CI3236" s="5" t="s">
        <v>240</v>
      </c>
      <c r="CK3236" s="5" t="s">
        <v>3681</v>
      </c>
      <c r="CL3236" s="6" t="s">
        <v>261</v>
      </c>
      <c r="CM3236" s="5" t="s">
        <v>262</v>
      </c>
      <c r="CN3236" s="5" t="s">
        <v>263</v>
      </c>
      <c r="CO3236" s="5" t="s">
        <v>264</v>
      </c>
      <c r="CP3236" s="5" t="s">
        <v>240</v>
      </c>
      <c r="CQ3236" s="5">
        <v>0</v>
      </c>
      <c r="CR3236" s="5" t="s">
        <v>735</v>
      </c>
      <c r="CS3236" s="5" t="s">
        <v>307</v>
      </c>
      <c r="CT3236" s="5" t="s">
        <v>307</v>
      </c>
      <c r="CU3236" s="5" t="s">
        <v>260</v>
      </c>
      <c r="CV3236" s="5" t="s">
        <v>612</v>
      </c>
      <c r="CW3236" s="8">
        <f>1</f>
        <v>1</v>
      </c>
      <c r="CX3236" s="7">
        <f>1</f>
        <v>1</v>
      </c>
      <c r="CY3236" s="7">
        <f>0</f>
        <v>0</v>
      </c>
      <c r="DA3236" s="7">
        <f>1</f>
        <v>1</v>
      </c>
      <c r="DB3236" s="7" t="s">
        <v>240</v>
      </c>
      <c r="DC3236" s="5" t="s">
        <v>240</v>
      </c>
      <c r="DD3236" s="5" t="s">
        <v>240</v>
      </c>
      <c r="DE3236" s="5" t="s">
        <v>240</v>
      </c>
      <c r="DF3236" s="5" t="s">
        <v>240</v>
      </c>
      <c r="DG3236" s="7">
        <f>0</f>
        <v>0</v>
      </c>
      <c r="DI3236" s="5" t="s">
        <v>240</v>
      </c>
      <c r="DJ3236" s="5" t="s">
        <v>240</v>
      </c>
      <c r="DK3236" s="5" t="s">
        <v>240</v>
      </c>
      <c r="DL3236" s="5" t="s">
        <v>240</v>
      </c>
      <c r="DM3236" s="5" t="s">
        <v>240</v>
      </c>
      <c r="DN3236" s="5" t="s">
        <v>240</v>
      </c>
      <c r="DO3236" s="7" t="s">
        <v>240</v>
      </c>
      <c r="DP3236" s="5" t="s">
        <v>240</v>
      </c>
      <c r="DQ3236" s="5" t="s">
        <v>240</v>
      </c>
      <c r="DR3236" s="5" t="s">
        <v>731</v>
      </c>
      <c r="DS3236" s="5" t="s">
        <v>731</v>
      </c>
      <c r="DT3236" s="5" t="s">
        <v>240</v>
      </c>
      <c r="DU3236" s="5" t="s">
        <v>240</v>
      </c>
      <c r="DV3236" s="5" t="s">
        <v>3683</v>
      </c>
      <c r="DW3236" s="5" t="s">
        <v>625</v>
      </c>
      <c r="DX3236" s="5" t="s">
        <v>240</v>
      </c>
      <c r="DY3236" s="5" t="s">
        <v>240</v>
      </c>
      <c r="DZ3236" s="5" t="s">
        <v>240</v>
      </c>
      <c r="EA3236" s="5" t="s">
        <v>240</v>
      </c>
      <c r="EB3236" s="5" t="s">
        <v>240</v>
      </c>
      <c r="EC3236" s="5" t="s">
        <v>240</v>
      </c>
      <c r="ED3236" s="5" t="s">
        <v>240</v>
      </c>
      <c r="EE3236" s="5" t="s">
        <v>240</v>
      </c>
      <c r="EF3236" s="5" t="s">
        <v>240</v>
      </c>
      <c r="EG3236" s="5" t="s">
        <v>240</v>
      </c>
      <c r="EH3236" s="5" t="s">
        <v>240</v>
      </c>
      <c r="EI3236" s="5" t="s">
        <v>240</v>
      </c>
      <c r="EJ3236" s="5" t="s">
        <v>240</v>
      </c>
      <c r="EK3236" s="5" t="s">
        <v>240</v>
      </c>
      <c r="EL3236" s="5" t="s">
        <v>240</v>
      </c>
      <c r="EM3236" s="5" t="s">
        <v>240</v>
      </c>
      <c r="EN3236" s="5" t="s">
        <v>240</v>
      </c>
      <c r="EO3236" s="5" t="s">
        <v>240</v>
      </c>
      <c r="EP3236" s="5" t="s">
        <v>240</v>
      </c>
      <c r="EQ3236" s="5" t="s">
        <v>240</v>
      </c>
      <c r="ER3236" s="5" t="s">
        <v>240</v>
      </c>
      <c r="ES3236" s="5" t="s">
        <v>240</v>
      </c>
      <c r="ET3236" s="5" t="s">
        <v>240</v>
      </c>
      <c r="EU3236" s="5" t="s">
        <v>240</v>
      </c>
      <c r="EV3236" s="5" t="s">
        <v>240</v>
      </c>
      <c r="EW3236" s="5" t="s">
        <v>240</v>
      </c>
      <c r="EX3236" s="5" t="s">
        <v>240</v>
      </c>
      <c r="EY3236" s="5" t="s">
        <v>240</v>
      </c>
      <c r="EZ3236" s="5" t="s">
        <v>240</v>
      </c>
      <c r="FA3236" s="5" t="s">
        <v>240</v>
      </c>
      <c r="FB3236" s="5" t="s">
        <v>240</v>
      </c>
      <c r="FC3236" s="5" t="s">
        <v>240</v>
      </c>
      <c r="FD3236" s="5" t="s">
        <v>240</v>
      </c>
      <c r="FE3236" s="5" t="s">
        <v>240</v>
      </c>
      <c r="FF3236" s="5" t="s">
        <v>240</v>
      </c>
      <c r="FG3236" s="5" t="s">
        <v>240</v>
      </c>
      <c r="FH3236" s="5" t="s">
        <v>240</v>
      </c>
      <c r="FI3236" s="5" t="s">
        <v>240</v>
      </c>
      <c r="FJ3236" s="5" t="s">
        <v>240</v>
      </c>
      <c r="FK3236" s="5" t="s">
        <v>240</v>
      </c>
      <c r="FL3236" s="5" t="s">
        <v>240</v>
      </c>
      <c r="FM3236" s="5" t="s">
        <v>240</v>
      </c>
      <c r="FN3236" s="5" t="s">
        <v>240</v>
      </c>
      <c r="FO3236" s="5" t="s">
        <v>240</v>
      </c>
      <c r="FP3236" s="5" t="s">
        <v>240</v>
      </c>
      <c r="FQ3236" s="5" t="s">
        <v>240</v>
      </c>
      <c r="FR3236" s="5" t="s">
        <v>240</v>
      </c>
      <c r="FS3236" s="5" t="s">
        <v>240</v>
      </c>
      <c r="FT3236" s="5" t="s">
        <v>240</v>
      </c>
      <c r="FU3236" s="5" t="s">
        <v>240</v>
      </c>
      <c r="FV3236" s="5" t="s">
        <v>240</v>
      </c>
      <c r="FW3236" s="5" t="s">
        <v>240</v>
      </c>
      <c r="FX3236" s="5" t="s">
        <v>240</v>
      </c>
      <c r="FY3236" s="5" t="s">
        <v>240</v>
      </c>
      <c r="FZ3236" s="5" t="s">
        <v>240</v>
      </c>
      <c r="GA3236" s="5" t="s">
        <v>240</v>
      </c>
      <c r="GB3236" s="5" t="s">
        <v>240</v>
      </c>
      <c r="GC3236" s="5" t="s">
        <v>240</v>
      </c>
      <c r="GD3236" s="5" t="s">
        <v>240</v>
      </c>
      <c r="GE3236" s="5" t="s">
        <v>240</v>
      </c>
      <c r="GF3236" s="5" t="s">
        <v>240</v>
      </c>
      <c r="GG3236" s="5" t="s">
        <v>240</v>
      </c>
      <c r="GH3236" s="5" t="s">
        <v>240</v>
      </c>
      <c r="GI3236" s="5" t="s">
        <v>240</v>
      </c>
      <c r="GJ3236" s="5" t="s">
        <v>240</v>
      </c>
      <c r="GK3236" s="5" t="s">
        <v>240</v>
      </c>
      <c r="GL3236" s="5" t="s">
        <v>240</v>
      </c>
      <c r="GM3236" s="5" t="s">
        <v>240</v>
      </c>
      <c r="GN3236" s="5" t="s">
        <v>240</v>
      </c>
      <c r="GO3236" s="5" t="s">
        <v>240</v>
      </c>
      <c r="GP3236" s="5" t="s">
        <v>240</v>
      </c>
      <c r="GQ3236" s="5" t="s">
        <v>240</v>
      </c>
      <c r="GR3236" s="5" t="s">
        <v>240</v>
      </c>
      <c r="GS3236" s="5" t="s">
        <v>240</v>
      </c>
      <c r="GT3236" s="5" t="s">
        <v>240</v>
      </c>
      <c r="GU3236" s="5" t="s">
        <v>240</v>
      </c>
      <c r="GV3236" s="5" t="s">
        <v>240</v>
      </c>
      <c r="GW3236" s="5" t="s">
        <v>240</v>
      </c>
      <c r="GX3236" s="5" t="s">
        <v>240</v>
      </c>
      <c r="GY3236" s="5" t="s">
        <v>240</v>
      </c>
      <c r="GZ3236" s="5" t="s">
        <v>240</v>
      </c>
      <c r="HA3236" s="5" t="s">
        <v>240</v>
      </c>
      <c r="HB3236" s="5" t="s">
        <v>240</v>
      </c>
      <c r="HC3236" s="5" t="s">
        <v>240</v>
      </c>
      <c r="HD3236" s="5" t="s">
        <v>240</v>
      </c>
      <c r="HE3236" s="5" t="s">
        <v>240</v>
      </c>
      <c r="HF3236" s="5" t="s">
        <v>240</v>
      </c>
      <c r="HG3236" s="5" t="s">
        <v>240</v>
      </c>
      <c r="HH3236" s="5" t="s">
        <v>240</v>
      </c>
      <c r="HI3236" s="5" t="s">
        <v>240</v>
      </c>
      <c r="HJ3236" s="5" t="s">
        <v>240</v>
      </c>
      <c r="HK3236" s="5" t="s">
        <v>240</v>
      </c>
      <c r="HL3236" s="5" t="s">
        <v>240</v>
      </c>
      <c r="HM3236" s="5" t="s">
        <v>240</v>
      </c>
      <c r="HN3236" s="5" t="s">
        <v>240</v>
      </c>
      <c r="HO3236" s="5" t="s">
        <v>312</v>
      </c>
      <c r="HP3236" s="5" t="s">
        <v>240</v>
      </c>
      <c r="HQ3236" s="5" t="s">
        <v>240</v>
      </c>
      <c r="HR3236" s="5" t="s">
        <v>240</v>
      </c>
      <c r="HS3236" s="5" t="s">
        <v>240</v>
      </c>
      <c r="HT3236" s="5" t="s">
        <v>240</v>
      </c>
      <c r="HU3236" s="5" t="s">
        <v>240</v>
      </c>
      <c r="HV3236" s="5" t="s">
        <v>240</v>
      </c>
      <c r="HW3236" s="5" t="s">
        <v>240</v>
      </c>
      <c r="HX3236" s="5" t="s">
        <v>240</v>
      </c>
      <c r="HY3236" s="5" t="s">
        <v>240</v>
      </c>
      <c r="HZ3236" s="5" t="s">
        <v>240</v>
      </c>
      <c r="IA3236" s="5" t="s">
        <v>240</v>
      </c>
      <c r="IB3236" s="5" t="s">
        <v>240</v>
      </c>
      <c r="IC3236" s="5" t="s">
        <v>240</v>
      </c>
      <c r="ID3236" s="5" t="s">
        <v>240</v>
      </c>
      <c r="IE3236" s="5" t="s">
        <v>240</v>
      </c>
      <c r="IF3236" s="5" t="s">
        <v>240</v>
      </c>
    </row>
    <row r="3237" spans="1:240" x14ac:dyDescent="0.4">
      <c r="A3237" s="5">
        <v>8726</v>
      </c>
      <c r="B3237" s="5">
        <v>1</v>
      </c>
      <c r="C3237" s="5">
        <v>2</v>
      </c>
      <c r="D3237" s="5" t="s">
        <v>297</v>
      </c>
      <c r="E3237" s="5" t="s">
        <v>245</v>
      </c>
      <c r="F3237" s="5" t="s">
        <v>254</v>
      </c>
      <c r="G3237" s="5" t="s">
        <v>6774</v>
      </c>
      <c r="H3237" s="6" t="s">
        <v>6966</v>
      </c>
      <c r="I3237" s="5" t="s">
        <v>6964</v>
      </c>
      <c r="J3237" s="8">
        <f>7.28</f>
        <v>7.28</v>
      </c>
      <c r="K3237" s="5" t="s">
        <v>308</v>
      </c>
      <c r="L3237" s="7">
        <f>40040</f>
        <v>40040</v>
      </c>
      <c r="M3237" s="7">
        <f>40040</f>
        <v>40040</v>
      </c>
      <c r="N3237" s="5" t="s">
        <v>242</v>
      </c>
      <c r="O3237" s="5">
        <v>1</v>
      </c>
      <c r="P3237" s="5" t="s">
        <v>294</v>
      </c>
      <c r="Q3237" s="5" t="s">
        <v>3678</v>
      </c>
      <c r="R3237" s="5" t="s">
        <v>240</v>
      </c>
      <c r="S3237" s="5" t="s">
        <v>240</v>
      </c>
      <c r="T3237" s="5" t="s">
        <v>243</v>
      </c>
      <c r="U3237" s="5" t="s">
        <v>244</v>
      </c>
      <c r="V3237" s="5" t="s">
        <v>240</v>
      </c>
      <c r="W3237" s="5" t="s">
        <v>240</v>
      </c>
      <c r="X3237" s="5" t="s">
        <v>240</v>
      </c>
      <c r="Y3237" s="5" t="s">
        <v>240</v>
      </c>
      <c r="Z3237" s="6" t="s">
        <v>298</v>
      </c>
      <c r="AA3237" s="6" t="s">
        <v>240</v>
      </c>
      <c r="AB3237" s="6" t="s">
        <v>240</v>
      </c>
      <c r="AC3237" s="5" t="s">
        <v>240</v>
      </c>
      <c r="AD3237" s="6" t="s">
        <v>240</v>
      </c>
      <c r="AE3237" s="6" t="s">
        <v>299</v>
      </c>
      <c r="AF3237" s="5" t="s">
        <v>248</v>
      </c>
      <c r="AG3237" s="5" t="s">
        <v>249</v>
      </c>
      <c r="AH3237" s="5" t="s">
        <v>240</v>
      </c>
      <c r="AI3237" s="5" t="s">
        <v>240</v>
      </c>
      <c r="AJ3237" s="5" t="s">
        <v>240</v>
      </c>
      <c r="AK3237" s="5" t="s">
        <v>240</v>
      </c>
      <c r="AL3237" s="5" t="s">
        <v>240</v>
      </c>
      <c r="AM3237" s="5" t="s">
        <v>240</v>
      </c>
      <c r="AN3237" s="5" t="s">
        <v>240</v>
      </c>
      <c r="AO3237" s="5" t="s">
        <v>240</v>
      </c>
      <c r="AP3237" s="6" t="s">
        <v>240</v>
      </c>
      <c r="AQ3237" s="6" t="s">
        <v>240</v>
      </c>
      <c r="AR3237" s="6" t="s">
        <v>240</v>
      </c>
      <c r="AS3237" s="6" t="s">
        <v>240</v>
      </c>
      <c r="AT3237" s="5" t="s">
        <v>240</v>
      </c>
      <c r="AU3237" s="5" t="s">
        <v>729</v>
      </c>
      <c r="AV3237" s="5" t="s">
        <v>729</v>
      </c>
      <c r="AW3237" s="5" t="s">
        <v>251</v>
      </c>
      <c r="AX3237" s="5" t="s">
        <v>252</v>
      </c>
      <c r="AY3237" s="5" t="s">
        <v>253</v>
      </c>
      <c r="AZ3237" s="5" t="s">
        <v>240</v>
      </c>
      <c r="BA3237" s="5" t="s">
        <v>255</v>
      </c>
      <c r="BB3237" s="5" t="s">
        <v>731</v>
      </c>
      <c r="BD3237" s="5" t="s">
        <v>240</v>
      </c>
      <c r="BF3237" s="5" t="s">
        <v>732</v>
      </c>
      <c r="BG3237" s="6" t="s">
        <v>733</v>
      </c>
      <c r="BH3237" s="5" t="s">
        <v>734</v>
      </c>
      <c r="BI3237" s="5" t="s">
        <v>734</v>
      </c>
      <c r="BJ3237" s="5" t="s">
        <v>240</v>
      </c>
      <c r="BK3237" s="7">
        <f>1</f>
        <v>1</v>
      </c>
      <c r="BL3237" s="7">
        <f>1</f>
        <v>1</v>
      </c>
      <c r="BM3237" s="5" t="s">
        <v>258</v>
      </c>
      <c r="BN3237" s="5" t="s">
        <v>259</v>
      </c>
      <c r="BO3237" s="5" t="s">
        <v>240</v>
      </c>
      <c r="BP3237" s="5" t="s">
        <v>240</v>
      </c>
      <c r="BQ3237" s="5" t="s">
        <v>240</v>
      </c>
      <c r="BR3237" s="5" t="s">
        <v>240</v>
      </c>
      <c r="BS3237" s="5" t="s">
        <v>240</v>
      </c>
      <c r="BT3237" s="5" t="s">
        <v>240</v>
      </c>
      <c r="BU3237" s="5" t="s">
        <v>240</v>
      </c>
      <c r="BV3237" s="5" t="s">
        <v>240</v>
      </c>
      <c r="BW3237" s="6" t="s">
        <v>240</v>
      </c>
      <c r="BX3237" s="5" t="s">
        <v>240</v>
      </c>
      <c r="BY3237" s="5" t="s">
        <v>240</v>
      </c>
      <c r="BZ3237" s="5" t="s">
        <v>240</v>
      </c>
      <c r="CA3237" s="5" t="s">
        <v>259</v>
      </c>
      <c r="CB3237" s="5" t="s">
        <v>240</v>
      </c>
      <c r="CC3237" s="5" t="s">
        <v>240</v>
      </c>
      <c r="CD3237" s="5" t="s">
        <v>240</v>
      </c>
      <c r="CE3237" s="5" t="s">
        <v>240</v>
      </c>
      <c r="CF3237" s="5" t="s">
        <v>240</v>
      </c>
      <c r="CG3237" s="5" t="s">
        <v>304</v>
      </c>
      <c r="CH3237" s="5" t="s">
        <v>305</v>
      </c>
      <c r="CI3237" s="5" t="s">
        <v>240</v>
      </c>
      <c r="CK3237" s="5" t="s">
        <v>3681</v>
      </c>
      <c r="CL3237" s="6" t="s">
        <v>261</v>
      </c>
      <c r="CM3237" s="5" t="s">
        <v>262</v>
      </c>
      <c r="CN3237" s="5" t="s">
        <v>263</v>
      </c>
      <c r="CO3237" s="5" t="s">
        <v>264</v>
      </c>
      <c r="CP3237" s="5" t="s">
        <v>240</v>
      </c>
      <c r="CQ3237" s="5">
        <v>0</v>
      </c>
      <c r="CR3237" s="5" t="s">
        <v>735</v>
      </c>
      <c r="CS3237" s="5" t="s">
        <v>307</v>
      </c>
      <c r="CT3237" s="5" t="s">
        <v>307</v>
      </c>
      <c r="CU3237" s="5" t="s">
        <v>260</v>
      </c>
      <c r="CV3237" s="5" t="s">
        <v>612</v>
      </c>
      <c r="CW3237" s="8">
        <f>1</f>
        <v>1</v>
      </c>
      <c r="CX3237" s="7">
        <f>1</f>
        <v>1</v>
      </c>
      <c r="CY3237" s="7">
        <f>0</f>
        <v>0</v>
      </c>
      <c r="DA3237" s="7">
        <f>1</f>
        <v>1</v>
      </c>
      <c r="DB3237" s="7" t="s">
        <v>240</v>
      </c>
      <c r="DC3237" s="5" t="s">
        <v>240</v>
      </c>
      <c r="DD3237" s="5" t="s">
        <v>240</v>
      </c>
      <c r="DE3237" s="5" t="s">
        <v>240</v>
      </c>
      <c r="DF3237" s="5" t="s">
        <v>240</v>
      </c>
      <c r="DG3237" s="7">
        <f>0</f>
        <v>0</v>
      </c>
      <c r="DI3237" s="5" t="s">
        <v>240</v>
      </c>
      <c r="DJ3237" s="5" t="s">
        <v>240</v>
      </c>
      <c r="DK3237" s="5" t="s">
        <v>240</v>
      </c>
      <c r="DL3237" s="5" t="s">
        <v>240</v>
      </c>
      <c r="DM3237" s="5" t="s">
        <v>240</v>
      </c>
      <c r="DN3237" s="5" t="s">
        <v>240</v>
      </c>
      <c r="DO3237" s="7" t="s">
        <v>240</v>
      </c>
      <c r="DP3237" s="5" t="s">
        <v>240</v>
      </c>
      <c r="DQ3237" s="5" t="s">
        <v>240</v>
      </c>
      <c r="DR3237" s="5" t="s">
        <v>731</v>
      </c>
      <c r="DS3237" s="5" t="s">
        <v>731</v>
      </c>
      <c r="DT3237" s="5" t="s">
        <v>240</v>
      </c>
      <c r="DU3237" s="5" t="s">
        <v>240</v>
      </c>
      <c r="DV3237" s="5" t="s">
        <v>3683</v>
      </c>
      <c r="DW3237" s="5" t="s">
        <v>326</v>
      </c>
      <c r="DX3237" s="5" t="s">
        <v>240</v>
      </c>
      <c r="DY3237" s="5" t="s">
        <v>240</v>
      </c>
      <c r="DZ3237" s="5" t="s">
        <v>240</v>
      </c>
      <c r="EA3237" s="5" t="s">
        <v>240</v>
      </c>
      <c r="EB3237" s="5" t="s">
        <v>240</v>
      </c>
      <c r="EC3237" s="5" t="s">
        <v>240</v>
      </c>
      <c r="ED3237" s="5" t="s">
        <v>240</v>
      </c>
      <c r="EE3237" s="5" t="s">
        <v>240</v>
      </c>
      <c r="EF3237" s="5" t="s">
        <v>240</v>
      </c>
      <c r="EG3237" s="5" t="s">
        <v>240</v>
      </c>
      <c r="EH3237" s="5" t="s">
        <v>240</v>
      </c>
      <c r="EI3237" s="5" t="s">
        <v>240</v>
      </c>
      <c r="EJ3237" s="5" t="s">
        <v>240</v>
      </c>
      <c r="EK3237" s="5" t="s">
        <v>240</v>
      </c>
      <c r="EL3237" s="5" t="s">
        <v>240</v>
      </c>
      <c r="EM3237" s="5" t="s">
        <v>240</v>
      </c>
      <c r="EN3237" s="5" t="s">
        <v>240</v>
      </c>
      <c r="EO3237" s="5" t="s">
        <v>240</v>
      </c>
      <c r="EP3237" s="5" t="s">
        <v>240</v>
      </c>
      <c r="EQ3237" s="5" t="s">
        <v>240</v>
      </c>
      <c r="ER3237" s="5" t="s">
        <v>240</v>
      </c>
      <c r="ES3237" s="5" t="s">
        <v>240</v>
      </c>
      <c r="ET3237" s="5" t="s">
        <v>240</v>
      </c>
      <c r="EU3237" s="5" t="s">
        <v>240</v>
      </c>
      <c r="EV3237" s="5" t="s">
        <v>240</v>
      </c>
      <c r="EW3237" s="5" t="s">
        <v>240</v>
      </c>
      <c r="EX3237" s="5" t="s">
        <v>240</v>
      </c>
      <c r="EY3237" s="5" t="s">
        <v>240</v>
      </c>
      <c r="EZ3237" s="5" t="s">
        <v>240</v>
      </c>
      <c r="FA3237" s="5" t="s">
        <v>240</v>
      </c>
      <c r="FB3237" s="5" t="s">
        <v>240</v>
      </c>
      <c r="FC3237" s="5" t="s">
        <v>240</v>
      </c>
      <c r="FD3237" s="5" t="s">
        <v>240</v>
      </c>
      <c r="FE3237" s="5" t="s">
        <v>240</v>
      </c>
      <c r="FF3237" s="5" t="s">
        <v>240</v>
      </c>
      <c r="FG3237" s="5" t="s">
        <v>240</v>
      </c>
      <c r="FH3237" s="5" t="s">
        <v>240</v>
      </c>
      <c r="FI3237" s="5" t="s">
        <v>240</v>
      </c>
      <c r="FJ3237" s="5" t="s">
        <v>240</v>
      </c>
      <c r="FK3237" s="5" t="s">
        <v>240</v>
      </c>
      <c r="FL3237" s="5" t="s">
        <v>240</v>
      </c>
      <c r="FM3237" s="5" t="s">
        <v>240</v>
      </c>
      <c r="FN3237" s="5" t="s">
        <v>240</v>
      </c>
      <c r="FO3237" s="5" t="s">
        <v>240</v>
      </c>
      <c r="FP3237" s="5" t="s">
        <v>240</v>
      </c>
      <c r="FQ3237" s="5" t="s">
        <v>240</v>
      </c>
      <c r="FR3237" s="5" t="s">
        <v>240</v>
      </c>
      <c r="FS3237" s="5" t="s">
        <v>240</v>
      </c>
      <c r="FT3237" s="5" t="s">
        <v>240</v>
      </c>
      <c r="FU3237" s="5" t="s">
        <v>240</v>
      </c>
      <c r="FV3237" s="5" t="s">
        <v>240</v>
      </c>
      <c r="FW3237" s="5" t="s">
        <v>240</v>
      </c>
      <c r="FX3237" s="5" t="s">
        <v>240</v>
      </c>
      <c r="FY3237" s="5" t="s">
        <v>240</v>
      </c>
      <c r="FZ3237" s="5" t="s">
        <v>240</v>
      </c>
      <c r="GA3237" s="5" t="s">
        <v>240</v>
      </c>
      <c r="GB3237" s="5" t="s">
        <v>240</v>
      </c>
      <c r="GC3237" s="5" t="s">
        <v>240</v>
      </c>
      <c r="GD3237" s="5" t="s">
        <v>240</v>
      </c>
      <c r="GE3237" s="5" t="s">
        <v>240</v>
      </c>
      <c r="GF3237" s="5" t="s">
        <v>240</v>
      </c>
      <c r="GG3237" s="5" t="s">
        <v>240</v>
      </c>
      <c r="GH3237" s="5" t="s">
        <v>240</v>
      </c>
      <c r="GI3237" s="5" t="s">
        <v>240</v>
      </c>
      <c r="GJ3237" s="5" t="s">
        <v>240</v>
      </c>
      <c r="GK3237" s="5" t="s">
        <v>240</v>
      </c>
      <c r="GL3237" s="5" t="s">
        <v>240</v>
      </c>
      <c r="GM3237" s="5" t="s">
        <v>240</v>
      </c>
      <c r="GN3237" s="5" t="s">
        <v>240</v>
      </c>
      <c r="GO3237" s="5" t="s">
        <v>240</v>
      </c>
      <c r="GP3237" s="5" t="s">
        <v>240</v>
      </c>
      <c r="GQ3237" s="5" t="s">
        <v>240</v>
      </c>
      <c r="GR3237" s="5" t="s">
        <v>240</v>
      </c>
      <c r="GS3237" s="5" t="s">
        <v>240</v>
      </c>
      <c r="GT3237" s="5" t="s">
        <v>240</v>
      </c>
      <c r="GU3237" s="5" t="s">
        <v>240</v>
      </c>
      <c r="GV3237" s="5" t="s">
        <v>240</v>
      </c>
      <c r="GW3237" s="5" t="s">
        <v>240</v>
      </c>
      <c r="GX3237" s="5" t="s">
        <v>240</v>
      </c>
      <c r="GY3237" s="5" t="s">
        <v>240</v>
      </c>
      <c r="GZ3237" s="5" t="s">
        <v>240</v>
      </c>
      <c r="HA3237" s="5" t="s">
        <v>240</v>
      </c>
      <c r="HB3237" s="5" t="s">
        <v>240</v>
      </c>
      <c r="HC3237" s="5" t="s">
        <v>240</v>
      </c>
      <c r="HD3237" s="5" t="s">
        <v>240</v>
      </c>
      <c r="HE3237" s="5" t="s">
        <v>240</v>
      </c>
      <c r="HF3237" s="5" t="s">
        <v>240</v>
      </c>
      <c r="HG3237" s="5" t="s">
        <v>240</v>
      </c>
      <c r="HH3237" s="5" t="s">
        <v>240</v>
      </c>
      <c r="HI3237" s="5" t="s">
        <v>240</v>
      </c>
      <c r="HJ3237" s="5" t="s">
        <v>240</v>
      </c>
      <c r="HK3237" s="5" t="s">
        <v>240</v>
      </c>
      <c r="HL3237" s="5" t="s">
        <v>240</v>
      </c>
      <c r="HM3237" s="5" t="s">
        <v>240</v>
      </c>
      <c r="HN3237" s="5" t="s">
        <v>240</v>
      </c>
      <c r="HO3237" s="5" t="s">
        <v>312</v>
      </c>
      <c r="HP3237" s="5" t="s">
        <v>240</v>
      </c>
      <c r="HQ3237" s="5" t="s">
        <v>240</v>
      </c>
      <c r="HR3237" s="5" t="s">
        <v>240</v>
      </c>
      <c r="HS3237" s="5" t="s">
        <v>240</v>
      </c>
      <c r="HT3237" s="5" t="s">
        <v>240</v>
      </c>
      <c r="HU3237" s="5" t="s">
        <v>240</v>
      </c>
      <c r="HV3237" s="5" t="s">
        <v>240</v>
      </c>
      <c r="HW3237" s="5" t="s">
        <v>240</v>
      </c>
      <c r="HX3237" s="5" t="s">
        <v>240</v>
      </c>
      <c r="HY3237" s="5" t="s">
        <v>240</v>
      </c>
      <c r="HZ3237" s="5" t="s">
        <v>240</v>
      </c>
      <c r="IA3237" s="5" t="s">
        <v>240</v>
      </c>
      <c r="IB3237" s="5" t="s">
        <v>240</v>
      </c>
      <c r="IC3237" s="5" t="s">
        <v>240</v>
      </c>
      <c r="ID3237" s="5" t="s">
        <v>240</v>
      </c>
      <c r="IE3237" s="5" t="s">
        <v>240</v>
      </c>
      <c r="IF3237" s="5" t="s">
        <v>240</v>
      </c>
    </row>
    <row r="3238" spans="1:240" x14ac:dyDescent="0.4">
      <c r="A3238" s="5">
        <v>8727</v>
      </c>
      <c r="B3238" s="5">
        <v>1</v>
      </c>
      <c r="C3238" s="5">
        <v>2</v>
      </c>
      <c r="D3238" s="5" t="s">
        <v>297</v>
      </c>
      <c r="E3238" s="5" t="s">
        <v>245</v>
      </c>
      <c r="F3238" s="5" t="s">
        <v>254</v>
      </c>
      <c r="G3238" s="5" t="s">
        <v>6774</v>
      </c>
      <c r="H3238" s="6" t="s">
        <v>282</v>
      </c>
      <c r="I3238" s="5" t="s">
        <v>6851</v>
      </c>
      <c r="J3238" s="8">
        <f>27.97</f>
        <v>27.97</v>
      </c>
      <c r="K3238" s="5" t="s">
        <v>308</v>
      </c>
      <c r="L3238" s="7">
        <f>131459</f>
        <v>131459</v>
      </c>
      <c r="M3238" s="7">
        <f>131459</f>
        <v>131459</v>
      </c>
      <c r="N3238" s="5" t="s">
        <v>242</v>
      </c>
      <c r="O3238" s="5">
        <v>1</v>
      </c>
      <c r="P3238" s="5" t="s">
        <v>294</v>
      </c>
      <c r="Q3238" s="5" t="s">
        <v>266</v>
      </c>
      <c r="R3238" s="5" t="s">
        <v>240</v>
      </c>
      <c r="S3238" s="5" t="s">
        <v>240</v>
      </c>
      <c r="T3238" s="5" t="s">
        <v>296</v>
      </c>
      <c r="U3238" s="5" t="s">
        <v>244</v>
      </c>
      <c r="V3238" s="5" t="s">
        <v>240</v>
      </c>
      <c r="Y3238" s="5" t="s">
        <v>240</v>
      </c>
      <c r="Z3238" s="6" t="s">
        <v>298</v>
      </c>
      <c r="AB3238" s="6" t="s">
        <v>240</v>
      </c>
      <c r="AE3238" s="6" t="s">
        <v>299</v>
      </c>
      <c r="AF3238" s="5" t="s">
        <v>248</v>
      </c>
      <c r="AG3238" s="5" t="s">
        <v>249</v>
      </c>
      <c r="AW3238" s="5" t="s">
        <v>251</v>
      </c>
      <c r="AX3238" s="5" t="s">
        <v>240</v>
      </c>
      <c r="AY3238" s="5" t="s">
        <v>253</v>
      </c>
      <c r="AZ3238" s="5" t="s">
        <v>240</v>
      </c>
      <c r="BA3238" s="5" t="s">
        <v>255</v>
      </c>
      <c r="BB3238" s="5" t="s">
        <v>240</v>
      </c>
      <c r="BD3238" s="5" t="s">
        <v>240</v>
      </c>
      <c r="BF3238" s="5" t="s">
        <v>301</v>
      </c>
      <c r="BG3238" s="6" t="s">
        <v>299</v>
      </c>
      <c r="BH3238" s="5" t="s">
        <v>302</v>
      </c>
      <c r="BI3238" s="5" t="s">
        <v>303</v>
      </c>
      <c r="BJ3238" s="5" t="s">
        <v>240</v>
      </c>
      <c r="BK3238" s="8">
        <f>0</f>
        <v>0</v>
      </c>
      <c r="BL3238" s="7">
        <f>0</f>
        <v>0</v>
      </c>
      <c r="BM3238" s="5" t="s">
        <v>258</v>
      </c>
      <c r="BN3238" s="5" t="s">
        <v>259</v>
      </c>
      <c r="CB3238" s="5" t="s">
        <v>240</v>
      </c>
      <c r="CC3238" s="5" t="s">
        <v>240</v>
      </c>
      <c r="CG3238" s="5" t="s">
        <v>304</v>
      </c>
      <c r="CH3238" s="5" t="s">
        <v>305</v>
      </c>
      <c r="CI3238" s="5" t="s">
        <v>240</v>
      </c>
      <c r="CL3238" s="6" t="s">
        <v>261</v>
      </c>
      <c r="CM3238" s="5" t="s">
        <v>240</v>
      </c>
      <c r="CN3238" s="5" t="s">
        <v>263</v>
      </c>
      <c r="CO3238" s="5" t="s">
        <v>240</v>
      </c>
      <c r="CP3238" s="5" t="s">
        <v>240</v>
      </c>
      <c r="CQ3238" s="5">
        <v>0</v>
      </c>
      <c r="CR3238" s="5" t="s">
        <v>306</v>
      </c>
      <c r="CS3238" s="5" t="s">
        <v>307</v>
      </c>
      <c r="CT3238" s="5" t="s">
        <v>307</v>
      </c>
      <c r="CU3238" s="5" t="s">
        <v>260</v>
      </c>
      <c r="CX3238" s="7">
        <f>1</f>
        <v>1</v>
      </c>
      <c r="CY3238" s="7">
        <f>0</f>
        <v>0</v>
      </c>
      <c r="DA3238" s="7">
        <f>0</f>
        <v>0</v>
      </c>
      <c r="DC3238" s="5" t="s">
        <v>309</v>
      </c>
      <c r="DD3238" s="5" t="s">
        <v>240</v>
      </c>
      <c r="DF3238" s="5" t="s">
        <v>309</v>
      </c>
      <c r="DG3238" s="7">
        <f>1730</f>
        <v>1730</v>
      </c>
      <c r="DI3238" s="5" t="s">
        <v>240</v>
      </c>
      <c r="DJ3238" s="5" t="s">
        <v>240</v>
      </c>
      <c r="DK3238" s="5" t="s">
        <v>240</v>
      </c>
      <c r="DL3238" s="5" t="s">
        <v>240</v>
      </c>
      <c r="DP3238" s="5" t="s">
        <v>240</v>
      </c>
      <c r="DQ3238" s="5" t="s">
        <v>240</v>
      </c>
      <c r="DR3238" s="5" t="s">
        <v>240</v>
      </c>
      <c r="DS3238" s="5" t="s">
        <v>240</v>
      </c>
      <c r="DV3238" s="5" t="s">
        <v>310</v>
      </c>
      <c r="DW3238" s="5" t="s">
        <v>3023</v>
      </c>
      <c r="HO3238" s="5" t="s">
        <v>312</v>
      </c>
    </row>
    <row r="3239" spans="1:240" x14ac:dyDescent="0.4">
      <c r="A3239" s="5">
        <v>8728</v>
      </c>
      <c r="B3239" s="5">
        <v>1</v>
      </c>
      <c r="C3239" s="5">
        <v>2</v>
      </c>
      <c r="D3239" s="5" t="s">
        <v>297</v>
      </c>
      <c r="E3239" s="5" t="s">
        <v>245</v>
      </c>
      <c r="F3239" s="5" t="s">
        <v>254</v>
      </c>
      <c r="G3239" s="5" t="s">
        <v>6774</v>
      </c>
      <c r="H3239" s="6" t="s">
        <v>250</v>
      </c>
      <c r="I3239" s="5" t="s">
        <v>7181</v>
      </c>
      <c r="J3239" s="8">
        <f>19.62</f>
        <v>19.62</v>
      </c>
      <c r="K3239" s="5" t="s">
        <v>308</v>
      </c>
      <c r="L3239" s="7">
        <f>257022</f>
        <v>257022</v>
      </c>
      <c r="M3239" s="7">
        <f>257022</f>
        <v>257022</v>
      </c>
      <c r="N3239" s="5" t="s">
        <v>242</v>
      </c>
      <c r="O3239" s="5">
        <v>1</v>
      </c>
      <c r="P3239" s="5" t="s">
        <v>294</v>
      </c>
      <c r="Q3239" s="5" t="s">
        <v>3678</v>
      </c>
      <c r="R3239" s="5" t="s">
        <v>240</v>
      </c>
      <c r="S3239" s="5" t="s">
        <v>240</v>
      </c>
      <c r="T3239" s="5" t="s">
        <v>243</v>
      </c>
      <c r="U3239" s="5" t="s">
        <v>244</v>
      </c>
      <c r="V3239" s="5" t="s">
        <v>240</v>
      </c>
      <c r="W3239" s="5" t="s">
        <v>240</v>
      </c>
      <c r="X3239" s="5" t="s">
        <v>240</v>
      </c>
      <c r="Y3239" s="5" t="s">
        <v>240</v>
      </c>
      <c r="Z3239" s="6" t="s">
        <v>298</v>
      </c>
      <c r="AA3239" s="6" t="s">
        <v>240</v>
      </c>
      <c r="AB3239" s="6" t="s">
        <v>240</v>
      </c>
      <c r="AC3239" s="5" t="s">
        <v>240</v>
      </c>
      <c r="AD3239" s="6" t="s">
        <v>240</v>
      </c>
      <c r="AE3239" s="6" t="s">
        <v>299</v>
      </c>
      <c r="AF3239" s="5" t="s">
        <v>248</v>
      </c>
      <c r="AG3239" s="5" t="s">
        <v>249</v>
      </c>
      <c r="AH3239" s="5" t="s">
        <v>240</v>
      </c>
      <c r="AI3239" s="5" t="s">
        <v>240</v>
      </c>
      <c r="AJ3239" s="5" t="s">
        <v>240</v>
      </c>
      <c r="AK3239" s="5" t="s">
        <v>240</v>
      </c>
      <c r="AL3239" s="5" t="s">
        <v>240</v>
      </c>
      <c r="AM3239" s="5" t="s">
        <v>240</v>
      </c>
      <c r="AN3239" s="5" t="s">
        <v>240</v>
      </c>
      <c r="AO3239" s="5" t="s">
        <v>240</v>
      </c>
      <c r="AP3239" s="6" t="s">
        <v>240</v>
      </c>
      <c r="AQ3239" s="6" t="s">
        <v>240</v>
      </c>
      <c r="AR3239" s="6" t="s">
        <v>240</v>
      </c>
      <c r="AS3239" s="6" t="s">
        <v>240</v>
      </c>
      <c r="AT3239" s="5" t="s">
        <v>240</v>
      </c>
      <c r="AU3239" s="5" t="s">
        <v>729</v>
      </c>
      <c r="AV3239" s="5" t="s">
        <v>729</v>
      </c>
      <c r="AW3239" s="5" t="s">
        <v>251</v>
      </c>
      <c r="AX3239" s="5" t="s">
        <v>252</v>
      </c>
      <c r="AY3239" s="5" t="s">
        <v>253</v>
      </c>
      <c r="AZ3239" s="5" t="s">
        <v>240</v>
      </c>
      <c r="BA3239" s="5" t="s">
        <v>255</v>
      </c>
      <c r="BB3239" s="5" t="s">
        <v>731</v>
      </c>
      <c r="BD3239" s="5" t="s">
        <v>240</v>
      </c>
      <c r="BF3239" s="5" t="s">
        <v>732</v>
      </c>
      <c r="BG3239" s="6" t="s">
        <v>733</v>
      </c>
      <c r="BH3239" s="5" t="s">
        <v>734</v>
      </c>
      <c r="BI3239" s="5" t="s">
        <v>734</v>
      </c>
      <c r="BJ3239" s="5" t="s">
        <v>240</v>
      </c>
      <c r="BK3239" s="7">
        <f>1</f>
        <v>1</v>
      </c>
      <c r="BL3239" s="7">
        <f>1</f>
        <v>1</v>
      </c>
      <c r="BM3239" s="5" t="s">
        <v>258</v>
      </c>
      <c r="BN3239" s="5" t="s">
        <v>259</v>
      </c>
      <c r="BO3239" s="5" t="s">
        <v>240</v>
      </c>
      <c r="BP3239" s="5" t="s">
        <v>240</v>
      </c>
      <c r="BQ3239" s="5" t="s">
        <v>240</v>
      </c>
      <c r="BR3239" s="5" t="s">
        <v>240</v>
      </c>
      <c r="BS3239" s="5" t="s">
        <v>240</v>
      </c>
      <c r="BT3239" s="5" t="s">
        <v>240</v>
      </c>
      <c r="BU3239" s="5" t="s">
        <v>240</v>
      </c>
      <c r="BV3239" s="5" t="s">
        <v>240</v>
      </c>
      <c r="BW3239" s="6" t="s">
        <v>240</v>
      </c>
      <c r="BX3239" s="5" t="s">
        <v>240</v>
      </c>
      <c r="BY3239" s="5" t="s">
        <v>240</v>
      </c>
      <c r="BZ3239" s="5" t="s">
        <v>240</v>
      </c>
      <c r="CA3239" s="5" t="s">
        <v>259</v>
      </c>
      <c r="CB3239" s="5" t="s">
        <v>240</v>
      </c>
      <c r="CC3239" s="5" t="s">
        <v>240</v>
      </c>
      <c r="CD3239" s="5" t="s">
        <v>240</v>
      </c>
      <c r="CE3239" s="5" t="s">
        <v>240</v>
      </c>
      <c r="CF3239" s="5" t="s">
        <v>240</v>
      </c>
      <c r="CG3239" s="5" t="s">
        <v>304</v>
      </c>
      <c r="CH3239" s="5" t="s">
        <v>305</v>
      </c>
      <c r="CI3239" s="5" t="s">
        <v>240</v>
      </c>
      <c r="CK3239" s="5" t="s">
        <v>3681</v>
      </c>
      <c r="CL3239" s="6" t="s">
        <v>261</v>
      </c>
      <c r="CM3239" s="5" t="s">
        <v>262</v>
      </c>
      <c r="CN3239" s="5" t="s">
        <v>263</v>
      </c>
      <c r="CO3239" s="5" t="s">
        <v>264</v>
      </c>
      <c r="CP3239" s="5" t="s">
        <v>240</v>
      </c>
      <c r="CQ3239" s="5">
        <v>0</v>
      </c>
      <c r="CR3239" s="5" t="s">
        <v>735</v>
      </c>
      <c r="CS3239" s="5" t="s">
        <v>307</v>
      </c>
      <c r="CT3239" s="5" t="s">
        <v>307</v>
      </c>
      <c r="CU3239" s="5" t="s">
        <v>260</v>
      </c>
      <c r="CV3239" s="5" t="s">
        <v>612</v>
      </c>
      <c r="CW3239" s="8">
        <f>1</f>
        <v>1</v>
      </c>
      <c r="CX3239" s="7">
        <f>1</f>
        <v>1</v>
      </c>
      <c r="CY3239" s="7">
        <f>0</f>
        <v>0</v>
      </c>
      <c r="DA3239" s="7">
        <f>1</f>
        <v>1</v>
      </c>
      <c r="DB3239" s="7" t="s">
        <v>240</v>
      </c>
      <c r="DC3239" s="5" t="s">
        <v>240</v>
      </c>
      <c r="DD3239" s="5" t="s">
        <v>240</v>
      </c>
      <c r="DE3239" s="5" t="s">
        <v>240</v>
      </c>
      <c r="DF3239" s="5" t="s">
        <v>240</v>
      </c>
      <c r="DG3239" s="7">
        <f>0</f>
        <v>0</v>
      </c>
      <c r="DI3239" s="5" t="s">
        <v>240</v>
      </c>
      <c r="DJ3239" s="5" t="s">
        <v>240</v>
      </c>
      <c r="DK3239" s="5" t="s">
        <v>240</v>
      </c>
      <c r="DL3239" s="5" t="s">
        <v>240</v>
      </c>
      <c r="DM3239" s="5" t="s">
        <v>240</v>
      </c>
      <c r="DN3239" s="5" t="s">
        <v>240</v>
      </c>
      <c r="DO3239" s="7" t="s">
        <v>240</v>
      </c>
      <c r="DP3239" s="5" t="s">
        <v>240</v>
      </c>
      <c r="DQ3239" s="5" t="s">
        <v>240</v>
      </c>
      <c r="DR3239" s="5" t="s">
        <v>731</v>
      </c>
      <c r="DS3239" s="5" t="s">
        <v>731</v>
      </c>
      <c r="DT3239" s="5" t="s">
        <v>240</v>
      </c>
      <c r="DU3239" s="5" t="s">
        <v>240</v>
      </c>
      <c r="DV3239" s="5" t="s">
        <v>3683</v>
      </c>
      <c r="DW3239" s="5" t="s">
        <v>633</v>
      </c>
      <c r="DX3239" s="5" t="s">
        <v>240</v>
      </c>
      <c r="DY3239" s="5" t="s">
        <v>240</v>
      </c>
      <c r="DZ3239" s="5" t="s">
        <v>240</v>
      </c>
      <c r="EA3239" s="5" t="s">
        <v>240</v>
      </c>
      <c r="EB3239" s="5" t="s">
        <v>240</v>
      </c>
      <c r="EC3239" s="5" t="s">
        <v>240</v>
      </c>
      <c r="ED3239" s="5" t="s">
        <v>240</v>
      </c>
      <c r="EE3239" s="5" t="s">
        <v>240</v>
      </c>
      <c r="EF3239" s="5" t="s">
        <v>240</v>
      </c>
      <c r="EG3239" s="5" t="s">
        <v>240</v>
      </c>
      <c r="EH3239" s="5" t="s">
        <v>240</v>
      </c>
      <c r="EI3239" s="5" t="s">
        <v>240</v>
      </c>
      <c r="EJ3239" s="5" t="s">
        <v>240</v>
      </c>
      <c r="EK3239" s="5" t="s">
        <v>240</v>
      </c>
      <c r="EL3239" s="5" t="s">
        <v>240</v>
      </c>
      <c r="EM3239" s="5" t="s">
        <v>240</v>
      </c>
      <c r="EN3239" s="5" t="s">
        <v>240</v>
      </c>
      <c r="EO3239" s="5" t="s">
        <v>240</v>
      </c>
      <c r="EP3239" s="5" t="s">
        <v>240</v>
      </c>
      <c r="EQ3239" s="5" t="s">
        <v>240</v>
      </c>
      <c r="ER3239" s="5" t="s">
        <v>240</v>
      </c>
      <c r="ES3239" s="5" t="s">
        <v>240</v>
      </c>
      <c r="ET3239" s="5" t="s">
        <v>240</v>
      </c>
      <c r="EU3239" s="5" t="s">
        <v>240</v>
      </c>
      <c r="EV3239" s="5" t="s">
        <v>240</v>
      </c>
      <c r="EW3239" s="5" t="s">
        <v>240</v>
      </c>
      <c r="EX3239" s="5" t="s">
        <v>240</v>
      </c>
      <c r="EY3239" s="5" t="s">
        <v>240</v>
      </c>
      <c r="EZ3239" s="5" t="s">
        <v>240</v>
      </c>
      <c r="FA3239" s="5" t="s">
        <v>240</v>
      </c>
      <c r="FB3239" s="5" t="s">
        <v>240</v>
      </c>
      <c r="FC3239" s="5" t="s">
        <v>240</v>
      </c>
      <c r="FD3239" s="5" t="s">
        <v>240</v>
      </c>
      <c r="FE3239" s="5" t="s">
        <v>240</v>
      </c>
      <c r="FF3239" s="5" t="s">
        <v>240</v>
      </c>
      <c r="FG3239" s="5" t="s">
        <v>240</v>
      </c>
      <c r="FH3239" s="5" t="s">
        <v>240</v>
      </c>
      <c r="FI3239" s="5" t="s">
        <v>240</v>
      </c>
      <c r="FJ3239" s="5" t="s">
        <v>240</v>
      </c>
      <c r="FK3239" s="5" t="s">
        <v>240</v>
      </c>
      <c r="FL3239" s="5" t="s">
        <v>240</v>
      </c>
      <c r="FM3239" s="5" t="s">
        <v>240</v>
      </c>
      <c r="FN3239" s="5" t="s">
        <v>240</v>
      </c>
      <c r="FO3239" s="5" t="s">
        <v>240</v>
      </c>
      <c r="FP3239" s="5" t="s">
        <v>240</v>
      </c>
      <c r="FQ3239" s="5" t="s">
        <v>240</v>
      </c>
      <c r="FR3239" s="5" t="s">
        <v>240</v>
      </c>
      <c r="FS3239" s="5" t="s">
        <v>240</v>
      </c>
      <c r="FT3239" s="5" t="s">
        <v>240</v>
      </c>
      <c r="FU3239" s="5" t="s">
        <v>240</v>
      </c>
      <c r="FV3239" s="5" t="s">
        <v>240</v>
      </c>
      <c r="FW3239" s="5" t="s">
        <v>240</v>
      </c>
      <c r="FX3239" s="5" t="s">
        <v>240</v>
      </c>
      <c r="FY3239" s="5" t="s">
        <v>240</v>
      </c>
      <c r="FZ3239" s="5" t="s">
        <v>240</v>
      </c>
      <c r="GA3239" s="5" t="s">
        <v>240</v>
      </c>
      <c r="GB3239" s="5" t="s">
        <v>240</v>
      </c>
      <c r="GC3239" s="5" t="s">
        <v>240</v>
      </c>
      <c r="GD3239" s="5" t="s">
        <v>240</v>
      </c>
      <c r="GE3239" s="5" t="s">
        <v>240</v>
      </c>
      <c r="GF3239" s="5" t="s">
        <v>240</v>
      </c>
      <c r="GG3239" s="5" t="s">
        <v>240</v>
      </c>
      <c r="GH3239" s="5" t="s">
        <v>240</v>
      </c>
      <c r="GI3239" s="5" t="s">
        <v>240</v>
      </c>
      <c r="GJ3239" s="5" t="s">
        <v>240</v>
      </c>
      <c r="GK3239" s="5" t="s">
        <v>240</v>
      </c>
      <c r="GL3239" s="5" t="s">
        <v>240</v>
      </c>
      <c r="GM3239" s="5" t="s">
        <v>240</v>
      </c>
      <c r="GN3239" s="5" t="s">
        <v>240</v>
      </c>
      <c r="GO3239" s="5" t="s">
        <v>240</v>
      </c>
      <c r="GP3239" s="5" t="s">
        <v>240</v>
      </c>
      <c r="GQ3239" s="5" t="s">
        <v>240</v>
      </c>
      <c r="GR3239" s="5" t="s">
        <v>240</v>
      </c>
      <c r="GS3239" s="5" t="s">
        <v>240</v>
      </c>
      <c r="GT3239" s="5" t="s">
        <v>240</v>
      </c>
      <c r="GU3239" s="5" t="s">
        <v>240</v>
      </c>
      <c r="GV3239" s="5" t="s">
        <v>240</v>
      </c>
      <c r="GW3239" s="5" t="s">
        <v>240</v>
      </c>
      <c r="GX3239" s="5" t="s">
        <v>240</v>
      </c>
      <c r="GY3239" s="5" t="s">
        <v>240</v>
      </c>
      <c r="GZ3239" s="5" t="s">
        <v>240</v>
      </c>
      <c r="HA3239" s="5" t="s">
        <v>240</v>
      </c>
      <c r="HB3239" s="5" t="s">
        <v>240</v>
      </c>
      <c r="HC3239" s="5" t="s">
        <v>240</v>
      </c>
      <c r="HD3239" s="5" t="s">
        <v>240</v>
      </c>
      <c r="HE3239" s="5" t="s">
        <v>240</v>
      </c>
      <c r="HF3239" s="5" t="s">
        <v>240</v>
      </c>
      <c r="HG3239" s="5" t="s">
        <v>240</v>
      </c>
      <c r="HH3239" s="5" t="s">
        <v>240</v>
      </c>
      <c r="HI3239" s="5" t="s">
        <v>240</v>
      </c>
      <c r="HJ3239" s="5" t="s">
        <v>240</v>
      </c>
      <c r="HK3239" s="5" t="s">
        <v>240</v>
      </c>
      <c r="HL3239" s="5" t="s">
        <v>240</v>
      </c>
      <c r="HM3239" s="5" t="s">
        <v>240</v>
      </c>
      <c r="HN3239" s="5" t="s">
        <v>240</v>
      </c>
      <c r="HO3239" s="5" t="s">
        <v>312</v>
      </c>
      <c r="HP3239" s="5" t="s">
        <v>240</v>
      </c>
      <c r="HQ3239" s="5" t="s">
        <v>240</v>
      </c>
      <c r="HR3239" s="5" t="s">
        <v>240</v>
      </c>
      <c r="HS3239" s="5" t="s">
        <v>240</v>
      </c>
      <c r="HT3239" s="5" t="s">
        <v>240</v>
      </c>
      <c r="HU3239" s="5" t="s">
        <v>240</v>
      </c>
      <c r="HV3239" s="5" t="s">
        <v>240</v>
      </c>
      <c r="HW3239" s="5" t="s">
        <v>240</v>
      </c>
      <c r="HX3239" s="5" t="s">
        <v>240</v>
      </c>
      <c r="HY3239" s="5" t="s">
        <v>240</v>
      </c>
      <c r="HZ3239" s="5" t="s">
        <v>240</v>
      </c>
      <c r="IA3239" s="5" t="s">
        <v>240</v>
      </c>
      <c r="IB3239" s="5" t="s">
        <v>240</v>
      </c>
      <c r="IC3239" s="5" t="s">
        <v>240</v>
      </c>
      <c r="ID3239" s="5" t="s">
        <v>240</v>
      </c>
      <c r="IE3239" s="5" t="s">
        <v>240</v>
      </c>
      <c r="IF3239" s="5" t="s">
        <v>240</v>
      </c>
    </row>
    <row r="3240" spans="1:240" x14ac:dyDescent="0.4">
      <c r="A3240" s="5">
        <v>8729</v>
      </c>
      <c r="B3240" s="5">
        <v>1</v>
      </c>
      <c r="C3240" s="5">
        <v>3</v>
      </c>
      <c r="D3240" s="5" t="s">
        <v>297</v>
      </c>
      <c r="E3240" s="5" t="s">
        <v>245</v>
      </c>
      <c r="F3240" s="5" t="s">
        <v>254</v>
      </c>
      <c r="G3240" s="5" t="s">
        <v>6774</v>
      </c>
      <c r="H3240" s="6" t="s">
        <v>7269</v>
      </c>
      <c r="I3240" s="5" t="s">
        <v>7267</v>
      </c>
      <c r="J3240" s="8">
        <f>55.95</f>
        <v>55.95</v>
      </c>
      <c r="K3240" s="5" t="s">
        <v>308</v>
      </c>
      <c r="L3240" s="7">
        <f>884010</f>
        <v>884010</v>
      </c>
      <c r="M3240" s="7">
        <f>884010</f>
        <v>884010</v>
      </c>
      <c r="N3240" s="5" t="s">
        <v>242</v>
      </c>
      <c r="O3240" s="5">
        <v>1</v>
      </c>
      <c r="P3240" s="5" t="s">
        <v>294</v>
      </c>
      <c r="Q3240" s="5" t="s">
        <v>3678</v>
      </c>
      <c r="R3240" s="5" t="s">
        <v>240</v>
      </c>
      <c r="S3240" s="5" t="s">
        <v>240</v>
      </c>
      <c r="T3240" s="5" t="s">
        <v>243</v>
      </c>
      <c r="U3240" s="5" t="s">
        <v>244</v>
      </c>
      <c r="V3240" s="5" t="s">
        <v>240</v>
      </c>
      <c r="W3240" s="5" t="s">
        <v>240</v>
      </c>
      <c r="X3240" s="5" t="s">
        <v>240</v>
      </c>
      <c r="Y3240" s="5" t="s">
        <v>240</v>
      </c>
      <c r="Z3240" s="6" t="s">
        <v>298</v>
      </c>
      <c r="AA3240" s="6" t="s">
        <v>240</v>
      </c>
      <c r="AB3240" s="6" t="s">
        <v>240</v>
      </c>
      <c r="AC3240" s="5" t="s">
        <v>240</v>
      </c>
      <c r="AD3240" s="6" t="s">
        <v>240</v>
      </c>
      <c r="AE3240" s="6" t="s">
        <v>299</v>
      </c>
      <c r="AF3240" s="5" t="s">
        <v>248</v>
      </c>
      <c r="AG3240" s="5" t="s">
        <v>249</v>
      </c>
      <c r="AH3240" s="5" t="s">
        <v>240</v>
      </c>
      <c r="AI3240" s="5" t="s">
        <v>240</v>
      </c>
      <c r="AJ3240" s="5" t="s">
        <v>240</v>
      </c>
      <c r="AK3240" s="5" t="s">
        <v>240</v>
      </c>
      <c r="AL3240" s="5" t="s">
        <v>240</v>
      </c>
      <c r="AM3240" s="5" t="s">
        <v>240</v>
      </c>
      <c r="AN3240" s="5" t="s">
        <v>240</v>
      </c>
      <c r="AO3240" s="5" t="s">
        <v>240</v>
      </c>
      <c r="AP3240" s="6" t="s">
        <v>240</v>
      </c>
      <c r="AQ3240" s="6" t="s">
        <v>240</v>
      </c>
      <c r="AR3240" s="6" t="s">
        <v>240</v>
      </c>
      <c r="AS3240" s="6" t="s">
        <v>240</v>
      </c>
      <c r="AT3240" s="5" t="s">
        <v>240</v>
      </c>
      <c r="AU3240" s="5" t="s">
        <v>729</v>
      </c>
      <c r="AV3240" s="5" t="s">
        <v>729</v>
      </c>
      <c r="AW3240" s="5" t="s">
        <v>251</v>
      </c>
      <c r="AX3240" s="5" t="s">
        <v>252</v>
      </c>
      <c r="AY3240" s="5" t="s">
        <v>253</v>
      </c>
      <c r="AZ3240" s="5" t="s">
        <v>240</v>
      </c>
      <c r="BA3240" s="5" t="s">
        <v>255</v>
      </c>
      <c r="BB3240" s="5" t="s">
        <v>731</v>
      </c>
      <c r="BD3240" s="5" t="s">
        <v>240</v>
      </c>
      <c r="BF3240" s="5" t="s">
        <v>732</v>
      </c>
      <c r="BG3240" s="6" t="s">
        <v>733</v>
      </c>
      <c r="BH3240" s="5" t="s">
        <v>734</v>
      </c>
      <c r="BI3240" s="5" t="s">
        <v>734</v>
      </c>
      <c r="BJ3240" s="5" t="s">
        <v>240</v>
      </c>
      <c r="BK3240" s="7">
        <f>1</f>
        <v>1</v>
      </c>
      <c r="BL3240" s="7">
        <f>1</f>
        <v>1</v>
      </c>
      <c r="BM3240" s="5" t="s">
        <v>258</v>
      </c>
      <c r="BN3240" s="5" t="s">
        <v>259</v>
      </c>
      <c r="BO3240" s="5" t="s">
        <v>240</v>
      </c>
      <c r="BP3240" s="5" t="s">
        <v>240</v>
      </c>
      <c r="BQ3240" s="5" t="s">
        <v>240</v>
      </c>
      <c r="BR3240" s="5" t="s">
        <v>240</v>
      </c>
      <c r="BS3240" s="5" t="s">
        <v>240</v>
      </c>
      <c r="BT3240" s="5" t="s">
        <v>240</v>
      </c>
      <c r="BU3240" s="5" t="s">
        <v>240</v>
      </c>
      <c r="BV3240" s="5" t="s">
        <v>240</v>
      </c>
      <c r="BW3240" s="6" t="s">
        <v>240</v>
      </c>
      <c r="BX3240" s="5" t="s">
        <v>240</v>
      </c>
      <c r="BY3240" s="5" t="s">
        <v>240</v>
      </c>
      <c r="BZ3240" s="5" t="s">
        <v>240</v>
      </c>
      <c r="CA3240" s="5" t="s">
        <v>259</v>
      </c>
      <c r="CB3240" s="5" t="s">
        <v>240</v>
      </c>
      <c r="CC3240" s="5" t="s">
        <v>240</v>
      </c>
      <c r="CD3240" s="5" t="s">
        <v>240</v>
      </c>
      <c r="CE3240" s="5" t="s">
        <v>240</v>
      </c>
      <c r="CF3240" s="5" t="s">
        <v>240</v>
      </c>
      <c r="CG3240" s="5" t="s">
        <v>304</v>
      </c>
      <c r="CH3240" s="5" t="s">
        <v>305</v>
      </c>
      <c r="CI3240" s="5" t="s">
        <v>240</v>
      </c>
      <c r="CK3240" s="5" t="s">
        <v>3681</v>
      </c>
      <c r="CL3240" s="6" t="s">
        <v>261</v>
      </c>
      <c r="CM3240" s="5" t="s">
        <v>262</v>
      </c>
      <c r="CN3240" s="5" t="s">
        <v>263</v>
      </c>
      <c r="CO3240" s="5" t="s">
        <v>264</v>
      </c>
      <c r="CP3240" s="5" t="s">
        <v>240</v>
      </c>
      <c r="CQ3240" s="5">
        <v>0</v>
      </c>
      <c r="CR3240" s="5" t="s">
        <v>735</v>
      </c>
      <c r="CS3240" s="5" t="s">
        <v>307</v>
      </c>
      <c r="CT3240" s="5" t="s">
        <v>307</v>
      </c>
      <c r="CU3240" s="5" t="s">
        <v>260</v>
      </c>
      <c r="CV3240" s="5" t="s">
        <v>612</v>
      </c>
      <c r="CW3240" s="8">
        <f>1</f>
        <v>1</v>
      </c>
      <c r="CX3240" s="7">
        <f>1</f>
        <v>1</v>
      </c>
      <c r="CY3240" s="7">
        <f>0</f>
        <v>0</v>
      </c>
      <c r="DA3240" s="7">
        <f>1</f>
        <v>1</v>
      </c>
      <c r="DB3240" s="7" t="s">
        <v>240</v>
      </c>
      <c r="DC3240" s="5" t="s">
        <v>240</v>
      </c>
      <c r="DD3240" s="5" t="s">
        <v>240</v>
      </c>
      <c r="DE3240" s="5" t="s">
        <v>240</v>
      </c>
      <c r="DF3240" s="5" t="s">
        <v>240</v>
      </c>
      <c r="DG3240" s="7">
        <f>0</f>
        <v>0</v>
      </c>
      <c r="DI3240" s="5" t="s">
        <v>240</v>
      </c>
      <c r="DJ3240" s="5" t="s">
        <v>240</v>
      </c>
      <c r="DK3240" s="5" t="s">
        <v>240</v>
      </c>
      <c r="DL3240" s="5" t="s">
        <v>240</v>
      </c>
      <c r="DM3240" s="5" t="s">
        <v>240</v>
      </c>
      <c r="DN3240" s="5" t="s">
        <v>240</v>
      </c>
      <c r="DO3240" s="7" t="s">
        <v>240</v>
      </c>
      <c r="DP3240" s="5" t="s">
        <v>240</v>
      </c>
      <c r="DQ3240" s="5" t="s">
        <v>240</v>
      </c>
      <c r="DR3240" s="5" t="s">
        <v>731</v>
      </c>
      <c r="DS3240" s="5" t="s">
        <v>731</v>
      </c>
      <c r="DT3240" s="5" t="s">
        <v>240</v>
      </c>
      <c r="DU3240" s="5" t="s">
        <v>240</v>
      </c>
      <c r="DV3240" s="5" t="s">
        <v>3683</v>
      </c>
      <c r="DW3240" s="5" t="s">
        <v>3979</v>
      </c>
      <c r="DX3240" s="5" t="s">
        <v>240</v>
      </c>
      <c r="DY3240" s="5" t="s">
        <v>240</v>
      </c>
      <c r="DZ3240" s="5" t="s">
        <v>240</v>
      </c>
      <c r="EA3240" s="5" t="s">
        <v>240</v>
      </c>
      <c r="EB3240" s="5" t="s">
        <v>240</v>
      </c>
      <c r="EC3240" s="5" t="s">
        <v>240</v>
      </c>
      <c r="ED3240" s="5" t="s">
        <v>240</v>
      </c>
      <c r="EE3240" s="5" t="s">
        <v>240</v>
      </c>
      <c r="EF3240" s="5" t="s">
        <v>240</v>
      </c>
      <c r="EG3240" s="5" t="s">
        <v>240</v>
      </c>
      <c r="EH3240" s="5" t="s">
        <v>240</v>
      </c>
      <c r="EI3240" s="5" t="s">
        <v>240</v>
      </c>
      <c r="EJ3240" s="5" t="s">
        <v>240</v>
      </c>
      <c r="EK3240" s="5" t="s">
        <v>240</v>
      </c>
      <c r="EL3240" s="5" t="s">
        <v>240</v>
      </c>
      <c r="EM3240" s="5" t="s">
        <v>240</v>
      </c>
      <c r="EN3240" s="5" t="s">
        <v>240</v>
      </c>
      <c r="EO3240" s="5" t="s">
        <v>240</v>
      </c>
      <c r="EP3240" s="5" t="s">
        <v>240</v>
      </c>
      <c r="EQ3240" s="5" t="s">
        <v>240</v>
      </c>
      <c r="ER3240" s="5" t="s">
        <v>240</v>
      </c>
      <c r="ES3240" s="5" t="s">
        <v>240</v>
      </c>
      <c r="ET3240" s="5" t="s">
        <v>240</v>
      </c>
      <c r="EU3240" s="5" t="s">
        <v>240</v>
      </c>
      <c r="EV3240" s="5" t="s">
        <v>240</v>
      </c>
      <c r="EW3240" s="5" t="s">
        <v>240</v>
      </c>
      <c r="EX3240" s="5" t="s">
        <v>240</v>
      </c>
      <c r="EY3240" s="5" t="s">
        <v>240</v>
      </c>
      <c r="EZ3240" s="5" t="s">
        <v>240</v>
      </c>
      <c r="FA3240" s="5" t="s">
        <v>240</v>
      </c>
      <c r="FB3240" s="5" t="s">
        <v>240</v>
      </c>
      <c r="FC3240" s="5" t="s">
        <v>240</v>
      </c>
      <c r="FD3240" s="5" t="s">
        <v>240</v>
      </c>
      <c r="FE3240" s="5" t="s">
        <v>240</v>
      </c>
      <c r="FF3240" s="5" t="s">
        <v>240</v>
      </c>
      <c r="FG3240" s="5" t="s">
        <v>240</v>
      </c>
      <c r="FH3240" s="5" t="s">
        <v>240</v>
      </c>
      <c r="FI3240" s="5" t="s">
        <v>240</v>
      </c>
      <c r="FJ3240" s="5" t="s">
        <v>240</v>
      </c>
      <c r="FK3240" s="5" t="s">
        <v>240</v>
      </c>
      <c r="FL3240" s="5" t="s">
        <v>240</v>
      </c>
      <c r="FM3240" s="5" t="s">
        <v>240</v>
      </c>
      <c r="FN3240" s="5" t="s">
        <v>240</v>
      </c>
      <c r="FO3240" s="5" t="s">
        <v>240</v>
      </c>
      <c r="FP3240" s="5" t="s">
        <v>240</v>
      </c>
      <c r="FQ3240" s="5" t="s">
        <v>240</v>
      </c>
      <c r="FR3240" s="5" t="s">
        <v>240</v>
      </c>
      <c r="FS3240" s="5" t="s">
        <v>240</v>
      </c>
      <c r="FT3240" s="5" t="s">
        <v>240</v>
      </c>
      <c r="FU3240" s="5" t="s">
        <v>240</v>
      </c>
      <c r="FV3240" s="5" t="s">
        <v>240</v>
      </c>
      <c r="FW3240" s="5" t="s">
        <v>240</v>
      </c>
      <c r="FX3240" s="5" t="s">
        <v>240</v>
      </c>
      <c r="FY3240" s="5" t="s">
        <v>240</v>
      </c>
      <c r="FZ3240" s="5" t="s">
        <v>240</v>
      </c>
      <c r="GA3240" s="5" t="s">
        <v>240</v>
      </c>
      <c r="GB3240" s="5" t="s">
        <v>240</v>
      </c>
      <c r="GC3240" s="5" t="s">
        <v>240</v>
      </c>
      <c r="GD3240" s="5" t="s">
        <v>240</v>
      </c>
      <c r="GE3240" s="5" t="s">
        <v>240</v>
      </c>
      <c r="GF3240" s="5" t="s">
        <v>240</v>
      </c>
      <c r="GG3240" s="5" t="s">
        <v>240</v>
      </c>
      <c r="GH3240" s="5" t="s">
        <v>240</v>
      </c>
      <c r="GI3240" s="5" t="s">
        <v>240</v>
      </c>
      <c r="GJ3240" s="5" t="s">
        <v>240</v>
      </c>
      <c r="GK3240" s="5" t="s">
        <v>240</v>
      </c>
      <c r="GL3240" s="5" t="s">
        <v>240</v>
      </c>
      <c r="GM3240" s="5" t="s">
        <v>240</v>
      </c>
      <c r="GN3240" s="5" t="s">
        <v>240</v>
      </c>
      <c r="GO3240" s="5" t="s">
        <v>240</v>
      </c>
      <c r="GP3240" s="5" t="s">
        <v>240</v>
      </c>
      <c r="GQ3240" s="5" t="s">
        <v>240</v>
      </c>
      <c r="GR3240" s="5" t="s">
        <v>240</v>
      </c>
      <c r="GS3240" s="5" t="s">
        <v>240</v>
      </c>
      <c r="GT3240" s="5" t="s">
        <v>240</v>
      </c>
      <c r="GU3240" s="5" t="s">
        <v>240</v>
      </c>
      <c r="GV3240" s="5" t="s">
        <v>240</v>
      </c>
      <c r="GW3240" s="5" t="s">
        <v>240</v>
      </c>
      <c r="GX3240" s="5" t="s">
        <v>240</v>
      </c>
      <c r="GY3240" s="5" t="s">
        <v>240</v>
      </c>
      <c r="GZ3240" s="5" t="s">
        <v>240</v>
      </c>
      <c r="HA3240" s="5" t="s">
        <v>240</v>
      </c>
      <c r="HB3240" s="5" t="s">
        <v>240</v>
      </c>
      <c r="HC3240" s="5" t="s">
        <v>240</v>
      </c>
      <c r="HD3240" s="5" t="s">
        <v>240</v>
      </c>
      <c r="HE3240" s="5" t="s">
        <v>240</v>
      </c>
      <c r="HF3240" s="5" t="s">
        <v>240</v>
      </c>
      <c r="HG3240" s="5" t="s">
        <v>240</v>
      </c>
      <c r="HH3240" s="5" t="s">
        <v>240</v>
      </c>
      <c r="HI3240" s="5" t="s">
        <v>240</v>
      </c>
      <c r="HJ3240" s="5" t="s">
        <v>240</v>
      </c>
      <c r="HK3240" s="5" t="s">
        <v>240</v>
      </c>
      <c r="HL3240" s="5" t="s">
        <v>240</v>
      </c>
      <c r="HM3240" s="5" t="s">
        <v>240</v>
      </c>
      <c r="HN3240" s="5" t="s">
        <v>240</v>
      </c>
      <c r="HO3240" s="5" t="s">
        <v>312</v>
      </c>
      <c r="HP3240" s="5" t="s">
        <v>240</v>
      </c>
      <c r="HQ3240" s="5" t="s">
        <v>240</v>
      </c>
      <c r="HR3240" s="5" t="s">
        <v>240</v>
      </c>
      <c r="HS3240" s="5" t="s">
        <v>240</v>
      </c>
      <c r="HT3240" s="5" t="s">
        <v>240</v>
      </c>
      <c r="HU3240" s="5" t="s">
        <v>240</v>
      </c>
      <c r="HV3240" s="5" t="s">
        <v>240</v>
      </c>
      <c r="HW3240" s="5" t="s">
        <v>240</v>
      </c>
      <c r="HX3240" s="5" t="s">
        <v>240</v>
      </c>
      <c r="HY3240" s="5" t="s">
        <v>240</v>
      </c>
      <c r="HZ3240" s="5" t="s">
        <v>240</v>
      </c>
      <c r="IA3240" s="5" t="s">
        <v>240</v>
      </c>
      <c r="IB3240" s="5" t="s">
        <v>240</v>
      </c>
      <c r="IC3240" s="5" t="s">
        <v>240</v>
      </c>
      <c r="ID3240" s="5" t="s">
        <v>240</v>
      </c>
      <c r="IE3240" s="5" t="s">
        <v>240</v>
      </c>
      <c r="IF3240" s="5" t="s">
        <v>240</v>
      </c>
    </row>
    <row r="3241" spans="1:240" x14ac:dyDescent="0.4">
      <c r="A3241" s="5">
        <v>8730</v>
      </c>
      <c r="B3241" s="5">
        <v>1</v>
      </c>
      <c r="C3241" s="5">
        <v>2</v>
      </c>
      <c r="D3241" s="5" t="s">
        <v>297</v>
      </c>
      <c r="E3241" s="5" t="s">
        <v>245</v>
      </c>
      <c r="F3241" s="5" t="s">
        <v>254</v>
      </c>
      <c r="G3241" s="5" t="s">
        <v>6774</v>
      </c>
      <c r="H3241" s="6" t="s">
        <v>6845</v>
      </c>
      <c r="I3241" s="5" t="s">
        <v>6843</v>
      </c>
      <c r="J3241" s="8">
        <f>345.83</f>
        <v>345.83</v>
      </c>
      <c r="K3241" s="5" t="s">
        <v>308</v>
      </c>
      <c r="L3241" s="7">
        <f>155623</f>
        <v>155623</v>
      </c>
      <c r="M3241" s="7">
        <f>155623</f>
        <v>155623</v>
      </c>
      <c r="N3241" s="5" t="s">
        <v>242</v>
      </c>
      <c r="O3241" s="5">
        <v>1</v>
      </c>
      <c r="P3241" s="5" t="s">
        <v>294</v>
      </c>
      <c r="Q3241" s="5" t="s">
        <v>3678</v>
      </c>
      <c r="R3241" s="5" t="s">
        <v>240</v>
      </c>
      <c r="S3241" s="5" t="s">
        <v>240</v>
      </c>
      <c r="T3241" s="5" t="s">
        <v>243</v>
      </c>
      <c r="U3241" s="5" t="s">
        <v>244</v>
      </c>
      <c r="V3241" s="5" t="s">
        <v>240</v>
      </c>
      <c r="W3241" s="5" t="s">
        <v>240</v>
      </c>
      <c r="X3241" s="5" t="s">
        <v>240</v>
      </c>
      <c r="Y3241" s="5" t="s">
        <v>240</v>
      </c>
      <c r="Z3241" s="6" t="s">
        <v>298</v>
      </c>
      <c r="AA3241" s="6" t="s">
        <v>240</v>
      </c>
      <c r="AB3241" s="6" t="s">
        <v>240</v>
      </c>
      <c r="AC3241" s="5" t="s">
        <v>240</v>
      </c>
      <c r="AD3241" s="6" t="s">
        <v>240</v>
      </c>
      <c r="AE3241" s="6" t="s">
        <v>299</v>
      </c>
      <c r="AF3241" s="5" t="s">
        <v>248</v>
      </c>
      <c r="AG3241" s="5" t="s">
        <v>249</v>
      </c>
      <c r="AH3241" s="5" t="s">
        <v>240</v>
      </c>
      <c r="AI3241" s="5" t="s">
        <v>240</v>
      </c>
      <c r="AJ3241" s="5" t="s">
        <v>240</v>
      </c>
      <c r="AK3241" s="5" t="s">
        <v>240</v>
      </c>
      <c r="AL3241" s="5" t="s">
        <v>240</v>
      </c>
      <c r="AM3241" s="5" t="s">
        <v>240</v>
      </c>
      <c r="AN3241" s="5" t="s">
        <v>240</v>
      </c>
      <c r="AO3241" s="5" t="s">
        <v>240</v>
      </c>
      <c r="AP3241" s="6" t="s">
        <v>240</v>
      </c>
      <c r="AQ3241" s="6" t="s">
        <v>240</v>
      </c>
      <c r="AR3241" s="6" t="s">
        <v>240</v>
      </c>
      <c r="AS3241" s="6" t="s">
        <v>240</v>
      </c>
      <c r="AT3241" s="5" t="s">
        <v>240</v>
      </c>
      <c r="AU3241" s="5" t="s">
        <v>729</v>
      </c>
      <c r="AV3241" s="5" t="s">
        <v>729</v>
      </c>
      <c r="AW3241" s="5" t="s">
        <v>251</v>
      </c>
      <c r="AX3241" s="5" t="s">
        <v>252</v>
      </c>
      <c r="AY3241" s="5" t="s">
        <v>253</v>
      </c>
      <c r="AZ3241" s="5" t="s">
        <v>240</v>
      </c>
      <c r="BA3241" s="5" t="s">
        <v>255</v>
      </c>
      <c r="BB3241" s="5" t="s">
        <v>731</v>
      </c>
      <c r="BD3241" s="5" t="s">
        <v>240</v>
      </c>
      <c r="BF3241" s="5" t="s">
        <v>732</v>
      </c>
      <c r="BG3241" s="6" t="s">
        <v>733</v>
      </c>
      <c r="BH3241" s="5" t="s">
        <v>734</v>
      </c>
      <c r="BI3241" s="5" t="s">
        <v>734</v>
      </c>
      <c r="BJ3241" s="5" t="s">
        <v>240</v>
      </c>
      <c r="BK3241" s="7">
        <f>1</f>
        <v>1</v>
      </c>
      <c r="BL3241" s="7">
        <f>1</f>
        <v>1</v>
      </c>
      <c r="BM3241" s="5" t="s">
        <v>258</v>
      </c>
      <c r="BN3241" s="5" t="s">
        <v>259</v>
      </c>
      <c r="BO3241" s="5" t="s">
        <v>240</v>
      </c>
      <c r="BP3241" s="5" t="s">
        <v>240</v>
      </c>
      <c r="BQ3241" s="5" t="s">
        <v>240</v>
      </c>
      <c r="BR3241" s="5" t="s">
        <v>240</v>
      </c>
      <c r="BS3241" s="5" t="s">
        <v>240</v>
      </c>
      <c r="BT3241" s="5" t="s">
        <v>240</v>
      </c>
      <c r="BU3241" s="5" t="s">
        <v>240</v>
      </c>
      <c r="BV3241" s="5" t="s">
        <v>240</v>
      </c>
      <c r="BW3241" s="6" t="s">
        <v>240</v>
      </c>
      <c r="BX3241" s="5" t="s">
        <v>240</v>
      </c>
      <c r="BY3241" s="5" t="s">
        <v>240</v>
      </c>
      <c r="BZ3241" s="5" t="s">
        <v>240</v>
      </c>
      <c r="CA3241" s="5" t="s">
        <v>259</v>
      </c>
      <c r="CB3241" s="5" t="s">
        <v>240</v>
      </c>
      <c r="CC3241" s="5" t="s">
        <v>240</v>
      </c>
      <c r="CD3241" s="5" t="s">
        <v>240</v>
      </c>
      <c r="CE3241" s="5" t="s">
        <v>240</v>
      </c>
      <c r="CF3241" s="5" t="s">
        <v>240</v>
      </c>
      <c r="CG3241" s="5" t="s">
        <v>304</v>
      </c>
      <c r="CH3241" s="5" t="s">
        <v>305</v>
      </c>
      <c r="CI3241" s="5" t="s">
        <v>240</v>
      </c>
      <c r="CK3241" s="5" t="s">
        <v>3681</v>
      </c>
      <c r="CL3241" s="6" t="s">
        <v>261</v>
      </c>
      <c r="CM3241" s="5" t="s">
        <v>262</v>
      </c>
      <c r="CN3241" s="5" t="s">
        <v>263</v>
      </c>
      <c r="CO3241" s="5" t="s">
        <v>264</v>
      </c>
      <c r="CP3241" s="5" t="s">
        <v>240</v>
      </c>
      <c r="CQ3241" s="5">
        <v>0</v>
      </c>
      <c r="CR3241" s="5" t="s">
        <v>735</v>
      </c>
      <c r="CS3241" s="5" t="s">
        <v>307</v>
      </c>
      <c r="CT3241" s="5" t="s">
        <v>307</v>
      </c>
      <c r="CU3241" s="5" t="s">
        <v>260</v>
      </c>
      <c r="CV3241" s="5" t="s">
        <v>612</v>
      </c>
      <c r="CW3241" s="8">
        <f>1</f>
        <v>1</v>
      </c>
      <c r="CX3241" s="7">
        <f>1</f>
        <v>1</v>
      </c>
      <c r="CY3241" s="7">
        <f>0</f>
        <v>0</v>
      </c>
      <c r="DA3241" s="7">
        <f>1</f>
        <v>1</v>
      </c>
      <c r="DB3241" s="7" t="s">
        <v>240</v>
      </c>
      <c r="DC3241" s="5" t="s">
        <v>240</v>
      </c>
      <c r="DD3241" s="5" t="s">
        <v>240</v>
      </c>
      <c r="DE3241" s="5" t="s">
        <v>240</v>
      </c>
      <c r="DF3241" s="5" t="s">
        <v>240</v>
      </c>
      <c r="DG3241" s="7">
        <f>0</f>
        <v>0</v>
      </c>
      <c r="DI3241" s="5" t="s">
        <v>240</v>
      </c>
      <c r="DJ3241" s="5" t="s">
        <v>240</v>
      </c>
      <c r="DK3241" s="5" t="s">
        <v>240</v>
      </c>
      <c r="DL3241" s="5" t="s">
        <v>240</v>
      </c>
      <c r="DM3241" s="5" t="s">
        <v>240</v>
      </c>
      <c r="DN3241" s="5" t="s">
        <v>240</v>
      </c>
      <c r="DO3241" s="7" t="s">
        <v>240</v>
      </c>
      <c r="DP3241" s="5" t="s">
        <v>240</v>
      </c>
      <c r="DQ3241" s="5" t="s">
        <v>240</v>
      </c>
      <c r="DR3241" s="5" t="s">
        <v>731</v>
      </c>
      <c r="DS3241" s="5" t="s">
        <v>731</v>
      </c>
      <c r="DT3241" s="5" t="s">
        <v>240</v>
      </c>
      <c r="DU3241" s="5" t="s">
        <v>240</v>
      </c>
      <c r="DV3241" s="5" t="s">
        <v>3683</v>
      </c>
      <c r="DW3241" s="5" t="s">
        <v>4011</v>
      </c>
      <c r="DX3241" s="5" t="s">
        <v>240</v>
      </c>
      <c r="DY3241" s="5" t="s">
        <v>240</v>
      </c>
      <c r="DZ3241" s="5" t="s">
        <v>240</v>
      </c>
      <c r="EA3241" s="5" t="s">
        <v>240</v>
      </c>
      <c r="EB3241" s="5" t="s">
        <v>240</v>
      </c>
      <c r="EC3241" s="5" t="s">
        <v>240</v>
      </c>
      <c r="ED3241" s="5" t="s">
        <v>240</v>
      </c>
      <c r="EE3241" s="5" t="s">
        <v>240</v>
      </c>
      <c r="EF3241" s="5" t="s">
        <v>240</v>
      </c>
      <c r="EG3241" s="5" t="s">
        <v>240</v>
      </c>
      <c r="EH3241" s="5" t="s">
        <v>240</v>
      </c>
      <c r="EI3241" s="5" t="s">
        <v>240</v>
      </c>
      <c r="EJ3241" s="5" t="s">
        <v>240</v>
      </c>
      <c r="EK3241" s="5" t="s">
        <v>240</v>
      </c>
      <c r="EL3241" s="5" t="s">
        <v>240</v>
      </c>
      <c r="EM3241" s="5" t="s">
        <v>240</v>
      </c>
      <c r="EN3241" s="5" t="s">
        <v>240</v>
      </c>
      <c r="EO3241" s="5" t="s">
        <v>240</v>
      </c>
      <c r="EP3241" s="5" t="s">
        <v>240</v>
      </c>
      <c r="EQ3241" s="5" t="s">
        <v>240</v>
      </c>
      <c r="ER3241" s="5" t="s">
        <v>240</v>
      </c>
      <c r="ES3241" s="5" t="s">
        <v>240</v>
      </c>
      <c r="ET3241" s="5" t="s">
        <v>240</v>
      </c>
      <c r="EU3241" s="5" t="s">
        <v>240</v>
      </c>
      <c r="EV3241" s="5" t="s">
        <v>240</v>
      </c>
      <c r="EW3241" s="5" t="s">
        <v>240</v>
      </c>
      <c r="EX3241" s="5" t="s">
        <v>240</v>
      </c>
      <c r="EY3241" s="5" t="s">
        <v>240</v>
      </c>
      <c r="EZ3241" s="5" t="s">
        <v>240</v>
      </c>
      <c r="FA3241" s="5" t="s">
        <v>240</v>
      </c>
      <c r="FB3241" s="5" t="s">
        <v>240</v>
      </c>
      <c r="FC3241" s="5" t="s">
        <v>240</v>
      </c>
      <c r="FD3241" s="5" t="s">
        <v>240</v>
      </c>
      <c r="FE3241" s="5" t="s">
        <v>240</v>
      </c>
      <c r="FF3241" s="5" t="s">
        <v>240</v>
      </c>
      <c r="FG3241" s="5" t="s">
        <v>240</v>
      </c>
      <c r="FH3241" s="5" t="s">
        <v>240</v>
      </c>
      <c r="FI3241" s="5" t="s">
        <v>240</v>
      </c>
      <c r="FJ3241" s="5" t="s">
        <v>240</v>
      </c>
      <c r="FK3241" s="5" t="s">
        <v>240</v>
      </c>
      <c r="FL3241" s="5" t="s">
        <v>240</v>
      </c>
      <c r="FM3241" s="5" t="s">
        <v>240</v>
      </c>
      <c r="FN3241" s="5" t="s">
        <v>240</v>
      </c>
      <c r="FO3241" s="5" t="s">
        <v>240</v>
      </c>
      <c r="FP3241" s="5" t="s">
        <v>240</v>
      </c>
      <c r="FQ3241" s="5" t="s">
        <v>240</v>
      </c>
      <c r="FR3241" s="5" t="s">
        <v>240</v>
      </c>
      <c r="FS3241" s="5" t="s">
        <v>240</v>
      </c>
      <c r="FT3241" s="5" t="s">
        <v>240</v>
      </c>
      <c r="FU3241" s="5" t="s">
        <v>240</v>
      </c>
      <c r="FV3241" s="5" t="s">
        <v>240</v>
      </c>
      <c r="FW3241" s="5" t="s">
        <v>240</v>
      </c>
      <c r="FX3241" s="5" t="s">
        <v>240</v>
      </c>
      <c r="FY3241" s="5" t="s">
        <v>240</v>
      </c>
      <c r="FZ3241" s="5" t="s">
        <v>240</v>
      </c>
      <c r="GA3241" s="5" t="s">
        <v>240</v>
      </c>
      <c r="GB3241" s="5" t="s">
        <v>240</v>
      </c>
      <c r="GC3241" s="5" t="s">
        <v>240</v>
      </c>
      <c r="GD3241" s="5" t="s">
        <v>240</v>
      </c>
      <c r="GE3241" s="5" t="s">
        <v>240</v>
      </c>
      <c r="GF3241" s="5" t="s">
        <v>240</v>
      </c>
      <c r="GG3241" s="5" t="s">
        <v>240</v>
      </c>
      <c r="GH3241" s="5" t="s">
        <v>240</v>
      </c>
      <c r="GI3241" s="5" t="s">
        <v>240</v>
      </c>
      <c r="GJ3241" s="5" t="s">
        <v>240</v>
      </c>
      <c r="GK3241" s="5" t="s">
        <v>240</v>
      </c>
      <c r="GL3241" s="5" t="s">
        <v>240</v>
      </c>
      <c r="GM3241" s="5" t="s">
        <v>240</v>
      </c>
      <c r="GN3241" s="5" t="s">
        <v>240</v>
      </c>
      <c r="GO3241" s="5" t="s">
        <v>240</v>
      </c>
      <c r="GP3241" s="5" t="s">
        <v>240</v>
      </c>
      <c r="GQ3241" s="5" t="s">
        <v>240</v>
      </c>
      <c r="GR3241" s="5" t="s">
        <v>240</v>
      </c>
      <c r="GS3241" s="5" t="s">
        <v>240</v>
      </c>
      <c r="GT3241" s="5" t="s">
        <v>240</v>
      </c>
      <c r="GU3241" s="5" t="s">
        <v>240</v>
      </c>
      <c r="GV3241" s="5" t="s">
        <v>240</v>
      </c>
      <c r="GW3241" s="5" t="s">
        <v>240</v>
      </c>
      <c r="GX3241" s="5" t="s">
        <v>240</v>
      </c>
      <c r="GY3241" s="5" t="s">
        <v>240</v>
      </c>
      <c r="GZ3241" s="5" t="s">
        <v>240</v>
      </c>
      <c r="HA3241" s="5" t="s">
        <v>240</v>
      </c>
      <c r="HB3241" s="5" t="s">
        <v>240</v>
      </c>
      <c r="HC3241" s="5" t="s">
        <v>240</v>
      </c>
      <c r="HD3241" s="5" t="s">
        <v>240</v>
      </c>
      <c r="HE3241" s="5" t="s">
        <v>240</v>
      </c>
      <c r="HF3241" s="5" t="s">
        <v>240</v>
      </c>
      <c r="HG3241" s="5" t="s">
        <v>240</v>
      </c>
      <c r="HH3241" s="5" t="s">
        <v>240</v>
      </c>
      <c r="HI3241" s="5" t="s">
        <v>240</v>
      </c>
      <c r="HJ3241" s="5" t="s">
        <v>240</v>
      </c>
      <c r="HK3241" s="5" t="s">
        <v>240</v>
      </c>
      <c r="HL3241" s="5" t="s">
        <v>240</v>
      </c>
      <c r="HM3241" s="5" t="s">
        <v>240</v>
      </c>
      <c r="HN3241" s="5" t="s">
        <v>240</v>
      </c>
      <c r="HO3241" s="5" t="s">
        <v>312</v>
      </c>
      <c r="HP3241" s="5" t="s">
        <v>240</v>
      </c>
      <c r="HQ3241" s="5" t="s">
        <v>240</v>
      </c>
      <c r="HR3241" s="5" t="s">
        <v>240</v>
      </c>
      <c r="HS3241" s="5" t="s">
        <v>240</v>
      </c>
      <c r="HT3241" s="5" t="s">
        <v>240</v>
      </c>
      <c r="HU3241" s="5" t="s">
        <v>240</v>
      </c>
      <c r="HV3241" s="5" t="s">
        <v>240</v>
      </c>
      <c r="HW3241" s="5" t="s">
        <v>240</v>
      </c>
      <c r="HX3241" s="5" t="s">
        <v>240</v>
      </c>
      <c r="HY3241" s="5" t="s">
        <v>240</v>
      </c>
      <c r="HZ3241" s="5" t="s">
        <v>240</v>
      </c>
      <c r="IA3241" s="5" t="s">
        <v>240</v>
      </c>
      <c r="IB3241" s="5" t="s">
        <v>240</v>
      </c>
      <c r="IC3241" s="5" t="s">
        <v>240</v>
      </c>
      <c r="ID3241" s="5" t="s">
        <v>240</v>
      </c>
      <c r="IE3241" s="5" t="s">
        <v>240</v>
      </c>
      <c r="IF3241" s="5" t="s">
        <v>240</v>
      </c>
    </row>
    <row r="3242" spans="1:240" x14ac:dyDescent="0.4">
      <c r="A3242" s="5">
        <v>8731</v>
      </c>
      <c r="B3242" s="5">
        <v>1</v>
      </c>
      <c r="C3242" s="5">
        <v>3</v>
      </c>
      <c r="D3242" s="5" t="s">
        <v>297</v>
      </c>
      <c r="E3242" s="5" t="s">
        <v>245</v>
      </c>
      <c r="F3242" s="5" t="s">
        <v>254</v>
      </c>
      <c r="G3242" s="5" t="s">
        <v>6774</v>
      </c>
      <c r="H3242" s="6" t="s">
        <v>7026</v>
      </c>
      <c r="I3242" s="5" t="s">
        <v>7058</v>
      </c>
      <c r="J3242" s="8">
        <f>609.23</f>
        <v>609.23</v>
      </c>
      <c r="K3242" s="5" t="s">
        <v>308</v>
      </c>
      <c r="L3242" s="7">
        <f>1218460</f>
        <v>1218460</v>
      </c>
      <c r="M3242" s="7">
        <f>1218460</f>
        <v>1218460</v>
      </c>
      <c r="N3242" s="5" t="s">
        <v>242</v>
      </c>
      <c r="O3242" s="5">
        <v>1</v>
      </c>
      <c r="P3242" s="5" t="s">
        <v>294</v>
      </c>
      <c r="Q3242" s="5" t="s">
        <v>3678</v>
      </c>
      <c r="R3242" s="5" t="s">
        <v>240</v>
      </c>
      <c r="S3242" s="5" t="s">
        <v>240</v>
      </c>
      <c r="T3242" s="5" t="s">
        <v>243</v>
      </c>
      <c r="U3242" s="5" t="s">
        <v>244</v>
      </c>
      <c r="V3242" s="5" t="s">
        <v>240</v>
      </c>
      <c r="W3242" s="5" t="s">
        <v>240</v>
      </c>
      <c r="X3242" s="5" t="s">
        <v>240</v>
      </c>
      <c r="Y3242" s="5" t="s">
        <v>240</v>
      </c>
      <c r="Z3242" s="6" t="s">
        <v>298</v>
      </c>
      <c r="AA3242" s="6" t="s">
        <v>240</v>
      </c>
      <c r="AB3242" s="6" t="s">
        <v>240</v>
      </c>
      <c r="AC3242" s="5" t="s">
        <v>240</v>
      </c>
      <c r="AD3242" s="6" t="s">
        <v>240</v>
      </c>
      <c r="AE3242" s="6" t="s">
        <v>299</v>
      </c>
      <c r="AF3242" s="5" t="s">
        <v>248</v>
      </c>
      <c r="AG3242" s="5" t="s">
        <v>249</v>
      </c>
      <c r="AH3242" s="5" t="s">
        <v>240</v>
      </c>
      <c r="AI3242" s="5" t="s">
        <v>240</v>
      </c>
      <c r="AJ3242" s="5" t="s">
        <v>240</v>
      </c>
      <c r="AK3242" s="5" t="s">
        <v>240</v>
      </c>
      <c r="AL3242" s="5" t="s">
        <v>240</v>
      </c>
      <c r="AM3242" s="5" t="s">
        <v>240</v>
      </c>
      <c r="AN3242" s="5" t="s">
        <v>240</v>
      </c>
      <c r="AO3242" s="5" t="s">
        <v>240</v>
      </c>
      <c r="AP3242" s="6" t="s">
        <v>240</v>
      </c>
      <c r="AQ3242" s="6" t="s">
        <v>240</v>
      </c>
      <c r="AR3242" s="6" t="s">
        <v>240</v>
      </c>
      <c r="AS3242" s="6" t="s">
        <v>240</v>
      </c>
      <c r="AT3242" s="5" t="s">
        <v>240</v>
      </c>
      <c r="AU3242" s="5" t="s">
        <v>729</v>
      </c>
      <c r="AV3242" s="5" t="s">
        <v>729</v>
      </c>
      <c r="AW3242" s="5" t="s">
        <v>251</v>
      </c>
      <c r="AX3242" s="5" t="s">
        <v>252</v>
      </c>
      <c r="AY3242" s="5" t="s">
        <v>253</v>
      </c>
      <c r="AZ3242" s="5" t="s">
        <v>240</v>
      </c>
      <c r="BA3242" s="5" t="s">
        <v>255</v>
      </c>
      <c r="BB3242" s="5" t="s">
        <v>731</v>
      </c>
      <c r="BD3242" s="5" t="s">
        <v>240</v>
      </c>
      <c r="BF3242" s="5" t="s">
        <v>732</v>
      </c>
      <c r="BG3242" s="6" t="s">
        <v>733</v>
      </c>
      <c r="BH3242" s="5" t="s">
        <v>734</v>
      </c>
      <c r="BI3242" s="5" t="s">
        <v>734</v>
      </c>
      <c r="BJ3242" s="5" t="s">
        <v>240</v>
      </c>
      <c r="BK3242" s="7">
        <f>1</f>
        <v>1</v>
      </c>
      <c r="BL3242" s="7">
        <f>1</f>
        <v>1</v>
      </c>
      <c r="BM3242" s="5" t="s">
        <v>258</v>
      </c>
      <c r="BN3242" s="5" t="s">
        <v>259</v>
      </c>
      <c r="BO3242" s="5" t="s">
        <v>240</v>
      </c>
      <c r="BP3242" s="5" t="s">
        <v>240</v>
      </c>
      <c r="BQ3242" s="5" t="s">
        <v>240</v>
      </c>
      <c r="BR3242" s="5" t="s">
        <v>240</v>
      </c>
      <c r="BS3242" s="5" t="s">
        <v>240</v>
      </c>
      <c r="BT3242" s="5" t="s">
        <v>240</v>
      </c>
      <c r="BU3242" s="5" t="s">
        <v>240</v>
      </c>
      <c r="BV3242" s="5" t="s">
        <v>240</v>
      </c>
      <c r="BW3242" s="6" t="s">
        <v>240</v>
      </c>
      <c r="BX3242" s="5" t="s">
        <v>240</v>
      </c>
      <c r="BY3242" s="5" t="s">
        <v>240</v>
      </c>
      <c r="BZ3242" s="5" t="s">
        <v>240</v>
      </c>
      <c r="CA3242" s="5" t="s">
        <v>259</v>
      </c>
      <c r="CB3242" s="5" t="s">
        <v>240</v>
      </c>
      <c r="CC3242" s="5" t="s">
        <v>240</v>
      </c>
      <c r="CD3242" s="5" t="s">
        <v>240</v>
      </c>
      <c r="CE3242" s="5" t="s">
        <v>240</v>
      </c>
      <c r="CF3242" s="5" t="s">
        <v>240</v>
      </c>
      <c r="CG3242" s="5" t="s">
        <v>304</v>
      </c>
      <c r="CH3242" s="5" t="s">
        <v>305</v>
      </c>
      <c r="CI3242" s="5" t="s">
        <v>240</v>
      </c>
      <c r="CK3242" s="5" t="s">
        <v>3681</v>
      </c>
      <c r="CL3242" s="6" t="s">
        <v>261</v>
      </c>
      <c r="CM3242" s="5" t="s">
        <v>262</v>
      </c>
      <c r="CN3242" s="5" t="s">
        <v>263</v>
      </c>
      <c r="CO3242" s="5" t="s">
        <v>264</v>
      </c>
      <c r="CP3242" s="5" t="s">
        <v>240</v>
      </c>
      <c r="CQ3242" s="5">
        <v>0</v>
      </c>
      <c r="CR3242" s="5" t="s">
        <v>735</v>
      </c>
      <c r="CS3242" s="5" t="s">
        <v>307</v>
      </c>
      <c r="CT3242" s="5" t="s">
        <v>307</v>
      </c>
      <c r="CU3242" s="5" t="s">
        <v>260</v>
      </c>
      <c r="CV3242" s="5" t="s">
        <v>612</v>
      </c>
      <c r="CW3242" s="8">
        <f>1</f>
        <v>1</v>
      </c>
      <c r="CX3242" s="7">
        <f>1</f>
        <v>1</v>
      </c>
      <c r="CY3242" s="7">
        <f>0</f>
        <v>0</v>
      </c>
      <c r="DA3242" s="7">
        <f>1</f>
        <v>1</v>
      </c>
      <c r="DB3242" s="7" t="s">
        <v>240</v>
      </c>
      <c r="DC3242" s="5" t="s">
        <v>240</v>
      </c>
      <c r="DD3242" s="5" t="s">
        <v>240</v>
      </c>
      <c r="DE3242" s="5" t="s">
        <v>240</v>
      </c>
      <c r="DF3242" s="5" t="s">
        <v>240</v>
      </c>
      <c r="DG3242" s="7">
        <f>0</f>
        <v>0</v>
      </c>
      <c r="DI3242" s="5" t="s">
        <v>240</v>
      </c>
      <c r="DJ3242" s="5" t="s">
        <v>240</v>
      </c>
      <c r="DK3242" s="5" t="s">
        <v>240</v>
      </c>
      <c r="DL3242" s="5" t="s">
        <v>240</v>
      </c>
      <c r="DM3242" s="5" t="s">
        <v>240</v>
      </c>
      <c r="DN3242" s="5" t="s">
        <v>240</v>
      </c>
      <c r="DO3242" s="7" t="s">
        <v>240</v>
      </c>
      <c r="DP3242" s="5" t="s">
        <v>240</v>
      </c>
      <c r="DQ3242" s="5" t="s">
        <v>240</v>
      </c>
      <c r="DR3242" s="5" t="s">
        <v>731</v>
      </c>
      <c r="DS3242" s="5" t="s">
        <v>731</v>
      </c>
      <c r="DT3242" s="5" t="s">
        <v>240</v>
      </c>
      <c r="DU3242" s="5" t="s">
        <v>240</v>
      </c>
      <c r="DV3242" s="5" t="s">
        <v>3683</v>
      </c>
      <c r="DW3242" s="5" t="s">
        <v>664</v>
      </c>
      <c r="DX3242" s="5" t="s">
        <v>240</v>
      </c>
      <c r="DY3242" s="5" t="s">
        <v>240</v>
      </c>
      <c r="DZ3242" s="5" t="s">
        <v>240</v>
      </c>
      <c r="EA3242" s="5" t="s">
        <v>240</v>
      </c>
      <c r="EB3242" s="5" t="s">
        <v>240</v>
      </c>
      <c r="EC3242" s="5" t="s">
        <v>240</v>
      </c>
      <c r="ED3242" s="5" t="s">
        <v>240</v>
      </c>
      <c r="EE3242" s="5" t="s">
        <v>240</v>
      </c>
      <c r="EF3242" s="5" t="s">
        <v>240</v>
      </c>
      <c r="EG3242" s="5" t="s">
        <v>240</v>
      </c>
      <c r="EH3242" s="5" t="s">
        <v>240</v>
      </c>
      <c r="EI3242" s="5" t="s">
        <v>240</v>
      </c>
      <c r="EJ3242" s="5" t="s">
        <v>240</v>
      </c>
      <c r="EK3242" s="5" t="s">
        <v>240</v>
      </c>
      <c r="EL3242" s="5" t="s">
        <v>240</v>
      </c>
      <c r="EM3242" s="5" t="s">
        <v>240</v>
      </c>
      <c r="EN3242" s="5" t="s">
        <v>240</v>
      </c>
      <c r="EO3242" s="5" t="s">
        <v>240</v>
      </c>
      <c r="EP3242" s="5" t="s">
        <v>240</v>
      </c>
      <c r="EQ3242" s="5" t="s">
        <v>240</v>
      </c>
      <c r="ER3242" s="5" t="s">
        <v>240</v>
      </c>
      <c r="ES3242" s="5" t="s">
        <v>240</v>
      </c>
      <c r="ET3242" s="5" t="s">
        <v>240</v>
      </c>
      <c r="EU3242" s="5" t="s">
        <v>240</v>
      </c>
      <c r="EV3242" s="5" t="s">
        <v>240</v>
      </c>
      <c r="EW3242" s="5" t="s">
        <v>240</v>
      </c>
      <c r="EX3242" s="5" t="s">
        <v>240</v>
      </c>
      <c r="EY3242" s="5" t="s">
        <v>240</v>
      </c>
      <c r="EZ3242" s="5" t="s">
        <v>240</v>
      </c>
      <c r="FA3242" s="5" t="s">
        <v>240</v>
      </c>
      <c r="FB3242" s="5" t="s">
        <v>240</v>
      </c>
      <c r="FC3242" s="5" t="s">
        <v>240</v>
      </c>
      <c r="FD3242" s="5" t="s">
        <v>240</v>
      </c>
      <c r="FE3242" s="5" t="s">
        <v>240</v>
      </c>
      <c r="FF3242" s="5" t="s">
        <v>240</v>
      </c>
      <c r="FG3242" s="5" t="s">
        <v>240</v>
      </c>
      <c r="FH3242" s="5" t="s">
        <v>240</v>
      </c>
      <c r="FI3242" s="5" t="s">
        <v>240</v>
      </c>
      <c r="FJ3242" s="5" t="s">
        <v>240</v>
      </c>
      <c r="FK3242" s="5" t="s">
        <v>240</v>
      </c>
      <c r="FL3242" s="5" t="s">
        <v>240</v>
      </c>
      <c r="FM3242" s="5" t="s">
        <v>240</v>
      </c>
      <c r="FN3242" s="5" t="s">
        <v>240</v>
      </c>
      <c r="FO3242" s="5" t="s">
        <v>240</v>
      </c>
      <c r="FP3242" s="5" t="s">
        <v>240</v>
      </c>
      <c r="FQ3242" s="5" t="s">
        <v>240</v>
      </c>
      <c r="FR3242" s="5" t="s">
        <v>240</v>
      </c>
      <c r="FS3242" s="5" t="s">
        <v>240</v>
      </c>
      <c r="FT3242" s="5" t="s">
        <v>240</v>
      </c>
      <c r="FU3242" s="5" t="s">
        <v>240</v>
      </c>
      <c r="FV3242" s="5" t="s">
        <v>240</v>
      </c>
      <c r="FW3242" s="5" t="s">
        <v>240</v>
      </c>
      <c r="FX3242" s="5" t="s">
        <v>240</v>
      </c>
      <c r="FY3242" s="5" t="s">
        <v>240</v>
      </c>
      <c r="FZ3242" s="5" t="s">
        <v>240</v>
      </c>
      <c r="GA3242" s="5" t="s">
        <v>240</v>
      </c>
      <c r="GB3242" s="5" t="s">
        <v>240</v>
      </c>
      <c r="GC3242" s="5" t="s">
        <v>240</v>
      </c>
      <c r="GD3242" s="5" t="s">
        <v>240</v>
      </c>
      <c r="GE3242" s="5" t="s">
        <v>240</v>
      </c>
      <c r="GF3242" s="5" t="s">
        <v>240</v>
      </c>
      <c r="GG3242" s="5" t="s">
        <v>240</v>
      </c>
      <c r="GH3242" s="5" t="s">
        <v>240</v>
      </c>
      <c r="GI3242" s="5" t="s">
        <v>240</v>
      </c>
      <c r="GJ3242" s="5" t="s">
        <v>240</v>
      </c>
      <c r="GK3242" s="5" t="s">
        <v>240</v>
      </c>
      <c r="GL3242" s="5" t="s">
        <v>240</v>
      </c>
      <c r="GM3242" s="5" t="s">
        <v>240</v>
      </c>
      <c r="GN3242" s="5" t="s">
        <v>240</v>
      </c>
      <c r="GO3242" s="5" t="s">
        <v>240</v>
      </c>
      <c r="GP3242" s="5" t="s">
        <v>240</v>
      </c>
      <c r="GQ3242" s="5" t="s">
        <v>240</v>
      </c>
      <c r="GR3242" s="5" t="s">
        <v>240</v>
      </c>
      <c r="GS3242" s="5" t="s">
        <v>240</v>
      </c>
      <c r="GT3242" s="5" t="s">
        <v>240</v>
      </c>
      <c r="GU3242" s="5" t="s">
        <v>240</v>
      </c>
      <c r="GV3242" s="5" t="s">
        <v>240</v>
      </c>
      <c r="GW3242" s="5" t="s">
        <v>240</v>
      </c>
      <c r="GX3242" s="5" t="s">
        <v>240</v>
      </c>
      <c r="GY3242" s="5" t="s">
        <v>240</v>
      </c>
      <c r="GZ3242" s="5" t="s">
        <v>240</v>
      </c>
      <c r="HA3242" s="5" t="s">
        <v>240</v>
      </c>
      <c r="HB3242" s="5" t="s">
        <v>240</v>
      </c>
      <c r="HC3242" s="5" t="s">
        <v>240</v>
      </c>
      <c r="HD3242" s="5" t="s">
        <v>240</v>
      </c>
      <c r="HE3242" s="5" t="s">
        <v>240</v>
      </c>
      <c r="HF3242" s="5" t="s">
        <v>240</v>
      </c>
      <c r="HG3242" s="5" t="s">
        <v>240</v>
      </c>
      <c r="HH3242" s="5" t="s">
        <v>240</v>
      </c>
      <c r="HI3242" s="5" t="s">
        <v>240</v>
      </c>
      <c r="HJ3242" s="5" t="s">
        <v>240</v>
      </c>
      <c r="HK3242" s="5" t="s">
        <v>240</v>
      </c>
      <c r="HL3242" s="5" t="s">
        <v>240</v>
      </c>
      <c r="HM3242" s="5" t="s">
        <v>240</v>
      </c>
      <c r="HN3242" s="5" t="s">
        <v>240</v>
      </c>
      <c r="HO3242" s="5" t="s">
        <v>312</v>
      </c>
      <c r="HP3242" s="5" t="s">
        <v>240</v>
      </c>
      <c r="HQ3242" s="5" t="s">
        <v>240</v>
      </c>
      <c r="HR3242" s="5" t="s">
        <v>240</v>
      </c>
      <c r="HS3242" s="5" t="s">
        <v>240</v>
      </c>
      <c r="HT3242" s="5" t="s">
        <v>240</v>
      </c>
      <c r="HU3242" s="5" t="s">
        <v>240</v>
      </c>
      <c r="HV3242" s="5" t="s">
        <v>240</v>
      </c>
      <c r="HW3242" s="5" t="s">
        <v>240</v>
      </c>
      <c r="HX3242" s="5" t="s">
        <v>240</v>
      </c>
      <c r="HY3242" s="5" t="s">
        <v>240</v>
      </c>
      <c r="HZ3242" s="5" t="s">
        <v>240</v>
      </c>
      <c r="IA3242" s="5" t="s">
        <v>240</v>
      </c>
      <c r="IB3242" s="5" t="s">
        <v>240</v>
      </c>
      <c r="IC3242" s="5" t="s">
        <v>240</v>
      </c>
      <c r="ID3242" s="5" t="s">
        <v>240</v>
      </c>
      <c r="IE3242" s="5" t="s">
        <v>240</v>
      </c>
      <c r="IF3242" s="5" t="s">
        <v>240</v>
      </c>
    </row>
    <row r="3243" spans="1:240" x14ac:dyDescent="0.4">
      <c r="A3243" s="5">
        <v>8732</v>
      </c>
      <c r="B3243" s="5">
        <v>1</v>
      </c>
      <c r="C3243" s="5">
        <v>2</v>
      </c>
      <c r="D3243" s="5" t="s">
        <v>297</v>
      </c>
      <c r="E3243" s="5" t="s">
        <v>245</v>
      </c>
      <c r="F3243" s="5" t="s">
        <v>254</v>
      </c>
      <c r="G3243" s="5" t="s">
        <v>6774</v>
      </c>
      <c r="H3243" s="6" t="s">
        <v>6775</v>
      </c>
      <c r="I3243" s="5" t="s">
        <v>6772</v>
      </c>
      <c r="J3243" s="8">
        <f>1069.53</f>
        <v>1069.53</v>
      </c>
      <c r="K3243" s="5" t="s">
        <v>308</v>
      </c>
      <c r="L3243" s="7">
        <f>2139060</f>
        <v>2139060</v>
      </c>
      <c r="M3243" s="7">
        <f>2139060</f>
        <v>2139060</v>
      </c>
      <c r="N3243" s="5" t="s">
        <v>242</v>
      </c>
      <c r="O3243" s="5">
        <v>1</v>
      </c>
      <c r="P3243" s="5" t="s">
        <v>294</v>
      </c>
      <c r="Q3243" s="5" t="s">
        <v>3678</v>
      </c>
      <c r="R3243" s="5" t="s">
        <v>240</v>
      </c>
      <c r="S3243" s="5" t="s">
        <v>240</v>
      </c>
      <c r="T3243" s="5" t="s">
        <v>243</v>
      </c>
      <c r="U3243" s="5" t="s">
        <v>244</v>
      </c>
      <c r="V3243" s="5" t="s">
        <v>240</v>
      </c>
      <c r="W3243" s="5" t="s">
        <v>240</v>
      </c>
      <c r="X3243" s="5" t="s">
        <v>240</v>
      </c>
      <c r="Y3243" s="5" t="s">
        <v>240</v>
      </c>
      <c r="Z3243" s="6" t="s">
        <v>298</v>
      </c>
      <c r="AA3243" s="6" t="s">
        <v>240</v>
      </c>
      <c r="AB3243" s="6" t="s">
        <v>240</v>
      </c>
      <c r="AC3243" s="5" t="s">
        <v>240</v>
      </c>
      <c r="AD3243" s="6" t="s">
        <v>240</v>
      </c>
      <c r="AE3243" s="6" t="s">
        <v>299</v>
      </c>
      <c r="AF3243" s="5" t="s">
        <v>248</v>
      </c>
      <c r="AG3243" s="5" t="s">
        <v>249</v>
      </c>
      <c r="AH3243" s="5" t="s">
        <v>240</v>
      </c>
      <c r="AI3243" s="5" t="s">
        <v>240</v>
      </c>
      <c r="AJ3243" s="5" t="s">
        <v>240</v>
      </c>
      <c r="AK3243" s="5" t="s">
        <v>240</v>
      </c>
      <c r="AL3243" s="5" t="s">
        <v>240</v>
      </c>
      <c r="AM3243" s="5" t="s">
        <v>240</v>
      </c>
      <c r="AN3243" s="5" t="s">
        <v>240</v>
      </c>
      <c r="AO3243" s="5" t="s">
        <v>240</v>
      </c>
      <c r="AP3243" s="6" t="s">
        <v>240</v>
      </c>
      <c r="AQ3243" s="6" t="s">
        <v>240</v>
      </c>
      <c r="AR3243" s="6" t="s">
        <v>240</v>
      </c>
      <c r="AS3243" s="6" t="s">
        <v>240</v>
      </c>
      <c r="AT3243" s="5" t="s">
        <v>240</v>
      </c>
      <c r="AU3243" s="5" t="s">
        <v>729</v>
      </c>
      <c r="AV3243" s="5" t="s">
        <v>729</v>
      </c>
      <c r="AW3243" s="5" t="s">
        <v>251</v>
      </c>
      <c r="AX3243" s="5" t="s">
        <v>252</v>
      </c>
      <c r="AY3243" s="5" t="s">
        <v>253</v>
      </c>
      <c r="AZ3243" s="5" t="s">
        <v>240</v>
      </c>
      <c r="BA3243" s="5" t="s">
        <v>255</v>
      </c>
      <c r="BB3243" s="5" t="s">
        <v>731</v>
      </c>
      <c r="BD3243" s="5" t="s">
        <v>240</v>
      </c>
      <c r="BF3243" s="5" t="s">
        <v>732</v>
      </c>
      <c r="BG3243" s="6" t="s">
        <v>733</v>
      </c>
      <c r="BH3243" s="5" t="s">
        <v>734</v>
      </c>
      <c r="BI3243" s="5" t="s">
        <v>734</v>
      </c>
      <c r="BJ3243" s="5" t="s">
        <v>240</v>
      </c>
      <c r="BK3243" s="7">
        <f>1</f>
        <v>1</v>
      </c>
      <c r="BL3243" s="7">
        <f>1</f>
        <v>1</v>
      </c>
      <c r="BM3243" s="5" t="s">
        <v>258</v>
      </c>
      <c r="BN3243" s="5" t="s">
        <v>259</v>
      </c>
      <c r="BO3243" s="5" t="s">
        <v>240</v>
      </c>
      <c r="BP3243" s="5" t="s">
        <v>240</v>
      </c>
      <c r="BQ3243" s="5" t="s">
        <v>240</v>
      </c>
      <c r="BR3243" s="5" t="s">
        <v>240</v>
      </c>
      <c r="BS3243" s="5" t="s">
        <v>240</v>
      </c>
      <c r="BT3243" s="5" t="s">
        <v>240</v>
      </c>
      <c r="BU3243" s="5" t="s">
        <v>240</v>
      </c>
      <c r="BV3243" s="5" t="s">
        <v>240</v>
      </c>
      <c r="BW3243" s="6" t="s">
        <v>240</v>
      </c>
      <c r="BX3243" s="5" t="s">
        <v>240</v>
      </c>
      <c r="BY3243" s="5" t="s">
        <v>240</v>
      </c>
      <c r="BZ3243" s="5" t="s">
        <v>240</v>
      </c>
      <c r="CA3243" s="5" t="s">
        <v>259</v>
      </c>
      <c r="CB3243" s="5" t="s">
        <v>240</v>
      </c>
      <c r="CC3243" s="5" t="s">
        <v>240</v>
      </c>
      <c r="CD3243" s="5" t="s">
        <v>240</v>
      </c>
      <c r="CE3243" s="5" t="s">
        <v>240</v>
      </c>
      <c r="CF3243" s="5" t="s">
        <v>240</v>
      </c>
      <c r="CG3243" s="5" t="s">
        <v>304</v>
      </c>
      <c r="CH3243" s="5" t="s">
        <v>305</v>
      </c>
      <c r="CI3243" s="5" t="s">
        <v>240</v>
      </c>
      <c r="CK3243" s="5" t="s">
        <v>3681</v>
      </c>
      <c r="CL3243" s="6" t="s">
        <v>261</v>
      </c>
      <c r="CM3243" s="5" t="s">
        <v>262</v>
      </c>
      <c r="CN3243" s="5" t="s">
        <v>263</v>
      </c>
      <c r="CO3243" s="5" t="s">
        <v>264</v>
      </c>
      <c r="CP3243" s="5" t="s">
        <v>240</v>
      </c>
      <c r="CQ3243" s="5">
        <v>0</v>
      </c>
      <c r="CR3243" s="5" t="s">
        <v>735</v>
      </c>
      <c r="CS3243" s="5" t="s">
        <v>307</v>
      </c>
      <c r="CT3243" s="5" t="s">
        <v>307</v>
      </c>
      <c r="CU3243" s="5" t="s">
        <v>260</v>
      </c>
      <c r="CV3243" s="5" t="s">
        <v>612</v>
      </c>
      <c r="CW3243" s="8">
        <f>1</f>
        <v>1</v>
      </c>
      <c r="CX3243" s="7">
        <f>1</f>
        <v>1</v>
      </c>
      <c r="CY3243" s="7">
        <f>0</f>
        <v>0</v>
      </c>
      <c r="DA3243" s="7">
        <f>1</f>
        <v>1</v>
      </c>
      <c r="DB3243" s="7" t="s">
        <v>240</v>
      </c>
      <c r="DC3243" s="5" t="s">
        <v>240</v>
      </c>
      <c r="DD3243" s="5" t="s">
        <v>240</v>
      </c>
      <c r="DE3243" s="5" t="s">
        <v>240</v>
      </c>
      <c r="DF3243" s="5" t="s">
        <v>240</v>
      </c>
      <c r="DG3243" s="7">
        <f>0</f>
        <v>0</v>
      </c>
      <c r="DI3243" s="5" t="s">
        <v>240</v>
      </c>
      <c r="DJ3243" s="5" t="s">
        <v>240</v>
      </c>
      <c r="DK3243" s="5" t="s">
        <v>240</v>
      </c>
      <c r="DL3243" s="5" t="s">
        <v>240</v>
      </c>
      <c r="DM3243" s="5" t="s">
        <v>240</v>
      </c>
      <c r="DN3243" s="5" t="s">
        <v>240</v>
      </c>
      <c r="DO3243" s="7" t="s">
        <v>240</v>
      </c>
      <c r="DP3243" s="5" t="s">
        <v>240</v>
      </c>
      <c r="DQ3243" s="5" t="s">
        <v>240</v>
      </c>
      <c r="DR3243" s="5" t="s">
        <v>731</v>
      </c>
      <c r="DS3243" s="5" t="s">
        <v>731</v>
      </c>
      <c r="DT3243" s="5" t="s">
        <v>240</v>
      </c>
      <c r="DU3243" s="5" t="s">
        <v>240</v>
      </c>
      <c r="DV3243" s="5" t="s">
        <v>3683</v>
      </c>
      <c r="DW3243" s="5" t="s">
        <v>775</v>
      </c>
      <c r="DX3243" s="5" t="s">
        <v>240</v>
      </c>
      <c r="DY3243" s="5" t="s">
        <v>240</v>
      </c>
      <c r="DZ3243" s="5" t="s">
        <v>240</v>
      </c>
      <c r="EA3243" s="5" t="s">
        <v>240</v>
      </c>
      <c r="EB3243" s="5" t="s">
        <v>240</v>
      </c>
      <c r="EC3243" s="5" t="s">
        <v>240</v>
      </c>
      <c r="ED3243" s="5" t="s">
        <v>240</v>
      </c>
      <c r="EE3243" s="5" t="s">
        <v>240</v>
      </c>
      <c r="EF3243" s="5" t="s">
        <v>240</v>
      </c>
      <c r="EG3243" s="5" t="s">
        <v>240</v>
      </c>
      <c r="EH3243" s="5" t="s">
        <v>240</v>
      </c>
      <c r="EI3243" s="5" t="s">
        <v>240</v>
      </c>
      <c r="EJ3243" s="5" t="s">
        <v>240</v>
      </c>
      <c r="EK3243" s="5" t="s">
        <v>240</v>
      </c>
      <c r="EL3243" s="5" t="s">
        <v>240</v>
      </c>
      <c r="EM3243" s="5" t="s">
        <v>240</v>
      </c>
      <c r="EN3243" s="5" t="s">
        <v>240</v>
      </c>
      <c r="EO3243" s="5" t="s">
        <v>240</v>
      </c>
      <c r="EP3243" s="5" t="s">
        <v>240</v>
      </c>
      <c r="EQ3243" s="5" t="s">
        <v>240</v>
      </c>
      <c r="ER3243" s="5" t="s">
        <v>240</v>
      </c>
      <c r="ES3243" s="5" t="s">
        <v>240</v>
      </c>
      <c r="ET3243" s="5" t="s">
        <v>240</v>
      </c>
      <c r="EU3243" s="5" t="s">
        <v>240</v>
      </c>
      <c r="EV3243" s="5" t="s">
        <v>240</v>
      </c>
      <c r="EW3243" s="5" t="s">
        <v>240</v>
      </c>
      <c r="EX3243" s="5" t="s">
        <v>240</v>
      </c>
      <c r="EY3243" s="5" t="s">
        <v>240</v>
      </c>
      <c r="EZ3243" s="5" t="s">
        <v>240</v>
      </c>
      <c r="FA3243" s="5" t="s">
        <v>240</v>
      </c>
      <c r="FB3243" s="5" t="s">
        <v>240</v>
      </c>
      <c r="FC3243" s="5" t="s">
        <v>240</v>
      </c>
      <c r="FD3243" s="5" t="s">
        <v>240</v>
      </c>
      <c r="FE3243" s="5" t="s">
        <v>240</v>
      </c>
      <c r="FF3243" s="5" t="s">
        <v>240</v>
      </c>
      <c r="FG3243" s="5" t="s">
        <v>240</v>
      </c>
      <c r="FH3243" s="5" t="s">
        <v>240</v>
      </c>
      <c r="FI3243" s="5" t="s">
        <v>240</v>
      </c>
      <c r="FJ3243" s="5" t="s">
        <v>240</v>
      </c>
      <c r="FK3243" s="5" t="s">
        <v>240</v>
      </c>
      <c r="FL3243" s="5" t="s">
        <v>240</v>
      </c>
      <c r="FM3243" s="5" t="s">
        <v>240</v>
      </c>
      <c r="FN3243" s="5" t="s">
        <v>240</v>
      </c>
      <c r="FO3243" s="5" t="s">
        <v>240</v>
      </c>
      <c r="FP3243" s="5" t="s">
        <v>240</v>
      </c>
      <c r="FQ3243" s="5" t="s">
        <v>240</v>
      </c>
      <c r="FR3243" s="5" t="s">
        <v>240</v>
      </c>
      <c r="FS3243" s="5" t="s">
        <v>240</v>
      </c>
      <c r="FT3243" s="5" t="s">
        <v>240</v>
      </c>
      <c r="FU3243" s="5" t="s">
        <v>240</v>
      </c>
      <c r="FV3243" s="5" t="s">
        <v>240</v>
      </c>
      <c r="FW3243" s="5" t="s">
        <v>240</v>
      </c>
      <c r="FX3243" s="5" t="s">
        <v>240</v>
      </c>
      <c r="FY3243" s="5" t="s">
        <v>240</v>
      </c>
      <c r="FZ3243" s="5" t="s">
        <v>240</v>
      </c>
      <c r="GA3243" s="5" t="s">
        <v>240</v>
      </c>
      <c r="GB3243" s="5" t="s">
        <v>240</v>
      </c>
      <c r="GC3243" s="5" t="s">
        <v>240</v>
      </c>
      <c r="GD3243" s="5" t="s">
        <v>240</v>
      </c>
      <c r="GE3243" s="5" t="s">
        <v>240</v>
      </c>
      <c r="GF3243" s="5" t="s">
        <v>240</v>
      </c>
      <c r="GG3243" s="5" t="s">
        <v>240</v>
      </c>
      <c r="GH3243" s="5" t="s">
        <v>240</v>
      </c>
      <c r="GI3243" s="5" t="s">
        <v>240</v>
      </c>
      <c r="GJ3243" s="5" t="s">
        <v>240</v>
      </c>
      <c r="GK3243" s="5" t="s">
        <v>240</v>
      </c>
      <c r="GL3243" s="5" t="s">
        <v>240</v>
      </c>
      <c r="GM3243" s="5" t="s">
        <v>240</v>
      </c>
      <c r="GN3243" s="5" t="s">
        <v>240</v>
      </c>
      <c r="GO3243" s="5" t="s">
        <v>240</v>
      </c>
      <c r="GP3243" s="5" t="s">
        <v>240</v>
      </c>
      <c r="GQ3243" s="5" t="s">
        <v>240</v>
      </c>
      <c r="GR3243" s="5" t="s">
        <v>240</v>
      </c>
      <c r="GS3243" s="5" t="s">
        <v>240</v>
      </c>
      <c r="GT3243" s="5" t="s">
        <v>240</v>
      </c>
      <c r="GU3243" s="5" t="s">
        <v>240</v>
      </c>
      <c r="GV3243" s="5" t="s">
        <v>240</v>
      </c>
      <c r="GW3243" s="5" t="s">
        <v>240</v>
      </c>
      <c r="GX3243" s="5" t="s">
        <v>240</v>
      </c>
      <c r="GY3243" s="5" t="s">
        <v>240</v>
      </c>
      <c r="GZ3243" s="5" t="s">
        <v>240</v>
      </c>
      <c r="HA3243" s="5" t="s">
        <v>240</v>
      </c>
      <c r="HB3243" s="5" t="s">
        <v>240</v>
      </c>
      <c r="HC3243" s="5" t="s">
        <v>240</v>
      </c>
      <c r="HD3243" s="5" t="s">
        <v>240</v>
      </c>
      <c r="HE3243" s="5" t="s">
        <v>240</v>
      </c>
      <c r="HF3243" s="5" t="s">
        <v>240</v>
      </c>
      <c r="HG3243" s="5" t="s">
        <v>240</v>
      </c>
      <c r="HH3243" s="5" t="s">
        <v>240</v>
      </c>
      <c r="HI3243" s="5" t="s">
        <v>240</v>
      </c>
      <c r="HJ3243" s="5" t="s">
        <v>240</v>
      </c>
      <c r="HK3243" s="5" t="s">
        <v>240</v>
      </c>
      <c r="HL3243" s="5" t="s">
        <v>240</v>
      </c>
      <c r="HM3243" s="5" t="s">
        <v>240</v>
      </c>
      <c r="HN3243" s="5" t="s">
        <v>240</v>
      </c>
      <c r="HO3243" s="5" t="s">
        <v>312</v>
      </c>
      <c r="HP3243" s="5" t="s">
        <v>240</v>
      </c>
      <c r="HQ3243" s="5" t="s">
        <v>240</v>
      </c>
      <c r="HR3243" s="5" t="s">
        <v>240</v>
      </c>
      <c r="HS3243" s="5" t="s">
        <v>240</v>
      </c>
      <c r="HT3243" s="5" t="s">
        <v>240</v>
      </c>
      <c r="HU3243" s="5" t="s">
        <v>240</v>
      </c>
      <c r="HV3243" s="5" t="s">
        <v>240</v>
      </c>
      <c r="HW3243" s="5" t="s">
        <v>240</v>
      </c>
      <c r="HX3243" s="5" t="s">
        <v>240</v>
      </c>
      <c r="HY3243" s="5" t="s">
        <v>240</v>
      </c>
      <c r="HZ3243" s="5" t="s">
        <v>240</v>
      </c>
      <c r="IA3243" s="5" t="s">
        <v>240</v>
      </c>
      <c r="IB3243" s="5" t="s">
        <v>240</v>
      </c>
      <c r="IC3243" s="5" t="s">
        <v>240</v>
      </c>
      <c r="ID3243" s="5" t="s">
        <v>240</v>
      </c>
      <c r="IE3243" s="5" t="s">
        <v>240</v>
      </c>
      <c r="IF3243" s="5" t="s">
        <v>240</v>
      </c>
    </row>
    <row r="3244" spans="1:240" x14ac:dyDescent="0.4">
      <c r="A3244" s="5">
        <v>8733</v>
      </c>
      <c r="B3244" s="5">
        <v>1</v>
      </c>
      <c r="C3244" s="5">
        <v>2</v>
      </c>
      <c r="D3244" s="5" t="s">
        <v>297</v>
      </c>
      <c r="E3244" s="5" t="s">
        <v>245</v>
      </c>
      <c r="F3244" s="5" t="s">
        <v>254</v>
      </c>
      <c r="G3244" s="5" t="s">
        <v>6774</v>
      </c>
      <c r="H3244" s="6" t="s">
        <v>7165</v>
      </c>
      <c r="I3244" s="5" t="s">
        <v>7163</v>
      </c>
      <c r="J3244" s="8">
        <f>8123.86</f>
        <v>8123.86</v>
      </c>
      <c r="K3244" s="5" t="s">
        <v>308</v>
      </c>
      <c r="L3244" s="7">
        <f>34932598</f>
        <v>34932598</v>
      </c>
      <c r="M3244" s="7">
        <f>34932598</f>
        <v>34932598</v>
      </c>
      <c r="N3244" s="5" t="s">
        <v>242</v>
      </c>
      <c r="O3244" s="5">
        <v>1</v>
      </c>
      <c r="P3244" s="5" t="s">
        <v>294</v>
      </c>
      <c r="Q3244" s="5" t="s">
        <v>3678</v>
      </c>
      <c r="R3244" s="5" t="s">
        <v>240</v>
      </c>
      <c r="S3244" s="5" t="s">
        <v>240</v>
      </c>
      <c r="T3244" s="5" t="s">
        <v>243</v>
      </c>
      <c r="U3244" s="5" t="s">
        <v>244</v>
      </c>
      <c r="V3244" s="5" t="s">
        <v>240</v>
      </c>
      <c r="W3244" s="5" t="s">
        <v>240</v>
      </c>
      <c r="X3244" s="5" t="s">
        <v>240</v>
      </c>
      <c r="Y3244" s="5" t="s">
        <v>240</v>
      </c>
      <c r="Z3244" s="6" t="s">
        <v>298</v>
      </c>
      <c r="AA3244" s="6" t="s">
        <v>240</v>
      </c>
      <c r="AB3244" s="6" t="s">
        <v>240</v>
      </c>
      <c r="AC3244" s="5" t="s">
        <v>240</v>
      </c>
      <c r="AD3244" s="6" t="s">
        <v>240</v>
      </c>
      <c r="AE3244" s="6" t="s">
        <v>299</v>
      </c>
      <c r="AF3244" s="5" t="s">
        <v>248</v>
      </c>
      <c r="AG3244" s="5" t="s">
        <v>249</v>
      </c>
      <c r="AH3244" s="5" t="s">
        <v>240</v>
      </c>
      <c r="AI3244" s="5" t="s">
        <v>240</v>
      </c>
      <c r="AJ3244" s="5" t="s">
        <v>240</v>
      </c>
      <c r="AK3244" s="5" t="s">
        <v>240</v>
      </c>
      <c r="AL3244" s="5" t="s">
        <v>240</v>
      </c>
      <c r="AM3244" s="5" t="s">
        <v>240</v>
      </c>
      <c r="AN3244" s="5" t="s">
        <v>240</v>
      </c>
      <c r="AO3244" s="5" t="s">
        <v>240</v>
      </c>
      <c r="AP3244" s="6" t="s">
        <v>240</v>
      </c>
      <c r="AQ3244" s="6" t="s">
        <v>240</v>
      </c>
      <c r="AR3244" s="6" t="s">
        <v>240</v>
      </c>
      <c r="AS3244" s="6" t="s">
        <v>240</v>
      </c>
      <c r="AT3244" s="5" t="s">
        <v>240</v>
      </c>
      <c r="AU3244" s="5" t="s">
        <v>729</v>
      </c>
      <c r="AV3244" s="5" t="s">
        <v>729</v>
      </c>
      <c r="AW3244" s="5" t="s">
        <v>251</v>
      </c>
      <c r="AX3244" s="5" t="s">
        <v>252</v>
      </c>
      <c r="AY3244" s="5" t="s">
        <v>253</v>
      </c>
      <c r="AZ3244" s="5" t="s">
        <v>240</v>
      </c>
      <c r="BA3244" s="5" t="s">
        <v>255</v>
      </c>
      <c r="BB3244" s="5" t="s">
        <v>731</v>
      </c>
      <c r="BD3244" s="5" t="s">
        <v>240</v>
      </c>
      <c r="BF3244" s="5" t="s">
        <v>732</v>
      </c>
      <c r="BG3244" s="6" t="s">
        <v>733</v>
      </c>
      <c r="BH3244" s="5" t="s">
        <v>734</v>
      </c>
      <c r="BI3244" s="5" t="s">
        <v>734</v>
      </c>
      <c r="BJ3244" s="5" t="s">
        <v>240</v>
      </c>
      <c r="BK3244" s="7">
        <f>1</f>
        <v>1</v>
      </c>
      <c r="BL3244" s="7">
        <f>1</f>
        <v>1</v>
      </c>
      <c r="BM3244" s="5" t="s">
        <v>258</v>
      </c>
      <c r="BN3244" s="5" t="s">
        <v>259</v>
      </c>
      <c r="BO3244" s="5" t="s">
        <v>240</v>
      </c>
      <c r="BP3244" s="5" t="s">
        <v>240</v>
      </c>
      <c r="BQ3244" s="5" t="s">
        <v>240</v>
      </c>
      <c r="BR3244" s="5" t="s">
        <v>240</v>
      </c>
      <c r="BS3244" s="5" t="s">
        <v>240</v>
      </c>
      <c r="BT3244" s="5" t="s">
        <v>240</v>
      </c>
      <c r="BU3244" s="5" t="s">
        <v>240</v>
      </c>
      <c r="BV3244" s="5" t="s">
        <v>240</v>
      </c>
      <c r="BW3244" s="6" t="s">
        <v>240</v>
      </c>
      <c r="BX3244" s="5" t="s">
        <v>240</v>
      </c>
      <c r="BY3244" s="5" t="s">
        <v>240</v>
      </c>
      <c r="BZ3244" s="5" t="s">
        <v>240</v>
      </c>
      <c r="CA3244" s="5" t="s">
        <v>259</v>
      </c>
      <c r="CB3244" s="5" t="s">
        <v>240</v>
      </c>
      <c r="CC3244" s="5" t="s">
        <v>240</v>
      </c>
      <c r="CD3244" s="5" t="s">
        <v>240</v>
      </c>
      <c r="CE3244" s="5" t="s">
        <v>240</v>
      </c>
      <c r="CF3244" s="5" t="s">
        <v>240</v>
      </c>
      <c r="CG3244" s="5" t="s">
        <v>304</v>
      </c>
      <c r="CH3244" s="5" t="s">
        <v>305</v>
      </c>
      <c r="CI3244" s="5" t="s">
        <v>240</v>
      </c>
      <c r="CK3244" s="5" t="s">
        <v>3681</v>
      </c>
      <c r="CL3244" s="6" t="s">
        <v>261</v>
      </c>
      <c r="CM3244" s="5" t="s">
        <v>262</v>
      </c>
      <c r="CN3244" s="5" t="s">
        <v>263</v>
      </c>
      <c r="CO3244" s="5" t="s">
        <v>264</v>
      </c>
      <c r="CP3244" s="5" t="s">
        <v>240</v>
      </c>
      <c r="CQ3244" s="5">
        <v>0</v>
      </c>
      <c r="CR3244" s="5" t="s">
        <v>735</v>
      </c>
      <c r="CS3244" s="5" t="s">
        <v>307</v>
      </c>
      <c r="CT3244" s="5" t="s">
        <v>307</v>
      </c>
      <c r="CU3244" s="5" t="s">
        <v>260</v>
      </c>
      <c r="CV3244" s="5" t="s">
        <v>612</v>
      </c>
      <c r="CW3244" s="8">
        <f>1</f>
        <v>1</v>
      </c>
      <c r="CX3244" s="7">
        <f>1</f>
        <v>1</v>
      </c>
      <c r="CY3244" s="7">
        <f>0</f>
        <v>0</v>
      </c>
      <c r="DA3244" s="7">
        <f>1</f>
        <v>1</v>
      </c>
      <c r="DB3244" s="7" t="s">
        <v>240</v>
      </c>
      <c r="DC3244" s="5" t="s">
        <v>240</v>
      </c>
      <c r="DD3244" s="5" t="s">
        <v>240</v>
      </c>
      <c r="DE3244" s="5" t="s">
        <v>240</v>
      </c>
      <c r="DF3244" s="5" t="s">
        <v>240</v>
      </c>
      <c r="DG3244" s="7">
        <f>0</f>
        <v>0</v>
      </c>
      <c r="DI3244" s="5" t="s">
        <v>240</v>
      </c>
      <c r="DJ3244" s="5" t="s">
        <v>240</v>
      </c>
      <c r="DK3244" s="5" t="s">
        <v>240</v>
      </c>
      <c r="DL3244" s="5" t="s">
        <v>240</v>
      </c>
      <c r="DM3244" s="5" t="s">
        <v>240</v>
      </c>
      <c r="DN3244" s="5" t="s">
        <v>240</v>
      </c>
      <c r="DO3244" s="7" t="s">
        <v>240</v>
      </c>
      <c r="DP3244" s="5" t="s">
        <v>240</v>
      </c>
      <c r="DQ3244" s="5" t="s">
        <v>240</v>
      </c>
      <c r="DR3244" s="5" t="s">
        <v>731</v>
      </c>
      <c r="DS3244" s="5" t="s">
        <v>731</v>
      </c>
      <c r="DT3244" s="5" t="s">
        <v>240</v>
      </c>
      <c r="DU3244" s="5" t="s">
        <v>240</v>
      </c>
      <c r="DV3244" s="5" t="s">
        <v>3683</v>
      </c>
      <c r="DW3244" s="5" t="s">
        <v>318</v>
      </c>
      <c r="DX3244" s="5" t="s">
        <v>240</v>
      </c>
      <c r="DY3244" s="5" t="s">
        <v>240</v>
      </c>
      <c r="DZ3244" s="5" t="s">
        <v>240</v>
      </c>
      <c r="EA3244" s="5" t="s">
        <v>240</v>
      </c>
      <c r="EB3244" s="5" t="s">
        <v>240</v>
      </c>
      <c r="EC3244" s="5" t="s">
        <v>240</v>
      </c>
      <c r="ED3244" s="5" t="s">
        <v>240</v>
      </c>
      <c r="EE3244" s="5" t="s">
        <v>240</v>
      </c>
      <c r="EF3244" s="5" t="s">
        <v>240</v>
      </c>
      <c r="EG3244" s="5" t="s">
        <v>240</v>
      </c>
      <c r="EH3244" s="5" t="s">
        <v>240</v>
      </c>
      <c r="EI3244" s="5" t="s">
        <v>240</v>
      </c>
      <c r="EJ3244" s="5" t="s">
        <v>240</v>
      </c>
      <c r="EK3244" s="5" t="s">
        <v>240</v>
      </c>
      <c r="EL3244" s="5" t="s">
        <v>240</v>
      </c>
      <c r="EM3244" s="5" t="s">
        <v>240</v>
      </c>
      <c r="EN3244" s="5" t="s">
        <v>240</v>
      </c>
      <c r="EO3244" s="5" t="s">
        <v>240</v>
      </c>
      <c r="EP3244" s="5" t="s">
        <v>240</v>
      </c>
      <c r="EQ3244" s="5" t="s">
        <v>240</v>
      </c>
      <c r="ER3244" s="5" t="s">
        <v>240</v>
      </c>
      <c r="ES3244" s="5" t="s">
        <v>240</v>
      </c>
      <c r="ET3244" s="5" t="s">
        <v>240</v>
      </c>
      <c r="EU3244" s="5" t="s">
        <v>240</v>
      </c>
      <c r="EV3244" s="5" t="s">
        <v>240</v>
      </c>
      <c r="EW3244" s="5" t="s">
        <v>240</v>
      </c>
      <c r="EX3244" s="5" t="s">
        <v>240</v>
      </c>
      <c r="EY3244" s="5" t="s">
        <v>240</v>
      </c>
      <c r="EZ3244" s="5" t="s">
        <v>240</v>
      </c>
      <c r="FA3244" s="5" t="s">
        <v>240</v>
      </c>
      <c r="FB3244" s="5" t="s">
        <v>240</v>
      </c>
      <c r="FC3244" s="5" t="s">
        <v>240</v>
      </c>
      <c r="FD3244" s="5" t="s">
        <v>240</v>
      </c>
      <c r="FE3244" s="5" t="s">
        <v>240</v>
      </c>
      <c r="FF3244" s="5" t="s">
        <v>240</v>
      </c>
      <c r="FG3244" s="5" t="s">
        <v>240</v>
      </c>
      <c r="FH3244" s="5" t="s">
        <v>240</v>
      </c>
      <c r="FI3244" s="5" t="s">
        <v>240</v>
      </c>
      <c r="FJ3244" s="5" t="s">
        <v>240</v>
      </c>
      <c r="FK3244" s="5" t="s">
        <v>240</v>
      </c>
      <c r="FL3244" s="5" t="s">
        <v>240</v>
      </c>
      <c r="FM3244" s="5" t="s">
        <v>240</v>
      </c>
      <c r="FN3244" s="5" t="s">
        <v>240</v>
      </c>
      <c r="FO3244" s="5" t="s">
        <v>240</v>
      </c>
      <c r="FP3244" s="5" t="s">
        <v>240</v>
      </c>
      <c r="FQ3244" s="5" t="s">
        <v>240</v>
      </c>
      <c r="FR3244" s="5" t="s">
        <v>240</v>
      </c>
      <c r="FS3244" s="5" t="s">
        <v>240</v>
      </c>
      <c r="FT3244" s="5" t="s">
        <v>240</v>
      </c>
      <c r="FU3244" s="5" t="s">
        <v>240</v>
      </c>
      <c r="FV3244" s="5" t="s">
        <v>240</v>
      </c>
      <c r="FW3244" s="5" t="s">
        <v>240</v>
      </c>
      <c r="FX3244" s="5" t="s">
        <v>240</v>
      </c>
      <c r="FY3244" s="5" t="s">
        <v>240</v>
      </c>
      <c r="FZ3244" s="5" t="s">
        <v>240</v>
      </c>
      <c r="GA3244" s="5" t="s">
        <v>240</v>
      </c>
      <c r="GB3244" s="5" t="s">
        <v>240</v>
      </c>
      <c r="GC3244" s="5" t="s">
        <v>240</v>
      </c>
      <c r="GD3244" s="5" t="s">
        <v>240</v>
      </c>
      <c r="GE3244" s="5" t="s">
        <v>240</v>
      </c>
      <c r="GF3244" s="5" t="s">
        <v>240</v>
      </c>
      <c r="GG3244" s="5" t="s">
        <v>240</v>
      </c>
      <c r="GH3244" s="5" t="s">
        <v>240</v>
      </c>
      <c r="GI3244" s="5" t="s">
        <v>240</v>
      </c>
      <c r="GJ3244" s="5" t="s">
        <v>240</v>
      </c>
      <c r="GK3244" s="5" t="s">
        <v>240</v>
      </c>
      <c r="GL3244" s="5" t="s">
        <v>240</v>
      </c>
      <c r="GM3244" s="5" t="s">
        <v>240</v>
      </c>
      <c r="GN3244" s="5" t="s">
        <v>240</v>
      </c>
      <c r="GO3244" s="5" t="s">
        <v>240</v>
      </c>
      <c r="GP3244" s="5" t="s">
        <v>240</v>
      </c>
      <c r="GQ3244" s="5" t="s">
        <v>240</v>
      </c>
      <c r="GR3244" s="5" t="s">
        <v>240</v>
      </c>
      <c r="GS3244" s="5" t="s">
        <v>240</v>
      </c>
      <c r="GT3244" s="5" t="s">
        <v>240</v>
      </c>
      <c r="GU3244" s="5" t="s">
        <v>240</v>
      </c>
      <c r="GV3244" s="5" t="s">
        <v>240</v>
      </c>
      <c r="GW3244" s="5" t="s">
        <v>240</v>
      </c>
      <c r="GX3244" s="5" t="s">
        <v>240</v>
      </c>
      <c r="GY3244" s="5" t="s">
        <v>240</v>
      </c>
      <c r="GZ3244" s="5" t="s">
        <v>240</v>
      </c>
      <c r="HA3244" s="5" t="s">
        <v>240</v>
      </c>
      <c r="HB3244" s="5" t="s">
        <v>240</v>
      </c>
      <c r="HC3244" s="5" t="s">
        <v>240</v>
      </c>
      <c r="HD3244" s="5" t="s">
        <v>240</v>
      </c>
      <c r="HE3244" s="5" t="s">
        <v>240</v>
      </c>
      <c r="HF3244" s="5" t="s">
        <v>240</v>
      </c>
      <c r="HG3244" s="5" t="s">
        <v>240</v>
      </c>
      <c r="HH3244" s="5" t="s">
        <v>240</v>
      </c>
      <c r="HI3244" s="5" t="s">
        <v>240</v>
      </c>
      <c r="HJ3244" s="5" t="s">
        <v>240</v>
      </c>
      <c r="HK3244" s="5" t="s">
        <v>240</v>
      </c>
      <c r="HL3244" s="5" t="s">
        <v>240</v>
      </c>
      <c r="HM3244" s="5" t="s">
        <v>240</v>
      </c>
      <c r="HN3244" s="5" t="s">
        <v>240</v>
      </c>
      <c r="HO3244" s="5" t="s">
        <v>312</v>
      </c>
      <c r="HP3244" s="5" t="s">
        <v>240</v>
      </c>
      <c r="HQ3244" s="5" t="s">
        <v>240</v>
      </c>
      <c r="HR3244" s="5" t="s">
        <v>240</v>
      </c>
      <c r="HS3244" s="5" t="s">
        <v>240</v>
      </c>
      <c r="HT3244" s="5" t="s">
        <v>240</v>
      </c>
      <c r="HU3244" s="5" t="s">
        <v>240</v>
      </c>
      <c r="HV3244" s="5" t="s">
        <v>240</v>
      </c>
      <c r="HW3244" s="5" t="s">
        <v>240</v>
      </c>
      <c r="HX3244" s="5" t="s">
        <v>240</v>
      </c>
      <c r="HY3244" s="5" t="s">
        <v>240</v>
      </c>
      <c r="HZ3244" s="5" t="s">
        <v>240</v>
      </c>
      <c r="IA3244" s="5" t="s">
        <v>240</v>
      </c>
      <c r="IB3244" s="5" t="s">
        <v>240</v>
      </c>
      <c r="IC3244" s="5" t="s">
        <v>240</v>
      </c>
      <c r="ID3244" s="5" t="s">
        <v>240</v>
      </c>
      <c r="IE3244" s="5" t="s">
        <v>240</v>
      </c>
      <c r="IF3244" s="5" t="s">
        <v>240</v>
      </c>
    </row>
    <row r="3245" spans="1:240" x14ac:dyDescent="0.4">
      <c r="A3245" s="5">
        <v>8734</v>
      </c>
      <c r="B3245" s="5">
        <v>1</v>
      </c>
      <c r="C3245" s="5">
        <v>2</v>
      </c>
      <c r="D3245" s="5" t="s">
        <v>297</v>
      </c>
      <c r="E3245" s="5" t="s">
        <v>245</v>
      </c>
      <c r="F3245" s="5" t="s">
        <v>254</v>
      </c>
      <c r="G3245" s="5" t="s">
        <v>6774</v>
      </c>
      <c r="H3245" s="6" t="s">
        <v>6097</v>
      </c>
      <c r="I3245" s="5" t="s">
        <v>6095</v>
      </c>
      <c r="J3245" s="8">
        <f>407.36</f>
        <v>407.36</v>
      </c>
      <c r="K3245" s="5" t="s">
        <v>308</v>
      </c>
      <c r="L3245" s="7">
        <f>637787</f>
        <v>637787</v>
      </c>
      <c r="M3245" s="7">
        <f>637787</f>
        <v>637787</v>
      </c>
      <c r="N3245" s="5" t="s">
        <v>242</v>
      </c>
      <c r="O3245" s="5">
        <v>1</v>
      </c>
      <c r="P3245" s="5" t="s">
        <v>294</v>
      </c>
      <c r="Q3245" s="5" t="s">
        <v>3678</v>
      </c>
      <c r="R3245" s="5" t="s">
        <v>240</v>
      </c>
      <c r="S3245" s="5" t="s">
        <v>240</v>
      </c>
      <c r="T3245" s="5" t="s">
        <v>243</v>
      </c>
      <c r="U3245" s="5" t="s">
        <v>244</v>
      </c>
      <c r="V3245" s="5" t="s">
        <v>240</v>
      </c>
      <c r="W3245" s="5" t="s">
        <v>240</v>
      </c>
      <c r="X3245" s="5" t="s">
        <v>240</v>
      </c>
      <c r="Y3245" s="5" t="s">
        <v>240</v>
      </c>
      <c r="Z3245" s="6" t="s">
        <v>298</v>
      </c>
      <c r="AA3245" s="6" t="s">
        <v>240</v>
      </c>
      <c r="AB3245" s="6" t="s">
        <v>240</v>
      </c>
      <c r="AC3245" s="5" t="s">
        <v>240</v>
      </c>
      <c r="AD3245" s="6" t="s">
        <v>240</v>
      </c>
      <c r="AE3245" s="6" t="s">
        <v>299</v>
      </c>
      <c r="AF3245" s="5" t="s">
        <v>248</v>
      </c>
      <c r="AG3245" s="5" t="s">
        <v>249</v>
      </c>
      <c r="AH3245" s="5" t="s">
        <v>240</v>
      </c>
      <c r="AI3245" s="5" t="s">
        <v>240</v>
      </c>
      <c r="AJ3245" s="5" t="s">
        <v>240</v>
      </c>
      <c r="AK3245" s="5" t="s">
        <v>240</v>
      </c>
      <c r="AL3245" s="5" t="s">
        <v>240</v>
      </c>
      <c r="AM3245" s="5" t="s">
        <v>240</v>
      </c>
      <c r="AN3245" s="5" t="s">
        <v>240</v>
      </c>
      <c r="AO3245" s="5" t="s">
        <v>240</v>
      </c>
      <c r="AP3245" s="6" t="s">
        <v>240</v>
      </c>
      <c r="AQ3245" s="6" t="s">
        <v>240</v>
      </c>
      <c r="AR3245" s="6" t="s">
        <v>240</v>
      </c>
      <c r="AS3245" s="6" t="s">
        <v>240</v>
      </c>
      <c r="AT3245" s="5" t="s">
        <v>240</v>
      </c>
      <c r="AU3245" s="5" t="s">
        <v>729</v>
      </c>
      <c r="AV3245" s="5" t="s">
        <v>729</v>
      </c>
      <c r="AW3245" s="5" t="s">
        <v>251</v>
      </c>
      <c r="AX3245" s="5" t="s">
        <v>252</v>
      </c>
      <c r="AY3245" s="5" t="s">
        <v>253</v>
      </c>
      <c r="AZ3245" s="5" t="s">
        <v>240</v>
      </c>
      <c r="BA3245" s="5" t="s">
        <v>255</v>
      </c>
      <c r="BB3245" s="5" t="s">
        <v>731</v>
      </c>
      <c r="BD3245" s="5" t="s">
        <v>240</v>
      </c>
      <c r="BF3245" s="5" t="s">
        <v>732</v>
      </c>
      <c r="BG3245" s="6" t="s">
        <v>733</v>
      </c>
      <c r="BH3245" s="5" t="s">
        <v>734</v>
      </c>
      <c r="BI3245" s="5" t="s">
        <v>734</v>
      </c>
      <c r="BJ3245" s="5" t="s">
        <v>240</v>
      </c>
      <c r="BK3245" s="7">
        <f>1</f>
        <v>1</v>
      </c>
      <c r="BL3245" s="7">
        <f>1</f>
        <v>1</v>
      </c>
      <c r="BM3245" s="5" t="s">
        <v>258</v>
      </c>
      <c r="BN3245" s="5" t="s">
        <v>259</v>
      </c>
      <c r="BO3245" s="5" t="s">
        <v>240</v>
      </c>
      <c r="BP3245" s="5" t="s">
        <v>240</v>
      </c>
      <c r="BQ3245" s="5" t="s">
        <v>240</v>
      </c>
      <c r="BR3245" s="5" t="s">
        <v>240</v>
      </c>
      <c r="BS3245" s="5" t="s">
        <v>240</v>
      </c>
      <c r="BT3245" s="5" t="s">
        <v>240</v>
      </c>
      <c r="BU3245" s="5" t="s">
        <v>240</v>
      </c>
      <c r="BV3245" s="5" t="s">
        <v>240</v>
      </c>
      <c r="BW3245" s="6" t="s">
        <v>240</v>
      </c>
      <c r="BX3245" s="5" t="s">
        <v>240</v>
      </c>
      <c r="BY3245" s="5" t="s">
        <v>240</v>
      </c>
      <c r="BZ3245" s="5" t="s">
        <v>240</v>
      </c>
      <c r="CA3245" s="5" t="s">
        <v>259</v>
      </c>
      <c r="CB3245" s="5" t="s">
        <v>240</v>
      </c>
      <c r="CC3245" s="5" t="s">
        <v>240</v>
      </c>
      <c r="CD3245" s="5" t="s">
        <v>240</v>
      </c>
      <c r="CE3245" s="5" t="s">
        <v>240</v>
      </c>
      <c r="CF3245" s="5" t="s">
        <v>240</v>
      </c>
      <c r="CG3245" s="5" t="s">
        <v>304</v>
      </c>
      <c r="CH3245" s="5" t="s">
        <v>305</v>
      </c>
      <c r="CI3245" s="5" t="s">
        <v>240</v>
      </c>
      <c r="CK3245" s="5" t="s">
        <v>3681</v>
      </c>
      <c r="CL3245" s="6" t="s">
        <v>261</v>
      </c>
      <c r="CM3245" s="5" t="s">
        <v>262</v>
      </c>
      <c r="CN3245" s="5" t="s">
        <v>263</v>
      </c>
      <c r="CO3245" s="5" t="s">
        <v>264</v>
      </c>
      <c r="CP3245" s="5" t="s">
        <v>240</v>
      </c>
      <c r="CQ3245" s="5">
        <v>0</v>
      </c>
      <c r="CR3245" s="5" t="s">
        <v>735</v>
      </c>
      <c r="CS3245" s="5" t="s">
        <v>307</v>
      </c>
      <c r="CT3245" s="5" t="s">
        <v>307</v>
      </c>
      <c r="CU3245" s="5" t="s">
        <v>260</v>
      </c>
      <c r="CV3245" s="5" t="s">
        <v>612</v>
      </c>
      <c r="CW3245" s="8">
        <f>1</f>
        <v>1</v>
      </c>
      <c r="CX3245" s="7">
        <f>1</f>
        <v>1</v>
      </c>
      <c r="CY3245" s="7">
        <f>0</f>
        <v>0</v>
      </c>
      <c r="DA3245" s="7">
        <f>1</f>
        <v>1</v>
      </c>
      <c r="DB3245" s="7" t="s">
        <v>240</v>
      </c>
      <c r="DC3245" s="5" t="s">
        <v>240</v>
      </c>
      <c r="DD3245" s="5" t="s">
        <v>240</v>
      </c>
      <c r="DE3245" s="5" t="s">
        <v>240</v>
      </c>
      <c r="DF3245" s="5" t="s">
        <v>240</v>
      </c>
      <c r="DG3245" s="7">
        <f>0</f>
        <v>0</v>
      </c>
      <c r="DI3245" s="5" t="s">
        <v>240</v>
      </c>
      <c r="DJ3245" s="5" t="s">
        <v>240</v>
      </c>
      <c r="DK3245" s="5" t="s">
        <v>240</v>
      </c>
      <c r="DL3245" s="5" t="s">
        <v>240</v>
      </c>
      <c r="DM3245" s="5" t="s">
        <v>240</v>
      </c>
      <c r="DN3245" s="5" t="s">
        <v>240</v>
      </c>
      <c r="DO3245" s="7" t="s">
        <v>240</v>
      </c>
      <c r="DP3245" s="5" t="s">
        <v>240</v>
      </c>
      <c r="DQ3245" s="5" t="s">
        <v>240</v>
      </c>
      <c r="DR3245" s="5" t="s">
        <v>731</v>
      </c>
      <c r="DS3245" s="5" t="s">
        <v>731</v>
      </c>
      <c r="DT3245" s="5" t="s">
        <v>240</v>
      </c>
      <c r="DU3245" s="5" t="s">
        <v>240</v>
      </c>
      <c r="DV3245" s="5" t="s">
        <v>3683</v>
      </c>
      <c r="DW3245" s="5" t="s">
        <v>4042</v>
      </c>
      <c r="DX3245" s="5" t="s">
        <v>240</v>
      </c>
      <c r="DY3245" s="5" t="s">
        <v>240</v>
      </c>
      <c r="DZ3245" s="5" t="s">
        <v>240</v>
      </c>
      <c r="EA3245" s="5" t="s">
        <v>240</v>
      </c>
      <c r="EB3245" s="5" t="s">
        <v>240</v>
      </c>
      <c r="EC3245" s="5" t="s">
        <v>240</v>
      </c>
      <c r="ED3245" s="5" t="s">
        <v>240</v>
      </c>
      <c r="EE3245" s="5" t="s">
        <v>240</v>
      </c>
      <c r="EF3245" s="5" t="s">
        <v>240</v>
      </c>
      <c r="EG3245" s="5" t="s">
        <v>240</v>
      </c>
      <c r="EH3245" s="5" t="s">
        <v>240</v>
      </c>
      <c r="EI3245" s="5" t="s">
        <v>240</v>
      </c>
      <c r="EJ3245" s="5" t="s">
        <v>240</v>
      </c>
      <c r="EK3245" s="5" t="s">
        <v>240</v>
      </c>
      <c r="EL3245" s="5" t="s">
        <v>240</v>
      </c>
      <c r="EM3245" s="5" t="s">
        <v>240</v>
      </c>
      <c r="EN3245" s="5" t="s">
        <v>240</v>
      </c>
      <c r="EO3245" s="5" t="s">
        <v>240</v>
      </c>
      <c r="EP3245" s="5" t="s">
        <v>240</v>
      </c>
      <c r="EQ3245" s="5" t="s">
        <v>240</v>
      </c>
      <c r="ER3245" s="5" t="s">
        <v>240</v>
      </c>
      <c r="ES3245" s="5" t="s">
        <v>240</v>
      </c>
      <c r="ET3245" s="5" t="s">
        <v>240</v>
      </c>
      <c r="EU3245" s="5" t="s">
        <v>240</v>
      </c>
      <c r="EV3245" s="5" t="s">
        <v>240</v>
      </c>
      <c r="EW3245" s="5" t="s">
        <v>240</v>
      </c>
      <c r="EX3245" s="5" t="s">
        <v>240</v>
      </c>
      <c r="EY3245" s="5" t="s">
        <v>240</v>
      </c>
      <c r="EZ3245" s="5" t="s">
        <v>240</v>
      </c>
      <c r="FA3245" s="5" t="s">
        <v>240</v>
      </c>
      <c r="FB3245" s="5" t="s">
        <v>240</v>
      </c>
      <c r="FC3245" s="5" t="s">
        <v>240</v>
      </c>
      <c r="FD3245" s="5" t="s">
        <v>240</v>
      </c>
      <c r="FE3245" s="5" t="s">
        <v>240</v>
      </c>
      <c r="FF3245" s="5" t="s">
        <v>240</v>
      </c>
      <c r="FG3245" s="5" t="s">
        <v>240</v>
      </c>
      <c r="FH3245" s="5" t="s">
        <v>240</v>
      </c>
      <c r="FI3245" s="5" t="s">
        <v>240</v>
      </c>
      <c r="FJ3245" s="5" t="s">
        <v>240</v>
      </c>
      <c r="FK3245" s="5" t="s">
        <v>240</v>
      </c>
      <c r="FL3245" s="5" t="s">
        <v>240</v>
      </c>
      <c r="FM3245" s="5" t="s">
        <v>240</v>
      </c>
      <c r="FN3245" s="5" t="s">
        <v>240</v>
      </c>
      <c r="FO3245" s="5" t="s">
        <v>240</v>
      </c>
      <c r="FP3245" s="5" t="s">
        <v>240</v>
      </c>
      <c r="FQ3245" s="5" t="s">
        <v>240</v>
      </c>
      <c r="FR3245" s="5" t="s">
        <v>240</v>
      </c>
      <c r="FS3245" s="5" t="s">
        <v>240</v>
      </c>
      <c r="FT3245" s="5" t="s">
        <v>240</v>
      </c>
      <c r="FU3245" s="5" t="s">
        <v>240</v>
      </c>
      <c r="FV3245" s="5" t="s">
        <v>240</v>
      </c>
      <c r="FW3245" s="5" t="s">
        <v>240</v>
      </c>
      <c r="FX3245" s="5" t="s">
        <v>240</v>
      </c>
      <c r="FY3245" s="5" t="s">
        <v>240</v>
      </c>
      <c r="FZ3245" s="5" t="s">
        <v>240</v>
      </c>
      <c r="GA3245" s="5" t="s">
        <v>240</v>
      </c>
      <c r="GB3245" s="5" t="s">
        <v>240</v>
      </c>
      <c r="GC3245" s="5" t="s">
        <v>240</v>
      </c>
      <c r="GD3245" s="5" t="s">
        <v>240</v>
      </c>
      <c r="GE3245" s="5" t="s">
        <v>240</v>
      </c>
      <c r="GF3245" s="5" t="s">
        <v>240</v>
      </c>
      <c r="GG3245" s="5" t="s">
        <v>240</v>
      </c>
      <c r="GH3245" s="5" t="s">
        <v>240</v>
      </c>
      <c r="GI3245" s="5" t="s">
        <v>240</v>
      </c>
      <c r="GJ3245" s="5" t="s">
        <v>240</v>
      </c>
      <c r="GK3245" s="5" t="s">
        <v>240</v>
      </c>
      <c r="GL3245" s="5" t="s">
        <v>240</v>
      </c>
      <c r="GM3245" s="5" t="s">
        <v>240</v>
      </c>
      <c r="GN3245" s="5" t="s">
        <v>240</v>
      </c>
      <c r="GO3245" s="5" t="s">
        <v>240</v>
      </c>
      <c r="GP3245" s="5" t="s">
        <v>240</v>
      </c>
      <c r="GQ3245" s="5" t="s">
        <v>240</v>
      </c>
      <c r="GR3245" s="5" t="s">
        <v>240</v>
      </c>
      <c r="GS3245" s="5" t="s">
        <v>240</v>
      </c>
      <c r="GT3245" s="5" t="s">
        <v>240</v>
      </c>
      <c r="GU3245" s="5" t="s">
        <v>240</v>
      </c>
      <c r="GV3245" s="5" t="s">
        <v>240</v>
      </c>
      <c r="GW3245" s="5" t="s">
        <v>240</v>
      </c>
      <c r="GX3245" s="5" t="s">
        <v>240</v>
      </c>
      <c r="GY3245" s="5" t="s">
        <v>240</v>
      </c>
      <c r="GZ3245" s="5" t="s">
        <v>240</v>
      </c>
      <c r="HA3245" s="5" t="s">
        <v>240</v>
      </c>
      <c r="HB3245" s="5" t="s">
        <v>240</v>
      </c>
      <c r="HC3245" s="5" t="s">
        <v>240</v>
      </c>
      <c r="HD3245" s="5" t="s">
        <v>240</v>
      </c>
      <c r="HE3245" s="5" t="s">
        <v>240</v>
      </c>
      <c r="HF3245" s="5" t="s">
        <v>240</v>
      </c>
      <c r="HG3245" s="5" t="s">
        <v>240</v>
      </c>
      <c r="HH3245" s="5" t="s">
        <v>240</v>
      </c>
      <c r="HI3245" s="5" t="s">
        <v>240</v>
      </c>
      <c r="HJ3245" s="5" t="s">
        <v>240</v>
      </c>
      <c r="HK3245" s="5" t="s">
        <v>240</v>
      </c>
      <c r="HL3245" s="5" t="s">
        <v>240</v>
      </c>
      <c r="HM3245" s="5" t="s">
        <v>240</v>
      </c>
      <c r="HN3245" s="5" t="s">
        <v>240</v>
      </c>
      <c r="HO3245" s="5" t="s">
        <v>312</v>
      </c>
      <c r="HP3245" s="5" t="s">
        <v>240</v>
      </c>
      <c r="HQ3245" s="5" t="s">
        <v>240</v>
      </c>
      <c r="HR3245" s="5" t="s">
        <v>240</v>
      </c>
      <c r="HS3245" s="5" t="s">
        <v>240</v>
      </c>
      <c r="HT3245" s="5" t="s">
        <v>240</v>
      </c>
      <c r="HU3245" s="5" t="s">
        <v>240</v>
      </c>
      <c r="HV3245" s="5" t="s">
        <v>240</v>
      </c>
      <c r="HW3245" s="5" t="s">
        <v>240</v>
      </c>
      <c r="HX3245" s="5" t="s">
        <v>240</v>
      </c>
      <c r="HY3245" s="5" t="s">
        <v>240</v>
      </c>
      <c r="HZ3245" s="5" t="s">
        <v>240</v>
      </c>
      <c r="IA3245" s="5" t="s">
        <v>240</v>
      </c>
      <c r="IB3245" s="5" t="s">
        <v>240</v>
      </c>
      <c r="IC3245" s="5" t="s">
        <v>240</v>
      </c>
      <c r="ID3245" s="5" t="s">
        <v>240</v>
      </c>
      <c r="IE3245" s="5" t="s">
        <v>240</v>
      </c>
      <c r="IF3245" s="5" t="s">
        <v>240</v>
      </c>
    </row>
    <row r="3246" spans="1:240" x14ac:dyDescent="0.4">
      <c r="A3246" s="5">
        <v>8735</v>
      </c>
      <c r="B3246" s="5">
        <v>1</v>
      </c>
      <c r="C3246" s="5">
        <v>2</v>
      </c>
      <c r="D3246" s="5" t="s">
        <v>297</v>
      </c>
      <c r="E3246" s="5" t="s">
        <v>245</v>
      </c>
      <c r="F3246" s="5" t="s">
        <v>254</v>
      </c>
      <c r="G3246" s="5" t="s">
        <v>6774</v>
      </c>
      <c r="H3246" s="6" t="s">
        <v>250</v>
      </c>
      <c r="I3246" s="5" t="s">
        <v>6950</v>
      </c>
      <c r="J3246" s="7">
        <f>1</f>
        <v>1</v>
      </c>
      <c r="K3246" s="5" t="s">
        <v>6749</v>
      </c>
      <c r="L3246" s="7">
        <f>159750</f>
        <v>159750</v>
      </c>
      <c r="M3246" s="7">
        <f>159750</f>
        <v>159750</v>
      </c>
      <c r="N3246" s="5" t="s">
        <v>242</v>
      </c>
      <c r="O3246" s="5">
        <v>1</v>
      </c>
      <c r="P3246" s="5" t="s">
        <v>294</v>
      </c>
      <c r="Q3246" s="5" t="s">
        <v>266</v>
      </c>
      <c r="R3246" s="5" t="s">
        <v>240</v>
      </c>
      <c r="S3246" s="5" t="s">
        <v>240</v>
      </c>
      <c r="T3246" s="5" t="s">
        <v>296</v>
      </c>
      <c r="U3246" s="5" t="s">
        <v>244</v>
      </c>
      <c r="V3246" s="5" t="s">
        <v>240</v>
      </c>
      <c r="Y3246" s="5" t="s">
        <v>240</v>
      </c>
      <c r="Z3246" s="6" t="s">
        <v>298</v>
      </c>
      <c r="AB3246" s="6" t="s">
        <v>240</v>
      </c>
      <c r="AE3246" s="6" t="s">
        <v>299</v>
      </c>
      <c r="AF3246" s="5" t="s">
        <v>248</v>
      </c>
      <c r="AG3246" s="5" t="s">
        <v>249</v>
      </c>
      <c r="AW3246" s="5" t="s">
        <v>251</v>
      </c>
      <c r="AX3246" s="5" t="s">
        <v>240</v>
      </c>
      <c r="AY3246" s="5" t="s">
        <v>253</v>
      </c>
      <c r="AZ3246" s="5" t="s">
        <v>240</v>
      </c>
      <c r="BA3246" s="5" t="s">
        <v>255</v>
      </c>
      <c r="BB3246" s="5" t="s">
        <v>240</v>
      </c>
      <c r="BD3246" s="5" t="s">
        <v>240</v>
      </c>
      <c r="BF3246" s="5" t="s">
        <v>301</v>
      </c>
      <c r="BG3246" s="6" t="s">
        <v>299</v>
      </c>
      <c r="BH3246" s="5" t="s">
        <v>302</v>
      </c>
      <c r="BI3246" s="5" t="s">
        <v>303</v>
      </c>
      <c r="BJ3246" s="5" t="s">
        <v>240</v>
      </c>
      <c r="BK3246" s="8">
        <f>0</f>
        <v>0</v>
      </c>
      <c r="BL3246" s="7">
        <f>0</f>
        <v>0</v>
      </c>
      <c r="BM3246" s="5" t="s">
        <v>258</v>
      </c>
      <c r="BN3246" s="5" t="s">
        <v>259</v>
      </c>
      <c r="CB3246" s="5" t="s">
        <v>240</v>
      </c>
      <c r="CC3246" s="5" t="s">
        <v>240</v>
      </c>
      <c r="CG3246" s="5" t="s">
        <v>304</v>
      </c>
      <c r="CH3246" s="5" t="s">
        <v>305</v>
      </c>
      <c r="CI3246" s="5" t="s">
        <v>240</v>
      </c>
      <c r="CL3246" s="6" t="s">
        <v>261</v>
      </c>
      <c r="CM3246" s="5" t="s">
        <v>240</v>
      </c>
      <c r="CN3246" s="5" t="s">
        <v>263</v>
      </c>
      <c r="CO3246" s="5" t="s">
        <v>240</v>
      </c>
      <c r="CP3246" s="5" t="s">
        <v>240</v>
      </c>
      <c r="CQ3246" s="5">
        <v>0</v>
      </c>
      <c r="CR3246" s="5" t="s">
        <v>306</v>
      </c>
      <c r="CS3246" s="5" t="s">
        <v>307</v>
      </c>
      <c r="CT3246" s="5" t="s">
        <v>307</v>
      </c>
      <c r="CU3246" s="5" t="s">
        <v>260</v>
      </c>
      <c r="CX3246" s="7">
        <f>1</f>
        <v>1</v>
      </c>
      <c r="CY3246" s="7">
        <f>0</f>
        <v>0</v>
      </c>
      <c r="DA3246" s="7">
        <f>0</f>
        <v>0</v>
      </c>
      <c r="DC3246" s="5" t="s">
        <v>309</v>
      </c>
      <c r="DD3246" s="5" t="s">
        <v>240</v>
      </c>
      <c r="DF3246" s="5" t="s">
        <v>309</v>
      </c>
      <c r="DG3246" s="7">
        <f>472</f>
        <v>472</v>
      </c>
      <c r="DI3246" s="5" t="s">
        <v>240</v>
      </c>
      <c r="DJ3246" s="5" t="s">
        <v>240</v>
      </c>
      <c r="DK3246" s="5" t="s">
        <v>240</v>
      </c>
      <c r="DL3246" s="5" t="s">
        <v>240</v>
      </c>
      <c r="DP3246" s="5" t="s">
        <v>240</v>
      </c>
      <c r="DQ3246" s="5" t="s">
        <v>240</v>
      </c>
      <c r="DR3246" s="5" t="s">
        <v>240</v>
      </c>
      <c r="DS3246" s="5" t="s">
        <v>240</v>
      </c>
      <c r="DV3246" s="5" t="s">
        <v>310</v>
      </c>
      <c r="DW3246" s="5" t="s">
        <v>4864</v>
      </c>
      <c r="HO3246" s="5" t="s">
        <v>312</v>
      </c>
    </row>
    <row r="3247" spans="1:240" x14ac:dyDescent="0.4">
      <c r="A3247" s="5">
        <v>8736</v>
      </c>
      <c r="B3247" s="5">
        <v>1</v>
      </c>
      <c r="C3247" s="5">
        <v>2</v>
      </c>
      <c r="D3247" s="5" t="s">
        <v>297</v>
      </c>
      <c r="E3247" s="5" t="s">
        <v>245</v>
      </c>
      <c r="F3247" s="5" t="s">
        <v>254</v>
      </c>
      <c r="G3247" s="5" t="s">
        <v>6774</v>
      </c>
      <c r="H3247" s="6" t="s">
        <v>282</v>
      </c>
      <c r="I3247" s="5" t="s">
        <v>6802</v>
      </c>
      <c r="J3247" s="7">
        <f>1</f>
        <v>1</v>
      </c>
      <c r="K3247" s="5" t="s">
        <v>6749</v>
      </c>
      <c r="L3247" s="7">
        <f>1061163</f>
        <v>1061163</v>
      </c>
      <c r="M3247" s="7">
        <f>1061163</f>
        <v>1061163</v>
      </c>
      <c r="N3247" s="5" t="s">
        <v>242</v>
      </c>
      <c r="O3247" s="5">
        <v>1</v>
      </c>
      <c r="P3247" s="5" t="s">
        <v>294</v>
      </c>
      <c r="Q3247" s="5" t="s">
        <v>3678</v>
      </c>
      <c r="R3247" s="5" t="s">
        <v>240</v>
      </c>
      <c r="S3247" s="5" t="s">
        <v>240</v>
      </c>
      <c r="T3247" s="5" t="s">
        <v>243</v>
      </c>
      <c r="U3247" s="5" t="s">
        <v>244</v>
      </c>
      <c r="V3247" s="5" t="s">
        <v>240</v>
      </c>
      <c r="W3247" s="5" t="s">
        <v>240</v>
      </c>
      <c r="X3247" s="5" t="s">
        <v>240</v>
      </c>
      <c r="Y3247" s="5" t="s">
        <v>240</v>
      </c>
      <c r="Z3247" s="6" t="s">
        <v>298</v>
      </c>
      <c r="AA3247" s="6" t="s">
        <v>240</v>
      </c>
      <c r="AB3247" s="6" t="s">
        <v>240</v>
      </c>
      <c r="AC3247" s="5" t="s">
        <v>240</v>
      </c>
      <c r="AD3247" s="6" t="s">
        <v>240</v>
      </c>
      <c r="AE3247" s="6" t="s">
        <v>299</v>
      </c>
      <c r="AF3247" s="5" t="s">
        <v>248</v>
      </c>
      <c r="AG3247" s="5" t="s">
        <v>249</v>
      </c>
      <c r="AH3247" s="5" t="s">
        <v>240</v>
      </c>
      <c r="AI3247" s="5" t="s">
        <v>240</v>
      </c>
      <c r="AJ3247" s="5" t="s">
        <v>240</v>
      </c>
      <c r="AK3247" s="5" t="s">
        <v>240</v>
      </c>
      <c r="AL3247" s="5" t="s">
        <v>240</v>
      </c>
      <c r="AM3247" s="5" t="s">
        <v>240</v>
      </c>
      <c r="AN3247" s="5" t="s">
        <v>240</v>
      </c>
      <c r="AO3247" s="5" t="s">
        <v>240</v>
      </c>
      <c r="AP3247" s="6" t="s">
        <v>240</v>
      </c>
      <c r="AQ3247" s="6" t="s">
        <v>240</v>
      </c>
      <c r="AR3247" s="6" t="s">
        <v>240</v>
      </c>
      <c r="AS3247" s="6" t="s">
        <v>240</v>
      </c>
      <c r="AT3247" s="5" t="s">
        <v>240</v>
      </c>
      <c r="AU3247" s="5" t="s">
        <v>729</v>
      </c>
      <c r="AV3247" s="5" t="s">
        <v>729</v>
      </c>
      <c r="AW3247" s="5" t="s">
        <v>251</v>
      </c>
      <c r="AX3247" s="5" t="s">
        <v>252</v>
      </c>
      <c r="AY3247" s="5" t="s">
        <v>253</v>
      </c>
      <c r="AZ3247" s="5" t="s">
        <v>240</v>
      </c>
      <c r="BA3247" s="5" t="s">
        <v>255</v>
      </c>
      <c r="BB3247" s="5" t="s">
        <v>731</v>
      </c>
      <c r="BD3247" s="5" t="s">
        <v>240</v>
      </c>
      <c r="BF3247" s="5" t="s">
        <v>732</v>
      </c>
      <c r="BG3247" s="6" t="s">
        <v>733</v>
      </c>
      <c r="BH3247" s="5" t="s">
        <v>734</v>
      </c>
      <c r="BI3247" s="5" t="s">
        <v>734</v>
      </c>
      <c r="BJ3247" s="5" t="s">
        <v>240</v>
      </c>
      <c r="BK3247" s="7">
        <f>1</f>
        <v>1</v>
      </c>
      <c r="BL3247" s="7">
        <f>1</f>
        <v>1</v>
      </c>
      <c r="BM3247" s="5" t="s">
        <v>258</v>
      </c>
      <c r="BN3247" s="5" t="s">
        <v>259</v>
      </c>
      <c r="BO3247" s="5" t="s">
        <v>240</v>
      </c>
      <c r="BP3247" s="5" t="s">
        <v>240</v>
      </c>
      <c r="BQ3247" s="5" t="s">
        <v>240</v>
      </c>
      <c r="BR3247" s="5" t="s">
        <v>240</v>
      </c>
      <c r="BS3247" s="5" t="s">
        <v>240</v>
      </c>
      <c r="BT3247" s="5" t="s">
        <v>240</v>
      </c>
      <c r="BU3247" s="5" t="s">
        <v>240</v>
      </c>
      <c r="BV3247" s="5" t="s">
        <v>240</v>
      </c>
      <c r="BW3247" s="6" t="s">
        <v>240</v>
      </c>
      <c r="BX3247" s="5" t="s">
        <v>240</v>
      </c>
      <c r="BY3247" s="5" t="s">
        <v>240</v>
      </c>
      <c r="BZ3247" s="5" t="s">
        <v>240</v>
      </c>
      <c r="CA3247" s="5" t="s">
        <v>259</v>
      </c>
      <c r="CB3247" s="5" t="s">
        <v>240</v>
      </c>
      <c r="CC3247" s="5" t="s">
        <v>240</v>
      </c>
      <c r="CD3247" s="5" t="s">
        <v>240</v>
      </c>
      <c r="CE3247" s="5" t="s">
        <v>240</v>
      </c>
      <c r="CF3247" s="5" t="s">
        <v>240</v>
      </c>
      <c r="CG3247" s="5" t="s">
        <v>304</v>
      </c>
      <c r="CH3247" s="5" t="s">
        <v>305</v>
      </c>
      <c r="CI3247" s="5" t="s">
        <v>240</v>
      </c>
      <c r="CK3247" s="5" t="s">
        <v>3681</v>
      </c>
      <c r="CL3247" s="6" t="s">
        <v>261</v>
      </c>
      <c r="CM3247" s="5" t="s">
        <v>262</v>
      </c>
      <c r="CN3247" s="5" t="s">
        <v>263</v>
      </c>
      <c r="CO3247" s="5" t="s">
        <v>264</v>
      </c>
      <c r="CP3247" s="5" t="s">
        <v>240</v>
      </c>
      <c r="CQ3247" s="5">
        <v>0</v>
      </c>
      <c r="CR3247" s="5" t="s">
        <v>735</v>
      </c>
      <c r="CS3247" s="5" t="s">
        <v>307</v>
      </c>
      <c r="CT3247" s="5" t="s">
        <v>307</v>
      </c>
      <c r="CU3247" s="5" t="s">
        <v>260</v>
      </c>
      <c r="CV3247" s="5" t="s">
        <v>612</v>
      </c>
      <c r="CW3247" s="8">
        <f>1</f>
        <v>1</v>
      </c>
      <c r="CX3247" s="7">
        <f>1</f>
        <v>1</v>
      </c>
      <c r="CY3247" s="7">
        <f>0</f>
        <v>0</v>
      </c>
      <c r="DA3247" s="7">
        <f>1</f>
        <v>1</v>
      </c>
      <c r="DB3247" s="7" t="s">
        <v>240</v>
      </c>
      <c r="DC3247" s="5" t="s">
        <v>240</v>
      </c>
      <c r="DD3247" s="5" t="s">
        <v>240</v>
      </c>
      <c r="DE3247" s="5" t="s">
        <v>240</v>
      </c>
      <c r="DF3247" s="5" t="s">
        <v>240</v>
      </c>
      <c r="DG3247" s="7">
        <f>0</f>
        <v>0</v>
      </c>
      <c r="DI3247" s="5" t="s">
        <v>240</v>
      </c>
      <c r="DJ3247" s="5" t="s">
        <v>240</v>
      </c>
      <c r="DK3247" s="5" t="s">
        <v>240</v>
      </c>
      <c r="DL3247" s="5" t="s">
        <v>240</v>
      </c>
      <c r="DM3247" s="5" t="s">
        <v>240</v>
      </c>
      <c r="DN3247" s="5" t="s">
        <v>240</v>
      </c>
      <c r="DO3247" s="7" t="s">
        <v>240</v>
      </c>
      <c r="DP3247" s="5" t="s">
        <v>240</v>
      </c>
      <c r="DQ3247" s="5" t="s">
        <v>240</v>
      </c>
      <c r="DR3247" s="5" t="s">
        <v>731</v>
      </c>
      <c r="DS3247" s="5" t="s">
        <v>731</v>
      </c>
      <c r="DT3247" s="5" t="s">
        <v>240</v>
      </c>
      <c r="DU3247" s="5" t="s">
        <v>240</v>
      </c>
      <c r="DV3247" s="5" t="s">
        <v>3683</v>
      </c>
      <c r="DW3247" s="5" t="s">
        <v>783</v>
      </c>
      <c r="DX3247" s="5" t="s">
        <v>240</v>
      </c>
      <c r="DY3247" s="5" t="s">
        <v>240</v>
      </c>
      <c r="DZ3247" s="5" t="s">
        <v>240</v>
      </c>
      <c r="EA3247" s="5" t="s">
        <v>240</v>
      </c>
      <c r="EB3247" s="5" t="s">
        <v>240</v>
      </c>
      <c r="EC3247" s="5" t="s">
        <v>240</v>
      </c>
      <c r="ED3247" s="5" t="s">
        <v>240</v>
      </c>
      <c r="EE3247" s="5" t="s">
        <v>240</v>
      </c>
      <c r="EF3247" s="5" t="s">
        <v>240</v>
      </c>
      <c r="EG3247" s="5" t="s">
        <v>240</v>
      </c>
      <c r="EH3247" s="5" t="s">
        <v>240</v>
      </c>
      <c r="EI3247" s="5" t="s">
        <v>240</v>
      </c>
      <c r="EJ3247" s="5" t="s">
        <v>240</v>
      </c>
      <c r="EK3247" s="5" t="s">
        <v>240</v>
      </c>
      <c r="EL3247" s="5" t="s">
        <v>240</v>
      </c>
      <c r="EM3247" s="5" t="s">
        <v>240</v>
      </c>
      <c r="EN3247" s="5" t="s">
        <v>240</v>
      </c>
      <c r="EO3247" s="5" t="s">
        <v>240</v>
      </c>
      <c r="EP3247" s="5" t="s">
        <v>240</v>
      </c>
      <c r="EQ3247" s="5" t="s">
        <v>240</v>
      </c>
      <c r="ER3247" s="5" t="s">
        <v>240</v>
      </c>
      <c r="ES3247" s="5" t="s">
        <v>240</v>
      </c>
      <c r="ET3247" s="5" t="s">
        <v>240</v>
      </c>
      <c r="EU3247" s="5" t="s">
        <v>240</v>
      </c>
      <c r="EV3247" s="5" t="s">
        <v>240</v>
      </c>
      <c r="EW3247" s="5" t="s">
        <v>240</v>
      </c>
      <c r="EX3247" s="5" t="s">
        <v>240</v>
      </c>
      <c r="EY3247" s="5" t="s">
        <v>240</v>
      </c>
      <c r="EZ3247" s="5" t="s">
        <v>240</v>
      </c>
      <c r="FA3247" s="5" t="s">
        <v>240</v>
      </c>
      <c r="FB3247" s="5" t="s">
        <v>240</v>
      </c>
      <c r="FC3247" s="5" t="s">
        <v>240</v>
      </c>
      <c r="FD3247" s="5" t="s">
        <v>240</v>
      </c>
      <c r="FE3247" s="5" t="s">
        <v>240</v>
      </c>
      <c r="FF3247" s="5" t="s">
        <v>240</v>
      </c>
      <c r="FG3247" s="5" t="s">
        <v>240</v>
      </c>
      <c r="FH3247" s="5" t="s">
        <v>240</v>
      </c>
      <c r="FI3247" s="5" t="s">
        <v>240</v>
      </c>
      <c r="FJ3247" s="5" t="s">
        <v>240</v>
      </c>
      <c r="FK3247" s="5" t="s">
        <v>240</v>
      </c>
      <c r="FL3247" s="5" t="s">
        <v>240</v>
      </c>
      <c r="FM3247" s="5" t="s">
        <v>240</v>
      </c>
      <c r="FN3247" s="5" t="s">
        <v>240</v>
      </c>
      <c r="FO3247" s="5" t="s">
        <v>240</v>
      </c>
      <c r="FP3247" s="5" t="s">
        <v>240</v>
      </c>
      <c r="FQ3247" s="5" t="s">
        <v>240</v>
      </c>
      <c r="FR3247" s="5" t="s">
        <v>240</v>
      </c>
      <c r="FS3247" s="5" t="s">
        <v>240</v>
      </c>
      <c r="FT3247" s="5" t="s">
        <v>240</v>
      </c>
      <c r="FU3247" s="5" t="s">
        <v>240</v>
      </c>
      <c r="FV3247" s="5" t="s">
        <v>240</v>
      </c>
      <c r="FW3247" s="5" t="s">
        <v>240</v>
      </c>
      <c r="FX3247" s="5" t="s">
        <v>240</v>
      </c>
      <c r="FY3247" s="5" t="s">
        <v>240</v>
      </c>
      <c r="FZ3247" s="5" t="s">
        <v>240</v>
      </c>
      <c r="GA3247" s="5" t="s">
        <v>240</v>
      </c>
      <c r="GB3247" s="5" t="s">
        <v>240</v>
      </c>
      <c r="GC3247" s="5" t="s">
        <v>240</v>
      </c>
      <c r="GD3247" s="5" t="s">
        <v>240</v>
      </c>
      <c r="GE3247" s="5" t="s">
        <v>240</v>
      </c>
      <c r="GF3247" s="5" t="s">
        <v>240</v>
      </c>
      <c r="GG3247" s="5" t="s">
        <v>240</v>
      </c>
      <c r="GH3247" s="5" t="s">
        <v>240</v>
      </c>
      <c r="GI3247" s="5" t="s">
        <v>240</v>
      </c>
      <c r="GJ3247" s="5" t="s">
        <v>240</v>
      </c>
      <c r="GK3247" s="5" t="s">
        <v>240</v>
      </c>
      <c r="GL3247" s="5" t="s">
        <v>240</v>
      </c>
      <c r="GM3247" s="5" t="s">
        <v>240</v>
      </c>
      <c r="GN3247" s="5" t="s">
        <v>240</v>
      </c>
      <c r="GO3247" s="5" t="s">
        <v>240</v>
      </c>
      <c r="GP3247" s="5" t="s">
        <v>240</v>
      </c>
      <c r="GQ3247" s="5" t="s">
        <v>240</v>
      </c>
      <c r="GR3247" s="5" t="s">
        <v>240</v>
      </c>
      <c r="GS3247" s="5" t="s">
        <v>240</v>
      </c>
      <c r="GT3247" s="5" t="s">
        <v>240</v>
      </c>
      <c r="GU3247" s="5" t="s">
        <v>240</v>
      </c>
      <c r="GV3247" s="5" t="s">
        <v>240</v>
      </c>
      <c r="GW3247" s="5" t="s">
        <v>240</v>
      </c>
      <c r="GX3247" s="5" t="s">
        <v>240</v>
      </c>
      <c r="GY3247" s="5" t="s">
        <v>240</v>
      </c>
      <c r="GZ3247" s="5" t="s">
        <v>240</v>
      </c>
      <c r="HA3247" s="5" t="s">
        <v>240</v>
      </c>
      <c r="HB3247" s="5" t="s">
        <v>240</v>
      </c>
      <c r="HC3247" s="5" t="s">
        <v>240</v>
      </c>
      <c r="HD3247" s="5" t="s">
        <v>240</v>
      </c>
      <c r="HE3247" s="5" t="s">
        <v>240</v>
      </c>
      <c r="HF3247" s="5" t="s">
        <v>240</v>
      </c>
      <c r="HG3247" s="5" t="s">
        <v>240</v>
      </c>
      <c r="HH3247" s="5" t="s">
        <v>240</v>
      </c>
      <c r="HI3247" s="5" t="s">
        <v>240</v>
      </c>
      <c r="HJ3247" s="5" t="s">
        <v>240</v>
      </c>
      <c r="HK3247" s="5" t="s">
        <v>240</v>
      </c>
      <c r="HL3247" s="5" t="s">
        <v>240</v>
      </c>
      <c r="HM3247" s="5" t="s">
        <v>240</v>
      </c>
      <c r="HN3247" s="5" t="s">
        <v>240</v>
      </c>
      <c r="HO3247" s="5" t="s">
        <v>312</v>
      </c>
      <c r="HP3247" s="5" t="s">
        <v>240</v>
      </c>
      <c r="HQ3247" s="5" t="s">
        <v>240</v>
      </c>
      <c r="HR3247" s="5" t="s">
        <v>240</v>
      </c>
      <c r="HS3247" s="5" t="s">
        <v>240</v>
      </c>
      <c r="HT3247" s="5" t="s">
        <v>240</v>
      </c>
      <c r="HU3247" s="5" t="s">
        <v>240</v>
      </c>
      <c r="HV3247" s="5" t="s">
        <v>240</v>
      </c>
      <c r="HW3247" s="5" t="s">
        <v>240</v>
      </c>
      <c r="HX3247" s="5" t="s">
        <v>240</v>
      </c>
      <c r="HY3247" s="5" t="s">
        <v>240</v>
      </c>
      <c r="HZ3247" s="5" t="s">
        <v>240</v>
      </c>
      <c r="IA3247" s="5" t="s">
        <v>240</v>
      </c>
      <c r="IB3247" s="5" t="s">
        <v>240</v>
      </c>
      <c r="IC3247" s="5" t="s">
        <v>240</v>
      </c>
      <c r="ID3247" s="5" t="s">
        <v>240</v>
      </c>
      <c r="IE3247" s="5" t="s">
        <v>240</v>
      </c>
      <c r="IF3247" s="5" t="s">
        <v>240</v>
      </c>
    </row>
    <row r="3248" spans="1:240" x14ac:dyDescent="0.4">
      <c r="A3248" s="5">
        <v>8737</v>
      </c>
      <c r="B3248" s="5">
        <v>1</v>
      </c>
      <c r="C3248" s="5">
        <v>3</v>
      </c>
      <c r="D3248" s="5" t="s">
        <v>297</v>
      </c>
      <c r="E3248" s="5" t="s">
        <v>245</v>
      </c>
      <c r="F3248" s="5" t="s">
        <v>254</v>
      </c>
      <c r="G3248" s="5" t="s">
        <v>7025</v>
      </c>
      <c r="H3248" s="6" t="s">
        <v>7026</v>
      </c>
      <c r="I3248" s="5" t="s">
        <v>7023</v>
      </c>
      <c r="J3248" s="7">
        <f>1</f>
        <v>1</v>
      </c>
      <c r="K3248" s="5" t="s">
        <v>6749</v>
      </c>
      <c r="L3248" s="7">
        <f>133257</f>
        <v>133257</v>
      </c>
      <c r="M3248" s="7">
        <f>133257</f>
        <v>133257</v>
      </c>
      <c r="N3248" s="5" t="s">
        <v>242</v>
      </c>
      <c r="O3248" s="5">
        <v>1</v>
      </c>
      <c r="P3248" s="5" t="s">
        <v>294</v>
      </c>
      <c r="Q3248" s="5" t="s">
        <v>3678</v>
      </c>
      <c r="R3248" s="5" t="s">
        <v>240</v>
      </c>
      <c r="S3248" s="5" t="s">
        <v>240</v>
      </c>
      <c r="T3248" s="5" t="s">
        <v>243</v>
      </c>
      <c r="U3248" s="5" t="s">
        <v>244</v>
      </c>
      <c r="V3248" s="5" t="s">
        <v>240</v>
      </c>
      <c r="W3248" s="5" t="s">
        <v>240</v>
      </c>
      <c r="X3248" s="5" t="s">
        <v>240</v>
      </c>
      <c r="Y3248" s="5" t="s">
        <v>240</v>
      </c>
      <c r="Z3248" s="6" t="s">
        <v>298</v>
      </c>
      <c r="AA3248" s="6" t="s">
        <v>240</v>
      </c>
      <c r="AB3248" s="6" t="s">
        <v>240</v>
      </c>
      <c r="AC3248" s="5" t="s">
        <v>240</v>
      </c>
      <c r="AD3248" s="6" t="s">
        <v>240</v>
      </c>
      <c r="AE3248" s="6" t="s">
        <v>299</v>
      </c>
      <c r="AF3248" s="5" t="s">
        <v>248</v>
      </c>
      <c r="AG3248" s="5" t="s">
        <v>249</v>
      </c>
      <c r="AH3248" s="5" t="s">
        <v>240</v>
      </c>
      <c r="AI3248" s="5" t="s">
        <v>240</v>
      </c>
      <c r="AJ3248" s="5" t="s">
        <v>240</v>
      </c>
      <c r="AK3248" s="5" t="s">
        <v>240</v>
      </c>
      <c r="AL3248" s="5" t="s">
        <v>240</v>
      </c>
      <c r="AM3248" s="5" t="s">
        <v>240</v>
      </c>
      <c r="AN3248" s="5" t="s">
        <v>240</v>
      </c>
      <c r="AO3248" s="5" t="s">
        <v>240</v>
      </c>
      <c r="AP3248" s="6" t="s">
        <v>240</v>
      </c>
      <c r="AQ3248" s="6" t="s">
        <v>240</v>
      </c>
      <c r="AR3248" s="6" t="s">
        <v>240</v>
      </c>
      <c r="AS3248" s="6" t="s">
        <v>240</v>
      </c>
      <c r="AT3248" s="5" t="s">
        <v>240</v>
      </c>
      <c r="AU3248" s="5" t="s">
        <v>729</v>
      </c>
      <c r="AV3248" s="5" t="s">
        <v>729</v>
      </c>
      <c r="AW3248" s="5" t="s">
        <v>251</v>
      </c>
      <c r="AX3248" s="5" t="s">
        <v>252</v>
      </c>
      <c r="AY3248" s="5" t="s">
        <v>253</v>
      </c>
      <c r="AZ3248" s="5" t="s">
        <v>240</v>
      </c>
      <c r="BA3248" s="5" t="s">
        <v>255</v>
      </c>
      <c r="BB3248" s="5" t="s">
        <v>731</v>
      </c>
      <c r="BD3248" s="5" t="s">
        <v>240</v>
      </c>
      <c r="BF3248" s="5" t="s">
        <v>732</v>
      </c>
      <c r="BG3248" s="6" t="s">
        <v>733</v>
      </c>
      <c r="BH3248" s="5" t="s">
        <v>734</v>
      </c>
      <c r="BI3248" s="5" t="s">
        <v>734</v>
      </c>
      <c r="BJ3248" s="5" t="s">
        <v>240</v>
      </c>
      <c r="BK3248" s="7">
        <f>1</f>
        <v>1</v>
      </c>
      <c r="BL3248" s="7">
        <f>1</f>
        <v>1</v>
      </c>
      <c r="BM3248" s="5" t="s">
        <v>258</v>
      </c>
      <c r="BN3248" s="5" t="s">
        <v>259</v>
      </c>
      <c r="BO3248" s="5" t="s">
        <v>240</v>
      </c>
      <c r="BP3248" s="5" t="s">
        <v>240</v>
      </c>
      <c r="BQ3248" s="5" t="s">
        <v>240</v>
      </c>
      <c r="BR3248" s="5" t="s">
        <v>240</v>
      </c>
      <c r="BS3248" s="5" t="s">
        <v>240</v>
      </c>
      <c r="BT3248" s="5" t="s">
        <v>240</v>
      </c>
      <c r="BU3248" s="5" t="s">
        <v>240</v>
      </c>
      <c r="BV3248" s="5" t="s">
        <v>240</v>
      </c>
      <c r="BW3248" s="6" t="s">
        <v>240</v>
      </c>
      <c r="BX3248" s="5" t="s">
        <v>240</v>
      </c>
      <c r="BY3248" s="5" t="s">
        <v>240</v>
      </c>
      <c r="BZ3248" s="5" t="s">
        <v>240</v>
      </c>
      <c r="CA3248" s="5" t="s">
        <v>259</v>
      </c>
      <c r="CB3248" s="5" t="s">
        <v>240</v>
      </c>
      <c r="CC3248" s="5" t="s">
        <v>240</v>
      </c>
      <c r="CD3248" s="5" t="s">
        <v>240</v>
      </c>
      <c r="CE3248" s="5" t="s">
        <v>240</v>
      </c>
      <c r="CF3248" s="5" t="s">
        <v>240</v>
      </c>
      <c r="CG3248" s="5" t="s">
        <v>304</v>
      </c>
      <c r="CH3248" s="5" t="s">
        <v>305</v>
      </c>
      <c r="CI3248" s="5" t="s">
        <v>240</v>
      </c>
      <c r="CK3248" s="5" t="s">
        <v>3681</v>
      </c>
      <c r="CL3248" s="6" t="s">
        <v>261</v>
      </c>
      <c r="CM3248" s="5" t="s">
        <v>262</v>
      </c>
      <c r="CN3248" s="5" t="s">
        <v>263</v>
      </c>
      <c r="CO3248" s="5" t="s">
        <v>264</v>
      </c>
      <c r="CP3248" s="5" t="s">
        <v>240</v>
      </c>
      <c r="CQ3248" s="5">
        <v>0</v>
      </c>
      <c r="CR3248" s="5" t="s">
        <v>735</v>
      </c>
      <c r="CS3248" s="5" t="s">
        <v>307</v>
      </c>
      <c r="CT3248" s="5" t="s">
        <v>307</v>
      </c>
      <c r="CU3248" s="5" t="s">
        <v>260</v>
      </c>
      <c r="CV3248" s="5" t="s">
        <v>612</v>
      </c>
      <c r="CW3248" s="8">
        <f>1</f>
        <v>1</v>
      </c>
      <c r="CX3248" s="7">
        <f>1</f>
        <v>1</v>
      </c>
      <c r="CY3248" s="7">
        <f>0</f>
        <v>0</v>
      </c>
      <c r="DA3248" s="7">
        <f>1</f>
        <v>1</v>
      </c>
      <c r="DB3248" s="7" t="s">
        <v>240</v>
      </c>
      <c r="DC3248" s="5" t="s">
        <v>240</v>
      </c>
      <c r="DD3248" s="5" t="s">
        <v>240</v>
      </c>
      <c r="DE3248" s="5" t="s">
        <v>240</v>
      </c>
      <c r="DF3248" s="5" t="s">
        <v>240</v>
      </c>
      <c r="DG3248" s="7">
        <f>0</f>
        <v>0</v>
      </c>
      <c r="DI3248" s="5" t="s">
        <v>240</v>
      </c>
      <c r="DJ3248" s="5" t="s">
        <v>240</v>
      </c>
      <c r="DK3248" s="5" t="s">
        <v>240</v>
      </c>
      <c r="DL3248" s="5" t="s">
        <v>240</v>
      </c>
      <c r="DM3248" s="5" t="s">
        <v>240</v>
      </c>
      <c r="DN3248" s="5" t="s">
        <v>240</v>
      </c>
      <c r="DO3248" s="7" t="s">
        <v>240</v>
      </c>
      <c r="DP3248" s="5" t="s">
        <v>240</v>
      </c>
      <c r="DQ3248" s="5" t="s">
        <v>240</v>
      </c>
      <c r="DR3248" s="5" t="s">
        <v>731</v>
      </c>
      <c r="DS3248" s="5" t="s">
        <v>731</v>
      </c>
      <c r="DT3248" s="5" t="s">
        <v>240</v>
      </c>
      <c r="DU3248" s="5" t="s">
        <v>240</v>
      </c>
      <c r="DV3248" s="5" t="s">
        <v>3683</v>
      </c>
      <c r="DW3248" s="5" t="s">
        <v>697</v>
      </c>
      <c r="DX3248" s="5" t="s">
        <v>240</v>
      </c>
      <c r="DY3248" s="5" t="s">
        <v>240</v>
      </c>
      <c r="DZ3248" s="5" t="s">
        <v>240</v>
      </c>
      <c r="EA3248" s="5" t="s">
        <v>240</v>
      </c>
      <c r="EB3248" s="5" t="s">
        <v>240</v>
      </c>
      <c r="EC3248" s="5" t="s">
        <v>240</v>
      </c>
      <c r="ED3248" s="5" t="s">
        <v>240</v>
      </c>
      <c r="EE3248" s="5" t="s">
        <v>240</v>
      </c>
      <c r="EF3248" s="5" t="s">
        <v>240</v>
      </c>
      <c r="EG3248" s="5" t="s">
        <v>240</v>
      </c>
      <c r="EH3248" s="5" t="s">
        <v>240</v>
      </c>
      <c r="EI3248" s="5" t="s">
        <v>240</v>
      </c>
      <c r="EJ3248" s="5" t="s">
        <v>240</v>
      </c>
      <c r="EK3248" s="5" t="s">
        <v>240</v>
      </c>
      <c r="EL3248" s="5" t="s">
        <v>240</v>
      </c>
      <c r="EM3248" s="5" t="s">
        <v>240</v>
      </c>
      <c r="EN3248" s="5" t="s">
        <v>240</v>
      </c>
      <c r="EO3248" s="5" t="s">
        <v>240</v>
      </c>
      <c r="EP3248" s="5" t="s">
        <v>240</v>
      </c>
      <c r="EQ3248" s="5" t="s">
        <v>240</v>
      </c>
      <c r="ER3248" s="5" t="s">
        <v>240</v>
      </c>
      <c r="ES3248" s="5" t="s">
        <v>240</v>
      </c>
      <c r="ET3248" s="5" t="s">
        <v>240</v>
      </c>
      <c r="EU3248" s="5" t="s">
        <v>240</v>
      </c>
      <c r="EV3248" s="5" t="s">
        <v>240</v>
      </c>
      <c r="EW3248" s="5" t="s">
        <v>240</v>
      </c>
      <c r="EX3248" s="5" t="s">
        <v>240</v>
      </c>
      <c r="EY3248" s="5" t="s">
        <v>240</v>
      </c>
      <c r="EZ3248" s="5" t="s">
        <v>240</v>
      </c>
      <c r="FA3248" s="5" t="s">
        <v>240</v>
      </c>
      <c r="FB3248" s="5" t="s">
        <v>240</v>
      </c>
      <c r="FC3248" s="5" t="s">
        <v>240</v>
      </c>
      <c r="FD3248" s="5" t="s">
        <v>240</v>
      </c>
      <c r="FE3248" s="5" t="s">
        <v>240</v>
      </c>
      <c r="FF3248" s="5" t="s">
        <v>240</v>
      </c>
      <c r="FG3248" s="5" t="s">
        <v>240</v>
      </c>
      <c r="FH3248" s="5" t="s">
        <v>240</v>
      </c>
      <c r="FI3248" s="5" t="s">
        <v>240</v>
      </c>
      <c r="FJ3248" s="5" t="s">
        <v>240</v>
      </c>
      <c r="FK3248" s="5" t="s">
        <v>240</v>
      </c>
      <c r="FL3248" s="5" t="s">
        <v>240</v>
      </c>
      <c r="FM3248" s="5" t="s">
        <v>240</v>
      </c>
      <c r="FN3248" s="5" t="s">
        <v>240</v>
      </c>
      <c r="FO3248" s="5" t="s">
        <v>240</v>
      </c>
      <c r="FP3248" s="5" t="s">
        <v>240</v>
      </c>
      <c r="FQ3248" s="5" t="s">
        <v>240</v>
      </c>
      <c r="FR3248" s="5" t="s">
        <v>240</v>
      </c>
      <c r="FS3248" s="5" t="s">
        <v>240</v>
      </c>
      <c r="FT3248" s="5" t="s">
        <v>240</v>
      </c>
      <c r="FU3248" s="5" t="s">
        <v>240</v>
      </c>
      <c r="FV3248" s="5" t="s">
        <v>240</v>
      </c>
      <c r="FW3248" s="5" t="s">
        <v>240</v>
      </c>
      <c r="FX3248" s="5" t="s">
        <v>240</v>
      </c>
      <c r="FY3248" s="5" t="s">
        <v>240</v>
      </c>
      <c r="FZ3248" s="5" t="s">
        <v>240</v>
      </c>
      <c r="GA3248" s="5" t="s">
        <v>240</v>
      </c>
      <c r="GB3248" s="5" t="s">
        <v>240</v>
      </c>
      <c r="GC3248" s="5" t="s">
        <v>240</v>
      </c>
      <c r="GD3248" s="5" t="s">
        <v>240</v>
      </c>
      <c r="GE3248" s="5" t="s">
        <v>240</v>
      </c>
      <c r="GF3248" s="5" t="s">
        <v>240</v>
      </c>
      <c r="GG3248" s="5" t="s">
        <v>240</v>
      </c>
      <c r="GH3248" s="5" t="s">
        <v>240</v>
      </c>
      <c r="GI3248" s="5" t="s">
        <v>240</v>
      </c>
      <c r="GJ3248" s="5" t="s">
        <v>240</v>
      </c>
      <c r="GK3248" s="5" t="s">
        <v>240</v>
      </c>
      <c r="GL3248" s="5" t="s">
        <v>240</v>
      </c>
      <c r="GM3248" s="5" t="s">
        <v>240</v>
      </c>
      <c r="GN3248" s="5" t="s">
        <v>240</v>
      </c>
      <c r="GO3248" s="5" t="s">
        <v>240</v>
      </c>
      <c r="GP3248" s="5" t="s">
        <v>240</v>
      </c>
      <c r="GQ3248" s="5" t="s">
        <v>240</v>
      </c>
      <c r="GR3248" s="5" t="s">
        <v>240</v>
      </c>
      <c r="GS3248" s="5" t="s">
        <v>240</v>
      </c>
      <c r="GT3248" s="5" t="s">
        <v>240</v>
      </c>
      <c r="GU3248" s="5" t="s">
        <v>240</v>
      </c>
      <c r="GV3248" s="5" t="s">
        <v>240</v>
      </c>
      <c r="GW3248" s="5" t="s">
        <v>240</v>
      </c>
      <c r="GX3248" s="5" t="s">
        <v>240</v>
      </c>
      <c r="GY3248" s="5" t="s">
        <v>240</v>
      </c>
      <c r="GZ3248" s="5" t="s">
        <v>240</v>
      </c>
      <c r="HA3248" s="5" t="s">
        <v>240</v>
      </c>
      <c r="HB3248" s="5" t="s">
        <v>240</v>
      </c>
      <c r="HC3248" s="5" t="s">
        <v>240</v>
      </c>
      <c r="HD3248" s="5" t="s">
        <v>240</v>
      </c>
      <c r="HE3248" s="5" t="s">
        <v>240</v>
      </c>
      <c r="HF3248" s="5" t="s">
        <v>240</v>
      </c>
      <c r="HG3248" s="5" t="s">
        <v>240</v>
      </c>
      <c r="HH3248" s="5" t="s">
        <v>240</v>
      </c>
      <c r="HI3248" s="5" t="s">
        <v>240</v>
      </c>
      <c r="HJ3248" s="5" t="s">
        <v>240</v>
      </c>
      <c r="HK3248" s="5" t="s">
        <v>240</v>
      </c>
      <c r="HL3248" s="5" t="s">
        <v>240</v>
      </c>
      <c r="HM3248" s="5" t="s">
        <v>240</v>
      </c>
      <c r="HN3248" s="5" t="s">
        <v>240</v>
      </c>
      <c r="HO3248" s="5" t="s">
        <v>312</v>
      </c>
      <c r="HP3248" s="5" t="s">
        <v>240</v>
      </c>
      <c r="HQ3248" s="5" t="s">
        <v>240</v>
      </c>
      <c r="HR3248" s="5" t="s">
        <v>240</v>
      </c>
      <c r="HS3248" s="5" t="s">
        <v>240</v>
      </c>
      <c r="HT3248" s="5" t="s">
        <v>240</v>
      </c>
      <c r="HU3248" s="5" t="s">
        <v>240</v>
      </c>
      <c r="HV3248" s="5" t="s">
        <v>240</v>
      </c>
      <c r="HW3248" s="5" t="s">
        <v>240</v>
      </c>
      <c r="HX3248" s="5" t="s">
        <v>240</v>
      </c>
      <c r="HY3248" s="5" t="s">
        <v>240</v>
      </c>
      <c r="HZ3248" s="5" t="s">
        <v>240</v>
      </c>
      <c r="IA3248" s="5" t="s">
        <v>240</v>
      </c>
      <c r="IB3248" s="5" t="s">
        <v>240</v>
      </c>
      <c r="IC3248" s="5" t="s">
        <v>240</v>
      </c>
      <c r="ID3248" s="5" t="s">
        <v>240</v>
      </c>
      <c r="IE3248" s="5" t="s">
        <v>240</v>
      </c>
      <c r="IF3248" s="5" t="s">
        <v>240</v>
      </c>
    </row>
    <row r="3249" spans="1:240" x14ac:dyDescent="0.4">
      <c r="A3249" s="5">
        <v>8738</v>
      </c>
      <c r="B3249" s="5">
        <v>1</v>
      </c>
      <c r="C3249" s="5">
        <v>2</v>
      </c>
      <c r="D3249" s="5" t="s">
        <v>297</v>
      </c>
      <c r="E3249" s="5" t="s">
        <v>245</v>
      </c>
      <c r="F3249" s="5" t="s">
        <v>254</v>
      </c>
      <c r="G3249" s="5" t="s">
        <v>6774</v>
      </c>
      <c r="H3249" s="6" t="s">
        <v>288</v>
      </c>
      <c r="I3249" s="5" t="s">
        <v>6931</v>
      </c>
      <c r="J3249" s="7">
        <f>1</f>
        <v>1</v>
      </c>
      <c r="K3249" s="5" t="s">
        <v>6749</v>
      </c>
      <c r="L3249" s="7">
        <f>1270383</f>
        <v>1270383</v>
      </c>
      <c r="M3249" s="7">
        <f>1270383</f>
        <v>1270383</v>
      </c>
      <c r="N3249" s="5" t="s">
        <v>242</v>
      </c>
      <c r="O3249" s="5">
        <v>1</v>
      </c>
      <c r="P3249" s="5" t="s">
        <v>294</v>
      </c>
      <c r="Q3249" s="5" t="s">
        <v>3678</v>
      </c>
      <c r="R3249" s="5" t="s">
        <v>240</v>
      </c>
      <c r="S3249" s="5" t="s">
        <v>240</v>
      </c>
      <c r="T3249" s="5" t="s">
        <v>243</v>
      </c>
      <c r="U3249" s="5" t="s">
        <v>244</v>
      </c>
      <c r="V3249" s="5" t="s">
        <v>240</v>
      </c>
      <c r="W3249" s="5" t="s">
        <v>240</v>
      </c>
      <c r="X3249" s="5" t="s">
        <v>240</v>
      </c>
      <c r="Y3249" s="5" t="s">
        <v>240</v>
      </c>
      <c r="Z3249" s="6" t="s">
        <v>298</v>
      </c>
      <c r="AA3249" s="6" t="s">
        <v>240</v>
      </c>
      <c r="AB3249" s="6" t="s">
        <v>240</v>
      </c>
      <c r="AC3249" s="5" t="s">
        <v>240</v>
      </c>
      <c r="AD3249" s="6" t="s">
        <v>240</v>
      </c>
      <c r="AE3249" s="6" t="s">
        <v>299</v>
      </c>
      <c r="AF3249" s="5" t="s">
        <v>248</v>
      </c>
      <c r="AG3249" s="5" t="s">
        <v>249</v>
      </c>
      <c r="AH3249" s="5" t="s">
        <v>240</v>
      </c>
      <c r="AI3249" s="5" t="s">
        <v>240</v>
      </c>
      <c r="AJ3249" s="5" t="s">
        <v>240</v>
      </c>
      <c r="AK3249" s="5" t="s">
        <v>240</v>
      </c>
      <c r="AL3249" s="5" t="s">
        <v>240</v>
      </c>
      <c r="AM3249" s="5" t="s">
        <v>240</v>
      </c>
      <c r="AN3249" s="5" t="s">
        <v>240</v>
      </c>
      <c r="AO3249" s="5" t="s">
        <v>240</v>
      </c>
      <c r="AP3249" s="6" t="s">
        <v>240</v>
      </c>
      <c r="AQ3249" s="6" t="s">
        <v>240</v>
      </c>
      <c r="AR3249" s="6" t="s">
        <v>240</v>
      </c>
      <c r="AS3249" s="6" t="s">
        <v>240</v>
      </c>
      <c r="AT3249" s="5" t="s">
        <v>240</v>
      </c>
      <c r="AU3249" s="5" t="s">
        <v>729</v>
      </c>
      <c r="AV3249" s="5" t="s">
        <v>729</v>
      </c>
      <c r="AW3249" s="5" t="s">
        <v>251</v>
      </c>
      <c r="AX3249" s="5" t="s">
        <v>252</v>
      </c>
      <c r="AY3249" s="5" t="s">
        <v>253</v>
      </c>
      <c r="AZ3249" s="5" t="s">
        <v>240</v>
      </c>
      <c r="BA3249" s="5" t="s">
        <v>255</v>
      </c>
      <c r="BB3249" s="5" t="s">
        <v>731</v>
      </c>
      <c r="BD3249" s="5" t="s">
        <v>240</v>
      </c>
      <c r="BF3249" s="5" t="s">
        <v>732</v>
      </c>
      <c r="BG3249" s="6" t="s">
        <v>733</v>
      </c>
      <c r="BH3249" s="5" t="s">
        <v>734</v>
      </c>
      <c r="BI3249" s="5" t="s">
        <v>734</v>
      </c>
      <c r="BJ3249" s="5" t="s">
        <v>240</v>
      </c>
      <c r="BK3249" s="7">
        <f>1</f>
        <v>1</v>
      </c>
      <c r="BL3249" s="7">
        <f>1</f>
        <v>1</v>
      </c>
      <c r="BM3249" s="5" t="s">
        <v>258</v>
      </c>
      <c r="BN3249" s="5" t="s">
        <v>259</v>
      </c>
      <c r="BO3249" s="5" t="s">
        <v>240</v>
      </c>
      <c r="BP3249" s="5" t="s">
        <v>240</v>
      </c>
      <c r="BQ3249" s="5" t="s">
        <v>240</v>
      </c>
      <c r="BR3249" s="5" t="s">
        <v>240</v>
      </c>
      <c r="BS3249" s="5" t="s">
        <v>240</v>
      </c>
      <c r="BT3249" s="5" t="s">
        <v>240</v>
      </c>
      <c r="BU3249" s="5" t="s">
        <v>240</v>
      </c>
      <c r="BV3249" s="5" t="s">
        <v>240</v>
      </c>
      <c r="BW3249" s="6" t="s">
        <v>240</v>
      </c>
      <c r="BX3249" s="5" t="s">
        <v>240</v>
      </c>
      <c r="BY3249" s="5" t="s">
        <v>240</v>
      </c>
      <c r="BZ3249" s="5" t="s">
        <v>240</v>
      </c>
      <c r="CA3249" s="5" t="s">
        <v>259</v>
      </c>
      <c r="CB3249" s="5" t="s">
        <v>240</v>
      </c>
      <c r="CC3249" s="5" t="s">
        <v>240</v>
      </c>
      <c r="CD3249" s="5" t="s">
        <v>240</v>
      </c>
      <c r="CE3249" s="5" t="s">
        <v>240</v>
      </c>
      <c r="CF3249" s="5" t="s">
        <v>240</v>
      </c>
      <c r="CG3249" s="5" t="s">
        <v>304</v>
      </c>
      <c r="CH3249" s="5" t="s">
        <v>305</v>
      </c>
      <c r="CI3249" s="5" t="s">
        <v>240</v>
      </c>
      <c r="CK3249" s="5" t="s">
        <v>3681</v>
      </c>
      <c r="CL3249" s="6" t="s">
        <v>261</v>
      </c>
      <c r="CM3249" s="5" t="s">
        <v>262</v>
      </c>
      <c r="CN3249" s="5" t="s">
        <v>263</v>
      </c>
      <c r="CO3249" s="5" t="s">
        <v>264</v>
      </c>
      <c r="CP3249" s="5" t="s">
        <v>240</v>
      </c>
      <c r="CQ3249" s="5">
        <v>0</v>
      </c>
      <c r="CR3249" s="5" t="s">
        <v>735</v>
      </c>
      <c r="CS3249" s="5" t="s">
        <v>307</v>
      </c>
      <c r="CT3249" s="5" t="s">
        <v>307</v>
      </c>
      <c r="CU3249" s="5" t="s">
        <v>260</v>
      </c>
      <c r="CV3249" s="5" t="s">
        <v>612</v>
      </c>
      <c r="CW3249" s="8">
        <f>1</f>
        <v>1</v>
      </c>
      <c r="CX3249" s="7">
        <f>1</f>
        <v>1</v>
      </c>
      <c r="CY3249" s="7">
        <f>0</f>
        <v>0</v>
      </c>
      <c r="DA3249" s="7">
        <f>1</f>
        <v>1</v>
      </c>
      <c r="DB3249" s="7" t="s">
        <v>240</v>
      </c>
      <c r="DC3249" s="5" t="s">
        <v>240</v>
      </c>
      <c r="DD3249" s="5" t="s">
        <v>240</v>
      </c>
      <c r="DE3249" s="5" t="s">
        <v>240</v>
      </c>
      <c r="DF3249" s="5" t="s">
        <v>240</v>
      </c>
      <c r="DG3249" s="7">
        <f>0</f>
        <v>0</v>
      </c>
      <c r="DI3249" s="5" t="s">
        <v>240</v>
      </c>
      <c r="DJ3249" s="5" t="s">
        <v>240</v>
      </c>
      <c r="DK3249" s="5" t="s">
        <v>240</v>
      </c>
      <c r="DL3249" s="5" t="s">
        <v>240</v>
      </c>
      <c r="DM3249" s="5" t="s">
        <v>240</v>
      </c>
      <c r="DN3249" s="5" t="s">
        <v>240</v>
      </c>
      <c r="DO3249" s="7" t="s">
        <v>240</v>
      </c>
      <c r="DP3249" s="5" t="s">
        <v>240</v>
      </c>
      <c r="DQ3249" s="5" t="s">
        <v>240</v>
      </c>
      <c r="DR3249" s="5" t="s">
        <v>731</v>
      </c>
      <c r="DS3249" s="5" t="s">
        <v>731</v>
      </c>
      <c r="DT3249" s="5" t="s">
        <v>240</v>
      </c>
      <c r="DU3249" s="5" t="s">
        <v>240</v>
      </c>
      <c r="DV3249" s="5" t="s">
        <v>3683</v>
      </c>
      <c r="DW3249" s="5" t="s">
        <v>554</v>
      </c>
      <c r="DX3249" s="5" t="s">
        <v>240</v>
      </c>
      <c r="DY3249" s="5" t="s">
        <v>240</v>
      </c>
      <c r="DZ3249" s="5" t="s">
        <v>240</v>
      </c>
      <c r="EA3249" s="5" t="s">
        <v>240</v>
      </c>
      <c r="EB3249" s="5" t="s">
        <v>240</v>
      </c>
      <c r="EC3249" s="5" t="s">
        <v>240</v>
      </c>
      <c r="ED3249" s="5" t="s">
        <v>240</v>
      </c>
      <c r="EE3249" s="5" t="s">
        <v>240</v>
      </c>
      <c r="EF3249" s="5" t="s">
        <v>240</v>
      </c>
      <c r="EG3249" s="5" t="s">
        <v>240</v>
      </c>
      <c r="EH3249" s="5" t="s">
        <v>240</v>
      </c>
      <c r="EI3249" s="5" t="s">
        <v>240</v>
      </c>
      <c r="EJ3249" s="5" t="s">
        <v>240</v>
      </c>
      <c r="EK3249" s="5" t="s">
        <v>240</v>
      </c>
      <c r="EL3249" s="5" t="s">
        <v>240</v>
      </c>
      <c r="EM3249" s="5" t="s">
        <v>240</v>
      </c>
      <c r="EN3249" s="5" t="s">
        <v>240</v>
      </c>
      <c r="EO3249" s="5" t="s">
        <v>240</v>
      </c>
      <c r="EP3249" s="5" t="s">
        <v>240</v>
      </c>
      <c r="EQ3249" s="5" t="s">
        <v>240</v>
      </c>
      <c r="ER3249" s="5" t="s">
        <v>240</v>
      </c>
      <c r="ES3249" s="5" t="s">
        <v>240</v>
      </c>
      <c r="ET3249" s="5" t="s">
        <v>240</v>
      </c>
      <c r="EU3249" s="5" t="s">
        <v>240</v>
      </c>
      <c r="EV3249" s="5" t="s">
        <v>240</v>
      </c>
      <c r="EW3249" s="5" t="s">
        <v>240</v>
      </c>
      <c r="EX3249" s="5" t="s">
        <v>240</v>
      </c>
      <c r="EY3249" s="5" t="s">
        <v>240</v>
      </c>
      <c r="EZ3249" s="5" t="s">
        <v>240</v>
      </c>
      <c r="FA3249" s="5" t="s">
        <v>240</v>
      </c>
      <c r="FB3249" s="5" t="s">
        <v>240</v>
      </c>
      <c r="FC3249" s="5" t="s">
        <v>240</v>
      </c>
      <c r="FD3249" s="5" t="s">
        <v>240</v>
      </c>
      <c r="FE3249" s="5" t="s">
        <v>240</v>
      </c>
      <c r="FF3249" s="5" t="s">
        <v>240</v>
      </c>
      <c r="FG3249" s="5" t="s">
        <v>240</v>
      </c>
      <c r="FH3249" s="5" t="s">
        <v>240</v>
      </c>
      <c r="FI3249" s="5" t="s">
        <v>240</v>
      </c>
      <c r="FJ3249" s="5" t="s">
        <v>240</v>
      </c>
      <c r="FK3249" s="5" t="s">
        <v>240</v>
      </c>
      <c r="FL3249" s="5" t="s">
        <v>240</v>
      </c>
      <c r="FM3249" s="5" t="s">
        <v>240</v>
      </c>
      <c r="FN3249" s="5" t="s">
        <v>240</v>
      </c>
      <c r="FO3249" s="5" t="s">
        <v>240</v>
      </c>
      <c r="FP3249" s="5" t="s">
        <v>240</v>
      </c>
      <c r="FQ3249" s="5" t="s">
        <v>240</v>
      </c>
      <c r="FR3249" s="5" t="s">
        <v>240</v>
      </c>
      <c r="FS3249" s="5" t="s">
        <v>240</v>
      </c>
      <c r="FT3249" s="5" t="s">
        <v>240</v>
      </c>
      <c r="FU3249" s="5" t="s">
        <v>240</v>
      </c>
      <c r="FV3249" s="5" t="s">
        <v>240</v>
      </c>
      <c r="FW3249" s="5" t="s">
        <v>240</v>
      </c>
      <c r="FX3249" s="5" t="s">
        <v>240</v>
      </c>
      <c r="FY3249" s="5" t="s">
        <v>240</v>
      </c>
      <c r="FZ3249" s="5" t="s">
        <v>240</v>
      </c>
      <c r="GA3249" s="5" t="s">
        <v>240</v>
      </c>
      <c r="GB3249" s="5" t="s">
        <v>240</v>
      </c>
      <c r="GC3249" s="5" t="s">
        <v>240</v>
      </c>
      <c r="GD3249" s="5" t="s">
        <v>240</v>
      </c>
      <c r="GE3249" s="5" t="s">
        <v>240</v>
      </c>
      <c r="GF3249" s="5" t="s">
        <v>240</v>
      </c>
      <c r="GG3249" s="5" t="s">
        <v>240</v>
      </c>
      <c r="GH3249" s="5" t="s">
        <v>240</v>
      </c>
      <c r="GI3249" s="5" t="s">
        <v>240</v>
      </c>
      <c r="GJ3249" s="5" t="s">
        <v>240</v>
      </c>
      <c r="GK3249" s="5" t="s">
        <v>240</v>
      </c>
      <c r="GL3249" s="5" t="s">
        <v>240</v>
      </c>
      <c r="GM3249" s="5" t="s">
        <v>240</v>
      </c>
      <c r="GN3249" s="5" t="s">
        <v>240</v>
      </c>
      <c r="GO3249" s="5" t="s">
        <v>240</v>
      </c>
      <c r="GP3249" s="5" t="s">
        <v>240</v>
      </c>
      <c r="GQ3249" s="5" t="s">
        <v>240</v>
      </c>
      <c r="GR3249" s="5" t="s">
        <v>240</v>
      </c>
      <c r="GS3249" s="5" t="s">
        <v>240</v>
      </c>
      <c r="GT3249" s="5" t="s">
        <v>240</v>
      </c>
      <c r="GU3249" s="5" t="s">
        <v>240</v>
      </c>
      <c r="GV3249" s="5" t="s">
        <v>240</v>
      </c>
      <c r="GW3249" s="5" t="s">
        <v>240</v>
      </c>
      <c r="GX3249" s="5" t="s">
        <v>240</v>
      </c>
      <c r="GY3249" s="5" t="s">
        <v>240</v>
      </c>
      <c r="GZ3249" s="5" t="s">
        <v>240</v>
      </c>
      <c r="HA3249" s="5" t="s">
        <v>240</v>
      </c>
      <c r="HB3249" s="5" t="s">
        <v>240</v>
      </c>
      <c r="HC3249" s="5" t="s">
        <v>240</v>
      </c>
      <c r="HD3249" s="5" t="s">
        <v>240</v>
      </c>
      <c r="HE3249" s="5" t="s">
        <v>240</v>
      </c>
      <c r="HF3249" s="5" t="s">
        <v>240</v>
      </c>
      <c r="HG3249" s="5" t="s">
        <v>240</v>
      </c>
      <c r="HH3249" s="5" t="s">
        <v>240</v>
      </c>
      <c r="HI3249" s="5" t="s">
        <v>240</v>
      </c>
      <c r="HJ3249" s="5" t="s">
        <v>240</v>
      </c>
      <c r="HK3249" s="5" t="s">
        <v>240</v>
      </c>
      <c r="HL3249" s="5" t="s">
        <v>240</v>
      </c>
      <c r="HM3249" s="5" t="s">
        <v>240</v>
      </c>
      <c r="HN3249" s="5" t="s">
        <v>240</v>
      </c>
      <c r="HO3249" s="5" t="s">
        <v>312</v>
      </c>
      <c r="HP3249" s="5" t="s">
        <v>240</v>
      </c>
      <c r="HQ3249" s="5" t="s">
        <v>240</v>
      </c>
      <c r="HR3249" s="5" t="s">
        <v>240</v>
      </c>
      <c r="HS3249" s="5" t="s">
        <v>240</v>
      </c>
      <c r="HT3249" s="5" t="s">
        <v>240</v>
      </c>
      <c r="HU3249" s="5" t="s">
        <v>240</v>
      </c>
      <c r="HV3249" s="5" t="s">
        <v>240</v>
      </c>
      <c r="HW3249" s="5" t="s">
        <v>240</v>
      </c>
      <c r="HX3249" s="5" t="s">
        <v>240</v>
      </c>
      <c r="HY3249" s="5" t="s">
        <v>240</v>
      </c>
      <c r="HZ3249" s="5" t="s">
        <v>240</v>
      </c>
      <c r="IA3249" s="5" t="s">
        <v>240</v>
      </c>
      <c r="IB3249" s="5" t="s">
        <v>240</v>
      </c>
      <c r="IC3249" s="5" t="s">
        <v>240</v>
      </c>
      <c r="ID3249" s="5" t="s">
        <v>240</v>
      </c>
      <c r="IE3249" s="5" t="s">
        <v>240</v>
      </c>
      <c r="IF3249" s="5" t="s">
        <v>240</v>
      </c>
    </row>
    <row r="3250" spans="1:240" x14ac:dyDescent="0.4">
      <c r="A3250" s="5">
        <v>8739</v>
      </c>
      <c r="B3250" s="5">
        <v>1</v>
      </c>
      <c r="C3250" s="5">
        <v>2</v>
      </c>
      <c r="D3250" s="5" t="s">
        <v>297</v>
      </c>
      <c r="E3250" s="5" t="s">
        <v>245</v>
      </c>
      <c r="F3250" s="5" t="s">
        <v>254</v>
      </c>
      <c r="G3250" s="5" t="s">
        <v>6774</v>
      </c>
      <c r="H3250" s="6" t="s">
        <v>6948</v>
      </c>
      <c r="I3250" s="5" t="s">
        <v>6946</v>
      </c>
      <c r="J3250" s="7">
        <f>1</f>
        <v>1</v>
      </c>
      <c r="K3250" s="5" t="s">
        <v>6749</v>
      </c>
      <c r="L3250" s="7">
        <f>308606</f>
        <v>308606</v>
      </c>
      <c r="M3250" s="7">
        <f>308606</f>
        <v>308606</v>
      </c>
      <c r="N3250" s="5" t="s">
        <v>242</v>
      </c>
      <c r="O3250" s="5">
        <v>1</v>
      </c>
      <c r="P3250" s="5" t="s">
        <v>294</v>
      </c>
      <c r="Q3250" s="5" t="s">
        <v>3678</v>
      </c>
      <c r="R3250" s="5" t="s">
        <v>240</v>
      </c>
      <c r="S3250" s="5" t="s">
        <v>240</v>
      </c>
      <c r="T3250" s="5" t="s">
        <v>243</v>
      </c>
      <c r="U3250" s="5" t="s">
        <v>244</v>
      </c>
      <c r="V3250" s="5" t="s">
        <v>240</v>
      </c>
      <c r="W3250" s="5" t="s">
        <v>240</v>
      </c>
      <c r="X3250" s="5" t="s">
        <v>240</v>
      </c>
      <c r="Y3250" s="5" t="s">
        <v>240</v>
      </c>
      <c r="Z3250" s="6" t="s">
        <v>298</v>
      </c>
      <c r="AA3250" s="6" t="s">
        <v>240</v>
      </c>
      <c r="AB3250" s="6" t="s">
        <v>240</v>
      </c>
      <c r="AC3250" s="5" t="s">
        <v>240</v>
      </c>
      <c r="AD3250" s="6" t="s">
        <v>240</v>
      </c>
      <c r="AE3250" s="6" t="s">
        <v>299</v>
      </c>
      <c r="AF3250" s="5" t="s">
        <v>248</v>
      </c>
      <c r="AG3250" s="5" t="s">
        <v>249</v>
      </c>
      <c r="AH3250" s="5" t="s">
        <v>240</v>
      </c>
      <c r="AI3250" s="5" t="s">
        <v>240</v>
      </c>
      <c r="AJ3250" s="5" t="s">
        <v>240</v>
      </c>
      <c r="AK3250" s="5" t="s">
        <v>240</v>
      </c>
      <c r="AL3250" s="5" t="s">
        <v>240</v>
      </c>
      <c r="AM3250" s="5" t="s">
        <v>240</v>
      </c>
      <c r="AN3250" s="5" t="s">
        <v>240</v>
      </c>
      <c r="AO3250" s="5" t="s">
        <v>240</v>
      </c>
      <c r="AP3250" s="6" t="s">
        <v>240</v>
      </c>
      <c r="AQ3250" s="6" t="s">
        <v>240</v>
      </c>
      <c r="AR3250" s="6" t="s">
        <v>240</v>
      </c>
      <c r="AS3250" s="6" t="s">
        <v>240</v>
      </c>
      <c r="AT3250" s="5" t="s">
        <v>240</v>
      </c>
      <c r="AU3250" s="5" t="s">
        <v>729</v>
      </c>
      <c r="AV3250" s="5" t="s">
        <v>729</v>
      </c>
      <c r="AW3250" s="5" t="s">
        <v>251</v>
      </c>
      <c r="AX3250" s="5" t="s">
        <v>252</v>
      </c>
      <c r="AY3250" s="5" t="s">
        <v>253</v>
      </c>
      <c r="AZ3250" s="5" t="s">
        <v>240</v>
      </c>
      <c r="BA3250" s="5" t="s">
        <v>255</v>
      </c>
      <c r="BB3250" s="5" t="s">
        <v>731</v>
      </c>
      <c r="BD3250" s="5" t="s">
        <v>240</v>
      </c>
      <c r="BF3250" s="5" t="s">
        <v>732</v>
      </c>
      <c r="BG3250" s="6" t="s">
        <v>733</v>
      </c>
      <c r="BH3250" s="5" t="s">
        <v>734</v>
      </c>
      <c r="BI3250" s="5" t="s">
        <v>734</v>
      </c>
      <c r="BJ3250" s="5" t="s">
        <v>240</v>
      </c>
      <c r="BK3250" s="7">
        <f>1</f>
        <v>1</v>
      </c>
      <c r="BL3250" s="7">
        <f>1</f>
        <v>1</v>
      </c>
      <c r="BM3250" s="5" t="s">
        <v>258</v>
      </c>
      <c r="BN3250" s="5" t="s">
        <v>259</v>
      </c>
      <c r="BO3250" s="5" t="s">
        <v>240</v>
      </c>
      <c r="BP3250" s="5" t="s">
        <v>240</v>
      </c>
      <c r="BQ3250" s="5" t="s">
        <v>240</v>
      </c>
      <c r="BR3250" s="5" t="s">
        <v>240</v>
      </c>
      <c r="BS3250" s="5" t="s">
        <v>240</v>
      </c>
      <c r="BT3250" s="5" t="s">
        <v>240</v>
      </c>
      <c r="BU3250" s="5" t="s">
        <v>240</v>
      </c>
      <c r="BV3250" s="5" t="s">
        <v>240</v>
      </c>
      <c r="BW3250" s="6" t="s">
        <v>240</v>
      </c>
      <c r="BX3250" s="5" t="s">
        <v>240</v>
      </c>
      <c r="BY3250" s="5" t="s">
        <v>240</v>
      </c>
      <c r="BZ3250" s="5" t="s">
        <v>240</v>
      </c>
      <c r="CA3250" s="5" t="s">
        <v>259</v>
      </c>
      <c r="CB3250" s="5" t="s">
        <v>240</v>
      </c>
      <c r="CC3250" s="5" t="s">
        <v>240</v>
      </c>
      <c r="CD3250" s="5" t="s">
        <v>240</v>
      </c>
      <c r="CE3250" s="5" t="s">
        <v>240</v>
      </c>
      <c r="CF3250" s="5" t="s">
        <v>240</v>
      </c>
      <c r="CG3250" s="5" t="s">
        <v>304</v>
      </c>
      <c r="CH3250" s="5" t="s">
        <v>305</v>
      </c>
      <c r="CI3250" s="5" t="s">
        <v>240</v>
      </c>
      <c r="CK3250" s="5" t="s">
        <v>3681</v>
      </c>
      <c r="CL3250" s="6" t="s">
        <v>261</v>
      </c>
      <c r="CM3250" s="5" t="s">
        <v>262</v>
      </c>
      <c r="CN3250" s="5" t="s">
        <v>263</v>
      </c>
      <c r="CO3250" s="5" t="s">
        <v>264</v>
      </c>
      <c r="CP3250" s="5" t="s">
        <v>240</v>
      </c>
      <c r="CQ3250" s="5">
        <v>0</v>
      </c>
      <c r="CR3250" s="5" t="s">
        <v>735</v>
      </c>
      <c r="CS3250" s="5" t="s">
        <v>307</v>
      </c>
      <c r="CT3250" s="5" t="s">
        <v>307</v>
      </c>
      <c r="CU3250" s="5" t="s">
        <v>260</v>
      </c>
      <c r="CV3250" s="5" t="s">
        <v>612</v>
      </c>
      <c r="CW3250" s="8">
        <f>1</f>
        <v>1</v>
      </c>
      <c r="CX3250" s="7">
        <f>1</f>
        <v>1</v>
      </c>
      <c r="CY3250" s="7">
        <f>0</f>
        <v>0</v>
      </c>
      <c r="DA3250" s="7">
        <f>1</f>
        <v>1</v>
      </c>
      <c r="DB3250" s="7" t="s">
        <v>240</v>
      </c>
      <c r="DC3250" s="5" t="s">
        <v>240</v>
      </c>
      <c r="DD3250" s="5" t="s">
        <v>240</v>
      </c>
      <c r="DE3250" s="5" t="s">
        <v>240</v>
      </c>
      <c r="DF3250" s="5" t="s">
        <v>240</v>
      </c>
      <c r="DG3250" s="7">
        <f>0</f>
        <v>0</v>
      </c>
      <c r="DI3250" s="5" t="s">
        <v>240</v>
      </c>
      <c r="DJ3250" s="5" t="s">
        <v>240</v>
      </c>
      <c r="DK3250" s="5" t="s">
        <v>240</v>
      </c>
      <c r="DL3250" s="5" t="s">
        <v>240</v>
      </c>
      <c r="DM3250" s="5" t="s">
        <v>240</v>
      </c>
      <c r="DN3250" s="5" t="s">
        <v>240</v>
      </c>
      <c r="DO3250" s="7" t="s">
        <v>240</v>
      </c>
      <c r="DP3250" s="5" t="s">
        <v>240</v>
      </c>
      <c r="DQ3250" s="5" t="s">
        <v>240</v>
      </c>
      <c r="DR3250" s="5" t="s">
        <v>731</v>
      </c>
      <c r="DS3250" s="5" t="s">
        <v>731</v>
      </c>
      <c r="DT3250" s="5" t="s">
        <v>240</v>
      </c>
      <c r="DU3250" s="5" t="s">
        <v>240</v>
      </c>
      <c r="DV3250" s="5" t="s">
        <v>3683</v>
      </c>
      <c r="DW3250" s="5" t="s">
        <v>641</v>
      </c>
      <c r="DX3250" s="5" t="s">
        <v>240</v>
      </c>
      <c r="DY3250" s="5" t="s">
        <v>240</v>
      </c>
      <c r="DZ3250" s="5" t="s">
        <v>240</v>
      </c>
      <c r="EA3250" s="5" t="s">
        <v>240</v>
      </c>
      <c r="EB3250" s="5" t="s">
        <v>240</v>
      </c>
      <c r="EC3250" s="5" t="s">
        <v>240</v>
      </c>
      <c r="ED3250" s="5" t="s">
        <v>240</v>
      </c>
      <c r="EE3250" s="5" t="s">
        <v>240</v>
      </c>
      <c r="EF3250" s="5" t="s">
        <v>240</v>
      </c>
      <c r="EG3250" s="5" t="s">
        <v>240</v>
      </c>
      <c r="EH3250" s="5" t="s">
        <v>240</v>
      </c>
      <c r="EI3250" s="5" t="s">
        <v>240</v>
      </c>
      <c r="EJ3250" s="5" t="s">
        <v>240</v>
      </c>
      <c r="EK3250" s="5" t="s">
        <v>240</v>
      </c>
      <c r="EL3250" s="5" t="s">
        <v>240</v>
      </c>
      <c r="EM3250" s="5" t="s">
        <v>240</v>
      </c>
      <c r="EN3250" s="5" t="s">
        <v>240</v>
      </c>
      <c r="EO3250" s="5" t="s">
        <v>240</v>
      </c>
      <c r="EP3250" s="5" t="s">
        <v>240</v>
      </c>
      <c r="EQ3250" s="5" t="s">
        <v>240</v>
      </c>
      <c r="ER3250" s="5" t="s">
        <v>240</v>
      </c>
      <c r="ES3250" s="5" t="s">
        <v>240</v>
      </c>
      <c r="ET3250" s="5" t="s">
        <v>240</v>
      </c>
      <c r="EU3250" s="5" t="s">
        <v>240</v>
      </c>
      <c r="EV3250" s="5" t="s">
        <v>240</v>
      </c>
      <c r="EW3250" s="5" t="s">
        <v>240</v>
      </c>
      <c r="EX3250" s="5" t="s">
        <v>240</v>
      </c>
      <c r="EY3250" s="5" t="s">
        <v>240</v>
      </c>
      <c r="EZ3250" s="5" t="s">
        <v>240</v>
      </c>
      <c r="FA3250" s="5" t="s">
        <v>240</v>
      </c>
      <c r="FB3250" s="5" t="s">
        <v>240</v>
      </c>
      <c r="FC3250" s="5" t="s">
        <v>240</v>
      </c>
      <c r="FD3250" s="5" t="s">
        <v>240</v>
      </c>
      <c r="FE3250" s="5" t="s">
        <v>240</v>
      </c>
      <c r="FF3250" s="5" t="s">
        <v>240</v>
      </c>
      <c r="FG3250" s="5" t="s">
        <v>240</v>
      </c>
      <c r="FH3250" s="5" t="s">
        <v>240</v>
      </c>
      <c r="FI3250" s="5" t="s">
        <v>240</v>
      </c>
      <c r="FJ3250" s="5" t="s">
        <v>240</v>
      </c>
      <c r="FK3250" s="5" t="s">
        <v>240</v>
      </c>
      <c r="FL3250" s="5" t="s">
        <v>240</v>
      </c>
      <c r="FM3250" s="5" t="s">
        <v>240</v>
      </c>
      <c r="FN3250" s="5" t="s">
        <v>240</v>
      </c>
      <c r="FO3250" s="5" t="s">
        <v>240</v>
      </c>
      <c r="FP3250" s="5" t="s">
        <v>240</v>
      </c>
      <c r="FQ3250" s="5" t="s">
        <v>240</v>
      </c>
      <c r="FR3250" s="5" t="s">
        <v>240</v>
      </c>
      <c r="FS3250" s="5" t="s">
        <v>240</v>
      </c>
      <c r="FT3250" s="5" t="s">
        <v>240</v>
      </c>
      <c r="FU3250" s="5" t="s">
        <v>240</v>
      </c>
      <c r="FV3250" s="5" t="s">
        <v>240</v>
      </c>
      <c r="FW3250" s="5" t="s">
        <v>240</v>
      </c>
      <c r="FX3250" s="5" t="s">
        <v>240</v>
      </c>
      <c r="FY3250" s="5" t="s">
        <v>240</v>
      </c>
      <c r="FZ3250" s="5" t="s">
        <v>240</v>
      </c>
      <c r="GA3250" s="5" t="s">
        <v>240</v>
      </c>
      <c r="GB3250" s="5" t="s">
        <v>240</v>
      </c>
      <c r="GC3250" s="5" t="s">
        <v>240</v>
      </c>
      <c r="GD3250" s="5" t="s">
        <v>240</v>
      </c>
      <c r="GE3250" s="5" t="s">
        <v>240</v>
      </c>
      <c r="GF3250" s="5" t="s">
        <v>240</v>
      </c>
      <c r="GG3250" s="5" t="s">
        <v>240</v>
      </c>
      <c r="GH3250" s="5" t="s">
        <v>240</v>
      </c>
      <c r="GI3250" s="5" t="s">
        <v>240</v>
      </c>
      <c r="GJ3250" s="5" t="s">
        <v>240</v>
      </c>
      <c r="GK3250" s="5" t="s">
        <v>240</v>
      </c>
      <c r="GL3250" s="5" t="s">
        <v>240</v>
      </c>
      <c r="GM3250" s="5" t="s">
        <v>240</v>
      </c>
      <c r="GN3250" s="5" t="s">
        <v>240</v>
      </c>
      <c r="GO3250" s="5" t="s">
        <v>240</v>
      </c>
      <c r="GP3250" s="5" t="s">
        <v>240</v>
      </c>
      <c r="GQ3250" s="5" t="s">
        <v>240</v>
      </c>
      <c r="GR3250" s="5" t="s">
        <v>240</v>
      </c>
      <c r="GS3250" s="5" t="s">
        <v>240</v>
      </c>
      <c r="GT3250" s="5" t="s">
        <v>240</v>
      </c>
      <c r="GU3250" s="5" t="s">
        <v>240</v>
      </c>
      <c r="GV3250" s="5" t="s">
        <v>240</v>
      </c>
      <c r="GW3250" s="5" t="s">
        <v>240</v>
      </c>
      <c r="GX3250" s="5" t="s">
        <v>240</v>
      </c>
      <c r="GY3250" s="5" t="s">
        <v>240</v>
      </c>
      <c r="GZ3250" s="5" t="s">
        <v>240</v>
      </c>
      <c r="HA3250" s="5" t="s">
        <v>240</v>
      </c>
      <c r="HB3250" s="5" t="s">
        <v>240</v>
      </c>
      <c r="HC3250" s="5" t="s">
        <v>240</v>
      </c>
      <c r="HD3250" s="5" t="s">
        <v>240</v>
      </c>
      <c r="HE3250" s="5" t="s">
        <v>240</v>
      </c>
      <c r="HF3250" s="5" t="s">
        <v>240</v>
      </c>
      <c r="HG3250" s="5" t="s">
        <v>240</v>
      </c>
      <c r="HH3250" s="5" t="s">
        <v>240</v>
      </c>
      <c r="HI3250" s="5" t="s">
        <v>240</v>
      </c>
      <c r="HJ3250" s="5" t="s">
        <v>240</v>
      </c>
      <c r="HK3250" s="5" t="s">
        <v>240</v>
      </c>
      <c r="HL3250" s="5" t="s">
        <v>240</v>
      </c>
      <c r="HM3250" s="5" t="s">
        <v>240</v>
      </c>
      <c r="HN3250" s="5" t="s">
        <v>240</v>
      </c>
      <c r="HO3250" s="5" t="s">
        <v>312</v>
      </c>
      <c r="HP3250" s="5" t="s">
        <v>240</v>
      </c>
      <c r="HQ3250" s="5" t="s">
        <v>240</v>
      </c>
      <c r="HR3250" s="5" t="s">
        <v>240</v>
      </c>
      <c r="HS3250" s="5" t="s">
        <v>240</v>
      </c>
      <c r="HT3250" s="5" t="s">
        <v>240</v>
      </c>
      <c r="HU3250" s="5" t="s">
        <v>240</v>
      </c>
      <c r="HV3250" s="5" t="s">
        <v>240</v>
      </c>
      <c r="HW3250" s="5" t="s">
        <v>240</v>
      </c>
      <c r="HX3250" s="5" t="s">
        <v>240</v>
      </c>
      <c r="HY3250" s="5" t="s">
        <v>240</v>
      </c>
      <c r="HZ3250" s="5" t="s">
        <v>240</v>
      </c>
      <c r="IA3250" s="5" t="s">
        <v>240</v>
      </c>
      <c r="IB3250" s="5" t="s">
        <v>240</v>
      </c>
      <c r="IC3250" s="5" t="s">
        <v>240</v>
      </c>
      <c r="ID3250" s="5" t="s">
        <v>240</v>
      </c>
      <c r="IE3250" s="5" t="s">
        <v>240</v>
      </c>
      <c r="IF3250" s="5" t="s">
        <v>240</v>
      </c>
    </row>
    <row r="3251" spans="1:240" x14ac:dyDescent="0.4">
      <c r="A3251" s="5">
        <v>8740</v>
      </c>
      <c r="B3251" s="5">
        <v>1</v>
      </c>
      <c r="C3251" s="5">
        <v>2</v>
      </c>
      <c r="D3251" s="5" t="s">
        <v>297</v>
      </c>
      <c r="E3251" s="5" t="s">
        <v>245</v>
      </c>
      <c r="F3251" s="5" t="s">
        <v>254</v>
      </c>
      <c r="G3251" s="5" t="s">
        <v>6774</v>
      </c>
      <c r="H3251" s="6" t="s">
        <v>7259</v>
      </c>
      <c r="I3251" s="5" t="s">
        <v>7258</v>
      </c>
      <c r="J3251" s="7">
        <f>1</f>
        <v>1</v>
      </c>
      <c r="K3251" s="5" t="s">
        <v>6749</v>
      </c>
      <c r="L3251" s="7">
        <f>133600</f>
        <v>133600</v>
      </c>
      <c r="M3251" s="7">
        <f>133600</f>
        <v>133600</v>
      </c>
      <c r="N3251" s="5" t="s">
        <v>242</v>
      </c>
      <c r="O3251" s="5">
        <v>1</v>
      </c>
      <c r="P3251" s="5" t="s">
        <v>294</v>
      </c>
      <c r="Q3251" s="5" t="s">
        <v>3678</v>
      </c>
      <c r="R3251" s="5" t="s">
        <v>240</v>
      </c>
      <c r="S3251" s="5" t="s">
        <v>240</v>
      </c>
      <c r="T3251" s="5" t="s">
        <v>243</v>
      </c>
      <c r="U3251" s="5" t="s">
        <v>244</v>
      </c>
      <c r="V3251" s="5" t="s">
        <v>240</v>
      </c>
      <c r="W3251" s="5" t="s">
        <v>240</v>
      </c>
      <c r="X3251" s="5" t="s">
        <v>240</v>
      </c>
      <c r="Y3251" s="5" t="s">
        <v>240</v>
      </c>
      <c r="Z3251" s="6" t="s">
        <v>298</v>
      </c>
      <c r="AA3251" s="6" t="s">
        <v>240</v>
      </c>
      <c r="AB3251" s="6" t="s">
        <v>240</v>
      </c>
      <c r="AC3251" s="5" t="s">
        <v>240</v>
      </c>
      <c r="AD3251" s="6" t="s">
        <v>240</v>
      </c>
      <c r="AE3251" s="6" t="s">
        <v>299</v>
      </c>
      <c r="AF3251" s="5" t="s">
        <v>248</v>
      </c>
      <c r="AG3251" s="5" t="s">
        <v>249</v>
      </c>
      <c r="AH3251" s="5" t="s">
        <v>240</v>
      </c>
      <c r="AI3251" s="5" t="s">
        <v>240</v>
      </c>
      <c r="AJ3251" s="5" t="s">
        <v>240</v>
      </c>
      <c r="AK3251" s="5" t="s">
        <v>240</v>
      </c>
      <c r="AL3251" s="5" t="s">
        <v>240</v>
      </c>
      <c r="AM3251" s="5" t="s">
        <v>240</v>
      </c>
      <c r="AN3251" s="5" t="s">
        <v>240</v>
      </c>
      <c r="AO3251" s="5" t="s">
        <v>240</v>
      </c>
      <c r="AP3251" s="6" t="s">
        <v>240</v>
      </c>
      <c r="AQ3251" s="6" t="s">
        <v>240</v>
      </c>
      <c r="AR3251" s="6" t="s">
        <v>240</v>
      </c>
      <c r="AS3251" s="6" t="s">
        <v>240</v>
      </c>
      <c r="AT3251" s="5" t="s">
        <v>240</v>
      </c>
      <c r="AU3251" s="5" t="s">
        <v>729</v>
      </c>
      <c r="AV3251" s="5" t="s">
        <v>729</v>
      </c>
      <c r="AW3251" s="5" t="s">
        <v>251</v>
      </c>
      <c r="AX3251" s="5" t="s">
        <v>252</v>
      </c>
      <c r="AY3251" s="5" t="s">
        <v>253</v>
      </c>
      <c r="AZ3251" s="5" t="s">
        <v>240</v>
      </c>
      <c r="BA3251" s="5" t="s">
        <v>255</v>
      </c>
      <c r="BB3251" s="5" t="s">
        <v>731</v>
      </c>
      <c r="BD3251" s="5" t="s">
        <v>240</v>
      </c>
      <c r="BF3251" s="5" t="s">
        <v>732</v>
      </c>
      <c r="BG3251" s="6" t="s">
        <v>733</v>
      </c>
      <c r="BH3251" s="5" t="s">
        <v>734</v>
      </c>
      <c r="BI3251" s="5" t="s">
        <v>734</v>
      </c>
      <c r="BJ3251" s="5" t="s">
        <v>240</v>
      </c>
      <c r="BK3251" s="7">
        <f>1</f>
        <v>1</v>
      </c>
      <c r="BL3251" s="7">
        <f>1</f>
        <v>1</v>
      </c>
      <c r="BM3251" s="5" t="s">
        <v>258</v>
      </c>
      <c r="BN3251" s="5" t="s">
        <v>259</v>
      </c>
      <c r="BO3251" s="5" t="s">
        <v>240</v>
      </c>
      <c r="BP3251" s="5" t="s">
        <v>240</v>
      </c>
      <c r="BQ3251" s="5" t="s">
        <v>240</v>
      </c>
      <c r="BR3251" s="5" t="s">
        <v>240</v>
      </c>
      <c r="BS3251" s="5" t="s">
        <v>240</v>
      </c>
      <c r="BT3251" s="5" t="s">
        <v>240</v>
      </c>
      <c r="BU3251" s="5" t="s">
        <v>240</v>
      </c>
      <c r="BV3251" s="5" t="s">
        <v>240</v>
      </c>
      <c r="BW3251" s="6" t="s">
        <v>240</v>
      </c>
      <c r="BX3251" s="5" t="s">
        <v>240</v>
      </c>
      <c r="BY3251" s="5" t="s">
        <v>240</v>
      </c>
      <c r="BZ3251" s="5" t="s">
        <v>240</v>
      </c>
      <c r="CA3251" s="5" t="s">
        <v>259</v>
      </c>
      <c r="CB3251" s="5" t="s">
        <v>240</v>
      </c>
      <c r="CC3251" s="5" t="s">
        <v>240</v>
      </c>
      <c r="CD3251" s="5" t="s">
        <v>240</v>
      </c>
      <c r="CE3251" s="5" t="s">
        <v>240</v>
      </c>
      <c r="CF3251" s="5" t="s">
        <v>240</v>
      </c>
      <c r="CG3251" s="5" t="s">
        <v>304</v>
      </c>
      <c r="CH3251" s="5" t="s">
        <v>305</v>
      </c>
      <c r="CI3251" s="5" t="s">
        <v>240</v>
      </c>
      <c r="CK3251" s="5" t="s">
        <v>3681</v>
      </c>
      <c r="CL3251" s="6" t="s">
        <v>261</v>
      </c>
      <c r="CM3251" s="5" t="s">
        <v>262</v>
      </c>
      <c r="CN3251" s="5" t="s">
        <v>263</v>
      </c>
      <c r="CO3251" s="5" t="s">
        <v>264</v>
      </c>
      <c r="CP3251" s="5" t="s">
        <v>240</v>
      </c>
      <c r="CQ3251" s="5">
        <v>0</v>
      </c>
      <c r="CR3251" s="5" t="s">
        <v>735</v>
      </c>
      <c r="CS3251" s="5" t="s">
        <v>307</v>
      </c>
      <c r="CT3251" s="5" t="s">
        <v>307</v>
      </c>
      <c r="CU3251" s="5" t="s">
        <v>260</v>
      </c>
      <c r="CV3251" s="5" t="s">
        <v>612</v>
      </c>
      <c r="CW3251" s="8">
        <f>1</f>
        <v>1</v>
      </c>
      <c r="CX3251" s="7">
        <f>1</f>
        <v>1</v>
      </c>
      <c r="CY3251" s="7">
        <f>0</f>
        <v>0</v>
      </c>
      <c r="DA3251" s="7">
        <f>1</f>
        <v>1</v>
      </c>
      <c r="DB3251" s="7" t="s">
        <v>240</v>
      </c>
      <c r="DC3251" s="5" t="s">
        <v>240</v>
      </c>
      <c r="DD3251" s="5" t="s">
        <v>240</v>
      </c>
      <c r="DE3251" s="5" t="s">
        <v>240</v>
      </c>
      <c r="DF3251" s="5" t="s">
        <v>240</v>
      </c>
      <c r="DG3251" s="7">
        <f>0</f>
        <v>0</v>
      </c>
      <c r="DI3251" s="5" t="s">
        <v>240</v>
      </c>
      <c r="DJ3251" s="5" t="s">
        <v>240</v>
      </c>
      <c r="DK3251" s="5" t="s">
        <v>240</v>
      </c>
      <c r="DL3251" s="5" t="s">
        <v>240</v>
      </c>
      <c r="DM3251" s="5" t="s">
        <v>240</v>
      </c>
      <c r="DN3251" s="5" t="s">
        <v>240</v>
      </c>
      <c r="DO3251" s="7" t="s">
        <v>240</v>
      </c>
      <c r="DP3251" s="5" t="s">
        <v>240</v>
      </c>
      <c r="DQ3251" s="5" t="s">
        <v>240</v>
      </c>
      <c r="DR3251" s="5" t="s">
        <v>731</v>
      </c>
      <c r="DS3251" s="5" t="s">
        <v>731</v>
      </c>
      <c r="DT3251" s="5" t="s">
        <v>240</v>
      </c>
      <c r="DU3251" s="5" t="s">
        <v>240</v>
      </c>
      <c r="DV3251" s="5" t="s">
        <v>3683</v>
      </c>
      <c r="DW3251" s="5" t="s">
        <v>562</v>
      </c>
      <c r="DX3251" s="5" t="s">
        <v>240</v>
      </c>
      <c r="DY3251" s="5" t="s">
        <v>240</v>
      </c>
      <c r="DZ3251" s="5" t="s">
        <v>240</v>
      </c>
      <c r="EA3251" s="5" t="s">
        <v>240</v>
      </c>
      <c r="EB3251" s="5" t="s">
        <v>240</v>
      </c>
      <c r="EC3251" s="5" t="s">
        <v>240</v>
      </c>
      <c r="ED3251" s="5" t="s">
        <v>240</v>
      </c>
      <c r="EE3251" s="5" t="s">
        <v>240</v>
      </c>
      <c r="EF3251" s="5" t="s">
        <v>240</v>
      </c>
      <c r="EG3251" s="5" t="s">
        <v>240</v>
      </c>
      <c r="EH3251" s="5" t="s">
        <v>240</v>
      </c>
      <c r="EI3251" s="5" t="s">
        <v>240</v>
      </c>
      <c r="EJ3251" s="5" t="s">
        <v>240</v>
      </c>
      <c r="EK3251" s="5" t="s">
        <v>240</v>
      </c>
      <c r="EL3251" s="5" t="s">
        <v>240</v>
      </c>
      <c r="EM3251" s="5" t="s">
        <v>240</v>
      </c>
      <c r="EN3251" s="5" t="s">
        <v>240</v>
      </c>
      <c r="EO3251" s="5" t="s">
        <v>240</v>
      </c>
      <c r="EP3251" s="5" t="s">
        <v>240</v>
      </c>
      <c r="EQ3251" s="5" t="s">
        <v>240</v>
      </c>
      <c r="ER3251" s="5" t="s">
        <v>240</v>
      </c>
      <c r="ES3251" s="5" t="s">
        <v>240</v>
      </c>
      <c r="ET3251" s="5" t="s">
        <v>240</v>
      </c>
      <c r="EU3251" s="5" t="s">
        <v>240</v>
      </c>
      <c r="EV3251" s="5" t="s">
        <v>240</v>
      </c>
      <c r="EW3251" s="5" t="s">
        <v>240</v>
      </c>
      <c r="EX3251" s="5" t="s">
        <v>240</v>
      </c>
      <c r="EY3251" s="5" t="s">
        <v>240</v>
      </c>
      <c r="EZ3251" s="5" t="s">
        <v>240</v>
      </c>
      <c r="FA3251" s="5" t="s">
        <v>240</v>
      </c>
      <c r="FB3251" s="5" t="s">
        <v>240</v>
      </c>
      <c r="FC3251" s="5" t="s">
        <v>240</v>
      </c>
      <c r="FD3251" s="5" t="s">
        <v>240</v>
      </c>
      <c r="FE3251" s="5" t="s">
        <v>240</v>
      </c>
      <c r="FF3251" s="5" t="s">
        <v>240</v>
      </c>
      <c r="FG3251" s="5" t="s">
        <v>240</v>
      </c>
      <c r="FH3251" s="5" t="s">
        <v>240</v>
      </c>
      <c r="FI3251" s="5" t="s">
        <v>240</v>
      </c>
      <c r="FJ3251" s="5" t="s">
        <v>240</v>
      </c>
      <c r="FK3251" s="5" t="s">
        <v>240</v>
      </c>
      <c r="FL3251" s="5" t="s">
        <v>240</v>
      </c>
      <c r="FM3251" s="5" t="s">
        <v>240</v>
      </c>
      <c r="FN3251" s="5" t="s">
        <v>240</v>
      </c>
      <c r="FO3251" s="5" t="s">
        <v>240</v>
      </c>
      <c r="FP3251" s="5" t="s">
        <v>240</v>
      </c>
      <c r="FQ3251" s="5" t="s">
        <v>240</v>
      </c>
      <c r="FR3251" s="5" t="s">
        <v>240</v>
      </c>
      <c r="FS3251" s="5" t="s">
        <v>240</v>
      </c>
      <c r="FT3251" s="5" t="s">
        <v>240</v>
      </c>
      <c r="FU3251" s="5" t="s">
        <v>240</v>
      </c>
      <c r="FV3251" s="5" t="s">
        <v>240</v>
      </c>
      <c r="FW3251" s="5" t="s">
        <v>240</v>
      </c>
      <c r="FX3251" s="5" t="s">
        <v>240</v>
      </c>
      <c r="FY3251" s="5" t="s">
        <v>240</v>
      </c>
      <c r="FZ3251" s="5" t="s">
        <v>240</v>
      </c>
      <c r="GA3251" s="5" t="s">
        <v>240</v>
      </c>
      <c r="GB3251" s="5" t="s">
        <v>240</v>
      </c>
      <c r="GC3251" s="5" t="s">
        <v>240</v>
      </c>
      <c r="GD3251" s="5" t="s">
        <v>240</v>
      </c>
      <c r="GE3251" s="5" t="s">
        <v>240</v>
      </c>
      <c r="GF3251" s="5" t="s">
        <v>240</v>
      </c>
      <c r="GG3251" s="5" t="s">
        <v>240</v>
      </c>
      <c r="GH3251" s="5" t="s">
        <v>240</v>
      </c>
      <c r="GI3251" s="5" t="s">
        <v>240</v>
      </c>
      <c r="GJ3251" s="5" t="s">
        <v>240</v>
      </c>
      <c r="GK3251" s="5" t="s">
        <v>240</v>
      </c>
      <c r="GL3251" s="5" t="s">
        <v>240</v>
      </c>
      <c r="GM3251" s="5" t="s">
        <v>240</v>
      </c>
      <c r="GN3251" s="5" t="s">
        <v>240</v>
      </c>
      <c r="GO3251" s="5" t="s">
        <v>240</v>
      </c>
      <c r="GP3251" s="5" t="s">
        <v>240</v>
      </c>
      <c r="GQ3251" s="5" t="s">
        <v>240</v>
      </c>
      <c r="GR3251" s="5" t="s">
        <v>240</v>
      </c>
      <c r="GS3251" s="5" t="s">
        <v>240</v>
      </c>
      <c r="GT3251" s="5" t="s">
        <v>240</v>
      </c>
      <c r="GU3251" s="5" t="s">
        <v>240</v>
      </c>
      <c r="GV3251" s="5" t="s">
        <v>240</v>
      </c>
      <c r="GW3251" s="5" t="s">
        <v>240</v>
      </c>
      <c r="GX3251" s="5" t="s">
        <v>240</v>
      </c>
      <c r="GY3251" s="5" t="s">
        <v>240</v>
      </c>
      <c r="GZ3251" s="5" t="s">
        <v>240</v>
      </c>
      <c r="HA3251" s="5" t="s">
        <v>240</v>
      </c>
      <c r="HB3251" s="5" t="s">
        <v>240</v>
      </c>
      <c r="HC3251" s="5" t="s">
        <v>240</v>
      </c>
      <c r="HD3251" s="5" t="s">
        <v>240</v>
      </c>
      <c r="HE3251" s="5" t="s">
        <v>240</v>
      </c>
      <c r="HF3251" s="5" t="s">
        <v>240</v>
      </c>
      <c r="HG3251" s="5" t="s">
        <v>240</v>
      </c>
      <c r="HH3251" s="5" t="s">
        <v>240</v>
      </c>
      <c r="HI3251" s="5" t="s">
        <v>240</v>
      </c>
      <c r="HJ3251" s="5" t="s">
        <v>240</v>
      </c>
      <c r="HK3251" s="5" t="s">
        <v>240</v>
      </c>
      <c r="HL3251" s="5" t="s">
        <v>240</v>
      </c>
      <c r="HM3251" s="5" t="s">
        <v>240</v>
      </c>
      <c r="HN3251" s="5" t="s">
        <v>240</v>
      </c>
      <c r="HO3251" s="5" t="s">
        <v>312</v>
      </c>
      <c r="HP3251" s="5" t="s">
        <v>240</v>
      </c>
      <c r="HQ3251" s="5" t="s">
        <v>240</v>
      </c>
      <c r="HR3251" s="5" t="s">
        <v>240</v>
      </c>
      <c r="HS3251" s="5" t="s">
        <v>240</v>
      </c>
      <c r="HT3251" s="5" t="s">
        <v>240</v>
      </c>
      <c r="HU3251" s="5" t="s">
        <v>240</v>
      </c>
      <c r="HV3251" s="5" t="s">
        <v>240</v>
      </c>
      <c r="HW3251" s="5" t="s">
        <v>240</v>
      </c>
      <c r="HX3251" s="5" t="s">
        <v>240</v>
      </c>
      <c r="HY3251" s="5" t="s">
        <v>240</v>
      </c>
      <c r="HZ3251" s="5" t="s">
        <v>240</v>
      </c>
      <c r="IA3251" s="5" t="s">
        <v>240</v>
      </c>
      <c r="IB3251" s="5" t="s">
        <v>240</v>
      </c>
      <c r="IC3251" s="5" t="s">
        <v>240</v>
      </c>
      <c r="ID3251" s="5" t="s">
        <v>240</v>
      </c>
      <c r="IE3251" s="5" t="s">
        <v>240</v>
      </c>
      <c r="IF3251" s="5" t="s">
        <v>240</v>
      </c>
    </row>
    <row r="3252" spans="1:240" x14ac:dyDescent="0.4">
      <c r="A3252" s="5">
        <v>8749</v>
      </c>
      <c r="B3252" s="5">
        <v>1</v>
      </c>
      <c r="C3252" s="5">
        <v>2</v>
      </c>
      <c r="D3252" s="5" t="s">
        <v>6751</v>
      </c>
      <c r="E3252" s="5" t="s">
        <v>245</v>
      </c>
      <c r="F3252" s="5" t="s">
        <v>254</v>
      </c>
      <c r="G3252" s="5" t="s">
        <v>6996</v>
      </c>
      <c r="H3252" s="6" t="s">
        <v>6997</v>
      </c>
      <c r="I3252" s="5" t="s">
        <v>6994</v>
      </c>
      <c r="J3252" s="7">
        <f>0</f>
        <v>0</v>
      </c>
      <c r="K3252" s="5" t="s">
        <v>266</v>
      </c>
      <c r="L3252" s="7">
        <f>199276</f>
        <v>199276</v>
      </c>
      <c r="M3252" s="7">
        <f>199276</f>
        <v>199276</v>
      </c>
      <c r="N3252" s="5" t="s">
        <v>242</v>
      </c>
      <c r="O3252" s="5">
        <v>1</v>
      </c>
      <c r="P3252" s="5" t="s">
        <v>294</v>
      </c>
      <c r="Q3252" s="5" t="s">
        <v>266</v>
      </c>
      <c r="R3252" s="5" t="s">
        <v>240</v>
      </c>
      <c r="S3252" s="5" t="s">
        <v>240</v>
      </c>
      <c r="T3252" s="5" t="s">
        <v>296</v>
      </c>
      <c r="U3252" s="5" t="s">
        <v>244</v>
      </c>
      <c r="V3252" s="5" t="s">
        <v>240</v>
      </c>
      <c r="Y3252" s="5" t="s">
        <v>240</v>
      </c>
      <c r="Z3252" s="6" t="s">
        <v>298</v>
      </c>
      <c r="AB3252" s="6" t="s">
        <v>240</v>
      </c>
      <c r="AE3252" s="6" t="s">
        <v>299</v>
      </c>
      <c r="AF3252" s="5" t="s">
        <v>248</v>
      </c>
      <c r="AG3252" s="5" t="s">
        <v>249</v>
      </c>
      <c r="AW3252" s="5" t="s">
        <v>251</v>
      </c>
      <c r="AX3252" s="5" t="s">
        <v>240</v>
      </c>
      <c r="AY3252" s="5" t="s">
        <v>253</v>
      </c>
      <c r="AZ3252" s="5" t="s">
        <v>240</v>
      </c>
      <c r="BA3252" s="5" t="s">
        <v>255</v>
      </c>
      <c r="BB3252" s="5" t="s">
        <v>240</v>
      </c>
      <c r="BD3252" s="5" t="s">
        <v>240</v>
      </c>
      <c r="BF3252" s="5" t="s">
        <v>301</v>
      </c>
      <c r="BG3252" s="6" t="s">
        <v>299</v>
      </c>
      <c r="BH3252" s="5" t="s">
        <v>302</v>
      </c>
      <c r="BI3252" s="5" t="s">
        <v>303</v>
      </c>
      <c r="BJ3252" s="5" t="s">
        <v>240</v>
      </c>
      <c r="BK3252" s="8">
        <f>0</f>
        <v>0</v>
      </c>
      <c r="BL3252" s="7">
        <f>0</f>
        <v>0</v>
      </c>
      <c r="BM3252" s="5" t="s">
        <v>258</v>
      </c>
      <c r="BN3252" s="5" t="s">
        <v>259</v>
      </c>
      <c r="CB3252" s="5" t="s">
        <v>240</v>
      </c>
      <c r="CC3252" s="5" t="s">
        <v>240</v>
      </c>
      <c r="CG3252" s="5" t="s">
        <v>304</v>
      </c>
      <c r="CH3252" s="5" t="s">
        <v>305</v>
      </c>
      <c r="CI3252" s="5" t="s">
        <v>240</v>
      </c>
      <c r="CL3252" s="6" t="s">
        <v>261</v>
      </c>
      <c r="CM3252" s="5" t="s">
        <v>240</v>
      </c>
      <c r="CN3252" s="5" t="s">
        <v>263</v>
      </c>
      <c r="CO3252" s="5" t="s">
        <v>240</v>
      </c>
      <c r="CP3252" s="5" t="s">
        <v>240</v>
      </c>
      <c r="CQ3252" s="5">
        <v>0</v>
      </c>
      <c r="CR3252" s="5" t="s">
        <v>306</v>
      </c>
      <c r="CS3252" s="5" t="s">
        <v>307</v>
      </c>
      <c r="CT3252" s="5" t="s">
        <v>307</v>
      </c>
      <c r="CU3252" s="5" t="s">
        <v>260</v>
      </c>
      <c r="CX3252" s="7">
        <f>1</f>
        <v>1</v>
      </c>
      <c r="CY3252" s="7">
        <f>0</f>
        <v>0</v>
      </c>
      <c r="DA3252" s="7">
        <f>0</f>
        <v>0</v>
      </c>
      <c r="DC3252" s="5" t="s">
        <v>309</v>
      </c>
      <c r="DD3252" s="5" t="s">
        <v>240</v>
      </c>
      <c r="DF3252" s="5" t="s">
        <v>309</v>
      </c>
      <c r="DG3252" s="7">
        <f>143</f>
        <v>143</v>
      </c>
      <c r="DI3252" s="5" t="s">
        <v>240</v>
      </c>
      <c r="DJ3252" s="5" t="s">
        <v>240</v>
      </c>
      <c r="DK3252" s="5" t="s">
        <v>240</v>
      </c>
      <c r="DL3252" s="5" t="s">
        <v>240</v>
      </c>
      <c r="DP3252" s="5" t="s">
        <v>240</v>
      </c>
      <c r="DQ3252" s="5" t="s">
        <v>240</v>
      </c>
      <c r="DR3252" s="5" t="s">
        <v>240</v>
      </c>
      <c r="DS3252" s="5" t="s">
        <v>240</v>
      </c>
      <c r="DV3252" s="5" t="s">
        <v>310</v>
      </c>
      <c r="DW3252" s="5" t="s">
        <v>3078</v>
      </c>
      <c r="HO3252" s="5" t="s">
        <v>312</v>
      </c>
    </row>
    <row r="3253" spans="1:240" x14ac:dyDescent="0.4">
      <c r="A3253" s="5">
        <v>8750</v>
      </c>
      <c r="B3253" s="5">
        <v>1</v>
      </c>
      <c r="C3253" s="5">
        <v>3</v>
      </c>
      <c r="D3253" s="5" t="s">
        <v>6751</v>
      </c>
      <c r="E3253" s="5" t="s">
        <v>245</v>
      </c>
      <c r="F3253" s="5" t="s">
        <v>254</v>
      </c>
      <c r="G3253" s="5" t="s">
        <v>7056</v>
      </c>
      <c r="H3253" s="6" t="s">
        <v>240</v>
      </c>
      <c r="I3253" s="5" t="s">
        <v>7054</v>
      </c>
      <c r="J3253" s="7">
        <f>0</f>
        <v>0</v>
      </c>
      <c r="K3253" s="5" t="s">
        <v>266</v>
      </c>
      <c r="L3253" s="7">
        <f>330000</f>
        <v>330000</v>
      </c>
      <c r="M3253" s="7">
        <f>330000</f>
        <v>330000</v>
      </c>
      <c r="N3253" s="5" t="s">
        <v>242</v>
      </c>
      <c r="O3253" s="5">
        <v>1</v>
      </c>
      <c r="P3253" s="5" t="s">
        <v>294</v>
      </c>
      <c r="Q3253" s="5" t="s">
        <v>3678</v>
      </c>
      <c r="R3253" s="5" t="s">
        <v>240</v>
      </c>
      <c r="S3253" s="5" t="s">
        <v>240</v>
      </c>
      <c r="T3253" s="5" t="s">
        <v>243</v>
      </c>
      <c r="U3253" s="5" t="s">
        <v>244</v>
      </c>
      <c r="V3253" s="5" t="s">
        <v>240</v>
      </c>
      <c r="W3253" s="5" t="s">
        <v>240</v>
      </c>
      <c r="X3253" s="5" t="s">
        <v>240</v>
      </c>
      <c r="Y3253" s="5" t="s">
        <v>240</v>
      </c>
      <c r="Z3253" s="6" t="s">
        <v>298</v>
      </c>
      <c r="AA3253" s="6" t="s">
        <v>240</v>
      </c>
      <c r="AB3253" s="6" t="s">
        <v>240</v>
      </c>
      <c r="AC3253" s="5" t="s">
        <v>240</v>
      </c>
      <c r="AD3253" s="6" t="s">
        <v>240</v>
      </c>
      <c r="AE3253" s="6" t="s">
        <v>299</v>
      </c>
      <c r="AF3253" s="5" t="s">
        <v>248</v>
      </c>
      <c r="AG3253" s="5" t="s">
        <v>249</v>
      </c>
      <c r="AH3253" s="5" t="s">
        <v>240</v>
      </c>
      <c r="AI3253" s="5" t="s">
        <v>240</v>
      </c>
      <c r="AJ3253" s="5" t="s">
        <v>240</v>
      </c>
      <c r="AK3253" s="5" t="s">
        <v>240</v>
      </c>
      <c r="AL3253" s="5" t="s">
        <v>240</v>
      </c>
      <c r="AM3253" s="5" t="s">
        <v>240</v>
      </c>
      <c r="AN3253" s="5" t="s">
        <v>240</v>
      </c>
      <c r="AO3253" s="5" t="s">
        <v>240</v>
      </c>
      <c r="AP3253" s="6" t="s">
        <v>240</v>
      </c>
      <c r="AQ3253" s="6" t="s">
        <v>240</v>
      </c>
      <c r="AR3253" s="6" t="s">
        <v>240</v>
      </c>
      <c r="AS3253" s="6" t="s">
        <v>240</v>
      </c>
      <c r="AT3253" s="5" t="s">
        <v>240</v>
      </c>
      <c r="AU3253" s="5" t="s">
        <v>729</v>
      </c>
      <c r="AV3253" s="5" t="s">
        <v>729</v>
      </c>
      <c r="AW3253" s="5" t="s">
        <v>251</v>
      </c>
      <c r="AX3253" s="5" t="s">
        <v>252</v>
      </c>
      <c r="AY3253" s="5" t="s">
        <v>253</v>
      </c>
      <c r="AZ3253" s="5" t="s">
        <v>240</v>
      </c>
      <c r="BA3253" s="5" t="s">
        <v>255</v>
      </c>
      <c r="BB3253" s="5" t="s">
        <v>731</v>
      </c>
      <c r="BD3253" s="5" t="s">
        <v>240</v>
      </c>
      <c r="BF3253" s="5" t="s">
        <v>732</v>
      </c>
      <c r="BG3253" s="6" t="s">
        <v>733</v>
      </c>
      <c r="BH3253" s="5" t="s">
        <v>734</v>
      </c>
      <c r="BI3253" s="5" t="s">
        <v>734</v>
      </c>
      <c r="BJ3253" s="5" t="s">
        <v>240</v>
      </c>
      <c r="BK3253" s="7">
        <f>1</f>
        <v>1</v>
      </c>
      <c r="BL3253" s="7">
        <f>1</f>
        <v>1</v>
      </c>
      <c r="BM3253" s="5" t="s">
        <v>258</v>
      </c>
      <c r="BN3253" s="5" t="s">
        <v>259</v>
      </c>
      <c r="BO3253" s="5" t="s">
        <v>240</v>
      </c>
      <c r="BP3253" s="5" t="s">
        <v>240</v>
      </c>
      <c r="BQ3253" s="5" t="s">
        <v>240</v>
      </c>
      <c r="BR3253" s="5" t="s">
        <v>240</v>
      </c>
      <c r="BS3253" s="5" t="s">
        <v>240</v>
      </c>
      <c r="BT3253" s="5" t="s">
        <v>240</v>
      </c>
      <c r="BU3253" s="5" t="s">
        <v>240</v>
      </c>
      <c r="BV3253" s="5" t="s">
        <v>240</v>
      </c>
      <c r="BW3253" s="6" t="s">
        <v>240</v>
      </c>
      <c r="BX3253" s="5" t="s">
        <v>240</v>
      </c>
      <c r="BY3253" s="5" t="s">
        <v>240</v>
      </c>
      <c r="BZ3253" s="5" t="s">
        <v>240</v>
      </c>
      <c r="CA3253" s="5" t="s">
        <v>259</v>
      </c>
      <c r="CB3253" s="5" t="s">
        <v>240</v>
      </c>
      <c r="CC3253" s="5" t="s">
        <v>240</v>
      </c>
      <c r="CD3253" s="5" t="s">
        <v>240</v>
      </c>
      <c r="CE3253" s="5" t="s">
        <v>240</v>
      </c>
      <c r="CF3253" s="5" t="s">
        <v>240</v>
      </c>
      <c r="CG3253" s="5" t="s">
        <v>304</v>
      </c>
      <c r="CH3253" s="5" t="s">
        <v>305</v>
      </c>
      <c r="CI3253" s="5" t="s">
        <v>240</v>
      </c>
      <c r="CK3253" s="5" t="s">
        <v>3681</v>
      </c>
      <c r="CL3253" s="6" t="s">
        <v>261</v>
      </c>
      <c r="CM3253" s="5" t="s">
        <v>262</v>
      </c>
      <c r="CN3253" s="5" t="s">
        <v>263</v>
      </c>
      <c r="CO3253" s="5" t="s">
        <v>264</v>
      </c>
      <c r="CP3253" s="5" t="s">
        <v>240</v>
      </c>
      <c r="CQ3253" s="5">
        <v>0</v>
      </c>
      <c r="CR3253" s="5" t="s">
        <v>735</v>
      </c>
      <c r="CS3253" s="5" t="s">
        <v>307</v>
      </c>
      <c r="CT3253" s="5" t="s">
        <v>307</v>
      </c>
      <c r="CU3253" s="5" t="s">
        <v>260</v>
      </c>
      <c r="CV3253" s="5" t="s">
        <v>612</v>
      </c>
      <c r="CW3253" s="8">
        <f>1</f>
        <v>1</v>
      </c>
      <c r="CX3253" s="7">
        <f>1</f>
        <v>1</v>
      </c>
      <c r="CY3253" s="7">
        <f>0</f>
        <v>0</v>
      </c>
      <c r="DA3253" s="7">
        <f>1</f>
        <v>1</v>
      </c>
      <c r="DB3253" s="7" t="s">
        <v>240</v>
      </c>
      <c r="DC3253" s="5" t="s">
        <v>240</v>
      </c>
      <c r="DD3253" s="5" t="s">
        <v>240</v>
      </c>
      <c r="DE3253" s="5" t="s">
        <v>240</v>
      </c>
      <c r="DF3253" s="5" t="s">
        <v>240</v>
      </c>
      <c r="DG3253" s="7">
        <f>0</f>
        <v>0</v>
      </c>
      <c r="DI3253" s="5" t="s">
        <v>240</v>
      </c>
      <c r="DJ3253" s="5" t="s">
        <v>240</v>
      </c>
      <c r="DK3253" s="5" t="s">
        <v>240</v>
      </c>
      <c r="DL3253" s="5" t="s">
        <v>240</v>
      </c>
      <c r="DM3253" s="5" t="s">
        <v>240</v>
      </c>
      <c r="DN3253" s="5" t="s">
        <v>240</v>
      </c>
      <c r="DO3253" s="7" t="s">
        <v>240</v>
      </c>
      <c r="DP3253" s="5" t="s">
        <v>240</v>
      </c>
      <c r="DQ3253" s="5" t="s">
        <v>240</v>
      </c>
      <c r="DR3253" s="5" t="s">
        <v>731</v>
      </c>
      <c r="DS3253" s="5" t="s">
        <v>731</v>
      </c>
      <c r="DT3253" s="5" t="s">
        <v>240</v>
      </c>
      <c r="DU3253" s="5" t="s">
        <v>240</v>
      </c>
      <c r="DV3253" s="5" t="s">
        <v>3683</v>
      </c>
      <c r="DW3253" s="5" t="s">
        <v>1078</v>
      </c>
      <c r="DX3253" s="5" t="s">
        <v>240</v>
      </c>
      <c r="DY3253" s="5" t="s">
        <v>240</v>
      </c>
      <c r="DZ3253" s="5" t="s">
        <v>240</v>
      </c>
      <c r="EA3253" s="5" t="s">
        <v>240</v>
      </c>
      <c r="EB3253" s="5" t="s">
        <v>240</v>
      </c>
      <c r="EC3253" s="5" t="s">
        <v>240</v>
      </c>
      <c r="ED3253" s="5" t="s">
        <v>240</v>
      </c>
      <c r="EE3253" s="5" t="s">
        <v>240</v>
      </c>
      <c r="EF3253" s="5" t="s">
        <v>240</v>
      </c>
      <c r="EG3253" s="5" t="s">
        <v>240</v>
      </c>
      <c r="EH3253" s="5" t="s">
        <v>240</v>
      </c>
      <c r="EI3253" s="5" t="s">
        <v>240</v>
      </c>
      <c r="EJ3253" s="5" t="s">
        <v>240</v>
      </c>
      <c r="EK3253" s="5" t="s">
        <v>240</v>
      </c>
      <c r="EL3253" s="5" t="s">
        <v>240</v>
      </c>
      <c r="EM3253" s="5" t="s">
        <v>240</v>
      </c>
      <c r="EN3253" s="5" t="s">
        <v>240</v>
      </c>
      <c r="EO3253" s="5" t="s">
        <v>240</v>
      </c>
      <c r="EP3253" s="5" t="s">
        <v>240</v>
      </c>
      <c r="EQ3253" s="5" t="s">
        <v>240</v>
      </c>
      <c r="ER3253" s="5" t="s">
        <v>240</v>
      </c>
      <c r="ES3253" s="5" t="s">
        <v>240</v>
      </c>
      <c r="ET3253" s="5" t="s">
        <v>240</v>
      </c>
      <c r="EU3253" s="5" t="s">
        <v>240</v>
      </c>
      <c r="EV3253" s="5" t="s">
        <v>240</v>
      </c>
      <c r="EW3253" s="5" t="s">
        <v>240</v>
      </c>
      <c r="EX3253" s="5" t="s">
        <v>240</v>
      </c>
      <c r="EY3253" s="5" t="s">
        <v>240</v>
      </c>
      <c r="EZ3253" s="5" t="s">
        <v>240</v>
      </c>
      <c r="FA3253" s="5" t="s">
        <v>240</v>
      </c>
      <c r="FB3253" s="5" t="s">
        <v>240</v>
      </c>
      <c r="FC3253" s="5" t="s">
        <v>240</v>
      </c>
      <c r="FD3253" s="5" t="s">
        <v>240</v>
      </c>
      <c r="FE3253" s="5" t="s">
        <v>240</v>
      </c>
      <c r="FF3253" s="5" t="s">
        <v>240</v>
      </c>
      <c r="FG3253" s="5" t="s">
        <v>240</v>
      </c>
      <c r="FH3253" s="5" t="s">
        <v>240</v>
      </c>
      <c r="FI3253" s="5" t="s">
        <v>240</v>
      </c>
      <c r="FJ3253" s="5" t="s">
        <v>240</v>
      </c>
      <c r="FK3253" s="5" t="s">
        <v>240</v>
      </c>
      <c r="FL3253" s="5" t="s">
        <v>240</v>
      </c>
      <c r="FM3253" s="5" t="s">
        <v>240</v>
      </c>
      <c r="FN3253" s="5" t="s">
        <v>240</v>
      </c>
      <c r="FO3253" s="5" t="s">
        <v>240</v>
      </c>
      <c r="FP3253" s="5" t="s">
        <v>240</v>
      </c>
      <c r="FQ3253" s="5" t="s">
        <v>240</v>
      </c>
      <c r="FR3253" s="5" t="s">
        <v>240</v>
      </c>
      <c r="FS3253" s="5" t="s">
        <v>240</v>
      </c>
      <c r="FT3253" s="5" t="s">
        <v>240</v>
      </c>
      <c r="FU3253" s="5" t="s">
        <v>240</v>
      </c>
      <c r="FV3253" s="5" t="s">
        <v>240</v>
      </c>
      <c r="FW3253" s="5" t="s">
        <v>240</v>
      </c>
      <c r="FX3253" s="5" t="s">
        <v>240</v>
      </c>
      <c r="FY3253" s="5" t="s">
        <v>240</v>
      </c>
      <c r="FZ3253" s="5" t="s">
        <v>240</v>
      </c>
      <c r="GA3253" s="5" t="s">
        <v>240</v>
      </c>
      <c r="GB3253" s="5" t="s">
        <v>240</v>
      </c>
      <c r="GC3253" s="5" t="s">
        <v>240</v>
      </c>
      <c r="GD3253" s="5" t="s">
        <v>240</v>
      </c>
      <c r="GE3253" s="5" t="s">
        <v>240</v>
      </c>
      <c r="GF3253" s="5" t="s">
        <v>240</v>
      </c>
      <c r="GG3253" s="5" t="s">
        <v>240</v>
      </c>
      <c r="GH3253" s="5" t="s">
        <v>240</v>
      </c>
      <c r="GI3253" s="5" t="s">
        <v>240</v>
      </c>
      <c r="GJ3253" s="5" t="s">
        <v>240</v>
      </c>
      <c r="GK3253" s="5" t="s">
        <v>240</v>
      </c>
      <c r="GL3253" s="5" t="s">
        <v>240</v>
      </c>
      <c r="GM3253" s="5" t="s">
        <v>240</v>
      </c>
      <c r="GN3253" s="5" t="s">
        <v>240</v>
      </c>
      <c r="GO3253" s="5" t="s">
        <v>240</v>
      </c>
      <c r="GP3253" s="5" t="s">
        <v>240</v>
      </c>
      <c r="GQ3253" s="5" t="s">
        <v>240</v>
      </c>
      <c r="GR3253" s="5" t="s">
        <v>240</v>
      </c>
      <c r="GS3253" s="5" t="s">
        <v>240</v>
      </c>
      <c r="GT3253" s="5" t="s">
        <v>240</v>
      </c>
      <c r="GU3253" s="5" t="s">
        <v>240</v>
      </c>
      <c r="GV3253" s="5" t="s">
        <v>240</v>
      </c>
      <c r="GW3253" s="5" t="s">
        <v>240</v>
      </c>
      <c r="GX3253" s="5" t="s">
        <v>240</v>
      </c>
      <c r="GY3253" s="5" t="s">
        <v>240</v>
      </c>
      <c r="GZ3253" s="5" t="s">
        <v>240</v>
      </c>
      <c r="HA3253" s="5" t="s">
        <v>240</v>
      </c>
      <c r="HB3253" s="5" t="s">
        <v>240</v>
      </c>
      <c r="HC3253" s="5" t="s">
        <v>240</v>
      </c>
      <c r="HD3253" s="5" t="s">
        <v>240</v>
      </c>
      <c r="HE3253" s="5" t="s">
        <v>240</v>
      </c>
      <c r="HF3253" s="5" t="s">
        <v>240</v>
      </c>
      <c r="HG3253" s="5" t="s">
        <v>240</v>
      </c>
      <c r="HH3253" s="5" t="s">
        <v>240</v>
      </c>
      <c r="HI3253" s="5" t="s">
        <v>240</v>
      </c>
      <c r="HJ3253" s="5" t="s">
        <v>240</v>
      </c>
      <c r="HK3253" s="5" t="s">
        <v>240</v>
      </c>
      <c r="HL3253" s="5" t="s">
        <v>240</v>
      </c>
      <c r="HM3253" s="5" t="s">
        <v>240</v>
      </c>
      <c r="HN3253" s="5" t="s">
        <v>240</v>
      </c>
      <c r="HO3253" s="5" t="s">
        <v>312</v>
      </c>
      <c r="HP3253" s="5" t="s">
        <v>240</v>
      </c>
      <c r="HQ3253" s="5" t="s">
        <v>240</v>
      </c>
      <c r="HR3253" s="5" t="s">
        <v>240</v>
      </c>
      <c r="HS3253" s="5" t="s">
        <v>240</v>
      </c>
      <c r="HT3253" s="5" t="s">
        <v>240</v>
      </c>
      <c r="HU3253" s="5" t="s">
        <v>240</v>
      </c>
      <c r="HV3253" s="5" t="s">
        <v>240</v>
      </c>
      <c r="HW3253" s="5" t="s">
        <v>240</v>
      </c>
      <c r="HX3253" s="5" t="s">
        <v>240</v>
      </c>
      <c r="HY3253" s="5" t="s">
        <v>240</v>
      </c>
      <c r="HZ3253" s="5" t="s">
        <v>240</v>
      </c>
      <c r="IA3253" s="5" t="s">
        <v>240</v>
      </c>
      <c r="IB3253" s="5" t="s">
        <v>240</v>
      </c>
      <c r="IC3253" s="5" t="s">
        <v>240</v>
      </c>
      <c r="ID3253" s="5" t="s">
        <v>240</v>
      </c>
      <c r="IE3253" s="5" t="s">
        <v>240</v>
      </c>
      <c r="IF3253" s="5" t="s">
        <v>240</v>
      </c>
    </row>
    <row r="3254" spans="1:240" x14ac:dyDescent="0.4">
      <c r="A3254" s="5">
        <v>8751</v>
      </c>
      <c r="B3254" s="5">
        <v>1</v>
      </c>
      <c r="C3254" s="5">
        <v>2</v>
      </c>
      <c r="D3254" s="5" t="s">
        <v>6751</v>
      </c>
      <c r="E3254" s="5" t="s">
        <v>245</v>
      </c>
      <c r="F3254" s="5" t="s">
        <v>254</v>
      </c>
      <c r="G3254" s="5" t="s">
        <v>7279</v>
      </c>
      <c r="H3254" s="6" t="s">
        <v>7280</v>
      </c>
      <c r="I3254" s="5" t="s">
        <v>7277</v>
      </c>
      <c r="J3254" s="7">
        <f>0</f>
        <v>0</v>
      </c>
      <c r="K3254" s="5" t="s">
        <v>266</v>
      </c>
      <c r="L3254" s="7">
        <f>104500</f>
        <v>104500</v>
      </c>
      <c r="M3254" s="7">
        <f>104500</f>
        <v>104500</v>
      </c>
      <c r="N3254" s="5" t="s">
        <v>242</v>
      </c>
      <c r="O3254" s="5">
        <v>1</v>
      </c>
      <c r="P3254" s="5" t="s">
        <v>294</v>
      </c>
      <c r="Q3254" s="5" t="s">
        <v>266</v>
      </c>
      <c r="R3254" s="5" t="s">
        <v>240</v>
      </c>
      <c r="S3254" s="5" t="s">
        <v>240</v>
      </c>
      <c r="T3254" s="5" t="s">
        <v>296</v>
      </c>
      <c r="U3254" s="5" t="s">
        <v>244</v>
      </c>
      <c r="V3254" s="5" t="s">
        <v>240</v>
      </c>
      <c r="Y3254" s="5" t="s">
        <v>240</v>
      </c>
      <c r="Z3254" s="6" t="s">
        <v>298</v>
      </c>
      <c r="AB3254" s="6" t="s">
        <v>240</v>
      </c>
      <c r="AE3254" s="6" t="s">
        <v>299</v>
      </c>
      <c r="AF3254" s="5" t="s">
        <v>248</v>
      </c>
      <c r="AG3254" s="5" t="s">
        <v>249</v>
      </c>
      <c r="AW3254" s="5" t="s">
        <v>251</v>
      </c>
      <c r="AX3254" s="5" t="s">
        <v>240</v>
      </c>
      <c r="AY3254" s="5" t="s">
        <v>253</v>
      </c>
      <c r="AZ3254" s="5" t="s">
        <v>240</v>
      </c>
      <c r="BA3254" s="5" t="s">
        <v>255</v>
      </c>
      <c r="BB3254" s="5" t="s">
        <v>240</v>
      </c>
      <c r="BD3254" s="5" t="s">
        <v>240</v>
      </c>
      <c r="BF3254" s="5" t="s">
        <v>301</v>
      </c>
      <c r="BG3254" s="6" t="s">
        <v>299</v>
      </c>
      <c r="BH3254" s="5" t="s">
        <v>302</v>
      </c>
      <c r="BI3254" s="5" t="s">
        <v>303</v>
      </c>
      <c r="BJ3254" s="5" t="s">
        <v>240</v>
      </c>
      <c r="BK3254" s="8">
        <f>0</f>
        <v>0</v>
      </c>
      <c r="BL3254" s="7">
        <f>0</f>
        <v>0</v>
      </c>
      <c r="BM3254" s="5" t="s">
        <v>258</v>
      </c>
      <c r="BN3254" s="5" t="s">
        <v>259</v>
      </c>
      <c r="CB3254" s="5" t="s">
        <v>240</v>
      </c>
      <c r="CC3254" s="5" t="s">
        <v>240</v>
      </c>
      <c r="CG3254" s="5" t="s">
        <v>304</v>
      </c>
      <c r="CH3254" s="5" t="s">
        <v>305</v>
      </c>
      <c r="CI3254" s="5" t="s">
        <v>240</v>
      </c>
      <c r="CL3254" s="6" t="s">
        <v>261</v>
      </c>
      <c r="CM3254" s="5" t="s">
        <v>240</v>
      </c>
      <c r="CN3254" s="5" t="s">
        <v>263</v>
      </c>
      <c r="CO3254" s="5" t="s">
        <v>240</v>
      </c>
      <c r="CP3254" s="5" t="s">
        <v>240</v>
      </c>
      <c r="CQ3254" s="5">
        <v>0</v>
      </c>
      <c r="CR3254" s="5" t="s">
        <v>306</v>
      </c>
      <c r="CS3254" s="5" t="s">
        <v>307</v>
      </c>
      <c r="CT3254" s="5" t="s">
        <v>307</v>
      </c>
      <c r="CU3254" s="5" t="s">
        <v>260</v>
      </c>
      <c r="CX3254" s="7">
        <f>1</f>
        <v>1</v>
      </c>
      <c r="CY3254" s="7">
        <f>0</f>
        <v>0</v>
      </c>
      <c r="DA3254" s="7">
        <f>0</f>
        <v>0</v>
      </c>
      <c r="DC3254" s="5" t="s">
        <v>309</v>
      </c>
      <c r="DD3254" s="5" t="s">
        <v>240</v>
      </c>
      <c r="DF3254" s="5" t="s">
        <v>309</v>
      </c>
      <c r="DG3254" s="7">
        <f>8.3</f>
        <v>8.3000000000000007</v>
      </c>
      <c r="DI3254" s="5" t="s">
        <v>240</v>
      </c>
      <c r="DJ3254" s="5" t="s">
        <v>240</v>
      </c>
      <c r="DK3254" s="5" t="s">
        <v>240</v>
      </c>
      <c r="DL3254" s="5" t="s">
        <v>240</v>
      </c>
      <c r="DP3254" s="5" t="s">
        <v>240</v>
      </c>
      <c r="DQ3254" s="5" t="s">
        <v>240</v>
      </c>
      <c r="DR3254" s="5" t="s">
        <v>240</v>
      </c>
      <c r="DS3254" s="5" t="s">
        <v>240</v>
      </c>
      <c r="DV3254" s="5" t="s">
        <v>310</v>
      </c>
      <c r="DW3254" s="5" t="s">
        <v>4874</v>
      </c>
      <c r="HO3254" s="5" t="s">
        <v>312</v>
      </c>
    </row>
    <row r="3255" spans="1:240" x14ac:dyDescent="0.4">
      <c r="A3255" s="5">
        <v>8760</v>
      </c>
      <c r="B3255" s="5">
        <v>1</v>
      </c>
      <c r="C3255" s="5">
        <v>2</v>
      </c>
      <c r="D3255" s="5" t="s">
        <v>810</v>
      </c>
      <c r="E3255" s="5" t="s">
        <v>245</v>
      </c>
      <c r="F3255" s="5" t="s">
        <v>254</v>
      </c>
      <c r="G3255" s="5" t="s">
        <v>7048</v>
      </c>
      <c r="H3255" s="6" t="s">
        <v>7046</v>
      </c>
      <c r="I3255" s="5" t="s">
        <v>7046</v>
      </c>
      <c r="J3255" s="8">
        <f>46.29</f>
        <v>46.29</v>
      </c>
      <c r="K3255" s="5" t="s">
        <v>308</v>
      </c>
      <c r="L3255" s="7">
        <f>74306</f>
        <v>74306</v>
      </c>
      <c r="M3255" s="7">
        <f>74306</f>
        <v>74306</v>
      </c>
      <c r="N3255" s="5" t="s">
        <v>242</v>
      </c>
      <c r="O3255" s="5">
        <v>1</v>
      </c>
      <c r="P3255" s="5" t="s">
        <v>294</v>
      </c>
      <c r="Q3255" s="5" t="s">
        <v>3678</v>
      </c>
      <c r="R3255" s="5" t="s">
        <v>240</v>
      </c>
      <c r="S3255" s="5" t="s">
        <v>240</v>
      </c>
      <c r="T3255" s="5" t="s">
        <v>243</v>
      </c>
      <c r="U3255" s="5" t="s">
        <v>244</v>
      </c>
      <c r="V3255" s="5" t="s">
        <v>240</v>
      </c>
      <c r="W3255" s="5" t="s">
        <v>240</v>
      </c>
      <c r="X3255" s="5" t="s">
        <v>240</v>
      </c>
      <c r="Y3255" s="5" t="s">
        <v>240</v>
      </c>
      <c r="Z3255" s="6" t="s">
        <v>298</v>
      </c>
      <c r="AA3255" s="6" t="s">
        <v>240</v>
      </c>
      <c r="AB3255" s="6" t="s">
        <v>240</v>
      </c>
      <c r="AC3255" s="5" t="s">
        <v>240</v>
      </c>
      <c r="AD3255" s="6" t="s">
        <v>240</v>
      </c>
      <c r="AE3255" s="6" t="s">
        <v>299</v>
      </c>
      <c r="AF3255" s="5" t="s">
        <v>248</v>
      </c>
      <c r="AG3255" s="5" t="s">
        <v>249</v>
      </c>
      <c r="AH3255" s="5" t="s">
        <v>240</v>
      </c>
      <c r="AI3255" s="5" t="s">
        <v>240</v>
      </c>
      <c r="AJ3255" s="5" t="s">
        <v>240</v>
      </c>
      <c r="AK3255" s="5" t="s">
        <v>240</v>
      </c>
      <c r="AL3255" s="5" t="s">
        <v>240</v>
      </c>
      <c r="AM3255" s="5" t="s">
        <v>240</v>
      </c>
      <c r="AN3255" s="5" t="s">
        <v>240</v>
      </c>
      <c r="AO3255" s="5" t="s">
        <v>240</v>
      </c>
      <c r="AP3255" s="6" t="s">
        <v>240</v>
      </c>
      <c r="AQ3255" s="6" t="s">
        <v>240</v>
      </c>
      <c r="AR3255" s="6" t="s">
        <v>240</v>
      </c>
      <c r="AS3255" s="6" t="s">
        <v>240</v>
      </c>
      <c r="AT3255" s="5" t="s">
        <v>240</v>
      </c>
      <c r="AU3255" s="5" t="s">
        <v>729</v>
      </c>
      <c r="AV3255" s="5" t="s">
        <v>729</v>
      </c>
      <c r="AW3255" s="5" t="s">
        <v>251</v>
      </c>
      <c r="AX3255" s="5" t="s">
        <v>252</v>
      </c>
      <c r="AY3255" s="5" t="s">
        <v>253</v>
      </c>
      <c r="AZ3255" s="5" t="s">
        <v>240</v>
      </c>
      <c r="BA3255" s="5" t="s">
        <v>255</v>
      </c>
      <c r="BB3255" s="5" t="s">
        <v>731</v>
      </c>
      <c r="BD3255" s="5" t="s">
        <v>240</v>
      </c>
      <c r="BF3255" s="5" t="s">
        <v>732</v>
      </c>
      <c r="BG3255" s="6" t="s">
        <v>733</v>
      </c>
      <c r="BH3255" s="5" t="s">
        <v>734</v>
      </c>
      <c r="BI3255" s="5" t="s">
        <v>734</v>
      </c>
      <c r="BJ3255" s="5" t="s">
        <v>240</v>
      </c>
      <c r="BK3255" s="7">
        <f>1</f>
        <v>1</v>
      </c>
      <c r="BL3255" s="7">
        <f>1</f>
        <v>1</v>
      </c>
      <c r="BM3255" s="5" t="s">
        <v>258</v>
      </c>
      <c r="BN3255" s="5" t="s">
        <v>259</v>
      </c>
      <c r="BO3255" s="5" t="s">
        <v>240</v>
      </c>
      <c r="BP3255" s="5" t="s">
        <v>240</v>
      </c>
      <c r="BQ3255" s="5" t="s">
        <v>240</v>
      </c>
      <c r="BR3255" s="5" t="s">
        <v>240</v>
      </c>
      <c r="BS3255" s="5" t="s">
        <v>240</v>
      </c>
      <c r="BT3255" s="5" t="s">
        <v>240</v>
      </c>
      <c r="BU3255" s="5" t="s">
        <v>240</v>
      </c>
      <c r="BV3255" s="5" t="s">
        <v>240</v>
      </c>
      <c r="BW3255" s="6" t="s">
        <v>240</v>
      </c>
      <c r="BX3255" s="5" t="s">
        <v>240</v>
      </c>
      <c r="BY3255" s="5" t="s">
        <v>240</v>
      </c>
      <c r="BZ3255" s="5" t="s">
        <v>240</v>
      </c>
      <c r="CA3255" s="5" t="s">
        <v>259</v>
      </c>
      <c r="CB3255" s="5" t="s">
        <v>240</v>
      </c>
      <c r="CC3255" s="5" t="s">
        <v>240</v>
      </c>
      <c r="CD3255" s="5" t="s">
        <v>240</v>
      </c>
      <c r="CE3255" s="5" t="s">
        <v>240</v>
      </c>
      <c r="CF3255" s="5" t="s">
        <v>240</v>
      </c>
      <c r="CG3255" s="5" t="s">
        <v>304</v>
      </c>
      <c r="CH3255" s="5" t="s">
        <v>305</v>
      </c>
      <c r="CI3255" s="5" t="s">
        <v>240</v>
      </c>
      <c r="CK3255" s="5" t="s">
        <v>3681</v>
      </c>
      <c r="CL3255" s="6" t="s">
        <v>261</v>
      </c>
      <c r="CM3255" s="5" t="s">
        <v>262</v>
      </c>
      <c r="CN3255" s="5" t="s">
        <v>263</v>
      </c>
      <c r="CO3255" s="5" t="s">
        <v>264</v>
      </c>
      <c r="CP3255" s="5" t="s">
        <v>240</v>
      </c>
      <c r="CQ3255" s="5">
        <v>0</v>
      </c>
      <c r="CR3255" s="5" t="s">
        <v>735</v>
      </c>
      <c r="CS3255" s="5" t="s">
        <v>307</v>
      </c>
      <c r="CT3255" s="5" t="s">
        <v>307</v>
      </c>
      <c r="CU3255" s="5" t="s">
        <v>260</v>
      </c>
      <c r="CV3255" s="5" t="s">
        <v>612</v>
      </c>
      <c r="CW3255" s="8">
        <f>1</f>
        <v>1</v>
      </c>
      <c r="CX3255" s="7">
        <f>1</f>
        <v>1</v>
      </c>
      <c r="CY3255" s="7">
        <f>0</f>
        <v>0</v>
      </c>
      <c r="DA3255" s="7">
        <f>1</f>
        <v>1</v>
      </c>
      <c r="DB3255" s="7" t="s">
        <v>240</v>
      </c>
      <c r="DC3255" s="5" t="s">
        <v>240</v>
      </c>
      <c r="DD3255" s="5" t="s">
        <v>240</v>
      </c>
      <c r="DE3255" s="5" t="s">
        <v>240</v>
      </c>
      <c r="DF3255" s="5" t="s">
        <v>240</v>
      </c>
      <c r="DG3255" s="7">
        <f>0</f>
        <v>0</v>
      </c>
      <c r="DI3255" s="5" t="s">
        <v>240</v>
      </c>
      <c r="DJ3255" s="5" t="s">
        <v>240</v>
      </c>
      <c r="DK3255" s="5" t="s">
        <v>240</v>
      </c>
      <c r="DL3255" s="5" t="s">
        <v>240</v>
      </c>
      <c r="DM3255" s="5" t="s">
        <v>240</v>
      </c>
      <c r="DN3255" s="5" t="s">
        <v>240</v>
      </c>
      <c r="DO3255" s="7" t="s">
        <v>240</v>
      </c>
      <c r="DP3255" s="5" t="s">
        <v>240</v>
      </c>
      <c r="DQ3255" s="5" t="s">
        <v>240</v>
      </c>
      <c r="DR3255" s="5" t="s">
        <v>731</v>
      </c>
      <c r="DS3255" s="5" t="s">
        <v>731</v>
      </c>
      <c r="DT3255" s="5" t="s">
        <v>240</v>
      </c>
      <c r="DU3255" s="5" t="s">
        <v>240</v>
      </c>
      <c r="DV3255" s="5" t="s">
        <v>3683</v>
      </c>
      <c r="DW3255" s="5" t="s">
        <v>705</v>
      </c>
      <c r="DX3255" s="5" t="s">
        <v>240</v>
      </c>
      <c r="DY3255" s="5" t="s">
        <v>240</v>
      </c>
      <c r="DZ3255" s="5" t="s">
        <v>240</v>
      </c>
      <c r="EA3255" s="5" t="s">
        <v>240</v>
      </c>
      <c r="EB3255" s="5" t="s">
        <v>240</v>
      </c>
      <c r="EC3255" s="5" t="s">
        <v>240</v>
      </c>
      <c r="ED3255" s="5" t="s">
        <v>240</v>
      </c>
      <c r="EE3255" s="5" t="s">
        <v>240</v>
      </c>
      <c r="EF3255" s="5" t="s">
        <v>240</v>
      </c>
      <c r="EG3255" s="5" t="s">
        <v>240</v>
      </c>
      <c r="EH3255" s="5" t="s">
        <v>240</v>
      </c>
      <c r="EI3255" s="5" t="s">
        <v>240</v>
      </c>
      <c r="EJ3255" s="5" t="s">
        <v>240</v>
      </c>
      <c r="EK3255" s="5" t="s">
        <v>240</v>
      </c>
      <c r="EL3255" s="5" t="s">
        <v>240</v>
      </c>
      <c r="EM3255" s="5" t="s">
        <v>240</v>
      </c>
      <c r="EN3255" s="5" t="s">
        <v>240</v>
      </c>
      <c r="EO3255" s="5" t="s">
        <v>240</v>
      </c>
      <c r="EP3255" s="5" t="s">
        <v>240</v>
      </c>
      <c r="EQ3255" s="5" t="s">
        <v>240</v>
      </c>
      <c r="ER3255" s="5" t="s">
        <v>240</v>
      </c>
      <c r="ES3255" s="5" t="s">
        <v>240</v>
      </c>
      <c r="ET3255" s="5" t="s">
        <v>240</v>
      </c>
      <c r="EU3255" s="5" t="s">
        <v>240</v>
      </c>
      <c r="EV3255" s="5" t="s">
        <v>240</v>
      </c>
      <c r="EW3255" s="5" t="s">
        <v>240</v>
      </c>
      <c r="EX3255" s="5" t="s">
        <v>240</v>
      </c>
      <c r="EY3255" s="5" t="s">
        <v>240</v>
      </c>
      <c r="EZ3255" s="5" t="s">
        <v>240</v>
      </c>
      <c r="FA3255" s="5" t="s">
        <v>240</v>
      </c>
      <c r="FB3255" s="5" t="s">
        <v>240</v>
      </c>
      <c r="FC3255" s="5" t="s">
        <v>240</v>
      </c>
      <c r="FD3255" s="5" t="s">
        <v>240</v>
      </c>
      <c r="FE3255" s="5" t="s">
        <v>240</v>
      </c>
      <c r="FF3255" s="5" t="s">
        <v>240</v>
      </c>
      <c r="FG3255" s="5" t="s">
        <v>240</v>
      </c>
      <c r="FH3255" s="5" t="s">
        <v>240</v>
      </c>
      <c r="FI3255" s="5" t="s">
        <v>240</v>
      </c>
      <c r="FJ3255" s="5" t="s">
        <v>240</v>
      </c>
      <c r="FK3255" s="5" t="s">
        <v>240</v>
      </c>
      <c r="FL3255" s="5" t="s">
        <v>240</v>
      </c>
      <c r="FM3255" s="5" t="s">
        <v>240</v>
      </c>
      <c r="FN3255" s="5" t="s">
        <v>240</v>
      </c>
      <c r="FO3255" s="5" t="s">
        <v>240</v>
      </c>
      <c r="FP3255" s="5" t="s">
        <v>240</v>
      </c>
      <c r="FQ3255" s="5" t="s">
        <v>240</v>
      </c>
      <c r="FR3255" s="5" t="s">
        <v>240</v>
      </c>
      <c r="FS3255" s="5" t="s">
        <v>240</v>
      </c>
      <c r="FT3255" s="5" t="s">
        <v>240</v>
      </c>
      <c r="FU3255" s="5" t="s">
        <v>240</v>
      </c>
      <c r="FV3255" s="5" t="s">
        <v>240</v>
      </c>
      <c r="FW3255" s="5" t="s">
        <v>240</v>
      </c>
      <c r="FX3255" s="5" t="s">
        <v>240</v>
      </c>
      <c r="FY3255" s="5" t="s">
        <v>240</v>
      </c>
      <c r="FZ3255" s="5" t="s">
        <v>240</v>
      </c>
      <c r="GA3255" s="5" t="s">
        <v>240</v>
      </c>
      <c r="GB3255" s="5" t="s">
        <v>240</v>
      </c>
      <c r="GC3255" s="5" t="s">
        <v>240</v>
      </c>
      <c r="GD3255" s="5" t="s">
        <v>240</v>
      </c>
      <c r="GE3255" s="5" t="s">
        <v>240</v>
      </c>
      <c r="GF3255" s="5" t="s">
        <v>240</v>
      </c>
      <c r="GG3255" s="5" t="s">
        <v>240</v>
      </c>
      <c r="GH3255" s="5" t="s">
        <v>240</v>
      </c>
      <c r="GI3255" s="5" t="s">
        <v>240</v>
      </c>
      <c r="GJ3255" s="5" t="s">
        <v>240</v>
      </c>
      <c r="GK3255" s="5" t="s">
        <v>240</v>
      </c>
      <c r="GL3255" s="5" t="s">
        <v>240</v>
      </c>
      <c r="GM3255" s="5" t="s">
        <v>240</v>
      </c>
      <c r="GN3255" s="5" t="s">
        <v>240</v>
      </c>
      <c r="GO3255" s="5" t="s">
        <v>240</v>
      </c>
      <c r="GP3255" s="5" t="s">
        <v>240</v>
      </c>
      <c r="GQ3255" s="5" t="s">
        <v>240</v>
      </c>
      <c r="GR3255" s="5" t="s">
        <v>240</v>
      </c>
      <c r="GS3255" s="5" t="s">
        <v>240</v>
      </c>
      <c r="GT3255" s="5" t="s">
        <v>240</v>
      </c>
      <c r="GU3255" s="5" t="s">
        <v>240</v>
      </c>
      <c r="GV3255" s="5" t="s">
        <v>240</v>
      </c>
      <c r="GW3255" s="5" t="s">
        <v>240</v>
      </c>
      <c r="GX3255" s="5" t="s">
        <v>240</v>
      </c>
      <c r="GY3255" s="5" t="s">
        <v>240</v>
      </c>
      <c r="GZ3255" s="5" t="s">
        <v>240</v>
      </c>
      <c r="HA3255" s="5" t="s">
        <v>240</v>
      </c>
      <c r="HB3255" s="5" t="s">
        <v>240</v>
      </c>
      <c r="HC3255" s="5" t="s">
        <v>240</v>
      </c>
      <c r="HD3255" s="5" t="s">
        <v>240</v>
      </c>
      <c r="HE3255" s="5" t="s">
        <v>240</v>
      </c>
      <c r="HF3255" s="5" t="s">
        <v>240</v>
      </c>
      <c r="HG3255" s="5" t="s">
        <v>240</v>
      </c>
      <c r="HH3255" s="5" t="s">
        <v>240</v>
      </c>
      <c r="HI3255" s="5" t="s">
        <v>240</v>
      </c>
      <c r="HJ3255" s="5" t="s">
        <v>240</v>
      </c>
      <c r="HK3255" s="5" t="s">
        <v>240</v>
      </c>
      <c r="HL3255" s="5" t="s">
        <v>240</v>
      </c>
      <c r="HM3255" s="5" t="s">
        <v>240</v>
      </c>
      <c r="HN3255" s="5" t="s">
        <v>240</v>
      </c>
      <c r="HO3255" s="5" t="s">
        <v>312</v>
      </c>
      <c r="HP3255" s="5" t="s">
        <v>240</v>
      </c>
      <c r="HQ3255" s="5" t="s">
        <v>240</v>
      </c>
      <c r="HR3255" s="5" t="s">
        <v>240</v>
      </c>
      <c r="HS3255" s="5" t="s">
        <v>240</v>
      </c>
      <c r="HT3255" s="5" t="s">
        <v>240</v>
      </c>
      <c r="HU3255" s="5" t="s">
        <v>240</v>
      </c>
      <c r="HV3255" s="5" t="s">
        <v>240</v>
      </c>
      <c r="HW3255" s="5" t="s">
        <v>240</v>
      </c>
      <c r="HX3255" s="5" t="s">
        <v>240</v>
      </c>
      <c r="HY3255" s="5" t="s">
        <v>240</v>
      </c>
      <c r="HZ3255" s="5" t="s">
        <v>240</v>
      </c>
      <c r="IA3255" s="5" t="s">
        <v>240</v>
      </c>
      <c r="IB3255" s="5" t="s">
        <v>240</v>
      </c>
      <c r="IC3255" s="5" t="s">
        <v>240</v>
      </c>
      <c r="ID3255" s="5" t="s">
        <v>240</v>
      </c>
      <c r="IE3255" s="5" t="s">
        <v>240</v>
      </c>
      <c r="IF3255" s="5" t="s">
        <v>240</v>
      </c>
    </row>
    <row r="3256" spans="1:240" x14ac:dyDescent="0.4">
      <c r="A3256" s="5">
        <v>8761</v>
      </c>
      <c r="B3256" s="5">
        <v>1</v>
      </c>
      <c r="C3256" s="5">
        <v>1</v>
      </c>
      <c r="D3256" s="5" t="s">
        <v>297</v>
      </c>
      <c r="E3256" s="5" t="s">
        <v>245</v>
      </c>
      <c r="F3256" s="5" t="s">
        <v>254</v>
      </c>
      <c r="G3256" s="5" t="s">
        <v>726</v>
      </c>
      <c r="H3256" s="6" t="s">
        <v>6841</v>
      </c>
      <c r="I3256" s="5" t="s">
        <v>6841</v>
      </c>
      <c r="J3256" s="8">
        <f>1.43</f>
        <v>1.43</v>
      </c>
      <c r="K3256" s="5" t="s">
        <v>308</v>
      </c>
      <c r="L3256" s="7">
        <f>0</f>
        <v>0</v>
      </c>
      <c r="M3256" s="7">
        <f>0</f>
        <v>0</v>
      </c>
      <c r="N3256" s="5" t="s">
        <v>242</v>
      </c>
      <c r="O3256" s="5">
        <v>1</v>
      </c>
      <c r="P3256" s="5" t="s">
        <v>294</v>
      </c>
      <c r="Q3256" s="5" t="s">
        <v>266</v>
      </c>
      <c r="R3256" s="5" t="s">
        <v>240</v>
      </c>
      <c r="S3256" s="5" t="s">
        <v>240</v>
      </c>
      <c r="T3256" s="5" t="s">
        <v>296</v>
      </c>
      <c r="U3256" s="5" t="s">
        <v>244</v>
      </c>
      <c r="V3256" s="5" t="s">
        <v>240</v>
      </c>
      <c r="Y3256" s="5" t="s">
        <v>240</v>
      </c>
      <c r="Z3256" s="6" t="s">
        <v>298</v>
      </c>
      <c r="AB3256" s="6" t="s">
        <v>240</v>
      </c>
      <c r="AE3256" s="6" t="s">
        <v>299</v>
      </c>
      <c r="AF3256" s="5" t="s">
        <v>248</v>
      </c>
      <c r="AG3256" s="5" t="s">
        <v>249</v>
      </c>
      <c r="AW3256" s="5" t="s">
        <v>251</v>
      </c>
      <c r="AX3256" s="5" t="s">
        <v>240</v>
      </c>
      <c r="AY3256" s="5" t="s">
        <v>253</v>
      </c>
      <c r="AZ3256" s="5" t="s">
        <v>240</v>
      </c>
      <c r="BA3256" s="5" t="s">
        <v>255</v>
      </c>
      <c r="BB3256" s="5" t="s">
        <v>240</v>
      </c>
      <c r="BD3256" s="5" t="s">
        <v>240</v>
      </c>
      <c r="BF3256" s="5" t="s">
        <v>301</v>
      </c>
      <c r="BG3256" s="6" t="s">
        <v>299</v>
      </c>
      <c r="BH3256" s="5" t="s">
        <v>302</v>
      </c>
      <c r="BI3256" s="5" t="s">
        <v>303</v>
      </c>
      <c r="BJ3256" s="5" t="s">
        <v>240</v>
      </c>
      <c r="BK3256" s="8">
        <f>0</f>
        <v>0</v>
      </c>
      <c r="BL3256" s="7">
        <f>0</f>
        <v>0</v>
      </c>
      <c r="BM3256" s="5" t="s">
        <v>258</v>
      </c>
      <c r="BN3256" s="5" t="s">
        <v>259</v>
      </c>
      <c r="CB3256" s="5" t="s">
        <v>240</v>
      </c>
      <c r="CC3256" s="5" t="s">
        <v>240</v>
      </c>
      <c r="CG3256" s="5" t="s">
        <v>304</v>
      </c>
      <c r="CH3256" s="5" t="s">
        <v>305</v>
      </c>
      <c r="CI3256" s="5" t="s">
        <v>240</v>
      </c>
      <c r="CL3256" s="6" t="s">
        <v>261</v>
      </c>
      <c r="CM3256" s="5" t="s">
        <v>240</v>
      </c>
      <c r="CN3256" s="5" t="s">
        <v>263</v>
      </c>
      <c r="CO3256" s="5" t="s">
        <v>240</v>
      </c>
      <c r="CP3256" s="5" t="s">
        <v>240</v>
      </c>
      <c r="CQ3256" s="5">
        <v>0</v>
      </c>
      <c r="CR3256" s="5" t="s">
        <v>306</v>
      </c>
      <c r="CS3256" s="5" t="s">
        <v>307</v>
      </c>
      <c r="CT3256" s="5" t="s">
        <v>307</v>
      </c>
      <c r="CU3256" s="5" t="s">
        <v>260</v>
      </c>
      <c r="CX3256" s="7">
        <f>1</f>
        <v>1</v>
      </c>
      <c r="CY3256" s="7">
        <f>0</f>
        <v>0</v>
      </c>
      <c r="DA3256" s="7">
        <f>0</f>
        <v>0</v>
      </c>
      <c r="DC3256" s="5" t="s">
        <v>309</v>
      </c>
      <c r="DD3256" s="5" t="s">
        <v>240</v>
      </c>
      <c r="DF3256" s="5" t="s">
        <v>309</v>
      </c>
      <c r="DG3256" s="7">
        <f>2173</f>
        <v>2173</v>
      </c>
      <c r="DI3256" s="5" t="s">
        <v>240</v>
      </c>
      <c r="DJ3256" s="5" t="s">
        <v>240</v>
      </c>
      <c r="DK3256" s="5" t="s">
        <v>240</v>
      </c>
      <c r="DL3256" s="5" t="s">
        <v>240</v>
      </c>
      <c r="DP3256" s="5" t="s">
        <v>240</v>
      </c>
      <c r="DQ3256" s="5" t="s">
        <v>240</v>
      </c>
      <c r="DR3256" s="5" t="s">
        <v>240</v>
      </c>
      <c r="DS3256" s="5" t="s">
        <v>240</v>
      </c>
      <c r="DV3256" s="5" t="s">
        <v>310</v>
      </c>
      <c r="DW3256" s="5" t="s">
        <v>3094</v>
      </c>
      <c r="HO3256" s="5" t="s">
        <v>312</v>
      </c>
    </row>
    <row r="3257" spans="1:240" x14ac:dyDescent="0.4">
      <c r="A3257" s="5">
        <v>8765</v>
      </c>
      <c r="B3257" s="5">
        <v>1</v>
      </c>
      <c r="C3257" s="5">
        <v>1</v>
      </c>
      <c r="D3257" s="5" t="s">
        <v>297</v>
      </c>
      <c r="E3257" s="5" t="s">
        <v>245</v>
      </c>
      <c r="F3257" s="5" t="s">
        <v>254</v>
      </c>
      <c r="G3257" s="5" t="s">
        <v>726</v>
      </c>
      <c r="H3257" s="6" t="s">
        <v>7141</v>
      </c>
      <c r="I3257" s="5" t="s">
        <v>7141</v>
      </c>
      <c r="J3257" s="8">
        <f>43</f>
        <v>43</v>
      </c>
      <c r="K3257" s="5" t="s">
        <v>308</v>
      </c>
      <c r="L3257" s="7">
        <f>0</f>
        <v>0</v>
      </c>
      <c r="M3257" s="7">
        <f>0</f>
        <v>0</v>
      </c>
      <c r="N3257" s="5" t="s">
        <v>242</v>
      </c>
      <c r="O3257" s="5">
        <v>1</v>
      </c>
      <c r="P3257" s="5" t="s">
        <v>294</v>
      </c>
      <c r="Q3257" s="5" t="s">
        <v>3678</v>
      </c>
      <c r="R3257" s="5" t="s">
        <v>240</v>
      </c>
      <c r="S3257" s="5" t="s">
        <v>240</v>
      </c>
      <c r="T3257" s="5" t="s">
        <v>243</v>
      </c>
      <c r="U3257" s="5" t="s">
        <v>244</v>
      </c>
      <c r="V3257" s="5" t="s">
        <v>240</v>
      </c>
      <c r="W3257" s="5" t="s">
        <v>240</v>
      </c>
      <c r="X3257" s="5" t="s">
        <v>240</v>
      </c>
      <c r="Y3257" s="5" t="s">
        <v>240</v>
      </c>
      <c r="Z3257" s="6" t="s">
        <v>298</v>
      </c>
      <c r="AA3257" s="6" t="s">
        <v>240</v>
      </c>
      <c r="AB3257" s="6" t="s">
        <v>240</v>
      </c>
      <c r="AC3257" s="5" t="s">
        <v>240</v>
      </c>
      <c r="AD3257" s="6" t="s">
        <v>240</v>
      </c>
      <c r="AE3257" s="6" t="s">
        <v>299</v>
      </c>
      <c r="AF3257" s="5" t="s">
        <v>248</v>
      </c>
      <c r="AG3257" s="5" t="s">
        <v>249</v>
      </c>
      <c r="AH3257" s="5" t="s">
        <v>240</v>
      </c>
      <c r="AI3257" s="5" t="s">
        <v>240</v>
      </c>
      <c r="AJ3257" s="5" t="s">
        <v>240</v>
      </c>
      <c r="AK3257" s="5" t="s">
        <v>240</v>
      </c>
      <c r="AL3257" s="5" t="s">
        <v>240</v>
      </c>
      <c r="AM3257" s="5" t="s">
        <v>240</v>
      </c>
      <c r="AN3257" s="5" t="s">
        <v>240</v>
      </c>
      <c r="AO3257" s="5" t="s">
        <v>240</v>
      </c>
      <c r="AP3257" s="6" t="s">
        <v>240</v>
      </c>
      <c r="AQ3257" s="6" t="s">
        <v>240</v>
      </c>
      <c r="AR3257" s="6" t="s">
        <v>240</v>
      </c>
      <c r="AS3257" s="6" t="s">
        <v>240</v>
      </c>
      <c r="AT3257" s="5" t="s">
        <v>240</v>
      </c>
      <c r="AU3257" s="5" t="s">
        <v>729</v>
      </c>
      <c r="AV3257" s="5" t="s">
        <v>729</v>
      </c>
      <c r="AW3257" s="5" t="s">
        <v>251</v>
      </c>
      <c r="AX3257" s="5" t="s">
        <v>252</v>
      </c>
      <c r="AY3257" s="5" t="s">
        <v>253</v>
      </c>
      <c r="AZ3257" s="5" t="s">
        <v>240</v>
      </c>
      <c r="BA3257" s="5" t="s">
        <v>255</v>
      </c>
      <c r="BB3257" s="5" t="s">
        <v>731</v>
      </c>
      <c r="BD3257" s="5" t="s">
        <v>240</v>
      </c>
      <c r="BF3257" s="5" t="s">
        <v>732</v>
      </c>
      <c r="BG3257" s="6" t="s">
        <v>733</v>
      </c>
      <c r="BH3257" s="5" t="s">
        <v>734</v>
      </c>
      <c r="BI3257" s="5" t="s">
        <v>734</v>
      </c>
      <c r="BJ3257" s="5" t="s">
        <v>240</v>
      </c>
      <c r="BK3257" s="7">
        <f>1</f>
        <v>1</v>
      </c>
      <c r="BL3257" s="7">
        <f>1</f>
        <v>1</v>
      </c>
      <c r="BM3257" s="5" t="s">
        <v>258</v>
      </c>
      <c r="BN3257" s="5" t="s">
        <v>259</v>
      </c>
      <c r="BO3257" s="5" t="s">
        <v>240</v>
      </c>
      <c r="BP3257" s="5" t="s">
        <v>240</v>
      </c>
      <c r="BQ3257" s="5" t="s">
        <v>240</v>
      </c>
      <c r="BR3257" s="5" t="s">
        <v>240</v>
      </c>
      <c r="BS3257" s="5" t="s">
        <v>240</v>
      </c>
      <c r="BT3257" s="5" t="s">
        <v>240</v>
      </c>
      <c r="BU3257" s="5" t="s">
        <v>240</v>
      </c>
      <c r="BV3257" s="5" t="s">
        <v>240</v>
      </c>
      <c r="BW3257" s="6" t="s">
        <v>240</v>
      </c>
      <c r="BX3257" s="5" t="s">
        <v>240</v>
      </c>
      <c r="BY3257" s="5" t="s">
        <v>240</v>
      </c>
      <c r="BZ3257" s="5" t="s">
        <v>240</v>
      </c>
      <c r="CA3257" s="5" t="s">
        <v>259</v>
      </c>
      <c r="CB3257" s="5" t="s">
        <v>240</v>
      </c>
      <c r="CC3257" s="5" t="s">
        <v>240</v>
      </c>
      <c r="CD3257" s="5" t="s">
        <v>240</v>
      </c>
      <c r="CE3257" s="5" t="s">
        <v>240</v>
      </c>
      <c r="CF3257" s="5" t="s">
        <v>240</v>
      </c>
      <c r="CG3257" s="5" t="s">
        <v>304</v>
      </c>
      <c r="CH3257" s="5" t="s">
        <v>305</v>
      </c>
      <c r="CI3257" s="5" t="s">
        <v>240</v>
      </c>
      <c r="CK3257" s="5" t="s">
        <v>3681</v>
      </c>
      <c r="CL3257" s="6" t="s">
        <v>261</v>
      </c>
      <c r="CM3257" s="5" t="s">
        <v>262</v>
      </c>
      <c r="CN3257" s="5" t="s">
        <v>263</v>
      </c>
      <c r="CO3257" s="5" t="s">
        <v>264</v>
      </c>
      <c r="CP3257" s="5" t="s">
        <v>240</v>
      </c>
      <c r="CQ3257" s="5">
        <v>0</v>
      </c>
      <c r="CR3257" s="5" t="s">
        <v>735</v>
      </c>
      <c r="CS3257" s="5" t="s">
        <v>307</v>
      </c>
      <c r="CT3257" s="5" t="s">
        <v>307</v>
      </c>
      <c r="CU3257" s="5" t="s">
        <v>260</v>
      </c>
      <c r="CV3257" s="5" t="s">
        <v>612</v>
      </c>
      <c r="CW3257" s="8">
        <f>1</f>
        <v>1</v>
      </c>
      <c r="CX3257" s="7">
        <f>1</f>
        <v>1</v>
      </c>
      <c r="CY3257" s="7">
        <f>0</f>
        <v>0</v>
      </c>
      <c r="DA3257" s="7">
        <f>1</f>
        <v>1</v>
      </c>
      <c r="DB3257" s="7" t="s">
        <v>240</v>
      </c>
      <c r="DC3257" s="5" t="s">
        <v>240</v>
      </c>
      <c r="DD3257" s="5" t="s">
        <v>240</v>
      </c>
      <c r="DE3257" s="5" t="s">
        <v>240</v>
      </c>
      <c r="DF3257" s="5" t="s">
        <v>240</v>
      </c>
      <c r="DG3257" s="7">
        <f>0</f>
        <v>0</v>
      </c>
      <c r="DI3257" s="5" t="s">
        <v>240</v>
      </c>
      <c r="DJ3257" s="5" t="s">
        <v>240</v>
      </c>
      <c r="DK3257" s="5" t="s">
        <v>240</v>
      </c>
      <c r="DL3257" s="5" t="s">
        <v>240</v>
      </c>
      <c r="DM3257" s="5" t="s">
        <v>240</v>
      </c>
      <c r="DN3257" s="5" t="s">
        <v>240</v>
      </c>
      <c r="DO3257" s="7" t="s">
        <v>240</v>
      </c>
      <c r="DP3257" s="5" t="s">
        <v>240</v>
      </c>
      <c r="DQ3257" s="5" t="s">
        <v>240</v>
      </c>
      <c r="DR3257" s="5" t="s">
        <v>731</v>
      </c>
      <c r="DS3257" s="5" t="s">
        <v>731</v>
      </c>
      <c r="DT3257" s="5" t="s">
        <v>240</v>
      </c>
      <c r="DU3257" s="5" t="s">
        <v>240</v>
      </c>
      <c r="DV3257" s="5" t="s">
        <v>3683</v>
      </c>
      <c r="DW3257" s="5" t="s">
        <v>578</v>
      </c>
      <c r="DX3257" s="5" t="s">
        <v>240</v>
      </c>
      <c r="DY3257" s="5" t="s">
        <v>240</v>
      </c>
      <c r="DZ3257" s="5" t="s">
        <v>240</v>
      </c>
      <c r="EA3257" s="5" t="s">
        <v>240</v>
      </c>
      <c r="EB3257" s="5" t="s">
        <v>240</v>
      </c>
      <c r="EC3257" s="5" t="s">
        <v>240</v>
      </c>
      <c r="ED3257" s="5" t="s">
        <v>240</v>
      </c>
      <c r="EE3257" s="5" t="s">
        <v>240</v>
      </c>
      <c r="EF3257" s="5" t="s">
        <v>240</v>
      </c>
      <c r="EG3257" s="5" t="s">
        <v>240</v>
      </c>
      <c r="EH3257" s="5" t="s">
        <v>240</v>
      </c>
      <c r="EI3257" s="5" t="s">
        <v>240</v>
      </c>
      <c r="EJ3257" s="5" t="s">
        <v>240</v>
      </c>
      <c r="EK3257" s="5" t="s">
        <v>240</v>
      </c>
      <c r="EL3257" s="5" t="s">
        <v>240</v>
      </c>
      <c r="EM3257" s="5" t="s">
        <v>240</v>
      </c>
      <c r="EN3257" s="5" t="s">
        <v>240</v>
      </c>
      <c r="EO3257" s="5" t="s">
        <v>240</v>
      </c>
      <c r="EP3257" s="5" t="s">
        <v>240</v>
      </c>
      <c r="EQ3257" s="5" t="s">
        <v>240</v>
      </c>
      <c r="ER3257" s="5" t="s">
        <v>240</v>
      </c>
      <c r="ES3257" s="5" t="s">
        <v>240</v>
      </c>
      <c r="ET3257" s="5" t="s">
        <v>240</v>
      </c>
      <c r="EU3257" s="5" t="s">
        <v>240</v>
      </c>
      <c r="EV3257" s="5" t="s">
        <v>240</v>
      </c>
      <c r="EW3257" s="5" t="s">
        <v>240</v>
      </c>
      <c r="EX3257" s="5" t="s">
        <v>240</v>
      </c>
      <c r="EY3257" s="5" t="s">
        <v>240</v>
      </c>
      <c r="EZ3257" s="5" t="s">
        <v>240</v>
      </c>
      <c r="FA3257" s="5" t="s">
        <v>240</v>
      </c>
      <c r="FB3257" s="5" t="s">
        <v>240</v>
      </c>
      <c r="FC3257" s="5" t="s">
        <v>240</v>
      </c>
      <c r="FD3257" s="5" t="s">
        <v>240</v>
      </c>
      <c r="FE3257" s="5" t="s">
        <v>240</v>
      </c>
      <c r="FF3257" s="5" t="s">
        <v>240</v>
      </c>
      <c r="FG3257" s="5" t="s">
        <v>240</v>
      </c>
      <c r="FH3257" s="5" t="s">
        <v>240</v>
      </c>
      <c r="FI3257" s="5" t="s">
        <v>240</v>
      </c>
      <c r="FJ3257" s="5" t="s">
        <v>240</v>
      </c>
      <c r="FK3257" s="5" t="s">
        <v>240</v>
      </c>
      <c r="FL3257" s="5" t="s">
        <v>240</v>
      </c>
      <c r="FM3257" s="5" t="s">
        <v>240</v>
      </c>
      <c r="FN3257" s="5" t="s">
        <v>240</v>
      </c>
      <c r="FO3257" s="5" t="s">
        <v>240</v>
      </c>
      <c r="FP3257" s="5" t="s">
        <v>240</v>
      </c>
      <c r="FQ3257" s="5" t="s">
        <v>240</v>
      </c>
      <c r="FR3257" s="5" t="s">
        <v>240</v>
      </c>
      <c r="FS3257" s="5" t="s">
        <v>240</v>
      </c>
      <c r="FT3257" s="5" t="s">
        <v>240</v>
      </c>
      <c r="FU3257" s="5" t="s">
        <v>240</v>
      </c>
      <c r="FV3257" s="5" t="s">
        <v>240</v>
      </c>
      <c r="FW3257" s="5" t="s">
        <v>240</v>
      </c>
      <c r="FX3257" s="5" t="s">
        <v>240</v>
      </c>
      <c r="FY3257" s="5" t="s">
        <v>240</v>
      </c>
      <c r="FZ3257" s="5" t="s">
        <v>240</v>
      </c>
      <c r="GA3257" s="5" t="s">
        <v>240</v>
      </c>
      <c r="GB3257" s="5" t="s">
        <v>240</v>
      </c>
      <c r="GC3257" s="5" t="s">
        <v>240</v>
      </c>
      <c r="GD3257" s="5" t="s">
        <v>240</v>
      </c>
      <c r="GE3257" s="5" t="s">
        <v>240</v>
      </c>
      <c r="GF3257" s="5" t="s">
        <v>240</v>
      </c>
      <c r="GG3257" s="5" t="s">
        <v>240</v>
      </c>
      <c r="GH3257" s="5" t="s">
        <v>240</v>
      </c>
      <c r="GI3257" s="5" t="s">
        <v>240</v>
      </c>
      <c r="GJ3257" s="5" t="s">
        <v>240</v>
      </c>
      <c r="GK3257" s="5" t="s">
        <v>240</v>
      </c>
      <c r="GL3257" s="5" t="s">
        <v>240</v>
      </c>
      <c r="GM3257" s="5" t="s">
        <v>240</v>
      </c>
      <c r="GN3257" s="5" t="s">
        <v>240</v>
      </c>
      <c r="GO3257" s="5" t="s">
        <v>240</v>
      </c>
      <c r="GP3257" s="5" t="s">
        <v>240</v>
      </c>
      <c r="GQ3257" s="5" t="s">
        <v>240</v>
      </c>
      <c r="GR3257" s="5" t="s">
        <v>240</v>
      </c>
      <c r="GS3257" s="5" t="s">
        <v>240</v>
      </c>
      <c r="GT3257" s="5" t="s">
        <v>240</v>
      </c>
      <c r="GU3257" s="5" t="s">
        <v>240</v>
      </c>
      <c r="GV3257" s="5" t="s">
        <v>240</v>
      </c>
      <c r="GW3257" s="5" t="s">
        <v>240</v>
      </c>
      <c r="GX3257" s="5" t="s">
        <v>240</v>
      </c>
      <c r="GY3257" s="5" t="s">
        <v>240</v>
      </c>
      <c r="GZ3257" s="5" t="s">
        <v>240</v>
      </c>
      <c r="HA3257" s="5" t="s">
        <v>240</v>
      </c>
      <c r="HB3257" s="5" t="s">
        <v>240</v>
      </c>
      <c r="HC3257" s="5" t="s">
        <v>240</v>
      </c>
      <c r="HD3257" s="5" t="s">
        <v>240</v>
      </c>
      <c r="HE3257" s="5" t="s">
        <v>240</v>
      </c>
      <c r="HF3257" s="5" t="s">
        <v>240</v>
      </c>
      <c r="HG3257" s="5" t="s">
        <v>240</v>
      </c>
      <c r="HH3257" s="5" t="s">
        <v>240</v>
      </c>
      <c r="HI3257" s="5" t="s">
        <v>240</v>
      </c>
      <c r="HJ3257" s="5" t="s">
        <v>240</v>
      </c>
      <c r="HK3257" s="5" t="s">
        <v>240</v>
      </c>
      <c r="HL3257" s="5" t="s">
        <v>240</v>
      </c>
      <c r="HM3257" s="5" t="s">
        <v>240</v>
      </c>
      <c r="HN3257" s="5" t="s">
        <v>240</v>
      </c>
      <c r="HO3257" s="5" t="s">
        <v>312</v>
      </c>
      <c r="HP3257" s="5" t="s">
        <v>240</v>
      </c>
      <c r="HQ3257" s="5" t="s">
        <v>240</v>
      </c>
      <c r="HR3257" s="5" t="s">
        <v>240</v>
      </c>
      <c r="HS3257" s="5" t="s">
        <v>240</v>
      </c>
      <c r="HT3257" s="5" t="s">
        <v>240</v>
      </c>
      <c r="HU3257" s="5" t="s">
        <v>240</v>
      </c>
      <c r="HV3257" s="5" t="s">
        <v>240</v>
      </c>
      <c r="HW3257" s="5" t="s">
        <v>240</v>
      </c>
      <c r="HX3257" s="5" t="s">
        <v>240</v>
      </c>
      <c r="HY3257" s="5" t="s">
        <v>240</v>
      </c>
      <c r="HZ3257" s="5" t="s">
        <v>240</v>
      </c>
      <c r="IA3257" s="5" t="s">
        <v>240</v>
      </c>
      <c r="IB3257" s="5" t="s">
        <v>240</v>
      </c>
      <c r="IC3257" s="5" t="s">
        <v>240</v>
      </c>
      <c r="ID3257" s="5" t="s">
        <v>240</v>
      </c>
      <c r="IE3257" s="5" t="s">
        <v>240</v>
      </c>
      <c r="IF3257" s="5" t="s">
        <v>240</v>
      </c>
    </row>
    <row r="3258" spans="1:240" x14ac:dyDescent="0.4">
      <c r="A3258" s="5">
        <v>8766</v>
      </c>
      <c r="B3258" s="5">
        <v>1</v>
      </c>
      <c r="C3258" s="5">
        <v>1</v>
      </c>
      <c r="D3258" s="5" t="s">
        <v>297</v>
      </c>
      <c r="E3258" s="5" t="s">
        <v>245</v>
      </c>
      <c r="F3258" s="5" t="s">
        <v>254</v>
      </c>
      <c r="G3258" s="5" t="s">
        <v>726</v>
      </c>
      <c r="H3258" s="6" t="s">
        <v>6797</v>
      </c>
      <c r="I3258" s="5" t="s">
        <v>6797</v>
      </c>
      <c r="J3258" s="8">
        <f>7.56</f>
        <v>7.56</v>
      </c>
      <c r="K3258" s="5" t="s">
        <v>308</v>
      </c>
      <c r="L3258" s="7">
        <f>0</f>
        <v>0</v>
      </c>
      <c r="M3258" s="7">
        <f>0</f>
        <v>0</v>
      </c>
      <c r="N3258" s="5" t="s">
        <v>242</v>
      </c>
      <c r="O3258" s="5">
        <v>1</v>
      </c>
      <c r="P3258" s="5" t="s">
        <v>294</v>
      </c>
      <c r="Q3258" s="5" t="s">
        <v>3678</v>
      </c>
      <c r="R3258" s="5" t="s">
        <v>240</v>
      </c>
      <c r="S3258" s="5" t="s">
        <v>240</v>
      </c>
      <c r="T3258" s="5" t="s">
        <v>243</v>
      </c>
      <c r="U3258" s="5" t="s">
        <v>244</v>
      </c>
      <c r="V3258" s="5" t="s">
        <v>240</v>
      </c>
      <c r="W3258" s="5" t="s">
        <v>240</v>
      </c>
      <c r="X3258" s="5" t="s">
        <v>240</v>
      </c>
      <c r="Y3258" s="5" t="s">
        <v>240</v>
      </c>
      <c r="Z3258" s="6" t="s">
        <v>298</v>
      </c>
      <c r="AA3258" s="6" t="s">
        <v>240</v>
      </c>
      <c r="AB3258" s="6" t="s">
        <v>240</v>
      </c>
      <c r="AC3258" s="5" t="s">
        <v>240</v>
      </c>
      <c r="AD3258" s="6" t="s">
        <v>240</v>
      </c>
      <c r="AE3258" s="6" t="s">
        <v>299</v>
      </c>
      <c r="AF3258" s="5" t="s">
        <v>248</v>
      </c>
      <c r="AG3258" s="5" t="s">
        <v>249</v>
      </c>
      <c r="AH3258" s="5" t="s">
        <v>240</v>
      </c>
      <c r="AI3258" s="5" t="s">
        <v>240</v>
      </c>
      <c r="AJ3258" s="5" t="s">
        <v>240</v>
      </c>
      <c r="AK3258" s="5" t="s">
        <v>240</v>
      </c>
      <c r="AL3258" s="5" t="s">
        <v>240</v>
      </c>
      <c r="AM3258" s="5" t="s">
        <v>240</v>
      </c>
      <c r="AN3258" s="5" t="s">
        <v>240</v>
      </c>
      <c r="AO3258" s="5" t="s">
        <v>240</v>
      </c>
      <c r="AP3258" s="6" t="s">
        <v>240</v>
      </c>
      <c r="AQ3258" s="6" t="s">
        <v>240</v>
      </c>
      <c r="AR3258" s="6" t="s">
        <v>240</v>
      </c>
      <c r="AS3258" s="6" t="s">
        <v>240</v>
      </c>
      <c r="AT3258" s="5" t="s">
        <v>240</v>
      </c>
      <c r="AU3258" s="5" t="s">
        <v>729</v>
      </c>
      <c r="AV3258" s="5" t="s">
        <v>729</v>
      </c>
      <c r="AW3258" s="5" t="s">
        <v>251</v>
      </c>
      <c r="AX3258" s="5" t="s">
        <v>252</v>
      </c>
      <c r="AY3258" s="5" t="s">
        <v>253</v>
      </c>
      <c r="AZ3258" s="5" t="s">
        <v>240</v>
      </c>
      <c r="BA3258" s="5" t="s">
        <v>255</v>
      </c>
      <c r="BB3258" s="5" t="s">
        <v>731</v>
      </c>
      <c r="BD3258" s="5" t="s">
        <v>240</v>
      </c>
      <c r="BF3258" s="5" t="s">
        <v>732</v>
      </c>
      <c r="BG3258" s="6" t="s">
        <v>733</v>
      </c>
      <c r="BH3258" s="5" t="s">
        <v>734</v>
      </c>
      <c r="BI3258" s="5" t="s">
        <v>734</v>
      </c>
      <c r="BJ3258" s="5" t="s">
        <v>240</v>
      </c>
      <c r="BK3258" s="7">
        <f>1</f>
        <v>1</v>
      </c>
      <c r="BL3258" s="7">
        <f>1</f>
        <v>1</v>
      </c>
      <c r="BM3258" s="5" t="s">
        <v>258</v>
      </c>
      <c r="BN3258" s="5" t="s">
        <v>259</v>
      </c>
      <c r="BO3258" s="5" t="s">
        <v>240</v>
      </c>
      <c r="BP3258" s="5" t="s">
        <v>240</v>
      </c>
      <c r="BQ3258" s="5" t="s">
        <v>240</v>
      </c>
      <c r="BR3258" s="5" t="s">
        <v>240</v>
      </c>
      <c r="BS3258" s="5" t="s">
        <v>240</v>
      </c>
      <c r="BT3258" s="5" t="s">
        <v>240</v>
      </c>
      <c r="BU3258" s="5" t="s">
        <v>240</v>
      </c>
      <c r="BV3258" s="5" t="s">
        <v>240</v>
      </c>
      <c r="BW3258" s="6" t="s">
        <v>240</v>
      </c>
      <c r="BX3258" s="5" t="s">
        <v>240</v>
      </c>
      <c r="BY3258" s="5" t="s">
        <v>240</v>
      </c>
      <c r="BZ3258" s="5" t="s">
        <v>240</v>
      </c>
      <c r="CA3258" s="5" t="s">
        <v>259</v>
      </c>
      <c r="CB3258" s="5" t="s">
        <v>240</v>
      </c>
      <c r="CC3258" s="5" t="s">
        <v>240</v>
      </c>
      <c r="CD3258" s="5" t="s">
        <v>240</v>
      </c>
      <c r="CE3258" s="5" t="s">
        <v>240</v>
      </c>
      <c r="CF3258" s="5" t="s">
        <v>240</v>
      </c>
      <c r="CG3258" s="5" t="s">
        <v>304</v>
      </c>
      <c r="CH3258" s="5" t="s">
        <v>305</v>
      </c>
      <c r="CI3258" s="5" t="s">
        <v>240</v>
      </c>
      <c r="CK3258" s="5" t="s">
        <v>3681</v>
      </c>
      <c r="CL3258" s="6" t="s">
        <v>261</v>
      </c>
      <c r="CM3258" s="5" t="s">
        <v>262</v>
      </c>
      <c r="CN3258" s="5" t="s">
        <v>263</v>
      </c>
      <c r="CO3258" s="5" t="s">
        <v>264</v>
      </c>
      <c r="CP3258" s="5" t="s">
        <v>240</v>
      </c>
      <c r="CQ3258" s="5">
        <v>0</v>
      </c>
      <c r="CR3258" s="5" t="s">
        <v>735</v>
      </c>
      <c r="CS3258" s="5" t="s">
        <v>307</v>
      </c>
      <c r="CT3258" s="5" t="s">
        <v>307</v>
      </c>
      <c r="CU3258" s="5" t="s">
        <v>260</v>
      </c>
      <c r="CV3258" s="5" t="s">
        <v>612</v>
      </c>
      <c r="CW3258" s="8">
        <f>1</f>
        <v>1</v>
      </c>
      <c r="CX3258" s="7">
        <f>1</f>
        <v>1</v>
      </c>
      <c r="CY3258" s="7">
        <f>0</f>
        <v>0</v>
      </c>
      <c r="DA3258" s="7">
        <f>1</f>
        <v>1</v>
      </c>
      <c r="DB3258" s="7" t="s">
        <v>240</v>
      </c>
      <c r="DC3258" s="5" t="s">
        <v>240</v>
      </c>
      <c r="DD3258" s="5" t="s">
        <v>240</v>
      </c>
      <c r="DE3258" s="5" t="s">
        <v>240</v>
      </c>
      <c r="DF3258" s="5" t="s">
        <v>240</v>
      </c>
      <c r="DG3258" s="7">
        <f>0</f>
        <v>0</v>
      </c>
      <c r="DI3258" s="5" t="s">
        <v>240</v>
      </c>
      <c r="DJ3258" s="5" t="s">
        <v>240</v>
      </c>
      <c r="DK3258" s="5" t="s">
        <v>240</v>
      </c>
      <c r="DL3258" s="5" t="s">
        <v>240</v>
      </c>
      <c r="DM3258" s="5" t="s">
        <v>240</v>
      </c>
      <c r="DN3258" s="5" t="s">
        <v>240</v>
      </c>
      <c r="DO3258" s="7" t="s">
        <v>240</v>
      </c>
      <c r="DP3258" s="5" t="s">
        <v>240</v>
      </c>
      <c r="DQ3258" s="5" t="s">
        <v>240</v>
      </c>
      <c r="DR3258" s="5" t="s">
        <v>731</v>
      </c>
      <c r="DS3258" s="5" t="s">
        <v>731</v>
      </c>
      <c r="DT3258" s="5" t="s">
        <v>240</v>
      </c>
      <c r="DU3258" s="5" t="s">
        <v>240</v>
      </c>
      <c r="DV3258" s="5" t="s">
        <v>3683</v>
      </c>
      <c r="DW3258" s="5" t="s">
        <v>1062</v>
      </c>
      <c r="DX3258" s="5" t="s">
        <v>240</v>
      </c>
      <c r="DY3258" s="5" t="s">
        <v>240</v>
      </c>
      <c r="DZ3258" s="5" t="s">
        <v>240</v>
      </c>
      <c r="EA3258" s="5" t="s">
        <v>240</v>
      </c>
      <c r="EB3258" s="5" t="s">
        <v>240</v>
      </c>
      <c r="EC3258" s="5" t="s">
        <v>240</v>
      </c>
      <c r="ED3258" s="5" t="s">
        <v>240</v>
      </c>
      <c r="EE3258" s="5" t="s">
        <v>240</v>
      </c>
      <c r="EF3258" s="5" t="s">
        <v>240</v>
      </c>
      <c r="EG3258" s="5" t="s">
        <v>240</v>
      </c>
      <c r="EH3258" s="5" t="s">
        <v>240</v>
      </c>
      <c r="EI3258" s="5" t="s">
        <v>240</v>
      </c>
      <c r="EJ3258" s="5" t="s">
        <v>240</v>
      </c>
      <c r="EK3258" s="5" t="s">
        <v>240</v>
      </c>
      <c r="EL3258" s="5" t="s">
        <v>240</v>
      </c>
      <c r="EM3258" s="5" t="s">
        <v>240</v>
      </c>
      <c r="EN3258" s="5" t="s">
        <v>240</v>
      </c>
      <c r="EO3258" s="5" t="s">
        <v>240</v>
      </c>
      <c r="EP3258" s="5" t="s">
        <v>240</v>
      </c>
      <c r="EQ3258" s="5" t="s">
        <v>240</v>
      </c>
      <c r="ER3258" s="5" t="s">
        <v>240</v>
      </c>
      <c r="ES3258" s="5" t="s">
        <v>240</v>
      </c>
      <c r="ET3258" s="5" t="s">
        <v>240</v>
      </c>
      <c r="EU3258" s="5" t="s">
        <v>240</v>
      </c>
      <c r="EV3258" s="5" t="s">
        <v>240</v>
      </c>
      <c r="EW3258" s="5" t="s">
        <v>240</v>
      </c>
      <c r="EX3258" s="5" t="s">
        <v>240</v>
      </c>
      <c r="EY3258" s="5" t="s">
        <v>240</v>
      </c>
      <c r="EZ3258" s="5" t="s">
        <v>240</v>
      </c>
      <c r="FA3258" s="5" t="s">
        <v>240</v>
      </c>
      <c r="FB3258" s="5" t="s">
        <v>240</v>
      </c>
      <c r="FC3258" s="5" t="s">
        <v>240</v>
      </c>
      <c r="FD3258" s="5" t="s">
        <v>240</v>
      </c>
      <c r="FE3258" s="5" t="s">
        <v>240</v>
      </c>
      <c r="FF3258" s="5" t="s">
        <v>240</v>
      </c>
      <c r="FG3258" s="5" t="s">
        <v>240</v>
      </c>
      <c r="FH3258" s="5" t="s">
        <v>240</v>
      </c>
      <c r="FI3258" s="5" t="s">
        <v>240</v>
      </c>
      <c r="FJ3258" s="5" t="s">
        <v>240</v>
      </c>
      <c r="FK3258" s="5" t="s">
        <v>240</v>
      </c>
      <c r="FL3258" s="5" t="s">
        <v>240</v>
      </c>
      <c r="FM3258" s="5" t="s">
        <v>240</v>
      </c>
      <c r="FN3258" s="5" t="s">
        <v>240</v>
      </c>
      <c r="FO3258" s="5" t="s">
        <v>240</v>
      </c>
      <c r="FP3258" s="5" t="s">
        <v>240</v>
      </c>
      <c r="FQ3258" s="5" t="s">
        <v>240</v>
      </c>
      <c r="FR3258" s="5" t="s">
        <v>240</v>
      </c>
      <c r="FS3258" s="5" t="s">
        <v>240</v>
      </c>
      <c r="FT3258" s="5" t="s">
        <v>240</v>
      </c>
      <c r="FU3258" s="5" t="s">
        <v>240</v>
      </c>
      <c r="FV3258" s="5" t="s">
        <v>240</v>
      </c>
      <c r="FW3258" s="5" t="s">
        <v>240</v>
      </c>
      <c r="FX3258" s="5" t="s">
        <v>240</v>
      </c>
      <c r="FY3258" s="5" t="s">
        <v>240</v>
      </c>
      <c r="FZ3258" s="5" t="s">
        <v>240</v>
      </c>
      <c r="GA3258" s="5" t="s">
        <v>240</v>
      </c>
      <c r="GB3258" s="5" t="s">
        <v>240</v>
      </c>
      <c r="GC3258" s="5" t="s">
        <v>240</v>
      </c>
      <c r="GD3258" s="5" t="s">
        <v>240</v>
      </c>
      <c r="GE3258" s="5" t="s">
        <v>240</v>
      </c>
      <c r="GF3258" s="5" t="s">
        <v>240</v>
      </c>
      <c r="GG3258" s="5" t="s">
        <v>240</v>
      </c>
      <c r="GH3258" s="5" t="s">
        <v>240</v>
      </c>
      <c r="GI3258" s="5" t="s">
        <v>240</v>
      </c>
      <c r="GJ3258" s="5" t="s">
        <v>240</v>
      </c>
      <c r="GK3258" s="5" t="s">
        <v>240</v>
      </c>
      <c r="GL3258" s="5" t="s">
        <v>240</v>
      </c>
      <c r="GM3258" s="5" t="s">
        <v>240</v>
      </c>
      <c r="GN3258" s="5" t="s">
        <v>240</v>
      </c>
      <c r="GO3258" s="5" t="s">
        <v>240</v>
      </c>
      <c r="GP3258" s="5" t="s">
        <v>240</v>
      </c>
      <c r="GQ3258" s="5" t="s">
        <v>240</v>
      </c>
      <c r="GR3258" s="5" t="s">
        <v>240</v>
      </c>
      <c r="GS3258" s="5" t="s">
        <v>240</v>
      </c>
      <c r="GT3258" s="5" t="s">
        <v>240</v>
      </c>
      <c r="GU3258" s="5" t="s">
        <v>240</v>
      </c>
      <c r="GV3258" s="5" t="s">
        <v>240</v>
      </c>
      <c r="GW3258" s="5" t="s">
        <v>240</v>
      </c>
      <c r="GX3258" s="5" t="s">
        <v>240</v>
      </c>
      <c r="GY3258" s="5" t="s">
        <v>240</v>
      </c>
      <c r="GZ3258" s="5" t="s">
        <v>240</v>
      </c>
      <c r="HA3258" s="5" t="s">
        <v>240</v>
      </c>
      <c r="HB3258" s="5" t="s">
        <v>240</v>
      </c>
      <c r="HC3258" s="5" t="s">
        <v>240</v>
      </c>
      <c r="HD3258" s="5" t="s">
        <v>240</v>
      </c>
      <c r="HE3258" s="5" t="s">
        <v>240</v>
      </c>
      <c r="HF3258" s="5" t="s">
        <v>240</v>
      </c>
      <c r="HG3258" s="5" t="s">
        <v>240</v>
      </c>
      <c r="HH3258" s="5" t="s">
        <v>240</v>
      </c>
      <c r="HI3258" s="5" t="s">
        <v>240</v>
      </c>
      <c r="HJ3258" s="5" t="s">
        <v>240</v>
      </c>
      <c r="HK3258" s="5" t="s">
        <v>240</v>
      </c>
      <c r="HL3258" s="5" t="s">
        <v>240</v>
      </c>
      <c r="HM3258" s="5" t="s">
        <v>240</v>
      </c>
      <c r="HN3258" s="5" t="s">
        <v>240</v>
      </c>
      <c r="HO3258" s="5" t="s">
        <v>312</v>
      </c>
      <c r="HP3258" s="5" t="s">
        <v>240</v>
      </c>
      <c r="HQ3258" s="5" t="s">
        <v>240</v>
      </c>
      <c r="HR3258" s="5" t="s">
        <v>240</v>
      </c>
      <c r="HS3258" s="5" t="s">
        <v>240</v>
      </c>
      <c r="HT3258" s="5" t="s">
        <v>240</v>
      </c>
      <c r="HU3258" s="5" t="s">
        <v>240</v>
      </c>
      <c r="HV3258" s="5" t="s">
        <v>240</v>
      </c>
      <c r="HW3258" s="5" t="s">
        <v>240</v>
      </c>
      <c r="HX3258" s="5" t="s">
        <v>240</v>
      </c>
      <c r="HY3258" s="5" t="s">
        <v>240</v>
      </c>
      <c r="HZ3258" s="5" t="s">
        <v>240</v>
      </c>
      <c r="IA3258" s="5" t="s">
        <v>240</v>
      </c>
      <c r="IB3258" s="5" t="s">
        <v>240</v>
      </c>
      <c r="IC3258" s="5" t="s">
        <v>240</v>
      </c>
      <c r="ID3258" s="5" t="s">
        <v>240</v>
      </c>
      <c r="IE3258" s="5" t="s">
        <v>240</v>
      </c>
      <c r="IF3258" s="5" t="s">
        <v>240</v>
      </c>
    </row>
    <row r="3259" spans="1:240" x14ac:dyDescent="0.4">
      <c r="A3259" s="5">
        <v>8782</v>
      </c>
      <c r="B3259" s="5">
        <v>1</v>
      </c>
      <c r="C3259" s="5">
        <v>2</v>
      </c>
      <c r="D3259" s="5" t="s">
        <v>810</v>
      </c>
      <c r="E3259" s="5" t="s">
        <v>245</v>
      </c>
      <c r="F3259" s="5" t="s">
        <v>254</v>
      </c>
      <c r="G3259" s="5" t="s">
        <v>7263</v>
      </c>
      <c r="H3259" s="6" t="s">
        <v>7261</v>
      </c>
      <c r="I3259" s="5" t="s">
        <v>7261</v>
      </c>
      <c r="J3259" s="8">
        <f>23.21</f>
        <v>23.21</v>
      </c>
      <c r="K3259" s="5" t="s">
        <v>308</v>
      </c>
      <c r="L3259" s="7">
        <f>32494</f>
        <v>32494</v>
      </c>
      <c r="M3259" s="7">
        <f>32494</f>
        <v>32494</v>
      </c>
      <c r="N3259" s="5" t="s">
        <v>242</v>
      </c>
      <c r="O3259" s="5">
        <v>1</v>
      </c>
      <c r="P3259" s="5" t="s">
        <v>294</v>
      </c>
      <c r="Q3259" s="5" t="s">
        <v>3678</v>
      </c>
      <c r="R3259" s="5" t="s">
        <v>240</v>
      </c>
      <c r="S3259" s="5" t="s">
        <v>240</v>
      </c>
      <c r="T3259" s="5" t="s">
        <v>243</v>
      </c>
      <c r="U3259" s="5" t="s">
        <v>244</v>
      </c>
      <c r="V3259" s="5" t="s">
        <v>240</v>
      </c>
      <c r="W3259" s="5" t="s">
        <v>240</v>
      </c>
      <c r="X3259" s="5" t="s">
        <v>240</v>
      </c>
      <c r="Y3259" s="5" t="s">
        <v>240</v>
      </c>
      <c r="Z3259" s="6" t="s">
        <v>298</v>
      </c>
      <c r="AA3259" s="6" t="s">
        <v>240</v>
      </c>
      <c r="AB3259" s="6" t="s">
        <v>240</v>
      </c>
      <c r="AC3259" s="5" t="s">
        <v>240</v>
      </c>
      <c r="AD3259" s="6" t="s">
        <v>240</v>
      </c>
      <c r="AE3259" s="6" t="s">
        <v>299</v>
      </c>
      <c r="AF3259" s="5" t="s">
        <v>248</v>
      </c>
      <c r="AG3259" s="5" t="s">
        <v>249</v>
      </c>
      <c r="AH3259" s="5" t="s">
        <v>240</v>
      </c>
      <c r="AI3259" s="5" t="s">
        <v>240</v>
      </c>
      <c r="AJ3259" s="5" t="s">
        <v>240</v>
      </c>
      <c r="AK3259" s="5" t="s">
        <v>240</v>
      </c>
      <c r="AL3259" s="5" t="s">
        <v>240</v>
      </c>
      <c r="AM3259" s="5" t="s">
        <v>240</v>
      </c>
      <c r="AN3259" s="5" t="s">
        <v>240</v>
      </c>
      <c r="AO3259" s="5" t="s">
        <v>240</v>
      </c>
      <c r="AP3259" s="6" t="s">
        <v>240</v>
      </c>
      <c r="AQ3259" s="6" t="s">
        <v>240</v>
      </c>
      <c r="AR3259" s="6" t="s">
        <v>240</v>
      </c>
      <c r="AS3259" s="6" t="s">
        <v>240</v>
      </c>
      <c r="AT3259" s="5" t="s">
        <v>240</v>
      </c>
      <c r="AU3259" s="5" t="s">
        <v>729</v>
      </c>
      <c r="AV3259" s="5" t="s">
        <v>729</v>
      </c>
      <c r="AW3259" s="5" t="s">
        <v>251</v>
      </c>
      <c r="AX3259" s="5" t="s">
        <v>252</v>
      </c>
      <c r="AY3259" s="5" t="s">
        <v>253</v>
      </c>
      <c r="AZ3259" s="5" t="s">
        <v>240</v>
      </c>
      <c r="BA3259" s="5" t="s">
        <v>255</v>
      </c>
      <c r="BB3259" s="5" t="s">
        <v>731</v>
      </c>
      <c r="BD3259" s="5" t="s">
        <v>240</v>
      </c>
      <c r="BF3259" s="5" t="s">
        <v>732</v>
      </c>
      <c r="BG3259" s="6" t="s">
        <v>733</v>
      </c>
      <c r="BH3259" s="5" t="s">
        <v>734</v>
      </c>
      <c r="BI3259" s="5" t="s">
        <v>734</v>
      </c>
      <c r="BJ3259" s="5" t="s">
        <v>240</v>
      </c>
      <c r="BK3259" s="7">
        <f>1</f>
        <v>1</v>
      </c>
      <c r="BL3259" s="7">
        <f>1</f>
        <v>1</v>
      </c>
      <c r="BM3259" s="5" t="s">
        <v>258</v>
      </c>
      <c r="BN3259" s="5" t="s">
        <v>259</v>
      </c>
      <c r="BO3259" s="5" t="s">
        <v>240</v>
      </c>
      <c r="BP3259" s="5" t="s">
        <v>240</v>
      </c>
      <c r="BQ3259" s="5" t="s">
        <v>240</v>
      </c>
      <c r="BR3259" s="5" t="s">
        <v>240</v>
      </c>
      <c r="BS3259" s="5" t="s">
        <v>240</v>
      </c>
      <c r="BT3259" s="5" t="s">
        <v>240</v>
      </c>
      <c r="BU3259" s="5" t="s">
        <v>240</v>
      </c>
      <c r="BV3259" s="5" t="s">
        <v>240</v>
      </c>
      <c r="BW3259" s="6" t="s">
        <v>240</v>
      </c>
      <c r="BX3259" s="5" t="s">
        <v>240</v>
      </c>
      <c r="BY3259" s="5" t="s">
        <v>240</v>
      </c>
      <c r="BZ3259" s="5" t="s">
        <v>240</v>
      </c>
      <c r="CA3259" s="5" t="s">
        <v>259</v>
      </c>
      <c r="CB3259" s="5" t="s">
        <v>240</v>
      </c>
      <c r="CC3259" s="5" t="s">
        <v>240</v>
      </c>
      <c r="CD3259" s="5" t="s">
        <v>240</v>
      </c>
      <c r="CE3259" s="5" t="s">
        <v>240</v>
      </c>
      <c r="CF3259" s="5" t="s">
        <v>240</v>
      </c>
      <c r="CG3259" s="5" t="s">
        <v>304</v>
      </c>
      <c r="CH3259" s="5" t="s">
        <v>305</v>
      </c>
      <c r="CI3259" s="5" t="s">
        <v>240</v>
      </c>
      <c r="CK3259" s="5" t="s">
        <v>3681</v>
      </c>
      <c r="CL3259" s="6" t="s">
        <v>261</v>
      </c>
      <c r="CM3259" s="5" t="s">
        <v>262</v>
      </c>
      <c r="CN3259" s="5" t="s">
        <v>263</v>
      </c>
      <c r="CO3259" s="5" t="s">
        <v>264</v>
      </c>
      <c r="CP3259" s="5" t="s">
        <v>240</v>
      </c>
      <c r="CQ3259" s="5">
        <v>0</v>
      </c>
      <c r="CR3259" s="5" t="s">
        <v>735</v>
      </c>
      <c r="CS3259" s="5" t="s">
        <v>307</v>
      </c>
      <c r="CT3259" s="5" t="s">
        <v>307</v>
      </c>
      <c r="CU3259" s="5" t="s">
        <v>260</v>
      </c>
      <c r="CV3259" s="5" t="s">
        <v>612</v>
      </c>
      <c r="CW3259" s="8">
        <f>1</f>
        <v>1</v>
      </c>
      <c r="CX3259" s="7">
        <f>1</f>
        <v>1</v>
      </c>
      <c r="CY3259" s="7">
        <f>0</f>
        <v>0</v>
      </c>
      <c r="DA3259" s="7">
        <f>1</f>
        <v>1</v>
      </c>
      <c r="DB3259" s="7" t="s">
        <v>240</v>
      </c>
      <c r="DC3259" s="5" t="s">
        <v>240</v>
      </c>
      <c r="DD3259" s="5" t="s">
        <v>240</v>
      </c>
      <c r="DE3259" s="5" t="s">
        <v>240</v>
      </c>
      <c r="DF3259" s="5" t="s">
        <v>240</v>
      </c>
      <c r="DG3259" s="7">
        <f>0</f>
        <v>0</v>
      </c>
      <c r="DI3259" s="5" t="s">
        <v>240</v>
      </c>
      <c r="DJ3259" s="5" t="s">
        <v>240</v>
      </c>
      <c r="DK3259" s="5" t="s">
        <v>240</v>
      </c>
      <c r="DL3259" s="5" t="s">
        <v>240</v>
      </c>
      <c r="DM3259" s="5" t="s">
        <v>240</v>
      </c>
      <c r="DN3259" s="5" t="s">
        <v>240</v>
      </c>
      <c r="DO3259" s="7" t="s">
        <v>240</v>
      </c>
      <c r="DP3259" s="5" t="s">
        <v>240</v>
      </c>
      <c r="DQ3259" s="5" t="s">
        <v>240</v>
      </c>
      <c r="DR3259" s="5" t="s">
        <v>731</v>
      </c>
      <c r="DS3259" s="5" t="s">
        <v>731</v>
      </c>
      <c r="DT3259" s="5" t="s">
        <v>240</v>
      </c>
      <c r="DU3259" s="5" t="s">
        <v>240</v>
      </c>
      <c r="DV3259" s="5" t="s">
        <v>3683</v>
      </c>
      <c r="DW3259" s="5" t="s">
        <v>586</v>
      </c>
      <c r="DX3259" s="5" t="s">
        <v>240</v>
      </c>
      <c r="DY3259" s="5" t="s">
        <v>240</v>
      </c>
      <c r="DZ3259" s="5" t="s">
        <v>240</v>
      </c>
      <c r="EA3259" s="5" t="s">
        <v>240</v>
      </c>
      <c r="EB3259" s="5" t="s">
        <v>240</v>
      </c>
      <c r="EC3259" s="5" t="s">
        <v>240</v>
      </c>
      <c r="ED3259" s="5" t="s">
        <v>240</v>
      </c>
      <c r="EE3259" s="5" t="s">
        <v>240</v>
      </c>
      <c r="EF3259" s="5" t="s">
        <v>240</v>
      </c>
      <c r="EG3259" s="5" t="s">
        <v>240</v>
      </c>
      <c r="EH3259" s="5" t="s">
        <v>240</v>
      </c>
      <c r="EI3259" s="5" t="s">
        <v>240</v>
      </c>
      <c r="EJ3259" s="5" t="s">
        <v>240</v>
      </c>
      <c r="EK3259" s="5" t="s">
        <v>240</v>
      </c>
      <c r="EL3259" s="5" t="s">
        <v>240</v>
      </c>
      <c r="EM3259" s="5" t="s">
        <v>240</v>
      </c>
      <c r="EN3259" s="5" t="s">
        <v>240</v>
      </c>
      <c r="EO3259" s="5" t="s">
        <v>240</v>
      </c>
      <c r="EP3259" s="5" t="s">
        <v>240</v>
      </c>
      <c r="EQ3259" s="5" t="s">
        <v>240</v>
      </c>
      <c r="ER3259" s="5" t="s">
        <v>240</v>
      </c>
      <c r="ES3259" s="5" t="s">
        <v>240</v>
      </c>
      <c r="ET3259" s="5" t="s">
        <v>240</v>
      </c>
      <c r="EU3259" s="5" t="s">
        <v>240</v>
      </c>
      <c r="EV3259" s="5" t="s">
        <v>240</v>
      </c>
      <c r="EW3259" s="5" t="s">
        <v>240</v>
      </c>
      <c r="EX3259" s="5" t="s">
        <v>240</v>
      </c>
      <c r="EY3259" s="5" t="s">
        <v>240</v>
      </c>
      <c r="EZ3259" s="5" t="s">
        <v>240</v>
      </c>
      <c r="FA3259" s="5" t="s">
        <v>240</v>
      </c>
      <c r="FB3259" s="5" t="s">
        <v>240</v>
      </c>
      <c r="FC3259" s="5" t="s">
        <v>240</v>
      </c>
      <c r="FD3259" s="5" t="s">
        <v>240</v>
      </c>
      <c r="FE3259" s="5" t="s">
        <v>240</v>
      </c>
      <c r="FF3259" s="5" t="s">
        <v>240</v>
      </c>
      <c r="FG3259" s="5" t="s">
        <v>240</v>
      </c>
      <c r="FH3259" s="5" t="s">
        <v>240</v>
      </c>
      <c r="FI3259" s="5" t="s">
        <v>240</v>
      </c>
      <c r="FJ3259" s="5" t="s">
        <v>240</v>
      </c>
      <c r="FK3259" s="5" t="s">
        <v>240</v>
      </c>
      <c r="FL3259" s="5" t="s">
        <v>240</v>
      </c>
      <c r="FM3259" s="5" t="s">
        <v>240</v>
      </c>
      <c r="FN3259" s="5" t="s">
        <v>240</v>
      </c>
      <c r="FO3259" s="5" t="s">
        <v>240</v>
      </c>
      <c r="FP3259" s="5" t="s">
        <v>240</v>
      </c>
      <c r="FQ3259" s="5" t="s">
        <v>240</v>
      </c>
      <c r="FR3259" s="5" t="s">
        <v>240</v>
      </c>
      <c r="FS3259" s="5" t="s">
        <v>240</v>
      </c>
      <c r="FT3259" s="5" t="s">
        <v>240</v>
      </c>
      <c r="FU3259" s="5" t="s">
        <v>240</v>
      </c>
      <c r="FV3259" s="5" t="s">
        <v>240</v>
      </c>
      <c r="FW3259" s="5" t="s">
        <v>240</v>
      </c>
      <c r="FX3259" s="5" t="s">
        <v>240</v>
      </c>
      <c r="FY3259" s="5" t="s">
        <v>240</v>
      </c>
      <c r="FZ3259" s="5" t="s">
        <v>240</v>
      </c>
      <c r="GA3259" s="5" t="s">
        <v>240</v>
      </c>
      <c r="GB3259" s="5" t="s">
        <v>240</v>
      </c>
      <c r="GC3259" s="5" t="s">
        <v>240</v>
      </c>
      <c r="GD3259" s="5" t="s">
        <v>240</v>
      </c>
      <c r="GE3259" s="5" t="s">
        <v>240</v>
      </c>
      <c r="GF3259" s="5" t="s">
        <v>240</v>
      </c>
      <c r="GG3259" s="5" t="s">
        <v>240</v>
      </c>
      <c r="GH3259" s="5" t="s">
        <v>240</v>
      </c>
      <c r="GI3259" s="5" t="s">
        <v>240</v>
      </c>
      <c r="GJ3259" s="5" t="s">
        <v>240</v>
      </c>
      <c r="GK3259" s="5" t="s">
        <v>240</v>
      </c>
      <c r="GL3259" s="5" t="s">
        <v>240</v>
      </c>
      <c r="GM3259" s="5" t="s">
        <v>240</v>
      </c>
      <c r="GN3259" s="5" t="s">
        <v>240</v>
      </c>
      <c r="GO3259" s="5" t="s">
        <v>240</v>
      </c>
      <c r="GP3259" s="5" t="s">
        <v>240</v>
      </c>
      <c r="GQ3259" s="5" t="s">
        <v>240</v>
      </c>
      <c r="GR3259" s="5" t="s">
        <v>240</v>
      </c>
      <c r="GS3259" s="5" t="s">
        <v>240</v>
      </c>
      <c r="GT3259" s="5" t="s">
        <v>240</v>
      </c>
      <c r="GU3259" s="5" t="s">
        <v>240</v>
      </c>
      <c r="GV3259" s="5" t="s">
        <v>240</v>
      </c>
      <c r="GW3259" s="5" t="s">
        <v>240</v>
      </c>
      <c r="GX3259" s="5" t="s">
        <v>240</v>
      </c>
      <c r="GY3259" s="5" t="s">
        <v>240</v>
      </c>
      <c r="GZ3259" s="5" t="s">
        <v>240</v>
      </c>
      <c r="HA3259" s="5" t="s">
        <v>240</v>
      </c>
      <c r="HB3259" s="5" t="s">
        <v>240</v>
      </c>
      <c r="HC3259" s="5" t="s">
        <v>240</v>
      </c>
      <c r="HD3259" s="5" t="s">
        <v>240</v>
      </c>
      <c r="HE3259" s="5" t="s">
        <v>240</v>
      </c>
      <c r="HF3259" s="5" t="s">
        <v>240</v>
      </c>
      <c r="HG3259" s="5" t="s">
        <v>240</v>
      </c>
      <c r="HH3259" s="5" t="s">
        <v>240</v>
      </c>
      <c r="HI3259" s="5" t="s">
        <v>240</v>
      </c>
      <c r="HJ3259" s="5" t="s">
        <v>240</v>
      </c>
      <c r="HK3259" s="5" t="s">
        <v>240</v>
      </c>
      <c r="HL3259" s="5" t="s">
        <v>240</v>
      </c>
      <c r="HM3259" s="5" t="s">
        <v>240</v>
      </c>
      <c r="HN3259" s="5" t="s">
        <v>240</v>
      </c>
      <c r="HO3259" s="5" t="s">
        <v>312</v>
      </c>
      <c r="HP3259" s="5" t="s">
        <v>240</v>
      </c>
      <c r="HQ3259" s="5" t="s">
        <v>240</v>
      </c>
      <c r="HR3259" s="5" t="s">
        <v>240</v>
      </c>
      <c r="HS3259" s="5" t="s">
        <v>240</v>
      </c>
      <c r="HT3259" s="5" t="s">
        <v>240</v>
      </c>
      <c r="HU3259" s="5" t="s">
        <v>240</v>
      </c>
      <c r="HV3259" s="5" t="s">
        <v>240</v>
      </c>
      <c r="HW3259" s="5" t="s">
        <v>240</v>
      </c>
      <c r="HX3259" s="5" t="s">
        <v>240</v>
      </c>
      <c r="HY3259" s="5" t="s">
        <v>240</v>
      </c>
      <c r="HZ3259" s="5" t="s">
        <v>240</v>
      </c>
      <c r="IA3259" s="5" t="s">
        <v>240</v>
      </c>
      <c r="IB3259" s="5" t="s">
        <v>240</v>
      </c>
      <c r="IC3259" s="5" t="s">
        <v>240</v>
      </c>
      <c r="ID3259" s="5" t="s">
        <v>240</v>
      </c>
      <c r="IE3259" s="5" t="s">
        <v>240</v>
      </c>
      <c r="IF3259" s="5" t="s">
        <v>240</v>
      </c>
    </row>
    <row r="3260" spans="1:240" x14ac:dyDescent="0.4">
      <c r="A3260" s="5">
        <v>8799</v>
      </c>
      <c r="B3260" s="5">
        <v>1</v>
      </c>
      <c r="C3260" s="5">
        <v>3</v>
      </c>
      <c r="D3260" s="5" t="s">
        <v>829</v>
      </c>
      <c r="E3260" s="5" t="s">
        <v>1325</v>
      </c>
      <c r="F3260" s="5" t="s">
        <v>730</v>
      </c>
      <c r="G3260" s="5" t="s">
        <v>7113</v>
      </c>
      <c r="H3260" s="6" t="s">
        <v>7146</v>
      </c>
      <c r="I3260" s="5" t="s">
        <v>7145</v>
      </c>
      <c r="J3260" s="8">
        <f>1316.41</f>
        <v>1316.41</v>
      </c>
      <c r="K3260" s="5" t="s">
        <v>308</v>
      </c>
      <c r="L3260" s="7">
        <f>0</f>
        <v>0</v>
      </c>
      <c r="M3260" s="7">
        <f>0</f>
        <v>0</v>
      </c>
      <c r="N3260" s="5" t="s">
        <v>242</v>
      </c>
      <c r="O3260" s="5">
        <v>1</v>
      </c>
      <c r="P3260" s="5" t="s">
        <v>294</v>
      </c>
      <c r="Q3260" s="5" t="s">
        <v>3678</v>
      </c>
      <c r="R3260" s="5" t="s">
        <v>240</v>
      </c>
      <c r="S3260" s="5" t="s">
        <v>240</v>
      </c>
      <c r="T3260" s="5" t="s">
        <v>243</v>
      </c>
      <c r="U3260" s="5" t="s">
        <v>244</v>
      </c>
      <c r="V3260" s="5" t="s">
        <v>240</v>
      </c>
      <c r="W3260" s="5" t="s">
        <v>240</v>
      </c>
      <c r="X3260" s="5" t="s">
        <v>240</v>
      </c>
      <c r="Y3260" s="5" t="s">
        <v>240</v>
      </c>
      <c r="Z3260" s="6" t="s">
        <v>298</v>
      </c>
      <c r="AA3260" s="6" t="s">
        <v>240</v>
      </c>
      <c r="AB3260" s="6" t="s">
        <v>240</v>
      </c>
      <c r="AC3260" s="5" t="s">
        <v>240</v>
      </c>
      <c r="AD3260" s="6" t="s">
        <v>240</v>
      </c>
      <c r="AE3260" s="6" t="s">
        <v>299</v>
      </c>
      <c r="AF3260" s="5" t="s">
        <v>248</v>
      </c>
      <c r="AG3260" s="5" t="s">
        <v>249</v>
      </c>
      <c r="AH3260" s="5" t="s">
        <v>240</v>
      </c>
      <c r="AI3260" s="5" t="s">
        <v>240</v>
      </c>
      <c r="AJ3260" s="5" t="s">
        <v>240</v>
      </c>
      <c r="AK3260" s="5" t="s">
        <v>240</v>
      </c>
      <c r="AL3260" s="5" t="s">
        <v>240</v>
      </c>
      <c r="AM3260" s="5" t="s">
        <v>240</v>
      </c>
      <c r="AN3260" s="5" t="s">
        <v>240</v>
      </c>
      <c r="AO3260" s="5" t="s">
        <v>240</v>
      </c>
      <c r="AP3260" s="6" t="s">
        <v>240</v>
      </c>
      <c r="AQ3260" s="6" t="s">
        <v>240</v>
      </c>
      <c r="AR3260" s="6" t="s">
        <v>240</v>
      </c>
      <c r="AS3260" s="6" t="s">
        <v>240</v>
      </c>
      <c r="AT3260" s="5" t="s">
        <v>240</v>
      </c>
      <c r="AU3260" s="5" t="s">
        <v>729</v>
      </c>
      <c r="AV3260" s="5" t="s">
        <v>729</v>
      </c>
      <c r="AW3260" s="5" t="s">
        <v>251</v>
      </c>
      <c r="AX3260" s="5" t="s">
        <v>252</v>
      </c>
      <c r="AY3260" s="5" t="s">
        <v>253</v>
      </c>
      <c r="AZ3260" s="5" t="s">
        <v>240</v>
      </c>
      <c r="BA3260" s="5" t="s">
        <v>255</v>
      </c>
      <c r="BB3260" s="5" t="s">
        <v>731</v>
      </c>
      <c r="BD3260" s="5" t="s">
        <v>240</v>
      </c>
      <c r="BF3260" s="5" t="s">
        <v>732</v>
      </c>
      <c r="BG3260" s="6" t="s">
        <v>733</v>
      </c>
      <c r="BH3260" s="5" t="s">
        <v>734</v>
      </c>
      <c r="BI3260" s="5" t="s">
        <v>734</v>
      </c>
      <c r="BJ3260" s="5" t="s">
        <v>240</v>
      </c>
      <c r="BK3260" s="7">
        <f>1</f>
        <v>1</v>
      </c>
      <c r="BL3260" s="7">
        <f>1</f>
        <v>1</v>
      </c>
      <c r="BM3260" s="5" t="s">
        <v>258</v>
      </c>
      <c r="BN3260" s="5" t="s">
        <v>259</v>
      </c>
      <c r="BO3260" s="5" t="s">
        <v>240</v>
      </c>
      <c r="BP3260" s="5" t="s">
        <v>240</v>
      </c>
      <c r="BQ3260" s="5" t="s">
        <v>240</v>
      </c>
      <c r="BR3260" s="5" t="s">
        <v>240</v>
      </c>
      <c r="BS3260" s="5" t="s">
        <v>240</v>
      </c>
      <c r="BT3260" s="5" t="s">
        <v>240</v>
      </c>
      <c r="BU3260" s="5" t="s">
        <v>240</v>
      </c>
      <c r="BV3260" s="5" t="s">
        <v>240</v>
      </c>
      <c r="BW3260" s="6" t="s">
        <v>240</v>
      </c>
      <c r="BX3260" s="5" t="s">
        <v>240</v>
      </c>
      <c r="BY3260" s="5" t="s">
        <v>240</v>
      </c>
      <c r="BZ3260" s="5" t="s">
        <v>240</v>
      </c>
      <c r="CA3260" s="5" t="s">
        <v>259</v>
      </c>
      <c r="CB3260" s="5" t="s">
        <v>240</v>
      </c>
      <c r="CC3260" s="5" t="s">
        <v>240</v>
      </c>
      <c r="CD3260" s="5" t="s">
        <v>240</v>
      </c>
      <c r="CE3260" s="5" t="s">
        <v>240</v>
      </c>
      <c r="CF3260" s="5" t="s">
        <v>240</v>
      </c>
      <c r="CG3260" s="5" t="s">
        <v>304</v>
      </c>
      <c r="CH3260" s="5" t="s">
        <v>305</v>
      </c>
      <c r="CI3260" s="5" t="s">
        <v>240</v>
      </c>
      <c r="CK3260" s="5" t="s">
        <v>3681</v>
      </c>
      <c r="CL3260" s="6" t="s">
        <v>261</v>
      </c>
      <c r="CM3260" s="5" t="s">
        <v>262</v>
      </c>
      <c r="CN3260" s="5" t="s">
        <v>263</v>
      </c>
      <c r="CO3260" s="5" t="s">
        <v>264</v>
      </c>
      <c r="CP3260" s="5" t="s">
        <v>240</v>
      </c>
      <c r="CQ3260" s="5">
        <v>0</v>
      </c>
      <c r="CR3260" s="5" t="s">
        <v>735</v>
      </c>
      <c r="CS3260" s="5" t="s">
        <v>307</v>
      </c>
      <c r="CT3260" s="5" t="s">
        <v>307</v>
      </c>
      <c r="CU3260" s="5" t="s">
        <v>260</v>
      </c>
      <c r="CV3260" s="5" t="s">
        <v>612</v>
      </c>
      <c r="CW3260" s="8">
        <f>1</f>
        <v>1</v>
      </c>
      <c r="CX3260" s="7">
        <f>1</f>
        <v>1</v>
      </c>
      <c r="CY3260" s="7">
        <f>0</f>
        <v>0</v>
      </c>
      <c r="DA3260" s="7">
        <f>1</f>
        <v>1</v>
      </c>
      <c r="DB3260" s="7" t="s">
        <v>240</v>
      </c>
      <c r="DC3260" s="5" t="s">
        <v>240</v>
      </c>
      <c r="DD3260" s="5" t="s">
        <v>240</v>
      </c>
      <c r="DE3260" s="5" t="s">
        <v>240</v>
      </c>
      <c r="DF3260" s="5" t="s">
        <v>240</v>
      </c>
      <c r="DG3260" s="7">
        <f>0</f>
        <v>0</v>
      </c>
      <c r="DI3260" s="5" t="s">
        <v>240</v>
      </c>
      <c r="DJ3260" s="5" t="s">
        <v>240</v>
      </c>
      <c r="DK3260" s="5" t="s">
        <v>240</v>
      </c>
      <c r="DL3260" s="5" t="s">
        <v>240</v>
      </c>
      <c r="DM3260" s="5" t="s">
        <v>240</v>
      </c>
      <c r="DN3260" s="5" t="s">
        <v>240</v>
      </c>
      <c r="DO3260" s="7" t="s">
        <v>240</v>
      </c>
      <c r="DP3260" s="5" t="s">
        <v>240</v>
      </c>
      <c r="DQ3260" s="5" t="s">
        <v>240</v>
      </c>
      <c r="DR3260" s="5" t="s">
        <v>731</v>
      </c>
      <c r="DS3260" s="5" t="s">
        <v>731</v>
      </c>
      <c r="DT3260" s="5" t="s">
        <v>240</v>
      </c>
      <c r="DU3260" s="5" t="s">
        <v>240</v>
      </c>
      <c r="DV3260" s="5" t="s">
        <v>3683</v>
      </c>
      <c r="DW3260" s="5" t="s">
        <v>1094</v>
      </c>
      <c r="DX3260" s="5" t="s">
        <v>240</v>
      </c>
      <c r="DY3260" s="5" t="s">
        <v>240</v>
      </c>
      <c r="DZ3260" s="5" t="s">
        <v>240</v>
      </c>
      <c r="EA3260" s="5" t="s">
        <v>240</v>
      </c>
      <c r="EB3260" s="5" t="s">
        <v>240</v>
      </c>
      <c r="EC3260" s="5" t="s">
        <v>240</v>
      </c>
      <c r="ED3260" s="5" t="s">
        <v>240</v>
      </c>
      <c r="EE3260" s="5" t="s">
        <v>240</v>
      </c>
      <c r="EF3260" s="5" t="s">
        <v>240</v>
      </c>
      <c r="EG3260" s="5" t="s">
        <v>240</v>
      </c>
      <c r="EH3260" s="5" t="s">
        <v>240</v>
      </c>
      <c r="EI3260" s="5" t="s">
        <v>240</v>
      </c>
      <c r="EJ3260" s="5" t="s">
        <v>240</v>
      </c>
      <c r="EK3260" s="5" t="s">
        <v>240</v>
      </c>
      <c r="EL3260" s="5" t="s">
        <v>240</v>
      </c>
      <c r="EM3260" s="5" t="s">
        <v>240</v>
      </c>
      <c r="EN3260" s="5" t="s">
        <v>240</v>
      </c>
      <c r="EO3260" s="5" t="s">
        <v>240</v>
      </c>
      <c r="EP3260" s="5" t="s">
        <v>240</v>
      </c>
      <c r="EQ3260" s="5" t="s">
        <v>240</v>
      </c>
      <c r="ER3260" s="5" t="s">
        <v>240</v>
      </c>
      <c r="ES3260" s="5" t="s">
        <v>240</v>
      </c>
      <c r="ET3260" s="5" t="s">
        <v>240</v>
      </c>
      <c r="EU3260" s="5" t="s">
        <v>240</v>
      </c>
      <c r="EV3260" s="5" t="s">
        <v>240</v>
      </c>
      <c r="EW3260" s="5" t="s">
        <v>240</v>
      </c>
      <c r="EX3260" s="5" t="s">
        <v>240</v>
      </c>
      <c r="EY3260" s="5" t="s">
        <v>240</v>
      </c>
      <c r="EZ3260" s="5" t="s">
        <v>240</v>
      </c>
      <c r="FA3260" s="5" t="s">
        <v>240</v>
      </c>
      <c r="FB3260" s="5" t="s">
        <v>240</v>
      </c>
      <c r="FC3260" s="5" t="s">
        <v>240</v>
      </c>
      <c r="FD3260" s="5" t="s">
        <v>240</v>
      </c>
      <c r="FE3260" s="5" t="s">
        <v>240</v>
      </c>
      <c r="FF3260" s="5" t="s">
        <v>240</v>
      </c>
      <c r="FG3260" s="5" t="s">
        <v>240</v>
      </c>
      <c r="FH3260" s="5" t="s">
        <v>240</v>
      </c>
      <c r="FI3260" s="5" t="s">
        <v>240</v>
      </c>
      <c r="FJ3260" s="5" t="s">
        <v>240</v>
      </c>
      <c r="FK3260" s="5" t="s">
        <v>240</v>
      </c>
      <c r="FL3260" s="5" t="s">
        <v>240</v>
      </c>
      <c r="FM3260" s="5" t="s">
        <v>240</v>
      </c>
      <c r="FN3260" s="5" t="s">
        <v>240</v>
      </c>
      <c r="FO3260" s="5" t="s">
        <v>240</v>
      </c>
      <c r="FP3260" s="5" t="s">
        <v>240</v>
      </c>
      <c r="FQ3260" s="5" t="s">
        <v>240</v>
      </c>
      <c r="FR3260" s="5" t="s">
        <v>240</v>
      </c>
      <c r="FS3260" s="5" t="s">
        <v>240</v>
      </c>
      <c r="FT3260" s="5" t="s">
        <v>240</v>
      </c>
      <c r="FU3260" s="5" t="s">
        <v>240</v>
      </c>
      <c r="FV3260" s="5" t="s">
        <v>240</v>
      </c>
      <c r="FW3260" s="5" t="s">
        <v>240</v>
      </c>
      <c r="FX3260" s="5" t="s">
        <v>240</v>
      </c>
      <c r="FY3260" s="5" t="s">
        <v>240</v>
      </c>
      <c r="FZ3260" s="5" t="s">
        <v>240</v>
      </c>
      <c r="GA3260" s="5" t="s">
        <v>240</v>
      </c>
      <c r="GB3260" s="5" t="s">
        <v>240</v>
      </c>
      <c r="GC3260" s="5" t="s">
        <v>240</v>
      </c>
      <c r="GD3260" s="5" t="s">
        <v>240</v>
      </c>
      <c r="GE3260" s="5" t="s">
        <v>240</v>
      </c>
      <c r="GF3260" s="5" t="s">
        <v>240</v>
      </c>
      <c r="GG3260" s="5" t="s">
        <v>240</v>
      </c>
      <c r="GH3260" s="5" t="s">
        <v>240</v>
      </c>
      <c r="GI3260" s="5" t="s">
        <v>240</v>
      </c>
      <c r="GJ3260" s="5" t="s">
        <v>240</v>
      </c>
      <c r="GK3260" s="5" t="s">
        <v>240</v>
      </c>
      <c r="GL3260" s="5" t="s">
        <v>240</v>
      </c>
      <c r="GM3260" s="5" t="s">
        <v>240</v>
      </c>
      <c r="GN3260" s="5" t="s">
        <v>240</v>
      </c>
      <c r="GO3260" s="5" t="s">
        <v>240</v>
      </c>
      <c r="GP3260" s="5" t="s">
        <v>240</v>
      </c>
      <c r="GQ3260" s="5" t="s">
        <v>240</v>
      </c>
      <c r="GR3260" s="5" t="s">
        <v>240</v>
      </c>
      <c r="GS3260" s="5" t="s">
        <v>240</v>
      </c>
      <c r="GT3260" s="5" t="s">
        <v>240</v>
      </c>
      <c r="GU3260" s="5" t="s">
        <v>240</v>
      </c>
      <c r="GV3260" s="5" t="s">
        <v>240</v>
      </c>
      <c r="GW3260" s="5" t="s">
        <v>240</v>
      </c>
      <c r="GX3260" s="5" t="s">
        <v>240</v>
      </c>
      <c r="GY3260" s="5" t="s">
        <v>240</v>
      </c>
      <c r="GZ3260" s="5" t="s">
        <v>240</v>
      </c>
      <c r="HA3260" s="5" t="s">
        <v>240</v>
      </c>
      <c r="HB3260" s="5" t="s">
        <v>240</v>
      </c>
      <c r="HC3260" s="5" t="s">
        <v>240</v>
      </c>
      <c r="HD3260" s="5" t="s">
        <v>240</v>
      </c>
      <c r="HE3260" s="5" t="s">
        <v>240</v>
      </c>
      <c r="HF3260" s="5" t="s">
        <v>240</v>
      </c>
      <c r="HG3260" s="5" t="s">
        <v>240</v>
      </c>
      <c r="HH3260" s="5" t="s">
        <v>240</v>
      </c>
      <c r="HI3260" s="5" t="s">
        <v>240</v>
      </c>
      <c r="HJ3260" s="5" t="s">
        <v>240</v>
      </c>
      <c r="HK3260" s="5" t="s">
        <v>240</v>
      </c>
      <c r="HL3260" s="5" t="s">
        <v>240</v>
      </c>
      <c r="HM3260" s="5" t="s">
        <v>240</v>
      </c>
      <c r="HN3260" s="5" t="s">
        <v>240</v>
      </c>
      <c r="HO3260" s="5" t="s">
        <v>312</v>
      </c>
      <c r="HP3260" s="5" t="s">
        <v>240</v>
      </c>
      <c r="HQ3260" s="5" t="s">
        <v>240</v>
      </c>
      <c r="HR3260" s="5" t="s">
        <v>240</v>
      </c>
      <c r="HS3260" s="5" t="s">
        <v>240</v>
      </c>
      <c r="HT3260" s="5" t="s">
        <v>240</v>
      </c>
      <c r="HU3260" s="5" t="s">
        <v>240</v>
      </c>
      <c r="HV3260" s="5" t="s">
        <v>240</v>
      </c>
      <c r="HW3260" s="5" t="s">
        <v>240</v>
      </c>
      <c r="HX3260" s="5" t="s">
        <v>240</v>
      </c>
      <c r="HY3260" s="5" t="s">
        <v>240</v>
      </c>
      <c r="HZ3260" s="5" t="s">
        <v>240</v>
      </c>
      <c r="IA3260" s="5" t="s">
        <v>240</v>
      </c>
      <c r="IB3260" s="5" t="s">
        <v>240</v>
      </c>
      <c r="IC3260" s="5" t="s">
        <v>240</v>
      </c>
      <c r="ID3260" s="5" t="s">
        <v>240</v>
      </c>
      <c r="IE3260" s="5" t="s">
        <v>240</v>
      </c>
      <c r="IF3260" s="5" t="s">
        <v>240</v>
      </c>
    </row>
    <row r="3261" spans="1:240" x14ac:dyDescent="0.4">
      <c r="A3261" s="5">
        <v>8800</v>
      </c>
      <c r="B3261" s="5">
        <v>1</v>
      </c>
      <c r="C3261" s="5">
        <v>3</v>
      </c>
      <c r="D3261" s="5" t="s">
        <v>829</v>
      </c>
      <c r="E3261" s="5" t="s">
        <v>1325</v>
      </c>
      <c r="F3261" s="5" t="s">
        <v>730</v>
      </c>
      <c r="G3261" s="5" t="s">
        <v>7113</v>
      </c>
      <c r="H3261" s="6" t="s">
        <v>7114</v>
      </c>
      <c r="I3261" s="5" t="s">
        <v>7111</v>
      </c>
      <c r="J3261" s="8">
        <f>1739.3</f>
        <v>1739.3</v>
      </c>
      <c r="K3261" s="5" t="s">
        <v>308</v>
      </c>
      <c r="L3261" s="7">
        <f>0</f>
        <v>0</v>
      </c>
      <c r="M3261" s="7">
        <f>0</f>
        <v>0</v>
      </c>
      <c r="N3261" s="5" t="s">
        <v>242</v>
      </c>
      <c r="O3261" s="5">
        <v>1</v>
      </c>
      <c r="P3261" s="5" t="s">
        <v>294</v>
      </c>
      <c r="Q3261" s="5" t="s">
        <v>3678</v>
      </c>
      <c r="R3261" s="5" t="s">
        <v>240</v>
      </c>
      <c r="S3261" s="5" t="s">
        <v>240</v>
      </c>
      <c r="T3261" s="5" t="s">
        <v>243</v>
      </c>
      <c r="U3261" s="5" t="s">
        <v>244</v>
      </c>
      <c r="V3261" s="5" t="s">
        <v>240</v>
      </c>
      <c r="W3261" s="5" t="s">
        <v>240</v>
      </c>
      <c r="X3261" s="5" t="s">
        <v>240</v>
      </c>
      <c r="Y3261" s="5" t="s">
        <v>240</v>
      </c>
      <c r="Z3261" s="6" t="s">
        <v>298</v>
      </c>
      <c r="AA3261" s="6" t="s">
        <v>240</v>
      </c>
      <c r="AB3261" s="6" t="s">
        <v>240</v>
      </c>
      <c r="AC3261" s="5" t="s">
        <v>240</v>
      </c>
      <c r="AD3261" s="6" t="s">
        <v>240</v>
      </c>
      <c r="AE3261" s="6" t="s">
        <v>299</v>
      </c>
      <c r="AF3261" s="5" t="s">
        <v>248</v>
      </c>
      <c r="AG3261" s="5" t="s">
        <v>249</v>
      </c>
      <c r="AH3261" s="5" t="s">
        <v>240</v>
      </c>
      <c r="AI3261" s="5" t="s">
        <v>240</v>
      </c>
      <c r="AJ3261" s="5" t="s">
        <v>240</v>
      </c>
      <c r="AK3261" s="5" t="s">
        <v>240</v>
      </c>
      <c r="AL3261" s="5" t="s">
        <v>240</v>
      </c>
      <c r="AM3261" s="5" t="s">
        <v>240</v>
      </c>
      <c r="AN3261" s="5" t="s">
        <v>240</v>
      </c>
      <c r="AO3261" s="5" t="s">
        <v>240</v>
      </c>
      <c r="AP3261" s="6" t="s">
        <v>240</v>
      </c>
      <c r="AQ3261" s="6" t="s">
        <v>240</v>
      </c>
      <c r="AR3261" s="6" t="s">
        <v>240</v>
      </c>
      <c r="AS3261" s="6" t="s">
        <v>240</v>
      </c>
      <c r="AT3261" s="5" t="s">
        <v>240</v>
      </c>
      <c r="AU3261" s="5" t="s">
        <v>729</v>
      </c>
      <c r="AV3261" s="5" t="s">
        <v>729</v>
      </c>
      <c r="AW3261" s="5" t="s">
        <v>251</v>
      </c>
      <c r="AX3261" s="5" t="s">
        <v>252</v>
      </c>
      <c r="AY3261" s="5" t="s">
        <v>253</v>
      </c>
      <c r="AZ3261" s="5" t="s">
        <v>240</v>
      </c>
      <c r="BA3261" s="5" t="s">
        <v>255</v>
      </c>
      <c r="BB3261" s="5" t="s">
        <v>731</v>
      </c>
      <c r="BD3261" s="5" t="s">
        <v>240</v>
      </c>
      <c r="BF3261" s="5" t="s">
        <v>732</v>
      </c>
      <c r="BG3261" s="6" t="s">
        <v>733</v>
      </c>
      <c r="BH3261" s="5" t="s">
        <v>734</v>
      </c>
      <c r="BI3261" s="5" t="s">
        <v>734</v>
      </c>
      <c r="BJ3261" s="5" t="s">
        <v>240</v>
      </c>
      <c r="BK3261" s="7">
        <f>1</f>
        <v>1</v>
      </c>
      <c r="BL3261" s="7">
        <f>1</f>
        <v>1</v>
      </c>
      <c r="BM3261" s="5" t="s">
        <v>258</v>
      </c>
      <c r="BN3261" s="5" t="s">
        <v>259</v>
      </c>
      <c r="BO3261" s="5" t="s">
        <v>240</v>
      </c>
      <c r="BP3261" s="5" t="s">
        <v>240</v>
      </c>
      <c r="BQ3261" s="5" t="s">
        <v>240</v>
      </c>
      <c r="BR3261" s="5" t="s">
        <v>240</v>
      </c>
      <c r="BS3261" s="5" t="s">
        <v>240</v>
      </c>
      <c r="BT3261" s="5" t="s">
        <v>240</v>
      </c>
      <c r="BU3261" s="5" t="s">
        <v>240</v>
      </c>
      <c r="BV3261" s="5" t="s">
        <v>240</v>
      </c>
      <c r="BW3261" s="6" t="s">
        <v>240</v>
      </c>
      <c r="BX3261" s="5" t="s">
        <v>240</v>
      </c>
      <c r="BY3261" s="5" t="s">
        <v>240</v>
      </c>
      <c r="BZ3261" s="5" t="s">
        <v>240</v>
      </c>
      <c r="CA3261" s="5" t="s">
        <v>259</v>
      </c>
      <c r="CB3261" s="5" t="s">
        <v>240</v>
      </c>
      <c r="CC3261" s="5" t="s">
        <v>240</v>
      </c>
      <c r="CD3261" s="5" t="s">
        <v>240</v>
      </c>
      <c r="CE3261" s="5" t="s">
        <v>240</v>
      </c>
      <c r="CF3261" s="5" t="s">
        <v>240</v>
      </c>
      <c r="CG3261" s="5" t="s">
        <v>304</v>
      </c>
      <c r="CH3261" s="5" t="s">
        <v>305</v>
      </c>
      <c r="CI3261" s="5" t="s">
        <v>240</v>
      </c>
      <c r="CK3261" s="5" t="s">
        <v>3681</v>
      </c>
      <c r="CL3261" s="6" t="s">
        <v>261</v>
      </c>
      <c r="CM3261" s="5" t="s">
        <v>262</v>
      </c>
      <c r="CN3261" s="5" t="s">
        <v>263</v>
      </c>
      <c r="CO3261" s="5" t="s">
        <v>264</v>
      </c>
      <c r="CP3261" s="5" t="s">
        <v>240</v>
      </c>
      <c r="CQ3261" s="5">
        <v>0</v>
      </c>
      <c r="CR3261" s="5" t="s">
        <v>735</v>
      </c>
      <c r="CS3261" s="5" t="s">
        <v>307</v>
      </c>
      <c r="CT3261" s="5" t="s">
        <v>307</v>
      </c>
      <c r="CU3261" s="5" t="s">
        <v>260</v>
      </c>
      <c r="CV3261" s="5" t="s">
        <v>612</v>
      </c>
      <c r="CW3261" s="8">
        <f>1</f>
        <v>1</v>
      </c>
      <c r="CX3261" s="7">
        <f>1</f>
        <v>1</v>
      </c>
      <c r="CY3261" s="7">
        <f>0</f>
        <v>0</v>
      </c>
      <c r="DA3261" s="7">
        <f>1</f>
        <v>1</v>
      </c>
      <c r="DB3261" s="7" t="s">
        <v>240</v>
      </c>
      <c r="DC3261" s="5" t="s">
        <v>240</v>
      </c>
      <c r="DD3261" s="5" t="s">
        <v>240</v>
      </c>
      <c r="DE3261" s="5" t="s">
        <v>240</v>
      </c>
      <c r="DF3261" s="5" t="s">
        <v>240</v>
      </c>
      <c r="DG3261" s="7">
        <f>0</f>
        <v>0</v>
      </c>
      <c r="DI3261" s="5" t="s">
        <v>240</v>
      </c>
      <c r="DJ3261" s="5" t="s">
        <v>240</v>
      </c>
      <c r="DK3261" s="5" t="s">
        <v>240</v>
      </c>
      <c r="DL3261" s="5" t="s">
        <v>240</v>
      </c>
      <c r="DM3261" s="5" t="s">
        <v>240</v>
      </c>
      <c r="DN3261" s="5" t="s">
        <v>240</v>
      </c>
      <c r="DO3261" s="7" t="s">
        <v>240</v>
      </c>
      <c r="DP3261" s="5" t="s">
        <v>240</v>
      </c>
      <c r="DQ3261" s="5" t="s">
        <v>240</v>
      </c>
      <c r="DR3261" s="5" t="s">
        <v>731</v>
      </c>
      <c r="DS3261" s="5" t="s">
        <v>731</v>
      </c>
      <c r="DT3261" s="5" t="s">
        <v>240</v>
      </c>
      <c r="DU3261" s="5" t="s">
        <v>240</v>
      </c>
      <c r="DV3261" s="5" t="s">
        <v>3683</v>
      </c>
      <c r="DW3261" s="5" t="s">
        <v>713</v>
      </c>
      <c r="DX3261" s="5" t="s">
        <v>240</v>
      </c>
      <c r="DY3261" s="5" t="s">
        <v>240</v>
      </c>
      <c r="DZ3261" s="5" t="s">
        <v>240</v>
      </c>
      <c r="EA3261" s="5" t="s">
        <v>240</v>
      </c>
      <c r="EB3261" s="5" t="s">
        <v>240</v>
      </c>
      <c r="EC3261" s="5" t="s">
        <v>240</v>
      </c>
      <c r="ED3261" s="5" t="s">
        <v>240</v>
      </c>
      <c r="EE3261" s="5" t="s">
        <v>240</v>
      </c>
      <c r="EF3261" s="5" t="s">
        <v>240</v>
      </c>
      <c r="EG3261" s="5" t="s">
        <v>240</v>
      </c>
      <c r="EH3261" s="5" t="s">
        <v>240</v>
      </c>
      <c r="EI3261" s="5" t="s">
        <v>240</v>
      </c>
      <c r="EJ3261" s="5" t="s">
        <v>240</v>
      </c>
      <c r="EK3261" s="5" t="s">
        <v>240</v>
      </c>
      <c r="EL3261" s="5" t="s">
        <v>240</v>
      </c>
      <c r="EM3261" s="5" t="s">
        <v>240</v>
      </c>
      <c r="EN3261" s="5" t="s">
        <v>240</v>
      </c>
      <c r="EO3261" s="5" t="s">
        <v>240</v>
      </c>
      <c r="EP3261" s="5" t="s">
        <v>240</v>
      </c>
      <c r="EQ3261" s="5" t="s">
        <v>240</v>
      </c>
      <c r="ER3261" s="5" t="s">
        <v>240</v>
      </c>
      <c r="ES3261" s="5" t="s">
        <v>240</v>
      </c>
      <c r="ET3261" s="5" t="s">
        <v>240</v>
      </c>
      <c r="EU3261" s="5" t="s">
        <v>240</v>
      </c>
      <c r="EV3261" s="5" t="s">
        <v>240</v>
      </c>
      <c r="EW3261" s="5" t="s">
        <v>240</v>
      </c>
      <c r="EX3261" s="5" t="s">
        <v>240</v>
      </c>
      <c r="EY3261" s="5" t="s">
        <v>240</v>
      </c>
      <c r="EZ3261" s="5" t="s">
        <v>240</v>
      </c>
      <c r="FA3261" s="5" t="s">
        <v>240</v>
      </c>
      <c r="FB3261" s="5" t="s">
        <v>240</v>
      </c>
      <c r="FC3261" s="5" t="s">
        <v>240</v>
      </c>
      <c r="FD3261" s="5" t="s">
        <v>240</v>
      </c>
      <c r="FE3261" s="5" t="s">
        <v>240</v>
      </c>
      <c r="FF3261" s="5" t="s">
        <v>240</v>
      </c>
      <c r="FG3261" s="5" t="s">
        <v>240</v>
      </c>
      <c r="FH3261" s="5" t="s">
        <v>240</v>
      </c>
      <c r="FI3261" s="5" t="s">
        <v>240</v>
      </c>
      <c r="FJ3261" s="5" t="s">
        <v>240</v>
      </c>
      <c r="FK3261" s="5" t="s">
        <v>240</v>
      </c>
      <c r="FL3261" s="5" t="s">
        <v>240</v>
      </c>
      <c r="FM3261" s="5" t="s">
        <v>240</v>
      </c>
      <c r="FN3261" s="5" t="s">
        <v>240</v>
      </c>
      <c r="FO3261" s="5" t="s">
        <v>240</v>
      </c>
      <c r="FP3261" s="5" t="s">
        <v>240</v>
      </c>
      <c r="FQ3261" s="5" t="s">
        <v>240</v>
      </c>
      <c r="FR3261" s="5" t="s">
        <v>240</v>
      </c>
      <c r="FS3261" s="5" t="s">
        <v>240</v>
      </c>
      <c r="FT3261" s="5" t="s">
        <v>240</v>
      </c>
      <c r="FU3261" s="5" t="s">
        <v>240</v>
      </c>
      <c r="FV3261" s="5" t="s">
        <v>240</v>
      </c>
      <c r="FW3261" s="5" t="s">
        <v>240</v>
      </c>
      <c r="FX3261" s="5" t="s">
        <v>240</v>
      </c>
      <c r="FY3261" s="5" t="s">
        <v>240</v>
      </c>
      <c r="FZ3261" s="5" t="s">
        <v>240</v>
      </c>
      <c r="GA3261" s="5" t="s">
        <v>240</v>
      </c>
      <c r="GB3261" s="5" t="s">
        <v>240</v>
      </c>
      <c r="GC3261" s="5" t="s">
        <v>240</v>
      </c>
      <c r="GD3261" s="5" t="s">
        <v>240</v>
      </c>
      <c r="GE3261" s="5" t="s">
        <v>240</v>
      </c>
      <c r="GF3261" s="5" t="s">
        <v>240</v>
      </c>
      <c r="GG3261" s="5" t="s">
        <v>240</v>
      </c>
      <c r="GH3261" s="5" t="s">
        <v>240</v>
      </c>
      <c r="GI3261" s="5" t="s">
        <v>240</v>
      </c>
      <c r="GJ3261" s="5" t="s">
        <v>240</v>
      </c>
      <c r="GK3261" s="5" t="s">
        <v>240</v>
      </c>
      <c r="GL3261" s="5" t="s">
        <v>240</v>
      </c>
      <c r="GM3261" s="5" t="s">
        <v>240</v>
      </c>
      <c r="GN3261" s="5" t="s">
        <v>240</v>
      </c>
      <c r="GO3261" s="5" t="s">
        <v>240</v>
      </c>
      <c r="GP3261" s="5" t="s">
        <v>240</v>
      </c>
      <c r="GQ3261" s="5" t="s">
        <v>240</v>
      </c>
      <c r="GR3261" s="5" t="s">
        <v>240</v>
      </c>
      <c r="GS3261" s="5" t="s">
        <v>240</v>
      </c>
      <c r="GT3261" s="5" t="s">
        <v>240</v>
      </c>
      <c r="GU3261" s="5" t="s">
        <v>240</v>
      </c>
      <c r="GV3261" s="5" t="s">
        <v>240</v>
      </c>
      <c r="GW3261" s="5" t="s">
        <v>240</v>
      </c>
      <c r="GX3261" s="5" t="s">
        <v>240</v>
      </c>
      <c r="GY3261" s="5" t="s">
        <v>240</v>
      </c>
      <c r="GZ3261" s="5" t="s">
        <v>240</v>
      </c>
      <c r="HA3261" s="5" t="s">
        <v>240</v>
      </c>
      <c r="HB3261" s="5" t="s">
        <v>240</v>
      </c>
      <c r="HC3261" s="5" t="s">
        <v>240</v>
      </c>
      <c r="HD3261" s="5" t="s">
        <v>240</v>
      </c>
      <c r="HE3261" s="5" t="s">
        <v>240</v>
      </c>
      <c r="HF3261" s="5" t="s">
        <v>240</v>
      </c>
      <c r="HG3261" s="5" t="s">
        <v>240</v>
      </c>
      <c r="HH3261" s="5" t="s">
        <v>240</v>
      </c>
      <c r="HI3261" s="5" t="s">
        <v>240</v>
      </c>
      <c r="HJ3261" s="5" t="s">
        <v>240</v>
      </c>
      <c r="HK3261" s="5" t="s">
        <v>240</v>
      </c>
      <c r="HL3261" s="5" t="s">
        <v>240</v>
      </c>
      <c r="HM3261" s="5" t="s">
        <v>240</v>
      </c>
      <c r="HN3261" s="5" t="s">
        <v>240</v>
      </c>
      <c r="HO3261" s="5" t="s">
        <v>312</v>
      </c>
      <c r="HP3261" s="5" t="s">
        <v>240</v>
      </c>
      <c r="HQ3261" s="5" t="s">
        <v>240</v>
      </c>
      <c r="HR3261" s="5" t="s">
        <v>240</v>
      </c>
      <c r="HS3261" s="5" t="s">
        <v>240</v>
      </c>
      <c r="HT3261" s="5" t="s">
        <v>240</v>
      </c>
      <c r="HU3261" s="5" t="s">
        <v>240</v>
      </c>
      <c r="HV3261" s="5" t="s">
        <v>240</v>
      </c>
      <c r="HW3261" s="5" t="s">
        <v>240</v>
      </c>
      <c r="HX3261" s="5" t="s">
        <v>240</v>
      </c>
      <c r="HY3261" s="5" t="s">
        <v>240</v>
      </c>
      <c r="HZ3261" s="5" t="s">
        <v>240</v>
      </c>
      <c r="IA3261" s="5" t="s">
        <v>240</v>
      </c>
      <c r="IB3261" s="5" t="s">
        <v>240</v>
      </c>
      <c r="IC3261" s="5" t="s">
        <v>240</v>
      </c>
      <c r="ID3261" s="5" t="s">
        <v>240</v>
      </c>
      <c r="IE3261" s="5" t="s">
        <v>240</v>
      </c>
      <c r="IF3261" s="5" t="s">
        <v>240</v>
      </c>
    </row>
    <row r="3262" spans="1:240" x14ac:dyDescent="0.4">
      <c r="A3262" s="5">
        <v>8804</v>
      </c>
      <c r="B3262" s="5">
        <v>1</v>
      </c>
      <c r="C3262" s="5">
        <v>2</v>
      </c>
      <c r="D3262" s="5" t="s">
        <v>6807</v>
      </c>
      <c r="E3262" s="5" t="s">
        <v>1325</v>
      </c>
      <c r="F3262" s="5" t="s">
        <v>254</v>
      </c>
      <c r="G3262" s="5" t="s">
        <v>6809</v>
      </c>
      <c r="H3262" s="6" t="s">
        <v>6810</v>
      </c>
      <c r="I3262" s="5" t="s">
        <v>6806</v>
      </c>
      <c r="J3262" s="8">
        <f>197.83</f>
        <v>197.83</v>
      </c>
      <c r="K3262" s="5" t="s">
        <v>308</v>
      </c>
      <c r="L3262" s="7">
        <f>6468474</f>
        <v>6468474</v>
      </c>
      <c r="M3262" s="7">
        <f>6468474</f>
        <v>6468474</v>
      </c>
      <c r="N3262" s="5" t="s">
        <v>242</v>
      </c>
      <c r="O3262" s="5">
        <v>1</v>
      </c>
      <c r="P3262" s="5" t="s">
        <v>294</v>
      </c>
      <c r="Q3262" s="5" t="s">
        <v>3678</v>
      </c>
      <c r="R3262" s="5" t="s">
        <v>240</v>
      </c>
      <c r="S3262" s="5" t="s">
        <v>240</v>
      </c>
      <c r="T3262" s="5" t="s">
        <v>243</v>
      </c>
      <c r="U3262" s="5" t="s">
        <v>244</v>
      </c>
      <c r="V3262" s="5" t="s">
        <v>240</v>
      </c>
      <c r="W3262" s="5" t="s">
        <v>240</v>
      </c>
      <c r="X3262" s="5" t="s">
        <v>240</v>
      </c>
      <c r="Y3262" s="5" t="s">
        <v>240</v>
      </c>
      <c r="Z3262" s="6" t="s">
        <v>298</v>
      </c>
      <c r="AA3262" s="6" t="s">
        <v>240</v>
      </c>
      <c r="AB3262" s="6" t="s">
        <v>240</v>
      </c>
      <c r="AC3262" s="5" t="s">
        <v>240</v>
      </c>
      <c r="AD3262" s="6" t="s">
        <v>240</v>
      </c>
      <c r="AE3262" s="6" t="s">
        <v>299</v>
      </c>
      <c r="AF3262" s="5" t="s">
        <v>248</v>
      </c>
      <c r="AG3262" s="5" t="s">
        <v>249</v>
      </c>
      <c r="AH3262" s="5" t="s">
        <v>240</v>
      </c>
      <c r="AI3262" s="5" t="s">
        <v>240</v>
      </c>
      <c r="AJ3262" s="5" t="s">
        <v>240</v>
      </c>
      <c r="AK3262" s="5" t="s">
        <v>240</v>
      </c>
      <c r="AL3262" s="5" t="s">
        <v>240</v>
      </c>
      <c r="AM3262" s="5" t="s">
        <v>240</v>
      </c>
      <c r="AN3262" s="5" t="s">
        <v>240</v>
      </c>
      <c r="AO3262" s="5" t="s">
        <v>240</v>
      </c>
      <c r="AP3262" s="6" t="s">
        <v>240</v>
      </c>
      <c r="AQ3262" s="6" t="s">
        <v>240</v>
      </c>
      <c r="AR3262" s="6" t="s">
        <v>240</v>
      </c>
      <c r="AS3262" s="6" t="s">
        <v>240</v>
      </c>
      <c r="AT3262" s="5" t="s">
        <v>240</v>
      </c>
      <c r="AU3262" s="5" t="s">
        <v>729</v>
      </c>
      <c r="AV3262" s="5" t="s">
        <v>729</v>
      </c>
      <c r="AW3262" s="5" t="s">
        <v>251</v>
      </c>
      <c r="AX3262" s="5" t="s">
        <v>252</v>
      </c>
      <c r="AY3262" s="5" t="s">
        <v>253</v>
      </c>
      <c r="AZ3262" s="5" t="s">
        <v>240</v>
      </c>
      <c r="BA3262" s="5" t="s">
        <v>255</v>
      </c>
      <c r="BB3262" s="5" t="s">
        <v>731</v>
      </c>
      <c r="BD3262" s="5" t="s">
        <v>240</v>
      </c>
      <c r="BF3262" s="5" t="s">
        <v>732</v>
      </c>
      <c r="BG3262" s="6" t="s">
        <v>733</v>
      </c>
      <c r="BH3262" s="5" t="s">
        <v>734</v>
      </c>
      <c r="BI3262" s="5" t="s">
        <v>734</v>
      </c>
      <c r="BJ3262" s="5" t="s">
        <v>240</v>
      </c>
      <c r="BK3262" s="7">
        <f>1</f>
        <v>1</v>
      </c>
      <c r="BL3262" s="7">
        <f>1</f>
        <v>1</v>
      </c>
      <c r="BM3262" s="5" t="s">
        <v>258</v>
      </c>
      <c r="BN3262" s="5" t="s">
        <v>259</v>
      </c>
      <c r="BO3262" s="5" t="s">
        <v>240</v>
      </c>
      <c r="BP3262" s="5" t="s">
        <v>240</v>
      </c>
      <c r="BQ3262" s="5" t="s">
        <v>240</v>
      </c>
      <c r="BR3262" s="5" t="s">
        <v>240</v>
      </c>
      <c r="BS3262" s="5" t="s">
        <v>240</v>
      </c>
      <c r="BT3262" s="5" t="s">
        <v>240</v>
      </c>
      <c r="BU3262" s="5" t="s">
        <v>240</v>
      </c>
      <c r="BV3262" s="5" t="s">
        <v>240</v>
      </c>
      <c r="BW3262" s="6" t="s">
        <v>240</v>
      </c>
      <c r="BX3262" s="5" t="s">
        <v>240</v>
      </c>
      <c r="BY3262" s="5" t="s">
        <v>240</v>
      </c>
      <c r="BZ3262" s="5" t="s">
        <v>240</v>
      </c>
      <c r="CA3262" s="5" t="s">
        <v>259</v>
      </c>
      <c r="CB3262" s="5" t="s">
        <v>240</v>
      </c>
      <c r="CC3262" s="5" t="s">
        <v>240</v>
      </c>
      <c r="CD3262" s="5" t="s">
        <v>240</v>
      </c>
      <c r="CE3262" s="5" t="s">
        <v>240</v>
      </c>
      <c r="CF3262" s="5" t="s">
        <v>240</v>
      </c>
      <c r="CG3262" s="5" t="s">
        <v>304</v>
      </c>
      <c r="CH3262" s="5" t="s">
        <v>305</v>
      </c>
      <c r="CI3262" s="5" t="s">
        <v>240</v>
      </c>
      <c r="CK3262" s="5" t="s">
        <v>3681</v>
      </c>
      <c r="CL3262" s="6" t="s">
        <v>261</v>
      </c>
      <c r="CM3262" s="5" t="s">
        <v>262</v>
      </c>
      <c r="CN3262" s="5" t="s">
        <v>263</v>
      </c>
      <c r="CO3262" s="5" t="s">
        <v>264</v>
      </c>
      <c r="CP3262" s="5" t="s">
        <v>240</v>
      </c>
      <c r="CQ3262" s="5">
        <v>0</v>
      </c>
      <c r="CR3262" s="5" t="s">
        <v>735</v>
      </c>
      <c r="CS3262" s="5" t="s">
        <v>307</v>
      </c>
      <c r="CT3262" s="5" t="s">
        <v>307</v>
      </c>
      <c r="CU3262" s="5" t="s">
        <v>260</v>
      </c>
      <c r="CV3262" s="5" t="s">
        <v>612</v>
      </c>
      <c r="CW3262" s="8">
        <f>1</f>
        <v>1</v>
      </c>
      <c r="CX3262" s="7">
        <f>1</f>
        <v>1</v>
      </c>
      <c r="CY3262" s="7">
        <f>0</f>
        <v>0</v>
      </c>
      <c r="DA3262" s="7">
        <f>1</f>
        <v>1</v>
      </c>
      <c r="DB3262" s="7" t="s">
        <v>240</v>
      </c>
      <c r="DC3262" s="5" t="s">
        <v>240</v>
      </c>
      <c r="DD3262" s="5" t="s">
        <v>240</v>
      </c>
      <c r="DE3262" s="5" t="s">
        <v>240</v>
      </c>
      <c r="DF3262" s="5" t="s">
        <v>240</v>
      </c>
      <c r="DG3262" s="7">
        <f>0</f>
        <v>0</v>
      </c>
      <c r="DI3262" s="5" t="s">
        <v>240</v>
      </c>
      <c r="DJ3262" s="5" t="s">
        <v>240</v>
      </c>
      <c r="DK3262" s="5" t="s">
        <v>240</v>
      </c>
      <c r="DL3262" s="5" t="s">
        <v>240</v>
      </c>
      <c r="DM3262" s="5" t="s">
        <v>240</v>
      </c>
      <c r="DN3262" s="5" t="s">
        <v>240</v>
      </c>
      <c r="DO3262" s="7" t="s">
        <v>240</v>
      </c>
      <c r="DP3262" s="5" t="s">
        <v>240</v>
      </c>
      <c r="DQ3262" s="5" t="s">
        <v>240</v>
      </c>
      <c r="DR3262" s="5" t="s">
        <v>731</v>
      </c>
      <c r="DS3262" s="5" t="s">
        <v>731</v>
      </c>
      <c r="DT3262" s="5" t="s">
        <v>240</v>
      </c>
      <c r="DU3262" s="5" t="s">
        <v>240</v>
      </c>
      <c r="DV3262" s="5" t="s">
        <v>3683</v>
      </c>
      <c r="DW3262" s="5" t="s">
        <v>721</v>
      </c>
      <c r="DX3262" s="5" t="s">
        <v>240</v>
      </c>
      <c r="DY3262" s="5" t="s">
        <v>240</v>
      </c>
      <c r="DZ3262" s="5" t="s">
        <v>240</v>
      </c>
      <c r="EA3262" s="5" t="s">
        <v>240</v>
      </c>
      <c r="EB3262" s="5" t="s">
        <v>240</v>
      </c>
      <c r="EC3262" s="5" t="s">
        <v>240</v>
      </c>
      <c r="ED3262" s="5" t="s">
        <v>240</v>
      </c>
      <c r="EE3262" s="5" t="s">
        <v>240</v>
      </c>
      <c r="EF3262" s="5" t="s">
        <v>240</v>
      </c>
      <c r="EG3262" s="5" t="s">
        <v>240</v>
      </c>
      <c r="EH3262" s="5" t="s">
        <v>240</v>
      </c>
      <c r="EI3262" s="5" t="s">
        <v>240</v>
      </c>
      <c r="EJ3262" s="5" t="s">
        <v>240</v>
      </c>
      <c r="EK3262" s="5" t="s">
        <v>240</v>
      </c>
      <c r="EL3262" s="5" t="s">
        <v>240</v>
      </c>
      <c r="EM3262" s="5" t="s">
        <v>240</v>
      </c>
      <c r="EN3262" s="5" t="s">
        <v>240</v>
      </c>
      <c r="EO3262" s="5" t="s">
        <v>240</v>
      </c>
      <c r="EP3262" s="5" t="s">
        <v>240</v>
      </c>
      <c r="EQ3262" s="5" t="s">
        <v>240</v>
      </c>
      <c r="ER3262" s="5" t="s">
        <v>240</v>
      </c>
      <c r="ES3262" s="5" t="s">
        <v>240</v>
      </c>
      <c r="ET3262" s="5" t="s">
        <v>240</v>
      </c>
      <c r="EU3262" s="5" t="s">
        <v>240</v>
      </c>
      <c r="EV3262" s="5" t="s">
        <v>240</v>
      </c>
      <c r="EW3262" s="5" t="s">
        <v>240</v>
      </c>
      <c r="EX3262" s="5" t="s">
        <v>240</v>
      </c>
      <c r="EY3262" s="5" t="s">
        <v>240</v>
      </c>
      <c r="EZ3262" s="5" t="s">
        <v>240</v>
      </c>
      <c r="FA3262" s="5" t="s">
        <v>240</v>
      </c>
      <c r="FB3262" s="5" t="s">
        <v>240</v>
      </c>
      <c r="FC3262" s="5" t="s">
        <v>240</v>
      </c>
      <c r="FD3262" s="5" t="s">
        <v>240</v>
      </c>
      <c r="FE3262" s="5" t="s">
        <v>240</v>
      </c>
      <c r="FF3262" s="5" t="s">
        <v>240</v>
      </c>
      <c r="FG3262" s="5" t="s">
        <v>240</v>
      </c>
      <c r="FH3262" s="5" t="s">
        <v>240</v>
      </c>
      <c r="FI3262" s="5" t="s">
        <v>240</v>
      </c>
      <c r="FJ3262" s="5" t="s">
        <v>240</v>
      </c>
      <c r="FK3262" s="5" t="s">
        <v>240</v>
      </c>
      <c r="FL3262" s="5" t="s">
        <v>240</v>
      </c>
      <c r="FM3262" s="5" t="s">
        <v>240</v>
      </c>
      <c r="FN3262" s="5" t="s">
        <v>240</v>
      </c>
      <c r="FO3262" s="5" t="s">
        <v>240</v>
      </c>
      <c r="FP3262" s="5" t="s">
        <v>240</v>
      </c>
      <c r="FQ3262" s="5" t="s">
        <v>240</v>
      </c>
      <c r="FR3262" s="5" t="s">
        <v>240</v>
      </c>
      <c r="FS3262" s="5" t="s">
        <v>240</v>
      </c>
      <c r="FT3262" s="5" t="s">
        <v>240</v>
      </c>
      <c r="FU3262" s="5" t="s">
        <v>240</v>
      </c>
      <c r="FV3262" s="5" t="s">
        <v>240</v>
      </c>
      <c r="FW3262" s="5" t="s">
        <v>240</v>
      </c>
      <c r="FX3262" s="5" t="s">
        <v>240</v>
      </c>
      <c r="FY3262" s="5" t="s">
        <v>240</v>
      </c>
      <c r="FZ3262" s="5" t="s">
        <v>240</v>
      </c>
      <c r="GA3262" s="5" t="s">
        <v>240</v>
      </c>
      <c r="GB3262" s="5" t="s">
        <v>240</v>
      </c>
      <c r="GC3262" s="5" t="s">
        <v>240</v>
      </c>
      <c r="GD3262" s="5" t="s">
        <v>240</v>
      </c>
      <c r="GE3262" s="5" t="s">
        <v>240</v>
      </c>
      <c r="GF3262" s="5" t="s">
        <v>240</v>
      </c>
      <c r="GG3262" s="5" t="s">
        <v>240</v>
      </c>
      <c r="GH3262" s="5" t="s">
        <v>240</v>
      </c>
      <c r="GI3262" s="5" t="s">
        <v>240</v>
      </c>
      <c r="GJ3262" s="5" t="s">
        <v>240</v>
      </c>
      <c r="GK3262" s="5" t="s">
        <v>240</v>
      </c>
      <c r="GL3262" s="5" t="s">
        <v>240</v>
      </c>
      <c r="GM3262" s="5" t="s">
        <v>240</v>
      </c>
      <c r="GN3262" s="5" t="s">
        <v>240</v>
      </c>
      <c r="GO3262" s="5" t="s">
        <v>240</v>
      </c>
      <c r="GP3262" s="5" t="s">
        <v>240</v>
      </c>
      <c r="GQ3262" s="5" t="s">
        <v>240</v>
      </c>
      <c r="GR3262" s="5" t="s">
        <v>240</v>
      </c>
      <c r="GS3262" s="5" t="s">
        <v>240</v>
      </c>
      <c r="GT3262" s="5" t="s">
        <v>240</v>
      </c>
      <c r="GU3262" s="5" t="s">
        <v>240</v>
      </c>
      <c r="GV3262" s="5" t="s">
        <v>240</v>
      </c>
      <c r="GW3262" s="5" t="s">
        <v>240</v>
      </c>
      <c r="GX3262" s="5" t="s">
        <v>240</v>
      </c>
      <c r="GY3262" s="5" t="s">
        <v>240</v>
      </c>
      <c r="GZ3262" s="5" t="s">
        <v>240</v>
      </c>
      <c r="HA3262" s="5" t="s">
        <v>240</v>
      </c>
      <c r="HB3262" s="5" t="s">
        <v>240</v>
      </c>
      <c r="HC3262" s="5" t="s">
        <v>240</v>
      </c>
      <c r="HD3262" s="5" t="s">
        <v>240</v>
      </c>
      <c r="HE3262" s="5" t="s">
        <v>240</v>
      </c>
      <c r="HF3262" s="5" t="s">
        <v>240</v>
      </c>
      <c r="HG3262" s="5" t="s">
        <v>240</v>
      </c>
      <c r="HH3262" s="5" t="s">
        <v>240</v>
      </c>
      <c r="HI3262" s="5" t="s">
        <v>240</v>
      </c>
      <c r="HJ3262" s="5" t="s">
        <v>240</v>
      </c>
      <c r="HK3262" s="5" t="s">
        <v>240</v>
      </c>
      <c r="HL3262" s="5" t="s">
        <v>240</v>
      </c>
      <c r="HM3262" s="5" t="s">
        <v>240</v>
      </c>
      <c r="HN3262" s="5" t="s">
        <v>240</v>
      </c>
      <c r="HO3262" s="5" t="s">
        <v>312</v>
      </c>
      <c r="HP3262" s="5" t="s">
        <v>240</v>
      </c>
      <c r="HQ3262" s="5" t="s">
        <v>240</v>
      </c>
      <c r="HR3262" s="5" t="s">
        <v>240</v>
      </c>
      <c r="HS3262" s="5" t="s">
        <v>240</v>
      </c>
      <c r="HT3262" s="5" t="s">
        <v>240</v>
      </c>
      <c r="HU3262" s="5" t="s">
        <v>240</v>
      </c>
      <c r="HV3262" s="5" t="s">
        <v>240</v>
      </c>
      <c r="HW3262" s="5" t="s">
        <v>240</v>
      </c>
      <c r="HX3262" s="5" t="s">
        <v>240</v>
      </c>
      <c r="HY3262" s="5" t="s">
        <v>240</v>
      </c>
      <c r="HZ3262" s="5" t="s">
        <v>240</v>
      </c>
      <c r="IA3262" s="5" t="s">
        <v>240</v>
      </c>
      <c r="IB3262" s="5" t="s">
        <v>240</v>
      </c>
      <c r="IC3262" s="5" t="s">
        <v>240</v>
      </c>
      <c r="ID3262" s="5" t="s">
        <v>240</v>
      </c>
      <c r="IE3262" s="5" t="s">
        <v>240</v>
      </c>
      <c r="IF3262" s="5" t="s">
        <v>240</v>
      </c>
    </row>
    <row r="3263" spans="1:240" x14ac:dyDescent="0.4">
      <c r="A3263" s="5">
        <v>8805</v>
      </c>
      <c r="B3263" s="5">
        <v>1</v>
      </c>
      <c r="C3263" s="5">
        <v>1</v>
      </c>
      <c r="D3263" s="5" t="s">
        <v>829</v>
      </c>
      <c r="E3263" s="5" t="s">
        <v>1325</v>
      </c>
      <c r="F3263" s="5" t="s">
        <v>254</v>
      </c>
      <c r="G3263" s="5" t="s">
        <v>7227</v>
      </c>
      <c r="H3263" s="6" t="s">
        <v>7228</v>
      </c>
      <c r="I3263" s="5" t="s">
        <v>6940</v>
      </c>
      <c r="J3263" s="8">
        <f>14.44</f>
        <v>14.44</v>
      </c>
      <c r="K3263" s="5" t="s">
        <v>308</v>
      </c>
      <c r="L3263" s="7">
        <f>23207</f>
        <v>23207</v>
      </c>
      <c r="M3263" s="7">
        <f>23207</f>
        <v>23207</v>
      </c>
      <c r="N3263" s="5" t="s">
        <v>242</v>
      </c>
      <c r="O3263" s="5">
        <v>1</v>
      </c>
      <c r="P3263" s="5" t="s">
        <v>294</v>
      </c>
      <c r="Q3263" s="5" t="s">
        <v>3678</v>
      </c>
      <c r="R3263" s="5" t="s">
        <v>240</v>
      </c>
      <c r="S3263" s="5" t="s">
        <v>240</v>
      </c>
      <c r="T3263" s="5" t="s">
        <v>243</v>
      </c>
      <c r="U3263" s="5" t="s">
        <v>244</v>
      </c>
      <c r="V3263" s="5" t="s">
        <v>240</v>
      </c>
      <c r="W3263" s="5" t="s">
        <v>240</v>
      </c>
      <c r="X3263" s="5" t="s">
        <v>240</v>
      </c>
      <c r="Y3263" s="5" t="s">
        <v>240</v>
      </c>
      <c r="Z3263" s="6" t="s">
        <v>298</v>
      </c>
      <c r="AA3263" s="6" t="s">
        <v>240</v>
      </c>
      <c r="AB3263" s="6" t="s">
        <v>240</v>
      </c>
      <c r="AC3263" s="5" t="s">
        <v>240</v>
      </c>
      <c r="AD3263" s="6" t="s">
        <v>240</v>
      </c>
      <c r="AE3263" s="6" t="s">
        <v>299</v>
      </c>
      <c r="AF3263" s="5" t="s">
        <v>248</v>
      </c>
      <c r="AG3263" s="5" t="s">
        <v>249</v>
      </c>
      <c r="AH3263" s="5" t="s">
        <v>240</v>
      </c>
      <c r="AI3263" s="5" t="s">
        <v>240</v>
      </c>
      <c r="AJ3263" s="5" t="s">
        <v>240</v>
      </c>
      <c r="AK3263" s="5" t="s">
        <v>240</v>
      </c>
      <c r="AL3263" s="5" t="s">
        <v>240</v>
      </c>
      <c r="AM3263" s="5" t="s">
        <v>240</v>
      </c>
      <c r="AN3263" s="5" t="s">
        <v>240</v>
      </c>
      <c r="AO3263" s="5" t="s">
        <v>240</v>
      </c>
      <c r="AP3263" s="6" t="s">
        <v>240</v>
      </c>
      <c r="AQ3263" s="6" t="s">
        <v>240</v>
      </c>
      <c r="AR3263" s="6" t="s">
        <v>240</v>
      </c>
      <c r="AS3263" s="6" t="s">
        <v>240</v>
      </c>
      <c r="AT3263" s="5" t="s">
        <v>240</v>
      </c>
      <c r="AU3263" s="5" t="s">
        <v>729</v>
      </c>
      <c r="AV3263" s="5" t="s">
        <v>729</v>
      </c>
      <c r="AW3263" s="5" t="s">
        <v>251</v>
      </c>
      <c r="AX3263" s="5" t="s">
        <v>252</v>
      </c>
      <c r="AY3263" s="5" t="s">
        <v>253</v>
      </c>
      <c r="AZ3263" s="5" t="s">
        <v>240</v>
      </c>
      <c r="BA3263" s="5" t="s">
        <v>255</v>
      </c>
      <c r="BB3263" s="5" t="s">
        <v>731</v>
      </c>
      <c r="BD3263" s="5" t="s">
        <v>240</v>
      </c>
      <c r="BF3263" s="5" t="s">
        <v>732</v>
      </c>
      <c r="BG3263" s="6" t="s">
        <v>733</v>
      </c>
      <c r="BH3263" s="5" t="s">
        <v>734</v>
      </c>
      <c r="BI3263" s="5" t="s">
        <v>734</v>
      </c>
      <c r="BJ3263" s="5" t="s">
        <v>240</v>
      </c>
      <c r="BK3263" s="7">
        <f>1</f>
        <v>1</v>
      </c>
      <c r="BL3263" s="7">
        <f>1</f>
        <v>1</v>
      </c>
      <c r="BM3263" s="5" t="s">
        <v>258</v>
      </c>
      <c r="BN3263" s="5" t="s">
        <v>259</v>
      </c>
      <c r="BO3263" s="5" t="s">
        <v>240</v>
      </c>
      <c r="BP3263" s="5" t="s">
        <v>240</v>
      </c>
      <c r="BQ3263" s="5" t="s">
        <v>240</v>
      </c>
      <c r="BR3263" s="5" t="s">
        <v>240</v>
      </c>
      <c r="BS3263" s="5" t="s">
        <v>240</v>
      </c>
      <c r="BT3263" s="5" t="s">
        <v>240</v>
      </c>
      <c r="BU3263" s="5" t="s">
        <v>240</v>
      </c>
      <c r="BV3263" s="5" t="s">
        <v>240</v>
      </c>
      <c r="BW3263" s="6" t="s">
        <v>240</v>
      </c>
      <c r="BX3263" s="5" t="s">
        <v>240</v>
      </c>
      <c r="BY3263" s="5" t="s">
        <v>240</v>
      </c>
      <c r="BZ3263" s="5" t="s">
        <v>240</v>
      </c>
      <c r="CA3263" s="5" t="s">
        <v>259</v>
      </c>
      <c r="CB3263" s="5" t="s">
        <v>240</v>
      </c>
      <c r="CC3263" s="5" t="s">
        <v>240</v>
      </c>
      <c r="CD3263" s="5" t="s">
        <v>240</v>
      </c>
      <c r="CE3263" s="5" t="s">
        <v>240</v>
      </c>
      <c r="CF3263" s="5" t="s">
        <v>240</v>
      </c>
      <c r="CG3263" s="5" t="s">
        <v>304</v>
      </c>
      <c r="CH3263" s="5" t="s">
        <v>305</v>
      </c>
      <c r="CI3263" s="5" t="s">
        <v>240</v>
      </c>
      <c r="CK3263" s="5" t="s">
        <v>3681</v>
      </c>
      <c r="CL3263" s="6" t="s">
        <v>261</v>
      </c>
      <c r="CM3263" s="5" t="s">
        <v>262</v>
      </c>
      <c r="CN3263" s="5" t="s">
        <v>263</v>
      </c>
      <c r="CO3263" s="5" t="s">
        <v>264</v>
      </c>
      <c r="CP3263" s="5" t="s">
        <v>240</v>
      </c>
      <c r="CQ3263" s="5">
        <v>0</v>
      </c>
      <c r="CR3263" s="5" t="s">
        <v>735</v>
      </c>
      <c r="CS3263" s="5" t="s">
        <v>307</v>
      </c>
      <c r="CT3263" s="5" t="s">
        <v>307</v>
      </c>
      <c r="CU3263" s="5" t="s">
        <v>260</v>
      </c>
      <c r="CV3263" s="5" t="s">
        <v>612</v>
      </c>
      <c r="CW3263" s="8">
        <f>1</f>
        <v>1</v>
      </c>
      <c r="CX3263" s="7">
        <f>1</f>
        <v>1</v>
      </c>
      <c r="CY3263" s="7">
        <f>0</f>
        <v>0</v>
      </c>
      <c r="DA3263" s="7">
        <f>1</f>
        <v>1</v>
      </c>
      <c r="DB3263" s="7" t="s">
        <v>240</v>
      </c>
      <c r="DC3263" s="5" t="s">
        <v>240</v>
      </c>
      <c r="DD3263" s="5" t="s">
        <v>240</v>
      </c>
      <c r="DE3263" s="5" t="s">
        <v>240</v>
      </c>
      <c r="DF3263" s="5" t="s">
        <v>240</v>
      </c>
      <c r="DG3263" s="7">
        <f>0</f>
        <v>0</v>
      </c>
      <c r="DI3263" s="5" t="s">
        <v>240</v>
      </c>
      <c r="DJ3263" s="5" t="s">
        <v>240</v>
      </c>
      <c r="DK3263" s="5" t="s">
        <v>240</v>
      </c>
      <c r="DL3263" s="5" t="s">
        <v>240</v>
      </c>
      <c r="DM3263" s="5" t="s">
        <v>240</v>
      </c>
      <c r="DN3263" s="5" t="s">
        <v>240</v>
      </c>
      <c r="DO3263" s="7" t="s">
        <v>240</v>
      </c>
      <c r="DP3263" s="5" t="s">
        <v>240</v>
      </c>
      <c r="DQ3263" s="5" t="s">
        <v>240</v>
      </c>
      <c r="DR3263" s="5" t="s">
        <v>731</v>
      </c>
      <c r="DS3263" s="5" t="s">
        <v>731</v>
      </c>
      <c r="DT3263" s="5" t="s">
        <v>240</v>
      </c>
      <c r="DU3263" s="5" t="s">
        <v>240</v>
      </c>
      <c r="DV3263" s="5" t="s">
        <v>3683</v>
      </c>
      <c r="DW3263" s="5" t="s">
        <v>4003</v>
      </c>
      <c r="DX3263" s="5" t="s">
        <v>240</v>
      </c>
      <c r="DY3263" s="5" t="s">
        <v>240</v>
      </c>
      <c r="DZ3263" s="5" t="s">
        <v>240</v>
      </c>
      <c r="EA3263" s="5" t="s">
        <v>240</v>
      </c>
      <c r="EB3263" s="5" t="s">
        <v>240</v>
      </c>
      <c r="EC3263" s="5" t="s">
        <v>240</v>
      </c>
      <c r="ED3263" s="5" t="s">
        <v>240</v>
      </c>
      <c r="EE3263" s="5" t="s">
        <v>240</v>
      </c>
      <c r="EF3263" s="5" t="s">
        <v>240</v>
      </c>
      <c r="EG3263" s="5" t="s">
        <v>240</v>
      </c>
      <c r="EH3263" s="5" t="s">
        <v>240</v>
      </c>
      <c r="EI3263" s="5" t="s">
        <v>240</v>
      </c>
      <c r="EJ3263" s="5" t="s">
        <v>240</v>
      </c>
      <c r="EK3263" s="5" t="s">
        <v>240</v>
      </c>
      <c r="EL3263" s="5" t="s">
        <v>240</v>
      </c>
      <c r="EM3263" s="5" t="s">
        <v>240</v>
      </c>
      <c r="EN3263" s="5" t="s">
        <v>240</v>
      </c>
      <c r="EO3263" s="5" t="s">
        <v>240</v>
      </c>
      <c r="EP3263" s="5" t="s">
        <v>240</v>
      </c>
      <c r="EQ3263" s="5" t="s">
        <v>240</v>
      </c>
      <c r="ER3263" s="5" t="s">
        <v>240</v>
      </c>
      <c r="ES3263" s="5" t="s">
        <v>240</v>
      </c>
      <c r="ET3263" s="5" t="s">
        <v>240</v>
      </c>
      <c r="EU3263" s="5" t="s">
        <v>240</v>
      </c>
      <c r="EV3263" s="5" t="s">
        <v>240</v>
      </c>
      <c r="EW3263" s="5" t="s">
        <v>240</v>
      </c>
      <c r="EX3263" s="5" t="s">
        <v>240</v>
      </c>
      <c r="EY3263" s="5" t="s">
        <v>240</v>
      </c>
      <c r="EZ3263" s="5" t="s">
        <v>240</v>
      </c>
      <c r="FA3263" s="5" t="s">
        <v>240</v>
      </c>
      <c r="FB3263" s="5" t="s">
        <v>240</v>
      </c>
      <c r="FC3263" s="5" t="s">
        <v>240</v>
      </c>
      <c r="FD3263" s="5" t="s">
        <v>240</v>
      </c>
      <c r="FE3263" s="5" t="s">
        <v>240</v>
      </c>
      <c r="FF3263" s="5" t="s">
        <v>240</v>
      </c>
      <c r="FG3263" s="5" t="s">
        <v>240</v>
      </c>
      <c r="FH3263" s="5" t="s">
        <v>240</v>
      </c>
      <c r="FI3263" s="5" t="s">
        <v>240</v>
      </c>
      <c r="FJ3263" s="5" t="s">
        <v>240</v>
      </c>
      <c r="FK3263" s="5" t="s">
        <v>240</v>
      </c>
      <c r="FL3263" s="5" t="s">
        <v>240</v>
      </c>
      <c r="FM3263" s="5" t="s">
        <v>240</v>
      </c>
      <c r="FN3263" s="5" t="s">
        <v>240</v>
      </c>
      <c r="FO3263" s="5" t="s">
        <v>240</v>
      </c>
      <c r="FP3263" s="5" t="s">
        <v>240</v>
      </c>
      <c r="FQ3263" s="5" t="s">
        <v>240</v>
      </c>
      <c r="FR3263" s="5" t="s">
        <v>240</v>
      </c>
      <c r="FS3263" s="5" t="s">
        <v>240</v>
      </c>
      <c r="FT3263" s="5" t="s">
        <v>240</v>
      </c>
      <c r="FU3263" s="5" t="s">
        <v>240</v>
      </c>
      <c r="FV3263" s="5" t="s">
        <v>240</v>
      </c>
      <c r="FW3263" s="5" t="s">
        <v>240</v>
      </c>
      <c r="FX3263" s="5" t="s">
        <v>240</v>
      </c>
      <c r="FY3263" s="5" t="s">
        <v>240</v>
      </c>
      <c r="FZ3263" s="5" t="s">
        <v>240</v>
      </c>
      <c r="GA3263" s="5" t="s">
        <v>240</v>
      </c>
      <c r="GB3263" s="5" t="s">
        <v>240</v>
      </c>
      <c r="GC3263" s="5" t="s">
        <v>240</v>
      </c>
      <c r="GD3263" s="5" t="s">
        <v>240</v>
      </c>
      <c r="GE3263" s="5" t="s">
        <v>240</v>
      </c>
      <c r="GF3263" s="5" t="s">
        <v>240</v>
      </c>
      <c r="GG3263" s="5" t="s">
        <v>240</v>
      </c>
      <c r="GH3263" s="5" t="s">
        <v>240</v>
      </c>
      <c r="GI3263" s="5" t="s">
        <v>240</v>
      </c>
      <c r="GJ3263" s="5" t="s">
        <v>240</v>
      </c>
      <c r="GK3263" s="5" t="s">
        <v>240</v>
      </c>
      <c r="GL3263" s="5" t="s">
        <v>240</v>
      </c>
      <c r="GM3263" s="5" t="s">
        <v>240</v>
      </c>
      <c r="GN3263" s="5" t="s">
        <v>240</v>
      </c>
      <c r="GO3263" s="5" t="s">
        <v>240</v>
      </c>
      <c r="GP3263" s="5" t="s">
        <v>240</v>
      </c>
      <c r="GQ3263" s="5" t="s">
        <v>240</v>
      </c>
      <c r="GR3263" s="5" t="s">
        <v>240</v>
      </c>
      <c r="GS3263" s="5" t="s">
        <v>240</v>
      </c>
      <c r="GT3263" s="5" t="s">
        <v>240</v>
      </c>
      <c r="GU3263" s="5" t="s">
        <v>240</v>
      </c>
      <c r="GV3263" s="5" t="s">
        <v>240</v>
      </c>
      <c r="GW3263" s="5" t="s">
        <v>240</v>
      </c>
      <c r="GX3263" s="5" t="s">
        <v>240</v>
      </c>
      <c r="GY3263" s="5" t="s">
        <v>240</v>
      </c>
      <c r="GZ3263" s="5" t="s">
        <v>240</v>
      </c>
      <c r="HA3263" s="5" t="s">
        <v>240</v>
      </c>
      <c r="HB3263" s="5" t="s">
        <v>240</v>
      </c>
      <c r="HC3263" s="5" t="s">
        <v>240</v>
      </c>
      <c r="HD3263" s="5" t="s">
        <v>240</v>
      </c>
      <c r="HE3263" s="5" t="s">
        <v>240</v>
      </c>
      <c r="HF3263" s="5" t="s">
        <v>240</v>
      </c>
      <c r="HG3263" s="5" t="s">
        <v>240</v>
      </c>
      <c r="HH3263" s="5" t="s">
        <v>240</v>
      </c>
      <c r="HI3263" s="5" t="s">
        <v>240</v>
      </c>
      <c r="HJ3263" s="5" t="s">
        <v>240</v>
      </c>
      <c r="HK3263" s="5" t="s">
        <v>240</v>
      </c>
      <c r="HL3263" s="5" t="s">
        <v>240</v>
      </c>
      <c r="HM3263" s="5" t="s">
        <v>240</v>
      </c>
      <c r="HN3263" s="5" t="s">
        <v>240</v>
      </c>
      <c r="HO3263" s="5" t="s">
        <v>312</v>
      </c>
      <c r="HP3263" s="5" t="s">
        <v>240</v>
      </c>
      <c r="HQ3263" s="5" t="s">
        <v>240</v>
      </c>
      <c r="HR3263" s="5" t="s">
        <v>240</v>
      </c>
      <c r="HS3263" s="5" t="s">
        <v>240</v>
      </c>
      <c r="HT3263" s="5" t="s">
        <v>240</v>
      </c>
      <c r="HU3263" s="5" t="s">
        <v>240</v>
      </c>
      <c r="HV3263" s="5" t="s">
        <v>240</v>
      </c>
      <c r="HW3263" s="5" t="s">
        <v>240</v>
      </c>
      <c r="HX3263" s="5" t="s">
        <v>240</v>
      </c>
      <c r="HY3263" s="5" t="s">
        <v>240</v>
      </c>
      <c r="HZ3263" s="5" t="s">
        <v>240</v>
      </c>
      <c r="IA3263" s="5" t="s">
        <v>240</v>
      </c>
      <c r="IB3263" s="5" t="s">
        <v>240</v>
      </c>
      <c r="IC3263" s="5" t="s">
        <v>240</v>
      </c>
      <c r="ID3263" s="5" t="s">
        <v>240</v>
      </c>
      <c r="IE3263" s="5" t="s">
        <v>240</v>
      </c>
      <c r="IF3263" s="5" t="s">
        <v>240</v>
      </c>
    </row>
    <row r="3264" spans="1:240" x14ac:dyDescent="0.4">
      <c r="A3264" s="5">
        <v>8806</v>
      </c>
      <c r="B3264" s="5">
        <v>1</v>
      </c>
      <c r="C3264" s="5">
        <v>1</v>
      </c>
      <c r="D3264" s="5" t="s">
        <v>829</v>
      </c>
      <c r="E3264" s="5" t="s">
        <v>1325</v>
      </c>
      <c r="F3264" s="5" t="s">
        <v>254</v>
      </c>
      <c r="G3264" s="5" t="s">
        <v>6941</v>
      </c>
      <c r="H3264" s="6" t="s">
        <v>6942</v>
      </c>
      <c r="I3264" s="5" t="s">
        <v>6940</v>
      </c>
      <c r="J3264" s="8">
        <f>7.48</f>
        <v>7.48</v>
      </c>
      <c r="K3264" s="5" t="s">
        <v>308</v>
      </c>
      <c r="L3264" s="7">
        <f>12021</f>
        <v>12021</v>
      </c>
      <c r="M3264" s="7">
        <f>12021</f>
        <v>12021</v>
      </c>
      <c r="N3264" s="5" t="s">
        <v>242</v>
      </c>
      <c r="O3264" s="5">
        <v>1</v>
      </c>
      <c r="P3264" s="5" t="s">
        <v>294</v>
      </c>
      <c r="Q3264" s="5" t="s">
        <v>3678</v>
      </c>
      <c r="R3264" s="5" t="s">
        <v>240</v>
      </c>
      <c r="S3264" s="5" t="s">
        <v>240</v>
      </c>
      <c r="T3264" s="5" t="s">
        <v>243</v>
      </c>
      <c r="U3264" s="5" t="s">
        <v>244</v>
      </c>
      <c r="V3264" s="5" t="s">
        <v>240</v>
      </c>
      <c r="W3264" s="5" t="s">
        <v>240</v>
      </c>
      <c r="X3264" s="5" t="s">
        <v>240</v>
      </c>
      <c r="Y3264" s="5" t="s">
        <v>240</v>
      </c>
      <c r="Z3264" s="6" t="s">
        <v>298</v>
      </c>
      <c r="AA3264" s="6" t="s">
        <v>240</v>
      </c>
      <c r="AB3264" s="6" t="s">
        <v>240</v>
      </c>
      <c r="AC3264" s="5" t="s">
        <v>240</v>
      </c>
      <c r="AD3264" s="6" t="s">
        <v>240</v>
      </c>
      <c r="AE3264" s="6" t="s">
        <v>299</v>
      </c>
      <c r="AF3264" s="5" t="s">
        <v>248</v>
      </c>
      <c r="AG3264" s="5" t="s">
        <v>249</v>
      </c>
      <c r="AH3264" s="5" t="s">
        <v>240</v>
      </c>
      <c r="AI3264" s="5" t="s">
        <v>240</v>
      </c>
      <c r="AJ3264" s="5" t="s">
        <v>240</v>
      </c>
      <c r="AK3264" s="5" t="s">
        <v>240</v>
      </c>
      <c r="AL3264" s="5" t="s">
        <v>240</v>
      </c>
      <c r="AM3264" s="5" t="s">
        <v>240</v>
      </c>
      <c r="AN3264" s="5" t="s">
        <v>240</v>
      </c>
      <c r="AO3264" s="5" t="s">
        <v>240</v>
      </c>
      <c r="AP3264" s="6" t="s">
        <v>240</v>
      </c>
      <c r="AQ3264" s="6" t="s">
        <v>240</v>
      </c>
      <c r="AR3264" s="6" t="s">
        <v>240</v>
      </c>
      <c r="AS3264" s="6" t="s">
        <v>240</v>
      </c>
      <c r="AT3264" s="5" t="s">
        <v>240</v>
      </c>
      <c r="AU3264" s="5" t="s">
        <v>729</v>
      </c>
      <c r="AV3264" s="5" t="s">
        <v>729</v>
      </c>
      <c r="AW3264" s="5" t="s">
        <v>251</v>
      </c>
      <c r="AX3264" s="5" t="s">
        <v>252</v>
      </c>
      <c r="AY3264" s="5" t="s">
        <v>253</v>
      </c>
      <c r="AZ3264" s="5" t="s">
        <v>240</v>
      </c>
      <c r="BA3264" s="5" t="s">
        <v>255</v>
      </c>
      <c r="BB3264" s="5" t="s">
        <v>731</v>
      </c>
      <c r="BD3264" s="5" t="s">
        <v>240</v>
      </c>
      <c r="BF3264" s="5" t="s">
        <v>732</v>
      </c>
      <c r="BG3264" s="6" t="s">
        <v>733</v>
      </c>
      <c r="BH3264" s="5" t="s">
        <v>734</v>
      </c>
      <c r="BI3264" s="5" t="s">
        <v>734</v>
      </c>
      <c r="BJ3264" s="5" t="s">
        <v>240</v>
      </c>
      <c r="BK3264" s="7">
        <f>1</f>
        <v>1</v>
      </c>
      <c r="BL3264" s="7">
        <f>1</f>
        <v>1</v>
      </c>
      <c r="BM3264" s="5" t="s">
        <v>258</v>
      </c>
      <c r="BN3264" s="5" t="s">
        <v>259</v>
      </c>
      <c r="BO3264" s="5" t="s">
        <v>240</v>
      </c>
      <c r="BP3264" s="5" t="s">
        <v>240</v>
      </c>
      <c r="BQ3264" s="5" t="s">
        <v>240</v>
      </c>
      <c r="BR3264" s="5" t="s">
        <v>240</v>
      </c>
      <c r="BS3264" s="5" t="s">
        <v>240</v>
      </c>
      <c r="BT3264" s="5" t="s">
        <v>240</v>
      </c>
      <c r="BU3264" s="5" t="s">
        <v>240</v>
      </c>
      <c r="BV3264" s="5" t="s">
        <v>240</v>
      </c>
      <c r="BW3264" s="6" t="s">
        <v>240</v>
      </c>
      <c r="BX3264" s="5" t="s">
        <v>240</v>
      </c>
      <c r="BY3264" s="5" t="s">
        <v>240</v>
      </c>
      <c r="BZ3264" s="5" t="s">
        <v>240</v>
      </c>
      <c r="CA3264" s="5" t="s">
        <v>259</v>
      </c>
      <c r="CB3264" s="5" t="s">
        <v>240</v>
      </c>
      <c r="CC3264" s="5" t="s">
        <v>240</v>
      </c>
      <c r="CD3264" s="5" t="s">
        <v>240</v>
      </c>
      <c r="CE3264" s="5" t="s">
        <v>240</v>
      </c>
      <c r="CF3264" s="5" t="s">
        <v>240</v>
      </c>
      <c r="CG3264" s="5" t="s">
        <v>304</v>
      </c>
      <c r="CH3264" s="5" t="s">
        <v>305</v>
      </c>
      <c r="CI3264" s="5" t="s">
        <v>240</v>
      </c>
      <c r="CK3264" s="5" t="s">
        <v>3681</v>
      </c>
      <c r="CL3264" s="6" t="s">
        <v>261</v>
      </c>
      <c r="CM3264" s="5" t="s">
        <v>262</v>
      </c>
      <c r="CN3264" s="5" t="s">
        <v>263</v>
      </c>
      <c r="CO3264" s="5" t="s">
        <v>264</v>
      </c>
      <c r="CP3264" s="5" t="s">
        <v>240</v>
      </c>
      <c r="CQ3264" s="5">
        <v>0</v>
      </c>
      <c r="CR3264" s="5" t="s">
        <v>735</v>
      </c>
      <c r="CS3264" s="5" t="s">
        <v>307</v>
      </c>
      <c r="CT3264" s="5" t="s">
        <v>307</v>
      </c>
      <c r="CU3264" s="5" t="s">
        <v>260</v>
      </c>
      <c r="CV3264" s="5" t="s">
        <v>612</v>
      </c>
      <c r="CW3264" s="8">
        <f>1</f>
        <v>1</v>
      </c>
      <c r="CX3264" s="7">
        <f>1</f>
        <v>1</v>
      </c>
      <c r="CY3264" s="7">
        <f>0</f>
        <v>0</v>
      </c>
      <c r="DA3264" s="7">
        <f>1</f>
        <v>1</v>
      </c>
      <c r="DB3264" s="7" t="s">
        <v>240</v>
      </c>
      <c r="DC3264" s="5" t="s">
        <v>240</v>
      </c>
      <c r="DD3264" s="5" t="s">
        <v>240</v>
      </c>
      <c r="DE3264" s="5" t="s">
        <v>240</v>
      </c>
      <c r="DF3264" s="5" t="s">
        <v>240</v>
      </c>
      <c r="DG3264" s="7">
        <f>0</f>
        <v>0</v>
      </c>
      <c r="DI3264" s="5" t="s">
        <v>240</v>
      </c>
      <c r="DJ3264" s="5" t="s">
        <v>240</v>
      </c>
      <c r="DK3264" s="5" t="s">
        <v>240</v>
      </c>
      <c r="DL3264" s="5" t="s">
        <v>240</v>
      </c>
      <c r="DM3264" s="5" t="s">
        <v>240</v>
      </c>
      <c r="DN3264" s="5" t="s">
        <v>240</v>
      </c>
      <c r="DO3264" s="7" t="s">
        <v>240</v>
      </c>
      <c r="DP3264" s="5" t="s">
        <v>240</v>
      </c>
      <c r="DQ3264" s="5" t="s">
        <v>240</v>
      </c>
      <c r="DR3264" s="5" t="s">
        <v>731</v>
      </c>
      <c r="DS3264" s="5" t="s">
        <v>731</v>
      </c>
      <c r="DT3264" s="5" t="s">
        <v>240</v>
      </c>
      <c r="DU3264" s="5" t="s">
        <v>240</v>
      </c>
      <c r="DV3264" s="5" t="s">
        <v>3683</v>
      </c>
      <c r="DW3264" s="5" t="s">
        <v>744</v>
      </c>
      <c r="DX3264" s="5" t="s">
        <v>240</v>
      </c>
      <c r="DY3264" s="5" t="s">
        <v>240</v>
      </c>
      <c r="DZ3264" s="5" t="s">
        <v>240</v>
      </c>
      <c r="EA3264" s="5" t="s">
        <v>240</v>
      </c>
      <c r="EB3264" s="5" t="s">
        <v>240</v>
      </c>
      <c r="EC3264" s="5" t="s">
        <v>240</v>
      </c>
      <c r="ED3264" s="5" t="s">
        <v>240</v>
      </c>
      <c r="EE3264" s="5" t="s">
        <v>240</v>
      </c>
      <c r="EF3264" s="5" t="s">
        <v>240</v>
      </c>
      <c r="EG3264" s="5" t="s">
        <v>240</v>
      </c>
      <c r="EH3264" s="5" t="s">
        <v>240</v>
      </c>
      <c r="EI3264" s="5" t="s">
        <v>240</v>
      </c>
      <c r="EJ3264" s="5" t="s">
        <v>240</v>
      </c>
      <c r="EK3264" s="5" t="s">
        <v>240</v>
      </c>
      <c r="EL3264" s="5" t="s">
        <v>240</v>
      </c>
      <c r="EM3264" s="5" t="s">
        <v>240</v>
      </c>
      <c r="EN3264" s="5" t="s">
        <v>240</v>
      </c>
      <c r="EO3264" s="5" t="s">
        <v>240</v>
      </c>
      <c r="EP3264" s="5" t="s">
        <v>240</v>
      </c>
      <c r="EQ3264" s="5" t="s">
        <v>240</v>
      </c>
      <c r="ER3264" s="5" t="s">
        <v>240</v>
      </c>
      <c r="ES3264" s="5" t="s">
        <v>240</v>
      </c>
      <c r="ET3264" s="5" t="s">
        <v>240</v>
      </c>
      <c r="EU3264" s="5" t="s">
        <v>240</v>
      </c>
      <c r="EV3264" s="5" t="s">
        <v>240</v>
      </c>
      <c r="EW3264" s="5" t="s">
        <v>240</v>
      </c>
      <c r="EX3264" s="5" t="s">
        <v>240</v>
      </c>
      <c r="EY3264" s="5" t="s">
        <v>240</v>
      </c>
      <c r="EZ3264" s="5" t="s">
        <v>240</v>
      </c>
      <c r="FA3264" s="5" t="s">
        <v>240</v>
      </c>
      <c r="FB3264" s="5" t="s">
        <v>240</v>
      </c>
      <c r="FC3264" s="5" t="s">
        <v>240</v>
      </c>
      <c r="FD3264" s="5" t="s">
        <v>240</v>
      </c>
      <c r="FE3264" s="5" t="s">
        <v>240</v>
      </c>
      <c r="FF3264" s="5" t="s">
        <v>240</v>
      </c>
      <c r="FG3264" s="5" t="s">
        <v>240</v>
      </c>
      <c r="FH3264" s="5" t="s">
        <v>240</v>
      </c>
      <c r="FI3264" s="5" t="s">
        <v>240</v>
      </c>
      <c r="FJ3264" s="5" t="s">
        <v>240</v>
      </c>
      <c r="FK3264" s="5" t="s">
        <v>240</v>
      </c>
      <c r="FL3264" s="5" t="s">
        <v>240</v>
      </c>
      <c r="FM3264" s="5" t="s">
        <v>240</v>
      </c>
      <c r="FN3264" s="5" t="s">
        <v>240</v>
      </c>
      <c r="FO3264" s="5" t="s">
        <v>240</v>
      </c>
      <c r="FP3264" s="5" t="s">
        <v>240</v>
      </c>
      <c r="FQ3264" s="5" t="s">
        <v>240</v>
      </c>
      <c r="FR3264" s="5" t="s">
        <v>240</v>
      </c>
      <c r="FS3264" s="5" t="s">
        <v>240</v>
      </c>
      <c r="FT3264" s="5" t="s">
        <v>240</v>
      </c>
      <c r="FU3264" s="5" t="s">
        <v>240</v>
      </c>
      <c r="FV3264" s="5" t="s">
        <v>240</v>
      </c>
      <c r="FW3264" s="5" t="s">
        <v>240</v>
      </c>
      <c r="FX3264" s="5" t="s">
        <v>240</v>
      </c>
      <c r="FY3264" s="5" t="s">
        <v>240</v>
      </c>
      <c r="FZ3264" s="5" t="s">
        <v>240</v>
      </c>
      <c r="GA3264" s="5" t="s">
        <v>240</v>
      </c>
      <c r="GB3264" s="5" t="s">
        <v>240</v>
      </c>
      <c r="GC3264" s="5" t="s">
        <v>240</v>
      </c>
      <c r="GD3264" s="5" t="s">
        <v>240</v>
      </c>
      <c r="GE3264" s="5" t="s">
        <v>240</v>
      </c>
      <c r="GF3264" s="5" t="s">
        <v>240</v>
      </c>
      <c r="GG3264" s="5" t="s">
        <v>240</v>
      </c>
      <c r="GH3264" s="5" t="s">
        <v>240</v>
      </c>
      <c r="GI3264" s="5" t="s">
        <v>240</v>
      </c>
      <c r="GJ3264" s="5" t="s">
        <v>240</v>
      </c>
      <c r="GK3264" s="5" t="s">
        <v>240</v>
      </c>
      <c r="GL3264" s="5" t="s">
        <v>240</v>
      </c>
      <c r="GM3264" s="5" t="s">
        <v>240</v>
      </c>
      <c r="GN3264" s="5" t="s">
        <v>240</v>
      </c>
      <c r="GO3264" s="5" t="s">
        <v>240</v>
      </c>
      <c r="GP3264" s="5" t="s">
        <v>240</v>
      </c>
      <c r="GQ3264" s="5" t="s">
        <v>240</v>
      </c>
      <c r="GR3264" s="5" t="s">
        <v>240</v>
      </c>
      <c r="GS3264" s="5" t="s">
        <v>240</v>
      </c>
      <c r="GT3264" s="5" t="s">
        <v>240</v>
      </c>
      <c r="GU3264" s="5" t="s">
        <v>240</v>
      </c>
      <c r="GV3264" s="5" t="s">
        <v>240</v>
      </c>
      <c r="GW3264" s="5" t="s">
        <v>240</v>
      </c>
      <c r="GX3264" s="5" t="s">
        <v>240</v>
      </c>
      <c r="GY3264" s="5" t="s">
        <v>240</v>
      </c>
      <c r="GZ3264" s="5" t="s">
        <v>240</v>
      </c>
      <c r="HA3264" s="5" t="s">
        <v>240</v>
      </c>
      <c r="HB3264" s="5" t="s">
        <v>240</v>
      </c>
      <c r="HC3264" s="5" t="s">
        <v>240</v>
      </c>
      <c r="HD3264" s="5" t="s">
        <v>240</v>
      </c>
      <c r="HE3264" s="5" t="s">
        <v>240</v>
      </c>
      <c r="HF3264" s="5" t="s">
        <v>240</v>
      </c>
      <c r="HG3264" s="5" t="s">
        <v>240</v>
      </c>
      <c r="HH3264" s="5" t="s">
        <v>240</v>
      </c>
      <c r="HI3264" s="5" t="s">
        <v>240</v>
      </c>
      <c r="HJ3264" s="5" t="s">
        <v>240</v>
      </c>
      <c r="HK3264" s="5" t="s">
        <v>240</v>
      </c>
      <c r="HL3264" s="5" t="s">
        <v>240</v>
      </c>
      <c r="HM3264" s="5" t="s">
        <v>240</v>
      </c>
      <c r="HN3264" s="5" t="s">
        <v>240</v>
      </c>
      <c r="HO3264" s="5" t="s">
        <v>312</v>
      </c>
      <c r="HP3264" s="5" t="s">
        <v>240</v>
      </c>
      <c r="HQ3264" s="5" t="s">
        <v>240</v>
      </c>
      <c r="HR3264" s="5" t="s">
        <v>240</v>
      </c>
      <c r="HS3264" s="5" t="s">
        <v>240</v>
      </c>
      <c r="HT3264" s="5" t="s">
        <v>240</v>
      </c>
      <c r="HU3264" s="5" t="s">
        <v>240</v>
      </c>
      <c r="HV3264" s="5" t="s">
        <v>240</v>
      </c>
      <c r="HW3264" s="5" t="s">
        <v>240</v>
      </c>
      <c r="HX3264" s="5" t="s">
        <v>240</v>
      </c>
      <c r="HY3264" s="5" t="s">
        <v>240</v>
      </c>
      <c r="HZ3264" s="5" t="s">
        <v>240</v>
      </c>
      <c r="IA3264" s="5" t="s">
        <v>240</v>
      </c>
      <c r="IB3264" s="5" t="s">
        <v>240</v>
      </c>
      <c r="IC3264" s="5" t="s">
        <v>240</v>
      </c>
      <c r="ID3264" s="5" t="s">
        <v>240</v>
      </c>
      <c r="IE3264" s="5" t="s">
        <v>240</v>
      </c>
      <c r="IF3264" s="5" t="s">
        <v>240</v>
      </c>
    </row>
    <row r="3265" spans="1:240" x14ac:dyDescent="0.4">
      <c r="A3265" s="5">
        <v>8807</v>
      </c>
      <c r="B3265" s="5">
        <v>1</v>
      </c>
      <c r="C3265" s="5">
        <v>1</v>
      </c>
      <c r="D3265" s="5" t="s">
        <v>829</v>
      </c>
      <c r="E3265" s="5" t="s">
        <v>1325</v>
      </c>
      <c r="F3265" s="5" t="s">
        <v>254</v>
      </c>
      <c r="G3265" s="5" t="s">
        <v>6941</v>
      </c>
      <c r="H3265" s="6" t="s">
        <v>6957</v>
      </c>
      <c r="I3265" s="5" t="s">
        <v>6940</v>
      </c>
      <c r="J3265" s="8">
        <f>20</f>
        <v>20</v>
      </c>
      <c r="K3265" s="5" t="s">
        <v>308</v>
      </c>
      <c r="L3265" s="7">
        <f>32143</f>
        <v>32143</v>
      </c>
      <c r="M3265" s="7">
        <f>32143</f>
        <v>32143</v>
      </c>
      <c r="N3265" s="5" t="s">
        <v>242</v>
      </c>
      <c r="O3265" s="5">
        <v>1</v>
      </c>
      <c r="P3265" s="5" t="s">
        <v>294</v>
      </c>
      <c r="Q3265" s="5" t="s">
        <v>3678</v>
      </c>
      <c r="R3265" s="5" t="s">
        <v>240</v>
      </c>
      <c r="S3265" s="5" t="s">
        <v>240</v>
      </c>
      <c r="T3265" s="5" t="s">
        <v>243</v>
      </c>
      <c r="U3265" s="5" t="s">
        <v>244</v>
      </c>
      <c r="V3265" s="5" t="s">
        <v>240</v>
      </c>
      <c r="W3265" s="5" t="s">
        <v>240</v>
      </c>
      <c r="X3265" s="5" t="s">
        <v>240</v>
      </c>
      <c r="Y3265" s="5" t="s">
        <v>240</v>
      </c>
      <c r="Z3265" s="6" t="s">
        <v>298</v>
      </c>
      <c r="AA3265" s="6" t="s">
        <v>240</v>
      </c>
      <c r="AB3265" s="6" t="s">
        <v>240</v>
      </c>
      <c r="AC3265" s="5" t="s">
        <v>240</v>
      </c>
      <c r="AD3265" s="6" t="s">
        <v>240</v>
      </c>
      <c r="AE3265" s="6" t="s">
        <v>299</v>
      </c>
      <c r="AF3265" s="5" t="s">
        <v>248</v>
      </c>
      <c r="AG3265" s="5" t="s">
        <v>249</v>
      </c>
      <c r="AH3265" s="5" t="s">
        <v>240</v>
      </c>
      <c r="AI3265" s="5" t="s">
        <v>240</v>
      </c>
      <c r="AJ3265" s="5" t="s">
        <v>240</v>
      </c>
      <c r="AK3265" s="5" t="s">
        <v>240</v>
      </c>
      <c r="AL3265" s="5" t="s">
        <v>240</v>
      </c>
      <c r="AM3265" s="5" t="s">
        <v>240</v>
      </c>
      <c r="AN3265" s="5" t="s">
        <v>240</v>
      </c>
      <c r="AO3265" s="5" t="s">
        <v>240</v>
      </c>
      <c r="AP3265" s="6" t="s">
        <v>240</v>
      </c>
      <c r="AQ3265" s="6" t="s">
        <v>240</v>
      </c>
      <c r="AR3265" s="6" t="s">
        <v>240</v>
      </c>
      <c r="AS3265" s="6" t="s">
        <v>240</v>
      </c>
      <c r="AT3265" s="5" t="s">
        <v>240</v>
      </c>
      <c r="AU3265" s="5" t="s">
        <v>729</v>
      </c>
      <c r="AV3265" s="5" t="s">
        <v>729</v>
      </c>
      <c r="AW3265" s="5" t="s">
        <v>251</v>
      </c>
      <c r="AX3265" s="5" t="s">
        <v>252</v>
      </c>
      <c r="AY3265" s="5" t="s">
        <v>253</v>
      </c>
      <c r="AZ3265" s="5" t="s">
        <v>240</v>
      </c>
      <c r="BA3265" s="5" t="s">
        <v>255</v>
      </c>
      <c r="BB3265" s="5" t="s">
        <v>731</v>
      </c>
      <c r="BD3265" s="5" t="s">
        <v>240</v>
      </c>
      <c r="BF3265" s="5" t="s">
        <v>732</v>
      </c>
      <c r="BG3265" s="6" t="s">
        <v>733</v>
      </c>
      <c r="BH3265" s="5" t="s">
        <v>734</v>
      </c>
      <c r="BI3265" s="5" t="s">
        <v>734</v>
      </c>
      <c r="BJ3265" s="5" t="s">
        <v>240</v>
      </c>
      <c r="BK3265" s="7">
        <f>1</f>
        <v>1</v>
      </c>
      <c r="BL3265" s="7">
        <f>1</f>
        <v>1</v>
      </c>
      <c r="BM3265" s="5" t="s">
        <v>258</v>
      </c>
      <c r="BN3265" s="5" t="s">
        <v>259</v>
      </c>
      <c r="BO3265" s="5" t="s">
        <v>240</v>
      </c>
      <c r="BP3265" s="5" t="s">
        <v>240</v>
      </c>
      <c r="BQ3265" s="5" t="s">
        <v>240</v>
      </c>
      <c r="BR3265" s="5" t="s">
        <v>240</v>
      </c>
      <c r="BS3265" s="5" t="s">
        <v>240</v>
      </c>
      <c r="BT3265" s="5" t="s">
        <v>240</v>
      </c>
      <c r="BU3265" s="5" t="s">
        <v>240</v>
      </c>
      <c r="BV3265" s="5" t="s">
        <v>240</v>
      </c>
      <c r="BW3265" s="6" t="s">
        <v>240</v>
      </c>
      <c r="BX3265" s="5" t="s">
        <v>240</v>
      </c>
      <c r="BY3265" s="5" t="s">
        <v>240</v>
      </c>
      <c r="BZ3265" s="5" t="s">
        <v>240</v>
      </c>
      <c r="CA3265" s="5" t="s">
        <v>259</v>
      </c>
      <c r="CB3265" s="5" t="s">
        <v>240</v>
      </c>
      <c r="CC3265" s="5" t="s">
        <v>240</v>
      </c>
      <c r="CD3265" s="5" t="s">
        <v>240</v>
      </c>
      <c r="CE3265" s="5" t="s">
        <v>240</v>
      </c>
      <c r="CF3265" s="5" t="s">
        <v>240</v>
      </c>
      <c r="CG3265" s="5" t="s">
        <v>304</v>
      </c>
      <c r="CH3265" s="5" t="s">
        <v>305</v>
      </c>
      <c r="CI3265" s="5" t="s">
        <v>240</v>
      </c>
      <c r="CK3265" s="5" t="s">
        <v>3681</v>
      </c>
      <c r="CL3265" s="6" t="s">
        <v>261</v>
      </c>
      <c r="CM3265" s="5" t="s">
        <v>262</v>
      </c>
      <c r="CN3265" s="5" t="s">
        <v>263</v>
      </c>
      <c r="CO3265" s="5" t="s">
        <v>264</v>
      </c>
      <c r="CP3265" s="5" t="s">
        <v>240</v>
      </c>
      <c r="CQ3265" s="5">
        <v>0</v>
      </c>
      <c r="CR3265" s="5" t="s">
        <v>735</v>
      </c>
      <c r="CS3265" s="5" t="s">
        <v>307</v>
      </c>
      <c r="CT3265" s="5" t="s">
        <v>307</v>
      </c>
      <c r="CU3265" s="5" t="s">
        <v>260</v>
      </c>
      <c r="CV3265" s="5" t="s">
        <v>612</v>
      </c>
      <c r="CW3265" s="8">
        <f>1</f>
        <v>1</v>
      </c>
      <c r="CX3265" s="7">
        <f>1</f>
        <v>1</v>
      </c>
      <c r="CY3265" s="7">
        <f>0</f>
        <v>0</v>
      </c>
      <c r="DA3265" s="7">
        <f>1</f>
        <v>1</v>
      </c>
      <c r="DB3265" s="7" t="s">
        <v>240</v>
      </c>
      <c r="DC3265" s="5" t="s">
        <v>240</v>
      </c>
      <c r="DD3265" s="5" t="s">
        <v>240</v>
      </c>
      <c r="DE3265" s="5" t="s">
        <v>240</v>
      </c>
      <c r="DF3265" s="5" t="s">
        <v>240</v>
      </c>
      <c r="DG3265" s="7">
        <f>0</f>
        <v>0</v>
      </c>
      <c r="DI3265" s="5" t="s">
        <v>240</v>
      </c>
      <c r="DJ3265" s="5" t="s">
        <v>240</v>
      </c>
      <c r="DK3265" s="5" t="s">
        <v>240</v>
      </c>
      <c r="DL3265" s="5" t="s">
        <v>240</v>
      </c>
      <c r="DM3265" s="5" t="s">
        <v>240</v>
      </c>
      <c r="DN3265" s="5" t="s">
        <v>240</v>
      </c>
      <c r="DO3265" s="7" t="s">
        <v>240</v>
      </c>
      <c r="DP3265" s="5" t="s">
        <v>240</v>
      </c>
      <c r="DQ3265" s="5" t="s">
        <v>240</v>
      </c>
      <c r="DR3265" s="5" t="s">
        <v>731</v>
      </c>
      <c r="DS3265" s="5" t="s">
        <v>731</v>
      </c>
      <c r="DT3265" s="5" t="s">
        <v>240</v>
      </c>
      <c r="DU3265" s="5" t="s">
        <v>240</v>
      </c>
      <c r="DV3265" s="5" t="s">
        <v>3683</v>
      </c>
      <c r="DW3265" s="5" t="s">
        <v>594</v>
      </c>
      <c r="DX3265" s="5" t="s">
        <v>240</v>
      </c>
      <c r="DY3265" s="5" t="s">
        <v>240</v>
      </c>
      <c r="DZ3265" s="5" t="s">
        <v>240</v>
      </c>
      <c r="EA3265" s="5" t="s">
        <v>240</v>
      </c>
      <c r="EB3265" s="5" t="s">
        <v>240</v>
      </c>
      <c r="EC3265" s="5" t="s">
        <v>240</v>
      </c>
      <c r="ED3265" s="5" t="s">
        <v>240</v>
      </c>
      <c r="EE3265" s="5" t="s">
        <v>240</v>
      </c>
      <c r="EF3265" s="5" t="s">
        <v>240</v>
      </c>
      <c r="EG3265" s="5" t="s">
        <v>240</v>
      </c>
      <c r="EH3265" s="5" t="s">
        <v>240</v>
      </c>
      <c r="EI3265" s="5" t="s">
        <v>240</v>
      </c>
      <c r="EJ3265" s="5" t="s">
        <v>240</v>
      </c>
      <c r="EK3265" s="5" t="s">
        <v>240</v>
      </c>
      <c r="EL3265" s="5" t="s">
        <v>240</v>
      </c>
      <c r="EM3265" s="5" t="s">
        <v>240</v>
      </c>
      <c r="EN3265" s="5" t="s">
        <v>240</v>
      </c>
      <c r="EO3265" s="5" t="s">
        <v>240</v>
      </c>
      <c r="EP3265" s="5" t="s">
        <v>240</v>
      </c>
      <c r="EQ3265" s="5" t="s">
        <v>240</v>
      </c>
      <c r="ER3265" s="5" t="s">
        <v>240</v>
      </c>
      <c r="ES3265" s="5" t="s">
        <v>240</v>
      </c>
      <c r="ET3265" s="5" t="s">
        <v>240</v>
      </c>
      <c r="EU3265" s="5" t="s">
        <v>240</v>
      </c>
      <c r="EV3265" s="5" t="s">
        <v>240</v>
      </c>
      <c r="EW3265" s="5" t="s">
        <v>240</v>
      </c>
      <c r="EX3265" s="5" t="s">
        <v>240</v>
      </c>
      <c r="EY3265" s="5" t="s">
        <v>240</v>
      </c>
      <c r="EZ3265" s="5" t="s">
        <v>240</v>
      </c>
      <c r="FA3265" s="5" t="s">
        <v>240</v>
      </c>
      <c r="FB3265" s="5" t="s">
        <v>240</v>
      </c>
      <c r="FC3265" s="5" t="s">
        <v>240</v>
      </c>
      <c r="FD3265" s="5" t="s">
        <v>240</v>
      </c>
      <c r="FE3265" s="5" t="s">
        <v>240</v>
      </c>
      <c r="FF3265" s="5" t="s">
        <v>240</v>
      </c>
      <c r="FG3265" s="5" t="s">
        <v>240</v>
      </c>
      <c r="FH3265" s="5" t="s">
        <v>240</v>
      </c>
      <c r="FI3265" s="5" t="s">
        <v>240</v>
      </c>
      <c r="FJ3265" s="5" t="s">
        <v>240</v>
      </c>
      <c r="FK3265" s="5" t="s">
        <v>240</v>
      </c>
      <c r="FL3265" s="5" t="s">
        <v>240</v>
      </c>
      <c r="FM3265" s="5" t="s">
        <v>240</v>
      </c>
      <c r="FN3265" s="5" t="s">
        <v>240</v>
      </c>
      <c r="FO3265" s="5" t="s">
        <v>240</v>
      </c>
      <c r="FP3265" s="5" t="s">
        <v>240</v>
      </c>
      <c r="FQ3265" s="5" t="s">
        <v>240</v>
      </c>
      <c r="FR3265" s="5" t="s">
        <v>240</v>
      </c>
      <c r="FS3265" s="5" t="s">
        <v>240</v>
      </c>
      <c r="FT3265" s="5" t="s">
        <v>240</v>
      </c>
      <c r="FU3265" s="5" t="s">
        <v>240</v>
      </c>
      <c r="FV3265" s="5" t="s">
        <v>240</v>
      </c>
      <c r="FW3265" s="5" t="s">
        <v>240</v>
      </c>
      <c r="FX3265" s="5" t="s">
        <v>240</v>
      </c>
      <c r="FY3265" s="5" t="s">
        <v>240</v>
      </c>
      <c r="FZ3265" s="5" t="s">
        <v>240</v>
      </c>
      <c r="GA3265" s="5" t="s">
        <v>240</v>
      </c>
      <c r="GB3265" s="5" t="s">
        <v>240</v>
      </c>
      <c r="GC3265" s="5" t="s">
        <v>240</v>
      </c>
      <c r="GD3265" s="5" t="s">
        <v>240</v>
      </c>
      <c r="GE3265" s="5" t="s">
        <v>240</v>
      </c>
      <c r="GF3265" s="5" t="s">
        <v>240</v>
      </c>
      <c r="GG3265" s="5" t="s">
        <v>240</v>
      </c>
      <c r="GH3265" s="5" t="s">
        <v>240</v>
      </c>
      <c r="GI3265" s="5" t="s">
        <v>240</v>
      </c>
      <c r="GJ3265" s="5" t="s">
        <v>240</v>
      </c>
      <c r="GK3265" s="5" t="s">
        <v>240</v>
      </c>
      <c r="GL3265" s="5" t="s">
        <v>240</v>
      </c>
      <c r="GM3265" s="5" t="s">
        <v>240</v>
      </c>
      <c r="GN3265" s="5" t="s">
        <v>240</v>
      </c>
      <c r="GO3265" s="5" t="s">
        <v>240</v>
      </c>
      <c r="GP3265" s="5" t="s">
        <v>240</v>
      </c>
      <c r="GQ3265" s="5" t="s">
        <v>240</v>
      </c>
      <c r="GR3265" s="5" t="s">
        <v>240</v>
      </c>
      <c r="GS3265" s="5" t="s">
        <v>240</v>
      </c>
      <c r="GT3265" s="5" t="s">
        <v>240</v>
      </c>
      <c r="GU3265" s="5" t="s">
        <v>240</v>
      </c>
      <c r="GV3265" s="5" t="s">
        <v>240</v>
      </c>
      <c r="GW3265" s="5" t="s">
        <v>240</v>
      </c>
      <c r="GX3265" s="5" t="s">
        <v>240</v>
      </c>
      <c r="GY3265" s="5" t="s">
        <v>240</v>
      </c>
      <c r="GZ3265" s="5" t="s">
        <v>240</v>
      </c>
      <c r="HA3265" s="5" t="s">
        <v>240</v>
      </c>
      <c r="HB3265" s="5" t="s">
        <v>240</v>
      </c>
      <c r="HC3265" s="5" t="s">
        <v>240</v>
      </c>
      <c r="HD3265" s="5" t="s">
        <v>240</v>
      </c>
      <c r="HE3265" s="5" t="s">
        <v>240</v>
      </c>
      <c r="HF3265" s="5" t="s">
        <v>240</v>
      </c>
      <c r="HG3265" s="5" t="s">
        <v>240</v>
      </c>
      <c r="HH3265" s="5" t="s">
        <v>240</v>
      </c>
      <c r="HI3265" s="5" t="s">
        <v>240</v>
      </c>
      <c r="HJ3265" s="5" t="s">
        <v>240</v>
      </c>
      <c r="HK3265" s="5" t="s">
        <v>240</v>
      </c>
      <c r="HL3265" s="5" t="s">
        <v>240</v>
      </c>
      <c r="HM3265" s="5" t="s">
        <v>240</v>
      </c>
      <c r="HN3265" s="5" t="s">
        <v>240</v>
      </c>
      <c r="HO3265" s="5" t="s">
        <v>312</v>
      </c>
      <c r="HP3265" s="5" t="s">
        <v>240</v>
      </c>
      <c r="HQ3265" s="5" t="s">
        <v>240</v>
      </c>
      <c r="HR3265" s="5" t="s">
        <v>240</v>
      </c>
      <c r="HS3265" s="5" t="s">
        <v>240</v>
      </c>
      <c r="HT3265" s="5" t="s">
        <v>240</v>
      </c>
      <c r="HU3265" s="5" t="s">
        <v>240</v>
      </c>
      <c r="HV3265" s="5" t="s">
        <v>240</v>
      </c>
      <c r="HW3265" s="5" t="s">
        <v>240</v>
      </c>
      <c r="HX3265" s="5" t="s">
        <v>240</v>
      </c>
      <c r="HY3265" s="5" t="s">
        <v>240</v>
      </c>
      <c r="HZ3265" s="5" t="s">
        <v>240</v>
      </c>
      <c r="IA3265" s="5" t="s">
        <v>240</v>
      </c>
      <c r="IB3265" s="5" t="s">
        <v>240</v>
      </c>
      <c r="IC3265" s="5" t="s">
        <v>240</v>
      </c>
      <c r="ID3265" s="5" t="s">
        <v>240</v>
      </c>
      <c r="IE3265" s="5" t="s">
        <v>240</v>
      </c>
      <c r="IF3265" s="5" t="s">
        <v>240</v>
      </c>
    </row>
    <row r="3266" spans="1:240" x14ac:dyDescent="0.4">
      <c r="A3266" s="5">
        <v>8808</v>
      </c>
      <c r="B3266" s="5">
        <v>1</v>
      </c>
      <c r="C3266" s="5">
        <v>1</v>
      </c>
      <c r="D3266" s="5" t="s">
        <v>723</v>
      </c>
      <c r="E3266" s="5" t="s">
        <v>725</v>
      </c>
      <c r="F3266" s="5" t="s">
        <v>730</v>
      </c>
      <c r="G3266" s="5" t="s">
        <v>726</v>
      </c>
      <c r="H3266" s="6" t="s">
        <v>6530</v>
      </c>
      <c r="I3266" s="5" t="s">
        <v>990</v>
      </c>
      <c r="J3266" s="8">
        <f>43.3</f>
        <v>43.3</v>
      </c>
      <c r="K3266" s="5" t="s">
        <v>308</v>
      </c>
      <c r="L3266" s="7">
        <f>0</f>
        <v>0</v>
      </c>
      <c r="M3266" s="7">
        <f>0</f>
        <v>0</v>
      </c>
      <c r="N3266" s="5" t="s">
        <v>242</v>
      </c>
      <c r="O3266" s="5">
        <v>1</v>
      </c>
      <c r="P3266" s="5" t="s">
        <v>294</v>
      </c>
      <c r="Q3266" s="5" t="s">
        <v>3678</v>
      </c>
      <c r="R3266" s="5" t="s">
        <v>240</v>
      </c>
      <c r="S3266" s="5" t="s">
        <v>240</v>
      </c>
      <c r="T3266" s="5" t="s">
        <v>243</v>
      </c>
      <c r="U3266" s="5" t="s">
        <v>244</v>
      </c>
      <c r="V3266" s="5" t="s">
        <v>240</v>
      </c>
      <c r="W3266" s="5" t="s">
        <v>240</v>
      </c>
      <c r="X3266" s="5" t="s">
        <v>240</v>
      </c>
      <c r="Y3266" s="5" t="s">
        <v>240</v>
      </c>
      <c r="Z3266" s="6" t="s">
        <v>298</v>
      </c>
      <c r="AA3266" s="6" t="s">
        <v>240</v>
      </c>
      <c r="AB3266" s="6" t="s">
        <v>240</v>
      </c>
      <c r="AC3266" s="5" t="s">
        <v>240</v>
      </c>
      <c r="AD3266" s="6" t="s">
        <v>240</v>
      </c>
      <c r="AE3266" s="6" t="s">
        <v>299</v>
      </c>
      <c r="AF3266" s="5" t="s">
        <v>248</v>
      </c>
      <c r="AG3266" s="5" t="s">
        <v>249</v>
      </c>
      <c r="AH3266" s="5" t="s">
        <v>240</v>
      </c>
      <c r="AI3266" s="5" t="s">
        <v>240</v>
      </c>
      <c r="AJ3266" s="5" t="s">
        <v>240</v>
      </c>
      <c r="AK3266" s="5" t="s">
        <v>240</v>
      </c>
      <c r="AL3266" s="5" t="s">
        <v>240</v>
      </c>
      <c r="AM3266" s="5" t="s">
        <v>240</v>
      </c>
      <c r="AN3266" s="5" t="s">
        <v>240</v>
      </c>
      <c r="AO3266" s="5" t="s">
        <v>240</v>
      </c>
      <c r="AP3266" s="6" t="s">
        <v>240</v>
      </c>
      <c r="AQ3266" s="6" t="s">
        <v>240</v>
      </c>
      <c r="AR3266" s="6" t="s">
        <v>240</v>
      </c>
      <c r="AS3266" s="6" t="s">
        <v>240</v>
      </c>
      <c r="AT3266" s="5" t="s">
        <v>240</v>
      </c>
      <c r="AU3266" s="5" t="s">
        <v>729</v>
      </c>
      <c r="AV3266" s="5" t="s">
        <v>729</v>
      </c>
      <c r="AW3266" s="5" t="s">
        <v>251</v>
      </c>
      <c r="AX3266" s="5" t="s">
        <v>252</v>
      </c>
      <c r="AY3266" s="5" t="s">
        <v>253</v>
      </c>
      <c r="AZ3266" s="5" t="s">
        <v>240</v>
      </c>
      <c r="BA3266" s="5" t="s">
        <v>255</v>
      </c>
      <c r="BB3266" s="5" t="s">
        <v>731</v>
      </c>
      <c r="BD3266" s="5" t="s">
        <v>240</v>
      </c>
      <c r="BF3266" s="5" t="s">
        <v>732</v>
      </c>
      <c r="BG3266" s="6" t="s">
        <v>733</v>
      </c>
      <c r="BH3266" s="5" t="s">
        <v>734</v>
      </c>
      <c r="BI3266" s="5" t="s">
        <v>734</v>
      </c>
      <c r="BJ3266" s="5" t="s">
        <v>240</v>
      </c>
      <c r="BK3266" s="7">
        <f>1</f>
        <v>1</v>
      </c>
      <c r="BL3266" s="7">
        <f>1</f>
        <v>1</v>
      </c>
      <c r="BM3266" s="5" t="s">
        <v>258</v>
      </c>
      <c r="BN3266" s="5" t="s">
        <v>259</v>
      </c>
      <c r="BO3266" s="5" t="s">
        <v>240</v>
      </c>
      <c r="BP3266" s="5" t="s">
        <v>240</v>
      </c>
      <c r="BQ3266" s="5" t="s">
        <v>240</v>
      </c>
      <c r="BR3266" s="5" t="s">
        <v>240</v>
      </c>
      <c r="BS3266" s="5" t="s">
        <v>240</v>
      </c>
      <c r="BT3266" s="5" t="s">
        <v>240</v>
      </c>
      <c r="BU3266" s="5" t="s">
        <v>240</v>
      </c>
      <c r="BV3266" s="5" t="s">
        <v>240</v>
      </c>
      <c r="BW3266" s="6" t="s">
        <v>240</v>
      </c>
      <c r="BX3266" s="5" t="s">
        <v>240</v>
      </c>
      <c r="BY3266" s="5" t="s">
        <v>240</v>
      </c>
      <c r="BZ3266" s="5" t="s">
        <v>240</v>
      </c>
      <c r="CA3266" s="5" t="s">
        <v>259</v>
      </c>
      <c r="CB3266" s="5" t="s">
        <v>240</v>
      </c>
      <c r="CC3266" s="5" t="s">
        <v>240</v>
      </c>
      <c r="CD3266" s="5" t="s">
        <v>240</v>
      </c>
      <c r="CE3266" s="5" t="s">
        <v>240</v>
      </c>
      <c r="CF3266" s="5" t="s">
        <v>240</v>
      </c>
      <c r="CG3266" s="5" t="s">
        <v>304</v>
      </c>
      <c r="CH3266" s="5" t="s">
        <v>305</v>
      </c>
      <c r="CI3266" s="5" t="s">
        <v>240</v>
      </c>
      <c r="CK3266" s="5" t="s">
        <v>3681</v>
      </c>
      <c r="CL3266" s="6" t="s">
        <v>261</v>
      </c>
      <c r="CM3266" s="5" t="s">
        <v>262</v>
      </c>
      <c r="CN3266" s="5" t="s">
        <v>263</v>
      </c>
      <c r="CO3266" s="5" t="s">
        <v>264</v>
      </c>
      <c r="CP3266" s="5" t="s">
        <v>240</v>
      </c>
      <c r="CQ3266" s="5">
        <v>0</v>
      </c>
      <c r="CR3266" s="5" t="s">
        <v>735</v>
      </c>
      <c r="CS3266" s="5" t="s">
        <v>307</v>
      </c>
      <c r="CT3266" s="5" t="s">
        <v>307</v>
      </c>
      <c r="CU3266" s="5" t="s">
        <v>260</v>
      </c>
      <c r="CV3266" s="5" t="s">
        <v>612</v>
      </c>
      <c r="CW3266" s="8">
        <f>1</f>
        <v>1</v>
      </c>
      <c r="CX3266" s="7">
        <f>1</f>
        <v>1</v>
      </c>
      <c r="CY3266" s="7">
        <f>0</f>
        <v>0</v>
      </c>
      <c r="DA3266" s="7">
        <f>1</f>
        <v>1</v>
      </c>
      <c r="DB3266" s="7" t="s">
        <v>240</v>
      </c>
      <c r="DC3266" s="5" t="s">
        <v>240</v>
      </c>
      <c r="DD3266" s="5" t="s">
        <v>240</v>
      </c>
      <c r="DE3266" s="5" t="s">
        <v>240</v>
      </c>
      <c r="DF3266" s="5" t="s">
        <v>240</v>
      </c>
      <c r="DG3266" s="7">
        <f>0</f>
        <v>0</v>
      </c>
      <c r="DI3266" s="5" t="s">
        <v>240</v>
      </c>
      <c r="DJ3266" s="5" t="s">
        <v>240</v>
      </c>
      <c r="DK3266" s="5" t="s">
        <v>240</v>
      </c>
      <c r="DL3266" s="5" t="s">
        <v>240</v>
      </c>
      <c r="DM3266" s="5" t="s">
        <v>240</v>
      </c>
      <c r="DN3266" s="5" t="s">
        <v>240</v>
      </c>
      <c r="DO3266" s="7" t="s">
        <v>240</v>
      </c>
      <c r="DP3266" s="5" t="s">
        <v>240</v>
      </c>
      <c r="DQ3266" s="5" t="s">
        <v>240</v>
      </c>
      <c r="DR3266" s="5" t="s">
        <v>731</v>
      </c>
      <c r="DS3266" s="5" t="s">
        <v>731</v>
      </c>
      <c r="DT3266" s="5" t="s">
        <v>240</v>
      </c>
      <c r="DU3266" s="5" t="s">
        <v>240</v>
      </c>
      <c r="DV3266" s="5" t="s">
        <v>3683</v>
      </c>
      <c r="DW3266" s="5" t="s">
        <v>1102</v>
      </c>
      <c r="DX3266" s="5" t="s">
        <v>240</v>
      </c>
      <c r="DY3266" s="5" t="s">
        <v>240</v>
      </c>
      <c r="DZ3266" s="5" t="s">
        <v>240</v>
      </c>
      <c r="EA3266" s="5" t="s">
        <v>240</v>
      </c>
      <c r="EB3266" s="5" t="s">
        <v>240</v>
      </c>
      <c r="EC3266" s="5" t="s">
        <v>240</v>
      </c>
      <c r="ED3266" s="5" t="s">
        <v>240</v>
      </c>
      <c r="EE3266" s="5" t="s">
        <v>240</v>
      </c>
      <c r="EF3266" s="5" t="s">
        <v>240</v>
      </c>
      <c r="EG3266" s="5" t="s">
        <v>240</v>
      </c>
      <c r="EH3266" s="5" t="s">
        <v>240</v>
      </c>
      <c r="EI3266" s="5" t="s">
        <v>240</v>
      </c>
      <c r="EJ3266" s="5" t="s">
        <v>240</v>
      </c>
      <c r="EK3266" s="5" t="s">
        <v>240</v>
      </c>
      <c r="EL3266" s="5" t="s">
        <v>240</v>
      </c>
      <c r="EM3266" s="5" t="s">
        <v>240</v>
      </c>
      <c r="EN3266" s="5" t="s">
        <v>240</v>
      </c>
      <c r="EO3266" s="5" t="s">
        <v>240</v>
      </c>
      <c r="EP3266" s="5" t="s">
        <v>240</v>
      </c>
      <c r="EQ3266" s="5" t="s">
        <v>240</v>
      </c>
      <c r="ER3266" s="5" t="s">
        <v>240</v>
      </c>
      <c r="ES3266" s="5" t="s">
        <v>240</v>
      </c>
      <c r="ET3266" s="5" t="s">
        <v>240</v>
      </c>
      <c r="EU3266" s="5" t="s">
        <v>240</v>
      </c>
      <c r="EV3266" s="5" t="s">
        <v>240</v>
      </c>
      <c r="EW3266" s="5" t="s">
        <v>240</v>
      </c>
      <c r="EX3266" s="5" t="s">
        <v>240</v>
      </c>
      <c r="EY3266" s="5" t="s">
        <v>240</v>
      </c>
      <c r="EZ3266" s="5" t="s">
        <v>240</v>
      </c>
      <c r="FA3266" s="5" t="s">
        <v>240</v>
      </c>
      <c r="FB3266" s="5" t="s">
        <v>240</v>
      </c>
      <c r="FC3266" s="5" t="s">
        <v>240</v>
      </c>
      <c r="FD3266" s="5" t="s">
        <v>240</v>
      </c>
      <c r="FE3266" s="5" t="s">
        <v>240</v>
      </c>
      <c r="FF3266" s="5" t="s">
        <v>240</v>
      </c>
      <c r="FG3266" s="5" t="s">
        <v>240</v>
      </c>
      <c r="FH3266" s="5" t="s">
        <v>240</v>
      </c>
      <c r="FI3266" s="5" t="s">
        <v>240</v>
      </c>
      <c r="FJ3266" s="5" t="s">
        <v>240</v>
      </c>
      <c r="FK3266" s="5" t="s">
        <v>240</v>
      </c>
      <c r="FL3266" s="5" t="s">
        <v>240</v>
      </c>
      <c r="FM3266" s="5" t="s">
        <v>240</v>
      </c>
      <c r="FN3266" s="5" t="s">
        <v>240</v>
      </c>
      <c r="FO3266" s="5" t="s">
        <v>240</v>
      </c>
      <c r="FP3266" s="5" t="s">
        <v>240</v>
      </c>
      <c r="FQ3266" s="5" t="s">
        <v>240</v>
      </c>
      <c r="FR3266" s="5" t="s">
        <v>240</v>
      </c>
      <c r="FS3266" s="5" t="s">
        <v>240</v>
      </c>
      <c r="FT3266" s="5" t="s">
        <v>240</v>
      </c>
      <c r="FU3266" s="5" t="s">
        <v>240</v>
      </c>
      <c r="FV3266" s="5" t="s">
        <v>240</v>
      </c>
      <c r="FW3266" s="5" t="s">
        <v>240</v>
      </c>
      <c r="FX3266" s="5" t="s">
        <v>240</v>
      </c>
      <c r="FY3266" s="5" t="s">
        <v>240</v>
      </c>
      <c r="FZ3266" s="5" t="s">
        <v>240</v>
      </c>
      <c r="GA3266" s="5" t="s">
        <v>240</v>
      </c>
      <c r="GB3266" s="5" t="s">
        <v>240</v>
      </c>
      <c r="GC3266" s="5" t="s">
        <v>240</v>
      </c>
      <c r="GD3266" s="5" t="s">
        <v>240</v>
      </c>
      <c r="GE3266" s="5" t="s">
        <v>240</v>
      </c>
      <c r="GF3266" s="5" t="s">
        <v>240</v>
      </c>
      <c r="GG3266" s="5" t="s">
        <v>240</v>
      </c>
      <c r="GH3266" s="5" t="s">
        <v>240</v>
      </c>
      <c r="GI3266" s="5" t="s">
        <v>240</v>
      </c>
      <c r="GJ3266" s="5" t="s">
        <v>240</v>
      </c>
      <c r="GK3266" s="5" t="s">
        <v>240</v>
      </c>
      <c r="GL3266" s="5" t="s">
        <v>240</v>
      </c>
      <c r="GM3266" s="5" t="s">
        <v>240</v>
      </c>
      <c r="GN3266" s="5" t="s">
        <v>240</v>
      </c>
      <c r="GO3266" s="5" t="s">
        <v>240</v>
      </c>
      <c r="GP3266" s="5" t="s">
        <v>240</v>
      </c>
      <c r="GQ3266" s="5" t="s">
        <v>240</v>
      </c>
      <c r="GR3266" s="5" t="s">
        <v>240</v>
      </c>
      <c r="GS3266" s="5" t="s">
        <v>240</v>
      </c>
      <c r="GT3266" s="5" t="s">
        <v>240</v>
      </c>
      <c r="GU3266" s="5" t="s">
        <v>240</v>
      </c>
      <c r="GV3266" s="5" t="s">
        <v>240</v>
      </c>
      <c r="GW3266" s="5" t="s">
        <v>240</v>
      </c>
      <c r="GX3266" s="5" t="s">
        <v>240</v>
      </c>
      <c r="GY3266" s="5" t="s">
        <v>240</v>
      </c>
      <c r="GZ3266" s="5" t="s">
        <v>240</v>
      </c>
      <c r="HA3266" s="5" t="s">
        <v>240</v>
      </c>
      <c r="HB3266" s="5" t="s">
        <v>240</v>
      </c>
      <c r="HC3266" s="5" t="s">
        <v>240</v>
      </c>
      <c r="HD3266" s="5" t="s">
        <v>240</v>
      </c>
      <c r="HE3266" s="5" t="s">
        <v>240</v>
      </c>
      <c r="HF3266" s="5" t="s">
        <v>240</v>
      </c>
      <c r="HG3266" s="5" t="s">
        <v>240</v>
      </c>
      <c r="HH3266" s="5" t="s">
        <v>240</v>
      </c>
      <c r="HI3266" s="5" t="s">
        <v>240</v>
      </c>
      <c r="HJ3266" s="5" t="s">
        <v>240</v>
      </c>
      <c r="HK3266" s="5" t="s">
        <v>240</v>
      </c>
      <c r="HL3266" s="5" t="s">
        <v>240</v>
      </c>
      <c r="HM3266" s="5" t="s">
        <v>240</v>
      </c>
      <c r="HN3266" s="5" t="s">
        <v>240</v>
      </c>
      <c r="HO3266" s="5" t="s">
        <v>312</v>
      </c>
      <c r="HP3266" s="5" t="s">
        <v>240</v>
      </c>
      <c r="HQ3266" s="5" t="s">
        <v>240</v>
      </c>
      <c r="HR3266" s="5" t="s">
        <v>240</v>
      </c>
      <c r="HS3266" s="5" t="s">
        <v>240</v>
      </c>
      <c r="HT3266" s="5" t="s">
        <v>240</v>
      </c>
      <c r="HU3266" s="5" t="s">
        <v>240</v>
      </c>
      <c r="HV3266" s="5" t="s">
        <v>240</v>
      </c>
      <c r="HW3266" s="5" t="s">
        <v>240</v>
      </c>
      <c r="HX3266" s="5" t="s">
        <v>240</v>
      </c>
      <c r="HY3266" s="5" t="s">
        <v>240</v>
      </c>
      <c r="HZ3266" s="5" t="s">
        <v>240</v>
      </c>
      <c r="IA3266" s="5" t="s">
        <v>240</v>
      </c>
      <c r="IB3266" s="5" t="s">
        <v>240</v>
      </c>
      <c r="IC3266" s="5" t="s">
        <v>240</v>
      </c>
      <c r="ID3266" s="5" t="s">
        <v>240</v>
      </c>
      <c r="IE3266" s="5" t="s">
        <v>240</v>
      </c>
      <c r="IF3266" s="5" t="s">
        <v>240</v>
      </c>
    </row>
    <row r="3267" spans="1:240" x14ac:dyDescent="0.4">
      <c r="A3267" s="5">
        <v>8809</v>
      </c>
      <c r="B3267" s="5">
        <v>1</v>
      </c>
      <c r="C3267" s="5">
        <v>1</v>
      </c>
      <c r="D3267" s="5" t="s">
        <v>723</v>
      </c>
      <c r="E3267" s="5" t="s">
        <v>725</v>
      </c>
      <c r="F3267" s="5" t="s">
        <v>730</v>
      </c>
      <c r="G3267" s="5" t="s">
        <v>726</v>
      </c>
      <c r="H3267" s="6" t="s">
        <v>6401</v>
      </c>
      <c r="I3267" s="5" t="s">
        <v>990</v>
      </c>
      <c r="J3267" s="8">
        <f>208.26</f>
        <v>208.26</v>
      </c>
      <c r="K3267" s="5" t="s">
        <v>308</v>
      </c>
      <c r="L3267" s="7">
        <f>0</f>
        <v>0</v>
      </c>
      <c r="M3267" s="7">
        <f>0</f>
        <v>0</v>
      </c>
      <c r="N3267" s="5" t="s">
        <v>242</v>
      </c>
      <c r="O3267" s="5">
        <v>1</v>
      </c>
      <c r="P3267" s="5" t="s">
        <v>294</v>
      </c>
      <c r="Q3267" s="5" t="s">
        <v>3678</v>
      </c>
      <c r="R3267" s="5" t="s">
        <v>240</v>
      </c>
      <c r="S3267" s="5" t="s">
        <v>240</v>
      </c>
      <c r="T3267" s="5" t="s">
        <v>243</v>
      </c>
      <c r="U3267" s="5" t="s">
        <v>244</v>
      </c>
      <c r="V3267" s="5" t="s">
        <v>240</v>
      </c>
      <c r="W3267" s="5" t="s">
        <v>240</v>
      </c>
      <c r="X3267" s="5" t="s">
        <v>240</v>
      </c>
      <c r="Y3267" s="5" t="s">
        <v>240</v>
      </c>
      <c r="Z3267" s="6" t="s">
        <v>298</v>
      </c>
      <c r="AA3267" s="6" t="s">
        <v>240</v>
      </c>
      <c r="AB3267" s="6" t="s">
        <v>240</v>
      </c>
      <c r="AC3267" s="5" t="s">
        <v>240</v>
      </c>
      <c r="AD3267" s="6" t="s">
        <v>240</v>
      </c>
      <c r="AE3267" s="6" t="s">
        <v>299</v>
      </c>
      <c r="AF3267" s="5" t="s">
        <v>248</v>
      </c>
      <c r="AG3267" s="5" t="s">
        <v>249</v>
      </c>
      <c r="AH3267" s="5" t="s">
        <v>240</v>
      </c>
      <c r="AI3267" s="5" t="s">
        <v>240</v>
      </c>
      <c r="AJ3267" s="5" t="s">
        <v>240</v>
      </c>
      <c r="AK3267" s="5" t="s">
        <v>240</v>
      </c>
      <c r="AL3267" s="5" t="s">
        <v>240</v>
      </c>
      <c r="AM3267" s="5" t="s">
        <v>240</v>
      </c>
      <c r="AN3267" s="5" t="s">
        <v>240</v>
      </c>
      <c r="AO3267" s="5" t="s">
        <v>240</v>
      </c>
      <c r="AP3267" s="6" t="s">
        <v>240</v>
      </c>
      <c r="AQ3267" s="6" t="s">
        <v>240</v>
      </c>
      <c r="AR3267" s="6" t="s">
        <v>240</v>
      </c>
      <c r="AS3267" s="6" t="s">
        <v>240</v>
      </c>
      <c r="AT3267" s="5" t="s">
        <v>240</v>
      </c>
      <c r="AU3267" s="5" t="s">
        <v>729</v>
      </c>
      <c r="AV3267" s="5" t="s">
        <v>729</v>
      </c>
      <c r="AW3267" s="5" t="s">
        <v>251</v>
      </c>
      <c r="AX3267" s="5" t="s">
        <v>252</v>
      </c>
      <c r="AY3267" s="5" t="s">
        <v>253</v>
      </c>
      <c r="AZ3267" s="5" t="s">
        <v>240</v>
      </c>
      <c r="BA3267" s="5" t="s">
        <v>255</v>
      </c>
      <c r="BB3267" s="5" t="s">
        <v>731</v>
      </c>
      <c r="BD3267" s="5" t="s">
        <v>240</v>
      </c>
      <c r="BF3267" s="5" t="s">
        <v>732</v>
      </c>
      <c r="BG3267" s="6" t="s">
        <v>733</v>
      </c>
      <c r="BH3267" s="5" t="s">
        <v>734</v>
      </c>
      <c r="BI3267" s="5" t="s">
        <v>734</v>
      </c>
      <c r="BJ3267" s="5" t="s">
        <v>240</v>
      </c>
      <c r="BK3267" s="7">
        <f>1</f>
        <v>1</v>
      </c>
      <c r="BL3267" s="7">
        <f>1</f>
        <v>1</v>
      </c>
      <c r="BM3267" s="5" t="s">
        <v>258</v>
      </c>
      <c r="BN3267" s="5" t="s">
        <v>259</v>
      </c>
      <c r="BO3267" s="5" t="s">
        <v>240</v>
      </c>
      <c r="BP3267" s="5" t="s">
        <v>240</v>
      </c>
      <c r="BQ3267" s="5" t="s">
        <v>240</v>
      </c>
      <c r="BR3267" s="5" t="s">
        <v>240</v>
      </c>
      <c r="BS3267" s="5" t="s">
        <v>240</v>
      </c>
      <c r="BT3267" s="5" t="s">
        <v>240</v>
      </c>
      <c r="BU3267" s="5" t="s">
        <v>240</v>
      </c>
      <c r="BV3267" s="5" t="s">
        <v>240</v>
      </c>
      <c r="BW3267" s="6" t="s">
        <v>240</v>
      </c>
      <c r="BX3267" s="5" t="s">
        <v>240</v>
      </c>
      <c r="BY3267" s="5" t="s">
        <v>240</v>
      </c>
      <c r="BZ3267" s="5" t="s">
        <v>240</v>
      </c>
      <c r="CA3267" s="5" t="s">
        <v>259</v>
      </c>
      <c r="CB3267" s="5" t="s">
        <v>240</v>
      </c>
      <c r="CC3267" s="5" t="s">
        <v>240</v>
      </c>
      <c r="CD3267" s="5" t="s">
        <v>240</v>
      </c>
      <c r="CE3267" s="5" t="s">
        <v>240</v>
      </c>
      <c r="CF3267" s="5" t="s">
        <v>240</v>
      </c>
      <c r="CG3267" s="5" t="s">
        <v>304</v>
      </c>
      <c r="CH3267" s="5" t="s">
        <v>305</v>
      </c>
      <c r="CI3267" s="5" t="s">
        <v>240</v>
      </c>
      <c r="CK3267" s="5" t="s">
        <v>3681</v>
      </c>
      <c r="CL3267" s="6" t="s">
        <v>261</v>
      </c>
      <c r="CM3267" s="5" t="s">
        <v>262</v>
      </c>
      <c r="CN3267" s="5" t="s">
        <v>263</v>
      </c>
      <c r="CO3267" s="5" t="s">
        <v>264</v>
      </c>
      <c r="CP3267" s="5" t="s">
        <v>240</v>
      </c>
      <c r="CQ3267" s="5">
        <v>0</v>
      </c>
      <c r="CR3267" s="5" t="s">
        <v>735</v>
      </c>
      <c r="CS3267" s="5" t="s">
        <v>307</v>
      </c>
      <c r="CT3267" s="5" t="s">
        <v>307</v>
      </c>
      <c r="CU3267" s="5" t="s">
        <v>260</v>
      </c>
      <c r="CV3267" s="5" t="s">
        <v>612</v>
      </c>
      <c r="CW3267" s="8">
        <f>1</f>
        <v>1</v>
      </c>
      <c r="CX3267" s="7">
        <f>1</f>
        <v>1</v>
      </c>
      <c r="CY3267" s="7">
        <f>0</f>
        <v>0</v>
      </c>
      <c r="DA3267" s="7">
        <f>1</f>
        <v>1</v>
      </c>
      <c r="DB3267" s="7" t="s">
        <v>240</v>
      </c>
      <c r="DC3267" s="5" t="s">
        <v>240</v>
      </c>
      <c r="DD3267" s="5" t="s">
        <v>240</v>
      </c>
      <c r="DE3267" s="5" t="s">
        <v>240</v>
      </c>
      <c r="DF3267" s="5" t="s">
        <v>240</v>
      </c>
      <c r="DG3267" s="7">
        <f>0</f>
        <v>0</v>
      </c>
      <c r="DI3267" s="5" t="s">
        <v>240</v>
      </c>
      <c r="DJ3267" s="5" t="s">
        <v>240</v>
      </c>
      <c r="DK3267" s="5" t="s">
        <v>240</v>
      </c>
      <c r="DL3267" s="5" t="s">
        <v>240</v>
      </c>
      <c r="DM3267" s="5" t="s">
        <v>240</v>
      </c>
      <c r="DN3267" s="5" t="s">
        <v>240</v>
      </c>
      <c r="DO3267" s="7" t="s">
        <v>240</v>
      </c>
      <c r="DP3267" s="5" t="s">
        <v>240</v>
      </c>
      <c r="DQ3267" s="5" t="s">
        <v>240</v>
      </c>
      <c r="DR3267" s="5" t="s">
        <v>731</v>
      </c>
      <c r="DS3267" s="5" t="s">
        <v>731</v>
      </c>
      <c r="DT3267" s="5" t="s">
        <v>240</v>
      </c>
      <c r="DU3267" s="5" t="s">
        <v>240</v>
      </c>
      <c r="DV3267" s="5" t="s">
        <v>3683</v>
      </c>
      <c r="DW3267" s="5" t="s">
        <v>4027</v>
      </c>
      <c r="DX3267" s="5" t="s">
        <v>240</v>
      </c>
      <c r="DY3267" s="5" t="s">
        <v>240</v>
      </c>
      <c r="DZ3267" s="5" t="s">
        <v>240</v>
      </c>
      <c r="EA3267" s="5" t="s">
        <v>240</v>
      </c>
      <c r="EB3267" s="5" t="s">
        <v>240</v>
      </c>
      <c r="EC3267" s="5" t="s">
        <v>240</v>
      </c>
      <c r="ED3267" s="5" t="s">
        <v>240</v>
      </c>
      <c r="EE3267" s="5" t="s">
        <v>240</v>
      </c>
      <c r="EF3267" s="5" t="s">
        <v>240</v>
      </c>
      <c r="EG3267" s="5" t="s">
        <v>240</v>
      </c>
      <c r="EH3267" s="5" t="s">
        <v>240</v>
      </c>
      <c r="EI3267" s="5" t="s">
        <v>240</v>
      </c>
      <c r="EJ3267" s="5" t="s">
        <v>240</v>
      </c>
      <c r="EK3267" s="5" t="s">
        <v>240</v>
      </c>
      <c r="EL3267" s="5" t="s">
        <v>240</v>
      </c>
      <c r="EM3267" s="5" t="s">
        <v>240</v>
      </c>
      <c r="EN3267" s="5" t="s">
        <v>240</v>
      </c>
      <c r="EO3267" s="5" t="s">
        <v>240</v>
      </c>
      <c r="EP3267" s="5" t="s">
        <v>240</v>
      </c>
      <c r="EQ3267" s="5" t="s">
        <v>240</v>
      </c>
      <c r="ER3267" s="5" t="s">
        <v>240</v>
      </c>
      <c r="ES3267" s="5" t="s">
        <v>240</v>
      </c>
      <c r="ET3267" s="5" t="s">
        <v>240</v>
      </c>
      <c r="EU3267" s="5" t="s">
        <v>240</v>
      </c>
      <c r="EV3267" s="5" t="s">
        <v>240</v>
      </c>
      <c r="EW3267" s="5" t="s">
        <v>240</v>
      </c>
      <c r="EX3267" s="5" t="s">
        <v>240</v>
      </c>
      <c r="EY3267" s="5" t="s">
        <v>240</v>
      </c>
      <c r="EZ3267" s="5" t="s">
        <v>240</v>
      </c>
      <c r="FA3267" s="5" t="s">
        <v>240</v>
      </c>
      <c r="FB3267" s="5" t="s">
        <v>240</v>
      </c>
      <c r="FC3267" s="5" t="s">
        <v>240</v>
      </c>
      <c r="FD3267" s="5" t="s">
        <v>240</v>
      </c>
      <c r="FE3267" s="5" t="s">
        <v>240</v>
      </c>
      <c r="FF3267" s="5" t="s">
        <v>240</v>
      </c>
      <c r="FG3267" s="5" t="s">
        <v>240</v>
      </c>
      <c r="FH3267" s="5" t="s">
        <v>240</v>
      </c>
      <c r="FI3267" s="5" t="s">
        <v>240</v>
      </c>
      <c r="FJ3267" s="5" t="s">
        <v>240</v>
      </c>
      <c r="FK3267" s="5" t="s">
        <v>240</v>
      </c>
      <c r="FL3267" s="5" t="s">
        <v>240</v>
      </c>
      <c r="FM3267" s="5" t="s">
        <v>240</v>
      </c>
      <c r="FN3267" s="5" t="s">
        <v>240</v>
      </c>
      <c r="FO3267" s="5" t="s">
        <v>240</v>
      </c>
      <c r="FP3267" s="5" t="s">
        <v>240</v>
      </c>
      <c r="FQ3267" s="5" t="s">
        <v>240</v>
      </c>
      <c r="FR3267" s="5" t="s">
        <v>240</v>
      </c>
      <c r="FS3267" s="5" t="s">
        <v>240</v>
      </c>
      <c r="FT3267" s="5" t="s">
        <v>240</v>
      </c>
      <c r="FU3267" s="5" t="s">
        <v>240</v>
      </c>
      <c r="FV3267" s="5" t="s">
        <v>240</v>
      </c>
      <c r="FW3267" s="5" t="s">
        <v>240</v>
      </c>
      <c r="FX3267" s="5" t="s">
        <v>240</v>
      </c>
      <c r="FY3267" s="5" t="s">
        <v>240</v>
      </c>
      <c r="FZ3267" s="5" t="s">
        <v>240</v>
      </c>
      <c r="GA3267" s="5" t="s">
        <v>240</v>
      </c>
      <c r="GB3267" s="5" t="s">
        <v>240</v>
      </c>
      <c r="GC3267" s="5" t="s">
        <v>240</v>
      </c>
      <c r="GD3267" s="5" t="s">
        <v>240</v>
      </c>
      <c r="GE3267" s="5" t="s">
        <v>240</v>
      </c>
      <c r="GF3267" s="5" t="s">
        <v>240</v>
      </c>
      <c r="GG3267" s="5" t="s">
        <v>240</v>
      </c>
      <c r="GH3267" s="5" t="s">
        <v>240</v>
      </c>
      <c r="GI3267" s="5" t="s">
        <v>240</v>
      </c>
      <c r="GJ3267" s="5" t="s">
        <v>240</v>
      </c>
      <c r="GK3267" s="5" t="s">
        <v>240</v>
      </c>
      <c r="GL3267" s="5" t="s">
        <v>240</v>
      </c>
      <c r="GM3267" s="5" t="s">
        <v>240</v>
      </c>
      <c r="GN3267" s="5" t="s">
        <v>240</v>
      </c>
      <c r="GO3267" s="5" t="s">
        <v>240</v>
      </c>
      <c r="GP3267" s="5" t="s">
        <v>240</v>
      </c>
      <c r="GQ3267" s="5" t="s">
        <v>240</v>
      </c>
      <c r="GR3267" s="5" t="s">
        <v>240</v>
      </c>
      <c r="GS3267" s="5" t="s">
        <v>240</v>
      </c>
      <c r="GT3267" s="5" t="s">
        <v>240</v>
      </c>
      <c r="GU3267" s="5" t="s">
        <v>240</v>
      </c>
      <c r="GV3267" s="5" t="s">
        <v>240</v>
      </c>
      <c r="GW3267" s="5" t="s">
        <v>240</v>
      </c>
      <c r="GX3267" s="5" t="s">
        <v>240</v>
      </c>
      <c r="GY3267" s="5" t="s">
        <v>240</v>
      </c>
      <c r="GZ3267" s="5" t="s">
        <v>240</v>
      </c>
      <c r="HA3267" s="5" t="s">
        <v>240</v>
      </c>
      <c r="HB3267" s="5" t="s">
        <v>240</v>
      </c>
      <c r="HC3267" s="5" t="s">
        <v>240</v>
      </c>
      <c r="HD3267" s="5" t="s">
        <v>240</v>
      </c>
      <c r="HE3267" s="5" t="s">
        <v>240</v>
      </c>
      <c r="HF3267" s="5" t="s">
        <v>240</v>
      </c>
      <c r="HG3267" s="5" t="s">
        <v>240</v>
      </c>
      <c r="HH3267" s="5" t="s">
        <v>240</v>
      </c>
      <c r="HI3267" s="5" t="s">
        <v>240</v>
      </c>
      <c r="HJ3267" s="5" t="s">
        <v>240</v>
      </c>
      <c r="HK3267" s="5" t="s">
        <v>240</v>
      </c>
      <c r="HL3267" s="5" t="s">
        <v>240</v>
      </c>
      <c r="HM3267" s="5" t="s">
        <v>240</v>
      </c>
      <c r="HN3267" s="5" t="s">
        <v>240</v>
      </c>
      <c r="HO3267" s="5" t="s">
        <v>312</v>
      </c>
      <c r="HP3267" s="5" t="s">
        <v>240</v>
      </c>
      <c r="HQ3267" s="5" t="s">
        <v>240</v>
      </c>
      <c r="HR3267" s="5" t="s">
        <v>240</v>
      </c>
      <c r="HS3267" s="5" t="s">
        <v>240</v>
      </c>
      <c r="HT3267" s="5" t="s">
        <v>240</v>
      </c>
      <c r="HU3267" s="5" t="s">
        <v>240</v>
      </c>
      <c r="HV3267" s="5" t="s">
        <v>240</v>
      </c>
      <c r="HW3267" s="5" t="s">
        <v>240</v>
      </c>
      <c r="HX3267" s="5" t="s">
        <v>240</v>
      </c>
      <c r="HY3267" s="5" t="s">
        <v>240</v>
      </c>
      <c r="HZ3267" s="5" t="s">
        <v>240</v>
      </c>
      <c r="IA3267" s="5" t="s">
        <v>240</v>
      </c>
      <c r="IB3267" s="5" t="s">
        <v>240</v>
      </c>
      <c r="IC3267" s="5" t="s">
        <v>240</v>
      </c>
      <c r="ID3267" s="5" t="s">
        <v>240</v>
      </c>
      <c r="IE3267" s="5" t="s">
        <v>240</v>
      </c>
      <c r="IF3267" s="5" t="s">
        <v>240</v>
      </c>
    </row>
    <row r="3268" spans="1:240" x14ac:dyDescent="0.4">
      <c r="A3268" s="5">
        <v>8810</v>
      </c>
      <c r="B3268" s="5">
        <v>1</v>
      </c>
      <c r="C3268" s="5">
        <v>1</v>
      </c>
      <c r="D3268" s="5" t="s">
        <v>723</v>
      </c>
      <c r="E3268" s="5" t="s">
        <v>725</v>
      </c>
      <c r="F3268" s="5" t="s">
        <v>730</v>
      </c>
      <c r="G3268" s="5" t="s">
        <v>726</v>
      </c>
      <c r="H3268" s="6" t="s">
        <v>6400</v>
      </c>
      <c r="I3268" s="5" t="s">
        <v>722</v>
      </c>
      <c r="J3268" s="8">
        <f>657</f>
        <v>657</v>
      </c>
      <c r="K3268" s="5" t="s">
        <v>308</v>
      </c>
      <c r="L3268" s="7">
        <f>0</f>
        <v>0</v>
      </c>
      <c r="M3268" s="7">
        <f>0</f>
        <v>0</v>
      </c>
      <c r="N3268" s="5" t="s">
        <v>242</v>
      </c>
      <c r="O3268" s="5">
        <v>1</v>
      </c>
      <c r="P3268" s="5" t="s">
        <v>294</v>
      </c>
      <c r="Q3268" s="5" t="s">
        <v>3678</v>
      </c>
      <c r="R3268" s="5" t="s">
        <v>240</v>
      </c>
      <c r="S3268" s="5" t="s">
        <v>240</v>
      </c>
      <c r="T3268" s="5" t="s">
        <v>243</v>
      </c>
      <c r="U3268" s="5" t="s">
        <v>244</v>
      </c>
      <c r="V3268" s="5" t="s">
        <v>240</v>
      </c>
      <c r="W3268" s="5" t="s">
        <v>240</v>
      </c>
      <c r="X3268" s="5" t="s">
        <v>240</v>
      </c>
      <c r="Y3268" s="5" t="s">
        <v>240</v>
      </c>
      <c r="Z3268" s="6" t="s">
        <v>298</v>
      </c>
      <c r="AA3268" s="6" t="s">
        <v>240</v>
      </c>
      <c r="AB3268" s="6" t="s">
        <v>240</v>
      </c>
      <c r="AC3268" s="5" t="s">
        <v>240</v>
      </c>
      <c r="AD3268" s="6" t="s">
        <v>240</v>
      </c>
      <c r="AE3268" s="6" t="s">
        <v>299</v>
      </c>
      <c r="AF3268" s="5" t="s">
        <v>248</v>
      </c>
      <c r="AG3268" s="5" t="s">
        <v>249</v>
      </c>
      <c r="AH3268" s="5" t="s">
        <v>240</v>
      </c>
      <c r="AI3268" s="5" t="s">
        <v>240</v>
      </c>
      <c r="AJ3268" s="5" t="s">
        <v>240</v>
      </c>
      <c r="AK3268" s="5" t="s">
        <v>240</v>
      </c>
      <c r="AL3268" s="5" t="s">
        <v>240</v>
      </c>
      <c r="AM3268" s="5" t="s">
        <v>240</v>
      </c>
      <c r="AN3268" s="5" t="s">
        <v>240</v>
      </c>
      <c r="AO3268" s="5" t="s">
        <v>240</v>
      </c>
      <c r="AP3268" s="6" t="s">
        <v>240</v>
      </c>
      <c r="AQ3268" s="6" t="s">
        <v>240</v>
      </c>
      <c r="AR3268" s="6" t="s">
        <v>240</v>
      </c>
      <c r="AS3268" s="6" t="s">
        <v>240</v>
      </c>
      <c r="AT3268" s="5" t="s">
        <v>240</v>
      </c>
      <c r="AU3268" s="5" t="s">
        <v>729</v>
      </c>
      <c r="AV3268" s="5" t="s">
        <v>729</v>
      </c>
      <c r="AW3268" s="5" t="s">
        <v>251</v>
      </c>
      <c r="AX3268" s="5" t="s">
        <v>252</v>
      </c>
      <c r="AY3268" s="5" t="s">
        <v>253</v>
      </c>
      <c r="AZ3268" s="5" t="s">
        <v>240</v>
      </c>
      <c r="BA3268" s="5" t="s">
        <v>255</v>
      </c>
      <c r="BB3268" s="5" t="s">
        <v>731</v>
      </c>
      <c r="BD3268" s="5" t="s">
        <v>240</v>
      </c>
      <c r="BF3268" s="5" t="s">
        <v>732</v>
      </c>
      <c r="BG3268" s="6" t="s">
        <v>733</v>
      </c>
      <c r="BH3268" s="5" t="s">
        <v>734</v>
      </c>
      <c r="BI3268" s="5" t="s">
        <v>734</v>
      </c>
      <c r="BJ3268" s="5" t="s">
        <v>240</v>
      </c>
      <c r="BK3268" s="7">
        <f>1</f>
        <v>1</v>
      </c>
      <c r="BL3268" s="7">
        <f>1</f>
        <v>1</v>
      </c>
      <c r="BM3268" s="5" t="s">
        <v>258</v>
      </c>
      <c r="BN3268" s="5" t="s">
        <v>259</v>
      </c>
      <c r="BO3268" s="5" t="s">
        <v>240</v>
      </c>
      <c r="BP3268" s="5" t="s">
        <v>240</v>
      </c>
      <c r="BQ3268" s="5" t="s">
        <v>240</v>
      </c>
      <c r="BR3268" s="5" t="s">
        <v>240</v>
      </c>
      <c r="BS3268" s="5" t="s">
        <v>240</v>
      </c>
      <c r="BT3268" s="5" t="s">
        <v>240</v>
      </c>
      <c r="BU3268" s="5" t="s">
        <v>240</v>
      </c>
      <c r="BV3268" s="5" t="s">
        <v>240</v>
      </c>
      <c r="BW3268" s="6" t="s">
        <v>240</v>
      </c>
      <c r="BX3268" s="5" t="s">
        <v>240</v>
      </c>
      <c r="BY3268" s="5" t="s">
        <v>240</v>
      </c>
      <c r="BZ3268" s="5" t="s">
        <v>240</v>
      </c>
      <c r="CA3268" s="5" t="s">
        <v>259</v>
      </c>
      <c r="CB3268" s="5" t="s">
        <v>240</v>
      </c>
      <c r="CC3268" s="5" t="s">
        <v>240</v>
      </c>
      <c r="CD3268" s="5" t="s">
        <v>240</v>
      </c>
      <c r="CE3268" s="5" t="s">
        <v>240</v>
      </c>
      <c r="CF3268" s="5" t="s">
        <v>240</v>
      </c>
      <c r="CG3268" s="5" t="s">
        <v>304</v>
      </c>
      <c r="CH3268" s="5" t="s">
        <v>305</v>
      </c>
      <c r="CI3268" s="5" t="s">
        <v>240</v>
      </c>
      <c r="CK3268" s="5" t="s">
        <v>3681</v>
      </c>
      <c r="CL3268" s="6" t="s">
        <v>261</v>
      </c>
      <c r="CM3268" s="5" t="s">
        <v>262</v>
      </c>
      <c r="CN3268" s="5" t="s">
        <v>263</v>
      </c>
      <c r="CO3268" s="5" t="s">
        <v>264</v>
      </c>
      <c r="CP3268" s="5" t="s">
        <v>240</v>
      </c>
      <c r="CQ3268" s="5">
        <v>0</v>
      </c>
      <c r="CR3268" s="5" t="s">
        <v>735</v>
      </c>
      <c r="CS3268" s="5" t="s">
        <v>307</v>
      </c>
      <c r="CT3268" s="5" t="s">
        <v>307</v>
      </c>
      <c r="CU3268" s="5" t="s">
        <v>260</v>
      </c>
      <c r="CV3268" s="5" t="s">
        <v>612</v>
      </c>
      <c r="CW3268" s="8">
        <f>1</f>
        <v>1</v>
      </c>
      <c r="CX3268" s="7">
        <f>1</f>
        <v>1</v>
      </c>
      <c r="CY3268" s="7">
        <f>0</f>
        <v>0</v>
      </c>
      <c r="DA3268" s="7">
        <f>1</f>
        <v>1</v>
      </c>
      <c r="DB3268" s="7" t="s">
        <v>240</v>
      </c>
      <c r="DC3268" s="5" t="s">
        <v>240</v>
      </c>
      <c r="DD3268" s="5" t="s">
        <v>240</v>
      </c>
      <c r="DE3268" s="5" t="s">
        <v>240</v>
      </c>
      <c r="DF3268" s="5" t="s">
        <v>240</v>
      </c>
      <c r="DG3268" s="7">
        <f>0</f>
        <v>0</v>
      </c>
      <c r="DI3268" s="5" t="s">
        <v>240</v>
      </c>
      <c r="DJ3268" s="5" t="s">
        <v>240</v>
      </c>
      <c r="DK3268" s="5" t="s">
        <v>240</v>
      </c>
      <c r="DL3268" s="5" t="s">
        <v>240</v>
      </c>
      <c r="DM3268" s="5" t="s">
        <v>240</v>
      </c>
      <c r="DN3268" s="5" t="s">
        <v>240</v>
      </c>
      <c r="DO3268" s="7" t="s">
        <v>240</v>
      </c>
      <c r="DP3268" s="5" t="s">
        <v>240</v>
      </c>
      <c r="DQ3268" s="5" t="s">
        <v>240</v>
      </c>
      <c r="DR3268" s="5" t="s">
        <v>731</v>
      </c>
      <c r="DS3268" s="5" t="s">
        <v>731</v>
      </c>
      <c r="DT3268" s="5" t="s">
        <v>240</v>
      </c>
      <c r="DU3268" s="5" t="s">
        <v>240</v>
      </c>
      <c r="DV3268" s="5" t="s">
        <v>3683</v>
      </c>
      <c r="DW3268" s="5" t="s">
        <v>602</v>
      </c>
      <c r="DX3268" s="5" t="s">
        <v>240</v>
      </c>
      <c r="DY3268" s="5" t="s">
        <v>240</v>
      </c>
      <c r="DZ3268" s="5" t="s">
        <v>240</v>
      </c>
      <c r="EA3268" s="5" t="s">
        <v>240</v>
      </c>
      <c r="EB3268" s="5" t="s">
        <v>240</v>
      </c>
      <c r="EC3268" s="5" t="s">
        <v>240</v>
      </c>
      <c r="ED3268" s="5" t="s">
        <v>240</v>
      </c>
      <c r="EE3268" s="5" t="s">
        <v>240</v>
      </c>
      <c r="EF3268" s="5" t="s">
        <v>240</v>
      </c>
      <c r="EG3268" s="5" t="s">
        <v>240</v>
      </c>
      <c r="EH3268" s="5" t="s">
        <v>240</v>
      </c>
      <c r="EI3268" s="5" t="s">
        <v>240</v>
      </c>
      <c r="EJ3268" s="5" t="s">
        <v>240</v>
      </c>
      <c r="EK3268" s="5" t="s">
        <v>240</v>
      </c>
      <c r="EL3268" s="5" t="s">
        <v>240</v>
      </c>
      <c r="EM3268" s="5" t="s">
        <v>240</v>
      </c>
      <c r="EN3268" s="5" t="s">
        <v>240</v>
      </c>
      <c r="EO3268" s="5" t="s">
        <v>240</v>
      </c>
      <c r="EP3268" s="5" t="s">
        <v>240</v>
      </c>
      <c r="EQ3268" s="5" t="s">
        <v>240</v>
      </c>
      <c r="ER3268" s="5" t="s">
        <v>240</v>
      </c>
      <c r="ES3268" s="5" t="s">
        <v>240</v>
      </c>
      <c r="ET3268" s="5" t="s">
        <v>240</v>
      </c>
      <c r="EU3268" s="5" t="s">
        <v>240</v>
      </c>
      <c r="EV3268" s="5" t="s">
        <v>240</v>
      </c>
      <c r="EW3268" s="5" t="s">
        <v>240</v>
      </c>
      <c r="EX3268" s="5" t="s">
        <v>240</v>
      </c>
      <c r="EY3268" s="5" t="s">
        <v>240</v>
      </c>
      <c r="EZ3268" s="5" t="s">
        <v>240</v>
      </c>
      <c r="FA3268" s="5" t="s">
        <v>240</v>
      </c>
      <c r="FB3268" s="5" t="s">
        <v>240</v>
      </c>
      <c r="FC3268" s="5" t="s">
        <v>240</v>
      </c>
      <c r="FD3268" s="5" t="s">
        <v>240</v>
      </c>
      <c r="FE3268" s="5" t="s">
        <v>240</v>
      </c>
      <c r="FF3268" s="5" t="s">
        <v>240</v>
      </c>
      <c r="FG3268" s="5" t="s">
        <v>240</v>
      </c>
      <c r="FH3268" s="5" t="s">
        <v>240</v>
      </c>
      <c r="FI3268" s="5" t="s">
        <v>240</v>
      </c>
      <c r="FJ3268" s="5" t="s">
        <v>240</v>
      </c>
      <c r="FK3268" s="5" t="s">
        <v>240</v>
      </c>
      <c r="FL3268" s="5" t="s">
        <v>240</v>
      </c>
      <c r="FM3268" s="5" t="s">
        <v>240</v>
      </c>
      <c r="FN3268" s="5" t="s">
        <v>240</v>
      </c>
      <c r="FO3268" s="5" t="s">
        <v>240</v>
      </c>
      <c r="FP3268" s="5" t="s">
        <v>240</v>
      </c>
      <c r="FQ3268" s="5" t="s">
        <v>240</v>
      </c>
      <c r="FR3268" s="5" t="s">
        <v>240</v>
      </c>
      <c r="FS3268" s="5" t="s">
        <v>240</v>
      </c>
      <c r="FT3268" s="5" t="s">
        <v>240</v>
      </c>
      <c r="FU3268" s="5" t="s">
        <v>240</v>
      </c>
      <c r="FV3268" s="5" t="s">
        <v>240</v>
      </c>
      <c r="FW3268" s="5" t="s">
        <v>240</v>
      </c>
      <c r="FX3268" s="5" t="s">
        <v>240</v>
      </c>
      <c r="FY3268" s="5" t="s">
        <v>240</v>
      </c>
      <c r="FZ3268" s="5" t="s">
        <v>240</v>
      </c>
      <c r="GA3268" s="5" t="s">
        <v>240</v>
      </c>
      <c r="GB3268" s="5" t="s">
        <v>240</v>
      </c>
      <c r="GC3268" s="5" t="s">
        <v>240</v>
      </c>
      <c r="GD3268" s="5" t="s">
        <v>240</v>
      </c>
      <c r="GE3268" s="5" t="s">
        <v>240</v>
      </c>
      <c r="GF3268" s="5" t="s">
        <v>240</v>
      </c>
      <c r="GG3268" s="5" t="s">
        <v>240</v>
      </c>
      <c r="GH3268" s="5" t="s">
        <v>240</v>
      </c>
      <c r="GI3268" s="5" t="s">
        <v>240</v>
      </c>
      <c r="GJ3268" s="5" t="s">
        <v>240</v>
      </c>
      <c r="GK3268" s="5" t="s">
        <v>240</v>
      </c>
      <c r="GL3268" s="5" t="s">
        <v>240</v>
      </c>
      <c r="GM3268" s="5" t="s">
        <v>240</v>
      </c>
      <c r="GN3268" s="5" t="s">
        <v>240</v>
      </c>
      <c r="GO3268" s="5" t="s">
        <v>240</v>
      </c>
      <c r="GP3268" s="5" t="s">
        <v>240</v>
      </c>
      <c r="GQ3268" s="5" t="s">
        <v>240</v>
      </c>
      <c r="GR3268" s="5" t="s">
        <v>240</v>
      </c>
      <c r="GS3268" s="5" t="s">
        <v>240</v>
      </c>
      <c r="GT3268" s="5" t="s">
        <v>240</v>
      </c>
      <c r="GU3268" s="5" t="s">
        <v>240</v>
      </c>
      <c r="GV3268" s="5" t="s">
        <v>240</v>
      </c>
      <c r="GW3268" s="5" t="s">
        <v>240</v>
      </c>
      <c r="GX3268" s="5" t="s">
        <v>240</v>
      </c>
      <c r="GY3268" s="5" t="s">
        <v>240</v>
      </c>
      <c r="GZ3268" s="5" t="s">
        <v>240</v>
      </c>
      <c r="HA3268" s="5" t="s">
        <v>240</v>
      </c>
      <c r="HB3268" s="5" t="s">
        <v>240</v>
      </c>
      <c r="HC3268" s="5" t="s">
        <v>240</v>
      </c>
      <c r="HD3268" s="5" t="s">
        <v>240</v>
      </c>
      <c r="HE3268" s="5" t="s">
        <v>240</v>
      </c>
      <c r="HF3268" s="5" t="s">
        <v>240</v>
      </c>
      <c r="HG3268" s="5" t="s">
        <v>240</v>
      </c>
      <c r="HH3268" s="5" t="s">
        <v>240</v>
      </c>
      <c r="HI3268" s="5" t="s">
        <v>240</v>
      </c>
      <c r="HJ3268" s="5" t="s">
        <v>240</v>
      </c>
      <c r="HK3268" s="5" t="s">
        <v>240</v>
      </c>
      <c r="HL3268" s="5" t="s">
        <v>240</v>
      </c>
      <c r="HM3268" s="5" t="s">
        <v>240</v>
      </c>
      <c r="HN3268" s="5" t="s">
        <v>240</v>
      </c>
      <c r="HO3268" s="5" t="s">
        <v>312</v>
      </c>
      <c r="HP3268" s="5" t="s">
        <v>240</v>
      </c>
      <c r="HQ3268" s="5" t="s">
        <v>240</v>
      </c>
      <c r="HR3268" s="5" t="s">
        <v>240</v>
      </c>
      <c r="HS3268" s="5" t="s">
        <v>240</v>
      </c>
      <c r="HT3268" s="5" t="s">
        <v>240</v>
      </c>
      <c r="HU3268" s="5" t="s">
        <v>240</v>
      </c>
      <c r="HV3268" s="5" t="s">
        <v>240</v>
      </c>
      <c r="HW3268" s="5" t="s">
        <v>240</v>
      </c>
      <c r="HX3268" s="5" t="s">
        <v>240</v>
      </c>
      <c r="HY3268" s="5" t="s">
        <v>240</v>
      </c>
      <c r="HZ3268" s="5" t="s">
        <v>240</v>
      </c>
      <c r="IA3268" s="5" t="s">
        <v>240</v>
      </c>
      <c r="IB3268" s="5" t="s">
        <v>240</v>
      </c>
      <c r="IC3268" s="5" t="s">
        <v>240</v>
      </c>
      <c r="ID3268" s="5" t="s">
        <v>240</v>
      </c>
      <c r="IE3268" s="5" t="s">
        <v>240</v>
      </c>
      <c r="IF3268" s="5" t="s">
        <v>240</v>
      </c>
    </row>
    <row r="3269" spans="1:240" x14ac:dyDescent="0.4">
      <c r="A3269" s="5">
        <v>8811</v>
      </c>
      <c r="B3269" s="5">
        <v>1</v>
      </c>
      <c r="C3269" s="5">
        <v>1</v>
      </c>
      <c r="D3269" s="5" t="s">
        <v>723</v>
      </c>
      <c r="E3269" s="5" t="s">
        <v>725</v>
      </c>
      <c r="F3269" s="5" t="s">
        <v>730</v>
      </c>
      <c r="G3269" s="5" t="s">
        <v>726</v>
      </c>
      <c r="H3269" s="6" t="s">
        <v>6535</v>
      </c>
      <c r="I3269" s="5" t="s">
        <v>722</v>
      </c>
      <c r="J3269" s="8">
        <f>180</f>
        <v>180</v>
      </c>
      <c r="K3269" s="5" t="s">
        <v>308</v>
      </c>
      <c r="L3269" s="7">
        <f>0</f>
        <v>0</v>
      </c>
      <c r="M3269" s="7">
        <f>0</f>
        <v>0</v>
      </c>
      <c r="N3269" s="5" t="s">
        <v>242</v>
      </c>
      <c r="O3269" s="5">
        <v>1</v>
      </c>
      <c r="P3269" s="5" t="s">
        <v>294</v>
      </c>
      <c r="Q3269" s="5" t="s">
        <v>3678</v>
      </c>
      <c r="R3269" s="5" t="s">
        <v>240</v>
      </c>
      <c r="S3269" s="5" t="s">
        <v>240</v>
      </c>
      <c r="T3269" s="5" t="s">
        <v>243</v>
      </c>
      <c r="U3269" s="5" t="s">
        <v>244</v>
      </c>
      <c r="V3269" s="5" t="s">
        <v>240</v>
      </c>
      <c r="W3269" s="5" t="s">
        <v>240</v>
      </c>
      <c r="X3269" s="5" t="s">
        <v>240</v>
      </c>
      <c r="Y3269" s="5" t="s">
        <v>240</v>
      </c>
      <c r="Z3269" s="6" t="s">
        <v>298</v>
      </c>
      <c r="AA3269" s="6" t="s">
        <v>240</v>
      </c>
      <c r="AB3269" s="6" t="s">
        <v>240</v>
      </c>
      <c r="AC3269" s="5" t="s">
        <v>240</v>
      </c>
      <c r="AD3269" s="6" t="s">
        <v>240</v>
      </c>
      <c r="AE3269" s="6" t="s">
        <v>299</v>
      </c>
      <c r="AF3269" s="5" t="s">
        <v>248</v>
      </c>
      <c r="AG3269" s="5" t="s">
        <v>249</v>
      </c>
      <c r="AH3269" s="5" t="s">
        <v>240</v>
      </c>
      <c r="AI3269" s="5" t="s">
        <v>240</v>
      </c>
      <c r="AJ3269" s="5" t="s">
        <v>240</v>
      </c>
      <c r="AK3269" s="5" t="s">
        <v>240</v>
      </c>
      <c r="AL3269" s="5" t="s">
        <v>240</v>
      </c>
      <c r="AM3269" s="5" t="s">
        <v>240</v>
      </c>
      <c r="AN3269" s="5" t="s">
        <v>240</v>
      </c>
      <c r="AO3269" s="5" t="s">
        <v>240</v>
      </c>
      <c r="AP3269" s="6" t="s">
        <v>240</v>
      </c>
      <c r="AQ3269" s="6" t="s">
        <v>240</v>
      </c>
      <c r="AR3269" s="6" t="s">
        <v>240</v>
      </c>
      <c r="AS3269" s="6" t="s">
        <v>240</v>
      </c>
      <c r="AT3269" s="5" t="s">
        <v>240</v>
      </c>
      <c r="AU3269" s="5" t="s">
        <v>729</v>
      </c>
      <c r="AV3269" s="5" t="s">
        <v>729</v>
      </c>
      <c r="AW3269" s="5" t="s">
        <v>251</v>
      </c>
      <c r="AX3269" s="5" t="s">
        <v>252</v>
      </c>
      <c r="AY3269" s="5" t="s">
        <v>253</v>
      </c>
      <c r="AZ3269" s="5" t="s">
        <v>240</v>
      </c>
      <c r="BA3269" s="5" t="s">
        <v>255</v>
      </c>
      <c r="BB3269" s="5" t="s">
        <v>731</v>
      </c>
      <c r="BD3269" s="5" t="s">
        <v>240</v>
      </c>
      <c r="BF3269" s="5" t="s">
        <v>732</v>
      </c>
      <c r="BG3269" s="6" t="s">
        <v>733</v>
      </c>
      <c r="BH3269" s="5" t="s">
        <v>734</v>
      </c>
      <c r="BI3269" s="5" t="s">
        <v>734</v>
      </c>
      <c r="BJ3269" s="5" t="s">
        <v>240</v>
      </c>
      <c r="BK3269" s="7">
        <f>1</f>
        <v>1</v>
      </c>
      <c r="BL3269" s="7">
        <f>1</f>
        <v>1</v>
      </c>
      <c r="BM3269" s="5" t="s">
        <v>258</v>
      </c>
      <c r="BN3269" s="5" t="s">
        <v>259</v>
      </c>
      <c r="BO3269" s="5" t="s">
        <v>240</v>
      </c>
      <c r="BP3269" s="5" t="s">
        <v>240</v>
      </c>
      <c r="BQ3269" s="5" t="s">
        <v>240</v>
      </c>
      <c r="BR3269" s="5" t="s">
        <v>240</v>
      </c>
      <c r="BS3269" s="5" t="s">
        <v>240</v>
      </c>
      <c r="BT3269" s="5" t="s">
        <v>240</v>
      </c>
      <c r="BU3269" s="5" t="s">
        <v>240</v>
      </c>
      <c r="BV3269" s="5" t="s">
        <v>240</v>
      </c>
      <c r="BW3269" s="6" t="s">
        <v>240</v>
      </c>
      <c r="BX3269" s="5" t="s">
        <v>240</v>
      </c>
      <c r="BY3269" s="5" t="s">
        <v>240</v>
      </c>
      <c r="BZ3269" s="5" t="s">
        <v>240</v>
      </c>
      <c r="CA3269" s="5" t="s">
        <v>259</v>
      </c>
      <c r="CB3269" s="5" t="s">
        <v>240</v>
      </c>
      <c r="CC3269" s="5" t="s">
        <v>240</v>
      </c>
      <c r="CD3269" s="5" t="s">
        <v>240</v>
      </c>
      <c r="CE3269" s="5" t="s">
        <v>240</v>
      </c>
      <c r="CF3269" s="5" t="s">
        <v>240</v>
      </c>
      <c r="CG3269" s="5" t="s">
        <v>304</v>
      </c>
      <c r="CH3269" s="5" t="s">
        <v>305</v>
      </c>
      <c r="CI3269" s="5" t="s">
        <v>240</v>
      </c>
      <c r="CK3269" s="5" t="s">
        <v>3681</v>
      </c>
      <c r="CL3269" s="6" t="s">
        <v>261</v>
      </c>
      <c r="CM3269" s="5" t="s">
        <v>262</v>
      </c>
      <c r="CN3269" s="5" t="s">
        <v>263</v>
      </c>
      <c r="CO3269" s="5" t="s">
        <v>264</v>
      </c>
      <c r="CP3269" s="5" t="s">
        <v>240</v>
      </c>
      <c r="CQ3269" s="5">
        <v>0</v>
      </c>
      <c r="CR3269" s="5" t="s">
        <v>735</v>
      </c>
      <c r="CS3269" s="5" t="s">
        <v>307</v>
      </c>
      <c r="CT3269" s="5" t="s">
        <v>307</v>
      </c>
      <c r="CU3269" s="5" t="s">
        <v>260</v>
      </c>
      <c r="CV3269" s="5" t="s">
        <v>612</v>
      </c>
      <c r="CW3269" s="8">
        <f>1</f>
        <v>1</v>
      </c>
      <c r="CX3269" s="7">
        <f>1</f>
        <v>1</v>
      </c>
      <c r="CY3269" s="7">
        <f>0</f>
        <v>0</v>
      </c>
      <c r="DA3269" s="7">
        <f>1</f>
        <v>1</v>
      </c>
      <c r="DB3269" s="7" t="s">
        <v>240</v>
      </c>
      <c r="DC3269" s="5" t="s">
        <v>240</v>
      </c>
      <c r="DD3269" s="5" t="s">
        <v>240</v>
      </c>
      <c r="DE3269" s="5" t="s">
        <v>240</v>
      </c>
      <c r="DF3269" s="5" t="s">
        <v>240</v>
      </c>
      <c r="DG3269" s="7">
        <f>0</f>
        <v>0</v>
      </c>
      <c r="DI3269" s="5" t="s">
        <v>240</v>
      </c>
      <c r="DJ3269" s="5" t="s">
        <v>240</v>
      </c>
      <c r="DK3269" s="5" t="s">
        <v>240</v>
      </c>
      <c r="DL3269" s="5" t="s">
        <v>240</v>
      </c>
      <c r="DM3269" s="5" t="s">
        <v>240</v>
      </c>
      <c r="DN3269" s="5" t="s">
        <v>240</v>
      </c>
      <c r="DO3269" s="7" t="s">
        <v>240</v>
      </c>
      <c r="DP3269" s="5" t="s">
        <v>240</v>
      </c>
      <c r="DQ3269" s="5" t="s">
        <v>240</v>
      </c>
      <c r="DR3269" s="5" t="s">
        <v>731</v>
      </c>
      <c r="DS3269" s="5" t="s">
        <v>731</v>
      </c>
      <c r="DT3269" s="5" t="s">
        <v>240</v>
      </c>
      <c r="DU3269" s="5" t="s">
        <v>240</v>
      </c>
      <c r="DV3269" s="5" t="s">
        <v>3683</v>
      </c>
      <c r="DW3269" s="5" t="s">
        <v>754</v>
      </c>
      <c r="DX3269" s="5" t="s">
        <v>240</v>
      </c>
      <c r="DY3269" s="5" t="s">
        <v>240</v>
      </c>
      <c r="DZ3269" s="5" t="s">
        <v>240</v>
      </c>
      <c r="EA3269" s="5" t="s">
        <v>240</v>
      </c>
      <c r="EB3269" s="5" t="s">
        <v>240</v>
      </c>
      <c r="EC3269" s="5" t="s">
        <v>240</v>
      </c>
      <c r="ED3269" s="5" t="s">
        <v>240</v>
      </c>
      <c r="EE3269" s="5" t="s">
        <v>240</v>
      </c>
      <c r="EF3269" s="5" t="s">
        <v>240</v>
      </c>
      <c r="EG3269" s="5" t="s">
        <v>240</v>
      </c>
      <c r="EH3269" s="5" t="s">
        <v>240</v>
      </c>
      <c r="EI3269" s="5" t="s">
        <v>240</v>
      </c>
      <c r="EJ3269" s="5" t="s">
        <v>240</v>
      </c>
      <c r="EK3269" s="5" t="s">
        <v>240</v>
      </c>
      <c r="EL3269" s="5" t="s">
        <v>240</v>
      </c>
      <c r="EM3269" s="5" t="s">
        <v>240</v>
      </c>
      <c r="EN3269" s="5" t="s">
        <v>240</v>
      </c>
      <c r="EO3269" s="5" t="s">
        <v>240</v>
      </c>
      <c r="EP3269" s="5" t="s">
        <v>240</v>
      </c>
      <c r="EQ3269" s="5" t="s">
        <v>240</v>
      </c>
      <c r="ER3269" s="5" t="s">
        <v>240</v>
      </c>
      <c r="ES3269" s="5" t="s">
        <v>240</v>
      </c>
      <c r="ET3269" s="5" t="s">
        <v>240</v>
      </c>
      <c r="EU3269" s="5" t="s">
        <v>240</v>
      </c>
      <c r="EV3269" s="5" t="s">
        <v>240</v>
      </c>
      <c r="EW3269" s="5" t="s">
        <v>240</v>
      </c>
      <c r="EX3269" s="5" t="s">
        <v>240</v>
      </c>
      <c r="EY3269" s="5" t="s">
        <v>240</v>
      </c>
      <c r="EZ3269" s="5" t="s">
        <v>240</v>
      </c>
      <c r="FA3269" s="5" t="s">
        <v>240</v>
      </c>
      <c r="FB3269" s="5" t="s">
        <v>240</v>
      </c>
      <c r="FC3269" s="5" t="s">
        <v>240</v>
      </c>
      <c r="FD3269" s="5" t="s">
        <v>240</v>
      </c>
      <c r="FE3269" s="5" t="s">
        <v>240</v>
      </c>
      <c r="FF3269" s="5" t="s">
        <v>240</v>
      </c>
      <c r="FG3269" s="5" t="s">
        <v>240</v>
      </c>
      <c r="FH3269" s="5" t="s">
        <v>240</v>
      </c>
      <c r="FI3269" s="5" t="s">
        <v>240</v>
      </c>
      <c r="FJ3269" s="5" t="s">
        <v>240</v>
      </c>
      <c r="FK3269" s="5" t="s">
        <v>240</v>
      </c>
      <c r="FL3269" s="5" t="s">
        <v>240</v>
      </c>
      <c r="FM3269" s="5" t="s">
        <v>240</v>
      </c>
      <c r="FN3269" s="5" t="s">
        <v>240</v>
      </c>
      <c r="FO3269" s="5" t="s">
        <v>240</v>
      </c>
      <c r="FP3269" s="5" t="s">
        <v>240</v>
      </c>
      <c r="FQ3269" s="5" t="s">
        <v>240</v>
      </c>
      <c r="FR3269" s="5" t="s">
        <v>240</v>
      </c>
      <c r="FS3269" s="5" t="s">
        <v>240</v>
      </c>
      <c r="FT3269" s="5" t="s">
        <v>240</v>
      </c>
      <c r="FU3269" s="5" t="s">
        <v>240</v>
      </c>
      <c r="FV3269" s="5" t="s">
        <v>240</v>
      </c>
      <c r="FW3269" s="5" t="s">
        <v>240</v>
      </c>
      <c r="FX3269" s="5" t="s">
        <v>240</v>
      </c>
      <c r="FY3269" s="5" t="s">
        <v>240</v>
      </c>
      <c r="FZ3269" s="5" t="s">
        <v>240</v>
      </c>
      <c r="GA3269" s="5" t="s">
        <v>240</v>
      </c>
      <c r="GB3269" s="5" t="s">
        <v>240</v>
      </c>
      <c r="GC3269" s="5" t="s">
        <v>240</v>
      </c>
      <c r="GD3269" s="5" t="s">
        <v>240</v>
      </c>
      <c r="GE3269" s="5" t="s">
        <v>240</v>
      </c>
      <c r="GF3269" s="5" t="s">
        <v>240</v>
      </c>
      <c r="GG3269" s="5" t="s">
        <v>240</v>
      </c>
      <c r="GH3269" s="5" t="s">
        <v>240</v>
      </c>
      <c r="GI3269" s="5" t="s">
        <v>240</v>
      </c>
      <c r="GJ3269" s="5" t="s">
        <v>240</v>
      </c>
      <c r="GK3269" s="5" t="s">
        <v>240</v>
      </c>
      <c r="GL3269" s="5" t="s">
        <v>240</v>
      </c>
      <c r="GM3269" s="5" t="s">
        <v>240</v>
      </c>
      <c r="GN3269" s="5" t="s">
        <v>240</v>
      </c>
      <c r="GO3269" s="5" t="s">
        <v>240</v>
      </c>
      <c r="GP3269" s="5" t="s">
        <v>240</v>
      </c>
      <c r="GQ3269" s="5" t="s">
        <v>240</v>
      </c>
      <c r="GR3269" s="5" t="s">
        <v>240</v>
      </c>
      <c r="GS3269" s="5" t="s">
        <v>240</v>
      </c>
      <c r="GT3269" s="5" t="s">
        <v>240</v>
      </c>
      <c r="GU3269" s="5" t="s">
        <v>240</v>
      </c>
      <c r="GV3269" s="5" t="s">
        <v>240</v>
      </c>
      <c r="GW3269" s="5" t="s">
        <v>240</v>
      </c>
      <c r="GX3269" s="5" t="s">
        <v>240</v>
      </c>
      <c r="GY3269" s="5" t="s">
        <v>240</v>
      </c>
      <c r="GZ3269" s="5" t="s">
        <v>240</v>
      </c>
      <c r="HA3269" s="5" t="s">
        <v>240</v>
      </c>
      <c r="HB3269" s="5" t="s">
        <v>240</v>
      </c>
      <c r="HC3269" s="5" t="s">
        <v>240</v>
      </c>
      <c r="HD3269" s="5" t="s">
        <v>240</v>
      </c>
      <c r="HE3269" s="5" t="s">
        <v>240</v>
      </c>
      <c r="HF3269" s="5" t="s">
        <v>240</v>
      </c>
      <c r="HG3269" s="5" t="s">
        <v>240</v>
      </c>
      <c r="HH3269" s="5" t="s">
        <v>240</v>
      </c>
      <c r="HI3269" s="5" t="s">
        <v>240</v>
      </c>
      <c r="HJ3269" s="5" t="s">
        <v>240</v>
      </c>
      <c r="HK3269" s="5" t="s">
        <v>240</v>
      </c>
      <c r="HL3269" s="5" t="s">
        <v>240</v>
      </c>
      <c r="HM3269" s="5" t="s">
        <v>240</v>
      </c>
      <c r="HN3269" s="5" t="s">
        <v>240</v>
      </c>
      <c r="HO3269" s="5" t="s">
        <v>312</v>
      </c>
      <c r="HP3269" s="5" t="s">
        <v>240</v>
      </c>
      <c r="HQ3269" s="5" t="s">
        <v>240</v>
      </c>
      <c r="HR3269" s="5" t="s">
        <v>240</v>
      </c>
      <c r="HS3269" s="5" t="s">
        <v>240</v>
      </c>
      <c r="HT3269" s="5" t="s">
        <v>240</v>
      </c>
      <c r="HU3269" s="5" t="s">
        <v>240</v>
      </c>
      <c r="HV3269" s="5" t="s">
        <v>240</v>
      </c>
      <c r="HW3269" s="5" t="s">
        <v>240</v>
      </c>
      <c r="HX3269" s="5" t="s">
        <v>240</v>
      </c>
      <c r="HY3269" s="5" t="s">
        <v>240</v>
      </c>
      <c r="HZ3269" s="5" t="s">
        <v>240</v>
      </c>
      <c r="IA3269" s="5" t="s">
        <v>240</v>
      </c>
      <c r="IB3269" s="5" t="s">
        <v>240</v>
      </c>
      <c r="IC3269" s="5" t="s">
        <v>240</v>
      </c>
      <c r="ID3269" s="5" t="s">
        <v>240</v>
      </c>
      <c r="IE3269" s="5" t="s">
        <v>240</v>
      </c>
      <c r="IF3269" s="5" t="s">
        <v>240</v>
      </c>
    </row>
    <row r="3270" spans="1:240" x14ac:dyDescent="0.4">
      <c r="A3270" s="5">
        <v>8812</v>
      </c>
      <c r="B3270" s="5">
        <v>1</v>
      </c>
      <c r="C3270" s="5">
        <v>1</v>
      </c>
      <c r="D3270" s="5" t="s">
        <v>723</v>
      </c>
      <c r="E3270" s="5" t="s">
        <v>725</v>
      </c>
      <c r="F3270" s="5" t="s">
        <v>730</v>
      </c>
      <c r="G3270" s="5" t="s">
        <v>726</v>
      </c>
      <c r="H3270" s="6" t="s">
        <v>6396</v>
      </c>
      <c r="I3270" s="5" t="s">
        <v>722</v>
      </c>
      <c r="J3270" s="8">
        <f>228</f>
        <v>228</v>
      </c>
      <c r="K3270" s="5" t="s">
        <v>308</v>
      </c>
      <c r="L3270" s="7">
        <f>0</f>
        <v>0</v>
      </c>
      <c r="M3270" s="7">
        <f>0</f>
        <v>0</v>
      </c>
      <c r="N3270" s="5" t="s">
        <v>242</v>
      </c>
      <c r="O3270" s="5">
        <v>1</v>
      </c>
      <c r="P3270" s="5" t="s">
        <v>294</v>
      </c>
      <c r="Q3270" s="5" t="s">
        <v>266</v>
      </c>
      <c r="R3270" s="5" t="s">
        <v>240</v>
      </c>
      <c r="S3270" s="5" t="s">
        <v>240</v>
      </c>
      <c r="T3270" s="5" t="s">
        <v>296</v>
      </c>
      <c r="U3270" s="5" t="s">
        <v>244</v>
      </c>
      <c r="V3270" s="5" t="s">
        <v>240</v>
      </c>
      <c r="Y3270" s="5" t="s">
        <v>240</v>
      </c>
      <c r="Z3270" s="6" t="s">
        <v>298</v>
      </c>
      <c r="AB3270" s="6" t="s">
        <v>240</v>
      </c>
      <c r="AE3270" s="6" t="s">
        <v>299</v>
      </c>
      <c r="AF3270" s="5" t="s">
        <v>248</v>
      </c>
      <c r="AG3270" s="5" t="s">
        <v>249</v>
      </c>
      <c r="AW3270" s="5" t="s">
        <v>251</v>
      </c>
      <c r="AX3270" s="5" t="s">
        <v>240</v>
      </c>
      <c r="AY3270" s="5" t="s">
        <v>253</v>
      </c>
      <c r="AZ3270" s="5" t="s">
        <v>240</v>
      </c>
      <c r="BA3270" s="5" t="s">
        <v>255</v>
      </c>
      <c r="BB3270" s="5" t="s">
        <v>240</v>
      </c>
      <c r="BD3270" s="5" t="s">
        <v>240</v>
      </c>
      <c r="BF3270" s="5" t="s">
        <v>301</v>
      </c>
      <c r="BG3270" s="6" t="s">
        <v>299</v>
      </c>
      <c r="BH3270" s="5" t="s">
        <v>302</v>
      </c>
      <c r="BI3270" s="5" t="s">
        <v>303</v>
      </c>
      <c r="BJ3270" s="5" t="s">
        <v>240</v>
      </c>
      <c r="BK3270" s="8">
        <f>0</f>
        <v>0</v>
      </c>
      <c r="BL3270" s="7">
        <f>0</f>
        <v>0</v>
      </c>
      <c r="BM3270" s="5" t="s">
        <v>258</v>
      </c>
      <c r="BN3270" s="5" t="s">
        <v>259</v>
      </c>
      <c r="CB3270" s="5" t="s">
        <v>240</v>
      </c>
      <c r="CC3270" s="5" t="s">
        <v>240</v>
      </c>
      <c r="CG3270" s="5" t="s">
        <v>304</v>
      </c>
      <c r="CH3270" s="5" t="s">
        <v>305</v>
      </c>
      <c r="CI3270" s="5" t="s">
        <v>240</v>
      </c>
      <c r="CL3270" s="6" t="s">
        <v>261</v>
      </c>
      <c r="CM3270" s="5" t="s">
        <v>240</v>
      </c>
      <c r="CN3270" s="5" t="s">
        <v>263</v>
      </c>
      <c r="CO3270" s="5" t="s">
        <v>240</v>
      </c>
      <c r="CP3270" s="5" t="s">
        <v>240</v>
      </c>
      <c r="CQ3270" s="5">
        <v>0</v>
      </c>
      <c r="CR3270" s="5" t="s">
        <v>306</v>
      </c>
      <c r="CS3270" s="5" t="s">
        <v>307</v>
      </c>
      <c r="CT3270" s="5" t="s">
        <v>307</v>
      </c>
      <c r="CU3270" s="5" t="s">
        <v>260</v>
      </c>
      <c r="CX3270" s="7">
        <f>1</f>
        <v>1</v>
      </c>
      <c r="CY3270" s="7">
        <f>0</f>
        <v>0</v>
      </c>
      <c r="DA3270" s="7">
        <f>0</f>
        <v>0</v>
      </c>
      <c r="DC3270" s="5" t="s">
        <v>309</v>
      </c>
      <c r="DD3270" s="5" t="s">
        <v>240</v>
      </c>
      <c r="DF3270" s="5" t="s">
        <v>309</v>
      </c>
      <c r="DG3270" s="7">
        <f>1460</f>
        <v>1460</v>
      </c>
      <c r="DI3270" s="5" t="s">
        <v>240</v>
      </c>
      <c r="DJ3270" s="5" t="s">
        <v>240</v>
      </c>
      <c r="DK3270" s="5" t="s">
        <v>240</v>
      </c>
      <c r="DL3270" s="5" t="s">
        <v>240</v>
      </c>
      <c r="DP3270" s="5" t="s">
        <v>240</v>
      </c>
      <c r="DQ3270" s="5" t="s">
        <v>240</v>
      </c>
      <c r="DR3270" s="5" t="s">
        <v>240</v>
      </c>
      <c r="DS3270" s="5" t="s">
        <v>240</v>
      </c>
      <c r="DV3270" s="5" t="s">
        <v>310</v>
      </c>
      <c r="DW3270" s="5" t="s">
        <v>3150</v>
      </c>
      <c r="HO3270" s="5" t="s">
        <v>312</v>
      </c>
    </row>
    <row r="3271" spans="1:240" x14ac:dyDescent="0.4">
      <c r="A3271" s="5">
        <v>8813</v>
      </c>
      <c r="B3271" s="5">
        <v>1</v>
      </c>
      <c r="C3271" s="5">
        <v>1</v>
      </c>
      <c r="D3271" s="5" t="s">
        <v>723</v>
      </c>
      <c r="E3271" s="5" t="s">
        <v>725</v>
      </c>
      <c r="F3271" s="5" t="s">
        <v>730</v>
      </c>
      <c r="G3271" s="5" t="s">
        <v>726</v>
      </c>
      <c r="H3271" s="6" t="s">
        <v>6395</v>
      </c>
      <c r="I3271" s="5" t="s">
        <v>990</v>
      </c>
      <c r="J3271" s="8">
        <f>239.6</f>
        <v>239.6</v>
      </c>
      <c r="K3271" s="5" t="s">
        <v>308</v>
      </c>
      <c r="L3271" s="7">
        <f>0</f>
        <v>0</v>
      </c>
      <c r="M3271" s="7">
        <f>0</f>
        <v>0</v>
      </c>
      <c r="N3271" s="5" t="s">
        <v>242</v>
      </c>
      <c r="O3271" s="5">
        <v>1</v>
      </c>
      <c r="P3271" s="5" t="s">
        <v>294</v>
      </c>
      <c r="Q3271" s="5" t="s">
        <v>3678</v>
      </c>
      <c r="R3271" s="5" t="s">
        <v>240</v>
      </c>
      <c r="S3271" s="5" t="s">
        <v>240</v>
      </c>
      <c r="T3271" s="5" t="s">
        <v>243</v>
      </c>
      <c r="U3271" s="5" t="s">
        <v>244</v>
      </c>
      <c r="V3271" s="5" t="s">
        <v>240</v>
      </c>
      <c r="W3271" s="5" t="s">
        <v>240</v>
      </c>
      <c r="X3271" s="5" t="s">
        <v>240</v>
      </c>
      <c r="Y3271" s="5" t="s">
        <v>240</v>
      </c>
      <c r="Z3271" s="6" t="s">
        <v>298</v>
      </c>
      <c r="AA3271" s="6" t="s">
        <v>240</v>
      </c>
      <c r="AB3271" s="6" t="s">
        <v>240</v>
      </c>
      <c r="AC3271" s="5" t="s">
        <v>240</v>
      </c>
      <c r="AD3271" s="6" t="s">
        <v>240</v>
      </c>
      <c r="AE3271" s="6" t="s">
        <v>299</v>
      </c>
      <c r="AF3271" s="5" t="s">
        <v>248</v>
      </c>
      <c r="AG3271" s="5" t="s">
        <v>249</v>
      </c>
      <c r="AH3271" s="5" t="s">
        <v>240</v>
      </c>
      <c r="AI3271" s="5" t="s">
        <v>240</v>
      </c>
      <c r="AJ3271" s="5" t="s">
        <v>240</v>
      </c>
      <c r="AK3271" s="5" t="s">
        <v>240</v>
      </c>
      <c r="AL3271" s="5" t="s">
        <v>240</v>
      </c>
      <c r="AM3271" s="5" t="s">
        <v>240</v>
      </c>
      <c r="AN3271" s="5" t="s">
        <v>240</v>
      </c>
      <c r="AO3271" s="5" t="s">
        <v>240</v>
      </c>
      <c r="AP3271" s="6" t="s">
        <v>240</v>
      </c>
      <c r="AQ3271" s="6" t="s">
        <v>240</v>
      </c>
      <c r="AR3271" s="6" t="s">
        <v>240</v>
      </c>
      <c r="AS3271" s="6" t="s">
        <v>240</v>
      </c>
      <c r="AT3271" s="5" t="s">
        <v>240</v>
      </c>
      <c r="AU3271" s="5" t="s">
        <v>729</v>
      </c>
      <c r="AV3271" s="5" t="s">
        <v>729</v>
      </c>
      <c r="AW3271" s="5" t="s">
        <v>251</v>
      </c>
      <c r="AX3271" s="5" t="s">
        <v>252</v>
      </c>
      <c r="AY3271" s="5" t="s">
        <v>253</v>
      </c>
      <c r="AZ3271" s="5" t="s">
        <v>240</v>
      </c>
      <c r="BA3271" s="5" t="s">
        <v>255</v>
      </c>
      <c r="BB3271" s="5" t="s">
        <v>731</v>
      </c>
      <c r="BD3271" s="5" t="s">
        <v>240</v>
      </c>
      <c r="BF3271" s="5" t="s">
        <v>732</v>
      </c>
      <c r="BG3271" s="6" t="s">
        <v>733</v>
      </c>
      <c r="BH3271" s="5" t="s">
        <v>734</v>
      </c>
      <c r="BI3271" s="5" t="s">
        <v>734</v>
      </c>
      <c r="BJ3271" s="5" t="s">
        <v>240</v>
      </c>
      <c r="BK3271" s="7">
        <f>1</f>
        <v>1</v>
      </c>
      <c r="BL3271" s="7">
        <f>1</f>
        <v>1</v>
      </c>
      <c r="BM3271" s="5" t="s">
        <v>258</v>
      </c>
      <c r="BN3271" s="5" t="s">
        <v>259</v>
      </c>
      <c r="BO3271" s="5" t="s">
        <v>240</v>
      </c>
      <c r="BP3271" s="5" t="s">
        <v>240</v>
      </c>
      <c r="BQ3271" s="5" t="s">
        <v>240</v>
      </c>
      <c r="BR3271" s="5" t="s">
        <v>240</v>
      </c>
      <c r="BS3271" s="5" t="s">
        <v>240</v>
      </c>
      <c r="BT3271" s="5" t="s">
        <v>240</v>
      </c>
      <c r="BU3271" s="5" t="s">
        <v>240</v>
      </c>
      <c r="BV3271" s="5" t="s">
        <v>240</v>
      </c>
      <c r="BW3271" s="6" t="s">
        <v>240</v>
      </c>
      <c r="BX3271" s="5" t="s">
        <v>240</v>
      </c>
      <c r="BY3271" s="5" t="s">
        <v>240</v>
      </c>
      <c r="BZ3271" s="5" t="s">
        <v>240</v>
      </c>
      <c r="CA3271" s="5" t="s">
        <v>259</v>
      </c>
      <c r="CB3271" s="5" t="s">
        <v>240</v>
      </c>
      <c r="CC3271" s="5" t="s">
        <v>240</v>
      </c>
      <c r="CD3271" s="5" t="s">
        <v>240</v>
      </c>
      <c r="CE3271" s="5" t="s">
        <v>240</v>
      </c>
      <c r="CF3271" s="5" t="s">
        <v>240</v>
      </c>
      <c r="CG3271" s="5" t="s">
        <v>304</v>
      </c>
      <c r="CH3271" s="5" t="s">
        <v>305</v>
      </c>
      <c r="CI3271" s="5" t="s">
        <v>240</v>
      </c>
      <c r="CK3271" s="5" t="s">
        <v>3681</v>
      </c>
      <c r="CL3271" s="6" t="s">
        <v>261</v>
      </c>
      <c r="CM3271" s="5" t="s">
        <v>262</v>
      </c>
      <c r="CN3271" s="5" t="s">
        <v>263</v>
      </c>
      <c r="CO3271" s="5" t="s">
        <v>264</v>
      </c>
      <c r="CP3271" s="5" t="s">
        <v>240</v>
      </c>
      <c r="CQ3271" s="5">
        <v>0</v>
      </c>
      <c r="CR3271" s="5" t="s">
        <v>735</v>
      </c>
      <c r="CS3271" s="5" t="s">
        <v>307</v>
      </c>
      <c r="CT3271" s="5" t="s">
        <v>307</v>
      </c>
      <c r="CU3271" s="5" t="s">
        <v>260</v>
      </c>
      <c r="CV3271" s="5" t="s">
        <v>612</v>
      </c>
      <c r="CW3271" s="8">
        <f>1</f>
        <v>1</v>
      </c>
      <c r="CX3271" s="7">
        <f>1</f>
        <v>1</v>
      </c>
      <c r="CY3271" s="7">
        <f>0</f>
        <v>0</v>
      </c>
      <c r="DA3271" s="7">
        <f>1</f>
        <v>1</v>
      </c>
      <c r="DB3271" s="7" t="s">
        <v>240</v>
      </c>
      <c r="DC3271" s="5" t="s">
        <v>240</v>
      </c>
      <c r="DD3271" s="5" t="s">
        <v>240</v>
      </c>
      <c r="DE3271" s="5" t="s">
        <v>240</v>
      </c>
      <c r="DF3271" s="5" t="s">
        <v>240</v>
      </c>
      <c r="DG3271" s="7">
        <f>0</f>
        <v>0</v>
      </c>
      <c r="DI3271" s="5" t="s">
        <v>240</v>
      </c>
      <c r="DJ3271" s="5" t="s">
        <v>240</v>
      </c>
      <c r="DK3271" s="5" t="s">
        <v>240</v>
      </c>
      <c r="DL3271" s="5" t="s">
        <v>240</v>
      </c>
      <c r="DM3271" s="5" t="s">
        <v>240</v>
      </c>
      <c r="DN3271" s="5" t="s">
        <v>240</v>
      </c>
      <c r="DO3271" s="7" t="s">
        <v>240</v>
      </c>
      <c r="DP3271" s="5" t="s">
        <v>240</v>
      </c>
      <c r="DQ3271" s="5" t="s">
        <v>240</v>
      </c>
      <c r="DR3271" s="5" t="s">
        <v>731</v>
      </c>
      <c r="DS3271" s="5" t="s">
        <v>731</v>
      </c>
      <c r="DT3271" s="5" t="s">
        <v>240</v>
      </c>
      <c r="DU3271" s="5" t="s">
        <v>240</v>
      </c>
      <c r="DV3271" s="5" t="s">
        <v>3683</v>
      </c>
      <c r="DW3271" s="5" t="s">
        <v>1200</v>
      </c>
      <c r="DX3271" s="5" t="s">
        <v>240</v>
      </c>
      <c r="DY3271" s="5" t="s">
        <v>240</v>
      </c>
      <c r="DZ3271" s="5" t="s">
        <v>240</v>
      </c>
      <c r="EA3271" s="5" t="s">
        <v>240</v>
      </c>
      <c r="EB3271" s="5" t="s">
        <v>240</v>
      </c>
      <c r="EC3271" s="5" t="s">
        <v>240</v>
      </c>
      <c r="ED3271" s="5" t="s">
        <v>240</v>
      </c>
      <c r="EE3271" s="5" t="s">
        <v>240</v>
      </c>
      <c r="EF3271" s="5" t="s">
        <v>240</v>
      </c>
      <c r="EG3271" s="5" t="s">
        <v>240</v>
      </c>
      <c r="EH3271" s="5" t="s">
        <v>240</v>
      </c>
      <c r="EI3271" s="5" t="s">
        <v>240</v>
      </c>
      <c r="EJ3271" s="5" t="s">
        <v>240</v>
      </c>
      <c r="EK3271" s="5" t="s">
        <v>240</v>
      </c>
      <c r="EL3271" s="5" t="s">
        <v>240</v>
      </c>
      <c r="EM3271" s="5" t="s">
        <v>240</v>
      </c>
      <c r="EN3271" s="5" t="s">
        <v>240</v>
      </c>
      <c r="EO3271" s="5" t="s">
        <v>240</v>
      </c>
      <c r="EP3271" s="5" t="s">
        <v>240</v>
      </c>
      <c r="EQ3271" s="5" t="s">
        <v>240</v>
      </c>
      <c r="ER3271" s="5" t="s">
        <v>240</v>
      </c>
      <c r="ES3271" s="5" t="s">
        <v>240</v>
      </c>
      <c r="ET3271" s="5" t="s">
        <v>240</v>
      </c>
      <c r="EU3271" s="5" t="s">
        <v>240</v>
      </c>
      <c r="EV3271" s="5" t="s">
        <v>240</v>
      </c>
      <c r="EW3271" s="5" t="s">
        <v>240</v>
      </c>
      <c r="EX3271" s="5" t="s">
        <v>240</v>
      </c>
      <c r="EY3271" s="5" t="s">
        <v>240</v>
      </c>
      <c r="EZ3271" s="5" t="s">
        <v>240</v>
      </c>
      <c r="FA3271" s="5" t="s">
        <v>240</v>
      </c>
      <c r="FB3271" s="5" t="s">
        <v>240</v>
      </c>
      <c r="FC3271" s="5" t="s">
        <v>240</v>
      </c>
      <c r="FD3271" s="5" t="s">
        <v>240</v>
      </c>
      <c r="FE3271" s="5" t="s">
        <v>240</v>
      </c>
      <c r="FF3271" s="5" t="s">
        <v>240</v>
      </c>
      <c r="FG3271" s="5" t="s">
        <v>240</v>
      </c>
      <c r="FH3271" s="5" t="s">
        <v>240</v>
      </c>
      <c r="FI3271" s="5" t="s">
        <v>240</v>
      </c>
      <c r="FJ3271" s="5" t="s">
        <v>240</v>
      </c>
      <c r="FK3271" s="5" t="s">
        <v>240</v>
      </c>
      <c r="FL3271" s="5" t="s">
        <v>240</v>
      </c>
      <c r="FM3271" s="5" t="s">
        <v>240</v>
      </c>
      <c r="FN3271" s="5" t="s">
        <v>240</v>
      </c>
      <c r="FO3271" s="5" t="s">
        <v>240</v>
      </c>
      <c r="FP3271" s="5" t="s">
        <v>240</v>
      </c>
      <c r="FQ3271" s="5" t="s">
        <v>240</v>
      </c>
      <c r="FR3271" s="5" t="s">
        <v>240</v>
      </c>
      <c r="FS3271" s="5" t="s">
        <v>240</v>
      </c>
      <c r="FT3271" s="5" t="s">
        <v>240</v>
      </c>
      <c r="FU3271" s="5" t="s">
        <v>240</v>
      </c>
      <c r="FV3271" s="5" t="s">
        <v>240</v>
      </c>
      <c r="FW3271" s="5" t="s">
        <v>240</v>
      </c>
      <c r="FX3271" s="5" t="s">
        <v>240</v>
      </c>
      <c r="FY3271" s="5" t="s">
        <v>240</v>
      </c>
      <c r="FZ3271" s="5" t="s">
        <v>240</v>
      </c>
      <c r="GA3271" s="5" t="s">
        <v>240</v>
      </c>
      <c r="GB3271" s="5" t="s">
        <v>240</v>
      </c>
      <c r="GC3271" s="5" t="s">
        <v>240</v>
      </c>
      <c r="GD3271" s="5" t="s">
        <v>240</v>
      </c>
      <c r="GE3271" s="5" t="s">
        <v>240</v>
      </c>
      <c r="GF3271" s="5" t="s">
        <v>240</v>
      </c>
      <c r="GG3271" s="5" t="s">
        <v>240</v>
      </c>
      <c r="GH3271" s="5" t="s">
        <v>240</v>
      </c>
      <c r="GI3271" s="5" t="s">
        <v>240</v>
      </c>
      <c r="GJ3271" s="5" t="s">
        <v>240</v>
      </c>
      <c r="GK3271" s="5" t="s">
        <v>240</v>
      </c>
      <c r="GL3271" s="5" t="s">
        <v>240</v>
      </c>
      <c r="GM3271" s="5" t="s">
        <v>240</v>
      </c>
      <c r="GN3271" s="5" t="s">
        <v>240</v>
      </c>
      <c r="GO3271" s="5" t="s">
        <v>240</v>
      </c>
      <c r="GP3271" s="5" t="s">
        <v>240</v>
      </c>
      <c r="GQ3271" s="5" t="s">
        <v>240</v>
      </c>
      <c r="GR3271" s="5" t="s">
        <v>240</v>
      </c>
      <c r="GS3271" s="5" t="s">
        <v>240</v>
      </c>
      <c r="GT3271" s="5" t="s">
        <v>240</v>
      </c>
      <c r="GU3271" s="5" t="s">
        <v>240</v>
      </c>
      <c r="GV3271" s="5" t="s">
        <v>240</v>
      </c>
      <c r="GW3271" s="5" t="s">
        <v>240</v>
      </c>
      <c r="GX3271" s="5" t="s">
        <v>240</v>
      </c>
      <c r="GY3271" s="5" t="s">
        <v>240</v>
      </c>
      <c r="GZ3271" s="5" t="s">
        <v>240</v>
      </c>
      <c r="HA3271" s="5" t="s">
        <v>240</v>
      </c>
      <c r="HB3271" s="5" t="s">
        <v>240</v>
      </c>
      <c r="HC3271" s="5" t="s">
        <v>240</v>
      </c>
      <c r="HD3271" s="5" t="s">
        <v>240</v>
      </c>
      <c r="HE3271" s="5" t="s">
        <v>240</v>
      </c>
      <c r="HF3271" s="5" t="s">
        <v>240</v>
      </c>
      <c r="HG3271" s="5" t="s">
        <v>240</v>
      </c>
      <c r="HH3271" s="5" t="s">
        <v>240</v>
      </c>
      <c r="HI3271" s="5" t="s">
        <v>240</v>
      </c>
      <c r="HJ3271" s="5" t="s">
        <v>240</v>
      </c>
      <c r="HK3271" s="5" t="s">
        <v>240</v>
      </c>
      <c r="HL3271" s="5" t="s">
        <v>240</v>
      </c>
      <c r="HM3271" s="5" t="s">
        <v>240</v>
      </c>
      <c r="HN3271" s="5" t="s">
        <v>240</v>
      </c>
      <c r="HO3271" s="5" t="s">
        <v>312</v>
      </c>
      <c r="HP3271" s="5" t="s">
        <v>240</v>
      </c>
      <c r="HQ3271" s="5" t="s">
        <v>240</v>
      </c>
      <c r="HR3271" s="5" t="s">
        <v>240</v>
      </c>
      <c r="HS3271" s="5" t="s">
        <v>240</v>
      </c>
      <c r="HT3271" s="5" t="s">
        <v>240</v>
      </c>
      <c r="HU3271" s="5" t="s">
        <v>240</v>
      </c>
      <c r="HV3271" s="5" t="s">
        <v>240</v>
      </c>
      <c r="HW3271" s="5" t="s">
        <v>240</v>
      </c>
      <c r="HX3271" s="5" t="s">
        <v>240</v>
      </c>
      <c r="HY3271" s="5" t="s">
        <v>240</v>
      </c>
      <c r="HZ3271" s="5" t="s">
        <v>240</v>
      </c>
      <c r="IA3271" s="5" t="s">
        <v>240</v>
      </c>
      <c r="IB3271" s="5" t="s">
        <v>240</v>
      </c>
      <c r="IC3271" s="5" t="s">
        <v>240</v>
      </c>
      <c r="ID3271" s="5" t="s">
        <v>240</v>
      </c>
      <c r="IE3271" s="5" t="s">
        <v>240</v>
      </c>
      <c r="IF3271" s="5" t="s">
        <v>240</v>
      </c>
    </row>
    <row r="3272" spans="1:240" x14ac:dyDescent="0.4">
      <c r="A3272" s="5">
        <v>8814</v>
      </c>
      <c r="B3272" s="5">
        <v>1</v>
      </c>
      <c r="C3272" s="5">
        <v>1</v>
      </c>
      <c r="D3272" s="5" t="s">
        <v>723</v>
      </c>
      <c r="E3272" s="5" t="s">
        <v>725</v>
      </c>
      <c r="F3272" s="5" t="s">
        <v>730</v>
      </c>
      <c r="G3272" s="5" t="s">
        <v>726</v>
      </c>
      <c r="H3272" s="6" t="s">
        <v>6394</v>
      </c>
      <c r="I3272" s="5" t="s">
        <v>990</v>
      </c>
      <c r="J3272" s="8">
        <f>1795</f>
        <v>1795</v>
      </c>
      <c r="K3272" s="5" t="s">
        <v>308</v>
      </c>
      <c r="L3272" s="7">
        <f>0</f>
        <v>0</v>
      </c>
      <c r="M3272" s="7">
        <f>0</f>
        <v>0</v>
      </c>
      <c r="N3272" s="5" t="s">
        <v>242</v>
      </c>
      <c r="O3272" s="5">
        <v>1</v>
      </c>
      <c r="P3272" s="5" t="s">
        <v>294</v>
      </c>
      <c r="Q3272" s="5" t="s">
        <v>3678</v>
      </c>
      <c r="R3272" s="5" t="s">
        <v>240</v>
      </c>
      <c r="S3272" s="5" t="s">
        <v>240</v>
      </c>
      <c r="T3272" s="5" t="s">
        <v>243</v>
      </c>
      <c r="U3272" s="5" t="s">
        <v>244</v>
      </c>
      <c r="V3272" s="5" t="s">
        <v>240</v>
      </c>
      <c r="W3272" s="5" t="s">
        <v>240</v>
      </c>
      <c r="X3272" s="5" t="s">
        <v>240</v>
      </c>
      <c r="Y3272" s="5" t="s">
        <v>240</v>
      </c>
      <c r="Z3272" s="6" t="s">
        <v>298</v>
      </c>
      <c r="AA3272" s="6" t="s">
        <v>240</v>
      </c>
      <c r="AB3272" s="6" t="s">
        <v>240</v>
      </c>
      <c r="AC3272" s="5" t="s">
        <v>240</v>
      </c>
      <c r="AD3272" s="6" t="s">
        <v>240</v>
      </c>
      <c r="AE3272" s="6" t="s">
        <v>299</v>
      </c>
      <c r="AF3272" s="5" t="s">
        <v>248</v>
      </c>
      <c r="AG3272" s="5" t="s">
        <v>249</v>
      </c>
      <c r="AH3272" s="5" t="s">
        <v>240</v>
      </c>
      <c r="AI3272" s="5" t="s">
        <v>240</v>
      </c>
      <c r="AJ3272" s="5" t="s">
        <v>240</v>
      </c>
      <c r="AK3272" s="5" t="s">
        <v>240</v>
      </c>
      <c r="AL3272" s="5" t="s">
        <v>240</v>
      </c>
      <c r="AM3272" s="5" t="s">
        <v>240</v>
      </c>
      <c r="AN3272" s="5" t="s">
        <v>240</v>
      </c>
      <c r="AO3272" s="5" t="s">
        <v>240</v>
      </c>
      <c r="AP3272" s="6" t="s">
        <v>240</v>
      </c>
      <c r="AQ3272" s="6" t="s">
        <v>240</v>
      </c>
      <c r="AR3272" s="6" t="s">
        <v>240</v>
      </c>
      <c r="AS3272" s="6" t="s">
        <v>240</v>
      </c>
      <c r="AT3272" s="5" t="s">
        <v>240</v>
      </c>
      <c r="AU3272" s="5" t="s">
        <v>729</v>
      </c>
      <c r="AV3272" s="5" t="s">
        <v>729</v>
      </c>
      <c r="AW3272" s="5" t="s">
        <v>251</v>
      </c>
      <c r="AX3272" s="5" t="s">
        <v>252</v>
      </c>
      <c r="AY3272" s="5" t="s">
        <v>253</v>
      </c>
      <c r="AZ3272" s="5" t="s">
        <v>240</v>
      </c>
      <c r="BA3272" s="5" t="s">
        <v>255</v>
      </c>
      <c r="BB3272" s="5" t="s">
        <v>731</v>
      </c>
      <c r="BD3272" s="5" t="s">
        <v>240</v>
      </c>
      <c r="BF3272" s="5" t="s">
        <v>732</v>
      </c>
      <c r="BG3272" s="6" t="s">
        <v>733</v>
      </c>
      <c r="BH3272" s="5" t="s">
        <v>734</v>
      </c>
      <c r="BI3272" s="5" t="s">
        <v>734</v>
      </c>
      <c r="BJ3272" s="5" t="s">
        <v>240</v>
      </c>
      <c r="BK3272" s="7">
        <f>1</f>
        <v>1</v>
      </c>
      <c r="BL3272" s="7">
        <f>1</f>
        <v>1</v>
      </c>
      <c r="BM3272" s="5" t="s">
        <v>258</v>
      </c>
      <c r="BN3272" s="5" t="s">
        <v>259</v>
      </c>
      <c r="BO3272" s="5" t="s">
        <v>240</v>
      </c>
      <c r="BP3272" s="5" t="s">
        <v>240</v>
      </c>
      <c r="BQ3272" s="5" t="s">
        <v>240</v>
      </c>
      <c r="BR3272" s="5" t="s">
        <v>240</v>
      </c>
      <c r="BS3272" s="5" t="s">
        <v>240</v>
      </c>
      <c r="BT3272" s="5" t="s">
        <v>240</v>
      </c>
      <c r="BU3272" s="5" t="s">
        <v>240</v>
      </c>
      <c r="BV3272" s="5" t="s">
        <v>240</v>
      </c>
      <c r="BW3272" s="6" t="s">
        <v>240</v>
      </c>
      <c r="BX3272" s="5" t="s">
        <v>240</v>
      </c>
      <c r="BY3272" s="5" t="s">
        <v>240</v>
      </c>
      <c r="BZ3272" s="5" t="s">
        <v>240</v>
      </c>
      <c r="CA3272" s="5" t="s">
        <v>259</v>
      </c>
      <c r="CB3272" s="5" t="s">
        <v>240</v>
      </c>
      <c r="CC3272" s="5" t="s">
        <v>240</v>
      </c>
      <c r="CD3272" s="5" t="s">
        <v>240</v>
      </c>
      <c r="CE3272" s="5" t="s">
        <v>240</v>
      </c>
      <c r="CF3272" s="5" t="s">
        <v>240</v>
      </c>
      <c r="CG3272" s="5" t="s">
        <v>304</v>
      </c>
      <c r="CH3272" s="5" t="s">
        <v>305</v>
      </c>
      <c r="CI3272" s="5" t="s">
        <v>240</v>
      </c>
      <c r="CK3272" s="5" t="s">
        <v>3681</v>
      </c>
      <c r="CL3272" s="6" t="s">
        <v>261</v>
      </c>
      <c r="CM3272" s="5" t="s">
        <v>262</v>
      </c>
      <c r="CN3272" s="5" t="s">
        <v>263</v>
      </c>
      <c r="CO3272" s="5" t="s">
        <v>264</v>
      </c>
      <c r="CP3272" s="5" t="s">
        <v>240</v>
      </c>
      <c r="CQ3272" s="5">
        <v>0</v>
      </c>
      <c r="CR3272" s="5" t="s">
        <v>735</v>
      </c>
      <c r="CS3272" s="5" t="s">
        <v>307</v>
      </c>
      <c r="CT3272" s="5" t="s">
        <v>307</v>
      </c>
      <c r="CU3272" s="5" t="s">
        <v>260</v>
      </c>
      <c r="CV3272" s="5" t="s">
        <v>612</v>
      </c>
      <c r="CW3272" s="8">
        <f>1</f>
        <v>1</v>
      </c>
      <c r="CX3272" s="7">
        <f>1</f>
        <v>1</v>
      </c>
      <c r="CY3272" s="7">
        <f>0</f>
        <v>0</v>
      </c>
      <c r="DA3272" s="7">
        <f>1</f>
        <v>1</v>
      </c>
      <c r="DB3272" s="7" t="s">
        <v>240</v>
      </c>
      <c r="DC3272" s="5" t="s">
        <v>240</v>
      </c>
      <c r="DD3272" s="5" t="s">
        <v>240</v>
      </c>
      <c r="DE3272" s="5" t="s">
        <v>240</v>
      </c>
      <c r="DF3272" s="5" t="s">
        <v>240</v>
      </c>
      <c r="DG3272" s="7">
        <f>0</f>
        <v>0</v>
      </c>
      <c r="DI3272" s="5" t="s">
        <v>240</v>
      </c>
      <c r="DJ3272" s="5" t="s">
        <v>240</v>
      </c>
      <c r="DK3272" s="5" t="s">
        <v>240</v>
      </c>
      <c r="DL3272" s="5" t="s">
        <v>240</v>
      </c>
      <c r="DM3272" s="5" t="s">
        <v>240</v>
      </c>
      <c r="DN3272" s="5" t="s">
        <v>240</v>
      </c>
      <c r="DO3272" s="7" t="s">
        <v>240</v>
      </c>
      <c r="DP3272" s="5" t="s">
        <v>240</v>
      </c>
      <c r="DQ3272" s="5" t="s">
        <v>240</v>
      </c>
      <c r="DR3272" s="5" t="s">
        <v>731</v>
      </c>
      <c r="DS3272" s="5" t="s">
        <v>731</v>
      </c>
      <c r="DT3272" s="5" t="s">
        <v>240</v>
      </c>
      <c r="DU3272" s="5" t="s">
        <v>240</v>
      </c>
      <c r="DV3272" s="5" t="s">
        <v>3683</v>
      </c>
      <c r="DW3272" s="5" t="s">
        <v>440</v>
      </c>
      <c r="DX3272" s="5" t="s">
        <v>240</v>
      </c>
      <c r="DY3272" s="5" t="s">
        <v>240</v>
      </c>
      <c r="DZ3272" s="5" t="s">
        <v>240</v>
      </c>
      <c r="EA3272" s="5" t="s">
        <v>240</v>
      </c>
      <c r="EB3272" s="5" t="s">
        <v>240</v>
      </c>
      <c r="EC3272" s="5" t="s">
        <v>240</v>
      </c>
      <c r="ED3272" s="5" t="s">
        <v>240</v>
      </c>
      <c r="EE3272" s="5" t="s">
        <v>240</v>
      </c>
      <c r="EF3272" s="5" t="s">
        <v>240</v>
      </c>
      <c r="EG3272" s="5" t="s">
        <v>240</v>
      </c>
      <c r="EH3272" s="5" t="s">
        <v>240</v>
      </c>
      <c r="EI3272" s="5" t="s">
        <v>240</v>
      </c>
      <c r="EJ3272" s="5" t="s">
        <v>240</v>
      </c>
      <c r="EK3272" s="5" t="s">
        <v>240</v>
      </c>
      <c r="EL3272" s="5" t="s">
        <v>240</v>
      </c>
      <c r="EM3272" s="5" t="s">
        <v>240</v>
      </c>
      <c r="EN3272" s="5" t="s">
        <v>240</v>
      </c>
      <c r="EO3272" s="5" t="s">
        <v>240</v>
      </c>
      <c r="EP3272" s="5" t="s">
        <v>240</v>
      </c>
      <c r="EQ3272" s="5" t="s">
        <v>240</v>
      </c>
      <c r="ER3272" s="5" t="s">
        <v>240</v>
      </c>
      <c r="ES3272" s="5" t="s">
        <v>240</v>
      </c>
      <c r="ET3272" s="5" t="s">
        <v>240</v>
      </c>
      <c r="EU3272" s="5" t="s">
        <v>240</v>
      </c>
      <c r="EV3272" s="5" t="s">
        <v>240</v>
      </c>
      <c r="EW3272" s="5" t="s">
        <v>240</v>
      </c>
      <c r="EX3272" s="5" t="s">
        <v>240</v>
      </c>
      <c r="EY3272" s="5" t="s">
        <v>240</v>
      </c>
      <c r="EZ3272" s="5" t="s">
        <v>240</v>
      </c>
      <c r="FA3272" s="5" t="s">
        <v>240</v>
      </c>
      <c r="FB3272" s="5" t="s">
        <v>240</v>
      </c>
      <c r="FC3272" s="5" t="s">
        <v>240</v>
      </c>
      <c r="FD3272" s="5" t="s">
        <v>240</v>
      </c>
      <c r="FE3272" s="5" t="s">
        <v>240</v>
      </c>
      <c r="FF3272" s="5" t="s">
        <v>240</v>
      </c>
      <c r="FG3272" s="5" t="s">
        <v>240</v>
      </c>
      <c r="FH3272" s="5" t="s">
        <v>240</v>
      </c>
      <c r="FI3272" s="5" t="s">
        <v>240</v>
      </c>
      <c r="FJ3272" s="5" t="s">
        <v>240</v>
      </c>
      <c r="FK3272" s="5" t="s">
        <v>240</v>
      </c>
      <c r="FL3272" s="5" t="s">
        <v>240</v>
      </c>
      <c r="FM3272" s="5" t="s">
        <v>240</v>
      </c>
      <c r="FN3272" s="5" t="s">
        <v>240</v>
      </c>
      <c r="FO3272" s="5" t="s">
        <v>240</v>
      </c>
      <c r="FP3272" s="5" t="s">
        <v>240</v>
      </c>
      <c r="FQ3272" s="5" t="s">
        <v>240</v>
      </c>
      <c r="FR3272" s="5" t="s">
        <v>240</v>
      </c>
      <c r="FS3272" s="5" t="s">
        <v>240</v>
      </c>
      <c r="FT3272" s="5" t="s">
        <v>240</v>
      </c>
      <c r="FU3272" s="5" t="s">
        <v>240</v>
      </c>
      <c r="FV3272" s="5" t="s">
        <v>240</v>
      </c>
      <c r="FW3272" s="5" t="s">
        <v>240</v>
      </c>
      <c r="FX3272" s="5" t="s">
        <v>240</v>
      </c>
      <c r="FY3272" s="5" t="s">
        <v>240</v>
      </c>
      <c r="FZ3272" s="5" t="s">
        <v>240</v>
      </c>
      <c r="GA3272" s="5" t="s">
        <v>240</v>
      </c>
      <c r="GB3272" s="5" t="s">
        <v>240</v>
      </c>
      <c r="GC3272" s="5" t="s">
        <v>240</v>
      </c>
      <c r="GD3272" s="5" t="s">
        <v>240</v>
      </c>
      <c r="GE3272" s="5" t="s">
        <v>240</v>
      </c>
      <c r="GF3272" s="5" t="s">
        <v>240</v>
      </c>
      <c r="GG3272" s="5" t="s">
        <v>240</v>
      </c>
      <c r="GH3272" s="5" t="s">
        <v>240</v>
      </c>
      <c r="GI3272" s="5" t="s">
        <v>240</v>
      </c>
      <c r="GJ3272" s="5" t="s">
        <v>240</v>
      </c>
      <c r="GK3272" s="5" t="s">
        <v>240</v>
      </c>
      <c r="GL3272" s="5" t="s">
        <v>240</v>
      </c>
      <c r="GM3272" s="5" t="s">
        <v>240</v>
      </c>
      <c r="GN3272" s="5" t="s">
        <v>240</v>
      </c>
      <c r="GO3272" s="5" t="s">
        <v>240</v>
      </c>
      <c r="GP3272" s="5" t="s">
        <v>240</v>
      </c>
      <c r="GQ3272" s="5" t="s">
        <v>240</v>
      </c>
      <c r="GR3272" s="5" t="s">
        <v>240</v>
      </c>
      <c r="GS3272" s="5" t="s">
        <v>240</v>
      </c>
      <c r="GT3272" s="5" t="s">
        <v>240</v>
      </c>
      <c r="GU3272" s="5" t="s">
        <v>240</v>
      </c>
      <c r="GV3272" s="5" t="s">
        <v>240</v>
      </c>
      <c r="GW3272" s="5" t="s">
        <v>240</v>
      </c>
      <c r="GX3272" s="5" t="s">
        <v>240</v>
      </c>
      <c r="GY3272" s="5" t="s">
        <v>240</v>
      </c>
      <c r="GZ3272" s="5" t="s">
        <v>240</v>
      </c>
      <c r="HA3272" s="5" t="s">
        <v>240</v>
      </c>
      <c r="HB3272" s="5" t="s">
        <v>240</v>
      </c>
      <c r="HC3272" s="5" t="s">
        <v>240</v>
      </c>
      <c r="HD3272" s="5" t="s">
        <v>240</v>
      </c>
      <c r="HE3272" s="5" t="s">
        <v>240</v>
      </c>
      <c r="HF3272" s="5" t="s">
        <v>240</v>
      </c>
      <c r="HG3272" s="5" t="s">
        <v>240</v>
      </c>
      <c r="HH3272" s="5" t="s">
        <v>240</v>
      </c>
      <c r="HI3272" s="5" t="s">
        <v>240</v>
      </c>
      <c r="HJ3272" s="5" t="s">
        <v>240</v>
      </c>
      <c r="HK3272" s="5" t="s">
        <v>240</v>
      </c>
      <c r="HL3272" s="5" t="s">
        <v>240</v>
      </c>
      <c r="HM3272" s="5" t="s">
        <v>240</v>
      </c>
      <c r="HN3272" s="5" t="s">
        <v>240</v>
      </c>
      <c r="HO3272" s="5" t="s">
        <v>312</v>
      </c>
      <c r="HP3272" s="5" t="s">
        <v>240</v>
      </c>
      <c r="HQ3272" s="5" t="s">
        <v>240</v>
      </c>
      <c r="HR3272" s="5" t="s">
        <v>240</v>
      </c>
      <c r="HS3272" s="5" t="s">
        <v>240</v>
      </c>
      <c r="HT3272" s="5" t="s">
        <v>240</v>
      </c>
      <c r="HU3272" s="5" t="s">
        <v>240</v>
      </c>
      <c r="HV3272" s="5" t="s">
        <v>240</v>
      </c>
      <c r="HW3272" s="5" t="s">
        <v>240</v>
      </c>
      <c r="HX3272" s="5" t="s">
        <v>240</v>
      </c>
      <c r="HY3272" s="5" t="s">
        <v>240</v>
      </c>
      <c r="HZ3272" s="5" t="s">
        <v>240</v>
      </c>
      <c r="IA3272" s="5" t="s">
        <v>240</v>
      </c>
      <c r="IB3272" s="5" t="s">
        <v>240</v>
      </c>
      <c r="IC3272" s="5" t="s">
        <v>240</v>
      </c>
      <c r="ID3272" s="5" t="s">
        <v>240</v>
      </c>
      <c r="IE3272" s="5" t="s">
        <v>240</v>
      </c>
      <c r="IF3272" s="5" t="s">
        <v>240</v>
      </c>
    </row>
    <row r="3273" spans="1:240" x14ac:dyDescent="0.4">
      <c r="A3273" s="5">
        <v>8815</v>
      </c>
      <c r="B3273" s="5">
        <v>1</v>
      </c>
      <c r="C3273" s="5">
        <v>1</v>
      </c>
      <c r="D3273" s="5" t="s">
        <v>723</v>
      </c>
      <c r="E3273" s="5" t="s">
        <v>725</v>
      </c>
      <c r="F3273" s="5" t="s">
        <v>730</v>
      </c>
      <c r="G3273" s="5" t="s">
        <v>726</v>
      </c>
      <c r="H3273" s="6" t="s">
        <v>6544</v>
      </c>
      <c r="I3273" s="5" t="s">
        <v>990</v>
      </c>
      <c r="J3273" s="8">
        <f>1239.66</f>
        <v>1239.6600000000001</v>
      </c>
      <c r="K3273" s="5" t="s">
        <v>308</v>
      </c>
      <c r="L3273" s="7">
        <f>0</f>
        <v>0</v>
      </c>
      <c r="M3273" s="7">
        <f>0</f>
        <v>0</v>
      </c>
      <c r="N3273" s="5" t="s">
        <v>242</v>
      </c>
      <c r="O3273" s="5">
        <v>1</v>
      </c>
      <c r="P3273" s="5" t="s">
        <v>294</v>
      </c>
      <c r="Q3273" s="5" t="s">
        <v>3678</v>
      </c>
      <c r="R3273" s="5" t="s">
        <v>240</v>
      </c>
      <c r="S3273" s="5" t="s">
        <v>240</v>
      </c>
      <c r="T3273" s="5" t="s">
        <v>243</v>
      </c>
      <c r="U3273" s="5" t="s">
        <v>244</v>
      </c>
      <c r="V3273" s="5" t="s">
        <v>240</v>
      </c>
      <c r="W3273" s="5" t="s">
        <v>240</v>
      </c>
      <c r="X3273" s="5" t="s">
        <v>240</v>
      </c>
      <c r="Y3273" s="5" t="s">
        <v>240</v>
      </c>
      <c r="Z3273" s="6" t="s">
        <v>298</v>
      </c>
      <c r="AA3273" s="6" t="s">
        <v>240</v>
      </c>
      <c r="AB3273" s="6" t="s">
        <v>240</v>
      </c>
      <c r="AC3273" s="5" t="s">
        <v>240</v>
      </c>
      <c r="AD3273" s="6" t="s">
        <v>240</v>
      </c>
      <c r="AE3273" s="6" t="s">
        <v>299</v>
      </c>
      <c r="AF3273" s="5" t="s">
        <v>248</v>
      </c>
      <c r="AG3273" s="5" t="s">
        <v>249</v>
      </c>
      <c r="AH3273" s="5" t="s">
        <v>240</v>
      </c>
      <c r="AI3273" s="5" t="s">
        <v>240</v>
      </c>
      <c r="AJ3273" s="5" t="s">
        <v>240</v>
      </c>
      <c r="AK3273" s="5" t="s">
        <v>240</v>
      </c>
      <c r="AL3273" s="5" t="s">
        <v>240</v>
      </c>
      <c r="AM3273" s="5" t="s">
        <v>240</v>
      </c>
      <c r="AN3273" s="5" t="s">
        <v>240</v>
      </c>
      <c r="AO3273" s="5" t="s">
        <v>240</v>
      </c>
      <c r="AP3273" s="6" t="s">
        <v>240</v>
      </c>
      <c r="AQ3273" s="6" t="s">
        <v>240</v>
      </c>
      <c r="AR3273" s="6" t="s">
        <v>240</v>
      </c>
      <c r="AS3273" s="6" t="s">
        <v>240</v>
      </c>
      <c r="AT3273" s="5" t="s">
        <v>240</v>
      </c>
      <c r="AU3273" s="5" t="s">
        <v>729</v>
      </c>
      <c r="AV3273" s="5" t="s">
        <v>729</v>
      </c>
      <c r="AW3273" s="5" t="s">
        <v>251</v>
      </c>
      <c r="AX3273" s="5" t="s">
        <v>252</v>
      </c>
      <c r="AY3273" s="5" t="s">
        <v>253</v>
      </c>
      <c r="AZ3273" s="5" t="s">
        <v>240</v>
      </c>
      <c r="BA3273" s="5" t="s">
        <v>255</v>
      </c>
      <c r="BB3273" s="5" t="s">
        <v>731</v>
      </c>
      <c r="BD3273" s="5" t="s">
        <v>240</v>
      </c>
      <c r="BF3273" s="5" t="s">
        <v>732</v>
      </c>
      <c r="BG3273" s="6" t="s">
        <v>733</v>
      </c>
      <c r="BH3273" s="5" t="s">
        <v>734</v>
      </c>
      <c r="BI3273" s="5" t="s">
        <v>734</v>
      </c>
      <c r="BJ3273" s="5" t="s">
        <v>240</v>
      </c>
      <c r="BK3273" s="7">
        <f>1</f>
        <v>1</v>
      </c>
      <c r="BL3273" s="7">
        <f>1</f>
        <v>1</v>
      </c>
      <c r="BM3273" s="5" t="s">
        <v>258</v>
      </c>
      <c r="BN3273" s="5" t="s">
        <v>259</v>
      </c>
      <c r="BO3273" s="5" t="s">
        <v>240</v>
      </c>
      <c r="BP3273" s="5" t="s">
        <v>240</v>
      </c>
      <c r="BQ3273" s="5" t="s">
        <v>240</v>
      </c>
      <c r="BR3273" s="5" t="s">
        <v>240</v>
      </c>
      <c r="BS3273" s="5" t="s">
        <v>240</v>
      </c>
      <c r="BT3273" s="5" t="s">
        <v>240</v>
      </c>
      <c r="BU3273" s="5" t="s">
        <v>240</v>
      </c>
      <c r="BV3273" s="5" t="s">
        <v>240</v>
      </c>
      <c r="BW3273" s="6" t="s">
        <v>240</v>
      </c>
      <c r="BX3273" s="5" t="s">
        <v>240</v>
      </c>
      <c r="BY3273" s="5" t="s">
        <v>240</v>
      </c>
      <c r="BZ3273" s="5" t="s">
        <v>240</v>
      </c>
      <c r="CA3273" s="5" t="s">
        <v>259</v>
      </c>
      <c r="CB3273" s="5" t="s">
        <v>240</v>
      </c>
      <c r="CC3273" s="5" t="s">
        <v>240</v>
      </c>
      <c r="CD3273" s="5" t="s">
        <v>240</v>
      </c>
      <c r="CE3273" s="5" t="s">
        <v>240</v>
      </c>
      <c r="CF3273" s="5" t="s">
        <v>240</v>
      </c>
      <c r="CG3273" s="5" t="s">
        <v>304</v>
      </c>
      <c r="CH3273" s="5" t="s">
        <v>305</v>
      </c>
      <c r="CI3273" s="5" t="s">
        <v>240</v>
      </c>
      <c r="CK3273" s="5" t="s">
        <v>3681</v>
      </c>
      <c r="CL3273" s="6" t="s">
        <v>261</v>
      </c>
      <c r="CM3273" s="5" t="s">
        <v>262</v>
      </c>
      <c r="CN3273" s="5" t="s">
        <v>263</v>
      </c>
      <c r="CO3273" s="5" t="s">
        <v>264</v>
      </c>
      <c r="CP3273" s="5" t="s">
        <v>240</v>
      </c>
      <c r="CQ3273" s="5">
        <v>0</v>
      </c>
      <c r="CR3273" s="5" t="s">
        <v>735</v>
      </c>
      <c r="CS3273" s="5" t="s">
        <v>307</v>
      </c>
      <c r="CT3273" s="5" t="s">
        <v>307</v>
      </c>
      <c r="CU3273" s="5" t="s">
        <v>260</v>
      </c>
      <c r="CV3273" s="5" t="s">
        <v>612</v>
      </c>
      <c r="CW3273" s="8">
        <f>1</f>
        <v>1</v>
      </c>
      <c r="CX3273" s="7">
        <f>1</f>
        <v>1</v>
      </c>
      <c r="CY3273" s="7">
        <f>0</f>
        <v>0</v>
      </c>
      <c r="DA3273" s="7">
        <f>1</f>
        <v>1</v>
      </c>
      <c r="DB3273" s="7" t="s">
        <v>240</v>
      </c>
      <c r="DC3273" s="5" t="s">
        <v>240</v>
      </c>
      <c r="DD3273" s="5" t="s">
        <v>240</v>
      </c>
      <c r="DE3273" s="5" t="s">
        <v>240</v>
      </c>
      <c r="DF3273" s="5" t="s">
        <v>240</v>
      </c>
      <c r="DG3273" s="7">
        <f>0</f>
        <v>0</v>
      </c>
      <c r="DI3273" s="5" t="s">
        <v>240</v>
      </c>
      <c r="DJ3273" s="5" t="s">
        <v>240</v>
      </c>
      <c r="DK3273" s="5" t="s">
        <v>240</v>
      </c>
      <c r="DL3273" s="5" t="s">
        <v>240</v>
      </c>
      <c r="DM3273" s="5" t="s">
        <v>240</v>
      </c>
      <c r="DN3273" s="5" t="s">
        <v>240</v>
      </c>
      <c r="DO3273" s="7" t="s">
        <v>240</v>
      </c>
      <c r="DP3273" s="5" t="s">
        <v>240</v>
      </c>
      <c r="DQ3273" s="5" t="s">
        <v>240</v>
      </c>
      <c r="DR3273" s="5" t="s">
        <v>731</v>
      </c>
      <c r="DS3273" s="5" t="s">
        <v>731</v>
      </c>
      <c r="DT3273" s="5" t="s">
        <v>240</v>
      </c>
      <c r="DU3273" s="5" t="s">
        <v>240</v>
      </c>
      <c r="DV3273" s="5" t="s">
        <v>3683</v>
      </c>
      <c r="DW3273" s="5" t="s">
        <v>1030</v>
      </c>
      <c r="DX3273" s="5" t="s">
        <v>240</v>
      </c>
      <c r="DY3273" s="5" t="s">
        <v>240</v>
      </c>
      <c r="DZ3273" s="5" t="s">
        <v>240</v>
      </c>
      <c r="EA3273" s="5" t="s">
        <v>240</v>
      </c>
      <c r="EB3273" s="5" t="s">
        <v>240</v>
      </c>
      <c r="EC3273" s="5" t="s">
        <v>240</v>
      </c>
      <c r="ED3273" s="5" t="s">
        <v>240</v>
      </c>
      <c r="EE3273" s="5" t="s">
        <v>240</v>
      </c>
      <c r="EF3273" s="5" t="s">
        <v>240</v>
      </c>
      <c r="EG3273" s="5" t="s">
        <v>240</v>
      </c>
      <c r="EH3273" s="5" t="s">
        <v>240</v>
      </c>
      <c r="EI3273" s="5" t="s">
        <v>240</v>
      </c>
      <c r="EJ3273" s="5" t="s">
        <v>240</v>
      </c>
      <c r="EK3273" s="5" t="s">
        <v>240</v>
      </c>
      <c r="EL3273" s="5" t="s">
        <v>240</v>
      </c>
      <c r="EM3273" s="5" t="s">
        <v>240</v>
      </c>
      <c r="EN3273" s="5" t="s">
        <v>240</v>
      </c>
      <c r="EO3273" s="5" t="s">
        <v>240</v>
      </c>
      <c r="EP3273" s="5" t="s">
        <v>240</v>
      </c>
      <c r="EQ3273" s="5" t="s">
        <v>240</v>
      </c>
      <c r="ER3273" s="5" t="s">
        <v>240</v>
      </c>
      <c r="ES3273" s="5" t="s">
        <v>240</v>
      </c>
      <c r="ET3273" s="5" t="s">
        <v>240</v>
      </c>
      <c r="EU3273" s="5" t="s">
        <v>240</v>
      </c>
      <c r="EV3273" s="5" t="s">
        <v>240</v>
      </c>
      <c r="EW3273" s="5" t="s">
        <v>240</v>
      </c>
      <c r="EX3273" s="5" t="s">
        <v>240</v>
      </c>
      <c r="EY3273" s="5" t="s">
        <v>240</v>
      </c>
      <c r="EZ3273" s="5" t="s">
        <v>240</v>
      </c>
      <c r="FA3273" s="5" t="s">
        <v>240</v>
      </c>
      <c r="FB3273" s="5" t="s">
        <v>240</v>
      </c>
      <c r="FC3273" s="5" t="s">
        <v>240</v>
      </c>
      <c r="FD3273" s="5" t="s">
        <v>240</v>
      </c>
      <c r="FE3273" s="5" t="s">
        <v>240</v>
      </c>
      <c r="FF3273" s="5" t="s">
        <v>240</v>
      </c>
      <c r="FG3273" s="5" t="s">
        <v>240</v>
      </c>
      <c r="FH3273" s="5" t="s">
        <v>240</v>
      </c>
      <c r="FI3273" s="5" t="s">
        <v>240</v>
      </c>
      <c r="FJ3273" s="5" t="s">
        <v>240</v>
      </c>
      <c r="FK3273" s="5" t="s">
        <v>240</v>
      </c>
      <c r="FL3273" s="5" t="s">
        <v>240</v>
      </c>
      <c r="FM3273" s="5" t="s">
        <v>240</v>
      </c>
      <c r="FN3273" s="5" t="s">
        <v>240</v>
      </c>
      <c r="FO3273" s="5" t="s">
        <v>240</v>
      </c>
      <c r="FP3273" s="5" t="s">
        <v>240</v>
      </c>
      <c r="FQ3273" s="5" t="s">
        <v>240</v>
      </c>
      <c r="FR3273" s="5" t="s">
        <v>240</v>
      </c>
      <c r="FS3273" s="5" t="s">
        <v>240</v>
      </c>
      <c r="FT3273" s="5" t="s">
        <v>240</v>
      </c>
      <c r="FU3273" s="5" t="s">
        <v>240</v>
      </c>
      <c r="FV3273" s="5" t="s">
        <v>240</v>
      </c>
      <c r="FW3273" s="5" t="s">
        <v>240</v>
      </c>
      <c r="FX3273" s="5" t="s">
        <v>240</v>
      </c>
      <c r="FY3273" s="5" t="s">
        <v>240</v>
      </c>
      <c r="FZ3273" s="5" t="s">
        <v>240</v>
      </c>
      <c r="GA3273" s="5" t="s">
        <v>240</v>
      </c>
      <c r="GB3273" s="5" t="s">
        <v>240</v>
      </c>
      <c r="GC3273" s="5" t="s">
        <v>240</v>
      </c>
      <c r="GD3273" s="5" t="s">
        <v>240</v>
      </c>
      <c r="GE3273" s="5" t="s">
        <v>240</v>
      </c>
      <c r="GF3273" s="5" t="s">
        <v>240</v>
      </c>
      <c r="GG3273" s="5" t="s">
        <v>240</v>
      </c>
      <c r="GH3273" s="5" t="s">
        <v>240</v>
      </c>
      <c r="GI3273" s="5" t="s">
        <v>240</v>
      </c>
      <c r="GJ3273" s="5" t="s">
        <v>240</v>
      </c>
      <c r="GK3273" s="5" t="s">
        <v>240</v>
      </c>
      <c r="GL3273" s="5" t="s">
        <v>240</v>
      </c>
      <c r="GM3273" s="5" t="s">
        <v>240</v>
      </c>
      <c r="GN3273" s="5" t="s">
        <v>240</v>
      </c>
      <c r="GO3273" s="5" t="s">
        <v>240</v>
      </c>
      <c r="GP3273" s="5" t="s">
        <v>240</v>
      </c>
      <c r="GQ3273" s="5" t="s">
        <v>240</v>
      </c>
      <c r="GR3273" s="5" t="s">
        <v>240</v>
      </c>
      <c r="GS3273" s="5" t="s">
        <v>240</v>
      </c>
      <c r="GT3273" s="5" t="s">
        <v>240</v>
      </c>
      <c r="GU3273" s="5" t="s">
        <v>240</v>
      </c>
      <c r="GV3273" s="5" t="s">
        <v>240</v>
      </c>
      <c r="GW3273" s="5" t="s">
        <v>240</v>
      </c>
      <c r="GX3273" s="5" t="s">
        <v>240</v>
      </c>
      <c r="GY3273" s="5" t="s">
        <v>240</v>
      </c>
      <c r="GZ3273" s="5" t="s">
        <v>240</v>
      </c>
      <c r="HA3273" s="5" t="s">
        <v>240</v>
      </c>
      <c r="HB3273" s="5" t="s">
        <v>240</v>
      </c>
      <c r="HC3273" s="5" t="s">
        <v>240</v>
      </c>
      <c r="HD3273" s="5" t="s">
        <v>240</v>
      </c>
      <c r="HE3273" s="5" t="s">
        <v>240</v>
      </c>
      <c r="HF3273" s="5" t="s">
        <v>240</v>
      </c>
      <c r="HG3273" s="5" t="s">
        <v>240</v>
      </c>
      <c r="HH3273" s="5" t="s">
        <v>240</v>
      </c>
      <c r="HI3273" s="5" t="s">
        <v>240</v>
      </c>
      <c r="HJ3273" s="5" t="s">
        <v>240</v>
      </c>
      <c r="HK3273" s="5" t="s">
        <v>240</v>
      </c>
      <c r="HL3273" s="5" t="s">
        <v>240</v>
      </c>
      <c r="HM3273" s="5" t="s">
        <v>240</v>
      </c>
      <c r="HN3273" s="5" t="s">
        <v>240</v>
      </c>
      <c r="HO3273" s="5" t="s">
        <v>312</v>
      </c>
      <c r="HP3273" s="5" t="s">
        <v>240</v>
      </c>
      <c r="HQ3273" s="5" t="s">
        <v>240</v>
      </c>
      <c r="HR3273" s="5" t="s">
        <v>240</v>
      </c>
      <c r="HS3273" s="5" t="s">
        <v>240</v>
      </c>
      <c r="HT3273" s="5" t="s">
        <v>240</v>
      </c>
      <c r="HU3273" s="5" t="s">
        <v>240</v>
      </c>
      <c r="HV3273" s="5" t="s">
        <v>240</v>
      </c>
      <c r="HW3273" s="5" t="s">
        <v>240</v>
      </c>
      <c r="HX3273" s="5" t="s">
        <v>240</v>
      </c>
      <c r="HY3273" s="5" t="s">
        <v>240</v>
      </c>
      <c r="HZ3273" s="5" t="s">
        <v>240</v>
      </c>
      <c r="IA3273" s="5" t="s">
        <v>240</v>
      </c>
      <c r="IB3273" s="5" t="s">
        <v>240</v>
      </c>
      <c r="IC3273" s="5" t="s">
        <v>240</v>
      </c>
      <c r="ID3273" s="5" t="s">
        <v>240</v>
      </c>
      <c r="IE3273" s="5" t="s">
        <v>240</v>
      </c>
      <c r="IF3273" s="5" t="s">
        <v>240</v>
      </c>
    </row>
    <row r="3274" spans="1:240" x14ac:dyDescent="0.4">
      <c r="A3274" s="5">
        <v>8816</v>
      </c>
      <c r="B3274" s="5">
        <v>1</v>
      </c>
      <c r="C3274" s="5">
        <v>1</v>
      </c>
      <c r="D3274" s="5" t="s">
        <v>723</v>
      </c>
      <c r="E3274" s="5" t="s">
        <v>725</v>
      </c>
      <c r="F3274" s="5" t="s">
        <v>730</v>
      </c>
      <c r="G3274" s="5" t="s">
        <v>726</v>
      </c>
      <c r="H3274" s="6" t="s">
        <v>6391</v>
      </c>
      <c r="I3274" s="5" t="s">
        <v>990</v>
      </c>
      <c r="J3274" s="8">
        <f>382</f>
        <v>382</v>
      </c>
      <c r="K3274" s="5" t="s">
        <v>308</v>
      </c>
      <c r="L3274" s="7">
        <f>0</f>
        <v>0</v>
      </c>
      <c r="M3274" s="7">
        <f>0</f>
        <v>0</v>
      </c>
      <c r="N3274" s="5" t="s">
        <v>242</v>
      </c>
      <c r="O3274" s="5">
        <v>1</v>
      </c>
      <c r="P3274" s="5" t="s">
        <v>294</v>
      </c>
      <c r="Q3274" s="5" t="s">
        <v>3678</v>
      </c>
      <c r="R3274" s="5" t="s">
        <v>240</v>
      </c>
      <c r="S3274" s="5" t="s">
        <v>240</v>
      </c>
      <c r="T3274" s="5" t="s">
        <v>243</v>
      </c>
      <c r="U3274" s="5" t="s">
        <v>244</v>
      </c>
      <c r="V3274" s="5" t="s">
        <v>240</v>
      </c>
      <c r="W3274" s="5" t="s">
        <v>240</v>
      </c>
      <c r="X3274" s="5" t="s">
        <v>240</v>
      </c>
      <c r="Y3274" s="5" t="s">
        <v>240</v>
      </c>
      <c r="Z3274" s="6" t="s">
        <v>298</v>
      </c>
      <c r="AA3274" s="6" t="s">
        <v>240</v>
      </c>
      <c r="AB3274" s="6" t="s">
        <v>240</v>
      </c>
      <c r="AC3274" s="5" t="s">
        <v>240</v>
      </c>
      <c r="AD3274" s="6" t="s">
        <v>240</v>
      </c>
      <c r="AE3274" s="6" t="s">
        <v>299</v>
      </c>
      <c r="AF3274" s="5" t="s">
        <v>248</v>
      </c>
      <c r="AG3274" s="5" t="s">
        <v>249</v>
      </c>
      <c r="AH3274" s="5" t="s">
        <v>240</v>
      </c>
      <c r="AI3274" s="5" t="s">
        <v>240</v>
      </c>
      <c r="AJ3274" s="5" t="s">
        <v>240</v>
      </c>
      <c r="AK3274" s="5" t="s">
        <v>240</v>
      </c>
      <c r="AL3274" s="5" t="s">
        <v>240</v>
      </c>
      <c r="AM3274" s="5" t="s">
        <v>240</v>
      </c>
      <c r="AN3274" s="5" t="s">
        <v>240</v>
      </c>
      <c r="AO3274" s="5" t="s">
        <v>240</v>
      </c>
      <c r="AP3274" s="6" t="s">
        <v>240</v>
      </c>
      <c r="AQ3274" s="6" t="s">
        <v>240</v>
      </c>
      <c r="AR3274" s="6" t="s">
        <v>240</v>
      </c>
      <c r="AS3274" s="6" t="s">
        <v>240</v>
      </c>
      <c r="AT3274" s="5" t="s">
        <v>240</v>
      </c>
      <c r="AU3274" s="5" t="s">
        <v>729</v>
      </c>
      <c r="AV3274" s="5" t="s">
        <v>729</v>
      </c>
      <c r="AW3274" s="5" t="s">
        <v>251</v>
      </c>
      <c r="AX3274" s="5" t="s">
        <v>252</v>
      </c>
      <c r="AY3274" s="5" t="s">
        <v>253</v>
      </c>
      <c r="AZ3274" s="5" t="s">
        <v>240</v>
      </c>
      <c r="BA3274" s="5" t="s">
        <v>255</v>
      </c>
      <c r="BB3274" s="5" t="s">
        <v>731</v>
      </c>
      <c r="BD3274" s="5" t="s">
        <v>240</v>
      </c>
      <c r="BF3274" s="5" t="s">
        <v>732</v>
      </c>
      <c r="BG3274" s="6" t="s">
        <v>733</v>
      </c>
      <c r="BH3274" s="5" t="s">
        <v>734</v>
      </c>
      <c r="BI3274" s="5" t="s">
        <v>734</v>
      </c>
      <c r="BJ3274" s="5" t="s">
        <v>240</v>
      </c>
      <c r="BK3274" s="7">
        <f>1</f>
        <v>1</v>
      </c>
      <c r="BL3274" s="7">
        <f>1</f>
        <v>1</v>
      </c>
      <c r="BM3274" s="5" t="s">
        <v>258</v>
      </c>
      <c r="BN3274" s="5" t="s">
        <v>259</v>
      </c>
      <c r="BO3274" s="5" t="s">
        <v>240</v>
      </c>
      <c r="BP3274" s="5" t="s">
        <v>240</v>
      </c>
      <c r="BQ3274" s="5" t="s">
        <v>240</v>
      </c>
      <c r="BR3274" s="5" t="s">
        <v>240</v>
      </c>
      <c r="BS3274" s="5" t="s">
        <v>240</v>
      </c>
      <c r="BT3274" s="5" t="s">
        <v>240</v>
      </c>
      <c r="BU3274" s="5" t="s">
        <v>240</v>
      </c>
      <c r="BV3274" s="5" t="s">
        <v>240</v>
      </c>
      <c r="BW3274" s="6" t="s">
        <v>240</v>
      </c>
      <c r="BX3274" s="5" t="s">
        <v>240</v>
      </c>
      <c r="BY3274" s="5" t="s">
        <v>240</v>
      </c>
      <c r="BZ3274" s="5" t="s">
        <v>240</v>
      </c>
      <c r="CA3274" s="5" t="s">
        <v>259</v>
      </c>
      <c r="CB3274" s="5" t="s">
        <v>240</v>
      </c>
      <c r="CC3274" s="5" t="s">
        <v>240</v>
      </c>
      <c r="CD3274" s="5" t="s">
        <v>240</v>
      </c>
      <c r="CE3274" s="5" t="s">
        <v>240</v>
      </c>
      <c r="CF3274" s="5" t="s">
        <v>240</v>
      </c>
      <c r="CG3274" s="5" t="s">
        <v>304</v>
      </c>
      <c r="CH3274" s="5" t="s">
        <v>305</v>
      </c>
      <c r="CI3274" s="5" t="s">
        <v>240</v>
      </c>
      <c r="CK3274" s="5" t="s">
        <v>3681</v>
      </c>
      <c r="CL3274" s="6" t="s">
        <v>261</v>
      </c>
      <c r="CM3274" s="5" t="s">
        <v>262</v>
      </c>
      <c r="CN3274" s="5" t="s">
        <v>263</v>
      </c>
      <c r="CO3274" s="5" t="s">
        <v>264</v>
      </c>
      <c r="CP3274" s="5" t="s">
        <v>240</v>
      </c>
      <c r="CQ3274" s="5">
        <v>0</v>
      </c>
      <c r="CR3274" s="5" t="s">
        <v>735</v>
      </c>
      <c r="CS3274" s="5" t="s">
        <v>307</v>
      </c>
      <c r="CT3274" s="5" t="s">
        <v>307</v>
      </c>
      <c r="CU3274" s="5" t="s">
        <v>260</v>
      </c>
      <c r="CV3274" s="5" t="s">
        <v>612</v>
      </c>
      <c r="CW3274" s="8">
        <f>1</f>
        <v>1</v>
      </c>
      <c r="CX3274" s="7">
        <f>1</f>
        <v>1</v>
      </c>
      <c r="CY3274" s="7">
        <f>0</f>
        <v>0</v>
      </c>
      <c r="DA3274" s="7">
        <f>1</f>
        <v>1</v>
      </c>
      <c r="DB3274" s="7" t="s">
        <v>240</v>
      </c>
      <c r="DC3274" s="5" t="s">
        <v>240</v>
      </c>
      <c r="DD3274" s="5" t="s">
        <v>240</v>
      </c>
      <c r="DE3274" s="5" t="s">
        <v>240</v>
      </c>
      <c r="DF3274" s="5" t="s">
        <v>240</v>
      </c>
      <c r="DG3274" s="7">
        <f>0</f>
        <v>0</v>
      </c>
      <c r="DI3274" s="5" t="s">
        <v>240</v>
      </c>
      <c r="DJ3274" s="5" t="s">
        <v>240</v>
      </c>
      <c r="DK3274" s="5" t="s">
        <v>240</v>
      </c>
      <c r="DL3274" s="5" t="s">
        <v>240</v>
      </c>
      <c r="DM3274" s="5" t="s">
        <v>240</v>
      </c>
      <c r="DN3274" s="5" t="s">
        <v>240</v>
      </c>
      <c r="DO3274" s="7" t="s">
        <v>240</v>
      </c>
      <c r="DP3274" s="5" t="s">
        <v>240</v>
      </c>
      <c r="DQ3274" s="5" t="s">
        <v>240</v>
      </c>
      <c r="DR3274" s="5" t="s">
        <v>731</v>
      </c>
      <c r="DS3274" s="5" t="s">
        <v>731</v>
      </c>
      <c r="DT3274" s="5" t="s">
        <v>240</v>
      </c>
      <c r="DU3274" s="5" t="s">
        <v>240</v>
      </c>
      <c r="DV3274" s="5" t="s">
        <v>3683</v>
      </c>
      <c r="DW3274" s="5" t="s">
        <v>455</v>
      </c>
      <c r="DX3274" s="5" t="s">
        <v>240</v>
      </c>
      <c r="DY3274" s="5" t="s">
        <v>240</v>
      </c>
      <c r="DZ3274" s="5" t="s">
        <v>240</v>
      </c>
      <c r="EA3274" s="5" t="s">
        <v>240</v>
      </c>
      <c r="EB3274" s="5" t="s">
        <v>240</v>
      </c>
      <c r="EC3274" s="5" t="s">
        <v>240</v>
      </c>
      <c r="ED3274" s="5" t="s">
        <v>240</v>
      </c>
      <c r="EE3274" s="5" t="s">
        <v>240</v>
      </c>
      <c r="EF3274" s="5" t="s">
        <v>240</v>
      </c>
      <c r="EG3274" s="5" t="s">
        <v>240</v>
      </c>
      <c r="EH3274" s="5" t="s">
        <v>240</v>
      </c>
      <c r="EI3274" s="5" t="s">
        <v>240</v>
      </c>
      <c r="EJ3274" s="5" t="s">
        <v>240</v>
      </c>
      <c r="EK3274" s="5" t="s">
        <v>240</v>
      </c>
      <c r="EL3274" s="5" t="s">
        <v>240</v>
      </c>
      <c r="EM3274" s="5" t="s">
        <v>240</v>
      </c>
      <c r="EN3274" s="5" t="s">
        <v>240</v>
      </c>
      <c r="EO3274" s="5" t="s">
        <v>240</v>
      </c>
      <c r="EP3274" s="5" t="s">
        <v>240</v>
      </c>
      <c r="EQ3274" s="5" t="s">
        <v>240</v>
      </c>
      <c r="ER3274" s="5" t="s">
        <v>240</v>
      </c>
      <c r="ES3274" s="5" t="s">
        <v>240</v>
      </c>
      <c r="ET3274" s="5" t="s">
        <v>240</v>
      </c>
      <c r="EU3274" s="5" t="s">
        <v>240</v>
      </c>
      <c r="EV3274" s="5" t="s">
        <v>240</v>
      </c>
      <c r="EW3274" s="5" t="s">
        <v>240</v>
      </c>
      <c r="EX3274" s="5" t="s">
        <v>240</v>
      </c>
      <c r="EY3274" s="5" t="s">
        <v>240</v>
      </c>
      <c r="EZ3274" s="5" t="s">
        <v>240</v>
      </c>
      <c r="FA3274" s="5" t="s">
        <v>240</v>
      </c>
      <c r="FB3274" s="5" t="s">
        <v>240</v>
      </c>
      <c r="FC3274" s="5" t="s">
        <v>240</v>
      </c>
      <c r="FD3274" s="5" t="s">
        <v>240</v>
      </c>
      <c r="FE3274" s="5" t="s">
        <v>240</v>
      </c>
      <c r="FF3274" s="5" t="s">
        <v>240</v>
      </c>
      <c r="FG3274" s="5" t="s">
        <v>240</v>
      </c>
      <c r="FH3274" s="5" t="s">
        <v>240</v>
      </c>
      <c r="FI3274" s="5" t="s">
        <v>240</v>
      </c>
      <c r="FJ3274" s="5" t="s">
        <v>240</v>
      </c>
      <c r="FK3274" s="5" t="s">
        <v>240</v>
      </c>
      <c r="FL3274" s="5" t="s">
        <v>240</v>
      </c>
      <c r="FM3274" s="5" t="s">
        <v>240</v>
      </c>
      <c r="FN3274" s="5" t="s">
        <v>240</v>
      </c>
      <c r="FO3274" s="5" t="s">
        <v>240</v>
      </c>
      <c r="FP3274" s="5" t="s">
        <v>240</v>
      </c>
      <c r="FQ3274" s="5" t="s">
        <v>240</v>
      </c>
      <c r="FR3274" s="5" t="s">
        <v>240</v>
      </c>
      <c r="FS3274" s="5" t="s">
        <v>240</v>
      </c>
      <c r="FT3274" s="5" t="s">
        <v>240</v>
      </c>
      <c r="FU3274" s="5" t="s">
        <v>240</v>
      </c>
      <c r="FV3274" s="5" t="s">
        <v>240</v>
      </c>
      <c r="FW3274" s="5" t="s">
        <v>240</v>
      </c>
      <c r="FX3274" s="5" t="s">
        <v>240</v>
      </c>
      <c r="FY3274" s="5" t="s">
        <v>240</v>
      </c>
      <c r="FZ3274" s="5" t="s">
        <v>240</v>
      </c>
      <c r="GA3274" s="5" t="s">
        <v>240</v>
      </c>
      <c r="GB3274" s="5" t="s">
        <v>240</v>
      </c>
      <c r="GC3274" s="5" t="s">
        <v>240</v>
      </c>
      <c r="GD3274" s="5" t="s">
        <v>240</v>
      </c>
      <c r="GE3274" s="5" t="s">
        <v>240</v>
      </c>
      <c r="GF3274" s="5" t="s">
        <v>240</v>
      </c>
      <c r="GG3274" s="5" t="s">
        <v>240</v>
      </c>
      <c r="GH3274" s="5" t="s">
        <v>240</v>
      </c>
      <c r="GI3274" s="5" t="s">
        <v>240</v>
      </c>
      <c r="GJ3274" s="5" t="s">
        <v>240</v>
      </c>
      <c r="GK3274" s="5" t="s">
        <v>240</v>
      </c>
      <c r="GL3274" s="5" t="s">
        <v>240</v>
      </c>
      <c r="GM3274" s="5" t="s">
        <v>240</v>
      </c>
      <c r="GN3274" s="5" t="s">
        <v>240</v>
      </c>
      <c r="GO3274" s="5" t="s">
        <v>240</v>
      </c>
      <c r="GP3274" s="5" t="s">
        <v>240</v>
      </c>
      <c r="GQ3274" s="5" t="s">
        <v>240</v>
      </c>
      <c r="GR3274" s="5" t="s">
        <v>240</v>
      </c>
      <c r="GS3274" s="5" t="s">
        <v>240</v>
      </c>
      <c r="GT3274" s="5" t="s">
        <v>240</v>
      </c>
      <c r="GU3274" s="5" t="s">
        <v>240</v>
      </c>
      <c r="GV3274" s="5" t="s">
        <v>240</v>
      </c>
      <c r="GW3274" s="5" t="s">
        <v>240</v>
      </c>
      <c r="GX3274" s="5" t="s">
        <v>240</v>
      </c>
      <c r="GY3274" s="5" t="s">
        <v>240</v>
      </c>
      <c r="GZ3274" s="5" t="s">
        <v>240</v>
      </c>
      <c r="HA3274" s="5" t="s">
        <v>240</v>
      </c>
      <c r="HB3274" s="5" t="s">
        <v>240</v>
      </c>
      <c r="HC3274" s="5" t="s">
        <v>240</v>
      </c>
      <c r="HD3274" s="5" t="s">
        <v>240</v>
      </c>
      <c r="HE3274" s="5" t="s">
        <v>240</v>
      </c>
      <c r="HF3274" s="5" t="s">
        <v>240</v>
      </c>
      <c r="HG3274" s="5" t="s">
        <v>240</v>
      </c>
      <c r="HH3274" s="5" t="s">
        <v>240</v>
      </c>
      <c r="HI3274" s="5" t="s">
        <v>240</v>
      </c>
      <c r="HJ3274" s="5" t="s">
        <v>240</v>
      </c>
      <c r="HK3274" s="5" t="s">
        <v>240</v>
      </c>
      <c r="HL3274" s="5" t="s">
        <v>240</v>
      </c>
      <c r="HM3274" s="5" t="s">
        <v>240</v>
      </c>
      <c r="HN3274" s="5" t="s">
        <v>240</v>
      </c>
      <c r="HO3274" s="5" t="s">
        <v>312</v>
      </c>
      <c r="HP3274" s="5" t="s">
        <v>240</v>
      </c>
      <c r="HQ3274" s="5" t="s">
        <v>240</v>
      </c>
      <c r="HR3274" s="5" t="s">
        <v>240</v>
      </c>
      <c r="HS3274" s="5" t="s">
        <v>240</v>
      </c>
      <c r="HT3274" s="5" t="s">
        <v>240</v>
      </c>
      <c r="HU3274" s="5" t="s">
        <v>240</v>
      </c>
      <c r="HV3274" s="5" t="s">
        <v>240</v>
      </c>
      <c r="HW3274" s="5" t="s">
        <v>240</v>
      </c>
      <c r="HX3274" s="5" t="s">
        <v>240</v>
      </c>
      <c r="HY3274" s="5" t="s">
        <v>240</v>
      </c>
      <c r="HZ3274" s="5" t="s">
        <v>240</v>
      </c>
      <c r="IA3274" s="5" t="s">
        <v>240</v>
      </c>
      <c r="IB3274" s="5" t="s">
        <v>240</v>
      </c>
      <c r="IC3274" s="5" t="s">
        <v>240</v>
      </c>
      <c r="ID3274" s="5" t="s">
        <v>240</v>
      </c>
      <c r="IE3274" s="5" t="s">
        <v>240</v>
      </c>
      <c r="IF3274" s="5" t="s">
        <v>240</v>
      </c>
    </row>
    <row r="3275" spans="1:240" x14ac:dyDescent="0.4">
      <c r="A3275" s="5">
        <v>8817</v>
      </c>
      <c r="B3275" s="5">
        <v>1</v>
      </c>
      <c r="C3275" s="5">
        <v>1</v>
      </c>
      <c r="D3275" s="5" t="s">
        <v>723</v>
      </c>
      <c r="E3275" s="5" t="s">
        <v>725</v>
      </c>
      <c r="F3275" s="5" t="s">
        <v>730</v>
      </c>
      <c r="G3275" s="5" t="s">
        <v>726</v>
      </c>
      <c r="H3275" s="6" t="s">
        <v>6545</v>
      </c>
      <c r="I3275" s="5" t="s">
        <v>722</v>
      </c>
      <c r="J3275" s="8">
        <f>26</f>
        <v>26</v>
      </c>
      <c r="K3275" s="5" t="s">
        <v>308</v>
      </c>
      <c r="L3275" s="7">
        <f>0</f>
        <v>0</v>
      </c>
      <c r="M3275" s="7">
        <f>0</f>
        <v>0</v>
      </c>
      <c r="N3275" s="5" t="s">
        <v>242</v>
      </c>
      <c r="O3275" s="5">
        <v>1</v>
      </c>
      <c r="P3275" s="5" t="s">
        <v>294</v>
      </c>
      <c r="Q3275" s="5" t="s">
        <v>3678</v>
      </c>
      <c r="R3275" s="5" t="s">
        <v>240</v>
      </c>
      <c r="S3275" s="5" t="s">
        <v>240</v>
      </c>
      <c r="T3275" s="5" t="s">
        <v>243</v>
      </c>
      <c r="U3275" s="5" t="s">
        <v>244</v>
      </c>
      <c r="V3275" s="5" t="s">
        <v>240</v>
      </c>
      <c r="W3275" s="5" t="s">
        <v>240</v>
      </c>
      <c r="X3275" s="5" t="s">
        <v>240</v>
      </c>
      <c r="Y3275" s="5" t="s">
        <v>240</v>
      </c>
      <c r="Z3275" s="6" t="s">
        <v>298</v>
      </c>
      <c r="AA3275" s="6" t="s">
        <v>240</v>
      </c>
      <c r="AB3275" s="6" t="s">
        <v>240</v>
      </c>
      <c r="AC3275" s="5" t="s">
        <v>240</v>
      </c>
      <c r="AD3275" s="6" t="s">
        <v>240</v>
      </c>
      <c r="AE3275" s="6" t="s">
        <v>299</v>
      </c>
      <c r="AF3275" s="5" t="s">
        <v>248</v>
      </c>
      <c r="AG3275" s="5" t="s">
        <v>249</v>
      </c>
      <c r="AH3275" s="5" t="s">
        <v>240</v>
      </c>
      <c r="AI3275" s="5" t="s">
        <v>240</v>
      </c>
      <c r="AJ3275" s="5" t="s">
        <v>240</v>
      </c>
      <c r="AK3275" s="5" t="s">
        <v>240</v>
      </c>
      <c r="AL3275" s="5" t="s">
        <v>240</v>
      </c>
      <c r="AM3275" s="5" t="s">
        <v>240</v>
      </c>
      <c r="AN3275" s="5" t="s">
        <v>240</v>
      </c>
      <c r="AO3275" s="5" t="s">
        <v>240</v>
      </c>
      <c r="AP3275" s="6" t="s">
        <v>240</v>
      </c>
      <c r="AQ3275" s="6" t="s">
        <v>240</v>
      </c>
      <c r="AR3275" s="6" t="s">
        <v>240</v>
      </c>
      <c r="AS3275" s="6" t="s">
        <v>240</v>
      </c>
      <c r="AT3275" s="5" t="s">
        <v>240</v>
      </c>
      <c r="AU3275" s="5" t="s">
        <v>729</v>
      </c>
      <c r="AV3275" s="5" t="s">
        <v>729</v>
      </c>
      <c r="AW3275" s="5" t="s">
        <v>251</v>
      </c>
      <c r="AX3275" s="5" t="s">
        <v>252</v>
      </c>
      <c r="AY3275" s="5" t="s">
        <v>253</v>
      </c>
      <c r="AZ3275" s="5" t="s">
        <v>240</v>
      </c>
      <c r="BA3275" s="5" t="s">
        <v>255</v>
      </c>
      <c r="BB3275" s="5" t="s">
        <v>731</v>
      </c>
      <c r="BD3275" s="5" t="s">
        <v>240</v>
      </c>
      <c r="BF3275" s="5" t="s">
        <v>732</v>
      </c>
      <c r="BG3275" s="6" t="s">
        <v>733</v>
      </c>
      <c r="BH3275" s="5" t="s">
        <v>734</v>
      </c>
      <c r="BI3275" s="5" t="s">
        <v>734</v>
      </c>
      <c r="BJ3275" s="5" t="s">
        <v>240</v>
      </c>
      <c r="BK3275" s="7">
        <f>1</f>
        <v>1</v>
      </c>
      <c r="BL3275" s="7">
        <f>1</f>
        <v>1</v>
      </c>
      <c r="BM3275" s="5" t="s">
        <v>258</v>
      </c>
      <c r="BN3275" s="5" t="s">
        <v>259</v>
      </c>
      <c r="BO3275" s="5" t="s">
        <v>240</v>
      </c>
      <c r="BP3275" s="5" t="s">
        <v>240</v>
      </c>
      <c r="BQ3275" s="5" t="s">
        <v>240</v>
      </c>
      <c r="BR3275" s="5" t="s">
        <v>240</v>
      </c>
      <c r="BS3275" s="5" t="s">
        <v>240</v>
      </c>
      <c r="BT3275" s="5" t="s">
        <v>240</v>
      </c>
      <c r="BU3275" s="5" t="s">
        <v>240</v>
      </c>
      <c r="BV3275" s="5" t="s">
        <v>240</v>
      </c>
      <c r="BW3275" s="6" t="s">
        <v>240</v>
      </c>
      <c r="BX3275" s="5" t="s">
        <v>240</v>
      </c>
      <c r="BY3275" s="5" t="s">
        <v>240</v>
      </c>
      <c r="BZ3275" s="5" t="s">
        <v>240</v>
      </c>
      <c r="CA3275" s="5" t="s">
        <v>259</v>
      </c>
      <c r="CB3275" s="5" t="s">
        <v>240</v>
      </c>
      <c r="CC3275" s="5" t="s">
        <v>240</v>
      </c>
      <c r="CD3275" s="5" t="s">
        <v>240</v>
      </c>
      <c r="CE3275" s="5" t="s">
        <v>240</v>
      </c>
      <c r="CF3275" s="5" t="s">
        <v>240</v>
      </c>
      <c r="CG3275" s="5" t="s">
        <v>304</v>
      </c>
      <c r="CH3275" s="5" t="s">
        <v>305</v>
      </c>
      <c r="CI3275" s="5" t="s">
        <v>240</v>
      </c>
      <c r="CK3275" s="5" t="s">
        <v>3681</v>
      </c>
      <c r="CL3275" s="6" t="s">
        <v>261</v>
      </c>
      <c r="CM3275" s="5" t="s">
        <v>262</v>
      </c>
      <c r="CN3275" s="5" t="s">
        <v>263</v>
      </c>
      <c r="CO3275" s="5" t="s">
        <v>264</v>
      </c>
      <c r="CP3275" s="5" t="s">
        <v>240</v>
      </c>
      <c r="CQ3275" s="5">
        <v>0</v>
      </c>
      <c r="CR3275" s="5" t="s">
        <v>735</v>
      </c>
      <c r="CS3275" s="5" t="s">
        <v>307</v>
      </c>
      <c r="CT3275" s="5" t="s">
        <v>307</v>
      </c>
      <c r="CU3275" s="5" t="s">
        <v>260</v>
      </c>
      <c r="CV3275" s="5" t="s">
        <v>612</v>
      </c>
      <c r="CW3275" s="8">
        <f>1</f>
        <v>1</v>
      </c>
      <c r="CX3275" s="7">
        <f>1</f>
        <v>1</v>
      </c>
      <c r="CY3275" s="7">
        <f>0</f>
        <v>0</v>
      </c>
      <c r="DA3275" s="7">
        <f>1</f>
        <v>1</v>
      </c>
      <c r="DB3275" s="7" t="s">
        <v>240</v>
      </c>
      <c r="DC3275" s="5" t="s">
        <v>240</v>
      </c>
      <c r="DD3275" s="5" t="s">
        <v>240</v>
      </c>
      <c r="DE3275" s="5" t="s">
        <v>240</v>
      </c>
      <c r="DF3275" s="5" t="s">
        <v>240</v>
      </c>
      <c r="DG3275" s="7">
        <f>0</f>
        <v>0</v>
      </c>
      <c r="DI3275" s="5" t="s">
        <v>240</v>
      </c>
      <c r="DJ3275" s="5" t="s">
        <v>240</v>
      </c>
      <c r="DK3275" s="5" t="s">
        <v>240</v>
      </c>
      <c r="DL3275" s="5" t="s">
        <v>240</v>
      </c>
      <c r="DM3275" s="5" t="s">
        <v>240</v>
      </c>
      <c r="DN3275" s="5" t="s">
        <v>240</v>
      </c>
      <c r="DO3275" s="7" t="s">
        <v>240</v>
      </c>
      <c r="DP3275" s="5" t="s">
        <v>240</v>
      </c>
      <c r="DQ3275" s="5" t="s">
        <v>240</v>
      </c>
      <c r="DR3275" s="5" t="s">
        <v>731</v>
      </c>
      <c r="DS3275" s="5" t="s">
        <v>731</v>
      </c>
      <c r="DT3275" s="5" t="s">
        <v>240</v>
      </c>
      <c r="DU3275" s="5" t="s">
        <v>240</v>
      </c>
      <c r="DV3275" s="5" t="s">
        <v>3683</v>
      </c>
      <c r="DW3275" s="5" t="s">
        <v>801</v>
      </c>
      <c r="DX3275" s="5" t="s">
        <v>240</v>
      </c>
      <c r="DY3275" s="5" t="s">
        <v>240</v>
      </c>
      <c r="DZ3275" s="5" t="s">
        <v>240</v>
      </c>
      <c r="EA3275" s="5" t="s">
        <v>240</v>
      </c>
      <c r="EB3275" s="5" t="s">
        <v>240</v>
      </c>
      <c r="EC3275" s="5" t="s">
        <v>240</v>
      </c>
      <c r="ED3275" s="5" t="s">
        <v>240</v>
      </c>
      <c r="EE3275" s="5" t="s">
        <v>240</v>
      </c>
      <c r="EF3275" s="5" t="s">
        <v>240</v>
      </c>
      <c r="EG3275" s="5" t="s">
        <v>240</v>
      </c>
      <c r="EH3275" s="5" t="s">
        <v>240</v>
      </c>
      <c r="EI3275" s="5" t="s">
        <v>240</v>
      </c>
      <c r="EJ3275" s="5" t="s">
        <v>240</v>
      </c>
      <c r="EK3275" s="5" t="s">
        <v>240</v>
      </c>
      <c r="EL3275" s="5" t="s">
        <v>240</v>
      </c>
      <c r="EM3275" s="5" t="s">
        <v>240</v>
      </c>
      <c r="EN3275" s="5" t="s">
        <v>240</v>
      </c>
      <c r="EO3275" s="5" t="s">
        <v>240</v>
      </c>
      <c r="EP3275" s="5" t="s">
        <v>240</v>
      </c>
      <c r="EQ3275" s="5" t="s">
        <v>240</v>
      </c>
      <c r="ER3275" s="5" t="s">
        <v>240</v>
      </c>
      <c r="ES3275" s="5" t="s">
        <v>240</v>
      </c>
      <c r="ET3275" s="5" t="s">
        <v>240</v>
      </c>
      <c r="EU3275" s="5" t="s">
        <v>240</v>
      </c>
      <c r="EV3275" s="5" t="s">
        <v>240</v>
      </c>
      <c r="EW3275" s="5" t="s">
        <v>240</v>
      </c>
      <c r="EX3275" s="5" t="s">
        <v>240</v>
      </c>
      <c r="EY3275" s="5" t="s">
        <v>240</v>
      </c>
      <c r="EZ3275" s="5" t="s">
        <v>240</v>
      </c>
      <c r="FA3275" s="5" t="s">
        <v>240</v>
      </c>
      <c r="FB3275" s="5" t="s">
        <v>240</v>
      </c>
      <c r="FC3275" s="5" t="s">
        <v>240</v>
      </c>
      <c r="FD3275" s="5" t="s">
        <v>240</v>
      </c>
      <c r="FE3275" s="5" t="s">
        <v>240</v>
      </c>
      <c r="FF3275" s="5" t="s">
        <v>240</v>
      </c>
      <c r="FG3275" s="5" t="s">
        <v>240</v>
      </c>
      <c r="FH3275" s="5" t="s">
        <v>240</v>
      </c>
      <c r="FI3275" s="5" t="s">
        <v>240</v>
      </c>
      <c r="FJ3275" s="5" t="s">
        <v>240</v>
      </c>
      <c r="FK3275" s="5" t="s">
        <v>240</v>
      </c>
      <c r="FL3275" s="5" t="s">
        <v>240</v>
      </c>
      <c r="FM3275" s="5" t="s">
        <v>240</v>
      </c>
      <c r="FN3275" s="5" t="s">
        <v>240</v>
      </c>
      <c r="FO3275" s="5" t="s">
        <v>240</v>
      </c>
      <c r="FP3275" s="5" t="s">
        <v>240</v>
      </c>
      <c r="FQ3275" s="5" t="s">
        <v>240</v>
      </c>
      <c r="FR3275" s="5" t="s">
        <v>240</v>
      </c>
      <c r="FS3275" s="5" t="s">
        <v>240</v>
      </c>
      <c r="FT3275" s="5" t="s">
        <v>240</v>
      </c>
      <c r="FU3275" s="5" t="s">
        <v>240</v>
      </c>
      <c r="FV3275" s="5" t="s">
        <v>240</v>
      </c>
      <c r="FW3275" s="5" t="s">
        <v>240</v>
      </c>
      <c r="FX3275" s="5" t="s">
        <v>240</v>
      </c>
      <c r="FY3275" s="5" t="s">
        <v>240</v>
      </c>
      <c r="FZ3275" s="5" t="s">
        <v>240</v>
      </c>
      <c r="GA3275" s="5" t="s">
        <v>240</v>
      </c>
      <c r="GB3275" s="5" t="s">
        <v>240</v>
      </c>
      <c r="GC3275" s="5" t="s">
        <v>240</v>
      </c>
      <c r="GD3275" s="5" t="s">
        <v>240</v>
      </c>
      <c r="GE3275" s="5" t="s">
        <v>240</v>
      </c>
      <c r="GF3275" s="5" t="s">
        <v>240</v>
      </c>
      <c r="GG3275" s="5" t="s">
        <v>240</v>
      </c>
      <c r="GH3275" s="5" t="s">
        <v>240</v>
      </c>
      <c r="GI3275" s="5" t="s">
        <v>240</v>
      </c>
      <c r="GJ3275" s="5" t="s">
        <v>240</v>
      </c>
      <c r="GK3275" s="5" t="s">
        <v>240</v>
      </c>
      <c r="GL3275" s="5" t="s">
        <v>240</v>
      </c>
      <c r="GM3275" s="5" t="s">
        <v>240</v>
      </c>
      <c r="GN3275" s="5" t="s">
        <v>240</v>
      </c>
      <c r="GO3275" s="5" t="s">
        <v>240</v>
      </c>
      <c r="GP3275" s="5" t="s">
        <v>240</v>
      </c>
      <c r="GQ3275" s="5" t="s">
        <v>240</v>
      </c>
      <c r="GR3275" s="5" t="s">
        <v>240</v>
      </c>
      <c r="GS3275" s="5" t="s">
        <v>240</v>
      </c>
      <c r="GT3275" s="5" t="s">
        <v>240</v>
      </c>
      <c r="GU3275" s="5" t="s">
        <v>240</v>
      </c>
      <c r="GV3275" s="5" t="s">
        <v>240</v>
      </c>
      <c r="GW3275" s="5" t="s">
        <v>240</v>
      </c>
      <c r="GX3275" s="5" t="s">
        <v>240</v>
      </c>
      <c r="GY3275" s="5" t="s">
        <v>240</v>
      </c>
      <c r="GZ3275" s="5" t="s">
        <v>240</v>
      </c>
      <c r="HA3275" s="5" t="s">
        <v>240</v>
      </c>
      <c r="HB3275" s="5" t="s">
        <v>240</v>
      </c>
      <c r="HC3275" s="5" t="s">
        <v>240</v>
      </c>
      <c r="HD3275" s="5" t="s">
        <v>240</v>
      </c>
      <c r="HE3275" s="5" t="s">
        <v>240</v>
      </c>
      <c r="HF3275" s="5" t="s">
        <v>240</v>
      </c>
      <c r="HG3275" s="5" t="s">
        <v>240</v>
      </c>
      <c r="HH3275" s="5" t="s">
        <v>240</v>
      </c>
      <c r="HI3275" s="5" t="s">
        <v>240</v>
      </c>
      <c r="HJ3275" s="5" t="s">
        <v>240</v>
      </c>
      <c r="HK3275" s="5" t="s">
        <v>240</v>
      </c>
      <c r="HL3275" s="5" t="s">
        <v>240</v>
      </c>
      <c r="HM3275" s="5" t="s">
        <v>240</v>
      </c>
      <c r="HN3275" s="5" t="s">
        <v>240</v>
      </c>
      <c r="HO3275" s="5" t="s">
        <v>312</v>
      </c>
      <c r="HP3275" s="5" t="s">
        <v>240</v>
      </c>
      <c r="HQ3275" s="5" t="s">
        <v>240</v>
      </c>
      <c r="HR3275" s="5" t="s">
        <v>240</v>
      </c>
      <c r="HS3275" s="5" t="s">
        <v>240</v>
      </c>
      <c r="HT3275" s="5" t="s">
        <v>240</v>
      </c>
      <c r="HU3275" s="5" t="s">
        <v>240</v>
      </c>
      <c r="HV3275" s="5" t="s">
        <v>240</v>
      </c>
      <c r="HW3275" s="5" t="s">
        <v>240</v>
      </c>
      <c r="HX3275" s="5" t="s">
        <v>240</v>
      </c>
      <c r="HY3275" s="5" t="s">
        <v>240</v>
      </c>
      <c r="HZ3275" s="5" t="s">
        <v>240</v>
      </c>
      <c r="IA3275" s="5" t="s">
        <v>240</v>
      </c>
      <c r="IB3275" s="5" t="s">
        <v>240</v>
      </c>
      <c r="IC3275" s="5" t="s">
        <v>240</v>
      </c>
      <c r="ID3275" s="5" t="s">
        <v>240</v>
      </c>
      <c r="IE3275" s="5" t="s">
        <v>240</v>
      </c>
      <c r="IF3275" s="5" t="s">
        <v>240</v>
      </c>
    </row>
    <row r="3276" spans="1:240" x14ac:dyDescent="0.4">
      <c r="A3276" s="5">
        <v>8818</v>
      </c>
      <c r="B3276" s="5">
        <v>1</v>
      </c>
      <c r="C3276" s="5">
        <v>1</v>
      </c>
      <c r="D3276" s="5" t="s">
        <v>723</v>
      </c>
      <c r="E3276" s="5" t="s">
        <v>725</v>
      </c>
      <c r="F3276" s="5" t="s">
        <v>730</v>
      </c>
      <c r="G3276" s="5" t="s">
        <v>726</v>
      </c>
      <c r="H3276" s="6" t="s">
        <v>6388</v>
      </c>
      <c r="I3276" s="5" t="s">
        <v>722</v>
      </c>
      <c r="J3276" s="8">
        <f>507</f>
        <v>507</v>
      </c>
      <c r="K3276" s="5" t="s">
        <v>308</v>
      </c>
      <c r="L3276" s="7">
        <f>0</f>
        <v>0</v>
      </c>
      <c r="M3276" s="7">
        <f>0</f>
        <v>0</v>
      </c>
      <c r="N3276" s="5" t="s">
        <v>242</v>
      </c>
      <c r="O3276" s="5">
        <v>1</v>
      </c>
      <c r="P3276" s="5" t="s">
        <v>294</v>
      </c>
      <c r="Q3276" s="5" t="s">
        <v>266</v>
      </c>
      <c r="R3276" s="5" t="s">
        <v>240</v>
      </c>
      <c r="S3276" s="5" t="s">
        <v>240</v>
      </c>
      <c r="T3276" s="5" t="s">
        <v>296</v>
      </c>
      <c r="U3276" s="5" t="s">
        <v>244</v>
      </c>
      <c r="V3276" s="5" t="s">
        <v>240</v>
      </c>
      <c r="Y3276" s="5" t="s">
        <v>240</v>
      </c>
      <c r="Z3276" s="6" t="s">
        <v>298</v>
      </c>
      <c r="AB3276" s="6" t="s">
        <v>240</v>
      </c>
      <c r="AE3276" s="6" t="s">
        <v>299</v>
      </c>
      <c r="AF3276" s="5" t="s">
        <v>248</v>
      </c>
      <c r="AG3276" s="5" t="s">
        <v>249</v>
      </c>
      <c r="AW3276" s="5" t="s">
        <v>251</v>
      </c>
      <c r="AX3276" s="5" t="s">
        <v>240</v>
      </c>
      <c r="AY3276" s="5" t="s">
        <v>253</v>
      </c>
      <c r="AZ3276" s="5" t="s">
        <v>240</v>
      </c>
      <c r="BA3276" s="5" t="s">
        <v>255</v>
      </c>
      <c r="BB3276" s="5" t="s">
        <v>240</v>
      </c>
      <c r="BD3276" s="5" t="s">
        <v>240</v>
      </c>
      <c r="BF3276" s="5" t="s">
        <v>301</v>
      </c>
      <c r="BG3276" s="6" t="s">
        <v>299</v>
      </c>
      <c r="BH3276" s="5" t="s">
        <v>302</v>
      </c>
      <c r="BI3276" s="5" t="s">
        <v>303</v>
      </c>
      <c r="BJ3276" s="5" t="s">
        <v>240</v>
      </c>
      <c r="BK3276" s="8">
        <f>0</f>
        <v>0</v>
      </c>
      <c r="BL3276" s="7">
        <f>0</f>
        <v>0</v>
      </c>
      <c r="BM3276" s="5" t="s">
        <v>258</v>
      </c>
      <c r="BN3276" s="5" t="s">
        <v>259</v>
      </c>
      <c r="CB3276" s="5" t="s">
        <v>240</v>
      </c>
      <c r="CC3276" s="5" t="s">
        <v>240</v>
      </c>
      <c r="CG3276" s="5" t="s">
        <v>304</v>
      </c>
      <c r="CH3276" s="5" t="s">
        <v>305</v>
      </c>
      <c r="CI3276" s="5" t="s">
        <v>240</v>
      </c>
      <c r="CL3276" s="6" t="s">
        <v>261</v>
      </c>
      <c r="CM3276" s="5" t="s">
        <v>240</v>
      </c>
      <c r="CN3276" s="5" t="s">
        <v>263</v>
      </c>
      <c r="CO3276" s="5" t="s">
        <v>240</v>
      </c>
      <c r="CP3276" s="5" t="s">
        <v>240</v>
      </c>
      <c r="CQ3276" s="5">
        <v>0</v>
      </c>
      <c r="CR3276" s="5" t="s">
        <v>306</v>
      </c>
      <c r="CS3276" s="5" t="s">
        <v>307</v>
      </c>
      <c r="CT3276" s="5" t="s">
        <v>307</v>
      </c>
      <c r="CU3276" s="5" t="s">
        <v>260</v>
      </c>
      <c r="CX3276" s="7">
        <f>1</f>
        <v>1</v>
      </c>
      <c r="CY3276" s="7">
        <f>0</f>
        <v>0</v>
      </c>
      <c r="DA3276" s="7">
        <f>0</f>
        <v>0</v>
      </c>
      <c r="DC3276" s="5" t="s">
        <v>309</v>
      </c>
      <c r="DD3276" s="5" t="s">
        <v>240</v>
      </c>
      <c r="DF3276" s="5" t="s">
        <v>309</v>
      </c>
      <c r="DG3276" s="7">
        <f>6187</f>
        <v>6187</v>
      </c>
      <c r="DI3276" s="5" t="s">
        <v>240</v>
      </c>
      <c r="DJ3276" s="5" t="s">
        <v>240</v>
      </c>
      <c r="DK3276" s="5" t="s">
        <v>240</v>
      </c>
      <c r="DL3276" s="5" t="s">
        <v>240</v>
      </c>
      <c r="DP3276" s="5" t="s">
        <v>240</v>
      </c>
      <c r="DQ3276" s="5" t="s">
        <v>240</v>
      </c>
      <c r="DR3276" s="5" t="s">
        <v>240</v>
      </c>
      <c r="DS3276" s="5" t="s">
        <v>240</v>
      </c>
      <c r="DV3276" s="5" t="s">
        <v>310</v>
      </c>
      <c r="DW3276" s="5" t="s">
        <v>4897</v>
      </c>
      <c r="HO3276" s="5" t="s">
        <v>312</v>
      </c>
    </row>
    <row r="3277" spans="1:240" x14ac:dyDescent="0.4">
      <c r="A3277" s="5">
        <v>8819</v>
      </c>
      <c r="B3277" s="5">
        <v>1</v>
      </c>
      <c r="C3277" s="5">
        <v>1</v>
      </c>
      <c r="D3277" s="5" t="s">
        <v>723</v>
      </c>
      <c r="E3277" s="5" t="s">
        <v>725</v>
      </c>
      <c r="F3277" s="5" t="s">
        <v>730</v>
      </c>
      <c r="G3277" s="5" t="s">
        <v>726</v>
      </c>
      <c r="H3277" s="6" t="s">
        <v>6548</v>
      </c>
      <c r="I3277" s="5" t="s">
        <v>990</v>
      </c>
      <c r="J3277" s="8">
        <f>3693</f>
        <v>3693</v>
      </c>
      <c r="K3277" s="5" t="s">
        <v>308</v>
      </c>
      <c r="L3277" s="7">
        <f>0</f>
        <v>0</v>
      </c>
      <c r="M3277" s="7">
        <f>0</f>
        <v>0</v>
      </c>
      <c r="N3277" s="5" t="s">
        <v>242</v>
      </c>
      <c r="O3277" s="5">
        <v>1</v>
      </c>
      <c r="P3277" s="5" t="s">
        <v>294</v>
      </c>
      <c r="Q3277" s="5" t="s">
        <v>266</v>
      </c>
      <c r="R3277" s="5" t="s">
        <v>240</v>
      </c>
      <c r="S3277" s="5" t="s">
        <v>240</v>
      </c>
      <c r="T3277" s="5" t="s">
        <v>296</v>
      </c>
      <c r="U3277" s="5" t="s">
        <v>244</v>
      </c>
      <c r="V3277" s="5" t="s">
        <v>240</v>
      </c>
      <c r="Y3277" s="5" t="s">
        <v>240</v>
      </c>
      <c r="Z3277" s="6" t="s">
        <v>298</v>
      </c>
      <c r="AB3277" s="6" t="s">
        <v>240</v>
      </c>
      <c r="AE3277" s="6" t="s">
        <v>299</v>
      </c>
      <c r="AF3277" s="5" t="s">
        <v>248</v>
      </c>
      <c r="AG3277" s="5" t="s">
        <v>249</v>
      </c>
      <c r="AW3277" s="5" t="s">
        <v>251</v>
      </c>
      <c r="AX3277" s="5" t="s">
        <v>240</v>
      </c>
      <c r="AY3277" s="5" t="s">
        <v>253</v>
      </c>
      <c r="AZ3277" s="5" t="s">
        <v>240</v>
      </c>
      <c r="BA3277" s="5" t="s">
        <v>255</v>
      </c>
      <c r="BB3277" s="5" t="s">
        <v>240</v>
      </c>
      <c r="BD3277" s="5" t="s">
        <v>240</v>
      </c>
      <c r="BF3277" s="5" t="s">
        <v>301</v>
      </c>
      <c r="BG3277" s="6" t="s">
        <v>299</v>
      </c>
      <c r="BH3277" s="5" t="s">
        <v>302</v>
      </c>
      <c r="BI3277" s="5" t="s">
        <v>303</v>
      </c>
      <c r="BJ3277" s="5" t="s">
        <v>240</v>
      </c>
      <c r="BK3277" s="8">
        <f>0</f>
        <v>0</v>
      </c>
      <c r="BL3277" s="7">
        <f>0</f>
        <v>0</v>
      </c>
      <c r="BM3277" s="5" t="s">
        <v>258</v>
      </c>
      <c r="BN3277" s="5" t="s">
        <v>259</v>
      </c>
      <c r="CB3277" s="5" t="s">
        <v>240</v>
      </c>
      <c r="CC3277" s="5" t="s">
        <v>240</v>
      </c>
      <c r="CG3277" s="5" t="s">
        <v>304</v>
      </c>
      <c r="CH3277" s="5" t="s">
        <v>305</v>
      </c>
      <c r="CI3277" s="5" t="s">
        <v>240</v>
      </c>
      <c r="CL3277" s="6" t="s">
        <v>261</v>
      </c>
      <c r="CM3277" s="5" t="s">
        <v>240</v>
      </c>
      <c r="CN3277" s="5" t="s">
        <v>263</v>
      </c>
      <c r="CO3277" s="5" t="s">
        <v>240</v>
      </c>
      <c r="CP3277" s="5" t="s">
        <v>240</v>
      </c>
      <c r="CQ3277" s="5">
        <v>0</v>
      </c>
      <c r="CR3277" s="5" t="s">
        <v>306</v>
      </c>
      <c r="CS3277" s="5" t="s">
        <v>307</v>
      </c>
      <c r="CT3277" s="5" t="s">
        <v>307</v>
      </c>
      <c r="CU3277" s="5" t="s">
        <v>260</v>
      </c>
      <c r="CX3277" s="7">
        <f>1</f>
        <v>1</v>
      </c>
      <c r="CY3277" s="7">
        <f>0</f>
        <v>0</v>
      </c>
      <c r="DA3277" s="7">
        <f>0</f>
        <v>0</v>
      </c>
      <c r="DC3277" s="5" t="s">
        <v>309</v>
      </c>
      <c r="DD3277" s="5" t="s">
        <v>240</v>
      </c>
      <c r="DF3277" s="5" t="s">
        <v>309</v>
      </c>
      <c r="DG3277" s="7">
        <f>3253</f>
        <v>3253</v>
      </c>
      <c r="DI3277" s="5" t="s">
        <v>240</v>
      </c>
      <c r="DJ3277" s="5" t="s">
        <v>240</v>
      </c>
      <c r="DK3277" s="5" t="s">
        <v>240</v>
      </c>
      <c r="DL3277" s="5" t="s">
        <v>240</v>
      </c>
      <c r="DP3277" s="5" t="s">
        <v>240</v>
      </c>
      <c r="DQ3277" s="5" t="s">
        <v>240</v>
      </c>
      <c r="DR3277" s="5" t="s">
        <v>240</v>
      </c>
      <c r="DS3277" s="5" t="s">
        <v>240</v>
      </c>
      <c r="DV3277" s="5" t="s">
        <v>310</v>
      </c>
      <c r="DW3277" s="5" t="s">
        <v>4899</v>
      </c>
      <c r="HO3277" s="5" t="s">
        <v>312</v>
      </c>
    </row>
    <row r="3278" spans="1:240" x14ac:dyDescent="0.4">
      <c r="A3278" s="5">
        <v>8820</v>
      </c>
      <c r="B3278" s="5">
        <v>1</v>
      </c>
      <c r="C3278" s="5">
        <v>1</v>
      </c>
      <c r="D3278" s="5" t="s">
        <v>723</v>
      </c>
      <c r="E3278" s="5" t="s">
        <v>725</v>
      </c>
      <c r="F3278" s="5" t="s">
        <v>730</v>
      </c>
      <c r="G3278" s="5" t="s">
        <v>726</v>
      </c>
      <c r="H3278" s="6" t="s">
        <v>6385</v>
      </c>
      <c r="I3278" s="5" t="s">
        <v>722</v>
      </c>
      <c r="J3278" s="8">
        <f>54</f>
        <v>54</v>
      </c>
      <c r="K3278" s="5" t="s">
        <v>308</v>
      </c>
      <c r="L3278" s="7">
        <f>0</f>
        <v>0</v>
      </c>
      <c r="M3278" s="7">
        <f>0</f>
        <v>0</v>
      </c>
      <c r="N3278" s="5" t="s">
        <v>242</v>
      </c>
      <c r="O3278" s="5">
        <v>1</v>
      </c>
      <c r="P3278" s="5" t="s">
        <v>294</v>
      </c>
      <c r="Q3278" s="5" t="s">
        <v>266</v>
      </c>
      <c r="R3278" s="5" t="s">
        <v>240</v>
      </c>
      <c r="S3278" s="5" t="s">
        <v>240</v>
      </c>
      <c r="T3278" s="5" t="s">
        <v>296</v>
      </c>
      <c r="U3278" s="5" t="s">
        <v>244</v>
      </c>
      <c r="V3278" s="5" t="s">
        <v>240</v>
      </c>
      <c r="Y3278" s="5" t="s">
        <v>240</v>
      </c>
      <c r="Z3278" s="6" t="s">
        <v>298</v>
      </c>
      <c r="AB3278" s="6" t="s">
        <v>240</v>
      </c>
      <c r="AE3278" s="6" t="s">
        <v>299</v>
      </c>
      <c r="AF3278" s="5" t="s">
        <v>248</v>
      </c>
      <c r="AG3278" s="5" t="s">
        <v>249</v>
      </c>
      <c r="AW3278" s="5" t="s">
        <v>251</v>
      </c>
      <c r="AX3278" s="5" t="s">
        <v>240</v>
      </c>
      <c r="AY3278" s="5" t="s">
        <v>253</v>
      </c>
      <c r="AZ3278" s="5" t="s">
        <v>240</v>
      </c>
      <c r="BA3278" s="5" t="s">
        <v>255</v>
      </c>
      <c r="BB3278" s="5" t="s">
        <v>240</v>
      </c>
      <c r="BD3278" s="5" t="s">
        <v>240</v>
      </c>
      <c r="BF3278" s="5" t="s">
        <v>301</v>
      </c>
      <c r="BG3278" s="6" t="s">
        <v>299</v>
      </c>
      <c r="BH3278" s="5" t="s">
        <v>302</v>
      </c>
      <c r="BI3278" s="5" t="s">
        <v>303</v>
      </c>
      <c r="BJ3278" s="5" t="s">
        <v>240</v>
      </c>
      <c r="BK3278" s="8">
        <f>0</f>
        <v>0</v>
      </c>
      <c r="BL3278" s="7">
        <f>0</f>
        <v>0</v>
      </c>
      <c r="BM3278" s="5" t="s">
        <v>258</v>
      </c>
      <c r="BN3278" s="5" t="s">
        <v>259</v>
      </c>
      <c r="CB3278" s="5" t="s">
        <v>240</v>
      </c>
      <c r="CC3278" s="5" t="s">
        <v>240</v>
      </c>
      <c r="CG3278" s="5" t="s">
        <v>304</v>
      </c>
      <c r="CH3278" s="5" t="s">
        <v>305</v>
      </c>
      <c r="CI3278" s="5" t="s">
        <v>240</v>
      </c>
      <c r="CL3278" s="6" t="s">
        <v>261</v>
      </c>
      <c r="CM3278" s="5" t="s">
        <v>240</v>
      </c>
      <c r="CN3278" s="5" t="s">
        <v>263</v>
      </c>
      <c r="CO3278" s="5" t="s">
        <v>240</v>
      </c>
      <c r="CP3278" s="5" t="s">
        <v>240</v>
      </c>
      <c r="CQ3278" s="5">
        <v>0</v>
      </c>
      <c r="CR3278" s="5" t="s">
        <v>306</v>
      </c>
      <c r="CS3278" s="5" t="s">
        <v>307</v>
      </c>
      <c r="CT3278" s="5" t="s">
        <v>307</v>
      </c>
      <c r="CU3278" s="5" t="s">
        <v>260</v>
      </c>
      <c r="CX3278" s="7">
        <f>1</f>
        <v>1</v>
      </c>
      <c r="CY3278" s="7">
        <f>0</f>
        <v>0</v>
      </c>
      <c r="DA3278" s="7">
        <f>0</f>
        <v>0</v>
      </c>
      <c r="DC3278" s="5" t="s">
        <v>309</v>
      </c>
      <c r="DD3278" s="5" t="s">
        <v>240</v>
      </c>
      <c r="DF3278" s="5" t="s">
        <v>309</v>
      </c>
      <c r="DG3278" s="7">
        <f>3606</f>
        <v>3606</v>
      </c>
      <c r="DI3278" s="5" t="s">
        <v>240</v>
      </c>
      <c r="DJ3278" s="5" t="s">
        <v>240</v>
      </c>
      <c r="DK3278" s="5" t="s">
        <v>240</v>
      </c>
      <c r="DL3278" s="5" t="s">
        <v>240</v>
      </c>
      <c r="DP3278" s="5" t="s">
        <v>240</v>
      </c>
      <c r="DQ3278" s="5" t="s">
        <v>240</v>
      </c>
      <c r="DR3278" s="5" t="s">
        <v>240</v>
      </c>
      <c r="DS3278" s="5" t="s">
        <v>240</v>
      </c>
      <c r="DV3278" s="5" t="s">
        <v>310</v>
      </c>
      <c r="DW3278" s="5" t="s">
        <v>4901</v>
      </c>
      <c r="HO3278" s="5" t="s">
        <v>312</v>
      </c>
    </row>
    <row r="3279" spans="1:240" x14ac:dyDescent="0.4">
      <c r="A3279" s="5">
        <v>8821</v>
      </c>
      <c r="B3279" s="5">
        <v>1</v>
      </c>
      <c r="C3279" s="5">
        <v>1</v>
      </c>
      <c r="D3279" s="5" t="s">
        <v>723</v>
      </c>
      <c r="E3279" s="5" t="s">
        <v>725</v>
      </c>
      <c r="F3279" s="5" t="s">
        <v>730</v>
      </c>
      <c r="G3279" s="5" t="s">
        <v>726</v>
      </c>
      <c r="H3279" s="6" t="s">
        <v>6549</v>
      </c>
      <c r="I3279" s="5" t="s">
        <v>722</v>
      </c>
      <c r="J3279" s="8">
        <f>258</f>
        <v>258</v>
      </c>
      <c r="K3279" s="5" t="s">
        <v>308</v>
      </c>
      <c r="L3279" s="7">
        <f>0</f>
        <v>0</v>
      </c>
      <c r="M3279" s="7">
        <f>0</f>
        <v>0</v>
      </c>
      <c r="N3279" s="5" t="s">
        <v>242</v>
      </c>
      <c r="O3279" s="5">
        <v>1</v>
      </c>
      <c r="P3279" s="5" t="s">
        <v>294</v>
      </c>
      <c r="Q3279" s="5" t="s">
        <v>3678</v>
      </c>
      <c r="R3279" s="5" t="s">
        <v>240</v>
      </c>
      <c r="S3279" s="5" t="s">
        <v>240</v>
      </c>
      <c r="T3279" s="5" t="s">
        <v>243</v>
      </c>
      <c r="U3279" s="5" t="s">
        <v>244</v>
      </c>
      <c r="V3279" s="5" t="s">
        <v>240</v>
      </c>
      <c r="W3279" s="5" t="s">
        <v>240</v>
      </c>
      <c r="X3279" s="5" t="s">
        <v>240</v>
      </c>
      <c r="Y3279" s="5" t="s">
        <v>240</v>
      </c>
      <c r="Z3279" s="6" t="s">
        <v>298</v>
      </c>
      <c r="AA3279" s="6" t="s">
        <v>240</v>
      </c>
      <c r="AB3279" s="6" t="s">
        <v>240</v>
      </c>
      <c r="AC3279" s="5" t="s">
        <v>240</v>
      </c>
      <c r="AD3279" s="6" t="s">
        <v>240</v>
      </c>
      <c r="AE3279" s="6" t="s">
        <v>299</v>
      </c>
      <c r="AF3279" s="5" t="s">
        <v>248</v>
      </c>
      <c r="AG3279" s="5" t="s">
        <v>249</v>
      </c>
      <c r="AH3279" s="5" t="s">
        <v>240</v>
      </c>
      <c r="AI3279" s="5" t="s">
        <v>240</v>
      </c>
      <c r="AJ3279" s="5" t="s">
        <v>240</v>
      </c>
      <c r="AK3279" s="5" t="s">
        <v>240</v>
      </c>
      <c r="AL3279" s="5" t="s">
        <v>240</v>
      </c>
      <c r="AM3279" s="5" t="s">
        <v>240</v>
      </c>
      <c r="AN3279" s="5" t="s">
        <v>240</v>
      </c>
      <c r="AO3279" s="5" t="s">
        <v>240</v>
      </c>
      <c r="AP3279" s="6" t="s">
        <v>240</v>
      </c>
      <c r="AQ3279" s="6" t="s">
        <v>240</v>
      </c>
      <c r="AR3279" s="6" t="s">
        <v>240</v>
      </c>
      <c r="AS3279" s="6" t="s">
        <v>240</v>
      </c>
      <c r="AT3279" s="5" t="s">
        <v>240</v>
      </c>
      <c r="AU3279" s="5" t="s">
        <v>729</v>
      </c>
      <c r="AV3279" s="5" t="s">
        <v>729</v>
      </c>
      <c r="AW3279" s="5" t="s">
        <v>251</v>
      </c>
      <c r="AX3279" s="5" t="s">
        <v>252</v>
      </c>
      <c r="AY3279" s="5" t="s">
        <v>253</v>
      </c>
      <c r="AZ3279" s="5" t="s">
        <v>240</v>
      </c>
      <c r="BA3279" s="5" t="s">
        <v>255</v>
      </c>
      <c r="BB3279" s="5" t="s">
        <v>731</v>
      </c>
      <c r="BD3279" s="5" t="s">
        <v>240</v>
      </c>
      <c r="BF3279" s="5" t="s">
        <v>732</v>
      </c>
      <c r="BG3279" s="6" t="s">
        <v>733</v>
      </c>
      <c r="BH3279" s="5" t="s">
        <v>734</v>
      </c>
      <c r="BI3279" s="5" t="s">
        <v>734</v>
      </c>
      <c r="BJ3279" s="5" t="s">
        <v>240</v>
      </c>
      <c r="BK3279" s="7">
        <f>1</f>
        <v>1</v>
      </c>
      <c r="BL3279" s="7">
        <f>1</f>
        <v>1</v>
      </c>
      <c r="BM3279" s="5" t="s">
        <v>258</v>
      </c>
      <c r="BN3279" s="5" t="s">
        <v>259</v>
      </c>
      <c r="BO3279" s="5" t="s">
        <v>240</v>
      </c>
      <c r="BP3279" s="5" t="s">
        <v>240</v>
      </c>
      <c r="BQ3279" s="5" t="s">
        <v>240</v>
      </c>
      <c r="BR3279" s="5" t="s">
        <v>240</v>
      </c>
      <c r="BS3279" s="5" t="s">
        <v>240</v>
      </c>
      <c r="BT3279" s="5" t="s">
        <v>240</v>
      </c>
      <c r="BU3279" s="5" t="s">
        <v>240</v>
      </c>
      <c r="BV3279" s="5" t="s">
        <v>240</v>
      </c>
      <c r="BW3279" s="6" t="s">
        <v>240</v>
      </c>
      <c r="BX3279" s="5" t="s">
        <v>240</v>
      </c>
      <c r="BY3279" s="5" t="s">
        <v>240</v>
      </c>
      <c r="BZ3279" s="5" t="s">
        <v>240</v>
      </c>
      <c r="CA3279" s="5" t="s">
        <v>259</v>
      </c>
      <c r="CB3279" s="5" t="s">
        <v>240</v>
      </c>
      <c r="CC3279" s="5" t="s">
        <v>240</v>
      </c>
      <c r="CD3279" s="5" t="s">
        <v>240</v>
      </c>
      <c r="CE3279" s="5" t="s">
        <v>240</v>
      </c>
      <c r="CF3279" s="5" t="s">
        <v>240</v>
      </c>
      <c r="CG3279" s="5" t="s">
        <v>304</v>
      </c>
      <c r="CH3279" s="5" t="s">
        <v>305</v>
      </c>
      <c r="CI3279" s="5" t="s">
        <v>240</v>
      </c>
      <c r="CK3279" s="5" t="s">
        <v>3681</v>
      </c>
      <c r="CL3279" s="6" t="s">
        <v>261</v>
      </c>
      <c r="CM3279" s="5" t="s">
        <v>262</v>
      </c>
      <c r="CN3279" s="5" t="s">
        <v>263</v>
      </c>
      <c r="CO3279" s="5" t="s">
        <v>264</v>
      </c>
      <c r="CP3279" s="5" t="s">
        <v>240</v>
      </c>
      <c r="CQ3279" s="5">
        <v>0</v>
      </c>
      <c r="CR3279" s="5" t="s">
        <v>735</v>
      </c>
      <c r="CS3279" s="5" t="s">
        <v>307</v>
      </c>
      <c r="CT3279" s="5" t="s">
        <v>307</v>
      </c>
      <c r="CU3279" s="5" t="s">
        <v>260</v>
      </c>
      <c r="CV3279" s="5" t="s">
        <v>612</v>
      </c>
      <c r="CW3279" s="8">
        <f>1</f>
        <v>1</v>
      </c>
      <c r="CX3279" s="7">
        <f>1</f>
        <v>1</v>
      </c>
      <c r="CY3279" s="7">
        <f>0</f>
        <v>0</v>
      </c>
      <c r="DA3279" s="7">
        <f>1</f>
        <v>1</v>
      </c>
      <c r="DB3279" s="7" t="s">
        <v>240</v>
      </c>
      <c r="DC3279" s="5" t="s">
        <v>240</v>
      </c>
      <c r="DD3279" s="5" t="s">
        <v>240</v>
      </c>
      <c r="DE3279" s="5" t="s">
        <v>240</v>
      </c>
      <c r="DF3279" s="5" t="s">
        <v>240</v>
      </c>
      <c r="DG3279" s="7">
        <f>0</f>
        <v>0</v>
      </c>
      <c r="DI3279" s="5" t="s">
        <v>240</v>
      </c>
      <c r="DJ3279" s="5" t="s">
        <v>240</v>
      </c>
      <c r="DK3279" s="5" t="s">
        <v>240</v>
      </c>
      <c r="DL3279" s="5" t="s">
        <v>240</v>
      </c>
      <c r="DM3279" s="5" t="s">
        <v>240</v>
      </c>
      <c r="DN3279" s="5" t="s">
        <v>240</v>
      </c>
      <c r="DO3279" s="7" t="s">
        <v>240</v>
      </c>
      <c r="DP3279" s="5" t="s">
        <v>240</v>
      </c>
      <c r="DQ3279" s="5" t="s">
        <v>240</v>
      </c>
      <c r="DR3279" s="5" t="s">
        <v>731</v>
      </c>
      <c r="DS3279" s="5" t="s">
        <v>731</v>
      </c>
      <c r="DT3279" s="5" t="s">
        <v>240</v>
      </c>
      <c r="DU3279" s="5" t="s">
        <v>240</v>
      </c>
      <c r="DV3279" s="5" t="s">
        <v>3683</v>
      </c>
      <c r="DW3279" s="5" t="s">
        <v>649</v>
      </c>
      <c r="DX3279" s="5" t="s">
        <v>240</v>
      </c>
      <c r="DY3279" s="5" t="s">
        <v>240</v>
      </c>
      <c r="DZ3279" s="5" t="s">
        <v>240</v>
      </c>
      <c r="EA3279" s="5" t="s">
        <v>240</v>
      </c>
      <c r="EB3279" s="5" t="s">
        <v>240</v>
      </c>
      <c r="EC3279" s="5" t="s">
        <v>240</v>
      </c>
      <c r="ED3279" s="5" t="s">
        <v>240</v>
      </c>
      <c r="EE3279" s="5" t="s">
        <v>240</v>
      </c>
      <c r="EF3279" s="5" t="s">
        <v>240</v>
      </c>
      <c r="EG3279" s="5" t="s">
        <v>240</v>
      </c>
      <c r="EH3279" s="5" t="s">
        <v>240</v>
      </c>
      <c r="EI3279" s="5" t="s">
        <v>240</v>
      </c>
      <c r="EJ3279" s="5" t="s">
        <v>240</v>
      </c>
      <c r="EK3279" s="5" t="s">
        <v>240</v>
      </c>
      <c r="EL3279" s="5" t="s">
        <v>240</v>
      </c>
      <c r="EM3279" s="5" t="s">
        <v>240</v>
      </c>
      <c r="EN3279" s="5" t="s">
        <v>240</v>
      </c>
      <c r="EO3279" s="5" t="s">
        <v>240</v>
      </c>
      <c r="EP3279" s="5" t="s">
        <v>240</v>
      </c>
      <c r="EQ3279" s="5" t="s">
        <v>240</v>
      </c>
      <c r="ER3279" s="5" t="s">
        <v>240</v>
      </c>
      <c r="ES3279" s="5" t="s">
        <v>240</v>
      </c>
      <c r="ET3279" s="5" t="s">
        <v>240</v>
      </c>
      <c r="EU3279" s="5" t="s">
        <v>240</v>
      </c>
      <c r="EV3279" s="5" t="s">
        <v>240</v>
      </c>
      <c r="EW3279" s="5" t="s">
        <v>240</v>
      </c>
      <c r="EX3279" s="5" t="s">
        <v>240</v>
      </c>
      <c r="EY3279" s="5" t="s">
        <v>240</v>
      </c>
      <c r="EZ3279" s="5" t="s">
        <v>240</v>
      </c>
      <c r="FA3279" s="5" t="s">
        <v>240</v>
      </c>
      <c r="FB3279" s="5" t="s">
        <v>240</v>
      </c>
      <c r="FC3279" s="5" t="s">
        <v>240</v>
      </c>
      <c r="FD3279" s="5" t="s">
        <v>240</v>
      </c>
      <c r="FE3279" s="5" t="s">
        <v>240</v>
      </c>
      <c r="FF3279" s="5" t="s">
        <v>240</v>
      </c>
      <c r="FG3279" s="5" t="s">
        <v>240</v>
      </c>
      <c r="FH3279" s="5" t="s">
        <v>240</v>
      </c>
      <c r="FI3279" s="5" t="s">
        <v>240</v>
      </c>
      <c r="FJ3279" s="5" t="s">
        <v>240</v>
      </c>
      <c r="FK3279" s="5" t="s">
        <v>240</v>
      </c>
      <c r="FL3279" s="5" t="s">
        <v>240</v>
      </c>
      <c r="FM3279" s="5" t="s">
        <v>240</v>
      </c>
      <c r="FN3279" s="5" t="s">
        <v>240</v>
      </c>
      <c r="FO3279" s="5" t="s">
        <v>240</v>
      </c>
      <c r="FP3279" s="5" t="s">
        <v>240</v>
      </c>
      <c r="FQ3279" s="5" t="s">
        <v>240</v>
      </c>
      <c r="FR3279" s="5" t="s">
        <v>240</v>
      </c>
      <c r="FS3279" s="5" t="s">
        <v>240</v>
      </c>
      <c r="FT3279" s="5" t="s">
        <v>240</v>
      </c>
      <c r="FU3279" s="5" t="s">
        <v>240</v>
      </c>
      <c r="FV3279" s="5" t="s">
        <v>240</v>
      </c>
      <c r="FW3279" s="5" t="s">
        <v>240</v>
      </c>
      <c r="FX3279" s="5" t="s">
        <v>240</v>
      </c>
      <c r="FY3279" s="5" t="s">
        <v>240</v>
      </c>
      <c r="FZ3279" s="5" t="s">
        <v>240</v>
      </c>
      <c r="GA3279" s="5" t="s">
        <v>240</v>
      </c>
      <c r="GB3279" s="5" t="s">
        <v>240</v>
      </c>
      <c r="GC3279" s="5" t="s">
        <v>240</v>
      </c>
      <c r="GD3279" s="5" t="s">
        <v>240</v>
      </c>
      <c r="GE3279" s="5" t="s">
        <v>240</v>
      </c>
      <c r="GF3279" s="5" t="s">
        <v>240</v>
      </c>
      <c r="GG3279" s="5" t="s">
        <v>240</v>
      </c>
      <c r="GH3279" s="5" t="s">
        <v>240</v>
      </c>
      <c r="GI3279" s="5" t="s">
        <v>240</v>
      </c>
      <c r="GJ3279" s="5" t="s">
        <v>240</v>
      </c>
      <c r="GK3279" s="5" t="s">
        <v>240</v>
      </c>
      <c r="GL3279" s="5" t="s">
        <v>240</v>
      </c>
      <c r="GM3279" s="5" t="s">
        <v>240</v>
      </c>
      <c r="GN3279" s="5" t="s">
        <v>240</v>
      </c>
      <c r="GO3279" s="5" t="s">
        <v>240</v>
      </c>
      <c r="GP3279" s="5" t="s">
        <v>240</v>
      </c>
      <c r="GQ3279" s="5" t="s">
        <v>240</v>
      </c>
      <c r="GR3279" s="5" t="s">
        <v>240</v>
      </c>
      <c r="GS3279" s="5" t="s">
        <v>240</v>
      </c>
      <c r="GT3279" s="5" t="s">
        <v>240</v>
      </c>
      <c r="GU3279" s="5" t="s">
        <v>240</v>
      </c>
      <c r="GV3279" s="5" t="s">
        <v>240</v>
      </c>
      <c r="GW3279" s="5" t="s">
        <v>240</v>
      </c>
      <c r="GX3279" s="5" t="s">
        <v>240</v>
      </c>
      <c r="GY3279" s="5" t="s">
        <v>240</v>
      </c>
      <c r="GZ3279" s="5" t="s">
        <v>240</v>
      </c>
      <c r="HA3279" s="5" t="s">
        <v>240</v>
      </c>
      <c r="HB3279" s="5" t="s">
        <v>240</v>
      </c>
      <c r="HC3279" s="5" t="s">
        <v>240</v>
      </c>
      <c r="HD3279" s="5" t="s">
        <v>240</v>
      </c>
      <c r="HE3279" s="5" t="s">
        <v>240</v>
      </c>
      <c r="HF3279" s="5" t="s">
        <v>240</v>
      </c>
      <c r="HG3279" s="5" t="s">
        <v>240</v>
      </c>
      <c r="HH3279" s="5" t="s">
        <v>240</v>
      </c>
      <c r="HI3279" s="5" t="s">
        <v>240</v>
      </c>
      <c r="HJ3279" s="5" t="s">
        <v>240</v>
      </c>
      <c r="HK3279" s="5" t="s">
        <v>240</v>
      </c>
      <c r="HL3279" s="5" t="s">
        <v>240</v>
      </c>
      <c r="HM3279" s="5" t="s">
        <v>240</v>
      </c>
      <c r="HN3279" s="5" t="s">
        <v>240</v>
      </c>
      <c r="HO3279" s="5" t="s">
        <v>312</v>
      </c>
      <c r="HP3279" s="5" t="s">
        <v>240</v>
      </c>
      <c r="HQ3279" s="5" t="s">
        <v>240</v>
      </c>
      <c r="HR3279" s="5" t="s">
        <v>240</v>
      </c>
      <c r="HS3279" s="5" t="s">
        <v>240</v>
      </c>
      <c r="HT3279" s="5" t="s">
        <v>240</v>
      </c>
      <c r="HU3279" s="5" t="s">
        <v>240</v>
      </c>
      <c r="HV3279" s="5" t="s">
        <v>240</v>
      </c>
      <c r="HW3279" s="5" t="s">
        <v>240</v>
      </c>
      <c r="HX3279" s="5" t="s">
        <v>240</v>
      </c>
      <c r="HY3279" s="5" t="s">
        <v>240</v>
      </c>
      <c r="HZ3279" s="5" t="s">
        <v>240</v>
      </c>
      <c r="IA3279" s="5" t="s">
        <v>240</v>
      </c>
      <c r="IB3279" s="5" t="s">
        <v>240</v>
      </c>
      <c r="IC3279" s="5" t="s">
        <v>240</v>
      </c>
      <c r="ID3279" s="5" t="s">
        <v>240</v>
      </c>
      <c r="IE3279" s="5" t="s">
        <v>240</v>
      </c>
      <c r="IF3279" s="5" t="s">
        <v>240</v>
      </c>
    </row>
    <row r="3280" spans="1:240" x14ac:dyDescent="0.4">
      <c r="A3280" s="5">
        <v>8822</v>
      </c>
      <c r="B3280" s="5">
        <v>1</v>
      </c>
      <c r="C3280" s="5">
        <v>1</v>
      </c>
      <c r="D3280" s="5" t="s">
        <v>723</v>
      </c>
      <c r="E3280" s="5" t="s">
        <v>725</v>
      </c>
      <c r="F3280" s="5" t="s">
        <v>730</v>
      </c>
      <c r="G3280" s="5" t="s">
        <v>726</v>
      </c>
      <c r="H3280" s="6" t="s">
        <v>6382</v>
      </c>
      <c r="I3280" s="5" t="s">
        <v>990</v>
      </c>
      <c r="J3280" s="8">
        <f>1223.14</f>
        <v>1223.1400000000001</v>
      </c>
      <c r="K3280" s="5" t="s">
        <v>308</v>
      </c>
      <c r="L3280" s="7">
        <f>0</f>
        <v>0</v>
      </c>
      <c r="M3280" s="7">
        <f>0</f>
        <v>0</v>
      </c>
      <c r="N3280" s="5" t="s">
        <v>242</v>
      </c>
      <c r="O3280" s="5">
        <v>1</v>
      </c>
      <c r="P3280" s="5" t="s">
        <v>294</v>
      </c>
      <c r="Q3280" s="5" t="s">
        <v>3678</v>
      </c>
      <c r="R3280" s="5" t="s">
        <v>240</v>
      </c>
      <c r="S3280" s="5" t="s">
        <v>240</v>
      </c>
      <c r="T3280" s="5" t="s">
        <v>243</v>
      </c>
      <c r="U3280" s="5" t="s">
        <v>244</v>
      </c>
      <c r="V3280" s="5" t="s">
        <v>240</v>
      </c>
      <c r="W3280" s="5" t="s">
        <v>240</v>
      </c>
      <c r="X3280" s="5" t="s">
        <v>240</v>
      </c>
      <c r="Y3280" s="5" t="s">
        <v>240</v>
      </c>
      <c r="Z3280" s="6" t="s">
        <v>298</v>
      </c>
      <c r="AA3280" s="6" t="s">
        <v>240</v>
      </c>
      <c r="AB3280" s="6" t="s">
        <v>240</v>
      </c>
      <c r="AC3280" s="5" t="s">
        <v>240</v>
      </c>
      <c r="AD3280" s="6" t="s">
        <v>240</v>
      </c>
      <c r="AE3280" s="6" t="s">
        <v>299</v>
      </c>
      <c r="AF3280" s="5" t="s">
        <v>248</v>
      </c>
      <c r="AG3280" s="5" t="s">
        <v>249</v>
      </c>
      <c r="AH3280" s="5" t="s">
        <v>240</v>
      </c>
      <c r="AI3280" s="5" t="s">
        <v>240</v>
      </c>
      <c r="AJ3280" s="5" t="s">
        <v>240</v>
      </c>
      <c r="AK3280" s="5" t="s">
        <v>240</v>
      </c>
      <c r="AL3280" s="5" t="s">
        <v>240</v>
      </c>
      <c r="AM3280" s="5" t="s">
        <v>240</v>
      </c>
      <c r="AN3280" s="5" t="s">
        <v>240</v>
      </c>
      <c r="AO3280" s="5" t="s">
        <v>240</v>
      </c>
      <c r="AP3280" s="6" t="s">
        <v>240</v>
      </c>
      <c r="AQ3280" s="6" t="s">
        <v>240</v>
      </c>
      <c r="AR3280" s="6" t="s">
        <v>240</v>
      </c>
      <c r="AS3280" s="6" t="s">
        <v>240</v>
      </c>
      <c r="AT3280" s="5" t="s">
        <v>240</v>
      </c>
      <c r="AU3280" s="5" t="s">
        <v>729</v>
      </c>
      <c r="AV3280" s="5" t="s">
        <v>729</v>
      </c>
      <c r="AW3280" s="5" t="s">
        <v>251</v>
      </c>
      <c r="AX3280" s="5" t="s">
        <v>252</v>
      </c>
      <c r="AY3280" s="5" t="s">
        <v>253</v>
      </c>
      <c r="AZ3280" s="5" t="s">
        <v>240</v>
      </c>
      <c r="BA3280" s="5" t="s">
        <v>255</v>
      </c>
      <c r="BB3280" s="5" t="s">
        <v>731</v>
      </c>
      <c r="BD3280" s="5" t="s">
        <v>240</v>
      </c>
      <c r="BF3280" s="5" t="s">
        <v>732</v>
      </c>
      <c r="BG3280" s="6" t="s">
        <v>733</v>
      </c>
      <c r="BH3280" s="5" t="s">
        <v>734</v>
      </c>
      <c r="BI3280" s="5" t="s">
        <v>734</v>
      </c>
      <c r="BJ3280" s="5" t="s">
        <v>240</v>
      </c>
      <c r="BK3280" s="7">
        <f>1</f>
        <v>1</v>
      </c>
      <c r="BL3280" s="7">
        <f>1</f>
        <v>1</v>
      </c>
      <c r="BM3280" s="5" t="s">
        <v>258</v>
      </c>
      <c r="BN3280" s="5" t="s">
        <v>259</v>
      </c>
      <c r="BO3280" s="5" t="s">
        <v>240</v>
      </c>
      <c r="BP3280" s="5" t="s">
        <v>240</v>
      </c>
      <c r="BQ3280" s="5" t="s">
        <v>240</v>
      </c>
      <c r="BR3280" s="5" t="s">
        <v>240</v>
      </c>
      <c r="BS3280" s="5" t="s">
        <v>240</v>
      </c>
      <c r="BT3280" s="5" t="s">
        <v>240</v>
      </c>
      <c r="BU3280" s="5" t="s">
        <v>240</v>
      </c>
      <c r="BV3280" s="5" t="s">
        <v>240</v>
      </c>
      <c r="BW3280" s="6" t="s">
        <v>240</v>
      </c>
      <c r="BX3280" s="5" t="s">
        <v>240</v>
      </c>
      <c r="BY3280" s="5" t="s">
        <v>240</v>
      </c>
      <c r="BZ3280" s="5" t="s">
        <v>240</v>
      </c>
      <c r="CA3280" s="5" t="s">
        <v>259</v>
      </c>
      <c r="CB3280" s="5" t="s">
        <v>240</v>
      </c>
      <c r="CC3280" s="5" t="s">
        <v>240</v>
      </c>
      <c r="CD3280" s="5" t="s">
        <v>240</v>
      </c>
      <c r="CE3280" s="5" t="s">
        <v>240</v>
      </c>
      <c r="CF3280" s="5" t="s">
        <v>240</v>
      </c>
      <c r="CG3280" s="5" t="s">
        <v>304</v>
      </c>
      <c r="CH3280" s="5" t="s">
        <v>305</v>
      </c>
      <c r="CI3280" s="5" t="s">
        <v>240</v>
      </c>
      <c r="CK3280" s="5" t="s">
        <v>3681</v>
      </c>
      <c r="CL3280" s="6" t="s">
        <v>261</v>
      </c>
      <c r="CM3280" s="5" t="s">
        <v>262</v>
      </c>
      <c r="CN3280" s="5" t="s">
        <v>263</v>
      </c>
      <c r="CO3280" s="5" t="s">
        <v>264</v>
      </c>
      <c r="CP3280" s="5" t="s">
        <v>240</v>
      </c>
      <c r="CQ3280" s="5">
        <v>0</v>
      </c>
      <c r="CR3280" s="5" t="s">
        <v>735</v>
      </c>
      <c r="CS3280" s="5" t="s">
        <v>307</v>
      </c>
      <c r="CT3280" s="5" t="s">
        <v>307</v>
      </c>
      <c r="CU3280" s="5" t="s">
        <v>260</v>
      </c>
      <c r="CV3280" s="5" t="s">
        <v>612</v>
      </c>
      <c r="CW3280" s="8">
        <f>1</f>
        <v>1</v>
      </c>
      <c r="CX3280" s="7">
        <f>1</f>
        <v>1</v>
      </c>
      <c r="CY3280" s="7">
        <f>0</f>
        <v>0</v>
      </c>
      <c r="DA3280" s="7">
        <f>1</f>
        <v>1</v>
      </c>
      <c r="DB3280" s="7" t="s">
        <v>240</v>
      </c>
      <c r="DC3280" s="5" t="s">
        <v>240</v>
      </c>
      <c r="DD3280" s="5" t="s">
        <v>240</v>
      </c>
      <c r="DE3280" s="5" t="s">
        <v>240</v>
      </c>
      <c r="DF3280" s="5" t="s">
        <v>240</v>
      </c>
      <c r="DG3280" s="7">
        <f>0</f>
        <v>0</v>
      </c>
      <c r="DI3280" s="5" t="s">
        <v>240</v>
      </c>
      <c r="DJ3280" s="5" t="s">
        <v>240</v>
      </c>
      <c r="DK3280" s="5" t="s">
        <v>240</v>
      </c>
      <c r="DL3280" s="5" t="s">
        <v>240</v>
      </c>
      <c r="DM3280" s="5" t="s">
        <v>240</v>
      </c>
      <c r="DN3280" s="5" t="s">
        <v>240</v>
      </c>
      <c r="DO3280" s="7" t="s">
        <v>240</v>
      </c>
      <c r="DP3280" s="5" t="s">
        <v>240</v>
      </c>
      <c r="DQ3280" s="5" t="s">
        <v>240</v>
      </c>
      <c r="DR3280" s="5" t="s">
        <v>731</v>
      </c>
      <c r="DS3280" s="5" t="s">
        <v>731</v>
      </c>
      <c r="DT3280" s="5" t="s">
        <v>240</v>
      </c>
      <c r="DU3280" s="5" t="s">
        <v>240</v>
      </c>
      <c r="DV3280" s="5" t="s">
        <v>3683</v>
      </c>
      <c r="DW3280" s="5" t="s">
        <v>471</v>
      </c>
      <c r="DX3280" s="5" t="s">
        <v>240</v>
      </c>
      <c r="DY3280" s="5" t="s">
        <v>240</v>
      </c>
      <c r="DZ3280" s="5" t="s">
        <v>240</v>
      </c>
      <c r="EA3280" s="5" t="s">
        <v>240</v>
      </c>
      <c r="EB3280" s="5" t="s">
        <v>240</v>
      </c>
      <c r="EC3280" s="5" t="s">
        <v>240</v>
      </c>
      <c r="ED3280" s="5" t="s">
        <v>240</v>
      </c>
      <c r="EE3280" s="5" t="s">
        <v>240</v>
      </c>
      <c r="EF3280" s="5" t="s">
        <v>240</v>
      </c>
      <c r="EG3280" s="5" t="s">
        <v>240</v>
      </c>
      <c r="EH3280" s="5" t="s">
        <v>240</v>
      </c>
      <c r="EI3280" s="5" t="s">
        <v>240</v>
      </c>
      <c r="EJ3280" s="5" t="s">
        <v>240</v>
      </c>
      <c r="EK3280" s="5" t="s">
        <v>240</v>
      </c>
      <c r="EL3280" s="5" t="s">
        <v>240</v>
      </c>
      <c r="EM3280" s="5" t="s">
        <v>240</v>
      </c>
      <c r="EN3280" s="5" t="s">
        <v>240</v>
      </c>
      <c r="EO3280" s="5" t="s">
        <v>240</v>
      </c>
      <c r="EP3280" s="5" t="s">
        <v>240</v>
      </c>
      <c r="EQ3280" s="5" t="s">
        <v>240</v>
      </c>
      <c r="ER3280" s="5" t="s">
        <v>240</v>
      </c>
      <c r="ES3280" s="5" t="s">
        <v>240</v>
      </c>
      <c r="ET3280" s="5" t="s">
        <v>240</v>
      </c>
      <c r="EU3280" s="5" t="s">
        <v>240</v>
      </c>
      <c r="EV3280" s="5" t="s">
        <v>240</v>
      </c>
      <c r="EW3280" s="5" t="s">
        <v>240</v>
      </c>
      <c r="EX3280" s="5" t="s">
        <v>240</v>
      </c>
      <c r="EY3280" s="5" t="s">
        <v>240</v>
      </c>
      <c r="EZ3280" s="5" t="s">
        <v>240</v>
      </c>
      <c r="FA3280" s="5" t="s">
        <v>240</v>
      </c>
      <c r="FB3280" s="5" t="s">
        <v>240</v>
      </c>
      <c r="FC3280" s="5" t="s">
        <v>240</v>
      </c>
      <c r="FD3280" s="5" t="s">
        <v>240</v>
      </c>
      <c r="FE3280" s="5" t="s">
        <v>240</v>
      </c>
      <c r="FF3280" s="5" t="s">
        <v>240</v>
      </c>
      <c r="FG3280" s="5" t="s">
        <v>240</v>
      </c>
      <c r="FH3280" s="5" t="s">
        <v>240</v>
      </c>
      <c r="FI3280" s="5" t="s">
        <v>240</v>
      </c>
      <c r="FJ3280" s="5" t="s">
        <v>240</v>
      </c>
      <c r="FK3280" s="5" t="s">
        <v>240</v>
      </c>
      <c r="FL3280" s="5" t="s">
        <v>240</v>
      </c>
      <c r="FM3280" s="5" t="s">
        <v>240</v>
      </c>
      <c r="FN3280" s="5" t="s">
        <v>240</v>
      </c>
      <c r="FO3280" s="5" t="s">
        <v>240</v>
      </c>
      <c r="FP3280" s="5" t="s">
        <v>240</v>
      </c>
      <c r="FQ3280" s="5" t="s">
        <v>240</v>
      </c>
      <c r="FR3280" s="5" t="s">
        <v>240</v>
      </c>
      <c r="FS3280" s="5" t="s">
        <v>240</v>
      </c>
      <c r="FT3280" s="5" t="s">
        <v>240</v>
      </c>
      <c r="FU3280" s="5" t="s">
        <v>240</v>
      </c>
      <c r="FV3280" s="5" t="s">
        <v>240</v>
      </c>
      <c r="FW3280" s="5" t="s">
        <v>240</v>
      </c>
      <c r="FX3280" s="5" t="s">
        <v>240</v>
      </c>
      <c r="FY3280" s="5" t="s">
        <v>240</v>
      </c>
      <c r="FZ3280" s="5" t="s">
        <v>240</v>
      </c>
      <c r="GA3280" s="5" t="s">
        <v>240</v>
      </c>
      <c r="GB3280" s="5" t="s">
        <v>240</v>
      </c>
      <c r="GC3280" s="5" t="s">
        <v>240</v>
      </c>
      <c r="GD3280" s="5" t="s">
        <v>240</v>
      </c>
      <c r="GE3280" s="5" t="s">
        <v>240</v>
      </c>
      <c r="GF3280" s="5" t="s">
        <v>240</v>
      </c>
      <c r="GG3280" s="5" t="s">
        <v>240</v>
      </c>
      <c r="GH3280" s="5" t="s">
        <v>240</v>
      </c>
      <c r="GI3280" s="5" t="s">
        <v>240</v>
      </c>
      <c r="GJ3280" s="5" t="s">
        <v>240</v>
      </c>
      <c r="GK3280" s="5" t="s">
        <v>240</v>
      </c>
      <c r="GL3280" s="5" t="s">
        <v>240</v>
      </c>
      <c r="GM3280" s="5" t="s">
        <v>240</v>
      </c>
      <c r="GN3280" s="5" t="s">
        <v>240</v>
      </c>
      <c r="GO3280" s="5" t="s">
        <v>240</v>
      </c>
      <c r="GP3280" s="5" t="s">
        <v>240</v>
      </c>
      <c r="GQ3280" s="5" t="s">
        <v>240</v>
      </c>
      <c r="GR3280" s="5" t="s">
        <v>240</v>
      </c>
      <c r="GS3280" s="5" t="s">
        <v>240</v>
      </c>
      <c r="GT3280" s="5" t="s">
        <v>240</v>
      </c>
      <c r="GU3280" s="5" t="s">
        <v>240</v>
      </c>
      <c r="GV3280" s="5" t="s">
        <v>240</v>
      </c>
      <c r="GW3280" s="5" t="s">
        <v>240</v>
      </c>
      <c r="GX3280" s="5" t="s">
        <v>240</v>
      </c>
      <c r="GY3280" s="5" t="s">
        <v>240</v>
      </c>
      <c r="GZ3280" s="5" t="s">
        <v>240</v>
      </c>
      <c r="HA3280" s="5" t="s">
        <v>240</v>
      </c>
      <c r="HB3280" s="5" t="s">
        <v>240</v>
      </c>
      <c r="HC3280" s="5" t="s">
        <v>240</v>
      </c>
      <c r="HD3280" s="5" t="s">
        <v>240</v>
      </c>
      <c r="HE3280" s="5" t="s">
        <v>240</v>
      </c>
      <c r="HF3280" s="5" t="s">
        <v>240</v>
      </c>
      <c r="HG3280" s="5" t="s">
        <v>240</v>
      </c>
      <c r="HH3280" s="5" t="s">
        <v>240</v>
      </c>
      <c r="HI3280" s="5" t="s">
        <v>240</v>
      </c>
      <c r="HJ3280" s="5" t="s">
        <v>240</v>
      </c>
      <c r="HK3280" s="5" t="s">
        <v>240</v>
      </c>
      <c r="HL3280" s="5" t="s">
        <v>240</v>
      </c>
      <c r="HM3280" s="5" t="s">
        <v>240</v>
      </c>
      <c r="HN3280" s="5" t="s">
        <v>240</v>
      </c>
      <c r="HO3280" s="5" t="s">
        <v>312</v>
      </c>
      <c r="HP3280" s="5" t="s">
        <v>240</v>
      </c>
      <c r="HQ3280" s="5" t="s">
        <v>240</v>
      </c>
      <c r="HR3280" s="5" t="s">
        <v>240</v>
      </c>
      <c r="HS3280" s="5" t="s">
        <v>240</v>
      </c>
      <c r="HT3280" s="5" t="s">
        <v>240</v>
      </c>
      <c r="HU3280" s="5" t="s">
        <v>240</v>
      </c>
      <c r="HV3280" s="5" t="s">
        <v>240</v>
      </c>
      <c r="HW3280" s="5" t="s">
        <v>240</v>
      </c>
      <c r="HX3280" s="5" t="s">
        <v>240</v>
      </c>
      <c r="HY3280" s="5" t="s">
        <v>240</v>
      </c>
      <c r="HZ3280" s="5" t="s">
        <v>240</v>
      </c>
      <c r="IA3280" s="5" t="s">
        <v>240</v>
      </c>
      <c r="IB3280" s="5" t="s">
        <v>240</v>
      </c>
      <c r="IC3280" s="5" t="s">
        <v>240</v>
      </c>
      <c r="ID3280" s="5" t="s">
        <v>240</v>
      </c>
      <c r="IE3280" s="5" t="s">
        <v>240</v>
      </c>
      <c r="IF3280" s="5" t="s">
        <v>240</v>
      </c>
    </row>
    <row r="3281" spans="1:240" x14ac:dyDescent="0.4">
      <c r="A3281" s="5">
        <v>8823</v>
      </c>
      <c r="B3281" s="5">
        <v>1</v>
      </c>
      <c r="C3281" s="5">
        <v>1</v>
      </c>
      <c r="D3281" s="5" t="s">
        <v>723</v>
      </c>
      <c r="E3281" s="5" t="s">
        <v>725</v>
      </c>
      <c r="F3281" s="5" t="s">
        <v>730</v>
      </c>
      <c r="G3281" s="5" t="s">
        <v>726</v>
      </c>
      <c r="H3281" s="6" t="s">
        <v>6558</v>
      </c>
      <c r="I3281" s="5" t="s">
        <v>990</v>
      </c>
      <c r="J3281" s="8">
        <f>292</f>
        <v>292</v>
      </c>
      <c r="K3281" s="5" t="s">
        <v>308</v>
      </c>
      <c r="L3281" s="7">
        <f>0</f>
        <v>0</v>
      </c>
      <c r="M3281" s="7">
        <f>0</f>
        <v>0</v>
      </c>
      <c r="N3281" s="5" t="s">
        <v>242</v>
      </c>
      <c r="O3281" s="5">
        <v>1</v>
      </c>
      <c r="P3281" s="5" t="s">
        <v>294</v>
      </c>
      <c r="Q3281" s="5" t="s">
        <v>3678</v>
      </c>
      <c r="R3281" s="5" t="s">
        <v>240</v>
      </c>
      <c r="S3281" s="5" t="s">
        <v>240</v>
      </c>
      <c r="T3281" s="5" t="s">
        <v>243</v>
      </c>
      <c r="U3281" s="5" t="s">
        <v>244</v>
      </c>
      <c r="V3281" s="5" t="s">
        <v>240</v>
      </c>
      <c r="W3281" s="5" t="s">
        <v>240</v>
      </c>
      <c r="X3281" s="5" t="s">
        <v>240</v>
      </c>
      <c r="Y3281" s="5" t="s">
        <v>240</v>
      </c>
      <c r="Z3281" s="6" t="s">
        <v>298</v>
      </c>
      <c r="AA3281" s="6" t="s">
        <v>240</v>
      </c>
      <c r="AB3281" s="6" t="s">
        <v>240</v>
      </c>
      <c r="AC3281" s="5" t="s">
        <v>240</v>
      </c>
      <c r="AD3281" s="6" t="s">
        <v>240</v>
      </c>
      <c r="AE3281" s="6" t="s">
        <v>299</v>
      </c>
      <c r="AF3281" s="5" t="s">
        <v>248</v>
      </c>
      <c r="AG3281" s="5" t="s">
        <v>249</v>
      </c>
      <c r="AH3281" s="5" t="s">
        <v>240</v>
      </c>
      <c r="AI3281" s="5" t="s">
        <v>240</v>
      </c>
      <c r="AJ3281" s="5" t="s">
        <v>240</v>
      </c>
      <c r="AK3281" s="5" t="s">
        <v>240</v>
      </c>
      <c r="AL3281" s="5" t="s">
        <v>240</v>
      </c>
      <c r="AM3281" s="5" t="s">
        <v>240</v>
      </c>
      <c r="AN3281" s="5" t="s">
        <v>240</v>
      </c>
      <c r="AO3281" s="5" t="s">
        <v>240</v>
      </c>
      <c r="AP3281" s="6" t="s">
        <v>240</v>
      </c>
      <c r="AQ3281" s="6" t="s">
        <v>240</v>
      </c>
      <c r="AR3281" s="6" t="s">
        <v>240</v>
      </c>
      <c r="AS3281" s="6" t="s">
        <v>240</v>
      </c>
      <c r="AT3281" s="5" t="s">
        <v>240</v>
      </c>
      <c r="AU3281" s="5" t="s">
        <v>729</v>
      </c>
      <c r="AV3281" s="5" t="s">
        <v>729</v>
      </c>
      <c r="AW3281" s="5" t="s">
        <v>251</v>
      </c>
      <c r="AX3281" s="5" t="s">
        <v>252</v>
      </c>
      <c r="AY3281" s="5" t="s">
        <v>253</v>
      </c>
      <c r="AZ3281" s="5" t="s">
        <v>240</v>
      </c>
      <c r="BA3281" s="5" t="s">
        <v>255</v>
      </c>
      <c r="BB3281" s="5" t="s">
        <v>731</v>
      </c>
      <c r="BD3281" s="5" t="s">
        <v>240</v>
      </c>
      <c r="BF3281" s="5" t="s">
        <v>732</v>
      </c>
      <c r="BG3281" s="6" t="s">
        <v>733</v>
      </c>
      <c r="BH3281" s="5" t="s">
        <v>734</v>
      </c>
      <c r="BI3281" s="5" t="s">
        <v>734</v>
      </c>
      <c r="BJ3281" s="5" t="s">
        <v>240</v>
      </c>
      <c r="BK3281" s="7">
        <f>1</f>
        <v>1</v>
      </c>
      <c r="BL3281" s="7">
        <f>1</f>
        <v>1</v>
      </c>
      <c r="BM3281" s="5" t="s">
        <v>258</v>
      </c>
      <c r="BN3281" s="5" t="s">
        <v>259</v>
      </c>
      <c r="BO3281" s="5" t="s">
        <v>240</v>
      </c>
      <c r="BP3281" s="5" t="s">
        <v>240</v>
      </c>
      <c r="BQ3281" s="5" t="s">
        <v>240</v>
      </c>
      <c r="BR3281" s="5" t="s">
        <v>240</v>
      </c>
      <c r="BS3281" s="5" t="s">
        <v>240</v>
      </c>
      <c r="BT3281" s="5" t="s">
        <v>240</v>
      </c>
      <c r="BU3281" s="5" t="s">
        <v>240</v>
      </c>
      <c r="BV3281" s="5" t="s">
        <v>240</v>
      </c>
      <c r="BW3281" s="6" t="s">
        <v>240</v>
      </c>
      <c r="BX3281" s="5" t="s">
        <v>240</v>
      </c>
      <c r="BY3281" s="5" t="s">
        <v>240</v>
      </c>
      <c r="BZ3281" s="5" t="s">
        <v>240</v>
      </c>
      <c r="CA3281" s="5" t="s">
        <v>259</v>
      </c>
      <c r="CB3281" s="5" t="s">
        <v>240</v>
      </c>
      <c r="CC3281" s="5" t="s">
        <v>240</v>
      </c>
      <c r="CD3281" s="5" t="s">
        <v>240</v>
      </c>
      <c r="CE3281" s="5" t="s">
        <v>240</v>
      </c>
      <c r="CF3281" s="5" t="s">
        <v>240</v>
      </c>
      <c r="CG3281" s="5" t="s">
        <v>304</v>
      </c>
      <c r="CH3281" s="5" t="s">
        <v>305</v>
      </c>
      <c r="CI3281" s="5" t="s">
        <v>240</v>
      </c>
      <c r="CK3281" s="5" t="s">
        <v>3681</v>
      </c>
      <c r="CL3281" s="6" t="s">
        <v>261</v>
      </c>
      <c r="CM3281" s="5" t="s">
        <v>262</v>
      </c>
      <c r="CN3281" s="5" t="s">
        <v>263</v>
      </c>
      <c r="CO3281" s="5" t="s">
        <v>264</v>
      </c>
      <c r="CP3281" s="5" t="s">
        <v>240</v>
      </c>
      <c r="CQ3281" s="5">
        <v>0</v>
      </c>
      <c r="CR3281" s="5" t="s">
        <v>735</v>
      </c>
      <c r="CS3281" s="5" t="s">
        <v>307</v>
      </c>
      <c r="CT3281" s="5" t="s">
        <v>307</v>
      </c>
      <c r="CU3281" s="5" t="s">
        <v>260</v>
      </c>
      <c r="CV3281" s="5" t="s">
        <v>612</v>
      </c>
      <c r="CW3281" s="8">
        <f>1</f>
        <v>1</v>
      </c>
      <c r="CX3281" s="7">
        <f>1</f>
        <v>1</v>
      </c>
      <c r="CY3281" s="7">
        <f>0</f>
        <v>0</v>
      </c>
      <c r="DA3281" s="7">
        <f>1</f>
        <v>1</v>
      </c>
      <c r="DB3281" s="7" t="s">
        <v>240</v>
      </c>
      <c r="DC3281" s="5" t="s">
        <v>240</v>
      </c>
      <c r="DD3281" s="5" t="s">
        <v>240</v>
      </c>
      <c r="DE3281" s="5" t="s">
        <v>240</v>
      </c>
      <c r="DF3281" s="5" t="s">
        <v>240</v>
      </c>
      <c r="DG3281" s="7">
        <f>0</f>
        <v>0</v>
      </c>
      <c r="DI3281" s="5" t="s">
        <v>240</v>
      </c>
      <c r="DJ3281" s="5" t="s">
        <v>240</v>
      </c>
      <c r="DK3281" s="5" t="s">
        <v>240</v>
      </c>
      <c r="DL3281" s="5" t="s">
        <v>240</v>
      </c>
      <c r="DM3281" s="5" t="s">
        <v>240</v>
      </c>
      <c r="DN3281" s="5" t="s">
        <v>240</v>
      </c>
      <c r="DO3281" s="7" t="s">
        <v>240</v>
      </c>
      <c r="DP3281" s="5" t="s">
        <v>240</v>
      </c>
      <c r="DQ3281" s="5" t="s">
        <v>240</v>
      </c>
      <c r="DR3281" s="5" t="s">
        <v>731</v>
      </c>
      <c r="DS3281" s="5" t="s">
        <v>731</v>
      </c>
      <c r="DT3281" s="5" t="s">
        <v>240</v>
      </c>
      <c r="DU3281" s="5" t="s">
        <v>240</v>
      </c>
      <c r="DV3281" s="5" t="s">
        <v>3683</v>
      </c>
      <c r="DW3281" s="5" t="s">
        <v>479</v>
      </c>
      <c r="DX3281" s="5" t="s">
        <v>240</v>
      </c>
      <c r="DY3281" s="5" t="s">
        <v>240</v>
      </c>
      <c r="DZ3281" s="5" t="s">
        <v>240</v>
      </c>
      <c r="EA3281" s="5" t="s">
        <v>240</v>
      </c>
      <c r="EB3281" s="5" t="s">
        <v>240</v>
      </c>
      <c r="EC3281" s="5" t="s">
        <v>240</v>
      </c>
      <c r="ED3281" s="5" t="s">
        <v>240</v>
      </c>
      <c r="EE3281" s="5" t="s">
        <v>240</v>
      </c>
      <c r="EF3281" s="5" t="s">
        <v>240</v>
      </c>
      <c r="EG3281" s="5" t="s">
        <v>240</v>
      </c>
      <c r="EH3281" s="5" t="s">
        <v>240</v>
      </c>
      <c r="EI3281" s="5" t="s">
        <v>240</v>
      </c>
      <c r="EJ3281" s="5" t="s">
        <v>240</v>
      </c>
      <c r="EK3281" s="5" t="s">
        <v>240</v>
      </c>
      <c r="EL3281" s="5" t="s">
        <v>240</v>
      </c>
      <c r="EM3281" s="5" t="s">
        <v>240</v>
      </c>
      <c r="EN3281" s="5" t="s">
        <v>240</v>
      </c>
      <c r="EO3281" s="5" t="s">
        <v>240</v>
      </c>
      <c r="EP3281" s="5" t="s">
        <v>240</v>
      </c>
      <c r="EQ3281" s="5" t="s">
        <v>240</v>
      </c>
      <c r="ER3281" s="5" t="s">
        <v>240</v>
      </c>
      <c r="ES3281" s="5" t="s">
        <v>240</v>
      </c>
      <c r="ET3281" s="5" t="s">
        <v>240</v>
      </c>
      <c r="EU3281" s="5" t="s">
        <v>240</v>
      </c>
      <c r="EV3281" s="5" t="s">
        <v>240</v>
      </c>
      <c r="EW3281" s="5" t="s">
        <v>240</v>
      </c>
      <c r="EX3281" s="5" t="s">
        <v>240</v>
      </c>
      <c r="EY3281" s="5" t="s">
        <v>240</v>
      </c>
      <c r="EZ3281" s="5" t="s">
        <v>240</v>
      </c>
      <c r="FA3281" s="5" t="s">
        <v>240</v>
      </c>
      <c r="FB3281" s="5" t="s">
        <v>240</v>
      </c>
      <c r="FC3281" s="5" t="s">
        <v>240</v>
      </c>
      <c r="FD3281" s="5" t="s">
        <v>240</v>
      </c>
      <c r="FE3281" s="5" t="s">
        <v>240</v>
      </c>
      <c r="FF3281" s="5" t="s">
        <v>240</v>
      </c>
      <c r="FG3281" s="5" t="s">
        <v>240</v>
      </c>
      <c r="FH3281" s="5" t="s">
        <v>240</v>
      </c>
      <c r="FI3281" s="5" t="s">
        <v>240</v>
      </c>
      <c r="FJ3281" s="5" t="s">
        <v>240</v>
      </c>
      <c r="FK3281" s="5" t="s">
        <v>240</v>
      </c>
      <c r="FL3281" s="5" t="s">
        <v>240</v>
      </c>
      <c r="FM3281" s="5" t="s">
        <v>240</v>
      </c>
      <c r="FN3281" s="5" t="s">
        <v>240</v>
      </c>
      <c r="FO3281" s="5" t="s">
        <v>240</v>
      </c>
      <c r="FP3281" s="5" t="s">
        <v>240</v>
      </c>
      <c r="FQ3281" s="5" t="s">
        <v>240</v>
      </c>
      <c r="FR3281" s="5" t="s">
        <v>240</v>
      </c>
      <c r="FS3281" s="5" t="s">
        <v>240</v>
      </c>
      <c r="FT3281" s="5" t="s">
        <v>240</v>
      </c>
      <c r="FU3281" s="5" t="s">
        <v>240</v>
      </c>
      <c r="FV3281" s="5" t="s">
        <v>240</v>
      </c>
      <c r="FW3281" s="5" t="s">
        <v>240</v>
      </c>
      <c r="FX3281" s="5" t="s">
        <v>240</v>
      </c>
      <c r="FY3281" s="5" t="s">
        <v>240</v>
      </c>
      <c r="FZ3281" s="5" t="s">
        <v>240</v>
      </c>
      <c r="GA3281" s="5" t="s">
        <v>240</v>
      </c>
      <c r="GB3281" s="5" t="s">
        <v>240</v>
      </c>
      <c r="GC3281" s="5" t="s">
        <v>240</v>
      </c>
      <c r="GD3281" s="5" t="s">
        <v>240</v>
      </c>
      <c r="GE3281" s="5" t="s">
        <v>240</v>
      </c>
      <c r="GF3281" s="5" t="s">
        <v>240</v>
      </c>
      <c r="GG3281" s="5" t="s">
        <v>240</v>
      </c>
      <c r="GH3281" s="5" t="s">
        <v>240</v>
      </c>
      <c r="GI3281" s="5" t="s">
        <v>240</v>
      </c>
      <c r="GJ3281" s="5" t="s">
        <v>240</v>
      </c>
      <c r="GK3281" s="5" t="s">
        <v>240</v>
      </c>
      <c r="GL3281" s="5" t="s">
        <v>240</v>
      </c>
      <c r="GM3281" s="5" t="s">
        <v>240</v>
      </c>
      <c r="GN3281" s="5" t="s">
        <v>240</v>
      </c>
      <c r="GO3281" s="5" t="s">
        <v>240</v>
      </c>
      <c r="GP3281" s="5" t="s">
        <v>240</v>
      </c>
      <c r="GQ3281" s="5" t="s">
        <v>240</v>
      </c>
      <c r="GR3281" s="5" t="s">
        <v>240</v>
      </c>
      <c r="GS3281" s="5" t="s">
        <v>240</v>
      </c>
      <c r="GT3281" s="5" t="s">
        <v>240</v>
      </c>
      <c r="GU3281" s="5" t="s">
        <v>240</v>
      </c>
      <c r="GV3281" s="5" t="s">
        <v>240</v>
      </c>
      <c r="GW3281" s="5" t="s">
        <v>240</v>
      </c>
      <c r="GX3281" s="5" t="s">
        <v>240</v>
      </c>
      <c r="GY3281" s="5" t="s">
        <v>240</v>
      </c>
      <c r="GZ3281" s="5" t="s">
        <v>240</v>
      </c>
      <c r="HA3281" s="5" t="s">
        <v>240</v>
      </c>
      <c r="HB3281" s="5" t="s">
        <v>240</v>
      </c>
      <c r="HC3281" s="5" t="s">
        <v>240</v>
      </c>
      <c r="HD3281" s="5" t="s">
        <v>240</v>
      </c>
      <c r="HE3281" s="5" t="s">
        <v>240</v>
      </c>
      <c r="HF3281" s="5" t="s">
        <v>240</v>
      </c>
      <c r="HG3281" s="5" t="s">
        <v>240</v>
      </c>
      <c r="HH3281" s="5" t="s">
        <v>240</v>
      </c>
      <c r="HI3281" s="5" t="s">
        <v>240</v>
      </c>
      <c r="HJ3281" s="5" t="s">
        <v>240</v>
      </c>
      <c r="HK3281" s="5" t="s">
        <v>240</v>
      </c>
      <c r="HL3281" s="5" t="s">
        <v>240</v>
      </c>
      <c r="HM3281" s="5" t="s">
        <v>240</v>
      </c>
      <c r="HN3281" s="5" t="s">
        <v>240</v>
      </c>
      <c r="HO3281" s="5" t="s">
        <v>312</v>
      </c>
      <c r="HP3281" s="5" t="s">
        <v>240</v>
      </c>
      <c r="HQ3281" s="5" t="s">
        <v>240</v>
      </c>
      <c r="HR3281" s="5" t="s">
        <v>240</v>
      </c>
      <c r="HS3281" s="5" t="s">
        <v>240</v>
      </c>
      <c r="HT3281" s="5" t="s">
        <v>240</v>
      </c>
      <c r="HU3281" s="5" t="s">
        <v>240</v>
      </c>
      <c r="HV3281" s="5" t="s">
        <v>240</v>
      </c>
      <c r="HW3281" s="5" t="s">
        <v>240</v>
      </c>
      <c r="HX3281" s="5" t="s">
        <v>240</v>
      </c>
      <c r="HY3281" s="5" t="s">
        <v>240</v>
      </c>
      <c r="HZ3281" s="5" t="s">
        <v>240</v>
      </c>
      <c r="IA3281" s="5" t="s">
        <v>240</v>
      </c>
      <c r="IB3281" s="5" t="s">
        <v>240</v>
      </c>
      <c r="IC3281" s="5" t="s">
        <v>240</v>
      </c>
      <c r="ID3281" s="5" t="s">
        <v>240</v>
      </c>
      <c r="IE3281" s="5" t="s">
        <v>240</v>
      </c>
      <c r="IF3281" s="5" t="s">
        <v>240</v>
      </c>
    </row>
    <row r="3282" spans="1:240" x14ac:dyDescent="0.4">
      <c r="A3282" s="5">
        <v>8824</v>
      </c>
      <c r="B3282" s="5">
        <v>1</v>
      </c>
      <c r="C3282" s="5">
        <v>1</v>
      </c>
      <c r="D3282" s="5" t="s">
        <v>723</v>
      </c>
      <c r="E3282" s="5" t="s">
        <v>725</v>
      </c>
      <c r="F3282" s="5" t="s">
        <v>730</v>
      </c>
      <c r="G3282" s="5" t="s">
        <v>726</v>
      </c>
      <c r="H3282" s="6" t="s">
        <v>6559</v>
      </c>
      <c r="I3282" s="5" t="s">
        <v>722</v>
      </c>
      <c r="J3282" s="8">
        <f>461</f>
        <v>461</v>
      </c>
      <c r="K3282" s="5" t="s">
        <v>308</v>
      </c>
      <c r="L3282" s="7">
        <f>0</f>
        <v>0</v>
      </c>
      <c r="M3282" s="7">
        <f>0</f>
        <v>0</v>
      </c>
      <c r="N3282" s="5" t="s">
        <v>242</v>
      </c>
      <c r="O3282" s="5">
        <v>1</v>
      </c>
      <c r="P3282" s="5" t="s">
        <v>294</v>
      </c>
      <c r="Q3282" s="5" t="s">
        <v>3678</v>
      </c>
      <c r="R3282" s="5" t="s">
        <v>240</v>
      </c>
      <c r="S3282" s="5" t="s">
        <v>240</v>
      </c>
      <c r="T3282" s="5" t="s">
        <v>243</v>
      </c>
      <c r="U3282" s="5" t="s">
        <v>244</v>
      </c>
      <c r="V3282" s="5" t="s">
        <v>240</v>
      </c>
      <c r="W3282" s="5" t="s">
        <v>240</v>
      </c>
      <c r="X3282" s="5" t="s">
        <v>240</v>
      </c>
      <c r="Y3282" s="5" t="s">
        <v>240</v>
      </c>
      <c r="Z3282" s="6" t="s">
        <v>298</v>
      </c>
      <c r="AA3282" s="6" t="s">
        <v>240</v>
      </c>
      <c r="AB3282" s="6" t="s">
        <v>240</v>
      </c>
      <c r="AC3282" s="5" t="s">
        <v>240</v>
      </c>
      <c r="AD3282" s="6" t="s">
        <v>240</v>
      </c>
      <c r="AE3282" s="6" t="s">
        <v>299</v>
      </c>
      <c r="AF3282" s="5" t="s">
        <v>248</v>
      </c>
      <c r="AG3282" s="5" t="s">
        <v>249</v>
      </c>
      <c r="AH3282" s="5" t="s">
        <v>240</v>
      </c>
      <c r="AI3282" s="5" t="s">
        <v>240</v>
      </c>
      <c r="AJ3282" s="5" t="s">
        <v>240</v>
      </c>
      <c r="AK3282" s="5" t="s">
        <v>240</v>
      </c>
      <c r="AL3282" s="5" t="s">
        <v>240</v>
      </c>
      <c r="AM3282" s="5" t="s">
        <v>240</v>
      </c>
      <c r="AN3282" s="5" t="s">
        <v>240</v>
      </c>
      <c r="AO3282" s="5" t="s">
        <v>240</v>
      </c>
      <c r="AP3282" s="6" t="s">
        <v>240</v>
      </c>
      <c r="AQ3282" s="6" t="s">
        <v>240</v>
      </c>
      <c r="AR3282" s="6" t="s">
        <v>240</v>
      </c>
      <c r="AS3282" s="6" t="s">
        <v>240</v>
      </c>
      <c r="AT3282" s="5" t="s">
        <v>240</v>
      </c>
      <c r="AU3282" s="5" t="s">
        <v>729</v>
      </c>
      <c r="AV3282" s="5" t="s">
        <v>729</v>
      </c>
      <c r="AW3282" s="5" t="s">
        <v>251</v>
      </c>
      <c r="AX3282" s="5" t="s">
        <v>252</v>
      </c>
      <c r="AY3282" s="5" t="s">
        <v>253</v>
      </c>
      <c r="AZ3282" s="5" t="s">
        <v>240</v>
      </c>
      <c r="BA3282" s="5" t="s">
        <v>255</v>
      </c>
      <c r="BB3282" s="5" t="s">
        <v>731</v>
      </c>
      <c r="BD3282" s="5" t="s">
        <v>240</v>
      </c>
      <c r="BF3282" s="5" t="s">
        <v>732</v>
      </c>
      <c r="BG3282" s="6" t="s">
        <v>733</v>
      </c>
      <c r="BH3282" s="5" t="s">
        <v>734</v>
      </c>
      <c r="BI3282" s="5" t="s">
        <v>734</v>
      </c>
      <c r="BJ3282" s="5" t="s">
        <v>240</v>
      </c>
      <c r="BK3282" s="7">
        <f>1</f>
        <v>1</v>
      </c>
      <c r="BL3282" s="7">
        <f>1</f>
        <v>1</v>
      </c>
      <c r="BM3282" s="5" t="s">
        <v>258</v>
      </c>
      <c r="BN3282" s="5" t="s">
        <v>259</v>
      </c>
      <c r="BO3282" s="5" t="s">
        <v>240</v>
      </c>
      <c r="BP3282" s="5" t="s">
        <v>240</v>
      </c>
      <c r="BQ3282" s="5" t="s">
        <v>240</v>
      </c>
      <c r="BR3282" s="5" t="s">
        <v>240</v>
      </c>
      <c r="BS3282" s="5" t="s">
        <v>240</v>
      </c>
      <c r="BT3282" s="5" t="s">
        <v>240</v>
      </c>
      <c r="BU3282" s="5" t="s">
        <v>240</v>
      </c>
      <c r="BV3282" s="5" t="s">
        <v>240</v>
      </c>
      <c r="BW3282" s="6" t="s">
        <v>240</v>
      </c>
      <c r="BX3282" s="5" t="s">
        <v>240</v>
      </c>
      <c r="BY3282" s="5" t="s">
        <v>240</v>
      </c>
      <c r="BZ3282" s="5" t="s">
        <v>240</v>
      </c>
      <c r="CA3282" s="5" t="s">
        <v>259</v>
      </c>
      <c r="CB3282" s="5" t="s">
        <v>240</v>
      </c>
      <c r="CC3282" s="5" t="s">
        <v>240</v>
      </c>
      <c r="CD3282" s="5" t="s">
        <v>240</v>
      </c>
      <c r="CE3282" s="5" t="s">
        <v>240</v>
      </c>
      <c r="CF3282" s="5" t="s">
        <v>240</v>
      </c>
      <c r="CG3282" s="5" t="s">
        <v>304</v>
      </c>
      <c r="CH3282" s="5" t="s">
        <v>305</v>
      </c>
      <c r="CI3282" s="5" t="s">
        <v>240</v>
      </c>
      <c r="CK3282" s="5" t="s">
        <v>3681</v>
      </c>
      <c r="CL3282" s="6" t="s">
        <v>261</v>
      </c>
      <c r="CM3282" s="5" t="s">
        <v>262</v>
      </c>
      <c r="CN3282" s="5" t="s">
        <v>263</v>
      </c>
      <c r="CO3282" s="5" t="s">
        <v>264</v>
      </c>
      <c r="CP3282" s="5" t="s">
        <v>240</v>
      </c>
      <c r="CQ3282" s="5">
        <v>0</v>
      </c>
      <c r="CR3282" s="5" t="s">
        <v>735</v>
      </c>
      <c r="CS3282" s="5" t="s">
        <v>307</v>
      </c>
      <c r="CT3282" s="5" t="s">
        <v>307</v>
      </c>
      <c r="CU3282" s="5" t="s">
        <v>260</v>
      </c>
      <c r="CV3282" s="5" t="s">
        <v>612</v>
      </c>
      <c r="CW3282" s="8">
        <f>1</f>
        <v>1</v>
      </c>
      <c r="CX3282" s="7">
        <f>1</f>
        <v>1</v>
      </c>
      <c r="CY3282" s="7">
        <f>0</f>
        <v>0</v>
      </c>
      <c r="DA3282" s="7">
        <f>1</f>
        <v>1</v>
      </c>
      <c r="DB3282" s="7" t="s">
        <v>240</v>
      </c>
      <c r="DC3282" s="5" t="s">
        <v>240</v>
      </c>
      <c r="DD3282" s="5" t="s">
        <v>240</v>
      </c>
      <c r="DE3282" s="5" t="s">
        <v>240</v>
      </c>
      <c r="DF3282" s="5" t="s">
        <v>240</v>
      </c>
      <c r="DG3282" s="7">
        <f>0</f>
        <v>0</v>
      </c>
      <c r="DI3282" s="5" t="s">
        <v>240</v>
      </c>
      <c r="DJ3282" s="5" t="s">
        <v>240</v>
      </c>
      <c r="DK3282" s="5" t="s">
        <v>240</v>
      </c>
      <c r="DL3282" s="5" t="s">
        <v>240</v>
      </c>
      <c r="DM3282" s="5" t="s">
        <v>240</v>
      </c>
      <c r="DN3282" s="5" t="s">
        <v>240</v>
      </c>
      <c r="DO3282" s="7" t="s">
        <v>240</v>
      </c>
      <c r="DP3282" s="5" t="s">
        <v>240</v>
      </c>
      <c r="DQ3282" s="5" t="s">
        <v>240</v>
      </c>
      <c r="DR3282" s="5" t="s">
        <v>731</v>
      </c>
      <c r="DS3282" s="5" t="s">
        <v>731</v>
      </c>
      <c r="DT3282" s="5" t="s">
        <v>240</v>
      </c>
      <c r="DU3282" s="5" t="s">
        <v>240</v>
      </c>
      <c r="DV3282" s="5" t="s">
        <v>3683</v>
      </c>
      <c r="DW3282" s="5" t="s">
        <v>1122</v>
      </c>
      <c r="DX3282" s="5" t="s">
        <v>240</v>
      </c>
      <c r="DY3282" s="5" t="s">
        <v>240</v>
      </c>
      <c r="DZ3282" s="5" t="s">
        <v>240</v>
      </c>
      <c r="EA3282" s="5" t="s">
        <v>240</v>
      </c>
      <c r="EB3282" s="5" t="s">
        <v>240</v>
      </c>
      <c r="EC3282" s="5" t="s">
        <v>240</v>
      </c>
      <c r="ED3282" s="5" t="s">
        <v>240</v>
      </c>
      <c r="EE3282" s="5" t="s">
        <v>240</v>
      </c>
      <c r="EF3282" s="5" t="s">
        <v>240</v>
      </c>
      <c r="EG3282" s="5" t="s">
        <v>240</v>
      </c>
      <c r="EH3282" s="5" t="s">
        <v>240</v>
      </c>
      <c r="EI3282" s="5" t="s">
        <v>240</v>
      </c>
      <c r="EJ3282" s="5" t="s">
        <v>240</v>
      </c>
      <c r="EK3282" s="5" t="s">
        <v>240</v>
      </c>
      <c r="EL3282" s="5" t="s">
        <v>240</v>
      </c>
      <c r="EM3282" s="5" t="s">
        <v>240</v>
      </c>
      <c r="EN3282" s="5" t="s">
        <v>240</v>
      </c>
      <c r="EO3282" s="5" t="s">
        <v>240</v>
      </c>
      <c r="EP3282" s="5" t="s">
        <v>240</v>
      </c>
      <c r="EQ3282" s="5" t="s">
        <v>240</v>
      </c>
      <c r="ER3282" s="5" t="s">
        <v>240</v>
      </c>
      <c r="ES3282" s="5" t="s">
        <v>240</v>
      </c>
      <c r="ET3282" s="5" t="s">
        <v>240</v>
      </c>
      <c r="EU3282" s="5" t="s">
        <v>240</v>
      </c>
      <c r="EV3282" s="5" t="s">
        <v>240</v>
      </c>
      <c r="EW3282" s="5" t="s">
        <v>240</v>
      </c>
      <c r="EX3282" s="5" t="s">
        <v>240</v>
      </c>
      <c r="EY3282" s="5" t="s">
        <v>240</v>
      </c>
      <c r="EZ3282" s="5" t="s">
        <v>240</v>
      </c>
      <c r="FA3282" s="5" t="s">
        <v>240</v>
      </c>
      <c r="FB3282" s="5" t="s">
        <v>240</v>
      </c>
      <c r="FC3282" s="5" t="s">
        <v>240</v>
      </c>
      <c r="FD3282" s="5" t="s">
        <v>240</v>
      </c>
      <c r="FE3282" s="5" t="s">
        <v>240</v>
      </c>
      <c r="FF3282" s="5" t="s">
        <v>240</v>
      </c>
      <c r="FG3282" s="5" t="s">
        <v>240</v>
      </c>
      <c r="FH3282" s="5" t="s">
        <v>240</v>
      </c>
      <c r="FI3282" s="5" t="s">
        <v>240</v>
      </c>
      <c r="FJ3282" s="5" t="s">
        <v>240</v>
      </c>
      <c r="FK3282" s="5" t="s">
        <v>240</v>
      </c>
      <c r="FL3282" s="5" t="s">
        <v>240</v>
      </c>
      <c r="FM3282" s="5" t="s">
        <v>240</v>
      </c>
      <c r="FN3282" s="5" t="s">
        <v>240</v>
      </c>
      <c r="FO3282" s="5" t="s">
        <v>240</v>
      </c>
      <c r="FP3282" s="5" t="s">
        <v>240</v>
      </c>
      <c r="FQ3282" s="5" t="s">
        <v>240</v>
      </c>
      <c r="FR3282" s="5" t="s">
        <v>240</v>
      </c>
      <c r="FS3282" s="5" t="s">
        <v>240</v>
      </c>
      <c r="FT3282" s="5" t="s">
        <v>240</v>
      </c>
      <c r="FU3282" s="5" t="s">
        <v>240</v>
      </c>
      <c r="FV3282" s="5" t="s">
        <v>240</v>
      </c>
      <c r="FW3282" s="5" t="s">
        <v>240</v>
      </c>
      <c r="FX3282" s="5" t="s">
        <v>240</v>
      </c>
      <c r="FY3282" s="5" t="s">
        <v>240</v>
      </c>
      <c r="FZ3282" s="5" t="s">
        <v>240</v>
      </c>
      <c r="GA3282" s="5" t="s">
        <v>240</v>
      </c>
      <c r="GB3282" s="5" t="s">
        <v>240</v>
      </c>
      <c r="GC3282" s="5" t="s">
        <v>240</v>
      </c>
      <c r="GD3282" s="5" t="s">
        <v>240</v>
      </c>
      <c r="GE3282" s="5" t="s">
        <v>240</v>
      </c>
      <c r="GF3282" s="5" t="s">
        <v>240</v>
      </c>
      <c r="GG3282" s="5" t="s">
        <v>240</v>
      </c>
      <c r="GH3282" s="5" t="s">
        <v>240</v>
      </c>
      <c r="GI3282" s="5" t="s">
        <v>240</v>
      </c>
      <c r="GJ3282" s="5" t="s">
        <v>240</v>
      </c>
      <c r="GK3282" s="5" t="s">
        <v>240</v>
      </c>
      <c r="GL3282" s="5" t="s">
        <v>240</v>
      </c>
      <c r="GM3282" s="5" t="s">
        <v>240</v>
      </c>
      <c r="GN3282" s="5" t="s">
        <v>240</v>
      </c>
      <c r="GO3282" s="5" t="s">
        <v>240</v>
      </c>
      <c r="GP3282" s="5" t="s">
        <v>240</v>
      </c>
      <c r="GQ3282" s="5" t="s">
        <v>240</v>
      </c>
      <c r="GR3282" s="5" t="s">
        <v>240</v>
      </c>
      <c r="GS3282" s="5" t="s">
        <v>240</v>
      </c>
      <c r="GT3282" s="5" t="s">
        <v>240</v>
      </c>
      <c r="GU3282" s="5" t="s">
        <v>240</v>
      </c>
      <c r="GV3282" s="5" t="s">
        <v>240</v>
      </c>
      <c r="GW3282" s="5" t="s">
        <v>240</v>
      </c>
      <c r="GX3282" s="5" t="s">
        <v>240</v>
      </c>
      <c r="GY3282" s="5" t="s">
        <v>240</v>
      </c>
      <c r="GZ3282" s="5" t="s">
        <v>240</v>
      </c>
      <c r="HA3282" s="5" t="s">
        <v>240</v>
      </c>
      <c r="HB3282" s="5" t="s">
        <v>240</v>
      </c>
      <c r="HC3282" s="5" t="s">
        <v>240</v>
      </c>
      <c r="HD3282" s="5" t="s">
        <v>240</v>
      </c>
      <c r="HE3282" s="5" t="s">
        <v>240</v>
      </c>
      <c r="HF3282" s="5" t="s">
        <v>240</v>
      </c>
      <c r="HG3282" s="5" t="s">
        <v>240</v>
      </c>
      <c r="HH3282" s="5" t="s">
        <v>240</v>
      </c>
      <c r="HI3282" s="5" t="s">
        <v>240</v>
      </c>
      <c r="HJ3282" s="5" t="s">
        <v>240</v>
      </c>
      <c r="HK3282" s="5" t="s">
        <v>240</v>
      </c>
      <c r="HL3282" s="5" t="s">
        <v>240</v>
      </c>
      <c r="HM3282" s="5" t="s">
        <v>240</v>
      </c>
      <c r="HN3282" s="5" t="s">
        <v>240</v>
      </c>
      <c r="HO3282" s="5" t="s">
        <v>312</v>
      </c>
      <c r="HP3282" s="5" t="s">
        <v>240</v>
      </c>
      <c r="HQ3282" s="5" t="s">
        <v>240</v>
      </c>
      <c r="HR3282" s="5" t="s">
        <v>240</v>
      </c>
      <c r="HS3282" s="5" t="s">
        <v>240</v>
      </c>
      <c r="HT3282" s="5" t="s">
        <v>240</v>
      </c>
      <c r="HU3282" s="5" t="s">
        <v>240</v>
      </c>
      <c r="HV3282" s="5" t="s">
        <v>240</v>
      </c>
      <c r="HW3282" s="5" t="s">
        <v>240</v>
      </c>
      <c r="HX3282" s="5" t="s">
        <v>240</v>
      </c>
      <c r="HY3282" s="5" t="s">
        <v>240</v>
      </c>
      <c r="HZ3282" s="5" t="s">
        <v>240</v>
      </c>
      <c r="IA3282" s="5" t="s">
        <v>240</v>
      </c>
      <c r="IB3282" s="5" t="s">
        <v>240</v>
      </c>
      <c r="IC3282" s="5" t="s">
        <v>240</v>
      </c>
      <c r="ID3282" s="5" t="s">
        <v>240</v>
      </c>
      <c r="IE3282" s="5" t="s">
        <v>240</v>
      </c>
      <c r="IF3282" s="5" t="s">
        <v>240</v>
      </c>
    </row>
    <row r="3283" spans="1:240" x14ac:dyDescent="0.4">
      <c r="A3283" s="5">
        <v>8825</v>
      </c>
      <c r="B3283" s="5">
        <v>1</v>
      </c>
      <c r="C3283" s="5">
        <v>1</v>
      </c>
      <c r="D3283" s="5" t="s">
        <v>723</v>
      </c>
      <c r="E3283" s="5" t="s">
        <v>725</v>
      </c>
      <c r="F3283" s="5" t="s">
        <v>730</v>
      </c>
      <c r="G3283" s="5" t="s">
        <v>726</v>
      </c>
      <c r="H3283" s="6" t="s">
        <v>6560</v>
      </c>
      <c r="I3283" s="5" t="s">
        <v>722</v>
      </c>
      <c r="J3283" s="8">
        <f>1626</f>
        <v>1626</v>
      </c>
      <c r="K3283" s="5" t="s">
        <v>308</v>
      </c>
      <c r="L3283" s="7">
        <f>0</f>
        <v>0</v>
      </c>
      <c r="M3283" s="7">
        <f>0</f>
        <v>0</v>
      </c>
      <c r="N3283" s="5" t="s">
        <v>242</v>
      </c>
      <c r="O3283" s="5">
        <v>1</v>
      </c>
      <c r="P3283" s="5" t="s">
        <v>294</v>
      </c>
      <c r="Q3283" s="5" t="s">
        <v>3678</v>
      </c>
      <c r="R3283" s="5" t="s">
        <v>240</v>
      </c>
      <c r="S3283" s="5" t="s">
        <v>240</v>
      </c>
      <c r="T3283" s="5" t="s">
        <v>243</v>
      </c>
      <c r="U3283" s="5" t="s">
        <v>244</v>
      </c>
      <c r="V3283" s="5" t="s">
        <v>240</v>
      </c>
      <c r="W3283" s="5" t="s">
        <v>240</v>
      </c>
      <c r="X3283" s="5" t="s">
        <v>240</v>
      </c>
      <c r="Y3283" s="5" t="s">
        <v>240</v>
      </c>
      <c r="Z3283" s="6" t="s">
        <v>298</v>
      </c>
      <c r="AA3283" s="6" t="s">
        <v>240</v>
      </c>
      <c r="AB3283" s="6" t="s">
        <v>240</v>
      </c>
      <c r="AC3283" s="5" t="s">
        <v>240</v>
      </c>
      <c r="AD3283" s="6" t="s">
        <v>240</v>
      </c>
      <c r="AE3283" s="6" t="s">
        <v>299</v>
      </c>
      <c r="AF3283" s="5" t="s">
        <v>248</v>
      </c>
      <c r="AG3283" s="5" t="s">
        <v>249</v>
      </c>
      <c r="AH3283" s="5" t="s">
        <v>240</v>
      </c>
      <c r="AI3283" s="5" t="s">
        <v>240</v>
      </c>
      <c r="AJ3283" s="5" t="s">
        <v>240</v>
      </c>
      <c r="AK3283" s="5" t="s">
        <v>240</v>
      </c>
      <c r="AL3283" s="5" t="s">
        <v>240</v>
      </c>
      <c r="AM3283" s="5" t="s">
        <v>240</v>
      </c>
      <c r="AN3283" s="5" t="s">
        <v>240</v>
      </c>
      <c r="AO3283" s="5" t="s">
        <v>240</v>
      </c>
      <c r="AP3283" s="6" t="s">
        <v>240</v>
      </c>
      <c r="AQ3283" s="6" t="s">
        <v>240</v>
      </c>
      <c r="AR3283" s="6" t="s">
        <v>240</v>
      </c>
      <c r="AS3283" s="6" t="s">
        <v>240</v>
      </c>
      <c r="AT3283" s="5" t="s">
        <v>240</v>
      </c>
      <c r="AU3283" s="5" t="s">
        <v>729</v>
      </c>
      <c r="AV3283" s="5" t="s">
        <v>729</v>
      </c>
      <c r="AW3283" s="5" t="s">
        <v>251</v>
      </c>
      <c r="AX3283" s="5" t="s">
        <v>252</v>
      </c>
      <c r="AY3283" s="5" t="s">
        <v>253</v>
      </c>
      <c r="AZ3283" s="5" t="s">
        <v>240</v>
      </c>
      <c r="BA3283" s="5" t="s">
        <v>255</v>
      </c>
      <c r="BB3283" s="5" t="s">
        <v>731</v>
      </c>
      <c r="BD3283" s="5" t="s">
        <v>240</v>
      </c>
      <c r="BF3283" s="5" t="s">
        <v>732</v>
      </c>
      <c r="BG3283" s="6" t="s">
        <v>733</v>
      </c>
      <c r="BH3283" s="5" t="s">
        <v>734</v>
      </c>
      <c r="BI3283" s="5" t="s">
        <v>734</v>
      </c>
      <c r="BJ3283" s="5" t="s">
        <v>240</v>
      </c>
      <c r="BK3283" s="7">
        <f>1</f>
        <v>1</v>
      </c>
      <c r="BL3283" s="7">
        <f>1</f>
        <v>1</v>
      </c>
      <c r="BM3283" s="5" t="s">
        <v>258</v>
      </c>
      <c r="BN3283" s="5" t="s">
        <v>259</v>
      </c>
      <c r="BO3283" s="5" t="s">
        <v>240</v>
      </c>
      <c r="BP3283" s="5" t="s">
        <v>240</v>
      </c>
      <c r="BQ3283" s="5" t="s">
        <v>240</v>
      </c>
      <c r="BR3283" s="5" t="s">
        <v>240</v>
      </c>
      <c r="BS3283" s="5" t="s">
        <v>240</v>
      </c>
      <c r="BT3283" s="5" t="s">
        <v>240</v>
      </c>
      <c r="BU3283" s="5" t="s">
        <v>240</v>
      </c>
      <c r="BV3283" s="5" t="s">
        <v>240</v>
      </c>
      <c r="BW3283" s="6" t="s">
        <v>240</v>
      </c>
      <c r="BX3283" s="5" t="s">
        <v>240</v>
      </c>
      <c r="BY3283" s="5" t="s">
        <v>240</v>
      </c>
      <c r="BZ3283" s="5" t="s">
        <v>240</v>
      </c>
      <c r="CA3283" s="5" t="s">
        <v>259</v>
      </c>
      <c r="CB3283" s="5" t="s">
        <v>240</v>
      </c>
      <c r="CC3283" s="5" t="s">
        <v>240</v>
      </c>
      <c r="CD3283" s="5" t="s">
        <v>240</v>
      </c>
      <c r="CE3283" s="5" t="s">
        <v>240</v>
      </c>
      <c r="CF3283" s="5" t="s">
        <v>240</v>
      </c>
      <c r="CG3283" s="5" t="s">
        <v>304</v>
      </c>
      <c r="CH3283" s="5" t="s">
        <v>305</v>
      </c>
      <c r="CI3283" s="5" t="s">
        <v>240</v>
      </c>
      <c r="CK3283" s="5" t="s">
        <v>3681</v>
      </c>
      <c r="CL3283" s="6" t="s">
        <v>261</v>
      </c>
      <c r="CM3283" s="5" t="s">
        <v>262</v>
      </c>
      <c r="CN3283" s="5" t="s">
        <v>263</v>
      </c>
      <c r="CO3283" s="5" t="s">
        <v>264</v>
      </c>
      <c r="CP3283" s="5" t="s">
        <v>240</v>
      </c>
      <c r="CQ3283" s="5">
        <v>0</v>
      </c>
      <c r="CR3283" s="5" t="s">
        <v>735</v>
      </c>
      <c r="CS3283" s="5" t="s">
        <v>307</v>
      </c>
      <c r="CT3283" s="5" t="s">
        <v>307</v>
      </c>
      <c r="CU3283" s="5" t="s">
        <v>260</v>
      </c>
      <c r="CV3283" s="5" t="s">
        <v>612</v>
      </c>
      <c r="CW3283" s="8">
        <f>1</f>
        <v>1</v>
      </c>
      <c r="CX3283" s="7">
        <f>1</f>
        <v>1</v>
      </c>
      <c r="CY3283" s="7">
        <f>0</f>
        <v>0</v>
      </c>
      <c r="DA3283" s="7">
        <f>1</f>
        <v>1</v>
      </c>
      <c r="DB3283" s="7" t="s">
        <v>240</v>
      </c>
      <c r="DC3283" s="5" t="s">
        <v>240</v>
      </c>
      <c r="DD3283" s="5" t="s">
        <v>240</v>
      </c>
      <c r="DE3283" s="5" t="s">
        <v>240</v>
      </c>
      <c r="DF3283" s="5" t="s">
        <v>240</v>
      </c>
      <c r="DG3283" s="7">
        <f>0</f>
        <v>0</v>
      </c>
      <c r="DI3283" s="5" t="s">
        <v>240</v>
      </c>
      <c r="DJ3283" s="5" t="s">
        <v>240</v>
      </c>
      <c r="DK3283" s="5" t="s">
        <v>240</v>
      </c>
      <c r="DL3283" s="5" t="s">
        <v>240</v>
      </c>
      <c r="DM3283" s="5" t="s">
        <v>240</v>
      </c>
      <c r="DN3283" s="5" t="s">
        <v>240</v>
      </c>
      <c r="DO3283" s="7" t="s">
        <v>240</v>
      </c>
      <c r="DP3283" s="5" t="s">
        <v>240</v>
      </c>
      <c r="DQ3283" s="5" t="s">
        <v>240</v>
      </c>
      <c r="DR3283" s="5" t="s">
        <v>731</v>
      </c>
      <c r="DS3283" s="5" t="s">
        <v>731</v>
      </c>
      <c r="DT3283" s="5" t="s">
        <v>240</v>
      </c>
      <c r="DU3283" s="5" t="s">
        <v>240</v>
      </c>
      <c r="DV3283" s="5" t="s">
        <v>3683</v>
      </c>
      <c r="DW3283" s="5" t="s">
        <v>3987</v>
      </c>
      <c r="DX3283" s="5" t="s">
        <v>240</v>
      </c>
      <c r="DY3283" s="5" t="s">
        <v>240</v>
      </c>
      <c r="DZ3283" s="5" t="s">
        <v>240</v>
      </c>
      <c r="EA3283" s="5" t="s">
        <v>240</v>
      </c>
      <c r="EB3283" s="5" t="s">
        <v>240</v>
      </c>
      <c r="EC3283" s="5" t="s">
        <v>240</v>
      </c>
      <c r="ED3283" s="5" t="s">
        <v>240</v>
      </c>
      <c r="EE3283" s="5" t="s">
        <v>240</v>
      </c>
      <c r="EF3283" s="5" t="s">
        <v>240</v>
      </c>
      <c r="EG3283" s="5" t="s">
        <v>240</v>
      </c>
      <c r="EH3283" s="5" t="s">
        <v>240</v>
      </c>
      <c r="EI3283" s="5" t="s">
        <v>240</v>
      </c>
      <c r="EJ3283" s="5" t="s">
        <v>240</v>
      </c>
      <c r="EK3283" s="5" t="s">
        <v>240</v>
      </c>
      <c r="EL3283" s="5" t="s">
        <v>240</v>
      </c>
      <c r="EM3283" s="5" t="s">
        <v>240</v>
      </c>
      <c r="EN3283" s="5" t="s">
        <v>240</v>
      </c>
      <c r="EO3283" s="5" t="s">
        <v>240</v>
      </c>
      <c r="EP3283" s="5" t="s">
        <v>240</v>
      </c>
      <c r="EQ3283" s="5" t="s">
        <v>240</v>
      </c>
      <c r="ER3283" s="5" t="s">
        <v>240</v>
      </c>
      <c r="ES3283" s="5" t="s">
        <v>240</v>
      </c>
      <c r="ET3283" s="5" t="s">
        <v>240</v>
      </c>
      <c r="EU3283" s="5" t="s">
        <v>240</v>
      </c>
      <c r="EV3283" s="5" t="s">
        <v>240</v>
      </c>
      <c r="EW3283" s="5" t="s">
        <v>240</v>
      </c>
      <c r="EX3283" s="5" t="s">
        <v>240</v>
      </c>
      <c r="EY3283" s="5" t="s">
        <v>240</v>
      </c>
      <c r="EZ3283" s="5" t="s">
        <v>240</v>
      </c>
      <c r="FA3283" s="5" t="s">
        <v>240</v>
      </c>
      <c r="FB3283" s="5" t="s">
        <v>240</v>
      </c>
      <c r="FC3283" s="5" t="s">
        <v>240</v>
      </c>
      <c r="FD3283" s="5" t="s">
        <v>240</v>
      </c>
      <c r="FE3283" s="5" t="s">
        <v>240</v>
      </c>
      <c r="FF3283" s="5" t="s">
        <v>240</v>
      </c>
      <c r="FG3283" s="5" t="s">
        <v>240</v>
      </c>
      <c r="FH3283" s="5" t="s">
        <v>240</v>
      </c>
      <c r="FI3283" s="5" t="s">
        <v>240</v>
      </c>
      <c r="FJ3283" s="5" t="s">
        <v>240</v>
      </c>
      <c r="FK3283" s="5" t="s">
        <v>240</v>
      </c>
      <c r="FL3283" s="5" t="s">
        <v>240</v>
      </c>
      <c r="FM3283" s="5" t="s">
        <v>240</v>
      </c>
      <c r="FN3283" s="5" t="s">
        <v>240</v>
      </c>
      <c r="FO3283" s="5" t="s">
        <v>240</v>
      </c>
      <c r="FP3283" s="5" t="s">
        <v>240</v>
      </c>
      <c r="FQ3283" s="5" t="s">
        <v>240</v>
      </c>
      <c r="FR3283" s="5" t="s">
        <v>240</v>
      </c>
      <c r="FS3283" s="5" t="s">
        <v>240</v>
      </c>
      <c r="FT3283" s="5" t="s">
        <v>240</v>
      </c>
      <c r="FU3283" s="5" t="s">
        <v>240</v>
      </c>
      <c r="FV3283" s="5" t="s">
        <v>240</v>
      </c>
      <c r="FW3283" s="5" t="s">
        <v>240</v>
      </c>
      <c r="FX3283" s="5" t="s">
        <v>240</v>
      </c>
      <c r="FY3283" s="5" t="s">
        <v>240</v>
      </c>
      <c r="FZ3283" s="5" t="s">
        <v>240</v>
      </c>
      <c r="GA3283" s="5" t="s">
        <v>240</v>
      </c>
      <c r="GB3283" s="5" t="s">
        <v>240</v>
      </c>
      <c r="GC3283" s="5" t="s">
        <v>240</v>
      </c>
      <c r="GD3283" s="5" t="s">
        <v>240</v>
      </c>
      <c r="GE3283" s="5" t="s">
        <v>240</v>
      </c>
      <c r="GF3283" s="5" t="s">
        <v>240</v>
      </c>
      <c r="GG3283" s="5" t="s">
        <v>240</v>
      </c>
      <c r="GH3283" s="5" t="s">
        <v>240</v>
      </c>
      <c r="GI3283" s="5" t="s">
        <v>240</v>
      </c>
      <c r="GJ3283" s="5" t="s">
        <v>240</v>
      </c>
      <c r="GK3283" s="5" t="s">
        <v>240</v>
      </c>
      <c r="GL3283" s="5" t="s">
        <v>240</v>
      </c>
      <c r="GM3283" s="5" t="s">
        <v>240</v>
      </c>
      <c r="GN3283" s="5" t="s">
        <v>240</v>
      </c>
      <c r="GO3283" s="5" t="s">
        <v>240</v>
      </c>
      <c r="GP3283" s="5" t="s">
        <v>240</v>
      </c>
      <c r="GQ3283" s="5" t="s">
        <v>240</v>
      </c>
      <c r="GR3283" s="5" t="s">
        <v>240</v>
      </c>
      <c r="GS3283" s="5" t="s">
        <v>240</v>
      </c>
      <c r="GT3283" s="5" t="s">
        <v>240</v>
      </c>
      <c r="GU3283" s="5" t="s">
        <v>240</v>
      </c>
      <c r="GV3283" s="5" t="s">
        <v>240</v>
      </c>
      <c r="GW3283" s="5" t="s">
        <v>240</v>
      </c>
      <c r="GX3283" s="5" t="s">
        <v>240</v>
      </c>
      <c r="GY3283" s="5" t="s">
        <v>240</v>
      </c>
      <c r="GZ3283" s="5" t="s">
        <v>240</v>
      </c>
      <c r="HA3283" s="5" t="s">
        <v>240</v>
      </c>
      <c r="HB3283" s="5" t="s">
        <v>240</v>
      </c>
      <c r="HC3283" s="5" t="s">
        <v>240</v>
      </c>
      <c r="HD3283" s="5" t="s">
        <v>240</v>
      </c>
      <c r="HE3283" s="5" t="s">
        <v>240</v>
      </c>
      <c r="HF3283" s="5" t="s">
        <v>240</v>
      </c>
      <c r="HG3283" s="5" t="s">
        <v>240</v>
      </c>
      <c r="HH3283" s="5" t="s">
        <v>240</v>
      </c>
      <c r="HI3283" s="5" t="s">
        <v>240</v>
      </c>
      <c r="HJ3283" s="5" t="s">
        <v>240</v>
      </c>
      <c r="HK3283" s="5" t="s">
        <v>240</v>
      </c>
      <c r="HL3283" s="5" t="s">
        <v>240</v>
      </c>
      <c r="HM3283" s="5" t="s">
        <v>240</v>
      </c>
      <c r="HN3283" s="5" t="s">
        <v>240</v>
      </c>
      <c r="HO3283" s="5" t="s">
        <v>312</v>
      </c>
      <c r="HP3283" s="5" t="s">
        <v>240</v>
      </c>
      <c r="HQ3283" s="5" t="s">
        <v>240</v>
      </c>
      <c r="HR3283" s="5" t="s">
        <v>240</v>
      </c>
      <c r="HS3283" s="5" t="s">
        <v>240</v>
      </c>
      <c r="HT3283" s="5" t="s">
        <v>240</v>
      </c>
      <c r="HU3283" s="5" t="s">
        <v>240</v>
      </c>
      <c r="HV3283" s="5" t="s">
        <v>240</v>
      </c>
      <c r="HW3283" s="5" t="s">
        <v>240</v>
      </c>
      <c r="HX3283" s="5" t="s">
        <v>240</v>
      </c>
      <c r="HY3283" s="5" t="s">
        <v>240</v>
      </c>
      <c r="HZ3283" s="5" t="s">
        <v>240</v>
      </c>
      <c r="IA3283" s="5" t="s">
        <v>240</v>
      </c>
      <c r="IB3283" s="5" t="s">
        <v>240</v>
      </c>
      <c r="IC3283" s="5" t="s">
        <v>240</v>
      </c>
      <c r="ID3283" s="5" t="s">
        <v>240</v>
      </c>
      <c r="IE3283" s="5" t="s">
        <v>240</v>
      </c>
      <c r="IF3283" s="5" t="s">
        <v>240</v>
      </c>
    </row>
    <row r="3284" spans="1:240" x14ac:dyDescent="0.4">
      <c r="A3284" s="5">
        <v>8826</v>
      </c>
      <c r="B3284" s="5">
        <v>1</v>
      </c>
      <c r="C3284" s="5">
        <v>1</v>
      </c>
      <c r="D3284" s="5" t="s">
        <v>723</v>
      </c>
      <c r="E3284" s="5" t="s">
        <v>725</v>
      </c>
      <c r="F3284" s="5" t="s">
        <v>730</v>
      </c>
      <c r="G3284" s="5" t="s">
        <v>726</v>
      </c>
      <c r="H3284" s="6" t="s">
        <v>6375</v>
      </c>
      <c r="I3284" s="5" t="s">
        <v>990</v>
      </c>
      <c r="J3284" s="8">
        <f>1621</f>
        <v>1621</v>
      </c>
      <c r="K3284" s="5" t="s">
        <v>308</v>
      </c>
      <c r="L3284" s="7">
        <f>0</f>
        <v>0</v>
      </c>
      <c r="M3284" s="7">
        <f>0</f>
        <v>0</v>
      </c>
      <c r="N3284" s="5" t="s">
        <v>242</v>
      </c>
      <c r="O3284" s="5">
        <v>1</v>
      </c>
      <c r="P3284" s="5" t="s">
        <v>294</v>
      </c>
      <c r="Q3284" s="5" t="s">
        <v>3678</v>
      </c>
      <c r="R3284" s="5" t="s">
        <v>240</v>
      </c>
      <c r="S3284" s="5" t="s">
        <v>240</v>
      </c>
      <c r="T3284" s="5" t="s">
        <v>243</v>
      </c>
      <c r="U3284" s="5" t="s">
        <v>244</v>
      </c>
      <c r="V3284" s="5" t="s">
        <v>240</v>
      </c>
      <c r="W3284" s="5" t="s">
        <v>240</v>
      </c>
      <c r="X3284" s="5" t="s">
        <v>240</v>
      </c>
      <c r="Y3284" s="5" t="s">
        <v>240</v>
      </c>
      <c r="Z3284" s="6" t="s">
        <v>298</v>
      </c>
      <c r="AA3284" s="6" t="s">
        <v>240</v>
      </c>
      <c r="AB3284" s="6" t="s">
        <v>240</v>
      </c>
      <c r="AC3284" s="5" t="s">
        <v>240</v>
      </c>
      <c r="AD3284" s="6" t="s">
        <v>240</v>
      </c>
      <c r="AE3284" s="6" t="s">
        <v>299</v>
      </c>
      <c r="AF3284" s="5" t="s">
        <v>248</v>
      </c>
      <c r="AG3284" s="5" t="s">
        <v>249</v>
      </c>
      <c r="AH3284" s="5" t="s">
        <v>240</v>
      </c>
      <c r="AI3284" s="5" t="s">
        <v>240</v>
      </c>
      <c r="AJ3284" s="5" t="s">
        <v>240</v>
      </c>
      <c r="AK3284" s="5" t="s">
        <v>240</v>
      </c>
      <c r="AL3284" s="5" t="s">
        <v>240</v>
      </c>
      <c r="AM3284" s="5" t="s">
        <v>240</v>
      </c>
      <c r="AN3284" s="5" t="s">
        <v>240</v>
      </c>
      <c r="AO3284" s="5" t="s">
        <v>240</v>
      </c>
      <c r="AP3284" s="6" t="s">
        <v>240</v>
      </c>
      <c r="AQ3284" s="6" t="s">
        <v>240</v>
      </c>
      <c r="AR3284" s="6" t="s">
        <v>240</v>
      </c>
      <c r="AS3284" s="6" t="s">
        <v>240</v>
      </c>
      <c r="AT3284" s="5" t="s">
        <v>240</v>
      </c>
      <c r="AU3284" s="5" t="s">
        <v>729</v>
      </c>
      <c r="AV3284" s="5" t="s">
        <v>729</v>
      </c>
      <c r="AW3284" s="5" t="s">
        <v>251</v>
      </c>
      <c r="AX3284" s="5" t="s">
        <v>252</v>
      </c>
      <c r="AY3284" s="5" t="s">
        <v>253</v>
      </c>
      <c r="AZ3284" s="5" t="s">
        <v>240</v>
      </c>
      <c r="BA3284" s="5" t="s">
        <v>255</v>
      </c>
      <c r="BB3284" s="5" t="s">
        <v>731</v>
      </c>
      <c r="BD3284" s="5" t="s">
        <v>240</v>
      </c>
      <c r="BF3284" s="5" t="s">
        <v>732</v>
      </c>
      <c r="BG3284" s="6" t="s">
        <v>733</v>
      </c>
      <c r="BH3284" s="5" t="s">
        <v>734</v>
      </c>
      <c r="BI3284" s="5" t="s">
        <v>734</v>
      </c>
      <c r="BJ3284" s="5" t="s">
        <v>240</v>
      </c>
      <c r="BK3284" s="7">
        <f>1</f>
        <v>1</v>
      </c>
      <c r="BL3284" s="7">
        <f>1</f>
        <v>1</v>
      </c>
      <c r="BM3284" s="5" t="s">
        <v>258</v>
      </c>
      <c r="BN3284" s="5" t="s">
        <v>259</v>
      </c>
      <c r="BO3284" s="5" t="s">
        <v>240</v>
      </c>
      <c r="BP3284" s="5" t="s">
        <v>240</v>
      </c>
      <c r="BQ3284" s="5" t="s">
        <v>240</v>
      </c>
      <c r="BR3284" s="5" t="s">
        <v>240</v>
      </c>
      <c r="BS3284" s="5" t="s">
        <v>240</v>
      </c>
      <c r="BT3284" s="5" t="s">
        <v>240</v>
      </c>
      <c r="BU3284" s="5" t="s">
        <v>240</v>
      </c>
      <c r="BV3284" s="5" t="s">
        <v>240</v>
      </c>
      <c r="BW3284" s="6" t="s">
        <v>240</v>
      </c>
      <c r="BX3284" s="5" t="s">
        <v>240</v>
      </c>
      <c r="BY3284" s="5" t="s">
        <v>240</v>
      </c>
      <c r="BZ3284" s="5" t="s">
        <v>240</v>
      </c>
      <c r="CA3284" s="5" t="s">
        <v>259</v>
      </c>
      <c r="CB3284" s="5" t="s">
        <v>240</v>
      </c>
      <c r="CC3284" s="5" t="s">
        <v>240</v>
      </c>
      <c r="CD3284" s="5" t="s">
        <v>240</v>
      </c>
      <c r="CE3284" s="5" t="s">
        <v>240</v>
      </c>
      <c r="CF3284" s="5" t="s">
        <v>240</v>
      </c>
      <c r="CG3284" s="5" t="s">
        <v>304</v>
      </c>
      <c r="CH3284" s="5" t="s">
        <v>305</v>
      </c>
      <c r="CI3284" s="5" t="s">
        <v>240</v>
      </c>
      <c r="CK3284" s="5" t="s">
        <v>3681</v>
      </c>
      <c r="CL3284" s="6" t="s">
        <v>261</v>
      </c>
      <c r="CM3284" s="5" t="s">
        <v>262</v>
      </c>
      <c r="CN3284" s="5" t="s">
        <v>263</v>
      </c>
      <c r="CO3284" s="5" t="s">
        <v>264</v>
      </c>
      <c r="CP3284" s="5" t="s">
        <v>240</v>
      </c>
      <c r="CQ3284" s="5">
        <v>0</v>
      </c>
      <c r="CR3284" s="5" t="s">
        <v>735</v>
      </c>
      <c r="CS3284" s="5" t="s">
        <v>307</v>
      </c>
      <c r="CT3284" s="5" t="s">
        <v>307</v>
      </c>
      <c r="CU3284" s="5" t="s">
        <v>260</v>
      </c>
      <c r="CV3284" s="5" t="s">
        <v>612</v>
      </c>
      <c r="CW3284" s="8">
        <f>1</f>
        <v>1</v>
      </c>
      <c r="CX3284" s="7">
        <f>1</f>
        <v>1</v>
      </c>
      <c r="CY3284" s="7">
        <f>0</f>
        <v>0</v>
      </c>
      <c r="DA3284" s="7">
        <f>1</f>
        <v>1</v>
      </c>
      <c r="DB3284" s="7" t="s">
        <v>240</v>
      </c>
      <c r="DC3284" s="5" t="s">
        <v>240</v>
      </c>
      <c r="DD3284" s="5" t="s">
        <v>240</v>
      </c>
      <c r="DE3284" s="5" t="s">
        <v>240</v>
      </c>
      <c r="DF3284" s="5" t="s">
        <v>240</v>
      </c>
      <c r="DG3284" s="7">
        <f>0</f>
        <v>0</v>
      </c>
      <c r="DI3284" s="5" t="s">
        <v>240</v>
      </c>
      <c r="DJ3284" s="5" t="s">
        <v>240</v>
      </c>
      <c r="DK3284" s="5" t="s">
        <v>240</v>
      </c>
      <c r="DL3284" s="5" t="s">
        <v>240</v>
      </c>
      <c r="DM3284" s="5" t="s">
        <v>240</v>
      </c>
      <c r="DN3284" s="5" t="s">
        <v>240</v>
      </c>
      <c r="DO3284" s="7" t="s">
        <v>240</v>
      </c>
      <c r="DP3284" s="5" t="s">
        <v>240</v>
      </c>
      <c r="DQ3284" s="5" t="s">
        <v>240</v>
      </c>
      <c r="DR3284" s="5" t="s">
        <v>731</v>
      </c>
      <c r="DS3284" s="5" t="s">
        <v>731</v>
      </c>
      <c r="DT3284" s="5" t="s">
        <v>240</v>
      </c>
      <c r="DU3284" s="5" t="s">
        <v>240</v>
      </c>
      <c r="DV3284" s="5" t="s">
        <v>3683</v>
      </c>
      <c r="DW3284" s="5" t="s">
        <v>490</v>
      </c>
      <c r="DX3284" s="5" t="s">
        <v>240</v>
      </c>
      <c r="DY3284" s="5" t="s">
        <v>240</v>
      </c>
      <c r="DZ3284" s="5" t="s">
        <v>240</v>
      </c>
      <c r="EA3284" s="5" t="s">
        <v>240</v>
      </c>
      <c r="EB3284" s="5" t="s">
        <v>240</v>
      </c>
      <c r="EC3284" s="5" t="s">
        <v>240</v>
      </c>
      <c r="ED3284" s="5" t="s">
        <v>240</v>
      </c>
      <c r="EE3284" s="5" t="s">
        <v>240</v>
      </c>
      <c r="EF3284" s="5" t="s">
        <v>240</v>
      </c>
      <c r="EG3284" s="5" t="s">
        <v>240</v>
      </c>
      <c r="EH3284" s="5" t="s">
        <v>240</v>
      </c>
      <c r="EI3284" s="5" t="s">
        <v>240</v>
      </c>
      <c r="EJ3284" s="5" t="s">
        <v>240</v>
      </c>
      <c r="EK3284" s="5" t="s">
        <v>240</v>
      </c>
      <c r="EL3284" s="5" t="s">
        <v>240</v>
      </c>
      <c r="EM3284" s="5" t="s">
        <v>240</v>
      </c>
      <c r="EN3284" s="5" t="s">
        <v>240</v>
      </c>
      <c r="EO3284" s="5" t="s">
        <v>240</v>
      </c>
      <c r="EP3284" s="5" t="s">
        <v>240</v>
      </c>
      <c r="EQ3284" s="5" t="s">
        <v>240</v>
      </c>
      <c r="ER3284" s="5" t="s">
        <v>240</v>
      </c>
      <c r="ES3284" s="5" t="s">
        <v>240</v>
      </c>
      <c r="ET3284" s="5" t="s">
        <v>240</v>
      </c>
      <c r="EU3284" s="5" t="s">
        <v>240</v>
      </c>
      <c r="EV3284" s="5" t="s">
        <v>240</v>
      </c>
      <c r="EW3284" s="5" t="s">
        <v>240</v>
      </c>
      <c r="EX3284" s="5" t="s">
        <v>240</v>
      </c>
      <c r="EY3284" s="5" t="s">
        <v>240</v>
      </c>
      <c r="EZ3284" s="5" t="s">
        <v>240</v>
      </c>
      <c r="FA3284" s="5" t="s">
        <v>240</v>
      </c>
      <c r="FB3284" s="5" t="s">
        <v>240</v>
      </c>
      <c r="FC3284" s="5" t="s">
        <v>240</v>
      </c>
      <c r="FD3284" s="5" t="s">
        <v>240</v>
      </c>
      <c r="FE3284" s="5" t="s">
        <v>240</v>
      </c>
      <c r="FF3284" s="5" t="s">
        <v>240</v>
      </c>
      <c r="FG3284" s="5" t="s">
        <v>240</v>
      </c>
      <c r="FH3284" s="5" t="s">
        <v>240</v>
      </c>
      <c r="FI3284" s="5" t="s">
        <v>240</v>
      </c>
      <c r="FJ3284" s="5" t="s">
        <v>240</v>
      </c>
      <c r="FK3284" s="5" t="s">
        <v>240</v>
      </c>
      <c r="FL3284" s="5" t="s">
        <v>240</v>
      </c>
      <c r="FM3284" s="5" t="s">
        <v>240</v>
      </c>
      <c r="FN3284" s="5" t="s">
        <v>240</v>
      </c>
      <c r="FO3284" s="5" t="s">
        <v>240</v>
      </c>
      <c r="FP3284" s="5" t="s">
        <v>240</v>
      </c>
      <c r="FQ3284" s="5" t="s">
        <v>240</v>
      </c>
      <c r="FR3284" s="5" t="s">
        <v>240</v>
      </c>
      <c r="FS3284" s="5" t="s">
        <v>240</v>
      </c>
      <c r="FT3284" s="5" t="s">
        <v>240</v>
      </c>
      <c r="FU3284" s="5" t="s">
        <v>240</v>
      </c>
      <c r="FV3284" s="5" t="s">
        <v>240</v>
      </c>
      <c r="FW3284" s="5" t="s">
        <v>240</v>
      </c>
      <c r="FX3284" s="5" t="s">
        <v>240</v>
      </c>
      <c r="FY3284" s="5" t="s">
        <v>240</v>
      </c>
      <c r="FZ3284" s="5" t="s">
        <v>240</v>
      </c>
      <c r="GA3284" s="5" t="s">
        <v>240</v>
      </c>
      <c r="GB3284" s="5" t="s">
        <v>240</v>
      </c>
      <c r="GC3284" s="5" t="s">
        <v>240</v>
      </c>
      <c r="GD3284" s="5" t="s">
        <v>240</v>
      </c>
      <c r="GE3284" s="5" t="s">
        <v>240</v>
      </c>
      <c r="GF3284" s="5" t="s">
        <v>240</v>
      </c>
      <c r="GG3284" s="5" t="s">
        <v>240</v>
      </c>
      <c r="GH3284" s="5" t="s">
        <v>240</v>
      </c>
      <c r="GI3284" s="5" t="s">
        <v>240</v>
      </c>
      <c r="GJ3284" s="5" t="s">
        <v>240</v>
      </c>
      <c r="GK3284" s="5" t="s">
        <v>240</v>
      </c>
      <c r="GL3284" s="5" t="s">
        <v>240</v>
      </c>
      <c r="GM3284" s="5" t="s">
        <v>240</v>
      </c>
      <c r="GN3284" s="5" t="s">
        <v>240</v>
      </c>
      <c r="GO3284" s="5" t="s">
        <v>240</v>
      </c>
      <c r="GP3284" s="5" t="s">
        <v>240</v>
      </c>
      <c r="GQ3284" s="5" t="s">
        <v>240</v>
      </c>
      <c r="GR3284" s="5" t="s">
        <v>240</v>
      </c>
      <c r="GS3284" s="5" t="s">
        <v>240</v>
      </c>
      <c r="GT3284" s="5" t="s">
        <v>240</v>
      </c>
      <c r="GU3284" s="5" t="s">
        <v>240</v>
      </c>
      <c r="GV3284" s="5" t="s">
        <v>240</v>
      </c>
      <c r="GW3284" s="5" t="s">
        <v>240</v>
      </c>
      <c r="GX3284" s="5" t="s">
        <v>240</v>
      </c>
      <c r="GY3284" s="5" t="s">
        <v>240</v>
      </c>
      <c r="GZ3284" s="5" t="s">
        <v>240</v>
      </c>
      <c r="HA3284" s="5" t="s">
        <v>240</v>
      </c>
      <c r="HB3284" s="5" t="s">
        <v>240</v>
      </c>
      <c r="HC3284" s="5" t="s">
        <v>240</v>
      </c>
      <c r="HD3284" s="5" t="s">
        <v>240</v>
      </c>
      <c r="HE3284" s="5" t="s">
        <v>240</v>
      </c>
      <c r="HF3284" s="5" t="s">
        <v>240</v>
      </c>
      <c r="HG3284" s="5" t="s">
        <v>240</v>
      </c>
      <c r="HH3284" s="5" t="s">
        <v>240</v>
      </c>
      <c r="HI3284" s="5" t="s">
        <v>240</v>
      </c>
      <c r="HJ3284" s="5" t="s">
        <v>240</v>
      </c>
      <c r="HK3284" s="5" t="s">
        <v>240</v>
      </c>
      <c r="HL3284" s="5" t="s">
        <v>240</v>
      </c>
      <c r="HM3284" s="5" t="s">
        <v>240</v>
      </c>
      <c r="HN3284" s="5" t="s">
        <v>240</v>
      </c>
      <c r="HO3284" s="5" t="s">
        <v>312</v>
      </c>
      <c r="HP3284" s="5" t="s">
        <v>240</v>
      </c>
      <c r="HQ3284" s="5" t="s">
        <v>240</v>
      </c>
      <c r="HR3284" s="5" t="s">
        <v>240</v>
      </c>
      <c r="HS3284" s="5" t="s">
        <v>240</v>
      </c>
      <c r="HT3284" s="5" t="s">
        <v>240</v>
      </c>
      <c r="HU3284" s="5" t="s">
        <v>240</v>
      </c>
      <c r="HV3284" s="5" t="s">
        <v>240</v>
      </c>
      <c r="HW3284" s="5" t="s">
        <v>240</v>
      </c>
      <c r="HX3284" s="5" t="s">
        <v>240</v>
      </c>
      <c r="HY3284" s="5" t="s">
        <v>240</v>
      </c>
      <c r="HZ3284" s="5" t="s">
        <v>240</v>
      </c>
      <c r="IA3284" s="5" t="s">
        <v>240</v>
      </c>
      <c r="IB3284" s="5" t="s">
        <v>240</v>
      </c>
      <c r="IC3284" s="5" t="s">
        <v>240</v>
      </c>
      <c r="ID3284" s="5" t="s">
        <v>240</v>
      </c>
      <c r="IE3284" s="5" t="s">
        <v>240</v>
      </c>
      <c r="IF3284" s="5" t="s">
        <v>240</v>
      </c>
    </row>
    <row r="3285" spans="1:240" x14ac:dyDescent="0.4">
      <c r="A3285" s="5">
        <v>8827</v>
      </c>
      <c r="B3285" s="5">
        <v>1</v>
      </c>
      <c r="C3285" s="5">
        <v>1</v>
      </c>
      <c r="D3285" s="5" t="s">
        <v>723</v>
      </c>
      <c r="E3285" s="5" t="s">
        <v>725</v>
      </c>
      <c r="F3285" s="5" t="s">
        <v>730</v>
      </c>
      <c r="G3285" s="5" t="s">
        <v>726</v>
      </c>
      <c r="H3285" s="6" t="s">
        <v>6561</v>
      </c>
      <c r="I3285" s="5" t="s">
        <v>722</v>
      </c>
      <c r="J3285" s="8">
        <f>204</f>
        <v>204</v>
      </c>
      <c r="K3285" s="5" t="s">
        <v>308</v>
      </c>
      <c r="L3285" s="7">
        <f>0</f>
        <v>0</v>
      </c>
      <c r="M3285" s="7">
        <f>0</f>
        <v>0</v>
      </c>
      <c r="N3285" s="5" t="s">
        <v>242</v>
      </c>
      <c r="O3285" s="5">
        <v>1</v>
      </c>
      <c r="P3285" s="5" t="s">
        <v>294</v>
      </c>
      <c r="Q3285" s="5" t="s">
        <v>3678</v>
      </c>
      <c r="R3285" s="5" t="s">
        <v>240</v>
      </c>
      <c r="S3285" s="5" t="s">
        <v>240</v>
      </c>
      <c r="T3285" s="5" t="s">
        <v>243</v>
      </c>
      <c r="U3285" s="5" t="s">
        <v>244</v>
      </c>
      <c r="V3285" s="5" t="s">
        <v>240</v>
      </c>
      <c r="W3285" s="5" t="s">
        <v>240</v>
      </c>
      <c r="X3285" s="5" t="s">
        <v>240</v>
      </c>
      <c r="Y3285" s="5" t="s">
        <v>240</v>
      </c>
      <c r="Z3285" s="6" t="s">
        <v>298</v>
      </c>
      <c r="AA3285" s="6" t="s">
        <v>240</v>
      </c>
      <c r="AB3285" s="6" t="s">
        <v>240</v>
      </c>
      <c r="AC3285" s="5" t="s">
        <v>240</v>
      </c>
      <c r="AD3285" s="6" t="s">
        <v>240</v>
      </c>
      <c r="AE3285" s="6" t="s">
        <v>299</v>
      </c>
      <c r="AF3285" s="5" t="s">
        <v>248</v>
      </c>
      <c r="AG3285" s="5" t="s">
        <v>249</v>
      </c>
      <c r="AH3285" s="5" t="s">
        <v>240</v>
      </c>
      <c r="AI3285" s="5" t="s">
        <v>240</v>
      </c>
      <c r="AJ3285" s="5" t="s">
        <v>240</v>
      </c>
      <c r="AK3285" s="5" t="s">
        <v>240</v>
      </c>
      <c r="AL3285" s="5" t="s">
        <v>240</v>
      </c>
      <c r="AM3285" s="5" t="s">
        <v>240</v>
      </c>
      <c r="AN3285" s="5" t="s">
        <v>240</v>
      </c>
      <c r="AO3285" s="5" t="s">
        <v>240</v>
      </c>
      <c r="AP3285" s="6" t="s">
        <v>240</v>
      </c>
      <c r="AQ3285" s="6" t="s">
        <v>240</v>
      </c>
      <c r="AR3285" s="6" t="s">
        <v>240</v>
      </c>
      <c r="AS3285" s="6" t="s">
        <v>240</v>
      </c>
      <c r="AT3285" s="5" t="s">
        <v>240</v>
      </c>
      <c r="AU3285" s="5" t="s">
        <v>729</v>
      </c>
      <c r="AV3285" s="5" t="s">
        <v>729</v>
      </c>
      <c r="AW3285" s="5" t="s">
        <v>251</v>
      </c>
      <c r="AX3285" s="5" t="s">
        <v>252</v>
      </c>
      <c r="AY3285" s="5" t="s">
        <v>253</v>
      </c>
      <c r="AZ3285" s="5" t="s">
        <v>240</v>
      </c>
      <c r="BA3285" s="5" t="s">
        <v>255</v>
      </c>
      <c r="BB3285" s="5" t="s">
        <v>731</v>
      </c>
      <c r="BD3285" s="5" t="s">
        <v>240</v>
      </c>
      <c r="BF3285" s="5" t="s">
        <v>732</v>
      </c>
      <c r="BG3285" s="6" t="s">
        <v>733</v>
      </c>
      <c r="BH3285" s="5" t="s">
        <v>734</v>
      </c>
      <c r="BI3285" s="5" t="s">
        <v>734</v>
      </c>
      <c r="BJ3285" s="5" t="s">
        <v>240</v>
      </c>
      <c r="BK3285" s="7">
        <f>1</f>
        <v>1</v>
      </c>
      <c r="BL3285" s="7">
        <f>1</f>
        <v>1</v>
      </c>
      <c r="BM3285" s="5" t="s">
        <v>258</v>
      </c>
      <c r="BN3285" s="5" t="s">
        <v>259</v>
      </c>
      <c r="BO3285" s="5" t="s">
        <v>240</v>
      </c>
      <c r="BP3285" s="5" t="s">
        <v>240</v>
      </c>
      <c r="BQ3285" s="5" t="s">
        <v>240</v>
      </c>
      <c r="BR3285" s="5" t="s">
        <v>240</v>
      </c>
      <c r="BS3285" s="5" t="s">
        <v>240</v>
      </c>
      <c r="BT3285" s="5" t="s">
        <v>240</v>
      </c>
      <c r="BU3285" s="5" t="s">
        <v>240</v>
      </c>
      <c r="BV3285" s="5" t="s">
        <v>240</v>
      </c>
      <c r="BW3285" s="6" t="s">
        <v>240</v>
      </c>
      <c r="BX3285" s="5" t="s">
        <v>240</v>
      </c>
      <c r="BY3285" s="5" t="s">
        <v>240</v>
      </c>
      <c r="BZ3285" s="5" t="s">
        <v>240</v>
      </c>
      <c r="CA3285" s="5" t="s">
        <v>259</v>
      </c>
      <c r="CB3285" s="5" t="s">
        <v>240</v>
      </c>
      <c r="CC3285" s="5" t="s">
        <v>240</v>
      </c>
      <c r="CD3285" s="5" t="s">
        <v>240</v>
      </c>
      <c r="CE3285" s="5" t="s">
        <v>240</v>
      </c>
      <c r="CF3285" s="5" t="s">
        <v>240</v>
      </c>
      <c r="CG3285" s="5" t="s">
        <v>304</v>
      </c>
      <c r="CH3285" s="5" t="s">
        <v>305</v>
      </c>
      <c r="CI3285" s="5" t="s">
        <v>240</v>
      </c>
      <c r="CK3285" s="5" t="s">
        <v>3681</v>
      </c>
      <c r="CL3285" s="6" t="s">
        <v>261</v>
      </c>
      <c r="CM3285" s="5" t="s">
        <v>262</v>
      </c>
      <c r="CN3285" s="5" t="s">
        <v>263</v>
      </c>
      <c r="CO3285" s="5" t="s">
        <v>264</v>
      </c>
      <c r="CP3285" s="5" t="s">
        <v>240</v>
      </c>
      <c r="CQ3285" s="5">
        <v>0</v>
      </c>
      <c r="CR3285" s="5" t="s">
        <v>735</v>
      </c>
      <c r="CS3285" s="5" t="s">
        <v>307</v>
      </c>
      <c r="CT3285" s="5" t="s">
        <v>307</v>
      </c>
      <c r="CU3285" s="5" t="s">
        <v>260</v>
      </c>
      <c r="CV3285" s="5" t="s">
        <v>612</v>
      </c>
      <c r="CW3285" s="8">
        <f>1</f>
        <v>1</v>
      </c>
      <c r="CX3285" s="7">
        <f>1</f>
        <v>1</v>
      </c>
      <c r="CY3285" s="7">
        <f>0</f>
        <v>0</v>
      </c>
      <c r="DA3285" s="7">
        <f>1</f>
        <v>1</v>
      </c>
      <c r="DB3285" s="7" t="s">
        <v>240</v>
      </c>
      <c r="DC3285" s="5" t="s">
        <v>240</v>
      </c>
      <c r="DD3285" s="5" t="s">
        <v>240</v>
      </c>
      <c r="DE3285" s="5" t="s">
        <v>240</v>
      </c>
      <c r="DF3285" s="5" t="s">
        <v>240</v>
      </c>
      <c r="DG3285" s="7">
        <f>0</f>
        <v>0</v>
      </c>
      <c r="DI3285" s="5" t="s">
        <v>240</v>
      </c>
      <c r="DJ3285" s="5" t="s">
        <v>240</v>
      </c>
      <c r="DK3285" s="5" t="s">
        <v>240</v>
      </c>
      <c r="DL3285" s="5" t="s">
        <v>240</v>
      </c>
      <c r="DM3285" s="5" t="s">
        <v>240</v>
      </c>
      <c r="DN3285" s="5" t="s">
        <v>240</v>
      </c>
      <c r="DO3285" s="7" t="s">
        <v>240</v>
      </c>
      <c r="DP3285" s="5" t="s">
        <v>240</v>
      </c>
      <c r="DQ3285" s="5" t="s">
        <v>240</v>
      </c>
      <c r="DR3285" s="5" t="s">
        <v>731</v>
      </c>
      <c r="DS3285" s="5" t="s">
        <v>731</v>
      </c>
      <c r="DT3285" s="5" t="s">
        <v>240</v>
      </c>
      <c r="DU3285" s="5" t="s">
        <v>240</v>
      </c>
      <c r="DV3285" s="5" t="s">
        <v>3683</v>
      </c>
      <c r="DW3285" s="5" t="s">
        <v>498</v>
      </c>
      <c r="DX3285" s="5" t="s">
        <v>240</v>
      </c>
      <c r="DY3285" s="5" t="s">
        <v>240</v>
      </c>
      <c r="DZ3285" s="5" t="s">
        <v>240</v>
      </c>
      <c r="EA3285" s="5" t="s">
        <v>240</v>
      </c>
      <c r="EB3285" s="5" t="s">
        <v>240</v>
      </c>
      <c r="EC3285" s="5" t="s">
        <v>240</v>
      </c>
      <c r="ED3285" s="5" t="s">
        <v>240</v>
      </c>
      <c r="EE3285" s="5" t="s">
        <v>240</v>
      </c>
      <c r="EF3285" s="5" t="s">
        <v>240</v>
      </c>
      <c r="EG3285" s="5" t="s">
        <v>240</v>
      </c>
      <c r="EH3285" s="5" t="s">
        <v>240</v>
      </c>
      <c r="EI3285" s="5" t="s">
        <v>240</v>
      </c>
      <c r="EJ3285" s="5" t="s">
        <v>240</v>
      </c>
      <c r="EK3285" s="5" t="s">
        <v>240</v>
      </c>
      <c r="EL3285" s="5" t="s">
        <v>240</v>
      </c>
      <c r="EM3285" s="5" t="s">
        <v>240</v>
      </c>
      <c r="EN3285" s="5" t="s">
        <v>240</v>
      </c>
      <c r="EO3285" s="5" t="s">
        <v>240</v>
      </c>
      <c r="EP3285" s="5" t="s">
        <v>240</v>
      </c>
      <c r="EQ3285" s="5" t="s">
        <v>240</v>
      </c>
      <c r="ER3285" s="5" t="s">
        <v>240</v>
      </c>
      <c r="ES3285" s="5" t="s">
        <v>240</v>
      </c>
      <c r="ET3285" s="5" t="s">
        <v>240</v>
      </c>
      <c r="EU3285" s="5" t="s">
        <v>240</v>
      </c>
      <c r="EV3285" s="5" t="s">
        <v>240</v>
      </c>
      <c r="EW3285" s="5" t="s">
        <v>240</v>
      </c>
      <c r="EX3285" s="5" t="s">
        <v>240</v>
      </c>
      <c r="EY3285" s="5" t="s">
        <v>240</v>
      </c>
      <c r="EZ3285" s="5" t="s">
        <v>240</v>
      </c>
      <c r="FA3285" s="5" t="s">
        <v>240</v>
      </c>
      <c r="FB3285" s="5" t="s">
        <v>240</v>
      </c>
      <c r="FC3285" s="5" t="s">
        <v>240</v>
      </c>
      <c r="FD3285" s="5" t="s">
        <v>240</v>
      </c>
      <c r="FE3285" s="5" t="s">
        <v>240</v>
      </c>
      <c r="FF3285" s="5" t="s">
        <v>240</v>
      </c>
      <c r="FG3285" s="5" t="s">
        <v>240</v>
      </c>
      <c r="FH3285" s="5" t="s">
        <v>240</v>
      </c>
      <c r="FI3285" s="5" t="s">
        <v>240</v>
      </c>
      <c r="FJ3285" s="5" t="s">
        <v>240</v>
      </c>
      <c r="FK3285" s="5" t="s">
        <v>240</v>
      </c>
      <c r="FL3285" s="5" t="s">
        <v>240</v>
      </c>
      <c r="FM3285" s="5" t="s">
        <v>240</v>
      </c>
      <c r="FN3285" s="5" t="s">
        <v>240</v>
      </c>
      <c r="FO3285" s="5" t="s">
        <v>240</v>
      </c>
      <c r="FP3285" s="5" t="s">
        <v>240</v>
      </c>
      <c r="FQ3285" s="5" t="s">
        <v>240</v>
      </c>
      <c r="FR3285" s="5" t="s">
        <v>240</v>
      </c>
      <c r="FS3285" s="5" t="s">
        <v>240</v>
      </c>
      <c r="FT3285" s="5" t="s">
        <v>240</v>
      </c>
      <c r="FU3285" s="5" t="s">
        <v>240</v>
      </c>
      <c r="FV3285" s="5" t="s">
        <v>240</v>
      </c>
      <c r="FW3285" s="5" t="s">
        <v>240</v>
      </c>
      <c r="FX3285" s="5" t="s">
        <v>240</v>
      </c>
      <c r="FY3285" s="5" t="s">
        <v>240</v>
      </c>
      <c r="FZ3285" s="5" t="s">
        <v>240</v>
      </c>
      <c r="GA3285" s="5" t="s">
        <v>240</v>
      </c>
      <c r="GB3285" s="5" t="s">
        <v>240</v>
      </c>
      <c r="GC3285" s="5" t="s">
        <v>240</v>
      </c>
      <c r="GD3285" s="5" t="s">
        <v>240</v>
      </c>
      <c r="GE3285" s="5" t="s">
        <v>240</v>
      </c>
      <c r="GF3285" s="5" t="s">
        <v>240</v>
      </c>
      <c r="GG3285" s="5" t="s">
        <v>240</v>
      </c>
      <c r="GH3285" s="5" t="s">
        <v>240</v>
      </c>
      <c r="GI3285" s="5" t="s">
        <v>240</v>
      </c>
      <c r="GJ3285" s="5" t="s">
        <v>240</v>
      </c>
      <c r="GK3285" s="5" t="s">
        <v>240</v>
      </c>
      <c r="GL3285" s="5" t="s">
        <v>240</v>
      </c>
      <c r="GM3285" s="5" t="s">
        <v>240</v>
      </c>
      <c r="GN3285" s="5" t="s">
        <v>240</v>
      </c>
      <c r="GO3285" s="5" t="s">
        <v>240</v>
      </c>
      <c r="GP3285" s="5" t="s">
        <v>240</v>
      </c>
      <c r="GQ3285" s="5" t="s">
        <v>240</v>
      </c>
      <c r="GR3285" s="5" t="s">
        <v>240</v>
      </c>
      <c r="GS3285" s="5" t="s">
        <v>240</v>
      </c>
      <c r="GT3285" s="5" t="s">
        <v>240</v>
      </c>
      <c r="GU3285" s="5" t="s">
        <v>240</v>
      </c>
      <c r="GV3285" s="5" t="s">
        <v>240</v>
      </c>
      <c r="GW3285" s="5" t="s">
        <v>240</v>
      </c>
      <c r="GX3285" s="5" t="s">
        <v>240</v>
      </c>
      <c r="GY3285" s="5" t="s">
        <v>240</v>
      </c>
      <c r="GZ3285" s="5" t="s">
        <v>240</v>
      </c>
      <c r="HA3285" s="5" t="s">
        <v>240</v>
      </c>
      <c r="HB3285" s="5" t="s">
        <v>240</v>
      </c>
      <c r="HC3285" s="5" t="s">
        <v>240</v>
      </c>
      <c r="HD3285" s="5" t="s">
        <v>240</v>
      </c>
      <c r="HE3285" s="5" t="s">
        <v>240</v>
      </c>
      <c r="HF3285" s="5" t="s">
        <v>240</v>
      </c>
      <c r="HG3285" s="5" t="s">
        <v>240</v>
      </c>
      <c r="HH3285" s="5" t="s">
        <v>240</v>
      </c>
      <c r="HI3285" s="5" t="s">
        <v>240</v>
      </c>
      <c r="HJ3285" s="5" t="s">
        <v>240</v>
      </c>
      <c r="HK3285" s="5" t="s">
        <v>240</v>
      </c>
      <c r="HL3285" s="5" t="s">
        <v>240</v>
      </c>
      <c r="HM3285" s="5" t="s">
        <v>240</v>
      </c>
      <c r="HN3285" s="5" t="s">
        <v>240</v>
      </c>
      <c r="HO3285" s="5" t="s">
        <v>312</v>
      </c>
      <c r="HP3285" s="5" t="s">
        <v>240</v>
      </c>
      <c r="HQ3285" s="5" t="s">
        <v>240</v>
      </c>
      <c r="HR3285" s="5" t="s">
        <v>240</v>
      </c>
      <c r="HS3285" s="5" t="s">
        <v>240</v>
      </c>
      <c r="HT3285" s="5" t="s">
        <v>240</v>
      </c>
      <c r="HU3285" s="5" t="s">
        <v>240</v>
      </c>
      <c r="HV3285" s="5" t="s">
        <v>240</v>
      </c>
      <c r="HW3285" s="5" t="s">
        <v>240</v>
      </c>
      <c r="HX3285" s="5" t="s">
        <v>240</v>
      </c>
      <c r="HY3285" s="5" t="s">
        <v>240</v>
      </c>
      <c r="HZ3285" s="5" t="s">
        <v>240</v>
      </c>
      <c r="IA3285" s="5" t="s">
        <v>240</v>
      </c>
      <c r="IB3285" s="5" t="s">
        <v>240</v>
      </c>
      <c r="IC3285" s="5" t="s">
        <v>240</v>
      </c>
      <c r="ID3285" s="5" t="s">
        <v>240</v>
      </c>
      <c r="IE3285" s="5" t="s">
        <v>240</v>
      </c>
      <c r="IF3285" s="5" t="s">
        <v>240</v>
      </c>
    </row>
    <row r="3286" spans="1:240" x14ac:dyDescent="0.4">
      <c r="A3286" s="5">
        <v>8828</v>
      </c>
      <c r="B3286" s="5">
        <v>1</v>
      </c>
      <c r="C3286" s="5">
        <v>1</v>
      </c>
      <c r="D3286" s="5" t="s">
        <v>723</v>
      </c>
      <c r="E3286" s="5" t="s">
        <v>725</v>
      </c>
      <c r="F3286" s="5" t="s">
        <v>730</v>
      </c>
      <c r="G3286" s="5" t="s">
        <v>726</v>
      </c>
      <c r="H3286" s="6" t="s">
        <v>6562</v>
      </c>
      <c r="I3286" s="5" t="s">
        <v>722</v>
      </c>
      <c r="J3286" s="8">
        <f>831</f>
        <v>831</v>
      </c>
      <c r="K3286" s="5" t="s">
        <v>308</v>
      </c>
      <c r="L3286" s="7">
        <f>0</f>
        <v>0</v>
      </c>
      <c r="M3286" s="7">
        <f>0</f>
        <v>0</v>
      </c>
      <c r="N3286" s="5" t="s">
        <v>242</v>
      </c>
      <c r="O3286" s="5">
        <v>1</v>
      </c>
      <c r="P3286" s="5" t="s">
        <v>294</v>
      </c>
      <c r="Q3286" s="5" t="s">
        <v>266</v>
      </c>
      <c r="R3286" s="5" t="s">
        <v>240</v>
      </c>
      <c r="S3286" s="5" t="s">
        <v>240</v>
      </c>
      <c r="T3286" s="5" t="s">
        <v>296</v>
      </c>
      <c r="U3286" s="5" t="s">
        <v>244</v>
      </c>
      <c r="V3286" s="5" t="s">
        <v>240</v>
      </c>
      <c r="Y3286" s="5" t="s">
        <v>240</v>
      </c>
      <c r="Z3286" s="6" t="s">
        <v>298</v>
      </c>
      <c r="AB3286" s="6" t="s">
        <v>240</v>
      </c>
      <c r="AE3286" s="6" t="s">
        <v>299</v>
      </c>
      <c r="AF3286" s="5" t="s">
        <v>248</v>
      </c>
      <c r="AG3286" s="5" t="s">
        <v>249</v>
      </c>
      <c r="AW3286" s="5" t="s">
        <v>251</v>
      </c>
      <c r="AX3286" s="5" t="s">
        <v>240</v>
      </c>
      <c r="AY3286" s="5" t="s">
        <v>253</v>
      </c>
      <c r="AZ3286" s="5" t="s">
        <v>240</v>
      </c>
      <c r="BA3286" s="5" t="s">
        <v>255</v>
      </c>
      <c r="BB3286" s="5" t="s">
        <v>240</v>
      </c>
      <c r="BD3286" s="5" t="s">
        <v>240</v>
      </c>
      <c r="BF3286" s="5" t="s">
        <v>301</v>
      </c>
      <c r="BG3286" s="6" t="s">
        <v>299</v>
      </c>
      <c r="BH3286" s="5" t="s">
        <v>302</v>
      </c>
      <c r="BI3286" s="5" t="s">
        <v>303</v>
      </c>
      <c r="BJ3286" s="5" t="s">
        <v>240</v>
      </c>
      <c r="BK3286" s="8">
        <f>0</f>
        <v>0</v>
      </c>
      <c r="BL3286" s="7">
        <f>0</f>
        <v>0</v>
      </c>
      <c r="BM3286" s="5" t="s">
        <v>258</v>
      </c>
      <c r="BN3286" s="5" t="s">
        <v>259</v>
      </c>
      <c r="CB3286" s="5" t="s">
        <v>240</v>
      </c>
      <c r="CC3286" s="5" t="s">
        <v>240</v>
      </c>
      <c r="CG3286" s="5" t="s">
        <v>304</v>
      </c>
      <c r="CH3286" s="5" t="s">
        <v>305</v>
      </c>
      <c r="CI3286" s="5" t="s">
        <v>240</v>
      </c>
      <c r="CL3286" s="6" t="s">
        <v>261</v>
      </c>
      <c r="CM3286" s="5" t="s">
        <v>240</v>
      </c>
      <c r="CN3286" s="5" t="s">
        <v>263</v>
      </c>
      <c r="CO3286" s="5" t="s">
        <v>240</v>
      </c>
      <c r="CP3286" s="5" t="s">
        <v>240</v>
      </c>
      <c r="CQ3286" s="5">
        <v>0</v>
      </c>
      <c r="CR3286" s="5" t="s">
        <v>306</v>
      </c>
      <c r="CS3286" s="5" t="s">
        <v>307</v>
      </c>
      <c r="CT3286" s="5" t="s">
        <v>307</v>
      </c>
      <c r="CU3286" s="5" t="s">
        <v>260</v>
      </c>
      <c r="CX3286" s="7">
        <f>1</f>
        <v>1</v>
      </c>
      <c r="CY3286" s="7">
        <f>0</f>
        <v>0</v>
      </c>
      <c r="DA3286" s="7">
        <f>0</f>
        <v>0</v>
      </c>
      <c r="DC3286" s="5" t="s">
        <v>309</v>
      </c>
      <c r="DD3286" s="5" t="s">
        <v>240</v>
      </c>
      <c r="DF3286" s="5" t="s">
        <v>309</v>
      </c>
      <c r="DG3286" s="7">
        <f>566</f>
        <v>566</v>
      </c>
      <c r="DI3286" s="5" t="s">
        <v>240</v>
      </c>
      <c r="DJ3286" s="5" t="s">
        <v>240</v>
      </c>
      <c r="DK3286" s="5" t="s">
        <v>240</v>
      </c>
      <c r="DL3286" s="5" t="s">
        <v>240</v>
      </c>
      <c r="DP3286" s="5" t="s">
        <v>240</v>
      </c>
      <c r="DQ3286" s="5" t="s">
        <v>240</v>
      </c>
      <c r="DR3286" s="5" t="s">
        <v>240</v>
      </c>
      <c r="DS3286" s="5" t="s">
        <v>240</v>
      </c>
      <c r="DV3286" s="5" t="s">
        <v>310</v>
      </c>
      <c r="DW3286" s="5" t="s">
        <v>4910</v>
      </c>
      <c r="HO3286" s="5" t="s">
        <v>312</v>
      </c>
    </row>
    <row r="3287" spans="1:240" x14ac:dyDescent="0.4">
      <c r="A3287" s="5">
        <v>8829</v>
      </c>
      <c r="B3287" s="5">
        <v>1</v>
      </c>
      <c r="C3287" s="5">
        <v>1</v>
      </c>
      <c r="D3287" s="5" t="s">
        <v>723</v>
      </c>
      <c r="E3287" s="5" t="s">
        <v>725</v>
      </c>
      <c r="F3287" s="5" t="s">
        <v>730</v>
      </c>
      <c r="G3287" s="5" t="s">
        <v>726</v>
      </c>
      <c r="H3287" s="6" t="s">
        <v>6563</v>
      </c>
      <c r="I3287" s="5" t="s">
        <v>990</v>
      </c>
      <c r="J3287" s="8">
        <f>602</f>
        <v>602</v>
      </c>
      <c r="K3287" s="5" t="s">
        <v>308</v>
      </c>
      <c r="L3287" s="7">
        <f>0</f>
        <v>0</v>
      </c>
      <c r="M3287" s="7">
        <f>0</f>
        <v>0</v>
      </c>
      <c r="N3287" s="5" t="s">
        <v>242</v>
      </c>
      <c r="O3287" s="5">
        <v>1</v>
      </c>
      <c r="P3287" s="5" t="s">
        <v>294</v>
      </c>
      <c r="Q3287" s="5" t="s">
        <v>3678</v>
      </c>
      <c r="R3287" s="5" t="s">
        <v>240</v>
      </c>
      <c r="S3287" s="5" t="s">
        <v>240</v>
      </c>
      <c r="T3287" s="5" t="s">
        <v>243</v>
      </c>
      <c r="U3287" s="5" t="s">
        <v>244</v>
      </c>
      <c r="V3287" s="5" t="s">
        <v>240</v>
      </c>
      <c r="W3287" s="5" t="s">
        <v>240</v>
      </c>
      <c r="X3287" s="5" t="s">
        <v>240</v>
      </c>
      <c r="Y3287" s="5" t="s">
        <v>240</v>
      </c>
      <c r="Z3287" s="6" t="s">
        <v>298</v>
      </c>
      <c r="AA3287" s="6" t="s">
        <v>240</v>
      </c>
      <c r="AB3287" s="6" t="s">
        <v>240</v>
      </c>
      <c r="AC3287" s="5" t="s">
        <v>240</v>
      </c>
      <c r="AD3287" s="6" t="s">
        <v>240</v>
      </c>
      <c r="AE3287" s="6" t="s">
        <v>299</v>
      </c>
      <c r="AF3287" s="5" t="s">
        <v>248</v>
      </c>
      <c r="AG3287" s="5" t="s">
        <v>249</v>
      </c>
      <c r="AH3287" s="5" t="s">
        <v>240</v>
      </c>
      <c r="AI3287" s="5" t="s">
        <v>240</v>
      </c>
      <c r="AJ3287" s="5" t="s">
        <v>240</v>
      </c>
      <c r="AK3287" s="5" t="s">
        <v>240</v>
      </c>
      <c r="AL3287" s="5" t="s">
        <v>240</v>
      </c>
      <c r="AM3287" s="5" t="s">
        <v>240</v>
      </c>
      <c r="AN3287" s="5" t="s">
        <v>240</v>
      </c>
      <c r="AO3287" s="5" t="s">
        <v>240</v>
      </c>
      <c r="AP3287" s="6" t="s">
        <v>240</v>
      </c>
      <c r="AQ3287" s="6" t="s">
        <v>240</v>
      </c>
      <c r="AR3287" s="6" t="s">
        <v>240</v>
      </c>
      <c r="AS3287" s="6" t="s">
        <v>240</v>
      </c>
      <c r="AT3287" s="5" t="s">
        <v>240</v>
      </c>
      <c r="AU3287" s="5" t="s">
        <v>729</v>
      </c>
      <c r="AV3287" s="5" t="s">
        <v>729</v>
      </c>
      <c r="AW3287" s="5" t="s">
        <v>251</v>
      </c>
      <c r="AX3287" s="5" t="s">
        <v>252</v>
      </c>
      <c r="AY3287" s="5" t="s">
        <v>253</v>
      </c>
      <c r="AZ3287" s="5" t="s">
        <v>240</v>
      </c>
      <c r="BA3287" s="5" t="s">
        <v>255</v>
      </c>
      <c r="BB3287" s="5" t="s">
        <v>731</v>
      </c>
      <c r="BD3287" s="5" t="s">
        <v>240</v>
      </c>
      <c r="BF3287" s="5" t="s">
        <v>732</v>
      </c>
      <c r="BG3287" s="6" t="s">
        <v>733</v>
      </c>
      <c r="BH3287" s="5" t="s">
        <v>734</v>
      </c>
      <c r="BI3287" s="5" t="s">
        <v>734</v>
      </c>
      <c r="BJ3287" s="5" t="s">
        <v>240</v>
      </c>
      <c r="BK3287" s="7">
        <f>1</f>
        <v>1</v>
      </c>
      <c r="BL3287" s="7">
        <f>1</f>
        <v>1</v>
      </c>
      <c r="BM3287" s="5" t="s">
        <v>258</v>
      </c>
      <c r="BN3287" s="5" t="s">
        <v>259</v>
      </c>
      <c r="BO3287" s="5" t="s">
        <v>240</v>
      </c>
      <c r="BP3287" s="5" t="s">
        <v>240</v>
      </c>
      <c r="BQ3287" s="5" t="s">
        <v>240</v>
      </c>
      <c r="BR3287" s="5" t="s">
        <v>240</v>
      </c>
      <c r="BS3287" s="5" t="s">
        <v>240</v>
      </c>
      <c r="BT3287" s="5" t="s">
        <v>240</v>
      </c>
      <c r="BU3287" s="5" t="s">
        <v>240</v>
      </c>
      <c r="BV3287" s="5" t="s">
        <v>240</v>
      </c>
      <c r="BW3287" s="6" t="s">
        <v>240</v>
      </c>
      <c r="BX3287" s="5" t="s">
        <v>240</v>
      </c>
      <c r="BY3287" s="5" t="s">
        <v>240</v>
      </c>
      <c r="BZ3287" s="5" t="s">
        <v>240</v>
      </c>
      <c r="CA3287" s="5" t="s">
        <v>259</v>
      </c>
      <c r="CB3287" s="5" t="s">
        <v>240</v>
      </c>
      <c r="CC3287" s="5" t="s">
        <v>240</v>
      </c>
      <c r="CD3287" s="5" t="s">
        <v>240</v>
      </c>
      <c r="CE3287" s="5" t="s">
        <v>240</v>
      </c>
      <c r="CF3287" s="5" t="s">
        <v>240</v>
      </c>
      <c r="CG3287" s="5" t="s">
        <v>304</v>
      </c>
      <c r="CH3287" s="5" t="s">
        <v>305</v>
      </c>
      <c r="CI3287" s="5" t="s">
        <v>240</v>
      </c>
      <c r="CK3287" s="5" t="s">
        <v>3681</v>
      </c>
      <c r="CL3287" s="6" t="s">
        <v>261</v>
      </c>
      <c r="CM3287" s="5" t="s">
        <v>262</v>
      </c>
      <c r="CN3287" s="5" t="s">
        <v>263</v>
      </c>
      <c r="CO3287" s="5" t="s">
        <v>264</v>
      </c>
      <c r="CP3287" s="5" t="s">
        <v>240</v>
      </c>
      <c r="CQ3287" s="5">
        <v>0</v>
      </c>
      <c r="CR3287" s="5" t="s">
        <v>735</v>
      </c>
      <c r="CS3287" s="5" t="s">
        <v>307</v>
      </c>
      <c r="CT3287" s="5" t="s">
        <v>307</v>
      </c>
      <c r="CU3287" s="5" t="s">
        <v>260</v>
      </c>
      <c r="CV3287" s="5" t="s">
        <v>612</v>
      </c>
      <c r="CW3287" s="8">
        <f>1</f>
        <v>1</v>
      </c>
      <c r="CX3287" s="7">
        <f>1</f>
        <v>1</v>
      </c>
      <c r="CY3287" s="7">
        <f>0</f>
        <v>0</v>
      </c>
      <c r="DA3287" s="7">
        <f>1</f>
        <v>1</v>
      </c>
      <c r="DB3287" s="7" t="s">
        <v>240</v>
      </c>
      <c r="DC3287" s="5" t="s">
        <v>240</v>
      </c>
      <c r="DD3287" s="5" t="s">
        <v>240</v>
      </c>
      <c r="DE3287" s="5" t="s">
        <v>240</v>
      </c>
      <c r="DF3287" s="5" t="s">
        <v>240</v>
      </c>
      <c r="DG3287" s="7">
        <f>0</f>
        <v>0</v>
      </c>
      <c r="DI3287" s="5" t="s">
        <v>240</v>
      </c>
      <c r="DJ3287" s="5" t="s">
        <v>240</v>
      </c>
      <c r="DK3287" s="5" t="s">
        <v>240</v>
      </c>
      <c r="DL3287" s="5" t="s">
        <v>240</v>
      </c>
      <c r="DM3287" s="5" t="s">
        <v>240</v>
      </c>
      <c r="DN3287" s="5" t="s">
        <v>240</v>
      </c>
      <c r="DO3287" s="7" t="s">
        <v>240</v>
      </c>
      <c r="DP3287" s="5" t="s">
        <v>240</v>
      </c>
      <c r="DQ3287" s="5" t="s">
        <v>240</v>
      </c>
      <c r="DR3287" s="5" t="s">
        <v>731</v>
      </c>
      <c r="DS3287" s="5" t="s">
        <v>731</v>
      </c>
      <c r="DT3287" s="5" t="s">
        <v>240</v>
      </c>
      <c r="DU3287" s="5" t="s">
        <v>240</v>
      </c>
      <c r="DV3287" s="5" t="s">
        <v>3683</v>
      </c>
      <c r="DW3287" s="5" t="s">
        <v>1216</v>
      </c>
      <c r="DX3287" s="5" t="s">
        <v>240</v>
      </c>
      <c r="DY3287" s="5" t="s">
        <v>240</v>
      </c>
      <c r="DZ3287" s="5" t="s">
        <v>240</v>
      </c>
      <c r="EA3287" s="5" t="s">
        <v>240</v>
      </c>
      <c r="EB3287" s="5" t="s">
        <v>240</v>
      </c>
      <c r="EC3287" s="5" t="s">
        <v>240</v>
      </c>
      <c r="ED3287" s="5" t="s">
        <v>240</v>
      </c>
      <c r="EE3287" s="5" t="s">
        <v>240</v>
      </c>
      <c r="EF3287" s="5" t="s">
        <v>240</v>
      </c>
      <c r="EG3287" s="5" t="s">
        <v>240</v>
      </c>
      <c r="EH3287" s="5" t="s">
        <v>240</v>
      </c>
      <c r="EI3287" s="5" t="s">
        <v>240</v>
      </c>
      <c r="EJ3287" s="5" t="s">
        <v>240</v>
      </c>
      <c r="EK3287" s="5" t="s">
        <v>240</v>
      </c>
      <c r="EL3287" s="5" t="s">
        <v>240</v>
      </c>
      <c r="EM3287" s="5" t="s">
        <v>240</v>
      </c>
      <c r="EN3287" s="5" t="s">
        <v>240</v>
      </c>
      <c r="EO3287" s="5" t="s">
        <v>240</v>
      </c>
      <c r="EP3287" s="5" t="s">
        <v>240</v>
      </c>
      <c r="EQ3287" s="5" t="s">
        <v>240</v>
      </c>
      <c r="ER3287" s="5" t="s">
        <v>240</v>
      </c>
      <c r="ES3287" s="5" t="s">
        <v>240</v>
      </c>
      <c r="ET3287" s="5" t="s">
        <v>240</v>
      </c>
      <c r="EU3287" s="5" t="s">
        <v>240</v>
      </c>
      <c r="EV3287" s="5" t="s">
        <v>240</v>
      </c>
      <c r="EW3287" s="5" t="s">
        <v>240</v>
      </c>
      <c r="EX3287" s="5" t="s">
        <v>240</v>
      </c>
      <c r="EY3287" s="5" t="s">
        <v>240</v>
      </c>
      <c r="EZ3287" s="5" t="s">
        <v>240</v>
      </c>
      <c r="FA3287" s="5" t="s">
        <v>240</v>
      </c>
      <c r="FB3287" s="5" t="s">
        <v>240</v>
      </c>
      <c r="FC3287" s="5" t="s">
        <v>240</v>
      </c>
      <c r="FD3287" s="5" t="s">
        <v>240</v>
      </c>
      <c r="FE3287" s="5" t="s">
        <v>240</v>
      </c>
      <c r="FF3287" s="5" t="s">
        <v>240</v>
      </c>
      <c r="FG3287" s="5" t="s">
        <v>240</v>
      </c>
      <c r="FH3287" s="5" t="s">
        <v>240</v>
      </c>
      <c r="FI3287" s="5" t="s">
        <v>240</v>
      </c>
      <c r="FJ3287" s="5" t="s">
        <v>240</v>
      </c>
      <c r="FK3287" s="5" t="s">
        <v>240</v>
      </c>
      <c r="FL3287" s="5" t="s">
        <v>240</v>
      </c>
      <c r="FM3287" s="5" t="s">
        <v>240</v>
      </c>
      <c r="FN3287" s="5" t="s">
        <v>240</v>
      </c>
      <c r="FO3287" s="5" t="s">
        <v>240</v>
      </c>
      <c r="FP3287" s="5" t="s">
        <v>240</v>
      </c>
      <c r="FQ3287" s="5" t="s">
        <v>240</v>
      </c>
      <c r="FR3287" s="5" t="s">
        <v>240</v>
      </c>
      <c r="FS3287" s="5" t="s">
        <v>240</v>
      </c>
      <c r="FT3287" s="5" t="s">
        <v>240</v>
      </c>
      <c r="FU3287" s="5" t="s">
        <v>240</v>
      </c>
      <c r="FV3287" s="5" t="s">
        <v>240</v>
      </c>
      <c r="FW3287" s="5" t="s">
        <v>240</v>
      </c>
      <c r="FX3287" s="5" t="s">
        <v>240</v>
      </c>
      <c r="FY3287" s="5" t="s">
        <v>240</v>
      </c>
      <c r="FZ3287" s="5" t="s">
        <v>240</v>
      </c>
      <c r="GA3287" s="5" t="s">
        <v>240</v>
      </c>
      <c r="GB3287" s="5" t="s">
        <v>240</v>
      </c>
      <c r="GC3287" s="5" t="s">
        <v>240</v>
      </c>
      <c r="GD3287" s="5" t="s">
        <v>240</v>
      </c>
      <c r="GE3287" s="5" t="s">
        <v>240</v>
      </c>
      <c r="GF3287" s="5" t="s">
        <v>240</v>
      </c>
      <c r="GG3287" s="5" t="s">
        <v>240</v>
      </c>
      <c r="GH3287" s="5" t="s">
        <v>240</v>
      </c>
      <c r="GI3287" s="5" t="s">
        <v>240</v>
      </c>
      <c r="GJ3287" s="5" t="s">
        <v>240</v>
      </c>
      <c r="GK3287" s="5" t="s">
        <v>240</v>
      </c>
      <c r="GL3287" s="5" t="s">
        <v>240</v>
      </c>
      <c r="GM3287" s="5" t="s">
        <v>240</v>
      </c>
      <c r="GN3287" s="5" t="s">
        <v>240</v>
      </c>
      <c r="GO3287" s="5" t="s">
        <v>240</v>
      </c>
      <c r="GP3287" s="5" t="s">
        <v>240</v>
      </c>
      <c r="GQ3287" s="5" t="s">
        <v>240</v>
      </c>
      <c r="GR3287" s="5" t="s">
        <v>240</v>
      </c>
      <c r="GS3287" s="5" t="s">
        <v>240</v>
      </c>
      <c r="GT3287" s="5" t="s">
        <v>240</v>
      </c>
      <c r="GU3287" s="5" t="s">
        <v>240</v>
      </c>
      <c r="GV3287" s="5" t="s">
        <v>240</v>
      </c>
      <c r="GW3287" s="5" t="s">
        <v>240</v>
      </c>
      <c r="GX3287" s="5" t="s">
        <v>240</v>
      </c>
      <c r="GY3287" s="5" t="s">
        <v>240</v>
      </c>
      <c r="GZ3287" s="5" t="s">
        <v>240</v>
      </c>
      <c r="HA3287" s="5" t="s">
        <v>240</v>
      </c>
      <c r="HB3287" s="5" t="s">
        <v>240</v>
      </c>
      <c r="HC3287" s="5" t="s">
        <v>240</v>
      </c>
      <c r="HD3287" s="5" t="s">
        <v>240</v>
      </c>
      <c r="HE3287" s="5" t="s">
        <v>240</v>
      </c>
      <c r="HF3287" s="5" t="s">
        <v>240</v>
      </c>
      <c r="HG3287" s="5" t="s">
        <v>240</v>
      </c>
      <c r="HH3287" s="5" t="s">
        <v>240</v>
      </c>
      <c r="HI3287" s="5" t="s">
        <v>240</v>
      </c>
      <c r="HJ3287" s="5" t="s">
        <v>240</v>
      </c>
      <c r="HK3287" s="5" t="s">
        <v>240</v>
      </c>
      <c r="HL3287" s="5" t="s">
        <v>240</v>
      </c>
      <c r="HM3287" s="5" t="s">
        <v>240</v>
      </c>
      <c r="HN3287" s="5" t="s">
        <v>240</v>
      </c>
      <c r="HO3287" s="5" t="s">
        <v>312</v>
      </c>
      <c r="HP3287" s="5" t="s">
        <v>240</v>
      </c>
      <c r="HQ3287" s="5" t="s">
        <v>240</v>
      </c>
      <c r="HR3287" s="5" t="s">
        <v>240</v>
      </c>
      <c r="HS3287" s="5" t="s">
        <v>240</v>
      </c>
      <c r="HT3287" s="5" t="s">
        <v>240</v>
      </c>
      <c r="HU3287" s="5" t="s">
        <v>240</v>
      </c>
      <c r="HV3287" s="5" t="s">
        <v>240</v>
      </c>
      <c r="HW3287" s="5" t="s">
        <v>240</v>
      </c>
      <c r="HX3287" s="5" t="s">
        <v>240</v>
      </c>
      <c r="HY3287" s="5" t="s">
        <v>240</v>
      </c>
      <c r="HZ3287" s="5" t="s">
        <v>240</v>
      </c>
      <c r="IA3287" s="5" t="s">
        <v>240</v>
      </c>
      <c r="IB3287" s="5" t="s">
        <v>240</v>
      </c>
      <c r="IC3287" s="5" t="s">
        <v>240</v>
      </c>
      <c r="ID3287" s="5" t="s">
        <v>240</v>
      </c>
      <c r="IE3287" s="5" t="s">
        <v>240</v>
      </c>
      <c r="IF3287" s="5" t="s">
        <v>240</v>
      </c>
    </row>
    <row r="3288" spans="1:240" x14ac:dyDescent="0.4">
      <c r="A3288" s="5">
        <v>8830</v>
      </c>
      <c r="B3288" s="5">
        <v>1</v>
      </c>
      <c r="C3288" s="5">
        <v>1</v>
      </c>
      <c r="D3288" s="5" t="s">
        <v>723</v>
      </c>
      <c r="E3288" s="5" t="s">
        <v>725</v>
      </c>
      <c r="F3288" s="5" t="s">
        <v>730</v>
      </c>
      <c r="G3288" s="5" t="s">
        <v>726</v>
      </c>
      <c r="H3288" s="6" t="s">
        <v>6367</v>
      </c>
      <c r="I3288" s="5" t="s">
        <v>990</v>
      </c>
      <c r="J3288" s="8">
        <f>5339</f>
        <v>5339</v>
      </c>
      <c r="K3288" s="5" t="s">
        <v>308</v>
      </c>
      <c r="L3288" s="7">
        <f>0</f>
        <v>0</v>
      </c>
      <c r="M3288" s="7">
        <f>0</f>
        <v>0</v>
      </c>
      <c r="N3288" s="5" t="s">
        <v>242</v>
      </c>
      <c r="O3288" s="5">
        <v>1</v>
      </c>
      <c r="P3288" s="5" t="s">
        <v>294</v>
      </c>
      <c r="Q3288" s="5" t="s">
        <v>3678</v>
      </c>
      <c r="R3288" s="5" t="s">
        <v>240</v>
      </c>
      <c r="S3288" s="5" t="s">
        <v>240</v>
      </c>
      <c r="T3288" s="5" t="s">
        <v>243</v>
      </c>
      <c r="U3288" s="5" t="s">
        <v>244</v>
      </c>
      <c r="V3288" s="5" t="s">
        <v>240</v>
      </c>
      <c r="W3288" s="5" t="s">
        <v>240</v>
      </c>
      <c r="X3288" s="5" t="s">
        <v>240</v>
      </c>
      <c r="Y3288" s="5" t="s">
        <v>240</v>
      </c>
      <c r="Z3288" s="6" t="s">
        <v>298</v>
      </c>
      <c r="AA3288" s="6" t="s">
        <v>240</v>
      </c>
      <c r="AB3288" s="6" t="s">
        <v>240</v>
      </c>
      <c r="AC3288" s="5" t="s">
        <v>240</v>
      </c>
      <c r="AD3288" s="6" t="s">
        <v>240</v>
      </c>
      <c r="AE3288" s="6" t="s">
        <v>299</v>
      </c>
      <c r="AF3288" s="5" t="s">
        <v>248</v>
      </c>
      <c r="AG3288" s="5" t="s">
        <v>249</v>
      </c>
      <c r="AH3288" s="5" t="s">
        <v>240</v>
      </c>
      <c r="AI3288" s="5" t="s">
        <v>240</v>
      </c>
      <c r="AJ3288" s="5" t="s">
        <v>240</v>
      </c>
      <c r="AK3288" s="5" t="s">
        <v>240</v>
      </c>
      <c r="AL3288" s="5" t="s">
        <v>240</v>
      </c>
      <c r="AM3288" s="5" t="s">
        <v>240</v>
      </c>
      <c r="AN3288" s="5" t="s">
        <v>240</v>
      </c>
      <c r="AO3288" s="5" t="s">
        <v>240</v>
      </c>
      <c r="AP3288" s="6" t="s">
        <v>240</v>
      </c>
      <c r="AQ3288" s="6" t="s">
        <v>240</v>
      </c>
      <c r="AR3288" s="6" t="s">
        <v>240</v>
      </c>
      <c r="AS3288" s="6" t="s">
        <v>240</v>
      </c>
      <c r="AT3288" s="5" t="s">
        <v>240</v>
      </c>
      <c r="AU3288" s="5" t="s">
        <v>729</v>
      </c>
      <c r="AV3288" s="5" t="s">
        <v>729</v>
      </c>
      <c r="AW3288" s="5" t="s">
        <v>251</v>
      </c>
      <c r="AX3288" s="5" t="s">
        <v>252</v>
      </c>
      <c r="AY3288" s="5" t="s">
        <v>253</v>
      </c>
      <c r="AZ3288" s="5" t="s">
        <v>240</v>
      </c>
      <c r="BA3288" s="5" t="s">
        <v>255</v>
      </c>
      <c r="BB3288" s="5" t="s">
        <v>731</v>
      </c>
      <c r="BD3288" s="5" t="s">
        <v>240</v>
      </c>
      <c r="BF3288" s="5" t="s">
        <v>732</v>
      </c>
      <c r="BG3288" s="6" t="s">
        <v>733</v>
      </c>
      <c r="BH3288" s="5" t="s">
        <v>734</v>
      </c>
      <c r="BI3288" s="5" t="s">
        <v>734</v>
      </c>
      <c r="BJ3288" s="5" t="s">
        <v>240</v>
      </c>
      <c r="BK3288" s="7">
        <f>1</f>
        <v>1</v>
      </c>
      <c r="BL3288" s="7">
        <f>1</f>
        <v>1</v>
      </c>
      <c r="BM3288" s="5" t="s">
        <v>258</v>
      </c>
      <c r="BN3288" s="5" t="s">
        <v>259</v>
      </c>
      <c r="BO3288" s="5" t="s">
        <v>240</v>
      </c>
      <c r="BP3288" s="5" t="s">
        <v>240</v>
      </c>
      <c r="BQ3288" s="5" t="s">
        <v>240</v>
      </c>
      <c r="BR3288" s="5" t="s">
        <v>240</v>
      </c>
      <c r="BS3288" s="5" t="s">
        <v>240</v>
      </c>
      <c r="BT3288" s="5" t="s">
        <v>240</v>
      </c>
      <c r="BU3288" s="5" t="s">
        <v>240</v>
      </c>
      <c r="BV3288" s="5" t="s">
        <v>240</v>
      </c>
      <c r="BW3288" s="6" t="s">
        <v>240</v>
      </c>
      <c r="BX3288" s="5" t="s">
        <v>240</v>
      </c>
      <c r="BY3288" s="5" t="s">
        <v>240</v>
      </c>
      <c r="BZ3288" s="5" t="s">
        <v>240</v>
      </c>
      <c r="CA3288" s="5" t="s">
        <v>259</v>
      </c>
      <c r="CB3288" s="5" t="s">
        <v>240</v>
      </c>
      <c r="CC3288" s="5" t="s">
        <v>240</v>
      </c>
      <c r="CD3288" s="5" t="s">
        <v>240</v>
      </c>
      <c r="CE3288" s="5" t="s">
        <v>240</v>
      </c>
      <c r="CF3288" s="5" t="s">
        <v>240</v>
      </c>
      <c r="CG3288" s="5" t="s">
        <v>304</v>
      </c>
      <c r="CH3288" s="5" t="s">
        <v>305</v>
      </c>
      <c r="CI3288" s="5" t="s">
        <v>240</v>
      </c>
      <c r="CK3288" s="5" t="s">
        <v>3681</v>
      </c>
      <c r="CL3288" s="6" t="s">
        <v>261</v>
      </c>
      <c r="CM3288" s="5" t="s">
        <v>262</v>
      </c>
      <c r="CN3288" s="5" t="s">
        <v>263</v>
      </c>
      <c r="CO3288" s="5" t="s">
        <v>264</v>
      </c>
      <c r="CP3288" s="5" t="s">
        <v>240</v>
      </c>
      <c r="CQ3288" s="5">
        <v>0</v>
      </c>
      <c r="CR3288" s="5" t="s">
        <v>735</v>
      </c>
      <c r="CS3288" s="5" t="s">
        <v>307</v>
      </c>
      <c r="CT3288" s="5" t="s">
        <v>307</v>
      </c>
      <c r="CU3288" s="5" t="s">
        <v>260</v>
      </c>
      <c r="CV3288" s="5" t="s">
        <v>612</v>
      </c>
      <c r="CW3288" s="8">
        <f>1</f>
        <v>1</v>
      </c>
      <c r="CX3288" s="7">
        <f>1</f>
        <v>1</v>
      </c>
      <c r="CY3288" s="7">
        <f>0</f>
        <v>0</v>
      </c>
      <c r="DA3288" s="7">
        <f>1</f>
        <v>1</v>
      </c>
      <c r="DB3288" s="7" t="s">
        <v>240</v>
      </c>
      <c r="DC3288" s="5" t="s">
        <v>240</v>
      </c>
      <c r="DD3288" s="5" t="s">
        <v>240</v>
      </c>
      <c r="DE3288" s="5" t="s">
        <v>240</v>
      </c>
      <c r="DF3288" s="5" t="s">
        <v>240</v>
      </c>
      <c r="DG3288" s="7">
        <f>0</f>
        <v>0</v>
      </c>
      <c r="DI3288" s="5" t="s">
        <v>240</v>
      </c>
      <c r="DJ3288" s="5" t="s">
        <v>240</v>
      </c>
      <c r="DK3288" s="5" t="s">
        <v>240</v>
      </c>
      <c r="DL3288" s="5" t="s">
        <v>240</v>
      </c>
      <c r="DM3288" s="5" t="s">
        <v>240</v>
      </c>
      <c r="DN3288" s="5" t="s">
        <v>240</v>
      </c>
      <c r="DO3288" s="7" t="s">
        <v>240</v>
      </c>
      <c r="DP3288" s="5" t="s">
        <v>240</v>
      </c>
      <c r="DQ3288" s="5" t="s">
        <v>240</v>
      </c>
      <c r="DR3288" s="5" t="s">
        <v>731</v>
      </c>
      <c r="DS3288" s="5" t="s">
        <v>731</v>
      </c>
      <c r="DT3288" s="5" t="s">
        <v>240</v>
      </c>
      <c r="DU3288" s="5" t="s">
        <v>240</v>
      </c>
      <c r="DV3288" s="5" t="s">
        <v>3683</v>
      </c>
      <c r="DW3288" s="5" t="s">
        <v>1046</v>
      </c>
      <c r="DX3288" s="5" t="s">
        <v>240</v>
      </c>
      <c r="DY3288" s="5" t="s">
        <v>240</v>
      </c>
      <c r="DZ3288" s="5" t="s">
        <v>240</v>
      </c>
      <c r="EA3288" s="5" t="s">
        <v>240</v>
      </c>
      <c r="EB3288" s="5" t="s">
        <v>240</v>
      </c>
      <c r="EC3288" s="5" t="s">
        <v>240</v>
      </c>
      <c r="ED3288" s="5" t="s">
        <v>240</v>
      </c>
      <c r="EE3288" s="5" t="s">
        <v>240</v>
      </c>
      <c r="EF3288" s="5" t="s">
        <v>240</v>
      </c>
      <c r="EG3288" s="5" t="s">
        <v>240</v>
      </c>
      <c r="EH3288" s="5" t="s">
        <v>240</v>
      </c>
      <c r="EI3288" s="5" t="s">
        <v>240</v>
      </c>
      <c r="EJ3288" s="5" t="s">
        <v>240</v>
      </c>
      <c r="EK3288" s="5" t="s">
        <v>240</v>
      </c>
      <c r="EL3288" s="5" t="s">
        <v>240</v>
      </c>
      <c r="EM3288" s="5" t="s">
        <v>240</v>
      </c>
      <c r="EN3288" s="5" t="s">
        <v>240</v>
      </c>
      <c r="EO3288" s="5" t="s">
        <v>240</v>
      </c>
      <c r="EP3288" s="5" t="s">
        <v>240</v>
      </c>
      <c r="EQ3288" s="5" t="s">
        <v>240</v>
      </c>
      <c r="ER3288" s="5" t="s">
        <v>240</v>
      </c>
      <c r="ES3288" s="5" t="s">
        <v>240</v>
      </c>
      <c r="ET3288" s="5" t="s">
        <v>240</v>
      </c>
      <c r="EU3288" s="5" t="s">
        <v>240</v>
      </c>
      <c r="EV3288" s="5" t="s">
        <v>240</v>
      </c>
      <c r="EW3288" s="5" t="s">
        <v>240</v>
      </c>
      <c r="EX3288" s="5" t="s">
        <v>240</v>
      </c>
      <c r="EY3288" s="5" t="s">
        <v>240</v>
      </c>
      <c r="EZ3288" s="5" t="s">
        <v>240</v>
      </c>
      <c r="FA3288" s="5" t="s">
        <v>240</v>
      </c>
      <c r="FB3288" s="5" t="s">
        <v>240</v>
      </c>
      <c r="FC3288" s="5" t="s">
        <v>240</v>
      </c>
      <c r="FD3288" s="5" t="s">
        <v>240</v>
      </c>
      <c r="FE3288" s="5" t="s">
        <v>240</v>
      </c>
      <c r="FF3288" s="5" t="s">
        <v>240</v>
      </c>
      <c r="FG3288" s="5" t="s">
        <v>240</v>
      </c>
      <c r="FH3288" s="5" t="s">
        <v>240</v>
      </c>
      <c r="FI3288" s="5" t="s">
        <v>240</v>
      </c>
      <c r="FJ3288" s="5" t="s">
        <v>240</v>
      </c>
      <c r="FK3288" s="5" t="s">
        <v>240</v>
      </c>
      <c r="FL3288" s="5" t="s">
        <v>240</v>
      </c>
      <c r="FM3288" s="5" t="s">
        <v>240</v>
      </c>
      <c r="FN3288" s="5" t="s">
        <v>240</v>
      </c>
      <c r="FO3288" s="5" t="s">
        <v>240</v>
      </c>
      <c r="FP3288" s="5" t="s">
        <v>240</v>
      </c>
      <c r="FQ3288" s="5" t="s">
        <v>240</v>
      </c>
      <c r="FR3288" s="5" t="s">
        <v>240</v>
      </c>
      <c r="FS3288" s="5" t="s">
        <v>240</v>
      </c>
      <c r="FT3288" s="5" t="s">
        <v>240</v>
      </c>
      <c r="FU3288" s="5" t="s">
        <v>240</v>
      </c>
      <c r="FV3288" s="5" t="s">
        <v>240</v>
      </c>
      <c r="FW3288" s="5" t="s">
        <v>240</v>
      </c>
      <c r="FX3288" s="5" t="s">
        <v>240</v>
      </c>
      <c r="FY3288" s="5" t="s">
        <v>240</v>
      </c>
      <c r="FZ3288" s="5" t="s">
        <v>240</v>
      </c>
      <c r="GA3288" s="5" t="s">
        <v>240</v>
      </c>
      <c r="GB3288" s="5" t="s">
        <v>240</v>
      </c>
      <c r="GC3288" s="5" t="s">
        <v>240</v>
      </c>
      <c r="GD3288" s="5" t="s">
        <v>240</v>
      </c>
      <c r="GE3288" s="5" t="s">
        <v>240</v>
      </c>
      <c r="GF3288" s="5" t="s">
        <v>240</v>
      </c>
      <c r="GG3288" s="5" t="s">
        <v>240</v>
      </c>
      <c r="GH3288" s="5" t="s">
        <v>240</v>
      </c>
      <c r="GI3288" s="5" t="s">
        <v>240</v>
      </c>
      <c r="GJ3288" s="5" t="s">
        <v>240</v>
      </c>
      <c r="GK3288" s="5" t="s">
        <v>240</v>
      </c>
      <c r="GL3288" s="5" t="s">
        <v>240</v>
      </c>
      <c r="GM3288" s="5" t="s">
        <v>240</v>
      </c>
      <c r="GN3288" s="5" t="s">
        <v>240</v>
      </c>
      <c r="GO3288" s="5" t="s">
        <v>240</v>
      </c>
      <c r="GP3288" s="5" t="s">
        <v>240</v>
      </c>
      <c r="GQ3288" s="5" t="s">
        <v>240</v>
      </c>
      <c r="GR3288" s="5" t="s">
        <v>240</v>
      </c>
      <c r="GS3288" s="5" t="s">
        <v>240</v>
      </c>
      <c r="GT3288" s="5" t="s">
        <v>240</v>
      </c>
      <c r="GU3288" s="5" t="s">
        <v>240</v>
      </c>
      <c r="GV3288" s="5" t="s">
        <v>240</v>
      </c>
      <c r="GW3288" s="5" t="s">
        <v>240</v>
      </c>
      <c r="GX3288" s="5" t="s">
        <v>240</v>
      </c>
      <c r="GY3288" s="5" t="s">
        <v>240</v>
      </c>
      <c r="GZ3288" s="5" t="s">
        <v>240</v>
      </c>
      <c r="HA3288" s="5" t="s">
        <v>240</v>
      </c>
      <c r="HB3288" s="5" t="s">
        <v>240</v>
      </c>
      <c r="HC3288" s="5" t="s">
        <v>240</v>
      </c>
      <c r="HD3288" s="5" t="s">
        <v>240</v>
      </c>
      <c r="HE3288" s="5" t="s">
        <v>240</v>
      </c>
      <c r="HF3288" s="5" t="s">
        <v>240</v>
      </c>
      <c r="HG3288" s="5" t="s">
        <v>240</v>
      </c>
      <c r="HH3288" s="5" t="s">
        <v>240</v>
      </c>
      <c r="HI3288" s="5" t="s">
        <v>240</v>
      </c>
      <c r="HJ3288" s="5" t="s">
        <v>240</v>
      </c>
      <c r="HK3288" s="5" t="s">
        <v>240</v>
      </c>
      <c r="HL3288" s="5" t="s">
        <v>240</v>
      </c>
      <c r="HM3288" s="5" t="s">
        <v>240</v>
      </c>
      <c r="HN3288" s="5" t="s">
        <v>240</v>
      </c>
      <c r="HO3288" s="5" t="s">
        <v>312</v>
      </c>
      <c r="HP3288" s="5" t="s">
        <v>240</v>
      </c>
      <c r="HQ3288" s="5" t="s">
        <v>240</v>
      </c>
      <c r="HR3288" s="5" t="s">
        <v>240</v>
      </c>
      <c r="HS3288" s="5" t="s">
        <v>240</v>
      </c>
      <c r="HT3288" s="5" t="s">
        <v>240</v>
      </c>
      <c r="HU3288" s="5" t="s">
        <v>240</v>
      </c>
      <c r="HV3288" s="5" t="s">
        <v>240</v>
      </c>
      <c r="HW3288" s="5" t="s">
        <v>240</v>
      </c>
      <c r="HX3288" s="5" t="s">
        <v>240</v>
      </c>
      <c r="HY3288" s="5" t="s">
        <v>240</v>
      </c>
      <c r="HZ3288" s="5" t="s">
        <v>240</v>
      </c>
      <c r="IA3288" s="5" t="s">
        <v>240</v>
      </c>
      <c r="IB3288" s="5" t="s">
        <v>240</v>
      </c>
      <c r="IC3288" s="5" t="s">
        <v>240</v>
      </c>
      <c r="ID3288" s="5" t="s">
        <v>240</v>
      </c>
      <c r="IE3288" s="5" t="s">
        <v>240</v>
      </c>
      <c r="IF3288" s="5" t="s">
        <v>240</v>
      </c>
    </row>
    <row r="3289" spans="1:240" x14ac:dyDescent="0.4">
      <c r="A3289" s="5">
        <v>8831</v>
      </c>
      <c r="B3289" s="5">
        <v>1</v>
      </c>
      <c r="C3289" s="5">
        <v>1</v>
      </c>
      <c r="D3289" s="5" t="s">
        <v>723</v>
      </c>
      <c r="E3289" s="5" t="s">
        <v>725</v>
      </c>
      <c r="F3289" s="5" t="s">
        <v>730</v>
      </c>
      <c r="G3289" s="5" t="s">
        <v>726</v>
      </c>
      <c r="H3289" s="6" t="s">
        <v>6566</v>
      </c>
      <c r="I3289" s="5" t="s">
        <v>990</v>
      </c>
      <c r="J3289" s="8">
        <f>181.81</f>
        <v>181.81</v>
      </c>
      <c r="K3289" s="5" t="s">
        <v>308</v>
      </c>
      <c r="L3289" s="7">
        <f>0</f>
        <v>0</v>
      </c>
      <c r="M3289" s="7">
        <f>0</f>
        <v>0</v>
      </c>
      <c r="N3289" s="5" t="s">
        <v>242</v>
      </c>
      <c r="O3289" s="5">
        <v>1</v>
      </c>
      <c r="P3289" s="5" t="s">
        <v>294</v>
      </c>
      <c r="Q3289" s="5" t="s">
        <v>3678</v>
      </c>
      <c r="R3289" s="5" t="s">
        <v>240</v>
      </c>
      <c r="S3289" s="5" t="s">
        <v>240</v>
      </c>
      <c r="T3289" s="5" t="s">
        <v>243</v>
      </c>
      <c r="U3289" s="5" t="s">
        <v>244</v>
      </c>
      <c r="V3289" s="5" t="s">
        <v>240</v>
      </c>
      <c r="W3289" s="5" t="s">
        <v>240</v>
      </c>
      <c r="X3289" s="5" t="s">
        <v>240</v>
      </c>
      <c r="Y3289" s="5" t="s">
        <v>240</v>
      </c>
      <c r="Z3289" s="6" t="s">
        <v>298</v>
      </c>
      <c r="AA3289" s="6" t="s">
        <v>240</v>
      </c>
      <c r="AB3289" s="6" t="s">
        <v>240</v>
      </c>
      <c r="AC3289" s="5" t="s">
        <v>240</v>
      </c>
      <c r="AD3289" s="6" t="s">
        <v>240</v>
      </c>
      <c r="AE3289" s="6" t="s">
        <v>299</v>
      </c>
      <c r="AF3289" s="5" t="s">
        <v>248</v>
      </c>
      <c r="AG3289" s="5" t="s">
        <v>249</v>
      </c>
      <c r="AH3289" s="5" t="s">
        <v>240</v>
      </c>
      <c r="AI3289" s="5" t="s">
        <v>240</v>
      </c>
      <c r="AJ3289" s="5" t="s">
        <v>240</v>
      </c>
      <c r="AK3289" s="5" t="s">
        <v>240</v>
      </c>
      <c r="AL3289" s="5" t="s">
        <v>240</v>
      </c>
      <c r="AM3289" s="5" t="s">
        <v>240</v>
      </c>
      <c r="AN3289" s="5" t="s">
        <v>240</v>
      </c>
      <c r="AO3289" s="5" t="s">
        <v>240</v>
      </c>
      <c r="AP3289" s="6" t="s">
        <v>240</v>
      </c>
      <c r="AQ3289" s="6" t="s">
        <v>240</v>
      </c>
      <c r="AR3289" s="6" t="s">
        <v>240</v>
      </c>
      <c r="AS3289" s="6" t="s">
        <v>240</v>
      </c>
      <c r="AT3289" s="5" t="s">
        <v>240</v>
      </c>
      <c r="AU3289" s="5" t="s">
        <v>729</v>
      </c>
      <c r="AV3289" s="5" t="s">
        <v>729</v>
      </c>
      <c r="AW3289" s="5" t="s">
        <v>251</v>
      </c>
      <c r="AX3289" s="5" t="s">
        <v>252</v>
      </c>
      <c r="AY3289" s="5" t="s">
        <v>253</v>
      </c>
      <c r="AZ3289" s="5" t="s">
        <v>240</v>
      </c>
      <c r="BA3289" s="5" t="s">
        <v>255</v>
      </c>
      <c r="BB3289" s="5" t="s">
        <v>731</v>
      </c>
      <c r="BD3289" s="5" t="s">
        <v>240</v>
      </c>
      <c r="BF3289" s="5" t="s">
        <v>732</v>
      </c>
      <c r="BG3289" s="6" t="s">
        <v>733</v>
      </c>
      <c r="BH3289" s="5" t="s">
        <v>734</v>
      </c>
      <c r="BI3289" s="5" t="s">
        <v>734</v>
      </c>
      <c r="BJ3289" s="5" t="s">
        <v>240</v>
      </c>
      <c r="BK3289" s="7">
        <f>1</f>
        <v>1</v>
      </c>
      <c r="BL3289" s="7">
        <f>1</f>
        <v>1</v>
      </c>
      <c r="BM3289" s="5" t="s">
        <v>258</v>
      </c>
      <c r="BN3289" s="5" t="s">
        <v>259</v>
      </c>
      <c r="BO3289" s="5" t="s">
        <v>240</v>
      </c>
      <c r="BP3289" s="5" t="s">
        <v>240</v>
      </c>
      <c r="BQ3289" s="5" t="s">
        <v>240</v>
      </c>
      <c r="BR3289" s="5" t="s">
        <v>240</v>
      </c>
      <c r="BS3289" s="5" t="s">
        <v>240</v>
      </c>
      <c r="BT3289" s="5" t="s">
        <v>240</v>
      </c>
      <c r="BU3289" s="5" t="s">
        <v>240</v>
      </c>
      <c r="BV3289" s="5" t="s">
        <v>240</v>
      </c>
      <c r="BW3289" s="6" t="s">
        <v>240</v>
      </c>
      <c r="BX3289" s="5" t="s">
        <v>240</v>
      </c>
      <c r="BY3289" s="5" t="s">
        <v>240</v>
      </c>
      <c r="BZ3289" s="5" t="s">
        <v>240</v>
      </c>
      <c r="CA3289" s="5" t="s">
        <v>259</v>
      </c>
      <c r="CB3289" s="5" t="s">
        <v>240</v>
      </c>
      <c r="CC3289" s="5" t="s">
        <v>240</v>
      </c>
      <c r="CD3289" s="5" t="s">
        <v>240</v>
      </c>
      <c r="CE3289" s="5" t="s">
        <v>240</v>
      </c>
      <c r="CF3289" s="5" t="s">
        <v>240</v>
      </c>
      <c r="CG3289" s="5" t="s">
        <v>304</v>
      </c>
      <c r="CH3289" s="5" t="s">
        <v>305</v>
      </c>
      <c r="CI3289" s="5" t="s">
        <v>240</v>
      </c>
      <c r="CK3289" s="5" t="s">
        <v>3681</v>
      </c>
      <c r="CL3289" s="6" t="s">
        <v>261</v>
      </c>
      <c r="CM3289" s="5" t="s">
        <v>262</v>
      </c>
      <c r="CN3289" s="5" t="s">
        <v>263</v>
      </c>
      <c r="CO3289" s="5" t="s">
        <v>264</v>
      </c>
      <c r="CP3289" s="5" t="s">
        <v>240</v>
      </c>
      <c r="CQ3289" s="5">
        <v>0</v>
      </c>
      <c r="CR3289" s="5" t="s">
        <v>735</v>
      </c>
      <c r="CS3289" s="5" t="s">
        <v>307</v>
      </c>
      <c r="CT3289" s="5" t="s">
        <v>307</v>
      </c>
      <c r="CU3289" s="5" t="s">
        <v>260</v>
      </c>
      <c r="CV3289" s="5" t="s">
        <v>612</v>
      </c>
      <c r="CW3289" s="8">
        <f>1</f>
        <v>1</v>
      </c>
      <c r="CX3289" s="7">
        <f>1</f>
        <v>1</v>
      </c>
      <c r="CY3289" s="7">
        <f>0</f>
        <v>0</v>
      </c>
      <c r="DA3289" s="7">
        <f>1</f>
        <v>1</v>
      </c>
      <c r="DB3289" s="7" t="s">
        <v>240</v>
      </c>
      <c r="DC3289" s="5" t="s">
        <v>240</v>
      </c>
      <c r="DD3289" s="5" t="s">
        <v>240</v>
      </c>
      <c r="DE3289" s="5" t="s">
        <v>240</v>
      </c>
      <c r="DF3289" s="5" t="s">
        <v>240</v>
      </c>
      <c r="DG3289" s="7">
        <f>0</f>
        <v>0</v>
      </c>
      <c r="DI3289" s="5" t="s">
        <v>240</v>
      </c>
      <c r="DJ3289" s="5" t="s">
        <v>240</v>
      </c>
      <c r="DK3289" s="5" t="s">
        <v>240</v>
      </c>
      <c r="DL3289" s="5" t="s">
        <v>240</v>
      </c>
      <c r="DM3289" s="5" t="s">
        <v>240</v>
      </c>
      <c r="DN3289" s="5" t="s">
        <v>240</v>
      </c>
      <c r="DO3289" s="7" t="s">
        <v>240</v>
      </c>
      <c r="DP3289" s="5" t="s">
        <v>240</v>
      </c>
      <c r="DQ3289" s="5" t="s">
        <v>240</v>
      </c>
      <c r="DR3289" s="5" t="s">
        <v>731</v>
      </c>
      <c r="DS3289" s="5" t="s">
        <v>731</v>
      </c>
      <c r="DT3289" s="5" t="s">
        <v>240</v>
      </c>
      <c r="DU3289" s="5" t="s">
        <v>240</v>
      </c>
      <c r="DV3289" s="5" t="s">
        <v>3683</v>
      </c>
      <c r="DW3289" s="5" t="s">
        <v>514</v>
      </c>
      <c r="DX3289" s="5" t="s">
        <v>240</v>
      </c>
      <c r="DY3289" s="5" t="s">
        <v>240</v>
      </c>
      <c r="DZ3289" s="5" t="s">
        <v>240</v>
      </c>
      <c r="EA3289" s="5" t="s">
        <v>240</v>
      </c>
      <c r="EB3289" s="5" t="s">
        <v>240</v>
      </c>
      <c r="EC3289" s="5" t="s">
        <v>240</v>
      </c>
      <c r="ED3289" s="5" t="s">
        <v>240</v>
      </c>
      <c r="EE3289" s="5" t="s">
        <v>240</v>
      </c>
      <c r="EF3289" s="5" t="s">
        <v>240</v>
      </c>
      <c r="EG3289" s="5" t="s">
        <v>240</v>
      </c>
      <c r="EH3289" s="5" t="s">
        <v>240</v>
      </c>
      <c r="EI3289" s="5" t="s">
        <v>240</v>
      </c>
      <c r="EJ3289" s="5" t="s">
        <v>240</v>
      </c>
      <c r="EK3289" s="5" t="s">
        <v>240</v>
      </c>
      <c r="EL3289" s="5" t="s">
        <v>240</v>
      </c>
      <c r="EM3289" s="5" t="s">
        <v>240</v>
      </c>
      <c r="EN3289" s="5" t="s">
        <v>240</v>
      </c>
      <c r="EO3289" s="5" t="s">
        <v>240</v>
      </c>
      <c r="EP3289" s="5" t="s">
        <v>240</v>
      </c>
      <c r="EQ3289" s="5" t="s">
        <v>240</v>
      </c>
      <c r="ER3289" s="5" t="s">
        <v>240</v>
      </c>
      <c r="ES3289" s="5" t="s">
        <v>240</v>
      </c>
      <c r="ET3289" s="5" t="s">
        <v>240</v>
      </c>
      <c r="EU3289" s="5" t="s">
        <v>240</v>
      </c>
      <c r="EV3289" s="5" t="s">
        <v>240</v>
      </c>
      <c r="EW3289" s="5" t="s">
        <v>240</v>
      </c>
      <c r="EX3289" s="5" t="s">
        <v>240</v>
      </c>
      <c r="EY3289" s="5" t="s">
        <v>240</v>
      </c>
      <c r="EZ3289" s="5" t="s">
        <v>240</v>
      </c>
      <c r="FA3289" s="5" t="s">
        <v>240</v>
      </c>
      <c r="FB3289" s="5" t="s">
        <v>240</v>
      </c>
      <c r="FC3289" s="5" t="s">
        <v>240</v>
      </c>
      <c r="FD3289" s="5" t="s">
        <v>240</v>
      </c>
      <c r="FE3289" s="5" t="s">
        <v>240</v>
      </c>
      <c r="FF3289" s="5" t="s">
        <v>240</v>
      </c>
      <c r="FG3289" s="5" t="s">
        <v>240</v>
      </c>
      <c r="FH3289" s="5" t="s">
        <v>240</v>
      </c>
      <c r="FI3289" s="5" t="s">
        <v>240</v>
      </c>
      <c r="FJ3289" s="5" t="s">
        <v>240</v>
      </c>
      <c r="FK3289" s="5" t="s">
        <v>240</v>
      </c>
      <c r="FL3289" s="5" t="s">
        <v>240</v>
      </c>
      <c r="FM3289" s="5" t="s">
        <v>240</v>
      </c>
      <c r="FN3289" s="5" t="s">
        <v>240</v>
      </c>
      <c r="FO3289" s="5" t="s">
        <v>240</v>
      </c>
      <c r="FP3289" s="5" t="s">
        <v>240</v>
      </c>
      <c r="FQ3289" s="5" t="s">
        <v>240</v>
      </c>
      <c r="FR3289" s="5" t="s">
        <v>240</v>
      </c>
      <c r="FS3289" s="5" t="s">
        <v>240</v>
      </c>
      <c r="FT3289" s="5" t="s">
        <v>240</v>
      </c>
      <c r="FU3289" s="5" t="s">
        <v>240</v>
      </c>
      <c r="FV3289" s="5" t="s">
        <v>240</v>
      </c>
      <c r="FW3289" s="5" t="s">
        <v>240</v>
      </c>
      <c r="FX3289" s="5" t="s">
        <v>240</v>
      </c>
      <c r="FY3289" s="5" t="s">
        <v>240</v>
      </c>
      <c r="FZ3289" s="5" t="s">
        <v>240</v>
      </c>
      <c r="GA3289" s="5" t="s">
        <v>240</v>
      </c>
      <c r="GB3289" s="5" t="s">
        <v>240</v>
      </c>
      <c r="GC3289" s="5" t="s">
        <v>240</v>
      </c>
      <c r="GD3289" s="5" t="s">
        <v>240</v>
      </c>
      <c r="GE3289" s="5" t="s">
        <v>240</v>
      </c>
      <c r="GF3289" s="5" t="s">
        <v>240</v>
      </c>
      <c r="GG3289" s="5" t="s">
        <v>240</v>
      </c>
      <c r="GH3289" s="5" t="s">
        <v>240</v>
      </c>
      <c r="GI3289" s="5" t="s">
        <v>240</v>
      </c>
      <c r="GJ3289" s="5" t="s">
        <v>240</v>
      </c>
      <c r="GK3289" s="5" t="s">
        <v>240</v>
      </c>
      <c r="GL3289" s="5" t="s">
        <v>240</v>
      </c>
      <c r="GM3289" s="5" t="s">
        <v>240</v>
      </c>
      <c r="GN3289" s="5" t="s">
        <v>240</v>
      </c>
      <c r="GO3289" s="5" t="s">
        <v>240</v>
      </c>
      <c r="GP3289" s="5" t="s">
        <v>240</v>
      </c>
      <c r="GQ3289" s="5" t="s">
        <v>240</v>
      </c>
      <c r="GR3289" s="5" t="s">
        <v>240</v>
      </c>
      <c r="GS3289" s="5" t="s">
        <v>240</v>
      </c>
      <c r="GT3289" s="5" t="s">
        <v>240</v>
      </c>
      <c r="GU3289" s="5" t="s">
        <v>240</v>
      </c>
      <c r="GV3289" s="5" t="s">
        <v>240</v>
      </c>
      <c r="GW3289" s="5" t="s">
        <v>240</v>
      </c>
      <c r="GX3289" s="5" t="s">
        <v>240</v>
      </c>
      <c r="GY3289" s="5" t="s">
        <v>240</v>
      </c>
      <c r="GZ3289" s="5" t="s">
        <v>240</v>
      </c>
      <c r="HA3289" s="5" t="s">
        <v>240</v>
      </c>
      <c r="HB3289" s="5" t="s">
        <v>240</v>
      </c>
      <c r="HC3289" s="5" t="s">
        <v>240</v>
      </c>
      <c r="HD3289" s="5" t="s">
        <v>240</v>
      </c>
      <c r="HE3289" s="5" t="s">
        <v>240</v>
      </c>
      <c r="HF3289" s="5" t="s">
        <v>240</v>
      </c>
      <c r="HG3289" s="5" t="s">
        <v>240</v>
      </c>
      <c r="HH3289" s="5" t="s">
        <v>240</v>
      </c>
      <c r="HI3289" s="5" t="s">
        <v>240</v>
      </c>
      <c r="HJ3289" s="5" t="s">
        <v>240</v>
      </c>
      <c r="HK3289" s="5" t="s">
        <v>240</v>
      </c>
      <c r="HL3289" s="5" t="s">
        <v>240</v>
      </c>
      <c r="HM3289" s="5" t="s">
        <v>240</v>
      </c>
      <c r="HN3289" s="5" t="s">
        <v>240</v>
      </c>
      <c r="HO3289" s="5" t="s">
        <v>312</v>
      </c>
      <c r="HP3289" s="5" t="s">
        <v>240</v>
      </c>
      <c r="HQ3289" s="5" t="s">
        <v>240</v>
      </c>
      <c r="HR3289" s="5" t="s">
        <v>240</v>
      </c>
      <c r="HS3289" s="5" t="s">
        <v>240</v>
      </c>
      <c r="HT3289" s="5" t="s">
        <v>240</v>
      </c>
      <c r="HU3289" s="5" t="s">
        <v>240</v>
      </c>
      <c r="HV3289" s="5" t="s">
        <v>240</v>
      </c>
      <c r="HW3289" s="5" t="s">
        <v>240</v>
      </c>
      <c r="HX3289" s="5" t="s">
        <v>240</v>
      </c>
      <c r="HY3289" s="5" t="s">
        <v>240</v>
      </c>
      <c r="HZ3289" s="5" t="s">
        <v>240</v>
      </c>
      <c r="IA3289" s="5" t="s">
        <v>240</v>
      </c>
      <c r="IB3289" s="5" t="s">
        <v>240</v>
      </c>
      <c r="IC3289" s="5" t="s">
        <v>240</v>
      </c>
      <c r="ID3289" s="5" t="s">
        <v>240</v>
      </c>
      <c r="IE3289" s="5" t="s">
        <v>240</v>
      </c>
      <c r="IF3289" s="5" t="s">
        <v>240</v>
      </c>
    </row>
    <row r="3290" spans="1:240" x14ac:dyDescent="0.4">
      <c r="A3290" s="5">
        <v>8832</v>
      </c>
      <c r="B3290" s="5">
        <v>1</v>
      </c>
      <c r="C3290" s="5">
        <v>1</v>
      </c>
      <c r="D3290" s="5" t="s">
        <v>723</v>
      </c>
      <c r="E3290" s="5" t="s">
        <v>725</v>
      </c>
      <c r="F3290" s="5" t="s">
        <v>730</v>
      </c>
      <c r="G3290" s="5" t="s">
        <v>726</v>
      </c>
      <c r="H3290" s="6" t="s">
        <v>6567</v>
      </c>
      <c r="I3290" s="5" t="s">
        <v>722</v>
      </c>
      <c r="J3290" s="8">
        <f>805</f>
        <v>805</v>
      </c>
      <c r="K3290" s="5" t="s">
        <v>308</v>
      </c>
      <c r="L3290" s="7">
        <f>0</f>
        <v>0</v>
      </c>
      <c r="M3290" s="7">
        <f>0</f>
        <v>0</v>
      </c>
      <c r="N3290" s="5" t="s">
        <v>242</v>
      </c>
      <c r="O3290" s="5">
        <v>1</v>
      </c>
      <c r="P3290" s="5" t="s">
        <v>294</v>
      </c>
      <c r="Q3290" s="5" t="s">
        <v>3678</v>
      </c>
      <c r="R3290" s="5" t="s">
        <v>240</v>
      </c>
      <c r="S3290" s="5" t="s">
        <v>240</v>
      </c>
      <c r="T3290" s="5" t="s">
        <v>243</v>
      </c>
      <c r="U3290" s="5" t="s">
        <v>244</v>
      </c>
      <c r="V3290" s="5" t="s">
        <v>240</v>
      </c>
      <c r="W3290" s="5" t="s">
        <v>240</v>
      </c>
      <c r="X3290" s="5" t="s">
        <v>240</v>
      </c>
      <c r="Y3290" s="5" t="s">
        <v>240</v>
      </c>
      <c r="Z3290" s="6" t="s">
        <v>298</v>
      </c>
      <c r="AA3290" s="6" t="s">
        <v>240</v>
      </c>
      <c r="AB3290" s="6" t="s">
        <v>240</v>
      </c>
      <c r="AC3290" s="5" t="s">
        <v>240</v>
      </c>
      <c r="AD3290" s="6" t="s">
        <v>240</v>
      </c>
      <c r="AE3290" s="6" t="s">
        <v>299</v>
      </c>
      <c r="AF3290" s="5" t="s">
        <v>248</v>
      </c>
      <c r="AG3290" s="5" t="s">
        <v>249</v>
      </c>
      <c r="AH3290" s="5" t="s">
        <v>240</v>
      </c>
      <c r="AI3290" s="5" t="s">
        <v>240</v>
      </c>
      <c r="AJ3290" s="5" t="s">
        <v>240</v>
      </c>
      <c r="AK3290" s="5" t="s">
        <v>240</v>
      </c>
      <c r="AL3290" s="5" t="s">
        <v>240</v>
      </c>
      <c r="AM3290" s="5" t="s">
        <v>240</v>
      </c>
      <c r="AN3290" s="5" t="s">
        <v>240</v>
      </c>
      <c r="AO3290" s="5" t="s">
        <v>240</v>
      </c>
      <c r="AP3290" s="6" t="s">
        <v>240</v>
      </c>
      <c r="AQ3290" s="6" t="s">
        <v>240</v>
      </c>
      <c r="AR3290" s="6" t="s">
        <v>240</v>
      </c>
      <c r="AS3290" s="6" t="s">
        <v>240</v>
      </c>
      <c r="AT3290" s="5" t="s">
        <v>240</v>
      </c>
      <c r="AU3290" s="5" t="s">
        <v>729</v>
      </c>
      <c r="AV3290" s="5" t="s">
        <v>729</v>
      </c>
      <c r="AW3290" s="5" t="s">
        <v>251</v>
      </c>
      <c r="AX3290" s="5" t="s">
        <v>252</v>
      </c>
      <c r="AY3290" s="5" t="s">
        <v>253</v>
      </c>
      <c r="AZ3290" s="5" t="s">
        <v>240</v>
      </c>
      <c r="BA3290" s="5" t="s">
        <v>255</v>
      </c>
      <c r="BB3290" s="5" t="s">
        <v>731</v>
      </c>
      <c r="BD3290" s="5" t="s">
        <v>240</v>
      </c>
      <c r="BF3290" s="5" t="s">
        <v>732</v>
      </c>
      <c r="BG3290" s="6" t="s">
        <v>733</v>
      </c>
      <c r="BH3290" s="5" t="s">
        <v>734</v>
      </c>
      <c r="BI3290" s="5" t="s">
        <v>734</v>
      </c>
      <c r="BJ3290" s="5" t="s">
        <v>240</v>
      </c>
      <c r="BK3290" s="7">
        <f>1</f>
        <v>1</v>
      </c>
      <c r="BL3290" s="7">
        <f>1</f>
        <v>1</v>
      </c>
      <c r="BM3290" s="5" t="s">
        <v>258</v>
      </c>
      <c r="BN3290" s="5" t="s">
        <v>259</v>
      </c>
      <c r="BO3290" s="5" t="s">
        <v>240</v>
      </c>
      <c r="BP3290" s="5" t="s">
        <v>240</v>
      </c>
      <c r="BQ3290" s="5" t="s">
        <v>240</v>
      </c>
      <c r="BR3290" s="5" t="s">
        <v>240</v>
      </c>
      <c r="BS3290" s="5" t="s">
        <v>240</v>
      </c>
      <c r="BT3290" s="5" t="s">
        <v>240</v>
      </c>
      <c r="BU3290" s="5" t="s">
        <v>240</v>
      </c>
      <c r="BV3290" s="5" t="s">
        <v>240</v>
      </c>
      <c r="BW3290" s="6" t="s">
        <v>240</v>
      </c>
      <c r="BX3290" s="5" t="s">
        <v>240</v>
      </c>
      <c r="BY3290" s="5" t="s">
        <v>240</v>
      </c>
      <c r="BZ3290" s="5" t="s">
        <v>240</v>
      </c>
      <c r="CA3290" s="5" t="s">
        <v>259</v>
      </c>
      <c r="CB3290" s="5" t="s">
        <v>240</v>
      </c>
      <c r="CC3290" s="5" t="s">
        <v>240</v>
      </c>
      <c r="CD3290" s="5" t="s">
        <v>240</v>
      </c>
      <c r="CE3290" s="5" t="s">
        <v>240</v>
      </c>
      <c r="CF3290" s="5" t="s">
        <v>240</v>
      </c>
      <c r="CG3290" s="5" t="s">
        <v>304</v>
      </c>
      <c r="CH3290" s="5" t="s">
        <v>305</v>
      </c>
      <c r="CI3290" s="5" t="s">
        <v>240</v>
      </c>
      <c r="CK3290" s="5" t="s">
        <v>3681</v>
      </c>
      <c r="CL3290" s="6" t="s">
        <v>261</v>
      </c>
      <c r="CM3290" s="5" t="s">
        <v>262</v>
      </c>
      <c r="CN3290" s="5" t="s">
        <v>263</v>
      </c>
      <c r="CO3290" s="5" t="s">
        <v>264</v>
      </c>
      <c r="CP3290" s="5" t="s">
        <v>240</v>
      </c>
      <c r="CQ3290" s="5">
        <v>0</v>
      </c>
      <c r="CR3290" s="5" t="s">
        <v>735</v>
      </c>
      <c r="CS3290" s="5" t="s">
        <v>307</v>
      </c>
      <c r="CT3290" s="5" t="s">
        <v>307</v>
      </c>
      <c r="CU3290" s="5" t="s">
        <v>260</v>
      </c>
      <c r="CV3290" s="5" t="s">
        <v>612</v>
      </c>
      <c r="CW3290" s="8">
        <f>1</f>
        <v>1</v>
      </c>
      <c r="CX3290" s="7">
        <f>1</f>
        <v>1</v>
      </c>
      <c r="CY3290" s="7">
        <f>0</f>
        <v>0</v>
      </c>
      <c r="DA3290" s="7">
        <f>1</f>
        <v>1</v>
      </c>
      <c r="DB3290" s="7" t="s">
        <v>240</v>
      </c>
      <c r="DC3290" s="5" t="s">
        <v>240</v>
      </c>
      <c r="DD3290" s="5" t="s">
        <v>240</v>
      </c>
      <c r="DE3290" s="5" t="s">
        <v>240</v>
      </c>
      <c r="DF3290" s="5" t="s">
        <v>240</v>
      </c>
      <c r="DG3290" s="7">
        <f>0</f>
        <v>0</v>
      </c>
      <c r="DI3290" s="5" t="s">
        <v>240</v>
      </c>
      <c r="DJ3290" s="5" t="s">
        <v>240</v>
      </c>
      <c r="DK3290" s="5" t="s">
        <v>240</v>
      </c>
      <c r="DL3290" s="5" t="s">
        <v>240</v>
      </c>
      <c r="DM3290" s="5" t="s">
        <v>240</v>
      </c>
      <c r="DN3290" s="5" t="s">
        <v>240</v>
      </c>
      <c r="DO3290" s="7" t="s">
        <v>240</v>
      </c>
      <c r="DP3290" s="5" t="s">
        <v>240</v>
      </c>
      <c r="DQ3290" s="5" t="s">
        <v>240</v>
      </c>
      <c r="DR3290" s="5" t="s">
        <v>731</v>
      </c>
      <c r="DS3290" s="5" t="s">
        <v>731</v>
      </c>
      <c r="DT3290" s="5" t="s">
        <v>240</v>
      </c>
      <c r="DU3290" s="5" t="s">
        <v>240</v>
      </c>
      <c r="DV3290" s="5" t="s">
        <v>3683</v>
      </c>
      <c r="DW3290" s="5" t="s">
        <v>816</v>
      </c>
      <c r="DX3290" s="5" t="s">
        <v>240</v>
      </c>
      <c r="DY3290" s="5" t="s">
        <v>240</v>
      </c>
      <c r="DZ3290" s="5" t="s">
        <v>240</v>
      </c>
      <c r="EA3290" s="5" t="s">
        <v>240</v>
      </c>
      <c r="EB3290" s="5" t="s">
        <v>240</v>
      </c>
      <c r="EC3290" s="5" t="s">
        <v>240</v>
      </c>
      <c r="ED3290" s="5" t="s">
        <v>240</v>
      </c>
      <c r="EE3290" s="5" t="s">
        <v>240</v>
      </c>
      <c r="EF3290" s="5" t="s">
        <v>240</v>
      </c>
      <c r="EG3290" s="5" t="s">
        <v>240</v>
      </c>
      <c r="EH3290" s="5" t="s">
        <v>240</v>
      </c>
      <c r="EI3290" s="5" t="s">
        <v>240</v>
      </c>
      <c r="EJ3290" s="5" t="s">
        <v>240</v>
      </c>
      <c r="EK3290" s="5" t="s">
        <v>240</v>
      </c>
      <c r="EL3290" s="5" t="s">
        <v>240</v>
      </c>
      <c r="EM3290" s="5" t="s">
        <v>240</v>
      </c>
      <c r="EN3290" s="5" t="s">
        <v>240</v>
      </c>
      <c r="EO3290" s="5" t="s">
        <v>240</v>
      </c>
      <c r="EP3290" s="5" t="s">
        <v>240</v>
      </c>
      <c r="EQ3290" s="5" t="s">
        <v>240</v>
      </c>
      <c r="ER3290" s="5" t="s">
        <v>240</v>
      </c>
      <c r="ES3290" s="5" t="s">
        <v>240</v>
      </c>
      <c r="ET3290" s="5" t="s">
        <v>240</v>
      </c>
      <c r="EU3290" s="5" t="s">
        <v>240</v>
      </c>
      <c r="EV3290" s="5" t="s">
        <v>240</v>
      </c>
      <c r="EW3290" s="5" t="s">
        <v>240</v>
      </c>
      <c r="EX3290" s="5" t="s">
        <v>240</v>
      </c>
      <c r="EY3290" s="5" t="s">
        <v>240</v>
      </c>
      <c r="EZ3290" s="5" t="s">
        <v>240</v>
      </c>
      <c r="FA3290" s="5" t="s">
        <v>240</v>
      </c>
      <c r="FB3290" s="5" t="s">
        <v>240</v>
      </c>
      <c r="FC3290" s="5" t="s">
        <v>240</v>
      </c>
      <c r="FD3290" s="5" t="s">
        <v>240</v>
      </c>
      <c r="FE3290" s="5" t="s">
        <v>240</v>
      </c>
      <c r="FF3290" s="5" t="s">
        <v>240</v>
      </c>
      <c r="FG3290" s="5" t="s">
        <v>240</v>
      </c>
      <c r="FH3290" s="5" t="s">
        <v>240</v>
      </c>
      <c r="FI3290" s="5" t="s">
        <v>240</v>
      </c>
      <c r="FJ3290" s="5" t="s">
        <v>240</v>
      </c>
      <c r="FK3290" s="5" t="s">
        <v>240</v>
      </c>
      <c r="FL3290" s="5" t="s">
        <v>240</v>
      </c>
      <c r="FM3290" s="5" t="s">
        <v>240</v>
      </c>
      <c r="FN3290" s="5" t="s">
        <v>240</v>
      </c>
      <c r="FO3290" s="5" t="s">
        <v>240</v>
      </c>
      <c r="FP3290" s="5" t="s">
        <v>240</v>
      </c>
      <c r="FQ3290" s="5" t="s">
        <v>240</v>
      </c>
      <c r="FR3290" s="5" t="s">
        <v>240</v>
      </c>
      <c r="FS3290" s="5" t="s">
        <v>240</v>
      </c>
      <c r="FT3290" s="5" t="s">
        <v>240</v>
      </c>
      <c r="FU3290" s="5" t="s">
        <v>240</v>
      </c>
      <c r="FV3290" s="5" t="s">
        <v>240</v>
      </c>
      <c r="FW3290" s="5" t="s">
        <v>240</v>
      </c>
      <c r="FX3290" s="5" t="s">
        <v>240</v>
      </c>
      <c r="FY3290" s="5" t="s">
        <v>240</v>
      </c>
      <c r="FZ3290" s="5" t="s">
        <v>240</v>
      </c>
      <c r="GA3290" s="5" t="s">
        <v>240</v>
      </c>
      <c r="GB3290" s="5" t="s">
        <v>240</v>
      </c>
      <c r="GC3290" s="5" t="s">
        <v>240</v>
      </c>
      <c r="GD3290" s="5" t="s">
        <v>240</v>
      </c>
      <c r="GE3290" s="5" t="s">
        <v>240</v>
      </c>
      <c r="GF3290" s="5" t="s">
        <v>240</v>
      </c>
      <c r="GG3290" s="5" t="s">
        <v>240</v>
      </c>
      <c r="GH3290" s="5" t="s">
        <v>240</v>
      </c>
      <c r="GI3290" s="5" t="s">
        <v>240</v>
      </c>
      <c r="GJ3290" s="5" t="s">
        <v>240</v>
      </c>
      <c r="GK3290" s="5" t="s">
        <v>240</v>
      </c>
      <c r="GL3290" s="5" t="s">
        <v>240</v>
      </c>
      <c r="GM3290" s="5" t="s">
        <v>240</v>
      </c>
      <c r="GN3290" s="5" t="s">
        <v>240</v>
      </c>
      <c r="GO3290" s="5" t="s">
        <v>240</v>
      </c>
      <c r="GP3290" s="5" t="s">
        <v>240</v>
      </c>
      <c r="GQ3290" s="5" t="s">
        <v>240</v>
      </c>
      <c r="GR3290" s="5" t="s">
        <v>240</v>
      </c>
      <c r="GS3290" s="5" t="s">
        <v>240</v>
      </c>
      <c r="GT3290" s="5" t="s">
        <v>240</v>
      </c>
      <c r="GU3290" s="5" t="s">
        <v>240</v>
      </c>
      <c r="GV3290" s="5" t="s">
        <v>240</v>
      </c>
      <c r="GW3290" s="5" t="s">
        <v>240</v>
      </c>
      <c r="GX3290" s="5" t="s">
        <v>240</v>
      </c>
      <c r="GY3290" s="5" t="s">
        <v>240</v>
      </c>
      <c r="GZ3290" s="5" t="s">
        <v>240</v>
      </c>
      <c r="HA3290" s="5" t="s">
        <v>240</v>
      </c>
      <c r="HB3290" s="5" t="s">
        <v>240</v>
      </c>
      <c r="HC3290" s="5" t="s">
        <v>240</v>
      </c>
      <c r="HD3290" s="5" t="s">
        <v>240</v>
      </c>
      <c r="HE3290" s="5" t="s">
        <v>240</v>
      </c>
      <c r="HF3290" s="5" t="s">
        <v>240</v>
      </c>
      <c r="HG3290" s="5" t="s">
        <v>240</v>
      </c>
      <c r="HH3290" s="5" t="s">
        <v>240</v>
      </c>
      <c r="HI3290" s="5" t="s">
        <v>240</v>
      </c>
      <c r="HJ3290" s="5" t="s">
        <v>240</v>
      </c>
      <c r="HK3290" s="5" t="s">
        <v>240</v>
      </c>
      <c r="HL3290" s="5" t="s">
        <v>240</v>
      </c>
      <c r="HM3290" s="5" t="s">
        <v>240</v>
      </c>
      <c r="HN3290" s="5" t="s">
        <v>240</v>
      </c>
      <c r="HO3290" s="5" t="s">
        <v>312</v>
      </c>
      <c r="HP3290" s="5" t="s">
        <v>240</v>
      </c>
      <c r="HQ3290" s="5" t="s">
        <v>240</v>
      </c>
      <c r="HR3290" s="5" t="s">
        <v>240</v>
      </c>
      <c r="HS3290" s="5" t="s">
        <v>240</v>
      </c>
      <c r="HT3290" s="5" t="s">
        <v>240</v>
      </c>
      <c r="HU3290" s="5" t="s">
        <v>240</v>
      </c>
      <c r="HV3290" s="5" t="s">
        <v>240</v>
      </c>
      <c r="HW3290" s="5" t="s">
        <v>240</v>
      </c>
      <c r="HX3290" s="5" t="s">
        <v>240</v>
      </c>
      <c r="HY3290" s="5" t="s">
        <v>240</v>
      </c>
      <c r="HZ3290" s="5" t="s">
        <v>240</v>
      </c>
      <c r="IA3290" s="5" t="s">
        <v>240</v>
      </c>
      <c r="IB3290" s="5" t="s">
        <v>240</v>
      </c>
      <c r="IC3290" s="5" t="s">
        <v>240</v>
      </c>
      <c r="ID3290" s="5" t="s">
        <v>240</v>
      </c>
      <c r="IE3290" s="5" t="s">
        <v>240</v>
      </c>
      <c r="IF3290" s="5" t="s">
        <v>240</v>
      </c>
    </row>
    <row r="3291" spans="1:240" x14ac:dyDescent="0.4">
      <c r="A3291" s="5">
        <v>8833</v>
      </c>
      <c r="B3291" s="5">
        <v>1</v>
      </c>
      <c r="C3291" s="5">
        <v>1</v>
      </c>
      <c r="D3291" s="5" t="s">
        <v>723</v>
      </c>
      <c r="E3291" s="5" t="s">
        <v>725</v>
      </c>
      <c r="F3291" s="5" t="s">
        <v>730</v>
      </c>
      <c r="G3291" s="5" t="s">
        <v>726</v>
      </c>
      <c r="H3291" s="6" t="s">
        <v>6568</v>
      </c>
      <c r="I3291" s="5" t="s">
        <v>722</v>
      </c>
      <c r="J3291" s="8">
        <f>133</f>
        <v>133</v>
      </c>
      <c r="K3291" s="5" t="s">
        <v>308</v>
      </c>
      <c r="L3291" s="7">
        <f>0</f>
        <v>0</v>
      </c>
      <c r="M3291" s="7">
        <f>0</f>
        <v>0</v>
      </c>
      <c r="N3291" s="5" t="s">
        <v>242</v>
      </c>
      <c r="O3291" s="5">
        <v>1</v>
      </c>
      <c r="P3291" s="5" t="s">
        <v>294</v>
      </c>
      <c r="Q3291" s="5" t="s">
        <v>3678</v>
      </c>
      <c r="R3291" s="5" t="s">
        <v>240</v>
      </c>
      <c r="S3291" s="5" t="s">
        <v>240</v>
      </c>
      <c r="T3291" s="5" t="s">
        <v>243</v>
      </c>
      <c r="U3291" s="5" t="s">
        <v>244</v>
      </c>
      <c r="V3291" s="5" t="s">
        <v>240</v>
      </c>
      <c r="W3291" s="5" t="s">
        <v>240</v>
      </c>
      <c r="X3291" s="5" t="s">
        <v>240</v>
      </c>
      <c r="Y3291" s="5" t="s">
        <v>240</v>
      </c>
      <c r="Z3291" s="6" t="s">
        <v>298</v>
      </c>
      <c r="AA3291" s="6" t="s">
        <v>240</v>
      </c>
      <c r="AB3291" s="6" t="s">
        <v>240</v>
      </c>
      <c r="AC3291" s="5" t="s">
        <v>240</v>
      </c>
      <c r="AD3291" s="6" t="s">
        <v>240</v>
      </c>
      <c r="AE3291" s="6" t="s">
        <v>299</v>
      </c>
      <c r="AF3291" s="5" t="s">
        <v>248</v>
      </c>
      <c r="AG3291" s="5" t="s">
        <v>249</v>
      </c>
      <c r="AH3291" s="5" t="s">
        <v>240</v>
      </c>
      <c r="AI3291" s="5" t="s">
        <v>240</v>
      </c>
      <c r="AJ3291" s="5" t="s">
        <v>240</v>
      </c>
      <c r="AK3291" s="5" t="s">
        <v>240</v>
      </c>
      <c r="AL3291" s="5" t="s">
        <v>240</v>
      </c>
      <c r="AM3291" s="5" t="s">
        <v>240</v>
      </c>
      <c r="AN3291" s="5" t="s">
        <v>240</v>
      </c>
      <c r="AO3291" s="5" t="s">
        <v>240</v>
      </c>
      <c r="AP3291" s="6" t="s">
        <v>240</v>
      </c>
      <c r="AQ3291" s="6" t="s">
        <v>240</v>
      </c>
      <c r="AR3291" s="6" t="s">
        <v>240</v>
      </c>
      <c r="AS3291" s="6" t="s">
        <v>240</v>
      </c>
      <c r="AT3291" s="5" t="s">
        <v>240</v>
      </c>
      <c r="AU3291" s="5" t="s">
        <v>729</v>
      </c>
      <c r="AV3291" s="5" t="s">
        <v>729</v>
      </c>
      <c r="AW3291" s="5" t="s">
        <v>251</v>
      </c>
      <c r="AX3291" s="5" t="s">
        <v>252</v>
      </c>
      <c r="AY3291" s="5" t="s">
        <v>253</v>
      </c>
      <c r="AZ3291" s="5" t="s">
        <v>240</v>
      </c>
      <c r="BA3291" s="5" t="s">
        <v>255</v>
      </c>
      <c r="BB3291" s="5" t="s">
        <v>731</v>
      </c>
      <c r="BD3291" s="5" t="s">
        <v>240</v>
      </c>
      <c r="BF3291" s="5" t="s">
        <v>732</v>
      </c>
      <c r="BG3291" s="6" t="s">
        <v>733</v>
      </c>
      <c r="BH3291" s="5" t="s">
        <v>734</v>
      </c>
      <c r="BI3291" s="5" t="s">
        <v>734</v>
      </c>
      <c r="BJ3291" s="5" t="s">
        <v>240</v>
      </c>
      <c r="BK3291" s="7">
        <f>1</f>
        <v>1</v>
      </c>
      <c r="BL3291" s="7">
        <f>1</f>
        <v>1</v>
      </c>
      <c r="BM3291" s="5" t="s">
        <v>258</v>
      </c>
      <c r="BN3291" s="5" t="s">
        <v>259</v>
      </c>
      <c r="BO3291" s="5" t="s">
        <v>240</v>
      </c>
      <c r="BP3291" s="5" t="s">
        <v>240</v>
      </c>
      <c r="BQ3291" s="5" t="s">
        <v>240</v>
      </c>
      <c r="BR3291" s="5" t="s">
        <v>240</v>
      </c>
      <c r="BS3291" s="5" t="s">
        <v>240</v>
      </c>
      <c r="BT3291" s="5" t="s">
        <v>240</v>
      </c>
      <c r="BU3291" s="5" t="s">
        <v>240</v>
      </c>
      <c r="BV3291" s="5" t="s">
        <v>240</v>
      </c>
      <c r="BW3291" s="6" t="s">
        <v>240</v>
      </c>
      <c r="BX3291" s="5" t="s">
        <v>240</v>
      </c>
      <c r="BY3291" s="5" t="s">
        <v>240</v>
      </c>
      <c r="BZ3291" s="5" t="s">
        <v>240</v>
      </c>
      <c r="CA3291" s="5" t="s">
        <v>259</v>
      </c>
      <c r="CB3291" s="5" t="s">
        <v>240</v>
      </c>
      <c r="CC3291" s="5" t="s">
        <v>240</v>
      </c>
      <c r="CD3291" s="5" t="s">
        <v>240</v>
      </c>
      <c r="CE3291" s="5" t="s">
        <v>240</v>
      </c>
      <c r="CF3291" s="5" t="s">
        <v>240</v>
      </c>
      <c r="CG3291" s="5" t="s">
        <v>304</v>
      </c>
      <c r="CH3291" s="5" t="s">
        <v>305</v>
      </c>
      <c r="CI3291" s="5" t="s">
        <v>240</v>
      </c>
      <c r="CK3291" s="5" t="s">
        <v>3681</v>
      </c>
      <c r="CL3291" s="6" t="s">
        <v>261</v>
      </c>
      <c r="CM3291" s="5" t="s">
        <v>262</v>
      </c>
      <c r="CN3291" s="5" t="s">
        <v>263</v>
      </c>
      <c r="CO3291" s="5" t="s">
        <v>264</v>
      </c>
      <c r="CP3291" s="5" t="s">
        <v>240</v>
      </c>
      <c r="CQ3291" s="5">
        <v>0</v>
      </c>
      <c r="CR3291" s="5" t="s">
        <v>735</v>
      </c>
      <c r="CS3291" s="5" t="s">
        <v>307</v>
      </c>
      <c r="CT3291" s="5" t="s">
        <v>307</v>
      </c>
      <c r="CU3291" s="5" t="s">
        <v>260</v>
      </c>
      <c r="CV3291" s="5" t="s">
        <v>612</v>
      </c>
      <c r="CW3291" s="8">
        <f>1</f>
        <v>1</v>
      </c>
      <c r="CX3291" s="7">
        <f>1</f>
        <v>1</v>
      </c>
      <c r="CY3291" s="7">
        <f>0</f>
        <v>0</v>
      </c>
      <c r="DA3291" s="7">
        <f>1</f>
        <v>1</v>
      </c>
      <c r="DB3291" s="7" t="s">
        <v>240</v>
      </c>
      <c r="DC3291" s="5" t="s">
        <v>240</v>
      </c>
      <c r="DD3291" s="5" t="s">
        <v>240</v>
      </c>
      <c r="DE3291" s="5" t="s">
        <v>240</v>
      </c>
      <c r="DF3291" s="5" t="s">
        <v>240</v>
      </c>
      <c r="DG3291" s="7">
        <f>0</f>
        <v>0</v>
      </c>
      <c r="DI3291" s="5" t="s">
        <v>240</v>
      </c>
      <c r="DJ3291" s="5" t="s">
        <v>240</v>
      </c>
      <c r="DK3291" s="5" t="s">
        <v>240</v>
      </c>
      <c r="DL3291" s="5" t="s">
        <v>240</v>
      </c>
      <c r="DM3291" s="5" t="s">
        <v>240</v>
      </c>
      <c r="DN3291" s="5" t="s">
        <v>240</v>
      </c>
      <c r="DO3291" s="7" t="s">
        <v>240</v>
      </c>
      <c r="DP3291" s="5" t="s">
        <v>240</v>
      </c>
      <c r="DQ3291" s="5" t="s">
        <v>240</v>
      </c>
      <c r="DR3291" s="5" t="s">
        <v>731</v>
      </c>
      <c r="DS3291" s="5" t="s">
        <v>731</v>
      </c>
      <c r="DT3291" s="5" t="s">
        <v>240</v>
      </c>
      <c r="DU3291" s="5" t="s">
        <v>240</v>
      </c>
      <c r="DV3291" s="5" t="s">
        <v>3683</v>
      </c>
      <c r="DW3291" s="5" t="s">
        <v>522</v>
      </c>
      <c r="DX3291" s="5" t="s">
        <v>240</v>
      </c>
      <c r="DY3291" s="5" t="s">
        <v>240</v>
      </c>
      <c r="DZ3291" s="5" t="s">
        <v>240</v>
      </c>
      <c r="EA3291" s="5" t="s">
        <v>240</v>
      </c>
      <c r="EB3291" s="5" t="s">
        <v>240</v>
      </c>
      <c r="EC3291" s="5" t="s">
        <v>240</v>
      </c>
      <c r="ED3291" s="5" t="s">
        <v>240</v>
      </c>
      <c r="EE3291" s="5" t="s">
        <v>240</v>
      </c>
      <c r="EF3291" s="5" t="s">
        <v>240</v>
      </c>
      <c r="EG3291" s="5" t="s">
        <v>240</v>
      </c>
      <c r="EH3291" s="5" t="s">
        <v>240</v>
      </c>
      <c r="EI3291" s="5" t="s">
        <v>240</v>
      </c>
      <c r="EJ3291" s="5" t="s">
        <v>240</v>
      </c>
      <c r="EK3291" s="5" t="s">
        <v>240</v>
      </c>
      <c r="EL3291" s="5" t="s">
        <v>240</v>
      </c>
      <c r="EM3291" s="5" t="s">
        <v>240</v>
      </c>
      <c r="EN3291" s="5" t="s">
        <v>240</v>
      </c>
      <c r="EO3291" s="5" t="s">
        <v>240</v>
      </c>
      <c r="EP3291" s="5" t="s">
        <v>240</v>
      </c>
      <c r="EQ3291" s="5" t="s">
        <v>240</v>
      </c>
      <c r="ER3291" s="5" t="s">
        <v>240</v>
      </c>
      <c r="ES3291" s="5" t="s">
        <v>240</v>
      </c>
      <c r="ET3291" s="5" t="s">
        <v>240</v>
      </c>
      <c r="EU3291" s="5" t="s">
        <v>240</v>
      </c>
      <c r="EV3291" s="5" t="s">
        <v>240</v>
      </c>
      <c r="EW3291" s="5" t="s">
        <v>240</v>
      </c>
      <c r="EX3291" s="5" t="s">
        <v>240</v>
      </c>
      <c r="EY3291" s="5" t="s">
        <v>240</v>
      </c>
      <c r="EZ3291" s="5" t="s">
        <v>240</v>
      </c>
      <c r="FA3291" s="5" t="s">
        <v>240</v>
      </c>
      <c r="FB3291" s="5" t="s">
        <v>240</v>
      </c>
      <c r="FC3291" s="5" t="s">
        <v>240</v>
      </c>
      <c r="FD3291" s="5" t="s">
        <v>240</v>
      </c>
      <c r="FE3291" s="5" t="s">
        <v>240</v>
      </c>
      <c r="FF3291" s="5" t="s">
        <v>240</v>
      </c>
      <c r="FG3291" s="5" t="s">
        <v>240</v>
      </c>
      <c r="FH3291" s="5" t="s">
        <v>240</v>
      </c>
      <c r="FI3291" s="5" t="s">
        <v>240</v>
      </c>
      <c r="FJ3291" s="5" t="s">
        <v>240</v>
      </c>
      <c r="FK3291" s="5" t="s">
        <v>240</v>
      </c>
      <c r="FL3291" s="5" t="s">
        <v>240</v>
      </c>
      <c r="FM3291" s="5" t="s">
        <v>240</v>
      </c>
      <c r="FN3291" s="5" t="s">
        <v>240</v>
      </c>
      <c r="FO3291" s="5" t="s">
        <v>240</v>
      </c>
      <c r="FP3291" s="5" t="s">
        <v>240</v>
      </c>
      <c r="FQ3291" s="5" t="s">
        <v>240</v>
      </c>
      <c r="FR3291" s="5" t="s">
        <v>240</v>
      </c>
      <c r="FS3291" s="5" t="s">
        <v>240</v>
      </c>
      <c r="FT3291" s="5" t="s">
        <v>240</v>
      </c>
      <c r="FU3291" s="5" t="s">
        <v>240</v>
      </c>
      <c r="FV3291" s="5" t="s">
        <v>240</v>
      </c>
      <c r="FW3291" s="5" t="s">
        <v>240</v>
      </c>
      <c r="FX3291" s="5" t="s">
        <v>240</v>
      </c>
      <c r="FY3291" s="5" t="s">
        <v>240</v>
      </c>
      <c r="FZ3291" s="5" t="s">
        <v>240</v>
      </c>
      <c r="GA3291" s="5" t="s">
        <v>240</v>
      </c>
      <c r="GB3291" s="5" t="s">
        <v>240</v>
      </c>
      <c r="GC3291" s="5" t="s">
        <v>240</v>
      </c>
      <c r="GD3291" s="5" t="s">
        <v>240</v>
      </c>
      <c r="GE3291" s="5" t="s">
        <v>240</v>
      </c>
      <c r="GF3291" s="5" t="s">
        <v>240</v>
      </c>
      <c r="GG3291" s="5" t="s">
        <v>240</v>
      </c>
      <c r="GH3291" s="5" t="s">
        <v>240</v>
      </c>
      <c r="GI3291" s="5" t="s">
        <v>240</v>
      </c>
      <c r="GJ3291" s="5" t="s">
        <v>240</v>
      </c>
      <c r="GK3291" s="5" t="s">
        <v>240</v>
      </c>
      <c r="GL3291" s="5" t="s">
        <v>240</v>
      </c>
      <c r="GM3291" s="5" t="s">
        <v>240</v>
      </c>
      <c r="GN3291" s="5" t="s">
        <v>240</v>
      </c>
      <c r="GO3291" s="5" t="s">
        <v>240</v>
      </c>
      <c r="GP3291" s="5" t="s">
        <v>240</v>
      </c>
      <c r="GQ3291" s="5" t="s">
        <v>240</v>
      </c>
      <c r="GR3291" s="5" t="s">
        <v>240</v>
      </c>
      <c r="GS3291" s="5" t="s">
        <v>240</v>
      </c>
      <c r="GT3291" s="5" t="s">
        <v>240</v>
      </c>
      <c r="GU3291" s="5" t="s">
        <v>240</v>
      </c>
      <c r="GV3291" s="5" t="s">
        <v>240</v>
      </c>
      <c r="GW3291" s="5" t="s">
        <v>240</v>
      </c>
      <c r="GX3291" s="5" t="s">
        <v>240</v>
      </c>
      <c r="GY3291" s="5" t="s">
        <v>240</v>
      </c>
      <c r="GZ3291" s="5" t="s">
        <v>240</v>
      </c>
      <c r="HA3291" s="5" t="s">
        <v>240</v>
      </c>
      <c r="HB3291" s="5" t="s">
        <v>240</v>
      </c>
      <c r="HC3291" s="5" t="s">
        <v>240</v>
      </c>
      <c r="HD3291" s="5" t="s">
        <v>240</v>
      </c>
      <c r="HE3291" s="5" t="s">
        <v>240</v>
      </c>
      <c r="HF3291" s="5" t="s">
        <v>240</v>
      </c>
      <c r="HG3291" s="5" t="s">
        <v>240</v>
      </c>
      <c r="HH3291" s="5" t="s">
        <v>240</v>
      </c>
      <c r="HI3291" s="5" t="s">
        <v>240</v>
      </c>
      <c r="HJ3291" s="5" t="s">
        <v>240</v>
      </c>
      <c r="HK3291" s="5" t="s">
        <v>240</v>
      </c>
      <c r="HL3291" s="5" t="s">
        <v>240</v>
      </c>
      <c r="HM3291" s="5" t="s">
        <v>240</v>
      </c>
      <c r="HN3291" s="5" t="s">
        <v>240</v>
      </c>
      <c r="HO3291" s="5" t="s">
        <v>312</v>
      </c>
      <c r="HP3291" s="5" t="s">
        <v>240</v>
      </c>
      <c r="HQ3291" s="5" t="s">
        <v>240</v>
      </c>
      <c r="HR3291" s="5" t="s">
        <v>240</v>
      </c>
      <c r="HS3291" s="5" t="s">
        <v>240</v>
      </c>
      <c r="HT3291" s="5" t="s">
        <v>240</v>
      </c>
      <c r="HU3291" s="5" t="s">
        <v>240</v>
      </c>
      <c r="HV3291" s="5" t="s">
        <v>240</v>
      </c>
      <c r="HW3291" s="5" t="s">
        <v>240</v>
      </c>
      <c r="HX3291" s="5" t="s">
        <v>240</v>
      </c>
      <c r="HY3291" s="5" t="s">
        <v>240</v>
      </c>
      <c r="HZ3291" s="5" t="s">
        <v>240</v>
      </c>
      <c r="IA3291" s="5" t="s">
        <v>240</v>
      </c>
      <c r="IB3291" s="5" t="s">
        <v>240</v>
      </c>
      <c r="IC3291" s="5" t="s">
        <v>240</v>
      </c>
      <c r="ID3291" s="5" t="s">
        <v>240</v>
      </c>
      <c r="IE3291" s="5" t="s">
        <v>240</v>
      </c>
      <c r="IF3291" s="5" t="s">
        <v>240</v>
      </c>
    </row>
    <row r="3292" spans="1:240" x14ac:dyDescent="0.4">
      <c r="A3292" s="5">
        <v>8834</v>
      </c>
      <c r="B3292" s="5">
        <v>1</v>
      </c>
      <c r="C3292" s="5">
        <v>1</v>
      </c>
      <c r="D3292" s="5" t="s">
        <v>723</v>
      </c>
      <c r="E3292" s="5" t="s">
        <v>725</v>
      </c>
      <c r="F3292" s="5" t="s">
        <v>730</v>
      </c>
      <c r="G3292" s="5" t="s">
        <v>726</v>
      </c>
      <c r="H3292" s="6" t="s">
        <v>6360</v>
      </c>
      <c r="I3292" s="5" t="s">
        <v>722</v>
      </c>
      <c r="J3292" s="8">
        <f>825</f>
        <v>825</v>
      </c>
      <c r="K3292" s="5" t="s">
        <v>308</v>
      </c>
      <c r="L3292" s="7">
        <f>0</f>
        <v>0</v>
      </c>
      <c r="M3292" s="7">
        <f>0</f>
        <v>0</v>
      </c>
      <c r="N3292" s="5" t="s">
        <v>242</v>
      </c>
      <c r="O3292" s="5">
        <v>1</v>
      </c>
      <c r="P3292" s="5" t="s">
        <v>294</v>
      </c>
      <c r="Q3292" s="5" t="s">
        <v>3678</v>
      </c>
      <c r="R3292" s="5" t="s">
        <v>240</v>
      </c>
      <c r="S3292" s="5" t="s">
        <v>240</v>
      </c>
      <c r="T3292" s="5" t="s">
        <v>243</v>
      </c>
      <c r="U3292" s="5" t="s">
        <v>244</v>
      </c>
      <c r="V3292" s="5" t="s">
        <v>240</v>
      </c>
      <c r="W3292" s="5" t="s">
        <v>240</v>
      </c>
      <c r="X3292" s="5" t="s">
        <v>240</v>
      </c>
      <c r="Y3292" s="5" t="s">
        <v>240</v>
      </c>
      <c r="Z3292" s="6" t="s">
        <v>298</v>
      </c>
      <c r="AA3292" s="6" t="s">
        <v>240</v>
      </c>
      <c r="AB3292" s="6" t="s">
        <v>240</v>
      </c>
      <c r="AC3292" s="5" t="s">
        <v>240</v>
      </c>
      <c r="AD3292" s="6" t="s">
        <v>240</v>
      </c>
      <c r="AE3292" s="6" t="s">
        <v>299</v>
      </c>
      <c r="AF3292" s="5" t="s">
        <v>248</v>
      </c>
      <c r="AG3292" s="5" t="s">
        <v>249</v>
      </c>
      <c r="AH3292" s="5" t="s">
        <v>240</v>
      </c>
      <c r="AI3292" s="5" t="s">
        <v>240</v>
      </c>
      <c r="AJ3292" s="5" t="s">
        <v>240</v>
      </c>
      <c r="AK3292" s="5" t="s">
        <v>240</v>
      </c>
      <c r="AL3292" s="5" t="s">
        <v>240</v>
      </c>
      <c r="AM3292" s="5" t="s">
        <v>240</v>
      </c>
      <c r="AN3292" s="5" t="s">
        <v>240</v>
      </c>
      <c r="AO3292" s="5" t="s">
        <v>240</v>
      </c>
      <c r="AP3292" s="6" t="s">
        <v>240</v>
      </c>
      <c r="AQ3292" s="6" t="s">
        <v>240</v>
      </c>
      <c r="AR3292" s="6" t="s">
        <v>240</v>
      </c>
      <c r="AS3292" s="6" t="s">
        <v>240</v>
      </c>
      <c r="AT3292" s="5" t="s">
        <v>240</v>
      </c>
      <c r="AU3292" s="5" t="s">
        <v>729</v>
      </c>
      <c r="AV3292" s="5" t="s">
        <v>729</v>
      </c>
      <c r="AW3292" s="5" t="s">
        <v>251</v>
      </c>
      <c r="AX3292" s="5" t="s">
        <v>252</v>
      </c>
      <c r="AY3292" s="5" t="s">
        <v>253</v>
      </c>
      <c r="AZ3292" s="5" t="s">
        <v>240</v>
      </c>
      <c r="BA3292" s="5" t="s">
        <v>255</v>
      </c>
      <c r="BB3292" s="5" t="s">
        <v>731</v>
      </c>
      <c r="BD3292" s="5" t="s">
        <v>240</v>
      </c>
      <c r="BF3292" s="5" t="s">
        <v>732</v>
      </c>
      <c r="BG3292" s="6" t="s">
        <v>733</v>
      </c>
      <c r="BH3292" s="5" t="s">
        <v>734</v>
      </c>
      <c r="BI3292" s="5" t="s">
        <v>734</v>
      </c>
      <c r="BJ3292" s="5" t="s">
        <v>240</v>
      </c>
      <c r="BK3292" s="7">
        <f>1</f>
        <v>1</v>
      </c>
      <c r="BL3292" s="7">
        <f>1</f>
        <v>1</v>
      </c>
      <c r="BM3292" s="5" t="s">
        <v>258</v>
      </c>
      <c r="BN3292" s="5" t="s">
        <v>259</v>
      </c>
      <c r="BO3292" s="5" t="s">
        <v>240</v>
      </c>
      <c r="BP3292" s="5" t="s">
        <v>240</v>
      </c>
      <c r="BQ3292" s="5" t="s">
        <v>240</v>
      </c>
      <c r="BR3292" s="5" t="s">
        <v>240</v>
      </c>
      <c r="BS3292" s="5" t="s">
        <v>240</v>
      </c>
      <c r="BT3292" s="5" t="s">
        <v>240</v>
      </c>
      <c r="BU3292" s="5" t="s">
        <v>240</v>
      </c>
      <c r="BV3292" s="5" t="s">
        <v>240</v>
      </c>
      <c r="BW3292" s="6" t="s">
        <v>240</v>
      </c>
      <c r="BX3292" s="5" t="s">
        <v>240</v>
      </c>
      <c r="BY3292" s="5" t="s">
        <v>240</v>
      </c>
      <c r="BZ3292" s="5" t="s">
        <v>240</v>
      </c>
      <c r="CA3292" s="5" t="s">
        <v>259</v>
      </c>
      <c r="CB3292" s="5" t="s">
        <v>240</v>
      </c>
      <c r="CC3292" s="5" t="s">
        <v>240</v>
      </c>
      <c r="CD3292" s="5" t="s">
        <v>240</v>
      </c>
      <c r="CE3292" s="5" t="s">
        <v>240</v>
      </c>
      <c r="CF3292" s="5" t="s">
        <v>240</v>
      </c>
      <c r="CG3292" s="5" t="s">
        <v>304</v>
      </c>
      <c r="CH3292" s="5" t="s">
        <v>305</v>
      </c>
      <c r="CI3292" s="5" t="s">
        <v>240</v>
      </c>
      <c r="CK3292" s="5" t="s">
        <v>3681</v>
      </c>
      <c r="CL3292" s="6" t="s">
        <v>261</v>
      </c>
      <c r="CM3292" s="5" t="s">
        <v>262</v>
      </c>
      <c r="CN3292" s="5" t="s">
        <v>263</v>
      </c>
      <c r="CO3292" s="5" t="s">
        <v>264</v>
      </c>
      <c r="CP3292" s="5" t="s">
        <v>240</v>
      </c>
      <c r="CQ3292" s="5">
        <v>0</v>
      </c>
      <c r="CR3292" s="5" t="s">
        <v>735</v>
      </c>
      <c r="CS3292" s="5" t="s">
        <v>307</v>
      </c>
      <c r="CT3292" s="5" t="s">
        <v>307</v>
      </c>
      <c r="CU3292" s="5" t="s">
        <v>260</v>
      </c>
      <c r="CV3292" s="5" t="s">
        <v>612</v>
      </c>
      <c r="CW3292" s="8">
        <f>1</f>
        <v>1</v>
      </c>
      <c r="CX3292" s="7">
        <f>1</f>
        <v>1</v>
      </c>
      <c r="CY3292" s="7">
        <f>0</f>
        <v>0</v>
      </c>
      <c r="DA3292" s="7">
        <f>1</f>
        <v>1</v>
      </c>
      <c r="DB3292" s="7" t="s">
        <v>240</v>
      </c>
      <c r="DC3292" s="5" t="s">
        <v>240</v>
      </c>
      <c r="DD3292" s="5" t="s">
        <v>240</v>
      </c>
      <c r="DE3292" s="5" t="s">
        <v>240</v>
      </c>
      <c r="DF3292" s="5" t="s">
        <v>240</v>
      </c>
      <c r="DG3292" s="7">
        <f>0</f>
        <v>0</v>
      </c>
      <c r="DI3292" s="5" t="s">
        <v>240</v>
      </c>
      <c r="DJ3292" s="5" t="s">
        <v>240</v>
      </c>
      <c r="DK3292" s="5" t="s">
        <v>240</v>
      </c>
      <c r="DL3292" s="5" t="s">
        <v>240</v>
      </c>
      <c r="DM3292" s="5" t="s">
        <v>240</v>
      </c>
      <c r="DN3292" s="5" t="s">
        <v>240</v>
      </c>
      <c r="DO3292" s="7" t="s">
        <v>240</v>
      </c>
      <c r="DP3292" s="5" t="s">
        <v>240</v>
      </c>
      <c r="DQ3292" s="5" t="s">
        <v>240</v>
      </c>
      <c r="DR3292" s="5" t="s">
        <v>731</v>
      </c>
      <c r="DS3292" s="5" t="s">
        <v>731</v>
      </c>
      <c r="DT3292" s="5" t="s">
        <v>240</v>
      </c>
      <c r="DU3292" s="5" t="s">
        <v>240</v>
      </c>
      <c r="DV3292" s="5" t="s">
        <v>3683</v>
      </c>
      <c r="DW3292" s="5" t="s">
        <v>530</v>
      </c>
      <c r="DX3292" s="5" t="s">
        <v>240</v>
      </c>
      <c r="DY3292" s="5" t="s">
        <v>240</v>
      </c>
      <c r="DZ3292" s="5" t="s">
        <v>240</v>
      </c>
      <c r="EA3292" s="5" t="s">
        <v>240</v>
      </c>
      <c r="EB3292" s="5" t="s">
        <v>240</v>
      </c>
      <c r="EC3292" s="5" t="s">
        <v>240</v>
      </c>
      <c r="ED3292" s="5" t="s">
        <v>240</v>
      </c>
      <c r="EE3292" s="5" t="s">
        <v>240</v>
      </c>
      <c r="EF3292" s="5" t="s">
        <v>240</v>
      </c>
      <c r="EG3292" s="5" t="s">
        <v>240</v>
      </c>
      <c r="EH3292" s="5" t="s">
        <v>240</v>
      </c>
      <c r="EI3292" s="5" t="s">
        <v>240</v>
      </c>
      <c r="EJ3292" s="5" t="s">
        <v>240</v>
      </c>
      <c r="EK3292" s="5" t="s">
        <v>240</v>
      </c>
      <c r="EL3292" s="5" t="s">
        <v>240</v>
      </c>
      <c r="EM3292" s="5" t="s">
        <v>240</v>
      </c>
      <c r="EN3292" s="5" t="s">
        <v>240</v>
      </c>
      <c r="EO3292" s="5" t="s">
        <v>240</v>
      </c>
      <c r="EP3292" s="5" t="s">
        <v>240</v>
      </c>
      <c r="EQ3292" s="5" t="s">
        <v>240</v>
      </c>
      <c r="ER3292" s="5" t="s">
        <v>240</v>
      </c>
      <c r="ES3292" s="5" t="s">
        <v>240</v>
      </c>
      <c r="ET3292" s="5" t="s">
        <v>240</v>
      </c>
      <c r="EU3292" s="5" t="s">
        <v>240</v>
      </c>
      <c r="EV3292" s="5" t="s">
        <v>240</v>
      </c>
      <c r="EW3292" s="5" t="s">
        <v>240</v>
      </c>
      <c r="EX3292" s="5" t="s">
        <v>240</v>
      </c>
      <c r="EY3292" s="5" t="s">
        <v>240</v>
      </c>
      <c r="EZ3292" s="5" t="s">
        <v>240</v>
      </c>
      <c r="FA3292" s="5" t="s">
        <v>240</v>
      </c>
      <c r="FB3292" s="5" t="s">
        <v>240</v>
      </c>
      <c r="FC3292" s="5" t="s">
        <v>240</v>
      </c>
      <c r="FD3292" s="5" t="s">
        <v>240</v>
      </c>
      <c r="FE3292" s="5" t="s">
        <v>240</v>
      </c>
      <c r="FF3292" s="5" t="s">
        <v>240</v>
      </c>
      <c r="FG3292" s="5" t="s">
        <v>240</v>
      </c>
      <c r="FH3292" s="5" t="s">
        <v>240</v>
      </c>
      <c r="FI3292" s="5" t="s">
        <v>240</v>
      </c>
      <c r="FJ3292" s="5" t="s">
        <v>240</v>
      </c>
      <c r="FK3292" s="5" t="s">
        <v>240</v>
      </c>
      <c r="FL3292" s="5" t="s">
        <v>240</v>
      </c>
      <c r="FM3292" s="5" t="s">
        <v>240</v>
      </c>
      <c r="FN3292" s="5" t="s">
        <v>240</v>
      </c>
      <c r="FO3292" s="5" t="s">
        <v>240</v>
      </c>
      <c r="FP3292" s="5" t="s">
        <v>240</v>
      </c>
      <c r="FQ3292" s="5" t="s">
        <v>240</v>
      </c>
      <c r="FR3292" s="5" t="s">
        <v>240</v>
      </c>
      <c r="FS3292" s="5" t="s">
        <v>240</v>
      </c>
      <c r="FT3292" s="5" t="s">
        <v>240</v>
      </c>
      <c r="FU3292" s="5" t="s">
        <v>240</v>
      </c>
      <c r="FV3292" s="5" t="s">
        <v>240</v>
      </c>
      <c r="FW3292" s="5" t="s">
        <v>240</v>
      </c>
      <c r="FX3292" s="5" t="s">
        <v>240</v>
      </c>
      <c r="FY3292" s="5" t="s">
        <v>240</v>
      </c>
      <c r="FZ3292" s="5" t="s">
        <v>240</v>
      </c>
      <c r="GA3292" s="5" t="s">
        <v>240</v>
      </c>
      <c r="GB3292" s="5" t="s">
        <v>240</v>
      </c>
      <c r="GC3292" s="5" t="s">
        <v>240</v>
      </c>
      <c r="GD3292" s="5" t="s">
        <v>240</v>
      </c>
      <c r="GE3292" s="5" t="s">
        <v>240</v>
      </c>
      <c r="GF3292" s="5" t="s">
        <v>240</v>
      </c>
      <c r="GG3292" s="5" t="s">
        <v>240</v>
      </c>
      <c r="GH3292" s="5" t="s">
        <v>240</v>
      </c>
      <c r="GI3292" s="5" t="s">
        <v>240</v>
      </c>
      <c r="GJ3292" s="5" t="s">
        <v>240</v>
      </c>
      <c r="GK3292" s="5" t="s">
        <v>240</v>
      </c>
      <c r="GL3292" s="5" t="s">
        <v>240</v>
      </c>
      <c r="GM3292" s="5" t="s">
        <v>240</v>
      </c>
      <c r="GN3292" s="5" t="s">
        <v>240</v>
      </c>
      <c r="GO3292" s="5" t="s">
        <v>240</v>
      </c>
      <c r="GP3292" s="5" t="s">
        <v>240</v>
      </c>
      <c r="GQ3292" s="5" t="s">
        <v>240</v>
      </c>
      <c r="GR3292" s="5" t="s">
        <v>240</v>
      </c>
      <c r="GS3292" s="5" t="s">
        <v>240</v>
      </c>
      <c r="GT3292" s="5" t="s">
        <v>240</v>
      </c>
      <c r="GU3292" s="5" t="s">
        <v>240</v>
      </c>
      <c r="GV3292" s="5" t="s">
        <v>240</v>
      </c>
      <c r="GW3292" s="5" t="s">
        <v>240</v>
      </c>
      <c r="GX3292" s="5" t="s">
        <v>240</v>
      </c>
      <c r="GY3292" s="5" t="s">
        <v>240</v>
      </c>
      <c r="GZ3292" s="5" t="s">
        <v>240</v>
      </c>
      <c r="HA3292" s="5" t="s">
        <v>240</v>
      </c>
      <c r="HB3292" s="5" t="s">
        <v>240</v>
      </c>
      <c r="HC3292" s="5" t="s">
        <v>240</v>
      </c>
      <c r="HD3292" s="5" t="s">
        <v>240</v>
      </c>
      <c r="HE3292" s="5" t="s">
        <v>240</v>
      </c>
      <c r="HF3292" s="5" t="s">
        <v>240</v>
      </c>
      <c r="HG3292" s="5" t="s">
        <v>240</v>
      </c>
      <c r="HH3292" s="5" t="s">
        <v>240</v>
      </c>
      <c r="HI3292" s="5" t="s">
        <v>240</v>
      </c>
      <c r="HJ3292" s="5" t="s">
        <v>240</v>
      </c>
      <c r="HK3292" s="5" t="s">
        <v>240</v>
      </c>
      <c r="HL3292" s="5" t="s">
        <v>240</v>
      </c>
      <c r="HM3292" s="5" t="s">
        <v>240</v>
      </c>
      <c r="HN3292" s="5" t="s">
        <v>240</v>
      </c>
      <c r="HO3292" s="5" t="s">
        <v>312</v>
      </c>
      <c r="HP3292" s="5" t="s">
        <v>240</v>
      </c>
      <c r="HQ3292" s="5" t="s">
        <v>240</v>
      </c>
      <c r="HR3292" s="5" t="s">
        <v>240</v>
      </c>
      <c r="HS3292" s="5" t="s">
        <v>240</v>
      </c>
      <c r="HT3292" s="5" t="s">
        <v>240</v>
      </c>
      <c r="HU3292" s="5" t="s">
        <v>240</v>
      </c>
      <c r="HV3292" s="5" t="s">
        <v>240</v>
      </c>
      <c r="HW3292" s="5" t="s">
        <v>240</v>
      </c>
      <c r="HX3292" s="5" t="s">
        <v>240</v>
      </c>
      <c r="HY3292" s="5" t="s">
        <v>240</v>
      </c>
      <c r="HZ3292" s="5" t="s">
        <v>240</v>
      </c>
      <c r="IA3292" s="5" t="s">
        <v>240</v>
      </c>
      <c r="IB3292" s="5" t="s">
        <v>240</v>
      </c>
      <c r="IC3292" s="5" t="s">
        <v>240</v>
      </c>
      <c r="ID3292" s="5" t="s">
        <v>240</v>
      </c>
      <c r="IE3292" s="5" t="s">
        <v>240</v>
      </c>
      <c r="IF3292" s="5" t="s">
        <v>240</v>
      </c>
    </row>
    <row r="3293" spans="1:240" x14ac:dyDescent="0.4">
      <c r="A3293" s="5">
        <v>8835</v>
      </c>
      <c r="B3293" s="5">
        <v>1</v>
      </c>
      <c r="C3293" s="5">
        <v>1</v>
      </c>
      <c r="D3293" s="5" t="s">
        <v>723</v>
      </c>
      <c r="E3293" s="5" t="s">
        <v>725</v>
      </c>
      <c r="F3293" s="5" t="s">
        <v>730</v>
      </c>
      <c r="G3293" s="5" t="s">
        <v>726</v>
      </c>
      <c r="H3293" s="6" t="s">
        <v>6571</v>
      </c>
      <c r="I3293" s="5" t="s">
        <v>722</v>
      </c>
      <c r="J3293" s="8">
        <f>151</f>
        <v>151</v>
      </c>
      <c r="K3293" s="5" t="s">
        <v>308</v>
      </c>
      <c r="L3293" s="7">
        <f>0</f>
        <v>0</v>
      </c>
      <c r="M3293" s="7">
        <f>0</f>
        <v>0</v>
      </c>
      <c r="N3293" s="5" t="s">
        <v>242</v>
      </c>
      <c r="O3293" s="5">
        <v>1</v>
      </c>
      <c r="P3293" s="5" t="s">
        <v>294</v>
      </c>
      <c r="Q3293" s="5" t="s">
        <v>3678</v>
      </c>
      <c r="R3293" s="5" t="s">
        <v>240</v>
      </c>
      <c r="S3293" s="5" t="s">
        <v>240</v>
      </c>
      <c r="T3293" s="5" t="s">
        <v>243</v>
      </c>
      <c r="U3293" s="5" t="s">
        <v>244</v>
      </c>
      <c r="V3293" s="5" t="s">
        <v>240</v>
      </c>
      <c r="W3293" s="5" t="s">
        <v>240</v>
      </c>
      <c r="X3293" s="5" t="s">
        <v>240</v>
      </c>
      <c r="Y3293" s="5" t="s">
        <v>240</v>
      </c>
      <c r="Z3293" s="6" t="s">
        <v>298</v>
      </c>
      <c r="AA3293" s="6" t="s">
        <v>240</v>
      </c>
      <c r="AB3293" s="6" t="s">
        <v>240</v>
      </c>
      <c r="AC3293" s="5" t="s">
        <v>240</v>
      </c>
      <c r="AD3293" s="6" t="s">
        <v>240</v>
      </c>
      <c r="AE3293" s="6" t="s">
        <v>299</v>
      </c>
      <c r="AF3293" s="5" t="s">
        <v>248</v>
      </c>
      <c r="AG3293" s="5" t="s">
        <v>249</v>
      </c>
      <c r="AH3293" s="5" t="s">
        <v>240</v>
      </c>
      <c r="AI3293" s="5" t="s">
        <v>240</v>
      </c>
      <c r="AJ3293" s="5" t="s">
        <v>240</v>
      </c>
      <c r="AK3293" s="5" t="s">
        <v>240</v>
      </c>
      <c r="AL3293" s="5" t="s">
        <v>240</v>
      </c>
      <c r="AM3293" s="5" t="s">
        <v>240</v>
      </c>
      <c r="AN3293" s="5" t="s">
        <v>240</v>
      </c>
      <c r="AO3293" s="5" t="s">
        <v>240</v>
      </c>
      <c r="AP3293" s="6" t="s">
        <v>240</v>
      </c>
      <c r="AQ3293" s="6" t="s">
        <v>240</v>
      </c>
      <c r="AR3293" s="6" t="s">
        <v>240</v>
      </c>
      <c r="AS3293" s="6" t="s">
        <v>240</v>
      </c>
      <c r="AT3293" s="5" t="s">
        <v>240</v>
      </c>
      <c r="AU3293" s="5" t="s">
        <v>729</v>
      </c>
      <c r="AV3293" s="5" t="s">
        <v>729</v>
      </c>
      <c r="AW3293" s="5" t="s">
        <v>251</v>
      </c>
      <c r="AX3293" s="5" t="s">
        <v>252</v>
      </c>
      <c r="AY3293" s="5" t="s">
        <v>253</v>
      </c>
      <c r="AZ3293" s="5" t="s">
        <v>240</v>
      </c>
      <c r="BA3293" s="5" t="s">
        <v>255</v>
      </c>
      <c r="BB3293" s="5" t="s">
        <v>731</v>
      </c>
      <c r="BD3293" s="5" t="s">
        <v>240</v>
      </c>
      <c r="BF3293" s="5" t="s">
        <v>732</v>
      </c>
      <c r="BG3293" s="6" t="s">
        <v>733</v>
      </c>
      <c r="BH3293" s="5" t="s">
        <v>734</v>
      </c>
      <c r="BI3293" s="5" t="s">
        <v>734</v>
      </c>
      <c r="BJ3293" s="5" t="s">
        <v>240</v>
      </c>
      <c r="BK3293" s="7">
        <f>1</f>
        <v>1</v>
      </c>
      <c r="BL3293" s="7">
        <f>1</f>
        <v>1</v>
      </c>
      <c r="BM3293" s="5" t="s">
        <v>258</v>
      </c>
      <c r="BN3293" s="5" t="s">
        <v>259</v>
      </c>
      <c r="BO3293" s="5" t="s">
        <v>240</v>
      </c>
      <c r="BP3293" s="5" t="s">
        <v>240</v>
      </c>
      <c r="BQ3293" s="5" t="s">
        <v>240</v>
      </c>
      <c r="BR3293" s="5" t="s">
        <v>240</v>
      </c>
      <c r="BS3293" s="5" t="s">
        <v>240</v>
      </c>
      <c r="BT3293" s="5" t="s">
        <v>240</v>
      </c>
      <c r="BU3293" s="5" t="s">
        <v>240</v>
      </c>
      <c r="BV3293" s="5" t="s">
        <v>240</v>
      </c>
      <c r="BW3293" s="6" t="s">
        <v>240</v>
      </c>
      <c r="BX3293" s="5" t="s">
        <v>240</v>
      </c>
      <c r="BY3293" s="5" t="s">
        <v>240</v>
      </c>
      <c r="BZ3293" s="5" t="s">
        <v>240</v>
      </c>
      <c r="CA3293" s="5" t="s">
        <v>259</v>
      </c>
      <c r="CB3293" s="5" t="s">
        <v>240</v>
      </c>
      <c r="CC3293" s="5" t="s">
        <v>240</v>
      </c>
      <c r="CD3293" s="5" t="s">
        <v>240</v>
      </c>
      <c r="CE3293" s="5" t="s">
        <v>240</v>
      </c>
      <c r="CF3293" s="5" t="s">
        <v>240</v>
      </c>
      <c r="CG3293" s="5" t="s">
        <v>304</v>
      </c>
      <c r="CH3293" s="5" t="s">
        <v>305</v>
      </c>
      <c r="CI3293" s="5" t="s">
        <v>240</v>
      </c>
      <c r="CK3293" s="5" t="s">
        <v>3681</v>
      </c>
      <c r="CL3293" s="6" t="s">
        <v>261</v>
      </c>
      <c r="CM3293" s="5" t="s">
        <v>262</v>
      </c>
      <c r="CN3293" s="5" t="s">
        <v>263</v>
      </c>
      <c r="CO3293" s="5" t="s">
        <v>264</v>
      </c>
      <c r="CP3293" s="5" t="s">
        <v>240</v>
      </c>
      <c r="CQ3293" s="5">
        <v>0</v>
      </c>
      <c r="CR3293" s="5" t="s">
        <v>735</v>
      </c>
      <c r="CS3293" s="5" t="s">
        <v>307</v>
      </c>
      <c r="CT3293" s="5" t="s">
        <v>307</v>
      </c>
      <c r="CU3293" s="5" t="s">
        <v>260</v>
      </c>
      <c r="CV3293" s="5" t="s">
        <v>612</v>
      </c>
      <c r="CW3293" s="8">
        <f>1</f>
        <v>1</v>
      </c>
      <c r="CX3293" s="7">
        <f>1</f>
        <v>1</v>
      </c>
      <c r="CY3293" s="7">
        <f>0</f>
        <v>0</v>
      </c>
      <c r="DA3293" s="7">
        <f>1</f>
        <v>1</v>
      </c>
      <c r="DB3293" s="7" t="s">
        <v>240</v>
      </c>
      <c r="DC3293" s="5" t="s">
        <v>240</v>
      </c>
      <c r="DD3293" s="5" t="s">
        <v>240</v>
      </c>
      <c r="DE3293" s="5" t="s">
        <v>240</v>
      </c>
      <c r="DF3293" s="5" t="s">
        <v>240</v>
      </c>
      <c r="DG3293" s="7">
        <f>0</f>
        <v>0</v>
      </c>
      <c r="DI3293" s="5" t="s">
        <v>240</v>
      </c>
      <c r="DJ3293" s="5" t="s">
        <v>240</v>
      </c>
      <c r="DK3293" s="5" t="s">
        <v>240</v>
      </c>
      <c r="DL3293" s="5" t="s">
        <v>240</v>
      </c>
      <c r="DM3293" s="5" t="s">
        <v>240</v>
      </c>
      <c r="DN3293" s="5" t="s">
        <v>240</v>
      </c>
      <c r="DO3293" s="7" t="s">
        <v>240</v>
      </c>
      <c r="DP3293" s="5" t="s">
        <v>240</v>
      </c>
      <c r="DQ3293" s="5" t="s">
        <v>240</v>
      </c>
      <c r="DR3293" s="5" t="s">
        <v>731</v>
      </c>
      <c r="DS3293" s="5" t="s">
        <v>731</v>
      </c>
      <c r="DT3293" s="5" t="s">
        <v>240</v>
      </c>
      <c r="DU3293" s="5" t="s">
        <v>240</v>
      </c>
      <c r="DV3293" s="5" t="s">
        <v>3683</v>
      </c>
      <c r="DW3293" s="5" t="s">
        <v>1223</v>
      </c>
      <c r="DX3293" s="5" t="s">
        <v>240</v>
      </c>
      <c r="DY3293" s="5" t="s">
        <v>240</v>
      </c>
      <c r="DZ3293" s="5" t="s">
        <v>240</v>
      </c>
      <c r="EA3293" s="5" t="s">
        <v>240</v>
      </c>
      <c r="EB3293" s="5" t="s">
        <v>240</v>
      </c>
      <c r="EC3293" s="5" t="s">
        <v>240</v>
      </c>
      <c r="ED3293" s="5" t="s">
        <v>240</v>
      </c>
      <c r="EE3293" s="5" t="s">
        <v>240</v>
      </c>
      <c r="EF3293" s="5" t="s">
        <v>240</v>
      </c>
      <c r="EG3293" s="5" t="s">
        <v>240</v>
      </c>
      <c r="EH3293" s="5" t="s">
        <v>240</v>
      </c>
      <c r="EI3293" s="5" t="s">
        <v>240</v>
      </c>
      <c r="EJ3293" s="5" t="s">
        <v>240</v>
      </c>
      <c r="EK3293" s="5" t="s">
        <v>240</v>
      </c>
      <c r="EL3293" s="5" t="s">
        <v>240</v>
      </c>
      <c r="EM3293" s="5" t="s">
        <v>240</v>
      </c>
      <c r="EN3293" s="5" t="s">
        <v>240</v>
      </c>
      <c r="EO3293" s="5" t="s">
        <v>240</v>
      </c>
      <c r="EP3293" s="5" t="s">
        <v>240</v>
      </c>
      <c r="EQ3293" s="5" t="s">
        <v>240</v>
      </c>
      <c r="ER3293" s="5" t="s">
        <v>240</v>
      </c>
      <c r="ES3293" s="5" t="s">
        <v>240</v>
      </c>
      <c r="ET3293" s="5" t="s">
        <v>240</v>
      </c>
      <c r="EU3293" s="5" t="s">
        <v>240</v>
      </c>
      <c r="EV3293" s="5" t="s">
        <v>240</v>
      </c>
      <c r="EW3293" s="5" t="s">
        <v>240</v>
      </c>
      <c r="EX3293" s="5" t="s">
        <v>240</v>
      </c>
      <c r="EY3293" s="5" t="s">
        <v>240</v>
      </c>
      <c r="EZ3293" s="5" t="s">
        <v>240</v>
      </c>
      <c r="FA3293" s="5" t="s">
        <v>240</v>
      </c>
      <c r="FB3293" s="5" t="s">
        <v>240</v>
      </c>
      <c r="FC3293" s="5" t="s">
        <v>240</v>
      </c>
      <c r="FD3293" s="5" t="s">
        <v>240</v>
      </c>
      <c r="FE3293" s="5" t="s">
        <v>240</v>
      </c>
      <c r="FF3293" s="5" t="s">
        <v>240</v>
      </c>
      <c r="FG3293" s="5" t="s">
        <v>240</v>
      </c>
      <c r="FH3293" s="5" t="s">
        <v>240</v>
      </c>
      <c r="FI3293" s="5" t="s">
        <v>240</v>
      </c>
      <c r="FJ3293" s="5" t="s">
        <v>240</v>
      </c>
      <c r="FK3293" s="5" t="s">
        <v>240</v>
      </c>
      <c r="FL3293" s="5" t="s">
        <v>240</v>
      </c>
      <c r="FM3293" s="5" t="s">
        <v>240</v>
      </c>
      <c r="FN3293" s="5" t="s">
        <v>240</v>
      </c>
      <c r="FO3293" s="5" t="s">
        <v>240</v>
      </c>
      <c r="FP3293" s="5" t="s">
        <v>240</v>
      </c>
      <c r="FQ3293" s="5" t="s">
        <v>240</v>
      </c>
      <c r="FR3293" s="5" t="s">
        <v>240</v>
      </c>
      <c r="FS3293" s="5" t="s">
        <v>240</v>
      </c>
      <c r="FT3293" s="5" t="s">
        <v>240</v>
      </c>
      <c r="FU3293" s="5" t="s">
        <v>240</v>
      </c>
      <c r="FV3293" s="5" t="s">
        <v>240</v>
      </c>
      <c r="FW3293" s="5" t="s">
        <v>240</v>
      </c>
      <c r="FX3293" s="5" t="s">
        <v>240</v>
      </c>
      <c r="FY3293" s="5" t="s">
        <v>240</v>
      </c>
      <c r="FZ3293" s="5" t="s">
        <v>240</v>
      </c>
      <c r="GA3293" s="5" t="s">
        <v>240</v>
      </c>
      <c r="GB3293" s="5" t="s">
        <v>240</v>
      </c>
      <c r="GC3293" s="5" t="s">
        <v>240</v>
      </c>
      <c r="GD3293" s="5" t="s">
        <v>240</v>
      </c>
      <c r="GE3293" s="5" t="s">
        <v>240</v>
      </c>
      <c r="GF3293" s="5" t="s">
        <v>240</v>
      </c>
      <c r="GG3293" s="5" t="s">
        <v>240</v>
      </c>
      <c r="GH3293" s="5" t="s">
        <v>240</v>
      </c>
      <c r="GI3293" s="5" t="s">
        <v>240</v>
      </c>
      <c r="GJ3293" s="5" t="s">
        <v>240</v>
      </c>
      <c r="GK3293" s="5" t="s">
        <v>240</v>
      </c>
      <c r="GL3293" s="5" t="s">
        <v>240</v>
      </c>
      <c r="GM3293" s="5" t="s">
        <v>240</v>
      </c>
      <c r="GN3293" s="5" t="s">
        <v>240</v>
      </c>
      <c r="GO3293" s="5" t="s">
        <v>240</v>
      </c>
      <c r="GP3293" s="5" t="s">
        <v>240</v>
      </c>
      <c r="GQ3293" s="5" t="s">
        <v>240</v>
      </c>
      <c r="GR3293" s="5" t="s">
        <v>240</v>
      </c>
      <c r="GS3293" s="5" t="s">
        <v>240</v>
      </c>
      <c r="GT3293" s="5" t="s">
        <v>240</v>
      </c>
      <c r="GU3293" s="5" t="s">
        <v>240</v>
      </c>
      <c r="GV3293" s="5" t="s">
        <v>240</v>
      </c>
      <c r="GW3293" s="5" t="s">
        <v>240</v>
      </c>
      <c r="GX3293" s="5" t="s">
        <v>240</v>
      </c>
      <c r="GY3293" s="5" t="s">
        <v>240</v>
      </c>
      <c r="GZ3293" s="5" t="s">
        <v>240</v>
      </c>
      <c r="HA3293" s="5" t="s">
        <v>240</v>
      </c>
      <c r="HB3293" s="5" t="s">
        <v>240</v>
      </c>
      <c r="HC3293" s="5" t="s">
        <v>240</v>
      </c>
      <c r="HD3293" s="5" t="s">
        <v>240</v>
      </c>
      <c r="HE3293" s="5" t="s">
        <v>240</v>
      </c>
      <c r="HF3293" s="5" t="s">
        <v>240</v>
      </c>
      <c r="HG3293" s="5" t="s">
        <v>240</v>
      </c>
      <c r="HH3293" s="5" t="s">
        <v>240</v>
      </c>
      <c r="HI3293" s="5" t="s">
        <v>240</v>
      </c>
      <c r="HJ3293" s="5" t="s">
        <v>240</v>
      </c>
      <c r="HK3293" s="5" t="s">
        <v>240</v>
      </c>
      <c r="HL3293" s="5" t="s">
        <v>240</v>
      </c>
      <c r="HM3293" s="5" t="s">
        <v>240</v>
      </c>
      <c r="HN3293" s="5" t="s">
        <v>240</v>
      </c>
      <c r="HO3293" s="5" t="s">
        <v>312</v>
      </c>
      <c r="HP3293" s="5" t="s">
        <v>240</v>
      </c>
      <c r="HQ3293" s="5" t="s">
        <v>240</v>
      </c>
      <c r="HR3293" s="5" t="s">
        <v>240</v>
      </c>
      <c r="HS3293" s="5" t="s">
        <v>240</v>
      </c>
      <c r="HT3293" s="5" t="s">
        <v>240</v>
      </c>
      <c r="HU3293" s="5" t="s">
        <v>240</v>
      </c>
      <c r="HV3293" s="5" t="s">
        <v>240</v>
      </c>
      <c r="HW3293" s="5" t="s">
        <v>240</v>
      </c>
      <c r="HX3293" s="5" t="s">
        <v>240</v>
      </c>
      <c r="HY3293" s="5" t="s">
        <v>240</v>
      </c>
      <c r="HZ3293" s="5" t="s">
        <v>240</v>
      </c>
      <c r="IA3293" s="5" t="s">
        <v>240</v>
      </c>
      <c r="IB3293" s="5" t="s">
        <v>240</v>
      </c>
      <c r="IC3293" s="5" t="s">
        <v>240</v>
      </c>
      <c r="ID3293" s="5" t="s">
        <v>240</v>
      </c>
      <c r="IE3293" s="5" t="s">
        <v>240</v>
      </c>
      <c r="IF3293" s="5" t="s">
        <v>240</v>
      </c>
    </row>
    <row r="3294" spans="1:240" x14ac:dyDescent="0.4">
      <c r="A3294" s="5">
        <v>8836</v>
      </c>
      <c r="B3294" s="5">
        <v>1</v>
      </c>
      <c r="C3294" s="5">
        <v>1</v>
      </c>
      <c r="D3294" s="5" t="s">
        <v>723</v>
      </c>
      <c r="E3294" s="5" t="s">
        <v>725</v>
      </c>
      <c r="F3294" s="5" t="s">
        <v>730</v>
      </c>
      <c r="G3294" s="5" t="s">
        <v>726</v>
      </c>
      <c r="H3294" s="6" t="s">
        <v>6572</v>
      </c>
      <c r="I3294" s="5" t="s">
        <v>722</v>
      </c>
      <c r="J3294" s="8">
        <f>993</f>
        <v>993</v>
      </c>
      <c r="K3294" s="5" t="s">
        <v>308</v>
      </c>
      <c r="L3294" s="7">
        <f>0</f>
        <v>0</v>
      </c>
      <c r="M3294" s="7">
        <f>0</f>
        <v>0</v>
      </c>
      <c r="N3294" s="5" t="s">
        <v>242</v>
      </c>
      <c r="O3294" s="5">
        <v>1</v>
      </c>
      <c r="P3294" s="5" t="s">
        <v>294</v>
      </c>
      <c r="Q3294" s="5" t="s">
        <v>3678</v>
      </c>
      <c r="R3294" s="5" t="s">
        <v>240</v>
      </c>
      <c r="S3294" s="5" t="s">
        <v>240</v>
      </c>
      <c r="T3294" s="5" t="s">
        <v>243</v>
      </c>
      <c r="U3294" s="5" t="s">
        <v>244</v>
      </c>
      <c r="V3294" s="5" t="s">
        <v>240</v>
      </c>
      <c r="W3294" s="5" t="s">
        <v>240</v>
      </c>
      <c r="X3294" s="5" t="s">
        <v>240</v>
      </c>
      <c r="Y3294" s="5" t="s">
        <v>240</v>
      </c>
      <c r="Z3294" s="6" t="s">
        <v>298</v>
      </c>
      <c r="AA3294" s="6" t="s">
        <v>240</v>
      </c>
      <c r="AB3294" s="6" t="s">
        <v>240</v>
      </c>
      <c r="AC3294" s="5" t="s">
        <v>240</v>
      </c>
      <c r="AD3294" s="6" t="s">
        <v>240</v>
      </c>
      <c r="AE3294" s="6" t="s">
        <v>299</v>
      </c>
      <c r="AF3294" s="5" t="s">
        <v>248</v>
      </c>
      <c r="AG3294" s="5" t="s">
        <v>249</v>
      </c>
      <c r="AH3294" s="5" t="s">
        <v>240</v>
      </c>
      <c r="AI3294" s="5" t="s">
        <v>240</v>
      </c>
      <c r="AJ3294" s="5" t="s">
        <v>240</v>
      </c>
      <c r="AK3294" s="5" t="s">
        <v>240</v>
      </c>
      <c r="AL3294" s="5" t="s">
        <v>240</v>
      </c>
      <c r="AM3294" s="5" t="s">
        <v>240</v>
      </c>
      <c r="AN3294" s="5" t="s">
        <v>240</v>
      </c>
      <c r="AO3294" s="5" t="s">
        <v>240</v>
      </c>
      <c r="AP3294" s="6" t="s">
        <v>240</v>
      </c>
      <c r="AQ3294" s="6" t="s">
        <v>240</v>
      </c>
      <c r="AR3294" s="6" t="s">
        <v>240</v>
      </c>
      <c r="AS3294" s="6" t="s">
        <v>240</v>
      </c>
      <c r="AT3294" s="5" t="s">
        <v>240</v>
      </c>
      <c r="AU3294" s="5" t="s">
        <v>729</v>
      </c>
      <c r="AV3294" s="5" t="s">
        <v>729</v>
      </c>
      <c r="AW3294" s="5" t="s">
        <v>251</v>
      </c>
      <c r="AX3294" s="5" t="s">
        <v>252</v>
      </c>
      <c r="AY3294" s="5" t="s">
        <v>253</v>
      </c>
      <c r="AZ3294" s="5" t="s">
        <v>240</v>
      </c>
      <c r="BA3294" s="5" t="s">
        <v>255</v>
      </c>
      <c r="BB3294" s="5" t="s">
        <v>731</v>
      </c>
      <c r="BD3294" s="5" t="s">
        <v>240</v>
      </c>
      <c r="BF3294" s="5" t="s">
        <v>732</v>
      </c>
      <c r="BG3294" s="6" t="s">
        <v>733</v>
      </c>
      <c r="BH3294" s="5" t="s">
        <v>734</v>
      </c>
      <c r="BI3294" s="5" t="s">
        <v>734</v>
      </c>
      <c r="BJ3294" s="5" t="s">
        <v>240</v>
      </c>
      <c r="BK3294" s="7">
        <f>1</f>
        <v>1</v>
      </c>
      <c r="BL3294" s="7">
        <f>1</f>
        <v>1</v>
      </c>
      <c r="BM3294" s="5" t="s">
        <v>258</v>
      </c>
      <c r="BN3294" s="5" t="s">
        <v>259</v>
      </c>
      <c r="BO3294" s="5" t="s">
        <v>240</v>
      </c>
      <c r="BP3294" s="5" t="s">
        <v>240</v>
      </c>
      <c r="BQ3294" s="5" t="s">
        <v>240</v>
      </c>
      <c r="BR3294" s="5" t="s">
        <v>240</v>
      </c>
      <c r="BS3294" s="5" t="s">
        <v>240</v>
      </c>
      <c r="BT3294" s="5" t="s">
        <v>240</v>
      </c>
      <c r="BU3294" s="5" t="s">
        <v>240</v>
      </c>
      <c r="BV3294" s="5" t="s">
        <v>240</v>
      </c>
      <c r="BW3294" s="6" t="s">
        <v>240</v>
      </c>
      <c r="BX3294" s="5" t="s">
        <v>240</v>
      </c>
      <c r="BY3294" s="5" t="s">
        <v>240</v>
      </c>
      <c r="BZ3294" s="5" t="s">
        <v>240</v>
      </c>
      <c r="CA3294" s="5" t="s">
        <v>259</v>
      </c>
      <c r="CB3294" s="5" t="s">
        <v>240</v>
      </c>
      <c r="CC3294" s="5" t="s">
        <v>240</v>
      </c>
      <c r="CD3294" s="5" t="s">
        <v>240</v>
      </c>
      <c r="CE3294" s="5" t="s">
        <v>240</v>
      </c>
      <c r="CF3294" s="5" t="s">
        <v>240</v>
      </c>
      <c r="CG3294" s="5" t="s">
        <v>304</v>
      </c>
      <c r="CH3294" s="5" t="s">
        <v>305</v>
      </c>
      <c r="CI3294" s="5" t="s">
        <v>240</v>
      </c>
      <c r="CK3294" s="5" t="s">
        <v>3681</v>
      </c>
      <c r="CL3294" s="6" t="s">
        <v>261</v>
      </c>
      <c r="CM3294" s="5" t="s">
        <v>262</v>
      </c>
      <c r="CN3294" s="5" t="s">
        <v>263</v>
      </c>
      <c r="CO3294" s="5" t="s">
        <v>264</v>
      </c>
      <c r="CP3294" s="5" t="s">
        <v>240</v>
      </c>
      <c r="CQ3294" s="5">
        <v>0</v>
      </c>
      <c r="CR3294" s="5" t="s">
        <v>735</v>
      </c>
      <c r="CS3294" s="5" t="s">
        <v>307</v>
      </c>
      <c r="CT3294" s="5" t="s">
        <v>307</v>
      </c>
      <c r="CU3294" s="5" t="s">
        <v>260</v>
      </c>
      <c r="CV3294" s="5" t="s">
        <v>612</v>
      </c>
      <c r="CW3294" s="8">
        <f>1</f>
        <v>1</v>
      </c>
      <c r="CX3294" s="7">
        <f>1</f>
        <v>1</v>
      </c>
      <c r="CY3294" s="7">
        <f>0</f>
        <v>0</v>
      </c>
      <c r="DA3294" s="7">
        <f>1</f>
        <v>1</v>
      </c>
      <c r="DB3294" s="7" t="s">
        <v>240</v>
      </c>
      <c r="DC3294" s="5" t="s">
        <v>240</v>
      </c>
      <c r="DD3294" s="5" t="s">
        <v>240</v>
      </c>
      <c r="DE3294" s="5" t="s">
        <v>240</v>
      </c>
      <c r="DF3294" s="5" t="s">
        <v>240</v>
      </c>
      <c r="DG3294" s="7">
        <f>0</f>
        <v>0</v>
      </c>
      <c r="DI3294" s="5" t="s">
        <v>240</v>
      </c>
      <c r="DJ3294" s="5" t="s">
        <v>240</v>
      </c>
      <c r="DK3294" s="5" t="s">
        <v>240</v>
      </c>
      <c r="DL3294" s="5" t="s">
        <v>240</v>
      </c>
      <c r="DM3294" s="5" t="s">
        <v>240</v>
      </c>
      <c r="DN3294" s="5" t="s">
        <v>240</v>
      </c>
      <c r="DO3294" s="7" t="s">
        <v>240</v>
      </c>
      <c r="DP3294" s="5" t="s">
        <v>240</v>
      </c>
      <c r="DQ3294" s="5" t="s">
        <v>240</v>
      </c>
      <c r="DR3294" s="5" t="s">
        <v>731</v>
      </c>
      <c r="DS3294" s="5" t="s">
        <v>731</v>
      </c>
      <c r="DT3294" s="5" t="s">
        <v>240</v>
      </c>
      <c r="DU3294" s="5" t="s">
        <v>240</v>
      </c>
      <c r="DV3294" s="5" t="s">
        <v>3683</v>
      </c>
      <c r="DW3294" s="5" t="s">
        <v>1054</v>
      </c>
      <c r="DX3294" s="5" t="s">
        <v>240</v>
      </c>
      <c r="DY3294" s="5" t="s">
        <v>240</v>
      </c>
      <c r="DZ3294" s="5" t="s">
        <v>240</v>
      </c>
      <c r="EA3294" s="5" t="s">
        <v>240</v>
      </c>
      <c r="EB3294" s="5" t="s">
        <v>240</v>
      </c>
      <c r="EC3294" s="5" t="s">
        <v>240</v>
      </c>
      <c r="ED3294" s="5" t="s">
        <v>240</v>
      </c>
      <c r="EE3294" s="5" t="s">
        <v>240</v>
      </c>
      <c r="EF3294" s="5" t="s">
        <v>240</v>
      </c>
      <c r="EG3294" s="5" t="s">
        <v>240</v>
      </c>
      <c r="EH3294" s="5" t="s">
        <v>240</v>
      </c>
      <c r="EI3294" s="5" t="s">
        <v>240</v>
      </c>
      <c r="EJ3294" s="5" t="s">
        <v>240</v>
      </c>
      <c r="EK3294" s="5" t="s">
        <v>240</v>
      </c>
      <c r="EL3294" s="5" t="s">
        <v>240</v>
      </c>
      <c r="EM3294" s="5" t="s">
        <v>240</v>
      </c>
      <c r="EN3294" s="5" t="s">
        <v>240</v>
      </c>
      <c r="EO3294" s="5" t="s">
        <v>240</v>
      </c>
      <c r="EP3294" s="5" t="s">
        <v>240</v>
      </c>
      <c r="EQ3294" s="5" t="s">
        <v>240</v>
      </c>
      <c r="ER3294" s="5" t="s">
        <v>240</v>
      </c>
      <c r="ES3294" s="5" t="s">
        <v>240</v>
      </c>
      <c r="ET3294" s="5" t="s">
        <v>240</v>
      </c>
      <c r="EU3294" s="5" t="s">
        <v>240</v>
      </c>
      <c r="EV3294" s="5" t="s">
        <v>240</v>
      </c>
      <c r="EW3294" s="5" t="s">
        <v>240</v>
      </c>
      <c r="EX3294" s="5" t="s">
        <v>240</v>
      </c>
      <c r="EY3294" s="5" t="s">
        <v>240</v>
      </c>
      <c r="EZ3294" s="5" t="s">
        <v>240</v>
      </c>
      <c r="FA3294" s="5" t="s">
        <v>240</v>
      </c>
      <c r="FB3294" s="5" t="s">
        <v>240</v>
      </c>
      <c r="FC3294" s="5" t="s">
        <v>240</v>
      </c>
      <c r="FD3294" s="5" t="s">
        <v>240</v>
      </c>
      <c r="FE3294" s="5" t="s">
        <v>240</v>
      </c>
      <c r="FF3294" s="5" t="s">
        <v>240</v>
      </c>
      <c r="FG3294" s="5" t="s">
        <v>240</v>
      </c>
      <c r="FH3294" s="5" t="s">
        <v>240</v>
      </c>
      <c r="FI3294" s="5" t="s">
        <v>240</v>
      </c>
      <c r="FJ3294" s="5" t="s">
        <v>240</v>
      </c>
      <c r="FK3294" s="5" t="s">
        <v>240</v>
      </c>
      <c r="FL3294" s="5" t="s">
        <v>240</v>
      </c>
      <c r="FM3294" s="5" t="s">
        <v>240</v>
      </c>
      <c r="FN3294" s="5" t="s">
        <v>240</v>
      </c>
      <c r="FO3294" s="5" t="s">
        <v>240</v>
      </c>
      <c r="FP3294" s="5" t="s">
        <v>240</v>
      </c>
      <c r="FQ3294" s="5" t="s">
        <v>240</v>
      </c>
      <c r="FR3294" s="5" t="s">
        <v>240</v>
      </c>
      <c r="FS3294" s="5" t="s">
        <v>240</v>
      </c>
      <c r="FT3294" s="5" t="s">
        <v>240</v>
      </c>
      <c r="FU3294" s="5" t="s">
        <v>240</v>
      </c>
      <c r="FV3294" s="5" t="s">
        <v>240</v>
      </c>
      <c r="FW3294" s="5" t="s">
        <v>240</v>
      </c>
      <c r="FX3294" s="5" t="s">
        <v>240</v>
      </c>
      <c r="FY3294" s="5" t="s">
        <v>240</v>
      </c>
      <c r="FZ3294" s="5" t="s">
        <v>240</v>
      </c>
      <c r="GA3294" s="5" t="s">
        <v>240</v>
      </c>
      <c r="GB3294" s="5" t="s">
        <v>240</v>
      </c>
      <c r="GC3294" s="5" t="s">
        <v>240</v>
      </c>
      <c r="GD3294" s="5" t="s">
        <v>240</v>
      </c>
      <c r="GE3294" s="5" t="s">
        <v>240</v>
      </c>
      <c r="GF3294" s="5" t="s">
        <v>240</v>
      </c>
      <c r="GG3294" s="5" t="s">
        <v>240</v>
      </c>
      <c r="GH3294" s="5" t="s">
        <v>240</v>
      </c>
      <c r="GI3294" s="5" t="s">
        <v>240</v>
      </c>
      <c r="GJ3294" s="5" t="s">
        <v>240</v>
      </c>
      <c r="GK3294" s="5" t="s">
        <v>240</v>
      </c>
      <c r="GL3294" s="5" t="s">
        <v>240</v>
      </c>
      <c r="GM3294" s="5" t="s">
        <v>240</v>
      </c>
      <c r="GN3294" s="5" t="s">
        <v>240</v>
      </c>
      <c r="GO3294" s="5" t="s">
        <v>240</v>
      </c>
      <c r="GP3294" s="5" t="s">
        <v>240</v>
      </c>
      <c r="GQ3294" s="5" t="s">
        <v>240</v>
      </c>
      <c r="GR3294" s="5" t="s">
        <v>240</v>
      </c>
      <c r="GS3294" s="5" t="s">
        <v>240</v>
      </c>
      <c r="GT3294" s="5" t="s">
        <v>240</v>
      </c>
      <c r="GU3294" s="5" t="s">
        <v>240</v>
      </c>
      <c r="GV3294" s="5" t="s">
        <v>240</v>
      </c>
      <c r="GW3294" s="5" t="s">
        <v>240</v>
      </c>
      <c r="GX3294" s="5" t="s">
        <v>240</v>
      </c>
      <c r="GY3294" s="5" t="s">
        <v>240</v>
      </c>
      <c r="GZ3294" s="5" t="s">
        <v>240</v>
      </c>
      <c r="HA3294" s="5" t="s">
        <v>240</v>
      </c>
      <c r="HB3294" s="5" t="s">
        <v>240</v>
      </c>
      <c r="HC3294" s="5" t="s">
        <v>240</v>
      </c>
      <c r="HD3294" s="5" t="s">
        <v>240</v>
      </c>
      <c r="HE3294" s="5" t="s">
        <v>240</v>
      </c>
      <c r="HF3294" s="5" t="s">
        <v>240</v>
      </c>
      <c r="HG3294" s="5" t="s">
        <v>240</v>
      </c>
      <c r="HH3294" s="5" t="s">
        <v>240</v>
      </c>
      <c r="HI3294" s="5" t="s">
        <v>240</v>
      </c>
      <c r="HJ3294" s="5" t="s">
        <v>240</v>
      </c>
      <c r="HK3294" s="5" t="s">
        <v>240</v>
      </c>
      <c r="HL3294" s="5" t="s">
        <v>240</v>
      </c>
      <c r="HM3294" s="5" t="s">
        <v>240</v>
      </c>
      <c r="HN3294" s="5" t="s">
        <v>240</v>
      </c>
      <c r="HO3294" s="5" t="s">
        <v>312</v>
      </c>
      <c r="HP3294" s="5" t="s">
        <v>240</v>
      </c>
      <c r="HQ3294" s="5" t="s">
        <v>240</v>
      </c>
      <c r="HR3294" s="5" t="s">
        <v>240</v>
      </c>
      <c r="HS3294" s="5" t="s">
        <v>240</v>
      </c>
      <c r="HT3294" s="5" t="s">
        <v>240</v>
      </c>
      <c r="HU3294" s="5" t="s">
        <v>240</v>
      </c>
      <c r="HV3294" s="5" t="s">
        <v>240</v>
      </c>
      <c r="HW3294" s="5" t="s">
        <v>240</v>
      </c>
      <c r="HX3294" s="5" t="s">
        <v>240</v>
      </c>
      <c r="HY3294" s="5" t="s">
        <v>240</v>
      </c>
      <c r="HZ3294" s="5" t="s">
        <v>240</v>
      </c>
      <c r="IA3294" s="5" t="s">
        <v>240</v>
      </c>
      <c r="IB3294" s="5" t="s">
        <v>240</v>
      </c>
      <c r="IC3294" s="5" t="s">
        <v>240</v>
      </c>
      <c r="ID3294" s="5" t="s">
        <v>240</v>
      </c>
      <c r="IE3294" s="5" t="s">
        <v>240</v>
      </c>
      <c r="IF3294" s="5" t="s">
        <v>240</v>
      </c>
    </row>
    <row r="3295" spans="1:240" x14ac:dyDescent="0.4">
      <c r="A3295" s="5">
        <v>8837</v>
      </c>
      <c r="B3295" s="5">
        <v>1</v>
      </c>
      <c r="C3295" s="5">
        <v>1</v>
      </c>
      <c r="D3295" s="5" t="s">
        <v>723</v>
      </c>
      <c r="E3295" s="5" t="s">
        <v>725</v>
      </c>
      <c r="F3295" s="5" t="s">
        <v>730</v>
      </c>
      <c r="G3295" s="5" t="s">
        <v>726</v>
      </c>
      <c r="H3295" s="6" t="s">
        <v>6353</v>
      </c>
      <c r="I3295" s="5" t="s">
        <v>990</v>
      </c>
      <c r="J3295" s="8">
        <f>99.17</f>
        <v>99.17</v>
      </c>
      <c r="K3295" s="5" t="s">
        <v>308</v>
      </c>
      <c r="L3295" s="7">
        <f>0</f>
        <v>0</v>
      </c>
      <c r="M3295" s="7">
        <f>0</f>
        <v>0</v>
      </c>
      <c r="N3295" s="5" t="s">
        <v>242</v>
      </c>
      <c r="O3295" s="5">
        <v>1</v>
      </c>
      <c r="P3295" s="5" t="s">
        <v>294</v>
      </c>
      <c r="Q3295" s="5" t="s">
        <v>3678</v>
      </c>
      <c r="R3295" s="5" t="s">
        <v>240</v>
      </c>
      <c r="S3295" s="5" t="s">
        <v>240</v>
      </c>
      <c r="T3295" s="5" t="s">
        <v>243</v>
      </c>
      <c r="U3295" s="5" t="s">
        <v>244</v>
      </c>
      <c r="V3295" s="5" t="s">
        <v>240</v>
      </c>
      <c r="W3295" s="5" t="s">
        <v>240</v>
      </c>
      <c r="X3295" s="5" t="s">
        <v>240</v>
      </c>
      <c r="Y3295" s="5" t="s">
        <v>240</v>
      </c>
      <c r="Z3295" s="6" t="s">
        <v>298</v>
      </c>
      <c r="AA3295" s="6" t="s">
        <v>240</v>
      </c>
      <c r="AB3295" s="6" t="s">
        <v>240</v>
      </c>
      <c r="AC3295" s="5" t="s">
        <v>240</v>
      </c>
      <c r="AD3295" s="6" t="s">
        <v>240</v>
      </c>
      <c r="AE3295" s="6" t="s">
        <v>299</v>
      </c>
      <c r="AF3295" s="5" t="s">
        <v>248</v>
      </c>
      <c r="AG3295" s="5" t="s">
        <v>249</v>
      </c>
      <c r="AH3295" s="5" t="s">
        <v>240</v>
      </c>
      <c r="AI3295" s="5" t="s">
        <v>240</v>
      </c>
      <c r="AJ3295" s="5" t="s">
        <v>240</v>
      </c>
      <c r="AK3295" s="5" t="s">
        <v>240</v>
      </c>
      <c r="AL3295" s="5" t="s">
        <v>240</v>
      </c>
      <c r="AM3295" s="5" t="s">
        <v>240</v>
      </c>
      <c r="AN3295" s="5" t="s">
        <v>240</v>
      </c>
      <c r="AO3295" s="5" t="s">
        <v>240</v>
      </c>
      <c r="AP3295" s="6" t="s">
        <v>240</v>
      </c>
      <c r="AQ3295" s="6" t="s">
        <v>240</v>
      </c>
      <c r="AR3295" s="6" t="s">
        <v>240</v>
      </c>
      <c r="AS3295" s="6" t="s">
        <v>240</v>
      </c>
      <c r="AT3295" s="5" t="s">
        <v>240</v>
      </c>
      <c r="AU3295" s="5" t="s">
        <v>729</v>
      </c>
      <c r="AV3295" s="5" t="s">
        <v>729</v>
      </c>
      <c r="AW3295" s="5" t="s">
        <v>251</v>
      </c>
      <c r="AX3295" s="5" t="s">
        <v>252</v>
      </c>
      <c r="AY3295" s="5" t="s">
        <v>253</v>
      </c>
      <c r="AZ3295" s="5" t="s">
        <v>240</v>
      </c>
      <c r="BA3295" s="5" t="s">
        <v>255</v>
      </c>
      <c r="BB3295" s="5" t="s">
        <v>731</v>
      </c>
      <c r="BD3295" s="5" t="s">
        <v>240</v>
      </c>
      <c r="BF3295" s="5" t="s">
        <v>732</v>
      </c>
      <c r="BG3295" s="6" t="s">
        <v>733</v>
      </c>
      <c r="BH3295" s="5" t="s">
        <v>734</v>
      </c>
      <c r="BI3295" s="5" t="s">
        <v>734</v>
      </c>
      <c r="BJ3295" s="5" t="s">
        <v>240</v>
      </c>
      <c r="BK3295" s="7">
        <f>1</f>
        <v>1</v>
      </c>
      <c r="BL3295" s="7">
        <f>1</f>
        <v>1</v>
      </c>
      <c r="BM3295" s="5" t="s">
        <v>258</v>
      </c>
      <c r="BN3295" s="5" t="s">
        <v>259</v>
      </c>
      <c r="BO3295" s="5" t="s">
        <v>240</v>
      </c>
      <c r="BP3295" s="5" t="s">
        <v>240</v>
      </c>
      <c r="BQ3295" s="5" t="s">
        <v>240</v>
      </c>
      <c r="BR3295" s="5" t="s">
        <v>240</v>
      </c>
      <c r="BS3295" s="5" t="s">
        <v>240</v>
      </c>
      <c r="BT3295" s="5" t="s">
        <v>240</v>
      </c>
      <c r="BU3295" s="5" t="s">
        <v>240</v>
      </c>
      <c r="BV3295" s="5" t="s">
        <v>240</v>
      </c>
      <c r="BW3295" s="6" t="s">
        <v>240</v>
      </c>
      <c r="BX3295" s="5" t="s">
        <v>240</v>
      </c>
      <c r="BY3295" s="5" t="s">
        <v>240</v>
      </c>
      <c r="BZ3295" s="5" t="s">
        <v>240</v>
      </c>
      <c r="CA3295" s="5" t="s">
        <v>259</v>
      </c>
      <c r="CB3295" s="5" t="s">
        <v>240</v>
      </c>
      <c r="CC3295" s="5" t="s">
        <v>240</v>
      </c>
      <c r="CD3295" s="5" t="s">
        <v>240</v>
      </c>
      <c r="CE3295" s="5" t="s">
        <v>240</v>
      </c>
      <c r="CF3295" s="5" t="s">
        <v>240</v>
      </c>
      <c r="CG3295" s="5" t="s">
        <v>304</v>
      </c>
      <c r="CH3295" s="5" t="s">
        <v>305</v>
      </c>
      <c r="CI3295" s="5" t="s">
        <v>240</v>
      </c>
      <c r="CK3295" s="5" t="s">
        <v>3681</v>
      </c>
      <c r="CL3295" s="6" t="s">
        <v>261</v>
      </c>
      <c r="CM3295" s="5" t="s">
        <v>262</v>
      </c>
      <c r="CN3295" s="5" t="s">
        <v>263</v>
      </c>
      <c r="CO3295" s="5" t="s">
        <v>264</v>
      </c>
      <c r="CP3295" s="5" t="s">
        <v>240</v>
      </c>
      <c r="CQ3295" s="5">
        <v>0</v>
      </c>
      <c r="CR3295" s="5" t="s">
        <v>735</v>
      </c>
      <c r="CS3295" s="5" t="s">
        <v>307</v>
      </c>
      <c r="CT3295" s="5" t="s">
        <v>307</v>
      </c>
      <c r="CU3295" s="5" t="s">
        <v>260</v>
      </c>
      <c r="CV3295" s="5" t="s">
        <v>612</v>
      </c>
      <c r="CW3295" s="8">
        <f>1</f>
        <v>1</v>
      </c>
      <c r="CX3295" s="7">
        <f>1</f>
        <v>1</v>
      </c>
      <c r="CY3295" s="7">
        <f>0</f>
        <v>0</v>
      </c>
      <c r="DA3295" s="7">
        <f>1</f>
        <v>1</v>
      </c>
      <c r="DB3295" s="7" t="s">
        <v>240</v>
      </c>
      <c r="DC3295" s="5" t="s">
        <v>240</v>
      </c>
      <c r="DD3295" s="5" t="s">
        <v>240</v>
      </c>
      <c r="DE3295" s="5" t="s">
        <v>240</v>
      </c>
      <c r="DF3295" s="5" t="s">
        <v>240</v>
      </c>
      <c r="DG3295" s="7">
        <f>0</f>
        <v>0</v>
      </c>
      <c r="DI3295" s="5" t="s">
        <v>240</v>
      </c>
      <c r="DJ3295" s="5" t="s">
        <v>240</v>
      </c>
      <c r="DK3295" s="5" t="s">
        <v>240</v>
      </c>
      <c r="DL3295" s="5" t="s">
        <v>240</v>
      </c>
      <c r="DM3295" s="5" t="s">
        <v>240</v>
      </c>
      <c r="DN3295" s="5" t="s">
        <v>240</v>
      </c>
      <c r="DO3295" s="7" t="s">
        <v>240</v>
      </c>
      <c r="DP3295" s="5" t="s">
        <v>240</v>
      </c>
      <c r="DQ3295" s="5" t="s">
        <v>240</v>
      </c>
      <c r="DR3295" s="5" t="s">
        <v>731</v>
      </c>
      <c r="DS3295" s="5" t="s">
        <v>731</v>
      </c>
      <c r="DT3295" s="5" t="s">
        <v>240</v>
      </c>
      <c r="DU3295" s="5" t="s">
        <v>240</v>
      </c>
      <c r="DV3295" s="5" t="s">
        <v>3683</v>
      </c>
      <c r="DW3295" s="5" t="s">
        <v>538</v>
      </c>
      <c r="DX3295" s="5" t="s">
        <v>240</v>
      </c>
      <c r="DY3295" s="5" t="s">
        <v>240</v>
      </c>
      <c r="DZ3295" s="5" t="s">
        <v>240</v>
      </c>
      <c r="EA3295" s="5" t="s">
        <v>240</v>
      </c>
      <c r="EB3295" s="5" t="s">
        <v>240</v>
      </c>
      <c r="EC3295" s="5" t="s">
        <v>240</v>
      </c>
      <c r="ED3295" s="5" t="s">
        <v>240</v>
      </c>
      <c r="EE3295" s="5" t="s">
        <v>240</v>
      </c>
      <c r="EF3295" s="5" t="s">
        <v>240</v>
      </c>
      <c r="EG3295" s="5" t="s">
        <v>240</v>
      </c>
      <c r="EH3295" s="5" t="s">
        <v>240</v>
      </c>
      <c r="EI3295" s="5" t="s">
        <v>240</v>
      </c>
      <c r="EJ3295" s="5" t="s">
        <v>240</v>
      </c>
      <c r="EK3295" s="5" t="s">
        <v>240</v>
      </c>
      <c r="EL3295" s="5" t="s">
        <v>240</v>
      </c>
      <c r="EM3295" s="5" t="s">
        <v>240</v>
      </c>
      <c r="EN3295" s="5" t="s">
        <v>240</v>
      </c>
      <c r="EO3295" s="5" t="s">
        <v>240</v>
      </c>
      <c r="EP3295" s="5" t="s">
        <v>240</v>
      </c>
      <c r="EQ3295" s="5" t="s">
        <v>240</v>
      </c>
      <c r="ER3295" s="5" t="s">
        <v>240</v>
      </c>
      <c r="ES3295" s="5" t="s">
        <v>240</v>
      </c>
      <c r="ET3295" s="5" t="s">
        <v>240</v>
      </c>
      <c r="EU3295" s="5" t="s">
        <v>240</v>
      </c>
      <c r="EV3295" s="5" t="s">
        <v>240</v>
      </c>
      <c r="EW3295" s="5" t="s">
        <v>240</v>
      </c>
      <c r="EX3295" s="5" t="s">
        <v>240</v>
      </c>
      <c r="EY3295" s="5" t="s">
        <v>240</v>
      </c>
      <c r="EZ3295" s="5" t="s">
        <v>240</v>
      </c>
      <c r="FA3295" s="5" t="s">
        <v>240</v>
      </c>
      <c r="FB3295" s="5" t="s">
        <v>240</v>
      </c>
      <c r="FC3295" s="5" t="s">
        <v>240</v>
      </c>
      <c r="FD3295" s="5" t="s">
        <v>240</v>
      </c>
      <c r="FE3295" s="5" t="s">
        <v>240</v>
      </c>
      <c r="FF3295" s="5" t="s">
        <v>240</v>
      </c>
      <c r="FG3295" s="5" t="s">
        <v>240</v>
      </c>
      <c r="FH3295" s="5" t="s">
        <v>240</v>
      </c>
      <c r="FI3295" s="5" t="s">
        <v>240</v>
      </c>
      <c r="FJ3295" s="5" t="s">
        <v>240</v>
      </c>
      <c r="FK3295" s="5" t="s">
        <v>240</v>
      </c>
      <c r="FL3295" s="5" t="s">
        <v>240</v>
      </c>
      <c r="FM3295" s="5" t="s">
        <v>240</v>
      </c>
      <c r="FN3295" s="5" t="s">
        <v>240</v>
      </c>
      <c r="FO3295" s="5" t="s">
        <v>240</v>
      </c>
      <c r="FP3295" s="5" t="s">
        <v>240</v>
      </c>
      <c r="FQ3295" s="5" t="s">
        <v>240</v>
      </c>
      <c r="FR3295" s="5" t="s">
        <v>240</v>
      </c>
      <c r="FS3295" s="5" t="s">
        <v>240</v>
      </c>
      <c r="FT3295" s="5" t="s">
        <v>240</v>
      </c>
      <c r="FU3295" s="5" t="s">
        <v>240</v>
      </c>
      <c r="FV3295" s="5" t="s">
        <v>240</v>
      </c>
      <c r="FW3295" s="5" t="s">
        <v>240</v>
      </c>
      <c r="FX3295" s="5" t="s">
        <v>240</v>
      </c>
      <c r="FY3295" s="5" t="s">
        <v>240</v>
      </c>
      <c r="FZ3295" s="5" t="s">
        <v>240</v>
      </c>
      <c r="GA3295" s="5" t="s">
        <v>240</v>
      </c>
      <c r="GB3295" s="5" t="s">
        <v>240</v>
      </c>
      <c r="GC3295" s="5" t="s">
        <v>240</v>
      </c>
      <c r="GD3295" s="5" t="s">
        <v>240</v>
      </c>
      <c r="GE3295" s="5" t="s">
        <v>240</v>
      </c>
      <c r="GF3295" s="5" t="s">
        <v>240</v>
      </c>
      <c r="GG3295" s="5" t="s">
        <v>240</v>
      </c>
      <c r="GH3295" s="5" t="s">
        <v>240</v>
      </c>
      <c r="GI3295" s="5" t="s">
        <v>240</v>
      </c>
      <c r="GJ3295" s="5" t="s">
        <v>240</v>
      </c>
      <c r="GK3295" s="5" t="s">
        <v>240</v>
      </c>
      <c r="GL3295" s="5" t="s">
        <v>240</v>
      </c>
      <c r="GM3295" s="5" t="s">
        <v>240</v>
      </c>
      <c r="GN3295" s="5" t="s">
        <v>240</v>
      </c>
      <c r="GO3295" s="5" t="s">
        <v>240</v>
      </c>
      <c r="GP3295" s="5" t="s">
        <v>240</v>
      </c>
      <c r="GQ3295" s="5" t="s">
        <v>240</v>
      </c>
      <c r="GR3295" s="5" t="s">
        <v>240</v>
      </c>
      <c r="GS3295" s="5" t="s">
        <v>240</v>
      </c>
      <c r="GT3295" s="5" t="s">
        <v>240</v>
      </c>
      <c r="GU3295" s="5" t="s">
        <v>240</v>
      </c>
      <c r="GV3295" s="5" t="s">
        <v>240</v>
      </c>
      <c r="GW3295" s="5" t="s">
        <v>240</v>
      </c>
      <c r="GX3295" s="5" t="s">
        <v>240</v>
      </c>
      <c r="GY3295" s="5" t="s">
        <v>240</v>
      </c>
      <c r="GZ3295" s="5" t="s">
        <v>240</v>
      </c>
      <c r="HA3295" s="5" t="s">
        <v>240</v>
      </c>
      <c r="HB3295" s="5" t="s">
        <v>240</v>
      </c>
      <c r="HC3295" s="5" t="s">
        <v>240</v>
      </c>
      <c r="HD3295" s="5" t="s">
        <v>240</v>
      </c>
      <c r="HE3295" s="5" t="s">
        <v>240</v>
      </c>
      <c r="HF3295" s="5" t="s">
        <v>240</v>
      </c>
      <c r="HG3295" s="5" t="s">
        <v>240</v>
      </c>
      <c r="HH3295" s="5" t="s">
        <v>240</v>
      </c>
      <c r="HI3295" s="5" t="s">
        <v>240</v>
      </c>
      <c r="HJ3295" s="5" t="s">
        <v>240</v>
      </c>
      <c r="HK3295" s="5" t="s">
        <v>240</v>
      </c>
      <c r="HL3295" s="5" t="s">
        <v>240</v>
      </c>
      <c r="HM3295" s="5" t="s">
        <v>240</v>
      </c>
      <c r="HN3295" s="5" t="s">
        <v>240</v>
      </c>
      <c r="HO3295" s="5" t="s">
        <v>312</v>
      </c>
      <c r="HP3295" s="5" t="s">
        <v>240</v>
      </c>
      <c r="HQ3295" s="5" t="s">
        <v>240</v>
      </c>
      <c r="HR3295" s="5" t="s">
        <v>240</v>
      </c>
      <c r="HS3295" s="5" t="s">
        <v>240</v>
      </c>
      <c r="HT3295" s="5" t="s">
        <v>240</v>
      </c>
      <c r="HU3295" s="5" t="s">
        <v>240</v>
      </c>
      <c r="HV3295" s="5" t="s">
        <v>240</v>
      </c>
      <c r="HW3295" s="5" t="s">
        <v>240</v>
      </c>
      <c r="HX3295" s="5" t="s">
        <v>240</v>
      </c>
      <c r="HY3295" s="5" t="s">
        <v>240</v>
      </c>
      <c r="HZ3295" s="5" t="s">
        <v>240</v>
      </c>
      <c r="IA3295" s="5" t="s">
        <v>240</v>
      </c>
      <c r="IB3295" s="5" t="s">
        <v>240</v>
      </c>
      <c r="IC3295" s="5" t="s">
        <v>240</v>
      </c>
      <c r="ID3295" s="5" t="s">
        <v>240</v>
      </c>
      <c r="IE3295" s="5" t="s">
        <v>240</v>
      </c>
      <c r="IF3295" s="5" t="s">
        <v>240</v>
      </c>
    </row>
    <row r="3296" spans="1:240" x14ac:dyDescent="0.4">
      <c r="A3296" s="5">
        <v>8838</v>
      </c>
      <c r="B3296" s="5">
        <v>1</v>
      </c>
      <c r="C3296" s="5">
        <v>1</v>
      </c>
      <c r="D3296" s="5" t="s">
        <v>723</v>
      </c>
      <c r="E3296" s="5" t="s">
        <v>725</v>
      </c>
      <c r="F3296" s="5" t="s">
        <v>730</v>
      </c>
      <c r="G3296" s="5" t="s">
        <v>726</v>
      </c>
      <c r="H3296" s="6" t="s">
        <v>6577</v>
      </c>
      <c r="I3296" s="5" t="s">
        <v>722</v>
      </c>
      <c r="J3296" s="8">
        <f>305</f>
        <v>305</v>
      </c>
      <c r="K3296" s="5" t="s">
        <v>308</v>
      </c>
      <c r="L3296" s="7">
        <f>0</f>
        <v>0</v>
      </c>
      <c r="M3296" s="7">
        <f>0</f>
        <v>0</v>
      </c>
      <c r="N3296" s="5" t="s">
        <v>242</v>
      </c>
      <c r="O3296" s="5">
        <v>1</v>
      </c>
      <c r="P3296" s="5" t="s">
        <v>294</v>
      </c>
      <c r="Q3296" s="5" t="s">
        <v>3678</v>
      </c>
      <c r="R3296" s="5" t="s">
        <v>240</v>
      </c>
      <c r="S3296" s="5" t="s">
        <v>240</v>
      </c>
      <c r="T3296" s="5" t="s">
        <v>243</v>
      </c>
      <c r="U3296" s="5" t="s">
        <v>244</v>
      </c>
      <c r="V3296" s="5" t="s">
        <v>240</v>
      </c>
      <c r="W3296" s="5" t="s">
        <v>240</v>
      </c>
      <c r="X3296" s="5" t="s">
        <v>240</v>
      </c>
      <c r="Y3296" s="5" t="s">
        <v>240</v>
      </c>
      <c r="Z3296" s="6" t="s">
        <v>298</v>
      </c>
      <c r="AA3296" s="6" t="s">
        <v>240</v>
      </c>
      <c r="AB3296" s="6" t="s">
        <v>240</v>
      </c>
      <c r="AC3296" s="5" t="s">
        <v>240</v>
      </c>
      <c r="AD3296" s="6" t="s">
        <v>240</v>
      </c>
      <c r="AE3296" s="6" t="s">
        <v>299</v>
      </c>
      <c r="AF3296" s="5" t="s">
        <v>248</v>
      </c>
      <c r="AG3296" s="5" t="s">
        <v>249</v>
      </c>
      <c r="AH3296" s="5" t="s">
        <v>240</v>
      </c>
      <c r="AI3296" s="5" t="s">
        <v>240</v>
      </c>
      <c r="AJ3296" s="5" t="s">
        <v>240</v>
      </c>
      <c r="AK3296" s="5" t="s">
        <v>240</v>
      </c>
      <c r="AL3296" s="5" t="s">
        <v>240</v>
      </c>
      <c r="AM3296" s="5" t="s">
        <v>240</v>
      </c>
      <c r="AN3296" s="5" t="s">
        <v>240</v>
      </c>
      <c r="AO3296" s="5" t="s">
        <v>240</v>
      </c>
      <c r="AP3296" s="6" t="s">
        <v>240</v>
      </c>
      <c r="AQ3296" s="6" t="s">
        <v>240</v>
      </c>
      <c r="AR3296" s="6" t="s">
        <v>240</v>
      </c>
      <c r="AS3296" s="6" t="s">
        <v>240</v>
      </c>
      <c r="AT3296" s="5" t="s">
        <v>240</v>
      </c>
      <c r="AU3296" s="5" t="s">
        <v>729</v>
      </c>
      <c r="AV3296" s="5" t="s">
        <v>729</v>
      </c>
      <c r="AW3296" s="5" t="s">
        <v>251</v>
      </c>
      <c r="AX3296" s="5" t="s">
        <v>252</v>
      </c>
      <c r="AY3296" s="5" t="s">
        <v>253</v>
      </c>
      <c r="AZ3296" s="5" t="s">
        <v>240</v>
      </c>
      <c r="BA3296" s="5" t="s">
        <v>255</v>
      </c>
      <c r="BB3296" s="5" t="s">
        <v>731</v>
      </c>
      <c r="BD3296" s="5" t="s">
        <v>240</v>
      </c>
      <c r="BF3296" s="5" t="s">
        <v>732</v>
      </c>
      <c r="BG3296" s="6" t="s">
        <v>733</v>
      </c>
      <c r="BH3296" s="5" t="s">
        <v>734</v>
      </c>
      <c r="BI3296" s="5" t="s">
        <v>734</v>
      </c>
      <c r="BJ3296" s="5" t="s">
        <v>240</v>
      </c>
      <c r="BK3296" s="7">
        <f>1</f>
        <v>1</v>
      </c>
      <c r="BL3296" s="7">
        <f>1</f>
        <v>1</v>
      </c>
      <c r="BM3296" s="5" t="s">
        <v>258</v>
      </c>
      <c r="BN3296" s="5" t="s">
        <v>259</v>
      </c>
      <c r="BO3296" s="5" t="s">
        <v>240</v>
      </c>
      <c r="BP3296" s="5" t="s">
        <v>240</v>
      </c>
      <c r="BQ3296" s="5" t="s">
        <v>240</v>
      </c>
      <c r="BR3296" s="5" t="s">
        <v>240</v>
      </c>
      <c r="BS3296" s="5" t="s">
        <v>240</v>
      </c>
      <c r="BT3296" s="5" t="s">
        <v>240</v>
      </c>
      <c r="BU3296" s="5" t="s">
        <v>240</v>
      </c>
      <c r="BV3296" s="5" t="s">
        <v>240</v>
      </c>
      <c r="BW3296" s="6" t="s">
        <v>240</v>
      </c>
      <c r="BX3296" s="5" t="s">
        <v>240</v>
      </c>
      <c r="BY3296" s="5" t="s">
        <v>240</v>
      </c>
      <c r="BZ3296" s="5" t="s">
        <v>240</v>
      </c>
      <c r="CA3296" s="5" t="s">
        <v>259</v>
      </c>
      <c r="CB3296" s="5" t="s">
        <v>240</v>
      </c>
      <c r="CC3296" s="5" t="s">
        <v>240</v>
      </c>
      <c r="CD3296" s="5" t="s">
        <v>240</v>
      </c>
      <c r="CE3296" s="5" t="s">
        <v>240</v>
      </c>
      <c r="CF3296" s="5" t="s">
        <v>240</v>
      </c>
      <c r="CG3296" s="5" t="s">
        <v>304</v>
      </c>
      <c r="CH3296" s="5" t="s">
        <v>305</v>
      </c>
      <c r="CI3296" s="5" t="s">
        <v>240</v>
      </c>
      <c r="CK3296" s="5" t="s">
        <v>3681</v>
      </c>
      <c r="CL3296" s="6" t="s">
        <v>261</v>
      </c>
      <c r="CM3296" s="5" t="s">
        <v>262</v>
      </c>
      <c r="CN3296" s="5" t="s">
        <v>263</v>
      </c>
      <c r="CO3296" s="5" t="s">
        <v>264</v>
      </c>
      <c r="CP3296" s="5" t="s">
        <v>240</v>
      </c>
      <c r="CQ3296" s="5">
        <v>0</v>
      </c>
      <c r="CR3296" s="5" t="s">
        <v>735</v>
      </c>
      <c r="CS3296" s="5" t="s">
        <v>307</v>
      </c>
      <c r="CT3296" s="5" t="s">
        <v>307</v>
      </c>
      <c r="CU3296" s="5" t="s">
        <v>260</v>
      </c>
      <c r="CV3296" s="5" t="s">
        <v>612</v>
      </c>
      <c r="CW3296" s="8">
        <f>1</f>
        <v>1</v>
      </c>
      <c r="CX3296" s="7">
        <f>1</f>
        <v>1</v>
      </c>
      <c r="CY3296" s="7">
        <f>0</f>
        <v>0</v>
      </c>
      <c r="DA3296" s="7">
        <f>1</f>
        <v>1</v>
      </c>
      <c r="DB3296" s="7" t="s">
        <v>240</v>
      </c>
      <c r="DC3296" s="5" t="s">
        <v>240</v>
      </c>
      <c r="DD3296" s="5" t="s">
        <v>240</v>
      </c>
      <c r="DE3296" s="5" t="s">
        <v>240</v>
      </c>
      <c r="DF3296" s="5" t="s">
        <v>240</v>
      </c>
      <c r="DG3296" s="7">
        <f>0</f>
        <v>0</v>
      </c>
      <c r="DI3296" s="5" t="s">
        <v>240</v>
      </c>
      <c r="DJ3296" s="5" t="s">
        <v>240</v>
      </c>
      <c r="DK3296" s="5" t="s">
        <v>240</v>
      </c>
      <c r="DL3296" s="5" t="s">
        <v>240</v>
      </c>
      <c r="DM3296" s="5" t="s">
        <v>240</v>
      </c>
      <c r="DN3296" s="5" t="s">
        <v>240</v>
      </c>
      <c r="DO3296" s="7" t="s">
        <v>240</v>
      </c>
      <c r="DP3296" s="5" t="s">
        <v>240</v>
      </c>
      <c r="DQ3296" s="5" t="s">
        <v>240</v>
      </c>
      <c r="DR3296" s="5" t="s">
        <v>731</v>
      </c>
      <c r="DS3296" s="5" t="s">
        <v>731</v>
      </c>
      <c r="DT3296" s="5" t="s">
        <v>240</v>
      </c>
      <c r="DU3296" s="5" t="s">
        <v>240</v>
      </c>
      <c r="DV3296" s="5" t="s">
        <v>3683</v>
      </c>
      <c r="DW3296" s="5" t="s">
        <v>546</v>
      </c>
      <c r="DX3296" s="5" t="s">
        <v>240</v>
      </c>
      <c r="DY3296" s="5" t="s">
        <v>240</v>
      </c>
      <c r="DZ3296" s="5" t="s">
        <v>240</v>
      </c>
      <c r="EA3296" s="5" t="s">
        <v>240</v>
      </c>
      <c r="EB3296" s="5" t="s">
        <v>240</v>
      </c>
      <c r="EC3296" s="5" t="s">
        <v>240</v>
      </c>
      <c r="ED3296" s="5" t="s">
        <v>240</v>
      </c>
      <c r="EE3296" s="5" t="s">
        <v>240</v>
      </c>
      <c r="EF3296" s="5" t="s">
        <v>240</v>
      </c>
      <c r="EG3296" s="5" t="s">
        <v>240</v>
      </c>
      <c r="EH3296" s="5" t="s">
        <v>240</v>
      </c>
      <c r="EI3296" s="5" t="s">
        <v>240</v>
      </c>
      <c r="EJ3296" s="5" t="s">
        <v>240</v>
      </c>
      <c r="EK3296" s="5" t="s">
        <v>240</v>
      </c>
      <c r="EL3296" s="5" t="s">
        <v>240</v>
      </c>
      <c r="EM3296" s="5" t="s">
        <v>240</v>
      </c>
      <c r="EN3296" s="5" t="s">
        <v>240</v>
      </c>
      <c r="EO3296" s="5" t="s">
        <v>240</v>
      </c>
      <c r="EP3296" s="5" t="s">
        <v>240</v>
      </c>
      <c r="EQ3296" s="5" t="s">
        <v>240</v>
      </c>
      <c r="ER3296" s="5" t="s">
        <v>240</v>
      </c>
      <c r="ES3296" s="5" t="s">
        <v>240</v>
      </c>
      <c r="ET3296" s="5" t="s">
        <v>240</v>
      </c>
      <c r="EU3296" s="5" t="s">
        <v>240</v>
      </c>
      <c r="EV3296" s="5" t="s">
        <v>240</v>
      </c>
      <c r="EW3296" s="5" t="s">
        <v>240</v>
      </c>
      <c r="EX3296" s="5" t="s">
        <v>240</v>
      </c>
      <c r="EY3296" s="5" t="s">
        <v>240</v>
      </c>
      <c r="EZ3296" s="5" t="s">
        <v>240</v>
      </c>
      <c r="FA3296" s="5" t="s">
        <v>240</v>
      </c>
      <c r="FB3296" s="5" t="s">
        <v>240</v>
      </c>
      <c r="FC3296" s="5" t="s">
        <v>240</v>
      </c>
      <c r="FD3296" s="5" t="s">
        <v>240</v>
      </c>
      <c r="FE3296" s="5" t="s">
        <v>240</v>
      </c>
      <c r="FF3296" s="5" t="s">
        <v>240</v>
      </c>
      <c r="FG3296" s="5" t="s">
        <v>240</v>
      </c>
      <c r="FH3296" s="5" t="s">
        <v>240</v>
      </c>
      <c r="FI3296" s="5" t="s">
        <v>240</v>
      </c>
      <c r="FJ3296" s="5" t="s">
        <v>240</v>
      </c>
      <c r="FK3296" s="5" t="s">
        <v>240</v>
      </c>
      <c r="FL3296" s="5" t="s">
        <v>240</v>
      </c>
      <c r="FM3296" s="5" t="s">
        <v>240</v>
      </c>
      <c r="FN3296" s="5" t="s">
        <v>240</v>
      </c>
      <c r="FO3296" s="5" t="s">
        <v>240</v>
      </c>
      <c r="FP3296" s="5" t="s">
        <v>240</v>
      </c>
      <c r="FQ3296" s="5" t="s">
        <v>240</v>
      </c>
      <c r="FR3296" s="5" t="s">
        <v>240</v>
      </c>
      <c r="FS3296" s="5" t="s">
        <v>240</v>
      </c>
      <c r="FT3296" s="5" t="s">
        <v>240</v>
      </c>
      <c r="FU3296" s="5" t="s">
        <v>240</v>
      </c>
      <c r="FV3296" s="5" t="s">
        <v>240</v>
      </c>
      <c r="FW3296" s="5" t="s">
        <v>240</v>
      </c>
      <c r="FX3296" s="5" t="s">
        <v>240</v>
      </c>
      <c r="FY3296" s="5" t="s">
        <v>240</v>
      </c>
      <c r="FZ3296" s="5" t="s">
        <v>240</v>
      </c>
      <c r="GA3296" s="5" t="s">
        <v>240</v>
      </c>
      <c r="GB3296" s="5" t="s">
        <v>240</v>
      </c>
      <c r="GC3296" s="5" t="s">
        <v>240</v>
      </c>
      <c r="GD3296" s="5" t="s">
        <v>240</v>
      </c>
      <c r="GE3296" s="5" t="s">
        <v>240</v>
      </c>
      <c r="GF3296" s="5" t="s">
        <v>240</v>
      </c>
      <c r="GG3296" s="5" t="s">
        <v>240</v>
      </c>
      <c r="GH3296" s="5" t="s">
        <v>240</v>
      </c>
      <c r="GI3296" s="5" t="s">
        <v>240</v>
      </c>
      <c r="GJ3296" s="5" t="s">
        <v>240</v>
      </c>
      <c r="GK3296" s="5" t="s">
        <v>240</v>
      </c>
      <c r="GL3296" s="5" t="s">
        <v>240</v>
      </c>
      <c r="GM3296" s="5" t="s">
        <v>240</v>
      </c>
      <c r="GN3296" s="5" t="s">
        <v>240</v>
      </c>
      <c r="GO3296" s="5" t="s">
        <v>240</v>
      </c>
      <c r="GP3296" s="5" t="s">
        <v>240</v>
      </c>
      <c r="GQ3296" s="5" t="s">
        <v>240</v>
      </c>
      <c r="GR3296" s="5" t="s">
        <v>240</v>
      </c>
      <c r="GS3296" s="5" t="s">
        <v>240</v>
      </c>
      <c r="GT3296" s="5" t="s">
        <v>240</v>
      </c>
      <c r="GU3296" s="5" t="s">
        <v>240</v>
      </c>
      <c r="GV3296" s="5" t="s">
        <v>240</v>
      </c>
      <c r="GW3296" s="5" t="s">
        <v>240</v>
      </c>
      <c r="GX3296" s="5" t="s">
        <v>240</v>
      </c>
      <c r="GY3296" s="5" t="s">
        <v>240</v>
      </c>
      <c r="GZ3296" s="5" t="s">
        <v>240</v>
      </c>
      <c r="HA3296" s="5" t="s">
        <v>240</v>
      </c>
      <c r="HB3296" s="5" t="s">
        <v>240</v>
      </c>
      <c r="HC3296" s="5" t="s">
        <v>240</v>
      </c>
      <c r="HD3296" s="5" t="s">
        <v>240</v>
      </c>
      <c r="HE3296" s="5" t="s">
        <v>240</v>
      </c>
      <c r="HF3296" s="5" t="s">
        <v>240</v>
      </c>
      <c r="HG3296" s="5" t="s">
        <v>240</v>
      </c>
      <c r="HH3296" s="5" t="s">
        <v>240</v>
      </c>
      <c r="HI3296" s="5" t="s">
        <v>240</v>
      </c>
      <c r="HJ3296" s="5" t="s">
        <v>240</v>
      </c>
      <c r="HK3296" s="5" t="s">
        <v>240</v>
      </c>
      <c r="HL3296" s="5" t="s">
        <v>240</v>
      </c>
      <c r="HM3296" s="5" t="s">
        <v>240</v>
      </c>
      <c r="HN3296" s="5" t="s">
        <v>240</v>
      </c>
      <c r="HO3296" s="5" t="s">
        <v>312</v>
      </c>
      <c r="HP3296" s="5" t="s">
        <v>240</v>
      </c>
      <c r="HQ3296" s="5" t="s">
        <v>240</v>
      </c>
      <c r="HR3296" s="5" t="s">
        <v>240</v>
      </c>
      <c r="HS3296" s="5" t="s">
        <v>240</v>
      </c>
      <c r="HT3296" s="5" t="s">
        <v>240</v>
      </c>
      <c r="HU3296" s="5" t="s">
        <v>240</v>
      </c>
      <c r="HV3296" s="5" t="s">
        <v>240</v>
      </c>
      <c r="HW3296" s="5" t="s">
        <v>240</v>
      </c>
      <c r="HX3296" s="5" t="s">
        <v>240</v>
      </c>
      <c r="HY3296" s="5" t="s">
        <v>240</v>
      </c>
      <c r="HZ3296" s="5" t="s">
        <v>240</v>
      </c>
      <c r="IA3296" s="5" t="s">
        <v>240</v>
      </c>
      <c r="IB3296" s="5" t="s">
        <v>240</v>
      </c>
      <c r="IC3296" s="5" t="s">
        <v>240</v>
      </c>
      <c r="ID3296" s="5" t="s">
        <v>240</v>
      </c>
      <c r="IE3296" s="5" t="s">
        <v>240</v>
      </c>
      <c r="IF3296" s="5" t="s">
        <v>240</v>
      </c>
    </row>
    <row r="3297" spans="1:240" x14ac:dyDescent="0.4">
      <c r="A3297" s="5">
        <v>8839</v>
      </c>
      <c r="B3297" s="5">
        <v>1</v>
      </c>
      <c r="C3297" s="5">
        <v>1</v>
      </c>
      <c r="D3297" s="5" t="s">
        <v>723</v>
      </c>
      <c r="E3297" s="5" t="s">
        <v>725</v>
      </c>
      <c r="F3297" s="5" t="s">
        <v>730</v>
      </c>
      <c r="G3297" s="5" t="s">
        <v>726</v>
      </c>
      <c r="H3297" s="6" t="s">
        <v>6356</v>
      </c>
      <c r="I3297" s="5" t="s">
        <v>722</v>
      </c>
      <c r="J3297" s="8">
        <f>99</f>
        <v>99</v>
      </c>
      <c r="K3297" s="5" t="s">
        <v>308</v>
      </c>
      <c r="L3297" s="7">
        <f>0</f>
        <v>0</v>
      </c>
      <c r="M3297" s="7">
        <f>0</f>
        <v>0</v>
      </c>
      <c r="N3297" s="5" t="s">
        <v>242</v>
      </c>
      <c r="O3297" s="5">
        <v>1</v>
      </c>
      <c r="P3297" s="5" t="s">
        <v>294</v>
      </c>
      <c r="Q3297" s="5" t="s">
        <v>3678</v>
      </c>
      <c r="R3297" s="5" t="s">
        <v>240</v>
      </c>
      <c r="S3297" s="5" t="s">
        <v>240</v>
      </c>
      <c r="T3297" s="5" t="s">
        <v>243</v>
      </c>
      <c r="U3297" s="5" t="s">
        <v>244</v>
      </c>
      <c r="V3297" s="5" t="s">
        <v>240</v>
      </c>
      <c r="W3297" s="5" t="s">
        <v>240</v>
      </c>
      <c r="X3297" s="5" t="s">
        <v>240</v>
      </c>
      <c r="Y3297" s="5" t="s">
        <v>240</v>
      </c>
      <c r="Z3297" s="6" t="s">
        <v>298</v>
      </c>
      <c r="AA3297" s="6" t="s">
        <v>240</v>
      </c>
      <c r="AB3297" s="6" t="s">
        <v>240</v>
      </c>
      <c r="AC3297" s="5" t="s">
        <v>240</v>
      </c>
      <c r="AD3297" s="6" t="s">
        <v>240</v>
      </c>
      <c r="AE3297" s="6" t="s">
        <v>299</v>
      </c>
      <c r="AF3297" s="5" t="s">
        <v>248</v>
      </c>
      <c r="AG3297" s="5" t="s">
        <v>249</v>
      </c>
      <c r="AH3297" s="5" t="s">
        <v>240</v>
      </c>
      <c r="AI3297" s="5" t="s">
        <v>240</v>
      </c>
      <c r="AJ3297" s="5" t="s">
        <v>240</v>
      </c>
      <c r="AK3297" s="5" t="s">
        <v>240</v>
      </c>
      <c r="AL3297" s="5" t="s">
        <v>240</v>
      </c>
      <c r="AM3297" s="5" t="s">
        <v>240</v>
      </c>
      <c r="AN3297" s="5" t="s">
        <v>240</v>
      </c>
      <c r="AO3297" s="5" t="s">
        <v>240</v>
      </c>
      <c r="AP3297" s="6" t="s">
        <v>240</v>
      </c>
      <c r="AQ3297" s="6" t="s">
        <v>240</v>
      </c>
      <c r="AR3297" s="6" t="s">
        <v>240</v>
      </c>
      <c r="AS3297" s="6" t="s">
        <v>240</v>
      </c>
      <c r="AT3297" s="5" t="s">
        <v>240</v>
      </c>
      <c r="AU3297" s="5" t="s">
        <v>729</v>
      </c>
      <c r="AV3297" s="5" t="s">
        <v>729</v>
      </c>
      <c r="AW3297" s="5" t="s">
        <v>251</v>
      </c>
      <c r="AX3297" s="5" t="s">
        <v>252</v>
      </c>
      <c r="AY3297" s="5" t="s">
        <v>253</v>
      </c>
      <c r="AZ3297" s="5" t="s">
        <v>240</v>
      </c>
      <c r="BA3297" s="5" t="s">
        <v>255</v>
      </c>
      <c r="BB3297" s="5" t="s">
        <v>731</v>
      </c>
      <c r="BD3297" s="5" t="s">
        <v>240</v>
      </c>
      <c r="BF3297" s="5" t="s">
        <v>732</v>
      </c>
      <c r="BG3297" s="6" t="s">
        <v>733</v>
      </c>
      <c r="BH3297" s="5" t="s">
        <v>734</v>
      </c>
      <c r="BI3297" s="5" t="s">
        <v>734</v>
      </c>
      <c r="BJ3297" s="5" t="s">
        <v>240</v>
      </c>
      <c r="BK3297" s="7">
        <f>1</f>
        <v>1</v>
      </c>
      <c r="BL3297" s="7">
        <f>1</f>
        <v>1</v>
      </c>
      <c r="BM3297" s="5" t="s">
        <v>258</v>
      </c>
      <c r="BN3297" s="5" t="s">
        <v>259</v>
      </c>
      <c r="BO3297" s="5" t="s">
        <v>240</v>
      </c>
      <c r="BP3297" s="5" t="s">
        <v>240</v>
      </c>
      <c r="BQ3297" s="5" t="s">
        <v>240</v>
      </c>
      <c r="BR3297" s="5" t="s">
        <v>240</v>
      </c>
      <c r="BS3297" s="5" t="s">
        <v>240</v>
      </c>
      <c r="BT3297" s="5" t="s">
        <v>240</v>
      </c>
      <c r="BU3297" s="5" t="s">
        <v>240</v>
      </c>
      <c r="BV3297" s="5" t="s">
        <v>240</v>
      </c>
      <c r="BW3297" s="6" t="s">
        <v>240</v>
      </c>
      <c r="BX3297" s="5" t="s">
        <v>240</v>
      </c>
      <c r="BY3297" s="5" t="s">
        <v>240</v>
      </c>
      <c r="BZ3297" s="5" t="s">
        <v>240</v>
      </c>
      <c r="CA3297" s="5" t="s">
        <v>259</v>
      </c>
      <c r="CB3297" s="5" t="s">
        <v>240</v>
      </c>
      <c r="CC3297" s="5" t="s">
        <v>240</v>
      </c>
      <c r="CD3297" s="5" t="s">
        <v>240</v>
      </c>
      <c r="CE3297" s="5" t="s">
        <v>240</v>
      </c>
      <c r="CF3297" s="5" t="s">
        <v>240</v>
      </c>
      <c r="CG3297" s="5" t="s">
        <v>304</v>
      </c>
      <c r="CH3297" s="5" t="s">
        <v>305</v>
      </c>
      <c r="CI3297" s="5" t="s">
        <v>240</v>
      </c>
      <c r="CK3297" s="5" t="s">
        <v>3681</v>
      </c>
      <c r="CL3297" s="6" t="s">
        <v>261</v>
      </c>
      <c r="CM3297" s="5" t="s">
        <v>262</v>
      </c>
      <c r="CN3297" s="5" t="s">
        <v>263</v>
      </c>
      <c r="CO3297" s="5" t="s">
        <v>264</v>
      </c>
      <c r="CP3297" s="5" t="s">
        <v>240</v>
      </c>
      <c r="CQ3297" s="5">
        <v>0</v>
      </c>
      <c r="CR3297" s="5" t="s">
        <v>735</v>
      </c>
      <c r="CS3297" s="5" t="s">
        <v>307</v>
      </c>
      <c r="CT3297" s="5" t="s">
        <v>307</v>
      </c>
      <c r="CU3297" s="5" t="s">
        <v>260</v>
      </c>
      <c r="CV3297" s="5" t="s">
        <v>612</v>
      </c>
      <c r="CW3297" s="8">
        <f>1</f>
        <v>1</v>
      </c>
      <c r="CX3297" s="7">
        <f>1</f>
        <v>1</v>
      </c>
      <c r="CY3297" s="7">
        <f>0</f>
        <v>0</v>
      </c>
      <c r="DA3297" s="7">
        <f>1</f>
        <v>1</v>
      </c>
      <c r="DB3297" s="7" t="s">
        <v>240</v>
      </c>
      <c r="DC3297" s="5" t="s">
        <v>240</v>
      </c>
      <c r="DD3297" s="5" t="s">
        <v>240</v>
      </c>
      <c r="DE3297" s="5" t="s">
        <v>240</v>
      </c>
      <c r="DF3297" s="5" t="s">
        <v>240</v>
      </c>
      <c r="DG3297" s="7">
        <f>0</f>
        <v>0</v>
      </c>
      <c r="DI3297" s="5" t="s">
        <v>240</v>
      </c>
      <c r="DJ3297" s="5" t="s">
        <v>240</v>
      </c>
      <c r="DK3297" s="5" t="s">
        <v>240</v>
      </c>
      <c r="DL3297" s="5" t="s">
        <v>240</v>
      </c>
      <c r="DM3297" s="5" t="s">
        <v>240</v>
      </c>
      <c r="DN3297" s="5" t="s">
        <v>240</v>
      </c>
      <c r="DO3297" s="7" t="s">
        <v>240</v>
      </c>
      <c r="DP3297" s="5" t="s">
        <v>240</v>
      </c>
      <c r="DQ3297" s="5" t="s">
        <v>240</v>
      </c>
      <c r="DR3297" s="5" t="s">
        <v>731</v>
      </c>
      <c r="DS3297" s="5" t="s">
        <v>731</v>
      </c>
      <c r="DT3297" s="5" t="s">
        <v>240</v>
      </c>
      <c r="DU3297" s="5" t="s">
        <v>240</v>
      </c>
      <c r="DV3297" s="5" t="s">
        <v>3683</v>
      </c>
      <c r="DW3297" s="5" t="s">
        <v>342</v>
      </c>
      <c r="DX3297" s="5" t="s">
        <v>240</v>
      </c>
      <c r="DY3297" s="5" t="s">
        <v>240</v>
      </c>
      <c r="DZ3297" s="5" t="s">
        <v>240</v>
      </c>
      <c r="EA3297" s="5" t="s">
        <v>240</v>
      </c>
      <c r="EB3297" s="5" t="s">
        <v>240</v>
      </c>
      <c r="EC3297" s="5" t="s">
        <v>240</v>
      </c>
      <c r="ED3297" s="5" t="s">
        <v>240</v>
      </c>
      <c r="EE3297" s="5" t="s">
        <v>240</v>
      </c>
      <c r="EF3297" s="5" t="s">
        <v>240</v>
      </c>
      <c r="EG3297" s="5" t="s">
        <v>240</v>
      </c>
      <c r="EH3297" s="5" t="s">
        <v>240</v>
      </c>
      <c r="EI3297" s="5" t="s">
        <v>240</v>
      </c>
      <c r="EJ3297" s="5" t="s">
        <v>240</v>
      </c>
      <c r="EK3297" s="5" t="s">
        <v>240</v>
      </c>
      <c r="EL3297" s="5" t="s">
        <v>240</v>
      </c>
      <c r="EM3297" s="5" t="s">
        <v>240</v>
      </c>
      <c r="EN3297" s="5" t="s">
        <v>240</v>
      </c>
      <c r="EO3297" s="5" t="s">
        <v>240</v>
      </c>
      <c r="EP3297" s="5" t="s">
        <v>240</v>
      </c>
      <c r="EQ3297" s="5" t="s">
        <v>240</v>
      </c>
      <c r="ER3297" s="5" t="s">
        <v>240</v>
      </c>
      <c r="ES3297" s="5" t="s">
        <v>240</v>
      </c>
      <c r="ET3297" s="5" t="s">
        <v>240</v>
      </c>
      <c r="EU3297" s="5" t="s">
        <v>240</v>
      </c>
      <c r="EV3297" s="5" t="s">
        <v>240</v>
      </c>
      <c r="EW3297" s="5" t="s">
        <v>240</v>
      </c>
      <c r="EX3297" s="5" t="s">
        <v>240</v>
      </c>
      <c r="EY3297" s="5" t="s">
        <v>240</v>
      </c>
      <c r="EZ3297" s="5" t="s">
        <v>240</v>
      </c>
      <c r="FA3297" s="5" t="s">
        <v>240</v>
      </c>
      <c r="FB3297" s="5" t="s">
        <v>240</v>
      </c>
      <c r="FC3297" s="5" t="s">
        <v>240</v>
      </c>
      <c r="FD3297" s="5" t="s">
        <v>240</v>
      </c>
      <c r="FE3297" s="5" t="s">
        <v>240</v>
      </c>
      <c r="FF3297" s="5" t="s">
        <v>240</v>
      </c>
      <c r="FG3297" s="5" t="s">
        <v>240</v>
      </c>
      <c r="FH3297" s="5" t="s">
        <v>240</v>
      </c>
      <c r="FI3297" s="5" t="s">
        <v>240</v>
      </c>
      <c r="FJ3297" s="5" t="s">
        <v>240</v>
      </c>
      <c r="FK3297" s="5" t="s">
        <v>240</v>
      </c>
      <c r="FL3297" s="5" t="s">
        <v>240</v>
      </c>
      <c r="FM3297" s="5" t="s">
        <v>240</v>
      </c>
      <c r="FN3297" s="5" t="s">
        <v>240</v>
      </c>
      <c r="FO3297" s="5" t="s">
        <v>240</v>
      </c>
      <c r="FP3297" s="5" t="s">
        <v>240</v>
      </c>
      <c r="FQ3297" s="5" t="s">
        <v>240</v>
      </c>
      <c r="FR3297" s="5" t="s">
        <v>240</v>
      </c>
      <c r="FS3297" s="5" t="s">
        <v>240</v>
      </c>
      <c r="FT3297" s="5" t="s">
        <v>240</v>
      </c>
      <c r="FU3297" s="5" t="s">
        <v>240</v>
      </c>
      <c r="FV3297" s="5" t="s">
        <v>240</v>
      </c>
      <c r="FW3297" s="5" t="s">
        <v>240</v>
      </c>
      <c r="FX3297" s="5" t="s">
        <v>240</v>
      </c>
      <c r="FY3297" s="5" t="s">
        <v>240</v>
      </c>
      <c r="FZ3297" s="5" t="s">
        <v>240</v>
      </c>
      <c r="GA3297" s="5" t="s">
        <v>240</v>
      </c>
      <c r="GB3297" s="5" t="s">
        <v>240</v>
      </c>
      <c r="GC3297" s="5" t="s">
        <v>240</v>
      </c>
      <c r="GD3297" s="5" t="s">
        <v>240</v>
      </c>
      <c r="GE3297" s="5" t="s">
        <v>240</v>
      </c>
      <c r="GF3297" s="5" t="s">
        <v>240</v>
      </c>
      <c r="GG3297" s="5" t="s">
        <v>240</v>
      </c>
      <c r="GH3297" s="5" t="s">
        <v>240</v>
      </c>
      <c r="GI3297" s="5" t="s">
        <v>240</v>
      </c>
      <c r="GJ3297" s="5" t="s">
        <v>240</v>
      </c>
      <c r="GK3297" s="5" t="s">
        <v>240</v>
      </c>
      <c r="GL3297" s="5" t="s">
        <v>240</v>
      </c>
      <c r="GM3297" s="5" t="s">
        <v>240</v>
      </c>
      <c r="GN3297" s="5" t="s">
        <v>240</v>
      </c>
      <c r="GO3297" s="5" t="s">
        <v>240</v>
      </c>
      <c r="GP3297" s="5" t="s">
        <v>240</v>
      </c>
      <c r="GQ3297" s="5" t="s">
        <v>240</v>
      </c>
      <c r="GR3297" s="5" t="s">
        <v>240</v>
      </c>
      <c r="GS3297" s="5" t="s">
        <v>240</v>
      </c>
      <c r="GT3297" s="5" t="s">
        <v>240</v>
      </c>
      <c r="GU3297" s="5" t="s">
        <v>240</v>
      </c>
      <c r="GV3297" s="5" t="s">
        <v>240</v>
      </c>
      <c r="GW3297" s="5" t="s">
        <v>240</v>
      </c>
      <c r="GX3297" s="5" t="s">
        <v>240</v>
      </c>
      <c r="GY3297" s="5" t="s">
        <v>240</v>
      </c>
      <c r="GZ3297" s="5" t="s">
        <v>240</v>
      </c>
      <c r="HA3297" s="5" t="s">
        <v>240</v>
      </c>
      <c r="HB3297" s="5" t="s">
        <v>240</v>
      </c>
      <c r="HC3297" s="5" t="s">
        <v>240</v>
      </c>
      <c r="HD3297" s="5" t="s">
        <v>240</v>
      </c>
      <c r="HE3297" s="5" t="s">
        <v>240</v>
      </c>
      <c r="HF3297" s="5" t="s">
        <v>240</v>
      </c>
      <c r="HG3297" s="5" t="s">
        <v>240</v>
      </c>
      <c r="HH3297" s="5" t="s">
        <v>240</v>
      </c>
      <c r="HI3297" s="5" t="s">
        <v>240</v>
      </c>
      <c r="HJ3297" s="5" t="s">
        <v>240</v>
      </c>
      <c r="HK3297" s="5" t="s">
        <v>240</v>
      </c>
      <c r="HL3297" s="5" t="s">
        <v>240</v>
      </c>
      <c r="HM3297" s="5" t="s">
        <v>240</v>
      </c>
      <c r="HN3297" s="5" t="s">
        <v>240</v>
      </c>
      <c r="HO3297" s="5" t="s">
        <v>312</v>
      </c>
      <c r="HP3297" s="5" t="s">
        <v>240</v>
      </c>
      <c r="HQ3297" s="5" t="s">
        <v>240</v>
      </c>
      <c r="HR3297" s="5" t="s">
        <v>240</v>
      </c>
      <c r="HS3297" s="5" t="s">
        <v>240</v>
      </c>
      <c r="HT3297" s="5" t="s">
        <v>240</v>
      </c>
      <c r="HU3297" s="5" t="s">
        <v>240</v>
      </c>
      <c r="HV3297" s="5" t="s">
        <v>240</v>
      </c>
      <c r="HW3297" s="5" t="s">
        <v>240</v>
      </c>
      <c r="HX3297" s="5" t="s">
        <v>240</v>
      </c>
      <c r="HY3297" s="5" t="s">
        <v>240</v>
      </c>
      <c r="HZ3297" s="5" t="s">
        <v>240</v>
      </c>
      <c r="IA3297" s="5" t="s">
        <v>240</v>
      </c>
      <c r="IB3297" s="5" t="s">
        <v>240</v>
      </c>
      <c r="IC3297" s="5" t="s">
        <v>240</v>
      </c>
      <c r="ID3297" s="5" t="s">
        <v>240</v>
      </c>
      <c r="IE3297" s="5" t="s">
        <v>240</v>
      </c>
      <c r="IF3297" s="5" t="s">
        <v>240</v>
      </c>
    </row>
    <row r="3298" spans="1:240" x14ac:dyDescent="0.4">
      <c r="A3298" s="5">
        <v>8840</v>
      </c>
      <c r="B3298" s="5">
        <v>1</v>
      </c>
      <c r="C3298" s="5">
        <v>1</v>
      </c>
      <c r="D3298" s="5" t="s">
        <v>723</v>
      </c>
      <c r="E3298" s="5" t="s">
        <v>725</v>
      </c>
      <c r="F3298" s="5" t="s">
        <v>730</v>
      </c>
      <c r="G3298" s="5" t="s">
        <v>726</v>
      </c>
      <c r="H3298" s="6" t="s">
        <v>6578</v>
      </c>
      <c r="I3298" s="5" t="s">
        <v>990</v>
      </c>
      <c r="J3298" s="8">
        <f>277.68</f>
        <v>277.68</v>
      </c>
      <c r="K3298" s="5" t="s">
        <v>308</v>
      </c>
      <c r="L3298" s="7">
        <f>0</f>
        <v>0</v>
      </c>
      <c r="M3298" s="7">
        <f>0</f>
        <v>0</v>
      </c>
      <c r="N3298" s="5" t="s">
        <v>242</v>
      </c>
      <c r="O3298" s="5">
        <v>1</v>
      </c>
      <c r="P3298" s="5" t="s">
        <v>294</v>
      </c>
      <c r="Q3298" s="5" t="s">
        <v>3678</v>
      </c>
      <c r="R3298" s="5" t="s">
        <v>240</v>
      </c>
      <c r="S3298" s="5" t="s">
        <v>240</v>
      </c>
      <c r="T3298" s="5" t="s">
        <v>243</v>
      </c>
      <c r="U3298" s="5" t="s">
        <v>244</v>
      </c>
      <c r="V3298" s="5" t="s">
        <v>240</v>
      </c>
      <c r="W3298" s="5" t="s">
        <v>240</v>
      </c>
      <c r="X3298" s="5" t="s">
        <v>240</v>
      </c>
      <c r="Y3298" s="5" t="s">
        <v>240</v>
      </c>
      <c r="Z3298" s="6" t="s">
        <v>298</v>
      </c>
      <c r="AA3298" s="6" t="s">
        <v>240</v>
      </c>
      <c r="AB3298" s="6" t="s">
        <v>240</v>
      </c>
      <c r="AC3298" s="5" t="s">
        <v>240</v>
      </c>
      <c r="AD3298" s="6" t="s">
        <v>240</v>
      </c>
      <c r="AE3298" s="6" t="s">
        <v>299</v>
      </c>
      <c r="AF3298" s="5" t="s">
        <v>248</v>
      </c>
      <c r="AG3298" s="5" t="s">
        <v>249</v>
      </c>
      <c r="AH3298" s="5" t="s">
        <v>240</v>
      </c>
      <c r="AI3298" s="5" t="s">
        <v>240</v>
      </c>
      <c r="AJ3298" s="5" t="s">
        <v>240</v>
      </c>
      <c r="AK3298" s="5" t="s">
        <v>240</v>
      </c>
      <c r="AL3298" s="5" t="s">
        <v>240</v>
      </c>
      <c r="AM3298" s="5" t="s">
        <v>240</v>
      </c>
      <c r="AN3298" s="5" t="s">
        <v>240</v>
      </c>
      <c r="AO3298" s="5" t="s">
        <v>240</v>
      </c>
      <c r="AP3298" s="6" t="s">
        <v>240</v>
      </c>
      <c r="AQ3298" s="6" t="s">
        <v>240</v>
      </c>
      <c r="AR3298" s="6" t="s">
        <v>240</v>
      </c>
      <c r="AS3298" s="6" t="s">
        <v>240</v>
      </c>
      <c r="AT3298" s="5" t="s">
        <v>240</v>
      </c>
      <c r="AU3298" s="5" t="s">
        <v>729</v>
      </c>
      <c r="AV3298" s="5" t="s">
        <v>729</v>
      </c>
      <c r="AW3298" s="5" t="s">
        <v>251</v>
      </c>
      <c r="AX3298" s="5" t="s">
        <v>252</v>
      </c>
      <c r="AY3298" s="5" t="s">
        <v>253</v>
      </c>
      <c r="AZ3298" s="5" t="s">
        <v>240</v>
      </c>
      <c r="BA3298" s="5" t="s">
        <v>255</v>
      </c>
      <c r="BB3298" s="5" t="s">
        <v>731</v>
      </c>
      <c r="BD3298" s="5" t="s">
        <v>240</v>
      </c>
      <c r="BF3298" s="5" t="s">
        <v>732</v>
      </c>
      <c r="BG3298" s="6" t="s">
        <v>733</v>
      </c>
      <c r="BH3298" s="5" t="s">
        <v>734</v>
      </c>
      <c r="BI3298" s="5" t="s">
        <v>734</v>
      </c>
      <c r="BJ3298" s="5" t="s">
        <v>240</v>
      </c>
      <c r="BK3298" s="7">
        <f>1</f>
        <v>1</v>
      </c>
      <c r="BL3298" s="7">
        <f>1</f>
        <v>1</v>
      </c>
      <c r="BM3298" s="5" t="s">
        <v>258</v>
      </c>
      <c r="BN3298" s="5" t="s">
        <v>259</v>
      </c>
      <c r="BO3298" s="5" t="s">
        <v>240</v>
      </c>
      <c r="BP3298" s="5" t="s">
        <v>240</v>
      </c>
      <c r="BQ3298" s="5" t="s">
        <v>240</v>
      </c>
      <c r="BR3298" s="5" t="s">
        <v>240</v>
      </c>
      <c r="BS3298" s="5" t="s">
        <v>240</v>
      </c>
      <c r="BT3298" s="5" t="s">
        <v>240</v>
      </c>
      <c r="BU3298" s="5" t="s">
        <v>240</v>
      </c>
      <c r="BV3298" s="5" t="s">
        <v>240</v>
      </c>
      <c r="BW3298" s="6" t="s">
        <v>240</v>
      </c>
      <c r="BX3298" s="5" t="s">
        <v>240</v>
      </c>
      <c r="BY3298" s="5" t="s">
        <v>240</v>
      </c>
      <c r="BZ3298" s="5" t="s">
        <v>240</v>
      </c>
      <c r="CA3298" s="5" t="s">
        <v>259</v>
      </c>
      <c r="CB3298" s="5" t="s">
        <v>240</v>
      </c>
      <c r="CC3298" s="5" t="s">
        <v>240</v>
      </c>
      <c r="CD3298" s="5" t="s">
        <v>240</v>
      </c>
      <c r="CE3298" s="5" t="s">
        <v>240</v>
      </c>
      <c r="CF3298" s="5" t="s">
        <v>240</v>
      </c>
      <c r="CG3298" s="5" t="s">
        <v>304</v>
      </c>
      <c r="CH3298" s="5" t="s">
        <v>305</v>
      </c>
      <c r="CI3298" s="5" t="s">
        <v>240</v>
      </c>
      <c r="CK3298" s="5" t="s">
        <v>3681</v>
      </c>
      <c r="CL3298" s="6" t="s">
        <v>261</v>
      </c>
      <c r="CM3298" s="5" t="s">
        <v>262</v>
      </c>
      <c r="CN3298" s="5" t="s">
        <v>263</v>
      </c>
      <c r="CO3298" s="5" t="s">
        <v>264</v>
      </c>
      <c r="CP3298" s="5" t="s">
        <v>240</v>
      </c>
      <c r="CQ3298" s="5">
        <v>0</v>
      </c>
      <c r="CR3298" s="5" t="s">
        <v>735</v>
      </c>
      <c r="CS3298" s="5" t="s">
        <v>307</v>
      </c>
      <c r="CT3298" s="5" t="s">
        <v>307</v>
      </c>
      <c r="CU3298" s="5" t="s">
        <v>260</v>
      </c>
      <c r="CV3298" s="5" t="s">
        <v>612</v>
      </c>
      <c r="CW3298" s="8">
        <f>1</f>
        <v>1</v>
      </c>
      <c r="CX3298" s="7">
        <f>1</f>
        <v>1</v>
      </c>
      <c r="CY3298" s="7">
        <f>0</f>
        <v>0</v>
      </c>
      <c r="DA3298" s="7">
        <f>1</f>
        <v>1</v>
      </c>
      <c r="DB3298" s="7" t="s">
        <v>240</v>
      </c>
      <c r="DC3298" s="5" t="s">
        <v>240</v>
      </c>
      <c r="DD3298" s="5" t="s">
        <v>240</v>
      </c>
      <c r="DE3298" s="5" t="s">
        <v>240</v>
      </c>
      <c r="DF3298" s="5" t="s">
        <v>240</v>
      </c>
      <c r="DG3298" s="7">
        <f>0</f>
        <v>0</v>
      </c>
      <c r="DI3298" s="5" t="s">
        <v>240</v>
      </c>
      <c r="DJ3298" s="5" t="s">
        <v>240</v>
      </c>
      <c r="DK3298" s="5" t="s">
        <v>240</v>
      </c>
      <c r="DL3298" s="5" t="s">
        <v>240</v>
      </c>
      <c r="DM3298" s="5" t="s">
        <v>240</v>
      </c>
      <c r="DN3298" s="5" t="s">
        <v>240</v>
      </c>
      <c r="DO3298" s="7" t="s">
        <v>240</v>
      </c>
      <c r="DP3298" s="5" t="s">
        <v>240</v>
      </c>
      <c r="DQ3298" s="5" t="s">
        <v>240</v>
      </c>
      <c r="DR3298" s="5" t="s">
        <v>731</v>
      </c>
      <c r="DS3298" s="5" t="s">
        <v>731</v>
      </c>
      <c r="DT3298" s="5" t="s">
        <v>240</v>
      </c>
      <c r="DU3298" s="5" t="s">
        <v>240</v>
      </c>
      <c r="DV3298" s="5" t="s">
        <v>3683</v>
      </c>
      <c r="DW3298" s="5" t="s">
        <v>672</v>
      </c>
      <c r="DX3298" s="5" t="s">
        <v>240</v>
      </c>
      <c r="DY3298" s="5" t="s">
        <v>240</v>
      </c>
      <c r="DZ3298" s="5" t="s">
        <v>240</v>
      </c>
      <c r="EA3298" s="5" t="s">
        <v>240</v>
      </c>
      <c r="EB3298" s="5" t="s">
        <v>240</v>
      </c>
      <c r="EC3298" s="5" t="s">
        <v>240</v>
      </c>
      <c r="ED3298" s="5" t="s">
        <v>240</v>
      </c>
      <c r="EE3298" s="5" t="s">
        <v>240</v>
      </c>
      <c r="EF3298" s="5" t="s">
        <v>240</v>
      </c>
      <c r="EG3298" s="5" t="s">
        <v>240</v>
      </c>
      <c r="EH3298" s="5" t="s">
        <v>240</v>
      </c>
      <c r="EI3298" s="5" t="s">
        <v>240</v>
      </c>
      <c r="EJ3298" s="5" t="s">
        <v>240</v>
      </c>
      <c r="EK3298" s="5" t="s">
        <v>240</v>
      </c>
      <c r="EL3298" s="5" t="s">
        <v>240</v>
      </c>
      <c r="EM3298" s="5" t="s">
        <v>240</v>
      </c>
      <c r="EN3298" s="5" t="s">
        <v>240</v>
      </c>
      <c r="EO3298" s="5" t="s">
        <v>240</v>
      </c>
      <c r="EP3298" s="5" t="s">
        <v>240</v>
      </c>
      <c r="EQ3298" s="5" t="s">
        <v>240</v>
      </c>
      <c r="ER3298" s="5" t="s">
        <v>240</v>
      </c>
      <c r="ES3298" s="5" t="s">
        <v>240</v>
      </c>
      <c r="ET3298" s="5" t="s">
        <v>240</v>
      </c>
      <c r="EU3298" s="5" t="s">
        <v>240</v>
      </c>
      <c r="EV3298" s="5" t="s">
        <v>240</v>
      </c>
      <c r="EW3298" s="5" t="s">
        <v>240</v>
      </c>
      <c r="EX3298" s="5" t="s">
        <v>240</v>
      </c>
      <c r="EY3298" s="5" t="s">
        <v>240</v>
      </c>
      <c r="EZ3298" s="5" t="s">
        <v>240</v>
      </c>
      <c r="FA3298" s="5" t="s">
        <v>240</v>
      </c>
      <c r="FB3298" s="5" t="s">
        <v>240</v>
      </c>
      <c r="FC3298" s="5" t="s">
        <v>240</v>
      </c>
      <c r="FD3298" s="5" t="s">
        <v>240</v>
      </c>
      <c r="FE3298" s="5" t="s">
        <v>240</v>
      </c>
      <c r="FF3298" s="5" t="s">
        <v>240</v>
      </c>
      <c r="FG3298" s="5" t="s">
        <v>240</v>
      </c>
      <c r="FH3298" s="5" t="s">
        <v>240</v>
      </c>
      <c r="FI3298" s="5" t="s">
        <v>240</v>
      </c>
      <c r="FJ3298" s="5" t="s">
        <v>240</v>
      </c>
      <c r="FK3298" s="5" t="s">
        <v>240</v>
      </c>
      <c r="FL3298" s="5" t="s">
        <v>240</v>
      </c>
      <c r="FM3298" s="5" t="s">
        <v>240</v>
      </c>
      <c r="FN3298" s="5" t="s">
        <v>240</v>
      </c>
      <c r="FO3298" s="5" t="s">
        <v>240</v>
      </c>
      <c r="FP3298" s="5" t="s">
        <v>240</v>
      </c>
      <c r="FQ3298" s="5" t="s">
        <v>240</v>
      </c>
      <c r="FR3298" s="5" t="s">
        <v>240</v>
      </c>
      <c r="FS3298" s="5" t="s">
        <v>240</v>
      </c>
      <c r="FT3298" s="5" t="s">
        <v>240</v>
      </c>
      <c r="FU3298" s="5" t="s">
        <v>240</v>
      </c>
      <c r="FV3298" s="5" t="s">
        <v>240</v>
      </c>
      <c r="FW3298" s="5" t="s">
        <v>240</v>
      </c>
      <c r="FX3298" s="5" t="s">
        <v>240</v>
      </c>
      <c r="FY3298" s="5" t="s">
        <v>240</v>
      </c>
      <c r="FZ3298" s="5" t="s">
        <v>240</v>
      </c>
      <c r="GA3298" s="5" t="s">
        <v>240</v>
      </c>
      <c r="GB3298" s="5" t="s">
        <v>240</v>
      </c>
      <c r="GC3298" s="5" t="s">
        <v>240</v>
      </c>
      <c r="GD3298" s="5" t="s">
        <v>240</v>
      </c>
      <c r="GE3298" s="5" t="s">
        <v>240</v>
      </c>
      <c r="GF3298" s="5" t="s">
        <v>240</v>
      </c>
      <c r="GG3298" s="5" t="s">
        <v>240</v>
      </c>
      <c r="GH3298" s="5" t="s">
        <v>240</v>
      </c>
      <c r="GI3298" s="5" t="s">
        <v>240</v>
      </c>
      <c r="GJ3298" s="5" t="s">
        <v>240</v>
      </c>
      <c r="GK3298" s="5" t="s">
        <v>240</v>
      </c>
      <c r="GL3298" s="5" t="s">
        <v>240</v>
      </c>
      <c r="GM3298" s="5" t="s">
        <v>240</v>
      </c>
      <c r="GN3298" s="5" t="s">
        <v>240</v>
      </c>
      <c r="GO3298" s="5" t="s">
        <v>240</v>
      </c>
      <c r="GP3298" s="5" t="s">
        <v>240</v>
      </c>
      <c r="GQ3298" s="5" t="s">
        <v>240</v>
      </c>
      <c r="GR3298" s="5" t="s">
        <v>240</v>
      </c>
      <c r="GS3298" s="5" t="s">
        <v>240</v>
      </c>
      <c r="GT3298" s="5" t="s">
        <v>240</v>
      </c>
      <c r="GU3298" s="5" t="s">
        <v>240</v>
      </c>
      <c r="GV3298" s="5" t="s">
        <v>240</v>
      </c>
      <c r="GW3298" s="5" t="s">
        <v>240</v>
      </c>
      <c r="GX3298" s="5" t="s">
        <v>240</v>
      </c>
      <c r="GY3298" s="5" t="s">
        <v>240</v>
      </c>
      <c r="GZ3298" s="5" t="s">
        <v>240</v>
      </c>
      <c r="HA3298" s="5" t="s">
        <v>240</v>
      </c>
      <c r="HB3298" s="5" t="s">
        <v>240</v>
      </c>
      <c r="HC3298" s="5" t="s">
        <v>240</v>
      </c>
      <c r="HD3298" s="5" t="s">
        <v>240</v>
      </c>
      <c r="HE3298" s="5" t="s">
        <v>240</v>
      </c>
      <c r="HF3298" s="5" t="s">
        <v>240</v>
      </c>
      <c r="HG3298" s="5" t="s">
        <v>240</v>
      </c>
      <c r="HH3298" s="5" t="s">
        <v>240</v>
      </c>
      <c r="HI3298" s="5" t="s">
        <v>240</v>
      </c>
      <c r="HJ3298" s="5" t="s">
        <v>240</v>
      </c>
      <c r="HK3298" s="5" t="s">
        <v>240</v>
      </c>
      <c r="HL3298" s="5" t="s">
        <v>240</v>
      </c>
      <c r="HM3298" s="5" t="s">
        <v>240</v>
      </c>
      <c r="HN3298" s="5" t="s">
        <v>240</v>
      </c>
      <c r="HO3298" s="5" t="s">
        <v>312</v>
      </c>
      <c r="HP3298" s="5" t="s">
        <v>240</v>
      </c>
      <c r="HQ3298" s="5" t="s">
        <v>240</v>
      </c>
      <c r="HR3298" s="5" t="s">
        <v>240</v>
      </c>
      <c r="HS3298" s="5" t="s">
        <v>240</v>
      </c>
      <c r="HT3298" s="5" t="s">
        <v>240</v>
      </c>
      <c r="HU3298" s="5" t="s">
        <v>240</v>
      </c>
      <c r="HV3298" s="5" t="s">
        <v>240</v>
      </c>
      <c r="HW3298" s="5" t="s">
        <v>240</v>
      </c>
      <c r="HX3298" s="5" t="s">
        <v>240</v>
      </c>
      <c r="HY3298" s="5" t="s">
        <v>240</v>
      </c>
      <c r="HZ3298" s="5" t="s">
        <v>240</v>
      </c>
      <c r="IA3298" s="5" t="s">
        <v>240</v>
      </c>
      <c r="IB3298" s="5" t="s">
        <v>240</v>
      </c>
      <c r="IC3298" s="5" t="s">
        <v>240</v>
      </c>
      <c r="ID3298" s="5" t="s">
        <v>240</v>
      </c>
      <c r="IE3298" s="5" t="s">
        <v>240</v>
      </c>
      <c r="IF3298" s="5" t="s">
        <v>240</v>
      </c>
    </row>
    <row r="3299" spans="1:240" x14ac:dyDescent="0.4">
      <c r="A3299" s="5">
        <v>8841</v>
      </c>
      <c r="B3299" s="5">
        <v>1</v>
      </c>
      <c r="C3299" s="5">
        <v>1</v>
      </c>
      <c r="D3299" s="5" t="s">
        <v>723</v>
      </c>
      <c r="E3299" s="5" t="s">
        <v>725</v>
      </c>
      <c r="F3299" s="5" t="s">
        <v>730</v>
      </c>
      <c r="G3299" s="5" t="s">
        <v>726</v>
      </c>
      <c r="H3299" s="6" t="s">
        <v>6579</v>
      </c>
      <c r="I3299" s="5" t="s">
        <v>990</v>
      </c>
      <c r="J3299" s="8">
        <f>185.12</f>
        <v>185.12</v>
      </c>
      <c r="K3299" s="5" t="s">
        <v>308</v>
      </c>
      <c r="L3299" s="7">
        <f>0</f>
        <v>0</v>
      </c>
      <c r="M3299" s="7">
        <f>0</f>
        <v>0</v>
      </c>
      <c r="N3299" s="5" t="s">
        <v>242</v>
      </c>
      <c r="O3299" s="5">
        <v>1</v>
      </c>
      <c r="P3299" s="5" t="s">
        <v>294</v>
      </c>
      <c r="Q3299" s="5" t="s">
        <v>3678</v>
      </c>
      <c r="R3299" s="5" t="s">
        <v>240</v>
      </c>
      <c r="S3299" s="5" t="s">
        <v>240</v>
      </c>
      <c r="T3299" s="5" t="s">
        <v>243</v>
      </c>
      <c r="U3299" s="5" t="s">
        <v>244</v>
      </c>
      <c r="V3299" s="5" t="s">
        <v>240</v>
      </c>
      <c r="W3299" s="5" t="s">
        <v>240</v>
      </c>
      <c r="X3299" s="5" t="s">
        <v>240</v>
      </c>
      <c r="Y3299" s="5" t="s">
        <v>240</v>
      </c>
      <c r="Z3299" s="6" t="s">
        <v>298</v>
      </c>
      <c r="AA3299" s="6" t="s">
        <v>240</v>
      </c>
      <c r="AB3299" s="6" t="s">
        <v>240</v>
      </c>
      <c r="AC3299" s="5" t="s">
        <v>240</v>
      </c>
      <c r="AD3299" s="6" t="s">
        <v>240</v>
      </c>
      <c r="AE3299" s="6" t="s">
        <v>299</v>
      </c>
      <c r="AF3299" s="5" t="s">
        <v>248</v>
      </c>
      <c r="AG3299" s="5" t="s">
        <v>249</v>
      </c>
      <c r="AH3299" s="5" t="s">
        <v>240</v>
      </c>
      <c r="AI3299" s="5" t="s">
        <v>240</v>
      </c>
      <c r="AJ3299" s="5" t="s">
        <v>240</v>
      </c>
      <c r="AK3299" s="5" t="s">
        <v>240</v>
      </c>
      <c r="AL3299" s="5" t="s">
        <v>240</v>
      </c>
      <c r="AM3299" s="5" t="s">
        <v>240</v>
      </c>
      <c r="AN3299" s="5" t="s">
        <v>240</v>
      </c>
      <c r="AO3299" s="5" t="s">
        <v>240</v>
      </c>
      <c r="AP3299" s="6" t="s">
        <v>240</v>
      </c>
      <c r="AQ3299" s="6" t="s">
        <v>240</v>
      </c>
      <c r="AR3299" s="6" t="s">
        <v>240</v>
      </c>
      <c r="AS3299" s="6" t="s">
        <v>240</v>
      </c>
      <c r="AT3299" s="5" t="s">
        <v>240</v>
      </c>
      <c r="AU3299" s="5" t="s">
        <v>729</v>
      </c>
      <c r="AV3299" s="5" t="s">
        <v>729</v>
      </c>
      <c r="AW3299" s="5" t="s">
        <v>251</v>
      </c>
      <c r="AX3299" s="5" t="s">
        <v>252</v>
      </c>
      <c r="AY3299" s="5" t="s">
        <v>253</v>
      </c>
      <c r="AZ3299" s="5" t="s">
        <v>240</v>
      </c>
      <c r="BA3299" s="5" t="s">
        <v>255</v>
      </c>
      <c r="BB3299" s="5" t="s">
        <v>731</v>
      </c>
      <c r="BD3299" s="5" t="s">
        <v>240</v>
      </c>
      <c r="BF3299" s="5" t="s">
        <v>732</v>
      </c>
      <c r="BG3299" s="6" t="s">
        <v>733</v>
      </c>
      <c r="BH3299" s="5" t="s">
        <v>734</v>
      </c>
      <c r="BI3299" s="5" t="s">
        <v>734</v>
      </c>
      <c r="BJ3299" s="5" t="s">
        <v>240</v>
      </c>
      <c r="BK3299" s="7">
        <f>1</f>
        <v>1</v>
      </c>
      <c r="BL3299" s="7">
        <f>1</f>
        <v>1</v>
      </c>
      <c r="BM3299" s="5" t="s">
        <v>258</v>
      </c>
      <c r="BN3299" s="5" t="s">
        <v>259</v>
      </c>
      <c r="BO3299" s="5" t="s">
        <v>240</v>
      </c>
      <c r="BP3299" s="5" t="s">
        <v>240</v>
      </c>
      <c r="BQ3299" s="5" t="s">
        <v>240</v>
      </c>
      <c r="BR3299" s="5" t="s">
        <v>240</v>
      </c>
      <c r="BS3299" s="5" t="s">
        <v>240</v>
      </c>
      <c r="BT3299" s="5" t="s">
        <v>240</v>
      </c>
      <c r="BU3299" s="5" t="s">
        <v>240</v>
      </c>
      <c r="BV3299" s="5" t="s">
        <v>240</v>
      </c>
      <c r="BW3299" s="6" t="s">
        <v>240</v>
      </c>
      <c r="BX3299" s="5" t="s">
        <v>240</v>
      </c>
      <c r="BY3299" s="5" t="s">
        <v>240</v>
      </c>
      <c r="BZ3299" s="5" t="s">
        <v>240</v>
      </c>
      <c r="CA3299" s="5" t="s">
        <v>259</v>
      </c>
      <c r="CB3299" s="5" t="s">
        <v>240</v>
      </c>
      <c r="CC3299" s="5" t="s">
        <v>240</v>
      </c>
      <c r="CD3299" s="5" t="s">
        <v>240</v>
      </c>
      <c r="CE3299" s="5" t="s">
        <v>240</v>
      </c>
      <c r="CF3299" s="5" t="s">
        <v>240</v>
      </c>
      <c r="CG3299" s="5" t="s">
        <v>304</v>
      </c>
      <c r="CH3299" s="5" t="s">
        <v>305</v>
      </c>
      <c r="CI3299" s="5" t="s">
        <v>240</v>
      </c>
      <c r="CK3299" s="5" t="s">
        <v>3681</v>
      </c>
      <c r="CL3299" s="6" t="s">
        <v>261</v>
      </c>
      <c r="CM3299" s="5" t="s">
        <v>262</v>
      </c>
      <c r="CN3299" s="5" t="s">
        <v>263</v>
      </c>
      <c r="CO3299" s="5" t="s">
        <v>264</v>
      </c>
      <c r="CP3299" s="5" t="s">
        <v>240</v>
      </c>
      <c r="CQ3299" s="5">
        <v>0</v>
      </c>
      <c r="CR3299" s="5" t="s">
        <v>735</v>
      </c>
      <c r="CS3299" s="5" t="s">
        <v>307</v>
      </c>
      <c r="CT3299" s="5" t="s">
        <v>307</v>
      </c>
      <c r="CU3299" s="5" t="s">
        <v>260</v>
      </c>
      <c r="CV3299" s="5" t="s">
        <v>612</v>
      </c>
      <c r="CW3299" s="8">
        <f>1</f>
        <v>1</v>
      </c>
      <c r="CX3299" s="7">
        <f>1</f>
        <v>1</v>
      </c>
      <c r="CY3299" s="7">
        <f>0</f>
        <v>0</v>
      </c>
      <c r="DA3299" s="7">
        <f>1</f>
        <v>1</v>
      </c>
      <c r="DB3299" s="7" t="s">
        <v>240</v>
      </c>
      <c r="DC3299" s="5" t="s">
        <v>240</v>
      </c>
      <c r="DD3299" s="5" t="s">
        <v>240</v>
      </c>
      <c r="DE3299" s="5" t="s">
        <v>240</v>
      </c>
      <c r="DF3299" s="5" t="s">
        <v>240</v>
      </c>
      <c r="DG3299" s="7">
        <f>0</f>
        <v>0</v>
      </c>
      <c r="DI3299" s="5" t="s">
        <v>240</v>
      </c>
      <c r="DJ3299" s="5" t="s">
        <v>240</v>
      </c>
      <c r="DK3299" s="5" t="s">
        <v>240</v>
      </c>
      <c r="DL3299" s="5" t="s">
        <v>240</v>
      </c>
      <c r="DM3299" s="5" t="s">
        <v>240</v>
      </c>
      <c r="DN3299" s="5" t="s">
        <v>240</v>
      </c>
      <c r="DO3299" s="7" t="s">
        <v>240</v>
      </c>
      <c r="DP3299" s="5" t="s">
        <v>240</v>
      </c>
      <c r="DQ3299" s="5" t="s">
        <v>240</v>
      </c>
      <c r="DR3299" s="5" t="s">
        <v>731</v>
      </c>
      <c r="DS3299" s="5" t="s">
        <v>731</v>
      </c>
      <c r="DT3299" s="5" t="s">
        <v>240</v>
      </c>
      <c r="DU3299" s="5" t="s">
        <v>240</v>
      </c>
      <c r="DV3299" s="5" t="s">
        <v>3683</v>
      </c>
      <c r="DW3299" s="5" t="s">
        <v>350</v>
      </c>
      <c r="DX3299" s="5" t="s">
        <v>240</v>
      </c>
      <c r="DY3299" s="5" t="s">
        <v>240</v>
      </c>
      <c r="DZ3299" s="5" t="s">
        <v>240</v>
      </c>
      <c r="EA3299" s="5" t="s">
        <v>240</v>
      </c>
      <c r="EB3299" s="5" t="s">
        <v>240</v>
      </c>
      <c r="EC3299" s="5" t="s">
        <v>240</v>
      </c>
      <c r="ED3299" s="5" t="s">
        <v>240</v>
      </c>
      <c r="EE3299" s="5" t="s">
        <v>240</v>
      </c>
      <c r="EF3299" s="5" t="s">
        <v>240</v>
      </c>
      <c r="EG3299" s="5" t="s">
        <v>240</v>
      </c>
      <c r="EH3299" s="5" t="s">
        <v>240</v>
      </c>
      <c r="EI3299" s="5" t="s">
        <v>240</v>
      </c>
      <c r="EJ3299" s="5" t="s">
        <v>240</v>
      </c>
      <c r="EK3299" s="5" t="s">
        <v>240</v>
      </c>
      <c r="EL3299" s="5" t="s">
        <v>240</v>
      </c>
      <c r="EM3299" s="5" t="s">
        <v>240</v>
      </c>
      <c r="EN3299" s="5" t="s">
        <v>240</v>
      </c>
      <c r="EO3299" s="5" t="s">
        <v>240</v>
      </c>
      <c r="EP3299" s="5" t="s">
        <v>240</v>
      </c>
      <c r="EQ3299" s="5" t="s">
        <v>240</v>
      </c>
      <c r="ER3299" s="5" t="s">
        <v>240</v>
      </c>
      <c r="ES3299" s="5" t="s">
        <v>240</v>
      </c>
      <c r="ET3299" s="5" t="s">
        <v>240</v>
      </c>
      <c r="EU3299" s="5" t="s">
        <v>240</v>
      </c>
      <c r="EV3299" s="5" t="s">
        <v>240</v>
      </c>
      <c r="EW3299" s="5" t="s">
        <v>240</v>
      </c>
      <c r="EX3299" s="5" t="s">
        <v>240</v>
      </c>
      <c r="EY3299" s="5" t="s">
        <v>240</v>
      </c>
      <c r="EZ3299" s="5" t="s">
        <v>240</v>
      </c>
      <c r="FA3299" s="5" t="s">
        <v>240</v>
      </c>
      <c r="FB3299" s="5" t="s">
        <v>240</v>
      </c>
      <c r="FC3299" s="5" t="s">
        <v>240</v>
      </c>
      <c r="FD3299" s="5" t="s">
        <v>240</v>
      </c>
      <c r="FE3299" s="5" t="s">
        <v>240</v>
      </c>
      <c r="FF3299" s="5" t="s">
        <v>240</v>
      </c>
      <c r="FG3299" s="5" t="s">
        <v>240</v>
      </c>
      <c r="FH3299" s="5" t="s">
        <v>240</v>
      </c>
      <c r="FI3299" s="5" t="s">
        <v>240</v>
      </c>
      <c r="FJ3299" s="5" t="s">
        <v>240</v>
      </c>
      <c r="FK3299" s="5" t="s">
        <v>240</v>
      </c>
      <c r="FL3299" s="5" t="s">
        <v>240</v>
      </c>
      <c r="FM3299" s="5" t="s">
        <v>240</v>
      </c>
      <c r="FN3299" s="5" t="s">
        <v>240</v>
      </c>
      <c r="FO3299" s="5" t="s">
        <v>240</v>
      </c>
      <c r="FP3299" s="5" t="s">
        <v>240</v>
      </c>
      <c r="FQ3299" s="5" t="s">
        <v>240</v>
      </c>
      <c r="FR3299" s="5" t="s">
        <v>240</v>
      </c>
      <c r="FS3299" s="5" t="s">
        <v>240</v>
      </c>
      <c r="FT3299" s="5" t="s">
        <v>240</v>
      </c>
      <c r="FU3299" s="5" t="s">
        <v>240</v>
      </c>
      <c r="FV3299" s="5" t="s">
        <v>240</v>
      </c>
      <c r="FW3299" s="5" t="s">
        <v>240</v>
      </c>
      <c r="FX3299" s="5" t="s">
        <v>240</v>
      </c>
      <c r="FY3299" s="5" t="s">
        <v>240</v>
      </c>
      <c r="FZ3299" s="5" t="s">
        <v>240</v>
      </c>
      <c r="GA3299" s="5" t="s">
        <v>240</v>
      </c>
      <c r="GB3299" s="5" t="s">
        <v>240</v>
      </c>
      <c r="GC3299" s="5" t="s">
        <v>240</v>
      </c>
      <c r="GD3299" s="5" t="s">
        <v>240</v>
      </c>
      <c r="GE3299" s="5" t="s">
        <v>240</v>
      </c>
      <c r="GF3299" s="5" t="s">
        <v>240</v>
      </c>
      <c r="GG3299" s="5" t="s">
        <v>240</v>
      </c>
      <c r="GH3299" s="5" t="s">
        <v>240</v>
      </c>
      <c r="GI3299" s="5" t="s">
        <v>240</v>
      </c>
      <c r="GJ3299" s="5" t="s">
        <v>240</v>
      </c>
      <c r="GK3299" s="5" t="s">
        <v>240</v>
      </c>
      <c r="GL3299" s="5" t="s">
        <v>240</v>
      </c>
      <c r="GM3299" s="5" t="s">
        <v>240</v>
      </c>
      <c r="GN3299" s="5" t="s">
        <v>240</v>
      </c>
      <c r="GO3299" s="5" t="s">
        <v>240</v>
      </c>
      <c r="GP3299" s="5" t="s">
        <v>240</v>
      </c>
      <c r="GQ3299" s="5" t="s">
        <v>240</v>
      </c>
      <c r="GR3299" s="5" t="s">
        <v>240</v>
      </c>
      <c r="GS3299" s="5" t="s">
        <v>240</v>
      </c>
      <c r="GT3299" s="5" t="s">
        <v>240</v>
      </c>
      <c r="GU3299" s="5" t="s">
        <v>240</v>
      </c>
      <c r="GV3299" s="5" t="s">
        <v>240</v>
      </c>
      <c r="GW3299" s="5" t="s">
        <v>240</v>
      </c>
      <c r="GX3299" s="5" t="s">
        <v>240</v>
      </c>
      <c r="GY3299" s="5" t="s">
        <v>240</v>
      </c>
      <c r="GZ3299" s="5" t="s">
        <v>240</v>
      </c>
      <c r="HA3299" s="5" t="s">
        <v>240</v>
      </c>
      <c r="HB3299" s="5" t="s">
        <v>240</v>
      </c>
      <c r="HC3299" s="5" t="s">
        <v>240</v>
      </c>
      <c r="HD3299" s="5" t="s">
        <v>240</v>
      </c>
      <c r="HE3299" s="5" t="s">
        <v>240</v>
      </c>
      <c r="HF3299" s="5" t="s">
        <v>240</v>
      </c>
      <c r="HG3299" s="5" t="s">
        <v>240</v>
      </c>
      <c r="HH3299" s="5" t="s">
        <v>240</v>
      </c>
      <c r="HI3299" s="5" t="s">
        <v>240</v>
      </c>
      <c r="HJ3299" s="5" t="s">
        <v>240</v>
      </c>
      <c r="HK3299" s="5" t="s">
        <v>240</v>
      </c>
      <c r="HL3299" s="5" t="s">
        <v>240</v>
      </c>
      <c r="HM3299" s="5" t="s">
        <v>240</v>
      </c>
      <c r="HN3299" s="5" t="s">
        <v>240</v>
      </c>
      <c r="HO3299" s="5" t="s">
        <v>312</v>
      </c>
      <c r="HP3299" s="5" t="s">
        <v>240</v>
      </c>
      <c r="HQ3299" s="5" t="s">
        <v>240</v>
      </c>
      <c r="HR3299" s="5" t="s">
        <v>240</v>
      </c>
      <c r="HS3299" s="5" t="s">
        <v>240</v>
      </c>
      <c r="HT3299" s="5" t="s">
        <v>240</v>
      </c>
      <c r="HU3299" s="5" t="s">
        <v>240</v>
      </c>
      <c r="HV3299" s="5" t="s">
        <v>240</v>
      </c>
      <c r="HW3299" s="5" t="s">
        <v>240</v>
      </c>
      <c r="HX3299" s="5" t="s">
        <v>240</v>
      </c>
      <c r="HY3299" s="5" t="s">
        <v>240</v>
      </c>
      <c r="HZ3299" s="5" t="s">
        <v>240</v>
      </c>
      <c r="IA3299" s="5" t="s">
        <v>240</v>
      </c>
      <c r="IB3299" s="5" t="s">
        <v>240</v>
      </c>
      <c r="IC3299" s="5" t="s">
        <v>240</v>
      </c>
      <c r="ID3299" s="5" t="s">
        <v>240</v>
      </c>
      <c r="IE3299" s="5" t="s">
        <v>240</v>
      </c>
      <c r="IF3299" s="5" t="s">
        <v>240</v>
      </c>
    </row>
    <row r="3300" spans="1:240" x14ac:dyDescent="0.4">
      <c r="A3300" s="5">
        <v>8842</v>
      </c>
      <c r="B3300" s="5">
        <v>1</v>
      </c>
      <c r="C3300" s="5">
        <v>1</v>
      </c>
      <c r="D3300" s="5" t="s">
        <v>723</v>
      </c>
      <c r="E3300" s="5" t="s">
        <v>725</v>
      </c>
      <c r="F3300" s="5" t="s">
        <v>730</v>
      </c>
      <c r="G3300" s="5" t="s">
        <v>726</v>
      </c>
      <c r="H3300" s="6" t="s">
        <v>6344</v>
      </c>
      <c r="I3300" s="5" t="s">
        <v>722</v>
      </c>
      <c r="J3300" s="8">
        <f>109</f>
        <v>109</v>
      </c>
      <c r="K3300" s="5" t="s">
        <v>308</v>
      </c>
      <c r="L3300" s="7">
        <f>0</f>
        <v>0</v>
      </c>
      <c r="M3300" s="7">
        <f>0</f>
        <v>0</v>
      </c>
      <c r="N3300" s="5" t="s">
        <v>242</v>
      </c>
      <c r="O3300" s="5">
        <v>1</v>
      </c>
      <c r="P3300" s="5" t="s">
        <v>294</v>
      </c>
      <c r="Q3300" s="5" t="s">
        <v>3678</v>
      </c>
      <c r="R3300" s="5" t="s">
        <v>240</v>
      </c>
      <c r="S3300" s="5" t="s">
        <v>240</v>
      </c>
      <c r="T3300" s="5" t="s">
        <v>243</v>
      </c>
      <c r="U3300" s="5" t="s">
        <v>244</v>
      </c>
      <c r="V3300" s="5" t="s">
        <v>240</v>
      </c>
      <c r="W3300" s="5" t="s">
        <v>240</v>
      </c>
      <c r="X3300" s="5" t="s">
        <v>240</v>
      </c>
      <c r="Y3300" s="5" t="s">
        <v>240</v>
      </c>
      <c r="Z3300" s="6" t="s">
        <v>298</v>
      </c>
      <c r="AA3300" s="6" t="s">
        <v>240</v>
      </c>
      <c r="AB3300" s="6" t="s">
        <v>240</v>
      </c>
      <c r="AC3300" s="5" t="s">
        <v>240</v>
      </c>
      <c r="AD3300" s="6" t="s">
        <v>240</v>
      </c>
      <c r="AE3300" s="6" t="s">
        <v>299</v>
      </c>
      <c r="AF3300" s="5" t="s">
        <v>248</v>
      </c>
      <c r="AG3300" s="5" t="s">
        <v>249</v>
      </c>
      <c r="AH3300" s="5" t="s">
        <v>240</v>
      </c>
      <c r="AI3300" s="5" t="s">
        <v>240</v>
      </c>
      <c r="AJ3300" s="5" t="s">
        <v>240</v>
      </c>
      <c r="AK3300" s="5" t="s">
        <v>240</v>
      </c>
      <c r="AL3300" s="5" t="s">
        <v>240</v>
      </c>
      <c r="AM3300" s="5" t="s">
        <v>240</v>
      </c>
      <c r="AN3300" s="5" t="s">
        <v>240</v>
      </c>
      <c r="AO3300" s="5" t="s">
        <v>240</v>
      </c>
      <c r="AP3300" s="6" t="s">
        <v>240</v>
      </c>
      <c r="AQ3300" s="6" t="s">
        <v>240</v>
      </c>
      <c r="AR3300" s="6" t="s">
        <v>240</v>
      </c>
      <c r="AS3300" s="6" t="s">
        <v>240</v>
      </c>
      <c r="AT3300" s="5" t="s">
        <v>240</v>
      </c>
      <c r="AU3300" s="5" t="s">
        <v>729</v>
      </c>
      <c r="AV3300" s="5" t="s">
        <v>729</v>
      </c>
      <c r="AW3300" s="5" t="s">
        <v>251</v>
      </c>
      <c r="AX3300" s="5" t="s">
        <v>252</v>
      </c>
      <c r="AY3300" s="5" t="s">
        <v>253</v>
      </c>
      <c r="AZ3300" s="5" t="s">
        <v>240</v>
      </c>
      <c r="BA3300" s="5" t="s">
        <v>255</v>
      </c>
      <c r="BB3300" s="5" t="s">
        <v>731</v>
      </c>
      <c r="BD3300" s="5" t="s">
        <v>240</v>
      </c>
      <c r="BF3300" s="5" t="s">
        <v>732</v>
      </c>
      <c r="BG3300" s="6" t="s">
        <v>733</v>
      </c>
      <c r="BH3300" s="5" t="s">
        <v>734</v>
      </c>
      <c r="BI3300" s="5" t="s">
        <v>734</v>
      </c>
      <c r="BJ3300" s="5" t="s">
        <v>240</v>
      </c>
      <c r="BK3300" s="7">
        <f>1</f>
        <v>1</v>
      </c>
      <c r="BL3300" s="7">
        <f>1</f>
        <v>1</v>
      </c>
      <c r="BM3300" s="5" t="s">
        <v>258</v>
      </c>
      <c r="BN3300" s="5" t="s">
        <v>259</v>
      </c>
      <c r="BO3300" s="5" t="s">
        <v>240</v>
      </c>
      <c r="BP3300" s="5" t="s">
        <v>240</v>
      </c>
      <c r="BQ3300" s="5" t="s">
        <v>240</v>
      </c>
      <c r="BR3300" s="5" t="s">
        <v>240</v>
      </c>
      <c r="BS3300" s="5" t="s">
        <v>240</v>
      </c>
      <c r="BT3300" s="5" t="s">
        <v>240</v>
      </c>
      <c r="BU3300" s="5" t="s">
        <v>240</v>
      </c>
      <c r="BV3300" s="5" t="s">
        <v>240</v>
      </c>
      <c r="BW3300" s="6" t="s">
        <v>240</v>
      </c>
      <c r="BX3300" s="5" t="s">
        <v>240</v>
      </c>
      <c r="BY3300" s="5" t="s">
        <v>240</v>
      </c>
      <c r="BZ3300" s="5" t="s">
        <v>240</v>
      </c>
      <c r="CA3300" s="5" t="s">
        <v>259</v>
      </c>
      <c r="CB3300" s="5" t="s">
        <v>240</v>
      </c>
      <c r="CC3300" s="5" t="s">
        <v>240</v>
      </c>
      <c r="CD3300" s="5" t="s">
        <v>240</v>
      </c>
      <c r="CE3300" s="5" t="s">
        <v>240</v>
      </c>
      <c r="CF3300" s="5" t="s">
        <v>240</v>
      </c>
      <c r="CG3300" s="5" t="s">
        <v>304</v>
      </c>
      <c r="CH3300" s="5" t="s">
        <v>305</v>
      </c>
      <c r="CI3300" s="5" t="s">
        <v>240</v>
      </c>
      <c r="CK3300" s="5" t="s">
        <v>3681</v>
      </c>
      <c r="CL3300" s="6" t="s">
        <v>261</v>
      </c>
      <c r="CM3300" s="5" t="s">
        <v>262</v>
      </c>
      <c r="CN3300" s="5" t="s">
        <v>263</v>
      </c>
      <c r="CO3300" s="5" t="s">
        <v>264</v>
      </c>
      <c r="CP3300" s="5" t="s">
        <v>240</v>
      </c>
      <c r="CQ3300" s="5">
        <v>0</v>
      </c>
      <c r="CR3300" s="5" t="s">
        <v>735</v>
      </c>
      <c r="CS3300" s="5" t="s">
        <v>307</v>
      </c>
      <c r="CT3300" s="5" t="s">
        <v>307</v>
      </c>
      <c r="CU3300" s="5" t="s">
        <v>260</v>
      </c>
      <c r="CV3300" s="5" t="s">
        <v>612</v>
      </c>
      <c r="CW3300" s="8">
        <f>1</f>
        <v>1</v>
      </c>
      <c r="CX3300" s="7">
        <f>1</f>
        <v>1</v>
      </c>
      <c r="CY3300" s="7">
        <f>0</f>
        <v>0</v>
      </c>
      <c r="DA3300" s="7">
        <f>1</f>
        <v>1</v>
      </c>
      <c r="DB3300" s="7" t="s">
        <v>240</v>
      </c>
      <c r="DC3300" s="5" t="s">
        <v>240</v>
      </c>
      <c r="DD3300" s="5" t="s">
        <v>240</v>
      </c>
      <c r="DE3300" s="5" t="s">
        <v>240</v>
      </c>
      <c r="DF3300" s="5" t="s">
        <v>240</v>
      </c>
      <c r="DG3300" s="7">
        <f>0</f>
        <v>0</v>
      </c>
      <c r="DI3300" s="5" t="s">
        <v>240</v>
      </c>
      <c r="DJ3300" s="5" t="s">
        <v>240</v>
      </c>
      <c r="DK3300" s="5" t="s">
        <v>240</v>
      </c>
      <c r="DL3300" s="5" t="s">
        <v>240</v>
      </c>
      <c r="DM3300" s="5" t="s">
        <v>240</v>
      </c>
      <c r="DN3300" s="5" t="s">
        <v>240</v>
      </c>
      <c r="DO3300" s="7" t="s">
        <v>240</v>
      </c>
      <c r="DP3300" s="5" t="s">
        <v>240</v>
      </c>
      <c r="DQ3300" s="5" t="s">
        <v>240</v>
      </c>
      <c r="DR3300" s="5" t="s">
        <v>731</v>
      </c>
      <c r="DS3300" s="5" t="s">
        <v>731</v>
      </c>
      <c r="DT3300" s="5" t="s">
        <v>240</v>
      </c>
      <c r="DU3300" s="5" t="s">
        <v>240</v>
      </c>
      <c r="DV3300" s="5" t="s">
        <v>3683</v>
      </c>
      <c r="DW3300" s="5" t="s">
        <v>358</v>
      </c>
      <c r="DX3300" s="5" t="s">
        <v>240</v>
      </c>
      <c r="DY3300" s="5" t="s">
        <v>240</v>
      </c>
      <c r="DZ3300" s="5" t="s">
        <v>240</v>
      </c>
      <c r="EA3300" s="5" t="s">
        <v>240</v>
      </c>
      <c r="EB3300" s="5" t="s">
        <v>240</v>
      </c>
      <c r="EC3300" s="5" t="s">
        <v>240</v>
      </c>
      <c r="ED3300" s="5" t="s">
        <v>240</v>
      </c>
      <c r="EE3300" s="5" t="s">
        <v>240</v>
      </c>
      <c r="EF3300" s="5" t="s">
        <v>240</v>
      </c>
      <c r="EG3300" s="5" t="s">
        <v>240</v>
      </c>
      <c r="EH3300" s="5" t="s">
        <v>240</v>
      </c>
      <c r="EI3300" s="5" t="s">
        <v>240</v>
      </c>
      <c r="EJ3300" s="5" t="s">
        <v>240</v>
      </c>
      <c r="EK3300" s="5" t="s">
        <v>240</v>
      </c>
      <c r="EL3300" s="5" t="s">
        <v>240</v>
      </c>
      <c r="EM3300" s="5" t="s">
        <v>240</v>
      </c>
      <c r="EN3300" s="5" t="s">
        <v>240</v>
      </c>
      <c r="EO3300" s="5" t="s">
        <v>240</v>
      </c>
      <c r="EP3300" s="5" t="s">
        <v>240</v>
      </c>
      <c r="EQ3300" s="5" t="s">
        <v>240</v>
      </c>
      <c r="ER3300" s="5" t="s">
        <v>240</v>
      </c>
      <c r="ES3300" s="5" t="s">
        <v>240</v>
      </c>
      <c r="ET3300" s="5" t="s">
        <v>240</v>
      </c>
      <c r="EU3300" s="5" t="s">
        <v>240</v>
      </c>
      <c r="EV3300" s="5" t="s">
        <v>240</v>
      </c>
      <c r="EW3300" s="5" t="s">
        <v>240</v>
      </c>
      <c r="EX3300" s="5" t="s">
        <v>240</v>
      </c>
      <c r="EY3300" s="5" t="s">
        <v>240</v>
      </c>
      <c r="EZ3300" s="5" t="s">
        <v>240</v>
      </c>
      <c r="FA3300" s="5" t="s">
        <v>240</v>
      </c>
      <c r="FB3300" s="5" t="s">
        <v>240</v>
      </c>
      <c r="FC3300" s="5" t="s">
        <v>240</v>
      </c>
      <c r="FD3300" s="5" t="s">
        <v>240</v>
      </c>
      <c r="FE3300" s="5" t="s">
        <v>240</v>
      </c>
      <c r="FF3300" s="5" t="s">
        <v>240</v>
      </c>
      <c r="FG3300" s="5" t="s">
        <v>240</v>
      </c>
      <c r="FH3300" s="5" t="s">
        <v>240</v>
      </c>
      <c r="FI3300" s="5" t="s">
        <v>240</v>
      </c>
      <c r="FJ3300" s="5" t="s">
        <v>240</v>
      </c>
      <c r="FK3300" s="5" t="s">
        <v>240</v>
      </c>
      <c r="FL3300" s="5" t="s">
        <v>240</v>
      </c>
      <c r="FM3300" s="5" t="s">
        <v>240</v>
      </c>
      <c r="FN3300" s="5" t="s">
        <v>240</v>
      </c>
      <c r="FO3300" s="5" t="s">
        <v>240</v>
      </c>
      <c r="FP3300" s="5" t="s">
        <v>240</v>
      </c>
      <c r="FQ3300" s="5" t="s">
        <v>240</v>
      </c>
      <c r="FR3300" s="5" t="s">
        <v>240</v>
      </c>
      <c r="FS3300" s="5" t="s">
        <v>240</v>
      </c>
      <c r="FT3300" s="5" t="s">
        <v>240</v>
      </c>
      <c r="FU3300" s="5" t="s">
        <v>240</v>
      </c>
      <c r="FV3300" s="5" t="s">
        <v>240</v>
      </c>
      <c r="FW3300" s="5" t="s">
        <v>240</v>
      </c>
      <c r="FX3300" s="5" t="s">
        <v>240</v>
      </c>
      <c r="FY3300" s="5" t="s">
        <v>240</v>
      </c>
      <c r="FZ3300" s="5" t="s">
        <v>240</v>
      </c>
      <c r="GA3300" s="5" t="s">
        <v>240</v>
      </c>
      <c r="GB3300" s="5" t="s">
        <v>240</v>
      </c>
      <c r="GC3300" s="5" t="s">
        <v>240</v>
      </c>
      <c r="GD3300" s="5" t="s">
        <v>240</v>
      </c>
      <c r="GE3300" s="5" t="s">
        <v>240</v>
      </c>
      <c r="GF3300" s="5" t="s">
        <v>240</v>
      </c>
      <c r="GG3300" s="5" t="s">
        <v>240</v>
      </c>
      <c r="GH3300" s="5" t="s">
        <v>240</v>
      </c>
      <c r="GI3300" s="5" t="s">
        <v>240</v>
      </c>
      <c r="GJ3300" s="5" t="s">
        <v>240</v>
      </c>
      <c r="GK3300" s="5" t="s">
        <v>240</v>
      </c>
      <c r="GL3300" s="5" t="s">
        <v>240</v>
      </c>
      <c r="GM3300" s="5" t="s">
        <v>240</v>
      </c>
      <c r="GN3300" s="5" t="s">
        <v>240</v>
      </c>
      <c r="GO3300" s="5" t="s">
        <v>240</v>
      </c>
      <c r="GP3300" s="5" t="s">
        <v>240</v>
      </c>
      <c r="GQ3300" s="5" t="s">
        <v>240</v>
      </c>
      <c r="GR3300" s="5" t="s">
        <v>240</v>
      </c>
      <c r="GS3300" s="5" t="s">
        <v>240</v>
      </c>
      <c r="GT3300" s="5" t="s">
        <v>240</v>
      </c>
      <c r="GU3300" s="5" t="s">
        <v>240</v>
      </c>
      <c r="GV3300" s="5" t="s">
        <v>240</v>
      </c>
      <c r="GW3300" s="5" t="s">
        <v>240</v>
      </c>
      <c r="GX3300" s="5" t="s">
        <v>240</v>
      </c>
      <c r="GY3300" s="5" t="s">
        <v>240</v>
      </c>
      <c r="GZ3300" s="5" t="s">
        <v>240</v>
      </c>
      <c r="HA3300" s="5" t="s">
        <v>240</v>
      </c>
      <c r="HB3300" s="5" t="s">
        <v>240</v>
      </c>
      <c r="HC3300" s="5" t="s">
        <v>240</v>
      </c>
      <c r="HD3300" s="5" t="s">
        <v>240</v>
      </c>
      <c r="HE3300" s="5" t="s">
        <v>240</v>
      </c>
      <c r="HF3300" s="5" t="s">
        <v>240</v>
      </c>
      <c r="HG3300" s="5" t="s">
        <v>240</v>
      </c>
      <c r="HH3300" s="5" t="s">
        <v>240</v>
      </c>
      <c r="HI3300" s="5" t="s">
        <v>240</v>
      </c>
      <c r="HJ3300" s="5" t="s">
        <v>240</v>
      </c>
      <c r="HK3300" s="5" t="s">
        <v>240</v>
      </c>
      <c r="HL3300" s="5" t="s">
        <v>240</v>
      </c>
      <c r="HM3300" s="5" t="s">
        <v>240</v>
      </c>
      <c r="HN3300" s="5" t="s">
        <v>240</v>
      </c>
      <c r="HO3300" s="5" t="s">
        <v>312</v>
      </c>
      <c r="HP3300" s="5" t="s">
        <v>240</v>
      </c>
      <c r="HQ3300" s="5" t="s">
        <v>240</v>
      </c>
      <c r="HR3300" s="5" t="s">
        <v>240</v>
      </c>
      <c r="HS3300" s="5" t="s">
        <v>240</v>
      </c>
      <c r="HT3300" s="5" t="s">
        <v>240</v>
      </c>
      <c r="HU3300" s="5" t="s">
        <v>240</v>
      </c>
      <c r="HV3300" s="5" t="s">
        <v>240</v>
      </c>
      <c r="HW3300" s="5" t="s">
        <v>240</v>
      </c>
      <c r="HX3300" s="5" t="s">
        <v>240</v>
      </c>
      <c r="HY3300" s="5" t="s">
        <v>240</v>
      </c>
      <c r="HZ3300" s="5" t="s">
        <v>240</v>
      </c>
      <c r="IA3300" s="5" t="s">
        <v>240</v>
      </c>
      <c r="IB3300" s="5" t="s">
        <v>240</v>
      </c>
      <c r="IC3300" s="5" t="s">
        <v>240</v>
      </c>
      <c r="ID3300" s="5" t="s">
        <v>240</v>
      </c>
      <c r="IE3300" s="5" t="s">
        <v>240</v>
      </c>
      <c r="IF3300" s="5" t="s">
        <v>240</v>
      </c>
    </row>
    <row r="3301" spans="1:240" x14ac:dyDescent="0.4">
      <c r="A3301" s="5">
        <v>8843</v>
      </c>
      <c r="B3301" s="5">
        <v>1</v>
      </c>
      <c r="C3301" s="5">
        <v>1</v>
      </c>
      <c r="D3301" s="5" t="s">
        <v>723</v>
      </c>
      <c r="E3301" s="5" t="s">
        <v>725</v>
      </c>
      <c r="F3301" s="5" t="s">
        <v>730</v>
      </c>
      <c r="G3301" s="5" t="s">
        <v>726</v>
      </c>
      <c r="H3301" s="6" t="s">
        <v>6580</v>
      </c>
      <c r="I3301" s="5" t="s">
        <v>722</v>
      </c>
      <c r="J3301" s="8">
        <f>325</f>
        <v>325</v>
      </c>
      <c r="K3301" s="5" t="s">
        <v>308</v>
      </c>
      <c r="L3301" s="7">
        <f>0</f>
        <v>0</v>
      </c>
      <c r="M3301" s="7">
        <f>0</f>
        <v>0</v>
      </c>
      <c r="N3301" s="5" t="s">
        <v>242</v>
      </c>
      <c r="O3301" s="5">
        <v>1</v>
      </c>
      <c r="P3301" s="5" t="s">
        <v>294</v>
      </c>
      <c r="Q3301" s="5" t="s">
        <v>613</v>
      </c>
      <c r="R3301" s="5" t="s">
        <v>240</v>
      </c>
      <c r="S3301" s="5" t="s">
        <v>240</v>
      </c>
      <c r="T3301" s="5" t="s">
        <v>243</v>
      </c>
      <c r="U3301" s="5" t="s">
        <v>724</v>
      </c>
      <c r="V3301" s="5" t="s">
        <v>240</v>
      </c>
      <c r="W3301" s="5" t="s">
        <v>240</v>
      </c>
      <c r="X3301" s="5" t="s">
        <v>240</v>
      </c>
      <c r="Y3301" s="5" t="s">
        <v>240</v>
      </c>
      <c r="Z3301" s="6" t="s">
        <v>298</v>
      </c>
      <c r="AA3301" s="6" t="s">
        <v>240</v>
      </c>
      <c r="AB3301" s="6" t="s">
        <v>240</v>
      </c>
      <c r="AC3301" s="5" t="s">
        <v>240</v>
      </c>
      <c r="AD3301" s="6" t="s">
        <v>240</v>
      </c>
      <c r="AE3301" s="6" t="s">
        <v>299</v>
      </c>
      <c r="AF3301" s="5" t="s">
        <v>727</v>
      </c>
      <c r="AG3301" s="5" t="s">
        <v>260</v>
      </c>
      <c r="AH3301" s="5" t="s">
        <v>240</v>
      </c>
      <c r="AI3301" s="5" t="s">
        <v>240</v>
      </c>
      <c r="AJ3301" s="5" t="s">
        <v>240</v>
      </c>
      <c r="AK3301" s="5" t="s">
        <v>240</v>
      </c>
      <c r="AL3301" s="5" t="s">
        <v>240</v>
      </c>
      <c r="AM3301" s="5" t="s">
        <v>240</v>
      </c>
      <c r="AN3301" s="5" t="s">
        <v>240</v>
      </c>
      <c r="AO3301" s="5" t="s">
        <v>240</v>
      </c>
      <c r="AP3301" s="6" t="s">
        <v>240</v>
      </c>
      <c r="AQ3301" s="6" t="s">
        <v>240</v>
      </c>
      <c r="AR3301" s="6" t="s">
        <v>240</v>
      </c>
      <c r="AS3301" s="6" t="s">
        <v>240</v>
      </c>
      <c r="AT3301" s="5" t="s">
        <v>240</v>
      </c>
      <c r="AU3301" s="5" t="s">
        <v>729</v>
      </c>
      <c r="AV3301" s="5" t="s">
        <v>729</v>
      </c>
      <c r="AW3301" s="5" t="s">
        <v>251</v>
      </c>
      <c r="AX3301" s="5" t="s">
        <v>252</v>
      </c>
      <c r="AY3301" s="5" t="s">
        <v>253</v>
      </c>
      <c r="AZ3301" s="5" t="s">
        <v>240</v>
      </c>
      <c r="BA3301" s="5" t="s">
        <v>255</v>
      </c>
      <c r="BB3301" s="5" t="s">
        <v>731</v>
      </c>
      <c r="BD3301" s="5" t="s">
        <v>240</v>
      </c>
      <c r="BF3301" s="5" t="s">
        <v>732</v>
      </c>
      <c r="BG3301" s="6" t="s">
        <v>733</v>
      </c>
      <c r="BH3301" s="5" t="s">
        <v>734</v>
      </c>
      <c r="BI3301" s="5" t="s">
        <v>734</v>
      </c>
      <c r="BJ3301" s="5" t="s">
        <v>240</v>
      </c>
      <c r="BK3301" s="8">
        <f>379</f>
        <v>379</v>
      </c>
      <c r="BL3301" s="7">
        <f>0</f>
        <v>0</v>
      </c>
      <c r="BM3301" s="5" t="s">
        <v>258</v>
      </c>
      <c r="BN3301" s="5" t="s">
        <v>259</v>
      </c>
      <c r="BO3301" s="5" t="s">
        <v>240</v>
      </c>
      <c r="BP3301" s="5" t="s">
        <v>240</v>
      </c>
      <c r="BQ3301" s="5" t="s">
        <v>240</v>
      </c>
      <c r="BR3301" s="5" t="s">
        <v>240</v>
      </c>
      <c r="BS3301" s="5" t="s">
        <v>240</v>
      </c>
      <c r="BT3301" s="5" t="s">
        <v>240</v>
      </c>
      <c r="BU3301" s="5" t="s">
        <v>240</v>
      </c>
      <c r="BV3301" s="5" t="s">
        <v>240</v>
      </c>
      <c r="BW3301" s="6" t="s">
        <v>240</v>
      </c>
      <c r="BX3301" s="5" t="s">
        <v>240</v>
      </c>
      <c r="BY3301" s="5" t="s">
        <v>240</v>
      </c>
      <c r="BZ3301" s="5" t="s">
        <v>240</v>
      </c>
      <c r="CA3301" s="5" t="s">
        <v>259</v>
      </c>
      <c r="CB3301" s="5" t="s">
        <v>240</v>
      </c>
      <c r="CC3301" s="5" t="s">
        <v>240</v>
      </c>
      <c r="CD3301" s="5" t="s">
        <v>240</v>
      </c>
      <c r="CE3301" s="5" t="s">
        <v>240</v>
      </c>
      <c r="CF3301" s="5" t="s">
        <v>240</v>
      </c>
      <c r="CG3301" s="5" t="s">
        <v>617</v>
      </c>
      <c r="CH3301" s="5" t="s">
        <v>305</v>
      </c>
      <c r="CI3301" s="5" t="s">
        <v>240</v>
      </c>
      <c r="CL3301" s="6" t="s">
        <v>261</v>
      </c>
      <c r="CM3301" s="5" t="s">
        <v>262</v>
      </c>
      <c r="CN3301" s="5" t="s">
        <v>263</v>
      </c>
      <c r="CO3301" s="5" t="s">
        <v>264</v>
      </c>
      <c r="CP3301" s="5" t="s">
        <v>240</v>
      </c>
      <c r="CQ3301" s="5">
        <v>0</v>
      </c>
      <c r="CR3301" s="5" t="s">
        <v>735</v>
      </c>
      <c r="CS3301" s="5" t="s">
        <v>307</v>
      </c>
      <c r="CT3301" s="5" t="s">
        <v>307</v>
      </c>
      <c r="CU3301" s="5" t="s">
        <v>260</v>
      </c>
      <c r="CV3301" s="5" t="s">
        <v>240</v>
      </c>
      <c r="CW3301" s="8">
        <f>0</f>
        <v>0</v>
      </c>
      <c r="CX3301" s="7">
        <f>0</f>
        <v>0</v>
      </c>
      <c r="CY3301" s="7">
        <f>0</f>
        <v>0</v>
      </c>
      <c r="DA3301" s="7">
        <f>4169</f>
        <v>4169</v>
      </c>
      <c r="DB3301" s="7" t="s">
        <v>240</v>
      </c>
      <c r="DC3301" s="5" t="s">
        <v>240</v>
      </c>
      <c r="DD3301" s="5" t="s">
        <v>240</v>
      </c>
      <c r="DE3301" s="5" t="s">
        <v>240</v>
      </c>
      <c r="DF3301" s="5" t="s">
        <v>450</v>
      </c>
      <c r="DG3301" s="7">
        <f>0</f>
        <v>0</v>
      </c>
      <c r="DI3301" s="5" t="s">
        <v>737</v>
      </c>
      <c r="DJ3301" s="5" t="s">
        <v>240</v>
      </c>
      <c r="DK3301" s="5" t="s">
        <v>240</v>
      </c>
      <c r="DL3301" s="5" t="s">
        <v>240</v>
      </c>
      <c r="DM3301" s="5" t="s">
        <v>240</v>
      </c>
      <c r="DN3301" s="5" t="s">
        <v>240</v>
      </c>
      <c r="DO3301" s="7" t="s">
        <v>240</v>
      </c>
      <c r="DP3301" s="5" t="s">
        <v>240</v>
      </c>
      <c r="DQ3301" s="5" t="s">
        <v>240</v>
      </c>
      <c r="DR3301" s="5" t="s">
        <v>731</v>
      </c>
      <c r="DS3301" s="5" t="s">
        <v>731</v>
      </c>
      <c r="DT3301" s="5" t="s">
        <v>240</v>
      </c>
      <c r="DU3301" s="5" t="s">
        <v>240</v>
      </c>
      <c r="DV3301" s="5" t="s">
        <v>738</v>
      </c>
      <c r="DW3301" s="5" t="s">
        <v>1219</v>
      </c>
      <c r="DX3301" s="5" t="s">
        <v>240</v>
      </c>
      <c r="DY3301" s="5" t="s">
        <v>240</v>
      </c>
      <c r="DZ3301" s="5" t="s">
        <v>240</v>
      </c>
      <c r="EA3301" s="5" t="s">
        <v>240</v>
      </c>
      <c r="EB3301" s="5" t="s">
        <v>240</v>
      </c>
      <c r="EC3301" s="5" t="s">
        <v>240</v>
      </c>
      <c r="ED3301" s="5" t="s">
        <v>240</v>
      </c>
      <c r="EE3301" s="5" t="s">
        <v>240</v>
      </c>
      <c r="EF3301" s="5" t="s">
        <v>240</v>
      </c>
      <c r="EG3301" s="5" t="s">
        <v>240</v>
      </c>
      <c r="EH3301" s="5" t="s">
        <v>240</v>
      </c>
      <c r="EI3301" s="5" t="s">
        <v>240</v>
      </c>
      <c r="EJ3301" s="5" t="s">
        <v>240</v>
      </c>
      <c r="EK3301" s="5" t="s">
        <v>240</v>
      </c>
      <c r="EL3301" s="5" t="s">
        <v>240</v>
      </c>
      <c r="EM3301" s="5" t="s">
        <v>240</v>
      </c>
      <c r="EN3301" s="5" t="s">
        <v>240</v>
      </c>
      <c r="EO3301" s="5" t="s">
        <v>240</v>
      </c>
      <c r="EP3301" s="5" t="s">
        <v>240</v>
      </c>
      <c r="EQ3301" s="5" t="s">
        <v>240</v>
      </c>
      <c r="ER3301" s="5" t="s">
        <v>240</v>
      </c>
      <c r="ES3301" s="5" t="s">
        <v>240</v>
      </c>
      <c r="ET3301" s="5" t="s">
        <v>240</v>
      </c>
      <c r="EU3301" s="5" t="s">
        <v>240</v>
      </c>
      <c r="EV3301" s="5" t="s">
        <v>240</v>
      </c>
      <c r="EW3301" s="5" t="s">
        <v>240</v>
      </c>
      <c r="EX3301" s="5" t="s">
        <v>240</v>
      </c>
      <c r="EY3301" s="5" t="s">
        <v>240</v>
      </c>
      <c r="EZ3301" s="5" t="s">
        <v>240</v>
      </c>
      <c r="FA3301" s="5" t="s">
        <v>240</v>
      </c>
      <c r="FB3301" s="5" t="s">
        <v>240</v>
      </c>
      <c r="FC3301" s="5" t="s">
        <v>240</v>
      </c>
      <c r="FD3301" s="5" t="s">
        <v>240</v>
      </c>
      <c r="FE3301" s="5" t="s">
        <v>240</v>
      </c>
      <c r="FF3301" s="5" t="s">
        <v>240</v>
      </c>
      <c r="FG3301" s="5" t="s">
        <v>240</v>
      </c>
      <c r="FH3301" s="5" t="s">
        <v>240</v>
      </c>
      <c r="FI3301" s="5" t="s">
        <v>240</v>
      </c>
      <c r="FJ3301" s="5" t="s">
        <v>240</v>
      </c>
      <c r="FK3301" s="5" t="s">
        <v>240</v>
      </c>
      <c r="FL3301" s="5" t="s">
        <v>240</v>
      </c>
      <c r="FM3301" s="5" t="s">
        <v>240</v>
      </c>
      <c r="FN3301" s="5" t="s">
        <v>240</v>
      </c>
      <c r="FO3301" s="5" t="s">
        <v>240</v>
      </c>
      <c r="FP3301" s="5" t="s">
        <v>240</v>
      </c>
      <c r="FQ3301" s="5" t="s">
        <v>240</v>
      </c>
      <c r="FR3301" s="5" t="s">
        <v>240</v>
      </c>
      <c r="FS3301" s="5" t="s">
        <v>240</v>
      </c>
      <c r="FT3301" s="5" t="s">
        <v>240</v>
      </c>
      <c r="FU3301" s="5" t="s">
        <v>240</v>
      </c>
      <c r="FV3301" s="5" t="s">
        <v>240</v>
      </c>
      <c r="FW3301" s="5" t="s">
        <v>240</v>
      </c>
      <c r="FX3301" s="5" t="s">
        <v>240</v>
      </c>
      <c r="FY3301" s="5" t="s">
        <v>240</v>
      </c>
      <c r="FZ3301" s="5" t="s">
        <v>240</v>
      </c>
      <c r="GA3301" s="5" t="s">
        <v>240</v>
      </c>
      <c r="GB3301" s="5" t="s">
        <v>240</v>
      </c>
      <c r="GC3301" s="5" t="s">
        <v>240</v>
      </c>
      <c r="GD3301" s="5" t="s">
        <v>240</v>
      </c>
      <c r="GE3301" s="5" t="s">
        <v>240</v>
      </c>
      <c r="GF3301" s="5" t="s">
        <v>240</v>
      </c>
      <c r="GG3301" s="5" t="s">
        <v>240</v>
      </c>
      <c r="GH3301" s="5" t="s">
        <v>240</v>
      </c>
      <c r="GI3301" s="5" t="s">
        <v>240</v>
      </c>
      <c r="GJ3301" s="5" t="s">
        <v>240</v>
      </c>
      <c r="GK3301" s="5" t="s">
        <v>240</v>
      </c>
      <c r="GL3301" s="5" t="s">
        <v>240</v>
      </c>
      <c r="GM3301" s="5" t="s">
        <v>240</v>
      </c>
      <c r="GN3301" s="5" t="s">
        <v>240</v>
      </c>
      <c r="GO3301" s="5" t="s">
        <v>240</v>
      </c>
      <c r="GP3301" s="5" t="s">
        <v>240</v>
      </c>
      <c r="GQ3301" s="5" t="s">
        <v>240</v>
      </c>
      <c r="GR3301" s="5" t="s">
        <v>240</v>
      </c>
      <c r="GS3301" s="5" t="s">
        <v>240</v>
      </c>
      <c r="GT3301" s="5" t="s">
        <v>240</v>
      </c>
      <c r="GU3301" s="5" t="s">
        <v>240</v>
      </c>
      <c r="GV3301" s="5" t="s">
        <v>240</v>
      </c>
      <c r="GW3301" s="5" t="s">
        <v>240</v>
      </c>
      <c r="GX3301" s="5" t="s">
        <v>240</v>
      </c>
      <c r="GY3301" s="5" t="s">
        <v>240</v>
      </c>
      <c r="GZ3301" s="5" t="s">
        <v>240</v>
      </c>
      <c r="HA3301" s="5" t="s">
        <v>240</v>
      </c>
      <c r="HB3301" s="5" t="s">
        <v>240</v>
      </c>
      <c r="HC3301" s="5" t="s">
        <v>240</v>
      </c>
      <c r="HD3301" s="5" t="s">
        <v>240</v>
      </c>
      <c r="HE3301" s="5" t="s">
        <v>240</v>
      </c>
      <c r="HF3301" s="5" t="s">
        <v>240</v>
      </c>
      <c r="HG3301" s="5" t="s">
        <v>240</v>
      </c>
      <c r="HH3301" s="5" t="s">
        <v>240</v>
      </c>
      <c r="HI3301" s="5" t="s">
        <v>240</v>
      </c>
      <c r="HJ3301" s="5" t="s">
        <v>240</v>
      </c>
      <c r="HK3301" s="5" t="s">
        <v>240</v>
      </c>
      <c r="HL3301" s="5" t="s">
        <v>240</v>
      </c>
      <c r="HM3301" s="5" t="s">
        <v>240</v>
      </c>
      <c r="HN3301" s="5" t="s">
        <v>240</v>
      </c>
      <c r="HO3301" s="5" t="s">
        <v>312</v>
      </c>
      <c r="HP3301" s="5" t="s">
        <v>240</v>
      </c>
      <c r="HQ3301" s="5" t="s">
        <v>240</v>
      </c>
      <c r="HR3301" s="5" t="s">
        <v>240</v>
      </c>
      <c r="HS3301" s="5" t="s">
        <v>240</v>
      </c>
      <c r="HT3301" s="5" t="s">
        <v>240</v>
      </c>
      <c r="HU3301" s="5" t="s">
        <v>240</v>
      </c>
      <c r="HV3301" s="5" t="s">
        <v>240</v>
      </c>
      <c r="HW3301" s="5" t="s">
        <v>240</v>
      </c>
      <c r="HX3301" s="5" t="s">
        <v>240</v>
      </c>
      <c r="HY3301" s="5" t="s">
        <v>240</v>
      </c>
      <c r="HZ3301" s="5" t="s">
        <v>240</v>
      </c>
      <c r="IA3301" s="5" t="s">
        <v>240</v>
      </c>
      <c r="IB3301" s="5" t="s">
        <v>240</v>
      </c>
      <c r="IC3301" s="5" t="s">
        <v>240</v>
      </c>
      <c r="ID3301" s="5" t="s">
        <v>240</v>
      </c>
      <c r="IE3301" s="5" t="s">
        <v>240</v>
      </c>
      <c r="IF3301" s="5" t="s">
        <v>240</v>
      </c>
    </row>
    <row r="3302" spans="1:240" x14ac:dyDescent="0.4">
      <c r="A3302" s="5">
        <v>8844</v>
      </c>
      <c r="B3302" s="5">
        <v>1</v>
      </c>
      <c r="C3302" s="5">
        <v>1</v>
      </c>
      <c r="D3302" s="5" t="s">
        <v>723</v>
      </c>
      <c r="E3302" s="5" t="s">
        <v>725</v>
      </c>
      <c r="F3302" s="5" t="s">
        <v>730</v>
      </c>
      <c r="G3302" s="5" t="s">
        <v>726</v>
      </c>
      <c r="H3302" s="6" t="s">
        <v>6581</v>
      </c>
      <c r="I3302" s="5" t="s">
        <v>722</v>
      </c>
      <c r="J3302" s="8">
        <f>831</f>
        <v>831</v>
      </c>
      <c r="K3302" s="5" t="s">
        <v>308</v>
      </c>
      <c r="L3302" s="7">
        <f>0</f>
        <v>0</v>
      </c>
      <c r="M3302" s="7">
        <f>0</f>
        <v>0</v>
      </c>
      <c r="N3302" s="5" t="s">
        <v>242</v>
      </c>
      <c r="O3302" s="5">
        <v>1</v>
      </c>
      <c r="P3302" s="5" t="s">
        <v>294</v>
      </c>
      <c r="Q3302" s="5" t="s">
        <v>266</v>
      </c>
      <c r="R3302" s="5" t="s">
        <v>240</v>
      </c>
      <c r="S3302" s="5" t="s">
        <v>240</v>
      </c>
      <c r="T3302" s="5" t="s">
        <v>296</v>
      </c>
      <c r="U3302" s="5" t="s">
        <v>244</v>
      </c>
      <c r="V3302" s="5" t="s">
        <v>240</v>
      </c>
      <c r="Y3302" s="5" t="s">
        <v>240</v>
      </c>
      <c r="Z3302" s="6" t="s">
        <v>298</v>
      </c>
      <c r="AB3302" s="6" t="s">
        <v>240</v>
      </c>
      <c r="AE3302" s="6" t="s">
        <v>299</v>
      </c>
      <c r="AF3302" s="5" t="s">
        <v>248</v>
      </c>
      <c r="AG3302" s="5" t="s">
        <v>249</v>
      </c>
      <c r="AW3302" s="5" t="s">
        <v>251</v>
      </c>
      <c r="AX3302" s="5" t="s">
        <v>240</v>
      </c>
      <c r="AY3302" s="5" t="s">
        <v>253</v>
      </c>
      <c r="AZ3302" s="5" t="s">
        <v>240</v>
      </c>
      <c r="BA3302" s="5" t="s">
        <v>255</v>
      </c>
      <c r="BB3302" s="5" t="s">
        <v>240</v>
      </c>
      <c r="BD3302" s="5" t="s">
        <v>240</v>
      </c>
      <c r="BF3302" s="5" t="s">
        <v>301</v>
      </c>
      <c r="BG3302" s="6" t="s">
        <v>299</v>
      </c>
      <c r="BH3302" s="5" t="s">
        <v>302</v>
      </c>
      <c r="BI3302" s="5" t="s">
        <v>303</v>
      </c>
      <c r="BJ3302" s="5" t="s">
        <v>240</v>
      </c>
      <c r="BK3302" s="8">
        <f>0</f>
        <v>0</v>
      </c>
      <c r="BL3302" s="7">
        <f>0</f>
        <v>0</v>
      </c>
      <c r="BM3302" s="5" t="s">
        <v>258</v>
      </c>
      <c r="BN3302" s="5" t="s">
        <v>259</v>
      </c>
      <c r="CB3302" s="5" t="s">
        <v>240</v>
      </c>
      <c r="CC3302" s="5" t="s">
        <v>240</v>
      </c>
      <c r="CG3302" s="5" t="s">
        <v>304</v>
      </c>
      <c r="CH3302" s="5" t="s">
        <v>305</v>
      </c>
      <c r="CI3302" s="5" t="s">
        <v>240</v>
      </c>
      <c r="CL3302" s="6" t="s">
        <v>261</v>
      </c>
      <c r="CM3302" s="5" t="s">
        <v>240</v>
      </c>
      <c r="CN3302" s="5" t="s">
        <v>263</v>
      </c>
      <c r="CO3302" s="5" t="s">
        <v>240</v>
      </c>
      <c r="CP3302" s="5" t="s">
        <v>240</v>
      </c>
      <c r="CQ3302" s="5">
        <v>0</v>
      </c>
      <c r="CR3302" s="5" t="s">
        <v>306</v>
      </c>
      <c r="CS3302" s="5" t="s">
        <v>307</v>
      </c>
      <c r="CT3302" s="5" t="s">
        <v>307</v>
      </c>
      <c r="CU3302" s="5" t="s">
        <v>260</v>
      </c>
      <c r="CX3302" s="7">
        <f>1</f>
        <v>1</v>
      </c>
      <c r="CY3302" s="7">
        <f>0</f>
        <v>0</v>
      </c>
      <c r="DA3302" s="7">
        <f>0</f>
        <v>0</v>
      </c>
      <c r="DC3302" s="5" t="s">
        <v>309</v>
      </c>
      <c r="DD3302" s="5" t="s">
        <v>240</v>
      </c>
      <c r="DF3302" s="5" t="s">
        <v>309</v>
      </c>
      <c r="DG3302" s="7">
        <f>849</f>
        <v>849</v>
      </c>
      <c r="DI3302" s="5" t="s">
        <v>240</v>
      </c>
      <c r="DJ3302" s="5" t="s">
        <v>240</v>
      </c>
      <c r="DK3302" s="5" t="s">
        <v>240</v>
      </c>
      <c r="DL3302" s="5" t="s">
        <v>240</v>
      </c>
      <c r="DP3302" s="5" t="s">
        <v>240</v>
      </c>
      <c r="DQ3302" s="5" t="s">
        <v>240</v>
      </c>
      <c r="DR3302" s="5" t="s">
        <v>240</v>
      </c>
      <c r="DS3302" s="5" t="s">
        <v>240</v>
      </c>
      <c r="DV3302" s="5" t="s">
        <v>310</v>
      </c>
      <c r="DW3302" s="5" t="s">
        <v>4927</v>
      </c>
      <c r="HO3302" s="5" t="s">
        <v>312</v>
      </c>
    </row>
    <row r="3303" spans="1:240" x14ac:dyDescent="0.4">
      <c r="A3303" s="5">
        <v>8845</v>
      </c>
      <c r="B3303" s="5">
        <v>1</v>
      </c>
      <c r="C3303" s="5">
        <v>1</v>
      </c>
      <c r="D3303" s="5" t="s">
        <v>723</v>
      </c>
      <c r="E3303" s="5" t="s">
        <v>725</v>
      </c>
      <c r="F3303" s="5" t="s">
        <v>730</v>
      </c>
      <c r="G3303" s="5" t="s">
        <v>726</v>
      </c>
      <c r="H3303" s="6" t="s">
        <v>6582</v>
      </c>
      <c r="I3303" s="5" t="s">
        <v>722</v>
      </c>
      <c r="J3303" s="8">
        <f>430</f>
        <v>430</v>
      </c>
      <c r="K3303" s="5" t="s">
        <v>308</v>
      </c>
      <c r="L3303" s="7">
        <f>0</f>
        <v>0</v>
      </c>
      <c r="M3303" s="7">
        <f>0</f>
        <v>0</v>
      </c>
      <c r="N3303" s="5" t="s">
        <v>242</v>
      </c>
      <c r="O3303" s="5">
        <v>1</v>
      </c>
      <c r="P3303" s="5" t="s">
        <v>294</v>
      </c>
      <c r="Q3303" s="5" t="s">
        <v>3678</v>
      </c>
      <c r="R3303" s="5" t="s">
        <v>240</v>
      </c>
      <c r="S3303" s="5" t="s">
        <v>240</v>
      </c>
      <c r="T3303" s="5" t="s">
        <v>243</v>
      </c>
      <c r="U3303" s="5" t="s">
        <v>244</v>
      </c>
      <c r="V3303" s="5" t="s">
        <v>240</v>
      </c>
      <c r="W3303" s="5" t="s">
        <v>240</v>
      </c>
      <c r="X3303" s="5" t="s">
        <v>240</v>
      </c>
      <c r="Y3303" s="5" t="s">
        <v>240</v>
      </c>
      <c r="Z3303" s="6" t="s">
        <v>298</v>
      </c>
      <c r="AA3303" s="6" t="s">
        <v>240</v>
      </c>
      <c r="AB3303" s="6" t="s">
        <v>240</v>
      </c>
      <c r="AC3303" s="5" t="s">
        <v>240</v>
      </c>
      <c r="AD3303" s="6" t="s">
        <v>240</v>
      </c>
      <c r="AE3303" s="6" t="s">
        <v>299</v>
      </c>
      <c r="AF3303" s="5" t="s">
        <v>248</v>
      </c>
      <c r="AG3303" s="5" t="s">
        <v>249</v>
      </c>
      <c r="AH3303" s="5" t="s">
        <v>240</v>
      </c>
      <c r="AI3303" s="5" t="s">
        <v>240</v>
      </c>
      <c r="AJ3303" s="5" t="s">
        <v>240</v>
      </c>
      <c r="AK3303" s="5" t="s">
        <v>240</v>
      </c>
      <c r="AL3303" s="5" t="s">
        <v>240</v>
      </c>
      <c r="AM3303" s="5" t="s">
        <v>240</v>
      </c>
      <c r="AN3303" s="5" t="s">
        <v>240</v>
      </c>
      <c r="AO3303" s="5" t="s">
        <v>240</v>
      </c>
      <c r="AP3303" s="6" t="s">
        <v>240</v>
      </c>
      <c r="AQ3303" s="6" t="s">
        <v>240</v>
      </c>
      <c r="AR3303" s="6" t="s">
        <v>240</v>
      </c>
      <c r="AS3303" s="6" t="s">
        <v>240</v>
      </c>
      <c r="AT3303" s="5" t="s">
        <v>240</v>
      </c>
      <c r="AU3303" s="5" t="s">
        <v>729</v>
      </c>
      <c r="AV3303" s="5" t="s">
        <v>729</v>
      </c>
      <c r="AW3303" s="5" t="s">
        <v>251</v>
      </c>
      <c r="AX3303" s="5" t="s">
        <v>252</v>
      </c>
      <c r="AY3303" s="5" t="s">
        <v>253</v>
      </c>
      <c r="AZ3303" s="5" t="s">
        <v>240</v>
      </c>
      <c r="BA3303" s="5" t="s">
        <v>255</v>
      </c>
      <c r="BB3303" s="5" t="s">
        <v>731</v>
      </c>
      <c r="BD3303" s="5" t="s">
        <v>240</v>
      </c>
      <c r="BF3303" s="5" t="s">
        <v>732</v>
      </c>
      <c r="BG3303" s="6" t="s">
        <v>733</v>
      </c>
      <c r="BH3303" s="5" t="s">
        <v>734</v>
      </c>
      <c r="BI3303" s="5" t="s">
        <v>734</v>
      </c>
      <c r="BJ3303" s="5" t="s">
        <v>240</v>
      </c>
      <c r="BK3303" s="7">
        <f>1</f>
        <v>1</v>
      </c>
      <c r="BL3303" s="7">
        <f>1</f>
        <v>1</v>
      </c>
      <c r="BM3303" s="5" t="s">
        <v>258</v>
      </c>
      <c r="BN3303" s="5" t="s">
        <v>259</v>
      </c>
      <c r="BO3303" s="5" t="s">
        <v>240</v>
      </c>
      <c r="BP3303" s="5" t="s">
        <v>240</v>
      </c>
      <c r="BQ3303" s="5" t="s">
        <v>240</v>
      </c>
      <c r="BR3303" s="5" t="s">
        <v>240</v>
      </c>
      <c r="BS3303" s="5" t="s">
        <v>240</v>
      </c>
      <c r="BT3303" s="5" t="s">
        <v>240</v>
      </c>
      <c r="BU3303" s="5" t="s">
        <v>240</v>
      </c>
      <c r="BV3303" s="5" t="s">
        <v>240</v>
      </c>
      <c r="BW3303" s="6" t="s">
        <v>240</v>
      </c>
      <c r="BX3303" s="5" t="s">
        <v>240</v>
      </c>
      <c r="BY3303" s="5" t="s">
        <v>240</v>
      </c>
      <c r="BZ3303" s="5" t="s">
        <v>240</v>
      </c>
      <c r="CA3303" s="5" t="s">
        <v>259</v>
      </c>
      <c r="CB3303" s="5" t="s">
        <v>240</v>
      </c>
      <c r="CC3303" s="5" t="s">
        <v>240</v>
      </c>
      <c r="CD3303" s="5" t="s">
        <v>240</v>
      </c>
      <c r="CE3303" s="5" t="s">
        <v>240</v>
      </c>
      <c r="CF3303" s="5" t="s">
        <v>240</v>
      </c>
      <c r="CG3303" s="5" t="s">
        <v>304</v>
      </c>
      <c r="CH3303" s="5" t="s">
        <v>305</v>
      </c>
      <c r="CI3303" s="5" t="s">
        <v>240</v>
      </c>
      <c r="CK3303" s="5" t="s">
        <v>3681</v>
      </c>
      <c r="CL3303" s="6" t="s">
        <v>261</v>
      </c>
      <c r="CM3303" s="5" t="s">
        <v>262</v>
      </c>
      <c r="CN3303" s="5" t="s">
        <v>263</v>
      </c>
      <c r="CO3303" s="5" t="s">
        <v>264</v>
      </c>
      <c r="CP3303" s="5" t="s">
        <v>240</v>
      </c>
      <c r="CQ3303" s="5">
        <v>0</v>
      </c>
      <c r="CR3303" s="5" t="s">
        <v>735</v>
      </c>
      <c r="CS3303" s="5" t="s">
        <v>307</v>
      </c>
      <c r="CT3303" s="5" t="s">
        <v>307</v>
      </c>
      <c r="CU3303" s="5" t="s">
        <v>260</v>
      </c>
      <c r="CV3303" s="5" t="s">
        <v>612</v>
      </c>
      <c r="CW3303" s="8">
        <f>1</f>
        <v>1</v>
      </c>
      <c r="CX3303" s="7">
        <f>1</f>
        <v>1</v>
      </c>
      <c r="CY3303" s="7">
        <f>0</f>
        <v>0</v>
      </c>
      <c r="DA3303" s="7">
        <f>1</f>
        <v>1</v>
      </c>
      <c r="DB3303" s="7" t="s">
        <v>240</v>
      </c>
      <c r="DC3303" s="5" t="s">
        <v>240</v>
      </c>
      <c r="DD3303" s="5" t="s">
        <v>240</v>
      </c>
      <c r="DE3303" s="5" t="s">
        <v>240</v>
      </c>
      <c r="DF3303" s="5" t="s">
        <v>240</v>
      </c>
      <c r="DG3303" s="7">
        <f>0</f>
        <v>0</v>
      </c>
      <c r="DI3303" s="5" t="s">
        <v>240</v>
      </c>
      <c r="DJ3303" s="5" t="s">
        <v>240</v>
      </c>
      <c r="DK3303" s="5" t="s">
        <v>240</v>
      </c>
      <c r="DL3303" s="5" t="s">
        <v>240</v>
      </c>
      <c r="DM3303" s="5" t="s">
        <v>240</v>
      </c>
      <c r="DN3303" s="5" t="s">
        <v>240</v>
      </c>
      <c r="DO3303" s="7" t="s">
        <v>240</v>
      </c>
      <c r="DP3303" s="5" t="s">
        <v>240</v>
      </c>
      <c r="DQ3303" s="5" t="s">
        <v>240</v>
      </c>
      <c r="DR3303" s="5" t="s">
        <v>731</v>
      </c>
      <c r="DS3303" s="5" t="s">
        <v>731</v>
      </c>
      <c r="DT3303" s="5" t="s">
        <v>240</v>
      </c>
      <c r="DU3303" s="5" t="s">
        <v>240</v>
      </c>
      <c r="DV3303" s="5" t="s">
        <v>3683</v>
      </c>
      <c r="DW3303" s="5" t="s">
        <v>797</v>
      </c>
      <c r="DX3303" s="5" t="s">
        <v>240</v>
      </c>
      <c r="DY3303" s="5" t="s">
        <v>240</v>
      </c>
      <c r="DZ3303" s="5" t="s">
        <v>240</v>
      </c>
      <c r="EA3303" s="5" t="s">
        <v>240</v>
      </c>
      <c r="EB3303" s="5" t="s">
        <v>240</v>
      </c>
      <c r="EC3303" s="5" t="s">
        <v>240</v>
      </c>
      <c r="ED3303" s="5" t="s">
        <v>240</v>
      </c>
      <c r="EE3303" s="5" t="s">
        <v>240</v>
      </c>
      <c r="EF3303" s="5" t="s">
        <v>240</v>
      </c>
      <c r="EG3303" s="5" t="s">
        <v>240</v>
      </c>
      <c r="EH3303" s="5" t="s">
        <v>240</v>
      </c>
      <c r="EI3303" s="5" t="s">
        <v>240</v>
      </c>
      <c r="EJ3303" s="5" t="s">
        <v>240</v>
      </c>
      <c r="EK3303" s="5" t="s">
        <v>240</v>
      </c>
      <c r="EL3303" s="5" t="s">
        <v>240</v>
      </c>
      <c r="EM3303" s="5" t="s">
        <v>240</v>
      </c>
      <c r="EN3303" s="5" t="s">
        <v>240</v>
      </c>
      <c r="EO3303" s="5" t="s">
        <v>240</v>
      </c>
      <c r="EP3303" s="5" t="s">
        <v>240</v>
      </c>
      <c r="EQ3303" s="5" t="s">
        <v>240</v>
      </c>
      <c r="ER3303" s="5" t="s">
        <v>240</v>
      </c>
      <c r="ES3303" s="5" t="s">
        <v>240</v>
      </c>
      <c r="ET3303" s="5" t="s">
        <v>240</v>
      </c>
      <c r="EU3303" s="5" t="s">
        <v>240</v>
      </c>
      <c r="EV3303" s="5" t="s">
        <v>240</v>
      </c>
      <c r="EW3303" s="5" t="s">
        <v>240</v>
      </c>
      <c r="EX3303" s="5" t="s">
        <v>240</v>
      </c>
      <c r="EY3303" s="5" t="s">
        <v>240</v>
      </c>
      <c r="EZ3303" s="5" t="s">
        <v>240</v>
      </c>
      <c r="FA3303" s="5" t="s">
        <v>240</v>
      </c>
      <c r="FB3303" s="5" t="s">
        <v>240</v>
      </c>
      <c r="FC3303" s="5" t="s">
        <v>240</v>
      </c>
      <c r="FD3303" s="5" t="s">
        <v>240</v>
      </c>
      <c r="FE3303" s="5" t="s">
        <v>240</v>
      </c>
      <c r="FF3303" s="5" t="s">
        <v>240</v>
      </c>
      <c r="FG3303" s="5" t="s">
        <v>240</v>
      </c>
      <c r="FH3303" s="5" t="s">
        <v>240</v>
      </c>
      <c r="FI3303" s="5" t="s">
        <v>240</v>
      </c>
      <c r="FJ3303" s="5" t="s">
        <v>240</v>
      </c>
      <c r="FK3303" s="5" t="s">
        <v>240</v>
      </c>
      <c r="FL3303" s="5" t="s">
        <v>240</v>
      </c>
      <c r="FM3303" s="5" t="s">
        <v>240</v>
      </c>
      <c r="FN3303" s="5" t="s">
        <v>240</v>
      </c>
      <c r="FO3303" s="5" t="s">
        <v>240</v>
      </c>
      <c r="FP3303" s="5" t="s">
        <v>240</v>
      </c>
      <c r="FQ3303" s="5" t="s">
        <v>240</v>
      </c>
      <c r="FR3303" s="5" t="s">
        <v>240</v>
      </c>
      <c r="FS3303" s="5" t="s">
        <v>240</v>
      </c>
      <c r="FT3303" s="5" t="s">
        <v>240</v>
      </c>
      <c r="FU3303" s="5" t="s">
        <v>240</v>
      </c>
      <c r="FV3303" s="5" t="s">
        <v>240</v>
      </c>
      <c r="FW3303" s="5" t="s">
        <v>240</v>
      </c>
      <c r="FX3303" s="5" t="s">
        <v>240</v>
      </c>
      <c r="FY3303" s="5" t="s">
        <v>240</v>
      </c>
      <c r="FZ3303" s="5" t="s">
        <v>240</v>
      </c>
      <c r="GA3303" s="5" t="s">
        <v>240</v>
      </c>
      <c r="GB3303" s="5" t="s">
        <v>240</v>
      </c>
      <c r="GC3303" s="5" t="s">
        <v>240</v>
      </c>
      <c r="GD3303" s="5" t="s">
        <v>240</v>
      </c>
      <c r="GE3303" s="5" t="s">
        <v>240</v>
      </c>
      <c r="GF3303" s="5" t="s">
        <v>240</v>
      </c>
      <c r="GG3303" s="5" t="s">
        <v>240</v>
      </c>
      <c r="GH3303" s="5" t="s">
        <v>240</v>
      </c>
      <c r="GI3303" s="5" t="s">
        <v>240</v>
      </c>
      <c r="GJ3303" s="5" t="s">
        <v>240</v>
      </c>
      <c r="GK3303" s="5" t="s">
        <v>240</v>
      </c>
      <c r="GL3303" s="5" t="s">
        <v>240</v>
      </c>
      <c r="GM3303" s="5" t="s">
        <v>240</v>
      </c>
      <c r="GN3303" s="5" t="s">
        <v>240</v>
      </c>
      <c r="GO3303" s="5" t="s">
        <v>240</v>
      </c>
      <c r="GP3303" s="5" t="s">
        <v>240</v>
      </c>
      <c r="GQ3303" s="5" t="s">
        <v>240</v>
      </c>
      <c r="GR3303" s="5" t="s">
        <v>240</v>
      </c>
      <c r="GS3303" s="5" t="s">
        <v>240</v>
      </c>
      <c r="GT3303" s="5" t="s">
        <v>240</v>
      </c>
      <c r="GU3303" s="5" t="s">
        <v>240</v>
      </c>
      <c r="GV3303" s="5" t="s">
        <v>240</v>
      </c>
      <c r="GW3303" s="5" t="s">
        <v>240</v>
      </c>
      <c r="GX3303" s="5" t="s">
        <v>240</v>
      </c>
      <c r="GY3303" s="5" t="s">
        <v>240</v>
      </c>
      <c r="GZ3303" s="5" t="s">
        <v>240</v>
      </c>
      <c r="HA3303" s="5" t="s">
        <v>240</v>
      </c>
      <c r="HB3303" s="5" t="s">
        <v>240</v>
      </c>
      <c r="HC3303" s="5" t="s">
        <v>240</v>
      </c>
      <c r="HD3303" s="5" t="s">
        <v>240</v>
      </c>
      <c r="HE3303" s="5" t="s">
        <v>240</v>
      </c>
      <c r="HF3303" s="5" t="s">
        <v>240</v>
      </c>
      <c r="HG3303" s="5" t="s">
        <v>240</v>
      </c>
      <c r="HH3303" s="5" t="s">
        <v>240</v>
      </c>
      <c r="HI3303" s="5" t="s">
        <v>240</v>
      </c>
      <c r="HJ3303" s="5" t="s">
        <v>240</v>
      </c>
      <c r="HK3303" s="5" t="s">
        <v>240</v>
      </c>
      <c r="HL3303" s="5" t="s">
        <v>240</v>
      </c>
      <c r="HM3303" s="5" t="s">
        <v>240</v>
      </c>
      <c r="HN3303" s="5" t="s">
        <v>240</v>
      </c>
      <c r="HO3303" s="5" t="s">
        <v>312</v>
      </c>
      <c r="HP3303" s="5" t="s">
        <v>240</v>
      </c>
      <c r="HQ3303" s="5" t="s">
        <v>240</v>
      </c>
      <c r="HR3303" s="5" t="s">
        <v>240</v>
      </c>
      <c r="HS3303" s="5" t="s">
        <v>240</v>
      </c>
      <c r="HT3303" s="5" t="s">
        <v>240</v>
      </c>
      <c r="HU3303" s="5" t="s">
        <v>240</v>
      </c>
      <c r="HV3303" s="5" t="s">
        <v>240</v>
      </c>
      <c r="HW3303" s="5" t="s">
        <v>240</v>
      </c>
      <c r="HX3303" s="5" t="s">
        <v>240</v>
      </c>
      <c r="HY3303" s="5" t="s">
        <v>240</v>
      </c>
      <c r="HZ3303" s="5" t="s">
        <v>240</v>
      </c>
      <c r="IA3303" s="5" t="s">
        <v>240</v>
      </c>
      <c r="IB3303" s="5" t="s">
        <v>240</v>
      </c>
      <c r="IC3303" s="5" t="s">
        <v>240</v>
      </c>
      <c r="ID3303" s="5" t="s">
        <v>240</v>
      </c>
      <c r="IE3303" s="5" t="s">
        <v>240</v>
      </c>
      <c r="IF3303" s="5" t="s">
        <v>240</v>
      </c>
    </row>
    <row r="3304" spans="1:240" x14ac:dyDescent="0.4">
      <c r="A3304" s="5">
        <v>8846</v>
      </c>
      <c r="B3304" s="5">
        <v>1</v>
      </c>
      <c r="C3304" s="5">
        <v>1</v>
      </c>
      <c r="D3304" s="5" t="s">
        <v>723</v>
      </c>
      <c r="E3304" s="5" t="s">
        <v>725</v>
      </c>
      <c r="F3304" s="5" t="s">
        <v>730</v>
      </c>
      <c r="G3304" s="5" t="s">
        <v>726</v>
      </c>
      <c r="H3304" s="6" t="s">
        <v>6335</v>
      </c>
      <c r="I3304" s="5" t="s">
        <v>990</v>
      </c>
      <c r="J3304" s="8">
        <f>200.9</f>
        <v>200.9</v>
      </c>
      <c r="K3304" s="5" t="s">
        <v>308</v>
      </c>
      <c r="L3304" s="7">
        <f>0</f>
        <v>0</v>
      </c>
      <c r="M3304" s="7">
        <f>0</f>
        <v>0</v>
      </c>
      <c r="N3304" s="5" t="s">
        <v>242</v>
      </c>
      <c r="O3304" s="5">
        <v>1</v>
      </c>
      <c r="P3304" s="5" t="s">
        <v>294</v>
      </c>
      <c r="Q3304" s="5" t="s">
        <v>3678</v>
      </c>
      <c r="R3304" s="5" t="s">
        <v>240</v>
      </c>
      <c r="S3304" s="5" t="s">
        <v>240</v>
      </c>
      <c r="T3304" s="5" t="s">
        <v>243</v>
      </c>
      <c r="U3304" s="5" t="s">
        <v>244</v>
      </c>
      <c r="V3304" s="5" t="s">
        <v>240</v>
      </c>
      <c r="W3304" s="5" t="s">
        <v>240</v>
      </c>
      <c r="X3304" s="5" t="s">
        <v>240</v>
      </c>
      <c r="Y3304" s="5" t="s">
        <v>240</v>
      </c>
      <c r="Z3304" s="6" t="s">
        <v>298</v>
      </c>
      <c r="AA3304" s="6" t="s">
        <v>240</v>
      </c>
      <c r="AB3304" s="6" t="s">
        <v>240</v>
      </c>
      <c r="AC3304" s="5" t="s">
        <v>240</v>
      </c>
      <c r="AD3304" s="6" t="s">
        <v>240</v>
      </c>
      <c r="AE3304" s="6" t="s">
        <v>299</v>
      </c>
      <c r="AF3304" s="5" t="s">
        <v>248</v>
      </c>
      <c r="AG3304" s="5" t="s">
        <v>249</v>
      </c>
      <c r="AH3304" s="5" t="s">
        <v>240</v>
      </c>
      <c r="AI3304" s="5" t="s">
        <v>240</v>
      </c>
      <c r="AJ3304" s="5" t="s">
        <v>240</v>
      </c>
      <c r="AK3304" s="5" t="s">
        <v>240</v>
      </c>
      <c r="AL3304" s="5" t="s">
        <v>240</v>
      </c>
      <c r="AM3304" s="5" t="s">
        <v>240</v>
      </c>
      <c r="AN3304" s="5" t="s">
        <v>240</v>
      </c>
      <c r="AO3304" s="5" t="s">
        <v>240</v>
      </c>
      <c r="AP3304" s="6" t="s">
        <v>240</v>
      </c>
      <c r="AQ3304" s="6" t="s">
        <v>240</v>
      </c>
      <c r="AR3304" s="6" t="s">
        <v>240</v>
      </c>
      <c r="AS3304" s="6" t="s">
        <v>240</v>
      </c>
      <c r="AT3304" s="5" t="s">
        <v>240</v>
      </c>
      <c r="AU3304" s="5" t="s">
        <v>729</v>
      </c>
      <c r="AV3304" s="5" t="s">
        <v>729</v>
      </c>
      <c r="AW3304" s="5" t="s">
        <v>251</v>
      </c>
      <c r="AX3304" s="5" t="s">
        <v>252</v>
      </c>
      <c r="AY3304" s="5" t="s">
        <v>253</v>
      </c>
      <c r="AZ3304" s="5" t="s">
        <v>240</v>
      </c>
      <c r="BA3304" s="5" t="s">
        <v>255</v>
      </c>
      <c r="BB3304" s="5" t="s">
        <v>731</v>
      </c>
      <c r="BD3304" s="5" t="s">
        <v>240</v>
      </c>
      <c r="BF3304" s="5" t="s">
        <v>732</v>
      </c>
      <c r="BG3304" s="6" t="s">
        <v>733</v>
      </c>
      <c r="BH3304" s="5" t="s">
        <v>734</v>
      </c>
      <c r="BI3304" s="5" t="s">
        <v>734</v>
      </c>
      <c r="BJ3304" s="5" t="s">
        <v>240</v>
      </c>
      <c r="BK3304" s="7">
        <f>1</f>
        <v>1</v>
      </c>
      <c r="BL3304" s="7">
        <f>1</f>
        <v>1</v>
      </c>
      <c r="BM3304" s="5" t="s">
        <v>258</v>
      </c>
      <c r="BN3304" s="5" t="s">
        <v>259</v>
      </c>
      <c r="BO3304" s="5" t="s">
        <v>240</v>
      </c>
      <c r="BP3304" s="5" t="s">
        <v>240</v>
      </c>
      <c r="BQ3304" s="5" t="s">
        <v>240</v>
      </c>
      <c r="BR3304" s="5" t="s">
        <v>240</v>
      </c>
      <c r="BS3304" s="5" t="s">
        <v>240</v>
      </c>
      <c r="BT3304" s="5" t="s">
        <v>240</v>
      </c>
      <c r="BU3304" s="5" t="s">
        <v>240</v>
      </c>
      <c r="BV3304" s="5" t="s">
        <v>240</v>
      </c>
      <c r="BW3304" s="6" t="s">
        <v>240</v>
      </c>
      <c r="BX3304" s="5" t="s">
        <v>240</v>
      </c>
      <c r="BY3304" s="5" t="s">
        <v>240</v>
      </c>
      <c r="BZ3304" s="5" t="s">
        <v>240</v>
      </c>
      <c r="CA3304" s="5" t="s">
        <v>259</v>
      </c>
      <c r="CB3304" s="5" t="s">
        <v>240</v>
      </c>
      <c r="CC3304" s="5" t="s">
        <v>240</v>
      </c>
      <c r="CD3304" s="5" t="s">
        <v>240</v>
      </c>
      <c r="CE3304" s="5" t="s">
        <v>240</v>
      </c>
      <c r="CF3304" s="5" t="s">
        <v>240</v>
      </c>
      <c r="CG3304" s="5" t="s">
        <v>304</v>
      </c>
      <c r="CH3304" s="5" t="s">
        <v>305</v>
      </c>
      <c r="CI3304" s="5" t="s">
        <v>240</v>
      </c>
      <c r="CK3304" s="5" t="s">
        <v>3681</v>
      </c>
      <c r="CL3304" s="6" t="s">
        <v>261</v>
      </c>
      <c r="CM3304" s="5" t="s">
        <v>262</v>
      </c>
      <c r="CN3304" s="5" t="s">
        <v>263</v>
      </c>
      <c r="CO3304" s="5" t="s">
        <v>264</v>
      </c>
      <c r="CP3304" s="5" t="s">
        <v>240</v>
      </c>
      <c r="CQ3304" s="5">
        <v>0</v>
      </c>
      <c r="CR3304" s="5" t="s">
        <v>735</v>
      </c>
      <c r="CS3304" s="5" t="s">
        <v>307</v>
      </c>
      <c r="CT3304" s="5" t="s">
        <v>307</v>
      </c>
      <c r="CU3304" s="5" t="s">
        <v>260</v>
      </c>
      <c r="CV3304" s="5" t="s">
        <v>612</v>
      </c>
      <c r="CW3304" s="8">
        <f>1</f>
        <v>1</v>
      </c>
      <c r="CX3304" s="7">
        <f>1</f>
        <v>1</v>
      </c>
      <c r="CY3304" s="7">
        <f>0</f>
        <v>0</v>
      </c>
      <c r="DA3304" s="7">
        <f>1</f>
        <v>1</v>
      </c>
      <c r="DB3304" s="7" t="s">
        <v>240</v>
      </c>
      <c r="DC3304" s="5" t="s">
        <v>240</v>
      </c>
      <c r="DD3304" s="5" t="s">
        <v>240</v>
      </c>
      <c r="DE3304" s="5" t="s">
        <v>240</v>
      </c>
      <c r="DF3304" s="5" t="s">
        <v>240</v>
      </c>
      <c r="DG3304" s="7">
        <f>0</f>
        <v>0</v>
      </c>
      <c r="DI3304" s="5" t="s">
        <v>240</v>
      </c>
      <c r="DJ3304" s="5" t="s">
        <v>240</v>
      </c>
      <c r="DK3304" s="5" t="s">
        <v>240</v>
      </c>
      <c r="DL3304" s="5" t="s">
        <v>240</v>
      </c>
      <c r="DM3304" s="5" t="s">
        <v>240</v>
      </c>
      <c r="DN3304" s="5" t="s">
        <v>240</v>
      </c>
      <c r="DO3304" s="7" t="s">
        <v>240</v>
      </c>
      <c r="DP3304" s="5" t="s">
        <v>240</v>
      </c>
      <c r="DQ3304" s="5" t="s">
        <v>240</v>
      </c>
      <c r="DR3304" s="5" t="s">
        <v>731</v>
      </c>
      <c r="DS3304" s="5" t="s">
        <v>731</v>
      </c>
      <c r="DT3304" s="5" t="s">
        <v>240</v>
      </c>
      <c r="DU3304" s="5" t="s">
        <v>240</v>
      </c>
      <c r="DV3304" s="5" t="s">
        <v>3683</v>
      </c>
      <c r="DW3304" s="5" t="s">
        <v>406</v>
      </c>
      <c r="DX3304" s="5" t="s">
        <v>240</v>
      </c>
      <c r="DY3304" s="5" t="s">
        <v>240</v>
      </c>
      <c r="DZ3304" s="5" t="s">
        <v>240</v>
      </c>
      <c r="EA3304" s="5" t="s">
        <v>240</v>
      </c>
      <c r="EB3304" s="5" t="s">
        <v>240</v>
      </c>
      <c r="EC3304" s="5" t="s">
        <v>240</v>
      </c>
      <c r="ED3304" s="5" t="s">
        <v>240</v>
      </c>
      <c r="EE3304" s="5" t="s">
        <v>240</v>
      </c>
      <c r="EF3304" s="5" t="s">
        <v>240</v>
      </c>
      <c r="EG3304" s="5" t="s">
        <v>240</v>
      </c>
      <c r="EH3304" s="5" t="s">
        <v>240</v>
      </c>
      <c r="EI3304" s="5" t="s">
        <v>240</v>
      </c>
      <c r="EJ3304" s="5" t="s">
        <v>240</v>
      </c>
      <c r="EK3304" s="5" t="s">
        <v>240</v>
      </c>
      <c r="EL3304" s="5" t="s">
        <v>240</v>
      </c>
      <c r="EM3304" s="5" t="s">
        <v>240</v>
      </c>
      <c r="EN3304" s="5" t="s">
        <v>240</v>
      </c>
      <c r="EO3304" s="5" t="s">
        <v>240</v>
      </c>
      <c r="EP3304" s="5" t="s">
        <v>240</v>
      </c>
      <c r="EQ3304" s="5" t="s">
        <v>240</v>
      </c>
      <c r="ER3304" s="5" t="s">
        <v>240</v>
      </c>
      <c r="ES3304" s="5" t="s">
        <v>240</v>
      </c>
      <c r="ET3304" s="5" t="s">
        <v>240</v>
      </c>
      <c r="EU3304" s="5" t="s">
        <v>240</v>
      </c>
      <c r="EV3304" s="5" t="s">
        <v>240</v>
      </c>
      <c r="EW3304" s="5" t="s">
        <v>240</v>
      </c>
      <c r="EX3304" s="5" t="s">
        <v>240</v>
      </c>
      <c r="EY3304" s="5" t="s">
        <v>240</v>
      </c>
      <c r="EZ3304" s="5" t="s">
        <v>240</v>
      </c>
      <c r="FA3304" s="5" t="s">
        <v>240</v>
      </c>
      <c r="FB3304" s="5" t="s">
        <v>240</v>
      </c>
      <c r="FC3304" s="5" t="s">
        <v>240</v>
      </c>
      <c r="FD3304" s="5" t="s">
        <v>240</v>
      </c>
      <c r="FE3304" s="5" t="s">
        <v>240</v>
      </c>
      <c r="FF3304" s="5" t="s">
        <v>240</v>
      </c>
      <c r="FG3304" s="5" t="s">
        <v>240</v>
      </c>
      <c r="FH3304" s="5" t="s">
        <v>240</v>
      </c>
      <c r="FI3304" s="5" t="s">
        <v>240</v>
      </c>
      <c r="FJ3304" s="5" t="s">
        <v>240</v>
      </c>
      <c r="FK3304" s="5" t="s">
        <v>240</v>
      </c>
      <c r="FL3304" s="5" t="s">
        <v>240</v>
      </c>
      <c r="FM3304" s="5" t="s">
        <v>240</v>
      </c>
      <c r="FN3304" s="5" t="s">
        <v>240</v>
      </c>
      <c r="FO3304" s="5" t="s">
        <v>240</v>
      </c>
      <c r="FP3304" s="5" t="s">
        <v>240</v>
      </c>
      <c r="FQ3304" s="5" t="s">
        <v>240</v>
      </c>
      <c r="FR3304" s="5" t="s">
        <v>240</v>
      </c>
      <c r="FS3304" s="5" t="s">
        <v>240</v>
      </c>
      <c r="FT3304" s="5" t="s">
        <v>240</v>
      </c>
      <c r="FU3304" s="5" t="s">
        <v>240</v>
      </c>
      <c r="FV3304" s="5" t="s">
        <v>240</v>
      </c>
      <c r="FW3304" s="5" t="s">
        <v>240</v>
      </c>
      <c r="FX3304" s="5" t="s">
        <v>240</v>
      </c>
      <c r="FY3304" s="5" t="s">
        <v>240</v>
      </c>
      <c r="FZ3304" s="5" t="s">
        <v>240</v>
      </c>
      <c r="GA3304" s="5" t="s">
        <v>240</v>
      </c>
      <c r="GB3304" s="5" t="s">
        <v>240</v>
      </c>
      <c r="GC3304" s="5" t="s">
        <v>240</v>
      </c>
      <c r="GD3304" s="5" t="s">
        <v>240</v>
      </c>
      <c r="GE3304" s="5" t="s">
        <v>240</v>
      </c>
      <c r="GF3304" s="5" t="s">
        <v>240</v>
      </c>
      <c r="GG3304" s="5" t="s">
        <v>240</v>
      </c>
      <c r="GH3304" s="5" t="s">
        <v>240</v>
      </c>
      <c r="GI3304" s="5" t="s">
        <v>240</v>
      </c>
      <c r="GJ3304" s="5" t="s">
        <v>240</v>
      </c>
      <c r="GK3304" s="5" t="s">
        <v>240</v>
      </c>
      <c r="GL3304" s="5" t="s">
        <v>240</v>
      </c>
      <c r="GM3304" s="5" t="s">
        <v>240</v>
      </c>
      <c r="GN3304" s="5" t="s">
        <v>240</v>
      </c>
      <c r="GO3304" s="5" t="s">
        <v>240</v>
      </c>
      <c r="GP3304" s="5" t="s">
        <v>240</v>
      </c>
      <c r="GQ3304" s="5" t="s">
        <v>240</v>
      </c>
      <c r="GR3304" s="5" t="s">
        <v>240</v>
      </c>
      <c r="GS3304" s="5" t="s">
        <v>240</v>
      </c>
      <c r="GT3304" s="5" t="s">
        <v>240</v>
      </c>
      <c r="GU3304" s="5" t="s">
        <v>240</v>
      </c>
      <c r="GV3304" s="5" t="s">
        <v>240</v>
      </c>
      <c r="GW3304" s="5" t="s">
        <v>240</v>
      </c>
      <c r="GX3304" s="5" t="s">
        <v>240</v>
      </c>
      <c r="GY3304" s="5" t="s">
        <v>240</v>
      </c>
      <c r="GZ3304" s="5" t="s">
        <v>240</v>
      </c>
      <c r="HA3304" s="5" t="s">
        <v>240</v>
      </c>
      <c r="HB3304" s="5" t="s">
        <v>240</v>
      </c>
      <c r="HC3304" s="5" t="s">
        <v>240</v>
      </c>
      <c r="HD3304" s="5" t="s">
        <v>240</v>
      </c>
      <c r="HE3304" s="5" t="s">
        <v>240</v>
      </c>
      <c r="HF3304" s="5" t="s">
        <v>240</v>
      </c>
      <c r="HG3304" s="5" t="s">
        <v>240</v>
      </c>
      <c r="HH3304" s="5" t="s">
        <v>240</v>
      </c>
      <c r="HI3304" s="5" t="s">
        <v>240</v>
      </c>
      <c r="HJ3304" s="5" t="s">
        <v>240</v>
      </c>
      <c r="HK3304" s="5" t="s">
        <v>240</v>
      </c>
      <c r="HL3304" s="5" t="s">
        <v>240</v>
      </c>
      <c r="HM3304" s="5" t="s">
        <v>240</v>
      </c>
      <c r="HN3304" s="5" t="s">
        <v>240</v>
      </c>
      <c r="HO3304" s="5" t="s">
        <v>312</v>
      </c>
      <c r="HP3304" s="5" t="s">
        <v>240</v>
      </c>
      <c r="HQ3304" s="5" t="s">
        <v>240</v>
      </c>
      <c r="HR3304" s="5" t="s">
        <v>240</v>
      </c>
      <c r="HS3304" s="5" t="s">
        <v>240</v>
      </c>
      <c r="HT3304" s="5" t="s">
        <v>240</v>
      </c>
      <c r="HU3304" s="5" t="s">
        <v>240</v>
      </c>
      <c r="HV3304" s="5" t="s">
        <v>240</v>
      </c>
      <c r="HW3304" s="5" t="s">
        <v>240</v>
      </c>
      <c r="HX3304" s="5" t="s">
        <v>240</v>
      </c>
      <c r="HY3304" s="5" t="s">
        <v>240</v>
      </c>
      <c r="HZ3304" s="5" t="s">
        <v>240</v>
      </c>
      <c r="IA3304" s="5" t="s">
        <v>240</v>
      </c>
      <c r="IB3304" s="5" t="s">
        <v>240</v>
      </c>
      <c r="IC3304" s="5" t="s">
        <v>240</v>
      </c>
      <c r="ID3304" s="5" t="s">
        <v>240</v>
      </c>
      <c r="IE3304" s="5" t="s">
        <v>240</v>
      </c>
      <c r="IF3304" s="5" t="s">
        <v>240</v>
      </c>
    </row>
    <row r="3305" spans="1:240" x14ac:dyDescent="0.4">
      <c r="A3305" s="5">
        <v>8847</v>
      </c>
      <c r="B3305" s="5">
        <v>1</v>
      </c>
      <c r="C3305" s="5">
        <v>1</v>
      </c>
      <c r="D3305" s="5" t="s">
        <v>723</v>
      </c>
      <c r="E3305" s="5" t="s">
        <v>725</v>
      </c>
      <c r="F3305" s="5" t="s">
        <v>730</v>
      </c>
      <c r="G3305" s="5" t="s">
        <v>726</v>
      </c>
      <c r="H3305" s="6" t="s">
        <v>6589</v>
      </c>
      <c r="I3305" s="5" t="s">
        <v>990</v>
      </c>
      <c r="J3305" s="8">
        <f>1026</f>
        <v>1026</v>
      </c>
      <c r="K3305" s="5" t="s">
        <v>308</v>
      </c>
      <c r="L3305" s="7">
        <f>0</f>
        <v>0</v>
      </c>
      <c r="M3305" s="7">
        <f>0</f>
        <v>0</v>
      </c>
      <c r="N3305" s="5" t="s">
        <v>242</v>
      </c>
      <c r="O3305" s="5">
        <v>1</v>
      </c>
      <c r="P3305" s="5" t="s">
        <v>294</v>
      </c>
      <c r="Q3305" s="5" t="s">
        <v>3678</v>
      </c>
      <c r="R3305" s="5" t="s">
        <v>240</v>
      </c>
      <c r="S3305" s="5" t="s">
        <v>240</v>
      </c>
      <c r="T3305" s="5" t="s">
        <v>243</v>
      </c>
      <c r="U3305" s="5" t="s">
        <v>244</v>
      </c>
      <c r="V3305" s="5" t="s">
        <v>240</v>
      </c>
      <c r="W3305" s="5" t="s">
        <v>240</v>
      </c>
      <c r="X3305" s="5" t="s">
        <v>240</v>
      </c>
      <c r="Y3305" s="5" t="s">
        <v>240</v>
      </c>
      <c r="Z3305" s="6" t="s">
        <v>298</v>
      </c>
      <c r="AA3305" s="6" t="s">
        <v>240</v>
      </c>
      <c r="AB3305" s="6" t="s">
        <v>240</v>
      </c>
      <c r="AC3305" s="5" t="s">
        <v>240</v>
      </c>
      <c r="AD3305" s="6" t="s">
        <v>240</v>
      </c>
      <c r="AE3305" s="6" t="s">
        <v>299</v>
      </c>
      <c r="AF3305" s="5" t="s">
        <v>248</v>
      </c>
      <c r="AG3305" s="5" t="s">
        <v>249</v>
      </c>
      <c r="AH3305" s="5" t="s">
        <v>240</v>
      </c>
      <c r="AI3305" s="5" t="s">
        <v>240</v>
      </c>
      <c r="AJ3305" s="5" t="s">
        <v>240</v>
      </c>
      <c r="AK3305" s="5" t="s">
        <v>240</v>
      </c>
      <c r="AL3305" s="5" t="s">
        <v>240</v>
      </c>
      <c r="AM3305" s="5" t="s">
        <v>240</v>
      </c>
      <c r="AN3305" s="5" t="s">
        <v>240</v>
      </c>
      <c r="AO3305" s="5" t="s">
        <v>240</v>
      </c>
      <c r="AP3305" s="6" t="s">
        <v>240</v>
      </c>
      <c r="AQ3305" s="6" t="s">
        <v>240</v>
      </c>
      <c r="AR3305" s="6" t="s">
        <v>240</v>
      </c>
      <c r="AS3305" s="6" t="s">
        <v>240</v>
      </c>
      <c r="AT3305" s="5" t="s">
        <v>240</v>
      </c>
      <c r="AU3305" s="5" t="s">
        <v>729</v>
      </c>
      <c r="AV3305" s="5" t="s">
        <v>729</v>
      </c>
      <c r="AW3305" s="5" t="s">
        <v>251</v>
      </c>
      <c r="AX3305" s="5" t="s">
        <v>252</v>
      </c>
      <c r="AY3305" s="5" t="s">
        <v>253</v>
      </c>
      <c r="AZ3305" s="5" t="s">
        <v>240</v>
      </c>
      <c r="BA3305" s="5" t="s">
        <v>255</v>
      </c>
      <c r="BB3305" s="5" t="s">
        <v>731</v>
      </c>
      <c r="BD3305" s="5" t="s">
        <v>240</v>
      </c>
      <c r="BF3305" s="5" t="s">
        <v>732</v>
      </c>
      <c r="BG3305" s="6" t="s">
        <v>733</v>
      </c>
      <c r="BH3305" s="5" t="s">
        <v>734</v>
      </c>
      <c r="BI3305" s="5" t="s">
        <v>734</v>
      </c>
      <c r="BJ3305" s="5" t="s">
        <v>240</v>
      </c>
      <c r="BK3305" s="7">
        <f>1</f>
        <v>1</v>
      </c>
      <c r="BL3305" s="7">
        <f>1</f>
        <v>1</v>
      </c>
      <c r="BM3305" s="5" t="s">
        <v>258</v>
      </c>
      <c r="BN3305" s="5" t="s">
        <v>259</v>
      </c>
      <c r="BO3305" s="5" t="s">
        <v>240</v>
      </c>
      <c r="BP3305" s="5" t="s">
        <v>240</v>
      </c>
      <c r="BQ3305" s="5" t="s">
        <v>240</v>
      </c>
      <c r="BR3305" s="5" t="s">
        <v>240</v>
      </c>
      <c r="BS3305" s="5" t="s">
        <v>240</v>
      </c>
      <c r="BT3305" s="5" t="s">
        <v>240</v>
      </c>
      <c r="BU3305" s="5" t="s">
        <v>240</v>
      </c>
      <c r="BV3305" s="5" t="s">
        <v>240</v>
      </c>
      <c r="BW3305" s="6" t="s">
        <v>240</v>
      </c>
      <c r="BX3305" s="5" t="s">
        <v>240</v>
      </c>
      <c r="BY3305" s="5" t="s">
        <v>240</v>
      </c>
      <c r="BZ3305" s="5" t="s">
        <v>240</v>
      </c>
      <c r="CA3305" s="5" t="s">
        <v>259</v>
      </c>
      <c r="CB3305" s="5" t="s">
        <v>240</v>
      </c>
      <c r="CC3305" s="5" t="s">
        <v>240</v>
      </c>
      <c r="CD3305" s="5" t="s">
        <v>240</v>
      </c>
      <c r="CE3305" s="5" t="s">
        <v>240</v>
      </c>
      <c r="CF3305" s="5" t="s">
        <v>240</v>
      </c>
      <c r="CG3305" s="5" t="s">
        <v>304</v>
      </c>
      <c r="CH3305" s="5" t="s">
        <v>305</v>
      </c>
      <c r="CI3305" s="5" t="s">
        <v>240</v>
      </c>
      <c r="CK3305" s="5" t="s">
        <v>3681</v>
      </c>
      <c r="CL3305" s="6" t="s">
        <v>261</v>
      </c>
      <c r="CM3305" s="5" t="s">
        <v>262</v>
      </c>
      <c r="CN3305" s="5" t="s">
        <v>263</v>
      </c>
      <c r="CO3305" s="5" t="s">
        <v>264</v>
      </c>
      <c r="CP3305" s="5" t="s">
        <v>240</v>
      </c>
      <c r="CQ3305" s="5">
        <v>0</v>
      </c>
      <c r="CR3305" s="5" t="s">
        <v>735</v>
      </c>
      <c r="CS3305" s="5" t="s">
        <v>307</v>
      </c>
      <c r="CT3305" s="5" t="s">
        <v>307</v>
      </c>
      <c r="CU3305" s="5" t="s">
        <v>260</v>
      </c>
      <c r="CV3305" s="5" t="s">
        <v>612</v>
      </c>
      <c r="CW3305" s="8">
        <f>1</f>
        <v>1</v>
      </c>
      <c r="CX3305" s="7">
        <f>1</f>
        <v>1</v>
      </c>
      <c r="CY3305" s="7">
        <f>0</f>
        <v>0</v>
      </c>
      <c r="DA3305" s="7">
        <f>1</f>
        <v>1</v>
      </c>
      <c r="DB3305" s="7" t="s">
        <v>240</v>
      </c>
      <c r="DC3305" s="5" t="s">
        <v>240</v>
      </c>
      <c r="DD3305" s="5" t="s">
        <v>240</v>
      </c>
      <c r="DE3305" s="5" t="s">
        <v>240</v>
      </c>
      <c r="DF3305" s="5" t="s">
        <v>240</v>
      </c>
      <c r="DG3305" s="7">
        <f>0</f>
        <v>0</v>
      </c>
      <c r="DI3305" s="5" t="s">
        <v>240</v>
      </c>
      <c r="DJ3305" s="5" t="s">
        <v>240</v>
      </c>
      <c r="DK3305" s="5" t="s">
        <v>240</v>
      </c>
      <c r="DL3305" s="5" t="s">
        <v>240</v>
      </c>
      <c r="DM3305" s="5" t="s">
        <v>240</v>
      </c>
      <c r="DN3305" s="5" t="s">
        <v>240</v>
      </c>
      <c r="DO3305" s="7" t="s">
        <v>240</v>
      </c>
      <c r="DP3305" s="5" t="s">
        <v>240</v>
      </c>
      <c r="DQ3305" s="5" t="s">
        <v>240</v>
      </c>
      <c r="DR3305" s="5" t="s">
        <v>731</v>
      </c>
      <c r="DS3305" s="5" t="s">
        <v>731</v>
      </c>
      <c r="DT3305" s="5" t="s">
        <v>240</v>
      </c>
      <c r="DU3305" s="5" t="s">
        <v>240</v>
      </c>
      <c r="DV3305" s="5" t="s">
        <v>3683</v>
      </c>
      <c r="DW3305" s="5" t="s">
        <v>1192</v>
      </c>
      <c r="DX3305" s="5" t="s">
        <v>240</v>
      </c>
      <c r="DY3305" s="5" t="s">
        <v>240</v>
      </c>
      <c r="DZ3305" s="5" t="s">
        <v>240</v>
      </c>
      <c r="EA3305" s="5" t="s">
        <v>240</v>
      </c>
      <c r="EB3305" s="5" t="s">
        <v>240</v>
      </c>
      <c r="EC3305" s="5" t="s">
        <v>240</v>
      </c>
      <c r="ED3305" s="5" t="s">
        <v>240</v>
      </c>
      <c r="EE3305" s="5" t="s">
        <v>240</v>
      </c>
      <c r="EF3305" s="5" t="s">
        <v>240</v>
      </c>
      <c r="EG3305" s="5" t="s">
        <v>240</v>
      </c>
      <c r="EH3305" s="5" t="s">
        <v>240</v>
      </c>
      <c r="EI3305" s="5" t="s">
        <v>240</v>
      </c>
      <c r="EJ3305" s="5" t="s">
        <v>240</v>
      </c>
      <c r="EK3305" s="5" t="s">
        <v>240</v>
      </c>
      <c r="EL3305" s="5" t="s">
        <v>240</v>
      </c>
      <c r="EM3305" s="5" t="s">
        <v>240</v>
      </c>
      <c r="EN3305" s="5" t="s">
        <v>240</v>
      </c>
      <c r="EO3305" s="5" t="s">
        <v>240</v>
      </c>
      <c r="EP3305" s="5" t="s">
        <v>240</v>
      </c>
      <c r="EQ3305" s="5" t="s">
        <v>240</v>
      </c>
      <c r="ER3305" s="5" t="s">
        <v>240</v>
      </c>
      <c r="ES3305" s="5" t="s">
        <v>240</v>
      </c>
      <c r="ET3305" s="5" t="s">
        <v>240</v>
      </c>
      <c r="EU3305" s="5" t="s">
        <v>240</v>
      </c>
      <c r="EV3305" s="5" t="s">
        <v>240</v>
      </c>
      <c r="EW3305" s="5" t="s">
        <v>240</v>
      </c>
      <c r="EX3305" s="5" t="s">
        <v>240</v>
      </c>
      <c r="EY3305" s="5" t="s">
        <v>240</v>
      </c>
      <c r="EZ3305" s="5" t="s">
        <v>240</v>
      </c>
      <c r="FA3305" s="5" t="s">
        <v>240</v>
      </c>
      <c r="FB3305" s="5" t="s">
        <v>240</v>
      </c>
      <c r="FC3305" s="5" t="s">
        <v>240</v>
      </c>
      <c r="FD3305" s="5" t="s">
        <v>240</v>
      </c>
      <c r="FE3305" s="5" t="s">
        <v>240</v>
      </c>
      <c r="FF3305" s="5" t="s">
        <v>240</v>
      </c>
      <c r="FG3305" s="5" t="s">
        <v>240</v>
      </c>
      <c r="FH3305" s="5" t="s">
        <v>240</v>
      </c>
      <c r="FI3305" s="5" t="s">
        <v>240</v>
      </c>
      <c r="FJ3305" s="5" t="s">
        <v>240</v>
      </c>
      <c r="FK3305" s="5" t="s">
        <v>240</v>
      </c>
      <c r="FL3305" s="5" t="s">
        <v>240</v>
      </c>
      <c r="FM3305" s="5" t="s">
        <v>240</v>
      </c>
      <c r="FN3305" s="5" t="s">
        <v>240</v>
      </c>
      <c r="FO3305" s="5" t="s">
        <v>240</v>
      </c>
      <c r="FP3305" s="5" t="s">
        <v>240</v>
      </c>
      <c r="FQ3305" s="5" t="s">
        <v>240</v>
      </c>
      <c r="FR3305" s="5" t="s">
        <v>240</v>
      </c>
      <c r="FS3305" s="5" t="s">
        <v>240</v>
      </c>
      <c r="FT3305" s="5" t="s">
        <v>240</v>
      </c>
      <c r="FU3305" s="5" t="s">
        <v>240</v>
      </c>
      <c r="FV3305" s="5" t="s">
        <v>240</v>
      </c>
      <c r="FW3305" s="5" t="s">
        <v>240</v>
      </c>
      <c r="FX3305" s="5" t="s">
        <v>240</v>
      </c>
      <c r="FY3305" s="5" t="s">
        <v>240</v>
      </c>
      <c r="FZ3305" s="5" t="s">
        <v>240</v>
      </c>
      <c r="GA3305" s="5" t="s">
        <v>240</v>
      </c>
      <c r="GB3305" s="5" t="s">
        <v>240</v>
      </c>
      <c r="GC3305" s="5" t="s">
        <v>240</v>
      </c>
      <c r="GD3305" s="5" t="s">
        <v>240</v>
      </c>
      <c r="GE3305" s="5" t="s">
        <v>240</v>
      </c>
      <c r="GF3305" s="5" t="s">
        <v>240</v>
      </c>
      <c r="GG3305" s="5" t="s">
        <v>240</v>
      </c>
      <c r="GH3305" s="5" t="s">
        <v>240</v>
      </c>
      <c r="GI3305" s="5" t="s">
        <v>240</v>
      </c>
      <c r="GJ3305" s="5" t="s">
        <v>240</v>
      </c>
      <c r="GK3305" s="5" t="s">
        <v>240</v>
      </c>
      <c r="GL3305" s="5" t="s">
        <v>240</v>
      </c>
      <c r="GM3305" s="5" t="s">
        <v>240</v>
      </c>
      <c r="GN3305" s="5" t="s">
        <v>240</v>
      </c>
      <c r="GO3305" s="5" t="s">
        <v>240</v>
      </c>
      <c r="GP3305" s="5" t="s">
        <v>240</v>
      </c>
      <c r="GQ3305" s="5" t="s">
        <v>240</v>
      </c>
      <c r="GR3305" s="5" t="s">
        <v>240</v>
      </c>
      <c r="GS3305" s="5" t="s">
        <v>240</v>
      </c>
      <c r="GT3305" s="5" t="s">
        <v>240</v>
      </c>
      <c r="GU3305" s="5" t="s">
        <v>240</v>
      </c>
      <c r="GV3305" s="5" t="s">
        <v>240</v>
      </c>
      <c r="GW3305" s="5" t="s">
        <v>240</v>
      </c>
      <c r="GX3305" s="5" t="s">
        <v>240</v>
      </c>
      <c r="GY3305" s="5" t="s">
        <v>240</v>
      </c>
      <c r="GZ3305" s="5" t="s">
        <v>240</v>
      </c>
      <c r="HA3305" s="5" t="s">
        <v>240</v>
      </c>
      <c r="HB3305" s="5" t="s">
        <v>240</v>
      </c>
      <c r="HC3305" s="5" t="s">
        <v>240</v>
      </c>
      <c r="HD3305" s="5" t="s">
        <v>240</v>
      </c>
      <c r="HE3305" s="5" t="s">
        <v>240</v>
      </c>
      <c r="HF3305" s="5" t="s">
        <v>240</v>
      </c>
      <c r="HG3305" s="5" t="s">
        <v>240</v>
      </c>
      <c r="HH3305" s="5" t="s">
        <v>240</v>
      </c>
      <c r="HI3305" s="5" t="s">
        <v>240</v>
      </c>
      <c r="HJ3305" s="5" t="s">
        <v>240</v>
      </c>
      <c r="HK3305" s="5" t="s">
        <v>240</v>
      </c>
      <c r="HL3305" s="5" t="s">
        <v>240</v>
      </c>
      <c r="HM3305" s="5" t="s">
        <v>240</v>
      </c>
      <c r="HN3305" s="5" t="s">
        <v>240</v>
      </c>
      <c r="HO3305" s="5" t="s">
        <v>312</v>
      </c>
      <c r="HP3305" s="5" t="s">
        <v>240</v>
      </c>
      <c r="HQ3305" s="5" t="s">
        <v>240</v>
      </c>
      <c r="HR3305" s="5" t="s">
        <v>240</v>
      </c>
      <c r="HS3305" s="5" t="s">
        <v>240</v>
      </c>
      <c r="HT3305" s="5" t="s">
        <v>240</v>
      </c>
      <c r="HU3305" s="5" t="s">
        <v>240</v>
      </c>
      <c r="HV3305" s="5" t="s">
        <v>240</v>
      </c>
      <c r="HW3305" s="5" t="s">
        <v>240</v>
      </c>
      <c r="HX3305" s="5" t="s">
        <v>240</v>
      </c>
      <c r="HY3305" s="5" t="s">
        <v>240</v>
      </c>
      <c r="HZ3305" s="5" t="s">
        <v>240</v>
      </c>
      <c r="IA3305" s="5" t="s">
        <v>240</v>
      </c>
      <c r="IB3305" s="5" t="s">
        <v>240</v>
      </c>
      <c r="IC3305" s="5" t="s">
        <v>240</v>
      </c>
      <c r="ID3305" s="5" t="s">
        <v>240</v>
      </c>
      <c r="IE3305" s="5" t="s">
        <v>240</v>
      </c>
      <c r="IF3305" s="5" t="s">
        <v>240</v>
      </c>
    </row>
    <row r="3306" spans="1:240" x14ac:dyDescent="0.4">
      <c r="A3306" s="5">
        <v>8848</v>
      </c>
      <c r="B3306" s="5">
        <v>1</v>
      </c>
      <c r="C3306" s="5">
        <v>1</v>
      </c>
      <c r="D3306" s="5" t="s">
        <v>723</v>
      </c>
      <c r="E3306" s="5" t="s">
        <v>725</v>
      </c>
      <c r="F3306" s="5" t="s">
        <v>730</v>
      </c>
      <c r="G3306" s="5" t="s">
        <v>726</v>
      </c>
      <c r="H3306" s="6" t="s">
        <v>6331</v>
      </c>
      <c r="I3306" s="5" t="s">
        <v>990</v>
      </c>
      <c r="J3306" s="8">
        <f>426</f>
        <v>426</v>
      </c>
      <c r="K3306" s="5" t="s">
        <v>308</v>
      </c>
      <c r="L3306" s="7">
        <f>0</f>
        <v>0</v>
      </c>
      <c r="M3306" s="7">
        <f>0</f>
        <v>0</v>
      </c>
      <c r="N3306" s="5" t="s">
        <v>242</v>
      </c>
      <c r="O3306" s="5">
        <v>1</v>
      </c>
      <c r="P3306" s="5" t="s">
        <v>294</v>
      </c>
      <c r="Q3306" s="5" t="s">
        <v>3678</v>
      </c>
      <c r="R3306" s="5" t="s">
        <v>240</v>
      </c>
      <c r="S3306" s="5" t="s">
        <v>240</v>
      </c>
      <c r="T3306" s="5" t="s">
        <v>243</v>
      </c>
      <c r="U3306" s="5" t="s">
        <v>244</v>
      </c>
      <c r="V3306" s="5" t="s">
        <v>240</v>
      </c>
      <c r="W3306" s="5" t="s">
        <v>240</v>
      </c>
      <c r="X3306" s="5" t="s">
        <v>240</v>
      </c>
      <c r="Y3306" s="5" t="s">
        <v>240</v>
      </c>
      <c r="Z3306" s="6" t="s">
        <v>298</v>
      </c>
      <c r="AA3306" s="6" t="s">
        <v>240</v>
      </c>
      <c r="AB3306" s="6" t="s">
        <v>240</v>
      </c>
      <c r="AC3306" s="5" t="s">
        <v>240</v>
      </c>
      <c r="AD3306" s="6" t="s">
        <v>240</v>
      </c>
      <c r="AE3306" s="6" t="s">
        <v>299</v>
      </c>
      <c r="AF3306" s="5" t="s">
        <v>248</v>
      </c>
      <c r="AG3306" s="5" t="s">
        <v>249</v>
      </c>
      <c r="AH3306" s="5" t="s">
        <v>240</v>
      </c>
      <c r="AI3306" s="5" t="s">
        <v>240</v>
      </c>
      <c r="AJ3306" s="5" t="s">
        <v>240</v>
      </c>
      <c r="AK3306" s="5" t="s">
        <v>240</v>
      </c>
      <c r="AL3306" s="5" t="s">
        <v>240</v>
      </c>
      <c r="AM3306" s="5" t="s">
        <v>240</v>
      </c>
      <c r="AN3306" s="5" t="s">
        <v>240</v>
      </c>
      <c r="AO3306" s="5" t="s">
        <v>240</v>
      </c>
      <c r="AP3306" s="6" t="s">
        <v>240</v>
      </c>
      <c r="AQ3306" s="6" t="s">
        <v>240</v>
      </c>
      <c r="AR3306" s="6" t="s">
        <v>240</v>
      </c>
      <c r="AS3306" s="6" t="s">
        <v>240</v>
      </c>
      <c r="AT3306" s="5" t="s">
        <v>240</v>
      </c>
      <c r="AU3306" s="5" t="s">
        <v>729</v>
      </c>
      <c r="AV3306" s="5" t="s">
        <v>729</v>
      </c>
      <c r="AW3306" s="5" t="s">
        <v>251</v>
      </c>
      <c r="AX3306" s="5" t="s">
        <v>252</v>
      </c>
      <c r="AY3306" s="5" t="s">
        <v>253</v>
      </c>
      <c r="AZ3306" s="5" t="s">
        <v>240</v>
      </c>
      <c r="BA3306" s="5" t="s">
        <v>255</v>
      </c>
      <c r="BB3306" s="5" t="s">
        <v>731</v>
      </c>
      <c r="BD3306" s="5" t="s">
        <v>240</v>
      </c>
      <c r="BF3306" s="5" t="s">
        <v>732</v>
      </c>
      <c r="BG3306" s="6" t="s">
        <v>733</v>
      </c>
      <c r="BH3306" s="5" t="s">
        <v>734</v>
      </c>
      <c r="BI3306" s="5" t="s">
        <v>734</v>
      </c>
      <c r="BJ3306" s="5" t="s">
        <v>240</v>
      </c>
      <c r="BK3306" s="7">
        <f>1</f>
        <v>1</v>
      </c>
      <c r="BL3306" s="7">
        <f>1</f>
        <v>1</v>
      </c>
      <c r="BM3306" s="5" t="s">
        <v>258</v>
      </c>
      <c r="BN3306" s="5" t="s">
        <v>259</v>
      </c>
      <c r="BO3306" s="5" t="s">
        <v>240</v>
      </c>
      <c r="BP3306" s="5" t="s">
        <v>240</v>
      </c>
      <c r="BQ3306" s="5" t="s">
        <v>240</v>
      </c>
      <c r="BR3306" s="5" t="s">
        <v>240</v>
      </c>
      <c r="BS3306" s="5" t="s">
        <v>240</v>
      </c>
      <c r="BT3306" s="5" t="s">
        <v>240</v>
      </c>
      <c r="BU3306" s="5" t="s">
        <v>240</v>
      </c>
      <c r="BV3306" s="5" t="s">
        <v>240</v>
      </c>
      <c r="BW3306" s="6" t="s">
        <v>240</v>
      </c>
      <c r="BX3306" s="5" t="s">
        <v>240</v>
      </c>
      <c r="BY3306" s="5" t="s">
        <v>240</v>
      </c>
      <c r="BZ3306" s="5" t="s">
        <v>240</v>
      </c>
      <c r="CA3306" s="5" t="s">
        <v>259</v>
      </c>
      <c r="CB3306" s="5" t="s">
        <v>240</v>
      </c>
      <c r="CC3306" s="5" t="s">
        <v>240</v>
      </c>
      <c r="CD3306" s="5" t="s">
        <v>240</v>
      </c>
      <c r="CE3306" s="5" t="s">
        <v>240</v>
      </c>
      <c r="CF3306" s="5" t="s">
        <v>240</v>
      </c>
      <c r="CG3306" s="5" t="s">
        <v>304</v>
      </c>
      <c r="CH3306" s="5" t="s">
        <v>305</v>
      </c>
      <c r="CI3306" s="5" t="s">
        <v>240</v>
      </c>
      <c r="CK3306" s="5" t="s">
        <v>3681</v>
      </c>
      <c r="CL3306" s="6" t="s">
        <v>261</v>
      </c>
      <c r="CM3306" s="5" t="s">
        <v>262</v>
      </c>
      <c r="CN3306" s="5" t="s">
        <v>263</v>
      </c>
      <c r="CO3306" s="5" t="s">
        <v>264</v>
      </c>
      <c r="CP3306" s="5" t="s">
        <v>240</v>
      </c>
      <c r="CQ3306" s="5">
        <v>0</v>
      </c>
      <c r="CR3306" s="5" t="s">
        <v>735</v>
      </c>
      <c r="CS3306" s="5" t="s">
        <v>307</v>
      </c>
      <c r="CT3306" s="5" t="s">
        <v>307</v>
      </c>
      <c r="CU3306" s="5" t="s">
        <v>260</v>
      </c>
      <c r="CV3306" s="5" t="s">
        <v>612</v>
      </c>
      <c r="CW3306" s="8">
        <f>1</f>
        <v>1</v>
      </c>
      <c r="CX3306" s="7">
        <f>1</f>
        <v>1</v>
      </c>
      <c r="CY3306" s="7">
        <f>0</f>
        <v>0</v>
      </c>
      <c r="DA3306" s="7">
        <f>1</f>
        <v>1</v>
      </c>
      <c r="DB3306" s="7" t="s">
        <v>240</v>
      </c>
      <c r="DC3306" s="5" t="s">
        <v>240</v>
      </c>
      <c r="DD3306" s="5" t="s">
        <v>240</v>
      </c>
      <c r="DE3306" s="5" t="s">
        <v>240</v>
      </c>
      <c r="DF3306" s="5" t="s">
        <v>240</v>
      </c>
      <c r="DG3306" s="7">
        <f>0</f>
        <v>0</v>
      </c>
      <c r="DI3306" s="5" t="s">
        <v>240</v>
      </c>
      <c r="DJ3306" s="5" t="s">
        <v>240</v>
      </c>
      <c r="DK3306" s="5" t="s">
        <v>240</v>
      </c>
      <c r="DL3306" s="5" t="s">
        <v>240</v>
      </c>
      <c r="DM3306" s="5" t="s">
        <v>240</v>
      </c>
      <c r="DN3306" s="5" t="s">
        <v>240</v>
      </c>
      <c r="DO3306" s="7" t="s">
        <v>240</v>
      </c>
      <c r="DP3306" s="5" t="s">
        <v>240</v>
      </c>
      <c r="DQ3306" s="5" t="s">
        <v>240</v>
      </c>
      <c r="DR3306" s="5" t="s">
        <v>731</v>
      </c>
      <c r="DS3306" s="5" t="s">
        <v>731</v>
      </c>
      <c r="DT3306" s="5" t="s">
        <v>240</v>
      </c>
      <c r="DU3306" s="5" t="s">
        <v>240</v>
      </c>
      <c r="DV3306" s="5" t="s">
        <v>3683</v>
      </c>
      <c r="DW3306" s="5" t="s">
        <v>3977</v>
      </c>
      <c r="DX3306" s="5" t="s">
        <v>240</v>
      </c>
      <c r="DY3306" s="5" t="s">
        <v>240</v>
      </c>
      <c r="DZ3306" s="5" t="s">
        <v>240</v>
      </c>
      <c r="EA3306" s="5" t="s">
        <v>240</v>
      </c>
      <c r="EB3306" s="5" t="s">
        <v>240</v>
      </c>
      <c r="EC3306" s="5" t="s">
        <v>240</v>
      </c>
      <c r="ED3306" s="5" t="s">
        <v>240</v>
      </c>
      <c r="EE3306" s="5" t="s">
        <v>240</v>
      </c>
      <c r="EF3306" s="5" t="s">
        <v>240</v>
      </c>
      <c r="EG3306" s="5" t="s">
        <v>240</v>
      </c>
      <c r="EH3306" s="5" t="s">
        <v>240</v>
      </c>
      <c r="EI3306" s="5" t="s">
        <v>240</v>
      </c>
      <c r="EJ3306" s="5" t="s">
        <v>240</v>
      </c>
      <c r="EK3306" s="5" t="s">
        <v>240</v>
      </c>
      <c r="EL3306" s="5" t="s">
        <v>240</v>
      </c>
      <c r="EM3306" s="5" t="s">
        <v>240</v>
      </c>
      <c r="EN3306" s="5" t="s">
        <v>240</v>
      </c>
      <c r="EO3306" s="5" t="s">
        <v>240</v>
      </c>
      <c r="EP3306" s="5" t="s">
        <v>240</v>
      </c>
      <c r="EQ3306" s="5" t="s">
        <v>240</v>
      </c>
      <c r="ER3306" s="5" t="s">
        <v>240</v>
      </c>
      <c r="ES3306" s="5" t="s">
        <v>240</v>
      </c>
      <c r="ET3306" s="5" t="s">
        <v>240</v>
      </c>
      <c r="EU3306" s="5" t="s">
        <v>240</v>
      </c>
      <c r="EV3306" s="5" t="s">
        <v>240</v>
      </c>
      <c r="EW3306" s="5" t="s">
        <v>240</v>
      </c>
      <c r="EX3306" s="5" t="s">
        <v>240</v>
      </c>
      <c r="EY3306" s="5" t="s">
        <v>240</v>
      </c>
      <c r="EZ3306" s="5" t="s">
        <v>240</v>
      </c>
      <c r="FA3306" s="5" t="s">
        <v>240</v>
      </c>
      <c r="FB3306" s="5" t="s">
        <v>240</v>
      </c>
      <c r="FC3306" s="5" t="s">
        <v>240</v>
      </c>
      <c r="FD3306" s="5" t="s">
        <v>240</v>
      </c>
      <c r="FE3306" s="5" t="s">
        <v>240</v>
      </c>
      <c r="FF3306" s="5" t="s">
        <v>240</v>
      </c>
      <c r="FG3306" s="5" t="s">
        <v>240</v>
      </c>
      <c r="FH3306" s="5" t="s">
        <v>240</v>
      </c>
      <c r="FI3306" s="5" t="s">
        <v>240</v>
      </c>
      <c r="FJ3306" s="5" t="s">
        <v>240</v>
      </c>
      <c r="FK3306" s="5" t="s">
        <v>240</v>
      </c>
      <c r="FL3306" s="5" t="s">
        <v>240</v>
      </c>
      <c r="FM3306" s="5" t="s">
        <v>240</v>
      </c>
      <c r="FN3306" s="5" t="s">
        <v>240</v>
      </c>
      <c r="FO3306" s="5" t="s">
        <v>240</v>
      </c>
      <c r="FP3306" s="5" t="s">
        <v>240</v>
      </c>
      <c r="FQ3306" s="5" t="s">
        <v>240</v>
      </c>
      <c r="FR3306" s="5" t="s">
        <v>240</v>
      </c>
      <c r="FS3306" s="5" t="s">
        <v>240</v>
      </c>
      <c r="FT3306" s="5" t="s">
        <v>240</v>
      </c>
      <c r="FU3306" s="5" t="s">
        <v>240</v>
      </c>
      <c r="FV3306" s="5" t="s">
        <v>240</v>
      </c>
      <c r="FW3306" s="5" t="s">
        <v>240</v>
      </c>
      <c r="FX3306" s="5" t="s">
        <v>240</v>
      </c>
      <c r="FY3306" s="5" t="s">
        <v>240</v>
      </c>
      <c r="FZ3306" s="5" t="s">
        <v>240</v>
      </c>
      <c r="GA3306" s="5" t="s">
        <v>240</v>
      </c>
      <c r="GB3306" s="5" t="s">
        <v>240</v>
      </c>
      <c r="GC3306" s="5" t="s">
        <v>240</v>
      </c>
      <c r="GD3306" s="5" t="s">
        <v>240</v>
      </c>
      <c r="GE3306" s="5" t="s">
        <v>240</v>
      </c>
      <c r="GF3306" s="5" t="s">
        <v>240</v>
      </c>
      <c r="GG3306" s="5" t="s">
        <v>240</v>
      </c>
      <c r="GH3306" s="5" t="s">
        <v>240</v>
      </c>
      <c r="GI3306" s="5" t="s">
        <v>240</v>
      </c>
      <c r="GJ3306" s="5" t="s">
        <v>240</v>
      </c>
      <c r="GK3306" s="5" t="s">
        <v>240</v>
      </c>
      <c r="GL3306" s="5" t="s">
        <v>240</v>
      </c>
      <c r="GM3306" s="5" t="s">
        <v>240</v>
      </c>
      <c r="GN3306" s="5" t="s">
        <v>240</v>
      </c>
      <c r="GO3306" s="5" t="s">
        <v>240</v>
      </c>
      <c r="GP3306" s="5" t="s">
        <v>240</v>
      </c>
      <c r="GQ3306" s="5" t="s">
        <v>240</v>
      </c>
      <c r="GR3306" s="5" t="s">
        <v>240</v>
      </c>
      <c r="GS3306" s="5" t="s">
        <v>240</v>
      </c>
      <c r="GT3306" s="5" t="s">
        <v>240</v>
      </c>
      <c r="GU3306" s="5" t="s">
        <v>240</v>
      </c>
      <c r="GV3306" s="5" t="s">
        <v>240</v>
      </c>
      <c r="GW3306" s="5" t="s">
        <v>240</v>
      </c>
      <c r="GX3306" s="5" t="s">
        <v>240</v>
      </c>
      <c r="GY3306" s="5" t="s">
        <v>240</v>
      </c>
      <c r="GZ3306" s="5" t="s">
        <v>240</v>
      </c>
      <c r="HA3306" s="5" t="s">
        <v>240</v>
      </c>
      <c r="HB3306" s="5" t="s">
        <v>240</v>
      </c>
      <c r="HC3306" s="5" t="s">
        <v>240</v>
      </c>
      <c r="HD3306" s="5" t="s">
        <v>240</v>
      </c>
      <c r="HE3306" s="5" t="s">
        <v>240</v>
      </c>
      <c r="HF3306" s="5" t="s">
        <v>240</v>
      </c>
      <c r="HG3306" s="5" t="s">
        <v>240</v>
      </c>
      <c r="HH3306" s="5" t="s">
        <v>240</v>
      </c>
      <c r="HI3306" s="5" t="s">
        <v>240</v>
      </c>
      <c r="HJ3306" s="5" t="s">
        <v>240</v>
      </c>
      <c r="HK3306" s="5" t="s">
        <v>240</v>
      </c>
      <c r="HL3306" s="5" t="s">
        <v>240</v>
      </c>
      <c r="HM3306" s="5" t="s">
        <v>240</v>
      </c>
      <c r="HN3306" s="5" t="s">
        <v>240</v>
      </c>
      <c r="HO3306" s="5" t="s">
        <v>312</v>
      </c>
      <c r="HP3306" s="5" t="s">
        <v>240</v>
      </c>
      <c r="HQ3306" s="5" t="s">
        <v>240</v>
      </c>
      <c r="HR3306" s="5" t="s">
        <v>240</v>
      </c>
      <c r="HS3306" s="5" t="s">
        <v>240</v>
      </c>
      <c r="HT3306" s="5" t="s">
        <v>240</v>
      </c>
      <c r="HU3306" s="5" t="s">
        <v>240</v>
      </c>
      <c r="HV3306" s="5" t="s">
        <v>240</v>
      </c>
      <c r="HW3306" s="5" t="s">
        <v>240</v>
      </c>
      <c r="HX3306" s="5" t="s">
        <v>240</v>
      </c>
      <c r="HY3306" s="5" t="s">
        <v>240</v>
      </c>
      <c r="HZ3306" s="5" t="s">
        <v>240</v>
      </c>
      <c r="IA3306" s="5" t="s">
        <v>240</v>
      </c>
      <c r="IB3306" s="5" t="s">
        <v>240</v>
      </c>
      <c r="IC3306" s="5" t="s">
        <v>240</v>
      </c>
      <c r="ID3306" s="5" t="s">
        <v>240</v>
      </c>
      <c r="IE3306" s="5" t="s">
        <v>240</v>
      </c>
      <c r="IF3306" s="5" t="s">
        <v>240</v>
      </c>
    </row>
    <row r="3307" spans="1:240" x14ac:dyDescent="0.4">
      <c r="A3307" s="5">
        <v>8849</v>
      </c>
      <c r="B3307" s="5">
        <v>1</v>
      </c>
      <c r="C3307" s="5">
        <v>1</v>
      </c>
      <c r="D3307" s="5" t="s">
        <v>723</v>
      </c>
      <c r="E3307" s="5" t="s">
        <v>725</v>
      </c>
      <c r="F3307" s="5" t="s">
        <v>730</v>
      </c>
      <c r="G3307" s="5" t="s">
        <v>726</v>
      </c>
      <c r="H3307" s="6" t="s">
        <v>6330</v>
      </c>
      <c r="I3307" s="5" t="s">
        <v>990</v>
      </c>
      <c r="J3307" s="8">
        <f>512.39</f>
        <v>512.39</v>
      </c>
      <c r="K3307" s="5" t="s">
        <v>308</v>
      </c>
      <c r="L3307" s="7">
        <f>0</f>
        <v>0</v>
      </c>
      <c r="M3307" s="7">
        <f>0</f>
        <v>0</v>
      </c>
      <c r="N3307" s="5" t="s">
        <v>242</v>
      </c>
      <c r="O3307" s="5">
        <v>1</v>
      </c>
      <c r="P3307" s="5" t="s">
        <v>294</v>
      </c>
      <c r="Q3307" s="5" t="s">
        <v>3678</v>
      </c>
      <c r="R3307" s="5" t="s">
        <v>240</v>
      </c>
      <c r="S3307" s="5" t="s">
        <v>240</v>
      </c>
      <c r="T3307" s="5" t="s">
        <v>243</v>
      </c>
      <c r="U3307" s="5" t="s">
        <v>244</v>
      </c>
      <c r="V3307" s="5" t="s">
        <v>240</v>
      </c>
      <c r="W3307" s="5" t="s">
        <v>240</v>
      </c>
      <c r="X3307" s="5" t="s">
        <v>240</v>
      </c>
      <c r="Y3307" s="5" t="s">
        <v>240</v>
      </c>
      <c r="Z3307" s="6" t="s">
        <v>298</v>
      </c>
      <c r="AA3307" s="6" t="s">
        <v>240</v>
      </c>
      <c r="AB3307" s="6" t="s">
        <v>240</v>
      </c>
      <c r="AC3307" s="5" t="s">
        <v>240</v>
      </c>
      <c r="AD3307" s="6" t="s">
        <v>240</v>
      </c>
      <c r="AE3307" s="6" t="s">
        <v>299</v>
      </c>
      <c r="AF3307" s="5" t="s">
        <v>248</v>
      </c>
      <c r="AG3307" s="5" t="s">
        <v>249</v>
      </c>
      <c r="AH3307" s="5" t="s">
        <v>240</v>
      </c>
      <c r="AI3307" s="5" t="s">
        <v>240</v>
      </c>
      <c r="AJ3307" s="5" t="s">
        <v>240</v>
      </c>
      <c r="AK3307" s="5" t="s">
        <v>240</v>
      </c>
      <c r="AL3307" s="5" t="s">
        <v>240</v>
      </c>
      <c r="AM3307" s="5" t="s">
        <v>240</v>
      </c>
      <c r="AN3307" s="5" t="s">
        <v>240</v>
      </c>
      <c r="AO3307" s="5" t="s">
        <v>240</v>
      </c>
      <c r="AP3307" s="6" t="s">
        <v>240</v>
      </c>
      <c r="AQ3307" s="6" t="s">
        <v>240</v>
      </c>
      <c r="AR3307" s="6" t="s">
        <v>240</v>
      </c>
      <c r="AS3307" s="6" t="s">
        <v>240</v>
      </c>
      <c r="AT3307" s="5" t="s">
        <v>240</v>
      </c>
      <c r="AU3307" s="5" t="s">
        <v>729</v>
      </c>
      <c r="AV3307" s="5" t="s">
        <v>729</v>
      </c>
      <c r="AW3307" s="5" t="s">
        <v>251</v>
      </c>
      <c r="AX3307" s="5" t="s">
        <v>252</v>
      </c>
      <c r="AY3307" s="5" t="s">
        <v>253</v>
      </c>
      <c r="AZ3307" s="5" t="s">
        <v>240</v>
      </c>
      <c r="BA3307" s="5" t="s">
        <v>255</v>
      </c>
      <c r="BB3307" s="5" t="s">
        <v>731</v>
      </c>
      <c r="BD3307" s="5" t="s">
        <v>240</v>
      </c>
      <c r="BF3307" s="5" t="s">
        <v>732</v>
      </c>
      <c r="BG3307" s="6" t="s">
        <v>733</v>
      </c>
      <c r="BH3307" s="5" t="s">
        <v>734</v>
      </c>
      <c r="BI3307" s="5" t="s">
        <v>734</v>
      </c>
      <c r="BJ3307" s="5" t="s">
        <v>240</v>
      </c>
      <c r="BK3307" s="7">
        <f>1</f>
        <v>1</v>
      </c>
      <c r="BL3307" s="7">
        <f>1</f>
        <v>1</v>
      </c>
      <c r="BM3307" s="5" t="s">
        <v>258</v>
      </c>
      <c r="BN3307" s="5" t="s">
        <v>259</v>
      </c>
      <c r="BO3307" s="5" t="s">
        <v>240</v>
      </c>
      <c r="BP3307" s="5" t="s">
        <v>240</v>
      </c>
      <c r="BQ3307" s="5" t="s">
        <v>240</v>
      </c>
      <c r="BR3307" s="5" t="s">
        <v>240</v>
      </c>
      <c r="BS3307" s="5" t="s">
        <v>240</v>
      </c>
      <c r="BT3307" s="5" t="s">
        <v>240</v>
      </c>
      <c r="BU3307" s="5" t="s">
        <v>240</v>
      </c>
      <c r="BV3307" s="5" t="s">
        <v>240</v>
      </c>
      <c r="BW3307" s="6" t="s">
        <v>240</v>
      </c>
      <c r="BX3307" s="5" t="s">
        <v>240</v>
      </c>
      <c r="BY3307" s="5" t="s">
        <v>240</v>
      </c>
      <c r="BZ3307" s="5" t="s">
        <v>240</v>
      </c>
      <c r="CA3307" s="5" t="s">
        <v>259</v>
      </c>
      <c r="CB3307" s="5" t="s">
        <v>240</v>
      </c>
      <c r="CC3307" s="5" t="s">
        <v>240</v>
      </c>
      <c r="CD3307" s="5" t="s">
        <v>240</v>
      </c>
      <c r="CE3307" s="5" t="s">
        <v>240</v>
      </c>
      <c r="CF3307" s="5" t="s">
        <v>240</v>
      </c>
      <c r="CG3307" s="5" t="s">
        <v>304</v>
      </c>
      <c r="CH3307" s="5" t="s">
        <v>305</v>
      </c>
      <c r="CI3307" s="5" t="s">
        <v>240</v>
      </c>
      <c r="CK3307" s="5" t="s">
        <v>3681</v>
      </c>
      <c r="CL3307" s="6" t="s">
        <v>261</v>
      </c>
      <c r="CM3307" s="5" t="s">
        <v>262</v>
      </c>
      <c r="CN3307" s="5" t="s">
        <v>263</v>
      </c>
      <c r="CO3307" s="5" t="s">
        <v>264</v>
      </c>
      <c r="CP3307" s="5" t="s">
        <v>240</v>
      </c>
      <c r="CQ3307" s="5">
        <v>0</v>
      </c>
      <c r="CR3307" s="5" t="s">
        <v>735</v>
      </c>
      <c r="CS3307" s="5" t="s">
        <v>307</v>
      </c>
      <c r="CT3307" s="5" t="s">
        <v>307</v>
      </c>
      <c r="CU3307" s="5" t="s">
        <v>260</v>
      </c>
      <c r="CV3307" s="5" t="s">
        <v>612</v>
      </c>
      <c r="CW3307" s="8">
        <f>1</f>
        <v>1</v>
      </c>
      <c r="CX3307" s="7">
        <f>1</f>
        <v>1</v>
      </c>
      <c r="CY3307" s="7">
        <f>0</f>
        <v>0</v>
      </c>
      <c r="DA3307" s="7">
        <f>1</f>
        <v>1</v>
      </c>
      <c r="DB3307" s="7" t="s">
        <v>240</v>
      </c>
      <c r="DC3307" s="5" t="s">
        <v>240</v>
      </c>
      <c r="DD3307" s="5" t="s">
        <v>240</v>
      </c>
      <c r="DE3307" s="5" t="s">
        <v>240</v>
      </c>
      <c r="DF3307" s="5" t="s">
        <v>240</v>
      </c>
      <c r="DG3307" s="7">
        <f>0</f>
        <v>0</v>
      </c>
      <c r="DI3307" s="5" t="s">
        <v>240</v>
      </c>
      <c r="DJ3307" s="5" t="s">
        <v>240</v>
      </c>
      <c r="DK3307" s="5" t="s">
        <v>240</v>
      </c>
      <c r="DL3307" s="5" t="s">
        <v>240</v>
      </c>
      <c r="DM3307" s="5" t="s">
        <v>240</v>
      </c>
      <c r="DN3307" s="5" t="s">
        <v>240</v>
      </c>
      <c r="DO3307" s="7" t="s">
        <v>240</v>
      </c>
      <c r="DP3307" s="5" t="s">
        <v>240</v>
      </c>
      <c r="DQ3307" s="5" t="s">
        <v>240</v>
      </c>
      <c r="DR3307" s="5" t="s">
        <v>731</v>
      </c>
      <c r="DS3307" s="5" t="s">
        <v>731</v>
      </c>
      <c r="DT3307" s="5" t="s">
        <v>240</v>
      </c>
      <c r="DU3307" s="5" t="s">
        <v>240</v>
      </c>
      <c r="DV3307" s="5" t="s">
        <v>3683</v>
      </c>
      <c r="DW3307" s="5" t="s">
        <v>414</v>
      </c>
      <c r="DX3307" s="5" t="s">
        <v>240</v>
      </c>
      <c r="DY3307" s="5" t="s">
        <v>240</v>
      </c>
      <c r="DZ3307" s="5" t="s">
        <v>240</v>
      </c>
      <c r="EA3307" s="5" t="s">
        <v>240</v>
      </c>
      <c r="EB3307" s="5" t="s">
        <v>240</v>
      </c>
      <c r="EC3307" s="5" t="s">
        <v>240</v>
      </c>
      <c r="ED3307" s="5" t="s">
        <v>240</v>
      </c>
      <c r="EE3307" s="5" t="s">
        <v>240</v>
      </c>
      <c r="EF3307" s="5" t="s">
        <v>240</v>
      </c>
      <c r="EG3307" s="5" t="s">
        <v>240</v>
      </c>
      <c r="EH3307" s="5" t="s">
        <v>240</v>
      </c>
      <c r="EI3307" s="5" t="s">
        <v>240</v>
      </c>
      <c r="EJ3307" s="5" t="s">
        <v>240</v>
      </c>
      <c r="EK3307" s="5" t="s">
        <v>240</v>
      </c>
      <c r="EL3307" s="5" t="s">
        <v>240</v>
      </c>
      <c r="EM3307" s="5" t="s">
        <v>240</v>
      </c>
      <c r="EN3307" s="5" t="s">
        <v>240</v>
      </c>
      <c r="EO3307" s="5" t="s">
        <v>240</v>
      </c>
      <c r="EP3307" s="5" t="s">
        <v>240</v>
      </c>
      <c r="EQ3307" s="5" t="s">
        <v>240</v>
      </c>
      <c r="ER3307" s="5" t="s">
        <v>240</v>
      </c>
      <c r="ES3307" s="5" t="s">
        <v>240</v>
      </c>
      <c r="ET3307" s="5" t="s">
        <v>240</v>
      </c>
      <c r="EU3307" s="5" t="s">
        <v>240</v>
      </c>
      <c r="EV3307" s="5" t="s">
        <v>240</v>
      </c>
      <c r="EW3307" s="5" t="s">
        <v>240</v>
      </c>
      <c r="EX3307" s="5" t="s">
        <v>240</v>
      </c>
      <c r="EY3307" s="5" t="s">
        <v>240</v>
      </c>
      <c r="EZ3307" s="5" t="s">
        <v>240</v>
      </c>
      <c r="FA3307" s="5" t="s">
        <v>240</v>
      </c>
      <c r="FB3307" s="5" t="s">
        <v>240</v>
      </c>
      <c r="FC3307" s="5" t="s">
        <v>240</v>
      </c>
      <c r="FD3307" s="5" t="s">
        <v>240</v>
      </c>
      <c r="FE3307" s="5" t="s">
        <v>240</v>
      </c>
      <c r="FF3307" s="5" t="s">
        <v>240</v>
      </c>
      <c r="FG3307" s="5" t="s">
        <v>240</v>
      </c>
      <c r="FH3307" s="5" t="s">
        <v>240</v>
      </c>
      <c r="FI3307" s="5" t="s">
        <v>240</v>
      </c>
      <c r="FJ3307" s="5" t="s">
        <v>240</v>
      </c>
      <c r="FK3307" s="5" t="s">
        <v>240</v>
      </c>
      <c r="FL3307" s="5" t="s">
        <v>240</v>
      </c>
      <c r="FM3307" s="5" t="s">
        <v>240</v>
      </c>
      <c r="FN3307" s="5" t="s">
        <v>240</v>
      </c>
      <c r="FO3307" s="5" t="s">
        <v>240</v>
      </c>
      <c r="FP3307" s="5" t="s">
        <v>240</v>
      </c>
      <c r="FQ3307" s="5" t="s">
        <v>240</v>
      </c>
      <c r="FR3307" s="5" t="s">
        <v>240</v>
      </c>
      <c r="FS3307" s="5" t="s">
        <v>240</v>
      </c>
      <c r="FT3307" s="5" t="s">
        <v>240</v>
      </c>
      <c r="FU3307" s="5" t="s">
        <v>240</v>
      </c>
      <c r="FV3307" s="5" t="s">
        <v>240</v>
      </c>
      <c r="FW3307" s="5" t="s">
        <v>240</v>
      </c>
      <c r="FX3307" s="5" t="s">
        <v>240</v>
      </c>
      <c r="FY3307" s="5" t="s">
        <v>240</v>
      </c>
      <c r="FZ3307" s="5" t="s">
        <v>240</v>
      </c>
      <c r="GA3307" s="5" t="s">
        <v>240</v>
      </c>
      <c r="GB3307" s="5" t="s">
        <v>240</v>
      </c>
      <c r="GC3307" s="5" t="s">
        <v>240</v>
      </c>
      <c r="GD3307" s="5" t="s">
        <v>240</v>
      </c>
      <c r="GE3307" s="5" t="s">
        <v>240</v>
      </c>
      <c r="GF3307" s="5" t="s">
        <v>240</v>
      </c>
      <c r="GG3307" s="5" t="s">
        <v>240</v>
      </c>
      <c r="GH3307" s="5" t="s">
        <v>240</v>
      </c>
      <c r="GI3307" s="5" t="s">
        <v>240</v>
      </c>
      <c r="GJ3307" s="5" t="s">
        <v>240</v>
      </c>
      <c r="GK3307" s="5" t="s">
        <v>240</v>
      </c>
      <c r="GL3307" s="5" t="s">
        <v>240</v>
      </c>
      <c r="GM3307" s="5" t="s">
        <v>240</v>
      </c>
      <c r="GN3307" s="5" t="s">
        <v>240</v>
      </c>
      <c r="GO3307" s="5" t="s">
        <v>240</v>
      </c>
      <c r="GP3307" s="5" t="s">
        <v>240</v>
      </c>
      <c r="GQ3307" s="5" t="s">
        <v>240</v>
      </c>
      <c r="GR3307" s="5" t="s">
        <v>240</v>
      </c>
      <c r="GS3307" s="5" t="s">
        <v>240</v>
      </c>
      <c r="GT3307" s="5" t="s">
        <v>240</v>
      </c>
      <c r="GU3307" s="5" t="s">
        <v>240</v>
      </c>
      <c r="GV3307" s="5" t="s">
        <v>240</v>
      </c>
      <c r="GW3307" s="5" t="s">
        <v>240</v>
      </c>
      <c r="GX3307" s="5" t="s">
        <v>240</v>
      </c>
      <c r="GY3307" s="5" t="s">
        <v>240</v>
      </c>
      <c r="GZ3307" s="5" t="s">
        <v>240</v>
      </c>
      <c r="HA3307" s="5" t="s">
        <v>240</v>
      </c>
      <c r="HB3307" s="5" t="s">
        <v>240</v>
      </c>
      <c r="HC3307" s="5" t="s">
        <v>240</v>
      </c>
      <c r="HD3307" s="5" t="s">
        <v>240</v>
      </c>
      <c r="HE3307" s="5" t="s">
        <v>240</v>
      </c>
      <c r="HF3307" s="5" t="s">
        <v>240</v>
      </c>
      <c r="HG3307" s="5" t="s">
        <v>240</v>
      </c>
      <c r="HH3307" s="5" t="s">
        <v>240</v>
      </c>
      <c r="HI3307" s="5" t="s">
        <v>240</v>
      </c>
      <c r="HJ3307" s="5" t="s">
        <v>240</v>
      </c>
      <c r="HK3307" s="5" t="s">
        <v>240</v>
      </c>
      <c r="HL3307" s="5" t="s">
        <v>240</v>
      </c>
      <c r="HM3307" s="5" t="s">
        <v>240</v>
      </c>
      <c r="HN3307" s="5" t="s">
        <v>240</v>
      </c>
      <c r="HO3307" s="5" t="s">
        <v>312</v>
      </c>
      <c r="HP3307" s="5" t="s">
        <v>240</v>
      </c>
      <c r="HQ3307" s="5" t="s">
        <v>240</v>
      </c>
      <c r="HR3307" s="5" t="s">
        <v>240</v>
      </c>
      <c r="HS3307" s="5" t="s">
        <v>240</v>
      </c>
      <c r="HT3307" s="5" t="s">
        <v>240</v>
      </c>
      <c r="HU3307" s="5" t="s">
        <v>240</v>
      </c>
      <c r="HV3307" s="5" t="s">
        <v>240</v>
      </c>
      <c r="HW3307" s="5" t="s">
        <v>240</v>
      </c>
      <c r="HX3307" s="5" t="s">
        <v>240</v>
      </c>
      <c r="HY3307" s="5" t="s">
        <v>240</v>
      </c>
      <c r="HZ3307" s="5" t="s">
        <v>240</v>
      </c>
      <c r="IA3307" s="5" t="s">
        <v>240</v>
      </c>
      <c r="IB3307" s="5" t="s">
        <v>240</v>
      </c>
      <c r="IC3307" s="5" t="s">
        <v>240</v>
      </c>
      <c r="ID3307" s="5" t="s">
        <v>240</v>
      </c>
      <c r="IE3307" s="5" t="s">
        <v>240</v>
      </c>
      <c r="IF3307" s="5" t="s">
        <v>240</v>
      </c>
    </row>
    <row r="3308" spans="1:240" x14ac:dyDescent="0.4">
      <c r="A3308" s="5">
        <v>8850</v>
      </c>
      <c r="B3308" s="5">
        <v>1</v>
      </c>
      <c r="C3308" s="5">
        <v>1</v>
      </c>
      <c r="D3308" s="5" t="s">
        <v>723</v>
      </c>
      <c r="E3308" s="5" t="s">
        <v>725</v>
      </c>
      <c r="F3308" s="5" t="s">
        <v>730</v>
      </c>
      <c r="G3308" s="5" t="s">
        <v>726</v>
      </c>
      <c r="H3308" s="6" t="s">
        <v>6329</v>
      </c>
      <c r="I3308" s="5" t="s">
        <v>722</v>
      </c>
      <c r="J3308" s="8">
        <f>1034</f>
        <v>1034</v>
      </c>
      <c r="K3308" s="5" t="s">
        <v>308</v>
      </c>
      <c r="L3308" s="7">
        <f>0</f>
        <v>0</v>
      </c>
      <c r="M3308" s="7">
        <f>0</f>
        <v>0</v>
      </c>
      <c r="N3308" s="5" t="s">
        <v>242</v>
      </c>
      <c r="O3308" s="5">
        <v>1</v>
      </c>
      <c r="P3308" s="5" t="s">
        <v>294</v>
      </c>
      <c r="Q3308" s="5" t="s">
        <v>3678</v>
      </c>
      <c r="R3308" s="5" t="s">
        <v>240</v>
      </c>
      <c r="S3308" s="5" t="s">
        <v>240</v>
      </c>
      <c r="T3308" s="5" t="s">
        <v>243</v>
      </c>
      <c r="U3308" s="5" t="s">
        <v>244</v>
      </c>
      <c r="V3308" s="5" t="s">
        <v>240</v>
      </c>
      <c r="W3308" s="5" t="s">
        <v>240</v>
      </c>
      <c r="X3308" s="5" t="s">
        <v>240</v>
      </c>
      <c r="Y3308" s="5" t="s">
        <v>240</v>
      </c>
      <c r="Z3308" s="6" t="s">
        <v>298</v>
      </c>
      <c r="AA3308" s="6" t="s">
        <v>240</v>
      </c>
      <c r="AB3308" s="6" t="s">
        <v>240</v>
      </c>
      <c r="AC3308" s="5" t="s">
        <v>240</v>
      </c>
      <c r="AD3308" s="6" t="s">
        <v>240</v>
      </c>
      <c r="AE3308" s="6" t="s">
        <v>299</v>
      </c>
      <c r="AF3308" s="5" t="s">
        <v>248</v>
      </c>
      <c r="AG3308" s="5" t="s">
        <v>249</v>
      </c>
      <c r="AH3308" s="5" t="s">
        <v>240</v>
      </c>
      <c r="AI3308" s="5" t="s">
        <v>240</v>
      </c>
      <c r="AJ3308" s="5" t="s">
        <v>240</v>
      </c>
      <c r="AK3308" s="5" t="s">
        <v>240</v>
      </c>
      <c r="AL3308" s="5" t="s">
        <v>240</v>
      </c>
      <c r="AM3308" s="5" t="s">
        <v>240</v>
      </c>
      <c r="AN3308" s="5" t="s">
        <v>240</v>
      </c>
      <c r="AO3308" s="5" t="s">
        <v>240</v>
      </c>
      <c r="AP3308" s="6" t="s">
        <v>240</v>
      </c>
      <c r="AQ3308" s="6" t="s">
        <v>240</v>
      </c>
      <c r="AR3308" s="6" t="s">
        <v>240</v>
      </c>
      <c r="AS3308" s="6" t="s">
        <v>240</v>
      </c>
      <c r="AT3308" s="5" t="s">
        <v>240</v>
      </c>
      <c r="AU3308" s="5" t="s">
        <v>729</v>
      </c>
      <c r="AV3308" s="5" t="s">
        <v>729</v>
      </c>
      <c r="AW3308" s="5" t="s">
        <v>251</v>
      </c>
      <c r="AX3308" s="5" t="s">
        <v>252</v>
      </c>
      <c r="AY3308" s="5" t="s">
        <v>253</v>
      </c>
      <c r="AZ3308" s="5" t="s">
        <v>240</v>
      </c>
      <c r="BA3308" s="5" t="s">
        <v>255</v>
      </c>
      <c r="BB3308" s="5" t="s">
        <v>731</v>
      </c>
      <c r="BD3308" s="5" t="s">
        <v>240</v>
      </c>
      <c r="BF3308" s="5" t="s">
        <v>732</v>
      </c>
      <c r="BG3308" s="6" t="s">
        <v>733</v>
      </c>
      <c r="BH3308" s="5" t="s">
        <v>734</v>
      </c>
      <c r="BI3308" s="5" t="s">
        <v>734</v>
      </c>
      <c r="BJ3308" s="5" t="s">
        <v>240</v>
      </c>
      <c r="BK3308" s="7">
        <f>1</f>
        <v>1</v>
      </c>
      <c r="BL3308" s="7">
        <f>1</f>
        <v>1</v>
      </c>
      <c r="BM3308" s="5" t="s">
        <v>258</v>
      </c>
      <c r="BN3308" s="5" t="s">
        <v>259</v>
      </c>
      <c r="BO3308" s="5" t="s">
        <v>240</v>
      </c>
      <c r="BP3308" s="5" t="s">
        <v>240</v>
      </c>
      <c r="BQ3308" s="5" t="s">
        <v>240</v>
      </c>
      <c r="BR3308" s="5" t="s">
        <v>240</v>
      </c>
      <c r="BS3308" s="5" t="s">
        <v>240</v>
      </c>
      <c r="BT3308" s="5" t="s">
        <v>240</v>
      </c>
      <c r="BU3308" s="5" t="s">
        <v>240</v>
      </c>
      <c r="BV3308" s="5" t="s">
        <v>240</v>
      </c>
      <c r="BW3308" s="6" t="s">
        <v>240</v>
      </c>
      <c r="BX3308" s="5" t="s">
        <v>240</v>
      </c>
      <c r="BY3308" s="5" t="s">
        <v>240</v>
      </c>
      <c r="BZ3308" s="5" t="s">
        <v>240</v>
      </c>
      <c r="CA3308" s="5" t="s">
        <v>259</v>
      </c>
      <c r="CB3308" s="5" t="s">
        <v>240</v>
      </c>
      <c r="CC3308" s="5" t="s">
        <v>240</v>
      </c>
      <c r="CD3308" s="5" t="s">
        <v>240</v>
      </c>
      <c r="CE3308" s="5" t="s">
        <v>240</v>
      </c>
      <c r="CF3308" s="5" t="s">
        <v>240</v>
      </c>
      <c r="CG3308" s="5" t="s">
        <v>304</v>
      </c>
      <c r="CH3308" s="5" t="s">
        <v>305</v>
      </c>
      <c r="CI3308" s="5" t="s">
        <v>240</v>
      </c>
      <c r="CK3308" s="5" t="s">
        <v>3681</v>
      </c>
      <c r="CL3308" s="6" t="s">
        <v>261</v>
      </c>
      <c r="CM3308" s="5" t="s">
        <v>262</v>
      </c>
      <c r="CN3308" s="5" t="s">
        <v>263</v>
      </c>
      <c r="CO3308" s="5" t="s">
        <v>264</v>
      </c>
      <c r="CP3308" s="5" t="s">
        <v>240</v>
      </c>
      <c r="CQ3308" s="5">
        <v>0</v>
      </c>
      <c r="CR3308" s="5" t="s">
        <v>735</v>
      </c>
      <c r="CS3308" s="5" t="s">
        <v>307</v>
      </c>
      <c r="CT3308" s="5" t="s">
        <v>307</v>
      </c>
      <c r="CU3308" s="5" t="s">
        <v>260</v>
      </c>
      <c r="CV3308" s="5" t="s">
        <v>612</v>
      </c>
      <c r="CW3308" s="8">
        <f>1</f>
        <v>1</v>
      </c>
      <c r="CX3308" s="7">
        <f>1</f>
        <v>1</v>
      </c>
      <c r="CY3308" s="7">
        <f>0</f>
        <v>0</v>
      </c>
      <c r="DA3308" s="7">
        <f>1</f>
        <v>1</v>
      </c>
      <c r="DB3308" s="7" t="s">
        <v>240</v>
      </c>
      <c r="DC3308" s="5" t="s">
        <v>240</v>
      </c>
      <c r="DD3308" s="5" t="s">
        <v>240</v>
      </c>
      <c r="DE3308" s="5" t="s">
        <v>240</v>
      </c>
      <c r="DF3308" s="5" t="s">
        <v>240</v>
      </c>
      <c r="DG3308" s="7">
        <f>0</f>
        <v>0</v>
      </c>
      <c r="DI3308" s="5" t="s">
        <v>240</v>
      </c>
      <c r="DJ3308" s="5" t="s">
        <v>240</v>
      </c>
      <c r="DK3308" s="5" t="s">
        <v>240</v>
      </c>
      <c r="DL3308" s="5" t="s">
        <v>240</v>
      </c>
      <c r="DM3308" s="5" t="s">
        <v>240</v>
      </c>
      <c r="DN3308" s="5" t="s">
        <v>240</v>
      </c>
      <c r="DO3308" s="7" t="s">
        <v>240</v>
      </c>
      <c r="DP3308" s="5" t="s">
        <v>240</v>
      </c>
      <c r="DQ3308" s="5" t="s">
        <v>240</v>
      </c>
      <c r="DR3308" s="5" t="s">
        <v>731</v>
      </c>
      <c r="DS3308" s="5" t="s">
        <v>731</v>
      </c>
      <c r="DT3308" s="5" t="s">
        <v>240</v>
      </c>
      <c r="DU3308" s="5" t="s">
        <v>240</v>
      </c>
      <c r="DV3308" s="5" t="s">
        <v>3683</v>
      </c>
      <c r="DW3308" s="5" t="s">
        <v>424</v>
      </c>
      <c r="DX3308" s="5" t="s">
        <v>240</v>
      </c>
      <c r="DY3308" s="5" t="s">
        <v>240</v>
      </c>
      <c r="DZ3308" s="5" t="s">
        <v>240</v>
      </c>
      <c r="EA3308" s="5" t="s">
        <v>240</v>
      </c>
      <c r="EB3308" s="5" t="s">
        <v>240</v>
      </c>
      <c r="EC3308" s="5" t="s">
        <v>240</v>
      </c>
      <c r="ED3308" s="5" t="s">
        <v>240</v>
      </c>
      <c r="EE3308" s="5" t="s">
        <v>240</v>
      </c>
      <c r="EF3308" s="5" t="s">
        <v>240</v>
      </c>
      <c r="EG3308" s="5" t="s">
        <v>240</v>
      </c>
      <c r="EH3308" s="5" t="s">
        <v>240</v>
      </c>
      <c r="EI3308" s="5" t="s">
        <v>240</v>
      </c>
      <c r="EJ3308" s="5" t="s">
        <v>240</v>
      </c>
      <c r="EK3308" s="5" t="s">
        <v>240</v>
      </c>
      <c r="EL3308" s="5" t="s">
        <v>240</v>
      </c>
      <c r="EM3308" s="5" t="s">
        <v>240</v>
      </c>
      <c r="EN3308" s="5" t="s">
        <v>240</v>
      </c>
      <c r="EO3308" s="5" t="s">
        <v>240</v>
      </c>
      <c r="EP3308" s="5" t="s">
        <v>240</v>
      </c>
      <c r="EQ3308" s="5" t="s">
        <v>240</v>
      </c>
      <c r="ER3308" s="5" t="s">
        <v>240</v>
      </c>
      <c r="ES3308" s="5" t="s">
        <v>240</v>
      </c>
      <c r="ET3308" s="5" t="s">
        <v>240</v>
      </c>
      <c r="EU3308" s="5" t="s">
        <v>240</v>
      </c>
      <c r="EV3308" s="5" t="s">
        <v>240</v>
      </c>
      <c r="EW3308" s="5" t="s">
        <v>240</v>
      </c>
      <c r="EX3308" s="5" t="s">
        <v>240</v>
      </c>
      <c r="EY3308" s="5" t="s">
        <v>240</v>
      </c>
      <c r="EZ3308" s="5" t="s">
        <v>240</v>
      </c>
      <c r="FA3308" s="5" t="s">
        <v>240</v>
      </c>
      <c r="FB3308" s="5" t="s">
        <v>240</v>
      </c>
      <c r="FC3308" s="5" t="s">
        <v>240</v>
      </c>
      <c r="FD3308" s="5" t="s">
        <v>240</v>
      </c>
      <c r="FE3308" s="5" t="s">
        <v>240</v>
      </c>
      <c r="FF3308" s="5" t="s">
        <v>240</v>
      </c>
      <c r="FG3308" s="5" t="s">
        <v>240</v>
      </c>
      <c r="FH3308" s="5" t="s">
        <v>240</v>
      </c>
      <c r="FI3308" s="5" t="s">
        <v>240</v>
      </c>
      <c r="FJ3308" s="5" t="s">
        <v>240</v>
      </c>
      <c r="FK3308" s="5" t="s">
        <v>240</v>
      </c>
      <c r="FL3308" s="5" t="s">
        <v>240</v>
      </c>
      <c r="FM3308" s="5" t="s">
        <v>240</v>
      </c>
      <c r="FN3308" s="5" t="s">
        <v>240</v>
      </c>
      <c r="FO3308" s="5" t="s">
        <v>240</v>
      </c>
      <c r="FP3308" s="5" t="s">
        <v>240</v>
      </c>
      <c r="FQ3308" s="5" t="s">
        <v>240</v>
      </c>
      <c r="FR3308" s="5" t="s">
        <v>240</v>
      </c>
      <c r="FS3308" s="5" t="s">
        <v>240</v>
      </c>
      <c r="FT3308" s="5" t="s">
        <v>240</v>
      </c>
      <c r="FU3308" s="5" t="s">
        <v>240</v>
      </c>
      <c r="FV3308" s="5" t="s">
        <v>240</v>
      </c>
      <c r="FW3308" s="5" t="s">
        <v>240</v>
      </c>
      <c r="FX3308" s="5" t="s">
        <v>240</v>
      </c>
      <c r="FY3308" s="5" t="s">
        <v>240</v>
      </c>
      <c r="FZ3308" s="5" t="s">
        <v>240</v>
      </c>
      <c r="GA3308" s="5" t="s">
        <v>240</v>
      </c>
      <c r="GB3308" s="5" t="s">
        <v>240</v>
      </c>
      <c r="GC3308" s="5" t="s">
        <v>240</v>
      </c>
      <c r="GD3308" s="5" t="s">
        <v>240</v>
      </c>
      <c r="GE3308" s="5" t="s">
        <v>240</v>
      </c>
      <c r="GF3308" s="5" t="s">
        <v>240</v>
      </c>
      <c r="GG3308" s="5" t="s">
        <v>240</v>
      </c>
      <c r="GH3308" s="5" t="s">
        <v>240</v>
      </c>
      <c r="GI3308" s="5" t="s">
        <v>240</v>
      </c>
      <c r="GJ3308" s="5" t="s">
        <v>240</v>
      </c>
      <c r="GK3308" s="5" t="s">
        <v>240</v>
      </c>
      <c r="GL3308" s="5" t="s">
        <v>240</v>
      </c>
      <c r="GM3308" s="5" t="s">
        <v>240</v>
      </c>
      <c r="GN3308" s="5" t="s">
        <v>240</v>
      </c>
      <c r="GO3308" s="5" t="s">
        <v>240</v>
      </c>
      <c r="GP3308" s="5" t="s">
        <v>240</v>
      </c>
      <c r="GQ3308" s="5" t="s">
        <v>240</v>
      </c>
      <c r="GR3308" s="5" t="s">
        <v>240</v>
      </c>
      <c r="GS3308" s="5" t="s">
        <v>240</v>
      </c>
      <c r="GT3308" s="5" t="s">
        <v>240</v>
      </c>
      <c r="GU3308" s="5" t="s">
        <v>240</v>
      </c>
      <c r="GV3308" s="5" t="s">
        <v>240</v>
      </c>
      <c r="GW3308" s="5" t="s">
        <v>240</v>
      </c>
      <c r="GX3308" s="5" t="s">
        <v>240</v>
      </c>
      <c r="GY3308" s="5" t="s">
        <v>240</v>
      </c>
      <c r="GZ3308" s="5" t="s">
        <v>240</v>
      </c>
      <c r="HA3308" s="5" t="s">
        <v>240</v>
      </c>
      <c r="HB3308" s="5" t="s">
        <v>240</v>
      </c>
      <c r="HC3308" s="5" t="s">
        <v>240</v>
      </c>
      <c r="HD3308" s="5" t="s">
        <v>240</v>
      </c>
      <c r="HE3308" s="5" t="s">
        <v>240</v>
      </c>
      <c r="HF3308" s="5" t="s">
        <v>240</v>
      </c>
      <c r="HG3308" s="5" t="s">
        <v>240</v>
      </c>
      <c r="HH3308" s="5" t="s">
        <v>240</v>
      </c>
      <c r="HI3308" s="5" t="s">
        <v>240</v>
      </c>
      <c r="HJ3308" s="5" t="s">
        <v>240</v>
      </c>
      <c r="HK3308" s="5" t="s">
        <v>240</v>
      </c>
      <c r="HL3308" s="5" t="s">
        <v>240</v>
      </c>
      <c r="HM3308" s="5" t="s">
        <v>240</v>
      </c>
      <c r="HN3308" s="5" t="s">
        <v>240</v>
      </c>
      <c r="HO3308" s="5" t="s">
        <v>312</v>
      </c>
      <c r="HP3308" s="5" t="s">
        <v>240</v>
      </c>
      <c r="HQ3308" s="5" t="s">
        <v>240</v>
      </c>
      <c r="HR3308" s="5" t="s">
        <v>240</v>
      </c>
      <c r="HS3308" s="5" t="s">
        <v>240</v>
      </c>
      <c r="HT3308" s="5" t="s">
        <v>240</v>
      </c>
      <c r="HU3308" s="5" t="s">
        <v>240</v>
      </c>
      <c r="HV3308" s="5" t="s">
        <v>240</v>
      </c>
      <c r="HW3308" s="5" t="s">
        <v>240</v>
      </c>
      <c r="HX3308" s="5" t="s">
        <v>240</v>
      </c>
      <c r="HY3308" s="5" t="s">
        <v>240</v>
      </c>
      <c r="HZ3308" s="5" t="s">
        <v>240</v>
      </c>
      <c r="IA3308" s="5" t="s">
        <v>240</v>
      </c>
      <c r="IB3308" s="5" t="s">
        <v>240</v>
      </c>
      <c r="IC3308" s="5" t="s">
        <v>240</v>
      </c>
      <c r="ID3308" s="5" t="s">
        <v>240</v>
      </c>
      <c r="IE3308" s="5" t="s">
        <v>240</v>
      </c>
      <c r="IF3308" s="5" t="s">
        <v>240</v>
      </c>
    </row>
    <row r="3309" spans="1:240" x14ac:dyDescent="0.4">
      <c r="A3309" s="5">
        <v>8851</v>
      </c>
      <c r="B3309" s="5">
        <v>1</v>
      </c>
      <c r="C3309" s="5">
        <v>1</v>
      </c>
      <c r="D3309" s="5" t="s">
        <v>723</v>
      </c>
      <c r="E3309" s="5" t="s">
        <v>725</v>
      </c>
      <c r="F3309" s="5" t="s">
        <v>730</v>
      </c>
      <c r="G3309" s="5" t="s">
        <v>726</v>
      </c>
      <c r="H3309" s="6" t="s">
        <v>6328</v>
      </c>
      <c r="I3309" s="5" t="s">
        <v>722</v>
      </c>
      <c r="J3309" s="8">
        <f>623</f>
        <v>623</v>
      </c>
      <c r="K3309" s="5" t="s">
        <v>308</v>
      </c>
      <c r="L3309" s="7">
        <f>0</f>
        <v>0</v>
      </c>
      <c r="M3309" s="7">
        <f>0</f>
        <v>0</v>
      </c>
      <c r="N3309" s="5" t="s">
        <v>242</v>
      </c>
      <c r="O3309" s="5">
        <v>1</v>
      </c>
      <c r="P3309" s="5" t="s">
        <v>294</v>
      </c>
      <c r="Q3309" s="5" t="s">
        <v>3678</v>
      </c>
      <c r="R3309" s="5" t="s">
        <v>240</v>
      </c>
      <c r="S3309" s="5" t="s">
        <v>240</v>
      </c>
      <c r="T3309" s="5" t="s">
        <v>243</v>
      </c>
      <c r="U3309" s="5" t="s">
        <v>244</v>
      </c>
      <c r="V3309" s="5" t="s">
        <v>240</v>
      </c>
      <c r="W3309" s="5" t="s">
        <v>240</v>
      </c>
      <c r="X3309" s="5" t="s">
        <v>240</v>
      </c>
      <c r="Y3309" s="5" t="s">
        <v>240</v>
      </c>
      <c r="Z3309" s="6" t="s">
        <v>298</v>
      </c>
      <c r="AA3309" s="6" t="s">
        <v>240</v>
      </c>
      <c r="AB3309" s="6" t="s">
        <v>240</v>
      </c>
      <c r="AC3309" s="5" t="s">
        <v>240</v>
      </c>
      <c r="AD3309" s="6" t="s">
        <v>240</v>
      </c>
      <c r="AE3309" s="6" t="s">
        <v>299</v>
      </c>
      <c r="AF3309" s="5" t="s">
        <v>248</v>
      </c>
      <c r="AG3309" s="5" t="s">
        <v>249</v>
      </c>
      <c r="AH3309" s="5" t="s">
        <v>240</v>
      </c>
      <c r="AI3309" s="5" t="s">
        <v>240</v>
      </c>
      <c r="AJ3309" s="5" t="s">
        <v>240</v>
      </c>
      <c r="AK3309" s="5" t="s">
        <v>240</v>
      </c>
      <c r="AL3309" s="5" t="s">
        <v>240</v>
      </c>
      <c r="AM3309" s="5" t="s">
        <v>240</v>
      </c>
      <c r="AN3309" s="5" t="s">
        <v>240</v>
      </c>
      <c r="AO3309" s="5" t="s">
        <v>240</v>
      </c>
      <c r="AP3309" s="6" t="s">
        <v>240</v>
      </c>
      <c r="AQ3309" s="6" t="s">
        <v>240</v>
      </c>
      <c r="AR3309" s="6" t="s">
        <v>240</v>
      </c>
      <c r="AS3309" s="6" t="s">
        <v>240</v>
      </c>
      <c r="AT3309" s="5" t="s">
        <v>240</v>
      </c>
      <c r="AU3309" s="5" t="s">
        <v>729</v>
      </c>
      <c r="AV3309" s="5" t="s">
        <v>729</v>
      </c>
      <c r="AW3309" s="5" t="s">
        <v>251</v>
      </c>
      <c r="AX3309" s="5" t="s">
        <v>252</v>
      </c>
      <c r="AY3309" s="5" t="s">
        <v>253</v>
      </c>
      <c r="AZ3309" s="5" t="s">
        <v>240</v>
      </c>
      <c r="BA3309" s="5" t="s">
        <v>255</v>
      </c>
      <c r="BB3309" s="5" t="s">
        <v>731</v>
      </c>
      <c r="BD3309" s="5" t="s">
        <v>240</v>
      </c>
      <c r="BF3309" s="5" t="s">
        <v>732</v>
      </c>
      <c r="BG3309" s="6" t="s">
        <v>733</v>
      </c>
      <c r="BH3309" s="5" t="s">
        <v>734</v>
      </c>
      <c r="BI3309" s="5" t="s">
        <v>734</v>
      </c>
      <c r="BJ3309" s="5" t="s">
        <v>240</v>
      </c>
      <c r="BK3309" s="7">
        <f>1</f>
        <v>1</v>
      </c>
      <c r="BL3309" s="7">
        <f>1</f>
        <v>1</v>
      </c>
      <c r="BM3309" s="5" t="s">
        <v>258</v>
      </c>
      <c r="BN3309" s="5" t="s">
        <v>259</v>
      </c>
      <c r="BO3309" s="5" t="s">
        <v>240</v>
      </c>
      <c r="BP3309" s="5" t="s">
        <v>240</v>
      </c>
      <c r="BQ3309" s="5" t="s">
        <v>240</v>
      </c>
      <c r="BR3309" s="5" t="s">
        <v>240</v>
      </c>
      <c r="BS3309" s="5" t="s">
        <v>240</v>
      </c>
      <c r="BT3309" s="5" t="s">
        <v>240</v>
      </c>
      <c r="BU3309" s="5" t="s">
        <v>240</v>
      </c>
      <c r="BV3309" s="5" t="s">
        <v>240</v>
      </c>
      <c r="BW3309" s="6" t="s">
        <v>240</v>
      </c>
      <c r="BX3309" s="5" t="s">
        <v>240</v>
      </c>
      <c r="BY3309" s="5" t="s">
        <v>240</v>
      </c>
      <c r="BZ3309" s="5" t="s">
        <v>240</v>
      </c>
      <c r="CA3309" s="5" t="s">
        <v>259</v>
      </c>
      <c r="CB3309" s="5" t="s">
        <v>240</v>
      </c>
      <c r="CC3309" s="5" t="s">
        <v>240</v>
      </c>
      <c r="CD3309" s="5" t="s">
        <v>240</v>
      </c>
      <c r="CE3309" s="5" t="s">
        <v>240</v>
      </c>
      <c r="CF3309" s="5" t="s">
        <v>240</v>
      </c>
      <c r="CG3309" s="5" t="s">
        <v>304</v>
      </c>
      <c r="CH3309" s="5" t="s">
        <v>305</v>
      </c>
      <c r="CI3309" s="5" t="s">
        <v>240</v>
      </c>
      <c r="CK3309" s="5" t="s">
        <v>3681</v>
      </c>
      <c r="CL3309" s="6" t="s">
        <v>261</v>
      </c>
      <c r="CM3309" s="5" t="s">
        <v>262</v>
      </c>
      <c r="CN3309" s="5" t="s">
        <v>263</v>
      </c>
      <c r="CO3309" s="5" t="s">
        <v>264</v>
      </c>
      <c r="CP3309" s="5" t="s">
        <v>240</v>
      </c>
      <c r="CQ3309" s="5">
        <v>0</v>
      </c>
      <c r="CR3309" s="5" t="s">
        <v>735</v>
      </c>
      <c r="CS3309" s="5" t="s">
        <v>307</v>
      </c>
      <c r="CT3309" s="5" t="s">
        <v>307</v>
      </c>
      <c r="CU3309" s="5" t="s">
        <v>260</v>
      </c>
      <c r="CV3309" s="5" t="s">
        <v>612</v>
      </c>
      <c r="CW3309" s="8">
        <f>1</f>
        <v>1</v>
      </c>
      <c r="CX3309" s="7">
        <f>1</f>
        <v>1</v>
      </c>
      <c r="CY3309" s="7">
        <f>0</f>
        <v>0</v>
      </c>
      <c r="DA3309" s="7">
        <f>1</f>
        <v>1</v>
      </c>
      <c r="DB3309" s="7" t="s">
        <v>240</v>
      </c>
      <c r="DC3309" s="5" t="s">
        <v>240</v>
      </c>
      <c r="DD3309" s="5" t="s">
        <v>240</v>
      </c>
      <c r="DE3309" s="5" t="s">
        <v>240</v>
      </c>
      <c r="DF3309" s="5" t="s">
        <v>240</v>
      </c>
      <c r="DG3309" s="7">
        <f>0</f>
        <v>0</v>
      </c>
      <c r="DI3309" s="5" t="s">
        <v>240</v>
      </c>
      <c r="DJ3309" s="5" t="s">
        <v>240</v>
      </c>
      <c r="DK3309" s="5" t="s">
        <v>240</v>
      </c>
      <c r="DL3309" s="5" t="s">
        <v>240</v>
      </c>
      <c r="DM3309" s="5" t="s">
        <v>240</v>
      </c>
      <c r="DN3309" s="5" t="s">
        <v>240</v>
      </c>
      <c r="DO3309" s="7" t="s">
        <v>240</v>
      </c>
      <c r="DP3309" s="5" t="s">
        <v>240</v>
      </c>
      <c r="DQ3309" s="5" t="s">
        <v>240</v>
      </c>
      <c r="DR3309" s="5" t="s">
        <v>731</v>
      </c>
      <c r="DS3309" s="5" t="s">
        <v>731</v>
      </c>
      <c r="DT3309" s="5" t="s">
        <v>240</v>
      </c>
      <c r="DU3309" s="5" t="s">
        <v>240</v>
      </c>
      <c r="DV3309" s="5" t="s">
        <v>3683</v>
      </c>
      <c r="DW3309" s="5" t="s">
        <v>656</v>
      </c>
      <c r="DX3309" s="5" t="s">
        <v>240</v>
      </c>
      <c r="DY3309" s="5" t="s">
        <v>240</v>
      </c>
      <c r="DZ3309" s="5" t="s">
        <v>240</v>
      </c>
      <c r="EA3309" s="5" t="s">
        <v>240</v>
      </c>
      <c r="EB3309" s="5" t="s">
        <v>240</v>
      </c>
      <c r="EC3309" s="5" t="s">
        <v>240</v>
      </c>
      <c r="ED3309" s="5" t="s">
        <v>240</v>
      </c>
      <c r="EE3309" s="5" t="s">
        <v>240</v>
      </c>
      <c r="EF3309" s="5" t="s">
        <v>240</v>
      </c>
      <c r="EG3309" s="5" t="s">
        <v>240</v>
      </c>
      <c r="EH3309" s="5" t="s">
        <v>240</v>
      </c>
      <c r="EI3309" s="5" t="s">
        <v>240</v>
      </c>
      <c r="EJ3309" s="5" t="s">
        <v>240</v>
      </c>
      <c r="EK3309" s="5" t="s">
        <v>240</v>
      </c>
      <c r="EL3309" s="5" t="s">
        <v>240</v>
      </c>
      <c r="EM3309" s="5" t="s">
        <v>240</v>
      </c>
      <c r="EN3309" s="5" t="s">
        <v>240</v>
      </c>
      <c r="EO3309" s="5" t="s">
        <v>240</v>
      </c>
      <c r="EP3309" s="5" t="s">
        <v>240</v>
      </c>
      <c r="EQ3309" s="5" t="s">
        <v>240</v>
      </c>
      <c r="ER3309" s="5" t="s">
        <v>240</v>
      </c>
      <c r="ES3309" s="5" t="s">
        <v>240</v>
      </c>
      <c r="ET3309" s="5" t="s">
        <v>240</v>
      </c>
      <c r="EU3309" s="5" t="s">
        <v>240</v>
      </c>
      <c r="EV3309" s="5" t="s">
        <v>240</v>
      </c>
      <c r="EW3309" s="5" t="s">
        <v>240</v>
      </c>
      <c r="EX3309" s="5" t="s">
        <v>240</v>
      </c>
      <c r="EY3309" s="5" t="s">
        <v>240</v>
      </c>
      <c r="EZ3309" s="5" t="s">
        <v>240</v>
      </c>
      <c r="FA3309" s="5" t="s">
        <v>240</v>
      </c>
      <c r="FB3309" s="5" t="s">
        <v>240</v>
      </c>
      <c r="FC3309" s="5" t="s">
        <v>240</v>
      </c>
      <c r="FD3309" s="5" t="s">
        <v>240</v>
      </c>
      <c r="FE3309" s="5" t="s">
        <v>240</v>
      </c>
      <c r="FF3309" s="5" t="s">
        <v>240</v>
      </c>
      <c r="FG3309" s="5" t="s">
        <v>240</v>
      </c>
      <c r="FH3309" s="5" t="s">
        <v>240</v>
      </c>
      <c r="FI3309" s="5" t="s">
        <v>240</v>
      </c>
      <c r="FJ3309" s="5" t="s">
        <v>240</v>
      </c>
      <c r="FK3309" s="5" t="s">
        <v>240</v>
      </c>
      <c r="FL3309" s="5" t="s">
        <v>240</v>
      </c>
      <c r="FM3309" s="5" t="s">
        <v>240</v>
      </c>
      <c r="FN3309" s="5" t="s">
        <v>240</v>
      </c>
      <c r="FO3309" s="5" t="s">
        <v>240</v>
      </c>
      <c r="FP3309" s="5" t="s">
        <v>240</v>
      </c>
      <c r="FQ3309" s="5" t="s">
        <v>240</v>
      </c>
      <c r="FR3309" s="5" t="s">
        <v>240</v>
      </c>
      <c r="FS3309" s="5" t="s">
        <v>240</v>
      </c>
      <c r="FT3309" s="5" t="s">
        <v>240</v>
      </c>
      <c r="FU3309" s="5" t="s">
        <v>240</v>
      </c>
      <c r="FV3309" s="5" t="s">
        <v>240</v>
      </c>
      <c r="FW3309" s="5" t="s">
        <v>240</v>
      </c>
      <c r="FX3309" s="5" t="s">
        <v>240</v>
      </c>
      <c r="FY3309" s="5" t="s">
        <v>240</v>
      </c>
      <c r="FZ3309" s="5" t="s">
        <v>240</v>
      </c>
      <c r="GA3309" s="5" t="s">
        <v>240</v>
      </c>
      <c r="GB3309" s="5" t="s">
        <v>240</v>
      </c>
      <c r="GC3309" s="5" t="s">
        <v>240</v>
      </c>
      <c r="GD3309" s="5" t="s">
        <v>240</v>
      </c>
      <c r="GE3309" s="5" t="s">
        <v>240</v>
      </c>
      <c r="GF3309" s="5" t="s">
        <v>240</v>
      </c>
      <c r="GG3309" s="5" t="s">
        <v>240</v>
      </c>
      <c r="GH3309" s="5" t="s">
        <v>240</v>
      </c>
      <c r="GI3309" s="5" t="s">
        <v>240</v>
      </c>
      <c r="GJ3309" s="5" t="s">
        <v>240</v>
      </c>
      <c r="GK3309" s="5" t="s">
        <v>240</v>
      </c>
      <c r="GL3309" s="5" t="s">
        <v>240</v>
      </c>
      <c r="GM3309" s="5" t="s">
        <v>240</v>
      </c>
      <c r="GN3309" s="5" t="s">
        <v>240</v>
      </c>
      <c r="GO3309" s="5" t="s">
        <v>240</v>
      </c>
      <c r="GP3309" s="5" t="s">
        <v>240</v>
      </c>
      <c r="GQ3309" s="5" t="s">
        <v>240</v>
      </c>
      <c r="GR3309" s="5" t="s">
        <v>240</v>
      </c>
      <c r="GS3309" s="5" t="s">
        <v>240</v>
      </c>
      <c r="GT3309" s="5" t="s">
        <v>240</v>
      </c>
      <c r="GU3309" s="5" t="s">
        <v>240</v>
      </c>
      <c r="GV3309" s="5" t="s">
        <v>240</v>
      </c>
      <c r="GW3309" s="5" t="s">
        <v>240</v>
      </c>
      <c r="GX3309" s="5" t="s">
        <v>240</v>
      </c>
      <c r="GY3309" s="5" t="s">
        <v>240</v>
      </c>
      <c r="GZ3309" s="5" t="s">
        <v>240</v>
      </c>
      <c r="HA3309" s="5" t="s">
        <v>240</v>
      </c>
      <c r="HB3309" s="5" t="s">
        <v>240</v>
      </c>
      <c r="HC3309" s="5" t="s">
        <v>240</v>
      </c>
      <c r="HD3309" s="5" t="s">
        <v>240</v>
      </c>
      <c r="HE3309" s="5" t="s">
        <v>240</v>
      </c>
      <c r="HF3309" s="5" t="s">
        <v>240</v>
      </c>
      <c r="HG3309" s="5" t="s">
        <v>240</v>
      </c>
      <c r="HH3309" s="5" t="s">
        <v>240</v>
      </c>
      <c r="HI3309" s="5" t="s">
        <v>240</v>
      </c>
      <c r="HJ3309" s="5" t="s">
        <v>240</v>
      </c>
      <c r="HK3309" s="5" t="s">
        <v>240</v>
      </c>
      <c r="HL3309" s="5" t="s">
        <v>240</v>
      </c>
      <c r="HM3309" s="5" t="s">
        <v>240</v>
      </c>
      <c r="HN3309" s="5" t="s">
        <v>240</v>
      </c>
      <c r="HO3309" s="5" t="s">
        <v>312</v>
      </c>
      <c r="HP3309" s="5" t="s">
        <v>240</v>
      </c>
      <c r="HQ3309" s="5" t="s">
        <v>240</v>
      </c>
      <c r="HR3309" s="5" t="s">
        <v>240</v>
      </c>
      <c r="HS3309" s="5" t="s">
        <v>240</v>
      </c>
      <c r="HT3309" s="5" t="s">
        <v>240</v>
      </c>
      <c r="HU3309" s="5" t="s">
        <v>240</v>
      </c>
      <c r="HV3309" s="5" t="s">
        <v>240</v>
      </c>
      <c r="HW3309" s="5" t="s">
        <v>240</v>
      </c>
      <c r="HX3309" s="5" t="s">
        <v>240</v>
      </c>
      <c r="HY3309" s="5" t="s">
        <v>240</v>
      </c>
      <c r="HZ3309" s="5" t="s">
        <v>240</v>
      </c>
      <c r="IA3309" s="5" t="s">
        <v>240</v>
      </c>
      <c r="IB3309" s="5" t="s">
        <v>240</v>
      </c>
      <c r="IC3309" s="5" t="s">
        <v>240</v>
      </c>
      <c r="ID3309" s="5" t="s">
        <v>240</v>
      </c>
      <c r="IE3309" s="5" t="s">
        <v>240</v>
      </c>
      <c r="IF3309" s="5" t="s">
        <v>240</v>
      </c>
    </row>
    <row r="3310" spans="1:240" x14ac:dyDescent="0.4">
      <c r="A3310" s="5">
        <v>8852</v>
      </c>
      <c r="B3310" s="5">
        <v>1</v>
      </c>
      <c r="C3310" s="5">
        <v>1</v>
      </c>
      <c r="D3310" s="5" t="s">
        <v>723</v>
      </c>
      <c r="E3310" s="5" t="s">
        <v>725</v>
      </c>
      <c r="F3310" s="5" t="s">
        <v>730</v>
      </c>
      <c r="G3310" s="5" t="s">
        <v>726</v>
      </c>
      <c r="H3310" s="6" t="s">
        <v>6327</v>
      </c>
      <c r="I3310" s="5" t="s">
        <v>990</v>
      </c>
      <c r="J3310" s="8">
        <f>1606.61</f>
        <v>1606.61</v>
      </c>
      <c r="K3310" s="5" t="s">
        <v>308</v>
      </c>
      <c r="L3310" s="7">
        <f>0</f>
        <v>0</v>
      </c>
      <c r="M3310" s="7">
        <f>0</f>
        <v>0</v>
      </c>
      <c r="N3310" s="5" t="s">
        <v>242</v>
      </c>
      <c r="O3310" s="5">
        <v>1</v>
      </c>
      <c r="P3310" s="5" t="s">
        <v>294</v>
      </c>
      <c r="Q3310" s="5" t="s">
        <v>266</v>
      </c>
      <c r="R3310" s="5" t="s">
        <v>240</v>
      </c>
      <c r="S3310" s="5" t="s">
        <v>240</v>
      </c>
      <c r="T3310" s="5" t="s">
        <v>296</v>
      </c>
      <c r="U3310" s="5" t="s">
        <v>244</v>
      </c>
      <c r="V3310" s="5" t="s">
        <v>240</v>
      </c>
      <c r="Y3310" s="5" t="s">
        <v>240</v>
      </c>
      <c r="Z3310" s="6" t="s">
        <v>298</v>
      </c>
      <c r="AB3310" s="6" t="s">
        <v>240</v>
      </c>
      <c r="AE3310" s="6" t="s">
        <v>299</v>
      </c>
      <c r="AF3310" s="5" t="s">
        <v>248</v>
      </c>
      <c r="AG3310" s="5" t="s">
        <v>249</v>
      </c>
      <c r="AW3310" s="5" t="s">
        <v>251</v>
      </c>
      <c r="AX3310" s="5" t="s">
        <v>240</v>
      </c>
      <c r="AY3310" s="5" t="s">
        <v>253</v>
      </c>
      <c r="AZ3310" s="5" t="s">
        <v>240</v>
      </c>
      <c r="BA3310" s="5" t="s">
        <v>255</v>
      </c>
      <c r="BB3310" s="5" t="s">
        <v>240</v>
      </c>
      <c r="BD3310" s="5" t="s">
        <v>240</v>
      </c>
      <c r="BF3310" s="5" t="s">
        <v>301</v>
      </c>
      <c r="BG3310" s="6" t="s">
        <v>299</v>
      </c>
      <c r="BH3310" s="5" t="s">
        <v>302</v>
      </c>
      <c r="BI3310" s="5" t="s">
        <v>303</v>
      </c>
      <c r="BJ3310" s="5" t="s">
        <v>240</v>
      </c>
      <c r="BK3310" s="8">
        <f>0</f>
        <v>0</v>
      </c>
      <c r="BL3310" s="7">
        <f>0</f>
        <v>0</v>
      </c>
      <c r="BM3310" s="5" t="s">
        <v>258</v>
      </c>
      <c r="BN3310" s="5" t="s">
        <v>259</v>
      </c>
      <c r="CB3310" s="5" t="s">
        <v>240</v>
      </c>
      <c r="CC3310" s="5" t="s">
        <v>240</v>
      </c>
      <c r="CG3310" s="5" t="s">
        <v>304</v>
      </c>
      <c r="CH3310" s="5" t="s">
        <v>305</v>
      </c>
      <c r="CI3310" s="5" t="s">
        <v>240</v>
      </c>
      <c r="CL3310" s="6" t="s">
        <v>261</v>
      </c>
      <c r="CM3310" s="5" t="s">
        <v>240</v>
      </c>
      <c r="CN3310" s="5" t="s">
        <v>263</v>
      </c>
      <c r="CO3310" s="5" t="s">
        <v>240</v>
      </c>
      <c r="CP3310" s="5" t="s">
        <v>240</v>
      </c>
      <c r="CQ3310" s="5">
        <v>0</v>
      </c>
      <c r="CR3310" s="5" t="s">
        <v>306</v>
      </c>
      <c r="CS3310" s="5" t="s">
        <v>307</v>
      </c>
      <c r="CT3310" s="5" t="s">
        <v>307</v>
      </c>
      <c r="CU3310" s="5" t="s">
        <v>260</v>
      </c>
      <c r="CX3310" s="7">
        <f>1</f>
        <v>1</v>
      </c>
      <c r="CY3310" s="7">
        <f>0</f>
        <v>0</v>
      </c>
      <c r="DA3310" s="7">
        <f>0</f>
        <v>0</v>
      </c>
      <c r="DC3310" s="5" t="s">
        <v>309</v>
      </c>
      <c r="DD3310" s="5" t="s">
        <v>240</v>
      </c>
      <c r="DF3310" s="5" t="s">
        <v>309</v>
      </c>
      <c r="DG3310" s="7">
        <f>158</f>
        <v>158</v>
      </c>
      <c r="DI3310" s="5" t="s">
        <v>240</v>
      </c>
      <c r="DJ3310" s="5" t="s">
        <v>240</v>
      </c>
      <c r="DK3310" s="5" t="s">
        <v>240</v>
      </c>
      <c r="DL3310" s="5" t="s">
        <v>240</v>
      </c>
      <c r="DP3310" s="5" t="s">
        <v>240</v>
      </c>
      <c r="DQ3310" s="5" t="s">
        <v>240</v>
      </c>
      <c r="DR3310" s="5" t="s">
        <v>240</v>
      </c>
      <c r="DS3310" s="5" t="s">
        <v>240</v>
      </c>
      <c r="DV3310" s="5" t="s">
        <v>310</v>
      </c>
      <c r="DW3310" s="5" t="s">
        <v>4936</v>
      </c>
      <c r="HO3310" s="5" t="s">
        <v>312</v>
      </c>
    </row>
    <row r="3311" spans="1:240" x14ac:dyDescent="0.4">
      <c r="A3311" s="5">
        <v>8853</v>
      </c>
      <c r="B3311" s="5">
        <v>1</v>
      </c>
      <c r="C3311" s="5">
        <v>1</v>
      </c>
      <c r="D3311" s="5" t="s">
        <v>723</v>
      </c>
      <c r="E3311" s="5" t="s">
        <v>725</v>
      </c>
      <c r="F3311" s="5" t="s">
        <v>730</v>
      </c>
      <c r="G3311" s="5" t="s">
        <v>726</v>
      </c>
      <c r="H3311" s="6" t="s">
        <v>6326</v>
      </c>
      <c r="I3311" s="5" t="s">
        <v>722</v>
      </c>
      <c r="J3311" s="8">
        <f>477</f>
        <v>477</v>
      </c>
      <c r="K3311" s="5" t="s">
        <v>308</v>
      </c>
      <c r="L3311" s="7">
        <f>0</f>
        <v>0</v>
      </c>
      <c r="M3311" s="7">
        <f>0</f>
        <v>0</v>
      </c>
      <c r="N3311" s="5" t="s">
        <v>242</v>
      </c>
      <c r="O3311" s="5">
        <v>1</v>
      </c>
      <c r="P3311" s="5" t="s">
        <v>294</v>
      </c>
      <c r="Q3311" s="5" t="s">
        <v>3678</v>
      </c>
      <c r="R3311" s="5" t="s">
        <v>240</v>
      </c>
      <c r="S3311" s="5" t="s">
        <v>240</v>
      </c>
      <c r="T3311" s="5" t="s">
        <v>243</v>
      </c>
      <c r="U3311" s="5" t="s">
        <v>244</v>
      </c>
      <c r="V3311" s="5" t="s">
        <v>240</v>
      </c>
      <c r="W3311" s="5" t="s">
        <v>240</v>
      </c>
      <c r="X3311" s="5" t="s">
        <v>240</v>
      </c>
      <c r="Y3311" s="5" t="s">
        <v>240</v>
      </c>
      <c r="Z3311" s="6" t="s">
        <v>298</v>
      </c>
      <c r="AA3311" s="6" t="s">
        <v>240</v>
      </c>
      <c r="AB3311" s="6" t="s">
        <v>240</v>
      </c>
      <c r="AC3311" s="5" t="s">
        <v>240</v>
      </c>
      <c r="AD3311" s="6" t="s">
        <v>240</v>
      </c>
      <c r="AE3311" s="6" t="s">
        <v>299</v>
      </c>
      <c r="AF3311" s="5" t="s">
        <v>248</v>
      </c>
      <c r="AG3311" s="5" t="s">
        <v>249</v>
      </c>
      <c r="AH3311" s="5" t="s">
        <v>240</v>
      </c>
      <c r="AI3311" s="5" t="s">
        <v>240</v>
      </c>
      <c r="AJ3311" s="5" t="s">
        <v>240</v>
      </c>
      <c r="AK3311" s="5" t="s">
        <v>240</v>
      </c>
      <c r="AL3311" s="5" t="s">
        <v>240</v>
      </c>
      <c r="AM3311" s="5" t="s">
        <v>240</v>
      </c>
      <c r="AN3311" s="5" t="s">
        <v>240</v>
      </c>
      <c r="AO3311" s="5" t="s">
        <v>240</v>
      </c>
      <c r="AP3311" s="6" t="s">
        <v>240</v>
      </c>
      <c r="AQ3311" s="6" t="s">
        <v>240</v>
      </c>
      <c r="AR3311" s="6" t="s">
        <v>240</v>
      </c>
      <c r="AS3311" s="6" t="s">
        <v>240</v>
      </c>
      <c r="AT3311" s="5" t="s">
        <v>240</v>
      </c>
      <c r="AU3311" s="5" t="s">
        <v>729</v>
      </c>
      <c r="AV3311" s="5" t="s">
        <v>729</v>
      </c>
      <c r="AW3311" s="5" t="s">
        <v>251</v>
      </c>
      <c r="AX3311" s="5" t="s">
        <v>252</v>
      </c>
      <c r="AY3311" s="5" t="s">
        <v>253</v>
      </c>
      <c r="AZ3311" s="5" t="s">
        <v>240</v>
      </c>
      <c r="BA3311" s="5" t="s">
        <v>255</v>
      </c>
      <c r="BB3311" s="5" t="s">
        <v>731</v>
      </c>
      <c r="BD3311" s="5" t="s">
        <v>240</v>
      </c>
      <c r="BF3311" s="5" t="s">
        <v>732</v>
      </c>
      <c r="BG3311" s="6" t="s">
        <v>733</v>
      </c>
      <c r="BH3311" s="5" t="s">
        <v>734</v>
      </c>
      <c r="BI3311" s="5" t="s">
        <v>734</v>
      </c>
      <c r="BJ3311" s="5" t="s">
        <v>240</v>
      </c>
      <c r="BK3311" s="7">
        <f>1</f>
        <v>1</v>
      </c>
      <c r="BL3311" s="7">
        <f>1</f>
        <v>1</v>
      </c>
      <c r="BM3311" s="5" t="s">
        <v>258</v>
      </c>
      <c r="BN3311" s="5" t="s">
        <v>259</v>
      </c>
      <c r="BO3311" s="5" t="s">
        <v>240</v>
      </c>
      <c r="BP3311" s="5" t="s">
        <v>240</v>
      </c>
      <c r="BQ3311" s="5" t="s">
        <v>240</v>
      </c>
      <c r="BR3311" s="5" t="s">
        <v>240</v>
      </c>
      <c r="BS3311" s="5" t="s">
        <v>240</v>
      </c>
      <c r="BT3311" s="5" t="s">
        <v>240</v>
      </c>
      <c r="BU3311" s="5" t="s">
        <v>240</v>
      </c>
      <c r="BV3311" s="5" t="s">
        <v>240</v>
      </c>
      <c r="BW3311" s="6" t="s">
        <v>240</v>
      </c>
      <c r="BX3311" s="5" t="s">
        <v>240</v>
      </c>
      <c r="BY3311" s="5" t="s">
        <v>240</v>
      </c>
      <c r="BZ3311" s="5" t="s">
        <v>240</v>
      </c>
      <c r="CA3311" s="5" t="s">
        <v>259</v>
      </c>
      <c r="CB3311" s="5" t="s">
        <v>240</v>
      </c>
      <c r="CC3311" s="5" t="s">
        <v>240</v>
      </c>
      <c r="CD3311" s="5" t="s">
        <v>240</v>
      </c>
      <c r="CE3311" s="5" t="s">
        <v>240</v>
      </c>
      <c r="CF3311" s="5" t="s">
        <v>240</v>
      </c>
      <c r="CG3311" s="5" t="s">
        <v>304</v>
      </c>
      <c r="CH3311" s="5" t="s">
        <v>305</v>
      </c>
      <c r="CI3311" s="5" t="s">
        <v>240</v>
      </c>
      <c r="CK3311" s="5" t="s">
        <v>3681</v>
      </c>
      <c r="CL3311" s="6" t="s">
        <v>261</v>
      </c>
      <c r="CM3311" s="5" t="s">
        <v>262</v>
      </c>
      <c r="CN3311" s="5" t="s">
        <v>263</v>
      </c>
      <c r="CO3311" s="5" t="s">
        <v>264</v>
      </c>
      <c r="CP3311" s="5" t="s">
        <v>240</v>
      </c>
      <c r="CQ3311" s="5">
        <v>0</v>
      </c>
      <c r="CR3311" s="5" t="s">
        <v>735</v>
      </c>
      <c r="CS3311" s="5" t="s">
        <v>307</v>
      </c>
      <c r="CT3311" s="5" t="s">
        <v>307</v>
      </c>
      <c r="CU3311" s="5" t="s">
        <v>260</v>
      </c>
      <c r="CV3311" s="5" t="s">
        <v>612</v>
      </c>
      <c r="CW3311" s="8">
        <f>1</f>
        <v>1</v>
      </c>
      <c r="CX3311" s="7">
        <f>1</f>
        <v>1</v>
      </c>
      <c r="CY3311" s="7">
        <f>0</f>
        <v>0</v>
      </c>
      <c r="DA3311" s="7">
        <f>1</f>
        <v>1</v>
      </c>
      <c r="DB3311" s="7" t="s">
        <v>240</v>
      </c>
      <c r="DC3311" s="5" t="s">
        <v>240</v>
      </c>
      <c r="DD3311" s="5" t="s">
        <v>240</v>
      </c>
      <c r="DE3311" s="5" t="s">
        <v>240</v>
      </c>
      <c r="DF3311" s="5" t="s">
        <v>240</v>
      </c>
      <c r="DG3311" s="7">
        <f>0</f>
        <v>0</v>
      </c>
      <c r="DI3311" s="5" t="s">
        <v>240</v>
      </c>
      <c r="DJ3311" s="5" t="s">
        <v>240</v>
      </c>
      <c r="DK3311" s="5" t="s">
        <v>240</v>
      </c>
      <c r="DL3311" s="5" t="s">
        <v>240</v>
      </c>
      <c r="DM3311" s="5" t="s">
        <v>240</v>
      </c>
      <c r="DN3311" s="5" t="s">
        <v>240</v>
      </c>
      <c r="DO3311" s="7" t="s">
        <v>240</v>
      </c>
      <c r="DP3311" s="5" t="s">
        <v>240</v>
      </c>
      <c r="DQ3311" s="5" t="s">
        <v>240</v>
      </c>
      <c r="DR3311" s="5" t="s">
        <v>731</v>
      </c>
      <c r="DS3311" s="5" t="s">
        <v>731</v>
      </c>
      <c r="DT3311" s="5" t="s">
        <v>240</v>
      </c>
      <c r="DU3311" s="5" t="s">
        <v>240</v>
      </c>
      <c r="DV3311" s="5" t="s">
        <v>3683</v>
      </c>
      <c r="DW3311" s="5" t="s">
        <v>4017</v>
      </c>
      <c r="DX3311" s="5" t="s">
        <v>240</v>
      </c>
      <c r="DY3311" s="5" t="s">
        <v>240</v>
      </c>
      <c r="DZ3311" s="5" t="s">
        <v>240</v>
      </c>
      <c r="EA3311" s="5" t="s">
        <v>240</v>
      </c>
      <c r="EB3311" s="5" t="s">
        <v>240</v>
      </c>
      <c r="EC3311" s="5" t="s">
        <v>240</v>
      </c>
      <c r="ED3311" s="5" t="s">
        <v>240</v>
      </c>
      <c r="EE3311" s="5" t="s">
        <v>240</v>
      </c>
      <c r="EF3311" s="5" t="s">
        <v>240</v>
      </c>
      <c r="EG3311" s="5" t="s">
        <v>240</v>
      </c>
      <c r="EH3311" s="5" t="s">
        <v>240</v>
      </c>
      <c r="EI3311" s="5" t="s">
        <v>240</v>
      </c>
      <c r="EJ3311" s="5" t="s">
        <v>240</v>
      </c>
      <c r="EK3311" s="5" t="s">
        <v>240</v>
      </c>
      <c r="EL3311" s="5" t="s">
        <v>240</v>
      </c>
      <c r="EM3311" s="5" t="s">
        <v>240</v>
      </c>
      <c r="EN3311" s="5" t="s">
        <v>240</v>
      </c>
      <c r="EO3311" s="5" t="s">
        <v>240</v>
      </c>
      <c r="EP3311" s="5" t="s">
        <v>240</v>
      </c>
      <c r="EQ3311" s="5" t="s">
        <v>240</v>
      </c>
      <c r="ER3311" s="5" t="s">
        <v>240</v>
      </c>
      <c r="ES3311" s="5" t="s">
        <v>240</v>
      </c>
      <c r="ET3311" s="5" t="s">
        <v>240</v>
      </c>
      <c r="EU3311" s="5" t="s">
        <v>240</v>
      </c>
      <c r="EV3311" s="5" t="s">
        <v>240</v>
      </c>
      <c r="EW3311" s="5" t="s">
        <v>240</v>
      </c>
      <c r="EX3311" s="5" t="s">
        <v>240</v>
      </c>
      <c r="EY3311" s="5" t="s">
        <v>240</v>
      </c>
      <c r="EZ3311" s="5" t="s">
        <v>240</v>
      </c>
      <c r="FA3311" s="5" t="s">
        <v>240</v>
      </c>
      <c r="FB3311" s="5" t="s">
        <v>240</v>
      </c>
      <c r="FC3311" s="5" t="s">
        <v>240</v>
      </c>
      <c r="FD3311" s="5" t="s">
        <v>240</v>
      </c>
      <c r="FE3311" s="5" t="s">
        <v>240</v>
      </c>
      <c r="FF3311" s="5" t="s">
        <v>240</v>
      </c>
      <c r="FG3311" s="5" t="s">
        <v>240</v>
      </c>
      <c r="FH3311" s="5" t="s">
        <v>240</v>
      </c>
      <c r="FI3311" s="5" t="s">
        <v>240</v>
      </c>
      <c r="FJ3311" s="5" t="s">
        <v>240</v>
      </c>
      <c r="FK3311" s="5" t="s">
        <v>240</v>
      </c>
      <c r="FL3311" s="5" t="s">
        <v>240</v>
      </c>
      <c r="FM3311" s="5" t="s">
        <v>240</v>
      </c>
      <c r="FN3311" s="5" t="s">
        <v>240</v>
      </c>
      <c r="FO3311" s="5" t="s">
        <v>240</v>
      </c>
      <c r="FP3311" s="5" t="s">
        <v>240</v>
      </c>
      <c r="FQ3311" s="5" t="s">
        <v>240</v>
      </c>
      <c r="FR3311" s="5" t="s">
        <v>240</v>
      </c>
      <c r="FS3311" s="5" t="s">
        <v>240</v>
      </c>
      <c r="FT3311" s="5" t="s">
        <v>240</v>
      </c>
      <c r="FU3311" s="5" t="s">
        <v>240</v>
      </c>
      <c r="FV3311" s="5" t="s">
        <v>240</v>
      </c>
      <c r="FW3311" s="5" t="s">
        <v>240</v>
      </c>
      <c r="FX3311" s="5" t="s">
        <v>240</v>
      </c>
      <c r="FY3311" s="5" t="s">
        <v>240</v>
      </c>
      <c r="FZ3311" s="5" t="s">
        <v>240</v>
      </c>
      <c r="GA3311" s="5" t="s">
        <v>240</v>
      </c>
      <c r="GB3311" s="5" t="s">
        <v>240</v>
      </c>
      <c r="GC3311" s="5" t="s">
        <v>240</v>
      </c>
      <c r="GD3311" s="5" t="s">
        <v>240</v>
      </c>
      <c r="GE3311" s="5" t="s">
        <v>240</v>
      </c>
      <c r="GF3311" s="5" t="s">
        <v>240</v>
      </c>
      <c r="GG3311" s="5" t="s">
        <v>240</v>
      </c>
      <c r="GH3311" s="5" t="s">
        <v>240</v>
      </c>
      <c r="GI3311" s="5" t="s">
        <v>240</v>
      </c>
      <c r="GJ3311" s="5" t="s">
        <v>240</v>
      </c>
      <c r="GK3311" s="5" t="s">
        <v>240</v>
      </c>
      <c r="GL3311" s="5" t="s">
        <v>240</v>
      </c>
      <c r="GM3311" s="5" t="s">
        <v>240</v>
      </c>
      <c r="GN3311" s="5" t="s">
        <v>240</v>
      </c>
      <c r="GO3311" s="5" t="s">
        <v>240</v>
      </c>
      <c r="GP3311" s="5" t="s">
        <v>240</v>
      </c>
      <c r="GQ3311" s="5" t="s">
        <v>240</v>
      </c>
      <c r="GR3311" s="5" t="s">
        <v>240</v>
      </c>
      <c r="GS3311" s="5" t="s">
        <v>240</v>
      </c>
      <c r="GT3311" s="5" t="s">
        <v>240</v>
      </c>
      <c r="GU3311" s="5" t="s">
        <v>240</v>
      </c>
      <c r="GV3311" s="5" t="s">
        <v>240</v>
      </c>
      <c r="GW3311" s="5" t="s">
        <v>240</v>
      </c>
      <c r="GX3311" s="5" t="s">
        <v>240</v>
      </c>
      <c r="GY3311" s="5" t="s">
        <v>240</v>
      </c>
      <c r="GZ3311" s="5" t="s">
        <v>240</v>
      </c>
      <c r="HA3311" s="5" t="s">
        <v>240</v>
      </c>
      <c r="HB3311" s="5" t="s">
        <v>240</v>
      </c>
      <c r="HC3311" s="5" t="s">
        <v>240</v>
      </c>
      <c r="HD3311" s="5" t="s">
        <v>240</v>
      </c>
      <c r="HE3311" s="5" t="s">
        <v>240</v>
      </c>
      <c r="HF3311" s="5" t="s">
        <v>240</v>
      </c>
      <c r="HG3311" s="5" t="s">
        <v>240</v>
      </c>
      <c r="HH3311" s="5" t="s">
        <v>240</v>
      </c>
      <c r="HI3311" s="5" t="s">
        <v>240</v>
      </c>
      <c r="HJ3311" s="5" t="s">
        <v>240</v>
      </c>
      <c r="HK3311" s="5" t="s">
        <v>240</v>
      </c>
      <c r="HL3311" s="5" t="s">
        <v>240</v>
      </c>
      <c r="HM3311" s="5" t="s">
        <v>240</v>
      </c>
      <c r="HN3311" s="5" t="s">
        <v>240</v>
      </c>
      <c r="HO3311" s="5" t="s">
        <v>312</v>
      </c>
      <c r="HP3311" s="5" t="s">
        <v>240</v>
      </c>
      <c r="HQ3311" s="5" t="s">
        <v>240</v>
      </c>
      <c r="HR3311" s="5" t="s">
        <v>240</v>
      </c>
      <c r="HS3311" s="5" t="s">
        <v>240</v>
      </c>
      <c r="HT3311" s="5" t="s">
        <v>240</v>
      </c>
      <c r="HU3311" s="5" t="s">
        <v>240</v>
      </c>
      <c r="HV3311" s="5" t="s">
        <v>240</v>
      </c>
      <c r="HW3311" s="5" t="s">
        <v>240</v>
      </c>
      <c r="HX3311" s="5" t="s">
        <v>240</v>
      </c>
      <c r="HY3311" s="5" t="s">
        <v>240</v>
      </c>
      <c r="HZ3311" s="5" t="s">
        <v>240</v>
      </c>
      <c r="IA3311" s="5" t="s">
        <v>240</v>
      </c>
      <c r="IB3311" s="5" t="s">
        <v>240</v>
      </c>
      <c r="IC3311" s="5" t="s">
        <v>240</v>
      </c>
      <c r="ID3311" s="5" t="s">
        <v>240</v>
      </c>
      <c r="IE3311" s="5" t="s">
        <v>240</v>
      </c>
      <c r="IF3311" s="5" t="s">
        <v>240</v>
      </c>
    </row>
    <row r="3312" spans="1:240" x14ac:dyDescent="0.4">
      <c r="A3312" s="5">
        <v>8854</v>
      </c>
      <c r="B3312" s="5">
        <v>1</v>
      </c>
      <c r="C3312" s="5">
        <v>1</v>
      </c>
      <c r="D3312" s="5" t="s">
        <v>723</v>
      </c>
      <c r="E3312" s="5" t="s">
        <v>725</v>
      </c>
      <c r="F3312" s="5" t="s">
        <v>730</v>
      </c>
      <c r="G3312" s="5" t="s">
        <v>726</v>
      </c>
      <c r="H3312" s="6" t="s">
        <v>6325</v>
      </c>
      <c r="I3312" s="5" t="s">
        <v>722</v>
      </c>
      <c r="J3312" s="8">
        <f>1359</f>
        <v>1359</v>
      </c>
      <c r="K3312" s="5" t="s">
        <v>308</v>
      </c>
      <c r="L3312" s="7">
        <f>0</f>
        <v>0</v>
      </c>
      <c r="M3312" s="7">
        <f>0</f>
        <v>0</v>
      </c>
      <c r="N3312" s="5" t="s">
        <v>242</v>
      </c>
      <c r="O3312" s="5">
        <v>1</v>
      </c>
      <c r="P3312" s="5" t="s">
        <v>294</v>
      </c>
      <c r="Q3312" s="5" t="s">
        <v>3678</v>
      </c>
      <c r="R3312" s="5" t="s">
        <v>240</v>
      </c>
      <c r="S3312" s="5" t="s">
        <v>240</v>
      </c>
      <c r="T3312" s="5" t="s">
        <v>243</v>
      </c>
      <c r="U3312" s="5" t="s">
        <v>244</v>
      </c>
      <c r="V3312" s="5" t="s">
        <v>240</v>
      </c>
      <c r="W3312" s="5" t="s">
        <v>240</v>
      </c>
      <c r="X3312" s="5" t="s">
        <v>240</v>
      </c>
      <c r="Y3312" s="5" t="s">
        <v>240</v>
      </c>
      <c r="Z3312" s="6" t="s">
        <v>298</v>
      </c>
      <c r="AA3312" s="6" t="s">
        <v>240</v>
      </c>
      <c r="AB3312" s="6" t="s">
        <v>240</v>
      </c>
      <c r="AC3312" s="5" t="s">
        <v>240</v>
      </c>
      <c r="AD3312" s="6" t="s">
        <v>240</v>
      </c>
      <c r="AE3312" s="6" t="s">
        <v>299</v>
      </c>
      <c r="AF3312" s="5" t="s">
        <v>248</v>
      </c>
      <c r="AG3312" s="5" t="s">
        <v>249</v>
      </c>
      <c r="AH3312" s="5" t="s">
        <v>240</v>
      </c>
      <c r="AI3312" s="5" t="s">
        <v>240</v>
      </c>
      <c r="AJ3312" s="5" t="s">
        <v>240</v>
      </c>
      <c r="AK3312" s="5" t="s">
        <v>240</v>
      </c>
      <c r="AL3312" s="5" t="s">
        <v>240</v>
      </c>
      <c r="AM3312" s="5" t="s">
        <v>240</v>
      </c>
      <c r="AN3312" s="5" t="s">
        <v>240</v>
      </c>
      <c r="AO3312" s="5" t="s">
        <v>240</v>
      </c>
      <c r="AP3312" s="6" t="s">
        <v>240</v>
      </c>
      <c r="AQ3312" s="6" t="s">
        <v>240</v>
      </c>
      <c r="AR3312" s="6" t="s">
        <v>240</v>
      </c>
      <c r="AS3312" s="6" t="s">
        <v>240</v>
      </c>
      <c r="AT3312" s="5" t="s">
        <v>240</v>
      </c>
      <c r="AU3312" s="5" t="s">
        <v>729</v>
      </c>
      <c r="AV3312" s="5" t="s">
        <v>729</v>
      </c>
      <c r="AW3312" s="5" t="s">
        <v>251</v>
      </c>
      <c r="AX3312" s="5" t="s">
        <v>252</v>
      </c>
      <c r="AY3312" s="5" t="s">
        <v>253</v>
      </c>
      <c r="AZ3312" s="5" t="s">
        <v>240</v>
      </c>
      <c r="BA3312" s="5" t="s">
        <v>255</v>
      </c>
      <c r="BB3312" s="5" t="s">
        <v>731</v>
      </c>
      <c r="BD3312" s="5" t="s">
        <v>240</v>
      </c>
      <c r="BF3312" s="5" t="s">
        <v>732</v>
      </c>
      <c r="BG3312" s="6" t="s">
        <v>733</v>
      </c>
      <c r="BH3312" s="5" t="s">
        <v>734</v>
      </c>
      <c r="BI3312" s="5" t="s">
        <v>734</v>
      </c>
      <c r="BJ3312" s="5" t="s">
        <v>240</v>
      </c>
      <c r="BK3312" s="7">
        <f>1</f>
        <v>1</v>
      </c>
      <c r="BL3312" s="7">
        <f>1</f>
        <v>1</v>
      </c>
      <c r="BM3312" s="5" t="s">
        <v>258</v>
      </c>
      <c r="BN3312" s="5" t="s">
        <v>259</v>
      </c>
      <c r="BO3312" s="5" t="s">
        <v>240</v>
      </c>
      <c r="BP3312" s="5" t="s">
        <v>240</v>
      </c>
      <c r="BQ3312" s="5" t="s">
        <v>240</v>
      </c>
      <c r="BR3312" s="5" t="s">
        <v>240</v>
      </c>
      <c r="BS3312" s="5" t="s">
        <v>240</v>
      </c>
      <c r="BT3312" s="5" t="s">
        <v>240</v>
      </c>
      <c r="BU3312" s="5" t="s">
        <v>240</v>
      </c>
      <c r="BV3312" s="5" t="s">
        <v>240</v>
      </c>
      <c r="BW3312" s="6" t="s">
        <v>240</v>
      </c>
      <c r="BX3312" s="5" t="s">
        <v>240</v>
      </c>
      <c r="BY3312" s="5" t="s">
        <v>240</v>
      </c>
      <c r="BZ3312" s="5" t="s">
        <v>240</v>
      </c>
      <c r="CA3312" s="5" t="s">
        <v>259</v>
      </c>
      <c r="CB3312" s="5" t="s">
        <v>240</v>
      </c>
      <c r="CC3312" s="5" t="s">
        <v>240</v>
      </c>
      <c r="CD3312" s="5" t="s">
        <v>240</v>
      </c>
      <c r="CE3312" s="5" t="s">
        <v>240</v>
      </c>
      <c r="CF3312" s="5" t="s">
        <v>240</v>
      </c>
      <c r="CG3312" s="5" t="s">
        <v>304</v>
      </c>
      <c r="CH3312" s="5" t="s">
        <v>305</v>
      </c>
      <c r="CI3312" s="5" t="s">
        <v>240</v>
      </c>
      <c r="CK3312" s="5" t="s">
        <v>3681</v>
      </c>
      <c r="CL3312" s="6" t="s">
        <v>261</v>
      </c>
      <c r="CM3312" s="5" t="s">
        <v>262</v>
      </c>
      <c r="CN3312" s="5" t="s">
        <v>263</v>
      </c>
      <c r="CO3312" s="5" t="s">
        <v>264</v>
      </c>
      <c r="CP3312" s="5" t="s">
        <v>240</v>
      </c>
      <c r="CQ3312" s="5">
        <v>0</v>
      </c>
      <c r="CR3312" s="5" t="s">
        <v>735</v>
      </c>
      <c r="CS3312" s="5" t="s">
        <v>307</v>
      </c>
      <c r="CT3312" s="5" t="s">
        <v>307</v>
      </c>
      <c r="CU3312" s="5" t="s">
        <v>260</v>
      </c>
      <c r="CV3312" s="5" t="s">
        <v>612</v>
      </c>
      <c r="CW3312" s="8">
        <f>1</f>
        <v>1</v>
      </c>
      <c r="CX3312" s="7">
        <f>1</f>
        <v>1</v>
      </c>
      <c r="CY3312" s="7">
        <f>0</f>
        <v>0</v>
      </c>
      <c r="DA3312" s="7">
        <f>1</f>
        <v>1</v>
      </c>
      <c r="DB3312" s="7" t="s">
        <v>240</v>
      </c>
      <c r="DC3312" s="5" t="s">
        <v>240</v>
      </c>
      <c r="DD3312" s="5" t="s">
        <v>240</v>
      </c>
      <c r="DE3312" s="5" t="s">
        <v>240</v>
      </c>
      <c r="DF3312" s="5" t="s">
        <v>240</v>
      </c>
      <c r="DG3312" s="7">
        <f>0</f>
        <v>0</v>
      </c>
      <c r="DI3312" s="5" t="s">
        <v>240</v>
      </c>
      <c r="DJ3312" s="5" t="s">
        <v>240</v>
      </c>
      <c r="DK3312" s="5" t="s">
        <v>240</v>
      </c>
      <c r="DL3312" s="5" t="s">
        <v>240</v>
      </c>
      <c r="DM3312" s="5" t="s">
        <v>240</v>
      </c>
      <c r="DN3312" s="5" t="s">
        <v>240</v>
      </c>
      <c r="DO3312" s="7" t="s">
        <v>240</v>
      </c>
      <c r="DP3312" s="5" t="s">
        <v>240</v>
      </c>
      <c r="DQ3312" s="5" t="s">
        <v>240</v>
      </c>
      <c r="DR3312" s="5" t="s">
        <v>731</v>
      </c>
      <c r="DS3312" s="5" t="s">
        <v>731</v>
      </c>
      <c r="DT3312" s="5" t="s">
        <v>240</v>
      </c>
      <c r="DU3312" s="5" t="s">
        <v>240</v>
      </c>
      <c r="DV3312" s="5" t="s">
        <v>3683</v>
      </c>
      <c r="DW3312" s="5" t="s">
        <v>5223</v>
      </c>
      <c r="DX3312" s="5" t="s">
        <v>240</v>
      </c>
      <c r="DY3312" s="5" t="s">
        <v>240</v>
      </c>
      <c r="DZ3312" s="5" t="s">
        <v>240</v>
      </c>
      <c r="EA3312" s="5" t="s">
        <v>240</v>
      </c>
      <c r="EB3312" s="5" t="s">
        <v>240</v>
      </c>
      <c r="EC3312" s="5" t="s">
        <v>240</v>
      </c>
      <c r="ED3312" s="5" t="s">
        <v>240</v>
      </c>
      <c r="EE3312" s="5" t="s">
        <v>240</v>
      </c>
      <c r="EF3312" s="5" t="s">
        <v>240</v>
      </c>
      <c r="EG3312" s="5" t="s">
        <v>240</v>
      </c>
      <c r="EH3312" s="5" t="s">
        <v>240</v>
      </c>
      <c r="EI3312" s="5" t="s">
        <v>240</v>
      </c>
      <c r="EJ3312" s="5" t="s">
        <v>240</v>
      </c>
      <c r="EK3312" s="5" t="s">
        <v>240</v>
      </c>
      <c r="EL3312" s="5" t="s">
        <v>240</v>
      </c>
      <c r="EM3312" s="5" t="s">
        <v>240</v>
      </c>
      <c r="EN3312" s="5" t="s">
        <v>240</v>
      </c>
      <c r="EO3312" s="5" t="s">
        <v>240</v>
      </c>
      <c r="EP3312" s="5" t="s">
        <v>240</v>
      </c>
      <c r="EQ3312" s="5" t="s">
        <v>240</v>
      </c>
      <c r="ER3312" s="5" t="s">
        <v>240</v>
      </c>
      <c r="ES3312" s="5" t="s">
        <v>240</v>
      </c>
      <c r="ET3312" s="5" t="s">
        <v>240</v>
      </c>
      <c r="EU3312" s="5" t="s">
        <v>240</v>
      </c>
      <c r="EV3312" s="5" t="s">
        <v>240</v>
      </c>
      <c r="EW3312" s="5" t="s">
        <v>240</v>
      </c>
      <c r="EX3312" s="5" t="s">
        <v>240</v>
      </c>
      <c r="EY3312" s="5" t="s">
        <v>240</v>
      </c>
      <c r="EZ3312" s="5" t="s">
        <v>240</v>
      </c>
      <c r="FA3312" s="5" t="s">
        <v>240</v>
      </c>
      <c r="FB3312" s="5" t="s">
        <v>240</v>
      </c>
      <c r="FC3312" s="5" t="s">
        <v>240</v>
      </c>
      <c r="FD3312" s="5" t="s">
        <v>240</v>
      </c>
      <c r="FE3312" s="5" t="s">
        <v>240</v>
      </c>
      <c r="FF3312" s="5" t="s">
        <v>240</v>
      </c>
      <c r="FG3312" s="5" t="s">
        <v>240</v>
      </c>
      <c r="FH3312" s="5" t="s">
        <v>240</v>
      </c>
      <c r="FI3312" s="5" t="s">
        <v>240</v>
      </c>
      <c r="FJ3312" s="5" t="s">
        <v>240</v>
      </c>
      <c r="FK3312" s="5" t="s">
        <v>240</v>
      </c>
      <c r="FL3312" s="5" t="s">
        <v>240</v>
      </c>
      <c r="FM3312" s="5" t="s">
        <v>240</v>
      </c>
      <c r="FN3312" s="5" t="s">
        <v>240</v>
      </c>
      <c r="FO3312" s="5" t="s">
        <v>240</v>
      </c>
      <c r="FP3312" s="5" t="s">
        <v>240</v>
      </c>
      <c r="FQ3312" s="5" t="s">
        <v>240</v>
      </c>
      <c r="FR3312" s="5" t="s">
        <v>240</v>
      </c>
      <c r="FS3312" s="5" t="s">
        <v>240</v>
      </c>
      <c r="FT3312" s="5" t="s">
        <v>240</v>
      </c>
      <c r="FU3312" s="5" t="s">
        <v>240</v>
      </c>
      <c r="FV3312" s="5" t="s">
        <v>240</v>
      </c>
      <c r="FW3312" s="5" t="s">
        <v>240</v>
      </c>
      <c r="FX3312" s="5" t="s">
        <v>240</v>
      </c>
      <c r="FY3312" s="5" t="s">
        <v>240</v>
      </c>
      <c r="FZ3312" s="5" t="s">
        <v>240</v>
      </c>
      <c r="GA3312" s="5" t="s">
        <v>240</v>
      </c>
      <c r="GB3312" s="5" t="s">
        <v>240</v>
      </c>
      <c r="GC3312" s="5" t="s">
        <v>240</v>
      </c>
      <c r="GD3312" s="5" t="s">
        <v>240</v>
      </c>
      <c r="GE3312" s="5" t="s">
        <v>240</v>
      </c>
      <c r="GF3312" s="5" t="s">
        <v>240</v>
      </c>
      <c r="GG3312" s="5" t="s">
        <v>240</v>
      </c>
      <c r="GH3312" s="5" t="s">
        <v>240</v>
      </c>
      <c r="GI3312" s="5" t="s">
        <v>240</v>
      </c>
      <c r="GJ3312" s="5" t="s">
        <v>240</v>
      </c>
      <c r="GK3312" s="5" t="s">
        <v>240</v>
      </c>
      <c r="GL3312" s="5" t="s">
        <v>240</v>
      </c>
      <c r="GM3312" s="5" t="s">
        <v>240</v>
      </c>
      <c r="GN3312" s="5" t="s">
        <v>240</v>
      </c>
      <c r="GO3312" s="5" t="s">
        <v>240</v>
      </c>
      <c r="GP3312" s="5" t="s">
        <v>240</v>
      </c>
      <c r="GQ3312" s="5" t="s">
        <v>240</v>
      </c>
      <c r="GR3312" s="5" t="s">
        <v>240</v>
      </c>
      <c r="GS3312" s="5" t="s">
        <v>240</v>
      </c>
      <c r="GT3312" s="5" t="s">
        <v>240</v>
      </c>
      <c r="GU3312" s="5" t="s">
        <v>240</v>
      </c>
      <c r="GV3312" s="5" t="s">
        <v>240</v>
      </c>
      <c r="GW3312" s="5" t="s">
        <v>240</v>
      </c>
      <c r="GX3312" s="5" t="s">
        <v>240</v>
      </c>
      <c r="GY3312" s="5" t="s">
        <v>240</v>
      </c>
      <c r="GZ3312" s="5" t="s">
        <v>240</v>
      </c>
      <c r="HA3312" s="5" t="s">
        <v>240</v>
      </c>
      <c r="HB3312" s="5" t="s">
        <v>240</v>
      </c>
      <c r="HC3312" s="5" t="s">
        <v>240</v>
      </c>
      <c r="HD3312" s="5" t="s">
        <v>240</v>
      </c>
      <c r="HE3312" s="5" t="s">
        <v>240</v>
      </c>
      <c r="HF3312" s="5" t="s">
        <v>240</v>
      </c>
      <c r="HG3312" s="5" t="s">
        <v>240</v>
      </c>
      <c r="HH3312" s="5" t="s">
        <v>240</v>
      </c>
      <c r="HI3312" s="5" t="s">
        <v>240</v>
      </c>
      <c r="HJ3312" s="5" t="s">
        <v>240</v>
      </c>
      <c r="HK3312" s="5" t="s">
        <v>240</v>
      </c>
      <c r="HL3312" s="5" t="s">
        <v>240</v>
      </c>
      <c r="HM3312" s="5" t="s">
        <v>240</v>
      </c>
      <c r="HN3312" s="5" t="s">
        <v>240</v>
      </c>
      <c r="HO3312" s="5" t="s">
        <v>312</v>
      </c>
      <c r="HP3312" s="5" t="s">
        <v>240</v>
      </c>
      <c r="HQ3312" s="5" t="s">
        <v>240</v>
      </c>
      <c r="HR3312" s="5" t="s">
        <v>240</v>
      </c>
      <c r="HS3312" s="5" t="s">
        <v>240</v>
      </c>
      <c r="HT3312" s="5" t="s">
        <v>240</v>
      </c>
      <c r="HU3312" s="5" t="s">
        <v>240</v>
      </c>
      <c r="HV3312" s="5" t="s">
        <v>240</v>
      </c>
      <c r="HW3312" s="5" t="s">
        <v>240</v>
      </c>
      <c r="HX3312" s="5" t="s">
        <v>240</v>
      </c>
      <c r="HY3312" s="5" t="s">
        <v>240</v>
      </c>
      <c r="HZ3312" s="5" t="s">
        <v>240</v>
      </c>
      <c r="IA3312" s="5" t="s">
        <v>240</v>
      </c>
      <c r="IB3312" s="5" t="s">
        <v>240</v>
      </c>
      <c r="IC3312" s="5" t="s">
        <v>240</v>
      </c>
      <c r="ID3312" s="5" t="s">
        <v>240</v>
      </c>
      <c r="IE3312" s="5" t="s">
        <v>240</v>
      </c>
      <c r="IF3312" s="5" t="s">
        <v>240</v>
      </c>
    </row>
    <row r="3313" spans="1:240" x14ac:dyDescent="0.4">
      <c r="A3313" s="5">
        <v>8855</v>
      </c>
      <c r="B3313" s="5">
        <v>1</v>
      </c>
      <c r="C3313" s="5">
        <v>1</v>
      </c>
      <c r="D3313" s="5" t="s">
        <v>723</v>
      </c>
      <c r="E3313" s="5" t="s">
        <v>725</v>
      </c>
      <c r="F3313" s="5" t="s">
        <v>730</v>
      </c>
      <c r="G3313" s="5" t="s">
        <v>726</v>
      </c>
      <c r="H3313" s="6" t="s">
        <v>6602</v>
      </c>
      <c r="I3313" s="5" t="s">
        <v>990</v>
      </c>
      <c r="J3313" s="8">
        <f>421</f>
        <v>421</v>
      </c>
      <c r="K3313" s="5" t="s">
        <v>308</v>
      </c>
      <c r="L3313" s="7">
        <f>0</f>
        <v>0</v>
      </c>
      <c r="M3313" s="7">
        <f>0</f>
        <v>0</v>
      </c>
      <c r="N3313" s="5" t="s">
        <v>242</v>
      </c>
      <c r="O3313" s="5">
        <v>1</v>
      </c>
      <c r="P3313" s="5" t="s">
        <v>294</v>
      </c>
      <c r="Q3313" s="5" t="s">
        <v>3678</v>
      </c>
      <c r="R3313" s="5" t="s">
        <v>240</v>
      </c>
      <c r="S3313" s="5" t="s">
        <v>240</v>
      </c>
      <c r="T3313" s="5" t="s">
        <v>243</v>
      </c>
      <c r="U3313" s="5" t="s">
        <v>244</v>
      </c>
      <c r="V3313" s="5" t="s">
        <v>240</v>
      </c>
      <c r="W3313" s="5" t="s">
        <v>240</v>
      </c>
      <c r="X3313" s="5" t="s">
        <v>240</v>
      </c>
      <c r="Y3313" s="5" t="s">
        <v>240</v>
      </c>
      <c r="Z3313" s="6" t="s">
        <v>298</v>
      </c>
      <c r="AA3313" s="6" t="s">
        <v>240</v>
      </c>
      <c r="AB3313" s="6" t="s">
        <v>240</v>
      </c>
      <c r="AC3313" s="5" t="s">
        <v>240</v>
      </c>
      <c r="AD3313" s="6" t="s">
        <v>240</v>
      </c>
      <c r="AE3313" s="6" t="s">
        <v>299</v>
      </c>
      <c r="AF3313" s="5" t="s">
        <v>248</v>
      </c>
      <c r="AG3313" s="5" t="s">
        <v>249</v>
      </c>
      <c r="AH3313" s="5" t="s">
        <v>240</v>
      </c>
      <c r="AI3313" s="5" t="s">
        <v>240</v>
      </c>
      <c r="AJ3313" s="5" t="s">
        <v>240</v>
      </c>
      <c r="AK3313" s="5" t="s">
        <v>240</v>
      </c>
      <c r="AL3313" s="5" t="s">
        <v>240</v>
      </c>
      <c r="AM3313" s="5" t="s">
        <v>240</v>
      </c>
      <c r="AN3313" s="5" t="s">
        <v>240</v>
      </c>
      <c r="AO3313" s="5" t="s">
        <v>240</v>
      </c>
      <c r="AP3313" s="6" t="s">
        <v>240</v>
      </c>
      <c r="AQ3313" s="6" t="s">
        <v>240</v>
      </c>
      <c r="AR3313" s="6" t="s">
        <v>240</v>
      </c>
      <c r="AS3313" s="6" t="s">
        <v>240</v>
      </c>
      <c r="AT3313" s="5" t="s">
        <v>240</v>
      </c>
      <c r="AU3313" s="5" t="s">
        <v>729</v>
      </c>
      <c r="AV3313" s="5" t="s">
        <v>729</v>
      </c>
      <c r="AW3313" s="5" t="s">
        <v>251</v>
      </c>
      <c r="AX3313" s="5" t="s">
        <v>252</v>
      </c>
      <c r="AY3313" s="5" t="s">
        <v>253</v>
      </c>
      <c r="AZ3313" s="5" t="s">
        <v>240</v>
      </c>
      <c r="BA3313" s="5" t="s">
        <v>255</v>
      </c>
      <c r="BB3313" s="5" t="s">
        <v>731</v>
      </c>
      <c r="BD3313" s="5" t="s">
        <v>240</v>
      </c>
      <c r="BF3313" s="5" t="s">
        <v>732</v>
      </c>
      <c r="BG3313" s="6" t="s">
        <v>733</v>
      </c>
      <c r="BH3313" s="5" t="s">
        <v>734</v>
      </c>
      <c r="BI3313" s="5" t="s">
        <v>734</v>
      </c>
      <c r="BJ3313" s="5" t="s">
        <v>240</v>
      </c>
      <c r="BK3313" s="7">
        <f>1</f>
        <v>1</v>
      </c>
      <c r="BL3313" s="7">
        <f>1</f>
        <v>1</v>
      </c>
      <c r="BM3313" s="5" t="s">
        <v>258</v>
      </c>
      <c r="BN3313" s="5" t="s">
        <v>259</v>
      </c>
      <c r="BO3313" s="5" t="s">
        <v>240</v>
      </c>
      <c r="BP3313" s="5" t="s">
        <v>240</v>
      </c>
      <c r="BQ3313" s="5" t="s">
        <v>240</v>
      </c>
      <c r="BR3313" s="5" t="s">
        <v>240</v>
      </c>
      <c r="BS3313" s="5" t="s">
        <v>240</v>
      </c>
      <c r="BT3313" s="5" t="s">
        <v>240</v>
      </c>
      <c r="BU3313" s="5" t="s">
        <v>240</v>
      </c>
      <c r="BV3313" s="5" t="s">
        <v>240</v>
      </c>
      <c r="BW3313" s="6" t="s">
        <v>240</v>
      </c>
      <c r="BX3313" s="5" t="s">
        <v>240</v>
      </c>
      <c r="BY3313" s="5" t="s">
        <v>240</v>
      </c>
      <c r="BZ3313" s="5" t="s">
        <v>240</v>
      </c>
      <c r="CA3313" s="5" t="s">
        <v>259</v>
      </c>
      <c r="CB3313" s="5" t="s">
        <v>240</v>
      </c>
      <c r="CC3313" s="5" t="s">
        <v>240</v>
      </c>
      <c r="CD3313" s="5" t="s">
        <v>240</v>
      </c>
      <c r="CE3313" s="5" t="s">
        <v>240</v>
      </c>
      <c r="CF3313" s="5" t="s">
        <v>240</v>
      </c>
      <c r="CG3313" s="5" t="s">
        <v>304</v>
      </c>
      <c r="CH3313" s="5" t="s">
        <v>305</v>
      </c>
      <c r="CI3313" s="5" t="s">
        <v>240</v>
      </c>
      <c r="CK3313" s="5" t="s">
        <v>3681</v>
      </c>
      <c r="CL3313" s="6" t="s">
        <v>261</v>
      </c>
      <c r="CM3313" s="5" t="s">
        <v>262</v>
      </c>
      <c r="CN3313" s="5" t="s">
        <v>263</v>
      </c>
      <c r="CO3313" s="5" t="s">
        <v>264</v>
      </c>
      <c r="CP3313" s="5" t="s">
        <v>240</v>
      </c>
      <c r="CQ3313" s="5">
        <v>0</v>
      </c>
      <c r="CR3313" s="5" t="s">
        <v>735</v>
      </c>
      <c r="CS3313" s="5" t="s">
        <v>307</v>
      </c>
      <c r="CT3313" s="5" t="s">
        <v>307</v>
      </c>
      <c r="CU3313" s="5" t="s">
        <v>260</v>
      </c>
      <c r="CV3313" s="5" t="s">
        <v>612</v>
      </c>
      <c r="CW3313" s="8">
        <f>1</f>
        <v>1</v>
      </c>
      <c r="CX3313" s="7">
        <f>1</f>
        <v>1</v>
      </c>
      <c r="CY3313" s="7">
        <f>0</f>
        <v>0</v>
      </c>
      <c r="DA3313" s="7">
        <f>1</f>
        <v>1</v>
      </c>
      <c r="DB3313" s="7" t="s">
        <v>240</v>
      </c>
      <c r="DC3313" s="5" t="s">
        <v>240</v>
      </c>
      <c r="DD3313" s="5" t="s">
        <v>240</v>
      </c>
      <c r="DE3313" s="5" t="s">
        <v>240</v>
      </c>
      <c r="DF3313" s="5" t="s">
        <v>240</v>
      </c>
      <c r="DG3313" s="7">
        <f>0</f>
        <v>0</v>
      </c>
      <c r="DI3313" s="5" t="s">
        <v>240</v>
      </c>
      <c r="DJ3313" s="5" t="s">
        <v>240</v>
      </c>
      <c r="DK3313" s="5" t="s">
        <v>240</v>
      </c>
      <c r="DL3313" s="5" t="s">
        <v>240</v>
      </c>
      <c r="DM3313" s="5" t="s">
        <v>240</v>
      </c>
      <c r="DN3313" s="5" t="s">
        <v>240</v>
      </c>
      <c r="DO3313" s="7" t="s">
        <v>240</v>
      </c>
      <c r="DP3313" s="5" t="s">
        <v>240</v>
      </c>
      <c r="DQ3313" s="5" t="s">
        <v>240</v>
      </c>
      <c r="DR3313" s="5" t="s">
        <v>731</v>
      </c>
      <c r="DS3313" s="5" t="s">
        <v>731</v>
      </c>
      <c r="DT3313" s="5" t="s">
        <v>240</v>
      </c>
      <c r="DU3313" s="5" t="s">
        <v>240</v>
      </c>
      <c r="DV3313" s="5" t="s">
        <v>3683</v>
      </c>
      <c r="DW3313" s="5" t="s">
        <v>366</v>
      </c>
      <c r="DX3313" s="5" t="s">
        <v>240</v>
      </c>
      <c r="DY3313" s="5" t="s">
        <v>240</v>
      </c>
      <c r="DZ3313" s="5" t="s">
        <v>240</v>
      </c>
      <c r="EA3313" s="5" t="s">
        <v>240</v>
      </c>
      <c r="EB3313" s="5" t="s">
        <v>240</v>
      </c>
      <c r="EC3313" s="5" t="s">
        <v>240</v>
      </c>
      <c r="ED3313" s="5" t="s">
        <v>240</v>
      </c>
      <c r="EE3313" s="5" t="s">
        <v>240</v>
      </c>
      <c r="EF3313" s="5" t="s">
        <v>240</v>
      </c>
      <c r="EG3313" s="5" t="s">
        <v>240</v>
      </c>
      <c r="EH3313" s="5" t="s">
        <v>240</v>
      </c>
      <c r="EI3313" s="5" t="s">
        <v>240</v>
      </c>
      <c r="EJ3313" s="5" t="s">
        <v>240</v>
      </c>
      <c r="EK3313" s="5" t="s">
        <v>240</v>
      </c>
      <c r="EL3313" s="5" t="s">
        <v>240</v>
      </c>
      <c r="EM3313" s="5" t="s">
        <v>240</v>
      </c>
      <c r="EN3313" s="5" t="s">
        <v>240</v>
      </c>
      <c r="EO3313" s="5" t="s">
        <v>240</v>
      </c>
      <c r="EP3313" s="5" t="s">
        <v>240</v>
      </c>
      <c r="EQ3313" s="5" t="s">
        <v>240</v>
      </c>
      <c r="ER3313" s="5" t="s">
        <v>240</v>
      </c>
      <c r="ES3313" s="5" t="s">
        <v>240</v>
      </c>
      <c r="ET3313" s="5" t="s">
        <v>240</v>
      </c>
      <c r="EU3313" s="5" t="s">
        <v>240</v>
      </c>
      <c r="EV3313" s="5" t="s">
        <v>240</v>
      </c>
      <c r="EW3313" s="5" t="s">
        <v>240</v>
      </c>
      <c r="EX3313" s="5" t="s">
        <v>240</v>
      </c>
      <c r="EY3313" s="5" t="s">
        <v>240</v>
      </c>
      <c r="EZ3313" s="5" t="s">
        <v>240</v>
      </c>
      <c r="FA3313" s="5" t="s">
        <v>240</v>
      </c>
      <c r="FB3313" s="5" t="s">
        <v>240</v>
      </c>
      <c r="FC3313" s="5" t="s">
        <v>240</v>
      </c>
      <c r="FD3313" s="5" t="s">
        <v>240</v>
      </c>
      <c r="FE3313" s="5" t="s">
        <v>240</v>
      </c>
      <c r="FF3313" s="5" t="s">
        <v>240</v>
      </c>
      <c r="FG3313" s="5" t="s">
        <v>240</v>
      </c>
      <c r="FH3313" s="5" t="s">
        <v>240</v>
      </c>
      <c r="FI3313" s="5" t="s">
        <v>240</v>
      </c>
      <c r="FJ3313" s="5" t="s">
        <v>240</v>
      </c>
      <c r="FK3313" s="5" t="s">
        <v>240</v>
      </c>
      <c r="FL3313" s="5" t="s">
        <v>240</v>
      </c>
      <c r="FM3313" s="5" t="s">
        <v>240</v>
      </c>
      <c r="FN3313" s="5" t="s">
        <v>240</v>
      </c>
      <c r="FO3313" s="5" t="s">
        <v>240</v>
      </c>
      <c r="FP3313" s="5" t="s">
        <v>240</v>
      </c>
      <c r="FQ3313" s="5" t="s">
        <v>240</v>
      </c>
      <c r="FR3313" s="5" t="s">
        <v>240</v>
      </c>
      <c r="FS3313" s="5" t="s">
        <v>240</v>
      </c>
      <c r="FT3313" s="5" t="s">
        <v>240</v>
      </c>
      <c r="FU3313" s="5" t="s">
        <v>240</v>
      </c>
      <c r="FV3313" s="5" t="s">
        <v>240</v>
      </c>
      <c r="FW3313" s="5" t="s">
        <v>240</v>
      </c>
      <c r="FX3313" s="5" t="s">
        <v>240</v>
      </c>
      <c r="FY3313" s="5" t="s">
        <v>240</v>
      </c>
      <c r="FZ3313" s="5" t="s">
        <v>240</v>
      </c>
      <c r="GA3313" s="5" t="s">
        <v>240</v>
      </c>
      <c r="GB3313" s="5" t="s">
        <v>240</v>
      </c>
      <c r="GC3313" s="5" t="s">
        <v>240</v>
      </c>
      <c r="GD3313" s="5" t="s">
        <v>240</v>
      </c>
      <c r="GE3313" s="5" t="s">
        <v>240</v>
      </c>
      <c r="GF3313" s="5" t="s">
        <v>240</v>
      </c>
      <c r="GG3313" s="5" t="s">
        <v>240</v>
      </c>
      <c r="GH3313" s="5" t="s">
        <v>240</v>
      </c>
      <c r="GI3313" s="5" t="s">
        <v>240</v>
      </c>
      <c r="GJ3313" s="5" t="s">
        <v>240</v>
      </c>
      <c r="GK3313" s="5" t="s">
        <v>240</v>
      </c>
      <c r="GL3313" s="5" t="s">
        <v>240</v>
      </c>
      <c r="GM3313" s="5" t="s">
        <v>240</v>
      </c>
      <c r="GN3313" s="5" t="s">
        <v>240</v>
      </c>
      <c r="GO3313" s="5" t="s">
        <v>240</v>
      </c>
      <c r="GP3313" s="5" t="s">
        <v>240</v>
      </c>
      <c r="GQ3313" s="5" t="s">
        <v>240</v>
      </c>
      <c r="GR3313" s="5" t="s">
        <v>240</v>
      </c>
      <c r="GS3313" s="5" t="s">
        <v>240</v>
      </c>
      <c r="GT3313" s="5" t="s">
        <v>240</v>
      </c>
      <c r="GU3313" s="5" t="s">
        <v>240</v>
      </c>
      <c r="GV3313" s="5" t="s">
        <v>240</v>
      </c>
      <c r="GW3313" s="5" t="s">
        <v>240</v>
      </c>
      <c r="GX3313" s="5" t="s">
        <v>240</v>
      </c>
      <c r="GY3313" s="5" t="s">
        <v>240</v>
      </c>
      <c r="GZ3313" s="5" t="s">
        <v>240</v>
      </c>
      <c r="HA3313" s="5" t="s">
        <v>240</v>
      </c>
      <c r="HB3313" s="5" t="s">
        <v>240</v>
      </c>
      <c r="HC3313" s="5" t="s">
        <v>240</v>
      </c>
      <c r="HD3313" s="5" t="s">
        <v>240</v>
      </c>
      <c r="HE3313" s="5" t="s">
        <v>240</v>
      </c>
      <c r="HF3313" s="5" t="s">
        <v>240</v>
      </c>
      <c r="HG3313" s="5" t="s">
        <v>240</v>
      </c>
      <c r="HH3313" s="5" t="s">
        <v>240</v>
      </c>
      <c r="HI3313" s="5" t="s">
        <v>240</v>
      </c>
      <c r="HJ3313" s="5" t="s">
        <v>240</v>
      </c>
      <c r="HK3313" s="5" t="s">
        <v>240</v>
      </c>
      <c r="HL3313" s="5" t="s">
        <v>240</v>
      </c>
      <c r="HM3313" s="5" t="s">
        <v>240</v>
      </c>
      <c r="HN3313" s="5" t="s">
        <v>240</v>
      </c>
      <c r="HO3313" s="5" t="s">
        <v>312</v>
      </c>
      <c r="HP3313" s="5" t="s">
        <v>240</v>
      </c>
      <c r="HQ3313" s="5" t="s">
        <v>240</v>
      </c>
      <c r="HR3313" s="5" t="s">
        <v>240</v>
      </c>
      <c r="HS3313" s="5" t="s">
        <v>240</v>
      </c>
      <c r="HT3313" s="5" t="s">
        <v>240</v>
      </c>
      <c r="HU3313" s="5" t="s">
        <v>240</v>
      </c>
      <c r="HV3313" s="5" t="s">
        <v>240</v>
      </c>
      <c r="HW3313" s="5" t="s">
        <v>240</v>
      </c>
      <c r="HX3313" s="5" t="s">
        <v>240</v>
      </c>
      <c r="HY3313" s="5" t="s">
        <v>240</v>
      </c>
      <c r="HZ3313" s="5" t="s">
        <v>240</v>
      </c>
      <c r="IA3313" s="5" t="s">
        <v>240</v>
      </c>
      <c r="IB3313" s="5" t="s">
        <v>240</v>
      </c>
      <c r="IC3313" s="5" t="s">
        <v>240</v>
      </c>
      <c r="ID3313" s="5" t="s">
        <v>240</v>
      </c>
      <c r="IE3313" s="5" t="s">
        <v>240</v>
      </c>
      <c r="IF3313" s="5" t="s">
        <v>240</v>
      </c>
    </row>
    <row r="3314" spans="1:240" x14ac:dyDescent="0.4">
      <c r="A3314" s="5">
        <v>8856</v>
      </c>
      <c r="B3314" s="5">
        <v>1</v>
      </c>
      <c r="C3314" s="5">
        <v>1</v>
      </c>
      <c r="D3314" s="5" t="s">
        <v>723</v>
      </c>
      <c r="E3314" s="5" t="s">
        <v>725</v>
      </c>
      <c r="F3314" s="5" t="s">
        <v>730</v>
      </c>
      <c r="G3314" s="5" t="s">
        <v>726</v>
      </c>
      <c r="H3314" s="6" t="s">
        <v>6318</v>
      </c>
      <c r="I3314" s="5" t="s">
        <v>990</v>
      </c>
      <c r="J3314" s="8">
        <f>10</f>
        <v>10</v>
      </c>
      <c r="K3314" s="5" t="s">
        <v>308</v>
      </c>
      <c r="L3314" s="7">
        <f>0</f>
        <v>0</v>
      </c>
      <c r="M3314" s="7">
        <f>0</f>
        <v>0</v>
      </c>
      <c r="N3314" s="5" t="s">
        <v>242</v>
      </c>
      <c r="O3314" s="5">
        <v>1</v>
      </c>
      <c r="P3314" s="5" t="s">
        <v>294</v>
      </c>
      <c r="Q3314" s="5" t="s">
        <v>3678</v>
      </c>
      <c r="R3314" s="5" t="s">
        <v>240</v>
      </c>
      <c r="S3314" s="5" t="s">
        <v>240</v>
      </c>
      <c r="T3314" s="5" t="s">
        <v>243</v>
      </c>
      <c r="U3314" s="5" t="s">
        <v>244</v>
      </c>
      <c r="V3314" s="5" t="s">
        <v>240</v>
      </c>
      <c r="W3314" s="5" t="s">
        <v>240</v>
      </c>
      <c r="X3314" s="5" t="s">
        <v>240</v>
      </c>
      <c r="Y3314" s="5" t="s">
        <v>240</v>
      </c>
      <c r="Z3314" s="6" t="s">
        <v>298</v>
      </c>
      <c r="AA3314" s="6" t="s">
        <v>240</v>
      </c>
      <c r="AB3314" s="6" t="s">
        <v>240</v>
      </c>
      <c r="AC3314" s="5" t="s">
        <v>240</v>
      </c>
      <c r="AD3314" s="6" t="s">
        <v>240</v>
      </c>
      <c r="AE3314" s="6" t="s">
        <v>299</v>
      </c>
      <c r="AF3314" s="5" t="s">
        <v>248</v>
      </c>
      <c r="AG3314" s="5" t="s">
        <v>249</v>
      </c>
      <c r="AH3314" s="5" t="s">
        <v>240</v>
      </c>
      <c r="AI3314" s="5" t="s">
        <v>240</v>
      </c>
      <c r="AJ3314" s="5" t="s">
        <v>240</v>
      </c>
      <c r="AK3314" s="5" t="s">
        <v>240</v>
      </c>
      <c r="AL3314" s="5" t="s">
        <v>240</v>
      </c>
      <c r="AM3314" s="5" t="s">
        <v>240</v>
      </c>
      <c r="AN3314" s="5" t="s">
        <v>240</v>
      </c>
      <c r="AO3314" s="5" t="s">
        <v>240</v>
      </c>
      <c r="AP3314" s="6" t="s">
        <v>240</v>
      </c>
      <c r="AQ3314" s="6" t="s">
        <v>240</v>
      </c>
      <c r="AR3314" s="6" t="s">
        <v>240</v>
      </c>
      <c r="AS3314" s="6" t="s">
        <v>240</v>
      </c>
      <c r="AT3314" s="5" t="s">
        <v>240</v>
      </c>
      <c r="AU3314" s="5" t="s">
        <v>729</v>
      </c>
      <c r="AV3314" s="5" t="s">
        <v>729</v>
      </c>
      <c r="AW3314" s="5" t="s">
        <v>251</v>
      </c>
      <c r="AX3314" s="5" t="s">
        <v>252</v>
      </c>
      <c r="AY3314" s="5" t="s">
        <v>253</v>
      </c>
      <c r="AZ3314" s="5" t="s">
        <v>240</v>
      </c>
      <c r="BA3314" s="5" t="s">
        <v>255</v>
      </c>
      <c r="BB3314" s="5" t="s">
        <v>731</v>
      </c>
      <c r="BD3314" s="5" t="s">
        <v>240</v>
      </c>
      <c r="BF3314" s="5" t="s">
        <v>732</v>
      </c>
      <c r="BG3314" s="6" t="s">
        <v>733</v>
      </c>
      <c r="BH3314" s="5" t="s">
        <v>734</v>
      </c>
      <c r="BI3314" s="5" t="s">
        <v>734</v>
      </c>
      <c r="BJ3314" s="5" t="s">
        <v>240</v>
      </c>
      <c r="BK3314" s="7">
        <f>1</f>
        <v>1</v>
      </c>
      <c r="BL3314" s="7">
        <f>1</f>
        <v>1</v>
      </c>
      <c r="BM3314" s="5" t="s">
        <v>258</v>
      </c>
      <c r="BN3314" s="5" t="s">
        <v>259</v>
      </c>
      <c r="BO3314" s="5" t="s">
        <v>240</v>
      </c>
      <c r="BP3314" s="5" t="s">
        <v>240</v>
      </c>
      <c r="BQ3314" s="5" t="s">
        <v>240</v>
      </c>
      <c r="BR3314" s="5" t="s">
        <v>240</v>
      </c>
      <c r="BS3314" s="5" t="s">
        <v>240</v>
      </c>
      <c r="BT3314" s="5" t="s">
        <v>240</v>
      </c>
      <c r="BU3314" s="5" t="s">
        <v>240</v>
      </c>
      <c r="BV3314" s="5" t="s">
        <v>240</v>
      </c>
      <c r="BW3314" s="6" t="s">
        <v>240</v>
      </c>
      <c r="BX3314" s="5" t="s">
        <v>240</v>
      </c>
      <c r="BY3314" s="5" t="s">
        <v>240</v>
      </c>
      <c r="BZ3314" s="5" t="s">
        <v>240</v>
      </c>
      <c r="CA3314" s="5" t="s">
        <v>259</v>
      </c>
      <c r="CB3314" s="5" t="s">
        <v>240</v>
      </c>
      <c r="CC3314" s="5" t="s">
        <v>240</v>
      </c>
      <c r="CD3314" s="5" t="s">
        <v>240</v>
      </c>
      <c r="CE3314" s="5" t="s">
        <v>240</v>
      </c>
      <c r="CF3314" s="5" t="s">
        <v>240</v>
      </c>
      <c r="CG3314" s="5" t="s">
        <v>304</v>
      </c>
      <c r="CH3314" s="5" t="s">
        <v>305</v>
      </c>
      <c r="CI3314" s="5" t="s">
        <v>240</v>
      </c>
      <c r="CK3314" s="5" t="s">
        <v>3681</v>
      </c>
      <c r="CL3314" s="6" t="s">
        <v>261</v>
      </c>
      <c r="CM3314" s="5" t="s">
        <v>262</v>
      </c>
      <c r="CN3314" s="5" t="s">
        <v>263</v>
      </c>
      <c r="CO3314" s="5" t="s">
        <v>264</v>
      </c>
      <c r="CP3314" s="5" t="s">
        <v>240</v>
      </c>
      <c r="CQ3314" s="5">
        <v>0</v>
      </c>
      <c r="CR3314" s="5" t="s">
        <v>735</v>
      </c>
      <c r="CS3314" s="5" t="s">
        <v>307</v>
      </c>
      <c r="CT3314" s="5" t="s">
        <v>307</v>
      </c>
      <c r="CU3314" s="5" t="s">
        <v>260</v>
      </c>
      <c r="CV3314" s="5" t="s">
        <v>612</v>
      </c>
      <c r="CW3314" s="8">
        <f>1</f>
        <v>1</v>
      </c>
      <c r="CX3314" s="7">
        <f>1</f>
        <v>1</v>
      </c>
      <c r="CY3314" s="7">
        <f>0</f>
        <v>0</v>
      </c>
      <c r="DA3314" s="7">
        <f>1</f>
        <v>1</v>
      </c>
      <c r="DB3314" s="7" t="s">
        <v>240</v>
      </c>
      <c r="DC3314" s="5" t="s">
        <v>240</v>
      </c>
      <c r="DD3314" s="5" t="s">
        <v>240</v>
      </c>
      <c r="DE3314" s="5" t="s">
        <v>240</v>
      </c>
      <c r="DF3314" s="5" t="s">
        <v>240</v>
      </c>
      <c r="DG3314" s="7">
        <f>0</f>
        <v>0</v>
      </c>
      <c r="DI3314" s="5" t="s">
        <v>240</v>
      </c>
      <c r="DJ3314" s="5" t="s">
        <v>240</v>
      </c>
      <c r="DK3314" s="5" t="s">
        <v>240</v>
      </c>
      <c r="DL3314" s="5" t="s">
        <v>240</v>
      </c>
      <c r="DM3314" s="5" t="s">
        <v>240</v>
      </c>
      <c r="DN3314" s="5" t="s">
        <v>240</v>
      </c>
      <c r="DO3314" s="7" t="s">
        <v>240</v>
      </c>
      <c r="DP3314" s="5" t="s">
        <v>240</v>
      </c>
      <c r="DQ3314" s="5" t="s">
        <v>240</v>
      </c>
      <c r="DR3314" s="5" t="s">
        <v>731</v>
      </c>
      <c r="DS3314" s="5" t="s">
        <v>731</v>
      </c>
      <c r="DT3314" s="5" t="s">
        <v>240</v>
      </c>
      <c r="DU3314" s="5" t="s">
        <v>240</v>
      </c>
      <c r="DV3314" s="5" t="s">
        <v>3683</v>
      </c>
      <c r="DW3314" s="5" t="s">
        <v>799</v>
      </c>
      <c r="DX3314" s="5" t="s">
        <v>240</v>
      </c>
      <c r="DY3314" s="5" t="s">
        <v>240</v>
      </c>
      <c r="DZ3314" s="5" t="s">
        <v>240</v>
      </c>
      <c r="EA3314" s="5" t="s">
        <v>240</v>
      </c>
      <c r="EB3314" s="5" t="s">
        <v>240</v>
      </c>
      <c r="EC3314" s="5" t="s">
        <v>240</v>
      </c>
      <c r="ED3314" s="5" t="s">
        <v>240</v>
      </c>
      <c r="EE3314" s="5" t="s">
        <v>240</v>
      </c>
      <c r="EF3314" s="5" t="s">
        <v>240</v>
      </c>
      <c r="EG3314" s="5" t="s">
        <v>240</v>
      </c>
      <c r="EH3314" s="5" t="s">
        <v>240</v>
      </c>
      <c r="EI3314" s="5" t="s">
        <v>240</v>
      </c>
      <c r="EJ3314" s="5" t="s">
        <v>240</v>
      </c>
      <c r="EK3314" s="5" t="s">
        <v>240</v>
      </c>
      <c r="EL3314" s="5" t="s">
        <v>240</v>
      </c>
      <c r="EM3314" s="5" t="s">
        <v>240</v>
      </c>
      <c r="EN3314" s="5" t="s">
        <v>240</v>
      </c>
      <c r="EO3314" s="5" t="s">
        <v>240</v>
      </c>
      <c r="EP3314" s="5" t="s">
        <v>240</v>
      </c>
      <c r="EQ3314" s="5" t="s">
        <v>240</v>
      </c>
      <c r="ER3314" s="5" t="s">
        <v>240</v>
      </c>
      <c r="ES3314" s="5" t="s">
        <v>240</v>
      </c>
      <c r="ET3314" s="5" t="s">
        <v>240</v>
      </c>
      <c r="EU3314" s="5" t="s">
        <v>240</v>
      </c>
      <c r="EV3314" s="5" t="s">
        <v>240</v>
      </c>
      <c r="EW3314" s="5" t="s">
        <v>240</v>
      </c>
      <c r="EX3314" s="5" t="s">
        <v>240</v>
      </c>
      <c r="EY3314" s="5" t="s">
        <v>240</v>
      </c>
      <c r="EZ3314" s="5" t="s">
        <v>240</v>
      </c>
      <c r="FA3314" s="5" t="s">
        <v>240</v>
      </c>
      <c r="FB3314" s="5" t="s">
        <v>240</v>
      </c>
      <c r="FC3314" s="5" t="s">
        <v>240</v>
      </c>
      <c r="FD3314" s="5" t="s">
        <v>240</v>
      </c>
      <c r="FE3314" s="5" t="s">
        <v>240</v>
      </c>
      <c r="FF3314" s="5" t="s">
        <v>240</v>
      </c>
      <c r="FG3314" s="5" t="s">
        <v>240</v>
      </c>
      <c r="FH3314" s="5" t="s">
        <v>240</v>
      </c>
      <c r="FI3314" s="5" t="s">
        <v>240</v>
      </c>
      <c r="FJ3314" s="5" t="s">
        <v>240</v>
      </c>
      <c r="FK3314" s="5" t="s">
        <v>240</v>
      </c>
      <c r="FL3314" s="5" t="s">
        <v>240</v>
      </c>
      <c r="FM3314" s="5" t="s">
        <v>240</v>
      </c>
      <c r="FN3314" s="5" t="s">
        <v>240</v>
      </c>
      <c r="FO3314" s="5" t="s">
        <v>240</v>
      </c>
      <c r="FP3314" s="5" t="s">
        <v>240</v>
      </c>
      <c r="FQ3314" s="5" t="s">
        <v>240</v>
      </c>
      <c r="FR3314" s="5" t="s">
        <v>240</v>
      </c>
      <c r="FS3314" s="5" t="s">
        <v>240</v>
      </c>
      <c r="FT3314" s="5" t="s">
        <v>240</v>
      </c>
      <c r="FU3314" s="5" t="s">
        <v>240</v>
      </c>
      <c r="FV3314" s="5" t="s">
        <v>240</v>
      </c>
      <c r="FW3314" s="5" t="s">
        <v>240</v>
      </c>
      <c r="FX3314" s="5" t="s">
        <v>240</v>
      </c>
      <c r="FY3314" s="5" t="s">
        <v>240</v>
      </c>
      <c r="FZ3314" s="5" t="s">
        <v>240</v>
      </c>
      <c r="GA3314" s="5" t="s">
        <v>240</v>
      </c>
      <c r="GB3314" s="5" t="s">
        <v>240</v>
      </c>
      <c r="GC3314" s="5" t="s">
        <v>240</v>
      </c>
      <c r="GD3314" s="5" t="s">
        <v>240</v>
      </c>
      <c r="GE3314" s="5" t="s">
        <v>240</v>
      </c>
      <c r="GF3314" s="5" t="s">
        <v>240</v>
      </c>
      <c r="GG3314" s="5" t="s">
        <v>240</v>
      </c>
      <c r="GH3314" s="5" t="s">
        <v>240</v>
      </c>
      <c r="GI3314" s="5" t="s">
        <v>240</v>
      </c>
      <c r="GJ3314" s="5" t="s">
        <v>240</v>
      </c>
      <c r="GK3314" s="5" t="s">
        <v>240</v>
      </c>
      <c r="GL3314" s="5" t="s">
        <v>240</v>
      </c>
      <c r="GM3314" s="5" t="s">
        <v>240</v>
      </c>
      <c r="GN3314" s="5" t="s">
        <v>240</v>
      </c>
      <c r="GO3314" s="5" t="s">
        <v>240</v>
      </c>
      <c r="GP3314" s="5" t="s">
        <v>240</v>
      </c>
      <c r="GQ3314" s="5" t="s">
        <v>240</v>
      </c>
      <c r="GR3314" s="5" t="s">
        <v>240</v>
      </c>
      <c r="GS3314" s="5" t="s">
        <v>240</v>
      </c>
      <c r="GT3314" s="5" t="s">
        <v>240</v>
      </c>
      <c r="GU3314" s="5" t="s">
        <v>240</v>
      </c>
      <c r="GV3314" s="5" t="s">
        <v>240</v>
      </c>
      <c r="GW3314" s="5" t="s">
        <v>240</v>
      </c>
      <c r="GX3314" s="5" t="s">
        <v>240</v>
      </c>
      <c r="GY3314" s="5" t="s">
        <v>240</v>
      </c>
      <c r="GZ3314" s="5" t="s">
        <v>240</v>
      </c>
      <c r="HA3314" s="5" t="s">
        <v>240</v>
      </c>
      <c r="HB3314" s="5" t="s">
        <v>240</v>
      </c>
      <c r="HC3314" s="5" t="s">
        <v>240</v>
      </c>
      <c r="HD3314" s="5" t="s">
        <v>240</v>
      </c>
      <c r="HE3314" s="5" t="s">
        <v>240</v>
      </c>
      <c r="HF3314" s="5" t="s">
        <v>240</v>
      </c>
      <c r="HG3314" s="5" t="s">
        <v>240</v>
      </c>
      <c r="HH3314" s="5" t="s">
        <v>240</v>
      </c>
      <c r="HI3314" s="5" t="s">
        <v>240</v>
      </c>
      <c r="HJ3314" s="5" t="s">
        <v>240</v>
      </c>
      <c r="HK3314" s="5" t="s">
        <v>240</v>
      </c>
      <c r="HL3314" s="5" t="s">
        <v>240</v>
      </c>
      <c r="HM3314" s="5" t="s">
        <v>240</v>
      </c>
      <c r="HN3314" s="5" t="s">
        <v>240</v>
      </c>
      <c r="HO3314" s="5" t="s">
        <v>312</v>
      </c>
      <c r="HP3314" s="5" t="s">
        <v>240</v>
      </c>
      <c r="HQ3314" s="5" t="s">
        <v>240</v>
      </c>
      <c r="HR3314" s="5" t="s">
        <v>240</v>
      </c>
      <c r="HS3314" s="5" t="s">
        <v>240</v>
      </c>
      <c r="HT3314" s="5" t="s">
        <v>240</v>
      </c>
      <c r="HU3314" s="5" t="s">
        <v>240</v>
      </c>
      <c r="HV3314" s="5" t="s">
        <v>240</v>
      </c>
      <c r="HW3314" s="5" t="s">
        <v>240</v>
      </c>
      <c r="HX3314" s="5" t="s">
        <v>240</v>
      </c>
      <c r="HY3314" s="5" t="s">
        <v>240</v>
      </c>
      <c r="HZ3314" s="5" t="s">
        <v>240</v>
      </c>
      <c r="IA3314" s="5" t="s">
        <v>240</v>
      </c>
      <c r="IB3314" s="5" t="s">
        <v>240</v>
      </c>
      <c r="IC3314" s="5" t="s">
        <v>240</v>
      </c>
      <c r="ID3314" s="5" t="s">
        <v>240</v>
      </c>
      <c r="IE3314" s="5" t="s">
        <v>240</v>
      </c>
      <c r="IF3314" s="5" t="s">
        <v>240</v>
      </c>
    </row>
    <row r="3315" spans="1:240" x14ac:dyDescent="0.4">
      <c r="A3315" s="5">
        <v>8857</v>
      </c>
      <c r="B3315" s="5">
        <v>1</v>
      </c>
      <c r="C3315" s="5">
        <v>1</v>
      </c>
      <c r="D3315" s="5" t="s">
        <v>723</v>
      </c>
      <c r="E3315" s="5" t="s">
        <v>725</v>
      </c>
      <c r="F3315" s="5" t="s">
        <v>730</v>
      </c>
      <c r="G3315" s="5" t="s">
        <v>726</v>
      </c>
      <c r="H3315" s="6" t="s">
        <v>6317</v>
      </c>
      <c r="I3315" s="5" t="s">
        <v>722</v>
      </c>
      <c r="J3315" s="8">
        <f>1228</f>
        <v>1228</v>
      </c>
      <c r="K3315" s="5" t="s">
        <v>308</v>
      </c>
      <c r="L3315" s="7">
        <f>0</f>
        <v>0</v>
      </c>
      <c r="M3315" s="7">
        <f>0</f>
        <v>0</v>
      </c>
      <c r="N3315" s="5" t="s">
        <v>242</v>
      </c>
      <c r="O3315" s="5">
        <v>1</v>
      </c>
      <c r="P3315" s="5" t="s">
        <v>294</v>
      </c>
      <c r="Q3315" s="5" t="s">
        <v>3678</v>
      </c>
      <c r="R3315" s="5" t="s">
        <v>240</v>
      </c>
      <c r="S3315" s="5" t="s">
        <v>240</v>
      </c>
      <c r="T3315" s="5" t="s">
        <v>243</v>
      </c>
      <c r="U3315" s="5" t="s">
        <v>244</v>
      </c>
      <c r="V3315" s="5" t="s">
        <v>240</v>
      </c>
      <c r="W3315" s="5" t="s">
        <v>240</v>
      </c>
      <c r="X3315" s="5" t="s">
        <v>240</v>
      </c>
      <c r="Y3315" s="5" t="s">
        <v>240</v>
      </c>
      <c r="Z3315" s="6" t="s">
        <v>298</v>
      </c>
      <c r="AA3315" s="6" t="s">
        <v>240</v>
      </c>
      <c r="AB3315" s="6" t="s">
        <v>240</v>
      </c>
      <c r="AC3315" s="5" t="s">
        <v>240</v>
      </c>
      <c r="AD3315" s="6" t="s">
        <v>240</v>
      </c>
      <c r="AE3315" s="6" t="s">
        <v>299</v>
      </c>
      <c r="AF3315" s="5" t="s">
        <v>248</v>
      </c>
      <c r="AG3315" s="5" t="s">
        <v>249</v>
      </c>
      <c r="AH3315" s="5" t="s">
        <v>240</v>
      </c>
      <c r="AI3315" s="5" t="s">
        <v>240</v>
      </c>
      <c r="AJ3315" s="5" t="s">
        <v>240</v>
      </c>
      <c r="AK3315" s="5" t="s">
        <v>240</v>
      </c>
      <c r="AL3315" s="5" t="s">
        <v>240</v>
      </c>
      <c r="AM3315" s="5" t="s">
        <v>240</v>
      </c>
      <c r="AN3315" s="5" t="s">
        <v>240</v>
      </c>
      <c r="AO3315" s="5" t="s">
        <v>240</v>
      </c>
      <c r="AP3315" s="6" t="s">
        <v>240</v>
      </c>
      <c r="AQ3315" s="6" t="s">
        <v>240</v>
      </c>
      <c r="AR3315" s="6" t="s">
        <v>240</v>
      </c>
      <c r="AS3315" s="6" t="s">
        <v>240</v>
      </c>
      <c r="AT3315" s="5" t="s">
        <v>240</v>
      </c>
      <c r="AU3315" s="5" t="s">
        <v>729</v>
      </c>
      <c r="AV3315" s="5" t="s">
        <v>729</v>
      </c>
      <c r="AW3315" s="5" t="s">
        <v>251</v>
      </c>
      <c r="AX3315" s="5" t="s">
        <v>252</v>
      </c>
      <c r="AY3315" s="5" t="s">
        <v>253</v>
      </c>
      <c r="AZ3315" s="5" t="s">
        <v>240</v>
      </c>
      <c r="BA3315" s="5" t="s">
        <v>255</v>
      </c>
      <c r="BB3315" s="5" t="s">
        <v>731</v>
      </c>
      <c r="BD3315" s="5" t="s">
        <v>240</v>
      </c>
      <c r="BF3315" s="5" t="s">
        <v>732</v>
      </c>
      <c r="BG3315" s="6" t="s">
        <v>733</v>
      </c>
      <c r="BH3315" s="5" t="s">
        <v>734</v>
      </c>
      <c r="BI3315" s="5" t="s">
        <v>734</v>
      </c>
      <c r="BJ3315" s="5" t="s">
        <v>240</v>
      </c>
      <c r="BK3315" s="7">
        <f>1</f>
        <v>1</v>
      </c>
      <c r="BL3315" s="7">
        <f>1</f>
        <v>1</v>
      </c>
      <c r="BM3315" s="5" t="s">
        <v>258</v>
      </c>
      <c r="BN3315" s="5" t="s">
        <v>259</v>
      </c>
      <c r="BO3315" s="5" t="s">
        <v>240</v>
      </c>
      <c r="BP3315" s="5" t="s">
        <v>240</v>
      </c>
      <c r="BQ3315" s="5" t="s">
        <v>240</v>
      </c>
      <c r="BR3315" s="5" t="s">
        <v>240</v>
      </c>
      <c r="BS3315" s="5" t="s">
        <v>240</v>
      </c>
      <c r="BT3315" s="5" t="s">
        <v>240</v>
      </c>
      <c r="BU3315" s="5" t="s">
        <v>240</v>
      </c>
      <c r="BV3315" s="5" t="s">
        <v>240</v>
      </c>
      <c r="BW3315" s="6" t="s">
        <v>240</v>
      </c>
      <c r="BX3315" s="5" t="s">
        <v>240</v>
      </c>
      <c r="BY3315" s="5" t="s">
        <v>240</v>
      </c>
      <c r="BZ3315" s="5" t="s">
        <v>240</v>
      </c>
      <c r="CA3315" s="5" t="s">
        <v>259</v>
      </c>
      <c r="CB3315" s="5" t="s">
        <v>240</v>
      </c>
      <c r="CC3315" s="5" t="s">
        <v>240</v>
      </c>
      <c r="CD3315" s="5" t="s">
        <v>240</v>
      </c>
      <c r="CE3315" s="5" t="s">
        <v>240</v>
      </c>
      <c r="CF3315" s="5" t="s">
        <v>240</v>
      </c>
      <c r="CG3315" s="5" t="s">
        <v>304</v>
      </c>
      <c r="CH3315" s="5" t="s">
        <v>305</v>
      </c>
      <c r="CI3315" s="5" t="s">
        <v>240</v>
      </c>
      <c r="CK3315" s="5" t="s">
        <v>3681</v>
      </c>
      <c r="CL3315" s="6" t="s">
        <v>261</v>
      </c>
      <c r="CM3315" s="5" t="s">
        <v>262</v>
      </c>
      <c r="CN3315" s="5" t="s">
        <v>263</v>
      </c>
      <c r="CO3315" s="5" t="s">
        <v>264</v>
      </c>
      <c r="CP3315" s="5" t="s">
        <v>240</v>
      </c>
      <c r="CQ3315" s="5">
        <v>0</v>
      </c>
      <c r="CR3315" s="5" t="s">
        <v>735</v>
      </c>
      <c r="CS3315" s="5" t="s">
        <v>307</v>
      </c>
      <c r="CT3315" s="5" t="s">
        <v>307</v>
      </c>
      <c r="CU3315" s="5" t="s">
        <v>260</v>
      </c>
      <c r="CV3315" s="5" t="s">
        <v>612</v>
      </c>
      <c r="CW3315" s="8">
        <f>1</f>
        <v>1</v>
      </c>
      <c r="CX3315" s="7">
        <f>1</f>
        <v>1</v>
      </c>
      <c r="CY3315" s="7">
        <f>0</f>
        <v>0</v>
      </c>
      <c r="DA3315" s="7">
        <f>1</f>
        <v>1</v>
      </c>
      <c r="DB3315" s="7" t="s">
        <v>240</v>
      </c>
      <c r="DC3315" s="5" t="s">
        <v>240</v>
      </c>
      <c r="DD3315" s="5" t="s">
        <v>240</v>
      </c>
      <c r="DE3315" s="5" t="s">
        <v>240</v>
      </c>
      <c r="DF3315" s="5" t="s">
        <v>240</v>
      </c>
      <c r="DG3315" s="7">
        <f>0</f>
        <v>0</v>
      </c>
      <c r="DI3315" s="5" t="s">
        <v>240</v>
      </c>
      <c r="DJ3315" s="5" t="s">
        <v>240</v>
      </c>
      <c r="DK3315" s="5" t="s">
        <v>240</v>
      </c>
      <c r="DL3315" s="5" t="s">
        <v>240</v>
      </c>
      <c r="DM3315" s="5" t="s">
        <v>240</v>
      </c>
      <c r="DN3315" s="5" t="s">
        <v>240</v>
      </c>
      <c r="DO3315" s="7" t="s">
        <v>240</v>
      </c>
      <c r="DP3315" s="5" t="s">
        <v>240</v>
      </c>
      <c r="DQ3315" s="5" t="s">
        <v>240</v>
      </c>
      <c r="DR3315" s="5" t="s">
        <v>731</v>
      </c>
      <c r="DS3315" s="5" t="s">
        <v>731</v>
      </c>
      <c r="DT3315" s="5" t="s">
        <v>240</v>
      </c>
      <c r="DU3315" s="5" t="s">
        <v>240</v>
      </c>
      <c r="DV3315" s="5" t="s">
        <v>3683</v>
      </c>
      <c r="DW3315" s="5" t="s">
        <v>432</v>
      </c>
      <c r="DX3315" s="5" t="s">
        <v>240</v>
      </c>
      <c r="DY3315" s="5" t="s">
        <v>240</v>
      </c>
      <c r="DZ3315" s="5" t="s">
        <v>240</v>
      </c>
      <c r="EA3315" s="5" t="s">
        <v>240</v>
      </c>
      <c r="EB3315" s="5" t="s">
        <v>240</v>
      </c>
      <c r="EC3315" s="5" t="s">
        <v>240</v>
      </c>
      <c r="ED3315" s="5" t="s">
        <v>240</v>
      </c>
      <c r="EE3315" s="5" t="s">
        <v>240</v>
      </c>
      <c r="EF3315" s="5" t="s">
        <v>240</v>
      </c>
      <c r="EG3315" s="5" t="s">
        <v>240</v>
      </c>
      <c r="EH3315" s="5" t="s">
        <v>240</v>
      </c>
      <c r="EI3315" s="5" t="s">
        <v>240</v>
      </c>
      <c r="EJ3315" s="5" t="s">
        <v>240</v>
      </c>
      <c r="EK3315" s="5" t="s">
        <v>240</v>
      </c>
      <c r="EL3315" s="5" t="s">
        <v>240</v>
      </c>
      <c r="EM3315" s="5" t="s">
        <v>240</v>
      </c>
      <c r="EN3315" s="5" t="s">
        <v>240</v>
      </c>
      <c r="EO3315" s="5" t="s">
        <v>240</v>
      </c>
      <c r="EP3315" s="5" t="s">
        <v>240</v>
      </c>
      <c r="EQ3315" s="5" t="s">
        <v>240</v>
      </c>
      <c r="ER3315" s="5" t="s">
        <v>240</v>
      </c>
      <c r="ES3315" s="5" t="s">
        <v>240</v>
      </c>
      <c r="ET3315" s="5" t="s">
        <v>240</v>
      </c>
      <c r="EU3315" s="5" t="s">
        <v>240</v>
      </c>
      <c r="EV3315" s="5" t="s">
        <v>240</v>
      </c>
      <c r="EW3315" s="5" t="s">
        <v>240</v>
      </c>
      <c r="EX3315" s="5" t="s">
        <v>240</v>
      </c>
      <c r="EY3315" s="5" t="s">
        <v>240</v>
      </c>
      <c r="EZ3315" s="5" t="s">
        <v>240</v>
      </c>
      <c r="FA3315" s="5" t="s">
        <v>240</v>
      </c>
      <c r="FB3315" s="5" t="s">
        <v>240</v>
      </c>
      <c r="FC3315" s="5" t="s">
        <v>240</v>
      </c>
      <c r="FD3315" s="5" t="s">
        <v>240</v>
      </c>
      <c r="FE3315" s="5" t="s">
        <v>240</v>
      </c>
      <c r="FF3315" s="5" t="s">
        <v>240</v>
      </c>
      <c r="FG3315" s="5" t="s">
        <v>240</v>
      </c>
      <c r="FH3315" s="5" t="s">
        <v>240</v>
      </c>
      <c r="FI3315" s="5" t="s">
        <v>240</v>
      </c>
      <c r="FJ3315" s="5" t="s">
        <v>240</v>
      </c>
      <c r="FK3315" s="5" t="s">
        <v>240</v>
      </c>
      <c r="FL3315" s="5" t="s">
        <v>240</v>
      </c>
      <c r="FM3315" s="5" t="s">
        <v>240</v>
      </c>
      <c r="FN3315" s="5" t="s">
        <v>240</v>
      </c>
      <c r="FO3315" s="5" t="s">
        <v>240</v>
      </c>
      <c r="FP3315" s="5" t="s">
        <v>240</v>
      </c>
      <c r="FQ3315" s="5" t="s">
        <v>240</v>
      </c>
      <c r="FR3315" s="5" t="s">
        <v>240</v>
      </c>
      <c r="FS3315" s="5" t="s">
        <v>240</v>
      </c>
      <c r="FT3315" s="5" t="s">
        <v>240</v>
      </c>
      <c r="FU3315" s="5" t="s">
        <v>240</v>
      </c>
      <c r="FV3315" s="5" t="s">
        <v>240</v>
      </c>
      <c r="FW3315" s="5" t="s">
        <v>240</v>
      </c>
      <c r="FX3315" s="5" t="s">
        <v>240</v>
      </c>
      <c r="FY3315" s="5" t="s">
        <v>240</v>
      </c>
      <c r="FZ3315" s="5" t="s">
        <v>240</v>
      </c>
      <c r="GA3315" s="5" t="s">
        <v>240</v>
      </c>
      <c r="GB3315" s="5" t="s">
        <v>240</v>
      </c>
      <c r="GC3315" s="5" t="s">
        <v>240</v>
      </c>
      <c r="GD3315" s="5" t="s">
        <v>240</v>
      </c>
      <c r="GE3315" s="5" t="s">
        <v>240</v>
      </c>
      <c r="GF3315" s="5" t="s">
        <v>240</v>
      </c>
      <c r="GG3315" s="5" t="s">
        <v>240</v>
      </c>
      <c r="GH3315" s="5" t="s">
        <v>240</v>
      </c>
      <c r="GI3315" s="5" t="s">
        <v>240</v>
      </c>
      <c r="GJ3315" s="5" t="s">
        <v>240</v>
      </c>
      <c r="GK3315" s="5" t="s">
        <v>240</v>
      </c>
      <c r="GL3315" s="5" t="s">
        <v>240</v>
      </c>
      <c r="GM3315" s="5" t="s">
        <v>240</v>
      </c>
      <c r="GN3315" s="5" t="s">
        <v>240</v>
      </c>
      <c r="GO3315" s="5" t="s">
        <v>240</v>
      </c>
      <c r="GP3315" s="5" t="s">
        <v>240</v>
      </c>
      <c r="GQ3315" s="5" t="s">
        <v>240</v>
      </c>
      <c r="GR3315" s="5" t="s">
        <v>240</v>
      </c>
      <c r="GS3315" s="5" t="s">
        <v>240</v>
      </c>
      <c r="GT3315" s="5" t="s">
        <v>240</v>
      </c>
      <c r="GU3315" s="5" t="s">
        <v>240</v>
      </c>
      <c r="GV3315" s="5" t="s">
        <v>240</v>
      </c>
      <c r="GW3315" s="5" t="s">
        <v>240</v>
      </c>
      <c r="GX3315" s="5" t="s">
        <v>240</v>
      </c>
      <c r="GY3315" s="5" t="s">
        <v>240</v>
      </c>
      <c r="GZ3315" s="5" t="s">
        <v>240</v>
      </c>
      <c r="HA3315" s="5" t="s">
        <v>240</v>
      </c>
      <c r="HB3315" s="5" t="s">
        <v>240</v>
      </c>
      <c r="HC3315" s="5" t="s">
        <v>240</v>
      </c>
      <c r="HD3315" s="5" t="s">
        <v>240</v>
      </c>
      <c r="HE3315" s="5" t="s">
        <v>240</v>
      </c>
      <c r="HF3315" s="5" t="s">
        <v>240</v>
      </c>
      <c r="HG3315" s="5" t="s">
        <v>240</v>
      </c>
      <c r="HH3315" s="5" t="s">
        <v>240</v>
      </c>
      <c r="HI3315" s="5" t="s">
        <v>240</v>
      </c>
      <c r="HJ3315" s="5" t="s">
        <v>240</v>
      </c>
      <c r="HK3315" s="5" t="s">
        <v>240</v>
      </c>
      <c r="HL3315" s="5" t="s">
        <v>240</v>
      </c>
      <c r="HM3315" s="5" t="s">
        <v>240</v>
      </c>
      <c r="HN3315" s="5" t="s">
        <v>240</v>
      </c>
      <c r="HO3315" s="5" t="s">
        <v>312</v>
      </c>
      <c r="HP3315" s="5" t="s">
        <v>240</v>
      </c>
      <c r="HQ3315" s="5" t="s">
        <v>240</v>
      </c>
      <c r="HR3315" s="5" t="s">
        <v>240</v>
      </c>
      <c r="HS3315" s="5" t="s">
        <v>240</v>
      </c>
      <c r="HT3315" s="5" t="s">
        <v>240</v>
      </c>
      <c r="HU3315" s="5" t="s">
        <v>240</v>
      </c>
      <c r="HV3315" s="5" t="s">
        <v>240</v>
      </c>
      <c r="HW3315" s="5" t="s">
        <v>240</v>
      </c>
      <c r="HX3315" s="5" t="s">
        <v>240</v>
      </c>
      <c r="HY3315" s="5" t="s">
        <v>240</v>
      </c>
      <c r="HZ3315" s="5" t="s">
        <v>240</v>
      </c>
      <c r="IA3315" s="5" t="s">
        <v>240</v>
      </c>
      <c r="IB3315" s="5" t="s">
        <v>240</v>
      </c>
      <c r="IC3315" s="5" t="s">
        <v>240</v>
      </c>
      <c r="ID3315" s="5" t="s">
        <v>240</v>
      </c>
      <c r="IE3315" s="5" t="s">
        <v>240</v>
      </c>
      <c r="IF3315" s="5" t="s">
        <v>240</v>
      </c>
    </row>
    <row r="3316" spans="1:240" x14ac:dyDescent="0.4">
      <c r="A3316" s="5">
        <v>8858</v>
      </c>
      <c r="B3316" s="5">
        <v>1</v>
      </c>
      <c r="C3316" s="5">
        <v>1</v>
      </c>
      <c r="D3316" s="5" t="s">
        <v>723</v>
      </c>
      <c r="E3316" s="5" t="s">
        <v>725</v>
      </c>
      <c r="F3316" s="5" t="s">
        <v>730</v>
      </c>
      <c r="G3316" s="5" t="s">
        <v>726</v>
      </c>
      <c r="H3316" s="6" t="s">
        <v>5833</v>
      </c>
      <c r="I3316" s="5" t="s">
        <v>722</v>
      </c>
      <c r="J3316" s="8">
        <f>379</f>
        <v>379</v>
      </c>
      <c r="K3316" s="5" t="s">
        <v>308</v>
      </c>
      <c r="L3316" s="7">
        <f>0</f>
        <v>0</v>
      </c>
      <c r="M3316" s="7">
        <f>0</f>
        <v>0</v>
      </c>
      <c r="N3316" s="5" t="s">
        <v>242</v>
      </c>
      <c r="O3316" s="5">
        <v>1</v>
      </c>
      <c r="P3316" s="5" t="s">
        <v>294</v>
      </c>
      <c r="Q3316" s="5" t="s">
        <v>3678</v>
      </c>
      <c r="R3316" s="5" t="s">
        <v>240</v>
      </c>
      <c r="S3316" s="5" t="s">
        <v>240</v>
      </c>
      <c r="T3316" s="5" t="s">
        <v>243</v>
      </c>
      <c r="U3316" s="5" t="s">
        <v>244</v>
      </c>
      <c r="V3316" s="5" t="s">
        <v>240</v>
      </c>
      <c r="W3316" s="5" t="s">
        <v>240</v>
      </c>
      <c r="X3316" s="5" t="s">
        <v>240</v>
      </c>
      <c r="Y3316" s="5" t="s">
        <v>240</v>
      </c>
      <c r="Z3316" s="6" t="s">
        <v>298</v>
      </c>
      <c r="AA3316" s="6" t="s">
        <v>240</v>
      </c>
      <c r="AB3316" s="6" t="s">
        <v>240</v>
      </c>
      <c r="AC3316" s="5" t="s">
        <v>240</v>
      </c>
      <c r="AD3316" s="6" t="s">
        <v>240</v>
      </c>
      <c r="AE3316" s="6" t="s">
        <v>299</v>
      </c>
      <c r="AF3316" s="5" t="s">
        <v>248</v>
      </c>
      <c r="AG3316" s="5" t="s">
        <v>249</v>
      </c>
      <c r="AH3316" s="5" t="s">
        <v>240</v>
      </c>
      <c r="AI3316" s="5" t="s">
        <v>240</v>
      </c>
      <c r="AJ3316" s="5" t="s">
        <v>240</v>
      </c>
      <c r="AK3316" s="5" t="s">
        <v>240</v>
      </c>
      <c r="AL3316" s="5" t="s">
        <v>240</v>
      </c>
      <c r="AM3316" s="5" t="s">
        <v>240</v>
      </c>
      <c r="AN3316" s="5" t="s">
        <v>240</v>
      </c>
      <c r="AO3316" s="5" t="s">
        <v>240</v>
      </c>
      <c r="AP3316" s="6" t="s">
        <v>240</v>
      </c>
      <c r="AQ3316" s="6" t="s">
        <v>240</v>
      </c>
      <c r="AR3316" s="6" t="s">
        <v>240</v>
      </c>
      <c r="AS3316" s="6" t="s">
        <v>240</v>
      </c>
      <c r="AT3316" s="5" t="s">
        <v>240</v>
      </c>
      <c r="AU3316" s="5" t="s">
        <v>729</v>
      </c>
      <c r="AV3316" s="5" t="s">
        <v>729</v>
      </c>
      <c r="AW3316" s="5" t="s">
        <v>251</v>
      </c>
      <c r="AX3316" s="5" t="s">
        <v>252</v>
      </c>
      <c r="AY3316" s="5" t="s">
        <v>253</v>
      </c>
      <c r="AZ3316" s="5" t="s">
        <v>240</v>
      </c>
      <c r="BA3316" s="5" t="s">
        <v>255</v>
      </c>
      <c r="BB3316" s="5" t="s">
        <v>731</v>
      </c>
      <c r="BD3316" s="5" t="s">
        <v>240</v>
      </c>
      <c r="BF3316" s="5" t="s">
        <v>732</v>
      </c>
      <c r="BG3316" s="6" t="s">
        <v>733</v>
      </c>
      <c r="BH3316" s="5" t="s">
        <v>734</v>
      </c>
      <c r="BI3316" s="5" t="s">
        <v>734</v>
      </c>
      <c r="BJ3316" s="5" t="s">
        <v>240</v>
      </c>
      <c r="BK3316" s="7">
        <f>1</f>
        <v>1</v>
      </c>
      <c r="BL3316" s="7">
        <f>1</f>
        <v>1</v>
      </c>
      <c r="BM3316" s="5" t="s">
        <v>258</v>
      </c>
      <c r="BN3316" s="5" t="s">
        <v>259</v>
      </c>
      <c r="BO3316" s="5" t="s">
        <v>240</v>
      </c>
      <c r="BP3316" s="5" t="s">
        <v>240</v>
      </c>
      <c r="BQ3316" s="5" t="s">
        <v>240</v>
      </c>
      <c r="BR3316" s="5" t="s">
        <v>240</v>
      </c>
      <c r="BS3316" s="5" t="s">
        <v>240</v>
      </c>
      <c r="BT3316" s="5" t="s">
        <v>240</v>
      </c>
      <c r="BU3316" s="5" t="s">
        <v>240</v>
      </c>
      <c r="BV3316" s="5" t="s">
        <v>240</v>
      </c>
      <c r="BW3316" s="6" t="s">
        <v>240</v>
      </c>
      <c r="BX3316" s="5" t="s">
        <v>240</v>
      </c>
      <c r="BY3316" s="5" t="s">
        <v>240</v>
      </c>
      <c r="BZ3316" s="5" t="s">
        <v>240</v>
      </c>
      <c r="CA3316" s="5" t="s">
        <v>259</v>
      </c>
      <c r="CB3316" s="5" t="s">
        <v>240</v>
      </c>
      <c r="CC3316" s="5" t="s">
        <v>240</v>
      </c>
      <c r="CD3316" s="5" t="s">
        <v>240</v>
      </c>
      <c r="CE3316" s="5" t="s">
        <v>240</v>
      </c>
      <c r="CF3316" s="5" t="s">
        <v>240</v>
      </c>
      <c r="CG3316" s="5" t="s">
        <v>304</v>
      </c>
      <c r="CH3316" s="5" t="s">
        <v>305</v>
      </c>
      <c r="CI3316" s="5" t="s">
        <v>240</v>
      </c>
      <c r="CK3316" s="5" t="s">
        <v>3681</v>
      </c>
      <c r="CL3316" s="6" t="s">
        <v>261</v>
      </c>
      <c r="CM3316" s="5" t="s">
        <v>262</v>
      </c>
      <c r="CN3316" s="5" t="s">
        <v>263</v>
      </c>
      <c r="CO3316" s="5" t="s">
        <v>264</v>
      </c>
      <c r="CP3316" s="5" t="s">
        <v>240</v>
      </c>
      <c r="CQ3316" s="5">
        <v>0</v>
      </c>
      <c r="CR3316" s="5" t="s">
        <v>735</v>
      </c>
      <c r="CS3316" s="5" t="s">
        <v>307</v>
      </c>
      <c r="CT3316" s="5" t="s">
        <v>307</v>
      </c>
      <c r="CU3316" s="5" t="s">
        <v>260</v>
      </c>
      <c r="CV3316" s="5" t="s">
        <v>612</v>
      </c>
      <c r="CW3316" s="8">
        <f>1</f>
        <v>1</v>
      </c>
      <c r="CX3316" s="7">
        <f>1</f>
        <v>1</v>
      </c>
      <c r="CY3316" s="7">
        <f>0</f>
        <v>0</v>
      </c>
      <c r="DA3316" s="7">
        <f>1</f>
        <v>1</v>
      </c>
      <c r="DB3316" s="7" t="s">
        <v>240</v>
      </c>
      <c r="DC3316" s="5" t="s">
        <v>240</v>
      </c>
      <c r="DD3316" s="5" t="s">
        <v>240</v>
      </c>
      <c r="DE3316" s="5" t="s">
        <v>240</v>
      </c>
      <c r="DF3316" s="5" t="s">
        <v>240</v>
      </c>
      <c r="DG3316" s="7">
        <f>0</f>
        <v>0</v>
      </c>
      <c r="DI3316" s="5" t="s">
        <v>240</v>
      </c>
      <c r="DJ3316" s="5" t="s">
        <v>240</v>
      </c>
      <c r="DK3316" s="5" t="s">
        <v>240</v>
      </c>
      <c r="DL3316" s="5" t="s">
        <v>240</v>
      </c>
      <c r="DM3316" s="5" t="s">
        <v>240</v>
      </c>
      <c r="DN3316" s="5" t="s">
        <v>240</v>
      </c>
      <c r="DO3316" s="7" t="s">
        <v>240</v>
      </c>
      <c r="DP3316" s="5" t="s">
        <v>240</v>
      </c>
      <c r="DQ3316" s="5" t="s">
        <v>240</v>
      </c>
      <c r="DR3316" s="5" t="s">
        <v>731</v>
      </c>
      <c r="DS3316" s="5" t="s">
        <v>731</v>
      </c>
      <c r="DT3316" s="5" t="s">
        <v>240</v>
      </c>
      <c r="DU3316" s="5" t="s">
        <v>240</v>
      </c>
      <c r="DV3316" s="5" t="s">
        <v>5063</v>
      </c>
      <c r="DW3316" s="5" t="s">
        <v>793</v>
      </c>
      <c r="DX3316" s="5" t="s">
        <v>240</v>
      </c>
      <c r="DY3316" s="5" t="s">
        <v>240</v>
      </c>
      <c r="DZ3316" s="5" t="s">
        <v>240</v>
      </c>
      <c r="EA3316" s="5" t="s">
        <v>240</v>
      </c>
      <c r="EB3316" s="5" t="s">
        <v>240</v>
      </c>
      <c r="EC3316" s="5" t="s">
        <v>240</v>
      </c>
      <c r="ED3316" s="5" t="s">
        <v>240</v>
      </c>
      <c r="EE3316" s="5" t="s">
        <v>240</v>
      </c>
      <c r="EF3316" s="5" t="s">
        <v>240</v>
      </c>
      <c r="EG3316" s="5" t="s">
        <v>240</v>
      </c>
      <c r="EH3316" s="5" t="s">
        <v>240</v>
      </c>
      <c r="EI3316" s="5" t="s">
        <v>240</v>
      </c>
      <c r="EJ3316" s="5" t="s">
        <v>240</v>
      </c>
      <c r="EK3316" s="5" t="s">
        <v>240</v>
      </c>
      <c r="EL3316" s="5" t="s">
        <v>240</v>
      </c>
      <c r="EM3316" s="5" t="s">
        <v>240</v>
      </c>
      <c r="EN3316" s="5" t="s">
        <v>240</v>
      </c>
      <c r="EO3316" s="5" t="s">
        <v>240</v>
      </c>
      <c r="EP3316" s="5" t="s">
        <v>240</v>
      </c>
      <c r="EQ3316" s="5" t="s">
        <v>240</v>
      </c>
      <c r="ER3316" s="5" t="s">
        <v>240</v>
      </c>
      <c r="ES3316" s="5" t="s">
        <v>240</v>
      </c>
      <c r="ET3316" s="5" t="s">
        <v>240</v>
      </c>
      <c r="EU3316" s="5" t="s">
        <v>240</v>
      </c>
      <c r="EV3316" s="5" t="s">
        <v>240</v>
      </c>
      <c r="EW3316" s="5" t="s">
        <v>240</v>
      </c>
      <c r="EX3316" s="5" t="s">
        <v>240</v>
      </c>
      <c r="EY3316" s="5" t="s">
        <v>240</v>
      </c>
      <c r="EZ3316" s="5" t="s">
        <v>240</v>
      </c>
      <c r="FA3316" s="5" t="s">
        <v>240</v>
      </c>
      <c r="FB3316" s="5" t="s">
        <v>240</v>
      </c>
      <c r="FC3316" s="5" t="s">
        <v>240</v>
      </c>
      <c r="FD3316" s="5" t="s">
        <v>240</v>
      </c>
      <c r="FE3316" s="5" t="s">
        <v>240</v>
      </c>
      <c r="FF3316" s="5" t="s">
        <v>240</v>
      </c>
      <c r="FG3316" s="5" t="s">
        <v>240</v>
      </c>
      <c r="FH3316" s="5" t="s">
        <v>240</v>
      </c>
      <c r="FI3316" s="5" t="s">
        <v>240</v>
      </c>
      <c r="FJ3316" s="5" t="s">
        <v>240</v>
      </c>
      <c r="FK3316" s="5" t="s">
        <v>240</v>
      </c>
      <c r="FL3316" s="5" t="s">
        <v>240</v>
      </c>
      <c r="FM3316" s="5" t="s">
        <v>240</v>
      </c>
      <c r="FN3316" s="5" t="s">
        <v>240</v>
      </c>
      <c r="FO3316" s="5" t="s">
        <v>240</v>
      </c>
      <c r="FP3316" s="5" t="s">
        <v>240</v>
      </c>
      <c r="FQ3316" s="5" t="s">
        <v>240</v>
      </c>
      <c r="FR3316" s="5" t="s">
        <v>240</v>
      </c>
      <c r="FS3316" s="5" t="s">
        <v>240</v>
      </c>
      <c r="FT3316" s="5" t="s">
        <v>240</v>
      </c>
      <c r="FU3316" s="5" t="s">
        <v>240</v>
      </c>
      <c r="FV3316" s="5" t="s">
        <v>240</v>
      </c>
      <c r="FW3316" s="5" t="s">
        <v>240</v>
      </c>
      <c r="FX3316" s="5" t="s">
        <v>240</v>
      </c>
      <c r="FY3316" s="5" t="s">
        <v>240</v>
      </c>
      <c r="FZ3316" s="5" t="s">
        <v>240</v>
      </c>
      <c r="GA3316" s="5" t="s">
        <v>240</v>
      </c>
      <c r="GB3316" s="5" t="s">
        <v>240</v>
      </c>
      <c r="GC3316" s="5" t="s">
        <v>240</v>
      </c>
      <c r="GD3316" s="5" t="s">
        <v>240</v>
      </c>
      <c r="GE3316" s="5" t="s">
        <v>240</v>
      </c>
      <c r="GF3316" s="5" t="s">
        <v>240</v>
      </c>
      <c r="GG3316" s="5" t="s">
        <v>240</v>
      </c>
      <c r="GH3316" s="5" t="s">
        <v>240</v>
      </c>
      <c r="GI3316" s="5" t="s">
        <v>240</v>
      </c>
      <c r="GJ3316" s="5" t="s">
        <v>240</v>
      </c>
      <c r="GK3316" s="5" t="s">
        <v>240</v>
      </c>
      <c r="GL3316" s="5" t="s">
        <v>240</v>
      </c>
      <c r="GM3316" s="5" t="s">
        <v>240</v>
      </c>
      <c r="GN3316" s="5" t="s">
        <v>240</v>
      </c>
      <c r="GO3316" s="5" t="s">
        <v>240</v>
      </c>
      <c r="GP3316" s="5" t="s">
        <v>240</v>
      </c>
      <c r="GQ3316" s="5" t="s">
        <v>240</v>
      </c>
      <c r="GR3316" s="5" t="s">
        <v>240</v>
      </c>
      <c r="GS3316" s="5" t="s">
        <v>240</v>
      </c>
      <c r="GT3316" s="5" t="s">
        <v>240</v>
      </c>
      <c r="GU3316" s="5" t="s">
        <v>240</v>
      </c>
      <c r="GV3316" s="5" t="s">
        <v>240</v>
      </c>
      <c r="GW3316" s="5" t="s">
        <v>240</v>
      </c>
      <c r="GX3316" s="5" t="s">
        <v>240</v>
      </c>
      <c r="GY3316" s="5" t="s">
        <v>240</v>
      </c>
      <c r="GZ3316" s="5" t="s">
        <v>240</v>
      </c>
      <c r="HA3316" s="5" t="s">
        <v>240</v>
      </c>
      <c r="HB3316" s="5" t="s">
        <v>240</v>
      </c>
      <c r="HC3316" s="5" t="s">
        <v>240</v>
      </c>
      <c r="HD3316" s="5" t="s">
        <v>240</v>
      </c>
      <c r="HE3316" s="5" t="s">
        <v>240</v>
      </c>
      <c r="HF3316" s="5" t="s">
        <v>240</v>
      </c>
      <c r="HG3316" s="5" t="s">
        <v>240</v>
      </c>
      <c r="HH3316" s="5" t="s">
        <v>240</v>
      </c>
      <c r="HI3316" s="5" t="s">
        <v>240</v>
      </c>
      <c r="HJ3316" s="5" t="s">
        <v>240</v>
      </c>
      <c r="HK3316" s="5" t="s">
        <v>240</v>
      </c>
      <c r="HL3316" s="5" t="s">
        <v>240</v>
      </c>
      <c r="HM3316" s="5" t="s">
        <v>240</v>
      </c>
      <c r="HN3316" s="5" t="s">
        <v>240</v>
      </c>
      <c r="HO3316" s="5" t="s">
        <v>312</v>
      </c>
      <c r="HP3316" s="5" t="s">
        <v>240</v>
      </c>
      <c r="HQ3316" s="5" t="s">
        <v>240</v>
      </c>
      <c r="HR3316" s="5" t="s">
        <v>240</v>
      </c>
      <c r="HS3316" s="5" t="s">
        <v>240</v>
      </c>
      <c r="HT3316" s="5" t="s">
        <v>240</v>
      </c>
      <c r="HU3316" s="5" t="s">
        <v>240</v>
      </c>
      <c r="HV3316" s="5" t="s">
        <v>240</v>
      </c>
      <c r="HW3316" s="5" t="s">
        <v>240</v>
      </c>
      <c r="HX3316" s="5" t="s">
        <v>240</v>
      </c>
      <c r="HY3316" s="5" t="s">
        <v>240</v>
      </c>
      <c r="HZ3316" s="5" t="s">
        <v>240</v>
      </c>
      <c r="IA3316" s="5" t="s">
        <v>240</v>
      </c>
      <c r="IB3316" s="5" t="s">
        <v>240</v>
      </c>
      <c r="IC3316" s="5" t="s">
        <v>240</v>
      </c>
      <c r="ID3316" s="5" t="s">
        <v>240</v>
      </c>
      <c r="IE3316" s="5" t="s">
        <v>240</v>
      </c>
      <c r="IF3316" s="5" t="s">
        <v>240</v>
      </c>
    </row>
    <row r="3317" spans="1:240" x14ac:dyDescent="0.4">
      <c r="A3317" s="5">
        <v>8859</v>
      </c>
      <c r="B3317" s="5">
        <v>1</v>
      </c>
      <c r="C3317" s="5">
        <v>1</v>
      </c>
      <c r="D3317" s="5" t="s">
        <v>723</v>
      </c>
      <c r="E3317" s="5" t="s">
        <v>725</v>
      </c>
      <c r="F3317" s="5" t="s">
        <v>730</v>
      </c>
      <c r="G3317" s="5" t="s">
        <v>726</v>
      </c>
      <c r="H3317" s="6" t="s">
        <v>6605</v>
      </c>
      <c r="I3317" s="5" t="s">
        <v>990</v>
      </c>
      <c r="J3317" s="8">
        <f>80</f>
        <v>80</v>
      </c>
      <c r="K3317" s="5" t="s">
        <v>308</v>
      </c>
      <c r="L3317" s="7">
        <f>0</f>
        <v>0</v>
      </c>
      <c r="M3317" s="7">
        <f>0</f>
        <v>0</v>
      </c>
      <c r="N3317" s="5" t="s">
        <v>242</v>
      </c>
      <c r="O3317" s="5">
        <v>1</v>
      </c>
      <c r="P3317" s="5" t="s">
        <v>294</v>
      </c>
      <c r="Q3317" s="5" t="s">
        <v>3678</v>
      </c>
      <c r="R3317" s="5" t="s">
        <v>240</v>
      </c>
      <c r="S3317" s="5" t="s">
        <v>240</v>
      </c>
      <c r="T3317" s="5" t="s">
        <v>243</v>
      </c>
      <c r="U3317" s="5" t="s">
        <v>244</v>
      </c>
      <c r="V3317" s="5" t="s">
        <v>240</v>
      </c>
      <c r="W3317" s="5" t="s">
        <v>240</v>
      </c>
      <c r="X3317" s="5" t="s">
        <v>240</v>
      </c>
      <c r="Y3317" s="5" t="s">
        <v>240</v>
      </c>
      <c r="Z3317" s="6" t="s">
        <v>298</v>
      </c>
      <c r="AA3317" s="6" t="s">
        <v>240</v>
      </c>
      <c r="AB3317" s="6" t="s">
        <v>240</v>
      </c>
      <c r="AC3317" s="5" t="s">
        <v>240</v>
      </c>
      <c r="AD3317" s="6" t="s">
        <v>240</v>
      </c>
      <c r="AE3317" s="6" t="s">
        <v>299</v>
      </c>
      <c r="AF3317" s="5" t="s">
        <v>248</v>
      </c>
      <c r="AG3317" s="5" t="s">
        <v>249</v>
      </c>
      <c r="AH3317" s="5" t="s">
        <v>240</v>
      </c>
      <c r="AI3317" s="5" t="s">
        <v>240</v>
      </c>
      <c r="AJ3317" s="5" t="s">
        <v>240</v>
      </c>
      <c r="AK3317" s="5" t="s">
        <v>240</v>
      </c>
      <c r="AL3317" s="5" t="s">
        <v>240</v>
      </c>
      <c r="AM3317" s="5" t="s">
        <v>240</v>
      </c>
      <c r="AN3317" s="5" t="s">
        <v>240</v>
      </c>
      <c r="AO3317" s="5" t="s">
        <v>240</v>
      </c>
      <c r="AP3317" s="6" t="s">
        <v>240</v>
      </c>
      <c r="AQ3317" s="6" t="s">
        <v>240</v>
      </c>
      <c r="AR3317" s="6" t="s">
        <v>240</v>
      </c>
      <c r="AS3317" s="6" t="s">
        <v>240</v>
      </c>
      <c r="AT3317" s="5" t="s">
        <v>240</v>
      </c>
      <c r="AU3317" s="5" t="s">
        <v>729</v>
      </c>
      <c r="AV3317" s="5" t="s">
        <v>729</v>
      </c>
      <c r="AW3317" s="5" t="s">
        <v>251</v>
      </c>
      <c r="AX3317" s="5" t="s">
        <v>252</v>
      </c>
      <c r="AY3317" s="5" t="s">
        <v>253</v>
      </c>
      <c r="AZ3317" s="5" t="s">
        <v>240</v>
      </c>
      <c r="BA3317" s="5" t="s">
        <v>255</v>
      </c>
      <c r="BB3317" s="5" t="s">
        <v>731</v>
      </c>
      <c r="BD3317" s="5" t="s">
        <v>240</v>
      </c>
      <c r="BF3317" s="5" t="s">
        <v>732</v>
      </c>
      <c r="BG3317" s="6" t="s">
        <v>733</v>
      </c>
      <c r="BH3317" s="5" t="s">
        <v>734</v>
      </c>
      <c r="BI3317" s="5" t="s">
        <v>734</v>
      </c>
      <c r="BJ3317" s="5" t="s">
        <v>240</v>
      </c>
      <c r="BK3317" s="7">
        <f>1</f>
        <v>1</v>
      </c>
      <c r="BL3317" s="7">
        <f>1</f>
        <v>1</v>
      </c>
      <c r="BM3317" s="5" t="s">
        <v>258</v>
      </c>
      <c r="BN3317" s="5" t="s">
        <v>259</v>
      </c>
      <c r="BO3317" s="5" t="s">
        <v>240</v>
      </c>
      <c r="BP3317" s="5" t="s">
        <v>240</v>
      </c>
      <c r="BQ3317" s="5" t="s">
        <v>240</v>
      </c>
      <c r="BR3317" s="5" t="s">
        <v>240</v>
      </c>
      <c r="BS3317" s="5" t="s">
        <v>240</v>
      </c>
      <c r="BT3317" s="5" t="s">
        <v>240</v>
      </c>
      <c r="BU3317" s="5" t="s">
        <v>240</v>
      </c>
      <c r="BV3317" s="5" t="s">
        <v>240</v>
      </c>
      <c r="BW3317" s="6" t="s">
        <v>240</v>
      </c>
      <c r="BX3317" s="5" t="s">
        <v>240</v>
      </c>
      <c r="BY3317" s="5" t="s">
        <v>240</v>
      </c>
      <c r="BZ3317" s="5" t="s">
        <v>240</v>
      </c>
      <c r="CA3317" s="5" t="s">
        <v>259</v>
      </c>
      <c r="CB3317" s="5" t="s">
        <v>240</v>
      </c>
      <c r="CC3317" s="5" t="s">
        <v>240</v>
      </c>
      <c r="CD3317" s="5" t="s">
        <v>240</v>
      </c>
      <c r="CE3317" s="5" t="s">
        <v>240</v>
      </c>
      <c r="CF3317" s="5" t="s">
        <v>240</v>
      </c>
      <c r="CG3317" s="5" t="s">
        <v>304</v>
      </c>
      <c r="CH3317" s="5" t="s">
        <v>305</v>
      </c>
      <c r="CI3317" s="5" t="s">
        <v>240</v>
      </c>
      <c r="CK3317" s="5" t="s">
        <v>3681</v>
      </c>
      <c r="CL3317" s="6" t="s">
        <v>261</v>
      </c>
      <c r="CM3317" s="5" t="s">
        <v>262</v>
      </c>
      <c r="CN3317" s="5" t="s">
        <v>263</v>
      </c>
      <c r="CO3317" s="5" t="s">
        <v>264</v>
      </c>
      <c r="CP3317" s="5" t="s">
        <v>240</v>
      </c>
      <c r="CQ3317" s="5">
        <v>0</v>
      </c>
      <c r="CR3317" s="5" t="s">
        <v>735</v>
      </c>
      <c r="CS3317" s="5" t="s">
        <v>307</v>
      </c>
      <c r="CT3317" s="5" t="s">
        <v>307</v>
      </c>
      <c r="CU3317" s="5" t="s">
        <v>260</v>
      </c>
      <c r="CV3317" s="5" t="s">
        <v>612</v>
      </c>
      <c r="CW3317" s="8">
        <f>1</f>
        <v>1</v>
      </c>
      <c r="CX3317" s="7">
        <f>1</f>
        <v>1</v>
      </c>
      <c r="CY3317" s="7">
        <f>0</f>
        <v>0</v>
      </c>
      <c r="DA3317" s="7">
        <f>1</f>
        <v>1</v>
      </c>
      <c r="DB3317" s="7" t="s">
        <v>240</v>
      </c>
      <c r="DC3317" s="5" t="s">
        <v>240</v>
      </c>
      <c r="DD3317" s="5" t="s">
        <v>240</v>
      </c>
      <c r="DE3317" s="5" t="s">
        <v>240</v>
      </c>
      <c r="DF3317" s="5" t="s">
        <v>240</v>
      </c>
      <c r="DG3317" s="7">
        <f>0</f>
        <v>0</v>
      </c>
      <c r="DI3317" s="5" t="s">
        <v>240</v>
      </c>
      <c r="DJ3317" s="5" t="s">
        <v>240</v>
      </c>
      <c r="DK3317" s="5" t="s">
        <v>240</v>
      </c>
      <c r="DL3317" s="5" t="s">
        <v>240</v>
      </c>
      <c r="DM3317" s="5" t="s">
        <v>240</v>
      </c>
      <c r="DN3317" s="5" t="s">
        <v>240</v>
      </c>
      <c r="DO3317" s="7" t="s">
        <v>240</v>
      </c>
      <c r="DP3317" s="5" t="s">
        <v>240</v>
      </c>
      <c r="DQ3317" s="5" t="s">
        <v>240</v>
      </c>
      <c r="DR3317" s="5" t="s">
        <v>731</v>
      </c>
      <c r="DS3317" s="5" t="s">
        <v>731</v>
      </c>
      <c r="DT3317" s="5" t="s">
        <v>240</v>
      </c>
      <c r="DU3317" s="5" t="s">
        <v>240</v>
      </c>
      <c r="DV3317" s="5" t="s">
        <v>5063</v>
      </c>
      <c r="DW3317" s="5" t="s">
        <v>666</v>
      </c>
      <c r="DX3317" s="5" t="s">
        <v>240</v>
      </c>
      <c r="DY3317" s="5" t="s">
        <v>240</v>
      </c>
      <c r="DZ3317" s="5" t="s">
        <v>240</v>
      </c>
      <c r="EA3317" s="5" t="s">
        <v>240</v>
      </c>
      <c r="EB3317" s="5" t="s">
        <v>240</v>
      </c>
      <c r="EC3317" s="5" t="s">
        <v>240</v>
      </c>
      <c r="ED3317" s="5" t="s">
        <v>240</v>
      </c>
      <c r="EE3317" s="5" t="s">
        <v>240</v>
      </c>
      <c r="EF3317" s="5" t="s">
        <v>240</v>
      </c>
      <c r="EG3317" s="5" t="s">
        <v>240</v>
      </c>
      <c r="EH3317" s="5" t="s">
        <v>240</v>
      </c>
      <c r="EI3317" s="5" t="s">
        <v>240</v>
      </c>
      <c r="EJ3317" s="5" t="s">
        <v>240</v>
      </c>
      <c r="EK3317" s="5" t="s">
        <v>240</v>
      </c>
      <c r="EL3317" s="5" t="s">
        <v>240</v>
      </c>
      <c r="EM3317" s="5" t="s">
        <v>240</v>
      </c>
      <c r="EN3317" s="5" t="s">
        <v>240</v>
      </c>
      <c r="EO3317" s="5" t="s">
        <v>240</v>
      </c>
      <c r="EP3317" s="5" t="s">
        <v>240</v>
      </c>
      <c r="EQ3317" s="5" t="s">
        <v>240</v>
      </c>
      <c r="ER3317" s="5" t="s">
        <v>240</v>
      </c>
      <c r="ES3317" s="5" t="s">
        <v>240</v>
      </c>
      <c r="ET3317" s="5" t="s">
        <v>240</v>
      </c>
      <c r="EU3317" s="5" t="s">
        <v>240</v>
      </c>
      <c r="EV3317" s="5" t="s">
        <v>240</v>
      </c>
      <c r="EW3317" s="5" t="s">
        <v>240</v>
      </c>
      <c r="EX3317" s="5" t="s">
        <v>240</v>
      </c>
      <c r="EY3317" s="5" t="s">
        <v>240</v>
      </c>
      <c r="EZ3317" s="5" t="s">
        <v>240</v>
      </c>
      <c r="FA3317" s="5" t="s">
        <v>240</v>
      </c>
      <c r="FB3317" s="5" t="s">
        <v>240</v>
      </c>
      <c r="FC3317" s="5" t="s">
        <v>240</v>
      </c>
      <c r="FD3317" s="5" t="s">
        <v>240</v>
      </c>
      <c r="FE3317" s="5" t="s">
        <v>240</v>
      </c>
      <c r="FF3317" s="5" t="s">
        <v>240</v>
      </c>
      <c r="FG3317" s="5" t="s">
        <v>240</v>
      </c>
      <c r="FH3317" s="5" t="s">
        <v>240</v>
      </c>
      <c r="FI3317" s="5" t="s">
        <v>240</v>
      </c>
      <c r="FJ3317" s="5" t="s">
        <v>240</v>
      </c>
      <c r="FK3317" s="5" t="s">
        <v>240</v>
      </c>
      <c r="FL3317" s="5" t="s">
        <v>240</v>
      </c>
      <c r="FM3317" s="5" t="s">
        <v>240</v>
      </c>
      <c r="FN3317" s="5" t="s">
        <v>240</v>
      </c>
      <c r="FO3317" s="5" t="s">
        <v>240</v>
      </c>
      <c r="FP3317" s="5" t="s">
        <v>240</v>
      </c>
      <c r="FQ3317" s="5" t="s">
        <v>240</v>
      </c>
      <c r="FR3317" s="5" t="s">
        <v>240</v>
      </c>
      <c r="FS3317" s="5" t="s">
        <v>240</v>
      </c>
      <c r="FT3317" s="5" t="s">
        <v>240</v>
      </c>
      <c r="FU3317" s="5" t="s">
        <v>240</v>
      </c>
      <c r="FV3317" s="5" t="s">
        <v>240</v>
      </c>
      <c r="FW3317" s="5" t="s">
        <v>240</v>
      </c>
      <c r="FX3317" s="5" t="s">
        <v>240</v>
      </c>
      <c r="FY3317" s="5" t="s">
        <v>240</v>
      </c>
      <c r="FZ3317" s="5" t="s">
        <v>240</v>
      </c>
      <c r="GA3317" s="5" t="s">
        <v>240</v>
      </c>
      <c r="GB3317" s="5" t="s">
        <v>240</v>
      </c>
      <c r="GC3317" s="5" t="s">
        <v>240</v>
      </c>
      <c r="GD3317" s="5" t="s">
        <v>240</v>
      </c>
      <c r="GE3317" s="5" t="s">
        <v>240</v>
      </c>
      <c r="GF3317" s="5" t="s">
        <v>240</v>
      </c>
      <c r="GG3317" s="5" t="s">
        <v>240</v>
      </c>
      <c r="GH3317" s="5" t="s">
        <v>240</v>
      </c>
      <c r="GI3317" s="5" t="s">
        <v>240</v>
      </c>
      <c r="GJ3317" s="5" t="s">
        <v>240</v>
      </c>
      <c r="GK3317" s="5" t="s">
        <v>240</v>
      </c>
      <c r="GL3317" s="5" t="s">
        <v>240</v>
      </c>
      <c r="GM3317" s="5" t="s">
        <v>240</v>
      </c>
      <c r="GN3317" s="5" t="s">
        <v>240</v>
      </c>
      <c r="GO3317" s="5" t="s">
        <v>240</v>
      </c>
      <c r="GP3317" s="5" t="s">
        <v>240</v>
      </c>
      <c r="GQ3317" s="5" t="s">
        <v>240</v>
      </c>
      <c r="GR3317" s="5" t="s">
        <v>240</v>
      </c>
      <c r="GS3317" s="5" t="s">
        <v>240</v>
      </c>
      <c r="GT3317" s="5" t="s">
        <v>240</v>
      </c>
      <c r="GU3317" s="5" t="s">
        <v>240</v>
      </c>
      <c r="GV3317" s="5" t="s">
        <v>240</v>
      </c>
      <c r="GW3317" s="5" t="s">
        <v>240</v>
      </c>
      <c r="GX3317" s="5" t="s">
        <v>240</v>
      </c>
      <c r="GY3317" s="5" t="s">
        <v>240</v>
      </c>
      <c r="GZ3317" s="5" t="s">
        <v>240</v>
      </c>
      <c r="HA3317" s="5" t="s">
        <v>240</v>
      </c>
      <c r="HB3317" s="5" t="s">
        <v>240</v>
      </c>
      <c r="HC3317" s="5" t="s">
        <v>240</v>
      </c>
      <c r="HD3317" s="5" t="s">
        <v>240</v>
      </c>
      <c r="HE3317" s="5" t="s">
        <v>240</v>
      </c>
      <c r="HF3317" s="5" t="s">
        <v>240</v>
      </c>
      <c r="HG3317" s="5" t="s">
        <v>240</v>
      </c>
      <c r="HH3317" s="5" t="s">
        <v>240</v>
      </c>
      <c r="HI3317" s="5" t="s">
        <v>240</v>
      </c>
      <c r="HJ3317" s="5" t="s">
        <v>240</v>
      </c>
      <c r="HK3317" s="5" t="s">
        <v>240</v>
      </c>
      <c r="HL3317" s="5" t="s">
        <v>240</v>
      </c>
      <c r="HM3317" s="5" t="s">
        <v>240</v>
      </c>
      <c r="HN3317" s="5" t="s">
        <v>240</v>
      </c>
      <c r="HO3317" s="5" t="s">
        <v>312</v>
      </c>
      <c r="HP3317" s="5" t="s">
        <v>240</v>
      </c>
      <c r="HQ3317" s="5" t="s">
        <v>240</v>
      </c>
      <c r="HR3317" s="5" t="s">
        <v>240</v>
      </c>
      <c r="HS3317" s="5" t="s">
        <v>240</v>
      </c>
      <c r="HT3317" s="5" t="s">
        <v>240</v>
      </c>
      <c r="HU3317" s="5" t="s">
        <v>240</v>
      </c>
      <c r="HV3317" s="5" t="s">
        <v>240</v>
      </c>
      <c r="HW3317" s="5" t="s">
        <v>240</v>
      </c>
      <c r="HX3317" s="5" t="s">
        <v>240</v>
      </c>
      <c r="HY3317" s="5" t="s">
        <v>240</v>
      </c>
      <c r="HZ3317" s="5" t="s">
        <v>240</v>
      </c>
      <c r="IA3317" s="5" t="s">
        <v>240</v>
      </c>
      <c r="IB3317" s="5" t="s">
        <v>240</v>
      </c>
      <c r="IC3317" s="5" t="s">
        <v>240</v>
      </c>
      <c r="ID3317" s="5" t="s">
        <v>240</v>
      </c>
      <c r="IE3317" s="5" t="s">
        <v>240</v>
      </c>
      <c r="IF3317" s="5" t="s">
        <v>240</v>
      </c>
    </row>
    <row r="3318" spans="1:240" x14ac:dyDescent="0.4">
      <c r="A3318" s="5">
        <v>8860</v>
      </c>
      <c r="B3318" s="5">
        <v>1</v>
      </c>
      <c r="C3318" s="5">
        <v>1</v>
      </c>
      <c r="D3318" s="5" t="s">
        <v>723</v>
      </c>
      <c r="E3318" s="5" t="s">
        <v>725</v>
      </c>
      <c r="F3318" s="5" t="s">
        <v>730</v>
      </c>
      <c r="G3318" s="5" t="s">
        <v>726</v>
      </c>
      <c r="H3318" s="6" t="s">
        <v>6314</v>
      </c>
      <c r="I3318" s="5" t="s">
        <v>722</v>
      </c>
      <c r="J3318" s="8">
        <f>323</f>
        <v>323</v>
      </c>
      <c r="K3318" s="5" t="s">
        <v>308</v>
      </c>
      <c r="L3318" s="7">
        <f>0</f>
        <v>0</v>
      </c>
      <c r="M3318" s="7">
        <f>0</f>
        <v>0</v>
      </c>
      <c r="N3318" s="5" t="s">
        <v>242</v>
      </c>
      <c r="O3318" s="5">
        <v>1</v>
      </c>
      <c r="P3318" s="5" t="s">
        <v>294</v>
      </c>
      <c r="Q3318" s="5" t="s">
        <v>266</v>
      </c>
      <c r="R3318" s="5" t="s">
        <v>240</v>
      </c>
      <c r="S3318" s="5" t="s">
        <v>240</v>
      </c>
      <c r="T3318" s="5" t="s">
        <v>296</v>
      </c>
      <c r="U3318" s="5" t="s">
        <v>244</v>
      </c>
      <c r="V3318" s="5" t="s">
        <v>240</v>
      </c>
      <c r="Y3318" s="5" t="s">
        <v>240</v>
      </c>
      <c r="Z3318" s="6" t="s">
        <v>298</v>
      </c>
      <c r="AB3318" s="6" t="s">
        <v>240</v>
      </c>
      <c r="AE3318" s="6" t="s">
        <v>299</v>
      </c>
      <c r="AF3318" s="5" t="s">
        <v>248</v>
      </c>
      <c r="AG3318" s="5" t="s">
        <v>249</v>
      </c>
      <c r="AW3318" s="5" t="s">
        <v>251</v>
      </c>
      <c r="AX3318" s="5" t="s">
        <v>240</v>
      </c>
      <c r="AY3318" s="5" t="s">
        <v>253</v>
      </c>
      <c r="AZ3318" s="5" t="s">
        <v>240</v>
      </c>
      <c r="BA3318" s="5" t="s">
        <v>255</v>
      </c>
      <c r="BB3318" s="5" t="s">
        <v>240</v>
      </c>
      <c r="BD3318" s="5" t="s">
        <v>240</v>
      </c>
      <c r="BF3318" s="5" t="s">
        <v>301</v>
      </c>
      <c r="BG3318" s="6" t="s">
        <v>299</v>
      </c>
      <c r="BH3318" s="5" t="s">
        <v>302</v>
      </c>
      <c r="BI3318" s="5" t="s">
        <v>303</v>
      </c>
      <c r="BJ3318" s="5" t="s">
        <v>240</v>
      </c>
      <c r="BK3318" s="8">
        <f>0</f>
        <v>0</v>
      </c>
      <c r="BL3318" s="7">
        <f>0</f>
        <v>0</v>
      </c>
      <c r="BM3318" s="5" t="s">
        <v>258</v>
      </c>
      <c r="BN3318" s="5" t="s">
        <v>259</v>
      </c>
      <c r="CB3318" s="5" t="s">
        <v>240</v>
      </c>
      <c r="CC3318" s="5" t="s">
        <v>240</v>
      </c>
      <c r="CG3318" s="5" t="s">
        <v>304</v>
      </c>
      <c r="CH3318" s="5" t="s">
        <v>305</v>
      </c>
      <c r="CI3318" s="5" t="s">
        <v>240</v>
      </c>
      <c r="CL3318" s="6" t="s">
        <v>261</v>
      </c>
      <c r="CM3318" s="5" t="s">
        <v>240</v>
      </c>
      <c r="CN3318" s="5" t="s">
        <v>263</v>
      </c>
      <c r="CO3318" s="5" t="s">
        <v>240</v>
      </c>
      <c r="CP3318" s="5" t="s">
        <v>240</v>
      </c>
      <c r="CQ3318" s="5">
        <v>0</v>
      </c>
      <c r="CR3318" s="5" t="s">
        <v>306</v>
      </c>
      <c r="CS3318" s="5" t="s">
        <v>307</v>
      </c>
      <c r="CT3318" s="5" t="s">
        <v>307</v>
      </c>
      <c r="CU3318" s="5" t="s">
        <v>260</v>
      </c>
      <c r="CX3318" s="7">
        <f>1</f>
        <v>1</v>
      </c>
      <c r="CY3318" s="7">
        <f>0</f>
        <v>0</v>
      </c>
      <c r="DA3318" s="7">
        <f>0</f>
        <v>0</v>
      </c>
      <c r="DC3318" s="5" t="s">
        <v>309</v>
      </c>
      <c r="DD3318" s="5" t="s">
        <v>240</v>
      </c>
      <c r="DF3318" s="5" t="s">
        <v>309</v>
      </c>
      <c r="DG3318" s="7">
        <f>1596</f>
        <v>1596</v>
      </c>
      <c r="DI3318" s="5" t="s">
        <v>240</v>
      </c>
      <c r="DJ3318" s="5" t="s">
        <v>240</v>
      </c>
      <c r="DK3318" s="5" t="s">
        <v>240</v>
      </c>
      <c r="DL3318" s="5" t="s">
        <v>240</v>
      </c>
      <c r="DP3318" s="5" t="s">
        <v>240</v>
      </c>
      <c r="DQ3318" s="5" t="s">
        <v>240</v>
      </c>
      <c r="DR3318" s="5" t="s">
        <v>240</v>
      </c>
      <c r="DS3318" s="5" t="s">
        <v>240</v>
      </c>
      <c r="DV3318" s="5" t="s">
        <v>310</v>
      </c>
      <c r="DW3318" s="5" t="s">
        <v>4945</v>
      </c>
      <c r="HO3318" s="5" t="s">
        <v>312</v>
      </c>
    </row>
    <row r="3319" spans="1:240" x14ac:dyDescent="0.4">
      <c r="A3319" s="5">
        <v>8861</v>
      </c>
      <c r="B3319" s="5">
        <v>1</v>
      </c>
      <c r="C3319" s="5">
        <v>1</v>
      </c>
      <c r="D3319" s="5" t="s">
        <v>723</v>
      </c>
      <c r="E3319" s="5" t="s">
        <v>725</v>
      </c>
      <c r="F3319" s="5" t="s">
        <v>730</v>
      </c>
      <c r="G3319" s="5" t="s">
        <v>726</v>
      </c>
      <c r="H3319" s="6" t="s">
        <v>6313</v>
      </c>
      <c r="I3319" s="5" t="s">
        <v>722</v>
      </c>
      <c r="J3319" s="8">
        <f>284</f>
        <v>284</v>
      </c>
      <c r="K3319" s="5" t="s">
        <v>308</v>
      </c>
      <c r="L3319" s="7">
        <f>0</f>
        <v>0</v>
      </c>
      <c r="M3319" s="7">
        <f>0</f>
        <v>0</v>
      </c>
      <c r="N3319" s="5" t="s">
        <v>242</v>
      </c>
      <c r="O3319" s="5">
        <v>1</v>
      </c>
      <c r="P3319" s="5" t="s">
        <v>294</v>
      </c>
      <c r="Q3319" s="5" t="s">
        <v>3678</v>
      </c>
      <c r="R3319" s="5" t="s">
        <v>240</v>
      </c>
      <c r="S3319" s="5" t="s">
        <v>240</v>
      </c>
      <c r="T3319" s="5" t="s">
        <v>243</v>
      </c>
      <c r="U3319" s="5" t="s">
        <v>244</v>
      </c>
      <c r="V3319" s="5" t="s">
        <v>240</v>
      </c>
      <c r="W3319" s="5" t="s">
        <v>240</v>
      </c>
      <c r="X3319" s="5" t="s">
        <v>240</v>
      </c>
      <c r="Y3319" s="5" t="s">
        <v>240</v>
      </c>
      <c r="Z3319" s="6" t="s">
        <v>298</v>
      </c>
      <c r="AA3319" s="6" t="s">
        <v>240</v>
      </c>
      <c r="AB3319" s="6" t="s">
        <v>240</v>
      </c>
      <c r="AC3319" s="5" t="s">
        <v>240</v>
      </c>
      <c r="AD3319" s="6" t="s">
        <v>240</v>
      </c>
      <c r="AE3319" s="6" t="s">
        <v>299</v>
      </c>
      <c r="AF3319" s="5" t="s">
        <v>248</v>
      </c>
      <c r="AG3319" s="5" t="s">
        <v>249</v>
      </c>
      <c r="AH3319" s="5" t="s">
        <v>240</v>
      </c>
      <c r="AI3319" s="5" t="s">
        <v>240</v>
      </c>
      <c r="AJ3319" s="5" t="s">
        <v>240</v>
      </c>
      <c r="AK3319" s="5" t="s">
        <v>240</v>
      </c>
      <c r="AL3319" s="5" t="s">
        <v>240</v>
      </c>
      <c r="AM3319" s="5" t="s">
        <v>240</v>
      </c>
      <c r="AN3319" s="5" t="s">
        <v>240</v>
      </c>
      <c r="AO3319" s="5" t="s">
        <v>240</v>
      </c>
      <c r="AP3319" s="6" t="s">
        <v>240</v>
      </c>
      <c r="AQ3319" s="6" t="s">
        <v>240</v>
      </c>
      <c r="AR3319" s="6" t="s">
        <v>240</v>
      </c>
      <c r="AS3319" s="6" t="s">
        <v>240</v>
      </c>
      <c r="AT3319" s="5" t="s">
        <v>240</v>
      </c>
      <c r="AU3319" s="5" t="s">
        <v>729</v>
      </c>
      <c r="AV3319" s="5" t="s">
        <v>729</v>
      </c>
      <c r="AW3319" s="5" t="s">
        <v>251</v>
      </c>
      <c r="AX3319" s="5" t="s">
        <v>252</v>
      </c>
      <c r="AY3319" s="5" t="s">
        <v>253</v>
      </c>
      <c r="AZ3319" s="5" t="s">
        <v>240</v>
      </c>
      <c r="BA3319" s="5" t="s">
        <v>255</v>
      </c>
      <c r="BB3319" s="5" t="s">
        <v>731</v>
      </c>
      <c r="BD3319" s="5" t="s">
        <v>240</v>
      </c>
      <c r="BF3319" s="5" t="s">
        <v>732</v>
      </c>
      <c r="BG3319" s="6" t="s">
        <v>733</v>
      </c>
      <c r="BH3319" s="5" t="s">
        <v>734</v>
      </c>
      <c r="BI3319" s="5" t="s">
        <v>734</v>
      </c>
      <c r="BJ3319" s="5" t="s">
        <v>240</v>
      </c>
      <c r="BK3319" s="7">
        <f>1</f>
        <v>1</v>
      </c>
      <c r="BL3319" s="7">
        <f>1</f>
        <v>1</v>
      </c>
      <c r="BM3319" s="5" t="s">
        <v>258</v>
      </c>
      <c r="BN3319" s="5" t="s">
        <v>259</v>
      </c>
      <c r="BO3319" s="5" t="s">
        <v>240</v>
      </c>
      <c r="BP3319" s="5" t="s">
        <v>240</v>
      </c>
      <c r="BQ3319" s="5" t="s">
        <v>240</v>
      </c>
      <c r="BR3319" s="5" t="s">
        <v>240</v>
      </c>
      <c r="BS3319" s="5" t="s">
        <v>240</v>
      </c>
      <c r="BT3319" s="5" t="s">
        <v>240</v>
      </c>
      <c r="BU3319" s="5" t="s">
        <v>240</v>
      </c>
      <c r="BV3319" s="5" t="s">
        <v>240</v>
      </c>
      <c r="BW3319" s="6" t="s">
        <v>240</v>
      </c>
      <c r="BX3319" s="5" t="s">
        <v>240</v>
      </c>
      <c r="BY3319" s="5" t="s">
        <v>240</v>
      </c>
      <c r="BZ3319" s="5" t="s">
        <v>240</v>
      </c>
      <c r="CA3319" s="5" t="s">
        <v>259</v>
      </c>
      <c r="CB3319" s="5" t="s">
        <v>240</v>
      </c>
      <c r="CC3319" s="5" t="s">
        <v>240</v>
      </c>
      <c r="CD3319" s="5" t="s">
        <v>240</v>
      </c>
      <c r="CE3319" s="5" t="s">
        <v>240</v>
      </c>
      <c r="CF3319" s="5" t="s">
        <v>240</v>
      </c>
      <c r="CG3319" s="5" t="s">
        <v>304</v>
      </c>
      <c r="CH3319" s="5" t="s">
        <v>305</v>
      </c>
      <c r="CI3319" s="5" t="s">
        <v>240</v>
      </c>
      <c r="CK3319" s="5" t="s">
        <v>3681</v>
      </c>
      <c r="CL3319" s="6" t="s">
        <v>261</v>
      </c>
      <c r="CM3319" s="5" t="s">
        <v>262</v>
      </c>
      <c r="CN3319" s="5" t="s">
        <v>263</v>
      </c>
      <c r="CO3319" s="5" t="s">
        <v>264</v>
      </c>
      <c r="CP3319" s="5" t="s">
        <v>240</v>
      </c>
      <c r="CQ3319" s="5">
        <v>0</v>
      </c>
      <c r="CR3319" s="5" t="s">
        <v>735</v>
      </c>
      <c r="CS3319" s="5" t="s">
        <v>307</v>
      </c>
      <c r="CT3319" s="5" t="s">
        <v>307</v>
      </c>
      <c r="CU3319" s="5" t="s">
        <v>260</v>
      </c>
      <c r="CV3319" s="5" t="s">
        <v>612</v>
      </c>
      <c r="CW3319" s="8">
        <f>1</f>
        <v>1</v>
      </c>
      <c r="CX3319" s="7">
        <f>1</f>
        <v>1</v>
      </c>
      <c r="CY3319" s="7">
        <f>0</f>
        <v>0</v>
      </c>
      <c r="DA3319" s="7">
        <f>1</f>
        <v>1</v>
      </c>
      <c r="DB3319" s="7" t="s">
        <v>240</v>
      </c>
      <c r="DC3319" s="5" t="s">
        <v>240</v>
      </c>
      <c r="DD3319" s="5" t="s">
        <v>240</v>
      </c>
      <c r="DE3319" s="5" t="s">
        <v>240</v>
      </c>
      <c r="DF3319" s="5" t="s">
        <v>240</v>
      </c>
      <c r="DG3319" s="7">
        <f>0</f>
        <v>0</v>
      </c>
      <c r="DI3319" s="5" t="s">
        <v>240</v>
      </c>
      <c r="DJ3319" s="5" t="s">
        <v>240</v>
      </c>
      <c r="DK3319" s="5" t="s">
        <v>240</v>
      </c>
      <c r="DL3319" s="5" t="s">
        <v>240</v>
      </c>
      <c r="DM3319" s="5" t="s">
        <v>240</v>
      </c>
      <c r="DN3319" s="5" t="s">
        <v>240</v>
      </c>
      <c r="DO3319" s="7" t="s">
        <v>240</v>
      </c>
      <c r="DP3319" s="5" t="s">
        <v>240</v>
      </c>
      <c r="DQ3319" s="5" t="s">
        <v>240</v>
      </c>
      <c r="DR3319" s="5" t="s">
        <v>731</v>
      </c>
      <c r="DS3319" s="5" t="s">
        <v>731</v>
      </c>
      <c r="DT3319" s="5" t="s">
        <v>240</v>
      </c>
      <c r="DU3319" s="5" t="s">
        <v>240</v>
      </c>
      <c r="DV3319" s="5" t="s">
        <v>5063</v>
      </c>
      <c r="DW3319" s="5" t="s">
        <v>806</v>
      </c>
      <c r="DX3319" s="5" t="s">
        <v>240</v>
      </c>
      <c r="DY3319" s="5" t="s">
        <v>240</v>
      </c>
      <c r="DZ3319" s="5" t="s">
        <v>240</v>
      </c>
      <c r="EA3319" s="5" t="s">
        <v>240</v>
      </c>
      <c r="EB3319" s="5" t="s">
        <v>240</v>
      </c>
      <c r="EC3319" s="5" t="s">
        <v>240</v>
      </c>
      <c r="ED3319" s="5" t="s">
        <v>240</v>
      </c>
      <c r="EE3319" s="5" t="s">
        <v>240</v>
      </c>
      <c r="EF3319" s="5" t="s">
        <v>240</v>
      </c>
      <c r="EG3319" s="5" t="s">
        <v>240</v>
      </c>
      <c r="EH3319" s="5" t="s">
        <v>240</v>
      </c>
      <c r="EI3319" s="5" t="s">
        <v>240</v>
      </c>
      <c r="EJ3319" s="5" t="s">
        <v>240</v>
      </c>
      <c r="EK3319" s="5" t="s">
        <v>240</v>
      </c>
      <c r="EL3319" s="5" t="s">
        <v>240</v>
      </c>
      <c r="EM3319" s="5" t="s">
        <v>240</v>
      </c>
      <c r="EN3319" s="5" t="s">
        <v>240</v>
      </c>
      <c r="EO3319" s="5" t="s">
        <v>240</v>
      </c>
      <c r="EP3319" s="5" t="s">
        <v>240</v>
      </c>
      <c r="EQ3319" s="5" t="s">
        <v>240</v>
      </c>
      <c r="ER3319" s="5" t="s">
        <v>240</v>
      </c>
      <c r="ES3319" s="5" t="s">
        <v>240</v>
      </c>
      <c r="ET3319" s="5" t="s">
        <v>240</v>
      </c>
      <c r="EU3319" s="5" t="s">
        <v>240</v>
      </c>
      <c r="EV3319" s="5" t="s">
        <v>240</v>
      </c>
      <c r="EW3319" s="5" t="s">
        <v>240</v>
      </c>
      <c r="EX3319" s="5" t="s">
        <v>240</v>
      </c>
      <c r="EY3319" s="5" t="s">
        <v>240</v>
      </c>
      <c r="EZ3319" s="5" t="s">
        <v>240</v>
      </c>
      <c r="FA3319" s="5" t="s">
        <v>240</v>
      </c>
      <c r="FB3319" s="5" t="s">
        <v>240</v>
      </c>
      <c r="FC3319" s="5" t="s">
        <v>240</v>
      </c>
      <c r="FD3319" s="5" t="s">
        <v>240</v>
      </c>
      <c r="FE3319" s="5" t="s">
        <v>240</v>
      </c>
      <c r="FF3319" s="5" t="s">
        <v>240</v>
      </c>
      <c r="FG3319" s="5" t="s">
        <v>240</v>
      </c>
      <c r="FH3319" s="5" t="s">
        <v>240</v>
      </c>
      <c r="FI3319" s="5" t="s">
        <v>240</v>
      </c>
      <c r="FJ3319" s="5" t="s">
        <v>240</v>
      </c>
      <c r="FK3319" s="5" t="s">
        <v>240</v>
      </c>
      <c r="FL3319" s="5" t="s">
        <v>240</v>
      </c>
      <c r="FM3319" s="5" t="s">
        <v>240</v>
      </c>
      <c r="FN3319" s="5" t="s">
        <v>240</v>
      </c>
      <c r="FO3319" s="5" t="s">
        <v>240</v>
      </c>
      <c r="FP3319" s="5" t="s">
        <v>240</v>
      </c>
      <c r="FQ3319" s="5" t="s">
        <v>240</v>
      </c>
      <c r="FR3319" s="5" t="s">
        <v>240</v>
      </c>
      <c r="FS3319" s="5" t="s">
        <v>240</v>
      </c>
      <c r="FT3319" s="5" t="s">
        <v>240</v>
      </c>
      <c r="FU3319" s="5" t="s">
        <v>240</v>
      </c>
      <c r="FV3319" s="5" t="s">
        <v>240</v>
      </c>
      <c r="FW3319" s="5" t="s">
        <v>240</v>
      </c>
      <c r="FX3319" s="5" t="s">
        <v>240</v>
      </c>
      <c r="FY3319" s="5" t="s">
        <v>240</v>
      </c>
      <c r="FZ3319" s="5" t="s">
        <v>240</v>
      </c>
      <c r="GA3319" s="5" t="s">
        <v>240</v>
      </c>
      <c r="GB3319" s="5" t="s">
        <v>240</v>
      </c>
      <c r="GC3319" s="5" t="s">
        <v>240</v>
      </c>
      <c r="GD3319" s="5" t="s">
        <v>240</v>
      </c>
      <c r="GE3319" s="5" t="s">
        <v>240</v>
      </c>
      <c r="GF3319" s="5" t="s">
        <v>240</v>
      </c>
      <c r="GG3319" s="5" t="s">
        <v>240</v>
      </c>
      <c r="GH3319" s="5" t="s">
        <v>240</v>
      </c>
      <c r="GI3319" s="5" t="s">
        <v>240</v>
      </c>
      <c r="GJ3319" s="5" t="s">
        <v>240</v>
      </c>
      <c r="GK3319" s="5" t="s">
        <v>240</v>
      </c>
      <c r="GL3319" s="5" t="s">
        <v>240</v>
      </c>
      <c r="GM3319" s="5" t="s">
        <v>240</v>
      </c>
      <c r="GN3319" s="5" t="s">
        <v>240</v>
      </c>
      <c r="GO3319" s="5" t="s">
        <v>240</v>
      </c>
      <c r="GP3319" s="5" t="s">
        <v>240</v>
      </c>
      <c r="GQ3319" s="5" t="s">
        <v>240</v>
      </c>
      <c r="GR3319" s="5" t="s">
        <v>240</v>
      </c>
      <c r="GS3319" s="5" t="s">
        <v>240</v>
      </c>
      <c r="GT3319" s="5" t="s">
        <v>240</v>
      </c>
      <c r="GU3319" s="5" t="s">
        <v>240</v>
      </c>
      <c r="GV3319" s="5" t="s">
        <v>240</v>
      </c>
      <c r="GW3319" s="5" t="s">
        <v>240</v>
      </c>
      <c r="GX3319" s="5" t="s">
        <v>240</v>
      </c>
      <c r="GY3319" s="5" t="s">
        <v>240</v>
      </c>
      <c r="GZ3319" s="5" t="s">
        <v>240</v>
      </c>
      <c r="HA3319" s="5" t="s">
        <v>240</v>
      </c>
      <c r="HB3319" s="5" t="s">
        <v>240</v>
      </c>
      <c r="HC3319" s="5" t="s">
        <v>240</v>
      </c>
      <c r="HD3319" s="5" t="s">
        <v>240</v>
      </c>
      <c r="HE3319" s="5" t="s">
        <v>240</v>
      </c>
      <c r="HF3319" s="5" t="s">
        <v>240</v>
      </c>
      <c r="HG3319" s="5" t="s">
        <v>240</v>
      </c>
      <c r="HH3319" s="5" t="s">
        <v>240</v>
      </c>
      <c r="HI3319" s="5" t="s">
        <v>240</v>
      </c>
      <c r="HJ3319" s="5" t="s">
        <v>240</v>
      </c>
      <c r="HK3319" s="5" t="s">
        <v>240</v>
      </c>
      <c r="HL3319" s="5" t="s">
        <v>240</v>
      </c>
      <c r="HM3319" s="5" t="s">
        <v>240</v>
      </c>
      <c r="HN3319" s="5" t="s">
        <v>240</v>
      </c>
      <c r="HO3319" s="5" t="s">
        <v>312</v>
      </c>
      <c r="HP3319" s="5" t="s">
        <v>240</v>
      </c>
      <c r="HQ3319" s="5" t="s">
        <v>240</v>
      </c>
      <c r="HR3319" s="5" t="s">
        <v>240</v>
      </c>
      <c r="HS3319" s="5" t="s">
        <v>240</v>
      </c>
      <c r="HT3319" s="5" t="s">
        <v>240</v>
      </c>
      <c r="HU3319" s="5" t="s">
        <v>240</v>
      </c>
      <c r="HV3319" s="5" t="s">
        <v>240</v>
      </c>
      <c r="HW3319" s="5" t="s">
        <v>240</v>
      </c>
      <c r="HX3319" s="5" t="s">
        <v>240</v>
      </c>
      <c r="HY3319" s="5" t="s">
        <v>240</v>
      </c>
      <c r="HZ3319" s="5" t="s">
        <v>240</v>
      </c>
      <c r="IA3319" s="5" t="s">
        <v>240</v>
      </c>
      <c r="IB3319" s="5" t="s">
        <v>240</v>
      </c>
      <c r="IC3319" s="5" t="s">
        <v>240</v>
      </c>
      <c r="ID3319" s="5" t="s">
        <v>240</v>
      </c>
      <c r="IE3319" s="5" t="s">
        <v>240</v>
      </c>
      <c r="IF3319" s="5" t="s">
        <v>240</v>
      </c>
    </row>
    <row r="3320" spans="1:240" x14ac:dyDescent="0.4">
      <c r="A3320" s="5">
        <v>8862</v>
      </c>
      <c r="B3320" s="5">
        <v>1</v>
      </c>
      <c r="C3320" s="5">
        <v>1</v>
      </c>
      <c r="D3320" s="5" t="s">
        <v>723</v>
      </c>
      <c r="E3320" s="5" t="s">
        <v>725</v>
      </c>
      <c r="F3320" s="5" t="s">
        <v>730</v>
      </c>
      <c r="G3320" s="5" t="s">
        <v>726</v>
      </c>
      <c r="H3320" s="6" t="s">
        <v>6312</v>
      </c>
      <c r="I3320" s="5" t="s">
        <v>990</v>
      </c>
      <c r="J3320" s="8">
        <f>2161</f>
        <v>2161</v>
      </c>
      <c r="K3320" s="5" t="s">
        <v>308</v>
      </c>
      <c r="L3320" s="7">
        <f>0</f>
        <v>0</v>
      </c>
      <c r="M3320" s="7">
        <f>0</f>
        <v>0</v>
      </c>
      <c r="N3320" s="5" t="s">
        <v>242</v>
      </c>
      <c r="O3320" s="5">
        <v>1</v>
      </c>
      <c r="P3320" s="5" t="s">
        <v>294</v>
      </c>
      <c r="Q3320" s="5" t="s">
        <v>3678</v>
      </c>
      <c r="R3320" s="5" t="s">
        <v>240</v>
      </c>
      <c r="S3320" s="5" t="s">
        <v>240</v>
      </c>
      <c r="T3320" s="5" t="s">
        <v>243</v>
      </c>
      <c r="U3320" s="5" t="s">
        <v>244</v>
      </c>
      <c r="V3320" s="5" t="s">
        <v>240</v>
      </c>
      <c r="W3320" s="5" t="s">
        <v>240</v>
      </c>
      <c r="X3320" s="5" t="s">
        <v>240</v>
      </c>
      <c r="Y3320" s="5" t="s">
        <v>240</v>
      </c>
      <c r="Z3320" s="6" t="s">
        <v>298</v>
      </c>
      <c r="AA3320" s="6" t="s">
        <v>240</v>
      </c>
      <c r="AB3320" s="6" t="s">
        <v>240</v>
      </c>
      <c r="AC3320" s="5" t="s">
        <v>240</v>
      </c>
      <c r="AD3320" s="6" t="s">
        <v>240</v>
      </c>
      <c r="AE3320" s="6" t="s">
        <v>299</v>
      </c>
      <c r="AF3320" s="5" t="s">
        <v>248</v>
      </c>
      <c r="AG3320" s="5" t="s">
        <v>249</v>
      </c>
      <c r="AH3320" s="5" t="s">
        <v>240</v>
      </c>
      <c r="AI3320" s="5" t="s">
        <v>240</v>
      </c>
      <c r="AJ3320" s="5" t="s">
        <v>240</v>
      </c>
      <c r="AK3320" s="5" t="s">
        <v>240</v>
      </c>
      <c r="AL3320" s="5" t="s">
        <v>240</v>
      </c>
      <c r="AM3320" s="5" t="s">
        <v>240</v>
      </c>
      <c r="AN3320" s="5" t="s">
        <v>240</v>
      </c>
      <c r="AO3320" s="5" t="s">
        <v>240</v>
      </c>
      <c r="AP3320" s="6" t="s">
        <v>240</v>
      </c>
      <c r="AQ3320" s="6" t="s">
        <v>240</v>
      </c>
      <c r="AR3320" s="6" t="s">
        <v>240</v>
      </c>
      <c r="AS3320" s="6" t="s">
        <v>240</v>
      </c>
      <c r="AT3320" s="5" t="s">
        <v>240</v>
      </c>
      <c r="AU3320" s="5" t="s">
        <v>729</v>
      </c>
      <c r="AV3320" s="5" t="s">
        <v>729</v>
      </c>
      <c r="AW3320" s="5" t="s">
        <v>251</v>
      </c>
      <c r="AX3320" s="5" t="s">
        <v>252</v>
      </c>
      <c r="AY3320" s="5" t="s">
        <v>253</v>
      </c>
      <c r="AZ3320" s="5" t="s">
        <v>240</v>
      </c>
      <c r="BA3320" s="5" t="s">
        <v>255</v>
      </c>
      <c r="BB3320" s="5" t="s">
        <v>731</v>
      </c>
      <c r="BD3320" s="5" t="s">
        <v>240</v>
      </c>
      <c r="BF3320" s="5" t="s">
        <v>732</v>
      </c>
      <c r="BG3320" s="6" t="s">
        <v>733</v>
      </c>
      <c r="BH3320" s="5" t="s">
        <v>734</v>
      </c>
      <c r="BI3320" s="5" t="s">
        <v>734</v>
      </c>
      <c r="BJ3320" s="5" t="s">
        <v>240</v>
      </c>
      <c r="BK3320" s="7">
        <f>1</f>
        <v>1</v>
      </c>
      <c r="BL3320" s="7">
        <f>1</f>
        <v>1</v>
      </c>
      <c r="BM3320" s="5" t="s">
        <v>258</v>
      </c>
      <c r="BN3320" s="5" t="s">
        <v>259</v>
      </c>
      <c r="BO3320" s="5" t="s">
        <v>240</v>
      </c>
      <c r="BP3320" s="5" t="s">
        <v>240</v>
      </c>
      <c r="BQ3320" s="5" t="s">
        <v>240</v>
      </c>
      <c r="BR3320" s="5" t="s">
        <v>240</v>
      </c>
      <c r="BS3320" s="5" t="s">
        <v>240</v>
      </c>
      <c r="BT3320" s="5" t="s">
        <v>240</v>
      </c>
      <c r="BU3320" s="5" t="s">
        <v>240</v>
      </c>
      <c r="BV3320" s="5" t="s">
        <v>240</v>
      </c>
      <c r="BW3320" s="6" t="s">
        <v>240</v>
      </c>
      <c r="BX3320" s="5" t="s">
        <v>240</v>
      </c>
      <c r="BY3320" s="5" t="s">
        <v>240</v>
      </c>
      <c r="BZ3320" s="5" t="s">
        <v>240</v>
      </c>
      <c r="CA3320" s="5" t="s">
        <v>259</v>
      </c>
      <c r="CB3320" s="5" t="s">
        <v>240</v>
      </c>
      <c r="CC3320" s="5" t="s">
        <v>240</v>
      </c>
      <c r="CD3320" s="5" t="s">
        <v>240</v>
      </c>
      <c r="CE3320" s="5" t="s">
        <v>240</v>
      </c>
      <c r="CF3320" s="5" t="s">
        <v>240</v>
      </c>
      <c r="CG3320" s="5" t="s">
        <v>304</v>
      </c>
      <c r="CH3320" s="5" t="s">
        <v>305</v>
      </c>
      <c r="CI3320" s="5" t="s">
        <v>240</v>
      </c>
      <c r="CK3320" s="5" t="s">
        <v>3681</v>
      </c>
      <c r="CL3320" s="6" t="s">
        <v>261</v>
      </c>
      <c r="CM3320" s="5" t="s">
        <v>262</v>
      </c>
      <c r="CN3320" s="5" t="s">
        <v>263</v>
      </c>
      <c r="CO3320" s="5" t="s">
        <v>264</v>
      </c>
      <c r="CP3320" s="5" t="s">
        <v>240</v>
      </c>
      <c r="CQ3320" s="5">
        <v>0</v>
      </c>
      <c r="CR3320" s="5" t="s">
        <v>735</v>
      </c>
      <c r="CS3320" s="5" t="s">
        <v>307</v>
      </c>
      <c r="CT3320" s="5" t="s">
        <v>307</v>
      </c>
      <c r="CU3320" s="5" t="s">
        <v>260</v>
      </c>
      <c r="CV3320" s="5" t="s">
        <v>612</v>
      </c>
      <c r="CW3320" s="8">
        <f>1</f>
        <v>1</v>
      </c>
      <c r="CX3320" s="7">
        <f>1</f>
        <v>1</v>
      </c>
      <c r="CY3320" s="7">
        <f>0</f>
        <v>0</v>
      </c>
      <c r="DA3320" s="7">
        <f>1</f>
        <v>1</v>
      </c>
      <c r="DB3320" s="7" t="s">
        <v>240</v>
      </c>
      <c r="DC3320" s="5" t="s">
        <v>240</v>
      </c>
      <c r="DD3320" s="5" t="s">
        <v>240</v>
      </c>
      <c r="DE3320" s="5" t="s">
        <v>240</v>
      </c>
      <c r="DF3320" s="5" t="s">
        <v>240</v>
      </c>
      <c r="DG3320" s="7">
        <f>0</f>
        <v>0</v>
      </c>
      <c r="DI3320" s="5" t="s">
        <v>240</v>
      </c>
      <c r="DJ3320" s="5" t="s">
        <v>240</v>
      </c>
      <c r="DK3320" s="5" t="s">
        <v>240</v>
      </c>
      <c r="DL3320" s="5" t="s">
        <v>240</v>
      </c>
      <c r="DM3320" s="5" t="s">
        <v>240</v>
      </c>
      <c r="DN3320" s="5" t="s">
        <v>240</v>
      </c>
      <c r="DO3320" s="7" t="s">
        <v>240</v>
      </c>
      <c r="DP3320" s="5" t="s">
        <v>240</v>
      </c>
      <c r="DQ3320" s="5" t="s">
        <v>240</v>
      </c>
      <c r="DR3320" s="5" t="s">
        <v>731</v>
      </c>
      <c r="DS3320" s="5" t="s">
        <v>731</v>
      </c>
      <c r="DT3320" s="5" t="s">
        <v>240</v>
      </c>
      <c r="DU3320" s="5" t="s">
        <v>240</v>
      </c>
      <c r="DV3320" s="5" t="s">
        <v>5063</v>
      </c>
      <c r="DW3320" s="5" t="s">
        <v>958</v>
      </c>
      <c r="DX3320" s="5" t="s">
        <v>240</v>
      </c>
      <c r="DY3320" s="5" t="s">
        <v>240</v>
      </c>
      <c r="DZ3320" s="5" t="s">
        <v>240</v>
      </c>
      <c r="EA3320" s="5" t="s">
        <v>240</v>
      </c>
      <c r="EB3320" s="5" t="s">
        <v>240</v>
      </c>
      <c r="EC3320" s="5" t="s">
        <v>240</v>
      </c>
      <c r="ED3320" s="5" t="s">
        <v>240</v>
      </c>
      <c r="EE3320" s="5" t="s">
        <v>240</v>
      </c>
      <c r="EF3320" s="5" t="s">
        <v>240</v>
      </c>
      <c r="EG3320" s="5" t="s">
        <v>240</v>
      </c>
      <c r="EH3320" s="5" t="s">
        <v>240</v>
      </c>
      <c r="EI3320" s="5" t="s">
        <v>240</v>
      </c>
      <c r="EJ3320" s="5" t="s">
        <v>240</v>
      </c>
      <c r="EK3320" s="5" t="s">
        <v>240</v>
      </c>
      <c r="EL3320" s="5" t="s">
        <v>240</v>
      </c>
      <c r="EM3320" s="5" t="s">
        <v>240</v>
      </c>
      <c r="EN3320" s="5" t="s">
        <v>240</v>
      </c>
      <c r="EO3320" s="5" t="s">
        <v>240</v>
      </c>
      <c r="EP3320" s="5" t="s">
        <v>240</v>
      </c>
      <c r="EQ3320" s="5" t="s">
        <v>240</v>
      </c>
      <c r="ER3320" s="5" t="s">
        <v>240</v>
      </c>
      <c r="ES3320" s="5" t="s">
        <v>240</v>
      </c>
      <c r="ET3320" s="5" t="s">
        <v>240</v>
      </c>
      <c r="EU3320" s="5" t="s">
        <v>240</v>
      </c>
      <c r="EV3320" s="5" t="s">
        <v>240</v>
      </c>
      <c r="EW3320" s="5" t="s">
        <v>240</v>
      </c>
      <c r="EX3320" s="5" t="s">
        <v>240</v>
      </c>
      <c r="EY3320" s="5" t="s">
        <v>240</v>
      </c>
      <c r="EZ3320" s="5" t="s">
        <v>240</v>
      </c>
      <c r="FA3320" s="5" t="s">
        <v>240</v>
      </c>
      <c r="FB3320" s="5" t="s">
        <v>240</v>
      </c>
      <c r="FC3320" s="5" t="s">
        <v>240</v>
      </c>
      <c r="FD3320" s="5" t="s">
        <v>240</v>
      </c>
      <c r="FE3320" s="5" t="s">
        <v>240</v>
      </c>
      <c r="FF3320" s="5" t="s">
        <v>240</v>
      </c>
      <c r="FG3320" s="5" t="s">
        <v>240</v>
      </c>
      <c r="FH3320" s="5" t="s">
        <v>240</v>
      </c>
      <c r="FI3320" s="5" t="s">
        <v>240</v>
      </c>
      <c r="FJ3320" s="5" t="s">
        <v>240</v>
      </c>
      <c r="FK3320" s="5" t="s">
        <v>240</v>
      </c>
      <c r="FL3320" s="5" t="s">
        <v>240</v>
      </c>
      <c r="FM3320" s="5" t="s">
        <v>240</v>
      </c>
      <c r="FN3320" s="5" t="s">
        <v>240</v>
      </c>
      <c r="FO3320" s="5" t="s">
        <v>240</v>
      </c>
      <c r="FP3320" s="5" t="s">
        <v>240</v>
      </c>
      <c r="FQ3320" s="5" t="s">
        <v>240</v>
      </c>
      <c r="FR3320" s="5" t="s">
        <v>240</v>
      </c>
      <c r="FS3320" s="5" t="s">
        <v>240</v>
      </c>
      <c r="FT3320" s="5" t="s">
        <v>240</v>
      </c>
      <c r="FU3320" s="5" t="s">
        <v>240</v>
      </c>
      <c r="FV3320" s="5" t="s">
        <v>240</v>
      </c>
      <c r="FW3320" s="5" t="s">
        <v>240</v>
      </c>
      <c r="FX3320" s="5" t="s">
        <v>240</v>
      </c>
      <c r="FY3320" s="5" t="s">
        <v>240</v>
      </c>
      <c r="FZ3320" s="5" t="s">
        <v>240</v>
      </c>
      <c r="GA3320" s="5" t="s">
        <v>240</v>
      </c>
      <c r="GB3320" s="5" t="s">
        <v>240</v>
      </c>
      <c r="GC3320" s="5" t="s">
        <v>240</v>
      </c>
      <c r="GD3320" s="5" t="s">
        <v>240</v>
      </c>
      <c r="GE3320" s="5" t="s">
        <v>240</v>
      </c>
      <c r="GF3320" s="5" t="s">
        <v>240</v>
      </c>
      <c r="GG3320" s="5" t="s">
        <v>240</v>
      </c>
      <c r="GH3320" s="5" t="s">
        <v>240</v>
      </c>
      <c r="GI3320" s="5" t="s">
        <v>240</v>
      </c>
      <c r="GJ3320" s="5" t="s">
        <v>240</v>
      </c>
      <c r="GK3320" s="5" t="s">
        <v>240</v>
      </c>
      <c r="GL3320" s="5" t="s">
        <v>240</v>
      </c>
      <c r="GM3320" s="5" t="s">
        <v>240</v>
      </c>
      <c r="GN3320" s="5" t="s">
        <v>240</v>
      </c>
      <c r="GO3320" s="5" t="s">
        <v>240</v>
      </c>
      <c r="GP3320" s="5" t="s">
        <v>240</v>
      </c>
      <c r="GQ3320" s="5" t="s">
        <v>240</v>
      </c>
      <c r="GR3320" s="5" t="s">
        <v>240</v>
      </c>
      <c r="GS3320" s="5" t="s">
        <v>240</v>
      </c>
      <c r="GT3320" s="5" t="s">
        <v>240</v>
      </c>
      <c r="GU3320" s="5" t="s">
        <v>240</v>
      </c>
      <c r="GV3320" s="5" t="s">
        <v>240</v>
      </c>
      <c r="GW3320" s="5" t="s">
        <v>240</v>
      </c>
      <c r="GX3320" s="5" t="s">
        <v>240</v>
      </c>
      <c r="GY3320" s="5" t="s">
        <v>240</v>
      </c>
      <c r="GZ3320" s="5" t="s">
        <v>240</v>
      </c>
      <c r="HA3320" s="5" t="s">
        <v>240</v>
      </c>
      <c r="HB3320" s="5" t="s">
        <v>240</v>
      </c>
      <c r="HC3320" s="5" t="s">
        <v>240</v>
      </c>
      <c r="HD3320" s="5" t="s">
        <v>240</v>
      </c>
      <c r="HE3320" s="5" t="s">
        <v>240</v>
      </c>
      <c r="HF3320" s="5" t="s">
        <v>240</v>
      </c>
      <c r="HG3320" s="5" t="s">
        <v>240</v>
      </c>
      <c r="HH3320" s="5" t="s">
        <v>240</v>
      </c>
      <c r="HI3320" s="5" t="s">
        <v>240</v>
      </c>
      <c r="HJ3320" s="5" t="s">
        <v>240</v>
      </c>
      <c r="HK3320" s="5" t="s">
        <v>240</v>
      </c>
      <c r="HL3320" s="5" t="s">
        <v>240</v>
      </c>
      <c r="HM3320" s="5" t="s">
        <v>240</v>
      </c>
      <c r="HN3320" s="5" t="s">
        <v>240</v>
      </c>
      <c r="HO3320" s="5" t="s">
        <v>312</v>
      </c>
      <c r="HP3320" s="5" t="s">
        <v>240</v>
      </c>
      <c r="HQ3320" s="5" t="s">
        <v>240</v>
      </c>
      <c r="HR3320" s="5" t="s">
        <v>240</v>
      </c>
      <c r="HS3320" s="5" t="s">
        <v>240</v>
      </c>
      <c r="HT3320" s="5" t="s">
        <v>240</v>
      </c>
      <c r="HU3320" s="5" t="s">
        <v>240</v>
      </c>
      <c r="HV3320" s="5" t="s">
        <v>240</v>
      </c>
      <c r="HW3320" s="5" t="s">
        <v>240</v>
      </c>
      <c r="HX3320" s="5" t="s">
        <v>240</v>
      </c>
      <c r="HY3320" s="5" t="s">
        <v>240</v>
      </c>
      <c r="HZ3320" s="5" t="s">
        <v>240</v>
      </c>
      <c r="IA3320" s="5" t="s">
        <v>240</v>
      </c>
      <c r="IB3320" s="5" t="s">
        <v>240</v>
      </c>
      <c r="IC3320" s="5" t="s">
        <v>240</v>
      </c>
      <c r="ID3320" s="5" t="s">
        <v>240</v>
      </c>
      <c r="IE3320" s="5" t="s">
        <v>240</v>
      </c>
      <c r="IF3320" s="5" t="s">
        <v>240</v>
      </c>
    </row>
    <row r="3321" spans="1:240" x14ac:dyDescent="0.4">
      <c r="A3321" s="5">
        <v>8863</v>
      </c>
      <c r="B3321" s="5">
        <v>1</v>
      </c>
      <c r="C3321" s="5">
        <v>1</v>
      </c>
      <c r="D3321" s="5" t="s">
        <v>723</v>
      </c>
      <c r="E3321" s="5" t="s">
        <v>725</v>
      </c>
      <c r="F3321" s="5" t="s">
        <v>730</v>
      </c>
      <c r="G3321" s="5" t="s">
        <v>726</v>
      </c>
      <c r="H3321" s="6" t="s">
        <v>6670</v>
      </c>
      <c r="I3321" s="5" t="s">
        <v>990</v>
      </c>
      <c r="J3321" s="8">
        <f>948</f>
        <v>948</v>
      </c>
      <c r="K3321" s="5" t="s">
        <v>308</v>
      </c>
      <c r="L3321" s="7">
        <f>0</f>
        <v>0</v>
      </c>
      <c r="M3321" s="7">
        <f>0</f>
        <v>0</v>
      </c>
      <c r="N3321" s="5" t="s">
        <v>242</v>
      </c>
      <c r="O3321" s="5">
        <v>1</v>
      </c>
      <c r="P3321" s="5" t="s">
        <v>294</v>
      </c>
      <c r="Q3321" s="5" t="s">
        <v>3678</v>
      </c>
      <c r="R3321" s="5" t="s">
        <v>240</v>
      </c>
      <c r="S3321" s="5" t="s">
        <v>240</v>
      </c>
      <c r="T3321" s="5" t="s">
        <v>243</v>
      </c>
      <c r="U3321" s="5" t="s">
        <v>244</v>
      </c>
      <c r="V3321" s="5" t="s">
        <v>240</v>
      </c>
      <c r="W3321" s="5" t="s">
        <v>240</v>
      </c>
      <c r="X3321" s="5" t="s">
        <v>240</v>
      </c>
      <c r="Y3321" s="5" t="s">
        <v>240</v>
      </c>
      <c r="Z3321" s="6" t="s">
        <v>298</v>
      </c>
      <c r="AA3321" s="6" t="s">
        <v>240</v>
      </c>
      <c r="AB3321" s="6" t="s">
        <v>240</v>
      </c>
      <c r="AC3321" s="5" t="s">
        <v>240</v>
      </c>
      <c r="AD3321" s="6" t="s">
        <v>240</v>
      </c>
      <c r="AE3321" s="6" t="s">
        <v>299</v>
      </c>
      <c r="AF3321" s="5" t="s">
        <v>248</v>
      </c>
      <c r="AG3321" s="5" t="s">
        <v>249</v>
      </c>
      <c r="AH3321" s="5" t="s">
        <v>240</v>
      </c>
      <c r="AI3321" s="5" t="s">
        <v>240</v>
      </c>
      <c r="AJ3321" s="5" t="s">
        <v>240</v>
      </c>
      <c r="AK3321" s="5" t="s">
        <v>240</v>
      </c>
      <c r="AL3321" s="5" t="s">
        <v>240</v>
      </c>
      <c r="AM3321" s="5" t="s">
        <v>240</v>
      </c>
      <c r="AN3321" s="5" t="s">
        <v>240</v>
      </c>
      <c r="AO3321" s="5" t="s">
        <v>240</v>
      </c>
      <c r="AP3321" s="6" t="s">
        <v>240</v>
      </c>
      <c r="AQ3321" s="6" t="s">
        <v>240</v>
      </c>
      <c r="AR3321" s="6" t="s">
        <v>240</v>
      </c>
      <c r="AS3321" s="6" t="s">
        <v>240</v>
      </c>
      <c r="AT3321" s="5" t="s">
        <v>240</v>
      </c>
      <c r="AU3321" s="5" t="s">
        <v>729</v>
      </c>
      <c r="AV3321" s="5" t="s">
        <v>729</v>
      </c>
      <c r="AW3321" s="5" t="s">
        <v>251</v>
      </c>
      <c r="AX3321" s="5" t="s">
        <v>252</v>
      </c>
      <c r="AY3321" s="5" t="s">
        <v>253</v>
      </c>
      <c r="AZ3321" s="5" t="s">
        <v>240</v>
      </c>
      <c r="BA3321" s="5" t="s">
        <v>255</v>
      </c>
      <c r="BB3321" s="5" t="s">
        <v>731</v>
      </c>
      <c r="BD3321" s="5" t="s">
        <v>240</v>
      </c>
      <c r="BF3321" s="5" t="s">
        <v>732</v>
      </c>
      <c r="BG3321" s="6" t="s">
        <v>733</v>
      </c>
      <c r="BH3321" s="5" t="s">
        <v>734</v>
      </c>
      <c r="BI3321" s="5" t="s">
        <v>734</v>
      </c>
      <c r="BJ3321" s="5" t="s">
        <v>240</v>
      </c>
      <c r="BK3321" s="7">
        <f>1</f>
        <v>1</v>
      </c>
      <c r="BL3321" s="7">
        <f>1</f>
        <v>1</v>
      </c>
      <c r="BM3321" s="5" t="s">
        <v>258</v>
      </c>
      <c r="BN3321" s="5" t="s">
        <v>259</v>
      </c>
      <c r="BO3321" s="5" t="s">
        <v>240</v>
      </c>
      <c r="BP3321" s="5" t="s">
        <v>240</v>
      </c>
      <c r="BQ3321" s="5" t="s">
        <v>240</v>
      </c>
      <c r="BR3321" s="5" t="s">
        <v>240</v>
      </c>
      <c r="BS3321" s="5" t="s">
        <v>240</v>
      </c>
      <c r="BT3321" s="5" t="s">
        <v>240</v>
      </c>
      <c r="BU3321" s="5" t="s">
        <v>240</v>
      </c>
      <c r="BV3321" s="5" t="s">
        <v>240</v>
      </c>
      <c r="BW3321" s="6" t="s">
        <v>240</v>
      </c>
      <c r="BX3321" s="5" t="s">
        <v>240</v>
      </c>
      <c r="BY3321" s="5" t="s">
        <v>240</v>
      </c>
      <c r="BZ3321" s="5" t="s">
        <v>240</v>
      </c>
      <c r="CA3321" s="5" t="s">
        <v>259</v>
      </c>
      <c r="CB3321" s="5" t="s">
        <v>240</v>
      </c>
      <c r="CC3321" s="5" t="s">
        <v>240</v>
      </c>
      <c r="CD3321" s="5" t="s">
        <v>240</v>
      </c>
      <c r="CE3321" s="5" t="s">
        <v>240</v>
      </c>
      <c r="CF3321" s="5" t="s">
        <v>240</v>
      </c>
      <c r="CG3321" s="5" t="s">
        <v>304</v>
      </c>
      <c r="CH3321" s="5" t="s">
        <v>305</v>
      </c>
      <c r="CI3321" s="5" t="s">
        <v>240</v>
      </c>
      <c r="CK3321" s="5" t="s">
        <v>3681</v>
      </c>
      <c r="CL3321" s="6" t="s">
        <v>261</v>
      </c>
      <c r="CM3321" s="5" t="s">
        <v>262</v>
      </c>
      <c r="CN3321" s="5" t="s">
        <v>263</v>
      </c>
      <c r="CO3321" s="5" t="s">
        <v>264</v>
      </c>
      <c r="CP3321" s="5" t="s">
        <v>240</v>
      </c>
      <c r="CQ3321" s="5">
        <v>0</v>
      </c>
      <c r="CR3321" s="5" t="s">
        <v>735</v>
      </c>
      <c r="CS3321" s="5" t="s">
        <v>307</v>
      </c>
      <c r="CT3321" s="5" t="s">
        <v>307</v>
      </c>
      <c r="CU3321" s="5" t="s">
        <v>260</v>
      </c>
      <c r="CV3321" s="5" t="s">
        <v>612</v>
      </c>
      <c r="CW3321" s="8">
        <f>1</f>
        <v>1</v>
      </c>
      <c r="CX3321" s="7">
        <f>1</f>
        <v>1</v>
      </c>
      <c r="CY3321" s="7">
        <f>0</f>
        <v>0</v>
      </c>
      <c r="DA3321" s="7">
        <f>1</f>
        <v>1</v>
      </c>
      <c r="DB3321" s="7" t="s">
        <v>240</v>
      </c>
      <c r="DC3321" s="5" t="s">
        <v>240</v>
      </c>
      <c r="DD3321" s="5" t="s">
        <v>240</v>
      </c>
      <c r="DE3321" s="5" t="s">
        <v>240</v>
      </c>
      <c r="DF3321" s="5" t="s">
        <v>240</v>
      </c>
      <c r="DG3321" s="7">
        <f>0</f>
        <v>0</v>
      </c>
      <c r="DI3321" s="5" t="s">
        <v>240</v>
      </c>
      <c r="DJ3321" s="5" t="s">
        <v>240</v>
      </c>
      <c r="DK3321" s="5" t="s">
        <v>240</v>
      </c>
      <c r="DL3321" s="5" t="s">
        <v>240</v>
      </c>
      <c r="DM3321" s="5" t="s">
        <v>240</v>
      </c>
      <c r="DN3321" s="5" t="s">
        <v>240</v>
      </c>
      <c r="DO3321" s="7" t="s">
        <v>240</v>
      </c>
      <c r="DP3321" s="5" t="s">
        <v>240</v>
      </c>
      <c r="DQ3321" s="5" t="s">
        <v>240</v>
      </c>
      <c r="DR3321" s="5" t="s">
        <v>731</v>
      </c>
      <c r="DS3321" s="5" t="s">
        <v>731</v>
      </c>
      <c r="DT3321" s="5" t="s">
        <v>240</v>
      </c>
      <c r="DU3321" s="5" t="s">
        <v>240</v>
      </c>
      <c r="DV3321" s="5" t="s">
        <v>3683</v>
      </c>
      <c r="DW3321" s="5" t="s">
        <v>680</v>
      </c>
      <c r="DX3321" s="5" t="s">
        <v>240</v>
      </c>
      <c r="DY3321" s="5" t="s">
        <v>240</v>
      </c>
      <c r="DZ3321" s="5" t="s">
        <v>240</v>
      </c>
      <c r="EA3321" s="5" t="s">
        <v>240</v>
      </c>
      <c r="EB3321" s="5" t="s">
        <v>240</v>
      </c>
      <c r="EC3321" s="5" t="s">
        <v>240</v>
      </c>
      <c r="ED3321" s="5" t="s">
        <v>240</v>
      </c>
      <c r="EE3321" s="5" t="s">
        <v>240</v>
      </c>
      <c r="EF3321" s="5" t="s">
        <v>240</v>
      </c>
      <c r="EG3321" s="5" t="s">
        <v>240</v>
      </c>
      <c r="EH3321" s="5" t="s">
        <v>240</v>
      </c>
      <c r="EI3321" s="5" t="s">
        <v>240</v>
      </c>
      <c r="EJ3321" s="5" t="s">
        <v>240</v>
      </c>
      <c r="EK3321" s="5" t="s">
        <v>240</v>
      </c>
      <c r="EL3321" s="5" t="s">
        <v>240</v>
      </c>
      <c r="EM3321" s="5" t="s">
        <v>240</v>
      </c>
      <c r="EN3321" s="5" t="s">
        <v>240</v>
      </c>
      <c r="EO3321" s="5" t="s">
        <v>240</v>
      </c>
      <c r="EP3321" s="5" t="s">
        <v>240</v>
      </c>
      <c r="EQ3321" s="5" t="s">
        <v>240</v>
      </c>
      <c r="ER3321" s="5" t="s">
        <v>240</v>
      </c>
      <c r="ES3321" s="5" t="s">
        <v>240</v>
      </c>
      <c r="ET3321" s="5" t="s">
        <v>240</v>
      </c>
      <c r="EU3321" s="5" t="s">
        <v>240</v>
      </c>
      <c r="EV3321" s="5" t="s">
        <v>240</v>
      </c>
      <c r="EW3321" s="5" t="s">
        <v>240</v>
      </c>
      <c r="EX3321" s="5" t="s">
        <v>240</v>
      </c>
      <c r="EY3321" s="5" t="s">
        <v>240</v>
      </c>
      <c r="EZ3321" s="5" t="s">
        <v>240</v>
      </c>
      <c r="FA3321" s="5" t="s">
        <v>240</v>
      </c>
      <c r="FB3321" s="5" t="s">
        <v>240</v>
      </c>
      <c r="FC3321" s="5" t="s">
        <v>240</v>
      </c>
      <c r="FD3321" s="5" t="s">
        <v>240</v>
      </c>
      <c r="FE3321" s="5" t="s">
        <v>240</v>
      </c>
      <c r="FF3321" s="5" t="s">
        <v>240</v>
      </c>
      <c r="FG3321" s="5" t="s">
        <v>240</v>
      </c>
      <c r="FH3321" s="5" t="s">
        <v>240</v>
      </c>
      <c r="FI3321" s="5" t="s">
        <v>240</v>
      </c>
      <c r="FJ3321" s="5" t="s">
        <v>240</v>
      </c>
      <c r="FK3321" s="5" t="s">
        <v>240</v>
      </c>
      <c r="FL3321" s="5" t="s">
        <v>240</v>
      </c>
      <c r="FM3321" s="5" t="s">
        <v>240</v>
      </c>
      <c r="FN3321" s="5" t="s">
        <v>240</v>
      </c>
      <c r="FO3321" s="5" t="s">
        <v>240</v>
      </c>
      <c r="FP3321" s="5" t="s">
        <v>240</v>
      </c>
      <c r="FQ3321" s="5" t="s">
        <v>240</v>
      </c>
      <c r="FR3321" s="5" t="s">
        <v>240</v>
      </c>
      <c r="FS3321" s="5" t="s">
        <v>240</v>
      </c>
      <c r="FT3321" s="5" t="s">
        <v>240</v>
      </c>
      <c r="FU3321" s="5" t="s">
        <v>240</v>
      </c>
      <c r="FV3321" s="5" t="s">
        <v>240</v>
      </c>
      <c r="FW3321" s="5" t="s">
        <v>240</v>
      </c>
      <c r="FX3321" s="5" t="s">
        <v>240</v>
      </c>
      <c r="FY3321" s="5" t="s">
        <v>240</v>
      </c>
      <c r="FZ3321" s="5" t="s">
        <v>240</v>
      </c>
      <c r="GA3321" s="5" t="s">
        <v>240</v>
      </c>
      <c r="GB3321" s="5" t="s">
        <v>240</v>
      </c>
      <c r="GC3321" s="5" t="s">
        <v>240</v>
      </c>
      <c r="GD3321" s="5" t="s">
        <v>240</v>
      </c>
      <c r="GE3321" s="5" t="s">
        <v>240</v>
      </c>
      <c r="GF3321" s="5" t="s">
        <v>240</v>
      </c>
      <c r="GG3321" s="5" t="s">
        <v>240</v>
      </c>
      <c r="GH3321" s="5" t="s">
        <v>240</v>
      </c>
      <c r="GI3321" s="5" t="s">
        <v>240</v>
      </c>
      <c r="GJ3321" s="5" t="s">
        <v>240</v>
      </c>
      <c r="GK3321" s="5" t="s">
        <v>240</v>
      </c>
      <c r="GL3321" s="5" t="s">
        <v>240</v>
      </c>
      <c r="GM3321" s="5" t="s">
        <v>240</v>
      </c>
      <c r="GN3321" s="5" t="s">
        <v>240</v>
      </c>
      <c r="GO3321" s="5" t="s">
        <v>240</v>
      </c>
      <c r="GP3321" s="5" t="s">
        <v>240</v>
      </c>
      <c r="GQ3321" s="5" t="s">
        <v>240</v>
      </c>
      <c r="GR3321" s="5" t="s">
        <v>240</v>
      </c>
      <c r="GS3321" s="5" t="s">
        <v>240</v>
      </c>
      <c r="GT3321" s="5" t="s">
        <v>240</v>
      </c>
      <c r="GU3321" s="5" t="s">
        <v>240</v>
      </c>
      <c r="GV3321" s="5" t="s">
        <v>240</v>
      </c>
      <c r="GW3321" s="5" t="s">
        <v>240</v>
      </c>
      <c r="GX3321" s="5" t="s">
        <v>240</v>
      </c>
      <c r="GY3321" s="5" t="s">
        <v>240</v>
      </c>
      <c r="GZ3321" s="5" t="s">
        <v>240</v>
      </c>
      <c r="HA3321" s="5" t="s">
        <v>240</v>
      </c>
      <c r="HB3321" s="5" t="s">
        <v>240</v>
      </c>
      <c r="HC3321" s="5" t="s">
        <v>240</v>
      </c>
      <c r="HD3321" s="5" t="s">
        <v>240</v>
      </c>
      <c r="HE3321" s="5" t="s">
        <v>240</v>
      </c>
      <c r="HF3321" s="5" t="s">
        <v>240</v>
      </c>
      <c r="HG3321" s="5" t="s">
        <v>240</v>
      </c>
      <c r="HH3321" s="5" t="s">
        <v>240</v>
      </c>
      <c r="HI3321" s="5" t="s">
        <v>240</v>
      </c>
      <c r="HJ3321" s="5" t="s">
        <v>240</v>
      </c>
      <c r="HK3321" s="5" t="s">
        <v>240</v>
      </c>
      <c r="HL3321" s="5" t="s">
        <v>240</v>
      </c>
      <c r="HM3321" s="5" t="s">
        <v>240</v>
      </c>
      <c r="HN3321" s="5" t="s">
        <v>240</v>
      </c>
      <c r="HO3321" s="5" t="s">
        <v>312</v>
      </c>
      <c r="HP3321" s="5" t="s">
        <v>240</v>
      </c>
      <c r="HQ3321" s="5" t="s">
        <v>240</v>
      </c>
      <c r="HR3321" s="5" t="s">
        <v>240</v>
      </c>
      <c r="HS3321" s="5" t="s">
        <v>240</v>
      </c>
      <c r="HT3321" s="5" t="s">
        <v>240</v>
      </c>
      <c r="HU3321" s="5" t="s">
        <v>240</v>
      </c>
      <c r="HV3321" s="5" t="s">
        <v>240</v>
      </c>
      <c r="HW3321" s="5" t="s">
        <v>240</v>
      </c>
      <c r="HX3321" s="5" t="s">
        <v>240</v>
      </c>
      <c r="HY3321" s="5" t="s">
        <v>240</v>
      </c>
      <c r="HZ3321" s="5" t="s">
        <v>240</v>
      </c>
      <c r="IA3321" s="5" t="s">
        <v>240</v>
      </c>
      <c r="IB3321" s="5" t="s">
        <v>240</v>
      </c>
      <c r="IC3321" s="5" t="s">
        <v>240</v>
      </c>
      <c r="ID3321" s="5" t="s">
        <v>240</v>
      </c>
      <c r="IE3321" s="5" t="s">
        <v>240</v>
      </c>
      <c r="IF3321" s="5" t="s">
        <v>240</v>
      </c>
    </row>
    <row r="3322" spans="1:240" x14ac:dyDescent="0.4">
      <c r="A3322" s="5">
        <v>8864</v>
      </c>
      <c r="B3322" s="5">
        <v>1</v>
      </c>
      <c r="C3322" s="5">
        <v>1</v>
      </c>
      <c r="D3322" s="5" t="s">
        <v>723</v>
      </c>
      <c r="E3322" s="5" t="s">
        <v>725</v>
      </c>
      <c r="F3322" s="5" t="s">
        <v>730</v>
      </c>
      <c r="G3322" s="5" t="s">
        <v>726</v>
      </c>
      <c r="H3322" s="6" t="s">
        <v>6308</v>
      </c>
      <c r="I3322" s="5" t="s">
        <v>990</v>
      </c>
      <c r="J3322" s="8">
        <f>3582.3</f>
        <v>3582.3</v>
      </c>
      <c r="K3322" s="5" t="s">
        <v>308</v>
      </c>
      <c r="L3322" s="7">
        <f>0</f>
        <v>0</v>
      </c>
      <c r="M3322" s="7">
        <f>0</f>
        <v>0</v>
      </c>
      <c r="N3322" s="5" t="s">
        <v>242</v>
      </c>
      <c r="O3322" s="5">
        <v>1</v>
      </c>
      <c r="P3322" s="5" t="s">
        <v>294</v>
      </c>
      <c r="Q3322" s="5" t="s">
        <v>3678</v>
      </c>
      <c r="R3322" s="5" t="s">
        <v>240</v>
      </c>
      <c r="S3322" s="5" t="s">
        <v>240</v>
      </c>
      <c r="T3322" s="5" t="s">
        <v>243</v>
      </c>
      <c r="U3322" s="5" t="s">
        <v>244</v>
      </c>
      <c r="V3322" s="5" t="s">
        <v>240</v>
      </c>
      <c r="W3322" s="5" t="s">
        <v>240</v>
      </c>
      <c r="X3322" s="5" t="s">
        <v>240</v>
      </c>
      <c r="Y3322" s="5" t="s">
        <v>240</v>
      </c>
      <c r="Z3322" s="6" t="s">
        <v>298</v>
      </c>
      <c r="AA3322" s="6" t="s">
        <v>240</v>
      </c>
      <c r="AB3322" s="6" t="s">
        <v>240</v>
      </c>
      <c r="AC3322" s="5" t="s">
        <v>240</v>
      </c>
      <c r="AD3322" s="6" t="s">
        <v>240</v>
      </c>
      <c r="AE3322" s="6" t="s">
        <v>299</v>
      </c>
      <c r="AF3322" s="5" t="s">
        <v>248</v>
      </c>
      <c r="AG3322" s="5" t="s">
        <v>249</v>
      </c>
      <c r="AH3322" s="5" t="s">
        <v>240</v>
      </c>
      <c r="AI3322" s="5" t="s">
        <v>240</v>
      </c>
      <c r="AJ3322" s="5" t="s">
        <v>240</v>
      </c>
      <c r="AK3322" s="5" t="s">
        <v>240</v>
      </c>
      <c r="AL3322" s="5" t="s">
        <v>240</v>
      </c>
      <c r="AM3322" s="5" t="s">
        <v>240</v>
      </c>
      <c r="AN3322" s="5" t="s">
        <v>240</v>
      </c>
      <c r="AO3322" s="5" t="s">
        <v>240</v>
      </c>
      <c r="AP3322" s="6" t="s">
        <v>240</v>
      </c>
      <c r="AQ3322" s="6" t="s">
        <v>240</v>
      </c>
      <c r="AR3322" s="6" t="s">
        <v>240</v>
      </c>
      <c r="AS3322" s="6" t="s">
        <v>240</v>
      </c>
      <c r="AT3322" s="5" t="s">
        <v>240</v>
      </c>
      <c r="AU3322" s="5" t="s">
        <v>729</v>
      </c>
      <c r="AV3322" s="5" t="s">
        <v>729</v>
      </c>
      <c r="AW3322" s="5" t="s">
        <v>251</v>
      </c>
      <c r="AX3322" s="5" t="s">
        <v>252</v>
      </c>
      <c r="AY3322" s="5" t="s">
        <v>253</v>
      </c>
      <c r="AZ3322" s="5" t="s">
        <v>240</v>
      </c>
      <c r="BA3322" s="5" t="s">
        <v>255</v>
      </c>
      <c r="BB3322" s="5" t="s">
        <v>731</v>
      </c>
      <c r="BD3322" s="5" t="s">
        <v>240</v>
      </c>
      <c r="BF3322" s="5" t="s">
        <v>732</v>
      </c>
      <c r="BG3322" s="6" t="s">
        <v>733</v>
      </c>
      <c r="BH3322" s="5" t="s">
        <v>734</v>
      </c>
      <c r="BI3322" s="5" t="s">
        <v>734</v>
      </c>
      <c r="BJ3322" s="5" t="s">
        <v>240</v>
      </c>
      <c r="BK3322" s="7">
        <f>1</f>
        <v>1</v>
      </c>
      <c r="BL3322" s="7">
        <f>1</f>
        <v>1</v>
      </c>
      <c r="BM3322" s="5" t="s">
        <v>258</v>
      </c>
      <c r="BN3322" s="5" t="s">
        <v>259</v>
      </c>
      <c r="BO3322" s="5" t="s">
        <v>240</v>
      </c>
      <c r="BP3322" s="5" t="s">
        <v>240</v>
      </c>
      <c r="BQ3322" s="5" t="s">
        <v>240</v>
      </c>
      <c r="BR3322" s="5" t="s">
        <v>240</v>
      </c>
      <c r="BS3322" s="5" t="s">
        <v>240</v>
      </c>
      <c r="BT3322" s="5" t="s">
        <v>240</v>
      </c>
      <c r="BU3322" s="5" t="s">
        <v>240</v>
      </c>
      <c r="BV3322" s="5" t="s">
        <v>240</v>
      </c>
      <c r="BW3322" s="6" t="s">
        <v>240</v>
      </c>
      <c r="BX3322" s="5" t="s">
        <v>240</v>
      </c>
      <c r="BY3322" s="5" t="s">
        <v>240</v>
      </c>
      <c r="BZ3322" s="5" t="s">
        <v>240</v>
      </c>
      <c r="CA3322" s="5" t="s">
        <v>259</v>
      </c>
      <c r="CB3322" s="5" t="s">
        <v>240</v>
      </c>
      <c r="CC3322" s="5" t="s">
        <v>240</v>
      </c>
      <c r="CD3322" s="5" t="s">
        <v>240</v>
      </c>
      <c r="CE3322" s="5" t="s">
        <v>240</v>
      </c>
      <c r="CF3322" s="5" t="s">
        <v>240</v>
      </c>
      <c r="CG3322" s="5" t="s">
        <v>304</v>
      </c>
      <c r="CH3322" s="5" t="s">
        <v>305</v>
      </c>
      <c r="CI3322" s="5" t="s">
        <v>240</v>
      </c>
      <c r="CK3322" s="5" t="s">
        <v>3681</v>
      </c>
      <c r="CL3322" s="6" t="s">
        <v>261</v>
      </c>
      <c r="CM3322" s="5" t="s">
        <v>262</v>
      </c>
      <c r="CN3322" s="5" t="s">
        <v>263</v>
      </c>
      <c r="CO3322" s="5" t="s">
        <v>264</v>
      </c>
      <c r="CP3322" s="5" t="s">
        <v>240</v>
      </c>
      <c r="CQ3322" s="5">
        <v>0</v>
      </c>
      <c r="CR3322" s="5" t="s">
        <v>735</v>
      </c>
      <c r="CS3322" s="5" t="s">
        <v>307</v>
      </c>
      <c r="CT3322" s="5" t="s">
        <v>307</v>
      </c>
      <c r="CU3322" s="5" t="s">
        <v>260</v>
      </c>
      <c r="CV3322" s="5" t="s">
        <v>612</v>
      </c>
      <c r="CW3322" s="8">
        <f>1</f>
        <v>1</v>
      </c>
      <c r="CX3322" s="7">
        <f>1</f>
        <v>1</v>
      </c>
      <c r="CY3322" s="7">
        <f>0</f>
        <v>0</v>
      </c>
      <c r="DA3322" s="7">
        <f>1</f>
        <v>1</v>
      </c>
      <c r="DB3322" s="7" t="s">
        <v>240</v>
      </c>
      <c r="DC3322" s="5" t="s">
        <v>240</v>
      </c>
      <c r="DD3322" s="5" t="s">
        <v>240</v>
      </c>
      <c r="DE3322" s="5" t="s">
        <v>240</v>
      </c>
      <c r="DF3322" s="5" t="s">
        <v>240</v>
      </c>
      <c r="DG3322" s="7">
        <f>0</f>
        <v>0</v>
      </c>
      <c r="DI3322" s="5" t="s">
        <v>240</v>
      </c>
      <c r="DJ3322" s="5" t="s">
        <v>240</v>
      </c>
      <c r="DK3322" s="5" t="s">
        <v>240</v>
      </c>
      <c r="DL3322" s="5" t="s">
        <v>240</v>
      </c>
      <c r="DM3322" s="5" t="s">
        <v>240</v>
      </c>
      <c r="DN3322" s="5" t="s">
        <v>240</v>
      </c>
      <c r="DO3322" s="7" t="s">
        <v>240</v>
      </c>
      <c r="DP3322" s="5" t="s">
        <v>240</v>
      </c>
      <c r="DQ3322" s="5" t="s">
        <v>240</v>
      </c>
      <c r="DR3322" s="5" t="s">
        <v>731</v>
      </c>
      <c r="DS3322" s="5" t="s">
        <v>731</v>
      </c>
      <c r="DT3322" s="5" t="s">
        <v>240</v>
      </c>
      <c r="DU3322" s="5" t="s">
        <v>240</v>
      </c>
      <c r="DV3322" s="5" t="s">
        <v>3683</v>
      </c>
      <c r="DW3322" s="5" t="s">
        <v>825</v>
      </c>
      <c r="DX3322" s="5" t="s">
        <v>240</v>
      </c>
      <c r="DY3322" s="5" t="s">
        <v>240</v>
      </c>
      <c r="DZ3322" s="5" t="s">
        <v>240</v>
      </c>
      <c r="EA3322" s="5" t="s">
        <v>240</v>
      </c>
      <c r="EB3322" s="5" t="s">
        <v>240</v>
      </c>
      <c r="EC3322" s="5" t="s">
        <v>240</v>
      </c>
      <c r="ED3322" s="5" t="s">
        <v>240</v>
      </c>
      <c r="EE3322" s="5" t="s">
        <v>240</v>
      </c>
      <c r="EF3322" s="5" t="s">
        <v>240</v>
      </c>
      <c r="EG3322" s="5" t="s">
        <v>240</v>
      </c>
      <c r="EH3322" s="5" t="s">
        <v>240</v>
      </c>
      <c r="EI3322" s="5" t="s">
        <v>240</v>
      </c>
      <c r="EJ3322" s="5" t="s">
        <v>240</v>
      </c>
      <c r="EK3322" s="5" t="s">
        <v>240</v>
      </c>
      <c r="EL3322" s="5" t="s">
        <v>240</v>
      </c>
      <c r="EM3322" s="5" t="s">
        <v>240</v>
      </c>
      <c r="EN3322" s="5" t="s">
        <v>240</v>
      </c>
      <c r="EO3322" s="5" t="s">
        <v>240</v>
      </c>
      <c r="EP3322" s="5" t="s">
        <v>240</v>
      </c>
      <c r="EQ3322" s="5" t="s">
        <v>240</v>
      </c>
      <c r="ER3322" s="5" t="s">
        <v>240</v>
      </c>
      <c r="ES3322" s="5" t="s">
        <v>240</v>
      </c>
      <c r="ET3322" s="5" t="s">
        <v>240</v>
      </c>
      <c r="EU3322" s="5" t="s">
        <v>240</v>
      </c>
      <c r="EV3322" s="5" t="s">
        <v>240</v>
      </c>
      <c r="EW3322" s="5" t="s">
        <v>240</v>
      </c>
      <c r="EX3322" s="5" t="s">
        <v>240</v>
      </c>
      <c r="EY3322" s="5" t="s">
        <v>240</v>
      </c>
      <c r="EZ3322" s="5" t="s">
        <v>240</v>
      </c>
      <c r="FA3322" s="5" t="s">
        <v>240</v>
      </c>
      <c r="FB3322" s="5" t="s">
        <v>240</v>
      </c>
      <c r="FC3322" s="5" t="s">
        <v>240</v>
      </c>
      <c r="FD3322" s="5" t="s">
        <v>240</v>
      </c>
      <c r="FE3322" s="5" t="s">
        <v>240</v>
      </c>
      <c r="FF3322" s="5" t="s">
        <v>240</v>
      </c>
      <c r="FG3322" s="5" t="s">
        <v>240</v>
      </c>
      <c r="FH3322" s="5" t="s">
        <v>240</v>
      </c>
      <c r="FI3322" s="5" t="s">
        <v>240</v>
      </c>
      <c r="FJ3322" s="5" t="s">
        <v>240</v>
      </c>
      <c r="FK3322" s="5" t="s">
        <v>240</v>
      </c>
      <c r="FL3322" s="5" t="s">
        <v>240</v>
      </c>
      <c r="FM3322" s="5" t="s">
        <v>240</v>
      </c>
      <c r="FN3322" s="5" t="s">
        <v>240</v>
      </c>
      <c r="FO3322" s="5" t="s">
        <v>240</v>
      </c>
      <c r="FP3322" s="5" t="s">
        <v>240</v>
      </c>
      <c r="FQ3322" s="5" t="s">
        <v>240</v>
      </c>
      <c r="FR3322" s="5" t="s">
        <v>240</v>
      </c>
      <c r="FS3322" s="5" t="s">
        <v>240</v>
      </c>
      <c r="FT3322" s="5" t="s">
        <v>240</v>
      </c>
      <c r="FU3322" s="5" t="s">
        <v>240</v>
      </c>
      <c r="FV3322" s="5" t="s">
        <v>240</v>
      </c>
      <c r="FW3322" s="5" t="s">
        <v>240</v>
      </c>
      <c r="FX3322" s="5" t="s">
        <v>240</v>
      </c>
      <c r="FY3322" s="5" t="s">
        <v>240</v>
      </c>
      <c r="FZ3322" s="5" t="s">
        <v>240</v>
      </c>
      <c r="GA3322" s="5" t="s">
        <v>240</v>
      </c>
      <c r="GB3322" s="5" t="s">
        <v>240</v>
      </c>
      <c r="GC3322" s="5" t="s">
        <v>240</v>
      </c>
      <c r="GD3322" s="5" t="s">
        <v>240</v>
      </c>
      <c r="GE3322" s="5" t="s">
        <v>240</v>
      </c>
      <c r="GF3322" s="5" t="s">
        <v>240</v>
      </c>
      <c r="GG3322" s="5" t="s">
        <v>240</v>
      </c>
      <c r="GH3322" s="5" t="s">
        <v>240</v>
      </c>
      <c r="GI3322" s="5" t="s">
        <v>240</v>
      </c>
      <c r="GJ3322" s="5" t="s">
        <v>240</v>
      </c>
      <c r="GK3322" s="5" t="s">
        <v>240</v>
      </c>
      <c r="GL3322" s="5" t="s">
        <v>240</v>
      </c>
      <c r="GM3322" s="5" t="s">
        <v>240</v>
      </c>
      <c r="GN3322" s="5" t="s">
        <v>240</v>
      </c>
      <c r="GO3322" s="5" t="s">
        <v>240</v>
      </c>
      <c r="GP3322" s="5" t="s">
        <v>240</v>
      </c>
      <c r="GQ3322" s="5" t="s">
        <v>240</v>
      </c>
      <c r="GR3322" s="5" t="s">
        <v>240</v>
      </c>
      <c r="GS3322" s="5" t="s">
        <v>240</v>
      </c>
      <c r="GT3322" s="5" t="s">
        <v>240</v>
      </c>
      <c r="GU3322" s="5" t="s">
        <v>240</v>
      </c>
      <c r="GV3322" s="5" t="s">
        <v>240</v>
      </c>
      <c r="GW3322" s="5" t="s">
        <v>240</v>
      </c>
      <c r="GX3322" s="5" t="s">
        <v>240</v>
      </c>
      <c r="GY3322" s="5" t="s">
        <v>240</v>
      </c>
      <c r="GZ3322" s="5" t="s">
        <v>240</v>
      </c>
      <c r="HA3322" s="5" t="s">
        <v>240</v>
      </c>
      <c r="HB3322" s="5" t="s">
        <v>240</v>
      </c>
      <c r="HC3322" s="5" t="s">
        <v>240</v>
      </c>
      <c r="HD3322" s="5" t="s">
        <v>240</v>
      </c>
      <c r="HE3322" s="5" t="s">
        <v>240</v>
      </c>
      <c r="HF3322" s="5" t="s">
        <v>240</v>
      </c>
      <c r="HG3322" s="5" t="s">
        <v>240</v>
      </c>
      <c r="HH3322" s="5" t="s">
        <v>240</v>
      </c>
      <c r="HI3322" s="5" t="s">
        <v>240</v>
      </c>
      <c r="HJ3322" s="5" t="s">
        <v>240</v>
      </c>
      <c r="HK3322" s="5" t="s">
        <v>240</v>
      </c>
      <c r="HL3322" s="5" t="s">
        <v>240</v>
      </c>
      <c r="HM3322" s="5" t="s">
        <v>240</v>
      </c>
      <c r="HN3322" s="5" t="s">
        <v>240</v>
      </c>
      <c r="HO3322" s="5" t="s">
        <v>312</v>
      </c>
      <c r="HP3322" s="5" t="s">
        <v>240</v>
      </c>
      <c r="HQ3322" s="5" t="s">
        <v>240</v>
      </c>
      <c r="HR3322" s="5" t="s">
        <v>240</v>
      </c>
      <c r="HS3322" s="5" t="s">
        <v>240</v>
      </c>
      <c r="HT3322" s="5" t="s">
        <v>240</v>
      </c>
      <c r="HU3322" s="5" t="s">
        <v>240</v>
      </c>
      <c r="HV3322" s="5" t="s">
        <v>240</v>
      </c>
      <c r="HW3322" s="5" t="s">
        <v>240</v>
      </c>
      <c r="HX3322" s="5" t="s">
        <v>240</v>
      </c>
      <c r="HY3322" s="5" t="s">
        <v>240</v>
      </c>
      <c r="HZ3322" s="5" t="s">
        <v>240</v>
      </c>
      <c r="IA3322" s="5" t="s">
        <v>240</v>
      </c>
      <c r="IB3322" s="5" t="s">
        <v>240</v>
      </c>
      <c r="IC3322" s="5" t="s">
        <v>240</v>
      </c>
      <c r="ID3322" s="5" t="s">
        <v>240</v>
      </c>
      <c r="IE3322" s="5" t="s">
        <v>240</v>
      </c>
      <c r="IF3322" s="5" t="s">
        <v>240</v>
      </c>
    </row>
    <row r="3323" spans="1:240" x14ac:dyDescent="0.4">
      <c r="A3323" s="5">
        <v>8865</v>
      </c>
      <c r="B3323" s="5">
        <v>1</v>
      </c>
      <c r="C3323" s="5">
        <v>1</v>
      </c>
      <c r="D3323" s="5" t="s">
        <v>723</v>
      </c>
      <c r="E3323" s="5" t="s">
        <v>725</v>
      </c>
      <c r="F3323" s="5" t="s">
        <v>730</v>
      </c>
      <c r="G3323" s="5" t="s">
        <v>726</v>
      </c>
      <c r="H3323" s="6" t="s">
        <v>6307</v>
      </c>
      <c r="I3323" s="5" t="s">
        <v>722</v>
      </c>
      <c r="J3323" s="8">
        <f>1617</f>
        <v>1617</v>
      </c>
      <c r="K3323" s="5" t="s">
        <v>308</v>
      </c>
      <c r="L3323" s="7">
        <f>0</f>
        <v>0</v>
      </c>
      <c r="M3323" s="7">
        <f>0</f>
        <v>0</v>
      </c>
      <c r="N3323" s="5" t="s">
        <v>242</v>
      </c>
      <c r="O3323" s="5">
        <v>1</v>
      </c>
      <c r="P3323" s="5" t="s">
        <v>294</v>
      </c>
      <c r="Q3323" s="5" t="s">
        <v>3678</v>
      </c>
      <c r="R3323" s="5" t="s">
        <v>240</v>
      </c>
      <c r="S3323" s="5" t="s">
        <v>240</v>
      </c>
      <c r="T3323" s="5" t="s">
        <v>243</v>
      </c>
      <c r="U3323" s="5" t="s">
        <v>244</v>
      </c>
      <c r="V3323" s="5" t="s">
        <v>240</v>
      </c>
      <c r="W3323" s="5" t="s">
        <v>240</v>
      </c>
      <c r="X3323" s="5" t="s">
        <v>240</v>
      </c>
      <c r="Y3323" s="5" t="s">
        <v>240</v>
      </c>
      <c r="Z3323" s="6" t="s">
        <v>298</v>
      </c>
      <c r="AA3323" s="6" t="s">
        <v>240</v>
      </c>
      <c r="AB3323" s="6" t="s">
        <v>240</v>
      </c>
      <c r="AC3323" s="5" t="s">
        <v>240</v>
      </c>
      <c r="AD3323" s="6" t="s">
        <v>240</v>
      </c>
      <c r="AE3323" s="6" t="s">
        <v>299</v>
      </c>
      <c r="AF3323" s="5" t="s">
        <v>248</v>
      </c>
      <c r="AG3323" s="5" t="s">
        <v>249</v>
      </c>
      <c r="AH3323" s="5" t="s">
        <v>240</v>
      </c>
      <c r="AI3323" s="5" t="s">
        <v>240</v>
      </c>
      <c r="AJ3323" s="5" t="s">
        <v>240</v>
      </c>
      <c r="AK3323" s="5" t="s">
        <v>240</v>
      </c>
      <c r="AL3323" s="5" t="s">
        <v>240</v>
      </c>
      <c r="AM3323" s="5" t="s">
        <v>240</v>
      </c>
      <c r="AN3323" s="5" t="s">
        <v>240</v>
      </c>
      <c r="AO3323" s="5" t="s">
        <v>240</v>
      </c>
      <c r="AP3323" s="6" t="s">
        <v>240</v>
      </c>
      <c r="AQ3323" s="6" t="s">
        <v>240</v>
      </c>
      <c r="AR3323" s="6" t="s">
        <v>240</v>
      </c>
      <c r="AS3323" s="6" t="s">
        <v>240</v>
      </c>
      <c r="AT3323" s="5" t="s">
        <v>240</v>
      </c>
      <c r="AU3323" s="5" t="s">
        <v>729</v>
      </c>
      <c r="AV3323" s="5" t="s">
        <v>729</v>
      </c>
      <c r="AW3323" s="5" t="s">
        <v>251</v>
      </c>
      <c r="AX3323" s="5" t="s">
        <v>252</v>
      </c>
      <c r="AY3323" s="5" t="s">
        <v>253</v>
      </c>
      <c r="AZ3323" s="5" t="s">
        <v>240</v>
      </c>
      <c r="BA3323" s="5" t="s">
        <v>255</v>
      </c>
      <c r="BB3323" s="5" t="s">
        <v>731</v>
      </c>
      <c r="BD3323" s="5" t="s">
        <v>240</v>
      </c>
      <c r="BF3323" s="5" t="s">
        <v>732</v>
      </c>
      <c r="BG3323" s="6" t="s">
        <v>733</v>
      </c>
      <c r="BH3323" s="5" t="s">
        <v>734</v>
      </c>
      <c r="BI3323" s="5" t="s">
        <v>734</v>
      </c>
      <c r="BJ3323" s="5" t="s">
        <v>240</v>
      </c>
      <c r="BK3323" s="7">
        <f>1</f>
        <v>1</v>
      </c>
      <c r="BL3323" s="7">
        <f>1</f>
        <v>1</v>
      </c>
      <c r="BM3323" s="5" t="s">
        <v>258</v>
      </c>
      <c r="BN3323" s="5" t="s">
        <v>259</v>
      </c>
      <c r="BO3323" s="5" t="s">
        <v>240</v>
      </c>
      <c r="BP3323" s="5" t="s">
        <v>240</v>
      </c>
      <c r="BQ3323" s="5" t="s">
        <v>240</v>
      </c>
      <c r="BR3323" s="5" t="s">
        <v>240</v>
      </c>
      <c r="BS3323" s="5" t="s">
        <v>240</v>
      </c>
      <c r="BT3323" s="5" t="s">
        <v>240</v>
      </c>
      <c r="BU3323" s="5" t="s">
        <v>240</v>
      </c>
      <c r="BV3323" s="5" t="s">
        <v>240</v>
      </c>
      <c r="BW3323" s="6" t="s">
        <v>240</v>
      </c>
      <c r="BX3323" s="5" t="s">
        <v>240</v>
      </c>
      <c r="BY3323" s="5" t="s">
        <v>240</v>
      </c>
      <c r="BZ3323" s="5" t="s">
        <v>240</v>
      </c>
      <c r="CA3323" s="5" t="s">
        <v>259</v>
      </c>
      <c r="CB3323" s="5" t="s">
        <v>240</v>
      </c>
      <c r="CC3323" s="5" t="s">
        <v>240</v>
      </c>
      <c r="CD3323" s="5" t="s">
        <v>240</v>
      </c>
      <c r="CE3323" s="5" t="s">
        <v>240</v>
      </c>
      <c r="CF3323" s="5" t="s">
        <v>240</v>
      </c>
      <c r="CG3323" s="5" t="s">
        <v>304</v>
      </c>
      <c r="CH3323" s="5" t="s">
        <v>305</v>
      </c>
      <c r="CI3323" s="5" t="s">
        <v>240</v>
      </c>
      <c r="CK3323" s="5" t="s">
        <v>3681</v>
      </c>
      <c r="CL3323" s="6" t="s">
        <v>261</v>
      </c>
      <c r="CM3323" s="5" t="s">
        <v>262</v>
      </c>
      <c r="CN3323" s="5" t="s">
        <v>263</v>
      </c>
      <c r="CO3323" s="5" t="s">
        <v>264</v>
      </c>
      <c r="CP3323" s="5" t="s">
        <v>240</v>
      </c>
      <c r="CQ3323" s="5">
        <v>0</v>
      </c>
      <c r="CR3323" s="5" t="s">
        <v>735</v>
      </c>
      <c r="CS3323" s="5" t="s">
        <v>307</v>
      </c>
      <c r="CT3323" s="5" t="s">
        <v>307</v>
      </c>
      <c r="CU3323" s="5" t="s">
        <v>260</v>
      </c>
      <c r="CV3323" s="5" t="s">
        <v>612</v>
      </c>
      <c r="CW3323" s="8">
        <f>1</f>
        <v>1</v>
      </c>
      <c r="CX3323" s="7">
        <f>1</f>
        <v>1</v>
      </c>
      <c r="CY3323" s="7">
        <f>0</f>
        <v>0</v>
      </c>
      <c r="DA3323" s="7">
        <f>1</f>
        <v>1</v>
      </c>
      <c r="DB3323" s="7" t="s">
        <v>240</v>
      </c>
      <c r="DC3323" s="5" t="s">
        <v>240</v>
      </c>
      <c r="DD3323" s="5" t="s">
        <v>240</v>
      </c>
      <c r="DE3323" s="5" t="s">
        <v>240</v>
      </c>
      <c r="DF3323" s="5" t="s">
        <v>240</v>
      </c>
      <c r="DG3323" s="7">
        <f>0</f>
        <v>0</v>
      </c>
      <c r="DI3323" s="5" t="s">
        <v>240</v>
      </c>
      <c r="DJ3323" s="5" t="s">
        <v>240</v>
      </c>
      <c r="DK3323" s="5" t="s">
        <v>240</v>
      </c>
      <c r="DL3323" s="5" t="s">
        <v>240</v>
      </c>
      <c r="DM3323" s="5" t="s">
        <v>240</v>
      </c>
      <c r="DN3323" s="5" t="s">
        <v>240</v>
      </c>
      <c r="DO3323" s="7" t="s">
        <v>240</v>
      </c>
      <c r="DP3323" s="5" t="s">
        <v>240</v>
      </c>
      <c r="DQ3323" s="5" t="s">
        <v>240</v>
      </c>
      <c r="DR3323" s="5" t="s">
        <v>731</v>
      </c>
      <c r="DS3323" s="5" t="s">
        <v>731</v>
      </c>
      <c r="DT3323" s="5" t="s">
        <v>240</v>
      </c>
      <c r="DU3323" s="5" t="s">
        <v>240</v>
      </c>
      <c r="DV3323" s="5" t="s">
        <v>5063</v>
      </c>
      <c r="DW3323" s="5" t="s">
        <v>699</v>
      </c>
      <c r="DX3323" s="5" t="s">
        <v>240</v>
      </c>
      <c r="DY3323" s="5" t="s">
        <v>240</v>
      </c>
      <c r="DZ3323" s="5" t="s">
        <v>240</v>
      </c>
      <c r="EA3323" s="5" t="s">
        <v>240</v>
      </c>
      <c r="EB3323" s="5" t="s">
        <v>240</v>
      </c>
      <c r="EC3323" s="5" t="s">
        <v>240</v>
      </c>
      <c r="ED3323" s="5" t="s">
        <v>240</v>
      </c>
      <c r="EE3323" s="5" t="s">
        <v>240</v>
      </c>
      <c r="EF3323" s="5" t="s">
        <v>240</v>
      </c>
      <c r="EG3323" s="5" t="s">
        <v>240</v>
      </c>
      <c r="EH3323" s="5" t="s">
        <v>240</v>
      </c>
      <c r="EI3323" s="5" t="s">
        <v>240</v>
      </c>
      <c r="EJ3323" s="5" t="s">
        <v>240</v>
      </c>
      <c r="EK3323" s="5" t="s">
        <v>240</v>
      </c>
      <c r="EL3323" s="5" t="s">
        <v>240</v>
      </c>
      <c r="EM3323" s="5" t="s">
        <v>240</v>
      </c>
      <c r="EN3323" s="5" t="s">
        <v>240</v>
      </c>
      <c r="EO3323" s="5" t="s">
        <v>240</v>
      </c>
      <c r="EP3323" s="5" t="s">
        <v>240</v>
      </c>
      <c r="EQ3323" s="5" t="s">
        <v>240</v>
      </c>
      <c r="ER3323" s="5" t="s">
        <v>240</v>
      </c>
      <c r="ES3323" s="5" t="s">
        <v>240</v>
      </c>
      <c r="ET3323" s="5" t="s">
        <v>240</v>
      </c>
      <c r="EU3323" s="5" t="s">
        <v>240</v>
      </c>
      <c r="EV3323" s="5" t="s">
        <v>240</v>
      </c>
      <c r="EW3323" s="5" t="s">
        <v>240</v>
      </c>
      <c r="EX3323" s="5" t="s">
        <v>240</v>
      </c>
      <c r="EY3323" s="5" t="s">
        <v>240</v>
      </c>
      <c r="EZ3323" s="5" t="s">
        <v>240</v>
      </c>
      <c r="FA3323" s="5" t="s">
        <v>240</v>
      </c>
      <c r="FB3323" s="5" t="s">
        <v>240</v>
      </c>
      <c r="FC3323" s="5" t="s">
        <v>240</v>
      </c>
      <c r="FD3323" s="5" t="s">
        <v>240</v>
      </c>
      <c r="FE3323" s="5" t="s">
        <v>240</v>
      </c>
      <c r="FF3323" s="5" t="s">
        <v>240</v>
      </c>
      <c r="FG3323" s="5" t="s">
        <v>240</v>
      </c>
      <c r="FH3323" s="5" t="s">
        <v>240</v>
      </c>
      <c r="FI3323" s="5" t="s">
        <v>240</v>
      </c>
      <c r="FJ3323" s="5" t="s">
        <v>240</v>
      </c>
      <c r="FK3323" s="5" t="s">
        <v>240</v>
      </c>
      <c r="FL3323" s="5" t="s">
        <v>240</v>
      </c>
      <c r="FM3323" s="5" t="s">
        <v>240</v>
      </c>
      <c r="FN3323" s="5" t="s">
        <v>240</v>
      </c>
      <c r="FO3323" s="5" t="s">
        <v>240</v>
      </c>
      <c r="FP3323" s="5" t="s">
        <v>240</v>
      </c>
      <c r="FQ3323" s="5" t="s">
        <v>240</v>
      </c>
      <c r="FR3323" s="5" t="s">
        <v>240</v>
      </c>
      <c r="FS3323" s="5" t="s">
        <v>240</v>
      </c>
      <c r="FT3323" s="5" t="s">
        <v>240</v>
      </c>
      <c r="FU3323" s="5" t="s">
        <v>240</v>
      </c>
      <c r="FV3323" s="5" t="s">
        <v>240</v>
      </c>
      <c r="FW3323" s="5" t="s">
        <v>240</v>
      </c>
      <c r="FX3323" s="5" t="s">
        <v>240</v>
      </c>
      <c r="FY3323" s="5" t="s">
        <v>240</v>
      </c>
      <c r="FZ3323" s="5" t="s">
        <v>240</v>
      </c>
      <c r="GA3323" s="5" t="s">
        <v>240</v>
      </c>
      <c r="GB3323" s="5" t="s">
        <v>240</v>
      </c>
      <c r="GC3323" s="5" t="s">
        <v>240</v>
      </c>
      <c r="GD3323" s="5" t="s">
        <v>240</v>
      </c>
      <c r="GE3323" s="5" t="s">
        <v>240</v>
      </c>
      <c r="GF3323" s="5" t="s">
        <v>240</v>
      </c>
      <c r="GG3323" s="5" t="s">
        <v>240</v>
      </c>
      <c r="GH3323" s="5" t="s">
        <v>240</v>
      </c>
      <c r="GI3323" s="5" t="s">
        <v>240</v>
      </c>
      <c r="GJ3323" s="5" t="s">
        <v>240</v>
      </c>
      <c r="GK3323" s="5" t="s">
        <v>240</v>
      </c>
      <c r="GL3323" s="5" t="s">
        <v>240</v>
      </c>
      <c r="GM3323" s="5" t="s">
        <v>240</v>
      </c>
      <c r="GN3323" s="5" t="s">
        <v>240</v>
      </c>
      <c r="GO3323" s="5" t="s">
        <v>240</v>
      </c>
      <c r="GP3323" s="5" t="s">
        <v>240</v>
      </c>
      <c r="GQ3323" s="5" t="s">
        <v>240</v>
      </c>
      <c r="GR3323" s="5" t="s">
        <v>240</v>
      </c>
      <c r="GS3323" s="5" t="s">
        <v>240</v>
      </c>
      <c r="GT3323" s="5" t="s">
        <v>240</v>
      </c>
      <c r="GU3323" s="5" t="s">
        <v>240</v>
      </c>
      <c r="GV3323" s="5" t="s">
        <v>240</v>
      </c>
      <c r="GW3323" s="5" t="s">
        <v>240</v>
      </c>
      <c r="GX3323" s="5" t="s">
        <v>240</v>
      </c>
      <c r="GY3323" s="5" t="s">
        <v>240</v>
      </c>
      <c r="GZ3323" s="5" t="s">
        <v>240</v>
      </c>
      <c r="HA3323" s="5" t="s">
        <v>240</v>
      </c>
      <c r="HB3323" s="5" t="s">
        <v>240</v>
      </c>
      <c r="HC3323" s="5" t="s">
        <v>240</v>
      </c>
      <c r="HD3323" s="5" t="s">
        <v>240</v>
      </c>
      <c r="HE3323" s="5" t="s">
        <v>240</v>
      </c>
      <c r="HF3323" s="5" t="s">
        <v>240</v>
      </c>
      <c r="HG3323" s="5" t="s">
        <v>240</v>
      </c>
      <c r="HH3323" s="5" t="s">
        <v>240</v>
      </c>
      <c r="HI3323" s="5" t="s">
        <v>240</v>
      </c>
      <c r="HJ3323" s="5" t="s">
        <v>240</v>
      </c>
      <c r="HK3323" s="5" t="s">
        <v>240</v>
      </c>
      <c r="HL3323" s="5" t="s">
        <v>240</v>
      </c>
      <c r="HM3323" s="5" t="s">
        <v>240</v>
      </c>
      <c r="HN3323" s="5" t="s">
        <v>240</v>
      </c>
      <c r="HO3323" s="5" t="s">
        <v>312</v>
      </c>
      <c r="HP3323" s="5" t="s">
        <v>240</v>
      </c>
      <c r="HQ3323" s="5" t="s">
        <v>240</v>
      </c>
      <c r="HR3323" s="5" t="s">
        <v>240</v>
      </c>
      <c r="HS3323" s="5" t="s">
        <v>240</v>
      </c>
      <c r="HT3323" s="5" t="s">
        <v>240</v>
      </c>
      <c r="HU3323" s="5" t="s">
        <v>240</v>
      </c>
      <c r="HV3323" s="5" t="s">
        <v>240</v>
      </c>
      <c r="HW3323" s="5" t="s">
        <v>240</v>
      </c>
      <c r="HX3323" s="5" t="s">
        <v>240</v>
      </c>
      <c r="HY3323" s="5" t="s">
        <v>240</v>
      </c>
      <c r="HZ3323" s="5" t="s">
        <v>240</v>
      </c>
      <c r="IA3323" s="5" t="s">
        <v>240</v>
      </c>
      <c r="IB3323" s="5" t="s">
        <v>240</v>
      </c>
      <c r="IC3323" s="5" t="s">
        <v>240</v>
      </c>
      <c r="ID3323" s="5" t="s">
        <v>240</v>
      </c>
      <c r="IE3323" s="5" t="s">
        <v>240</v>
      </c>
      <c r="IF3323" s="5" t="s">
        <v>240</v>
      </c>
    </row>
    <row r="3324" spans="1:240" x14ac:dyDescent="0.4">
      <c r="A3324" s="5">
        <v>8866</v>
      </c>
      <c r="B3324" s="5">
        <v>1</v>
      </c>
      <c r="C3324" s="5">
        <v>1</v>
      </c>
      <c r="D3324" s="5" t="s">
        <v>723</v>
      </c>
      <c r="E3324" s="5" t="s">
        <v>725</v>
      </c>
      <c r="F3324" s="5" t="s">
        <v>730</v>
      </c>
      <c r="G3324" s="5" t="s">
        <v>726</v>
      </c>
      <c r="H3324" s="6" t="s">
        <v>6306</v>
      </c>
      <c r="I3324" s="5" t="s">
        <v>722</v>
      </c>
      <c r="J3324" s="8">
        <f>890</f>
        <v>890</v>
      </c>
      <c r="K3324" s="5" t="s">
        <v>308</v>
      </c>
      <c r="L3324" s="7">
        <f>0</f>
        <v>0</v>
      </c>
      <c r="M3324" s="7">
        <f>0</f>
        <v>0</v>
      </c>
      <c r="N3324" s="5" t="s">
        <v>242</v>
      </c>
      <c r="O3324" s="5">
        <v>1</v>
      </c>
      <c r="P3324" s="5" t="s">
        <v>294</v>
      </c>
      <c r="Q3324" s="5" t="s">
        <v>3678</v>
      </c>
      <c r="R3324" s="5" t="s">
        <v>240</v>
      </c>
      <c r="S3324" s="5" t="s">
        <v>240</v>
      </c>
      <c r="T3324" s="5" t="s">
        <v>243</v>
      </c>
      <c r="U3324" s="5" t="s">
        <v>244</v>
      </c>
      <c r="V3324" s="5" t="s">
        <v>240</v>
      </c>
      <c r="W3324" s="5" t="s">
        <v>240</v>
      </c>
      <c r="X3324" s="5" t="s">
        <v>240</v>
      </c>
      <c r="Y3324" s="5" t="s">
        <v>240</v>
      </c>
      <c r="Z3324" s="6" t="s">
        <v>298</v>
      </c>
      <c r="AA3324" s="6" t="s">
        <v>240</v>
      </c>
      <c r="AB3324" s="6" t="s">
        <v>240</v>
      </c>
      <c r="AC3324" s="5" t="s">
        <v>240</v>
      </c>
      <c r="AD3324" s="6" t="s">
        <v>240</v>
      </c>
      <c r="AE3324" s="6" t="s">
        <v>299</v>
      </c>
      <c r="AF3324" s="5" t="s">
        <v>248</v>
      </c>
      <c r="AG3324" s="5" t="s">
        <v>249</v>
      </c>
      <c r="AH3324" s="5" t="s">
        <v>240</v>
      </c>
      <c r="AI3324" s="5" t="s">
        <v>240</v>
      </c>
      <c r="AJ3324" s="5" t="s">
        <v>240</v>
      </c>
      <c r="AK3324" s="5" t="s">
        <v>240</v>
      </c>
      <c r="AL3324" s="5" t="s">
        <v>240</v>
      </c>
      <c r="AM3324" s="5" t="s">
        <v>240</v>
      </c>
      <c r="AN3324" s="5" t="s">
        <v>240</v>
      </c>
      <c r="AO3324" s="5" t="s">
        <v>240</v>
      </c>
      <c r="AP3324" s="6" t="s">
        <v>240</v>
      </c>
      <c r="AQ3324" s="6" t="s">
        <v>240</v>
      </c>
      <c r="AR3324" s="6" t="s">
        <v>240</v>
      </c>
      <c r="AS3324" s="6" t="s">
        <v>240</v>
      </c>
      <c r="AT3324" s="5" t="s">
        <v>240</v>
      </c>
      <c r="AU3324" s="5" t="s">
        <v>729</v>
      </c>
      <c r="AV3324" s="5" t="s">
        <v>729</v>
      </c>
      <c r="AW3324" s="5" t="s">
        <v>251</v>
      </c>
      <c r="AX3324" s="5" t="s">
        <v>252</v>
      </c>
      <c r="AY3324" s="5" t="s">
        <v>253</v>
      </c>
      <c r="AZ3324" s="5" t="s">
        <v>240</v>
      </c>
      <c r="BA3324" s="5" t="s">
        <v>255</v>
      </c>
      <c r="BB3324" s="5" t="s">
        <v>731</v>
      </c>
      <c r="BD3324" s="5" t="s">
        <v>240</v>
      </c>
      <c r="BF3324" s="5" t="s">
        <v>732</v>
      </c>
      <c r="BG3324" s="6" t="s">
        <v>733</v>
      </c>
      <c r="BH3324" s="5" t="s">
        <v>734</v>
      </c>
      <c r="BI3324" s="5" t="s">
        <v>734</v>
      </c>
      <c r="BJ3324" s="5" t="s">
        <v>240</v>
      </c>
      <c r="BK3324" s="7">
        <f>1</f>
        <v>1</v>
      </c>
      <c r="BL3324" s="7">
        <f>1</f>
        <v>1</v>
      </c>
      <c r="BM3324" s="5" t="s">
        <v>258</v>
      </c>
      <c r="BN3324" s="5" t="s">
        <v>259</v>
      </c>
      <c r="BO3324" s="5" t="s">
        <v>240</v>
      </c>
      <c r="BP3324" s="5" t="s">
        <v>240</v>
      </c>
      <c r="BQ3324" s="5" t="s">
        <v>240</v>
      </c>
      <c r="BR3324" s="5" t="s">
        <v>240</v>
      </c>
      <c r="BS3324" s="5" t="s">
        <v>240</v>
      </c>
      <c r="BT3324" s="5" t="s">
        <v>240</v>
      </c>
      <c r="BU3324" s="5" t="s">
        <v>240</v>
      </c>
      <c r="BV3324" s="5" t="s">
        <v>240</v>
      </c>
      <c r="BW3324" s="6" t="s">
        <v>240</v>
      </c>
      <c r="BX3324" s="5" t="s">
        <v>240</v>
      </c>
      <c r="BY3324" s="5" t="s">
        <v>240</v>
      </c>
      <c r="BZ3324" s="5" t="s">
        <v>240</v>
      </c>
      <c r="CA3324" s="5" t="s">
        <v>259</v>
      </c>
      <c r="CB3324" s="5" t="s">
        <v>240</v>
      </c>
      <c r="CC3324" s="5" t="s">
        <v>240</v>
      </c>
      <c r="CD3324" s="5" t="s">
        <v>240</v>
      </c>
      <c r="CE3324" s="5" t="s">
        <v>240</v>
      </c>
      <c r="CF3324" s="5" t="s">
        <v>240</v>
      </c>
      <c r="CG3324" s="5" t="s">
        <v>304</v>
      </c>
      <c r="CH3324" s="5" t="s">
        <v>305</v>
      </c>
      <c r="CI3324" s="5" t="s">
        <v>240</v>
      </c>
      <c r="CK3324" s="5" t="s">
        <v>3681</v>
      </c>
      <c r="CL3324" s="6" t="s">
        <v>261</v>
      </c>
      <c r="CM3324" s="5" t="s">
        <v>262</v>
      </c>
      <c r="CN3324" s="5" t="s">
        <v>263</v>
      </c>
      <c r="CO3324" s="5" t="s">
        <v>264</v>
      </c>
      <c r="CP3324" s="5" t="s">
        <v>240</v>
      </c>
      <c r="CQ3324" s="5">
        <v>0</v>
      </c>
      <c r="CR3324" s="5" t="s">
        <v>735</v>
      </c>
      <c r="CS3324" s="5" t="s">
        <v>307</v>
      </c>
      <c r="CT3324" s="5" t="s">
        <v>307</v>
      </c>
      <c r="CU3324" s="5" t="s">
        <v>260</v>
      </c>
      <c r="CV3324" s="5" t="s">
        <v>612</v>
      </c>
      <c r="CW3324" s="8">
        <f>1</f>
        <v>1</v>
      </c>
      <c r="CX3324" s="7">
        <f>1</f>
        <v>1</v>
      </c>
      <c r="CY3324" s="7">
        <f>0</f>
        <v>0</v>
      </c>
      <c r="DA3324" s="7">
        <f>1</f>
        <v>1</v>
      </c>
      <c r="DB3324" s="7" t="s">
        <v>240</v>
      </c>
      <c r="DC3324" s="5" t="s">
        <v>240</v>
      </c>
      <c r="DD3324" s="5" t="s">
        <v>240</v>
      </c>
      <c r="DE3324" s="5" t="s">
        <v>240</v>
      </c>
      <c r="DF3324" s="5" t="s">
        <v>240</v>
      </c>
      <c r="DG3324" s="7">
        <f>0</f>
        <v>0</v>
      </c>
      <c r="DI3324" s="5" t="s">
        <v>240</v>
      </c>
      <c r="DJ3324" s="5" t="s">
        <v>240</v>
      </c>
      <c r="DK3324" s="5" t="s">
        <v>240</v>
      </c>
      <c r="DL3324" s="5" t="s">
        <v>240</v>
      </c>
      <c r="DM3324" s="5" t="s">
        <v>240</v>
      </c>
      <c r="DN3324" s="5" t="s">
        <v>240</v>
      </c>
      <c r="DO3324" s="7" t="s">
        <v>240</v>
      </c>
      <c r="DP3324" s="5" t="s">
        <v>240</v>
      </c>
      <c r="DQ3324" s="5" t="s">
        <v>240</v>
      </c>
      <c r="DR3324" s="5" t="s">
        <v>731</v>
      </c>
      <c r="DS3324" s="5" t="s">
        <v>731</v>
      </c>
      <c r="DT3324" s="5" t="s">
        <v>240</v>
      </c>
      <c r="DU3324" s="5" t="s">
        <v>240</v>
      </c>
      <c r="DV3324" s="5" t="s">
        <v>5063</v>
      </c>
      <c r="DW3324" s="5" t="s">
        <v>265</v>
      </c>
      <c r="DX3324" s="5" t="s">
        <v>240</v>
      </c>
      <c r="DY3324" s="5" t="s">
        <v>240</v>
      </c>
      <c r="DZ3324" s="5" t="s">
        <v>240</v>
      </c>
      <c r="EA3324" s="5" t="s">
        <v>240</v>
      </c>
      <c r="EB3324" s="5" t="s">
        <v>240</v>
      </c>
      <c r="EC3324" s="5" t="s">
        <v>240</v>
      </c>
      <c r="ED3324" s="5" t="s">
        <v>240</v>
      </c>
      <c r="EE3324" s="5" t="s">
        <v>240</v>
      </c>
      <c r="EF3324" s="5" t="s">
        <v>240</v>
      </c>
      <c r="EG3324" s="5" t="s">
        <v>240</v>
      </c>
      <c r="EH3324" s="5" t="s">
        <v>240</v>
      </c>
      <c r="EI3324" s="5" t="s">
        <v>240</v>
      </c>
      <c r="EJ3324" s="5" t="s">
        <v>240</v>
      </c>
      <c r="EK3324" s="5" t="s">
        <v>240</v>
      </c>
      <c r="EL3324" s="5" t="s">
        <v>240</v>
      </c>
      <c r="EM3324" s="5" t="s">
        <v>240</v>
      </c>
      <c r="EN3324" s="5" t="s">
        <v>240</v>
      </c>
      <c r="EO3324" s="5" t="s">
        <v>240</v>
      </c>
      <c r="EP3324" s="5" t="s">
        <v>240</v>
      </c>
      <c r="EQ3324" s="5" t="s">
        <v>240</v>
      </c>
      <c r="ER3324" s="5" t="s">
        <v>240</v>
      </c>
      <c r="ES3324" s="5" t="s">
        <v>240</v>
      </c>
      <c r="ET3324" s="5" t="s">
        <v>240</v>
      </c>
      <c r="EU3324" s="5" t="s">
        <v>240</v>
      </c>
      <c r="EV3324" s="5" t="s">
        <v>240</v>
      </c>
      <c r="EW3324" s="5" t="s">
        <v>240</v>
      </c>
      <c r="EX3324" s="5" t="s">
        <v>240</v>
      </c>
      <c r="EY3324" s="5" t="s">
        <v>240</v>
      </c>
      <c r="EZ3324" s="5" t="s">
        <v>240</v>
      </c>
      <c r="FA3324" s="5" t="s">
        <v>240</v>
      </c>
      <c r="FB3324" s="5" t="s">
        <v>240</v>
      </c>
      <c r="FC3324" s="5" t="s">
        <v>240</v>
      </c>
      <c r="FD3324" s="5" t="s">
        <v>240</v>
      </c>
      <c r="FE3324" s="5" t="s">
        <v>240</v>
      </c>
      <c r="FF3324" s="5" t="s">
        <v>240</v>
      </c>
      <c r="FG3324" s="5" t="s">
        <v>240</v>
      </c>
      <c r="FH3324" s="5" t="s">
        <v>240</v>
      </c>
      <c r="FI3324" s="5" t="s">
        <v>240</v>
      </c>
      <c r="FJ3324" s="5" t="s">
        <v>240</v>
      </c>
      <c r="FK3324" s="5" t="s">
        <v>240</v>
      </c>
      <c r="FL3324" s="5" t="s">
        <v>240</v>
      </c>
      <c r="FM3324" s="5" t="s">
        <v>240</v>
      </c>
      <c r="FN3324" s="5" t="s">
        <v>240</v>
      </c>
      <c r="FO3324" s="5" t="s">
        <v>240</v>
      </c>
      <c r="FP3324" s="5" t="s">
        <v>240</v>
      </c>
      <c r="FQ3324" s="5" t="s">
        <v>240</v>
      </c>
      <c r="FR3324" s="5" t="s">
        <v>240</v>
      </c>
      <c r="FS3324" s="5" t="s">
        <v>240</v>
      </c>
      <c r="FT3324" s="5" t="s">
        <v>240</v>
      </c>
      <c r="FU3324" s="5" t="s">
        <v>240</v>
      </c>
      <c r="FV3324" s="5" t="s">
        <v>240</v>
      </c>
      <c r="FW3324" s="5" t="s">
        <v>240</v>
      </c>
      <c r="FX3324" s="5" t="s">
        <v>240</v>
      </c>
      <c r="FY3324" s="5" t="s">
        <v>240</v>
      </c>
      <c r="FZ3324" s="5" t="s">
        <v>240</v>
      </c>
      <c r="GA3324" s="5" t="s">
        <v>240</v>
      </c>
      <c r="GB3324" s="5" t="s">
        <v>240</v>
      </c>
      <c r="GC3324" s="5" t="s">
        <v>240</v>
      </c>
      <c r="GD3324" s="5" t="s">
        <v>240</v>
      </c>
      <c r="GE3324" s="5" t="s">
        <v>240</v>
      </c>
      <c r="GF3324" s="5" t="s">
        <v>240</v>
      </c>
      <c r="GG3324" s="5" t="s">
        <v>240</v>
      </c>
      <c r="GH3324" s="5" t="s">
        <v>240</v>
      </c>
      <c r="GI3324" s="5" t="s">
        <v>240</v>
      </c>
      <c r="GJ3324" s="5" t="s">
        <v>240</v>
      </c>
      <c r="GK3324" s="5" t="s">
        <v>240</v>
      </c>
      <c r="GL3324" s="5" t="s">
        <v>240</v>
      </c>
      <c r="GM3324" s="5" t="s">
        <v>240</v>
      </c>
      <c r="GN3324" s="5" t="s">
        <v>240</v>
      </c>
      <c r="GO3324" s="5" t="s">
        <v>240</v>
      </c>
      <c r="GP3324" s="5" t="s">
        <v>240</v>
      </c>
      <c r="GQ3324" s="5" t="s">
        <v>240</v>
      </c>
      <c r="GR3324" s="5" t="s">
        <v>240</v>
      </c>
      <c r="GS3324" s="5" t="s">
        <v>240</v>
      </c>
      <c r="GT3324" s="5" t="s">
        <v>240</v>
      </c>
      <c r="GU3324" s="5" t="s">
        <v>240</v>
      </c>
      <c r="GV3324" s="5" t="s">
        <v>240</v>
      </c>
      <c r="GW3324" s="5" t="s">
        <v>240</v>
      </c>
      <c r="GX3324" s="5" t="s">
        <v>240</v>
      </c>
      <c r="GY3324" s="5" t="s">
        <v>240</v>
      </c>
      <c r="GZ3324" s="5" t="s">
        <v>240</v>
      </c>
      <c r="HA3324" s="5" t="s">
        <v>240</v>
      </c>
      <c r="HB3324" s="5" t="s">
        <v>240</v>
      </c>
      <c r="HC3324" s="5" t="s">
        <v>240</v>
      </c>
      <c r="HD3324" s="5" t="s">
        <v>240</v>
      </c>
      <c r="HE3324" s="5" t="s">
        <v>240</v>
      </c>
      <c r="HF3324" s="5" t="s">
        <v>240</v>
      </c>
      <c r="HG3324" s="5" t="s">
        <v>240</v>
      </c>
      <c r="HH3324" s="5" t="s">
        <v>240</v>
      </c>
      <c r="HI3324" s="5" t="s">
        <v>240</v>
      </c>
      <c r="HJ3324" s="5" t="s">
        <v>240</v>
      </c>
      <c r="HK3324" s="5" t="s">
        <v>240</v>
      </c>
      <c r="HL3324" s="5" t="s">
        <v>240</v>
      </c>
      <c r="HM3324" s="5" t="s">
        <v>240</v>
      </c>
      <c r="HN3324" s="5" t="s">
        <v>240</v>
      </c>
      <c r="HO3324" s="5" t="s">
        <v>312</v>
      </c>
      <c r="HP3324" s="5" t="s">
        <v>240</v>
      </c>
      <c r="HQ3324" s="5" t="s">
        <v>240</v>
      </c>
      <c r="HR3324" s="5" t="s">
        <v>240</v>
      </c>
      <c r="HS3324" s="5" t="s">
        <v>240</v>
      </c>
      <c r="HT3324" s="5" t="s">
        <v>240</v>
      </c>
      <c r="HU3324" s="5" t="s">
        <v>240</v>
      </c>
      <c r="HV3324" s="5" t="s">
        <v>240</v>
      </c>
      <c r="HW3324" s="5" t="s">
        <v>240</v>
      </c>
      <c r="HX3324" s="5" t="s">
        <v>240</v>
      </c>
      <c r="HY3324" s="5" t="s">
        <v>240</v>
      </c>
      <c r="HZ3324" s="5" t="s">
        <v>240</v>
      </c>
      <c r="IA3324" s="5" t="s">
        <v>240</v>
      </c>
      <c r="IB3324" s="5" t="s">
        <v>240</v>
      </c>
      <c r="IC3324" s="5" t="s">
        <v>240</v>
      </c>
      <c r="ID3324" s="5" t="s">
        <v>240</v>
      </c>
      <c r="IE3324" s="5" t="s">
        <v>240</v>
      </c>
      <c r="IF3324" s="5" t="s">
        <v>240</v>
      </c>
    </row>
    <row r="3325" spans="1:240" x14ac:dyDescent="0.4">
      <c r="A3325" s="5">
        <v>8867</v>
      </c>
      <c r="B3325" s="5">
        <v>1</v>
      </c>
      <c r="C3325" s="5">
        <v>1</v>
      </c>
      <c r="D3325" s="5" t="s">
        <v>723</v>
      </c>
      <c r="E3325" s="5" t="s">
        <v>725</v>
      </c>
      <c r="F3325" s="5" t="s">
        <v>730</v>
      </c>
      <c r="G3325" s="5" t="s">
        <v>726</v>
      </c>
      <c r="H3325" s="6" t="s">
        <v>6304</v>
      </c>
      <c r="I3325" s="5" t="s">
        <v>990</v>
      </c>
      <c r="J3325" s="8">
        <f>1098</f>
        <v>1098</v>
      </c>
      <c r="K3325" s="5" t="s">
        <v>308</v>
      </c>
      <c r="L3325" s="7">
        <f>0</f>
        <v>0</v>
      </c>
      <c r="M3325" s="7">
        <f>0</f>
        <v>0</v>
      </c>
      <c r="N3325" s="5" t="s">
        <v>242</v>
      </c>
      <c r="O3325" s="5">
        <v>1</v>
      </c>
      <c r="P3325" s="5" t="s">
        <v>294</v>
      </c>
      <c r="Q3325" s="5" t="s">
        <v>3678</v>
      </c>
      <c r="R3325" s="5" t="s">
        <v>240</v>
      </c>
      <c r="S3325" s="5" t="s">
        <v>240</v>
      </c>
      <c r="T3325" s="5" t="s">
        <v>243</v>
      </c>
      <c r="U3325" s="5" t="s">
        <v>244</v>
      </c>
      <c r="V3325" s="5" t="s">
        <v>240</v>
      </c>
      <c r="W3325" s="5" t="s">
        <v>240</v>
      </c>
      <c r="X3325" s="5" t="s">
        <v>240</v>
      </c>
      <c r="Y3325" s="5" t="s">
        <v>240</v>
      </c>
      <c r="Z3325" s="6" t="s">
        <v>298</v>
      </c>
      <c r="AA3325" s="6" t="s">
        <v>240</v>
      </c>
      <c r="AB3325" s="6" t="s">
        <v>240</v>
      </c>
      <c r="AC3325" s="5" t="s">
        <v>240</v>
      </c>
      <c r="AD3325" s="6" t="s">
        <v>240</v>
      </c>
      <c r="AE3325" s="6" t="s">
        <v>299</v>
      </c>
      <c r="AF3325" s="5" t="s">
        <v>248</v>
      </c>
      <c r="AG3325" s="5" t="s">
        <v>249</v>
      </c>
      <c r="AH3325" s="5" t="s">
        <v>240</v>
      </c>
      <c r="AI3325" s="5" t="s">
        <v>240</v>
      </c>
      <c r="AJ3325" s="5" t="s">
        <v>240</v>
      </c>
      <c r="AK3325" s="5" t="s">
        <v>240</v>
      </c>
      <c r="AL3325" s="5" t="s">
        <v>240</v>
      </c>
      <c r="AM3325" s="5" t="s">
        <v>240</v>
      </c>
      <c r="AN3325" s="5" t="s">
        <v>240</v>
      </c>
      <c r="AO3325" s="5" t="s">
        <v>240</v>
      </c>
      <c r="AP3325" s="6" t="s">
        <v>240</v>
      </c>
      <c r="AQ3325" s="6" t="s">
        <v>240</v>
      </c>
      <c r="AR3325" s="6" t="s">
        <v>240</v>
      </c>
      <c r="AS3325" s="6" t="s">
        <v>240</v>
      </c>
      <c r="AT3325" s="5" t="s">
        <v>240</v>
      </c>
      <c r="AU3325" s="5" t="s">
        <v>729</v>
      </c>
      <c r="AV3325" s="5" t="s">
        <v>729</v>
      </c>
      <c r="AW3325" s="5" t="s">
        <v>251</v>
      </c>
      <c r="AX3325" s="5" t="s">
        <v>252</v>
      </c>
      <c r="AY3325" s="5" t="s">
        <v>253</v>
      </c>
      <c r="AZ3325" s="5" t="s">
        <v>240</v>
      </c>
      <c r="BA3325" s="5" t="s">
        <v>255</v>
      </c>
      <c r="BB3325" s="5" t="s">
        <v>731</v>
      </c>
      <c r="BD3325" s="5" t="s">
        <v>240</v>
      </c>
      <c r="BF3325" s="5" t="s">
        <v>732</v>
      </c>
      <c r="BG3325" s="6" t="s">
        <v>733</v>
      </c>
      <c r="BH3325" s="5" t="s">
        <v>734</v>
      </c>
      <c r="BI3325" s="5" t="s">
        <v>734</v>
      </c>
      <c r="BJ3325" s="5" t="s">
        <v>240</v>
      </c>
      <c r="BK3325" s="7">
        <f>1</f>
        <v>1</v>
      </c>
      <c r="BL3325" s="7">
        <f>1</f>
        <v>1</v>
      </c>
      <c r="BM3325" s="5" t="s">
        <v>258</v>
      </c>
      <c r="BN3325" s="5" t="s">
        <v>259</v>
      </c>
      <c r="BO3325" s="5" t="s">
        <v>240</v>
      </c>
      <c r="BP3325" s="5" t="s">
        <v>240</v>
      </c>
      <c r="BQ3325" s="5" t="s">
        <v>240</v>
      </c>
      <c r="BR3325" s="5" t="s">
        <v>240</v>
      </c>
      <c r="BS3325" s="5" t="s">
        <v>240</v>
      </c>
      <c r="BT3325" s="5" t="s">
        <v>240</v>
      </c>
      <c r="BU3325" s="5" t="s">
        <v>240</v>
      </c>
      <c r="BV3325" s="5" t="s">
        <v>240</v>
      </c>
      <c r="BW3325" s="6" t="s">
        <v>240</v>
      </c>
      <c r="BX3325" s="5" t="s">
        <v>240</v>
      </c>
      <c r="BY3325" s="5" t="s">
        <v>240</v>
      </c>
      <c r="BZ3325" s="5" t="s">
        <v>240</v>
      </c>
      <c r="CA3325" s="5" t="s">
        <v>259</v>
      </c>
      <c r="CB3325" s="5" t="s">
        <v>240</v>
      </c>
      <c r="CC3325" s="5" t="s">
        <v>240</v>
      </c>
      <c r="CD3325" s="5" t="s">
        <v>240</v>
      </c>
      <c r="CE3325" s="5" t="s">
        <v>240</v>
      </c>
      <c r="CF3325" s="5" t="s">
        <v>240</v>
      </c>
      <c r="CG3325" s="5" t="s">
        <v>304</v>
      </c>
      <c r="CH3325" s="5" t="s">
        <v>305</v>
      </c>
      <c r="CI3325" s="5" t="s">
        <v>240</v>
      </c>
      <c r="CK3325" s="5" t="s">
        <v>3681</v>
      </c>
      <c r="CL3325" s="6" t="s">
        <v>261</v>
      </c>
      <c r="CM3325" s="5" t="s">
        <v>262</v>
      </c>
      <c r="CN3325" s="5" t="s">
        <v>263</v>
      </c>
      <c r="CO3325" s="5" t="s">
        <v>264</v>
      </c>
      <c r="CP3325" s="5" t="s">
        <v>240</v>
      </c>
      <c r="CQ3325" s="5">
        <v>0</v>
      </c>
      <c r="CR3325" s="5" t="s">
        <v>735</v>
      </c>
      <c r="CS3325" s="5" t="s">
        <v>307</v>
      </c>
      <c r="CT3325" s="5" t="s">
        <v>307</v>
      </c>
      <c r="CU3325" s="5" t="s">
        <v>260</v>
      </c>
      <c r="CV3325" s="5" t="s">
        <v>612</v>
      </c>
      <c r="CW3325" s="8">
        <f>1</f>
        <v>1</v>
      </c>
      <c r="CX3325" s="7">
        <f>1</f>
        <v>1</v>
      </c>
      <c r="CY3325" s="7">
        <f>0</f>
        <v>0</v>
      </c>
      <c r="DA3325" s="7">
        <f>1</f>
        <v>1</v>
      </c>
      <c r="DB3325" s="7" t="s">
        <v>240</v>
      </c>
      <c r="DC3325" s="5" t="s">
        <v>240</v>
      </c>
      <c r="DD3325" s="5" t="s">
        <v>240</v>
      </c>
      <c r="DE3325" s="5" t="s">
        <v>240</v>
      </c>
      <c r="DF3325" s="5" t="s">
        <v>240</v>
      </c>
      <c r="DG3325" s="7">
        <f>0</f>
        <v>0</v>
      </c>
      <c r="DI3325" s="5" t="s">
        <v>240</v>
      </c>
      <c r="DJ3325" s="5" t="s">
        <v>240</v>
      </c>
      <c r="DK3325" s="5" t="s">
        <v>240</v>
      </c>
      <c r="DL3325" s="5" t="s">
        <v>240</v>
      </c>
      <c r="DM3325" s="5" t="s">
        <v>240</v>
      </c>
      <c r="DN3325" s="5" t="s">
        <v>240</v>
      </c>
      <c r="DO3325" s="7" t="s">
        <v>240</v>
      </c>
      <c r="DP3325" s="5" t="s">
        <v>240</v>
      </c>
      <c r="DQ3325" s="5" t="s">
        <v>240</v>
      </c>
      <c r="DR3325" s="5" t="s">
        <v>731</v>
      </c>
      <c r="DS3325" s="5" t="s">
        <v>731</v>
      </c>
      <c r="DT3325" s="5" t="s">
        <v>240</v>
      </c>
      <c r="DU3325" s="5" t="s">
        <v>240</v>
      </c>
      <c r="DV3325" s="5" t="s">
        <v>5063</v>
      </c>
      <c r="DW3325" s="5" t="s">
        <v>756</v>
      </c>
      <c r="DX3325" s="5" t="s">
        <v>240</v>
      </c>
      <c r="DY3325" s="5" t="s">
        <v>240</v>
      </c>
      <c r="DZ3325" s="5" t="s">
        <v>240</v>
      </c>
      <c r="EA3325" s="5" t="s">
        <v>240</v>
      </c>
      <c r="EB3325" s="5" t="s">
        <v>240</v>
      </c>
      <c r="EC3325" s="5" t="s">
        <v>240</v>
      </c>
      <c r="ED3325" s="5" t="s">
        <v>240</v>
      </c>
      <c r="EE3325" s="5" t="s">
        <v>240</v>
      </c>
      <c r="EF3325" s="5" t="s">
        <v>240</v>
      </c>
      <c r="EG3325" s="5" t="s">
        <v>240</v>
      </c>
      <c r="EH3325" s="5" t="s">
        <v>240</v>
      </c>
      <c r="EI3325" s="5" t="s">
        <v>240</v>
      </c>
      <c r="EJ3325" s="5" t="s">
        <v>240</v>
      </c>
      <c r="EK3325" s="5" t="s">
        <v>240</v>
      </c>
      <c r="EL3325" s="5" t="s">
        <v>240</v>
      </c>
      <c r="EM3325" s="5" t="s">
        <v>240</v>
      </c>
      <c r="EN3325" s="5" t="s">
        <v>240</v>
      </c>
      <c r="EO3325" s="5" t="s">
        <v>240</v>
      </c>
      <c r="EP3325" s="5" t="s">
        <v>240</v>
      </c>
      <c r="EQ3325" s="5" t="s">
        <v>240</v>
      </c>
      <c r="ER3325" s="5" t="s">
        <v>240</v>
      </c>
      <c r="ES3325" s="5" t="s">
        <v>240</v>
      </c>
      <c r="ET3325" s="5" t="s">
        <v>240</v>
      </c>
      <c r="EU3325" s="5" t="s">
        <v>240</v>
      </c>
      <c r="EV3325" s="5" t="s">
        <v>240</v>
      </c>
      <c r="EW3325" s="5" t="s">
        <v>240</v>
      </c>
      <c r="EX3325" s="5" t="s">
        <v>240</v>
      </c>
      <c r="EY3325" s="5" t="s">
        <v>240</v>
      </c>
      <c r="EZ3325" s="5" t="s">
        <v>240</v>
      </c>
      <c r="FA3325" s="5" t="s">
        <v>240</v>
      </c>
      <c r="FB3325" s="5" t="s">
        <v>240</v>
      </c>
      <c r="FC3325" s="5" t="s">
        <v>240</v>
      </c>
      <c r="FD3325" s="5" t="s">
        <v>240</v>
      </c>
      <c r="FE3325" s="5" t="s">
        <v>240</v>
      </c>
      <c r="FF3325" s="5" t="s">
        <v>240</v>
      </c>
      <c r="FG3325" s="5" t="s">
        <v>240</v>
      </c>
      <c r="FH3325" s="5" t="s">
        <v>240</v>
      </c>
      <c r="FI3325" s="5" t="s">
        <v>240</v>
      </c>
      <c r="FJ3325" s="5" t="s">
        <v>240</v>
      </c>
      <c r="FK3325" s="5" t="s">
        <v>240</v>
      </c>
      <c r="FL3325" s="5" t="s">
        <v>240</v>
      </c>
      <c r="FM3325" s="5" t="s">
        <v>240</v>
      </c>
      <c r="FN3325" s="5" t="s">
        <v>240</v>
      </c>
      <c r="FO3325" s="5" t="s">
        <v>240</v>
      </c>
      <c r="FP3325" s="5" t="s">
        <v>240</v>
      </c>
      <c r="FQ3325" s="5" t="s">
        <v>240</v>
      </c>
      <c r="FR3325" s="5" t="s">
        <v>240</v>
      </c>
      <c r="FS3325" s="5" t="s">
        <v>240</v>
      </c>
      <c r="FT3325" s="5" t="s">
        <v>240</v>
      </c>
      <c r="FU3325" s="5" t="s">
        <v>240</v>
      </c>
      <c r="FV3325" s="5" t="s">
        <v>240</v>
      </c>
      <c r="FW3325" s="5" t="s">
        <v>240</v>
      </c>
      <c r="FX3325" s="5" t="s">
        <v>240</v>
      </c>
      <c r="FY3325" s="5" t="s">
        <v>240</v>
      </c>
      <c r="FZ3325" s="5" t="s">
        <v>240</v>
      </c>
      <c r="GA3325" s="5" t="s">
        <v>240</v>
      </c>
      <c r="GB3325" s="5" t="s">
        <v>240</v>
      </c>
      <c r="GC3325" s="5" t="s">
        <v>240</v>
      </c>
      <c r="GD3325" s="5" t="s">
        <v>240</v>
      </c>
      <c r="GE3325" s="5" t="s">
        <v>240</v>
      </c>
      <c r="GF3325" s="5" t="s">
        <v>240</v>
      </c>
      <c r="GG3325" s="5" t="s">
        <v>240</v>
      </c>
      <c r="GH3325" s="5" t="s">
        <v>240</v>
      </c>
      <c r="GI3325" s="5" t="s">
        <v>240</v>
      </c>
      <c r="GJ3325" s="5" t="s">
        <v>240</v>
      </c>
      <c r="GK3325" s="5" t="s">
        <v>240</v>
      </c>
      <c r="GL3325" s="5" t="s">
        <v>240</v>
      </c>
      <c r="GM3325" s="5" t="s">
        <v>240</v>
      </c>
      <c r="GN3325" s="5" t="s">
        <v>240</v>
      </c>
      <c r="GO3325" s="5" t="s">
        <v>240</v>
      </c>
      <c r="GP3325" s="5" t="s">
        <v>240</v>
      </c>
      <c r="GQ3325" s="5" t="s">
        <v>240</v>
      </c>
      <c r="GR3325" s="5" t="s">
        <v>240</v>
      </c>
      <c r="GS3325" s="5" t="s">
        <v>240</v>
      </c>
      <c r="GT3325" s="5" t="s">
        <v>240</v>
      </c>
      <c r="GU3325" s="5" t="s">
        <v>240</v>
      </c>
      <c r="GV3325" s="5" t="s">
        <v>240</v>
      </c>
      <c r="GW3325" s="5" t="s">
        <v>240</v>
      </c>
      <c r="GX3325" s="5" t="s">
        <v>240</v>
      </c>
      <c r="GY3325" s="5" t="s">
        <v>240</v>
      </c>
      <c r="GZ3325" s="5" t="s">
        <v>240</v>
      </c>
      <c r="HA3325" s="5" t="s">
        <v>240</v>
      </c>
      <c r="HB3325" s="5" t="s">
        <v>240</v>
      </c>
      <c r="HC3325" s="5" t="s">
        <v>240</v>
      </c>
      <c r="HD3325" s="5" t="s">
        <v>240</v>
      </c>
      <c r="HE3325" s="5" t="s">
        <v>240</v>
      </c>
      <c r="HF3325" s="5" t="s">
        <v>240</v>
      </c>
      <c r="HG3325" s="5" t="s">
        <v>240</v>
      </c>
      <c r="HH3325" s="5" t="s">
        <v>240</v>
      </c>
      <c r="HI3325" s="5" t="s">
        <v>240</v>
      </c>
      <c r="HJ3325" s="5" t="s">
        <v>240</v>
      </c>
      <c r="HK3325" s="5" t="s">
        <v>240</v>
      </c>
      <c r="HL3325" s="5" t="s">
        <v>240</v>
      </c>
      <c r="HM3325" s="5" t="s">
        <v>240</v>
      </c>
      <c r="HN3325" s="5" t="s">
        <v>240</v>
      </c>
      <c r="HO3325" s="5" t="s">
        <v>312</v>
      </c>
      <c r="HP3325" s="5" t="s">
        <v>240</v>
      </c>
      <c r="HQ3325" s="5" t="s">
        <v>240</v>
      </c>
      <c r="HR3325" s="5" t="s">
        <v>240</v>
      </c>
      <c r="HS3325" s="5" t="s">
        <v>240</v>
      </c>
      <c r="HT3325" s="5" t="s">
        <v>240</v>
      </c>
      <c r="HU3325" s="5" t="s">
        <v>240</v>
      </c>
      <c r="HV3325" s="5" t="s">
        <v>240</v>
      </c>
      <c r="HW3325" s="5" t="s">
        <v>240</v>
      </c>
      <c r="HX3325" s="5" t="s">
        <v>240</v>
      </c>
      <c r="HY3325" s="5" t="s">
        <v>240</v>
      </c>
      <c r="HZ3325" s="5" t="s">
        <v>240</v>
      </c>
      <c r="IA3325" s="5" t="s">
        <v>240</v>
      </c>
      <c r="IB3325" s="5" t="s">
        <v>240</v>
      </c>
      <c r="IC3325" s="5" t="s">
        <v>240</v>
      </c>
      <c r="ID3325" s="5" t="s">
        <v>240</v>
      </c>
      <c r="IE3325" s="5" t="s">
        <v>240</v>
      </c>
      <c r="IF3325" s="5" t="s">
        <v>240</v>
      </c>
    </row>
    <row r="3326" spans="1:240" x14ac:dyDescent="0.4">
      <c r="A3326" s="5">
        <v>8868</v>
      </c>
      <c r="B3326" s="5">
        <v>1</v>
      </c>
      <c r="C3326" s="5">
        <v>1</v>
      </c>
      <c r="D3326" s="5" t="s">
        <v>723</v>
      </c>
      <c r="E3326" s="5" t="s">
        <v>725</v>
      </c>
      <c r="F3326" s="5" t="s">
        <v>730</v>
      </c>
      <c r="G3326" s="5" t="s">
        <v>726</v>
      </c>
      <c r="H3326" s="6" t="s">
        <v>6303</v>
      </c>
      <c r="I3326" s="5" t="s">
        <v>722</v>
      </c>
      <c r="J3326" s="8">
        <f>334</f>
        <v>334</v>
      </c>
      <c r="K3326" s="5" t="s">
        <v>308</v>
      </c>
      <c r="L3326" s="7">
        <f>0</f>
        <v>0</v>
      </c>
      <c r="M3326" s="7">
        <f>0</f>
        <v>0</v>
      </c>
      <c r="N3326" s="5" t="s">
        <v>242</v>
      </c>
      <c r="O3326" s="5">
        <v>1</v>
      </c>
      <c r="P3326" s="5" t="s">
        <v>294</v>
      </c>
      <c r="Q3326" s="5" t="s">
        <v>3678</v>
      </c>
      <c r="R3326" s="5" t="s">
        <v>240</v>
      </c>
      <c r="S3326" s="5" t="s">
        <v>240</v>
      </c>
      <c r="T3326" s="5" t="s">
        <v>243</v>
      </c>
      <c r="U3326" s="5" t="s">
        <v>244</v>
      </c>
      <c r="V3326" s="5" t="s">
        <v>240</v>
      </c>
      <c r="W3326" s="5" t="s">
        <v>240</v>
      </c>
      <c r="X3326" s="5" t="s">
        <v>240</v>
      </c>
      <c r="Y3326" s="5" t="s">
        <v>240</v>
      </c>
      <c r="Z3326" s="6" t="s">
        <v>298</v>
      </c>
      <c r="AA3326" s="6" t="s">
        <v>240</v>
      </c>
      <c r="AB3326" s="6" t="s">
        <v>240</v>
      </c>
      <c r="AC3326" s="5" t="s">
        <v>240</v>
      </c>
      <c r="AD3326" s="6" t="s">
        <v>240</v>
      </c>
      <c r="AE3326" s="6" t="s">
        <v>299</v>
      </c>
      <c r="AF3326" s="5" t="s">
        <v>248</v>
      </c>
      <c r="AG3326" s="5" t="s">
        <v>249</v>
      </c>
      <c r="AH3326" s="5" t="s">
        <v>240</v>
      </c>
      <c r="AI3326" s="5" t="s">
        <v>240</v>
      </c>
      <c r="AJ3326" s="5" t="s">
        <v>240</v>
      </c>
      <c r="AK3326" s="5" t="s">
        <v>240</v>
      </c>
      <c r="AL3326" s="5" t="s">
        <v>240</v>
      </c>
      <c r="AM3326" s="5" t="s">
        <v>240</v>
      </c>
      <c r="AN3326" s="5" t="s">
        <v>240</v>
      </c>
      <c r="AO3326" s="5" t="s">
        <v>240</v>
      </c>
      <c r="AP3326" s="6" t="s">
        <v>240</v>
      </c>
      <c r="AQ3326" s="6" t="s">
        <v>240</v>
      </c>
      <c r="AR3326" s="6" t="s">
        <v>240</v>
      </c>
      <c r="AS3326" s="6" t="s">
        <v>240</v>
      </c>
      <c r="AT3326" s="5" t="s">
        <v>240</v>
      </c>
      <c r="AU3326" s="5" t="s">
        <v>729</v>
      </c>
      <c r="AV3326" s="5" t="s">
        <v>729</v>
      </c>
      <c r="AW3326" s="5" t="s">
        <v>251</v>
      </c>
      <c r="AX3326" s="5" t="s">
        <v>252</v>
      </c>
      <c r="AY3326" s="5" t="s">
        <v>253</v>
      </c>
      <c r="AZ3326" s="5" t="s">
        <v>240</v>
      </c>
      <c r="BA3326" s="5" t="s">
        <v>255</v>
      </c>
      <c r="BB3326" s="5" t="s">
        <v>731</v>
      </c>
      <c r="BD3326" s="5" t="s">
        <v>240</v>
      </c>
      <c r="BF3326" s="5" t="s">
        <v>732</v>
      </c>
      <c r="BG3326" s="6" t="s">
        <v>733</v>
      </c>
      <c r="BH3326" s="5" t="s">
        <v>734</v>
      </c>
      <c r="BI3326" s="5" t="s">
        <v>734</v>
      </c>
      <c r="BJ3326" s="5" t="s">
        <v>240</v>
      </c>
      <c r="BK3326" s="7">
        <f>1</f>
        <v>1</v>
      </c>
      <c r="BL3326" s="7">
        <f>1</f>
        <v>1</v>
      </c>
      <c r="BM3326" s="5" t="s">
        <v>258</v>
      </c>
      <c r="BN3326" s="5" t="s">
        <v>259</v>
      </c>
      <c r="BO3326" s="5" t="s">
        <v>240</v>
      </c>
      <c r="BP3326" s="5" t="s">
        <v>240</v>
      </c>
      <c r="BQ3326" s="5" t="s">
        <v>240</v>
      </c>
      <c r="BR3326" s="5" t="s">
        <v>240</v>
      </c>
      <c r="BS3326" s="5" t="s">
        <v>240</v>
      </c>
      <c r="BT3326" s="5" t="s">
        <v>240</v>
      </c>
      <c r="BU3326" s="5" t="s">
        <v>240</v>
      </c>
      <c r="BV3326" s="5" t="s">
        <v>240</v>
      </c>
      <c r="BW3326" s="6" t="s">
        <v>240</v>
      </c>
      <c r="BX3326" s="5" t="s">
        <v>240</v>
      </c>
      <c r="BY3326" s="5" t="s">
        <v>240</v>
      </c>
      <c r="BZ3326" s="5" t="s">
        <v>240</v>
      </c>
      <c r="CA3326" s="5" t="s">
        <v>259</v>
      </c>
      <c r="CB3326" s="5" t="s">
        <v>240</v>
      </c>
      <c r="CC3326" s="5" t="s">
        <v>240</v>
      </c>
      <c r="CD3326" s="5" t="s">
        <v>240</v>
      </c>
      <c r="CE3326" s="5" t="s">
        <v>240</v>
      </c>
      <c r="CF3326" s="5" t="s">
        <v>240</v>
      </c>
      <c r="CG3326" s="5" t="s">
        <v>304</v>
      </c>
      <c r="CH3326" s="5" t="s">
        <v>305</v>
      </c>
      <c r="CI3326" s="5" t="s">
        <v>240</v>
      </c>
      <c r="CK3326" s="5" t="s">
        <v>3681</v>
      </c>
      <c r="CL3326" s="6" t="s">
        <v>261</v>
      </c>
      <c r="CM3326" s="5" t="s">
        <v>262</v>
      </c>
      <c r="CN3326" s="5" t="s">
        <v>263</v>
      </c>
      <c r="CO3326" s="5" t="s">
        <v>264</v>
      </c>
      <c r="CP3326" s="5" t="s">
        <v>240</v>
      </c>
      <c r="CQ3326" s="5">
        <v>0</v>
      </c>
      <c r="CR3326" s="5" t="s">
        <v>735</v>
      </c>
      <c r="CS3326" s="5" t="s">
        <v>307</v>
      </c>
      <c r="CT3326" s="5" t="s">
        <v>307</v>
      </c>
      <c r="CU3326" s="5" t="s">
        <v>260</v>
      </c>
      <c r="CV3326" s="5" t="s">
        <v>612</v>
      </c>
      <c r="CW3326" s="8">
        <f>1</f>
        <v>1</v>
      </c>
      <c r="CX3326" s="7">
        <f>1</f>
        <v>1</v>
      </c>
      <c r="CY3326" s="7">
        <f>0</f>
        <v>0</v>
      </c>
      <c r="DA3326" s="7">
        <f>1</f>
        <v>1</v>
      </c>
      <c r="DB3326" s="7" t="s">
        <v>240</v>
      </c>
      <c r="DC3326" s="5" t="s">
        <v>240</v>
      </c>
      <c r="DD3326" s="5" t="s">
        <v>240</v>
      </c>
      <c r="DE3326" s="5" t="s">
        <v>240</v>
      </c>
      <c r="DF3326" s="5" t="s">
        <v>240</v>
      </c>
      <c r="DG3326" s="7">
        <f>0</f>
        <v>0</v>
      </c>
      <c r="DI3326" s="5" t="s">
        <v>240</v>
      </c>
      <c r="DJ3326" s="5" t="s">
        <v>240</v>
      </c>
      <c r="DK3326" s="5" t="s">
        <v>240</v>
      </c>
      <c r="DL3326" s="5" t="s">
        <v>240</v>
      </c>
      <c r="DM3326" s="5" t="s">
        <v>240</v>
      </c>
      <c r="DN3326" s="5" t="s">
        <v>240</v>
      </c>
      <c r="DO3326" s="7" t="s">
        <v>240</v>
      </c>
      <c r="DP3326" s="5" t="s">
        <v>240</v>
      </c>
      <c r="DQ3326" s="5" t="s">
        <v>240</v>
      </c>
      <c r="DR3326" s="5" t="s">
        <v>731</v>
      </c>
      <c r="DS3326" s="5" t="s">
        <v>731</v>
      </c>
      <c r="DT3326" s="5" t="s">
        <v>240</v>
      </c>
      <c r="DU3326" s="5" t="s">
        <v>240</v>
      </c>
      <c r="DV3326" s="5" t="s">
        <v>5063</v>
      </c>
      <c r="DW3326" s="5" t="s">
        <v>765</v>
      </c>
      <c r="DX3326" s="5" t="s">
        <v>240</v>
      </c>
      <c r="DY3326" s="5" t="s">
        <v>240</v>
      </c>
      <c r="DZ3326" s="5" t="s">
        <v>240</v>
      </c>
      <c r="EA3326" s="5" t="s">
        <v>240</v>
      </c>
      <c r="EB3326" s="5" t="s">
        <v>240</v>
      </c>
      <c r="EC3326" s="5" t="s">
        <v>240</v>
      </c>
      <c r="ED3326" s="5" t="s">
        <v>240</v>
      </c>
      <c r="EE3326" s="5" t="s">
        <v>240</v>
      </c>
      <c r="EF3326" s="5" t="s">
        <v>240</v>
      </c>
      <c r="EG3326" s="5" t="s">
        <v>240</v>
      </c>
      <c r="EH3326" s="5" t="s">
        <v>240</v>
      </c>
      <c r="EI3326" s="5" t="s">
        <v>240</v>
      </c>
      <c r="EJ3326" s="5" t="s">
        <v>240</v>
      </c>
      <c r="EK3326" s="5" t="s">
        <v>240</v>
      </c>
      <c r="EL3326" s="5" t="s">
        <v>240</v>
      </c>
      <c r="EM3326" s="5" t="s">
        <v>240</v>
      </c>
      <c r="EN3326" s="5" t="s">
        <v>240</v>
      </c>
      <c r="EO3326" s="5" t="s">
        <v>240</v>
      </c>
      <c r="EP3326" s="5" t="s">
        <v>240</v>
      </c>
      <c r="EQ3326" s="5" t="s">
        <v>240</v>
      </c>
      <c r="ER3326" s="5" t="s">
        <v>240</v>
      </c>
      <c r="ES3326" s="5" t="s">
        <v>240</v>
      </c>
      <c r="ET3326" s="5" t="s">
        <v>240</v>
      </c>
      <c r="EU3326" s="5" t="s">
        <v>240</v>
      </c>
      <c r="EV3326" s="5" t="s">
        <v>240</v>
      </c>
      <c r="EW3326" s="5" t="s">
        <v>240</v>
      </c>
      <c r="EX3326" s="5" t="s">
        <v>240</v>
      </c>
      <c r="EY3326" s="5" t="s">
        <v>240</v>
      </c>
      <c r="EZ3326" s="5" t="s">
        <v>240</v>
      </c>
      <c r="FA3326" s="5" t="s">
        <v>240</v>
      </c>
      <c r="FB3326" s="5" t="s">
        <v>240</v>
      </c>
      <c r="FC3326" s="5" t="s">
        <v>240</v>
      </c>
      <c r="FD3326" s="5" t="s">
        <v>240</v>
      </c>
      <c r="FE3326" s="5" t="s">
        <v>240</v>
      </c>
      <c r="FF3326" s="5" t="s">
        <v>240</v>
      </c>
      <c r="FG3326" s="5" t="s">
        <v>240</v>
      </c>
      <c r="FH3326" s="5" t="s">
        <v>240</v>
      </c>
      <c r="FI3326" s="5" t="s">
        <v>240</v>
      </c>
      <c r="FJ3326" s="5" t="s">
        <v>240</v>
      </c>
      <c r="FK3326" s="5" t="s">
        <v>240</v>
      </c>
      <c r="FL3326" s="5" t="s">
        <v>240</v>
      </c>
      <c r="FM3326" s="5" t="s">
        <v>240</v>
      </c>
      <c r="FN3326" s="5" t="s">
        <v>240</v>
      </c>
      <c r="FO3326" s="5" t="s">
        <v>240</v>
      </c>
      <c r="FP3326" s="5" t="s">
        <v>240</v>
      </c>
      <c r="FQ3326" s="5" t="s">
        <v>240</v>
      </c>
      <c r="FR3326" s="5" t="s">
        <v>240</v>
      </c>
      <c r="FS3326" s="5" t="s">
        <v>240</v>
      </c>
      <c r="FT3326" s="5" t="s">
        <v>240</v>
      </c>
      <c r="FU3326" s="5" t="s">
        <v>240</v>
      </c>
      <c r="FV3326" s="5" t="s">
        <v>240</v>
      </c>
      <c r="FW3326" s="5" t="s">
        <v>240</v>
      </c>
      <c r="FX3326" s="5" t="s">
        <v>240</v>
      </c>
      <c r="FY3326" s="5" t="s">
        <v>240</v>
      </c>
      <c r="FZ3326" s="5" t="s">
        <v>240</v>
      </c>
      <c r="GA3326" s="5" t="s">
        <v>240</v>
      </c>
      <c r="GB3326" s="5" t="s">
        <v>240</v>
      </c>
      <c r="GC3326" s="5" t="s">
        <v>240</v>
      </c>
      <c r="GD3326" s="5" t="s">
        <v>240</v>
      </c>
      <c r="GE3326" s="5" t="s">
        <v>240</v>
      </c>
      <c r="GF3326" s="5" t="s">
        <v>240</v>
      </c>
      <c r="GG3326" s="5" t="s">
        <v>240</v>
      </c>
      <c r="GH3326" s="5" t="s">
        <v>240</v>
      </c>
      <c r="GI3326" s="5" t="s">
        <v>240</v>
      </c>
      <c r="GJ3326" s="5" t="s">
        <v>240</v>
      </c>
      <c r="GK3326" s="5" t="s">
        <v>240</v>
      </c>
      <c r="GL3326" s="5" t="s">
        <v>240</v>
      </c>
      <c r="GM3326" s="5" t="s">
        <v>240</v>
      </c>
      <c r="GN3326" s="5" t="s">
        <v>240</v>
      </c>
      <c r="GO3326" s="5" t="s">
        <v>240</v>
      </c>
      <c r="GP3326" s="5" t="s">
        <v>240</v>
      </c>
      <c r="GQ3326" s="5" t="s">
        <v>240</v>
      </c>
      <c r="GR3326" s="5" t="s">
        <v>240</v>
      </c>
      <c r="GS3326" s="5" t="s">
        <v>240</v>
      </c>
      <c r="GT3326" s="5" t="s">
        <v>240</v>
      </c>
      <c r="GU3326" s="5" t="s">
        <v>240</v>
      </c>
      <c r="GV3326" s="5" t="s">
        <v>240</v>
      </c>
      <c r="GW3326" s="5" t="s">
        <v>240</v>
      </c>
      <c r="GX3326" s="5" t="s">
        <v>240</v>
      </c>
      <c r="GY3326" s="5" t="s">
        <v>240</v>
      </c>
      <c r="GZ3326" s="5" t="s">
        <v>240</v>
      </c>
      <c r="HA3326" s="5" t="s">
        <v>240</v>
      </c>
      <c r="HB3326" s="5" t="s">
        <v>240</v>
      </c>
      <c r="HC3326" s="5" t="s">
        <v>240</v>
      </c>
      <c r="HD3326" s="5" t="s">
        <v>240</v>
      </c>
      <c r="HE3326" s="5" t="s">
        <v>240</v>
      </c>
      <c r="HF3326" s="5" t="s">
        <v>240</v>
      </c>
      <c r="HG3326" s="5" t="s">
        <v>240</v>
      </c>
      <c r="HH3326" s="5" t="s">
        <v>240</v>
      </c>
      <c r="HI3326" s="5" t="s">
        <v>240</v>
      </c>
      <c r="HJ3326" s="5" t="s">
        <v>240</v>
      </c>
      <c r="HK3326" s="5" t="s">
        <v>240</v>
      </c>
      <c r="HL3326" s="5" t="s">
        <v>240</v>
      </c>
      <c r="HM3326" s="5" t="s">
        <v>240</v>
      </c>
      <c r="HN3326" s="5" t="s">
        <v>240</v>
      </c>
      <c r="HO3326" s="5" t="s">
        <v>312</v>
      </c>
      <c r="HP3326" s="5" t="s">
        <v>240</v>
      </c>
      <c r="HQ3326" s="5" t="s">
        <v>240</v>
      </c>
      <c r="HR3326" s="5" t="s">
        <v>240</v>
      </c>
      <c r="HS3326" s="5" t="s">
        <v>240</v>
      </c>
      <c r="HT3326" s="5" t="s">
        <v>240</v>
      </c>
      <c r="HU3326" s="5" t="s">
        <v>240</v>
      </c>
      <c r="HV3326" s="5" t="s">
        <v>240</v>
      </c>
      <c r="HW3326" s="5" t="s">
        <v>240</v>
      </c>
      <c r="HX3326" s="5" t="s">
        <v>240</v>
      </c>
      <c r="HY3326" s="5" t="s">
        <v>240</v>
      </c>
      <c r="HZ3326" s="5" t="s">
        <v>240</v>
      </c>
      <c r="IA3326" s="5" t="s">
        <v>240</v>
      </c>
      <c r="IB3326" s="5" t="s">
        <v>240</v>
      </c>
      <c r="IC3326" s="5" t="s">
        <v>240</v>
      </c>
      <c r="ID3326" s="5" t="s">
        <v>240</v>
      </c>
      <c r="IE3326" s="5" t="s">
        <v>240</v>
      </c>
      <c r="IF3326" s="5" t="s">
        <v>240</v>
      </c>
    </row>
    <row r="3327" spans="1:240" x14ac:dyDescent="0.4">
      <c r="A3327" s="5">
        <v>8869</v>
      </c>
      <c r="B3327" s="5">
        <v>1</v>
      </c>
      <c r="C3327" s="5">
        <v>1</v>
      </c>
      <c r="D3327" s="5" t="s">
        <v>723</v>
      </c>
      <c r="E3327" s="5" t="s">
        <v>725</v>
      </c>
      <c r="F3327" s="5" t="s">
        <v>730</v>
      </c>
      <c r="G3327" s="5" t="s">
        <v>726</v>
      </c>
      <c r="H3327" s="6" t="s">
        <v>6302</v>
      </c>
      <c r="I3327" s="5" t="s">
        <v>722</v>
      </c>
      <c r="J3327" s="8">
        <f>827</f>
        <v>827</v>
      </c>
      <c r="K3327" s="5" t="s">
        <v>308</v>
      </c>
      <c r="L3327" s="7">
        <f>0</f>
        <v>0</v>
      </c>
      <c r="M3327" s="7">
        <f>0</f>
        <v>0</v>
      </c>
      <c r="N3327" s="5" t="s">
        <v>242</v>
      </c>
      <c r="O3327" s="5">
        <v>1</v>
      </c>
      <c r="P3327" s="5" t="s">
        <v>294</v>
      </c>
      <c r="Q3327" s="5" t="s">
        <v>3678</v>
      </c>
      <c r="R3327" s="5" t="s">
        <v>240</v>
      </c>
      <c r="S3327" s="5" t="s">
        <v>240</v>
      </c>
      <c r="T3327" s="5" t="s">
        <v>243</v>
      </c>
      <c r="U3327" s="5" t="s">
        <v>244</v>
      </c>
      <c r="V3327" s="5" t="s">
        <v>240</v>
      </c>
      <c r="W3327" s="5" t="s">
        <v>240</v>
      </c>
      <c r="X3327" s="5" t="s">
        <v>240</v>
      </c>
      <c r="Y3327" s="5" t="s">
        <v>240</v>
      </c>
      <c r="Z3327" s="6" t="s">
        <v>298</v>
      </c>
      <c r="AA3327" s="6" t="s">
        <v>240</v>
      </c>
      <c r="AB3327" s="6" t="s">
        <v>240</v>
      </c>
      <c r="AC3327" s="5" t="s">
        <v>240</v>
      </c>
      <c r="AD3327" s="6" t="s">
        <v>240</v>
      </c>
      <c r="AE3327" s="6" t="s">
        <v>299</v>
      </c>
      <c r="AF3327" s="5" t="s">
        <v>248</v>
      </c>
      <c r="AG3327" s="5" t="s">
        <v>249</v>
      </c>
      <c r="AH3327" s="5" t="s">
        <v>240</v>
      </c>
      <c r="AI3327" s="5" t="s">
        <v>240</v>
      </c>
      <c r="AJ3327" s="5" t="s">
        <v>240</v>
      </c>
      <c r="AK3327" s="5" t="s">
        <v>240</v>
      </c>
      <c r="AL3327" s="5" t="s">
        <v>240</v>
      </c>
      <c r="AM3327" s="5" t="s">
        <v>240</v>
      </c>
      <c r="AN3327" s="5" t="s">
        <v>240</v>
      </c>
      <c r="AO3327" s="5" t="s">
        <v>240</v>
      </c>
      <c r="AP3327" s="6" t="s">
        <v>240</v>
      </c>
      <c r="AQ3327" s="6" t="s">
        <v>240</v>
      </c>
      <c r="AR3327" s="6" t="s">
        <v>240</v>
      </c>
      <c r="AS3327" s="6" t="s">
        <v>240</v>
      </c>
      <c r="AT3327" s="5" t="s">
        <v>240</v>
      </c>
      <c r="AU3327" s="5" t="s">
        <v>729</v>
      </c>
      <c r="AV3327" s="5" t="s">
        <v>729</v>
      </c>
      <c r="AW3327" s="5" t="s">
        <v>251</v>
      </c>
      <c r="AX3327" s="5" t="s">
        <v>252</v>
      </c>
      <c r="AY3327" s="5" t="s">
        <v>253</v>
      </c>
      <c r="AZ3327" s="5" t="s">
        <v>240</v>
      </c>
      <c r="BA3327" s="5" t="s">
        <v>255</v>
      </c>
      <c r="BB3327" s="5" t="s">
        <v>731</v>
      </c>
      <c r="BD3327" s="5" t="s">
        <v>240</v>
      </c>
      <c r="BF3327" s="5" t="s">
        <v>732</v>
      </c>
      <c r="BG3327" s="6" t="s">
        <v>733</v>
      </c>
      <c r="BH3327" s="5" t="s">
        <v>734</v>
      </c>
      <c r="BI3327" s="5" t="s">
        <v>734</v>
      </c>
      <c r="BJ3327" s="5" t="s">
        <v>240</v>
      </c>
      <c r="BK3327" s="7">
        <f>1</f>
        <v>1</v>
      </c>
      <c r="BL3327" s="7">
        <f>1</f>
        <v>1</v>
      </c>
      <c r="BM3327" s="5" t="s">
        <v>258</v>
      </c>
      <c r="BN3327" s="5" t="s">
        <v>259</v>
      </c>
      <c r="BO3327" s="5" t="s">
        <v>240</v>
      </c>
      <c r="BP3327" s="5" t="s">
        <v>240</v>
      </c>
      <c r="BQ3327" s="5" t="s">
        <v>240</v>
      </c>
      <c r="BR3327" s="5" t="s">
        <v>240</v>
      </c>
      <c r="BS3327" s="5" t="s">
        <v>240</v>
      </c>
      <c r="BT3327" s="5" t="s">
        <v>240</v>
      </c>
      <c r="BU3327" s="5" t="s">
        <v>240</v>
      </c>
      <c r="BV3327" s="5" t="s">
        <v>240</v>
      </c>
      <c r="BW3327" s="6" t="s">
        <v>240</v>
      </c>
      <c r="BX3327" s="5" t="s">
        <v>240</v>
      </c>
      <c r="BY3327" s="5" t="s">
        <v>240</v>
      </c>
      <c r="BZ3327" s="5" t="s">
        <v>240</v>
      </c>
      <c r="CA3327" s="5" t="s">
        <v>259</v>
      </c>
      <c r="CB3327" s="5" t="s">
        <v>240</v>
      </c>
      <c r="CC3327" s="5" t="s">
        <v>240</v>
      </c>
      <c r="CD3327" s="5" t="s">
        <v>240</v>
      </c>
      <c r="CE3327" s="5" t="s">
        <v>240</v>
      </c>
      <c r="CF3327" s="5" t="s">
        <v>240</v>
      </c>
      <c r="CG3327" s="5" t="s">
        <v>304</v>
      </c>
      <c r="CH3327" s="5" t="s">
        <v>305</v>
      </c>
      <c r="CI3327" s="5" t="s">
        <v>240</v>
      </c>
      <c r="CK3327" s="5" t="s">
        <v>3681</v>
      </c>
      <c r="CL3327" s="6" t="s">
        <v>261</v>
      </c>
      <c r="CM3327" s="5" t="s">
        <v>262</v>
      </c>
      <c r="CN3327" s="5" t="s">
        <v>263</v>
      </c>
      <c r="CO3327" s="5" t="s">
        <v>264</v>
      </c>
      <c r="CP3327" s="5" t="s">
        <v>240</v>
      </c>
      <c r="CQ3327" s="5">
        <v>0</v>
      </c>
      <c r="CR3327" s="5" t="s">
        <v>735</v>
      </c>
      <c r="CS3327" s="5" t="s">
        <v>307</v>
      </c>
      <c r="CT3327" s="5" t="s">
        <v>307</v>
      </c>
      <c r="CU3327" s="5" t="s">
        <v>260</v>
      </c>
      <c r="CV3327" s="5" t="s">
        <v>612</v>
      </c>
      <c r="CW3327" s="8">
        <f>1</f>
        <v>1</v>
      </c>
      <c r="CX3327" s="7">
        <f>1</f>
        <v>1</v>
      </c>
      <c r="CY3327" s="7">
        <f>0</f>
        <v>0</v>
      </c>
      <c r="DA3327" s="7">
        <f>1</f>
        <v>1</v>
      </c>
      <c r="DB3327" s="7" t="s">
        <v>240</v>
      </c>
      <c r="DC3327" s="5" t="s">
        <v>240</v>
      </c>
      <c r="DD3327" s="5" t="s">
        <v>240</v>
      </c>
      <c r="DE3327" s="5" t="s">
        <v>240</v>
      </c>
      <c r="DF3327" s="5" t="s">
        <v>240</v>
      </c>
      <c r="DG3327" s="7">
        <f>0</f>
        <v>0</v>
      </c>
      <c r="DI3327" s="5" t="s">
        <v>240</v>
      </c>
      <c r="DJ3327" s="5" t="s">
        <v>240</v>
      </c>
      <c r="DK3327" s="5" t="s">
        <v>240</v>
      </c>
      <c r="DL3327" s="5" t="s">
        <v>240</v>
      </c>
      <c r="DM3327" s="5" t="s">
        <v>240</v>
      </c>
      <c r="DN3327" s="5" t="s">
        <v>240</v>
      </c>
      <c r="DO3327" s="7" t="s">
        <v>240</v>
      </c>
      <c r="DP3327" s="5" t="s">
        <v>240</v>
      </c>
      <c r="DQ3327" s="5" t="s">
        <v>240</v>
      </c>
      <c r="DR3327" s="5" t="s">
        <v>731</v>
      </c>
      <c r="DS3327" s="5" t="s">
        <v>731</v>
      </c>
      <c r="DT3327" s="5" t="s">
        <v>240</v>
      </c>
      <c r="DU3327" s="5" t="s">
        <v>240</v>
      </c>
      <c r="DV3327" s="5" t="s">
        <v>5063</v>
      </c>
      <c r="DW3327" s="5" t="s">
        <v>707</v>
      </c>
      <c r="DX3327" s="5" t="s">
        <v>240</v>
      </c>
      <c r="DY3327" s="5" t="s">
        <v>240</v>
      </c>
      <c r="DZ3327" s="5" t="s">
        <v>240</v>
      </c>
      <c r="EA3327" s="5" t="s">
        <v>240</v>
      </c>
      <c r="EB3327" s="5" t="s">
        <v>240</v>
      </c>
      <c r="EC3327" s="5" t="s">
        <v>240</v>
      </c>
      <c r="ED3327" s="5" t="s">
        <v>240</v>
      </c>
      <c r="EE3327" s="5" t="s">
        <v>240</v>
      </c>
      <c r="EF3327" s="5" t="s">
        <v>240</v>
      </c>
      <c r="EG3327" s="5" t="s">
        <v>240</v>
      </c>
      <c r="EH3327" s="5" t="s">
        <v>240</v>
      </c>
      <c r="EI3327" s="5" t="s">
        <v>240</v>
      </c>
      <c r="EJ3327" s="5" t="s">
        <v>240</v>
      </c>
      <c r="EK3327" s="5" t="s">
        <v>240</v>
      </c>
      <c r="EL3327" s="5" t="s">
        <v>240</v>
      </c>
      <c r="EM3327" s="5" t="s">
        <v>240</v>
      </c>
      <c r="EN3327" s="5" t="s">
        <v>240</v>
      </c>
      <c r="EO3327" s="5" t="s">
        <v>240</v>
      </c>
      <c r="EP3327" s="5" t="s">
        <v>240</v>
      </c>
      <c r="EQ3327" s="5" t="s">
        <v>240</v>
      </c>
      <c r="ER3327" s="5" t="s">
        <v>240</v>
      </c>
      <c r="ES3327" s="5" t="s">
        <v>240</v>
      </c>
      <c r="ET3327" s="5" t="s">
        <v>240</v>
      </c>
      <c r="EU3327" s="5" t="s">
        <v>240</v>
      </c>
      <c r="EV3327" s="5" t="s">
        <v>240</v>
      </c>
      <c r="EW3327" s="5" t="s">
        <v>240</v>
      </c>
      <c r="EX3327" s="5" t="s">
        <v>240</v>
      </c>
      <c r="EY3327" s="5" t="s">
        <v>240</v>
      </c>
      <c r="EZ3327" s="5" t="s">
        <v>240</v>
      </c>
      <c r="FA3327" s="5" t="s">
        <v>240</v>
      </c>
      <c r="FB3327" s="5" t="s">
        <v>240</v>
      </c>
      <c r="FC3327" s="5" t="s">
        <v>240</v>
      </c>
      <c r="FD3327" s="5" t="s">
        <v>240</v>
      </c>
      <c r="FE3327" s="5" t="s">
        <v>240</v>
      </c>
      <c r="FF3327" s="5" t="s">
        <v>240</v>
      </c>
      <c r="FG3327" s="5" t="s">
        <v>240</v>
      </c>
      <c r="FH3327" s="5" t="s">
        <v>240</v>
      </c>
      <c r="FI3327" s="5" t="s">
        <v>240</v>
      </c>
      <c r="FJ3327" s="5" t="s">
        <v>240</v>
      </c>
      <c r="FK3327" s="5" t="s">
        <v>240</v>
      </c>
      <c r="FL3327" s="5" t="s">
        <v>240</v>
      </c>
      <c r="FM3327" s="5" t="s">
        <v>240</v>
      </c>
      <c r="FN3327" s="5" t="s">
        <v>240</v>
      </c>
      <c r="FO3327" s="5" t="s">
        <v>240</v>
      </c>
      <c r="FP3327" s="5" t="s">
        <v>240</v>
      </c>
      <c r="FQ3327" s="5" t="s">
        <v>240</v>
      </c>
      <c r="FR3327" s="5" t="s">
        <v>240</v>
      </c>
      <c r="FS3327" s="5" t="s">
        <v>240</v>
      </c>
      <c r="FT3327" s="5" t="s">
        <v>240</v>
      </c>
      <c r="FU3327" s="5" t="s">
        <v>240</v>
      </c>
      <c r="FV3327" s="5" t="s">
        <v>240</v>
      </c>
      <c r="FW3327" s="5" t="s">
        <v>240</v>
      </c>
      <c r="FX3327" s="5" t="s">
        <v>240</v>
      </c>
      <c r="FY3327" s="5" t="s">
        <v>240</v>
      </c>
      <c r="FZ3327" s="5" t="s">
        <v>240</v>
      </c>
      <c r="GA3327" s="5" t="s">
        <v>240</v>
      </c>
      <c r="GB3327" s="5" t="s">
        <v>240</v>
      </c>
      <c r="GC3327" s="5" t="s">
        <v>240</v>
      </c>
      <c r="GD3327" s="5" t="s">
        <v>240</v>
      </c>
      <c r="GE3327" s="5" t="s">
        <v>240</v>
      </c>
      <c r="GF3327" s="5" t="s">
        <v>240</v>
      </c>
      <c r="GG3327" s="5" t="s">
        <v>240</v>
      </c>
      <c r="GH3327" s="5" t="s">
        <v>240</v>
      </c>
      <c r="GI3327" s="5" t="s">
        <v>240</v>
      </c>
      <c r="GJ3327" s="5" t="s">
        <v>240</v>
      </c>
      <c r="GK3327" s="5" t="s">
        <v>240</v>
      </c>
      <c r="GL3327" s="5" t="s">
        <v>240</v>
      </c>
      <c r="GM3327" s="5" t="s">
        <v>240</v>
      </c>
      <c r="GN3327" s="5" t="s">
        <v>240</v>
      </c>
      <c r="GO3327" s="5" t="s">
        <v>240</v>
      </c>
      <c r="GP3327" s="5" t="s">
        <v>240</v>
      </c>
      <c r="GQ3327" s="5" t="s">
        <v>240</v>
      </c>
      <c r="GR3327" s="5" t="s">
        <v>240</v>
      </c>
      <c r="GS3327" s="5" t="s">
        <v>240</v>
      </c>
      <c r="GT3327" s="5" t="s">
        <v>240</v>
      </c>
      <c r="GU3327" s="5" t="s">
        <v>240</v>
      </c>
      <c r="GV3327" s="5" t="s">
        <v>240</v>
      </c>
      <c r="GW3327" s="5" t="s">
        <v>240</v>
      </c>
      <c r="GX3327" s="5" t="s">
        <v>240</v>
      </c>
      <c r="GY3327" s="5" t="s">
        <v>240</v>
      </c>
      <c r="GZ3327" s="5" t="s">
        <v>240</v>
      </c>
      <c r="HA3327" s="5" t="s">
        <v>240</v>
      </c>
      <c r="HB3327" s="5" t="s">
        <v>240</v>
      </c>
      <c r="HC3327" s="5" t="s">
        <v>240</v>
      </c>
      <c r="HD3327" s="5" t="s">
        <v>240</v>
      </c>
      <c r="HE3327" s="5" t="s">
        <v>240</v>
      </c>
      <c r="HF3327" s="5" t="s">
        <v>240</v>
      </c>
      <c r="HG3327" s="5" t="s">
        <v>240</v>
      </c>
      <c r="HH3327" s="5" t="s">
        <v>240</v>
      </c>
      <c r="HI3327" s="5" t="s">
        <v>240</v>
      </c>
      <c r="HJ3327" s="5" t="s">
        <v>240</v>
      </c>
      <c r="HK3327" s="5" t="s">
        <v>240</v>
      </c>
      <c r="HL3327" s="5" t="s">
        <v>240</v>
      </c>
      <c r="HM3327" s="5" t="s">
        <v>240</v>
      </c>
      <c r="HN3327" s="5" t="s">
        <v>240</v>
      </c>
      <c r="HO3327" s="5" t="s">
        <v>312</v>
      </c>
      <c r="HP3327" s="5" t="s">
        <v>240</v>
      </c>
      <c r="HQ3327" s="5" t="s">
        <v>240</v>
      </c>
      <c r="HR3327" s="5" t="s">
        <v>240</v>
      </c>
      <c r="HS3327" s="5" t="s">
        <v>240</v>
      </c>
      <c r="HT3327" s="5" t="s">
        <v>240</v>
      </c>
      <c r="HU3327" s="5" t="s">
        <v>240</v>
      </c>
      <c r="HV3327" s="5" t="s">
        <v>240</v>
      </c>
      <c r="HW3327" s="5" t="s">
        <v>240</v>
      </c>
      <c r="HX3327" s="5" t="s">
        <v>240</v>
      </c>
      <c r="HY3327" s="5" t="s">
        <v>240</v>
      </c>
      <c r="HZ3327" s="5" t="s">
        <v>240</v>
      </c>
      <c r="IA3327" s="5" t="s">
        <v>240</v>
      </c>
      <c r="IB3327" s="5" t="s">
        <v>240</v>
      </c>
      <c r="IC3327" s="5" t="s">
        <v>240</v>
      </c>
      <c r="ID3327" s="5" t="s">
        <v>240</v>
      </c>
      <c r="IE3327" s="5" t="s">
        <v>240</v>
      </c>
      <c r="IF3327" s="5" t="s">
        <v>240</v>
      </c>
    </row>
    <row r="3328" spans="1:240" x14ac:dyDescent="0.4">
      <c r="A3328" s="5">
        <v>8870</v>
      </c>
      <c r="B3328" s="5">
        <v>1</v>
      </c>
      <c r="C3328" s="5">
        <v>1</v>
      </c>
      <c r="D3328" s="5" t="s">
        <v>723</v>
      </c>
      <c r="E3328" s="5" t="s">
        <v>725</v>
      </c>
      <c r="F3328" s="5" t="s">
        <v>730</v>
      </c>
      <c r="G3328" s="5" t="s">
        <v>726</v>
      </c>
      <c r="H3328" s="6" t="s">
        <v>6305</v>
      </c>
      <c r="I3328" s="5" t="s">
        <v>990</v>
      </c>
      <c r="J3328" s="8">
        <f>1648</f>
        <v>1648</v>
      </c>
      <c r="K3328" s="5" t="s">
        <v>308</v>
      </c>
      <c r="L3328" s="7">
        <f>0</f>
        <v>0</v>
      </c>
      <c r="M3328" s="7">
        <f>0</f>
        <v>0</v>
      </c>
      <c r="N3328" s="5" t="s">
        <v>242</v>
      </c>
      <c r="O3328" s="5">
        <v>1</v>
      </c>
      <c r="P3328" s="5" t="s">
        <v>294</v>
      </c>
      <c r="Q3328" s="5" t="s">
        <v>3678</v>
      </c>
      <c r="R3328" s="5" t="s">
        <v>240</v>
      </c>
      <c r="S3328" s="5" t="s">
        <v>240</v>
      </c>
      <c r="T3328" s="5" t="s">
        <v>243</v>
      </c>
      <c r="U3328" s="5" t="s">
        <v>244</v>
      </c>
      <c r="V3328" s="5" t="s">
        <v>240</v>
      </c>
      <c r="W3328" s="5" t="s">
        <v>240</v>
      </c>
      <c r="X3328" s="5" t="s">
        <v>240</v>
      </c>
      <c r="Y3328" s="5" t="s">
        <v>240</v>
      </c>
      <c r="Z3328" s="6" t="s">
        <v>298</v>
      </c>
      <c r="AA3328" s="6" t="s">
        <v>240</v>
      </c>
      <c r="AB3328" s="6" t="s">
        <v>240</v>
      </c>
      <c r="AC3328" s="5" t="s">
        <v>240</v>
      </c>
      <c r="AD3328" s="6" t="s">
        <v>240</v>
      </c>
      <c r="AE3328" s="6" t="s">
        <v>299</v>
      </c>
      <c r="AF3328" s="5" t="s">
        <v>248</v>
      </c>
      <c r="AG3328" s="5" t="s">
        <v>249</v>
      </c>
      <c r="AH3328" s="5" t="s">
        <v>240</v>
      </c>
      <c r="AI3328" s="5" t="s">
        <v>240</v>
      </c>
      <c r="AJ3328" s="5" t="s">
        <v>240</v>
      </c>
      <c r="AK3328" s="5" t="s">
        <v>240</v>
      </c>
      <c r="AL3328" s="5" t="s">
        <v>240</v>
      </c>
      <c r="AM3328" s="5" t="s">
        <v>240</v>
      </c>
      <c r="AN3328" s="5" t="s">
        <v>240</v>
      </c>
      <c r="AO3328" s="5" t="s">
        <v>240</v>
      </c>
      <c r="AP3328" s="6" t="s">
        <v>240</v>
      </c>
      <c r="AQ3328" s="6" t="s">
        <v>240</v>
      </c>
      <c r="AR3328" s="6" t="s">
        <v>240</v>
      </c>
      <c r="AS3328" s="6" t="s">
        <v>240</v>
      </c>
      <c r="AT3328" s="5" t="s">
        <v>240</v>
      </c>
      <c r="AU3328" s="5" t="s">
        <v>729</v>
      </c>
      <c r="AV3328" s="5" t="s">
        <v>729</v>
      </c>
      <c r="AW3328" s="5" t="s">
        <v>251</v>
      </c>
      <c r="AX3328" s="5" t="s">
        <v>252</v>
      </c>
      <c r="AY3328" s="5" t="s">
        <v>253</v>
      </c>
      <c r="AZ3328" s="5" t="s">
        <v>240</v>
      </c>
      <c r="BA3328" s="5" t="s">
        <v>255</v>
      </c>
      <c r="BB3328" s="5" t="s">
        <v>731</v>
      </c>
      <c r="BD3328" s="5" t="s">
        <v>240</v>
      </c>
      <c r="BF3328" s="5" t="s">
        <v>732</v>
      </c>
      <c r="BG3328" s="6" t="s">
        <v>733</v>
      </c>
      <c r="BH3328" s="5" t="s">
        <v>734</v>
      </c>
      <c r="BI3328" s="5" t="s">
        <v>734</v>
      </c>
      <c r="BJ3328" s="5" t="s">
        <v>240</v>
      </c>
      <c r="BK3328" s="7">
        <f>1</f>
        <v>1</v>
      </c>
      <c r="BL3328" s="7">
        <f>1</f>
        <v>1</v>
      </c>
      <c r="BM3328" s="5" t="s">
        <v>258</v>
      </c>
      <c r="BN3328" s="5" t="s">
        <v>259</v>
      </c>
      <c r="BO3328" s="5" t="s">
        <v>240</v>
      </c>
      <c r="BP3328" s="5" t="s">
        <v>240</v>
      </c>
      <c r="BQ3328" s="5" t="s">
        <v>240</v>
      </c>
      <c r="BR3328" s="5" t="s">
        <v>240</v>
      </c>
      <c r="BS3328" s="5" t="s">
        <v>240</v>
      </c>
      <c r="BT3328" s="5" t="s">
        <v>240</v>
      </c>
      <c r="BU3328" s="5" t="s">
        <v>240</v>
      </c>
      <c r="BV3328" s="5" t="s">
        <v>240</v>
      </c>
      <c r="BW3328" s="6" t="s">
        <v>240</v>
      </c>
      <c r="BX3328" s="5" t="s">
        <v>240</v>
      </c>
      <c r="BY3328" s="5" t="s">
        <v>240</v>
      </c>
      <c r="BZ3328" s="5" t="s">
        <v>240</v>
      </c>
      <c r="CA3328" s="5" t="s">
        <v>259</v>
      </c>
      <c r="CB3328" s="5" t="s">
        <v>240</v>
      </c>
      <c r="CC3328" s="5" t="s">
        <v>240</v>
      </c>
      <c r="CD3328" s="5" t="s">
        <v>240</v>
      </c>
      <c r="CE3328" s="5" t="s">
        <v>240</v>
      </c>
      <c r="CF3328" s="5" t="s">
        <v>240</v>
      </c>
      <c r="CG3328" s="5" t="s">
        <v>304</v>
      </c>
      <c r="CH3328" s="5" t="s">
        <v>305</v>
      </c>
      <c r="CI3328" s="5" t="s">
        <v>240</v>
      </c>
      <c r="CK3328" s="5" t="s">
        <v>3681</v>
      </c>
      <c r="CL3328" s="6" t="s">
        <v>261</v>
      </c>
      <c r="CM3328" s="5" t="s">
        <v>262</v>
      </c>
      <c r="CN3328" s="5" t="s">
        <v>263</v>
      </c>
      <c r="CO3328" s="5" t="s">
        <v>264</v>
      </c>
      <c r="CP3328" s="5" t="s">
        <v>240</v>
      </c>
      <c r="CQ3328" s="5">
        <v>0</v>
      </c>
      <c r="CR3328" s="5" t="s">
        <v>735</v>
      </c>
      <c r="CS3328" s="5" t="s">
        <v>307</v>
      </c>
      <c r="CT3328" s="5" t="s">
        <v>307</v>
      </c>
      <c r="CU3328" s="5" t="s">
        <v>260</v>
      </c>
      <c r="CV3328" s="5" t="s">
        <v>612</v>
      </c>
      <c r="CW3328" s="8">
        <f>1</f>
        <v>1</v>
      </c>
      <c r="CX3328" s="7">
        <f>1</f>
        <v>1</v>
      </c>
      <c r="CY3328" s="7">
        <f>0</f>
        <v>0</v>
      </c>
      <c r="DA3328" s="7">
        <f>1</f>
        <v>1</v>
      </c>
      <c r="DB3328" s="7" t="s">
        <v>240</v>
      </c>
      <c r="DC3328" s="5" t="s">
        <v>240</v>
      </c>
      <c r="DD3328" s="5" t="s">
        <v>240</v>
      </c>
      <c r="DE3328" s="5" t="s">
        <v>240</v>
      </c>
      <c r="DF3328" s="5" t="s">
        <v>240</v>
      </c>
      <c r="DG3328" s="7">
        <f>0</f>
        <v>0</v>
      </c>
      <c r="DI3328" s="5" t="s">
        <v>240</v>
      </c>
      <c r="DJ3328" s="5" t="s">
        <v>240</v>
      </c>
      <c r="DK3328" s="5" t="s">
        <v>240</v>
      </c>
      <c r="DL3328" s="5" t="s">
        <v>240</v>
      </c>
      <c r="DM3328" s="5" t="s">
        <v>240</v>
      </c>
      <c r="DN3328" s="5" t="s">
        <v>240</v>
      </c>
      <c r="DO3328" s="7" t="s">
        <v>240</v>
      </c>
      <c r="DP3328" s="5" t="s">
        <v>240</v>
      </c>
      <c r="DQ3328" s="5" t="s">
        <v>240</v>
      </c>
      <c r="DR3328" s="5" t="s">
        <v>731</v>
      </c>
      <c r="DS3328" s="5" t="s">
        <v>731</v>
      </c>
      <c r="DT3328" s="5" t="s">
        <v>240</v>
      </c>
      <c r="DU3328" s="5" t="s">
        <v>240</v>
      </c>
      <c r="DV3328" s="5" t="s">
        <v>5063</v>
      </c>
      <c r="DW3328" s="5" t="s">
        <v>785</v>
      </c>
      <c r="DX3328" s="5" t="s">
        <v>240</v>
      </c>
      <c r="DY3328" s="5" t="s">
        <v>240</v>
      </c>
      <c r="DZ3328" s="5" t="s">
        <v>240</v>
      </c>
      <c r="EA3328" s="5" t="s">
        <v>240</v>
      </c>
      <c r="EB3328" s="5" t="s">
        <v>240</v>
      </c>
      <c r="EC3328" s="5" t="s">
        <v>240</v>
      </c>
      <c r="ED3328" s="5" t="s">
        <v>240</v>
      </c>
      <c r="EE3328" s="5" t="s">
        <v>240</v>
      </c>
      <c r="EF3328" s="5" t="s">
        <v>240</v>
      </c>
      <c r="EG3328" s="5" t="s">
        <v>240</v>
      </c>
      <c r="EH3328" s="5" t="s">
        <v>240</v>
      </c>
      <c r="EI3328" s="5" t="s">
        <v>240</v>
      </c>
      <c r="EJ3328" s="5" t="s">
        <v>240</v>
      </c>
      <c r="EK3328" s="5" t="s">
        <v>240</v>
      </c>
      <c r="EL3328" s="5" t="s">
        <v>240</v>
      </c>
      <c r="EM3328" s="5" t="s">
        <v>240</v>
      </c>
      <c r="EN3328" s="5" t="s">
        <v>240</v>
      </c>
      <c r="EO3328" s="5" t="s">
        <v>240</v>
      </c>
      <c r="EP3328" s="5" t="s">
        <v>240</v>
      </c>
      <c r="EQ3328" s="5" t="s">
        <v>240</v>
      </c>
      <c r="ER3328" s="5" t="s">
        <v>240</v>
      </c>
      <c r="ES3328" s="5" t="s">
        <v>240</v>
      </c>
      <c r="ET3328" s="5" t="s">
        <v>240</v>
      </c>
      <c r="EU3328" s="5" t="s">
        <v>240</v>
      </c>
      <c r="EV3328" s="5" t="s">
        <v>240</v>
      </c>
      <c r="EW3328" s="5" t="s">
        <v>240</v>
      </c>
      <c r="EX3328" s="5" t="s">
        <v>240</v>
      </c>
      <c r="EY3328" s="5" t="s">
        <v>240</v>
      </c>
      <c r="EZ3328" s="5" t="s">
        <v>240</v>
      </c>
      <c r="FA3328" s="5" t="s">
        <v>240</v>
      </c>
      <c r="FB3328" s="5" t="s">
        <v>240</v>
      </c>
      <c r="FC3328" s="5" t="s">
        <v>240</v>
      </c>
      <c r="FD3328" s="5" t="s">
        <v>240</v>
      </c>
      <c r="FE3328" s="5" t="s">
        <v>240</v>
      </c>
      <c r="FF3328" s="5" t="s">
        <v>240</v>
      </c>
      <c r="FG3328" s="5" t="s">
        <v>240</v>
      </c>
      <c r="FH3328" s="5" t="s">
        <v>240</v>
      </c>
      <c r="FI3328" s="5" t="s">
        <v>240</v>
      </c>
      <c r="FJ3328" s="5" t="s">
        <v>240</v>
      </c>
      <c r="FK3328" s="5" t="s">
        <v>240</v>
      </c>
      <c r="FL3328" s="5" t="s">
        <v>240</v>
      </c>
      <c r="FM3328" s="5" t="s">
        <v>240</v>
      </c>
      <c r="FN3328" s="5" t="s">
        <v>240</v>
      </c>
      <c r="FO3328" s="5" t="s">
        <v>240</v>
      </c>
      <c r="FP3328" s="5" t="s">
        <v>240</v>
      </c>
      <c r="FQ3328" s="5" t="s">
        <v>240</v>
      </c>
      <c r="FR3328" s="5" t="s">
        <v>240</v>
      </c>
      <c r="FS3328" s="5" t="s">
        <v>240</v>
      </c>
      <c r="FT3328" s="5" t="s">
        <v>240</v>
      </c>
      <c r="FU3328" s="5" t="s">
        <v>240</v>
      </c>
      <c r="FV3328" s="5" t="s">
        <v>240</v>
      </c>
      <c r="FW3328" s="5" t="s">
        <v>240</v>
      </c>
      <c r="FX3328" s="5" t="s">
        <v>240</v>
      </c>
      <c r="FY3328" s="5" t="s">
        <v>240</v>
      </c>
      <c r="FZ3328" s="5" t="s">
        <v>240</v>
      </c>
      <c r="GA3328" s="5" t="s">
        <v>240</v>
      </c>
      <c r="GB3328" s="5" t="s">
        <v>240</v>
      </c>
      <c r="GC3328" s="5" t="s">
        <v>240</v>
      </c>
      <c r="GD3328" s="5" t="s">
        <v>240</v>
      </c>
      <c r="GE3328" s="5" t="s">
        <v>240</v>
      </c>
      <c r="GF3328" s="5" t="s">
        <v>240</v>
      </c>
      <c r="GG3328" s="5" t="s">
        <v>240</v>
      </c>
      <c r="GH3328" s="5" t="s">
        <v>240</v>
      </c>
      <c r="GI3328" s="5" t="s">
        <v>240</v>
      </c>
      <c r="GJ3328" s="5" t="s">
        <v>240</v>
      </c>
      <c r="GK3328" s="5" t="s">
        <v>240</v>
      </c>
      <c r="GL3328" s="5" t="s">
        <v>240</v>
      </c>
      <c r="GM3328" s="5" t="s">
        <v>240</v>
      </c>
      <c r="GN3328" s="5" t="s">
        <v>240</v>
      </c>
      <c r="GO3328" s="5" t="s">
        <v>240</v>
      </c>
      <c r="GP3328" s="5" t="s">
        <v>240</v>
      </c>
      <c r="GQ3328" s="5" t="s">
        <v>240</v>
      </c>
      <c r="GR3328" s="5" t="s">
        <v>240</v>
      </c>
      <c r="GS3328" s="5" t="s">
        <v>240</v>
      </c>
      <c r="GT3328" s="5" t="s">
        <v>240</v>
      </c>
      <c r="GU3328" s="5" t="s">
        <v>240</v>
      </c>
      <c r="GV3328" s="5" t="s">
        <v>240</v>
      </c>
      <c r="GW3328" s="5" t="s">
        <v>240</v>
      </c>
      <c r="GX3328" s="5" t="s">
        <v>240</v>
      </c>
      <c r="GY3328" s="5" t="s">
        <v>240</v>
      </c>
      <c r="GZ3328" s="5" t="s">
        <v>240</v>
      </c>
      <c r="HA3328" s="5" t="s">
        <v>240</v>
      </c>
      <c r="HB3328" s="5" t="s">
        <v>240</v>
      </c>
      <c r="HC3328" s="5" t="s">
        <v>240</v>
      </c>
      <c r="HD3328" s="5" t="s">
        <v>240</v>
      </c>
      <c r="HE3328" s="5" t="s">
        <v>240</v>
      </c>
      <c r="HF3328" s="5" t="s">
        <v>240</v>
      </c>
      <c r="HG3328" s="5" t="s">
        <v>240</v>
      </c>
      <c r="HH3328" s="5" t="s">
        <v>240</v>
      </c>
      <c r="HI3328" s="5" t="s">
        <v>240</v>
      </c>
      <c r="HJ3328" s="5" t="s">
        <v>240</v>
      </c>
      <c r="HK3328" s="5" t="s">
        <v>240</v>
      </c>
      <c r="HL3328" s="5" t="s">
        <v>240</v>
      </c>
      <c r="HM3328" s="5" t="s">
        <v>240</v>
      </c>
      <c r="HN3328" s="5" t="s">
        <v>240</v>
      </c>
      <c r="HO3328" s="5" t="s">
        <v>312</v>
      </c>
      <c r="HP3328" s="5" t="s">
        <v>240</v>
      </c>
      <c r="HQ3328" s="5" t="s">
        <v>240</v>
      </c>
      <c r="HR3328" s="5" t="s">
        <v>240</v>
      </c>
      <c r="HS3328" s="5" t="s">
        <v>240</v>
      </c>
      <c r="HT3328" s="5" t="s">
        <v>240</v>
      </c>
      <c r="HU3328" s="5" t="s">
        <v>240</v>
      </c>
      <c r="HV3328" s="5" t="s">
        <v>240</v>
      </c>
      <c r="HW3328" s="5" t="s">
        <v>240</v>
      </c>
      <c r="HX3328" s="5" t="s">
        <v>240</v>
      </c>
      <c r="HY3328" s="5" t="s">
        <v>240</v>
      </c>
      <c r="HZ3328" s="5" t="s">
        <v>240</v>
      </c>
      <c r="IA3328" s="5" t="s">
        <v>240</v>
      </c>
      <c r="IB3328" s="5" t="s">
        <v>240</v>
      </c>
      <c r="IC3328" s="5" t="s">
        <v>240</v>
      </c>
      <c r="ID3328" s="5" t="s">
        <v>240</v>
      </c>
      <c r="IE3328" s="5" t="s">
        <v>240</v>
      </c>
      <c r="IF3328" s="5" t="s">
        <v>240</v>
      </c>
    </row>
    <row r="3329" spans="1:240" x14ac:dyDescent="0.4">
      <c r="A3329" s="5">
        <v>8871</v>
      </c>
      <c r="B3329" s="5">
        <v>1</v>
      </c>
      <c r="C3329" s="5">
        <v>1</v>
      </c>
      <c r="D3329" s="5" t="s">
        <v>723</v>
      </c>
      <c r="E3329" s="5" t="s">
        <v>725</v>
      </c>
      <c r="F3329" s="5" t="s">
        <v>730</v>
      </c>
      <c r="G3329" s="5" t="s">
        <v>726</v>
      </c>
      <c r="H3329" s="6" t="s">
        <v>6663</v>
      </c>
      <c r="I3329" s="5" t="s">
        <v>990</v>
      </c>
      <c r="J3329" s="8">
        <f>57</f>
        <v>57</v>
      </c>
      <c r="K3329" s="5" t="s">
        <v>308</v>
      </c>
      <c r="L3329" s="7">
        <f>0</f>
        <v>0</v>
      </c>
      <c r="M3329" s="7">
        <f>0</f>
        <v>0</v>
      </c>
      <c r="N3329" s="5" t="s">
        <v>242</v>
      </c>
      <c r="O3329" s="5">
        <v>1</v>
      </c>
      <c r="P3329" s="5" t="s">
        <v>294</v>
      </c>
      <c r="Q3329" s="5" t="s">
        <v>3678</v>
      </c>
      <c r="R3329" s="5" t="s">
        <v>240</v>
      </c>
      <c r="S3329" s="5" t="s">
        <v>240</v>
      </c>
      <c r="T3329" s="5" t="s">
        <v>243</v>
      </c>
      <c r="U3329" s="5" t="s">
        <v>244</v>
      </c>
      <c r="V3329" s="5" t="s">
        <v>240</v>
      </c>
      <c r="W3329" s="5" t="s">
        <v>240</v>
      </c>
      <c r="X3329" s="5" t="s">
        <v>240</v>
      </c>
      <c r="Y3329" s="5" t="s">
        <v>240</v>
      </c>
      <c r="Z3329" s="6" t="s">
        <v>298</v>
      </c>
      <c r="AA3329" s="6" t="s">
        <v>240</v>
      </c>
      <c r="AB3329" s="6" t="s">
        <v>240</v>
      </c>
      <c r="AC3329" s="5" t="s">
        <v>240</v>
      </c>
      <c r="AD3329" s="6" t="s">
        <v>240</v>
      </c>
      <c r="AE3329" s="6" t="s">
        <v>299</v>
      </c>
      <c r="AF3329" s="5" t="s">
        <v>248</v>
      </c>
      <c r="AG3329" s="5" t="s">
        <v>249</v>
      </c>
      <c r="AH3329" s="5" t="s">
        <v>240</v>
      </c>
      <c r="AI3329" s="5" t="s">
        <v>240</v>
      </c>
      <c r="AJ3329" s="5" t="s">
        <v>240</v>
      </c>
      <c r="AK3329" s="5" t="s">
        <v>240</v>
      </c>
      <c r="AL3329" s="5" t="s">
        <v>240</v>
      </c>
      <c r="AM3329" s="5" t="s">
        <v>240</v>
      </c>
      <c r="AN3329" s="5" t="s">
        <v>240</v>
      </c>
      <c r="AO3329" s="5" t="s">
        <v>240</v>
      </c>
      <c r="AP3329" s="6" t="s">
        <v>240</v>
      </c>
      <c r="AQ3329" s="6" t="s">
        <v>240</v>
      </c>
      <c r="AR3329" s="6" t="s">
        <v>240</v>
      </c>
      <c r="AS3329" s="6" t="s">
        <v>240</v>
      </c>
      <c r="AT3329" s="5" t="s">
        <v>240</v>
      </c>
      <c r="AU3329" s="5" t="s">
        <v>729</v>
      </c>
      <c r="AV3329" s="5" t="s">
        <v>729</v>
      </c>
      <c r="AW3329" s="5" t="s">
        <v>251</v>
      </c>
      <c r="AX3329" s="5" t="s">
        <v>252</v>
      </c>
      <c r="AY3329" s="5" t="s">
        <v>253</v>
      </c>
      <c r="AZ3329" s="5" t="s">
        <v>240</v>
      </c>
      <c r="BA3329" s="5" t="s">
        <v>255</v>
      </c>
      <c r="BB3329" s="5" t="s">
        <v>731</v>
      </c>
      <c r="BD3329" s="5" t="s">
        <v>240</v>
      </c>
      <c r="BF3329" s="5" t="s">
        <v>732</v>
      </c>
      <c r="BG3329" s="6" t="s">
        <v>733</v>
      </c>
      <c r="BH3329" s="5" t="s">
        <v>734</v>
      </c>
      <c r="BI3329" s="5" t="s">
        <v>734</v>
      </c>
      <c r="BJ3329" s="5" t="s">
        <v>240</v>
      </c>
      <c r="BK3329" s="7">
        <f>1</f>
        <v>1</v>
      </c>
      <c r="BL3329" s="7">
        <f>1</f>
        <v>1</v>
      </c>
      <c r="BM3329" s="5" t="s">
        <v>258</v>
      </c>
      <c r="BN3329" s="5" t="s">
        <v>259</v>
      </c>
      <c r="BO3329" s="5" t="s">
        <v>240</v>
      </c>
      <c r="BP3329" s="5" t="s">
        <v>240</v>
      </c>
      <c r="BQ3329" s="5" t="s">
        <v>240</v>
      </c>
      <c r="BR3329" s="5" t="s">
        <v>240</v>
      </c>
      <c r="BS3329" s="5" t="s">
        <v>240</v>
      </c>
      <c r="BT3329" s="5" t="s">
        <v>240</v>
      </c>
      <c r="BU3329" s="5" t="s">
        <v>240</v>
      </c>
      <c r="BV3329" s="5" t="s">
        <v>240</v>
      </c>
      <c r="BW3329" s="6" t="s">
        <v>240</v>
      </c>
      <c r="BX3329" s="5" t="s">
        <v>240</v>
      </c>
      <c r="BY3329" s="5" t="s">
        <v>240</v>
      </c>
      <c r="BZ3329" s="5" t="s">
        <v>240</v>
      </c>
      <c r="CA3329" s="5" t="s">
        <v>259</v>
      </c>
      <c r="CB3329" s="5" t="s">
        <v>240</v>
      </c>
      <c r="CC3329" s="5" t="s">
        <v>240</v>
      </c>
      <c r="CD3329" s="5" t="s">
        <v>240</v>
      </c>
      <c r="CE3329" s="5" t="s">
        <v>240</v>
      </c>
      <c r="CF3329" s="5" t="s">
        <v>240</v>
      </c>
      <c r="CG3329" s="5" t="s">
        <v>304</v>
      </c>
      <c r="CH3329" s="5" t="s">
        <v>305</v>
      </c>
      <c r="CI3329" s="5" t="s">
        <v>240</v>
      </c>
      <c r="CK3329" s="5" t="s">
        <v>3681</v>
      </c>
      <c r="CL3329" s="6" t="s">
        <v>261</v>
      </c>
      <c r="CM3329" s="5" t="s">
        <v>262</v>
      </c>
      <c r="CN3329" s="5" t="s">
        <v>263</v>
      </c>
      <c r="CO3329" s="5" t="s">
        <v>264</v>
      </c>
      <c r="CP3329" s="5" t="s">
        <v>240</v>
      </c>
      <c r="CQ3329" s="5">
        <v>0</v>
      </c>
      <c r="CR3329" s="5" t="s">
        <v>735</v>
      </c>
      <c r="CS3329" s="5" t="s">
        <v>307</v>
      </c>
      <c r="CT3329" s="5" t="s">
        <v>307</v>
      </c>
      <c r="CU3329" s="5" t="s">
        <v>260</v>
      </c>
      <c r="CV3329" s="5" t="s">
        <v>612</v>
      </c>
      <c r="CW3329" s="8">
        <f>1</f>
        <v>1</v>
      </c>
      <c r="CX3329" s="7">
        <f>1</f>
        <v>1</v>
      </c>
      <c r="CY3329" s="7">
        <f>0</f>
        <v>0</v>
      </c>
      <c r="DA3329" s="7">
        <f>1</f>
        <v>1</v>
      </c>
      <c r="DB3329" s="7" t="s">
        <v>240</v>
      </c>
      <c r="DC3329" s="5" t="s">
        <v>240</v>
      </c>
      <c r="DD3329" s="5" t="s">
        <v>240</v>
      </c>
      <c r="DE3329" s="5" t="s">
        <v>240</v>
      </c>
      <c r="DF3329" s="5" t="s">
        <v>240</v>
      </c>
      <c r="DG3329" s="7">
        <f>0</f>
        <v>0</v>
      </c>
      <c r="DI3329" s="5" t="s">
        <v>240</v>
      </c>
      <c r="DJ3329" s="5" t="s">
        <v>240</v>
      </c>
      <c r="DK3329" s="5" t="s">
        <v>240</v>
      </c>
      <c r="DL3329" s="5" t="s">
        <v>240</v>
      </c>
      <c r="DM3329" s="5" t="s">
        <v>240</v>
      </c>
      <c r="DN3329" s="5" t="s">
        <v>240</v>
      </c>
      <c r="DO3329" s="7" t="s">
        <v>240</v>
      </c>
      <c r="DP3329" s="5" t="s">
        <v>240</v>
      </c>
      <c r="DQ3329" s="5" t="s">
        <v>240</v>
      </c>
      <c r="DR3329" s="5" t="s">
        <v>731</v>
      </c>
      <c r="DS3329" s="5" t="s">
        <v>731</v>
      </c>
      <c r="DT3329" s="5" t="s">
        <v>240</v>
      </c>
      <c r="DU3329" s="5" t="s">
        <v>240</v>
      </c>
      <c r="DV3329" s="5" t="s">
        <v>5063</v>
      </c>
      <c r="DW3329" s="5" t="s">
        <v>672</v>
      </c>
      <c r="DX3329" s="5" t="s">
        <v>240</v>
      </c>
      <c r="DY3329" s="5" t="s">
        <v>240</v>
      </c>
      <c r="DZ3329" s="5" t="s">
        <v>240</v>
      </c>
      <c r="EA3329" s="5" t="s">
        <v>240</v>
      </c>
      <c r="EB3329" s="5" t="s">
        <v>240</v>
      </c>
      <c r="EC3329" s="5" t="s">
        <v>240</v>
      </c>
      <c r="ED3329" s="5" t="s">
        <v>240</v>
      </c>
      <c r="EE3329" s="5" t="s">
        <v>240</v>
      </c>
      <c r="EF3329" s="5" t="s">
        <v>240</v>
      </c>
      <c r="EG3329" s="5" t="s">
        <v>240</v>
      </c>
      <c r="EH3329" s="5" t="s">
        <v>240</v>
      </c>
      <c r="EI3329" s="5" t="s">
        <v>240</v>
      </c>
      <c r="EJ3329" s="5" t="s">
        <v>240</v>
      </c>
      <c r="EK3329" s="5" t="s">
        <v>240</v>
      </c>
      <c r="EL3329" s="5" t="s">
        <v>240</v>
      </c>
      <c r="EM3329" s="5" t="s">
        <v>240</v>
      </c>
      <c r="EN3329" s="5" t="s">
        <v>240</v>
      </c>
      <c r="EO3329" s="5" t="s">
        <v>240</v>
      </c>
      <c r="EP3329" s="5" t="s">
        <v>240</v>
      </c>
      <c r="EQ3329" s="5" t="s">
        <v>240</v>
      </c>
      <c r="ER3329" s="5" t="s">
        <v>240</v>
      </c>
      <c r="ES3329" s="5" t="s">
        <v>240</v>
      </c>
      <c r="ET3329" s="5" t="s">
        <v>240</v>
      </c>
      <c r="EU3329" s="5" t="s">
        <v>240</v>
      </c>
      <c r="EV3329" s="5" t="s">
        <v>240</v>
      </c>
      <c r="EW3329" s="5" t="s">
        <v>240</v>
      </c>
      <c r="EX3329" s="5" t="s">
        <v>240</v>
      </c>
      <c r="EY3329" s="5" t="s">
        <v>240</v>
      </c>
      <c r="EZ3329" s="5" t="s">
        <v>240</v>
      </c>
      <c r="FA3329" s="5" t="s">
        <v>240</v>
      </c>
      <c r="FB3329" s="5" t="s">
        <v>240</v>
      </c>
      <c r="FC3329" s="5" t="s">
        <v>240</v>
      </c>
      <c r="FD3329" s="5" t="s">
        <v>240</v>
      </c>
      <c r="FE3329" s="5" t="s">
        <v>240</v>
      </c>
      <c r="FF3329" s="5" t="s">
        <v>240</v>
      </c>
      <c r="FG3329" s="5" t="s">
        <v>240</v>
      </c>
      <c r="FH3329" s="5" t="s">
        <v>240</v>
      </c>
      <c r="FI3329" s="5" t="s">
        <v>240</v>
      </c>
      <c r="FJ3329" s="5" t="s">
        <v>240</v>
      </c>
      <c r="FK3329" s="5" t="s">
        <v>240</v>
      </c>
      <c r="FL3329" s="5" t="s">
        <v>240</v>
      </c>
      <c r="FM3329" s="5" t="s">
        <v>240</v>
      </c>
      <c r="FN3329" s="5" t="s">
        <v>240</v>
      </c>
      <c r="FO3329" s="5" t="s">
        <v>240</v>
      </c>
      <c r="FP3329" s="5" t="s">
        <v>240</v>
      </c>
      <c r="FQ3329" s="5" t="s">
        <v>240</v>
      </c>
      <c r="FR3329" s="5" t="s">
        <v>240</v>
      </c>
      <c r="FS3329" s="5" t="s">
        <v>240</v>
      </c>
      <c r="FT3329" s="5" t="s">
        <v>240</v>
      </c>
      <c r="FU3329" s="5" t="s">
        <v>240</v>
      </c>
      <c r="FV3329" s="5" t="s">
        <v>240</v>
      </c>
      <c r="FW3329" s="5" t="s">
        <v>240</v>
      </c>
      <c r="FX3329" s="5" t="s">
        <v>240</v>
      </c>
      <c r="FY3329" s="5" t="s">
        <v>240</v>
      </c>
      <c r="FZ3329" s="5" t="s">
        <v>240</v>
      </c>
      <c r="GA3329" s="5" t="s">
        <v>240</v>
      </c>
      <c r="GB3329" s="5" t="s">
        <v>240</v>
      </c>
      <c r="GC3329" s="5" t="s">
        <v>240</v>
      </c>
      <c r="GD3329" s="5" t="s">
        <v>240</v>
      </c>
      <c r="GE3329" s="5" t="s">
        <v>240</v>
      </c>
      <c r="GF3329" s="5" t="s">
        <v>240</v>
      </c>
      <c r="GG3329" s="5" t="s">
        <v>240</v>
      </c>
      <c r="GH3329" s="5" t="s">
        <v>240</v>
      </c>
      <c r="GI3329" s="5" t="s">
        <v>240</v>
      </c>
      <c r="GJ3329" s="5" t="s">
        <v>240</v>
      </c>
      <c r="GK3329" s="5" t="s">
        <v>240</v>
      </c>
      <c r="GL3329" s="5" t="s">
        <v>240</v>
      </c>
      <c r="GM3329" s="5" t="s">
        <v>240</v>
      </c>
      <c r="GN3329" s="5" t="s">
        <v>240</v>
      </c>
      <c r="GO3329" s="5" t="s">
        <v>240</v>
      </c>
      <c r="GP3329" s="5" t="s">
        <v>240</v>
      </c>
      <c r="GQ3329" s="5" t="s">
        <v>240</v>
      </c>
      <c r="GR3329" s="5" t="s">
        <v>240</v>
      </c>
      <c r="GS3329" s="5" t="s">
        <v>240</v>
      </c>
      <c r="GT3329" s="5" t="s">
        <v>240</v>
      </c>
      <c r="GU3329" s="5" t="s">
        <v>240</v>
      </c>
      <c r="GV3329" s="5" t="s">
        <v>240</v>
      </c>
      <c r="GW3329" s="5" t="s">
        <v>240</v>
      </c>
      <c r="GX3329" s="5" t="s">
        <v>240</v>
      </c>
      <c r="GY3329" s="5" t="s">
        <v>240</v>
      </c>
      <c r="GZ3329" s="5" t="s">
        <v>240</v>
      </c>
      <c r="HA3329" s="5" t="s">
        <v>240</v>
      </c>
      <c r="HB3329" s="5" t="s">
        <v>240</v>
      </c>
      <c r="HC3329" s="5" t="s">
        <v>240</v>
      </c>
      <c r="HD3329" s="5" t="s">
        <v>240</v>
      </c>
      <c r="HE3329" s="5" t="s">
        <v>240</v>
      </c>
      <c r="HF3329" s="5" t="s">
        <v>240</v>
      </c>
      <c r="HG3329" s="5" t="s">
        <v>240</v>
      </c>
      <c r="HH3329" s="5" t="s">
        <v>240</v>
      </c>
      <c r="HI3329" s="5" t="s">
        <v>240</v>
      </c>
      <c r="HJ3329" s="5" t="s">
        <v>240</v>
      </c>
      <c r="HK3329" s="5" t="s">
        <v>240</v>
      </c>
      <c r="HL3329" s="5" t="s">
        <v>240</v>
      </c>
      <c r="HM3329" s="5" t="s">
        <v>240</v>
      </c>
      <c r="HN3329" s="5" t="s">
        <v>240</v>
      </c>
      <c r="HO3329" s="5" t="s">
        <v>312</v>
      </c>
      <c r="HP3329" s="5" t="s">
        <v>240</v>
      </c>
      <c r="HQ3329" s="5" t="s">
        <v>240</v>
      </c>
      <c r="HR3329" s="5" t="s">
        <v>240</v>
      </c>
      <c r="HS3329" s="5" t="s">
        <v>240</v>
      </c>
      <c r="HT3329" s="5" t="s">
        <v>240</v>
      </c>
      <c r="HU3329" s="5" t="s">
        <v>240</v>
      </c>
      <c r="HV3329" s="5" t="s">
        <v>240</v>
      </c>
      <c r="HW3329" s="5" t="s">
        <v>240</v>
      </c>
      <c r="HX3329" s="5" t="s">
        <v>240</v>
      </c>
      <c r="HY3329" s="5" t="s">
        <v>240</v>
      </c>
      <c r="HZ3329" s="5" t="s">
        <v>240</v>
      </c>
      <c r="IA3329" s="5" t="s">
        <v>240</v>
      </c>
      <c r="IB3329" s="5" t="s">
        <v>240</v>
      </c>
      <c r="IC3329" s="5" t="s">
        <v>240</v>
      </c>
      <c r="ID3329" s="5" t="s">
        <v>240</v>
      </c>
      <c r="IE3329" s="5" t="s">
        <v>240</v>
      </c>
      <c r="IF3329" s="5" t="s">
        <v>240</v>
      </c>
    </row>
    <row r="3330" spans="1:240" x14ac:dyDescent="0.4">
      <c r="A3330" s="5">
        <v>8872</v>
      </c>
      <c r="B3330" s="5">
        <v>1</v>
      </c>
      <c r="C3330" s="5">
        <v>1</v>
      </c>
      <c r="D3330" s="5" t="s">
        <v>723</v>
      </c>
      <c r="E3330" s="5" t="s">
        <v>725</v>
      </c>
      <c r="F3330" s="5" t="s">
        <v>730</v>
      </c>
      <c r="G3330" s="5" t="s">
        <v>726</v>
      </c>
      <c r="H3330" s="6" t="s">
        <v>6298</v>
      </c>
      <c r="I3330" s="5" t="s">
        <v>722</v>
      </c>
      <c r="J3330" s="8">
        <f>273</f>
        <v>273</v>
      </c>
      <c r="K3330" s="5" t="s">
        <v>308</v>
      </c>
      <c r="L3330" s="7">
        <f>0</f>
        <v>0</v>
      </c>
      <c r="M3330" s="7">
        <f>0</f>
        <v>0</v>
      </c>
      <c r="N3330" s="5" t="s">
        <v>242</v>
      </c>
      <c r="O3330" s="5">
        <v>1</v>
      </c>
      <c r="P3330" s="5" t="s">
        <v>294</v>
      </c>
      <c r="Q3330" s="5" t="s">
        <v>3678</v>
      </c>
      <c r="R3330" s="5" t="s">
        <v>240</v>
      </c>
      <c r="S3330" s="5" t="s">
        <v>240</v>
      </c>
      <c r="T3330" s="5" t="s">
        <v>243</v>
      </c>
      <c r="U3330" s="5" t="s">
        <v>244</v>
      </c>
      <c r="V3330" s="5" t="s">
        <v>240</v>
      </c>
      <c r="W3330" s="5" t="s">
        <v>240</v>
      </c>
      <c r="X3330" s="5" t="s">
        <v>240</v>
      </c>
      <c r="Y3330" s="5" t="s">
        <v>240</v>
      </c>
      <c r="Z3330" s="6" t="s">
        <v>298</v>
      </c>
      <c r="AA3330" s="6" t="s">
        <v>240</v>
      </c>
      <c r="AB3330" s="6" t="s">
        <v>240</v>
      </c>
      <c r="AC3330" s="5" t="s">
        <v>240</v>
      </c>
      <c r="AD3330" s="6" t="s">
        <v>240</v>
      </c>
      <c r="AE3330" s="6" t="s">
        <v>299</v>
      </c>
      <c r="AF3330" s="5" t="s">
        <v>248</v>
      </c>
      <c r="AG3330" s="5" t="s">
        <v>249</v>
      </c>
      <c r="AH3330" s="5" t="s">
        <v>240</v>
      </c>
      <c r="AI3330" s="5" t="s">
        <v>240</v>
      </c>
      <c r="AJ3330" s="5" t="s">
        <v>240</v>
      </c>
      <c r="AK3330" s="5" t="s">
        <v>240</v>
      </c>
      <c r="AL3330" s="5" t="s">
        <v>240</v>
      </c>
      <c r="AM3330" s="5" t="s">
        <v>240</v>
      </c>
      <c r="AN3330" s="5" t="s">
        <v>240</v>
      </c>
      <c r="AO3330" s="5" t="s">
        <v>240</v>
      </c>
      <c r="AP3330" s="6" t="s">
        <v>240</v>
      </c>
      <c r="AQ3330" s="6" t="s">
        <v>240</v>
      </c>
      <c r="AR3330" s="6" t="s">
        <v>240</v>
      </c>
      <c r="AS3330" s="6" t="s">
        <v>240</v>
      </c>
      <c r="AT3330" s="5" t="s">
        <v>240</v>
      </c>
      <c r="AU3330" s="5" t="s">
        <v>729</v>
      </c>
      <c r="AV3330" s="5" t="s">
        <v>729</v>
      </c>
      <c r="AW3330" s="5" t="s">
        <v>251</v>
      </c>
      <c r="AX3330" s="5" t="s">
        <v>252</v>
      </c>
      <c r="AY3330" s="5" t="s">
        <v>253</v>
      </c>
      <c r="AZ3330" s="5" t="s">
        <v>240</v>
      </c>
      <c r="BA3330" s="5" t="s">
        <v>255</v>
      </c>
      <c r="BB3330" s="5" t="s">
        <v>731</v>
      </c>
      <c r="BD3330" s="5" t="s">
        <v>240</v>
      </c>
      <c r="BF3330" s="5" t="s">
        <v>732</v>
      </c>
      <c r="BG3330" s="6" t="s">
        <v>733</v>
      </c>
      <c r="BH3330" s="5" t="s">
        <v>734</v>
      </c>
      <c r="BI3330" s="5" t="s">
        <v>734</v>
      </c>
      <c r="BJ3330" s="5" t="s">
        <v>240</v>
      </c>
      <c r="BK3330" s="7">
        <f>1</f>
        <v>1</v>
      </c>
      <c r="BL3330" s="7">
        <f>1</f>
        <v>1</v>
      </c>
      <c r="BM3330" s="5" t="s">
        <v>258</v>
      </c>
      <c r="BN3330" s="5" t="s">
        <v>259</v>
      </c>
      <c r="BO3330" s="5" t="s">
        <v>240</v>
      </c>
      <c r="BP3330" s="5" t="s">
        <v>240</v>
      </c>
      <c r="BQ3330" s="5" t="s">
        <v>240</v>
      </c>
      <c r="BR3330" s="5" t="s">
        <v>240</v>
      </c>
      <c r="BS3330" s="5" t="s">
        <v>240</v>
      </c>
      <c r="BT3330" s="5" t="s">
        <v>240</v>
      </c>
      <c r="BU3330" s="5" t="s">
        <v>240</v>
      </c>
      <c r="BV3330" s="5" t="s">
        <v>240</v>
      </c>
      <c r="BW3330" s="6" t="s">
        <v>240</v>
      </c>
      <c r="BX3330" s="5" t="s">
        <v>240</v>
      </c>
      <c r="BY3330" s="5" t="s">
        <v>240</v>
      </c>
      <c r="BZ3330" s="5" t="s">
        <v>240</v>
      </c>
      <c r="CA3330" s="5" t="s">
        <v>259</v>
      </c>
      <c r="CB3330" s="5" t="s">
        <v>240</v>
      </c>
      <c r="CC3330" s="5" t="s">
        <v>240</v>
      </c>
      <c r="CD3330" s="5" t="s">
        <v>240</v>
      </c>
      <c r="CE3330" s="5" t="s">
        <v>240</v>
      </c>
      <c r="CF3330" s="5" t="s">
        <v>240</v>
      </c>
      <c r="CG3330" s="5" t="s">
        <v>304</v>
      </c>
      <c r="CH3330" s="5" t="s">
        <v>305</v>
      </c>
      <c r="CI3330" s="5" t="s">
        <v>240</v>
      </c>
      <c r="CK3330" s="5" t="s">
        <v>3681</v>
      </c>
      <c r="CL3330" s="6" t="s">
        <v>261</v>
      </c>
      <c r="CM3330" s="5" t="s">
        <v>262</v>
      </c>
      <c r="CN3330" s="5" t="s">
        <v>263</v>
      </c>
      <c r="CO3330" s="5" t="s">
        <v>264</v>
      </c>
      <c r="CP3330" s="5" t="s">
        <v>240</v>
      </c>
      <c r="CQ3330" s="5">
        <v>0</v>
      </c>
      <c r="CR3330" s="5" t="s">
        <v>735</v>
      </c>
      <c r="CS3330" s="5" t="s">
        <v>307</v>
      </c>
      <c r="CT3330" s="5" t="s">
        <v>307</v>
      </c>
      <c r="CU3330" s="5" t="s">
        <v>260</v>
      </c>
      <c r="CV3330" s="5" t="s">
        <v>612</v>
      </c>
      <c r="CW3330" s="8">
        <f>1</f>
        <v>1</v>
      </c>
      <c r="CX3330" s="7">
        <f>1</f>
        <v>1</v>
      </c>
      <c r="CY3330" s="7">
        <f>0</f>
        <v>0</v>
      </c>
      <c r="DA3330" s="7">
        <f>1</f>
        <v>1</v>
      </c>
      <c r="DB3330" s="7" t="s">
        <v>240</v>
      </c>
      <c r="DC3330" s="5" t="s">
        <v>240</v>
      </c>
      <c r="DD3330" s="5" t="s">
        <v>240</v>
      </c>
      <c r="DE3330" s="5" t="s">
        <v>240</v>
      </c>
      <c r="DF3330" s="5" t="s">
        <v>240</v>
      </c>
      <c r="DG3330" s="7">
        <f>0</f>
        <v>0</v>
      </c>
      <c r="DI3330" s="5" t="s">
        <v>240</v>
      </c>
      <c r="DJ3330" s="5" t="s">
        <v>240</v>
      </c>
      <c r="DK3330" s="5" t="s">
        <v>240</v>
      </c>
      <c r="DL3330" s="5" t="s">
        <v>240</v>
      </c>
      <c r="DM3330" s="5" t="s">
        <v>240</v>
      </c>
      <c r="DN3330" s="5" t="s">
        <v>240</v>
      </c>
      <c r="DO3330" s="7" t="s">
        <v>240</v>
      </c>
      <c r="DP3330" s="5" t="s">
        <v>240</v>
      </c>
      <c r="DQ3330" s="5" t="s">
        <v>240</v>
      </c>
      <c r="DR3330" s="5" t="s">
        <v>731</v>
      </c>
      <c r="DS3330" s="5" t="s">
        <v>731</v>
      </c>
      <c r="DT3330" s="5" t="s">
        <v>240</v>
      </c>
      <c r="DU3330" s="5" t="s">
        <v>240</v>
      </c>
      <c r="DV3330" s="5" t="s">
        <v>5063</v>
      </c>
      <c r="DW3330" s="5" t="s">
        <v>1200</v>
      </c>
      <c r="DX3330" s="5" t="s">
        <v>240</v>
      </c>
      <c r="DY3330" s="5" t="s">
        <v>240</v>
      </c>
      <c r="DZ3330" s="5" t="s">
        <v>240</v>
      </c>
      <c r="EA3330" s="5" t="s">
        <v>240</v>
      </c>
      <c r="EB3330" s="5" t="s">
        <v>240</v>
      </c>
      <c r="EC3330" s="5" t="s">
        <v>240</v>
      </c>
      <c r="ED3330" s="5" t="s">
        <v>240</v>
      </c>
      <c r="EE3330" s="5" t="s">
        <v>240</v>
      </c>
      <c r="EF3330" s="5" t="s">
        <v>240</v>
      </c>
      <c r="EG3330" s="5" t="s">
        <v>240</v>
      </c>
      <c r="EH3330" s="5" t="s">
        <v>240</v>
      </c>
      <c r="EI3330" s="5" t="s">
        <v>240</v>
      </c>
      <c r="EJ3330" s="5" t="s">
        <v>240</v>
      </c>
      <c r="EK3330" s="5" t="s">
        <v>240</v>
      </c>
      <c r="EL3330" s="5" t="s">
        <v>240</v>
      </c>
      <c r="EM3330" s="5" t="s">
        <v>240</v>
      </c>
      <c r="EN3330" s="5" t="s">
        <v>240</v>
      </c>
      <c r="EO3330" s="5" t="s">
        <v>240</v>
      </c>
      <c r="EP3330" s="5" t="s">
        <v>240</v>
      </c>
      <c r="EQ3330" s="5" t="s">
        <v>240</v>
      </c>
      <c r="ER3330" s="5" t="s">
        <v>240</v>
      </c>
      <c r="ES3330" s="5" t="s">
        <v>240</v>
      </c>
      <c r="ET3330" s="5" t="s">
        <v>240</v>
      </c>
      <c r="EU3330" s="5" t="s">
        <v>240</v>
      </c>
      <c r="EV3330" s="5" t="s">
        <v>240</v>
      </c>
      <c r="EW3330" s="5" t="s">
        <v>240</v>
      </c>
      <c r="EX3330" s="5" t="s">
        <v>240</v>
      </c>
      <c r="EY3330" s="5" t="s">
        <v>240</v>
      </c>
      <c r="EZ3330" s="5" t="s">
        <v>240</v>
      </c>
      <c r="FA3330" s="5" t="s">
        <v>240</v>
      </c>
      <c r="FB3330" s="5" t="s">
        <v>240</v>
      </c>
      <c r="FC3330" s="5" t="s">
        <v>240</v>
      </c>
      <c r="FD3330" s="5" t="s">
        <v>240</v>
      </c>
      <c r="FE3330" s="5" t="s">
        <v>240</v>
      </c>
      <c r="FF3330" s="5" t="s">
        <v>240</v>
      </c>
      <c r="FG3330" s="5" t="s">
        <v>240</v>
      </c>
      <c r="FH3330" s="5" t="s">
        <v>240</v>
      </c>
      <c r="FI3330" s="5" t="s">
        <v>240</v>
      </c>
      <c r="FJ3330" s="5" t="s">
        <v>240</v>
      </c>
      <c r="FK3330" s="5" t="s">
        <v>240</v>
      </c>
      <c r="FL3330" s="5" t="s">
        <v>240</v>
      </c>
      <c r="FM3330" s="5" t="s">
        <v>240</v>
      </c>
      <c r="FN3330" s="5" t="s">
        <v>240</v>
      </c>
      <c r="FO3330" s="5" t="s">
        <v>240</v>
      </c>
      <c r="FP3330" s="5" t="s">
        <v>240</v>
      </c>
      <c r="FQ3330" s="5" t="s">
        <v>240</v>
      </c>
      <c r="FR3330" s="5" t="s">
        <v>240</v>
      </c>
      <c r="FS3330" s="5" t="s">
        <v>240</v>
      </c>
      <c r="FT3330" s="5" t="s">
        <v>240</v>
      </c>
      <c r="FU3330" s="5" t="s">
        <v>240</v>
      </c>
      <c r="FV3330" s="5" t="s">
        <v>240</v>
      </c>
      <c r="FW3330" s="5" t="s">
        <v>240</v>
      </c>
      <c r="FX3330" s="5" t="s">
        <v>240</v>
      </c>
      <c r="FY3330" s="5" t="s">
        <v>240</v>
      </c>
      <c r="FZ3330" s="5" t="s">
        <v>240</v>
      </c>
      <c r="GA3330" s="5" t="s">
        <v>240</v>
      </c>
      <c r="GB3330" s="5" t="s">
        <v>240</v>
      </c>
      <c r="GC3330" s="5" t="s">
        <v>240</v>
      </c>
      <c r="GD3330" s="5" t="s">
        <v>240</v>
      </c>
      <c r="GE3330" s="5" t="s">
        <v>240</v>
      </c>
      <c r="GF3330" s="5" t="s">
        <v>240</v>
      </c>
      <c r="GG3330" s="5" t="s">
        <v>240</v>
      </c>
      <c r="GH3330" s="5" t="s">
        <v>240</v>
      </c>
      <c r="GI3330" s="5" t="s">
        <v>240</v>
      </c>
      <c r="GJ3330" s="5" t="s">
        <v>240</v>
      </c>
      <c r="GK3330" s="5" t="s">
        <v>240</v>
      </c>
      <c r="GL3330" s="5" t="s">
        <v>240</v>
      </c>
      <c r="GM3330" s="5" t="s">
        <v>240</v>
      </c>
      <c r="GN3330" s="5" t="s">
        <v>240</v>
      </c>
      <c r="GO3330" s="5" t="s">
        <v>240</v>
      </c>
      <c r="GP3330" s="5" t="s">
        <v>240</v>
      </c>
      <c r="GQ3330" s="5" t="s">
        <v>240</v>
      </c>
      <c r="GR3330" s="5" t="s">
        <v>240</v>
      </c>
      <c r="GS3330" s="5" t="s">
        <v>240</v>
      </c>
      <c r="GT3330" s="5" t="s">
        <v>240</v>
      </c>
      <c r="GU3330" s="5" t="s">
        <v>240</v>
      </c>
      <c r="GV3330" s="5" t="s">
        <v>240</v>
      </c>
      <c r="GW3330" s="5" t="s">
        <v>240</v>
      </c>
      <c r="GX3330" s="5" t="s">
        <v>240</v>
      </c>
      <c r="GY3330" s="5" t="s">
        <v>240</v>
      </c>
      <c r="GZ3330" s="5" t="s">
        <v>240</v>
      </c>
      <c r="HA3330" s="5" t="s">
        <v>240</v>
      </c>
      <c r="HB3330" s="5" t="s">
        <v>240</v>
      </c>
      <c r="HC3330" s="5" t="s">
        <v>240</v>
      </c>
      <c r="HD3330" s="5" t="s">
        <v>240</v>
      </c>
      <c r="HE3330" s="5" t="s">
        <v>240</v>
      </c>
      <c r="HF3330" s="5" t="s">
        <v>240</v>
      </c>
      <c r="HG3330" s="5" t="s">
        <v>240</v>
      </c>
      <c r="HH3330" s="5" t="s">
        <v>240</v>
      </c>
      <c r="HI3330" s="5" t="s">
        <v>240</v>
      </c>
      <c r="HJ3330" s="5" t="s">
        <v>240</v>
      </c>
      <c r="HK3330" s="5" t="s">
        <v>240</v>
      </c>
      <c r="HL3330" s="5" t="s">
        <v>240</v>
      </c>
      <c r="HM3330" s="5" t="s">
        <v>240</v>
      </c>
      <c r="HN3330" s="5" t="s">
        <v>240</v>
      </c>
      <c r="HO3330" s="5" t="s">
        <v>312</v>
      </c>
      <c r="HP3330" s="5" t="s">
        <v>240</v>
      </c>
      <c r="HQ3330" s="5" t="s">
        <v>240</v>
      </c>
      <c r="HR3330" s="5" t="s">
        <v>240</v>
      </c>
      <c r="HS3330" s="5" t="s">
        <v>240</v>
      </c>
      <c r="HT3330" s="5" t="s">
        <v>240</v>
      </c>
      <c r="HU3330" s="5" t="s">
        <v>240</v>
      </c>
      <c r="HV3330" s="5" t="s">
        <v>240</v>
      </c>
      <c r="HW3330" s="5" t="s">
        <v>240</v>
      </c>
      <c r="HX3330" s="5" t="s">
        <v>240</v>
      </c>
      <c r="HY3330" s="5" t="s">
        <v>240</v>
      </c>
      <c r="HZ3330" s="5" t="s">
        <v>240</v>
      </c>
      <c r="IA3330" s="5" t="s">
        <v>240</v>
      </c>
      <c r="IB3330" s="5" t="s">
        <v>240</v>
      </c>
      <c r="IC3330" s="5" t="s">
        <v>240</v>
      </c>
      <c r="ID3330" s="5" t="s">
        <v>240</v>
      </c>
      <c r="IE3330" s="5" t="s">
        <v>240</v>
      </c>
      <c r="IF3330" s="5" t="s">
        <v>240</v>
      </c>
    </row>
    <row r="3331" spans="1:240" x14ac:dyDescent="0.4">
      <c r="A3331" s="5">
        <v>8873</v>
      </c>
      <c r="B3331" s="5">
        <v>1</v>
      </c>
      <c r="C3331" s="5">
        <v>1</v>
      </c>
      <c r="D3331" s="5" t="s">
        <v>723</v>
      </c>
      <c r="E3331" s="5" t="s">
        <v>725</v>
      </c>
      <c r="F3331" s="5" t="s">
        <v>730</v>
      </c>
      <c r="G3331" s="5" t="s">
        <v>726</v>
      </c>
      <c r="H3331" s="6" t="s">
        <v>6661</v>
      </c>
      <c r="I3331" s="5" t="s">
        <v>722</v>
      </c>
      <c r="J3331" s="8">
        <f>434</f>
        <v>434</v>
      </c>
      <c r="K3331" s="5" t="s">
        <v>308</v>
      </c>
      <c r="L3331" s="7">
        <f>0</f>
        <v>0</v>
      </c>
      <c r="M3331" s="7">
        <f>0</f>
        <v>0</v>
      </c>
      <c r="N3331" s="5" t="s">
        <v>242</v>
      </c>
      <c r="O3331" s="5">
        <v>1</v>
      </c>
      <c r="P3331" s="5" t="s">
        <v>294</v>
      </c>
      <c r="Q3331" s="5" t="s">
        <v>3678</v>
      </c>
      <c r="R3331" s="5" t="s">
        <v>240</v>
      </c>
      <c r="S3331" s="5" t="s">
        <v>240</v>
      </c>
      <c r="T3331" s="5" t="s">
        <v>243</v>
      </c>
      <c r="U3331" s="5" t="s">
        <v>244</v>
      </c>
      <c r="V3331" s="5" t="s">
        <v>240</v>
      </c>
      <c r="W3331" s="5" t="s">
        <v>240</v>
      </c>
      <c r="X3331" s="5" t="s">
        <v>240</v>
      </c>
      <c r="Y3331" s="5" t="s">
        <v>240</v>
      </c>
      <c r="Z3331" s="6" t="s">
        <v>298</v>
      </c>
      <c r="AA3331" s="6" t="s">
        <v>240</v>
      </c>
      <c r="AB3331" s="6" t="s">
        <v>240</v>
      </c>
      <c r="AC3331" s="5" t="s">
        <v>240</v>
      </c>
      <c r="AD3331" s="6" t="s">
        <v>240</v>
      </c>
      <c r="AE3331" s="6" t="s">
        <v>299</v>
      </c>
      <c r="AF3331" s="5" t="s">
        <v>248</v>
      </c>
      <c r="AG3331" s="5" t="s">
        <v>249</v>
      </c>
      <c r="AH3331" s="5" t="s">
        <v>240</v>
      </c>
      <c r="AI3331" s="5" t="s">
        <v>240</v>
      </c>
      <c r="AJ3331" s="5" t="s">
        <v>240</v>
      </c>
      <c r="AK3331" s="5" t="s">
        <v>240</v>
      </c>
      <c r="AL3331" s="5" t="s">
        <v>240</v>
      </c>
      <c r="AM3331" s="5" t="s">
        <v>240</v>
      </c>
      <c r="AN3331" s="5" t="s">
        <v>240</v>
      </c>
      <c r="AO3331" s="5" t="s">
        <v>240</v>
      </c>
      <c r="AP3331" s="6" t="s">
        <v>240</v>
      </c>
      <c r="AQ3331" s="6" t="s">
        <v>240</v>
      </c>
      <c r="AR3331" s="6" t="s">
        <v>240</v>
      </c>
      <c r="AS3331" s="6" t="s">
        <v>240</v>
      </c>
      <c r="AT3331" s="5" t="s">
        <v>240</v>
      </c>
      <c r="AU3331" s="5" t="s">
        <v>729</v>
      </c>
      <c r="AV3331" s="5" t="s">
        <v>729</v>
      </c>
      <c r="AW3331" s="5" t="s">
        <v>251</v>
      </c>
      <c r="AX3331" s="5" t="s">
        <v>252</v>
      </c>
      <c r="AY3331" s="5" t="s">
        <v>253</v>
      </c>
      <c r="AZ3331" s="5" t="s">
        <v>240</v>
      </c>
      <c r="BA3331" s="5" t="s">
        <v>255</v>
      </c>
      <c r="BB3331" s="5" t="s">
        <v>731</v>
      </c>
      <c r="BD3331" s="5" t="s">
        <v>240</v>
      </c>
      <c r="BF3331" s="5" t="s">
        <v>732</v>
      </c>
      <c r="BG3331" s="6" t="s">
        <v>733</v>
      </c>
      <c r="BH3331" s="5" t="s">
        <v>734</v>
      </c>
      <c r="BI3331" s="5" t="s">
        <v>734</v>
      </c>
      <c r="BJ3331" s="5" t="s">
        <v>240</v>
      </c>
      <c r="BK3331" s="7">
        <f>1</f>
        <v>1</v>
      </c>
      <c r="BL3331" s="7">
        <f>1</f>
        <v>1</v>
      </c>
      <c r="BM3331" s="5" t="s">
        <v>258</v>
      </c>
      <c r="BN3331" s="5" t="s">
        <v>259</v>
      </c>
      <c r="BO3331" s="5" t="s">
        <v>240</v>
      </c>
      <c r="BP3331" s="5" t="s">
        <v>240</v>
      </c>
      <c r="BQ3331" s="5" t="s">
        <v>240</v>
      </c>
      <c r="BR3331" s="5" t="s">
        <v>240</v>
      </c>
      <c r="BS3331" s="5" t="s">
        <v>240</v>
      </c>
      <c r="BT3331" s="5" t="s">
        <v>240</v>
      </c>
      <c r="BU3331" s="5" t="s">
        <v>240</v>
      </c>
      <c r="BV3331" s="5" t="s">
        <v>240</v>
      </c>
      <c r="BW3331" s="6" t="s">
        <v>240</v>
      </c>
      <c r="BX3331" s="5" t="s">
        <v>240</v>
      </c>
      <c r="BY3331" s="5" t="s">
        <v>240</v>
      </c>
      <c r="BZ3331" s="5" t="s">
        <v>240</v>
      </c>
      <c r="CA3331" s="5" t="s">
        <v>259</v>
      </c>
      <c r="CB3331" s="5" t="s">
        <v>240</v>
      </c>
      <c r="CC3331" s="5" t="s">
        <v>240</v>
      </c>
      <c r="CD3331" s="5" t="s">
        <v>240</v>
      </c>
      <c r="CE3331" s="5" t="s">
        <v>240</v>
      </c>
      <c r="CF3331" s="5" t="s">
        <v>240</v>
      </c>
      <c r="CG3331" s="5" t="s">
        <v>304</v>
      </c>
      <c r="CH3331" s="5" t="s">
        <v>305</v>
      </c>
      <c r="CI3331" s="5" t="s">
        <v>240</v>
      </c>
      <c r="CK3331" s="5" t="s">
        <v>3681</v>
      </c>
      <c r="CL3331" s="6" t="s">
        <v>261</v>
      </c>
      <c r="CM3331" s="5" t="s">
        <v>262</v>
      </c>
      <c r="CN3331" s="5" t="s">
        <v>263</v>
      </c>
      <c r="CO3331" s="5" t="s">
        <v>264</v>
      </c>
      <c r="CP3331" s="5" t="s">
        <v>240</v>
      </c>
      <c r="CQ3331" s="5">
        <v>0</v>
      </c>
      <c r="CR3331" s="5" t="s">
        <v>735</v>
      </c>
      <c r="CS3331" s="5" t="s">
        <v>307</v>
      </c>
      <c r="CT3331" s="5" t="s">
        <v>307</v>
      </c>
      <c r="CU3331" s="5" t="s">
        <v>260</v>
      </c>
      <c r="CV3331" s="5" t="s">
        <v>612</v>
      </c>
      <c r="CW3331" s="8">
        <f>1</f>
        <v>1</v>
      </c>
      <c r="CX3331" s="7">
        <f>1</f>
        <v>1</v>
      </c>
      <c r="CY3331" s="7">
        <f>0</f>
        <v>0</v>
      </c>
      <c r="DA3331" s="7">
        <f>1</f>
        <v>1</v>
      </c>
      <c r="DB3331" s="7" t="s">
        <v>240</v>
      </c>
      <c r="DC3331" s="5" t="s">
        <v>240</v>
      </c>
      <c r="DD3331" s="5" t="s">
        <v>240</v>
      </c>
      <c r="DE3331" s="5" t="s">
        <v>240</v>
      </c>
      <c r="DF3331" s="5" t="s">
        <v>240</v>
      </c>
      <c r="DG3331" s="7">
        <f>0</f>
        <v>0</v>
      </c>
      <c r="DI3331" s="5" t="s">
        <v>240</v>
      </c>
      <c r="DJ3331" s="5" t="s">
        <v>240</v>
      </c>
      <c r="DK3331" s="5" t="s">
        <v>240</v>
      </c>
      <c r="DL3331" s="5" t="s">
        <v>240</v>
      </c>
      <c r="DM3331" s="5" t="s">
        <v>240</v>
      </c>
      <c r="DN3331" s="5" t="s">
        <v>240</v>
      </c>
      <c r="DO3331" s="7" t="s">
        <v>240</v>
      </c>
      <c r="DP3331" s="5" t="s">
        <v>240</v>
      </c>
      <c r="DQ3331" s="5" t="s">
        <v>240</v>
      </c>
      <c r="DR3331" s="5" t="s">
        <v>731</v>
      </c>
      <c r="DS3331" s="5" t="s">
        <v>731</v>
      </c>
      <c r="DT3331" s="5" t="s">
        <v>240</v>
      </c>
      <c r="DU3331" s="5" t="s">
        <v>240</v>
      </c>
      <c r="DV3331" s="5" t="s">
        <v>5063</v>
      </c>
      <c r="DW3331" s="5" t="s">
        <v>1192</v>
      </c>
      <c r="DX3331" s="5" t="s">
        <v>240</v>
      </c>
      <c r="DY3331" s="5" t="s">
        <v>240</v>
      </c>
      <c r="DZ3331" s="5" t="s">
        <v>240</v>
      </c>
      <c r="EA3331" s="5" t="s">
        <v>240</v>
      </c>
      <c r="EB3331" s="5" t="s">
        <v>240</v>
      </c>
      <c r="EC3331" s="5" t="s">
        <v>240</v>
      </c>
      <c r="ED3331" s="5" t="s">
        <v>240</v>
      </c>
      <c r="EE3331" s="5" t="s">
        <v>240</v>
      </c>
      <c r="EF3331" s="5" t="s">
        <v>240</v>
      </c>
      <c r="EG3331" s="5" t="s">
        <v>240</v>
      </c>
      <c r="EH3331" s="5" t="s">
        <v>240</v>
      </c>
      <c r="EI3331" s="5" t="s">
        <v>240</v>
      </c>
      <c r="EJ3331" s="5" t="s">
        <v>240</v>
      </c>
      <c r="EK3331" s="5" t="s">
        <v>240</v>
      </c>
      <c r="EL3331" s="5" t="s">
        <v>240</v>
      </c>
      <c r="EM3331" s="5" t="s">
        <v>240</v>
      </c>
      <c r="EN3331" s="5" t="s">
        <v>240</v>
      </c>
      <c r="EO3331" s="5" t="s">
        <v>240</v>
      </c>
      <c r="EP3331" s="5" t="s">
        <v>240</v>
      </c>
      <c r="EQ3331" s="5" t="s">
        <v>240</v>
      </c>
      <c r="ER3331" s="5" t="s">
        <v>240</v>
      </c>
      <c r="ES3331" s="5" t="s">
        <v>240</v>
      </c>
      <c r="ET3331" s="5" t="s">
        <v>240</v>
      </c>
      <c r="EU3331" s="5" t="s">
        <v>240</v>
      </c>
      <c r="EV3331" s="5" t="s">
        <v>240</v>
      </c>
      <c r="EW3331" s="5" t="s">
        <v>240</v>
      </c>
      <c r="EX3331" s="5" t="s">
        <v>240</v>
      </c>
      <c r="EY3331" s="5" t="s">
        <v>240</v>
      </c>
      <c r="EZ3331" s="5" t="s">
        <v>240</v>
      </c>
      <c r="FA3331" s="5" t="s">
        <v>240</v>
      </c>
      <c r="FB3331" s="5" t="s">
        <v>240</v>
      </c>
      <c r="FC3331" s="5" t="s">
        <v>240</v>
      </c>
      <c r="FD3331" s="5" t="s">
        <v>240</v>
      </c>
      <c r="FE3331" s="5" t="s">
        <v>240</v>
      </c>
      <c r="FF3331" s="5" t="s">
        <v>240</v>
      </c>
      <c r="FG3331" s="5" t="s">
        <v>240</v>
      </c>
      <c r="FH3331" s="5" t="s">
        <v>240</v>
      </c>
      <c r="FI3331" s="5" t="s">
        <v>240</v>
      </c>
      <c r="FJ3331" s="5" t="s">
        <v>240</v>
      </c>
      <c r="FK3331" s="5" t="s">
        <v>240</v>
      </c>
      <c r="FL3331" s="5" t="s">
        <v>240</v>
      </c>
      <c r="FM3331" s="5" t="s">
        <v>240</v>
      </c>
      <c r="FN3331" s="5" t="s">
        <v>240</v>
      </c>
      <c r="FO3331" s="5" t="s">
        <v>240</v>
      </c>
      <c r="FP3331" s="5" t="s">
        <v>240</v>
      </c>
      <c r="FQ3331" s="5" t="s">
        <v>240</v>
      </c>
      <c r="FR3331" s="5" t="s">
        <v>240</v>
      </c>
      <c r="FS3331" s="5" t="s">
        <v>240</v>
      </c>
      <c r="FT3331" s="5" t="s">
        <v>240</v>
      </c>
      <c r="FU3331" s="5" t="s">
        <v>240</v>
      </c>
      <c r="FV3331" s="5" t="s">
        <v>240</v>
      </c>
      <c r="FW3331" s="5" t="s">
        <v>240</v>
      </c>
      <c r="FX3331" s="5" t="s">
        <v>240</v>
      </c>
      <c r="FY3331" s="5" t="s">
        <v>240</v>
      </c>
      <c r="FZ3331" s="5" t="s">
        <v>240</v>
      </c>
      <c r="GA3331" s="5" t="s">
        <v>240</v>
      </c>
      <c r="GB3331" s="5" t="s">
        <v>240</v>
      </c>
      <c r="GC3331" s="5" t="s">
        <v>240</v>
      </c>
      <c r="GD3331" s="5" t="s">
        <v>240</v>
      </c>
      <c r="GE3331" s="5" t="s">
        <v>240</v>
      </c>
      <c r="GF3331" s="5" t="s">
        <v>240</v>
      </c>
      <c r="GG3331" s="5" t="s">
        <v>240</v>
      </c>
      <c r="GH3331" s="5" t="s">
        <v>240</v>
      </c>
      <c r="GI3331" s="5" t="s">
        <v>240</v>
      </c>
      <c r="GJ3331" s="5" t="s">
        <v>240</v>
      </c>
      <c r="GK3331" s="5" t="s">
        <v>240</v>
      </c>
      <c r="GL3331" s="5" t="s">
        <v>240</v>
      </c>
      <c r="GM3331" s="5" t="s">
        <v>240</v>
      </c>
      <c r="GN3331" s="5" t="s">
        <v>240</v>
      </c>
      <c r="GO3331" s="5" t="s">
        <v>240</v>
      </c>
      <c r="GP3331" s="5" t="s">
        <v>240</v>
      </c>
      <c r="GQ3331" s="5" t="s">
        <v>240</v>
      </c>
      <c r="GR3331" s="5" t="s">
        <v>240</v>
      </c>
      <c r="GS3331" s="5" t="s">
        <v>240</v>
      </c>
      <c r="GT3331" s="5" t="s">
        <v>240</v>
      </c>
      <c r="GU3331" s="5" t="s">
        <v>240</v>
      </c>
      <c r="GV3331" s="5" t="s">
        <v>240</v>
      </c>
      <c r="GW3331" s="5" t="s">
        <v>240</v>
      </c>
      <c r="GX3331" s="5" t="s">
        <v>240</v>
      </c>
      <c r="GY3331" s="5" t="s">
        <v>240</v>
      </c>
      <c r="GZ3331" s="5" t="s">
        <v>240</v>
      </c>
      <c r="HA3331" s="5" t="s">
        <v>240</v>
      </c>
      <c r="HB3331" s="5" t="s">
        <v>240</v>
      </c>
      <c r="HC3331" s="5" t="s">
        <v>240</v>
      </c>
      <c r="HD3331" s="5" t="s">
        <v>240</v>
      </c>
      <c r="HE3331" s="5" t="s">
        <v>240</v>
      </c>
      <c r="HF3331" s="5" t="s">
        <v>240</v>
      </c>
      <c r="HG3331" s="5" t="s">
        <v>240</v>
      </c>
      <c r="HH3331" s="5" t="s">
        <v>240</v>
      </c>
      <c r="HI3331" s="5" t="s">
        <v>240</v>
      </c>
      <c r="HJ3331" s="5" t="s">
        <v>240</v>
      </c>
      <c r="HK3331" s="5" t="s">
        <v>240</v>
      </c>
      <c r="HL3331" s="5" t="s">
        <v>240</v>
      </c>
      <c r="HM3331" s="5" t="s">
        <v>240</v>
      </c>
      <c r="HN3331" s="5" t="s">
        <v>240</v>
      </c>
      <c r="HO3331" s="5" t="s">
        <v>312</v>
      </c>
      <c r="HP3331" s="5" t="s">
        <v>240</v>
      </c>
      <c r="HQ3331" s="5" t="s">
        <v>240</v>
      </c>
      <c r="HR3331" s="5" t="s">
        <v>240</v>
      </c>
      <c r="HS3331" s="5" t="s">
        <v>240</v>
      </c>
      <c r="HT3331" s="5" t="s">
        <v>240</v>
      </c>
      <c r="HU3331" s="5" t="s">
        <v>240</v>
      </c>
      <c r="HV3331" s="5" t="s">
        <v>240</v>
      </c>
      <c r="HW3331" s="5" t="s">
        <v>240</v>
      </c>
      <c r="HX3331" s="5" t="s">
        <v>240</v>
      </c>
      <c r="HY3331" s="5" t="s">
        <v>240</v>
      </c>
      <c r="HZ3331" s="5" t="s">
        <v>240</v>
      </c>
      <c r="IA3331" s="5" t="s">
        <v>240</v>
      </c>
      <c r="IB3331" s="5" t="s">
        <v>240</v>
      </c>
      <c r="IC3331" s="5" t="s">
        <v>240</v>
      </c>
      <c r="ID3331" s="5" t="s">
        <v>240</v>
      </c>
      <c r="IE3331" s="5" t="s">
        <v>240</v>
      </c>
      <c r="IF3331" s="5" t="s">
        <v>240</v>
      </c>
    </row>
    <row r="3332" spans="1:240" x14ac:dyDescent="0.4">
      <c r="A3332" s="5">
        <v>8874</v>
      </c>
      <c r="B3332" s="5">
        <v>1</v>
      </c>
      <c r="C3332" s="5">
        <v>1</v>
      </c>
      <c r="D3332" s="5" t="s">
        <v>723</v>
      </c>
      <c r="E3332" s="5" t="s">
        <v>725</v>
      </c>
      <c r="F3332" s="5" t="s">
        <v>730</v>
      </c>
      <c r="G3332" s="5" t="s">
        <v>6296</v>
      </c>
      <c r="H3332" s="6" t="s">
        <v>6297</v>
      </c>
      <c r="I3332" s="5" t="s">
        <v>990</v>
      </c>
      <c r="J3332" s="8">
        <f>1317</f>
        <v>1317</v>
      </c>
      <c r="K3332" s="5" t="s">
        <v>308</v>
      </c>
      <c r="L3332" s="7">
        <f>0</f>
        <v>0</v>
      </c>
      <c r="M3332" s="7">
        <f>0</f>
        <v>0</v>
      </c>
      <c r="N3332" s="5" t="s">
        <v>242</v>
      </c>
      <c r="O3332" s="5">
        <v>1</v>
      </c>
      <c r="P3332" s="5" t="s">
        <v>294</v>
      </c>
      <c r="Q3332" s="5" t="s">
        <v>3678</v>
      </c>
      <c r="R3332" s="5" t="s">
        <v>240</v>
      </c>
      <c r="S3332" s="5" t="s">
        <v>240</v>
      </c>
      <c r="T3332" s="5" t="s">
        <v>243</v>
      </c>
      <c r="U3332" s="5" t="s">
        <v>244</v>
      </c>
      <c r="V3332" s="5" t="s">
        <v>240</v>
      </c>
      <c r="W3332" s="5" t="s">
        <v>240</v>
      </c>
      <c r="X3332" s="5" t="s">
        <v>240</v>
      </c>
      <c r="Y3332" s="5" t="s">
        <v>240</v>
      </c>
      <c r="Z3332" s="6" t="s">
        <v>298</v>
      </c>
      <c r="AA3332" s="6" t="s">
        <v>240</v>
      </c>
      <c r="AB3332" s="6" t="s">
        <v>240</v>
      </c>
      <c r="AC3332" s="5" t="s">
        <v>240</v>
      </c>
      <c r="AD3332" s="6" t="s">
        <v>240</v>
      </c>
      <c r="AE3332" s="6" t="s">
        <v>299</v>
      </c>
      <c r="AF3332" s="5" t="s">
        <v>248</v>
      </c>
      <c r="AG3332" s="5" t="s">
        <v>249</v>
      </c>
      <c r="AH3332" s="5" t="s">
        <v>240</v>
      </c>
      <c r="AI3332" s="5" t="s">
        <v>240</v>
      </c>
      <c r="AJ3332" s="5" t="s">
        <v>240</v>
      </c>
      <c r="AK3332" s="5" t="s">
        <v>240</v>
      </c>
      <c r="AL3332" s="5" t="s">
        <v>240</v>
      </c>
      <c r="AM3332" s="5" t="s">
        <v>240</v>
      </c>
      <c r="AN3332" s="5" t="s">
        <v>240</v>
      </c>
      <c r="AO3332" s="5" t="s">
        <v>240</v>
      </c>
      <c r="AP3332" s="6" t="s">
        <v>240</v>
      </c>
      <c r="AQ3332" s="6" t="s">
        <v>240</v>
      </c>
      <c r="AR3332" s="6" t="s">
        <v>240</v>
      </c>
      <c r="AS3332" s="6" t="s">
        <v>240</v>
      </c>
      <c r="AT3332" s="5" t="s">
        <v>240</v>
      </c>
      <c r="AU3332" s="5" t="s">
        <v>729</v>
      </c>
      <c r="AV3332" s="5" t="s">
        <v>729</v>
      </c>
      <c r="AW3332" s="5" t="s">
        <v>251</v>
      </c>
      <c r="AX3332" s="5" t="s">
        <v>252</v>
      </c>
      <c r="AY3332" s="5" t="s">
        <v>253</v>
      </c>
      <c r="AZ3332" s="5" t="s">
        <v>240</v>
      </c>
      <c r="BA3332" s="5" t="s">
        <v>255</v>
      </c>
      <c r="BB3332" s="5" t="s">
        <v>731</v>
      </c>
      <c r="BD3332" s="5" t="s">
        <v>240</v>
      </c>
      <c r="BF3332" s="5" t="s">
        <v>732</v>
      </c>
      <c r="BG3332" s="6" t="s">
        <v>733</v>
      </c>
      <c r="BH3332" s="5" t="s">
        <v>734</v>
      </c>
      <c r="BI3332" s="5" t="s">
        <v>734</v>
      </c>
      <c r="BJ3332" s="5" t="s">
        <v>240</v>
      </c>
      <c r="BK3332" s="7">
        <f>1</f>
        <v>1</v>
      </c>
      <c r="BL3332" s="7">
        <f>1</f>
        <v>1</v>
      </c>
      <c r="BM3332" s="5" t="s">
        <v>258</v>
      </c>
      <c r="BN3332" s="5" t="s">
        <v>259</v>
      </c>
      <c r="BO3332" s="5" t="s">
        <v>240</v>
      </c>
      <c r="BP3332" s="5" t="s">
        <v>240</v>
      </c>
      <c r="BQ3332" s="5" t="s">
        <v>240</v>
      </c>
      <c r="BR3332" s="5" t="s">
        <v>240</v>
      </c>
      <c r="BS3332" s="5" t="s">
        <v>240</v>
      </c>
      <c r="BT3332" s="5" t="s">
        <v>240</v>
      </c>
      <c r="BU3332" s="5" t="s">
        <v>240</v>
      </c>
      <c r="BV3332" s="5" t="s">
        <v>240</v>
      </c>
      <c r="BW3332" s="6" t="s">
        <v>240</v>
      </c>
      <c r="BX3332" s="5" t="s">
        <v>240</v>
      </c>
      <c r="BY3332" s="5" t="s">
        <v>240</v>
      </c>
      <c r="BZ3332" s="5" t="s">
        <v>240</v>
      </c>
      <c r="CA3332" s="5" t="s">
        <v>259</v>
      </c>
      <c r="CB3332" s="5" t="s">
        <v>240</v>
      </c>
      <c r="CC3332" s="5" t="s">
        <v>240</v>
      </c>
      <c r="CD3332" s="5" t="s">
        <v>240</v>
      </c>
      <c r="CE3332" s="5" t="s">
        <v>240</v>
      </c>
      <c r="CF3332" s="5" t="s">
        <v>240</v>
      </c>
      <c r="CG3332" s="5" t="s">
        <v>304</v>
      </c>
      <c r="CH3332" s="5" t="s">
        <v>305</v>
      </c>
      <c r="CI3332" s="5" t="s">
        <v>240</v>
      </c>
      <c r="CK3332" s="5" t="s">
        <v>3681</v>
      </c>
      <c r="CL3332" s="6" t="s">
        <v>261</v>
      </c>
      <c r="CM3332" s="5" t="s">
        <v>262</v>
      </c>
      <c r="CN3332" s="5" t="s">
        <v>263</v>
      </c>
      <c r="CO3332" s="5" t="s">
        <v>264</v>
      </c>
      <c r="CP3332" s="5" t="s">
        <v>240</v>
      </c>
      <c r="CQ3332" s="5">
        <v>0</v>
      </c>
      <c r="CR3332" s="5" t="s">
        <v>735</v>
      </c>
      <c r="CS3332" s="5" t="s">
        <v>307</v>
      </c>
      <c r="CT3332" s="5" t="s">
        <v>307</v>
      </c>
      <c r="CU3332" s="5" t="s">
        <v>260</v>
      </c>
      <c r="CV3332" s="5" t="s">
        <v>612</v>
      </c>
      <c r="CW3332" s="8">
        <f>1</f>
        <v>1</v>
      </c>
      <c r="CX3332" s="7">
        <f>1</f>
        <v>1</v>
      </c>
      <c r="CY3332" s="7">
        <f>0</f>
        <v>0</v>
      </c>
      <c r="DA3332" s="7">
        <f>1</f>
        <v>1</v>
      </c>
      <c r="DB3332" s="7" t="s">
        <v>240</v>
      </c>
      <c r="DC3332" s="5" t="s">
        <v>240</v>
      </c>
      <c r="DD3332" s="5" t="s">
        <v>240</v>
      </c>
      <c r="DE3332" s="5" t="s">
        <v>240</v>
      </c>
      <c r="DF3332" s="5" t="s">
        <v>240</v>
      </c>
      <c r="DG3332" s="7">
        <f>0</f>
        <v>0</v>
      </c>
      <c r="DI3332" s="5" t="s">
        <v>240</v>
      </c>
      <c r="DJ3332" s="5" t="s">
        <v>240</v>
      </c>
      <c r="DK3332" s="5" t="s">
        <v>240</v>
      </c>
      <c r="DL3332" s="5" t="s">
        <v>240</v>
      </c>
      <c r="DM3332" s="5" t="s">
        <v>240</v>
      </c>
      <c r="DN3332" s="5" t="s">
        <v>240</v>
      </c>
      <c r="DO3332" s="7" t="s">
        <v>240</v>
      </c>
      <c r="DP3332" s="5" t="s">
        <v>240</v>
      </c>
      <c r="DQ3332" s="5" t="s">
        <v>240</v>
      </c>
      <c r="DR3332" s="5" t="s">
        <v>731</v>
      </c>
      <c r="DS3332" s="5" t="s">
        <v>731</v>
      </c>
      <c r="DT3332" s="5" t="s">
        <v>240</v>
      </c>
      <c r="DU3332" s="5" t="s">
        <v>240</v>
      </c>
      <c r="DV3332" s="5" t="s">
        <v>5063</v>
      </c>
      <c r="DW3332" s="5" t="s">
        <v>1122</v>
      </c>
      <c r="DX3332" s="5" t="s">
        <v>240</v>
      </c>
      <c r="DY3332" s="5" t="s">
        <v>240</v>
      </c>
      <c r="DZ3332" s="5" t="s">
        <v>240</v>
      </c>
      <c r="EA3332" s="5" t="s">
        <v>240</v>
      </c>
      <c r="EB3332" s="5" t="s">
        <v>240</v>
      </c>
      <c r="EC3332" s="5" t="s">
        <v>240</v>
      </c>
      <c r="ED3332" s="5" t="s">
        <v>240</v>
      </c>
      <c r="EE3332" s="5" t="s">
        <v>240</v>
      </c>
      <c r="EF3332" s="5" t="s">
        <v>240</v>
      </c>
      <c r="EG3332" s="5" t="s">
        <v>240</v>
      </c>
      <c r="EH3332" s="5" t="s">
        <v>240</v>
      </c>
      <c r="EI3332" s="5" t="s">
        <v>240</v>
      </c>
      <c r="EJ3332" s="5" t="s">
        <v>240</v>
      </c>
      <c r="EK3332" s="5" t="s">
        <v>240</v>
      </c>
      <c r="EL3332" s="5" t="s">
        <v>240</v>
      </c>
      <c r="EM3332" s="5" t="s">
        <v>240</v>
      </c>
      <c r="EN3332" s="5" t="s">
        <v>240</v>
      </c>
      <c r="EO3332" s="5" t="s">
        <v>240</v>
      </c>
      <c r="EP3332" s="5" t="s">
        <v>240</v>
      </c>
      <c r="EQ3332" s="5" t="s">
        <v>240</v>
      </c>
      <c r="ER3332" s="5" t="s">
        <v>240</v>
      </c>
      <c r="ES3332" s="5" t="s">
        <v>240</v>
      </c>
      <c r="ET3332" s="5" t="s">
        <v>240</v>
      </c>
      <c r="EU3332" s="5" t="s">
        <v>240</v>
      </c>
      <c r="EV3332" s="5" t="s">
        <v>240</v>
      </c>
      <c r="EW3332" s="5" t="s">
        <v>240</v>
      </c>
      <c r="EX3332" s="5" t="s">
        <v>240</v>
      </c>
      <c r="EY3332" s="5" t="s">
        <v>240</v>
      </c>
      <c r="EZ3332" s="5" t="s">
        <v>240</v>
      </c>
      <c r="FA3332" s="5" t="s">
        <v>240</v>
      </c>
      <c r="FB3332" s="5" t="s">
        <v>240</v>
      </c>
      <c r="FC3332" s="5" t="s">
        <v>240</v>
      </c>
      <c r="FD3332" s="5" t="s">
        <v>240</v>
      </c>
      <c r="FE3332" s="5" t="s">
        <v>240</v>
      </c>
      <c r="FF3332" s="5" t="s">
        <v>240</v>
      </c>
      <c r="FG3332" s="5" t="s">
        <v>240</v>
      </c>
      <c r="FH3332" s="5" t="s">
        <v>240</v>
      </c>
      <c r="FI3332" s="5" t="s">
        <v>240</v>
      </c>
      <c r="FJ3332" s="5" t="s">
        <v>240</v>
      </c>
      <c r="FK3332" s="5" t="s">
        <v>240</v>
      </c>
      <c r="FL3332" s="5" t="s">
        <v>240</v>
      </c>
      <c r="FM3332" s="5" t="s">
        <v>240</v>
      </c>
      <c r="FN3332" s="5" t="s">
        <v>240</v>
      </c>
      <c r="FO3332" s="5" t="s">
        <v>240</v>
      </c>
      <c r="FP3332" s="5" t="s">
        <v>240</v>
      </c>
      <c r="FQ3332" s="5" t="s">
        <v>240</v>
      </c>
      <c r="FR3332" s="5" t="s">
        <v>240</v>
      </c>
      <c r="FS3332" s="5" t="s">
        <v>240</v>
      </c>
      <c r="FT3332" s="5" t="s">
        <v>240</v>
      </c>
      <c r="FU3332" s="5" t="s">
        <v>240</v>
      </c>
      <c r="FV3332" s="5" t="s">
        <v>240</v>
      </c>
      <c r="FW3332" s="5" t="s">
        <v>240</v>
      </c>
      <c r="FX3332" s="5" t="s">
        <v>240</v>
      </c>
      <c r="FY3332" s="5" t="s">
        <v>240</v>
      </c>
      <c r="FZ3332" s="5" t="s">
        <v>240</v>
      </c>
      <c r="GA3332" s="5" t="s">
        <v>240</v>
      </c>
      <c r="GB3332" s="5" t="s">
        <v>240</v>
      </c>
      <c r="GC3332" s="5" t="s">
        <v>240</v>
      </c>
      <c r="GD3332" s="5" t="s">
        <v>240</v>
      </c>
      <c r="GE3332" s="5" t="s">
        <v>240</v>
      </c>
      <c r="GF3332" s="5" t="s">
        <v>240</v>
      </c>
      <c r="GG3332" s="5" t="s">
        <v>240</v>
      </c>
      <c r="GH3332" s="5" t="s">
        <v>240</v>
      </c>
      <c r="GI3332" s="5" t="s">
        <v>240</v>
      </c>
      <c r="GJ3332" s="5" t="s">
        <v>240</v>
      </c>
      <c r="GK3332" s="5" t="s">
        <v>240</v>
      </c>
      <c r="GL3332" s="5" t="s">
        <v>240</v>
      </c>
      <c r="GM3332" s="5" t="s">
        <v>240</v>
      </c>
      <c r="GN3332" s="5" t="s">
        <v>240</v>
      </c>
      <c r="GO3332" s="5" t="s">
        <v>240</v>
      </c>
      <c r="GP3332" s="5" t="s">
        <v>240</v>
      </c>
      <c r="GQ3332" s="5" t="s">
        <v>240</v>
      </c>
      <c r="GR3332" s="5" t="s">
        <v>240</v>
      </c>
      <c r="GS3332" s="5" t="s">
        <v>240</v>
      </c>
      <c r="GT3332" s="5" t="s">
        <v>240</v>
      </c>
      <c r="GU3332" s="5" t="s">
        <v>240</v>
      </c>
      <c r="GV3332" s="5" t="s">
        <v>240</v>
      </c>
      <c r="GW3332" s="5" t="s">
        <v>240</v>
      </c>
      <c r="GX3332" s="5" t="s">
        <v>240</v>
      </c>
      <c r="GY3332" s="5" t="s">
        <v>240</v>
      </c>
      <c r="GZ3332" s="5" t="s">
        <v>240</v>
      </c>
      <c r="HA3332" s="5" t="s">
        <v>240</v>
      </c>
      <c r="HB3332" s="5" t="s">
        <v>240</v>
      </c>
      <c r="HC3332" s="5" t="s">
        <v>240</v>
      </c>
      <c r="HD3332" s="5" t="s">
        <v>240</v>
      </c>
      <c r="HE3332" s="5" t="s">
        <v>240</v>
      </c>
      <c r="HF3332" s="5" t="s">
        <v>240</v>
      </c>
      <c r="HG3332" s="5" t="s">
        <v>240</v>
      </c>
      <c r="HH3332" s="5" t="s">
        <v>240</v>
      </c>
      <c r="HI3332" s="5" t="s">
        <v>240</v>
      </c>
      <c r="HJ3332" s="5" t="s">
        <v>240</v>
      </c>
      <c r="HK3332" s="5" t="s">
        <v>240</v>
      </c>
      <c r="HL3332" s="5" t="s">
        <v>240</v>
      </c>
      <c r="HM3332" s="5" t="s">
        <v>240</v>
      </c>
      <c r="HN3332" s="5" t="s">
        <v>240</v>
      </c>
      <c r="HO3332" s="5" t="s">
        <v>312</v>
      </c>
      <c r="HP3332" s="5" t="s">
        <v>240</v>
      </c>
      <c r="HQ3332" s="5" t="s">
        <v>240</v>
      </c>
      <c r="HR3332" s="5" t="s">
        <v>240</v>
      </c>
      <c r="HS3332" s="5" t="s">
        <v>240</v>
      </c>
      <c r="HT3332" s="5" t="s">
        <v>240</v>
      </c>
      <c r="HU3332" s="5" t="s">
        <v>240</v>
      </c>
      <c r="HV3332" s="5" t="s">
        <v>240</v>
      </c>
      <c r="HW3332" s="5" t="s">
        <v>240</v>
      </c>
      <c r="HX3332" s="5" t="s">
        <v>240</v>
      </c>
      <c r="HY3332" s="5" t="s">
        <v>240</v>
      </c>
      <c r="HZ3332" s="5" t="s">
        <v>240</v>
      </c>
      <c r="IA3332" s="5" t="s">
        <v>240</v>
      </c>
      <c r="IB3332" s="5" t="s">
        <v>240</v>
      </c>
      <c r="IC3332" s="5" t="s">
        <v>240</v>
      </c>
      <c r="ID3332" s="5" t="s">
        <v>240</v>
      </c>
      <c r="IE3332" s="5" t="s">
        <v>240</v>
      </c>
      <c r="IF3332" s="5" t="s">
        <v>240</v>
      </c>
    </row>
    <row r="3333" spans="1:240" x14ac:dyDescent="0.4">
      <c r="A3333" s="5">
        <v>8875</v>
      </c>
      <c r="B3333" s="5">
        <v>1</v>
      </c>
      <c r="C3333" s="5">
        <v>1</v>
      </c>
      <c r="D3333" s="5" t="s">
        <v>723</v>
      </c>
      <c r="E3333" s="5" t="s">
        <v>725</v>
      </c>
      <c r="F3333" s="5" t="s">
        <v>730</v>
      </c>
      <c r="G3333" s="5" t="s">
        <v>726</v>
      </c>
      <c r="H3333" s="6" t="s">
        <v>6295</v>
      </c>
      <c r="I3333" s="5" t="s">
        <v>722</v>
      </c>
      <c r="J3333" s="8">
        <f>382</f>
        <v>382</v>
      </c>
      <c r="K3333" s="5" t="s">
        <v>308</v>
      </c>
      <c r="L3333" s="7">
        <f>0</f>
        <v>0</v>
      </c>
      <c r="M3333" s="7">
        <f>0</f>
        <v>0</v>
      </c>
      <c r="N3333" s="5" t="s">
        <v>242</v>
      </c>
      <c r="O3333" s="5">
        <v>1</v>
      </c>
      <c r="P3333" s="5" t="s">
        <v>294</v>
      </c>
      <c r="Q3333" s="5" t="s">
        <v>3678</v>
      </c>
      <c r="R3333" s="5" t="s">
        <v>240</v>
      </c>
      <c r="S3333" s="5" t="s">
        <v>240</v>
      </c>
      <c r="T3333" s="5" t="s">
        <v>243</v>
      </c>
      <c r="U3333" s="5" t="s">
        <v>244</v>
      </c>
      <c r="V3333" s="5" t="s">
        <v>240</v>
      </c>
      <c r="W3333" s="5" t="s">
        <v>240</v>
      </c>
      <c r="X3333" s="5" t="s">
        <v>240</v>
      </c>
      <c r="Y3333" s="5" t="s">
        <v>240</v>
      </c>
      <c r="Z3333" s="6" t="s">
        <v>298</v>
      </c>
      <c r="AA3333" s="6" t="s">
        <v>240</v>
      </c>
      <c r="AB3333" s="6" t="s">
        <v>240</v>
      </c>
      <c r="AC3333" s="5" t="s">
        <v>240</v>
      </c>
      <c r="AD3333" s="6" t="s">
        <v>240</v>
      </c>
      <c r="AE3333" s="6" t="s">
        <v>299</v>
      </c>
      <c r="AF3333" s="5" t="s">
        <v>248</v>
      </c>
      <c r="AG3333" s="5" t="s">
        <v>249</v>
      </c>
      <c r="AH3333" s="5" t="s">
        <v>240</v>
      </c>
      <c r="AI3333" s="5" t="s">
        <v>240</v>
      </c>
      <c r="AJ3333" s="5" t="s">
        <v>240</v>
      </c>
      <c r="AK3333" s="5" t="s">
        <v>240</v>
      </c>
      <c r="AL3333" s="5" t="s">
        <v>240</v>
      </c>
      <c r="AM3333" s="5" t="s">
        <v>240</v>
      </c>
      <c r="AN3333" s="5" t="s">
        <v>240</v>
      </c>
      <c r="AO3333" s="5" t="s">
        <v>240</v>
      </c>
      <c r="AP3333" s="6" t="s">
        <v>240</v>
      </c>
      <c r="AQ3333" s="6" t="s">
        <v>240</v>
      </c>
      <c r="AR3333" s="6" t="s">
        <v>240</v>
      </c>
      <c r="AS3333" s="6" t="s">
        <v>240</v>
      </c>
      <c r="AT3333" s="5" t="s">
        <v>240</v>
      </c>
      <c r="AU3333" s="5" t="s">
        <v>729</v>
      </c>
      <c r="AV3333" s="5" t="s">
        <v>729</v>
      </c>
      <c r="AW3333" s="5" t="s">
        <v>251</v>
      </c>
      <c r="AX3333" s="5" t="s">
        <v>252</v>
      </c>
      <c r="AY3333" s="5" t="s">
        <v>253</v>
      </c>
      <c r="AZ3333" s="5" t="s">
        <v>240</v>
      </c>
      <c r="BA3333" s="5" t="s">
        <v>255</v>
      </c>
      <c r="BB3333" s="5" t="s">
        <v>731</v>
      </c>
      <c r="BD3333" s="5" t="s">
        <v>240</v>
      </c>
      <c r="BF3333" s="5" t="s">
        <v>732</v>
      </c>
      <c r="BG3333" s="6" t="s">
        <v>733</v>
      </c>
      <c r="BH3333" s="5" t="s">
        <v>734</v>
      </c>
      <c r="BI3333" s="5" t="s">
        <v>734</v>
      </c>
      <c r="BJ3333" s="5" t="s">
        <v>240</v>
      </c>
      <c r="BK3333" s="7">
        <f>1</f>
        <v>1</v>
      </c>
      <c r="BL3333" s="7">
        <f>1</f>
        <v>1</v>
      </c>
      <c r="BM3333" s="5" t="s">
        <v>258</v>
      </c>
      <c r="BN3333" s="5" t="s">
        <v>259</v>
      </c>
      <c r="BO3333" s="5" t="s">
        <v>240</v>
      </c>
      <c r="BP3333" s="5" t="s">
        <v>240</v>
      </c>
      <c r="BQ3333" s="5" t="s">
        <v>240</v>
      </c>
      <c r="BR3333" s="5" t="s">
        <v>240</v>
      </c>
      <c r="BS3333" s="5" t="s">
        <v>240</v>
      </c>
      <c r="BT3333" s="5" t="s">
        <v>240</v>
      </c>
      <c r="BU3333" s="5" t="s">
        <v>240</v>
      </c>
      <c r="BV3333" s="5" t="s">
        <v>240</v>
      </c>
      <c r="BW3333" s="6" t="s">
        <v>240</v>
      </c>
      <c r="BX3333" s="5" t="s">
        <v>240</v>
      </c>
      <c r="BY3333" s="5" t="s">
        <v>240</v>
      </c>
      <c r="BZ3333" s="5" t="s">
        <v>240</v>
      </c>
      <c r="CA3333" s="5" t="s">
        <v>259</v>
      </c>
      <c r="CB3333" s="5" t="s">
        <v>240</v>
      </c>
      <c r="CC3333" s="5" t="s">
        <v>240</v>
      </c>
      <c r="CD3333" s="5" t="s">
        <v>240</v>
      </c>
      <c r="CE3333" s="5" t="s">
        <v>240</v>
      </c>
      <c r="CF3333" s="5" t="s">
        <v>240</v>
      </c>
      <c r="CG3333" s="5" t="s">
        <v>304</v>
      </c>
      <c r="CH3333" s="5" t="s">
        <v>305</v>
      </c>
      <c r="CI3333" s="5" t="s">
        <v>240</v>
      </c>
      <c r="CK3333" s="5" t="s">
        <v>3681</v>
      </c>
      <c r="CL3333" s="6" t="s">
        <v>261</v>
      </c>
      <c r="CM3333" s="5" t="s">
        <v>262</v>
      </c>
      <c r="CN3333" s="5" t="s">
        <v>263</v>
      </c>
      <c r="CO3333" s="5" t="s">
        <v>264</v>
      </c>
      <c r="CP3333" s="5" t="s">
        <v>240</v>
      </c>
      <c r="CQ3333" s="5">
        <v>0</v>
      </c>
      <c r="CR3333" s="5" t="s">
        <v>735</v>
      </c>
      <c r="CS3333" s="5" t="s">
        <v>307</v>
      </c>
      <c r="CT3333" s="5" t="s">
        <v>307</v>
      </c>
      <c r="CU3333" s="5" t="s">
        <v>260</v>
      </c>
      <c r="CV3333" s="5" t="s">
        <v>612</v>
      </c>
      <c r="CW3333" s="8">
        <f>1</f>
        <v>1</v>
      </c>
      <c r="CX3333" s="7">
        <f>1</f>
        <v>1</v>
      </c>
      <c r="CY3333" s="7">
        <f>0</f>
        <v>0</v>
      </c>
      <c r="DA3333" s="7">
        <f>1</f>
        <v>1</v>
      </c>
      <c r="DB3333" s="7" t="s">
        <v>240</v>
      </c>
      <c r="DC3333" s="5" t="s">
        <v>240</v>
      </c>
      <c r="DD3333" s="5" t="s">
        <v>240</v>
      </c>
      <c r="DE3333" s="5" t="s">
        <v>240</v>
      </c>
      <c r="DF3333" s="5" t="s">
        <v>240</v>
      </c>
      <c r="DG3333" s="7">
        <f>0</f>
        <v>0</v>
      </c>
      <c r="DI3333" s="5" t="s">
        <v>240</v>
      </c>
      <c r="DJ3333" s="5" t="s">
        <v>240</v>
      </c>
      <c r="DK3333" s="5" t="s">
        <v>240</v>
      </c>
      <c r="DL3333" s="5" t="s">
        <v>240</v>
      </c>
      <c r="DM3333" s="5" t="s">
        <v>240</v>
      </c>
      <c r="DN3333" s="5" t="s">
        <v>240</v>
      </c>
      <c r="DO3333" s="7" t="s">
        <v>240</v>
      </c>
      <c r="DP3333" s="5" t="s">
        <v>240</v>
      </c>
      <c r="DQ3333" s="5" t="s">
        <v>240</v>
      </c>
      <c r="DR3333" s="5" t="s">
        <v>731</v>
      </c>
      <c r="DS3333" s="5" t="s">
        <v>731</v>
      </c>
      <c r="DT3333" s="5" t="s">
        <v>240</v>
      </c>
      <c r="DU3333" s="5" t="s">
        <v>240</v>
      </c>
      <c r="DV3333" s="5" t="s">
        <v>5063</v>
      </c>
      <c r="DW3333" s="5" t="s">
        <v>2055</v>
      </c>
      <c r="DX3333" s="5" t="s">
        <v>240</v>
      </c>
      <c r="DY3333" s="5" t="s">
        <v>240</v>
      </c>
      <c r="DZ3333" s="5" t="s">
        <v>240</v>
      </c>
      <c r="EA3333" s="5" t="s">
        <v>240</v>
      </c>
      <c r="EB3333" s="5" t="s">
        <v>240</v>
      </c>
      <c r="EC3333" s="5" t="s">
        <v>240</v>
      </c>
      <c r="ED3333" s="5" t="s">
        <v>240</v>
      </c>
      <c r="EE3333" s="5" t="s">
        <v>240</v>
      </c>
      <c r="EF3333" s="5" t="s">
        <v>240</v>
      </c>
      <c r="EG3333" s="5" t="s">
        <v>240</v>
      </c>
      <c r="EH3333" s="5" t="s">
        <v>240</v>
      </c>
      <c r="EI3333" s="5" t="s">
        <v>240</v>
      </c>
      <c r="EJ3333" s="5" t="s">
        <v>240</v>
      </c>
      <c r="EK3333" s="5" t="s">
        <v>240</v>
      </c>
      <c r="EL3333" s="5" t="s">
        <v>240</v>
      </c>
      <c r="EM3333" s="5" t="s">
        <v>240</v>
      </c>
      <c r="EN3333" s="5" t="s">
        <v>240</v>
      </c>
      <c r="EO3333" s="5" t="s">
        <v>240</v>
      </c>
      <c r="EP3333" s="5" t="s">
        <v>240</v>
      </c>
      <c r="EQ3333" s="5" t="s">
        <v>240</v>
      </c>
      <c r="ER3333" s="5" t="s">
        <v>240</v>
      </c>
      <c r="ES3333" s="5" t="s">
        <v>240</v>
      </c>
      <c r="ET3333" s="5" t="s">
        <v>240</v>
      </c>
      <c r="EU3333" s="5" t="s">
        <v>240</v>
      </c>
      <c r="EV3333" s="5" t="s">
        <v>240</v>
      </c>
      <c r="EW3333" s="5" t="s">
        <v>240</v>
      </c>
      <c r="EX3333" s="5" t="s">
        <v>240</v>
      </c>
      <c r="EY3333" s="5" t="s">
        <v>240</v>
      </c>
      <c r="EZ3333" s="5" t="s">
        <v>240</v>
      </c>
      <c r="FA3333" s="5" t="s">
        <v>240</v>
      </c>
      <c r="FB3333" s="5" t="s">
        <v>240</v>
      </c>
      <c r="FC3333" s="5" t="s">
        <v>240</v>
      </c>
      <c r="FD3333" s="5" t="s">
        <v>240</v>
      </c>
      <c r="FE3333" s="5" t="s">
        <v>240</v>
      </c>
      <c r="FF3333" s="5" t="s">
        <v>240</v>
      </c>
      <c r="FG3333" s="5" t="s">
        <v>240</v>
      </c>
      <c r="FH3333" s="5" t="s">
        <v>240</v>
      </c>
      <c r="FI3333" s="5" t="s">
        <v>240</v>
      </c>
      <c r="FJ3333" s="5" t="s">
        <v>240</v>
      </c>
      <c r="FK3333" s="5" t="s">
        <v>240</v>
      </c>
      <c r="FL3333" s="5" t="s">
        <v>240</v>
      </c>
      <c r="FM3333" s="5" t="s">
        <v>240</v>
      </c>
      <c r="FN3333" s="5" t="s">
        <v>240</v>
      </c>
      <c r="FO3333" s="5" t="s">
        <v>240</v>
      </c>
      <c r="FP3333" s="5" t="s">
        <v>240</v>
      </c>
      <c r="FQ3333" s="5" t="s">
        <v>240</v>
      </c>
      <c r="FR3333" s="5" t="s">
        <v>240</v>
      </c>
      <c r="FS3333" s="5" t="s">
        <v>240</v>
      </c>
      <c r="FT3333" s="5" t="s">
        <v>240</v>
      </c>
      <c r="FU3333" s="5" t="s">
        <v>240</v>
      </c>
      <c r="FV3333" s="5" t="s">
        <v>240</v>
      </c>
      <c r="FW3333" s="5" t="s">
        <v>240</v>
      </c>
      <c r="FX3333" s="5" t="s">
        <v>240</v>
      </c>
      <c r="FY3333" s="5" t="s">
        <v>240</v>
      </c>
      <c r="FZ3333" s="5" t="s">
        <v>240</v>
      </c>
      <c r="GA3333" s="5" t="s">
        <v>240</v>
      </c>
      <c r="GB3333" s="5" t="s">
        <v>240</v>
      </c>
      <c r="GC3333" s="5" t="s">
        <v>240</v>
      </c>
      <c r="GD3333" s="5" t="s">
        <v>240</v>
      </c>
      <c r="GE3333" s="5" t="s">
        <v>240</v>
      </c>
      <c r="GF3333" s="5" t="s">
        <v>240</v>
      </c>
      <c r="GG3333" s="5" t="s">
        <v>240</v>
      </c>
      <c r="GH3333" s="5" t="s">
        <v>240</v>
      </c>
      <c r="GI3333" s="5" t="s">
        <v>240</v>
      </c>
      <c r="GJ3333" s="5" t="s">
        <v>240</v>
      </c>
      <c r="GK3333" s="5" t="s">
        <v>240</v>
      </c>
      <c r="GL3333" s="5" t="s">
        <v>240</v>
      </c>
      <c r="GM3333" s="5" t="s">
        <v>240</v>
      </c>
      <c r="GN3333" s="5" t="s">
        <v>240</v>
      </c>
      <c r="GO3333" s="5" t="s">
        <v>240</v>
      </c>
      <c r="GP3333" s="5" t="s">
        <v>240</v>
      </c>
      <c r="GQ3333" s="5" t="s">
        <v>240</v>
      </c>
      <c r="GR3333" s="5" t="s">
        <v>240</v>
      </c>
      <c r="GS3333" s="5" t="s">
        <v>240</v>
      </c>
      <c r="GT3333" s="5" t="s">
        <v>240</v>
      </c>
      <c r="GU3333" s="5" t="s">
        <v>240</v>
      </c>
      <c r="GV3333" s="5" t="s">
        <v>240</v>
      </c>
      <c r="GW3333" s="5" t="s">
        <v>240</v>
      </c>
      <c r="GX3333" s="5" t="s">
        <v>240</v>
      </c>
      <c r="GY3333" s="5" t="s">
        <v>240</v>
      </c>
      <c r="GZ3333" s="5" t="s">
        <v>240</v>
      </c>
      <c r="HA3333" s="5" t="s">
        <v>240</v>
      </c>
      <c r="HB3333" s="5" t="s">
        <v>240</v>
      </c>
      <c r="HC3333" s="5" t="s">
        <v>240</v>
      </c>
      <c r="HD3333" s="5" t="s">
        <v>240</v>
      </c>
      <c r="HE3333" s="5" t="s">
        <v>240</v>
      </c>
      <c r="HF3333" s="5" t="s">
        <v>240</v>
      </c>
      <c r="HG3333" s="5" t="s">
        <v>240</v>
      </c>
      <c r="HH3333" s="5" t="s">
        <v>240</v>
      </c>
      <c r="HI3333" s="5" t="s">
        <v>240</v>
      </c>
      <c r="HJ3333" s="5" t="s">
        <v>240</v>
      </c>
      <c r="HK3333" s="5" t="s">
        <v>240</v>
      </c>
      <c r="HL3333" s="5" t="s">
        <v>240</v>
      </c>
      <c r="HM3333" s="5" t="s">
        <v>240</v>
      </c>
      <c r="HN3333" s="5" t="s">
        <v>240</v>
      </c>
      <c r="HO3333" s="5" t="s">
        <v>312</v>
      </c>
      <c r="HP3333" s="5" t="s">
        <v>240</v>
      </c>
      <c r="HQ3333" s="5" t="s">
        <v>240</v>
      </c>
      <c r="HR3333" s="5" t="s">
        <v>240</v>
      </c>
      <c r="HS3333" s="5" t="s">
        <v>240</v>
      </c>
      <c r="HT3333" s="5" t="s">
        <v>240</v>
      </c>
      <c r="HU3333" s="5" t="s">
        <v>240</v>
      </c>
      <c r="HV3333" s="5" t="s">
        <v>240</v>
      </c>
      <c r="HW3333" s="5" t="s">
        <v>240</v>
      </c>
      <c r="HX3333" s="5" t="s">
        <v>240</v>
      </c>
      <c r="HY3333" s="5" t="s">
        <v>240</v>
      </c>
      <c r="HZ3333" s="5" t="s">
        <v>240</v>
      </c>
      <c r="IA3333" s="5" t="s">
        <v>240</v>
      </c>
      <c r="IB3333" s="5" t="s">
        <v>240</v>
      </c>
      <c r="IC3333" s="5" t="s">
        <v>240</v>
      </c>
      <c r="ID3333" s="5" t="s">
        <v>240</v>
      </c>
      <c r="IE3333" s="5" t="s">
        <v>240</v>
      </c>
      <c r="IF3333" s="5" t="s">
        <v>240</v>
      </c>
    </row>
    <row r="3334" spans="1:240" x14ac:dyDescent="0.4">
      <c r="A3334" s="5">
        <v>8876</v>
      </c>
      <c r="B3334" s="5">
        <v>1</v>
      </c>
      <c r="C3334" s="5">
        <v>1</v>
      </c>
      <c r="D3334" s="5" t="s">
        <v>723</v>
      </c>
      <c r="E3334" s="5" t="s">
        <v>725</v>
      </c>
      <c r="F3334" s="5" t="s">
        <v>730</v>
      </c>
      <c r="G3334" s="5" t="s">
        <v>726</v>
      </c>
      <c r="H3334" s="6" t="s">
        <v>6292</v>
      </c>
      <c r="I3334" s="5" t="s">
        <v>722</v>
      </c>
      <c r="J3334" s="8">
        <f>476</f>
        <v>476</v>
      </c>
      <c r="K3334" s="5" t="s">
        <v>308</v>
      </c>
      <c r="L3334" s="7">
        <f>0</f>
        <v>0</v>
      </c>
      <c r="M3334" s="7">
        <f>0</f>
        <v>0</v>
      </c>
      <c r="N3334" s="5" t="s">
        <v>242</v>
      </c>
      <c r="O3334" s="5">
        <v>1</v>
      </c>
      <c r="P3334" s="5" t="s">
        <v>294</v>
      </c>
      <c r="Q3334" s="5" t="s">
        <v>266</v>
      </c>
      <c r="R3334" s="5" t="s">
        <v>240</v>
      </c>
      <c r="S3334" s="5" t="s">
        <v>240</v>
      </c>
      <c r="T3334" s="5" t="s">
        <v>296</v>
      </c>
      <c r="U3334" s="5" t="s">
        <v>244</v>
      </c>
      <c r="V3334" s="5" t="s">
        <v>240</v>
      </c>
      <c r="Y3334" s="5" t="s">
        <v>240</v>
      </c>
      <c r="Z3334" s="6" t="s">
        <v>298</v>
      </c>
      <c r="AB3334" s="6" t="s">
        <v>240</v>
      </c>
      <c r="AE3334" s="6" t="s">
        <v>299</v>
      </c>
      <c r="AF3334" s="5" t="s">
        <v>248</v>
      </c>
      <c r="AG3334" s="5" t="s">
        <v>249</v>
      </c>
      <c r="AW3334" s="5" t="s">
        <v>251</v>
      </c>
      <c r="AX3334" s="5" t="s">
        <v>240</v>
      </c>
      <c r="AY3334" s="5" t="s">
        <v>253</v>
      </c>
      <c r="AZ3334" s="5" t="s">
        <v>240</v>
      </c>
      <c r="BA3334" s="5" t="s">
        <v>255</v>
      </c>
      <c r="BB3334" s="5" t="s">
        <v>240</v>
      </c>
      <c r="BD3334" s="5" t="s">
        <v>240</v>
      </c>
      <c r="BF3334" s="5" t="s">
        <v>301</v>
      </c>
      <c r="BG3334" s="6" t="s">
        <v>299</v>
      </c>
      <c r="BH3334" s="5" t="s">
        <v>302</v>
      </c>
      <c r="BI3334" s="5" t="s">
        <v>303</v>
      </c>
      <c r="BJ3334" s="5" t="s">
        <v>240</v>
      </c>
      <c r="BK3334" s="8">
        <f>0</f>
        <v>0</v>
      </c>
      <c r="BL3334" s="7">
        <f>0</f>
        <v>0</v>
      </c>
      <c r="BM3334" s="5" t="s">
        <v>258</v>
      </c>
      <c r="BN3334" s="5" t="s">
        <v>259</v>
      </c>
      <c r="CB3334" s="5" t="s">
        <v>240</v>
      </c>
      <c r="CC3334" s="5" t="s">
        <v>240</v>
      </c>
      <c r="CG3334" s="5" t="s">
        <v>304</v>
      </c>
      <c r="CH3334" s="5" t="s">
        <v>305</v>
      </c>
      <c r="CI3334" s="5" t="s">
        <v>240</v>
      </c>
      <c r="CL3334" s="6" t="s">
        <v>261</v>
      </c>
      <c r="CM3334" s="5" t="s">
        <v>240</v>
      </c>
      <c r="CN3334" s="5" t="s">
        <v>263</v>
      </c>
      <c r="CO3334" s="5" t="s">
        <v>240</v>
      </c>
      <c r="CP3334" s="5" t="s">
        <v>240</v>
      </c>
      <c r="CQ3334" s="5">
        <v>0</v>
      </c>
      <c r="CR3334" s="5" t="s">
        <v>306</v>
      </c>
      <c r="CS3334" s="5" t="s">
        <v>307</v>
      </c>
      <c r="CT3334" s="5" t="s">
        <v>307</v>
      </c>
      <c r="CU3334" s="5" t="s">
        <v>260</v>
      </c>
      <c r="CX3334" s="7">
        <f>1</f>
        <v>1</v>
      </c>
      <c r="CY3334" s="7">
        <f>0</f>
        <v>0</v>
      </c>
      <c r="DA3334" s="7">
        <f>0</f>
        <v>0</v>
      </c>
      <c r="DC3334" s="5" t="s">
        <v>309</v>
      </c>
      <c r="DD3334" s="5" t="s">
        <v>240</v>
      </c>
      <c r="DF3334" s="5" t="s">
        <v>309</v>
      </c>
      <c r="DG3334" s="7">
        <f>238</f>
        <v>238</v>
      </c>
      <c r="DI3334" s="5" t="s">
        <v>240</v>
      </c>
      <c r="DJ3334" s="5" t="s">
        <v>240</v>
      </c>
      <c r="DK3334" s="5" t="s">
        <v>240</v>
      </c>
      <c r="DL3334" s="5" t="s">
        <v>240</v>
      </c>
      <c r="DP3334" s="5" t="s">
        <v>240</v>
      </c>
      <c r="DQ3334" s="5" t="s">
        <v>240</v>
      </c>
      <c r="DR3334" s="5" t="s">
        <v>240</v>
      </c>
      <c r="DS3334" s="5" t="s">
        <v>240</v>
      </c>
      <c r="DV3334" s="5" t="s">
        <v>310</v>
      </c>
      <c r="DW3334" s="5" t="s">
        <v>3407</v>
      </c>
      <c r="HO3334" s="5" t="s">
        <v>312</v>
      </c>
    </row>
    <row r="3335" spans="1:240" x14ac:dyDescent="0.4">
      <c r="A3335" s="5">
        <v>8877</v>
      </c>
      <c r="B3335" s="5">
        <v>1</v>
      </c>
      <c r="C3335" s="5">
        <v>1</v>
      </c>
      <c r="D3335" s="5" t="s">
        <v>723</v>
      </c>
      <c r="E3335" s="5" t="s">
        <v>725</v>
      </c>
      <c r="F3335" s="5" t="s">
        <v>730</v>
      </c>
      <c r="G3335" s="5" t="s">
        <v>726</v>
      </c>
      <c r="H3335" s="6" t="s">
        <v>6291</v>
      </c>
      <c r="I3335" s="5" t="s">
        <v>990</v>
      </c>
      <c r="J3335" s="8">
        <f>193.8</f>
        <v>193.8</v>
      </c>
      <c r="K3335" s="5" t="s">
        <v>308</v>
      </c>
      <c r="L3335" s="7">
        <f>0</f>
        <v>0</v>
      </c>
      <c r="M3335" s="7">
        <f>0</f>
        <v>0</v>
      </c>
      <c r="N3335" s="5" t="s">
        <v>242</v>
      </c>
      <c r="O3335" s="5">
        <v>1</v>
      </c>
      <c r="P3335" s="5" t="s">
        <v>294</v>
      </c>
      <c r="Q3335" s="5" t="s">
        <v>3678</v>
      </c>
      <c r="R3335" s="5" t="s">
        <v>240</v>
      </c>
      <c r="S3335" s="5" t="s">
        <v>240</v>
      </c>
      <c r="T3335" s="5" t="s">
        <v>243</v>
      </c>
      <c r="U3335" s="5" t="s">
        <v>244</v>
      </c>
      <c r="V3335" s="5" t="s">
        <v>240</v>
      </c>
      <c r="W3335" s="5" t="s">
        <v>240</v>
      </c>
      <c r="X3335" s="5" t="s">
        <v>240</v>
      </c>
      <c r="Y3335" s="5" t="s">
        <v>240</v>
      </c>
      <c r="Z3335" s="6" t="s">
        <v>298</v>
      </c>
      <c r="AA3335" s="6" t="s">
        <v>240</v>
      </c>
      <c r="AB3335" s="6" t="s">
        <v>240</v>
      </c>
      <c r="AC3335" s="5" t="s">
        <v>240</v>
      </c>
      <c r="AD3335" s="6" t="s">
        <v>240</v>
      </c>
      <c r="AE3335" s="6" t="s">
        <v>299</v>
      </c>
      <c r="AF3335" s="5" t="s">
        <v>248</v>
      </c>
      <c r="AG3335" s="5" t="s">
        <v>249</v>
      </c>
      <c r="AH3335" s="5" t="s">
        <v>240</v>
      </c>
      <c r="AI3335" s="5" t="s">
        <v>240</v>
      </c>
      <c r="AJ3335" s="5" t="s">
        <v>240</v>
      </c>
      <c r="AK3335" s="5" t="s">
        <v>240</v>
      </c>
      <c r="AL3335" s="5" t="s">
        <v>240</v>
      </c>
      <c r="AM3335" s="5" t="s">
        <v>240</v>
      </c>
      <c r="AN3335" s="5" t="s">
        <v>240</v>
      </c>
      <c r="AO3335" s="5" t="s">
        <v>240</v>
      </c>
      <c r="AP3335" s="6" t="s">
        <v>240</v>
      </c>
      <c r="AQ3335" s="6" t="s">
        <v>240</v>
      </c>
      <c r="AR3335" s="6" t="s">
        <v>240</v>
      </c>
      <c r="AS3335" s="6" t="s">
        <v>240</v>
      </c>
      <c r="AT3335" s="5" t="s">
        <v>240</v>
      </c>
      <c r="AU3335" s="5" t="s">
        <v>729</v>
      </c>
      <c r="AV3335" s="5" t="s">
        <v>729</v>
      </c>
      <c r="AW3335" s="5" t="s">
        <v>251</v>
      </c>
      <c r="AX3335" s="5" t="s">
        <v>252</v>
      </c>
      <c r="AY3335" s="5" t="s">
        <v>253</v>
      </c>
      <c r="AZ3335" s="5" t="s">
        <v>240</v>
      </c>
      <c r="BA3335" s="5" t="s">
        <v>255</v>
      </c>
      <c r="BB3335" s="5" t="s">
        <v>731</v>
      </c>
      <c r="BD3335" s="5" t="s">
        <v>240</v>
      </c>
      <c r="BF3335" s="5" t="s">
        <v>732</v>
      </c>
      <c r="BG3335" s="6" t="s">
        <v>733</v>
      </c>
      <c r="BH3335" s="5" t="s">
        <v>734</v>
      </c>
      <c r="BI3335" s="5" t="s">
        <v>734</v>
      </c>
      <c r="BJ3335" s="5" t="s">
        <v>240</v>
      </c>
      <c r="BK3335" s="7">
        <f>1</f>
        <v>1</v>
      </c>
      <c r="BL3335" s="7">
        <f>1</f>
        <v>1</v>
      </c>
      <c r="BM3335" s="5" t="s">
        <v>258</v>
      </c>
      <c r="BN3335" s="5" t="s">
        <v>259</v>
      </c>
      <c r="BO3335" s="5" t="s">
        <v>240</v>
      </c>
      <c r="BP3335" s="5" t="s">
        <v>240</v>
      </c>
      <c r="BQ3335" s="5" t="s">
        <v>240</v>
      </c>
      <c r="BR3335" s="5" t="s">
        <v>240</v>
      </c>
      <c r="BS3335" s="5" t="s">
        <v>240</v>
      </c>
      <c r="BT3335" s="5" t="s">
        <v>240</v>
      </c>
      <c r="BU3335" s="5" t="s">
        <v>240</v>
      </c>
      <c r="BV3335" s="5" t="s">
        <v>240</v>
      </c>
      <c r="BW3335" s="6" t="s">
        <v>240</v>
      </c>
      <c r="BX3335" s="5" t="s">
        <v>240</v>
      </c>
      <c r="BY3335" s="5" t="s">
        <v>240</v>
      </c>
      <c r="BZ3335" s="5" t="s">
        <v>240</v>
      </c>
      <c r="CA3335" s="5" t="s">
        <v>259</v>
      </c>
      <c r="CB3335" s="5" t="s">
        <v>240</v>
      </c>
      <c r="CC3335" s="5" t="s">
        <v>240</v>
      </c>
      <c r="CD3335" s="5" t="s">
        <v>240</v>
      </c>
      <c r="CE3335" s="5" t="s">
        <v>240</v>
      </c>
      <c r="CF3335" s="5" t="s">
        <v>240</v>
      </c>
      <c r="CG3335" s="5" t="s">
        <v>304</v>
      </c>
      <c r="CH3335" s="5" t="s">
        <v>305</v>
      </c>
      <c r="CI3335" s="5" t="s">
        <v>240</v>
      </c>
      <c r="CK3335" s="5" t="s">
        <v>3681</v>
      </c>
      <c r="CL3335" s="6" t="s">
        <v>261</v>
      </c>
      <c r="CM3335" s="5" t="s">
        <v>262</v>
      </c>
      <c r="CN3335" s="5" t="s">
        <v>263</v>
      </c>
      <c r="CO3335" s="5" t="s">
        <v>264</v>
      </c>
      <c r="CP3335" s="5" t="s">
        <v>240</v>
      </c>
      <c r="CQ3335" s="5">
        <v>0</v>
      </c>
      <c r="CR3335" s="5" t="s">
        <v>735</v>
      </c>
      <c r="CS3335" s="5" t="s">
        <v>307</v>
      </c>
      <c r="CT3335" s="5" t="s">
        <v>307</v>
      </c>
      <c r="CU3335" s="5" t="s">
        <v>260</v>
      </c>
      <c r="CV3335" s="5" t="s">
        <v>612</v>
      </c>
      <c r="CW3335" s="8">
        <f>1</f>
        <v>1</v>
      </c>
      <c r="CX3335" s="7">
        <f>1</f>
        <v>1</v>
      </c>
      <c r="CY3335" s="7">
        <f>0</f>
        <v>0</v>
      </c>
      <c r="DA3335" s="7">
        <f>1</f>
        <v>1</v>
      </c>
      <c r="DB3335" s="7" t="s">
        <v>240</v>
      </c>
      <c r="DC3335" s="5" t="s">
        <v>240</v>
      </c>
      <c r="DD3335" s="5" t="s">
        <v>240</v>
      </c>
      <c r="DE3335" s="5" t="s">
        <v>240</v>
      </c>
      <c r="DF3335" s="5" t="s">
        <v>240</v>
      </c>
      <c r="DG3335" s="7">
        <f>0</f>
        <v>0</v>
      </c>
      <c r="DI3335" s="5" t="s">
        <v>240</v>
      </c>
      <c r="DJ3335" s="5" t="s">
        <v>240</v>
      </c>
      <c r="DK3335" s="5" t="s">
        <v>240</v>
      </c>
      <c r="DL3335" s="5" t="s">
        <v>240</v>
      </c>
      <c r="DM3335" s="5" t="s">
        <v>240</v>
      </c>
      <c r="DN3335" s="5" t="s">
        <v>240</v>
      </c>
      <c r="DO3335" s="7" t="s">
        <v>240</v>
      </c>
      <c r="DP3335" s="5" t="s">
        <v>240</v>
      </c>
      <c r="DQ3335" s="5" t="s">
        <v>240</v>
      </c>
      <c r="DR3335" s="5" t="s">
        <v>731</v>
      </c>
      <c r="DS3335" s="5" t="s">
        <v>731</v>
      </c>
      <c r="DT3335" s="5" t="s">
        <v>240</v>
      </c>
      <c r="DU3335" s="5" t="s">
        <v>240</v>
      </c>
      <c r="DV3335" s="5" t="s">
        <v>5063</v>
      </c>
      <c r="DW3335" s="5" t="s">
        <v>715</v>
      </c>
      <c r="DX3335" s="5" t="s">
        <v>240</v>
      </c>
      <c r="DY3335" s="5" t="s">
        <v>240</v>
      </c>
      <c r="DZ3335" s="5" t="s">
        <v>240</v>
      </c>
      <c r="EA3335" s="5" t="s">
        <v>240</v>
      </c>
      <c r="EB3335" s="5" t="s">
        <v>240</v>
      </c>
      <c r="EC3335" s="5" t="s">
        <v>240</v>
      </c>
      <c r="ED3335" s="5" t="s">
        <v>240</v>
      </c>
      <c r="EE3335" s="5" t="s">
        <v>240</v>
      </c>
      <c r="EF3335" s="5" t="s">
        <v>240</v>
      </c>
      <c r="EG3335" s="5" t="s">
        <v>240</v>
      </c>
      <c r="EH3335" s="5" t="s">
        <v>240</v>
      </c>
      <c r="EI3335" s="5" t="s">
        <v>240</v>
      </c>
      <c r="EJ3335" s="5" t="s">
        <v>240</v>
      </c>
      <c r="EK3335" s="5" t="s">
        <v>240</v>
      </c>
      <c r="EL3335" s="5" t="s">
        <v>240</v>
      </c>
      <c r="EM3335" s="5" t="s">
        <v>240</v>
      </c>
      <c r="EN3335" s="5" t="s">
        <v>240</v>
      </c>
      <c r="EO3335" s="5" t="s">
        <v>240</v>
      </c>
      <c r="EP3335" s="5" t="s">
        <v>240</v>
      </c>
      <c r="EQ3335" s="5" t="s">
        <v>240</v>
      </c>
      <c r="ER3335" s="5" t="s">
        <v>240</v>
      </c>
      <c r="ES3335" s="5" t="s">
        <v>240</v>
      </c>
      <c r="ET3335" s="5" t="s">
        <v>240</v>
      </c>
      <c r="EU3335" s="5" t="s">
        <v>240</v>
      </c>
      <c r="EV3335" s="5" t="s">
        <v>240</v>
      </c>
      <c r="EW3335" s="5" t="s">
        <v>240</v>
      </c>
      <c r="EX3335" s="5" t="s">
        <v>240</v>
      </c>
      <c r="EY3335" s="5" t="s">
        <v>240</v>
      </c>
      <c r="EZ3335" s="5" t="s">
        <v>240</v>
      </c>
      <c r="FA3335" s="5" t="s">
        <v>240</v>
      </c>
      <c r="FB3335" s="5" t="s">
        <v>240</v>
      </c>
      <c r="FC3335" s="5" t="s">
        <v>240</v>
      </c>
      <c r="FD3335" s="5" t="s">
        <v>240</v>
      </c>
      <c r="FE3335" s="5" t="s">
        <v>240</v>
      </c>
      <c r="FF3335" s="5" t="s">
        <v>240</v>
      </c>
      <c r="FG3335" s="5" t="s">
        <v>240</v>
      </c>
      <c r="FH3335" s="5" t="s">
        <v>240</v>
      </c>
      <c r="FI3335" s="5" t="s">
        <v>240</v>
      </c>
      <c r="FJ3335" s="5" t="s">
        <v>240</v>
      </c>
      <c r="FK3335" s="5" t="s">
        <v>240</v>
      </c>
      <c r="FL3335" s="5" t="s">
        <v>240</v>
      </c>
      <c r="FM3335" s="5" t="s">
        <v>240</v>
      </c>
      <c r="FN3335" s="5" t="s">
        <v>240</v>
      </c>
      <c r="FO3335" s="5" t="s">
        <v>240</v>
      </c>
      <c r="FP3335" s="5" t="s">
        <v>240</v>
      </c>
      <c r="FQ3335" s="5" t="s">
        <v>240</v>
      </c>
      <c r="FR3335" s="5" t="s">
        <v>240</v>
      </c>
      <c r="FS3335" s="5" t="s">
        <v>240</v>
      </c>
      <c r="FT3335" s="5" t="s">
        <v>240</v>
      </c>
      <c r="FU3335" s="5" t="s">
        <v>240</v>
      </c>
      <c r="FV3335" s="5" t="s">
        <v>240</v>
      </c>
      <c r="FW3335" s="5" t="s">
        <v>240</v>
      </c>
      <c r="FX3335" s="5" t="s">
        <v>240</v>
      </c>
      <c r="FY3335" s="5" t="s">
        <v>240</v>
      </c>
      <c r="FZ3335" s="5" t="s">
        <v>240</v>
      </c>
      <c r="GA3335" s="5" t="s">
        <v>240</v>
      </c>
      <c r="GB3335" s="5" t="s">
        <v>240</v>
      </c>
      <c r="GC3335" s="5" t="s">
        <v>240</v>
      </c>
      <c r="GD3335" s="5" t="s">
        <v>240</v>
      </c>
      <c r="GE3335" s="5" t="s">
        <v>240</v>
      </c>
      <c r="GF3335" s="5" t="s">
        <v>240</v>
      </c>
      <c r="GG3335" s="5" t="s">
        <v>240</v>
      </c>
      <c r="GH3335" s="5" t="s">
        <v>240</v>
      </c>
      <c r="GI3335" s="5" t="s">
        <v>240</v>
      </c>
      <c r="GJ3335" s="5" t="s">
        <v>240</v>
      </c>
      <c r="GK3335" s="5" t="s">
        <v>240</v>
      </c>
      <c r="GL3335" s="5" t="s">
        <v>240</v>
      </c>
      <c r="GM3335" s="5" t="s">
        <v>240</v>
      </c>
      <c r="GN3335" s="5" t="s">
        <v>240</v>
      </c>
      <c r="GO3335" s="5" t="s">
        <v>240</v>
      </c>
      <c r="GP3335" s="5" t="s">
        <v>240</v>
      </c>
      <c r="GQ3335" s="5" t="s">
        <v>240</v>
      </c>
      <c r="GR3335" s="5" t="s">
        <v>240</v>
      </c>
      <c r="GS3335" s="5" t="s">
        <v>240</v>
      </c>
      <c r="GT3335" s="5" t="s">
        <v>240</v>
      </c>
      <c r="GU3335" s="5" t="s">
        <v>240</v>
      </c>
      <c r="GV3335" s="5" t="s">
        <v>240</v>
      </c>
      <c r="GW3335" s="5" t="s">
        <v>240</v>
      </c>
      <c r="GX3335" s="5" t="s">
        <v>240</v>
      </c>
      <c r="GY3335" s="5" t="s">
        <v>240</v>
      </c>
      <c r="GZ3335" s="5" t="s">
        <v>240</v>
      </c>
      <c r="HA3335" s="5" t="s">
        <v>240</v>
      </c>
      <c r="HB3335" s="5" t="s">
        <v>240</v>
      </c>
      <c r="HC3335" s="5" t="s">
        <v>240</v>
      </c>
      <c r="HD3335" s="5" t="s">
        <v>240</v>
      </c>
      <c r="HE3335" s="5" t="s">
        <v>240</v>
      </c>
      <c r="HF3335" s="5" t="s">
        <v>240</v>
      </c>
      <c r="HG3335" s="5" t="s">
        <v>240</v>
      </c>
      <c r="HH3335" s="5" t="s">
        <v>240</v>
      </c>
      <c r="HI3335" s="5" t="s">
        <v>240</v>
      </c>
      <c r="HJ3335" s="5" t="s">
        <v>240</v>
      </c>
      <c r="HK3335" s="5" t="s">
        <v>240</v>
      </c>
      <c r="HL3335" s="5" t="s">
        <v>240</v>
      </c>
      <c r="HM3335" s="5" t="s">
        <v>240</v>
      </c>
      <c r="HN3335" s="5" t="s">
        <v>240</v>
      </c>
      <c r="HO3335" s="5" t="s">
        <v>312</v>
      </c>
      <c r="HP3335" s="5" t="s">
        <v>240</v>
      </c>
      <c r="HQ3335" s="5" t="s">
        <v>240</v>
      </c>
      <c r="HR3335" s="5" t="s">
        <v>240</v>
      </c>
      <c r="HS3335" s="5" t="s">
        <v>240</v>
      </c>
      <c r="HT3335" s="5" t="s">
        <v>240</v>
      </c>
      <c r="HU3335" s="5" t="s">
        <v>240</v>
      </c>
      <c r="HV3335" s="5" t="s">
        <v>240</v>
      </c>
      <c r="HW3335" s="5" t="s">
        <v>240</v>
      </c>
      <c r="HX3335" s="5" t="s">
        <v>240</v>
      </c>
      <c r="HY3335" s="5" t="s">
        <v>240</v>
      </c>
      <c r="HZ3335" s="5" t="s">
        <v>240</v>
      </c>
      <c r="IA3335" s="5" t="s">
        <v>240</v>
      </c>
      <c r="IB3335" s="5" t="s">
        <v>240</v>
      </c>
      <c r="IC3335" s="5" t="s">
        <v>240</v>
      </c>
      <c r="ID3335" s="5" t="s">
        <v>240</v>
      </c>
      <c r="IE3335" s="5" t="s">
        <v>240</v>
      </c>
      <c r="IF3335" s="5" t="s">
        <v>240</v>
      </c>
    </row>
    <row r="3336" spans="1:240" x14ac:dyDescent="0.4">
      <c r="A3336" s="5">
        <v>8878</v>
      </c>
      <c r="B3336" s="5">
        <v>1</v>
      </c>
      <c r="C3336" s="5">
        <v>1</v>
      </c>
      <c r="D3336" s="5" t="s">
        <v>723</v>
      </c>
      <c r="E3336" s="5" t="s">
        <v>725</v>
      </c>
      <c r="F3336" s="5" t="s">
        <v>730</v>
      </c>
      <c r="G3336" s="5" t="s">
        <v>726</v>
      </c>
      <c r="H3336" s="6" t="s">
        <v>6290</v>
      </c>
      <c r="I3336" s="5" t="s">
        <v>990</v>
      </c>
      <c r="J3336" s="8">
        <f>1454.54</f>
        <v>1454.54</v>
      </c>
      <c r="K3336" s="5" t="s">
        <v>308</v>
      </c>
      <c r="L3336" s="7">
        <f>0</f>
        <v>0</v>
      </c>
      <c r="M3336" s="7">
        <f>0</f>
        <v>0</v>
      </c>
      <c r="N3336" s="5" t="s">
        <v>242</v>
      </c>
      <c r="O3336" s="5">
        <v>1</v>
      </c>
      <c r="P3336" s="5" t="s">
        <v>294</v>
      </c>
      <c r="Q3336" s="5" t="s">
        <v>3678</v>
      </c>
      <c r="R3336" s="5" t="s">
        <v>240</v>
      </c>
      <c r="S3336" s="5" t="s">
        <v>240</v>
      </c>
      <c r="T3336" s="5" t="s">
        <v>243</v>
      </c>
      <c r="U3336" s="5" t="s">
        <v>244</v>
      </c>
      <c r="V3336" s="5" t="s">
        <v>240</v>
      </c>
      <c r="W3336" s="5" t="s">
        <v>240</v>
      </c>
      <c r="X3336" s="5" t="s">
        <v>240</v>
      </c>
      <c r="Y3336" s="5" t="s">
        <v>240</v>
      </c>
      <c r="Z3336" s="6" t="s">
        <v>298</v>
      </c>
      <c r="AA3336" s="6" t="s">
        <v>240</v>
      </c>
      <c r="AB3336" s="6" t="s">
        <v>240</v>
      </c>
      <c r="AC3336" s="5" t="s">
        <v>240</v>
      </c>
      <c r="AD3336" s="6" t="s">
        <v>240</v>
      </c>
      <c r="AE3336" s="6" t="s">
        <v>299</v>
      </c>
      <c r="AF3336" s="5" t="s">
        <v>248</v>
      </c>
      <c r="AG3336" s="5" t="s">
        <v>249</v>
      </c>
      <c r="AH3336" s="5" t="s">
        <v>240</v>
      </c>
      <c r="AI3336" s="5" t="s">
        <v>240</v>
      </c>
      <c r="AJ3336" s="5" t="s">
        <v>240</v>
      </c>
      <c r="AK3336" s="5" t="s">
        <v>240</v>
      </c>
      <c r="AL3336" s="5" t="s">
        <v>240</v>
      </c>
      <c r="AM3336" s="5" t="s">
        <v>240</v>
      </c>
      <c r="AN3336" s="5" t="s">
        <v>240</v>
      </c>
      <c r="AO3336" s="5" t="s">
        <v>240</v>
      </c>
      <c r="AP3336" s="6" t="s">
        <v>240</v>
      </c>
      <c r="AQ3336" s="6" t="s">
        <v>240</v>
      </c>
      <c r="AR3336" s="6" t="s">
        <v>240</v>
      </c>
      <c r="AS3336" s="6" t="s">
        <v>240</v>
      </c>
      <c r="AT3336" s="5" t="s">
        <v>240</v>
      </c>
      <c r="AU3336" s="5" t="s">
        <v>729</v>
      </c>
      <c r="AV3336" s="5" t="s">
        <v>729</v>
      </c>
      <c r="AW3336" s="5" t="s">
        <v>251</v>
      </c>
      <c r="AX3336" s="5" t="s">
        <v>252</v>
      </c>
      <c r="AY3336" s="5" t="s">
        <v>253</v>
      </c>
      <c r="AZ3336" s="5" t="s">
        <v>240</v>
      </c>
      <c r="BA3336" s="5" t="s">
        <v>255</v>
      </c>
      <c r="BB3336" s="5" t="s">
        <v>731</v>
      </c>
      <c r="BD3336" s="5" t="s">
        <v>240</v>
      </c>
      <c r="BF3336" s="5" t="s">
        <v>732</v>
      </c>
      <c r="BG3336" s="6" t="s">
        <v>733</v>
      </c>
      <c r="BH3336" s="5" t="s">
        <v>734</v>
      </c>
      <c r="BI3336" s="5" t="s">
        <v>734</v>
      </c>
      <c r="BJ3336" s="5" t="s">
        <v>240</v>
      </c>
      <c r="BK3336" s="7">
        <f>1</f>
        <v>1</v>
      </c>
      <c r="BL3336" s="7">
        <f>1</f>
        <v>1</v>
      </c>
      <c r="BM3336" s="5" t="s">
        <v>258</v>
      </c>
      <c r="BN3336" s="5" t="s">
        <v>259</v>
      </c>
      <c r="BO3336" s="5" t="s">
        <v>240</v>
      </c>
      <c r="BP3336" s="5" t="s">
        <v>240</v>
      </c>
      <c r="BQ3336" s="5" t="s">
        <v>240</v>
      </c>
      <c r="BR3336" s="5" t="s">
        <v>240</v>
      </c>
      <c r="BS3336" s="5" t="s">
        <v>240</v>
      </c>
      <c r="BT3336" s="5" t="s">
        <v>240</v>
      </c>
      <c r="BU3336" s="5" t="s">
        <v>240</v>
      </c>
      <c r="BV3336" s="5" t="s">
        <v>240</v>
      </c>
      <c r="BW3336" s="6" t="s">
        <v>240</v>
      </c>
      <c r="BX3336" s="5" t="s">
        <v>240</v>
      </c>
      <c r="BY3336" s="5" t="s">
        <v>240</v>
      </c>
      <c r="BZ3336" s="5" t="s">
        <v>240</v>
      </c>
      <c r="CA3336" s="5" t="s">
        <v>259</v>
      </c>
      <c r="CB3336" s="5" t="s">
        <v>240</v>
      </c>
      <c r="CC3336" s="5" t="s">
        <v>240</v>
      </c>
      <c r="CD3336" s="5" t="s">
        <v>240</v>
      </c>
      <c r="CE3336" s="5" t="s">
        <v>240</v>
      </c>
      <c r="CF3336" s="5" t="s">
        <v>240</v>
      </c>
      <c r="CG3336" s="5" t="s">
        <v>304</v>
      </c>
      <c r="CH3336" s="5" t="s">
        <v>305</v>
      </c>
      <c r="CI3336" s="5" t="s">
        <v>240</v>
      </c>
      <c r="CK3336" s="5" t="s">
        <v>3681</v>
      </c>
      <c r="CL3336" s="6" t="s">
        <v>261</v>
      </c>
      <c r="CM3336" s="5" t="s">
        <v>262</v>
      </c>
      <c r="CN3336" s="5" t="s">
        <v>263</v>
      </c>
      <c r="CO3336" s="5" t="s">
        <v>264</v>
      </c>
      <c r="CP3336" s="5" t="s">
        <v>240</v>
      </c>
      <c r="CQ3336" s="5">
        <v>0</v>
      </c>
      <c r="CR3336" s="5" t="s">
        <v>735</v>
      </c>
      <c r="CS3336" s="5" t="s">
        <v>307</v>
      </c>
      <c r="CT3336" s="5" t="s">
        <v>307</v>
      </c>
      <c r="CU3336" s="5" t="s">
        <v>260</v>
      </c>
      <c r="CV3336" s="5" t="s">
        <v>612</v>
      </c>
      <c r="CW3336" s="8">
        <f>1</f>
        <v>1</v>
      </c>
      <c r="CX3336" s="7">
        <f>1</f>
        <v>1</v>
      </c>
      <c r="CY3336" s="7">
        <f>0</f>
        <v>0</v>
      </c>
      <c r="DA3336" s="7">
        <f>1</f>
        <v>1</v>
      </c>
      <c r="DB3336" s="7" t="s">
        <v>240</v>
      </c>
      <c r="DC3336" s="5" t="s">
        <v>240</v>
      </c>
      <c r="DD3336" s="5" t="s">
        <v>240</v>
      </c>
      <c r="DE3336" s="5" t="s">
        <v>240</v>
      </c>
      <c r="DF3336" s="5" t="s">
        <v>240</v>
      </c>
      <c r="DG3336" s="7">
        <f>0</f>
        <v>0</v>
      </c>
      <c r="DI3336" s="5" t="s">
        <v>240</v>
      </c>
      <c r="DJ3336" s="5" t="s">
        <v>240</v>
      </c>
      <c r="DK3336" s="5" t="s">
        <v>240</v>
      </c>
      <c r="DL3336" s="5" t="s">
        <v>240</v>
      </c>
      <c r="DM3336" s="5" t="s">
        <v>240</v>
      </c>
      <c r="DN3336" s="5" t="s">
        <v>240</v>
      </c>
      <c r="DO3336" s="7" t="s">
        <v>240</v>
      </c>
      <c r="DP3336" s="5" t="s">
        <v>240</v>
      </c>
      <c r="DQ3336" s="5" t="s">
        <v>240</v>
      </c>
      <c r="DR3336" s="5" t="s">
        <v>731</v>
      </c>
      <c r="DS3336" s="5" t="s">
        <v>731</v>
      </c>
      <c r="DT3336" s="5" t="s">
        <v>240</v>
      </c>
      <c r="DU3336" s="5" t="s">
        <v>240</v>
      </c>
      <c r="DV3336" s="5" t="s">
        <v>5063</v>
      </c>
      <c r="DW3336" s="5" t="s">
        <v>664</v>
      </c>
      <c r="DX3336" s="5" t="s">
        <v>240</v>
      </c>
      <c r="DY3336" s="5" t="s">
        <v>240</v>
      </c>
      <c r="DZ3336" s="5" t="s">
        <v>240</v>
      </c>
      <c r="EA3336" s="5" t="s">
        <v>240</v>
      </c>
      <c r="EB3336" s="5" t="s">
        <v>240</v>
      </c>
      <c r="EC3336" s="5" t="s">
        <v>240</v>
      </c>
      <c r="ED3336" s="5" t="s">
        <v>240</v>
      </c>
      <c r="EE3336" s="5" t="s">
        <v>240</v>
      </c>
      <c r="EF3336" s="5" t="s">
        <v>240</v>
      </c>
      <c r="EG3336" s="5" t="s">
        <v>240</v>
      </c>
      <c r="EH3336" s="5" t="s">
        <v>240</v>
      </c>
      <c r="EI3336" s="5" t="s">
        <v>240</v>
      </c>
      <c r="EJ3336" s="5" t="s">
        <v>240</v>
      </c>
      <c r="EK3336" s="5" t="s">
        <v>240</v>
      </c>
      <c r="EL3336" s="5" t="s">
        <v>240</v>
      </c>
      <c r="EM3336" s="5" t="s">
        <v>240</v>
      </c>
      <c r="EN3336" s="5" t="s">
        <v>240</v>
      </c>
      <c r="EO3336" s="5" t="s">
        <v>240</v>
      </c>
      <c r="EP3336" s="5" t="s">
        <v>240</v>
      </c>
      <c r="EQ3336" s="5" t="s">
        <v>240</v>
      </c>
      <c r="ER3336" s="5" t="s">
        <v>240</v>
      </c>
      <c r="ES3336" s="5" t="s">
        <v>240</v>
      </c>
      <c r="ET3336" s="5" t="s">
        <v>240</v>
      </c>
      <c r="EU3336" s="5" t="s">
        <v>240</v>
      </c>
      <c r="EV3336" s="5" t="s">
        <v>240</v>
      </c>
      <c r="EW3336" s="5" t="s">
        <v>240</v>
      </c>
      <c r="EX3336" s="5" t="s">
        <v>240</v>
      </c>
      <c r="EY3336" s="5" t="s">
        <v>240</v>
      </c>
      <c r="EZ3336" s="5" t="s">
        <v>240</v>
      </c>
      <c r="FA3336" s="5" t="s">
        <v>240</v>
      </c>
      <c r="FB3336" s="5" t="s">
        <v>240</v>
      </c>
      <c r="FC3336" s="5" t="s">
        <v>240</v>
      </c>
      <c r="FD3336" s="5" t="s">
        <v>240</v>
      </c>
      <c r="FE3336" s="5" t="s">
        <v>240</v>
      </c>
      <c r="FF3336" s="5" t="s">
        <v>240</v>
      </c>
      <c r="FG3336" s="5" t="s">
        <v>240</v>
      </c>
      <c r="FH3336" s="5" t="s">
        <v>240</v>
      </c>
      <c r="FI3336" s="5" t="s">
        <v>240</v>
      </c>
      <c r="FJ3336" s="5" t="s">
        <v>240</v>
      </c>
      <c r="FK3336" s="5" t="s">
        <v>240</v>
      </c>
      <c r="FL3336" s="5" t="s">
        <v>240</v>
      </c>
      <c r="FM3336" s="5" t="s">
        <v>240</v>
      </c>
      <c r="FN3336" s="5" t="s">
        <v>240</v>
      </c>
      <c r="FO3336" s="5" t="s">
        <v>240</v>
      </c>
      <c r="FP3336" s="5" t="s">
        <v>240</v>
      </c>
      <c r="FQ3336" s="5" t="s">
        <v>240</v>
      </c>
      <c r="FR3336" s="5" t="s">
        <v>240</v>
      </c>
      <c r="FS3336" s="5" t="s">
        <v>240</v>
      </c>
      <c r="FT3336" s="5" t="s">
        <v>240</v>
      </c>
      <c r="FU3336" s="5" t="s">
        <v>240</v>
      </c>
      <c r="FV3336" s="5" t="s">
        <v>240</v>
      </c>
      <c r="FW3336" s="5" t="s">
        <v>240</v>
      </c>
      <c r="FX3336" s="5" t="s">
        <v>240</v>
      </c>
      <c r="FY3336" s="5" t="s">
        <v>240</v>
      </c>
      <c r="FZ3336" s="5" t="s">
        <v>240</v>
      </c>
      <c r="GA3336" s="5" t="s">
        <v>240</v>
      </c>
      <c r="GB3336" s="5" t="s">
        <v>240</v>
      </c>
      <c r="GC3336" s="5" t="s">
        <v>240</v>
      </c>
      <c r="GD3336" s="5" t="s">
        <v>240</v>
      </c>
      <c r="GE3336" s="5" t="s">
        <v>240</v>
      </c>
      <c r="GF3336" s="5" t="s">
        <v>240</v>
      </c>
      <c r="GG3336" s="5" t="s">
        <v>240</v>
      </c>
      <c r="GH3336" s="5" t="s">
        <v>240</v>
      </c>
      <c r="GI3336" s="5" t="s">
        <v>240</v>
      </c>
      <c r="GJ3336" s="5" t="s">
        <v>240</v>
      </c>
      <c r="GK3336" s="5" t="s">
        <v>240</v>
      </c>
      <c r="GL3336" s="5" t="s">
        <v>240</v>
      </c>
      <c r="GM3336" s="5" t="s">
        <v>240</v>
      </c>
      <c r="GN3336" s="5" t="s">
        <v>240</v>
      </c>
      <c r="GO3336" s="5" t="s">
        <v>240</v>
      </c>
      <c r="GP3336" s="5" t="s">
        <v>240</v>
      </c>
      <c r="GQ3336" s="5" t="s">
        <v>240</v>
      </c>
      <c r="GR3336" s="5" t="s">
        <v>240</v>
      </c>
      <c r="GS3336" s="5" t="s">
        <v>240</v>
      </c>
      <c r="GT3336" s="5" t="s">
        <v>240</v>
      </c>
      <c r="GU3336" s="5" t="s">
        <v>240</v>
      </c>
      <c r="GV3336" s="5" t="s">
        <v>240</v>
      </c>
      <c r="GW3336" s="5" t="s">
        <v>240</v>
      </c>
      <c r="GX3336" s="5" t="s">
        <v>240</v>
      </c>
      <c r="GY3336" s="5" t="s">
        <v>240</v>
      </c>
      <c r="GZ3336" s="5" t="s">
        <v>240</v>
      </c>
      <c r="HA3336" s="5" t="s">
        <v>240</v>
      </c>
      <c r="HB3336" s="5" t="s">
        <v>240</v>
      </c>
      <c r="HC3336" s="5" t="s">
        <v>240</v>
      </c>
      <c r="HD3336" s="5" t="s">
        <v>240</v>
      </c>
      <c r="HE3336" s="5" t="s">
        <v>240</v>
      </c>
      <c r="HF3336" s="5" t="s">
        <v>240</v>
      </c>
      <c r="HG3336" s="5" t="s">
        <v>240</v>
      </c>
      <c r="HH3336" s="5" t="s">
        <v>240</v>
      </c>
      <c r="HI3336" s="5" t="s">
        <v>240</v>
      </c>
      <c r="HJ3336" s="5" t="s">
        <v>240</v>
      </c>
      <c r="HK3336" s="5" t="s">
        <v>240</v>
      </c>
      <c r="HL3336" s="5" t="s">
        <v>240</v>
      </c>
      <c r="HM3336" s="5" t="s">
        <v>240</v>
      </c>
      <c r="HN3336" s="5" t="s">
        <v>240</v>
      </c>
      <c r="HO3336" s="5" t="s">
        <v>312</v>
      </c>
      <c r="HP3336" s="5" t="s">
        <v>240</v>
      </c>
      <c r="HQ3336" s="5" t="s">
        <v>240</v>
      </c>
      <c r="HR3336" s="5" t="s">
        <v>240</v>
      </c>
      <c r="HS3336" s="5" t="s">
        <v>240</v>
      </c>
      <c r="HT3336" s="5" t="s">
        <v>240</v>
      </c>
      <c r="HU3336" s="5" t="s">
        <v>240</v>
      </c>
      <c r="HV3336" s="5" t="s">
        <v>240</v>
      </c>
      <c r="HW3336" s="5" t="s">
        <v>240</v>
      </c>
      <c r="HX3336" s="5" t="s">
        <v>240</v>
      </c>
      <c r="HY3336" s="5" t="s">
        <v>240</v>
      </c>
      <c r="HZ3336" s="5" t="s">
        <v>240</v>
      </c>
      <c r="IA3336" s="5" t="s">
        <v>240</v>
      </c>
      <c r="IB3336" s="5" t="s">
        <v>240</v>
      </c>
      <c r="IC3336" s="5" t="s">
        <v>240</v>
      </c>
      <c r="ID3336" s="5" t="s">
        <v>240</v>
      </c>
      <c r="IE3336" s="5" t="s">
        <v>240</v>
      </c>
      <c r="IF3336" s="5" t="s">
        <v>240</v>
      </c>
    </row>
    <row r="3337" spans="1:240" x14ac:dyDescent="0.4">
      <c r="A3337" s="5">
        <v>8879</v>
      </c>
      <c r="B3337" s="5">
        <v>1</v>
      </c>
      <c r="C3337" s="5">
        <v>1</v>
      </c>
      <c r="D3337" s="5" t="s">
        <v>723</v>
      </c>
      <c r="E3337" s="5" t="s">
        <v>725</v>
      </c>
      <c r="F3337" s="5" t="s">
        <v>730</v>
      </c>
      <c r="G3337" s="5" t="s">
        <v>726</v>
      </c>
      <c r="H3337" s="6" t="s">
        <v>6286</v>
      </c>
      <c r="I3337" s="5" t="s">
        <v>990</v>
      </c>
      <c r="J3337" s="8">
        <f>496</f>
        <v>496</v>
      </c>
      <c r="K3337" s="5" t="s">
        <v>308</v>
      </c>
      <c r="L3337" s="7">
        <f>0</f>
        <v>0</v>
      </c>
      <c r="M3337" s="7">
        <f>0</f>
        <v>0</v>
      </c>
      <c r="N3337" s="5" t="s">
        <v>242</v>
      </c>
      <c r="O3337" s="5">
        <v>1</v>
      </c>
      <c r="P3337" s="5" t="s">
        <v>294</v>
      </c>
      <c r="Q3337" s="5" t="s">
        <v>3678</v>
      </c>
      <c r="R3337" s="5" t="s">
        <v>240</v>
      </c>
      <c r="S3337" s="5" t="s">
        <v>240</v>
      </c>
      <c r="T3337" s="5" t="s">
        <v>243</v>
      </c>
      <c r="U3337" s="5" t="s">
        <v>244</v>
      </c>
      <c r="V3337" s="5" t="s">
        <v>240</v>
      </c>
      <c r="W3337" s="5" t="s">
        <v>240</v>
      </c>
      <c r="X3337" s="5" t="s">
        <v>240</v>
      </c>
      <c r="Y3337" s="5" t="s">
        <v>240</v>
      </c>
      <c r="Z3337" s="6" t="s">
        <v>298</v>
      </c>
      <c r="AA3337" s="6" t="s">
        <v>240</v>
      </c>
      <c r="AB3337" s="6" t="s">
        <v>240</v>
      </c>
      <c r="AC3337" s="5" t="s">
        <v>240</v>
      </c>
      <c r="AD3337" s="6" t="s">
        <v>240</v>
      </c>
      <c r="AE3337" s="6" t="s">
        <v>299</v>
      </c>
      <c r="AF3337" s="5" t="s">
        <v>248</v>
      </c>
      <c r="AG3337" s="5" t="s">
        <v>249</v>
      </c>
      <c r="AH3337" s="5" t="s">
        <v>240</v>
      </c>
      <c r="AI3337" s="5" t="s">
        <v>240</v>
      </c>
      <c r="AJ3337" s="5" t="s">
        <v>240</v>
      </c>
      <c r="AK3337" s="5" t="s">
        <v>240</v>
      </c>
      <c r="AL3337" s="5" t="s">
        <v>240</v>
      </c>
      <c r="AM3337" s="5" t="s">
        <v>240</v>
      </c>
      <c r="AN3337" s="5" t="s">
        <v>240</v>
      </c>
      <c r="AO3337" s="5" t="s">
        <v>240</v>
      </c>
      <c r="AP3337" s="6" t="s">
        <v>240</v>
      </c>
      <c r="AQ3337" s="6" t="s">
        <v>240</v>
      </c>
      <c r="AR3337" s="6" t="s">
        <v>240</v>
      </c>
      <c r="AS3337" s="6" t="s">
        <v>240</v>
      </c>
      <c r="AT3337" s="5" t="s">
        <v>240</v>
      </c>
      <c r="AU3337" s="5" t="s">
        <v>729</v>
      </c>
      <c r="AV3337" s="5" t="s">
        <v>729</v>
      </c>
      <c r="AW3337" s="5" t="s">
        <v>251</v>
      </c>
      <c r="AX3337" s="5" t="s">
        <v>252</v>
      </c>
      <c r="AY3337" s="5" t="s">
        <v>253</v>
      </c>
      <c r="AZ3337" s="5" t="s">
        <v>240</v>
      </c>
      <c r="BA3337" s="5" t="s">
        <v>255</v>
      </c>
      <c r="BB3337" s="5" t="s">
        <v>731</v>
      </c>
      <c r="BD3337" s="5" t="s">
        <v>240</v>
      </c>
      <c r="BF3337" s="5" t="s">
        <v>732</v>
      </c>
      <c r="BG3337" s="6" t="s">
        <v>733</v>
      </c>
      <c r="BH3337" s="5" t="s">
        <v>734</v>
      </c>
      <c r="BI3337" s="5" t="s">
        <v>734</v>
      </c>
      <c r="BJ3337" s="5" t="s">
        <v>240</v>
      </c>
      <c r="BK3337" s="7">
        <f>1</f>
        <v>1</v>
      </c>
      <c r="BL3337" s="7">
        <f>1</f>
        <v>1</v>
      </c>
      <c r="BM3337" s="5" t="s">
        <v>258</v>
      </c>
      <c r="BN3337" s="5" t="s">
        <v>259</v>
      </c>
      <c r="BO3337" s="5" t="s">
        <v>240</v>
      </c>
      <c r="BP3337" s="5" t="s">
        <v>240</v>
      </c>
      <c r="BQ3337" s="5" t="s">
        <v>240</v>
      </c>
      <c r="BR3337" s="5" t="s">
        <v>240</v>
      </c>
      <c r="BS3337" s="5" t="s">
        <v>240</v>
      </c>
      <c r="BT3337" s="5" t="s">
        <v>240</v>
      </c>
      <c r="BU3337" s="5" t="s">
        <v>240</v>
      </c>
      <c r="BV3337" s="5" t="s">
        <v>240</v>
      </c>
      <c r="BW3337" s="6" t="s">
        <v>240</v>
      </c>
      <c r="BX3337" s="5" t="s">
        <v>240</v>
      </c>
      <c r="BY3337" s="5" t="s">
        <v>240</v>
      </c>
      <c r="BZ3337" s="5" t="s">
        <v>240</v>
      </c>
      <c r="CA3337" s="5" t="s">
        <v>259</v>
      </c>
      <c r="CB3337" s="5" t="s">
        <v>240</v>
      </c>
      <c r="CC3337" s="5" t="s">
        <v>240</v>
      </c>
      <c r="CD3337" s="5" t="s">
        <v>240</v>
      </c>
      <c r="CE3337" s="5" t="s">
        <v>240</v>
      </c>
      <c r="CF3337" s="5" t="s">
        <v>240</v>
      </c>
      <c r="CG3337" s="5" t="s">
        <v>304</v>
      </c>
      <c r="CH3337" s="5" t="s">
        <v>305</v>
      </c>
      <c r="CI3337" s="5" t="s">
        <v>240</v>
      </c>
      <c r="CK3337" s="5" t="s">
        <v>3681</v>
      </c>
      <c r="CL3337" s="6" t="s">
        <v>261</v>
      </c>
      <c r="CM3337" s="5" t="s">
        <v>262</v>
      </c>
      <c r="CN3337" s="5" t="s">
        <v>263</v>
      </c>
      <c r="CO3337" s="5" t="s">
        <v>264</v>
      </c>
      <c r="CP3337" s="5" t="s">
        <v>240</v>
      </c>
      <c r="CQ3337" s="5">
        <v>0</v>
      </c>
      <c r="CR3337" s="5" t="s">
        <v>735</v>
      </c>
      <c r="CS3337" s="5" t="s">
        <v>307</v>
      </c>
      <c r="CT3337" s="5" t="s">
        <v>307</v>
      </c>
      <c r="CU3337" s="5" t="s">
        <v>260</v>
      </c>
      <c r="CV3337" s="5" t="s">
        <v>612</v>
      </c>
      <c r="CW3337" s="8">
        <f>1</f>
        <v>1</v>
      </c>
      <c r="CX3337" s="7">
        <f>1</f>
        <v>1</v>
      </c>
      <c r="CY3337" s="7">
        <f>0</f>
        <v>0</v>
      </c>
      <c r="DA3337" s="7">
        <f>1</f>
        <v>1</v>
      </c>
      <c r="DB3337" s="7" t="s">
        <v>240</v>
      </c>
      <c r="DC3337" s="5" t="s">
        <v>240</v>
      </c>
      <c r="DD3337" s="5" t="s">
        <v>240</v>
      </c>
      <c r="DE3337" s="5" t="s">
        <v>240</v>
      </c>
      <c r="DF3337" s="5" t="s">
        <v>240</v>
      </c>
      <c r="DG3337" s="7">
        <f>0</f>
        <v>0</v>
      </c>
      <c r="DI3337" s="5" t="s">
        <v>240</v>
      </c>
      <c r="DJ3337" s="5" t="s">
        <v>240</v>
      </c>
      <c r="DK3337" s="5" t="s">
        <v>240</v>
      </c>
      <c r="DL3337" s="5" t="s">
        <v>240</v>
      </c>
      <c r="DM3337" s="5" t="s">
        <v>240</v>
      </c>
      <c r="DN3337" s="5" t="s">
        <v>240</v>
      </c>
      <c r="DO3337" s="7" t="s">
        <v>240</v>
      </c>
      <c r="DP3337" s="5" t="s">
        <v>240</v>
      </c>
      <c r="DQ3337" s="5" t="s">
        <v>240</v>
      </c>
      <c r="DR3337" s="5" t="s">
        <v>731</v>
      </c>
      <c r="DS3337" s="5" t="s">
        <v>731</v>
      </c>
      <c r="DT3337" s="5" t="s">
        <v>240</v>
      </c>
      <c r="DU3337" s="5" t="s">
        <v>240</v>
      </c>
      <c r="DV3337" s="5" t="s">
        <v>5063</v>
      </c>
      <c r="DW3337" s="5" t="s">
        <v>1210</v>
      </c>
      <c r="DX3337" s="5" t="s">
        <v>240</v>
      </c>
      <c r="DY3337" s="5" t="s">
        <v>240</v>
      </c>
      <c r="DZ3337" s="5" t="s">
        <v>240</v>
      </c>
      <c r="EA3337" s="5" t="s">
        <v>240</v>
      </c>
      <c r="EB3337" s="5" t="s">
        <v>240</v>
      </c>
      <c r="EC3337" s="5" t="s">
        <v>240</v>
      </c>
      <c r="ED3337" s="5" t="s">
        <v>240</v>
      </c>
      <c r="EE3337" s="5" t="s">
        <v>240</v>
      </c>
      <c r="EF3337" s="5" t="s">
        <v>240</v>
      </c>
      <c r="EG3337" s="5" t="s">
        <v>240</v>
      </c>
      <c r="EH3337" s="5" t="s">
        <v>240</v>
      </c>
      <c r="EI3337" s="5" t="s">
        <v>240</v>
      </c>
      <c r="EJ3337" s="5" t="s">
        <v>240</v>
      </c>
      <c r="EK3337" s="5" t="s">
        <v>240</v>
      </c>
      <c r="EL3337" s="5" t="s">
        <v>240</v>
      </c>
      <c r="EM3337" s="5" t="s">
        <v>240</v>
      </c>
      <c r="EN3337" s="5" t="s">
        <v>240</v>
      </c>
      <c r="EO3337" s="5" t="s">
        <v>240</v>
      </c>
      <c r="EP3337" s="5" t="s">
        <v>240</v>
      </c>
      <c r="EQ3337" s="5" t="s">
        <v>240</v>
      </c>
      <c r="ER3337" s="5" t="s">
        <v>240</v>
      </c>
      <c r="ES3337" s="5" t="s">
        <v>240</v>
      </c>
      <c r="ET3337" s="5" t="s">
        <v>240</v>
      </c>
      <c r="EU3337" s="5" t="s">
        <v>240</v>
      </c>
      <c r="EV3337" s="5" t="s">
        <v>240</v>
      </c>
      <c r="EW3337" s="5" t="s">
        <v>240</v>
      </c>
      <c r="EX3337" s="5" t="s">
        <v>240</v>
      </c>
      <c r="EY3337" s="5" t="s">
        <v>240</v>
      </c>
      <c r="EZ3337" s="5" t="s">
        <v>240</v>
      </c>
      <c r="FA3337" s="5" t="s">
        <v>240</v>
      </c>
      <c r="FB3337" s="5" t="s">
        <v>240</v>
      </c>
      <c r="FC3337" s="5" t="s">
        <v>240</v>
      </c>
      <c r="FD3337" s="5" t="s">
        <v>240</v>
      </c>
      <c r="FE3337" s="5" t="s">
        <v>240</v>
      </c>
      <c r="FF3337" s="5" t="s">
        <v>240</v>
      </c>
      <c r="FG3337" s="5" t="s">
        <v>240</v>
      </c>
      <c r="FH3337" s="5" t="s">
        <v>240</v>
      </c>
      <c r="FI3337" s="5" t="s">
        <v>240</v>
      </c>
      <c r="FJ3337" s="5" t="s">
        <v>240</v>
      </c>
      <c r="FK3337" s="5" t="s">
        <v>240</v>
      </c>
      <c r="FL3337" s="5" t="s">
        <v>240</v>
      </c>
      <c r="FM3337" s="5" t="s">
        <v>240</v>
      </c>
      <c r="FN3337" s="5" t="s">
        <v>240</v>
      </c>
      <c r="FO3337" s="5" t="s">
        <v>240</v>
      </c>
      <c r="FP3337" s="5" t="s">
        <v>240</v>
      </c>
      <c r="FQ3337" s="5" t="s">
        <v>240</v>
      </c>
      <c r="FR3337" s="5" t="s">
        <v>240</v>
      </c>
      <c r="FS3337" s="5" t="s">
        <v>240</v>
      </c>
      <c r="FT3337" s="5" t="s">
        <v>240</v>
      </c>
      <c r="FU3337" s="5" t="s">
        <v>240</v>
      </c>
      <c r="FV3337" s="5" t="s">
        <v>240</v>
      </c>
      <c r="FW3337" s="5" t="s">
        <v>240</v>
      </c>
      <c r="FX3337" s="5" t="s">
        <v>240</v>
      </c>
      <c r="FY3337" s="5" t="s">
        <v>240</v>
      </c>
      <c r="FZ3337" s="5" t="s">
        <v>240</v>
      </c>
      <c r="GA3337" s="5" t="s">
        <v>240</v>
      </c>
      <c r="GB3337" s="5" t="s">
        <v>240</v>
      </c>
      <c r="GC3337" s="5" t="s">
        <v>240</v>
      </c>
      <c r="GD3337" s="5" t="s">
        <v>240</v>
      </c>
      <c r="GE3337" s="5" t="s">
        <v>240</v>
      </c>
      <c r="GF3337" s="5" t="s">
        <v>240</v>
      </c>
      <c r="GG3337" s="5" t="s">
        <v>240</v>
      </c>
      <c r="GH3337" s="5" t="s">
        <v>240</v>
      </c>
      <c r="GI3337" s="5" t="s">
        <v>240</v>
      </c>
      <c r="GJ3337" s="5" t="s">
        <v>240</v>
      </c>
      <c r="GK3337" s="5" t="s">
        <v>240</v>
      </c>
      <c r="GL3337" s="5" t="s">
        <v>240</v>
      </c>
      <c r="GM3337" s="5" t="s">
        <v>240</v>
      </c>
      <c r="GN3337" s="5" t="s">
        <v>240</v>
      </c>
      <c r="GO3337" s="5" t="s">
        <v>240</v>
      </c>
      <c r="GP3337" s="5" t="s">
        <v>240</v>
      </c>
      <c r="GQ3337" s="5" t="s">
        <v>240</v>
      </c>
      <c r="GR3337" s="5" t="s">
        <v>240</v>
      </c>
      <c r="GS3337" s="5" t="s">
        <v>240</v>
      </c>
      <c r="GT3337" s="5" t="s">
        <v>240</v>
      </c>
      <c r="GU3337" s="5" t="s">
        <v>240</v>
      </c>
      <c r="GV3337" s="5" t="s">
        <v>240</v>
      </c>
      <c r="GW3337" s="5" t="s">
        <v>240</v>
      </c>
      <c r="GX3337" s="5" t="s">
        <v>240</v>
      </c>
      <c r="GY3337" s="5" t="s">
        <v>240</v>
      </c>
      <c r="GZ3337" s="5" t="s">
        <v>240</v>
      </c>
      <c r="HA3337" s="5" t="s">
        <v>240</v>
      </c>
      <c r="HB3337" s="5" t="s">
        <v>240</v>
      </c>
      <c r="HC3337" s="5" t="s">
        <v>240</v>
      </c>
      <c r="HD3337" s="5" t="s">
        <v>240</v>
      </c>
      <c r="HE3337" s="5" t="s">
        <v>240</v>
      </c>
      <c r="HF3337" s="5" t="s">
        <v>240</v>
      </c>
      <c r="HG3337" s="5" t="s">
        <v>240</v>
      </c>
      <c r="HH3337" s="5" t="s">
        <v>240</v>
      </c>
      <c r="HI3337" s="5" t="s">
        <v>240</v>
      </c>
      <c r="HJ3337" s="5" t="s">
        <v>240</v>
      </c>
      <c r="HK3337" s="5" t="s">
        <v>240</v>
      </c>
      <c r="HL3337" s="5" t="s">
        <v>240</v>
      </c>
      <c r="HM3337" s="5" t="s">
        <v>240</v>
      </c>
      <c r="HN3337" s="5" t="s">
        <v>240</v>
      </c>
      <c r="HO3337" s="5" t="s">
        <v>312</v>
      </c>
      <c r="HP3337" s="5" t="s">
        <v>240</v>
      </c>
      <c r="HQ3337" s="5" t="s">
        <v>240</v>
      </c>
      <c r="HR3337" s="5" t="s">
        <v>240</v>
      </c>
      <c r="HS3337" s="5" t="s">
        <v>240</v>
      </c>
      <c r="HT3337" s="5" t="s">
        <v>240</v>
      </c>
      <c r="HU3337" s="5" t="s">
        <v>240</v>
      </c>
      <c r="HV3337" s="5" t="s">
        <v>240</v>
      </c>
      <c r="HW3337" s="5" t="s">
        <v>240</v>
      </c>
      <c r="HX3337" s="5" t="s">
        <v>240</v>
      </c>
      <c r="HY3337" s="5" t="s">
        <v>240</v>
      </c>
      <c r="HZ3337" s="5" t="s">
        <v>240</v>
      </c>
      <c r="IA3337" s="5" t="s">
        <v>240</v>
      </c>
      <c r="IB3337" s="5" t="s">
        <v>240</v>
      </c>
      <c r="IC3337" s="5" t="s">
        <v>240</v>
      </c>
      <c r="ID3337" s="5" t="s">
        <v>240</v>
      </c>
      <c r="IE3337" s="5" t="s">
        <v>240</v>
      </c>
      <c r="IF3337" s="5" t="s">
        <v>240</v>
      </c>
    </row>
    <row r="3338" spans="1:240" x14ac:dyDescent="0.4">
      <c r="A3338" s="5">
        <v>8880</v>
      </c>
      <c r="B3338" s="5">
        <v>1</v>
      </c>
      <c r="C3338" s="5">
        <v>1</v>
      </c>
      <c r="D3338" s="5" t="s">
        <v>723</v>
      </c>
      <c r="E3338" s="5" t="s">
        <v>725</v>
      </c>
      <c r="F3338" s="5" t="s">
        <v>730</v>
      </c>
      <c r="G3338" s="5" t="s">
        <v>726</v>
      </c>
      <c r="H3338" s="6" t="s">
        <v>6285</v>
      </c>
      <c r="I3338" s="5" t="s">
        <v>990</v>
      </c>
      <c r="J3338" s="8">
        <f>1135</f>
        <v>1135</v>
      </c>
      <c r="K3338" s="5" t="s">
        <v>308</v>
      </c>
      <c r="L3338" s="7">
        <f>0</f>
        <v>0</v>
      </c>
      <c r="M3338" s="7">
        <f>0</f>
        <v>0</v>
      </c>
      <c r="N3338" s="5" t="s">
        <v>242</v>
      </c>
      <c r="O3338" s="5">
        <v>1</v>
      </c>
      <c r="P3338" s="5" t="s">
        <v>294</v>
      </c>
      <c r="Q3338" s="5" t="s">
        <v>3678</v>
      </c>
      <c r="R3338" s="5" t="s">
        <v>240</v>
      </c>
      <c r="S3338" s="5" t="s">
        <v>240</v>
      </c>
      <c r="T3338" s="5" t="s">
        <v>243</v>
      </c>
      <c r="U3338" s="5" t="s">
        <v>244</v>
      </c>
      <c r="V3338" s="5" t="s">
        <v>240</v>
      </c>
      <c r="W3338" s="5" t="s">
        <v>240</v>
      </c>
      <c r="X3338" s="5" t="s">
        <v>240</v>
      </c>
      <c r="Y3338" s="5" t="s">
        <v>240</v>
      </c>
      <c r="Z3338" s="6" t="s">
        <v>298</v>
      </c>
      <c r="AA3338" s="6" t="s">
        <v>240</v>
      </c>
      <c r="AB3338" s="6" t="s">
        <v>240</v>
      </c>
      <c r="AC3338" s="5" t="s">
        <v>240</v>
      </c>
      <c r="AD3338" s="6" t="s">
        <v>240</v>
      </c>
      <c r="AE3338" s="6" t="s">
        <v>299</v>
      </c>
      <c r="AF3338" s="5" t="s">
        <v>248</v>
      </c>
      <c r="AG3338" s="5" t="s">
        <v>249</v>
      </c>
      <c r="AH3338" s="5" t="s">
        <v>240</v>
      </c>
      <c r="AI3338" s="5" t="s">
        <v>240</v>
      </c>
      <c r="AJ3338" s="5" t="s">
        <v>240</v>
      </c>
      <c r="AK3338" s="5" t="s">
        <v>240</v>
      </c>
      <c r="AL3338" s="5" t="s">
        <v>240</v>
      </c>
      <c r="AM3338" s="5" t="s">
        <v>240</v>
      </c>
      <c r="AN3338" s="5" t="s">
        <v>240</v>
      </c>
      <c r="AO3338" s="5" t="s">
        <v>240</v>
      </c>
      <c r="AP3338" s="6" t="s">
        <v>240</v>
      </c>
      <c r="AQ3338" s="6" t="s">
        <v>240</v>
      </c>
      <c r="AR3338" s="6" t="s">
        <v>240</v>
      </c>
      <c r="AS3338" s="6" t="s">
        <v>240</v>
      </c>
      <c r="AT3338" s="5" t="s">
        <v>240</v>
      </c>
      <c r="AU3338" s="5" t="s">
        <v>729</v>
      </c>
      <c r="AV3338" s="5" t="s">
        <v>729</v>
      </c>
      <c r="AW3338" s="5" t="s">
        <v>251</v>
      </c>
      <c r="AX3338" s="5" t="s">
        <v>252</v>
      </c>
      <c r="AY3338" s="5" t="s">
        <v>253</v>
      </c>
      <c r="AZ3338" s="5" t="s">
        <v>240</v>
      </c>
      <c r="BA3338" s="5" t="s">
        <v>255</v>
      </c>
      <c r="BB3338" s="5" t="s">
        <v>731</v>
      </c>
      <c r="BD3338" s="5" t="s">
        <v>240</v>
      </c>
      <c r="BF3338" s="5" t="s">
        <v>732</v>
      </c>
      <c r="BG3338" s="6" t="s">
        <v>733</v>
      </c>
      <c r="BH3338" s="5" t="s">
        <v>734</v>
      </c>
      <c r="BI3338" s="5" t="s">
        <v>734</v>
      </c>
      <c r="BJ3338" s="5" t="s">
        <v>240</v>
      </c>
      <c r="BK3338" s="7">
        <f>1</f>
        <v>1</v>
      </c>
      <c r="BL3338" s="7">
        <f>1</f>
        <v>1</v>
      </c>
      <c r="BM3338" s="5" t="s">
        <v>258</v>
      </c>
      <c r="BN3338" s="5" t="s">
        <v>259</v>
      </c>
      <c r="BO3338" s="5" t="s">
        <v>240</v>
      </c>
      <c r="BP3338" s="5" t="s">
        <v>240</v>
      </c>
      <c r="BQ3338" s="5" t="s">
        <v>240</v>
      </c>
      <c r="BR3338" s="5" t="s">
        <v>240</v>
      </c>
      <c r="BS3338" s="5" t="s">
        <v>240</v>
      </c>
      <c r="BT3338" s="5" t="s">
        <v>240</v>
      </c>
      <c r="BU3338" s="5" t="s">
        <v>240</v>
      </c>
      <c r="BV3338" s="5" t="s">
        <v>240</v>
      </c>
      <c r="BW3338" s="6" t="s">
        <v>240</v>
      </c>
      <c r="BX3338" s="5" t="s">
        <v>240</v>
      </c>
      <c r="BY3338" s="5" t="s">
        <v>240</v>
      </c>
      <c r="BZ3338" s="5" t="s">
        <v>240</v>
      </c>
      <c r="CA3338" s="5" t="s">
        <v>259</v>
      </c>
      <c r="CB3338" s="5" t="s">
        <v>240</v>
      </c>
      <c r="CC3338" s="5" t="s">
        <v>240</v>
      </c>
      <c r="CD3338" s="5" t="s">
        <v>240</v>
      </c>
      <c r="CE3338" s="5" t="s">
        <v>240</v>
      </c>
      <c r="CF3338" s="5" t="s">
        <v>240</v>
      </c>
      <c r="CG3338" s="5" t="s">
        <v>304</v>
      </c>
      <c r="CH3338" s="5" t="s">
        <v>305</v>
      </c>
      <c r="CI3338" s="5" t="s">
        <v>240</v>
      </c>
      <c r="CK3338" s="5" t="s">
        <v>3681</v>
      </c>
      <c r="CL3338" s="6" t="s">
        <v>261</v>
      </c>
      <c r="CM3338" s="5" t="s">
        <v>262</v>
      </c>
      <c r="CN3338" s="5" t="s">
        <v>263</v>
      </c>
      <c r="CO3338" s="5" t="s">
        <v>264</v>
      </c>
      <c r="CP3338" s="5" t="s">
        <v>240</v>
      </c>
      <c r="CQ3338" s="5">
        <v>0</v>
      </c>
      <c r="CR3338" s="5" t="s">
        <v>735</v>
      </c>
      <c r="CS3338" s="5" t="s">
        <v>307</v>
      </c>
      <c r="CT3338" s="5" t="s">
        <v>307</v>
      </c>
      <c r="CU3338" s="5" t="s">
        <v>260</v>
      </c>
      <c r="CV3338" s="5" t="s">
        <v>612</v>
      </c>
      <c r="CW3338" s="8">
        <f>1</f>
        <v>1</v>
      </c>
      <c r="CX3338" s="7">
        <f>1</f>
        <v>1</v>
      </c>
      <c r="CY3338" s="7">
        <f>0</f>
        <v>0</v>
      </c>
      <c r="DA3338" s="7">
        <f>1</f>
        <v>1</v>
      </c>
      <c r="DB3338" s="7" t="s">
        <v>240</v>
      </c>
      <c r="DC3338" s="5" t="s">
        <v>240</v>
      </c>
      <c r="DD3338" s="5" t="s">
        <v>240</v>
      </c>
      <c r="DE3338" s="5" t="s">
        <v>240</v>
      </c>
      <c r="DF3338" s="5" t="s">
        <v>240</v>
      </c>
      <c r="DG3338" s="7">
        <f>0</f>
        <v>0</v>
      </c>
      <c r="DI3338" s="5" t="s">
        <v>240</v>
      </c>
      <c r="DJ3338" s="5" t="s">
        <v>240</v>
      </c>
      <c r="DK3338" s="5" t="s">
        <v>240</v>
      </c>
      <c r="DL3338" s="5" t="s">
        <v>240</v>
      </c>
      <c r="DM3338" s="5" t="s">
        <v>240</v>
      </c>
      <c r="DN3338" s="5" t="s">
        <v>240</v>
      </c>
      <c r="DO3338" s="7" t="s">
        <v>240</v>
      </c>
      <c r="DP3338" s="5" t="s">
        <v>240</v>
      </c>
      <c r="DQ3338" s="5" t="s">
        <v>240</v>
      </c>
      <c r="DR3338" s="5" t="s">
        <v>731</v>
      </c>
      <c r="DS3338" s="5" t="s">
        <v>731</v>
      </c>
      <c r="DT3338" s="5" t="s">
        <v>240</v>
      </c>
      <c r="DU3338" s="5" t="s">
        <v>240</v>
      </c>
      <c r="DV3338" s="5" t="s">
        <v>5063</v>
      </c>
      <c r="DW3338" s="5" t="s">
        <v>791</v>
      </c>
      <c r="DX3338" s="5" t="s">
        <v>240</v>
      </c>
      <c r="DY3338" s="5" t="s">
        <v>240</v>
      </c>
      <c r="DZ3338" s="5" t="s">
        <v>240</v>
      </c>
      <c r="EA3338" s="5" t="s">
        <v>240</v>
      </c>
      <c r="EB3338" s="5" t="s">
        <v>240</v>
      </c>
      <c r="EC3338" s="5" t="s">
        <v>240</v>
      </c>
      <c r="ED3338" s="5" t="s">
        <v>240</v>
      </c>
      <c r="EE3338" s="5" t="s">
        <v>240</v>
      </c>
      <c r="EF3338" s="5" t="s">
        <v>240</v>
      </c>
      <c r="EG3338" s="5" t="s">
        <v>240</v>
      </c>
      <c r="EH3338" s="5" t="s">
        <v>240</v>
      </c>
      <c r="EI3338" s="5" t="s">
        <v>240</v>
      </c>
      <c r="EJ3338" s="5" t="s">
        <v>240</v>
      </c>
      <c r="EK3338" s="5" t="s">
        <v>240</v>
      </c>
      <c r="EL3338" s="5" t="s">
        <v>240</v>
      </c>
      <c r="EM3338" s="5" t="s">
        <v>240</v>
      </c>
      <c r="EN3338" s="5" t="s">
        <v>240</v>
      </c>
      <c r="EO3338" s="5" t="s">
        <v>240</v>
      </c>
      <c r="EP3338" s="5" t="s">
        <v>240</v>
      </c>
      <c r="EQ3338" s="5" t="s">
        <v>240</v>
      </c>
      <c r="ER3338" s="5" t="s">
        <v>240</v>
      </c>
      <c r="ES3338" s="5" t="s">
        <v>240</v>
      </c>
      <c r="ET3338" s="5" t="s">
        <v>240</v>
      </c>
      <c r="EU3338" s="5" t="s">
        <v>240</v>
      </c>
      <c r="EV3338" s="5" t="s">
        <v>240</v>
      </c>
      <c r="EW3338" s="5" t="s">
        <v>240</v>
      </c>
      <c r="EX3338" s="5" t="s">
        <v>240</v>
      </c>
      <c r="EY3338" s="5" t="s">
        <v>240</v>
      </c>
      <c r="EZ3338" s="5" t="s">
        <v>240</v>
      </c>
      <c r="FA3338" s="5" t="s">
        <v>240</v>
      </c>
      <c r="FB3338" s="5" t="s">
        <v>240</v>
      </c>
      <c r="FC3338" s="5" t="s">
        <v>240</v>
      </c>
      <c r="FD3338" s="5" t="s">
        <v>240</v>
      </c>
      <c r="FE3338" s="5" t="s">
        <v>240</v>
      </c>
      <c r="FF3338" s="5" t="s">
        <v>240</v>
      </c>
      <c r="FG3338" s="5" t="s">
        <v>240</v>
      </c>
      <c r="FH3338" s="5" t="s">
        <v>240</v>
      </c>
      <c r="FI3338" s="5" t="s">
        <v>240</v>
      </c>
      <c r="FJ3338" s="5" t="s">
        <v>240</v>
      </c>
      <c r="FK3338" s="5" t="s">
        <v>240</v>
      </c>
      <c r="FL3338" s="5" t="s">
        <v>240</v>
      </c>
      <c r="FM3338" s="5" t="s">
        <v>240</v>
      </c>
      <c r="FN3338" s="5" t="s">
        <v>240</v>
      </c>
      <c r="FO3338" s="5" t="s">
        <v>240</v>
      </c>
      <c r="FP3338" s="5" t="s">
        <v>240</v>
      </c>
      <c r="FQ3338" s="5" t="s">
        <v>240</v>
      </c>
      <c r="FR3338" s="5" t="s">
        <v>240</v>
      </c>
      <c r="FS3338" s="5" t="s">
        <v>240</v>
      </c>
      <c r="FT3338" s="5" t="s">
        <v>240</v>
      </c>
      <c r="FU3338" s="5" t="s">
        <v>240</v>
      </c>
      <c r="FV3338" s="5" t="s">
        <v>240</v>
      </c>
      <c r="FW3338" s="5" t="s">
        <v>240</v>
      </c>
      <c r="FX3338" s="5" t="s">
        <v>240</v>
      </c>
      <c r="FY3338" s="5" t="s">
        <v>240</v>
      </c>
      <c r="FZ3338" s="5" t="s">
        <v>240</v>
      </c>
      <c r="GA3338" s="5" t="s">
        <v>240</v>
      </c>
      <c r="GB3338" s="5" t="s">
        <v>240</v>
      </c>
      <c r="GC3338" s="5" t="s">
        <v>240</v>
      </c>
      <c r="GD3338" s="5" t="s">
        <v>240</v>
      </c>
      <c r="GE3338" s="5" t="s">
        <v>240</v>
      </c>
      <c r="GF3338" s="5" t="s">
        <v>240</v>
      </c>
      <c r="GG3338" s="5" t="s">
        <v>240</v>
      </c>
      <c r="GH3338" s="5" t="s">
        <v>240</v>
      </c>
      <c r="GI3338" s="5" t="s">
        <v>240</v>
      </c>
      <c r="GJ3338" s="5" t="s">
        <v>240</v>
      </c>
      <c r="GK3338" s="5" t="s">
        <v>240</v>
      </c>
      <c r="GL3338" s="5" t="s">
        <v>240</v>
      </c>
      <c r="GM3338" s="5" t="s">
        <v>240</v>
      </c>
      <c r="GN3338" s="5" t="s">
        <v>240</v>
      </c>
      <c r="GO3338" s="5" t="s">
        <v>240</v>
      </c>
      <c r="GP3338" s="5" t="s">
        <v>240</v>
      </c>
      <c r="GQ3338" s="5" t="s">
        <v>240</v>
      </c>
      <c r="GR3338" s="5" t="s">
        <v>240</v>
      </c>
      <c r="GS3338" s="5" t="s">
        <v>240</v>
      </c>
      <c r="GT3338" s="5" t="s">
        <v>240</v>
      </c>
      <c r="GU3338" s="5" t="s">
        <v>240</v>
      </c>
      <c r="GV3338" s="5" t="s">
        <v>240</v>
      </c>
      <c r="GW3338" s="5" t="s">
        <v>240</v>
      </c>
      <c r="GX3338" s="5" t="s">
        <v>240</v>
      </c>
      <c r="GY3338" s="5" t="s">
        <v>240</v>
      </c>
      <c r="GZ3338" s="5" t="s">
        <v>240</v>
      </c>
      <c r="HA3338" s="5" t="s">
        <v>240</v>
      </c>
      <c r="HB3338" s="5" t="s">
        <v>240</v>
      </c>
      <c r="HC3338" s="5" t="s">
        <v>240</v>
      </c>
      <c r="HD3338" s="5" t="s">
        <v>240</v>
      </c>
      <c r="HE3338" s="5" t="s">
        <v>240</v>
      </c>
      <c r="HF3338" s="5" t="s">
        <v>240</v>
      </c>
      <c r="HG3338" s="5" t="s">
        <v>240</v>
      </c>
      <c r="HH3338" s="5" t="s">
        <v>240</v>
      </c>
      <c r="HI3338" s="5" t="s">
        <v>240</v>
      </c>
      <c r="HJ3338" s="5" t="s">
        <v>240</v>
      </c>
      <c r="HK3338" s="5" t="s">
        <v>240</v>
      </c>
      <c r="HL3338" s="5" t="s">
        <v>240</v>
      </c>
      <c r="HM3338" s="5" t="s">
        <v>240</v>
      </c>
      <c r="HN3338" s="5" t="s">
        <v>240</v>
      </c>
      <c r="HO3338" s="5" t="s">
        <v>312</v>
      </c>
      <c r="HP3338" s="5" t="s">
        <v>240</v>
      </c>
      <c r="HQ3338" s="5" t="s">
        <v>240</v>
      </c>
      <c r="HR3338" s="5" t="s">
        <v>240</v>
      </c>
      <c r="HS3338" s="5" t="s">
        <v>240</v>
      </c>
      <c r="HT3338" s="5" t="s">
        <v>240</v>
      </c>
      <c r="HU3338" s="5" t="s">
        <v>240</v>
      </c>
      <c r="HV3338" s="5" t="s">
        <v>240</v>
      </c>
      <c r="HW3338" s="5" t="s">
        <v>240</v>
      </c>
      <c r="HX3338" s="5" t="s">
        <v>240</v>
      </c>
      <c r="HY3338" s="5" t="s">
        <v>240</v>
      </c>
      <c r="HZ3338" s="5" t="s">
        <v>240</v>
      </c>
      <c r="IA3338" s="5" t="s">
        <v>240</v>
      </c>
      <c r="IB3338" s="5" t="s">
        <v>240</v>
      </c>
      <c r="IC3338" s="5" t="s">
        <v>240</v>
      </c>
      <c r="ID3338" s="5" t="s">
        <v>240</v>
      </c>
      <c r="IE3338" s="5" t="s">
        <v>240</v>
      </c>
      <c r="IF3338" s="5" t="s">
        <v>240</v>
      </c>
    </row>
    <row r="3339" spans="1:240" x14ac:dyDescent="0.4">
      <c r="A3339" s="5">
        <v>8881</v>
      </c>
      <c r="B3339" s="5">
        <v>1</v>
      </c>
      <c r="C3339" s="5">
        <v>1</v>
      </c>
      <c r="D3339" s="5" t="s">
        <v>723</v>
      </c>
      <c r="E3339" s="5" t="s">
        <v>725</v>
      </c>
      <c r="F3339" s="5" t="s">
        <v>730</v>
      </c>
      <c r="G3339" s="5" t="s">
        <v>6283</v>
      </c>
      <c r="H3339" s="6" t="s">
        <v>6284</v>
      </c>
      <c r="I3339" s="5" t="s">
        <v>990</v>
      </c>
      <c r="J3339" s="8">
        <f>49.58</f>
        <v>49.58</v>
      </c>
      <c r="K3339" s="5" t="s">
        <v>308</v>
      </c>
      <c r="L3339" s="7">
        <f>0</f>
        <v>0</v>
      </c>
      <c r="M3339" s="7">
        <f>0</f>
        <v>0</v>
      </c>
      <c r="N3339" s="5" t="s">
        <v>242</v>
      </c>
      <c r="O3339" s="5">
        <v>1</v>
      </c>
      <c r="P3339" s="5" t="s">
        <v>294</v>
      </c>
      <c r="Q3339" s="5" t="s">
        <v>3678</v>
      </c>
      <c r="R3339" s="5" t="s">
        <v>240</v>
      </c>
      <c r="S3339" s="5" t="s">
        <v>240</v>
      </c>
      <c r="T3339" s="5" t="s">
        <v>243</v>
      </c>
      <c r="U3339" s="5" t="s">
        <v>244</v>
      </c>
      <c r="V3339" s="5" t="s">
        <v>240</v>
      </c>
      <c r="W3339" s="5" t="s">
        <v>240</v>
      </c>
      <c r="X3339" s="5" t="s">
        <v>240</v>
      </c>
      <c r="Y3339" s="5" t="s">
        <v>240</v>
      </c>
      <c r="Z3339" s="6" t="s">
        <v>298</v>
      </c>
      <c r="AA3339" s="6" t="s">
        <v>240</v>
      </c>
      <c r="AB3339" s="6" t="s">
        <v>240</v>
      </c>
      <c r="AC3339" s="5" t="s">
        <v>240</v>
      </c>
      <c r="AD3339" s="6" t="s">
        <v>240</v>
      </c>
      <c r="AE3339" s="6" t="s">
        <v>299</v>
      </c>
      <c r="AF3339" s="5" t="s">
        <v>248</v>
      </c>
      <c r="AG3339" s="5" t="s">
        <v>249</v>
      </c>
      <c r="AH3339" s="5" t="s">
        <v>240</v>
      </c>
      <c r="AI3339" s="5" t="s">
        <v>240</v>
      </c>
      <c r="AJ3339" s="5" t="s">
        <v>240</v>
      </c>
      <c r="AK3339" s="5" t="s">
        <v>240</v>
      </c>
      <c r="AL3339" s="5" t="s">
        <v>240</v>
      </c>
      <c r="AM3339" s="5" t="s">
        <v>240</v>
      </c>
      <c r="AN3339" s="5" t="s">
        <v>240</v>
      </c>
      <c r="AO3339" s="5" t="s">
        <v>240</v>
      </c>
      <c r="AP3339" s="6" t="s">
        <v>240</v>
      </c>
      <c r="AQ3339" s="6" t="s">
        <v>240</v>
      </c>
      <c r="AR3339" s="6" t="s">
        <v>240</v>
      </c>
      <c r="AS3339" s="6" t="s">
        <v>240</v>
      </c>
      <c r="AT3339" s="5" t="s">
        <v>240</v>
      </c>
      <c r="AU3339" s="5" t="s">
        <v>729</v>
      </c>
      <c r="AV3339" s="5" t="s">
        <v>729</v>
      </c>
      <c r="AW3339" s="5" t="s">
        <v>251</v>
      </c>
      <c r="AX3339" s="5" t="s">
        <v>252</v>
      </c>
      <c r="AY3339" s="5" t="s">
        <v>253</v>
      </c>
      <c r="AZ3339" s="5" t="s">
        <v>240</v>
      </c>
      <c r="BA3339" s="5" t="s">
        <v>255</v>
      </c>
      <c r="BB3339" s="5" t="s">
        <v>731</v>
      </c>
      <c r="BD3339" s="5" t="s">
        <v>240</v>
      </c>
      <c r="BF3339" s="5" t="s">
        <v>732</v>
      </c>
      <c r="BG3339" s="6" t="s">
        <v>733</v>
      </c>
      <c r="BH3339" s="5" t="s">
        <v>734</v>
      </c>
      <c r="BI3339" s="5" t="s">
        <v>734</v>
      </c>
      <c r="BJ3339" s="5" t="s">
        <v>240</v>
      </c>
      <c r="BK3339" s="7">
        <f>1</f>
        <v>1</v>
      </c>
      <c r="BL3339" s="7">
        <f>1</f>
        <v>1</v>
      </c>
      <c r="BM3339" s="5" t="s">
        <v>258</v>
      </c>
      <c r="BN3339" s="5" t="s">
        <v>259</v>
      </c>
      <c r="BO3339" s="5" t="s">
        <v>240</v>
      </c>
      <c r="BP3339" s="5" t="s">
        <v>240</v>
      </c>
      <c r="BQ3339" s="5" t="s">
        <v>240</v>
      </c>
      <c r="BR3339" s="5" t="s">
        <v>240</v>
      </c>
      <c r="BS3339" s="5" t="s">
        <v>240</v>
      </c>
      <c r="BT3339" s="5" t="s">
        <v>240</v>
      </c>
      <c r="BU3339" s="5" t="s">
        <v>240</v>
      </c>
      <c r="BV3339" s="5" t="s">
        <v>240</v>
      </c>
      <c r="BW3339" s="6" t="s">
        <v>240</v>
      </c>
      <c r="BX3339" s="5" t="s">
        <v>240</v>
      </c>
      <c r="BY3339" s="5" t="s">
        <v>240</v>
      </c>
      <c r="BZ3339" s="5" t="s">
        <v>240</v>
      </c>
      <c r="CA3339" s="5" t="s">
        <v>259</v>
      </c>
      <c r="CB3339" s="5" t="s">
        <v>240</v>
      </c>
      <c r="CC3339" s="5" t="s">
        <v>240</v>
      </c>
      <c r="CD3339" s="5" t="s">
        <v>240</v>
      </c>
      <c r="CE3339" s="5" t="s">
        <v>240</v>
      </c>
      <c r="CF3339" s="5" t="s">
        <v>240</v>
      </c>
      <c r="CG3339" s="5" t="s">
        <v>304</v>
      </c>
      <c r="CH3339" s="5" t="s">
        <v>305</v>
      </c>
      <c r="CI3339" s="5" t="s">
        <v>240</v>
      </c>
      <c r="CK3339" s="5" t="s">
        <v>3681</v>
      </c>
      <c r="CL3339" s="6" t="s">
        <v>261</v>
      </c>
      <c r="CM3339" s="5" t="s">
        <v>262</v>
      </c>
      <c r="CN3339" s="5" t="s">
        <v>263</v>
      </c>
      <c r="CO3339" s="5" t="s">
        <v>264</v>
      </c>
      <c r="CP3339" s="5" t="s">
        <v>240</v>
      </c>
      <c r="CQ3339" s="5">
        <v>0</v>
      </c>
      <c r="CR3339" s="5" t="s">
        <v>735</v>
      </c>
      <c r="CS3339" s="5" t="s">
        <v>307</v>
      </c>
      <c r="CT3339" s="5" t="s">
        <v>307</v>
      </c>
      <c r="CU3339" s="5" t="s">
        <v>260</v>
      </c>
      <c r="CV3339" s="5" t="s">
        <v>612</v>
      </c>
      <c r="CW3339" s="8">
        <f>1</f>
        <v>1</v>
      </c>
      <c r="CX3339" s="7">
        <f>1</f>
        <v>1</v>
      </c>
      <c r="CY3339" s="7">
        <f>0</f>
        <v>0</v>
      </c>
      <c r="DA3339" s="7">
        <f>1</f>
        <v>1</v>
      </c>
      <c r="DB3339" s="7" t="s">
        <v>240</v>
      </c>
      <c r="DC3339" s="5" t="s">
        <v>240</v>
      </c>
      <c r="DD3339" s="5" t="s">
        <v>240</v>
      </c>
      <c r="DE3339" s="5" t="s">
        <v>240</v>
      </c>
      <c r="DF3339" s="5" t="s">
        <v>240</v>
      </c>
      <c r="DG3339" s="7">
        <f>0</f>
        <v>0</v>
      </c>
      <c r="DI3339" s="5" t="s">
        <v>240</v>
      </c>
      <c r="DJ3339" s="5" t="s">
        <v>240</v>
      </c>
      <c r="DK3339" s="5" t="s">
        <v>240</v>
      </c>
      <c r="DL3339" s="5" t="s">
        <v>240</v>
      </c>
      <c r="DM3339" s="5" t="s">
        <v>240</v>
      </c>
      <c r="DN3339" s="5" t="s">
        <v>240</v>
      </c>
      <c r="DO3339" s="7" t="s">
        <v>240</v>
      </c>
      <c r="DP3339" s="5" t="s">
        <v>240</v>
      </c>
      <c r="DQ3339" s="5" t="s">
        <v>240</v>
      </c>
      <c r="DR3339" s="5" t="s">
        <v>731</v>
      </c>
      <c r="DS3339" s="5" t="s">
        <v>731</v>
      </c>
      <c r="DT3339" s="5" t="s">
        <v>240</v>
      </c>
      <c r="DU3339" s="5" t="s">
        <v>240</v>
      </c>
      <c r="DV3339" s="5" t="s">
        <v>5063</v>
      </c>
      <c r="DW3339" s="5" t="s">
        <v>1364</v>
      </c>
      <c r="DX3339" s="5" t="s">
        <v>240</v>
      </c>
      <c r="DY3339" s="5" t="s">
        <v>240</v>
      </c>
      <c r="DZ3339" s="5" t="s">
        <v>240</v>
      </c>
      <c r="EA3339" s="5" t="s">
        <v>240</v>
      </c>
      <c r="EB3339" s="5" t="s">
        <v>240</v>
      </c>
      <c r="EC3339" s="5" t="s">
        <v>240</v>
      </c>
      <c r="ED3339" s="5" t="s">
        <v>240</v>
      </c>
      <c r="EE3339" s="5" t="s">
        <v>240</v>
      </c>
      <c r="EF3339" s="5" t="s">
        <v>240</v>
      </c>
      <c r="EG3339" s="5" t="s">
        <v>240</v>
      </c>
      <c r="EH3339" s="5" t="s">
        <v>240</v>
      </c>
      <c r="EI3339" s="5" t="s">
        <v>240</v>
      </c>
      <c r="EJ3339" s="5" t="s">
        <v>240</v>
      </c>
      <c r="EK3339" s="5" t="s">
        <v>240</v>
      </c>
      <c r="EL3339" s="5" t="s">
        <v>240</v>
      </c>
      <c r="EM3339" s="5" t="s">
        <v>240</v>
      </c>
      <c r="EN3339" s="5" t="s">
        <v>240</v>
      </c>
      <c r="EO3339" s="5" t="s">
        <v>240</v>
      </c>
      <c r="EP3339" s="5" t="s">
        <v>240</v>
      </c>
      <c r="EQ3339" s="5" t="s">
        <v>240</v>
      </c>
      <c r="ER3339" s="5" t="s">
        <v>240</v>
      </c>
      <c r="ES3339" s="5" t="s">
        <v>240</v>
      </c>
      <c r="ET3339" s="5" t="s">
        <v>240</v>
      </c>
      <c r="EU3339" s="5" t="s">
        <v>240</v>
      </c>
      <c r="EV3339" s="5" t="s">
        <v>240</v>
      </c>
      <c r="EW3339" s="5" t="s">
        <v>240</v>
      </c>
      <c r="EX3339" s="5" t="s">
        <v>240</v>
      </c>
      <c r="EY3339" s="5" t="s">
        <v>240</v>
      </c>
      <c r="EZ3339" s="5" t="s">
        <v>240</v>
      </c>
      <c r="FA3339" s="5" t="s">
        <v>240</v>
      </c>
      <c r="FB3339" s="5" t="s">
        <v>240</v>
      </c>
      <c r="FC3339" s="5" t="s">
        <v>240</v>
      </c>
      <c r="FD3339" s="5" t="s">
        <v>240</v>
      </c>
      <c r="FE3339" s="5" t="s">
        <v>240</v>
      </c>
      <c r="FF3339" s="5" t="s">
        <v>240</v>
      </c>
      <c r="FG3339" s="5" t="s">
        <v>240</v>
      </c>
      <c r="FH3339" s="5" t="s">
        <v>240</v>
      </c>
      <c r="FI3339" s="5" t="s">
        <v>240</v>
      </c>
      <c r="FJ3339" s="5" t="s">
        <v>240</v>
      </c>
      <c r="FK3339" s="5" t="s">
        <v>240</v>
      </c>
      <c r="FL3339" s="5" t="s">
        <v>240</v>
      </c>
      <c r="FM3339" s="5" t="s">
        <v>240</v>
      </c>
      <c r="FN3339" s="5" t="s">
        <v>240</v>
      </c>
      <c r="FO3339" s="5" t="s">
        <v>240</v>
      </c>
      <c r="FP3339" s="5" t="s">
        <v>240</v>
      </c>
      <c r="FQ3339" s="5" t="s">
        <v>240</v>
      </c>
      <c r="FR3339" s="5" t="s">
        <v>240</v>
      </c>
      <c r="FS3339" s="5" t="s">
        <v>240</v>
      </c>
      <c r="FT3339" s="5" t="s">
        <v>240</v>
      </c>
      <c r="FU3339" s="5" t="s">
        <v>240</v>
      </c>
      <c r="FV3339" s="5" t="s">
        <v>240</v>
      </c>
      <c r="FW3339" s="5" t="s">
        <v>240</v>
      </c>
      <c r="FX3339" s="5" t="s">
        <v>240</v>
      </c>
      <c r="FY3339" s="5" t="s">
        <v>240</v>
      </c>
      <c r="FZ3339" s="5" t="s">
        <v>240</v>
      </c>
      <c r="GA3339" s="5" t="s">
        <v>240</v>
      </c>
      <c r="GB3339" s="5" t="s">
        <v>240</v>
      </c>
      <c r="GC3339" s="5" t="s">
        <v>240</v>
      </c>
      <c r="GD3339" s="5" t="s">
        <v>240</v>
      </c>
      <c r="GE3339" s="5" t="s">
        <v>240</v>
      </c>
      <c r="GF3339" s="5" t="s">
        <v>240</v>
      </c>
      <c r="GG3339" s="5" t="s">
        <v>240</v>
      </c>
      <c r="GH3339" s="5" t="s">
        <v>240</v>
      </c>
      <c r="GI3339" s="5" t="s">
        <v>240</v>
      </c>
      <c r="GJ3339" s="5" t="s">
        <v>240</v>
      </c>
      <c r="GK3339" s="5" t="s">
        <v>240</v>
      </c>
      <c r="GL3339" s="5" t="s">
        <v>240</v>
      </c>
      <c r="GM3339" s="5" t="s">
        <v>240</v>
      </c>
      <c r="GN3339" s="5" t="s">
        <v>240</v>
      </c>
      <c r="GO3339" s="5" t="s">
        <v>240</v>
      </c>
      <c r="GP3339" s="5" t="s">
        <v>240</v>
      </c>
      <c r="GQ3339" s="5" t="s">
        <v>240</v>
      </c>
      <c r="GR3339" s="5" t="s">
        <v>240</v>
      </c>
      <c r="GS3339" s="5" t="s">
        <v>240</v>
      </c>
      <c r="GT3339" s="5" t="s">
        <v>240</v>
      </c>
      <c r="GU3339" s="5" t="s">
        <v>240</v>
      </c>
      <c r="GV3339" s="5" t="s">
        <v>240</v>
      </c>
      <c r="GW3339" s="5" t="s">
        <v>240</v>
      </c>
      <c r="GX3339" s="5" t="s">
        <v>240</v>
      </c>
      <c r="GY3339" s="5" t="s">
        <v>240</v>
      </c>
      <c r="GZ3339" s="5" t="s">
        <v>240</v>
      </c>
      <c r="HA3339" s="5" t="s">
        <v>240</v>
      </c>
      <c r="HB3339" s="5" t="s">
        <v>240</v>
      </c>
      <c r="HC3339" s="5" t="s">
        <v>240</v>
      </c>
      <c r="HD3339" s="5" t="s">
        <v>240</v>
      </c>
      <c r="HE3339" s="5" t="s">
        <v>240</v>
      </c>
      <c r="HF3339" s="5" t="s">
        <v>240</v>
      </c>
      <c r="HG3339" s="5" t="s">
        <v>240</v>
      </c>
      <c r="HH3339" s="5" t="s">
        <v>240</v>
      </c>
      <c r="HI3339" s="5" t="s">
        <v>240</v>
      </c>
      <c r="HJ3339" s="5" t="s">
        <v>240</v>
      </c>
      <c r="HK3339" s="5" t="s">
        <v>240</v>
      </c>
      <c r="HL3339" s="5" t="s">
        <v>240</v>
      </c>
      <c r="HM3339" s="5" t="s">
        <v>240</v>
      </c>
      <c r="HN3339" s="5" t="s">
        <v>240</v>
      </c>
      <c r="HO3339" s="5" t="s">
        <v>312</v>
      </c>
      <c r="HP3339" s="5" t="s">
        <v>240</v>
      </c>
      <c r="HQ3339" s="5" t="s">
        <v>240</v>
      </c>
      <c r="HR3339" s="5" t="s">
        <v>240</v>
      </c>
      <c r="HS3339" s="5" t="s">
        <v>240</v>
      </c>
      <c r="HT3339" s="5" t="s">
        <v>240</v>
      </c>
      <c r="HU3339" s="5" t="s">
        <v>240</v>
      </c>
      <c r="HV3339" s="5" t="s">
        <v>240</v>
      </c>
      <c r="HW3339" s="5" t="s">
        <v>240</v>
      </c>
      <c r="HX3339" s="5" t="s">
        <v>240</v>
      </c>
      <c r="HY3339" s="5" t="s">
        <v>240</v>
      </c>
      <c r="HZ3339" s="5" t="s">
        <v>240</v>
      </c>
      <c r="IA3339" s="5" t="s">
        <v>240</v>
      </c>
      <c r="IB3339" s="5" t="s">
        <v>240</v>
      </c>
      <c r="IC3339" s="5" t="s">
        <v>240</v>
      </c>
      <c r="ID3339" s="5" t="s">
        <v>240</v>
      </c>
      <c r="IE3339" s="5" t="s">
        <v>240</v>
      </c>
      <c r="IF3339" s="5" t="s">
        <v>240</v>
      </c>
    </row>
    <row r="3340" spans="1:240" x14ac:dyDescent="0.4">
      <c r="A3340" s="5">
        <v>8882</v>
      </c>
      <c r="B3340" s="5">
        <v>1</v>
      </c>
      <c r="C3340" s="5">
        <v>1</v>
      </c>
      <c r="D3340" s="5" t="s">
        <v>723</v>
      </c>
      <c r="E3340" s="5" t="s">
        <v>725</v>
      </c>
      <c r="F3340" s="5" t="s">
        <v>730</v>
      </c>
      <c r="G3340" s="5" t="s">
        <v>726</v>
      </c>
      <c r="H3340" s="6" t="s">
        <v>6282</v>
      </c>
      <c r="I3340" s="5" t="s">
        <v>722</v>
      </c>
      <c r="J3340" s="8">
        <f>749</f>
        <v>749</v>
      </c>
      <c r="K3340" s="5" t="s">
        <v>308</v>
      </c>
      <c r="L3340" s="7">
        <f>0</f>
        <v>0</v>
      </c>
      <c r="M3340" s="7">
        <f>0</f>
        <v>0</v>
      </c>
      <c r="N3340" s="5" t="s">
        <v>242</v>
      </c>
      <c r="O3340" s="5">
        <v>1</v>
      </c>
      <c r="P3340" s="5" t="s">
        <v>294</v>
      </c>
      <c r="Q3340" s="5" t="s">
        <v>3678</v>
      </c>
      <c r="R3340" s="5" t="s">
        <v>240</v>
      </c>
      <c r="S3340" s="5" t="s">
        <v>240</v>
      </c>
      <c r="T3340" s="5" t="s">
        <v>243</v>
      </c>
      <c r="U3340" s="5" t="s">
        <v>244</v>
      </c>
      <c r="V3340" s="5" t="s">
        <v>240</v>
      </c>
      <c r="W3340" s="5" t="s">
        <v>240</v>
      </c>
      <c r="X3340" s="5" t="s">
        <v>240</v>
      </c>
      <c r="Y3340" s="5" t="s">
        <v>240</v>
      </c>
      <c r="Z3340" s="6" t="s">
        <v>298</v>
      </c>
      <c r="AA3340" s="6" t="s">
        <v>240</v>
      </c>
      <c r="AB3340" s="6" t="s">
        <v>240</v>
      </c>
      <c r="AC3340" s="5" t="s">
        <v>240</v>
      </c>
      <c r="AD3340" s="6" t="s">
        <v>240</v>
      </c>
      <c r="AE3340" s="6" t="s">
        <v>299</v>
      </c>
      <c r="AF3340" s="5" t="s">
        <v>248</v>
      </c>
      <c r="AG3340" s="5" t="s">
        <v>249</v>
      </c>
      <c r="AH3340" s="5" t="s">
        <v>240</v>
      </c>
      <c r="AI3340" s="5" t="s">
        <v>240</v>
      </c>
      <c r="AJ3340" s="5" t="s">
        <v>240</v>
      </c>
      <c r="AK3340" s="5" t="s">
        <v>240</v>
      </c>
      <c r="AL3340" s="5" t="s">
        <v>240</v>
      </c>
      <c r="AM3340" s="5" t="s">
        <v>240</v>
      </c>
      <c r="AN3340" s="5" t="s">
        <v>240</v>
      </c>
      <c r="AO3340" s="5" t="s">
        <v>240</v>
      </c>
      <c r="AP3340" s="6" t="s">
        <v>240</v>
      </c>
      <c r="AQ3340" s="6" t="s">
        <v>240</v>
      </c>
      <c r="AR3340" s="6" t="s">
        <v>240</v>
      </c>
      <c r="AS3340" s="6" t="s">
        <v>240</v>
      </c>
      <c r="AT3340" s="5" t="s">
        <v>240</v>
      </c>
      <c r="AU3340" s="5" t="s">
        <v>729</v>
      </c>
      <c r="AV3340" s="5" t="s">
        <v>729</v>
      </c>
      <c r="AW3340" s="5" t="s">
        <v>251</v>
      </c>
      <c r="AX3340" s="5" t="s">
        <v>252</v>
      </c>
      <c r="AY3340" s="5" t="s">
        <v>253</v>
      </c>
      <c r="AZ3340" s="5" t="s">
        <v>240</v>
      </c>
      <c r="BA3340" s="5" t="s">
        <v>255</v>
      </c>
      <c r="BB3340" s="5" t="s">
        <v>731</v>
      </c>
      <c r="BD3340" s="5" t="s">
        <v>240</v>
      </c>
      <c r="BF3340" s="5" t="s">
        <v>732</v>
      </c>
      <c r="BG3340" s="6" t="s">
        <v>733</v>
      </c>
      <c r="BH3340" s="5" t="s">
        <v>734</v>
      </c>
      <c r="BI3340" s="5" t="s">
        <v>734</v>
      </c>
      <c r="BJ3340" s="5" t="s">
        <v>240</v>
      </c>
      <c r="BK3340" s="7">
        <f>1</f>
        <v>1</v>
      </c>
      <c r="BL3340" s="7">
        <f>1</f>
        <v>1</v>
      </c>
      <c r="BM3340" s="5" t="s">
        <v>258</v>
      </c>
      <c r="BN3340" s="5" t="s">
        <v>259</v>
      </c>
      <c r="BO3340" s="5" t="s">
        <v>240</v>
      </c>
      <c r="BP3340" s="5" t="s">
        <v>240</v>
      </c>
      <c r="BQ3340" s="5" t="s">
        <v>240</v>
      </c>
      <c r="BR3340" s="5" t="s">
        <v>240</v>
      </c>
      <c r="BS3340" s="5" t="s">
        <v>240</v>
      </c>
      <c r="BT3340" s="5" t="s">
        <v>240</v>
      </c>
      <c r="BU3340" s="5" t="s">
        <v>240</v>
      </c>
      <c r="BV3340" s="5" t="s">
        <v>240</v>
      </c>
      <c r="BW3340" s="6" t="s">
        <v>240</v>
      </c>
      <c r="BX3340" s="5" t="s">
        <v>240</v>
      </c>
      <c r="BY3340" s="5" t="s">
        <v>240</v>
      </c>
      <c r="BZ3340" s="5" t="s">
        <v>240</v>
      </c>
      <c r="CA3340" s="5" t="s">
        <v>259</v>
      </c>
      <c r="CB3340" s="5" t="s">
        <v>240</v>
      </c>
      <c r="CC3340" s="5" t="s">
        <v>240</v>
      </c>
      <c r="CD3340" s="5" t="s">
        <v>240</v>
      </c>
      <c r="CE3340" s="5" t="s">
        <v>240</v>
      </c>
      <c r="CF3340" s="5" t="s">
        <v>240</v>
      </c>
      <c r="CG3340" s="5" t="s">
        <v>304</v>
      </c>
      <c r="CH3340" s="5" t="s">
        <v>305</v>
      </c>
      <c r="CI3340" s="5" t="s">
        <v>240</v>
      </c>
      <c r="CK3340" s="5" t="s">
        <v>3681</v>
      </c>
      <c r="CL3340" s="6" t="s">
        <v>261</v>
      </c>
      <c r="CM3340" s="5" t="s">
        <v>262</v>
      </c>
      <c r="CN3340" s="5" t="s">
        <v>263</v>
      </c>
      <c r="CO3340" s="5" t="s">
        <v>264</v>
      </c>
      <c r="CP3340" s="5" t="s">
        <v>240</v>
      </c>
      <c r="CQ3340" s="5">
        <v>0</v>
      </c>
      <c r="CR3340" s="5" t="s">
        <v>735</v>
      </c>
      <c r="CS3340" s="5" t="s">
        <v>307</v>
      </c>
      <c r="CT3340" s="5" t="s">
        <v>307</v>
      </c>
      <c r="CU3340" s="5" t="s">
        <v>260</v>
      </c>
      <c r="CV3340" s="5" t="s">
        <v>612</v>
      </c>
      <c r="CW3340" s="8">
        <f>1</f>
        <v>1</v>
      </c>
      <c r="CX3340" s="7">
        <f>1</f>
        <v>1</v>
      </c>
      <c r="CY3340" s="7">
        <f>0</f>
        <v>0</v>
      </c>
      <c r="DA3340" s="7">
        <f>1</f>
        <v>1</v>
      </c>
      <c r="DB3340" s="7" t="s">
        <v>240</v>
      </c>
      <c r="DC3340" s="5" t="s">
        <v>240</v>
      </c>
      <c r="DD3340" s="5" t="s">
        <v>240</v>
      </c>
      <c r="DE3340" s="5" t="s">
        <v>240</v>
      </c>
      <c r="DF3340" s="5" t="s">
        <v>240</v>
      </c>
      <c r="DG3340" s="7">
        <f>0</f>
        <v>0</v>
      </c>
      <c r="DI3340" s="5" t="s">
        <v>240</v>
      </c>
      <c r="DJ3340" s="5" t="s">
        <v>240</v>
      </c>
      <c r="DK3340" s="5" t="s">
        <v>240</v>
      </c>
      <c r="DL3340" s="5" t="s">
        <v>240</v>
      </c>
      <c r="DM3340" s="5" t="s">
        <v>240</v>
      </c>
      <c r="DN3340" s="5" t="s">
        <v>240</v>
      </c>
      <c r="DO3340" s="7" t="s">
        <v>240</v>
      </c>
      <c r="DP3340" s="5" t="s">
        <v>240</v>
      </c>
      <c r="DQ3340" s="5" t="s">
        <v>240</v>
      </c>
      <c r="DR3340" s="5" t="s">
        <v>731</v>
      </c>
      <c r="DS3340" s="5" t="s">
        <v>731</v>
      </c>
      <c r="DT3340" s="5" t="s">
        <v>240</v>
      </c>
      <c r="DU3340" s="5" t="s">
        <v>240</v>
      </c>
      <c r="DV3340" s="5" t="s">
        <v>5063</v>
      </c>
      <c r="DW3340" s="5" t="s">
        <v>680</v>
      </c>
      <c r="DX3340" s="5" t="s">
        <v>240</v>
      </c>
      <c r="DY3340" s="5" t="s">
        <v>240</v>
      </c>
      <c r="DZ3340" s="5" t="s">
        <v>240</v>
      </c>
      <c r="EA3340" s="5" t="s">
        <v>240</v>
      </c>
      <c r="EB3340" s="5" t="s">
        <v>240</v>
      </c>
      <c r="EC3340" s="5" t="s">
        <v>240</v>
      </c>
      <c r="ED3340" s="5" t="s">
        <v>240</v>
      </c>
      <c r="EE3340" s="5" t="s">
        <v>240</v>
      </c>
      <c r="EF3340" s="5" t="s">
        <v>240</v>
      </c>
      <c r="EG3340" s="5" t="s">
        <v>240</v>
      </c>
      <c r="EH3340" s="5" t="s">
        <v>240</v>
      </c>
      <c r="EI3340" s="5" t="s">
        <v>240</v>
      </c>
      <c r="EJ3340" s="5" t="s">
        <v>240</v>
      </c>
      <c r="EK3340" s="5" t="s">
        <v>240</v>
      </c>
      <c r="EL3340" s="5" t="s">
        <v>240</v>
      </c>
      <c r="EM3340" s="5" t="s">
        <v>240</v>
      </c>
      <c r="EN3340" s="5" t="s">
        <v>240</v>
      </c>
      <c r="EO3340" s="5" t="s">
        <v>240</v>
      </c>
      <c r="EP3340" s="5" t="s">
        <v>240</v>
      </c>
      <c r="EQ3340" s="5" t="s">
        <v>240</v>
      </c>
      <c r="ER3340" s="5" t="s">
        <v>240</v>
      </c>
      <c r="ES3340" s="5" t="s">
        <v>240</v>
      </c>
      <c r="ET3340" s="5" t="s">
        <v>240</v>
      </c>
      <c r="EU3340" s="5" t="s">
        <v>240</v>
      </c>
      <c r="EV3340" s="5" t="s">
        <v>240</v>
      </c>
      <c r="EW3340" s="5" t="s">
        <v>240</v>
      </c>
      <c r="EX3340" s="5" t="s">
        <v>240</v>
      </c>
      <c r="EY3340" s="5" t="s">
        <v>240</v>
      </c>
      <c r="EZ3340" s="5" t="s">
        <v>240</v>
      </c>
      <c r="FA3340" s="5" t="s">
        <v>240</v>
      </c>
      <c r="FB3340" s="5" t="s">
        <v>240</v>
      </c>
      <c r="FC3340" s="5" t="s">
        <v>240</v>
      </c>
      <c r="FD3340" s="5" t="s">
        <v>240</v>
      </c>
      <c r="FE3340" s="5" t="s">
        <v>240</v>
      </c>
      <c r="FF3340" s="5" t="s">
        <v>240</v>
      </c>
      <c r="FG3340" s="5" t="s">
        <v>240</v>
      </c>
      <c r="FH3340" s="5" t="s">
        <v>240</v>
      </c>
      <c r="FI3340" s="5" t="s">
        <v>240</v>
      </c>
      <c r="FJ3340" s="5" t="s">
        <v>240</v>
      </c>
      <c r="FK3340" s="5" t="s">
        <v>240</v>
      </c>
      <c r="FL3340" s="5" t="s">
        <v>240</v>
      </c>
      <c r="FM3340" s="5" t="s">
        <v>240</v>
      </c>
      <c r="FN3340" s="5" t="s">
        <v>240</v>
      </c>
      <c r="FO3340" s="5" t="s">
        <v>240</v>
      </c>
      <c r="FP3340" s="5" t="s">
        <v>240</v>
      </c>
      <c r="FQ3340" s="5" t="s">
        <v>240</v>
      </c>
      <c r="FR3340" s="5" t="s">
        <v>240</v>
      </c>
      <c r="FS3340" s="5" t="s">
        <v>240</v>
      </c>
      <c r="FT3340" s="5" t="s">
        <v>240</v>
      </c>
      <c r="FU3340" s="5" t="s">
        <v>240</v>
      </c>
      <c r="FV3340" s="5" t="s">
        <v>240</v>
      </c>
      <c r="FW3340" s="5" t="s">
        <v>240</v>
      </c>
      <c r="FX3340" s="5" t="s">
        <v>240</v>
      </c>
      <c r="FY3340" s="5" t="s">
        <v>240</v>
      </c>
      <c r="FZ3340" s="5" t="s">
        <v>240</v>
      </c>
      <c r="GA3340" s="5" t="s">
        <v>240</v>
      </c>
      <c r="GB3340" s="5" t="s">
        <v>240</v>
      </c>
      <c r="GC3340" s="5" t="s">
        <v>240</v>
      </c>
      <c r="GD3340" s="5" t="s">
        <v>240</v>
      </c>
      <c r="GE3340" s="5" t="s">
        <v>240</v>
      </c>
      <c r="GF3340" s="5" t="s">
        <v>240</v>
      </c>
      <c r="GG3340" s="5" t="s">
        <v>240</v>
      </c>
      <c r="GH3340" s="5" t="s">
        <v>240</v>
      </c>
      <c r="GI3340" s="5" t="s">
        <v>240</v>
      </c>
      <c r="GJ3340" s="5" t="s">
        <v>240</v>
      </c>
      <c r="GK3340" s="5" t="s">
        <v>240</v>
      </c>
      <c r="GL3340" s="5" t="s">
        <v>240</v>
      </c>
      <c r="GM3340" s="5" t="s">
        <v>240</v>
      </c>
      <c r="GN3340" s="5" t="s">
        <v>240</v>
      </c>
      <c r="GO3340" s="5" t="s">
        <v>240</v>
      </c>
      <c r="GP3340" s="5" t="s">
        <v>240</v>
      </c>
      <c r="GQ3340" s="5" t="s">
        <v>240</v>
      </c>
      <c r="GR3340" s="5" t="s">
        <v>240</v>
      </c>
      <c r="GS3340" s="5" t="s">
        <v>240</v>
      </c>
      <c r="GT3340" s="5" t="s">
        <v>240</v>
      </c>
      <c r="GU3340" s="5" t="s">
        <v>240</v>
      </c>
      <c r="GV3340" s="5" t="s">
        <v>240</v>
      </c>
      <c r="GW3340" s="5" t="s">
        <v>240</v>
      </c>
      <c r="GX3340" s="5" t="s">
        <v>240</v>
      </c>
      <c r="GY3340" s="5" t="s">
        <v>240</v>
      </c>
      <c r="GZ3340" s="5" t="s">
        <v>240</v>
      </c>
      <c r="HA3340" s="5" t="s">
        <v>240</v>
      </c>
      <c r="HB3340" s="5" t="s">
        <v>240</v>
      </c>
      <c r="HC3340" s="5" t="s">
        <v>240</v>
      </c>
      <c r="HD3340" s="5" t="s">
        <v>240</v>
      </c>
      <c r="HE3340" s="5" t="s">
        <v>240</v>
      </c>
      <c r="HF3340" s="5" t="s">
        <v>240</v>
      </c>
      <c r="HG3340" s="5" t="s">
        <v>240</v>
      </c>
      <c r="HH3340" s="5" t="s">
        <v>240</v>
      </c>
      <c r="HI3340" s="5" t="s">
        <v>240</v>
      </c>
      <c r="HJ3340" s="5" t="s">
        <v>240</v>
      </c>
      <c r="HK3340" s="5" t="s">
        <v>240</v>
      </c>
      <c r="HL3340" s="5" t="s">
        <v>240</v>
      </c>
      <c r="HM3340" s="5" t="s">
        <v>240</v>
      </c>
      <c r="HN3340" s="5" t="s">
        <v>240</v>
      </c>
      <c r="HO3340" s="5" t="s">
        <v>312</v>
      </c>
      <c r="HP3340" s="5" t="s">
        <v>240</v>
      </c>
      <c r="HQ3340" s="5" t="s">
        <v>240</v>
      </c>
      <c r="HR3340" s="5" t="s">
        <v>240</v>
      </c>
      <c r="HS3340" s="5" t="s">
        <v>240</v>
      </c>
      <c r="HT3340" s="5" t="s">
        <v>240</v>
      </c>
      <c r="HU3340" s="5" t="s">
        <v>240</v>
      </c>
      <c r="HV3340" s="5" t="s">
        <v>240</v>
      </c>
      <c r="HW3340" s="5" t="s">
        <v>240</v>
      </c>
      <c r="HX3340" s="5" t="s">
        <v>240</v>
      </c>
      <c r="HY3340" s="5" t="s">
        <v>240</v>
      </c>
      <c r="HZ3340" s="5" t="s">
        <v>240</v>
      </c>
      <c r="IA3340" s="5" t="s">
        <v>240</v>
      </c>
      <c r="IB3340" s="5" t="s">
        <v>240</v>
      </c>
      <c r="IC3340" s="5" t="s">
        <v>240</v>
      </c>
      <c r="ID3340" s="5" t="s">
        <v>240</v>
      </c>
      <c r="IE3340" s="5" t="s">
        <v>240</v>
      </c>
      <c r="IF3340" s="5" t="s">
        <v>240</v>
      </c>
    </row>
    <row r="3341" spans="1:240" x14ac:dyDescent="0.4">
      <c r="A3341" s="5">
        <v>8883</v>
      </c>
      <c r="B3341" s="5">
        <v>1</v>
      </c>
      <c r="C3341" s="5">
        <v>1</v>
      </c>
      <c r="D3341" s="5" t="s">
        <v>723</v>
      </c>
      <c r="E3341" s="5" t="s">
        <v>725</v>
      </c>
      <c r="F3341" s="5" t="s">
        <v>730</v>
      </c>
      <c r="G3341" s="5" t="s">
        <v>726</v>
      </c>
      <c r="H3341" s="6" t="s">
        <v>6281</v>
      </c>
      <c r="I3341" s="5" t="s">
        <v>722</v>
      </c>
      <c r="J3341" s="8">
        <f>739</f>
        <v>739</v>
      </c>
      <c r="K3341" s="5" t="s">
        <v>308</v>
      </c>
      <c r="L3341" s="7">
        <f>0</f>
        <v>0</v>
      </c>
      <c r="M3341" s="7">
        <f>0</f>
        <v>0</v>
      </c>
      <c r="N3341" s="5" t="s">
        <v>242</v>
      </c>
      <c r="O3341" s="5">
        <v>1</v>
      </c>
      <c r="P3341" s="5" t="s">
        <v>294</v>
      </c>
      <c r="Q3341" s="5" t="s">
        <v>3678</v>
      </c>
      <c r="R3341" s="5" t="s">
        <v>240</v>
      </c>
      <c r="S3341" s="5" t="s">
        <v>240</v>
      </c>
      <c r="T3341" s="5" t="s">
        <v>243</v>
      </c>
      <c r="U3341" s="5" t="s">
        <v>244</v>
      </c>
      <c r="V3341" s="5" t="s">
        <v>240</v>
      </c>
      <c r="W3341" s="5" t="s">
        <v>240</v>
      </c>
      <c r="X3341" s="5" t="s">
        <v>240</v>
      </c>
      <c r="Y3341" s="5" t="s">
        <v>240</v>
      </c>
      <c r="Z3341" s="6" t="s">
        <v>298</v>
      </c>
      <c r="AA3341" s="6" t="s">
        <v>240</v>
      </c>
      <c r="AB3341" s="6" t="s">
        <v>240</v>
      </c>
      <c r="AC3341" s="5" t="s">
        <v>240</v>
      </c>
      <c r="AD3341" s="6" t="s">
        <v>240</v>
      </c>
      <c r="AE3341" s="6" t="s">
        <v>299</v>
      </c>
      <c r="AF3341" s="5" t="s">
        <v>248</v>
      </c>
      <c r="AG3341" s="5" t="s">
        <v>249</v>
      </c>
      <c r="AH3341" s="5" t="s">
        <v>240</v>
      </c>
      <c r="AI3341" s="5" t="s">
        <v>240</v>
      </c>
      <c r="AJ3341" s="5" t="s">
        <v>240</v>
      </c>
      <c r="AK3341" s="5" t="s">
        <v>240</v>
      </c>
      <c r="AL3341" s="5" t="s">
        <v>240</v>
      </c>
      <c r="AM3341" s="5" t="s">
        <v>240</v>
      </c>
      <c r="AN3341" s="5" t="s">
        <v>240</v>
      </c>
      <c r="AO3341" s="5" t="s">
        <v>240</v>
      </c>
      <c r="AP3341" s="6" t="s">
        <v>240</v>
      </c>
      <c r="AQ3341" s="6" t="s">
        <v>240</v>
      </c>
      <c r="AR3341" s="6" t="s">
        <v>240</v>
      </c>
      <c r="AS3341" s="6" t="s">
        <v>240</v>
      </c>
      <c r="AT3341" s="5" t="s">
        <v>240</v>
      </c>
      <c r="AU3341" s="5" t="s">
        <v>729</v>
      </c>
      <c r="AV3341" s="5" t="s">
        <v>729</v>
      </c>
      <c r="AW3341" s="5" t="s">
        <v>251</v>
      </c>
      <c r="AX3341" s="5" t="s">
        <v>252</v>
      </c>
      <c r="AY3341" s="5" t="s">
        <v>253</v>
      </c>
      <c r="AZ3341" s="5" t="s">
        <v>240</v>
      </c>
      <c r="BA3341" s="5" t="s">
        <v>255</v>
      </c>
      <c r="BB3341" s="5" t="s">
        <v>731</v>
      </c>
      <c r="BD3341" s="5" t="s">
        <v>240</v>
      </c>
      <c r="BF3341" s="5" t="s">
        <v>732</v>
      </c>
      <c r="BG3341" s="6" t="s">
        <v>733</v>
      </c>
      <c r="BH3341" s="5" t="s">
        <v>734</v>
      </c>
      <c r="BI3341" s="5" t="s">
        <v>734</v>
      </c>
      <c r="BJ3341" s="5" t="s">
        <v>240</v>
      </c>
      <c r="BK3341" s="7">
        <f>1</f>
        <v>1</v>
      </c>
      <c r="BL3341" s="7">
        <f>1</f>
        <v>1</v>
      </c>
      <c r="BM3341" s="5" t="s">
        <v>258</v>
      </c>
      <c r="BN3341" s="5" t="s">
        <v>259</v>
      </c>
      <c r="BO3341" s="5" t="s">
        <v>240</v>
      </c>
      <c r="BP3341" s="5" t="s">
        <v>240</v>
      </c>
      <c r="BQ3341" s="5" t="s">
        <v>240</v>
      </c>
      <c r="BR3341" s="5" t="s">
        <v>240</v>
      </c>
      <c r="BS3341" s="5" t="s">
        <v>240</v>
      </c>
      <c r="BT3341" s="5" t="s">
        <v>240</v>
      </c>
      <c r="BU3341" s="5" t="s">
        <v>240</v>
      </c>
      <c r="BV3341" s="5" t="s">
        <v>240</v>
      </c>
      <c r="BW3341" s="6" t="s">
        <v>240</v>
      </c>
      <c r="BX3341" s="5" t="s">
        <v>240</v>
      </c>
      <c r="BY3341" s="5" t="s">
        <v>240</v>
      </c>
      <c r="BZ3341" s="5" t="s">
        <v>240</v>
      </c>
      <c r="CA3341" s="5" t="s">
        <v>259</v>
      </c>
      <c r="CB3341" s="5" t="s">
        <v>240</v>
      </c>
      <c r="CC3341" s="5" t="s">
        <v>240</v>
      </c>
      <c r="CD3341" s="5" t="s">
        <v>240</v>
      </c>
      <c r="CE3341" s="5" t="s">
        <v>240</v>
      </c>
      <c r="CF3341" s="5" t="s">
        <v>240</v>
      </c>
      <c r="CG3341" s="5" t="s">
        <v>304</v>
      </c>
      <c r="CH3341" s="5" t="s">
        <v>305</v>
      </c>
      <c r="CI3341" s="5" t="s">
        <v>240</v>
      </c>
      <c r="CK3341" s="5" t="s">
        <v>3681</v>
      </c>
      <c r="CL3341" s="6" t="s">
        <v>261</v>
      </c>
      <c r="CM3341" s="5" t="s">
        <v>262</v>
      </c>
      <c r="CN3341" s="5" t="s">
        <v>263</v>
      </c>
      <c r="CO3341" s="5" t="s">
        <v>264</v>
      </c>
      <c r="CP3341" s="5" t="s">
        <v>240</v>
      </c>
      <c r="CQ3341" s="5">
        <v>0</v>
      </c>
      <c r="CR3341" s="5" t="s">
        <v>735</v>
      </c>
      <c r="CS3341" s="5" t="s">
        <v>307</v>
      </c>
      <c r="CT3341" s="5" t="s">
        <v>307</v>
      </c>
      <c r="CU3341" s="5" t="s">
        <v>260</v>
      </c>
      <c r="CV3341" s="5" t="s">
        <v>612</v>
      </c>
      <c r="CW3341" s="8">
        <f>1</f>
        <v>1</v>
      </c>
      <c r="CX3341" s="7">
        <f>1</f>
        <v>1</v>
      </c>
      <c r="CY3341" s="7">
        <f>0</f>
        <v>0</v>
      </c>
      <c r="DA3341" s="7">
        <f>1</f>
        <v>1</v>
      </c>
      <c r="DB3341" s="7" t="s">
        <v>240</v>
      </c>
      <c r="DC3341" s="5" t="s">
        <v>240</v>
      </c>
      <c r="DD3341" s="5" t="s">
        <v>240</v>
      </c>
      <c r="DE3341" s="5" t="s">
        <v>240</v>
      </c>
      <c r="DF3341" s="5" t="s">
        <v>240</v>
      </c>
      <c r="DG3341" s="7">
        <f>0</f>
        <v>0</v>
      </c>
      <c r="DI3341" s="5" t="s">
        <v>240</v>
      </c>
      <c r="DJ3341" s="5" t="s">
        <v>240</v>
      </c>
      <c r="DK3341" s="5" t="s">
        <v>240</v>
      </c>
      <c r="DL3341" s="5" t="s">
        <v>240</v>
      </c>
      <c r="DM3341" s="5" t="s">
        <v>240</v>
      </c>
      <c r="DN3341" s="5" t="s">
        <v>240</v>
      </c>
      <c r="DO3341" s="7" t="s">
        <v>240</v>
      </c>
      <c r="DP3341" s="5" t="s">
        <v>240</v>
      </c>
      <c r="DQ3341" s="5" t="s">
        <v>240</v>
      </c>
      <c r="DR3341" s="5" t="s">
        <v>731</v>
      </c>
      <c r="DS3341" s="5" t="s">
        <v>731</v>
      </c>
      <c r="DT3341" s="5" t="s">
        <v>240</v>
      </c>
      <c r="DU3341" s="5" t="s">
        <v>240</v>
      </c>
      <c r="DV3341" s="5" t="s">
        <v>5063</v>
      </c>
      <c r="DW3341" s="5" t="s">
        <v>1225</v>
      </c>
      <c r="DX3341" s="5" t="s">
        <v>240</v>
      </c>
      <c r="DY3341" s="5" t="s">
        <v>240</v>
      </c>
      <c r="DZ3341" s="5" t="s">
        <v>240</v>
      </c>
      <c r="EA3341" s="5" t="s">
        <v>240</v>
      </c>
      <c r="EB3341" s="5" t="s">
        <v>240</v>
      </c>
      <c r="EC3341" s="5" t="s">
        <v>240</v>
      </c>
      <c r="ED3341" s="5" t="s">
        <v>240</v>
      </c>
      <c r="EE3341" s="5" t="s">
        <v>240</v>
      </c>
      <c r="EF3341" s="5" t="s">
        <v>240</v>
      </c>
      <c r="EG3341" s="5" t="s">
        <v>240</v>
      </c>
      <c r="EH3341" s="5" t="s">
        <v>240</v>
      </c>
      <c r="EI3341" s="5" t="s">
        <v>240</v>
      </c>
      <c r="EJ3341" s="5" t="s">
        <v>240</v>
      </c>
      <c r="EK3341" s="5" t="s">
        <v>240</v>
      </c>
      <c r="EL3341" s="5" t="s">
        <v>240</v>
      </c>
      <c r="EM3341" s="5" t="s">
        <v>240</v>
      </c>
      <c r="EN3341" s="5" t="s">
        <v>240</v>
      </c>
      <c r="EO3341" s="5" t="s">
        <v>240</v>
      </c>
      <c r="EP3341" s="5" t="s">
        <v>240</v>
      </c>
      <c r="EQ3341" s="5" t="s">
        <v>240</v>
      </c>
      <c r="ER3341" s="5" t="s">
        <v>240</v>
      </c>
      <c r="ES3341" s="5" t="s">
        <v>240</v>
      </c>
      <c r="ET3341" s="5" t="s">
        <v>240</v>
      </c>
      <c r="EU3341" s="5" t="s">
        <v>240</v>
      </c>
      <c r="EV3341" s="5" t="s">
        <v>240</v>
      </c>
      <c r="EW3341" s="5" t="s">
        <v>240</v>
      </c>
      <c r="EX3341" s="5" t="s">
        <v>240</v>
      </c>
      <c r="EY3341" s="5" t="s">
        <v>240</v>
      </c>
      <c r="EZ3341" s="5" t="s">
        <v>240</v>
      </c>
      <c r="FA3341" s="5" t="s">
        <v>240</v>
      </c>
      <c r="FB3341" s="5" t="s">
        <v>240</v>
      </c>
      <c r="FC3341" s="5" t="s">
        <v>240</v>
      </c>
      <c r="FD3341" s="5" t="s">
        <v>240</v>
      </c>
      <c r="FE3341" s="5" t="s">
        <v>240</v>
      </c>
      <c r="FF3341" s="5" t="s">
        <v>240</v>
      </c>
      <c r="FG3341" s="5" t="s">
        <v>240</v>
      </c>
      <c r="FH3341" s="5" t="s">
        <v>240</v>
      </c>
      <c r="FI3341" s="5" t="s">
        <v>240</v>
      </c>
      <c r="FJ3341" s="5" t="s">
        <v>240</v>
      </c>
      <c r="FK3341" s="5" t="s">
        <v>240</v>
      </c>
      <c r="FL3341" s="5" t="s">
        <v>240</v>
      </c>
      <c r="FM3341" s="5" t="s">
        <v>240</v>
      </c>
      <c r="FN3341" s="5" t="s">
        <v>240</v>
      </c>
      <c r="FO3341" s="5" t="s">
        <v>240</v>
      </c>
      <c r="FP3341" s="5" t="s">
        <v>240</v>
      </c>
      <c r="FQ3341" s="5" t="s">
        <v>240</v>
      </c>
      <c r="FR3341" s="5" t="s">
        <v>240</v>
      </c>
      <c r="FS3341" s="5" t="s">
        <v>240</v>
      </c>
      <c r="FT3341" s="5" t="s">
        <v>240</v>
      </c>
      <c r="FU3341" s="5" t="s">
        <v>240</v>
      </c>
      <c r="FV3341" s="5" t="s">
        <v>240</v>
      </c>
      <c r="FW3341" s="5" t="s">
        <v>240</v>
      </c>
      <c r="FX3341" s="5" t="s">
        <v>240</v>
      </c>
      <c r="FY3341" s="5" t="s">
        <v>240</v>
      </c>
      <c r="FZ3341" s="5" t="s">
        <v>240</v>
      </c>
      <c r="GA3341" s="5" t="s">
        <v>240</v>
      </c>
      <c r="GB3341" s="5" t="s">
        <v>240</v>
      </c>
      <c r="GC3341" s="5" t="s">
        <v>240</v>
      </c>
      <c r="GD3341" s="5" t="s">
        <v>240</v>
      </c>
      <c r="GE3341" s="5" t="s">
        <v>240</v>
      </c>
      <c r="GF3341" s="5" t="s">
        <v>240</v>
      </c>
      <c r="GG3341" s="5" t="s">
        <v>240</v>
      </c>
      <c r="GH3341" s="5" t="s">
        <v>240</v>
      </c>
      <c r="GI3341" s="5" t="s">
        <v>240</v>
      </c>
      <c r="GJ3341" s="5" t="s">
        <v>240</v>
      </c>
      <c r="GK3341" s="5" t="s">
        <v>240</v>
      </c>
      <c r="GL3341" s="5" t="s">
        <v>240</v>
      </c>
      <c r="GM3341" s="5" t="s">
        <v>240</v>
      </c>
      <c r="GN3341" s="5" t="s">
        <v>240</v>
      </c>
      <c r="GO3341" s="5" t="s">
        <v>240</v>
      </c>
      <c r="GP3341" s="5" t="s">
        <v>240</v>
      </c>
      <c r="GQ3341" s="5" t="s">
        <v>240</v>
      </c>
      <c r="GR3341" s="5" t="s">
        <v>240</v>
      </c>
      <c r="GS3341" s="5" t="s">
        <v>240</v>
      </c>
      <c r="GT3341" s="5" t="s">
        <v>240</v>
      </c>
      <c r="GU3341" s="5" t="s">
        <v>240</v>
      </c>
      <c r="GV3341" s="5" t="s">
        <v>240</v>
      </c>
      <c r="GW3341" s="5" t="s">
        <v>240</v>
      </c>
      <c r="GX3341" s="5" t="s">
        <v>240</v>
      </c>
      <c r="GY3341" s="5" t="s">
        <v>240</v>
      </c>
      <c r="GZ3341" s="5" t="s">
        <v>240</v>
      </c>
      <c r="HA3341" s="5" t="s">
        <v>240</v>
      </c>
      <c r="HB3341" s="5" t="s">
        <v>240</v>
      </c>
      <c r="HC3341" s="5" t="s">
        <v>240</v>
      </c>
      <c r="HD3341" s="5" t="s">
        <v>240</v>
      </c>
      <c r="HE3341" s="5" t="s">
        <v>240</v>
      </c>
      <c r="HF3341" s="5" t="s">
        <v>240</v>
      </c>
      <c r="HG3341" s="5" t="s">
        <v>240</v>
      </c>
      <c r="HH3341" s="5" t="s">
        <v>240</v>
      </c>
      <c r="HI3341" s="5" t="s">
        <v>240</v>
      </c>
      <c r="HJ3341" s="5" t="s">
        <v>240</v>
      </c>
      <c r="HK3341" s="5" t="s">
        <v>240</v>
      </c>
      <c r="HL3341" s="5" t="s">
        <v>240</v>
      </c>
      <c r="HM3341" s="5" t="s">
        <v>240</v>
      </c>
      <c r="HN3341" s="5" t="s">
        <v>240</v>
      </c>
      <c r="HO3341" s="5" t="s">
        <v>312</v>
      </c>
      <c r="HP3341" s="5" t="s">
        <v>240</v>
      </c>
      <c r="HQ3341" s="5" t="s">
        <v>240</v>
      </c>
      <c r="HR3341" s="5" t="s">
        <v>240</v>
      </c>
      <c r="HS3341" s="5" t="s">
        <v>240</v>
      </c>
      <c r="HT3341" s="5" t="s">
        <v>240</v>
      </c>
      <c r="HU3341" s="5" t="s">
        <v>240</v>
      </c>
      <c r="HV3341" s="5" t="s">
        <v>240</v>
      </c>
      <c r="HW3341" s="5" t="s">
        <v>240</v>
      </c>
      <c r="HX3341" s="5" t="s">
        <v>240</v>
      </c>
      <c r="HY3341" s="5" t="s">
        <v>240</v>
      </c>
      <c r="HZ3341" s="5" t="s">
        <v>240</v>
      </c>
      <c r="IA3341" s="5" t="s">
        <v>240</v>
      </c>
      <c r="IB3341" s="5" t="s">
        <v>240</v>
      </c>
      <c r="IC3341" s="5" t="s">
        <v>240</v>
      </c>
      <c r="ID3341" s="5" t="s">
        <v>240</v>
      </c>
      <c r="IE3341" s="5" t="s">
        <v>240</v>
      </c>
      <c r="IF3341" s="5" t="s">
        <v>240</v>
      </c>
    </row>
    <row r="3342" spans="1:240" x14ac:dyDescent="0.4">
      <c r="A3342" s="5">
        <v>8884</v>
      </c>
      <c r="B3342" s="5">
        <v>1</v>
      </c>
      <c r="C3342" s="5">
        <v>1</v>
      </c>
      <c r="D3342" s="5" t="s">
        <v>723</v>
      </c>
      <c r="E3342" s="5" t="s">
        <v>725</v>
      </c>
      <c r="F3342" s="5" t="s">
        <v>730</v>
      </c>
      <c r="G3342" s="5" t="s">
        <v>726</v>
      </c>
      <c r="H3342" s="6" t="s">
        <v>6659</v>
      </c>
      <c r="I3342" s="5" t="s">
        <v>722</v>
      </c>
      <c r="J3342" s="8">
        <f>409</f>
        <v>409</v>
      </c>
      <c r="K3342" s="5" t="s">
        <v>308</v>
      </c>
      <c r="L3342" s="7">
        <f>0</f>
        <v>0</v>
      </c>
      <c r="M3342" s="7">
        <f>0</f>
        <v>0</v>
      </c>
      <c r="N3342" s="5" t="s">
        <v>242</v>
      </c>
      <c r="O3342" s="5">
        <v>1</v>
      </c>
      <c r="P3342" s="5" t="s">
        <v>294</v>
      </c>
      <c r="Q3342" s="5" t="s">
        <v>266</v>
      </c>
      <c r="R3342" s="5" t="s">
        <v>240</v>
      </c>
      <c r="S3342" s="5" t="s">
        <v>240</v>
      </c>
      <c r="T3342" s="5" t="s">
        <v>296</v>
      </c>
      <c r="U3342" s="5" t="s">
        <v>244</v>
      </c>
      <c r="V3342" s="5" t="s">
        <v>240</v>
      </c>
      <c r="Y3342" s="5" t="s">
        <v>240</v>
      </c>
      <c r="Z3342" s="6" t="s">
        <v>298</v>
      </c>
      <c r="AB3342" s="6" t="s">
        <v>240</v>
      </c>
      <c r="AE3342" s="6" t="s">
        <v>299</v>
      </c>
      <c r="AF3342" s="5" t="s">
        <v>248</v>
      </c>
      <c r="AG3342" s="5" t="s">
        <v>249</v>
      </c>
      <c r="AW3342" s="5" t="s">
        <v>251</v>
      </c>
      <c r="AX3342" s="5" t="s">
        <v>240</v>
      </c>
      <c r="AY3342" s="5" t="s">
        <v>253</v>
      </c>
      <c r="AZ3342" s="5" t="s">
        <v>240</v>
      </c>
      <c r="BA3342" s="5" t="s">
        <v>255</v>
      </c>
      <c r="BB3342" s="5" t="s">
        <v>240</v>
      </c>
      <c r="BD3342" s="5" t="s">
        <v>240</v>
      </c>
      <c r="BF3342" s="5" t="s">
        <v>301</v>
      </c>
      <c r="BG3342" s="6" t="s">
        <v>299</v>
      </c>
      <c r="BH3342" s="5" t="s">
        <v>302</v>
      </c>
      <c r="BI3342" s="5" t="s">
        <v>303</v>
      </c>
      <c r="BJ3342" s="5" t="s">
        <v>240</v>
      </c>
      <c r="BK3342" s="8">
        <f>0</f>
        <v>0</v>
      </c>
      <c r="BL3342" s="7">
        <f>0</f>
        <v>0</v>
      </c>
      <c r="BM3342" s="5" t="s">
        <v>258</v>
      </c>
      <c r="BN3342" s="5" t="s">
        <v>259</v>
      </c>
      <c r="CB3342" s="5" t="s">
        <v>240</v>
      </c>
      <c r="CC3342" s="5" t="s">
        <v>240</v>
      </c>
      <c r="CG3342" s="5" t="s">
        <v>304</v>
      </c>
      <c r="CH3342" s="5" t="s">
        <v>305</v>
      </c>
      <c r="CI3342" s="5" t="s">
        <v>240</v>
      </c>
      <c r="CL3342" s="6" t="s">
        <v>261</v>
      </c>
      <c r="CM3342" s="5" t="s">
        <v>240</v>
      </c>
      <c r="CN3342" s="5" t="s">
        <v>263</v>
      </c>
      <c r="CO3342" s="5" t="s">
        <v>240</v>
      </c>
      <c r="CP3342" s="5" t="s">
        <v>240</v>
      </c>
      <c r="CQ3342" s="5">
        <v>0</v>
      </c>
      <c r="CR3342" s="5" t="s">
        <v>306</v>
      </c>
      <c r="CS3342" s="5" t="s">
        <v>307</v>
      </c>
      <c r="CT3342" s="5" t="s">
        <v>307</v>
      </c>
      <c r="CU3342" s="5" t="s">
        <v>260</v>
      </c>
      <c r="CX3342" s="7">
        <f>1</f>
        <v>1</v>
      </c>
      <c r="CY3342" s="7">
        <f>0</f>
        <v>0</v>
      </c>
      <c r="DA3342" s="7">
        <f>0</f>
        <v>0</v>
      </c>
      <c r="DC3342" s="5" t="s">
        <v>309</v>
      </c>
      <c r="DD3342" s="5" t="s">
        <v>240</v>
      </c>
      <c r="DF3342" s="5" t="s">
        <v>309</v>
      </c>
      <c r="DG3342" s="7">
        <f>1559</f>
        <v>1559</v>
      </c>
      <c r="DI3342" s="5" t="s">
        <v>240</v>
      </c>
      <c r="DJ3342" s="5" t="s">
        <v>240</v>
      </c>
      <c r="DK3342" s="5" t="s">
        <v>240</v>
      </c>
      <c r="DL3342" s="5" t="s">
        <v>240</v>
      </c>
      <c r="DP3342" s="5" t="s">
        <v>240</v>
      </c>
      <c r="DQ3342" s="5" t="s">
        <v>240</v>
      </c>
      <c r="DR3342" s="5" t="s">
        <v>240</v>
      </c>
      <c r="DS3342" s="5" t="s">
        <v>240</v>
      </c>
      <c r="DV3342" s="5" t="s">
        <v>310</v>
      </c>
      <c r="DW3342" s="5" t="s">
        <v>4974</v>
      </c>
      <c r="HO3342" s="5" t="s">
        <v>312</v>
      </c>
    </row>
    <row r="3343" spans="1:240" x14ac:dyDescent="0.4">
      <c r="A3343" s="5">
        <v>8885</v>
      </c>
      <c r="B3343" s="5">
        <v>1</v>
      </c>
      <c r="C3343" s="5">
        <v>1</v>
      </c>
      <c r="D3343" s="5" t="s">
        <v>723</v>
      </c>
      <c r="E3343" s="5" t="s">
        <v>725</v>
      </c>
      <c r="F3343" s="5" t="s">
        <v>730</v>
      </c>
      <c r="G3343" s="5" t="s">
        <v>726</v>
      </c>
      <c r="H3343" s="6" t="s">
        <v>6279</v>
      </c>
      <c r="I3343" s="5" t="s">
        <v>990</v>
      </c>
      <c r="J3343" s="8">
        <f>512</f>
        <v>512</v>
      </c>
      <c r="K3343" s="5" t="s">
        <v>308</v>
      </c>
      <c r="L3343" s="7">
        <f>0</f>
        <v>0</v>
      </c>
      <c r="M3343" s="7">
        <f>0</f>
        <v>0</v>
      </c>
      <c r="N3343" s="5" t="s">
        <v>242</v>
      </c>
      <c r="O3343" s="5">
        <v>1</v>
      </c>
      <c r="P3343" s="5" t="s">
        <v>294</v>
      </c>
      <c r="Q3343" s="5" t="s">
        <v>3678</v>
      </c>
      <c r="R3343" s="5" t="s">
        <v>240</v>
      </c>
      <c r="S3343" s="5" t="s">
        <v>240</v>
      </c>
      <c r="T3343" s="5" t="s">
        <v>243</v>
      </c>
      <c r="U3343" s="5" t="s">
        <v>244</v>
      </c>
      <c r="V3343" s="5" t="s">
        <v>240</v>
      </c>
      <c r="W3343" s="5" t="s">
        <v>240</v>
      </c>
      <c r="X3343" s="5" t="s">
        <v>240</v>
      </c>
      <c r="Y3343" s="5" t="s">
        <v>240</v>
      </c>
      <c r="Z3343" s="6" t="s">
        <v>298</v>
      </c>
      <c r="AA3343" s="6" t="s">
        <v>240</v>
      </c>
      <c r="AB3343" s="6" t="s">
        <v>240</v>
      </c>
      <c r="AC3343" s="5" t="s">
        <v>240</v>
      </c>
      <c r="AD3343" s="6" t="s">
        <v>240</v>
      </c>
      <c r="AE3343" s="6" t="s">
        <v>299</v>
      </c>
      <c r="AF3343" s="5" t="s">
        <v>248</v>
      </c>
      <c r="AG3343" s="5" t="s">
        <v>249</v>
      </c>
      <c r="AH3343" s="5" t="s">
        <v>240</v>
      </c>
      <c r="AI3343" s="5" t="s">
        <v>240</v>
      </c>
      <c r="AJ3343" s="5" t="s">
        <v>240</v>
      </c>
      <c r="AK3343" s="5" t="s">
        <v>240</v>
      </c>
      <c r="AL3343" s="5" t="s">
        <v>240</v>
      </c>
      <c r="AM3343" s="5" t="s">
        <v>240</v>
      </c>
      <c r="AN3343" s="5" t="s">
        <v>240</v>
      </c>
      <c r="AO3343" s="5" t="s">
        <v>240</v>
      </c>
      <c r="AP3343" s="6" t="s">
        <v>240</v>
      </c>
      <c r="AQ3343" s="6" t="s">
        <v>240</v>
      </c>
      <c r="AR3343" s="6" t="s">
        <v>240</v>
      </c>
      <c r="AS3343" s="6" t="s">
        <v>240</v>
      </c>
      <c r="AT3343" s="5" t="s">
        <v>240</v>
      </c>
      <c r="AU3343" s="5" t="s">
        <v>729</v>
      </c>
      <c r="AV3343" s="5" t="s">
        <v>729</v>
      </c>
      <c r="AW3343" s="5" t="s">
        <v>251</v>
      </c>
      <c r="AX3343" s="5" t="s">
        <v>252</v>
      </c>
      <c r="AY3343" s="5" t="s">
        <v>253</v>
      </c>
      <c r="AZ3343" s="5" t="s">
        <v>240</v>
      </c>
      <c r="BA3343" s="5" t="s">
        <v>255</v>
      </c>
      <c r="BB3343" s="5" t="s">
        <v>731</v>
      </c>
      <c r="BD3343" s="5" t="s">
        <v>240</v>
      </c>
      <c r="BF3343" s="5" t="s">
        <v>732</v>
      </c>
      <c r="BG3343" s="6" t="s">
        <v>733</v>
      </c>
      <c r="BH3343" s="5" t="s">
        <v>734</v>
      </c>
      <c r="BI3343" s="5" t="s">
        <v>734</v>
      </c>
      <c r="BJ3343" s="5" t="s">
        <v>240</v>
      </c>
      <c r="BK3343" s="7">
        <f>1</f>
        <v>1</v>
      </c>
      <c r="BL3343" s="7">
        <f>1</f>
        <v>1</v>
      </c>
      <c r="BM3343" s="5" t="s">
        <v>258</v>
      </c>
      <c r="BN3343" s="5" t="s">
        <v>259</v>
      </c>
      <c r="BO3343" s="5" t="s">
        <v>240</v>
      </c>
      <c r="BP3343" s="5" t="s">
        <v>240</v>
      </c>
      <c r="BQ3343" s="5" t="s">
        <v>240</v>
      </c>
      <c r="BR3343" s="5" t="s">
        <v>240</v>
      </c>
      <c r="BS3343" s="5" t="s">
        <v>240</v>
      </c>
      <c r="BT3343" s="5" t="s">
        <v>240</v>
      </c>
      <c r="BU3343" s="5" t="s">
        <v>240</v>
      </c>
      <c r="BV3343" s="5" t="s">
        <v>240</v>
      </c>
      <c r="BW3343" s="6" t="s">
        <v>240</v>
      </c>
      <c r="BX3343" s="5" t="s">
        <v>240</v>
      </c>
      <c r="BY3343" s="5" t="s">
        <v>240</v>
      </c>
      <c r="BZ3343" s="5" t="s">
        <v>240</v>
      </c>
      <c r="CA3343" s="5" t="s">
        <v>259</v>
      </c>
      <c r="CB3343" s="5" t="s">
        <v>240</v>
      </c>
      <c r="CC3343" s="5" t="s">
        <v>240</v>
      </c>
      <c r="CD3343" s="5" t="s">
        <v>240</v>
      </c>
      <c r="CE3343" s="5" t="s">
        <v>240</v>
      </c>
      <c r="CF3343" s="5" t="s">
        <v>240</v>
      </c>
      <c r="CG3343" s="5" t="s">
        <v>304</v>
      </c>
      <c r="CH3343" s="5" t="s">
        <v>305</v>
      </c>
      <c r="CI3343" s="5" t="s">
        <v>240</v>
      </c>
      <c r="CK3343" s="5" t="s">
        <v>3681</v>
      </c>
      <c r="CL3343" s="6" t="s">
        <v>261</v>
      </c>
      <c r="CM3343" s="5" t="s">
        <v>262</v>
      </c>
      <c r="CN3343" s="5" t="s">
        <v>263</v>
      </c>
      <c r="CO3343" s="5" t="s">
        <v>264</v>
      </c>
      <c r="CP3343" s="5" t="s">
        <v>240</v>
      </c>
      <c r="CQ3343" s="5">
        <v>0</v>
      </c>
      <c r="CR3343" s="5" t="s">
        <v>735</v>
      </c>
      <c r="CS3343" s="5" t="s">
        <v>307</v>
      </c>
      <c r="CT3343" s="5" t="s">
        <v>307</v>
      </c>
      <c r="CU3343" s="5" t="s">
        <v>260</v>
      </c>
      <c r="CV3343" s="5" t="s">
        <v>612</v>
      </c>
      <c r="CW3343" s="8">
        <f>1</f>
        <v>1</v>
      </c>
      <c r="CX3343" s="7">
        <f>1</f>
        <v>1</v>
      </c>
      <c r="CY3343" s="7">
        <f>0</f>
        <v>0</v>
      </c>
      <c r="DA3343" s="7">
        <f>1</f>
        <v>1</v>
      </c>
      <c r="DB3343" s="7" t="s">
        <v>240</v>
      </c>
      <c r="DC3343" s="5" t="s">
        <v>240</v>
      </c>
      <c r="DD3343" s="5" t="s">
        <v>240</v>
      </c>
      <c r="DE3343" s="5" t="s">
        <v>240</v>
      </c>
      <c r="DF3343" s="5" t="s">
        <v>240</v>
      </c>
      <c r="DG3343" s="7">
        <f>0</f>
        <v>0</v>
      </c>
      <c r="DI3343" s="5" t="s">
        <v>240</v>
      </c>
      <c r="DJ3343" s="5" t="s">
        <v>240</v>
      </c>
      <c r="DK3343" s="5" t="s">
        <v>240</v>
      </c>
      <c r="DL3343" s="5" t="s">
        <v>240</v>
      </c>
      <c r="DM3343" s="5" t="s">
        <v>240</v>
      </c>
      <c r="DN3343" s="5" t="s">
        <v>240</v>
      </c>
      <c r="DO3343" s="7" t="s">
        <v>240</v>
      </c>
      <c r="DP3343" s="5" t="s">
        <v>240</v>
      </c>
      <c r="DQ3343" s="5" t="s">
        <v>240</v>
      </c>
      <c r="DR3343" s="5" t="s">
        <v>731</v>
      </c>
      <c r="DS3343" s="5" t="s">
        <v>731</v>
      </c>
      <c r="DT3343" s="5" t="s">
        <v>240</v>
      </c>
      <c r="DU3343" s="5" t="s">
        <v>240</v>
      </c>
      <c r="DV3343" s="5" t="s">
        <v>5063</v>
      </c>
      <c r="DW3343" s="5" t="s">
        <v>748</v>
      </c>
      <c r="DX3343" s="5" t="s">
        <v>240</v>
      </c>
      <c r="DY3343" s="5" t="s">
        <v>240</v>
      </c>
      <c r="DZ3343" s="5" t="s">
        <v>240</v>
      </c>
      <c r="EA3343" s="5" t="s">
        <v>240</v>
      </c>
      <c r="EB3343" s="5" t="s">
        <v>240</v>
      </c>
      <c r="EC3343" s="5" t="s">
        <v>240</v>
      </c>
      <c r="ED3343" s="5" t="s">
        <v>240</v>
      </c>
      <c r="EE3343" s="5" t="s">
        <v>240</v>
      </c>
      <c r="EF3343" s="5" t="s">
        <v>240</v>
      </c>
      <c r="EG3343" s="5" t="s">
        <v>240</v>
      </c>
      <c r="EH3343" s="5" t="s">
        <v>240</v>
      </c>
      <c r="EI3343" s="5" t="s">
        <v>240</v>
      </c>
      <c r="EJ3343" s="5" t="s">
        <v>240</v>
      </c>
      <c r="EK3343" s="5" t="s">
        <v>240</v>
      </c>
      <c r="EL3343" s="5" t="s">
        <v>240</v>
      </c>
      <c r="EM3343" s="5" t="s">
        <v>240</v>
      </c>
      <c r="EN3343" s="5" t="s">
        <v>240</v>
      </c>
      <c r="EO3343" s="5" t="s">
        <v>240</v>
      </c>
      <c r="EP3343" s="5" t="s">
        <v>240</v>
      </c>
      <c r="EQ3343" s="5" t="s">
        <v>240</v>
      </c>
      <c r="ER3343" s="5" t="s">
        <v>240</v>
      </c>
      <c r="ES3343" s="5" t="s">
        <v>240</v>
      </c>
      <c r="ET3343" s="5" t="s">
        <v>240</v>
      </c>
      <c r="EU3343" s="5" t="s">
        <v>240</v>
      </c>
      <c r="EV3343" s="5" t="s">
        <v>240</v>
      </c>
      <c r="EW3343" s="5" t="s">
        <v>240</v>
      </c>
      <c r="EX3343" s="5" t="s">
        <v>240</v>
      </c>
      <c r="EY3343" s="5" t="s">
        <v>240</v>
      </c>
      <c r="EZ3343" s="5" t="s">
        <v>240</v>
      </c>
      <c r="FA3343" s="5" t="s">
        <v>240</v>
      </c>
      <c r="FB3343" s="5" t="s">
        <v>240</v>
      </c>
      <c r="FC3343" s="5" t="s">
        <v>240</v>
      </c>
      <c r="FD3343" s="5" t="s">
        <v>240</v>
      </c>
      <c r="FE3343" s="5" t="s">
        <v>240</v>
      </c>
      <c r="FF3343" s="5" t="s">
        <v>240</v>
      </c>
      <c r="FG3343" s="5" t="s">
        <v>240</v>
      </c>
      <c r="FH3343" s="5" t="s">
        <v>240</v>
      </c>
      <c r="FI3343" s="5" t="s">
        <v>240</v>
      </c>
      <c r="FJ3343" s="5" t="s">
        <v>240</v>
      </c>
      <c r="FK3343" s="5" t="s">
        <v>240</v>
      </c>
      <c r="FL3343" s="5" t="s">
        <v>240</v>
      </c>
      <c r="FM3343" s="5" t="s">
        <v>240</v>
      </c>
      <c r="FN3343" s="5" t="s">
        <v>240</v>
      </c>
      <c r="FO3343" s="5" t="s">
        <v>240</v>
      </c>
      <c r="FP3343" s="5" t="s">
        <v>240</v>
      </c>
      <c r="FQ3343" s="5" t="s">
        <v>240</v>
      </c>
      <c r="FR3343" s="5" t="s">
        <v>240</v>
      </c>
      <c r="FS3343" s="5" t="s">
        <v>240</v>
      </c>
      <c r="FT3343" s="5" t="s">
        <v>240</v>
      </c>
      <c r="FU3343" s="5" t="s">
        <v>240</v>
      </c>
      <c r="FV3343" s="5" t="s">
        <v>240</v>
      </c>
      <c r="FW3343" s="5" t="s">
        <v>240</v>
      </c>
      <c r="FX3343" s="5" t="s">
        <v>240</v>
      </c>
      <c r="FY3343" s="5" t="s">
        <v>240</v>
      </c>
      <c r="FZ3343" s="5" t="s">
        <v>240</v>
      </c>
      <c r="GA3343" s="5" t="s">
        <v>240</v>
      </c>
      <c r="GB3343" s="5" t="s">
        <v>240</v>
      </c>
      <c r="GC3343" s="5" t="s">
        <v>240</v>
      </c>
      <c r="GD3343" s="5" t="s">
        <v>240</v>
      </c>
      <c r="GE3343" s="5" t="s">
        <v>240</v>
      </c>
      <c r="GF3343" s="5" t="s">
        <v>240</v>
      </c>
      <c r="GG3343" s="5" t="s">
        <v>240</v>
      </c>
      <c r="GH3343" s="5" t="s">
        <v>240</v>
      </c>
      <c r="GI3343" s="5" t="s">
        <v>240</v>
      </c>
      <c r="GJ3343" s="5" t="s">
        <v>240</v>
      </c>
      <c r="GK3343" s="5" t="s">
        <v>240</v>
      </c>
      <c r="GL3343" s="5" t="s">
        <v>240</v>
      </c>
      <c r="GM3343" s="5" t="s">
        <v>240</v>
      </c>
      <c r="GN3343" s="5" t="s">
        <v>240</v>
      </c>
      <c r="GO3343" s="5" t="s">
        <v>240</v>
      </c>
      <c r="GP3343" s="5" t="s">
        <v>240</v>
      </c>
      <c r="GQ3343" s="5" t="s">
        <v>240</v>
      </c>
      <c r="GR3343" s="5" t="s">
        <v>240</v>
      </c>
      <c r="GS3343" s="5" t="s">
        <v>240</v>
      </c>
      <c r="GT3343" s="5" t="s">
        <v>240</v>
      </c>
      <c r="GU3343" s="5" t="s">
        <v>240</v>
      </c>
      <c r="GV3343" s="5" t="s">
        <v>240</v>
      </c>
      <c r="GW3343" s="5" t="s">
        <v>240</v>
      </c>
      <c r="GX3343" s="5" t="s">
        <v>240</v>
      </c>
      <c r="GY3343" s="5" t="s">
        <v>240</v>
      </c>
      <c r="GZ3343" s="5" t="s">
        <v>240</v>
      </c>
      <c r="HA3343" s="5" t="s">
        <v>240</v>
      </c>
      <c r="HB3343" s="5" t="s">
        <v>240</v>
      </c>
      <c r="HC3343" s="5" t="s">
        <v>240</v>
      </c>
      <c r="HD3343" s="5" t="s">
        <v>240</v>
      </c>
      <c r="HE3343" s="5" t="s">
        <v>240</v>
      </c>
      <c r="HF3343" s="5" t="s">
        <v>240</v>
      </c>
      <c r="HG3343" s="5" t="s">
        <v>240</v>
      </c>
      <c r="HH3343" s="5" t="s">
        <v>240</v>
      </c>
      <c r="HI3343" s="5" t="s">
        <v>240</v>
      </c>
      <c r="HJ3343" s="5" t="s">
        <v>240</v>
      </c>
      <c r="HK3343" s="5" t="s">
        <v>240</v>
      </c>
      <c r="HL3343" s="5" t="s">
        <v>240</v>
      </c>
      <c r="HM3343" s="5" t="s">
        <v>240</v>
      </c>
      <c r="HN3343" s="5" t="s">
        <v>240</v>
      </c>
      <c r="HO3343" s="5" t="s">
        <v>312</v>
      </c>
      <c r="HP3343" s="5" t="s">
        <v>240</v>
      </c>
      <c r="HQ3343" s="5" t="s">
        <v>240</v>
      </c>
      <c r="HR3343" s="5" t="s">
        <v>240</v>
      </c>
      <c r="HS3343" s="5" t="s">
        <v>240</v>
      </c>
      <c r="HT3343" s="5" t="s">
        <v>240</v>
      </c>
      <c r="HU3343" s="5" t="s">
        <v>240</v>
      </c>
      <c r="HV3343" s="5" t="s">
        <v>240</v>
      </c>
      <c r="HW3343" s="5" t="s">
        <v>240</v>
      </c>
      <c r="HX3343" s="5" t="s">
        <v>240</v>
      </c>
      <c r="HY3343" s="5" t="s">
        <v>240</v>
      </c>
      <c r="HZ3343" s="5" t="s">
        <v>240</v>
      </c>
      <c r="IA3343" s="5" t="s">
        <v>240</v>
      </c>
      <c r="IB3343" s="5" t="s">
        <v>240</v>
      </c>
      <c r="IC3343" s="5" t="s">
        <v>240</v>
      </c>
      <c r="ID3343" s="5" t="s">
        <v>240</v>
      </c>
      <c r="IE3343" s="5" t="s">
        <v>240</v>
      </c>
      <c r="IF3343" s="5" t="s">
        <v>240</v>
      </c>
    </row>
    <row r="3344" spans="1:240" x14ac:dyDescent="0.4">
      <c r="A3344" s="5">
        <v>8886</v>
      </c>
      <c r="B3344" s="5">
        <v>1</v>
      </c>
      <c r="C3344" s="5">
        <v>1</v>
      </c>
      <c r="D3344" s="5" t="s">
        <v>723</v>
      </c>
      <c r="E3344" s="5" t="s">
        <v>725</v>
      </c>
      <c r="F3344" s="5" t="s">
        <v>730</v>
      </c>
      <c r="G3344" s="5" t="s">
        <v>726</v>
      </c>
      <c r="H3344" s="6" t="s">
        <v>6278</v>
      </c>
      <c r="I3344" s="5" t="s">
        <v>722</v>
      </c>
      <c r="J3344" s="8">
        <f>797.59</f>
        <v>797.59</v>
      </c>
      <c r="K3344" s="5" t="s">
        <v>308</v>
      </c>
      <c r="L3344" s="7">
        <f>0</f>
        <v>0</v>
      </c>
      <c r="M3344" s="7">
        <f>0</f>
        <v>0</v>
      </c>
      <c r="N3344" s="5" t="s">
        <v>242</v>
      </c>
      <c r="O3344" s="5">
        <v>1</v>
      </c>
      <c r="P3344" s="5" t="s">
        <v>294</v>
      </c>
      <c r="Q3344" s="5" t="s">
        <v>3678</v>
      </c>
      <c r="R3344" s="5" t="s">
        <v>240</v>
      </c>
      <c r="S3344" s="5" t="s">
        <v>240</v>
      </c>
      <c r="T3344" s="5" t="s">
        <v>243</v>
      </c>
      <c r="U3344" s="5" t="s">
        <v>244</v>
      </c>
      <c r="V3344" s="5" t="s">
        <v>240</v>
      </c>
      <c r="W3344" s="5" t="s">
        <v>240</v>
      </c>
      <c r="X3344" s="5" t="s">
        <v>240</v>
      </c>
      <c r="Y3344" s="5" t="s">
        <v>240</v>
      </c>
      <c r="Z3344" s="6" t="s">
        <v>298</v>
      </c>
      <c r="AA3344" s="6" t="s">
        <v>240</v>
      </c>
      <c r="AB3344" s="6" t="s">
        <v>240</v>
      </c>
      <c r="AC3344" s="5" t="s">
        <v>240</v>
      </c>
      <c r="AD3344" s="6" t="s">
        <v>240</v>
      </c>
      <c r="AE3344" s="6" t="s">
        <v>299</v>
      </c>
      <c r="AF3344" s="5" t="s">
        <v>248</v>
      </c>
      <c r="AG3344" s="5" t="s">
        <v>249</v>
      </c>
      <c r="AH3344" s="5" t="s">
        <v>240</v>
      </c>
      <c r="AI3344" s="5" t="s">
        <v>240</v>
      </c>
      <c r="AJ3344" s="5" t="s">
        <v>240</v>
      </c>
      <c r="AK3344" s="5" t="s">
        <v>240</v>
      </c>
      <c r="AL3344" s="5" t="s">
        <v>240</v>
      </c>
      <c r="AM3344" s="5" t="s">
        <v>240</v>
      </c>
      <c r="AN3344" s="5" t="s">
        <v>240</v>
      </c>
      <c r="AO3344" s="5" t="s">
        <v>240</v>
      </c>
      <c r="AP3344" s="6" t="s">
        <v>240</v>
      </c>
      <c r="AQ3344" s="6" t="s">
        <v>240</v>
      </c>
      <c r="AR3344" s="6" t="s">
        <v>240</v>
      </c>
      <c r="AS3344" s="6" t="s">
        <v>240</v>
      </c>
      <c r="AT3344" s="5" t="s">
        <v>240</v>
      </c>
      <c r="AU3344" s="5" t="s">
        <v>729</v>
      </c>
      <c r="AV3344" s="5" t="s">
        <v>729</v>
      </c>
      <c r="AW3344" s="5" t="s">
        <v>251</v>
      </c>
      <c r="AX3344" s="5" t="s">
        <v>252</v>
      </c>
      <c r="AY3344" s="5" t="s">
        <v>253</v>
      </c>
      <c r="AZ3344" s="5" t="s">
        <v>240</v>
      </c>
      <c r="BA3344" s="5" t="s">
        <v>255</v>
      </c>
      <c r="BB3344" s="5" t="s">
        <v>731</v>
      </c>
      <c r="BD3344" s="5" t="s">
        <v>240</v>
      </c>
      <c r="BF3344" s="5" t="s">
        <v>732</v>
      </c>
      <c r="BG3344" s="6" t="s">
        <v>733</v>
      </c>
      <c r="BH3344" s="5" t="s">
        <v>734</v>
      </c>
      <c r="BI3344" s="5" t="s">
        <v>734</v>
      </c>
      <c r="BJ3344" s="5" t="s">
        <v>240</v>
      </c>
      <c r="BK3344" s="7">
        <f>1</f>
        <v>1</v>
      </c>
      <c r="BL3344" s="7">
        <f>1</f>
        <v>1</v>
      </c>
      <c r="BM3344" s="5" t="s">
        <v>258</v>
      </c>
      <c r="BN3344" s="5" t="s">
        <v>259</v>
      </c>
      <c r="BO3344" s="5" t="s">
        <v>240</v>
      </c>
      <c r="BP3344" s="5" t="s">
        <v>240</v>
      </c>
      <c r="BQ3344" s="5" t="s">
        <v>240</v>
      </c>
      <c r="BR3344" s="5" t="s">
        <v>240</v>
      </c>
      <c r="BS3344" s="5" t="s">
        <v>240</v>
      </c>
      <c r="BT3344" s="5" t="s">
        <v>240</v>
      </c>
      <c r="BU3344" s="5" t="s">
        <v>240</v>
      </c>
      <c r="BV3344" s="5" t="s">
        <v>240</v>
      </c>
      <c r="BW3344" s="6" t="s">
        <v>240</v>
      </c>
      <c r="BX3344" s="5" t="s">
        <v>240</v>
      </c>
      <c r="BY3344" s="5" t="s">
        <v>240</v>
      </c>
      <c r="BZ3344" s="5" t="s">
        <v>240</v>
      </c>
      <c r="CA3344" s="5" t="s">
        <v>259</v>
      </c>
      <c r="CB3344" s="5" t="s">
        <v>240</v>
      </c>
      <c r="CC3344" s="5" t="s">
        <v>240</v>
      </c>
      <c r="CD3344" s="5" t="s">
        <v>240</v>
      </c>
      <c r="CE3344" s="5" t="s">
        <v>240</v>
      </c>
      <c r="CF3344" s="5" t="s">
        <v>240</v>
      </c>
      <c r="CG3344" s="5" t="s">
        <v>304</v>
      </c>
      <c r="CH3344" s="5" t="s">
        <v>305</v>
      </c>
      <c r="CI3344" s="5" t="s">
        <v>240</v>
      </c>
      <c r="CK3344" s="5" t="s">
        <v>3681</v>
      </c>
      <c r="CL3344" s="6" t="s">
        <v>261</v>
      </c>
      <c r="CM3344" s="5" t="s">
        <v>262</v>
      </c>
      <c r="CN3344" s="5" t="s">
        <v>263</v>
      </c>
      <c r="CO3344" s="5" t="s">
        <v>264</v>
      </c>
      <c r="CP3344" s="5" t="s">
        <v>240</v>
      </c>
      <c r="CQ3344" s="5">
        <v>0</v>
      </c>
      <c r="CR3344" s="5" t="s">
        <v>735</v>
      </c>
      <c r="CS3344" s="5" t="s">
        <v>307</v>
      </c>
      <c r="CT3344" s="5" t="s">
        <v>307</v>
      </c>
      <c r="CU3344" s="5" t="s">
        <v>260</v>
      </c>
      <c r="CV3344" s="5" t="s">
        <v>612</v>
      </c>
      <c r="CW3344" s="8">
        <f>1</f>
        <v>1</v>
      </c>
      <c r="CX3344" s="7">
        <f>1</f>
        <v>1</v>
      </c>
      <c r="CY3344" s="7">
        <f>0</f>
        <v>0</v>
      </c>
      <c r="DA3344" s="7">
        <f>1</f>
        <v>1</v>
      </c>
      <c r="DB3344" s="7" t="s">
        <v>240</v>
      </c>
      <c r="DC3344" s="5" t="s">
        <v>240</v>
      </c>
      <c r="DD3344" s="5" t="s">
        <v>240</v>
      </c>
      <c r="DE3344" s="5" t="s">
        <v>240</v>
      </c>
      <c r="DF3344" s="5" t="s">
        <v>240</v>
      </c>
      <c r="DG3344" s="7">
        <f>0</f>
        <v>0</v>
      </c>
      <c r="DI3344" s="5" t="s">
        <v>240</v>
      </c>
      <c r="DJ3344" s="5" t="s">
        <v>240</v>
      </c>
      <c r="DK3344" s="5" t="s">
        <v>240</v>
      </c>
      <c r="DL3344" s="5" t="s">
        <v>240</v>
      </c>
      <c r="DM3344" s="5" t="s">
        <v>240</v>
      </c>
      <c r="DN3344" s="5" t="s">
        <v>240</v>
      </c>
      <c r="DO3344" s="7" t="s">
        <v>240</v>
      </c>
      <c r="DP3344" s="5" t="s">
        <v>240</v>
      </c>
      <c r="DQ3344" s="5" t="s">
        <v>240</v>
      </c>
      <c r="DR3344" s="5" t="s">
        <v>731</v>
      </c>
      <c r="DS3344" s="5" t="s">
        <v>731</v>
      </c>
      <c r="DT3344" s="5" t="s">
        <v>240</v>
      </c>
      <c r="DU3344" s="5" t="s">
        <v>240</v>
      </c>
      <c r="DV3344" s="5" t="s">
        <v>5063</v>
      </c>
      <c r="DW3344" s="5" t="s">
        <v>744</v>
      </c>
      <c r="DX3344" s="5" t="s">
        <v>240</v>
      </c>
      <c r="DY3344" s="5" t="s">
        <v>240</v>
      </c>
      <c r="DZ3344" s="5" t="s">
        <v>240</v>
      </c>
      <c r="EA3344" s="5" t="s">
        <v>240</v>
      </c>
      <c r="EB3344" s="5" t="s">
        <v>240</v>
      </c>
      <c r="EC3344" s="5" t="s">
        <v>240</v>
      </c>
      <c r="ED3344" s="5" t="s">
        <v>240</v>
      </c>
      <c r="EE3344" s="5" t="s">
        <v>240</v>
      </c>
      <c r="EF3344" s="5" t="s">
        <v>240</v>
      </c>
      <c r="EG3344" s="5" t="s">
        <v>240</v>
      </c>
      <c r="EH3344" s="5" t="s">
        <v>240</v>
      </c>
      <c r="EI3344" s="5" t="s">
        <v>240</v>
      </c>
      <c r="EJ3344" s="5" t="s">
        <v>240</v>
      </c>
      <c r="EK3344" s="5" t="s">
        <v>240</v>
      </c>
      <c r="EL3344" s="5" t="s">
        <v>240</v>
      </c>
      <c r="EM3344" s="5" t="s">
        <v>240</v>
      </c>
      <c r="EN3344" s="5" t="s">
        <v>240</v>
      </c>
      <c r="EO3344" s="5" t="s">
        <v>240</v>
      </c>
      <c r="EP3344" s="5" t="s">
        <v>240</v>
      </c>
      <c r="EQ3344" s="5" t="s">
        <v>240</v>
      </c>
      <c r="ER3344" s="5" t="s">
        <v>240</v>
      </c>
      <c r="ES3344" s="5" t="s">
        <v>240</v>
      </c>
      <c r="ET3344" s="5" t="s">
        <v>240</v>
      </c>
      <c r="EU3344" s="5" t="s">
        <v>240</v>
      </c>
      <c r="EV3344" s="5" t="s">
        <v>240</v>
      </c>
      <c r="EW3344" s="5" t="s">
        <v>240</v>
      </c>
      <c r="EX3344" s="5" t="s">
        <v>240</v>
      </c>
      <c r="EY3344" s="5" t="s">
        <v>240</v>
      </c>
      <c r="EZ3344" s="5" t="s">
        <v>240</v>
      </c>
      <c r="FA3344" s="5" t="s">
        <v>240</v>
      </c>
      <c r="FB3344" s="5" t="s">
        <v>240</v>
      </c>
      <c r="FC3344" s="5" t="s">
        <v>240</v>
      </c>
      <c r="FD3344" s="5" t="s">
        <v>240</v>
      </c>
      <c r="FE3344" s="5" t="s">
        <v>240</v>
      </c>
      <c r="FF3344" s="5" t="s">
        <v>240</v>
      </c>
      <c r="FG3344" s="5" t="s">
        <v>240</v>
      </c>
      <c r="FH3344" s="5" t="s">
        <v>240</v>
      </c>
      <c r="FI3344" s="5" t="s">
        <v>240</v>
      </c>
      <c r="FJ3344" s="5" t="s">
        <v>240</v>
      </c>
      <c r="FK3344" s="5" t="s">
        <v>240</v>
      </c>
      <c r="FL3344" s="5" t="s">
        <v>240</v>
      </c>
      <c r="FM3344" s="5" t="s">
        <v>240</v>
      </c>
      <c r="FN3344" s="5" t="s">
        <v>240</v>
      </c>
      <c r="FO3344" s="5" t="s">
        <v>240</v>
      </c>
      <c r="FP3344" s="5" t="s">
        <v>240</v>
      </c>
      <c r="FQ3344" s="5" t="s">
        <v>240</v>
      </c>
      <c r="FR3344" s="5" t="s">
        <v>240</v>
      </c>
      <c r="FS3344" s="5" t="s">
        <v>240</v>
      </c>
      <c r="FT3344" s="5" t="s">
        <v>240</v>
      </c>
      <c r="FU3344" s="5" t="s">
        <v>240</v>
      </c>
      <c r="FV3344" s="5" t="s">
        <v>240</v>
      </c>
      <c r="FW3344" s="5" t="s">
        <v>240</v>
      </c>
      <c r="FX3344" s="5" t="s">
        <v>240</v>
      </c>
      <c r="FY3344" s="5" t="s">
        <v>240</v>
      </c>
      <c r="FZ3344" s="5" t="s">
        <v>240</v>
      </c>
      <c r="GA3344" s="5" t="s">
        <v>240</v>
      </c>
      <c r="GB3344" s="5" t="s">
        <v>240</v>
      </c>
      <c r="GC3344" s="5" t="s">
        <v>240</v>
      </c>
      <c r="GD3344" s="5" t="s">
        <v>240</v>
      </c>
      <c r="GE3344" s="5" t="s">
        <v>240</v>
      </c>
      <c r="GF3344" s="5" t="s">
        <v>240</v>
      </c>
      <c r="GG3344" s="5" t="s">
        <v>240</v>
      </c>
      <c r="GH3344" s="5" t="s">
        <v>240</v>
      </c>
      <c r="GI3344" s="5" t="s">
        <v>240</v>
      </c>
      <c r="GJ3344" s="5" t="s">
        <v>240</v>
      </c>
      <c r="GK3344" s="5" t="s">
        <v>240</v>
      </c>
      <c r="GL3344" s="5" t="s">
        <v>240</v>
      </c>
      <c r="GM3344" s="5" t="s">
        <v>240</v>
      </c>
      <c r="GN3344" s="5" t="s">
        <v>240</v>
      </c>
      <c r="GO3344" s="5" t="s">
        <v>240</v>
      </c>
      <c r="GP3344" s="5" t="s">
        <v>240</v>
      </c>
      <c r="GQ3344" s="5" t="s">
        <v>240</v>
      </c>
      <c r="GR3344" s="5" t="s">
        <v>240</v>
      </c>
      <c r="GS3344" s="5" t="s">
        <v>240</v>
      </c>
      <c r="GT3344" s="5" t="s">
        <v>240</v>
      </c>
      <c r="GU3344" s="5" t="s">
        <v>240</v>
      </c>
      <c r="GV3344" s="5" t="s">
        <v>240</v>
      </c>
      <c r="GW3344" s="5" t="s">
        <v>240</v>
      </c>
      <c r="GX3344" s="5" t="s">
        <v>240</v>
      </c>
      <c r="GY3344" s="5" t="s">
        <v>240</v>
      </c>
      <c r="GZ3344" s="5" t="s">
        <v>240</v>
      </c>
      <c r="HA3344" s="5" t="s">
        <v>240</v>
      </c>
      <c r="HB3344" s="5" t="s">
        <v>240</v>
      </c>
      <c r="HC3344" s="5" t="s">
        <v>240</v>
      </c>
      <c r="HD3344" s="5" t="s">
        <v>240</v>
      </c>
      <c r="HE3344" s="5" t="s">
        <v>240</v>
      </c>
      <c r="HF3344" s="5" t="s">
        <v>240</v>
      </c>
      <c r="HG3344" s="5" t="s">
        <v>240</v>
      </c>
      <c r="HH3344" s="5" t="s">
        <v>240</v>
      </c>
      <c r="HI3344" s="5" t="s">
        <v>240</v>
      </c>
      <c r="HJ3344" s="5" t="s">
        <v>240</v>
      </c>
      <c r="HK3344" s="5" t="s">
        <v>240</v>
      </c>
      <c r="HL3344" s="5" t="s">
        <v>240</v>
      </c>
      <c r="HM3344" s="5" t="s">
        <v>240</v>
      </c>
      <c r="HN3344" s="5" t="s">
        <v>240</v>
      </c>
      <c r="HO3344" s="5" t="s">
        <v>312</v>
      </c>
      <c r="HP3344" s="5" t="s">
        <v>240</v>
      </c>
      <c r="HQ3344" s="5" t="s">
        <v>240</v>
      </c>
      <c r="HR3344" s="5" t="s">
        <v>240</v>
      </c>
      <c r="HS3344" s="5" t="s">
        <v>240</v>
      </c>
      <c r="HT3344" s="5" t="s">
        <v>240</v>
      </c>
      <c r="HU3344" s="5" t="s">
        <v>240</v>
      </c>
      <c r="HV3344" s="5" t="s">
        <v>240</v>
      </c>
      <c r="HW3344" s="5" t="s">
        <v>240</v>
      </c>
      <c r="HX3344" s="5" t="s">
        <v>240</v>
      </c>
      <c r="HY3344" s="5" t="s">
        <v>240</v>
      </c>
      <c r="HZ3344" s="5" t="s">
        <v>240</v>
      </c>
      <c r="IA3344" s="5" t="s">
        <v>240</v>
      </c>
      <c r="IB3344" s="5" t="s">
        <v>240</v>
      </c>
      <c r="IC3344" s="5" t="s">
        <v>240</v>
      </c>
      <c r="ID3344" s="5" t="s">
        <v>240</v>
      </c>
      <c r="IE3344" s="5" t="s">
        <v>240</v>
      </c>
      <c r="IF3344" s="5" t="s">
        <v>240</v>
      </c>
    </row>
    <row r="3345" spans="1:240" x14ac:dyDescent="0.4">
      <c r="A3345" s="5">
        <v>8887</v>
      </c>
      <c r="B3345" s="5">
        <v>1</v>
      </c>
      <c r="C3345" s="5">
        <v>1</v>
      </c>
      <c r="D3345" s="5" t="s">
        <v>723</v>
      </c>
      <c r="E3345" s="5" t="s">
        <v>725</v>
      </c>
      <c r="F3345" s="5" t="s">
        <v>730</v>
      </c>
      <c r="G3345" s="5" t="s">
        <v>726</v>
      </c>
      <c r="H3345" s="6" t="s">
        <v>6655</v>
      </c>
      <c r="I3345" s="5" t="s">
        <v>722</v>
      </c>
      <c r="J3345" s="8">
        <f>632</f>
        <v>632</v>
      </c>
      <c r="K3345" s="5" t="s">
        <v>308</v>
      </c>
      <c r="L3345" s="7">
        <f>0</f>
        <v>0</v>
      </c>
      <c r="M3345" s="7">
        <f>0</f>
        <v>0</v>
      </c>
      <c r="N3345" s="5" t="s">
        <v>242</v>
      </c>
      <c r="O3345" s="5">
        <v>1</v>
      </c>
      <c r="P3345" s="5" t="s">
        <v>294</v>
      </c>
      <c r="Q3345" s="5" t="s">
        <v>3678</v>
      </c>
      <c r="R3345" s="5" t="s">
        <v>240</v>
      </c>
      <c r="S3345" s="5" t="s">
        <v>240</v>
      </c>
      <c r="T3345" s="5" t="s">
        <v>243</v>
      </c>
      <c r="U3345" s="5" t="s">
        <v>244</v>
      </c>
      <c r="V3345" s="5" t="s">
        <v>240</v>
      </c>
      <c r="W3345" s="5" t="s">
        <v>240</v>
      </c>
      <c r="X3345" s="5" t="s">
        <v>240</v>
      </c>
      <c r="Y3345" s="5" t="s">
        <v>240</v>
      </c>
      <c r="Z3345" s="6" t="s">
        <v>298</v>
      </c>
      <c r="AA3345" s="6" t="s">
        <v>240</v>
      </c>
      <c r="AB3345" s="6" t="s">
        <v>240</v>
      </c>
      <c r="AC3345" s="5" t="s">
        <v>240</v>
      </c>
      <c r="AD3345" s="6" t="s">
        <v>240</v>
      </c>
      <c r="AE3345" s="6" t="s">
        <v>299</v>
      </c>
      <c r="AF3345" s="5" t="s">
        <v>248</v>
      </c>
      <c r="AG3345" s="5" t="s">
        <v>249</v>
      </c>
      <c r="AH3345" s="5" t="s">
        <v>240</v>
      </c>
      <c r="AI3345" s="5" t="s">
        <v>240</v>
      </c>
      <c r="AJ3345" s="5" t="s">
        <v>240</v>
      </c>
      <c r="AK3345" s="5" t="s">
        <v>240</v>
      </c>
      <c r="AL3345" s="5" t="s">
        <v>240</v>
      </c>
      <c r="AM3345" s="5" t="s">
        <v>240</v>
      </c>
      <c r="AN3345" s="5" t="s">
        <v>240</v>
      </c>
      <c r="AO3345" s="5" t="s">
        <v>240</v>
      </c>
      <c r="AP3345" s="6" t="s">
        <v>240</v>
      </c>
      <c r="AQ3345" s="6" t="s">
        <v>240</v>
      </c>
      <c r="AR3345" s="6" t="s">
        <v>240</v>
      </c>
      <c r="AS3345" s="6" t="s">
        <v>240</v>
      </c>
      <c r="AT3345" s="5" t="s">
        <v>240</v>
      </c>
      <c r="AU3345" s="5" t="s">
        <v>729</v>
      </c>
      <c r="AV3345" s="5" t="s">
        <v>729</v>
      </c>
      <c r="AW3345" s="5" t="s">
        <v>251</v>
      </c>
      <c r="AX3345" s="5" t="s">
        <v>252</v>
      </c>
      <c r="AY3345" s="5" t="s">
        <v>253</v>
      </c>
      <c r="AZ3345" s="5" t="s">
        <v>240</v>
      </c>
      <c r="BA3345" s="5" t="s">
        <v>255</v>
      </c>
      <c r="BB3345" s="5" t="s">
        <v>731</v>
      </c>
      <c r="BD3345" s="5" t="s">
        <v>240</v>
      </c>
      <c r="BF3345" s="5" t="s">
        <v>732</v>
      </c>
      <c r="BG3345" s="6" t="s">
        <v>733</v>
      </c>
      <c r="BH3345" s="5" t="s">
        <v>734</v>
      </c>
      <c r="BI3345" s="5" t="s">
        <v>734</v>
      </c>
      <c r="BJ3345" s="5" t="s">
        <v>240</v>
      </c>
      <c r="BK3345" s="7">
        <f>1</f>
        <v>1</v>
      </c>
      <c r="BL3345" s="7">
        <f>1</f>
        <v>1</v>
      </c>
      <c r="BM3345" s="5" t="s">
        <v>258</v>
      </c>
      <c r="BN3345" s="5" t="s">
        <v>259</v>
      </c>
      <c r="BO3345" s="5" t="s">
        <v>240</v>
      </c>
      <c r="BP3345" s="5" t="s">
        <v>240</v>
      </c>
      <c r="BQ3345" s="5" t="s">
        <v>240</v>
      </c>
      <c r="BR3345" s="5" t="s">
        <v>240</v>
      </c>
      <c r="BS3345" s="5" t="s">
        <v>240</v>
      </c>
      <c r="BT3345" s="5" t="s">
        <v>240</v>
      </c>
      <c r="BU3345" s="5" t="s">
        <v>240</v>
      </c>
      <c r="BV3345" s="5" t="s">
        <v>240</v>
      </c>
      <c r="BW3345" s="6" t="s">
        <v>240</v>
      </c>
      <c r="BX3345" s="5" t="s">
        <v>240</v>
      </c>
      <c r="BY3345" s="5" t="s">
        <v>240</v>
      </c>
      <c r="BZ3345" s="5" t="s">
        <v>240</v>
      </c>
      <c r="CA3345" s="5" t="s">
        <v>259</v>
      </c>
      <c r="CB3345" s="5" t="s">
        <v>240</v>
      </c>
      <c r="CC3345" s="5" t="s">
        <v>240</v>
      </c>
      <c r="CD3345" s="5" t="s">
        <v>240</v>
      </c>
      <c r="CE3345" s="5" t="s">
        <v>240</v>
      </c>
      <c r="CF3345" s="5" t="s">
        <v>240</v>
      </c>
      <c r="CG3345" s="5" t="s">
        <v>304</v>
      </c>
      <c r="CH3345" s="5" t="s">
        <v>305</v>
      </c>
      <c r="CI3345" s="5" t="s">
        <v>240</v>
      </c>
      <c r="CK3345" s="5" t="s">
        <v>3681</v>
      </c>
      <c r="CL3345" s="6" t="s">
        <v>261</v>
      </c>
      <c r="CM3345" s="5" t="s">
        <v>262</v>
      </c>
      <c r="CN3345" s="5" t="s">
        <v>263</v>
      </c>
      <c r="CO3345" s="5" t="s">
        <v>264</v>
      </c>
      <c r="CP3345" s="5" t="s">
        <v>240</v>
      </c>
      <c r="CQ3345" s="5">
        <v>0</v>
      </c>
      <c r="CR3345" s="5" t="s">
        <v>735</v>
      </c>
      <c r="CS3345" s="5" t="s">
        <v>307</v>
      </c>
      <c r="CT3345" s="5" t="s">
        <v>307</v>
      </c>
      <c r="CU3345" s="5" t="s">
        <v>260</v>
      </c>
      <c r="CV3345" s="5" t="s">
        <v>612</v>
      </c>
      <c r="CW3345" s="8">
        <f>1</f>
        <v>1</v>
      </c>
      <c r="CX3345" s="7">
        <f>1</f>
        <v>1</v>
      </c>
      <c r="CY3345" s="7">
        <f>0</f>
        <v>0</v>
      </c>
      <c r="DA3345" s="7">
        <f>1</f>
        <v>1</v>
      </c>
      <c r="DB3345" s="7" t="s">
        <v>240</v>
      </c>
      <c r="DC3345" s="5" t="s">
        <v>240</v>
      </c>
      <c r="DD3345" s="5" t="s">
        <v>240</v>
      </c>
      <c r="DE3345" s="5" t="s">
        <v>240</v>
      </c>
      <c r="DF3345" s="5" t="s">
        <v>240</v>
      </c>
      <c r="DG3345" s="7">
        <f>0</f>
        <v>0</v>
      </c>
      <c r="DI3345" s="5" t="s">
        <v>240</v>
      </c>
      <c r="DJ3345" s="5" t="s">
        <v>240</v>
      </c>
      <c r="DK3345" s="5" t="s">
        <v>240</v>
      </c>
      <c r="DL3345" s="5" t="s">
        <v>240</v>
      </c>
      <c r="DM3345" s="5" t="s">
        <v>240</v>
      </c>
      <c r="DN3345" s="5" t="s">
        <v>240</v>
      </c>
      <c r="DO3345" s="7" t="s">
        <v>240</v>
      </c>
      <c r="DP3345" s="5" t="s">
        <v>240</v>
      </c>
      <c r="DQ3345" s="5" t="s">
        <v>240</v>
      </c>
      <c r="DR3345" s="5" t="s">
        <v>731</v>
      </c>
      <c r="DS3345" s="5" t="s">
        <v>731</v>
      </c>
      <c r="DT3345" s="5" t="s">
        <v>240</v>
      </c>
      <c r="DU3345" s="5" t="s">
        <v>240</v>
      </c>
      <c r="DV3345" s="5" t="s">
        <v>5063</v>
      </c>
      <c r="DW3345" s="5" t="s">
        <v>754</v>
      </c>
      <c r="DX3345" s="5" t="s">
        <v>240</v>
      </c>
      <c r="DY3345" s="5" t="s">
        <v>240</v>
      </c>
      <c r="DZ3345" s="5" t="s">
        <v>240</v>
      </c>
      <c r="EA3345" s="5" t="s">
        <v>240</v>
      </c>
      <c r="EB3345" s="5" t="s">
        <v>240</v>
      </c>
      <c r="EC3345" s="5" t="s">
        <v>240</v>
      </c>
      <c r="ED3345" s="5" t="s">
        <v>240</v>
      </c>
      <c r="EE3345" s="5" t="s">
        <v>240</v>
      </c>
      <c r="EF3345" s="5" t="s">
        <v>240</v>
      </c>
      <c r="EG3345" s="5" t="s">
        <v>240</v>
      </c>
      <c r="EH3345" s="5" t="s">
        <v>240</v>
      </c>
      <c r="EI3345" s="5" t="s">
        <v>240</v>
      </c>
      <c r="EJ3345" s="5" t="s">
        <v>240</v>
      </c>
      <c r="EK3345" s="5" t="s">
        <v>240</v>
      </c>
      <c r="EL3345" s="5" t="s">
        <v>240</v>
      </c>
      <c r="EM3345" s="5" t="s">
        <v>240</v>
      </c>
      <c r="EN3345" s="5" t="s">
        <v>240</v>
      </c>
      <c r="EO3345" s="5" t="s">
        <v>240</v>
      </c>
      <c r="EP3345" s="5" t="s">
        <v>240</v>
      </c>
      <c r="EQ3345" s="5" t="s">
        <v>240</v>
      </c>
      <c r="ER3345" s="5" t="s">
        <v>240</v>
      </c>
      <c r="ES3345" s="5" t="s">
        <v>240</v>
      </c>
      <c r="ET3345" s="5" t="s">
        <v>240</v>
      </c>
      <c r="EU3345" s="5" t="s">
        <v>240</v>
      </c>
      <c r="EV3345" s="5" t="s">
        <v>240</v>
      </c>
      <c r="EW3345" s="5" t="s">
        <v>240</v>
      </c>
      <c r="EX3345" s="5" t="s">
        <v>240</v>
      </c>
      <c r="EY3345" s="5" t="s">
        <v>240</v>
      </c>
      <c r="EZ3345" s="5" t="s">
        <v>240</v>
      </c>
      <c r="FA3345" s="5" t="s">
        <v>240</v>
      </c>
      <c r="FB3345" s="5" t="s">
        <v>240</v>
      </c>
      <c r="FC3345" s="5" t="s">
        <v>240</v>
      </c>
      <c r="FD3345" s="5" t="s">
        <v>240</v>
      </c>
      <c r="FE3345" s="5" t="s">
        <v>240</v>
      </c>
      <c r="FF3345" s="5" t="s">
        <v>240</v>
      </c>
      <c r="FG3345" s="5" t="s">
        <v>240</v>
      </c>
      <c r="FH3345" s="5" t="s">
        <v>240</v>
      </c>
      <c r="FI3345" s="5" t="s">
        <v>240</v>
      </c>
      <c r="FJ3345" s="5" t="s">
        <v>240</v>
      </c>
      <c r="FK3345" s="5" t="s">
        <v>240</v>
      </c>
      <c r="FL3345" s="5" t="s">
        <v>240</v>
      </c>
      <c r="FM3345" s="5" t="s">
        <v>240</v>
      </c>
      <c r="FN3345" s="5" t="s">
        <v>240</v>
      </c>
      <c r="FO3345" s="5" t="s">
        <v>240</v>
      </c>
      <c r="FP3345" s="5" t="s">
        <v>240</v>
      </c>
      <c r="FQ3345" s="5" t="s">
        <v>240</v>
      </c>
      <c r="FR3345" s="5" t="s">
        <v>240</v>
      </c>
      <c r="FS3345" s="5" t="s">
        <v>240</v>
      </c>
      <c r="FT3345" s="5" t="s">
        <v>240</v>
      </c>
      <c r="FU3345" s="5" t="s">
        <v>240</v>
      </c>
      <c r="FV3345" s="5" t="s">
        <v>240</v>
      </c>
      <c r="FW3345" s="5" t="s">
        <v>240</v>
      </c>
      <c r="FX3345" s="5" t="s">
        <v>240</v>
      </c>
      <c r="FY3345" s="5" t="s">
        <v>240</v>
      </c>
      <c r="FZ3345" s="5" t="s">
        <v>240</v>
      </c>
      <c r="GA3345" s="5" t="s">
        <v>240</v>
      </c>
      <c r="GB3345" s="5" t="s">
        <v>240</v>
      </c>
      <c r="GC3345" s="5" t="s">
        <v>240</v>
      </c>
      <c r="GD3345" s="5" t="s">
        <v>240</v>
      </c>
      <c r="GE3345" s="5" t="s">
        <v>240</v>
      </c>
      <c r="GF3345" s="5" t="s">
        <v>240</v>
      </c>
      <c r="GG3345" s="5" t="s">
        <v>240</v>
      </c>
      <c r="GH3345" s="5" t="s">
        <v>240</v>
      </c>
      <c r="GI3345" s="5" t="s">
        <v>240</v>
      </c>
      <c r="GJ3345" s="5" t="s">
        <v>240</v>
      </c>
      <c r="GK3345" s="5" t="s">
        <v>240</v>
      </c>
      <c r="GL3345" s="5" t="s">
        <v>240</v>
      </c>
      <c r="GM3345" s="5" t="s">
        <v>240</v>
      </c>
      <c r="GN3345" s="5" t="s">
        <v>240</v>
      </c>
      <c r="GO3345" s="5" t="s">
        <v>240</v>
      </c>
      <c r="GP3345" s="5" t="s">
        <v>240</v>
      </c>
      <c r="GQ3345" s="5" t="s">
        <v>240</v>
      </c>
      <c r="GR3345" s="5" t="s">
        <v>240</v>
      </c>
      <c r="GS3345" s="5" t="s">
        <v>240</v>
      </c>
      <c r="GT3345" s="5" t="s">
        <v>240</v>
      </c>
      <c r="GU3345" s="5" t="s">
        <v>240</v>
      </c>
      <c r="GV3345" s="5" t="s">
        <v>240</v>
      </c>
      <c r="GW3345" s="5" t="s">
        <v>240</v>
      </c>
      <c r="GX3345" s="5" t="s">
        <v>240</v>
      </c>
      <c r="GY3345" s="5" t="s">
        <v>240</v>
      </c>
      <c r="GZ3345" s="5" t="s">
        <v>240</v>
      </c>
      <c r="HA3345" s="5" t="s">
        <v>240</v>
      </c>
      <c r="HB3345" s="5" t="s">
        <v>240</v>
      </c>
      <c r="HC3345" s="5" t="s">
        <v>240</v>
      </c>
      <c r="HD3345" s="5" t="s">
        <v>240</v>
      </c>
      <c r="HE3345" s="5" t="s">
        <v>240</v>
      </c>
      <c r="HF3345" s="5" t="s">
        <v>240</v>
      </c>
      <c r="HG3345" s="5" t="s">
        <v>240</v>
      </c>
      <c r="HH3345" s="5" t="s">
        <v>240</v>
      </c>
      <c r="HI3345" s="5" t="s">
        <v>240</v>
      </c>
      <c r="HJ3345" s="5" t="s">
        <v>240</v>
      </c>
      <c r="HK3345" s="5" t="s">
        <v>240</v>
      </c>
      <c r="HL3345" s="5" t="s">
        <v>240</v>
      </c>
      <c r="HM3345" s="5" t="s">
        <v>240</v>
      </c>
      <c r="HN3345" s="5" t="s">
        <v>240</v>
      </c>
      <c r="HO3345" s="5" t="s">
        <v>312</v>
      </c>
      <c r="HP3345" s="5" t="s">
        <v>240</v>
      </c>
      <c r="HQ3345" s="5" t="s">
        <v>240</v>
      </c>
      <c r="HR3345" s="5" t="s">
        <v>240</v>
      </c>
      <c r="HS3345" s="5" t="s">
        <v>240</v>
      </c>
      <c r="HT3345" s="5" t="s">
        <v>240</v>
      </c>
      <c r="HU3345" s="5" t="s">
        <v>240</v>
      </c>
      <c r="HV3345" s="5" t="s">
        <v>240</v>
      </c>
      <c r="HW3345" s="5" t="s">
        <v>240</v>
      </c>
      <c r="HX3345" s="5" t="s">
        <v>240</v>
      </c>
      <c r="HY3345" s="5" t="s">
        <v>240</v>
      </c>
      <c r="HZ3345" s="5" t="s">
        <v>240</v>
      </c>
      <c r="IA3345" s="5" t="s">
        <v>240</v>
      </c>
      <c r="IB3345" s="5" t="s">
        <v>240</v>
      </c>
      <c r="IC3345" s="5" t="s">
        <v>240</v>
      </c>
      <c r="ID3345" s="5" t="s">
        <v>240</v>
      </c>
      <c r="IE3345" s="5" t="s">
        <v>240</v>
      </c>
      <c r="IF3345" s="5" t="s">
        <v>240</v>
      </c>
    </row>
    <row r="3346" spans="1:240" x14ac:dyDescent="0.4">
      <c r="A3346" s="5">
        <v>8888</v>
      </c>
      <c r="B3346" s="5">
        <v>1</v>
      </c>
      <c r="C3346" s="5">
        <v>1</v>
      </c>
      <c r="D3346" s="5" t="s">
        <v>723</v>
      </c>
      <c r="E3346" s="5" t="s">
        <v>725</v>
      </c>
      <c r="F3346" s="5" t="s">
        <v>730</v>
      </c>
      <c r="G3346" s="5" t="s">
        <v>726</v>
      </c>
      <c r="H3346" s="6" t="s">
        <v>6275</v>
      </c>
      <c r="I3346" s="5" t="s">
        <v>990</v>
      </c>
      <c r="J3346" s="8">
        <f>1142</f>
        <v>1142</v>
      </c>
      <c r="K3346" s="5" t="s">
        <v>308</v>
      </c>
      <c r="L3346" s="7">
        <f>0</f>
        <v>0</v>
      </c>
      <c r="M3346" s="7">
        <f>0</f>
        <v>0</v>
      </c>
      <c r="N3346" s="5" t="s">
        <v>242</v>
      </c>
      <c r="O3346" s="5">
        <v>1</v>
      </c>
      <c r="P3346" s="5" t="s">
        <v>294</v>
      </c>
      <c r="Q3346" s="5" t="s">
        <v>266</v>
      </c>
      <c r="R3346" s="5" t="s">
        <v>240</v>
      </c>
      <c r="S3346" s="5" t="s">
        <v>240</v>
      </c>
      <c r="T3346" s="5" t="s">
        <v>296</v>
      </c>
      <c r="U3346" s="5" t="s">
        <v>244</v>
      </c>
      <c r="V3346" s="5" t="s">
        <v>240</v>
      </c>
      <c r="Y3346" s="5" t="s">
        <v>240</v>
      </c>
      <c r="Z3346" s="6" t="s">
        <v>298</v>
      </c>
      <c r="AB3346" s="6" t="s">
        <v>240</v>
      </c>
      <c r="AE3346" s="6" t="s">
        <v>299</v>
      </c>
      <c r="AF3346" s="5" t="s">
        <v>248</v>
      </c>
      <c r="AG3346" s="5" t="s">
        <v>249</v>
      </c>
      <c r="AW3346" s="5" t="s">
        <v>251</v>
      </c>
      <c r="AX3346" s="5" t="s">
        <v>240</v>
      </c>
      <c r="AY3346" s="5" t="s">
        <v>253</v>
      </c>
      <c r="AZ3346" s="5" t="s">
        <v>240</v>
      </c>
      <c r="BA3346" s="5" t="s">
        <v>255</v>
      </c>
      <c r="BB3346" s="5" t="s">
        <v>240</v>
      </c>
      <c r="BD3346" s="5" t="s">
        <v>240</v>
      </c>
      <c r="BF3346" s="5" t="s">
        <v>301</v>
      </c>
      <c r="BG3346" s="6" t="s">
        <v>299</v>
      </c>
      <c r="BH3346" s="5" t="s">
        <v>302</v>
      </c>
      <c r="BI3346" s="5" t="s">
        <v>303</v>
      </c>
      <c r="BJ3346" s="5" t="s">
        <v>240</v>
      </c>
      <c r="BK3346" s="8">
        <f>0</f>
        <v>0</v>
      </c>
      <c r="BL3346" s="7">
        <f>0</f>
        <v>0</v>
      </c>
      <c r="BM3346" s="5" t="s">
        <v>258</v>
      </c>
      <c r="BN3346" s="5" t="s">
        <v>259</v>
      </c>
      <c r="CB3346" s="5" t="s">
        <v>240</v>
      </c>
      <c r="CC3346" s="5" t="s">
        <v>240</v>
      </c>
      <c r="CG3346" s="5" t="s">
        <v>304</v>
      </c>
      <c r="CH3346" s="5" t="s">
        <v>305</v>
      </c>
      <c r="CI3346" s="5" t="s">
        <v>240</v>
      </c>
      <c r="CL3346" s="6" t="s">
        <v>261</v>
      </c>
      <c r="CM3346" s="5" t="s">
        <v>240</v>
      </c>
      <c r="CN3346" s="5" t="s">
        <v>263</v>
      </c>
      <c r="CO3346" s="5" t="s">
        <v>240</v>
      </c>
      <c r="CP3346" s="5" t="s">
        <v>240</v>
      </c>
      <c r="CQ3346" s="5">
        <v>0</v>
      </c>
      <c r="CR3346" s="5" t="s">
        <v>306</v>
      </c>
      <c r="CS3346" s="5" t="s">
        <v>307</v>
      </c>
      <c r="CT3346" s="5" t="s">
        <v>307</v>
      </c>
      <c r="CU3346" s="5" t="s">
        <v>260</v>
      </c>
      <c r="CX3346" s="7">
        <f>1</f>
        <v>1</v>
      </c>
      <c r="CY3346" s="7">
        <f>0</f>
        <v>0</v>
      </c>
      <c r="DA3346" s="7">
        <f>0</f>
        <v>0</v>
      </c>
      <c r="DC3346" s="5" t="s">
        <v>309</v>
      </c>
      <c r="DD3346" s="5" t="s">
        <v>240</v>
      </c>
      <c r="DF3346" s="5" t="s">
        <v>309</v>
      </c>
      <c r="DG3346" s="7">
        <f>526</f>
        <v>526</v>
      </c>
      <c r="DI3346" s="5" t="s">
        <v>240</v>
      </c>
      <c r="DJ3346" s="5" t="s">
        <v>240</v>
      </c>
      <c r="DK3346" s="5" t="s">
        <v>240</v>
      </c>
      <c r="DL3346" s="5" t="s">
        <v>240</v>
      </c>
      <c r="DP3346" s="5" t="s">
        <v>240</v>
      </c>
      <c r="DQ3346" s="5" t="s">
        <v>240</v>
      </c>
      <c r="DR3346" s="5" t="s">
        <v>240</v>
      </c>
      <c r="DS3346" s="5" t="s">
        <v>240</v>
      </c>
      <c r="DV3346" s="5" t="s">
        <v>310</v>
      </c>
      <c r="DW3346" s="5" t="s">
        <v>4979</v>
      </c>
      <c r="HO3346" s="5" t="s">
        <v>312</v>
      </c>
    </row>
    <row r="3347" spans="1:240" x14ac:dyDescent="0.4">
      <c r="A3347" s="5">
        <v>8889</v>
      </c>
      <c r="B3347" s="5">
        <v>1</v>
      </c>
      <c r="C3347" s="5">
        <v>1</v>
      </c>
      <c r="D3347" s="5" t="s">
        <v>723</v>
      </c>
      <c r="E3347" s="5" t="s">
        <v>725</v>
      </c>
      <c r="F3347" s="5" t="s">
        <v>730</v>
      </c>
      <c r="G3347" s="5" t="s">
        <v>726</v>
      </c>
      <c r="H3347" s="6" t="s">
        <v>6654</v>
      </c>
      <c r="I3347" s="5" t="s">
        <v>722</v>
      </c>
      <c r="J3347" s="8">
        <f>548</f>
        <v>548</v>
      </c>
      <c r="K3347" s="5" t="s">
        <v>308</v>
      </c>
      <c r="L3347" s="7">
        <f>0</f>
        <v>0</v>
      </c>
      <c r="M3347" s="7">
        <f>0</f>
        <v>0</v>
      </c>
      <c r="N3347" s="5" t="s">
        <v>242</v>
      </c>
      <c r="O3347" s="5">
        <v>1</v>
      </c>
      <c r="P3347" s="5" t="s">
        <v>294</v>
      </c>
      <c r="Q3347" s="5" t="s">
        <v>3678</v>
      </c>
      <c r="R3347" s="5" t="s">
        <v>240</v>
      </c>
      <c r="S3347" s="5" t="s">
        <v>240</v>
      </c>
      <c r="T3347" s="5" t="s">
        <v>243</v>
      </c>
      <c r="U3347" s="5" t="s">
        <v>244</v>
      </c>
      <c r="V3347" s="5" t="s">
        <v>240</v>
      </c>
      <c r="W3347" s="5" t="s">
        <v>240</v>
      </c>
      <c r="X3347" s="5" t="s">
        <v>240</v>
      </c>
      <c r="Y3347" s="5" t="s">
        <v>240</v>
      </c>
      <c r="Z3347" s="6" t="s">
        <v>298</v>
      </c>
      <c r="AA3347" s="6" t="s">
        <v>240</v>
      </c>
      <c r="AB3347" s="6" t="s">
        <v>240</v>
      </c>
      <c r="AC3347" s="5" t="s">
        <v>240</v>
      </c>
      <c r="AD3347" s="6" t="s">
        <v>240</v>
      </c>
      <c r="AE3347" s="6" t="s">
        <v>299</v>
      </c>
      <c r="AF3347" s="5" t="s">
        <v>248</v>
      </c>
      <c r="AG3347" s="5" t="s">
        <v>249</v>
      </c>
      <c r="AH3347" s="5" t="s">
        <v>240</v>
      </c>
      <c r="AI3347" s="5" t="s">
        <v>240</v>
      </c>
      <c r="AJ3347" s="5" t="s">
        <v>240</v>
      </c>
      <c r="AK3347" s="5" t="s">
        <v>240</v>
      </c>
      <c r="AL3347" s="5" t="s">
        <v>240</v>
      </c>
      <c r="AM3347" s="5" t="s">
        <v>240</v>
      </c>
      <c r="AN3347" s="5" t="s">
        <v>240</v>
      </c>
      <c r="AO3347" s="5" t="s">
        <v>240</v>
      </c>
      <c r="AP3347" s="6" t="s">
        <v>240</v>
      </c>
      <c r="AQ3347" s="6" t="s">
        <v>240</v>
      </c>
      <c r="AR3347" s="6" t="s">
        <v>240</v>
      </c>
      <c r="AS3347" s="6" t="s">
        <v>240</v>
      </c>
      <c r="AT3347" s="5" t="s">
        <v>240</v>
      </c>
      <c r="AU3347" s="5" t="s">
        <v>729</v>
      </c>
      <c r="AV3347" s="5" t="s">
        <v>729</v>
      </c>
      <c r="AW3347" s="5" t="s">
        <v>251</v>
      </c>
      <c r="AX3347" s="5" t="s">
        <v>252</v>
      </c>
      <c r="AY3347" s="5" t="s">
        <v>253</v>
      </c>
      <c r="AZ3347" s="5" t="s">
        <v>240</v>
      </c>
      <c r="BA3347" s="5" t="s">
        <v>255</v>
      </c>
      <c r="BB3347" s="5" t="s">
        <v>731</v>
      </c>
      <c r="BD3347" s="5" t="s">
        <v>240</v>
      </c>
      <c r="BF3347" s="5" t="s">
        <v>732</v>
      </c>
      <c r="BG3347" s="6" t="s">
        <v>733</v>
      </c>
      <c r="BH3347" s="5" t="s">
        <v>734</v>
      </c>
      <c r="BI3347" s="5" t="s">
        <v>734</v>
      </c>
      <c r="BJ3347" s="5" t="s">
        <v>240</v>
      </c>
      <c r="BK3347" s="7">
        <f>1</f>
        <v>1</v>
      </c>
      <c r="BL3347" s="7">
        <f>1</f>
        <v>1</v>
      </c>
      <c r="BM3347" s="5" t="s">
        <v>258</v>
      </c>
      <c r="BN3347" s="5" t="s">
        <v>259</v>
      </c>
      <c r="BO3347" s="5" t="s">
        <v>240</v>
      </c>
      <c r="BP3347" s="5" t="s">
        <v>240</v>
      </c>
      <c r="BQ3347" s="5" t="s">
        <v>240</v>
      </c>
      <c r="BR3347" s="5" t="s">
        <v>240</v>
      </c>
      <c r="BS3347" s="5" t="s">
        <v>240</v>
      </c>
      <c r="BT3347" s="5" t="s">
        <v>240</v>
      </c>
      <c r="BU3347" s="5" t="s">
        <v>240</v>
      </c>
      <c r="BV3347" s="5" t="s">
        <v>240</v>
      </c>
      <c r="BW3347" s="6" t="s">
        <v>240</v>
      </c>
      <c r="BX3347" s="5" t="s">
        <v>240</v>
      </c>
      <c r="BY3347" s="5" t="s">
        <v>240</v>
      </c>
      <c r="BZ3347" s="5" t="s">
        <v>240</v>
      </c>
      <c r="CA3347" s="5" t="s">
        <v>259</v>
      </c>
      <c r="CB3347" s="5" t="s">
        <v>240</v>
      </c>
      <c r="CC3347" s="5" t="s">
        <v>240</v>
      </c>
      <c r="CD3347" s="5" t="s">
        <v>240</v>
      </c>
      <c r="CE3347" s="5" t="s">
        <v>240</v>
      </c>
      <c r="CF3347" s="5" t="s">
        <v>240</v>
      </c>
      <c r="CG3347" s="5" t="s">
        <v>304</v>
      </c>
      <c r="CH3347" s="5" t="s">
        <v>305</v>
      </c>
      <c r="CI3347" s="5" t="s">
        <v>240</v>
      </c>
      <c r="CK3347" s="5" t="s">
        <v>3681</v>
      </c>
      <c r="CL3347" s="6" t="s">
        <v>261</v>
      </c>
      <c r="CM3347" s="5" t="s">
        <v>262</v>
      </c>
      <c r="CN3347" s="5" t="s">
        <v>263</v>
      </c>
      <c r="CO3347" s="5" t="s">
        <v>264</v>
      </c>
      <c r="CP3347" s="5" t="s">
        <v>240</v>
      </c>
      <c r="CQ3347" s="5">
        <v>0</v>
      </c>
      <c r="CR3347" s="5" t="s">
        <v>735</v>
      </c>
      <c r="CS3347" s="5" t="s">
        <v>307</v>
      </c>
      <c r="CT3347" s="5" t="s">
        <v>307</v>
      </c>
      <c r="CU3347" s="5" t="s">
        <v>260</v>
      </c>
      <c r="CV3347" s="5" t="s">
        <v>612</v>
      </c>
      <c r="CW3347" s="8">
        <f>1</f>
        <v>1</v>
      </c>
      <c r="CX3347" s="7">
        <f>1</f>
        <v>1</v>
      </c>
      <c r="CY3347" s="7">
        <f>0</f>
        <v>0</v>
      </c>
      <c r="DA3347" s="7">
        <f>1</f>
        <v>1</v>
      </c>
      <c r="DB3347" s="7" t="s">
        <v>240</v>
      </c>
      <c r="DC3347" s="5" t="s">
        <v>240</v>
      </c>
      <c r="DD3347" s="5" t="s">
        <v>240</v>
      </c>
      <c r="DE3347" s="5" t="s">
        <v>240</v>
      </c>
      <c r="DF3347" s="5" t="s">
        <v>240</v>
      </c>
      <c r="DG3347" s="7">
        <f>0</f>
        <v>0</v>
      </c>
      <c r="DI3347" s="5" t="s">
        <v>240</v>
      </c>
      <c r="DJ3347" s="5" t="s">
        <v>240</v>
      </c>
      <c r="DK3347" s="5" t="s">
        <v>240</v>
      </c>
      <c r="DL3347" s="5" t="s">
        <v>240</v>
      </c>
      <c r="DM3347" s="5" t="s">
        <v>240</v>
      </c>
      <c r="DN3347" s="5" t="s">
        <v>240</v>
      </c>
      <c r="DO3347" s="7" t="s">
        <v>240</v>
      </c>
      <c r="DP3347" s="5" t="s">
        <v>240</v>
      </c>
      <c r="DQ3347" s="5" t="s">
        <v>240</v>
      </c>
      <c r="DR3347" s="5" t="s">
        <v>731</v>
      </c>
      <c r="DS3347" s="5" t="s">
        <v>731</v>
      </c>
      <c r="DT3347" s="5" t="s">
        <v>240</v>
      </c>
      <c r="DU3347" s="5" t="s">
        <v>240</v>
      </c>
      <c r="DV3347" s="5" t="s">
        <v>5063</v>
      </c>
      <c r="DW3347" s="5" t="s">
        <v>763</v>
      </c>
      <c r="DX3347" s="5" t="s">
        <v>240</v>
      </c>
      <c r="DY3347" s="5" t="s">
        <v>240</v>
      </c>
      <c r="DZ3347" s="5" t="s">
        <v>240</v>
      </c>
      <c r="EA3347" s="5" t="s">
        <v>240</v>
      </c>
      <c r="EB3347" s="5" t="s">
        <v>240</v>
      </c>
      <c r="EC3347" s="5" t="s">
        <v>240</v>
      </c>
      <c r="ED3347" s="5" t="s">
        <v>240</v>
      </c>
      <c r="EE3347" s="5" t="s">
        <v>240</v>
      </c>
      <c r="EF3347" s="5" t="s">
        <v>240</v>
      </c>
      <c r="EG3347" s="5" t="s">
        <v>240</v>
      </c>
      <c r="EH3347" s="5" t="s">
        <v>240</v>
      </c>
      <c r="EI3347" s="5" t="s">
        <v>240</v>
      </c>
      <c r="EJ3347" s="5" t="s">
        <v>240</v>
      </c>
      <c r="EK3347" s="5" t="s">
        <v>240</v>
      </c>
      <c r="EL3347" s="5" t="s">
        <v>240</v>
      </c>
      <c r="EM3347" s="5" t="s">
        <v>240</v>
      </c>
      <c r="EN3347" s="5" t="s">
        <v>240</v>
      </c>
      <c r="EO3347" s="5" t="s">
        <v>240</v>
      </c>
      <c r="EP3347" s="5" t="s">
        <v>240</v>
      </c>
      <c r="EQ3347" s="5" t="s">
        <v>240</v>
      </c>
      <c r="ER3347" s="5" t="s">
        <v>240</v>
      </c>
      <c r="ES3347" s="5" t="s">
        <v>240</v>
      </c>
      <c r="ET3347" s="5" t="s">
        <v>240</v>
      </c>
      <c r="EU3347" s="5" t="s">
        <v>240</v>
      </c>
      <c r="EV3347" s="5" t="s">
        <v>240</v>
      </c>
      <c r="EW3347" s="5" t="s">
        <v>240</v>
      </c>
      <c r="EX3347" s="5" t="s">
        <v>240</v>
      </c>
      <c r="EY3347" s="5" t="s">
        <v>240</v>
      </c>
      <c r="EZ3347" s="5" t="s">
        <v>240</v>
      </c>
      <c r="FA3347" s="5" t="s">
        <v>240</v>
      </c>
      <c r="FB3347" s="5" t="s">
        <v>240</v>
      </c>
      <c r="FC3347" s="5" t="s">
        <v>240</v>
      </c>
      <c r="FD3347" s="5" t="s">
        <v>240</v>
      </c>
      <c r="FE3347" s="5" t="s">
        <v>240</v>
      </c>
      <c r="FF3347" s="5" t="s">
        <v>240</v>
      </c>
      <c r="FG3347" s="5" t="s">
        <v>240</v>
      </c>
      <c r="FH3347" s="5" t="s">
        <v>240</v>
      </c>
      <c r="FI3347" s="5" t="s">
        <v>240</v>
      </c>
      <c r="FJ3347" s="5" t="s">
        <v>240</v>
      </c>
      <c r="FK3347" s="5" t="s">
        <v>240</v>
      </c>
      <c r="FL3347" s="5" t="s">
        <v>240</v>
      </c>
      <c r="FM3347" s="5" t="s">
        <v>240</v>
      </c>
      <c r="FN3347" s="5" t="s">
        <v>240</v>
      </c>
      <c r="FO3347" s="5" t="s">
        <v>240</v>
      </c>
      <c r="FP3347" s="5" t="s">
        <v>240</v>
      </c>
      <c r="FQ3347" s="5" t="s">
        <v>240</v>
      </c>
      <c r="FR3347" s="5" t="s">
        <v>240</v>
      </c>
      <c r="FS3347" s="5" t="s">
        <v>240</v>
      </c>
      <c r="FT3347" s="5" t="s">
        <v>240</v>
      </c>
      <c r="FU3347" s="5" t="s">
        <v>240</v>
      </c>
      <c r="FV3347" s="5" t="s">
        <v>240</v>
      </c>
      <c r="FW3347" s="5" t="s">
        <v>240</v>
      </c>
      <c r="FX3347" s="5" t="s">
        <v>240</v>
      </c>
      <c r="FY3347" s="5" t="s">
        <v>240</v>
      </c>
      <c r="FZ3347" s="5" t="s">
        <v>240</v>
      </c>
      <c r="GA3347" s="5" t="s">
        <v>240</v>
      </c>
      <c r="GB3347" s="5" t="s">
        <v>240</v>
      </c>
      <c r="GC3347" s="5" t="s">
        <v>240</v>
      </c>
      <c r="GD3347" s="5" t="s">
        <v>240</v>
      </c>
      <c r="GE3347" s="5" t="s">
        <v>240</v>
      </c>
      <c r="GF3347" s="5" t="s">
        <v>240</v>
      </c>
      <c r="GG3347" s="5" t="s">
        <v>240</v>
      </c>
      <c r="GH3347" s="5" t="s">
        <v>240</v>
      </c>
      <c r="GI3347" s="5" t="s">
        <v>240</v>
      </c>
      <c r="GJ3347" s="5" t="s">
        <v>240</v>
      </c>
      <c r="GK3347" s="5" t="s">
        <v>240</v>
      </c>
      <c r="GL3347" s="5" t="s">
        <v>240</v>
      </c>
      <c r="GM3347" s="5" t="s">
        <v>240</v>
      </c>
      <c r="GN3347" s="5" t="s">
        <v>240</v>
      </c>
      <c r="GO3347" s="5" t="s">
        <v>240</v>
      </c>
      <c r="GP3347" s="5" t="s">
        <v>240</v>
      </c>
      <c r="GQ3347" s="5" t="s">
        <v>240</v>
      </c>
      <c r="GR3347" s="5" t="s">
        <v>240</v>
      </c>
      <c r="GS3347" s="5" t="s">
        <v>240</v>
      </c>
      <c r="GT3347" s="5" t="s">
        <v>240</v>
      </c>
      <c r="GU3347" s="5" t="s">
        <v>240</v>
      </c>
      <c r="GV3347" s="5" t="s">
        <v>240</v>
      </c>
      <c r="GW3347" s="5" t="s">
        <v>240</v>
      </c>
      <c r="GX3347" s="5" t="s">
        <v>240</v>
      </c>
      <c r="GY3347" s="5" t="s">
        <v>240</v>
      </c>
      <c r="GZ3347" s="5" t="s">
        <v>240</v>
      </c>
      <c r="HA3347" s="5" t="s">
        <v>240</v>
      </c>
      <c r="HB3347" s="5" t="s">
        <v>240</v>
      </c>
      <c r="HC3347" s="5" t="s">
        <v>240</v>
      </c>
      <c r="HD3347" s="5" t="s">
        <v>240</v>
      </c>
      <c r="HE3347" s="5" t="s">
        <v>240</v>
      </c>
      <c r="HF3347" s="5" t="s">
        <v>240</v>
      </c>
      <c r="HG3347" s="5" t="s">
        <v>240</v>
      </c>
      <c r="HH3347" s="5" t="s">
        <v>240</v>
      </c>
      <c r="HI3347" s="5" t="s">
        <v>240</v>
      </c>
      <c r="HJ3347" s="5" t="s">
        <v>240</v>
      </c>
      <c r="HK3347" s="5" t="s">
        <v>240</v>
      </c>
      <c r="HL3347" s="5" t="s">
        <v>240</v>
      </c>
      <c r="HM3347" s="5" t="s">
        <v>240</v>
      </c>
      <c r="HN3347" s="5" t="s">
        <v>240</v>
      </c>
      <c r="HO3347" s="5" t="s">
        <v>312</v>
      </c>
      <c r="HP3347" s="5" t="s">
        <v>240</v>
      </c>
      <c r="HQ3347" s="5" t="s">
        <v>240</v>
      </c>
      <c r="HR3347" s="5" t="s">
        <v>240</v>
      </c>
      <c r="HS3347" s="5" t="s">
        <v>240</v>
      </c>
      <c r="HT3347" s="5" t="s">
        <v>240</v>
      </c>
      <c r="HU3347" s="5" t="s">
        <v>240</v>
      </c>
      <c r="HV3347" s="5" t="s">
        <v>240</v>
      </c>
      <c r="HW3347" s="5" t="s">
        <v>240</v>
      </c>
      <c r="HX3347" s="5" t="s">
        <v>240</v>
      </c>
      <c r="HY3347" s="5" t="s">
        <v>240</v>
      </c>
      <c r="HZ3347" s="5" t="s">
        <v>240</v>
      </c>
      <c r="IA3347" s="5" t="s">
        <v>240</v>
      </c>
      <c r="IB3347" s="5" t="s">
        <v>240</v>
      </c>
      <c r="IC3347" s="5" t="s">
        <v>240</v>
      </c>
      <c r="ID3347" s="5" t="s">
        <v>240</v>
      </c>
      <c r="IE3347" s="5" t="s">
        <v>240</v>
      </c>
      <c r="IF3347" s="5" t="s">
        <v>240</v>
      </c>
    </row>
    <row r="3348" spans="1:240" x14ac:dyDescent="0.4">
      <c r="A3348" s="5">
        <v>8890</v>
      </c>
      <c r="B3348" s="5">
        <v>1</v>
      </c>
      <c r="C3348" s="5">
        <v>1</v>
      </c>
      <c r="D3348" s="5" t="s">
        <v>723</v>
      </c>
      <c r="E3348" s="5" t="s">
        <v>725</v>
      </c>
      <c r="F3348" s="5" t="s">
        <v>730</v>
      </c>
      <c r="G3348" s="5" t="s">
        <v>726</v>
      </c>
      <c r="H3348" s="6" t="s">
        <v>6272</v>
      </c>
      <c r="I3348" s="5" t="s">
        <v>722</v>
      </c>
      <c r="J3348" s="8">
        <f>986</f>
        <v>986</v>
      </c>
      <c r="K3348" s="5" t="s">
        <v>308</v>
      </c>
      <c r="L3348" s="7">
        <f>0</f>
        <v>0</v>
      </c>
      <c r="M3348" s="7">
        <f>0</f>
        <v>0</v>
      </c>
      <c r="N3348" s="5" t="s">
        <v>242</v>
      </c>
      <c r="O3348" s="5">
        <v>1</v>
      </c>
      <c r="P3348" s="5" t="s">
        <v>294</v>
      </c>
      <c r="Q3348" s="5" t="s">
        <v>3678</v>
      </c>
      <c r="R3348" s="5" t="s">
        <v>240</v>
      </c>
      <c r="S3348" s="5" t="s">
        <v>240</v>
      </c>
      <c r="T3348" s="5" t="s">
        <v>243</v>
      </c>
      <c r="U3348" s="5" t="s">
        <v>244</v>
      </c>
      <c r="V3348" s="5" t="s">
        <v>240</v>
      </c>
      <c r="W3348" s="5" t="s">
        <v>240</v>
      </c>
      <c r="X3348" s="5" t="s">
        <v>240</v>
      </c>
      <c r="Y3348" s="5" t="s">
        <v>240</v>
      </c>
      <c r="Z3348" s="6" t="s">
        <v>298</v>
      </c>
      <c r="AA3348" s="6" t="s">
        <v>240</v>
      </c>
      <c r="AB3348" s="6" t="s">
        <v>240</v>
      </c>
      <c r="AC3348" s="5" t="s">
        <v>240</v>
      </c>
      <c r="AD3348" s="6" t="s">
        <v>240</v>
      </c>
      <c r="AE3348" s="6" t="s">
        <v>299</v>
      </c>
      <c r="AF3348" s="5" t="s">
        <v>248</v>
      </c>
      <c r="AG3348" s="5" t="s">
        <v>249</v>
      </c>
      <c r="AH3348" s="5" t="s">
        <v>240</v>
      </c>
      <c r="AI3348" s="5" t="s">
        <v>240</v>
      </c>
      <c r="AJ3348" s="5" t="s">
        <v>240</v>
      </c>
      <c r="AK3348" s="5" t="s">
        <v>240</v>
      </c>
      <c r="AL3348" s="5" t="s">
        <v>240</v>
      </c>
      <c r="AM3348" s="5" t="s">
        <v>240</v>
      </c>
      <c r="AN3348" s="5" t="s">
        <v>240</v>
      </c>
      <c r="AO3348" s="5" t="s">
        <v>240</v>
      </c>
      <c r="AP3348" s="6" t="s">
        <v>240</v>
      </c>
      <c r="AQ3348" s="6" t="s">
        <v>240</v>
      </c>
      <c r="AR3348" s="6" t="s">
        <v>240</v>
      </c>
      <c r="AS3348" s="6" t="s">
        <v>240</v>
      </c>
      <c r="AT3348" s="5" t="s">
        <v>240</v>
      </c>
      <c r="AU3348" s="5" t="s">
        <v>729</v>
      </c>
      <c r="AV3348" s="5" t="s">
        <v>729</v>
      </c>
      <c r="AW3348" s="5" t="s">
        <v>251</v>
      </c>
      <c r="AX3348" s="5" t="s">
        <v>252</v>
      </c>
      <c r="AY3348" s="5" t="s">
        <v>253</v>
      </c>
      <c r="AZ3348" s="5" t="s">
        <v>240</v>
      </c>
      <c r="BA3348" s="5" t="s">
        <v>255</v>
      </c>
      <c r="BB3348" s="5" t="s">
        <v>731</v>
      </c>
      <c r="BD3348" s="5" t="s">
        <v>240</v>
      </c>
      <c r="BF3348" s="5" t="s">
        <v>732</v>
      </c>
      <c r="BG3348" s="6" t="s">
        <v>733</v>
      </c>
      <c r="BH3348" s="5" t="s">
        <v>734</v>
      </c>
      <c r="BI3348" s="5" t="s">
        <v>734</v>
      </c>
      <c r="BJ3348" s="5" t="s">
        <v>240</v>
      </c>
      <c r="BK3348" s="7">
        <f>1</f>
        <v>1</v>
      </c>
      <c r="BL3348" s="7">
        <f>1</f>
        <v>1</v>
      </c>
      <c r="BM3348" s="5" t="s">
        <v>258</v>
      </c>
      <c r="BN3348" s="5" t="s">
        <v>259</v>
      </c>
      <c r="BO3348" s="5" t="s">
        <v>240</v>
      </c>
      <c r="BP3348" s="5" t="s">
        <v>240</v>
      </c>
      <c r="BQ3348" s="5" t="s">
        <v>240</v>
      </c>
      <c r="BR3348" s="5" t="s">
        <v>240</v>
      </c>
      <c r="BS3348" s="5" t="s">
        <v>240</v>
      </c>
      <c r="BT3348" s="5" t="s">
        <v>240</v>
      </c>
      <c r="BU3348" s="5" t="s">
        <v>240</v>
      </c>
      <c r="BV3348" s="5" t="s">
        <v>240</v>
      </c>
      <c r="BW3348" s="6" t="s">
        <v>240</v>
      </c>
      <c r="BX3348" s="5" t="s">
        <v>240</v>
      </c>
      <c r="BY3348" s="5" t="s">
        <v>240</v>
      </c>
      <c r="BZ3348" s="5" t="s">
        <v>240</v>
      </c>
      <c r="CA3348" s="5" t="s">
        <v>259</v>
      </c>
      <c r="CB3348" s="5" t="s">
        <v>240</v>
      </c>
      <c r="CC3348" s="5" t="s">
        <v>240</v>
      </c>
      <c r="CD3348" s="5" t="s">
        <v>240</v>
      </c>
      <c r="CE3348" s="5" t="s">
        <v>240</v>
      </c>
      <c r="CF3348" s="5" t="s">
        <v>240</v>
      </c>
      <c r="CG3348" s="5" t="s">
        <v>304</v>
      </c>
      <c r="CH3348" s="5" t="s">
        <v>305</v>
      </c>
      <c r="CI3348" s="5" t="s">
        <v>240</v>
      </c>
      <c r="CK3348" s="5" t="s">
        <v>3681</v>
      </c>
      <c r="CL3348" s="6" t="s">
        <v>261</v>
      </c>
      <c r="CM3348" s="5" t="s">
        <v>262</v>
      </c>
      <c r="CN3348" s="5" t="s">
        <v>263</v>
      </c>
      <c r="CO3348" s="5" t="s">
        <v>264</v>
      </c>
      <c r="CP3348" s="5" t="s">
        <v>240</v>
      </c>
      <c r="CQ3348" s="5">
        <v>0</v>
      </c>
      <c r="CR3348" s="5" t="s">
        <v>735</v>
      </c>
      <c r="CS3348" s="5" t="s">
        <v>307</v>
      </c>
      <c r="CT3348" s="5" t="s">
        <v>307</v>
      </c>
      <c r="CU3348" s="5" t="s">
        <v>260</v>
      </c>
      <c r="CV3348" s="5" t="s">
        <v>612</v>
      </c>
      <c r="CW3348" s="8">
        <f>1</f>
        <v>1</v>
      </c>
      <c r="CX3348" s="7">
        <f>1</f>
        <v>1</v>
      </c>
      <c r="CY3348" s="7">
        <f>0</f>
        <v>0</v>
      </c>
      <c r="DA3348" s="7">
        <f>1</f>
        <v>1</v>
      </c>
      <c r="DB3348" s="7" t="s">
        <v>240</v>
      </c>
      <c r="DC3348" s="5" t="s">
        <v>240</v>
      </c>
      <c r="DD3348" s="5" t="s">
        <v>240</v>
      </c>
      <c r="DE3348" s="5" t="s">
        <v>240</v>
      </c>
      <c r="DF3348" s="5" t="s">
        <v>240</v>
      </c>
      <c r="DG3348" s="7">
        <f>0</f>
        <v>0</v>
      </c>
      <c r="DI3348" s="5" t="s">
        <v>240</v>
      </c>
      <c r="DJ3348" s="5" t="s">
        <v>240</v>
      </c>
      <c r="DK3348" s="5" t="s">
        <v>240</v>
      </c>
      <c r="DL3348" s="5" t="s">
        <v>240</v>
      </c>
      <c r="DM3348" s="5" t="s">
        <v>240</v>
      </c>
      <c r="DN3348" s="5" t="s">
        <v>240</v>
      </c>
      <c r="DO3348" s="7" t="s">
        <v>240</v>
      </c>
      <c r="DP3348" s="5" t="s">
        <v>240</v>
      </c>
      <c r="DQ3348" s="5" t="s">
        <v>240</v>
      </c>
      <c r="DR3348" s="5" t="s">
        <v>731</v>
      </c>
      <c r="DS3348" s="5" t="s">
        <v>731</v>
      </c>
      <c r="DT3348" s="5" t="s">
        <v>240</v>
      </c>
      <c r="DU3348" s="5" t="s">
        <v>240</v>
      </c>
      <c r="DV3348" s="5" t="s">
        <v>5063</v>
      </c>
      <c r="DW3348" s="5" t="s">
        <v>1198</v>
      </c>
      <c r="DX3348" s="5" t="s">
        <v>240</v>
      </c>
      <c r="DY3348" s="5" t="s">
        <v>240</v>
      </c>
      <c r="DZ3348" s="5" t="s">
        <v>240</v>
      </c>
      <c r="EA3348" s="5" t="s">
        <v>240</v>
      </c>
      <c r="EB3348" s="5" t="s">
        <v>240</v>
      </c>
      <c r="EC3348" s="5" t="s">
        <v>240</v>
      </c>
      <c r="ED3348" s="5" t="s">
        <v>240</v>
      </c>
      <c r="EE3348" s="5" t="s">
        <v>240</v>
      </c>
      <c r="EF3348" s="5" t="s">
        <v>240</v>
      </c>
      <c r="EG3348" s="5" t="s">
        <v>240</v>
      </c>
      <c r="EH3348" s="5" t="s">
        <v>240</v>
      </c>
      <c r="EI3348" s="5" t="s">
        <v>240</v>
      </c>
      <c r="EJ3348" s="5" t="s">
        <v>240</v>
      </c>
      <c r="EK3348" s="5" t="s">
        <v>240</v>
      </c>
      <c r="EL3348" s="5" t="s">
        <v>240</v>
      </c>
      <c r="EM3348" s="5" t="s">
        <v>240</v>
      </c>
      <c r="EN3348" s="5" t="s">
        <v>240</v>
      </c>
      <c r="EO3348" s="5" t="s">
        <v>240</v>
      </c>
      <c r="EP3348" s="5" t="s">
        <v>240</v>
      </c>
      <c r="EQ3348" s="5" t="s">
        <v>240</v>
      </c>
      <c r="ER3348" s="5" t="s">
        <v>240</v>
      </c>
      <c r="ES3348" s="5" t="s">
        <v>240</v>
      </c>
      <c r="ET3348" s="5" t="s">
        <v>240</v>
      </c>
      <c r="EU3348" s="5" t="s">
        <v>240</v>
      </c>
      <c r="EV3348" s="5" t="s">
        <v>240</v>
      </c>
      <c r="EW3348" s="5" t="s">
        <v>240</v>
      </c>
      <c r="EX3348" s="5" t="s">
        <v>240</v>
      </c>
      <c r="EY3348" s="5" t="s">
        <v>240</v>
      </c>
      <c r="EZ3348" s="5" t="s">
        <v>240</v>
      </c>
      <c r="FA3348" s="5" t="s">
        <v>240</v>
      </c>
      <c r="FB3348" s="5" t="s">
        <v>240</v>
      </c>
      <c r="FC3348" s="5" t="s">
        <v>240</v>
      </c>
      <c r="FD3348" s="5" t="s">
        <v>240</v>
      </c>
      <c r="FE3348" s="5" t="s">
        <v>240</v>
      </c>
      <c r="FF3348" s="5" t="s">
        <v>240</v>
      </c>
      <c r="FG3348" s="5" t="s">
        <v>240</v>
      </c>
      <c r="FH3348" s="5" t="s">
        <v>240</v>
      </c>
      <c r="FI3348" s="5" t="s">
        <v>240</v>
      </c>
      <c r="FJ3348" s="5" t="s">
        <v>240</v>
      </c>
      <c r="FK3348" s="5" t="s">
        <v>240</v>
      </c>
      <c r="FL3348" s="5" t="s">
        <v>240</v>
      </c>
      <c r="FM3348" s="5" t="s">
        <v>240</v>
      </c>
      <c r="FN3348" s="5" t="s">
        <v>240</v>
      </c>
      <c r="FO3348" s="5" t="s">
        <v>240</v>
      </c>
      <c r="FP3348" s="5" t="s">
        <v>240</v>
      </c>
      <c r="FQ3348" s="5" t="s">
        <v>240</v>
      </c>
      <c r="FR3348" s="5" t="s">
        <v>240</v>
      </c>
      <c r="FS3348" s="5" t="s">
        <v>240</v>
      </c>
      <c r="FT3348" s="5" t="s">
        <v>240</v>
      </c>
      <c r="FU3348" s="5" t="s">
        <v>240</v>
      </c>
      <c r="FV3348" s="5" t="s">
        <v>240</v>
      </c>
      <c r="FW3348" s="5" t="s">
        <v>240</v>
      </c>
      <c r="FX3348" s="5" t="s">
        <v>240</v>
      </c>
      <c r="FY3348" s="5" t="s">
        <v>240</v>
      </c>
      <c r="FZ3348" s="5" t="s">
        <v>240</v>
      </c>
      <c r="GA3348" s="5" t="s">
        <v>240</v>
      </c>
      <c r="GB3348" s="5" t="s">
        <v>240</v>
      </c>
      <c r="GC3348" s="5" t="s">
        <v>240</v>
      </c>
      <c r="GD3348" s="5" t="s">
        <v>240</v>
      </c>
      <c r="GE3348" s="5" t="s">
        <v>240</v>
      </c>
      <c r="GF3348" s="5" t="s">
        <v>240</v>
      </c>
      <c r="GG3348" s="5" t="s">
        <v>240</v>
      </c>
      <c r="GH3348" s="5" t="s">
        <v>240</v>
      </c>
      <c r="GI3348" s="5" t="s">
        <v>240</v>
      </c>
      <c r="GJ3348" s="5" t="s">
        <v>240</v>
      </c>
      <c r="GK3348" s="5" t="s">
        <v>240</v>
      </c>
      <c r="GL3348" s="5" t="s">
        <v>240</v>
      </c>
      <c r="GM3348" s="5" t="s">
        <v>240</v>
      </c>
      <c r="GN3348" s="5" t="s">
        <v>240</v>
      </c>
      <c r="GO3348" s="5" t="s">
        <v>240</v>
      </c>
      <c r="GP3348" s="5" t="s">
        <v>240</v>
      </c>
      <c r="GQ3348" s="5" t="s">
        <v>240</v>
      </c>
      <c r="GR3348" s="5" t="s">
        <v>240</v>
      </c>
      <c r="GS3348" s="5" t="s">
        <v>240</v>
      </c>
      <c r="GT3348" s="5" t="s">
        <v>240</v>
      </c>
      <c r="GU3348" s="5" t="s">
        <v>240</v>
      </c>
      <c r="GV3348" s="5" t="s">
        <v>240</v>
      </c>
      <c r="GW3348" s="5" t="s">
        <v>240</v>
      </c>
      <c r="GX3348" s="5" t="s">
        <v>240</v>
      </c>
      <c r="GY3348" s="5" t="s">
        <v>240</v>
      </c>
      <c r="GZ3348" s="5" t="s">
        <v>240</v>
      </c>
      <c r="HA3348" s="5" t="s">
        <v>240</v>
      </c>
      <c r="HB3348" s="5" t="s">
        <v>240</v>
      </c>
      <c r="HC3348" s="5" t="s">
        <v>240</v>
      </c>
      <c r="HD3348" s="5" t="s">
        <v>240</v>
      </c>
      <c r="HE3348" s="5" t="s">
        <v>240</v>
      </c>
      <c r="HF3348" s="5" t="s">
        <v>240</v>
      </c>
      <c r="HG3348" s="5" t="s">
        <v>240</v>
      </c>
      <c r="HH3348" s="5" t="s">
        <v>240</v>
      </c>
      <c r="HI3348" s="5" t="s">
        <v>240</v>
      </c>
      <c r="HJ3348" s="5" t="s">
        <v>240</v>
      </c>
      <c r="HK3348" s="5" t="s">
        <v>240</v>
      </c>
      <c r="HL3348" s="5" t="s">
        <v>240</v>
      </c>
      <c r="HM3348" s="5" t="s">
        <v>240</v>
      </c>
      <c r="HN3348" s="5" t="s">
        <v>240</v>
      </c>
      <c r="HO3348" s="5" t="s">
        <v>312</v>
      </c>
      <c r="HP3348" s="5" t="s">
        <v>240</v>
      </c>
      <c r="HQ3348" s="5" t="s">
        <v>240</v>
      </c>
      <c r="HR3348" s="5" t="s">
        <v>240</v>
      </c>
      <c r="HS3348" s="5" t="s">
        <v>240</v>
      </c>
      <c r="HT3348" s="5" t="s">
        <v>240</v>
      </c>
      <c r="HU3348" s="5" t="s">
        <v>240</v>
      </c>
      <c r="HV3348" s="5" t="s">
        <v>240</v>
      </c>
      <c r="HW3348" s="5" t="s">
        <v>240</v>
      </c>
      <c r="HX3348" s="5" t="s">
        <v>240</v>
      </c>
      <c r="HY3348" s="5" t="s">
        <v>240</v>
      </c>
      <c r="HZ3348" s="5" t="s">
        <v>240</v>
      </c>
      <c r="IA3348" s="5" t="s">
        <v>240</v>
      </c>
      <c r="IB3348" s="5" t="s">
        <v>240</v>
      </c>
      <c r="IC3348" s="5" t="s">
        <v>240</v>
      </c>
      <c r="ID3348" s="5" t="s">
        <v>240</v>
      </c>
      <c r="IE3348" s="5" t="s">
        <v>240</v>
      </c>
      <c r="IF3348" s="5" t="s">
        <v>240</v>
      </c>
    </row>
    <row r="3349" spans="1:240" x14ac:dyDescent="0.4">
      <c r="A3349" s="5">
        <v>8891</v>
      </c>
      <c r="B3349" s="5">
        <v>1</v>
      </c>
      <c r="C3349" s="5">
        <v>1</v>
      </c>
      <c r="D3349" s="5" t="s">
        <v>723</v>
      </c>
      <c r="E3349" s="5" t="s">
        <v>725</v>
      </c>
      <c r="F3349" s="5" t="s">
        <v>730</v>
      </c>
      <c r="G3349" s="5" t="s">
        <v>6652</v>
      </c>
      <c r="H3349" s="6" t="s">
        <v>6653</v>
      </c>
      <c r="I3349" s="5" t="s">
        <v>990</v>
      </c>
      <c r="J3349" s="8">
        <f>60</f>
        <v>60</v>
      </c>
      <c r="K3349" s="5" t="s">
        <v>308</v>
      </c>
      <c r="L3349" s="7">
        <f>0</f>
        <v>0</v>
      </c>
      <c r="M3349" s="7">
        <f>0</f>
        <v>0</v>
      </c>
      <c r="N3349" s="5" t="s">
        <v>242</v>
      </c>
      <c r="O3349" s="5">
        <v>1</v>
      </c>
      <c r="P3349" s="5" t="s">
        <v>294</v>
      </c>
      <c r="Q3349" s="5" t="s">
        <v>3678</v>
      </c>
      <c r="R3349" s="5" t="s">
        <v>240</v>
      </c>
      <c r="S3349" s="5" t="s">
        <v>240</v>
      </c>
      <c r="T3349" s="5" t="s">
        <v>243</v>
      </c>
      <c r="U3349" s="5" t="s">
        <v>244</v>
      </c>
      <c r="V3349" s="5" t="s">
        <v>240</v>
      </c>
      <c r="W3349" s="5" t="s">
        <v>240</v>
      </c>
      <c r="X3349" s="5" t="s">
        <v>240</v>
      </c>
      <c r="Y3349" s="5" t="s">
        <v>240</v>
      </c>
      <c r="Z3349" s="6" t="s">
        <v>298</v>
      </c>
      <c r="AA3349" s="6" t="s">
        <v>240</v>
      </c>
      <c r="AB3349" s="6" t="s">
        <v>240</v>
      </c>
      <c r="AC3349" s="5" t="s">
        <v>240</v>
      </c>
      <c r="AD3349" s="6" t="s">
        <v>240</v>
      </c>
      <c r="AE3349" s="6" t="s">
        <v>299</v>
      </c>
      <c r="AF3349" s="5" t="s">
        <v>248</v>
      </c>
      <c r="AG3349" s="5" t="s">
        <v>249</v>
      </c>
      <c r="AH3349" s="5" t="s">
        <v>240</v>
      </c>
      <c r="AI3349" s="5" t="s">
        <v>240</v>
      </c>
      <c r="AJ3349" s="5" t="s">
        <v>240</v>
      </c>
      <c r="AK3349" s="5" t="s">
        <v>240</v>
      </c>
      <c r="AL3349" s="5" t="s">
        <v>240</v>
      </c>
      <c r="AM3349" s="5" t="s">
        <v>240</v>
      </c>
      <c r="AN3349" s="5" t="s">
        <v>240</v>
      </c>
      <c r="AO3349" s="5" t="s">
        <v>240</v>
      </c>
      <c r="AP3349" s="6" t="s">
        <v>240</v>
      </c>
      <c r="AQ3349" s="6" t="s">
        <v>240</v>
      </c>
      <c r="AR3349" s="6" t="s">
        <v>240</v>
      </c>
      <c r="AS3349" s="6" t="s">
        <v>240</v>
      </c>
      <c r="AT3349" s="5" t="s">
        <v>240</v>
      </c>
      <c r="AU3349" s="5" t="s">
        <v>729</v>
      </c>
      <c r="AV3349" s="5" t="s">
        <v>729</v>
      </c>
      <c r="AW3349" s="5" t="s">
        <v>251</v>
      </c>
      <c r="AX3349" s="5" t="s">
        <v>252</v>
      </c>
      <c r="AY3349" s="5" t="s">
        <v>253</v>
      </c>
      <c r="AZ3349" s="5" t="s">
        <v>240</v>
      </c>
      <c r="BA3349" s="5" t="s">
        <v>255</v>
      </c>
      <c r="BB3349" s="5" t="s">
        <v>731</v>
      </c>
      <c r="BD3349" s="5" t="s">
        <v>240</v>
      </c>
      <c r="BF3349" s="5" t="s">
        <v>732</v>
      </c>
      <c r="BG3349" s="6" t="s">
        <v>733</v>
      </c>
      <c r="BH3349" s="5" t="s">
        <v>734</v>
      </c>
      <c r="BI3349" s="5" t="s">
        <v>734</v>
      </c>
      <c r="BJ3349" s="5" t="s">
        <v>240</v>
      </c>
      <c r="BK3349" s="7">
        <f>1</f>
        <v>1</v>
      </c>
      <c r="BL3349" s="7">
        <f>1</f>
        <v>1</v>
      </c>
      <c r="BM3349" s="5" t="s">
        <v>258</v>
      </c>
      <c r="BN3349" s="5" t="s">
        <v>259</v>
      </c>
      <c r="BO3349" s="5" t="s">
        <v>240</v>
      </c>
      <c r="BP3349" s="5" t="s">
        <v>240</v>
      </c>
      <c r="BQ3349" s="5" t="s">
        <v>240</v>
      </c>
      <c r="BR3349" s="5" t="s">
        <v>240</v>
      </c>
      <c r="BS3349" s="5" t="s">
        <v>240</v>
      </c>
      <c r="BT3349" s="5" t="s">
        <v>240</v>
      </c>
      <c r="BU3349" s="5" t="s">
        <v>240</v>
      </c>
      <c r="BV3349" s="5" t="s">
        <v>240</v>
      </c>
      <c r="BW3349" s="6" t="s">
        <v>240</v>
      </c>
      <c r="BX3349" s="5" t="s">
        <v>240</v>
      </c>
      <c r="BY3349" s="5" t="s">
        <v>240</v>
      </c>
      <c r="BZ3349" s="5" t="s">
        <v>240</v>
      </c>
      <c r="CA3349" s="5" t="s">
        <v>259</v>
      </c>
      <c r="CB3349" s="5" t="s">
        <v>240</v>
      </c>
      <c r="CC3349" s="5" t="s">
        <v>240</v>
      </c>
      <c r="CD3349" s="5" t="s">
        <v>240</v>
      </c>
      <c r="CE3349" s="5" t="s">
        <v>240</v>
      </c>
      <c r="CF3349" s="5" t="s">
        <v>240</v>
      </c>
      <c r="CG3349" s="5" t="s">
        <v>304</v>
      </c>
      <c r="CH3349" s="5" t="s">
        <v>305</v>
      </c>
      <c r="CI3349" s="5" t="s">
        <v>240</v>
      </c>
      <c r="CK3349" s="5" t="s">
        <v>3681</v>
      </c>
      <c r="CL3349" s="6" t="s">
        <v>261</v>
      </c>
      <c r="CM3349" s="5" t="s">
        <v>262</v>
      </c>
      <c r="CN3349" s="5" t="s">
        <v>263</v>
      </c>
      <c r="CO3349" s="5" t="s">
        <v>264</v>
      </c>
      <c r="CP3349" s="5" t="s">
        <v>240</v>
      </c>
      <c r="CQ3349" s="5">
        <v>0</v>
      </c>
      <c r="CR3349" s="5" t="s">
        <v>735</v>
      </c>
      <c r="CS3349" s="5" t="s">
        <v>307</v>
      </c>
      <c r="CT3349" s="5" t="s">
        <v>307</v>
      </c>
      <c r="CU3349" s="5" t="s">
        <v>260</v>
      </c>
      <c r="CV3349" s="5" t="s">
        <v>612</v>
      </c>
      <c r="CW3349" s="8">
        <f>1</f>
        <v>1</v>
      </c>
      <c r="CX3349" s="7">
        <f>1</f>
        <v>1</v>
      </c>
      <c r="CY3349" s="7">
        <f>0</f>
        <v>0</v>
      </c>
      <c r="DA3349" s="7">
        <f>1</f>
        <v>1</v>
      </c>
      <c r="DB3349" s="7" t="s">
        <v>240</v>
      </c>
      <c r="DC3349" s="5" t="s">
        <v>240</v>
      </c>
      <c r="DD3349" s="5" t="s">
        <v>240</v>
      </c>
      <c r="DE3349" s="5" t="s">
        <v>240</v>
      </c>
      <c r="DF3349" s="5" t="s">
        <v>240</v>
      </c>
      <c r="DG3349" s="7">
        <f>0</f>
        <v>0</v>
      </c>
      <c r="DI3349" s="5" t="s">
        <v>240</v>
      </c>
      <c r="DJ3349" s="5" t="s">
        <v>240</v>
      </c>
      <c r="DK3349" s="5" t="s">
        <v>240</v>
      </c>
      <c r="DL3349" s="5" t="s">
        <v>240</v>
      </c>
      <c r="DM3349" s="5" t="s">
        <v>240</v>
      </c>
      <c r="DN3349" s="5" t="s">
        <v>240</v>
      </c>
      <c r="DO3349" s="7" t="s">
        <v>240</v>
      </c>
      <c r="DP3349" s="5" t="s">
        <v>240</v>
      </c>
      <c r="DQ3349" s="5" t="s">
        <v>240</v>
      </c>
      <c r="DR3349" s="5" t="s">
        <v>731</v>
      </c>
      <c r="DS3349" s="5" t="s">
        <v>731</v>
      </c>
      <c r="DT3349" s="5" t="s">
        <v>240</v>
      </c>
      <c r="DU3349" s="5" t="s">
        <v>240</v>
      </c>
      <c r="DV3349" s="5" t="s">
        <v>5063</v>
      </c>
      <c r="DW3349" s="5" t="s">
        <v>775</v>
      </c>
      <c r="DX3349" s="5" t="s">
        <v>240</v>
      </c>
      <c r="DY3349" s="5" t="s">
        <v>240</v>
      </c>
      <c r="DZ3349" s="5" t="s">
        <v>240</v>
      </c>
      <c r="EA3349" s="5" t="s">
        <v>240</v>
      </c>
      <c r="EB3349" s="5" t="s">
        <v>240</v>
      </c>
      <c r="EC3349" s="5" t="s">
        <v>240</v>
      </c>
      <c r="ED3349" s="5" t="s">
        <v>240</v>
      </c>
      <c r="EE3349" s="5" t="s">
        <v>240</v>
      </c>
      <c r="EF3349" s="5" t="s">
        <v>240</v>
      </c>
      <c r="EG3349" s="5" t="s">
        <v>240</v>
      </c>
      <c r="EH3349" s="5" t="s">
        <v>240</v>
      </c>
      <c r="EI3349" s="5" t="s">
        <v>240</v>
      </c>
      <c r="EJ3349" s="5" t="s">
        <v>240</v>
      </c>
      <c r="EK3349" s="5" t="s">
        <v>240</v>
      </c>
      <c r="EL3349" s="5" t="s">
        <v>240</v>
      </c>
      <c r="EM3349" s="5" t="s">
        <v>240</v>
      </c>
      <c r="EN3349" s="5" t="s">
        <v>240</v>
      </c>
      <c r="EO3349" s="5" t="s">
        <v>240</v>
      </c>
      <c r="EP3349" s="5" t="s">
        <v>240</v>
      </c>
      <c r="EQ3349" s="5" t="s">
        <v>240</v>
      </c>
      <c r="ER3349" s="5" t="s">
        <v>240</v>
      </c>
      <c r="ES3349" s="5" t="s">
        <v>240</v>
      </c>
      <c r="ET3349" s="5" t="s">
        <v>240</v>
      </c>
      <c r="EU3349" s="5" t="s">
        <v>240</v>
      </c>
      <c r="EV3349" s="5" t="s">
        <v>240</v>
      </c>
      <c r="EW3349" s="5" t="s">
        <v>240</v>
      </c>
      <c r="EX3349" s="5" t="s">
        <v>240</v>
      </c>
      <c r="EY3349" s="5" t="s">
        <v>240</v>
      </c>
      <c r="EZ3349" s="5" t="s">
        <v>240</v>
      </c>
      <c r="FA3349" s="5" t="s">
        <v>240</v>
      </c>
      <c r="FB3349" s="5" t="s">
        <v>240</v>
      </c>
      <c r="FC3349" s="5" t="s">
        <v>240</v>
      </c>
      <c r="FD3349" s="5" t="s">
        <v>240</v>
      </c>
      <c r="FE3349" s="5" t="s">
        <v>240</v>
      </c>
      <c r="FF3349" s="5" t="s">
        <v>240</v>
      </c>
      <c r="FG3349" s="5" t="s">
        <v>240</v>
      </c>
      <c r="FH3349" s="5" t="s">
        <v>240</v>
      </c>
      <c r="FI3349" s="5" t="s">
        <v>240</v>
      </c>
      <c r="FJ3349" s="5" t="s">
        <v>240</v>
      </c>
      <c r="FK3349" s="5" t="s">
        <v>240</v>
      </c>
      <c r="FL3349" s="5" t="s">
        <v>240</v>
      </c>
      <c r="FM3349" s="5" t="s">
        <v>240</v>
      </c>
      <c r="FN3349" s="5" t="s">
        <v>240</v>
      </c>
      <c r="FO3349" s="5" t="s">
        <v>240</v>
      </c>
      <c r="FP3349" s="5" t="s">
        <v>240</v>
      </c>
      <c r="FQ3349" s="5" t="s">
        <v>240</v>
      </c>
      <c r="FR3349" s="5" t="s">
        <v>240</v>
      </c>
      <c r="FS3349" s="5" t="s">
        <v>240</v>
      </c>
      <c r="FT3349" s="5" t="s">
        <v>240</v>
      </c>
      <c r="FU3349" s="5" t="s">
        <v>240</v>
      </c>
      <c r="FV3349" s="5" t="s">
        <v>240</v>
      </c>
      <c r="FW3349" s="5" t="s">
        <v>240</v>
      </c>
      <c r="FX3349" s="5" t="s">
        <v>240</v>
      </c>
      <c r="FY3349" s="5" t="s">
        <v>240</v>
      </c>
      <c r="FZ3349" s="5" t="s">
        <v>240</v>
      </c>
      <c r="GA3349" s="5" t="s">
        <v>240</v>
      </c>
      <c r="GB3349" s="5" t="s">
        <v>240</v>
      </c>
      <c r="GC3349" s="5" t="s">
        <v>240</v>
      </c>
      <c r="GD3349" s="5" t="s">
        <v>240</v>
      </c>
      <c r="GE3349" s="5" t="s">
        <v>240</v>
      </c>
      <c r="GF3349" s="5" t="s">
        <v>240</v>
      </c>
      <c r="GG3349" s="5" t="s">
        <v>240</v>
      </c>
      <c r="GH3349" s="5" t="s">
        <v>240</v>
      </c>
      <c r="GI3349" s="5" t="s">
        <v>240</v>
      </c>
      <c r="GJ3349" s="5" t="s">
        <v>240</v>
      </c>
      <c r="GK3349" s="5" t="s">
        <v>240</v>
      </c>
      <c r="GL3349" s="5" t="s">
        <v>240</v>
      </c>
      <c r="GM3349" s="5" t="s">
        <v>240</v>
      </c>
      <c r="GN3349" s="5" t="s">
        <v>240</v>
      </c>
      <c r="GO3349" s="5" t="s">
        <v>240</v>
      </c>
      <c r="GP3349" s="5" t="s">
        <v>240</v>
      </c>
      <c r="GQ3349" s="5" t="s">
        <v>240</v>
      </c>
      <c r="GR3349" s="5" t="s">
        <v>240</v>
      </c>
      <c r="GS3349" s="5" t="s">
        <v>240</v>
      </c>
      <c r="GT3349" s="5" t="s">
        <v>240</v>
      </c>
      <c r="GU3349" s="5" t="s">
        <v>240</v>
      </c>
      <c r="GV3349" s="5" t="s">
        <v>240</v>
      </c>
      <c r="GW3349" s="5" t="s">
        <v>240</v>
      </c>
      <c r="GX3349" s="5" t="s">
        <v>240</v>
      </c>
      <c r="GY3349" s="5" t="s">
        <v>240</v>
      </c>
      <c r="GZ3349" s="5" t="s">
        <v>240</v>
      </c>
      <c r="HA3349" s="5" t="s">
        <v>240</v>
      </c>
      <c r="HB3349" s="5" t="s">
        <v>240</v>
      </c>
      <c r="HC3349" s="5" t="s">
        <v>240</v>
      </c>
      <c r="HD3349" s="5" t="s">
        <v>240</v>
      </c>
      <c r="HE3349" s="5" t="s">
        <v>240</v>
      </c>
      <c r="HF3349" s="5" t="s">
        <v>240</v>
      </c>
      <c r="HG3349" s="5" t="s">
        <v>240</v>
      </c>
      <c r="HH3349" s="5" t="s">
        <v>240</v>
      </c>
      <c r="HI3349" s="5" t="s">
        <v>240</v>
      </c>
      <c r="HJ3349" s="5" t="s">
        <v>240</v>
      </c>
      <c r="HK3349" s="5" t="s">
        <v>240</v>
      </c>
      <c r="HL3349" s="5" t="s">
        <v>240</v>
      </c>
      <c r="HM3349" s="5" t="s">
        <v>240</v>
      </c>
      <c r="HN3349" s="5" t="s">
        <v>240</v>
      </c>
      <c r="HO3349" s="5" t="s">
        <v>312</v>
      </c>
      <c r="HP3349" s="5" t="s">
        <v>240</v>
      </c>
      <c r="HQ3349" s="5" t="s">
        <v>240</v>
      </c>
      <c r="HR3349" s="5" t="s">
        <v>240</v>
      </c>
      <c r="HS3349" s="5" t="s">
        <v>240</v>
      </c>
      <c r="HT3349" s="5" t="s">
        <v>240</v>
      </c>
      <c r="HU3349" s="5" t="s">
        <v>240</v>
      </c>
      <c r="HV3349" s="5" t="s">
        <v>240</v>
      </c>
      <c r="HW3349" s="5" t="s">
        <v>240</v>
      </c>
      <c r="HX3349" s="5" t="s">
        <v>240</v>
      </c>
      <c r="HY3349" s="5" t="s">
        <v>240</v>
      </c>
      <c r="HZ3349" s="5" t="s">
        <v>240</v>
      </c>
      <c r="IA3349" s="5" t="s">
        <v>240</v>
      </c>
      <c r="IB3349" s="5" t="s">
        <v>240</v>
      </c>
      <c r="IC3349" s="5" t="s">
        <v>240</v>
      </c>
      <c r="ID3349" s="5" t="s">
        <v>240</v>
      </c>
      <c r="IE3349" s="5" t="s">
        <v>240</v>
      </c>
      <c r="IF3349" s="5" t="s">
        <v>240</v>
      </c>
    </row>
    <row r="3350" spans="1:240" x14ac:dyDescent="0.4">
      <c r="A3350" s="5">
        <v>8892</v>
      </c>
      <c r="B3350" s="5">
        <v>1</v>
      </c>
      <c r="C3350" s="5">
        <v>1</v>
      </c>
      <c r="D3350" s="5" t="s">
        <v>723</v>
      </c>
      <c r="E3350" s="5" t="s">
        <v>725</v>
      </c>
      <c r="F3350" s="5" t="s">
        <v>730</v>
      </c>
      <c r="G3350" s="5" t="s">
        <v>726</v>
      </c>
      <c r="H3350" s="6" t="s">
        <v>6269</v>
      </c>
      <c r="I3350" s="5" t="s">
        <v>722</v>
      </c>
      <c r="J3350" s="8">
        <f>168</f>
        <v>168</v>
      </c>
      <c r="K3350" s="5" t="s">
        <v>308</v>
      </c>
      <c r="L3350" s="7">
        <f>0</f>
        <v>0</v>
      </c>
      <c r="M3350" s="7">
        <f>0</f>
        <v>0</v>
      </c>
      <c r="N3350" s="5" t="s">
        <v>242</v>
      </c>
      <c r="O3350" s="5">
        <v>1</v>
      </c>
      <c r="P3350" s="5" t="s">
        <v>294</v>
      </c>
      <c r="Q3350" s="5" t="s">
        <v>266</v>
      </c>
      <c r="R3350" s="5" t="s">
        <v>240</v>
      </c>
      <c r="S3350" s="5" t="s">
        <v>240</v>
      </c>
      <c r="T3350" s="5" t="s">
        <v>296</v>
      </c>
      <c r="U3350" s="5" t="s">
        <v>244</v>
      </c>
      <c r="V3350" s="5" t="s">
        <v>240</v>
      </c>
      <c r="Y3350" s="5" t="s">
        <v>240</v>
      </c>
      <c r="Z3350" s="6" t="s">
        <v>298</v>
      </c>
      <c r="AB3350" s="6" t="s">
        <v>240</v>
      </c>
      <c r="AE3350" s="6" t="s">
        <v>299</v>
      </c>
      <c r="AF3350" s="5" t="s">
        <v>248</v>
      </c>
      <c r="AG3350" s="5" t="s">
        <v>249</v>
      </c>
      <c r="AW3350" s="5" t="s">
        <v>251</v>
      </c>
      <c r="AX3350" s="5" t="s">
        <v>240</v>
      </c>
      <c r="AY3350" s="5" t="s">
        <v>253</v>
      </c>
      <c r="AZ3350" s="5" t="s">
        <v>240</v>
      </c>
      <c r="BA3350" s="5" t="s">
        <v>255</v>
      </c>
      <c r="BB3350" s="5" t="s">
        <v>240</v>
      </c>
      <c r="BD3350" s="5" t="s">
        <v>240</v>
      </c>
      <c r="BF3350" s="5" t="s">
        <v>301</v>
      </c>
      <c r="BG3350" s="6" t="s">
        <v>299</v>
      </c>
      <c r="BH3350" s="5" t="s">
        <v>302</v>
      </c>
      <c r="BI3350" s="5" t="s">
        <v>303</v>
      </c>
      <c r="BJ3350" s="5" t="s">
        <v>240</v>
      </c>
      <c r="BK3350" s="8">
        <f>0</f>
        <v>0</v>
      </c>
      <c r="BL3350" s="7">
        <f>0</f>
        <v>0</v>
      </c>
      <c r="BM3350" s="5" t="s">
        <v>258</v>
      </c>
      <c r="BN3350" s="5" t="s">
        <v>259</v>
      </c>
      <c r="CB3350" s="5" t="s">
        <v>240</v>
      </c>
      <c r="CC3350" s="5" t="s">
        <v>240</v>
      </c>
      <c r="CG3350" s="5" t="s">
        <v>304</v>
      </c>
      <c r="CH3350" s="5" t="s">
        <v>305</v>
      </c>
      <c r="CI3350" s="5" t="s">
        <v>240</v>
      </c>
      <c r="CL3350" s="6" t="s">
        <v>261</v>
      </c>
      <c r="CM3350" s="5" t="s">
        <v>240</v>
      </c>
      <c r="CN3350" s="5" t="s">
        <v>263</v>
      </c>
      <c r="CO3350" s="5" t="s">
        <v>240</v>
      </c>
      <c r="CP3350" s="5" t="s">
        <v>240</v>
      </c>
      <c r="CQ3350" s="5">
        <v>0</v>
      </c>
      <c r="CR3350" s="5" t="s">
        <v>306</v>
      </c>
      <c r="CS3350" s="5" t="s">
        <v>307</v>
      </c>
      <c r="CT3350" s="5" t="s">
        <v>307</v>
      </c>
      <c r="CU3350" s="5" t="s">
        <v>260</v>
      </c>
      <c r="CX3350" s="7">
        <f>1</f>
        <v>1</v>
      </c>
      <c r="CY3350" s="7">
        <f>0</f>
        <v>0</v>
      </c>
      <c r="DA3350" s="7">
        <f>0</f>
        <v>0</v>
      </c>
      <c r="DC3350" s="5" t="s">
        <v>309</v>
      </c>
      <c r="DD3350" s="5" t="s">
        <v>240</v>
      </c>
      <c r="DF3350" s="5" t="s">
        <v>309</v>
      </c>
      <c r="DG3350" s="7">
        <f>742</f>
        <v>742</v>
      </c>
      <c r="DI3350" s="5" t="s">
        <v>240</v>
      </c>
      <c r="DJ3350" s="5" t="s">
        <v>240</v>
      </c>
      <c r="DK3350" s="5" t="s">
        <v>240</v>
      </c>
      <c r="DL3350" s="5" t="s">
        <v>240</v>
      </c>
      <c r="DP3350" s="5" t="s">
        <v>240</v>
      </c>
      <c r="DQ3350" s="5" t="s">
        <v>240</v>
      </c>
      <c r="DR3350" s="5" t="s">
        <v>240</v>
      </c>
      <c r="DS3350" s="5" t="s">
        <v>240</v>
      </c>
      <c r="DV3350" s="5" t="s">
        <v>310</v>
      </c>
      <c r="DW3350" s="5" t="s">
        <v>4984</v>
      </c>
      <c r="HO3350" s="5" t="s">
        <v>312</v>
      </c>
    </row>
    <row r="3351" spans="1:240" x14ac:dyDescent="0.4">
      <c r="A3351" s="5">
        <v>8893</v>
      </c>
      <c r="B3351" s="5">
        <v>1</v>
      </c>
      <c r="C3351" s="5">
        <v>1</v>
      </c>
      <c r="D3351" s="5" t="s">
        <v>723</v>
      </c>
      <c r="E3351" s="5" t="s">
        <v>725</v>
      </c>
      <c r="F3351" s="5" t="s">
        <v>730</v>
      </c>
      <c r="G3351" s="5" t="s">
        <v>726</v>
      </c>
      <c r="H3351" s="6" t="s">
        <v>6268</v>
      </c>
      <c r="I3351" s="5" t="s">
        <v>722</v>
      </c>
      <c r="J3351" s="8">
        <f>1322</f>
        <v>1322</v>
      </c>
      <c r="K3351" s="5" t="s">
        <v>308</v>
      </c>
      <c r="L3351" s="7">
        <f>0</f>
        <v>0</v>
      </c>
      <c r="M3351" s="7">
        <f>0</f>
        <v>0</v>
      </c>
      <c r="N3351" s="5" t="s">
        <v>242</v>
      </c>
      <c r="O3351" s="5">
        <v>1</v>
      </c>
      <c r="P3351" s="5" t="s">
        <v>294</v>
      </c>
      <c r="Q3351" s="5" t="s">
        <v>3678</v>
      </c>
      <c r="R3351" s="5" t="s">
        <v>240</v>
      </c>
      <c r="S3351" s="5" t="s">
        <v>240</v>
      </c>
      <c r="T3351" s="5" t="s">
        <v>243</v>
      </c>
      <c r="U3351" s="5" t="s">
        <v>244</v>
      </c>
      <c r="V3351" s="5" t="s">
        <v>240</v>
      </c>
      <c r="W3351" s="5" t="s">
        <v>240</v>
      </c>
      <c r="X3351" s="5" t="s">
        <v>240</v>
      </c>
      <c r="Y3351" s="5" t="s">
        <v>240</v>
      </c>
      <c r="Z3351" s="6" t="s">
        <v>298</v>
      </c>
      <c r="AA3351" s="6" t="s">
        <v>240</v>
      </c>
      <c r="AB3351" s="6" t="s">
        <v>240</v>
      </c>
      <c r="AC3351" s="5" t="s">
        <v>240</v>
      </c>
      <c r="AD3351" s="6" t="s">
        <v>240</v>
      </c>
      <c r="AE3351" s="6" t="s">
        <v>299</v>
      </c>
      <c r="AF3351" s="5" t="s">
        <v>248</v>
      </c>
      <c r="AG3351" s="5" t="s">
        <v>249</v>
      </c>
      <c r="AH3351" s="5" t="s">
        <v>240</v>
      </c>
      <c r="AI3351" s="5" t="s">
        <v>240</v>
      </c>
      <c r="AJ3351" s="5" t="s">
        <v>240</v>
      </c>
      <c r="AK3351" s="5" t="s">
        <v>240</v>
      </c>
      <c r="AL3351" s="5" t="s">
        <v>240</v>
      </c>
      <c r="AM3351" s="5" t="s">
        <v>240</v>
      </c>
      <c r="AN3351" s="5" t="s">
        <v>240</v>
      </c>
      <c r="AO3351" s="5" t="s">
        <v>240</v>
      </c>
      <c r="AP3351" s="6" t="s">
        <v>240</v>
      </c>
      <c r="AQ3351" s="6" t="s">
        <v>240</v>
      </c>
      <c r="AR3351" s="6" t="s">
        <v>240</v>
      </c>
      <c r="AS3351" s="6" t="s">
        <v>240</v>
      </c>
      <c r="AT3351" s="5" t="s">
        <v>240</v>
      </c>
      <c r="AU3351" s="5" t="s">
        <v>729</v>
      </c>
      <c r="AV3351" s="5" t="s">
        <v>729</v>
      </c>
      <c r="AW3351" s="5" t="s">
        <v>251</v>
      </c>
      <c r="AX3351" s="5" t="s">
        <v>252</v>
      </c>
      <c r="AY3351" s="5" t="s">
        <v>253</v>
      </c>
      <c r="AZ3351" s="5" t="s">
        <v>240</v>
      </c>
      <c r="BA3351" s="5" t="s">
        <v>255</v>
      </c>
      <c r="BB3351" s="5" t="s">
        <v>731</v>
      </c>
      <c r="BD3351" s="5" t="s">
        <v>240</v>
      </c>
      <c r="BF3351" s="5" t="s">
        <v>732</v>
      </c>
      <c r="BG3351" s="6" t="s">
        <v>733</v>
      </c>
      <c r="BH3351" s="5" t="s">
        <v>734</v>
      </c>
      <c r="BI3351" s="5" t="s">
        <v>734</v>
      </c>
      <c r="BJ3351" s="5" t="s">
        <v>240</v>
      </c>
      <c r="BK3351" s="7">
        <f>1</f>
        <v>1</v>
      </c>
      <c r="BL3351" s="7">
        <f>1</f>
        <v>1</v>
      </c>
      <c r="BM3351" s="5" t="s">
        <v>258</v>
      </c>
      <c r="BN3351" s="5" t="s">
        <v>259</v>
      </c>
      <c r="BO3351" s="5" t="s">
        <v>240</v>
      </c>
      <c r="BP3351" s="5" t="s">
        <v>240</v>
      </c>
      <c r="BQ3351" s="5" t="s">
        <v>240</v>
      </c>
      <c r="BR3351" s="5" t="s">
        <v>240</v>
      </c>
      <c r="BS3351" s="5" t="s">
        <v>240</v>
      </c>
      <c r="BT3351" s="5" t="s">
        <v>240</v>
      </c>
      <c r="BU3351" s="5" t="s">
        <v>240</v>
      </c>
      <c r="BV3351" s="5" t="s">
        <v>240</v>
      </c>
      <c r="BW3351" s="6" t="s">
        <v>240</v>
      </c>
      <c r="BX3351" s="5" t="s">
        <v>240</v>
      </c>
      <c r="BY3351" s="5" t="s">
        <v>240</v>
      </c>
      <c r="BZ3351" s="5" t="s">
        <v>240</v>
      </c>
      <c r="CA3351" s="5" t="s">
        <v>259</v>
      </c>
      <c r="CB3351" s="5" t="s">
        <v>240</v>
      </c>
      <c r="CC3351" s="5" t="s">
        <v>240</v>
      </c>
      <c r="CD3351" s="5" t="s">
        <v>240</v>
      </c>
      <c r="CE3351" s="5" t="s">
        <v>240</v>
      </c>
      <c r="CF3351" s="5" t="s">
        <v>240</v>
      </c>
      <c r="CG3351" s="5" t="s">
        <v>304</v>
      </c>
      <c r="CH3351" s="5" t="s">
        <v>305</v>
      </c>
      <c r="CI3351" s="5" t="s">
        <v>240</v>
      </c>
      <c r="CK3351" s="5" t="s">
        <v>3681</v>
      </c>
      <c r="CL3351" s="6" t="s">
        <v>261</v>
      </c>
      <c r="CM3351" s="5" t="s">
        <v>262</v>
      </c>
      <c r="CN3351" s="5" t="s">
        <v>263</v>
      </c>
      <c r="CO3351" s="5" t="s">
        <v>264</v>
      </c>
      <c r="CP3351" s="5" t="s">
        <v>240</v>
      </c>
      <c r="CQ3351" s="5">
        <v>0</v>
      </c>
      <c r="CR3351" s="5" t="s">
        <v>735</v>
      </c>
      <c r="CS3351" s="5" t="s">
        <v>307</v>
      </c>
      <c r="CT3351" s="5" t="s">
        <v>307</v>
      </c>
      <c r="CU3351" s="5" t="s">
        <v>260</v>
      </c>
      <c r="CV3351" s="5" t="s">
        <v>612</v>
      </c>
      <c r="CW3351" s="8">
        <f>1</f>
        <v>1</v>
      </c>
      <c r="CX3351" s="7">
        <f>1</f>
        <v>1</v>
      </c>
      <c r="CY3351" s="7">
        <f>0</f>
        <v>0</v>
      </c>
      <c r="DA3351" s="7">
        <f>1</f>
        <v>1</v>
      </c>
      <c r="DB3351" s="7" t="s">
        <v>240</v>
      </c>
      <c r="DC3351" s="5" t="s">
        <v>240</v>
      </c>
      <c r="DD3351" s="5" t="s">
        <v>240</v>
      </c>
      <c r="DE3351" s="5" t="s">
        <v>240</v>
      </c>
      <c r="DF3351" s="5" t="s">
        <v>240</v>
      </c>
      <c r="DG3351" s="7">
        <f>0</f>
        <v>0</v>
      </c>
      <c r="DI3351" s="5" t="s">
        <v>240</v>
      </c>
      <c r="DJ3351" s="5" t="s">
        <v>240</v>
      </c>
      <c r="DK3351" s="5" t="s">
        <v>240</v>
      </c>
      <c r="DL3351" s="5" t="s">
        <v>240</v>
      </c>
      <c r="DM3351" s="5" t="s">
        <v>240</v>
      </c>
      <c r="DN3351" s="5" t="s">
        <v>240</v>
      </c>
      <c r="DO3351" s="7" t="s">
        <v>240</v>
      </c>
      <c r="DP3351" s="5" t="s">
        <v>240</v>
      </c>
      <c r="DQ3351" s="5" t="s">
        <v>240</v>
      </c>
      <c r="DR3351" s="5" t="s">
        <v>731</v>
      </c>
      <c r="DS3351" s="5" t="s">
        <v>731</v>
      </c>
      <c r="DT3351" s="5" t="s">
        <v>240</v>
      </c>
      <c r="DU3351" s="5" t="s">
        <v>240</v>
      </c>
      <c r="DV3351" s="5" t="s">
        <v>5063</v>
      </c>
      <c r="DW3351" s="5" t="s">
        <v>783</v>
      </c>
      <c r="DX3351" s="5" t="s">
        <v>240</v>
      </c>
      <c r="DY3351" s="5" t="s">
        <v>240</v>
      </c>
      <c r="DZ3351" s="5" t="s">
        <v>240</v>
      </c>
      <c r="EA3351" s="5" t="s">
        <v>240</v>
      </c>
      <c r="EB3351" s="5" t="s">
        <v>240</v>
      </c>
      <c r="EC3351" s="5" t="s">
        <v>240</v>
      </c>
      <c r="ED3351" s="5" t="s">
        <v>240</v>
      </c>
      <c r="EE3351" s="5" t="s">
        <v>240</v>
      </c>
      <c r="EF3351" s="5" t="s">
        <v>240</v>
      </c>
      <c r="EG3351" s="5" t="s">
        <v>240</v>
      </c>
      <c r="EH3351" s="5" t="s">
        <v>240</v>
      </c>
      <c r="EI3351" s="5" t="s">
        <v>240</v>
      </c>
      <c r="EJ3351" s="5" t="s">
        <v>240</v>
      </c>
      <c r="EK3351" s="5" t="s">
        <v>240</v>
      </c>
      <c r="EL3351" s="5" t="s">
        <v>240</v>
      </c>
      <c r="EM3351" s="5" t="s">
        <v>240</v>
      </c>
      <c r="EN3351" s="5" t="s">
        <v>240</v>
      </c>
      <c r="EO3351" s="5" t="s">
        <v>240</v>
      </c>
      <c r="EP3351" s="5" t="s">
        <v>240</v>
      </c>
      <c r="EQ3351" s="5" t="s">
        <v>240</v>
      </c>
      <c r="ER3351" s="5" t="s">
        <v>240</v>
      </c>
      <c r="ES3351" s="5" t="s">
        <v>240</v>
      </c>
      <c r="ET3351" s="5" t="s">
        <v>240</v>
      </c>
      <c r="EU3351" s="5" t="s">
        <v>240</v>
      </c>
      <c r="EV3351" s="5" t="s">
        <v>240</v>
      </c>
      <c r="EW3351" s="5" t="s">
        <v>240</v>
      </c>
      <c r="EX3351" s="5" t="s">
        <v>240</v>
      </c>
      <c r="EY3351" s="5" t="s">
        <v>240</v>
      </c>
      <c r="EZ3351" s="5" t="s">
        <v>240</v>
      </c>
      <c r="FA3351" s="5" t="s">
        <v>240</v>
      </c>
      <c r="FB3351" s="5" t="s">
        <v>240</v>
      </c>
      <c r="FC3351" s="5" t="s">
        <v>240</v>
      </c>
      <c r="FD3351" s="5" t="s">
        <v>240</v>
      </c>
      <c r="FE3351" s="5" t="s">
        <v>240</v>
      </c>
      <c r="FF3351" s="5" t="s">
        <v>240</v>
      </c>
      <c r="FG3351" s="5" t="s">
        <v>240</v>
      </c>
      <c r="FH3351" s="5" t="s">
        <v>240</v>
      </c>
      <c r="FI3351" s="5" t="s">
        <v>240</v>
      </c>
      <c r="FJ3351" s="5" t="s">
        <v>240</v>
      </c>
      <c r="FK3351" s="5" t="s">
        <v>240</v>
      </c>
      <c r="FL3351" s="5" t="s">
        <v>240</v>
      </c>
      <c r="FM3351" s="5" t="s">
        <v>240</v>
      </c>
      <c r="FN3351" s="5" t="s">
        <v>240</v>
      </c>
      <c r="FO3351" s="5" t="s">
        <v>240</v>
      </c>
      <c r="FP3351" s="5" t="s">
        <v>240</v>
      </c>
      <c r="FQ3351" s="5" t="s">
        <v>240</v>
      </c>
      <c r="FR3351" s="5" t="s">
        <v>240</v>
      </c>
      <c r="FS3351" s="5" t="s">
        <v>240</v>
      </c>
      <c r="FT3351" s="5" t="s">
        <v>240</v>
      </c>
      <c r="FU3351" s="5" t="s">
        <v>240</v>
      </c>
      <c r="FV3351" s="5" t="s">
        <v>240</v>
      </c>
      <c r="FW3351" s="5" t="s">
        <v>240</v>
      </c>
      <c r="FX3351" s="5" t="s">
        <v>240</v>
      </c>
      <c r="FY3351" s="5" t="s">
        <v>240</v>
      </c>
      <c r="FZ3351" s="5" t="s">
        <v>240</v>
      </c>
      <c r="GA3351" s="5" t="s">
        <v>240</v>
      </c>
      <c r="GB3351" s="5" t="s">
        <v>240</v>
      </c>
      <c r="GC3351" s="5" t="s">
        <v>240</v>
      </c>
      <c r="GD3351" s="5" t="s">
        <v>240</v>
      </c>
      <c r="GE3351" s="5" t="s">
        <v>240</v>
      </c>
      <c r="GF3351" s="5" t="s">
        <v>240</v>
      </c>
      <c r="GG3351" s="5" t="s">
        <v>240</v>
      </c>
      <c r="GH3351" s="5" t="s">
        <v>240</v>
      </c>
      <c r="GI3351" s="5" t="s">
        <v>240</v>
      </c>
      <c r="GJ3351" s="5" t="s">
        <v>240</v>
      </c>
      <c r="GK3351" s="5" t="s">
        <v>240</v>
      </c>
      <c r="GL3351" s="5" t="s">
        <v>240</v>
      </c>
      <c r="GM3351" s="5" t="s">
        <v>240</v>
      </c>
      <c r="GN3351" s="5" t="s">
        <v>240</v>
      </c>
      <c r="GO3351" s="5" t="s">
        <v>240</v>
      </c>
      <c r="GP3351" s="5" t="s">
        <v>240</v>
      </c>
      <c r="GQ3351" s="5" t="s">
        <v>240</v>
      </c>
      <c r="GR3351" s="5" t="s">
        <v>240</v>
      </c>
      <c r="GS3351" s="5" t="s">
        <v>240</v>
      </c>
      <c r="GT3351" s="5" t="s">
        <v>240</v>
      </c>
      <c r="GU3351" s="5" t="s">
        <v>240</v>
      </c>
      <c r="GV3351" s="5" t="s">
        <v>240</v>
      </c>
      <c r="GW3351" s="5" t="s">
        <v>240</v>
      </c>
      <c r="GX3351" s="5" t="s">
        <v>240</v>
      </c>
      <c r="GY3351" s="5" t="s">
        <v>240</v>
      </c>
      <c r="GZ3351" s="5" t="s">
        <v>240</v>
      </c>
      <c r="HA3351" s="5" t="s">
        <v>240</v>
      </c>
      <c r="HB3351" s="5" t="s">
        <v>240</v>
      </c>
      <c r="HC3351" s="5" t="s">
        <v>240</v>
      </c>
      <c r="HD3351" s="5" t="s">
        <v>240</v>
      </c>
      <c r="HE3351" s="5" t="s">
        <v>240</v>
      </c>
      <c r="HF3351" s="5" t="s">
        <v>240</v>
      </c>
      <c r="HG3351" s="5" t="s">
        <v>240</v>
      </c>
      <c r="HH3351" s="5" t="s">
        <v>240</v>
      </c>
      <c r="HI3351" s="5" t="s">
        <v>240</v>
      </c>
      <c r="HJ3351" s="5" t="s">
        <v>240</v>
      </c>
      <c r="HK3351" s="5" t="s">
        <v>240</v>
      </c>
      <c r="HL3351" s="5" t="s">
        <v>240</v>
      </c>
      <c r="HM3351" s="5" t="s">
        <v>240</v>
      </c>
      <c r="HN3351" s="5" t="s">
        <v>240</v>
      </c>
      <c r="HO3351" s="5" t="s">
        <v>312</v>
      </c>
      <c r="HP3351" s="5" t="s">
        <v>240</v>
      </c>
      <c r="HQ3351" s="5" t="s">
        <v>240</v>
      </c>
      <c r="HR3351" s="5" t="s">
        <v>240</v>
      </c>
      <c r="HS3351" s="5" t="s">
        <v>240</v>
      </c>
      <c r="HT3351" s="5" t="s">
        <v>240</v>
      </c>
      <c r="HU3351" s="5" t="s">
        <v>240</v>
      </c>
      <c r="HV3351" s="5" t="s">
        <v>240</v>
      </c>
      <c r="HW3351" s="5" t="s">
        <v>240</v>
      </c>
      <c r="HX3351" s="5" t="s">
        <v>240</v>
      </c>
      <c r="HY3351" s="5" t="s">
        <v>240</v>
      </c>
      <c r="HZ3351" s="5" t="s">
        <v>240</v>
      </c>
      <c r="IA3351" s="5" t="s">
        <v>240</v>
      </c>
      <c r="IB3351" s="5" t="s">
        <v>240</v>
      </c>
      <c r="IC3351" s="5" t="s">
        <v>240</v>
      </c>
      <c r="ID3351" s="5" t="s">
        <v>240</v>
      </c>
      <c r="IE3351" s="5" t="s">
        <v>240</v>
      </c>
      <c r="IF3351" s="5" t="s">
        <v>240</v>
      </c>
    </row>
    <row r="3352" spans="1:240" x14ac:dyDescent="0.4">
      <c r="A3352" s="5">
        <v>8894</v>
      </c>
      <c r="B3352" s="5">
        <v>1</v>
      </c>
      <c r="C3352" s="5">
        <v>1</v>
      </c>
      <c r="D3352" s="5" t="s">
        <v>723</v>
      </c>
      <c r="E3352" s="5" t="s">
        <v>725</v>
      </c>
      <c r="F3352" s="5" t="s">
        <v>730</v>
      </c>
      <c r="G3352" s="5" t="s">
        <v>726</v>
      </c>
      <c r="H3352" s="6" t="s">
        <v>6267</v>
      </c>
      <c r="I3352" s="5" t="s">
        <v>990</v>
      </c>
      <c r="J3352" s="8">
        <f>535</f>
        <v>535</v>
      </c>
      <c r="K3352" s="5" t="s">
        <v>308</v>
      </c>
      <c r="L3352" s="7">
        <f>0</f>
        <v>0</v>
      </c>
      <c r="M3352" s="7">
        <f>0</f>
        <v>0</v>
      </c>
      <c r="N3352" s="5" t="s">
        <v>242</v>
      </c>
      <c r="O3352" s="5">
        <v>1</v>
      </c>
      <c r="P3352" s="5" t="s">
        <v>294</v>
      </c>
      <c r="Q3352" s="5" t="s">
        <v>3678</v>
      </c>
      <c r="R3352" s="5" t="s">
        <v>240</v>
      </c>
      <c r="S3352" s="5" t="s">
        <v>240</v>
      </c>
      <c r="T3352" s="5" t="s">
        <v>243</v>
      </c>
      <c r="U3352" s="5" t="s">
        <v>244</v>
      </c>
      <c r="V3352" s="5" t="s">
        <v>240</v>
      </c>
      <c r="W3352" s="5" t="s">
        <v>240</v>
      </c>
      <c r="X3352" s="5" t="s">
        <v>240</v>
      </c>
      <c r="Y3352" s="5" t="s">
        <v>240</v>
      </c>
      <c r="Z3352" s="6" t="s">
        <v>298</v>
      </c>
      <c r="AA3352" s="6" t="s">
        <v>240</v>
      </c>
      <c r="AB3352" s="6" t="s">
        <v>240</v>
      </c>
      <c r="AC3352" s="5" t="s">
        <v>240</v>
      </c>
      <c r="AD3352" s="6" t="s">
        <v>240</v>
      </c>
      <c r="AE3352" s="6" t="s">
        <v>299</v>
      </c>
      <c r="AF3352" s="5" t="s">
        <v>248</v>
      </c>
      <c r="AG3352" s="5" t="s">
        <v>249</v>
      </c>
      <c r="AH3352" s="5" t="s">
        <v>240</v>
      </c>
      <c r="AI3352" s="5" t="s">
        <v>240</v>
      </c>
      <c r="AJ3352" s="5" t="s">
        <v>240</v>
      </c>
      <c r="AK3352" s="5" t="s">
        <v>240</v>
      </c>
      <c r="AL3352" s="5" t="s">
        <v>240</v>
      </c>
      <c r="AM3352" s="5" t="s">
        <v>240</v>
      </c>
      <c r="AN3352" s="5" t="s">
        <v>240</v>
      </c>
      <c r="AO3352" s="5" t="s">
        <v>240</v>
      </c>
      <c r="AP3352" s="6" t="s">
        <v>240</v>
      </c>
      <c r="AQ3352" s="6" t="s">
        <v>240</v>
      </c>
      <c r="AR3352" s="6" t="s">
        <v>240</v>
      </c>
      <c r="AS3352" s="6" t="s">
        <v>240</v>
      </c>
      <c r="AT3352" s="5" t="s">
        <v>240</v>
      </c>
      <c r="AU3352" s="5" t="s">
        <v>729</v>
      </c>
      <c r="AV3352" s="5" t="s">
        <v>729</v>
      </c>
      <c r="AW3352" s="5" t="s">
        <v>251</v>
      </c>
      <c r="AX3352" s="5" t="s">
        <v>252</v>
      </c>
      <c r="AY3352" s="5" t="s">
        <v>253</v>
      </c>
      <c r="AZ3352" s="5" t="s">
        <v>240</v>
      </c>
      <c r="BA3352" s="5" t="s">
        <v>255</v>
      </c>
      <c r="BB3352" s="5" t="s">
        <v>731</v>
      </c>
      <c r="BD3352" s="5" t="s">
        <v>240</v>
      </c>
      <c r="BF3352" s="5" t="s">
        <v>732</v>
      </c>
      <c r="BG3352" s="6" t="s">
        <v>733</v>
      </c>
      <c r="BH3352" s="5" t="s">
        <v>734</v>
      </c>
      <c r="BI3352" s="5" t="s">
        <v>734</v>
      </c>
      <c r="BJ3352" s="5" t="s">
        <v>240</v>
      </c>
      <c r="BK3352" s="7">
        <f>1</f>
        <v>1</v>
      </c>
      <c r="BL3352" s="7">
        <f>1</f>
        <v>1</v>
      </c>
      <c r="BM3352" s="5" t="s">
        <v>258</v>
      </c>
      <c r="BN3352" s="5" t="s">
        <v>259</v>
      </c>
      <c r="BO3352" s="5" t="s">
        <v>240</v>
      </c>
      <c r="BP3352" s="5" t="s">
        <v>240</v>
      </c>
      <c r="BQ3352" s="5" t="s">
        <v>240</v>
      </c>
      <c r="BR3352" s="5" t="s">
        <v>240</v>
      </c>
      <c r="BS3352" s="5" t="s">
        <v>240</v>
      </c>
      <c r="BT3352" s="5" t="s">
        <v>240</v>
      </c>
      <c r="BU3352" s="5" t="s">
        <v>240</v>
      </c>
      <c r="BV3352" s="5" t="s">
        <v>240</v>
      </c>
      <c r="BW3352" s="6" t="s">
        <v>240</v>
      </c>
      <c r="BX3352" s="5" t="s">
        <v>240</v>
      </c>
      <c r="BY3352" s="5" t="s">
        <v>240</v>
      </c>
      <c r="BZ3352" s="5" t="s">
        <v>240</v>
      </c>
      <c r="CA3352" s="5" t="s">
        <v>259</v>
      </c>
      <c r="CB3352" s="5" t="s">
        <v>240</v>
      </c>
      <c r="CC3352" s="5" t="s">
        <v>240</v>
      </c>
      <c r="CD3352" s="5" t="s">
        <v>240</v>
      </c>
      <c r="CE3352" s="5" t="s">
        <v>240</v>
      </c>
      <c r="CF3352" s="5" t="s">
        <v>240</v>
      </c>
      <c r="CG3352" s="5" t="s">
        <v>304</v>
      </c>
      <c r="CH3352" s="5" t="s">
        <v>305</v>
      </c>
      <c r="CI3352" s="5" t="s">
        <v>240</v>
      </c>
      <c r="CK3352" s="5" t="s">
        <v>3681</v>
      </c>
      <c r="CL3352" s="6" t="s">
        <v>261</v>
      </c>
      <c r="CM3352" s="5" t="s">
        <v>262</v>
      </c>
      <c r="CN3352" s="5" t="s">
        <v>263</v>
      </c>
      <c r="CO3352" s="5" t="s">
        <v>264</v>
      </c>
      <c r="CP3352" s="5" t="s">
        <v>240</v>
      </c>
      <c r="CQ3352" s="5">
        <v>0</v>
      </c>
      <c r="CR3352" s="5" t="s">
        <v>735</v>
      </c>
      <c r="CS3352" s="5" t="s">
        <v>307</v>
      </c>
      <c r="CT3352" s="5" t="s">
        <v>307</v>
      </c>
      <c r="CU3352" s="5" t="s">
        <v>260</v>
      </c>
      <c r="CV3352" s="5" t="s">
        <v>612</v>
      </c>
      <c r="CW3352" s="8">
        <f>1</f>
        <v>1</v>
      </c>
      <c r="CX3352" s="7">
        <f>1</f>
        <v>1</v>
      </c>
      <c r="CY3352" s="7">
        <f>0</f>
        <v>0</v>
      </c>
      <c r="DA3352" s="7">
        <f>1</f>
        <v>1</v>
      </c>
      <c r="DB3352" s="7" t="s">
        <v>240</v>
      </c>
      <c r="DC3352" s="5" t="s">
        <v>240</v>
      </c>
      <c r="DD3352" s="5" t="s">
        <v>240</v>
      </c>
      <c r="DE3352" s="5" t="s">
        <v>240</v>
      </c>
      <c r="DF3352" s="5" t="s">
        <v>240</v>
      </c>
      <c r="DG3352" s="7">
        <f>0</f>
        <v>0</v>
      </c>
      <c r="DI3352" s="5" t="s">
        <v>240</v>
      </c>
      <c r="DJ3352" s="5" t="s">
        <v>240</v>
      </c>
      <c r="DK3352" s="5" t="s">
        <v>240</v>
      </c>
      <c r="DL3352" s="5" t="s">
        <v>240</v>
      </c>
      <c r="DM3352" s="5" t="s">
        <v>240</v>
      </c>
      <c r="DN3352" s="5" t="s">
        <v>240</v>
      </c>
      <c r="DO3352" s="7" t="s">
        <v>240</v>
      </c>
      <c r="DP3352" s="5" t="s">
        <v>240</v>
      </c>
      <c r="DQ3352" s="5" t="s">
        <v>240</v>
      </c>
      <c r="DR3352" s="5" t="s">
        <v>731</v>
      </c>
      <c r="DS3352" s="5" t="s">
        <v>731</v>
      </c>
      <c r="DT3352" s="5" t="s">
        <v>240</v>
      </c>
      <c r="DU3352" s="5" t="s">
        <v>240</v>
      </c>
      <c r="DV3352" s="5" t="s">
        <v>5063</v>
      </c>
      <c r="DW3352" s="5" t="s">
        <v>825</v>
      </c>
      <c r="DX3352" s="5" t="s">
        <v>240</v>
      </c>
      <c r="DY3352" s="5" t="s">
        <v>240</v>
      </c>
      <c r="DZ3352" s="5" t="s">
        <v>240</v>
      </c>
      <c r="EA3352" s="5" t="s">
        <v>240</v>
      </c>
      <c r="EB3352" s="5" t="s">
        <v>240</v>
      </c>
      <c r="EC3352" s="5" t="s">
        <v>240</v>
      </c>
      <c r="ED3352" s="5" t="s">
        <v>240</v>
      </c>
      <c r="EE3352" s="5" t="s">
        <v>240</v>
      </c>
      <c r="EF3352" s="5" t="s">
        <v>240</v>
      </c>
      <c r="EG3352" s="5" t="s">
        <v>240</v>
      </c>
      <c r="EH3352" s="5" t="s">
        <v>240</v>
      </c>
      <c r="EI3352" s="5" t="s">
        <v>240</v>
      </c>
      <c r="EJ3352" s="5" t="s">
        <v>240</v>
      </c>
      <c r="EK3352" s="5" t="s">
        <v>240</v>
      </c>
      <c r="EL3352" s="5" t="s">
        <v>240</v>
      </c>
      <c r="EM3352" s="5" t="s">
        <v>240</v>
      </c>
      <c r="EN3352" s="5" t="s">
        <v>240</v>
      </c>
      <c r="EO3352" s="5" t="s">
        <v>240</v>
      </c>
      <c r="EP3352" s="5" t="s">
        <v>240</v>
      </c>
      <c r="EQ3352" s="5" t="s">
        <v>240</v>
      </c>
      <c r="ER3352" s="5" t="s">
        <v>240</v>
      </c>
      <c r="ES3352" s="5" t="s">
        <v>240</v>
      </c>
      <c r="ET3352" s="5" t="s">
        <v>240</v>
      </c>
      <c r="EU3352" s="5" t="s">
        <v>240</v>
      </c>
      <c r="EV3352" s="5" t="s">
        <v>240</v>
      </c>
      <c r="EW3352" s="5" t="s">
        <v>240</v>
      </c>
      <c r="EX3352" s="5" t="s">
        <v>240</v>
      </c>
      <c r="EY3352" s="5" t="s">
        <v>240</v>
      </c>
      <c r="EZ3352" s="5" t="s">
        <v>240</v>
      </c>
      <c r="FA3352" s="5" t="s">
        <v>240</v>
      </c>
      <c r="FB3352" s="5" t="s">
        <v>240</v>
      </c>
      <c r="FC3352" s="5" t="s">
        <v>240</v>
      </c>
      <c r="FD3352" s="5" t="s">
        <v>240</v>
      </c>
      <c r="FE3352" s="5" t="s">
        <v>240</v>
      </c>
      <c r="FF3352" s="5" t="s">
        <v>240</v>
      </c>
      <c r="FG3352" s="5" t="s">
        <v>240</v>
      </c>
      <c r="FH3352" s="5" t="s">
        <v>240</v>
      </c>
      <c r="FI3352" s="5" t="s">
        <v>240</v>
      </c>
      <c r="FJ3352" s="5" t="s">
        <v>240</v>
      </c>
      <c r="FK3352" s="5" t="s">
        <v>240</v>
      </c>
      <c r="FL3352" s="5" t="s">
        <v>240</v>
      </c>
      <c r="FM3352" s="5" t="s">
        <v>240</v>
      </c>
      <c r="FN3352" s="5" t="s">
        <v>240</v>
      </c>
      <c r="FO3352" s="5" t="s">
        <v>240</v>
      </c>
      <c r="FP3352" s="5" t="s">
        <v>240</v>
      </c>
      <c r="FQ3352" s="5" t="s">
        <v>240</v>
      </c>
      <c r="FR3352" s="5" t="s">
        <v>240</v>
      </c>
      <c r="FS3352" s="5" t="s">
        <v>240</v>
      </c>
      <c r="FT3352" s="5" t="s">
        <v>240</v>
      </c>
      <c r="FU3352" s="5" t="s">
        <v>240</v>
      </c>
      <c r="FV3352" s="5" t="s">
        <v>240</v>
      </c>
      <c r="FW3352" s="5" t="s">
        <v>240</v>
      </c>
      <c r="FX3352" s="5" t="s">
        <v>240</v>
      </c>
      <c r="FY3352" s="5" t="s">
        <v>240</v>
      </c>
      <c r="FZ3352" s="5" t="s">
        <v>240</v>
      </c>
      <c r="GA3352" s="5" t="s">
        <v>240</v>
      </c>
      <c r="GB3352" s="5" t="s">
        <v>240</v>
      </c>
      <c r="GC3352" s="5" t="s">
        <v>240</v>
      </c>
      <c r="GD3352" s="5" t="s">
        <v>240</v>
      </c>
      <c r="GE3352" s="5" t="s">
        <v>240</v>
      </c>
      <c r="GF3352" s="5" t="s">
        <v>240</v>
      </c>
      <c r="GG3352" s="5" t="s">
        <v>240</v>
      </c>
      <c r="GH3352" s="5" t="s">
        <v>240</v>
      </c>
      <c r="GI3352" s="5" t="s">
        <v>240</v>
      </c>
      <c r="GJ3352" s="5" t="s">
        <v>240</v>
      </c>
      <c r="GK3352" s="5" t="s">
        <v>240</v>
      </c>
      <c r="GL3352" s="5" t="s">
        <v>240</v>
      </c>
      <c r="GM3352" s="5" t="s">
        <v>240</v>
      </c>
      <c r="GN3352" s="5" t="s">
        <v>240</v>
      </c>
      <c r="GO3352" s="5" t="s">
        <v>240</v>
      </c>
      <c r="GP3352" s="5" t="s">
        <v>240</v>
      </c>
      <c r="GQ3352" s="5" t="s">
        <v>240</v>
      </c>
      <c r="GR3352" s="5" t="s">
        <v>240</v>
      </c>
      <c r="GS3352" s="5" t="s">
        <v>240</v>
      </c>
      <c r="GT3352" s="5" t="s">
        <v>240</v>
      </c>
      <c r="GU3352" s="5" t="s">
        <v>240</v>
      </c>
      <c r="GV3352" s="5" t="s">
        <v>240</v>
      </c>
      <c r="GW3352" s="5" t="s">
        <v>240</v>
      </c>
      <c r="GX3352" s="5" t="s">
        <v>240</v>
      </c>
      <c r="GY3352" s="5" t="s">
        <v>240</v>
      </c>
      <c r="GZ3352" s="5" t="s">
        <v>240</v>
      </c>
      <c r="HA3352" s="5" t="s">
        <v>240</v>
      </c>
      <c r="HB3352" s="5" t="s">
        <v>240</v>
      </c>
      <c r="HC3352" s="5" t="s">
        <v>240</v>
      </c>
      <c r="HD3352" s="5" t="s">
        <v>240</v>
      </c>
      <c r="HE3352" s="5" t="s">
        <v>240</v>
      </c>
      <c r="HF3352" s="5" t="s">
        <v>240</v>
      </c>
      <c r="HG3352" s="5" t="s">
        <v>240</v>
      </c>
      <c r="HH3352" s="5" t="s">
        <v>240</v>
      </c>
      <c r="HI3352" s="5" t="s">
        <v>240</v>
      </c>
      <c r="HJ3352" s="5" t="s">
        <v>240</v>
      </c>
      <c r="HK3352" s="5" t="s">
        <v>240</v>
      </c>
      <c r="HL3352" s="5" t="s">
        <v>240</v>
      </c>
      <c r="HM3352" s="5" t="s">
        <v>240</v>
      </c>
      <c r="HN3352" s="5" t="s">
        <v>240</v>
      </c>
      <c r="HO3352" s="5" t="s">
        <v>312</v>
      </c>
      <c r="HP3352" s="5" t="s">
        <v>240</v>
      </c>
      <c r="HQ3352" s="5" t="s">
        <v>240</v>
      </c>
      <c r="HR3352" s="5" t="s">
        <v>240</v>
      </c>
      <c r="HS3352" s="5" t="s">
        <v>240</v>
      </c>
      <c r="HT3352" s="5" t="s">
        <v>240</v>
      </c>
      <c r="HU3352" s="5" t="s">
        <v>240</v>
      </c>
      <c r="HV3352" s="5" t="s">
        <v>240</v>
      </c>
      <c r="HW3352" s="5" t="s">
        <v>240</v>
      </c>
      <c r="HX3352" s="5" t="s">
        <v>240</v>
      </c>
      <c r="HY3352" s="5" t="s">
        <v>240</v>
      </c>
      <c r="HZ3352" s="5" t="s">
        <v>240</v>
      </c>
      <c r="IA3352" s="5" t="s">
        <v>240</v>
      </c>
      <c r="IB3352" s="5" t="s">
        <v>240</v>
      </c>
      <c r="IC3352" s="5" t="s">
        <v>240</v>
      </c>
      <c r="ID3352" s="5" t="s">
        <v>240</v>
      </c>
      <c r="IE3352" s="5" t="s">
        <v>240</v>
      </c>
      <c r="IF3352" s="5" t="s">
        <v>240</v>
      </c>
    </row>
    <row r="3353" spans="1:240" x14ac:dyDescent="0.4">
      <c r="A3353" s="5">
        <v>8895</v>
      </c>
      <c r="B3353" s="5">
        <v>1</v>
      </c>
      <c r="C3353" s="5">
        <v>1</v>
      </c>
      <c r="D3353" s="5" t="s">
        <v>723</v>
      </c>
      <c r="E3353" s="5" t="s">
        <v>725</v>
      </c>
      <c r="F3353" s="5" t="s">
        <v>730</v>
      </c>
      <c r="G3353" s="5" t="s">
        <v>726</v>
      </c>
      <c r="H3353" s="6" t="s">
        <v>6697</v>
      </c>
      <c r="I3353" s="5" t="s">
        <v>990</v>
      </c>
      <c r="J3353" s="8">
        <f>1614</f>
        <v>1614</v>
      </c>
      <c r="K3353" s="5" t="s">
        <v>308</v>
      </c>
      <c r="L3353" s="7">
        <f>0</f>
        <v>0</v>
      </c>
      <c r="M3353" s="7">
        <f>0</f>
        <v>0</v>
      </c>
      <c r="N3353" s="5" t="s">
        <v>242</v>
      </c>
      <c r="O3353" s="5">
        <v>1</v>
      </c>
      <c r="P3353" s="5" t="s">
        <v>294</v>
      </c>
      <c r="Q3353" s="5" t="s">
        <v>3678</v>
      </c>
      <c r="R3353" s="5" t="s">
        <v>240</v>
      </c>
      <c r="S3353" s="5" t="s">
        <v>240</v>
      </c>
      <c r="T3353" s="5" t="s">
        <v>243</v>
      </c>
      <c r="U3353" s="5" t="s">
        <v>244</v>
      </c>
      <c r="V3353" s="5" t="s">
        <v>240</v>
      </c>
      <c r="W3353" s="5" t="s">
        <v>240</v>
      </c>
      <c r="X3353" s="5" t="s">
        <v>240</v>
      </c>
      <c r="Y3353" s="5" t="s">
        <v>240</v>
      </c>
      <c r="Z3353" s="6" t="s">
        <v>298</v>
      </c>
      <c r="AA3353" s="6" t="s">
        <v>240</v>
      </c>
      <c r="AB3353" s="6" t="s">
        <v>240</v>
      </c>
      <c r="AC3353" s="5" t="s">
        <v>240</v>
      </c>
      <c r="AD3353" s="6" t="s">
        <v>240</v>
      </c>
      <c r="AE3353" s="6" t="s">
        <v>299</v>
      </c>
      <c r="AF3353" s="5" t="s">
        <v>248</v>
      </c>
      <c r="AG3353" s="5" t="s">
        <v>249</v>
      </c>
      <c r="AH3353" s="5" t="s">
        <v>240</v>
      </c>
      <c r="AI3353" s="5" t="s">
        <v>240</v>
      </c>
      <c r="AJ3353" s="5" t="s">
        <v>240</v>
      </c>
      <c r="AK3353" s="5" t="s">
        <v>240</v>
      </c>
      <c r="AL3353" s="5" t="s">
        <v>240</v>
      </c>
      <c r="AM3353" s="5" t="s">
        <v>240</v>
      </c>
      <c r="AN3353" s="5" t="s">
        <v>240</v>
      </c>
      <c r="AO3353" s="5" t="s">
        <v>240</v>
      </c>
      <c r="AP3353" s="6" t="s">
        <v>240</v>
      </c>
      <c r="AQ3353" s="6" t="s">
        <v>240</v>
      </c>
      <c r="AR3353" s="6" t="s">
        <v>240</v>
      </c>
      <c r="AS3353" s="6" t="s">
        <v>240</v>
      </c>
      <c r="AT3353" s="5" t="s">
        <v>240</v>
      </c>
      <c r="AU3353" s="5" t="s">
        <v>729</v>
      </c>
      <c r="AV3353" s="5" t="s">
        <v>729</v>
      </c>
      <c r="AW3353" s="5" t="s">
        <v>251</v>
      </c>
      <c r="AX3353" s="5" t="s">
        <v>252</v>
      </c>
      <c r="AY3353" s="5" t="s">
        <v>253</v>
      </c>
      <c r="AZ3353" s="5" t="s">
        <v>240</v>
      </c>
      <c r="BA3353" s="5" t="s">
        <v>255</v>
      </c>
      <c r="BB3353" s="5" t="s">
        <v>731</v>
      </c>
      <c r="BD3353" s="5" t="s">
        <v>240</v>
      </c>
      <c r="BF3353" s="5" t="s">
        <v>732</v>
      </c>
      <c r="BG3353" s="6" t="s">
        <v>733</v>
      </c>
      <c r="BH3353" s="5" t="s">
        <v>734</v>
      </c>
      <c r="BI3353" s="5" t="s">
        <v>734</v>
      </c>
      <c r="BJ3353" s="5" t="s">
        <v>240</v>
      </c>
      <c r="BK3353" s="7">
        <f>1</f>
        <v>1</v>
      </c>
      <c r="BL3353" s="7">
        <f>1</f>
        <v>1</v>
      </c>
      <c r="BM3353" s="5" t="s">
        <v>258</v>
      </c>
      <c r="BN3353" s="5" t="s">
        <v>259</v>
      </c>
      <c r="BO3353" s="5" t="s">
        <v>240</v>
      </c>
      <c r="BP3353" s="5" t="s">
        <v>240</v>
      </c>
      <c r="BQ3353" s="5" t="s">
        <v>240</v>
      </c>
      <c r="BR3353" s="5" t="s">
        <v>240</v>
      </c>
      <c r="BS3353" s="5" t="s">
        <v>240</v>
      </c>
      <c r="BT3353" s="5" t="s">
        <v>240</v>
      </c>
      <c r="BU3353" s="5" t="s">
        <v>240</v>
      </c>
      <c r="BV3353" s="5" t="s">
        <v>240</v>
      </c>
      <c r="BW3353" s="6" t="s">
        <v>240</v>
      </c>
      <c r="BX3353" s="5" t="s">
        <v>240</v>
      </c>
      <c r="BY3353" s="5" t="s">
        <v>240</v>
      </c>
      <c r="BZ3353" s="5" t="s">
        <v>240</v>
      </c>
      <c r="CA3353" s="5" t="s">
        <v>259</v>
      </c>
      <c r="CB3353" s="5" t="s">
        <v>240</v>
      </c>
      <c r="CC3353" s="5" t="s">
        <v>240</v>
      </c>
      <c r="CD3353" s="5" t="s">
        <v>240</v>
      </c>
      <c r="CE3353" s="5" t="s">
        <v>240</v>
      </c>
      <c r="CF3353" s="5" t="s">
        <v>240</v>
      </c>
      <c r="CG3353" s="5" t="s">
        <v>304</v>
      </c>
      <c r="CH3353" s="5" t="s">
        <v>305</v>
      </c>
      <c r="CI3353" s="5" t="s">
        <v>240</v>
      </c>
      <c r="CK3353" s="5" t="s">
        <v>3681</v>
      </c>
      <c r="CL3353" s="6" t="s">
        <v>261</v>
      </c>
      <c r="CM3353" s="5" t="s">
        <v>262</v>
      </c>
      <c r="CN3353" s="5" t="s">
        <v>263</v>
      </c>
      <c r="CO3353" s="5" t="s">
        <v>264</v>
      </c>
      <c r="CP3353" s="5" t="s">
        <v>240</v>
      </c>
      <c r="CQ3353" s="5">
        <v>0</v>
      </c>
      <c r="CR3353" s="5" t="s">
        <v>735</v>
      </c>
      <c r="CS3353" s="5" t="s">
        <v>307</v>
      </c>
      <c r="CT3353" s="5" t="s">
        <v>307</v>
      </c>
      <c r="CU3353" s="5" t="s">
        <v>260</v>
      </c>
      <c r="CV3353" s="5" t="s">
        <v>612</v>
      </c>
      <c r="CW3353" s="8">
        <f>1</f>
        <v>1</v>
      </c>
      <c r="CX3353" s="7">
        <f>1</f>
        <v>1</v>
      </c>
      <c r="CY3353" s="7">
        <f>0</f>
        <v>0</v>
      </c>
      <c r="DA3353" s="7">
        <f>1</f>
        <v>1</v>
      </c>
      <c r="DB3353" s="7" t="s">
        <v>240</v>
      </c>
      <c r="DC3353" s="5" t="s">
        <v>240</v>
      </c>
      <c r="DD3353" s="5" t="s">
        <v>240</v>
      </c>
      <c r="DE3353" s="5" t="s">
        <v>240</v>
      </c>
      <c r="DF3353" s="5" t="s">
        <v>240</v>
      </c>
      <c r="DG3353" s="7">
        <f>0</f>
        <v>0</v>
      </c>
      <c r="DI3353" s="5" t="s">
        <v>240</v>
      </c>
      <c r="DJ3353" s="5" t="s">
        <v>240</v>
      </c>
      <c r="DK3353" s="5" t="s">
        <v>240</v>
      </c>
      <c r="DL3353" s="5" t="s">
        <v>240</v>
      </c>
      <c r="DM3353" s="5" t="s">
        <v>240</v>
      </c>
      <c r="DN3353" s="5" t="s">
        <v>240</v>
      </c>
      <c r="DO3353" s="7" t="s">
        <v>240</v>
      </c>
      <c r="DP3353" s="5" t="s">
        <v>240</v>
      </c>
      <c r="DQ3353" s="5" t="s">
        <v>240</v>
      </c>
      <c r="DR3353" s="5" t="s">
        <v>731</v>
      </c>
      <c r="DS3353" s="5" t="s">
        <v>731</v>
      </c>
      <c r="DT3353" s="5" t="s">
        <v>240</v>
      </c>
      <c r="DU3353" s="5" t="s">
        <v>240</v>
      </c>
      <c r="DV3353" s="5" t="s">
        <v>5063</v>
      </c>
      <c r="DW3353" s="5" t="s">
        <v>1190</v>
      </c>
      <c r="DX3353" s="5" t="s">
        <v>240</v>
      </c>
      <c r="DY3353" s="5" t="s">
        <v>240</v>
      </c>
      <c r="DZ3353" s="5" t="s">
        <v>240</v>
      </c>
      <c r="EA3353" s="5" t="s">
        <v>240</v>
      </c>
      <c r="EB3353" s="5" t="s">
        <v>240</v>
      </c>
      <c r="EC3353" s="5" t="s">
        <v>240</v>
      </c>
      <c r="ED3353" s="5" t="s">
        <v>240</v>
      </c>
      <c r="EE3353" s="5" t="s">
        <v>240</v>
      </c>
      <c r="EF3353" s="5" t="s">
        <v>240</v>
      </c>
      <c r="EG3353" s="5" t="s">
        <v>240</v>
      </c>
      <c r="EH3353" s="5" t="s">
        <v>240</v>
      </c>
      <c r="EI3353" s="5" t="s">
        <v>240</v>
      </c>
      <c r="EJ3353" s="5" t="s">
        <v>240</v>
      </c>
      <c r="EK3353" s="5" t="s">
        <v>240</v>
      </c>
      <c r="EL3353" s="5" t="s">
        <v>240</v>
      </c>
      <c r="EM3353" s="5" t="s">
        <v>240</v>
      </c>
      <c r="EN3353" s="5" t="s">
        <v>240</v>
      </c>
      <c r="EO3353" s="5" t="s">
        <v>240</v>
      </c>
      <c r="EP3353" s="5" t="s">
        <v>240</v>
      </c>
      <c r="EQ3353" s="5" t="s">
        <v>240</v>
      </c>
      <c r="ER3353" s="5" t="s">
        <v>240</v>
      </c>
      <c r="ES3353" s="5" t="s">
        <v>240</v>
      </c>
      <c r="ET3353" s="5" t="s">
        <v>240</v>
      </c>
      <c r="EU3353" s="5" t="s">
        <v>240</v>
      </c>
      <c r="EV3353" s="5" t="s">
        <v>240</v>
      </c>
      <c r="EW3353" s="5" t="s">
        <v>240</v>
      </c>
      <c r="EX3353" s="5" t="s">
        <v>240</v>
      </c>
      <c r="EY3353" s="5" t="s">
        <v>240</v>
      </c>
      <c r="EZ3353" s="5" t="s">
        <v>240</v>
      </c>
      <c r="FA3353" s="5" t="s">
        <v>240</v>
      </c>
      <c r="FB3353" s="5" t="s">
        <v>240</v>
      </c>
      <c r="FC3353" s="5" t="s">
        <v>240</v>
      </c>
      <c r="FD3353" s="5" t="s">
        <v>240</v>
      </c>
      <c r="FE3353" s="5" t="s">
        <v>240</v>
      </c>
      <c r="FF3353" s="5" t="s">
        <v>240</v>
      </c>
      <c r="FG3353" s="5" t="s">
        <v>240</v>
      </c>
      <c r="FH3353" s="5" t="s">
        <v>240</v>
      </c>
      <c r="FI3353" s="5" t="s">
        <v>240</v>
      </c>
      <c r="FJ3353" s="5" t="s">
        <v>240</v>
      </c>
      <c r="FK3353" s="5" t="s">
        <v>240</v>
      </c>
      <c r="FL3353" s="5" t="s">
        <v>240</v>
      </c>
      <c r="FM3353" s="5" t="s">
        <v>240</v>
      </c>
      <c r="FN3353" s="5" t="s">
        <v>240</v>
      </c>
      <c r="FO3353" s="5" t="s">
        <v>240</v>
      </c>
      <c r="FP3353" s="5" t="s">
        <v>240</v>
      </c>
      <c r="FQ3353" s="5" t="s">
        <v>240</v>
      </c>
      <c r="FR3353" s="5" t="s">
        <v>240</v>
      </c>
      <c r="FS3353" s="5" t="s">
        <v>240</v>
      </c>
      <c r="FT3353" s="5" t="s">
        <v>240</v>
      </c>
      <c r="FU3353" s="5" t="s">
        <v>240</v>
      </c>
      <c r="FV3353" s="5" t="s">
        <v>240</v>
      </c>
      <c r="FW3353" s="5" t="s">
        <v>240</v>
      </c>
      <c r="FX3353" s="5" t="s">
        <v>240</v>
      </c>
      <c r="FY3353" s="5" t="s">
        <v>240</v>
      </c>
      <c r="FZ3353" s="5" t="s">
        <v>240</v>
      </c>
      <c r="GA3353" s="5" t="s">
        <v>240</v>
      </c>
      <c r="GB3353" s="5" t="s">
        <v>240</v>
      </c>
      <c r="GC3353" s="5" t="s">
        <v>240</v>
      </c>
      <c r="GD3353" s="5" t="s">
        <v>240</v>
      </c>
      <c r="GE3353" s="5" t="s">
        <v>240</v>
      </c>
      <c r="GF3353" s="5" t="s">
        <v>240</v>
      </c>
      <c r="GG3353" s="5" t="s">
        <v>240</v>
      </c>
      <c r="GH3353" s="5" t="s">
        <v>240</v>
      </c>
      <c r="GI3353" s="5" t="s">
        <v>240</v>
      </c>
      <c r="GJ3353" s="5" t="s">
        <v>240</v>
      </c>
      <c r="GK3353" s="5" t="s">
        <v>240</v>
      </c>
      <c r="GL3353" s="5" t="s">
        <v>240</v>
      </c>
      <c r="GM3353" s="5" t="s">
        <v>240</v>
      </c>
      <c r="GN3353" s="5" t="s">
        <v>240</v>
      </c>
      <c r="GO3353" s="5" t="s">
        <v>240</v>
      </c>
      <c r="GP3353" s="5" t="s">
        <v>240</v>
      </c>
      <c r="GQ3353" s="5" t="s">
        <v>240</v>
      </c>
      <c r="GR3353" s="5" t="s">
        <v>240</v>
      </c>
      <c r="GS3353" s="5" t="s">
        <v>240</v>
      </c>
      <c r="GT3353" s="5" t="s">
        <v>240</v>
      </c>
      <c r="GU3353" s="5" t="s">
        <v>240</v>
      </c>
      <c r="GV3353" s="5" t="s">
        <v>240</v>
      </c>
      <c r="GW3353" s="5" t="s">
        <v>240</v>
      </c>
      <c r="GX3353" s="5" t="s">
        <v>240</v>
      </c>
      <c r="GY3353" s="5" t="s">
        <v>240</v>
      </c>
      <c r="GZ3353" s="5" t="s">
        <v>240</v>
      </c>
      <c r="HA3353" s="5" t="s">
        <v>240</v>
      </c>
      <c r="HB3353" s="5" t="s">
        <v>240</v>
      </c>
      <c r="HC3353" s="5" t="s">
        <v>240</v>
      </c>
      <c r="HD3353" s="5" t="s">
        <v>240</v>
      </c>
      <c r="HE3353" s="5" t="s">
        <v>240</v>
      </c>
      <c r="HF3353" s="5" t="s">
        <v>240</v>
      </c>
      <c r="HG3353" s="5" t="s">
        <v>240</v>
      </c>
      <c r="HH3353" s="5" t="s">
        <v>240</v>
      </c>
      <c r="HI3353" s="5" t="s">
        <v>240</v>
      </c>
      <c r="HJ3353" s="5" t="s">
        <v>240</v>
      </c>
      <c r="HK3353" s="5" t="s">
        <v>240</v>
      </c>
      <c r="HL3353" s="5" t="s">
        <v>240</v>
      </c>
      <c r="HM3353" s="5" t="s">
        <v>240</v>
      </c>
      <c r="HN3353" s="5" t="s">
        <v>240</v>
      </c>
      <c r="HO3353" s="5" t="s">
        <v>312</v>
      </c>
      <c r="HP3353" s="5" t="s">
        <v>240</v>
      </c>
      <c r="HQ3353" s="5" t="s">
        <v>240</v>
      </c>
      <c r="HR3353" s="5" t="s">
        <v>240</v>
      </c>
      <c r="HS3353" s="5" t="s">
        <v>240</v>
      </c>
      <c r="HT3353" s="5" t="s">
        <v>240</v>
      </c>
      <c r="HU3353" s="5" t="s">
        <v>240</v>
      </c>
      <c r="HV3353" s="5" t="s">
        <v>240</v>
      </c>
      <c r="HW3353" s="5" t="s">
        <v>240</v>
      </c>
      <c r="HX3353" s="5" t="s">
        <v>240</v>
      </c>
      <c r="HY3353" s="5" t="s">
        <v>240</v>
      </c>
      <c r="HZ3353" s="5" t="s">
        <v>240</v>
      </c>
      <c r="IA3353" s="5" t="s">
        <v>240</v>
      </c>
      <c r="IB3353" s="5" t="s">
        <v>240</v>
      </c>
      <c r="IC3353" s="5" t="s">
        <v>240</v>
      </c>
      <c r="ID3353" s="5" t="s">
        <v>240</v>
      </c>
      <c r="IE3353" s="5" t="s">
        <v>240</v>
      </c>
      <c r="IF3353" s="5" t="s">
        <v>240</v>
      </c>
    </row>
    <row r="3354" spans="1:240" x14ac:dyDescent="0.4">
      <c r="A3354" s="5">
        <v>8896</v>
      </c>
      <c r="B3354" s="5">
        <v>1</v>
      </c>
      <c r="C3354" s="5">
        <v>1</v>
      </c>
      <c r="D3354" s="5" t="s">
        <v>723</v>
      </c>
      <c r="E3354" s="5" t="s">
        <v>725</v>
      </c>
      <c r="F3354" s="5" t="s">
        <v>730</v>
      </c>
      <c r="G3354" s="5" t="s">
        <v>726</v>
      </c>
      <c r="H3354" s="6" t="s">
        <v>6650</v>
      </c>
      <c r="I3354" s="5" t="s">
        <v>990</v>
      </c>
      <c r="J3354" s="8">
        <f>305</f>
        <v>305</v>
      </c>
      <c r="K3354" s="5" t="s">
        <v>308</v>
      </c>
      <c r="L3354" s="7">
        <f>0</f>
        <v>0</v>
      </c>
      <c r="M3354" s="7">
        <f>0</f>
        <v>0</v>
      </c>
      <c r="N3354" s="5" t="s">
        <v>242</v>
      </c>
      <c r="O3354" s="5">
        <v>1</v>
      </c>
      <c r="P3354" s="5" t="s">
        <v>294</v>
      </c>
      <c r="Q3354" s="5" t="s">
        <v>3678</v>
      </c>
      <c r="R3354" s="5" t="s">
        <v>240</v>
      </c>
      <c r="S3354" s="5" t="s">
        <v>240</v>
      </c>
      <c r="T3354" s="5" t="s">
        <v>243</v>
      </c>
      <c r="U3354" s="5" t="s">
        <v>244</v>
      </c>
      <c r="V3354" s="5" t="s">
        <v>240</v>
      </c>
      <c r="W3354" s="5" t="s">
        <v>240</v>
      </c>
      <c r="X3354" s="5" t="s">
        <v>240</v>
      </c>
      <c r="Y3354" s="5" t="s">
        <v>240</v>
      </c>
      <c r="Z3354" s="6" t="s">
        <v>298</v>
      </c>
      <c r="AA3354" s="6" t="s">
        <v>240</v>
      </c>
      <c r="AB3354" s="6" t="s">
        <v>240</v>
      </c>
      <c r="AC3354" s="5" t="s">
        <v>240</v>
      </c>
      <c r="AD3354" s="6" t="s">
        <v>240</v>
      </c>
      <c r="AE3354" s="6" t="s">
        <v>299</v>
      </c>
      <c r="AF3354" s="5" t="s">
        <v>248</v>
      </c>
      <c r="AG3354" s="5" t="s">
        <v>249</v>
      </c>
      <c r="AH3354" s="5" t="s">
        <v>240</v>
      </c>
      <c r="AI3354" s="5" t="s">
        <v>240</v>
      </c>
      <c r="AJ3354" s="5" t="s">
        <v>240</v>
      </c>
      <c r="AK3354" s="5" t="s">
        <v>240</v>
      </c>
      <c r="AL3354" s="5" t="s">
        <v>240</v>
      </c>
      <c r="AM3354" s="5" t="s">
        <v>240</v>
      </c>
      <c r="AN3354" s="5" t="s">
        <v>240</v>
      </c>
      <c r="AO3354" s="5" t="s">
        <v>240</v>
      </c>
      <c r="AP3354" s="6" t="s">
        <v>240</v>
      </c>
      <c r="AQ3354" s="6" t="s">
        <v>240</v>
      </c>
      <c r="AR3354" s="6" t="s">
        <v>240</v>
      </c>
      <c r="AS3354" s="6" t="s">
        <v>240</v>
      </c>
      <c r="AT3354" s="5" t="s">
        <v>240</v>
      </c>
      <c r="AU3354" s="5" t="s">
        <v>729</v>
      </c>
      <c r="AV3354" s="5" t="s">
        <v>729</v>
      </c>
      <c r="AW3354" s="5" t="s">
        <v>251</v>
      </c>
      <c r="AX3354" s="5" t="s">
        <v>252</v>
      </c>
      <c r="AY3354" s="5" t="s">
        <v>253</v>
      </c>
      <c r="AZ3354" s="5" t="s">
        <v>240</v>
      </c>
      <c r="BA3354" s="5" t="s">
        <v>255</v>
      </c>
      <c r="BB3354" s="5" t="s">
        <v>731</v>
      </c>
      <c r="BD3354" s="5" t="s">
        <v>240</v>
      </c>
      <c r="BF3354" s="5" t="s">
        <v>732</v>
      </c>
      <c r="BG3354" s="6" t="s">
        <v>733</v>
      </c>
      <c r="BH3354" s="5" t="s">
        <v>734</v>
      </c>
      <c r="BI3354" s="5" t="s">
        <v>734</v>
      </c>
      <c r="BJ3354" s="5" t="s">
        <v>240</v>
      </c>
      <c r="BK3354" s="7">
        <f>1</f>
        <v>1</v>
      </c>
      <c r="BL3354" s="7">
        <f>1</f>
        <v>1</v>
      </c>
      <c r="BM3354" s="5" t="s">
        <v>258</v>
      </c>
      <c r="BN3354" s="5" t="s">
        <v>259</v>
      </c>
      <c r="BO3354" s="5" t="s">
        <v>240</v>
      </c>
      <c r="BP3354" s="5" t="s">
        <v>240</v>
      </c>
      <c r="BQ3354" s="5" t="s">
        <v>240</v>
      </c>
      <c r="BR3354" s="5" t="s">
        <v>240</v>
      </c>
      <c r="BS3354" s="5" t="s">
        <v>240</v>
      </c>
      <c r="BT3354" s="5" t="s">
        <v>240</v>
      </c>
      <c r="BU3354" s="5" t="s">
        <v>240</v>
      </c>
      <c r="BV3354" s="5" t="s">
        <v>240</v>
      </c>
      <c r="BW3354" s="6" t="s">
        <v>240</v>
      </c>
      <c r="BX3354" s="5" t="s">
        <v>240</v>
      </c>
      <c r="BY3354" s="5" t="s">
        <v>240</v>
      </c>
      <c r="BZ3354" s="5" t="s">
        <v>240</v>
      </c>
      <c r="CA3354" s="5" t="s">
        <v>259</v>
      </c>
      <c r="CB3354" s="5" t="s">
        <v>240</v>
      </c>
      <c r="CC3354" s="5" t="s">
        <v>240</v>
      </c>
      <c r="CD3354" s="5" t="s">
        <v>240</v>
      </c>
      <c r="CE3354" s="5" t="s">
        <v>240</v>
      </c>
      <c r="CF3354" s="5" t="s">
        <v>240</v>
      </c>
      <c r="CG3354" s="5" t="s">
        <v>304</v>
      </c>
      <c r="CH3354" s="5" t="s">
        <v>305</v>
      </c>
      <c r="CI3354" s="5" t="s">
        <v>240</v>
      </c>
      <c r="CK3354" s="5" t="s">
        <v>3681</v>
      </c>
      <c r="CL3354" s="6" t="s">
        <v>261</v>
      </c>
      <c r="CM3354" s="5" t="s">
        <v>262</v>
      </c>
      <c r="CN3354" s="5" t="s">
        <v>263</v>
      </c>
      <c r="CO3354" s="5" t="s">
        <v>264</v>
      </c>
      <c r="CP3354" s="5" t="s">
        <v>240</v>
      </c>
      <c r="CQ3354" s="5">
        <v>0</v>
      </c>
      <c r="CR3354" s="5" t="s">
        <v>735</v>
      </c>
      <c r="CS3354" s="5" t="s">
        <v>307</v>
      </c>
      <c r="CT3354" s="5" t="s">
        <v>307</v>
      </c>
      <c r="CU3354" s="5" t="s">
        <v>260</v>
      </c>
      <c r="CV3354" s="5" t="s">
        <v>612</v>
      </c>
      <c r="CW3354" s="8">
        <f>1</f>
        <v>1</v>
      </c>
      <c r="CX3354" s="7">
        <f>1</f>
        <v>1</v>
      </c>
      <c r="CY3354" s="7">
        <f>0</f>
        <v>0</v>
      </c>
      <c r="DA3354" s="7">
        <f>1</f>
        <v>1</v>
      </c>
      <c r="DB3354" s="7" t="s">
        <v>240</v>
      </c>
      <c r="DC3354" s="5" t="s">
        <v>240</v>
      </c>
      <c r="DD3354" s="5" t="s">
        <v>240</v>
      </c>
      <c r="DE3354" s="5" t="s">
        <v>240</v>
      </c>
      <c r="DF3354" s="5" t="s">
        <v>240</v>
      </c>
      <c r="DG3354" s="7">
        <f>0</f>
        <v>0</v>
      </c>
      <c r="DI3354" s="5" t="s">
        <v>240</v>
      </c>
      <c r="DJ3354" s="5" t="s">
        <v>240</v>
      </c>
      <c r="DK3354" s="5" t="s">
        <v>240</v>
      </c>
      <c r="DL3354" s="5" t="s">
        <v>240</v>
      </c>
      <c r="DM3354" s="5" t="s">
        <v>240</v>
      </c>
      <c r="DN3354" s="5" t="s">
        <v>240</v>
      </c>
      <c r="DO3354" s="7" t="s">
        <v>240</v>
      </c>
      <c r="DP3354" s="5" t="s">
        <v>240</v>
      </c>
      <c r="DQ3354" s="5" t="s">
        <v>240</v>
      </c>
      <c r="DR3354" s="5" t="s">
        <v>731</v>
      </c>
      <c r="DS3354" s="5" t="s">
        <v>731</v>
      </c>
      <c r="DT3354" s="5" t="s">
        <v>240</v>
      </c>
      <c r="DU3354" s="5" t="s">
        <v>240</v>
      </c>
      <c r="DV3354" s="5" t="s">
        <v>5063</v>
      </c>
      <c r="DW3354" s="5" t="s">
        <v>1223</v>
      </c>
      <c r="DX3354" s="5" t="s">
        <v>240</v>
      </c>
      <c r="DY3354" s="5" t="s">
        <v>240</v>
      </c>
      <c r="DZ3354" s="5" t="s">
        <v>240</v>
      </c>
      <c r="EA3354" s="5" t="s">
        <v>240</v>
      </c>
      <c r="EB3354" s="5" t="s">
        <v>240</v>
      </c>
      <c r="EC3354" s="5" t="s">
        <v>240</v>
      </c>
      <c r="ED3354" s="5" t="s">
        <v>240</v>
      </c>
      <c r="EE3354" s="5" t="s">
        <v>240</v>
      </c>
      <c r="EF3354" s="5" t="s">
        <v>240</v>
      </c>
      <c r="EG3354" s="5" t="s">
        <v>240</v>
      </c>
      <c r="EH3354" s="5" t="s">
        <v>240</v>
      </c>
      <c r="EI3354" s="5" t="s">
        <v>240</v>
      </c>
      <c r="EJ3354" s="5" t="s">
        <v>240</v>
      </c>
      <c r="EK3354" s="5" t="s">
        <v>240</v>
      </c>
      <c r="EL3354" s="5" t="s">
        <v>240</v>
      </c>
      <c r="EM3354" s="5" t="s">
        <v>240</v>
      </c>
      <c r="EN3354" s="5" t="s">
        <v>240</v>
      </c>
      <c r="EO3354" s="5" t="s">
        <v>240</v>
      </c>
      <c r="EP3354" s="5" t="s">
        <v>240</v>
      </c>
      <c r="EQ3354" s="5" t="s">
        <v>240</v>
      </c>
      <c r="ER3354" s="5" t="s">
        <v>240</v>
      </c>
      <c r="ES3354" s="5" t="s">
        <v>240</v>
      </c>
      <c r="ET3354" s="5" t="s">
        <v>240</v>
      </c>
      <c r="EU3354" s="5" t="s">
        <v>240</v>
      </c>
      <c r="EV3354" s="5" t="s">
        <v>240</v>
      </c>
      <c r="EW3354" s="5" t="s">
        <v>240</v>
      </c>
      <c r="EX3354" s="5" t="s">
        <v>240</v>
      </c>
      <c r="EY3354" s="5" t="s">
        <v>240</v>
      </c>
      <c r="EZ3354" s="5" t="s">
        <v>240</v>
      </c>
      <c r="FA3354" s="5" t="s">
        <v>240</v>
      </c>
      <c r="FB3354" s="5" t="s">
        <v>240</v>
      </c>
      <c r="FC3354" s="5" t="s">
        <v>240</v>
      </c>
      <c r="FD3354" s="5" t="s">
        <v>240</v>
      </c>
      <c r="FE3354" s="5" t="s">
        <v>240</v>
      </c>
      <c r="FF3354" s="5" t="s">
        <v>240</v>
      </c>
      <c r="FG3354" s="5" t="s">
        <v>240</v>
      </c>
      <c r="FH3354" s="5" t="s">
        <v>240</v>
      </c>
      <c r="FI3354" s="5" t="s">
        <v>240</v>
      </c>
      <c r="FJ3354" s="5" t="s">
        <v>240</v>
      </c>
      <c r="FK3354" s="5" t="s">
        <v>240</v>
      </c>
      <c r="FL3354" s="5" t="s">
        <v>240</v>
      </c>
      <c r="FM3354" s="5" t="s">
        <v>240</v>
      </c>
      <c r="FN3354" s="5" t="s">
        <v>240</v>
      </c>
      <c r="FO3354" s="5" t="s">
        <v>240</v>
      </c>
      <c r="FP3354" s="5" t="s">
        <v>240</v>
      </c>
      <c r="FQ3354" s="5" t="s">
        <v>240</v>
      </c>
      <c r="FR3354" s="5" t="s">
        <v>240</v>
      </c>
      <c r="FS3354" s="5" t="s">
        <v>240</v>
      </c>
      <c r="FT3354" s="5" t="s">
        <v>240</v>
      </c>
      <c r="FU3354" s="5" t="s">
        <v>240</v>
      </c>
      <c r="FV3354" s="5" t="s">
        <v>240</v>
      </c>
      <c r="FW3354" s="5" t="s">
        <v>240</v>
      </c>
      <c r="FX3354" s="5" t="s">
        <v>240</v>
      </c>
      <c r="FY3354" s="5" t="s">
        <v>240</v>
      </c>
      <c r="FZ3354" s="5" t="s">
        <v>240</v>
      </c>
      <c r="GA3354" s="5" t="s">
        <v>240</v>
      </c>
      <c r="GB3354" s="5" t="s">
        <v>240</v>
      </c>
      <c r="GC3354" s="5" t="s">
        <v>240</v>
      </c>
      <c r="GD3354" s="5" t="s">
        <v>240</v>
      </c>
      <c r="GE3354" s="5" t="s">
        <v>240</v>
      </c>
      <c r="GF3354" s="5" t="s">
        <v>240</v>
      </c>
      <c r="GG3354" s="5" t="s">
        <v>240</v>
      </c>
      <c r="GH3354" s="5" t="s">
        <v>240</v>
      </c>
      <c r="GI3354" s="5" t="s">
        <v>240</v>
      </c>
      <c r="GJ3354" s="5" t="s">
        <v>240</v>
      </c>
      <c r="GK3354" s="5" t="s">
        <v>240</v>
      </c>
      <c r="GL3354" s="5" t="s">
        <v>240</v>
      </c>
      <c r="GM3354" s="5" t="s">
        <v>240</v>
      </c>
      <c r="GN3354" s="5" t="s">
        <v>240</v>
      </c>
      <c r="GO3354" s="5" t="s">
        <v>240</v>
      </c>
      <c r="GP3354" s="5" t="s">
        <v>240</v>
      </c>
      <c r="GQ3354" s="5" t="s">
        <v>240</v>
      </c>
      <c r="GR3354" s="5" t="s">
        <v>240</v>
      </c>
      <c r="GS3354" s="5" t="s">
        <v>240</v>
      </c>
      <c r="GT3354" s="5" t="s">
        <v>240</v>
      </c>
      <c r="GU3354" s="5" t="s">
        <v>240</v>
      </c>
      <c r="GV3354" s="5" t="s">
        <v>240</v>
      </c>
      <c r="GW3354" s="5" t="s">
        <v>240</v>
      </c>
      <c r="GX3354" s="5" t="s">
        <v>240</v>
      </c>
      <c r="GY3354" s="5" t="s">
        <v>240</v>
      </c>
      <c r="GZ3354" s="5" t="s">
        <v>240</v>
      </c>
      <c r="HA3354" s="5" t="s">
        <v>240</v>
      </c>
      <c r="HB3354" s="5" t="s">
        <v>240</v>
      </c>
      <c r="HC3354" s="5" t="s">
        <v>240</v>
      </c>
      <c r="HD3354" s="5" t="s">
        <v>240</v>
      </c>
      <c r="HE3354" s="5" t="s">
        <v>240</v>
      </c>
      <c r="HF3354" s="5" t="s">
        <v>240</v>
      </c>
      <c r="HG3354" s="5" t="s">
        <v>240</v>
      </c>
      <c r="HH3354" s="5" t="s">
        <v>240</v>
      </c>
      <c r="HI3354" s="5" t="s">
        <v>240</v>
      </c>
      <c r="HJ3354" s="5" t="s">
        <v>240</v>
      </c>
      <c r="HK3354" s="5" t="s">
        <v>240</v>
      </c>
      <c r="HL3354" s="5" t="s">
        <v>240</v>
      </c>
      <c r="HM3354" s="5" t="s">
        <v>240</v>
      </c>
      <c r="HN3354" s="5" t="s">
        <v>240</v>
      </c>
      <c r="HO3354" s="5" t="s">
        <v>312</v>
      </c>
      <c r="HP3354" s="5" t="s">
        <v>240</v>
      </c>
      <c r="HQ3354" s="5" t="s">
        <v>240</v>
      </c>
      <c r="HR3354" s="5" t="s">
        <v>240</v>
      </c>
      <c r="HS3354" s="5" t="s">
        <v>240</v>
      </c>
      <c r="HT3354" s="5" t="s">
        <v>240</v>
      </c>
      <c r="HU3354" s="5" t="s">
        <v>240</v>
      </c>
      <c r="HV3354" s="5" t="s">
        <v>240</v>
      </c>
      <c r="HW3354" s="5" t="s">
        <v>240</v>
      </c>
      <c r="HX3354" s="5" t="s">
        <v>240</v>
      </c>
      <c r="HY3354" s="5" t="s">
        <v>240</v>
      </c>
      <c r="HZ3354" s="5" t="s">
        <v>240</v>
      </c>
      <c r="IA3354" s="5" t="s">
        <v>240</v>
      </c>
      <c r="IB3354" s="5" t="s">
        <v>240</v>
      </c>
      <c r="IC3354" s="5" t="s">
        <v>240</v>
      </c>
      <c r="ID3354" s="5" t="s">
        <v>240</v>
      </c>
      <c r="IE3354" s="5" t="s">
        <v>240</v>
      </c>
      <c r="IF3354" s="5" t="s">
        <v>240</v>
      </c>
    </row>
    <row r="3355" spans="1:240" x14ac:dyDescent="0.4">
      <c r="A3355" s="5">
        <v>8897</v>
      </c>
      <c r="B3355" s="5">
        <v>1</v>
      </c>
      <c r="C3355" s="5">
        <v>1</v>
      </c>
      <c r="D3355" s="5" t="s">
        <v>723</v>
      </c>
      <c r="E3355" s="5" t="s">
        <v>725</v>
      </c>
      <c r="F3355" s="5" t="s">
        <v>730</v>
      </c>
      <c r="G3355" s="5" t="s">
        <v>726</v>
      </c>
      <c r="H3355" s="6" t="s">
        <v>6649</v>
      </c>
      <c r="I3355" s="5" t="s">
        <v>722</v>
      </c>
      <c r="J3355" s="8">
        <f>347</f>
        <v>347</v>
      </c>
      <c r="K3355" s="5" t="s">
        <v>308</v>
      </c>
      <c r="L3355" s="7">
        <f>0</f>
        <v>0</v>
      </c>
      <c r="M3355" s="7">
        <f>0</f>
        <v>0</v>
      </c>
      <c r="N3355" s="5" t="s">
        <v>242</v>
      </c>
      <c r="O3355" s="5">
        <v>1</v>
      </c>
      <c r="P3355" s="5" t="s">
        <v>294</v>
      </c>
      <c r="Q3355" s="5" t="s">
        <v>3678</v>
      </c>
      <c r="R3355" s="5" t="s">
        <v>240</v>
      </c>
      <c r="S3355" s="5" t="s">
        <v>240</v>
      </c>
      <c r="T3355" s="5" t="s">
        <v>243</v>
      </c>
      <c r="U3355" s="5" t="s">
        <v>244</v>
      </c>
      <c r="V3355" s="5" t="s">
        <v>240</v>
      </c>
      <c r="W3355" s="5" t="s">
        <v>240</v>
      </c>
      <c r="X3355" s="5" t="s">
        <v>240</v>
      </c>
      <c r="Y3355" s="5" t="s">
        <v>240</v>
      </c>
      <c r="Z3355" s="6" t="s">
        <v>298</v>
      </c>
      <c r="AA3355" s="6" t="s">
        <v>240</v>
      </c>
      <c r="AB3355" s="6" t="s">
        <v>240</v>
      </c>
      <c r="AC3355" s="5" t="s">
        <v>240</v>
      </c>
      <c r="AD3355" s="6" t="s">
        <v>240</v>
      </c>
      <c r="AE3355" s="6" t="s">
        <v>299</v>
      </c>
      <c r="AF3355" s="5" t="s">
        <v>248</v>
      </c>
      <c r="AG3355" s="5" t="s">
        <v>249</v>
      </c>
      <c r="AH3355" s="5" t="s">
        <v>240</v>
      </c>
      <c r="AI3355" s="5" t="s">
        <v>240</v>
      </c>
      <c r="AJ3355" s="5" t="s">
        <v>240</v>
      </c>
      <c r="AK3355" s="5" t="s">
        <v>240</v>
      </c>
      <c r="AL3355" s="5" t="s">
        <v>240</v>
      </c>
      <c r="AM3355" s="5" t="s">
        <v>240</v>
      </c>
      <c r="AN3355" s="5" t="s">
        <v>240</v>
      </c>
      <c r="AO3355" s="5" t="s">
        <v>240</v>
      </c>
      <c r="AP3355" s="6" t="s">
        <v>240</v>
      </c>
      <c r="AQ3355" s="6" t="s">
        <v>240</v>
      </c>
      <c r="AR3355" s="6" t="s">
        <v>240</v>
      </c>
      <c r="AS3355" s="6" t="s">
        <v>240</v>
      </c>
      <c r="AT3355" s="5" t="s">
        <v>240</v>
      </c>
      <c r="AU3355" s="5" t="s">
        <v>729</v>
      </c>
      <c r="AV3355" s="5" t="s">
        <v>729</v>
      </c>
      <c r="AW3355" s="5" t="s">
        <v>251</v>
      </c>
      <c r="AX3355" s="5" t="s">
        <v>252</v>
      </c>
      <c r="AY3355" s="5" t="s">
        <v>253</v>
      </c>
      <c r="AZ3355" s="5" t="s">
        <v>240</v>
      </c>
      <c r="BA3355" s="5" t="s">
        <v>255</v>
      </c>
      <c r="BB3355" s="5" t="s">
        <v>731</v>
      </c>
      <c r="BD3355" s="5" t="s">
        <v>240</v>
      </c>
      <c r="BF3355" s="5" t="s">
        <v>732</v>
      </c>
      <c r="BG3355" s="6" t="s">
        <v>733</v>
      </c>
      <c r="BH3355" s="5" t="s">
        <v>734</v>
      </c>
      <c r="BI3355" s="5" t="s">
        <v>734</v>
      </c>
      <c r="BJ3355" s="5" t="s">
        <v>240</v>
      </c>
      <c r="BK3355" s="7">
        <f>1</f>
        <v>1</v>
      </c>
      <c r="BL3355" s="7">
        <f>1</f>
        <v>1</v>
      </c>
      <c r="BM3355" s="5" t="s">
        <v>258</v>
      </c>
      <c r="BN3355" s="5" t="s">
        <v>259</v>
      </c>
      <c r="BO3355" s="5" t="s">
        <v>240</v>
      </c>
      <c r="BP3355" s="5" t="s">
        <v>240</v>
      </c>
      <c r="BQ3355" s="5" t="s">
        <v>240</v>
      </c>
      <c r="BR3355" s="5" t="s">
        <v>240</v>
      </c>
      <c r="BS3355" s="5" t="s">
        <v>240</v>
      </c>
      <c r="BT3355" s="5" t="s">
        <v>240</v>
      </c>
      <c r="BU3355" s="5" t="s">
        <v>240</v>
      </c>
      <c r="BV3355" s="5" t="s">
        <v>240</v>
      </c>
      <c r="BW3355" s="6" t="s">
        <v>240</v>
      </c>
      <c r="BX3355" s="5" t="s">
        <v>240</v>
      </c>
      <c r="BY3355" s="5" t="s">
        <v>240</v>
      </c>
      <c r="BZ3355" s="5" t="s">
        <v>240</v>
      </c>
      <c r="CA3355" s="5" t="s">
        <v>259</v>
      </c>
      <c r="CB3355" s="5" t="s">
        <v>240</v>
      </c>
      <c r="CC3355" s="5" t="s">
        <v>240</v>
      </c>
      <c r="CD3355" s="5" t="s">
        <v>240</v>
      </c>
      <c r="CE3355" s="5" t="s">
        <v>240</v>
      </c>
      <c r="CF3355" s="5" t="s">
        <v>240</v>
      </c>
      <c r="CG3355" s="5" t="s">
        <v>304</v>
      </c>
      <c r="CH3355" s="5" t="s">
        <v>305</v>
      </c>
      <c r="CI3355" s="5" t="s">
        <v>240</v>
      </c>
      <c r="CK3355" s="5" t="s">
        <v>3681</v>
      </c>
      <c r="CL3355" s="6" t="s">
        <v>261</v>
      </c>
      <c r="CM3355" s="5" t="s">
        <v>262</v>
      </c>
      <c r="CN3355" s="5" t="s">
        <v>263</v>
      </c>
      <c r="CO3355" s="5" t="s">
        <v>264</v>
      </c>
      <c r="CP3355" s="5" t="s">
        <v>240</v>
      </c>
      <c r="CQ3355" s="5">
        <v>0</v>
      </c>
      <c r="CR3355" s="5" t="s">
        <v>735</v>
      </c>
      <c r="CS3355" s="5" t="s">
        <v>307</v>
      </c>
      <c r="CT3355" s="5" t="s">
        <v>307</v>
      </c>
      <c r="CU3355" s="5" t="s">
        <v>260</v>
      </c>
      <c r="CV3355" s="5" t="s">
        <v>612</v>
      </c>
      <c r="CW3355" s="8">
        <f>1</f>
        <v>1</v>
      </c>
      <c r="CX3355" s="7">
        <f>1</f>
        <v>1</v>
      </c>
      <c r="CY3355" s="7">
        <f>0</f>
        <v>0</v>
      </c>
      <c r="DA3355" s="7">
        <f>1</f>
        <v>1</v>
      </c>
      <c r="DB3355" s="7" t="s">
        <v>240</v>
      </c>
      <c r="DC3355" s="5" t="s">
        <v>240</v>
      </c>
      <c r="DD3355" s="5" t="s">
        <v>240</v>
      </c>
      <c r="DE3355" s="5" t="s">
        <v>240</v>
      </c>
      <c r="DF3355" s="5" t="s">
        <v>240</v>
      </c>
      <c r="DG3355" s="7">
        <f>0</f>
        <v>0</v>
      </c>
      <c r="DI3355" s="5" t="s">
        <v>240</v>
      </c>
      <c r="DJ3355" s="5" t="s">
        <v>240</v>
      </c>
      <c r="DK3355" s="5" t="s">
        <v>240</v>
      </c>
      <c r="DL3355" s="5" t="s">
        <v>240</v>
      </c>
      <c r="DM3355" s="5" t="s">
        <v>240</v>
      </c>
      <c r="DN3355" s="5" t="s">
        <v>240</v>
      </c>
      <c r="DO3355" s="7" t="s">
        <v>240</v>
      </c>
      <c r="DP3355" s="5" t="s">
        <v>240</v>
      </c>
      <c r="DQ3355" s="5" t="s">
        <v>240</v>
      </c>
      <c r="DR3355" s="5" t="s">
        <v>731</v>
      </c>
      <c r="DS3355" s="5" t="s">
        <v>731</v>
      </c>
      <c r="DT3355" s="5" t="s">
        <v>240</v>
      </c>
      <c r="DU3355" s="5" t="s">
        <v>240</v>
      </c>
      <c r="DV3355" s="5" t="s">
        <v>3683</v>
      </c>
      <c r="DW3355" s="5" t="s">
        <v>4029</v>
      </c>
      <c r="DX3355" s="5" t="s">
        <v>240</v>
      </c>
      <c r="DY3355" s="5" t="s">
        <v>240</v>
      </c>
      <c r="DZ3355" s="5" t="s">
        <v>240</v>
      </c>
      <c r="EA3355" s="5" t="s">
        <v>240</v>
      </c>
      <c r="EB3355" s="5" t="s">
        <v>240</v>
      </c>
      <c r="EC3355" s="5" t="s">
        <v>240</v>
      </c>
      <c r="ED3355" s="5" t="s">
        <v>240</v>
      </c>
      <c r="EE3355" s="5" t="s">
        <v>240</v>
      </c>
      <c r="EF3355" s="5" t="s">
        <v>240</v>
      </c>
      <c r="EG3355" s="5" t="s">
        <v>240</v>
      </c>
      <c r="EH3355" s="5" t="s">
        <v>240</v>
      </c>
      <c r="EI3355" s="5" t="s">
        <v>240</v>
      </c>
      <c r="EJ3355" s="5" t="s">
        <v>240</v>
      </c>
      <c r="EK3355" s="5" t="s">
        <v>240</v>
      </c>
      <c r="EL3355" s="5" t="s">
        <v>240</v>
      </c>
      <c r="EM3355" s="5" t="s">
        <v>240</v>
      </c>
      <c r="EN3355" s="5" t="s">
        <v>240</v>
      </c>
      <c r="EO3355" s="5" t="s">
        <v>240</v>
      </c>
      <c r="EP3355" s="5" t="s">
        <v>240</v>
      </c>
      <c r="EQ3355" s="5" t="s">
        <v>240</v>
      </c>
      <c r="ER3355" s="5" t="s">
        <v>240</v>
      </c>
      <c r="ES3355" s="5" t="s">
        <v>240</v>
      </c>
      <c r="ET3355" s="5" t="s">
        <v>240</v>
      </c>
      <c r="EU3355" s="5" t="s">
        <v>240</v>
      </c>
      <c r="EV3355" s="5" t="s">
        <v>240</v>
      </c>
      <c r="EW3355" s="5" t="s">
        <v>240</v>
      </c>
      <c r="EX3355" s="5" t="s">
        <v>240</v>
      </c>
      <c r="EY3355" s="5" t="s">
        <v>240</v>
      </c>
      <c r="EZ3355" s="5" t="s">
        <v>240</v>
      </c>
      <c r="FA3355" s="5" t="s">
        <v>240</v>
      </c>
      <c r="FB3355" s="5" t="s">
        <v>240</v>
      </c>
      <c r="FC3355" s="5" t="s">
        <v>240</v>
      </c>
      <c r="FD3355" s="5" t="s">
        <v>240</v>
      </c>
      <c r="FE3355" s="5" t="s">
        <v>240</v>
      </c>
      <c r="FF3355" s="5" t="s">
        <v>240</v>
      </c>
      <c r="FG3355" s="5" t="s">
        <v>240</v>
      </c>
      <c r="FH3355" s="5" t="s">
        <v>240</v>
      </c>
      <c r="FI3355" s="5" t="s">
        <v>240</v>
      </c>
      <c r="FJ3355" s="5" t="s">
        <v>240</v>
      </c>
      <c r="FK3355" s="5" t="s">
        <v>240</v>
      </c>
      <c r="FL3355" s="5" t="s">
        <v>240</v>
      </c>
      <c r="FM3355" s="5" t="s">
        <v>240</v>
      </c>
      <c r="FN3355" s="5" t="s">
        <v>240</v>
      </c>
      <c r="FO3355" s="5" t="s">
        <v>240</v>
      </c>
      <c r="FP3355" s="5" t="s">
        <v>240</v>
      </c>
      <c r="FQ3355" s="5" t="s">
        <v>240</v>
      </c>
      <c r="FR3355" s="5" t="s">
        <v>240</v>
      </c>
      <c r="FS3355" s="5" t="s">
        <v>240</v>
      </c>
      <c r="FT3355" s="5" t="s">
        <v>240</v>
      </c>
      <c r="FU3355" s="5" t="s">
        <v>240</v>
      </c>
      <c r="FV3355" s="5" t="s">
        <v>240</v>
      </c>
      <c r="FW3355" s="5" t="s">
        <v>240</v>
      </c>
      <c r="FX3355" s="5" t="s">
        <v>240</v>
      </c>
      <c r="FY3355" s="5" t="s">
        <v>240</v>
      </c>
      <c r="FZ3355" s="5" t="s">
        <v>240</v>
      </c>
      <c r="GA3355" s="5" t="s">
        <v>240</v>
      </c>
      <c r="GB3355" s="5" t="s">
        <v>240</v>
      </c>
      <c r="GC3355" s="5" t="s">
        <v>240</v>
      </c>
      <c r="GD3355" s="5" t="s">
        <v>240</v>
      </c>
      <c r="GE3355" s="5" t="s">
        <v>240</v>
      </c>
      <c r="GF3355" s="5" t="s">
        <v>240</v>
      </c>
      <c r="GG3355" s="5" t="s">
        <v>240</v>
      </c>
      <c r="GH3355" s="5" t="s">
        <v>240</v>
      </c>
      <c r="GI3355" s="5" t="s">
        <v>240</v>
      </c>
      <c r="GJ3355" s="5" t="s">
        <v>240</v>
      </c>
      <c r="GK3355" s="5" t="s">
        <v>240</v>
      </c>
      <c r="GL3355" s="5" t="s">
        <v>240</v>
      </c>
      <c r="GM3355" s="5" t="s">
        <v>240</v>
      </c>
      <c r="GN3355" s="5" t="s">
        <v>240</v>
      </c>
      <c r="GO3355" s="5" t="s">
        <v>240</v>
      </c>
      <c r="GP3355" s="5" t="s">
        <v>240</v>
      </c>
      <c r="GQ3355" s="5" t="s">
        <v>240</v>
      </c>
      <c r="GR3355" s="5" t="s">
        <v>240</v>
      </c>
      <c r="GS3355" s="5" t="s">
        <v>240</v>
      </c>
      <c r="GT3355" s="5" t="s">
        <v>240</v>
      </c>
      <c r="GU3355" s="5" t="s">
        <v>240</v>
      </c>
      <c r="GV3355" s="5" t="s">
        <v>240</v>
      </c>
      <c r="GW3355" s="5" t="s">
        <v>240</v>
      </c>
      <c r="GX3355" s="5" t="s">
        <v>240</v>
      </c>
      <c r="GY3355" s="5" t="s">
        <v>240</v>
      </c>
      <c r="GZ3355" s="5" t="s">
        <v>240</v>
      </c>
      <c r="HA3355" s="5" t="s">
        <v>240</v>
      </c>
      <c r="HB3355" s="5" t="s">
        <v>240</v>
      </c>
      <c r="HC3355" s="5" t="s">
        <v>240</v>
      </c>
      <c r="HD3355" s="5" t="s">
        <v>240</v>
      </c>
      <c r="HE3355" s="5" t="s">
        <v>240</v>
      </c>
      <c r="HF3355" s="5" t="s">
        <v>240</v>
      </c>
      <c r="HG3355" s="5" t="s">
        <v>240</v>
      </c>
      <c r="HH3355" s="5" t="s">
        <v>240</v>
      </c>
      <c r="HI3355" s="5" t="s">
        <v>240</v>
      </c>
      <c r="HJ3355" s="5" t="s">
        <v>240</v>
      </c>
      <c r="HK3355" s="5" t="s">
        <v>240</v>
      </c>
      <c r="HL3355" s="5" t="s">
        <v>240</v>
      </c>
      <c r="HM3355" s="5" t="s">
        <v>240</v>
      </c>
      <c r="HN3355" s="5" t="s">
        <v>240</v>
      </c>
      <c r="HO3355" s="5" t="s">
        <v>312</v>
      </c>
      <c r="HP3355" s="5" t="s">
        <v>240</v>
      </c>
      <c r="HQ3355" s="5" t="s">
        <v>240</v>
      </c>
      <c r="HR3355" s="5" t="s">
        <v>240</v>
      </c>
      <c r="HS3355" s="5" t="s">
        <v>240</v>
      </c>
      <c r="HT3355" s="5" t="s">
        <v>240</v>
      </c>
      <c r="HU3355" s="5" t="s">
        <v>240</v>
      </c>
      <c r="HV3355" s="5" t="s">
        <v>240</v>
      </c>
      <c r="HW3355" s="5" t="s">
        <v>240</v>
      </c>
      <c r="HX3355" s="5" t="s">
        <v>240</v>
      </c>
      <c r="HY3355" s="5" t="s">
        <v>240</v>
      </c>
      <c r="HZ3355" s="5" t="s">
        <v>240</v>
      </c>
      <c r="IA3355" s="5" t="s">
        <v>240</v>
      </c>
      <c r="IB3355" s="5" t="s">
        <v>240</v>
      </c>
      <c r="IC3355" s="5" t="s">
        <v>240</v>
      </c>
      <c r="ID3355" s="5" t="s">
        <v>240</v>
      </c>
      <c r="IE3355" s="5" t="s">
        <v>240</v>
      </c>
      <c r="IF3355" s="5" t="s">
        <v>240</v>
      </c>
    </row>
    <row r="3356" spans="1:240" x14ac:dyDescent="0.4">
      <c r="A3356" s="5">
        <v>8898</v>
      </c>
      <c r="B3356" s="5">
        <v>1</v>
      </c>
      <c r="C3356" s="5">
        <v>1</v>
      </c>
      <c r="D3356" s="5" t="s">
        <v>723</v>
      </c>
      <c r="E3356" s="5" t="s">
        <v>725</v>
      </c>
      <c r="F3356" s="5" t="s">
        <v>730</v>
      </c>
      <c r="G3356" s="5" t="s">
        <v>726</v>
      </c>
      <c r="H3356" s="6" t="s">
        <v>6259</v>
      </c>
      <c r="I3356" s="5" t="s">
        <v>722</v>
      </c>
      <c r="J3356" s="8">
        <f>1044</f>
        <v>1044</v>
      </c>
      <c r="K3356" s="5" t="s">
        <v>308</v>
      </c>
      <c r="L3356" s="7">
        <f>0</f>
        <v>0</v>
      </c>
      <c r="M3356" s="7">
        <f>0</f>
        <v>0</v>
      </c>
      <c r="N3356" s="5" t="s">
        <v>242</v>
      </c>
      <c r="O3356" s="5">
        <v>1</v>
      </c>
      <c r="P3356" s="5" t="s">
        <v>294</v>
      </c>
      <c r="Q3356" s="5" t="s">
        <v>3678</v>
      </c>
      <c r="R3356" s="5" t="s">
        <v>240</v>
      </c>
      <c r="S3356" s="5" t="s">
        <v>240</v>
      </c>
      <c r="T3356" s="5" t="s">
        <v>243</v>
      </c>
      <c r="U3356" s="5" t="s">
        <v>244</v>
      </c>
      <c r="V3356" s="5" t="s">
        <v>240</v>
      </c>
      <c r="W3356" s="5" t="s">
        <v>240</v>
      </c>
      <c r="X3356" s="5" t="s">
        <v>240</v>
      </c>
      <c r="Y3356" s="5" t="s">
        <v>240</v>
      </c>
      <c r="Z3356" s="6" t="s">
        <v>298</v>
      </c>
      <c r="AA3356" s="6" t="s">
        <v>240</v>
      </c>
      <c r="AB3356" s="6" t="s">
        <v>240</v>
      </c>
      <c r="AC3356" s="5" t="s">
        <v>240</v>
      </c>
      <c r="AD3356" s="6" t="s">
        <v>240</v>
      </c>
      <c r="AE3356" s="6" t="s">
        <v>299</v>
      </c>
      <c r="AF3356" s="5" t="s">
        <v>248</v>
      </c>
      <c r="AG3356" s="5" t="s">
        <v>249</v>
      </c>
      <c r="AH3356" s="5" t="s">
        <v>240</v>
      </c>
      <c r="AI3356" s="5" t="s">
        <v>240</v>
      </c>
      <c r="AJ3356" s="5" t="s">
        <v>240</v>
      </c>
      <c r="AK3356" s="5" t="s">
        <v>240</v>
      </c>
      <c r="AL3356" s="5" t="s">
        <v>240</v>
      </c>
      <c r="AM3356" s="5" t="s">
        <v>240</v>
      </c>
      <c r="AN3356" s="5" t="s">
        <v>240</v>
      </c>
      <c r="AO3356" s="5" t="s">
        <v>240</v>
      </c>
      <c r="AP3356" s="6" t="s">
        <v>240</v>
      </c>
      <c r="AQ3356" s="6" t="s">
        <v>240</v>
      </c>
      <c r="AR3356" s="6" t="s">
        <v>240</v>
      </c>
      <c r="AS3356" s="6" t="s">
        <v>240</v>
      </c>
      <c r="AT3356" s="5" t="s">
        <v>240</v>
      </c>
      <c r="AU3356" s="5" t="s">
        <v>729</v>
      </c>
      <c r="AV3356" s="5" t="s">
        <v>729</v>
      </c>
      <c r="AW3356" s="5" t="s">
        <v>251</v>
      </c>
      <c r="AX3356" s="5" t="s">
        <v>252</v>
      </c>
      <c r="AY3356" s="5" t="s">
        <v>253</v>
      </c>
      <c r="AZ3356" s="5" t="s">
        <v>240</v>
      </c>
      <c r="BA3356" s="5" t="s">
        <v>255</v>
      </c>
      <c r="BB3356" s="5" t="s">
        <v>731</v>
      </c>
      <c r="BD3356" s="5" t="s">
        <v>240</v>
      </c>
      <c r="BF3356" s="5" t="s">
        <v>732</v>
      </c>
      <c r="BG3356" s="6" t="s">
        <v>733</v>
      </c>
      <c r="BH3356" s="5" t="s">
        <v>734</v>
      </c>
      <c r="BI3356" s="5" t="s">
        <v>734</v>
      </c>
      <c r="BJ3356" s="5" t="s">
        <v>240</v>
      </c>
      <c r="BK3356" s="7">
        <f>1</f>
        <v>1</v>
      </c>
      <c r="BL3356" s="7">
        <f>1</f>
        <v>1</v>
      </c>
      <c r="BM3356" s="5" t="s">
        <v>258</v>
      </c>
      <c r="BN3356" s="5" t="s">
        <v>259</v>
      </c>
      <c r="BO3356" s="5" t="s">
        <v>240</v>
      </c>
      <c r="BP3356" s="5" t="s">
        <v>240</v>
      </c>
      <c r="BQ3356" s="5" t="s">
        <v>240</v>
      </c>
      <c r="BR3356" s="5" t="s">
        <v>240</v>
      </c>
      <c r="BS3356" s="5" t="s">
        <v>240</v>
      </c>
      <c r="BT3356" s="5" t="s">
        <v>240</v>
      </c>
      <c r="BU3356" s="5" t="s">
        <v>240</v>
      </c>
      <c r="BV3356" s="5" t="s">
        <v>240</v>
      </c>
      <c r="BW3356" s="6" t="s">
        <v>240</v>
      </c>
      <c r="BX3356" s="5" t="s">
        <v>240</v>
      </c>
      <c r="BY3356" s="5" t="s">
        <v>240</v>
      </c>
      <c r="BZ3356" s="5" t="s">
        <v>240</v>
      </c>
      <c r="CA3356" s="5" t="s">
        <v>259</v>
      </c>
      <c r="CB3356" s="5" t="s">
        <v>240</v>
      </c>
      <c r="CC3356" s="5" t="s">
        <v>240</v>
      </c>
      <c r="CD3356" s="5" t="s">
        <v>240</v>
      </c>
      <c r="CE3356" s="5" t="s">
        <v>240</v>
      </c>
      <c r="CF3356" s="5" t="s">
        <v>240</v>
      </c>
      <c r="CG3356" s="5" t="s">
        <v>304</v>
      </c>
      <c r="CH3356" s="5" t="s">
        <v>305</v>
      </c>
      <c r="CI3356" s="5" t="s">
        <v>240</v>
      </c>
      <c r="CK3356" s="5" t="s">
        <v>3681</v>
      </c>
      <c r="CL3356" s="6" t="s">
        <v>261</v>
      </c>
      <c r="CM3356" s="5" t="s">
        <v>262</v>
      </c>
      <c r="CN3356" s="5" t="s">
        <v>263</v>
      </c>
      <c r="CO3356" s="5" t="s">
        <v>264</v>
      </c>
      <c r="CP3356" s="5" t="s">
        <v>240</v>
      </c>
      <c r="CQ3356" s="5">
        <v>0</v>
      </c>
      <c r="CR3356" s="5" t="s">
        <v>735</v>
      </c>
      <c r="CS3356" s="5" t="s">
        <v>307</v>
      </c>
      <c r="CT3356" s="5" t="s">
        <v>307</v>
      </c>
      <c r="CU3356" s="5" t="s">
        <v>260</v>
      </c>
      <c r="CV3356" s="5" t="s">
        <v>612</v>
      </c>
      <c r="CW3356" s="8">
        <f>1</f>
        <v>1</v>
      </c>
      <c r="CX3356" s="7">
        <f>1</f>
        <v>1</v>
      </c>
      <c r="CY3356" s="7">
        <f>0</f>
        <v>0</v>
      </c>
      <c r="DA3356" s="7">
        <f>1</f>
        <v>1</v>
      </c>
      <c r="DB3356" s="7" t="s">
        <v>240</v>
      </c>
      <c r="DC3356" s="5" t="s">
        <v>240</v>
      </c>
      <c r="DD3356" s="5" t="s">
        <v>240</v>
      </c>
      <c r="DE3356" s="5" t="s">
        <v>240</v>
      </c>
      <c r="DF3356" s="5" t="s">
        <v>240</v>
      </c>
      <c r="DG3356" s="7">
        <f>0</f>
        <v>0</v>
      </c>
      <c r="DI3356" s="5" t="s">
        <v>240</v>
      </c>
      <c r="DJ3356" s="5" t="s">
        <v>240</v>
      </c>
      <c r="DK3356" s="5" t="s">
        <v>240</v>
      </c>
      <c r="DL3356" s="5" t="s">
        <v>240</v>
      </c>
      <c r="DM3356" s="5" t="s">
        <v>240</v>
      </c>
      <c r="DN3356" s="5" t="s">
        <v>240</v>
      </c>
      <c r="DO3356" s="7" t="s">
        <v>240</v>
      </c>
      <c r="DP3356" s="5" t="s">
        <v>240</v>
      </c>
      <c r="DQ3356" s="5" t="s">
        <v>240</v>
      </c>
      <c r="DR3356" s="5" t="s">
        <v>731</v>
      </c>
      <c r="DS3356" s="5" t="s">
        <v>731</v>
      </c>
      <c r="DT3356" s="5" t="s">
        <v>240</v>
      </c>
      <c r="DU3356" s="5" t="s">
        <v>240</v>
      </c>
      <c r="DV3356" s="5" t="s">
        <v>5063</v>
      </c>
      <c r="DW3356" s="5" t="s">
        <v>697</v>
      </c>
      <c r="DX3356" s="5" t="s">
        <v>240</v>
      </c>
      <c r="DY3356" s="5" t="s">
        <v>240</v>
      </c>
      <c r="DZ3356" s="5" t="s">
        <v>240</v>
      </c>
      <c r="EA3356" s="5" t="s">
        <v>240</v>
      </c>
      <c r="EB3356" s="5" t="s">
        <v>240</v>
      </c>
      <c r="EC3356" s="5" t="s">
        <v>240</v>
      </c>
      <c r="ED3356" s="5" t="s">
        <v>240</v>
      </c>
      <c r="EE3356" s="5" t="s">
        <v>240</v>
      </c>
      <c r="EF3356" s="5" t="s">
        <v>240</v>
      </c>
      <c r="EG3356" s="5" t="s">
        <v>240</v>
      </c>
      <c r="EH3356" s="5" t="s">
        <v>240</v>
      </c>
      <c r="EI3356" s="5" t="s">
        <v>240</v>
      </c>
      <c r="EJ3356" s="5" t="s">
        <v>240</v>
      </c>
      <c r="EK3356" s="5" t="s">
        <v>240</v>
      </c>
      <c r="EL3356" s="5" t="s">
        <v>240</v>
      </c>
      <c r="EM3356" s="5" t="s">
        <v>240</v>
      </c>
      <c r="EN3356" s="5" t="s">
        <v>240</v>
      </c>
      <c r="EO3356" s="5" t="s">
        <v>240</v>
      </c>
      <c r="EP3356" s="5" t="s">
        <v>240</v>
      </c>
      <c r="EQ3356" s="5" t="s">
        <v>240</v>
      </c>
      <c r="ER3356" s="5" t="s">
        <v>240</v>
      </c>
      <c r="ES3356" s="5" t="s">
        <v>240</v>
      </c>
      <c r="ET3356" s="5" t="s">
        <v>240</v>
      </c>
      <c r="EU3356" s="5" t="s">
        <v>240</v>
      </c>
      <c r="EV3356" s="5" t="s">
        <v>240</v>
      </c>
      <c r="EW3356" s="5" t="s">
        <v>240</v>
      </c>
      <c r="EX3356" s="5" t="s">
        <v>240</v>
      </c>
      <c r="EY3356" s="5" t="s">
        <v>240</v>
      </c>
      <c r="EZ3356" s="5" t="s">
        <v>240</v>
      </c>
      <c r="FA3356" s="5" t="s">
        <v>240</v>
      </c>
      <c r="FB3356" s="5" t="s">
        <v>240</v>
      </c>
      <c r="FC3356" s="5" t="s">
        <v>240</v>
      </c>
      <c r="FD3356" s="5" t="s">
        <v>240</v>
      </c>
      <c r="FE3356" s="5" t="s">
        <v>240</v>
      </c>
      <c r="FF3356" s="5" t="s">
        <v>240</v>
      </c>
      <c r="FG3356" s="5" t="s">
        <v>240</v>
      </c>
      <c r="FH3356" s="5" t="s">
        <v>240</v>
      </c>
      <c r="FI3356" s="5" t="s">
        <v>240</v>
      </c>
      <c r="FJ3356" s="5" t="s">
        <v>240</v>
      </c>
      <c r="FK3356" s="5" t="s">
        <v>240</v>
      </c>
      <c r="FL3356" s="5" t="s">
        <v>240</v>
      </c>
      <c r="FM3356" s="5" t="s">
        <v>240</v>
      </c>
      <c r="FN3356" s="5" t="s">
        <v>240</v>
      </c>
      <c r="FO3356" s="5" t="s">
        <v>240</v>
      </c>
      <c r="FP3356" s="5" t="s">
        <v>240</v>
      </c>
      <c r="FQ3356" s="5" t="s">
        <v>240</v>
      </c>
      <c r="FR3356" s="5" t="s">
        <v>240</v>
      </c>
      <c r="FS3356" s="5" t="s">
        <v>240</v>
      </c>
      <c r="FT3356" s="5" t="s">
        <v>240</v>
      </c>
      <c r="FU3356" s="5" t="s">
        <v>240</v>
      </c>
      <c r="FV3356" s="5" t="s">
        <v>240</v>
      </c>
      <c r="FW3356" s="5" t="s">
        <v>240</v>
      </c>
      <c r="FX3356" s="5" t="s">
        <v>240</v>
      </c>
      <c r="FY3356" s="5" t="s">
        <v>240</v>
      </c>
      <c r="FZ3356" s="5" t="s">
        <v>240</v>
      </c>
      <c r="GA3356" s="5" t="s">
        <v>240</v>
      </c>
      <c r="GB3356" s="5" t="s">
        <v>240</v>
      </c>
      <c r="GC3356" s="5" t="s">
        <v>240</v>
      </c>
      <c r="GD3356" s="5" t="s">
        <v>240</v>
      </c>
      <c r="GE3356" s="5" t="s">
        <v>240</v>
      </c>
      <c r="GF3356" s="5" t="s">
        <v>240</v>
      </c>
      <c r="GG3356" s="5" t="s">
        <v>240</v>
      </c>
      <c r="GH3356" s="5" t="s">
        <v>240</v>
      </c>
      <c r="GI3356" s="5" t="s">
        <v>240</v>
      </c>
      <c r="GJ3356" s="5" t="s">
        <v>240</v>
      </c>
      <c r="GK3356" s="5" t="s">
        <v>240</v>
      </c>
      <c r="GL3356" s="5" t="s">
        <v>240</v>
      </c>
      <c r="GM3356" s="5" t="s">
        <v>240</v>
      </c>
      <c r="GN3356" s="5" t="s">
        <v>240</v>
      </c>
      <c r="GO3356" s="5" t="s">
        <v>240</v>
      </c>
      <c r="GP3356" s="5" t="s">
        <v>240</v>
      </c>
      <c r="GQ3356" s="5" t="s">
        <v>240</v>
      </c>
      <c r="GR3356" s="5" t="s">
        <v>240</v>
      </c>
      <c r="GS3356" s="5" t="s">
        <v>240</v>
      </c>
      <c r="GT3356" s="5" t="s">
        <v>240</v>
      </c>
      <c r="GU3356" s="5" t="s">
        <v>240</v>
      </c>
      <c r="GV3356" s="5" t="s">
        <v>240</v>
      </c>
      <c r="GW3356" s="5" t="s">
        <v>240</v>
      </c>
      <c r="GX3356" s="5" t="s">
        <v>240</v>
      </c>
      <c r="GY3356" s="5" t="s">
        <v>240</v>
      </c>
      <c r="GZ3356" s="5" t="s">
        <v>240</v>
      </c>
      <c r="HA3356" s="5" t="s">
        <v>240</v>
      </c>
      <c r="HB3356" s="5" t="s">
        <v>240</v>
      </c>
      <c r="HC3356" s="5" t="s">
        <v>240</v>
      </c>
      <c r="HD3356" s="5" t="s">
        <v>240</v>
      </c>
      <c r="HE3356" s="5" t="s">
        <v>240</v>
      </c>
      <c r="HF3356" s="5" t="s">
        <v>240</v>
      </c>
      <c r="HG3356" s="5" t="s">
        <v>240</v>
      </c>
      <c r="HH3356" s="5" t="s">
        <v>240</v>
      </c>
      <c r="HI3356" s="5" t="s">
        <v>240</v>
      </c>
      <c r="HJ3356" s="5" t="s">
        <v>240</v>
      </c>
      <c r="HK3356" s="5" t="s">
        <v>240</v>
      </c>
      <c r="HL3356" s="5" t="s">
        <v>240</v>
      </c>
      <c r="HM3356" s="5" t="s">
        <v>240</v>
      </c>
      <c r="HN3356" s="5" t="s">
        <v>240</v>
      </c>
      <c r="HO3356" s="5" t="s">
        <v>312</v>
      </c>
      <c r="HP3356" s="5" t="s">
        <v>240</v>
      </c>
      <c r="HQ3356" s="5" t="s">
        <v>240</v>
      </c>
      <c r="HR3356" s="5" t="s">
        <v>240</v>
      </c>
      <c r="HS3356" s="5" t="s">
        <v>240</v>
      </c>
      <c r="HT3356" s="5" t="s">
        <v>240</v>
      </c>
      <c r="HU3356" s="5" t="s">
        <v>240</v>
      </c>
      <c r="HV3356" s="5" t="s">
        <v>240</v>
      </c>
      <c r="HW3356" s="5" t="s">
        <v>240</v>
      </c>
      <c r="HX3356" s="5" t="s">
        <v>240</v>
      </c>
      <c r="HY3356" s="5" t="s">
        <v>240</v>
      </c>
      <c r="HZ3356" s="5" t="s">
        <v>240</v>
      </c>
      <c r="IA3356" s="5" t="s">
        <v>240</v>
      </c>
      <c r="IB3356" s="5" t="s">
        <v>240</v>
      </c>
      <c r="IC3356" s="5" t="s">
        <v>240</v>
      </c>
      <c r="ID3356" s="5" t="s">
        <v>240</v>
      </c>
      <c r="IE3356" s="5" t="s">
        <v>240</v>
      </c>
      <c r="IF3356" s="5" t="s">
        <v>240</v>
      </c>
    </row>
    <row r="3357" spans="1:240" x14ac:dyDescent="0.4">
      <c r="A3357" s="5">
        <v>8899</v>
      </c>
      <c r="B3357" s="5">
        <v>1</v>
      </c>
      <c r="C3357" s="5">
        <v>1</v>
      </c>
      <c r="D3357" s="5" t="s">
        <v>723</v>
      </c>
      <c r="E3357" s="5" t="s">
        <v>725</v>
      </c>
      <c r="F3357" s="5" t="s">
        <v>730</v>
      </c>
      <c r="G3357" s="5" t="s">
        <v>726</v>
      </c>
      <c r="H3357" s="6" t="s">
        <v>6648</v>
      </c>
      <c r="I3357" s="5" t="s">
        <v>990</v>
      </c>
      <c r="J3357" s="8">
        <f>936</f>
        <v>936</v>
      </c>
      <c r="K3357" s="5" t="s">
        <v>308</v>
      </c>
      <c r="L3357" s="7">
        <f>0</f>
        <v>0</v>
      </c>
      <c r="M3357" s="7">
        <f>0</f>
        <v>0</v>
      </c>
      <c r="N3357" s="5" t="s">
        <v>242</v>
      </c>
      <c r="O3357" s="5">
        <v>1</v>
      </c>
      <c r="P3357" s="5" t="s">
        <v>294</v>
      </c>
      <c r="Q3357" s="5" t="s">
        <v>3678</v>
      </c>
      <c r="R3357" s="5" t="s">
        <v>240</v>
      </c>
      <c r="S3357" s="5" t="s">
        <v>240</v>
      </c>
      <c r="T3357" s="5" t="s">
        <v>243</v>
      </c>
      <c r="U3357" s="5" t="s">
        <v>244</v>
      </c>
      <c r="V3357" s="5" t="s">
        <v>240</v>
      </c>
      <c r="W3357" s="5" t="s">
        <v>240</v>
      </c>
      <c r="X3357" s="5" t="s">
        <v>240</v>
      </c>
      <c r="Y3357" s="5" t="s">
        <v>240</v>
      </c>
      <c r="Z3357" s="6" t="s">
        <v>298</v>
      </c>
      <c r="AA3357" s="6" t="s">
        <v>240</v>
      </c>
      <c r="AB3357" s="6" t="s">
        <v>240</v>
      </c>
      <c r="AC3357" s="5" t="s">
        <v>240</v>
      </c>
      <c r="AD3357" s="6" t="s">
        <v>240</v>
      </c>
      <c r="AE3357" s="6" t="s">
        <v>299</v>
      </c>
      <c r="AF3357" s="5" t="s">
        <v>248</v>
      </c>
      <c r="AG3357" s="5" t="s">
        <v>249</v>
      </c>
      <c r="AH3357" s="5" t="s">
        <v>240</v>
      </c>
      <c r="AI3357" s="5" t="s">
        <v>240</v>
      </c>
      <c r="AJ3357" s="5" t="s">
        <v>240</v>
      </c>
      <c r="AK3357" s="5" t="s">
        <v>240</v>
      </c>
      <c r="AL3357" s="5" t="s">
        <v>240</v>
      </c>
      <c r="AM3357" s="5" t="s">
        <v>240</v>
      </c>
      <c r="AN3357" s="5" t="s">
        <v>240</v>
      </c>
      <c r="AO3357" s="5" t="s">
        <v>240</v>
      </c>
      <c r="AP3357" s="6" t="s">
        <v>240</v>
      </c>
      <c r="AQ3357" s="6" t="s">
        <v>240</v>
      </c>
      <c r="AR3357" s="6" t="s">
        <v>240</v>
      </c>
      <c r="AS3357" s="6" t="s">
        <v>240</v>
      </c>
      <c r="AT3357" s="5" t="s">
        <v>240</v>
      </c>
      <c r="AU3357" s="5" t="s">
        <v>729</v>
      </c>
      <c r="AV3357" s="5" t="s">
        <v>729</v>
      </c>
      <c r="AW3357" s="5" t="s">
        <v>251</v>
      </c>
      <c r="AX3357" s="5" t="s">
        <v>252</v>
      </c>
      <c r="AY3357" s="5" t="s">
        <v>253</v>
      </c>
      <c r="AZ3357" s="5" t="s">
        <v>240</v>
      </c>
      <c r="BA3357" s="5" t="s">
        <v>255</v>
      </c>
      <c r="BB3357" s="5" t="s">
        <v>731</v>
      </c>
      <c r="BD3357" s="5" t="s">
        <v>240</v>
      </c>
      <c r="BF3357" s="5" t="s">
        <v>732</v>
      </c>
      <c r="BG3357" s="6" t="s">
        <v>733</v>
      </c>
      <c r="BH3357" s="5" t="s">
        <v>734</v>
      </c>
      <c r="BI3357" s="5" t="s">
        <v>734</v>
      </c>
      <c r="BJ3357" s="5" t="s">
        <v>240</v>
      </c>
      <c r="BK3357" s="7">
        <f>1</f>
        <v>1</v>
      </c>
      <c r="BL3357" s="7">
        <f>1</f>
        <v>1</v>
      </c>
      <c r="BM3357" s="5" t="s">
        <v>258</v>
      </c>
      <c r="BN3357" s="5" t="s">
        <v>259</v>
      </c>
      <c r="BO3357" s="5" t="s">
        <v>240</v>
      </c>
      <c r="BP3357" s="5" t="s">
        <v>240</v>
      </c>
      <c r="BQ3357" s="5" t="s">
        <v>240</v>
      </c>
      <c r="BR3357" s="5" t="s">
        <v>240</v>
      </c>
      <c r="BS3357" s="5" t="s">
        <v>240</v>
      </c>
      <c r="BT3357" s="5" t="s">
        <v>240</v>
      </c>
      <c r="BU3357" s="5" t="s">
        <v>240</v>
      </c>
      <c r="BV3357" s="5" t="s">
        <v>240</v>
      </c>
      <c r="BW3357" s="6" t="s">
        <v>240</v>
      </c>
      <c r="BX3357" s="5" t="s">
        <v>240</v>
      </c>
      <c r="BY3357" s="5" t="s">
        <v>240</v>
      </c>
      <c r="BZ3357" s="5" t="s">
        <v>240</v>
      </c>
      <c r="CA3357" s="5" t="s">
        <v>259</v>
      </c>
      <c r="CB3357" s="5" t="s">
        <v>240</v>
      </c>
      <c r="CC3357" s="5" t="s">
        <v>240</v>
      </c>
      <c r="CD3357" s="5" t="s">
        <v>240</v>
      </c>
      <c r="CE3357" s="5" t="s">
        <v>240</v>
      </c>
      <c r="CF3357" s="5" t="s">
        <v>240</v>
      </c>
      <c r="CG3357" s="5" t="s">
        <v>304</v>
      </c>
      <c r="CH3357" s="5" t="s">
        <v>305</v>
      </c>
      <c r="CI3357" s="5" t="s">
        <v>240</v>
      </c>
      <c r="CK3357" s="5" t="s">
        <v>3681</v>
      </c>
      <c r="CL3357" s="6" t="s">
        <v>261</v>
      </c>
      <c r="CM3357" s="5" t="s">
        <v>262</v>
      </c>
      <c r="CN3357" s="5" t="s">
        <v>263</v>
      </c>
      <c r="CO3357" s="5" t="s">
        <v>264</v>
      </c>
      <c r="CP3357" s="5" t="s">
        <v>240</v>
      </c>
      <c r="CQ3357" s="5">
        <v>0</v>
      </c>
      <c r="CR3357" s="5" t="s">
        <v>735</v>
      </c>
      <c r="CS3357" s="5" t="s">
        <v>307</v>
      </c>
      <c r="CT3357" s="5" t="s">
        <v>307</v>
      </c>
      <c r="CU3357" s="5" t="s">
        <v>260</v>
      </c>
      <c r="CV3357" s="5" t="s">
        <v>612</v>
      </c>
      <c r="CW3357" s="8">
        <f>1</f>
        <v>1</v>
      </c>
      <c r="CX3357" s="7">
        <f>1</f>
        <v>1</v>
      </c>
      <c r="CY3357" s="7">
        <f>0</f>
        <v>0</v>
      </c>
      <c r="DA3357" s="7">
        <f>1</f>
        <v>1</v>
      </c>
      <c r="DB3357" s="7" t="s">
        <v>240</v>
      </c>
      <c r="DC3357" s="5" t="s">
        <v>240</v>
      </c>
      <c r="DD3357" s="5" t="s">
        <v>240</v>
      </c>
      <c r="DE3357" s="5" t="s">
        <v>240</v>
      </c>
      <c r="DF3357" s="5" t="s">
        <v>240</v>
      </c>
      <c r="DG3357" s="7">
        <f>0</f>
        <v>0</v>
      </c>
      <c r="DI3357" s="5" t="s">
        <v>240</v>
      </c>
      <c r="DJ3357" s="5" t="s">
        <v>240</v>
      </c>
      <c r="DK3357" s="5" t="s">
        <v>240</v>
      </c>
      <c r="DL3357" s="5" t="s">
        <v>240</v>
      </c>
      <c r="DM3357" s="5" t="s">
        <v>240</v>
      </c>
      <c r="DN3357" s="5" t="s">
        <v>240</v>
      </c>
      <c r="DO3357" s="7" t="s">
        <v>240</v>
      </c>
      <c r="DP3357" s="5" t="s">
        <v>240</v>
      </c>
      <c r="DQ3357" s="5" t="s">
        <v>240</v>
      </c>
      <c r="DR3357" s="5" t="s">
        <v>731</v>
      </c>
      <c r="DS3357" s="5" t="s">
        <v>731</v>
      </c>
      <c r="DT3357" s="5" t="s">
        <v>240</v>
      </c>
      <c r="DU3357" s="5" t="s">
        <v>240</v>
      </c>
      <c r="DV3357" s="5" t="s">
        <v>5063</v>
      </c>
      <c r="DW3357" s="5" t="s">
        <v>797</v>
      </c>
      <c r="DX3357" s="5" t="s">
        <v>240</v>
      </c>
      <c r="DY3357" s="5" t="s">
        <v>240</v>
      </c>
      <c r="DZ3357" s="5" t="s">
        <v>240</v>
      </c>
      <c r="EA3357" s="5" t="s">
        <v>240</v>
      </c>
      <c r="EB3357" s="5" t="s">
        <v>240</v>
      </c>
      <c r="EC3357" s="5" t="s">
        <v>240</v>
      </c>
      <c r="ED3357" s="5" t="s">
        <v>240</v>
      </c>
      <c r="EE3357" s="5" t="s">
        <v>240</v>
      </c>
      <c r="EF3357" s="5" t="s">
        <v>240</v>
      </c>
      <c r="EG3357" s="5" t="s">
        <v>240</v>
      </c>
      <c r="EH3357" s="5" t="s">
        <v>240</v>
      </c>
      <c r="EI3357" s="5" t="s">
        <v>240</v>
      </c>
      <c r="EJ3357" s="5" t="s">
        <v>240</v>
      </c>
      <c r="EK3357" s="5" t="s">
        <v>240</v>
      </c>
      <c r="EL3357" s="5" t="s">
        <v>240</v>
      </c>
      <c r="EM3357" s="5" t="s">
        <v>240</v>
      </c>
      <c r="EN3357" s="5" t="s">
        <v>240</v>
      </c>
      <c r="EO3357" s="5" t="s">
        <v>240</v>
      </c>
      <c r="EP3357" s="5" t="s">
        <v>240</v>
      </c>
      <c r="EQ3357" s="5" t="s">
        <v>240</v>
      </c>
      <c r="ER3357" s="5" t="s">
        <v>240</v>
      </c>
      <c r="ES3357" s="5" t="s">
        <v>240</v>
      </c>
      <c r="ET3357" s="5" t="s">
        <v>240</v>
      </c>
      <c r="EU3357" s="5" t="s">
        <v>240</v>
      </c>
      <c r="EV3357" s="5" t="s">
        <v>240</v>
      </c>
      <c r="EW3357" s="5" t="s">
        <v>240</v>
      </c>
      <c r="EX3357" s="5" t="s">
        <v>240</v>
      </c>
      <c r="EY3357" s="5" t="s">
        <v>240</v>
      </c>
      <c r="EZ3357" s="5" t="s">
        <v>240</v>
      </c>
      <c r="FA3357" s="5" t="s">
        <v>240</v>
      </c>
      <c r="FB3357" s="5" t="s">
        <v>240</v>
      </c>
      <c r="FC3357" s="5" t="s">
        <v>240</v>
      </c>
      <c r="FD3357" s="5" t="s">
        <v>240</v>
      </c>
      <c r="FE3357" s="5" t="s">
        <v>240</v>
      </c>
      <c r="FF3357" s="5" t="s">
        <v>240</v>
      </c>
      <c r="FG3357" s="5" t="s">
        <v>240</v>
      </c>
      <c r="FH3357" s="5" t="s">
        <v>240</v>
      </c>
      <c r="FI3357" s="5" t="s">
        <v>240</v>
      </c>
      <c r="FJ3357" s="5" t="s">
        <v>240</v>
      </c>
      <c r="FK3357" s="5" t="s">
        <v>240</v>
      </c>
      <c r="FL3357" s="5" t="s">
        <v>240</v>
      </c>
      <c r="FM3357" s="5" t="s">
        <v>240</v>
      </c>
      <c r="FN3357" s="5" t="s">
        <v>240</v>
      </c>
      <c r="FO3357" s="5" t="s">
        <v>240</v>
      </c>
      <c r="FP3357" s="5" t="s">
        <v>240</v>
      </c>
      <c r="FQ3357" s="5" t="s">
        <v>240</v>
      </c>
      <c r="FR3357" s="5" t="s">
        <v>240</v>
      </c>
      <c r="FS3357" s="5" t="s">
        <v>240</v>
      </c>
      <c r="FT3357" s="5" t="s">
        <v>240</v>
      </c>
      <c r="FU3357" s="5" t="s">
        <v>240</v>
      </c>
      <c r="FV3357" s="5" t="s">
        <v>240</v>
      </c>
      <c r="FW3357" s="5" t="s">
        <v>240</v>
      </c>
      <c r="FX3357" s="5" t="s">
        <v>240</v>
      </c>
      <c r="FY3357" s="5" t="s">
        <v>240</v>
      </c>
      <c r="FZ3357" s="5" t="s">
        <v>240</v>
      </c>
      <c r="GA3357" s="5" t="s">
        <v>240</v>
      </c>
      <c r="GB3357" s="5" t="s">
        <v>240</v>
      </c>
      <c r="GC3357" s="5" t="s">
        <v>240</v>
      </c>
      <c r="GD3357" s="5" t="s">
        <v>240</v>
      </c>
      <c r="GE3357" s="5" t="s">
        <v>240</v>
      </c>
      <c r="GF3357" s="5" t="s">
        <v>240</v>
      </c>
      <c r="GG3357" s="5" t="s">
        <v>240</v>
      </c>
      <c r="GH3357" s="5" t="s">
        <v>240</v>
      </c>
      <c r="GI3357" s="5" t="s">
        <v>240</v>
      </c>
      <c r="GJ3357" s="5" t="s">
        <v>240</v>
      </c>
      <c r="GK3357" s="5" t="s">
        <v>240</v>
      </c>
      <c r="GL3357" s="5" t="s">
        <v>240</v>
      </c>
      <c r="GM3357" s="5" t="s">
        <v>240</v>
      </c>
      <c r="GN3357" s="5" t="s">
        <v>240</v>
      </c>
      <c r="GO3357" s="5" t="s">
        <v>240</v>
      </c>
      <c r="GP3357" s="5" t="s">
        <v>240</v>
      </c>
      <c r="GQ3357" s="5" t="s">
        <v>240</v>
      </c>
      <c r="GR3357" s="5" t="s">
        <v>240</v>
      </c>
      <c r="GS3357" s="5" t="s">
        <v>240</v>
      </c>
      <c r="GT3357" s="5" t="s">
        <v>240</v>
      </c>
      <c r="GU3357" s="5" t="s">
        <v>240</v>
      </c>
      <c r="GV3357" s="5" t="s">
        <v>240</v>
      </c>
      <c r="GW3357" s="5" t="s">
        <v>240</v>
      </c>
      <c r="GX3357" s="5" t="s">
        <v>240</v>
      </c>
      <c r="GY3357" s="5" t="s">
        <v>240</v>
      </c>
      <c r="GZ3357" s="5" t="s">
        <v>240</v>
      </c>
      <c r="HA3357" s="5" t="s">
        <v>240</v>
      </c>
      <c r="HB3357" s="5" t="s">
        <v>240</v>
      </c>
      <c r="HC3357" s="5" t="s">
        <v>240</v>
      </c>
      <c r="HD3357" s="5" t="s">
        <v>240</v>
      </c>
      <c r="HE3357" s="5" t="s">
        <v>240</v>
      </c>
      <c r="HF3357" s="5" t="s">
        <v>240</v>
      </c>
      <c r="HG3357" s="5" t="s">
        <v>240</v>
      </c>
      <c r="HH3357" s="5" t="s">
        <v>240</v>
      </c>
      <c r="HI3357" s="5" t="s">
        <v>240</v>
      </c>
      <c r="HJ3357" s="5" t="s">
        <v>240</v>
      </c>
      <c r="HK3357" s="5" t="s">
        <v>240</v>
      </c>
      <c r="HL3357" s="5" t="s">
        <v>240</v>
      </c>
      <c r="HM3357" s="5" t="s">
        <v>240</v>
      </c>
      <c r="HN3357" s="5" t="s">
        <v>240</v>
      </c>
      <c r="HO3357" s="5" t="s">
        <v>312</v>
      </c>
      <c r="HP3357" s="5" t="s">
        <v>240</v>
      </c>
      <c r="HQ3357" s="5" t="s">
        <v>240</v>
      </c>
      <c r="HR3357" s="5" t="s">
        <v>240</v>
      </c>
      <c r="HS3357" s="5" t="s">
        <v>240</v>
      </c>
      <c r="HT3357" s="5" t="s">
        <v>240</v>
      </c>
      <c r="HU3357" s="5" t="s">
        <v>240</v>
      </c>
      <c r="HV3357" s="5" t="s">
        <v>240</v>
      </c>
      <c r="HW3357" s="5" t="s">
        <v>240</v>
      </c>
      <c r="HX3357" s="5" t="s">
        <v>240</v>
      </c>
      <c r="HY3357" s="5" t="s">
        <v>240</v>
      </c>
      <c r="HZ3357" s="5" t="s">
        <v>240</v>
      </c>
      <c r="IA3357" s="5" t="s">
        <v>240</v>
      </c>
      <c r="IB3357" s="5" t="s">
        <v>240</v>
      </c>
      <c r="IC3357" s="5" t="s">
        <v>240</v>
      </c>
      <c r="ID3357" s="5" t="s">
        <v>240</v>
      </c>
      <c r="IE3357" s="5" t="s">
        <v>240</v>
      </c>
      <c r="IF3357" s="5" t="s">
        <v>240</v>
      </c>
    </row>
    <row r="3358" spans="1:240" x14ac:dyDescent="0.4">
      <c r="A3358" s="5">
        <v>8900</v>
      </c>
      <c r="B3358" s="5">
        <v>1</v>
      </c>
      <c r="C3358" s="5">
        <v>1</v>
      </c>
      <c r="D3358" s="5" t="s">
        <v>723</v>
      </c>
      <c r="E3358" s="5" t="s">
        <v>725</v>
      </c>
      <c r="F3358" s="5" t="s">
        <v>730</v>
      </c>
      <c r="G3358" s="5" t="s">
        <v>726</v>
      </c>
      <c r="H3358" s="6" t="s">
        <v>6255</v>
      </c>
      <c r="I3358" s="5" t="s">
        <v>722</v>
      </c>
      <c r="J3358" s="8">
        <f>689</f>
        <v>689</v>
      </c>
      <c r="K3358" s="5" t="s">
        <v>308</v>
      </c>
      <c r="L3358" s="7">
        <f>0</f>
        <v>0</v>
      </c>
      <c r="M3358" s="7">
        <f>0</f>
        <v>0</v>
      </c>
      <c r="N3358" s="5" t="s">
        <v>242</v>
      </c>
      <c r="O3358" s="5">
        <v>1</v>
      </c>
      <c r="P3358" s="5" t="s">
        <v>294</v>
      </c>
      <c r="Q3358" s="5" t="s">
        <v>266</v>
      </c>
      <c r="R3358" s="5" t="s">
        <v>240</v>
      </c>
      <c r="S3358" s="5" t="s">
        <v>240</v>
      </c>
      <c r="T3358" s="5" t="s">
        <v>296</v>
      </c>
      <c r="U3358" s="5" t="s">
        <v>244</v>
      </c>
      <c r="V3358" s="5" t="s">
        <v>240</v>
      </c>
      <c r="Y3358" s="5" t="s">
        <v>240</v>
      </c>
      <c r="Z3358" s="6" t="s">
        <v>298</v>
      </c>
      <c r="AB3358" s="6" t="s">
        <v>240</v>
      </c>
      <c r="AE3358" s="6" t="s">
        <v>299</v>
      </c>
      <c r="AF3358" s="5" t="s">
        <v>248</v>
      </c>
      <c r="AG3358" s="5" t="s">
        <v>249</v>
      </c>
      <c r="AW3358" s="5" t="s">
        <v>251</v>
      </c>
      <c r="AX3358" s="5" t="s">
        <v>240</v>
      </c>
      <c r="AY3358" s="5" t="s">
        <v>253</v>
      </c>
      <c r="AZ3358" s="5" t="s">
        <v>240</v>
      </c>
      <c r="BA3358" s="5" t="s">
        <v>255</v>
      </c>
      <c r="BB3358" s="5" t="s">
        <v>240</v>
      </c>
      <c r="BD3358" s="5" t="s">
        <v>240</v>
      </c>
      <c r="BF3358" s="5" t="s">
        <v>301</v>
      </c>
      <c r="BG3358" s="6" t="s">
        <v>299</v>
      </c>
      <c r="BH3358" s="5" t="s">
        <v>302</v>
      </c>
      <c r="BI3358" s="5" t="s">
        <v>303</v>
      </c>
      <c r="BJ3358" s="5" t="s">
        <v>240</v>
      </c>
      <c r="BK3358" s="8">
        <f>0</f>
        <v>0</v>
      </c>
      <c r="BL3358" s="7">
        <f>0</f>
        <v>0</v>
      </c>
      <c r="BM3358" s="5" t="s">
        <v>258</v>
      </c>
      <c r="BN3358" s="5" t="s">
        <v>259</v>
      </c>
      <c r="CB3358" s="5" t="s">
        <v>240</v>
      </c>
      <c r="CC3358" s="5" t="s">
        <v>240</v>
      </c>
      <c r="CG3358" s="5" t="s">
        <v>304</v>
      </c>
      <c r="CH3358" s="5" t="s">
        <v>305</v>
      </c>
      <c r="CI3358" s="5" t="s">
        <v>240</v>
      </c>
      <c r="CL3358" s="6" t="s">
        <v>261</v>
      </c>
      <c r="CM3358" s="5" t="s">
        <v>240</v>
      </c>
      <c r="CN3358" s="5" t="s">
        <v>263</v>
      </c>
      <c r="CO3358" s="5" t="s">
        <v>240</v>
      </c>
      <c r="CP3358" s="5" t="s">
        <v>240</v>
      </c>
      <c r="CQ3358" s="5">
        <v>0</v>
      </c>
      <c r="CR3358" s="5" t="s">
        <v>306</v>
      </c>
      <c r="CS3358" s="5" t="s">
        <v>307</v>
      </c>
      <c r="CT3358" s="5" t="s">
        <v>307</v>
      </c>
      <c r="CU3358" s="5" t="s">
        <v>260</v>
      </c>
      <c r="CX3358" s="7">
        <f>1</f>
        <v>1</v>
      </c>
      <c r="CY3358" s="7">
        <f>0</f>
        <v>0</v>
      </c>
      <c r="DA3358" s="7">
        <f>0</f>
        <v>0</v>
      </c>
      <c r="DC3358" s="5" t="s">
        <v>309</v>
      </c>
      <c r="DD3358" s="5" t="s">
        <v>240</v>
      </c>
      <c r="DF3358" s="5" t="s">
        <v>309</v>
      </c>
      <c r="DG3358" s="7">
        <f>881</f>
        <v>881</v>
      </c>
      <c r="DI3358" s="5" t="s">
        <v>240</v>
      </c>
      <c r="DJ3358" s="5" t="s">
        <v>240</v>
      </c>
      <c r="DK3358" s="5" t="s">
        <v>240</v>
      </c>
      <c r="DL3358" s="5" t="s">
        <v>240</v>
      </c>
      <c r="DP3358" s="5" t="s">
        <v>240</v>
      </c>
      <c r="DQ3358" s="5" t="s">
        <v>240</v>
      </c>
      <c r="DR3358" s="5" t="s">
        <v>240</v>
      </c>
      <c r="DS3358" s="5" t="s">
        <v>240</v>
      </c>
      <c r="DV3358" s="5" t="s">
        <v>310</v>
      </c>
      <c r="DW3358" s="5" t="s">
        <v>4993</v>
      </c>
      <c r="HO3358" s="5" t="s">
        <v>312</v>
      </c>
    </row>
    <row r="3359" spans="1:240" x14ac:dyDescent="0.4">
      <c r="A3359" s="5">
        <v>8901</v>
      </c>
      <c r="B3359" s="5">
        <v>1</v>
      </c>
      <c r="C3359" s="5">
        <v>1</v>
      </c>
      <c r="D3359" s="5" t="s">
        <v>723</v>
      </c>
      <c r="E3359" s="5" t="s">
        <v>725</v>
      </c>
      <c r="F3359" s="5" t="s">
        <v>730</v>
      </c>
      <c r="G3359" s="5" t="s">
        <v>726</v>
      </c>
      <c r="H3359" s="6" t="s">
        <v>6647</v>
      </c>
      <c r="I3359" s="5" t="s">
        <v>722</v>
      </c>
      <c r="J3359" s="8">
        <f>522</f>
        <v>522</v>
      </c>
      <c r="K3359" s="5" t="s">
        <v>308</v>
      </c>
      <c r="L3359" s="7">
        <f>0</f>
        <v>0</v>
      </c>
      <c r="M3359" s="7">
        <f>0</f>
        <v>0</v>
      </c>
      <c r="N3359" s="5" t="s">
        <v>242</v>
      </c>
      <c r="O3359" s="5">
        <v>1</v>
      </c>
      <c r="P3359" s="5" t="s">
        <v>294</v>
      </c>
      <c r="Q3359" s="5" t="s">
        <v>3678</v>
      </c>
      <c r="R3359" s="5" t="s">
        <v>240</v>
      </c>
      <c r="S3359" s="5" t="s">
        <v>240</v>
      </c>
      <c r="T3359" s="5" t="s">
        <v>243</v>
      </c>
      <c r="U3359" s="5" t="s">
        <v>244</v>
      </c>
      <c r="V3359" s="5" t="s">
        <v>240</v>
      </c>
      <c r="W3359" s="5" t="s">
        <v>240</v>
      </c>
      <c r="X3359" s="5" t="s">
        <v>240</v>
      </c>
      <c r="Y3359" s="5" t="s">
        <v>240</v>
      </c>
      <c r="Z3359" s="6" t="s">
        <v>298</v>
      </c>
      <c r="AA3359" s="6" t="s">
        <v>240</v>
      </c>
      <c r="AB3359" s="6" t="s">
        <v>240</v>
      </c>
      <c r="AC3359" s="5" t="s">
        <v>240</v>
      </c>
      <c r="AD3359" s="6" t="s">
        <v>240</v>
      </c>
      <c r="AE3359" s="6" t="s">
        <v>299</v>
      </c>
      <c r="AF3359" s="5" t="s">
        <v>248</v>
      </c>
      <c r="AG3359" s="5" t="s">
        <v>249</v>
      </c>
      <c r="AH3359" s="5" t="s">
        <v>240</v>
      </c>
      <c r="AI3359" s="5" t="s">
        <v>240</v>
      </c>
      <c r="AJ3359" s="5" t="s">
        <v>240</v>
      </c>
      <c r="AK3359" s="5" t="s">
        <v>240</v>
      </c>
      <c r="AL3359" s="5" t="s">
        <v>240</v>
      </c>
      <c r="AM3359" s="5" t="s">
        <v>240</v>
      </c>
      <c r="AN3359" s="5" t="s">
        <v>240</v>
      </c>
      <c r="AO3359" s="5" t="s">
        <v>240</v>
      </c>
      <c r="AP3359" s="6" t="s">
        <v>240</v>
      </c>
      <c r="AQ3359" s="6" t="s">
        <v>240</v>
      </c>
      <c r="AR3359" s="6" t="s">
        <v>240</v>
      </c>
      <c r="AS3359" s="6" t="s">
        <v>240</v>
      </c>
      <c r="AT3359" s="5" t="s">
        <v>240</v>
      </c>
      <c r="AU3359" s="5" t="s">
        <v>729</v>
      </c>
      <c r="AV3359" s="5" t="s">
        <v>729</v>
      </c>
      <c r="AW3359" s="5" t="s">
        <v>251</v>
      </c>
      <c r="AX3359" s="5" t="s">
        <v>252</v>
      </c>
      <c r="AY3359" s="5" t="s">
        <v>253</v>
      </c>
      <c r="AZ3359" s="5" t="s">
        <v>240</v>
      </c>
      <c r="BA3359" s="5" t="s">
        <v>255</v>
      </c>
      <c r="BB3359" s="5" t="s">
        <v>731</v>
      </c>
      <c r="BD3359" s="5" t="s">
        <v>240</v>
      </c>
      <c r="BF3359" s="5" t="s">
        <v>732</v>
      </c>
      <c r="BG3359" s="6" t="s">
        <v>733</v>
      </c>
      <c r="BH3359" s="5" t="s">
        <v>734</v>
      </c>
      <c r="BI3359" s="5" t="s">
        <v>734</v>
      </c>
      <c r="BJ3359" s="5" t="s">
        <v>240</v>
      </c>
      <c r="BK3359" s="7">
        <f>1</f>
        <v>1</v>
      </c>
      <c r="BL3359" s="7">
        <f>1</f>
        <v>1</v>
      </c>
      <c r="BM3359" s="5" t="s">
        <v>258</v>
      </c>
      <c r="BN3359" s="5" t="s">
        <v>259</v>
      </c>
      <c r="BO3359" s="5" t="s">
        <v>240</v>
      </c>
      <c r="BP3359" s="5" t="s">
        <v>240</v>
      </c>
      <c r="BQ3359" s="5" t="s">
        <v>240</v>
      </c>
      <c r="BR3359" s="5" t="s">
        <v>240</v>
      </c>
      <c r="BS3359" s="5" t="s">
        <v>240</v>
      </c>
      <c r="BT3359" s="5" t="s">
        <v>240</v>
      </c>
      <c r="BU3359" s="5" t="s">
        <v>240</v>
      </c>
      <c r="BV3359" s="5" t="s">
        <v>240</v>
      </c>
      <c r="BW3359" s="6" t="s">
        <v>240</v>
      </c>
      <c r="BX3359" s="5" t="s">
        <v>240</v>
      </c>
      <c r="BY3359" s="5" t="s">
        <v>240</v>
      </c>
      <c r="BZ3359" s="5" t="s">
        <v>240</v>
      </c>
      <c r="CA3359" s="5" t="s">
        <v>259</v>
      </c>
      <c r="CB3359" s="5" t="s">
        <v>240</v>
      </c>
      <c r="CC3359" s="5" t="s">
        <v>240</v>
      </c>
      <c r="CD3359" s="5" t="s">
        <v>240</v>
      </c>
      <c r="CE3359" s="5" t="s">
        <v>240</v>
      </c>
      <c r="CF3359" s="5" t="s">
        <v>240</v>
      </c>
      <c r="CG3359" s="5" t="s">
        <v>304</v>
      </c>
      <c r="CH3359" s="5" t="s">
        <v>305</v>
      </c>
      <c r="CI3359" s="5" t="s">
        <v>240</v>
      </c>
      <c r="CK3359" s="5" t="s">
        <v>3681</v>
      </c>
      <c r="CL3359" s="6" t="s">
        <v>261</v>
      </c>
      <c r="CM3359" s="5" t="s">
        <v>262</v>
      </c>
      <c r="CN3359" s="5" t="s">
        <v>263</v>
      </c>
      <c r="CO3359" s="5" t="s">
        <v>264</v>
      </c>
      <c r="CP3359" s="5" t="s">
        <v>240</v>
      </c>
      <c r="CQ3359" s="5">
        <v>0</v>
      </c>
      <c r="CR3359" s="5" t="s">
        <v>735</v>
      </c>
      <c r="CS3359" s="5" t="s">
        <v>307</v>
      </c>
      <c r="CT3359" s="5" t="s">
        <v>307</v>
      </c>
      <c r="CU3359" s="5" t="s">
        <v>260</v>
      </c>
      <c r="CV3359" s="5" t="s">
        <v>612</v>
      </c>
      <c r="CW3359" s="8">
        <f>1</f>
        <v>1</v>
      </c>
      <c r="CX3359" s="7">
        <f>1</f>
        <v>1</v>
      </c>
      <c r="CY3359" s="7">
        <f>0</f>
        <v>0</v>
      </c>
      <c r="DA3359" s="7">
        <f>1</f>
        <v>1</v>
      </c>
      <c r="DB3359" s="7" t="s">
        <v>240</v>
      </c>
      <c r="DC3359" s="5" t="s">
        <v>240</v>
      </c>
      <c r="DD3359" s="5" t="s">
        <v>240</v>
      </c>
      <c r="DE3359" s="5" t="s">
        <v>240</v>
      </c>
      <c r="DF3359" s="5" t="s">
        <v>240</v>
      </c>
      <c r="DG3359" s="7">
        <f>0</f>
        <v>0</v>
      </c>
      <c r="DI3359" s="5" t="s">
        <v>240</v>
      </c>
      <c r="DJ3359" s="5" t="s">
        <v>240</v>
      </c>
      <c r="DK3359" s="5" t="s">
        <v>240</v>
      </c>
      <c r="DL3359" s="5" t="s">
        <v>240</v>
      </c>
      <c r="DM3359" s="5" t="s">
        <v>240</v>
      </c>
      <c r="DN3359" s="5" t="s">
        <v>240</v>
      </c>
      <c r="DO3359" s="7" t="s">
        <v>240</v>
      </c>
      <c r="DP3359" s="5" t="s">
        <v>240</v>
      </c>
      <c r="DQ3359" s="5" t="s">
        <v>240</v>
      </c>
      <c r="DR3359" s="5" t="s">
        <v>731</v>
      </c>
      <c r="DS3359" s="5" t="s">
        <v>731</v>
      </c>
      <c r="DT3359" s="5" t="s">
        <v>240</v>
      </c>
      <c r="DU3359" s="5" t="s">
        <v>240</v>
      </c>
      <c r="DV3359" s="5" t="s">
        <v>3683</v>
      </c>
      <c r="DW3359" s="5" t="s">
        <v>4021</v>
      </c>
      <c r="DX3359" s="5" t="s">
        <v>240</v>
      </c>
      <c r="DY3359" s="5" t="s">
        <v>240</v>
      </c>
      <c r="DZ3359" s="5" t="s">
        <v>240</v>
      </c>
      <c r="EA3359" s="5" t="s">
        <v>240</v>
      </c>
      <c r="EB3359" s="5" t="s">
        <v>240</v>
      </c>
      <c r="EC3359" s="5" t="s">
        <v>240</v>
      </c>
      <c r="ED3359" s="5" t="s">
        <v>240</v>
      </c>
      <c r="EE3359" s="5" t="s">
        <v>240</v>
      </c>
      <c r="EF3359" s="5" t="s">
        <v>240</v>
      </c>
      <c r="EG3359" s="5" t="s">
        <v>240</v>
      </c>
      <c r="EH3359" s="5" t="s">
        <v>240</v>
      </c>
      <c r="EI3359" s="5" t="s">
        <v>240</v>
      </c>
      <c r="EJ3359" s="5" t="s">
        <v>240</v>
      </c>
      <c r="EK3359" s="5" t="s">
        <v>240</v>
      </c>
      <c r="EL3359" s="5" t="s">
        <v>240</v>
      </c>
      <c r="EM3359" s="5" t="s">
        <v>240</v>
      </c>
      <c r="EN3359" s="5" t="s">
        <v>240</v>
      </c>
      <c r="EO3359" s="5" t="s">
        <v>240</v>
      </c>
      <c r="EP3359" s="5" t="s">
        <v>240</v>
      </c>
      <c r="EQ3359" s="5" t="s">
        <v>240</v>
      </c>
      <c r="ER3359" s="5" t="s">
        <v>240</v>
      </c>
      <c r="ES3359" s="5" t="s">
        <v>240</v>
      </c>
      <c r="ET3359" s="5" t="s">
        <v>240</v>
      </c>
      <c r="EU3359" s="5" t="s">
        <v>240</v>
      </c>
      <c r="EV3359" s="5" t="s">
        <v>240</v>
      </c>
      <c r="EW3359" s="5" t="s">
        <v>240</v>
      </c>
      <c r="EX3359" s="5" t="s">
        <v>240</v>
      </c>
      <c r="EY3359" s="5" t="s">
        <v>240</v>
      </c>
      <c r="EZ3359" s="5" t="s">
        <v>240</v>
      </c>
      <c r="FA3359" s="5" t="s">
        <v>240</v>
      </c>
      <c r="FB3359" s="5" t="s">
        <v>240</v>
      </c>
      <c r="FC3359" s="5" t="s">
        <v>240</v>
      </c>
      <c r="FD3359" s="5" t="s">
        <v>240</v>
      </c>
      <c r="FE3359" s="5" t="s">
        <v>240</v>
      </c>
      <c r="FF3359" s="5" t="s">
        <v>240</v>
      </c>
      <c r="FG3359" s="5" t="s">
        <v>240</v>
      </c>
      <c r="FH3359" s="5" t="s">
        <v>240</v>
      </c>
      <c r="FI3359" s="5" t="s">
        <v>240</v>
      </c>
      <c r="FJ3359" s="5" t="s">
        <v>240</v>
      </c>
      <c r="FK3359" s="5" t="s">
        <v>240</v>
      </c>
      <c r="FL3359" s="5" t="s">
        <v>240</v>
      </c>
      <c r="FM3359" s="5" t="s">
        <v>240</v>
      </c>
      <c r="FN3359" s="5" t="s">
        <v>240</v>
      </c>
      <c r="FO3359" s="5" t="s">
        <v>240</v>
      </c>
      <c r="FP3359" s="5" t="s">
        <v>240</v>
      </c>
      <c r="FQ3359" s="5" t="s">
        <v>240</v>
      </c>
      <c r="FR3359" s="5" t="s">
        <v>240</v>
      </c>
      <c r="FS3359" s="5" t="s">
        <v>240</v>
      </c>
      <c r="FT3359" s="5" t="s">
        <v>240</v>
      </c>
      <c r="FU3359" s="5" t="s">
        <v>240</v>
      </c>
      <c r="FV3359" s="5" t="s">
        <v>240</v>
      </c>
      <c r="FW3359" s="5" t="s">
        <v>240</v>
      </c>
      <c r="FX3359" s="5" t="s">
        <v>240</v>
      </c>
      <c r="FY3359" s="5" t="s">
        <v>240</v>
      </c>
      <c r="FZ3359" s="5" t="s">
        <v>240</v>
      </c>
      <c r="GA3359" s="5" t="s">
        <v>240</v>
      </c>
      <c r="GB3359" s="5" t="s">
        <v>240</v>
      </c>
      <c r="GC3359" s="5" t="s">
        <v>240</v>
      </c>
      <c r="GD3359" s="5" t="s">
        <v>240</v>
      </c>
      <c r="GE3359" s="5" t="s">
        <v>240</v>
      </c>
      <c r="GF3359" s="5" t="s">
        <v>240</v>
      </c>
      <c r="GG3359" s="5" t="s">
        <v>240</v>
      </c>
      <c r="GH3359" s="5" t="s">
        <v>240</v>
      </c>
      <c r="GI3359" s="5" t="s">
        <v>240</v>
      </c>
      <c r="GJ3359" s="5" t="s">
        <v>240</v>
      </c>
      <c r="GK3359" s="5" t="s">
        <v>240</v>
      </c>
      <c r="GL3359" s="5" t="s">
        <v>240</v>
      </c>
      <c r="GM3359" s="5" t="s">
        <v>240</v>
      </c>
      <c r="GN3359" s="5" t="s">
        <v>240</v>
      </c>
      <c r="GO3359" s="5" t="s">
        <v>240</v>
      </c>
      <c r="GP3359" s="5" t="s">
        <v>240</v>
      </c>
      <c r="GQ3359" s="5" t="s">
        <v>240</v>
      </c>
      <c r="GR3359" s="5" t="s">
        <v>240</v>
      </c>
      <c r="GS3359" s="5" t="s">
        <v>240</v>
      </c>
      <c r="GT3359" s="5" t="s">
        <v>240</v>
      </c>
      <c r="GU3359" s="5" t="s">
        <v>240</v>
      </c>
      <c r="GV3359" s="5" t="s">
        <v>240</v>
      </c>
      <c r="GW3359" s="5" t="s">
        <v>240</v>
      </c>
      <c r="GX3359" s="5" t="s">
        <v>240</v>
      </c>
      <c r="GY3359" s="5" t="s">
        <v>240</v>
      </c>
      <c r="GZ3359" s="5" t="s">
        <v>240</v>
      </c>
      <c r="HA3359" s="5" t="s">
        <v>240</v>
      </c>
      <c r="HB3359" s="5" t="s">
        <v>240</v>
      </c>
      <c r="HC3359" s="5" t="s">
        <v>240</v>
      </c>
      <c r="HD3359" s="5" t="s">
        <v>240</v>
      </c>
      <c r="HE3359" s="5" t="s">
        <v>240</v>
      </c>
      <c r="HF3359" s="5" t="s">
        <v>240</v>
      </c>
      <c r="HG3359" s="5" t="s">
        <v>240</v>
      </c>
      <c r="HH3359" s="5" t="s">
        <v>240</v>
      </c>
      <c r="HI3359" s="5" t="s">
        <v>240</v>
      </c>
      <c r="HJ3359" s="5" t="s">
        <v>240</v>
      </c>
      <c r="HK3359" s="5" t="s">
        <v>240</v>
      </c>
      <c r="HL3359" s="5" t="s">
        <v>240</v>
      </c>
      <c r="HM3359" s="5" t="s">
        <v>240</v>
      </c>
      <c r="HN3359" s="5" t="s">
        <v>240</v>
      </c>
      <c r="HO3359" s="5" t="s">
        <v>312</v>
      </c>
      <c r="HP3359" s="5" t="s">
        <v>240</v>
      </c>
      <c r="HQ3359" s="5" t="s">
        <v>240</v>
      </c>
      <c r="HR3359" s="5" t="s">
        <v>240</v>
      </c>
      <c r="HS3359" s="5" t="s">
        <v>240</v>
      </c>
      <c r="HT3359" s="5" t="s">
        <v>240</v>
      </c>
      <c r="HU3359" s="5" t="s">
        <v>240</v>
      </c>
      <c r="HV3359" s="5" t="s">
        <v>240</v>
      </c>
      <c r="HW3359" s="5" t="s">
        <v>240</v>
      </c>
      <c r="HX3359" s="5" t="s">
        <v>240</v>
      </c>
      <c r="HY3359" s="5" t="s">
        <v>240</v>
      </c>
      <c r="HZ3359" s="5" t="s">
        <v>240</v>
      </c>
      <c r="IA3359" s="5" t="s">
        <v>240</v>
      </c>
      <c r="IB3359" s="5" t="s">
        <v>240</v>
      </c>
      <c r="IC3359" s="5" t="s">
        <v>240</v>
      </c>
      <c r="ID3359" s="5" t="s">
        <v>240</v>
      </c>
      <c r="IE3359" s="5" t="s">
        <v>240</v>
      </c>
      <c r="IF3359" s="5" t="s">
        <v>240</v>
      </c>
    </row>
    <row r="3360" spans="1:240" x14ac:dyDescent="0.4">
      <c r="A3360" s="5">
        <v>8902</v>
      </c>
      <c r="B3360" s="5">
        <v>1</v>
      </c>
      <c r="C3360" s="5">
        <v>1</v>
      </c>
      <c r="D3360" s="5" t="s">
        <v>723</v>
      </c>
      <c r="E3360" s="5" t="s">
        <v>725</v>
      </c>
      <c r="F3360" s="5" t="s">
        <v>730</v>
      </c>
      <c r="G3360" s="5" t="s">
        <v>726</v>
      </c>
      <c r="H3360" s="6" t="s">
        <v>6251</v>
      </c>
      <c r="I3360" s="5" t="s">
        <v>990</v>
      </c>
      <c r="J3360" s="8">
        <f>141</f>
        <v>141</v>
      </c>
      <c r="K3360" s="5" t="s">
        <v>308</v>
      </c>
      <c r="L3360" s="7">
        <f>0</f>
        <v>0</v>
      </c>
      <c r="M3360" s="7">
        <f>0</f>
        <v>0</v>
      </c>
      <c r="N3360" s="5" t="s">
        <v>242</v>
      </c>
      <c r="O3360" s="5">
        <v>1</v>
      </c>
      <c r="P3360" s="5" t="s">
        <v>294</v>
      </c>
      <c r="Q3360" s="5" t="s">
        <v>3678</v>
      </c>
      <c r="R3360" s="5" t="s">
        <v>240</v>
      </c>
      <c r="S3360" s="5" t="s">
        <v>240</v>
      </c>
      <c r="T3360" s="5" t="s">
        <v>243</v>
      </c>
      <c r="U3360" s="5" t="s">
        <v>244</v>
      </c>
      <c r="V3360" s="5" t="s">
        <v>240</v>
      </c>
      <c r="W3360" s="5" t="s">
        <v>240</v>
      </c>
      <c r="X3360" s="5" t="s">
        <v>240</v>
      </c>
      <c r="Y3360" s="5" t="s">
        <v>240</v>
      </c>
      <c r="Z3360" s="6" t="s">
        <v>298</v>
      </c>
      <c r="AA3360" s="6" t="s">
        <v>240</v>
      </c>
      <c r="AB3360" s="6" t="s">
        <v>240</v>
      </c>
      <c r="AC3360" s="5" t="s">
        <v>240</v>
      </c>
      <c r="AD3360" s="6" t="s">
        <v>240</v>
      </c>
      <c r="AE3360" s="6" t="s">
        <v>299</v>
      </c>
      <c r="AF3360" s="5" t="s">
        <v>248</v>
      </c>
      <c r="AG3360" s="5" t="s">
        <v>249</v>
      </c>
      <c r="AH3360" s="5" t="s">
        <v>240</v>
      </c>
      <c r="AI3360" s="5" t="s">
        <v>240</v>
      </c>
      <c r="AJ3360" s="5" t="s">
        <v>240</v>
      </c>
      <c r="AK3360" s="5" t="s">
        <v>240</v>
      </c>
      <c r="AL3360" s="5" t="s">
        <v>240</v>
      </c>
      <c r="AM3360" s="5" t="s">
        <v>240</v>
      </c>
      <c r="AN3360" s="5" t="s">
        <v>240</v>
      </c>
      <c r="AO3360" s="5" t="s">
        <v>240</v>
      </c>
      <c r="AP3360" s="6" t="s">
        <v>240</v>
      </c>
      <c r="AQ3360" s="6" t="s">
        <v>240</v>
      </c>
      <c r="AR3360" s="6" t="s">
        <v>240</v>
      </c>
      <c r="AS3360" s="6" t="s">
        <v>240</v>
      </c>
      <c r="AT3360" s="5" t="s">
        <v>240</v>
      </c>
      <c r="AU3360" s="5" t="s">
        <v>729</v>
      </c>
      <c r="AV3360" s="5" t="s">
        <v>729</v>
      </c>
      <c r="AW3360" s="5" t="s">
        <v>251</v>
      </c>
      <c r="AX3360" s="5" t="s">
        <v>252</v>
      </c>
      <c r="AY3360" s="5" t="s">
        <v>253</v>
      </c>
      <c r="AZ3360" s="5" t="s">
        <v>240</v>
      </c>
      <c r="BA3360" s="5" t="s">
        <v>255</v>
      </c>
      <c r="BB3360" s="5" t="s">
        <v>731</v>
      </c>
      <c r="BD3360" s="5" t="s">
        <v>240</v>
      </c>
      <c r="BF3360" s="5" t="s">
        <v>732</v>
      </c>
      <c r="BG3360" s="6" t="s">
        <v>733</v>
      </c>
      <c r="BH3360" s="5" t="s">
        <v>734</v>
      </c>
      <c r="BI3360" s="5" t="s">
        <v>734</v>
      </c>
      <c r="BJ3360" s="5" t="s">
        <v>240</v>
      </c>
      <c r="BK3360" s="7">
        <f>1</f>
        <v>1</v>
      </c>
      <c r="BL3360" s="7">
        <f>1</f>
        <v>1</v>
      </c>
      <c r="BM3360" s="5" t="s">
        <v>258</v>
      </c>
      <c r="BN3360" s="5" t="s">
        <v>259</v>
      </c>
      <c r="BO3360" s="5" t="s">
        <v>240</v>
      </c>
      <c r="BP3360" s="5" t="s">
        <v>240</v>
      </c>
      <c r="BQ3360" s="5" t="s">
        <v>240</v>
      </c>
      <c r="BR3360" s="5" t="s">
        <v>240</v>
      </c>
      <c r="BS3360" s="5" t="s">
        <v>240</v>
      </c>
      <c r="BT3360" s="5" t="s">
        <v>240</v>
      </c>
      <c r="BU3360" s="5" t="s">
        <v>240</v>
      </c>
      <c r="BV3360" s="5" t="s">
        <v>240</v>
      </c>
      <c r="BW3360" s="6" t="s">
        <v>240</v>
      </c>
      <c r="BX3360" s="5" t="s">
        <v>240</v>
      </c>
      <c r="BY3360" s="5" t="s">
        <v>240</v>
      </c>
      <c r="BZ3360" s="5" t="s">
        <v>240</v>
      </c>
      <c r="CA3360" s="5" t="s">
        <v>259</v>
      </c>
      <c r="CB3360" s="5" t="s">
        <v>240</v>
      </c>
      <c r="CC3360" s="5" t="s">
        <v>240</v>
      </c>
      <c r="CD3360" s="5" t="s">
        <v>240</v>
      </c>
      <c r="CE3360" s="5" t="s">
        <v>240</v>
      </c>
      <c r="CF3360" s="5" t="s">
        <v>240</v>
      </c>
      <c r="CG3360" s="5" t="s">
        <v>304</v>
      </c>
      <c r="CH3360" s="5" t="s">
        <v>305</v>
      </c>
      <c r="CI3360" s="5" t="s">
        <v>240</v>
      </c>
      <c r="CK3360" s="5" t="s">
        <v>3681</v>
      </c>
      <c r="CL3360" s="6" t="s">
        <v>261</v>
      </c>
      <c r="CM3360" s="5" t="s">
        <v>262</v>
      </c>
      <c r="CN3360" s="5" t="s">
        <v>263</v>
      </c>
      <c r="CO3360" s="5" t="s">
        <v>264</v>
      </c>
      <c r="CP3360" s="5" t="s">
        <v>240</v>
      </c>
      <c r="CQ3360" s="5">
        <v>0</v>
      </c>
      <c r="CR3360" s="5" t="s">
        <v>735</v>
      </c>
      <c r="CS3360" s="5" t="s">
        <v>307</v>
      </c>
      <c r="CT3360" s="5" t="s">
        <v>307</v>
      </c>
      <c r="CU3360" s="5" t="s">
        <v>260</v>
      </c>
      <c r="CV3360" s="5" t="s">
        <v>612</v>
      </c>
      <c r="CW3360" s="8">
        <f>1</f>
        <v>1</v>
      </c>
      <c r="CX3360" s="7">
        <f>1</f>
        <v>1</v>
      </c>
      <c r="CY3360" s="7">
        <f>0</f>
        <v>0</v>
      </c>
      <c r="DA3360" s="7">
        <f>1</f>
        <v>1</v>
      </c>
      <c r="DB3360" s="7" t="s">
        <v>240</v>
      </c>
      <c r="DC3360" s="5" t="s">
        <v>240</v>
      </c>
      <c r="DD3360" s="5" t="s">
        <v>240</v>
      </c>
      <c r="DE3360" s="5" t="s">
        <v>240</v>
      </c>
      <c r="DF3360" s="5" t="s">
        <v>240</v>
      </c>
      <c r="DG3360" s="7">
        <f>0</f>
        <v>0</v>
      </c>
      <c r="DI3360" s="5" t="s">
        <v>240</v>
      </c>
      <c r="DJ3360" s="5" t="s">
        <v>240</v>
      </c>
      <c r="DK3360" s="5" t="s">
        <v>240</v>
      </c>
      <c r="DL3360" s="5" t="s">
        <v>240</v>
      </c>
      <c r="DM3360" s="5" t="s">
        <v>240</v>
      </c>
      <c r="DN3360" s="5" t="s">
        <v>240</v>
      </c>
      <c r="DO3360" s="7" t="s">
        <v>240</v>
      </c>
      <c r="DP3360" s="5" t="s">
        <v>240</v>
      </c>
      <c r="DQ3360" s="5" t="s">
        <v>240</v>
      </c>
      <c r="DR3360" s="5" t="s">
        <v>731</v>
      </c>
      <c r="DS3360" s="5" t="s">
        <v>731</v>
      </c>
      <c r="DT3360" s="5" t="s">
        <v>240</v>
      </c>
      <c r="DU3360" s="5" t="s">
        <v>240</v>
      </c>
      <c r="DV3360" s="5" t="s">
        <v>5063</v>
      </c>
      <c r="DW3360" s="5" t="s">
        <v>705</v>
      </c>
      <c r="DX3360" s="5" t="s">
        <v>240</v>
      </c>
      <c r="DY3360" s="5" t="s">
        <v>240</v>
      </c>
      <c r="DZ3360" s="5" t="s">
        <v>240</v>
      </c>
      <c r="EA3360" s="5" t="s">
        <v>240</v>
      </c>
      <c r="EB3360" s="5" t="s">
        <v>240</v>
      </c>
      <c r="EC3360" s="5" t="s">
        <v>240</v>
      </c>
      <c r="ED3360" s="5" t="s">
        <v>240</v>
      </c>
      <c r="EE3360" s="5" t="s">
        <v>240</v>
      </c>
      <c r="EF3360" s="5" t="s">
        <v>240</v>
      </c>
      <c r="EG3360" s="5" t="s">
        <v>240</v>
      </c>
      <c r="EH3360" s="5" t="s">
        <v>240</v>
      </c>
      <c r="EI3360" s="5" t="s">
        <v>240</v>
      </c>
      <c r="EJ3360" s="5" t="s">
        <v>240</v>
      </c>
      <c r="EK3360" s="5" t="s">
        <v>240</v>
      </c>
      <c r="EL3360" s="5" t="s">
        <v>240</v>
      </c>
      <c r="EM3360" s="5" t="s">
        <v>240</v>
      </c>
      <c r="EN3360" s="5" t="s">
        <v>240</v>
      </c>
      <c r="EO3360" s="5" t="s">
        <v>240</v>
      </c>
      <c r="EP3360" s="5" t="s">
        <v>240</v>
      </c>
      <c r="EQ3360" s="5" t="s">
        <v>240</v>
      </c>
      <c r="ER3360" s="5" t="s">
        <v>240</v>
      </c>
      <c r="ES3360" s="5" t="s">
        <v>240</v>
      </c>
      <c r="ET3360" s="5" t="s">
        <v>240</v>
      </c>
      <c r="EU3360" s="5" t="s">
        <v>240</v>
      </c>
      <c r="EV3360" s="5" t="s">
        <v>240</v>
      </c>
      <c r="EW3360" s="5" t="s">
        <v>240</v>
      </c>
      <c r="EX3360" s="5" t="s">
        <v>240</v>
      </c>
      <c r="EY3360" s="5" t="s">
        <v>240</v>
      </c>
      <c r="EZ3360" s="5" t="s">
        <v>240</v>
      </c>
      <c r="FA3360" s="5" t="s">
        <v>240</v>
      </c>
      <c r="FB3360" s="5" t="s">
        <v>240</v>
      </c>
      <c r="FC3360" s="5" t="s">
        <v>240</v>
      </c>
      <c r="FD3360" s="5" t="s">
        <v>240</v>
      </c>
      <c r="FE3360" s="5" t="s">
        <v>240</v>
      </c>
      <c r="FF3360" s="5" t="s">
        <v>240</v>
      </c>
      <c r="FG3360" s="5" t="s">
        <v>240</v>
      </c>
      <c r="FH3360" s="5" t="s">
        <v>240</v>
      </c>
      <c r="FI3360" s="5" t="s">
        <v>240</v>
      </c>
      <c r="FJ3360" s="5" t="s">
        <v>240</v>
      </c>
      <c r="FK3360" s="5" t="s">
        <v>240</v>
      </c>
      <c r="FL3360" s="5" t="s">
        <v>240</v>
      </c>
      <c r="FM3360" s="5" t="s">
        <v>240</v>
      </c>
      <c r="FN3360" s="5" t="s">
        <v>240</v>
      </c>
      <c r="FO3360" s="5" t="s">
        <v>240</v>
      </c>
      <c r="FP3360" s="5" t="s">
        <v>240</v>
      </c>
      <c r="FQ3360" s="5" t="s">
        <v>240</v>
      </c>
      <c r="FR3360" s="5" t="s">
        <v>240</v>
      </c>
      <c r="FS3360" s="5" t="s">
        <v>240</v>
      </c>
      <c r="FT3360" s="5" t="s">
        <v>240</v>
      </c>
      <c r="FU3360" s="5" t="s">
        <v>240</v>
      </c>
      <c r="FV3360" s="5" t="s">
        <v>240</v>
      </c>
      <c r="FW3360" s="5" t="s">
        <v>240</v>
      </c>
      <c r="FX3360" s="5" t="s">
        <v>240</v>
      </c>
      <c r="FY3360" s="5" t="s">
        <v>240</v>
      </c>
      <c r="FZ3360" s="5" t="s">
        <v>240</v>
      </c>
      <c r="GA3360" s="5" t="s">
        <v>240</v>
      </c>
      <c r="GB3360" s="5" t="s">
        <v>240</v>
      </c>
      <c r="GC3360" s="5" t="s">
        <v>240</v>
      </c>
      <c r="GD3360" s="5" t="s">
        <v>240</v>
      </c>
      <c r="GE3360" s="5" t="s">
        <v>240</v>
      </c>
      <c r="GF3360" s="5" t="s">
        <v>240</v>
      </c>
      <c r="GG3360" s="5" t="s">
        <v>240</v>
      </c>
      <c r="GH3360" s="5" t="s">
        <v>240</v>
      </c>
      <c r="GI3360" s="5" t="s">
        <v>240</v>
      </c>
      <c r="GJ3360" s="5" t="s">
        <v>240</v>
      </c>
      <c r="GK3360" s="5" t="s">
        <v>240</v>
      </c>
      <c r="GL3360" s="5" t="s">
        <v>240</v>
      </c>
      <c r="GM3360" s="5" t="s">
        <v>240</v>
      </c>
      <c r="GN3360" s="5" t="s">
        <v>240</v>
      </c>
      <c r="GO3360" s="5" t="s">
        <v>240</v>
      </c>
      <c r="GP3360" s="5" t="s">
        <v>240</v>
      </c>
      <c r="GQ3360" s="5" t="s">
        <v>240</v>
      </c>
      <c r="GR3360" s="5" t="s">
        <v>240</v>
      </c>
      <c r="GS3360" s="5" t="s">
        <v>240</v>
      </c>
      <c r="GT3360" s="5" t="s">
        <v>240</v>
      </c>
      <c r="GU3360" s="5" t="s">
        <v>240</v>
      </c>
      <c r="GV3360" s="5" t="s">
        <v>240</v>
      </c>
      <c r="GW3360" s="5" t="s">
        <v>240</v>
      </c>
      <c r="GX3360" s="5" t="s">
        <v>240</v>
      </c>
      <c r="GY3360" s="5" t="s">
        <v>240</v>
      </c>
      <c r="GZ3360" s="5" t="s">
        <v>240</v>
      </c>
      <c r="HA3360" s="5" t="s">
        <v>240</v>
      </c>
      <c r="HB3360" s="5" t="s">
        <v>240</v>
      </c>
      <c r="HC3360" s="5" t="s">
        <v>240</v>
      </c>
      <c r="HD3360" s="5" t="s">
        <v>240</v>
      </c>
      <c r="HE3360" s="5" t="s">
        <v>240</v>
      </c>
      <c r="HF3360" s="5" t="s">
        <v>240</v>
      </c>
      <c r="HG3360" s="5" t="s">
        <v>240</v>
      </c>
      <c r="HH3360" s="5" t="s">
        <v>240</v>
      </c>
      <c r="HI3360" s="5" t="s">
        <v>240</v>
      </c>
      <c r="HJ3360" s="5" t="s">
        <v>240</v>
      </c>
      <c r="HK3360" s="5" t="s">
        <v>240</v>
      </c>
      <c r="HL3360" s="5" t="s">
        <v>240</v>
      </c>
      <c r="HM3360" s="5" t="s">
        <v>240</v>
      </c>
      <c r="HN3360" s="5" t="s">
        <v>240</v>
      </c>
      <c r="HO3360" s="5" t="s">
        <v>312</v>
      </c>
      <c r="HP3360" s="5" t="s">
        <v>240</v>
      </c>
      <c r="HQ3360" s="5" t="s">
        <v>240</v>
      </c>
      <c r="HR3360" s="5" t="s">
        <v>240</v>
      </c>
      <c r="HS3360" s="5" t="s">
        <v>240</v>
      </c>
      <c r="HT3360" s="5" t="s">
        <v>240</v>
      </c>
      <c r="HU3360" s="5" t="s">
        <v>240</v>
      </c>
      <c r="HV3360" s="5" t="s">
        <v>240</v>
      </c>
      <c r="HW3360" s="5" t="s">
        <v>240</v>
      </c>
      <c r="HX3360" s="5" t="s">
        <v>240</v>
      </c>
      <c r="HY3360" s="5" t="s">
        <v>240</v>
      </c>
      <c r="HZ3360" s="5" t="s">
        <v>240</v>
      </c>
      <c r="IA3360" s="5" t="s">
        <v>240</v>
      </c>
      <c r="IB3360" s="5" t="s">
        <v>240</v>
      </c>
      <c r="IC3360" s="5" t="s">
        <v>240</v>
      </c>
      <c r="ID3360" s="5" t="s">
        <v>240</v>
      </c>
      <c r="IE3360" s="5" t="s">
        <v>240</v>
      </c>
      <c r="IF3360" s="5" t="s">
        <v>240</v>
      </c>
    </row>
    <row r="3361" spans="1:240" x14ac:dyDescent="0.4">
      <c r="A3361" s="5">
        <v>8903</v>
      </c>
      <c r="B3361" s="5">
        <v>1</v>
      </c>
      <c r="C3361" s="5">
        <v>1</v>
      </c>
      <c r="D3361" s="5" t="s">
        <v>723</v>
      </c>
      <c r="E3361" s="5" t="s">
        <v>725</v>
      </c>
      <c r="F3361" s="5" t="s">
        <v>730</v>
      </c>
      <c r="G3361" s="5" t="s">
        <v>726</v>
      </c>
      <c r="H3361" s="6" t="s">
        <v>6646</v>
      </c>
      <c r="I3361" s="5" t="s">
        <v>722</v>
      </c>
      <c r="J3361" s="8">
        <f>952</f>
        <v>952</v>
      </c>
      <c r="K3361" s="5" t="s">
        <v>308</v>
      </c>
      <c r="L3361" s="7">
        <f>0</f>
        <v>0</v>
      </c>
      <c r="M3361" s="7">
        <f>0</f>
        <v>0</v>
      </c>
      <c r="N3361" s="5" t="s">
        <v>242</v>
      </c>
      <c r="O3361" s="5">
        <v>1</v>
      </c>
      <c r="P3361" s="5" t="s">
        <v>294</v>
      </c>
      <c r="Q3361" s="5" t="s">
        <v>3678</v>
      </c>
      <c r="R3361" s="5" t="s">
        <v>240</v>
      </c>
      <c r="S3361" s="5" t="s">
        <v>240</v>
      </c>
      <c r="T3361" s="5" t="s">
        <v>243</v>
      </c>
      <c r="U3361" s="5" t="s">
        <v>244</v>
      </c>
      <c r="V3361" s="5" t="s">
        <v>240</v>
      </c>
      <c r="W3361" s="5" t="s">
        <v>240</v>
      </c>
      <c r="X3361" s="5" t="s">
        <v>240</v>
      </c>
      <c r="Y3361" s="5" t="s">
        <v>240</v>
      </c>
      <c r="Z3361" s="6" t="s">
        <v>298</v>
      </c>
      <c r="AA3361" s="6" t="s">
        <v>240</v>
      </c>
      <c r="AB3361" s="6" t="s">
        <v>240</v>
      </c>
      <c r="AC3361" s="5" t="s">
        <v>240</v>
      </c>
      <c r="AD3361" s="6" t="s">
        <v>240</v>
      </c>
      <c r="AE3361" s="6" t="s">
        <v>299</v>
      </c>
      <c r="AF3361" s="5" t="s">
        <v>248</v>
      </c>
      <c r="AG3361" s="5" t="s">
        <v>249</v>
      </c>
      <c r="AH3361" s="5" t="s">
        <v>240</v>
      </c>
      <c r="AI3361" s="5" t="s">
        <v>240</v>
      </c>
      <c r="AJ3361" s="5" t="s">
        <v>240</v>
      </c>
      <c r="AK3361" s="5" t="s">
        <v>240</v>
      </c>
      <c r="AL3361" s="5" t="s">
        <v>240</v>
      </c>
      <c r="AM3361" s="5" t="s">
        <v>240</v>
      </c>
      <c r="AN3361" s="5" t="s">
        <v>240</v>
      </c>
      <c r="AO3361" s="5" t="s">
        <v>240</v>
      </c>
      <c r="AP3361" s="6" t="s">
        <v>240</v>
      </c>
      <c r="AQ3361" s="6" t="s">
        <v>240</v>
      </c>
      <c r="AR3361" s="6" t="s">
        <v>240</v>
      </c>
      <c r="AS3361" s="6" t="s">
        <v>240</v>
      </c>
      <c r="AT3361" s="5" t="s">
        <v>240</v>
      </c>
      <c r="AU3361" s="5" t="s">
        <v>729</v>
      </c>
      <c r="AV3361" s="5" t="s">
        <v>729</v>
      </c>
      <c r="AW3361" s="5" t="s">
        <v>251</v>
      </c>
      <c r="AX3361" s="5" t="s">
        <v>252</v>
      </c>
      <c r="AY3361" s="5" t="s">
        <v>253</v>
      </c>
      <c r="AZ3361" s="5" t="s">
        <v>240</v>
      </c>
      <c r="BA3361" s="5" t="s">
        <v>255</v>
      </c>
      <c r="BB3361" s="5" t="s">
        <v>731</v>
      </c>
      <c r="BD3361" s="5" t="s">
        <v>240</v>
      </c>
      <c r="BF3361" s="5" t="s">
        <v>732</v>
      </c>
      <c r="BG3361" s="6" t="s">
        <v>733</v>
      </c>
      <c r="BH3361" s="5" t="s">
        <v>734</v>
      </c>
      <c r="BI3361" s="5" t="s">
        <v>734</v>
      </c>
      <c r="BJ3361" s="5" t="s">
        <v>240</v>
      </c>
      <c r="BK3361" s="7">
        <f>1</f>
        <v>1</v>
      </c>
      <c r="BL3361" s="7">
        <f>1</f>
        <v>1</v>
      </c>
      <c r="BM3361" s="5" t="s">
        <v>258</v>
      </c>
      <c r="BN3361" s="5" t="s">
        <v>259</v>
      </c>
      <c r="BO3361" s="5" t="s">
        <v>240</v>
      </c>
      <c r="BP3361" s="5" t="s">
        <v>240</v>
      </c>
      <c r="BQ3361" s="5" t="s">
        <v>240</v>
      </c>
      <c r="BR3361" s="5" t="s">
        <v>240</v>
      </c>
      <c r="BS3361" s="5" t="s">
        <v>240</v>
      </c>
      <c r="BT3361" s="5" t="s">
        <v>240</v>
      </c>
      <c r="BU3361" s="5" t="s">
        <v>240</v>
      </c>
      <c r="BV3361" s="5" t="s">
        <v>240</v>
      </c>
      <c r="BW3361" s="6" t="s">
        <v>240</v>
      </c>
      <c r="BX3361" s="5" t="s">
        <v>240</v>
      </c>
      <c r="BY3361" s="5" t="s">
        <v>240</v>
      </c>
      <c r="BZ3361" s="5" t="s">
        <v>240</v>
      </c>
      <c r="CA3361" s="5" t="s">
        <v>259</v>
      </c>
      <c r="CB3361" s="5" t="s">
        <v>240</v>
      </c>
      <c r="CC3361" s="5" t="s">
        <v>240</v>
      </c>
      <c r="CD3361" s="5" t="s">
        <v>240</v>
      </c>
      <c r="CE3361" s="5" t="s">
        <v>240</v>
      </c>
      <c r="CF3361" s="5" t="s">
        <v>240</v>
      </c>
      <c r="CG3361" s="5" t="s">
        <v>304</v>
      </c>
      <c r="CH3361" s="5" t="s">
        <v>305</v>
      </c>
      <c r="CI3361" s="5" t="s">
        <v>240</v>
      </c>
      <c r="CK3361" s="5" t="s">
        <v>3681</v>
      </c>
      <c r="CL3361" s="6" t="s">
        <v>261</v>
      </c>
      <c r="CM3361" s="5" t="s">
        <v>262</v>
      </c>
      <c r="CN3361" s="5" t="s">
        <v>263</v>
      </c>
      <c r="CO3361" s="5" t="s">
        <v>264</v>
      </c>
      <c r="CP3361" s="5" t="s">
        <v>240</v>
      </c>
      <c r="CQ3361" s="5">
        <v>0</v>
      </c>
      <c r="CR3361" s="5" t="s">
        <v>735</v>
      </c>
      <c r="CS3361" s="5" t="s">
        <v>307</v>
      </c>
      <c r="CT3361" s="5" t="s">
        <v>307</v>
      </c>
      <c r="CU3361" s="5" t="s">
        <v>260</v>
      </c>
      <c r="CV3361" s="5" t="s">
        <v>612</v>
      </c>
      <c r="CW3361" s="8">
        <f>1</f>
        <v>1</v>
      </c>
      <c r="CX3361" s="7">
        <f>1</f>
        <v>1</v>
      </c>
      <c r="CY3361" s="7">
        <f>0</f>
        <v>0</v>
      </c>
      <c r="DA3361" s="7">
        <f>1</f>
        <v>1</v>
      </c>
      <c r="DB3361" s="7" t="s">
        <v>240</v>
      </c>
      <c r="DC3361" s="5" t="s">
        <v>240</v>
      </c>
      <c r="DD3361" s="5" t="s">
        <v>240</v>
      </c>
      <c r="DE3361" s="5" t="s">
        <v>240</v>
      </c>
      <c r="DF3361" s="5" t="s">
        <v>240</v>
      </c>
      <c r="DG3361" s="7">
        <f>0</f>
        <v>0</v>
      </c>
      <c r="DI3361" s="5" t="s">
        <v>240</v>
      </c>
      <c r="DJ3361" s="5" t="s">
        <v>240</v>
      </c>
      <c r="DK3361" s="5" t="s">
        <v>240</v>
      </c>
      <c r="DL3361" s="5" t="s">
        <v>240</v>
      </c>
      <c r="DM3361" s="5" t="s">
        <v>240</v>
      </c>
      <c r="DN3361" s="5" t="s">
        <v>240</v>
      </c>
      <c r="DO3361" s="7" t="s">
        <v>240</v>
      </c>
      <c r="DP3361" s="5" t="s">
        <v>240</v>
      </c>
      <c r="DQ3361" s="5" t="s">
        <v>240</v>
      </c>
      <c r="DR3361" s="5" t="s">
        <v>731</v>
      </c>
      <c r="DS3361" s="5" t="s">
        <v>731</v>
      </c>
      <c r="DT3361" s="5" t="s">
        <v>240</v>
      </c>
      <c r="DU3361" s="5" t="s">
        <v>240</v>
      </c>
      <c r="DV3361" s="5" t="s">
        <v>3683</v>
      </c>
      <c r="DW3361" s="5" t="s">
        <v>3997</v>
      </c>
      <c r="DX3361" s="5" t="s">
        <v>240</v>
      </c>
      <c r="DY3361" s="5" t="s">
        <v>240</v>
      </c>
      <c r="DZ3361" s="5" t="s">
        <v>240</v>
      </c>
      <c r="EA3361" s="5" t="s">
        <v>240</v>
      </c>
      <c r="EB3361" s="5" t="s">
        <v>240</v>
      </c>
      <c r="EC3361" s="5" t="s">
        <v>240</v>
      </c>
      <c r="ED3361" s="5" t="s">
        <v>240</v>
      </c>
      <c r="EE3361" s="5" t="s">
        <v>240</v>
      </c>
      <c r="EF3361" s="5" t="s">
        <v>240</v>
      </c>
      <c r="EG3361" s="5" t="s">
        <v>240</v>
      </c>
      <c r="EH3361" s="5" t="s">
        <v>240</v>
      </c>
      <c r="EI3361" s="5" t="s">
        <v>240</v>
      </c>
      <c r="EJ3361" s="5" t="s">
        <v>240</v>
      </c>
      <c r="EK3361" s="5" t="s">
        <v>240</v>
      </c>
      <c r="EL3361" s="5" t="s">
        <v>240</v>
      </c>
      <c r="EM3361" s="5" t="s">
        <v>240</v>
      </c>
      <c r="EN3361" s="5" t="s">
        <v>240</v>
      </c>
      <c r="EO3361" s="5" t="s">
        <v>240</v>
      </c>
      <c r="EP3361" s="5" t="s">
        <v>240</v>
      </c>
      <c r="EQ3361" s="5" t="s">
        <v>240</v>
      </c>
      <c r="ER3361" s="5" t="s">
        <v>240</v>
      </c>
      <c r="ES3361" s="5" t="s">
        <v>240</v>
      </c>
      <c r="ET3361" s="5" t="s">
        <v>240</v>
      </c>
      <c r="EU3361" s="5" t="s">
        <v>240</v>
      </c>
      <c r="EV3361" s="5" t="s">
        <v>240</v>
      </c>
      <c r="EW3361" s="5" t="s">
        <v>240</v>
      </c>
      <c r="EX3361" s="5" t="s">
        <v>240</v>
      </c>
      <c r="EY3361" s="5" t="s">
        <v>240</v>
      </c>
      <c r="EZ3361" s="5" t="s">
        <v>240</v>
      </c>
      <c r="FA3361" s="5" t="s">
        <v>240</v>
      </c>
      <c r="FB3361" s="5" t="s">
        <v>240</v>
      </c>
      <c r="FC3361" s="5" t="s">
        <v>240</v>
      </c>
      <c r="FD3361" s="5" t="s">
        <v>240</v>
      </c>
      <c r="FE3361" s="5" t="s">
        <v>240</v>
      </c>
      <c r="FF3361" s="5" t="s">
        <v>240</v>
      </c>
      <c r="FG3361" s="5" t="s">
        <v>240</v>
      </c>
      <c r="FH3361" s="5" t="s">
        <v>240</v>
      </c>
      <c r="FI3361" s="5" t="s">
        <v>240</v>
      </c>
      <c r="FJ3361" s="5" t="s">
        <v>240</v>
      </c>
      <c r="FK3361" s="5" t="s">
        <v>240</v>
      </c>
      <c r="FL3361" s="5" t="s">
        <v>240</v>
      </c>
      <c r="FM3361" s="5" t="s">
        <v>240</v>
      </c>
      <c r="FN3361" s="5" t="s">
        <v>240</v>
      </c>
      <c r="FO3361" s="5" t="s">
        <v>240</v>
      </c>
      <c r="FP3361" s="5" t="s">
        <v>240</v>
      </c>
      <c r="FQ3361" s="5" t="s">
        <v>240</v>
      </c>
      <c r="FR3361" s="5" t="s">
        <v>240</v>
      </c>
      <c r="FS3361" s="5" t="s">
        <v>240</v>
      </c>
      <c r="FT3361" s="5" t="s">
        <v>240</v>
      </c>
      <c r="FU3361" s="5" t="s">
        <v>240</v>
      </c>
      <c r="FV3361" s="5" t="s">
        <v>240</v>
      </c>
      <c r="FW3361" s="5" t="s">
        <v>240</v>
      </c>
      <c r="FX3361" s="5" t="s">
        <v>240</v>
      </c>
      <c r="FY3361" s="5" t="s">
        <v>240</v>
      </c>
      <c r="FZ3361" s="5" t="s">
        <v>240</v>
      </c>
      <c r="GA3361" s="5" t="s">
        <v>240</v>
      </c>
      <c r="GB3361" s="5" t="s">
        <v>240</v>
      </c>
      <c r="GC3361" s="5" t="s">
        <v>240</v>
      </c>
      <c r="GD3361" s="5" t="s">
        <v>240</v>
      </c>
      <c r="GE3361" s="5" t="s">
        <v>240</v>
      </c>
      <c r="GF3361" s="5" t="s">
        <v>240</v>
      </c>
      <c r="GG3361" s="5" t="s">
        <v>240</v>
      </c>
      <c r="GH3361" s="5" t="s">
        <v>240</v>
      </c>
      <c r="GI3361" s="5" t="s">
        <v>240</v>
      </c>
      <c r="GJ3361" s="5" t="s">
        <v>240</v>
      </c>
      <c r="GK3361" s="5" t="s">
        <v>240</v>
      </c>
      <c r="GL3361" s="5" t="s">
        <v>240</v>
      </c>
      <c r="GM3361" s="5" t="s">
        <v>240</v>
      </c>
      <c r="GN3361" s="5" t="s">
        <v>240</v>
      </c>
      <c r="GO3361" s="5" t="s">
        <v>240</v>
      </c>
      <c r="GP3361" s="5" t="s">
        <v>240</v>
      </c>
      <c r="GQ3361" s="5" t="s">
        <v>240</v>
      </c>
      <c r="GR3361" s="5" t="s">
        <v>240</v>
      </c>
      <c r="GS3361" s="5" t="s">
        <v>240</v>
      </c>
      <c r="GT3361" s="5" t="s">
        <v>240</v>
      </c>
      <c r="GU3361" s="5" t="s">
        <v>240</v>
      </c>
      <c r="GV3361" s="5" t="s">
        <v>240</v>
      </c>
      <c r="GW3361" s="5" t="s">
        <v>240</v>
      </c>
      <c r="GX3361" s="5" t="s">
        <v>240</v>
      </c>
      <c r="GY3361" s="5" t="s">
        <v>240</v>
      </c>
      <c r="GZ3361" s="5" t="s">
        <v>240</v>
      </c>
      <c r="HA3361" s="5" t="s">
        <v>240</v>
      </c>
      <c r="HB3361" s="5" t="s">
        <v>240</v>
      </c>
      <c r="HC3361" s="5" t="s">
        <v>240</v>
      </c>
      <c r="HD3361" s="5" t="s">
        <v>240</v>
      </c>
      <c r="HE3361" s="5" t="s">
        <v>240</v>
      </c>
      <c r="HF3361" s="5" t="s">
        <v>240</v>
      </c>
      <c r="HG3361" s="5" t="s">
        <v>240</v>
      </c>
      <c r="HH3361" s="5" t="s">
        <v>240</v>
      </c>
      <c r="HI3361" s="5" t="s">
        <v>240</v>
      </c>
      <c r="HJ3361" s="5" t="s">
        <v>240</v>
      </c>
      <c r="HK3361" s="5" t="s">
        <v>240</v>
      </c>
      <c r="HL3361" s="5" t="s">
        <v>240</v>
      </c>
      <c r="HM3361" s="5" t="s">
        <v>240</v>
      </c>
      <c r="HN3361" s="5" t="s">
        <v>240</v>
      </c>
      <c r="HO3361" s="5" t="s">
        <v>312</v>
      </c>
      <c r="HP3361" s="5" t="s">
        <v>240</v>
      </c>
      <c r="HQ3361" s="5" t="s">
        <v>240</v>
      </c>
      <c r="HR3361" s="5" t="s">
        <v>240</v>
      </c>
      <c r="HS3361" s="5" t="s">
        <v>240</v>
      </c>
      <c r="HT3361" s="5" t="s">
        <v>240</v>
      </c>
      <c r="HU3361" s="5" t="s">
        <v>240</v>
      </c>
      <c r="HV3361" s="5" t="s">
        <v>240</v>
      </c>
      <c r="HW3361" s="5" t="s">
        <v>240</v>
      </c>
      <c r="HX3361" s="5" t="s">
        <v>240</v>
      </c>
      <c r="HY3361" s="5" t="s">
        <v>240</v>
      </c>
      <c r="HZ3361" s="5" t="s">
        <v>240</v>
      </c>
      <c r="IA3361" s="5" t="s">
        <v>240</v>
      </c>
      <c r="IB3361" s="5" t="s">
        <v>240</v>
      </c>
      <c r="IC3361" s="5" t="s">
        <v>240</v>
      </c>
      <c r="ID3361" s="5" t="s">
        <v>240</v>
      </c>
      <c r="IE3361" s="5" t="s">
        <v>240</v>
      </c>
      <c r="IF3361" s="5" t="s">
        <v>240</v>
      </c>
    </row>
    <row r="3362" spans="1:240" x14ac:dyDescent="0.4">
      <c r="A3362" s="5">
        <v>8904</v>
      </c>
      <c r="B3362" s="5">
        <v>1</v>
      </c>
      <c r="C3362" s="5">
        <v>1</v>
      </c>
      <c r="D3362" s="5" t="s">
        <v>723</v>
      </c>
      <c r="E3362" s="5" t="s">
        <v>725</v>
      </c>
      <c r="F3362" s="5" t="s">
        <v>730</v>
      </c>
      <c r="G3362" s="5" t="s">
        <v>726</v>
      </c>
      <c r="H3362" s="6" t="s">
        <v>6645</v>
      </c>
      <c r="I3362" s="5" t="s">
        <v>722</v>
      </c>
      <c r="J3362" s="8">
        <f>252</f>
        <v>252</v>
      </c>
      <c r="K3362" s="5" t="s">
        <v>308</v>
      </c>
      <c r="L3362" s="7">
        <f>0</f>
        <v>0</v>
      </c>
      <c r="M3362" s="7">
        <f>0</f>
        <v>0</v>
      </c>
      <c r="N3362" s="5" t="s">
        <v>242</v>
      </c>
      <c r="O3362" s="5">
        <v>1</v>
      </c>
      <c r="P3362" s="5" t="s">
        <v>294</v>
      </c>
      <c r="Q3362" s="5" t="s">
        <v>266</v>
      </c>
      <c r="R3362" s="5" t="s">
        <v>240</v>
      </c>
      <c r="S3362" s="5" t="s">
        <v>240</v>
      </c>
      <c r="T3362" s="5" t="s">
        <v>296</v>
      </c>
      <c r="U3362" s="5" t="s">
        <v>244</v>
      </c>
      <c r="V3362" s="5" t="s">
        <v>240</v>
      </c>
      <c r="Y3362" s="5" t="s">
        <v>240</v>
      </c>
      <c r="Z3362" s="6" t="s">
        <v>298</v>
      </c>
      <c r="AB3362" s="6" t="s">
        <v>240</v>
      </c>
      <c r="AE3362" s="6" t="s">
        <v>299</v>
      </c>
      <c r="AF3362" s="5" t="s">
        <v>248</v>
      </c>
      <c r="AG3362" s="5" t="s">
        <v>249</v>
      </c>
      <c r="AW3362" s="5" t="s">
        <v>251</v>
      </c>
      <c r="AX3362" s="5" t="s">
        <v>240</v>
      </c>
      <c r="AY3362" s="5" t="s">
        <v>253</v>
      </c>
      <c r="AZ3362" s="5" t="s">
        <v>240</v>
      </c>
      <c r="BA3362" s="5" t="s">
        <v>255</v>
      </c>
      <c r="BB3362" s="5" t="s">
        <v>240</v>
      </c>
      <c r="BD3362" s="5" t="s">
        <v>240</v>
      </c>
      <c r="BF3362" s="5" t="s">
        <v>301</v>
      </c>
      <c r="BG3362" s="6" t="s">
        <v>299</v>
      </c>
      <c r="BH3362" s="5" t="s">
        <v>302</v>
      </c>
      <c r="BI3362" s="5" t="s">
        <v>303</v>
      </c>
      <c r="BJ3362" s="5" t="s">
        <v>240</v>
      </c>
      <c r="BK3362" s="8">
        <f>0</f>
        <v>0</v>
      </c>
      <c r="BL3362" s="7">
        <f>0</f>
        <v>0</v>
      </c>
      <c r="BM3362" s="5" t="s">
        <v>258</v>
      </c>
      <c r="BN3362" s="5" t="s">
        <v>259</v>
      </c>
      <c r="CB3362" s="5" t="s">
        <v>240</v>
      </c>
      <c r="CC3362" s="5" t="s">
        <v>240</v>
      </c>
      <c r="CG3362" s="5" t="s">
        <v>304</v>
      </c>
      <c r="CH3362" s="5" t="s">
        <v>305</v>
      </c>
      <c r="CI3362" s="5" t="s">
        <v>240</v>
      </c>
      <c r="CL3362" s="6" t="s">
        <v>261</v>
      </c>
      <c r="CM3362" s="5" t="s">
        <v>240</v>
      </c>
      <c r="CN3362" s="5" t="s">
        <v>263</v>
      </c>
      <c r="CO3362" s="5" t="s">
        <v>240</v>
      </c>
      <c r="CP3362" s="5" t="s">
        <v>240</v>
      </c>
      <c r="CQ3362" s="5">
        <v>0</v>
      </c>
      <c r="CR3362" s="5" t="s">
        <v>306</v>
      </c>
      <c r="CS3362" s="5" t="s">
        <v>307</v>
      </c>
      <c r="CT3362" s="5" t="s">
        <v>307</v>
      </c>
      <c r="CU3362" s="5" t="s">
        <v>260</v>
      </c>
      <c r="CX3362" s="7">
        <f>1</f>
        <v>1</v>
      </c>
      <c r="CY3362" s="7">
        <f>0</f>
        <v>0</v>
      </c>
      <c r="DA3362" s="7">
        <f>0</f>
        <v>0</v>
      </c>
      <c r="DC3362" s="5" t="s">
        <v>309</v>
      </c>
      <c r="DD3362" s="5" t="s">
        <v>240</v>
      </c>
      <c r="DF3362" s="5" t="s">
        <v>309</v>
      </c>
      <c r="DG3362" s="7">
        <f>5161</f>
        <v>5161</v>
      </c>
      <c r="DI3362" s="5" t="s">
        <v>240</v>
      </c>
      <c r="DJ3362" s="5" t="s">
        <v>240</v>
      </c>
      <c r="DK3362" s="5" t="s">
        <v>240</v>
      </c>
      <c r="DL3362" s="5" t="s">
        <v>240</v>
      </c>
      <c r="DP3362" s="5" t="s">
        <v>240</v>
      </c>
      <c r="DQ3362" s="5" t="s">
        <v>240</v>
      </c>
      <c r="DR3362" s="5" t="s">
        <v>240</v>
      </c>
      <c r="DS3362" s="5" t="s">
        <v>240</v>
      </c>
      <c r="DV3362" s="5" t="s">
        <v>310</v>
      </c>
      <c r="DW3362" s="5" t="s">
        <v>4998</v>
      </c>
      <c r="HO3362" s="5" t="s">
        <v>312</v>
      </c>
    </row>
    <row r="3363" spans="1:240" x14ac:dyDescent="0.4">
      <c r="A3363" s="5">
        <v>8905</v>
      </c>
      <c r="B3363" s="5">
        <v>1</v>
      </c>
      <c r="C3363" s="5">
        <v>1</v>
      </c>
      <c r="D3363" s="5" t="s">
        <v>723</v>
      </c>
      <c r="E3363" s="5" t="s">
        <v>725</v>
      </c>
      <c r="F3363" s="5" t="s">
        <v>730</v>
      </c>
      <c r="G3363" s="5" t="s">
        <v>726</v>
      </c>
      <c r="H3363" s="6" t="s">
        <v>6244</v>
      </c>
      <c r="I3363" s="5" t="s">
        <v>722</v>
      </c>
      <c r="J3363" s="8">
        <f>332</f>
        <v>332</v>
      </c>
      <c r="K3363" s="5" t="s">
        <v>308</v>
      </c>
      <c r="L3363" s="7">
        <f>0</f>
        <v>0</v>
      </c>
      <c r="M3363" s="7">
        <f>0</f>
        <v>0</v>
      </c>
      <c r="N3363" s="5" t="s">
        <v>242</v>
      </c>
      <c r="O3363" s="5">
        <v>1</v>
      </c>
      <c r="P3363" s="5" t="s">
        <v>294</v>
      </c>
      <c r="Q3363" s="5" t="s">
        <v>3678</v>
      </c>
      <c r="R3363" s="5" t="s">
        <v>240</v>
      </c>
      <c r="S3363" s="5" t="s">
        <v>240</v>
      </c>
      <c r="T3363" s="5" t="s">
        <v>243</v>
      </c>
      <c r="U3363" s="5" t="s">
        <v>244</v>
      </c>
      <c r="V3363" s="5" t="s">
        <v>240</v>
      </c>
      <c r="W3363" s="5" t="s">
        <v>240</v>
      </c>
      <c r="X3363" s="5" t="s">
        <v>240</v>
      </c>
      <c r="Y3363" s="5" t="s">
        <v>240</v>
      </c>
      <c r="Z3363" s="6" t="s">
        <v>298</v>
      </c>
      <c r="AA3363" s="6" t="s">
        <v>240</v>
      </c>
      <c r="AB3363" s="6" t="s">
        <v>240</v>
      </c>
      <c r="AC3363" s="5" t="s">
        <v>240</v>
      </c>
      <c r="AD3363" s="6" t="s">
        <v>240</v>
      </c>
      <c r="AE3363" s="6" t="s">
        <v>299</v>
      </c>
      <c r="AF3363" s="5" t="s">
        <v>248</v>
      </c>
      <c r="AG3363" s="5" t="s">
        <v>249</v>
      </c>
      <c r="AH3363" s="5" t="s">
        <v>240</v>
      </c>
      <c r="AI3363" s="5" t="s">
        <v>240</v>
      </c>
      <c r="AJ3363" s="5" t="s">
        <v>240</v>
      </c>
      <c r="AK3363" s="5" t="s">
        <v>240</v>
      </c>
      <c r="AL3363" s="5" t="s">
        <v>240</v>
      </c>
      <c r="AM3363" s="5" t="s">
        <v>240</v>
      </c>
      <c r="AN3363" s="5" t="s">
        <v>240</v>
      </c>
      <c r="AO3363" s="5" t="s">
        <v>240</v>
      </c>
      <c r="AP3363" s="6" t="s">
        <v>240</v>
      </c>
      <c r="AQ3363" s="6" t="s">
        <v>240</v>
      </c>
      <c r="AR3363" s="6" t="s">
        <v>240</v>
      </c>
      <c r="AS3363" s="6" t="s">
        <v>240</v>
      </c>
      <c r="AT3363" s="5" t="s">
        <v>240</v>
      </c>
      <c r="AU3363" s="5" t="s">
        <v>729</v>
      </c>
      <c r="AV3363" s="5" t="s">
        <v>729</v>
      </c>
      <c r="AW3363" s="5" t="s">
        <v>251</v>
      </c>
      <c r="AX3363" s="5" t="s">
        <v>252</v>
      </c>
      <c r="AY3363" s="5" t="s">
        <v>253</v>
      </c>
      <c r="AZ3363" s="5" t="s">
        <v>240</v>
      </c>
      <c r="BA3363" s="5" t="s">
        <v>255</v>
      </c>
      <c r="BB3363" s="5" t="s">
        <v>731</v>
      </c>
      <c r="BD3363" s="5" t="s">
        <v>240</v>
      </c>
      <c r="BF3363" s="5" t="s">
        <v>732</v>
      </c>
      <c r="BG3363" s="6" t="s">
        <v>733</v>
      </c>
      <c r="BH3363" s="5" t="s">
        <v>734</v>
      </c>
      <c r="BI3363" s="5" t="s">
        <v>734</v>
      </c>
      <c r="BJ3363" s="5" t="s">
        <v>240</v>
      </c>
      <c r="BK3363" s="7">
        <f>1</f>
        <v>1</v>
      </c>
      <c r="BL3363" s="7">
        <f>1</f>
        <v>1</v>
      </c>
      <c r="BM3363" s="5" t="s">
        <v>258</v>
      </c>
      <c r="BN3363" s="5" t="s">
        <v>259</v>
      </c>
      <c r="BO3363" s="5" t="s">
        <v>240</v>
      </c>
      <c r="BP3363" s="5" t="s">
        <v>240</v>
      </c>
      <c r="BQ3363" s="5" t="s">
        <v>240</v>
      </c>
      <c r="BR3363" s="5" t="s">
        <v>240</v>
      </c>
      <c r="BS3363" s="5" t="s">
        <v>240</v>
      </c>
      <c r="BT3363" s="5" t="s">
        <v>240</v>
      </c>
      <c r="BU3363" s="5" t="s">
        <v>240</v>
      </c>
      <c r="BV3363" s="5" t="s">
        <v>240</v>
      </c>
      <c r="BW3363" s="6" t="s">
        <v>240</v>
      </c>
      <c r="BX3363" s="5" t="s">
        <v>240</v>
      </c>
      <c r="BY3363" s="5" t="s">
        <v>240</v>
      </c>
      <c r="BZ3363" s="5" t="s">
        <v>240</v>
      </c>
      <c r="CA3363" s="5" t="s">
        <v>259</v>
      </c>
      <c r="CB3363" s="5" t="s">
        <v>240</v>
      </c>
      <c r="CC3363" s="5" t="s">
        <v>240</v>
      </c>
      <c r="CD3363" s="5" t="s">
        <v>240</v>
      </c>
      <c r="CE3363" s="5" t="s">
        <v>240</v>
      </c>
      <c r="CF3363" s="5" t="s">
        <v>240</v>
      </c>
      <c r="CG3363" s="5" t="s">
        <v>304</v>
      </c>
      <c r="CH3363" s="5" t="s">
        <v>305</v>
      </c>
      <c r="CI3363" s="5" t="s">
        <v>240</v>
      </c>
      <c r="CK3363" s="5" t="s">
        <v>3681</v>
      </c>
      <c r="CL3363" s="6" t="s">
        <v>261</v>
      </c>
      <c r="CM3363" s="5" t="s">
        <v>262</v>
      </c>
      <c r="CN3363" s="5" t="s">
        <v>263</v>
      </c>
      <c r="CO3363" s="5" t="s">
        <v>264</v>
      </c>
      <c r="CP3363" s="5" t="s">
        <v>240</v>
      </c>
      <c r="CQ3363" s="5">
        <v>0</v>
      </c>
      <c r="CR3363" s="5" t="s">
        <v>735</v>
      </c>
      <c r="CS3363" s="5" t="s">
        <v>307</v>
      </c>
      <c r="CT3363" s="5" t="s">
        <v>307</v>
      </c>
      <c r="CU3363" s="5" t="s">
        <v>260</v>
      </c>
      <c r="CV3363" s="5" t="s">
        <v>612</v>
      </c>
      <c r="CW3363" s="8">
        <f>1</f>
        <v>1</v>
      </c>
      <c r="CX3363" s="7">
        <f>1</f>
        <v>1</v>
      </c>
      <c r="CY3363" s="7">
        <f>0</f>
        <v>0</v>
      </c>
      <c r="DA3363" s="7">
        <f>1</f>
        <v>1</v>
      </c>
      <c r="DB3363" s="7" t="s">
        <v>240</v>
      </c>
      <c r="DC3363" s="5" t="s">
        <v>240</v>
      </c>
      <c r="DD3363" s="5" t="s">
        <v>240</v>
      </c>
      <c r="DE3363" s="5" t="s">
        <v>240</v>
      </c>
      <c r="DF3363" s="5" t="s">
        <v>240</v>
      </c>
      <c r="DG3363" s="7">
        <f>0</f>
        <v>0</v>
      </c>
      <c r="DI3363" s="5" t="s">
        <v>240</v>
      </c>
      <c r="DJ3363" s="5" t="s">
        <v>240</v>
      </c>
      <c r="DK3363" s="5" t="s">
        <v>240</v>
      </c>
      <c r="DL3363" s="5" t="s">
        <v>240</v>
      </c>
      <c r="DM3363" s="5" t="s">
        <v>240</v>
      </c>
      <c r="DN3363" s="5" t="s">
        <v>240</v>
      </c>
      <c r="DO3363" s="7" t="s">
        <v>240</v>
      </c>
      <c r="DP3363" s="5" t="s">
        <v>240</v>
      </c>
      <c r="DQ3363" s="5" t="s">
        <v>240</v>
      </c>
      <c r="DR3363" s="5" t="s">
        <v>731</v>
      </c>
      <c r="DS3363" s="5" t="s">
        <v>731</v>
      </c>
      <c r="DT3363" s="5" t="s">
        <v>240</v>
      </c>
      <c r="DU3363" s="5" t="s">
        <v>240</v>
      </c>
      <c r="DV3363" s="5" t="s">
        <v>3683</v>
      </c>
      <c r="DW3363" s="5" t="s">
        <v>3989</v>
      </c>
      <c r="DX3363" s="5" t="s">
        <v>240</v>
      </c>
      <c r="DY3363" s="5" t="s">
        <v>240</v>
      </c>
      <c r="DZ3363" s="5" t="s">
        <v>240</v>
      </c>
      <c r="EA3363" s="5" t="s">
        <v>240</v>
      </c>
      <c r="EB3363" s="5" t="s">
        <v>240</v>
      </c>
      <c r="EC3363" s="5" t="s">
        <v>240</v>
      </c>
      <c r="ED3363" s="5" t="s">
        <v>240</v>
      </c>
      <c r="EE3363" s="5" t="s">
        <v>240</v>
      </c>
      <c r="EF3363" s="5" t="s">
        <v>240</v>
      </c>
      <c r="EG3363" s="5" t="s">
        <v>240</v>
      </c>
      <c r="EH3363" s="5" t="s">
        <v>240</v>
      </c>
      <c r="EI3363" s="5" t="s">
        <v>240</v>
      </c>
      <c r="EJ3363" s="5" t="s">
        <v>240</v>
      </c>
      <c r="EK3363" s="5" t="s">
        <v>240</v>
      </c>
      <c r="EL3363" s="5" t="s">
        <v>240</v>
      </c>
      <c r="EM3363" s="5" t="s">
        <v>240</v>
      </c>
      <c r="EN3363" s="5" t="s">
        <v>240</v>
      </c>
      <c r="EO3363" s="5" t="s">
        <v>240</v>
      </c>
      <c r="EP3363" s="5" t="s">
        <v>240</v>
      </c>
      <c r="EQ3363" s="5" t="s">
        <v>240</v>
      </c>
      <c r="ER3363" s="5" t="s">
        <v>240</v>
      </c>
      <c r="ES3363" s="5" t="s">
        <v>240</v>
      </c>
      <c r="ET3363" s="5" t="s">
        <v>240</v>
      </c>
      <c r="EU3363" s="5" t="s">
        <v>240</v>
      </c>
      <c r="EV3363" s="5" t="s">
        <v>240</v>
      </c>
      <c r="EW3363" s="5" t="s">
        <v>240</v>
      </c>
      <c r="EX3363" s="5" t="s">
        <v>240</v>
      </c>
      <c r="EY3363" s="5" t="s">
        <v>240</v>
      </c>
      <c r="EZ3363" s="5" t="s">
        <v>240</v>
      </c>
      <c r="FA3363" s="5" t="s">
        <v>240</v>
      </c>
      <c r="FB3363" s="5" t="s">
        <v>240</v>
      </c>
      <c r="FC3363" s="5" t="s">
        <v>240</v>
      </c>
      <c r="FD3363" s="5" t="s">
        <v>240</v>
      </c>
      <c r="FE3363" s="5" t="s">
        <v>240</v>
      </c>
      <c r="FF3363" s="5" t="s">
        <v>240</v>
      </c>
      <c r="FG3363" s="5" t="s">
        <v>240</v>
      </c>
      <c r="FH3363" s="5" t="s">
        <v>240</v>
      </c>
      <c r="FI3363" s="5" t="s">
        <v>240</v>
      </c>
      <c r="FJ3363" s="5" t="s">
        <v>240</v>
      </c>
      <c r="FK3363" s="5" t="s">
        <v>240</v>
      </c>
      <c r="FL3363" s="5" t="s">
        <v>240</v>
      </c>
      <c r="FM3363" s="5" t="s">
        <v>240</v>
      </c>
      <c r="FN3363" s="5" t="s">
        <v>240</v>
      </c>
      <c r="FO3363" s="5" t="s">
        <v>240</v>
      </c>
      <c r="FP3363" s="5" t="s">
        <v>240</v>
      </c>
      <c r="FQ3363" s="5" t="s">
        <v>240</v>
      </c>
      <c r="FR3363" s="5" t="s">
        <v>240</v>
      </c>
      <c r="FS3363" s="5" t="s">
        <v>240</v>
      </c>
      <c r="FT3363" s="5" t="s">
        <v>240</v>
      </c>
      <c r="FU3363" s="5" t="s">
        <v>240</v>
      </c>
      <c r="FV3363" s="5" t="s">
        <v>240</v>
      </c>
      <c r="FW3363" s="5" t="s">
        <v>240</v>
      </c>
      <c r="FX3363" s="5" t="s">
        <v>240</v>
      </c>
      <c r="FY3363" s="5" t="s">
        <v>240</v>
      </c>
      <c r="FZ3363" s="5" t="s">
        <v>240</v>
      </c>
      <c r="GA3363" s="5" t="s">
        <v>240</v>
      </c>
      <c r="GB3363" s="5" t="s">
        <v>240</v>
      </c>
      <c r="GC3363" s="5" t="s">
        <v>240</v>
      </c>
      <c r="GD3363" s="5" t="s">
        <v>240</v>
      </c>
      <c r="GE3363" s="5" t="s">
        <v>240</v>
      </c>
      <c r="GF3363" s="5" t="s">
        <v>240</v>
      </c>
      <c r="GG3363" s="5" t="s">
        <v>240</v>
      </c>
      <c r="GH3363" s="5" t="s">
        <v>240</v>
      </c>
      <c r="GI3363" s="5" t="s">
        <v>240</v>
      </c>
      <c r="GJ3363" s="5" t="s">
        <v>240</v>
      </c>
      <c r="GK3363" s="5" t="s">
        <v>240</v>
      </c>
      <c r="GL3363" s="5" t="s">
        <v>240</v>
      </c>
      <c r="GM3363" s="5" t="s">
        <v>240</v>
      </c>
      <c r="GN3363" s="5" t="s">
        <v>240</v>
      </c>
      <c r="GO3363" s="5" t="s">
        <v>240</v>
      </c>
      <c r="GP3363" s="5" t="s">
        <v>240</v>
      </c>
      <c r="GQ3363" s="5" t="s">
        <v>240</v>
      </c>
      <c r="GR3363" s="5" t="s">
        <v>240</v>
      </c>
      <c r="GS3363" s="5" t="s">
        <v>240</v>
      </c>
      <c r="GT3363" s="5" t="s">
        <v>240</v>
      </c>
      <c r="GU3363" s="5" t="s">
        <v>240</v>
      </c>
      <c r="GV3363" s="5" t="s">
        <v>240</v>
      </c>
      <c r="GW3363" s="5" t="s">
        <v>240</v>
      </c>
      <c r="GX3363" s="5" t="s">
        <v>240</v>
      </c>
      <c r="GY3363" s="5" t="s">
        <v>240</v>
      </c>
      <c r="GZ3363" s="5" t="s">
        <v>240</v>
      </c>
      <c r="HA3363" s="5" t="s">
        <v>240</v>
      </c>
      <c r="HB3363" s="5" t="s">
        <v>240</v>
      </c>
      <c r="HC3363" s="5" t="s">
        <v>240</v>
      </c>
      <c r="HD3363" s="5" t="s">
        <v>240</v>
      </c>
      <c r="HE3363" s="5" t="s">
        <v>240</v>
      </c>
      <c r="HF3363" s="5" t="s">
        <v>240</v>
      </c>
      <c r="HG3363" s="5" t="s">
        <v>240</v>
      </c>
      <c r="HH3363" s="5" t="s">
        <v>240</v>
      </c>
      <c r="HI3363" s="5" t="s">
        <v>240</v>
      </c>
      <c r="HJ3363" s="5" t="s">
        <v>240</v>
      </c>
      <c r="HK3363" s="5" t="s">
        <v>240</v>
      </c>
      <c r="HL3363" s="5" t="s">
        <v>240</v>
      </c>
      <c r="HM3363" s="5" t="s">
        <v>240</v>
      </c>
      <c r="HN3363" s="5" t="s">
        <v>240</v>
      </c>
      <c r="HO3363" s="5" t="s">
        <v>312</v>
      </c>
      <c r="HP3363" s="5" t="s">
        <v>240</v>
      </c>
      <c r="HQ3363" s="5" t="s">
        <v>240</v>
      </c>
      <c r="HR3363" s="5" t="s">
        <v>240</v>
      </c>
      <c r="HS3363" s="5" t="s">
        <v>240</v>
      </c>
      <c r="HT3363" s="5" t="s">
        <v>240</v>
      </c>
      <c r="HU3363" s="5" t="s">
        <v>240</v>
      </c>
      <c r="HV3363" s="5" t="s">
        <v>240</v>
      </c>
      <c r="HW3363" s="5" t="s">
        <v>240</v>
      </c>
      <c r="HX3363" s="5" t="s">
        <v>240</v>
      </c>
      <c r="HY3363" s="5" t="s">
        <v>240</v>
      </c>
      <c r="HZ3363" s="5" t="s">
        <v>240</v>
      </c>
      <c r="IA3363" s="5" t="s">
        <v>240</v>
      </c>
      <c r="IB3363" s="5" t="s">
        <v>240</v>
      </c>
      <c r="IC3363" s="5" t="s">
        <v>240</v>
      </c>
      <c r="ID3363" s="5" t="s">
        <v>240</v>
      </c>
      <c r="IE3363" s="5" t="s">
        <v>240</v>
      </c>
      <c r="IF3363" s="5" t="s">
        <v>240</v>
      </c>
    </row>
    <row r="3364" spans="1:240" x14ac:dyDescent="0.4">
      <c r="A3364" s="5">
        <v>8906</v>
      </c>
      <c r="B3364" s="5">
        <v>1</v>
      </c>
      <c r="C3364" s="5">
        <v>1</v>
      </c>
      <c r="D3364" s="5" t="s">
        <v>723</v>
      </c>
      <c r="E3364" s="5" t="s">
        <v>725</v>
      </c>
      <c r="F3364" s="5" t="s">
        <v>730</v>
      </c>
      <c r="G3364" s="5" t="s">
        <v>726</v>
      </c>
      <c r="H3364" s="6" t="s">
        <v>6644</v>
      </c>
      <c r="I3364" s="5" t="s">
        <v>722</v>
      </c>
      <c r="J3364" s="8">
        <f>163</f>
        <v>163</v>
      </c>
      <c r="K3364" s="5" t="s">
        <v>308</v>
      </c>
      <c r="L3364" s="7">
        <f>0</f>
        <v>0</v>
      </c>
      <c r="M3364" s="7">
        <f>0</f>
        <v>0</v>
      </c>
      <c r="N3364" s="5" t="s">
        <v>242</v>
      </c>
      <c r="O3364" s="5">
        <v>1</v>
      </c>
      <c r="P3364" s="5" t="s">
        <v>294</v>
      </c>
      <c r="Q3364" s="5" t="s">
        <v>3678</v>
      </c>
      <c r="R3364" s="5" t="s">
        <v>240</v>
      </c>
      <c r="S3364" s="5" t="s">
        <v>240</v>
      </c>
      <c r="T3364" s="5" t="s">
        <v>243</v>
      </c>
      <c r="U3364" s="5" t="s">
        <v>244</v>
      </c>
      <c r="V3364" s="5" t="s">
        <v>240</v>
      </c>
      <c r="W3364" s="5" t="s">
        <v>240</v>
      </c>
      <c r="X3364" s="5" t="s">
        <v>240</v>
      </c>
      <c r="Y3364" s="5" t="s">
        <v>240</v>
      </c>
      <c r="Z3364" s="6" t="s">
        <v>298</v>
      </c>
      <c r="AA3364" s="6" t="s">
        <v>240</v>
      </c>
      <c r="AB3364" s="6" t="s">
        <v>240</v>
      </c>
      <c r="AC3364" s="5" t="s">
        <v>240</v>
      </c>
      <c r="AD3364" s="6" t="s">
        <v>240</v>
      </c>
      <c r="AE3364" s="6" t="s">
        <v>299</v>
      </c>
      <c r="AF3364" s="5" t="s">
        <v>248</v>
      </c>
      <c r="AG3364" s="5" t="s">
        <v>249</v>
      </c>
      <c r="AH3364" s="5" t="s">
        <v>240</v>
      </c>
      <c r="AI3364" s="5" t="s">
        <v>240</v>
      </c>
      <c r="AJ3364" s="5" t="s">
        <v>240</v>
      </c>
      <c r="AK3364" s="5" t="s">
        <v>240</v>
      </c>
      <c r="AL3364" s="5" t="s">
        <v>240</v>
      </c>
      <c r="AM3364" s="5" t="s">
        <v>240</v>
      </c>
      <c r="AN3364" s="5" t="s">
        <v>240</v>
      </c>
      <c r="AO3364" s="5" t="s">
        <v>240</v>
      </c>
      <c r="AP3364" s="6" t="s">
        <v>240</v>
      </c>
      <c r="AQ3364" s="6" t="s">
        <v>240</v>
      </c>
      <c r="AR3364" s="6" t="s">
        <v>240</v>
      </c>
      <c r="AS3364" s="6" t="s">
        <v>240</v>
      </c>
      <c r="AT3364" s="5" t="s">
        <v>240</v>
      </c>
      <c r="AU3364" s="5" t="s">
        <v>729</v>
      </c>
      <c r="AV3364" s="5" t="s">
        <v>729</v>
      </c>
      <c r="AW3364" s="5" t="s">
        <v>251</v>
      </c>
      <c r="AX3364" s="5" t="s">
        <v>252</v>
      </c>
      <c r="AY3364" s="5" t="s">
        <v>253</v>
      </c>
      <c r="AZ3364" s="5" t="s">
        <v>240</v>
      </c>
      <c r="BA3364" s="5" t="s">
        <v>255</v>
      </c>
      <c r="BB3364" s="5" t="s">
        <v>731</v>
      </c>
      <c r="BD3364" s="5" t="s">
        <v>240</v>
      </c>
      <c r="BF3364" s="5" t="s">
        <v>732</v>
      </c>
      <c r="BG3364" s="6" t="s">
        <v>733</v>
      </c>
      <c r="BH3364" s="5" t="s">
        <v>734</v>
      </c>
      <c r="BI3364" s="5" t="s">
        <v>734</v>
      </c>
      <c r="BJ3364" s="5" t="s">
        <v>240</v>
      </c>
      <c r="BK3364" s="7">
        <f>1</f>
        <v>1</v>
      </c>
      <c r="BL3364" s="7">
        <f>1</f>
        <v>1</v>
      </c>
      <c r="BM3364" s="5" t="s">
        <v>258</v>
      </c>
      <c r="BN3364" s="5" t="s">
        <v>259</v>
      </c>
      <c r="BO3364" s="5" t="s">
        <v>240</v>
      </c>
      <c r="BP3364" s="5" t="s">
        <v>240</v>
      </c>
      <c r="BQ3364" s="5" t="s">
        <v>240</v>
      </c>
      <c r="BR3364" s="5" t="s">
        <v>240</v>
      </c>
      <c r="BS3364" s="5" t="s">
        <v>240</v>
      </c>
      <c r="BT3364" s="5" t="s">
        <v>240</v>
      </c>
      <c r="BU3364" s="5" t="s">
        <v>240</v>
      </c>
      <c r="BV3364" s="5" t="s">
        <v>240</v>
      </c>
      <c r="BW3364" s="6" t="s">
        <v>240</v>
      </c>
      <c r="BX3364" s="5" t="s">
        <v>240</v>
      </c>
      <c r="BY3364" s="5" t="s">
        <v>240</v>
      </c>
      <c r="BZ3364" s="5" t="s">
        <v>240</v>
      </c>
      <c r="CA3364" s="5" t="s">
        <v>259</v>
      </c>
      <c r="CB3364" s="5" t="s">
        <v>240</v>
      </c>
      <c r="CC3364" s="5" t="s">
        <v>240</v>
      </c>
      <c r="CD3364" s="5" t="s">
        <v>240</v>
      </c>
      <c r="CE3364" s="5" t="s">
        <v>240</v>
      </c>
      <c r="CF3364" s="5" t="s">
        <v>240</v>
      </c>
      <c r="CG3364" s="5" t="s">
        <v>304</v>
      </c>
      <c r="CH3364" s="5" t="s">
        <v>305</v>
      </c>
      <c r="CI3364" s="5" t="s">
        <v>240</v>
      </c>
      <c r="CK3364" s="5" t="s">
        <v>3681</v>
      </c>
      <c r="CL3364" s="6" t="s">
        <v>261</v>
      </c>
      <c r="CM3364" s="5" t="s">
        <v>262</v>
      </c>
      <c r="CN3364" s="5" t="s">
        <v>263</v>
      </c>
      <c r="CO3364" s="5" t="s">
        <v>264</v>
      </c>
      <c r="CP3364" s="5" t="s">
        <v>240</v>
      </c>
      <c r="CQ3364" s="5">
        <v>0</v>
      </c>
      <c r="CR3364" s="5" t="s">
        <v>735</v>
      </c>
      <c r="CS3364" s="5" t="s">
        <v>307</v>
      </c>
      <c r="CT3364" s="5" t="s">
        <v>307</v>
      </c>
      <c r="CU3364" s="5" t="s">
        <v>260</v>
      </c>
      <c r="CV3364" s="5" t="s">
        <v>612</v>
      </c>
      <c r="CW3364" s="8">
        <f>1</f>
        <v>1</v>
      </c>
      <c r="CX3364" s="7">
        <f>1</f>
        <v>1</v>
      </c>
      <c r="CY3364" s="7">
        <f>0</f>
        <v>0</v>
      </c>
      <c r="DA3364" s="7">
        <f>1</f>
        <v>1</v>
      </c>
      <c r="DB3364" s="7" t="s">
        <v>240</v>
      </c>
      <c r="DC3364" s="5" t="s">
        <v>240</v>
      </c>
      <c r="DD3364" s="5" t="s">
        <v>240</v>
      </c>
      <c r="DE3364" s="5" t="s">
        <v>240</v>
      </c>
      <c r="DF3364" s="5" t="s">
        <v>240</v>
      </c>
      <c r="DG3364" s="7">
        <f>0</f>
        <v>0</v>
      </c>
      <c r="DI3364" s="5" t="s">
        <v>240</v>
      </c>
      <c r="DJ3364" s="5" t="s">
        <v>240</v>
      </c>
      <c r="DK3364" s="5" t="s">
        <v>240</v>
      </c>
      <c r="DL3364" s="5" t="s">
        <v>240</v>
      </c>
      <c r="DM3364" s="5" t="s">
        <v>240</v>
      </c>
      <c r="DN3364" s="5" t="s">
        <v>240</v>
      </c>
      <c r="DO3364" s="7" t="s">
        <v>240</v>
      </c>
      <c r="DP3364" s="5" t="s">
        <v>240</v>
      </c>
      <c r="DQ3364" s="5" t="s">
        <v>240</v>
      </c>
      <c r="DR3364" s="5" t="s">
        <v>731</v>
      </c>
      <c r="DS3364" s="5" t="s">
        <v>731</v>
      </c>
      <c r="DT3364" s="5" t="s">
        <v>240</v>
      </c>
      <c r="DU3364" s="5" t="s">
        <v>240</v>
      </c>
      <c r="DV3364" s="5" t="s">
        <v>5063</v>
      </c>
      <c r="DW3364" s="5" t="s">
        <v>713</v>
      </c>
      <c r="DX3364" s="5" t="s">
        <v>240</v>
      </c>
      <c r="DY3364" s="5" t="s">
        <v>240</v>
      </c>
      <c r="DZ3364" s="5" t="s">
        <v>240</v>
      </c>
      <c r="EA3364" s="5" t="s">
        <v>240</v>
      </c>
      <c r="EB3364" s="5" t="s">
        <v>240</v>
      </c>
      <c r="EC3364" s="5" t="s">
        <v>240</v>
      </c>
      <c r="ED3364" s="5" t="s">
        <v>240</v>
      </c>
      <c r="EE3364" s="5" t="s">
        <v>240</v>
      </c>
      <c r="EF3364" s="5" t="s">
        <v>240</v>
      </c>
      <c r="EG3364" s="5" t="s">
        <v>240</v>
      </c>
      <c r="EH3364" s="5" t="s">
        <v>240</v>
      </c>
      <c r="EI3364" s="5" t="s">
        <v>240</v>
      </c>
      <c r="EJ3364" s="5" t="s">
        <v>240</v>
      </c>
      <c r="EK3364" s="5" t="s">
        <v>240</v>
      </c>
      <c r="EL3364" s="5" t="s">
        <v>240</v>
      </c>
      <c r="EM3364" s="5" t="s">
        <v>240</v>
      </c>
      <c r="EN3364" s="5" t="s">
        <v>240</v>
      </c>
      <c r="EO3364" s="5" t="s">
        <v>240</v>
      </c>
      <c r="EP3364" s="5" t="s">
        <v>240</v>
      </c>
      <c r="EQ3364" s="5" t="s">
        <v>240</v>
      </c>
      <c r="ER3364" s="5" t="s">
        <v>240</v>
      </c>
      <c r="ES3364" s="5" t="s">
        <v>240</v>
      </c>
      <c r="ET3364" s="5" t="s">
        <v>240</v>
      </c>
      <c r="EU3364" s="5" t="s">
        <v>240</v>
      </c>
      <c r="EV3364" s="5" t="s">
        <v>240</v>
      </c>
      <c r="EW3364" s="5" t="s">
        <v>240</v>
      </c>
      <c r="EX3364" s="5" t="s">
        <v>240</v>
      </c>
      <c r="EY3364" s="5" t="s">
        <v>240</v>
      </c>
      <c r="EZ3364" s="5" t="s">
        <v>240</v>
      </c>
      <c r="FA3364" s="5" t="s">
        <v>240</v>
      </c>
      <c r="FB3364" s="5" t="s">
        <v>240</v>
      </c>
      <c r="FC3364" s="5" t="s">
        <v>240</v>
      </c>
      <c r="FD3364" s="5" t="s">
        <v>240</v>
      </c>
      <c r="FE3364" s="5" t="s">
        <v>240</v>
      </c>
      <c r="FF3364" s="5" t="s">
        <v>240</v>
      </c>
      <c r="FG3364" s="5" t="s">
        <v>240</v>
      </c>
      <c r="FH3364" s="5" t="s">
        <v>240</v>
      </c>
      <c r="FI3364" s="5" t="s">
        <v>240</v>
      </c>
      <c r="FJ3364" s="5" t="s">
        <v>240</v>
      </c>
      <c r="FK3364" s="5" t="s">
        <v>240</v>
      </c>
      <c r="FL3364" s="5" t="s">
        <v>240</v>
      </c>
      <c r="FM3364" s="5" t="s">
        <v>240</v>
      </c>
      <c r="FN3364" s="5" t="s">
        <v>240</v>
      </c>
      <c r="FO3364" s="5" t="s">
        <v>240</v>
      </c>
      <c r="FP3364" s="5" t="s">
        <v>240</v>
      </c>
      <c r="FQ3364" s="5" t="s">
        <v>240</v>
      </c>
      <c r="FR3364" s="5" t="s">
        <v>240</v>
      </c>
      <c r="FS3364" s="5" t="s">
        <v>240</v>
      </c>
      <c r="FT3364" s="5" t="s">
        <v>240</v>
      </c>
      <c r="FU3364" s="5" t="s">
        <v>240</v>
      </c>
      <c r="FV3364" s="5" t="s">
        <v>240</v>
      </c>
      <c r="FW3364" s="5" t="s">
        <v>240</v>
      </c>
      <c r="FX3364" s="5" t="s">
        <v>240</v>
      </c>
      <c r="FY3364" s="5" t="s">
        <v>240</v>
      </c>
      <c r="FZ3364" s="5" t="s">
        <v>240</v>
      </c>
      <c r="GA3364" s="5" t="s">
        <v>240</v>
      </c>
      <c r="GB3364" s="5" t="s">
        <v>240</v>
      </c>
      <c r="GC3364" s="5" t="s">
        <v>240</v>
      </c>
      <c r="GD3364" s="5" t="s">
        <v>240</v>
      </c>
      <c r="GE3364" s="5" t="s">
        <v>240</v>
      </c>
      <c r="GF3364" s="5" t="s">
        <v>240</v>
      </c>
      <c r="GG3364" s="5" t="s">
        <v>240</v>
      </c>
      <c r="GH3364" s="5" t="s">
        <v>240</v>
      </c>
      <c r="GI3364" s="5" t="s">
        <v>240</v>
      </c>
      <c r="GJ3364" s="5" t="s">
        <v>240</v>
      </c>
      <c r="GK3364" s="5" t="s">
        <v>240</v>
      </c>
      <c r="GL3364" s="5" t="s">
        <v>240</v>
      </c>
      <c r="GM3364" s="5" t="s">
        <v>240</v>
      </c>
      <c r="GN3364" s="5" t="s">
        <v>240</v>
      </c>
      <c r="GO3364" s="5" t="s">
        <v>240</v>
      </c>
      <c r="GP3364" s="5" t="s">
        <v>240</v>
      </c>
      <c r="GQ3364" s="5" t="s">
        <v>240</v>
      </c>
      <c r="GR3364" s="5" t="s">
        <v>240</v>
      </c>
      <c r="GS3364" s="5" t="s">
        <v>240</v>
      </c>
      <c r="GT3364" s="5" t="s">
        <v>240</v>
      </c>
      <c r="GU3364" s="5" t="s">
        <v>240</v>
      </c>
      <c r="GV3364" s="5" t="s">
        <v>240</v>
      </c>
      <c r="GW3364" s="5" t="s">
        <v>240</v>
      </c>
      <c r="GX3364" s="5" t="s">
        <v>240</v>
      </c>
      <c r="GY3364" s="5" t="s">
        <v>240</v>
      </c>
      <c r="GZ3364" s="5" t="s">
        <v>240</v>
      </c>
      <c r="HA3364" s="5" t="s">
        <v>240</v>
      </c>
      <c r="HB3364" s="5" t="s">
        <v>240</v>
      </c>
      <c r="HC3364" s="5" t="s">
        <v>240</v>
      </c>
      <c r="HD3364" s="5" t="s">
        <v>240</v>
      </c>
      <c r="HE3364" s="5" t="s">
        <v>240</v>
      </c>
      <c r="HF3364" s="5" t="s">
        <v>240</v>
      </c>
      <c r="HG3364" s="5" t="s">
        <v>240</v>
      </c>
      <c r="HH3364" s="5" t="s">
        <v>240</v>
      </c>
      <c r="HI3364" s="5" t="s">
        <v>240</v>
      </c>
      <c r="HJ3364" s="5" t="s">
        <v>240</v>
      </c>
      <c r="HK3364" s="5" t="s">
        <v>240</v>
      </c>
      <c r="HL3364" s="5" t="s">
        <v>240</v>
      </c>
      <c r="HM3364" s="5" t="s">
        <v>240</v>
      </c>
      <c r="HN3364" s="5" t="s">
        <v>240</v>
      </c>
      <c r="HO3364" s="5" t="s">
        <v>312</v>
      </c>
      <c r="HP3364" s="5" t="s">
        <v>240</v>
      </c>
      <c r="HQ3364" s="5" t="s">
        <v>240</v>
      </c>
      <c r="HR3364" s="5" t="s">
        <v>240</v>
      </c>
      <c r="HS3364" s="5" t="s">
        <v>240</v>
      </c>
      <c r="HT3364" s="5" t="s">
        <v>240</v>
      </c>
      <c r="HU3364" s="5" t="s">
        <v>240</v>
      </c>
      <c r="HV3364" s="5" t="s">
        <v>240</v>
      </c>
      <c r="HW3364" s="5" t="s">
        <v>240</v>
      </c>
      <c r="HX3364" s="5" t="s">
        <v>240</v>
      </c>
      <c r="HY3364" s="5" t="s">
        <v>240</v>
      </c>
      <c r="HZ3364" s="5" t="s">
        <v>240</v>
      </c>
      <c r="IA3364" s="5" t="s">
        <v>240</v>
      </c>
      <c r="IB3364" s="5" t="s">
        <v>240</v>
      </c>
      <c r="IC3364" s="5" t="s">
        <v>240</v>
      </c>
      <c r="ID3364" s="5" t="s">
        <v>240</v>
      </c>
      <c r="IE3364" s="5" t="s">
        <v>240</v>
      </c>
      <c r="IF3364" s="5" t="s">
        <v>240</v>
      </c>
    </row>
    <row r="3365" spans="1:240" x14ac:dyDescent="0.4">
      <c r="A3365" s="5">
        <v>8907</v>
      </c>
      <c r="B3365" s="5">
        <v>1</v>
      </c>
      <c r="C3365" s="5">
        <v>1</v>
      </c>
      <c r="D3365" s="5" t="s">
        <v>723</v>
      </c>
      <c r="E3365" s="5" t="s">
        <v>725</v>
      </c>
      <c r="F3365" s="5" t="s">
        <v>730</v>
      </c>
      <c r="G3365" s="5" t="s">
        <v>726</v>
      </c>
      <c r="H3365" s="6" t="s">
        <v>6247</v>
      </c>
      <c r="I3365" s="5" t="s">
        <v>990</v>
      </c>
      <c r="J3365" s="8">
        <f>33</f>
        <v>33</v>
      </c>
      <c r="K3365" s="5" t="s">
        <v>308</v>
      </c>
      <c r="L3365" s="7">
        <f>0</f>
        <v>0</v>
      </c>
      <c r="M3365" s="7">
        <f>0</f>
        <v>0</v>
      </c>
      <c r="N3365" s="5" t="s">
        <v>242</v>
      </c>
      <c r="O3365" s="5">
        <v>1</v>
      </c>
      <c r="P3365" s="5" t="s">
        <v>294</v>
      </c>
      <c r="Q3365" s="5" t="s">
        <v>3678</v>
      </c>
      <c r="R3365" s="5" t="s">
        <v>240</v>
      </c>
      <c r="S3365" s="5" t="s">
        <v>240</v>
      </c>
      <c r="T3365" s="5" t="s">
        <v>243</v>
      </c>
      <c r="U3365" s="5" t="s">
        <v>244</v>
      </c>
      <c r="V3365" s="5" t="s">
        <v>240</v>
      </c>
      <c r="W3365" s="5" t="s">
        <v>240</v>
      </c>
      <c r="X3365" s="5" t="s">
        <v>240</v>
      </c>
      <c r="Y3365" s="5" t="s">
        <v>240</v>
      </c>
      <c r="Z3365" s="6" t="s">
        <v>298</v>
      </c>
      <c r="AA3365" s="6" t="s">
        <v>240</v>
      </c>
      <c r="AB3365" s="6" t="s">
        <v>240</v>
      </c>
      <c r="AC3365" s="5" t="s">
        <v>240</v>
      </c>
      <c r="AD3365" s="6" t="s">
        <v>240</v>
      </c>
      <c r="AE3365" s="6" t="s">
        <v>299</v>
      </c>
      <c r="AF3365" s="5" t="s">
        <v>248</v>
      </c>
      <c r="AG3365" s="5" t="s">
        <v>249</v>
      </c>
      <c r="AH3365" s="5" t="s">
        <v>240</v>
      </c>
      <c r="AI3365" s="5" t="s">
        <v>240</v>
      </c>
      <c r="AJ3365" s="5" t="s">
        <v>240</v>
      </c>
      <c r="AK3365" s="5" t="s">
        <v>240</v>
      </c>
      <c r="AL3365" s="5" t="s">
        <v>240</v>
      </c>
      <c r="AM3365" s="5" t="s">
        <v>240</v>
      </c>
      <c r="AN3365" s="5" t="s">
        <v>240</v>
      </c>
      <c r="AO3365" s="5" t="s">
        <v>240</v>
      </c>
      <c r="AP3365" s="6" t="s">
        <v>240</v>
      </c>
      <c r="AQ3365" s="6" t="s">
        <v>240</v>
      </c>
      <c r="AR3365" s="6" t="s">
        <v>240</v>
      </c>
      <c r="AS3365" s="6" t="s">
        <v>240</v>
      </c>
      <c r="AT3365" s="5" t="s">
        <v>240</v>
      </c>
      <c r="AU3365" s="5" t="s">
        <v>729</v>
      </c>
      <c r="AV3365" s="5" t="s">
        <v>729</v>
      </c>
      <c r="AW3365" s="5" t="s">
        <v>251</v>
      </c>
      <c r="AX3365" s="5" t="s">
        <v>252</v>
      </c>
      <c r="AY3365" s="5" t="s">
        <v>253</v>
      </c>
      <c r="AZ3365" s="5" t="s">
        <v>240</v>
      </c>
      <c r="BA3365" s="5" t="s">
        <v>255</v>
      </c>
      <c r="BB3365" s="5" t="s">
        <v>731</v>
      </c>
      <c r="BD3365" s="5" t="s">
        <v>240</v>
      </c>
      <c r="BF3365" s="5" t="s">
        <v>732</v>
      </c>
      <c r="BG3365" s="6" t="s">
        <v>733</v>
      </c>
      <c r="BH3365" s="5" t="s">
        <v>734</v>
      </c>
      <c r="BI3365" s="5" t="s">
        <v>734</v>
      </c>
      <c r="BJ3365" s="5" t="s">
        <v>240</v>
      </c>
      <c r="BK3365" s="7">
        <f>1</f>
        <v>1</v>
      </c>
      <c r="BL3365" s="7">
        <f>1</f>
        <v>1</v>
      </c>
      <c r="BM3365" s="5" t="s">
        <v>258</v>
      </c>
      <c r="BN3365" s="5" t="s">
        <v>259</v>
      </c>
      <c r="BO3365" s="5" t="s">
        <v>240</v>
      </c>
      <c r="BP3365" s="5" t="s">
        <v>240</v>
      </c>
      <c r="BQ3365" s="5" t="s">
        <v>240</v>
      </c>
      <c r="BR3365" s="5" t="s">
        <v>240</v>
      </c>
      <c r="BS3365" s="5" t="s">
        <v>240</v>
      </c>
      <c r="BT3365" s="5" t="s">
        <v>240</v>
      </c>
      <c r="BU3365" s="5" t="s">
        <v>240</v>
      </c>
      <c r="BV3365" s="5" t="s">
        <v>240</v>
      </c>
      <c r="BW3365" s="6" t="s">
        <v>240</v>
      </c>
      <c r="BX3365" s="5" t="s">
        <v>240</v>
      </c>
      <c r="BY3365" s="5" t="s">
        <v>240</v>
      </c>
      <c r="BZ3365" s="5" t="s">
        <v>240</v>
      </c>
      <c r="CA3365" s="5" t="s">
        <v>259</v>
      </c>
      <c r="CB3365" s="5" t="s">
        <v>240</v>
      </c>
      <c r="CC3365" s="5" t="s">
        <v>240</v>
      </c>
      <c r="CD3365" s="5" t="s">
        <v>240</v>
      </c>
      <c r="CE3365" s="5" t="s">
        <v>240</v>
      </c>
      <c r="CF3365" s="5" t="s">
        <v>240</v>
      </c>
      <c r="CG3365" s="5" t="s">
        <v>304</v>
      </c>
      <c r="CH3365" s="5" t="s">
        <v>305</v>
      </c>
      <c r="CI3365" s="5" t="s">
        <v>240</v>
      </c>
      <c r="CK3365" s="5" t="s">
        <v>3681</v>
      </c>
      <c r="CL3365" s="6" t="s">
        <v>261</v>
      </c>
      <c r="CM3365" s="5" t="s">
        <v>262</v>
      </c>
      <c r="CN3365" s="5" t="s">
        <v>263</v>
      </c>
      <c r="CO3365" s="5" t="s">
        <v>264</v>
      </c>
      <c r="CP3365" s="5" t="s">
        <v>240</v>
      </c>
      <c r="CQ3365" s="5">
        <v>0</v>
      </c>
      <c r="CR3365" s="5" t="s">
        <v>735</v>
      </c>
      <c r="CS3365" s="5" t="s">
        <v>307</v>
      </c>
      <c r="CT3365" s="5" t="s">
        <v>307</v>
      </c>
      <c r="CU3365" s="5" t="s">
        <v>260</v>
      </c>
      <c r="CV3365" s="5" t="s">
        <v>612</v>
      </c>
      <c r="CW3365" s="8">
        <f>1</f>
        <v>1</v>
      </c>
      <c r="CX3365" s="7">
        <f>1</f>
        <v>1</v>
      </c>
      <c r="CY3365" s="7">
        <f>0</f>
        <v>0</v>
      </c>
      <c r="DA3365" s="7">
        <f>1</f>
        <v>1</v>
      </c>
      <c r="DB3365" s="7" t="s">
        <v>240</v>
      </c>
      <c r="DC3365" s="5" t="s">
        <v>240</v>
      </c>
      <c r="DD3365" s="5" t="s">
        <v>240</v>
      </c>
      <c r="DE3365" s="5" t="s">
        <v>240</v>
      </c>
      <c r="DF3365" s="5" t="s">
        <v>240</v>
      </c>
      <c r="DG3365" s="7">
        <f>0</f>
        <v>0</v>
      </c>
      <c r="DI3365" s="5" t="s">
        <v>240</v>
      </c>
      <c r="DJ3365" s="5" t="s">
        <v>240</v>
      </c>
      <c r="DK3365" s="5" t="s">
        <v>240</v>
      </c>
      <c r="DL3365" s="5" t="s">
        <v>240</v>
      </c>
      <c r="DM3365" s="5" t="s">
        <v>240</v>
      </c>
      <c r="DN3365" s="5" t="s">
        <v>240</v>
      </c>
      <c r="DO3365" s="7" t="s">
        <v>240</v>
      </c>
      <c r="DP3365" s="5" t="s">
        <v>240</v>
      </c>
      <c r="DQ3365" s="5" t="s">
        <v>240</v>
      </c>
      <c r="DR3365" s="5" t="s">
        <v>731</v>
      </c>
      <c r="DS3365" s="5" t="s">
        <v>731</v>
      </c>
      <c r="DT3365" s="5" t="s">
        <v>240</v>
      </c>
      <c r="DU3365" s="5" t="s">
        <v>240</v>
      </c>
      <c r="DV3365" s="5" t="s">
        <v>3683</v>
      </c>
      <c r="DW3365" s="5" t="s">
        <v>3981</v>
      </c>
      <c r="DX3365" s="5" t="s">
        <v>240</v>
      </c>
      <c r="DY3365" s="5" t="s">
        <v>240</v>
      </c>
      <c r="DZ3365" s="5" t="s">
        <v>240</v>
      </c>
      <c r="EA3365" s="5" t="s">
        <v>240</v>
      </c>
      <c r="EB3365" s="5" t="s">
        <v>240</v>
      </c>
      <c r="EC3365" s="5" t="s">
        <v>240</v>
      </c>
      <c r="ED3365" s="5" t="s">
        <v>240</v>
      </c>
      <c r="EE3365" s="5" t="s">
        <v>240</v>
      </c>
      <c r="EF3365" s="5" t="s">
        <v>240</v>
      </c>
      <c r="EG3365" s="5" t="s">
        <v>240</v>
      </c>
      <c r="EH3365" s="5" t="s">
        <v>240</v>
      </c>
      <c r="EI3365" s="5" t="s">
        <v>240</v>
      </c>
      <c r="EJ3365" s="5" t="s">
        <v>240</v>
      </c>
      <c r="EK3365" s="5" t="s">
        <v>240</v>
      </c>
      <c r="EL3365" s="5" t="s">
        <v>240</v>
      </c>
      <c r="EM3365" s="5" t="s">
        <v>240</v>
      </c>
      <c r="EN3365" s="5" t="s">
        <v>240</v>
      </c>
      <c r="EO3365" s="5" t="s">
        <v>240</v>
      </c>
      <c r="EP3365" s="5" t="s">
        <v>240</v>
      </c>
      <c r="EQ3365" s="5" t="s">
        <v>240</v>
      </c>
      <c r="ER3365" s="5" t="s">
        <v>240</v>
      </c>
      <c r="ES3365" s="5" t="s">
        <v>240</v>
      </c>
      <c r="ET3365" s="5" t="s">
        <v>240</v>
      </c>
      <c r="EU3365" s="5" t="s">
        <v>240</v>
      </c>
      <c r="EV3365" s="5" t="s">
        <v>240</v>
      </c>
      <c r="EW3365" s="5" t="s">
        <v>240</v>
      </c>
      <c r="EX3365" s="5" t="s">
        <v>240</v>
      </c>
      <c r="EY3365" s="5" t="s">
        <v>240</v>
      </c>
      <c r="EZ3365" s="5" t="s">
        <v>240</v>
      </c>
      <c r="FA3365" s="5" t="s">
        <v>240</v>
      </c>
      <c r="FB3365" s="5" t="s">
        <v>240</v>
      </c>
      <c r="FC3365" s="5" t="s">
        <v>240</v>
      </c>
      <c r="FD3365" s="5" t="s">
        <v>240</v>
      </c>
      <c r="FE3365" s="5" t="s">
        <v>240</v>
      </c>
      <c r="FF3365" s="5" t="s">
        <v>240</v>
      </c>
      <c r="FG3365" s="5" t="s">
        <v>240</v>
      </c>
      <c r="FH3365" s="5" t="s">
        <v>240</v>
      </c>
      <c r="FI3365" s="5" t="s">
        <v>240</v>
      </c>
      <c r="FJ3365" s="5" t="s">
        <v>240</v>
      </c>
      <c r="FK3365" s="5" t="s">
        <v>240</v>
      </c>
      <c r="FL3365" s="5" t="s">
        <v>240</v>
      </c>
      <c r="FM3365" s="5" t="s">
        <v>240</v>
      </c>
      <c r="FN3365" s="5" t="s">
        <v>240</v>
      </c>
      <c r="FO3365" s="5" t="s">
        <v>240</v>
      </c>
      <c r="FP3365" s="5" t="s">
        <v>240</v>
      </c>
      <c r="FQ3365" s="5" t="s">
        <v>240</v>
      </c>
      <c r="FR3365" s="5" t="s">
        <v>240</v>
      </c>
      <c r="FS3365" s="5" t="s">
        <v>240</v>
      </c>
      <c r="FT3365" s="5" t="s">
        <v>240</v>
      </c>
      <c r="FU3365" s="5" t="s">
        <v>240</v>
      </c>
      <c r="FV3365" s="5" t="s">
        <v>240</v>
      </c>
      <c r="FW3365" s="5" t="s">
        <v>240</v>
      </c>
      <c r="FX3365" s="5" t="s">
        <v>240</v>
      </c>
      <c r="FY3365" s="5" t="s">
        <v>240</v>
      </c>
      <c r="FZ3365" s="5" t="s">
        <v>240</v>
      </c>
      <c r="GA3365" s="5" t="s">
        <v>240</v>
      </c>
      <c r="GB3365" s="5" t="s">
        <v>240</v>
      </c>
      <c r="GC3365" s="5" t="s">
        <v>240</v>
      </c>
      <c r="GD3365" s="5" t="s">
        <v>240</v>
      </c>
      <c r="GE3365" s="5" t="s">
        <v>240</v>
      </c>
      <c r="GF3365" s="5" t="s">
        <v>240</v>
      </c>
      <c r="GG3365" s="5" t="s">
        <v>240</v>
      </c>
      <c r="GH3365" s="5" t="s">
        <v>240</v>
      </c>
      <c r="GI3365" s="5" t="s">
        <v>240</v>
      </c>
      <c r="GJ3365" s="5" t="s">
        <v>240</v>
      </c>
      <c r="GK3365" s="5" t="s">
        <v>240</v>
      </c>
      <c r="GL3365" s="5" t="s">
        <v>240</v>
      </c>
      <c r="GM3365" s="5" t="s">
        <v>240</v>
      </c>
      <c r="GN3365" s="5" t="s">
        <v>240</v>
      </c>
      <c r="GO3365" s="5" t="s">
        <v>240</v>
      </c>
      <c r="GP3365" s="5" t="s">
        <v>240</v>
      </c>
      <c r="GQ3365" s="5" t="s">
        <v>240</v>
      </c>
      <c r="GR3365" s="5" t="s">
        <v>240</v>
      </c>
      <c r="GS3365" s="5" t="s">
        <v>240</v>
      </c>
      <c r="GT3365" s="5" t="s">
        <v>240</v>
      </c>
      <c r="GU3365" s="5" t="s">
        <v>240</v>
      </c>
      <c r="GV3365" s="5" t="s">
        <v>240</v>
      </c>
      <c r="GW3365" s="5" t="s">
        <v>240</v>
      </c>
      <c r="GX3365" s="5" t="s">
        <v>240</v>
      </c>
      <c r="GY3365" s="5" t="s">
        <v>240</v>
      </c>
      <c r="GZ3365" s="5" t="s">
        <v>240</v>
      </c>
      <c r="HA3365" s="5" t="s">
        <v>240</v>
      </c>
      <c r="HB3365" s="5" t="s">
        <v>240</v>
      </c>
      <c r="HC3365" s="5" t="s">
        <v>240</v>
      </c>
      <c r="HD3365" s="5" t="s">
        <v>240</v>
      </c>
      <c r="HE3365" s="5" t="s">
        <v>240</v>
      </c>
      <c r="HF3365" s="5" t="s">
        <v>240</v>
      </c>
      <c r="HG3365" s="5" t="s">
        <v>240</v>
      </c>
      <c r="HH3365" s="5" t="s">
        <v>240</v>
      </c>
      <c r="HI3365" s="5" t="s">
        <v>240</v>
      </c>
      <c r="HJ3365" s="5" t="s">
        <v>240</v>
      </c>
      <c r="HK3365" s="5" t="s">
        <v>240</v>
      </c>
      <c r="HL3365" s="5" t="s">
        <v>240</v>
      </c>
      <c r="HM3365" s="5" t="s">
        <v>240</v>
      </c>
      <c r="HN3365" s="5" t="s">
        <v>240</v>
      </c>
      <c r="HO3365" s="5" t="s">
        <v>312</v>
      </c>
      <c r="HP3365" s="5" t="s">
        <v>240</v>
      </c>
      <c r="HQ3365" s="5" t="s">
        <v>240</v>
      </c>
      <c r="HR3365" s="5" t="s">
        <v>240</v>
      </c>
      <c r="HS3365" s="5" t="s">
        <v>240</v>
      </c>
      <c r="HT3365" s="5" t="s">
        <v>240</v>
      </c>
      <c r="HU3365" s="5" t="s">
        <v>240</v>
      </c>
      <c r="HV3365" s="5" t="s">
        <v>240</v>
      </c>
      <c r="HW3365" s="5" t="s">
        <v>240</v>
      </c>
      <c r="HX3365" s="5" t="s">
        <v>240</v>
      </c>
      <c r="HY3365" s="5" t="s">
        <v>240</v>
      </c>
      <c r="HZ3365" s="5" t="s">
        <v>240</v>
      </c>
      <c r="IA3365" s="5" t="s">
        <v>240</v>
      </c>
      <c r="IB3365" s="5" t="s">
        <v>240</v>
      </c>
      <c r="IC3365" s="5" t="s">
        <v>240</v>
      </c>
      <c r="ID3365" s="5" t="s">
        <v>240</v>
      </c>
      <c r="IE3365" s="5" t="s">
        <v>240</v>
      </c>
      <c r="IF3365" s="5" t="s">
        <v>240</v>
      </c>
    </row>
    <row r="3366" spans="1:240" x14ac:dyDescent="0.4">
      <c r="A3366" s="5">
        <v>8908</v>
      </c>
      <c r="B3366" s="5">
        <v>1</v>
      </c>
      <c r="C3366" s="5">
        <v>1</v>
      </c>
      <c r="D3366" s="5" t="s">
        <v>723</v>
      </c>
      <c r="E3366" s="5" t="s">
        <v>725</v>
      </c>
      <c r="F3366" s="5" t="s">
        <v>730</v>
      </c>
      <c r="G3366" s="5" t="s">
        <v>726</v>
      </c>
      <c r="H3366" s="6" t="s">
        <v>6240</v>
      </c>
      <c r="I3366" s="5" t="s">
        <v>990</v>
      </c>
      <c r="J3366" s="8">
        <f>327</f>
        <v>327</v>
      </c>
      <c r="K3366" s="5" t="s">
        <v>308</v>
      </c>
      <c r="L3366" s="7">
        <f>0</f>
        <v>0</v>
      </c>
      <c r="M3366" s="7">
        <f>0</f>
        <v>0</v>
      </c>
      <c r="N3366" s="5" t="s">
        <v>242</v>
      </c>
      <c r="O3366" s="5">
        <v>1</v>
      </c>
      <c r="P3366" s="5" t="s">
        <v>294</v>
      </c>
      <c r="Q3366" s="5" t="s">
        <v>266</v>
      </c>
      <c r="R3366" s="5" t="s">
        <v>240</v>
      </c>
      <c r="S3366" s="5" t="s">
        <v>240</v>
      </c>
      <c r="T3366" s="5" t="s">
        <v>296</v>
      </c>
      <c r="U3366" s="5" t="s">
        <v>244</v>
      </c>
      <c r="V3366" s="5" t="s">
        <v>240</v>
      </c>
      <c r="Y3366" s="5" t="s">
        <v>240</v>
      </c>
      <c r="Z3366" s="6" t="s">
        <v>298</v>
      </c>
      <c r="AB3366" s="6" t="s">
        <v>240</v>
      </c>
      <c r="AE3366" s="6" t="s">
        <v>299</v>
      </c>
      <c r="AF3366" s="5" t="s">
        <v>248</v>
      </c>
      <c r="AG3366" s="5" t="s">
        <v>249</v>
      </c>
      <c r="AW3366" s="5" t="s">
        <v>251</v>
      </c>
      <c r="AX3366" s="5" t="s">
        <v>240</v>
      </c>
      <c r="AY3366" s="5" t="s">
        <v>253</v>
      </c>
      <c r="AZ3366" s="5" t="s">
        <v>240</v>
      </c>
      <c r="BA3366" s="5" t="s">
        <v>255</v>
      </c>
      <c r="BB3366" s="5" t="s">
        <v>240</v>
      </c>
      <c r="BD3366" s="5" t="s">
        <v>240</v>
      </c>
      <c r="BF3366" s="5" t="s">
        <v>301</v>
      </c>
      <c r="BG3366" s="6" t="s">
        <v>299</v>
      </c>
      <c r="BH3366" s="5" t="s">
        <v>302</v>
      </c>
      <c r="BI3366" s="5" t="s">
        <v>303</v>
      </c>
      <c r="BJ3366" s="5" t="s">
        <v>240</v>
      </c>
      <c r="BK3366" s="8">
        <f>0</f>
        <v>0</v>
      </c>
      <c r="BL3366" s="7">
        <f>0</f>
        <v>0</v>
      </c>
      <c r="BM3366" s="5" t="s">
        <v>258</v>
      </c>
      <c r="BN3366" s="5" t="s">
        <v>259</v>
      </c>
      <c r="CB3366" s="5" t="s">
        <v>240</v>
      </c>
      <c r="CC3366" s="5" t="s">
        <v>240</v>
      </c>
      <c r="CG3366" s="5" t="s">
        <v>304</v>
      </c>
      <c r="CH3366" s="5" t="s">
        <v>305</v>
      </c>
      <c r="CI3366" s="5" t="s">
        <v>240</v>
      </c>
      <c r="CL3366" s="6" t="s">
        <v>261</v>
      </c>
      <c r="CM3366" s="5" t="s">
        <v>240</v>
      </c>
      <c r="CN3366" s="5" t="s">
        <v>263</v>
      </c>
      <c r="CO3366" s="5" t="s">
        <v>240</v>
      </c>
      <c r="CP3366" s="5" t="s">
        <v>240</v>
      </c>
      <c r="CQ3366" s="5">
        <v>0</v>
      </c>
      <c r="CR3366" s="5" t="s">
        <v>306</v>
      </c>
      <c r="CS3366" s="5" t="s">
        <v>307</v>
      </c>
      <c r="CT3366" s="5" t="s">
        <v>307</v>
      </c>
      <c r="CU3366" s="5" t="s">
        <v>260</v>
      </c>
      <c r="CX3366" s="7">
        <f>1</f>
        <v>1</v>
      </c>
      <c r="CY3366" s="7">
        <f>0</f>
        <v>0</v>
      </c>
      <c r="DA3366" s="7">
        <f>0</f>
        <v>0</v>
      </c>
      <c r="DC3366" s="5" t="s">
        <v>309</v>
      </c>
      <c r="DD3366" s="5" t="s">
        <v>240</v>
      </c>
      <c r="DF3366" s="5" t="s">
        <v>309</v>
      </c>
      <c r="DG3366" s="7">
        <f>2701</f>
        <v>2701</v>
      </c>
      <c r="DI3366" s="5" t="s">
        <v>240</v>
      </c>
      <c r="DJ3366" s="5" t="s">
        <v>240</v>
      </c>
      <c r="DK3366" s="5" t="s">
        <v>240</v>
      </c>
      <c r="DL3366" s="5" t="s">
        <v>240</v>
      </c>
      <c r="DP3366" s="5" t="s">
        <v>240</v>
      </c>
      <c r="DQ3366" s="5" t="s">
        <v>240</v>
      </c>
      <c r="DR3366" s="5" t="s">
        <v>240</v>
      </c>
      <c r="DS3366" s="5" t="s">
        <v>240</v>
      </c>
      <c r="DV3366" s="5" t="s">
        <v>310</v>
      </c>
      <c r="DW3366" s="5" t="s">
        <v>3536</v>
      </c>
      <c r="HO3366" s="5" t="s">
        <v>312</v>
      </c>
    </row>
    <row r="3367" spans="1:240" x14ac:dyDescent="0.4">
      <c r="A3367" s="5">
        <v>8909</v>
      </c>
      <c r="B3367" s="5">
        <v>1</v>
      </c>
      <c r="C3367" s="5">
        <v>1</v>
      </c>
      <c r="D3367" s="5" t="s">
        <v>723</v>
      </c>
      <c r="E3367" s="5" t="s">
        <v>725</v>
      </c>
      <c r="F3367" s="5" t="s">
        <v>730</v>
      </c>
      <c r="G3367" s="5" t="s">
        <v>726</v>
      </c>
      <c r="H3367" s="6" t="s">
        <v>6239</v>
      </c>
      <c r="I3367" s="5" t="s">
        <v>990</v>
      </c>
      <c r="J3367" s="8">
        <f>991.73</f>
        <v>991.73</v>
      </c>
      <c r="K3367" s="5" t="s">
        <v>308</v>
      </c>
      <c r="L3367" s="7">
        <f>0</f>
        <v>0</v>
      </c>
      <c r="M3367" s="7">
        <f>0</f>
        <v>0</v>
      </c>
      <c r="N3367" s="5" t="s">
        <v>242</v>
      </c>
      <c r="O3367" s="5">
        <v>1</v>
      </c>
      <c r="P3367" s="5" t="s">
        <v>294</v>
      </c>
      <c r="Q3367" s="5" t="s">
        <v>3678</v>
      </c>
      <c r="R3367" s="5" t="s">
        <v>240</v>
      </c>
      <c r="S3367" s="5" t="s">
        <v>240</v>
      </c>
      <c r="T3367" s="5" t="s">
        <v>243</v>
      </c>
      <c r="U3367" s="5" t="s">
        <v>244</v>
      </c>
      <c r="V3367" s="5" t="s">
        <v>240</v>
      </c>
      <c r="W3367" s="5" t="s">
        <v>240</v>
      </c>
      <c r="X3367" s="5" t="s">
        <v>240</v>
      </c>
      <c r="Y3367" s="5" t="s">
        <v>240</v>
      </c>
      <c r="Z3367" s="6" t="s">
        <v>298</v>
      </c>
      <c r="AA3367" s="6" t="s">
        <v>240</v>
      </c>
      <c r="AB3367" s="6" t="s">
        <v>240</v>
      </c>
      <c r="AC3367" s="5" t="s">
        <v>240</v>
      </c>
      <c r="AD3367" s="6" t="s">
        <v>240</v>
      </c>
      <c r="AE3367" s="6" t="s">
        <v>299</v>
      </c>
      <c r="AF3367" s="5" t="s">
        <v>248</v>
      </c>
      <c r="AG3367" s="5" t="s">
        <v>249</v>
      </c>
      <c r="AH3367" s="5" t="s">
        <v>240</v>
      </c>
      <c r="AI3367" s="5" t="s">
        <v>240</v>
      </c>
      <c r="AJ3367" s="5" t="s">
        <v>240</v>
      </c>
      <c r="AK3367" s="5" t="s">
        <v>240</v>
      </c>
      <c r="AL3367" s="5" t="s">
        <v>240</v>
      </c>
      <c r="AM3367" s="5" t="s">
        <v>240</v>
      </c>
      <c r="AN3367" s="5" t="s">
        <v>240</v>
      </c>
      <c r="AO3367" s="5" t="s">
        <v>240</v>
      </c>
      <c r="AP3367" s="6" t="s">
        <v>240</v>
      </c>
      <c r="AQ3367" s="6" t="s">
        <v>240</v>
      </c>
      <c r="AR3367" s="6" t="s">
        <v>240</v>
      </c>
      <c r="AS3367" s="6" t="s">
        <v>240</v>
      </c>
      <c r="AT3367" s="5" t="s">
        <v>240</v>
      </c>
      <c r="AU3367" s="5" t="s">
        <v>729</v>
      </c>
      <c r="AV3367" s="5" t="s">
        <v>729</v>
      </c>
      <c r="AW3367" s="5" t="s">
        <v>251</v>
      </c>
      <c r="AX3367" s="5" t="s">
        <v>252</v>
      </c>
      <c r="AY3367" s="5" t="s">
        <v>253</v>
      </c>
      <c r="AZ3367" s="5" t="s">
        <v>240</v>
      </c>
      <c r="BA3367" s="5" t="s">
        <v>255</v>
      </c>
      <c r="BB3367" s="5" t="s">
        <v>731</v>
      </c>
      <c r="BD3367" s="5" t="s">
        <v>240</v>
      </c>
      <c r="BF3367" s="5" t="s">
        <v>732</v>
      </c>
      <c r="BG3367" s="6" t="s">
        <v>733</v>
      </c>
      <c r="BH3367" s="5" t="s">
        <v>734</v>
      </c>
      <c r="BI3367" s="5" t="s">
        <v>734</v>
      </c>
      <c r="BJ3367" s="5" t="s">
        <v>240</v>
      </c>
      <c r="BK3367" s="7">
        <f>1</f>
        <v>1</v>
      </c>
      <c r="BL3367" s="7">
        <f>1</f>
        <v>1</v>
      </c>
      <c r="BM3367" s="5" t="s">
        <v>258</v>
      </c>
      <c r="BN3367" s="5" t="s">
        <v>259</v>
      </c>
      <c r="BO3367" s="5" t="s">
        <v>240</v>
      </c>
      <c r="BP3367" s="5" t="s">
        <v>240</v>
      </c>
      <c r="BQ3367" s="5" t="s">
        <v>240</v>
      </c>
      <c r="BR3367" s="5" t="s">
        <v>240</v>
      </c>
      <c r="BS3367" s="5" t="s">
        <v>240</v>
      </c>
      <c r="BT3367" s="5" t="s">
        <v>240</v>
      </c>
      <c r="BU3367" s="5" t="s">
        <v>240</v>
      </c>
      <c r="BV3367" s="5" t="s">
        <v>240</v>
      </c>
      <c r="BW3367" s="6" t="s">
        <v>240</v>
      </c>
      <c r="BX3367" s="5" t="s">
        <v>240</v>
      </c>
      <c r="BY3367" s="5" t="s">
        <v>240</v>
      </c>
      <c r="BZ3367" s="5" t="s">
        <v>240</v>
      </c>
      <c r="CA3367" s="5" t="s">
        <v>259</v>
      </c>
      <c r="CB3367" s="5" t="s">
        <v>240</v>
      </c>
      <c r="CC3367" s="5" t="s">
        <v>240</v>
      </c>
      <c r="CD3367" s="5" t="s">
        <v>240</v>
      </c>
      <c r="CE3367" s="5" t="s">
        <v>240</v>
      </c>
      <c r="CF3367" s="5" t="s">
        <v>240</v>
      </c>
      <c r="CG3367" s="5" t="s">
        <v>304</v>
      </c>
      <c r="CH3367" s="5" t="s">
        <v>305</v>
      </c>
      <c r="CI3367" s="5" t="s">
        <v>240</v>
      </c>
      <c r="CK3367" s="5" t="s">
        <v>3681</v>
      </c>
      <c r="CL3367" s="6" t="s">
        <v>261</v>
      </c>
      <c r="CM3367" s="5" t="s">
        <v>262</v>
      </c>
      <c r="CN3367" s="5" t="s">
        <v>263</v>
      </c>
      <c r="CO3367" s="5" t="s">
        <v>264</v>
      </c>
      <c r="CP3367" s="5" t="s">
        <v>240</v>
      </c>
      <c r="CQ3367" s="5">
        <v>0</v>
      </c>
      <c r="CR3367" s="5" t="s">
        <v>735</v>
      </c>
      <c r="CS3367" s="5" t="s">
        <v>307</v>
      </c>
      <c r="CT3367" s="5" t="s">
        <v>307</v>
      </c>
      <c r="CU3367" s="5" t="s">
        <v>260</v>
      </c>
      <c r="CV3367" s="5" t="s">
        <v>612</v>
      </c>
      <c r="CW3367" s="8">
        <f>1</f>
        <v>1</v>
      </c>
      <c r="CX3367" s="7">
        <f>1</f>
        <v>1</v>
      </c>
      <c r="CY3367" s="7">
        <f>0</f>
        <v>0</v>
      </c>
      <c r="DA3367" s="7">
        <f>1</f>
        <v>1</v>
      </c>
      <c r="DB3367" s="7" t="s">
        <v>240</v>
      </c>
      <c r="DC3367" s="5" t="s">
        <v>240</v>
      </c>
      <c r="DD3367" s="5" t="s">
        <v>240</v>
      </c>
      <c r="DE3367" s="5" t="s">
        <v>240</v>
      </c>
      <c r="DF3367" s="5" t="s">
        <v>240</v>
      </c>
      <c r="DG3367" s="7">
        <f>0</f>
        <v>0</v>
      </c>
      <c r="DI3367" s="5" t="s">
        <v>240</v>
      </c>
      <c r="DJ3367" s="5" t="s">
        <v>240</v>
      </c>
      <c r="DK3367" s="5" t="s">
        <v>240</v>
      </c>
      <c r="DL3367" s="5" t="s">
        <v>240</v>
      </c>
      <c r="DM3367" s="5" t="s">
        <v>240</v>
      </c>
      <c r="DN3367" s="5" t="s">
        <v>240</v>
      </c>
      <c r="DO3367" s="7" t="s">
        <v>240</v>
      </c>
      <c r="DP3367" s="5" t="s">
        <v>240</v>
      </c>
      <c r="DQ3367" s="5" t="s">
        <v>240</v>
      </c>
      <c r="DR3367" s="5" t="s">
        <v>731</v>
      </c>
      <c r="DS3367" s="5" t="s">
        <v>731</v>
      </c>
      <c r="DT3367" s="5" t="s">
        <v>240</v>
      </c>
      <c r="DU3367" s="5" t="s">
        <v>240</v>
      </c>
      <c r="DV3367" s="5" t="s">
        <v>3683</v>
      </c>
      <c r="DW3367" s="5" t="s">
        <v>3983</v>
      </c>
      <c r="DX3367" s="5" t="s">
        <v>240</v>
      </c>
      <c r="DY3367" s="5" t="s">
        <v>240</v>
      </c>
      <c r="DZ3367" s="5" t="s">
        <v>240</v>
      </c>
      <c r="EA3367" s="5" t="s">
        <v>240</v>
      </c>
      <c r="EB3367" s="5" t="s">
        <v>240</v>
      </c>
      <c r="EC3367" s="5" t="s">
        <v>240</v>
      </c>
      <c r="ED3367" s="5" t="s">
        <v>240</v>
      </c>
      <c r="EE3367" s="5" t="s">
        <v>240</v>
      </c>
      <c r="EF3367" s="5" t="s">
        <v>240</v>
      </c>
      <c r="EG3367" s="5" t="s">
        <v>240</v>
      </c>
      <c r="EH3367" s="5" t="s">
        <v>240</v>
      </c>
      <c r="EI3367" s="5" t="s">
        <v>240</v>
      </c>
      <c r="EJ3367" s="5" t="s">
        <v>240</v>
      </c>
      <c r="EK3367" s="5" t="s">
        <v>240</v>
      </c>
      <c r="EL3367" s="5" t="s">
        <v>240</v>
      </c>
      <c r="EM3367" s="5" t="s">
        <v>240</v>
      </c>
      <c r="EN3367" s="5" t="s">
        <v>240</v>
      </c>
      <c r="EO3367" s="5" t="s">
        <v>240</v>
      </c>
      <c r="EP3367" s="5" t="s">
        <v>240</v>
      </c>
      <c r="EQ3367" s="5" t="s">
        <v>240</v>
      </c>
      <c r="ER3367" s="5" t="s">
        <v>240</v>
      </c>
      <c r="ES3367" s="5" t="s">
        <v>240</v>
      </c>
      <c r="ET3367" s="5" t="s">
        <v>240</v>
      </c>
      <c r="EU3367" s="5" t="s">
        <v>240</v>
      </c>
      <c r="EV3367" s="5" t="s">
        <v>240</v>
      </c>
      <c r="EW3367" s="5" t="s">
        <v>240</v>
      </c>
      <c r="EX3367" s="5" t="s">
        <v>240</v>
      </c>
      <c r="EY3367" s="5" t="s">
        <v>240</v>
      </c>
      <c r="EZ3367" s="5" t="s">
        <v>240</v>
      </c>
      <c r="FA3367" s="5" t="s">
        <v>240</v>
      </c>
      <c r="FB3367" s="5" t="s">
        <v>240</v>
      </c>
      <c r="FC3367" s="5" t="s">
        <v>240</v>
      </c>
      <c r="FD3367" s="5" t="s">
        <v>240</v>
      </c>
      <c r="FE3367" s="5" t="s">
        <v>240</v>
      </c>
      <c r="FF3367" s="5" t="s">
        <v>240</v>
      </c>
      <c r="FG3367" s="5" t="s">
        <v>240</v>
      </c>
      <c r="FH3367" s="5" t="s">
        <v>240</v>
      </c>
      <c r="FI3367" s="5" t="s">
        <v>240</v>
      </c>
      <c r="FJ3367" s="5" t="s">
        <v>240</v>
      </c>
      <c r="FK3367" s="5" t="s">
        <v>240</v>
      </c>
      <c r="FL3367" s="5" t="s">
        <v>240</v>
      </c>
      <c r="FM3367" s="5" t="s">
        <v>240</v>
      </c>
      <c r="FN3367" s="5" t="s">
        <v>240</v>
      </c>
      <c r="FO3367" s="5" t="s">
        <v>240</v>
      </c>
      <c r="FP3367" s="5" t="s">
        <v>240</v>
      </c>
      <c r="FQ3367" s="5" t="s">
        <v>240</v>
      </c>
      <c r="FR3367" s="5" t="s">
        <v>240</v>
      </c>
      <c r="FS3367" s="5" t="s">
        <v>240</v>
      </c>
      <c r="FT3367" s="5" t="s">
        <v>240</v>
      </c>
      <c r="FU3367" s="5" t="s">
        <v>240</v>
      </c>
      <c r="FV3367" s="5" t="s">
        <v>240</v>
      </c>
      <c r="FW3367" s="5" t="s">
        <v>240</v>
      </c>
      <c r="FX3367" s="5" t="s">
        <v>240</v>
      </c>
      <c r="FY3367" s="5" t="s">
        <v>240</v>
      </c>
      <c r="FZ3367" s="5" t="s">
        <v>240</v>
      </c>
      <c r="GA3367" s="5" t="s">
        <v>240</v>
      </c>
      <c r="GB3367" s="5" t="s">
        <v>240</v>
      </c>
      <c r="GC3367" s="5" t="s">
        <v>240</v>
      </c>
      <c r="GD3367" s="5" t="s">
        <v>240</v>
      </c>
      <c r="GE3367" s="5" t="s">
        <v>240</v>
      </c>
      <c r="GF3367" s="5" t="s">
        <v>240</v>
      </c>
      <c r="GG3367" s="5" t="s">
        <v>240</v>
      </c>
      <c r="GH3367" s="5" t="s">
        <v>240</v>
      </c>
      <c r="GI3367" s="5" t="s">
        <v>240</v>
      </c>
      <c r="GJ3367" s="5" t="s">
        <v>240</v>
      </c>
      <c r="GK3367" s="5" t="s">
        <v>240</v>
      </c>
      <c r="GL3367" s="5" t="s">
        <v>240</v>
      </c>
      <c r="GM3367" s="5" t="s">
        <v>240</v>
      </c>
      <c r="GN3367" s="5" t="s">
        <v>240</v>
      </c>
      <c r="GO3367" s="5" t="s">
        <v>240</v>
      </c>
      <c r="GP3367" s="5" t="s">
        <v>240</v>
      </c>
      <c r="GQ3367" s="5" t="s">
        <v>240</v>
      </c>
      <c r="GR3367" s="5" t="s">
        <v>240</v>
      </c>
      <c r="GS3367" s="5" t="s">
        <v>240</v>
      </c>
      <c r="GT3367" s="5" t="s">
        <v>240</v>
      </c>
      <c r="GU3367" s="5" t="s">
        <v>240</v>
      </c>
      <c r="GV3367" s="5" t="s">
        <v>240</v>
      </c>
      <c r="GW3367" s="5" t="s">
        <v>240</v>
      </c>
      <c r="GX3367" s="5" t="s">
        <v>240</v>
      </c>
      <c r="GY3367" s="5" t="s">
        <v>240</v>
      </c>
      <c r="GZ3367" s="5" t="s">
        <v>240</v>
      </c>
      <c r="HA3367" s="5" t="s">
        <v>240</v>
      </c>
      <c r="HB3367" s="5" t="s">
        <v>240</v>
      </c>
      <c r="HC3367" s="5" t="s">
        <v>240</v>
      </c>
      <c r="HD3367" s="5" t="s">
        <v>240</v>
      </c>
      <c r="HE3367" s="5" t="s">
        <v>240</v>
      </c>
      <c r="HF3367" s="5" t="s">
        <v>240</v>
      </c>
      <c r="HG3367" s="5" t="s">
        <v>240</v>
      </c>
      <c r="HH3367" s="5" t="s">
        <v>240</v>
      </c>
      <c r="HI3367" s="5" t="s">
        <v>240</v>
      </c>
      <c r="HJ3367" s="5" t="s">
        <v>240</v>
      </c>
      <c r="HK3367" s="5" t="s">
        <v>240</v>
      </c>
      <c r="HL3367" s="5" t="s">
        <v>240</v>
      </c>
      <c r="HM3367" s="5" t="s">
        <v>240</v>
      </c>
      <c r="HN3367" s="5" t="s">
        <v>240</v>
      </c>
      <c r="HO3367" s="5" t="s">
        <v>312</v>
      </c>
      <c r="HP3367" s="5" t="s">
        <v>240</v>
      </c>
      <c r="HQ3367" s="5" t="s">
        <v>240</v>
      </c>
      <c r="HR3367" s="5" t="s">
        <v>240</v>
      </c>
      <c r="HS3367" s="5" t="s">
        <v>240</v>
      </c>
      <c r="HT3367" s="5" t="s">
        <v>240</v>
      </c>
      <c r="HU3367" s="5" t="s">
        <v>240</v>
      </c>
      <c r="HV3367" s="5" t="s">
        <v>240</v>
      </c>
      <c r="HW3367" s="5" t="s">
        <v>240</v>
      </c>
      <c r="HX3367" s="5" t="s">
        <v>240</v>
      </c>
      <c r="HY3367" s="5" t="s">
        <v>240</v>
      </c>
      <c r="HZ3367" s="5" t="s">
        <v>240</v>
      </c>
      <c r="IA3367" s="5" t="s">
        <v>240</v>
      </c>
      <c r="IB3367" s="5" t="s">
        <v>240</v>
      </c>
      <c r="IC3367" s="5" t="s">
        <v>240</v>
      </c>
      <c r="ID3367" s="5" t="s">
        <v>240</v>
      </c>
      <c r="IE3367" s="5" t="s">
        <v>240</v>
      </c>
      <c r="IF3367" s="5" t="s">
        <v>240</v>
      </c>
    </row>
    <row r="3368" spans="1:240" x14ac:dyDescent="0.4">
      <c r="A3368" s="5">
        <v>8910</v>
      </c>
      <c r="B3368" s="5">
        <v>1</v>
      </c>
      <c r="C3368" s="5">
        <v>1</v>
      </c>
      <c r="D3368" s="5" t="s">
        <v>723</v>
      </c>
      <c r="E3368" s="5" t="s">
        <v>725</v>
      </c>
      <c r="F3368" s="5" t="s">
        <v>730</v>
      </c>
      <c r="G3368" s="5" t="s">
        <v>726</v>
      </c>
      <c r="H3368" s="6" t="s">
        <v>6641</v>
      </c>
      <c r="I3368" s="5" t="s">
        <v>722</v>
      </c>
      <c r="J3368" s="8">
        <f>585</f>
        <v>585</v>
      </c>
      <c r="K3368" s="5" t="s">
        <v>308</v>
      </c>
      <c r="L3368" s="7">
        <f>0</f>
        <v>0</v>
      </c>
      <c r="M3368" s="7">
        <f>0</f>
        <v>0</v>
      </c>
      <c r="N3368" s="5" t="s">
        <v>242</v>
      </c>
      <c r="O3368" s="5">
        <v>1</v>
      </c>
      <c r="P3368" s="5" t="s">
        <v>294</v>
      </c>
      <c r="Q3368" s="5" t="s">
        <v>3678</v>
      </c>
      <c r="R3368" s="5" t="s">
        <v>240</v>
      </c>
      <c r="S3368" s="5" t="s">
        <v>240</v>
      </c>
      <c r="T3368" s="5" t="s">
        <v>243</v>
      </c>
      <c r="U3368" s="5" t="s">
        <v>244</v>
      </c>
      <c r="V3368" s="5" t="s">
        <v>240</v>
      </c>
      <c r="W3368" s="5" t="s">
        <v>240</v>
      </c>
      <c r="X3368" s="5" t="s">
        <v>240</v>
      </c>
      <c r="Y3368" s="5" t="s">
        <v>240</v>
      </c>
      <c r="Z3368" s="6" t="s">
        <v>298</v>
      </c>
      <c r="AA3368" s="6" t="s">
        <v>240</v>
      </c>
      <c r="AB3368" s="6" t="s">
        <v>240</v>
      </c>
      <c r="AC3368" s="5" t="s">
        <v>240</v>
      </c>
      <c r="AD3368" s="6" t="s">
        <v>240</v>
      </c>
      <c r="AE3368" s="6" t="s">
        <v>299</v>
      </c>
      <c r="AF3368" s="5" t="s">
        <v>248</v>
      </c>
      <c r="AG3368" s="5" t="s">
        <v>249</v>
      </c>
      <c r="AH3368" s="5" t="s">
        <v>240</v>
      </c>
      <c r="AI3368" s="5" t="s">
        <v>240</v>
      </c>
      <c r="AJ3368" s="5" t="s">
        <v>240</v>
      </c>
      <c r="AK3368" s="5" t="s">
        <v>240</v>
      </c>
      <c r="AL3368" s="5" t="s">
        <v>240</v>
      </c>
      <c r="AM3368" s="5" t="s">
        <v>240</v>
      </c>
      <c r="AN3368" s="5" t="s">
        <v>240</v>
      </c>
      <c r="AO3368" s="5" t="s">
        <v>240</v>
      </c>
      <c r="AP3368" s="6" t="s">
        <v>240</v>
      </c>
      <c r="AQ3368" s="6" t="s">
        <v>240</v>
      </c>
      <c r="AR3368" s="6" t="s">
        <v>240</v>
      </c>
      <c r="AS3368" s="6" t="s">
        <v>240</v>
      </c>
      <c r="AT3368" s="5" t="s">
        <v>240</v>
      </c>
      <c r="AU3368" s="5" t="s">
        <v>729</v>
      </c>
      <c r="AV3368" s="5" t="s">
        <v>729</v>
      </c>
      <c r="AW3368" s="5" t="s">
        <v>251</v>
      </c>
      <c r="AX3368" s="5" t="s">
        <v>252</v>
      </c>
      <c r="AY3368" s="5" t="s">
        <v>253</v>
      </c>
      <c r="AZ3368" s="5" t="s">
        <v>240</v>
      </c>
      <c r="BA3368" s="5" t="s">
        <v>255</v>
      </c>
      <c r="BB3368" s="5" t="s">
        <v>731</v>
      </c>
      <c r="BD3368" s="5" t="s">
        <v>240</v>
      </c>
      <c r="BF3368" s="5" t="s">
        <v>732</v>
      </c>
      <c r="BG3368" s="6" t="s">
        <v>733</v>
      </c>
      <c r="BH3368" s="5" t="s">
        <v>734</v>
      </c>
      <c r="BI3368" s="5" t="s">
        <v>734</v>
      </c>
      <c r="BJ3368" s="5" t="s">
        <v>240</v>
      </c>
      <c r="BK3368" s="7">
        <f>1</f>
        <v>1</v>
      </c>
      <c r="BL3368" s="7">
        <f>1</f>
        <v>1</v>
      </c>
      <c r="BM3368" s="5" t="s">
        <v>258</v>
      </c>
      <c r="BN3368" s="5" t="s">
        <v>259</v>
      </c>
      <c r="BO3368" s="5" t="s">
        <v>240</v>
      </c>
      <c r="BP3368" s="5" t="s">
        <v>240</v>
      </c>
      <c r="BQ3368" s="5" t="s">
        <v>240</v>
      </c>
      <c r="BR3368" s="5" t="s">
        <v>240</v>
      </c>
      <c r="BS3368" s="5" t="s">
        <v>240</v>
      </c>
      <c r="BT3368" s="5" t="s">
        <v>240</v>
      </c>
      <c r="BU3368" s="5" t="s">
        <v>240</v>
      </c>
      <c r="BV3368" s="5" t="s">
        <v>240</v>
      </c>
      <c r="BW3368" s="6" t="s">
        <v>240</v>
      </c>
      <c r="BX3368" s="5" t="s">
        <v>240</v>
      </c>
      <c r="BY3368" s="5" t="s">
        <v>240</v>
      </c>
      <c r="BZ3368" s="5" t="s">
        <v>240</v>
      </c>
      <c r="CA3368" s="5" t="s">
        <v>259</v>
      </c>
      <c r="CB3368" s="5" t="s">
        <v>240</v>
      </c>
      <c r="CC3368" s="5" t="s">
        <v>240</v>
      </c>
      <c r="CD3368" s="5" t="s">
        <v>240</v>
      </c>
      <c r="CE3368" s="5" t="s">
        <v>240</v>
      </c>
      <c r="CF3368" s="5" t="s">
        <v>240</v>
      </c>
      <c r="CG3368" s="5" t="s">
        <v>304</v>
      </c>
      <c r="CH3368" s="5" t="s">
        <v>305</v>
      </c>
      <c r="CI3368" s="5" t="s">
        <v>240</v>
      </c>
      <c r="CK3368" s="5" t="s">
        <v>3681</v>
      </c>
      <c r="CL3368" s="6" t="s">
        <v>261</v>
      </c>
      <c r="CM3368" s="5" t="s">
        <v>262</v>
      </c>
      <c r="CN3368" s="5" t="s">
        <v>263</v>
      </c>
      <c r="CO3368" s="5" t="s">
        <v>264</v>
      </c>
      <c r="CP3368" s="5" t="s">
        <v>240</v>
      </c>
      <c r="CQ3368" s="5">
        <v>0</v>
      </c>
      <c r="CR3368" s="5" t="s">
        <v>735</v>
      </c>
      <c r="CS3368" s="5" t="s">
        <v>307</v>
      </c>
      <c r="CT3368" s="5" t="s">
        <v>307</v>
      </c>
      <c r="CU3368" s="5" t="s">
        <v>260</v>
      </c>
      <c r="CV3368" s="5" t="s">
        <v>612</v>
      </c>
      <c r="CW3368" s="8">
        <f>1</f>
        <v>1</v>
      </c>
      <c r="CX3368" s="7">
        <f>1</f>
        <v>1</v>
      </c>
      <c r="CY3368" s="7">
        <f>0</f>
        <v>0</v>
      </c>
      <c r="DA3368" s="7">
        <f>1</f>
        <v>1</v>
      </c>
      <c r="DB3368" s="7" t="s">
        <v>240</v>
      </c>
      <c r="DC3368" s="5" t="s">
        <v>240</v>
      </c>
      <c r="DD3368" s="5" t="s">
        <v>240</v>
      </c>
      <c r="DE3368" s="5" t="s">
        <v>240</v>
      </c>
      <c r="DF3368" s="5" t="s">
        <v>240</v>
      </c>
      <c r="DG3368" s="7">
        <f>0</f>
        <v>0</v>
      </c>
      <c r="DI3368" s="5" t="s">
        <v>240</v>
      </c>
      <c r="DJ3368" s="5" t="s">
        <v>240</v>
      </c>
      <c r="DK3368" s="5" t="s">
        <v>240</v>
      </c>
      <c r="DL3368" s="5" t="s">
        <v>240</v>
      </c>
      <c r="DM3368" s="5" t="s">
        <v>240</v>
      </c>
      <c r="DN3368" s="5" t="s">
        <v>240</v>
      </c>
      <c r="DO3368" s="7" t="s">
        <v>240</v>
      </c>
      <c r="DP3368" s="5" t="s">
        <v>240</v>
      </c>
      <c r="DQ3368" s="5" t="s">
        <v>240</v>
      </c>
      <c r="DR3368" s="5" t="s">
        <v>731</v>
      </c>
      <c r="DS3368" s="5" t="s">
        <v>731</v>
      </c>
      <c r="DT3368" s="5" t="s">
        <v>240</v>
      </c>
      <c r="DU3368" s="5" t="s">
        <v>240</v>
      </c>
      <c r="DV3368" s="5" t="s">
        <v>3683</v>
      </c>
      <c r="DW3368" s="5" t="s">
        <v>4023</v>
      </c>
      <c r="DX3368" s="5" t="s">
        <v>240</v>
      </c>
      <c r="DY3368" s="5" t="s">
        <v>240</v>
      </c>
      <c r="DZ3368" s="5" t="s">
        <v>240</v>
      </c>
      <c r="EA3368" s="5" t="s">
        <v>240</v>
      </c>
      <c r="EB3368" s="5" t="s">
        <v>240</v>
      </c>
      <c r="EC3368" s="5" t="s">
        <v>240</v>
      </c>
      <c r="ED3368" s="5" t="s">
        <v>240</v>
      </c>
      <c r="EE3368" s="5" t="s">
        <v>240</v>
      </c>
      <c r="EF3368" s="5" t="s">
        <v>240</v>
      </c>
      <c r="EG3368" s="5" t="s">
        <v>240</v>
      </c>
      <c r="EH3368" s="5" t="s">
        <v>240</v>
      </c>
      <c r="EI3368" s="5" t="s">
        <v>240</v>
      </c>
      <c r="EJ3368" s="5" t="s">
        <v>240</v>
      </c>
      <c r="EK3368" s="5" t="s">
        <v>240</v>
      </c>
      <c r="EL3368" s="5" t="s">
        <v>240</v>
      </c>
      <c r="EM3368" s="5" t="s">
        <v>240</v>
      </c>
      <c r="EN3368" s="5" t="s">
        <v>240</v>
      </c>
      <c r="EO3368" s="5" t="s">
        <v>240</v>
      </c>
      <c r="EP3368" s="5" t="s">
        <v>240</v>
      </c>
      <c r="EQ3368" s="5" t="s">
        <v>240</v>
      </c>
      <c r="ER3368" s="5" t="s">
        <v>240</v>
      </c>
      <c r="ES3368" s="5" t="s">
        <v>240</v>
      </c>
      <c r="ET3368" s="5" t="s">
        <v>240</v>
      </c>
      <c r="EU3368" s="5" t="s">
        <v>240</v>
      </c>
      <c r="EV3368" s="5" t="s">
        <v>240</v>
      </c>
      <c r="EW3368" s="5" t="s">
        <v>240</v>
      </c>
      <c r="EX3368" s="5" t="s">
        <v>240</v>
      </c>
      <c r="EY3368" s="5" t="s">
        <v>240</v>
      </c>
      <c r="EZ3368" s="5" t="s">
        <v>240</v>
      </c>
      <c r="FA3368" s="5" t="s">
        <v>240</v>
      </c>
      <c r="FB3368" s="5" t="s">
        <v>240</v>
      </c>
      <c r="FC3368" s="5" t="s">
        <v>240</v>
      </c>
      <c r="FD3368" s="5" t="s">
        <v>240</v>
      </c>
      <c r="FE3368" s="5" t="s">
        <v>240</v>
      </c>
      <c r="FF3368" s="5" t="s">
        <v>240</v>
      </c>
      <c r="FG3368" s="5" t="s">
        <v>240</v>
      </c>
      <c r="FH3368" s="5" t="s">
        <v>240</v>
      </c>
      <c r="FI3368" s="5" t="s">
        <v>240</v>
      </c>
      <c r="FJ3368" s="5" t="s">
        <v>240</v>
      </c>
      <c r="FK3368" s="5" t="s">
        <v>240</v>
      </c>
      <c r="FL3368" s="5" t="s">
        <v>240</v>
      </c>
      <c r="FM3368" s="5" t="s">
        <v>240</v>
      </c>
      <c r="FN3368" s="5" t="s">
        <v>240</v>
      </c>
      <c r="FO3368" s="5" t="s">
        <v>240</v>
      </c>
      <c r="FP3368" s="5" t="s">
        <v>240</v>
      </c>
      <c r="FQ3368" s="5" t="s">
        <v>240</v>
      </c>
      <c r="FR3368" s="5" t="s">
        <v>240</v>
      </c>
      <c r="FS3368" s="5" t="s">
        <v>240</v>
      </c>
      <c r="FT3368" s="5" t="s">
        <v>240</v>
      </c>
      <c r="FU3368" s="5" t="s">
        <v>240</v>
      </c>
      <c r="FV3368" s="5" t="s">
        <v>240</v>
      </c>
      <c r="FW3368" s="5" t="s">
        <v>240</v>
      </c>
      <c r="FX3368" s="5" t="s">
        <v>240</v>
      </c>
      <c r="FY3368" s="5" t="s">
        <v>240</v>
      </c>
      <c r="FZ3368" s="5" t="s">
        <v>240</v>
      </c>
      <c r="GA3368" s="5" t="s">
        <v>240</v>
      </c>
      <c r="GB3368" s="5" t="s">
        <v>240</v>
      </c>
      <c r="GC3368" s="5" t="s">
        <v>240</v>
      </c>
      <c r="GD3368" s="5" t="s">
        <v>240</v>
      </c>
      <c r="GE3368" s="5" t="s">
        <v>240</v>
      </c>
      <c r="GF3368" s="5" t="s">
        <v>240</v>
      </c>
      <c r="GG3368" s="5" t="s">
        <v>240</v>
      </c>
      <c r="GH3368" s="5" t="s">
        <v>240</v>
      </c>
      <c r="GI3368" s="5" t="s">
        <v>240</v>
      </c>
      <c r="GJ3368" s="5" t="s">
        <v>240</v>
      </c>
      <c r="GK3368" s="5" t="s">
        <v>240</v>
      </c>
      <c r="GL3368" s="5" t="s">
        <v>240</v>
      </c>
      <c r="GM3368" s="5" t="s">
        <v>240</v>
      </c>
      <c r="GN3368" s="5" t="s">
        <v>240</v>
      </c>
      <c r="GO3368" s="5" t="s">
        <v>240</v>
      </c>
      <c r="GP3368" s="5" t="s">
        <v>240</v>
      </c>
      <c r="GQ3368" s="5" t="s">
        <v>240</v>
      </c>
      <c r="GR3368" s="5" t="s">
        <v>240</v>
      </c>
      <c r="GS3368" s="5" t="s">
        <v>240</v>
      </c>
      <c r="GT3368" s="5" t="s">
        <v>240</v>
      </c>
      <c r="GU3368" s="5" t="s">
        <v>240</v>
      </c>
      <c r="GV3368" s="5" t="s">
        <v>240</v>
      </c>
      <c r="GW3368" s="5" t="s">
        <v>240</v>
      </c>
      <c r="GX3368" s="5" t="s">
        <v>240</v>
      </c>
      <c r="GY3368" s="5" t="s">
        <v>240</v>
      </c>
      <c r="GZ3368" s="5" t="s">
        <v>240</v>
      </c>
      <c r="HA3368" s="5" t="s">
        <v>240</v>
      </c>
      <c r="HB3368" s="5" t="s">
        <v>240</v>
      </c>
      <c r="HC3368" s="5" t="s">
        <v>240</v>
      </c>
      <c r="HD3368" s="5" t="s">
        <v>240</v>
      </c>
      <c r="HE3368" s="5" t="s">
        <v>240</v>
      </c>
      <c r="HF3368" s="5" t="s">
        <v>240</v>
      </c>
      <c r="HG3368" s="5" t="s">
        <v>240</v>
      </c>
      <c r="HH3368" s="5" t="s">
        <v>240</v>
      </c>
      <c r="HI3368" s="5" t="s">
        <v>240</v>
      </c>
      <c r="HJ3368" s="5" t="s">
        <v>240</v>
      </c>
      <c r="HK3368" s="5" t="s">
        <v>240</v>
      </c>
      <c r="HL3368" s="5" t="s">
        <v>240</v>
      </c>
      <c r="HM3368" s="5" t="s">
        <v>240</v>
      </c>
      <c r="HN3368" s="5" t="s">
        <v>240</v>
      </c>
      <c r="HO3368" s="5" t="s">
        <v>312</v>
      </c>
      <c r="HP3368" s="5" t="s">
        <v>240</v>
      </c>
      <c r="HQ3368" s="5" t="s">
        <v>240</v>
      </c>
      <c r="HR3368" s="5" t="s">
        <v>240</v>
      </c>
      <c r="HS3368" s="5" t="s">
        <v>240</v>
      </c>
      <c r="HT3368" s="5" t="s">
        <v>240</v>
      </c>
      <c r="HU3368" s="5" t="s">
        <v>240</v>
      </c>
      <c r="HV3368" s="5" t="s">
        <v>240</v>
      </c>
      <c r="HW3368" s="5" t="s">
        <v>240</v>
      </c>
      <c r="HX3368" s="5" t="s">
        <v>240</v>
      </c>
      <c r="HY3368" s="5" t="s">
        <v>240</v>
      </c>
      <c r="HZ3368" s="5" t="s">
        <v>240</v>
      </c>
      <c r="IA3368" s="5" t="s">
        <v>240</v>
      </c>
      <c r="IB3368" s="5" t="s">
        <v>240</v>
      </c>
      <c r="IC3368" s="5" t="s">
        <v>240</v>
      </c>
      <c r="ID3368" s="5" t="s">
        <v>240</v>
      </c>
      <c r="IE3368" s="5" t="s">
        <v>240</v>
      </c>
      <c r="IF3368" s="5" t="s">
        <v>240</v>
      </c>
    </row>
    <row r="3369" spans="1:240" x14ac:dyDescent="0.4">
      <c r="A3369" s="5">
        <v>8911</v>
      </c>
      <c r="B3369" s="5">
        <v>1</v>
      </c>
      <c r="C3369" s="5">
        <v>1</v>
      </c>
      <c r="D3369" s="5" t="s">
        <v>723</v>
      </c>
      <c r="E3369" s="5" t="s">
        <v>725</v>
      </c>
      <c r="F3369" s="5" t="s">
        <v>730</v>
      </c>
      <c r="G3369" s="5" t="s">
        <v>726</v>
      </c>
      <c r="H3369" s="6" t="s">
        <v>6238</v>
      </c>
      <c r="I3369" s="5" t="s">
        <v>722</v>
      </c>
      <c r="J3369" s="8">
        <f>705</f>
        <v>705</v>
      </c>
      <c r="K3369" s="5" t="s">
        <v>308</v>
      </c>
      <c r="L3369" s="7">
        <f>0</f>
        <v>0</v>
      </c>
      <c r="M3369" s="7">
        <f>0</f>
        <v>0</v>
      </c>
      <c r="N3369" s="5" t="s">
        <v>242</v>
      </c>
      <c r="O3369" s="5">
        <v>1</v>
      </c>
      <c r="P3369" s="5" t="s">
        <v>294</v>
      </c>
      <c r="Q3369" s="5" t="s">
        <v>3678</v>
      </c>
      <c r="R3369" s="5" t="s">
        <v>240</v>
      </c>
      <c r="S3369" s="5" t="s">
        <v>240</v>
      </c>
      <c r="T3369" s="5" t="s">
        <v>243</v>
      </c>
      <c r="U3369" s="5" t="s">
        <v>244</v>
      </c>
      <c r="V3369" s="5" t="s">
        <v>240</v>
      </c>
      <c r="W3369" s="5" t="s">
        <v>240</v>
      </c>
      <c r="X3369" s="5" t="s">
        <v>240</v>
      </c>
      <c r="Y3369" s="5" t="s">
        <v>240</v>
      </c>
      <c r="Z3369" s="6" t="s">
        <v>298</v>
      </c>
      <c r="AA3369" s="6" t="s">
        <v>240</v>
      </c>
      <c r="AB3369" s="6" t="s">
        <v>240</v>
      </c>
      <c r="AC3369" s="5" t="s">
        <v>240</v>
      </c>
      <c r="AD3369" s="6" t="s">
        <v>240</v>
      </c>
      <c r="AE3369" s="6" t="s">
        <v>299</v>
      </c>
      <c r="AF3369" s="5" t="s">
        <v>248</v>
      </c>
      <c r="AG3369" s="5" t="s">
        <v>249</v>
      </c>
      <c r="AH3369" s="5" t="s">
        <v>240</v>
      </c>
      <c r="AI3369" s="5" t="s">
        <v>240</v>
      </c>
      <c r="AJ3369" s="5" t="s">
        <v>240</v>
      </c>
      <c r="AK3369" s="5" t="s">
        <v>240</v>
      </c>
      <c r="AL3369" s="5" t="s">
        <v>240</v>
      </c>
      <c r="AM3369" s="5" t="s">
        <v>240</v>
      </c>
      <c r="AN3369" s="5" t="s">
        <v>240</v>
      </c>
      <c r="AO3369" s="5" t="s">
        <v>240</v>
      </c>
      <c r="AP3369" s="6" t="s">
        <v>240</v>
      </c>
      <c r="AQ3369" s="6" t="s">
        <v>240</v>
      </c>
      <c r="AR3369" s="6" t="s">
        <v>240</v>
      </c>
      <c r="AS3369" s="6" t="s">
        <v>240</v>
      </c>
      <c r="AT3369" s="5" t="s">
        <v>240</v>
      </c>
      <c r="AU3369" s="5" t="s">
        <v>729</v>
      </c>
      <c r="AV3369" s="5" t="s">
        <v>729</v>
      </c>
      <c r="AW3369" s="5" t="s">
        <v>251</v>
      </c>
      <c r="AX3369" s="5" t="s">
        <v>252</v>
      </c>
      <c r="AY3369" s="5" t="s">
        <v>253</v>
      </c>
      <c r="AZ3369" s="5" t="s">
        <v>240</v>
      </c>
      <c r="BA3369" s="5" t="s">
        <v>255</v>
      </c>
      <c r="BB3369" s="5" t="s">
        <v>731</v>
      </c>
      <c r="BD3369" s="5" t="s">
        <v>240</v>
      </c>
      <c r="BF3369" s="5" t="s">
        <v>732</v>
      </c>
      <c r="BG3369" s="6" t="s">
        <v>733</v>
      </c>
      <c r="BH3369" s="5" t="s">
        <v>734</v>
      </c>
      <c r="BI3369" s="5" t="s">
        <v>734</v>
      </c>
      <c r="BJ3369" s="5" t="s">
        <v>240</v>
      </c>
      <c r="BK3369" s="7">
        <f>1</f>
        <v>1</v>
      </c>
      <c r="BL3369" s="7">
        <f>1</f>
        <v>1</v>
      </c>
      <c r="BM3369" s="5" t="s">
        <v>258</v>
      </c>
      <c r="BN3369" s="5" t="s">
        <v>259</v>
      </c>
      <c r="BO3369" s="5" t="s">
        <v>240</v>
      </c>
      <c r="BP3369" s="5" t="s">
        <v>240</v>
      </c>
      <c r="BQ3369" s="5" t="s">
        <v>240</v>
      </c>
      <c r="BR3369" s="5" t="s">
        <v>240</v>
      </c>
      <c r="BS3369" s="5" t="s">
        <v>240</v>
      </c>
      <c r="BT3369" s="5" t="s">
        <v>240</v>
      </c>
      <c r="BU3369" s="5" t="s">
        <v>240</v>
      </c>
      <c r="BV3369" s="5" t="s">
        <v>240</v>
      </c>
      <c r="BW3369" s="6" t="s">
        <v>240</v>
      </c>
      <c r="BX3369" s="5" t="s">
        <v>240</v>
      </c>
      <c r="BY3369" s="5" t="s">
        <v>240</v>
      </c>
      <c r="BZ3369" s="5" t="s">
        <v>240</v>
      </c>
      <c r="CA3369" s="5" t="s">
        <v>259</v>
      </c>
      <c r="CB3369" s="5" t="s">
        <v>240</v>
      </c>
      <c r="CC3369" s="5" t="s">
        <v>240</v>
      </c>
      <c r="CD3369" s="5" t="s">
        <v>240</v>
      </c>
      <c r="CE3369" s="5" t="s">
        <v>240</v>
      </c>
      <c r="CF3369" s="5" t="s">
        <v>240</v>
      </c>
      <c r="CG3369" s="5" t="s">
        <v>304</v>
      </c>
      <c r="CH3369" s="5" t="s">
        <v>305</v>
      </c>
      <c r="CI3369" s="5" t="s">
        <v>240</v>
      </c>
      <c r="CK3369" s="5" t="s">
        <v>3681</v>
      </c>
      <c r="CL3369" s="6" t="s">
        <v>261</v>
      </c>
      <c r="CM3369" s="5" t="s">
        <v>262</v>
      </c>
      <c r="CN3369" s="5" t="s">
        <v>263</v>
      </c>
      <c r="CO3369" s="5" t="s">
        <v>264</v>
      </c>
      <c r="CP3369" s="5" t="s">
        <v>240</v>
      </c>
      <c r="CQ3369" s="5">
        <v>0</v>
      </c>
      <c r="CR3369" s="5" t="s">
        <v>735</v>
      </c>
      <c r="CS3369" s="5" t="s">
        <v>307</v>
      </c>
      <c r="CT3369" s="5" t="s">
        <v>307</v>
      </c>
      <c r="CU3369" s="5" t="s">
        <v>260</v>
      </c>
      <c r="CV3369" s="5" t="s">
        <v>612</v>
      </c>
      <c r="CW3369" s="8">
        <f>1</f>
        <v>1</v>
      </c>
      <c r="CX3369" s="7">
        <f>1</f>
        <v>1</v>
      </c>
      <c r="CY3369" s="7">
        <f>0</f>
        <v>0</v>
      </c>
      <c r="DA3369" s="7">
        <f>1</f>
        <v>1</v>
      </c>
      <c r="DB3369" s="7" t="s">
        <v>240</v>
      </c>
      <c r="DC3369" s="5" t="s">
        <v>240</v>
      </c>
      <c r="DD3369" s="5" t="s">
        <v>240</v>
      </c>
      <c r="DE3369" s="5" t="s">
        <v>240</v>
      </c>
      <c r="DF3369" s="5" t="s">
        <v>240</v>
      </c>
      <c r="DG3369" s="7">
        <f>0</f>
        <v>0</v>
      </c>
      <c r="DI3369" s="5" t="s">
        <v>240</v>
      </c>
      <c r="DJ3369" s="5" t="s">
        <v>240</v>
      </c>
      <c r="DK3369" s="5" t="s">
        <v>240</v>
      </c>
      <c r="DL3369" s="5" t="s">
        <v>240</v>
      </c>
      <c r="DM3369" s="5" t="s">
        <v>240</v>
      </c>
      <c r="DN3369" s="5" t="s">
        <v>240</v>
      </c>
      <c r="DO3369" s="7" t="s">
        <v>240</v>
      </c>
      <c r="DP3369" s="5" t="s">
        <v>240</v>
      </c>
      <c r="DQ3369" s="5" t="s">
        <v>240</v>
      </c>
      <c r="DR3369" s="5" t="s">
        <v>731</v>
      </c>
      <c r="DS3369" s="5" t="s">
        <v>731</v>
      </c>
      <c r="DT3369" s="5" t="s">
        <v>240</v>
      </c>
      <c r="DU3369" s="5" t="s">
        <v>240</v>
      </c>
      <c r="DV3369" s="5" t="s">
        <v>3683</v>
      </c>
      <c r="DW3369" s="5" t="s">
        <v>4031</v>
      </c>
      <c r="DX3369" s="5" t="s">
        <v>240</v>
      </c>
      <c r="DY3369" s="5" t="s">
        <v>240</v>
      </c>
      <c r="DZ3369" s="5" t="s">
        <v>240</v>
      </c>
      <c r="EA3369" s="5" t="s">
        <v>240</v>
      </c>
      <c r="EB3369" s="5" t="s">
        <v>240</v>
      </c>
      <c r="EC3369" s="5" t="s">
        <v>240</v>
      </c>
      <c r="ED3369" s="5" t="s">
        <v>240</v>
      </c>
      <c r="EE3369" s="5" t="s">
        <v>240</v>
      </c>
      <c r="EF3369" s="5" t="s">
        <v>240</v>
      </c>
      <c r="EG3369" s="5" t="s">
        <v>240</v>
      </c>
      <c r="EH3369" s="5" t="s">
        <v>240</v>
      </c>
      <c r="EI3369" s="5" t="s">
        <v>240</v>
      </c>
      <c r="EJ3369" s="5" t="s">
        <v>240</v>
      </c>
      <c r="EK3369" s="5" t="s">
        <v>240</v>
      </c>
      <c r="EL3369" s="5" t="s">
        <v>240</v>
      </c>
      <c r="EM3369" s="5" t="s">
        <v>240</v>
      </c>
      <c r="EN3369" s="5" t="s">
        <v>240</v>
      </c>
      <c r="EO3369" s="5" t="s">
        <v>240</v>
      </c>
      <c r="EP3369" s="5" t="s">
        <v>240</v>
      </c>
      <c r="EQ3369" s="5" t="s">
        <v>240</v>
      </c>
      <c r="ER3369" s="5" t="s">
        <v>240</v>
      </c>
      <c r="ES3369" s="5" t="s">
        <v>240</v>
      </c>
      <c r="ET3369" s="5" t="s">
        <v>240</v>
      </c>
      <c r="EU3369" s="5" t="s">
        <v>240</v>
      </c>
      <c r="EV3369" s="5" t="s">
        <v>240</v>
      </c>
      <c r="EW3369" s="5" t="s">
        <v>240</v>
      </c>
      <c r="EX3369" s="5" t="s">
        <v>240</v>
      </c>
      <c r="EY3369" s="5" t="s">
        <v>240</v>
      </c>
      <c r="EZ3369" s="5" t="s">
        <v>240</v>
      </c>
      <c r="FA3369" s="5" t="s">
        <v>240</v>
      </c>
      <c r="FB3369" s="5" t="s">
        <v>240</v>
      </c>
      <c r="FC3369" s="5" t="s">
        <v>240</v>
      </c>
      <c r="FD3369" s="5" t="s">
        <v>240</v>
      </c>
      <c r="FE3369" s="5" t="s">
        <v>240</v>
      </c>
      <c r="FF3369" s="5" t="s">
        <v>240</v>
      </c>
      <c r="FG3369" s="5" t="s">
        <v>240</v>
      </c>
      <c r="FH3369" s="5" t="s">
        <v>240</v>
      </c>
      <c r="FI3369" s="5" t="s">
        <v>240</v>
      </c>
      <c r="FJ3369" s="5" t="s">
        <v>240</v>
      </c>
      <c r="FK3369" s="5" t="s">
        <v>240</v>
      </c>
      <c r="FL3369" s="5" t="s">
        <v>240</v>
      </c>
      <c r="FM3369" s="5" t="s">
        <v>240</v>
      </c>
      <c r="FN3369" s="5" t="s">
        <v>240</v>
      </c>
      <c r="FO3369" s="5" t="s">
        <v>240</v>
      </c>
      <c r="FP3369" s="5" t="s">
        <v>240</v>
      </c>
      <c r="FQ3369" s="5" t="s">
        <v>240</v>
      </c>
      <c r="FR3369" s="5" t="s">
        <v>240</v>
      </c>
      <c r="FS3369" s="5" t="s">
        <v>240</v>
      </c>
      <c r="FT3369" s="5" t="s">
        <v>240</v>
      </c>
      <c r="FU3369" s="5" t="s">
        <v>240</v>
      </c>
      <c r="FV3369" s="5" t="s">
        <v>240</v>
      </c>
      <c r="FW3369" s="5" t="s">
        <v>240</v>
      </c>
      <c r="FX3369" s="5" t="s">
        <v>240</v>
      </c>
      <c r="FY3369" s="5" t="s">
        <v>240</v>
      </c>
      <c r="FZ3369" s="5" t="s">
        <v>240</v>
      </c>
      <c r="GA3369" s="5" t="s">
        <v>240</v>
      </c>
      <c r="GB3369" s="5" t="s">
        <v>240</v>
      </c>
      <c r="GC3369" s="5" t="s">
        <v>240</v>
      </c>
      <c r="GD3369" s="5" t="s">
        <v>240</v>
      </c>
      <c r="GE3369" s="5" t="s">
        <v>240</v>
      </c>
      <c r="GF3369" s="5" t="s">
        <v>240</v>
      </c>
      <c r="GG3369" s="5" t="s">
        <v>240</v>
      </c>
      <c r="GH3369" s="5" t="s">
        <v>240</v>
      </c>
      <c r="GI3369" s="5" t="s">
        <v>240</v>
      </c>
      <c r="GJ3369" s="5" t="s">
        <v>240</v>
      </c>
      <c r="GK3369" s="5" t="s">
        <v>240</v>
      </c>
      <c r="GL3369" s="5" t="s">
        <v>240</v>
      </c>
      <c r="GM3369" s="5" t="s">
        <v>240</v>
      </c>
      <c r="GN3369" s="5" t="s">
        <v>240</v>
      </c>
      <c r="GO3369" s="5" t="s">
        <v>240</v>
      </c>
      <c r="GP3369" s="5" t="s">
        <v>240</v>
      </c>
      <c r="GQ3369" s="5" t="s">
        <v>240</v>
      </c>
      <c r="GR3369" s="5" t="s">
        <v>240</v>
      </c>
      <c r="GS3369" s="5" t="s">
        <v>240</v>
      </c>
      <c r="GT3369" s="5" t="s">
        <v>240</v>
      </c>
      <c r="GU3369" s="5" t="s">
        <v>240</v>
      </c>
      <c r="GV3369" s="5" t="s">
        <v>240</v>
      </c>
      <c r="GW3369" s="5" t="s">
        <v>240</v>
      </c>
      <c r="GX3369" s="5" t="s">
        <v>240</v>
      </c>
      <c r="GY3369" s="5" t="s">
        <v>240</v>
      </c>
      <c r="GZ3369" s="5" t="s">
        <v>240</v>
      </c>
      <c r="HA3369" s="5" t="s">
        <v>240</v>
      </c>
      <c r="HB3369" s="5" t="s">
        <v>240</v>
      </c>
      <c r="HC3369" s="5" t="s">
        <v>240</v>
      </c>
      <c r="HD3369" s="5" t="s">
        <v>240</v>
      </c>
      <c r="HE3369" s="5" t="s">
        <v>240</v>
      </c>
      <c r="HF3369" s="5" t="s">
        <v>240</v>
      </c>
      <c r="HG3369" s="5" t="s">
        <v>240</v>
      </c>
      <c r="HH3369" s="5" t="s">
        <v>240</v>
      </c>
      <c r="HI3369" s="5" t="s">
        <v>240</v>
      </c>
      <c r="HJ3369" s="5" t="s">
        <v>240</v>
      </c>
      <c r="HK3369" s="5" t="s">
        <v>240</v>
      </c>
      <c r="HL3369" s="5" t="s">
        <v>240</v>
      </c>
      <c r="HM3369" s="5" t="s">
        <v>240</v>
      </c>
      <c r="HN3369" s="5" t="s">
        <v>240</v>
      </c>
      <c r="HO3369" s="5" t="s">
        <v>312</v>
      </c>
      <c r="HP3369" s="5" t="s">
        <v>240</v>
      </c>
      <c r="HQ3369" s="5" t="s">
        <v>240</v>
      </c>
      <c r="HR3369" s="5" t="s">
        <v>240</v>
      </c>
      <c r="HS3369" s="5" t="s">
        <v>240</v>
      </c>
      <c r="HT3369" s="5" t="s">
        <v>240</v>
      </c>
      <c r="HU3369" s="5" t="s">
        <v>240</v>
      </c>
      <c r="HV3369" s="5" t="s">
        <v>240</v>
      </c>
      <c r="HW3369" s="5" t="s">
        <v>240</v>
      </c>
      <c r="HX3369" s="5" t="s">
        <v>240</v>
      </c>
      <c r="HY3369" s="5" t="s">
        <v>240</v>
      </c>
      <c r="HZ3369" s="5" t="s">
        <v>240</v>
      </c>
      <c r="IA3369" s="5" t="s">
        <v>240</v>
      </c>
      <c r="IB3369" s="5" t="s">
        <v>240</v>
      </c>
      <c r="IC3369" s="5" t="s">
        <v>240</v>
      </c>
      <c r="ID3369" s="5" t="s">
        <v>240</v>
      </c>
      <c r="IE3369" s="5" t="s">
        <v>240</v>
      </c>
      <c r="IF3369" s="5" t="s">
        <v>240</v>
      </c>
    </row>
    <row r="3370" spans="1:240" x14ac:dyDescent="0.4">
      <c r="A3370" s="5">
        <v>8912</v>
      </c>
      <c r="B3370" s="5">
        <v>1</v>
      </c>
      <c r="C3370" s="5">
        <v>1</v>
      </c>
      <c r="D3370" s="5" t="s">
        <v>723</v>
      </c>
      <c r="E3370" s="5" t="s">
        <v>725</v>
      </c>
      <c r="F3370" s="5" t="s">
        <v>730</v>
      </c>
      <c r="G3370" s="5" t="s">
        <v>726</v>
      </c>
      <c r="H3370" s="6" t="s">
        <v>6235</v>
      </c>
      <c r="I3370" s="5" t="s">
        <v>722</v>
      </c>
      <c r="J3370" s="8">
        <f>245</f>
        <v>245</v>
      </c>
      <c r="K3370" s="5" t="s">
        <v>308</v>
      </c>
      <c r="L3370" s="7">
        <f>0</f>
        <v>0</v>
      </c>
      <c r="M3370" s="7">
        <f>0</f>
        <v>0</v>
      </c>
      <c r="N3370" s="5" t="s">
        <v>242</v>
      </c>
      <c r="O3370" s="5">
        <v>1</v>
      </c>
      <c r="P3370" s="5" t="s">
        <v>294</v>
      </c>
      <c r="Q3370" s="5" t="s">
        <v>3678</v>
      </c>
      <c r="R3370" s="5" t="s">
        <v>240</v>
      </c>
      <c r="S3370" s="5" t="s">
        <v>240</v>
      </c>
      <c r="T3370" s="5" t="s">
        <v>243</v>
      </c>
      <c r="U3370" s="5" t="s">
        <v>244</v>
      </c>
      <c r="V3370" s="5" t="s">
        <v>240</v>
      </c>
      <c r="W3370" s="5" t="s">
        <v>240</v>
      </c>
      <c r="X3370" s="5" t="s">
        <v>240</v>
      </c>
      <c r="Y3370" s="5" t="s">
        <v>240</v>
      </c>
      <c r="Z3370" s="6" t="s">
        <v>298</v>
      </c>
      <c r="AA3370" s="6" t="s">
        <v>240</v>
      </c>
      <c r="AB3370" s="6" t="s">
        <v>240</v>
      </c>
      <c r="AC3370" s="5" t="s">
        <v>240</v>
      </c>
      <c r="AD3370" s="6" t="s">
        <v>240</v>
      </c>
      <c r="AE3370" s="6" t="s">
        <v>299</v>
      </c>
      <c r="AF3370" s="5" t="s">
        <v>248</v>
      </c>
      <c r="AG3370" s="5" t="s">
        <v>249</v>
      </c>
      <c r="AH3370" s="5" t="s">
        <v>240</v>
      </c>
      <c r="AI3370" s="5" t="s">
        <v>240</v>
      </c>
      <c r="AJ3370" s="5" t="s">
        <v>240</v>
      </c>
      <c r="AK3370" s="5" t="s">
        <v>240</v>
      </c>
      <c r="AL3370" s="5" t="s">
        <v>240</v>
      </c>
      <c r="AM3370" s="5" t="s">
        <v>240</v>
      </c>
      <c r="AN3370" s="5" t="s">
        <v>240</v>
      </c>
      <c r="AO3370" s="5" t="s">
        <v>240</v>
      </c>
      <c r="AP3370" s="6" t="s">
        <v>240</v>
      </c>
      <c r="AQ3370" s="6" t="s">
        <v>240</v>
      </c>
      <c r="AR3370" s="6" t="s">
        <v>240</v>
      </c>
      <c r="AS3370" s="6" t="s">
        <v>240</v>
      </c>
      <c r="AT3370" s="5" t="s">
        <v>240</v>
      </c>
      <c r="AU3370" s="5" t="s">
        <v>729</v>
      </c>
      <c r="AV3370" s="5" t="s">
        <v>729</v>
      </c>
      <c r="AW3370" s="5" t="s">
        <v>251</v>
      </c>
      <c r="AX3370" s="5" t="s">
        <v>252</v>
      </c>
      <c r="AY3370" s="5" t="s">
        <v>253</v>
      </c>
      <c r="AZ3370" s="5" t="s">
        <v>240</v>
      </c>
      <c r="BA3370" s="5" t="s">
        <v>255</v>
      </c>
      <c r="BB3370" s="5" t="s">
        <v>731</v>
      </c>
      <c r="BD3370" s="5" t="s">
        <v>240</v>
      </c>
      <c r="BF3370" s="5" t="s">
        <v>732</v>
      </c>
      <c r="BG3370" s="6" t="s">
        <v>733</v>
      </c>
      <c r="BH3370" s="5" t="s">
        <v>734</v>
      </c>
      <c r="BI3370" s="5" t="s">
        <v>734</v>
      </c>
      <c r="BJ3370" s="5" t="s">
        <v>240</v>
      </c>
      <c r="BK3370" s="7">
        <f>1</f>
        <v>1</v>
      </c>
      <c r="BL3370" s="7">
        <f>1</f>
        <v>1</v>
      </c>
      <c r="BM3370" s="5" t="s">
        <v>258</v>
      </c>
      <c r="BN3370" s="5" t="s">
        <v>259</v>
      </c>
      <c r="BO3370" s="5" t="s">
        <v>240</v>
      </c>
      <c r="BP3370" s="5" t="s">
        <v>240</v>
      </c>
      <c r="BQ3370" s="5" t="s">
        <v>240</v>
      </c>
      <c r="BR3370" s="5" t="s">
        <v>240</v>
      </c>
      <c r="BS3370" s="5" t="s">
        <v>240</v>
      </c>
      <c r="BT3370" s="5" t="s">
        <v>240</v>
      </c>
      <c r="BU3370" s="5" t="s">
        <v>240</v>
      </c>
      <c r="BV3370" s="5" t="s">
        <v>240</v>
      </c>
      <c r="BW3370" s="6" t="s">
        <v>240</v>
      </c>
      <c r="BX3370" s="5" t="s">
        <v>240</v>
      </c>
      <c r="BY3370" s="5" t="s">
        <v>240</v>
      </c>
      <c r="BZ3370" s="5" t="s">
        <v>240</v>
      </c>
      <c r="CA3370" s="5" t="s">
        <v>259</v>
      </c>
      <c r="CB3370" s="5" t="s">
        <v>240</v>
      </c>
      <c r="CC3370" s="5" t="s">
        <v>240</v>
      </c>
      <c r="CD3370" s="5" t="s">
        <v>240</v>
      </c>
      <c r="CE3370" s="5" t="s">
        <v>240</v>
      </c>
      <c r="CF3370" s="5" t="s">
        <v>240</v>
      </c>
      <c r="CG3370" s="5" t="s">
        <v>304</v>
      </c>
      <c r="CH3370" s="5" t="s">
        <v>305</v>
      </c>
      <c r="CI3370" s="5" t="s">
        <v>240</v>
      </c>
      <c r="CK3370" s="5" t="s">
        <v>3681</v>
      </c>
      <c r="CL3370" s="6" t="s">
        <v>261</v>
      </c>
      <c r="CM3370" s="5" t="s">
        <v>262</v>
      </c>
      <c r="CN3370" s="5" t="s">
        <v>263</v>
      </c>
      <c r="CO3370" s="5" t="s">
        <v>264</v>
      </c>
      <c r="CP3370" s="5" t="s">
        <v>240</v>
      </c>
      <c r="CQ3370" s="5">
        <v>0</v>
      </c>
      <c r="CR3370" s="5" t="s">
        <v>735</v>
      </c>
      <c r="CS3370" s="5" t="s">
        <v>307</v>
      </c>
      <c r="CT3370" s="5" t="s">
        <v>307</v>
      </c>
      <c r="CU3370" s="5" t="s">
        <v>260</v>
      </c>
      <c r="CV3370" s="5" t="s">
        <v>612</v>
      </c>
      <c r="CW3370" s="8">
        <f>1</f>
        <v>1</v>
      </c>
      <c r="CX3370" s="7">
        <f>1</f>
        <v>1</v>
      </c>
      <c r="CY3370" s="7">
        <f>0</f>
        <v>0</v>
      </c>
      <c r="DA3370" s="7">
        <f>1</f>
        <v>1</v>
      </c>
      <c r="DB3370" s="7" t="s">
        <v>240</v>
      </c>
      <c r="DC3370" s="5" t="s">
        <v>240</v>
      </c>
      <c r="DD3370" s="5" t="s">
        <v>240</v>
      </c>
      <c r="DE3370" s="5" t="s">
        <v>240</v>
      </c>
      <c r="DF3370" s="5" t="s">
        <v>240</v>
      </c>
      <c r="DG3370" s="7">
        <f>0</f>
        <v>0</v>
      </c>
      <c r="DI3370" s="5" t="s">
        <v>240</v>
      </c>
      <c r="DJ3370" s="5" t="s">
        <v>240</v>
      </c>
      <c r="DK3370" s="5" t="s">
        <v>240</v>
      </c>
      <c r="DL3370" s="5" t="s">
        <v>240</v>
      </c>
      <c r="DM3370" s="5" t="s">
        <v>240</v>
      </c>
      <c r="DN3370" s="5" t="s">
        <v>240</v>
      </c>
      <c r="DO3370" s="7" t="s">
        <v>240</v>
      </c>
      <c r="DP3370" s="5" t="s">
        <v>240</v>
      </c>
      <c r="DQ3370" s="5" t="s">
        <v>240</v>
      </c>
      <c r="DR3370" s="5" t="s">
        <v>731</v>
      </c>
      <c r="DS3370" s="5" t="s">
        <v>731</v>
      </c>
      <c r="DT3370" s="5" t="s">
        <v>240</v>
      </c>
      <c r="DU3370" s="5" t="s">
        <v>240</v>
      </c>
      <c r="DV3370" s="5" t="s">
        <v>3683</v>
      </c>
      <c r="DW3370" s="5" t="s">
        <v>3991</v>
      </c>
      <c r="DX3370" s="5" t="s">
        <v>240</v>
      </c>
      <c r="DY3370" s="5" t="s">
        <v>240</v>
      </c>
      <c r="DZ3370" s="5" t="s">
        <v>240</v>
      </c>
      <c r="EA3370" s="5" t="s">
        <v>240</v>
      </c>
      <c r="EB3370" s="5" t="s">
        <v>240</v>
      </c>
      <c r="EC3370" s="5" t="s">
        <v>240</v>
      </c>
      <c r="ED3370" s="5" t="s">
        <v>240</v>
      </c>
      <c r="EE3370" s="5" t="s">
        <v>240</v>
      </c>
      <c r="EF3370" s="5" t="s">
        <v>240</v>
      </c>
      <c r="EG3370" s="5" t="s">
        <v>240</v>
      </c>
      <c r="EH3370" s="5" t="s">
        <v>240</v>
      </c>
      <c r="EI3370" s="5" t="s">
        <v>240</v>
      </c>
      <c r="EJ3370" s="5" t="s">
        <v>240</v>
      </c>
      <c r="EK3370" s="5" t="s">
        <v>240</v>
      </c>
      <c r="EL3370" s="5" t="s">
        <v>240</v>
      </c>
      <c r="EM3370" s="5" t="s">
        <v>240</v>
      </c>
      <c r="EN3370" s="5" t="s">
        <v>240</v>
      </c>
      <c r="EO3370" s="5" t="s">
        <v>240</v>
      </c>
      <c r="EP3370" s="5" t="s">
        <v>240</v>
      </c>
      <c r="EQ3370" s="5" t="s">
        <v>240</v>
      </c>
      <c r="ER3370" s="5" t="s">
        <v>240</v>
      </c>
      <c r="ES3370" s="5" t="s">
        <v>240</v>
      </c>
      <c r="ET3370" s="5" t="s">
        <v>240</v>
      </c>
      <c r="EU3370" s="5" t="s">
        <v>240</v>
      </c>
      <c r="EV3370" s="5" t="s">
        <v>240</v>
      </c>
      <c r="EW3370" s="5" t="s">
        <v>240</v>
      </c>
      <c r="EX3370" s="5" t="s">
        <v>240</v>
      </c>
      <c r="EY3370" s="5" t="s">
        <v>240</v>
      </c>
      <c r="EZ3370" s="5" t="s">
        <v>240</v>
      </c>
      <c r="FA3370" s="5" t="s">
        <v>240</v>
      </c>
      <c r="FB3370" s="5" t="s">
        <v>240</v>
      </c>
      <c r="FC3370" s="5" t="s">
        <v>240</v>
      </c>
      <c r="FD3370" s="5" t="s">
        <v>240</v>
      </c>
      <c r="FE3370" s="5" t="s">
        <v>240</v>
      </c>
      <c r="FF3370" s="5" t="s">
        <v>240</v>
      </c>
      <c r="FG3370" s="5" t="s">
        <v>240</v>
      </c>
      <c r="FH3370" s="5" t="s">
        <v>240</v>
      </c>
      <c r="FI3370" s="5" t="s">
        <v>240</v>
      </c>
      <c r="FJ3370" s="5" t="s">
        <v>240</v>
      </c>
      <c r="FK3370" s="5" t="s">
        <v>240</v>
      </c>
      <c r="FL3370" s="5" t="s">
        <v>240</v>
      </c>
      <c r="FM3370" s="5" t="s">
        <v>240</v>
      </c>
      <c r="FN3370" s="5" t="s">
        <v>240</v>
      </c>
      <c r="FO3370" s="5" t="s">
        <v>240</v>
      </c>
      <c r="FP3370" s="5" t="s">
        <v>240</v>
      </c>
      <c r="FQ3370" s="5" t="s">
        <v>240</v>
      </c>
      <c r="FR3370" s="5" t="s">
        <v>240</v>
      </c>
      <c r="FS3370" s="5" t="s">
        <v>240</v>
      </c>
      <c r="FT3370" s="5" t="s">
        <v>240</v>
      </c>
      <c r="FU3370" s="5" t="s">
        <v>240</v>
      </c>
      <c r="FV3370" s="5" t="s">
        <v>240</v>
      </c>
      <c r="FW3370" s="5" t="s">
        <v>240</v>
      </c>
      <c r="FX3370" s="5" t="s">
        <v>240</v>
      </c>
      <c r="FY3370" s="5" t="s">
        <v>240</v>
      </c>
      <c r="FZ3370" s="5" t="s">
        <v>240</v>
      </c>
      <c r="GA3370" s="5" t="s">
        <v>240</v>
      </c>
      <c r="GB3370" s="5" t="s">
        <v>240</v>
      </c>
      <c r="GC3370" s="5" t="s">
        <v>240</v>
      </c>
      <c r="GD3370" s="5" t="s">
        <v>240</v>
      </c>
      <c r="GE3370" s="5" t="s">
        <v>240</v>
      </c>
      <c r="GF3370" s="5" t="s">
        <v>240</v>
      </c>
      <c r="GG3370" s="5" t="s">
        <v>240</v>
      </c>
      <c r="GH3370" s="5" t="s">
        <v>240</v>
      </c>
      <c r="GI3370" s="5" t="s">
        <v>240</v>
      </c>
      <c r="GJ3370" s="5" t="s">
        <v>240</v>
      </c>
      <c r="GK3370" s="5" t="s">
        <v>240</v>
      </c>
      <c r="GL3370" s="5" t="s">
        <v>240</v>
      </c>
      <c r="GM3370" s="5" t="s">
        <v>240</v>
      </c>
      <c r="GN3370" s="5" t="s">
        <v>240</v>
      </c>
      <c r="GO3370" s="5" t="s">
        <v>240</v>
      </c>
      <c r="GP3370" s="5" t="s">
        <v>240</v>
      </c>
      <c r="GQ3370" s="5" t="s">
        <v>240</v>
      </c>
      <c r="GR3370" s="5" t="s">
        <v>240</v>
      </c>
      <c r="GS3370" s="5" t="s">
        <v>240</v>
      </c>
      <c r="GT3370" s="5" t="s">
        <v>240</v>
      </c>
      <c r="GU3370" s="5" t="s">
        <v>240</v>
      </c>
      <c r="GV3370" s="5" t="s">
        <v>240</v>
      </c>
      <c r="GW3370" s="5" t="s">
        <v>240</v>
      </c>
      <c r="GX3370" s="5" t="s">
        <v>240</v>
      </c>
      <c r="GY3370" s="5" t="s">
        <v>240</v>
      </c>
      <c r="GZ3370" s="5" t="s">
        <v>240</v>
      </c>
      <c r="HA3370" s="5" t="s">
        <v>240</v>
      </c>
      <c r="HB3370" s="5" t="s">
        <v>240</v>
      </c>
      <c r="HC3370" s="5" t="s">
        <v>240</v>
      </c>
      <c r="HD3370" s="5" t="s">
        <v>240</v>
      </c>
      <c r="HE3370" s="5" t="s">
        <v>240</v>
      </c>
      <c r="HF3370" s="5" t="s">
        <v>240</v>
      </c>
      <c r="HG3370" s="5" t="s">
        <v>240</v>
      </c>
      <c r="HH3370" s="5" t="s">
        <v>240</v>
      </c>
      <c r="HI3370" s="5" t="s">
        <v>240</v>
      </c>
      <c r="HJ3370" s="5" t="s">
        <v>240</v>
      </c>
      <c r="HK3370" s="5" t="s">
        <v>240</v>
      </c>
      <c r="HL3370" s="5" t="s">
        <v>240</v>
      </c>
      <c r="HM3370" s="5" t="s">
        <v>240</v>
      </c>
      <c r="HN3370" s="5" t="s">
        <v>240</v>
      </c>
      <c r="HO3370" s="5" t="s">
        <v>312</v>
      </c>
      <c r="HP3370" s="5" t="s">
        <v>240</v>
      </c>
      <c r="HQ3370" s="5" t="s">
        <v>240</v>
      </c>
      <c r="HR3370" s="5" t="s">
        <v>240</v>
      </c>
      <c r="HS3370" s="5" t="s">
        <v>240</v>
      </c>
      <c r="HT3370" s="5" t="s">
        <v>240</v>
      </c>
      <c r="HU3370" s="5" t="s">
        <v>240</v>
      </c>
      <c r="HV3370" s="5" t="s">
        <v>240</v>
      </c>
      <c r="HW3370" s="5" t="s">
        <v>240</v>
      </c>
      <c r="HX3370" s="5" t="s">
        <v>240</v>
      </c>
      <c r="HY3370" s="5" t="s">
        <v>240</v>
      </c>
      <c r="HZ3370" s="5" t="s">
        <v>240</v>
      </c>
      <c r="IA3370" s="5" t="s">
        <v>240</v>
      </c>
      <c r="IB3370" s="5" t="s">
        <v>240</v>
      </c>
      <c r="IC3370" s="5" t="s">
        <v>240</v>
      </c>
      <c r="ID3370" s="5" t="s">
        <v>240</v>
      </c>
      <c r="IE3370" s="5" t="s">
        <v>240</v>
      </c>
      <c r="IF3370" s="5" t="s">
        <v>240</v>
      </c>
    </row>
    <row r="3371" spans="1:240" x14ac:dyDescent="0.4">
      <c r="A3371" s="5">
        <v>8913</v>
      </c>
      <c r="B3371" s="5">
        <v>1</v>
      </c>
      <c r="C3371" s="5">
        <v>1</v>
      </c>
      <c r="D3371" s="5" t="s">
        <v>723</v>
      </c>
      <c r="E3371" s="5" t="s">
        <v>725</v>
      </c>
      <c r="F3371" s="5" t="s">
        <v>730</v>
      </c>
      <c r="G3371" s="5" t="s">
        <v>726</v>
      </c>
      <c r="H3371" s="6" t="s">
        <v>6234</v>
      </c>
      <c r="I3371" s="5" t="s">
        <v>722</v>
      </c>
      <c r="J3371" s="8">
        <f>406</f>
        <v>406</v>
      </c>
      <c r="K3371" s="5" t="s">
        <v>308</v>
      </c>
      <c r="L3371" s="7">
        <f>0</f>
        <v>0</v>
      </c>
      <c r="M3371" s="7">
        <f>0</f>
        <v>0</v>
      </c>
      <c r="N3371" s="5" t="s">
        <v>242</v>
      </c>
      <c r="O3371" s="5">
        <v>1</v>
      </c>
      <c r="P3371" s="5" t="s">
        <v>294</v>
      </c>
      <c r="Q3371" s="5" t="s">
        <v>3678</v>
      </c>
      <c r="R3371" s="5" t="s">
        <v>240</v>
      </c>
      <c r="S3371" s="5" t="s">
        <v>240</v>
      </c>
      <c r="T3371" s="5" t="s">
        <v>243</v>
      </c>
      <c r="U3371" s="5" t="s">
        <v>244</v>
      </c>
      <c r="V3371" s="5" t="s">
        <v>240</v>
      </c>
      <c r="W3371" s="5" t="s">
        <v>240</v>
      </c>
      <c r="X3371" s="5" t="s">
        <v>240</v>
      </c>
      <c r="Y3371" s="5" t="s">
        <v>240</v>
      </c>
      <c r="Z3371" s="6" t="s">
        <v>298</v>
      </c>
      <c r="AA3371" s="6" t="s">
        <v>240</v>
      </c>
      <c r="AB3371" s="6" t="s">
        <v>240</v>
      </c>
      <c r="AC3371" s="5" t="s">
        <v>240</v>
      </c>
      <c r="AD3371" s="6" t="s">
        <v>240</v>
      </c>
      <c r="AE3371" s="6" t="s">
        <v>299</v>
      </c>
      <c r="AF3371" s="5" t="s">
        <v>248</v>
      </c>
      <c r="AG3371" s="5" t="s">
        <v>249</v>
      </c>
      <c r="AH3371" s="5" t="s">
        <v>240</v>
      </c>
      <c r="AI3371" s="5" t="s">
        <v>240</v>
      </c>
      <c r="AJ3371" s="5" t="s">
        <v>240</v>
      </c>
      <c r="AK3371" s="5" t="s">
        <v>240</v>
      </c>
      <c r="AL3371" s="5" t="s">
        <v>240</v>
      </c>
      <c r="AM3371" s="5" t="s">
        <v>240</v>
      </c>
      <c r="AN3371" s="5" t="s">
        <v>240</v>
      </c>
      <c r="AO3371" s="5" t="s">
        <v>240</v>
      </c>
      <c r="AP3371" s="6" t="s">
        <v>240</v>
      </c>
      <c r="AQ3371" s="6" t="s">
        <v>240</v>
      </c>
      <c r="AR3371" s="6" t="s">
        <v>240</v>
      </c>
      <c r="AS3371" s="6" t="s">
        <v>240</v>
      </c>
      <c r="AT3371" s="5" t="s">
        <v>240</v>
      </c>
      <c r="AU3371" s="5" t="s">
        <v>729</v>
      </c>
      <c r="AV3371" s="5" t="s">
        <v>729</v>
      </c>
      <c r="AW3371" s="5" t="s">
        <v>251</v>
      </c>
      <c r="AX3371" s="5" t="s">
        <v>252</v>
      </c>
      <c r="AY3371" s="5" t="s">
        <v>253</v>
      </c>
      <c r="AZ3371" s="5" t="s">
        <v>240</v>
      </c>
      <c r="BA3371" s="5" t="s">
        <v>255</v>
      </c>
      <c r="BB3371" s="5" t="s">
        <v>731</v>
      </c>
      <c r="BD3371" s="5" t="s">
        <v>240</v>
      </c>
      <c r="BF3371" s="5" t="s">
        <v>732</v>
      </c>
      <c r="BG3371" s="6" t="s">
        <v>733</v>
      </c>
      <c r="BH3371" s="5" t="s">
        <v>734</v>
      </c>
      <c r="BI3371" s="5" t="s">
        <v>734</v>
      </c>
      <c r="BJ3371" s="5" t="s">
        <v>240</v>
      </c>
      <c r="BK3371" s="7">
        <f>1</f>
        <v>1</v>
      </c>
      <c r="BL3371" s="7">
        <f>1</f>
        <v>1</v>
      </c>
      <c r="BM3371" s="5" t="s">
        <v>258</v>
      </c>
      <c r="BN3371" s="5" t="s">
        <v>259</v>
      </c>
      <c r="BO3371" s="5" t="s">
        <v>240</v>
      </c>
      <c r="BP3371" s="5" t="s">
        <v>240</v>
      </c>
      <c r="BQ3371" s="5" t="s">
        <v>240</v>
      </c>
      <c r="BR3371" s="5" t="s">
        <v>240</v>
      </c>
      <c r="BS3371" s="5" t="s">
        <v>240</v>
      </c>
      <c r="BT3371" s="5" t="s">
        <v>240</v>
      </c>
      <c r="BU3371" s="5" t="s">
        <v>240</v>
      </c>
      <c r="BV3371" s="5" t="s">
        <v>240</v>
      </c>
      <c r="BW3371" s="6" t="s">
        <v>240</v>
      </c>
      <c r="BX3371" s="5" t="s">
        <v>240</v>
      </c>
      <c r="BY3371" s="5" t="s">
        <v>240</v>
      </c>
      <c r="BZ3371" s="5" t="s">
        <v>240</v>
      </c>
      <c r="CA3371" s="5" t="s">
        <v>259</v>
      </c>
      <c r="CB3371" s="5" t="s">
        <v>240</v>
      </c>
      <c r="CC3371" s="5" t="s">
        <v>240</v>
      </c>
      <c r="CD3371" s="5" t="s">
        <v>240</v>
      </c>
      <c r="CE3371" s="5" t="s">
        <v>240</v>
      </c>
      <c r="CF3371" s="5" t="s">
        <v>240</v>
      </c>
      <c r="CG3371" s="5" t="s">
        <v>304</v>
      </c>
      <c r="CH3371" s="5" t="s">
        <v>305</v>
      </c>
      <c r="CI3371" s="5" t="s">
        <v>240</v>
      </c>
      <c r="CK3371" s="5" t="s">
        <v>3681</v>
      </c>
      <c r="CL3371" s="6" t="s">
        <v>261</v>
      </c>
      <c r="CM3371" s="5" t="s">
        <v>262</v>
      </c>
      <c r="CN3371" s="5" t="s">
        <v>263</v>
      </c>
      <c r="CO3371" s="5" t="s">
        <v>264</v>
      </c>
      <c r="CP3371" s="5" t="s">
        <v>240</v>
      </c>
      <c r="CQ3371" s="5">
        <v>0</v>
      </c>
      <c r="CR3371" s="5" t="s">
        <v>735</v>
      </c>
      <c r="CS3371" s="5" t="s">
        <v>307</v>
      </c>
      <c r="CT3371" s="5" t="s">
        <v>307</v>
      </c>
      <c r="CU3371" s="5" t="s">
        <v>260</v>
      </c>
      <c r="CV3371" s="5" t="s">
        <v>612</v>
      </c>
      <c r="CW3371" s="8">
        <f>1</f>
        <v>1</v>
      </c>
      <c r="CX3371" s="7">
        <f>1</f>
        <v>1</v>
      </c>
      <c r="CY3371" s="7">
        <f>0</f>
        <v>0</v>
      </c>
      <c r="DA3371" s="7">
        <f>1</f>
        <v>1</v>
      </c>
      <c r="DB3371" s="7" t="s">
        <v>240</v>
      </c>
      <c r="DC3371" s="5" t="s">
        <v>240</v>
      </c>
      <c r="DD3371" s="5" t="s">
        <v>240</v>
      </c>
      <c r="DE3371" s="5" t="s">
        <v>240</v>
      </c>
      <c r="DF3371" s="5" t="s">
        <v>240</v>
      </c>
      <c r="DG3371" s="7">
        <f>0</f>
        <v>0</v>
      </c>
      <c r="DI3371" s="5" t="s">
        <v>240</v>
      </c>
      <c r="DJ3371" s="5" t="s">
        <v>240</v>
      </c>
      <c r="DK3371" s="5" t="s">
        <v>240</v>
      </c>
      <c r="DL3371" s="5" t="s">
        <v>240</v>
      </c>
      <c r="DM3371" s="5" t="s">
        <v>240</v>
      </c>
      <c r="DN3371" s="5" t="s">
        <v>240</v>
      </c>
      <c r="DO3371" s="7" t="s">
        <v>240</v>
      </c>
      <c r="DP3371" s="5" t="s">
        <v>240</v>
      </c>
      <c r="DQ3371" s="5" t="s">
        <v>240</v>
      </c>
      <c r="DR3371" s="5" t="s">
        <v>731</v>
      </c>
      <c r="DS3371" s="5" t="s">
        <v>731</v>
      </c>
      <c r="DT3371" s="5" t="s">
        <v>240</v>
      </c>
      <c r="DU3371" s="5" t="s">
        <v>240</v>
      </c>
      <c r="DV3371" s="5" t="s">
        <v>5063</v>
      </c>
      <c r="DW3371" s="5" t="s">
        <v>1216</v>
      </c>
      <c r="DX3371" s="5" t="s">
        <v>240</v>
      </c>
      <c r="DY3371" s="5" t="s">
        <v>240</v>
      </c>
      <c r="DZ3371" s="5" t="s">
        <v>240</v>
      </c>
      <c r="EA3371" s="5" t="s">
        <v>240</v>
      </c>
      <c r="EB3371" s="5" t="s">
        <v>240</v>
      </c>
      <c r="EC3371" s="5" t="s">
        <v>240</v>
      </c>
      <c r="ED3371" s="5" t="s">
        <v>240</v>
      </c>
      <c r="EE3371" s="5" t="s">
        <v>240</v>
      </c>
      <c r="EF3371" s="5" t="s">
        <v>240</v>
      </c>
      <c r="EG3371" s="5" t="s">
        <v>240</v>
      </c>
      <c r="EH3371" s="5" t="s">
        <v>240</v>
      </c>
      <c r="EI3371" s="5" t="s">
        <v>240</v>
      </c>
      <c r="EJ3371" s="5" t="s">
        <v>240</v>
      </c>
      <c r="EK3371" s="5" t="s">
        <v>240</v>
      </c>
      <c r="EL3371" s="5" t="s">
        <v>240</v>
      </c>
      <c r="EM3371" s="5" t="s">
        <v>240</v>
      </c>
      <c r="EN3371" s="5" t="s">
        <v>240</v>
      </c>
      <c r="EO3371" s="5" t="s">
        <v>240</v>
      </c>
      <c r="EP3371" s="5" t="s">
        <v>240</v>
      </c>
      <c r="EQ3371" s="5" t="s">
        <v>240</v>
      </c>
      <c r="ER3371" s="5" t="s">
        <v>240</v>
      </c>
      <c r="ES3371" s="5" t="s">
        <v>240</v>
      </c>
      <c r="ET3371" s="5" t="s">
        <v>240</v>
      </c>
      <c r="EU3371" s="5" t="s">
        <v>240</v>
      </c>
      <c r="EV3371" s="5" t="s">
        <v>240</v>
      </c>
      <c r="EW3371" s="5" t="s">
        <v>240</v>
      </c>
      <c r="EX3371" s="5" t="s">
        <v>240</v>
      </c>
      <c r="EY3371" s="5" t="s">
        <v>240</v>
      </c>
      <c r="EZ3371" s="5" t="s">
        <v>240</v>
      </c>
      <c r="FA3371" s="5" t="s">
        <v>240</v>
      </c>
      <c r="FB3371" s="5" t="s">
        <v>240</v>
      </c>
      <c r="FC3371" s="5" t="s">
        <v>240</v>
      </c>
      <c r="FD3371" s="5" t="s">
        <v>240</v>
      </c>
      <c r="FE3371" s="5" t="s">
        <v>240</v>
      </c>
      <c r="FF3371" s="5" t="s">
        <v>240</v>
      </c>
      <c r="FG3371" s="5" t="s">
        <v>240</v>
      </c>
      <c r="FH3371" s="5" t="s">
        <v>240</v>
      </c>
      <c r="FI3371" s="5" t="s">
        <v>240</v>
      </c>
      <c r="FJ3371" s="5" t="s">
        <v>240</v>
      </c>
      <c r="FK3371" s="5" t="s">
        <v>240</v>
      </c>
      <c r="FL3371" s="5" t="s">
        <v>240</v>
      </c>
      <c r="FM3371" s="5" t="s">
        <v>240</v>
      </c>
      <c r="FN3371" s="5" t="s">
        <v>240</v>
      </c>
      <c r="FO3371" s="5" t="s">
        <v>240</v>
      </c>
      <c r="FP3371" s="5" t="s">
        <v>240</v>
      </c>
      <c r="FQ3371" s="5" t="s">
        <v>240</v>
      </c>
      <c r="FR3371" s="5" t="s">
        <v>240</v>
      </c>
      <c r="FS3371" s="5" t="s">
        <v>240</v>
      </c>
      <c r="FT3371" s="5" t="s">
        <v>240</v>
      </c>
      <c r="FU3371" s="5" t="s">
        <v>240</v>
      </c>
      <c r="FV3371" s="5" t="s">
        <v>240</v>
      </c>
      <c r="FW3371" s="5" t="s">
        <v>240</v>
      </c>
      <c r="FX3371" s="5" t="s">
        <v>240</v>
      </c>
      <c r="FY3371" s="5" t="s">
        <v>240</v>
      </c>
      <c r="FZ3371" s="5" t="s">
        <v>240</v>
      </c>
      <c r="GA3371" s="5" t="s">
        <v>240</v>
      </c>
      <c r="GB3371" s="5" t="s">
        <v>240</v>
      </c>
      <c r="GC3371" s="5" t="s">
        <v>240</v>
      </c>
      <c r="GD3371" s="5" t="s">
        <v>240</v>
      </c>
      <c r="GE3371" s="5" t="s">
        <v>240</v>
      </c>
      <c r="GF3371" s="5" t="s">
        <v>240</v>
      </c>
      <c r="GG3371" s="5" t="s">
        <v>240</v>
      </c>
      <c r="GH3371" s="5" t="s">
        <v>240</v>
      </c>
      <c r="GI3371" s="5" t="s">
        <v>240</v>
      </c>
      <c r="GJ3371" s="5" t="s">
        <v>240</v>
      </c>
      <c r="GK3371" s="5" t="s">
        <v>240</v>
      </c>
      <c r="GL3371" s="5" t="s">
        <v>240</v>
      </c>
      <c r="GM3371" s="5" t="s">
        <v>240</v>
      </c>
      <c r="GN3371" s="5" t="s">
        <v>240</v>
      </c>
      <c r="GO3371" s="5" t="s">
        <v>240</v>
      </c>
      <c r="GP3371" s="5" t="s">
        <v>240</v>
      </c>
      <c r="GQ3371" s="5" t="s">
        <v>240</v>
      </c>
      <c r="GR3371" s="5" t="s">
        <v>240</v>
      </c>
      <c r="GS3371" s="5" t="s">
        <v>240</v>
      </c>
      <c r="GT3371" s="5" t="s">
        <v>240</v>
      </c>
      <c r="GU3371" s="5" t="s">
        <v>240</v>
      </c>
      <c r="GV3371" s="5" t="s">
        <v>240</v>
      </c>
      <c r="GW3371" s="5" t="s">
        <v>240</v>
      </c>
      <c r="GX3371" s="5" t="s">
        <v>240</v>
      </c>
      <c r="GY3371" s="5" t="s">
        <v>240</v>
      </c>
      <c r="GZ3371" s="5" t="s">
        <v>240</v>
      </c>
      <c r="HA3371" s="5" t="s">
        <v>240</v>
      </c>
      <c r="HB3371" s="5" t="s">
        <v>240</v>
      </c>
      <c r="HC3371" s="5" t="s">
        <v>240</v>
      </c>
      <c r="HD3371" s="5" t="s">
        <v>240</v>
      </c>
      <c r="HE3371" s="5" t="s">
        <v>240</v>
      </c>
      <c r="HF3371" s="5" t="s">
        <v>240</v>
      </c>
      <c r="HG3371" s="5" t="s">
        <v>240</v>
      </c>
      <c r="HH3371" s="5" t="s">
        <v>240</v>
      </c>
      <c r="HI3371" s="5" t="s">
        <v>240</v>
      </c>
      <c r="HJ3371" s="5" t="s">
        <v>240</v>
      </c>
      <c r="HK3371" s="5" t="s">
        <v>240</v>
      </c>
      <c r="HL3371" s="5" t="s">
        <v>240</v>
      </c>
      <c r="HM3371" s="5" t="s">
        <v>240</v>
      </c>
      <c r="HN3371" s="5" t="s">
        <v>240</v>
      </c>
      <c r="HO3371" s="5" t="s">
        <v>312</v>
      </c>
      <c r="HP3371" s="5" t="s">
        <v>240</v>
      </c>
      <c r="HQ3371" s="5" t="s">
        <v>240</v>
      </c>
      <c r="HR3371" s="5" t="s">
        <v>240</v>
      </c>
      <c r="HS3371" s="5" t="s">
        <v>240</v>
      </c>
      <c r="HT3371" s="5" t="s">
        <v>240</v>
      </c>
      <c r="HU3371" s="5" t="s">
        <v>240</v>
      </c>
      <c r="HV3371" s="5" t="s">
        <v>240</v>
      </c>
      <c r="HW3371" s="5" t="s">
        <v>240</v>
      </c>
      <c r="HX3371" s="5" t="s">
        <v>240</v>
      </c>
      <c r="HY3371" s="5" t="s">
        <v>240</v>
      </c>
      <c r="HZ3371" s="5" t="s">
        <v>240</v>
      </c>
      <c r="IA3371" s="5" t="s">
        <v>240</v>
      </c>
      <c r="IB3371" s="5" t="s">
        <v>240</v>
      </c>
      <c r="IC3371" s="5" t="s">
        <v>240</v>
      </c>
      <c r="ID3371" s="5" t="s">
        <v>240</v>
      </c>
      <c r="IE3371" s="5" t="s">
        <v>240</v>
      </c>
      <c r="IF3371" s="5" t="s">
        <v>240</v>
      </c>
    </row>
    <row r="3372" spans="1:240" x14ac:dyDescent="0.4">
      <c r="A3372" s="5">
        <v>8914</v>
      </c>
      <c r="B3372" s="5">
        <v>1</v>
      </c>
      <c r="C3372" s="5">
        <v>1</v>
      </c>
      <c r="D3372" s="5" t="s">
        <v>723</v>
      </c>
      <c r="E3372" s="5" t="s">
        <v>725</v>
      </c>
      <c r="F3372" s="5" t="s">
        <v>730</v>
      </c>
      <c r="G3372" s="5" t="s">
        <v>726</v>
      </c>
      <c r="H3372" s="6" t="s">
        <v>6222</v>
      </c>
      <c r="I3372" s="5" t="s">
        <v>990</v>
      </c>
      <c r="J3372" s="8">
        <f>495.86</f>
        <v>495.86</v>
      </c>
      <c r="K3372" s="5" t="s">
        <v>308</v>
      </c>
      <c r="L3372" s="7">
        <f>0</f>
        <v>0</v>
      </c>
      <c r="M3372" s="7">
        <f>0</f>
        <v>0</v>
      </c>
      <c r="N3372" s="5" t="s">
        <v>242</v>
      </c>
      <c r="O3372" s="5">
        <v>1</v>
      </c>
      <c r="P3372" s="5" t="s">
        <v>294</v>
      </c>
      <c r="Q3372" s="5" t="s">
        <v>266</v>
      </c>
      <c r="R3372" s="5" t="s">
        <v>240</v>
      </c>
      <c r="S3372" s="5" t="s">
        <v>240</v>
      </c>
      <c r="T3372" s="5" t="s">
        <v>296</v>
      </c>
      <c r="U3372" s="5" t="s">
        <v>244</v>
      </c>
      <c r="V3372" s="5" t="s">
        <v>240</v>
      </c>
      <c r="Y3372" s="5" t="s">
        <v>240</v>
      </c>
      <c r="Z3372" s="6" t="s">
        <v>298</v>
      </c>
      <c r="AB3372" s="6" t="s">
        <v>240</v>
      </c>
      <c r="AE3372" s="6" t="s">
        <v>299</v>
      </c>
      <c r="AF3372" s="5" t="s">
        <v>248</v>
      </c>
      <c r="AG3372" s="5" t="s">
        <v>249</v>
      </c>
      <c r="AW3372" s="5" t="s">
        <v>251</v>
      </c>
      <c r="AX3372" s="5" t="s">
        <v>240</v>
      </c>
      <c r="AY3372" s="5" t="s">
        <v>253</v>
      </c>
      <c r="AZ3372" s="5" t="s">
        <v>240</v>
      </c>
      <c r="BA3372" s="5" t="s">
        <v>255</v>
      </c>
      <c r="BB3372" s="5" t="s">
        <v>240</v>
      </c>
      <c r="BD3372" s="5" t="s">
        <v>240</v>
      </c>
      <c r="BF3372" s="5" t="s">
        <v>301</v>
      </c>
      <c r="BG3372" s="6" t="s">
        <v>299</v>
      </c>
      <c r="BH3372" s="5" t="s">
        <v>302</v>
      </c>
      <c r="BI3372" s="5" t="s">
        <v>303</v>
      </c>
      <c r="BJ3372" s="5" t="s">
        <v>240</v>
      </c>
      <c r="BK3372" s="8">
        <f>0</f>
        <v>0</v>
      </c>
      <c r="BL3372" s="7">
        <f>0</f>
        <v>0</v>
      </c>
      <c r="BM3372" s="5" t="s">
        <v>258</v>
      </c>
      <c r="BN3372" s="5" t="s">
        <v>259</v>
      </c>
      <c r="CB3372" s="5" t="s">
        <v>240</v>
      </c>
      <c r="CC3372" s="5" t="s">
        <v>240</v>
      </c>
      <c r="CG3372" s="5" t="s">
        <v>304</v>
      </c>
      <c r="CH3372" s="5" t="s">
        <v>305</v>
      </c>
      <c r="CI3372" s="5" t="s">
        <v>240</v>
      </c>
      <c r="CL3372" s="6" t="s">
        <v>261</v>
      </c>
      <c r="CM3372" s="5" t="s">
        <v>240</v>
      </c>
      <c r="CN3372" s="5" t="s">
        <v>263</v>
      </c>
      <c r="CO3372" s="5" t="s">
        <v>240</v>
      </c>
      <c r="CP3372" s="5" t="s">
        <v>240</v>
      </c>
      <c r="CQ3372" s="5">
        <v>0</v>
      </c>
      <c r="CR3372" s="5" t="s">
        <v>306</v>
      </c>
      <c r="CS3372" s="5" t="s">
        <v>307</v>
      </c>
      <c r="CT3372" s="5" t="s">
        <v>307</v>
      </c>
      <c r="CU3372" s="5" t="s">
        <v>260</v>
      </c>
      <c r="CX3372" s="7">
        <f>1</f>
        <v>1</v>
      </c>
      <c r="CY3372" s="7">
        <f>0</f>
        <v>0</v>
      </c>
      <c r="DA3372" s="7">
        <f>0</f>
        <v>0</v>
      </c>
      <c r="DC3372" s="5" t="s">
        <v>309</v>
      </c>
      <c r="DD3372" s="5" t="s">
        <v>240</v>
      </c>
      <c r="DF3372" s="5" t="s">
        <v>309</v>
      </c>
      <c r="DG3372" s="7">
        <f>150</f>
        <v>150</v>
      </c>
      <c r="DI3372" s="5" t="s">
        <v>240</v>
      </c>
      <c r="DJ3372" s="5" t="s">
        <v>240</v>
      </c>
      <c r="DK3372" s="5" t="s">
        <v>240</v>
      </c>
      <c r="DL3372" s="5" t="s">
        <v>240</v>
      </c>
      <c r="DP3372" s="5" t="s">
        <v>240</v>
      </c>
      <c r="DQ3372" s="5" t="s">
        <v>240</v>
      </c>
      <c r="DR3372" s="5" t="s">
        <v>240</v>
      </c>
      <c r="DS3372" s="5" t="s">
        <v>240</v>
      </c>
      <c r="DV3372" s="5" t="s">
        <v>310</v>
      </c>
      <c r="DW3372" s="5" t="s">
        <v>3560</v>
      </c>
      <c r="HO3372" s="5" t="s">
        <v>312</v>
      </c>
    </row>
    <row r="3373" spans="1:240" x14ac:dyDescent="0.4">
      <c r="A3373" s="5">
        <v>8915</v>
      </c>
      <c r="B3373" s="5">
        <v>1</v>
      </c>
      <c r="C3373" s="5">
        <v>1</v>
      </c>
      <c r="D3373" s="5" t="s">
        <v>723</v>
      </c>
      <c r="E3373" s="5" t="s">
        <v>725</v>
      </c>
      <c r="F3373" s="5" t="s">
        <v>730</v>
      </c>
      <c r="G3373" s="5" t="s">
        <v>726</v>
      </c>
      <c r="H3373" s="6" t="s">
        <v>6631</v>
      </c>
      <c r="I3373" s="5" t="s">
        <v>722</v>
      </c>
      <c r="J3373" s="8">
        <f>498</f>
        <v>498</v>
      </c>
      <c r="K3373" s="5" t="s">
        <v>308</v>
      </c>
      <c r="L3373" s="7">
        <f>0</f>
        <v>0</v>
      </c>
      <c r="M3373" s="7">
        <f>0</f>
        <v>0</v>
      </c>
      <c r="N3373" s="5" t="s">
        <v>242</v>
      </c>
      <c r="O3373" s="5">
        <v>1</v>
      </c>
      <c r="P3373" s="5" t="s">
        <v>294</v>
      </c>
      <c r="Q3373" s="5" t="s">
        <v>266</v>
      </c>
      <c r="R3373" s="5" t="s">
        <v>240</v>
      </c>
      <c r="S3373" s="5" t="s">
        <v>240</v>
      </c>
      <c r="T3373" s="5" t="s">
        <v>296</v>
      </c>
      <c r="U3373" s="5" t="s">
        <v>244</v>
      </c>
      <c r="V3373" s="5" t="s">
        <v>240</v>
      </c>
      <c r="Y3373" s="5" t="s">
        <v>240</v>
      </c>
      <c r="Z3373" s="6" t="s">
        <v>298</v>
      </c>
      <c r="AB3373" s="6" t="s">
        <v>240</v>
      </c>
      <c r="AE3373" s="6" t="s">
        <v>299</v>
      </c>
      <c r="AF3373" s="5" t="s">
        <v>248</v>
      </c>
      <c r="AG3373" s="5" t="s">
        <v>249</v>
      </c>
      <c r="AW3373" s="5" t="s">
        <v>251</v>
      </c>
      <c r="AX3373" s="5" t="s">
        <v>240</v>
      </c>
      <c r="AY3373" s="5" t="s">
        <v>253</v>
      </c>
      <c r="AZ3373" s="5" t="s">
        <v>240</v>
      </c>
      <c r="BA3373" s="5" t="s">
        <v>255</v>
      </c>
      <c r="BB3373" s="5" t="s">
        <v>240</v>
      </c>
      <c r="BD3373" s="5" t="s">
        <v>240</v>
      </c>
      <c r="BF3373" s="5" t="s">
        <v>301</v>
      </c>
      <c r="BG3373" s="6" t="s">
        <v>299</v>
      </c>
      <c r="BH3373" s="5" t="s">
        <v>302</v>
      </c>
      <c r="BI3373" s="5" t="s">
        <v>303</v>
      </c>
      <c r="BJ3373" s="5" t="s">
        <v>240</v>
      </c>
      <c r="BK3373" s="8">
        <f>0</f>
        <v>0</v>
      </c>
      <c r="BL3373" s="7">
        <f>0</f>
        <v>0</v>
      </c>
      <c r="BM3373" s="5" t="s">
        <v>258</v>
      </c>
      <c r="BN3373" s="5" t="s">
        <v>259</v>
      </c>
      <c r="CB3373" s="5" t="s">
        <v>240</v>
      </c>
      <c r="CC3373" s="5" t="s">
        <v>240</v>
      </c>
      <c r="CG3373" s="5" t="s">
        <v>304</v>
      </c>
      <c r="CH3373" s="5" t="s">
        <v>305</v>
      </c>
      <c r="CI3373" s="5" t="s">
        <v>240</v>
      </c>
      <c r="CL3373" s="6" t="s">
        <v>261</v>
      </c>
      <c r="CM3373" s="5" t="s">
        <v>240</v>
      </c>
      <c r="CN3373" s="5" t="s">
        <v>263</v>
      </c>
      <c r="CO3373" s="5" t="s">
        <v>240</v>
      </c>
      <c r="CP3373" s="5" t="s">
        <v>240</v>
      </c>
      <c r="CQ3373" s="5">
        <v>0</v>
      </c>
      <c r="CR3373" s="5" t="s">
        <v>306</v>
      </c>
      <c r="CS3373" s="5" t="s">
        <v>307</v>
      </c>
      <c r="CT3373" s="5" t="s">
        <v>307</v>
      </c>
      <c r="CU3373" s="5" t="s">
        <v>260</v>
      </c>
      <c r="CX3373" s="7">
        <f>1</f>
        <v>1</v>
      </c>
      <c r="CY3373" s="7">
        <f>0</f>
        <v>0</v>
      </c>
      <c r="DA3373" s="7">
        <f>0</f>
        <v>0</v>
      </c>
      <c r="DC3373" s="5" t="s">
        <v>309</v>
      </c>
      <c r="DD3373" s="5" t="s">
        <v>240</v>
      </c>
      <c r="DF3373" s="5" t="s">
        <v>309</v>
      </c>
      <c r="DG3373" s="7">
        <f>681</f>
        <v>681</v>
      </c>
      <c r="DI3373" s="5" t="s">
        <v>240</v>
      </c>
      <c r="DJ3373" s="5" t="s">
        <v>240</v>
      </c>
      <c r="DK3373" s="5" t="s">
        <v>240</v>
      </c>
      <c r="DL3373" s="5" t="s">
        <v>240</v>
      </c>
      <c r="DP3373" s="5" t="s">
        <v>240</v>
      </c>
      <c r="DQ3373" s="5" t="s">
        <v>240</v>
      </c>
      <c r="DR3373" s="5" t="s">
        <v>240</v>
      </c>
      <c r="DS3373" s="5" t="s">
        <v>240</v>
      </c>
      <c r="DV3373" s="5" t="s">
        <v>310</v>
      </c>
      <c r="DW3373" s="5" t="s">
        <v>3564</v>
      </c>
      <c r="HO3373" s="5" t="s">
        <v>312</v>
      </c>
    </row>
    <row r="3374" spans="1:240" x14ac:dyDescent="0.4">
      <c r="A3374" s="5">
        <v>8916</v>
      </c>
      <c r="B3374" s="5">
        <v>1</v>
      </c>
      <c r="C3374" s="5">
        <v>1</v>
      </c>
      <c r="D3374" s="5" t="s">
        <v>723</v>
      </c>
      <c r="E3374" s="5" t="s">
        <v>725</v>
      </c>
      <c r="F3374" s="5" t="s">
        <v>730</v>
      </c>
      <c r="G3374" s="5" t="s">
        <v>726</v>
      </c>
      <c r="H3374" s="6" t="s">
        <v>6219</v>
      </c>
      <c r="I3374" s="5" t="s">
        <v>722</v>
      </c>
      <c r="J3374" s="8">
        <f>616</f>
        <v>616</v>
      </c>
      <c r="K3374" s="5" t="s">
        <v>308</v>
      </c>
      <c r="L3374" s="7">
        <f>0</f>
        <v>0</v>
      </c>
      <c r="M3374" s="7">
        <f>0</f>
        <v>0</v>
      </c>
      <c r="N3374" s="5" t="s">
        <v>242</v>
      </c>
      <c r="O3374" s="5">
        <v>1</v>
      </c>
      <c r="P3374" s="5" t="s">
        <v>294</v>
      </c>
      <c r="Q3374" s="5" t="s">
        <v>266</v>
      </c>
      <c r="R3374" s="5" t="s">
        <v>240</v>
      </c>
      <c r="S3374" s="5" t="s">
        <v>240</v>
      </c>
      <c r="T3374" s="5" t="s">
        <v>296</v>
      </c>
      <c r="U3374" s="5" t="s">
        <v>244</v>
      </c>
      <c r="V3374" s="5" t="s">
        <v>240</v>
      </c>
      <c r="Y3374" s="5" t="s">
        <v>240</v>
      </c>
      <c r="Z3374" s="6" t="s">
        <v>298</v>
      </c>
      <c r="AB3374" s="6" t="s">
        <v>240</v>
      </c>
      <c r="AE3374" s="6" t="s">
        <v>299</v>
      </c>
      <c r="AF3374" s="5" t="s">
        <v>248</v>
      </c>
      <c r="AG3374" s="5" t="s">
        <v>249</v>
      </c>
      <c r="AW3374" s="5" t="s">
        <v>251</v>
      </c>
      <c r="AX3374" s="5" t="s">
        <v>240</v>
      </c>
      <c r="AY3374" s="5" t="s">
        <v>253</v>
      </c>
      <c r="AZ3374" s="5" t="s">
        <v>240</v>
      </c>
      <c r="BA3374" s="5" t="s">
        <v>255</v>
      </c>
      <c r="BB3374" s="5" t="s">
        <v>240</v>
      </c>
      <c r="BD3374" s="5" t="s">
        <v>240</v>
      </c>
      <c r="BF3374" s="5" t="s">
        <v>301</v>
      </c>
      <c r="BG3374" s="6" t="s">
        <v>299</v>
      </c>
      <c r="BH3374" s="5" t="s">
        <v>302</v>
      </c>
      <c r="BI3374" s="5" t="s">
        <v>303</v>
      </c>
      <c r="BJ3374" s="5" t="s">
        <v>240</v>
      </c>
      <c r="BK3374" s="8">
        <f>0</f>
        <v>0</v>
      </c>
      <c r="BL3374" s="7">
        <f>0</f>
        <v>0</v>
      </c>
      <c r="BM3374" s="5" t="s">
        <v>258</v>
      </c>
      <c r="BN3374" s="5" t="s">
        <v>259</v>
      </c>
      <c r="CB3374" s="5" t="s">
        <v>240</v>
      </c>
      <c r="CC3374" s="5" t="s">
        <v>240</v>
      </c>
      <c r="CG3374" s="5" t="s">
        <v>304</v>
      </c>
      <c r="CH3374" s="5" t="s">
        <v>305</v>
      </c>
      <c r="CI3374" s="5" t="s">
        <v>240</v>
      </c>
      <c r="CL3374" s="6" t="s">
        <v>261</v>
      </c>
      <c r="CM3374" s="5" t="s">
        <v>240</v>
      </c>
      <c r="CN3374" s="5" t="s">
        <v>263</v>
      </c>
      <c r="CO3374" s="5" t="s">
        <v>240</v>
      </c>
      <c r="CP3374" s="5" t="s">
        <v>240</v>
      </c>
      <c r="CQ3374" s="5">
        <v>0</v>
      </c>
      <c r="CR3374" s="5" t="s">
        <v>306</v>
      </c>
      <c r="CS3374" s="5" t="s">
        <v>307</v>
      </c>
      <c r="CT3374" s="5" t="s">
        <v>307</v>
      </c>
      <c r="CU3374" s="5" t="s">
        <v>260</v>
      </c>
      <c r="CX3374" s="7">
        <f>1</f>
        <v>1</v>
      </c>
      <c r="CY3374" s="7">
        <f>0</f>
        <v>0</v>
      </c>
      <c r="DA3374" s="7">
        <f>0</f>
        <v>0</v>
      </c>
      <c r="DC3374" s="5" t="s">
        <v>309</v>
      </c>
      <c r="DD3374" s="5" t="s">
        <v>240</v>
      </c>
      <c r="DF3374" s="5" t="s">
        <v>309</v>
      </c>
      <c r="DG3374" s="7">
        <f>106</f>
        <v>106</v>
      </c>
      <c r="DI3374" s="5" t="s">
        <v>240</v>
      </c>
      <c r="DJ3374" s="5" t="s">
        <v>240</v>
      </c>
      <c r="DK3374" s="5" t="s">
        <v>240</v>
      </c>
      <c r="DL3374" s="5" t="s">
        <v>240</v>
      </c>
      <c r="DP3374" s="5" t="s">
        <v>240</v>
      </c>
      <c r="DQ3374" s="5" t="s">
        <v>240</v>
      </c>
      <c r="DR3374" s="5" t="s">
        <v>240</v>
      </c>
      <c r="DS3374" s="5" t="s">
        <v>240</v>
      </c>
      <c r="DV3374" s="5" t="s">
        <v>310</v>
      </c>
      <c r="DW3374" s="5" t="s">
        <v>3566</v>
      </c>
      <c r="HO3374" s="5" t="s">
        <v>312</v>
      </c>
    </row>
    <row r="3375" spans="1:240" x14ac:dyDescent="0.4">
      <c r="A3375" s="5">
        <v>8917</v>
      </c>
      <c r="B3375" s="5">
        <v>1</v>
      </c>
      <c r="C3375" s="5">
        <v>1</v>
      </c>
      <c r="D3375" s="5" t="s">
        <v>723</v>
      </c>
      <c r="E3375" s="5" t="s">
        <v>725</v>
      </c>
      <c r="F3375" s="5" t="s">
        <v>730</v>
      </c>
      <c r="G3375" s="5" t="s">
        <v>726</v>
      </c>
      <c r="H3375" s="6" t="s">
        <v>6630</v>
      </c>
      <c r="I3375" s="5" t="s">
        <v>722</v>
      </c>
      <c r="J3375" s="8">
        <f>771</f>
        <v>771</v>
      </c>
      <c r="K3375" s="5" t="s">
        <v>308</v>
      </c>
      <c r="L3375" s="7">
        <f>0</f>
        <v>0</v>
      </c>
      <c r="M3375" s="7">
        <f>0</f>
        <v>0</v>
      </c>
      <c r="N3375" s="5" t="s">
        <v>242</v>
      </c>
      <c r="O3375" s="5">
        <v>1</v>
      </c>
      <c r="P3375" s="5" t="s">
        <v>294</v>
      </c>
      <c r="Q3375" s="5" t="s">
        <v>266</v>
      </c>
      <c r="R3375" s="5" t="s">
        <v>240</v>
      </c>
      <c r="S3375" s="5" t="s">
        <v>240</v>
      </c>
      <c r="T3375" s="5" t="s">
        <v>296</v>
      </c>
      <c r="U3375" s="5" t="s">
        <v>244</v>
      </c>
      <c r="V3375" s="5" t="s">
        <v>240</v>
      </c>
      <c r="Y3375" s="5" t="s">
        <v>240</v>
      </c>
      <c r="Z3375" s="6" t="s">
        <v>298</v>
      </c>
      <c r="AB3375" s="6" t="s">
        <v>240</v>
      </c>
      <c r="AE3375" s="6" t="s">
        <v>299</v>
      </c>
      <c r="AF3375" s="5" t="s">
        <v>248</v>
      </c>
      <c r="AG3375" s="5" t="s">
        <v>249</v>
      </c>
      <c r="AW3375" s="5" t="s">
        <v>251</v>
      </c>
      <c r="AX3375" s="5" t="s">
        <v>240</v>
      </c>
      <c r="AY3375" s="5" t="s">
        <v>253</v>
      </c>
      <c r="AZ3375" s="5" t="s">
        <v>240</v>
      </c>
      <c r="BA3375" s="5" t="s">
        <v>255</v>
      </c>
      <c r="BB3375" s="5" t="s">
        <v>240</v>
      </c>
      <c r="BD3375" s="5" t="s">
        <v>240</v>
      </c>
      <c r="BF3375" s="5" t="s">
        <v>301</v>
      </c>
      <c r="BG3375" s="6" t="s">
        <v>299</v>
      </c>
      <c r="BH3375" s="5" t="s">
        <v>302</v>
      </c>
      <c r="BI3375" s="5" t="s">
        <v>303</v>
      </c>
      <c r="BJ3375" s="5" t="s">
        <v>240</v>
      </c>
      <c r="BK3375" s="8">
        <f>0</f>
        <v>0</v>
      </c>
      <c r="BL3375" s="7">
        <f>0</f>
        <v>0</v>
      </c>
      <c r="BM3375" s="5" t="s">
        <v>258</v>
      </c>
      <c r="BN3375" s="5" t="s">
        <v>259</v>
      </c>
      <c r="CB3375" s="5" t="s">
        <v>240</v>
      </c>
      <c r="CC3375" s="5" t="s">
        <v>240</v>
      </c>
      <c r="CG3375" s="5" t="s">
        <v>304</v>
      </c>
      <c r="CH3375" s="5" t="s">
        <v>305</v>
      </c>
      <c r="CI3375" s="5" t="s">
        <v>240</v>
      </c>
      <c r="CL3375" s="6" t="s">
        <v>261</v>
      </c>
      <c r="CM3375" s="5" t="s">
        <v>240</v>
      </c>
      <c r="CN3375" s="5" t="s">
        <v>263</v>
      </c>
      <c r="CO3375" s="5" t="s">
        <v>240</v>
      </c>
      <c r="CP3375" s="5" t="s">
        <v>240</v>
      </c>
      <c r="CQ3375" s="5">
        <v>0</v>
      </c>
      <c r="CR3375" s="5" t="s">
        <v>306</v>
      </c>
      <c r="CS3375" s="5" t="s">
        <v>307</v>
      </c>
      <c r="CT3375" s="5" t="s">
        <v>307</v>
      </c>
      <c r="CU3375" s="5" t="s">
        <v>260</v>
      </c>
      <c r="CX3375" s="7">
        <f>1</f>
        <v>1</v>
      </c>
      <c r="CY3375" s="7">
        <f>0</f>
        <v>0</v>
      </c>
      <c r="DA3375" s="7">
        <f>0</f>
        <v>0</v>
      </c>
      <c r="DC3375" s="5" t="s">
        <v>309</v>
      </c>
      <c r="DD3375" s="5" t="s">
        <v>240</v>
      </c>
      <c r="DF3375" s="5" t="s">
        <v>309</v>
      </c>
      <c r="DG3375" s="7">
        <f>2388</f>
        <v>2388</v>
      </c>
      <c r="DI3375" s="5" t="s">
        <v>240</v>
      </c>
      <c r="DJ3375" s="5" t="s">
        <v>240</v>
      </c>
      <c r="DK3375" s="5" t="s">
        <v>240</v>
      </c>
      <c r="DL3375" s="5" t="s">
        <v>240</v>
      </c>
      <c r="DP3375" s="5" t="s">
        <v>240</v>
      </c>
      <c r="DQ3375" s="5" t="s">
        <v>240</v>
      </c>
      <c r="DR3375" s="5" t="s">
        <v>240</v>
      </c>
      <c r="DS3375" s="5" t="s">
        <v>240</v>
      </c>
      <c r="DV3375" s="5" t="s">
        <v>310</v>
      </c>
      <c r="DW3375" s="5" t="s">
        <v>3572</v>
      </c>
      <c r="HO3375" s="5" t="s">
        <v>312</v>
      </c>
    </row>
    <row r="3376" spans="1:240" x14ac:dyDescent="0.4">
      <c r="A3376" s="5">
        <v>8918</v>
      </c>
      <c r="B3376" s="5">
        <v>1</v>
      </c>
      <c r="C3376" s="5">
        <v>1</v>
      </c>
      <c r="D3376" s="5" t="s">
        <v>723</v>
      </c>
      <c r="E3376" s="5" t="s">
        <v>725</v>
      </c>
      <c r="F3376" s="5" t="s">
        <v>730</v>
      </c>
      <c r="G3376" s="5" t="s">
        <v>726</v>
      </c>
      <c r="H3376" s="6" t="s">
        <v>6212</v>
      </c>
      <c r="I3376" s="5" t="s">
        <v>722</v>
      </c>
      <c r="J3376" s="8">
        <f>635</f>
        <v>635</v>
      </c>
      <c r="K3376" s="5" t="s">
        <v>308</v>
      </c>
      <c r="L3376" s="7">
        <f>0</f>
        <v>0</v>
      </c>
      <c r="M3376" s="7">
        <f>0</f>
        <v>0</v>
      </c>
      <c r="N3376" s="5" t="s">
        <v>242</v>
      </c>
      <c r="O3376" s="5">
        <v>1</v>
      </c>
      <c r="P3376" s="5" t="s">
        <v>294</v>
      </c>
      <c r="Q3376" s="5" t="s">
        <v>266</v>
      </c>
      <c r="R3376" s="5" t="s">
        <v>240</v>
      </c>
      <c r="S3376" s="5" t="s">
        <v>240</v>
      </c>
      <c r="T3376" s="5" t="s">
        <v>296</v>
      </c>
      <c r="U3376" s="5" t="s">
        <v>244</v>
      </c>
      <c r="V3376" s="5" t="s">
        <v>240</v>
      </c>
      <c r="Y3376" s="5" t="s">
        <v>240</v>
      </c>
      <c r="Z3376" s="6" t="s">
        <v>298</v>
      </c>
      <c r="AB3376" s="6" t="s">
        <v>240</v>
      </c>
      <c r="AE3376" s="6" t="s">
        <v>299</v>
      </c>
      <c r="AF3376" s="5" t="s">
        <v>248</v>
      </c>
      <c r="AG3376" s="5" t="s">
        <v>249</v>
      </c>
      <c r="AW3376" s="5" t="s">
        <v>251</v>
      </c>
      <c r="AX3376" s="5" t="s">
        <v>240</v>
      </c>
      <c r="AY3376" s="5" t="s">
        <v>253</v>
      </c>
      <c r="AZ3376" s="5" t="s">
        <v>240</v>
      </c>
      <c r="BA3376" s="5" t="s">
        <v>255</v>
      </c>
      <c r="BB3376" s="5" t="s">
        <v>240</v>
      </c>
      <c r="BD3376" s="5" t="s">
        <v>240</v>
      </c>
      <c r="BF3376" s="5" t="s">
        <v>301</v>
      </c>
      <c r="BG3376" s="6" t="s">
        <v>299</v>
      </c>
      <c r="BH3376" s="5" t="s">
        <v>302</v>
      </c>
      <c r="BI3376" s="5" t="s">
        <v>303</v>
      </c>
      <c r="BJ3376" s="5" t="s">
        <v>240</v>
      </c>
      <c r="BK3376" s="8">
        <f>0</f>
        <v>0</v>
      </c>
      <c r="BL3376" s="7">
        <f>0</f>
        <v>0</v>
      </c>
      <c r="BM3376" s="5" t="s">
        <v>258</v>
      </c>
      <c r="BN3376" s="5" t="s">
        <v>259</v>
      </c>
      <c r="CB3376" s="5" t="s">
        <v>240</v>
      </c>
      <c r="CC3376" s="5" t="s">
        <v>240</v>
      </c>
      <c r="CG3376" s="5" t="s">
        <v>304</v>
      </c>
      <c r="CH3376" s="5" t="s">
        <v>305</v>
      </c>
      <c r="CI3376" s="5" t="s">
        <v>240</v>
      </c>
      <c r="CL3376" s="6" t="s">
        <v>261</v>
      </c>
      <c r="CM3376" s="5" t="s">
        <v>240</v>
      </c>
      <c r="CN3376" s="5" t="s">
        <v>263</v>
      </c>
      <c r="CO3376" s="5" t="s">
        <v>240</v>
      </c>
      <c r="CP3376" s="5" t="s">
        <v>240</v>
      </c>
      <c r="CQ3376" s="5">
        <v>0</v>
      </c>
      <c r="CR3376" s="5" t="s">
        <v>306</v>
      </c>
      <c r="CS3376" s="5" t="s">
        <v>307</v>
      </c>
      <c r="CT3376" s="5" t="s">
        <v>307</v>
      </c>
      <c r="CU3376" s="5" t="s">
        <v>260</v>
      </c>
      <c r="CX3376" s="7">
        <f>1</f>
        <v>1</v>
      </c>
      <c r="CY3376" s="7">
        <f>0</f>
        <v>0</v>
      </c>
      <c r="DA3376" s="7">
        <f>0</f>
        <v>0</v>
      </c>
      <c r="DC3376" s="5" t="s">
        <v>309</v>
      </c>
      <c r="DD3376" s="5" t="s">
        <v>240</v>
      </c>
      <c r="DF3376" s="5" t="s">
        <v>309</v>
      </c>
      <c r="DG3376" s="7">
        <f>4109</f>
        <v>4109</v>
      </c>
      <c r="DI3376" s="5" t="s">
        <v>240</v>
      </c>
      <c r="DJ3376" s="5" t="s">
        <v>240</v>
      </c>
      <c r="DK3376" s="5" t="s">
        <v>240</v>
      </c>
      <c r="DL3376" s="5" t="s">
        <v>240</v>
      </c>
      <c r="DP3376" s="5" t="s">
        <v>240</v>
      </c>
      <c r="DQ3376" s="5" t="s">
        <v>240</v>
      </c>
      <c r="DR3376" s="5" t="s">
        <v>240</v>
      </c>
      <c r="DS3376" s="5" t="s">
        <v>240</v>
      </c>
      <c r="DV3376" s="5" t="s">
        <v>310</v>
      </c>
      <c r="DW3376" s="5" t="s">
        <v>3576</v>
      </c>
      <c r="HO3376" s="5" t="s">
        <v>312</v>
      </c>
    </row>
    <row r="3377" spans="1:240" x14ac:dyDescent="0.4">
      <c r="A3377" s="5">
        <v>8919</v>
      </c>
      <c r="B3377" s="5">
        <v>1</v>
      </c>
      <c r="C3377" s="5">
        <v>1</v>
      </c>
      <c r="D3377" s="5" t="s">
        <v>723</v>
      </c>
      <c r="E3377" s="5" t="s">
        <v>725</v>
      </c>
      <c r="F3377" s="5" t="s">
        <v>730</v>
      </c>
      <c r="G3377" s="5" t="s">
        <v>726</v>
      </c>
      <c r="H3377" s="6" t="s">
        <v>6211</v>
      </c>
      <c r="I3377" s="5" t="s">
        <v>990</v>
      </c>
      <c r="J3377" s="8">
        <f>704</f>
        <v>704</v>
      </c>
      <c r="K3377" s="5" t="s">
        <v>308</v>
      </c>
      <c r="L3377" s="7">
        <f>0</f>
        <v>0</v>
      </c>
      <c r="M3377" s="7">
        <f>0</f>
        <v>0</v>
      </c>
      <c r="N3377" s="5" t="s">
        <v>242</v>
      </c>
      <c r="O3377" s="5">
        <v>1</v>
      </c>
      <c r="P3377" s="5" t="s">
        <v>294</v>
      </c>
      <c r="Q3377" s="5" t="s">
        <v>266</v>
      </c>
      <c r="R3377" s="5" t="s">
        <v>240</v>
      </c>
      <c r="S3377" s="5" t="s">
        <v>240</v>
      </c>
      <c r="T3377" s="5" t="s">
        <v>296</v>
      </c>
      <c r="U3377" s="5" t="s">
        <v>244</v>
      </c>
      <c r="V3377" s="5" t="s">
        <v>240</v>
      </c>
      <c r="Y3377" s="5" t="s">
        <v>240</v>
      </c>
      <c r="Z3377" s="6" t="s">
        <v>298</v>
      </c>
      <c r="AB3377" s="6" t="s">
        <v>240</v>
      </c>
      <c r="AE3377" s="6" t="s">
        <v>299</v>
      </c>
      <c r="AF3377" s="5" t="s">
        <v>248</v>
      </c>
      <c r="AG3377" s="5" t="s">
        <v>249</v>
      </c>
      <c r="AW3377" s="5" t="s">
        <v>251</v>
      </c>
      <c r="AX3377" s="5" t="s">
        <v>240</v>
      </c>
      <c r="AY3377" s="5" t="s">
        <v>253</v>
      </c>
      <c r="AZ3377" s="5" t="s">
        <v>240</v>
      </c>
      <c r="BA3377" s="5" t="s">
        <v>255</v>
      </c>
      <c r="BB3377" s="5" t="s">
        <v>240</v>
      </c>
      <c r="BD3377" s="5" t="s">
        <v>240</v>
      </c>
      <c r="BF3377" s="5" t="s">
        <v>301</v>
      </c>
      <c r="BG3377" s="6" t="s">
        <v>299</v>
      </c>
      <c r="BH3377" s="5" t="s">
        <v>302</v>
      </c>
      <c r="BI3377" s="5" t="s">
        <v>303</v>
      </c>
      <c r="BJ3377" s="5" t="s">
        <v>240</v>
      </c>
      <c r="BK3377" s="8">
        <f>0</f>
        <v>0</v>
      </c>
      <c r="BL3377" s="7">
        <f>0</f>
        <v>0</v>
      </c>
      <c r="BM3377" s="5" t="s">
        <v>258</v>
      </c>
      <c r="BN3377" s="5" t="s">
        <v>259</v>
      </c>
      <c r="CB3377" s="5" t="s">
        <v>240</v>
      </c>
      <c r="CC3377" s="5" t="s">
        <v>240</v>
      </c>
      <c r="CG3377" s="5" t="s">
        <v>304</v>
      </c>
      <c r="CH3377" s="5" t="s">
        <v>305</v>
      </c>
      <c r="CI3377" s="5" t="s">
        <v>240</v>
      </c>
      <c r="CL3377" s="6" t="s">
        <v>261</v>
      </c>
      <c r="CM3377" s="5" t="s">
        <v>240</v>
      </c>
      <c r="CN3377" s="5" t="s">
        <v>263</v>
      </c>
      <c r="CO3377" s="5" t="s">
        <v>240</v>
      </c>
      <c r="CP3377" s="5" t="s">
        <v>240</v>
      </c>
      <c r="CQ3377" s="5">
        <v>0</v>
      </c>
      <c r="CR3377" s="5" t="s">
        <v>306</v>
      </c>
      <c r="CS3377" s="5" t="s">
        <v>307</v>
      </c>
      <c r="CT3377" s="5" t="s">
        <v>307</v>
      </c>
      <c r="CU3377" s="5" t="s">
        <v>260</v>
      </c>
      <c r="CX3377" s="7">
        <f>1</f>
        <v>1</v>
      </c>
      <c r="CY3377" s="7">
        <f>0</f>
        <v>0</v>
      </c>
      <c r="DA3377" s="7">
        <f>0</f>
        <v>0</v>
      </c>
      <c r="DC3377" s="5" t="s">
        <v>309</v>
      </c>
      <c r="DD3377" s="5" t="s">
        <v>240</v>
      </c>
      <c r="DF3377" s="5" t="s">
        <v>309</v>
      </c>
      <c r="DG3377" s="7">
        <f>197</f>
        <v>197</v>
      </c>
      <c r="DI3377" s="5" t="s">
        <v>240</v>
      </c>
      <c r="DJ3377" s="5" t="s">
        <v>240</v>
      </c>
      <c r="DK3377" s="5" t="s">
        <v>240</v>
      </c>
      <c r="DL3377" s="5" t="s">
        <v>240</v>
      </c>
      <c r="DP3377" s="5" t="s">
        <v>240</v>
      </c>
      <c r="DQ3377" s="5" t="s">
        <v>240</v>
      </c>
      <c r="DR3377" s="5" t="s">
        <v>240</v>
      </c>
      <c r="DS3377" s="5" t="s">
        <v>240</v>
      </c>
      <c r="DV3377" s="5" t="s">
        <v>310</v>
      </c>
      <c r="DW3377" s="5" t="s">
        <v>3580</v>
      </c>
      <c r="HO3377" s="5" t="s">
        <v>312</v>
      </c>
    </row>
    <row r="3378" spans="1:240" x14ac:dyDescent="0.4">
      <c r="A3378" s="5">
        <v>8920</v>
      </c>
      <c r="B3378" s="5">
        <v>1</v>
      </c>
      <c r="C3378" s="5">
        <v>1</v>
      </c>
      <c r="D3378" s="5" t="s">
        <v>723</v>
      </c>
      <c r="E3378" s="5" t="s">
        <v>725</v>
      </c>
      <c r="F3378" s="5" t="s">
        <v>730</v>
      </c>
      <c r="G3378" s="5" t="s">
        <v>726</v>
      </c>
      <c r="H3378" s="6" t="s">
        <v>6210</v>
      </c>
      <c r="I3378" s="5" t="s">
        <v>990</v>
      </c>
      <c r="J3378" s="8">
        <f>495.86</f>
        <v>495.86</v>
      </c>
      <c r="K3378" s="5" t="s">
        <v>308</v>
      </c>
      <c r="L3378" s="7">
        <f>0</f>
        <v>0</v>
      </c>
      <c r="M3378" s="7">
        <f>0</f>
        <v>0</v>
      </c>
      <c r="N3378" s="5" t="s">
        <v>242</v>
      </c>
      <c r="O3378" s="5">
        <v>1</v>
      </c>
      <c r="P3378" s="5" t="s">
        <v>294</v>
      </c>
      <c r="Q3378" s="5" t="s">
        <v>266</v>
      </c>
      <c r="R3378" s="5" t="s">
        <v>240</v>
      </c>
      <c r="S3378" s="5" t="s">
        <v>240</v>
      </c>
      <c r="T3378" s="5" t="s">
        <v>296</v>
      </c>
      <c r="U3378" s="5" t="s">
        <v>244</v>
      </c>
      <c r="V3378" s="5" t="s">
        <v>240</v>
      </c>
      <c r="Y3378" s="5" t="s">
        <v>240</v>
      </c>
      <c r="Z3378" s="6" t="s">
        <v>298</v>
      </c>
      <c r="AB3378" s="6" t="s">
        <v>240</v>
      </c>
      <c r="AE3378" s="6" t="s">
        <v>299</v>
      </c>
      <c r="AF3378" s="5" t="s">
        <v>248</v>
      </c>
      <c r="AG3378" s="5" t="s">
        <v>249</v>
      </c>
      <c r="AW3378" s="5" t="s">
        <v>251</v>
      </c>
      <c r="AX3378" s="5" t="s">
        <v>240</v>
      </c>
      <c r="AY3378" s="5" t="s">
        <v>253</v>
      </c>
      <c r="AZ3378" s="5" t="s">
        <v>240</v>
      </c>
      <c r="BA3378" s="5" t="s">
        <v>255</v>
      </c>
      <c r="BB3378" s="5" t="s">
        <v>240</v>
      </c>
      <c r="BD3378" s="5" t="s">
        <v>240</v>
      </c>
      <c r="BF3378" s="5" t="s">
        <v>301</v>
      </c>
      <c r="BG3378" s="6" t="s">
        <v>299</v>
      </c>
      <c r="BH3378" s="5" t="s">
        <v>302</v>
      </c>
      <c r="BI3378" s="5" t="s">
        <v>303</v>
      </c>
      <c r="BJ3378" s="5" t="s">
        <v>240</v>
      </c>
      <c r="BK3378" s="8">
        <f>0</f>
        <v>0</v>
      </c>
      <c r="BL3378" s="7">
        <f>0</f>
        <v>0</v>
      </c>
      <c r="BM3378" s="5" t="s">
        <v>258</v>
      </c>
      <c r="BN3378" s="5" t="s">
        <v>259</v>
      </c>
      <c r="CB3378" s="5" t="s">
        <v>240</v>
      </c>
      <c r="CC3378" s="5" t="s">
        <v>240</v>
      </c>
      <c r="CG3378" s="5" t="s">
        <v>304</v>
      </c>
      <c r="CH3378" s="5" t="s">
        <v>305</v>
      </c>
      <c r="CI3378" s="5" t="s">
        <v>240</v>
      </c>
      <c r="CL3378" s="6" t="s">
        <v>261</v>
      </c>
      <c r="CM3378" s="5" t="s">
        <v>240</v>
      </c>
      <c r="CN3378" s="5" t="s">
        <v>263</v>
      </c>
      <c r="CO3378" s="5" t="s">
        <v>240</v>
      </c>
      <c r="CP3378" s="5" t="s">
        <v>240</v>
      </c>
      <c r="CQ3378" s="5">
        <v>0</v>
      </c>
      <c r="CR3378" s="5" t="s">
        <v>306</v>
      </c>
      <c r="CS3378" s="5" t="s">
        <v>307</v>
      </c>
      <c r="CT3378" s="5" t="s">
        <v>307</v>
      </c>
      <c r="CU3378" s="5" t="s">
        <v>260</v>
      </c>
      <c r="CX3378" s="7">
        <f>1</f>
        <v>1</v>
      </c>
      <c r="CY3378" s="7">
        <f>0</f>
        <v>0</v>
      </c>
      <c r="DA3378" s="7">
        <f>0</f>
        <v>0</v>
      </c>
      <c r="DC3378" s="5" t="s">
        <v>309</v>
      </c>
      <c r="DD3378" s="5" t="s">
        <v>240</v>
      </c>
      <c r="DF3378" s="5" t="s">
        <v>309</v>
      </c>
      <c r="DG3378" s="7">
        <f>415</f>
        <v>415</v>
      </c>
      <c r="DI3378" s="5" t="s">
        <v>240</v>
      </c>
      <c r="DJ3378" s="5" t="s">
        <v>240</v>
      </c>
      <c r="DK3378" s="5" t="s">
        <v>240</v>
      </c>
      <c r="DL3378" s="5" t="s">
        <v>240</v>
      </c>
      <c r="DP3378" s="5" t="s">
        <v>240</v>
      </c>
      <c r="DQ3378" s="5" t="s">
        <v>240</v>
      </c>
      <c r="DR3378" s="5" t="s">
        <v>240</v>
      </c>
      <c r="DS3378" s="5" t="s">
        <v>240</v>
      </c>
      <c r="DV3378" s="5" t="s">
        <v>310</v>
      </c>
      <c r="DW3378" s="5" t="s">
        <v>3582</v>
      </c>
      <c r="HO3378" s="5" t="s">
        <v>312</v>
      </c>
    </row>
    <row r="3379" spans="1:240" x14ac:dyDescent="0.4">
      <c r="A3379" s="5">
        <v>8921</v>
      </c>
      <c r="B3379" s="5">
        <v>1</v>
      </c>
      <c r="C3379" s="5">
        <v>1</v>
      </c>
      <c r="D3379" s="5" t="s">
        <v>723</v>
      </c>
      <c r="E3379" s="5" t="s">
        <v>725</v>
      </c>
      <c r="F3379" s="5" t="s">
        <v>730</v>
      </c>
      <c r="G3379" s="5" t="s">
        <v>726</v>
      </c>
      <c r="H3379" s="6" t="s">
        <v>6627</v>
      </c>
      <c r="I3379" s="5" t="s">
        <v>722</v>
      </c>
      <c r="J3379" s="8">
        <f>365</f>
        <v>365</v>
      </c>
      <c r="K3379" s="5" t="s">
        <v>308</v>
      </c>
      <c r="L3379" s="7">
        <f>0</f>
        <v>0</v>
      </c>
      <c r="M3379" s="7">
        <f>0</f>
        <v>0</v>
      </c>
      <c r="N3379" s="5" t="s">
        <v>242</v>
      </c>
      <c r="O3379" s="5">
        <v>1</v>
      </c>
      <c r="P3379" s="5" t="s">
        <v>294</v>
      </c>
      <c r="Q3379" s="5" t="s">
        <v>3678</v>
      </c>
      <c r="R3379" s="5" t="s">
        <v>240</v>
      </c>
      <c r="S3379" s="5" t="s">
        <v>240</v>
      </c>
      <c r="T3379" s="5" t="s">
        <v>243</v>
      </c>
      <c r="U3379" s="5" t="s">
        <v>244</v>
      </c>
      <c r="V3379" s="5" t="s">
        <v>240</v>
      </c>
      <c r="W3379" s="5" t="s">
        <v>240</v>
      </c>
      <c r="X3379" s="5" t="s">
        <v>240</v>
      </c>
      <c r="Y3379" s="5" t="s">
        <v>240</v>
      </c>
      <c r="Z3379" s="6" t="s">
        <v>298</v>
      </c>
      <c r="AA3379" s="6" t="s">
        <v>240</v>
      </c>
      <c r="AB3379" s="6" t="s">
        <v>240</v>
      </c>
      <c r="AC3379" s="5" t="s">
        <v>240</v>
      </c>
      <c r="AD3379" s="6" t="s">
        <v>240</v>
      </c>
      <c r="AE3379" s="6" t="s">
        <v>299</v>
      </c>
      <c r="AF3379" s="5" t="s">
        <v>248</v>
      </c>
      <c r="AG3379" s="5" t="s">
        <v>249</v>
      </c>
      <c r="AH3379" s="5" t="s">
        <v>240</v>
      </c>
      <c r="AI3379" s="5" t="s">
        <v>240</v>
      </c>
      <c r="AJ3379" s="5" t="s">
        <v>240</v>
      </c>
      <c r="AK3379" s="5" t="s">
        <v>240</v>
      </c>
      <c r="AL3379" s="5" t="s">
        <v>240</v>
      </c>
      <c r="AM3379" s="5" t="s">
        <v>240</v>
      </c>
      <c r="AN3379" s="5" t="s">
        <v>240</v>
      </c>
      <c r="AO3379" s="5" t="s">
        <v>240</v>
      </c>
      <c r="AP3379" s="6" t="s">
        <v>240</v>
      </c>
      <c r="AQ3379" s="6" t="s">
        <v>240</v>
      </c>
      <c r="AR3379" s="6" t="s">
        <v>240</v>
      </c>
      <c r="AS3379" s="6" t="s">
        <v>240</v>
      </c>
      <c r="AT3379" s="5" t="s">
        <v>240</v>
      </c>
      <c r="AU3379" s="5" t="s">
        <v>729</v>
      </c>
      <c r="AV3379" s="5" t="s">
        <v>729</v>
      </c>
      <c r="AW3379" s="5" t="s">
        <v>251</v>
      </c>
      <c r="AX3379" s="5" t="s">
        <v>252</v>
      </c>
      <c r="AY3379" s="5" t="s">
        <v>253</v>
      </c>
      <c r="AZ3379" s="5" t="s">
        <v>240</v>
      </c>
      <c r="BA3379" s="5" t="s">
        <v>255</v>
      </c>
      <c r="BB3379" s="5" t="s">
        <v>731</v>
      </c>
      <c r="BD3379" s="5" t="s">
        <v>240</v>
      </c>
      <c r="BF3379" s="5" t="s">
        <v>732</v>
      </c>
      <c r="BG3379" s="6" t="s">
        <v>733</v>
      </c>
      <c r="BH3379" s="5" t="s">
        <v>734</v>
      </c>
      <c r="BI3379" s="5" t="s">
        <v>734</v>
      </c>
      <c r="BJ3379" s="5" t="s">
        <v>240</v>
      </c>
      <c r="BK3379" s="7">
        <f>1</f>
        <v>1</v>
      </c>
      <c r="BL3379" s="7">
        <f>1</f>
        <v>1</v>
      </c>
      <c r="BM3379" s="5" t="s">
        <v>258</v>
      </c>
      <c r="BN3379" s="5" t="s">
        <v>259</v>
      </c>
      <c r="BO3379" s="5" t="s">
        <v>240</v>
      </c>
      <c r="BP3379" s="5" t="s">
        <v>240</v>
      </c>
      <c r="BQ3379" s="5" t="s">
        <v>240</v>
      </c>
      <c r="BR3379" s="5" t="s">
        <v>240</v>
      </c>
      <c r="BS3379" s="5" t="s">
        <v>240</v>
      </c>
      <c r="BT3379" s="5" t="s">
        <v>240</v>
      </c>
      <c r="BU3379" s="5" t="s">
        <v>240</v>
      </c>
      <c r="BV3379" s="5" t="s">
        <v>240</v>
      </c>
      <c r="BW3379" s="6" t="s">
        <v>240</v>
      </c>
      <c r="BX3379" s="5" t="s">
        <v>240</v>
      </c>
      <c r="BY3379" s="5" t="s">
        <v>240</v>
      </c>
      <c r="BZ3379" s="5" t="s">
        <v>240</v>
      </c>
      <c r="CA3379" s="5" t="s">
        <v>259</v>
      </c>
      <c r="CB3379" s="5" t="s">
        <v>240</v>
      </c>
      <c r="CC3379" s="5" t="s">
        <v>240</v>
      </c>
      <c r="CD3379" s="5" t="s">
        <v>240</v>
      </c>
      <c r="CE3379" s="5" t="s">
        <v>240</v>
      </c>
      <c r="CF3379" s="5" t="s">
        <v>240</v>
      </c>
      <c r="CG3379" s="5" t="s">
        <v>304</v>
      </c>
      <c r="CH3379" s="5" t="s">
        <v>305</v>
      </c>
      <c r="CI3379" s="5" t="s">
        <v>240</v>
      </c>
      <c r="CK3379" s="5" t="s">
        <v>3681</v>
      </c>
      <c r="CL3379" s="6" t="s">
        <v>261</v>
      </c>
      <c r="CM3379" s="5" t="s">
        <v>262</v>
      </c>
      <c r="CN3379" s="5" t="s">
        <v>263</v>
      </c>
      <c r="CO3379" s="5" t="s">
        <v>264</v>
      </c>
      <c r="CP3379" s="5" t="s">
        <v>240</v>
      </c>
      <c r="CQ3379" s="5">
        <v>0</v>
      </c>
      <c r="CR3379" s="5" t="s">
        <v>735</v>
      </c>
      <c r="CS3379" s="5" t="s">
        <v>307</v>
      </c>
      <c r="CT3379" s="5" t="s">
        <v>307</v>
      </c>
      <c r="CU3379" s="5" t="s">
        <v>260</v>
      </c>
      <c r="CV3379" s="5" t="s">
        <v>612</v>
      </c>
      <c r="CW3379" s="8">
        <f>1</f>
        <v>1</v>
      </c>
      <c r="CX3379" s="7">
        <f>1</f>
        <v>1</v>
      </c>
      <c r="CY3379" s="7">
        <f>0</f>
        <v>0</v>
      </c>
      <c r="DA3379" s="7">
        <f>1</f>
        <v>1</v>
      </c>
      <c r="DB3379" s="7" t="s">
        <v>240</v>
      </c>
      <c r="DC3379" s="5" t="s">
        <v>240</v>
      </c>
      <c r="DD3379" s="5" t="s">
        <v>240</v>
      </c>
      <c r="DE3379" s="5" t="s">
        <v>240</v>
      </c>
      <c r="DF3379" s="5" t="s">
        <v>240</v>
      </c>
      <c r="DG3379" s="7">
        <f>0</f>
        <v>0</v>
      </c>
      <c r="DI3379" s="5" t="s">
        <v>240</v>
      </c>
      <c r="DJ3379" s="5" t="s">
        <v>240</v>
      </c>
      <c r="DK3379" s="5" t="s">
        <v>240</v>
      </c>
      <c r="DL3379" s="5" t="s">
        <v>240</v>
      </c>
      <c r="DM3379" s="5" t="s">
        <v>240</v>
      </c>
      <c r="DN3379" s="5" t="s">
        <v>240</v>
      </c>
      <c r="DO3379" s="7" t="s">
        <v>240</v>
      </c>
      <c r="DP3379" s="5" t="s">
        <v>240</v>
      </c>
      <c r="DQ3379" s="5" t="s">
        <v>240</v>
      </c>
      <c r="DR3379" s="5" t="s">
        <v>731</v>
      </c>
      <c r="DS3379" s="5" t="s">
        <v>731</v>
      </c>
      <c r="DT3379" s="5" t="s">
        <v>240</v>
      </c>
      <c r="DU3379" s="5" t="s">
        <v>240</v>
      </c>
      <c r="DV3379" s="5" t="s">
        <v>5063</v>
      </c>
      <c r="DW3379" s="5" t="s">
        <v>678</v>
      </c>
      <c r="DX3379" s="5" t="s">
        <v>240</v>
      </c>
      <c r="DY3379" s="5" t="s">
        <v>240</v>
      </c>
      <c r="DZ3379" s="5" t="s">
        <v>240</v>
      </c>
      <c r="EA3379" s="5" t="s">
        <v>240</v>
      </c>
      <c r="EB3379" s="5" t="s">
        <v>240</v>
      </c>
      <c r="EC3379" s="5" t="s">
        <v>240</v>
      </c>
      <c r="ED3379" s="5" t="s">
        <v>240</v>
      </c>
      <c r="EE3379" s="5" t="s">
        <v>240</v>
      </c>
      <c r="EF3379" s="5" t="s">
        <v>240</v>
      </c>
      <c r="EG3379" s="5" t="s">
        <v>240</v>
      </c>
      <c r="EH3379" s="5" t="s">
        <v>240</v>
      </c>
      <c r="EI3379" s="5" t="s">
        <v>240</v>
      </c>
      <c r="EJ3379" s="5" t="s">
        <v>240</v>
      </c>
      <c r="EK3379" s="5" t="s">
        <v>240</v>
      </c>
      <c r="EL3379" s="5" t="s">
        <v>240</v>
      </c>
      <c r="EM3379" s="5" t="s">
        <v>240</v>
      </c>
      <c r="EN3379" s="5" t="s">
        <v>240</v>
      </c>
      <c r="EO3379" s="5" t="s">
        <v>240</v>
      </c>
      <c r="EP3379" s="5" t="s">
        <v>240</v>
      </c>
      <c r="EQ3379" s="5" t="s">
        <v>240</v>
      </c>
      <c r="ER3379" s="5" t="s">
        <v>240</v>
      </c>
      <c r="ES3379" s="5" t="s">
        <v>240</v>
      </c>
      <c r="ET3379" s="5" t="s">
        <v>240</v>
      </c>
      <c r="EU3379" s="5" t="s">
        <v>240</v>
      </c>
      <c r="EV3379" s="5" t="s">
        <v>240</v>
      </c>
      <c r="EW3379" s="5" t="s">
        <v>240</v>
      </c>
      <c r="EX3379" s="5" t="s">
        <v>240</v>
      </c>
      <c r="EY3379" s="5" t="s">
        <v>240</v>
      </c>
      <c r="EZ3379" s="5" t="s">
        <v>240</v>
      </c>
      <c r="FA3379" s="5" t="s">
        <v>240</v>
      </c>
      <c r="FB3379" s="5" t="s">
        <v>240</v>
      </c>
      <c r="FC3379" s="5" t="s">
        <v>240</v>
      </c>
      <c r="FD3379" s="5" t="s">
        <v>240</v>
      </c>
      <c r="FE3379" s="5" t="s">
        <v>240</v>
      </c>
      <c r="FF3379" s="5" t="s">
        <v>240</v>
      </c>
      <c r="FG3379" s="5" t="s">
        <v>240</v>
      </c>
      <c r="FH3379" s="5" t="s">
        <v>240</v>
      </c>
      <c r="FI3379" s="5" t="s">
        <v>240</v>
      </c>
      <c r="FJ3379" s="5" t="s">
        <v>240</v>
      </c>
      <c r="FK3379" s="5" t="s">
        <v>240</v>
      </c>
      <c r="FL3379" s="5" t="s">
        <v>240</v>
      </c>
      <c r="FM3379" s="5" t="s">
        <v>240</v>
      </c>
      <c r="FN3379" s="5" t="s">
        <v>240</v>
      </c>
      <c r="FO3379" s="5" t="s">
        <v>240</v>
      </c>
      <c r="FP3379" s="5" t="s">
        <v>240</v>
      </c>
      <c r="FQ3379" s="5" t="s">
        <v>240</v>
      </c>
      <c r="FR3379" s="5" t="s">
        <v>240</v>
      </c>
      <c r="FS3379" s="5" t="s">
        <v>240</v>
      </c>
      <c r="FT3379" s="5" t="s">
        <v>240</v>
      </c>
      <c r="FU3379" s="5" t="s">
        <v>240</v>
      </c>
      <c r="FV3379" s="5" t="s">
        <v>240</v>
      </c>
      <c r="FW3379" s="5" t="s">
        <v>240</v>
      </c>
      <c r="FX3379" s="5" t="s">
        <v>240</v>
      </c>
      <c r="FY3379" s="5" t="s">
        <v>240</v>
      </c>
      <c r="FZ3379" s="5" t="s">
        <v>240</v>
      </c>
      <c r="GA3379" s="5" t="s">
        <v>240</v>
      </c>
      <c r="GB3379" s="5" t="s">
        <v>240</v>
      </c>
      <c r="GC3379" s="5" t="s">
        <v>240</v>
      </c>
      <c r="GD3379" s="5" t="s">
        <v>240</v>
      </c>
      <c r="GE3379" s="5" t="s">
        <v>240</v>
      </c>
      <c r="GF3379" s="5" t="s">
        <v>240</v>
      </c>
      <c r="GG3379" s="5" t="s">
        <v>240</v>
      </c>
      <c r="GH3379" s="5" t="s">
        <v>240</v>
      </c>
      <c r="GI3379" s="5" t="s">
        <v>240</v>
      </c>
      <c r="GJ3379" s="5" t="s">
        <v>240</v>
      </c>
      <c r="GK3379" s="5" t="s">
        <v>240</v>
      </c>
      <c r="GL3379" s="5" t="s">
        <v>240</v>
      </c>
      <c r="GM3379" s="5" t="s">
        <v>240</v>
      </c>
      <c r="GN3379" s="5" t="s">
        <v>240</v>
      </c>
      <c r="GO3379" s="5" t="s">
        <v>240</v>
      </c>
      <c r="GP3379" s="5" t="s">
        <v>240</v>
      </c>
      <c r="GQ3379" s="5" t="s">
        <v>240</v>
      </c>
      <c r="GR3379" s="5" t="s">
        <v>240</v>
      </c>
      <c r="GS3379" s="5" t="s">
        <v>240</v>
      </c>
      <c r="GT3379" s="5" t="s">
        <v>240</v>
      </c>
      <c r="GU3379" s="5" t="s">
        <v>240</v>
      </c>
      <c r="GV3379" s="5" t="s">
        <v>240</v>
      </c>
      <c r="GW3379" s="5" t="s">
        <v>240</v>
      </c>
      <c r="GX3379" s="5" t="s">
        <v>240</v>
      </c>
      <c r="GY3379" s="5" t="s">
        <v>240</v>
      </c>
      <c r="GZ3379" s="5" t="s">
        <v>240</v>
      </c>
      <c r="HA3379" s="5" t="s">
        <v>240</v>
      </c>
      <c r="HB3379" s="5" t="s">
        <v>240</v>
      </c>
      <c r="HC3379" s="5" t="s">
        <v>240</v>
      </c>
      <c r="HD3379" s="5" t="s">
        <v>240</v>
      </c>
      <c r="HE3379" s="5" t="s">
        <v>240</v>
      </c>
      <c r="HF3379" s="5" t="s">
        <v>240</v>
      </c>
      <c r="HG3379" s="5" t="s">
        <v>240</v>
      </c>
      <c r="HH3379" s="5" t="s">
        <v>240</v>
      </c>
      <c r="HI3379" s="5" t="s">
        <v>240</v>
      </c>
      <c r="HJ3379" s="5" t="s">
        <v>240</v>
      </c>
      <c r="HK3379" s="5" t="s">
        <v>240</v>
      </c>
      <c r="HL3379" s="5" t="s">
        <v>240</v>
      </c>
      <c r="HM3379" s="5" t="s">
        <v>240</v>
      </c>
      <c r="HN3379" s="5" t="s">
        <v>240</v>
      </c>
      <c r="HO3379" s="5" t="s">
        <v>312</v>
      </c>
      <c r="HP3379" s="5" t="s">
        <v>240</v>
      </c>
      <c r="HQ3379" s="5" t="s">
        <v>240</v>
      </c>
      <c r="HR3379" s="5" t="s">
        <v>240</v>
      </c>
      <c r="HS3379" s="5" t="s">
        <v>240</v>
      </c>
      <c r="HT3379" s="5" t="s">
        <v>240</v>
      </c>
      <c r="HU3379" s="5" t="s">
        <v>240</v>
      </c>
      <c r="HV3379" s="5" t="s">
        <v>240</v>
      </c>
      <c r="HW3379" s="5" t="s">
        <v>240</v>
      </c>
      <c r="HX3379" s="5" t="s">
        <v>240</v>
      </c>
      <c r="HY3379" s="5" t="s">
        <v>240</v>
      </c>
      <c r="HZ3379" s="5" t="s">
        <v>240</v>
      </c>
      <c r="IA3379" s="5" t="s">
        <v>240</v>
      </c>
      <c r="IB3379" s="5" t="s">
        <v>240</v>
      </c>
      <c r="IC3379" s="5" t="s">
        <v>240</v>
      </c>
      <c r="ID3379" s="5" t="s">
        <v>240</v>
      </c>
      <c r="IE3379" s="5" t="s">
        <v>240</v>
      </c>
      <c r="IF3379" s="5" t="s">
        <v>240</v>
      </c>
    </row>
    <row r="3380" spans="1:240" x14ac:dyDescent="0.4">
      <c r="A3380" s="5">
        <v>8922</v>
      </c>
      <c r="B3380" s="5">
        <v>1</v>
      </c>
      <c r="C3380" s="5">
        <v>1</v>
      </c>
      <c r="D3380" s="5" t="s">
        <v>723</v>
      </c>
      <c r="E3380" s="5" t="s">
        <v>725</v>
      </c>
      <c r="F3380" s="5" t="s">
        <v>730</v>
      </c>
      <c r="G3380" s="5" t="s">
        <v>726</v>
      </c>
      <c r="H3380" s="6" t="s">
        <v>6208</v>
      </c>
      <c r="I3380" s="5" t="s">
        <v>722</v>
      </c>
      <c r="J3380" s="8">
        <f>723</f>
        <v>723</v>
      </c>
      <c r="K3380" s="5" t="s">
        <v>308</v>
      </c>
      <c r="L3380" s="7">
        <f>0</f>
        <v>0</v>
      </c>
      <c r="M3380" s="7">
        <f>0</f>
        <v>0</v>
      </c>
      <c r="N3380" s="5" t="s">
        <v>242</v>
      </c>
      <c r="O3380" s="5">
        <v>1</v>
      </c>
      <c r="P3380" s="5" t="s">
        <v>294</v>
      </c>
      <c r="Q3380" s="5" t="s">
        <v>266</v>
      </c>
      <c r="R3380" s="5" t="s">
        <v>240</v>
      </c>
      <c r="S3380" s="5" t="s">
        <v>240</v>
      </c>
      <c r="T3380" s="5" t="s">
        <v>296</v>
      </c>
      <c r="U3380" s="5" t="s">
        <v>244</v>
      </c>
      <c r="V3380" s="5" t="s">
        <v>240</v>
      </c>
      <c r="Y3380" s="5" t="s">
        <v>240</v>
      </c>
      <c r="Z3380" s="6" t="s">
        <v>298</v>
      </c>
      <c r="AB3380" s="6" t="s">
        <v>240</v>
      </c>
      <c r="AE3380" s="6" t="s">
        <v>299</v>
      </c>
      <c r="AF3380" s="5" t="s">
        <v>248</v>
      </c>
      <c r="AG3380" s="5" t="s">
        <v>249</v>
      </c>
      <c r="AW3380" s="5" t="s">
        <v>251</v>
      </c>
      <c r="AX3380" s="5" t="s">
        <v>240</v>
      </c>
      <c r="AY3380" s="5" t="s">
        <v>253</v>
      </c>
      <c r="AZ3380" s="5" t="s">
        <v>240</v>
      </c>
      <c r="BA3380" s="5" t="s">
        <v>255</v>
      </c>
      <c r="BB3380" s="5" t="s">
        <v>240</v>
      </c>
      <c r="BD3380" s="5" t="s">
        <v>240</v>
      </c>
      <c r="BF3380" s="5" t="s">
        <v>301</v>
      </c>
      <c r="BG3380" s="6" t="s">
        <v>299</v>
      </c>
      <c r="BH3380" s="5" t="s">
        <v>302</v>
      </c>
      <c r="BI3380" s="5" t="s">
        <v>303</v>
      </c>
      <c r="BJ3380" s="5" t="s">
        <v>240</v>
      </c>
      <c r="BK3380" s="8">
        <f>0</f>
        <v>0</v>
      </c>
      <c r="BL3380" s="7">
        <f>0</f>
        <v>0</v>
      </c>
      <c r="BM3380" s="5" t="s">
        <v>258</v>
      </c>
      <c r="BN3380" s="5" t="s">
        <v>259</v>
      </c>
      <c r="CB3380" s="5" t="s">
        <v>240</v>
      </c>
      <c r="CC3380" s="5" t="s">
        <v>240</v>
      </c>
      <c r="CG3380" s="5" t="s">
        <v>304</v>
      </c>
      <c r="CH3380" s="5" t="s">
        <v>305</v>
      </c>
      <c r="CI3380" s="5" t="s">
        <v>240</v>
      </c>
      <c r="CL3380" s="6" t="s">
        <v>261</v>
      </c>
      <c r="CM3380" s="5" t="s">
        <v>240</v>
      </c>
      <c r="CN3380" s="5" t="s">
        <v>263</v>
      </c>
      <c r="CO3380" s="5" t="s">
        <v>240</v>
      </c>
      <c r="CP3380" s="5" t="s">
        <v>240</v>
      </c>
      <c r="CQ3380" s="5">
        <v>0</v>
      </c>
      <c r="CR3380" s="5" t="s">
        <v>306</v>
      </c>
      <c r="CS3380" s="5" t="s">
        <v>307</v>
      </c>
      <c r="CT3380" s="5" t="s">
        <v>307</v>
      </c>
      <c r="CU3380" s="5" t="s">
        <v>260</v>
      </c>
      <c r="CX3380" s="7">
        <f>1</f>
        <v>1</v>
      </c>
      <c r="CY3380" s="7">
        <f>0</f>
        <v>0</v>
      </c>
      <c r="DA3380" s="7">
        <f>0</f>
        <v>0</v>
      </c>
      <c r="DC3380" s="5" t="s">
        <v>309</v>
      </c>
      <c r="DD3380" s="5" t="s">
        <v>240</v>
      </c>
      <c r="DF3380" s="5" t="s">
        <v>309</v>
      </c>
      <c r="DG3380" s="7">
        <f>1884</f>
        <v>1884</v>
      </c>
      <c r="DI3380" s="5" t="s">
        <v>240</v>
      </c>
      <c r="DJ3380" s="5" t="s">
        <v>240</v>
      </c>
      <c r="DK3380" s="5" t="s">
        <v>240</v>
      </c>
      <c r="DL3380" s="5" t="s">
        <v>240</v>
      </c>
      <c r="DP3380" s="5" t="s">
        <v>240</v>
      </c>
      <c r="DQ3380" s="5" t="s">
        <v>240</v>
      </c>
      <c r="DR3380" s="5" t="s">
        <v>240</v>
      </c>
      <c r="DS3380" s="5" t="s">
        <v>240</v>
      </c>
      <c r="DV3380" s="5" t="s">
        <v>310</v>
      </c>
      <c r="DW3380" s="5" t="s">
        <v>3592</v>
      </c>
      <c r="HO3380" s="5" t="s">
        <v>312</v>
      </c>
    </row>
    <row r="3381" spans="1:240" x14ac:dyDescent="0.4">
      <c r="A3381" s="5">
        <v>8923</v>
      </c>
      <c r="B3381" s="5">
        <v>1</v>
      </c>
      <c r="C3381" s="5">
        <v>1</v>
      </c>
      <c r="D3381" s="5" t="s">
        <v>723</v>
      </c>
      <c r="E3381" s="5" t="s">
        <v>725</v>
      </c>
      <c r="F3381" s="5" t="s">
        <v>730</v>
      </c>
      <c r="G3381" s="5" t="s">
        <v>726</v>
      </c>
      <c r="H3381" s="6" t="s">
        <v>6207</v>
      </c>
      <c r="I3381" s="5" t="s">
        <v>722</v>
      </c>
      <c r="J3381" s="8">
        <f>327.27</f>
        <v>327.27</v>
      </c>
      <c r="K3381" s="5" t="s">
        <v>308</v>
      </c>
      <c r="L3381" s="7">
        <f>0</f>
        <v>0</v>
      </c>
      <c r="M3381" s="7">
        <f>0</f>
        <v>0</v>
      </c>
      <c r="N3381" s="5" t="s">
        <v>242</v>
      </c>
      <c r="O3381" s="5">
        <v>1</v>
      </c>
      <c r="P3381" s="5" t="s">
        <v>294</v>
      </c>
      <c r="Q3381" s="5" t="s">
        <v>266</v>
      </c>
      <c r="R3381" s="5" t="s">
        <v>240</v>
      </c>
      <c r="S3381" s="5" t="s">
        <v>240</v>
      </c>
      <c r="T3381" s="5" t="s">
        <v>296</v>
      </c>
      <c r="U3381" s="5" t="s">
        <v>244</v>
      </c>
      <c r="V3381" s="5" t="s">
        <v>240</v>
      </c>
      <c r="Y3381" s="5" t="s">
        <v>240</v>
      </c>
      <c r="Z3381" s="6" t="s">
        <v>298</v>
      </c>
      <c r="AB3381" s="6" t="s">
        <v>240</v>
      </c>
      <c r="AE3381" s="6" t="s">
        <v>299</v>
      </c>
      <c r="AF3381" s="5" t="s">
        <v>248</v>
      </c>
      <c r="AG3381" s="5" t="s">
        <v>249</v>
      </c>
      <c r="AW3381" s="5" t="s">
        <v>251</v>
      </c>
      <c r="AX3381" s="5" t="s">
        <v>240</v>
      </c>
      <c r="AY3381" s="5" t="s">
        <v>253</v>
      </c>
      <c r="AZ3381" s="5" t="s">
        <v>240</v>
      </c>
      <c r="BA3381" s="5" t="s">
        <v>255</v>
      </c>
      <c r="BB3381" s="5" t="s">
        <v>240</v>
      </c>
      <c r="BD3381" s="5" t="s">
        <v>240</v>
      </c>
      <c r="BF3381" s="5" t="s">
        <v>301</v>
      </c>
      <c r="BG3381" s="6" t="s">
        <v>299</v>
      </c>
      <c r="BH3381" s="5" t="s">
        <v>302</v>
      </c>
      <c r="BI3381" s="5" t="s">
        <v>303</v>
      </c>
      <c r="BJ3381" s="5" t="s">
        <v>240</v>
      </c>
      <c r="BK3381" s="8">
        <f>0</f>
        <v>0</v>
      </c>
      <c r="BL3381" s="7">
        <f>0</f>
        <v>0</v>
      </c>
      <c r="BM3381" s="5" t="s">
        <v>258</v>
      </c>
      <c r="BN3381" s="5" t="s">
        <v>259</v>
      </c>
      <c r="CB3381" s="5" t="s">
        <v>240</v>
      </c>
      <c r="CC3381" s="5" t="s">
        <v>240</v>
      </c>
      <c r="CG3381" s="5" t="s">
        <v>304</v>
      </c>
      <c r="CH3381" s="5" t="s">
        <v>305</v>
      </c>
      <c r="CI3381" s="5" t="s">
        <v>240</v>
      </c>
      <c r="CL3381" s="6" t="s">
        <v>261</v>
      </c>
      <c r="CM3381" s="5" t="s">
        <v>240</v>
      </c>
      <c r="CN3381" s="5" t="s">
        <v>263</v>
      </c>
      <c r="CO3381" s="5" t="s">
        <v>240</v>
      </c>
      <c r="CP3381" s="5" t="s">
        <v>240</v>
      </c>
      <c r="CQ3381" s="5">
        <v>0</v>
      </c>
      <c r="CR3381" s="5" t="s">
        <v>306</v>
      </c>
      <c r="CS3381" s="5" t="s">
        <v>307</v>
      </c>
      <c r="CT3381" s="5" t="s">
        <v>307</v>
      </c>
      <c r="CU3381" s="5" t="s">
        <v>260</v>
      </c>
      <c r="CX3381" s="7">
        <f>1</f>
        <v>1</v>
      </c>
      <c r="CY3381" s="7">
        <f>0</f>
        <v>0</v>
      </c>
      <c r="DA3381" s="7">
        <f>0</f>
        <v>0</v>
      </c>
      <c r="DC3381" s="5" t="s">
        <v>309</v>
      </c>
      <c r="DD3381" s="5" t="s">
        <v>240</v>
      </c>
      <c r="DF3381" s="5" t="s">
        <v>309</v>
      </c>
      <c r="DG3381" s="7">
        <f>2746</f>
        <v>2746</v>
      </c>
      <c r="DI3381" s="5" t="s">
        <v>240</v>
      </c>
      <c r="DJ3381" s="5" t="s">
        <v>240</v>
      </c>
      <c r="DK3381" s="5" t="s">
        <v>240</v>
      </c>
      <c r="DL3381" s="5" t="s">
        <v>240</v>
      </c>
      <c r="DP3381" s="5" t="s">
        <v>240</v>
      </c>
      <c r="DQ3381" s="5" t="s">
        <v>240</v>
      </c>
      <c r="DR3381" s="5" t="s">
        <v>240</v>
      </c>
      <c r="DS3381" s="5" t="s">
        <v>240</v>
      </c>
      <c r="DV3381" s="5" t="s">
        <v>310</v>
      </c>
      <c r="DW3381" s="5" t="s">
        <v>3596</v>
      </c>
      <c r="HO3381" s="5" t="s">
        <v>312</v>
      </c>
    </row>
    <row r="3382" spans="1:240" x14ac:dyDescent="0.4">
      <c r="A3382" s="5">
        <v>8924</v>
      </c>
      <c r="B3382" s="5">
        <v>1</v>
      </c>
      <c r="C3382" s="5">
        <v>1</v>
      </c>
      <c r="D3382" s="5" t="s">
        <v>723</v>
      </c>
      <c r="E3382" s="5" t="s">
        <v>725</v>
      </c>
      <c r="F3382" s="5" t="s">
        <v>730</v>
      </c>
      <c r="G3382" s="5" t="s">
        <v>726</v>
      </c>
      <c r="H3382" s="6" t="s">
        <v>6206</v>
      </c>
      <c r="I3382" s="5" t="s">
        <v>722</v>
      </c>
      <c r="J3382" s="8">
        <f>767</f>
        <v>767</v>
      </c>
      <c r="K3382" s="5" t="s">
        <v>308</v>
      </c>
      <c r="L3382" s="7">
        <f>0</f>
        <v>0</v>
      </c>
      <c r="M3382" s="7">
        <f>0</f>
        <v>0</v>
      </c>
      <c r="N3382" s="5" t="s">
        <v>242</v>
      </c>
      <c r="O3382" s="5">
        <v>1</v>
      </c>
      <c r="P3382" s="5" t="s">
        <v>294</v>
      </c>
      <c r="Q3382" s="5" t="s">
        <v>266</v>
      </c>
      <c r="R3382" s="5" t="s">
        <v>240</v>
      </c>
      <c r="S3382" s="5" t="s">
        <v>240</v>
      </c>
      <c r="T3382" s="5" t="s">
        <v>296</v>
      </c>
      <c r="U3382" s="5" t="s">
        <v>244</v>
      </c>
      <c r="V3382" s="5" t="s">
        <v>240</v>
      </c>
      <c r="Y3382" s="5" t="s">
        <v>240</v>
      </c>
      <c r="Z3382" s="6" t="s">
        <v>298</v>
      </c>
      <c r="AB3382" s="6" t="s">
        <v>240</v>
      </c>
      <c r="AE3382" s="6" t="s">
        <v>299</v>
      </c>
      <c r="AF3382" s="5" t="s">
        <v>248</v>
      </c>
      <c r="AG3382" s="5" t="s">
        <v>249</v>
      </c>
      <c r="AW3382" s="5" t="s">
        <v>251</v>
      </c>
      <c r="AX3382" s="5" t="s">
        <v>240</v>
      </c>
      <c r="AY3382" s="5" t="s">
        <v>253</v>
      </c>
      <c r="AZ3382" s="5" t="s">
        <v>240</v>
      </c>
      <c r="BA3382" s="5" t="s">
        <v>255</v>
      </c>
      <c r="BB3382" s="5" t="s">
        <v>240</v>
      </c>
      <c r="BD3382" s="5" t="s">
        <v>240</v>
      </c>
      <c r="BF3382" s="5" t="s">
        <v>301</v>
      </c>
      <c r="BG3382" s="6" t="s">
        <v>299</v>
      </c>
      <c r="BH3382" s="5" t="s">
        <v>302</v>
      </c>
      <c r="BI3382" s="5" t="s">
        <v>303</v>
      </c>
      <c r="BJ3382" s="5" t="s">
        <v>240</v>
      </c>
      <c r="BK3382" s="8">
        <f>0</f>
        <v>0</v>
      </c>
      <c r="BL3382" s="7">
        <f>0</f>
        <v>0</v>
      </c>
      <c r="BM3382" s="5" t="s">
        <v>258</v>
      </c>
      <c r="BN3382" s="5" t="s">
        <v>259</v>
      </c>
      <c r="CB3382" s="5" t="s">
        <v>240</v>
      </c>
      <c r="CC3382" s="5" t="s">
        <v>240</v>
      </c>
      <c r="CG3382" s="5" t="s">
        <v>304</v>
      </c>
      <c r="CH3382" s="5" t="s">
        <v>305</v>
      </c>
      <c r="CI3382" s="5" t="s">
        <v>240</v>
      </c>
      <c r="CL3382" s="6" t="s">
        <v>261</v>
      </c>
      <c r="CM3382" s="5" t="s">
        <v>240</v>
      </c>
      <c r="CN3382" s="5" t="s">
        <v>263</v>
      </c>
      <c r="CO3382" s="5" t="s">
        <v>240</v>
      </c>
      <c r="CP3382" s="5" t="s">
        <v>240</v>
      </c>
      <c r="CQ3382" s="5">
        <v>0</v>
      </c>
      <c r="CR3382" s="5" t="s">
        <v>306</v>
      </c>
      <c r="CS3382" s="5" t="s">
        <v>307</v>
      </c>
      <c r="CT3382" s="5" t="s">
        <v>307</v>
      </c>
      <c r="CU3382" s="5" t="s">
        <v>260</v>
      </c>
      <c r="CX3382" s="7">
        <f>1</f>
        <v>1</v>
      </c>
      <c r="CY3382" s="7">
        <f>0</f>
        <v>0</v>
      </c>
      <c r="DA3382" s="7">
        <f>0</f>
        <v>0</v>
      </c>
      <c r="DC3382" s="5" t="s">
        <v>309</v>
      </c>
      <c r="DD3382" s="5" t="s">
        <v>240</v>
      </c>
      <c r="DF3382" s="5" t="s">
        <v>309</v>
      </c>
      <c r="DG3382" s="7">
        <f>1975</f>
        <v>1975</v>
      </c>
      <c r="DI3382" s="5" t="s">
        <v>240</v>
      </c>
      <c r="DJ3382" s="5" t="s">
        <v>240</v>
      </c>
      <c r="DK3382" s="5" t="s">
        <v>240</v>
      </c>
      <c r="DL3382" s="5" t="s">
        <v>240</v>
      </c>
      <c r="DP3382" s="5" t="s">
        <v>240</v>
      </c>
      <c r="DQ3382" s="5" t="s">
        <v>240</v>
      </c>
      <c r="DR3382" s="5" t="s">
        <v>240</v>
      </c>
      <c r="DS3382" s="5" t="s">
        <v>240</v>
      </c>
      <c r="DV3382" s="5" t="s">
        <v>310</v>
      </c>
      <c r="DW3382" s="5" t="s">
        <v>5020</v>
      </c>
      <c r="HO3382" s="5" t="s">
        <v>312</v>
      </c>
    </row>
    <row r="3383" spans="1:240" x14ac:dyDescent="0.4">
      <c r="A3383" s="5">
        <v>8925</v>
      </c>
      <c r="B3383" s="5">
        <v>1</v>
      </c>
      <c r="C3383" s="5">
        <v>1</v>
      </c>
      <c r="D3383" s="5" t="s">
        <v>723</v>
      </c>
      <c r="E3383" s="5" t="s">
        <v>725</v>
      </c>
      <c r="F3383" s="5" t="s">
        <v>730</v>
      </c>
      <c r="G3383" s="5" t="s">
        <v>726</v>
      </c>
      <c r="H3383" s="6" t="s">
        <v>6205</v>
      </c>
      <c r="I3383" s="5" t="s">
        <v>990</v>
      </c>
      <c r="J3383" s="8">
        <f>83.8</f>
        <v>83.8</v>
      </c>
      <c r="K3383" s="5" t="s">
        <v>308</v>
      </c>
      <c r="L3383" s="7">
        <f>0</f>
        <v>0</v>
      </c>
      <c r="M3383" s="7">
        <f>0</f>
        <v>0</v>
      </c>
      <c r="N3383" s="5" t="s">
        <v>242</v>
      </c>
      <c r="O3383" s="5">
        <v>1</v>
      </c>
      <c r="P3383" s="5" t="s">
        <v>294</v>
      </c>
      <c r="Q3383" s="5" t="s">
        <v>3678</v>
      </c>
      <c r="R3383" s="5" t="s">
        <v>240</v>
      </c>
      <c r="S3383" s="5" t="s">
        <v>240</v>
      </c>
      <c r="T3383" s="5" t="s">
        <v>243</v>
      </c>
      <c r="U3383" s="5" t="s">
        <v>244</v>
      </c>
      <c r="V3383" s="5" t="s">
        <v>240</v>
      </c>
      <c r="W3383" s="5" t="s">
        <v>240</v>
      </c>
      <c r="X3383" s="5" t="s">
        <v>240</v>
      </c>
      <c r="Y3383" s="5" t="s">
        <v>240</v>
      </c>
      <c r="Z3383" s="6" t="s">
        <v>298</v>
      </c>
      <c r="AA3383" s="6" t="s">
        <v>240</v>
      </c>
      <c r="AB3383" s="6" t="s">
        <v>240</v>
      </c>
      <c r="AC3383" s="5" t="s">
        <v>240</v>
      </c>
      <c r="AD3383" s="6" t="s">
        <v>240</v>
      </c>
      <c r="AE3383" s="6" t="s">
        <v>299</v>
      </c>
      <c r="AF3383" s="5" t="s">
        <v>248</v>
      </c>
      <c r="AG3383" s="5" t="s">
        <v>249</v>
      </c>
      <c r="AH3383" s="5" t="s">
        <v>240</v>
      </c>
      <c r="AI3383" s="5" t="s">
        <v>240</v>
      </c>
      <c r="AJ3383" s="5" t="s">
        <v>240</v>
      </c>
      <c r="AK3383" s="5" t="s">
        <v>240</v>
      </c>
      <c r="AL3383" s="5" t="s">
        <v>240</v>
      </c>
      <c r="AM3383" s="5" t="s">
        <v>240</v>
      </c>
      <c r="AN3383" s="5" t="s">
        <v>240</v>
      </c>
      <c r="AO3383" s="5" t="s">
        <v>240</v>
      </c>
      <c r="AP3383" s="6" t="s">
        <v>240</v>
      </c>
      <c r="AQ3383" s="6" t="s">
        <v>240</v>
      </c>
      <c r="AR3383" s="6" t="s">
        <v>240</v>
      </c>
      <c r="AS3383" s="6" t="s">
        <v>240</v>
      </c>
      <c r="AT3383" s="5" t="s">
        <v>240</v>
      </c>
      <c r="AU3383" s="5" t="s">
        <v>729</v>
      </c>
      <c r="AV3383" s="5" t="s">
        <v>729</v>
      </c>
      <c r="AW3383" s="5" t="s">
        <v>251</v>
      </c>
      <c r="AX3383" s="5" t="s">
        <v>252</v>
      </c>
      <c r="AY3383" s="5" t="s">
        <v>253</v>
      </c>
      <c r="AZ3383" s="5" t="s">
        <v>240</v>
      </c>
      <c r="BA3383" s="5" t="s">
        <v>255</v>
      </c>
      <c r="BB3383" s="5" t="s">
        <v>731</v>
      </c>
      <c r="BD3383" s="5" t="s">
        <v>240</v>
      </c>
      <c r="BF3383" s="5" t="s">
        <v>732</v>
      </c>
      <c r="BG3383" s="6" t="s">
        <v>733</v>
      </c>
      <c r="BH3383" s="5" t="s">
        <v>734</v>
      </c>
      <c r="BI3383" s="5" t="s">
        <v>734</v>
      </c>
      <c r="BJ3383" s="5" t="s">
        <v>240</v>
      </c>
      <c r="BK3383" s="7">
        <f>1</f>
        <v>1</v>
      </c>
      <c r="BL3383" s="7">
        <f>1</f>
        <v>1</v>
      </c>
      <c r="BM3383" s="5" t="s">
        <v>258</v>
      </c>
      <c r="BN3383" s="5" t="s">
        <v>259</v>
      </c>
      <c r="BO3383" s="5" t="s">
        <v>240</v>
      </c>
      <c r="BP3383" s="5" t="s">
        <v>240</v>
      </c>
      <c r="BQ3383" s="5" t="s">
        <v>240</v>
      </c>
      <c r="BR3383" s="5" t="s">
        <v>240</v>
      </c>
      <c r="BS3383" s="5" t="s">
        <v>240</v>
      </c>
      <c r="BT3383" s="5" t="s">
        <v>240</v>
      </c>
      <c r="BU3383" s="5" t="s">
        <v>240</v>
      </c>
      <c r="BV3383" s="5" t="s">
        <v>240</v>
      </c>
      <c r="BW3383" s="6" t="s">
        <v>240</v>
      </c>
      <c r="BX3383" s="5" t="s">
        <v>240</v>
      </c>
      <c r="BY3383" s="5" t="s">
        <v>240</v>
      </c>
      <c r="BZ3383" s="5" t="s">
        <v>240</v>
      </c>
      <c r="CA3383" s="5" t="s">
        <v>259</v>
      </c>
      <c r="CB3383" s="5" t="s">
        <v>240</v>
      </c>
      <c r="CC3383" s="5" t="s">
        <v>240</v>
      </c>
      <c r="CD3383" s="5" t="s">
        <v>240</v>
      </c>
      <c r="CE3383" s="5" t="s">
        <v>240</v>
      </c>
      <c r="CF3383" s="5" t="s">
        <v>240</v>
      </c>
      <c r="CG3383" s="5" t="s">
        <v>304</v>
      </c>
      <c r="CH3383" s="5" t="s">
        <v>305</v>
      </c>
      <c r="CI3383" s="5" t="s">
        <v>240</v>
      </c>
      <c r="CK3383" s="5" t="s">
        <v>3681</v>
      </c>
      <c r="CL3383" s="6" t="s">
        <v>261</v>
      </c>
      <c r="CM3383" s="5" t="s">
        <v>262</v>
      </c>
      <c r="CN3383" s="5" t="s">
        <v>263</v>
      </c>
      <c r="CO3383" s="5" t="s">
        <v>264</v>
      </c>
      <c r="CP3383" s="5" t="s">
        <v>240</v>
      </c>
      <c r="CQ3383" s="5">
        <v>0</v>
      </c>
      <c r="CR3383" s="5" t="s">
        <v>735</v>
      </c>
      <c r="CS3383" s="5" t="s">
        <v>307</v>
      </c>
      <c r="CT3383" s="5" t="s">
        <v>307</v>
      </c>
      <c r="CU3383" s="5" t="s">
        <v>260</v>
      </c>
      <c r="CV3383" s="5" t="s">
        <v>612</v>
      </c>
      <c r="CW3383" s="8">
        <f>1</f>
        <v>1</v>
      </c>
      <c r="CX3383" s="7">
        <f>1</f>
        <v>1</v>
      </c>
      <c r="CY3383" s="7">
        <f>0</f>
        <v>0</v>
      </c>
      <c r="DA3383" s="7">
        <f>1</f>
        <v>1</v>
      </c>
      <c r="DB3383" s="7" t="s">
        <v>240</v>
      </c>
      <c r="DC3383" s="5" t="s">
        <v>240</v>
      </c>
      <c r="DD3383" s="5" t="s">
        <v>240</v>
      </c>
      <c r="DE3383" s="5" t="s">
        <v>240</v>
      </c>
      <c r="DF3383" s="5" t="s">
        <v>240</v>
      </c>
      <c r="DG3383" s="7">
        <f>0</f>
        <v>0</v>
      </c>
      <c r="DI3383" s="5" t="s">
        <v>240</v>
      </c>
      <c r="DJ3383" s="5" t="s">
        <v>240</v>
      </c>
      <c r="DK3383" s="5" t="s">
        <v>240</v>
      </c>
      <c r="DL3383" s="5" t="s">
        <v>240</v>
      </c>
      <c r="DM3383" s="5" t="s">
        <v>240</v>
      </c>
      <c r="DN3383" s="5" t="s">
        <v>240</v>
      </c>
      <c r="DO3383" s="7" t="s">
        <v>240</v>
      </c>
      <c r="DP3383" s="5" t="s">
        <v>240</v>
      </c>
      <c r="DQ3383" s="5" t="s">
        <v>240</v>
      </c>
      <c r="DR3383" s="5" t="s">
        <v>731</v>
      </c>
      <c r="DS3383" s="5" t="s">
        <v>731</v>
      </c>
      <c r="DT3383" s="5" t="s">
        <v>240</v>
      </c>
      <c r="DU3383" s="5" t="s">
        <v>240</v>
      </c>
      <c r="DV3383" s="5" t="s">
        <v>5063</v>
      </c>
      <c r="DW3383" s="5" t="s">
        <v>795</v>
      </c>
      <c r="DX3383" s="5" t="s">
        <v>240</v>
      </c>
      <c r="DY3383" s="5" t="s">
        <v>240</v>
      </c>
      <c r="DZ3383" s="5" t="s">
        <v>240</v>
      </c>
      <c r="EA3383" s="5" t="s">
        <v>240</v>
      </c>
      <c r="EB3383" s="5" t="s">
        <v>240</v>
      </c>
      <c r="EC3383" s="5" t="s">
        <v>240</v>
      </c>
      <c r="ED3383" s="5" t="s">
        <v>240</v>
      </c>
      <c r="EE3383" s="5" t="s">
        <v>240</v>
      </c>
      <c r="EF3383" s="5" t="s">
        <v>240</v>
      </c>
      <c r="EG3383" s="5" t="s">
        <v>240</v>
      </c>
      <c r="EH3383" s="5" t="s">
        <v>240</v>
      </c>
      <c r="EI3383" s="5" t="s">
        <v>240</v>
      </c>
      <c r="EJ3383" s="5" t="s">
        <v>240</v>
      </c>
      <c r="EK3383" s="5" t="s">
        <v>240</v>
      </c>
      <c r="EL3383" s="5" t="s">
        <v>240</v>
      </c>
      <c r="EM3383" s="5" t="s">
        <v>240</v>
      </c>
      <c r="EN3383" s="5" t="s">
        <v>240</v>
      </c>
      <c r="EO3383" s="5" t="s">
        <v>240</v>
      </c>
      <c r="EP3383" s="5" t="s">
        <v>240</v>
      </c>
      <c r="EQ3383" s="5" t="s">
        <v>240</v>
      </c>
      <c r="ER3383" s="5" t="s">
        <v>240</v>
      </c>
      <c r="ES3383" s="5" t="s">
        <v>240</v>
      </c>
      <c r="ET3383" s="5" t="s">
        <v>240</v>
      </c>
      <c r="EU3383" s="5" t="s">
        <v>240</v>
      </c>
      <c r="EV3383" s="5" t="s">
        <v>240</v>
      </c>
      <c r="EW3383" s="5" t="s">
        <v>240</v>
      </c>
      <c r="EX3383" s="5" t="s">
        <v>240</v>
      </c>
      <c r="EY3383" s="5" t="s">
        <v>240</v>
      </c>
      <c r="EZ3383" s="5" t="s">
        <v>240</v>
      </c>
      <c r="FA3383" s="5" t="s">
        <v>240</v>
      </c>
      <c r="FB3383" s="5" t="s">
        <v>240</v>
      </c>
      <c r="FC3383" s="5" t="s">
        <v>240</v>
      </c>
      <c r="FD3383" s="5" t="s">
        <v>240</v>
      </c>
      <c r="FE3383" s="5" t="s">
        <v>240</v>
      </c>
      <c r="FF3383" s="5" t="s">
        <v>240</v>
      </c>
      <c r="FG3383" s="5" t="s">
        <v>240</v>
      </c>
      <c r="FH3383" s="5" t="s">
        <v>240</v>
      </c>
      <c r="FI3383" s="5" t="s">
        <v>240</v>
      </c>
      <c r="FJ3383" s="5" t="s">
        <v>240</v>
      </c>
      <c r="FK3383" s="5" t="s">
        <v>240</v>
      </c>
      <c r="FL3383" s="5" t="s">
        <v>240</v>
      </c>
      <c r="FM3383" s="5" t="s">
        <v>240</v>
      </c>
      <c r="FN3383" s="5" t="s">
        <v>240</v>
      </c>
      <c r="FO3383" s="5" t="s">
        <v>240</v>
      </c>
      <c r="FP3383" s="5" t="s">
        <v>240</v>
      </c>
      <c r="FQ3383" s="5" t="s">
        <v>240</v>
      </c>
      <c r="FR3383" s="5" t="s">
        <v>240</v>
      </c>
      <c r="FS3383" s="5" t="s">
        <v>240</v>
      </c>
      <c r="FT3383" s="5" t="s">
        <v>240</v>
      </c>
      <c r="FU3383" s="5" t="s">
        <v>240</v>
      </c>
      <c r="FV3383" s="5" t="s">
        <v>240</v>
      </c>
      <c r="FW3383" s="5" t="s">
        <v>240</v>
      </c>
      <c r="FX3383" s="5" t="s">
        <v>240</v>
      </c>
      <c r="FY3383" s="5" t="s">
        <v>240</v>
      </c>
      <c r="FZ3383" s="5" t="s">
        <v>240</v>
      </c>
      <c r="GA3383" s="5" t="s">
        <v>240</v>
      </c>
      <c r="GB3383" s="5" t="s">
        <v>240</v>
      </c>
      <c r="GC3383" s="5" t="s">
        <v>240</v>
      </c>
      <c r="GD3383" s="5" t="s">
        <v>240</v>
      </c>
      <c r="GE3383" s="5" t="s">
        <v>240</v>
      </c>
      <c r="GF3383" s="5" t="s">
        <v>240</v>
      </c>
      <c r="GG3383" s="5" t="s">
        <v>240</v>
      </c>
      <c r="GH3383" s="5" t="s">
        <v>240</v>
      </c>
      <c r="GI3383" s="5" t="s">
        <v>240</v>
      </c>
      <c r="GJ3383" s="5" t="s">
        <v>240</v>
      </c>
      <c r="GK3383" s="5" t="s">
        <v>240</v>
      </c>
      <c r="GL3383" s="5" t="s">
        <v>240</v>
      </c>
      <c r="GM3383" s="5" t="s">
        <v>240</v>
      </c>
      <c r="GN3383" s="5" t="s">
        <v>240</v>
      </c>
      <c r="GO3383" s="5" t="s">
        <v>240</v>
      </c>
      <c r="GP3383" s="5" t="s">
        <v>240</v>
      </c>
      <c r="GQ3383" s="5" t="s">
        <v>240</v>
      </c>
      <c r="GR3383" s="5" t="s">
        <v>240</v>
      </c>
      <c r="GS3383" s="5" t="s">
        <v>240</v>
      </c>
      <c r="GT3383" s="5" t="s">
        <v>240</v>
      </c>
      <c r="GU3383" s="5" t="s">
        <v>240</v>
      </c>
      <c r="GV3383" s="5" t="s">
        <v>240</v>
      </c>
      <c r="GW3383" s="5" t="s">
        <v>240</v>
      </c>
      <c r="GX3383" s="5" t="s">
        <v>240</v>
      </c>
      <c r="GY3383" s="5" t="s">
        <v>240</v>
      </c>
      <c r="GZ3383" s="5" t="s">
        <v>240</v>
      </c>
      <c r="HA3383" s="5" t="s">
        <v>240</v>
      </c>
      <c r="HB3383" s="5" t="s">
        <v>240</v>
      </c>
      <c r="HC3383" s="5" t="s">
        <v>240</v>
      </c>
      <c r="HD3383" s="5" t="s">
        <v>240</v>
      </c>
      <c r="HE3383" s="5" t="s">
        <v>240</v>
      </c>
      <c r="HF3383" s="5" t="s">
        <v>240</v>
      </c>
      <c r="HG3383" s="5" t="s">
        <v>240</v>
      </c>
      <c r="HH3383" s="5" t="s">
        <v>240</v>
      </c>
      <c r="HI3383" s="5" t="s">
        <v>240</v>
      </c>
      <c r="HJ3383" s="5" t="s">
        <v>240</v>
      </c>
      <c r="HK3383" s="5" t="s">
        <v>240</v>
      </c>
      <c r="HL3383" s="5" t="s">
        <v>240</v>
      </c>
      <c r="HM3383" s="5" t="s">
        <v>240</v>
      </c>
      <c r="HN3383" s="5" t="s">
        <v>240</v>
      </c>
      <c r="HO3383" s="5" t="s">
        <v>312</v>
      </c>
      <c r="HP3383" s="5" t="s">
        <v>240</v>
      </c>
      <c r="HQ3383" s="5" t="s">
        <v>240</v>
      </c>
      <c r="HR3383" s="5" t="s">
        <v>240</v>
      </c>
      <c r="HS3383" s="5" t="s">
        <v>240</v>
      </c>
      <c r="HT3383" s="5" t="s">
        <v>240</v>
      </c>
      <c r="HU3383" s="5" t="s">
        <v>240</v>
      </c>
      <c r="HV3383" s="5" t="s">
        <v>240</v>
      </c>
      <c r="HW3383" s="5" t="s">
        <v>240</v>
      </c>
      <c r="HX3383" s="5" t="s">
        <v>240</v>
      </c>
      <c r="HY3383" s="5" t="s">
        <v>240</v>
      </c>
      <c r="HZ3383" s="5" t="s">
        <v>240</v>
      </c>
      <c r="IA3383" s="5" t="s">
        <v>240</v>
      </c>
      <c r="IB3383" s="5" t="s">
        <v>240</v>
      </c>
      <c r="IC3383" s="5" t="s">
        <v>240</v>
      </c>
      <c r="ID3383" s="5" t="s">
        <v>240</v>
      </c>
      <c r="IE3383" s="5" t="s">
        <v>240</v>
      </c>
      <c r="IF3383" s="5" t="s">
        <v>240</v>
      </c>
    </row>
    <row r="3384" spans="1:240" x14ac:dyDescent="0.4">
      <c r="A3384" s="5">
        <v>8926</v>
      </c>
      <c r="B3384" s="5">
        <v>1</v>
      </c>
      <c r="C3384" s="5">
        <v>1</v>
      </c>
      <c r="D3384" s="5" t="s">
        <v>723</v>
      </c>
      <c r="E3384" s="5" t="s">
        <v>725</v>
      </c>
      <c r="F3384" s="5" t="s">
        <v>730</v>
      </c>
      <c r="G3384" s="5" t="s">
        <v>726</v>
      </c>
      <c r="H3384" s="6" t="s">
        <v>6204</v>
      </c>
      <c r="I3384" s="5" t="s">
        <v>722</v>
      </c>
      <c r="J3384" s="8">
        <f>1439</f>
        <v>1439</v>
      </c>
      <c r="K3384" s="5" t="s">
        <v>308</v>
      </c>
      <c r="L3384" s="7">
        <f>0</f>
        <v>0</v>
      </c>
      <c r="M3384" s="7">
        <f>0</f>
        <v>0</v>
      </c>
      <c r="N3384" s="5" t="s">
        <v>242</v>
      </c>
      <c r="O3384" s="5">
        <v>1</v>
      </c>
      <c r="P3384" s="5" t="s">
        <v>294</v>
      </c>
      <c r="Q3384" s="5" t="s">
        <v>3678</v>
      </c>
      <c r="R3384" s="5" t="s">
        <v>240</v>
      </c>
      <c r="S3384" s="5" t="s">
        <v>240</v>
      </c>
      <c r="T3384" s="5" t="s">
        <v>243</v>
      </c>
      <c r="U3384" s="5" t="s">
        <v>244</v>
      </c>
      <c r="V3384" s="5" t="s">
        <v>240</v>
      </c>
      <c r="W3384" s="5" t="s">
        <v>240</v>
      </c>
      <c r="X3384" s="5" t="s">
        <v>240</v>
      </c>
      <c r="Y3384" s="5" t="s">
        <v>240</v>
      </c>
      <c r="Z3384" s="6" t="s">
        <v>298</v>
      </c>
      <c r="AA3384" s="6" t="s">
        <v>240</v>
      </c>
      <c r="AB3384" s="6" t="s">
        <v>240</v>
      </c>
      <c r="AC3384" s="5" t="s">
        <v>240</v>
      </c>
      <c r="AD3384" s="6" t="s">
        <v>240</v>
      </c>
      <c r="AE3384" s="6" t="s">
        <v>299</v>
      </c>
      <c r="AF3384" s="5" t="s">
        <v>248</v>
      </c>
      <c r="AG3384" s="5" t="s">
        <v>249</v>
      </c>
      <c r="AH3384" s="5" t="s">
        <v>240</v>
      </c>
      <c r="AI3384" s="5" t="s">
        <v>240</v>
      </c>
      <c r="AJ3384" s="5" t="s">
        <v>240</v>
      </c>
      <c r="AK3384" s="5" t="s">
        <v>240</v>
      </c>
      <c r="AL3384" s="5" t="s">
        <v>240</v>
      </c>
      <c r="AM3384" s="5" t="s">
        <v>240</v>
      </c>
      <c r="AN3384" s="5" t="s">
        <v>240</v>
      </c>
      <c r="AO3384" s="5" t="s">
        <v>240</v>
      </c>
      <c r="AP3384" s="6" t="s">
        <v>240</v>
      </c>
      <c r="AQ3384" s="6" t="s">
        <v>240</v>
      </c>
      <c r="AR3384" s="6" t="s">
        <v>240</v>
      </c>
      <c r="AS3384" s="6" t="s">
        <v>240</v>
      </c>
      <c r="AT3384" s="5" t="s">
        <v>240</v>
      </c>
      <c r="AU3384" s="5" t="s">
        <v>729</v>
      </c>
      <c r="AV3384" s="5" t="s">
        <v>729</v>
      </c>
      <c r="AW3384" s="5" t="s">
        <v>251</v>
      </c>
      <c r="AX3384" s="5" t="s">
        <v>252</v>
      </c>
      <c r="AY3384" s="5" t="s">
        <v>253</v>
      </c>
      <c r="AZ3384" s="5" t="s">
        <v>240</v>
      </c>
      <c r="BA3384" s="5" t="s">
        <v>255</v>
      </c>
      <c r="BB3384" s="5" t="s">
        <v>731</v>
      </c>
      <c r="BD3384" s="5" t="s">
        <v>240</v>
      </c>
      <c r="BF3384" s="5" t="s">
        <v>732</v>
      </c>
      <c r="BG3384" s="6" t="s">
        <v>733</v>
      </c>
      <c r="BH3384" s="5" t="s">
        <v>734</v>
      </c>
      <c r="BI3384" s="5" t="s">
        <v>734</v>
      </c>
      <c r="BJ3384" s="5" t="s">
        <v>240</v>
      </c>
      <c r="BK3384" s="7">
        <f>1</f>
        <v>1</v>
      </c>
      <c r="BL3384" s="7">
        <f>1</f>
        <v>1</v>
      </c>
      <c r="BM3384" s="5" t="s">
        <v>258</v>
      </c>
      <c r="BN3384" s="5" t="s">
        <v>259</v>
      </c>
      <c r="BO3384" s="5" t="s">
        <v>240</v>
      </c>
      <c r="BP3384" s="5" t="s">
        <v>240</v>
      </c>
      <c r="BQ3384" s="5" t="s">
        <v>240</v>
      </c>
      <c r="BR3384" s="5" t="s">
        <v>240</v>
      </c>
      <c r="BS3384" s="5" t="s">
        <v>240</v>
      </c>
      <c r="BT3384" s="5" t="s">
        <v>240</v>
      </c>
      <c r="BU3384" s="5" t="s">
        <v>240</v>
      </c>
      <c r="BV3384" s="5" t="s">
        <v>240</v>
      </c>
      <c r="BW3384" s="6" t="s">
        <v>240</v>
      </c>
      <c r="BX3384" s="5" t="s">
        <v>240</v>
      </c>
      <c r="BY3384" s="5" t="s">
        <v>240</v>
      </c>
      <c r="BZ3384" s="5" t="s">
        <v>240</v>
      </c>
      <c r="CA3384" s="5" t="s">
        <v>259</v>
      </c>
      <c r="CB3384" s="5" t="s">
        <v>240</v>
      </c>
      <c r="CC3384" s="5" t="s">
        <v>240</v>
      </c>
      <c r="CD3384" s="5" t="s">
        <v>240</v>
      </c>
      <c r="CE3384" s="5" t="s">
        <v>240</v>
      </c>
      <c r="CF3384" s="5" t="s">
        <v>240</v>
      </c>
      <c r="CG3384" s="5" t="s">
        <v>304</v>
      </c>
      <c r="CH3384" s="5" t="s">
        <v>305</v>
      </c>
      <c r="CI3384" s="5" t="s">
        <v>240</v>
      </c>
      <c r="CK3384" s="5" t="s">
        <v>3681</v>
      </c>
      <c r="CL3384" s="6" t="s">
        <v>261</v>
      </c>
      <c r="CM3384" s="5" t="s">
        <v>262</v>
      </c>
      <c r="CN3384" s="5" t="s">
        <v>263</v>
      </c>
      <c r="CO3384" s="5" t="s">
        <v>264</v>
      </c>
      <c r="CP3384" s="5" t="s">
        <v>240</v>
      </c>
      <c r="CQ3384" s="5">
        <v>0</v>
      </c>
      <c r="CR3384" s="5" t="s">
        <v>735</v>
      </c>
      <c r="CS3384" s="5" t="s">
        <v>307</v>
      </c>
      <c r="CT3384" s="5" t="s">
        <v>307</v>
      </c>
      <c r="CU3384" s="5" t="s">
        <v>260</v>
      </c>
      <c r="CV3384" s="5" t="s">
        <v>612</v>
      </c>
      <c r="CW3384" s="8">
        <f>1</f>
        <v>1</v>
      </c>
      <c r="CX3384" s="7">
        <f>1</f>
        <v>1</v>
      </c>
      <c r="CY3384" s="7">
        <f>0</f>
        <v>0</v>
      </c>
      <c r="DA3384" s="7">
        <f>1</f>
        <v>1</v>
      </c>
      <c r="DB3384" s="7" t="s">
        <v>240</v>
      </c>
      <c r="DC3384" s="5" t="s">
        <v>240</v>
      </c>
      <c r="DD3384" s="5" t="s">
        <v>240</v>
      </c>
      <c r="DE3384" s="5" t="s">
        <v>240</v>
      </c>
      <c r="DF3384" s="5" t="s">
        <v>240</v>
      </c>
      <c r="DG3384" s="7">
        <f>0</f>
        <v>0</v>
      </c>
      <c r="DI3384" s="5" t="s">
        <v>240</v>
      </c>
      <c r="DJ3384" s="5" t="s">
        <v>240</v>
      </c>
      <c r="DK3384" s="5" t="s">
        <v>240</v>
      </c>
      <c r="DL3384" s="5" t="s">
        <v>240</v>
      </c>
      <c r="DM3384" s="5" t="s">
        <v>240</v>
      </c>
      <c r="DN3384" s="5" t="s">
        <v>240</v>
      </c>
      <c r="DO3384" s="7" t="s">
        <v>240</v>
      </c>
      <c r="DP3384" s="5" t="s">
        <v>240</v>
      </c>
      <c r="DQ3384" s="5" t="s">
        <v>240</v>
      </c>
      <c r="DR3384" s="5" t="s">
        <v>731</v>
      </c>
      <c r="DS3384" s="5" t="s">
        <v>731</v>
      </c>
      <c r="DT3384" s="5" t="s">
        <v>240</v>
      </c>
      <c r="DU3384" s="5" t="s">
        <v>240</v>
      </c>
      <c r="DV3384" s="5" t="s">
        <v>5063</v>
      </c>
      <c r="DW3384" s="5" t="s">
        <v>668</v>
      </c>
      <c r="DX3384" s="5" t="s">
        <v>240</v>
      </c>
      <c r="DY3384" s="5" t="s">
        <v>240</v>
      </c>
      <c r="DZ3384" s="5" t="s">
        <v>240</v>
      </c>
      <c r="EA3384" s="5" t="s">
        <v>240</v>
      </c>
      <c r="EB3384" s="5" t="s">
        <v>240</v>
      </c>
      <c r="EC3384" s="5" t="s">
        <v>240</v>
      </c>
      <c r="ED3384" s="5" t="s">
        <v>240</v>
      </c>
      <c r="EE3384" s="5" t="s">
        <v>240</v>
      </c>
      <c r="EF3384" s="5" t="s">
        <v>240</v>
      </c>
      <c r="EG3384" s="5" t="s">
        <v>240</v>
      </c>
      <c r="EH3384" s="5" t="s">
        <v>240</v>
      </c>
      <c r="EI3384" s="5" t="s">
        <v>240</v>
      </c>
      <c r="EJ3384" s="5" t="s">
        <v>240</v>
      </c>
      <c r="EK3384" s="5" t="s">
        <v>240</v>
      </c>
      <c r="EL3384" s="5" t="s">
        <v>240</v>
      </c>
      <c r="EM3384" s="5" t="s">
        <v>240</v>
      </c>
      <c r="EN3384" s="5" t="s">
        <v>240</v>
      </c>
      <c r="EO3384" s="5" t="s">
        <v>240</v>
      </c>
      <c r="EP3384" s="5" t="s">
        <v>240</v>
      </c>
      <c r="EQ3384" s="5" t="s">
        <v>240</v>
      </c>
      <c r="ER3384" s="5" t="s">
        <v>240</v>
      </c>
      <c r="ES3384" s="5" t="s">
        <v>240</v>
      </c>
      <c r="ET3384" s="5" t="s">
        <v>240</v>
      </c>
      <c r="EU3384" s="5" t="s">
        <v>240</v>
      </c>
      <c r="EV3384" s="5" t="s">
        <v>240</v>
      </c>
      <c r="EW3384" s="5" t="s">
        <v>240</v>
      </c>
      <c r="EX3384" s="5" t="s">
        <v>240</v>
      </c>
      <c r="EY3384" s="5" t="s">
        <v>240</v>
      </c>
      <c r="EZ3384" s="5" t="s">
        <v>240</v>
      </c>
      <c r="FA3384" s="5" t="s">
        <v>240</v>
      </c>
      <c r="FB3384" s="5" t="s">
        <v>240</v>
      </c>
      <c r="FC3384" s="5" t="s">
        <v>240</v>
      </c>
      <c r="FD3384" s="5" t="s">
        <v>240</v>
      </c>
      <c r="FE3384" s="5" t="s">
        <v>240</v>
      </c>
      <c r="FF3384" s="5" t="s">
        <v>240</v>
      </c>
      <c r="FG3384" s="5" t="s">
        <v>240</v>
      </c>
      <c r="FH3384" s="5" t="s">
        <v>240</v>
      </c>
      <c r="FI3384" s="5" t="s">
        <v>240</v>
      </c>
      <c r="FJ3384" s="5" t="s">
        <v>240</v>
      </c>
      <c r="FK3384" s="5" t="s">
        <v>240</v>
      </c>
      <c r="FL3384" s="5" t="s">
        <v>240</v>
      </c>
      <c r="FM3384" s="5" t="s">
        <v>240</v>
      </c>
      <c r="FN3384" s="5" t="s">
        <v>240</v>
      </c>
      <c r="FO3384" s="5" t="s">
        <v>240</v>
      </c>
      <c r="FP3384" s="5" t="s">
        <v>240</v>
      </c>
      <c r="FQ3384" s="5" t="s">
        <v>240</v>
      </c>
      <c r="FR3384" s="5" t="s">
        <v>240</v>
      </c>
      <c r="FS3384" s="5" t="s">
        <v>240</v>
      </c>
      <c r="FT3384" s="5" t="s">
        <v>240</v>
      </c>
      <c r="FU3384" s="5" t="s">
        <v>240</v>
      </c>
      <c r="FV3384" s="5" t="s">
        <v>240</v>
      </c>
      <c r="FW3384" s="5" t="s">
        <v>240</v>
      </c>
      <c r="FX3384" s="5" t="s">
        <v>240</v>
      </c>
      <c r="FY3384" s="5" t="s">
        <v>240</v>
      </c>
      <c r="FZ3384" s="5" t="s">
        <v>240</v>
      </c>
      <c r="GA3384" s="5" t="s">
        <v>240</v>
      </c>
      <c r="GB3384" s="5" t="s">
        <v>240</v>
      </c>
      <c r="GC3384" s="5" t="s">
        <v>240</v>
      </c>
      <c r="GD3384" s="5" t="s">
        <v>240</v>
      </c>
      <c r="GE3384" s="5" t="s">
        <v>240</v>
      </c>
      <c r="GF3384" s="5" t="s">
        <v>240</v>
      </c>
      <c r="GG3384" s="5" t="s">
        <v>240</v>
      </c>
      <c r="GH3384" s="5" t="s">
        <v>240</v>
      </c>
      <c r="GI3384" s="5" t="s">
        <v>240</v>
      </c>
      <c r="GJ3384" s="5" t="s">
        <v>240</v>
      </c>
      <c r="GK3384" s="5" t="s">
        <v>240</v>
      </c>
      <c r="GL3384" s="5" t="s">
        <v>240</v>
      </c>
      <c r="GM3384" s="5" t="s">
        <v>240</v>
      </c>
      <c r="GN3384" s="5" t="s">
        <v>240</v>
      </c>
      <c r="GO3384" s="5" t="s">
        <v>240</v>
      </c>
      <c r="GP3384" s="5" t="s">
        <v>240</v>
      </c>
      <c r="GQ3384" s="5" t="s">
        <v>240</v>
      </c>
      <c r="GR3384" s="5" t="s">
        <v>240</v>
      </c>
      <c r="GS3384" s="5" t="s">
        <v>240</v>
      </c>
      <c r="GT3384" s="5" t="s">
        <v>240</v>
      </c>
      <c r="GU3384" s="5" t="s">
        <v>240</v>
      </c>
      <c r="GV3384" s="5" t="s">
        <v>240</v>
      </c>
      <c r="GW3384" s="5" t="s">
        <v>240</v>
      </c>
      <c r="GX3384" s="5" t="s">
        <v>240</v>
      </c>
      <c r="GY3384" s="5" t="s">
        <v>240</v>
      </c>
      <c r="GZ3384" s="5" t="s">
        <v>240</v>
      </c>
      <c r="HA3384" s="5" t="s">
        <v>240</v>
      </c>
      <c r="HB3384" s="5" t="s">
        <v>240</v>
      </c>
      <c r="HC3384" s="5" t="s">
        <v>240</v>
      </c>
      <c r="HD3384" s="5" t="s">
        <v>240</v>
      </c>
      <c r="HE3384" s="5" t="s">
        <v>240</v>
      </c>
      <c r="HF3384" s="5" t="s">
        <v>240</v>
      </c>
      <c r="HG3384" s="5" t="s">
        <v>240</v>
      </c>
      <c r="HH3384" s="5" t="s">
        <v>240</v>
      </c>
      <c r="HI3384" s="5" t="s">
        <v>240</v>
      </c>
      <c r="HJ3384" s="5" t="s">
        <v>240</v>
      </c>
      <c r="HK3384" s="5" t="s">
        <v>240</v>
      </c>
      <c r="HL3384" s="5" t="s">
        <v>240</v>
      </c>
      <c r="HM3384" s="5" t="s">
        <v>240</v>
      </c>
      <c r="HN3384" s="5" t="s">
        <v>240</v>
      </c>
      <c r="HO3384" s="5" t="s">
        <v>312</v>
      </c>
      <c r="HP3384" s="5" t="s">
        <v>240</v>
      </c>
      <c r="HQ3384" s="5" t="s">
        <v>240</v>
      </c>
      <c r="HR3384" s="5" t="s">
        <v>240</v>
      </c>
      <c r="HS3384" s="5" t="s">
        <v>240</v>
      </c>
      <c r="HT3384" s="5" t="s">
        <v>240</v>
      </c>
      <c r="HU3384" s="5" t="s">
        <v>240</v>
      </c>
      <c r="HV3384" s="5" t="s">
        <v>240</v>
      </c>
      <c r="HW3384" s="5" t="s">
        <v>240</v>
      </c>
      <c r="HX3384" s="5" t="s">
        <v>240</v>
      </c>
      <c r="HY3384" s="5" t="s">
        <v>240</v>
      </c>
      <c r="HZ3384" s="5" t="s">
        <v>240</v>
      </c>
      <c r="IA3384" s="5" t="s">
        <v>240</v>
      </c>
      <c r="IB3384" s="5" t="s">
        <v>240</v>
      </c>
      <c r="IC3384" s="5" t="s">
        <v>240</v>
      </c>
      <c r="ID3384" s="5" t="s">
        <v>240</v>
      </c>
      <c r="IE3384" s="5" t="s">
        <v>240</v>
      </c>
      <c r="IF3384" s="5" t="s">
        <v>240</v>
      </c>
    </row>
    <row r="3385" spans="1:240" x14ac:dyDescent="0.4">
      <c r="A3385" s="5">
        <v>8927</v>
      </c>
      <c r="B3385" s="5">
        <v>1</v>
      </c>
      <c r="C3385" s="5">
        <v>1</v>
      </c>
      <c r="D3385" s="5" t="s">
        <v>723</v>
      </c>
      <c r="E3385" s="5" t="s">
        <v>725</v>
      </c>
      <c r="F3385" s="5" t="s">
        <v>730</v>
      </c>
      <c r="G3385" s="5" t="s">
        <v>726</v>
      </c>
      <c r="H3385" s="6" t="s">
        <v>6203</v>
      </c>
      <c r="I3385" s="5" t="s">
        <v>722</v>
      </c>
      <c r="J3385" s="8">
        <f>1147</f>
        <v>1147</v>
      </c>
      <c r="K3385" s="5" t="s">
        <v>308</v>
      </c>
      <c r="L3385" s="7">
        <f>0</f>
        <v>0</v>
      </c>
      <c r="M3385" s="7">
        <f>0</f>
        <v>0</v>
      </c>
      <c r="N3385" s="5" t="s">
        <v>242</v>
      </c>
      <c r="O3385" s="5">
        <v>1</v>
      </c>
      <c r="P3385" s="5" t="s">
        <v>294</v>
      </c>
      <c r="Q3385" s="5" t="s">
        <v>266</v>
      </c>
      <c r="R3385" s="5" t="s">
        <v>240</v>
      </c>
      <c r="S3385" s="5" t="s">
        <v>240</v>
      </c>
      <c r="T3385" s="5" t="s">
        <v>296</v>
      </c>
      <c r="U3385" s="5" t="s">
        <v>244</v>
      </c>
      <c r="V3385" s="5" t="s">
        <v>240</v>
      </c>
      <c r="Y3385" s="5" t="s">
        <v>240</v>
      </c>
      <c r="Z3385" s="6" t="s">
        <v>298</v>
      </c>
      <c r="AB3385" s="6" t="s">
        <v>240</v>
      </c>
      <c r="AE3385" s="6" t="s">
        <v>299</v>
      </c>
      <c r="AF3385" s="5" t="s">
        <v>248</v>
      </c>
      <c r="AG3385" s="5" t="s">
        <v>249</v>
      </c>
      <c r="AW3385" s="5" t="s">
        <v>251</v>
      </c>
      <c r="AX3385" s="5" t="s">
        <v>240</v>
      </c>
      <c r="AY3385" s="5" t="s">
        <v>253</v>
      </c>
      <c r="AZ3385" s="5" t="s">
        <v>240</v>
      </c>
      <c r="BA3385" s="5" t="s">
        <v>255</v>
      </c>
      <c r="BB3385" s="5" t="s">
        <v>240</v>
      </c>
      <c r="BD3385" s="5" t="s">
        <v>240</v>
      </c>
      <c r="BF3385" s="5" t="s">
        <v>301</v>
      </c>
      <c r="BG3385" s="6" t="s">
        <v>299</v>
      </c>
      <c r="BH3385" s="5" t="s">
        <v>302</v>
      </c>
      <c r="BI3385" s="5" t="s">
        <v>303</v>
      </c>
      <c r="BJ3385" s="5" t="s">
        <v>240</v>
      </c>
      <c r="BK3385" s="8">
        <f>0</f>
        <v>0</v>
      </c>
      <c r="BL3385" s="7">
        <f>0</f>
        <v>0</v>
      </c>
      <c r="BM3385" s="5" t="s">
        <v>258</v>
      </c>
      <c r="BN3385" s="5" t="s">
        <v>259</v>
      </c>
      <c r="CB3385" s="5" t="s">
        <v>240</v>
      </c>
      <c r="CC3385" s="5" t="s">
        <v>240</v>
      </c>
      <c r="CG3385" s="5" t="s">
        <v>304</v>
      </c>
      <c r="CH3385" s="5" t="s">
        <v>305</v>
      </c>
      <c r="CI3385" s="5" t="s">
        <v>240</v>
      </c>
      <c r="CL3385" s="6" t="s">
        <v>261</v>
      </c>
      <c r="CM3385" s="5" t="s">
        <v>240</v>
      </c>
      <c r="CN3385" s="5" t="s">
        <v>263</v>
      </c>
      <c r="CO3385" s="5" t="s">
        <v>240</v>
      </c>
      <c r="CP3385" s="5" t="s">
        <v>240</v>
      </c>
      <c r="CQ3385" s="5">
        <v>0</v>
      </c>
      <c r="CR3385" s="5" t="s">
        <v>306</v>
      </c>
      <c r="CS3385" s="5" t="s">
        <v>307</v>
      </c>
      <c r="CT3385" s="5" t="s">
        <v>307</v>
      </c>
      <c r="CU3385" s="5" t="s">
        <v>260</v>
      </c>
      <c r="CX3385" s="7">
        <f>1</f>
        <v>1</v>
      </c>
      <c r="CY3385" s="7">
        <f>0</f>
        <v>0</v>
      </c>
      <c r="DA3385" s="7">
        <f>0</f>
        <v>0</v>
      </c>
      <c r="DC3385" s="5" t="s">
        <v>309</v>
      </c>
      <c r="DD3385" s="5" t="s">
        <v>240</v>
      </c>
      <c r="DF3385" s="5" t="s">
        <v>309</v>
      </c>
      <c r="DG3385" s="7">
        <f>760</f>
        <v>760</v>
      </c>
      <c r="DI3385" s="5" t="s">
        <v>240</v>
      </c>
      <c r="DJ3385" s="5" t="s">
        <v>240</v>
      </c>
      <c r="DK3385" s="5" t="s">
        <v>240</v>
      </c>
      <c r="DL3385" s="5" t="s">
        <v>240</v>
      </c>
      <c r="DP3385" s="5" t="s">
        <v>240</v>
      </c>
      <c r="DQ3385" s="5" t="s">
        <v>240</v>
      </c>
      <c r="DR3385" s="5" t="s">
        <v>240</v>
      </c>
      <c r="DS3385" s="5" t="s">
        <v>240</v>
      </c>
      <c r="DV3385" s="5" t="s">
        <v>310</v>
      </c>
      <c r="DW3385" s="5" t="s">
        <v>3612</v>
      </c>
      <c r="HO3385" s="5" t="s">
        <v>312</v>
      </c>
    </row>
    <row r="3386" spans="1:240" x14ac:dyDescent="0.4">
      <c r="A3386" s="5">
        <v>8928</v>
      </c>
      <c r="B3386" s="5">
        <v>1</v>
      </c>
      <c r="C3386" s="5">
        <v>1</v>
      </c>
      <c r="D3386" s="5" t="s">
        <v>723</v>
      </c>
      <c r="E3386" s="5" t="s">
        <v>725</v>
      </c>
      <c r="F3386" s="5" t="s">
        <v>730</v>
      </c>
      <c r="G3386" s="5" t="s">
        <v>726</v>
      </c>
      <c r="H3386" s="6" t="s">
        <v>6202</v>
      </c>
      <c r="I3386" s="5" t="s">
        <v>722</v>
      </c>
      <c r="J3386" s="8">
        <f>2152</f>
        <v>2152</v>
      </c>
      <c r="K3386" s="5" t="s">
        <v>308</v>
      </c>
      <c r="L3386" s="7">
        <f>0</f>
        <v>0</v>
      </c>
      <c r="M3386" s="7">
        <f>0</f>
        <v>0</v>
      </c>
      <c r="N3386" s="5" t="s">
        <v>242</v>
      </c>
      <c r="O3386" s="5">
        <v>1</v>
      </c>
      <c r="P3386" s="5" t="s">
        <v>294</v>
      </c>
      <c r="Q3386" s="5" t="s">
        <v>266</v>
      </c>
      <c r="R3386" s="5" t="s">
        <v>240</v>
      </c>
      <c r="S3386" s="5" t="s">
        <v>240</v>
      </c>
      <c r="T3386" s="5" t="s">
        <v>296</v>
      </c>
      <c r="U3386" s="5" t="s">
        <v>244</v>
      </c>
      <c r="V3386" s="5" t="s">
        <v>240</v>
      </c>
      <c r="Y3386" s="5" t="s">
        <v>240</v>
      </c>
      <c r="Z3386" s="6" t="s">
        <v>298</v>
      </c>
      <c r="AB3386" s="6" t="s">
        <v>240</v>
      </c>
      <c r="AE3386" s="6" t="s">
        <v>299</v>
      </c>
      <c r="AF3386" s="5" t="s">
        <v>248</v>
      </c>
      <c r="AG3386" s="5" t="s">
        <v>249</v>
      </c>
      <c r="AW3386" s="5" t="s">
        <v>251</v>
      </c>
      <c r="AX3386" s="5" t="s">
        <v>240</v>
      </c>
      <c r="AY3386" s="5" t="s">
        <v>253</v>
      </c>
      <c r="AZ3386" s="5" t="s">
        <v>240</v>
      </c>
      <c r="BA3386" s="5" t="s">
        <v>255</v>
      </c>
      <c r="BB3386" s="5" t="s">
        <v>240</v>
      </c>
      <c r="BD3386" s="5" t="s">
        <v>240</v>
      </c>
      <c r="BF3386" s="5" t="s">
        <v>301</v>
      </c>
      <c r="BG3386" s="6" t="s">
        <v>299</v>
      </c>
      <c r="BH3386" s="5" t="s">
        <v>302</v>
      </c>
      <c r="BI3386" s="5" t="s">
        <v>303</v>
      </c>
      <c r="BJ3386" s="5" t="s">
        <v>240</v>
      </c>
      <c r="BK3386" s="8">
        <f>0</f>
        <v>0</v>
      </c>
      <c r="BL3386" s="7">
        <f>0</f>
        <v>0</v>
      </c>
      <c r="BM3386" s="5" t="s">
        <v>258</v>
      </c>
      <c r="BN3386" s="5" t="s">
        <v>259</v>
      </c>
      <c r="CB3386" s="5" t="s">
        <v>240</v>
      </c>
      <c r="CC3386" s="5" t="s">
        <v>240</v>
      </c>
      <c r="CG3386" s="5" t="s">
        <v>304</v>
      </c>
      <c r="CH3386" s="5" t="s">
        <v>305</v>
      </c>
      <c r="CI3386" s="5" t="s">
        <v>240</v>
      </c>
      <c r="CL3386" s="6" t="s">
        <v>261</v>
      </c>
      <c r="CM3386" s="5" t="s">
        <v>240</v>
      </c>
      <c r="CN3386" s="5" t="s">
        <v>263</v>
      </c>
      <c r="CO3386" s="5" t="s">
        <v>240</v>
      </c>
      <c r="CP3386" s="5" t="s">
        <v>240</v>
      </c>
      <c r="CQ3386" s="5">
        <v>0</v>
      </c>
      <c r="CR3386" s="5" t="s">
        <v>306</v>
      </c>
      <c r="CS3386" s="5" t="s">
        <v>307</v>
      </c>
      <c r="CT3386" s="5" t="s">
        <v>307</v>
      </c>
      <c r="CU3386" s="5" t="s">
        <v>260</v>
      </c>
      <c r="CX3386" s="7">
        <f>1</f>
        <v>1</v>
      </c>
      <c r="CY3386" s="7">
        <f>0</f>
        <v>0</v>
      </c>
      <c r="DA3386" s="7">
        <f>0</f>
        <v>0</v>
      </c>
      <c r="DC3386" s="5" t="s">
        <v>309</v>
      </c>
      <c r="DD3386" s="5" t="s">
        <v>240</v>
      </c>
      <c r="DF3386" s="5" t="s">
        <v>309</v>
      </c>
      <c r="DG3386" s="7">
        <f>5894</f>
        <v>5894</v>
      </c>
      <c r="DI3386" s="5" t="s">
        <v>240</v>
      </c>
      <c r="DJ3386" s="5" t="s">
        <v>240</v>
      </c>
      <c r="DK3386" s="5" t="s">
        <v>240</v>
      </c>
      <c r="DL3386" s="5" t="s">
        <v>240</v>
      </c>
      <c r="DP3386" s="5" t="s">
        <v>240</v>
      </c>
      <c r="DQ3386" s="5" t="s">
        <v>240</v>
      </c>
      <c r="DR3386" s="5" t="s">
        <v>240</v>
      </c>
      <c r="DS3386" s="5" t="s">
        <v>240</v>
      </c>
      <c r="DV3386" s="5" t="s">
        <v>310</v>
      </c>
      <c r="DW3386" s="5" t="s">
        <v>3616</v>
      </c>
      <c r="HO3386" s="5" t="s">
        <v>312</v>
      </c>
    </row>
    <row r="3387" spans="1:240" x14ac:dyDescent="0.4">
      <c r="A3387" s="5">
        <v>8929</v>
      </c>
      <c r="B3387" s="5">
        <v>1</v>
      </c>
      <c r="C3387" s="5">
        <v>1</v>
      </c>
      <c r="D3387" s="5" t="s">
        <v>723</v>
      </c>
      <c r="E3387" s="5" t="s">
        <v>725</v>
      </c>
      <c r="F3387" s="5" t="s">
        <v>730</v>
      </c>
      <c r="G3387" s="5" t="s">
        <v>726</v>
      </c>
      <c r="H3387" s="6" t="s">
        <v>6617</v>
      </c>
      <c r="I3387" s="5" t="s">
        <v>722</v>
      </c>
      <c r="J3387" s="8">
        <f>1224</f>
        <v>1224</v>
      </c>
      <c r="K3387" s="5" t="s">
        <v>308</v>
      </c>
      <c r="L3387" s="7">
        <f>0</f>
        <v>0</v>
      </c>
      <c r="M3387" s="7">
        <f>0</f>
        <v>0</v>
      </c>
      <c r="N3387" s="5" t="s">
        <v>242</v>
      </c>
      <c r="O3387" s="5">
        <v>1</v>
      </c>
      <c r="P3387" s="5" t="s">
        <v>294</v>
      </c>
      <c r="Q3387" s="5" t="s">
        <v>266</v>
      </c>
      <c r="R3387" s="5" t="s">
        <v>240</v>
      </c>
      <c r="S3387" s="5" t="s">
        <v>240</v>
      </c>
      <c r="T3387" s="5" t="s">
        <v>296</v>
      </c>
      <c r="U3387" s="5" t="s">
        <v>244</v>
      </c>
      <c r="V3387" s="5" t="s">
        <v>240</v>
      </c>
      <c r="Y3387" s="5" t="s">
        <v>240</v>
      </c>
      <c r="Z3387" s="6" t="s">
        <v>298</v>
      </c>
      <c r="AB3387" s="6" t="s">
        <v>240</v>
      </c>
      <c r="AE3387" s="6" t="s">
        <v>299</v>
      </c>
      <c r="AF3387" s="5" t="s">
        <v>248</v>
      </c>
      <c r="AG3387" s="5" t="s">
        <v>249</v>
      </c>
      <c r="AW3387" s="5" t="s">
        <v>251</v>
      </c>
      <c r="AX3387" s="5" t="s">
        <v>240</v>
      </c>
      <c r="AY3387" s="5" t="s">
        <v>253</v>
      </c>
      <c r="AZ3387" s="5" t="s">
        <v>240</v>
      </c>
      <c r="BA3387" s="5" t="s">
        <v>255</v>
      </c>
      <c r="BB3387" s="5" t="s">
        <v>240</v>
      </c>
      <c r="BD3387" s="5" t="s">
        <v>240</v>
      </c>
      <c r="BF3387" s="5" t="s">
        <v>301</v>
      </c>
      <c r="BG3387" s="6" t="s">
        <v>299</v>
      </c>
      <c r="BH3387" s="5" t="s">
        <v>302</v>
      </c>
      <c r="BI3387" s="5" t="s">
        <v>303</v>
      </c>
      <c r="BJ3387" s="5" t="s">
        <v>240</v>
      </c>
      <c r="BK3387" s="8">
        <f>0</f>
        <v>0</v>
      </c>
      <c r="BL3387" s="7">
        <f>0</f>
        <v>0</v>
      </c>
      <c r="BM3387" s="5" t="s">
        <v>258</v>
      </c>
      <c r="BN3387" s="5" t="s">
        <v>259</v>
      </c>
      <c r="CB3387" s="5" t="s">
        <v>240</v>
      </c>
      <c r="CC3387" s="5" t="s">
        <v>240</v>
      </c>
      <c r="CG3387" s="5" t="s">
        <v>304</v>
      </c>
      <c r="CH3387" s="5" t="s">
        <v>305</v>
      </c>
      <c r="CI3387" s="5" t="s">
        <v>240</v>
      </c>
      <c r="CL3387" s="6" t="s">
        <v>261</v>
      </c>
      <c r="CM3387" s="5" t="s">
        <v>240</v>
      </c>
      <c r="CN3387" s="5" t="s">
        <v>263</v>
      </c>
      <c r="CO3387" s="5" t="s">
        <v>240</v>
      </c>
      <c r="CP3387" s="5" t="s">
        <v>240</v>
      </c>
      <c r="CQ3387" s="5">
        <v>0</v>
      </c>
      <c r="CR3387" s="5" t="s">
        <v>306</v>
      </c>
      <c r="CS3387" s="5" t="s">
        <v>307</v>
      </c>
      <c r="CT3387" s="5" t="s">
        <v>307</v>
      </c>
      <c r="CU3387" s="5" t="s">
        <v>260</v>
      </c>
      <c r="CX3387" s="7">
        <f>1</f>
        <v>1</v>
      </c>
      <c r="CY3387" s="7">
        <f>0</f>
        <v>0</v>
      </c>
      <c r="DA3387" s="7">
        <f>0</f>
        <v>0</v>
      </c>
      <c r="DC3387" s="5" t="s">
        <v>309</v>
      </c>
      <c r="DD3387" s="5" t="s">
        <v>240</v>
      </c>
      <c r="DF3387" s="5" t="s">
        <v>309</v>
      </c>
      <c r="DG3387" s="7">
        <f>5141</f>
        <v>5141</v>
      </c>
      <c r="DI3387" s="5" t="s">
        <v>240</v>
      </c>
      <c r="DJ3387" s="5" t="s">
        <v>240</v>
      </c>
      <c r="DK3387" s="5" t="s">
        <v>240</v>
      </c>
      <c r="DL3387" s="5" t="s">
        <v>240</v>
      </c>
      <c r="DP3387" s="5" t="s">
        <v>240</v>
      </c>
      <c r="DQ3387" s="5" t="s">
        <v>240</v>
      </c>
      <c r="DR3387" s="5" t="s">
        <v>240</v>
      </c>
      <c r="DS3387" s="5" t="s">
        <v>240</v>
      </c>
      <c r="DV3387" s="5" t="s">
        <v>310</v>
      </c>
      <c r="DW3387" s="5" t="s">
        <v>3620</v>
      </c>
      <c r="HO3387" s="5" t="s">
        <v>312</v>
      </c>
    </row>
    <row r="3388" spans="1:240" x14ac:dyDescent="0.4">
      <c r="A3388" s="5">
        <v>8930</v>
      </c>
      <c r="B3388" s="5">
        <v>1</v>
      </c>
      <c r="C3388" s="5">
        <v>1</v>
      </c>
      <c r="D3388" s="5" t="s">
        <v>723</v>
      </c>
      <c r="E3388" s="5" t="s">
        <v>725</v>
      </c>
      <c r="F3388" s="5" t="s">
        <v>730</v>
      </c>
      <c r="G3388" s="5" t="s">
        <v>726</v>
      </c>
      <c r="H3388" s="6" t="s">
        <v>6200</v>
      </c>
      <c r="I3388" s="5" t="s">
        <v>990</v>
      </c>
      <c r="J3388" s="8">
        <f>138.6</f>
        <v>138.6</v>
      </c>
      <c r="K3388" s="5" t="s">
        <v>308</v>
      </c>
      <c r="L3388" s="7">
        <f>0</f>
        <v>0</v>
      </c>
      <c r="M3388" s="7">
        <f>0</f>
        <v>0</v>
      </c>
      <c r="N3388" s="5" t="s">
        <v>242</v>
      </c>
      <c r="O3388" s="5">
        <v>1</v>
      </c>
      <c r="P3388" s="5" t="s">
        <v>294</v>
      </c>
      <c r="Q3388" s="5" t="s">
        <v>266</v>
      </c>
      <c r="R3388" s="5" t="s">
        <v>240</v>
      </c>
      <c r="S3388" s="5" t="s">
        <v>240</v>
      </c>
      <c r="T3388" s="5" t="s">
        <v>296</v>
      </c>
      <c r="U3388" s="5" t="s">
        <v>244</v>
      </c>
      <c r="V3388" s="5" t="s">
        <v>240</v>
      </c>
      <c r="Y3388" s="5" t="s">
        <v>240</v>
      </c>
      <c r="Z3388" s="6" t="s">
        <v>298</v>
      </c>
      <c r="AB3388" s="6" t="s">
        <v>240</v>
      </c>
      <c r="AE3388" s="6" t="s">
        <v>299</v>
      </c>
      <c r="AF3388" s="5" t="s">
        <v>248</v>
      </c>
      <c r="AG3388" s="5" t="s">
        <v>249</v>
      </c>
      <c r="AW3388" s="5" t="s">
        <v>251</v>
      </c>
      <c r="AX3388" s="5" t="s">
        <v>240</v>
      </c>
      <c r="AY3388" s="5" t="s">
        <v>253</v>
      </c>
      <c r="AZ3388" s="5" t="s">
        <v>240</v>
      </c>
      <c r="BA3388" s="5" t="s">
        <v>255</v>
      </c>
      <c r="BB3388" s="5" t="s">
        <v>240</v>
      </c>
      <c r="BD3388" s="5" t="s">
        <v>240</v>
      </c>
      <c r="BF3388" s="5" t="s">
        <v>301</v>
      </c>
      <c r="BG3388" s="6" t="s">
        <v>299</v>
      </c>
      <c r="BH3388" s="5" t="s">
        <v>302</v>
      </c>
      <c r="BI3388" s="5" t="s">
        <v>303</v>
      </c>
      <c r="BJ3388" s="5" t="s">
        <v>240</v>
      </c>
      <c r="BK3388" s="8">
        <f>0</f>
        <v>0</v>
      </c>
      <c r="BL3388" s="7">
        <f>0</f>
        <v>0</v>
      </c>
      <c r="BM3388" s="5" t="s">
        <v>258</v>
      </c>
      <c r="BN3388" s="5" t="s">
        <v>259</v>
      </c>
      <c r="CB3388" s="5" t="s">
        <v>240</v>
      </c>
      <c r="CC3388" s="5" t="s">
        <v>240</v>
      </c>
      <c r="CG3388" s="5" t="s">
        <v>304</v>
      </c>
      <c r="CH3388" s="5" t="s">
        <v>305</v>
      </c>
      <c r="CI3388" s="5" t="s">
        <v>240</v>
      </c>
      <c r="CL3388" s="6" t="s">
        <v>261</v>
      </c>
      <c r="CM3388" s="5" t="s">
        <v>240</v>
      </c>
      <c r="CN3388" s="5" t="s">
        <v>263</v>
      </c>
      <c r="CO3388" s="5" t="s">
        <v>240</v>
      </c>
      <c r="CP3388" s="5" t="s">
        <v>240</v>
      </c>
      <c r="CQ3388" s="5">
        <v>0</v>
      </c>
      <c r="CR3388" s="5" t="s">
        <v>306</v>
      </c>
      <c r="CS3388" s="5" t="s">
        <v>307</v>
      </c>
      <c r="CT3388" s="5" t="s">
        <v>307</v>
      </c>
      <c r="CU3388" s="5" t="s">
        <v>260</v>
      </c>
      <c r="CX3388" s="7">
        <f>1</f>
        <v>1</v>
      </c>
      <c r="CY3388" s="7">
        <f>0</f>
        <v>0</v>
      </c>
      <c r="DA3388" s="7">
        <f>0</f>
        <v>0</v>
      </c>
      <c r="DC3388" s="5" t="s">
        <v>309</v>
      </c>
      <c r="DD3388" s="5" t="s">
        <v>240</v>
      </c>
      <c r="DF3388" s="5" t="s">
        <v>309</v>
      </c>
      <c r="DG3388" s="7">
        <f>1261</f>
        <v>1261</v>
      </c>
      <c r="DI3388" s="5" t="s">
        <v>240</v>
      </c>
      <c r="DJ3388" s="5" t="s">
        <v>240</v>
      </c>
      <c r="DK3388" s="5" t="s">
        <v>240</v>
      </c>
      <c r="DL3388" s="5" t="s">
        <v>240</v>
      </c>
      <c r="DP3388" s="5" t="s">
        <v>240</v>
      </c>
      <c r="DQ3388" s="5" t="s">
        <v>240</v>
      </c>
      <c r="DR3388" s="5" t="s">
        <v>240</v>
      </c>
      <c r="DS3388" s="5" t="s">
        <v>240</v>
      </c>
      <c r="DV3388" s="5" t="s">
        <v>310</v>
      </c>
      <c r="DW3388" s="5" t="s">
        <v>3624</v>
      </c>
      <c r="HO3388" s="5" t="s">
        <v>312</v>
      </c>
    </row>
    <row r="3389" spans="1:240" x14ac:dyDescent="0.4">
      <c r="A3389" s="5">
        <v>8931</v>
      </c>
      <c r="B3389" s="5">
        <v>1</v>
      </c>
      <c r="C3389" s="5">
        <v>1</v>
      </c>
      <c r="D3389" s="5" t="s">
        <v>723</v>
      </c>
      <c r="E3389" s="5" t="s">
        <v>725</v>
      </c>
      <c r="F3389" s="5" t="s">
        <v>730</v>
      </c>
      <c r="G3389" s="5" t="s">
        <v>726</v>
      </c>
      <c r="H3389" s="6" t="s">
        <v>6199</v>
      </c>
      <c r="I3389" s="5" t="s">
        <v>990</v>
      </c>
      <c r="J3389" s="8">
        <f>69.42</f>
        <v>69.42</v>
      </c>
      <c r="K3389" s="5" t="s">
        <v>308</v>
      </c>
      <c r="L3389" s="7">
        <f>0</f>
        <v>0</v>
      </c>
      <c r="M3389" s="7">
        <f>0</f>
        <v>0</v>
      </c>
      <c r="N3389" s="5" t="s">
        <v>242</v>
      </c>
      <c r="O3389" s="5">
        <v>1</v>
      </c>
      <c r="P3389" s="5" t="s">
        <v>294</v>
      </c>
      <c r="Q3389" s="5" t="s">
        <v>266</v>
      </c>
      <c r="R3389" s="5" t="s">
        <v>240</v>
      </c>
      <c r="S3389" s="5" t="s">
        <v>240</v>
      </c>
      <c r="T3389" s="5" t="s">
        <v>296</v>
      </c>
      <c r="U3389" s="5" t="s">
        <v>244</v>
      </c>
      <c r="V3389" s="5" t="s">
        <v>240</v>
      </c>
      <c r="Y3389" s="5" t="s">
        <v>240</v>
      </c>
      <c r="Z3389" s="6" t="s">
        <v>298</v>
      </c>
      <c r="AB3389" s="6" t="s">
        <v>240</v>
      </c>
      <c r="AE3389" s="6" t="s">
        <v>299</v>
      </c>
      <c r="AF3389" s="5" t="s">
        <v>248</v>
      </c>
      <c r="AG3389" s="5" t="s">
        <v>249</v>
      </c>
      <c r="AW3389" s="5" t="s">
        <v>251</v>
      </c>
      <c r="AX3389" s="5" t="s">
        <v>240</v>
      </c>
      <c r="AY3389" s="5" t="s">
        <v>253</v>
      </c>
      <c r="AZ3389" s="5" t="s">
        <v>240</v>
      </c>
      <c r="BA3389" s="5" t="s">
        <v>255</v>
      </c>
      <c r="BB3389" s="5" t="s">
        <v>240</v>
      </c>
      <c r="BD3389" s="5" t="s">
        <v>240</v>
      </c>
      <c r="BF3389" s="5" t="s">
        <v>301</v>
      </c>
      <c r="BG3389" s="6" t="s">
        <v>299</v>
      </c>
      <c r="BH3389" s="5" t="s">
        <v>302</v>
      </c>
      <c r="BI3389" s="5" t="s">
        <v>303</v>
      </c>
      <c r="BJ3389" s="5" t="s">
        <v>240</v>
      </c>
      <c r="BK3389" s="8">
        <f>0</f>
        <v>0</v>
      </c>
      <c r="BL3389" s="7">
        <f>0</f>
        <v>0</v>
      </c>
      <c r="BM3389" s="5" t="s">
        <v>258</v>
      </c>
      <c r="BN3389" s="5" t="s">
        <v>259</v>
      </c>
      <c r="CB3389" s="5" t="s">
        <v>240</v>
      </c>
      <c r="CC3389" s="5" t="s">
        <v>240</v>
      </c>
      <c r="CG3389" s="5" t="s">
        <v>304</v>
      </c>
      <c r="CH3389" s="5" t="s">
        <v>305</v>
      </c>
      <c r="CI3389" s="5" t="s">
        <v>240</v>
      </c>
      <c r="CL3389" s="6" t="s">
        <v>261</v>
      </c>
      <c r="CM3389" s="5" t="s">
        <v>240</v>
      </c>
      <c r="CN3389" s="5" t="s">
        <v>263</v>
      </c>
      <c r="CO3389" s="5" t="s">
        <v>240</v>
      </c>
      <c r="CP3389" s="5" t="s">
        <v>240</v>
      </c>
      <c r="CQ3389" s="5">
        <v>0</v>
      </c>
      <c r="CR3389" s="5" t="s">
        <v>306</v>
      </c>
      <c r="CS3389" s="5" t="s">
        <v>307</v>
      </c>
      <c r="CT3389" s="5" t="s">
        <v>307</v>
      </c>
      <c r="CU3389" s="5" t="s">
        <v>260</v>
      </c>
      <c r="CX3389" s="7">
        <f>1</f>
        <v>1</v>
      </c>
      <c r="CY3389" s="7">
        <f>0</f>
        <v>0</v>
      </c>
      <c r="DA3389" s="7">
        <f>0</f>
        <v>0</v>
      </c>
      <c r="DC3389" s="5" t="s">
        <v>309</v>
      </c>
      <c r="DD3389" s="5" t="s">
        <v>240</v>
      </c>
      <c r="DF3389" s="5" t="s">
        <v>309</v>
      </c>
      <c r="DG3389" s="7">
        <f>335</f>
        <v>335</v>
      </c>
      <c r="DI3389" s="5" t="s">
        <v>240</v>
      </c>
      <c r="DJ3389" s="5" t="s">
        <v>240</v>
      </c>
      <c r="DK3389" s="5" t="s">
        <v>240</v>
      </c>
      <c r="DL3389" s="5" t="s">
        <v>240</v>
      </c>
      <c r="DP3389" s="5" t="s">
        <v>240</v>
      </c>
      <c r="DQ3389" s="5" t="s">
        <v>240</v>
      </c>
      <c r="DR3389" s="5" t="s">
        <v>240</v>
      </c>
      <c r="DS3389" s="5" t="s">
        <v>240</v>
      </c>
      <c r="DV3389" s="5" t="s">
        <v>310</v>
      </c>
      <c r="DW3389" s="5" t="s">
        <v>3628</v>
      </c>
      <c r="HO3389" s="5" t="s">
        <v>312</v>
      </c>
    </row>
    <row r="3390" spans="1:240" x14ac:dyDescent="0.4">
      <c r="A3390" s="5">
        <v>8932</v>
      </c>
      <c r="B3390" s="5">
        <v>1</v>
      </c>
      <c r="C3390" s="5">
        <v>1</v>
      </c>
      <c r="D3390" s="5" t="s">
        <v>723</v>
      </c>
      <c r="E3390" s="5" t="s">
        <v>725</v>
      </c>
      <c r="F3390" s="5" t="s">
        <v>730</v>
      </c>
      <c r="G3390" s="5" t="s">
        <v>726</v>
      </c>
      <c r="H3390" s="6" t="s">
        <v>6198</v>
      </c>
      <c r="I3390" s="5" t="s">
        <v>990</v>
      </c>
      <c r="J3390" s="8">
        <f>297</f>
        <v>297</v>
      </c>
      <c r="K3390" s="5" t="s">
        <v>308</v>
      </c>
      <c r="L3390" s="7">
        <f>0</f>
        <v>0</v>
      </c>
      <c r="M3390" s="7">
        <f>0</f>
        <v>0</v>
      </c>
      <c r="N3390" s="5" t="s">
        <v>242</v>
      </c>
      <c r="O3390" s="5">
        <v>1</v>
      </c>
      <c r="P3390" s="5" t="s">
        <v>294</v>
      </c>
      <c r="Q3390" s="5" t="s">
        <v>266</v>
      </c>
      <c r="R3390" s="5" t="s">
        <v>240</v>
      </c>
      <c r="S3390" s="5" t="s">
        <v>240</v>
      </c>
      <c r="T3390" s="5" t="s">
        <v>296</v>
      </c>
      <c r="U3390" s="5" t="s">
        <v>244</v>
      </c>
      <c r="V3390" s="5" t="s">
        <v>240</v>
      </c>
      <c r="Y3390" s="5" t="s">
        <v>240</v>
      </c>
      <c r="Z3390" s="6" t="s">
        <v>298</v>
      </c>
      <c r="AB3390" s="6" t="s">
        <v>240</v>
      </c>
      <c r="AE3390" s="6" t="s">
        <v>299</v>
      </c>
      <c r="AF3390" s="5" t="s">
        <v>248</v>
      </c>
      <c r="AG3390" s="5" t="s">
        <v>249</v>
      </c>
      <c r="AW3390" s="5" t="s">
        <v>251</v>
      </c>
      <c r="AX3390" s="5" t="s">
        <v>240</v>
      </c>
      <c r="AY3390" s="5" t="s">
        <v>253</v>
      </c>
      <c r="AZ3390" s="5" t="s">
        <v>240</v>
      </c>
      <c r="BA3390" s="5" t="s">
        <v>255</v>
      </c>
      <c r="BB3390" s="5" t="s">
        <v>240</v>
      </c>
      <c r="BD3390" s="5" t="s">
        <v>240</v>
      </c>
      <c r="BF3390" s="5" t="s">
        <v>301</v>
      </c>
      <c r="BG3390" s="6" t="s">
        <v>299</v>
      </c>
      <c r="BH3390" s="5" t="s">
        <v>302</v>
      </c>
      <c r="BI3390" s="5" t="s">
        <v>303</v>
      </c>
      <c r="BJ3390" s="5" t="s">
        <v>240</v>
      </c>
      <c r="BK3390" s="8">
        <f>0</f>
        <v>0</v>
      </c>
      <c r="BL3390" s="7">
        <f>0</f>
        <v>0</v>
      </c>
      <c r="BM3390" s="5" t="s">
        <v>258</v>
      </c>
      <c r="BN3390" s="5" t="s">
        <v>259</v>
      </c>
      <c r="CB3390" s="5" t="s">
        <v>240</v>
      </c>
      <c r="CC3390" s="5" t="s">
        <v>240</v>
      </c>
      <c r="CG3390" s="5" t="s">
        <v>304</v>
      </c>
      <c r="CH3390" s="5" t="s">
        <v>305</v>
      </c>
      <c r="CI3390" s="5" t="s">
        <v>240</v>
      </c>
      <c r="CL3390" s="6" t="s">
        <v>261</v>
      </c>
      <c r="CM3390" s="5" t="s">
        <v>240</v>
      </c>
      <c r="CN3390" s="5" t="s">
        <v>263</v>
      </c>
      <c r="CO3390" s="5" t="s">
        <v>240</v>
      </c>
      <c r="CP3390" s="5" t="s">
        <v>240</v>
      </c>
      <c r="CQ3390" s="5">
        <v>0</v>
      </c>
      <c r="CR3390" s="5" t="s">
        <v>306</v>
      </c>
      <c r="CS3390" s="5" t="s">
        <v>307</v>
      </c>
      <c r="CT3390" s="5" t="s">
        <v>307</v>
      </c>
      <c r="CU3390" s="5" t="s">
        <v>260</v>
      </c>
      <c r="CX3390" s="7">
        <f>1</f>
        <v>1</v>
      </c>
      <c r="CY3390" s="7">
        <f>0</f>
        <v>0</v>
      </c>
      <c r="DA3390" s="7">
        <f>0</f>
        <v>0</v>
      </c>
      <c r="DC3390" s="5" t="s">
        <v>309</v>
      </c>
      <c r="DD3390" s="5" t="s">
        <v>240</v>
      </c>
      <c r="DF3390" s="5" t="s">
        <v>309</v>
      </c>
      <c r="DG3390" s="7">
        <f>1956</f>
        <v>1956</v>
      </c>
      <c r="DI3390" s="5" t="s">
        <v>240</v>
      </c>
      <c r="DJ3390" s="5" t="s">
        <v>240</v>
      </c>
      <c r="DK3390" s="5" t="s">
        <v>240</v>
      </c>
      <c r="DL3390" s="5" t="s">
        <v>240</v>
      </c>
      <c r="DP3390" s="5" t="s">
        <v>240</v>
      </c>
      <c r="DQ3390" s="5" t="s">
        <v>240</v>
      </c>
      <c r="DR3390" s="5" t="s">
        <v>240</v>
      </c>
      <c r="DS3390" s="5" t="s">
        <v>240</v>
      </c>
      <c r="DV3390" s="5" t="s">
        <v>310</v>
      </c>
      <c r="DW3390" s="5" t="s">
        <v>3630</v>
      </c>
      <c r="HO3390" s="5" t="s">
        <v>312</v>
      </c>
    </row>
    <row r="3391" spans="1:240" x14ac:dyDescent="0.4">
      <c r="A3391" s="5">
        <v>8933</v>
      </c>
      <c r="B3391" s="5">
        <v>1</v>
      </c>
      <c r="C3391" s="5">
        <v>1</v>
      </c>
      <c r="D3391" s="5" t="s">
        <v>723</v>
      </c>
      <c r="E3391" s="5" t="s">
        <v>725</v>
      </c>
      <c r="F3391" s="5" t="s">
        <v>730</v>
      </c>
      <c r="G3391" s="5" t="s">
        <v>726</v>
      </c>
      <c r="H3391" s="6" t="s">
        <v>6614</v>
      </c>
      <c r="I3391" s="5" t="s">
        <v>990</v>
      </c>
      <c r="J3391" s="8">
        <f>328.8</f>
        <v>328.8</v>
      </c>
      <c r="K3391" s="5" t="s">
        <v>308</v>
      </c>
      <c r="L3391" s="7">
        <f>0</f>
        <v>0</v>
      </c>
      <c r="M3391" s="7">
        <f>0</f>
        <v>0</v>
      </c>
      <c r="N3391" s="5" t="s">
        <v>242</v>
      </c>
      <c r="O3391" s="5">
        <v>1</v>
      </c>
      <c r="P3391" s="5" t="s">
        <v>294</v>
      </c>
      <c r="Q3391" s="5" t="s">
        <v>3678</v>
      </c>
      <c r="R3391" s="5" t="s">
        <v>240</v>
      </c>
      <c r="S3391" s="5" t="s">
        <v>240</v>
      </c>
      <c r="T3391" s="5" t="s">
        <v>243</v>
      </c>
      <c r="U3391" s="5" t="s">
        <v>244</v>
      </c>
      <c r="V3391" s="5" t="s">
        <v>240</v>
      </c>
      <c r="W3391" s="5" t="s">
        <v>240</v>
      </c>
      <c r="X3391" s="5" t="s">
        <v>240</v>
      </c>
      <c r="Y3391" s="5" t="s">
        <v>240</v>
      </c>
      <c r="Z3391" s="6" t="s">
        <v>298</v>
      </c>
      <c r="AA3391" s="6" t="s">
        <v>240</v>
      </c>
      <c r="AB3391" s="6" t="s">
        <v>240</v>
      </c>
      <c r="AC3391" s="5" t="s">
        <v>240</v>
      </c>
      <c r="AD3391" s="6" t="s">
        <v>240</v>
      </c>
      <c r="AE3391" s="6" t="s">
        <v>299</v>
      </c>
      <c r="AF3391" s="5" t="s">
        <v>248</v>
      </c>
      <c r="AG3391" s="5" t="s">
        <v>249</v>
      </c>
      <c r="AH3391" s="5" t="s">
        <v>240</v>
      </c>
      <c r="AI3391" s="5" t="s">
        <v>240</v>
      </c>
      <c r="AJ3391" s="5" t="s">
        <v>240</v>
      </c>
      <c r="AK3391" s="5" t="s">
        <v>240</v>
      </c>
      <c r="AL3391" s="5" t="s">
        <v>240</v>
      </c>
      <c r="AM3391" s="5" t="s">
        <v>240</v>
      </c>
      <c r="AN3391" s="5" t="s">
        <v>240</v>
      </c>
      <c r="AO3391" s="5" t="s">
        <v>240</v>
      </c>
      <c r="AP3391" s="6" t="s">
        <v>240</v>
      </c>
      <c r="AQ3391" s="6" t="s">
        <v>240</v>
      </c>
      <c r="AR3391" s="6" t="s">
        <v>240</v>
      </c>
      <c r="AS3391" s="6" t="s">
        <v>240</v>
      </c>
      <c r="AT3391" s="5" t="s">
        <v>240</v>
      </c>
      <c r="AU3391" s="5" t="s">
        <v>729</v>
      </c>
      <c r="AV3391" s="5" t="s">
        <v>729</v>
      </c>
      <c r="AW3391" s="5" t="s">
        <v>251</v>
      </c>
      <c r="AX3391" s="5" t="s">
        <v>252</v>
      </c>
      <c r="AY3391" s="5" t="s">
        <v>253</v>
      </c>
      <c r="AZ3391" s="5" t="s">
        <v>240</v>
      </c>
      <c r="BA3391" s="5" t="s">
        <v>255</v>
      </c>
      <c r="BB3391" s="5" t="s">
        <v>731</v>
      </c>
      <c r="BD3391" s="5" t="s">
        <v>240</v>
      </c>
      <c r="BF3391" s="5" t="s">
        <v>732</v>
      </c>
      <c r="BG3391" s="6" t="s">
        <v>733</v>
      </c>
      <c r="BH3391" s="5" t="s">
        <v>734</v>
      </c>
      <c r="BI3391" s="5" t="s">
        <v>734</v>
      </c>
      <c r="BJ3391" s="5" t="s">
        <v>240</v>
      </c>
      <c r="BK3391" s="7">
        <f>1</f>
        <v>1</v>
      </c>
      <c r="BL3391" s="7">
        <f>1</f>
        <v>1</v>
      </c>
      <c r="BM3391" s="5" t="s">
        <v>258</v>
      </c>
      <c r="BN3391" s="5" t="s">
        <v>259</v>
      </c>
      <c r="BO3391" s="5" t="s">
        <v>240</v>
      </c>
      <c r="BP3391" s="5" t="s">
        <v>240</v>
      </c>
      <c r="BQ3391" s="5" t="s">
        <v>240</v>
      </c>
      <c r="BR3391" s="5" t="s">
        <v>240</v>
      </c>
      <c r="BS3391" s="5" t="s">
        <v>240</v>
      </c>
      <c r="BT3391" s="5" t="s">
        <v>240</v>
      </c>
      <c r="BU3391" s="5" t="s">
        <v>240</v>
      </c>
      <c r="BV3391" s="5" t="s">
        <v>240</v>
      </c>
      <c r="BW3391" s="6" t="s">
        <v>240</v>
      </c>
      <c r="BX3391" s="5" t="s">
        <v>240</v>
      </c>
      <c r="BY3391" s="5" t="s">
        <v>240</v>
      </c>
      <c r="BZ3391" s="5" t="s">
        <v>240</v>
      </c>
      <c r="CA3391" s="5" t="s">
        <v>259</v>
      </c>
      <c r="CB3391" s="5" t="s">
        <v>240</v>
      </c>
      <c r="CC3391" s="5" t="s">
        <v>240</v>
      </c>
      <c r="CD3391" s="5" t="s">
        <v>240</v>
      </c>
      <c r="CE3391" s="5" t="s">
        <v>240</v>
      </c>
      <c r="CF3391" s="5" t="s">
        <v>240</v>
      </c>
      <c r="CG3391" s="5" t="s">
        <v>304</v>
      </c>
      <c r="CH3391" s="5" t="s">
        <v>305</v>
      </c>
      <c r="CI3391" s="5" t="s">
        <v>240</v>
      </c>
      <c r="CK3391" s="5" t="s">
        <v>3681</v>
      </c>
      <c r="CL3391" s="6" t="s">
        <v>261</v>
      </c>
      <c r="CM3391" s="5" t="s">
        <v>262</v>
      </c>
      <c r="CN3391" s="5" t="s">
        <v>263</v>
      </c>
      <c r="CO3391" s="5" t="s">
        <v>264</v>
      </c>
      <c r="CP3391" s="5" t="s">
        <v>240</v>
      </c>
      <c r="CQ3391" s="5">
        <v>0</v>
      </c>
      <c r="CR3391" s="5" t="s">
        <v>735</v>
      </c>
      <c r="CS3391" s="5" t="s">
        <v>307</v>
      </c>
      <c r="CT3391" s="5" t="s">
        <v>307</v>
      </c>
      <c r="CU3391" s="5" t="s">
        <v>260</v>
      </c>
      <c r="CV3391" s="5" t="s">
        <v>612</v>
      </c>
      <c r="CW3391" s="8">
        <f>1</f>
        <v>1</v>
      </c>
      <c r="CX3391" s="7">
        <f>1</f>
        <v>1</v>
      </c>
      <c r="CY3391" s="7">
        <f>0</f>
        <v>0</v>
      </c>
      <c r="DA3391" s="7">
        <f>1</f>
        <v>1</v>
      </c>
      <c r="DB3391" s="7" t="s">
        <v>240</v>
      </c>
      <c r="DC3391" s="5" t="s">
        <v>240</v>
      </c>
      <c r="DD3391" s="5" t="s">
        <v>240</v>
      </c>
      <c r="DE3391" s="5" t="s">
        <v>240</v>
      </c>
      <c r="DF3391" s="5" t="s">
        <v>240</v>
      </c>
      <c r="DG3391" s="7">
        <f>0</f>
        <v>0</v>
      </c>
      <c r="DI3391" s="5" t="s">
        <v>240</v>
      </c>
      <c r="DJ3391" s="5" t="s">
        <v>240</v>
      </c>
      <c r="DK3391" s="5" t="s">
        <v>240</v>
      </c>
      <c r="DL3391" s="5" t="s">
        <v>240</v>
      </c>
      <c r="DM3391" s="5" t="s">
        <v>240</v>
      </c>
      <c r="DN3391" s="5" t="s">
        <v>240</v>
      </c>
      <c r="DO3391" s="7" t="s">
        <v>240</v>
      </c>
      <c r="DP3391" s="5" t="s">
        <v>240</v>
      </c>
      <c r="DQ3391" s="5" t="s">
        <v>240</v>
      </c>
      <c r="DR3391" s="5" t="s">
        <v>731</v>
      </c>
      <c r="DS3391" s="5" t="s">
        <v>731</v>
      </c>
      <c r="DT3391" s="5" t="s">
        <v>240</v>
      </c>
      <c r="DU3391" s="5" t="s">
        <v>240</v>
      </c>
      <c r="DV3391" s="5" t="s">
        <v>5063</v>
      </c>
      <c r="DW3391" s="5" t="s">
        <v>676</v>
      </c>
      <c r="DX3391" s="5" t="s">
        <v>240</v>
      </c>
      <c r="DY3391" s="5" t="s">
        <v>240</v>
      </c>
      <c r="DZ3391" s="5" t="s">
        <v>240</v>
      </c>
      <c r="EA3391" s="5" t="s">
        <v>240</v>
      </c>
      <c r="EB3391" s="5" t="s">
        <v>240</v>
      </c>
      <c r="EC3391" s="5" t="s">
        <v>240</v>
      </c>
      <c r="ED3391" s="5" t="s">
        <v>240</v>
      </c>
      <c r="EE3391" s="5" t="s">
        <v>240</v>
      </c>
      <c r="EF3391" s="5" t="s">
        <v>240</v>
      </c>
      <c r="EG3391" s="5" t="s">
        <v>240</v>
      </c>
      <c r="EH3391" s="5" t="s">
        <v>240</v>
      </c>
      <c r="EI3391" s="5" t="s">
        <v>240</v>
      </c>
      <c r="EJ3391" s="5" t="s">
        <v>240</v>
      </c>
      <c r="EK3391" s="5" t="s">
        <v>240</v>
      </c>
      <c r="EL3391" s="5" t="s">
        <v>240</v>
      </c>
      <c r="EM3391" s="5" t="s">
        <v>240</v>
      </c>
      <c r="EN3391" s="5" t="s">
        <v>240</v>
      </c>
      <c r="EO3391" s="5" t="s">
        <v>240</v>
      </c>
      <c r="EP3391" s="5" t="s">
        <v>240</v>
      </c>
      <c r="EQ3391" s="5" t="s">
        <v>240</v>
      </c>
      <c r="ER3391" s="5" t="s">
        <v>240</v>
      </c>
      <c r="ES3391" s="5" t="s">
        <v>240</v>
      </c>
      <c r="ET3391" s="5" t="s">
        <v>240</v>
      </c>
      <c r="EU3391" s="5" t="s">
        <v>240</v>
      </c>
      <c r="EV3391" s="5" t="s">
        <v>240</v>
      </c>
      <c r="EW3391" s="5" t="s">
        <v>240</v>
      </c>
      <c r="EX3391" s="5" t="s">
        <v>240</v>
      </c>
      <c r="EY3391" s="5" t="s">
        <v>240</v>
      </c>
      <c r="EZ3391" s="5" t="s">
        <v>240</v>
      </c>
      <c r="FA3391" s="5" t="s">
        <v>240</v>
      </c>
      <c r="FB3391" s="5" t="s">
        <v>240</v>
      </c>
      <c r="FC3391" s="5" t="s">
        <v>240</v>
      </c>
      <c r="FD3391" s="5" t="s">
        <v>240</v>
      </c>
      <c r="FE3391" s="5" t="s">
        <v>240</v>
      </c>
      <c r="FF3391" s="5" t="s">
        <v>240</v>
      </c>
      <c r="FG3391" s="5" t="s">
        <v>240</v>
      </c>
      <c r="FH3391" s="5" t="s">
        <v>240</v>
      </c>
      <c r="FI3391" s="5" t="s">
        <v>240</v>
      </c>
      <c r="FJ3391" s="5" t="s">
        <v>240</v>
      </c>
      <c r="FK3391" s="5" t="s">
        <v>240</v>
      </c>
      <c r="FL3391" s="5" t="s">
        <v>240</v>
      </c>
      <c r="FM3391" s="5" t="s">
        <v>240</v>
      </c>
      <c r="FN3391" s="5" t="s">
        <v>240</v>
      </c>
      <c r="FO3391" s="5" t="s">
        <v>240</v>
      </c>
      <c r="FP3391" s="5" t="s">
        <v>240</v>
      </c>
      <c r="FQ3391" s="5" t="s">
        <v>240</v>
      </c>
      <c r="FR3391" s="5" t="s">
        <v>240</v>
      </c>
      <c r="FS3391" s="5" t="s">
        <v>240</v>
      </c>
      <c r="FT3391" s="5" t="s">
        <v>240</v>
      </c>
      <c r="FU3391" s="5" t="s">
        <v>240</v>
      </c>
      <c r="FV3391" s="5" t="s">
        <v>240</v>
      </c>
      <c r="FW3391" s="5" t="s">
        <v>240</v>
      </c>
      <c r="FX3391" s="5" t="s">
        <v>240</v>
      </c>
      <c r="FY3391" s="5" t="s">
        <v>240</v>
      </c>
      <c r="FZ3391" s="5" t="s">
        <v>240</v>
      </c>
      <c r="GA3391" s="5" t="s">
        <v>240</v>
      </c>
      <c r="GB3391" s="5" t="s">
        <v>240</v>
      </c>
      <c r="GC3391" s="5" t="s">
        <v>240</v>
      </c>
      <c r="GD3391" s="5" t="s">
        <v>240</v>
      </c>
      <c r="GE3391" s="5" t="s">
        <v>240</v>
      </c>
      <c r="GF3391" s="5" t="s">
        <v>240</v>
      </c>
      <c r="GG3391" s="5" t="s">
        <v>240</v>
      </c>
      <c r="GH3391" s="5" t="s">
        <v>240</v>
      </c>
      <c r="GI3391" s="5" t="s">
        <v>240</v>
      </c>
      <c r="GJ3391" s="5" t="s">
        <v>240</v>
      </c>
      <c r="GK3391" s="5" t="s">
        <v>240</v>
      </c>
      <c r="GL3391" s="5" t="s">
        <v>240</v>
      </c>
      <c r="GM3391" s="5" t="s">
        <v>240</v>
      </c>
      <c r="GN3391" s="5" t="s">
        <v>240</v>
      </c>
      <c r="GO3391" s="5" t="s">
        <v>240</v>
      </c>
      <c r="GP3391" s="5" t="s">
        <v>240</v>
      </c>
      <c r="GQ3391" s="5" t="s">
        <v>240</v>
      </c>
      <c r="GR3391" s="5" t="s">
        <v>240</v>
      </c>
      <c r="GS3391" s="5" t="s">
        <v>240</v>
      </c>
      <c r="GT3391" s="5" t="s">
        <v>240</v>
      </c>
      <c r="GU3391" s="5" t="s">
        <v>240</v>
      </c>
      <c r="GV3391" s="5" t="s">
        <v>240</v>
      </c>
      <c r="GW3391" s="5" t="s">
        <v>240</v>
      </c>
      <c r="GX3391" s="5" t="s">
        <v>240</v>
      </c>
      <c r="GY3391" s="5" t="s">
        <v>240</v>
      </c>
      <c r="GZ3391" s="5" t="s">
        <v>240</v>
      </c>
      <c r="HA3391" s="5" t="s">
        <v>240</v>
      </c>
      <c r="HB3391" s="5" t="s">
        <v>240</v>
      </c>
      <c r="HC3391" s="5" t="s">
        <v>240</v>
      </c>
      <c r="HD3391" s="5" t="s">
        <v>240</v>
      </c>
      <c r="HE3391" s="5" t="s">
        <v>240</v>
      </c>
      <c r="HF3391" s="5" t="s">
        <v>240</v>
      </c>
      <c r="HG3391" s="5" t="s">
        <v>240</v>
      </c>
      <c r="HH3391" s="5" t="s">
        <v>240</v>
      </c>
      <c r="HI3391" s="5" t="s">
        <v>240</v>
      </c>
      <c r="HJ3391" s="5" t="s">
        <v>240</v>
      </c>
      <c r="HK3391" s="5" t="s">
        <v>240</v>
      </c>
      <c r="HL3391" s="5" t="s">
        <v>240</v>
      </c>
      <c r="HM3391" s="5" t="s">
        <v>240</v>
      </c>
      <c r="HN3391" s="5" t="s">
        <v>240</v>
      </c>
      <c r="HO3391" s="5" t="s">
        <v>312</v>
      </c>
      <c r="HP3391" s="5" t="s">
        <v>240</v>
      </c>
      <c r="HQ3391" s="5" t="s">
        <v>240</v>
      </c>
      <c r="HR3391" s="5" t="s">
        <v>240</v>
      </c>
      <c r="HS3391" s="5" t="s">
        <v>240</v>
      </c>
      <c r="HT3391" s="5" t="s">
        <v>240</v>
      </c>
      <c r="HU3391" s="5" t="s">
        <v>240</v>
      </c>
      <c r="HV3391" s="5" t="s">
        <v>240</v>
      </c>
      <c r="HW3391" s="5" t="s">
        <v>240</v>
      </c>
      <c r="HX3391" s="5" t="s">
        <v>240</v>
      </c>
      <c r="HY3391" s="5" t="s">
        <v>240</v>
      </c>
      <c r="HZ3391" s="5" t="s">
        <v>240</v>
      </c>
      <c r="IA3391" s="5" t="s">
        <v>240</v>
      </c>
      <c r="IB3391" s="5" t="s">
        <v>240</v>
      </c>
      <c r="IC3391" s="5" t="s">
        <v>240</v>
      </c>
      <c r="ID3391" s="5" t="s">
        <v>240</v>
      </c>
      <c r="IE3391" s="5" t="s">
        <v>240</v>
      </c>
      <c r="IF3391" s="5" t="s">
        <v>240</v>
      </c>
    </row>
    <row r="3392" spans="1:240" x14ac:dyDescent="0.4">
      <c r="A3392" s="5">
        <v>8934</v>
      </c>
      <c r="B3392" s="5">
        <v>1</v>
      </c>
      <c r="C3392" s="5">
        <v>1</v>
      </c>
      <c r="D3392" s="5" t="s">
        <v>723</v>
      </c>
      <c r="E3392" s="5" t="s">
        <v>725</v>
      </c>
      <c r="F3392" s="5" t="s">
        <v>730</v>
      </c>
      <c r="G3392" s="5" t="s">
        <v>726</v>
      </c>
      <c r="H3392" s="6" t="s">
        <v>6196</v>
      </c>
      <c r="I3392" s="5" t="s">
        <v>722</v>
      </c>
      <c r="J3392" s="8">
        <f>239</f>
        <v>239</v>
      </c>
      <c r="K3392" s="5" t="s">
        <v>308</v>
      </c>
      <c r="L3392" s="7">
        <f>0</f>
        <v>0</v>
      </c>
      <c r="M3392" s="7">
        <f>0</f>
        <v>0</v>
      </c>
      <c r="N3392" s="5" t="s">
        <v>242</v>
      </c>
      <c r="O3392" s="5">
        <v>1</v>
      </c>
      <c r="P3392" s="5" t="s">
        <v>294</v>
      </c>
      <c r="Q3392" s="5" t="s">
        <v>3678</v>
      </c>
      <c r="R3392" s="5" t="s">
        <v>240</v>
      </c>
      <c r="S3392" s="5" t="s">
        <v>240</v>
      </c>
      <c r="T3392" s="5" t="s">
        <v>243</v>
      </c>
      <c r="U3392" s="5" t="s">
        <v>244</v>
      </c>
      <c r="V3392" s="5" t="s">
        <v>240</v>
      </c>
      <c r="W3392" s="5" t="s">
        <v>240</v>
      </c>
      <c r="X3392" s="5" t="s">
        <v>240</v>
      </c>
      <c r="Y3392" s="5" t="s">
        <v>240</v>
      </c>
      <c r="Z3392" s="6" t="s">
        <v>298</v>
      </c>
      <c r="AA3392" s="6" t="s">
        <v>240</v>
      </c>
      <c r="AB3392" s="6" t="s">
        <v>240</v>
      </c>
      <c r="AC3392" s="5" t="s">
        <v>240</v>
      </c>
      <c r="AD3392" s="6" t="s">
        <v>240</v>
      </c>
      <c r="AE3392" s="6" t="s">
        <v>299</v>
      </c>
      <c r="AF3392" s="5" t="s">
        <v>248</v>
      </c>
      <c r="AG3392" s="5" t="s">
        <v>249</v>
      </c>
      <c r="AH3392" s="5" t="s">
        <v>240</v>
      </c>
      <c r="AI3392" s="5" t="s">
        <v>240</v>
      </c>
      <c r="AJ3392" s="5" t="s">
        <v>240</v>
      </c>
      <c r="AK3392" s="5" t="s">
        <v>240</v>
      </c>
      <c r="AL3392" s="5" t="s">
        <v>240</v>
      </c>
      <c r="AM3392" s="5" t="s">
        <v>240</v>
      </c>
      <c r="AN3392" s="5" t="s">
        <v>240</v>
      </c>
      <c r="AO3392" s="5" t="s">
        <v>240</v>
      </c>
      <c r="AP3392" s="6" t="s">
        <v>240</v>
      </c>
      <c r="AQ3392" s="6" t="s">
        <v>240</v>
      </c>
      <c r="AR3392" s="6" t="s">
        <v>240</v>
      </c>
      <c r="AS3392" s="6" t="s">
        <v>240</v>
      </c>
      <c r="AT3392" s="5" t="s">
        <v>240</v>
      </c>
      <c r="AU3392" s="5" t="s">
        <v>729</v>
      </c>
      <c r="AV3392" s="5" t="s">
        <v>729</v>
      </c>
      <c r="AW3392" s="5" t="s">
        <v>251</v>
      </c>
      <c r="AX3392" s="5" t="s">
        <v>252</v>
      </c>
      <c r="AY3392" s="5" t="s">
        <v>253</v>
      </c>
      <c r="AZ3392" s="5" t="s">
        <v>240</v>
      </c>
      <c r="BA3392" s="5" t="s">
        <v>255</v>
      </c>
      <c r="BB3392" s="5" t="s">
        <v>731</v>
      </c>
      <c r="BD3392" s="5" t="s">
        <v>240</v>
      </c>
      <c r="BF3392" s="5" t="s">
        <v>732</v>
      </c>
      <c r="BG3392" s="6" t="s">
        <v>733</v>
      </c>
      <c r="BH3392" s="5" t="s">
        <v>734</v>
      </c>
      <c r="BI3392" s="5" t="s">
        <v>734</v>
      </c>
      <c r="BJ3392" s="5" t="s">
        <v>240</v>
      </c>
      <c r="BK3392" s="7">
        <f>1</f>
        <v>1</v>
      </c>
      <c r="BL3392" s="7">
        <f>1</f>
        <v>1</v>
      </c>
      <c r="BM3392" s="5" t="s">
        <v>258</v>
      </c>
      <c r="BN3392" s="5" t="s">
        <v>259</v>
      </c>
      <c r="BO3392" s="5" t="s">
        <v>240</v>
      </c>
      <c r="BP3392" s="5" t="s">
        <v>240</v>
      </c>
      <c r="BQ3392" s="5" t="s">
        <v>240</v>
      </c>
      <c r="BR3392" s="5" t="s">
        <v>240</v>
      </c>
      <c r="BS3392" s="5" t="s">
        <v>240</v>
      </c>
      <c r="BT3392" s="5" t="s">
        <v>240</v>
      </c>
      <c r="BU3392" s="5" t="s">
        <v>240</v>
      </c>
      <c r="BV3392" s="5" t="s">
        <v>240</v>
      </c>
      <c r="BW3392" s="6" t="s">
        <v>240</v>
      </c>
      <c r="BX3392" s="5" t="s">
        <v>240</v>
      </c>
      <c r="BY3392" s="5" t="s">
        <v>240</v>
      </c>
      <c r="BZ3392" s="5" t="s">
        <v>240</v>
      </c>
      <c r="CA3392" s="5" t="s">
        <v>259</v>
      </c>
      <c r="CB3392" s="5" t="s">
        <v>240</v>
      </c>
      <c r="CC3392" s="5" t="s">
        <v>240</v>
      </c>
      <c r="CD3392" s="5" t="s">
        <v>240</v>
      </c>
      <c r="CE3392" s="5" t="s">
        <v>240</v>
      </c>
      <c r="CF3392" s="5" t="s">
        <v>240</v>
      </c>
      <c r="CG3392" s="5" t="s">
        <v>304</v>
      </c>
      <c r="CH3392" s="5" t="s">
        <v>305</v>
      </c>
      <c r="CI3392" s="5" t="s">
        <v>240</v>
      </c>
      <c r="CK3392" s="5" t="s">
        <v>3681</v>
      </c>
      <c r="CL3392" s="6" t="s">
        <v>261</v>
      </c>
      <c r="CM3392" s="5" t="s">
        <v>262</v>
      </c>
      <c r="CN3392" s="5" t="s">
        <v>263</v>
      </c>
      <c r="CO3392" s="5" t="s">
        <v>264</v>
      </c>
      <c r="CP3392" s="5" t="s">
        <v>240</v>
      </c>
      <c r="CQ3392" s="5">
        <v>0</v>
      </c>
      <c r="CR3392" s="5" t="s">
        <v>735</v>
      </c>
      <c r="CS3392" s="5" t="s">
        <v>307</v>
      </c>
      <c r="CT3392" s="5" t="s">
        <v>307</v>
      </c>
      <c r="CU3392" s="5" t="s">
        <v>260</v>
      </c>
      <c r="CV3392" s="5" t="s">
        <v>612</v>
      </c>
      <c r="CW3392" s="8">
        <f>1</f>
        <v>1</v>
      </c>
      <c r="CX3392" s="7">
        <f>1</f>
        <v>1</v>
      </c>
      <c r="CY3392" s="7">
        <f>0</f>
        <v>0</v>
      </c>
      <c r="DA3392" s="7">
        <f>1</f>
        <v>1</v>
      </c>
      <c r="DB3392" s="7" t="s">
        <v>240</v>
      </c>
      <c r="DC3392" s="5" t="s">
        <v>240</v>
      </c>
      <c r="DD3392" s="5" t="s">
        <v>240</v>
      </c>
      <c r="DE3392" s="5" t="s">
        <v>240</v>
      </c>
      <c r="DF3392" s="5" t="s">
        <v>240</v>
      </c>
      <c r="DG3392" s="7">
        <f>0</f>
        <v>0</v>
      </c>
      <c r="DI3392" s="5" t="s">
        <v>240</v>
      </c>
      <c r="DJ3392" s="5" t="s">
        <v>240</v>
      </c>
      <c r="DK3392" s="5" t="s">
        <v>240</v>
      </c>
      <c r="DL3392" s="5" t="s">
        <v>240</v>
      </c>
      <c r="DM3392" s="5" t="s">
        <v>240</v>
      </c>
      <c r="DN3392" s="5" t="s">
        <v>240</v>
      </c>
      <c r="DO3392" s="7" t="s">
        <v>240</v>
      </c>
      <c r="DP3392" s="5" t="s">
        <v>240</v>
      </c>
      <c r="DQ3392" s="5" t="s">
        <v>240</v>
      </c>
      <c r="DR3392" s="5" t="s">
        <v>731</v>
      </c>
      <c r="DS3392" s="5" t="s">
        <v>731</v>
      </c>
      <c r="DT3392" s="5" t="s">
        <v>240</v>
      </c>
      <c r="DU3392" s="5" t="s">
        <v>240</v>
      </c>
      <c r="DV3392" s="5" t="s">
        <v>5063</v>
      </c>
      <c r="DW3392" s="5" t="s">
        <v>1184</v>
      </c>
      <c r="DX3392" s="5" t="s">
        <v>240</v>
      </c>
      <c r="DY3392" s="5" t="s">
        <v>240</v>
      </c>
      <c r="DZ3392" s="5" t="s">
        <v>240</v>
      </c>
      <c r="EA3392" s="5" t="s">
        <v>240</v>
      </c>
      <c r="EB3392" s="5" t="s">
        <v>240</v>
      </c>
      <c r="EC3392" s="5" t="s">
        <v>240</v>
      </c>
      <c r="ED3392" s="5" t="s">
        <v>240</v>
      </c>
      <c r="EE3392" s="5" t="s">
        <v>240</v>
      </c>
      <c r="EF3392" s="5" t="s">
        <v>240</v>
      </c>
      <c r="EG3392" s="5" t="s">
        <v>240</v>
      </c>
      <c r="EH3392" s="5" t="s">
        <v>240</v>
      </c>
      <c r="EI3392" s="5" t="s">
        <v>240</v>
      </c>
      <c r="EJ3392" s="5" t="s">
        <v>240</v>
      </c>
      <c r="EK3392" s="5" t="s">
        <v>240</v>
      </c>
      <c r="EL3392" s="5" t="s">
        <v>240</v>
      </c>
      <c r="EM3392" s="5" t="s">
        <v>240</v>
      </c>
      <c r="EN3392" s="5" t="s">
        <v>240</v>
      </c>
      <c r="EO3392" s="5" t="s">
        <v>240</v>
      </c>
      <c r="EP3392" s="5" t="s">
        <v>240</v>
      </c>
      <c r="EQ3392" s="5" t="s">
        <v>240</v>
      </c>
      <c r="ER3392" s="5" t="s">
        <v>240</v>
      </c>
      <c r="ES3392" s="5" t="s">
        <v>240</v>
      </c>
      <c r="ET3392" s="5" t="s">
        <v>240</v>
      </c>
      <c r="EU3392" s="5" t="s">
        <v>240</v>
      </c>
      <c r="EV3392" s="5" t="s">
        <v>240</v>
      </c>
      <c r="EW3392" s="5" t="s">
        <v>240</v>
      </c>
      <c r="EX3392" s="5" t="s">
        <v>240</v>
      </c>
      <c r="EY3392" s="5" t="s">
        <v>240</v>
      </c>
      <c r="EZ3392" s="5" t="s">
        <v>240</v>
      </c>
      <c r="FA3392" s="5" t="s">
        <v>240</v>
      </c>
      <c r="FB3392" s="5" t="s">
        <v>240</v>
      </c>
      <c r="FC3392" s="5" t="s">
        <v>240</v>
      </c>
      <c r="FD3392" s="5" t="s">
        <v>240</v>
      </c>
      <c r="FE3392" s="5" t="s">
        <v>240</v>
      </c>
      <c r="FF3392" s="5" t="s">
        <v>240</v>
      </c>
      <c r="FG3392" s="5" t="s">
        <v>240</v>
      </c>
      <c r="FH3392" s="5" t="s">
        <v>240</v>
      </c>
      <c r="FI3392" s="5" t="s">
        <v>240</v>
      </c>
      <c r="FJ3392" s="5" t="s">
        <v>240</v>
      </c>
      <c r="FK3392" s="5" t="s">
        <v>240</v>
      </c>
      <c r="FL3392" s="5" t="s">
        <v>240</v>
      </c>
      <c r="FM3392" s="5" t="s">
        <v>240</v>
      </c>
      <c r="FN3392" s="5" t="s">
        <v>240</v>
      </c>
      <c r="FO3392" s="5" t="s">
        <v>240</v>
      </c>
      <c r="FP3392" s="5" t="s">
        <v>240</v>
      </c>
      <c r="FQ3392" s="5" t="s">
        <v>240</v>
      </c>
      <c r="FR3392" s="5" t="s">
        <v>240</v>
      </c>
      <c r="FS3392" s="5" t="s">
        <v>240</v>
      </c>
      <c r="FT3392" s="5" t="s">
        <v>240</v>
      </c>
      <c r="FU3392" s="5" t="s">
        <v>240</v>
      </c>
      <c r="FV3392" s="5" t="s">
        <v>240</v>
      </c>
      <c r="FW3392" s="5" t="s">
        <v>240</v>
      </c>
      <c r="FX3392" s="5" t="s">
        <v>240</v>
      </c>
      <c r="FY3392" s="5" t="s">
        <v>240</v>
      </c>
      <c r="FZ3392" s="5" t="s">
        <v>240</v>
      </c>
      <c r="GA3392" s="5" t="s">
        <v>240</v>
      </c>
      <c r="GB3392" s="5" t="s">
        <v>240</v>
      </c>
      <c r="GC3392" s="5" t="s">
        <v>240</v>
      </c>
      <c r="GD3392" s="5" t="s">
        <v>240</v>
      </c>
      <c r="GE3392" s="5" t="s">
        <v>240</v>
      </c>
      <c r="GF3392" s="5" t="s">
        <v>240</v>
      </c>
      <c r="GG3392" s="5" t="s">
        <v>240</v>
      </c>
      <c r="GH3392" s="5" t="s">
        <v>240</v>
      </c>
      <c r="GI3392" s="5" t="s">
        <v>240</v>
      </c>
      <c r="GJ3392" s="5" t="s">
        <v>240</v>
      </c>
      <c r="GK3392" s="5" t="s">
        <v>240</v>
      </c>
      <c r="GL3392" s="5" t="s">
        <v>240</v>
      </c>
      <c r="GM3392" s="5" t="s">
        <v>240</v>
      </c>
      <c r="GN3392" s="5" t="s">
        <v>240</v>
      </c>
      <c r="GO3392" s="5" t="s">
        <v>240</v>
      </c>
      <c r="GP3392" s="5" t="s">
        <v>240</v>
      </c>
      <c r="GQ3392" s="5" t="s">
        <v>240</v>
      </c>
      <c r="GR3392" s="5" t="s">
        <v>240</v>
      </c>
      <c r="GS3392" s="5" t="s">
        <v>240</v>
      </c>
      <c r="GT3392" s="5" t="s">
        <v>240</v>
      </c>
      <c r="GU3392" s="5" t="s">
        <v>240</v>
      </c>
      <c r="GV3392" s="5" t="s">
        <v>240</v>
      </c>
      <c r="GW3392" s="5" t="s">
        <v>240</v>
      </c>
      <c r="GX3392" s="5" t="s">
        <v>240</v>
      </c>
      <c r="GY3392" s="5" t="s">
        <v>240</v>
      </c>
      <c r="GZ3392" s="5" t="s">
        <v>240</v>
      </c>
      <c r="HA3392" s="5" t="s">
        <v>240</v>
      </c>
      <c r="HB3392" s="5" t="s">
        <v>240</v>
      </c>
      <c r="HC3392" s="5" t="s">
        <v>240</v>
      </c>
      <c r="HD3392" s="5" t="s">
        <v>240</v>
      </c>
      <c r="HE3392" s="5" t="s">
        <v>240</v>
      </c>
      <c r="HF3392" s="5" t="s">
        <v>240</v>
      </c>
      <c r="HG3392" s="5" t="s">
        <v>240</v>
      </c>
      <c r="HH3392" s="5" t="s">
        <v>240</v>
      </c>
      <c r="HI3392" s="5" t="s">
        <v>240</v>
      </c>
      <c r="HJ3392" s="5" t="s">
        <v>240</v>
      </c>
      <c r="HK3392" s="5" t="s">
        <v>240</v>
      </c>
      <c r="HL3392" s="5" t="s">
        <v>240</v>
      </c>
      <c r="HM3392" s="5" t="s">
        <v>240</v>
      </c>
      <c r="HN3392" s="5" t="s">
        <v>240</v>
      </c>
      <c r="HO3392" s="5" t="s">
        <v>312</v>
      </c>
      <c r="HP3392" s="5" t="s">
        <v>240</v>
      </c>
      <c r="HQ3392" s="5" t="s">
        <v>240</v>
      </c>
      <c r="HR3392" s="5" t="s">
        <v>240</v>
      </c>
      <c r="HS3392" s="5" t="s">
        <v>240</v>
      </c>
      <c r="HT3392" s="5" t="s">
        <v>240</v>
      </c>
      <c r="HU3392" s="5" t="s">
        <v>240</v>
      </c>
      <c r="HV3392" s="5" t="s">
        <v>240</v>
      </c>
      <c r="HW3392" s="5" t="s">
        <v>240</v>
      </c>
      <c r="HX3392" s="5" t="s">
        <v>240</v>
      </c>
      <c r="HY3392" s="5" t="s">
        <v>240</v>
      </c>
      <c r="HZ3392" s="5" t="s">
        <v>240</v>
      </c>
      <c r="IA3392" s="5" t="s">
        <v>240</v>
      </c>
      <c r="IB3392" s="5" t="s">
        <v>240</v>
      </c>
      <c r="IC3392" s="5" t="s">
        <v>240</v>
      </c>
      <c r="ID3392" s="5" t="s">
        <v>240</v>
      </c>
      <c r="IE3392" s="5" t="s">
        <v>240</v>
      </c>
      <c r="IF3392" s="5" t="s">
        <v>240</v>
      </c>
    </row>
    <row r="3393" spans="1:240" x14ac:dyDescent="0.4">
      <c r="A3393" s="5">
        <v>8935</v>
      </c>
      <c r="B3393" s="5">
        <v>1</v>
      </c>
      <c r="C3393" s="5">
        <v>1</v>
      </c>
      <c r="D3393" s="5" t="s">
        <v>723</v>
      </c>
      <c r="E3393" s="5" t="s">
        <v>725</v>
      </c>
      <c r="F3393" s="5" t="s">
        <v>730</v>
      </c>
      <c r="G3393" s="5" t="s">
        <v>726</v>
      </c>
      <c r="H3393" s="6" t="s">
        <v>6195</v>
      </c>
      <c r="I3393" s="5" t="s">
        <v>722</v>
      </c>
      <c r="J3393" s="8">
        <f>777</f>
        <v>777</v>
      </c>
      <c r="K3393" s="5" t="s">
        <v>308</v>
      </c>
      <c r="L3393" s="7">
        <f>0</f>
        <v>0</v>
      </c>
      <c r="M3393" s="7">
        <f>0</f>
        <v>0</v>
      </c>
      <c r="N3393" s="5" t="s">
        <v>242</v>
      </c>
      <c r="O3393" s="5">
        <v>1</v>
      </c>
      <c r="P3393" s="5" t="s">
        <v>294</v>
      </c>
      <c r="Q3393" s="5" t="s">
        <v>3678</v>
      </c>
      <c r="R3393" s="5" t="s">
        <v>240</v>
      </c>
      <c r="S3393" s="5" t="s">
        <v>240</v>
      </c>
      <c r="T3393" s="5" t="s">
        <v>243</v>
      </c>
      <c r="U3393" s="5" t="s">
        <v>244</v>
      </c>
      <c r="V3393" s="5" t="s">
        <v>240</v>
      </c>
      <c r="W3393" s="5" t="s">
        <v>240</v>
      </c>
      <c r="X3393" s="5" t="s">
        <v>240</v>
      </c>
      <c r="Y3393" s="5" t="s">
        <v>240</v>
      </c>
      <c r="Z3393" s="6" t="s">
        <v>298</v>
      </c>
      <c r="AA3393" s="6" t="s">
        <v>240</v>
      </c>
      <c r="AB3393" s="6" t="s">
        <v>240</v>
      </c>
      <c r="AC3393" s="5" t="s">
        <v>240</v>
      </c>
      <c r="AD3393" s="6" t="s">
        <v>240</v>
      </c>
      <c r="AE3393" s="6" t="s">
        <v>299</v>
      </c>
      <c r="AF3393" s="5" t="s">
        <v>248</v>
      </c>
      <c r="AG3393" s="5" t="s">
        <v>249</v>
      </c>
      <c r="AH3393" s="5" t="s">
        <v>240</v>
      </c>
      <c r="AI3393" s="5" t="s">
        <v>240</v>
      </c>
      <c r="AJ3393" s="5" t="s">
        <v>240</v>
      </c>
      <c r="AK3393" s="5" t="s">
        <v>240</v>
      </c>
      <c r="AL3393" s="5" t="s">
        <v>240</v>
      </c>
      <c r="AM3393" s="5" t="s">
        <v>240</v>
      </c>
      <c r="AN3393" s="5" t="s">
        <v>240</v>
      </c>
      <c r="AO3393" s="5" t="s">
        <v>240</v>
      </c>
      <c r="AP3393" s="6" t="s">
        <v>240</v>
      </c>
      <c r="AQ3393" s="6" t="s">
        <v>240</v>
      </c>
      <c r="AR3393" s="6" t="s">
        <v>240</v>
      </c>
      <c r="AS3393" s="6" t="s">
        <v>240</v>
      </c>
      <c r="AT3393" s="5" t="s">
        <v>240</v>
      </c>
      <c r="AU3393" s="5" t="s">
        <v>729</v>
      </c>
      <c r="AV3393" s="5" t="s">
        <v>729</v>
      </c>
      <c r="AW3393" s="5" t="s">
        <v>251</v>
      </c>
      <c r="AX3393" s="5" t="s">
        <v>252</v>
      </c>
      <c r="AY3393" s="5" t="s">
        <v>253</v>
      </c>
      <c r="AZ3393" s="5" t="s">
        <v>240</v>
      </c>
      <c r="BA3393" s="5" t="s">
        <v>255</v>
      </c>
      <c r="BB3393" s="5" t="s">
        <v>731</v>
      </c>
      <c r="BD3393" s="5" t="s">
        <v>240</v>
      </c>
      <c r="BF3393" s="5" t="s">
        <v>732</v>
      </c>
      <c r="BG3393" s="6" t="s">
        <v>733</v>
      </c>
      <c r="BH3393" s="5" t="s">
        <v>734</v>
      </c>
      <c r="BI3393" s="5" t="s">
        <v>734</v>
      </c>
      <c r="BJ3393" s="5" t="s">
        <v>240</v>
      </c>
      <c r="BK3393" s="7">
        <f>1</f>
        <v>1</v>
      </c>
      <c r="BL3393" s="7">
        <f>1</f>
        <v>1</v>
      </c>
      <c r="BM3393" s="5" t="s">
        <v>258</v>
      </c>
      <c r="BN3393" s="5" t="s">
        <v>259</v>
      </c>
      <c r="BO3393" s="5" t="s">
        <v>240</v>
      </c>
      <c r="BP3393" s="5" t="s">
        <v>240</v>
      </c>
      <c r="BQ3393" s="5" t="s">
        <v>240</v>
      </c>
      <c r="BR3393" s="5" t="s">
        <v>240</v>
      </c>
      <c r="BS3393" s="5" t="s">
        <v>240</v>
      </c>
      <c r="BT3393" s="5" t="s">
        <v>240</v>
      </c>
      <c r="BU3393" s="5" t="s">
        <v>240</v>
      </c>
      <c r="BV3393" s="5" t="s">
        <v>240</v>
      </c>
      <c r="BW3393" s="6" t="s">
        <v>240</v>
      </c>
      <c r="BX3393" s="5" t="s">
        <v>240</v>
      </c>
      <c r="BY3393" s="5" t="s">
        <v>240</v>
      </c>
      <c r="BZ3393" s="5" t="s">
        <v>240</v>
      </c>
      <c r="CA3393" s="5" t="s">
        <v>259</v>
      </c>
      <c r="CB3393" s="5" t="s">
        <v>240</v>
      </c>
      <c r="CC3393" s="5" t="s">
        <v>240</v>
      </c>
      <c r="CD3393" s="5" t="s">
        <v>240</v>
      </c>
      <c r="CE3393" s="5" t="s">
        <v>240</v>
      </c>
      <c r="CF3393" s="5" t="s">
        <v>240</v>
      </c>
      <c r="CG3393" s="5" t="s">
        <v>304</v>
      </c>
      <c r="CH3393" s="5" t="s">
        <v>305</v>
      </c>
      <c r="CI3393" s="5" t="s">
        <v>240</v>
      </c>
      <c r="CK3393" s="5" t="s">
        <v>3681</v>
      </c>
      <c r="CL3393" s="6" t="s">
        <v>261</v>
      </c>
      <c r="CM3393" s="5" t="s">
        <v>262</v>
      </c>
      <c r="CN3393" s="5" t="s">
        <v>263</v>
      </c>
      <c r="CO3393" s="5" t="s">
        <v>264</v>
      </c>
      <c r="CP3393" s="5" t="s">
        <v>240</v>
      </c>
      <c r="CQ3393" s="5">
        <v>0</v>
      </c>
      <c r="CR3393" s="5" t="s">
        <v>735</v>
      </c>
      <c r="CS3393" s="5" t="s">
        <v>307</v>
      </c>
      <c r="CT3393" s="5" t="s">
        <v>307</v>
      </c>
      <c r="CU3393" s="5" t="s">
        <v>260</v>
      </c>
      <c r="CV3393" s="5" t="s">
        <v>612</v>
      </c>
      <c r="CW3393" s="8">
        <f>1</f>
        <v>1</v>
      </c>
      <c r="CX3393" s="7">
        <f>1</f>
        <v>1</v>
      </c>
      <c r="CY3393" s="7">
        <f>0</f>
        <v>0</v>
      </c>
      <c r="DA3393" s="7">
        <f>1</f>
        <v>1</v>
      </c>
      <c r="DB3393" s="7" t="s">
        <v>240</v>
      </c>
      <c r="DC3393" s="5" t="s">
        <v>240</v>
      </c>
      <c r="DD3393" s="5" t="s">
        <v>240</v>
      </c>
      <c r="DE3393" s="5" t="s">
        <v>240</v>
      </c>
      <c r="DF3393" s="5" t="s">
        <v>240</v>
      </c>
      <c r="DG3393" s="7">
        <f>0</f>
        <v>0</v>
      </c>
      <c r="DI3393" s="5" t="s">
        <v>240</v>
      </c>
      <c r="DJ3393" s="5" t="s">
        <v>240</v>
      </c>
      <c r="DK3393" s="5" t="s">
        <v>240</v>
      </c>
      <c r="DL3393" s="5" t="s">
        <v>240</v>
      </c>
      <c r="DM3393" s="5" t="s">
        <v>240</v>
      </c>
      <c r="DN3393" s="5" t="s">
        <v>240</v>
      </c>
      <c r="DO3393" s="7" t="s">
        <v>240</v>
      </c>
      <c r="DP3393" s="5" t="s">
        <v>240</v>
      </c>
      <c r="DQ3393" s="5" t="s">
        <v>240</v>
      </c>
      <c r="DR3393" s="5" t="s">
        <v>731</v>
      </c>
      <c r="DS3393" s="5" t="s">
        <v>731</v>
      </c>
      <c r="DT3393" s="5" t="s">
        <v>240</v>
      </c>
      <c r="DU3393" s="5" t="s">
        <v>240</v>
      </c>
      <c r="DV3393" s="5" t="s">
        <v>3683</v>
      </c>
      <c r="DW3393" s="5" t="s">
        <v>564</v>
      </c>
      <c r="DX3393" s="5" t="s">
        <v>240</v>
      </c>
      <c r="DY3393" s="5" t="s">
        <v>240</v>
      </c>
      <c r="DZ3393" s="5" t="s">
        <v>240</v>
      </c>
      <c r="EA3393" s="5" t="s">
        <v>240</v>
      </c>
      <c r="EB3393" s="5" t="s">
        <v>240</v>
      </c>
      <c r="EC3393" s="5" t="s">
        <v>240</v>
      </c>
      <c r="ED3393" s="5" t="s">
        <v>240</v>
      </c>
      <c r="EE3393" s="5" t="s">
        <v>240</v>
      </c>
      <c r="EF3393" s="5" t="s">
        <v>240</v>
      </c>
      <c r="EG3393" s="5" t="s">
        <v>240</v>
      </c>
      <c r="EH3393" s="5" t="s">
        <v>240</v>
      </c>
      <c r="EI3393" s="5" t="s">
        <v>240</v>
      </c>
      <c r="EJ3393" s="5" t="s">
        <v>240</v>
      </c>
      <c r="EK3393" s="5" t="s">
        <v>240</v>
      </c>
      <c r="EL3393" s="5" t="s">
        <v>240</v>
      </c>
      <c r="EM3393" s="5" t="s">
        <v>240</v>
      </c>
      <c r="EN3393" s="5" t="s">
        <v>240</v>
      </c>
      <c r="EO3393" s="5" t="s">
        <v>240</v>
      </c>
      <c r="EP3393" s="5" t="s">
        <v>240</v>
      </c>
      <c r="EQ3393" s="5" t="s">
        <v>240</v>
      </c>
      <c r="ER3393" s="5" t="s">
        <v>240</v>
      </c>
      <c r="ES3393" s="5" t="s">
        <v>240</v>
      </c>
      <c r="ET3393" s="5" t="s">
        <v>240</v>
      </c>
      <c r="EU3393" s="5" t="s">
        <v>240</v>
      </c>
      <c r="EV3393" s="5" t="s">
        <v>240</v>
      </c>
      <c r="EW3393" s="5" t="s">
        <v>240</v>
      </c>
      <c r="EX3393" s="5" t="s">
        <v>240</v>
      </c>
      <c r="EY3393" s="5" t="s">
        <v>240</v>
      </c>
      <c r="EZ3393" s="5" t="s">
        <v>240</v>
      </c>
      <c r="FA3393" s="5" t="s">
        <v>240</v>
      </c>
      <c r="FB3393" s="5" t="s">
        <v>240</v>
      </c>
      <c r="FC3393" s="5" t="s">
        <v>240</v>
      </c>
      <c r="FD3393" s="5" t="s">
        <v>240</v>
      </c>
      <c r="FE3393" s="5" t="s">
        <v>240</v>
      </c>
      <c r="FF3393" s="5" t="s">
        <v>240</v>
      </c>
      <c r="FG3393" s="5" t="s">
        <v>240</v>
      </c>
      <c r="FH3393" s="5" t="s">
        <v>240</v>
      </c>
      <c r="FI3393" s="5" t="s">
        <v>240</v>
      </c>
      <c r="FJ3393" s="5" t="s">
        <v>240</v>
      </c>
      <c r="FK3393" s="5" t="s">
        <v>240</v>
      </c>
      <c r="FL3393" s="5" t="s">
        <v>240</v>
      </c>
      <c r="FM3393" s="5" t="s">
        <v>240</v>
      </c>
      <c r="FN3393" s="5" t="s">
        <v>240</v>
      </c>
      <c r="FO3393" s="5" t="s">
        <v>240</v>
      </c>
      <c r="FP3393" s="5" t="s">
        <v>240</v>
      </c>
      <c r="FQ3393" s="5" t="s">
        <v>240</v>
      </c>
      <c r="FR3393" s="5" t="s">
        <v>240</v>
      </c>
      <c r="FS3393" s="5" t="s">
        <v>240</v>
      </c>
      <c r="FT3393" s="5" t="s">
        <v>240</v>
      </c>
      <c r="FU3393" s="5" t="s">
        <v>240</v>
      </c>
      <c r="FV3393" s="5" t="s">
        <v>240</v>
      </c>
      <c r="FW3393" s="5" t="s">
        <v>240</v>
      </c>
      <c r="FX3393" s="5" t="s">
        <v>240</v>
      </c>
      <c r="FY3393" s="5" t="s">
        <v>240</v>
      </c>
      <c r="FZ3393" s="5" t="s">
        <v>240</v>
      </c>
      <c r="GA3393" s="5" t="s">
        <v>240</v>
      </c>
      <c r="GB3393" s="5" t="s">
        <v>240</v>
      </c>
      <c r="GC3393" s="5" t="s">
        <v>240</v>
      </c>
      <c r="GD3393" s="5" t="s">
        <v>240</v>
      </c>
      <c r="GE3393" s="5" t="s">
        <v>240</v>
      </c>
      <c r="GF3393" s="5" t="s">
        <v>240</v>
      </c>
      <c r="GG3393" s="5" t="s">
        <v>240</v>
      </c>
      <c r="GH3393" s="5" t="s">
        <v>240</v>
      </c>
      <c r="GI3393" s="5" t="s">
        <v>240</v>
      </c>
      <c r="GJ3393" s="5" t="s">
        <v>240</v>
      </c>
      <c r="GK3393" s="5" t="s">
        <v>240</v>
      </c>
      <c r="GL3393" s="5" t="s">
        <v>240</v>
      </c>
      <c r="GM3393" s="5" t="s">
        <v>240</v>
      </c>
      <c r="GN3393" s="5" t="s">
        <v>240</v>
      </c>
      <c r="GO3393" s="5" t="s">
        <v>240</v>
      </c>
      <c r="GP3393" s="5" t="s">
        <v>240</v>
      </c>
      <c r="GQ3393" s="5" t="s">
        <v>240</v>
      </c>
      <c r="GR3393" s="5" t="s">
        <v>240</v>
      </c>
      <c r="GS3393" s="5" t="s">
        <v>240</v>
      </c>
      <c r="GT3393" s="5" t="s">
        <v>240</v>
      </c>
      <c r="GU3393" s="5" t="s">
        <v>240</v>
      </c>
      <c r="GV3393" s="5" t="s">
        <v>240</v>
      </c>
      <c r="GW3393" s="5" t="s">
        <v>240</v>
      </c>
      <c r="GX3393" s="5" t="s">
        <v>240</v>
      </c>
      <c r="GY3393" s="5" t="s">
        <v>240</v>
      </c>
      <c r="GZ3393" s="5" t="s">
        <v>240</v>
      </c>
      <c r="HA3393" s="5" t="s">
        <v>240</v>
      </c>
      <c r="HB3393" s="5" t="s">
        <v>240</v>
      </c>
      <c r="HC3393" s="5" t="s">
        <v>240</v>
      </c>
      <c r="HD3393" s="5" t="s">
        <v>240</v>
      </c>
      <c r="HE3393" s="5" t="s">
        <v>240</v>
      </c>
      <c r="HF3393" s="5" t="s">
        <v>240</v>
      </c>
      <c r="HG3393" s="5" t="s">
        <v>240</v>
      </c>
      <c r="HH3393" s="5" t="s">
        <v>240</v>
      </c>
      <c r="HI3393" s="5" t="s">
        <v>240</v>
      </c>
      <c r="HJ3393" s="5" t="s">
        <v>240</v>
      </c>
      <c r="HK3393" s="5" t="s">
        <v>240</v>
      </c>
      <c r="HL3393" s="5" t="s">
        <v>240</v>
      </c>
      <c r="HM3393" s="5" t="s">
        <v>240</v>
      </c>
      <c r="HN3393" s="5" t="s">
        <v>240</v>
      </c>
      <c r="HO3393" s="5" t="s">
        <v>312</v>
      </c>
      <c r="HP3393" s="5" t="s">
        <v>240</v>
      </c>
      <c r="HQ3393" s="5" t="s">
        <v>240</v>
      </c>
      <c r="HR3393" s="5" t="s">
        <v>240</v>
      </c>
      <c r="HS3393" s="5" t="s">
        <v>240</v>
      </c>
      <c r="HT3393" s="5" t="s">
        <v>240</v>
      </c>
      <c r="HU3393" s="5" t="s">
        <v>240</v>
      </c>
      <c r="HV3393" s="5" t="s">
        <v>240</v>
      </c>
      <c r="HW3393" s="5" t="s">
        <v>240</v>
      </c>
      <c r="HX3393" s="5" t="s">
        <v>240</v>
      </c>
      <c r="HY3393" s="5" t="s">
        <v>240</v>
      </c>
      <c r="HZ3393" s="5" t="s">
        <v>240</v>
      </c>
      <c r="IA3393" s="5" t="s">
        <v>240</v>
      </c>
      <c r="IB3393" s="5" t="s">
        <v>240</v>
      </c>
      <c r="IC3393" s="5" t="s">
        <v>240</v>
      </c>
      <c r="ID3393" s="5" t="s">
        <v>240</v>
      </c>
      <c r="IE3393" s="5" t="s">
        <v>240</v>
      </c>
      <c r="IF3393" s="5" t="s">
        <v>240</v>
      </c>
    </row>
    <row r="3394" spans="1:240" x14ac:dyDescent="0.4">
      <c r="A3394" s="5">
        <v>8936</v>
      </c>
      <c r="B3394" s="5">
        <v>1</v>
      </c>
      <c r="C3394" s="5">
        <v>1</v>
      </c>
      <c r="D3394" s="5" t="s">
        <v>723</v>
      </c>
      <c r="E3394" s="5" t="s">
        <v>725</v>
      </c>
      <c r="F3394" s="5" t="s">
        <v>730</v>
      </c>
      <c r="G3394" s="5" t="s">
        <v>726</v>
      </c>
      <c r="H3394" s="6" t="s">
        <v>6194</v>
      </c>
      <c r="I3394" s="5" t="s">
        <v>722</v>
      </c>
      <c r="J3394" s="8">
        <f>1836</f>
        <v>1836</v>
      </c>
      <c r="K3394" s="5" t="s">
        <v>308</v>
      </c>
      <c r="L3394" s="7">
        <f>0</f>
        <v>0</v>
      </c>
      <c r="M3394" s="7">
        <f>0</f>
        <v>0</v>
      </c>
      <c r="N3394" s="5" t="s">
        <v>242</v>
      </c>
      <c r="O3394" s="5">
        <v>1</v>
      </c>
      <c r="P3394" s="5" t="s">
        <v>294</v>
      </c>
      <c r="Q3394" s="5" t="s">
        <v>3678</v>
      </c>
      <c r="R3394" s="5" t="s">
        <v>240</v>
      </c>
      <c r="S3394" s="5" t="s">
        <v>240</v>
      </c>
      <c r="T3394" s="5" t="s">
        <v>243</v>
      </c>
      <c r="U3394" s="5" t="s">
        <v>244</v>
      </c>
      <c r="V3394" s="5" t="s">
        <v>240</v>
      </c>
      <c r="W3394" s="5" t="s">
        <v>240</v>
      </c>
      <c r="X3394" s="5" t="s">
        <v>240</v>
      </c>
      <c r="Y3394" s="5" t="s">
        <v>240</v>
      </c>
      <c r="Z3394" s="6" t="s">
        <v>298</v>
      </c>
      <c r="AA3394" s="6" t="s">
        <v>240</v>
      </c>
      <c r="AB3394" s="6" t="s">
        <v>240</v>
      </c>
      <c r="AC3394" s="5" t="s">
        <v>240</v>
      </c>
      <c r="AD3394" s="6" t="s">
        <v>240</v>
      </c>
      <c r="AE3394" s="6" t="s">
        <v>299</v>
      </c>
      <c r="AF3394" s="5" t="s">
        <v>248</v>
      </c>
      <c r="AG3394" s="5" t="s">
        <v>249</v>
      </c>
      <c r="AH3394" s="5" t="s">
        <v>240</v>
      </c>
      <c r="AI3394" s="5" t="s">
        <v>240</v>
      </c>
      <c r="AJ3394" s="5" t="s">
        <v>240</v>
      </c>
      <c r="AK3394" s="5" t="s">
        <v>240</v>
      </c>
      <c r="AL3394" s="5" t="s">
        <v>240</v>
      </c>
      <c r="AM3394" s="5" t="s">
        <v>240</v>
      </c>
      <c r="AN3394" s="5" t="s">
        <v>240</v>
      </c>
      <c r="AO3394" s="5" t="s">
        <v>240</v>
      </c>
      <c r="AP3394" s="6" t="s">
        <v>240</v>
      </c>
      <c r="AQ3394" s="6" t="s">
        <v>240</v>
      </c>
      <c r="AR3394" s="6" t="s">
        <v>240</v>
      </c>
      <c r="AS3394" s="6" t="s">
        <v>240</v>
      </c>
      <c r="AT3394" s="5" t="s">
        <v>240</v>
      </c>
      <c r="AU3394" s="5" t="s">
        <v>729</v>
      </c>
      <c r="AV3394" s="5" t="s">
        <v>729</v>
      </c>
      <c r="AW3394" s="5" t="s">
        <v>251</v>
      </c>
      <c r="AX3394" s="5" t="s">
        <v>252</v>
      </c>
      <c r="AY3394" s="5" t="s">
        <v>253</v>
      </c>
      <c r="AZ3394" s="5" t="s">
        <v>240</v>
      </c>
      <c r="BA3394" s="5" t="s">
        <v>255</v>
      </c>
      <c r="BB3394" s="5" t="s">
        <v>731</v>
      </c>
      <c r="BD3394" s="5" t="s">
        <v>240</v>
      </c>
      <c r="BF3394" s="5" t="s">
        <v>732</v>
      </c>
      <c r="BG3394" s="6" t="s">
        <v>733</v>
      </c>
      <c r="BH3394" s="5" t="s">
        <v>734</v>
      </c>
      <c r="BI3394" s="5" t="s">
        <v>734</v>
      </c>
      <c r="BJ3394" s="5" t="s">
        <v>240</v>
      </c>
      <c r="BK3394" s="7">
        <f>1</f>
        <v>1</v>
      </c>
      <c r="BL3394" s="7">
        <f>1</f>
        <v>1</v>
      </c>
      <c r="BM3394" s="5" t="s">
        <v>258</v>
      </c>
      <c r="BN3394" s="5" t="s">
        <v>259</v>
      </c>
      <c r="BO3394" s="5" t="s">
        <v>240</v>
      </c>
      <c r="BP3394" s="5" t="s">
        <v>240</v>
      </c>
      <c r="BQ3394" s="5" t="s">
        <v>240</v>
      </c>
      <c r="BR3394" s="5" t="s">
        <v>240</v>
      </c>
      <c r="BS3394" s="5" t="s">
        <v>240</v>
      </c>
      <c r="BT3394" s="5" t="s">
        <v>240</v>
      </c>
      <c r="BU3394" s="5" t="s">
        <v>240</v>
      </c>
      <c r="BV3394" s="5" t="s">
        <v>240</v>
      </c>
      <c r="BW3394" s="6" t="s">
        <v>240</v>
      </c>
      <c r="BX3394" s="5" t="s">
        <v>240</v>
      </c>
      <c r="BY3394" s="5" t="s">
        <v>240</v>
      </c>
      <c r="BZ3394" s="5" t="s">
        <v>240</v>
      </c>
      <c r="CA3394" s="5" t="s">
        <v>259</v>
      </c>
      <c r="CB3394" s="5" t="s">
        <v>240</v>
      </c>
      <c r="CC3394" s="5" t="s">
        <v>240</v>
      </c>
      <c r="CD3394" s="5" t="s">
        <v>240</v>
      </c>
      <c r="CE3394" s="5" t="s">
        <v>240</v>
      </c>
      <c r="CF3394" s="5" t="s">
        <v>240</v>
      </c>
      <c r="CG3394" s="5" t="s">
        <v>304</v>
      </c>
      <c r="CH3394" s="5" t="s">
        <v>305</v>
      </c>
      <c r="CI3394" s="5" t="s">
        <v>240</v>
      </c>
      <c r="CK3394" s="5" t="s">
        <v>3681</v>
      </c>
      <c r="CL3394" s="6" t="s">
        <v>261</v>
      </c>
      <c r="CM3394" s="5" t="s">
        <v>262</v>
      </c>
      <c r="CN3394" s="5" t="s">
        <v>263</v>
      </c>
      <c r="CO3394" s="5" t="s">
        <v>264</v>
      </c>
      <c r="CP3394" s="5" t="s">
        <v>240</v>
      </c>
      <c r="CQ3394" s="5">
        <v>0</v>
      </c>
      <c r="CR3394" s="5" t="s">
        <v>735</v>
      </c>
      <c r="CS3394" s="5" t="s">
        <v>307</v>
      </c>
      <c r="CT3394" s="5" t="s">
        <v>307</v>
      </c>
      <c r="CU3394" s="5" t="s">
        <v>260</v>
      </c>
      <c r="CV3394" s="5" t="s">
        <v>612</v>
      </c>
      <c r="CW3394" s="8">
        <f>1</f>
        <v>1</v>
      </c>
      <c r="CX3394" s="7">
        <f>1</f>
        <v>1</v>
      </c>
      <c r="CY3394" s="7">
        <f>0</f>
        <v>0</v>
      </c>
      <c r="DA3394" s="7">
        <f>1</f>
        <v>1</v>
      </c>
      <c r="DB3394" s="7" t="s">
        <v>240</v>
      </c>
      <c r="DC3394" s="5" t="s">
        <v>240</v>
      </c>
      <c r="DD3394" s="5" t="s">
        <v>240</v>
      </c>
      <c r="DE3394" s="5" t="s">
        <v>240</v>
      </c>
      <c r="DF3394" s="5" t="s">
        <v>240</v>
      </c>
      <c r="DG3394" s="7">
        <f>0</f>
        <v>0</v>
      </c>
      <c r="DI3394" s="5" t="s">
        <v>240</v>
      </c>
      <c r="DJ3394" s="5" t="s">
        <v>240</v>
      </c>
      <c r="DK3394" s="5" t="s">
        <v>240</v>
      </c>
      <c r="DL3394" s="5" t="s">
        <v>240</v>
      </c>
      <c r="DM3394" s="5" t="s">
        <v>240</v>
      </c>
      <c r="DN3394" s="5" t="s">
        <v>240</v>
      </c>
      <c r="DO3394" s="7" t="s">
        <v>240</v>
      </c>
      <c r="DP3394" s="5" t="s">
        <v>240</v>
      </c>
      <c r="DQ3394" s="5" t="s">
        <v>240</v>
      </c>
      <c r="DR3394" s="5" t="s">
        <v>731</v>
      </c>
      <c r="DS3394" s="5" t="s">
        <v>731</v>
      </c>
      <c r="DT3394" s="5" t="s">
        <v>240</v>
      </c>
      <c r="DU3394" s="5" t="s">
        <v>240</v>
      </c>
      <c r="DV3394" s="5" t="s">
        <v>5063</v>
      </c>
      <c r="DW3394" s="5" t="s">
        <v>703</v>
      </c>
      <c r="DX3394" s="5" t="s">
        <v>240</v>
      </c>
      <c r="DY3394" s="5" t="s">
        <v>240</v>
      </c>
      <c r="DZ3394" s="5" t="s">
        <v>240</v>
      </c>
      <c r="EA3394" s="5" t="s">
        <v>240</v>
      </c>
      <c r="EB3394" s="5" t="s">
        <v>240</v>
      </c>
      <c r="EC3394" s="5" t="s">
        <v>240</v>
      </c>
      <c r="ED3394" s="5" t="s">
        <v>240</v>
      </c>
      <c r="EE3394" s="5" t="s">
        <v>240</v>
      </c>
      <c r="EF3394" s="5" t="s">
        <v>240</v>
      </c>
      <c r="EG3394" s="5" t="s">
        <v>240</v>
      </c>
      <c r="EH3394" s="5" t="s">
        <v>240</v>
      </c>
      <c r="EI3394" s="5" t="s">
        <v>240</v>
      </c>
      <c r="EJ3394" s="5" t="s">
        <v>240</v>
      </c>
      <c r="EK3394" s="5" t="s">
        <v>240</v>
      </c>
      <c r="EL3394" s="5" t="s">
        <v>240</v>
      </c>
      <c r="EM3394" s="5" t="s">
        <v>240</v>
      </c>
      <c r="EN3394" s="5" t="s">
        <v>240</v>
      </c>
      <c r="EO3394" s="5" t="s">
        <v>240</v>
      </c>
      <c r="EP3394" s="5" t="s">
        <v>240</v>
      </c>
      <c r="EQ3394" s="5" t="s">
        <v>240</v>
      </c>
      <c r="ER3394" s="5" t="s">
        <v>240</v>
      </c>
      <c r="ES3394" s="5" t="s">
        <v>240</v>
      </c>
      <c r="ET3394" s="5" t="s">
        <v>240</v>
      </c>
      <c r="EU3394" s="5" t="s">
        <v>240</v>
      </c>
      <c r="EV3394" s="5" t="s">
        <v>240</v>
      </c>
      <c r="EW3394" s="5" t="s">
        <v>240</v>
      </c>
      <c r="EX3394" s="5" t="s">
        <v>240</v>
      </c>
      <c r="EY3394" s="5" t="s">
        <v>240</v>
      </c>
      <c r="EZ3394" s="5" t="s">
        <v>240</v>
      </c>
      <c r="FA3394" s="5" t="s">
        <v>240</v>
      </c>
      <c r="FB3394" s="5" t="s">
        <v>240</v>
      </c>
      <c r="FC3394" s="5" t="s">
        <v>240</v>
      </c>
      <c r="FD3394" s="5" t="s">
        <v>240</v>
      </c>
      <c r="FE3394" s="5" t="s">
        <v>240</v>
      </c>
      <c r="FF3394" s="5" t="s">
        <v>240</v>
      </c>
      <c r="FG3394" s="5" t="s">
        <v>240</v>
      </c>
      <c r="FH3394" s="5" t="s">
        <v>240</v>
      </c>
      <c r="FI3394" s="5" t="s">
        <v>240</v>
      </c>
      <c r="FJ3394" s="5" t="s">
        <v>240</v>
      </c>
      <c r="FK3394" s="5" t="s">
        <v>240</v>
      </c>
      <c r="FL3394" s="5" t="s">
        <v>240</v>
      </c>
      <c r="FM3394" s="5" t="s">
        <v>240</v>
      </c>
      <c r="FN3394" s="5" t="s">
        <v>240</v>
      </c>
      <c r="FO3394" s="5" t="s">
        <v>240</v>
      </c>
      <c r="FP3394" s="5" t="s">
        <v>240</v>
      </c>
      <c r="FQ3394" s="5" t="s">
        <v>240</v>
      </c>
      <c r="FR3394" s="5" t="s">
        <v>240</v>
      </c>
      <c r="FS3394" s="5" t="s">
        <v>240</v>
      </c>
      <c r="FT3394" s="5" t="s">
        <v>240</v>
      </c>
      <c r="FU3394" s="5" t="s">
        <v>240</v>
      </c>
      <c r="FV3394" s="5" t="s">
        <v>240</v>
      </c>
      <c r="FW3394" s="5" t="s">
        <v>240</v>
      </c>
      <c r="FX3394" s="5" t="s">
        <v>240</v>
      </c>
      <c r="FY3394" s="5" t="s">
        <v>240</v>
      </c>
      <c r="FZ3394" s="5" t="s">
        <v>240</v>
      </c>
      <c r="GA3394" s="5" t="s">
        <v>240</v>
      </c>
      <c r="GB3394" s="5" t="s">
        <v>240</v>
      </c>
      <c r="GC3394" s="5" t="s">
        <v>240</v>
      </c>
      <c r="GD3394" s="5" t="s">
        <v>240</v>
      </c>
      <c r="GE3394" s="5" t="s">
        <v>240</v>
      </c>
      <c r="GF3394" s="5" t="s">
        <v>240</v>
      </c>
      <c r="GG3394" s="5" t="s">
        <v>240</v>
      </c>
      <c r="GH3394" s="5" t="s">
        <v>240</v>
      </c>
      <c r="GI3394" s="5" t="s">
        <v>240</v>
      </c>
      <c r="GJ3394" s="5" t="s">
        <v>240</v>
      </c>
      <c r="GK3394" s="5" t="s">
        <v>240</v>
      </c>
      <c r="GL3394" s="5" t="s">
        <v>240</v>
      </c>
      <c r="GM3394" s="5" t="s">
        <v>240</v>
      </c>
      <c r="GN3394" s="5" t="s">
        <v>240</v>
      </c>
      <c r="GO3394" s="5" t="s">
        <v>240</v>
      </c>
      <c r="GP3394" s="5" t="s">
        <v>240</v>
      </c>
      <c r="GQ3394" s="5" t="s">
        <v>240</v>
      </c>
      <c r="GR3394" s="5" t="s">
        <v>240</v>
      </c>
      <c r="GS3394" s="5" t="s">
        <v>240</v>
      </c>
      <c r="GT3394" s="5" t="s">
        <v>240</v>
      </c>
      <c r="GU3394" s="5" t="s">
        <v>240</v>
      </c>
      <c r="GV3394" s="5" t="s">
        <v>240</v>
      </c>
      <c r="GW3394" s="5" t="s">
        <v>240</v>
      </c>
      <c r="GX3394" s="5" t="s">
        <v>240</v>
      </c>
      <c r="GY3394" s="5" t="s">
        <v>240</v>
      </c>
      <c r="GZ3394" s="5" t="s">
        <v>240</v>
      </c>
      <c r="HA3394" s="5" t="s">
        <v>240</v>
      </c>
      <c r="HB3394" s="5" t="s">
        <v>240</v>
      </c>
      <c r="HC3394" s="5" t="s">
        <v>240</v>
      </c>
      <c r="HD3394" s="5" t="s">
        <v>240</v>
      </c>
      <c r="HE3394" s="5" t="s">
        <v>240</v>
      </c>
      <c r="HF3394" s="5" t="s">
        <v>240</v>
      </c>
      <c r="HG3394" s="5" t="s">
        <v>240</v>
      </c>
      <c r="HH3394" s="5" t="s">
        <v>240</v>
      </c>
      <c r="HI3394" s="5" t="s">
        <v>240</v>
      </c>
      <c r="HJ3394" s="5" t="s">
        <v>240</v>
      </c>
      <c r="HK3394" s="5" t="s">
        <v>240</v>
      </c>
      <c r="HL3394" s="5" t="s">
        <v>240</v>
      </c>
      <c r="HM3394" s="5" t="s">
        <v>240</v>
      </c>
      <c r="HN3394" s="5" t="s">
        <v>240</v>
      </c>
      <c r="HO3394" s="5" t="s">
        <v>312</v>
      </c>
      <c r="HP3394" s="5" t="s">
        <v>240</v>
      </c>
      <c r="HQ3394" s="5" t="s">
        <v>240</v>
      </c>
      <c r="HR3394" s="5" t="s">
        <v>240</v>
      </c>
      <c r="HS3394" s="5" t="s">
        <v>240</v>
      </c>
      <c r="HT3394" s="5" t="s">
        <v>240</v>
      </c>
      <c r="HU3394" s="5" t="s">
        <v>240</v>
      </c>
      <c r="HV3394" s="5" t="s">
        <v>240</v>
      </c>
      <c r="HW3394" s="5" t="s">
        <v>240</v>
      </c>
      <c r="HX3394" s="5" t="s">
        <v>240</v>
      </c>
      <c r="HY3394" s="5" t="s">
        <v>240</v>
      </c>
      <c r="HZ3394" s="5" t="s">
        <v>240</v>
      </c>
      <c r="IA3394" s="5" t="s">
        <v>240</v>
      </c>
      <c r="IB3394" s="5" t="s">
        <v>240</v>
      </c>
      <c r="IC3394" s="5" t="s">
        <v>240</v>
      </c>
      <c r="ID3394" s="5" t="s">
        <v>240</v>
      </c>
      <c r="IE3394" s="5" t="s">
        <v>240</v>
      </c>
      <c r="IF3394" s="5" t="s">
        <v>240</v>
      </c>
    </row>
    <row r="3395" spans="1:240" x14ac:dyDescent="0.4">
      <c r="A3395" s="5">
        <v>8937</v>
      </c>
      <c r="B3395" s="5">
        <v>1</v>
      </c>
      <c r="C3395" s="5">
        <v>1</v>
      </c>
      <c r="D3395" s="5" t="s">
        <v>723</v>
      </c>
      <c r="E3395" s="5" t="s">
        <v>725</v>
      </c>
      <c r="F3395" s="5" t="s">
        <v>730</v>
      </c>
      <c r="G3395" s="5" t="s">
        <v>726</v>
      </c>
      <c r="H3395" s="6" t="s">
        <v>6612</v>
      </c>
      <c r="I3395" s="5" t="s">
        <v>722</v>
      </c>
      <c r="J3395" s="8">
        <f>1122</f>
        <v>1122</v>
      </c>
      <c r="K3395" s="5" t="s">
        <v>308</v>
      </c>
      <c r="L3395" s="7">
        <f>0</f>
        <v>0</v>
      </c>
      <c r="M3395" s="7">
        <f>0</f>
        <v>0</v>
      </c>
      <c r="N3395" s="5" t="s">
        <v>242</v>
      </c>
      <c r="O3395" s="5">
        <v>1</v>
      </c>
      <c r="P3395" s="5" t="s">
        <v>294</v>
      </c>
      <c r="Q3395" s="5" t="s">
        <v>3678</v>
      </c>
      <c r="R3395" s="5" t="s">
        <v>240</v>
      </c>
      <c r="S3395" s="5" t="s">
        <v>240</v>
      </c>
      <c r="T3395" s="5" t="s">
        <v>243</v>
      </c>
      <c r="U3395" s="5" t="s">
        <v>244</v>
      </c>
      <c r="V3395" s="5" t="s">
        <v>240</v>
      </c>
      <c r="W3395" s="5" t="s">
        <v>240</v>
      </c>
      <c r="X3395" s="5" t="s">
        <v>240</v>
      </c>
      <c r="Y3395" s="5" t="s">
        <v>240</v>
      </c>
      <c r="Z3395" s="6" t="s">
        <v>298</v>
      </c>
      <c r="AA3395" s="6" t="s">
        <v>240</v>
      </c>
      <c r="AB3395" s="6" t="s">
        <v>240</v>
      </c>
      <c r="AC3395" s="5" t="s">
        <v>240</v>
      </c>
      <c r="AD3395" s="6" t="s">
        <v>240</v>
      </c>
      <c r="AE3395" s="6" t="s">
        <v>299</v>
      </c>
      <c r="AF3395" s="5" t="s">
        <v>248</v>
      </c>
      <c r="AG3395" s="5" t="s">
        <v>249</v>
      </c>
      <c r="AH3395" s="5" t="s">
        <v>240</v>
      </c>
      <c r="AI3395" s="5" t="s">
        <v>240</v>
      </c>
      <c r="AJ3395" s="5" t="s">
        <v>240</v>
      </c>
      <c r="AK3395" s="5" t="s">
        <v>240</v>
      </c>
      <c r="AL3395" s="5" t="s">
        <v>240</v>
      </c>
      <c r="AM3395" s="5" t="s">
        <v>240</v>
      </c>
      <c r="AN3395" s="5" t="s">
        <v>240</v>
      </c>
      <c r="AO3395" s="5" t="s">
        <v>240</v>
      </c>
      <c r="AP3395" s="6" t="s">
        <v>240</v>
      </c>
      <c r="AQ3395" s="6" t="s">
        <v>240</v>
      </c>
      <c r="AR3395" s="6" t="s">
        <v>240</v>
      </c>
      <c r="AS3395" s="6" t="s">
        <v>240</v>
      </c>
      <c r="AT3395" s="5" t="s">
        <v>240</v>
      </c>
      <c r="AU3395" s="5" t="s">
        <v>729</v>
      </c>
      <c r="AV3395" s="5" t="s">
        <v>729</v>
      </c>
      <c r="AW3395" s="5" t="s">
        <v>251</v>
      </c>
      <c r="AX3395" s="5" t="s">
        <v>252</v>
      </c>
      <c r="AY3395" s="5" t="s">
        <v>253</v>
      </c>
      <c r="AZ3395" s="5" t="s">
        <v>240</v>
      </c>
      <c r="BA3395" s="5" t="s">
        <v>255</v>
      </c>
      <c r="BB3395" s="5" t="s">
        <v>731</v>
      </c>
      <c r="BD3395" s="5" t="s">
        <v>240</v>
      </c>
      <c r="BF3395" s="5" t="s">
        <v>732</v>
      </c>
      <c r="BG3395" s="6" t="s">
        <v>733</v>
      </c>
      <c r="BH3395" s="5" t="s">
        <v>734</v>
      </c>
      <c r="BI3395" s="5" t="s">
        <v>734</v>
      </c>
      <c r="BJ3395" s="5" t="s">
        <v>240</v>
      </c>
      <c r="BK3395" s="7">
        <f>1</f>
        <v>1</v>
      </c>
      <c r="BL3395" s="7">
        <f>1</f>
        <v>1</v>
      </c>
      <c r="BM3395" s="5" t="s">
        <v>258</v>
      </c>
      <c r="BN3395" s="5" t="s">
        <v>259</v>
      </c>
      <c r="BO3395" s="5" t="s">
        <v>240</v>
      </c>
      <c r="BP3395" s="5" t="s">
        <v>240</v>
      </c>
      <c r="BQ3395" s="5" t="s">
        <v>240</v>
      </c>
      <c r="BR3395" s="5" t="s">
        <v>240</v>
      </c>
      <c r="BS3395" s="5" t="s">
        <v>240</v>
      </c>
      <c r="BT3395" s="5" t="s">
        <v>240</v>
      </c>
      <c r="BU3395" s="5" t="s">
        <v>240</v>
      </c>
      <c r="BV3395" s="5" t="s">
        <v>240</v>
      </c>
      <c r="BW3395" s="6" t="s">
        <v>240</v>
      </c>
      <c r="BX3395" s="5" t="s">
        <v>240</v>
      </c>
      <c r="BY3395" s="5" t="s">
        <v>240</v>
      </c>
      <c r="BZ3395" s="5" t="s">
        <v>240</v>
      </c>
      <c r="CA3395" s="5" t="s">
        <v>259</v>
      </c>
      <c r="CB3395" s="5" t="s">
        <v>240</v>
      </c>
      <c r="CC3395" s="5" t="s">
        <v>240</v>
      </c>
      <c r="CD3395" s="5" t="s">
        <v>240</v>
      </c>
      <c r="CE3395" s="5" t="s">
        <v>240</v>
      </c>
      <c r="CF3395" s="5" t="s">
        <v>240</v>
      </c>
      <c r="CG3395" s="5" t="s">
        <v>304</v>
      </c>
      <c r="CH3395" s="5" t="s">
        <v>305</v>
      </c>
      <c r="CI3395" s="5" t="s">
        <v>240</v>
      </c>
      <c r="CK3395" s="5" t="s">
        <v>3681</v>
      </c>
      <c r="CL3395" s="6" t="s">
        <v>261</v>
      </c>
      <c r="CM3395" s="5" t="s">
        <v>262</v>
      </c>
      <c r="CN3395" s="5" t="s">
        <v>263</v>
      </c>
      <c r="CO3395" s="5" t="s">
        <v>264</v>
      </c>
      <c r="CP3395" s="5" t="s">
        <v>240</v>
      </c>
      <c r="CQ3395" s="5">
        <v>0</v>
      </c>
      <c r="CR3395" s="5" t="s">
        <v>735</v>
      </c>
      <c r="CS3395" s="5" t="s">
        <v>307</v>
      </c>
      <c r="CT3395" s="5" t="s">
        <v>307</v>
      </c>
      <c r="CU3395" s="5" t="s">
        <v>260</v>
      </c>
      <c r="CV3395" s="5" t="s">
        <v>612</v>
      </c>
      <c r="CW3395" s="8">
        <f>1</f>
        <v>1</v>
      </c>
      <c r="CX3395" s="7">
        <f>1</f>
        <v>1</v>
      </c>
      <c r="CY3395" s="7">
        <f>0</f>
        <v>0</v>
      </c>
      <c r="DA3395" s="7">
        <f>1</f>
        <v>1</v>
      </c>
      <c r="DB3395" s="7" t="s">
        <v>240</v>
      </c>
      <c r="DC3395" s="5" t="s">
        <v>240</v>
      </c>
      <c r="DD3395" s="5" t="s">
        <v>240</v>
      </c>
      <c r="DE3395" s="5" t="s">
        <v>240</v>
      </c>
      <c r="DF3395" s="5" t="s">
        <v>240</v>
      </c>
      <c r="DG3395" s="7">
        <f>0</f>
        <v>0</v>
      </c>
      <c r="DI3395" s="5" t="s">
        <v>240</v>
      </c>
      <c r="DJ3395" s="5" t="s">
        <v>240</v>
      </c>
      <c r="DK3395" s="5" t="s">
        <v>240</v>
      </c>
      <c r="DL3395" s="5" t="s">
        <v>240</v>
      </c>
      <c r="DM3395" s="5" t="s">
        <v>240</v>
      </c>
      <c r="DN3395" s="5" t="s">
        <v>240</v>
      </c>
      <c r="DO3395" s="7" t="s">
        <v>240</v>
      </c>
      <c r="DP3395" s="5" t="s">
        <v>240</v>
      </c>
      <c r="DQ3395" s="5" t="s">
        <v>240</v>
      </c>
      <c r="DR3395" s="5" t="s">
        <v>731</v>
      </c>
      <c r="DS3395" s="5" t="s">
        <v>731</v>
      </c>
      <c r="DT3395" s="5" t="s">
        <v>240</v>
      </c>
      <c r="DU3395" s="5" t="s">
        <v>240</v>
      </c>
      <c r="DV3395" s="5" t="s">
        <v>5063</v>
      </c>
      <c r="DW3395" s="5" t="s">
        <v>1204</v>
      </c>
      <c r="DX3395" s="5" t="s">
        <v>240</v>
      </c>
      <c r="DY3395" s="5" t="s">
        <v>240</v>
      </c>
      <c r="DZ3395" s="5" t="s">
        <v>240</v>
      </c>
      <c r="EA3395" s="5" t="s">
        <v>240</v>
      </c>
      <c r="EB3395" s="5" t="s">
        <v>240</v>
      </c>
      <c r="EC3395" s="5" t="s">
        <v>240</v>
      </c>
      <c r="ED3395" s="5" t="s">
        <v>240</v>
      </c>
      <c r="EE3395" s="5" t="s">
        <v>240</v>
      </c>
      <c r="EF3395" s="5" t="s">
        <v>240</v>
      </c>
      <c r="EG3395" s="5" t="s">
        <v>240</v>
      </c>
      <c r="EH3395" s="5" t="s">
        <v>240</v>
      </c>
      <c r="EI3395" s="5" t="s">
        <v>240</v>
      </c>
      <c r="EJ3395" s="5" t="s">
        <v>240</v>
      </c>
      <c r="EK3395" s="5" t="s">
        <v>240</v>
      </c>
      <c r="EL3395" s="5" t="s">
        <v>240</v>
      </c>
      <c r="EM3395" s="5" t="s">
        <v>240</v>
      </c>
      <c r="EN3395" s="5" t="s">
        <v>240</v>
      </c>
      <c r="EO3395" s="5" t="s">
        <v>240</v>
      </c>
      <c r="EP3395" s="5" t="s">
        <v>240</v>
      </c>
      <c r="EQ3395" s="5" t="s">
        <v>240</v>
      </c>
      <c r="ER3395" s="5" t="s">
        <v>240</v>
      </c>
      <c r="ES3395" s="5" t="s">
        <v>240</v>
      </c>
      <c r="ET3395" s="5" t="s">
        <v>240</v>
      </c>
      <c r="EU3395" s="5" t="s">
        <v>240</v>
      </c>
      <c r="EV3395" s="5" t="s">
        <v>240</v>
      </c>
      <c r="EW3395" s="5" t="s">
        <v>240</v>
      </c>
      <c r="EX3395" s="5" t="s">
        <v>240</v>
      </c>
      <c r="EY3395" s="5" t="s">
        <v>240</v>
      </c>
      <c r="EZ3395" s="5" t="s">
        <v>240</v>
      </c>
      <c r="FA3395" s="5" t="s">
        <v>240</v>
      </c>
      <c r="FB3395" s="5" t="s">
        <v>240</v>
      </c>
      <c r="FC3395" s="5" t="s">
        <v>240</v>
      </c>
      <c r="FD3395" s="5" t="s">
        <v>240</v>
      </c>
      <c r="FE3395" s="5" t="s">
        <v>240</v>
      </c>
      <c r="FF3395" s="5" t="s">
        <v>240</v>
      </c>
      <c r="FG3395" s="5" t="s">
        <v>240</v>
      </c>
      <c r="FH3395" s="5" t="s">
        <v>240</v>
      </c>
      <c r="FI3395" s="5" t="s">
        <v>240</v>
      </c>
      <c r="FJ3395" s="5" t="s">
        <v>240</v>
      </c>
      <c r="FK3395" s="5" t="s">
        <v>240</v>
      </c>
      <c r="FL3395" s="5" t="s">
        <v>240</v>
      </c>
      <c r="FM3395" s="5" t="s">
        <v>240</v>
      </c>
      <c r="FN3395" s="5" t="s">
        <v>240</v>
      </c>
      <c r="FO3395" s="5" t="s">
        <v>240</v>
      </c>
      <c r="FP3395" s="5" t="s">
        <v>240</v>
      </c>
      <c r="FQ3395" s="5" t="s">
        <v>240</v>
      </c>
      <c r="FR3395" s="5" t="s">
        <v>240</v>
      </c>
      <c r="FS3395" s="5" t="s">
        <v>240</v>
      </c>
      <c r="FT3395" s="5" t="s">
        <v>240</v>
      </c>
      <c r="FU3395" s="5" t="s">
        <v>240</v>
      </c>
      <c r="FV3395" s="5" t="s">
        <v>240</v>
      </c>
      <c r="FW3395" s="5" t="s">
        <v>240</v>
      </c>
      <c r="FX3395" s="5" t="s">
        <v>240</v>
      </c>
      <c r="FY3395" s="5" t="s">
        <v>240</v>
      </c>
      <c r="FZ3395" s="5" t="s">
        <v>240</v>
      </c>
      <c r="GA3395" s="5" t="s">
        <v>240</v>
      </c>
      <c r="GB3395" s="5" t="s">
        <v>240</v>
      </c>
      <c r="GC3395" s="5" t="s">
        <v>240</v>
      </c>
      <c r="GD3395" s="5" t="s">
        <v>240</v>
      </c>
      <c r="GE3395" s="5" t="s">
        <v>240</v>
      </c>
      <c r="GF3395" s="5" t="s">
        <v>240</v>
      </c>
      <c r="GG3395" s="5" t="s">
        <v>240</v>
      </c>
      <c r="GH3395" s="5" t="s">
        <v>240</v>
      </c>
      <c r="GI3395" s="5" t="s">
        <v>240</v>
      </c>
      <c r="GJ3395" s="5" t="s">
        <v>240</v>
      </c>
      <c r="GK3395" s="5" t="s">
        <v>240</v>
      </c>
      <c r="GL3395" s="5" t="s">
        <v>240</v>
      </c>
      <c r="GM3395" s="5" t="s">
        <v>240</v>
      </c>
      <c r="GN3395" s="5" t="s">
        <v>240</v>
      </c>
      <c r="GO3395" s="5" t="s">
        <v>240</v>
      </c>
      <c r="GP3395" s="5" t="s">
        <v>240</v>
      </c>
      <c r="GQ3395" s="5" t="s">
        <v>240</v>
      </c>
      <c r="GR3395" s="5" t="s">
        <v>240</v>
      </c>
      <c r="GS3395" s="5" t="s">
        <v>240</v>
      </c>
      <c r="GT3395" s="5" t="s">
        <v>240</v>
      </c>
      <c r="GU3395" s="5" t="s">
        <v>240</v>
      </c>
      <c r="GV3395" s="5" t="s">
        <v>240</v>
      </c>
      <c r="GW3395" s="5" t="s">
        <v>240</v>
      </c>
      <c r="GX3395" s="5" t="s">
        <v>240</v>
      </c>
      <c r="GY3395" s="5" t="s">
        <v>240</v>
      </c>
      <c r="GZ3395" s="5" t="s">
        <v>240</v>
      </c>
      <c r="HA3395" s="5" t="s">
        <v>240</v>
      </c>
      <c r="HB3395" s="5" t="s">
        <v>240</v>
      </c>
      <c r="HC3395" s="5" t="s">
        <v>240</v>
      </c>
      <c r="HD3395" s="5" t="s">
        <v>240</v>
      </c>
      <c r="HE3395" s="5" t="s">
        <v>240</v>
      </c>
      <c r="HF3395" s="5" t="s">
        <v>240</v>
      </c>
      <c r="HG3395" s="5" t="s">
        <v>240</v>
      </c>
      <c r="HH3395" s="5" t="s">
        <v>240</v>
      </c>
      <c r="HI3395" s="5" t="s">
        <v>240</v>
      </c>
      <c r="HJ3395" s="5" t="s">
        <v>240</v>
      </c>
      <c r="HK3395" s="5" t="s">
        <v>240</v>
      </c>
      <c r="HL3395" s="5" t="s">
        <v>240</v>
      </c>
      <c r="HM3395" s="5" t="s">
        <v>240</v>
      </c>
      <c r="HN3395" s="5" t="s">
        <v>240</v>
      </c>
      <c r="HO3395" s="5" t="s">
        <v>312</v>
      </c>
      <c r="HP3395" s="5" t="s">
        <v>240</v>
      </c>
      <c r="HQ3395" s="5" t="s">
        <v>240</v>
      </c>
      <c r="HR3395" s="5" t="s">
        <v>240</v>
      </c>
      <c r="HS3395" s="5" t="s">
        <v>240</v>
      </c>
      <c r="HT3395" s="5" t="s">
        <v>240</v>
      </c>
      <c r="HU3395" s="5" t="s">
        <v>240</v>
      </c>
      <c r="HV3395" s="5" t="s">
        <v>240</v>
      </c>
      <c r="HW3395" s="5" t="s">
        <v>240</v>
      </c>
      <c r="HX3395" s="5" t="s">
        <v>240</v>
      </c>
      <c r="HY3395" s="5" t="s">
        <v>240</v>
      </c>
      <c r="HZ3395" s="5" t="s">
        <v>240</v>
      </c>
      <c r="IA3395" s="5" t="s">
        <v>240</v>
      </c>
      <c r="IB3395" s="5" t="s">
        <v>240</v>
      </c>
      <c r="IC3395" s="5" t="s">
        <v>240</v>
      </c>
      <c r="ID3395" s="5" t="s">
        <v>240</v>
      </c>
      <c r="IE3395" s="5" t="s">
        <v>240</v>
      </c>
      <c r="IF3395" s="5" t="s">
        <v>240</v>
      </c>
    </row>
    <row r="3396" spans="1:240" x14ac:dyDescent="0.4">
      <c r="A3396" s="5">
        <v>8938</v>
      </c>
      <c r="B3396" s="5">
        <v>1</v>
      </c>
      <c r="C3396" s="5">
        <v>1</v>
      </c>
      <c r="D3396" s="5" t="s">
        <v>723</v>
      </c>
      <c r="E3396" s="5" t="s">
        <v>725</v>
      </c>
      <c r="F3396" s="5" t="s">
        <v>730</v>
      </c>
      <c r="G3396" s="5" t="s">
        <v>726</v>
      </c>
      <c r="H3396" s="6" t="s">
        <v>6192</v>
      </c>
      <c r="I3396" s="5" t="s">
        <v>990</v>
      </c>
      <c r="J3396" s="8">
        <f>495.86</f>
        <v>495.86</v>
      </c>
      <c r="K3396" s="5" t="s">
        <v>308</v>
      </c>
      <c r="L3396" s="7">
        <f>0</f>
        <v>0</v>
      </c>
      <c r="M3396" s="7">
        <f>0</f>
        <v>0</v>
      </c>
      <c r="N3396" s="5" t="s">
        <v>242</v>
      </c>
      <c r="O3396" s="5">
        <v>1</v>
      </c>
      <c r="P3396" s="5" t="s">
        <v>294</v>
      </c>
      <c r="Q3396" s="5" t="s">
        <v>3678</v>
      </c>
      <c r="R3396" s="5" t="s">
        <v>240</v>
      </c>
      <c r="S3396" s="5" t="s">
        <v>240</v>
      </c>
      <c r="T3396" s="5" t="s">
        <v>243</v>
      </c>
      <c r="U3396" s="5" t="s">
        <v>244</v>
      </c>
      <c r="V3396" s="5" t="s">
        <v>240</v>
      </c>
      <c r="W3396" s="5" t="s">
        <v>240</v>
      </c>
      <c r="X3396" s="5" t="s">
        <v>240</v>
      </c>
      <c r="Y3396" s="5" t="s">
        <v>240</v>
      </c>
      <c r="Z3396" s="6" t="s">
        <v>298</v>
      </c>
      <c r="AA3396" s="6" t="s">
        <v>240</v>
      </c>
      <c r="AB3396" s="6" t="s">
        <v>240</v>
      </c>
      <c r="AC3396" s="5" t="s">
        <v>240</v>
      </c>
      <c r="AD3396" s="6" t="s">
        <v>240</v>
      </c>
      <c r="AE3396" s="6" t="s">
        <v>299</v>
      </c>
      <c r="AF3396" s="5" t="s">
        <v>248</v>
      </c>
      <c r="AG3396" s="5" t="s">
        <v>249</v>
      </c>
      <c r="AH3396" s="5" t="s">
        <v>240</v>
      </c>
      <c r="AI3396" s="5" t="s">
        <v>240</v>
      </c>
      <c r="AJ3396" s="5" t="s">
        <v>240</v>
      </c>
      <c r="AK3396" s="5" t="s">
        <v>240</v>
      </c>
      <c r="AL3396" s="5" t="s">
        <v>240</v>
      </c>
      <c r="AM3396" s="5" t="s">
        <v>240</v>
      </c>
      <c r="AN3396" s="5" t="s">
        <v>240</v>
      </c>
      <c r="AO3396" s="5" t="s">
        <v>240</v>
      </c>
      <c r="AP3396" s="6" t="s">
        <v>240</v>
      </c>
      <c r="AQ3396" s="6" t="s">
        <v>240</v>
      </c>
      <c r="AR3396" s="6" t="s">
        <v>240</v>
      </c>
      <c r="AS3396" s="6" t="s">
        <v>240</v>
      </c>
      <c r="AT3396" s="5" t="s">
        <v>240</v>
      </c>
      <c r="AU3396" s="5" t="s">
        <v>729</v>
      </c>
      <c r="AV3396" s="5" t="s">
        <v>729</v>
      </c>
      <c r="AW3396" s="5" t="s">
        <v>251</v>
      </c>
      <c r="AX3396" s="5" t="s">
        <v>252</v>
      </c>
      <c r="AY3396" s="5" t="s">
        <v>253</v>
      </c>
      <c r="AZ3396" s="5" t="s">
        <v>240</v>
      </c>
      <c r="BA3396" s="5" t="s">
        <v>255</v>
      </c>
      <c r="BB3396" s="5" t="s">
        <v>731</v>
      </c>
      <c r="BD3396" s="5" t="s">
        <v>240</v>
      </c>
      <c r="BF3396" s="5" t="s">
        <v>732</v>
      </c>
      <c r="BG3396" s="6" t="s">
        <v>733</v>
      </c>
      <c r="BH3396" s="5" t="s">
        <v>734</v>
      </c>
      <c r="BI3396" s="5" t="s">
        <v>734</v>
      </c>
      <c r="BJ3396" s="5" t="s">
        <v>240</v>
      </c>
      <c r="BK3396" s="7">
        <f>1</f>
        <v>1</v>
      </c>
      <c r="BL3396" s="7">
        <f>1</f>
        <v>1</v>
      </c>
      <c r="BM3396" s="5" t="s">
        <v>258</v>
      </c>
      <c r="BN3396" s="5" t="s">
        <v>259</v>
      </c>
      <c r="BO3396" s="5" t="s">
        <v>240</v>
      </c>
      <c r="BP3396" s="5" t="s">
        <v>240</v>
      </c>
      <c r="BQ3396" s="5" t="s">
        <v>240</v>
      </c>
      <c r="BR3396" s="5" t="s">
        <v>240</v>
      </c>
      <c r="BS3396" s="5" t="s">
        <v>240</v>
      </c>
      <c r="BT3396" s="5" t="s">
        <v>240</v>
      </c>
      <c r="BU3396" s="5" t="s">
        <v>240</v>
      </c>
      <c r="BV3396" s="5" t="s">
        <v>240</v>
      </c>
      <c r="BW3396" s="6" t="s">
        <v>240</v>
      </c>
      <c r="BX3396" s="5" t="s">
        <v>240</v>
      </c>
      <c r="BY3396" s="5" t="s">
        <v>240</v>
      </c>
      <c r="BZ3396" s="5" t="s">
        <v>240</v>
      </c>
      <c r="CA3396" s="5" t="s">
        <v>259</v>
      </c>
      <c r="CB3396" s="5" t="s">
        <v>240</v>
      </c>
      <c r="CC3396" s="5" t="s">
        <v>240</v>
      </c>
      <c r="CD3396" s="5" t="s">
        <v>240</v>
      </c>
      <c r="CE3396" s="5" t="s">
        <v>240</v>
      </c>
      <c r="CF3396" s="5" t="s">
        <v>240</v>
      </c>
      <c r="CG3396" s="5" t="s">
        <v>304</v>
      </c>
      <c r="CH3396" s="5" t="s">
        <v>305</v>
      </c>
      <c r="CI3396" s="5" t="s">
        <v>240</v>
      </c>
      <c r="CK3396" s="5" t="s">
        <v>3681</v>
      </c>
      <c r="CL3396" s="6" t="s">
        <v>261</v>
      </c>
      <c r="CM3396" s="5" t="s">
        <v>262</v>
      </c>
      <c r="CN3396" s="5" t="s">
        <v>263</v>
      </c>
      <c r="CO3396" s="5" t="s">
        <v>264</v>
      </c>
      <c r="CP3396" s="5" t="s">
        <v>240</v>
      </c>
      <c r="CQ3396" s="5">
        <v>0</v>
      </c>
      <c r="CR3396" s="5" t="s">
        <v>735</v>
      </c>
      <c r="CS3396" s="5" t="s">
        <v>307</v>
      </c>
      <c r="CT3396" s="5" t="s">
        <v>307</v>
      </c>
      <c r="CU3396" s="5" t="s">
        <v>260</v>
      </c>
      <c r="CV3396" s="5" t="s">
        <v>612</v>
      </c>
      <c r="CW3396" s="8">
        <f>1</f>
        <v>1</v>
      </c>
      <c r="CX3396" s="7">
        <f>1</f>
        <v>1</v>
      </c>
      <c r="CY3396" s="7">
        <f>0</f>
        <v>0</v>
      </c>
      <c r="DA3396" s="7">
        <f>1</f>
        <v>1</v>
      </c>
      <c r="DB3396" s="7" t="s">
        <v>240</v>
      </c>
      <c r="DC3396" s="5" t="s">
        <v>240</v>
      </c>
      <c r="DD3396" s="5" t="s">
        <v>240</v>
      </c>
      <c r="DE3396" s="5" t="s">
        <v>240</v>
      </c>
      <c r="DF3396" s="5" t="s">
        <v>240</v>
      </c>
      <c r="DG3396" s="7">
        <f>0</f>
        <v>0</v>
      </c>
      <c r="DI3396" s="5" t="s">
        <v>240</v>
      </c>
      <c r="DJ3396" s="5" t="s">
        <v>240</v>
      </c>
      <c r="DK3396" s="5" t="s">
        <v>240</v>
      </c>
      <c r="DL3396" s="5" t="s">
        <v>240</v>
      </c>
      <c r="DM3396" s="5" t="s">
        <v>240</v>
      </c>
      <c r="DN3396" s="5" t="s">
        <v>240</v>
      </c>
      <c r="DO3396" s="7" t="s">
        <v>240</v>
      </c>
      <c r="DP3396" s="5" t="s">
        <v>240</v>
      </c>
      <c r="DQ3396" s="5" t="s">
        <v>240</v>
      </c>
      <c r="DR3396" s="5" t="s">
        <v>731</v>
      </c>
      <c r="DS3396" s="5" t="s">
        <v>731</v>
      </c>
      <c r="DT3396" s="5" t="s">
        <v>240</v>
      </c>
      <c r="DU3396" s="5" t="s">
        <v>240</v>
      </c>
      <c r="DV3396" s="5" t="s">
        <v>3683</v>
      </c>
      <c r="DW3396" s="5" t="s">
        <v>572</v>
      </c>
      <c r="DX3396" s="5" t="s">
        <v>240</v>
      </c>
      <c r="DY3396" s="5" t="s">
        <v>240</v>
      </c>
      <c r="DZ3396" s="5" t="s">
        <v>240</v>
      </c>
      <c r="EA3396" s="5" t="s">
        <v>240</v>
      </c>
      <c r="EB3396" s="5" t="s">
        <v>240</v>
      </c>
      <c r="EC3396" s="5" t="s">
        <v>240</v>
      </c>
      <c r="ED3396" s="5" t="s">
        <v>240</v>
      </c>
      <c r="EE3396" s="5" t="s">
        <v>240</v>
      </c>
      <c r="EF3396" s="5" t="s">
        <v>240</v>
      </c>
      <c r="EG3396" s="5" t="s">
        <v>240</v>
      </c>
      <c r="EH3396" s="5" t="s">
        <v>240</v>
      </c>
      <c r="EI3396" s="5" t="s">
        <v>240</v>
      </c>
      <c r="EJ3396" s="5" t="s">
        <v>240</v>
      </c>
      <c r="EK3396" s="5" t="s">
        <v>240</v>
      </c>
      <c r="EL3396" s="5" t="s">
        <v>240</v>
      </c>
      <c r="EM3396" s="5" t="s">
        <v>240</v>
      </c>
      <c r="EN3396" s="5" t="s">
        <v>240</v>
      </c>
      <c r="EO3396" s="5" t="s">
        <v>240</v>
      </c>
      <c r="EP3396" s="5" t="s">
        <v>240</v>
      </c>
      <c r="EQ3396" s="5" t="s">
        <v>240</v>
      </c>
      <c r="ER3396" s="5" t="s">
        <v>240</v>
      </c>
      <c r="ES3396" s="5" t="s">
        <v>240</v>
      </c>
      <c r="ET3396" s="5" t="s">
        <v>240</v>
      </c>
      <c r="EU3396" s="5" t="s">
        <v>240</v>
      </c>
      <c r="EV3396" s="5" t="s">
        <v>240</v>
      </c>
      <c r="EW3396" s="5" t="s">
        <v>240</v>
      </c>
      <c r="EX3396" s="5" t="s">
        <v>240</v>
      </c>
      <c r="EY3396" s="5" t="s">
        <v>240</v>
      </c>
      <c r="EZ3396" s="5" t="s">
        <v>240</v>
      </c>
      <c r="FA3396" s="5" t="s">
        <v>240</v>
      </c>
      <c r="FB3396" s="5" t="s">
        <v>240</v>
      </c>
      <c r="FC3396" s="5" t="s">
        <v>240</v>
      </c>
      <c r="FD3396" s="5" t="s">
        <v>240</v>
      </c>
      <c r="FE3396" s="5" t="s">
        <v>240</v>
      </c>
      <c r="FF3396" s="5" t="s">
        <v>240</v>
      </c>
      <c r="FG3396" s="5" t="s">
        <v>240</v>
      </c>
      <c r="FH3396" s="5" t="s">
        <v>240</v>
      </c>
      <c r="FI3396" s="5" t="s">
        <v>240</v>
      </c>
      <c r="FJ3396" s="5" t="s">
        <v>240</v>
      </c>
      <c r="FK3396" s="5" t="s">
        <v>240</v>
      </c>
      <c r="FL3396" s="5" t="s">
        <v>240</v>
      </c>
      <c r="FM3396" s="5" t="s">
        <v>240</v>
      </c>
      <c r="FN3396" s="5" t="s">
        <v>240</v>
      </c>
      <c r="FO3396" s="5" t="s">
        <v>240</v>
      </c>
      <c r="FP3396" s="5" t="s">
        <v>240</v>
      </c>
      <c r="FQ3396" s="5" t="s">
        <v>240</v>
      </c>
      <c r="FR3396" s="5" t="s">
        <v>240</v>
      </c>
      <c r="FS3396" s="5" t="s">
        <v>240</v>
      </c>
      <c r="FT3396" s="5" t="s">
        <v>240</v>
      </c>
      <c r="FU3396" s="5" t="s">
        <v>240</v>
      </c>
      <c r="FV3396" s="5" t="s">
        <v>240</v>
      </c>
      <c r="FW3396" s="5" t="s">
        <v>240</v>
      </c>
      <c r="FX3396" s="5" t="s">
        <v>240</v>
      </c>
      <c r="FY3396" s="5" t="s">
        <v>240</v>
      </c>
      <c r="FZ3396" s="5" t="s">
        <v>240</v>
      </c>
      <c r="GA3396" s="5" t="s">
        <v>240</v>
      </c>
      <c r="GB3396" s="5" t="s">
        <v>240</v>
      </c>
      <c r="GC3396" s="5" t="s">
        <v>240</v>
      </c>
      <c r="GD3396" s="5" t="s">
        <v>240</v>
      </c>
      <c r="GE3396" s="5" t="s">
        <v>240</v>
      </c>
      <c r="GF3396" s="5" t="s">
        <v>240</v>
      </c>
      <c r="GG3396" s="5" t="s">
        <v>240</v>
      </c>
      <c r="GH3396" s="5" t="s">
        <v>240</v>
      </c>
      <c r="GI3396" s="5" t="s">
        <v>240</v>
      </c>
      <c r="GJ3396" s="5" t="s">
        <v>240</v>
      </c>
      <c r="GK3396" s="5" t="s">
        <v>240</v>
      </c>
      <c r="GL3396" s="5" t="s">
        <v>240</v>
      </c>
      <c r="GM3396" s="5" t="s">
        <v>240</v>
      </c>
      <c r="GN3396" s="5" t="s">
        <v>240</v>
      </c>
      <c r="GO3396" s="5" t="s">
        <v>240</v>
      </c>
      <c r="GP3396" s="5" t="s">
        <v>240</v>
      </c>
      <c r="GQ3396" s="5" t="s">
        <v>240</v>
      </c>
      <c r="GR3396" s="5" t="s">
        <v>240</v>
      </c>
      <c r="GS3396" s="5" t="s">
        <v>240</v>
      </c>
      <c r="GT3396" s="5" t="s">
        <v>240</v>
      </c>
      <c r="GU3396" s="5" t="s">
        <v>240</v>
      </c>
      <c r="GV3396" s="5" t="s">
        <v>240</v>
      </c>
      <c r="GW3396" s="5" t="s">
        <v>240</v>
      </c>
      <c r="GX3396" s="5" t="s">
        <v>240</v>
      </c>
      <c r="GY3396" s="5" t="s">
        <v>240</v>
      </c>
      <c r="GZ3396" s="5" t="s">
        <v>240</v>
      </c>
      <c r="HA3396" s="5" t="s">
        <v>240</v>
      </c>
      <c r="HB3396" s="5" t="s">
        <v>240</v>
      </c>
      <c r="HC3396" s="5" t="s">
        <v>240</v>
      </c>
      <c r="HD3396" s="5" t="s">
        <v>240</v>
      </c>
      <c r="HE3396" s="5" t="s">
        <v>240</v>
      </c>
      <c r="HF3396" s="5" t="s">
        <v>240</v>
      </c>
      <c r="HG3396" s="5" t="s">
        <v>240</v>
      </c>
      <c r="HH3396" s="5" t="s">
        <v>240</v>
      </c>
      <c r="HI3396" s="5" t="s">
        <v>240</v>
      </c>
      <c r="HJ3396" s="5" t="s">
        <v>240</v>
      </c>
      <c r="HK3396" s="5" t="s">
        <v>240</v>
      </c>
      <c r="HL3396" s="5" t="s">
        <v>240</v>
      </c>
      <c r="HM3396" s="5" t="s">
        <v>240</v>
      </c>
      <c r="HN3396" s="5" t="s">
        <v>240</v>
      </c>
      <c r="HO3396" s="5" t="s">
        <v>312</v>
      </c>
      <c r="HP3396" s="5" t="s">
        <v>240</v>
      </c>
      <c r="HQ3396" s="5" t="s">
        <v>240</v>
      </c>
      <c r="HR3396" s="5" t="s">
        <v>240</v>
      </c>
      <c r="HS3396" s="5" t="s">
        <v>240</v>
      </c>
      <c r="HT3396" s="5" t="s">
        <v>240</v>
      </c>
      <c r="HU3396" s="5" t="s">
        <v>240</v>
      </c>
      <c r="HV3396" s="5" t="s">
        <v>240</v>
      </c>
      <c r="HW3396" s="5" t="s">
        <v>240</v>
      </c>
      <c r="HX3396" s="5" t="s">
        <v>240</v>
      </c>
      <c r="HY3396" s="5" t="s">
        <v>240</v>
      </c>
      <c r="HZ3396" s="5" t="s">
        <v>240</v>
      </c>
      <c r="IA3396" s="5" t="s">
        <v>240</v>
      </c>
      <c r="IB3396" s="5" t="s">
        <v>240</v>
      </c>
      <c r="IC3396" s="5" t="s">
        <v>240</v>
      </c>
      <c r="ID3396" s="5" t="s">
        <v>240</v>
      </c>
      <c r="IE3396" s="5" t="s">
        <v>240</v>
      </c>
      <c r="IF3396" s="5" t="s">
        <v>240</v>
      </c>
    </row>
    <row r="3397" spans="1:240" x14ac:dyDescent="0.4">
      <c r="A3397" s="5">
        <v>8939</v>
      </c>
      <c r="B3397" s="5">
        <v>1</v>
      </c>
      <c r="C3397" s="5">
        <v>1</v>
      </c>
      <c r="D3397" s="5" t="s">
        <v>723</v>
      </c>
      <c r="E3397" s="5" t="s">
        <v>725</v>
      </c>
      <c r="F3397" s="5" t="s">
        <v>730</v>
      </c>
      <c r="G3397" s="5" t="s">
        <v>726</v>
      </c>
      <c r="H3397" s="6" t="s">
        <v>6191</v>
      </c>
      <c r="I3397" s="5" t="s">
        <v>722</v>
      </c>
      <c r="J3397" s="8">
        <f>493</f>
        <v>493</v>
      </c>
      <c r="K3397" s="5" t="s">
        <v>308</v>
      </c>
      <c r="L3397" s="7">
        <f>0</f>
        <v>0</v>
      </c>
      <c r="M3397" s="7">
        <f>0</f>
        <v>0</v>
      </c>
      <c r="N3397" s="5" t="s">
        <v>242</v>
      </c>
      <c r="O3397" s="5">
        <v>1</v>
      </c>
      <c r="P3397" s="5" t="s">
        <v>294</v>
      </c>
      <c r="Q3397" s="5" t="s">
        <v>3678</v>
      </c>
      <c r="R3397" s="5" t="s">
        <v>240</v>
      </c>
      <c r="S3397" s="5" t="s">
        <v>240</v>
      </c>
      <c r="T3397" s="5" t="s">
        <v>243</v>
      </c>
      <c r="U3397" s="5" t="s">
        <v>244</v>
      </c>
      <c r="V3397" s="5" t="s">
        <v>240</v>
      </c>
      <c r="W3397" s="5" t="s">
        <v>240</v>
      </c>
      <c r="X3397" s="5" t="s">
        <v>240</v>
      </c>
      <c r="Y3397" s="5" t="s">
        <v>240</v>
      </c>
      <c r="Z3397" s="6" t="s">
        <v>298</v>
      </c>
      <c r="AA3397" s="6" t="s">
        <v>240</v>
      </c>
      <c r="AB3397" s="6" t="s">
        <v>240</v>
      </c>
      <c r="AC3397" s="5" t="s">
        <v>240</v>
      </c>
      <c r="AD3397" s="6" t="s">
        <v>240</v>
      </c>
      <c r="AE3397" s="6" t="s">
        <v>299</v>
      </c>
      <c r="AF3397" s="5" t="s">
        <v>248</v>
      </c>
      <c r="AG3397" s="5" t="s">
        <v>249</v>
      </c>
      <c r="AH3397" s="5" t="s">
        <v>240</v>
      </c>
      <c r="AI3397" s="5" t="s">
        <v>240</v>
      </c>
      <c r="AJ3397" s="5" t="s">
        <v>240</v>
      </c>
      <c r="AK3397" s="5" t="s">
        <v>240</v>
      </c>
      <c r="AL3397" s="5" t="s">
        <v>240</v>
      </c>
      <c r="AM3397" s="5" t="s">
        <v>240</v>
      </c>
      <c r="AN3397" s="5" t="s">
        <v>240</v>
      </c>
      <c r="AO3397" s="5" t="s">
        <v>240</v>
      </c>
      <c r="AP3397" s="6" t="s">
        <v>240</v>
      </c>
      <c r="AQ3397" s="6" t="s">
        <v>240</v>
      </c>
      <c r="AR3397" s="6" t="s">
        <v>240</v>
      </c>
      <c r="AS3397" s="6" t="s">
        <v>240</v>
      </c>
      <c r="AT3397" s="5" t="s">
        <v>240</v>
      </c>
      <c r="AU3397" s="5" t="s">
        <v>729</v>
      </c>
      <c r="AV3397" s="5" t="s">
        <v>729</v>
      </c>
      <c r="AW3397" s="5" t="s">
        <v>251</v>
      </c>
      <c r="AX3397" s="5" t="s">
        <v>252</v>
      </c>
      <c r="AY3397" s="5" t="s">
        <v>253</v>
      </c>
      <c r="AZ3397" s="5" t="s">
        <v>240</v>
      </c>
      <c r="BA3397" s="5" t="s">
        <v>255</v>
      </c>
      <c r="BB3397" s="5" t="s">
        <v>731</v>
      </c>
      <c r="BD3397" s="5" t="s">
        <v>240</v>
      </c>
      <c r="BF3397" s="5" t="s">
        <v>732</v>
      </c>
      <c r="BG3397" s="6" t="s">
        <v>733</v>
      </c>
      <c r="BH3397" s="5" t="s">
        <v>734</v>
      </c>
      <c r="BI3397" s="5" t="s">
        <v>734</v>
      </c>
      <c r="BJ3397" s="5" t="s">
        <v>240</v>
      </c>
      <c r="BK3397" s="7">
        <f>1</f>
        <v>1</v>
      </c>
      <c r="BL3397" s="7">
        <f>1</f>
        <v>1</v>
      </c>
      <c r="BM3397" s="5" t="s">
        <v>258</v>
      </c>
      <c r="BN3397" s="5" t="s">
        <v>259</v>
      </c>
      <c r="BO3397" s="5" t="s">
        <v>240</v>
      </c>
      <c r="BP3397" s="5" t="s">
        <v>240</v>
      </c>
      <c r="BQ3397" s="5" t="s">
        <v>240</v>
      </c>
      <c r="BR3397" s="5" t="s">
        <v>240</v>
      </c>
      <c r="BS3397" s="5" t="s">
        <v>240</v>
      </c>
      <c r="BT3397" s="5" t="s">
        <v>240</v>
      </c>
      <c r="BU3397" s="5" t="s">
        <v>240</v>
      </c>
      <c r="BV3397" s="5" t="s">
        <v>240</v>
      </c>
      <c r="BW3397" s="6" t="s">
        <v>240</v>
      </c>
      <c r="BX3397" s="5" t="s">
        <v>240</v>
      </c>
      <c r="BY3397" s="5" t="s">
        <v>240</v>
      </c>
      <c r="BZ3397" s="5" t="s">
        <v>240</v>
      </c>
      <c r="CA3397" s="5" t="s">
        <v>259</v>
      </c>
      <c r="CB3397" s="5" t="s">
        <v>240</v>
      </c>
      <c r="CC3397" s="5" t="s">
        <v>240</v>
      </c>
      <c r="CD3397" s="5" t="s">
        <v>240</v>
      </c>
      <c r="CE3397" s="5" t="s">
        <v>240</v>
      </c>
      <c r="CF3397" s="5" t="s">
        <v>240</v>
      </c>
      <c r="CG3397" s="5" t="s">
        <v>304</v>
      </c>
      <c r="CH3397" s="5" t="s">
        <v>305</v>
      </c>
      <c r="CI3397" s="5" t="s">
        <v>240</v>
      </c>
      <c r="CK3397" s="5" t="s">
        <v>3681</v>
      </c>
      <c r="CL3397" s="6" t="s">
        <v>261</v>
      </c>
      <c r="CM3397" s="5" t="s">
        <v>262</v>
      </c>
      <c r="CN3397" s="5" t="s">
        <v>263</v>
      </c>
      <c r="CO3397" s="5" t="s">
        <v>264</v>
      </c>
      <c r="CP3397" s="5" t="s">
        <v>240</v>
      </c>
      <c r="CQ3397" s="5">
        <v>0</v>
      </c>
      <c r="CR3397" s="5" t="s">
        <v>735</v>
      </c>
      <c r="CS3397" s="5" t="s">
        <v>307</v>
      </c>
      <c r="CT3397" s="5" t="s">
        <v>307</v>
      </c>
      <c r="CU3397" s="5" t="s">
        <v>260</v>
      </c>
      <c r="CV3397" s="5" t="s">
        <v>612</v>
      </c>
      <c r="CW3397" s="8">
        <f>1</f>
        <v>1</v>
      </c>
      <c r="CX3397" s="7">
        <f>1</f>
        <v>1</v>
      </c>
      <c r="CY3397" s="7">
        <f>0</f>
        <v>0</v>
      </c>
      <c r="DA3397" s="7">
        <f>1</f>
        <v>1</v>
      </c>
      <c r="DB3397" s="7" t="s">
        <v>240</v>
      </c>
      <c r="DC3397" s="5" t="s">
        <v>240</v>
      </c>
      <c r="DD3397" s="5" t="s">
        <v>240</v>
      </c>
      <c r="DE3397" s="5" t="s">
        <v>240</v>
      </c>
      <c r="DF3397" s="5" t="s">
        <v>240</v>
      </c>
      <c r="DG3397" s="7">
        <f>0</f>
        <v>0</v>
      </c>
      <c r="DI3397" s="5" t="s">
        <v>240</v>
      </c>
      <c r="DJ3397" s="5" t="s">
        <v>240</v>
      </c>
      <c r="DK3397" s="5" t="s">
        <v>240</v>
      </c>
      <c r="DL3397" s="5" t="s">
        <v>240</v>
      </c>
      <c r="DM3397" s="5" t="s">
        <v>240</v>
      </c>
      <c r="DN3397" s="5" t="s">
        <v>240</v>
      </c>
      <c r="DO3397" s="7" t="s">
        <v>240</v>
      </c>
      <c r="DP3397" s="5" t="s">
        <v>240</v>
      </c>
      <c r="DQ3397" s="5" t="s">
        <v>240</v>
      </c>
      <c r="DR3397" s="5" t="s">
        <v>731</v>
      </c>
      <c r="DS3397" s="5" t="s">
        <v>731</v>
      </c>
      <c r="DT3397" s="5" t="s">
        <v>240</v>
      </c>
      <c r="DU3397" s="5" t="s">
        <v>240</v>
      </c>
      <c r="DV3397" s="5" t="s">
        <v>5063</v>
      </c>
      <c r="DW3397" s="5" t="s">
        <v>1229</v>
      </c>
      <c r="DX3397" s="5" t="s">
        <v>240</v>
      </c>
      <c r="DY3397" s="5" t="s">
        <v>240</v>
      </c>
      <c r="DZ3397" s="5" t="s">
        <v>240</v>
      </c>
      <c r="EA3397" s="5" t="s">
        <v>240</v>
      </c>
      <c r="EB3397" s="5" t="s">
        <v>240</v>
      </c>
      <c r="EC3397" s="5" t="s">
        <v>240</v>
      </c>
      <c r="ED3397" s="5" t="s">
        <v>240</v>
      </c>
      <c r="EE3397" s="5" t="s">
        <v>240</v>
      </c>
      <c r="EF3397" s="5" t="s">
        <v>240</v>
      </c>
      <c r="EG3397" s="5" t="s">
        <v>240</v>
      </c>
      <c r="EH3397" s="5" t="s">
        <v>240</v>
      </c>
      <c r="EI3397" s="5" t="s">
        <v>240</v>
      </c>
      <c r="EJ3397" s="5" t="s">
        <v>240</v>
      </c>
      <c r="EK3397" s="5" t="s">
        <v>240</v>
      </c>
      <c r="EL3397" s="5" t="s">
        <v>240</v>
      </c>
      <c r="EM3397" s="5" t="s">
        <v>240</v>
      </c>
      <c r="EN3397" s="5" t="s">
        <v>240</v>
      </c>
      <c r="EO3397" s="5" t="s">
        <v>240</v>
      </c>
      <c r="EP3397" s="5" t="s">
        <v>240</v>
      </c>
      <c r="EQ3397" s="5" t="s">
        <v>240</v>
      </c>
      <c r="ER3397" s="5" t="s">
        <v>240</v>
      </c>
      <c r="ES3397" s="5" t="s">
        <v>240</v>
      </c>
      <c r="ET3397" s="5" t="s">
        <v>240</v>
      </c>
      <c r="EU3397" s="5" t="s">
        <v>240</v>
      </c>
      <c r="EV3397" s="5" t="s">
        <v>240</v>
      </c>
      <c r="EW3397" s="5" t="s">
        <v>240</v>
      </c>
      <c r="EX3397" s="5" t="s">
        <v>240</v>
      </c>
      <c r="EY3397" s="5" t="s">
        <v>240</v>
      </c>
      <c r="EZ3397" s="5" t="s">
        <v>240</v>
      </c>
      <c r="FA3397" s="5" t="s">
        <v>240</v>
      </c>
      <c r="FB3397" s="5" t="s">
        <v>240</v>
      </c>
      <c r="FC3397" s="5" t="s">
        <v>240</v>
      </c>
      <c r="FD3397" s="5" t="s">
        <v>240</v>
      </c>
      <c r="FE3397" s="5" t="s">
        <v>240</v>
      </c>
      <c r="FF3397" s="5" t="s">
        <v>240</v>
      </c>
      <c r="FG3397" s="5" t="s">
        <v>240</v>
      </c>
      <c r="FH3397" s="5" t="s">
        <v>240</v>
      </c>
      <c r="FI3397" s="5" t="s">
        <v>240</v>
      </c>
      <c r="FJ3397" s="5" t="s">
        <v>240</v>
      </c>
      <c r="FK3397" s="5" t="s">
        <v>240</v>
      </c>
      <c r="FL3397" s="5" t="s">
        <v>240</v>
      </c>
      <c r="FM3397" s="5" t="s">
        <v>240</v>
      </c>
      <c r="FN3397" s="5" t="s">
        <v>240</v>
      </c>
      <c r="FO3397" s="5" t="s">
        <v>240</v>
      </c>
      <c r="FP3397" s="5" t="s">
        <v>240</v>
      </c>
      <c r="FQ3397" s="5" t="s">
        <v>240</v>
      </c>
      <c r="FR3397" s="5" t="s">
        <v>240</v>
      </c>
      <c r="FS3397" s="5" t="s">
        <v>240</v>
      </c>
      <c r="FT3397" s="5" t="s">
        <v>240</v>
      </c>
      <c r="FU3397" s="5" t="s">
        <v>240</v>
      </c>
      <c r="FV3397" s="5" t="s">
        <v>240</v>
      </c>
      <c r="FW3397" s="5" t="s">
        <v>240</v>
      </c>
      <c r="FX3397" s="5" t="s">
        <v>240</v>
      </c>
      <c r="FY3397" s="5" t="s">
        <v>240</v>
      </c>
      <c r="FZ3397" s="5" t="s">
        <v>240</v>
      </c>
      <c r="GA3397" s="5" t="s">
        <v>240</v>
      </c>
      <c r="GB3397" s="5" t="s">
        <v>240</v>
      </c>
      <c r="GC3397" s="5" t="s">
        <v>240</v>
      </c>
      <c r="GD3397" s="5" t="s">
        <v>240</v>
      </c>
      <c r="GE3397" s="5" t="s">
        <v>240</v>
      </c>
      <c r="GF3397" s="5" t="s">
        <v>240</v>
      </c>
      <c r="GG3397" s="5" t="s">
        <v>240</v>
      </c>
      <c r="GH3397" s="5" t="s">
        <v>240</v>
      </c>
      <c r="GI3397" s="5" t="s">
        <v>240</v>
      </c>
      <c r="GJ3397" s="5" t="s">
        <v>240</v>
      </c>
      <c r="GK3397" s="5" t="s">
        <v>240</v>
      </c>
      <c r="GL3397" s="5" t="s">
        <v>240</v>
      </c>
      <c r="GM3397" s="5" t="s">
        <v>240</v>
      </c>
      <c r="GN3397" s="5" t="s">
        <v>240</v>
      </c>
      <c r="GO3397" s="5" t="s">
        <v>240</v>
      </c>
      <c r="GP3397" s="5" t="s">
        <v>240</v>
      </c>
      <c r="GQ3397" s="5" t="s">
        <v>240</v>
      </c>
      <c r="GR3397" s="5" t="s">
        <v>240</v>
      </c>
      <c r="GS3397" s="5" t="s">
        <v>240</v>
      </c>
      <c r="GT3397" s="5" t="s">
        <v>240</v>
      </c>
      <c r="GU3397" s="5" t="s">
        <v>240</v>
      </c>
      <c r="GV3397" s="5" t="s">
        <v>240</v>
      </c>
      <c r="GW3397" s="5" t="s">
        <v>240</v>
      </c>
      <c r="GX3397" s="5" t="s">
        <v>240</v>
      </c>
      <c r="GY3397" s="5" t="s">
        <v>240</v>
      </c>
      <c r="GZ3397" s="5" t="s">
        <v>240</v>
      </c>
      <c r="HA3397" s="5" t="s">
        <v>240</v>
      </c>
      <c r="HB3397" s="5" t="s">
        <v>240</v>
      </c>
      <c r="HC3397" s="5" t="s">
        <v>240</v>
      </c>
      <c r="HD3397" s="5" t="s">
        <v>240</v>
      </c>
      <c r="HE3397" s="5" t="s">
        <v>240</v>
      </c>
      <c r="HF3397" s="5" t="s">
        <v>240</v>
      </c>
      <c r="HG3397" s="5" t="s">
        <v>240</v>
      </c>
      <c r="HH3397" s="5" t="s">
        <v>240</v>
      </c>
      <c r="HI3397" s="5" t="s">
        <v>240</v>
      </c>
      <c r="HJ3397" s="5" t="s">
        <v>240</v>
      </c>
      <c r="HK3397" s="5" t="s">
        <v>240</v>
      </c>
      <c r="HL3397" s="5" t="s">
        <v>240</v>
      </c>
      <c r="HM3397" s="5" t="s">
        <v>240</v>
      </c>
      <c r="HN3397" s="5" t="s">
        <v>240</v>
      </c>
      <c r="HO3397" s="5" t="s">
        <v>312</v>
      </c>
      <c r="HP3397" s="5" t="s">
        <v>240</v>
      </c>
      <c r="HQ3397" s="5" t="s">
        <v>240</v>
      </c>
      <c r="HR3397" s="5" t="s">
        <v>240</v>
      </c>
      <c r="HS3397" s="5" t="s">
        <v>240</v>
      </c>
      <c r="HT3397" s="5" t="s">
        <v>240</v>
      </c>
      <c r="HU3397" s="5" t="s">
        <v>240</v>
      </c>
      <c r="HV3397" s="5" t="s">
        <v>240</v>
      </c>
      <c r="HW3397" s="5" t="s">
        <v>240</v>
      </c>
      <c r="HX3397" s="5" t="s">
        <v>240</v>
      </c>
      <c r="HY3397" s="5" t="s">
        <v>240</v>
      </c>
      <c r="HZ3397" s="5" t="s">
        <v>240</v>
      </c>
      <c r="IA3397" s="5" t="s">
        <v>240</v>
      </c>
      <c r="IB3397" s="5" t="s">
        <v>240</v>
      </c>
      <c r="IC3397" s="5" t="s">
        <v>240</v>
      </c>
      <c r="ID3397" s="5" t="s">
        <v>240</v>
      </c>
      <c r="IE3397" s="5" t="s">
        <v>240</v>
      </c>
      <c r="IF3397" s="5" t="s">
        <v>240</v>
      </c>
    </row>
    <row r="3398" spans="1:240" x14ac:dyDescent="0.4">
      <c r="A3398" s="5">
        <v>8940</v>
      </c>
      <c r="B3398" s="5">
        <v>1</v>
      </c>
      <c r="C3398" s="5">
        <v>1</v>
      </c>
      <c r="D3398" s="5" t="s">
        <v>723</v>
      </c>
      <c r="E3398" s="5" t="s">
        <v>725</v>
      </c>
      <c r="F3398" s="5" t="s">
        <v>730</v>
      </c>
      <c r="G3398" s="5" t="s">
        <v>726</v>
      </c>
      <c r="H3398" s="6" t="s">
        <v>6190</v>
      </c>
      <c r="I3398" s="5" t="s">
        <v>722</v>
      </c>
      <c r="J3398" s="8">
        <f>2760</f>
        <v>2760</v>
      </c>
      <c r="K3398" s="5" t="s">
        <v>308</v>
      </c>
      <c r="L3398" s="7">
        <f>0</f>
        <v>0</v>
      </c>
      <c r="M3398" s="7">
        <f>0</f>
        <v>0</v>
      </c>
      <c r="N3398" s="5" t="s">
        <v>242</v>
      </c>
      <c r="O3398" s="5">
        <v>1</v>
      </c>
      <c r="P3398" s="5" t="s">
        <v>294</v>
      </c>
      <c r="Q3398" s="5" t="s">
        <v>266</v>
      </c>
      <c r="R3398" s="5" t="s">
        <v>240</v>
      </c>
      <c r="S3398" s="5" t="s">
        <v>240</v>
      </c>
      <c r="T3398" s="5" t="s">
        <v>296</v>
      </c>
      <c r="U3398" s="5" t="s">
        <v>244</v>
      </c>
      <c r="V3398" s="5" t="s">
        <v>240</v>
      </c>
      <c r="Y3398" s="5" t="s">
        <v>240</v>
      </c>
      <c r="Z3398" s="6" t="s">
        <v>298</v>
      </c>
      <c r="AB3398" s="6" t="s">
        <v>240</v>
      </c>
      <c r="AE3398" s="6" t="s">
        <v>299</v>
      </c>
      <c r="AF3398" s="5" t="s">
        <v>248</v>
      </c>
      <c r="AG3398" s="5" t="s">
        <v>249</v>
      </c>
      <c r="AW3398" s="5" t="s">
        <v>251</v>
      </c>
      <c r="AX3398" s="5" t="s">
        <v>240</v>
      </c>
      <c r="AY3398" s="5" t="s">
        <v>253</v>
      </c>
      <c r="AZ3398" s="5" t="s">
        <v>240</v>
      </c>
      <c r="BA3398" s="5" t="s">
        <v>255</v>
      </c>
      <c r="BB3398" s="5" t="s">
        <v>240</v>
      </c>
      <c r="BD3398" s="5" t="s">
        <v>240</v>
      </c>
      <c r="BF3398" s="5" t="s">
        <v>301</v>
      </c>
      <c r="BG3398" s="6" t="s">
        <v>299</v>
      </c>
      <c r="BH3398" s="5" t="s">
        <v>302</v>
      </c>
      <c r="BI3398" s="5" t="s">
        <v>303</v>
      </c>
      <c r="BJ3398" s="5" t="s">
        <v>240</v>
      </c>
      <c r="BK3398" s="8">
        <f>0</f>
        <v>0</v>
      </c>
      <c r="BL3398" s="7">
        <f>0</f>
        <v>0</v>
      </c>
      <c r="BM3398" s="5" t="s">
        <v>258</v>
      </c>
      <c r="BN3398" s="5" t="s">
        <v>259</v>
      </c>
      <c r="CB3398" s="5" t="s">
        <v>240</v>
      </c>
      <c r="CC3398" s="5" t="s">
        <v>240</v>
      </c>
      <c r="CG3398" s="5" t="s">
        <v>304</v>
      </c>
      <c r="CH3398" s="5" t="s">
        <v>305</v>
      </c>
      <c r="CI3398" s="5" t="s">
        <v>240</v>
      </c>
      <c r="CL3398" s="6" t="s">
        <v>261</v>
      </c>
      <c r="CM3398" s="5" t="s">
        <v>240</v>
      </c>
      <c r="CN3398" s="5" t="s">
        <v>263</v>
      </c>
      <c r="CO3398" s="5" t="s">
        <v>240</v>
      </c>
      <c r="CP3398" s="5" t="s">
        <v>240</v>
      </c>
      <c r="CQ3398" s="5">
        <v>0</v>
      </c>
      <c r="CR3398" s="5" t="s">
        <v>306</v>
      </c>
      <c r="CS3398" s="5" t="s">
        <v>307</v>
      </c>
      <c r="CT3398" s="5" t="s">
        <v>307</v>
      </c>
      <c r="CU3398" s="5" t="s">
        <v>260</v>
      </c>
      <c r="CX3398" s="7">
        <f>1</f>
        <v>1</v>
      </c>
      <c r="CY3398" s="7">
        <f>0</f>
        <v>0</v>
      </c>
      <c r="DA3398" s="7">
        <f>0</f>
        <v>0</v>
      </c>
      <c r="DC3398" s="5" t="s">
        <v>309</v>
      </c>
      <c r="DD3398" s="5" t="s">
        <v>240</v>
      </c>
      <c r="DF3398" s="5" t="s">
        <v>309</v>
      </c>
      <c r="DG3398" s="7">
        <f>226</f>
        <v>226</v>
      </c>
      <c r="DI3398" s="5" t="s">
        <v>240</v>
      </c>
      <c r="DJ3398" s="5" t="s">
        <v>240</v>
      </c>
      <c r="DK3398" s="5" t="s">
        <v>240</v>
      </c>
      <c r="DL3398" s="5" t="s">
        <v>240</v>
      </c>
      <c r="DP3398" s="5" t="s">
        <v>240</v>
      </c>
      <c r="DQ3398" s="5" t="s">
        <v>240</v>
      </c>
      <c r="DR3398" s="5" t="s">
        <v>240</v>
      </c>
      <c r="DS3398" s="5" t="s">
        <v>240</v>
      </c>
      <c r="DV3398" s="5" t="s">
        <v>310</v>
      </c>
      <c r="DW3398" s="5" t="s">
        <v>3647</v>
      </c>
      <c r="HO3398" s="5" t="s">
        <v>312</v>
      </c>
    </row>
    <row r="3399" spans="1:240" x14ac:dyDescent="0.4">
      <c r="A3399" s="5">
        <v>8941</v>
      </c>
      <c r="B3399" s="5">
        <v>1</v>
      </c>
      <c r="C3399" s="5">
        <v>1</v>
      </c>
      <c r="D3399" s="5" t="s">
        <v>723</v>
      </c>
      <c r="E3399" s="5" t="s">
        <v>725</v>
      </c>
      <c r="F3399" s="5" t="s">
        <v>730</v>
      </c>
      <c r="G3399" s="5" t="s">
        <v>726</v>
      </c>
      <c r="H3399" s="6" t="s">
        <v>6189</v>
      </c>
      <c r="I3399" s="5" t="s">
        <v>722</v>
      </c>
      <c r="J3399" s="8">
        <f>1310</f>
        <v>1310</v>
      </c>
      <c r="K3399" s="5" t="s">
        <v>308</v>
      </c>
      <c r="L3399" s="7">
        <f>0</f>
        <v>0</v>
      </c>
      <c r="M3399" s="7">
        <f>0</f>
        <v>0</v>
      </c>
      <c r="N3399" s="5" t="s">
        <v>242</v>
      </c>
      <c r="O3399" s="5">
        <v>1</v>
      </c>
      <c r="P3399" s="5" t="s">
        <v>294</v>
      </c>
      <c r="Q3399" s="5" t="s">
        <v>3678</v>
      </c>
      <c r="R3399" s="5" t="s">
        <v>240</v>
      </c>
      <c r="S3399" s="5" t="s">
        <v>240</v>
      </c>
      <c r="T3399" s="5" t="s">
        <v>243</v>
      </c>
      <c r="U3399" s="5" t="s">
        <v>244</v>
      </c>
      <c r="V3399" s="5" t="s">
        <v>240</v>
      </c>
      <c r="W3399" s="5" t="s">
        <v>240</v>
      </c>
      <c r="X3399" s="5" t="s">
        <v>240</v>
      </c>
      <c r="Y3399" s="5" t="s">
        <v>240</v>
      </c>
      <c r="Z3399" s="6" t="s">
        <v>298</v>
      </c>
      <c r="AA3399" s="6" t="s">
        <v>240</v>
      </c>
      <c r="AB3399" s="6" t="s">
        <v>240</v>
      </c>
      <c r="AC3399" s="5" t="s">
        <v>240</v>
      </c>
      <c r="AD3399" s="6" t="s">
        <v>240</v>
      </c>
      <c r="AE3399" s="6" t="s">
        <v>299</v>
      </c>
      <c r="AF3399" s="5" t="s">
        <v>248</v>
      </c>
      <c r="AG3399" s="5" t="s">
        <v>249</v>
      </c>
      <c r="AH3399" s="5" t="s">
        <v>240</v>
      </c>
      <c r="AI3399" s="5" t="s">
        <v>240</v>
      </c>
      <c r="AJ3399" s="5" t="s">
        <v>240</v>
      </c>
      <c r="AK3399" s="5" t="s">
        <v>240</v>
      </c>
      <c r="AL3399" s="5" t="s">
        <v>240</v>
      </c>
      <c r="AM3399" s="5" t="s">
        <v>240</v>
      </c>
      <c r="AN3399" s="5" t="s">
        <v>240</v>
      </c>
      <c r="AO3399" s="5" t="s">
        <v>240</v>
      </c>
      <c r="AP3399" s="6" t="s">
        <v>240</v>
      </c>
      <c r="AQ3399" s="6" t="s">
        <v>240</v>
      </c>
      <c r="AR3399" s="6" t="s">
        <v>240</v>
      </c>
      <c r="AS3399" s="6" t="s">
        <v>240</v>
      </c>
      <c r="AT3399" s="5" t="s">
        <v>240</v>
      </c>
      <c r="AU3399" s="5" t="s">
        <v>729</v>
      </c>
      <c r="AV3399" s="5" t="s">
        <v>729</v>
      </c>
      <c r="AW3399" s="5" t="s">
        <v>251</v>
      </c>
      <c r="AX3399" s="5" t="s">
        <v>252</v>
      </c>
      <c r="AY3399" s="5" t="s">
        <v>253</v>
      </c>
      <c r="AZ3399" s="5" t="s">
        <v>240</v>
      </c>
      <c r="BA3399" s="5" t="s">
        <v>255</v>
      </c>
      <c r="BB3399" s="5" t="s">
        <v>731</v>
      </c>
      <c r="BD3399" s="5" t="s">
        <v>240</v>
      </c>
      <c r="BF3399" s="5" t="s">
        <v>732</v>
      </c>
      <c r="BG3399" s="6" t="s">
        <v>733</v>
      </c>
      <c r="BH3399" s="5" t="s">
        <v>734</v>
      </c>
      <c r="BI3399" s="5" t="s">
        <v>734</v>
      </c>
      <c r="BJ3399" s="5" t="s">
        <v>240</v>
      </c>
      <c r="BK3399" s="7">
        <f>1</f>
        <v>1</v>
      </c>
      <c r="BL3399" s="7">
        <f>1</f>
        <v>1</v>
      </c>
      <c r="BM3399" s="5" t="s">
        <v>258</v>
      </c>
      <c r="BN3399" s="5" t="s">
        <v>259</v>
      </c>
      <c r="BO3399" s="5" t="s">
        <v>240</v>
      </c>
      <c r="BP3399" s="5" t="s">
        <v>240</v>
      </c>
      <c r="BQ3399" s="5" t="s">
        <v>240</v>
      </c>
      <c r="BR3399" s="5" t="s">
        <v>240</v>
      </c>
      <c r="BS3399" s="5" t="s">
        <v>240</v>
      </c>
      <c r="BT3399" s="5" t="s">
        <v>240</v>
      </c>
      <c r="BU3399" s="5" t="s">
        <v>240</v>
      </c>
      <c r="BV3399" s="5" t="s">
        <v>240</v>
      </c>
      <c r="BW3399" s="6" t="s">
        <v>240</v>
      </c>
      <c r="BX3399" s="5" t="s">
        <v>240</v>
      </c>
      <c r="BY3399" s="5" t="s">
        <v>240</v>
      </c>
      <c r="BZ3399" s="5" t="s">
        <v>240</v>
      </c>
      <c r="CA3399" s="5" t="s">
        <v>259</v>
      </c>
      <c r="CB3399" s="5" t="s">
        <v>240</v>
      </c>
      <c r="CC3399" s="5" t="s">
        <v>240</v>
      </c>
      <c r="CD3399" s="5" t="s">
        <v>240</v>
      </c>
      <c r="CE3399" s="5" t="s">
        <v>240</v>
      </c>
      <c r="CF3399" s="5" t="s">
        <v>240</v>
      </c>
      <c r="CG3399" s="5" t="s">
        <v>304</v>
      </c>
      <c r="CH3399" s="5" t="s">
        <v>305</v>
      </c>
      <c r="CI3399" s="5" t="s">
        <v>240</v>
      </c>
      <c r="CK3399" s="5" t="s">
        <v>3681</v>
      </c>
      <c r="CL3399" s="6" t="s">
        <v>261</v>
      </c>
      <c r="CM3399" s="5" t="s">
        <v>262</v>
      </c>
      <c r="CN3399" s="5" t="s">
        <v>263</v>
      </c>
      <c r="CO3399" s="5" t="s">
        <v>264</v>
      </c>
      <c r="CP3399" s="5" t="s">
        <v>240</v>
      </c>
      <c r="CQ3399" s="5">
        <v>0</v>
      </c>
      <c r="CR3399" s="5" t="s">
        <v>735</v>
      </c>
      <c r="CS3399" s="5" t="s">
        <v>307</v>
      </c>
      <c r="CT3399" s="5" t="s">
        <v>307</v>
      </c>
      <c r="CU3399" s="5" t="s">
        <v>260</v>
      </c>
      <c r="CV3399" s="5" t="s">
        <v>612</v>
      </c>
      <c r="CW3399" s="8">
        <f>1</f>
        <v>1</v>
      </c>
      <c r="CX3399" s="7">
        <f>1</f>
        <v>1</v>
      </c>
      <c r="CY3399" s="7">
        <f>0</f>
        <v>0</v>
      </c>
      <c r="DA3399" s="7">
        <f>1</f>
        <v>1</v>
      </c>
      <c r="DB3399" s="7" t="s">
        <v>240</v>
      </c>
      <c r="DC3399" s="5" t="s">
        <v>240</v>
      </c>
      <c r="DD3399" s="5" t="s">
        <v>240</v>
      </c>
      <c r="DE3399" s="5" t="s">
        <v>240</v>
      </c>
      <c r="DF3399" s="5" t="s">
        <v>240</v>
      </c>
      <c r="DG3399" s="7">
        <f>0</f>
        <v>0</v>
      </c>
      <c r="DI3399" s="5" t="s">
        <v>240</v>
      </c>
      <c r="DJ3399" s="5" t="s">
        <v>240</v>
      </c>
      <c r="DK3399" s="5" t="s">
        <v>240</v>
      </c>
      <c r="DL3399" s="5" t="s">
        <v>240</v>
      </c>
      <c r="DM3399" s="5" t="s">
        <v>240</v>
      </c>
      <c r="DN3399" s="5" t="s">
        <v>240</v>
      </c>
      <c r="DO3399" s="7" t="s">
        <v>240</v>
      </c>
      <c r="DP3399" s="5" t="s">
        <v>240</v>
      </c>
      <c r="DQ3399" s="5" t="s">
        <v>240</v>
      </c>
      <c r="DR3399" s="5" t="s">
        <v>731</v>
      </c>
      <c r="DS3399" s="5" t="s">
        <v>731</v>
      </c>
      <c r="DT3399" s="5" t="s">
        <v>240</v>
      </c>
      <c r="DU3399" s="5" t="s">
        <v>240</v>
      </c>
      <c r="DV3399" s="5" t="s">
        <v>5063</v>
      </c>
      <c r="DW3399" s="5" t="s">
        <v>827</v>
      </c>
      <c r="DX3399" s="5" t="s">
        <v>240</v>
      </c>
      <c r="DY3399" s="5" t="s">
        <v>240</v>
      </c>
      <c r="DZ3399" s="5" t="s">
        <v>240</v>
      </c>
      <c r="EA3399" s="5" t="s">
        <v>240</v>
      </c>
      <c r="EB3399" s="5" t="s">
        <v>240</v>
      </c>
      <c r="EC3399" s="5" t="s">
        <v>240</v>
      </c>
      <c r="ED3399" s="5" t="s">
        <v>240</v>
      </c>
      <c r="EE3399" s="5" t="s">
        <v>240</v>
      </c>
      <c r="EF3399" s="5" t="s">
        <v>240</v>
      </c>
      <c r="EG3399" s="5" t="s">
        <v>240</v>
      </c>
      <c r="EH3399" s="5" t="s">
        <v>240</v>
      </c>
      <c r="EI3399" s="5" t="s">
        <v>240</v>
      </c>
      <c r="EJ3399" s="5" t="s">
        <v>240</v>
      </c>
      <c r="EK3399" s="5" t="s">
        <v>240</v>
      </c>
      <c r="EL3399" s="5" t="s">
        <v>240</v>
      </c>
      <c r="EM3399" s="5" t="s">
        <v>240</v>
      </c>
      <c r="EN3399" s="5" t="s">
        <v>240</v>
      </c>
      <c r="EO3399" s="5" t="s">
        <v>240</v>
      </c>
      <c r="EP3399" s="5" t="s">
        <v>240</v>
      </c>
      <c r="EQ3399" s="5" t="s">
        <v>240</v>
      </c>
      <c r="ER3399" s="5" t="s">
        <v>240</v>
      </c>
      <c r="ES3399" s="5" t="s">
        <v>240</v>
      </c>
      <c r="ET3399" s="5" t="s">
        <v>240</v>
      </c>
      <c r="EU3399" s="5" t="s">
        <v>240</v>
      </c>
      <c r="EV3399" s="5" t="s">
        <v>240</v>
      </c>
      <c r="EW3399" s="5" t="s">
        <v>240</v>
      </c>
      <c r="EX3399" s="5" t="s">
        <v>240</v>
      </c>
      <c r="EY3399" s="5" t="s">
        <v>240</v>
      </c>
      <c r="EZ3399" s="5" t="s">
        <v>240</v>
      </c>
      <c r="FA3399" s="5" t="s">
        <v>240</v>
      </c>
      <c r="FB3399" s="5" t="s">
        <v>240</v>
      </c>
      <c r="FC3399" s="5" t="s">
        <v>240</v>
      </c>
      <c r="FD3399" s="5" t="s">
        <v>240</v>
      </c>
      <c r="FE3399" s="5" t="s">
        <v>240</v>
      </c>
      <c r="FF3399" s="5" t="s">
        <v>240</v>
      </c>
      <c r="FG3399" s="5" t="s">
        <v>240</v>
      </c>
      <c r="FH3399" s="5" t="s">
        <v>240</v>
      </c>
      <c r="FI3399" s="5" t="s">
        <v>240</v>
      </c>
      <c r="FJ3399" s="5" t="s">
        <v>240</v>
      </c>
      <c r="FK3399" s="5" t="s">
        <v>240</v>
      </c>
      <c r="FL3399" s="5" t="s">
        <v>240</v>
      </c>
      <c r="FM3399" s="5" t="s">
        <v>240</v>
      </c>
      <c r="FN3399" s="5" t="s">
        <v>240</v>
      </c>
      <c r="FO3399" s="5" t="s">
        <v>240</v>
      </c>
      <c r="FP3399" s="5" t="s">
        <v>240</v>
      </c>
      <c r="FQ3399" s="5" t="s">
        <v>240</v>
      </c>
      <c r="FR3399" s="5" t="s">
        <v>240</v>
      </c>
      <c r="FS3399" s="5" t="s">
        <v>240</v>
      </c>
      <c r="FT3399" s="5" t="s">
        <v>240</v>
      </c>
      <c r="FU3399" s="5" t="s">
        <v>240</v>
      </c>
      <c r="FV3399" s="5" t="s">
        <v>240</v>
      </c>
      <c r="FW3399" s="5" t="s">
        <v>240</v>
      </c>
      <c r="FX3399" s="5" t="s">
        <v>240</v>
      </c>
      <c r="FY3399" s="5" t="s">
        <v>240</v>
      </c>
      <c r="FZ3399" s="5" t="s">
        <v>240</v>
      </c>
      <c r="GA3399" s="5" t="s">
        <v>240</v>
      </c>
      <c r="GB3399" s="5" t="s">
        <v>240</v>
      </c>
      <c r="GC3399" s="5" t="s">
        <v>240</v>
      </c>
      <c r="GD3399" s="5" t="s">
        <v>240</v>
      </c>
      <c r="GE3399" s="5" t="s">
        <v>240</v>
      </c>
      <c r="GF3399" s="5" t="s">
        <v>240</v>
      </c>
      <c r="GG3399" s="5" t="s">
        <v>240</v>
      </c>
      <c r="GH3399" s="5" t="s">
        <v>240</v>
      </c>
      <c r="GI3399" s="5" t="s">
        <v>240</v>
      </c>
      <c r="GJ3399" s="5" t="s">
        <v>240</v>
      </c>
      <c r="GK3399" s="5" t="s">
        <v>240</v>
      </c>
      <c r="GL3399" s="5" t="s">
        <v>240</v>
      </c>
      <c r="GM3399" s="5" t="s">
        <v>240</v>
      </c>
      <c r="GN3399" s="5" t="s">
        <v>240</v>
      </c>
      <c r="GO3399" s="5" t="s">
        <v>240</v>
      </c>
      <c r="GP3399" s="5" t="s">
        <v>240</v>
      </c>
      <c r="GQ3399" s="5" t="s">
        <v>240</v>
      </c>
      <c r="GR3399" s="5" t="s">
        <v>240</v>
      </c>
      <c r="GS3399" s="5" t="s">
        <v>240</v>
      </c>
      <c r="GT3399" s="5" t="s">
        <v>240</v>
      </c>
      <c r="GU3399" s="5" t="s">
        <v>240</v>
      </c>
      <c r="GV3399" s="5" t="s">
        <v>240</v>
      </c>
      <c r="GW3399" s="5" t="s">
        <v>240</v>
      </c>
      <c r="GX3399" s="5" t="s">
        <v>240</v>
      </c>
      <c r="GY3399" s="5" t="s">
        <v>240</v>
      </c>
      <c r="GZ3399" s="5" t="s">
        <v>240</v>
      </c>
      <c r="HA3399" s="5" t="s">
        <v>240</v>
      </c>
      <c r="HB3399" s="5" t="s">
        <v>240</v>
      </c>
      <c r="HC3399" s="5" t="s">
        <v>240</v>
      </c>
      <c r="HD3399" s="5" t="s">
        <v>240</v>
      </c>
      <c r="HE3399" s="5" t="s">
        <v>240</v>
      </c>
      <c r="HF3399" s="5" t="s">
        <v>240</v>
      </c>
      <c r="HG3399" s="5" t="s">
        <v>240</v>
      </c>
      <c r="HH3399" s="5" t="s">
        <v>240</v>
      </c>
      <c r="HI3399" s="5" t="s">
        <v>240</v>
      </c>
      <c r="HJ3399" s="5" t="s">
        <v>240</v>
      </c>
      <c r="HK3399" s="5" t="s">
        <v>240</v>
      </c>
      <c r="HL3399" s="5" t="s">
        <v>240</v>
      </c>
      <c r="HM3399" s="5" t="s">
        <v>240</v>
      </c>
      <c r="HN3399" s="5" t="s">
        <v>240</v>
      </c>
      <c r="HO3399" s="5" t="s">
        <v>312</v>
      </c>
      <c r="HP3399" s="5" t="s">
        <v>240</v>
      </c>
      <c r="HQ3399" s="5" t="s">
        <v>240</v>
      </c>
      <c r="HR3399" s="5" t="s">
        <v>240</v>
      </c>
      <c r="HS3399" s="5" t="s">
        <v>240</v>
      </c>
      <c r="HT3399" s="5" t="s">
        <v>240</v>
      </c>
      <c r="HU3399" s="5" t="s">
        <v>240</v>
      </c>
      <c r="HV3399" s="5" t="s">
        <v>240</v>
      </c>
      <c r="HW3399" s="5" t="s">
        <v>240</v>
      </c>
      <c r="HX3399" s="5" t="s">
        <v>240</v>
      </c>
      <c r="HY3399" s="5" t="s">
        <v>240</v>
      </c>
      <c r="HZ3399" s="5" t="s">
        <v>240</v>
      </c>
      <c r="IA3399" s="5" t="s">
        <v>240</v>
      </c>
      <c r="IB3399" s="5" t="s">
        <v>240</v>
      </c>
      <c r="IC3399" s="5" t="s">
        <v>240</v>
      </c>
      <c r="ID3399" s="5" t="s">
        <v>240</v>
      </c>
      <c r="IE3399" s="5" t="s">
        <v>240</v>
      </c>
      <c r="IF3399" s="5" t="s">
        <v>240</v>
      </c>
    </row>
    <row r="3400" spans="1:240" x14ac:dyDescent="0.4">
      <c r="A3400" s="5">
        <v>8942</v>
      </c>
      <c r="B3400" s="5">
        <v>1</v>
      </c>
      <c r="C3400" s="5">
        <v>1</v>
      </c>
      <c r="D3400" s="5" t="s">
        <v>723</v>
      </c>
      <c r="E3400" s="5" t="s">
        <v>725</v>
      </c>
      <c r="F3400" s="5" t="s">
        <v>730</v>
      </c>
      <c r="G3400" s="5" t="s">
        <v>726</v>
      </c>
      <c r="H3400" s="6" t="s">
        <v>6188</v>
      </c>
      <c r="I3400" s="5" t="s">
        <v>722</v>
      </c>
      <c r="J3400" s="8">
        <f>111</f>
        <v>111</v>
      </c>
      <c r="K3400" s="5" t="s">
        <v>308</v>
      </c>
      <c r="L3400" s="7">
        <f>0</f>
        <v>0</v>
      </c>
      <c r="M3400" s="7">
        <f>0</f>
        <v>0</v>
      </c>
      <c r="N3400" s="5" t="s">
        <v>242</v>
      </c>
      <c r="O3400" s="5">
        <v>1</v>
      </c>
      <c r="P3400" s="5" t="s">
        <v>294</v>
      </c>
      <c r="Q3400" s="5" t="s">
        <v>3678</v>
      </c>
      <c r="R3400" s="5" t="s">
        <v>240</v>
      </c>
      <c r="S3400" s="5" t="s">
        <v>240</v>
      </c>
      <c r="T3400" s="5" t="s">
        <v>243</v>
      </c>
      <c r="U3400" s="5" t="s">
        <v>244</v>
      </c>
      <c r="V3400" s="5" t="s">
        <v>240</v>
      </c>
      <c r="W3400" s="5" t="s">
        <v>240</v>
      </c>
      <c r="X3400" s="5" t="s">
        <v>240</v>
      </c>
      <c r="Y3400" s="5" t="s">
        <v>240</v>
      </c>
      <c r="Z3400" s="6" t="s">
        <v>298</v>
      </c>
      <c r="AA3400" s="6" t="s">
        <v>240</v>
      </c>
      <c r="AB3400" s="6" t="s">
        <v>240</v>
      </c>
      <c r="AC3400" s="5" t="s">
        <v>240</v>
      </c>
      <c r="AD3400" s="6" t="s">
        <v>240</v>
      </c>
      <c r="AE3400" s="6" t="s">
        <v>299</v>
      </c>
      <c r="AF3400" s="5" t="s">
        <v>248</v>
      </c>
      <c r="AG3400" s="5" t="s">
        <v>249</v>
      </c>
      <c r="AH3400" s="5" t="s">
        <v>240</v>
      </c>
      <c r="AI3400" s="5" t="s">
        <v>240</v>
      </c>
      <c r="AJ3400" s="5" t="s">
        <v>240</v>
      </c>
      <c r="AK3400" s="5" t="s">
        <v>240</v>
      </c>
      <c r="AL3400" s="5" t="s">
        <v>240</v>
      </c>
      <c r="AM3400" s="5" t="s">
        <v>240</v>
      </c>
      <c r="AN3400" s="5" t="s">
        <v>240</v>
      </c>
      <c r="AO3400" s="5" t="s">
        <v>240</v>
      </c>
      <c r="AP3400" s="6" t="s">
        <v>240</v>
      </c>
      <c r="AQ3400" s="6" t="s">
        <v>240</v>
      </c>
      <c r="AR3400" s="6" t="s">
        <v>240</v>
      </c>
      <c r="AS3400" s="6" t="s">
        <v>240</v>
      </c>
      <c r="AT3400" s="5" t="s">
        <v>240</v>
      </c>
      <c r="AU3400" s="5" t="s">
        <v>729</v>
      </c>
      <c r="AV3400" s="5" t="s">
        <v>729</v>
      </c>
      <c r="AW3400" s="5" t="s">
        <v>251</v>
      </c>
      <c r="AX3400" s="5" t="s">
        <v>252</v>
      </c>
      <c r="AY3400" s="5" t="s">
        <v>253</v>
      </c>
      <c r="AZ3400" s="5" t="s">
        <v>240</v>
      </c>
      <c r="BA3400" s="5" t="s">
        <v>255</v>
      </c>
      <c r="BB3400" s="5" t="s">
        <v>731</v>
      </c>
      <c r="BD3400" s="5" t="s">
        <v>240</v>
      </c>
      <c r="BF3400" s="5" t="s">
        <v>732</v>
      </c>
      <c r="BG3400" s="6" t="s">
        <v>733</v>
      </c>
      <c r="BH3400" s="5" t="s">
        <v>734</v>
      </c>
      <c r="BI3400" s="5" t="s">
        <v>734</v>
      </c>
      <c r="BJ3400" s="5" t="s">
        <v>240</v>
      </c>
      <c r="BK3400" s="7">
        <f>1</f>
        <v>1</v>
      </c>
      <c r="BL3400" s="7">
        <f>1</f>
        <v>1</v>
      </c>
      <c r="BM3400" s="5" t="s">
        <v>258</v>
      </c>
      <c r="BN3400" s="5" t="s">
        <v>259</v>
      </c>
      <c r="BO3400" s="5" t="s">
        <v>240</v>
      </c>
      <c r="BP3400" s="5" t="s">
        <v>240</v>
      </c>
      <c r="BQ3400" s="5" t="s">
        <v>240</v>
      </c>
      <c r="BR3400" s="5" t="s">
        <v>240</v>
      </c>
      <c r="BS3400" s="5" t="s">
        <v>240</v>
      </c>
      <c r="BT3400" s="5" t="s">
        <v>240</v>
      </c>
      <c r="BU3400" s="5" t="s">
        <v>240</v>
      </c>
      <c r="BV3400" s="5" t="s">
        <v>240</v>
      </c>
      <c r="BW3400" s="6" t="s">
        <v>240</v>
      </c>
      <c r="BX3400" s="5" t="s">
        <v>240</v>
      </c>
      <c r="BY3400" s="5" t="s">
        <v>240</v>
      </c>
      <c r="BZ3400" s="5" t="s">
        <v>240</v>
      </c>
      <c r="CA3400" s="5" t="s">
        <v>259</v>
      </c>
      <c r="CB3400" s="5" t="s">
        <v>240</v>
      </c>
      <c r="CC3400" s="5" t="s">
        <v>240</v>
      </c>
      <c r="CD3400" s="5" t="s">
        <v>240</v>
      </c>
      <c r="CE3400" s="5" t="s">
        <v>240</v>
      </c>
      <c r="CF3400" s="5" t="s">
        <v>240</v>
      </c>
      <c r="CG3400" s="5" t="s">
        <v>304</v>
      </c>
      <c r="CH3400" s="5" t="s">
        <v>305</v>
      </c>
      <c r="CI3400" s="5" t="s">
        <v>240</v>
      </c>
      <c r="CK3400" s="5" t="s">
        <v>3681</v>
      </c>
      <c r="CL3400" s="6" t="s">
        <v>261</v>
      </c>
      <c r="CM3400" s="5" t="s">
        <v>262</v>
      </c>
      <c r="CN3400" s="5" t="s">
        <v>263</v>
      </c>
      <c r="CO3400" s="5" t="s">
        <v>264</v>
      </c>
      <c r="CP3400" s="5" t="s">
        <v>240</v>
      </c>
      <c r="CQ3400" s="5">
        <v>0</v>
      </c>
      <c r="CR3400" s="5" t="s">
        <v>735</v>
      </c>
      <c r="CS3400" s="5" t="s">
        <v>307</v>
      </c>
      <c r="CT3400" s="5" t="s">
        <v>307</v>
      </c>
      <c r="CU3400" s="5" t="s">
        <v>260</v>
      </c>
      <c r="CV3400" s="5" t="s">
        <v>612</v>
      </c>
      <c r="CW3400" s="8">
        <f>1</f>
        <v>1</v>
      </c>
      <c r="CX3400" s="7">
        <f>1</f>
        <v>1</v>
      </c>
      <c r="CY3400" s="7">
        <f>0</f>
        <v>0</v>
      </c>
      <c r="DA3400" s="7">
        <f>1</f>
        <v>1</v>
      </c>
      <c r="DB3400" s="7" t="s">
        <v>240</v>
      </c>
      <c r="DC3400" s="5" t="s">
        <v>240</v>
      </c>
      <c r="DD3400" s="5" t="s">
        <v>240</v>
      </c>
      <c r="DE3400" s="5" t="s">
        <v>240</v>
      </c>
      <c r="DF3400" s="5" t="s">
        <v>240</v>
      </c>
      <c r="DG3400" s="7">
        <f>0</f>
        <v>0</v>
      </c>
      <c r="DI3400" s="5" t="s">
        <v>240</v>
      </c>
      <c r="DJ3400" s="5" t="s">
        <v>240</v>
      </c>
      <c r="DK3400" s="5" t="s">
        <v>240</v>
      </c>
      <c r="DL3400" s="5" t="s">
        <v>240</v>
      </c>
      <c r="DM3400" s="5" t="s">
        <v>240</v>
      </c>
      <c r="DN3400" s="5" t="s">
        <v>240</v>
      </c>
      <c r="DO3400" s="7" t="s">
        <v>240</v>
      </c>
      <c r="DP3400" s="5" t="s">
        <v>240</v>
      </c>
      <c r="DQ3400" s="5" t="s">
        <v>240</v>
      </c>
      <c r="DR3400" s="5" t="s">
        <v>731</v>
      </c>
      <c r="DS3400" s="5" t="s">
        <v>731</v>
      </c>
      <c r="DT3400" s="5" t="s">
        <v>240</v>
      </c>
      <c r="DU3400" s="5" t="s">
        <v>240</v>
      </c>
      <c r="DV3400" s="5" t="s">
        <v>3683</v>
      </c>
      <c r="DW3400" s="5" t="s">
        <v>580</v>
      </c>
      <c r="DX3400" s="5" t="s">
        <v>240</v>
      </c>
      <c r="DY3400" s="5" t="s">
        <v>240</v>
      </c>
      <c r="DZ3400" s="5" t="s">
        <v>240</v>
      </c>
      <c r="EA3400" s="5" t="s">
        <v>240</v>
      </c>
      <c r="EB3400" s="5" t="s">
        <v>240</v>
      </c>
      <c r="EC3400" s="5" t="s">
        <v>240</v>
      </c>
      <c r="ED3400" s="5" t="s">
        <v>240</v>
      </c>
      <c r="EE3400" s="5" t="s">
        <v>240</v>
      </c>
      <c r="EF3400" s="5" t="s">
        <v>240</v>
      </c>
      <c r="EG3400" s="5" t="s">
        <v>240</v>
      </c>
      <c r="EH3400" s="5" t="s">
        <v>240</v>
      </c>
      <c r="EI3400" s="5" t="s">
        <v>240</v>
      </c>
      <c r="EJ3400" s="5" t="s">
        <v>240</v>
      </c>
      <c r="EK3400" s="5" t="s">
        <v>240</v>
      </c>
      <c r="EL3400" s="5" t="s">
        <v>240</v>
      </c>
      <c r="EM3400" s="5" t="s">
        <v>240</v>
      </c>
      <c r="EN3400" s="5" t="s">
        <v>240</v>
      </c>
      <c r="EO3400" s="5" t="s">
        <v>240</v>
      </c>
      <c r="EP3400" s="5" t="s">
        <v>240</v>
      </c>
      <c r="EQ3400" s="5" t="s">
        <v>240</v>
      </c>
      <c r="ER3400" s="5" t="s">
        <v>240</v>
      </c>
      <c r="ES3400" s="5" t="s">
        <v>240</v>
      </c>
      <c r="ET3400" s="5" t="s">
        <v>240</v>
      </c>
      <c r="EU3400" s="5" t="s">
        <v>240</v>
      </c>
      <c r="EV3400" s="5" t="s">
        <v>240</v>
      </c>
      <c r="EW3400" s="5" t="s">
        <v>240</v>
      </c>
      <c r="EX3400" s="5" t="s">
        <v>240</v>
      </c>
      <c r="EY3400" s="5" t="s">
        <v>240</v>
      </c>
      <c r="EZ3400" s="5" t="s">
        <v>240</v>
      </c>
      <c r="FA3400" s="5" t="s">
        <v>240</v>
      </c>
      <c r="FB3400" s="5" t="s">
        <v>240</v>
      </c>
      <c r="FC3400" s="5" t="s">
        <v>240</v>
      </c>
      <c r="FD3400" s="5" t="s">
        <v>240</v>
      </c>
      <c r="FE3400" s="5" t="s">
        <v>240</v>
      </c>
      <c r="FF3400" s="5" t="s">
        <v>240</v>
      </c>
      <c r="FG3400" s="5" t="s">
        <v>240</v>
      </c>
      <c r="FH3400" s="5" t="s">
        <v>240</v>
      </c>
      <c r="FI3400" s="5" t="s">
        <v>240</v>
      </c>
      <c r="FJ3400" s="5" t="s">
        <v>240</v>
      </c>
      <c r="FK3400" s="5" t="s">
        <v>240</v>
      </c>
      <c r="FL3400" s="5" t="s">
        <v>240</v>
      </c>
      <c r="FM3400" s="5" t="s">
        <v>240</v>
      </c>
      <c r="FN3400" s="5" t="s">
        <v>240</v>
      </c>
      <c r="FO3400" s="5" t="s">
        <v>240</v>
      </c>
      <c r="FP3400" s="5" t="s">
        <v>240</v>
      </c>
      <c r="FQ3400" s="5" t="s">
        <v>240</v>
      </c>
      <c r="FR3400" s="5" t="s">
        <v>240</v>
      </c>
      <c r="FS3400" s="5" t="s">
        <v>240</v>
      </c>
      <c r="FT3400" s="5" t="s">
        <v>240</v>
      </c>
      <c r="FU3400" s="5" t="s">
        <v>240</v>
      </c>
      <c r="FV3400" s="5" t="s">
        <v>240</v>
      </c>
      <c r="FW3400" s="5" t="s">
        <v>240</v>
      </c>
      <c r="FX3400" s="5" t="s">
        <v>240</v>
      </c>
      <c r="FY3400" s="5" t="s">
        <v>240</v>
      </c>
      <c r="FZ3400" s="5" t="s">
        <v>240</v>
      </c>
      <c r="GA3400" s="5" t="s">
        <v>240</v>
      </c>
      <c r="GB3400" s="5" t="s">
        <v>240</v>
      </c>
      <c r="GC3400" s="5" t="s">
        <v>240</v>
      </c>
      <c r="GD3400" s="5" t="s">
        <v>240</v>
      </c>
      <c r="GE3400" s="5" t="s">
        <v>240</v>
      </c>
      <c r="GF3400" s="5" t="s">
        <v>240</v>
      </c>
      <c r="GG3400" s="5" t="s">
        <v>240</v>
      </c>
      <c r="GH3400" s="5" t="s">
        <v>240</v>
      </c>
      <c r="GI3400" s="5" t="s">
        <v>240</v>
      </c>
      <c r="GJ3400" s="5" t="s">
        <v>240</v>
      </c>
      <c r="GK3400" s="5" t="s">
        <v>240</v>
      </c>
      <c r="GL3400" s="5" t="s">
        <v>240</v>
      </c>
      <c r="GM3400" s="5" t="s">
        <v>240</v>
      </c>
      <c r="GN3400" s="5" t="s">
        <v>240</v>
      </c>
      <c r="GO3400" s="5" t="s">
        <v>240</v>
      </c>
      <c r="GP3400" s="5" t="s">
        <v>240</v>
      </c>
      <c r="GQ3400" s="5" t="s">
        <v>240</v>
      </c>
      <c r="GR3400" s="5" t="s">
        <v>240</v>
      </c>
      <c r="GS3400" s="5" t="s">
        <v>240</v>
      </c>
      <c r="GT3400" s="5" t="s">
        <v>240</v>
      </c>
      <c r="GU3400" s="5" t="s">
        <v>240</v>
      </c>
      <c r="GV3400" s="5" t="s">
        <v>240</v>
      </c>
      <c r="GW3400" s="5" t="s">
        <v>240</v>
      </c>
      <c r="GX3400" s="5" t="s">
        <v>240</v>
      </c>
      <c r="GY3400" s="5" t="s">
        <v>240</v>
      </c>
      <c r="GZ3400" s="5" t="s">
        <v>240</v>
      </c>
      <c r="HA3400" s="5" t="s">
        <v>240</v>
      </c>
      <c r="HB3400" s="5" t="s">
        <v>240</v>
      </c>
      <c r="HC3400" s="5" t="s">
        <v>240</v>
      </c>
      <c r="HD3400" s="5" t="s">
        <v>240</v>
      </c>
      <c r="HE3400" s="5" t="s">
        <v>240</v>
      </c>
      <c r="HF3400" s="5" t="s">
        <v>240</v>
      </c>
      <c r="HG3400" s="5" t="s">
        <v>240</v>
      </c>
      <c r="HH3400" s="5" t="s">
        <v>240</v>
      </c>
      <c r="HI3400" s="5" t="s">
        <v>240</v>
      </c>
      <c r="HJ3400" s="5" t="s">
        <v>240</v>
      </c>
      <c r="HK3400" s="5" t="s">
        <v>240</v>
      </c>
      <c r="HL3400" s="5" t="s">
        <v>240</v>
      </c>
      <c r="HM3400" s="5" t="s">
        <v>240</v>
      </c>
      <c r="HN3400" s="5" t="s">
        <v>240</v>
      </c>
      <c r="HO3400" s="5" t="s">
        <v>312</v>
      </c>
      <c r="HP3400" s="5" t="s">
        <v>240</v>
      </c>
      <c r="HQ3400" s="5" t="s">
        <v>240</v>
      </c>
      <c r="HR3400" s="5" t="s">
        <v>240</v>
      </c>
      <c r="HS3400" s="5" t="s">
        <v>240</v>
      </c>
      <c r="HT3400" s="5" t="s">
        <v>240</v>
      </c>
      <c r="HU3400" s="5" t="s">
        <v>240</v>
      </c>
      <c r="HV3400" s="5" t="s">
        <v>240</v>
      </c>
      <c r="HW3400" s="5" t="s">
        <v>240</v>
      </c>
      <c r="HX3400" s="5" t="s">
        <v>240</v>
      </c>
      <c r="HY3400" s="5" t="s">
        <v>240</v>
      </c>
      <c r="HZ3400" s="5" t="s">
        <v>240</v>
      </c>
      <c r="IA3400" s="5" t="s">
        <v>240</v>
      </c>
      <c r="IB3400" s="5" t="s">
        <v>240</v>
      </c>
      <c r="IC3400" s="5" t="s">
        <v>240</v>
      </c>
      <c r="ID3400" s="5" t="s">
        <v>240</v>
      </c>
      <c r="IE3400" s="5" t="s">
        <v>240</v>
      </c>
      <c r="IF3400" s="5" t="s">
        <v>240</v>
      </c>
    </row>
    <row r="3401" spans="1:240" x14ac:dyDescent="0.4">
      <c r="A3401" s="5">
        <v>8943</v>
      </c>
      <c r="B3401" s="5">
        <v>1</v>
      </c>
      <c r="C3401" s="5">
        <v>1</v>
      </c>
      <c r="D3401" s="5" t="s">
        <v>723</v>
      </c>
      <c r="E3401" s="5" t="s">
        <v>725</v>
      </c>
      <c r="F3401" s="5" t="s">
        <v>730</v>
      </c>
      <c r="G3401" s="5" t="s">
        <v>726</v>
      </c>
      <c r="H3401" s="6" t="s">
        <v>6187</v>
      </c>
      <c r="I3401" s="5" t="s">
        <v>990</v>
      </c>
      <c r="J3401" s="8">
        <f>385</f>
        <v>385</v>
      </c>
      <c r="K3401" s="5" t="s">
        <v>308</v>
      </c>
      <c r="L3401" s="7">
        <f>0</f>
        <v>0</v>
      </c>
      <c r="M3401" s="7">
        <f>0</f>
        <v>0</v>
      </c>
      <c r="N3401" s="5" t="s">
        <v>242</v>
      </c>
      <c r="O3401" s="5">
        <v>1</v>
      </c>
      <c r="P3401" s="5" t="s">
        <v>294</v>
      </c>
      <c r="Q3401" s="5" t="s">
        <v>266</v>
      </c>
      <c r="R3401" s="5" t="s">
        <v>240</v>
      </c>
      <c r="S3401" s="5" t="s">
        <v>240</v>
      </c>
      <c r="T3401" s="5" t="s">
        <v>243</v>
      </c>
      <c r="U3401" s="5" t="s">
        <v>240</v>
      </c>
      <c r="V3401" s="5" t="s">
        <v>240</v>
      </c>
      <c r="Y3401" s="5" t="s">
        <v>240</v>
      </c>
      <c r="Z3401" s="6" t="s">
        <v>6013</v>
      </c>
      <c r="AB3401" s="6" t="s">
        <v>240</v>
      </c>
      <c r="AE3401" s="6" t="s">
        <v>3455</v>
      </c>
      <c r="AF3401" s="5" t="s">
        <v>248</v>
      </c>
      <c r="AG3401" s="5" t="s">
        <v>249</v>
      </c>
      <c r="AW3401" s="5" t="s">
        <v>251</v>
      </c>
      <c r="AX3401" s="5" t="s">
        <v>240</v>
      </c>
      <c r="AY3401" s="5" t="s">
        <v>253</v>
      </c>
      <c r="AZ3401" s="5" t="s">
        <v>240</v>
      </c>
      <c r="BA3401" s="5" t="s">
        <v>255</v>
      </c>
      <c r="BB3401" s="5" t="s">
        <v>240</v>
      </c>
      <c r="BD3401" s="5" t="s">
        <v>240</v>
      </c>
      <c r="BF3401" s="5" t="s">
        <v>687</v>
      </c>
      <c r="BG3401" s="6" t="s">
        <v>6013</v>
      </c>
      <c r="BH3401" s="5" t="s">
        <v>302</v>
      </c>
      <c r="BI3401" s="5" t="s">
        <v>448</v>
      </c>
      <c r="BJ3401" s="5" t="s">
        <v>240</v>
      </c>
      <c r="BK3401" s="8">
        <f>0</f>
        <v>0</v>
      </c>
      <c r="BL3401" s="7">
        <f>0</f>
        <v>0</v>
      </c>
      <c r="BM3401" s="5" t="s">
        <v>258</v>
      </c>
      <c r="BN3401" s="5" t="s">
        <v>259</v>
      </c>
      <c r="CB3401" s="5" t="s">
        <v>240</v>
      </c>
      <c r="CC3401" s="5" t="s">
        <v>240</v>
      </c>
      <c r="CG3401" s="5" t="s">
        <v>449</v>
      </c>
      <c r="CH3401" s="5" t="s">
        <v>305</v>
      </c>
      <c r="CI3401" s="5" t="s">
        <v>240</v>
      </c>
      <c r="CL3401" s="6" t="s">
        <v>261</v>
      </c>
      <c r="CM3401" s="5" t="s">
        <v>240</v>
      </c>
      <c r="CN3401" s="5" t="s">
        <v>263</v>
      </c>
      <c r="CO3401" s="5" t="s">
        <v>240</v>
      </c>
      <c r="CP3401" s="5" t="s">
        <v>240</v>
      </c>
      <c r="CQ3401" s="5">
        <v>0</v>
      </c>
      <c r="CR3401" s="5" t="s">
        <v>306</v>
      </c>
      <c r="CS3401" s="5" t="s">
        <v>307</v>
      </c>
      <c r="CT3401" s="5" t="s">
        <v>307</v>
      </c>
      <c r="CU3401" s="5" t="s">
        <v>260</v>
      </c>
      <c r="CX3401" s="7">
        <f>1143000</f>
        <v>1143000</v>
      </c>
      <c r="CY3401" s="7">
        <f>0</f>
        <v>0</v>
      </c>
      <c r="DA3401" s="7">
        <f>0</f>
        <v>0</v>
      </c>
      <c r="DC3401" s="5" t="s">
        <v>450</v>
      </c>
      <c r="DD3401" s="5" t="s">
        <v>240</v>
      </c>
      <c r="DF3401" s="5" t="s">
        <v>450</v>
      </c>
      <c r="DG3401" s="7">
        <f>0</f>
        <v>0</v>
      </c>
      <c r="DI3401" s="5" t="s">
        <v>240</v>
      </c>
      <c r="DJ3401" s="5" t="s">
        <v>240</v>
      </c>
      <c r="DK3401" s="5" t="s">
        <v>240</v>
      </c>
      <c r="DL3401" s="5" t="s">
        <v>240</v>
      </c>
      <c r="DP3401" s="5" t="s">
        <v>240</v>
      </c>
      <c r="DQ3401" s="5" t="s">
        <v>240</v>
      </c>
      <c r="DR3401" s="5" t="s">
        <v>240</v>
      </c>
      <c r="DS3401" s="5" t="s">
        <v>240</v>
      </c>
      <c r="DV3401" s="5" t="s">
        <v>310</v>
      </c>
      <c r="DW3401" s="5" t="s">
        <v>2409</v>
      </c>
      <c r="HO3401" s="5" t="s">
        <v>312</v>
      </c>
    </row>
    <row r="3402" spans="1:240" x14ac:dyDescent="0.4">
      <c r="A3402" s="5">
        <v>8944</v>
      </c>
      <c r="B3402" s="5">
        <v>1</v>
      </c>
      <c r="C3402" s="5">
        <v>1</v>
      </c>
      <c r="D3402" s="5" t="s">
        <v>723</v>
      </c>
      <c r="E3402" s="5" t="s">
        <v>725</v>
      </c>
      <c r="F3402" s="5" t="s">
        <v>730</v>
      </c>
      <c r="G3402" s="5" t="s">
        <v>726</v>
      </c>
      <c r="H3402" s="6" t="s">
        <v>6186</v>
      </c>
      <c r="I3402" s="5" t="s">
        <v>990</v>
      </c>
      <c r="J3402" s="8">
        <f>47.3</f>
        <v>47.3</v>
      </c>
      <c r="K3402" s="5" t="s">
        <v>308</v>
      </c>
      <c r="L3402" s="7">
        <f>0</f>
        <v>0</v>
      </c>
      <c r="M3402" s="7">
        <f>0</f>
        <v>0</v>
      </c>
      <c r="N3402" s="5" t="s">
        <v>242</v>
      </c>
      <c r="O3402" s="5">
        <v>1</v>
      </c>
      <c r="P3402" s="5" t="s">
        <v>294</v>
      </c>
      <c r="Q3402" s="5" t="s">
        <v>3678</v>
      </c>
      <c r="R3402" s="5" t="s">
        <v>240</v>
      </c>
      <c r="S3402" s="5" t="s">
        <v>240</v>
      </c>
      <c r="T3402" s="5" t="s">
        <v>243</v>
      </c>
      <c r="U3402" s="5" t="s">
        <v>244</v>
      </c>
      <c r="V3402" s="5" t="s">
        <v>240</v>
      </c>
      <c r="W3402" s="5" t="s">
        <v>240</v>
      </c>
      <c r="X3402" s="5" t="s">
        <v>240</v>
      </c>
      <c r="Y3402" s="5" t="s">
        <v>240</v>
      </c>
      <c r="Z3402" s="6" t="s">
        <v>298</v>
      </c>
      <c r="AA3402" s="6" t="s">
        <v>240</v>
      </c>
      <c r="AB3402" s="6" t="s">
        <v>240</v>
      </c>
      <c r="AC3402" s="5" t="s">
        <v>240</v>
      </c>
      <c r="AD3402" s="6" t="s">
        <v>240</v>
      </c>
      <c r="AE3402" s="6" t="s">
        <v>299</v>
      </c>
      <c r="AF3402" s="5" t="s">
        <v>248</v>
      </c>
      <c r="AG3402" s="5" t="s">
        <v>249</v>
      </c>
      <c r="AH3402" s="5" t="s">
        <v>240</v>
      </c>
      <c r="AI3402" s="5" t="s">
        <v>240</v>
      </c>
      <c r="AJ3402" s="5" t="s">
        <v>240</v>
      </c>
      <c r="AK3402" s="5" t="s">
        <v>240</v>
      </c>
      <c r="AL3402" s="5" t="s">
        <v>240</v>
      </c>
      <c r="AM3402" s="5" t="s">
        <v>240</v>
      </c>
      <c r="AN3402" s="5" t="s">
        <v>240</v>
      </c>
      <c r="AO3402" s="5" t="s">
        <v>240</v>
      </c>
      <c r="AP3402" s="6" t="s">
        <v>240</v>
      </c>
      <c r="AQ3402" s="6" t="s">
        <v>240</v>
      </c>
      <c r="AR3402" s="6" t="s">
        <v>240</v>
      </c>
      <c r="AS3402" s="6" t="s">
        <v>240</v>
      </c>
      <c r="AT3402" s="5" t="s">
        <v>240</v>
      </c>
      <c r="AU3402" s="5" t="s">
        <v>729</v>
      </c>
      <c r="AV3402" s="5" t="s">
        <v>729</v>
      </c>
      <c r="AW3402" s="5" t="s">
        <v>251</v>
      </c>
      <c r="AX3402" s="5" t="s">
        <v>252</v>
      </c>
      <c r="AY3402" s="5" t="s">
        <v>253</v>
      </c>
      <c r="AZ3402" s="5" t="s">
        <v>240</v>
      </c>
      <c r="BA3402" s="5" t="s">
        <v>255</v>
      </c>
      <c r="BB3402" s="5" t="s">
        <v>731</v>
      </c>
      <c r="BD3402" s="5" t="s">
        <v>240</v>
      </c>
      <c r="BF3402" s="5" t="s">
        <v>732</v>
      </c>
      <c r="BG3402" s="6" t="s">
        <v>733</v>
      </c>
      <c r="BH3402" s="5" t="s">
        <v>734</v>
      </c>
      <c r="BI3402" s="5" t="s">
        <v>734</v>
      </c>
      <c r="BJ3402" s="5" t="s">
        <v>240</v>
      </c>
      <c r="BK3402" s="7">
        <f>1</f>
        <v>1</v>
      </c>
      <c r="BL3402" s="7">
        <f>1</f>
        <v>1</v>
      </c>
      <c r="BM3402" s="5" t="s">
        <v>258</v>
      </c>
      <c r="BN3402" s="5" t="s">
        <v>259</v>
      </c>
      <c r="BO3402" s="5" t="s">
        <v>240</v>
      </c>
      <c r="BP3402" s="5" t="s">
        <v>240</v>
      </c>
      <c r="BQ3402" s="5" t="s">
        <v>240</v>
      </c>
      <c r="BR3402" s="5" t="s">
        <v>240</v>
      </c>
      <c r="BS3402" s="5" t="s">
        <v>240</v>
      </c>
      <c r="BT3402" s="5" t="s">
        <v>240</v>
      </c>
      <c r="BU3402" s="5" t="s">
        <v>240</v>
      </c>
      <c r="BV3402" s="5" t="s">
        <v>240</v>
      </c>
      <c r="BW3402" s="6" t="s">
        <v>240</v>
      </c>
      <c r="BX3402" s="5" t="s">
        <v>240</v>
      </c>
      <c r="BY3402" s="5" t="s">
        <v>240</v>
      </c>
      <c r="BZ3402" s="5" t="s">
        <v>240</v>
      </c>
      <c r="CA3402" s="5" t="s">
        <v>259</v>
      </c>
      <c r="CB3402" s="5" t="s">
        <v>240</v>
      </c>
      <c r="CC3402" s="5" t="s">
        <v>240</v>
      </c>
      <c r="CD3402" s="5" t="s">
        <v>240</v>
      </c>
      <c r="CE3402" s="5" t="s">
        <v>240</v>
      </c>
      <c r="CF3402" s="5" t="s">
        <v>240</v>
      </c>
      <c r="CG3402" s="5" t="s">
        <v>304</v>
      </c>
      <c r="CH3402" s="5" t="s">
        <v>305</v>
      </c>
      <c r="CI3402" s="5" t="s">
        <v>240</v>
      </c>
      <c r="CK3402" s="5" t="s">
        <v>3681</v>
      </c>
      <c r="CL3402" s="6" t="s">
        <v>261</v>
      </c>
      <c r="CM3402" s="5" t="s">
        <v>262</v>
      </c>
      <c r="CN3402" s="5" t="s">
        <v>263</v>
      </c>
      <c r="CO3402" s="5" t="s">
        <v>264</v>
      </c>
      <c r="CP3402" s="5" t="s">
        <v>240</v>
      </c>
      <c r="CQ3402" s="5">
        <v>0</v>
      </c>
      <c r="CR3402" s="5" t="s">
        <v>735</v>
      </c>
      <c r="CS3402" s="5" t="s">
        <v>307</v>
      </c>
      <c r="CT3402" s="5" t="s">
        <v>307</v>
      </c>
      <c r="CU3402" s="5" t="s">
        <v>260</v>
      </c>
      <c r="CV3402" s="5" t="s">
        <v>612</v>
      </c>
      <c r="CW3402" s="8">
        <f>1</f>
        <v>1</v>
      </c>
      <c r="CX3402" s="7">
        <f>1</f>
        <v>1</v>
      </c>
      <c r="CY3402" s="7">
        <f>0</f>
        <v>0</v>
      </c>
      <c r="DA3402" s="7">
        <f>1</f>
        <v>1</v>
      </c>
      <c r="DB3402" s="7" t="s">
        <v>240</v>
      </c>
      <c r="DC3402" s="5" t="s">
        <v>240</v>
      </c>
      <c r="DD3402" s="5" t="s">
        <v>240</v>
      </c>
      <c r="DE3402" s="5" t="s">
        <v>240</v>
      </c>
      <c r="DF3402" s="5" t="s">
        <v>240</v>
      </c>
      <c r="DG3402" s="7">
        <f>0</f>
        <v>0</v>
      </c>
      <c r="DI3402" s="5" t="s">
        <v>240</v>
      </c>
      <c r="DJ3402" s="5" t="s">
        <v>240</v>
      </c>
      <c r="DK3402" s="5" t="s">
        <v>240</v>
      </c>
      <c r="DL3402" s="5" t="s">
        <v>240</v>
      </c>
      <c r="DM3402" s="5" t="s">
        <v>240</v>
      </c>
      <c r="DN3402" s="5" t="s">
        <v>240</v>
      </c>
      <c r="DO3402" s="7" t="s">
        <v>240</v>
      </c>
      <c r="DP3402" s="5" t="s">
        <v>240</v>
      </c>
      <c r="DQ3402" s="5" t="s">
        <v>240</v>
      </c>
      <c r="DR3402" s="5" t="s">
        <v>731</v>
      </c>
      <c r="DS3402" s="5" t="s">
        <v>731</v>
      </c>
      <c r="DT3402" s="5" t="s">
        <v>240</v>
      </c>
      <c r="DU3402" s="5" t="s">
        <v>240</v>
      </c>
      <c r="DV3402" s="5" t="s">
        <v>3683</v>
      </c>
      <c r="DW3402" s="5" t="s">
        <v>588</v>
      </c>
      <c r="DX3402" s="5" t="s">
        <v>240</v>
      </c>
      <c r="DY3402" s="5" t="s">
        <v>240</v>
      </c>
      <c r="DZ3402" s="5" t="s">
        <v>240</v>
      </c>
      <c r="EA3402" s="5" t="s">
        <v>240</v>
      </c>
      <c r="EB3402" s="5" t="s">
        <v>240</v>
      </c>
      <c r="EC3402" s="5" t="s">
        <v>240</v>
      </c>
      <c r="ED3402" s="5" t="s">
        <v>240</v>
      </c>
      <c r="EE3402" s="5" t="s">
        <v>240</v>
      </c>
      <c r="EF3402" s="5" t="s">
        <v>240</v>
      </c>
      <c r="EG3402" s="5" t="s">
        <v>240</v>
      </c>
      <c r="EH3402" s="5" t="s">
        <v>240</v>
      </c>
      <c r="EI3402" s="5" t="s">
        <v>240</v>
      </c>
      <c r="EJ3402" s="5" t="s">
        <v>240</v>
      </c>
      <c r="EK3402" s="5" t="s">
        <v>240</v>
      </c>
      <c r="EL3402" s="5" t="s">
        <v>240</v>
      </c>
      <c r="EM3402" s="5" t="s">
        <v>240</v>
      </c>
      <c r="EN3402" s="5" t="s">
        <v>240</v>
      </c>
      <c r="EO3402" s="5" t="s">
        <v>240</v>
      </c>
      <c r="EP3402" s="5" t="s">
        <v>240</v>
      </c>
      <c r="EQ3402" s="5" t="s">
        <v>240</v>
      </c>
      <c r="ER3402" s="5" t="s">
        <v>240</v>
      </c>
      <c r="ES3402" s="5" t="s">
        <v>240</v>
      </c>
      <c r="ET3402" s="5" t="s">
        <v>240</v>
      </c>
      <c r="EU3402" s="5" t="s">
        <v>240</v>
      </c>
      <c r="EV3402" s="5" t="s">
        <v>240</v>
      </c>
      <c r="EW3402" s="5" t="s">
        <v>240</v>
      </c>
      <c r="EX3402" s="5" t="s">
        <v>240</v>
      </c>
      <c r="EY3402" s="5" t="s">
        <v>240</v>
      </c>
      <c r="EZ3402" s="5" t="s">
        <v>240</v>
      </c>
      <c r="FA3402" s="5" t="s">
        <v>240</v>
      </c>
      <c r="FB3402" s="5" t="s">
        <v>240</v>
      </c>
      <c r="FC3402" s="5" t="s">
        <v>240</v>
      </c>
      <c r="FD3402" s="5" t="s">
        <v>240</v>
      </c>
      <c r="FE3402" s="5" t="s">
        <v>240</v>
      </c>
      <c r="FF3402" s="5" t="s">
        <v>240</v>
      </c>
      <c r="FG3402" s="5" t="s">
        <v>240</v>
      </c>
      <c r="FH3402" s="5" t="s">
        <v>240</v>
      </c>
      <c r="FI3402" s="5" t="s">
        <v>240</v>
      </c>
      <c r="FJ3402" s="5" t="s">
        <v>240</v>
      </c>
      <c r="FK3402" s="5" t="s">
        <v>240</v>
      </c>
      <c r="FL3402" s="5" t="s">
        <v>240</v>
      </c>
      <c r="FM3402" s="5" t="s">
        <v>240</v>
      </c>
      <c r="FN3402" s="5" t="s">
        <v>240</v>
      </c>
      <c r="FO3402" s="5" t="s">
        <v>240</v>
      </c>
      <c r="FP3402" s="5" t="s">
        <v>240</v>
      </c>
      <c r="FQ3402" s="5" t="s">
        <v>240</v>
      </c>
      <c r="FR3402" s="5" t="s">
        <v>240</v>
      </c>
      <c r="FS3402" s="5" t="s">
        <v>240</v>
      </c>
      <c r="FT3402" s="5" t="s">
        <v>240</v>
      </c>
      <c r="FU3402" s="5" t="s">
        <v>240</v>
      </c>
      <c r="FV3402" s="5" t="s">
        <v>240</v>
      </c>
      <c r="FW3402" s="5" t="s">
        <v>240</v>
      </c>
      <c r="FX3402" s="5" t="s">
        <v>240</v>
      </c>
      <c r="FY3402" s="5" t="s">
        <v>240</v>
      </c>
      <c r="FZ3402" s="5" t="s">
        <v>240</v>
      </c>
      <c r="GA3402" s="5" t="s">
        <v>240</v>
      </c>
      <c r="GB3402" s="5" t="s">
        <v>240</v>
      </c>
      <c r="GC3402" s="5" t="s">
        <v>240</v>
      </c>
      <c r="GD3402" s="5" t="s">
        <v>240</v>
      </c>
      <c r="GE3402" s="5" t="s">
        <v>240</v>
      </c>
      <c r="GF3402" s="5" t="s">
        <v>240</v>
      </c>
      <c r="GG3402" s="5" t="s">
        <v>240</v>
      </c>
      <c r="GH3402" s="5" t="s">
        <v>240</v>
      </c>
      <c r="GI3402" s="5" t="s">
        <v>240</v>
      </c>
      <c r="GJ3402" s="5" t="s">
        <v>240</v>
      </c>
      <c r="GK3402" s="5" t="s">
        <v>240</v>
      </c>
      <c r="GL3402" s="5" t="s">
        <v>240</v>
      </c>
      <c r="GM3402" s="5" t="s">
        <v>240</v>
      </c>
      <c r="GN3402" s="5" t="s">
        <v>240</v>
      </c>
      <c r="GO3402" s="5" t="s">
        <v>240</v>
      </c>
      <c r="GP3402" s="5" t="s">
        <v>240</v>
      </c>
      <c r="GQ3402" s="5" t="s">
        <v>240</v>
      </c>
      <c r="GR3402" s="5" t="s">
        <v>240</v>
      </c>
      <c r="GS3402" s="5" t="s">
        <v>240</v>
      </c>
      <c r="GT3402" s="5" t="s">
        <v>240</v>
      </c>
      <c r="GU3402" s="5" t="s">
        <v>240</v>
      </c>
      <c r="GV3402" s="5" t="s">
        <v>240</v>
      </c>
      <c r="GW3402" s="5" t="s">
        <v>240</v>
      </c>
      <c r="GX3402" s="5" t="s">
        <v>240</v>
      </c>
      <c r="GY3402" s="5" t="s">
        <v>240</v>
      </c>
      <c r="GZ3402" s="5" t="s">
        <v>240</v>
      </c>
      <c r="HA3402" s="5" t="s">
        <v>240</v>
      </c>
      <c r="HB3402" s="5" t="s">
        <v>240</v>
      </c>
      <c r="HC3402" s="5" t="s">
        <v>240</v>
      </c>
      <c r="HD3402" s="5" t="s">
        <v>240</v>
      </c>
      <c r="HE3402" s="5" t="s">
        <v>240</v>
      </c>
      <c r="HF3402" s="5" t="s">
        <v>240</v>
      </c>
      <c r="HG3402" s="5" t="s">
        <v>240</v>
      </c>
      <c r="HH3402" s="5" t="s">
        <v>240</v>
      </c>
      <c r="HI3402" s="5" t="s">
        <v>240</v>
      </c>
      <c r="HJ3402" s="5" t="s">
        <v>240</v>
      </c>
      <c r="HK3402" s="5" t="s">
        <v>240</v>
      </c>
      <c r="HL3402" s="5" t="s">
        <v>240</v>
      </c>
      <c r="HM3402" s="5" t="s">
        <v>240</v>
      </c>
      <c r="HN3402" s="5" t="s">
        <v>240</v>
      </c>
      <c r="HO3402" s="5" t="s">
        <v>312</v>
      </c>
      <c r="HP3402" s="5" t="s">
        <v>240</v>
      </c>
      <c r="HQ3402" s="5" t="s">
        <v>240</v>
      </c>
      <c r="HR3402" s="5" t="s">
        <v>240</v>
      </c>
      <c r="HS3402" s="5" t="s">
        <v>240</v>
      </c>
      <c r="HT3402" s="5" t="s">
        <v>240</v>
      </c>
      <c r="HU3402" s="5" t="s">
        <v>240</v>
      </c>
      <c r="HV3402" s="5" t="s">
        <v>240</v>
      </c>
      <c r="HW3402" s="5" t="s">
        <v>240</v>
      </c>
      <c r="HX3402" s="5" t="s">
        <v>240</v>
      </c>
      <c r="HY3402" s="5" t="s">
        <v>240</v>
      </c>
      <c r="HZ3402" s="5" t="s">
        <v>240</v>
      </c>
      <c r="IA3402" s="5" t="s">
        <v>240</v>
      </c>
      <c r="IB3402" s="5" t="s">
        <v>240</v>
      </c>
      <c r="IC3402" s="5" t="s">
        <v>240</v>
      </c>
      <c r="ID3402" s="5" t="s">
        <v>240</v>
      </c>
      <c r="IE3402" s="5" t="s">
        <v>240</v>
      </c>
      <c r="IF3402" s="5" t="s">
        <v>240</v>
      </c>
    </row>
    <row r="3403" spans="1:240" x14ac:dyDescent="0.4">
      <c r="A3403" s="5">
        <v>8945</v>
      </c>
      <c r="B3403" s="5">
        <v>1</v>
      </c>
      <c r="C3403" s="5">
        <v>1</v>
      </c>
      <c r="D3403" s="5" t="s">
        <v>723</v>
      </c>
      <c r="E3403" s="5" t="s">
        <v>725</v>
      </c>
      <c r="F3403" s="5" t="s">
        <v>730</v>
      </c>
      <c r="G3403" s="5" t="s">
        <v>726</v>
      </c>
      <c r="H3403" s="6" t="s">
        <v>728</v>
      </c>
      <c r="I3403" s="5" t="s">
        <v>722</v>
      </c>
      <c r="J3403" s="8">
        <f>319</f>
        <v>319</v>
      </c>
      <c r="K3403" s="5" t="s">
        <v>308</v>
      </c>
      <c r="L3403" s="7">
        <f>0</f>
        <v>0</v>
      </c>
      <c r="M3403" s="7">
        <f>0</f>
        <v>0</v>
      </c>
      <c r="N3403" s="5" t="s">
        <v>242</v>
      </c>
      <c r="O3403" s="5">
        <v>1</v>
      </c>
      <c r="P3403" s="5" t="s">
        <v>294</v>
      </c>
      <c r="Q3403" s="5" t="s">
        <v>266</v>
      </c>
      <c r="R3403" s="5" t="s">
        <v>240</v>
      </c>
      <c r="S3403" s="5" t="s">
        <v>240</v>
      </c>
      <c r="T3403" s="5" t="s">
        <v>296</v>
      </c>
      <c r="U3403" s="5" t="s">
        <v>244</v>
      </c>
      <c r="V3403" s="5" t="s">
        <v>240</v>
      </c>
      <c r="Y3403" s="5" t="s">
        <v>240</v>
      </c>
      <c r="Z3403" s="6" t="s">
        <v>298</v>
      </c>
      <c r="AB3403" s="6" t="s">
        <v>240</v>
      </c>
      <c r="AE3403" s="6" t="s">
        <v>299</v>
      </c>
      <c r="AF3403" s="5" t="s">
        <v>248</v>
      </c>
      <c r="AG3403" s="5" t="s">
        <v>249</v>
      </c>
      <c r="AW3403" s="5" t="s">
        <v>251</v>
      </c>
      <c r="AX3403" s="5" t="s">
        <v>240</v>
      </c>
      <c r="AY3403" s="5" t="s">
        <v>253</v>
      </c>
      <c r="AZ3403" s="5" t="s">
        <v>240</v>
      </c>
      <c r="BA3403" s="5" t="s">
        <v>255</v>
      </c>
      <c r="BB3403" s="5" t="s">
        <v>240</v>
      </c>
      <c r="BD3403" s="5" t="s">
        <v>240</v>
      </c>
      <c r="BF3403" s="5" t="s">
        <v>301</v>
      </c>
      <c r="BG3403" s="6" t="s">
        <v>299</v>
      </c>
      <c r="BH3403" s="5" t="s">
        <v>302</v>
      </c>
      <c r="BI3403" s="5" t="s">
        <v>303</v>
      </c>
      <c r="BJ3403" s="5" t="s">
        <v>240</v>
      </c>
      <c r="BK3403" s="8">
        <f>0</f>
        <v>0</v>
      </c>
      <c r="BL3403" s="7">
        <f>0</f>
        <v>0</v>
      </c>
      <c r="BM3403" s="5" t="s">
        <v>258</v>
      </c>
      <c r="BN3403" s="5" t="s">
        <v>259</v>
      </c>
      <c r="CB3403" s="5" t="s">
        <v>240</v>
      </c>
      <c r="CC3403" s="5" t="s">
        <v>240</v>
      </c>
      <c r="CG3403" s="5" t="s">
        <v>304</v>
      </c>
      <c r="CH3403" s="5" t="s">
        <v>305</v>
      </c>
      <c r="CI3403" s="5" t="s">
        <v>240</v>
      </c>
      <c r="CL3403" s="6" t="s">
        <v>261</v>
      </c>
      <c r="CM3403" s="5" t="s">
        <v>240</v>
      </c>
      <c r="CN3403" s="5" t="s">
        <v>263</v>
      </c>
      <c r="CO3403" s="5" t="s">
        <v>240</v>
      </c>
      <c r="CP3403" s="5" t="s">
        <v>240</v>
      </c>
      <c r="CQ3403" s="5">
        <v>0</v>
      </c>
      <c r="CR3403" s="5" t="s">
        <v>306</v>
      </c>
      <c r="CS3403" s="5" t="s">
        <v>307</v>
      </c>
      <c r="CT3403" s="5" t="s">
        <v>307</v>
      </c>
      <c r="CU3403" s="5" t="s">
        <v>260</v>
      </c>
      <c r="CX3403" s="7">
        <f>1</f>
        <v>1</v>
      </c>
      <c r="CY3403" s="7">
        <f>0</f>
        <v>0</v>
      </c>
      <c r="DA3403" s="7">
        <f>0</f>
        <v>0</v>
      </c>
      <c r="DC3403" s="5" t="s">
        <v>309</v>
      </c>
      <c r="DD3403" s="5" t="s">
        <v>240</v>
      </c>
      <c r="DF3403" s="5" t="s">
        <v>309</v>
      </c>
      <c r="DG3403" s="7">
        <f>2262</f>
        <v>2262</v>
      </c>
      <c r="DI3403" s="5" t="s">
        <v>240</v>
      </c>
      <c r="DJ3403" s="5" t="s">
        <v>240</v>
      </c>
      <c r="DK3403" s="5" t="s">
        <v>240</v>
      </c>
      <c r="DL3403" s="5" t="s">
        <v>240</v>
      </c>
      <c r="DP3403" s="5" t="s">
        <v>240</v>
      </c>
      <c r="DQ3403" s="5" t="s">
        <v>240</v>
      </c>
      <c r="DR3403" s="5" t="s">
        <v>240</v>
      </c>
      <c r="DS3403" s="5" t="s">
        <v>240</v>
      </c>
      <c r="DV3403" s="5" t="s">
        <v>310</v>
      </c>
      <c r="DW3403" s="5" t="s">
        <v>5029</v>
      </c>
      <c r="HO3403" s="5" t="s">
        <v>312</v>
      </c>
    </row>
    <row r="3404" spans="1:240" x14ac:dyDescent="0.4">
      <c r="A3404" s="5">
        <v>8946</v>
      </c>
      <c r="B3404" s="5">
        <v>1</v>
      </c>
      <c r="C3404" s="5">
        <v>1</v>
      </c>
      <c r="D3404" s="5" t="s">
        <v>723</v>
      </c>
      <c r="E3404" s="5" t="s">
        <v>725</v>
      </c>
      <c r="F3404" s="5" t="s">
        <v>730</v>
      </c>
      <c r="G3404" s="5" t="s">
        <v>726</v>
      </c>
      <c r="H3404" s="6" t="s">
        <v>991</v>
      </c>
      <c r="I3404" s="5" t="s">
        <v>990</v>
      </c>
      <c r="J3404" s="8">
        <f>4794.2</f>
        <v>4794.2</v>
      </c>
      <c r="K3404" s="5" t="s">
        <v>308</v>
      </c>
      <c r="L3404" s="7">
        <f>0</f>
        <v>0</v>
      </c>
      <c r="M3404" s="7">
        <f>0</f>
        <v>0</v>
      </c>
      <c r="N3404" s="5" t="s">
        <v>242</v>
      </c>
      <c r="O3404" s="5">
        <v>1</v>
      </c>
      <c r="P3404" s="5" t="s">
        <v>294</v>
      </c>
      <c r="Q3404" s="5" t="s">
        <v>3678</v>
      </c>
      <c r="R3404" s="5" t="s">
        <v>240</v>
      </c>
      <c r="S3404" s="5" t="s">
        <v>240</v>
      </c>
      <c r="T3404" s="5" t="s">
        <v>243</v>
      </c>
      <c r="U3404" s="5" t="s">
        <v>244</v>
      </c>
      <c r="V3404" s="5" t="s">
        <v>240</v>
      </c>
      <c r="W3404" s="5" t="s">
        <v>240</v>
      </c>
      <c r="X3404" s="5" t="s">
        <v>240</v>
      </c>
      <c r="Y3404" s="5" t="s">
        <v>240</v>
      </c>
      <c r="Z3404" s="6" t="s">
        <v>298</v>
      </c>
      <c r="AA3404" s="6" t="s">
        <v>240</v>
      </c>
      <c r="AB3404" s="6" t="s">
        <v>240</v>
      </c>
      <c r="AC3404" s="5" t="s">
        <v>240</v>
      </c>
      <c r="AD3404" s="6" t="s">
        <v>240</v>
      </c>
      <c r="AE3404" s="6" t="s">
        <v>299</v>
      </c>
      <c r="AF3404" s="5" t="s">
        <v>248</v>
      </c>
      <c r="AG3404" s="5" t="s">
        <v>249</v>
      </c>
      <c r="AH3404" s="5" t="s">
        <v>240</v>
      </c>
      <c r="AI3404" s="5" t="s">
        <v>240</v>
      </c>
      <c r="AJ3404" s="5" t="s">
        <v>240</v>
      </c>
      <c r="AK3404" s="5" t="s">
        <v>240</v>
      </c>
      <c r="AL3404" s="5" t="s">
        <v>240</v>
      </c>
      <c r="AM3404" s="5" t="s">
        <v>240</v>
      </c>
      <c r="AN3404" s="5" t="s">
        <v>240</v>
      </c>
      <c r="AO3404" s="5" t="s">
        <v>240</v>
      </c>
      <c r="AP3404" s="6" t="s">
        <v>240</v>
      </c>
      <c r="AQ3404" s="6" t="s">
        <v>240</v>
      </c>
      <c r="AR3404" s="6" t="s">
        <v>240</v>
      </c>
      <c r="AS3404" s="6" t="s">
        <v>240</v>
      </c>
      <c r="AT3404" s="5" t="s">
        <v>240</v>
      </c>
      <c r="AU3404" s="5" t="s">
        <v>729</v>
      </c>
      <c r="AV3404" s="5" t="s">
        <v>729</v>
      </c>
      <c r="AW3404" s="5" t="s">
        <v>251</v>
      </c>
      <c r="AX3404" s="5" t="s">
        <v>252</v>
      </c>
      <c r="AY3404" s="5" t="s">
        <v>253</v>
      </c>
      <c r="AZ3404" s="5" t="s">
        <v>240</v>
      </c>
      <c r="BA3404" s="5" t="s">
        <v>255</v>
      </c>
      <c r="BB3404" s="5" t="s">
        <v>731</v>
      </c>
      <c r="BD3404" s="5" t="s">
        <v>240</v>
      </c>
      <c r="BF3404" s="5" t="s">
        <v>732</v>
      </c>
      <c r="BG3404" s="6" t="s">
        <v>733</v>
      </c>
      <c r="BH3404" s="5" t="s">
        <v>734</v>
      </c>
      <c r="BI3404" s="5" t="s">
        <v>734</v>
      </c>
      <c r="BJ3404" s="5" t="s">
        <v>240</v>
      </c>
      <c r="BK3404" s="7">
        <f>1</f>
        <v>1</v>
      </c>
      <c r="BL3404" s="7">
        <f>1</f>
        <v>1</v>
      </c>
      <c r="BM3404" s="5" t="s">
        <v>258</v>
      </c>
      <c r="BN3404" s="5" t="s">
        <v>259</v>
      </c>
      <c r="BO3404" s="5" t="s">
        <v>240</v>
      </c>
      <c r="BP3404" s="5" t="s">
        <v>240</v>
      </c>
      <c r="BQ3404" s="5" t="s">
        <v>240</v>
      </c>
      <c r="BR3404" s="5" t="s">
        <v>240</v>
      </c>
      <c r="BS3404" s="5" t="s">
        <v>240</v>
      </c>
      <c r="BT3404" s="5" t="s">
        <v>240</v>
      </c>
      <c r="BU3404" s="5" t="s">
        <v>240</v>
      </c>
      <c r="BV3404" s="5" t="s">
        <v>240</v>
      </c>
      <c r="BW3404" s="6" t="s">
        <v>240</v>
      </c>
      <c r="BX3404" s="5" t="s">
        <v>240</v>
      </c>
      <c r="BY3404" s="5" t="s">
        <v>240</v>
      </c>
      <c r="BZ3404" s="5" t="s">
        <v>240</v>
      </c>
      <c r="CA3404" s="5" t="s">
        <v>259</v>
      </c>
      <c r="CB3404" s="5" t="s">
        <v>240</v>
      </c>
      <c r="CC3404" s="5" t="s">
        <v>240</v>
      </c>
      <c r="CD3404" s="5" t="s">
        <v>240</v>
      </c>
      <c r="CE3404" s="5" t="s">
        <v>240</v>
      </c>
      <c r="CF3404" s="5" t="s">
        <v>240</v>
      </c>
      <c r="CG3404" s="5" t="s">
        <v>304</v>
      </c>
      <c r="CH3404" s="5" t="s">
        <v>305</v>
      </c>
      <c r="CI3404" s="5" t="s">
        <v>240</v>
      </c>
      <c r="CK3404" s="5" t="s">
        <v>3681</v>
      </c>
      <c r="CL3404" s="6" t="s">
        <v>261</v>
      </c>
      <c r="CM3404" s="5" t="s">
        <v>262</v>
      </c>
      <c r="CN3404" s="5" t="s">
        <v>263</v>
      </c>
      <c r="CO3404" s="5" t="s">
        <v>264</v>
      </c>
      <c r="CP3404" s="5" t="s">
        <v>240</v>
      </c>
      <c r="CQ3404" s="5">
        <v>0</v>
      </c>
      <c r="CR3404" s="5" t="s">
        <v>735</v>
      </c>
      <c r="CS3404" s="5" t="s">
        <v>307</v>
      </c>
      <c r="CT3404" s="5" t="s">
        <v>307</v>
      </c>
      <c r="CU3404" s="5" t="s">
        <v>260</v>
      </c>
      <c r="CV3404" s="5" t="s">
        <v>612</v>
      </c>
      <c r="CW3404" s="8">
        <f>1</f>
        <v>1</v>
      </c>
      <c r="CX3404" s="7">
        <f>1</f>
        <v>1</v>
      </c>
      <c r="CY3404" s="7">
        <f>0</f>
        <v>0</v>
      </c>
      <c r="DA3404" s="7">
        <f>1</f>
        <v>1</v>
      </c>
      <c r="DB3404" s="7" t="s">
        <v>240</v>
      </c>
      <c r="DC3404" s="5" t="s">
        <v>240</v>
      </c>
      <c r="DD3404" s="5" t="s">
        <v>240</v>
      </c>
      <c r="DE3404" s="5" t="s">
        <v>240</v>
      </c>
      <c r="DF3404" s="5" t="s">
        <v>240</v>
      </c>
      <c r="DG3404" s="7">
        <f>0</f>
        <v>0</v>
      </c>
      <c r="DI3404" s="5" t="s">
        <v>240</v>
      </c>
      <c r="DJ3404" s="5" t="s">
        <v>240</v>
      </c>
      <c r="DK3404" s="5" t="s">
        <v>240</v>
      </c>
      <c r="DL3404" s="5" t="s">
        <v>240</v>
      </c>
      <c r="DM3404" s="5" t="s">
        <v>240</v>
      </c>
      <c r="DN3404" s="5" t="s">
        <v>240</v>
      </c>
      <c r="DO3404" s="7" t="s">
        <v>240</v>
      </c>
      <c r="DP3404" s="5" t="s">
        <v>240</v>
      </c>
      <c r="DQ3404" s="5" t="s">
        <v>240</v>
      </c>
      <c r="DR3404" s="5" t="s">
        <v>731</v>
      </c>
      <c r="DS3404" s="5" t="s">
        <v>731</v>
      </c>
      <c r="DT3404" s="5" t="s">
        <v>240</v>
      </c>
      <c r="DU3404" s="5" t="s">
        <v>240</v>
      </c>
      <c r="DV3404" s="5" t="s">
        <v>3683</v>
      </c>
      <c r="DW3404" s="5" t="s">
        <v>596</v>
      </c>
      <c r="DX3404" s="5" t="s">
        <v>240</v>
      </c>
      <c r="DY3404" s="5" t="s">
        <v>240</v>
      </c>
      <c r="DZ3404" s="5" t="s">
        <v>240</v>
      </c>
      <c r="EA3404" s="5" t="s">
        <v>240</v>
      </c>
      <c r="EB3404" s="5" t="s">
        <v>240</v>
      </c>
      <c r="EC3404" s="5" t="s">
        <v>240</v>
      </c>
      <c r="ED3404" s="5" t="s">
        <v>240</v>
      </c>
      <c r="EE3404" s="5" t="s">
        <v>240</v>
      </c>
      <c r="EF3404" s="5" t="s">
        <v>240</v>
      </c>
      <c r="EG3404" s="5" t="s">
        <v>240</v>
      </c>
      <c r="EH3404" s="5" t="s">
        <v>240</v>
      </c>
      <c r="EI3404" s="5" t="s">
        <v>240</v>
      </c>
      <c r="EJ3404" s="5" t="s">
        <v>240</v>
      </c>
      <c r="EK3404" s="5" t="s">
        <v>240</v>
      </c>
      <c r="EL3404" s="5" t="s">
        <v>240</v>
      </c>
      <c r="EM3404" s="5" t="s">
        <v>240</v>
      </c>
      <c r="EN3404" s="5" t="s">
        <v>240</v>
      </c>
      <c r="EO3404" s="5" t="s">
        <v>240</v>
      </c>
      <c r="EP3404" s="5" t="s">
        <v>240</v>
      </c>
      <c r="EQ3404" s="5" t="s">
        <v>240</v>
      </c>
      <c r="ER3404" s="5" t="s">
        <v>240</v>
      </c>
      <c r="ES3404" s="5" t="s">
        <v>240</v>
      </c>
      <c r="ET3404" s="5" t="s">
        <v>240</v>
      </c>
      <c r="EU3404" s="5" t="s">
        <v>240</v>
      </c>
      <c r="EV3404" s="5" t="s">
        <v>240</v>
      </c>
      <c r="EW3404" s="5" t="s">
        <v>240</v>
      </c>
      <c r="EX3404" s="5" t="s">
        <v>240</v>
      </c>
      <c r="EY3404" s="5" t="s">
        <v>240</v>
      </c>
      <c r="EZ3404" s="5" t="s">
        <v>240</v>
      </c>
      <c r="FA3404" s="5" t="s">
        <v>240</v>
      </c>
      <c r="FB3404" s="5" t="s">
        <v>240</v>
      </c>
      <c r="FC3404" s="5" t="s">
        <v>240</v>
      </c>
      <c r="FD3404" s="5" t="s">
        <v>240</v>
      </c>
      <c r="FE3404" s="5" t="s">
        <v>240</v>
      </c>
      <c r="FF3404" s="5" t="s">
        <v>240</v>
      </c>
      <c r="FG3404" s="5" t="s">
        <v>240</v>
      </c>
      <c r="FH3404" s="5" t="s">
        <v>240</v>
      </c>
      <c r="FI3404" s="5" t="s">
        <v>240</v>
      </c>
      <c r="FJ3404" s="5" t="s">
        <v>240</v>
      </c>
      <c r="FK3404" s="5" t="s">
        <v>240</v>
      </c>
      <c r="FL3404" s="5" t="s">
        <v>240</v>
      </c>
      <c r="FM3404" s="5" t="s">
        <v>240</v>
      </c>
      <c r="FN3404" s="5" t="s">
        <v>240</v>
      </c>
      <c r="FO3404" s="5" t="s">
        <v>240</v>
      </c>
      <c r="FP3404" s="5" t="s">
        <v>240</v>
      </c>
      <c r="FQ3404" s="5" t="s">
        <v>240</v>
      </c>
      <c r="FR3404" s="5" t="s">
        <v>240</v>
      </c>
      <c r="FS3404" s="5" t="s">
        <v>240</v>
      </c>
      <c r="FT3404" s="5" t="s">
        <v>240</v>
      </c>
      <c r="FU3404" s="5" t="s">
        <v>240</v>
      </c>
      <c r="FV3404" s="5" t="s">
        <v>240</v>
      </c>
      <c r="FW3404" s="5" t="s">
        <v>240</v>
      </c>
      <c r="FX3404" s="5" t="s">
        <v>240</v>
      </c>
      <c r="FY3404" s="5" t="s">
        <v>240</v>
      </c>
      <c r="FZ3404" s="5" t="s">
        <v>240</v>
      </c>
      <c r="GA3404" s="5" t="s">
        <v>240</v>
      </c>
      <c r="GB3404" s="5" t="s">
        <v>240</v>
      </c>
      <c r="GC3404" s="5" t="s">
        <v>240</v>
      </c>
      <c r="GD3404" s="5" t="s">
        <v>240</v>
      </c>
      <c r="GE3404" s="5" t="s">
        <v>240</v>
      </c>
      <c r="GF3404" s="5" t="s">
        <v>240</v>
      </c>
      <c r="GG3404" s="5" t="s">
        <v>240</v>
      </c>
      <c r="GH3404" s="5" t="s">
        <v>240</v>
      </c>
      <c r="GI3404" s="5" t="s">
        <v>240</v>
      </c>
      <c r="GJ3404" s="5" t="s">
        <v>240</v>
      </c>
      <c r="GK3404" s="5" t="s">
        <v>240</v>
      </c>
      <c r="GL3404" s="5" t="s">
        <v>240</v>
      </c>
      <c r="GM3404" s="5" t="s">
        <v>240</v>
      </c>
      <c r="GN3404" s="5" t="s">
        <v>240</v>
      </c>
      <c r="GO3404" s="5" t="s">
        <v>240</v>
      </c>
      <c r="GP3404" s="5" t="s">
        <v>240</v>
      </c>
      <c r="GQ3404" s="5" t="s">
        <v>240</v>
      </c>
      <c r="GR3404" s="5" t="s">
        <v>240</v>
      </c>
      <c r="GS3404" s="5" t="s">
        <v>240</v>
      </c>
      <c r="GT3404" s="5" t="s">
        <v>240</v>
      </c>
      <c r="GU3404" s="5" t="s">
        <v>240</v>
      </c>
      <c r="GV3404" s="5" t="s">
        <v>240</v>
      </c>
      <c r="GW3404" s="5" t="s">
        <v>240</v>
      </c>
      <c r="GX3404" s="5" t="s">
        <v>240</v>
      </c>
      <c r="GY3404" s="5" t="s">
        <v>240</v>
      </c>
      <c r="GZ3404" s="5" t="s">
        <v>240</v>
      </c>
      <c r="HA3404" s="5" t="s">
        <v>240</v>
      </c>
      <c r="HB3404" s="5" t="s">
        <v>240</v>
      </c>
      <c r="HC3404" s="5" t="s">
        <v>240</v>
      </c>
      <c r="HD3404" s="5" t="s">
        <v>240</v>
      </c>
      <c r="HE3404" s="5" t="s">
        <v>240</v>
      </c>
      <c r="HF3404" s="5" t="s">
        <v>240</v>
      </c>
      <c r="HG3404" s="5" t="s">
        <v>240</v>
      </c>
      <c r="HH3404" s="5" t="s">
        <v>240</v>
      </c>
      <c r="HI3404" s="5" t="s">
        <v>240</v>
      </c>
      <c r="HJ3404" s="5" t="s">
        <v>240</v>
      </c>
      <c r="HK3404" s="5" t="s">
        <v>240</v>
      </c>
      <c r="HL3404" s="5" t="s">
        <v>240</v>
      </c>
      <c r="HM3404" s="5" t="s">
        <v>240</v>
      </c>
      <c r="HN3404" s="5" t="s">
        <v>240</v>
      </c>
      <c r="HO3404" s="5" t="s">
        <v>312</v>
      </c>
      <c r="HP3404" s="5" t="s">
        <v>240</v>
      </c>
      <c r="HQ3404" s="5" t="s">
        <v>240</v>
      </c>
      <c r="HR3404" s="5" t="s">
        <v>240</v>
      </c>
      <c r="HS3404" s="5" t="s">
        <v>240</v>
      </c>
      <c r="HT3404" s="5" t="s">
        <v>240</v>
      </c>
      <c r="HU3404" s="5" t="s">
        <v>240</v>
      </c>
      <c r="HV3404" s="5" t="s">
        <v>240</v>
      </c>
      <c r="HW3404" s="5" t="s">
        <v>240</v>
      </c>
      <c r="HX3404" s="5" t="s">
        <v>240</v>
      </c>
      <c r="HY3404" s="5" t="s">
        <v>240</v>
      </c>
      <c r="HZ3404" s="5" t="s">
        <v>240</v>
      </c>
      <c r="IA3404" s="5" t="s">
        <v>240</v>
      </c>
      <c r="IB3404" s="5" t="s">
        <v>240</v>
      </c>
      <c r="IC3404" s="5" t="s">
        <v>240</v>
      </c>
      <c r="ID3404" s="5" t="s">
        <v>240</v>
      </c>
      <c r="IE3404" s="5" t="s">
        <v>240</v>
      </c>
      <c r="IF3404" s="5" t="s">
        <v>240</v>
      </c>
    </row>
    <row r="3405" spans="1:240" x14ac:dyDescent="0.4">
      <c r="A3405" s="5">
        <v>8947</v>
      </c>
      <c r="B3405" s="5">
        <v>1</v>
      </c>
      <c r="C3405" s="5">
        <v>1</v>
      </c>
      <c r="D3405" s="5" t="s">
        <v>723</v>
      </c>
      <c r="E3405" s="5" t="s">
        <v>725</v>
      </c>
      <c r="F3405" s="5" t="s">
        <v>730</v>
      </c>
      <c r="G3405" s="5" t="s">
        <v>726</v>
      </c>
      <c r="H3405" s="6" t="s">
        <v>1431</v>
      </c>
      <c r="I3405" s="5" t="s">
        <v>990</v>
      </c>
      <c r="J3405" s="8">
        <f>91</f>
        <v>91</v>
      </c>
      <c r="K3405" s="5" t="s">
        <v>308</v>
      </c>
      <c r="L3405" s="7">
        <f>0</f>
        <v>0</v>
      </c>
      <c r="M3405" s="7">
        <f>0</f>
        <v>0</v>
      </c>
      <c r="N3405" s="5" t="s">
        <v>242</v>
      </c>
      <c r="O3405" s="5">
        <v>1</v>
      </c>
      <c r="P3405" s="5" t="s">
        <v>294</v>
      </c>
      <c r="Q3405" s="5" t="s">
        <v>266</v>
      </c>
      <c r="R3405" s="5" t="s">
        <v>240</v>
      </c>
      <c r="S3405" s="5" t="s">
        <v>240</v>
      </c>
      <c r="T3405" s="5" t="s">
        <v>243</v>
      </c>
      <c r="U3405" s="5" t="s">
        <v>240</v>
      </c>
      <c r="V3405" s="5" t="s">
        <v>240</v>
      </c>
      <c r="Y3405" s="5" t="s">
        <v>240</v>
      </c>
      <c r="Z3405" s="6" t="s">
        <v>6021</v>
      </c>
      <c r="AB3405" s="6" t="s">
        <v>240</v>
      </c>
      <c r="AE3405" s="6" t="s">
        <v>3464</v>
      </c>
      <c r="AF3405" s="5" t="s">
        <v>248</v>
      </c>
      <c r="AG3405" s="5" t="s">
        <v>249</v>
      </c>
      <c r="AW3405" s="5" t="s">
        <v>251</v>
      </c>
      <c r="AX3405" s="5" t="s">
        <v>240</v>
      </c>
      <c r="AY3405" s="5" t="s">
        <v>253</v>
      </c>
      <c r="AZ3405" s="5" t="s">
        <v>240</v>
      </c>
      <c r="BA3405" s="5" t="s">
        <v>255</v>
      </c>
      <c r="BB3405" s="5" t="s">
        <v>240</v>
      </c>
      <c r="BD3405" s="5" t="s">
        <v>240</v>
      </c>
      <c r="BF3405" s="5" t="s">
        <v>687</v>
      </c>
      <c r="BG3405" s="6" t="s">
        <v>6021</v>
      </c>
      <c r="BH3405" s="5" t="s">
        <v>302</v>
      </c>
      <c r="BI3405" s="5" t="s">
        <v>448</v>
      </c>
      <c r="BJ3405" s="5" t="s">
        <v>240</v>
      </c>
      <c r="BK3405" s="8">
        <f>0</f>
        <v>0</v>
      </c>
      <c r="BL3405" s="7">
        <f>0</f>
        <v>0</v>
      </c>
      <c r="BM3405" s="5" t="s">
        <v>258</v>
      </c>
      <c r="BN3405" s="5" t="s">
        <v>259</v>
      </c>
      <c r="CB3405" s="5" t="s">
        <v>240</v>
      </c>
      <c r="CC3405" s="5" t="s">
        <v>240</v>
      </c>
      <c r="CG3405" s="5" t="s">
        <v>449</v>
      </c>
      <c r="CH3405" s="5" t="s">
        <v>305</v>
      </c>
      <c r="CI3405" s="5" t="s">
        <v>240</v>
      </c>
      <c r="CL3405" s="6" t="s">
        <v>261</v>
      </c>
      <c r="CM3405" s="5" t="s">
        <v>240</v>
      </c>
      <c r="CN3405" s="5" t="s">
        <v>263</v>
      </c>
      <c r="CO3405" s="5" t="s">
        <v>240</v>
      </c>
      <c r="CP3405" s="5" t="s">
        <v>240</v>
      </c>
      <c r="CQ3405" s="5">
        <v>0</v>
      </c>
      <c r="CR3405" s="5" t="s">
        <v>306</v>
      </c>
      <c r="CS3405" s="5" t="s">
        <v>307</v>
      </c>
      <c r="CT3405" s="5" t="s">
        <v>307</v>
      </c>
      <c r="CU3405" s="5" t="s">
        <v>260</v>
      </c>
      <c r="CX3405" s="7">
        <f>1084122</f>
        <v>1084122</v>
      </c>
      <c r="CY3405" s="7">
        <f>0</f>
        <v>0</v>
      </c>
      <c r="DA3405" s="7">
        <f>0</f>
        <v>0</v>
      </c>
      <c r="DC3405" s="5" t="s">
        <v>450</v>
      </c>
      <c r="DD3405" s="5" t="s">
        <v>240</v>
      </c>
      <c r="DF3405" s="5" t="s">
        <v>450</v>
      </c>
      <c r="DG3405" s="7">
        <f>277.98</f>
        <v>277.98</v>
      </c>
      <c r="DI3405" s="5" t="s">
        <v>240</v>
      </c>
      <c r="DJ3405" s="5" t="s">
        <v>240</v>
      </c>
      <c r="DK3405" s="5" t="s">
        <v>240</v>
      </c>
      <c r="DL3405" s="5" t="s">
        <v>240</v>
      </c>
      <c r="DP3405" s="5" t="s">
        <v>240</v>
      </c>
      <c r="DQ3405" s="5" t="s">
        <v>240</v>
      </c>
      <c r="DR3405" s="5" t="s">
        <v>240</v>
      </c>
      <c r="DS3405" s="5" t="s">
        <v>240</v>
      </c>
      <c r="DV3405" s="5" t="s">
        <v>310</v>
      </c>
      <c r="DW3405" s="5" t="s">
        <v>4675</v>
      </c>
      <c r="HO3405" s="5" t="s">
        <v>312</v>
      </c>
    </row>
    <row r="3406" spans="1:240" x14ac:dyDescent="0.4">
      <c r="A3406" s="5">
        <v>8948</v>
      </c>
      <c r="B3406" s="5">
        <v>1</v>
      </c>
      <c r="C3406" s="5">
        <v>1</v>
      </c>
      <c r="D3406" s="5" t="s">
        <v>723</v>
      </c>
      <c r="E3406" s="5" t="s">
        <v>725</v>
      </c>
      <c r="F3406" s="5" t="s">
        <v>730</v>
      </c>
      <c r="G3406" s="5" t="s">
        <v>726</v>
      </c>
      <c r="H3406" s="6" t="s">
        <v>1582</v>
      </c>
      <c r="I3406" s="5" t="s">
        <v>990</v>
      </c>
      <c r="J3406" s="8">
        <f>2064</f>
        <v>2064</v>
      </c>
      <c r="K3406" s="5" t="s">
        <v>308</v>
      </c>
      <c r="L3406" s="7">
        <f>0</f>
        <v>0</v>
      </c>
      <c r="M3406" s="7">
        <f>0</f>
        <v>0</v>
      </c>
      <c r="N3406" s="5" t="s">
        <v>242</v>
      </c>
      <c r="O3406" s="5">
        <v>1</v>
      </c>
      <c r="P3406" s="5" t="s">
        <v>294</v>
      </c>
      <c r="Q3406" s="5" t="s">
        <v>3678</v>
      </c>
      <c r="R3406" s="5" t="s">
        <v>240</v>
      </c>
      <c r="S3406" s="5" t="s">
        <v>240</v>
      </c>
      <c r="T3406" s="5" t="s">
        <v>243</v>
      </c>
      <c r="U3406" s="5" t="s">
        <v>244</v>
      </c>
      <c r="V3406" s="5" t="s">
        <v>240</v>
      </c>
      <c r="W3406" s="5" t="s">
        <v>240</v>
      </c>
      <c r="X3406" s="5" t="s">
        <v>240</v>
      </c>
      <c r="Y3406" s="5" t="s">
        <v>240</v>
      </c>
      <c r="Z3406" s="6" t="s">
        <v>298</v>
      </c>
      <c r="AA3406" s="6" t="s">
        <v>240</v>
      </c>
      <c r="AB3406" s="6" t="s">
        <v>240</v>
      </c>
      <c r="AC3406" s="5" t="s">
        <v>240</v>
      </c>
      <c r="AD3406" s="6" t="s">
        <v>240</v>
      </c>
      <c r="AE3406" s="6" t="s">
        <v>299</v>
      </c>
      <c r="AF3406" s="5" t="s">
        <v>248</v>
      </c>
      <c r="AG3406" s="5" t="s">
        <v>249</v>
      </c>
      <c r="AH3406" s="5" t="s">
        <v>240</v>
      </c>
      <c r="AI3406" s="5" t="s">
        <v>240</v>
      </c>
      <c r="AJ3406" s="5" t="s">
        <v>240</v>
      </c>
      <c r="AK3406" s="5" t="s">
        <v>240</v>
      </c>
      <c r="AL3406" s="5" t="s">
        <v>240</v>
      </c>
      <c r="AM3406" s="5" t="s">
        <v>240</v>
      </c>
      <c r="AN3406" s="5" t="s">
        <v>240</v>
      </c>
      <c r="AO3406" s="5" t="s">
        <v>240</v>
      </c>
      <c r="AP3406" s="6" t="s">
        <v>240</v>
      </c>
      <c r="AQ3406" s="6" t="s">
        <v>240</v>
      </c>
      <c r="AR3406" s="6" t="s">
        <v>240</v>
      </c>
      <c r="AS3406" s="6" t="s">
        <v>240</v>
      </c>
      <c r="AT3406" s="5" t="s">
        <v>240</v>
      </c>
      <c r="AU3406" s="5" t="s">
        <v>729</v>
      </c>
      <c r="AV3406" s="5" t="s">
        <v>729</v>
      </c>
      <c r="AW3406" s="5" t="s">
        <v>251</v>
      </c>
      <c r="AX3406" s="5" t="s">
        <v>252</v>
      </c>
      <c r="AY3406" s="5" t="s">
        <v>253</v>
      </c>
      <c r="AZ3406" s="5" t="s">
        <v>240</v>
      </c>
      <c r="BA3406" s="5" t="s">
        <v>255</v>
      </c>
      <c r="BB3406" s="5" t="s">
        <v>731</v>
      </c>
      <c r="BD3406" s="5" t="s">
        <v>240</v>
      </c>
      <c r="BF3406" s="5" t="s">
        <v>732</v>
      </c>
      <c r="BG3406" s="6" t="s">
        <v>733</v>
      </c>
      <c r="BH3406" s="5" t="s">
        <v>734</v>
      </c>
      <c r="BI3406" s="5" t="s">
        <v>734</v>
      </c>
      <c r="BJ3406" s="5" t="s">
        <v>240</v>
      </c>
      <c r="BK3406" s="7">
        <f>1</f>
        <v>1</v>
      </c>
      <c r="BL3406" s="7">
        <f>1</f>
        <v>1</v>
      </c>
      <c r="BM3406" s="5" t="s">
        <v>258</v>
      </c>
      <c r="BN3406" s="5" t="s">
        <v>259</v>
      </c>
      <c r="BO3406" s="5" t="s">
        <v>240</v>
      </c>
      <c r="BP3406" s="5" t="s">
        <v>240</v>
      </c>
      <c r="BQ3406" s="5" t="s">
        <v>240</v>
      </c>
      <c r="BR3406" s="5" t="s">
        <v>240</v>
      </c>
      <c r="BS3406" s="5" t="s">
        <v>240</v>
      </c>
      <c r="BT3406" s="5" t="s">
        <v>240</v>
      </c>
      <c r="BU3406" s="5" t="s">
        <v>240</v>
      </c>
      <c r="BV3406" s="5" t="s">
        <v>240</v>
      </c>
      <c r="BW3406" s="6" t="s">
        <v>240</v>
      </c>
      <c r="BX3406" s="5" t="s">
        <v>240</v>
      </c>
      <c r="BY3406" s="5" t="s">
        <v>240</v>
      </c>
      <c r="BZ3406" s="5" t="s">
        <v>240</v>
      </c>
      <c r="CA3406" s="5" t="s">
        <v>259</v>
      </c>
      <c r="CB3406" s="5" t="s">
        <v>240</v>
      </c>
      <c r="CC3406" s="5" t="s">
        <v>240</v>
      </c>
      <c r="CD3406" s="5" t="s">
        <v>240</v>
      </c>
      <c r="CE3406" s="5" t="s">
        <v>240</v>
      </c>
      <c r="CF3406" s="5" t="s">
        <v>240</v>
      </c>
      <c r="CG3406" s="5" t="s">
        <v>304</v>
      </c>
      <c r="CH3406" s="5" t="s">
        <v>305</v>
      </c>
      <c r="CI3406" s="5" t="s">
        <v>240</v>
      </c>
      <c r="CK3406" s="5" t="s">
        <v>3681</v>
      </c>
      <c r="CL3406" s="6" t="s">
        <v>261</v>
      </c>
      <c r="CM3406" s="5" t="s">
        <v>262</v>
      </c>
      <c r="CN3406" s="5" t="s">
        <v>263</v>
      </c>
      <c r="CO3406" s="5" t="s">
        <v>264</v>
      </c>
      <c r="CP3406" s="5" t="s">
        <v>240</v>
      </c>
      <c r="CQ3406" s="5">
        <v>0</v>
      </c>
      <c r="CR3406" s="5" t="s">
        <v>735</v>
      </c>
      <c r="CS3406" s="5" t="s">
        <v>307</v>
      </c>
      <c r="CT3406" s="5" t="s">
        <v>307</v>
      </c>
      <c r="CU3406" s="5" t="s">
        <v>260</v>
      </c>
      <c r="CV3406" s="5" t="s">
        <v>612</v>
      </c>
      <c r="CW3406" s="8">
        <f>1</f>
        <v>1</v>
      </c>
      <c r="CX3406" s="7">
        <f>1</f>
        <v>1</v>
      </c>
      <c r="CY3406" s="7">
        <f>0</f>
        <v>0</v>
      </c>
      <c r="DA3406" s="7">
        <f>1</f>
        <v>1</v>
      </c>
      <c r="DB3406" s="7" t="s">
        <v>240</v>
      </c>
      <c r="DC3406" s="5" t="s">
        <v>240</v>
      </c>
      <c r="DD3406" s="5" t="s">
        <v>240</v>
      </c>
      <c r="DE3406" s="5" t="s">
        <v>240</v>
      </c>
      <c r="DF3406" s="5" t="s">
        <v>240</v>
      </c>
      <c r="DG3406" s="7">
        <f>0</f>
        <v>0</v>
      </c>
      <c r="DI3406" s="5" t="s">
        <v>240</v>
      </c>
      <c r="DJ3406" s="5" t="s">
        <v>240</v>
      </c>
      <c r="DK3406" s="5" t="s">
        <v>240</v>
      </c>
      <c r="DL3406" s="5" t="s">
        <v>240</v>
      </c>
      <c r="DM3406" s="5" t="s">
        <v>240</v>
      </c>
      <c r="DN3406" s="5" t="s">
        <v>240</v>
      </c>
      <c r="DO3406" s="7" t="s">
        <v>240</v>
      </c>
      <c r="DP3406" s="5" t="s">
        <v>240</v>
      </c>
      <c r="DQ3406" s="5" t="s">
        <v>240</v>
      </c>
      <c r="DR3406" s="5" t="s">
        <v>731</v>
      </c>
      <c r="DS3406" s="5" t="s">
        <v>731</v>
      </c>
      <c r="DT3406" s="5" t="s">
        <v>240</v>
      </c>
      <c r="DU3406" s="5" t="s">
        <v>240</v>
      </c>
      <c r="DV3406" s="5" t="s">
        <v>3683</v>
      </c>
      <c r="DW3406" s="5" t="s">
        <v>604</v>
      </c>
      <c r="DX3406" s="5" t="s">
        <v>240</v>
      </c>
      <c r="DY3406" s="5" t="s">
        <v>240</v>
      </c>
      <c r="DZ3406" s="5" t="s">
        <v>240</v>
      </c>
      <c r="EA3406" s="5" t="s">
        <v>240</v>
      </c>
      <c r="EB3406" s="5" t="s">
        <v>240</v>
      </c>
      <c r="EC3406" s="5" t="s">
        <v>240</v>
      </c>
      <c r="ED3406" s="5" t="s">
        <v>240</v>
      </c>
      <c r="EE3406" s="5" t="s">
        <v>240</v>
      </c>
      <c r="EF3406" s="5" t="s">
        <v>240</v>
      </c>
      <c r="EG3406" s="5" t="s">
        <v>240</v>
      </c>
      <c r="EH3406" s="5" t="s">
        <v>240</v>
      </c>
      <c r="EI3406" s="5" t="s">
        <v>240</v>
      </c>
      <c r="EJ3406" s="5" t="s">
        <v>240</v>
      </c>
      <c r="EK3406" s="5" t="s">
        <v>240</v>
      </c>
      <c r="EL3406" s="5" t="s">
        <v>240</v>
      </c>
      <c r="EM3406" s="5" t="s">
        <v>240</v>
      </c>
      <c r="EN3406" s="5" t="s">
        <v>240</v>
      </c>
      <c r="EO3406" s="5" t="s">
        <v>240</v>
      </c>
      <c r="EP3406" s="5" t="s">
        <v>240</v>
      </c>
      <c r="EQ3406" s="5" t="s">
        <v>240</v>
      </c>
      <c r="ER3406" s="5" t="s">
        <v>240</v>
      </c>
      <c r="ES3406" s="5" t="s">
        <v>240</v>
      </c>
      <c r="ET3406" s="5" t="s">
        <v>240</v>
      </c>
      <c r="EU3406" s="5" t="s">
        <v>240</v>
      </c>
      <c r="EV3406" s="5" t="s">
        <v>240</v>
      </c>
      <c r="EW3406" s="5" t="s">
        <v>240</v>
      </c>
      <c r="EX3406" s="5" t="s">
        <v>240</v>
      </c>
      <c r="EY3406" s="5" t="s">
        <v>240</v>
      </c>
      <c r="EZ3406" s="5" t="s">
        <v>240</v>
      </c>
      <c r="FA3406" s="5" t="s">
        <v>240</v>
      </c>
      <c r="FB3406" s="5" t="s">
        <v>240</v>
      </c>
      <c r="FC3406" s="5" t="s">
        <v>240</v>
      </c>
      <c r="FD3406" s="5" t="s">
        <v>240</v>
      </c>
      <c r="FE3406" s="5" t="s">
        <v>240</v>
      </c>
      <c r="FF3406" s="5" t="s">
        <v>240</v>
      </c>
      <c r="FG3406" s="5" t="s">
        <v>240</v>
      </c>
      <c r="FH3406" s="5" t="s">
        <v>240</v>
      </c>
      <c r="FI3406" s="5" t="s">
        <v>240</v>
      </c>
      <c r="FJ3406" s="5" t="s">
        <v>240</v>
      </c>
      <c r="FK3406" s="5" t="s">
        <v>240</v>
      </c>
      <c r="FL3406" s="5" t="s">
        <v>240</v>
      </c>
      <c r="FM3406" s="5" t="s">
        <v>240</v>
      </c>
      <c r="FN3406" s="5" t="s">
        <v>240</v>
      </c>
      <c r="FO3406" s="5" t="s">
        <v>240</v>
      </c>
      <c r="FP3406" s="5" t="s">
        <v>240</v>
      </c>
      <c r="FQ3406" s="5" t="s">
        <v>240</v>
      </c>
      <c r="FR3406" s="5" t="s">
        <v>240</v>
      </c>
      <c r="FS3406" s="5" t="s">
        <v>240</v>
      </c>
      <c r="FT3406" s="5" t="s">
        <v>240</v>
      </c>
      <c r="FU3406" s="5" t="s">
        <v>240</v>
      </c>
      <c r="FV3406" s="5" t="s">
        <v>240</v>
      </c>
      <c r="FW3406" s="5" t="s">
        <v>240</v>
      </c>
      <c r="FX3406" s="5" t="s">
        <v>240</v>
      </c>
      <c r="FY3406" s="5" t="s">
        <v>240</v>
      </c>
      <c r="FZ3406" s="5" t="s">
        <v>240</v>
      </c>
      <c r="GA3406" s="5" t="s">
        <v>240</v>
      </c>
      <c r="GB3406" s="5" t="s">
        <v>240</v>
      </c>
      <c r="GC3406" s="5" t="s">
        <v>240</v>
      </c>
      <c r="GD3406" s="5" t="s">
        <v>240</v>
      </c>
      <c r="GE3406" s="5" t="s">
        <v>240</v>
      </c>
      <c r="GF3406" s="5" t="s">
        <v>240</v>
      </c>
      <c r="GG3406" s="5" t="s">
        <v>240</v>
      </c>
      <c r="GH3406" s="5" t="s">
        <v>240</v>
      </c>
      <c r="GI3406" s="5" t="s">
        <v>240</v>
      </c>
      <c r="GJ3406" s="5" t="s">
        <v>240</v>
      </c>
      <c r="GK3406" s="5" t="s">
        <v>240</v>
      </c>
      <c r="GL3406" s="5" t="s">
        <v>240</v>
      </c>
      <c r="GM3406" s="5" t="s">
        <v>240</v>
      </c>
      <c r="GN3406" s="5" t="s">
        <v>240</v>
      </c>
      <c r="GO3406" s="5" t="s">
        <v>240</v>
      </c>
      <c r="GP3406" s="5" t="s">
        <v>240</v>
      </c>
      <c r="GQ3406" s="5" t="s">
        <v>240</v>
      </c>
      <c r="GR3406" s="5" t="s">
        <v>240</v>
      </c>
      <c r="GS3406" s="5" t="s">
        <v>240</v>
      </c>
      <c r="GT3406" s="5" t="s">
        <v>240</v>
      </c>
      <c r="GU3406" s="5" t="s">
        <v>240</v>
      </c>
      <c r="GV3406" s="5" t="s">
        <v>240</v>
      </c>
      <c r="GW3406" s="5" t="s">
        <v>240</v>
      </c>
      <c r="GX3406" s="5" t="s">
        <v>240</v>
      </c>
      <c r="GY3406" s="5" t="s">
        <v>240</v>
      </c>
      <c r="GZ3406" s="5" t="s">
        <v>240</v>
      </c>
      <c r="HA3406" s="5" t="s">
        <v>240</v>
      </c>
      <c r="HB3406" s="5" t="s">
        <v>240</v>
      </c>
      <c r="HC3406" s="5" t="s">
        <v>240</v>
      </c>
      <c r="HD3406" s="5" t="s">
        <v>240</v>
      </c>
      <c r="HE3406" s="5" t="s">
        <v>240</v>
      </c>
      <c r="HF3406" s="5" t="s">
        <v>240</v>
      </c>
      <c r="HG3406" s="5" t="s">
        <v>240</v>
      </c>
      <c r="HH3406" s="5" t="s">
        <v>240</v>
      </c>
      <c r="HI3406" s="5" t="s">
        <v>240</v>
      </c>
      <c r="HJ3406" s="5" t="s">
        <v>240</v>
      </c>
      <c r="HK3406" s="5" t="s">
        <v>240</v>
      </c>
      <c r="HL3406" s="5" t="s">
        <v>240</v>
      </c>
      <c r="HM3406" s="5" t="s">
        <v>240</v>
      </c>
      <c r="HN3406" s="5" t="s">
        <v>240</v>
      </c>
      <c r="HO3406" s="5" t="s">
        <v>312</v>
      </c>
      <c r="HP3406" s="5" t="s">
        <v>240</v>
      </c>
      <c r="HQ3406" s="5" t="s">
        <v>240</v>
      </c>
      <c r="HR3406" s="5" t="s">
        <v>240</v>
      </c>
      <c r="HS3406" s="5" t="s">
        <v>240</v>
      </c>
      <c r="HT3406" s="5" t="s">
        <v>240</v>
      </c>
      <c r="HU3406" s="5" t="s">
        <v>240</v>
      </c>
      <c r="HV3406" s="5" t="s">
        <v>240</v>
      </c>
      <c r="HW3406" s="5" t="s">
        <v>240</v>
      </c>
      <c r="HX3406" s="5" t="s">
        <v>240</v>
      </c>
      <c r="HY3406" s="5" t="s">
        <v>240</v>
      </c>
      <c r="HZ3406" s="5" t="s">
        <v>240</v>
      </c>
      <c r="IA3406" s="5" t="s">
        <v>240</v>
      </c>
      <c r="IB3406" s="5" t="s">
        <v>240</v>
      </c>
      <c r="IC3406" s="5" t="s">
        <v>240</v>
      </c>
      <c r="ID3406" s="5" t="s">
        <v>240</v>
      </c>
      <c r="IE3406" s="5" t="s">
        <v>240</v>
      </c>
      <c r="IF3406" s="5" t="s">
        <v>240</v>
      </c>
    </row>
    <row r="3407" spans="1:240" x14ac:dyDescent="0.4">
      <c r="A3407" s="5">
        <v>8949</v>
      </c>
      <c r="B3407" s="5">
        <v>1</v>
      </c>
      <c r="C3407" s="5">
        <v>1</v>
      </c>
      <c r="D3407" s="5" t="s">
        <v>723</v>
      </c>
      <c r="E3407" s="5" t="s">
        <v>725</v>
      </c>
      <c r="F3407" s="5" t="s">
        <v>730</v>
      </c>
      <c r="G3407" s="5" t="s">
        <v>726</v>
      </c>
      <c r="H3407" s="6" t="s">
        <v>1597</v>
      </c>
      <c r="I3407" s="5" t="s">
        <v>990</v>
      </c>
      <c r="J3407" s="8">
        <f>368.8</f>
        <v>368.8</v>
      </c>
      <c r="K3407" s="5" t="s">
        <v>308</v>
      </c>
      <c r="L3407" s="7">
        <f>0</f>
        <v>0</v>
      </c>
      <c r="M3407" s="7">
        <f>0</f>
        <v>0</v>
      </c>
      <c r="N3407" s="5" t="s">
        <v>242</v>
      </c>
      <c r="O3407" s="5">
        <v>1</v>
      </c>
      <c r="P3407" s="5" t="s">
        <v>294</v>
      </c>
      <c r="Q3407" s="5" t="s">
        <v>3678</v>
      </c>
      <c r="R3407" s="5" t="s">
        <v>240</v>
      </c>
      <c r="S3407" s="5" t="s">
        <v>240</v>
      </c>
      <c r="T3407" s="5" t="s">
        <v>243</v>
      </c>
      <c r="U3407" s="5" t="s">
        <v>244</v>
      </c>
      <c r="V3407" s="5" t="s">
        <v>240</v>
      </c>
      <c r="W3407" s="5" t="s">
        <v>240</v>
      </c>
      <c r="X3407" s="5" t="s">
        <v>240</v>
      </c>
      <c r="Y3407" s="5" t="s">
        <v>240</v>
      </c>
      <c r="Z3407" s="6" t="s">
        <v>298</v>
      </c>
      <c r="AA3407" s="6" t="s">
        <v>240</v>
      </c>
      <c r="AB3407" s="6" t="s">
        <v>240</v>
      </c>
      <c r="AC3407" s="5" t="s">
        <v>240</v>
      </c>
      <c r="AD3407" s="6" t="s">
        <v>240</v>
      </c>
      <c r="AE3407" s="6" t="s">
        <v>299</v>
      </c>
      <c r="AF3407" s="5" t="s">
        <v>248</v>
      </c>
      <c r="AG3407" s="5" t="s">
        <v>249</v>
      </c>
      <c r="AH3407" s="5" t="s">
        <v>240</v>
      </c>
      <c r="AI3407" s="5" t="s">
        <v>240</v>
      </c>
      <c r="AJ3407" s="5" t="s">
        <v>240</v>
      </c>
      <c r="AK3407" s="5" t="s">
        <v>240</v>
      </c>
      <c r="AL3407" s="5" t="s">
        <v>240</v>
      </c>
      <c r="AM3407" s="5" t="s">
        <v>240</v>
      </c>
      <c r="AN3407" s="5" t="s">
        <v>240</v>
      </c>
      <c r="AO3407" s="5" t="s">
        <v>240</v>
      </c>
      <c r="AP3407" s="6" t="s">
        <v>240</v>
      </c>
      <c r="AQ3407" s="6" t="s">
        <v>240</v>
      </c>
      <c r="AR3407" s="6" t="s">
        <v>240</v>
      </c>
      <c r="AS3407" s="6" t="s">
        <v>240</v>
      </c>
      <c r="AT3407" s="5" t="s">
        <v>240</v>
      </c>
      <c r="AU3407" s="5" t="s">
        <v>729</v>
      </c>
      <c r="AV3407" s="5" t="s">
        <v>729</v>
      </c>
      <c r="AW3407" s="5" t="s">
        <v>251</v>
      </c>
      <c r="AX3407" s="5" t="s">
        <v>252</v>
      </c>
      <c r="AY3407" s="5" t="s">
        <v>253</v>
      </c>
      <c r="AZ3407" s="5" t="s">
        <v>240</v>
      </c>
      <c r="BA3407" s="5" t="s">
        <v>255</v>
      </c>
      <c r="BB3407" s="5" t="s">
        <v>731</v>
      </c>
      <c r="BD3407" s="5" t="s">
        <v>240</v>
      </c>
      <c r="BF3407" s="5" t="s">
        <v>732</v>
      </c>
      <c r="BG3407" s="6" t="s">
        <v>733</v>
      </c>
      <c r="BH3407" s="5" t="s">
        <v>734</v>
      </c>
      <c r="BI3407" s="5" t="s">
        <v>734</v>
      </c>
      <c r="BJ3407" s="5" t="s">
        <v>240</v>
      </c>
      <c r="BK3407" s="7">
        <f>1</f>
        <v>1</v>
      </c>
      <c r="BL3407" s="7">
        <f>1</f>
        <v>1</v>
      </c>
      <c r="BM3407" s="5" t="s">
        <v>258</v>
      </c>
      <c r="BN3407" s="5" t="s">
        <v>259</v>
      </c>
      <c r="BO3407" s="5" t="s">
        <v>240</v>
      </c>
      <c r="BP3407" s="5" t="s">
        <v>240</v>
      </c>
      <c r="BQ3407" s="5" t="s">
        <v>240</v>
      </c>
      <c r="BR3407" s="5" t="s">
        <v>240</v>
      </c>
      <c r="BS3407" s="5" t="s">
        <v>240</v>
      </c>
      <c r="BT3407" s="5" t="s">
        <v>240</v>
      </c>
      <c r="BU3407" s="5" t="s">
        <v>240</v>
      </c>
      <c r="BV3407" s="5" t="s">
        <v>240</v>
      </c>
      <c r="BW3407" s="6" t="s">
        <v>240</v>
      </c>
      <c r="BX3407" s="5" t="s">
        <v>240</v>
      </c>
      <c r="BY3407" s="5" t="s">
        <v>240</v>
      </c>
      <c r="BZ3407" s="5" t="s">
        <v>240</v>
      </c>
      <c r="CA3407" s="5" t="s">
        <v>259</v>
      </c>
      <c r="CB3407" s="5" t="s">
        <v>240</v>
      </c>
      <c r="CC3407" s="5" t="s">
        <v>240</v>
      </c>
      <c r="CD3407" s="5" t="s">
        <v>240</v>
      </c>
      <c r="CE3407" s="5" t="s">
        <v>240</v>
      </c>
      <c r="CF3407" s="5" t="s">
        <v>240</v>
      </c>
      <c r="CG3407" s="5" t="s">
        <v>304</v>
      </c>
      <c r="CH3407" s="5" t="s">
        <v>305</v>
      </c>
      <c r="CI3407" s="5" t="s">
        <v>240</v>
      </c>
      <c r="CK3407" s="5" t="s">
        <v>3681</v>
      </c>
      <c r="CL3407" s="6" t="s">
        <v>261</v>
      </c>
      <c r="CM3407" s="5" t="s">
        <v>262</v>
      </c>
      <c r="CN3407" s="5" t="s">
        <v>263</v>
      </c>
      <c r="CO3407" s="5" t="s">
        <v>264</v>
      </c>
      <c r="CP3407" s="5" t="s">
        <v>240</v>
      </c>
      <c r="CQ3407" s="5">
        <v>0</v>
      </c>
      <c r="CR3407" s="5" t="s">
        <v>735</v>
      </c>
      <c r="CS3407" s="5" t="s">
        <v>307</v>
      </c>
      <c r="CT3407" s="5" t="s">
        <v>307</v>
      </c>
      <c r="CU3407" s="5" t="s">
        <v>260</v>
      </c>
      <c r="CV3407" s="5" t="s">
        <v>612</v>
      </c>
      <c r="CW3407" s="8">
        <f>1</f>
        <v>1</v>
      </c>
      <c r="CX3407" s="7">
        <f>1</f>
        <v>1</v>
      </c>
      <c r="CY3407" s="7">
        <f>0</f>
        <v>0</v>
      </c>
      <c r="DA3407" s="7">
        <f>1</f>
        <v>1</v>
      </c>
      <c r="DB3407" s="7" t="s">
        <v>240</v>
      </c>
      <c r="DC3407" s="5" t="s">
        <v>240</v>
      </c>
      <c r="DD3407" s="5" t="s">
        <v>240</v>
      </c>
      <c r="DE3407" s="5" t="s">
        <v>240</v>
      </c>
      <c r="DF3407" s="5" t="s">
        <v>240</v>
      </c>
      <c r="DG3407" s="7">
        <f>0</f>
        <v>0</v>
      </c>
      <c r="DI3407" s="5" t="s">
        <v>240</v>
      </c>
      <c r="DJ3407" s="5" t="s">
        <v>240</v>
      </c>
      <c r="DK3407" s="5" t="s">
        <v>240</v>
      </c>
      <c r="DL3407" s="5" t="s">
        <v>240</v>
      </c>
      <c r="DM3407" s="5" t="s">
        <v>240</v>
      </c>
      <c r="DN3407" s="5" t="s">
        <v>240</v>
      </c>
      <c r="DO3407" s="7" t="s">
        <v>240</v>
      </c>
      <c r="DP3407" s="5" t="s">
        <v>240</v>
      </c>
      <c r="DQ3407" s="5" t="s">
        <v>240</v>
      </c>
      <c r="DR3407" s="5" t="s">
        <v>731</v>
      </c>
      <c r="DS3407" s="5" t="s">
        <v>731</v>
      </c>
      <c r="DT3407" s="5" t="s">
        <v>240</v>
      </c>
      <c r="DU3407" s="5" t="s">
        <v>240</v>
      </c>
      <c r="DV3407" s="5" t="s">
        <v>3683</v>
      </c>
      <c r="DW3407" s="5" t="s">
        <v>612</v>
      </c>
      <c r="DX3407" s="5" t="s">
        <v>240</v>
      </c>
      <c r="DY3407" s="5" t="s">
        <v>240</v>
      </c>
      <c r="DZ3407" s="5" t="s">
        <v>240</v>
      </c>
      <c r="EA3407" s="5" t="s">
        <v>240</v>
      </c>
      <c r="EB3407" s="5" t="s">
        <v>240</v>
      </c>
      <c r="EC3407" s="5" t="s">
        <v>240</v>
      </c>
      <c r="ED3407" s="5" t="s">
        <v>240</v>
      </c>
      <c r="EE3407" s="5" t="s">
        <v>240</v>
      </c>
      <c r="EF3407" s="5" t="s">
        <v>240</v>
      </c>
      <c r="EG3407" s="5" t="s">
        <v>240</v>
      </c>
      <c r="EH3407" s="5" t="s">
        <v>240</v>
      </c>
      <c r="EI3407" s="5" t="s">
        <v>240</v>
      </c>
      <c r="EJ3407" s="5" t="s">
        <v>240</v>
      </c>
      <c r="EK3407" s="5" t="s">
        <v>240</v>
      </c>
      <c r="EL3407" s="5" t="s">
        <v>240</v>
      </c>
      <c r="EM3407" s="5" t="s">
        <v>240</v>
      </c>
      <c r="EN3407" s="5" t="s">
        <v>240</v>
      </c>
      <c r="EO3407" s="5" t="s">
        <v>240</v>
      </c>
      <c r="EP3407" s="5" t="s">
        <v>240</v>
      </c>
      <c r="EQ3407" s="5" t="s">
        <v>240</v>
      </c>
      <c r="ER3407" s="5" t="s">
        <v>240</v>
      </c>
      <c r="ES3407" s="5" t="s">
        <v>240</v>
      </c>
      <c r="ET3407" s="5" t="s">
        <v>240</v>
      </c>
      <c r="EU3407" s="5" t="s">
        <v>240</v>
      </c>
      <c r="EV3407" s="5" t="s">
        <v>240</v>
      </c>
      <c r="EW3407" s="5" t="s">
        <v>240</v>
      </c>
      <c r="EX3407" s="5" t="s">
        <v>240</v>
      </c>
      <c r="EY3407" s="5" t="s">
        <v>240</v>
      </c>
      <c r="EZ3407" s="5" t="s">
        <v>240</v>
      </c>
      <c r="FA3407" s="5" t="s">
        <v>240</v>
      </c>
      <c r="FB3407" s="5" t="s">
        <v>240</v>
      </c>
      <c r="FC3407" s="5" t="s">
        <v>240</v>
      </c>
      <c r="FD3407" s="5" t="s">
        <v>240</v>
      </c>
      <c r="FE3407" s="5" t="s">
        <v>240</v>
      </c>
      <c r="FF3407" s="5" t="s">
        <v>240</v>
      </c>
      <c r="FG3407" s="5" t="s">
        <v>240</v>
      </c>
      <c r="FH3407" s="5" t="s">
        <v>240</v>
      </c>
      <c r="FI3407" s="5" t="s">
        <v>240</v>
      </c>
      <c r="FJ3407" s="5" t="s">
        <v>240</v>
      </c>
      <c r="FK3407" s="5" t="s">
        <v>240</v>
      </c>
      <c r="FL3407" s="5" t="s">
        <v>240</v>
      </c>
      <c r="FM3407" s="5" t="s">
        <v>240</v>
      </c>
      <c r="FN3407" s="5" t="s">
        <v>240</v>
      </c>
      <c r="FO3407" s="5" t="s">
        <v>240</v>
      </c>
      <c r="FP3407" s="5" t="s">
        <v>240</v>
      </c>
      <c r="FQ3407" s="5" t="s">
        <v>240</v>
      </c>
      <c r="FR3407" s="5" t="s">
        <v>240</v>
      </c>
      <c r="FS3407" s="5" t="s">
        <v>240</v>
      </c>
      <c r="FT3407" s="5" t="s">
        <v>240</v>
      </c>
      <c r="FU3407" s="5" t="s">
        <v>240</v>
      </c>
      <c r="FV3407" s="5" t="s">
        <v>240</v>
      </c>
      <c r="FW3407" s="5" t="s">
        <v>240</v>
      </c>
      <c r="FX3407" s="5" t="s">
        <v>240</v>
      </c>
      <c r="FY3407" s="5" t="s">
        <v>240</v>
      </c>
      <c r="FZ3407" s="5" t="s">
        <v>240</v>
      </c>
      <c r="GA3407" s="5" t="s">
        <v>240</v>
      </c>
      <c r="GB3407" s="5" t="s">
        <v>240</v>
      </c>
      <c r="GC3407" s="5" t="s">
        <v>240</v>
      </c>
      <c r="GD3407" s="5" t="s">
        <v>240</v>
      </c>
      <c r="GE3407" s="5" t="s">
        <v>240</v>
      </c>
      <c r="GF3407" s="5" t="s">
        <v>240</v>
      </c>
      <c r="GG3407" s="5" t="s">
        <v>240</v>
      </c>
      <c r="GH3407" s="5" t="s">
        <v>240</v>
      </c>
      <c r="GI3407" s="5" t="s">
        <v>240</v>
      </c>
      <c r="GJ3407" s="5" t="s">
        <v>240</v>
      </c>
      <c r="GK3407" s="5" t="s">
        <v>240</v>
      </c>
      <c r="GL3407" s="5" t="s">
        <v>240</v>
      </c>
      <c r="GM3407" s="5" t="s">
        <v>240</v>
      </c>
      <c r="GN3407" s="5" t="s">
        <v>240</v>
      </c>
      <c r="GO3407" s="5" t="s">
        <v>240</v>
      </c>
      <c r="GP3407" s="5" t="s">
        <v>240</v>
      </c>
      <c r="GQ3407" s="5" t="s">
        <v>240</v>
      </c>
      <c r="GR3407" s="5" t="s">
        <v>240</v>
      </c>
      <c r="GS3407" s="5" t="s">
        <v>240</v>
      </c>
      <c r="GT3407" s="5" t="s">
        <v>240</v>
      </c>
      <c r="GU3407" s="5" t="s">
        <v>240</v>
      </c>
      <c r="GV3407" s="5" t="s">
        <v>240</v>
      </c>
      <c r="GW3407" s="5" t="s">
        <v>240</v>
      </c>
      <c r="GX3407" s="5" t="s">
        <v>240</v>
      </c>
      <c r="GY3407" s="5" t="s">
        <v>240</v>
      </c>
      <c r="GZ3407" s="5" t="s">
        <v>240</v>
      </c>
      <c r="HA3407" s="5" t="s">
        <v>240</v>
      </c>
      <c r="HB3407" s="5" t="s">
        <v>240</v>
      </c>
      <c r="HC3407" s="5" t="s">
        <v>240</v>
      </c>
      <c r="HD3407" s="5" t="s">
        <v>240</v>
      </c>
      <c r="HE3407" s="5" t="s">
        <v>240</v>
      </c>
      <c r="HF3407" s="5" t="s">
        <v>240</v>
      </c>
      <c r="HG3407" s="5" t="s">
        <v>240</v>
      </c>
      <c r="HH3407" s="5" t="s">
        <v>240</v>
      </c>
      <c r="HI3407" s="5" t="s">
        <v>240</v>
      </c>
      <c r="HJ3407" s="5" t="s">
        <v>240</v>
      </c>
      <c r="HK3407" s="5" t="s">
        <v>240</v>
      </c>
      <c r="HL3407" s="5" t="s">
        <v>240</v>
      </c>
      <c r="HM3407" s="5" t="s">
        <v>240</v>
      </c>
      <c r="HN3407" s="5" t="s">
        <v>240</v>
      </c>
      <c r="HO3407" s="5" t="s">
        <v>312</v>
      </c>
      <c r="HP3407" s="5" t="s">
        <v>240</v>
      </c>
      <c r="HQ3407" s="5" t="s">
        <v>240</v>
      </c>
      <c r="HR3407" s="5" t="s">
        <v>240</v>
      </c>
      <c r="HS3407" s="5" t="s">
        <v>240</v>
      </c>
      <c r="HT3407" s="5" t="s">
        <v>240</v>
      </c>
      <c r="HU3407" s="5" t="s">
        <v>240</v>
      </c>
      <c r="HV3407" s="5" t="s">
        <v>240</v>
      </c>
      <c r="HW3407" s="5" t="s">
        <v>240</v>
      </c>
      <c r="HX3407" s="5" t="s">
        <v>240</v>
      </c>
      <c r="HY3407" s="5" t="s">
        <v>240</v>
      </c>
      <c r="HZ3407" s="5" t="s">
        <v>240</v>
      </c>
      <c r="IA3407" s="5" t="s">
        <v>240</v>
      </c>
      <c r="IB3407" s="5" t="s">
        <v>240</v>
      </c>
      <c r="IC3407" s="5" t="s">
        <v>240</v>
      </c>
      <c r="ID3407" s="5" t="s">
        <v>240</v>
      </c>
      <c r="IE3407" s="5" t="s">
        <v>240</v>
      </c>
      <c r="IF3407" s="5" t="s">
        <v>240</v>
      </c>
    </row>
    <row r="3408" spans="1:240" x14ac:dyDescent="0.4">
      <c r="A3408" s="5">
        <v>8950</v>
      </c>
      <c r="B3408" s="5">
        <v>1</v>
      </c>
      <c r="C3408" s="5">
        <v>1</v>
      </c>
      <c r="D3408" s="5" t="s">
        <v>723</v>
      </c>
      <c r="E3408" s="5" t="s">
        <v>725</v>
      </c>
      <c r="F3408" s="5" t="s">
        <v>730</v>
      </c>
      <c r="G3408" s="5" t="s">
        <v>726</v>
      </c>
      <c r="H3408" s="6" t="s">
        <v>1615</v>
      </c>
      <c r="I3408" s="5" t="s">
        <v>990</v>
      </c>
      <c r="J3408" s="8">
        <f>494.1</f>
        <v>494.1</v>
      </c>
      <c r="K3408" s="5" t="s">
        <v>308</v>
      </c>
      <c r="L3408" s="7">
        <f>0</f>
        <v>0</v>
      </c>
      <c r="M3408" s="7">
        <f>0</f>
        <v>0</v>
      </c>
      <c r="N3408" s="5" t="s">
        <v>242</v>
      </c>
      <c r="O3408" s="5">
        <v>1</v>
      </c>
      <c r="P3408" s="5" t="s">
        <v>294</v>
      </c>
      <c r="Q3408" s="5" t="s">
        <v>266</v>
      </c>
      <c r="R3408" s="5" t="s">
        <v>240</v>
      </c>
      <c r="S3408" s="5" t="s">
        <v>240</v>
      </c>
      <c r="T3408" s="5" t="s">
        <v>243</v>
      </c>
      <c r="U3408" s="5" t="s">
        <v>240</v>
      </c>
      <c r="V3408" s="5" t="s">
        <v>240</v>
      </c>
      <c r="Y3408" s="5" t="s">
        <v>240</v>
      </c>
      <c r="Z3408" s="6" t="s">
        <v>6027</v>
      </c>
      <c r="AB3408" s="6" t="s">
        <v>240</v>
      </c>
      <c r="AE3408" s="6" t="s">
        <v>3880</v>
      </c>
      <c r="AF3408" s="5" t="s">
        <v>248</v>
      </c>
      <c r="AG3408" s="5" t="s">
        <v>249</v>
      </c>
      <c r="AW3408" s="5" t="s">
        <v>251</v>
      </c>
      <c r="AX3408" s="5" t="s">
        <v>240</v>
      </c>
      <c r="AY3408" s="5" t="s">
        <v>253</v>
      </c>
      <c r="AZ3408" s="5" t="s">
        <v>240</v>
      </c>
      <c r="BA3408" s="5" t="s">
        <v>255</v>
      </c>
      <c r="BB3408" s="5" t="s">
        <v>240</v>
      </c>
      <c r="BD3408" s="5" t="s">
        <v>240</v>
      </c>
      <c r="BF3408" s="5" t="s">
        <v>687</v>
      </c>
      <c r="BG3408" s="6" t="s">
        <v>6027</v>
      </c>
      <c r="BH3408" s="5" t="s">
        <v>302</v>
      </c>
      <c r="BI3408" s="5" t="s">
        <v>448</v>
      </c>
      <c r="BJ3408" s="5" t="s">
        <v>240</v>
      </c>
      <c r="BK3408" s="8">
        <f>0</f>
        <v>0</v>
      </c>
      <c r="BL3408" s="7">
        <f>0</f>
        <v>0</v>
      </c>
      <c r="BM3408" s="5" t="s">
        <v>258</v>
      </c>
      <c r="BN3408" s="5" t="s">
        <v>259</v>
      </c>
      <c r="CB3408" s="5" t="s">
        <v>240</v>
      </c>
      <c r="CC3408" s="5" t="s">
        <v>240</v>
      </c>
      <c r="CG3408" s="5" t="s">
        <v>449</v>
      </c>
      <c r="CH3408" s="5" t="s">
        <v>305</v>
      </c>
      <c r="CI3408" s="5" t="s">
        <v>240</v>
      </c>
      <c r="CL3408" s="6" t="s">
        <v>261</v>
      </c>
      <c r="CM3408" s="5" t="s">
        <v>240</v>
      </c>
      <c r="CN3408" s="5" t="s">
        <v>263</v>
      </c>
      <c r="CO3408" s="5" t="s">
        <v>240</v>
      </c>
      <c r="CP3408" s="5" t="s">
        <v>240</v>
      </c>
      <c r="CQ3408" s="5">
        <v>0</v>
      </c>
      <c r="CR3408" s="5" t="s">
        <v>306</v>
      </c>
      <c r="CS3408" s="5" t="s">
        <v>307</v>
      </c>
      <c r="CT3408" s="5" t="s">
        <v>307</v>
      </c>
      <c r="CU3408" s="5" t="s">
        <v>260</v>
      </c>
      <c r="CX3408" s="7">
        <f>214722</f>
        <v>214722</v>
      </c>
      <c r="CY3408" s="7">
        <f>0</f>
        <v>0</v>
      </c>
      <c r="DA3408" s="7">
        <f>0</f>
        <v>0</v>
      </c>
      <c r="DC3408" s="5" t="s">
        <v>450</v>
      </c>
      <c r="DD3408" s="5" t="s">
        <v>240</v>
      </c>
      <c r="DF3408" s="5" t="s">
        <v>450</v>
      </c>
      <c r="DG3408" s="7">
        <f>14.22</f>
        <v>14.22</v>
      </c>
      <c r="DI3408" s="5" t="s">
        <v>240</v>
      </c>
      <c r="DJ3408" s="5" t="s">
        <v>240</v>
      </c>
      <c r="DK3408" s="5" t="s">
        <v>240</v>
      </c>
      <c r="DL3408" s="5" t="s">
        <v>240</v>
      </c>
      <c r="DP3408" s="5" t="s">
        <v>240</v>
      </c>
      <c r="DQ3408" s="5" t="s">
        <v>240</v>
      </c>
      <c r="DR3408" s="5" t="s">
        <v>240</v>
      </c>
      <c r="DS3408" s="5" t="s">
        <v>240</v>
      </c>
      <c r="DV3408" s="5" t="s">
        <v>310</v>
      </c>
      <c r="DW3408" s="5" t="s">
        <v>2405</v>
      </c>
      <c r="HO3408" s="5" t="s">
        <v>312</v>
      </c>
    </row>
    <row r="3409" spans="1:240" x14ac:dyDescent="0.4">
      <c r="A3409" s="5">
        <v>8951</v>
      </c>
      <c r="B3409" s="5">
        <v>1</v>
      </c>
      <c r="C3409" s="5">
        <v>1</v>
      </c>
      <c r="D3409" s="5" t="s">
        <v>723</v>
      </c>
      <c r="E3409" s="5" t="s">
        <v>725</v>
      </c>
      <c r="F3409" s="5" t="s">
        <v>730</v>
      </c>
      <c r="G3409" s="5" t="s">
        <v>726</v>
      </c>
      <c r="H3409" s="6" t="s">
        <v>1624</v>
      </c>
      <c r="I3409" s="5" t="s">
        <v>990</v>
      </c>
      <c r="J3409" s="8">
        <f>495.86</f>
        <v>495.86</v>
      </c>
      <c r="K3409" s="5" t="s">
        <v>308</v>
      </c>
      <c r="L3409" s="7">
        <f>0</f>
        <v>0</v>
      </c>
      <c r="M3409" s="7">
        <f>0</f>
        <v>0</v>
      </c>
      <c r="N3409" s="5" t="s">
        <v>242</v>
      </c>
      <c r="O3409" s="5">
        <v>1</v>
      </c>
      <c r="P3409" s="5" t="s">
        <v>294</v>
      </c>
      <c r="Q3409" s="5" t="s">
        <v>266</v>
      </c>
      <c r="R3409" s="5" t="s">
        <v>240</v>
      </c>
      <c r="S3409" s="5" t="s">
        <v>240</v>
      </c>
      <c r="T3409" s="5" t="s">
        <v>243</v>
      </c>
      <c r="U3409" s="5" t="s">
        <v>240</v>
      </c>
      <c r="V3409" s="5" t="s">
        <v>240</v>
      </c>
      <c r="Y3409" s="5" t="s">
        <v>240</v>
      </c>
      <c r="Z3409" s="6" t="s">
        <v>6029</v>
      </c>
      <c r="AB3409" s="6" t="s">
        <v>240</v>
      </c>
      <c r="AE3409" s="6" t="s">
        <v>747</v>
      </c>
      <c r="AF3409" s="5" t="s">
        <v>248</v>
      </c>
      <c r="AG3409" s="5" t="s">
        <v>249</v>
      </c>
      <c r="AW3409" s="5" t="s">
        <v>251</v>
      </c>
      <c r="AX3409" s="5" t="s">
        <v>240</v>
      </c>
      <c r="AY3409" s="5" t="s">
        <v>253</v>
      </c>
      <c r="AZ3409" s="5" t="s">
        <v>240</v>
      </c>
      <c r="BA3409" s="5" t="s">
        <v>255</v>
      </c>
      <c r="BB3409" s="5" t="s">
        <v>240</v>
      </c>
      <c r="BD3409" s="5" t="s">
        <v>240</v>
      </c>
      <c r="BF3409" s="5" t="s">
        <v>687</v>
      </c>
      <c r="BG3409" s="6" t="s">
        <v>6029</v>
      </c>
      <c r="BH3409" s="5" t="s">
        <v>302</v>
      </c>
      <c r="BI3409" s="5" t="s">
        <v>448</v>
      </c>
      <c r="BJ3409" s="5" t="s">
        <v>240</v>
      </c>
      <c r="BK3409" s="8">
        <f>0</f>
        <v>0</v>
      </c>
      <c r="BL3409" s="7">
        <f>0</f>
        <v>0</v>
      </c>
      <c r="BM3409" s="5" t="s">
        <v>258</v>
      </c>
      <c r="BN3409" s="5" t="s">
        <v>259</v>
      </c>
      <c r="CB3409" s="5" t="s">
        <v>240</v>
      </c>
      <c r="CC3409" s="5" t="s">
        <v>240</v>
      </c>
      <c r="CG3409" s="5" t="s">
        <v>449</v>
      </c>
      <c r="CH3409" s="5" t="s">
        <v>305</v>
      </c>
      <c r="CI3409" s="5" t="s">
        <v>240</v>
      </c>
      <c r="CL3409" s="6" t="s">
        <v>261</v>
      </c>
      <c r="CM3409" s="5" t="s">
        <v>240</v>
      </c>
      <c r="CN3409" s="5" t="s">
        <v>263</v>
      </c>
      <c r="CO3409" s="5" t="s">
        <v>240</v>
      </c>
      <c r="CP3409" s="5" t="s">
        <v>240</v>
      </c>
      <c r="CQ3409" s="5">
        <v>0</v>
      </c>
      <c r="CR3409" s="5" t="s">
        <v>306</v>
      </c>
      <c r="CS3409" s="5" t="s">
        <v>307</v>
      </c>
      <c r="CT3409" s="5" t="s">
        <v>307</v>
      </c>
      <c r="CU3409" s="5" t="s">
        <v>260</v>
      </c>
      <c r="CX3409" s="7">
        <f>445234</f>
        <v>445234</v>
      </c>
      <c r="CY3409" s="7">
        <f>0</f>
        <v>0</v>
      </c>
      <c r="DA3409" s="7">
        <f>0</f>
        <v>0</v>
      </c>
      <c r="DC3409" s="5" t="s">
        <v>450</v>
      </c>
      <c r="DD3409" s="5" t="s">
        <v>240</v>
      </c>
      <c r="DF3409" s="5" t="s">
        <v>450</v>
      </c>
      <c r="DG3409" s="7">
        <f>244.63</f>
        <v>244.63</v>
      </c>
      <c r="DI3409" s="5" t="s">
        <v>240</v>
      </c>
      <c r="DJ3409" s="5" t="s">
        <v>240</v>
      </c>
      <c r="DK3409" s="5" t="s">
        <v>240</v>
      </c>
      <c r="DL3409" s="5" t="s">
        <v>240</v>
      </c>
      <c r="DP3409" s="5" t="s">
        <v>240</v>
      </c>
      <c r="DQ3409" s="5" t="s">
        <v>240</v>
      </c>
      <c r="DR3409" s="5" t="s">
        <v>240</v>
      </c>
      <c r="DS3409" s="5" t="s">
        <v>240</v>
      </c>
      <c r="DV3409" s="5" t="s">
        <v>310</v>
      </c>
      <c r="DW3409" s="5" t="s">
        <v>2403</v>
      </c>
      <c r="HO3409" s="5" t="s">
        <v>312</v>
      </c>
    </row>
    <row r="3410" spans="1:240" x14ac:dyDescent="0.4">
      <c r="A3410" s="5">
        <v>8952</v>
      </c>
      <c r="B3410" s="5">
        <v>1</v>
      </c>
      <c r="C3410" s="5">
        <v>1</v>
      </c>
      <c r="D3410" s="5" t="s">
        <v>723</v>
      </c>
      <c r="E3410" s="5" t="s">
        <v>725</v>
      </c>
      <c r="F3410" s="5" t="s">
        <v>730</v>
      </c>
      <c r="G3410" s="5" t="s">
        <v>726</v>
      </c>
      <c r="H3410" s="6" t="s">
        <v>1727</v>
      </c>
      <c r="I3410" s="5" t="s">
        <v>990</v>
      </c>
      <c r="J3410" s="8">
        <f>146.1</f>
        <v>146.1</v>
      </c>
      <c r="K3410" s="5" t="s">
        <v>308</v>
      </c>
      <c r="L3410" s="7">
        <f>0</f>
        <v>0</v>
      </c>
      <c r="M3410" s="7">
        <f>0</f>
        <v>0</v>
      </c>
      <c r="N3410" s="5" t="s">
        <v>242</v>
      </c>
      <c r="O3410" s="5">
        <v>1</v>
      </c>
      <c r="P3410" s="5" t="s">
        <v>294</v>
      </c>
      <c r="Q3410" s="5" t="s">
        <v>3678</v>
      </c>
      <c r="R3410" s="5" t="s">
        <v>240</v>
      </c>
      <c r="S3410" s="5" t="s">
        <v>240</v>
      </c>
      <c r="T3410" s="5" t="s">
        <v>243</v>
      </c>
      <c r="U3410" s="5" t="s">
        <v>244</v>
      </c>
      <c r="V3410" s="5" t="s">
        <v>240</v>
      </c>
      <c r="W3410" s="5" t="s">
        <v>240</v>
      </c>
      <c r="X3410" s="5" t="s">
        <v>240</v>
      </c>
      <c r="Y3410" s="5" t="s">
        <v>240</v>
      </c>
      <c r="Z3410" s="6" t="s">
        <v>298</v>
      </c>
      <c r="AA3410" s="6" t="s">
        <v>240</v>
      </c>
      <c r="AB3410" s="6" t="s">
        <v>240</v>
      </c>
      <c r="AC3410" s="5" t="s">
        <v>240</v>
      </c>
      <c r="AD3410" s="6" t="s">
        <v>240</v>
      </c>
      <c r="AE3410" s="6" t="s">
        <v>299</v>
      </c>
      <c r="AF3410" s="5" t="s">
        <v>248</v>
      </c>
      <c r="AG3410" s="5" t="s">
        <v>249</v>
      </c>
      <c r="AH3410" s="5" t="s">
        <v>240</v>
      </c>
      <c r="AI3410" s="5" t="s">
        <v>240</v>
      </c>
      <c r="AJ3410" s="5" t="s">
        <v>240</v>
      </c>
      <c r="AK3410" s="5" t="s">
        <v>240</v>
      </c>
      <c r="AL3410" s="5" t="s">
        <v>240</v>
      </c>
      <c r="AM3410" s="5" t="s">
        <v>240</v>
      </c>
      <c r="AN3410" s="5" t="s">
        <v>240</v>
      </c>
      <c r="AO3410" s="5" t="s">
        <v>240</v>
      </c>
      <c r="AP3410" s="6" t="s">
        <v>240</v>
      </c>
      <c r="AQ3410" s="6" t="s">
        <v>240</v>
      </c>
      <c r="AR3410" s="6" t="s">
        <v>240</v>
      </c>
      <c r="AS3410" s="6" t="s">
        <v>240</v>
      </c>
      <c r="AT3410" s="5" t="s">
        <v>240</v>
      </c>
      <c r="AU3410" s="5" t="s">
        <v>729</v>
      </c>
      <c r="AV3410" s="5" t="s">
        <v>729</v>
      </c>
      <c r="AW3410" s="5" t="s">
        <v>251</v>
      </c>
      <c r="AX3410" s="5" t="s">
        <v>252</v>
      </c>
      <c r="AY3410" s="5" t="s">
        <v>253</v>
      </c>
      <c r="AZ3410" s="5" t="s">
        <v>240</v>
      </c>
      <c r="BA3410" s="5" t="s">
        <v>255</v>
      </c>
      <c r="BB3410" s="5" t="s">
        <v>731</v>
      </c>
      <c r="BD3410" s="5" t="s">
        <v>240</v>
      </c>
      <c r="BF3410" s="5" t="s">
        <v>732</v>
      </c>
      <c r="BG3410" s="6" t="s">
        <v>733</v>
      </c>
      <c r="BH3410" s="5" t="s">
        <v>734</v>
      </c>
      <c r="BI3410" s="5" t="s">
        <v>734</v>
      </c>
      <c r="BJ3410" s="5" t="s">
        <v>240</v>
      </c>
      <c r="BK3410" s="7">
        <f>1</f>
        <v>1</v>
      </c>
      <c r="BL3410" s="7">
        <f>1</f>
        <v>1</v>
      </c>
      <c r="BM3410" s="5" t="s">
        <v>258</v>
      </c>
      <c r="BN3410" s="5" t="s">
        <v>259</v>
      </c>
      <c r="BO3410" s="5" t="s">
        <v>240</v>
      </c>
      <c r="BP3410" s="5" t="s">
        <v>240</v>
      </c>
      <c r="BQ3410" s="5" t="s">
        <v>240</v>
      </c>
      <c r="BR3410" s="5" t="s">
        <v>240</v>
      </c>
      <c r="BS3410" s="5" t="s">
        <v>240</v>
      </c>
      <c r="BT3410" s="5" t="s">
        <v>240</v>
      </c>
      <c r="BU3410" s="5" t="s">
        <v>240</v>
      </c>
      <c r="BV3410" s="5" t="s">
        <v>240</v>
      </c>
      <c r="BW3410" s="6" t="s">
        <v>240</v>
      </c>
      <c r="BX3410" s="5" t="s">
        <v>240</v>
      </c>
      <c r="BY3410" s="5" t="s">
        <v>240</v>
      </c>
      <c r="BZ3410" s="5" t="s">
        <v>240</v>
      </c>
      <c r="CA3410" s="5" t="s">
        <v>259</v>
      </c>
      <c r="CB3410" s="5" t="s">
        <v>240</v>
      </c>
      <c r="CC3410" s="5" t="s">
        <v>240</v>
      </c>
      <c r="CD3410" s="5" t="s">
        <v>240</v>
      </c>
      <c r="CE3410" s="5" t="s">
        <v>240</v>
      </c>
      <c r="CF3410" s="5" t="s">
        <v>240</v>
      </c>
      <c r="CG3410" s="5" t="s">
        <v>304</v>
      </c>
      <c r="CH3410" s="5" t="s">
        <v>305</v>
      </c>
      <c r="CI3410" s="5" t="s">
        <v>240</v>
      </c>
      <c r="CK3410" s="5" t="s">
        <v>3681</v>
      </c>
      <c r="CL3410" s="6" t="s">
        <v>261</v>
      </c>
      <c r="CM3410" s="5" t="s">
        <v>262</v>
      </c>
      <c r="CN3410" s="5" t="s">
        <v>263</v>
      </c>
      <c r="CO3410" s="5" t="s">
        <v>264</v>
      </c>
      <c r="CP3410" s="5" t="s">
        <v>240</v>
      </c>
      <c r="CQ3410" s="5">
        <v>0</v>
      </c>
      <c r="CR3410" s="5" t="s">
        <v>735</v>
      </c>
      <c r="CS3410" s="5" t="s">
        <v>307</v>
      </c>
      <c r="CT3410" s="5" t="s">
        <v>307</v>
      </c>
      <c r="CU3410" s="5" t="s">
        <v>260</v>
      </c>
      <c r="CV3410" s="5" t="s">
        <v>612</v>
      </c>
      <c r="CW3410" s="8">
        <f>1</f>
        <v>1</v>
      </c>
      <c r="CX3410" s="7">
        <f>1</f>
        <v>1</v>
      </c>
      <c r="CY3410" s="7">
        <f>0</f>
        <v>0</v>
      </c>
      <c r="DA3410" s="7">
        <f>1</f>
        <v>1</v>
      </c>
      <c r="DB3410" s="7" t="s">
        <v>240</v>
      </c>
      <c r="DC3410" s="5" t="s">
        <v>240</v>
      </c>
      <c r="DD3410" s="5" t="s">
        <v>240</v>
      </c>
      <c r="DE3410" s="5" t="s">
        <v>240</v>
      </c>
      <c r="DF3410" s="5" t="s">
        <v>240</v>
      </c>
      <c r="DG3410" s="7">
        <f>0</f>
        <v>0</v>
      </c>
      <c r="DI3410" s="5" t="s">
        <v>240</v>
      </c>
      <c r="DJ3410" s="5" t="s">
        <v>240</v>
      </c>
      <c r="DK3410" s="5" t="s">
        <v>240</v>
      </c>
      <c r="DL3410" s="5" t="s">
        <v>240</v>
      </c>
      <c r="DM3410" s="5" t="s">
        <v>240</v>
      </c>
      <c r="DN3410" s="5" t="s">
        <v>240</v>
      </c>
      <c r="DO3410" s="7" t="s">
        <v>240</v>
      </c>
      <c r="DP3410" s="5" t="s">
        <v>240</v>
      </c>
      <c r="DQ3410" s="5" t="s">
        <v>240</v>
      </c>
      <c r="DR3410" s="5" t="s">
        <v>731</v>
      </c>
      <c r="DS3410" s="5" t="s">
        <v>731</v>
      </c>
      <c r="DT3410" s="5" t="s">
        <v>240</v>
      </c>
      <c r="DU3410" s="5" t="s">
        <v>240</v>
      </c>
      <c r="DV3410" s="5" t="s">
        <v>3683</v>
      </c>
      <c r="DW3410" s="5" t="s">
        <v>627</v>
      </c>
      <c r="DX3410" s="5" t="s">
        <v>240</v>
      </c>
      <c r="DY3410" s="5" t="s">
        <v>240</v>
      </c>
      <c r="DZ3410" s="5" t="s">
        <v>240</v>
      </c>
      <c r="EA3410" s="5" t="s">
        <v>240</v>
      </c>
      <c r="EB3410" s="5" t="s">
        <v>240</v>
      </c>
      <c r="EC3410" s="5" t="s">
        <v>240</v>
      </c>
      <c r="ED3410" s="5" t="s">
        <v>240</v>
      </c>
      <c r="EE3410" s="5" t="s">
        <v>240</v>
      </c>
      <c r="EF3410" s="5" t="s">
        <v>240</v>
      </c>
      <c r="EG3410" s="5" t="s">
        <v>240</v>
      </c>
      <c r="EH3410" s="5" t="s">
        <v>240</v>
      </c>
      <c r="EI3410" s="5" t="s">
        <v>240</v>
      </c>
      <c r="EJ3410" s="5" t="s">
        <v>240</v>
      </c>
      <c r="EK3410" s="5" t="s">
        <v>240</v>
      </c>
      <c r="EL3410" s="5" t="s">
        <v>240</v>
      </c>
      <c r="EM3410" s="5" t="s">
        <v>240</v>
      </c>
      <c r="EN3410" s="5" t="s">
        <v>240</v>
      </c>
      <c r="EO3410" s="5" t="s">
        <v>240</v>
      </c>
      <c r="EP3410" s="5" t="s">
        <v>240</v>
      </c>
      <c r="EQ3410" s="5" t="s">
        <v>240</v>
      </c>
      <c r="ER3410" s="5" t="s">
        <v>240</v>
      </c>
      <c r="ES3410" s="5" t="s">
        <v>240</v>
      </c>
      <c r="ET3410" s="5" t="s">
        <v>240</v>
      </c>
      <c r="EU3410" s="5" t="s">
        <v>240</v>
      </c>
      <c r="EV3410" s="5" t="s">
        <v>240</v>
      </c>
      <c r="EW3410" s="5" t="s">
        <v>240</v>
      </c>
      <c r="EX3410" s="5" t="s">
        <v>240</v>
      </c>
      <c r="EY3410" s="5" t="s">
        <v>240</v>
      </c>
      <c r="EZ3410" s="5" t="s">
        <v>240</v>
      </c>
      <c r="FA3410" s="5" t="s">
        <v>240</v>
      </c>
      <c r="FB3410" s="5" t="s">
        <v>240</v>
      </c>
      <c r="FC3410" s="5" t="s">
        <v>240</v>
      </c>
      <c r="FD3410" s="5" t="s">
        <v>240</v>
      </c>
      <c r="FE3410" s="5" t="s">
        <v>240</v>
      </c>
      <c r="FF3410" s="5" t="s">
        <v>240</v>
      </c>
      <c r="FG3410" s="5" t="s">
        <v>240</v>
      </c>
      <c r="FH3410" s="5" t="s">
        <v>240</v>
      </c>
      <c r="FI3410" s="5" t="s">
        <v>240</v>
      </c>
      <c r="FJ3410" s="5" t="s">
        <v>240</v>
      </c>
      <c r="FK3410" s="5" t="s">
        <v>240</v>
      </c>
      <c r="FL3410" s="5" t="s">
        <v>240</v>
      </c>
      <c r="FM3410" s="5" t="s">
        <v>240</v>
      </c>
      <c r="FN3410" s="5" t="s">
        <v>240</v>
      </c>
      <c r="FO3410" s="5" t="s">
        <v>240</v>
      </c>
      <c r="FP3410" s="5" t="s">
        <v>240</v>
      </c>
      <c r="FQ3410" s="5" t="s">
        <v>240</v>
      </c>
      <c r="FR3410" s="5" t="s">
        <v>240</v>
      </c>
      <c r="FS3410" s="5" t="s">
        <v>240</v>
      </c>
      <c r="FT3410" s="5" t="s">
        <v>240</v>
      </c>
      <c r="FU3410" s="5" t="s">
        <v>240</v>
      </c>
      <c r="FV3410" s="5" t="s">
        <v>240</v>
      </c>
      <c r="FW3410" s="5" t="s">
        <v>240</v>
      </c>
      <c r="FX3410" s="5" t="s">
        <v>240</v>
      </c>
      <c r="FY3410" s="5" t="s">
        <v>240</v>
      </c>
      <c r="FZ3410" s="5" t="s">
        <v>240</v>
      </c>
      <c r="GA3410" s="5" t="s">
        <v>240</v>
      </c>
      <c r="GB3410" s="5" t="s">
        <v>240</v>
      </c>
      <c r="GC3410" s="5" t="s">
        <v>240</v>
      </c>
      <c r="GD3410" s="5" t="s">
        <v>240</v>
      </c>
      <c r="GE3410" s="5" t="s">
        <v>240</v>
      </c>
      <c r="GF3410" s="5" t="s">
        <v>240</v>
      </c>
      <c r="GG3410" s="5" t="s">
        <v>240</v>
      </c>
      <c r="GH3410" s="5" t="s">
        <v>240</v>
      </c>
      <c r="GI3410" s="5" t="s">
        <v>240</v>
      </c>
      <c r="GJ3410" s="5" t="s">
        <v>240</v>
      </c>
      <c r="GK3410" s="5" t="s">
        <v>240</v>
      </c>
      <c r="GL3410" s="5" t="s">
        <v>240</v>
      </c>
      <c r="GM3410" s="5" t="s">
        <v>240</v>
      </c>
      <c r="GN3410" s="5" t="s">
        <v>240</v>
      </c>
      <c r="GO3410" s="5" t="s">
        <v>240</v>
      </c>
      <c r="GP3410" s="5" t="s">
        <v>240</v>
      </c>
      <c r="GQ3410" s="5" t="s">
        <v>240</v>
      </c>
      <c r="GR3410" s="5" t="s">
        <v>240</v>
      </c>
      <c r="GS3410" s="5" t="s">
        <v>240</v>
      </c>
      <c r="GT3410" s="5" t="s">
        <v>240</v>
      </c>
      <c r="GU3410" s="5" t="s">
        <v>240</v>
      </c>
      <c r="GV3410" s="5" t="s">
        <v>240</v>
      </c>
      <c r="GW3410" s="5" t="s">
        <v>240</v>
      </c>
      <c r="GX3410" s="5" t="s">
        <v>240</v>
      </c>
      <c r="GY3410" s="5" t="s">
        <v>240</v>
      </c>
      <c r="GZ3410" s="5" t="s">
        <v>240</v>
      </c>
      <c r="HA3410" s="5" t="s">
        <v>240</v>
      </c>
      <c r="HB3410" s="5" t="s">
        <v>240</v>
      </c>
      <c r="HC3410" s="5" t="s">
        <v>240</v>
      </c>
      <c r="HD3410" s="5" t="s">
        <v>240</v>
      </c>
      <c r="HE3410" s="5" t="s">
        <v>240</v>
      </c>
      <c r="HF3410" s="5" t="s">
        <v>240</v>
      </c>
      <c r="HG3410" s="5" t="s">
        <v>240</v>
      </c>
      <c r="HH3410" s="5" t="s">
        <v>240</v>
      </c>
      <c r="HI3410" s="5" t="s">
        <v>240</v>
      </c>
      <c r="HJ3410" s="5" t="s">
        <v>240</v>
      </c>
      <c r="HK3410" s="5" t="s">
        <v>240</v>
      </c>
      <c r="HL3410" s="5" t="s">
        <v>240</v>
      </c>
      <c r="HM3410" s="5" t="s">
        <v>240</v>
      </c>
      <c r="HN3410" s="5" t="s">
        <v>240</v>
      </c>
      <c r="HO3410" s="5" t="s">
        <v>312</v>
      </c>
      <c r="HP3410" s="5" t="s">
        <v>240</v>
      </c>
      <c r="HQ3410" s="5" t="s">
        <v>240</v>
      </c>
      <c r="HR3410" s="5" t="s">
        <v>240</v>
      </c>
      <c r="HS3410" s="5" t="s">
        <v>240</v>
      </c>
      <c r="HT3410" s="5" t="s">
        <v>240</v>
      </c>
      <c r="HU3410" s="5" t="s">
        <v>240</v>
      </c>
      <c r="HV3410" s="5" t="s">
        <v>240</v>
      </c>
      <c r="HW3410" s="5" t="s">
        <v>240</v>
      </c>
      <c r="HX3410" s="5" t="s">
        <v>240</v>
      </c>
      <c r="HY3410" s="5" t="s">
        <v>240</v>
      </c>
      <c r="HZ3410" s="5" t="s">
        <v>240</v>
      </c>
      <c r="IA3410" s="5" t="s">
        <v>240</v>
      </c>
      <c r="IB3410" s="5" t="s">
        <v>240</v>
      </c>
      <c r="IC3410" s="5" t="s">
        <v>240</v>
      </c>
      <c r="ID3410" s="5" t="s">
        <v>240</v>
      </c>
      <c r="IE3410" s="5" t="s">
        <v>240</v>
      </c>
      <c r="IF3410" s="5" t="s">
        <v>240</v>
      </c>
    </row>
    <row r="3411" spans="1:240" x14ac:dyDescent="0.4">
      <c r="A3411" s="5">
        <v>8953</v>
      </c>
      <c r="B3411" s="5">
        <v>1</v>
      </c>
      <c r="C3411" s="5">
        <v>1</v>
      </c>
      <c r="D3411" s="5" t="s">
        <v>723</v>
      </c>
      <c r="E3411" s="5" t="s">
        <v>725</v>
      </c>
      <c r="F3411" s="5" t="s">
        <v>730</v>
      </c>
      <c r="G3411" s="5" t="s">
        <v>726</v>
      </c>
      <c r="H3411" s="6" t="s">
        <v>1949</v>
      </c>
      <c r="I3411" s="5" t="s">
        <v>990</v>
      </c>
      <c r="J3411" s="8">
        <f>62.48</f>
        <v>62.48</v>
      </c>
      <c r="K3411" s="5" t="s">
        <v>308</v>
      </c>
      <c r="L3411" s="7">
        <f>0</f>
        <v>0</v>
      </c>
      <c r="M3411" s="7">
        <f>0</f>
        <v>0</v>
      </c>
      <c r="N3411" s="5" t="s">
        <v>242</v>
      </c>
      <c r="O3411" s="5">
        <v>1</v>
      </c>
      <c r="P3411" s="5" t="s">
        <v>294</v>
      </c>
      <c r="Q3411" s="5" t="s">
        <v>3678</v>
      </c>
      <c r="R3411" s="5" t="s">
        <v>240</v>
      </c>
      <c r="S3411" s="5" t="s">
        <v>240</v>
      </c>
      <c r="T3411" s="5" t="s">
        <v>243</v>
      </c>
      <c r="U3411" s="5" t="s">
        <v>244</v>
      </c>
      <c r="V3411" s="5" t="s">
        <v>240</v>
      </c>
      <c r="W3411" s="5" t="s">
        <v>240</v>
      </c>
      <c r="X3411" s="5" t="s">
        <v>240</v>
      </c>
      <c r="Y3411" s="5" t="s">
        <v>240</v>
      </c>
      <c r="Z3411" s="6" t="s">
        <v>298</v>
      </c>
      <c r="AA3411" s="6" t="s">
        <v>240</v>
      </c>
      <c r="AB3411" s="6" t="s">
        <v>240</v>
      </c>
      <c r="AC3411" s="5" t="s">
        <v>240</v>
      </c>
      <c r="AD3411" s="6" t="s">
        <v>240</v>
      </c>
      <c r="AE3411" s="6" t="s">
        <v>299</v>
      </c>
      <c r="AF3411" s="5" t="s">
        <v>248</v>
      </c>
      <c r="AG3411" s="5" t="s">
        <v>249</v>
      </c>
      <c r="AH3411" s="5" t="s">
        <v>240</v>
      </c>
      <c r="AI3411" s="5" t="s">
        <v>240</v>
      </c>
      <c r="AJ3411" s="5" t="s">
        <v>240</v>
      </c>
      <c r="AK3411" s="5" t="s">
        <v>240</v>
      </c>
      <c r="AL3411" s="5" t="s">
        <v>240</v>
      </c>
      <c r="AM3411" s="5" t="s">
        <v>240</v>
      </c>
      <c r="AN3411" s="5" t="s">
        <v>240</v>
      </c>
      <c r="AO3411" s="5" t="s">
        <v>240</v>
      </c>
      <c r="AP3411" s="6" t="s">
        <v>240</v>
      </c>
      <c r="AQ3411" s="6" t="s">
        <v>240</v>
      </c>
      <c r="AR3411" s="6" t="s">
        <v>240</v>
      </c>
      <c r="AS3411" s="6" t="s">
        <v>240</v>
      </c>
      <c r="AT3411" s="5" t="s">
        <v>240</v>
      </c>
      <c r="AU3411" s="5" t="s">
        <v>729</v>
      </c>
      <c r="AV3411" s="5" t="s">
        <v>729</v>
      </c>
      <c r="AW3411" s="5" t="s">
        <v>251</v>
      </c>
      <c r="AX3411" s="5" t="s">
        <v>252</v>
      </c>
      <c r="AY3411" s="5" t="s">
        <v>253</v>
      </c>
      <c r="AZ3411" s="5" t="s">
        <v>240</v>
      </c>
      <c r="BA3411" s="5" t="s">
        <v>255</v>
      </c>
      <c r="BB3411" s="5" t="s">
        <v>731</v>
      </c>
      <c r="BD3411" s="5" t="s">
        <v>240</v>
      </c>
      <c r="BF3411" s="5" t="s">
        <v>732</v>
      </c>
      <c r="BG3411" s="6" t="s">
        <v>733</v>
      </c>
      <c r="BH3411" s="5" t="s">
        <v>734</v>
      </c>
      <c r="BI3411" s="5" t="s">
        <v>734</v>
      </c>
      <c r="BJ3411" s="5" t="s">
        <v>240</v>
      </c>
      <c r="BK3411" s="7">
        <f>1</f>
        <v>1</v>
      </c>
      <c r="BL3411" s="7">
        <f>1</f>
        <v>1</v>
      </c>
      <c r="BM3411" s="5" t="s">
        <v>258</v>
      </c>
      <c r="BN3411" s="5" t="s">
        <v>259</v>
      </c>
      <c r="BO3411" s="5" t="s">
        <v>240</v>
      </c>
      <c r="BP3411" s="5" t="s">
        <v>240</v>
      </c>
      <c r="BQ3411" s="5" t="s">
        <v>240</v>
      </c>
      <c r="BR3411" s="5" t="s">
        <v>240</v>
      </c>
      <c r="BS3411" s="5" t="s">
        <v>240</v>
      </c>
      <c r="BT3411" s="5" t="s">
        <v>240</v>
      </c>
      <c r="BU3411" s="5" t="s">
        <v>240</v>
      </c>
      <c r="BV3411" s="5" t="s">
        <v>240</v>
      </c>
      <c r="BW3411" s="6" t="s">
        <v>240</v>
      </c>
      <c r="BX3411" s="5" t="s">
        <v>240</v>
      </c>
      <c r="BY3411" s="5" t="s">
        <v>240</v>
      </c>
      <c r="BZ3411" s="5" t="s">
        <v>240</v>
      </c>
      <c r="CA3411" s="5" t="s">
        <v>259</v>
      </c>
      <c r="CB3411" s="5" t="s">
        <v>240</v>
      </c>
      <c r="CC3411" s="5" t="s">
        <v>240</v>
      </c>
      <c r="CD3411" s="5" t="s">
        <v>240</v>
      </c>
      <c r="CE3411" s="5" t="s">
        <v>240</v>
      </c>
      <c r="CF3411" s="5" t="s">
        <v>240</v>
      </c>
      <c r="CG3411" s="5" t="s">
        <v>304</v>
      </c>
      <c r="CH3411" s="5" t="s">
        <v>305</v>
      </c>
      <c r="CI3411" s="5" t="s">
        <v>240</v>
      </c>
      <c r="CK3411" s="5" t="s">
        <v>3681</v>
      </c>
      <c r="CL3411" s="6" t="s">
        <v>261</v>
      </c>
      <c r="CM3411" s="5" t="s">
        <v>262</v>
      </c>
      <c r="CN3411" s="5" t="s">
        <v>263</v>
      </c>
      <c r="CO3411" s="5" t="s">
        <v>264</v>
      </c>
      <c r="CP3411" s="5" t="s">
        <v>240</v>
      </c>
      <c r="CQ3411" s="5">
        <v>0</v>
      </c>
      <c r="CR3411" s="5" t="s">
        <v>735</v>
      </c>
      <c r="CS3411" s="5" t="s">
        <v>307</v>
      </c>
      <c r="CT3411" s="5" t="s">
        <v>307</v>
      </c>
      <c r="CU3411" s="5" t="s">
        <v>260</v>
      </c>
      <c r="CV3411" s="5" t="s">
        <v>612</v>
      </c>
      <c r="CW3411" s="8">
        <f>1</f>
        <v>1</v>
      </c>
      <c r="CX3411" s="7">
        <f>1</f>
        <v>1</v>
      </c>
      <c r="CY3411" s="7">
        <f>0</f>
        <v>0</v>
      </c>
      <c r="DA3411" s="7">
        <f>1</f>
        <v>1</v>
      </c>
      <c r="DB3411" s="7" t="s">
        <v>240</v>
      </c>
      <c r="DC3411" s="5" t="s">
        <v>240</v>
      </c>
      <c r="DD3411" s="5" t="s">
        <v>240</v>
      </c>
      <c r="DE3411" s="5" t="s">
        <v>240</v>
      </c>
      <c r="DF3411" s="5" t="s">
        <v>240</v>
      </c>
      <c r="DG3411" s="7">
        <f>0</f>
        <v>0</v>
      </c>
      <c r="DI3411" s="5" t="s">
        <v>240</v>
      </c>
      <c r="DJ3411" s="5" t="s">
        <v>240</v>
      </c>
      <c r="DK3411" s="5" t="s">
        <v>240</v>
      </c>
      <c r="DL3411" s="5" t="s">
        <v>240</v>
      </c>
      <c r="DM3411" s="5" t="s">
        <v>240</v>
      </c>
      <c r="DN3411" s="5" t="s">
        <v>240</v>
      </c>
      <c r="DO3411" s="7" t="s">
        <v>240</v>
      </c>
      <c r="DP3411" s="5" t="s">
        <v>240</v>
      </c>
      <c r="DQ3411" s="5" t="s">
        <v>240</v>
      </c>
      <c r="DR3411" s="5" t="s">
        <v>731</v>
      </c>
      <c r="DS3411" s="5" t="s">
        <v>731</v>
      </c>
      <c r="DT3411" s="5" t="s">
        <v>240</v>
      </c>
      <c r="DU3411" s="5" t="s">
        <v>240</v>
      </c>
      <c r="DV3411" s="5" t="s">
        <v>3683</v>
      </c>
      <c r="DW3411" s="5" t="s">
        <v>635</v>
      </c>
      <c r="DX3411" s="5" t="s">
        <v>240</v>
      </c>
      <c r="DY3411" s="5" t="s">
        <v>240</v>
      </c>
      <c r="DZ3411" s="5" t="s">
        <v>240</v>
      </c>
      <c r="EA3411" s="5" t="s">
        <v>240</v>
      </c>
      <c r="EB3411" s="5" t="s">
        <v>240</v>
      </c>
      <c r="EC3411" s="5" t="s">
        <v>240</v>
      </c>
      <c r="ED3411" s="5" t="s">
        <v>240</v>
      </c>
      <c r="EE3411" s="5" t="s">
        <v>240</v>
      </c>
      <c r="EF3411" s="5" t="s">
        <v>240</v>
      </c>
      <c r="EG3411" s="5" t="s">
        <v>240</v>
      </c>
      <c r="EH3411" s="5" t="s">
        <v>240</v>
      </c>
      <c r="EI3411" s="5" t="s">
        <v>240</v>
      </c>
      <c r="EJ3411" s="5" t="s">
        <v>240</v>
      </c>
      <c r="EK3411" s="5" t="s">
        <v>240</v>
      </c>
      <c r="EL3411" s="5" t="s">
        <v>240</v>
      </c>
      <c r="EM3411" s="5" t="s">
        <v>240</v>
      </c>
      <c r="EN3411" s="5" t="s">
        <v>240</v>
      </c>
      <c r="EO3411" s="5" t="s">
        <v>240</v>
      </c>
      <c r="EP3411" s="5" t="s">
        <v>240</v>
      </c>
      <c r="EQ3411" s="5" t="s">
        <v>240</v>
      </c>
      <c r="ER3411" s="5" t="s">
        <v>240</v>
      </c>
      <c r="ES3411" s="5" t="s">
        <v>240</v>
      </c>
      <c r="ET3411" s="5" t="s">
        <v>240</v>
      </c>
      <c r="EU3411" s="5" t="s">
        <v>240</v>
      </c>
      <c r="EV3411" s="5" t="s">
        <v>240</v>
      </c>
      <c r="EW3411" s="5" t="s">
        <v>240</v>
      </c>
      <c r="EX3411" s="5" t="s">
        <v>240</v>
      </c>
      <c r="EY3411" s="5" t="s">
        <v>240</v>
      </c>
      <c r="EZ3411" s="5" t="s">
        <v>240</v>
      </c>
      <c r="FA3411" s="5" t="s">
        <v>240</v>
      </c>
      <c r="FB3411" s="5" t="s">
        <v>240</v>
      </c>
      <c r="FC3411" s="5" t="s">
        <v>240</v>
      </c>
      <c r="FD3411" s="5" t="s">
        <v>240</v>
      </c>
      <c r="FE3411" s="5" t="s">
        <v>240</v>
      </c>
      <c r="FF3411" s="5" t="s">
        <v>240</v>
      </c>
      <c r="FG3411" s="5" t="s">
        <v>240</v>
      </c>
      <c r="FH3411" s="5" t="s">
        <v>240</v>
      </c>
      <c r="FI3411" s="5" t="s">
        <v>240</v>
      </c>
      <c r="FJ3411" s="5" t="s">
        <v>240</v>
      </c>
      <c r="FK3411" s="5" t="s">
        <v>240</v>
      </c>
      <c r="FL3411" s="5" t="s">
        <v>240</v>
      </c>
      <c r="FM3411" s="5" t="s">
        <v>240</v>
      </c>
      <c r="FN3411" s="5" t="s">
        <v>240</v>
      </c>
      <c r="FO3411" s="5" t="s">
        <v>240</v>
      </c>
      <c r="FP3411" s="5" t="s">
        <v>240</v>
      </c>
      <c r="FQ3411" s="5" t="s">
        <v>240</v>
      </c>
      <c r="FR3411" s="5" t="s">
        <v>240</v>
      </c>
      <c r="FS3411" s="5" t="s">
        <v>240</v>
      </c>
      <c r="FT3411" s="5" t="s">
        <v>240</v>
      </c>
      <c r="FU3411" s="5" t="s">
        <v>240</v>
      </c>
      <c r="FV3411" s="5" t="s">
        <v>240</v>
      </c>
      <c r="FW3411" s="5" t="s">
        <v>240</v>
      </c>
      <c r="FX3411" s="5" t="s">
        <v>240</v>
      </c>
      <c r="FY3411" s="5" t="s">
        <v>240</v>
      </c>
      <c r="FZ3411" s="5" t="s">
        <v>240</v>
      </c>
      <c r="GA3411" s="5" t="s">
        <v>240</v>
      </c>
      <c r="GB3411" s="5" t="s">
        <v>240</v>
      </c>
      <c r="GC3411" s="5" t="s">
        <v>240</v>
      </c>
      <c r="GD3411" s="5" t="s">
        <v>240</v>
      </c>
      <c r="GE3411" s="5" t="s">
        <v>240</v>
      </c>
      <c r="GF3411" s="5" t="s">
        <v>240</v>
      </c>
      <c r="GG3411" s="5" t="s">
        <v>240</v>
      </c>
      <c r="GH3411" s="5" t="s">
        <v>240</v>
      </c>
      <c r="GI3411" s="5" t="s">
        <v>240</v>
      </c>
      <c r="GJ3411" s="5" t="s">
        <v>240</v>
      </c>
      <c r="GK3411" s="5" t="s">
        <v>240</v>
      </c>
      <c r="GL3411" s="5" t="s">
        <v>240</v>
      </c>
      <c r="GM3411" s="5" t="s">
        <v>240</v>
      </c>
      <c r="GN3411" s="5" t="s">
        <v>240</v>
      </c>
      <c r="GO3411" s="5" t="s">
        <v>240</v>
      </c>
      <c r="GP3411" s="5" t="s">
        <v>240</v>
      </c>
      <c r="GQ3411" s="5" t="s">
        <v>240</v>
      </c>
      <c r="GR3411" s="5" t="s">
        <v>240</v>
      </c>
      <c r="GS3411" s="5" t="s">
        <v>240</v>
      </c>
      <c r="GT3411" s="5" t="s">
        <v>240</v>
      </c>
      <c r="GU3411" s="5" t="s">
        <v>240</v>
      </c>
      <c r="GV3411" s="5" t="s">
        <v>240</v>
      </c>
      <c r="GW3411" s="5" t="s">
        <v>240</v>
      </c>
      <c r="GX3411" s="5" t="s">
        <v>240</v>
      </c>
      <c r="GY3411" s="5" t="s">
        <v>240</v>
      </c>
      <c r="GZ3411" s="5" t="s">
        <v>240</v>
      </c>
      <c r="HA3411" s="5" t="s">
        <v>240</v>
      </c>
      <c r="HB3411" s="5" t="s">
        <v>240</v>
      </c>
      <c r="HC3411" s="5" t="s">
        <v>240</v>
      </c>
      <c r="HD3411" s="5" t="s">
        <v>240</v>
      </c>
      <c r="HE3411" s="5" t="s">
        <v>240</v>
      </c>
      <c r="HF3411" s="5" t="s">
        <v>240</v>
      </c>
      <c r="HG3411" s="5" t="s">
        <v>240</v>
      </c>
      <c r="HH3411" s="5" t="s">
        <v>240</v>
      </c>
      <c r="HI3411" s="5" t="s">
        <v>240</v>
      </c>
      <c r="HJ3411" s="5" t="s">
        <v>240</v>
      </c>
      <c r="HK3411" s="5" t="s">
        <v>240</v>
      </c>
      <c r="HL3411" s="5" t="s">
        <v>240</v>
      </c>
      <c r="HM3411" s="5" t="s">
        <v>240</v>
      </c>
      <c r="HN3411" s="5" t="s">
        <v>240</v>
      </c>
      <c r="HO3411" s="5" t="s">
        <v>312</v>
      </c>
      <c r="HP3411" s="5" t="s">
        <v>240</v>
      </c>
      <c r="HQ3411" s="5" t="s">
        <v>240</v>
      </c>
      <c r="HR3411" s="5" t="s">
        <v>240</v>
      </c>
      <c r="HS3411" s="5" t="s">
        <v>240</v>
      </c>
      <c r="HT3411" s="5" t="s">
        <v>240</v>
      </c>
      <c r="HU3411" s="5" t="s">
        <v>240</v>
      </c>
      <c r="HV3411" s="5" t="s">
        <v>240</v>
      </c>
      <c r="HW3411" s="5" t="s">
        <v>240</v>
      </c>
      <c r="HX3411" s="5" t="s">
        <v>240</v>
      </c>
      <c r="HY3411" s="5" t="s">
        <v>240</v>
      </c>
      <c r="HZ3411" s="5" t="s">
        <v>240</v>
      </c>
      <c r="IA3411" s="5" t="s">
        <v>240</v>
      </c>
      <c r="IB3411" s="5" t="s">
        <v>240</v>
      </c>
      <c r="IC3411" s="5" t="s">
        <v>240</v>
      </c>
      <c r="ID3411" s="5" t="s">
        <v>240</v>
      </c>
      <c r="IE3411" s="5" t="s">
        <v>240</v>
      </c>
      <c r="IF3411" s="5" t="s">
        <v>240</v>
      </c>
    </row>
    <row r="3412" spans="1:240" x14ac:dyDescent="0.4">
      <c r="A3412" s="5">
        <v>8954</v>
      </c>
      <c r="B3412" s="5">
        <v>1</v>
      </c>
      <c r="C3412" s="5">
        <v>1</v>
      </c>
      <c r="D3412" s="5" t="s">
        <v>723</v>
      </c>
      <c r="E3412" s="5" t="s">
        <v>725</v>
      </c>
      <c r="F3412" s="5" t="s">
        <v>730</v>
      </c>
      <c r="G3412" s="5" t="s">
        <v>726</v>
      </c>
      <c r="H3412" s="6" t="s">
        <v>2129</v>
      </c>
      <c r="I3412" s="5" t="s">
        <v>990</v>
      </c>
      <c r="J3412" s="8">
        <f>165</f>
        <v>165</v>
      </c>
      <c r="K3412" s="5" t="s">
        <v>308</v>
      </c>
      <c r="L3412" s="7">
        <f>0</f>
        <v>0</v>
      </c>
      <c r="M3412" s="7">
        <f>0</f>
        <v>0</v>
      </c>
      <c r="N3412" s="5" t="s">
        <v>242</v>
      </c>
      <c r="O3412" s="5">
        <v>1</v>
      </c>
      <c r="P3412" s="5" t="s">
        <v>294</v>
      </c>
      <c r="Q3412" s="5" t="s">
        <v>3678</v>
      </c>
      <c r="R3412" s="5" t="s">
        <v>240</v>
      </c>
      <c r="S3412" s="5" t="s">
        <v>240</v>
      </c>
      <c r="T3412" s="5" t="s">
        <v>243</v>
      </c>
      <c r="U3412" s="5" t="s">
        <v>244</v>
      </c>
      <c r="V3412" s="5" t="s">
        <v>240</v>
      </c>
      <c r="W3412" s="5" t="s">
        <v>240</v>
      </c>
      <c r="X3412" s="5" t="s">
        <v>240</v>
      </c>
      <c r="Y3412" s="5" t="s">
        <v>240</v>
      </c>
      <c r="Z3412" s="6" t="s">
        <v>298</v>
      </c>
      <c r="AA3412" s="6" t="s">
        <v>240</v>
      </c>
      <c r="AB3412" s="6" t="s">
        <v>240</v>
      </c>
      <c r="AC3412" s="5" t="s">
        <v>240</v>
      </c>
      <c r="AD3412" s="6" t="s">
        <v>240</v>
      </c>
      <c r="AE3412" s="6" t="s">
        <v>299</v>
      </c>
      <c r="AF3412" s="5" t="s">
        <v>248</v>
      </c>
      <c r="AG3412" s="5" t="s">
        <v>249</v>
      </c>
      <c r="AH3412" s="5" t="s">
        <v>240</v>
      </c>
      <c r="AI3412" s="5" t="s">
        <v>240</v>
      </c>
      <c r="AJ3412" s="5" t="s">
        <v>240</v>
      </c>
      <c r="AK3412" s="5" t="s">
        <v>240</v>
      </c>
      <c r="AL3412" s="5" t="s">
        <v>240</v>
      </c>
      <c r="AM3412" s="5" t="s">
        <v>240</v>
      </c>
      <c r="AN3412" s="5" t="s">
        <v>240</v>
      </c>
      <c r="AO3412" s="5" t="s">
        <v>240</v>
      </c>
      <c r="AP3412" s="6" t="s">
        <v>240</v>
      </c>
      <c r="AQ3412" s="6" t="s">
        <v>240</v>
      </c>
      <c r="AR3412" s="6" t="s">
        <v>240</v>
      </c>
      <c r="AS3412" s="6" t="s">
        <v>240</v>
      </c>
      <c r="AT3412" s="5" t="s">
        <v>240</v>
      </c>
      <c r="AU3412" s="5" t="s">
        <v>729</v>
      </c>
      <c r="AV3412" s="5" t="s">
        <v>729</v>
      </c>
      <c r="AW3412" s="5" t="s">
        <v>251</v>
      </c>
      <c r="AX3412" s="5" t="s">
        <v>252</v>
      </c>
      <c r="AY3412" s="5" t="s">
        <v>253</v>
      </c>
      <c r="AZ3412" s="5" t="s">
        <v>240</v>
      </c>
      <c r="BA3412" s="5" t="s">
        <v>255</v>
      </c>
      <c r="BB3412" s="5" t="s">
        <v>731</v>
      </c>
      <c r="BD3412" s="5" t="s">
        <v>240</v>
      </c>
      <c r="BF3412" s="5" t="s">
        <v>732</v>
      </c>
      <c r="BG3412" s="6" t="s">
        <v>733</v>
      </c>
      <c r="BH3412" s="5" t="s">
        <v>734</v>
      </c>
      <c r="BI3412" s="5" t="s">
        <v>734</v>
      </c>
      <c r="BJ3412" s="5" t="s">
        <v>240</v>
      </c>
      <c r="BK3412" s="7">
        <f>1</f>
        <v>1</v>
      </c>
      <c r="BL3412" s="7">
        <f>1</f>
        <v>1</v>
      </c>
      <c r="BM3412" s="5" t="s">
        <v>258</v>
      </c>
      <c r="BN3412" s="5" t="s">
        <v>259</v>
      </c>
      <c r="BO3412" s="5" t="s">
        <v>240</v>
      </c>
      <c r="BP3412" s="5" t="s">
        <v>240</v>
      </c>
      <c r="BQ3412" s="5" t="s">
        <v>240</v>
      </c>
      <c r="BR3412" s="5" t="s">
        <v>240</v>
      </c>
      <c r="BS3412" s="5" t="s">
        <v>240</v>
      </c>
      <c r="BT3412" s="5" t="s">
        <v>240</v>
      </c>
      <c r="BU3412" s="5" t="s">
        <v>240</v>
      </c>
      <c r="BV3412" s="5" t="s">
        <v>240</v>
      </c>
      <c r="BW3412" s="6" t="s">
        <v>240</v>
      </c>
      <c r="BX3412" s="5" t="s">
        <v>240</v>
      </c>
      <c r="BY3412" s="5" t="s">
        <v>240</v>
      </c>
      <c r="BZ3412" s="5" t="s">
        <v>240</v>
      </c>
      <c r="CA3412" s="5" t="s">
        <v>259</v>
      </c>
      <c r="CB3412" s="5" t="s">
        <v>240</v>
      </c>
      <c r="CC3412" s="5" t="s">
        <v>240</v>
      </c>
      <c r="CD3412" s="5" t="s">
        <v>240</v>
      </c>
      <c r="CE3412" s="5" t="s">
        <v>240</v>
      </c>
      <c r="CF3412" s="5" t="s">
        <v>240</v>
      </c>
      <c r="CG3412" s="5" t="s">
        <v>304</v>
      </c>
      <c r="CH3412" s="5" t="s">
        <v>305</v>
      </c>
      <c r="CI3412" s="5" t="s">
        <v>240</v>
      </c>
      <c r="CK3412" s="5" t="s">
        <v>3681</v>
      </c>
      <c r="CL3412" s="6" t="s">
        <v>261</v>
      </c>
      <c r="CM3412" s="5" t="s">
        <v>262</v>
      </c>
      <c r="CN3412" s="5" t="s">
        <v>263</v>
      </c>
      <c r="CO3412" s="5" t="s">
        <v>264</v>
      </c>
      <c r="CP3412" s="5" t="s">
        <v>240</v>
      </c>
      <c r="CQ3412" s="5">
        <v>0</v>
      </c>
      <c r="CR3412" s="5" t="s">
        <v>735</v>
      </c>
      <c r="CS3412" s="5" t="s">
        <v>307</v>
      </c>
      <c r="CT3412" s="5" t="s">
        <v>307</v>
      </c>
      <c r="CU3412" s="5" t="s">
        <v>260</v>
      </c>
      <c r="CV3412" s="5" t="s">
        <v>612</v>
      </c>
      <c r="CW3412" s="8">
        <f>1</f>
        <v>1</v>
      </c>
      <c r="CX3412" s="7">
        <f>1</f>
        <v>1</v>
      </c>
      <c r="CY3412" s="7">
        <f>0</f>
        <v>0</v>
      </c>
      <c r="DA3412" s="7">
        <f>1</f>
        <v>1</v>
      </c>
      <c r="DB3412" s="7" t="s">
        <v>240</v>
      </c>
      <c r="DC3412" s="5" t="s">
        <v>240</v>
      </c>
      <c r="DD3412" s="5" t="s">
        <v>240</v>
      </c>
      <c r="DE3412" s="5" t="s">
        <v>240</v>
      </c>
      <c r="DF3412" s="5" t="s">
        <v>240</v>
      </c>
      <c r="DG3412" s="7">
        <f>0</f>
        <v>0</v>
      </c>
      <c r="DI3412" s="5" t="s">
        <v>240</v>
      </c>
      <c r="DJ3412" s="5" t="s">
        <v>240</v>
      </c>
      <c r="DK3412" s="5" t="s">
        <v>240</v>
      </c>
      <c r="DL3412" s="5" t="s">
        <v>240</v>
      </c>
      <c r="DM3412" s="5" t="s">
        <v>240</v>
      </c>
      <c r="DN3412" s="5" t="s">
        <v>240</v>
      </c>
      <c r="DO3412" s="7" t="s">
        <v>240</v>
      </c>
      <c r="DP3412" s="5" t="s">
        <v>240</v>
      </c>
      <c r="DQ3412" s="5" t="s">
        <v>240</v>
      </c>
      <c r="DR3412" s="5" t="s">
        <v>731</v>
      </c>
      <c r="DS3412" s="5" t="s">
        <v>731</v>
      </c>
      <c r="DT3412" s="5" t="s">
        <v>240</v>
      </c>
      <c r="DU3412" s="5" t="s">
        <v>240</v>
      </c>
      <c r="DV3412" s="5" t="s">
        <v>5063</v>
      </c>
      <c r="DW3412" s="5" t="s">
        <v>1214</v>
      </c>
      <c r="DX3412" s="5" t="s">
        <v>240</v>
      </c>
      <c r="DY3412" s="5" t="s">
        <v>240</v>
      </c>
      <c r="DZ3412" s="5" t="s">
        <v>240</v>
      </c>
      <c r="EA3412" s="5" t="s">
        <v>240</v>
      </c>
      <c r="EB3412" s="5" t="s">
        <v>240</v>
      </c>
      <c r="EC3412" s="5" t="s">
        <v>240</v>
      </c>
      <c r="ED3412" s="5" t="s">
        <v>240</v>
      </c>
      <c r="EE3412" s="5" t="s">
        <v>240</v>
      </c>
      <c r="EF3412" s="5" t="s">
        <v>240</v>
      </c>
      <c r="EG3412" s="5" t="s">
        <v>240</v>
      </c>
      <c r="EH3412" s="5" t="s">
        <v>240</v>
      </c>
      <c r="EI3412" s="5" t="s">
        <v>240</v>
      </c>
      <c r="EJ3412" s="5" t="s">
        <v>240</v>
      </c>
      <c r="EK3412" s="5" t="s">
        <v>240</v>
      </c>
      <c r="EL3412" s="5" t="s">
        <v>240</v>
      </c>
      <c r="EM3412" s="5" t="s">
        <v>240</v>
      </c>
      <c r="EN3412" s="5" t="s">
        <v>240</v>
      </c>
      <c r="EO3412" s="5" t="s">
        <v>240</v>
      </c>
      <c r="EP3412" s="5" t="s">
        <v>240</v>
      </c>
      <c r="EQ3412" s="5" t="s">
        <v>240</v>
      </c>
      <c r="ER3412" s="5" t="s">
        <v>240</v>
      </c>
      <c r="ES3412" s="5" t="s">
        <v>240</v>
      </c>
      <c r="ET3412" s="5" t="s">
        <v>240</v>
      </c>
      <c r="EU3412" s="5" t="s">
        <v>240</v>
      </c>
      <c r="EV3412" s="5" t="s">
        <v>240</v>
      </c>
      <c r="EW3412" s="5" t="s">
        <v>240</v>
      </c>
      <c r="EX3412" s="5" t="s">
        <v>240</v>
      </c>
      <c r="EY3412" s="5" t="s">
        <v>240</v>
      </c>
      <c r="EZ3412" s="5" t="s">
        <v>240</v>
      </c>
      <c r="FA3412" s="5" t="s">
        <v>240</v>
      </c>
      <c r="FB3412" s="5" t="s">
        <v>240</v>
      </c>
      <c r="FC3412" s="5" t="s">
        <v>240</v>
      </c>
      <c r="FD3412" s="5" t="s">
        <v>240</v>
      </c>
      <c r="FE3412" s="5" t="s">
        <v>240</v>
      </c>
      <c r="FF3412" s="5" t="s">
        <v>240</v>
      </c>
      <c r="FG3412" s="5" t="s">
        <v>240</v>
      </c>
      <c r="FH3412" s="5" t="s">
        <v>240</v>
      </c>
      <c r="FI3412" s="5" t="s">
        <v>240</v>
      </c>
      <c r="FJ3412" s="5" t="s">
        <v>240</v>
      </c>
      <c r="FK3412" s="5" t="s">
        <v>240</v>
      </c>
      <c r="FL3412" s="5" t="s">
        <v>240</v>
      </c>
      <c r="FM3412" s="5" t="s">
        <v>240</v>
      </c>
      <c r="FN3412" s="5" t="s">
        <v>240</v>
      </c>
      <c r="FO3412" s="5" t="s">
        <v>240</v>
      </c>
      <c r="FP3412" s="5" t="s">
        <v>240</v>
      </c>
      <c r="FQ3412" s="5" t="s">
        <v>240</v>
      </c>
      <c r="FR3412" s="5" t="s">
        <v>240</v>
      </c>
      <c r="FS3412" s="5" t="s">
        <v>240</v>
      </c>
      <c r="FT3412" s="5" t="s">
        <v>240</v>
      </c>
      <c r="FU3412" s="5" t="s">
        <v>240</v>
      </c>
      <c r="FV3412" s="5" t="s">
        <v>240</v>
      </c>
      <c r="FW3412" s="5" t="s">
        <v>240</v>
      </c>
      <c r="FX3412" s="5" t="s">
        <v>240</v>
      </c>
      <c r="FY3412" s="5" t="s">
        <v>240</v>
      </c>
      <c r="FZ3412" s="5" t="s">
        <v>240</v>
      </c>
      <c r="GA3412" s="5" t="s">
        <v>240</v>
      </c>
      <c r="GB3412" s="5" t="s">
        <v>240</v>
      </c>
      <c r="GC3412" s="5" t="s">
        <v>240</v>
      </c>
      <c r="GD3412" s="5" t="s">
        <v>240</v>
      </c>
      <c r="GE3412" s="5" t="s">
        <v>240</v>
      </c>
      <c r="GF3412" s="5" t="s">
        <v>240</v>
      </c>
      <c r="GG3412" s="5" t="s">
        <v>240</v>
      </c>
      <c r="GH3412" s="5" t="s">
        <v>240</v>
      </c>
      <c r="GI3412" s="5" t="s">
        <v>240</v>
      </c>
      <c r="GJ3412" s="5" t="s">
        <v>240</v>
      </c>
      <c r="GK3412" s="5" t="s">
        <v>240</v>
      </c>
      <c r="GL3412" s="5" t="s">
        <v>240</v>
      </c>
      <c r="GM3412" s="5" t="s">
        <v>240</v>
      </c>
      <c r="GN3412" s="5" t="s">
        <v>240</v>
      </c>
      <c r="GO3412" s="5" t="s">
        <v>240</v>
      </c>
      <c r="GP3412" s="5" t="s">
        <v>240</v>
      </c>
      <c r="GQ3412" s="5" t="s">
        <v>240</v>
      </c>
      <c r="GR3412" s="5" t="s">
        <v>240</v>
      </c>
      <c r="GS3412" s="5" t="s">
        <v>240</v>
      </c>
      <c r="GT3412" s="5" t="s">
        <v>240</v>
      </c>
      <c r="GU3412" s="5" t="s">
        <v>240</v>
      </c>
      <c r="GV3412" s="5" t="s">
        <v>240</v>
      </c>
      <c r="GW3412" s="5" t="s">
        <v>240</v>
      </c>
      <c r="GX3412" s="5" t="s">
        <v>240</v>
      </c>
      <c r="GY3412" s="5" t="s">
        <v>240</v>
      </c>
      <c r="GZ3412" s="5" t="s">
        <v>240</v>
      </c>
      <c r="HA3412" s="5" t="s">
        <v>240</v>
      </c>
      <c r="HB3412" s="5" t="s">
        <v>240</v>
      </c>
      <c r="HC3412" s="5" t="s">
        <v>240</v>
      </c>
      <c r="HD3412" s="5" t="s">
        <v>240</v>
      </c>
      <c r="HE3412" s="5" t="s">
        <v>240</v>
      </c>
      <c r="HF3412" s="5" t="s">
        <v>240</v>
      </c>
      <c r="HG3412" s="5" t="s">
        <v>240</v>
      </c>
      <c r="HH3412" s="5" t="s">
        <v>240</v>
      </c>
      <c r="HI3412" s="5" t="s">
        <v>240</v>
      </c>
      <c r="HJ3412" s="5" t="s">
        <v>240</v>
      </c>
      <c r="HK3412" s="5" t="s">
        <v>240</v>
      </c>
      <c r="HL3412" s="5" t="s">
        <v>240</v>
      </c>
      <c r="HM3412" s="5" t="s">
        <v>240</v>
      </c>
      <c r="HN3412" s="5" t="s">
        <v>240</v>
      </c>
      <c r="HO3412" s="5" t="s">
        <v>312</v>
      </c>
      <c r="HP3412" s="5" t="s">
        <v>240</v>
      </c>
      <c r="HQ3412" s="5" t="s">
        <v>240</v>
      </c>
      <c r="HR3412" s="5" t="s">
        <v>240</v>
      </c>
      <c r="HS3412" s="5" t="s">
        <v>240</v>
      </c>
      <c r="HT3412" s="5" t="s">
        <v>240</v>
      </c>
      <c r="HU3412" s="5" t="s">
        <v>240</v>
      </c>
      <c r="HV3412" s="5" t="s">
        <v>240</v>
      </c>
      <c r="HW3412" s="5" t="s">
        <v>240</v>
      </c>
      <c r="HX3412" s="5" t="s">
        <v>240</v>
      </c>
      <c r="HY3412" s="5" t="s">
        <v>240</v>
      </c>
      <c r="HZ3412" s="5" t="s">
        <v>240</v>
      </c>
      <c r="IA3412" s="5" t="s">
        <v>240</v>
      </c>
      <c r="IB3412" s="5" t="s">
        <v>240</v>
      </c>
      <c r="IC3412" s="5" t="s">
        <v>240</v>
      </c>
      <c r="ID3412" s="5" t="s">
        <v>240</v>
      </c>
      <c r="IE3412" s="5" t="s">
        <v>240</v>
      </c>
      <c r="IF3412" s="5" t="s">
        <v>240</v>
      </c>
    </row>
    <row r="3413" spans="1:240" x14ac:dyDescent="0.4">
      <c r="A3413" s="5">
        <v>8955</v>
      </c>
      <c r="B3413" s="5">
        <v>1</v>
      </c>
      <c r="C3413" s="5">
        <v>1</v>
      </c>
      <c r="D3413" s="5" t="s">
        <v>723</v>
      </c>
      <c r="E3413" s="5" t="s">
        <v>725</v>
      </c>
      <c r="F3413" s="5" t="s">
        <v>730</v>
      </c>
      <c r="G3413" s="5" t="s">
        <v>726</v>
      </c>
      <c r="H3413" s="6" t="s">
        <v>2147</v>
      </c>
      <c r="I3413" s="5" t="s">
        <v>990</v>
      </c>
      <c r="J3413" s="8">
        <f>380</f>
        <v>380</v>
      </c>
      <c r="K3413" s="5" t="s">
        <v>308</v>
      </c>
      <c r="L3413" s="7">
        <f>0</f>
        <v>0</v>
      </c>
      <c r="M3413" s="7">
        <f>0</f>
        <v>0</v>
      </c>
      <c r="N3413" s="5" t="s">
        <v>242</v>
      </c>
      <c r="O3413" s="5">
        <v>1</v>
      </c>
      <c r="P3413" s="5" t="s">
        <v>294</v>
      </c>
      <c r="Q3413" s="5" t="s">
        <v>3678</v>
      </c>
      <c r="R3413" s="5" t="s">
        <v>240</v>
      </c>
      <c r="S3413" s="5" t="s">
        <v>240</v>
      </c>
      <c r="T3413" s="5" t="s">
        <v>243</v>
      </c>
      <c r="U3413" s="5" t="s">
        <v>244</v>
      </c>
      <c r="V3413" s="5" t="s">
        <v>240</v>
      </c>
      <c r="W3413" s="5" t="s">
        <v>240</v>
      </c>
      <c r="X3413" s="5" t="s">
        <v>240</v>
      </c>
      <c r="Y3413" s="5" t="s">
        <v>240</v>
      </c>
      <c r="Z3413" s="6" t="s">
        <v>298</v>
      </c>
      <c r="AA3413" s="6" t="s">
        <v>240</v>
      </c>
      <c r="AB3413" s="6" t="s">
        <v>240</v>
      </c>
      <c r="AC3413" s="5" t="s">
        <v>240</v>
      </c>
      <c r="AD3413" s="6" t="s">
        <v>240</v>
      </c>
      <c r="AE3413" s="6" t="s">
        <v>299</v>
      </c>
      <c r="AF3413" s="5" t="s">
        <v>248</v>
      </c>
      <c r="AG3413" s="5" t="s">
        <v>249</v>
      </c>
      <c r="AH3413" s="5" t="s">
        <v>240</v>
      </c>
      <c r="AI3413" s="5" t="s">
        <v>240</v>
      </c>
      <c r="AJ3413" s="5" t="s">
        <v>240</v>
      </c>
      <c r="AK3413" s="5" t="s">
        <v>240</v>
      </c>
      <c r="AL3413" s="5" t="s">
        <v>240</v>
      </c>
      <c r="AM3413" s="5" t="s">
        <v>240</v>
      </c>
      <c r="AN3413" s="5" t="s">
        <v>240</v>
      </c>
      <c r="AO3413" s="5" t="s">
        <v>240</v>
      </c>
      <c r="AP3413" s="6" t="s">
        <v>240</v>
      </c>
      <c r="AQ3413" s="6" t="s">
        <v>240</v>
      </c>
      <c r="AR3413" s="6" t="s">
        <v>240</v>
      </c>
      <c r="AS3413" s="6" t="s">
        <v>240</v>
      </c>
      <c r="AT3413" s="5" t="s">
        <v>240</v>
      </c>
      <c r="AU3413" s="5" t="s">
        <v>729</v>
      </c>
      <c r="AV3413" s="5" t="s">
        <v>729</v>
      </c>
      <c r="AW3413" s="5" t="s">
        <v>251</v>
      </c>
      <c r="AX3413" s="5" t="s">
        <v>252</v>
      </c>
      <c r="AY3413" s="5" t="s">
        <v>253</v>
      </c>
      <c r="AZ3413" s="5" t="s">
        <v>240</v>
      </c>
      <c r="BA3413" s="5" t="s">
        <v>255</v>
      </c>
      <c r="BB3413" s="5" t="s">
        <v>731</v>
      </c>
      <c r="BD3413" s="5" t="s">
        <v>240</v>
      </c>
      <c r="BF3413" s="5" t="s">
        <v>732</v>
      </c>
      <c r="BG3413" s="6" t="s">
        <v>733</v>
      </c>
      <c r="BH3413" s="5" t="s">
        <v>734</v>
      </c>
      <c r="BI3413" s="5" t="s">
        <v>734</v>
      </c>
      <c r="BJ3413" s="5" t="s">
        <v>240</v>
      </c>
      <c r="BK3413" s="7">
        <f>1</f>
        <v>1</v>
      </c>
      <c r="BL3413" s="7">
        <f>1</f>
        <v>1</v>
      </c>
      <c r="BM3413" s="5" t="s">
        <v>258</v>
      </c>
      <c r="BN3413" s="5" t="s">
        <v>259</v>
      </c>
      <c r="BO3413" s="5" t="s">
        <v>240</v>
      </c>
      <c r="BP3413" s="5" t="s">
        <v>240</v>
      </c>
      <c r="BQ3413" s="5" t="s">
        <v>240</v>
      </c>
      <c r="BR3413" s="5" t="s">
        <v>240</v>
      </c>
      <c r="BS3413" s="5" t="s">
        <v>240</v>
      </c>
      <c r="BT3413" s="5" t="s">
        <v>240</v>
      </c>
      <c r="BU3413" s="5" t="s">
        <v>240</v>
      </c>
      <c r="BV3413" s="5" t="s">
        <v>240</v>
      </c>
      <c r="BW3413" s="6" t="s">
        <v>240</v>
      </c>
      <c r="BX3413" s="5" t="s">
        <v>240</v>
      </c>
      <c r="BY3413" s="5" t="s">
        <v>240</v>
      </c>
      <c r="BZ3413" s="5" t="s">
        <v>240</v>
      </c>
      <c r="CA3413" s="5" t="s">
        <v>259</v>
      </c>
      <c r="CB3413" s="5" t="s">
        <v>240</v>
      </c>
      <c r="CC3413" s="5" t="s">
        <v>240</v>
      </c>
      <c r="CD3413" s="5" t="s">
        <v>240</v>
      </c>
      <c r="CE3413" s="5" t="s">
        <v>240</v>
      </c>
      <c r="CF3413" s="5" t="s">
        <v>240</v>
      </c>
      <c r="CG3413" s="5" t="s">
        <v>304</v>
      </c>
      <c r="CH3413" s="5" t="s">
        <v>305</v>
      </c>
      <c r="CI3413" s="5" t="s">
        <v>240</v>
      </c>
      <c r="CK3413" s="5" t="s">
        <v>3681</v>
      </c>
      <c r="CL3413" s="6" t="s">
        <v>261</v>
      </c>
      <c r="CM3413" s="5" t="s">
        <v>262</v>
      </c>
      <c r="CN3413" s="5" t="s">
        <v>263</v>
      </c>
      <c r="CO3413" s="5" t="s">
        <v>264</v>
      </c>
      <c r="CP3413" s="5" t="s">
        <v>240</v>
      </c>
      <c r="CQ3413" s="5">
        <v>0</v>
      </c>
      <c r="CR3413" s="5" t="s">
        <v>735</v>
      </c>
      <c r="CS3413" s="5" t="s">
        <v>307</v>
      </c>
      <c r="CT3413" s="5" t="s">
        <v>307</v>
      </c>
      <c r="CU3413" s="5" t="s">
        <v>260</v>
      </c>
      <c r="CV3413" s="5" t="s">
        <v>612</v>
      </c>
      <c r="CW3413" s="8">
        <f>1</f>
        <v>1</v>
      </c>
      <c r="CX3413" s="7">
        <f>1</f>
        <v>1</v>
      </c>
      <c r="CY3413" s="7">
        <f>0</f>
        <v>0</v>
      </c>
      <c r="DA3413" s="7">
        <f>1</f>
        <v>1</v>
      </c>
      <c r="DB3413" s="7" t="s">
        <v>240</v>
      </c>
      <c r="DC3413" s="5" t="s">
        <v>240</v>
      </c>
      <c r="DD3413" s="5" t="s">
        <v>240</v>
      </c>
      <c r="DE3413" s="5" t="s">
        <v>240</v>
      </c>
      <c r="DF3413" s="5" t="s">
        <v>240</v>
      </c>
      <c r="DG3413" s="7">
        <f>0</f>
        <v>0</v>
      </c>
      <c r="DI3413" s="5" t="s">
        <v>240</v>
      </c>
      <c r="DJ3413" s="5" t="s">
        <v>240</v>
      </c>
      <c r="DK3413" s="5" t="s">
        <v>240</v>
      </c>
      <c r="DL3413" s="5" t="s">
        <v>240</v>
      </c>
      <c r="DM3413" s="5" t="s">
        <v>240</v>
      </c>
      <c r="DN3413" s="5" t="s">
        <v>240</v>
      </c>
      <c r="DO3413" s="7" t="s">
        <v>240</v>
      </c>
      <c r="DP3413" s="5" t="s">
        <v>240</v>
      </c>
      <c r="DQ3413" s="5" t="s">
        <v>240</v>
      </c>
      <c r="DR3413" s="5" t="s">
        <v>731</v>
      </c>
      <c r="DS3413" s="5" t="s">
        <v>731</v>
      </c>
      <c r="DT3413" s="5" t="s">
        <v>240</v>
      </c>
      <c r="DU3413" s="5" t="s">
        <v>240</v>
      </c>
      <c r="DV3413" s="5" t="s">
        <v>5063</v>
      </c>
      <c r="DW3413" s="5" t="s">
        <v>721</v>
      </c>
      <c r="DX3413" s="5" t="s">
        <v>240</v>
      </c>
      <c r="DY3413" s="5" t="s">
        <v>240</v>
      </c>
      <c r="DZ3413" s="5" t="s">
        <v>240</v>
      </c>
      <c r="EA3413" s="5" t="s">
        <v>240</v>
      </c>
      <c r="EB3413" s="5" t="s">
        <v>240</v>
      </c>
      <c r="EC3413" s="5" t="s">
        <v>240</v>
      </c>
      <c r="ED3413" s="5" t="s">
        <v>240</v>
      </c>
      <c r="EE3413" s="5" t="s">
        <v>240</v>
      </c>
      <c r="EF3413" s="5" t="s">
        <v>240</v>
      </c>
      <c r="EG3413" s="5" t="s">
        <v>240</v>
      </c>
      <c r="EH3413" s="5" t="s">
        <v>240</v>
      </c>
      <c r="EI3413" s="5" t="s">
        <v>240</v>
      </c>
      <c r="EJ3413" s="5" t="s">
        <v>240</v>
      </c>
      <c r="EK3413" s="5" t="s">
        <v>240</v>
      </c>
      <c r="EL3413" s="5" t="s">
        <v>240</v>
      </c>
      <c r="EM3413" s="5" t="s">
        <v>240</v>
      </c>
      <c r="EN3413" s="5" t="s">
        <v>240</v>
      </c>
      <c r="EO3413" s="5" t="s">
        <v>240</v>
      </c>
      <c r="EP3413" s="5" t="s">
        <v>240</v>
      </c>
      <c r="EQ3413" s="5" t="s">
        <v>240</v>
      </c>
      <c r="ER3413" s="5" t="s">
        <v>240</v>
      </c>
      <c r="ES3413" s="5" t="s">
        <v>240</v>
      </c>
      <c r="ET3413" s="5" t="s">
        <v>240</v>
      </c>
      <c r="EU3413" s="5" t="s">
        <v>240</v>
      </c>
      <c r="EV3413" s="5" t="s">
        <v>240</v>
      </c>
      <c r="EW3413" s="5" t="s">
        <v>240</v>
      </c>
      <c r="EX3413" s="5" t="s">
        <v>240</v>
      </c>
      <c r="EY3413" s="5" t="s">
        <v>240</v>
      </c>
      <c r="EZ3413" s="5" t="s">
        <v>240</v>
      </c>
      <c r="FA3413" s="5" t="s">
        <v>240</v>
      </c>
      <c r="FB3413" s="5" t="s">
        <v>240</v>
      </c>
      <c r="FC3413" s="5" t="s">
        <v>240</v>
      </c>
      <c r="FD3413" s="5" t="s">
        <v>240</v>
      </c>
      <c r="FE3413" s="5" t="s">
        <v>240</v>
      </c>
      <c r="FF3413" s="5" t="s">
        <v>240</v>
      </c>
      <c r="FG3413" s="5" t="s">
        <v>240</v>
      </c>
      <c r="FH3413" s="5" t="s">
        <v>240</v>
      </c>
      <c r="FI3413" s="5" t="s">
        <v>240</v>
      </c>
      <c r="FJ3413" s="5" t="s">
        <v>240</v>
      </c>
      <c r="FK3413" s="5" t="s">
        <v>240</v>
      </c>
      <c r="FL3413" s="5" t="s">
        <v>240</v>
      </c>
      <c r="FM3413" s="5" t="s">
        <v>240</v>
      </c>
      <c r="FN3413" s="5" t="s">
        <v>240</v>
      </c>
      <c r="FO3413" s="5" t="s">
        <v>240</v>
      </c>
      <c r="FP3413" s="5" t="s">
        <v>240</v>
      </c>
      <c r="FQ3413" s="5" t="s">
        <v>240</v>
      </c>
      <c r="FR3413" s="5" t="s">
        <v>240</v>
      </c>
      <c r="FS3413" s="5" t="s">
        <v>240</v>
      </c>
      <c r="FT3413" s="5" t="s">
        <v>240</v>
      </c>
      <c r="FU3413" s="5" t="s">
        <v>240</v>
      </c>
      <c r="FV3413" s="5" t="s">
        <v>240</v>
      </c>
      <c r="FW3413" s="5" t="s">
        <v>240</v>
      </c>
      <c r="FX3413" s="5" t="s">
        <v>240</v>
      </c>
      <c r="FY3413" s="5" t="s">
        <v>240</v>
      </c>
      <c r="FZ3413" s="5" t="s">
        <v>240</v>
      </c>
      <c r="GA3413" s="5" t="s">
        <v>240</v>
      </c>
      <c r="GB3413" s="5" t="s">
        <v>240</v>
      </c>
      <c r="GC3413" s="5" t="s">
        <v>240</v>
      </c>
      <c r="GD3413" s="5" t="s">
        <v>240</v>
      </c>
      <c r="GE3413" s="5" t="s">
        <v>240</v>
      </c>
      <c r="GF3413" s="5" t="s">
        <v>240</v>
      </c>
      <c r="GG3413" s="5" t="s">
        <v>240</v>
      </c>
      <c r="GH3413" s="5" t="s">
        <v>240</v>
      </c>
      <c r="GI3413" s="5" t="s">
        <v>240</v>
      </c>
      <c r="GJ3413" s="5" t="s">
        <v>240</v>
      </c>
      <c r="GK3413" s="5" t="s">
        <v>240</v>
      </c>
      <c r="GL3413" s="5" t="s">
        <v>240</v>
      </c>
      <c r="GM3413" s="5" t="s">
        <v>240</v>
      </c>
      <c r="GN3413" s="5" t="s">
        <v>240</v>
      </c>
      <c r="GO3413" s="5" t="s">
        <v>240</v>
      </c>
      <c r="GP3413" s="5" t="s">
        <v>240</v>
      </c>
      <c r="GQ3413" s="5" t="s">
        <v>240</v>
      </c>
      <c r="GR3413" s="5" t="s">
        <v>240</v>
      </c>
      <c r="GS3413" s="5" t="s">
        <v>240</v>
      </c>
      <c r="GT3413" s="5" t="s">
        <v>240</v>
      </c>
      <c r="GU3413" s="5" t="s">
        <v>240</v>
      </c>
      <c r="GV3413" s="5" t="s">
        <v>240</v>
      </c>
      <c r="GW3413" s="5" t="s">
        <v>240</v>
      </c>
      <c r="GX3413" s="5" t="s">
        <v>240</v>
      </c>
      <c r="GY3413" s="5" t="s">
        <v>240</v>
      </c>
      <c r="GZ3413" s="5" t="s">
        <v>240</v>
      </c>
      <c r="HA3413" s="5" t="s">
        <v>240</v>
      </c>
      <c r="HB3413" s="5" t="s">
        <v>240</v>
      </c>
      <c r="HC3413" s="5" t="s">
        <v>240</v>
      </c>
      <c r="HD3413" s="5" t="s">
        <v>240</v>
      </c>
      <c r="HE3413" s="5" t="s">
        <v>240</v>
      </c>
      <c r="HF3413" s="5" t="s">
        <v>240</v>
      </c>
      <c r="HG3413" s="5" t="s">
        <v>240</v>
      </c>
      <c r="HH3413" s="5" t="s">
        <v>240</v>
      </c>
      <c r="HI3413" s="5" t="s">
        <v>240</v>
      </c>
      <c r="HJ3413" s="5" t="s">
        <v>240</v>
      </c>
      <c r="HK3413" s="5" t="s">
        <v>240</v>
      </c>
      <c r="HL3413" s="5" t="s">
        <v>240</v>
      </c>
      <c r="HM3413" s="5" t="s">
        <v>240</v>
      </c>
      <c r="HN3413" s="5" t="s">
        <v>240</v>
      </c>
      <c r="HO3413" s="5" t="s">
        <v>312</v>
      </c>
      <c r="HP3413" s="5" t="s">
        <v>240</v>
      </c>
      <c r="HQ3413" s="5" t="s">
        <v>240</v>
      </c>
      <c r="HR3413" s="5" t="s">
        <v>240</v>
      </c>
      <c r="HS3413" s="5" t="s">
        <v>240</v>
      </c>
      <c r="HT3413" s="5" t="s">
        <v>240</v>
      </c>
      <c r="HU3413" s="5" t="s">
        <v>240</v>
      </c>
      <c r="HV3413" s="5" t="s">
        <v>240</v>
      </c>
      <c r="HW3413" s="5" t="s">
        <v>240</v>
      </c>
      <c r="HX3413" s="5" t="s">
        <v>240</v>
      </c>
      <c r="HY3413" s="5" t="s">
        <v>240</v>
      </c>
      <c r="HZ3413" s="5" t="s">
        <v>240</v>
      </c>
      <c r="IA3413" s="5" t="s">
        <v>240</v>
      </c>
      <c r="IB3413" s="5" t="s">
        <v>240</v>
      </c>
      <c r="IC3413" s="5" t="s">
        <v>240</v>
      </c>
      <c r="ID3413" s="5" t="s">
        <v>240</v>
      </c>
      <c r="IE3413" s="5" t="s">
        <v>240</v>
      </c>
      <c r="IF3413" s="5" t="s">
        <v>240</v>
      </c>
    </row>
    <row r="3414" spans="1:240" x14ac:dyDescent="0.4">
      <c r="A3414" s="5">
        <v>8956</v>
      </c>
      <c r="B3414" s="5">
        <v>1</v>
      </c>
      <c r="C3414" s="5">
        <v>1</v>
      </c>
      <c r="D3414" s="5" t="s">
        <v>723</v>
      </c>
      <c r="E3414" s="5" t="s">
        <v>725</v>
      </c>
      <c r="F3414" s="5" t="s">
        <v>730</v>
      </c>
      <c r="G3414" s="5" t="s">
        <v>726</v>
      </c>
      <c r="H3414" s="6" t="s">
        <v>2241</v>
      </c>
      <c r="I3414" s="5" t="s">
        <v>990</v>
      </c>
      <c r="J3414" s="8">
        <f>495.86</f>
        <v>495.86</v>
      </c>
      <c r="K3414" s="5" t="s">
        <v>308</v>
      </c>
      <c r="L3414" s="7">
        <f>0</f>
        <v>0</v>
      </c>
      <c r="M3414" s="7">
        <f>0</f>
        <v>0</v>
      </c>
      <c r="N3414" s="5" t="s">
        <v>242</v>
      </c>
      <c r="O3414" s="5">
        <v>1</v>
      </c>
      <c r="P3414" s="5" t="s">
        <v>294</v>
      </c>
      <c r="Q3414" s="5" t="s">
        <v>3678</v>
      </c>
      <c r="R3414" s="5" t="s">
        <v>240</v>
      </c>
      <c r="S3414" s="5" t="s">
        <v>240</v>
      </c>
      <c r="T3414" s="5" t="s">
        <v>243</v>
      </c>
      <c r="U3414" s="5" t="s">
        <v>244</v>
      </c>
      <c r="V3414" s="5" t="s">
        <v>240</v>
      </c>
      <c r="W3414" s="5" t="s">
        <v>240</v>
      </c>
      <c r="X3414" s="5" t="s">
        <v>240</v>
      </c>
      <c r="Y3414" s="5" t="s">
        <v>240</v>
      </c>
      <c r="Z3414" s="6" t="s">
        <v>298</v>
      </c>
      <c r="AA3414" s="6" t="s">
        <v>240</v>
      </c>
      <c r="AB3414" s="6" t="s">
        <v>240</v>
      </c>
      <c r="AC3414" s="5" t="s">
        <v>240</v>
      </c>
      <c r="AD3414" s="6" t="s">
        <v>240</v>
      </c>
      <c r="AE3414" s="6" t="s">
        <v>299</v>
      </c>
      <c r="AF3414" s="5" t="s">
        <v>248</v>
      </c>
      <c r="AG3414" s="5" t="s">
        <v>249</v>
      </c>
      <c r="AH3414" s="5" t="s">
        <v>240</v>
      </c>
      <c r="AI3414" s="5" t="s">
        <v>240</v>
      </c>
      <c r="AJ3414" s="5" t="s">
        <v>240</v>
      </c>
      <c r="AK3414" s="5" t="s">
        <v>240</v>
      </c>
      <c r="AL3414" s="5" t="s">
        <v>240</v>
      </c>
      <c r="AM3414" s="5" t="s">
        <v>240</v>
      </c>
      <c r="AN3414" s="5" t="s">
        <v>240</v>
      </c>
      <c r="AO3414" s="5" t="s">
        <v>240</v>
      </c>
      <c r="AP3414" s="6" t="s">
        <v>240</v>
      </c>
      <c r="AQ3414" s="6" t="s">
        <v>240</v>
      </c>
      <c r="AR3414" s="6" t="s">
        <v>240</v>
      </c>
      <c r="AS3414" s="6" t="s">
        <v>240</v>
      </c>
      <c r="AT3414" s="5" t="s">
        <v>240</v>
      </c>
      <c r="AU3414" s="5" t="s">
        <v>729</v>
      </c>
      <c r="AV3414" s="5" t="s">
        <v>729</v>
      </c>
      <c r="AW3414" s="5" t="s">
        <v>251</v>
      </c>
      <c r="AX3414" s="5" t="s">
        <v>252</v>
      </c>
      <c r="AY3414" s="5" t="s">
        <v>253</v>
      </c>
      <c r="AZ3414" s="5" t="s">
        <v>240</v>
      </c>
      <c r="BA3414" s="5" t="s">
        <v>255</v>
      </c>
      <c r="BB3414" s="5" t="s">
        <v>731</v>
      </c>
      <c r="BD3414" s="5" t="s">
        <v>240</v>
      </c>
      <c r="BF3414" s="5" t="s">
        <v>732</v>
      </c>
      <c r="BG3414" s="6" t="s">
        <v>733</v>
      </c>
      <c r="BH3414" s="5" t="s">
        <v>734</v>
      </c>
      <c r="BI3414" s="5" t="s">
        <v>734</v>
      </c>
      <c r="BJ3414" s="5" t="s">
        <v>240</v>
      </c>
      <c r="BK3414" s="7">
        <f>1</f>
        <v>1</v>
      </c>
      <c r="BL3414" s="7">
        <f>1</f>
        <v>1</v>
      </c>
      <c r="BM3414" s="5" t="s">
        <v>258</v>
      </c>
      <c r="BN3414" s="5" t="s">
        <v>259</v>
      </c>
      <c r="BO3414" s="5" t="s">
        <v>240</v>
      </c>
      <c r="BP3414" s="5" t="s">
        <v>240</v>
      </c>
      <c r="BQ3414" s="5" t="s">
        <v>240</v>
      </c>
      <c r="BR3414" s="5" t="s">
        <v>240</v>
      </c>
      <c r="BS3414" s="5" t="s">
        <v>240</v>
      </c>
      <c r="BT3414" s="5" t="s">
        <v>240</v>
      </c>
      <c r="BU3414" s="5" t="s">
        <v>240</v>
      </c>
      <c r="BV3414" s="5" t="s">
        <v>240</v>
      </c>
      <c r="BW3414" s="6" t="s">
        <v>240</v>
      </c>
      <c r="BX3414" s="5" t="s">
        <v>240</v>
      </c>
      <c r="BY3414" s="5" t="s">
        <v>240</v>
      </c>
      <c r="BZ3414" s="5" t="s">
        <v>240</v>
      </c>
      <c r="CA3414" s="5" t="s">
        <v>259</v>
      </c>
      <c r="CB3414" s="5" t="s">
        <v>240</v>
      </c>
      <c r="CC3414" s="5" t="s">
        <v>240</v>
      </c>
      <c r="CD3414" s="5" t="s">
        <v>240</v>
      </c>
      <c r="CE3414" s="5" t="s">
        <v>240</v>
      </c>
      <c r="CF3414" s="5" t="s">
        <v>240</v>
      </c>
      <c r="CG3414" s="5" t="s">
        <v>304</v>
      </c>
      <c r="CH3414" s="5" t="s">
        <v>305</v>
      </c>
      <c r="CI3414" s="5" t="s">
        <v>240</v>
      </c>
      <c r="CK3414" s="5" t="s">
        <v>3681</v>
      </c>
      <c r="CL3414" s="6" t="s">
        <v>261</v>
      </c>
      <c r="CM3414" s="5" t="s">
        <v>262</v>
      </c>
      <c r="CN3414" s="5" t="s">
        <v>263</v>
      </c>
      <c r="CO3414" s="5" t="s">
        <v>264</v>
      </c>
      <c r="CP3414" s="5" t="s">
        <v>240</v>
      </c>
      <c r="CQ3414" s="5">
        <v>0</v>
      </c>
      <c r="CR3414" s="5" t="s">
        <v>735</v>
      </c>
      <c r="CS3414" s="5" t="s">
        <v>307</v>
      </c>
      <c r="CT3414" s="5" t="s">
        <v>307</v>
      </c>
      <c r="CU3414" s="5" t="s">
        <v>260</v>
      </c>
      <c r="CV3414" s="5" t="s">
        <v>612</v>
      </c>
      <c r="CW3414" s="8">
        <f>1</f>
        <v>1</v>
      </c>
      <c r="CX3414" s="7">
        <f>1</f>
        <v>1</v>
      </c>
      <c r="CY3414" s="7">
        <f>0</f>
        <v>0</v>
      </c>
      <c r="DA3414" s="7">
        <f>1</f>
        <v>1</v>
      </c>
      <c r="DB3414" s="7" t="s">
        <v>240</v>
      </c>
      <c r="DC3414" s="5" t="s">
        <v>240</v>
      </c>
      <c r="DD3414" s="5" t="s">
        <v>240</v>
      </c>
      <c r="DE3414" s="5" t="s">
        <v>240</v>
      </c>
      <c r="DF3414" s="5" t="s">
        <v>240</v>
      </c>
      <c r="DG3414" s="7">
        <f>0</f>
        <v>0</v>
      </c>
      <c r="DI3414" s="5" t="s">
        <v>240</v>
      </c>
      <c r="DJ3414" s="5" t="s">
        <v>240</v>
      </c>
      <c r="DK3414" s="5" t="s">
        <v>240</v>
      </c>
      <c r="DL3414" s="5" t="s">
        <v>240</v>
      </c>
      <c r="DM3414" s="5" t="s">
        <v>240</v>
      </c>
      <c r="DN3414" s="5" t="s">
        <v>240</v>
      </c>
      <c r="DO3414" s="7" t="s">
        <v>240</v>
      </c>
      <c r="DP3414" s="5" t="s">
        <v>240</v>
      </c>
      <c r="DQ3414" s="5" t="s">
        <v>240</v>
      </c>
      <c r="DR3414" s="5" t="s">
        <v>731</v>
      </c>
      <c r="DS3414" s="5" t="s">
        <v>731</v>
      </c>
      <c r="DT3414" s="5" t="s">
        <v>240</v>
      </c>
      <c r="DU3414" s="5" t="s">
        <v>240</v>
      </c>
      <c r="DV3414" s="5" t="s">
        <v>3683</v>
      </c>
      <c r="DW3414" s="5" t="s">
        <v>643</v>
      </c>
      <c r="DX3414" s="5" t="s">
        <v>240</v>
      </c>
      <c r="DY3414" s="5" t="s">
        <v>240</v>
      </c>
      <c r="DZ3414" s="5" t="s">
        <v>240</v>
      </c>
      <c r="EA3414" s="5" t="s">
        <v>240</v>
      </c>
      <c r="EB3414" s="5" t="s">
        <v>240</v>
      </c>
      <c r="EC3414" s="5" t="s">
        <v>240</v>
      </c>
      <c r="ED3414" s="5" t="s">
        <v>240</v>
      </c>
      <c r="EE3414" s="5" t="s">
        <v>240</v>
      </c>
      <c r="EF3414" s="5" t="s">
        <v>240</v>
      </c>
      <c r="EG3414" s="5" t="s">
        <v>240</v>
      </c>
      <c r="EH3414" s="5" t="s">
        <v>240</v>
      </c>
      <c r="EI3414" s="5" t="s">
        <v>240</v>
      </c>
      <c r="EJ3414" s="5" t="s">
        <v>240</v>
      </c>
      <c r="EK3414" s="5" t="s">
        <v>240</v>
      </c>
      <c r="EL3414" s="5" t="s">
        <v>240</v>
      </c>
      <c r="EM3414" s="5" t="s">
        <v>240</v>
      </c>
      <c r="EN3414" s="5" t="s">
        <v>240</v>
      </c>
      <c r="EO3414" s="5" t="s">
        <v>240</v>
      </c>
      <c r="EP3414" s="5" t="s">
        <v>240</v>
      </c>
      <c r="EQ3414" s="5" t="s">
        <v>240</v>
      </c>
      <c r="ER3414" s="5" t="s">
        <v>240</v>
      </c>
      <c r="ES3414" s="5" t="s">
        <v>240</v>
      </c>
      <c r="ET3414" s="5" t="s">
        <v>240</v>
      </c>
      <c r="EU3414" s="5" t="s">
        <v>240</v>
      </c>
      <c r="EV3414" s="5" t="s">
        <v>240</v>
      </c>
      <c r="EW3414" s="5" t="s">
        <v>240</v>
      </c>
      <c r="EX3414" s="5" t="s">
        <v>240</v>
      </c>
      <c r="EY3414" s="5" t="s">
        <v>240</v>
      </c>
      <c r="EZ3414" s="5" t="s">
        <v>240</v>
      </c>
      <c r="FA3414" s="5" t="s">
        <v>240</v>
      </c>
      <c r="FB3414" s="5" t="s">
        <v>240</v>
      </c>
      <c r="FC3414" s="5" t="s">
        <v>240</v>
      </c>
      <c r="FD3414" s="5" t="s">
        <v>240</v>
      </c>
      <c r="FE3414" s="5" t="s">
        <v>240</v>
      </c>
      <c r="FF3414" s="5" t="s">
        <v>240</v>
      </c>
      <c r="FG3414" s="5" t="s">
        <v>240</v>
      </c>
      <c r="FH3414" s="5" t="s">
        <v>240</v>
      </c>
      <c r="FI3414" s="5" t="s">
        <v>240</v>
      </c>
      <c r="FJ3414" s="5" t="s">
        <v>240</v>
      </c>
      <c r="FK3414" s="5" t="s">
        <v>240</v>
      </c>
      <c r="FL3414" s="5" t="s">
        <v>240</v>
      </c>
      <c r="FM3414" s="5" t="s">
        <v>240</v>
      </c>
      <c r="FN3414" s="5" t="s">
        <v>240</v>
      </c>
      <c r="FO3414" s="5" t="s">
        <v>240</v>
      </c>
      <c r="FP3414" s="5" t="s">
        <v>240</v>
      </c>
      <c r="FQ3414" s="5" t="s">
        <v>240</v>
      </c>
      <c r="FR3414" s="5" t="s">
        <v>240</v>
      </c>
      <c r="FS3414" s="5" t="s">
        <v>240</v>
      </c>
      <c r="FT3414" s="5" t="s">
        <v>240</v>
      </c>
      <c r="FU3414" s="5" t="s">
        <v>240</v>
      </c>
      <c r="FV3414" s="5" t="s">
        <v>240</v>
      </c>
      <c r="FW3414" s="5" t="s">
        <v>240</v>
      </c>
      <c r="FX3414" s="5" t="s">
        <v>240</v>
      </c>
      <c r="FY3414" s="5" t="s">
        <v>240</v>
      </c>
      <c r="FZ3414" s="5" t="s">
        <v>240</v>
      </c>
      <c r="GA3414" s="5" t="s">
        <v>240</v>
      </c>
      <c r="GB3414" s="5" t="s">
        <v>240</v>
      </c>
      <c r="GC3414" s="5" t="s">
        <v>240</v>
      </c>
      <c r="GD3414" s="5" t="s">
        <v>240</v>
      </c>
      <c r="GE3414" s="5" t="s">
        <v>240</v>
      </c>
      <c r="GF3414" s="5" t="s">
        <v>240</v>
      </c>
      <c r="GG3414" s="5" t="s">
        <v>240</v>
      </c>
      <c r="GH3414" s="5" t="s">
        <v>240</v>
      </c>
      <c r="GI3414" s="5" t="s">
        <v>240</v>
      </c>
      <c r="GJ3414" s="5" t="s">
        <v>240</v>
      </c>
      <c r="GK3414" s="5" t="s">
        <v>240</v>
      </c>
      <c r="GL3414" s="5" t="s">
        <v>240</v>
      </c>
      <c r="GM3414" s="5" t="s">
        <v>240</v>
      </c>
      <c r="GN3414" s="5" t="s">
        <v>240</v>
      </c>
      <c r="GO3414" s="5" t="s">
        <v>240</v>
      </c>
      <c r="GP3414" s="5" t="s">
        <v>240</v>
      </c>
      <c r="GQ3414" s="5" t="s">
        <v>240</v>
      </c>
      <c r="GR3414" s="5" t="s">
        <v>240</v>
      </c>
      <c r="GS3414" s="5" t="s">
        <v>240</v>
      </c>
      <c r="GT3414" s="5" t="s">
        <v>240</v>
      </c>
      <c r="GU3414" s="5" t="s">
        <v>240</v>
      </c>
      <c r="GV3414" s="5" t="s">
        <v>240</v>
      </c>
      <c r="GW3414" s="5" t="s">
        <v>240</v>
      </c>
      <c r="GX3414" s="5" t="s">
        <v>240</v>
      </c>
      <c r="GY3414" s="5" t="s">
        <v>240</v>
      </c>
      <c r="GZ3414" s="5" t="s">
        <v>240</v>
      </c>
      <c r="HA3414" s="5" t="s">
        <v>240</v>
      </c>
      <c r="HB3414" s="5" t="s">
        <v>240</v>
      </c>
      <c r="HC3414" s="5" t="s">
        <v>240</v>
      </c>
      <c r="HD3414" s="5" t="s">
        <v>240</v>
      </c>
      <c r="HE3414" s="5" t="s">
        <v>240</v>
      </c>
      <c r="HF3414" s="5" t="s">
        <v>240</v>
      </c>
      <c r="HG3414" s="5" t="s">
        <v>240</v>
      </c>
      <c r="HH3414" s="5" t="s">
        <v>240</v>
      </c>
      <c r="HI3414" s="5" t="s">
        <v>240</v>
      </c>
      <c r="HJ3414" s="5" t="s">
        <v>240</v>
      </c>
      <c r="HK3414" s="5" t="s">
        <v>240</v>
      </c>
      <c r="HL3414" s="5" t="s">
        <v>240</v>
      </c>
      <c r="HM3414" s="5" t="s">
        <v>240</v>
      </c>
      <c r="HN3414" s="5" t="s">
        <v>240</v>
      </c>
      <c r="HO3414" s="5" t="s">
        <v>312</v>
      </c>
      <c r="HP3414" s="5" t="s">
        <v>240</v>
      </c>
      <c r="HQ3414" s="5" t="s">
        <v>240</v>
      </c>
      <c r="HR3414" s="5" t="s">
        <v>240</v>
      </c>
      <c r="HS3414" s="5" t="s">
        <v>240</v>
      </c>
      <c r="HT3414" s="5" t="s">
        <v>240</v>
      </c>
      <c r="HU3414" s="5" t="s">
        <v>240</v>
      </c>
      <c r="HV3414" s="5" t="s">
        <v>240</v>
      </c>
      <c r="HW3414" s="5" t="s">
        <v>240</v>
      </c>
      <c r="HX3414" s="5" t="s">
        <v>240</v>
      </c>
      <c r="HY3414" s="5" t="s">
        <v>240</v>
      </c>
      <c r="HZ3414" s="5" t="s">
        <v>240</v>
      </c>
      <c r="IA3414" s="5" t="s">
        <v>240</v>
      </c>
      <c r="IB3414" s="5" t="s">
        <v>240</v>
      </c>
      <c r="IC3414" s="5" t="s">
        <v>240</v>
      </c>
      <c r="ID3414" s="5" t="s">
        <v>240</v>
      </c>
      <c r="IE3414" s="5" t="s">
        <v>240</v>
      </c>
      <c r="IF3414" s="5" t="s">
        <v>240</v>
      </c>
    </row>
    <row r="3415" spans="1:240" x14ac:dyDescent="0.4">
      <c r="A3415" s="5">
        <v>8957</v>
      </c>
      <c r="B3415" s="5">
        <v>1</v>
      </c>
      <c r="C3415" s="5">
        <v>1</v>
      </c>
      <c r="D3415" s="5" t="s">
        <v>723</v>
      </c>
      <c r="E3415" s="5" t="s">
        <v>725</v>
      </c>
      <c r="F3415" s="5" t="s">
        <v>730</v>
      </c>
      <c r="G3415" s="5" t="s">
        <v>726</v>
      </c>
      <c r="H3415" s="6" t="s">
        <v>2864</v>
      </c>
      <c r="I3415" s="5" t="s">
        <v>990</v>
      </c>
      <c r="J3415" s="8">
        <f>88.6</f>
        <v>88.6</v>
      </c>
      <c r="K3415" s="5" t="s">
        <v>308</v>
      </c>
      <c r="L3415" s="7">
        <f>0</f>
        <v>0</v>
      </c>
      <c r="M3415" s="7">
        <f>0</f>
        <v>0</v>
      </c>
      <c r="N3415" s="5" t="s">
        <v>242</v>
      </c>
      <c r="O3415" s="5">
        <v>1</v>
      </c>
      <c r="P3415" s="5" t="s">
        <v>294</v>
      </c>
      <c r="Q3415" s="5" t="s">
        <v>266</v>
      </c>
      <c r="R3415" s="5" t="s">
        <v>240</v>
      </c>
      <c r="S3415" s="5" t="s">
        <v>240</v>
      </c>
      <c r="T3415" s="5" t="s">
        <v>296</v>
      </c>
      <c r="U3415" s="5" t="s">
        <v>244</v>
      </c>
      <c r="V3415" s="5" t="s">
        <v>240</v>
      </c>
      <c r="Y3415" s="5" t="s">
        <v>240</v>
      </c>
      <c r="Z3415" s="6" t="s">
        <v>298</v>
      </c>
      <c r="AB3415" s="6" t="s">
        <v>240</v>
      </c>
      <c r="AE3415" s="6" t="s">
        <v>299</v>
      </c>
      <c r="AF3415" s="5" t="s">
        <v>248</v>
      </c>
      <c r="AG3415" s="5" t="s">
        <v>249</v>
      </c>
      <c r="AW3415" s="5" t="s">
        <v>251</v>
      </c>
      <c r="AX3415" s="5" t="s">
        <v>240</v>
      </c>
      <c r="AY3415" s="5" t="s">
        <v>253</v>
      </c>
      <c r="AZ3415" s="5" t="s">
        <v>240</v>
      </c>
      <c r="BA3415" s="5" t="s">
        <v>255</v>
      </c>
      <c r="BB3415" s="5" t="s">
        <v>240</v>
      </c>
      <c r="BD3415" s="5" t="s">
        <v>240</v>
      </c>
      <c r="BF3415" s="5" t="s">
        <v>301</v>
      </c>
      <c r="BG3415" s="6" t="s">
        <v>299</v>
      </c>
      <c r="BH3415" s="5" t="s">
        <v>302</v>
      </c>
      <c r="BI3415" s="5" t="s">
        <v>303</v>
      </c>
      <c r="BJ3415" s="5" t="s">
        <v>240</v>
      </c>
      <c r="BK3415" s="8">
        <f>0</f>
        <v>0</v>
      </c>
      <c r="BL3415" s="7">
        <f>0</f>
        <v>0</v>
      </c>
      <c r="BM3415" s="5" t="s">
        <v>258</v>
      </c>
      <c r="BN3415" s="5" t="s">
        <v>259</v>
      </c>
      <c r="CB3415" s="5" t="s">
        <v>240</v>
      </c>
      <c r="CC3415" s="5" t="s">
        <v>240</v>
      </c>
      <c r="CG3415" s="5" t="s">
        <v>304</v>
      </c>
      <c r="CH3415" s="5" t="s">
        <v>305</v>
      </c>
      <c r="CI3415" s="5" t="s">
        <v>240</v>
      </c>
      <c r="CL3415" s="6" t="s">
        <v>261</v>
      </c>
      <c r="CM3415" s="5" t="s">
        <v>240</v>
      </c>
      <c r="CN3415" s="5" t="s">
        <v>263</v>
      </c>
      <c r="CO3415" s="5" t="s">
        <v>240</v>
      </c>
      <c r="CP3415" s="5" t="s">
        <v>240</v>
      </c>
      <c r="CQ3415" s="5">
        <v>0</v>
      </c>
      <c r="CR3415" s="5" t="s">
        <v>306</v>
      </c>
      <c r="CS3415" s="5" t="s">
        <v>307</v>
      </c>
      <c r="CT3415" s="5" t="s">
        <v>307</v>
      </c>
      <c r="CU3415" s="5" t="s">
        <v>260</v>
      </c>
      <c r="CX3415" s="7">
        <f>1</f>
        <v>1</v>
      </c>
      <c r="CY3415" s="7">
        <f>0</f>
        <v>0</v>
      </c>
      <c r="DA3415" s="7">
        <f>0</f>
        <v>0</v>
      </c>
      <c r="DC3415" s="5" t="s">
        <v>309</v>
      </c>
      <c r="DD3415" s="5" t="s">
        <v>240</v>
      </c>
      <c r="DF3415" s="5" t="s">
        <v>309</v>
      </c>
      <c r="DG3415" s="7">
        <f>3520</f>
        <v>3520</v>
      </c>
      <c r="DI3415" s="5" t="s">
        <v>240</v>
      </c>
      <c r="DJ3415" s="5" t="s">
        <v>240</v>
      </c>
      <c r="DK3415" s="5" t="s">
        <v>240</v>
      </c>
      <c r="DL3415" s="5" t="s">
        <v>240</v>
      </c>
      <c r="DP3415" s="5" t="s">
        <v>240</v>
      </c>
      <c r="DQ3415" s="5" t="s">
        <v>240</v>
      </c>
      <c r="DR3415" s="5" t="s">
        <v>240</v>
      </c>
      <c r="DS3415" s="5" t="s">
        <v>240</v>
      </c>
      <c r="DV3415" s="5" t="s">
        <v>310</v>
      </c>
      <c r="DW3415" s="5" t="s">
        <v>3584</v>
      </c>
      <c r="HO3415" s="5" t="s">
        <v>312</v>
      </c>
    </row>
    <row r="3416" spans="1:240" x14ac:dyDescent="0.4">
      <c r="A3416" s="5">
        <v>8958</v>
      </c>
      <c r="B3416" s="5">
        <v>1</v>
      </c>
      <c r="C3416" s="5">
        <v>1</v>
      </c>
      <c r="D3416" s="5" t="s">
        <v>723</v>
      </c>
      <c r="E3416" s="5" t="s">
        <v>725</v>
      </c>
      <c r="F3416" s="5" t="s">
        <v>730</v>
      </c>
      <c r="G3416" s="5" t="s">
        <v>726</v>
      </c>
      <c r="H3416" s="6" t="s">
        <v>3166</v>
      </c>
      <c r="I3416" s="5" t="s">
        <v>3165</v>
      </c>
      <c r="J3416" s="8">
        <f>292</f>
        <v>292</v>
      </c>
      <c r="K3416" s="5" t="s">
        <v>308</v>
      </c>
      <c r="L3416" s="7">
        <f>0</f>
        <v>0</v>
      </c>
      <c r="M3416" s="7">
        <f>0</f>
        <v>0</v>
      </c>
      <c r="N3416" s="5" t="s">
        <v>242</v>
      </c>
      <c r="O3416" s="5">
        <v>1</v>
      </c>
      <c r="P3416" s="5" t="s">
        <v>294</v>
      </c>
      <c r="Q3416" s="5" t="s">
        <v>3678</v>
      </c>
      <c r="R3416" s="5" t="s">
        <v>240</v>
      </c>
      <c r="S3416" s="5" t="s">
        <v>240</v>
      </c>
      <c r="T3416" s="5" t="s">
        <v>243</v>
      </c>
      <c r="U3416" s="5" t="s">
        <v>244</v>
      </c>
      <c r="V3416" s="5" t="s">
        <v>240</v>
      </c>
      <c r="W3416" s="5" t="s">
        <v>240</v>
      </c>
      <c r="X3416" s="5" t="s">
        <v>240</v>
      </c>
      <c r="Y3416" s="5" t="s">
        <v>240</v>
      </c>
      <c r="Z3416" s="6" t="s">
        <v>298</v>
      </c>
      <c r="AA3416" s="6" t="s">
        <v>240</v>
      </c>
      <c r="AB3416" s="6" t="s">
        <v>240</v>
      </c>
      <c r="AC3416" s="5" t="s">
        <v>240</v>
      </c>
      <c r="AD3416" s="6" t="s">
        <v>240</v>
      </c>
      <c r="AE3416" s="6" t="s">
        <v>299</v>
      </c>
      <c r="AF3416" s="5" t="s">
        <v>248</v>
      </c>
      <c r="AG3416" s="5" t="s">
        <v>249</v>
      </c>
      <c r="AH3416" s="5" t="s">
        <v>240</v>
      </c>
      <c r="AI3416" s="5" t="s">
        <v>240</v>
      </c>
      <c r="AJ3416" s="5" t="s">
        <v>240</v>
      </c>
      <c r="AK3416" s="5" t="s">
        <v>240</v>
      </c>
      <c r="AL3416" s="5" t="s">
        <v>240</v>
      </c>
      <c r="AM3416" s="5" t="s">
        <v>240</v>
      </c>
      <c r="AN3416" s="5" t="s">
        <v>240</v>
      </c>
      <c r="AO3416" s="5" t="s">
        <v>240</v>
      </c>
      <c r="AP3416" s="6" t="s">
        <v>240</v>
      </c>
      <c r="AQ3416" s="6" t="s">
        <v>240</v>
      </c>
      <c r="AR3416" s="6" t="s">
        <v>240</v>
      </c>
      <c r="AS3416" s="6" t="s">
        <v>240</v>
      </c>
      <c r="AT3416" s="5" t="s">
        <v>240</v>
      </c>
      <c r="AU3416" s="5" t="s">
        <v>729</v>
      </c>
      <c r="AV3416" s="5" t="s">
        <v>729</v>
      </c>
      <c r="AW3416" s="5" t="s">
        <v>251</v>
      </c>
      <c r="AX3416" s="5" t="s">
        <v>252</v>
      </c>
      <c r="AY3416" s="5" t="s">
        <v>253</v>
      </c>
      <c r="AZ3416" s="5" t="s">
        <v>6046</v>
      </c>
      <c r="BA3416" s="5" t="s">
        <v>255</v>
      </c>
      <c r="BB3416" s="5" t="s">
        <v>731</v>
      </c>
      <c r="BD3416" s="5" t="s">
        <v>240</v>
      </c>
      <c r="BF3416" s="5" t="s">
        <v>732</v>
      </c>
      <c r="BG3416" s="6" t="s">
        <v>733</v>
      </c>
      <c r="BH3416" s="5" t="s">
        <v>734</v>
      </c>
      <c r="BI3416" s="5" t="s">
        <v>734</v>
      </c>
      <c r="BJ3416" s="5" t="s">
        <v>240</v>
      </c>
      <c r="BK3416" s="7">
        <f>1</f>
        <v>1</v>
      </c>
      <c r="BL3416" s="7">
        <f>1</f>
        <v>1</v>
      </c>
      <c r="BM3416" s="5" t="s">
        <v>258</v>
      </c>
      <c r="BN3416" s="5" t="s">
        <v>259</v>
      </c>
      <c r="BO3416" s="5" t="s">
        <v>240</v>
      </c>
      <c r="BP3416" s="5" t="s">
        <v>240</v>
      </c>
      <c r="BQ3416" s="5" t="s">
        <v>240</v>
      </c>
      <c r="BR3416" s="5" t="s">
        <v>240</v>
      </c>
      <c r="BS3416" s="5" t="s">
        <v>240</v>
      </c>
      <c r="BT3416" s="5" t="s">
        <v>240</v>
      </c>
      <c r="BU3416" s="5" t="s">
        <v>240</v>
      </c>
      <c r="BV3416" s="5" t="s">
        <v>240</v>
      </c>
      <c r="BW3416" s="6" t="s">
        <v>240</v>
      </c>
      <c r="BX3416" s="5" t="s">
        <v>240</v>
      </c>
      <c r="BY3416" s="5" t="s">
        <v>240</v>
      </c>
      <c r="BZ3416" s="5" t="s">
        <v>240</v>
      </c>
      <c r="CA3416" s="5" t="s">
        <v>259</v>
      </c>
      <c r="CB3416" s="5" t="s">
        <v>240</v>
      </c>
      <c r="CC3416" s="5" t="s">
        <v>240</v>
      </c>
      <c r="CD3416" s="5" t="s">
        <v>240</v>
      </c>
      <c r="CE3416" s="5" t="s">
        <v>240</v>
      </c>
      <c r="CF3416" s="5" t="s">
        <v>240</v>
      </c>
      <c r="CG3416" s="5" t="s">
        <v>304</v>
      </c>
      <c r="CH3416" s="5" t="s">
        <v>305</v>
      </c>
      <c r="CI3416" s="5" t="s">
        <v>260</v>
      </c>
      <c r="CK3416" s="5" t="s">
        <v>3681</v>
      </c>
      <c r="CL3416" s="6" t="s">
        <v>261</v>
      </c>
      <c r="CM3416" s="5" t="s">
        <v>262</v>
      </c>
      <c r="CN3416" s="5" t="s">
        <v>263</v>
      </c>
      <c r="CO3416" s="5" t="s">
        <v>264</v>
      </c>
      <c r="CP3416" s="5" t="s">
        <v>240</v>
      </c>
      <c r="CQ3416" s="5">
        <v>0</v>
      </c>
      <c r="CR3416" s="5" t="s">
        <v>735</v>
      </c>
      <c r="CS3416" s="5" t="s">
        <v>307</v>
      </c>
      <c r="CT3416" s="5" t="s">
        <v>307</v>
      </c>
      <c r="CU3416" s="5" t="s">
        <v>260</v>
      </c>
      <c r="CV3416" s="5" t="s">
        <v>612</v>
      </c>
      <c r="CW3416" s="8">
        <f>1</f>
        <v>1</v>
      </c>
      <c r="CX3416" s="7">
        <f>1</f>
        <v>1</v>
      </c>
      <c r="CY3416" s="7">
        <f>0</f>
        <v>0</v>
      </c>
      <c r="DA3416" s="7">
        <f>1</f>
        <v>1</v>
      </c>
      <c r="DB3416" s="7" t="s">
        <v>240</v>
      </c>
      <c r="DC3416" s="5" t="s">
        <v>240</v>
      </c>
      <c r="DD3416" s="5" t="s">
        <v>240</v>
      </c>
      <c r="DE3416" s="5" t="s">
        <v>240</v>
      </c>
      <c r="DF3416" s="5" t="s">
        <v>240</v>
      </c>
      <c r="DG3416" s="7">
        <f>0</f>
        <v>0</v>
      </c>
      <c r="DI3416" s="5" t="s">
        <v>240</v>
      </c>
      <c r="DJ3416" s="5" t="s">
        <v>240</v>
      </c>
      <c r="DK3416" s="5" t="s">
        <v>240</v>
      </c>
      <c r="DL3416" s="5" t="s">
        <v>240</v>
      </c>
      <c r="DM3416" s="5" t="s">
        <v>240</v>
      </c>
      <c r="DN3416" s="5" t="s">
        <v>240</v>
      </c>
      <c r="DO3416" s="7" t="s">
        <v>240</v>
      </c>
      <c r="DP3416" s="5" t="s">
        <v>240</v>
      </c>
      <c r="DQ3416" s="5" t="s">
        <v>248</v>
      </c>
      <c r="DR3416" s="5" t="s">
        <v>731</v>
      </c>
      <c r="DS3416" s="5" t="s">
        <v>731</v>
      </c>
      <c r="DT3416" s="5" t="s">
        <v>240</v>
      </c>
      <c r="DU3416" s="5" t="s">
        <v>240</v>
      </c>
      <c r="DV3416" s="5" t="s">
        <v>6047</v>
      </c>
      <c r="DW3416" s="5" t="s">
        <v>772</v>
      </c>
      <c r="DX3416" s="5" t="s">
        <v>240</v>
      </c>
      <c r="DY3416" s="5" t="s">
        <v>240</v>
      </c>
      <c r="DZ3416" s="5" t="s">
        <v>240</v>
      </c>
      <c r="EA3416" s="5" t="s">
        <v>240</v>
      </c>
      <c r="EB3416" s="5" t="s">
        <v>240</v>
      </c>
      <c r="EC3416" s="5" t="s">
        <v>240</v>
      </c>
      <c r="ED3416" s="5" t="s">
        <v>240</v>
      </c>
      <c r="EE3416" s="5" t="s">
        <v>240</v>
      </c>
      <c r="EF3416" s="5" t="s">
        <v>240</v>
      </c>
      <c r="EG3416" s="5" t="s">
        <v>240</v>
      </c>
      <c r="EH3416" s="5" t="s">
        <v>240</v>
      </c>
      <c r="EI3416" s="5" t="s">
        <v>240</v>
      </c>
      <c r="EJ3416" s="5" t="s">
        <v>240</v>
      </c>
      <c r="EK3416" s="5" t="s">
        <v>240</v>
      </c>
      <c r="EL3416" s="5" t="s">
        <v>240</v>
      </c>
      <c r="EM3416" s="5" t="s">
        <v>240</v>
      </c>
      <c r="EN3416" s="5" t="s">
        <v>240</v>
      </c>
      <c r="EO3416" s="5" t="s">
        <v>240</v>
      </c>
      <c r="EP3416" s="5" t="s">
        <v>240</v>
      </c>
      <c r="EQ3416" s="5" t="s">
        <v>240</v>
      </c>
      <c r="ER3416" s="5" t="s">
        <v>240</v>
      </c>
      <c r="ES3416" s="5" t="s">
        <v>240</v>
      </c>
      <c r="ET3416" s="5" t="s">
        <v>240</v>
      </c>
      <c r="EU3416" s="5" t="s">
        <v>240</v>
      </c>
      <c r="EV3416" s="5" t="s">
        <v>240</v>
      </c>
      <c r="EW3416" s="5" t="s">
        <v>240</v>
      </c>
      <c r="EX3416" s="5" t="s">
        <v>240</v>
      </c>
      <c r="EY3416" s="5" t="s">
        <v>240</v>
      </c>
      <c r="EZ3416" s="5" t="s">
        <v>240</v>
      </c>
      <c r="FA3416" s="5" t="s">
        <v>240</v>
      </c>
      <c r="FB3416" s="5" t="s">
        <v>240</v>
      </c>
      <c r="FC3416" s="5" t="s">
        <v>240</v>
      </c>
      <c r="FD3416" s="5" t="s">
        <v>240</v>
      </c>
      <c r="FE3416" s="5" t="s">
        <v>240</v>
      </c>
      <c r="FF3416" s="5" t="s">
        <v>240</v>
      </c>
      <c r="FG3416" s="5" t="s">
        <v>240</v>
      </c>
      <c r="FH3416" s="5" t="s">
        <v>240</v>
      </c>
      <c r="FI3416" s="5" t="s">
        <v>240</v>
      </c>
      <c r="FJ3416" s="5" t="s">
        <v>240</v>
      </c>
      <c r="FK3416" s="5" t="s">
        <v>240</v>
      </c>
      <c r="FL3416" s="5" t="s">
        <v>240</v>
      </c>
      <c r="FM3416" s="5" t="s">
        <v>240</v>
      </c>
      <c r="FN3416" s="5" t="s">
        <v>240</v>
      </c>
      <c r="FO3416" s="5" t="s">
        <v>240</v>
      </c>
      <c r="FP3416" s="5" t="s">
        <v>240</v>
      </c>
      <c r="FQ3416" s="5" t="s">
        <v>240</v>
      </c>
      <c r="FR3416" s="5" t="s">
        <v>240</v>
      </c>
      <c r="FS3416" s="5" t="s">
        <v>240</v>
      </c>
      <c r="FT3416" s="5" t="s">
        <v>240</v>
      </c>
      <c r="FU3416" s="5" t="s">
        <v>240</v>
      </c>
      <c r="FV3416" s="5" t="s">
        <v>240</v>
      </c>
      <c r="FW3416" s="5" t="s">
        <v>240</v>
      </c>
      <c r="FX3416" s="5" t="s">
        <v>240</v>
      </c>
      <c r="FY3416" s="5" t="s">
        <v>240</v>
      </c>
      <c r="FZ3416" s="5" t="s">
        <v>240</v>
      </c>
      <c r="GA3416" s="5" t="s">
        <v>240</v>
      </c>
      <c r="GB3416" s="5" t="s">
        <v>240</v>
      </c>
      <c r="GC3416" s="5" t="s">
        <v>240</v>
      </c>
      <c r="GD3416" s="5" t="s">
        <v>240</v>
      </c>
      <c r="GE3416" s="5" t="s">
        <v>240</v>
      </c>
      <c r="GF3416" s="5" t="s">
        <v>240</v>
      </c>
      <c r="GG3416" s="5" t="s">
        <v>240</v>
      </c>
      <c r="GH3416" s="5" t="s">
        <v>240</v>
      </c>
      <c r="GI3416" s="5" t="s">
        <v>240</v>
      </c>
      <c r="GJ3416" s="5" t="s">
        <v>240</v>
      </c>
      <c r="GK3416" s="5" t="s">
        <v>240</v>
      </c>
      <c r="GL3416" s="5" t="s">
        <v>240</v>
      </c>
      <c r="GM3416" s="5" t="s">
        <v>240</v>
      </c>
      <c r="GN3416" s="5" t="s">
        <v>240</v>
      </c>
      <c r="GO3416" s="5" t="s">
        <v>240</v>
      </c>
      <c r="GP3416" s="5" t="s">
        <v>240</v>
      </c>
      <c r="GQ3416" s="5" t="s">
        <v>240</v>
      </c>
      <c r="GR3416" s="5" t="s">
        <v>240</v>
      </c>
      <c r="GS3416" s="5" t="s">
        <v>240</v>
      </c>
      <c r="GT3416" s="5" t="s">
        <v>240</v>
      </c>
      <c r="GU3416" s="5" t="s">
        <v>240</v>
      </c>
      <c r="GV3416" s="5" t="s">
        <v>240</v>
      </c>
      <c r="GW3416" s="5" t="s">
        <v>240</v>
      </c>
      <c r="GX3416" s="5" t="s">
        <v>240</v>
      </c>
      <c r="GY3416" s="5" t="s">
        <v>240</v>
      </c>
      <c r="GZ3416" s="5" t="s">
        <v>240</v>
      </c>
      <c r="HA3416" s="5" t="s">
        <v>240</v>
      </c>
      <c r="HB3416" s="5" t="s">
        <v>240</v>
      </c>
      <c r="HC3416" s="5" t="s">
        <v>240</v>
      </c>
      <c r="HD3416" s="5" t="s">
        <v>240</v>
      </c>
      <c r="HE3416" s="5" t="s">
        <v>240</v>
      </c>
      <c r="HF3416" s="5" t="s">
        <v>240</v>
      </c>
      <c r="HG3416" s="5" t="s">
        <v>240</v>
      </c>
      <c r="HH3416" s="5" t="s">
        <v>240</v>
      </c>
      <c r="HI3416" s="5" t="s">
        <v>240</v>
      </c>
      <c r="HJ3416" s="5" t="s">
        <v>240</v>
      </c>
      <c r="HK3416" s="5" t="s">
        <v>240</v>
      </c>
      <c r="HL3416" s="5" t="s">
        <v>240</v>
      </c>
      <c r="HM3416" s="5" t="s">
        <v>240</v>
      </c>
      <c r="HN3416" s="5" t="s">
        <v>240</v>
      </c>
      <c r="HO3416" s="5" t="s">
        <v>240</v>
      </c>
      <c r="HP3416" s="5" t="s">
        <v>240</v>
      </c>
      <c r="HQ3416" s="5" t="s">
        <v>240</v>
      </c>
      <c r="HR3416" s="5" t="s">
        <v>240</v>
      </c>
      <c r="HS3416" s="5" t="s">
        <v>240</v>
      </c>
      <c r="HT3416" s="5" t="s">
        <v>240</v>
      </c>
      <c r="HU3416" s="5" t="s">
        <v>240</v>
      </c>
      <c r="HV3416" s="5" t="s">
        <v>240</v>
      </c>
      <c r="HW3416" s="5" t="s">
        <v>240</v>
      </c>
      <c r="HX3416" s="5" t="s">
        <v>240</v>
      </c>
      <c r="HY3416" s="5" t="s">
        <v>240</v>
      </c>
      <c r="HZ3416" s="5" t="s">
        <v>240</v>
      </c>
      <c r="IA3416" s="5" t="s">
        <v>240</v>
      </c>
      <c r="IB3416" s="5" t="s">
        <v>240</v>
      </c>
      <c r="IC3416" s="5" t="s">
        <v>240</v>
      </c>
      <c r="ID3416" s="5" t="s">
        <v>240</v>
      </c>
      <c r="IE3416" s="5" t="s">
        <v>240</v>
      </c>
      <c r="IF3416" s="5" t="s">
        <v>240</v>
      </c>
    </row>
    <row r="3417" spans="1:240" x14ac:dyDescent="0.4">
      <c r="A3417" s="5">
        <v>8959</v>
      </c>
      <c r="B3417" s="5">
        <v>1</v>
      </c>
      <c r="C3417" s="5">
        <v>1</v>
      </c>
      <c r="D3417" s="5" t="s">
        <v>723</v>
      </c>
      <c r="E3417" s="5" t="s">
        <v>725</v>
      </c>
      <c r="F3417" s="5" t="s">
        <v>730</v>
      </c>
      <c r="G3417" s="5" t="s">
        <v>726</v>
      </c>
      <c r="H3417" s="6" t="s">
        <v>3218</v>
      </c>
      <c r="I3417" s="5" t="s">
        <v>990</v>
      </c>
      <c r="J3417" s="8">
        <f>970</f>
        <v>970</v>
      </c>
      <c r="K3417" s="5" t="s">
        <v>308</v>
      </c>
      <c r="L3417" s="7">
        <f>0</f>
        <v>0</v>
      </c>
      <c r="M3417" s="7">
        <f>0</f>
        <v>0</v>
      </c>
      <c r="N3417" s="5" t="s">
        <v>242</v>
      </c>
      <c r="O3417" s="5">
        <v>1</v>
      </c>
      <c r="P3417" s="5" t="s">
        <v>294</v>
      </c>
      <c r="Q3417" s="5" t="s">
        <v>266</v>
      </c>
      <c r="R3417" s="5" t="s">
        <v>240</v>
      </c>
      <c r="S3417" s="5" t="s">
        <v>240</v>
      </c>
      <c r="T3417" s="5" t="s">
        <v>243</v>
      </c>
      <c r="U3417" s="5" t="s">
        <v>240</v>
      </c>
      <c r="V3417" s="5" t="s">
        <v>240</v>
      </c>
      <c r="Y3417" s="5" t="s">
        <v>240</v>
      </c>
      <c r="Z3417" s="6" t="s">
        <v>6049</v>
      </c>
      <c r="AB3417" s="6" t="s">
        <v>240</v>
      </c>
      <c r="AE3417" s="6" t="s">
        <v>3924</v>
      </c>
      <c r="AF3417" s="5" t="s">
        <v>248</v>
      </c>
      <c r="AG3417" s="5" t="s">
        <v>249</v>
      </c>
      <c r="AW3417" s="5" t="s">
        <v>251</v>
      </c>
      <c r="AX3417" s="5" t="s">
        <v>240</v>
      </c>
      <c r="AY3417" s="5" t="s">
        <v>253</v>
      </c>
      <c r="AZ3417" s="5" t="s">
        <v>240</v>
      </c>
      <c r="BA3417" s="5" t="s">
        <v>255</v>
      </c>
      <c r="BB3417" s="5" t="s">
        <v>240</v>
      </c>
      <c r="BD3417" s="5" t="s">
        <v>240</v>
      </c>
      <c r="BF3417" s="5" t="s">
        <v>687</v>
      </c>
      <c r="BG3417" s="6" t="s">
        <v>6049</v>
      </c>
      <c r="BH3417" s="5" t="s">
        <v>302</v>
      </c>
      <c r="BI3417" s="5" t="s">
        <v>448</v>
      </c>
      <c r="BJ3417" s="5" t="s">
        <v>240</v>
      </c>
      <c r="BK3417" s="8">
        <f>0</f>
        <v>0</v>
      </c>
      <c r="BL3417" s="7">
        <f>0</f>
        <v>0</v>
      </c>
      <c r="BM3417" s="5" t="s">
        <v>258</v>
      </c>
      <c r="BN3417" s="5" t="s">
        <v>259</v>
      </c>
      <c r="CB3417" s="5" t="s">
        <v>240</v>
      </c>
      <c r="CC3417" s="5" t="s">
        <v>240</v>
      </c>
      <c r="CG3417" s="5" t="s">
        <v>449</v>
      </c>
      <c r="CH3417" s="5" t="s">
        <v>305</v>
      </c>
      <c r="CI3417" s="5" t="s">
        <v>240</v>
      </c>
      <c r="CL3417" s="6" t="s">
        <v>261</v>
      </c>
      <c r="CM3417" s="5" t="s">
        <v>240</v>
      </c>
      <c r="CN3417" s="5" t="s">
        <v>263</v>
      </c>
      <c r="CO3417" s="5" t="s">
        <v>240</v>
      </c>
      <c r="CP3417" s="5" t="s">
        <v>240</v>
      </c>
      <c r="CQ3417" s="5">
        <v>0</v>
      </c>
      <c r="CR3417" s="5" t="s">
        <v>306</v>
      </c>
      <c r="CS3417" s="5" t="s">
        <v>307</v>
      </c>
      <c r="CT3417" s="5" t="s">
        <v>307</v>
      </c>
      <c r="CU3417" s="5" t="s">
        <v>260</v>
      </c>
      <c r="CX3417" s="7">
        <f>6771512</f>
        <v>6771512</v>
      </c>
      <c r="CY3417" s="7">
        <f>0</f>
        <v>0</v>
      </c>
      <c r="DA3417" s="7">
        <f>0</f>
        <v>0</v>
      </c>
      <c r="DC3417" s="5" t="s">
        <v>450</v>
      </c>
      <c r="DD3417" s="5" t="s">
        <v>240</v>
      </c>
      <c r="DF3417" s="5" t="s">
        <v>450</v>
      </c>
      <c r="DG3417" s="7">
        <f>0</f>
        <v>0</v>
      </c>
      <c r="DI3417" s="5" t="s">
        <v>240</v>
      </c>
      <c r="DJ3417" s="5" t="s">
        <v>240</v>
      </c>
      <c r="DK3417" s="5" t="s">
        <v>240</v>
      </c>
      <c r="DL3417" s="5" t="s">
        <v>240</v>
      </c>
      <c r="DP3417" s="5" t="s">
        <v>240</v>
      </c>
      <c r="DQ3417" s="5" t="s">
        <v>240</v>
      </c>
      <c r="DR3417" s="5" t="s">
        <v>240</v>
      </c>
      <c r="DS3417" s="5" t="s">
        <v>240</v>
      </c>
      <c r="DV3417" s="5" t="s">
        <v>310</v>
      </c>
      <c r="DW3417" s="5" t="s">
        <v>2401</v>
      </c>
      <c r="HO3417" s="5" t="s">
        <v>312</v>
      </c>
    </row>
    <row r="3418" spans="1:240" x14ac:dyDescent="0.4">
      <c r="A3418" s="5">
        <v>8960</v>
      </c>
      <c r="B3418" s="5">
        <v>1</v>
      </c>
      <c r="C3418" s="5">
        <v>1</v>
      </c>
      <c r="D3418" s="5" t="s">
        <v>723</v>
      </c>
      <c r="E3418" s="5" t="s">
        <v>725</v>
      </c>
      <c r="F3418" s="5" t="s">
        <v>730</v>
      </c>
      <c r="G3418" s="5" t="s">
        <v>726</v>
      </c>
      <c r="H3418" s="6" t="s">
        <v>3296</v>
      </c>
      <c r="I3418" s="5" t="s">
        <v>3295</v>
      </c>
      <c r="J3418" s="8">
        <f>489</f>
        <v>489</v>
      </c>
      <c r="K3418" s="5" t="s">
        <v>308</v>
      </c>
      <c r="L3418" s="7">
        <f>0</f>
        <v>0</v>
      </c>
      <c r="M3418" s="7">
        <f>0</f>
        <v>0</v>
      </c>
      <c r="N3418" s="5" t="s">
        <v>242</v>
      </c>
      <c r="O3418" s="5">
        <v>1</v>
      </c>
      <c r="P3418" s="5" t="s">
        <v>294</v>
      </c>
      <c r="Q3418" s="5" t="s">
        <v>3678</v>
      </c>
      <c r="R3418" s="5" t="s">
        <v>240</v>
      </c>
      <c r="S3418" s="5" t="s">
        <v>240</v>
      </c>
      <c r="T3418" s="5" t="s">
        <v>243</v>
      </c>
      <c r="U3418" s="5" t="s">
        <v>244</v>
      </c>
      <c r="V3418" s="5" t="s">
        <v>240</v>
      </c>
      <c r="W3418" s="5" t="s">
        <v>240</v>
      </c>
      <c r="X3418" s="5" t="s">
        <v>240</v>
      </c>
      <c r="Y3418" s="5" t="s">
        <v>240</v>
      </c>
      <c r="Z3418" s="6" t="s">
        <v>298</v>
      </c>
      <c r="AA3418" s="6" t="s">
        <v>240</v>
      </c>
      <c r="AB3418" s="6" t="s">
        <v>240</v>
      </c>
      <c r="AC3418" s="5" t="s">
        <v>240</v>
      </c>
      <c r="AD3418" s="6" t="s">
        <v>240</v>
      </c>
      <c r="AE3418" s="6" t="s">
        <v>299</v>
      </c>
      <c r="AF3418" s="5" t="s">
        <v>248</v>
      </c>
      <c r="AG3418" s="5" t="s">
        <v>249</v>
      </c>
      <c r="AH3418" s="5" t="s">
        <v>240</v>
      </c>
      <c r="AI3418" s="5" t="s">
        <v>240</v>
      </c>
      <c r="AJ3418" s="5" t="s">
        <v>240</v>
      </c>
      <c r="AK3418" s="5" t="s">
        <v>240</v>
      </c>
      <c r="AL3418" s="5" t="s">
        <v>240</v>
      </c>
      <c r="AM3418" s="5" t="s">
        <v>240</v>
      </c>
      <c r="AN3418" s="5" t="s">
        <v>240</v>
      </c>
      <c r="AO3418" s="5" t="s">
        <v>240</v>
      </c>
      <c r="AP3418" s="6" t="s">
        <v>240</v>
      </c>
      <c r="AQ3418" s="6" t="s">
        <v>240</v>
      </c>
      <c r="AR3418" s="6" t="s">
        <v>240</v>
      </c>
      <c r="AS3418" s="6" t="s">
        <v>240</v>
      </c>
      <c r="AT3418" s="5" t="s">
        <v>240</v>
      </c>
      <c r="AU3418" s="5" t="s">
        <v>729</v>
      </c>
      <c r="AV3418" s="5" t="s">
        <v>729</v>
      </c>
      <c r="AW3418" s="5" t="s">
        <v>251</v>
      </c>
      <c r="AX3418" s="5" t="s">
        <v>252</v>
      </c>
      <c r="AY3418" s="5" t="s">
        <v>253</v>
      </c>
      <c r="AZ3418" s="5" t="s">
        <v>6046</v>
      </c>
      <c r="BA3418" s="5" t="s">
        <v>255</v>
      </c>
      <c r="BB3418" s="5" t="s">
        <v>731</v>
      </c>
      <c r="BD3418" s="5" t="s">
        <v>240</v>
      </c>
      <c r="BF3418" s="5" t="s">
        <v>732</v>
      </c>
      <c r="BG3418" s="6" t="s">
        <v>733</v>
      </c>
      <c r="BH3418" s="5" t="s">
        <v>734</v>
      </c>
      <c r="BI3418" s="5" t="s">
        <v>734</v>
      </c>
      <c r="BJ3418" s="5" t="s">
        <v>240</v>
      </c>
      <c r="BK3418" s="7">
        <f>1</f>
        <v>1</v>
      </c>
      <c r="BL3418" s="7">
        <f>1</f>
        <v>1</v>
      </c>
      <c r="BM3418" s="5" t="s">
        <v>258</v>
      </c>
      <c r="BN3418" s="5" t="s">
        <v>259</v>
      </c>
      <c r="BO3418" s="5" t="s">
        <v>240</v>
      </c>
      <c r="BP3418" s="5" t="s">
        <v>240</v>
      </c>
      <c r="BQ3418" s="5" t="s">
        <v>240</v>
      </c>
      <c r="BR3418" s="5" t="s">
        <v>240</v>
      </c>
      <c r="BS3418" s="5" t="s">
        <v>240</v>
      </c>
      <c r="BT3418" s="5" t="s">
        <v>240</v>
      </c>
      <c r="BU3418" s="5" t="s">
        <v>240</v>
      </c>
      <c r="BV3418" s="5" t="s">
        <v>240</v>
      </c>
      <c r="BW3418" s="6" t="s">
        <v>240</v>
      </c>
      <c r="BX3418" s="5" t="s">
        <v>240</v>
      </c>
      <c r="BY3418" s="5" t="s">
        <v>240</v>
      </c>
      <c r="BZ3418" s="5" t="s">
        <v>240</v>
      </c>
      <c r="CA3418" s="5" t="s">
        <v>259</v>
      </c>
      <c r="CB3418" s="5" t="s">
        <v>240</v>
      </c>
      <c r="CC3418" s="5" t="s">
        <v>240</v>
      </c>
      <c r="CD3418" s="5" t="s">
        <v>240</v>
      </c>
      <c r="CE3418" s="5" t="s">
        <v>240</v>
      </c>
      <c r="CF3418" s="5" t="s">
        <v>240</v>
      </c>
      <c r="CG3418" s="5" t="s">
        <v>304</v>
      </c>
      <c r="CH3418" s="5" t="s">
        <v>305</v>
      </c>
      <c r="CI3418" s="5" t="s">
        <v>260</v>
      </c>
      <c r="CK3418" s="5" t="s">
        <v>3681</v>
      </c>
      <c r="CL3418" s="6" t="s">
        <v>261</v>
      </c>
      <c r="CM3418" s="5" t="s">
        <v>262</v>
      </c>
      <c r="CN3418" s="5" t="s">
        <v>263</v>
      </c>
      <c r="CO3418" s="5" t="s">
        <v>264</v>
      </c>
      <c r="CP3418" s="5" t="s">
        <v>240</v>
      </c>
      <c r="CQ3418" s="5">
        <v>0</v>
      </c>
      <c r="CR3418" s="5" t="s">
        <v>735</v>
      </c>
      <c r="CS3418" s="5" t="s">
        <v>307</v>
      </c>
      <c r="CT3418" s="5" t="s">
        <v>307</v>
      </c>
      <c r="CU3418" s="5" t="s">
        <v>260</v>
      </c>
      <c r="CV3418" s="5" t="s">
        <v>612</v>
      </c>
      <c r="CW3418" s="8">
        <f>1</f>
        <v>1</v>
      </c>
      <c r="CX3418" s="7">
        <f>1</f>
        <v>1</v>
      </c>
      <c r="CY3418" s="7">
        <f>0</f>
        <v>0</v>
      </c>
      <c r="DA3418" s="7">
        <f>1</f>
        <v>1</v>
      </c>
      <c r="DB3418" s="7" t="s">
        <v>240</v>
      </c>
      <c r="DC3418" s="5" t="s">
        <v>240</v>
      </c>
      <c r="DD3418" s="5" t="s">
        <v>240</v>
      </c>
      <c r="DE3418" s="5" t="s">
        <v>240</v>
      </c>
      <c r="DF3418" s="5" t="s">
        <v>240</v>
      </c>
      <c r="DG3418" s="7">
        <f>0</f>
        <v>0</v>
      </c>
      <c r="DI3418" s="5" t="s">
        <v>240</v>
      </c>
      <c r="DJ3418" s="5" t="s">
        <v>240</v>
      </c>
      <c r="DK3418" s="5" t="s">
        <v>240</v>
      </c>
      <c r="DL3418" s="5" t="s">
        <v>240</v>
      </c>
      <c r="DM3418" s="5" t="s">
        <v>240</v>
      </c>
      <c r="DN3418" s="5" t="s">
        <v>240</v>
      </c>
      <c r="DO3418" s="7" t="s">
        <v>240</v>
      </c>
      <c r="DP3418" s="5" t="s">
        <v>240</v>
      </c>
      <c r="DQ3418" s="5" t="s">
        <v>248</v>
      </c>
      <c r="DR3418" s="5" t="s">
        <v>731</v>
      </c>
      <c r="DS3418" s="5" t="s">
        <v>731</v>
      </c>
      <c r="DT3418" s="5" t="s">
        <v>240</v>
      </c>
      <c r="DU3418" s="5" t="s">
        <v>240</v>
      </c>
      <c r="DV3418" s="5" t="s">
        <v>6047</v>
      </c>
      <c r="DW3418" s="5" t="s">
        <v>769</v>
      </c>
      <c r="DX3418" s="5" t="s">
        <v>240</v>
      </c>
      <c r="DY3418" s="5" t="s">
        <v>240</v>
      </c>
      <c r="DZ3418" s="5" t="s">
        <v>240</v>
      </c>
      <c r="EA3418" s="5" t="s">
        <v>240</v>
      </c>
      <c r="EB3418" s="5" t="s">
        <v>240</v>
      </c>
      <c r="EC3418" s="5" t="s">
        <v>240</v>
      </c>
      <c r="ED3418" s="5" t="s">
        <v>240</v>
      </c>
      <c r="EE3418" s="5" t="s">
        <v>240</v>
      </c>
      <c r="EF3418" s="5" t="s">
        <v>240</v>
      </c>
      <c r="EG3418" s="5" t="s">
        <v>240</v>
      </c>
      <c r="EH3418" s="5" t="s">
        <v>240</v>
      </c>
      <c r="EI3418" s="5" t="s">
        <v>240</v>
      </c>
      <c r="EJ3418" s="5" t="s">
        <v>240</v>
      </c>
      <c r="EK3418" s="5" t="s">
        <v>240</v>
      </c>
      <c r="EL3418" s="5" t="s">
        <v>240</v>
      </c>
      <c r="EM3418" s="5" t="s">
        <v>240</v>
      </c>
      <c r="EN3418" s="5" t="s">
        <v>240</v>
      </c>
      <c r="EO3418" s="5" t="s">
        <v>240</v>
      </c>
      <c r="EP3418" s="5" t="s">
        <v>240</v>
      </c>
      <c r="EQ3418" s="5" t="s">
        <v>240</v>
      </c>
      <c r="ER3418" s="5" t="s">
        <v>240</v>
      </c>
      <c r="ES3418" s="5" t="s">
        <v>240</v>
      </c>
      <c r="ET3418" s="5" t="s">
        <v>240</v>
      </c>
      <c r="EU3418" s="5" t="s">
        <v>240</v>
      </c>
      <c r="EV3418" s="5" t="s">
        <v>240</v>
      </c>
      <c r="EW3418" s="5" t="s">
        <v>240</v>
      </c>
      <c r="EX3418" s="5" t="s">
        <v>240</v>
      </c>
      <c r="EY3418" s="5" t="s">
        <v>240</v>
      </c>
      <c r="EZ3418" s="5" t="s">
        <v>240</v>
      </c>
      <c r="FA3418" s="5" t="s">
        <v>240</v>
      </c>
      <c r="FB3418" s="5" t="s">
        <v>240</v>
      </c>
      <c r="FC3418" s="5" t="s">
        <v>240</v>
      </c>
      <c r="FD3418" s="5" t="s">
        <v>240</v>
      </c>
      <c r="FE3418" s="5" t="s">
        <v>240</v>
      </c>
      <c r="FF3418" s="5" t="s">
        <v>240</v>
      </c>
      <c r="FG3418" s="5" t="s">
        <v>240</v>
      </c>
      <c r="FH3418" s="5" t="s">
        <v>240</v>
      </c>
      <c r="FI3418" s="5" t="s">
        <v>240</v>
      </c>
      <c r="FJ3418" s="5" t="s">
        <v>240</v>
      </c>
      <c r="FK3418" s="5" t="s">
        <v>240</v>
      </c>
      <c r="FL3418" s="5" t="s">
        <v>240</v>
      </c>
      <c r="FM3418" s="5" t="s">
        <v>240</v>
      </c>
      <c r="FN3418" s="5" t="s">
        <v>240</v>
      </c>
      <c r="FO3418" s="5" t="s">
        <v>240</v>
      </c>
      <c r="FP3418" s="5" t="s">
        <v>240</v>
      </c>
      <c r="FQ3418" s="5" t="s">
        <v>240</v>
      </c>
      <c r="FR3418" s="5" t="s">
        <v>240</v>
      </c>
      <c r="FS3418" s="5" t="s">
        <v>240</v>
      </c>
      <c r="FT3418" s="5" t="s">
        <v>240</v>
      </c>
      <c r="FU3418" s="5" t="s">
        <v>240</v>
      </c>
      <c r="FV3418" s="5" t="s">
        <v>240</v>
      </c>
      <c r="FW3418" s="5" t="s">
        <v>240</v>
      </c>
      <c r="FX3418" s="5" t="s">
        <v>240</v>
      </c>
      <c r="FY3418" s="5" t="s">
        <v>240</v>
      </c>
      <c r="FZ3418" s="5" t="s">
        <v>240</v>
      </c>
      <c r="GA3418" s="5" t="s">
        <v>240</v>
      </c>
      <c r="GB3418" s="5" t="s">
        <v>240</v>
      </c>
      <c r="GC3418" s="5" t="s">
        <v>240</v>
      </c>
      <c r="GD3418" s="5" t="s">
        <v>240</v>
      </c>
      <c r="GE3418" s="5" t="s">
        <v>240</v>
      </c>
      <c r="GF3418" s="5" t="s">
        <v>240</v>
      </c>
      <c r="GG3418" s="5" t="s">
        <v>240</v>
      </c>
      <c r="GH3418" s="5" t="s">
        <v>240</v>
      </c>
      <c r="GI3418" s="5" t="s">
        <v>240</v>
      </c>
      <c r="GJ3418" s="5" t="s">
        <v>240</v>
      </c>
      <c r="GK3418" s="5" t="s">
        <v>240</v>
      </c>
      <c r="GL3418" s="5" t="s">
        <v>240</v>
      </c>
      <c r="GM3418" s="5" t="s">
        <v>240</v>
      </c>
      <c r="GN3418" s="5" t="s">
        <v>240</v>
      </c>
      <c r="GO3418" s="5" t="s">
        <v>240</v>
      </c>
      <c r="GP3418" s="5" t="s">
        <v>240</v>
      </c>
      <c r="GQ3418" s="5" t="s">
        <v>240</v>
      </c>
      <c r="GR3418" s="5" t="s">
        <v>240</v>
      </c>
      <c r="GS3418" s="5" t="s">
        <v>240</v>
      </c>
      <c r="GT3418" s="5" t="s">
        <v>240</v>
      </c>
      <c r="GU3418" s="5" t="s">
        <v>240</v>
      </c>
      <c r="GV3418" s="5" t="s">
        <v>240</v>
      </c>
      <c r="GW3418" s="5" t="s">
        <v>240</v>
      </c>
      <c r="GX3418" s="5" t="s">
        <v>240</v>
      </c>
      <c r="GY3418" s="5" t="s">
        <v>240</v>
      </c>
      <c r="GZ3418" s="5" t="s">
        <v>240</v>
      </c>
      <c r="HA3418" s="5" t="s">
        <v>240</v>
      </c>
      <c r="HB3418" s="5" t="s">
        <v>240</v>
      </c>
      <c r="HC3418" s="5" t="s">
        <v>240</v>
      </c>
      <c r="HD3418" s="5" t="s">
        <v>240</v>
      </c>
      <c r="HE3418" s="5" t="s">
        <v>240</v>
      </c>
      <c r="HF3418" s="5" t="s">
        <v>240</v>
      </c>
      <c r="HG3418" s="5" t="s">
        <v>240</v>
      </c>
      <c r="HH3418" s="5" t="s">
        <v>240</v>
      </c>
      <c r="HI3418" s="5" t="s">
        <v>240</v>
      </c>
      <c r="HJ3418" s="5" t="s">
        <v>240</v>
      </c>
      <c r="HK3418" s="5" t="s">
        <v>240</v>
      </c>
      <c r="HL3418" s="5" t="s">
        <v>240</v>
      </c>
      <c r="HM3418" s="5" t="s">
        <v>240</v>
      </c>
      <c r="HN3418" s="5" t="s">
        <v>240</v>
      </c>
      <c r="HO3418" s="5" t="s">
        <v>240</v>
      </c>
      <c r="HP3418" s="5" t="s">
        <v>240</v>
      </c>
      <c r="HQ3418" s="5" t="s">
        <v>240</v>
      </c>
      <c r="HR3418" s="5" t="s">
        <v>240</v>
      </c>
      <c r="HS3418" s="5" t="s">
        <v>240</v>
      </c>
      <c r="HT3418" s="5" t="s">
        <v>240</v>
      </c>
      <c r="HU3418" s="5" t="s">
        <v>240</v>
      </c>
      <c r="HV3418" s="5" t="s">
        <v>240</v>
      </c>
      <c r="HW3418" s="5" t="s">
        <v>240</v>
      </c>
      <c r="HX3418" s="5" t="s">
        <v>240</v>
      </c>
      <c r="HY3418" s="5" t="s">
        <v>240</v>
      </c>
      <c r="HZ3418" s="5" t="s">
        <v>240</v>
      </c>
      <c r="IA3418" s="5" t="s">
        <v>240</v>
      </c>
      <c r="IB3418" s="5" t="s">
        <v>240</v>
      </c>
      <c r="IC3418" s="5" t="s">
        <v>240</v>
      </c>
      <c r="ID3418" s="5" t="s">
        <v>240</v>
      </c>
      <c r="IE3418" s="5" t="s">
        <v>240</v>
      </c>
      <c r="IF3418" s="5" t="s">
        <v>240</v>
      </c>
    </row>
    <row r="3419" spans="1:240" x14ac:dyDescent="0.4">
      <c r="A3419" s="5">
        <v>8961</v>
      </c>
      <c r="B3419" s="5">
        <v>1</v>
      </c>
      <c r="C3419" s="5">
        <v>1</v>
      </c>
      <c r="D3419" s="5" t="s">
        <v>723</v>
      </c>
      <c r="E3419" s="5" t="s">
        <v>725</v>
      </c>
      <c r="F3419" s="5" t="s">
        <v>730</v>
      </c>
      <c r="G3419" s="5" t="s">
        <v>726</v>
      </c>
      <c r="H3419" s="6" t="s">
        <v>3476</v>
      </c>
      <c r="I3419" s="5" t="s">
        <v>990</v>
      </c>
      <c r="J3419" s="8">
        <f>297.52</f>
        <v>297.52</v>
      </c>
      <c r="K3419" s="5" t="s">
        <v>308</v>
      </c>
      <c r="L3419" s="7">
        <f>0</f>
        <v>0</v>
      </c>
      <c r="M3419" s="7">
        <f>0</f>
        <v>0</v>
      </c>
      <c r="N3419" s="5" t="s">
        <v>242</v>
      </c>
      <c r="O3419" s="5">
        <v>1</v>
      </c>
      <c r="P3419" s="5" t="s">
        <v>294</v>
      </c>
      <c r="Q3419" s="5" t="s">
        <v>266</v>
      </c>
      <c r="R3419" s="5" t="s">
        <v>240</v>
      </c>
      <c r="S3419" s="5" t="s">
        <v>240</v>
      </c>
      <c r="T3419" s="5" t="s">
        <v>296</v>
      </c>
      <c r="U3419" s="5" t="s">
        <v>244</v>
      </c>
      <c r="V3419" s="5" t="s">
        <v>240</v>
      </c>
      <c r="Y3419" s="5" t="s">
        <v>240</v>
      </c>
      <c r="Z3419" s="6" t="s">
        <v>298</v>
      </c>
      <c r="AB3419" s="6" t="s">
        <v>240</v>
      </c>
      <c r="AE3419" s="6" t="s">
        <v>299</v>
      </c>
      <c r="AF3419" s="5" t="s">
        <v>248</v>
      </c>
      <c r="AG3419" s="5" t="s">
        <v>249</v>
      </c>
      <c r="AW3419" s="5" t="s">
        <v>251</v>
      </c>
      <c r="AX3419" s="5" t="s">
        <v>240</v>
      </c>
      <c r="AY3419" s="5" t="s">
        <v>253</v>
      </c>
      <c r="AZ3419" s="5" t="s">
        <v>240</v>
      </c>
      <c r="BA3419" s="5" t="s">
        <v>255</v>
      </c>
      <c r="BB3419" s="5" t="s">
        <v>240</v>
      </c>
      <c r="BD3419" s="5" t="s">
        <v>240</v>
      </c>
      <c r="BF3419" s="5" t="s">
        <v>301</v>
      </c>
      <c r="BG3419" s="6" t="s">
        <v>299</v>
      </c>
      <c r="BH3419" s="5" t="s">
        <v>302</v>
      </c>
      <c r="BI3419" s="5" t="s">
        <v>303</v>
      </c>
      <c r="BJ3419" s="5" t="s">
        <v>240</v>
      </c>
      <c r="BK3419" s="8">
        <f>0</f>
        <v>0</v>
      </c>
      <c r="BL3419" s="7">
        <f>0</f>
        <v>0</v>
      </c>
      <c r="BM3419" s="5" t="s">
        <v>258</v>
      </c>
      <c r="BN3419" s="5" t="s">
        <v>259</v>
      </c>
      <c r="CB3419" s="5" t="s">
        <v>240</v>
      </c>
      <c r="CC3419" s="5" t="s">
        <v>240</v>
      </c>
      <c r="CG3419" s="5" t="s">
        <v>304</v>
      </c>
      <c r="CH3419" s="5" t="s">
        <v>305</v>
      </c>
      <c r="CI3419" s="5" t="s">
        <v>240</v>
      </c>
      <c r="CL3419" s="6" t="s">
        <v>261</v>
      </c>
      <c r="CM3419" s="5" t="s">
        <v>240</v>
      </c>
      <c r="CN3419" s="5" t="s">
        <v>263</v>
      </c>
      <c r="CO3419" s="5" t="s">
        <v>240</v>
      </c>
      <c r="CP3419" s="5" t="s">
        <v>240</v>
      </c>
      <c r="CQ3419" s="5">
        <v>0</v>
      </c>
      <c r="CR3419" s="5" t="s">
        <v>306</v>
      </c>
      <c r="CS3419" s="5" t="s">
        <v>307</v>
      </c>
      <c r="CT3419" s="5" t="s">
        <v>307</v>
      </c>
      <c r="CU3419" s="5" t="s">
        <v>260</v>
      </c>
      <c r="CX3419" s="7">
        <f>1</f>
        <v>1</v>
      </c>
      <c r="CY3419" s="7">
        <f>0</f>
        <v>0</v>
      </c>
      <c r="DA3419" s="7">
        <f>0</f>
        <v>0</v>
      </c>
      <c r="DC3419" s="5" t="s">
        <v>309</v>
      </c>
      <c r="DD3419" s="5" t="s">
        <v>240</v>
      </c>
      <c r="DF3419" s="5" t="s">
        <v>309</v>
      </c>
      <c r="DG3419" s="7">
        <f>5594</f>
        <v>5594</v>
      </c>
      <c r="DI3419" s="5" t="s">
        <v>240</v>
      </c>
      <c r="DJ3419" s="5" t="s">
        <v>240</v>
      </c>
      <c r="DK3419" s="5" t="s">
        <v>240</v>
      </c>
      <c r="DL3419" s="5" t="s">
        <v>240</v>
      </c>
      <c r="DP3419" s="5" t="s">
        <v>240</v>
      </c>
      <c r="DQ3419" s="5" t="s">
        <v>240</v>
      </c>
      <c r="DR3419" s="5" t="s">
        <v>240</v>
      </c>
      <c r="DS3419" s="5" t="s">
        <v>240</v>
      </c>
      <c r="DV3419" s="5" t="s">
        <v>310</v>
      </c>
      <c r="DW3419" s="5" t="s">
        <v>5011</v>
      </c>
      <c r="HO3419" s="5" t="s">
        <v>312</v>
      </c>
    </row>
    <row r="3420" spans="1:240" x14ac:dyDescent="0.4">
      <c r="A3420" s="5">
        <v>8962</v>
      </c>
      <c r="B3420" s="5">
        <v>1</v>
      </c>
      <c r="C3420" s="5">
        <v>1</v>
      </c>
      <c r="D3420" s="5" t="s">
        <v>723</v>
      </c>
      <c r="E3420" s="5" t="s">
        <v>725</v>
      </c>
      <c r="F3420" s="5" t="s">
        <v>730</v>
      </c>
      <c r="G3420" s="5" t="s">
        <v>726</v>
      </c>
      <c r="H3420" s="6" t="s">
        <v>3513</v>
      </c>
      <c r="I3420" s="5" t="s">
        <v>990</v>
      </c>
      <c r="J3420" s="8">
        <f>2532</f>
        <v>2532</v>
      </c>
      <c r="K3420" s="5" t="s">
        <v>308</v>
      </c>
      <c r="L3420" s="7">
        <f>0</f>
        <v>0</v>
      </c>
      <c r="M3420" s="7">
        <f>0</f>
        <v>0</v>
      </c>
      <c r="N3420" s="5" t="s">
        <v>242</v>
      </c>
      <c r="O3420" s="5">
        <v>1</v>
      </c>
      <c r="P3420" s="5" t="s">
        <v>294</v>
      </c>
      <c r="Q3420" s="5" t="s">
        <v>3678</v>
      </c>
      <c r="R3420" s="5" t="s">
        <v>240</v>
      </c>
      <c r="S3420" s="5" t="s">
        <v>240</v>
      </c>
      <c r="T3420" s="5" t="s">
        <v>243</v>
      </c>
      <c r="U3420" s="5" t="s">
        <v>244</v>
      </c>
      <c r="V3420" s="5" t="s">
        <v>240</v>
      </c>
      <c r="W3420" s="5" t="s">
        <v>240</v>
      </c>
      <c r="X3420" s="5" t="s">
        <v>240</v>
      </c>
      <c r="Y3420" s="5" t="s">
        <v>240</v>
      </c>
      <c r="Z3420" s="6" t="s">
        <v>298</v>
      </c>
      <c r="AA3420" s="6" t="s">
        <v>240</v>
      </c>
      <c r="AB3420" s="6" t="s">
        <v>240</v>
      </c>
      <c r="AC3420" s="5" t="s">
        <v>240</v>
      </c>
      <c r="AD3420" s="6" t="s">
        <v>240</v>
      </c>
      <c r="AE3420" s="6" t="s">
        <v>299</v>
      </c>
      <c r="AF3420" s="5" t="s">
        <v>248</v>
      </c>
      <c r="AG3420" s="5" t="s">
        <v>249</v>
      </c>
      <c r="AH3420" s="5" t="s">
        <v>240</v>
      </c>
      <c r="AI3420" s="5" t="s">
        <v>240</v>
      </c>
      <c r="AJ3420" s="5" t="s">
        <v>240</v>
      </c>
      <c r="AK3420" s="5" t="s">
        <v>240</v>
      </c>
      <c r="AL3420" s="5" t="s">
        <v>240</v>
      </c>
      <c r="AM3420" s="5" t="s">
        <v>240</v>
      </c>
      <c r="AN3420" s="5" t="s">
        <v>240</v>
      </c>
      <c r="AO3420" s="5" t="s">
        <v>240</v>
      </c>
      <c r="AP3420" s="6" t="s">
        <v>240</v>
      </c>
      <c r="AQ3420" s="6" t="s">
        <v>240</v>
      </c>
      <c r="AR3420" s="6" t="s">
        <v>240</v>
      </c>
      <c r="AS3420" s="6" t="s">
        <v>240</v>
      </c>
      <c r="AT3420" s="5" t="s">
        <v>240</v>
      </c>
      <c r="AU3420" s="5" t="s">
        <v>729</v>
      </c>
      <c r="AV3420" s="5" t="s">
        <v>729</v>
      </c>
      <c r="AW3420" s="5" t="s">
        <v>251</v>
      </c>
      <c r="AX3420" s="5" t="s">
        <v>252</v>
      </c>
      <c r="AY3420" s="5" t="s">
        <v>253</v>
      </c>
      <c r="AZ3420" s="5" t="s">
        <v>6046</v>
      </c>
      <c r="BA3420" s="5" t="s">
        <v>255</v>
      </c>
      <c r="BB3420" s="5" t="s">
        <v>731</v>
      </c>
      <c r="BD3420" s="5" t="s">
        <v>240</v>
      </c>
      <c r="BF3420" s="5" t="s">
        <v>732</v>
      </c>
      <c r="BG3420" s="6" t="s">
        <v>733</v>
      </c>
      <c r="BH3420" s="5" t="s">
        <v>734</v>
      </c>
      <c r="BI3420" s="5" t="s">
        <v>734</v>
      </c>
      <c r="BJ3420" s="5" t="s">
        <v>240</v>
      </c>
      <c r="BK3420" s="7">
        <f>1</f>
        <v>1</v>
      </c>
      <c r="BL3420" s="7">
        <f>1</f>
        <v>1</v>
      </c>
      <c r="BM3420" s="5" t="s">
        <v>258</v>
      </c>
      <c r="BN3420" s="5" t="s">
        <v>259</v>
      </c>
      <c r="BO3420" s="5" t="s">
        <v>240</v>
      </c>
      <c r="BP3420" s="5" t="s">
        <v>240</v>
      </c>
      <c r="BQ3420" s="5" t="s">
        <v>240</v>
      </c>
      <c r="BR3420" s="5" t="s">
        <v>240</v>
      </c>
      <c r="BS3420" s="5" t="s">
        <v>240</v>
      </c>
      <c r="BT3420" s="5" t="s">
        <v>240</v>
      </c>
      <c r="BU3420" s="5" t="s">
        <v>240</v>
      </c>
      <c r="BV3420" s="5" t="s">
        <v>240</v>
      </c>
      <c r="BW3420" s="6" t="s">
        <v>240</v>
      </c>
      <c r="BX3420" s="5" t="s">
        <v>240</v>
      </c>
      <c r="BY3420" s="5" t="s">
        <v>240</v>
      </c>
      <c r="BZ3420" s="5" t="s">
        <v>240</v>
      </c>
      <c r="CA3420" s="5" t="s">
        <v>259</v>
      </c>
      <c r="CB3420" s="5" t="s">
        <v>240</v>
      </c>
      <c r="CC3420" s="5" t="s">
        <v>240</v>
      </c>
      <c r="CD3420" s="5" t="s">
        <v>240</v>
      </c>
      <c r="CE3420" s="5" t="s">
        <v>240</v>
      </c>
      <c r="CF3420" s="5" t="s">
        <v>240</v>
      </c>
      <c r="CG3420" s="5" t="s">
        <v>304</v>
      </c>
      <c r="CH3420" s="5" t="s">
        <v>305</v>
      </c>
      <c r="CI3420" s="5" t="s">
        <v>260</v>
      </c>
      <c r="CK3420" s="5" t="s">
        <v>3681</v>
      </c>
      <c r="CL3420" s="6" t="s">
        <v>261</v>
      </c>
      <c r="CM3420" s="5" t="s">
        <v>262</v>
      </c>
      <c r="CN3420" s="5" t="s">
        <v>263</v>
      </c>
      <c r="CO3420" s="5" t="s">
        <v>264</v>
      </c>
      <c r="CP3420" s="5" t="s">
        <v>240</v>
      </c>
      <c r="CQ3420" s="5">
        <v>0</v>
      </c>
      <c r="CR3420" s="5" t="s">
        <v>735</v>
      </c>
      <c r="CS3420" s="5" t="s">
        <v>307</v>
      </c>
      <c r="CT3420" s="5" t="s">
        <v>307</v>
      </c>
      <c r="CU3420" s="5" t="s">
        <v>260</v>
      </c>
      <c r="CV3420" s="5" t="s">
        <v>612</v>
      </c>
      <c r="CW3420" s="8">
        <f>1</f>
        <v>1</v>
      </c>
      <c r="CX3420" s="7">
        <f>1</f>
        <v>1</v>
      </c>
      <c r="CY3420" s="7">
        <f>0</f>
        <v>0</v>
      </c>
      <c r="DA3420" s="7">
        <f>1</f>
        <v>1</v>
      </c>
      <c r="DB3420" s="7" t="s">
        <v>240</v>
      </c>
      <c r="DC3420" s="5" t="s">
        <v>240</v>
      </c>
      <c r="DD3420" s="5" t="s">
        <v>240</v>
      </c>
      <c r="DE3420" s="5" t="s">
        <v>240</v>
      </c>
      <c r="DF3420" s="5" t="s">
        <v>240</v>
      </c>
      <c r="DG3420" s="7">
        <f>0</f>
        <v>0</v>
      </c>
      <c r="DI3420" s="5" t="s">
        <v>240</v>
      </c>
      <c r="DJ3420" s="5" t="s">
        <v>240</v>
      </c>
      <c r="DK3420" s="5" t="s">
        <v>240</v>
      </c>
      <c r="DL3420" s="5" t="s">
        <v>240</v>
      </c>
      <c r="DM3420" s="5" t="s">
        <v>240</v>
      </c>
      <c r="DN3420" s="5" t="s">
        <v>240</v>
      </c>
      <c r="DO3420" s="7" t="s">
        <v>240</v>
      </c>
      <c r="DP3420" s="5" t="s">
        <v>240</v>
      </c>
      <c r="DQ3420" s="5" t="s">
        <v>248</v>
      </c>
      <c r="DR3420" s="5" t="s">
        <v>731</v>
      </c>
      <c r="DS3420" s="5" t="s">
        <v>731</v>
      </c>
      <c r="DT3420" s="5" t="s">
        <v>240</v>
      </c>
      <c r="DU3420" s="5" t="s">
        <v>240</v>
      </c>
      <c r="DV3420" s="5" t="s">
        <v>6047</v>
      </c>
      <c r="DW3420" s="5" t="s">
        <v>765</v>
      </c>
      <c r="DX3420" s="5" t="s">
        <v>240</v>
      </c>
      <c r="DY3420" s="5" t="s">
        <v>240</v>
      </c>
      <c r="DZ3420" s="5" t="s">
        <v>240</v>
      </c>
      <c r="EA3420" s="5" t="s">
        <v>240</v>
      </c>
      <c r="EB3420" s="5" t="s">
        <v>240</v>
      </c>
      <c r="EC3420" s="5" t="s">
        <v>240</v>
      </c>
      <c r="ED3420" s="5" t="s">
        <v>240</v>
      </c>
      <c r="EE3420" s="5" t="s">
        <v>240</v>
      </c>
      <c r="EF3420" s="5" t="s">
        <v>240</v>
      </c>
      <c r="EG3420" s="5" t="s">
        <v>240</v>
      </c>
      <c r="EH3420" s="5" t="s">
        <v>240</v>
      </c>
      <c r="EI3420" s="5" t="s">
        <v>240</v>
      </c>
      <c r="EJ3420" s="5" t="s">
        <v>240</v>
      </c>
      <c r="EK3420" s="5" t="s">
        <v>240</v>
      </c>
      <c r="EL3420" s="5" t="s">
        <v>240</v>
      </c>
      <c r="EM3420" s="5" t="s">
        <v>240</v>
      </c>
      <c r="EN3420" s="5" t="s">
        <v>240</v>
      </c>
      <c r="EO3420" s="5" t="s">
        <v>240</v>
      </c>
      <c r="EP3420" s="5" t="s">
        <v>240</v>
      </c>
      <c r="EQ3420" s="5" t="s">
        <v>240</v>
      </c>
      <c r="ER3420" s="5" t="s">
        <v>240</v>
      </c>
      <c r="ES3420" s="5" t="s">
        <v>240</v>
      </c>
      <c r="ET3420" s="5" t="s">
        <v>240</v>
      </c>
      <c r="EU3420" s="5" t="s">
        <v>240</v>
      </c>
      <c r="EV3420" s="5" t="s">
        <v>240</v>
      </c>
      <c r="EW3420" s="5" t="s">
        <v>240</v>
      </c>
      <c r="EX3420" s="5" t="s">
        <v>240</v>
      </c>
      <c r="EY3420" s="5" t="s">
        <v>240</v>
      </c>
      <c r="EZ3420" s="5" t="s">
        <v>240</v>
      </c>
      <c r="FA3420" s="5" t="s">
        <v>240</v>
      </c>
      <c r="FB3420" s="5" t="s">
        <v>240</v>
      </c>
      <c r="FC3420" s="5" t="s">
        <v>240</v>
      </c>
      <c r="FD3420" s="5" t="s">
        <v>240</v>
      </c>
      <c r="FE3420" s="5" t="s">
        <v>240</v>
      </c>
      <c r="FF3420" s="5" t="s">
        <v>240</v>
      </c>
      <c r="FG3420" s="5" t="s">
        <v>240</v>
      </c>
      <c r="FH3420" s="5" t="s">
        <v>240</v>
      </c>
      <c r="FI3420" s="5" t="s">
        <v>240</v>
      </c>
      <c r="FJ3420" s="5" t="s">
        <v>240</v>
      </c>
      <c r="FK3420" s="5" t="s">
        <v>240</v>
      </c>
      <c r="FL3420" s="5" t="s">
        <v>240</v>
      </c>
      <c r="FM3420" s="5" t="s">
        <v>240</v>
      </c>
      <c r="FN3420" s="5" t="s">
        <v>240</v>
      </c>
      <c r="FO3420" s="5" t="s">
        <v>240</v>
      </c>
      <c r="FP3420" s="5" t="s">
        <v>240</v>
      </c>
      <c r="FQ3420" s="5" t="s">
        <v>240</v>
      </c>
      <c r="FR3420" s="5" t="s">
        <v>240</v>
      </c>
      <c r="FS3420" s="5" t="s">
        <v>240</v>
      </c>
      <c r="FT3420" s="5" t="s">
        <v>240</v>
      </c>
      <c r="FU3420" s="5" t="s">
        <v>240</v>
      </c>
      <c r="FV3420" s="5" t="s">
        <v>240</v>
      </c>
      <c r="FW3420" s="5" t="s">
        <v>240</v>
      </c>
      <c r="FX3420" s="5" t="s">
        <v>240</v>
      </c>
      <c r="FY3420" s="5" t="s">
        <v>240</v>
      </c>
      <c r="FZ3420" s="5" t="s">
        <v>240</v>
      </c>
      <c r="GA3420" s="5" t="s">
        <v>240</v>
      </c>
      <c r="GB3420" s="5" t="s">
        <v>240</v>
      </c>
      <c r="GC3420" s="5" t="s">
        <v>240</v>
      </c>
      <c r="GD3420" s="5" t="s">
        <v>240</v>
      </c>
      <c r="GE3420" s="5" t="s">
        <v>240</v>
      </c>
      <c r="GF3420" s="5" t="s">
        <v>240</v>
      </c>
      <c r="GG3420" s="5" t="s">
        <v>240</v>
      </c>
      <c r="GH3420" s="5" t="s">
        <v>240</v>
      </c>
      <c r="GI3420" s="5" t="s">
        <v>240</v>
      </c>
      <c r="GJ3420" s="5" t="s">
        <v>240</v>
      </c>
      <c r="GK3420" s="5" t="s">
        <v>240</v>
      </c>
      <c r="GL3420" s="5" t="s">
        <v>240</v>
      </c>
      <c r="GM3420" s="5" t="s">
        <v>240</v>
      </c>
      <c r="GN3420" s="5" t="s">
        <v>240</v>
      </c>
      <c r="GO3420" s="5" t="s">
        <v>240</v>
      </c>
      <c r="GP3420" s="5" t="s">
        <v>240</v>
      </c>
      <c r="GQ3420" s="5" t="s">
        <v>240</v>
      </c>
      <c r="GR3420" s="5" t="s">
        <v>240</v>
      </c>
      <c r="GS3420" s="5" t="s">
        <v>240</v>
      </c>
      <c r="GT3420" s="5" t="s">
        <v>240</v>
      </c>
      <c r="GU3420" s="5" t="s">
        <v>240</v>
      </c>
      <c r="GV3420" s="5" t="s">
        <v>240</v>
      </c>
      <c r="GW3420" s="5" t="s">
        <v>240</v>
      </c>
      <c r="GX3420" s="5" t="s">
        <v>240</v>
      </c>
      <c r="GY3420" s="5" t="s">
        <v>240</v>
      </c>
      <c r="GZ3420" s="5" t="s">
        <v>240</v>
      </c>
      <c r="HA3420" s="5" t="s">
        <v>240</v>
      </c>
      <c r="HB3420" s="5" t="s">
        <v>240</v>
      </c>
      <c r="HC3420" s="5" t="s">
        <v>240</v>
      </c>
      <c r="HD3420" s="5" t="s">
        <v>240</v>
      </c>
      <c r="HE3420" s="5" t="s">
        <v>240</v>
      </c>
      <c r="HF3420" s="5" t="s">
        <v>240</v>
      </c>
      <c r="HG3420" s="5" t="s">
        <v>240</v>
      </c>
      <c r="HH3420" s="5" t="s">
        <v>240</v>
      </c>
      <c r="HI3420" s="5" t="s">
        <v>240</v>
      </c>
      <c r="HJ3420" s="5" t="s">
        <v>240</v>
      </c>
      <c r="HK3420" s="5" t="s">
        <v>240</v>
      </c>
      <c r="HL3420" s="5" t="s">
        <v>240</v>
      </c>
      <c r="HM3420" s="5" t="s">
        <v>240</v>
      </c>
      <c r="HN3420" s="5" t="s">
        <v>240</v>
      </c>
      <c r="HO3420" s="5" t="s">
        <v>240</v>
      </c>
      <c r="HP3420" s="5" t="s">
        <v>240</v>
      </c>
      <c r="HQ3420" s="5" t="s">
        <v>240</v>
      </c>
      <c r="HR3420" s="5" t="s">
        <v>240</v>
      </c>
      <c r="HS3420" s="5" t="s">
        <v>240</v>
      </c>
      <c r="HT3420" s="5" t="s">
        <v>240</v>
      </c>
      <c r="HU3420" s="5" t="s">
        <v>240</v>
      </c>
      <c r="HV3420" s="5" t="s">
        <v>240</v>
      </c>
      <c r="HW3420" s="5" t="s">
        <v>240</v>
      </c>
      <c r="HX3420" s="5" t="s">
        <v>240</v>
      </c>
      <c r="HY3420" s="5" t="s">
        <v>240</v>
      </c>
      <c r="HZ3420" s="5" t="s">
        <v>240</v>
      </c>
      <c r="IA3420" s="5" t="s">
        <v>240</v>
      </c>
      <c r="IB3420" s="5" t="s">
        <v>240</v>
      </c>
      <c r="IC3420" s="5" t="s">
        <v>240</v>
      </c>
      <c r="ID3420" s="5" t="s">
        <v>240</v>
      </c>
      <c r="IE3420" s="5" t="s">
        <v>240</v>
      </c>
      <c r="IF3420" s="5" t="s">
        <v>240</v>
      </c>
    </row>
    <row r="3421" spans="1:240" x14ac:dyDescent="0.4">
      <c r="A3421" s="5">
        <v>8963</v>
      </c>
      <c r="B3421" s="5">
        <v>1</v>
      </c>
      <c r="C3421" s="5">
        <v>1</v>
      </c>
      <c r="D3421" s="5" t="s">
        <v>723</v>
      </c>
      <c r="E3421" s="5" t="s">
        <v>725</v>
      </c>
      <c r="F3421" s="5" t="s">
        <v>730</v>
      </c>
      <c r="G3421" s="5" t="s">
        <v>726</v>
      </c>
      <c r="H3421" s="6" t="s">
        <v>3691</v>
      </c>
      <c r="I3421" s="5" t="s">
        <v>3690</v>
      </c>
      <c r="J3421" s="8">
        <f>985</f>
        <v>985</v>
      </c>
      <c r="K3421" s="5" t="s">
        <v>308</v>
      </c>
      <c r="L3421" s="7">
        <f>0</f>
        <v>0</v>
      </c>
      <c r="M3421" s="7">
        <f>0</f>
        <v>0</v>
      </c>
      <c r="N3421" s="5" t="s">
        <v>242</v>
      </c>
      <c r="O3421" s="5">
        <v>1</v>
      </c>
      <c r="P3421" s="5" t="s">
        <v>294</v>
      </c>
      <c r="Q3421" s="5" t="s">
        <v>266</v>
      </c>
      <c r="R3421" s="5" t="s">
        <v>240</v>
      </c>
      <c r="S3421" s="5" t="s">
        <v>240</v>
      </c>
      <c r="T3421" s="5" t="s">
        <v>243</v>
      </c>
      <c r="U3421" s="5" t="s">
        <v>240</v>
      </c>
      <c r="V3421" s="5" t="s">
        <v>240</v>
      </c>
      <c r="Y3421" s="5" t="s">
        <v>240</v>
      </c>
      <c r="Z3421" s="6" t="s">
        <v>6029</v>
      </c>
      <c r="AB3421" s="6" t="s">
        <v>240</v>
      </c>
      <c r="AE3421" s="6" t="s">
        <v>3927</v>
      </c>
      <c r="AF3421" s="5" t="s">
        <v>248</v>
      </c>
      <c r="AG3421" s="5" t="s">
        <v>249</v>
      </c>
      <c r="AW3421" s="5" t="s">
        <v>251</v>
      </c>
      <c r="AX3421" s="5" t="s">
        <v>240</v>
      </c>
      <c r="AY3421" s="5" t="s">
        <v>253</v>
      </c>
      <c r="AZ3421" s="5" t="s">
        <v>240</v>
      </c>
      <c r="BA3421" s="5" t="s">
        <v>255</v>
      </c>
      <c r="BB3421" s="5" t="s">
        <v>240</v>
      </c>
      <c r="BD3421" s="5" t="s">
        <v>240</v>
      </c>
      <c r="BF3421" s="5" t="s">
        <v>687</v>
      </c>
      <c r="BG3421" s="6" t="s">
        <v>6029</v>
      </c>
      <c r="BH3421" s="5" t="s">
        <v>302</v>
      </c>
      <c r="BI3421" s="5" t="s">
        <v>448</v>
      </c>
      <c r="BJ3421" s="5" t="s">
        <v>240</v>
      </c>
      <c r="BK3421" s="8">
        <f>0</f>
        <v>0</v>
      </c>
      <c r="BL3421" s="7">
        <f>0</f>
        <v>0</v>
      </c>
      <c r="BM3421" s="5" t="s">
        <v>258</v>
      </c>
      <c r="BN3421" s="5" t="s">
        <v>259</v>
      </c>
      <c r="CB3421" s="5" t="s">
        <v>240</v>
      </c>
      <c r="CC3421" s="5" t="s">
        <v>240</v>
      </c>
      <c r="CG3421" s="5" t="s">
        <v>449</v>
      </c>
      <c r="CH3421" s="5" t="s">
        <v>305</v>
      </c>
      <c r="CI3421" s="5" t="s">
        <v>240</v>
      </c>
      <c r="CL3421" s="6" t="s">
        <v>261</v>
      </c>
      <c r="CM3421" s="5" t="s">
        <v>240</v>
      </c>
      <c r="CN3421" s="5" t="s">
        <v>263</v>
      </c>
      <c r="CO3421" s="5" t="s">
        <v>240</v>
      </c>
      <c r="CP3421" s="5" t="s">
        <v>240</v>
      </c>
      <c r="CQ3421" s="5">
        <v>0</v>
      </c>
      <c r="CR3421" s="5" t="s">
        <v>306</v>
      </c>
      <c r="CS3421" s="5" t="s">
        <v>307</v>
      </c>
      <c r="CT3421" s="5" t="s">
        <v>307</v>
      </c>
      <c r="CU3421" s="5" t="s">
        <v>260</v>
      </c>
      <c r="CX3421" s="7">
        <f>847887</f>
        <v>847887</v>
      </c>
      <c r="CY3421" s="7">
        <f>0</f>
        <v>0</v>
      </c>
      <c r="DA3421" s="7">
        <f>0</f>
        <v>0</v>
      </c>
      <c r="DC3421" s="5" t="s">
        <v>450</v>
      </c>
      <c r="DD3421" s="5" t="s">
        <v>240</v>
      </c>
      <c r="DF3421" s="5" t="s">
        <v>450</v>
      </c>
      <c r="DG3421" s="7">
        <f>620.79</f>
        <v>620.79</v>
      </c>
      <c r="DI3421" s="5" t="s">
        <v>240</v>
      </c>
      <c r="DJ3421" s="5" t="s">
        <v>240</v>
      </c>
      <c r="DK3421" s="5" t="s">
        <v>240</v>
      </c>
      <c r="DL3421" s="5" t="s">
        <v>240</v>
      </c>
      <c r="DP3421" s="5" t="s">
        <v>240</v>
      </c>
      <c r="DQ3421" s="5" t="s">
        <v>240</v>
      </c>
      <c r="DR3421" s="5" t="s">
        <v>240</v>
      </c>
      <c r="DS3421" s="5" t="s">
        <v>240</v>
      </c>
      <c r="DV3421" s="5" t="s">
        <v>310</v>
      </c>
      <c r="DW3421" s="5" t="s">
        <v>4672</v>
      </c>
      <c r="HO3421" s="5" t="s">
        <v>312</v>
      </c>
    </row>
    <row r="3422" spans="1:240" x14ac:dyDescent="0.4">
      <c r="A3422" s="5">
        <v>8964</v>
      </c>
      <c r="B3422" s="5">
        <v>1</v>
      </c>
      <c r="C3422" s="5">
        <v>1</v>
      </c>
      <c r="D3422" s="5" t="s">
        <v>723</v>
      </c>
      <c r="E3422" s="5" t="s">
        <v>725</v>
      </c>
      <c r="F3422" s="5" t="s">
        <v>730</v>
      </c>
      <c r="G3422" s="5" t="s">
        <v>726</v>
      </c>
      <c r="H3422" s="6" t="s">
        <v>3730</v>
      </c>
      <c r="I3422" s="5" t="s">
        <v>3729</v>
      </c>
      <c r="J3422" s="8">
        <f>409</f>
        <v>409</v>
      </c>
      <c r="K3422" s="5" t="s">
        <v>308</v>
      </c>
      <c r="L3422" s="7">
        <f>0</f>
        <v>0</v>
      </c>
      <c r="M3422" s="7">
        <f>0</f>
        <v>0</v>
      </c>
      <c r="N3422" s="5" t="s">
        <v>242</v>
      </c>
      <c r="O3422" s="5">
        <v>1</v>
      </c>
      <c r="P3422" s="5" t="s">
        <v>294</v>
      </c>
      <c r="Q3422" s="5" t="s">
        <v>3678</v>
      </c>
      <c r="R3422" s="5" t="s">
        <v>240</v>
      </c>
      <c r="S3422" s="5" t="s">
        <v>240</v>
      </c>
      <c r="T3422" s="5" t="s">
        <v>243</v>
      </c>
      <c r="U3422" s="5" t="s">
        <v>244</v>
      </c>
      <c r="V3422" s="5" t="s">
        <v>240</v>
      </c>
      <c r="W3422" s="5" t="s">
        <v>240</v>
      </c>
      <c r="X3422" s="5" t="s">
        <v>240</v>
      </c>
      <c r="Y3422" s="5" t="s">
        <v>240</v>
      </c>
      <c r="Z3422" s="6" t="s">
        <v>298</v>
      </c>
      <c r="AA3422" s="6" t="s">
        <v>240</v>
      </c>
      <c r="AB3422" s="6" t="s">
        <v>240</v>
      </c>
      <c r="AC3422" s="5" t="s">
        <v>240</v>
      </c>
      <c r="AD3422" s="6" t="s">
        <v>240</v>
      </c>
      <c r="AE3422" s="6" t="s">
        <v>299</v>
      </c>
      <c r="AF3422" s="5" t="s">
        <v>248</v>
      </c>
      <c r="AG3422" s="5" t="s">
        <v>249</v>
      </c>
      <c r="AH3422" s="5" t="s">
        <v>240</v>
      </c>
      <c r="AI3422" s="5" t="s">
        <v>240</v>
      </c>
      <c r="AJ3422" s="5" t="s">
        <v>240</v>
      </c>
      <c r="AK3422" s="5" t="s">
        <v>240</v>
      </c>
      <c r="AL3422" s="5" t="s">
        <v>240</v>
      </c>
      <c r="AM3422" s="5" t="s">
        <v>240</v>
      </c>
      <c r="AN3422" s="5" t="s">
        <v>240</v>
      </c>
      <c r="AO3422" s="5" t="s">
        <v>240</v>
      </c>
      <c r="AP3422" s="6" t="s">
        <v>240</v>
      </c>
      <c r="AQ3422" s="6" t="s">
        <v>240</v>
      </c>
      <c r="AR3422" s="6" t="s">
        <v>240</v>
      </c>
      <c r="AS3422" s="6" t="s">
        <v>240</v>
      </c>
      <c r="AT3422" s="5" t="s">
        <v>240</v>
      </c>
      <c r="AU3422" s="5" t="s">
        <v>729</v>
      </c>
      <c r="AV3422" s="5" t="s">
        <v>729</v>
      </c>
      <c r="AW3422" s="5" t="s">
        <v>251</v>
      </c>
      <c r="AX3422" s="5" t="s">
        <v>252</v>
      </c>
      <c r="AY3422" s="5" t="s">
        <v>253</v>
      </c>
      <c r="AZ3422" s="5" t="s">
        <v>6046</v>
      </c>
      <c r="BA3422" s="5" t="s">
        <v>255</v>
      </c>
      <c r="BB3422" s="5" t="s">
        <v>731</v>
      </c>
      <c r="BD3422" s="5" t="s">
        <v>240</v>
      </c>
      <c r="BF3422" s="5" t="s">
        <v>732</v>
      </c>
      <c r="BG3422" s="6" t="s">
        <v>733</v>
      </c>
      <c r="BH3422" s="5" t="s">
        <v>734</v>
      </c>
      <c r="BI3422" s="5" t="s">
        <v>734</v>
      </c>
      <c r="BJ3422" s="5" t="s">
        <v>240</v>
      </c>
      <c r="BK3422" s="7">
        <f>1</f>
        <v>1</v>
      </c>
      <c r="BL3422" s="7">
        <f>1</f>
        <v>1</v>
      </c>
      <c r="BM3422" s="5" t="s">
        <v>258</v>
      </c>
      <c r="BN3422" s="5" t="s">
        <v>259</v>
      </c>
      <c r="BO3422" s="5" t="s">
        <v>240</v>
      </c>
      <c r="BP3422" s="5" t="s">
        <v>240</v>
      </c>
      <c r="BQ3422" s="5" t="s">
        <v>240</v>
      </c>
      <c r="BR3422" s="5" t="s">
        <v>240</v>
      </c>
      <c r="BS3422" s="5" t="s">
        <v>240</v>
      </c>
      <c r="BT3422" s="5" t="s">
        <v>240</v>
      </c>
      <c r="BU3422" s="5" t="s">
        <v>240</v>
      </c>
      <c r="BV3422" s="5" t="s">
        <v>240</v>
      </c>
      <c r="BW3422" s="6" t="s">
        <v>240</v>
      </c>
      <c r="BX3422" s="5" t="s">
        <v>240</v>
      </c>
      <c r="BY3422" s="5" t="s">
        <v>240</v>
      </c>
      <c r="BZ3422" s="5" t="s">
        <v>240</v>
      </c>
      <c r="CA3422" s="5" t="s">
        <v>259</v>
      </c>
      <c r="CB3422" s="5" t="s">
        <v>240</v>
      </c>
      <c r="CC3422" s="5" t="s">
        <v>240</v>
      </c>
      <c r="CD3422" s="5" t="s">
        <v>240</v>
      </c>
      <c r="CE3422" s="5" t="s">
        <v>240</v>
      </c>
      <c r="CF3422" s="5" t="s">
        <v>240</v>
      </c>
      <c r="CG3422" s="5" t="s">
        <v>304</v>
      </c>
      <c r="CH3422" s="5" t="s">
        <v>305</v>
      </c>
      <c r="CI3422" s="5" t="s">
        <v>260</v>
      </c>
      <c r="CK3422" s="5" t="s">
        <v>3681</v>
      </c>
      <c r="CL3422" s="6" t="s">
        <v>261</v>
      </c>
      <c r="CM3422" s="5" t="s">
        <v>262</v>
      </c>
      <c r="CN3422" s="5" t="s">
        <v>263</v>
      </c>
      <c r="CO3422" s="5" t="s">
        <v>264</v>
      </c>
      <c r="CP3422" s="5" t="s">
        <v>240</v>
      </c>
      <c r="CQ3422" s="5">
        <v>0</v>
      </c>
      <c r="CR3422" s="5" t="s">
        <v>735</v>
      </c>
      <c r="CS3422" s="5" t="s">
        <v>307</v>
      </c>
      <c r="CT3422" s="5" t="s">
        <v>307</v>
      </c>
      <c r="CU3422" s="5" t="s">
        <v>260</v>
      </c>
      <c r="CV3422" s="5" t="s">
        <v>612</v>
      </c>
      <c r="CW3422" s="8">
        <f>1</f>
        <v>1</v>
      </c>
      <c r="CX3422" s="7">
        <f>1</f>
        <v>1</v>
      </c>
      <c r="CY3422" s="7">
        <f>0</f>
        <v>0</v>
      </c>
      <c r="DA3422" s="7">
        <f>1</f>
        <v>1</v>
      </c>
      <c r="DB3422" s="7" t="s">
        <v>240</v>
      </c>
      <c r="DC3422" s="5" t="s">
        <v>240</v>
      </c>
      <c r="DD3422" s="5" t="s">
        <v>240</v>
      </c>
      <c r="DE3422" s="5" t="s">
        <v>240</v>
      </c>
      <c r="DF3422" s="5" t="s">
        <v>240</v>
      </c>
      <c r="DG3422" s="7">
        <f>0</f>
        <v>0</v>
      </c>
      <c r="DI3422" s="5" t="s">
        <v>240</v>
      </c>
      <c r="DJ3422" s="5" t="s">
        <v>240</v>
      </c>
      <c r="DK3422" s="5" t="s">
        <v>240</v>
      </c>
      <c r="DL3422" s="5" t="s">
        <v>240</v>
      </c>
      <c r="DM3422" s="5" t="s">
        <v>240</v>
      </c>
      <c r="DN3422" s="5" t="s">
        <v>240</v>
      </c>
      <c r="DO3422" s="7" t="s">
        <v>240</v>
      </c>
      <c r="DP3422" s="5" t="s">
        <v>240</v>
      </c>
      <c r="DQ3422" s="5" t="s">
        <v>248</v>
      </c>
      <c r="DR3422" s="5" t="s">
        <v>731</v>
      </c>
      <c r="DS3422" s="5" t="s">
        <v>731</v>
      </c>
      <c r="DT3422" s="5" t="s">
        <v>240</v>
      </c>
      <c r="DU3422" s="5" t="s">
        <v>240</v>
      </c>
      <c r="DV3422" s="5" t="s">
        <v>6047</v>
      </c>
      <c r="DW3422" s="5" t="s">
        <v>785</v>
      </c>
      <c r="DX3422" s="5" t="s">
        <v>240</v>
      </c>
      <c r="DY3422" s="5" t="s">
        <v>240</v>
      </c>
      <c r="DZ3422" s="5" t="s">
        <v>240</v>
      </c>
      <c r="EA3422" s="5" t="s">
        <v>240</v>
      </c>
      <c r="EB3422" s="5" t="s">
        <v>240</v>
      </c>
      <c r="EC3422" s="5" t="s">
        <v>240</v>
      </c>
      <c r="ED3422" s="5" t="s">
        <v>240</v>
      </c>
      <c r="EE3422" s="5" t="s">
        <v>240</v>
      </c>
      <c r="EF3422" s="5" t="s">
        <v>240</v>
      </c>
      <c r="EG3422" s="5" t="s">
        <v>240</v>
      </c>
      <c r="EH3422" s="5" t="s">
        <v>240</v>
      </c>
      <c r="EI3422" s="5" t="s">
        <v>240</v>
      </c>
      <c r="EJ3422" s="5" t="s">
        <v>240</v>
      </c>
      <c r="EK3422" s="5" t="s">
        <v>240</v>
      </c>
      <c r="EL3422" s="5" t="s">
        <v>240</v>
      </c>
      <c r="EM3422" s="5" t="s">
        <v>240</v>
      </c>
      <c r="EN3422" s="5" t="s">
        <v>240</v>
      </c>
      <c r="EO3422" s="5" t="s">
        <v>240</v>
      </c>
      <c r="EP3422" s="5" t="s">
        <v>240</v>
      </c>
      <c r="EQ3422" s="5" t="s">
        <v>240</v>
      </c>
      <c r="ER3422" s="5" t="s">
        <v>240</v>
      </c>
      <c r="ES3422" s="5" t="s">
        <v>240</v>
      </c>
      <c r="ET3422" s="5" t="s">
        <v>240</v>
      </c>
      <c r="EU3422" s="5" t="s">
        <v>240</v>
      </c>
      <c r="EV3422" s="5" t="s">
        <v>240</v>
      </c>
      <c r="EW3422" s="5" t="s">
        <v>240</v>
      </c>
      <c r="EX3422" s="5" t="s">
        <v>240</v>
      </c>
      <c r="EY3422" s="5" t="s">
        <v>240</v>
      </c>
      <c r="EZ3422" s="5" t="s">
        <v>240</v>
      </c>
      <c r="FA3422" s="5" t="s">
        <v>240</v>
      </c>
      <c r="FB3422" s="5" t="s">
        <v>240</v>
      </c>
      <c r="FC3422" s="5" t="s">
        <v>240</v>
      </c>
      <c r="FD3422" s="5" t="s">
        <v>240</v>
      </c>
      <c r="FE3422" s="5" t="s">
        <v>240</v>
      </c>
      <c r="FF3422" s="5" t="s">
        <v>240</v>
      </c>
      <c r="FG3422" s="5" t="s">
        <v>240</v>
      </c>
      <c r="FH3422" s="5" t="s">
        <v>240</v>
      </c>
      <c r="FI3422" s="5" t="s">
        <v>240</v>
      </c>
      <c r="FJ3422" s="5" t="s">
        <v>240</v>
      </c>
      <c r="FK3422" s="5" t="s">
        <v>240</v>
      </c>
      <c r="FL3422" s="5" t="s">
        <v>240</v>
      </c>
      <c r="FM3422" s="5" t="s">
        <v>240</v>
      </c>
      <c r="FN3422" s="5" t="s">
        <v>240</v>
      </c>
      <c r="FO3422" s="5" t="s">
        <v>240</v>
      </c>
      <c r="FP3422" s="5" t="s">
        <v>240</v>
      </c>
      <c r="FQ3422" s="5" t="s">
        <v>240</v>
      </c>
      <c r="FR3422" s="5" t="s">
        <v>240</v>
      </c>
      <c r="FS3422" s="5" t="s">
        <v>240</v>
      </c>
      <c r="FT3422" s="5" t="s">
        <v>240</v>
      </c>
      <c r="FU3422" s="5" t="s">
        <v>240</v>
      </c>
      <c r="FV3422" s="5" t="s">
        <v>240</v>
      </c>
      <c r="FW3422" s="5" t="s">
        <v>240</v>
      </c>
      <c r="FX3422" s="5" t="s">
        <v>240</v>
      </c>
      <c r="FY3422" s="5" t="s">
        <v>240</v>
      </c>
      <c r="FZ3422" s="5" t="s">
        <v>240</v>
      </c>
      <c r="GA3422" s="5" t="s">
        <v>240</v>
      </c>
      <c r="GB3422" s="5" t="s">
        <v>240</v>
      </c>
      <c r="GC3422" s="5" t="s">
        <v>240</v>
      </c>
      <c r="GD3422" s="5" t="s">
        <v>240</v>
      </c>
      <c r="GE3422" s="5" t="s">
        <v>240</v>
      </c>
      <c r="GF3422" s="5" t="s">
        <v>240</v>
      </c>
      <c r="GG3422" s="5" t="s">
        <v>240</v>
      </c>
      <c r="GH3422" s="5" t="s">
        <v>240</v>
      </c>
      <c r="GI3422" s="5" t="s">
        <v>240</v>
      </c>
      <c r="GJ3422" s="5" t="s">
        <v>240</v>
      </c>
      <c r="GK3422" s="5" t="s">
        <v>240</v>
      </c>
      <c r="GL3422" s="5" t="s">
        <v>240</v>
      </c>
      <c r="GM3422" s="5" t="s">
        <v>240</v>
      </c>
      <c r="GN3422" s="5" t="s">
        <v>240</v>
      </c>
      <c r="GO3422" s="5" t="s">
        <v>240</v>
      </c>
      <c r="GP3422" s="5" t="s">
        <v>240</v>
      </c>
      <c r="GQ3422" s="5" t="s">
        <v>240</v>
      </c>
      <c r="GR3422" s="5" t="s">
        <v>240</v>
      </c>
      <c r="GS3422" s="5" t="s">
        <v>240</v>
      </c>
      <c r="GT3422" s="5" t="s">
        <v>240</v>
      </c>
      <c r="GU3422" s="5" t="s">
        <v>240</v>
      </c>
      <c r="GV3422" s="5" t="s">
        <v>240</v>
      </c>
      <c r="GW3422" s="5" t="s">
        <v>240</v>
      </c>
      <c r="GX3422" s="5" t="s">
        <v>240</v>
      </c>
      <c r="GY3422" s="5" t="s">
        <v>240</v>
      </c>
      <c r="GZ3422" s="5" t="s">
        <v>240</v>
      </c>
      <c r="HA3422" s="5" t="s">
        <v>240</v>
      </c>
      <c r="HB3422" s="5" t="s">
        <v>240</v>
      </c>
      <c r="HC3422" s="5" t="s">
        <v>240</v>
      </c>
      <c r="HD3422" s="5" t="s">
        <v>240</v>
      </c>
      <c r="HE3422" s="5" t="s">
        <v>240</v>
      </c>
      <c r="HF3422" s="5" t="s">
        <v>240</v>
      </c>
      <c r="HG3422" s="5" t="s">
        <v>240</v>
      </c>
      <c r="HH3422" s="5" t="s">
        <v>240</v>
      </c>
      <c r="HI3422" s="5" t="s">
        <v>240</v>
      </c>
      <c r="HJ3422" s="5" t="s">
        <v>240</v>
      </c>
      <c r="HK3422" s="5" t="s">
        <v>240</v>
      </c>
      <c r="HL3422" s="5" t="s">
        <v>240</v>
      </c>
      <c r="HM3422" s="5" t="s">
        <v>240</v>
      </c>
      <c r="HN3422" s="5" t="s">
        <v>240</v>
      </c>
      <c r="HO3422" s="5" t="s">
        <v>240</v>
      </c>
      <c r="HP3422" s="5" t="s">
        <v>240</v>
      </c>
      <c r="HQ3422" s="5" t="s">
        <v>240</v>
      </c>
      <c r="HR3422" s="5" t="s">
        <v>240</v>
      </c>
      <c r="HS3422" s="5" t="s">
        <v>240</v>
      </c>
      <c r="HT3422" s="5" t="s">
        <v>240</v>
      </c>
      <c r="HU3422" s="5" t="s">
        <v>240</v>
      </c>
      <c r="HV3422" s="5" t="s">
        <v>240</v>
      </c>
      <c r="HW3422" s="5" t="s">
        <v>240</v>
      </c>
      <c r="HX3422" s="5" t="s">
        <v>240</v>
      </c>
      <c r="HY3422" s="5" t="s">
        <v>240</v>
      </c>
      <c r="HZ3422" s="5" t="s">
        <v>240</v>
      </c>
      <c r="IA3422" s="5" t="s">
        <v>240</v>
      </c>
      <c r="IB3422" s="5" t="s">
        <v>240</v>
      </c>
      <c r="IC3422" s="5" t="s">
        <v>240</v>
      </c>
      <c r="ID3422" s="5" t="s">
        <v>240</v>
      </c>
      <c r="IE3422" s="5" t="s">
        <v>240</v>
      </c>
      <c r="IF3422" s="5" t="s">
        <v>240</v>
      </c>
    </row>
    <row r="3423" spans="1:240" x14ac:dyDescent="0.4">
      <c r="A3423" s="5">
        <v>8965</v>
      </c>
      <c r="B3423" s="5">
        <v>1</v>
      </c>
      <c r="C3423" s="5">
        <v>1</v>
      </c>
      <c r="D3423" s="5" t="s">
        <v>723</v>
      </c>
      <c r="E3423" s="5" t="s">
        <v>725</v>
      </c>
      <c r="F3423" s="5" t="s">
        <v>730</v>
      </c>
      <c r="G3423" s="5" t="s">
        <v>726</v>
      </c>
      <c r="H3423" s="6" t="s">
        <v>3858</v>
      </c>
      <c r="I3423" s="5" t="s">
        <v>990</v>
      </c>
      <c r="J3423" s="8">
        <f>127</f>
        <v>127</v>
      </c>
      <c r="K3423" s="5" t="s">
        <v>308</v>
      </c>
      <c r="L3423" s="7">
        <f>0</f>
        <v>0</v>
      </c>
      <c r="M3423" s="7">
        <f>0</f>
        <v>0</v>
      </c>
      <c r="N3423" s="5" t="s">
        <v>242</v>
      </c>
      <c r="O3423" s="5">
        <v>1</v>
      </c>
      <c r="P3423" s="5" t="s">
        <v>294</v>
      </c>
      <c r="Q3423" s="5" t="s">
        <v>3678</v>
      </c>
      <c r="R3423" s="5" t="s">
        <v>240</v>
      </c>
      <c r="S3423" s="5" t="s">
        <v>240</v>
      </c>
      <c r="T3423" s="5" t="s">
        <v>243</v>
      </c>
      <c r="U3423" s="5" t="s">
        <v>244</v>
      </c>
      <c r="V3423" s="5" t="s">
        <v>240</v>
      </c>
      <c r="W3423" s="5" t="s">
        <v>240</v>
      </c>
      <c r="X3423" s="5" t="s">
        <v>240</v>
      </c>
      <c r="Y3423" s="5" t="s">
        <v>240</v>
      </c>
      <c r="Z3423" s="6" t="s">
        <v>298</v>
      </c>
      <c r="AA3423" s="6" t="s">
        <v>240</v>
      </c>
      <c r="AB3423" s="6" t="s">
        <v>240</v>
      </c>
      <c r="AC3423" s="5" t="s">
        <v>240</v>
      </c>
      <c r="AD3423" s="6" t="s">
        <v>240</v>
      </c>
      <c r="AE3423" s="6" t="s">
        <v>299</v>
      </c>
      <c r="AF3423" s="5" t="s">
        <v>248</v>
      </c>
      <c r="AG3423" s="5" t="s">
        <v>249</v>
      </c>
      <c r="AH3423" s="5" t="s">
        <v>240</v>
      </c>
      <c r="AI3423" s="5" t="s">
        <v>240</v>
      </c>
      <c r="AJ3423" s="5" t="s">
        <v>240</v>
      </c>
      <c r="AK3423" s="5" t="s">
        <v>240</v>
      </c>
      <c r="AL3423" s="5" t="s">
        <v>240</v>
      </c>
      <c r="AM3423" s="5" t="s">
        <v>240</v>
      </c>
      <c r="AN3423" s="5" t="s">
        <v>240</v>
      </c>
      <c r="AO3423" s="5" t="s">
        <v>240</v>
      </c>
      <c r="AP3423" s="6" t="s">
        <v>240</v>
      </c>
      <c r="AQ3423" s="6" t="s">
        <v>240</v>
      </c>
      <c r="AR3423" s="6" t="s">
        <v>240</v>
      </c>
      <c r="AS3423" s="6" t="s">
        <v>240</v>
      </c>
      <c r="AT3423" s="5" t="s">
        <v>240</v>
      </c>
      <c r="AU3423" s="5" t="s">
        <v>729</v>
      </c>
      <c r="AV3423" s="5" t="s">
        <v>729</v>
      </c>
      <c r="AW3423" s="5" t="s">
        <v>251</v>
      </c>
      <c r="AX3423" s="5" t="s">
        <v>252</v>
      </c>
      <c r="AY3423" s="5" t="s">
        <v>253</v>
      </c>
      <c r="AZ3423" s="5" t="s">
        <v>6046</v>
      </c>
      <c r="BA3423" s="5" t="s">
        <v>255</v>
      </c>
      <c r="BB3423" s="5" t="s">
        <v>731</v>
      </c>
      <c r="BD3423" s="5" t="s">
        <v>240</v>
      </c>
      <c r="BF3423" s="5" t="s">
        <v>732</v>
      </c>
      <c r="BG3423" s="6" t="s">
        <v>733</v>
      </c>
      <c r="BH3423" s="5" t="s">
        <v>734</v>
      </c>
      <c r="BI3423" s="5" t="s">
        <v>734</v>
      </c>
      <c r="BJ3423" s="5" t="s">
        <v>240</v>
      </c>
      <c r="BK3423" s="7">
        <f>1</f>
        <v>1</v>
      </c>
      <c r="BL3423" s="7">
        <f>1</f>
        <v>1</v>
      </c>
      <c r="BM3423" s="5" t="s">
        <v>258</v>
      </c>
      <c r="BN3423" s="5" t="s">
        <v>259</v>
      </c>
      <c r="BO3423" s="5" t="s">
        <v>240</v>
      </c>
      <c r="BP3423" s="5" t="s">
        <v>240</v>
      </c>
      <c r="BQ3423" s="5" t="s">
        <v>240</v>
      </c>
      <c r="BR3423" s="5" t="s">
        <v>240</v>
      </c>
      <c r="BS3423" s="5" t="s">
        <v>240</v>
      </c>
      <c r="BT3423" s="5" t="s">
        <v>240</v>
      </c>
      <c r="BU3423" s="5" t="s">
        <v>240</v>
      </c>
      <c r="BV3423" s="5" t="s">
        <v>240</v>
      </c>
      <c r="BW3423" s="6" t="s">
        <v>240</v>
      </c>
      <c r="BX3423" s="5" t="s">
        <v>240</v>
      </c>
      <c r="BY3423" s="5" t="s">
        <v>240</v>
      </c>
      <c r="BZ3423" s="5" t="s">
        <v>240</v>
      </c>
      <c r="CA3423" s="5" t="s">
        <v>259</v>
      </c>
      <c r="CB3423" s="5" t="s">
        <v>240</v>
      </c>
      <c r="CC3423" s="5" t="s">
        <v>240</v>
      </c>
      <c r="CD3423" s="5" t="s">
        <v>240</v>
      </c>
      <c r="CE3423" s="5" t="s">
        <v>240</v>
      </c>
      <c r="CF3423" s="5" t="s">
        <v>240</v>
      </c>
      <c r="CG3423" s="5" t="s">
        <v>304</v>
      </c>
      <c r="CH3423" s="5" t="s">
        <v>305</v>
      </c>
      <c r="CI3423" s="5" t="s">
        <v>260</v>
      </c>
      <c r="CK3423" s="5" t="s">
        <v>3681</v>
      </c>
      <c r="CL3423" s="6" t="s">
        <v>261</v>
      </c>
      <c r="CM3423" s="5" t="s">
        <v>262</v>
      </c>
      <c r="CN3423" s="5" t="s">
        <v>263</v>
      </c>
      <c r="CO3423" s="5" t="s">
        <v>264</v>
      </c>
      <c r="CP3423" s="5" t="s">
        <v>240</v>
      </c>
      <c r="CQ3423" s="5">
        <v>0</v>
      </c>
      <c r="CR3423" s="5" t="s">
        <v>735</v>
      </c>
      <c r="CS3423" s="5" t="s">
        <v>307</v>
      </c>
      <c r="CT3423" s="5" t="s">
        <v>307</v>
      </c>
      <c r="CU3423" s="5" t="s">
        <v>260</v>
      </c>
      <c r="CV3423" s="5" t="s">
        <v>612</v>
      </c>
      <c r="CW3423" s="8">
        <f>1</f>
        <v>1</v>
      </c>
      <c r="CX3423" s="7">
        <f>1</f>
        <v>1</v>
      </c>
      <c r="CY3423" s="7">
        <f>0</f>
        <v>0</v>
      </c>
      <c r="DA3423" s="7">
        <f>1</f>
        <v>1</v>
      </c>
      <c r="DB3423" s="7" t="s">
        <v>240</v>
      </c>
      <c r="DC3423" s="5" t="s">
        <v>240</v>
      </c>
      <c r="DD3423" s="5" t="s">
        <v>240</v>
      </c>
      <c r="DE3423" s="5" t="s">
        <v>240</v>
      </c>
      <c r="DF3423" s="5" t="s">
        <v>240</v>
      </c>
      <c r="DG3423" s="7">
        <f>0</f>
        <v>0</v>
      </c>
      <c r="DI3423" s="5" t="s">
        <v>240</v>
      </c>
      <c r="DJ3423" s="5" t="s">
        <v>240</v>
      </c>
      <c r="DK3423" s="5" t="s">
        <v>240</v>
      </c>
      <c r="DL3423" s="5" t="s">
        <v>240</v>
      </c>
      <c r="DM3423" s="5" t="s">
        <v>240</v>
      </c>
      <c r="DN3423" s="5" t="s">
        <v>240</v>
      </c>
      <c r="DO3423" s="7" t="s">
        <v>240</v>
      </c>
      <c r="DP3423" s="5" t="s">
        <v>240</v>
      </c>
      <c r="DQ3423" s="5" t="s">
        <v>248</v>
      </c>
      <c r="DR3423" s="5" t="s">
        <v>731</v>
      </c>
      <c r="DS3423" s="5" t="s">
        <v>731</v>
      </c>
      <c r="DT3423" s="5" t="s">
        <v>240</v>
      </c>
      <c r="DU3423" s="5" t="s">
        <v>240</v>
      </c>
      <c r="DV3423" s="5" t="s">
        <v>6047</v>
      </c>
      <c r="DW3423" s="5" t="s">
        <v>783</v>
      </c>
      <c r="DX3423" s="5" t="s">
        <v>240</v>
      </c>
      <c r="DY3423" s="5" t="s">
        <v>240</v>
      </c>
      <c r="DZ3423" s="5" t="s">
        <v>240</v>
      </c>
      <c r="EA3423" s="5" t="s">
        <v>240</v>
      </c>
      <c r="EB3423" s="5" t="s">
        <v>240</v>
      </c>
      <c r="EC3423" s="5" t="s">
        <v>240</v>
      </c>
      <c r="ED3423" s="5" t="s">
        <v>240</v>
      </c>
      <c r="EE3423" s="5" t="s">
        <v>240</v>
      </c>
      <c r="EF3423" s="5" t="s">
        <v>240</v>
      </c>
      <c r="EG3423" s="5" t="s">
        <v>240</v>
      </c>
      <c r="EH3423" s="5" t="s">
        <v>240</v>
      </c>
      <c r="EI3423" s="5" t="s">
        <v>240</v>
      </c>
      <c r="EJ3423" s="5" t="s">
        <v>240</v>
      </c>
      <c r="EK3423" s="5" t="s">
        <v>240</v>
      </c>
      <c r="EL3423" s="5" t="s">
        <v>240</v>
      </c>
      <c r="EM3423" s="5" t="s">
        <v>240</v>
      </c>
      <c r="EN3423" s="5" t="s">
        <v>240</v>
      </c>
      <c r="EO3423" s="5" t="s">
        <v>240</v>
      </c>
      <c r="EP3423" s="5" t="s">
        <v>240</v>
      </c>
      <c r="EQ3423" s="5" t="s">
        <v>240</v>
      </c>
      <c r="ER3423" s="5" t="s">
        <v>240</v>
      </c>
      <c r="ES3423" s="5" t="s">
        <v>240</v>
      </c>
      <c r="ET3423" s="5" t="s">
        <v>240</v>
      </c>
      <c r="EU3423" s="5" t="s">
        <v>240</v>
      </c>
      <c r="EV3423" s="5" t="s">
        <v>240</v>
      </c>
      <c r="EW3423" s="5" t="s">
        <v>240</v>
      </c>
      <c r="EX3423" s="5" t="s">
        <v>240</v>
      </c>
      <c r="EY3423" s="5" t="s">
        <v>240</v>
      </c>
      <c r="EZ3423" s="5" t="s">
        <v>240</v>
      </c>
      <c r="FA3423" s="5" t="s">
        <v>240</v>
      </c>
      <c r="FB3423" s="5" t="s">
        <v>240</v>
      </c>
      <c r="FC3423" s="5" t="s">
        <v>240</v>
      </c>
      <c r="FD3423" s="5" t="s">
        <v>240</v>
      </c>
      <c r="FE3423" s="5" t="s">
        <v>240</v>
      </c>
      <c r="FF3423" s="5" t="s">
        <v>240</v>
      </c>
      <c r="FG3423" s="5" t="s">
        <v>240</v>
      </c>
      <c r="FH3423" s="5" t="s">
        <v>240</v>
      </c>
      <c r="FI3423" s="5" t="s">
        <v>240</v>
      </c>
      <c r="FJ3423" s="5" t="s">
        <v>240</v>
      </c>
      <c r="FK3423" s="5" t="s">
        <v>240</v>
      </c>
      <c r="FL3423" s="5" t="s">
        <v>240</v>
      </c>
      <c r="FM3423" s="5" t="s">
        <v>240</v>
      </c>
      <c r="FN3423" s="5" t="s">
        <v>240</v>
      </c>
      <c r="FO3423" s="5" t="s">
        <v>240</v>
      </c>
      <c r="FP3423" s="5" t="s">
        <v>240</v>
      </c>
      <c r="FQ3423" s="5" t="s">
        <v>240</v>
      </c>
      <c r="FR3423" s="5" t="s">
        <v>240</v>
      </c>
      <c r="FS3423" s="5" t="s">
        <v>240</v>
      </c>
      <c r="FT3423" s="5" t="s">
        <v>240</v>
      </c>
      <c r="FU3423" s="5" t="s">
        <v>240</v>
      </c>
      <c r="FV3423" s="5" t="s">
        <v>240</v>
      </c>
      <c r="FW3423" s="5" t="s">
        <v>240</v>
      </c>
      <c r="FX3423" s="5" t="s">
        <v>240</v>
      </c>
      <c r="FY3423" s="5" t="s">
        <v>240</v>
      </c>
      <c r="FZ3423" s="5" t="s">
        <v>240</v>
      </c>
      <c r="GA3423" s="5" t="s">
        <v>240</v>
      </c>
      <c r="GB3423" s="5" t="s">
        <v>240</v>
      </c>
      <c r="GC3423" s="5" t="s">
        <v>240</v>
      </c>
      <c r="GD3423" s="5" t="s">
        <v>240</v>
      </c>
      <c r="GE3423" s="5" t="s">
        <v>240</v>
      </c>
      <c r="GF3423" s="5" t="s">
        <v>240</v>
      </c>
      <c r="GG3423" s="5" t="s">
        <v>240</v>
      </c>
      <c r="GH3423" s="5" t="s">
        <v>240</v>
      </c>
      <c r="GI3423" s="5" t="s">
        <v>240</v>
      </c>
      <c r="GJ3423" s="5" t="s">
        <v>240</v>
      </c>
      <c r="GK3423" s="5" t="s">
        <v>240</v>
      </c>
      <c r="GL3423" s="5" t="s">
        <v>240</v>
      </c>
      <c r="GM3423" s="5" t="s">
        <v>240</v>
      </c>
      <c r="GN3423" s="5" t="s">
        <v>240</v>
      </c>
      <c r="GO3423" s="5" t="s">
        <v>240</v>
      </c>
      <c r="GP3423" s="5" t="s">
        <v>240</v>
      </c>
      <c r="GQ3423" s="5" t="s">
        <v>240</v>
      </c>
      <c r="GR3423" s="5" t="s">
        <v>240</v>
      </c>
      <c r="GS3423" s="5" t="s">
        <v>240</v>
      </c>
      <c r="GT3423" s="5" t="s">
        <v>240</v>
      </c>
      <c r="GU3423" s="5" t="s">
        <v>240</v>
      </c>
      <c r="GV3423" s="5" t="s">
        <v>240</v>
      </c>
      <c r="GW3423" s="5" t="s">
        <v>240</v>
      </c>
      <c r="GX3423" s="5" t="s">
        <v>240</v>
      </c>
      <c r="GY3423" s="5" t="s">
        <v>240</v>
      </c>
      <c r="GZ3423" s="5" t="s">
        <v>240</v>
      </c>
      <c r="HA3423" s="5" t="s">
        <v>240</v>
      </c>
      <c r="HB3423" s="5" t="s">
        <v>240</v>
      </c>
      <c r="HC3423" s="5" t="s">
        <v>240</v>
      </c>
      <c r="HD3423" s="5" t="s">
        <v>240</v>
      </c>
      <c r="HE3423" s="5" t="s">
        <v>240</v>
      </c>
      <c r="HF3423" s="5" t="s">
        <v>240</v>
      </c>
      <c r="HG3423" s="5" t="s">
        <v>240</v>
      </c>
      <c r="HH3423" s="5" t="s">
        <v>240</v>
      </c>
      <c r="HI3423" s="5" t="s">
        <v>240</v>
      </c>
      <c r="HJ3423" s="5" t="s">
        <v>240</v>
      </c>
      <c r="HK3423" s="5" t="s">
        <v>240</v>
      </c>
      <c r="HL3423" s="5" t="s">
        <v>240</v>
      </c>
      <c r="HM3423" s="5" t="s">
        <v>240</v>
      </c>
      <c r="HN3423" s="5" t="s">
        <v>240</v>
      </c>
      <c r="HO3423" s="5" t="s">
        <v>240</v>
      </c>
      <c r="HP3423" s="5" t="s">
        <v>240</v>
      </c>
      <c r="HQ3423" s="5" t="s">
        <v>240</v>
      </c>
      <c r="HR3423" s="5" t="s">
        <v>240</v>
      </c>
      <c r="HS3423" s="5" t="s">
        <v>240</v>
      </c>
      <c r="HT3423" s="5" t="s">
        <v>240</v>
      </c>
      <c r="HU3423" s="5" t="s">
        <v>240</v>
      </c>
      <c r="HV3423" s="5" t="s">
        <v>240</v>
      </c>
      <c r="HW3423" s="5" t="s">
        <v>240</v>
      </c>
      <c r="HX3423" s="5" t="s">
        <v>240</v>
      </c>
      <c r="HY3423" s="5" t="s">
        <v>240</v>
      </c>
      <c r="HZ3423" s="5" t="s">
        <v>240</v>
      </c>
      <c r="IA3423" s="5" t="s">
        <v>240</v>
      </c>
      <c r="IB3423" s="5" t="s">
        <v>240</v>
      </c>
      <c r="IC3423" s="5" t="s">
        <v>240</v>
      </c>
      <c r="ID3423" s="5" t="s">
        <v>240</v>
      </c>
      <c r="IE3423" s="5" t="s">
        <v>240</v>
      </c>
      <c r="IF3423" s="5" t="s">
        <v>240</v>
      </c>
    </row>
    <row r="3424" spans="1:240" x14ac:dyDescent="0.4">
      <c r="A3424" s="5">
        <v>8966</v>
      </c>
      <c r="B3424" s="5">
        <v>1</v>
      </c>
      <c r="C3424" s="5">
        <v>1</v>
      </c>
      <c r="D3424" s="5" t="s">
        <v>723</v>
      </c>
      <c r="E3424" s="5" t="s">
        <v>725</v>
      </c>
      <c r="F3424" s="5" t="s">
        <v>730</v>
      </c>
      <c r="G3424" s="5" t="s">
        <v>726</v>
      </c>
      <c r="H3424" s="6" t="s">
        <v>3867</v>
      </c>
      <c r="I3424" s="5" t="s">
        <v>990</v>
      </c>
      <c r="J3424" s="8">
        <f>1276.33</f>
        <v>1276.33</v>
      </c>
      <c r="K3424" s="5" t="s">
        <v>308</v>
      </c>
      <c r="L3424" s="7">
        <f>0</f>
        <v>0</v>
      </c>
      <c r="M3424" s="7">
        <f>0</f>
        <v>0</v>
      </c>
      <c r="N3424" s="5" t="s">
        <v>242</v>
      </c>
      <c r="O3424" s="5">
        <v>1</v>
      </c>
      <c r="P3424" s="5" t="s">
        <v>294</v>
      </c>
      <c r="Q3424" s="5" t="s">
        <v>266</v>
      </c>
      <c r="R3424" s="5" t="s">
        <v>240</v>
      </c>
      <c r="S3424" s="5" t="s">
        <v>240</v>
      </c>
      <c r="T3424" s="5" t="s">
        <v>243</v>
      </c>
      <c r="U3424" s="5" t="s">
        <v>240</v>
      </c>
      <c r="V3424" s="5" t="s">
        <v>240</v>
      </c>
      <c r="Y3424" s="5" t="s">
        <v>240</v>
      </c>
      <c r="Z3424" s="6" t="s">
        <v>6062</v>
      </c>
      <c r="AB3424" s="6" t="s">
        <v>240</v>
      </c>
      <c r="AE3424" s="6" t="s">
        <v>483</v>
      </c>
      <c r="AF3424" s="5" t="s">
        <v>248</v>
      </c>
      <c r="AG3424" s="5" t="s">
        <v>249</v>
      </c>
      <c r="AW3424" s="5" t="s">
        <v>251</v>
      </c>
      <c r="AX3424" s="5" t="s">
        <v>240</v>
      </c>
      <c r="AY3424" s="5" t="s">
        <v>253</v>
      </c>
      <c r="AZ3424" s="5" t="s">
        <v>240</v>
      </c>
      <c r="BA3424" s="5" t="s">
        <v>255</v>
      </c>
      <c r="BB3424" s="5" t="s">
        <v>240</v>
      </c>
      <c r="BD3424" s="5" t="s">
        <v>240</v>
      </c>
      <c r="BF3424" s="5" t="s">
        <v>687</v>
      </c>
      <c r="BG3424" s="6" t="s">
        <v>6062</v>
      </c>
      <c r="BH3424" s="5" t="s">
        <v>302</v>
      </c>
      <c r="BI3424" s="5" t="s">
        <v>448</v>
      </c>
      <c r="BJ3424" s="5" t="s">
        <v>240</v>
      </c>
      <c r="BK3424" s="8">
        <f>0</f>
        <v>0</v>
      </c>
      <c r="BL3424" s="7">
        <f>0</f>
        <v>0</v>
      </c>
      <c r="BM3424" s="5" t="s">
        <v>258</v>
      </c>
      <c r="BN3424" s="5" t="s">
        <v>259</v>
      </c>
      <c r="CB3424" s="5" t="s">
        <v>240</v>
      </c>
      <c r="CC3424" s="5" t="s">
        <v>240</v>
      </c>
      <c r="CG3424" s="5" t="s">
        <v>449</v>
      </c>
      <c r="CH3424" s="5" t="s">
        <v>305</v>
      </c>
      <c r="CI3424" s="5" t="s">
        <v>240</v>
      </c>
      <c r="CL3424" s="6" t="s">
        <v>261</v>
      </c>
      <c r="CM3424" s="5" t="s">
        <v>240</v>
      </c>
      <c r="CN3424" s="5" t="s">
        <v>263</v>
      </c>
      <c r="CO3424" s="5" t="s">
        <v>240</v>
      </c>
      <c r="CP3424" s="5" t="s">
        <v>240</v>
      </c>
      <c r="CQ3424" s="5">
        <v>0</v>
      </c>
      <c r="CR3424" s="5" t="s">
        <v>306</v>
      </c>
      <c r="CS3424" s="5" t="s">
        <v>307</v>
      </c>
      <c r="CT3424" s="5" t="s">
        <v>307</v>
      </c>
      <c r="CU3424" s="5" t="s">
        <v>260</v>
      </c>
      <c r="CX3424" s="7">
        <f>7935096</f>
        <v>7935096</v>
      </c>
      <c r="CY3424" s="7">
        <f>0</f>
        <v>0</v>
      </c>
      <c r="DA3424" s="7">
        <f>0</f>
        <v>0</v>
      </c>
      <c r="DC3424" s="5" t="s">
        <v>450</v>
      </c>
      <c r="DD3424" s="5" t="s">
        <v>240</v>
      </c>
      <c r="DF3424" s="5" t="s">
        <v>450</v>
      </c>
      <c r="DG3424" s="7">
        <f>0</f>
        <v>0</v>
      </c>
      <c r="DI3424" s="5" t="s">
        <v>240</v>
      </c>
      <c r="DJ3424" s="5" t="s">
        <v>240</v>
      </c>
      <c r="DK3424" s="5" t="s">
        <v>240</v>
      </c>
      <c r="DL3424" s="5" t="s">
        <v>240</v>
      </c>
      <c r="DP3424" s="5" t="s">
        <v>240</v>
      </c>
      <c r="DQ3424" s="5" t="s">
        <v>240</v>
      </c>
      <c r="DR3424" s="5" t="s">
        <v>240</v>
      </c>
      <c r="DS3424" s="5" t="s">
        <v>240</v>
      </c>
      <c r="DV3424" s="5" t="s">
        <v>310</v>
      </c>
      <c r="DW3424" s="5" t="s">
        <v>2397</v>
      </c>
      <c r="HO3424" s="5" t="s">
        <v>312</v>
      </c>
    </row>
    <row r="3425" spans="1:240" x14ac:dyDescent="0.4">
      <c r="A3425" s="5">
        <v>8967</v>
      </c>
      <c r="B3425" s="5">
        <v>1</v>
      </c>
      <c r="C3425" s="5">
        <v>1</v>
      </c>
      <c r="D3425" s="5" t="s">
        <v>723</v>
      </c>
      <c r="E3425" s="5" t="s">
        <v>725</v>
      </c>
      <c r="F3425" s="5" t="s">
        <v>730</v>
      </c>
      <c r="G3425" s="5" t="s">
        <v>726</v>
      </c>
      <c r="H3425" s="6" t="s">
        <v>3873</v>
      </c>
      <c r="I3425" s="5" t="s">
        <v>990</v>
      </c>
      <c r="J3425" s="8">
        <f>228.09</f>
        <v>228.09</v>
      </c>
      <c r="K3425" s="5" t="s">
        <v>308</v>
      </c>
      <c r="L3425" s="7">
        <f>0</f>
        <v>0</v>
      </c>
      <c r="M3425" s="7">
        <f>0</f>
        <v>0</v>
      </c>
      <c r="N3425" s="5" t="s">
        <v>242</v>
      </c>
      <c r="O3425" s="5">
        <v>1</v>
      </c>
      <c r="P3425" s="5" t="s">
        <v>294</v>
      </c>
      <c r="Q3425" s="5" t="s">
        <v>266</v>
      </c>
      <c r="R3425" s="5" t="s">
        <v>240</v>
      </c>
      <c r="S3425" s="5" t="s">
        <v>240</v>
      </c>
      <c r="T3425" s="5" t="s">
        <v>243</v>
      </c>
      <c r="U3425" s="5" t="s">
        <v>240</v>
      </c>
      <c r="V3425" s="5" t="s">
        <v>240</v>
      </c>
      <c r="Y3425" s="5" t="s">
        <v>240</v>
      </c>
      <c r="Z3425" s="6" t="s">
        <v>6064</v>
      </c>
      <c r="AB3425" s="6" t="s">
        <v>240</v>
      </c>
      <c r="AE3425" s="6" t="s">
        <v>5053</v>
      </c>
      <c r="AF3425" s="5" t="s">
        <v>248</v>
      </c>
      <c r="AG3425" s="5" t="s">
        <v>249</v>
      </c>
      <c r="AW3425" s="5" t="s">
        <v>251</v>
      </c>
      <c r="AX3425" s="5" t="s">
        <v>240</v>
      </c>
      <c r="AY3425" s="5" t="s">
        <v>253</v>
      </c>
      <c r="AZ3425" s="5" t="s">
        <v>240</v>
      </c>
      <c r="BA3425" s="5" t="s">
        <v>255</v>
      </c>
      <c r="BB3425" s="5" t="s">
        <v>240</v>
      </c>
      <c r="BD3425" s="5" t="s">
        <v>240</v>
      </c>
      <c r="BF3425" s="5" t="s">
        <v>687</v>
      </c>
      <c r="BG3425" s="6" t="s">
        <v>6064</v>
      </c>
      <c r="BH3425" s="5" t="s">
        <v>302</v>
      </c>
      <c r="BI3425" s="5" t="s">
        <v>448</v>
      </c>
      <c r="BJ3425" s="5" t="s">
        <v>240</v>
      </c>
      <c r="BK3425" s="8">
        <f>0</f>
        <v>0</v>
      </c>
      <c r="BL3425" s="7">
        <f>0</f>
        <v>0</v>
      </c>
      <c r="BM3425" s="5" t="s">
        <v>258</v>
      </c>
      <c r="BN3425" s="5" t="s">
        <v>259</v>
      </c>
      <c r="CB3425" s="5" t="s">
        <v>240</v>
      </c>
      <c r="CC3425" s="5" t="s">
        <v>240</v>
      </c>
      <c r="CG3425" s="5" t="s">
        <v>449</v>
      </c>
      <c r="CH3425" s="5" t="s">
        <v>305</v>
      </c>
      <c r="CI3425" s="5" t="s">
        <v>240</v>
      </c>
      <c r="CL3425" s="6" t="s">
        <v>261</v>
      </c>
      <c r="CM3425" s="5" t="s">
        <v>240</v>
      </c>
      <c r="CN3425" s="5" t="s">
        <v>263</v>
      </c>
      <c r="CO3425" s="5" t="s">
        <v>240</v>
      </c>
      <c r="CP3425" s="5" t="s">
        <v>240</v>
      </c>
      <c r="CQ3425" s="5">
        <v>0</v>
      </c>
      <c r="CR3425" s="5" t="s">
        <v>306</v>
      </c>
      <c r="CS3425" s="5" t="s">
        <v>307</v>
      </c>
      <c r="CT3425" s="5" t="s">
        <v>307</v>
      </c>
      <c r="CU3425" s="5" t="s">
        <v>260</v>
      </c>
      <c r="CX3425" s="7">
        <f>635000</f>
        <v>635000</v>
      </c>
      <c r="CY3425" s="7">
        <f>0</f>
        <v>0</v>
      </c>
      <c r="DA3425" s="7">
        <f>0</f>
        <v>0</v>
      </c>
      <c r="DC3425" s="5" t="s">
        <v>450</v>
      </c>
      <c r="DD3425" s="5" t="s">
        <v>240</v>
      </c>
      <c r="DF3425" s="5" t="s">
        <v>450</v>
      </c>
      <c r="DG3425" s="7">
        <f>0</f>
        <v>0</v>
      </c>
      <c r="DI3425" s="5" t="s">
        <v>240</v>
      </c>
      <c r="DJ3425" s="5" t="s">
        <v>240</v>
      </c>
      <c r="DK3425" s="5" t="s">
        <v>240</v>
      </c>
      <c r="DL3425" s="5" t="s">
        <v>240</v>
      </c>
      <c r="DP3425" s="5" t="s">
        <v>240</v>
      </c>
      <c r="DQ3425" s="5" t="s">
        <v>240</v>
      </c>
      <c r="DR3425" s="5" t="s">
        <v>240</v>
      </c>
      <c r="DS3425" s="5" t="s">
        <v>240</v>
      </c>
      <c r="DV3425" s="5" t="s">
        <v>310</v>
      </c>
      <c r="DW3425" s="5" t="s">
        <v>2395</v>
      </c>
      <c r="HO3425" s="5" t="s">
        <v>312</v>
      </c>
    </row>
    <row r="3426" spans="1:240" x14ac:dyDescent="0.4">
      <c r="A3426" s="5">
        <v>8968</v>
      </c>
      <c r="B3426" s="5">
        <v>1</v>
      </c>
      <c r="C3426" s="5">
        <v>1</v>
      </c>
      <c r="D3426" s="5" t="s">
        <v>723</v>
      </c>
      <c r="E3426" s="5" t="s">
        <v>725</v>
      </c>
      <c r="F3426" s="5" t="s">
        <v>730</v>
      </c>
      <c r="G3426" s="5" t="s">
        <v>726</v>
      </c>
      <c r="H3426" s="6" t="s">
        <v>3876</v>
      </c>
      <c r="I3426" s="5" t="s">
        <v>990</v>
      </c>
      <c r="J3426" s="8">
        <f>326</f>
        <v>326</v>
      </c>
      <c r="K3426" s="5" t="s">
        <v>308</v>
      </c>
      <c r="L3426" s="7">
        <f>0</f>
        <v>0</v>
      </c>
      <c r="M3426" s="7">
        <f>0</f>
        <v>0</v>
      </c>
      <c r="N3426" s="5" t="s">
        <v>242</v>
      </c>
      <c r="O3426" s="5">
        <v>1</v>
      </c>
      <c r="P3426" s="5" t="s">
        <v>294</v>
      </c>
      <c r="Q3426" s="5" t="s">
        <v>3678</v>
      </c>
      <c r="R3426" s="5" t="s">
        <v>240</v>
      </c>
      <c r="S3426" s="5" t="s">
        <v>240</v>
      </c>
      <c r="T3426" s="5" t="s">
        <v>243</v>
      </c>
      <c r="U3426" s="5" t="s">
        <v>244</v>
      </c>
      <c r="V3426" s="5" t="s">
        <v>240</v>
      </c>
      <c r="W3426" s="5" t="s">
        <v>240</v>
      </c>
      <c r="X3426" s="5" t="s">
        <v>240</v>
      </c>
      <c r="Y3426" s="5" t="s">
        <v>240</v>
      </c>
      <c r="Z3426" s="6" t="s">
        <v>298</v>
      </c>
      <c r="AA3426" s="6" t="s">
        <v>240</v>
      </c>
      <c r="AB3426" s="6" t="s">
        <v>240</v>
      </c>
      <c r="AC3426" s="5" t="s">
        <v>240</v>
      </c>
      <c r="AD3426" s="6" t="s">
        <v>240</v>
      </c>
      <c r="AE3426" s="6" t="s">
        <v>299</v>
      </c>
      <c r="AF3426" s="5" t="s">
        <v>248</v>
      </c>
      <c r="AG3426" s="5" t="s">
        <v>249</v>
      </c>
      <c r="AH3426" s="5" t="s">
        <v>240</v>
      </c>
      <c r="AI3426" s="5" t="s">
        <v>240</v>
      </c>
      <c r="AJ3426" s="5" t="s">
        <v>240</v>
      </c>
      <c r="AK3426" s="5" t="s">
        <v>240</v>
      </c>
      <c r="AL3426" s="5" t="s">
        <v>240</v>
      </c>
      <c r="AM3426" s="5" t="s">
        <v>240</v>
      </c>
      <c r="AN3426" s="5" t="s">
        <v>240</v>
      </c>
      <c r="AO3426" s="5" t="s">
        <v>240</v>
      </c>
      <c r="AP3426" s="6" t="s">
        <v>240</v>
      </c>
      <c r="AQ3426" s="6" t="s">
        <v>240</v>
      </c>
      <c r="AR3426" s="6" t="s">
        <v>240</v>
      </c>
      <c r="AS3426" s="6" t="s">
        <v>240</v>
      </c>
      <c r="AT3426" s="5" t="s">
        <v>240</v>
      </c>
      <c r="AU3426" s="5" t="s">
        <v>729</v>
      </c>
      <c r="AV3426" s="5" t="s">
        <v>729</v>
      </c>
      <c r="AW3426" s="5" t="s">
        <v>251</v>
      </c>
      <c r="AX3426" s="5" t="s">
        <v>252</v>
      </c>
      <c r="AY3426" s="5" t="s">
        <v>253</v>
      </c>
      <c r="AZ3426" s="5" t="s">
        <v>6046</v>
      </c>
      <c r="BA3426" s="5" t="s">
        <v>255</v>
      </c>
      <c r="BB3426" s="5" t="s">
        <v>731</v>
      </c>
      <c r="BD3426" s="5" t="s">
        <v>240</v>
      </c>
      <c r="BF3426" s="5" t="s">
        <v>732</v>
      </c>
      <c r="BG3426" s="6" t="s">
        <v>733</v>
      </c>
      <c r="BH3426" s="5" t="s">
        <v>734</v>
      </c>
      <c r="BI3426" s="5" t="s">
        <v>734</v>
      </c>
      <c r="BJ3426" s="5" t="s">
        <v>240</v>
      </c>
      <c r="BK3426" s="7">
        <f>1</f>
        <v>1</v>
      </c>
      <c r="BL3426" s="7">
        <f>1</f>
        <v>1</v>
      </c>
      <c r="BM3426" s="5" t="s">
        <v>258</v>
      </c>
      <c r="BN3426" s="5" t="s">
        <v>259</v>
      </c>
      <c r="BO3426" s="5" t="s">
        <v>240</v>
      </c>
      <c r="BP3426" s="5" t="s">
        <v>240</v>
      </c>
      <c r="BQ3426" s="5" t="s">
        <v>240</v>
      </c>
      <c r="BR3426" s="5" t="s">
        <v>240</v>
      </c>
      <c r="BS3426" s="5" t="s">
        <v>240</v>
      </c>
      <c r="BT3426" s="5" t="s">
        <v>240</v>
      </c>
      <c r="BU3426" s="5" t="s">
        <v>240</v>
      </c>
      <c r="BV3426" s="5" t="s">
        <v>240</v>
      </c>
      <c r="BW3426" s="6" t="s">
        <v>240</v>
      </c>
      <c r="BX3426" s="5" t="s">
        <v>240</v>
      </c>
      <c r="BY3426" s="5" t="s">
        <v>240</v>
      </c>
      <c r="BZ3426" s="5" t="s">
        <v>240</v>
      </c>
      <c r="CA3426" s="5" t="s">
        <v>259</v>
      </c>
      <c r="CB3426" s="5" t="s">
        <v>240</v>
      </c>
      <c r="CC3426" s="5" t="s">
        <v>240</v>
      </c>
      <c r="CD3426" s="5" t="s">
        <v>240</v>
      </c>
      <c r="CE3426" s="5" t="s">
        <v>240</v>
      </c>
      <c r="CF3426" s="5" t="s">
        <v>240</v>
      </c>
      <c r="CG3426" s="5" t="s">
        <v>304</v>
      </c>
      <c r="CH3426" s="5" t="s">
        <v>305</v>
      </c>
      <c r="CI3426" s="5" t="s">
        <v>260</v>
      </c>
      <c r="CK3426" s="5" t="s">
        <v>3681</v>
      </c>
      <c r="CL3426" s="6" t="s">
        <v>261</v>
      </c>
      <c r="CM3426" s="5" t="s">
        <v>262</v>
      </c>
      <c r="CN3426" s="5" t="s">
        <v>263</v>
      </c>
      <c r="CO3426" s="5" t="s">
        <v>264</v>
      </c>
      <c r="CP3426" s="5" t="s">
        <v>240</v>
      </c>
      <c r="CQ3426" s="5">
        <v>0</v>
      </c>
      <c r="CR3426" s="5" t="s">
        <v>735</v>
      </c>
      <c r="CS3426" s="5" t="s">
        <v>307</v>
      </c>
      <c r="CT3426" s="5" t="s">
        <v>307</v>
      </c>
      <c r="CU3426" s="5" t="s">
        <v>260</v>
      </c>
      <c r="CV3426" s="5" t="s">
        <v>612</v>
      </c>
      <c r="CW3426" s="8">
        <f>1</f>
        <v>1</v>
      </c>
      <c r="CX3426" s="7">
        <f>1</f>
        <v>1</v>
      </c>
      <c r="CY3426" s="7">
        <f>0</f>
        <v>0</v>
      </c>
      <c r="DA3426" s="7">
        <f>1</f>
        <v>1</v>
      </c>
      <c r="DB3426" s="7" t="s">
        <v>240</v>
      </c>
      <c r="DC3426" s="5" t="s">
        <v>240</v>
      </c>
      <c r="DD3426" s="5" t="s">
        <v>240</v>
      </c>
      <c r="DE3426" s="5" t="s">
        <v>240</v>
      </c>
      <c r="DF3426" s="5" t="s">
        <v>240</v>
      </c>
      <c r="DG3426" s="7">
        <f>0</f>
        <v>0</v>
      </c>
      <c r="DI3426" s="5" t="s">
        <v>240</v>
      </c>
      <c r="DJ3426" s="5" t="s">
        <v>240</v>
      </c>
      <c r="DK3426" s="5" t="s">
        <v>240</v>
      </c>
      <c r="DL3426" s="5" t="s">
        <v>240</v>
      </c>
      <c r="DM3426" s="5" t="s">
        <v>240</v>
      </c>
      <c r="DN3426" s="5" t="s">
        <v>240</v>
      </c>
      <c r="DO3426" s="7" t="s">
        <v>240</v>
      </c>
      <c r="DP3426" s="5" t="s">
        <v>240</v>
      </c>
      <c r="DQ3426" s="5" t="s">
        <v>248</v>
      </c>
      <c r="DR3426" s="5" t="s">
        <v>731</v>
      </c>
      <c r="DS3426" s="5" t="s">
        <v>731</v>
      </c>
      <c r="DT3426" s="5" t="s">
        <v>240</v>
      </c>
      <c r="DU3426" s="5" t="s">
        <v>240</v>
      </c>
      <c r="DV3426" s="5" t="s">
        <v>6047</v>
      </c>
      <c r="DW3426" s="5" t="s">
        <v>779</v>
      </c>
      <c r="DX3426" s="5" t="s">
        <v>240</v>
      </c>
      <c r="DY3426" s="5" t="s">
        <v>240</v>
      </c>
      <c r="DZ3426" s="5" t="s">
        <v>240</v>
      </c>
      <c r="EA3426" s="5" t="s">
        <v>240</v>
      </c>
      <c r="EB3426" s="5" t="s">
        <v>240</v>
      </c>
      <c r="EC3426" s="5" t="s">
        <v>240</v>
      </c>
      <c r="ED3426" s="5" t="s">
        <v>240</v>
      </c>
      <c r="EE3426" s="5" t="s">
        <v>240</v>
      </c>
      <c r="EF3426" s="5" t="s">
        <v>240</v>
      </c>
      <c r="EG3426" s="5" t="s">
        <v>240</v>
      </c>
      <c r="EH3426" s="5" t="s">
        <v>240</v>
      </c>
      <c r="EI3426" s="5" t="s">
        <v>240</v>
      </c>
      <c r="EJ3426" s="5" t="s">
        <v>240</v>
      </c>
      <c r="EK3426" s="5" t="s">
        <v>240</v>
      </c>
      <c r="EL3426" s="5" t="s">
        <v>240</v>
      </c>
      <c r="EM3426" s="5" t="s">
        <v>240</v>
      </c>
      <c r="EN3426" s="5" t="s">
        <v>240</v>
      </c>
      <c r="EO3426" s="5" t="s">
        <v>240</v>
      </c>
      <c r="EP3426" s="5" t="s">
        <v>240</v>
      </c>
      <c r="EQ3426" s="5" t="s">
        <v>240</v>
      </c>
      <c r="ER3426" s="5" t="s">
        <v>240</v>
      </c>
      <c r="ES3426" s="5" t="s">
        <v>240</v>
      </c>
      <c r="ET3426" s="5" t="s">
        <v>240</v>
      </c>
      <c r="EU3426" s="5" t="s">
        <v>240</v>
      </c>
      <c r="EV3426" s="5" t="s">
        <v>240</v>
      </c>
      <c r="EW3426" s="5" t="s">
        <v>240</v>
      </c>
      <c r="EX3426" s="5" t="s">
        <v>240</v>
      </c>
      <c r="EY3426" s="5" t="s">
        <v>240</v>
      </c>
      <c r="EZ3426" s="5" t="s">
        <v>240</v>
      </c>
      <c r="FA3426" s="5" t="s">
        <v>240</v>
      </c>
      <c r="FB3426" s="5" t="s">
        <v>240</v>
      </c>
      <c r="FC3426" s="5" t="s">
        <v>240</v>
      </c>
      <c r="FD3426" s="5" t="s">
        <v>240</v>
      </c>
      <c r="FE3426" s="5" t="s">
        <v>240</v>
      </c>
      <c r="FF3426" s="5" t="s">
        <v>240</v>
      </c>
      <c r="FG3426" s="5" t="s">
        <v>240</v>
      </c>
      <c r="FH3426" s="5" t="s">
        <v>240</v>
      </c>
      <c r="FI3426" s="5" t="s">
        <v>240</v>
      </c>
      <c r="FJ3426" s="5" t="s">
        <v>240</v>
      </c>
      <c r="FK3426" s="5" t="s">
        <v>240</v>
      </c>
      <c r="FL3426" s="5" t="s">
        <v>240</v>
      </c>
      <c r="FM3426" s="5" t="s">
        <v>240</v>
      </c>
      <c r="FN3426" s="5" t="s">
        <v>240</v>
      </c>
      <c r="FO3426" s="5" t="s">
        <v>240</v>
      </c>
      <c r="FP3426" s="5" t="s">
        <v>240</v>
      </c>
      <c r="FQ3426" s="5" t="s">
        <v>240</v>
      </c>
      <c r="FR3426" s="5" t="s">
        <v>240</v>
      </c>
      <c r="FS3426" s="5" t="s">
        <v>240</v>
      </c>
      <c r="FT3426" s="5" t="s">
        <v>240</v>
      </c>
      <c r="FU3426" s="5" t="s">
        <v>240</v>
      </c>
      <c r="FV3426" s="5" t="s">
        <v>240</v>
      </c>
      <c r="FW3426" s="5" t="s">
        <v>240</v>
      </c>
      <c r="FX3426" s="5" t="s">
        <v>240</v>
      </c>
      <c r="FY3426" s="5" t="s">
        <v>240</v>
      </c>
      <c r="FZ3426" s="5" t="s">
        <v>240</v>
      </c>
      <c r="GA3426" s="5" t="s">
        <v>240</v>
      </c>
      <c r="GB3426" s="5" t="s">
        <v>240</v>
      </c>
      <c r="GC3426" s="5" t="s">
        <v>240</v>
      </c>
      <c r="GD3426" s="5" t="s">
        <v>240</v>
      </c>
      <c r="GE3426" s="5" t="s">
        <v>240</v>
      </c>
      <c r="GF3426" s="5" t="s">
        <v>240</v>
      </c>
      <c r="GG3426" s="5" t="s">
        <v>240</v>
      </c>
      <c r="GH3426" s="5" t="s">
        <v>240</v>
      </c>
      <c r="GI3426" s="5" t="s">
        <v>240</v>
      </c>
      <c r="GJ3426" s="5" t="s">
        <v>240</v>
      </c>
      <c r="GK3426" s="5" t="s">
        <v>240</v>
      </c>
      <c r="GL3426" s="5" t="s">
        <v>240</v>
      </c>
      <c r="GM3426" s="5" t="s">
        <v>240</v>
      </c>
      <c r="GN3426" s="5" t="s">
        <v>240</v>
      </c>
      <c r="GO3426" s="5" t="s">
        <v>240</v>
      </c>
      <c r="GP3426" s="5" t="s">
        <v>240</v>
      </c>
      <c r="GQ3426" s="5" t="s">
        <v>240</v>
      </c>
      <c r="GR3426" s="5" t="s">
        <v>240</v>
      </c>
      <c r="GS3426" s="5" t="s">
        <v>240</v>
      </c>
      <c r="GT3426" s="5" t="s">
        <v>240</v>
      </c>
      <c r="GU3426" s="5" t="s">
        <v>240</v>
      </c>
      <c r="GV3426" s="5" t="s">
        <v>240</v>
      </c>
      <c r="GW3426" s="5" t="s">
        <v>240</v>
      </c>
      <c r="GX3426" s="5" t="s">
        <v>240</v>
      </c>
      <c r="GY3426" s="5" t="s">
        <v>240</v>
      </c>
      <c r="GZ3426" s="5" t="s">
        <v>240</v>
      </c>
      <c r="HA3426" s="5" t="s">
        <v>240</v>
      </c>
      <c r="HB3426" s="5" t="s">
        <v>240</v>
      </c>
      <c r="HC3426" s="5" t="s">
        <v>240</v>
      </c>
      <c r="HD3426" s="5" t="s">
        <v>240</v>
      </c>
      <c r="HE3426" s="5" t="s">
        <v>240</v>
      </c>
      <c r="HF3426" s="5" t="s">
        <v>240</v>
      </c>
      <c r="HG3426" s="5" t="s">
        <v>240</v>
      </c>
      <c r="HH3426" s="5" t="s">
        <v>240</v>
      </c>
      <c r="HI3426" s="5" t="s">
        <v>240</v>
      </c>
      <c r="HJ3426" s="5" t="s">
        <v>240</v>
      </c>
      <c r="HK3426" s="5" t="s">
        <v>240</v>
      </c>
      <c r="HL3426" s="5" t="s">
        <v>240</v>
      </c>
      <c r="HM3426" s="5" t="s">
        <v>240</v>
      </c>
      <c r="HN3426" s="5" t="s">
        <v>240</v>
      </c>
      <c r="HO3426" s="5" t="s">
        <v>240</v>
      </c>
      <c r="HP3426" s="5" t="s">
        <v>240</v>
      </c>
      <c r="HQ3426" s="5" t="s">
        <v>240</v>
      </c>
      <c r="HR3426" s="5" t="s">
        <v>240</v>
      </c>
      <c r="HS3426" s="5" t="s">
        <v>240</v>
      </c>
      <c r="HT3426" s="5" t="s">
        <v>240</v>
      </c>
      <c r="HU3426" s="5" t="s">
        <v>240</v>
      </c>
      <c r="HV3426" s="5" t="s">
        <v>240</v>
      </c>
      <c r="HW3426" s="5" t="s">
        <v>240</v>
      </c>
      <c r="HX3426" s="5" t="s">
        <v>240</v>
      </c>
      <c r="HY3426" s="5" t="s">
        <v>240</v>
      </c>
      <c r="HZ3426" s="5" t="s">
        <v>240</v>
      </c>
      <c r="IA3426" s="5" t="s">
        <v>240</v>
      </c>
      <c r="IB3426" s="5" t="s">
        <v>240</v>
      </c>
      <c r="IC3426" s="5" t="s">
        <v>240</v>
      </c>
      <c r="ID3426" s="5" t="s">
        <v>240</v>
      </c>
      <c r="IE3426" s="5" t="s">
        <v>240</v>
      </c>
      <c r="IF3426" s="5" t="s">
        <v>240</v>
      </c>
    </row>
    <row r="3427" spans="1:240" x14ac:dyDescent="0.4">
      <c r="A3427" s="5">
        <v>8969</v>
      </c>
      <c r="B3427" s="5">
        <v>1</v>
      </c>
      <c r="C3427" s="5">
        <v>1</v>
      </c>
      <c r="D3427" s="5" t="s">
        <v>723</v>
      </c>
      <c r="E3427" s="5" t="s">
        <v>725</v>
      </c>
      <c r="F3427" s="5" t="s">
        <v>730</v>
      </c>
      <c r="G3427" s="5" t="s">
        <v>726</v>
      </c>
      <c r="H3427" s="6" t="s">
        <v>3885</v>
      </c>
      <c r="I3427" s="5" t="s">
        <v>990</v>
      </c>
      <c r="J3427" s="8">
        <f>49.58</f>
        <v>49.58</v>
      </c>
      <c r="K3427" s="5" t="s">
        <v>308</v>
      </c>
      <c r="L3427" s="7">
        <f>0</f>
        <v>0</v>
      </c>
      <c r="M3427" s="7">
        <f>0</f>
        <v>0</v>
      </c>
      <c r="N3427" s="5" t="s">
        <v>242</v>
      </c>
      <c r="O3427" s="5">
        <v>1</v>
      </c>
      <c r="P3427" s="5" t="s">
        <v>294</v>
      </c>
      <c r="Q3427" s="5" t="s">
        <v>3678</v>
      </c>
      <c r="R3427" s="5" t="s">
        <v>240</v>
      </c>
      <c r="S3427" s="5" t="s">
        <v>240</v>
      </c>
      <c r="T3427" s="5" t="s">
        <v>243</v>
      </c>
      <c r="U3427" s="5" t="s">
        <v>244</v>
      </c>
      <c r="V3427" s="5" t="s">
        <v>240</v>
      </c>
      <c r="W3427" s="5" t="s">
        <v>240</v>
      </c>
      <c r="X3427" s="5" t="s">
        <v>240</v>
      </c>
      <c r="Y3427" s="5" t="s">
        <v>240</v>
      </c>
      <c r="Z3427" s="6" t="s">
        <v>298</v>
      </c>
      <c r="AA3427" s="6" t="s">
        <v>240</v>
      </c>
      <c r="AB3427" s="6" t="s">
        <v>240</v>
      </c>
      <c r="AC3427" s="5" t="s">
        <v>240</v>
      </c>
      <c r="AD3427" s="6" t="s">
        <v>240</v>
      </c>
      <c r="AE3427" s="6" t="s">
        <v>299</v>
      </c>
      <c r="AF3427" s="5" t="s">
        <v>248</v>
      </c>
      <c r="AG3427" s="5" t="s">
        <v>249</v>
      </c>
      <c r="AH3427" s="5" t="s">
        <v>240</v>
      </c>
      <c r="AI3427" s="5" t="s">
        <v>240</v>
      </c>
      <c r="AJ3427" s="5" t="s">
        <v>240</v>
      </c>
      <c r="AK3427" s="5" t="s">
        <v>240</v>
      </c>
      <c r="AL3427" s="5" t="s">
        <v>240</v>
      </c>
      <c r="AM3427" s="5" t="s">
        <v>240</v>
      </c>
      <c r="AN3427" s="5" t="s">
        <v>240</v>
      </c>
      <c r="AO3427" s="5" t="s">
        <v>240</v>
      </c>
      <c r="AP3427" s="6" t="s">
        <v>240</v>
      </c>
      <c r="AQ3427" s="6" t="s">
        <v>240</v>
      </c>
      <c r="AR3427" s="6" t="s">
        <v>240</v>
      </c>
      <c r="AS3427" s="6" t="s">
        <v>240</v>
      </c>
      <c r="AT3427" s="5" t="s">
        <v>240</v>
      </c>
      <c r="AU3427" s="5" t="s">
        <v>729</v>
      </c>
      <c r="AV3427" s="5" t="s">
        <v>729</v>
      </c>
      <c r="AW3427" s="5" t="s">
        <v>251</v>
      </c>
      <c r="AX3427" s="5" t="s">
        <v>252</v>
      </c>
      <c r="AY3427" s="5" t="s">
        <v>253</v>
      </c>
      <c r="AZ3427" s="5" t="s">
        <v>240</v>
      </c>
      <c r="BA3427" s="5" t="s">
        <v>255</v>
      </c>
      <c r="BB3427" s="5" t="s">
        <v>731</v>
      </c>
      <c r="BD3427" s="5" t="s">
        <v>240</v>
      </c>
      <c r="BF3427" s="5" t="s">
        <v>732</v>
      </c>
      <c r="BG3427" s="6" t="s">
        <v>733</v>
      </c>
      <c r="BH3427" s="5" t="s">
        <v>734</v>
      </c>
      <c r="BI3427" s="5" t="s">
        <v>734</v>
      </c>
      <c r="BJ3427" s="5" t="s">
        <v>240</v>
      </c>
      <c r="BK3427" s="7">
        <f>1</f>
        <v>1</v>
      </c>
      <c r="BL3427" s="7">
        <f>1</f>
        <v>1</v>
      </c>
      <c r="BM3427" s="5" t="s">
        <v>258</v>
      </c>
      <c r="BN3427" s="5" t="s">
        <v>259</v>
      </c>
      <c r="BO3427" s="5" t="s">
        <v>240</v>
      </c>
      <c r="BP3427" s="5" t="s">
        <v>240</v>
      </c>
      <c r="BQ3427" s="5" t="s">
        <v>240</v>
      </c>
      <c r="BR3427" s="5" t="s">
        <v>240</v>
      </c>
      <c r="BS3427" s="5" t="s">
        <v>240</v>
      </c>
      <c r="BT3427" s="5" t="s">
        <v>240</v>
      </c>
      <c r="BU3427" s="5" t="s">
        <v>240</v>
      </c>
      <c r="BV3427" s="5" t="s">
        <v>240</v>
      </c>
      <c r="BW3427" s="6" t="s">
        <v>240</v>
      </c>
      <c r="BX3427" s="5" t="s">
        <v>240</v>
      </c>
      <c r="BY3427" s="5" t="s">
        <v>240</v>
      </c>
      <c r="BZ3427" s="5" t="s">
        <v>240</v>
      </c>
      <c r="CA3427" s="5" t="s">
        <v>259</v>
      </c>
      <c r="CB3427" s="5" t="s">
        <v>240</v>
      </c>
      <c r="CC3427" s="5" t="s">
        <v>240</v>
      </c>
      <c r="CD3427" s="5" t="s">
        <v>240</v>
      </c>
      <c r="CE3427" s="5" t="s">
        <v>240</v>
      </c>
      <c r="CF3427" s="5" t="s">
        <v>240</v>
      </c>
      <c r="CG3427" s="5" t="s">
        <v>304</v>
      </c>
      <c r="CH3427" s="5" t="s">
        <v>305</v>
      </c>
      <c r="CI3427" s="5" t="s">
        <v>240</v>
      </c>
      <c r="CK3427" s="5" t="s">
        <v>3681</v>
      </c>
      <c r="CL3427" s="6" t="s">
        <v>261</v>
      </c>
      <c r="CM3427" s="5" t="s">
        <v>262</v>
      </c>
      <c r="CN3427" s="5" t="s">
        <v>263</v>
      </c>
      <c r="CO3427" s="5" t="s">
        <v>264</v>
      </c>
      <c r="CP3427" s="5" t="s">
        <v>240</v>
      </c>
      <c r="CQ3427" s="5">
        <v>0</v>
      </c>
      <c r="CR3427" s="5" t="s">
        <v>735</v>
      </c>
      <c r="CS3427" s="5" t="s">
        <v>307</v>
      </c>
      <c r="CT3427" s="5" t="s">
        <v>307</v>
      </c>
      <c r="CU3427" s="5" t="s">
        <v>260</v>
      </c>
      <c r="CV3427" s="5" t="s">
        <v>612</v>
      </c>
      <c r="CW3427" s="8">
        <f>1</f>
        <v>1</v>
      </c>
      <c r="CX3427" s="7">
        <f>1</f>
        <v>1</v>
      </c>
      <c r="CY3427" s="7">
        <f>0</f>
        <v>0</v>
      </c>
      <c r="DA3427" s="7">
        <f>1</f>
        <v>1</v>
      </c>
      <c r="DB3427" s="7" t="s">
        <v>240</v>
      </c>
      <c r="DC3427" s="5" t="s">
        <v>240</v>
      </c>
      <c r="DD3427" s="5" t="s">
        <v>240</v>
      </c>
      <c r="DE3427" s="5" t="s">
        <v>240</v>
      </c>
      <c r="DF3427" s="5" t="s">
        <v>240</v>
      </c>
      <c r="DG3427" s="7">
        <f>0</f>
        <v>0</v>
      </c>
      <c r="DI3427" s="5" t="s">
        <v>240</v>
      </c>
      <c r="DJ3427" s="5" t="s">
        <v>240</v>
      </c>
      <c r="DK3427" s="5" t="s">
        <v>240</v>
      </c>
      <c r="DL3427" s="5" t="s">
        <v>240</v>
      </c>
      <c r="DM3427" s="5" t="s">
        <v>240</v>
      </c>
      <c r="DN3427" s="5" t="s">
        <v>240</v>
      </c>
      <c r="DO3427" s="7" t="s">
        <v>240</v>
      </c>
      <c r="DP3427" s="5" t="s">
        <v>240</v>
      </c>
      <c r="DQ3427" s="5" t="s">
        <v>240</v>
      </c>
      <c r="DR3427" s="5" t="s">
        <v>731</v>
      </c>
      <c r="DS3427" s="5" t="s">
        <v>731</v>
      </c>
      <c r="DT3427" s="5" t="s">
        <v>240</v>
      </c>
      <c r="DU3427" s="5" t="s">
        <v>240</v>
      </c>
      <c r="DV3427" s="5" t="s">
        <v>3683</v>
      </c>
      <c r="DW3427" s="5" t="s">
        <v>3999</v>
      </c>
      <c r="DX3427" s="5" t="s">
        <v>240</v>
      </c>
      <c r="DY3427" s="5" t="s">
        <v>240</v>
      </c>
      <c r="DZ3427" s="5" t="s">
        <v>240</v>
      </c>
      <c r="EA3427" s="5" t="s">
        <v>240</v>
      </c>
      <c r="EB3427" s="5" t="s">
        <v>240</v>
      </c>
      <c r="EC3427" s="5" t="s">
        <v>240</v>
      </c>
      <c r="ED3427" s="5" t="s">
        <v>240</v>
      </c>
      <c r="EE3427" s="5" t="s">
        <v>240</v>
      </c>
      <c r="EF3427" s="5" t="s">
        <v>240</v>
      </c>
      <c r="EG3427" s="5" t="s">
        <v>240</v>
      </c>
      <c r="EH3427" s="5" t="s">
        <v>240</v>
      </c>
      <c r="EI3427" s="5" t="s">
        <v>240</v>
      </c>
      <c r="EJ3427" s="5" t="s">
        <v>240</v>
      </c>
      <c r="EK3427" s="5" t="s">
        <v>240</v>
      </c>
      <c r="EL3427" s="5" t="s">
        <v>240</v>
      </c>
      <c r="EM3427" s="5" t="s">
        <v>240</v>
      </c>
      <c r="EN3427" s="5" t="s">
        <v>240</v>
      </c>
      <c r="EO3427" s="5" t="s">
        <v>240</v>
      </c>
      <c r="EP3427" s="5" t="s">
        <v>240</v>
      </c>
      <c r="EQ3427" s="5" t="s">
        <v>240</v>
      </c>
      <c r="ER3427" s="5" t="s">
        <v>240</v>
      </c>
      <c r="ES3427" s="5" t="s">
        <v>240</v>
      </c>
      <c r="ET3427" s="5" t="s">
        <v>240</v>
      </c>
      <c r="EU3427" s="5" t="s">
        <v>240</v>
      </c>
      <c r="EV3427" s="5" t="s">
        <v>240</v>
      </c>
      <c r="EW3427" s="5" t="s">
        <v>240</v>
      </c>
      <c r="EX3427" s="5" t="s">
        <v>240</v>
      </c>
      <c r="EY3427" s="5" t="s">
        <v>240</v>
      </c>
      <c r="EZ3427" s="5" t="s">
        <v>240</v>
      </c>
      <c r="FA3427" s="5" t="s">
        <v>240</v>
      </c>
      <c r="FB3427" s="5" t="s">
        <v>240</v>
      </c>
      <c r="FC3427" s="5" t="s">
        <v>240</v>
      </c>
      <c r="FD3427" s="5" t="s">
        <v>240</v>
      </c>
      <c r="FE3427" s="5" t="s">
        <v>240</v>
      </c>
      <c r="FF3427" s="5" t="s">
        <v>240</v>
      </c>
      <c r="FG3427" s="5" t="s">
        <v>240</v>
      </c>
      <c r="FH3427" s="5" t="s">
        <v>240</v>
      </c>
      <c r="FI3427" s="5" t="s">
        <v>240</v>
      </c>
      <c r="FJ3427" s="5" t="s">
        <v>240</v>
      </c>
      <c r="FK3427" s="5" t="s">
        <v>240</v>
      </c>
      <c r="FL3427" s="5" t="s">
        <v>240</v>
      </c>
      <c r="FM3427" s="5" t="s">
        <v>240</v>
      </c>
      <c r="FN3427" s="5" t="s">
        <v>240</v>
      </c>
      <c r="FO3427" s="5" t="s">
        <v>240</v>
      </c>
      <c r="FP3427" s="5" t="s">
        <v>240</v>
      </c>
      <c r="FQ3427" s="5" t="s">
        <v>240</v>
      </c>
      <c r="FR3427" s="5" t="s">
        <v>240</v>
      </c>
      <c r="FS3427" s="5" t="s">
        <v>240</v>
      </c>
      <c r="FT3427" s="5" t="s">
        <v>240</v>
      </c>
      <c r="FU3427" s="5" t="s">
        <v>240</v>
      </c>
      <c r="FV3427" s="5" t="s">
        <v>240</v>
      </c>
      <c r="FW3427" s="5" t="s">
        <v>240</v>
      </c>
      <c r="FX3427" s="5" t="s">
        <v>240</v>
      </c>
      <c r="FY3427" s="5" t="s">
        <v>240</v>
      </c>
      <c r="FZ3427" s="5" t="s">
        <v>240</v>
      </c>
      <c r="GA3427" s="5" t="s">
        <v>240</v>
      </c>
      <c r="GB3427" s="5" t="s">
        <v>240</v>
      </c>
      <c r="GC3427" s="5" t="s">
        <v>240</v>
      </c>
      <c r="GD3427" s="5" t="s">
        <v>240</v>
      </c>
      <c r="GE3427" s="5" t="s">
        <v>240</v>
      </c>
      <c r="GF3427" s="5" t="s">
        <v>240</v>
      </c>
      <c r="GG3427" s="5" t="s">
        <v>240</v>
      </c>
      <c r="GH3427" s="5" t="s">
        <v>240</v>
      </c>
      <c r="GI3427" s="5" t="s">
        <v>240</v>
      </c>
      <c r="GJ3427" s="5" t="s">
        <v>240</v>
      </c>
      <c r="GK3427" s="5" t="s">
        <v>240</v>
      </c>
      <c r="GL3427" s="5" t="s">
        <v>240</v>
      </c>
      <c r="GM3427" s="5" t="s">
        <v>240</v>
      </c>
      <c r="GN3427" s="5" t="s">
        <v>240</v>
      </c>
      <c r="GO3427" s="5" t="s">
        <v>240</v>
      </c>
      <c r="GP3427" s="5" t="s">
        <v>240</v>
      </c>
      <c r="GQ3427" s="5" t="s">
        <v>240</v>
      </c>
      <c r="GR3427" s="5" t="s">
        <v>240</v>
      </c>
      <c r="GS3427" s="5" t="s">
        <v>240</v>
      </c>
      <c r="GT3427" s="5" t="s">
        <v>240</v>
      </c>
      <c r="GU3427" s="5" t="s">
        <v>240</v>
      </c>
      <c r="GV3427" s="5" t="s">
        <v>240</v>
      </c>
      <c r="GW3427" s="5" t="s">
        <v>240</v>
      </c>
      <c r="GX3427" s="5" t="s">
        <v>240</v>
      </c>
      <c r="GY3427" s="5" t="s">
        <v>240</v>
      </c>
      <c r="GZ3427" s="5" t="s">
        <v>240</v>
      </c>
      <c r="HA3427" s="5" t="s">
        <v>240</v>
      </c>
      <c r="HB3427" s="5" t="s">
        <v>240</v>
      </c>
      <c r="HC3427" s="5" t="s">
        <v>240</v>
      </c>
      <c r="HD3427" s="5" t="s">
        <v>240</v>
      </c>
      <c r="HE3427" s="5" t="s">
        <v>240</v>
      </c>
      <c r="HF3427" s="5" t="s">
        <v>240</v>
      </c>
      <c r="HG3427" s="5" t="s">
        <v>240</v>
      </c>
      <c r="HH3427" s="5" t="s">
        <v>240</v>
      </c>
      <c r="HI3427" s="5" t="s">
        <v>240</v>
      </c>
      <c r="HJ3427" s="5" t="s">
        <v>240</v>
      </c>
      <c r="HK3427" s="5" t="s">
        <v>240</v>
      </c>
      <c r="HL3427" s="5" t="s">
        <v>240</v>
      </c>
      <c r="HM3427" s="5" t="s">
        <v>240</v>
      </c>
      <c r="HN3427" s="5" t="s">
        <v>240</v>
      </c>
      <c r="HO3427" s="5" t="s">
        <v>312</v>
      </c>
      <c r="HP3427" s="5" t="s">
        <v>240</v>
      </c>
      <c r="HQ3427" s="5" t="s">
        <v>240</v>
      </c>
      <c r="HR3427" s="5" t="s">
        <v>240</v>
      </c>
      <c r="HS3427" s="5" t="s">
        <v>240</v>
      </c>
      <c r="HT3427" s="5" t="s">
        <v>240</v>
      </c>
      <c r="HU3427" s="5" t="s">
        <v>240</v>
      </c>
      <c r="HV3427" s="5" t="s">
        <v>240</v>
      </c>
      <c r="HW3427" s="5" t="s">
        <v>240</v>
      </c>
      <c r="HX3427" s="5" t="s">
        <v>240</v>
      </c>
      <c r="HY3427" s="5" t="s">
        <v>240</v>
      </c>
      <c r="HZ3427" s="5" t="s">
        <v>240</v>
      </c>
      <c r="IA3427" s="5" t="s">
        <v>240</v>
      </c>
      <c r="IB3427" s="5" t="s">
        <v>240</v>
      </c>
      <c r="IC3427" s="5" t="s">
        <v>240</v>
      </c>
      <c r="ID3427" s="5" t="s">
        <v>240</v>
      </c>
      <c r="IE3427" s="5" t="s">
        <v>240</v>
      </c>
      <c r="IF3427" s="5" t="s">
        <v>240</v>
      </c>
    </row>
    <row r="3428" spans="1:240" x14ac:dyDescent="0.4">
      <c r="A3428" s="5">
        <v>8970</v>
      </c>
      <c r="B3428" s="5">
        <v>1</v>
      </c>
      <c r="C3428" s="5">
        <v>1</v>
      </c>
      <c r="D3428" s="5" t="s">
        <v>723</v>
      </c>
      <c r="E3428" s="5" t="s">
        <v>725</v>
      </c>
      <c r="F3428" s="5" t="s">
        <v>730</v>
      </c>
      <c r="G3428" s="5" t="s">
        <v>726</v>
      </c>
      <c r="H3428" s="6" t="s">
        <v>3890</v>
      </c>
      <c r="I3428" s="5" t="s">
        <v>722</v>
      </c>
      <c r="J3428" s="8">
        <f>287</f>
        <v>287</v>
      </c>
      <c r="K3428" s="5" t="s">
        <v>308</v>
      </c>
      <c r="L3428" s="7">
        <f>0</f>
        <v>0</v>
      </c>
      <c r="M3428" s="7">
        <f>0</f>
        <v>0</v>
      </c>
      <c r="N3428" s="5" t="s">
        <v>242</v>
      </c>
      <c r="O3428" s="5">
        <v>1</v>
      </c>
      <c r="P3428" s="5" t="s">
        <v>294</v>
      </c>
      <c r="Q3428" s="5" t="s">
        <v>3678</v>
      </c>
      <c r="R3428" s="5" t="s">
        <v>240</v>
      </c>
      <c r="S3428" s="5" t="s">
        <v>240</v>
      </c>
      <c r="T3428" s="5" t="s">
        <v>243</v>
      </c>
      <c r="U3428" s="5" t="s">
        <v>244</v>
      </c>
      <c r="V3428" s="5" t="s">
        <v>240</v>
      </c>
      <c r="W3428" s="5" t="s">
        <v>240</v>
      </c>
      <c r="X3428" s="5" t="s">
        <v>240</v>
      </c>
      <c r="Y3428" s="5" t="s">
        <v>240</v>
      </c>
      <c r="Z3428" s="6" t="s">
        <v>298</v>
      </c>
      <c r="AA3428" s="6" t="s">
        <v>240</v>
      </c>
      <c r="AB3428" s="6" t="s">
        <v>240</v>
      </c>
      <c r="AC3428" s="5" t="s">
        <v>240</v>
      </c>
      <c r="AD3428" s="6" t="s">
        <v>240</v>
      </c>
      <c r="AE3428" s="6" t="s">
        <v>299</v>
      </c>
      <c r="AF3428" s="5" t="s">
        <v>248</v>
      </c>
      <c r="AG3428" s="5" t="s">
        <v>249</v>
      </c>
      <c r="AH3428" s="5" t="s">
        <v>240</v>
      </c>
      <c r="AI3428" s="5" t="s">
        <v>240</v>
      </c>
      <c r="AJ3428" s="5" t="s">
        <v>240</v>
      </c>
      <c r="AK3428" s="5" t="s">
        <v>240</v>
      </c>
      <c r="AL3428" s="5" t="s">
        <v>240</v>
      </c>
      <c r="AM3428" s="5" t="s">
        <v>240</v>
      </c>
      <c r="AN3428" s="5" t="s">
        <v>240</v>
      </c>
      <c r="AO3428" s="5" t="s">
        <v>240</v>
      </c>
      <c r="AP3428" s="6" t="s">
        <v>240</v>
      </c>
      <c r="AQ3428" s="6" t="s">
        <v>240</v>
      </c>
      <c r="AR3428" s="6" t="s">
        <v>240</v>
      </c>
      <c r="AS3428" s="6" t="s">
        <v>240</v>
      </c>
      <c r="AT3428" s="5" t="s">
        <v>240</v>
      </c>
      <c r="AU3428" s="5" t="s">
        <v>729</v>
      </c>
      <c r="AV3428" s="5" t="s">
        <v>729</v>
      </c>
      <c r="AW3428" s="5" t="s">
        <v>251</v>
      </c>
      <c r="AX3428" s="5" t="s">
        <v>252</v>
      </c>
      <c r="AY3428" s="5" t="s">
        <v>253</v>
      </c>
      <c r="AZ3428" s="5" t="s">
        <v>6046</v>
      </c>
      <c r="BA3428" s="5" t="s">
        <v>255</v>
      </c>
      <c r="BB3428" s="5" t="s">
        <v>731</v>
      </c>
      <c r="BD3428" s="5" t="s">
        <v>240</v>
      </c>
      <c r="BF3428" s="5" t="s">
        <v>732</v>
      </c>
      <c r="BG3428" s="6" t="s">
        <v>733</v>
      </c>
      <c r="BH3428" s="5" t="s">
        <v>734</v>
      </c>
      <c r="BI3428" s="5" t="s">
        <v>734</v>
      </c>
      <c r="BJ3428" s="5" t="s">
        <v>240</v>
      </c>
      <c r="BK3428" s="7">
        <f>1</f>
        <v>1</v>
      </c>
      <c r="BL3428" s="7">
        <f>1</f>
        <v>1</v>
      </c>
      <c r="BM3428" s="5" t="s">
        <v>258</v>
      </c>
      <c r="BN3428" s="5" t="s">
        <v>259</v>
      </c>
      <c r="BO3428" s="5" t="s">
        <v>240</v>
      </c>
      <c r="BP3428" s="5" t="s">
        <v>240</v>
      </c>
      <c r="BQ3428" s="5" t="s">
        <v>240</v>
      </c>
      <c r="BR3428" s="5" t="s">
        <v>240</v>
      </c>
      <c r="BS3428" s="5" t="s">
        <v>240</v>
      </c>
      <c r="BT3428" s="5" t="s">
        <v>240</v>
      </c>
      <c r="BU3428" s="5" t="s">
        <v>240</v>
      </c>
      <c r="BV3428" s="5" t="s">
        <v>240</v>
      </c>
      <c r="BW3428" s="6" t="s">
        <v>240</v>
      </c>
      <c r="BX3428" s="5" t="s">
        <v>240</v>
      </c>
      <c r="BY3428" s="5" t="s">
        <v>240</v>
      </c>
      <c r="BZ3428" s="5" t="s">
        <v>240</v>
      </c>
      <c r="CA3428" s="5" t="s">
        <v>259</v>
      </c>
      <c r="CB3428" s="5" t="s">
        <v>240</v>
      </c>
      <c r="CC3428" s="5" t="s">
        <v>240</v>
      </c>
      <c r="CD3428" s="5" t="s">
        <v>240</v>
      </c>
      <c r="CE3428" s="5" t="s">
        <v>240</v>
      </c>
      <c r="CF3428" s="5" t="s">
        <v>240</v>
      </c>
      <c r="CG3428" s="5" t="s">
        <v>304</v>
      </c>
      <c r="CH3428" s="5" t="s">
        <v>305</v>
      </c>
      <c r="CI3428" s="5" t="s">
        <v>260</v>
      </c>
      <c r="CK3428" s="5" t="s">
        <v>3681</v>
      </c>
      <c r="CL3428" s="6" t="s">
        <v>261</v>
      </c>
      <c r="CM3428" s="5" t="s">
        <v>262</v>
      </c>
      <c r="CN3428" s="5" t="s">
        <v>263</v>
      </c>
      <c r="CO3428" s="5" t="s">
        <v>264</v>
      </c>
      <c r="CP3428" s="5" t="s">
        <v>240</v>
      </c>
      <c r="CQ3428" s="5">
        <v>0</v>
      </c>
      <c r="CR3428" s="5" t="s">
        <v>735</v>
      </c>
      <c r="CS3428" s="5" t="s">
        <v>307</v>
      </c>
      <c r="CT3428" s="5" t="s">
        <v>307</v>
      </c>
      <c r="CU3428" s="5" t="s">
        <v>260</v>
      </c>
      <c r="CV3428" s="5" t="s">
        <v>612</v>
      </c>
      <c r="CW3428" s="8">
        <f>1</f>
        <v>1</v>
      </c>
      <c r="CX3428" s="7">
        <f>1</f>
        <v>1</v>
      </c>
      <c r="CY3428" s="7">
        <f>0</f>
        <v>0</v>
      </c>
      <c r="DA3428" s="7">
        <f>1</f>
        <v>1</v>
      </c>
      <c r="DB3428" s="7" t="s">
        <v>240</v>
      </c>
      <c r="DC3428" s="5" t="s">
        <v>240</v>
      </c>
      <c r="DD3428" s="5" t="s">
        <v>240</v>
      </c>
      <c r="DE3428" s="5" t="s">
        <v>240</v>
      </c>
      <c r="DF3428" s="5" t="s">
        <v>240</v>
      </c>
      <c r="DG3428" s="7">
        <f>0</f>
        <v>0</v>
      </c>
      <c r="DI3428" s="5" t="s">
        <v>240</v>
      </c>
      <c r="DJ3428" s="5" t="s">
        <v>240</v>
      </c>
      <c r="DK3428" s="5" t="s">
        <v>240</v>
      </c>
      <c r="DL3428" s="5" t="s">
        <v>240</v>
      </c>
      <c r="DM3428" s="5" t="s">
        <v>240</v>
      </c>
      <c r="DN3428" s="5" t="s">
        <v>240</v>
      </c>
      <c r="DO3428" s="7" t="s">
        <v>240</v>
      </c>
      <c r="DP3428" s="5" t="s">
        <v>240</v>
      </c>
      <c r="DQ3428" s="5" t="s">
        <v>248</v>
      </c>
      <c r="DR3428" s="5" t="s">
        <v>731</v>
      </c>
      <c r="DS3428" s="5" t="s">
        <v>731</v>
      </c>
      <c r="DT3428" s="5" t="s">
        <v>240</v>
      </c>
      <c r="DU3428" s="5" t="s">
        <v>240</v>
      </c>
      <c r="DV3428" s="5" t="s">
        <v>6047</v>
      </c>
      <c r="DW3428" s="5" t="s">
        <v>763</v>
      </c>
      <c r="DX3428" s="5" t="s">
        <v>240</v>
      </c>
      <c r="DY3428" s="5" t="s">
        <v>240</v>
      </c>
      <c r="DZ3428" s="5" t="s">
        <v>240</v>
      </c>
      <c r="EA3428" s="5" t="s">
        <v>240</v>
      </c>
      <c r="EB3428" s="5" t="s">
        <v>240</v>
      </c>
      <c r="EC3428" s="5" t="s">
        <v>240</v>
      </c>
      <c r="ED3428" s="5" t="s">
        <v>240</v>
      </c>
      <c r="EE3428" s="5" t="s">
        <v>240</v>
      </c>
      <c r="EF3428" s="5" t="s">
        <v>240</v>
      </c>
      <c r="EG3428" s="5" t="s">
        <v>240</v>
      </c>
      <c r="EH3428" s="5" t="s">
        <v>240</v>
      </c>
      <c r="EI3428" s="5" t="s">
        <v>240</v>
      </c>
      <c r="EJ3428" s="5" t="s">
        <v>240</v>
      </c>
      <c r="EK3428" s="5" t="s">
        <v>240</v>
      </c>
      <c r="EL3428" s="5" t="s">
        <v>240</v>
      </c>
      <c r="EM3428" s="5" t="s">
        <v>240</v>
      </c>
      <c r="EN3428" s="5" t="s">
        <v>240</v>
      </c>
      <c r="EO3428" s="5" t="s">
        <v>240</v>
      </c>
      <c r="EP3428" s="5" t="s">
        <v>240</v>
      </c>
      <c r="EQ3428" s="5" t="s">
        <v>240</v>
      </c>
      <c r="ER3428" s="5" t="s">
        <v>240</v>
      </c>
      <c r="ES3428" s="5" t="s">
        <v>240</v>
      </c>
      <c r="ET3428" s="5" t="s">
        <v>240</v>
      </c>
      <c r="EU3428" s="5" t="s">
        <v>240</v>
      </c>
      <c r="EV3428" s="5" t="s">
        <v>240</v>
      </c>
      <c r="EW3428" s="5" t="s">
        <v>240</v>
      </c>
      <c r="EX3428" s="5" t="s">
        <v>240</v>
      </c>
      <c r="EY3428" s="5" t="s">
        <v>240</v>
      </c>
      <c r="EZ3428" s="5" t="s">
        <v>240</v>
      </c>
      <c r="FA3428" s="5" t="s">
        <v>240</v>
      </c>
      <c r="FB3428" s="5" t="s">
        <v>240</v>
      </c>
      <c r="FC3428" s="5" t="s">
        <v>240</v>
      </c>
      <c r="FD3428" s="5" t="s">
        <v>240</v>
      </c>
      <c r="FE3428" s="5" t="s">
        <v>240</v>
      </c>
      <c r="FF3428" s="5" t="s">
        <v>240</v>
      </c>
      <c r="FG3428" s="5" t="s">
        <v>240</v>
      </c>
      <c r="FH3428" s="5" t="s">
        <v>240</v>
      </c>
      <c r="FI3428" s="5" t="s">
        <v>240</v>
      </c>
      <c r="FJ3428" s="5" t="s">
        <v>240</v>
      </c>
      <c r="FK3428" s="5" t="s">
        <v>240</v>
      </c>
      <c r="FL3428" s="5" t="s">
        <v>240</v>
      </c>
      <c r="FM3428" s="5" t="s">
        <v>240</v>
      </c>
      <c r="FN3428" s="5" t="s">
        <v>240</v>
      </c>
      <c r="FO3428" s="5" t="s">
        <v>240</v>
      </c>
      <c r="FP3428" s="5" t="s">
        <v>240</v>
      </c>
      <c r="FQ3428" s="5" t="s">
        <v>240</v>
      </c>
      <c r="FR3428" s="5" t="s">
        <v>240</v>
      </c>
      <c r="FS3428" s="5" t="s">
        <v>240</v>
      </c>
      <c r="FT3428" s="5" t="s">
        <v>240</v>
      </c>
      <c r="FU3428" s="5" t="s">
        <v>240</v>
      </c>
      <c r="FV3428" s="5" t="s">
        <v>240</v>
      </c>
      <c r="FW3428" s="5" t="s">
        <v>240</v>
      </c>
      <c r="FX3428" s="5" t="s">
        <v>240</v>
      </c>
      <c r="FY3428" s="5" t="s">
        <v>240</v>
      </c>
      <c r="FZ3428" s="5" t="s">
        <v>240</v>
      </c>
      <c r="GA3428" s="5" t="s">
        <v>240</v>
      </c>
      <c r="GB3428" s="5" t="s">
        <v>240</v>
      </c>
      <c r="GC3428" s="5" t="s">
        <v>240</v>
      </c>
      <c r="GD3428" s="5" t="s">
        <v>240</v>
      </c>
      <c r="GE3428" s="5" t="s">
        <v>240</v>
      </c>
      <c r="GF3428" s="5" t="s">
        <v>240</v>
      </c>
      <c r="GG3428" s="5" t="s">
        <v>240</v>
      </c>
      <c r="GH3428" s="5" t="s">
        <v>240</v>
      </c>
      <c r="GI3428" s="5" t="s">
        <v>240</v>
      </c>
      <c r="GJ3428" s="5" t="s">
        <v>240</v>
      </c>
      <c r="GK3428" s="5" t="s">
        <v>240</v>
      </c>
      <c r="GL3428" s="5" t="s">
        <v>240</v>
      </c>
      <c r="GM3428" s="5" t="s">
        <v>240</v>
      </c>
      <c r="GN3428" s="5" t="s">
        <v>240</v>
      </c>
      <c r="GO3428" s="5" t="s">
        <v>240</v>
      </c>
      <c r="GP3428" s="5" t="s">
        <v>240</v>
      </c>
      <c r="GQ3428" s="5" t="s">
        <v>240</v>
      </c>
      <c r="GR3428" s="5" t="s">
        <v>240</v>
      </c>
      <c r="GS3428" s="5" t="s">
        <v>240</v>
      </c>
      <c r="GT3428" s="5" t="s">
        <v>240</v>
      </c>
      <c r="GU3428" s="5" t="s">
        <v>240</v>
      </c>
      <c r="GV3428" s="5" t="s">
        <v>240</v>
      </c>
      <c r="GW3428" s="5" t="s">
        <v>240</v>
      </c>
      <c r="GX3428" s="5" t="s">
        <v>240</v>
      </c>
      <c r="GY3428" s="5" t="s">
        <v>240</v>
      </c>
      <c r="GZ3428" s="5" t="s">
        <v>240</v>
      </c>
      <c r="HA3428" s="5" t="s">
        <v>240</v>
      </c>
      <c r="HB3428" s="5" t="s">
        <v>240</v>
      </c>
      <c r="HC3428" s="5" t="s">
        <v>240</v>
      </c>
      <c r="HD3428" s="5" t="s">
        <v>240</v>
      </c>
      <c r="HE3428" s="5" t="s">
        <v>240</v>
      </c>
      <c r="HF3428" s="5" t="s">
        <v>240</v>
      </c>
      <c r="HG3428" s="5" t="s">
        <v>240</v>
      </c>
      <c r="HH3428" s="5" t="s">
        <v>240</v>
      </c>
      <c r="HI3428" s="5" t="s">
        <v>240</v>
      </c>
      <c r="HJ3428" s="5" t="s">
        <v>240</v>
      </c>
      <c r="HK3428" s="5" t="s">
        <v>240</v>
      </c>
      <c r="HL3428" s="5" t="s">
        <v>240</v>
      </c>
      <c r="HM3428" s="5" t="s">
        <v>240</v>
      </c>
      <c r="HN3428" s="5" t="s">
        <v>240</v>
      </c>
      <c r="HO3428" s="5" t="s">
        <v>240</v>
      </c>
      <c r="HP3428" s="5" t="s">
        <v>240</v>
      </c>
      <c r="HQ3428" s="5" t="s">
        <v>240</v>
      </c>
      <c r="HR3428" s="5" t="s">
        <v>240</v>
      </c>
      <c r="HS3428" s="5" t="s">
        <v>240</v>
      </c>
      <c r="HT3428" s="5" t="s">
        <v>240</v>
      </c>
      <c r="HU3428" s="5" t="s">
        <v>240</v>
      </c>
      <c r="HV3428" s="5" t="s">
        <v>240</v>
      </c>
      <c r="HW3428" s="5" t="s">
        <v>240</v>
      </c>
      <c r="HX3428" s="5" t="s">
        <v>240</v>
      </c>
      <c r="HY3428" s="5" t="s">
        <v>240</v>
      </c>
      <c r="HZ3428" s="5" t="s">
        <v>240</v>
      </c>
      <c r="IA3428" s="5" t="s">
        <v>240</v>
      </c>
      <c r="IB3428" s="5" t="s">
        <v>240</v>
      </c>
      <c r="IC3428" s="5" t="s">
        <v>240</v>
      </c>
      <c r="ID3428" s="5" t="s">
        <v>240</v>
      </c>
      <c r="IE3428" s="5" t="s">
        <v>240</v>
      </c>
      <c r="IF3428" s="5" t="s">
        <v>240</v>
      </c>
    </row>
    <row r="3429" spans="1:240" x14ac:dyDescent="0.4">
      <c r="A3429" s="5">
        <v>8971</v>
      </c>
      <c r="B3429" s="5">
        <v>1</v>
      </c>
      <c r="C3429" s="5">
        <v>1</v>
      </c>
      <c r="D3429" s="5" t="s">
        <v>723</v>
      </c>
      <c r="E3429" s="5" t="s">
        <v>725</v>
      </c>
      <c r="F3429" s="5" t="s">
        <v>730</v>
      </c>
      <c r="G3429" s="5" t="s">
        <v>3895</v>
      </c>
      <c r="H3429" s="6" t="s">
        <v>3896</v>
      </c>
      <c r="I3429" s="5" t="s">
        <v>722</v>
      </c>
      <c r="J3429" s="8">
        <f>4066</f>
        <v>4066</v>
      </c>
      <c r="K3429" s="5" t="s">
        <v>308</v>
      </c>
      <c r="L3429" s="7">
        <f>0</f>
        <v>0</v>
      </c>
      <c r="M3429" s="7">
        <f>0</f>
        <v>0</v>
      </c>
      <c r="N3429" s="5" t="s">
        <v>242</v>
      </c>
      <c r="O3429" s="5">
        <v>1</v>
      </c>
      <c r="P3429" s="5" t="s">
        <v>294</v>
      </c>
      <c r="Q3429" s="5" t="s">
        <v>3678</v>
      </c>
      <c r="R3429" s="5" t="s">
        <v>240</v>
      </c>
      <c r="S3429" s="5" t="s">
        <v>240</v>
      </c>
      <c r="T3429" s="5" t="s">
        <v>243</v>
      </c>
      <c r="U3429" s="5" t="s">
        <v>244</v>
      </c>
      <c r="V3429" s="5" t="s">
        <v>240</v>
      </c>
      <c r="W3429" s="5" t="s">
        <v>240</v>
      </c>
      <c r="X3429" s="5" t="s">
        <v>240</v>
      </c>
      <c r="Y3429" s="5" t="s">
        <v>240</v>
      </c>
      <c r="Z3429" s="6" t="s">
        <v>298</v>
      </c>
      <c r="AA3429" s="6" t="s">
        <v>240</v>
      </c>
      <c r="AB3429" s="6" t="s">
        <v>240</v>
      </c>
      <c r="AC3429" s="5" t="s">
        <v>240</v>
      </c>
      <c r="AD3429" s="6" t="s">
        <v>240</v>
      </c>
      <c r="AE3429" s="6" t="s">
        <v>299</v>
      </c>
      <c r="AF3429" s="5" t="s">
        <v>248</v>
      </c>
      <c r="AG3429" s="5" t="s">
        <v>249</v>
      </c>
      <c r="AH3429" s="5" t="s">
        <v>240</v>
      </c>
      <c r="AI3429" s="5" t="s">
        <v>240</v>
      </c>
      <c r="AJ3429" s="5" t="s">
        <v>240</v>
      </c>
      <c r="AK3429" s="5" t="s">
        <v>240</v>
      </c>
      <c r="AL3429" s="5" t="s">
        <v>240</v>
      </c>
      <c r="AM3429" s="5" t="s">
        <v>240</v>
      </c>
      <c r="AN3429" s="5" t="s">
        <v>240</v>
      </c>
      <c r="AO3429" s="5" t="s">
        <v>240</v>
      </c>
      <c r="AP3429" s="6" t="s">
        <v>240</v>
      </c>
      <c r="AQ3429" s="6" t="s">
        <v>240</v>
      </c>
      <c r="AR3429" s="6" t="s">
        <v>240</v>
      </c>
      <c r="AS3429" s="6" t="s">
        <v>240</v>
      </c>
      <c r="AT3429" s="5" t="s">
        <v>240</v>
      </c>
      <c r="AU3429" s="5" t="s">
        <v>729</v>
      </c>
      <c r="AV3429" s="5" t="s">
        <v>729</v>
      </c>
      <c r="AW3429" s="5" t="s">
        <v>251</v>
      </c>
      <c r="AX3429" s="5" t="s">
        <v>252</v>
      </c>
      <c r="AY3429" s="5" t="s">
        <v>253</v>
      </c>
      <c r="AZ3429" s="5" t="s">
        <v>6046</v>
      </c>
      <c r="BA3429" s="5" t="s">
        <v>255</v>
      </c>
      <c r="BB3429" s="5" t="s">
        <v>731</v>
      </c>
      <c r="BD3429" s="5" t="s">
        <v>240</v>
      </c>
      <c r="BF3429" s="5" t="s">
        <v>732</v>
      </c>
      <c r="BG3429" s="6" t="s">
        <v>733</v>
      </c>
      <c r="BH3429" s="5" t="s">
        <v>734</v>
      </c>
      <c r="BI3429" s="5" t="s">
        <v>734</v>
      </c>
      <c r="BJ3429" s="5" t="s">
        <v>240</v>
      </c>
      <c r="BK3429" s="7">
        <f>1</f>
        <v>1</v>
      </c>
      <c r="BL3429" s="7">
        <f>1</f>
        <v>1</v>
      </c>
      <c r="BM3429" s="5" t="s">
        <v>258</v>
      </c>
      <c r="BN3429" s="5" t="s">
        <v>259</v>
      </c>
      <c r="BO3429" s="5" t="s">
        <v>240</v>
      </c>
      <c r="BP3429" s="5" t="s">
        <v>240</v>
      </c>
      <c r="BQ3429" s="5" t="s">
        <v>240</v>
      </c>
      <c r="BR3429" s="5" t="s">
        <v>240</v>
      </c>
      <c r="BS3429" s="5" t="s">
        <v>240</v>
      </c>
      <c r="BT3429" s="5" t="s">
        <v>240</v>
      </c>
      <c r="BU3429" s="5" t="s">
        <v>240</v>
      </c>
      <c r="BV3429" s="5" t="s">
        <v>240</v>
      </c>
      <c r="BW3429" s="6" t="s">
        <v>240</v>
      </c>
      <c r="BX3429" s="5" t="s">
        <v>240</v>
      </c>
      <c r="BY3429" s="5" t="s">
        <v>240</v>
      </c>
      <c r="BZ3429" s="5" t="s">
        <v>240</v>
      </c>
      <c r="CA3429" s="5" t="s">
        <v>259</v>
      </c>
      <c r="CB3429" s="5" t="s">
        <v>240</v>
      </c>
      <c r="CC3429" s="5" t="s">
        <v>240</v>
      </c>
      <c r="CD3429" s="5" t="s">
        <v>240</v>
      </c>
      <c r="CE3429" s="5" t="s">
        <v>240</v>
      </c>
      <c r="CF3429" s="5" t="s">
        <v>240</v>
      </c>
      <c r="CG3429" s="5" t="s">
        <v>304</v>
      </c>
      <c r="CH3429" s="5" t="s">
        <v>305</v>
      </c>
      <c r="CI3429" s="5" t="s">
        <v>260</v>
      </c>
      <c r="CK3429" s="5" t="s">
        <v>3681</v>
      </c>
      <c r="CL3429" s="6" t="s">
        <v>261</v>
      </c>
      <c r="CM3429" s="5" t="s">
        <v>262</v>
      </c>
      <c r="CN3429" s="5" t="s">
        <v>263</v>
      </c>
      <c r="CO3429" s="5" t="s">
        <v>264</v>
      </c>
      <c r="CP3429" s="5" t="s">
        <v>240</v>
      </c>
      <c r="CQ3429" s="5">
        <v>0</v>
      </c>
      <c r="CR3429" s="5" t="s">
        <v>735</v>
      </c>
      <c r="CS3429" s="5" t="s">
        <v>307</v>
      </c>
      <c r="CT3429" s="5" t="s">
        <v>307</v>
      </c>
      <c r="CU3429" s="5" t="s">
        <v>260</v>
      </c>
      <c r="CV3429" s="5" t="s">
        <v>612</v>
      </c>
      <c r="CW3429" s="8">
        <f>1</f>
        <v>1</v>
      </c>
      <c r="CX3429" s="7">
        <f>1</f>
        <v>1</v>
      </c>
      <c r="CY3429" s="7">
        <f>0</f>
        <v>0</v>
      </c>
      <c r="DA3429" s="7">
        <f>1</f>
        <v>1</v>
      </c>
      <c r="DB3429" s="7" t="s">
        <v>240</v>
      </c>
      <c r="DC3429" s="5" t="s">
        <v>240</v>
      </c>
      <c r="DD3429" s="5" t="s">
        <v>240</v>
      </c>
      <c r="DE3429" s="5" t="s">
        <v>240</v>
      </c>
      <c r="DF3429" s="5" t="s">
        <v>240</v>
      </c>
      <c r="DG3429" s="7">
        <f>0</f>
        <v>0</v>
      </c>
      <c r="DI3429" s="5" t="s">
        <v>240</v>
      </c>
      <c r="DJ3429" s="5" t="s">
        <v>240</v>
      </c>
      <c r="DK3429" s="5" t="s">
        <v>240</v>
      </c>
      <c r="DL3429" s="5" t="s">
        <v>240</v>
      </c>
      <c r="DM3429" s="5" t="s">
        <v>240</v>
      </c>
      <c r="DN3429" s="5" t="s">
        <v>240</v>
      </c>
      <c r="DO3429" s="7" t="s">
        <v>240</v>
      </c>
      <c r="DP3429" s="5" t="s">
        <v>240</v>
      </c>
      <c r="DQ3429" s="5" t="s">
        <v>248</v>
      </c>
      <c r="DR3429" s="5" t="s">
        <v>731</v>
      </c>
      <c r="DS3429" s="5" t="s">
        <v>731</v>
      </c>
      <c r="DT3429" s="5" t="s">
        <v>240</v>
      </c>
      <c r="DU3429" s="5" t="s">
        <v>240</v>
      </c>
      <c r="DV3429" s="5" t="s">
        <v>6047</v>
      </c>
      <c r="DW3429" s="5" t="s">
        <v>740</v>
      </c>
      <c r="DX3429" s="5" t="s">
        <v>240</v>
      </c>
      <c r="DY3429" s="5" t="s">
        <v>240</v>
      </c>
      <c r="DZ3429" s="5" t="s">
        <v>240</v>
      </c>
      <c r="EA3429" s="5" t="s">
        <v>240</v>
      </c>
      <c r="EB3429" s="5" t="s">
        <v>240</v>
      </c>
      <c r="EC3429" s="5" t="s">
        <v>240</v>
      </c>
      <c r="ED3429" s="5" t="s">
        <v>240</v>
      </c>
      <c r="EE3429" s="5" t="s">
        <v>240</v>
      </c>
      <c r="EF3429" s="5" t="s">
        <v>240</v>
      </c>
      <c r="EG3429" s="5" t="s">
        <v>240</v>
      </c>
      <c r="EH3429" s="5" t="s">
        <v>240</v>
      </c>
      <c r="EI3429" s="5" t="s">
        <v>240</v>
      </c>
      <c r="EJ3429" s="5" t="s">
        <v>240</v>
      </c>
      <c r="EK3429" s="5" t="s">
        <v>240</v>
      </c>
      <c r="EL3429" s="5" t="s">
        <v>240</v>
      </c>
      <c r="EM3429" s="5" t="s">
        <v>240</v>
      </c>
      <c r="EN3429" s="5" t="s">
        <v>240</v>
      </c>
      <c r="EO3429" s="5" t="s">
        <v>240</v>
      </c>
      <c r="EP3429" s="5" t="s">
        <v>240</v>
      </c>
      <c r="EQ3429" s="5" t="s">
        <v>240</v>
      </c>
      <c r="ER3429" s="5" t="s">
        <v>240</v>
      </c>
      <c r="ES3429" s="5" t="s">
        <v>240</v>
      </c>
      <c r="ET3429" s="5" t="s">
        <v>240</v>
      </c>
      <c r="EU3429" s="5" t="s">
        <v>240</v>
      </c>
      <c r="EV3429" s="5" t="s">
        <v>240</v>
      </c>
      <c r="EW3429" s="5" t="s">
        <v>240</v>
      </c>
      <c r="EX3429" s="5" t="s">
        <v>240</v>
      </c>
      <c r="EY3429" s="5" t="s">
        <v>240</v>
      </c>
      <c r="EZ3429" s="5" t="s">
        <v>240</v>
      </c>
      <c r="FA3429" s="5" t="s">
        <v>240</v>
      </c>
      <c r="FB3429" s="5" t="s">
        <v>240</v>
      </c>
      <c r="FC3429" s="5" t="s">
        <v>240</v>
      </c>
      <c r="FD3429" s="5" t="s">
        <v>240</v>
      </c>
      <c r="FE3429" s="5" t="s">
        <v>240</v>
      </c>
      <c r="FF3429" s="5" t="s">
        <v>240</v>
      </c>
      <c r="FG3429" s="5" t="s">
        <v>240</v>
      </c>
      <c r="FH3429" s="5" t="s">
        <v>240</v>
      </c>
      <c r="FI3429" s="5" t="s">
        <v>240</v>
      </c>
      <c r="FJ3429" s="5" t="s">
        <v>240</v>
      </c>
      <c r="FK3429" s="5" t="s">
        <v>240</v>
      </c>
      <c r="FL3429" s="5" t="s">
        <v>240</v>
      </c>
      <c r="FM3429" s="5" t="s">
        <v>240</v>
      </c>
      <c r="FN3429" s="5" t="s">
        <v>240</v>
      </c>
      <c r="FO3429" s="5" t="s">
        <v>240</v>
      </c>
      <c r="FP3429" s="5" t="s">
        <v>240</v>
      </c>
      <c r="FQ3429" s="5" t="s">
        <v>240</v>
      </c>
      <c r="FR3429" s="5" t="s">
        <v>240</v>
      </c>
      <c r="FS3429" s="5" t="s">
        <v>240</v>
      </c>
      <c r="FT3429" s="5" t="s">
        <v>240</v>
      </c>
      <c r="FU3429" s="5" t="s">
        <v>240</v>
      </c>
      <c r="FV3429" s="5" t="s">
        <v>240</v>
      </c>
      <c r="FW3429" s="5" t="s">
        <v>240</v>
      </c>
      <c r="FX3429" s="5" t="s">
        <v>240</v>
      </c>
      <c r="FY3429" s="5" t="s">
        <v>240</v>
      </c>
      <c r="FZ3429" s="5" t="s">
        <v>240</v>
      </c>
      <c r="GA3429" s="5" t="s">
        <v>240</v>
      </c>
      <c r="GB3429" s="5" t="s">
        <v>240</v>
      </c>
      <c r="GC3429" s="5" t="s">
        <v>240</v>
      </c>
      <c r="GD3429" s="5" t="s">
        <v>240</v>
      </c>
      <c r="GE3429" s="5" t="s">
        <v>240</v>
      </c>
      <c r="GF3429" s="5" t="s">
        <v>240</v>
      </c>
      <c r="GG3429" s="5" t="s">
        <v>240</v>
      </c>
      <c r="GH3429" s="5" t="s">
        <v>240</v>
      </c>
      <c r="GI3429" s="5" t="s">
        <v>240</v>
      </c>
      <c r="GJ3429" s="5" t="s">
        <v>240</v>
      </c>
      <c r="GK3429" s="5" t="s">
        <v>240</v>
      </c>
      <c r="GL3429" s="5" t="s">
        <v>240</v>
      </c>
      <c r="GM3429" s="5" t="s">
        <v>240</v>
      </c>
      <c r="GN3429" s="5" t="s">
        <v>240</v>
      </c>
      <c r="GO3429" s="5" t="s">
        <v>240</v>
      </c>
      <c r="GP3429" s="5" t="s">
        <v>240</v>
      </c>
      <c r="GQ3429" s="5" t="s">
        <v>240</v>
      </c>
      <c r="GR3429" s="5" t="s">
        <v>240</v>
      </c>
      <c r="GS3429" s="5" t="s">
        <v>240</v>
      </c>
      <c r="GT3429" s="5" t="s">
        <v>240</v>
      </c>
      <c r="GU3429" s="5" t="s">
        <v>240</v>
      </c>
      <c r="GV3429" s="5" t="s">
        <v>240</v>
      </c>
      <c r="GW3429" s="5" t="s">
        <v>240</v>
      </c>
      <c r="GX3429" s="5" t="s">
        <v>240</v>
      </c>
      <c r="GY3429" s="5" t="s">
        <v>240</v>
      </c>
      <c r="GZ3429" s="5" t="s">
        <v>240</v>
      </c>
      <c r="HA3429" s="5" t="s">
        <v>240</v>
      </c>
      <c r="HB3429" s="5" t="s">
        <v>240</v>
      </c>
      <c r="HC3429" s="5" t="s">
        <v>240</v>
      </c>
      <c r="HD3429" s="5" t="s">
        <v>240</v>
      </c>
      <c r="HE3429" s="5" t="s">
        <v>240</v>
      </c>
      <c r="HF3429" s="5" t="s">
        <v>240</v>
      </c>
      <c r="HG3429" s="5" t="s">
        <v>240</v>
      </c>
      <c r="HH3429" s="5" t="s">
        <v>240</v>
      </c>
      <c r="HI3429" s="5" t="s">
        <v>240</v>
      </c>
      <c r="HJ3429" s="5" t="s">
        <v>240</v>
      </c>
      <c r="HK3429" s="5" t="s">
        <v>240</v>
      </c>
      <c r="HL3429" s="5" t="s">
        <v>240</v>
      </c>
      <c r="HM3429" s="5" t="s">
        <v>240</v>
      </c>
      <c r="HN3429" s="5" t="s">
        <v>240</v>
      </c>
      <c r="HO3429" s="5" t="s">
        <v>240</v>
      </c>
      <c r="HP3429" s="5" t="s">
        <v>240</v>
      </c>
      <c r="HQ3429" s="5" t="s">
        <v>240</v>
      </c>
      <c r="HR3429" s="5" t="s">
        <v>240</v>
      </c>
      <c r="HS3429" s="5" t="s">
        <v>240</v>
      </c>
      <c r="HT3429" s="5" t="s">
        <v>240</v>
      </c>
      <c r="HU3429" s="5" t="s">
        <v>240</v>
      </c>
      <c r="HV3429" s="5" t="s">
        <v>240</v>
      </c>
      <c r="HW3429" s="5" t="s">
        <v>240</v>
      </c>
      <c r="HX3429" s="5" t="s">
        <v>240</v>
      </c>
      <c r="HY3429" s="5" t="s">
        <v>240</v>
      </c>
      <c r="HZ3429" s="5" t="s">
        <v>240</v>
      </c>
      <c r="IA3429" s="5" t="s">
        <v>240</v>
      </c>
      <c r="IB3429" s="5" t="s">
        <v>240</v>
      </c>
      <c r="IC3429" s="5" t="s">
        <v>240</v>
      </c>
      <c r="ID3429" s="5" t="s">
        <v>240</v>
      </c>
      <c r="IE3429" s="5" t="s">
        <v>240</v>
      </c>
      <c r="IF3429" s="5" t="s">
        <v>240</v>
      </c>
    </row>
    <row r="3430" spans="1:240" x14ac:dyDescent="0.4">
      <c r="A3430" s="5">
        <v>8972</v>
      </c>
      <c r="B3430" s="5">
        <v>1</v>
      </c>
      <c r="C3430" s="5">
        <v>1</v>
      </c>
      <c r="D3430" s="5" t="s">
        <v>723</v>
      </c>
      <c r="E3430" s="5" t="s">
        <v>725</v>
      </c>
      <c r="F3430" s="5" t="s">
        <v>730</v>
      </c>
      <c r="G3430" s="5" t="s">
        <v>726</v>
      </c>
      <c r="H3430" s="6" t="s">
        <v>3899</v>
      </c>
      <c r="I3430" s="5" t="s">
        <v>990</v>
      </c>
      <c r="J3430" s="8">
        <f>859.5</f>
        <v>859.5</v>
      </c>
      <c r="K3430" s="5" t="s">
        <v>308</v>
      </c>
      <c r="L3430" s="7">
        <f>0</f>
        <v>0</v>
      </c>
      <c r="M3430" s="7">
        <f>0</f>
        <v>0</v>
      </c>
      <c r="N3430" s="5" t="s">
        <v>242</v>
      </c>
      <c r="O3430" s="5">
        <v>1</v>
      </c>
      <c r="P3430" s="5" t="s">
        <v>294</v>
      </c>
      <c r="Q3430" s="5" t="s">
        <v>3678</v>
      </c>
      <c r="R3430" s="5" t="s">
        <v>240</v>
      </c>
      <c r="S3430" s="5" t="s">
        <v>240</v>
      </c>
      <c r="T3430" s="5" t="s">
        <v>243</v>
      </c>
      <c r="U3430" s="5" t="s">
        <v>244</v>
      </c>
      <c r="V3430" s="5" t="s">
        <v>240</v>
      </c>
      <c r="W3430" s="5" t="s">
        <v>240</v>
      </c>
      <c r="X3430" s="5" t="s">
        <v>240</v>
      </c>
      <c r="Y3430" s="5" t="s">
        <v>240</v>
      </c>
      <c r="Z3430" s="6" t="s">
        <v>298</v>
      </c>
      <c r="AA3430" s="6" t="s">
        <v>240</v>
      </c>
      <c r="AB3430" s="6" t="s">
        <v>240</v>
      </c>
      <c r="AC3430" s="5" t="s">
        <v>240</v>
      </c>
      <c r="AD3430" s="6" t="s">
        <v>240</v>
      </c>
      <c r="AE3430" s="6" t="s">
        <v>299</v>
      </c>
      <c r="AF3430" s="5" t="s">
        <v>248</v>
      </c>
      <c r="AG3430" s="5" t="s">
        <v>249</v>
      </c>
      <c r="AH3430" s="5" t="s">
        <v>240</v>
      </c>
      <c r="AI3430" s="5" t="s">
        <v>240</v>
      </c>
      <c r="AJ3430" s="5" t="s">
        <v>240</v>
      </c>
      <c r="AK3430" s="5" t="s">
        <v>240</v>
      </c>
      <c r="AL3430" s="5" t="s">
        <v>240</v>
      </c>
      <c r="AM3430" s="5" t="s">
        <v>240</v>
      </c>
      <c r="AN3430" s="5" t="s">
        <v>240</v>
      </c>
      <c r="AO3430" s="5" t="s">
        <v>240</v>
      </c>
      <c r="AP3430" s="6" t="s">
        <v>240</v>
      </c>
      <c r="AQ3430" s="6" t="s">
        <v>240</v>
      </c>
      <c r="AR3430" s="6" t="s">
        <v>240</v>
      </c>
      <c r="AS3430" s="6" t="s">
        <v>240</v>
      </c>
      <c r="AT3430" s="5" t="s">
        <v>240</v>
      </c>
      <c r="AU3430" s="5" t="s">
        <v>729</v>
      </c>
      <c r="AV3430" s="5" t="s">
        <v>729</v>
      </c>
      <c r="AW3430" s="5" t="s">
        <v>251</v>
      </c>
      <c r="AX3430" s="5" t="s">
        <v>252</v>
      </c>
      <c r="AY3430" s="5" t="s">
        <v>253</v>
      </c>
      <c r="AZ3430" s="5" t="s">
        <v>240</v>
      </c>
      <c r="BA3430" s="5" t="s">
        <v>255</v>
      </c>
      <c r="BB3430" s="5" t="s">
        <v>731</v>
      </c>
      <c r="BD3430" s="5" t="s">
        <v>240</v>
      </c>
      <c r="BF3430" s="5" t="s">
        <v>732</v>
      </c>
      <c r="BG3430" s="6" t="s">
        <v>733</v>
      </c>
      <c r="BH3430" s="5" t="s">
        <v>734</v>
      </c>
      <c r="BI3430" s="5" t="s">
        <v>734</v>
      </c>
      <c r="BJ3430" s="5" t="s">
        <v>240</v>
      </c>
      <c r="BK3430" s="7">
        <f>1</f>
        <v>1</v>
      </c>
      <c r="BL3430" s="7">
        <f>1</f>
        <v>1</v>
      </c>
      <c r="BM3430" s="5" t="s">
        <v>258</v>
      </c>
      <c r="BN3430" s="5" t="s">
        <v>259</v>
      </c>
      <c r="BO3430" s="5" t="s">
        <v>240</v>
      </c>
      <c r="BP3430" s="5" t="s">
        <v>240</v>
      </c>
      <c r="BQ3430" s="5" t="s">
        <v>240</v>
      </c>
      <c r="BR3430" s="5" t="s">
        <v>240</v>
      </c>
      <c r="BS3430" s="5" t="s">
        <v>240</v>
      </c>
      <c r="BT3430" s="5" t="s">
        <v>240</v>
      </c>
      <c r="BU3430" s="5" t="s">
        <v>240</v>
      </c>
      <c r="BV3430" s="5" t="s">
        <v>240</v>
      </c>
      <c r="BW3430" s="6" t="s">
        <v>240</v>
      </c>
      <c r="BX3430" s="5" t="s">
        <v>240</v>
      </c>
      <c r="BY3430" s="5" t="s">
        <v>240</v>
      </c>
      <c r="BZ3430" s="5" t="s">
        <v>240</v>
      </c>
      <c r="CA3430" s="5" t="s">
        <v>259</v>
      </c>
      <c r="CB3430" s="5" t="s">
        <v>240</v>
      </c>
      <c r="CC3430" s="5" t="s">
        <v>240</v>
      </c>
      <c r="CD3430" s="5" t="s">
        <v>240</v>
      </c>
      <c r="CE3430" s="5" t="s">
        <v>240</v>
      </c>
      <c r="CF3430" s="5" t="s">
        <v>240</v>
      </c>
      <c r="CG3430" s="5" t="s">
        <v>304</v>
      </c>
      <c r="CH3430" s="5" t="s">
        <v>305</v>
      </c>
      <c r="CI3430" s="5" t="s">
        <v>240</v>
      </c>
      <c r="CK3430" s="5" t="s">
        <v>3681</v>
      </c>
      <c r="CL3430" s="6" t="s">
        <v>261</v>
      </c>
      <c r="CM3430" s="5" t="s">
        <v>262</v>
      </c>
      <c r="CN3430" s="5" t="s">
        <v>263</v>
      </c>
      <c r="CO3430" s="5" t="s">
        <v>264</v>
      </c>
      <c r="CP3430" s="5" t="s">
        <v>240</v>
      </c>
      <c r="CQ3430" s="5">
        <v>0</v>
      </c>
      <c r="CR3430" s="5" t="s">
        <v>735</v>
      </c>
      <c r="CS3430" s="5" t="s">
        <v>307</v>
      </c>
      <c r="CT3430" s="5" t="s">
        <v>307</v>
      </c>
      <c r="CU3430" s="5" t="s">
        <v>260</v>
      </c>
      <c r="CV3430" s="5" t="s">
        <v>612</v>
      </c>
      <c r="CW3430" s="8">
        <f>1</f>
        <v>1</v>
      </c>
      <c r="CX3430" s="7">
        <f>1</f>
        <v>1</v>
      </c>
      <c r="CY3430" s="7">
        <f>0</f>
        <v>0</v>
      </c>
      <c r="DA3430" s="7">
        <f>1</f>
        <v>1</v>
      </c>
      <c r="DB3430" s="7" t="s">
        <v>240</v>
      </c>
      <c r="DC3430" s="5" t="s">
        <v>240</v>
      </c>
      <c r="DD3430" s="5" t="s">
        <v>240</v>
      </c>
      <c r="DE3430" s="5" t="s">
        <v>240</v>
      </c>
      <c r="DF3430" s="5" t="s">
        <v>240</v>
      </c>
      <c r="DG3430" s="7">
        <f>0</f>
        <v>0</v>
      </c>
      <c r="DI3430" s="5" t="s">
        <v>240</v>
      </c>
      <c r="DJ3430" s="5" t="s">
        <v>240</v>
      </c>
      <c r="DK3430" s="5" t="s">
        <v>240</v>
      </c>
      <c r="DL3430" s="5" t="s">
        <v>240</v>
      </c>
      <c r="DM3430" s="5" t="s">
        <v>240</v>
      </c>
      <c r="DN3430" s="5" t="s">
        <v>240</v>
      </c>
      <c r="DO3430" s="7" t="s">
        <v>240</v>
      </c>
      <c r="DP3430" s="5" t="s">
        <v>240</v>
      </c>
      <c r="DQ3430" s="5" t="s">
        <v>240</v>
      </c>
      <c r="DR3430" s="5" t="s">
        <v>731</v>
      </c>
      <c r="DS3430" s="5" t="s">
        <v>731</v>
      </c>
      <c r="DT3430" s="5" t="s">
        <v>240</v>
      </c>
      <c r="DU3430" s="5" t="s">
        <v>240</v>
      </c>
      <c r="DV3430" s="5" t="s">
        <v>5063</v>
      </c>
      <c r="DW3430" s="5" t="s">
        <v>1206</v>
      </c>
      <c r="DX3430" s="5" t="s">
        <v>240</v>
      </c>
      <c r="DY3430" s="5" t="s">
        <v>240</v>
      </c>
      <c r="DZ3430" s="5" t="s">
        <v>240</v>
      </c>
      <c r="EA3430" s="5" t="s">
        <v>240</v>
      </c>
      <c r="EB3430" s="5" t="s">
        <v>240</v>
      </c>
      <c r="EC3430" s="5" t="s">
        <v>240</v>
      </c>
      <c r="ED3430" s="5" t="s">
        <v>240</v>
      </c>
      <c r="EE3430" s="5" t="s">
        <v>240</v>
      </c>
      <c r="EF3430" s="5" t="s">
        <v>240</v>
      </c>
      <c r="EG3430" s="5" t="s">
        <v>240</v>
      </c>
      <c r="EH3430" s="5" t="s">
        <v>240</v>
      </c>
      <c r="EI3430" s="5" t="s">
        <v>240</v>
      </c>
      <c r="EJ3430" s="5" t="s">
        <v>240</v>
      </c>
      <c r="EK3430" s="5" t="s">
        <v>240</v>
      </c>
      <c r="EL3430" s="5" t="s">
        <v>240</v>
      </c>
      <c r="EM3430" s="5" t="s">
        <v>240</v>
      </c>
      <c r="EN3430" s="5" t="s">
        <v>240</v>
      </c>
      <c r="EO3430" s="5" t="s">
        <v>240</v>
      </c>
      <c r="EP3430" s="5" t="s">
        <v>240</v>
      </c>
      <c r="EQ3430" s="5" t="s">
        <v>240</v>
      </c>
      <c r="ER3430" s="5" t="s">
        <v>240</v>
      </c>
      <c r="ES3430" s="5" t="s">
        <v>240</v>
      </c>
      <c r="ET3430" s="5" t="s">
        <v>240</v>
      </c>
      <c r="EU3430" s="5" t="s">
        <v>240</v>
      </c>
      <c r="EV3430" s="5" t="s">
        <v>240</v>
      </c>
      <c r="EW3430" s="5" t="s">
        <v>240</v>
      </c>
      <c r="EX3430" s="5" t="s">
        <v>240</v>
      </c>
      <c r="EY3430" s="5" t="s">
        <v>240</v>
      </c>
      <c r="EZ3430" s="5" t="s">
        <v>240</v>
      </c>
      <c r="FA3430" s="5" t="s">
        <v>240</v>
      </c>
      <c r="FB3430" s="5" t="s">
        <v>240</v>
      </c>
      <c r="FC3430" s="5" t="s">
        <v>240</v>
      </c>
      <c r="FD3430" s="5" t="s">
        <v>240</v>
      </c>
      <c r="FE3430" s="5" t="s">
        <v>240</v>
      </c>
      <c r="FF3430" s="5" t="s">
        <v>240</v>
      </c>
      <c r="FG3430" s="5" t="s">
        <v>240</v>
      </c>
      <c r="FH3430" s="5" t="s">
        <v>240</v>
      </c>
      <c r="FI3430" s="5" t="s">
        <v>240</v>
      </c>
      <c r="FJ3430" s="5" t="s">
        <v>240</v>
      </c>
      <c r="FK3430" s="5" t="s">
        <v>240</v>
      </c>
      <c r="FL3430" s="5" t="s">
        <v>240</v>
      </c>
      <c r="FM3430" s="5" t="s">
        <v>240</v>
      </c>
      <c r="FN3430" s="5" t="s">
        <v>240</v>
      </c>
      <c r="FO3430" s="5" t="s">
        <v>240</v>
      </c>
      <c r="FP3430" s="5" t="s">
        <v>240</v>
      </c>
      <c r="FQ3430" s="5" t="s">
        <v>240</v>
      </c>
      <c r="FR3430" s="5" t="s">
        <v>240</v>
      </c>
      <c r="FS3430" s="5" t="s">
        <v>240</v>
      </c>
      <c r="FT3430" s="5" t="s">
        <v>240</v>
      </c>
      <c r="FU3430" s="5" t="s">
        <v>240</v>
      </c>
      <c r="FV3430" s="5" t="s">
        <v>240</v>
      </c>
      <c r="FW3430" s="5" t="s">
        <v>240</v>
      </c>
      <c r="FX3430" s="5" t="s">
        <v>240</v>
      </c>
      <c r="FY3430" s="5" t="s">
        <v>240</v>
      </c>
      <c r="FZ3430" s="5" t="s">
        <v>240</v>
      </c>
      <c r="GA3430" s="5" t="s">
        <v>240</v>
      </c>
      <c r="GB3430" s="5" t="s">
        <v>240</v>
      </c>
      <c r="GC3430" s="5" t="s">
        <v>240</v>
      </c>
      <c r="GD3430" s="5" t="s">
        <v>240</v>
      </c>
      <c r="GE3430" s="5" t="s">
        <v>240</v>
      </c>
      <c r="GF3430" s="5" t="s">
        <v>240</v>
      </c>
      <c r="GG3430" s="5" t="s">
        <v>240</v>
      </c>
      <c r="GH3430" s="5" t="s">
        <v>240</v>
      </c>
      <c r="GI3430" s="5" t="s">
        <v>240</v>
      </c>
      <c r="GJ3430" s="5" t="s">
        <v>240</v>
      </c>
      <c r="GK3430" s="5" t="s">
        <v>240</v>
      </c>
      <c r="GL3430" s="5" t="s">
        <v>240</v>
      </c>
      <c r="GM3430" s="5" t="s">
        <v>240</v>
      </c>
      <c r="GN3430" s="5" t="s">
        <v>240</v>
      </c>
      <c r="GO3430" s="5" t="s">
        <v>240</v>
      </c>
      <c r="GP3430" s="5" t="s">
        <v>240</v>
      </c>
      <c r="GQ3430" s="5" t="s">
        <v>240</v>
      </c>
      <c r="GR3430" s="5" t="s">
        <v>240</v>
      </c>
      <c r="GS3430" s="5" t="s">
        <v>240</v>
      </c>
      <c r="GT3430" s="5" t="s">
        <v>240</v>
      </c>
      <c r="GU3430" s="5" t="s">
        <v>240</v>
      </c>
      <c r="GV3430" s="5" t="s">
        <v>240</v>
      </c>
      <c r="GW3430" s="5" t="s">
        <v>240</v>
      </c>
      <c r="GX3430" s="5" t="s">
        <v>240</v>
      </c>
      <c r="GY3430" s="5" t="s">
        <v>240</v>
      </c>
      <c r="GZ3430" s="5" t="s">
        <v>240</v>
      </c>
      <c r="HA3430" s="5" t="s">
        <v>240</v>
      </c>
      <c r="HB3430" s="5" t="s">
        <v>240</v>
      </c>
      <c r="HC3430" s="5" t="s">
        <v>240</v>
      </c>
      <c r="HD3430" s="5" t="s">
        <v>240</v>
      </c>
      <c r="HE3430" s="5" t="s">
        <v>240</v>
      </c>
      <c r="HF3430" s="5" t="s">
        <v>240</v>
      </c>
      <c r="HG3430" s="5" t="s">
        <v>240</v>
      </c>
      <c r="HH3430" s="5" t="s">
        <v>240</v>
      </c>
      <c r="HI3430" s="5" t="s">
        <v>240</v>
      </c>
      <c r="HJ3430" s="5" t="s">
        <v>240</v>
      </c>
      <c r="HK3430" s="5" t="s">
        <v>240</v>
      </c>
      <c r="HL3430" s="5" t="s">
        <v>240</v>
      </c>
      <c r="HM3430" s="5" t="s">
        <v>240</v>
      </c>
      <c r="HN3430" s="5" t="s">
        <v>240</v>
      </c>
      <c r="HO3430" s="5" t="s">
        <v>312</v>
      </c>
      <c r="HP3430" s="5" t="s">
        <v>240</v>
      </c>
      <c r="HQ3430" s="5" t="s">
        <v>240</v>
      </c>
      <c r="HR3430" s="5" t="s">
        <v>240</v>
      </c>
      <c r="HS3430" s="5" t="s">
        <v>240</v>
      </c>
      <c r="HT3430" s="5" t="s">
        <v>240</v>
      </c>
      <c r="HU3430" s="5" t="s">
        <v>240</v>
      </c>
      <c r="HV3430" s="5" t="s">
        <v>240</v>
      </c>
      <c r="HW3430" s="5" t="s">
        <v>240</v>
      </c>
      <c r="HX3430" s="5" t="s">
        <v>240</v>
      </c>
      <c r="HY3430" s="5" t="s">
        <v>240</v>
      </c>
      <c r="HZ3430" s="5" t="s">
        <v>240</v>
      </c>
      <c r="IA3430" s="5" t="s">
        <v>240</v>
      </c>
      <c r="IB3430" s="5" t="s">
        <v>240</v>
      </c>
      <c r="IC3430" s="5" t="s">
        <v>240</v>
      </c>
      <c r="ID3430" s="5" t="s">
        <v>240</v>
      </c>
      <c r="IE3430" s="5" t="s">
        <v>240</v>
      </c>
      <c r="IF3430" s="5" t="s">
        <v>240</v>
      </c>
    </row>
    <row r="3431" spans="1:240" x14ac:dyDescent="0.4">
      <c r="A3431" s="5">
        <v>8973</v>
      </c>
      <c r="B3431" s="5">
        <v>1</v>
      </c>
      <c r="C3431" s="5">
        <v>1</v>
      </c>
      <c r="D3431" s="5" t="s">
        <v>723</v>
      </c>
      <c r="E3431" s="5" t="s">
        <v>725</v>
      </c>
      <c r="F3431" s="5" t="s">
        <v>730</v>
      </c>
      <c r="G3431" s="5" t="s">
        <v>726</v>
      </c>
      <c r="H3431" s="6" t="s">
        <v>3908</v>
      </c>
      <c r="I3431" s="5" t="s">
        <v>990</v>
      </c>
      <c r="J3431" s="8">
        <f>264.46</f>
        <v>264.45999999999998</v>
      </c>
      <c r="K3431" s="5" t="s">
        <v>308</v>
      </c>
      <c r="L3431" s="7">
        <f>0</f>
        <v>0</v>
      </c>
      <c r="M3431" s="7">
        <f>0</f>
        <v>0</v>
      </c>
      <c r="N3431" s="5" t="s">
        <v>242</v>
      </c>
      <c r="O3431" s="5">
        <v>1</v>
      </c>
      <c r="P3431" s="5" t="s">
        <v>294</v>
      </c>
      <c r="Q3431" s="5" t="s">
        <v>3678</v>
      </c>
      <c r="R3431" s="5" t="s">
        <v>240</v>
      </c>
      <c r="S3431" s="5" t="s">
        <v>240</v>
      </c>
      <c r="T3431" s="5" t="s">
        <v>243</v>
      </c>
      <c r="U3431" s="5" t="s">
        <v>244</v>
      </c>
      <c r="V3431" s="5" t="s">
        <v>240</v>
      </c>
      <c r="W3431" s="5" t="s">
        <v>240</v>
      </c>
      <c r="X3431" s="5" t="s">
        <v>240</v>
      </c>
      <c r="Y3431" s="5" t="s">
        <v>240</v>
      </c>
      <c r="Z3431" s="6" t="s">
        <v>298</v>
      </c>
      <c r="AA3431" s="6" t="s">
        <v>240</v>
      </c>
      <c r="AB3431" s="6" t="s">
        <v>240</v>
      </c>
      <c r="AC3431" s="5" t="s">
        <v>240</v>
      </c>
      <c r="AD3431" s="6" t="s">
        <v>240</v>
      </c>
      <c r="AE3431" s="6" t="s">
        <v>299</v>
      </c>
      <c r="AF3431" s="5" t="s">
        <v>248</v>
      </c>
      <c r="AG3431" s="5" t="s">
        <v>249</v>
      </c>
      <c r="AH3431" s="5" t="s">
        <v>240</v>
      </c>
      <c r="AI3431" s="5" t="s">
        <v>240</v>
      </c>
      <c r="AJ3431" s="5" t="s">
        <v>240</v>
      </c>
      <c r="AK3431" s="5" t="s">
        <v>240</v>
      </c>
      <c r="AL3431" s="5" t="s">
        <v>240</v>
      </c>
      <c r="AM3431" s="5" t="s">
        <v>240</v>
      </c>
      <c r="AN3431" s="5" t="s">
        <v>240</v>
      </c>
      <c r="AO3431" s="5" t="s">
        <v>240</v>
      </c>
      <c r="AP3431" s="6" t="s">
        <v>240</v>
      </c>
      <c r="AQ3431" s="6" t="s">
        <v>240</v>
      </c>
      <c r="AR3431" s="6" t="s">
        <v>240</v>
      </c>
      <c r="AS3431" s="6" t="s">
        <v>240</v>
      </c>
      <c r="AT3431" s="5" t="s">
        <v>240</v>
      </c>
      <c r="AU3431" s="5" t="s">
        <v>729</v>
      </c>
      <c r="AV3431" s="5" t="s">
        <v>729</v>
      </c>
      <c r="AW3431" s="5" t="s">
        <v>251</v>
      </c>
      <c r="AX3431" s="5" t="s">
        <v>252</v>
      </c>
      <c r="AY3431" s="5" t="s">
        <v>253</v>
      </c>
      <c r="AZ3431" s="5" t="s">
        <v>6046</v>
      </c>
      <c r="BA3431" s="5" t="s">
        <v>255</v>
      </c>
      <c r="BB3431" s="5" t="s">
        <v>731</v>
      </c>
      <c r="BD3431" s="5" t="s">
        <v>240</v>
      </c>
      <c r="BF3431" s="5" t="s">
        <v>732</v>
      </c>
      <c r="BG3431" s="6" t="s">
        <v>733</v>
      </c>
      <c r="BH3431" s="5" t="s">
        <v>734</v>
      </c>
      <c r="BI3431" s="5" t="s">
        <v>734</v>
      </c>
      <c r="BJ3431" s="5" t="s">
        <v>240</v>
      </c>
      <c r="BK3431" s="7">
        <f>1</f>
        <v>1</v>
      </c>
      <c r="BL3431" s="7">
        <f>1</f>
        <v>1</v>
      </c>
      <c r="BM3431" s="5" t="s">
        <v>258</v>
      </c>
      <c r="BN3431" s="5" t="s">
        <v>259</v>
      </c>
      <c r="BO3431" s="5" t="s">
        <v>240</v>
      </c>
      <c r="BP3431" s="5" t="s">
        <v>240</v>
      </c>
      <c r="BQ3431" s="5" t="s">
        <v>240</v>
      </c>
      <c r="BR3431" s="5" t="s">
        <v>240</v>
      </c>
      <c r="BS3431" s="5" t="s">
        <v>240</v>
      </c>
      <c r="BT3431" s="5" t="s">
        <v>240</v>
      </c>
      <c r="BU3431" s="5" t="s">
        <v>240</v>
      </c>
      <c r="BV3431" s="5" t="s">
        <v>240</v>
      </c>
      <c r="BW3431" s="6" t="s">
        <v>240</v>
      </c>
      <c r="BX3431" s="5" t="s">
        <v>240</v>
      </c>
      <c r="BY3431" s="5" t="s">
        <v>240</v>
      </c>
      <c r="BZ3431" s="5" t="s">
        <v>240</v>
      </c>
      <c r="CA3431" s="5" t="s">
        <v>259</v>
      </c>
      <c r="CB3431" s="5" t="s">
        <v>240</v>
      </c>
      <c r="CC3431" s="5" t="s">
        <v>240</v>
      </c>
      <c r="CD3431" s="5" t="s">
        <v>240</v>
      </c>
      <c r="CE3431" s="5" t="s">
        <v>240</v>
      </c>
      <c r="CF3431" s="5" t="s">
        <v>240</v>
      </c>
      <c r="CG3431" s="5" t="s">
        <v>304</v>
      </c>
      <c r="CH3431" s="5" t="s">
        <v>305</v>
      </c>
      <c r="CI3431" s="5" t="s">
        <v>260</v>
      </c>
      <c r="CK3431" s="5" t="s">
        <v>3681</v>
      </c>
      <c r="CL3431" s="6" t="s">
        <v>261</v>
      </c>
      <c r="CM3431" s="5" t="s">
        <v>262</v>
      </c>
      <c r="CN3431" s="5" t="s">
        <v>263</v>
      </c>
      <c r="CO3431" s="5" t="s">
        <v>264</v>
      </c>
      <c r="CP3431" s="5" t="s">
        <v>240</v>
      </c>
      <c r="CQ3431" s="5">
        <v>0</v>
      </c>
      <c r="CR3431" s="5" t="s">
        <v>735</v>
      </c>
      <c r="CS3431" s="5" t="s">
        <v>307</v>
      </c>
      <c r="CT3431" s="5" t="s">
        <v>307</v>
      </c>
      <c r="CU3431" s="5" t="s">
        <v>260</v>
      </c>
      <c r="CV3431" s="5" t="s">
        <v>612</v>
      </c>
      <c r="CW3431" s="8">
        <f>1</f>
        <v>1</v>
      </c>
      <c r="CX3431" s="7">
        <f>1</f>
        <v>1</v>
      </c>
      <c r="CY3431" s="7">
        <f>0</f>
        <v>0</v>
      </c>
      <c r="DA3431" s="7">
        <f>1</f>
        <v>1</v>
      </c>
      <c r="DB3431" s="7" t="s">
        <v>240</v>
      </c>
      <c r="DC3431" s="5" t="s">
        <v>240</v>
      </c>
      <c r="DD3431" s="5" t="s">
        <v>240</v>
      </c>
      <c r="DE3431" s="5" t="s">
        <v>240</v>
      </c>
      <c r="DF3431" s="5" t="s">
        <v>240</v>
      </c>
      <c r="DG3431" s="7">
        <f>0</f>
        <v>0</v>
      </c>
      <c r="DI3431" s="5" t="s">
        <v>240</v>
      </c>
      <c r="DJ3431" s="5" t="s">
        <v>240</v>
      </c>
      <c r="DK3431" s="5" t="s">
        <v>240</v>
      </c>
      <c r="DL3431" s="5" t="s">
        <v>240</v>
      </c>
      <c r="DM3431" s="5" t="s">
        <v>240</v>
      </c>
      <c r="DN3431" s="5" t="s">
        <v>240</v>
      </c>
      <c r="DO3431" s="7" t="s">
        <v>240</v>
      </c>
      <c r="DP3431" s="5" t="s">
        <v>240</v>
      </c>
      <c r="DQ3431" s="5" t="s">
        <v>248</v>
      </c>
      <c r="DR3431" s="5" t="s">
        <v>731</v>
      </c>
      <c r="DS3431" s="5" t="s">
        <v>731</v>
      </c>
      <c r="DT3431" s="5" t="s">
        <v>240</v>
      </c>
      <c r="DU3431" s="5" t="s">
        <v>240</v>
      </c>
      <c r="DV3431" s="5" t="s">
        <v>6047</v>
      </c>
      <c r="DW3431" s="5" t="s">
        <v>721</v>
      </c>
      <c r="DX3431" s="5" t="s">
        <v>240</v>
      </c>
      <c r="DY3431" s="5" t="s">
        <v>240</v>
      </c>
      <c r="DZ3431" s="5" t="s">
        <v>240</v>
      </c>
      <c r="EA3431" s="5" t="s">
        <v>240</v>
      </c>
      <c r="EB3431" s="5" t="s">
        <v>240</v>
      </c>
      <c r="EC3431" s="5" t="s">
        <v>240</v>
      </c>
      <c r="ED3431" s="5" t="s">
        <v>240</v>
      </c>
      <c r="EE3431" s="5" t="s">
        <v>240</v>
      </c>
      <c r="EF3431" s="5" t="s">
        <v>240</v>
      </c>
      <c r="EG3431" s="5" t="s">
        <v>240</v>
      </c>
      <c r="EH3431" s="5" t="s">
        <v>240</v>
      </c>
      <c r="EI3431" s="5" t="s">
        <v>240</v>
      </c>
      <c r="EJ3431" s="5" t="s">
        <v>240</v>
      </c>
      <c r="EK3431" s="5" t="s">
        <v>240</v>
      </c>
      <c r="EL3431" s="5" t="s">
        <v>240</v>
      </c>
      <c r="EM3431" s="5" t="s">
        <v>240</v>
      </c>
      <c r="EN3431" s="5" t="s">
        <v>240</v>
      </c>
      <c r="EO3431" s="5" t="s">
        <v>240</v>
      </c>
      <c r="EP3431" s="5" t="s">
        <v>240</v>
      </c>
      <c r="EQ3431" s="5" t="s">
        <v>240</v>
      </c>
      <c r="ER3431" s="5" t="s">
        <v>240</v>
      </c>
      <c r="ES3431" s="5" t="s">
        <v>240</v>
      </c>
      <c r="ET3431" s="5" t="s">
        <v>240</v>
      </c>
      <c r="EU3431" s="5" t="s">
        <v>240</v>
      </c>
      <c r="EV3431" s="5" t="s">
        <v>240</v>
      </c>
      <c r="EW3431" s="5" t="s">
        <v>240</v>
      </c>
      <c r="EX3431" s="5" t="s">
        <v>240</v>
      </c>
      <c r="EY3431" s="5" t="s">
        <v>240</v>
      </c>
      <c r="EZ3431" s="5" t="s">
        <v>240</v>
      </c>
      <c r="FA3431" s="5" t="s">
        <v>240</v>
      </c>
      <c r="FB3431" s="5" t="s">
        <v>240</v>
      </c>
      <c r="FC3431" s="5" t="s">
        <v>240</v>
      </c>
      <c r="FD3431" s="5" t="s">
        <v>240</v>
      </c>
      <c r="FE3431" s="5" t="s">
        <v>240</v>
      </c>
      <c r="FF3431" s="5" t="s">
        <v>240</v>
      </c>
      <c r="FG3431" s="5" t="s">
        <v>240</v>
      </c>
      <c r="FH3431" s="5" t="s">
        <v>240</v>
      </c>
      <c r="FI3431" s="5" t="s">
        <v>240</v>
      </c>
      <c r="FJ3431" s="5" t="s">
        <v>240</v>
      </c>
      <c r="FK3431" s="5" t="s">
        <v>240</v>
      </c>
      <c r="FL3431" s="5" t="s">
        <v>240</v>
      </c>
      <c r="FM3431" s="5" t="s">
        <v>240</v>
      </c>
      <c r="FN3431" s="5" t="s">
        <v>240</v>
      </c>
      <c r="FO3431" s="5" t="s">
        <v>240</v>
      </c>
      <c r="FP3431" s="5" t="s">
        <v>240</v>
      </c>
      <c r="FQ3431" s="5" t="s">
        <v>240</v>
      </c>
      <c r="FR3431" s="5" t="s">
        <v>240</v>
      </c>
      <c r="FS3431" s="5" t="s">
        <v>240</v>
      </c>
      <c r="FT3431" s="5" t="s">
        <v>240</v>
      </c>
      <c r="FU3431" s="5" t="s">
        <v>240</v>
      </c>
      <c r="FV3431" s="5" t="s">
        <v>240</v>
      </c>
      <c r="FW3431" s="5" t="s">
        <v>240</v>
      </c>
      <c r="FX3431" s="5" t="s">
        <v>240</v>
      </c>
      <c r="FY3431" s="5" t="s">
        <v>240</v>
      </c>
      <c r="FZ3431" s="5" t="s">
        <v>240</v>
      </c>
      <c r="GA3431" s="5" t="s">
        <v>240</v>
      </c>
      <c r="GB3431" s="5" t="s">
        <v>240</v>
      </c>
      <c r="GC3431" s="5" t="s">
        <v>240</v>
      </c>
      <c r="GD3431" s="5" t="s">
        <v>240</v>
      </c>
      <c r="GE3431" s="5" t="s">
        <v>240</v>
      </c>
      <c r="GF3431" s="5" t="s">
        <v>240</v>
      </c>
      <c r="GG3431" s="5" t="s">
        <v>240</v>
      </c>
      <c r="GH3431" s="5" t="s">
        <v>240</v>
      </c>
      <c r="GI3431" s="5" t="s">
        <v>240</v>
      </c>
      <c r="GJ3431" s="5" t="s">
        <v>240</v>
      </c>
      <c r="GK3431" s="5" t="s">
        <v>240</v>
      </c>
      <c r="GL3431" s="5" t="s">
        <v>240</v>
      </c>
      <c r="GM3431" s="5" t="s">
        <v>240</v>
      </c>
      <c r="GN3431" s="5" t="s">
        <v>240</v>
      </c>
      <c r="GO3431" s="5" t="s">
        <v>240</v>
      </c>
      <c r="GP3431" s="5" t="s">
        <v>240</v>
      </c>
      <c r="GQ3431" s="5" t="s">
        <v>240</v>
      </c>
      <c r="GR3431" s="5" t="s">
        <v>240</v>
      </c>
      <c r="GS3431" s="5" t="s">
        <v>240</v>
      </c>
      <c r="GT3431" s="5" t="s">
        <v>240</v>
      </c>
      <c r="GU3431" s="5" t="s">
        <v>240</v>
      </c>
      <c r="GV3431" s="5" t="s">
        <v>240</v>
      </c>
      <c r="GW3431" s="5" t="s">
        <v>240</v>
      </c>
      <c r="GX3431" s="5" t="s">
        <v>240</v>
      </c>
      <c r="GY3431" s="5" t="s">
        <v>240</v>
      </c>
      <c r="GZ3431" s="5" t="s">
        <v>240</v>
      </c>
      <c r="HA3431" s="5" t="s">
        <v>240</v>
      </c>
      <c r="HB3431" s="5" t="s">
        <v>240</v>
      </c>
      <c r="HC3431" s="5" t="s">
        <v>240</v>
      </c>
      <c r="HD3431" s="5" t="s">
        <v>240</v>
      </c>
      <c r="HE3431" s="5" t="s">
        <v>240</v>
      </c>
      <c r="HF3431" s="5" t="s">
        <v>240</v>
      </c>
      <c r="HG3431" s="5" t="s">
        <v>240</v>
      </c>
      <c r="HH3431" s="5" t="s">
        <v>240</v>
      </c>
      <c r="HI3431" s="5" t="s">
        <v>240</v>
      </c>
      <c r="HJ3431" s="5" t="s">
        <v>240</v>
      </c>
      <c r="HK3431" s="5" t="s">
        <v>240</v>
      </c>
      <c r="HL3431" s="5" t="s">
        <v>240</v>
      </c>
      <c r="HM3431" s="5" t="s">
        <v>240</v>
      </c>
      <c r="HN3431" s="5" t="s">
        <v>240</v>
      </c>
      <c r="HO3431" s="5" t="s">
        <v>240</v>
      </c>
      <c r="HP3431" s="5" t="s">
        <v>240</v>
      </c>
      <c r="HQ3431" s="5" t="s">
        <v>240</v>
      </c>
      <c r="HR3431" s="5" t="s">
        <v>240</v>
      </c>
      <c r="HS3431" s="5" t="s">
        <v>240</v>
      </c>
      <c r="HT3431" s="5" t="s">
        <v>240</v>
      </c>
      <c r="HU3431" s="5" t="s">
        <v>240</v>
      </c>
      <c r="HV3431" s="5" t="s">
        <v>240</v>
      </c>
      <c r="HW3431" s="5" t="s">
        <v>240</v>
      </c>
      <c r="HX3431" s="5" t="s">
        <v>240</v>
      </c>
      <c r="HY3431" s="5" t="s">
        <v>240</v>
      </c>
      <c r="HZ3431" s="5" t="s">
        <v>240</v>
      </c>
      <c r="IA3431" s="5" t="s">
        <v>240</v>
      </c>
      <c r="IB3431" s="5" t="s">
        <v>240</v>
      </c>
      <c r="IC3431" s="5" t="s">
        <v>240</v>
      </c>
      <c r="ID3431" s="5" t="s">
        <v>240</v>
      </c>
      <c r="IE3431" s="5" t="s">
        <v>240</v>
      </c>
      <c r="IF3431" s="5" t="s">
        <v>240</v>
      </c>
    </row>
    <row r="3432" spans="1:240" x14ac:dyDescent="0.4">
      <c r="A3432" s="5">
        <v>8974</v>
      </c>
      <c r="B3432" s="5">
        <v>1</v>
      </c>
      <c r="C3432" s="5">
        <v>1</v>
      </c>
      <c r="D3432" s="5" t="s">
        <v>723</v>
      </c>
      <c r="E3432" s="5" t="s">
        <v>725</v>
      </c>
      <c r="F3432" s="5" t="s">
        <v>730</v>
      </c>
      <c r="G3432" s="5" t="s">
        <v>726</v>
      </c>
      <c r="H3432" s="6" t="s">
        <v>3911</v>
      </c>
      <c r="I3432" s="5" t="s">
        <v>722</v>
      </c>
      <c r="J3432" s="8">
        <f>3127</f>
        <v>3127</v>
      </c>
      <c r="K3432" s="5" t="s">
        <v>308</v>
      </c>
      <c r="L3432" s="7">
        <f>0</f>
        <v>0</v>
      </c>
      <c r="M3432" s="7">
        <f>0</f>
        <v>0</v>
      </c>
      <c r="N3432" s="5" t="s">
        <v>242</v>
      </c>
      <c r="O3432" s="5">
        <v>1</v>
      </c>
      <c r="P3432" s="5" t="s">
        <v>294</v>
      </c>
      <c r="Q3432" s="5" t="s">
        <v>266</v>
      </c>
      <c r="R3432" s="5" t="s">
        <v>240</v>
      </c>
      <c r="S3432" s="5" t="s">
        <v>240</v>
      </c>
      <c r="T3432" s="5" t="s">
        <v>243</v>
      </c>
      <c r="U3432" s="5" t="s">
        <v>240</v>
      </c>
      <c r="V3432" s="5" t="s">
        <v>240</v>
      </c>
      <c r="Y3432" s="5" t="s">
        <v>240</v>
      </c>
      <c r="Z3432" s="6" t="s">
        <v>6080</v>
      </c>
      <c r="AB3432" s="6" t="s">
        <v>240</v>
      </c>
      <c r="AE3432" s="6" t="s">
        <v>5072</v>
      </c>
      <c r="AF3432" s="5" t="s">
        <v>248</v>
      </c>
      <c r="AG3432" s="5" t="s">
        <v>249</v>
      </c>
      <c r="AW3432" s="5" t="s">
        <v>251</v>
      </c>
      <c r="AX3432" s="5" t="s">
        <v>240</v>
      </c>
      <c r="AY3432" s="5" t="s">
        <v>253</v>
      </c>
      <c r="AZ3432" s="5" t="s">
        <v>240</v>
      </c>
      <c r="BA3432" s="5" t="s">
        <v>255</v>
      </c>
      <c r="BB3432" s="5" t="s">
        <v>240</v>
      </c>
      <c r="BD3432" s="5" t="s">
        <v>240</v>
      </c>
      <c r="BF3432" s="5" t="s">
        <v>687</v>
      </c>
      <c r="BG3432" s="6" t="s">
        <v>6080</v>
      </c>
      <c r="BH3432" s="5" t="s">
        <v>302</v>
      </c>
      <c r="BI3432" s="5" t="s">
        <v>448</v>
      </c>
      <c r="BJ3432" s="5" t="s">
        <v>240</v>
      </c>
      <c r="BK3432" s="8">
        <f>0</f>
        <v>0</v>
      </c>
      <c r="BL3432" s="7">
        <f>0</f>
        <v>0</v>
      </c>
      <c r="BM3432" s="5" t="s">
        <v>258</v>
      </c>
      <c r="BN3432" s="5" t="s">
        <v>259</v>
      </c>
      <c r="CB3432" s="5" t="s">
        <v>240</v>
      </c>
      <c r="CC3432" s="5" t="s">
        <v>240</v>
      </c>
      <c r="CG3432" s="5" t="s">
        <v>449</v>
      </c>
      <c r="CH3432" s="5" t="s">
        <v>305</v>
      </c>
      <c r="CI3432" s="5" t="s">
        <v>240</v>
      </c>
      <c r="CL3432" s="6" t="s">
        <v>261</v>
      </c>
      <c r="CM3432" s="5" t="s">
        <v>240</v>
      </c>
      <c r="CN3432" s="5" t="s">
        <v>263</v>
      </c>
      <c r="CO3432" s="5" t="s">
        <v>240</v>
      </c>
      <c r="CP3432" s="5" t="s">
        <v>240</v>
      </c>
      <c r="CQ3432" s="5">
        <v>0</v>
      </c>
      <c r="CR3432" s="5" t="s">
        <v>306</v>
      </c>
      <c r="CS3432" s="5" t="s">
        <v>307</v>
      </c>
      <c r="CT3432" s="5" t="s">
        <v>307</v>
      </c>
      <c r="CU3432" s="5" t="s">
        <v>260</v>
      </c>
      <c r="CX3432" s="7">
        <f>26387200</f>
        <v>26387200</v>
      </c>
      <c r="CY3432" s="7">
        <f>0</f>
        <v>0</v>
      </c>
      <c r="DA3432" s="7">
        <f>0</f>
        <v>0</v>
      </c>
      <c r="DC3432" s="5" t="s">
        <v>450</v>
      </c>
      <c r="DD3432" s="5" t="s">
        <v>240</v>
      </c>
      <c r="DF3432" s="5" t="s">
        <v>450</v>
      </c>
      <c r="DG3432" s="7">
        <f>0</f>
        <v>0</v>
      </c>
      <c r="DI3432" s="5" t="s">
        <v>240</v>
      </c>
      <c r="DJ3432" s="5" t="s">
        <v>240</v>
      </c>
      <c r="DK3432" s="5" t="s">
        <v>240</v>
      </c>
      <c r="DL3432" s="5" t="s">
        <v>240</v>
      </c>
      <c r="DP3432" s="5" t="s">
        <v>240</v>
      </c>
      <c r="DQ3432" s="5" t="s">
        <v>240</v>
      </c>
      <c r="DR3432" s="5" t="s">
        <v>240</v>
      </c>
      <c r="DS3432" s="5" t="s">
        <v>240</v>
      </c>
      <c r="DV3432" s="5" t="s">
        <v>310</v>
      </c>
      <c r="DW3432" s="5" t="s">
        <v>2393</v>
      </c>
      <c r="HO3432" s="5" t="s">
        <v>312</v>
      </c>
    </row>
    <row r="3433" spans="1:240" x14ac:dyDescent="0.4">
      <c r="A3433" s="5">
        <v>8975</v>
      </c>
      <c r="B3433" s="5">
        <v>1</v>
      </c>
      <c r="C3433" s="5">
        <v>1</v>
      </c>
      <c r="D3433" s="5" t="s">
        <v>723</v>
      </c>
      <c r="E3433" s="5" t="s">
        <v>725</v>
      </c>
      <c r="F3433" s="5" t="s">
        <v>730</v>
      </c>
      <c r="G3433" s="5" t="s">
        <v>726</v>
      </c>
      <c r="H3433" s="6" t="s">
        <v>3916</v>
      </c>
      <c r="I3433" s="5" t="s">
        <v>722</v>
      </c>
      <c r="J3433" s="8">
        <f>827</f>
        <v>827</v>
      </c>
      <c r="K3433" s="5" t="s">
        <v>308</v>
      </c>
      <c r="L3433" s="7">
        <f>0</f>
        <v>0</v>
      </c>
      <c r="M3433" s="7">
        <f>0</f>
        <v>0</v>
      </c>
      <c r="N3433" s="5" t="s">
        <v>242</v>
      </c>
      <c r="O3433" s="5">
        <v>1</v>
      </c>
      <c r="P3433" s="5" t="s">
        <v>294</v>
      </c>
      <c r="Q3433" s="5" t="s">
        <v>3678</v>
      </c>
      <c r="R3433" s="5" t="s">
        <v>240</v>
      </c>
      <c r="S3433" s="5" t="s">
        <v>240</v>
      </c>
      <c r="T3433" s="5" t="s">
        <v>243</v>
      </c>
      <c r="U3433" s="5" t="s">
        <v>244</v>
      </c>
      <c r="V3433" s="5" t="s">
        <v>240</v>
      </c>
      <c r="W3433" s="5" t="s">
        <v>240</v>
      </c>
      <c r="X3433" s="5" t="s">
        <v>240</v>
      </c>
      <c r="Y3433" s="5" t="s">
        <v>240</v>
      </c>
      <c r="Z3433" s="6" t="s">
        <v>298</v>
      </c>
      <c r="AA3433" s="6" t="s">
        <v>240</v>
      </c>
      <c r="AB3433" s="6" t="s">
        <v>240</v>
      </c>
      <c r="AC3433" s="5" t="s">
        <v>240</v>
      </c>
      <c r="AD3433" s="6" t="s">
        <v>240</v>
      </c>
      <c r="AE3433" s="6" t="s">
        <v>299</v>
      </c>
      <c r="AF3433" s="5" t="s">
        <v>248</v>
      </c>
      <c r="AG3433" s="5" t="s">
        <v>249</v>
      </c>
      <c r="AH3433" s="5" t="s">
        <v>240</v>
      </c>
      <c r="AI3433" s="5" t="s">
        <v>240</v>
      </c>
      <c r="AJ3433" s="5" t="s">
        <v>240</v>
      </c>
      <c r="AK3433" s="5" t="s">
        <v>240</v>
      </c>
      <c r="AL3433" s="5" t="s">
        <v>240</v>
      </c>
      <c r="AM3433" s="5" t="s">
        <v>240</v>
      </c>
      <c r="AN3433" s="5" t="s">
        <v>240</v>
      </c>
      <c r="AO3433" s="5" t="s">
        <v>240</v>
      </c>
      <c r="AP3433" s="6" t="s">
        <v>240</v>
      </c>
      <c r="AQ3433" s="6" t="s">
        <v>240</v>
      </c>
      <c r="AR3433" s="6" t="s">
        <v>240</v>
      </c>
      <c r="AS3433" s="6" t="s">
        <v>240</v>
      </c>
      <c r="AT3433" s="5" t="s">
        <v>240</v>
      </c>
      <c r="AU3433" s="5" t="s">
        <v>729</v>
      </c>
      <c r="AV3433" s="5" t="s">
        <v>729</v>
      </c>
      <c r="AW3433" s="5" t="s">
        <v>251</v>
      </c>
      <c r="AX3433" s="5" t="s">
        <v>252</v>
      </c>
      <c r="AY3433" s="5" t="s">
        <v>253</v>
      </c>
      <c r="AZ3433" s="5" t="s">
        <v>6046</v>
      </c>
      <c r="BA3433" s="5" t="s">
        <v>255</v>
      </c>
      <c r="BB3433" s="5" t="s">
        <v>731</v>
      </c>
      <c r="BD3433" s="5" t="s">
        <v>240</v>
      </c>
      <c r="BF3433" s="5" t="s">
        <v>732</v>
      </c>
      <c r="BG3433" s="6" t="s">
        <v>733</v>
      </c>
      <c r="BH3433" s="5" t="s">
        <v>734</v>
      </c>
      <c r="BI3433" s="5" t="s">
        <v>734</v>
      </c>
      <c r="BJ3433" s="5" t="s">
        <v>240</v>
      </c>
      <c r="BK3433" s="7">
        <f>1</f>
        <v>1</v>
      </c>
      <c r="BL3433" s="7">
        <f>1</f>
        <v>1</v>
      </c>
      <c r="BM3433" s="5" t="s">
        <v>258</v>
      </c>
      <c r="BN3433" s="5" t="s">
        <v>259</v>
      </c>
      <c r="BO3433" s="5" t="s">
        <v>240</v>
      </c>
      <c r="BP3433" s="5" t="s">
        <v>240</v>
      </c>
      <c r="BQ3433" s="5" t="s">
        <v>240</v>
      </c>
      <c r="BR3433" s="5" t="s">
        <v>240</v>
      </c>
      <c r="BS3433" s="5" t="s">
        <v>240</v>
      </c>
      <c r="BT3433" s="5" t="s">
        <v>240</v>
      </c>
      <c r="BU3433" s="5" t="s">
        <v>240</v>
      </c>
      <c r="BV3433" s="5" t="s">
        <v>240</v>
      </c>
      <c r="BW3433" s="6" t="s">
        <v>240</v>
      </c>
      <c r="BX3433" s="5" t="s">
        <v>240</v>
      </c>
      <c r="BY3433" s="5" t="s">
        <v>240</v>
      </c>
      <c r="BZ3433" s="5" t="s">
        <v>240</v>
      </c>
      <c r="CA3433" s="5" t="s">
        <v>259</v>
      </c>
      <c r="CB3433" s="5" t="s">
        <v>240</v>
      </c>
      <c r="CC3433" s="5" t="s">
        <v>240</v>
      </c>
      <c r="CD3433" s="5" t="s">
        <v>240</v>
      </c>
      <c r="CE3433" s="5" t="s">
        <v>240</v>
      </c>
      <c r="CF3433" s="5" t="s">
        <v>240</v>
      </c>
      <c r="CG3433" s="5" t="s">
        <v>304</v>
      </c>
      <c r="CH3433" s="5" t="s">
        <v>305</v>
      </c>
      <c r="CI3433" s="5" t="s">
        <v>260</v>
      </c>
      <c r="CK3433" s="5" t="s">
        <v>3681</v>
      </c>
      <c r="CL3433" s="6" t="s">
        <v>261</v>
      </c>
      <c r="CM3433" s="5" t="s">
        <v>262</v>
      </c>
      <c r="CN3433" s="5" t="s">
        <v>263</v>
      </c>
      <c r="CO3433" s="5" t="s">
        <v>264</v>
      </c>
      <c r="CP3433" s="5" t="s">
        <v>240</v>
      </c>
      <c r="CQ3433" s="5">
        <v>0</v>
      </c>
      <c r="CR3433" s="5" t="s">
        <v>735</v>
      </c>
      <c r="CS3433" s="5" t="s">
        <v>307</v>
      </c>
      <c r="CT3433" s="5" t="s">
        <v>307</v>
      </c>
      <c r="CU3433" s="5" t="s">
        <v>260</v>
      </c>
      <c r="CV3433" s="5" t="s">
        <v>612</v>
      </c>
      <c r="CW3433" s="8">
        <f>1</f>
        <v>1</v>
      </c>
      <c r="CX3433" s="7">
        <f>1</f>
        <v>1</v>
      </c>
      <c r="CY3433" s="7">
        <f>0</f>
        <v>0</v>
      </c>
      <c r="DA3433" s="7">
        <f>1</f>
        <v>1</v>
      </c>
      <c r="DB3433" s="7" t="s">
        <v>240</v>
      </c>
      <c r="DC3433" s="5" t="s">
        <v>240</v>
      </c>
      <c r="DD3433" s="5" t="s">
        <v>240</v>
      </c>
      <c r="DE3433" s="5" t="s">
        <v>240</v>
      </c>
      <c r="DF3433" s="5" t="s">
        <v>240</v>
      </c>
      <c r="DG3433" s="7">
        <f>0</f>
        <v>0</v>
      </c>
      <c r="DI3433" s="5" t="s">
        <v>240</v>
      </c>
      <c r="DJ3433" s="5" t="s">
        <v>240</v>
      </c>
      <c r="DK3433" s="5" t="s">
        <v>240</v>
      </c>
      <c r="DL3433" s="5" t="s">
        <v>240</v>
      </c>
      <c r="DM3433" s="5" t="s">
        <v>240</v>
      </c>
      <c r="DN3433" s="5" t="s">
        <v>240</v>
      </c>
      <c r="DO3433" s="7" t="s">
        <v>240</v>
      </c>
      <c r="DP3433" s="5" t="s">
        <v>240</v>
      </c>
      <c r="DQ3433" s="5" t="s">
        <v>248</v>
      </c>
      <c r="DR3433" s="5" t="s">
        <v>731</v>
      </c>
      <c r="DS3433" s="5" t="s">
        <v>731</v>
      </c>
      <c r="DT3433" s="5" t="s">
        <v>240</v>
      </c>
      <c r="DU3433" s="5" t="s">
        <v>240</v>
      </c>
      <c r="DV3433" s="5" t="s">
        <v>6047</v>
      </c>
      <c r="DW3433" s="5" t="s">
        <v>717</v>
      </c>
      <c r="DX3433" s="5" t="s">
        <v>240</v>
      </c>
      <c r="DY3433" s="5" t="s">
        <v>240</v>
      </c>
      <c r="DZ3433" s="5" t="s">
        <v>240</v>
      </c>
      <c r="EA3433" s="5" t="s">
        <v>240</v>
      </c>
      <c r="EB3433" s="5" t="s">
        <v>240</v>
      </c>
      <c r="EC3433" s="5" t="s">
        <v>240</v>
      </c>
      <c r="ED3433" s="5" t="s">
        <v>240</v>
      </c>
      <c r="EE3433" s="5" t="s">
        <v>240</v>
      </c>
      <c r="EF3433" s="5" t="s">
        <v>240</v>
      </c>
      <c r="EG3433" s="5" t="s">
        <v>240</v>
      </c>
      <c r="EH3433" s="5" t="s">
        <v>240</v>
      </c>
      <c r="EI3433" s="5" t="s">
        <v>240</v>
      </c>
      <c r="EJ3433" s="5" t="s">
        <v>240</v>
      </c>
      <c r="EK3433" s="5" t="s">
        <v>240</v>
      </c>
      <c r="EL3433" s="5" t="s">
        <v>240</v>
      </c>
      <c r="EM3433" s="5" t="s">
        <v>240</v>
      </c>
      <c r="EN3433" s="5" t="s">
        <v>240</v>
      </c>
      <c r="EO3433" s="5" t="s">
        <v>240</v>
      </c>
      <c r="EP3433" s="5" t="s">
        <v>240</v>
      </c>
      <c r="EQ3433" s="5" t="s">
        <v>240</v>
      </c>
      <c r="ER3433" s="5" t="s">
        <v>240</v>
      </c>
      <c r="ES3433" s="5" t="s">
        <v>240</v>
      </c>
      <c r="ET3433" s="5" t="s">
        <v>240</v>
      </c>
      <c r="EU3433" s="5" t="s">
        <v>240</v>
      </c>
      <c r="EV3433" s="5" t="s">
        <v>240</v>
      </c>
      <c r="EW3433" s="5" t="s">
        <v>240</v>
      </c>
      <c r="EX3433" s="5" t="s">
        <v>240</v>
      </c>
      <c r="EY3433" s="5" t="s">
        <v>240</v>
      </c>
      <c r="EZ3433" s="5" t="s">
        <v>240</v>
      </c>
      <c r="FA3433" s="5" t="s">
        <v>240</v>
      </c>
      <c r="FB3433" s="5" t="s">
        <v>240</v>
      </c>
      <c r="FC3433" s="5" t="s">
        <v>240</v>
      </c>
      <c r="FD3433" s="5" t="s">
        <v>240</v>
      </c>
      <c r="FE3433" s="5" t="s">
        <v>240</v>
      </c>
      <c r="FF3433" s="5" t="s">
        <v>240</v>
      </c>
      <c r="FG3433" s="5" t="s">
        <v>240</v>
      </c>
      <c r="FH3433" s="5" t="s">
        <v>240</v>
      </c>
      <c r="FI3433" s="5" t="s">
        <v>240</v>
      </c>
      <c r="FJ3433" s="5" t="s">
        <v>240</v>
      </c>
      <c r="FK3433" s="5" t="s">
        <v>240</v>
      </c>
      <c r="FL3433" s="5" t="s">
        <v>240</v>
      </c>
      <c r="FM3433" s="5" t="s">
        <v>240</v>
      </c>
      <c r="FN3433" s="5" t="s">
        <v>240</v>
      </c>
      <c r="FO3433" s="5" t="s">
        <v>240</v>
      </c>
      <c r="FP3433" s="5" t="s">
        <v>240</v>
      </c>
      <c r="FQ3433" s="5" t="s">
        <v>240</v>
      </c>
      <c r="FR3433" s="5" t="s">
        <v>240</v>
      </c>
      <c r="FS3433" s="5" t="s">
        <v>240</v>
      </c>
      <c r="FT3433" s="5" t="s">
        <v>240</v>
      </c>
      <c r="FU3433" s="5" t="s">
        <v>240</v>
      </c>
      <c r="FV3433" s="5" t="s">
        <v>240</v>
      </c>
      <c r="FW3433" s="5" t="s">
        <v>240</v>
      </c>
      <c r="FX3433" s="5" t="s">
        <v>240</v>
      </c>
      <c r="FY3433" s="5" t="s">
        <v>240</v>
      </c>
      <c r="FZ3433" s="5" t="s">
        <v>240</v>
      </c>
      <c r="GA3433" s="5" t="s">
        <v>240</v>
      </c>
      <c r="GB3433" s="5" t="s">
        <v>240</v>
      </c>
      <c r="GC3433" s="5" t="s">
        <v>240</v>
      </c>
      <c r="GD3433" s="5" t="s">
        <v>240</v>
      </c>
      <c r="GE3433" s="5" t="s">
        <v>240</v>
      </c>
      <c r="GF3433" s="5" t="s">
        <v>240</v>
      </c>
      <c r="GG3433" s="5" t="s">
        <v>240</v>
      </c>
      <c r="GH3433" s="5" t="s">
        <v>240</v>
      </c>
      <c r="GI3433" s="5" t="s">
        <v>240</v>
      </c>
      <c r="GJ3433" s="5" t="s">
        <v>240</v>
      </c>
      <c r="GK3433" s="5" t="s">
        <v>240</v>
      </c>
      <c r="GL3433" s="5" t="s">
        <v>240</v>
      </c>
      <c r="GM3433" s="5" t="s">
        <v>240</v>
      </c>
      <c r="GN3433" s="5" t="s">
        <v>240</v>
      </c>
      <c r="GO3433" s="5" t="s">
        <v>240</v>
      </c>
      <c r="GP3433" s="5" t="s">
        <v>240</v>
      </c>
      <c r="GQ3433" s="5" t="s">
        <v>240</v>
      </c>
      <c r="GR3433" s="5" t="s">
        <v>240</v>
      </c>
      <c r="GS3433" s="5" t="s">
        <v>240</v>
      </c>
      <c r="GT3433" s="5" t="s">
        <v>240</v>
      </c>
      <c r="GU3433" s="5" t="s">
        <v>240</v>
      </c>
      <c r="GV3433" s="5" t="s">
        <v>240</v>
      </c>
      <c r="GW3433" s="5" t="s">
        <v>240</v>
      </c>
      <c r="GX3433" s="5" t="s">
        <v>240</v>
      </c>
      <c r="GY3433" s="5" t="s">
        <v>240</v>
      </c>
      <c r="GZ3433" s="5" t="s">
        <v>240</v>
      </c>
      <c r="HA3433" s="5" t="s">
        <v>240</v>
      </c>
      <c r="HB3433" s="5" t="s">
        <v>240</v>
      </c>
      <c r="HC3433" s="5" t="s">
        <v>240</v>
      </c>
      <c r="HD3433" s="5" t="s">
        <v>240</v>
      </c>
      <c r="HE3433" s="5" t="s">
        <v>240</v>
      </c>
      <c r="HF3433" s="5" t="s">
        <v>240</v>
      </c>
      <c r="HG3433" s="5" t="s">
        <v>240</v>
      </c>
      <c r="HH3433" s="5" t="s">
        <v>240</v>
      </c>
      <c r="HI3433" s="5" t="s">
        <v>240</v>
      </c>
      <c r="HJ3433" s="5" t="s">
        <v>240</v>
      </c>
      <c r="HK3433" s="5" t="s">
        <v>240</v>
      </c>
      <c r="HL3433" s="5" t="s">
        <v>240</v>
      </c>
      <c r="HM3433" s="5" t="s">
        <v>240</v>
      </c>
      <c r="HN3433" s="5" t="s">
        <v>240</v>
      </c>
      <c r="HO3433" s="5" t="s">
        <v>240</v>
      </c>
      <c r="HP3433" s="5" t="s">
        <v>240</v>
      </c>
      <c r="HQ3433" s="5" t="s">
        <v>240</v>
      </c>
      <c r="HR3433" s="5" t="s">
        <v>240</v>
      </c>
      <c r="HS3433" s="5" t="s">
        <v>240</v>
      </c>
      <c r="HT3433" s="5" t="s">
        <v>240</v>
      </c>
      <c r="HU3433" s="5" t="s">
        <v>240</v>
      </c>
      <c r="HV3433" s="5" t="s">
        <v>240</v>
      </c>
      <c r="HW3433" s="5" t="s">
        <v>240</v>
      </c>
      <c r="HX3433" s="5" t="s">
        <v>240</v>
      </c>
      <c r="HY3433" s="5" t="s">
        <v>240</v>
      </c>
      <c r="HZ3433" s="5" t="s">
        <v>240</v>
      </c>
      <c r="IA3433" s="5" t="s">
        <v>240</v>
      </c>
      <c r="IB3433" s="5" t="s">
        <v>240</v>
      </c>
      <c r="IC3433" s="5" t="s">
        <v>240</v>
      </c>
      <c r="ID3433" s="5" t="s">
        <v>240</v>
      </c>
      <c r="IE3433" s="5" t="s">
        <v>240</v>
      </c>
      <c r="IF3433" s="5" t="s">
        <v>240</v>
      </c>
    </row>
    <row r="3434" spans="1:240" x14ac:dyDescent="0.4">
      <c r="A3434" s="5">
        <v>8976</v>
      </c>
      <c r="B3434" s="5">
        <v>1</v>
      </c>
      <c r="C3434" s="5">
        <v>1</v>
      </c>
      <c r="D3434" s="5" t="s">
        <v>723</v>
      </c>
      <c r="E3434" s="5" t="s">
        <v>725</v>
      </c>
      <c r="F3434" s="5" t="s">
        <v>730</v>
      </c>
      <c r="G3434" s="5" t="s">
        <v>3919</v>
      </c>
      <c r="H3434" s="6" t="s">
        <v>3920</v>
      </c>
      <c r="I3434" s="5" t="s">
        <v>990</v>
      </c>
      <c r="J3434" s="8">
        <f>24</f>
        <v>24</v>
      </c>
      <c r="K3434" s="5" t="s">
        <v>308</v>
      </c>
      <c r="L3434" s="7">
        <f>0</f>
        <v>0</v>
      </c>
      <c r="M3434" s="7">
        <f>0</f>
        <v>0</v>
      </c>
      <c r="N3434" s="5" t="s">
        <v>242</v>
      </c>
      <c r="O3434" s="5">
        <v>1</v>
      </c>
      <c r="P3434" s="5" t="s">
        <v>294</v>
      </c>
      <c r="Q3434" s="5" t="s">
        <v>3678</v>
      </c>
      <c r="R3434" s="5" t="s">
        <v>240</v>
      </c>
      <c r="S3434" s="5" t="s">
        <v>240</v>
      </c>
      <c r="T3434" s="5" t="s">
        <v>243</v>
      </c>
      <c r="U3434" s="5" t="s">
        <v>244</v>
      </c>
      <c r="V3434" s="5" t="s">
        <v>240</v>
      </c>
      <c r="W3434" s="5" t="s">
        <v>240</v>
      </c>
      <c r="X3434" s="5" t="s">
        <v>240</v>
      </c>
      <c r="Y3434" s="5" t="s">
        <v>240</v>
      </c>
      <c r="Z3434" s="6" t="s">
        <v>298</v>
      </c>
      <c r="AA3434" s="6" t="s">
        <v>240</v>
      </c>
      <c r="AB3434" s="6" t="s">
        <v>240</v>
      </c>
      <c r="AC3434" s="5" t="s">
        <v>240</v>
      </c>
      <c r="AD3434" s="6" t="s">
        <v>240</v>
      </c>
      <c r="AE3434" s="6" t="s">
        <v>299</v>
      </c>
      <c r="AF3434" s="5" t="s">
        <v>248</v>
      </c>
      <c r="AG3434" s="5" t="s">
        <v>249</v>
      </c>
      <c r="AH3434" s="5" t="s">
        <v>240</v>
      </c>
      <c r="AI3434" s="5" t="s">
        <v>240</v>
      </c>
      <c r="AJ3434" s="5" t="s">
        <v>240</v>
      </c>
      <c r="AK3434" s="5" t="s">
        <v>240</v>
      </c>
      <c r="AL3434" s="5" t="s">
        <v>240</v>
      </c>
      <c r="AM3434" s="5" t="s">
        <v>240</v>
      </c>
      <c r="AN3434" s="5" t="s">
        <v>240</v>
      </c>
      <c r="AO3434" s="5" t="s">
        <v>240</v>
      </c>
      <c r="AP3434" s="6" t="s">
        <v>240</v>
      </c>
      <c r="AQ3434" s="6" t="s">
        <v>240</v>
      </c>
      <c r="AR3434" s="6" t="s">
        <v>240</v>
      </c>
      <c r="AS3434" s="6" t="s">
        <v>240</v>
      </c>
      <c r="AT3434" s="5" t="s">
        <v>240</v>
      </c>
      <c r="AU3434" s="5" t="s">
        <v>729</v>
      </c>
      <c r="AV3434" s="5" t="s">
        <v>729</v>
      </c>
      <c r="AW3434" s="5" t="s">
        <v>251</v>
      </c>
      <c r="AX3434" s="5" t="s">
        <v>252</v>
      </c>
      <c r="AY3434" s="5" t="s">
        <v>253</v>
      </c>
      <c r="AZ3434" s="5" t="s">
        <v>240</v>
      </c>
      <c r="BA3434" s="5" t="s">
        <v>255</v>
      </c>
      <c r="BB3434" s="5" t="s">
        <v>731</v>
      </c>
      <c r="BD3434" s="5" t="s">
        <v>240</v>
      </c>
      <c r="BF3434" s="5" t="s">
        <v>732</v>
      </c>
      <c r="BG3434" s="6" t="s">
        <v>733</v>
      </c>
      <c r="BH3434" s="5" t="s">
        <v>734</v>
      </c>
      <c r="BI3434" s="5" t="s">
        <v>734</v>
      </c>
      <c r="BJ3434" s="5" t="s">
        <v>240</v>
      </c>
      <c r="BK3434" s="7">
        <f>1</f>
        <v>1</v>
      </c>
      <c r="BL3434" s="7">
        <f>1</f>
        <v>1</v>
      </c>
      <c r="BM3434" s="5" t="s">
        <v>258</v>
      </c>
      <c r="BN3434" s="5" t="s">
        <v>259</v>
      </c>
      <c r="BO3434" s="5" t="s">
        <v>240</v>
      </c>
      <c r="BP3434" s="5" t="s">
        <v>240</v>
      </c>
      <c r="BQ3434" s="5" t="s">
        <v>240</v>
      </c>
      <c r="BR3434" s="5" t="s">
        <v>240</v>
      </c>
      <c r="BS3434" s="5" t="s">
        <v>240</v>
      </c>
      <c r="BT3434" s="5" t="s">
        <v>240</v>
      </c>
      <c r="BU3434" s="5" t="s">
        <v>240</v>
      </c>
      <c r="BV3434" s="5" t="s">
        <v>240</v>
      </c>
      <c r="BW3434" s="6" t="s">
        <v>240</v>
      </c>
      <c r="BX3434" s="5" t="s">
        <v>240</v>
      </c>
      <c r="BY3434" s="5" t="s">
        <v>240</v>
      </c>
      <c r="BZ3434" s="5" t="s">
        <v>240</v>
      </c>
      <c r="CA3434" s="5" t="s">
        <v>259</v>
      </c>
      <c r="CB3434" s="5" t="s">
        <v>240</v>
      </c>
      <c r="CC3434" s="5" t="s">
        <v>240</v>
      </c>
      <c r="CD3434" s="5" t="s">
        <v>240</v>
      </c>
      <c r="CE3434" s="5" t="s">
        <v>240</v>
      </c>
      <c r="CF3434" s="5" t="s">
        <v>240</v>
      </c>
      <c r="CG3434" s="5" t="s">
        <v>304</v>
      </c>
      <c r="CH3434" s="5" t="s">
        <v>305</v>
      </c>
      <c r="CI3434" s="5" t="s">
        <v>240</v>
      </c>
      <c r="CK3434" s="5" t="s">
        <v>3681</v>
      </c>
      <c r="CL3434" s="6" t="s">
        <v>261</v>
      </c>
      <c r="CM3434" s="5" t="s">
        <v>262</v>
      </c>
      <c r="CN3434" s="5" t="s">
        <v>263</v>
      </c>
      <c r="CO3434" s="5" t="s">
        <v>264</v>
      </c>
      <c r="CP3434" s="5" t="s">
        <v>240</v>
      </c>
      <c r="CQ3434" s="5">
        <v>0</v>
      </c>
      <c r="CR3434" s="5" t="s">
        <v>735</v>
      </c>
      <c r="CS3434" s="5" t="s">
        <v>307</v>
      </c>
      <c r="CT3434" s="5" t="s">
        <v>307</v>
      </c>
      <c r="CU3434" s="5" t="s">
        <v>260</v>
      </c>
      <c r="CV3434" s="5" t="s">
        <v>612</v>
      </c>
      <c r="CW3434" s="8">
        <f>1</f>
        <v>1</v>
      </c>
      <c r="CX3434" s="7">
        <f>1</f>
        <v>1</v>
      </c>
      <c r="CY3434" s="7">
        <f>0</f>
        <v>0</v>
      </c>
      <c r="DA3434" s="7">
        <f>1</f>
        <v>1</v>
      </c>
      <c r="DB3434" s="7" t="s">
        <v>240</v>
      </c>
      <c r="DC3434" s="5" t="s">
        <v>240</v>
      </c>
      <c r="DD3434" s="5" t="s">
        <v>240</v>
      </c>
      <c r="DE3434" s="5" t="s">
        <v>240</v>
      </c>
      <c r="DF3434" s="5" t="s">
        <v>240</v>
      </c>
      <c r="DG3434" s="7">
        <f>0</f>
        <v>0</v>
      </c>
      <c r="DI3434" s="5" t="s">
        <v>240</v>
      </c>
      <c r="DJ3434" s="5" t="s">
        <v>240</v>
      </c>
      <c r="DK3434" s="5" t="s">
        <v>240</v>
      </c>
      <c r="DL3434" s="5" t="s">
        <v>240</v>
      </c>
      <c r="DM3434" s="5" t="s">
        <v>240</v>
      </c>
      <c r="DN3434" s="5" t="s">
        <v>240</v>
      </c>
      <c r="DO3434" s="7" t="s">
        <v>240</v>
      </c>
      <c r="DP3434" s="5" t="s">
        <v>240</v>
      </c>
      <c r="DQ3434" s="5" t="s">
        <v>240</v>
      </c>
      <c r="DR3434" s="5" t="s">
        <v>731</v>
      </c>
      <c r="DS3434" s="5" t="s">
        <v>731</v>
      </c>
      <c r="DT3434" s="5" t="s">
        <v>240</v>
      </c>
      <c r="DU3434" s="5" t="s">
        <v>240</v>
      </c>
      <c r="DV3434" s="5" t="s">
        <v>5063</v>
      </c>
      <c r="DW3434" s="5" t="s">
        <v>670</v>
      </c>
      <c r="DX3434" s="5" t="s">
        <v>240</v>
      </c>
      <c r="DY3434" s="5" t="s">
        <v>240</v>
      </c>
      <c r="DZ3434" s="5" t="s">
        <v>240</v>
      </c>
      <c r="EA3434" s="5" t="s">
        <v>240</v>
      </c>
      <c r="EB3434" s="5" t="s">
        <v>240</v>
      </c>
      <c r="EC3434" s="5" t="s">
        <v>240</v>
      </c>
      <c r="ED3434" s="5" t="s">
        <v>240</v>
      </c>
      <c r="EE3434" s="5" t="s">
        <v>240</v>
      </c>
      <c r="EF3434" s="5" t="s">
        <v>240</v>
      </c>
      <c r="EG3434" s="5" t="s">
        <v>240</v>
      </c>
      <c r="EH3434" s="5" t="s">
        <v>240</v>
      </c>
      <c r="EI3434" s="5" t="s">
        <v>240</v>
      </c>
      <c r="EJ3434" s="5" t="s">
        <v>240</v>
      </c>
      <c r="EK3434" s="5" t="s">
        <v>240</v>
      </c>
      <c r="EL3434" s="5" t="s">
        <v>240</v>
      </c>
      <c r="EM3434" s="5" t="s">
        <v>240</v>
      </c>
      <c r="EN3434" s="5" t="s">
        <v>240</v>
      </c>
      <c r="EO3434" s="5" t="s">
        <v>240</v>
      </c>
      <c r="EP3434" s="5" t="s">
        <v>240</v>
      </c>
      <c r="EQ3434" s="5" t="s">
        <v>240</v>
      </c>
      <c r="ER3434" s="5" t="s">
        <v>240</v>
      </c>
      <c r="ES3434" s="5" t="s">
        <v>240</v>
      </c>
      <c r="ET3434" s="5" t="s">
        <v>240</v>
      </c>
      <c r="EU3434" s="5" t="s">
        <v>240</v>
      </c>
      <c r="EV3434" s="5" t="s">
        <v>240</v>
      </c>
      <c r="EW3434" s="5" t="s">
        <v>240</v>
      </c>
      <c r="EX3434" s="5" t="s">
        <v>240</v>
      </c>
      <c r="EY3434" s="5" t="s">
        <v>240</v>
      </c>
      <c r="EZ3434" s="5" t="s">
        <v>240</v>
      </c>
      <c r="FA3434" s="5" t="s">
        <v>240</v>
      </c>
      <c r="FB3434" s="5" t="s">
        <v>240</v>
      </c>
      <c r="FC3434" s="5" t="s">
        <v>240</v>
      </c>
      <c r="FD3434" s="5" t="s">
        <v>240</v>
      </c>
      <c r="FE3434" s="5" t="s">
        <v>240</v>
      </c>
      <c r="FF3434" s="5" t="s">
        <v>240</v>
      </c>
      <c r="FG3434" s="5" t="s">
        <v>240</v>
      </c>
      <c r="FH3434" s="5" t="s">
        <v>240</v>
      </c>
      <c r="FI3434" s="5" t="s">
        <v>240</v>
      </c>
      <c r="FJ3434" s="5" t="s">
        <v>240</v>
      </c>
      <c r="FK3434" s="5" t="s">
        <v>240</v>
      </c>
      <c r="FL3434" s="5" t="s">
        <v>240</v>
      </c>
      <c r="FM3434" s="5" t="s">
        <v>240</v>
      </c>
      <c r="FN3434" s="5" t="s">
        <v>240</v>
      </c>
      <c r="FO3434" s="5" t="s">
        <v>240</v>
      </c>
      <c r="FP3434" s="5" t="s">
        <v>240</v>
      </c>
      <c r="FQ3434" s="5" t="s">
        <v>240</v>
      </c>
      <c r="FR3434" s="5" t="s">
        <v>240</v>
      </c>
      <c r="FS3434" s="5" t="s">
        <v>240</v>
      </c>
      <c r="FT3434" s="5" t="s">
        <v>240</v>
      </c>
      <c r="FU3434" s="5" t="s">
        <v>240</v>
      </c>
      <c r="FV3434" s="5" t="s">
        <v>240</v>
      </c>
      <c r="FW3434" s="5" t="s">
        <v>240</v>
      </c>
      <c r="FX3434" s="5" t="s">
        <v>240</v>
      </c>
      <c r="FY3434" s="5" t="s">
        <v>240</v>
      </c>
      <c r="FZ3434" s="5" t="s">
        <v>240</v>
      </c>
      <c r="GA3434" s="5" t="s">
        <v>240</v>
      </c>
      <c r="GB3434" s="5" t="s">
        <v>240</v>
      </c>
      <c r="GC3434" s="5" t="s">
        <v>240</v>
      </c>
      <c r="GD3434" s="5" t="s">
        <v>240</v>
      </c>
      <c r="GE3434" s="5" t="s">
        <v>240</v>
      </c>
      <c r="GF3434" s="5" t="s">
        <v>240</v>
      </c>
      <c r="GG3434" s="5" t="s">
        <v>240</v>
      </c>
      <c r="GH3434" s="5" t="s">
        <v>240</v>
      </c>
      <c r="GI3434" s="5" t="s">
        <v>240</v>
      </c>
      <c r="GJ3434" s="5" t="s">
        <v>240</v>
      </c>
      <c r="GK3434" s="5" t="s">
        <v>240</v>
      </c>
      <c r="GL3434" s="5" t="s">
        <v>240</v>
      </c>
      <c r="GM3434" s="5" t="s">
        <v>240</v>
      </c>
      <c r="GN3434" s="5" t="s">
        <v>240</v>
      </c>
      <c r="GO3434" s="5" t="s">
        <v>240</v>
      </c>
      <c r="GP3434" s="5" t="s">
        <v>240</v>
      </c>
      <c r="GQ3434" s="5" t="s">
        <v>240</v>
      </c>
      <c r="GR3434" s="5" t="s">
        <v>240</v>
      </c>
      <c r="GS3434" s="5" t="s">
        <v>240</v>
      </c>
      <c r="GT3434" s="5" t="s">
        <v>240</v>
      </c>
      <c r="GU3434" s="5" t="s">
        <v>240</v>
      </c>
      <c r="GV3434" s="5" t="s">
        <v>240</v>
      </c>
      <c r="GW3434" s="5" t="s">
        <v>240</v>
      </c>
      <c r="GX3434" s="5" t="s">
        <v>240</v>
      </c>
      <c r="GY3434" s="5" t="s">
        <v>240</v>
      </c>
      <c r="GZ3434" s="5" t="s">
        <v>240</v>
      </c>
      <c r="HA3434" s="5" t="s">
        <v>240</v>
      </c>
      <c r="HB3434" s="5" t="s">
        <v>240</v>
      </c>
      <c r="HC3434" s="5" t="s">
        <v>240</v>
      </c>
      <c r="HD3434" s="5" t="s">
        <v>240</v>
      </c>
      <c r="HE3434" s="5" t="s">
        <v>240</v>
      </c>
      <c r="HF3434" s="5" t="s">
        <v>240</v>
      </c>
      <c r="HG3434" s="5" t="s">
        <v>240</v>
      </c>
      <c r="HH3434" s="5" t="s">
        <v>240</v>
      </c>
      <c r="HI3434" s="5" t="s">
        <v>240</v>
      </c>
      <c r="HJ3434" s="5" t="s">
        <v>240</v>
      </c>
      <c r="HK3434" s="5" t="s">
        <v>240</v>
      </c>
      <c r="HL3434" s="5" t="s">
        <v>240</v>
      </c>
      <c r="HM3434" s="5" t="s">
        <v>240</v>
      </c>
      <c r="HN3434" s="5" t="s">
        <v>240</v>
      </c>
      <c r="HO3434" s="5" t="s">
        <v>312</v>
      </c>
      <c r="HP3434" s="5" t="s">
        <v>240</v>
      </c>
      <c r="HQ3434" s="5" t="s">
        <v>240</v>
      </c>
      <c r="HR3434" s="5" t="s">
        <v>240</v>
      </c>
      <c r="HS3434" s="5" t="s">
        <v>240</v>
      </c>
      <c r="HT3434" s="5" t="s">
        <v>240</v>
      </c>
      <c r="HU3434" s="5" t="s">
        <v>240</v>
      </c>
      <c r="HV3434" s="5" t="s">
        <v>240</v>
      </c>
      <c r="HW3434" s="5" t="s">
        <v>240</v>
      </c>
      <c r="HX3434" s="5" t="s">
        <v>240</v>
      </c>
      <c r="HY3434" s="5" t="s">
        <v>240</v>
      </c>
      <c r="HZ3434" s="5" t="s">
        <v>240</v>
      </c>
      <c r="IA3434" s="5" t="s">
        <v>240</v>
      </c>
      <c r="IB3434" s="5" t="s">
        <v>240</v>
      </c>
      <c r="IC3434" s="5" t="s">
        <v>240</v>
      </c>
      <c r="ID3434" s="5" t="s">
        <v>240</v>
      </c>
      <c r="IE3434" s="5" t="s">
        <v>240</v>
      </c>
      <c r="IF3434" s="5" t="s">
        <v>240</v>
      </c>
    </row>
    <row r="3435" spans="1:240" x14ac:dyDescent="0.4">
      <c r="A3435" s="5">
        <v>8977</v>
      </c>
      <c r="B3435" s="5">
        <v>1</v>
      </c>
      <c r="C3435" s="5">
        <v>1</v>
      </c>
      <c r="D3435" s="5" t="s">
        <v>723</v>
      </c>
      <c r="E3435" s="5" t="s">
        <v>725</v>
      </c>
      <c r="F3435" s="5" t="s">
        <v>730</v>
      </c>
      <c r="G3435" s="5" t="s">
        <v>726</v>
      </c>
      <c r="H3435" s="6" t="s">
        <v>3934</v>
      </c>
      <c r="I3435" s="5" t="s">
        <v>722</v>
      </c>
      <c r="J3435" s="8">
        <f>323</f>
        <v>323</v>
      </c>
      <c r="K3435" s="5" t="s">
        <v>308</v>
      </c>
      <c r="L3435" s="7">
        <f>0</f>
        <v>0</v>
      </c>
      <c r="M3435" s="7">
        <f>0</f>
        <v>0</v>
      </c>
      <c r="N3435" s="5" t="s">
        <v>242</v>
      </c>
      <c r="O3435" s="5">
        <v>1</v>
      </c>
      <c r="P3435" s="5" t="s">
        <v>294</v>
      </c>
      <c r="Q3435" s="5" t="s">
        <v>3678</v>
      </c>
      <c r="R3435" s="5" t="s">
        <v>240</v>
      </c>
      <c r="S3435" s="5" t="s">
        <v>240</v>
      </c>
      <c r="T3435" s="5" t="s">
        <v>243</v>
      </c>
      <c r="U3435" s="5" t="s">
        <v>244</v>
      </c>
      <c r="V3435" s="5" t="s">
        <v>240</v>
      </c>
      <c r="W3435" s="5" t="s">
        <v>240</v>
      </c>
      <c r="X3435" s="5" t="s">
        <v>240</v>
      </c>
      <c r="Y3435" s="5" t="s">
        <v>240</v>
      </c>
      <c r="Z3435" s="6" t="s">
        <v>298</v>
      </c>
      <c r="AA3435" s="6" t="s">
        <v>240</v>
      </c>
      <c r="AB3435" s="6" t="s">
        <v>240</v>
      </c>
      <c r="AC3435" s="5" t="s">
        <v>240</v>
      </c>
      <c r="AD3435" s="6" t="s">
        <v>240</v>
      </c>
      <c r="AE3435" s="6" t="s">
        <v>299</v>
      </c>
      <c r="AF3435" s="5" t="s">
        <v>248</v>
      </c>
      <c r="AG3435" s="5" t="s">
        <v>249</v>
      </c>
      <c r="AH3435" s="5" t="s">
        <v>240</v>
      </c>
      <c r="AI3435" s="5" t="s">
        <v>240</v>
      </c>
      <c r="AJ3435" s="5" t="s">
        <v>240</v>
      </c>
      <c r="AK3435" s="5" t="s">
        <v>240</v>
      </c>
      <c r="AL3435" s="5" t="s">
        <v>240</v>
      </c>
      <c r="AM3435" s="5" t="s">
        <v>240</v>
      </c>
      <c r="AN3435" s="5" t="s">
        <v>240</v>
      </c>
      <c r="AO3435" s="5" t="s">
        <v>240</v>
      </c>
      <c r="AP3435" s="6" t="s">
        <v>240</v>
      </c>
      <c r="AQ3435" s="6" t="s">
        <v>240</v>
      </c>
      <c r="AR3435" s="6" t="s">
        <v>240</v>
      </c>
      <c r="AS3435" s="6" t="s">
        <v>240</v>
      </c>
      <c r="AT3435" s="5" t="s">
        <v>240</v>
      </c>
      <c r="AU3435" s="5" t="s">
        <v>729</v>
      </c>
      <c r="AV3435" s="5" t="s">
        <v>729</v>
      </c>
      <c r="AW3435" s="5" t="s">
        <v>251</v>
      </c>
      <c r="AX3435" s="5" t="s">
        <v>252</v>
      </c>
      <c r="AY3435" s="5" t="s">
        <v>253</v>
      </c>
      <c r="AZ3435" s="5" t="s">
        <v>6046</v>
      </c>
      <c r="BA3435" s="5" t="s">
        <v>255</v>
      </c>
      <c r="BB3435" s="5" t="s">
        <v>731</v>
      </c>
      <c r="BD3435" s="5" t="s">
        <v>240</v>
      </c>
      <c r="BF3435" s="5" t="s">
        <v>732</v>
      </c>
      <c r="BG3435" s="6" t="s">
        <v>733</v>
      </c>
      <c r="BH3435" s="5" t="s">
        <v>734</v>
      </c>
      <c r="BI3435" s="5" t="s">
        <v>734</v>
      </c>
      <c r="BJ3435" s="5" t="s">
        <v>240</v>
      </c>
      <c r="BK3435" s="7">
        <f>1</f>
        <v>1</v>
      </c>
      <c r="BL3435" s="7">
        <f>1</f>
        <v>1</v>
      </c>
      <c r="BM3435" s="5" t="s">
        <v>258</v>
      </c>
      <c r="BN3435" s="5" t="s">
        <v>259</v>
      </c>
      <c r="BO3435" s="5" t="s">
        <v>240</v>
      </c>
      <c r="BP3435" s="5" t="s">
        <v>240</v>
      </c>
      <c r="BQ3435" s="5" t="s">
        <v>240</v>
      </c>
      <c r="BR3435" s="5" t="s">
        <v>240</v>
      </c>
      <c r="BS3435" s="5" t="s">
        <v>240</v>
      </c>
      <c r="BT3435" s="5" t="s">
        <v>240</v>
      </c>
      <c r="BU3435" s="5" t="s">
        <v>240</v>
      </c>
      <c r="BV3435" s="5" t="s">
        <v>240</v>
      </c>
      <c r="BW3435" s="6" t="s">
        <v>240</v>
      </c>
      <c r="BX3435" s="5" t="s">
        <v>240</v>
      </c>
      <c r="BY3435" s="5" t="s">
        <v>240</v>
      </c>
      <c r="BZ3435" s="5" t="s">
        <v>240</v>
      </c>
      <c r="CA3435" s="5" t="s">
        <v>259</v>
      </c>
      <c r="CB3435" s="5" t="s">
        <v>240</v>
      </c>
      <c r="CC3435" s="5" t="s">
        <v>240</v>
      </c>
      <c r="CD3435" s="5" t="s">
        <v>240</v>
      </c>
      <c r="CE3435" s="5" t="s">
        <v>240</v>
      </c>
      <c r="CF3435" s="5" t="s">
        <v>240</v>
      </c>
      <c r="CG3435" s="5" t="s">
        <v>304</v>
      </c>
      <c r="CH3435" s="5" t="s">
        <v>305</v>
      </c>
      <c r="CI3435" s="5" t="s">
        <v>260</v>
      </c>
      <c r="CK3435" s="5" t="s">
        <v>3681</v>
      </c>
      <c r="CL3435" s="6" t="s">
        <v>261</v>
      </c>
      <c r="CM3435" s="5" t="s">
        <v>262</v>
      </c>
      <c r="CN3435" s="5" t="s">
        <v>263</v>
      </c>
      <c r="CO3435" s="5" t="s">
        <v>264</v>
      </c>
      <c r="CP3435" s="5" t="s">
        <v>240</v>
      </c>
      <c r="CQ3435" s="5">
        <v>0</v>
      </c>
      <c r="CR3435" s="5" t="s">
        <v>735</v>
      </c>
      <c r="CS3435" s="5" t="s">
        <v>307</v>
      </c>
      <c r="CT3435" s="5" t="s">
        <v>307</v>
      </c>
      <c r="CU3435" s="5" t="s">
        <v>260</v>
      </c>
      <c r="CV3435" s="5" t="s">
        <v>612</v>
      </c>
      <c r="CW3435" s="8">
        <f>1</f>
        <v>1</v>
      </c>
      <c r="CX3435" s="7">
        <f>1</f>
        <v>1</v>
      </c>
      <c r="CY3435" s="7">
        <f>0</f>
        <v>0</v>
      </c>
      <c r="DA3435" s="7">
        <f>1</f>
        <v>1</v>
      </c>
      <c r="DB3435" s="7" t="s">
        <v>240</v>
      </c>
      <c r="DC3435" s="5" t="s">
        <v>240</v>
      </c>
      <c r="DD3435" s="5" t="s">
        <v>240</v>
      </c>
      <c r="DE3435" s="5" t="s">
        <v>240</v>
      </c>
      <c r="DF3435" s="5" t="s">
        <v>240</v>
      </c>
      <c r="DG3435" s="7">
        <f>0</f>
        <v>0</v>
      </c>
      <c r="DI3435" s="5" t="s">
        <v>240</v>
      </c>
      <c r="DJ3435" s="5" t="s">
        <v>240</v>
      </c>
      <c r="DK3435" s="5" t="s">
        <v>240</v>
      </c>
      <c r="DL3435" s="5" t="s">
        <v>240</v>
      </c>
      <c r="DM3435" s="5" t="s">
        <v>240</v>
      </c>
      <c r="DN3435" s="5" t="s">
        <v>240</v>
      </c>
      <c r="DO3435" s="7" t="s">
        <v>240</v>
      </c>
      <c r="DP3435" s="5" t="s">
        <v>240</v>
      </c>
      <c r="DQ3435" s="5" t="s">
        <v>248</v>
      </c>
      <c r="DR3435" s="5" t="s">
        <v>731</v>
      </c>
      <c r="DS3435" s="5" t="s">
        <v>731</v>
      </c>
      <c r="DT3435" s="5" t="s">
        <v>240</v>
      </c>
      <c r="DU3435" s="5" t="s">
        <v>240</v>
      </c>
      <c r="DV3435" s="5" t="s">
        <v>6047</v>
      </c>
      <c r="DW3435" s="5" t="s">
        <v>715</v>
      </c>
      <c r="DX3435" s="5" t="s">
        <v>240</v>
      </c>
      <c r="DY3435" s="5" t="s">
        <v>240</v>
      </c>
      <c r="DZ3435" s="5" t="s">
        <v>240</v>
      </c>
      <c r="EA3435" s="5" t="s">
        <v>240</v>
      </c>
      <c r="EB3435" s="5" t="s">
        <v>240</v>
      </c>
      <c r="EC3435" s="5" t="s">
        <v>240</v>
      </c>
      <c r="ED3435" s="5" t="s">
        <v>240</v>
      </c>
      <c r="EE3435" s="5" t="s">
        <v>240</v>
      </c>
      <c r="EF3435" s="5" t="s">
        <v>240</v>
      </c>
      <c r="EG3435" s="5" t="s">
        <v>240</v>
      </c>
      <c r="EH3435" s="5" t="s">
        <v>240</v>
      </c>
      <c r="EI3435" s="5" t="s">
        <v>240</v>
      </c>
      <c r="EJ3435" s="5" t="s">
        <v>240</v>
      </c>
      <c r="EK3435" s="5" t="s">
        <v>240</v>
      </c>
      <c r="EL3435" s="5" t="s">
        <v>240</v>
      </c>
      <c r="EM3435" s="5" t="s">
        <v>240</v>
      </c>
      <c r="EN3435" s="5" t="s">
        <v>240</v>
      </c>
      <c r="EO3435" s="5" t="s">
        <v>240</v>
      </c>
      <c r="EP3435" s="5" t="s">
        <v>240</v>
      </c>
      <c r="EQ3435" s="5" t="s">
        <v>240</v>
      </c>
      <c r="ER3435" s="5" t="s">
        <v>240</v>
      </c>
      <c r="ES3435" s="5" t="s">
        <v>240</v>
      </c>
      <c r="ET3435" s="5" t="s">
        <v>240</v>
      </c>
      <c r="EU3435" s="5" t="s">
        <v>240</v>
      </c>
      <c r="EV3435" s="5" t="s">
        <v>240</v>
      </c>
      <c r="EW3435" s="5" t="s">
        <v>240</v>
      </c>
      <c r="EX3435" s="5" t="s">
        <v>240</v>
      </c>
      <c r="EY3435" s="5" t="s">
        <v>240</v>
      </c>
      <c r="EZ3435" s="5" t="s">
        <v>240</v>
      </c>
      <c r="FA3435" s="5" t="s">
        <v>240</v>
      </c>
      <c r="FB3435" s="5" t="s">
        <v>240</v>
      </c>
      <c r="FC3435" s="5" t="s">
        <v>240</v>
      </c>
      <c r="FD3435" s="5" t="s">
        <v>240</v>
      </c>
      <c r="FE3435" s="5" t="s">
        <v>240</v>
      </c>
      <c r="FF3435" s="5" t="s">
        <v>240</v>
      </c>
      <c r="FG3435" s="5" t="s">
        <v>240</v>
      </c>
      <c r="FH3435" s="5" t="s">
        <v>240</v>
      </c>
      <c r="FI3435" s="5" t="s">
        <v>240</v>
      </c>
      <c r="FJ3435" s="5" t="s">
        <v>240</v>
      </c>
      <c r="FK3435" s="5" t="s">
        <v>240</v>
      </c>
      <c r="FL3435" s="5" t="s">
        <v>240</v>
      </c>
      <c r="FM3435" s="5" t="s">
        <v>240</v>
      </c>
      <c r="FN3435" s="5" t="s">
        <v>240</v>
      </c>
      <c r="FO3435" s="5" t="s">
        <v>240</v>
      </c>
      <c r="FP3435" s="5" t="s">
        <v>240</v>
      </c>
      <c r="FQ3435" s="5" t="s">
        <v>240</v>
      </c>
      <c r="FR3435" s="5" t="s">
        <v>240</v>
      </c>
      <c r="FS3435" s="5" t="s">
        <v>240</v>
      </c>
      <c r="FT3435" s="5" t="s">
        <v>240</v>
      </c>
      <c r="FU3435" s="5" t="s">
        <v>240</v>
      </c>
      <c r="FV3435" s="5" t="s">
        <v>240</v>
      </c>
      <c r="FW3435" s="5" t="s">
        <v>240</v>
      </c>
      <c r="FX3435" s="5" t="s">
        <v>240</v>
      </c>
      <c r="FY3435" s="5" t="s">
        <v>240</v>
      </c>
      <c r="FZ3435" s="5" t="s">
        <v>240</v>
      </c>
      <c r="GA3435" s="5" t="s">
        <v>240</v>
      </c>
      <c r="GB3435" s="5" t="s">
        <v>240</v>
      </c>
      <c r="GC3435" s="5" t="s">
        <v>240</v>
      </c>
      <c r="GD3435" s="5" t="s">
        <v>240</v>
      </c>
      <c r="GE3435" s="5" t="s">
        <v>240</v>
      </c>
      <c r="GF3435" s="5" t="s">
        <v>240</v>
      </c>
      <c r="GG3435" s="5" t="s">
        <v>240</v>
      </c>
      <c r="GH3435" s="5" t="s">
        <v>240</v>
      </c>
      <c r="GI3435" s="5" t="s">
        <v>240</v>
      </c>
      <c r="GJ3435" s="5" t="s">
        <v>240</v>
      </c>
      <c r="GK3435" s="5" t="s">
        <v>240</v>
      </c>
      <c r="GL3435" s="5" t="s">
        <v>240</v>
      </c>
      <c r="GM3435" s="5" t="s">
        <v>240</v>
      </c>
      <c r="GN3435" s="5" t="s">
        <v>240</v>
      </c>
      <c r="GO3435" s="5" t="s">
        <v>240</v>
      </c>
      <c r="GP3435" s="5" t="s">
        <v>240</v>
      </c>
      <c r="GQ3435" s="5" t="s">
        <v>240</v>
      </c>
      <c r="GR3435" s="5" t="s">
        <v>240</v>
      </c>
      <c r="GS3435" s="5" t="s">
        <v>240</v>
      </c>
      <c r="GT3435" s="5" t="s">
        <v>240</v>
      </c>
      <c r="GU3435" s="5" t="s">
        <v>240</v>
      </c>
      <c r="GV3435" s="5" t="s">
        <v>240</v>
      </c>
      <c r="GW3435" s="5" t="s">
        <v>240</v>
      </c>
      <c r="GX3435" s="5" t="s">
        <v>240</v>
      </c>
      <c r="GY3435" s="5" t="s">
        <v>240</v>
      </c>
      <c r="GZ3435" s="5" t="s">
        <v>240</v>
      </c>
      <c r="HA3435" s="5" t="s">
        <v>240</v>
      </c>
      <c r="HB3435" s="5" t="s">
        <v>240</v>
      </c>
      <c r="HC3435" s="5" t="s">
        <v>240</v>
      </c>
      <c r="HD3435" s="5" t="s">
        <v>240</v>
      </c>
      <c r="HE3435" s="5" t="s">
        <v>240</v>
      </c>
      <c r="HF3435" s="5" t="s">
        <v>240</v>
      </c>
      <c r="HG3435" s="5" t="s">
        <v>240</v>
      </c>
      <c r="HH3435" s="5" t="s">
        <v>240</v>
      </c>
      <c r="HI3435" s="5" t="s">
        <v>240</v>
      </c>
      <c r="HJ3435" s="5" t="s">
        <v>240</v>
      </c>
      <c r="HK3435" s="5" t="s">
        <v>240</v>
      </c>
      <c r="HL3435" s="5" t="s">
        <v>240</v>
      </c>
      <c r="HM3435" s="5" t="s">
        <v>240</v>
      </c>
      <c r="HN3435" s="5" t="s">
        <v>240</v>
      </c>
      <c r="HO3435" s="5" t="s">
        <v>240</v>
      </c>
      <c r="HP3435" s="5" t="s">
        <v>240</v>
      </c>
      <c r="HQ3435" s="5" t="s">
        <v>240</v>
      </c>
      <c r="HR3435" s="5" t="s">
        <v>240</v>
      </c>
      <c r="HS3435" s="5" t="s">
        <v>240</v>
      </c>
      <c r="HT3435" s="5" t="s">
        <v>240</v>
      </c>
      <c r="HU3435" s="5" t="s">
        <v>240</v>
      </c>
      <c r="HV3435" s="5" t="s">
        <v>240</v>
      </c>
      <c r="HW3435" s="5" t="s">
        <v>240</v>
      </c>
      <c r="HX3435" s="5" t="s">
        <v>240</v>
      </c>
      <c r="HY3435" s="5" t="s">
        <v>240</v>
      </c>
      <c r="HZ3435" s="5" t="s">
        <v>240</v>
      </c>
      <c r="IA3435" s="5" t="s">
        <v>240</v>
      </c>
      <c r="IB3435" s="5" t="s">
        <v>240</v>
      </c>
      <c r="IC3435" s="5" t="s">
        <v>240</v>
      </c>
      <c r="ID3435" s="5" t="s">
        <v>240</v>
      </c>
      <c r="IE3435" s="5" t="s">
        <v>240</v>
      </c>
      <c r="IF3435" s="5" t="s">
        <v>240</v>
      </c>
    </row>
    <row r="3436" spans="1:240" x14ac:dyDescent="0.4">
      <c r="A3436" s="5">
        <v>8978</v>
      </c>
      <c r="B3436" s="5">
        <v>1</v>
      </c>
      <c r="C3436" s="5">
        <v>1</v>
      </c>
      <c r="D3436" s="5" t="s">
        <v>723</v>
      </c>
      <c r="E3436" s="5" t="s">
        <v>725</v>
      </c>
      <c r="F3436" s="5" t="s">
        <v>730</v>
      </c>
      <c r="G3436" s="5" t="s">
        <v>726</v>
      </c>
      <c r="H3436" s="6" t="s">
        <v>3939</v>
      </c>
      <c r="I3436" s="5" t="s">
        <v>722</v>
      </c>
      <c r="J3436" s="8">
        <f>333</f>
        <v>333</v>
      </c>
      <c r="K3436" s="5" t="s">
        <v>308</v>
      </c>
      <c r="L3436" s="7">
        <f>0</f>
        <v>0</v>
      </c>
      <c r="M3436" s="7">
        <f>0</f>
        <v>0</v>
      </c>
      <c r="N3436" s="5" t="s">
        <v>242</v>
      </c>
      <c r="O3436" s="5">
        <v>1</v>
      </c>
      <c r="P3436" s="5" t="s">
        <v>294</v>
      </c>
      <c r="Q3436" s="5" t="s">
        <v>266</v>
      </c>
      <c r="R3436" s="5" t="s">
        <v>240</v>
      </c>
      <c r="S3436" s="5" t="s">
        <v>240</v>
      </c>
      <c r="T3436" s="5" t="s">
        <v>243</v>
      </c>
      <c r="U3436" s="5" t="s">
        <v>240</v>
      </c>
      <c r="V3436" s="5" t="s">
        <v>240</v>
      </c>
      <c r="Y3436" s="5" t="s">
        <v>240</v>
      </c>
      <c r="Z3436" s="6" t="s">
        <v>6089</v>
      </c>
      <c r="AB3436" s="6" t="s">
        <v>240</v>
      </c>
      <c r="AE3436" s="6" t="s">
        <v>3924</v>
      </c>
      <c r="AF3436" s="5" t="s">
        <v>248</v>
      </c>
      <c r="AG3436" s="5" t="s">
        <v>249</v>
      </c>
      <c r="AW3436" s="5" t="s">
        <v>251</v>
      </c>
      <c r="AX3436" s="5" t="s">
        <v>240</v>
      </c>
      <c r="AY3436" s="5" t="s">
        <v>253</v>
      </c>
      <c r="AZ3436" s="5" t="s">
        <v>240</v>
      </c>
      <c r="BA3436" s="5" t="s">
        <v>255</v>
      </c>
      <c r="BB3436" s="5" t="s">
        <v>240</v>
      </c>
      <c r="BD3436" s="5" t="s">
        <v>240</v>
      </c>
      <c r="BF3436" s="5" t="s">
        <v>687</v>
      </c>
      <c r="BG3436" s="6" t="s">
        <v>6089</v>
      </c>
      <c r="BH3436" s="5" t="s">
        <v>302</v>
      </c>
      <c r="BI3436" s="5" t="s">
        <v>448</v>
      </c>
      <c r="BJ3436" s="5" t="s">
        <v>240</v>
      </c>
      <c r="BK3436" s="8">
        <f>0</f>
        <v>0</v>
      </c>
      <c r="BL3436" s="7">
        <f>0</f>
        <v>0</v>
      </c>
      <c r="BM3436" s="5" t="s">
        <v>258</v>
      </c>
      <c r="BN3436" s="5" t="s">
        <v>259</v>
      </c>
      <c r="CB3436" s="5" t="s">
        <v>240</v>
      </c>
      <c r="CC3436" s="5" t="s">
        <v>240</v>
      </c>
      <c r="CG3436" s="5" t="s">
        <v>449</v>
      </c>
      <c r="CH3436" s="5" t="s">
        <v>305</v>
      </c>
      <c r="CI3436" s="5" t="s">
        <v>240</v>
      </c>
      <c r="CL3436" s="6" t="s">
        <v>261</v>
      </c>
      <c r="CM3436" s="5" t="s">
        <v>240</v>
      </c>
      <c r="CN3436" s="5" t="s">
        <v>263</v>
      </c>
      <c r="CO3436" s="5" t="s">
        <v>240</v>
      </c>
      <c r="CP3436" s="5" t="s">
        <v>240</v>
      </c>
      <c r="CQ3436" s="5">
        <v>0</v>
      </c>
      <c r="CR3436" s="5" t="s">
        <v>306</v>
      </c>
      <c r="CS3436" s="5" t="s">
        <v>307</v>
      </c>
      <c r="CT3436" s="5" t="s">
        <v>307</v>
      </c>
      <c r="CU3436" s="5" t="s">
        <v>260</v>
      </c>
      <c r="CX3436" s="7">
        <f>1986028</f>
        <v>1986028</v>
      </c>
      <c r="CY3436" s="7">
        <f>0</f>
        <v>0</v>
      </c>
      <c r="DA3436" s="7">
        <f>0</f>
        <v>0</v>
      </c>
      <c r="DC3436" s="5" t="s">
        <v>450</v>
      </c>
      <c r="DD3436" s="5" t="s">
        <v>240</v>
      </c>
      <c r="DF3436" s="5" t="s">
        <v>450</v>
      </c>
      <c r="DG3436" s="7">
        <f>714.77</f>
        <v>714.77</v>
      </c>
      <c r="DI3436" s="5" t="s">
        <v>240</v>
      </c>
      <c r="DJ3436" s="5" t="s">
        <v>240</v>
      </c>
      <c r="DK3436" s="5" t="s">
        <v>240</v>
      </c>
      <c r="DL3436" s="5" t="s">
        <v>240</v>
      </c>
      <c r="DP3436" s="5" t="s">
        <v>240</v>
      </c>
      <c r="DQ3436" s="5" t="s">
        <v>240</v>
      </c>
      <c r="DR3436" s="5" t="s">
        <v>240</v>
      </c>
      <c r="DS3436" s="5" t="s">
        <v>240</v>
      </c>
      <c r="DV3436" s="5" t="s">
        <v>310</v>
      </c>
      <c r="DW3436" s="5" t="s">
        <v>2391</v>
      </c>
      <c r="HO3436" s="5" t="s">
        <v>312</v>
      </c>
    </row>
    <row r="3437" spans="1:240" x14ac:dyDescent="0.4">
      <c r="A3437" s="5">
        <v>8979</v>
      </c>
      <c r="B3437" s="5">
        <v>1</v>
      </c>
      <c r="C3437" s="5">
        <v>1</v>
      </c>
      <c r="D3437" s="5" t="s">
        <v>723</v>
      </c>
      <c r="E3437" s="5" t="s">
        <v>725</v>
      </c>
      <c r="F3437" s="5" t="s">
        <v>730</v>
      </c>
      <c r="G3437" s="5" t="s">
        <v>726</v>
      </c>
      <c r="H3437" s="6" t="s">
        <v>3942</v>
      </c>
      <c r="I3437" s="5" t="s">
        <v>990</v>
      </c>
      <c r="J3437" s="8">
        <f>2487</f>
        <v>2487</v>
      </c>
      <c r="K3437" s="5" t="s">
        <v>308</v>
      </c>
      <c r="L3437" s="7">
        <f>0</f>
        <v>0</v>
      </c>
      <c r="M3437" s="7">
        <f>0</f>
        <v>0</v>
      </c>
      <c r="N3437" s="5" t="s">
        <v>242</v>
      </c>
      <c r="O3437" s="5">
        <v>1</v>
      </c>
      <c r="P3437" s="5" t="s">
        <v>294</v>
      </c>
      <c r="Q3437" s="5" t="s">
        <v>3678</v>
      </c>
      <c r="R3437" s="5" t="s">
        <v>240</v>
      </c>
      <c r="S3437" s="5" t="s">
        <v>240</v>
      </c>
      <c r="T3437" s="5" t="s">
        <v>243</v>
      </c>
      <c r="U3437" s="5" t="s">
        <v>244</v>
      </c>
      <c r="V3437" s="5" t="s">
        <v>240</v>
      </c>
      <c r="W3437" s="5" t="s">
        <v>240</v>
      </c>
      <c r="X3437" s="5" t="s">
        <v>240</v>
      </c>
      <c r="Y3437" s="5" t="s">
        <v>240</v>
      </c>
      <c r="Z3437" s="6" t="s">
        <v>298</v>
      </c>
      <c r="AA3437" s="6" t="s">
        <v>240</v>
      </c>
      <c r="AB3437" s="6" t="s">
        <v>240</v>
      </c>
      <c r="AC3437" s="5" t="s">
        <v>240</v>
      </c>
      <c r="AD3437" s="6" t="s">
        <v>240</v>
      </c>
      <c r="AE3437" s="6" t="s">
        <v>299</v>
      </c>
      <c r="AF3437" s="5" t="s">
        <v>248</v>
      </c>
      <c r="AG3437" s="5" t="s">
        <v>249</v>
      </c>
      <c r="AH3437" s="5" t="s">
        <v>240</v>
      </c>
      <c r="AI3437" s="5" t="s">
        <v>240</v>
      </c>
      <c r="AJ3437" s="5" t="s">
        <v>240</v>
      </c>
      <c r="AK3437" s="5" t="s">
        <v>240</v>
      </c>
      <c r="AL3437" s="5" t="s">
        <v>240</v>
      </c>
      <c r="AM3437" s="5" t="s">
        <v>240</v>
      </c>
      <c r="AN3437" s="5" t="s">
        <v>240</v>
      </c>
      <c r="AO3437" s="5" t="s">
        <v>240</v>
      </c>
      <c r="AP3437" s="6" t="s">
        <v>240</v>
      </c>
      <c r="AQ3437" s="6" t="s">
        <v>240</v>
      </c>
      <c r="AR3437" s="6" t="s">
        <v>240</v>
      </c>
      <c r="AS3437" s="6" t="s">
        <v>240</v>
      </c>
      <c r="AT3437" s="5" t="s">
        <v>240</v>
      </c>
      <c r="AU3437" s="5" t="s">
        <v>729</v>
      </c>
      <c r="AV3437" s="5" t="s">
        <v>729</v>
      </c>
      <c r="AW3437" s="5" t="s">
        <v>251</v>
      </c>
      <c r="AX3437" s="5" t="s">
        <v>252</v>
      </c>
      <c r="AY3437" s="5" t="s">
        <v>253</v>
      </c>
      <c r="AZ3437" s="5" t="s">
        <v>6046</v>
      </c>
      <c r="BA3437" s="5" t="s">
        <v>255</v>
      </c>
      <c r="BB3437" s="5" t="s">
        <v>731</v>
      </c>
      <c r="BD3437" s="5" t="s">
        <v>240</v>
      </c>
      <c r="BF3437" s="5" t="s">
        <v>732</v>
      </c>
      <c r="BG3437" s="6" t="s">
        <v>733</v>
      </c>
      <c r="BH3437" s="5" t="s">
        <v>734</v>
      </c>
      <c r="BI3437" s="5" t="s">
        <v>734</v>
      </c>
      <c r="BJ3437" s="5" t="s">
        <v>240</v>
      </c>
      <c r="BK3437" s="7">
        <f>1</f>
        <v>1</v>
      </c>
      <c r="BL3437" s="7">
        <f>1</f>
        <v>1</v>
      </c>
      <c r="BM3437" s="5" t="s">
        <v>258</v>
      </c>
      <c r="BN3437" s="5" t="s">
        <v>259</v>
      </c>
      <c r="BO3437" s="5" t="s">
        <v>240</v>
      </c>
      <c r="BP3437" s="5" t="s">
        <v>240</v>
      </c>
      <c r="BQ3437" s="5" t="s">
        <v>240</v>
      </c>
      <c r="BR3437" s="5" t="s">
        <v>240</v>
      </c>
      <c r="BS3437" s="5" t="s">
        <v>240</v>
      </c>
      <c r="BT3437" s="5" t="s">
        <v>240</v>
      </c>
      <c r="BU3437" s="5" t="s">
        <v>240</v>
      </c>
      <c r="BV3437" s="5" t="s">
        <v>240</v>
      </c>
      <c r="BW3437" s="6" t="s">
        <v>240</v>
      </c>
      <c r="BX3437" s="5" t="s">
        <v>240</v>
      </c>
      <c r="BY3437" s="5" t="s">
        <v>240</v>
      </c>
      <c r="BZ3437" s="5" t="s">
        <v>240</v>
      </c>
      <c r="CA3437" s="5" t="s">
        <v>259</v>
      </c>
      <c r="CB3437" s="5" t="s">
        <v>240</v>
      </c>
      <c r="CC3437" s="5" t="s">
        <v>240</v>
      </c>
      <c r="CD3437" s="5" t="s">
        <v>240</v>
      </c>
      <c r="CE3437" s="5" t="s">
        <v>240</v>
      </c>
      <c r="CF3437" s="5" t="s">
        <v>240</v>
      </c>
      <c r="CG3437" s="5" t="s">
        <v>304</v>
      </c>
      <c r="CH3437" s="5" t="s">
        <v>305</v>
      </c>
      <c r="CI3437" s="5" t="s">
        <v>260</v>
      </c>
      <c r="CK3437" s="5" t="s">
        <v>3681</v>
      </c>
      <c r="CL3437" s="6" t="s">
        <v>261</v>
      </c>
      <c r="CM3437" s="5" t="s">
        <v>262</v>
      </c>
      <c r="CN3437" s="5" t="s">
        <v>263</v>
      </c>
      <c r="CO3437" s="5" t="s">
        <v>264</v>
      </c>
      <c r="CP3437" s="5" t="s">
        <v>240</v>
      </c>
      <c r="CQ3437" s="5">
        <v>0</v>
      </c>
      <c r="CR3437" s="5" t="s">
        <v>735</v>
      </c>
      <c r="CS3437" s="5" t="s">
        <v>307</v>
      </c>
      <c r="CT3437" s="5" t="s">
        <v>307</v>
      </c>
      <c r="CU3437" s="5" t="s">
        <v>260</v>
      </c>
      <c r="CV3437" s="5" t="s">
        <v>612</v>
      </c>
      <c r="CW3437" s="8">
        <f>1</f>
        <v>1</v>
      </c>
      <c r="CX3437" s="7">
        <f>1</f>
        <v>1</v>
      </c>
      <c r="CY3437" s="7">
        <f>0</f>
        <v>0</v>
      </c>
      <c r="DA3437" s="7">
        <f>1</f>
        <v>1</v>
      </c>
      <c r="DB3437" s="7" t="s">
        <v>240</v>
      </c>
      <c r="DC3437" s="5" t="s">
        <v>240</v>
      </c>
      <c r="DD3437" s="5" t="s">
        <v>240</v>
      </c>
      <c r="DE3437" s="5" t="s">
        <v>240</v>
      </c>
      <c r="DF3437" s="5" t="s">
        <v>240</v>
      </c>
      <c r="DG3437" s="7">
        <f>0</f>
        <v>0</v>
      </c>
      <c r="DI3437" s="5" t="s">
        <v>240</v>
      </c>
      <c r="DJ3437" s="5" t="s">
        <v>240</v>
      </c>
      <c r="DK3437" s="5" t="s">
        <v>240</v>
      </c>
      <c r="DL3437" s="5" t="s">
        <v>240</v>
      </c>
      <c r="DM3437" s="5" t="s">
        <v>240</v>
      </c>
      <c r="DN3437" s="5" t="s">
        <v>240</v>
      </c>
      <c r="DO3437" s="7" t="s">
        <v>240</v>
      </c>
      <c r="DP3437" s="5" t="s">
        <v>240</v>
      </c>
      <c r="DQ3437" s="5" t="s">
        <v>248</v>
      </c>
      <c r="DR3437" s="5" t="s">
        <v>731</v>
      </c>
      <c r="DS3437" s="5" t="s">
        <v>731</v>
      </c>
      <c r="DT3437" s="5" t="s">
        <v>240</v>
      </c>
      <c r="DU3437" s="5" t="s">
        <v>240</v>
      </c>
      <c r="DV3437" s="5" t="s">
        <v>6047</v>
      </c>
      <c r="DW3437" s="5" t="s">
        <v>709</v>
      </c>
      <c r="DX3437" s="5" t="s">
        <v>240</v>
      </c>
      <c r="DY3437" s="5" t="s">
        <v>240</v>
      </c>
      <c r="DZ3437" s="5" t="s">
        <v>240</v>
      </c>
      <c r="EA3437" s="5" t="s">
        <v>240</v>
      </c>
      <c r="EB3437" s="5" t="s">
        <v>240</v>
      </c>
      <c r="EC3437" s="5" t="s">
        <v>240</v>
      </c>
      <c r="ED3437" s="5" t="s">
        <v>240</v>
      </c>
      <c r="EE3437" s="5" t="s">
        <v>240</v>
      </c>
      <c r="EF3437" s="5" t="s">
        <v>240</v>
      </c>
      <c r="EG3437" s="5" t="s">
        <v>240</v>
      </c>
      <c r="EH3437" s="5" t="s">
        <v>240</v>
      </c>
      <c r="EI3437" s="5" t="s">
        <v>240</v>
      </c>
      <c r="EJ3437" s="5" t="s">
        <v>240</v>
      </c>
      <c r="EK3437" s="5" t="s">
        <v>240</v>
      </c>
      <c r="EL3437" s="5" t="s">
        <v>240</v>
      </c>
      <c r="EM3437" s="5" t="s">
        <v>240</v>
      </c>
      <c r="EN3437" s="5" t="s">
        <v>240</v>
      </c>
      <c r="EO3437" s="5" t="s">
        <v>240</v>
      </c>
      <c r="EP3437" s="5" t="s">
        <v>240</v>
      </c>
      <c r="EQ3437" s="5" t="s">
        <v>240</v>
      </c>
      <c r="ER3437" s="5" t="s">
        <v>240</v>
      </c>
      <c r="ES3437" s="5" t="s">
        <v>240</v>
      </c>
      <c r="ET3437" s="5" t="s">
        <v>240</v>
      </c>
      <c r="EU3437" s="5" t="s">
        <v>240</v>
      </c>
      <c r="EV3437" s="5" t="s">
        <v>240</v>
      </c>
      <c r="EW3437" s="5" t="s">
        <v>240</v>
      </c>
      <c r="EX3437" s="5" t="s">
        <v>240</v>
      </c>
      <c r="EY3437" s="5" t="s">
        <v>240</v>
      </c>
      <c r="EZ3437" s="5" t="s">
        <v>240</v>
      </c>
      <c r="FA3437" s="5" t="s">
        <v>240</v>
      </c>
      <c r="FB3437" s="5" t="s">
        <v>240</v>
      </c>
      <c r="FC3437" s="5" t="s">
        <v>240</v>
      </c>
      <c r="FD3437" s="5" t="s">
        <v>240</v>
      </c>
      <c r="FE3437" s="5" t="s">
        <v>240</v>
      </c>
      <c r="FF3437" s="5" t="s">
        <v>240</v>
      </c>
      <c r="FG3437" s="5" t="s">
        <v>240</v>
      </c>
      <c r="FH3437" s="5" t="s">
        <v>240</v>
      </c>
      <c r="FI3437" s="5" t="s">
        <v>240</v>
      </c>
      <c r="FJ3437" s="5" t="s">
        <v>240</v>
      </c>
      <c r="FK3437" s="5" t="s">
        <v>240</v>
      </c>
      <c r="FL3437" s="5" t="s">
        <v>240</v>
      </c>
      <c r="FM3437" s="5" t="s">
        <v>240</v>
      </c>
      <c r="FN3437" s="5" t="s">
        <v>240</v>
      </c>
      <c r="FO3437" s="5" t="s">
        <v>240</v>
      </c>
      <c r="FP3437" s="5" t="s">
        <v>240</v>
      </c>
      <c r="FQ3437" s="5" t="s">
        <v>240</v>
      </c>
      <c r="FR3437" s="5" t="s">
        <v>240</v>
      </c>
      <c r="FS3437" s="5" t="s">
        <v>240</v>
      </c>
      <c r="FT3437" s="5" t="s">
        <v>240</v>
      </c>
      <c r="FU3437" s="5" t="s">
        <v>240</v>
      </c>
      <c r="FV3437" s="5" t="s">
        <v>240</v>
      </c>
      <c r="FW3437" s="5" t="s">
        <v>240</v>
      </c>
      <c r="FX3437" s="5" t="s">
        <v>240</v>
      </c>
      <c r="FY3437" s="5" t="s">
        <v>240</v>
      </c>
      <c r="FZ3437" s="5" t="s">
        <v>240</v>
      </c>
      <c r="GA3437" s="5" t="s">
        <v>240</v>
      </c>
      <c r="GB3437" s="5" t="s">
        <v>240</v>
      </c>
      <c r="GC3437" s="5" t="s">
        <v>240</v>
      </c>
      <c r="GD3437" s="5" t="s">
        <v>240</v>
      </c>
      <c r="GE3437" s="5" t="s">
        <v>240</v>
      </c>
      <c r="GF3437" s="5" t="s">
        <v>240</v>
      </c>
      <c r="GG3437" s="5" t="s">
        <v>240</v>
      </c>
      <c r="GH3437" s="5" t="s">
        <v>240</v>
      </c>
      <c r="GI3437" s="5" t="s">
        <v>240</v>
      </c>
      <c r="GJ3437" s="5" t="s">
        <v>240</v>
      </c>
      <c r="GK3437" s="5" t="s">
        <v>240</v>
      </c>
      <c r="GL3437" s="5" t="s">
        <v>240</v>
      </c>
      <c r="GM3437" s="5" t="s">
        <v>240</v>
      </c>
      <c r="GN3437" s="5" t="s">
        <v>240</v>
      </c>
      <c r="GO3437" s="5" t="s">
        <v>240</v>
      </c>
      <c r="GP3437" s="5" t="s">
        <v>240</v>
      </c>
      <c r="GQ3437" s="5" t="s">
        <v>240</v>
      </c>
      <c r="GR3437" s="5" t="s">
        <v>240</v>
      </c>
      <c r="GS3437" s="5" t="s">
        <v>240</v>
      </c>
      <c r="GT3437" s="5" t="s">
        <v>240</v>
      </c>
      <c r="GU3437" s="5" t="s">
        <v>240</v>
      </c>
      <c r="GV3437" s="5" t="s">
        <v>240</v>
      </c>
      <c r="GW3437" s="5" t="s">
        <v>240</v>
      </c>
      <c r="GX3437" s="5" t="s">
        <v>240</v>
      </c>
      <c r="GY3437" s="5" t="s">
        <v>240</v>
      </c>
      <c r="GZ3437" s="5" t="s">
        <v>240</v>
      </c>
      <c r="HA3437" s="5" t="s">
        <v>240</v>
      </c>
      <c r="HB3437" s="5" t="s">
        <v>240</v>
      </c>
      <c r="HC3437" s="5" t="s">
        <v>240</v>
      </c>
      <c r="HD3437" s="5" t="s">
        <v>240</v>
      </c>
      <c r="HE3437" s="5" t="s">
        <v>240</v>
      </c>
      <c r="HF3437" s="5" t="s">
        <v>240</v>
      </c>
      <c r="HG3437" s="5" t="s">
        <v>240</v>
      </c>
      <c r="HH3437" s="5" t="s">
        <v>240</v>
      </c>
      <c r="HI3437" s="5" t="s">
        <v>240</v>
      </c>
      <c r="HJ3437" s="5" t="s">
        <v>240</v>
      </c>
      <c r="HK3437" s="5" t="s">
        <v>240</v>
      </c>
      <c r="HL3437" s="5" t="s">
        <v>240</v>
      </c>
      <c r="HM3437" s="5" t="s">
        <v>240</v>
      </c>
      <c r="HN3437" s="5" t="s">
        <v>240</v>
      </c>
      <c r="HO3437" s="5" t="s">
        <v>240</v>
      </c>
      <c r="HP3437" s="5" t="s">
        <v>240</v>
      </c>
      <c r="HQ3437" s="5" t="s">
        <v>240</v>
      </c>
      <c r="HR3437" s="5" t="s">
        <v>240</v>
      </c>
      <c r="HS3437" s="5" t="s">
        <v>240</v>
      </c>
      <c r="HT3437" s="5" t="s">
        <v>240</v>
      </c>
      <c r="HU3437" s="5" t="s">
        <v>240</v>
      </c>
      <c r="HV3437" s="5" t="s">
        <v>240</v>
      </c>
      <c r="HW3437" s="5" t="s">
        <v>240</v>
      </c>
      <c r="HX3437" s="5" t="s">
        <v>240</v>
      </c>
      <c r="HY3437" s="5" t="s">
        <v>240</v>
      </c>
      <c r="HZ3437" s="5" t="s">
        <v>240</v>
      </c>
      <c r="IA3437" s="5" t="s">
        <v>240</v>
      </c>
      <c r="IB3437" s="5" t="s">
        <v>240</v>
      </c>
      <c r="IC3437" s="5" t="s">
        <v>240</v>
      </c>
      <c r="ID3437" s="5" t="s">
        <v>240</v>
      </c>
      <c r="IE3437" s="5" t="s">
        <v>240</v>
      </c>
      <c r="IF3437" s="5" t="s">
        <v>240</v>
      </c>
    </row>
    <row r="3438" spans="1:240" x14ac:dyDescent="0.4">
      <c r="A3438" s="5">
        <v>8980</v>
      </c>
      <c r="B3438" s="5">
        <v>1</v>
      </c>
      <c r="C3438" s="5">
        <v>1</v>
      </c>
      <c r="D3438" s="5" t="s">
        <v>723</v>
      </c>
      <c r="E3438" s="5" t="s">
        <v>725</v>
      </c>
      <c r="F3438" s="5" t="s">
        <v>730</v>
      </c>
      <c r="G3438" s="5" t="s">
        <v>726</v>
      </c>
      <c r="H3438" s="6" t="s">
        <v>3947</v>
      </c>
      <c r="I3438" s="5" t="s">
        <v>990</v>
      </c>
      <c r="J3438" s="8">
        <f>450</f>
        <v>450</v>
      </c>
      <c r="K3438" s="5" t="s">
        <v>308</v>
      </c>
      <c r="L3438" s="7">
        <f>0</f>
        <v>0</v>
      </c>
      <c r="M3438" s="7">
        <f>0</f>
        <v>0</v>
      </c>
      <c r="N3438" s="5" t="s">
        <v>242</v>
      </c>
      <c r="O3438" s="5">
        <v>1</v>
      </c>
      <c r="P3438" s="5" t="s">
        <v>294</v>
      </c>
      <c r="Q3438" s="5" t="s">
        <v>3678</v>
      </c>
      <c r="R3438" s="5" t="s">
        <v>240</v>
      </c>
      <c r="S3438" s="5" t="s">
        <v>240</v>
      </c>
      <c r="T3438" s="5" t="s">
        <v>243</v>
      </c>
      <c r="U3438" s="5" t="s">
        <v>244</v>
      </c>
      <c r="V3438" s="5" t="s">
        <v>240</v>
      </c>
      <c r="W3438" s="5" t="s">
        <v>240</v>
      </c>
      <c r="X3438" s="5" t="s">
        <v>240</v>
      </c>
      <c r="Y3438" s="5" t="s">
        <v>240</v>
      </c>
      <c r="Z3438" s="6" t="s">
        <v>298</v>
      </c>
      <c r="AA3438" s="6" t="s">
        <v>240</v>
      </c>
      <c r="AB3438" s="6" t="s">
        <v>240</v>
      </c>
      <c r="AC3438" s="5" t="s">
        <v>240</v>
      </c>
      <c r="AD3438" s="6" t="s">
        <v>240</v>
      </c>
      <c r="AE3438" s="6" t="s">
        <v>299</v>
      </c>
      <c r="AF3438" s="5" t="s">
        <v>248</v>
      </c>
      <c r="AG3438" s="5" t="s">
        <v>249</v>
      </c>
      <c r="AH3438" s="5" t="s">
        <v>240</v>
      </c>
      <c r="AI3438" s="5" t="s">
        <v>240</v>
      </c>
      <c r="AJ3438" s="5" t="s">
        <v>240</v>
      </c>
      <c r="AK3438" s="5" t="s">
        <v>240</v>
      </c>
      <c r="AL3438" s="5" t="s">
        <v>240</v>
      </c>
      <c r="AM3438" s="5" t="s">
        <v>240</v>
      </c>
      <c r="AN3438" s="5" t="s">
        <v>240</v>
      </c>
      <c r="AO3438" s="5" t="s">
        <v>240</v>
      </c>
      <c r="AP3438" s="6" t="s">
        <v>240</v>
      </c>
      <c r="AQ3438" s="6" t="s">
        <v>240</v>
      </c>
      <c r="AR3438" s="6" t="s">
        <v>240</v>
      </c>
      <c r="AS3438" s="6" t="s">
        <v>240</v>
      </c>
      <c r="AT3438" s="5" t="s">
        <v>240</v>
      </c>
      <c r="AU3438" s="5" t="s">
        <v>729</v>
      </c>
      <c r="AV3438" s="5" t="s">
        <v>729</v>
      </c>
      <c r="AW3438" s="5" t="s">
        <v>251</v>
      </c>
      <c r="AX3438" s="5" t="s">
        <v>252</v>
      </c>
      <c r="AY3438" s="5" t="s">
        <v>253</v>
      </c>
      <c r="AZ3438" s="5" t="s">
        <v>6046</v>
      </c>
      <c r="BA3438" s="5" t="s">
        <v>255</v>
      </c>
      <c r="BB3438" s="5" t="s">
        <v>731</v>
      </c>
      <c r="BD3438" s="5" t="s">
        <v>240</v>
      </c>
      <c r="BF3438" s="5" t="s">
        <v>732</v>
      </c>
      <c r="BG3438" s="6" t="s">
        <v>733</v>
      </c>
      <c r="BH3438" s="5" t="s">
        <v>734</v>
      </c>
      <c r="BI3438" s="5" t="s">
        <v>734</v>
      </c>
      <c r="BJ3438" s="5" t="s">
        <v>240</v>
      </c>
      <c r="BK3438" s="7">
        <f>1</f>
        <v>1</v>
      </c>
      <c r="BL3438" s="7">
        <f>1</f>
        <v>1</v>
      </c>
      <c r="BM3438" s="5" t="s">
        <v>258</v>
      </c>
      <c r="BN3438" s="5" t="s">
        <v>259</v>
      </c>
      <c r="BO3438" s="5" t="s">
        <v>240</v>
      </c>
      <c r="BP3438" s="5" t="s">
        <v>240</v>
      </c>
      <c r="BQ3438" s="5" t="s">
        <v>240</v>
      </c>
      <c r="BR3438" s="5" t="s">
        <v>240</v>
      </c>
      <c r="BS3438" s="5" t="s">
        <v>240</v>
      </c>
      <c r="BT3438" s="5" t="s">
        <v>240</v>
      </c>
      <c r="BU3438" s="5" t="s">
        <v>240</v>
      </c>
      <c r="BV3438" s="5" t="s">
        <v>240</v>
      </c>
      <c r="BW3438" s="6" t="s">
        <v>240</v>
      </c>
      <c r="BX3438" s="5" t="s">
        <v>240</v>
      </c>
      <c r="BY3438" s="5" t="s">
        <v>240</v>
      </c>
      <c r="BZ3438" s="5" t="s">
        <v>240</v>
      </c>
      <c r="CA3438" s="5" t="s">
        <v>259</v>
      </c>
      <c r="CB3438" s="5" t="s">
        <v>240</v>
      </c>
      <c r="CC3438" s="5" t="s">
        <v>240</v>
      </c>
      <c r="CD3438" s="5" t="s">
        <v>240</v>
      </c>
      <c r="CE3438" s="5" t="s">
        <v>240</v>
      </c>
      <c r="CF3438" s="5" t="s">
        <v>240</v>
      </c>
      <c r="CG3438" s="5" t="s">
        <v>304</v>
      </c>
      <c r="CH3438" s="5" t="s">
        <v>305</v>
      </c>
      <c r="CI3438" s="5" t="s">
        <v>260</v>
      </c>
      <c r="CK3438" s="5" t="s">
        <v>3681</v>
      </c>
      <c r="CL3438" s="6" t="s">
        <v>261</v>
      </c>
      <c r="CM3438" s="5" t="s">
        <v>262</v>
      </c>
      <c r="CN3438" s="5" t="s">
        <v>263</v>
      </c>
      <c r="CO3438" s="5" t="s">
        <v>264</v>
      </c>
      <c r="CP3438" s="5" t="s">
        <v>240</v>
      </c>
      <c r="CQ3438" s="5">
        <v>0</v>
      </c>
      <c r="CR3438" s="5" t="s">
        <v>735</v>
      </c>
      <c r="CS3438" s="5" t="s">
        <v>307</v>
      </c>
      <c r="CT3438" s="5" t="s">
        <v>307</v>
      </c>
      <c r="CU3438" s="5" t="s">
        <v>260</v>
      </c>
      <c r="CV3438" s="5" t="s">
        <v>612</v>
      </c>
      <c r="CW3438" s="8">
        <f>1</f>
        <v>1</v>
      </c>
      <c r="CX3438" s="7">
        <f>1</f>
        <v>1</v>
      </c>
      <c r="CY3438" s="7">
        <f>0</f>
        <v>0</v>
      </c>
      <c r="DA3438" s="7">
        <f>1</f>
        <v>1</v>
      </c>
      <c r="DB3438" s="7" t="s">
        <v>240</v>
      </c>
      <c r="DC3438" s="5" t="s">
        <v>240</v>
      </c>
      <c r="DD3438" s="5" t="s">
        <v>240</v>
      </c>
      <c r="DE3438" s="5" t="s">
        <v>240</v>
      </c>
      <c r="DF3438" s="5" t="s">
        <v>240</v>
      </c>
      <c r="DG3438" s="7">
        <f>0</f>
        <v>0</v>
      </c>
      <c r="DI3438" s="5" t="s">
        <v>240</v>
      </c>
      <c r="DJ3438" s="5" t="s">
        <v>240</v>
      </c>
      <c r="DK3438" s="5" t="s">
        <v>240</v>
      </c>
      <c r="DL3438" s="5" t="s">
        <v>240</v>
      </c>
      <c r="DM3438" s="5" t="s">
        <v>240</v>
      </c>
      <c r="DN3438" s="5" t="s">
        <v>240</v>
      </c>
      <c r="DO3438" s="7" t="s">
        <v>240</v>
      </c>
      <c r="DP3438" s="5" t="s">
        <v>240</v>
      </c>
      <c r="DQ3438" s="5" t="s">
        <v>248</v>
      </c>
      <c r="DR3438" s="5" t="s">
        <v>731</v>
      </c>
      <c r="DS3438" s="5" t="s">
        <v>731</v>
      </c>
      <c r="DT3438" s="5" t="s">
        <v>240</v>
      </c>
      <c r="DU3438" s="5" t="s">
        <v>240</v>
      </c>
      <c r="DV3438" s="5" t="s">
        <v>6047</v>
      </c>
      <c r="DW3438" s="5" t="s">
        <v>705</v>
      </c>
      <c r="DX3438" s="5" t="s">
        <v>240</v>
      </c>
      <c r="DY3438" s="5" t="s">
        <v>240</v>
      </c>
      <c r="DZ3438" s="5" t="s">
        <v>240</v>
      </c>
      <c r="EA3438" s="5" t="s">
        <v>240</v>
      </c>
      <c r="EB3438" s="5" t="s">
        <v>240</v>
      </c>
      <c r="EC3438" s="5" t="s">
        <v>240</v>
      </c>
      <c r="ED3438" s="5" t="s">
        <v>240</v>
      </c>
      <c r="EE3438" s="5" t="s">
        <v>240</v>
      </c>
      <c r="EF3438" s="5" t="s">
        <v>240</v>
      </c>
      <c r="EG3438" s="5" t="s">
        <v>240</v>
      </c>
      <c r="EH3438" s="5" t="s">
        <v>240</v>
      </c>
      <c r="EI3438" s="5" t="s">
        <v>240</v>
      </c>
      <c r="EJ3438" s="5" t="s">
        <v>240</v>
      </c>
      <c r="EK3438" s="5" t="s">
        <v>240</v>
      </c>
      <c r="EL3438" s="5" t="s">
        <v>240</v>
      </c>
      <c r="EM3438" s="5" t="s">
        <v>240</v>
      </c>
      <c r="EN3438" s="5" t="s">
        <v>240</v>
      </c>
      <c r="EO3438" s="5" t="s">
        <v>240</v>
      </c>
      <c r="EP3438" s="5" t="s">
        <v>240</v>
      </c>
      <c r="EQ3438" s="5" t="s">
        <v>240</v>
      </c>
      <c r="ER3438" s="5" t="s">
        <v>240</v>
      </c>
      <c r="ES3438" s="5" t="s">
        <v>240</v>
      </c>
      <c r="ET3438" s="5" t="s">
        <v>240</v>
      </c>
      <c r="EU3438" s="5" t="s">
        <v>240</v>
      </c>
      <c r="EV3438" s="5" t="s">
        <v>240</v>
      </c>
      <c r="EW3438" s="5" t="s">
        <v>240</v>
      </c>
      <c r="EX3438" s="5" t="s">
        <v>240</v>
      </c>
      <c r="EY3438" s="5" t="s">
        <v>240</v>
      </c>
      <c r="EZ3438" s="5" t="s">
        <v>240</v>
      </c>
      <c r="FA3438" s="5" t="s">
        <v>240</v>
      </c>
      <c r="FB3438" s="5" t="s">
        <v>240</v>
      </c>
      <c r="FC3438" s="5" t="s">
        <v>240</v>
      </c>
      <c r="FD3438" s="5" t="s">
        <v>240</v>
      </c>
      <c r="FE3438" s="5" t="s">
        <v>240</v>
      </c>
      <c r="FF3438" s="5" t="s">
        <v>240</v>
      </c>
      <c r="FG3438" s="5" t="s">
        <v>240</v>
      </c>
      <c r="FH3438" s="5" t="s">
        <v>240</v>
      </c>
      <c r="FI3438" s="5" t="s">
        <v>240</v>
      </c>
      <c r="FJ3438" s="5" t="s">
        <v>240</v>
      </c>
      <c r="FK3438" s="5" t="s">
        <v>240</v>
      </c>
      <c r="FL3438" s="5" t="s">
        <v>240</v>
      </c>
      <c r="FM3438" s="5" t="s">
        <v>240</v>
      </c>
      <c r="FN3438" s="5" t="s">
        <v>240</v>
      </c>
      <c r="FO3438" s="5" t="s">
        <v>240</v>
      </c>
      <c r="FP3438" s="5" t="s">
        <v>240</v>
      </c>
      <c r="FQ3438" s="5" t="s">
        <v>240</v>
      </c>
      <c r="FR3438" s="5" t="s">
        <v>240</v>
      </c>
      <c r="FS3438" s="5" t="s">
        <v>240</v>
      </c>
      <c r="FT3438" s="5" t="s">
        <v>240</v>
      </c>
      <c r="FU3438" s="5" t="s">
        <v>240</v>
      </c>
      <c r="FV3438" s="5" t="s">
        <v>240</v>
      </c>
      <c r="FW3438" s="5" t="s">
        <v>240</v>
      </c>
      <c r="FX3438" s="5" t="s">
        <v>240</v>
      </c>
      <c r="FY3438" s="5" t="s">
        <v>240</v>
      </c>
      <c r="FZ3438" s="5" t="s">
        <v>240</v>
      </c>
      <c r="GA3438" s="5" t="s">
        <v>240</v>
      </c>
      <c r="GB3438" s="5" t="s">
        <v>240</v>
      </c>
      <c r="GC3438" s="5" t="s">
        <v>240</v>
      </c>
      <c r="GD3438" s="5" t="s">
        <v>240</v>
      </c>
      <c r="GE3438" s="5" t="s">
        <v>240</v>
      </c>
      <c r="GF3438" s="5" t="s">
        <v>240</v>
      </c>
      <c r="GG3438" s="5" t="s">
        <v>240</v>
      </c>
      <c r="GH3438" s="5" t="s">
        <v>240</v>
      </c>
      <c r="GI3438" s="5" t="s">
        <v>240</v>
      </c>
      <c r="GJ3438" s="5" t="s">
        <v>240</v>
      </c>
      <c r="GK3438" s="5" t="s">
        <v>240</v>
      </c>
      <c r="GL3438" s="5" t="s">
        <v>240</v>
      </c>
      <c r="GM3438" s="5" t="s">
        <v>240</v>
      </c>
      <c r="GN3438" s="5" t="s">
        <v>240</v>
      </c>
      <c r="GO3438" s="5" t="s">
        <v>240</v>
      </c>
      <c r="GP3438" s="5" t="s">
        <v>240</v>
      </c>
      <c r="GQ3438" s="5" t="s">
        <v>240</v>
      </c>
      <c r="GR3438" s="5" t="s">
        <v>240</v>
      </c>
      <c r="GS3438" s="5" t="s">
        <v>240</v>
      </c>
      <c r="GT3438" s="5" t="s">
        <v>240</v>
      </c>
      <c r="GU3438" s="5" t="s">
        <v>240</v>
      </c>
      <c r="GV3438" s="5" t="s">
        <v>240</v>
      </c>
      <c r="GW3438" s="5" t="s">
        <v>240</v>
      </c>
      <c r="GX3438" s="5" t="s">
        <v>240</v>
      </c>
      <c r="GY3438" s="5" t="s">
        <v>240</v>
      </c>
      <c r="GZ3438" s="5" t="s">
        <v>240</v>
      </c>
      <c r="HA3438" s="5" t="s">
        <v>240</v>
      </c>
      <c r="HB3438" s="5" t="s">
        <v>240</v>
      </c>
      <c r="HC3438" s="5" t="s">
        <v>240</v>
      </c>
      <c r="HD3438" s="5" t="s">
        <v>240</v>
      </c>
      <c r="HE3438" s="5" t="s">
        <v>240</v>
      </c>
      <c r="HF3438" s="5" t="s">
        <v>240</v>
      </c>
      <c r="HG3438" s="5" t="s">
        <v>240</v>
      </c>
      <c r="HH3438" s="5" t="s">
        <v>240</v>
      </c>
      <c r="HI3438" s="5" t="s">
        <v>240</v>
      </c>
      <c r="HJ3438" s="5" t="s">
        <v>240</v>
      </c>
      <c r="HK3438" s="5" t="s">
        <v>240</v>
      </c>
      <c r="HL3438" s="5" t="s">
        <v>240</v>
      </c>
      <c r="HM3438" s="5" t="s">
        <v>240</v>
      </c>
      <c r="HN3438" s="5" t="s">
        <v>240</v>
      </c>
      <c r="HO3438" s="5" t="s">
        <v>240</v>
      </c>
      <c r="HP3438" s="5" t="s">
        <v>240</v>
      </c>
      <c r="HQ3438" s="5" t="s">
        <v>240</v>
      </c>
      <c r="HR3438" s="5" t="s">
        <v>240</v>
      </c>
      <c r="HS3438" s="5" t="s">
        <v>240</v>
      </c>
      <c r="HT3438" s="5" t="s">
        <v>240</v>
      </c>
      <c r="HU3438" s="5" t="s">
        <v>240</v>
      </c>
      <c r="HV3438" s="5" t="s">
        <v>240</v>
      </c>
      <c r="HW3438" s="5" t="s">
        <v>240</v>
      </c>
      <c r="HX3438" s="5" t="s">
        <v>240</v>
      </c>
      <c r="HY3438" s="5" t="s">
        <v>240</v>
      </c>
      <c r="HZ3438" s="5" t="s">
        <v>240</v>
      </c>
      <c r="IA3438" s="5" t="s">
        <v>240</v>
      </c>
      <c r="IB3438" s="5" t="s">
        <v>240</v>
      </c>
      <c r="IC3438" s="5" t="s">
        <v>240</v>
      </c>
      <c r="ID3438" s="5" t="s">
        <v>240</v>
      </c>
      <c r="IE3438" s="5" t="s">
        <v>240</v>
      </c>
      <c r="IF3438" s="5" t="s">
        <v>240</v>
      </c>
    </row>
    <row r="3439" spans="1:240" x14ac:dyDescent="0.4">
      <c r="A3439" s="5">
        <v>8981</v>
      </c>
      <c r="B3439" s="5">
        <v>1</v>
      </c>
      <c r="C3439" s="5">
        <v>1</v>
      </c>
      <c r="D3439" s="5" t="s">
        <v>723</v>
      </c>
      <c r="E3439" s="5" t="s">
        <v>418</v>
      </c>
      <c r="F3439" s="5" t="s">
        <v>254</v>
      </c>
      <c r="G3439" s="5" t="s">
        <v>6891</v>
      </c>
      <c r="H3439" s="6" t="s">
        <v>6892</v>
      </c>
      <c r="I3439" s="5" t="s">
        <v>722</v>
      </c>
      <c r="J3439" s="8">
        <f>4769</f>
        <v>4769</v>
      </c>
      <c r="K3439" s="5" t="s">
        <v>308</v>
      </c>
      <c r="L3439" s="7">
        <f>1</f>
        <v>1</v>
      </c>
      <c r="M3439" s="7">
        <f>1</f>
        <v>1</v>
      </c>
      <c r="N3439" s="5" t="s">
        <v>242</v>
      </c>
      <c r="O3439" s="5">
        <v>1</v>
      </c>
      <c r="P3439" s="5" t="s">
        <v>294</v>
      </c>
      <c r="Q3439" s="5" t="s">
        <v>266</v>
      </c>
      <c r="R3439" s="5" t="s">
        <v>240</v>
      </c>
      <c r="S3439" s="5" t="s">
        <v>240</v>
      </c>
      <c r="T3439" s="5" t="s">
        <v>296</v>
      </c>
      <c r="U3439" s="5" t="s">
        <v>244</v>
      </c>
      <c r="V3439" s="5" t="s">
        <v>240</v>
      </c>
      <c r="Y3439" s="5" t="s">
        <v>240</v>
      </c>
      <c r="Z3439" s="6" t="s">
        <v>298</v>
      </c>
      <c r="AB3439" s="6" t="s">
        <v>240</v>
      </c>
      <c r="AE3439" s="6" t="s">
        <v>299</v>
      </c>
      <c r="AF3439" s="5" t="s">
        <v>248</v>
      </c>
      <c r="AG3439" s="5" t="s">
        <v>249</v>
      </c>
      <c r="AW3439" s="5" t="s">
        <v>251</v>
      </c>
      <c r="AX3439" s="5" t="s">
        <v>240</v>
      </c>
      <c r="AY3439" s="5" t="s">
        <v>253</v>
      </c>
      <c r="AZ3439" s="5" t="s">
        <v>240</v>
      </c>
      <c r="BA3439" s="5" t="s">
        <v>255</v>
      </c>
      <c r="BB3439" s="5" t="s">
        <v>240</v>
      </c>
      <c r="BD3439" s="5" t="s">
        <v>240</v>
      </c>
      <c r="BF3439" s="5" t="s">
        <v>301</v>
      </c>
      <c r="BG3439" s="6" t="s">
        <v>299</v>
      </c>
      <c r="BH3439" s="5" t="s">
        <v>302</v>
      </c>
      <c r="BI3439" s="5" t="s">
        <v>303</v>
      </c>
      <c r="BJ3439" s="5" t="s">
        <v>240</v>
      </c>
      <c r="BK3439" s="8">
        <f>0</f>
        <v>0</v>
      </c>
      <c r="BL3439" s="7">
        <f>0</f>
        <v>0</v>
      </c>
      <c r="BM3439" s="5" t="s">
        <v>258</v>
      </c>
      <c r="BN3439" s="5" t="s">
        <v>259</v>
      </c>
      <c r="CB3439" s="5" t="s">
        <v>240</v>
      </c>
      <c r="CC3439" s="5" t="s">
        <v>240</v>
      </c>
      <c r="CG3439" s="5" t="s">
        <v>304</v>
      </c>
      <c r="CH3439" s="5" t="s">
        <v>305</v>
      </c>
      <c r="CI3439" s="5" t="s">
        <v>240</v>
      </c>
      <c r="CL3439" s="6" t="s">
        <v>261</v>
      </c>
      <c r="CM3439" s="5" t="s">
        <v>240</v>
      </c>
      <c r="CN3439" s="5" t="s">
        <v>263</v>
      </c>
      <c r="CO3439" s="5" t="s">
        <v>240</v>
      </c>
      <c r="CP3439" s="5" t="s">
        <v>240</v>
      </c>
      <c r="CQ3439" s="5">
        <v>0</v>
      </c>
      <c r="CR3439" s="5" t="s">
        <v>306</v>
      </c>
      <c r="CS3439" s="5" t="s">
        <v>307</v>
      </c>
      <c r="CT3439" s="5" t="s">
        <v>307</v>
      </c>
      <c r="CU3439" s="5" t="s">
        <v>260</v>
      </c>
      <c r="CX3439" s="7">
        <f>1</f>
        <v>1</v>
      </c>
      <c r="CY3439" s="7">
        <f>0</f>
        <v>0</v>
      </c>
      <c r="DA3439" s="7">
        <f>0</f>
        <v>0</v>
      </c>
      <c r="DC3439" s="5" t="s">
        <v>309</v>
      </c>
      <c r="DD3439" s="5" t="s">
        <v>240</v>
      </c>
      <c r="DF3439" s="5" t="s">
        <v>309</v>
      </c>
      <c r="DG3439" s="7">
        <f>3571</f>
        <v>3571</v>
      </c>
      <c r="DI3439" s="5" t="s">
        <v>240</v>
      </c>
      <c r="DJ3439" s="5" t="s">
        <v>240</v>
      </c>
      <c r="DK3439" s="5" t="s">
        <v>240</v>
      </c>
      <c r="DL3439" s="5" t="s">
        <v>240</v>
      </c>
      <c r="DP3439" s="5" t="s">
        <v>240</v>
      </c>
      <c r="DQ3439" s="5" t="s">
        <v>240</v>
      </c>
      <c r="DR3439" s="5" t="s">
        <v>240</v>
      </c>
      <c r="DS3439" s="5" t="s">
        <v>240</v>
      </c>
      <c r="DV3439" s="5" t="s">
        <v>310</v>
      </c>
      <c r="DW3439" s="5" t="s">
        <v>4097</v>
      </c>
      <c r="HO3439" s="5" t="s">
        <v>312</v>
      </c>
    </row>
    <row r="3440" spans="1:240" x14ac:dyDescent="0.4">
      <c r="A3440" s="5">
        <v>8982</v>
      </c>
      <c r="B3440" s="5">
        <v>1</v>
      </c>
      <c r="C3440" s="5">
        <v>1</v>
      </c>
      <c r="D3440" s="5" t="s">
        <v>723</v>
      </c>
      <c r="E3440" s="5" t="s">
        <v>418</v>
      </c>
      <c r="F3440" s="5" t="s">
        <v>254</v>
      </c>
      <c r="G3440" s="5" t="s">
        <v>726</v>
      </c>
      <c r="H3440" s="6" t="s">
        <v>7045</v>
      </c>
      <c r="I3440" s="5" t="s">
        <v>722</v>
      </c>
      <c r="J3440" s="8">
        <f>4783</f>
        <v>4783</v>
      </c>
      <c r="K3440" s="5" t="s">
        <v>308</v>
      </c>
      <c r="L3440" s="7">
        <f>52613</f>
        <v>52613</v>
      </c>
      <c r="M3440" s="7">
        <f>52613</f>
        <v>52613</v>
      </c>
      <c r="N3440" s="5" t="s">
        <v>242</v>
      </c>
      <c r="O3440" s="5">
        <v>1</v>
      </c>
      <c r="P3440" s="5" t="s">
        <v>294</v>
      </c>
      <c r="Q3440" s="5" t="s">
        <v>240</v>
      </c>
      <c r="R3440" s="5" t="s">
        <v>240</v>
      </c>
      <c r="S3440" s="5" t="s">
        <v>240</v>
      </c>
      <c r="T3440" s="5" t="s">
        <v>243</v>
      </c>
      <c r="U3440" s="5" t="s">
        <v>244</v>
      </c>
      <c r="V3440" s="5" t="s">
        <v>240</v>
      </c>
      <c r="W3440" s="5" t="s">
        <v>240</v>
      </c>
      <c r="X3440" s="5" t="s">
        <v>240</v>
      </c>
      <c r="Y3440" s="5" t="s">
        <v>246</v>
      </c>
      <c r="Z3440" s="6" t="s">
        <v>6096</v>
      </c>
      <c r="AA3440" s="6" t="s">
        <v>240</v>
      </c>
      <c r="AB3440" s="6" t="s">
        <v>240</v>
      </c>
      <c r="AC3440" s="5" t="s">
        <v>240</v>
      </c>
      <c r="AD3440" s="6" t="s">
        <v>240</v>
      </c>
      <c r="AE3440" s="6" t="s">
        <v>240</v>
      </c>
      <c r="AF3440" s="5" t="s">
        <v>248</v>
      </c>
      <c r="AG3440" s="5" t="s">
        <v>249</v>
      </c>
      <c r="AH3440" s="5" t="s">
        <v>240</v>
      </c>
      <c r="AI3440" s="5" t="s">
        <v>240</v>
      </c>
      <c r="AJ3440" s="5" t="s">
        <v>240</v>
      </c>
      <c r="AK3440" s="5" t="s">
        <v>240</v>
      </c>
      <c r="AL3440" s="5" t="s">
        <v>240</v>
      </c>
      <c r="AM3440" s="5" t="s">
        <v>240</v>
      </c>
      <c r="AN3440" s="5" t="s">
        <v>240</v>
      </c>
      <c r="AO3440" s="5" t="s">
        <v>240</v>
      </c>
      <c r="AP3440" s="6" t="s">
        <v>240</v>
      </c>
      <c r="AQ3440" s="6" t="s">
        <v>240</v>
      </c>
      <c r="AR3440" s="6" t="s">
        <v>240</v>
      </c>
      <c r="AS3440" s="6" t="s">
        <v>240</v>
      </c>
      <c r="AT3440" s="5" t="s">
        <v>240</v>
      </c>
      <c r="AU3440" s="5" t="s">
        <v>240</v>
      </c>
      <c r="AV3440" s="5" t="s">
        <v>240</v>
      </c>
      <c r="AW3440" s="5" t="s">
        <v>251</v>
      </c>
      <c r="AX3440" s="5" t="s">
        <v>252</v>
      </c>
      <c r="AY3440" s="5" t="s">
        <v>253</v>
      </c>
      <c r="AZ3440" s="5" t="s">
        <v>240</v>
      </c>
      <c r="BA3440" s="5" t="s">
        <v>255</v>
      </c>
      <c r="BB3440" s="5" t="s">
        <v>240</v>
      </c>
      <c r="BC3440" s="6" t="s">
        <v>240</v>
      </c>
      <c r="BD3440" s="5" t="s">
        <v>240</v>
      </c>
      <c r="BE3440" s="5" t="s">
        <v>240</v>
      </c>
      <c r="BF3440" s="5" t="s">
        <v>256</v>
      </c>
      <c r="BG3440" s="6" t="s">
        <v>6098</v>
      </c>
      <c r="BH3440" s="5" t="s">
        <v>257</v>
      </c>
      <c r="BI3440" s="5" t="s">
        <v>240</v>
      </c>
      <c r="BJ3440" s="5" t="s">
        <v>240</v>
      </c>
      <c r="BK3440" s="7">
        <f>0</f>
        <v>0</v>
      </c>
      <c r="BL3440" s="7">
        <f>1587000</f>
        <v>1587000</v>
      </c>
      <c r="BM3440" s="5" t="s">
        <v>258</v>
      </c>
      <c r="BN3440" s="5" t="s">
        <v>259</v>
      </c>
      <c r="BO3440" s="5" t="s">
        <v>240</v>
      </c>
      <c r="BP3440" s="5" t="s">
        <v>240</v>
      </c>
      <c r="BQ3440" s="5" t="s">
        <v>240</v>
      </c>
      <c r="BR3440" s="5" t="s">
        <v>240</v>
      </c>
      <c r="BS3440" s="5" t="s">
        <v>240</v>
      </c>
      <c r="BT3440" s="5" t="s">
        <v>240</v>
      </c>
      <c r="BU3440" s="5" t="s">
        <v>240</v>
      </c>
      <c r="BV3440" s="5" t="s">
        <v>240</v>
      </c>
      <c r="BW3440" s="6" t="s">
        <v>240</v>
      </c>
      <c r="BX3440" s="5" t="s">
        <v>240</v>
      </c>
      <c r="BY3440" s="5" t="s">
        <v>260</v>
      </c>
      <c r="BZ3440" s="5" t="s">
        <v>260</v>
      </c>
      <c r="CA3440" s="5" t="s">
        <v>259</v>
      </c>
      <c r="CB3440" s="5" t="s">
        <v>240</v>
      </c>
      <c r="CC3440" s="5" t="s">
        <v>240</v>
      </c>
      <c r="CD3440" s="5" t="s">
        <v>240</v>
      </c>
      <c r="CE3440" s="5" t="s">
        <v>240</v>
      </c>
      <c r="CF3440" s="5" t="s">
        <v>240</v>
      </c>
      <c r="CG3440" s="5" t="s">
        <v>240</v>
      </c>
      <c r="CH3440" s="5" t="s">
        <v>240</v>
      </c>
      <c r="CI3440" s="5" t="s">
        <v>240</v>
      </c>
      <c r="CJ3440" s="5" t="s">
        <v>240</v>
      </c>
      <c r="CK3440" s="5" t="s">
        <v>240</v>
      </c>
      <c r="CL3440" s="6" t="s">
        <v>261</v>
      </c>
      <c r="CM3440" s="5" t="s">
        <v>262</v>
      </c>
      <c r="CN3440" s="5" t="s">
        <v>293</v>
      </c>
      <c r="CO3440" s="5" t="s">
        <v>264</v>
      </c>
      <c r="CP3440" s="5" t="s">
        <v>240</v>
      </c>
      <c r="CQ3440" s="5">
        <v>0</v>
      </c>
      <c r="CR3440" s="5" t="s">
        <v>240</v>
      </c>
      <c r="CS3440" s="5" t="s">
        <v>240</v>
      </c>
      <c r="CT3440" s="5" t="s">
        <v>240</v>
      </c>
      <c r="CU3440" s="5" t="s">
        <v>260</v>
      </c>
      <c r="CV3440" s="5" t="s">
        <v>240</v>
      </c>
      <c r="CW3440" s="8">
        <f>0</f>
        <v>0</v>
      </c>
      <c r="CX3440" s="7">
        <f>0</f>
        <v>0</v>
      </c>
      <c r="CY3440" s="7">
        <f>0</f>
        <v>0</v>
      </c>
      <c r="CZ3440" s="7" t="s">
        <v>240</v>
      </c>
      <c r="DA3440" s="7" t="s">
        <v>240</v>
      </c>
      <c r="DB3440" s="7" t="s">
        <v>240</v>
      </c>
      <c r="DC3440" s="5" t="s">
        <v>240</v>
      </c>
      <c r="DD3440" s="5" t="s">
        <v>240</v>
      </c>
      <c r="DE3440" s="5" t="s">
        <v>240</v>
      </c>
      <c r="DF3440" s="5" t="s">
        <v>240</v>
      </c>
      <c r="DG3440" s="7">
        <f>0</f>
        <v>0</v>
      </c>
      <c r="DH3440" s="6" t="s">
        <v>240</v>
      </c>
      <c r="DI3440" s="5" t="s">
        <v>240</v>
      </c>
      <c r="DJ3440" s="5" t="s">
        <v>240</v>
      </c>
      <c r="DK3440" s="5" t="s">
        <v>240</v>
      </c>
      <c r="DL3440" s="5" t="s">
        <v>240</v>
      </c>
      <c r="DM3440" s="5" t="s">
        <v>240</v>
      </c>
      <c r="DN3440" s="5" t="s">
        <v>240</v>
      </c>
      <c r="DO3440" s="7" t="s">
        <v>240</v>
      </c>
      <c r="DP3440" s="5" t="s">
        <v>240</v>
      </c>
      <c r="DQ3440" s="5" t="s">
        <v>240</v>
      </c>
      <c r="DR3440" s="5" t="s">
        <v>240</v>
      </c>
      <c r="DS3440" s="5" t="s">
        <v>240</v>
      </c>
      <c r="DT3440" s="5" t="s">
        <v>240</v>
      </c>
      <c r="DU3440" s="5" t="s">
        <v>240</v>
      </c>
      <c r="DV3440" s="5" t="s">
        <v>240</v>
      </c>
      <c r="DW3440" s="5" t="s">
        <v>240</v>
      </c>
      <c r="DX3440" s="5" t="s">
        <v>240</v>
      </c>
      <c r="DY3440" s="5" t="s">
        <v>240</v>
      </c>
      <c r="DZ3440" s="5" t="s">
        <v>240</v>
      </c>
      <c r="EA3440" s="5" t="s">
        <v>240</v>
      </c>
      <c r="EB3440" s="5" t="s">
        <v>240</v>
      </c>
      <c r="EC3440" s="5" t="s">
        <v>240</v>
      </c>
      <c r="ED3440" s="5" t="s">
        <v>240</v>
      </c>
      <c r="EE3440" s="5" t="s">
        <v>240</v>
      </c>
      <c r="EF3440" s="5" t="s">
        <v>240</v>
      </c>
      <c r="EG3440" s="5" t="s">
        <v>240</v>
      </c>
      <c r="EH3440" s="5" t="s">
        <v>240</v>
      </c>
      <c r="EI3440" s="5" t="s">
        <v>240</v>
      </c>
      <c r="EJ3440" s="5" t="s">
        <v>240</v>
      </c>
      <c r="EK3440" s="5" t="s">
        <v>240</v>
      </c>
      <c r="EL3440" s="5" t="s">
        <v>240</v>
      </c>
      <c r="EM3440" s="5" t="s">
        <v>240</v>
      </c>
      <c r="EN3440" s="5" t="s">
        <v>240</v>
      </c>
      <c r="EO3440" s="5" t="s">
        <v>240</v>
      </c>
      <c r="EP3440" s="5" t="s">
        <v>240</v>
      </c>
      <c r="EQ3440" s="5" t="s">
        <v>240</v>
      </c>
      <c r="ER3440" s="5" t="s">
        <v>240</v>
      </c>
      <c r="ES3440" s="5" t="s">
        <v>240</v>
      </c>
      <c r="ET3440" s="5" t="s">
        <v>240</v>
      </c>
      <c r="EU3440" s="5" t="s">
        <v>240</v>
      </c>
      <c r="EV3440" s="5" t="s">
        <v>240</v>
      </c>
      <c r="EW3440" s="5" t="s">
        <v>240</v>
      </c>
      <c r="EX3440" s="5" t="s">
        <v>240</v>
      </c>
      <c r="EY3440" s="5" t="s">
        <v>240</v>
      </c>
      <c r="EZ3440" s="5" t="s">
        <v>240</v>
      </c>
      <c r="FA3440" s="5" t="s">
        <v>240</v>
      </c>
      <c r="FB3440" s="5" t="s">
        <v>240</v>
      </c>
      <c r="FC3440" s="5" t="s">
        <v>240</v>
      </c>
      <c r="FD3440" s="5" t="s">
        <v>240</v>
      </c>
      <c r="FE3440" s="5" t="s">
        <v>240</v>
      </c>
      <c r="FF3440" s="5" t="s">
        <v>240</v>
      </c>
      <c r="FG3440" s="5" t="s">
        <v>240</v>
      </c>
      <c r="FH3440" s="5" t="s">
        <v>240</v>
      </c>
      <c r="FI3440" s="5" t="s">
        <v>240</v>
      </c>
      <c r="FJ3440" s="5" t="s">
        <v>240</v>
      </c>
      <c r="FK3440" s="5" t="s">
        <v>240</v>
      </c>
      <c r="FL3440" s="5" t="s">
        <v>240</v>
      </c>
      <c r="FM3440" s="5" t="s">
        <v>240</v>
      </c>
      <c r="FN3440" s="5" t="s">
        <v>240</v>
      </c>
      <c r="FO3440" s="5" t="s">
        <v>240</v>
      </c>
      <c r="FP3440" s="5" t="s">
        <v>240</v>
      </c>
      <c r="FQ3440" s="5" t="s">
        <v>240</v>
      </c>
      <c r="FR3440" s="5" t="s">
        <v>240</v>
      </c>
      <c r="FS3440" s="5" t="s">
        <v>240</v>
      </c>
      <c r="FT3440" s="5" t="s">
        <v>240</v>
      </c>
      <c r="FU3440" s="5" t="s">
        <v>240</v>
      </c>
      <c r="FV3440" s="5" t="s">
        <v>240</v>
      </c>
      <c r="FW3440" s="5" t="s">
        <v>240</v>
      </c>
      <c r="FX3440" s="5" t="s">
        <v>240</v>
      </c>
      <c r="FY3440" s="5" t="s">
        <v>240</v>
      </c>
      <c r="FZ3440" s="5" t="s">
        <v>240</v>
      </c>
      <c r="GA3440" s="5" t="s">
        <v>240</v>
      </c>
      <c r="GB3440" s="5" t="s">
        <v>240</v>
      </c>
      <c r="GC3440" s="5" t="s">
        <v>240</v>
      </c>
      <c r="GD3440" s="5" t="s">
        <v>240</v>
      </c>
      <c r="GE3440" s="5" t="s">
        <v>240</v>
      </c>
      <c r="GF3440" s="5" t="s">
        <v>240</v>
      </c>
      <c r="GG3440" s="5" t="s">
        <v>240</v>
      </c>
      <c r="GH3440" s="5" t="s">
        <v>240</v>
      </c>
      <c r="GI3440" s="5" t="s">
        <v>240</v>
      </c>
      <c r="GJ3440" s="5" t="s">
        <v>240</v>
      </c>
      <c r="GK3440" s="5" t="s">
        <v>240</v>
      </c>
      <c r="GL3440" s="5" t="s">
        <v>240</v>
      </c>
      <c r="GM3440" s="5" t="s">
        <v>240</v>
      </c>
      <c r="GN3440" s="5" t="s">
        <v>240</v>
      </c>
      <c r="GO3440" s="5" t="s">
        <v>240</v>
      </c>
      <c r="GP3440" s="5" t="s">
        <v>240</v>
      </c>
      <c r="GQ3440" s="5" t="s">
        <v>240</v>
      </c>
      <c r="GR3440" s="5" t="s">
        <v>240</v>
      </c>
      <c r="GS3440" s="5" t="s">
        <v>240</v>
      </c>
      <c r="GT3440" s="5" t="s">
        <v>240</v>
      </c>
      <c r="GU3440" s="5" t="s">
        <v>240</v>
      </c>
      <c r="GV3440" s="5" t="s">
        <v>240</v>
      </c>
      <c r="GW3440" s="5" t="s">
        <v>240</v>
      </c>
      <c r="GX3440" s="5" t="s">
        <v>240</v>
      </c>
      <c r="GY3440" s="5" t="s">
        <v>240</v>
      </c>
      <c r="GZ3440" s="5" t="s">
        <v>240</v>
      </c>
      <c r="HA3440" s="5" t="s">
        <v>240</v>
      </c>
      <c r="HB3440" s="5" t="s">
        <v>240</v>
      </c>
      <c r="HC3440" s="5" t="s">
        <v>240</v>
      </c>
      <c r="HD3440" s="5" t="s">
        <v>240</v>
      </c>
      <c r="HE3440" s="5" t="s">
        <v>240</v>
      </c>
      <c r="HF3440" s="5" t="s">
        <v>240</v>
      </c>
      <c r="HG3440" s="5" t="s">
        <v>240</v>
      </c>
      <c r="HH3440" s="5" t="s">
        <v>240</v>
      </c>
      <c r="HI3440" s="5" t="s">
        <v>240</v>
      </c>
      <c r="HJ3440" s="5" t="s">
        <v>240</v>
      </c>
      <c r="HK3440" s="5" t="s">
        <v>240</v>
      </c>
      <c r="HL3440" s="5" t="s">
        <v>240</v>
      </c>
      <c r="HM3440" s="5" t="s">
        <v>240</v>
      </c>
      <c r="HN3440" s="5" t="s">
        <v>240</v>
      </c>
      <c r="HO3440" s="5" t="s">
        <v>240</v>
      </c>
      <c r="HP3440" s="5" t="s">
        <v>240</v>
      </c>
      <c r="HQ3440" s="5" t="s">
        <v>240</v>
      </c>
      <c r="HR3440" s="5" t="s">
        <v>240</v>
      </c>
      <c r="HS3440" s="5" t="s">
        <v>240</v>
      </c>
      <c r="HT3440" s="5" t="s">
        <v>240</v>
      </c>
      <c r="HU3440" s="5" t="s">
        <v>240</v>
      </c>
      <c r="HV3440" s="5" t="s">
        <v>240</v>
      </c>
      <c r="HW3440" s="5" t="s">
        <v>240</v>
      </c>
      <c r="HX3440" s="5" t="s">
        <v>240</v>
      </c>
      <c r="HY3440" s="5" t="s">
        <v>240</v>
      </c>
      <c r="HZ3440" s="5" t="s">
        <v>240</v>
      </c>
      <c r="IA3440" s="5" t="s">
        <v>240</v>
      </c>
      <c r="IB3440" s="5" t="s">
        <v>240</v>
      </c>
      <c r="IC3440" s="5" t="s">
        <v>240</v>
      </c>
      <c r="ID3440" s="5" t="s">
        <v>240</v>
      </c>
      <c r="IE3440" s="5" t="s">
        <v>240</v>
      </c>
      <c r="IF3440" s="5" t="s">
        <v>240</v>
      </c>
    </row>
    <row r="3441" spans="1:240" x14ac:dyDescent="0.4">
      <c r="A3441" s="5">
        <v>8983</v>
      </c>
      <c r="B3441" s="5">
        <v>1</v>
      </c>
      <c r="C3441" s="5">
        <v>1</v>
      </c>
      <c r="D3441" s="5" t="s">
        <v>723</v>
      </c>
      <c r="E3441" s="5" t="s">
        <v>418</v>
      </c>
      <c r="F3441" s="5" t="s">
        <v>254</v>
      </c>
      <c r="G3441" s="5" t="s">
        <v>726</v>
      </c>
      <c r="H3441" s="6" t="s">
        <v>7008</v>
      </c>
      <c r="I3441" s="5" t="s">
        <v>722</v>
      </c>
      <c r="J3441" s="8">
        <f>1452</f>
        <v>1452</v>
      </c>
      <c r="K3441" s="5" t="s">
        <v>308</v>
      </c>
      <c r="L3441" s="7">
        <f>15972</f>
        <v>15972</v>
      </c>
      <c r="M3441" s="7">
        <f>15972</f>
        <v>15972</v>
      </c>
      <c r="N3441" s="5" t="s">
        <v>242</v>
      </c>
      <c r="O3441" s="5">
        <v>1</v>
      </c>
      <c r="P3441" s="5" t="s">
        <v>294</v>
      </c>
      <c r="Q3441" s="5" t="s">
        <v>266</v>
      </c>
      <c r="R3441" s="5" t="s">
        <v>240</v>
      </c>
      <c r="S3441" s="5" t="s">
        <v>240</v>
      </c>
      <c r="T3441" s="5" t="s">
        <v>243</v>
      </c>
      <c r="U3441" s="5" t="s">
        <v>240</v>
      </c>
      <c r="V3441" s="5" t="s">
        <v>240</v>
      </c>
      <c r="Y3441" s="5" t="s">
        <v>240</v>
      </c>
      <c r="Z3441" s="6" t="s">
        <v>6100</v>
      </c>
      <c r="AB3441" s="6" t="s">
        <v>240</v>
      </c>
      <c r="AE3441" s="6" t="s">
        <v>747</v>
      </c>
      <c r="AF3441" s="5" t="s">
        <v>248</v>
      </c>
      <c r="AG3441" s="5" t="s">
        <v>249</v>
      </c>
      <c r="AW3441" s="5" t="s">
        <v>251</v>
      </c>
      <c r="AX3441" s="5" t="s">
        <v>240</v>
      </c>
      <c r="AY3441" s="5" t="s">
        <v>253</v>
      </c>
      <c r="AZ3441" s="5" t="s">
        <v>240</v>
      </c>
      <c r="BA3441" s="5" t="s">
        <v>255</v>
      </c>
      <c r="BB3441" s="5" t="s">
        <v>240</v>
      </c>
      <c r="BD3441" s="5" t="s">
        <v>240</v>
      </c>
      <c r="BF3441" s="5" t="s">
        <v>687</v>
      </c>
      <c r="BG3441" s="6" t="s">
        <v>6100</v>
      </c>
      <c r="BH3441" s="5" t="s">
        <v>302</v>
      </c>
      <c r="BI3441" s="5" t="s">
        <v>448</v>
      </c>
      <c r="BJ3441" s="5" t="s">
        <v>240</v>
      </c>
      <c r="BK3441" s="8">
        <f>0</f>
        <v>0</v>
      </c>
      <c r="BL3441" s="7">
        <f>0</f>
        <v>0</v>
      </c>
      <c r="BM3441" s="5" t="s">
        <v>258</v>
      </c>
      <c r="BN3441" s="5" t="s">
        <v>259</v>
      </c>
      <c r="CB3441" s="5" t="s">
        <v>240</v>
      </c>
      <c r="CC3441" s="5" t="s">
        <v>240</v>
      </c>
      <c r="CG3441" s="5" t="s">
        <v>449</v>
      </c>
      <c r="CH3441" s="5" t="s">
        <v>305</v>
      </c>
      <c r="CI3441" s="5" t="s">
        <v>240</v>
      </c>
      <c r="CL3441" s="6" t="s">
        <v>261</v>
      </c>
      <c r="CM3441" s="5" t="s">
        <v>240</v>
      </c>
      <c r="CN3441" s="5" t="s">
        <v>263</v>
      </c>
      <c r="CO3441" s="5" t="s">
        <v>240</v>
      </c>
      <c r="CP3441" s="5" t="s">
        <v>240</v>
      </c>
      <c r="CQ3441" s="5">
        <v>0</v>
      </c>
      <c r="CR3441" s="5" t="s">
        <v>306</v>
      </c>
      <c r="CS3441" s="5" t="s">
        <v>307</v>
      </c>
      <c r="CT3441" s="5" t="s">
        <v>307</v>
      </c>
      <c r="CU3441" s="5" t="s">
        <v>260</v>
      </c>
      <c r="CX3441" s="7">
        <f>625850</f>
        <v>625850</v>
      </c>
      <c r="CY3441" s="7">
        <f>0</f>
        <v>0</v>
      </c>
      <c r="DA3441" s="7">
        <f>0</f>
        <v>0</v>
      </c>
      <c r="DC3441" s="5" t="s">
        <v>450</v>
      </c>
      <c r="DD3441" s="5" t="s">
        <v>240</v>
      </c>
      <c r="DF3441" s="5" t="s">
        <v>450</v>
      </c>
      <c r="DG3441" s="7">
        <f>314.86</f>
        <v>314.86</v>
      </c>
      <c r="DI3441" s="5" t="s">
        <v>240</v>
      </c>
      <c r="DJ3441" s="5" t="s">
        <v>240</v>
      </c>
      <c r="DK3441" s="5" t="s">
        <v>240</v>
      </c>
      <c r="DL3441" s="5" t="s">
        <v>240</v>
      </c>
      <c r="DP3441" s="5" t="s">
        <v>240</v>
      </c>
      <c r="DQ3441" s="5" t="s">
        <v>240</v>
      </c>
      <c r="DR3441" s="5" t="s">
        <v>240</v>
      </c>
      <c r="DS3441" s="5" t="s">
        <v>240</v>
      </c>
      <c r="DV3441" s="5" t="s">
        <v>310</v>
      </c>
      <c r="DW3441" s="5" t="s">
        <v>2383</v>
      </c>
      <c r="HO3441" s="5" t="s">
        <v>312</v>
      </c>
    </row>
    <row r="3442" spans="1:240" x14ac:dyDescent="0.4">
      <c r="A3442" s="5">
        <v>8984</v>
      </c>
      <c r="B3442" s="5">
        <v>1</v>
      </c>
      <c r="C3442" s="5">
        <v>1</v>
      </c>
      <c r="D3442" s="5" t="s">
        <v>723</v>
      </c>
      <c r="E3442" s="5" t="s">
        <v>418</v>
      </c>
      <c r="F3442" s="5" t="s">
        <v>254</v>
      </c>
      <c r="G3442" s="5" t="s">
        <v>726</v>
      </c>
      <c r="H3442" s="6" t="s">
        <v>7171</v>
      </c>
      <c r="I3442" s="5" t="s">
        <v>722</v>
      </c>
      <c r="J3442" s="8">
        <f>1.95</f>
        <v>1.95</v>
      </c>
      <c r="K3442" s="5" t="s">
        <v>308</v>
      </c>
      <c r="L3442" s="7">
        <f>21</f>
        <v>21</v>
      </c>
      <c r="M3442" s="7">
        <f>21</f>
        <v>21</v>
      </c>
      <c r="N3442" s="5" t="s">
        <v>242</v>
      </c>
      <c r="O3442" s="5">
        <v>1</v>
      </c>
      <c r="P3442" s="5" t="s">
        <v>294</v>
      </c>
      <c r="Q3442" s="5" t="s">
        <v>266</v>
      </c>
      <c r="R3442" s="5" t="s">
        <v>240</v>
      </c>
      <c r="S3442" s="5" t="s">
        <v>240</v>
      </c>
      <c r="T3442" s="5" t="s">
        <v>243</v>
      </c>
      <c r="U3442" s="5" t="s">
        <v>240</v>
      </c>
      <c r="V3442" s="5" t="s">
        <v>240</v>
      </c>
      <c r="Y3442" s="5" t="s">
        <v>240</v>
      </c>
      <c r="Z3442" s="6" t="s">
        <v>6103</v>
      </c>
      <c r="AB3442" s="6" t="s">
        <v>240</v>
      </c>
      <c r="AE3442" s="6" t="s">
        <v>444</v>
      </c>
      <c r="AF3442" s="5" t="s">
        <v>248</v>
      </c>
      <c r="AG3442" s="5" t="s">
        <v>249</v>
      </c>
      <c r="AW3442" s="5" t="s">
        <v>251</v>
      </c>
      <c r="AX3442" s="5" t="s">
        <v>240</v>
      </c>
      <c r="AY3442" s="5" t="s">
        <v>253</v>
      </c>
      <c r="AZ3442" s="5" t="s">
        <v>240</v>
      </c>
      <c r="BA3442" s="5" t="s">
        <v>255</v>
      </c>
      <c r="BB3442" s="5" t="s">
        <v>240</v>
      </c>
      <c r="BD3442" s="5" t="s">
        <v>240</v>
      </c>
      <c r="BF3442" s="5" t="s">
        <v>687</v>
      </c>
      <c r="BG3442" s="6" t="s">
        <v>6103</v>
      </c>
      <c r="BH3442" s="5" t="s">
        <v>302</v>
      </c>
      <c r="BI3442" s="5" t="s">
        <v>448</v>
      </c>
      <c r="BJ3442" s="5" t="s">
        <v>240</v>
      </c>
      <c r="BK3442" s="8">
        <f>0</f>
        <v>0</v>
      </c>
      <c r="BL3442" s="7">
        <f>0</f>
        <v>0</v>
      </c>
      <c r="BM3442" s="5" t="s">
        <v>258</v>
      </c>
      <c r="BN3442" s="5" t="s">
        <v>259</v>
      </c>
      <c r="CB3442" s="5" t="s">
        <v>240</v>
      </c>
      <c r="CC3442" s="5" t="s">
        <v>240</v>
      </c>
      <c r="CG3442" s="5" t="s">
        <v>449</v>
      </c>
      <c r="CH3442" s="5" t="s">
        <v>305</v>
      </c>
      <c r="CI3442" s="5" t="s">
        <v>240</v>
      </c>
      <c r="CL3442" s="6" t="s">
        <v>261</v>
      </c>
      <c r="CM3442" s="5" t="s">
        <v>240</v>
      </c>
      <c r="CN3442" s="5" t="s">
        <v>263</v>
      </c>
      <c r="CO3442" s="5" t="s">
        <v>240</v>
      </c>
      <c r="CP3442" s="5" t="s">
        <v>240</v>
      </c>
      <c r="CQ3442" s="5">
        <v>0</v>
      </c>
      <c r="CR3442" s="5" t="s">
        <v>306</v>
      </c>
      <c r="CS3442" s="5" t="s">
        <v>307</v>
      </c>
      <c r="CT3442" s="5" t="s">
        <v>307</v>
      </c>
      <c r="CU3442" s="5" t="s">
        <v>260</v>
      </c>
      <c r="CX3442" s="7">
        <f>24622044</f>
        <v>24622044</v>
      </c>
      <c r="CY3442" s="7">
        <f>0</f>
        <v>0</v>
      </c>
      <c r="DA3442" s="7">
        <f>0</f>
        <v>0</v>
      </c>
      <c r="DC3442" s="5" t="s">
        <v>450</v>
      </c>
      <c r="DD3442" s="5" t="s">
        <v>240</v>
      </c>
      <c r="DF3442" s="5" t="s">
        <v>450</v>
      </c>
      <c r="DG3442" s="7">
        <f>0</f>
        <v>0</v>
      </c>
      <c r="DI3442" s="5" t="s">
        <v>240</v>
      </c>
      <c r="DJ3442" s="5" t="s">
        <v>240</v>
      </c>
      <c r="DK3442" s="5" t="s">
        <v>240</v>
      </c>
      <c r="DL3442" s="5" t="s">
        <v>240</v>
      </c>
      <c r="DP3442" s="5" t="s">
        <v>240</v>
      </c>
      <c r="DQ3442" s="5" t="s">
        <v>240</v>
      </c>
      <c r="DR3442" s="5" t="s">
        <v>240</v>
      </c>
      <c r="DS3442" s="5" t="s">
        <v>240</v>
      </c>
      <c r="DV3442" s="5" t="s">
        <v>310</v>
      </c>
      <c r="DW3442" s="5" t="s">
        <v>2389</v>
      </c>
      <c r="HO3442" s="5" t="s">
        <v>312</v>
      </c>
    </row>
    <row r="3443" spans="1:240" x14ac:dyDescent="0.4">
      <c r="A3443" s="5">
        <v>8985</v>
      </c>
      <c r="B3443" s="5">
        <v>1</v>
      </c>
      <c r="C3443" s="5">
        <v>1</v>
      </c>
      <c r="D3443" s="5" t="s">
        <v>723</v>
      </c>
      <c r="E3443" s="5" t="s">
        <v>851</v>
      </c>
      <c r="F3443" s="5" t="s">
        <v>730</v>
      </c>
      <c r="G3443" s="5" t="s">
        <v>7213</v>
      </c>
      <c r="H3443" s="6" t="s">
        <v>7214</v>
      </c>
      <c r="I3443" s="5" t="s">
        <v>7212</v>
      </c>
      <c r="J3443" s="8">
        <f>6659.06</f>
        <v>6659.06</v>
      </c>
      <c r="K3443" s="5" t="s">
        <v>308</v>
      </c>
      <c r="L3443" s="7">
        <f>73249</f>
        <v>73249</v>
      </c>
      <c r="M3443" s="7">
        <f>73249</f>
        <v>73249</v>
      </c>
      <c r="N3443" s="5" t="s">
        <v>242</v>
      </c>
      <c r="O3443" s="5">
        <v>1</v>
      </c>
      <c r="P3443" s="5" t="s">
        <v>294</v>
      </c>
      <c r="Q3443" s="5" t="s">
        <v>266</v>
      </c>
      <c r="R3443" s="5" t="s">
        <v>240</v>
      </c>
      <c r="S3443" s="5" t="s">
        <v>240</v>
      </c>
      <c r="T3443" s="5" t="s">
        <v>243</v>
      </c>
      <c r="U3443" s="5" t="s">
        <v>240</v>
      </c>
      <c r="V3443" s="5" t="s">
        <v>240</v>
      </c>
      <c r="Y3443" s="5" t="s">
        <v>240</v>
      </c>
      <c r="Z3443" s="6" t="s">
        <v>6021</v>
      </c>
      <c r="AB3443" s="6" t="s">
        <v>240</v>
      </c>
      <c r="AE3443" s="6" t="s">
        <v>444</v>
      </c>
      <c r="AF3443" s="5" t="s">
        <v>248</v>
      </c>
      <c r="AG3443" s="5" t="s">
        <v>249</v>
      </c>
      <c r="AW3443" s="5" t="s">
        <v>251</v>
      </c>
      <c r="AX3443" s="5" t="s">
        <v>240</v>
      </c>
      <c r="AY3443" s="5" t="s">
        <v>253</v>
      </c>
      <c r="AZ3443" s="5" t="s">
        <v>240</v>
      </c>
      <c r="BA3443" s="5" t="s">
        <v>255</v>
      </c>
      <c r="BB3443" s="5" t="s">
        <v>240</v>
      </c>
      <c r="BD3443" s="5" t="s">
        <v>240</v>
      </c>
      <c r="BF3443" s="5" t="s">
        <v>687</v>
      </c>
      <c r="BG3443" s="6" t="s">
        <v>6021</v>
      </c>
      <c r="BH3443" s="5" t="s">
        <v>302</v>
      </c>
      <c r="BI3443" s="5" t="s">
        <v>448</v>
      </c>
      <c r="BJ3443" s="5" t="s">
        <v>240</v>
      </c>
      <c r="BK3443" s="8">
        <f>0</f>
        <v>0</v>
      </c>
      <c r="BL3443" s="7">
        <f>0</f>
        <v>0</v>
      </c>
      <c r="BM3443" s="5" t="s">
        <v>258</v>
      </c>
      <c r="BN3443" s="5" t="s">
        <v>259</v>
      </c>
      <c r="CB3443" s="5" t="s">
        <v>240</v>
      </c>
      <c r="CC3443" s="5" t="s">
        <v>240</v>
      </c>
      <c r="CG3443" s="5" t="s">
        <v>449</v>
      </c>
      <c r="CH3443" s="5" t="s">
        <v>305</v>
      </c>
      <c r="CI3443" s="5" t="s">
        <v>240</v>
      </c>
      <c r="CL3443" s="6" t="s">
        <v>261</v>
      </c>
      <c r="CM3443" s="5" t="s">
        <v>240</v>
      </c>
      <c r="CN3443" s="5" t="s">
        <v>263</v>
      </c>
      <c r="CO3443" s="5" t="s">
        <v>240</v>
      </c>
      <c r="CP3443" s="5" t="s">
        <v>240</v>
      </c>
      <c r="CQ3443" s="5">
        <v>0</v>
      </c>
      <c r="CR3443" s="5" t="s">
        <v>306</v>
      </c>
      <c r="CS3443" s="5" t="s">
        <v>307</v>
      </c>
      <c r="CT3443" s="5" t="s">
        <v>307</v>
      </c>
      <c r="CU3443" s="5" t="s">
        <v>260</v>
      </c>
      <c r="CX3443" s="7">
        <f>2158582</f>
        <v>2158582</v>
      </c>
      <c r="CY3443" s="7">
        <f>0</f>
        <v>0</v>
      </c>
      <c r="DA3443" s="7">
        <f>0</f>
        <v>0</v>
      </c>
      <c r="DC3443" s="5" t="s">
        <v>450</v>
      </c>
      <c r="DD3443" s="5" t="s">
        <v>240</v>
      </c>
      <c r="DF3443" s="5" t="s">
        <v>450</v>
      </c>
      <c r="DG3443" s="7">
        <f>405.69</f>
        <v>405.69</v>
      </c>
      <c r="DI3443" s="5" t="s">
        <v>240</v>
      </c>
      <c r="DJ3443" s="5" t="s">
        <v>240</v>
      </c>
      <c r="DK3443" s="5" t="s">
        <v>240</v>
      </c>
      <c r="DL3443" s="5" t="s">
        <v>240</v>
      </c>
      <c r="DP3443" s="5" t="s">
        <v>240</v>
      </c>
      <c r="DQ3443" s="5" t="s">
        <v>240</v>
      </c>
      <c r="DR3443" s="5" t="s">
        <v>240</v>
      </c>
      <c r="DS3443" s="5" t="s">
        <v>240</v>
      </c>
      <c r="DV3443" s="5" t="s">
        <v>310</v>
      </c>
      <c r="DW3443" s="5" t="s">
        <v>2387</v>
      </c>
      <c r="HO3443" s="5" t="s">
        <v>312</v>
      </c>
    </row>
    <row r="3444" spans="1:240" x14ac:dyDescent="0.4">
      <c r="A3444" s="5">
        <v>8986</v>
      </c>
      <c r="B3444" s="5">
        <v>1</v>
      </c>
      <c r="C3444" s="5">
        <v>1</v>
      </c>
      <c r="D3444" s="5" t="s">
        <v>723</v>
      </c>
      <c r="E3444" s="5" t="s">
        <v>7238</v>
      </c>
      <c r="F3444" s="5" t="s">
        <v>254</v>
      </c>
      <c r="G3444" s="5" t="s">
        <v>726</v>
      </c>
      <c r="H3444" s="6" t="s">
        <v>7239</v>
      </c>
      <c r="I3444" s="5" t="s">
        <v>722</v>
      </c>
      <c r="J3444" s="7">
        <f>1</f>
        <v>1</v>
      </c>
      <c r="K3444" s="5" t="s">
        <v>3682</v>
      </c>
      <c r="L3444" s="7">
        <f>1</f>
        <v>1</v>
      </c>
      <c r="M3444" s="7">
        <f>1</f>
        <v>1</v>
      </c>
      <c r="N3444" s="5" t="s">
        <v>242</v>
      </c>
      <c r="O3444" s="5">
        <v>1</v>
      </c>
      <c r="P3444" s="5" t="s">
        <v>294</v>
      </c>
      <c r="Q3444" s="5" t="s">
        <v>3678</v>
      </c>
      <c r="R3444" s="5" t="s">
        <v>240</v>
      </c>
      <c r="S3444" s="5" t="s">
        <v>240</v>
      </c>
      <c r="T3444" s="5" t="s">
        <v>243</v>
      </c>
      <c r="U3444" s="5" t="s">
        <v>244</v>
      </c>
      <c r="V3444" s="5" t="s">
        <v>240</v>
      </c>
      <c r="W3444" s="5" t="s">
        <v>240</v>
      </c>
      <c r="X3444" s="5" t="s">
        <v>240</v>
      </c>
      <c r="Y3444" s="5" t="s">
        <v>240</v>
      </c>
      <c r="Z3444" s="6" t="s">
        <v>298</v>
      </c>
      <c r="AA3444" s="6" t="s">
        <v>240</v>
      </c>
      <c r="AB3444" s="6" t="s">
        <v>240</v>
      </c>
      <c r="AC3444" s="5" t="s">
        <v>240</v>
      </c>
      <c r="AD3444" s="6" t="s">
        <v>240</v>
      </c>
      <c r="AE3444" s="6" t="s">
        <v>299</v>
      </c>
      <c r="AF3444" s="5" t="s">
        <v>248</v>
      </c>
      <c r="AG3444" s="5" t="s">
        <v>249</v>
      </c>
      <c r="AH3444" s="5" t="s">
        <v>240</v>
      </c>
      <c r="AI3444" s="5" t="s">
        <v>240</v>
      </c>
      <c r="AJ3444" s="5" t="s">
        <v>240</v>
      </c>
      <c r="AK3444" s="5" t="s">
        <v>240</v>
      </c>
      <c r="AL3444" s="5" t="s">
        <v>240</v>
      </c>
      <c r="AM3444" s="5" t="s">
        <v>240</v>
      </c>
      <c r="AN3444" s="5" t="s">
        <v>240</v>
      </c>
      <c r="AO3444" s="5" t="s">
        <v>240</v>
      </c>
      <c r="AP3444" s="6" t="s">
        <v>240</v>
      </c>
      <c r="AQ3444" s="6" t="s">
        <v>240</v>
      </c>
      <c r="AR3444" s="6" t="s">
        <v>240</v>
      </c>
      <c r="AS3444" s="6" t="s">
        <v>240</v>
      </c>
      <c r="AT3444" s="5" t="s">
        <v>240</v>
      </c>
      <c r="AU3444" s="5" t="s">
        <v>729</v>
      </c>
      <c r="AV3444" s="5" t="s">
        <v>729</v>
      </c>
      <c r="AW3444" s="5" t="s">
        <v>251</v>
      </c>
      <c r="AX3444" s="5" t="s">
        <v>252</v>
      </c>
      <c r="AY3444" s="5" t="s">
        <v>253</v>
      </c>
      <c r="AZ3444" s="5" t="s">
        <v>6046</v>
      </c>
      <c r="BA3444" s="5" t="s">
        <v>255</v>
      </c>
      <c r="BB3444" s="5" t="s">
        <v>731</v>
      </c>
      <c r="BD3444" s="5" t="s">
        <v>240</v>
      </c>
      <c r="BF3444" s="5" t="s">
        <v>732</v>
      </c>
      <c r="BG3444" s="6" t="s">
        <v>733</v>
      </c>
      <c r="BH3444" s="5" t="s">
        <v>734</v>
      </c>
      <c r="BI3444" s="5" t="s">
        <v>734</v>
      </c>
      <c r="BJ3444" s="5" t="s">
        <v>240</v>
      </c>
      <c r="BK3444" s="7">
        <f>1</f>
        <v>1</v>
      </c>
      <c r="BL3444" s="7">
        <f>1</f>
        <v>1</v>
      </c>
      <c r="BM3444" s="5" t="s">
        <v>258</v>
      </c>
      <c r="BN3444" s="5" t="s">
        <v>259</v>
      </c>
      <c r="BO3444" s="5" t="s">
        <v>240</v>
      </c>
      <c r="BP3444" s="5" t="s">
        <v>240</v>
      </c>
      <c r="BQ3444" s="5" t="s">
        <v>240</v>
      </c>
      <c r="BR3444" s="5" t="s">
        <v>240</v>
      </c>
      <c r="BS3444" s="5" t="s">
        <v>240</v>
      </c>
      <c r="BT3444" s="5" t="s">
        <v>240</v>
      </c>
      <c r="BU3444" s="5" t="s">
        <v>240</v>
      </c>
      <c r="BV3444" s="5" t="s">
        <v>240</v>
      </c>
      <c r="BW3444" s="6" t="s">
        <v>240</v>
      </c>
      <c r="BX3444" s="5" t="s">
        <v>240</v>
      </c>
      <c r="BY3444" s="5" t="s">
        <v>240</v>
      </c>
      <c r="BZ3444" s="5" t="s">
        <v>240</v>
      </c>
      <c r="CA3444" s="5" t="s">
        <v>259</v>
      </c>
      <c r="CB3444" s="5" t="s">
        <v>240</v>
      </c>
      <c r="CC3444" s="5" t="s">
        <v>240</v>
      </c>
      <c r="CD3444" s="5" t="s">
        <v>240</v>
      </c>
      <c r="CE3444" s="5" t="s">
        <v>240</v>
      </c>
      <c r="CF3444" s="5" t="s">
        <v>240</v>
      </c>
      <c r="CG3444" s="5" t="s">
        <v>304</v>
      </c>
      <c r="CH3444" s="5" t="s">
        <v>305</v>
      </c>
      <c r="CI3444" s="5" t="s">
        <v>260</v>
      </c>
      <c r="CK3444" s="5" t="s">
        <v>3681</v>
      </c>
      <c r="CL3444" s="6" t="s">
        <v>261</v>
      </c>
      <c r="CM3444" s="5" t="s">
        <v>262</v>
      </c>
      <c r="CN3444" s="5" t="s">
        <v>263</v>
      </c>
      <c r="CO3444" s="5" t="s">
        <v>264</v>
      </c>
      <c r="CP3444" s="5" t="s">
        <v>240</v>
      </c>
      <c r="CQ3444" s="5">
        <v>0</v>
      </c>
      <c r="CR3444" s="5" t="s">
        <v>735</v>
      </c>
      <c r="CS3444" s="5" t="s">
        <v>307</v>
      </c>
      <c r="CT3444" s="5" t="s">
        <v>307</v>
      </c>
      <c r="CU3444" s="5" t="s">
        <v>260</v>
      </c>
      <c r="CV3444" s="5" t="s">
        <v>612</v>
      </c>
      <c r="CW3444" s="8">
        <f>1</f>
        <v>1</v>
      </c>
      <c r="CX3444" s="7">
        <f>1</f>
        <v>1</v>
      </c>
      <c r="CY3444" s="7">
        <f>0</f>
        <v>0</v>
      </c>
      <c r="DA3444" s="7">
        <f>1</f>
        <v>1</v>
      </c>
      <c r="DB3444" s="7" t="s">
        <v>240</v>
      </c>
      <c r="DC3444" s="5" t="s">
        <v>240</v>
      </c>
      <c r="DD3444" s="5" t="s">
        <v>240</v>
      </c>
      <c r="DE3444" s="5" t="s">
        <v>240</v>
      </c>
      <c r="DF3444" s="5" t="s">
        <v>240</v>
      </c>
      <c r="DG3444" s="7">
        <f>0</f>
        <v>0</v>
      </c>
      <c r="DI3444" s="5" t="s">
        <v>240</v>
      </c>
      <c r="DJ3444" s="5" t="s">
        <v>240</v>
      </c>
      <c r="DK3444" s="5" t="s">
        <v>240</v>
      </c>
      <c r="DL3444" s="5" t="s">
        <v>240</v>
      </c>
      <c r="DM3444" s="5" t="s">
        <v>240</v>
      </c>
      <c r="DN3444" s="5" t="s">
        <v>240</v>
      </c>
      <c r="DO3444" s="7" t="s">
        <v>240</v>
      </c>
      <c r="DP3444" s="5" t="s">
        <v>240</v>
      </c>
      <c r="DQ3444" s="5" t="s">
        <v>248</v>
      </c>
      <c r="DR3444" s="5" t="s">
        <v>731</v>
      </c>
      <c r="DS3444" s="5" t="s">
        <v>731</v>
      </c>
      <c r="DT3444" s="5" t="s">
        <v>240</v>
      </c>
      <c r="DU3444" s="5" t="s">
        <v>240</v>
      </c>
      <c r="DV3444" s="5" t="s">
        <v>6047</v>
      </c>
      <c r="DW3444" s="5" t="s">
        <v>760</v>
      </c>
      <c r="DX3444" s="5" t="s">
        <v>240</v>
      </c>
      <c r="DY3444" s="5" t="s">
        <v>240</v>
      </c>
      <c r="DZ3444" s="5" t="s">
        <v>240</v>
      </c>
      <c r="EA3444" s="5" t="s">
        <v>240</v>
      </c>
      <c r="EB3444" s="5" t="s">
        <v>240</v>
      </c>
      <c r="EC3444" s="5" t="s">
        <v>240</v>
      </c>
      <c r="ED3444" s="5" t="s">
        <v>240</v>
      </c>
      <c r="EE3444" s="5" t="s">
        <v>240</v>
      </c>
      <c r="EF3444" s="5" t="s">
        <v>240</v>
      </c>
      <c r="EG3444" s="5" t="s">
        <v>240</v>
      </c>
      <c r="EH3444" s="5" t="s">
        <v>240</v>
      </c>
      <c r="EI3444" s="5" t="s">
        <v>240</v>
      </c>
      <c r="EJ3444" s="5" t="s">
        <v>240</v>
      </c>
      <c r="EK3444" s="5" t="s">
        <v>240</v>
      </c>
      <c r="EL3444" s="5" t="s">
        <v>240</v>
      </c>
      <c r="EM3444" s="5" t="s">
        <v>240</v>
      </c>
      <c r="EN3444" s="5" t="s">
        <v>240</v>
      </c>
      <c r="EO3444" s="5" t="s">
        <v>240</v>
      </c>
      <c r="EP3444" s="5" t="s">
        <v>240</v>
      </c>
      <c r="EQ3444" s="5" t="s">
        <v>240</v>
      </c>
      <c r="ER3444" s="5" t="s">
        <v>240</v>
      </c>
      <c r="ES3444" s="5" t="s">
        <v>240</v>
      </c>
      <c r="ET3444" s="5" t="s">
        <v>240</v>
      </c>
      <c r="EU3444" s="5" t="s">
        <v>240</v>
      </c>
      <c r="EV3444" s="5" t="s">
        <v>240</v>
      </c>
      <c r="EW3444" s="5" t="s">
        <v>240</v>
      </c>
      <c r="EX3444" s="5" t="s">
        <v>240</v>
      </c>
      <c r="EY3444" s="5" t="s">
        <v>240</v>
      </c>
      <c r="EZ3444" s="5" t="s">
        <v>240</v>
      </c>
      <c r="FA3444" s="5" t="s">
        <v>240</v>
      </c>
      <c r="FB3444" s="5" t="s">
        <v>240</v>
      </c>
      <c r="FC3444" s="5" t="s">
        <v>240</v>
      </c>
      <c r="FD3444" s="5" t="s">
        <v>240</v>
      </c>
      <c r="FE3444" s="5" t="s">
        <v>240</v>
      </c>
      <c r="FF3444" s="5" t="s">
        <v>240</v>
      </c>
      <c r="FG3444" s="5" t="s">
        <v>240</v>
      </c>
      <c r="FH3444" s="5" t="s">
        <v>240</v>
      </c>
      <c r="FI3444" s="5" t="s">
        <v>240</v>
      </c>
      <c r="FJ3444" s="5" t="s">
        <v>240</v>
      </c>
      <c r="FK3444" s="5" t="s">
        <v>240</v>
      </c>
      <c r="FL3444" s="5" t="s">
        <v>240</v>
      </c>
      <c r="FM3444" s="5" t="s">
        <v>240</v>
      </c>
      <c r="FN3444" s="5" t="s">
        <v>240</v>
      </c>
      <c r="FO3444" s="5" t="s">
        <v>240</v>
      </c>
      <c r="FP3444" s="5" t="s">
        <v>240</v>
      </c>
      <c r="FQ3444" s="5" t="s">
        <v>240</v>
      </c>
      <c r="FR3444" s="5" t="s">
        <v>240</v>
      </c>
      <c r="FS3444" s="5" t="s">
        <v>240</v>
      </c>
      <c r="FT3444" s="5" t="s">
        <v>240</v>
      </c>
      <c r="FU3444" s="5" t="s">
        <v>240</v>
      </c>
      <c r="FV3444" s="5" t="s">
        <v>240</v>
      </c>
      <c r="FW3444" s="5" t="s">
        <v>240</v>
      </c>
      <c r="FX3444" s="5" t="s">
        <v>240</v>
      </c>
      <c r="FY3444" s="5" t="s">
        <v>240</v>
      </c>
      <c r="FZ3444" s="5" t="s">
        <v>240</v>
      </c>
      <c r="GA3444" s="5" t="s">
        <v>240</v>
      </c>
      <c r="GB3444" s="5" t="s">
        <v>240</v>
      </c>
      <c r="GC3444" s="5" t="s">
        <v>240</v>
      </c>
      <c r="GD3444" s="5" t="s">
        <v>240</v>
      </c>
      <c r="GE3444" s="5" t="s">
        <v>240</v>
      </c>
      <c r="GF3444" s="5" t="s">
        <v>240</v>
      </c>
      <c r="GG3444" s="5" t="s">
        <v>240</v>
      </c>
      <c r="GH3444" s="5" t="s">
        <v>240</v>
      </c>
      <c r="GI3444" s="5" t="s">
        <v>240</v>
      </c>
      <c r="GJ3444" s="5" t="s">
        <v>240</v>
      </c>
      <c r="GK3444" s="5" t="s">
        <v>240</v>
      </c>
      <c r="GL3444" s="5" t="s">
        <v>240</v>
      </c>
      <c r="GM3444" s="5" t="s">
        <v>240</v>
      </c>
      <c r="GN3444" s="5" t="s">
        <v>240</v>
      </c>
      <c r="GO3444" s="5" t="s">
        <v>240</v>
      </c>
      <c r="GP3444" s="5" t="s">
        <v>240</v>
      </c>
      <c r="GQ3444" s="5" t="s">
        <v>240</v>
      </c>
      <c r="GR3444" s="5" t="s">
        <v>240</v>
      </c>
      <c r="GS3444" s="5" t="s">
        <v>240</v>
      </c>
      <c r="GT3444" s="5" t="s">
        <v>240</v>
      </c>
      <c r="GU3444" s="5" t="s">
        <v>240</v>
      </c>
      <c r="GV3444" s="5" t="s">
        <v>240</v>
      </c>
      <c r="GW3444" s="5" t="s">
        <v>240</v>
      </c>
      <c r="GX3444" s="5" t="s">
        <v>240</v>
      </c>
      <c r="GY3444" s="5" t="s">
        <v>240</v>
      </c>
      <c r="GZ3444" s="5" t="s">
        <v>240</v>
      </c>
      <c r="HA3444" s="5" t="s">
        <v>240</v>
      </c>
      <c r="HB3444" s="5" t="s">
        <v>240</v>
      </c>
      <c r="HC3444" s="5" t="s">
        <v>240</v>
      </c>
      <c r="HD3444" s="5" t="s">
        <v>240</v>
      </c>
      <c r="HE3444" s="5" t="s">
        <v>240</v>
      </c>
      <c r="HF3444" s="5" t="s">
        <v>240</v>
      </c>
      <c r="HG3444" s="5" t="s">
        <v>240</v>
      </c>
      <c r="HH3444" s="5" t="s">
        <v>240</v>
      </c>
      <c r="HI3444" s="5" t="s">
        <v>240</v>
      </c>
      <c r="HJ3444" s="5" t="s">
        <v>240</v>
      </c>
      <c r="HK3444" s="5" t="s">
        <v>240</v>
      </c>
      <c r="HL3444" s="5" t="s">
        <v>240</v>
      </c>
      <c r="HM3444" s="5" t="s">
        <v>240</v>
      </c>
      <c r="HN3444" s="5" t="s">
        <v>240</v>
      </c>
      <c r="HO3444" s="5" t="s">
        <v>240</v>
      </c>
      <c r="HP3444" s="5" t="s">
        <v>240</v>
      </c>
      <c r="HQ3444" s="5" t="s">
        <v>240</v>
      </c>
      <c r="HR3444" s="5" t="s">
        <v>240</v>
      </c>
      <c r="HS3444" s="5" t="s">
        <v>240</v>
      </c>
      <c r="HT3444" s="5" t="s">
        <v>240</v>
      </c>
      <c r="HU3444" s="5" t="s">
        <v>240</v>
      </c>
      <c r="HV3444" s="5" t="s">
        <v>240</v>
      </c>
      <c r="HW3444" s="5" t="s">
        <v>240</v>
      </c>
      <c r="HX3444" s="5" t="s">
        <v>240</v>
      </c>
      <c r="HY3444" s="5" t="s">
        <v>240</v>
      </c>
      <c r="HZ3444" s="5" t="s">
        <v>240</v>
      </c>
      <c r="IA3444" s="5" t="s">
        <v>240</v>
      </c>
      <c r="IB3444" s="5" t="s">
        <v>240</v>
      </c>
      <c r="IC3444" s="5" t="s">
        <v>240</v>
      </c>
      <c r="ID3444" s="5" t="s">
        <v>240</v>
      </c>
      <c r="IE3444" s="5" t="s">
        <v>240</v>
      </c>
      <c r="IF3444" s="5" t="s">
        <v>240</v>
      </c>
    </row>
    <row r="3445" spans="1:240" x14ac:dyDescent="0.4">
      <c r="A3445" s="5">
        <v>8987</v>
      </c>
      <c r="B3445" s="5">
        <v>1</v>
      </c>
      <c r="C3445" s="5">
        <v>1</v>
      </c>
      <c r="D3445" s="5" t="s">
        <v>723</v>
      </c>
      <c r="E3445" s="5" t="s">
        <v>245</v>
      </c>
      <c r="F3445" s="5" t="s">
        <v>254</v>
      </c>
      <c r="G3445" s="5" t="s">
        <v>726</v>
      </c>
      <c r="H3445" s="6" t="s">
        <v>7076</v>
      </c>
      <c r="I3445" s="5" t="s">
        <v>722</v>
      </c>
      <c r="J3445" s="7">
        <f>1</f>
        <v>1</v>
      </c>
      <c r="K3445" s="5" t="s">
        <v>3682</v>
      </c>
      <c r="L3445" s="7">
        <f>1</f>
        <v>1</v>
      </c>
      <c r="M3445" s="7">
        <f>1</f>
        <v>1</v>
      </c>
      <c r="N3445" s="5" t="s">
        <v>242</v>
      </c>
      <c r="O3445" s="5">
        <v>1</v>
      </c>
      <c r="P3445" s="5" t="s">
        <v>294</v>
      </c>
      <c r="Q3445" s="5" t="s">
        <v>3678</v>
      </c>
      <c r="R3445" s="5" t="s">
        <v>240</v>
      </c>
      <c r="S3445" s="5" t="s">
        <v>240</v>
      </c>
      <c r="T3445" s="5" t="s">
        <v>243</v>
      </c>
      <c r="U3445" s="5" t="s">
        <v>244</v>
      </c>
      <c r="V3445" s="5" t="s">
        <v>240</v>
      </c>
      <c r="W3445" s="5" t="s">
        <v>240</v>
      </c>
      <c r="X3445" s="5" t="s">
        <v>240</v>
      </c>
      <c r="Y3445" s="5" t="s">
        <v>240</v>
      </c>
      <c r="Z3445" s="6" t="s">
        <v>298</v>
      </c>
      <c r="AA3445" s="6" t="s">
        <v>240</v>
      </c>
      <c r="AB3445" s="6" t="s">
        <v>240</v>
      </c>
      <c r="AC3445" s="5" t="s">
        <v>240</v>
      </c>
      <c r="AD3445" s="6" t="s">
        <v>240</v>
      </c>
      <c r="AE3445" s="6" t="s">
        <v>299</v>
      </c>
      <c r="AF3445" s="5" t="s">
        <v>248</v>
      </c>
      <c r="AG3445" s="5" t="s">
        <v>249</v>
      </c>
      <c r="AH3445" s="5" t="s">
        <v>240</v>
      </c>
      <c r="AI3445" s="5" t="s">
        <v>240</v>
      </c>
      <c r="AJ3445" s="5" t="s">
        <v>240</v>
      </c>
      <c r="AK3445" s="5" t="s">
        <v>240</v>
      </c>
      <c r="AL3445" s="5" t="s">
        <v>240</v>
      </c>
      <c r="AM3445" s="5" t="s">
        <v>240</v>
      </c>
      <c r="AN3445" s="5" t="s">
        <v>240</v>
      </c>
      <c r="AO3445" s="5" t="s">
        <v>240</v>
      </c>
      <c r="AP3445" s="6" t="s">
        <v>240</v>
      </c>
      <c r="AQ3445" s="6" t="s">
        <v>240</v>
      </c>
      <c r="AR3445" s="6" t="s">
        <v>240</v>
      </c>
      <c r="AS3445" s="6" t="s">
        <v>240</v>
      </c>
      <c r="AT3445" s="5" t="s">
        <v>240</v>
      </c>
      <c r="AU3445" s="5" t="s">
        <v>729</v>
      </c>
      <c r="AV3445" s="5" t="s">
        <v>729</v>
      </c>
      <c r="AW3445" s="5" t="s">
        <v>251</v>
      </c>
      <c r="AX3445" s="5" t="s">
        <v>252</v>
      </c>
      <c r="AY3445" s="5" t="s">
        <v>253</v>
      </c>
      <c r="AZ3445" s="5" t="s">
        <v>240</v>
      </c>
      <c r="BA3445" s="5" t="s">
        <v>255</v>
      </c>
      <c r="BB3445" s="5" t="s">
        <v>731</v>
      </c>
      <c r="BD3445" s="5" t="s">
        <v>240</v>
      </c>
      <c r="BF3445" s="5" t="s">
        <v>732</v>
      </c>
      <c r="BG3445" s="6" t="s">
        <v>733</v>
      </c>
      <c r="BH3445" s="5" t="s">
        <v>734</v>
      </c>
      <c r="BI3445" s="5" t="s">
        <v>734</v>
      </c>
      <c r="BJ3445" s="5" t="s">
        <v>240</v>
      </c>
      <c r="BK3445" s="7">
        <f>1</f>
        <v>1</v>
      </c>
      <c r="BL3445" s="7">
        <f>1</f>
        <v>1</v>
      </c>
      <c r="BM3445" s="5" t="s">
        <v>258</v>
      </c>
      <c r="BN3445" s="5" t="s">
        <v>259</v>
      </c>
      <c r="BO3445" s="5" t="s">
        <v>240</v>
      </c>
      <c r="BP3445" s="5" t="s">
        <v>240</v>
      </c>
      <c r="BQ3445" s="5" t="s">
        <v>240</v>
      </c>
      <c r="BR3445" s="5" t="s">
        <v>240</v>
      </c>
      <c r="BS3445" s="5" t="s">
        <v>240</v>
      </c>
      <c r="BT3445" s="5" t="s">
        <v>240</v>
      </c>
      <c r="BU3445" s="5" t="s">
        <v>240</v>
      </c>
      <c r="BV3445" s="5" t="s">
        <v>240</v>
      </c>
      <c r="BW3445" s="6" t="s">
        <v>240</v>
      </c>
      <c r="BX3445" s="5" t="s">
        <v>240</v>
      </c>
      <c r="BY3445" s="5" t="s">
        <v>240</v>
      </c>
      <c r="BZ3445" s="5" t="s">
        <v>240</v>
      </c>
      <c r="CA3445" s="5" t="s">
        <v>259</v>
      </c>
      <c r="CB3445" s="5" t="s">
        <v>240</v>
      </c>
      <c r="CC3445" s="5" t="s">
        <v>240</v>
      </c>
      <c r="CD3445" s="5" t="s">
        <v>240</v>
      </c>
      <c r="CE3445" s="5" t="s">
        <v>240</v>
      </c>
      <c r="CF3445" s="5" t="s">
        <v>240</v>
      </c>
      <c r="CG3445" s="5" t="s">
        <v>304</v>
      </c>
      <c r="CH3445" s="5" t="s">
        <v>305</v>
      </c>
      <c r="CI3445" s="5" t="s">
        <v>240</v>
      </c>
      <c r="CK3445" s="5" t="s">
        <v>3681</v>
      </c>
      <c r="CL3445" s="6" t="s">
        <v>261</v>
      </c>
      <c r="CM3445" s="5" t="s">
        <v>262</v>
      </c>
      <c r="CN3445" s="5" t="s">
        <v>263</v>
      </c>
      <c r="CO3445" s="5" t="s">
        <v>264</v>
      </c>
      <c r="CP3445" s="5" t="s">
        <v>240</v>
      </c>
      <c r="CQ3445" s="5">
        <v>0</v>
      </c>
      <c r="CR3445" s="5" t="s">
        <v>735</v>
      </c>
      <c r="CS3445" s="5" t="s">
        <v>307</v>
      </c>
      <c r="CT3445" s="5" t="s">
        <v>307</v>
      </c>
      <c r="CU3445" s="5" t="s">
        <v>260</v>
      </c>
      <c r="CV3445" s="5" t="s">
        <v>612</v>
      </c>
      <c r="CW3445" s="8">
        <f>1</f>
        <v>1</v>
      </c>
      <c r="CX3445" s="7">
        <f>1</f>
        <v>1</v>
      </c>
      <c r="CY3445" s="7">
        <f>0</f>
        <v>0</v>
      </c>
      <c r="DA3445" s="7">
        <f>1</f>
        <v>1</v>
      </c>
      <c r="DB3445" s="7" t="s">
        <v>240</v>
      </c>
      <c r="DC3445" s="5" t="s">
        <v>240</v>
      </c>
      <c r="DD3445" s="5" t="s">
        <v>240</v>
      </c>
      <c r="DE3445" s="5" t="s">
        <v>240</v>
      </c>
      <c r="DF3445" s="5" t="s">
        <v>240</v>
      </c>
      <c r="DG3445" s="7">
        <f>0</f>
        <v>0</v>
      </c>
      <c r="DI3445" s="5" t="s">
        <v>240</v>
      </c>
      <c r="DJ3445" s="5" t="s">
        <v>240</v>
      </c>
      <c r="DK3445" s="5" t="s">
        <v>240</v>
      </c>
      <c r="DL3445" s="5" t="s">
        <v>240</v>
      </c>
      <c r="DM3445" s="5" t="s">
        <v>240</v>
      </c>
      <c r="DN3445" s="5" t="s">
        <v>240</v>
      </c>
      <c r="DO3445" s="7" t="s">
        <v>240</v>
      </c>
      <c r="DP3445" s="5" t="s">
        <v>240</v>
      </c>
      <c r="DQ3445" s="5" t="s">
        <v>240</v>
      </c>
      <c r="DR3445" s="5" t="s">
        <v>731</v>
      </c>
      <c r="DS3445" s="5" t="s">
        <v>731</v>
      </c>
      <c r="DT3445" s="5" t="s">
        <v>240</v>
      </c>
      <c r="DU3445" s="5" t="s">
        <v>240</v>
      </c>
      <c r="DV3445" s="5" t="s">
        <v>5063</v>
      </c>
      <c r="DW3445" s="5" t="s">
        <v>1124</v>
      </c>
      <c r="DX3445" s="5" t="s">
        <v>240</v>
      </c>
      <c r="DY3445" s="5" t="s">
        <v>240</v>
      </c>
      <c r="DZ3445" s="5" t="s">
        <v>240</v>
      </c>
      <c r="EA3445" s="5" t="s">
        <v>240</v>
      </c>
      <c r="EB3445" s="5" t="s">
        <v>240</v>
      </c>
      <c r="EC3445" s="5" t="s">
        <v>240</v>
      </c>
      <c r="ED3445" s="5" t="s">
        <v>240</v>
      </c>
      <c r="EE3445" s="5" t="s">
        <v>240</v>
      </c>
      <c r="EF3445" s="5" t="s">
        <v>240</v>
      </c>
      <c r="EG3445" s="5" t="s">
        <v>240</v>
      </c>
      <c r="EH3445" s="5" t="s">
        <v>240</v>
      </c>
      <c r="EI3445" s="5" t="s">
        <v>240</v>
      </c>
      <c r="EJ3445" s="5" t="s">
        <v>240</v>
      </c>
      <c r="EK3445" s="5" t="s">
        <v>240</v>
      </c>
      <c r="EL3445" s="5" t="s">
        <v>240</v>
      </c>
      <c r="EM3445" s="5" t="s">
        <v>240</v>
      </c>
      <c r="EN3445" s="5" t="s">
        <v>240</v>
      </c>
      <c r="EO3445" s="5" t="s">
        <v>240</v>
      </c>
      <c r="EP3445" s="5" t="s">
        <v>240</v>
      </c>
      <c r="EQ3445" s="5" t="s">
        <v>240</v>
      </c>
      <c r="ER3445" s="5" t="s">
        <v>240</v>
      </c>
      <c r="ES3445" s="5" t="s">
        <v>240</v>
      </c>
      <c r="ET3445" s="5" t="s">
        <v>240</v>
      </c>
      <c r="EU3445" s="5" t="s">
        <v>240</v>
      </c>
      <c r="EV3445" s="5" t="s">
        <v>240</v>
      </c>
      <c r="EW3445" s="5" t="s">
        <v>240</v>
      </c>
      <c r="EX3445" s="5" t="s">
        <v>240</v>
      </c>
      <c r="EY3445" s="5" t="s">
        <v>240</v>
      </c>
      <c r="EZ3445" s="5" t="s">
        <v>240</v>
      </c>
      <c r="FA3445" s="5" t="s">
        <v>240</v>
      </c>
      <c r="FB3445" s="5" t="s">
        <v>240</v>
      </c>
      <c r="FC3445" s="5" t="s">
        <v>240</v>
      </c>
      <c r="FD3445" s="5" t="s">
        <v>240</v>
      </c>
      <c r="FE3445" s="5" t="s">
        <v>240</v>
      </c>
      <c r="FF3445" s="5" t="s">
        <v>240</v>
      </c>
      <c r="FG3445" s="5" t="s">
        <v>240</v>
      </c>
      <c r="FH3445" s="5" t="s">
        <v>240</v>
      </c>
      <c r="FI3445" s="5" t="s">
        <v>240</v>
      </c>
      <c r="FJ3445" s="5" t="s">
        <v>240</v>
      </c>
      <c r="FK3445" s="5" t="s">
        <v>240</v>
      </c>
      <c r="FL3445" s="5" t="s">
        <v>240</v>
      </c>
      <c r="FM3445" s="5" t="s">
        <v>240</v>
      </c>
      <c r="FN3445" s="5" t="s">
        <v>240</v>
      </c>
      <c r="FO3445" s="5" t="s">
        <v>240</v>
      </c>
      <c r="FP3445" s="5" t="s">
        <v>240</v>
      </c>
      <c r="FQ3445" s="5" t="s">
        <v>240</v>
      </c>
      <c r="FR3445" s="5" t="s">
        <v>240</v>
      </c>
      <c r="FS3445" s="5" t="s">
        <v>240</v>
      </c>
      <c r="FT3445" s="5" t="s">
        <v>240</v>
      </c>
      <c r="FU3445" s="5" t="s">
        <v>240</v>
      </c>
      <c r="FV3445" s="5" t="s">
        <v>240</v>
      </c>
      <c r="FW3445" s="5" t="s">
        <v>240</v>
      </c>
      <c r="FX3445" s="5" t="s">
        <v>240</v>
      </c>
      <c r="FY3445" s="5" t="s">
        <v>240</v>
      </c>
      <c r="FZ3445" s="5" t="s">
        <v>240</v>
      </c>
      <c r="GA3445" s="5" t="s">
        <v>240</v>
      </c>
      <c r="GB3445" s="5" t="s">
        <v>240</v>
      </c>
      <c r="GC3445" s="5" t="s">
        <v>240</v>
      </c>
      <c r="GD3445" s="5" t="s">
        <v>240</v>
      </c>
      <c r="GE3445" s="5" t="s">
        <v>240</v>
      </c>
      <c r="GF3445" s="5" t="s">
        <v>240</v>
      </c>
      <c r="GG3445" s="5" t="s">
        <v>240</v>
      </c>
      <c r="GH3445" s="5" t="s">
        <v>240</v>
      </c>
      <c r="GI3445" s="5" t="s">
        <v>240</v>
      </c>
      <c r="GJ3445" s="5" t="s">
        <v>240</v>
      </c>
      <c r="GK3445" s="5" t="s">
        <v>240</v>
      </c>
      <c r="GL3445" s="5" t="s">
        <v>240</v>
      </c>
      <c r="GM3445" s="5" t="s">
        <v>240</v>
      </c>
      <c r="GN3445" s="5" t="s">
        <v>240</v>
      </c>
      <c r="GO3445" s="5" t="s">
        <v>240</v>
      </c>
      <c r="GP3445" s="5" t="s">
        <v>240</v>
      </c>
      <c r="GQ3445" s="5" t="s">
        <v>240</v>
      </c>
      <c r="GR3445" s="5" t="s">
        <v>240</v>
      </c>
      <c r="GS3445" s="5" t="s">
        <v>240</v>
      </c>
      <c r="GT3445" s="5" t="s">
        <v>240</v>
      </c>
      <c r="GU3445" s="5" t="s">
        <v>240</v>
      </c>
      <c r="GV3445" s="5" t="s">
        <v>240</v>
      </c>
      <c r="GW3445" s="5" t="s">
        <v>240</v>
      </c>
      <c r="GX3445" s="5" t="s">
        <v>240</v>
      </c>
      <c r="GY3445" s="5" t="s">
        <v>240</v>
      </c>
      <c r="GZ3445" s="5" t="s">
        <v>240</v>
      </c>
      <c r="HA3445" s="5" t="s">
        <v>240</v>
      </c>
      <c r="HB3445" s="5" t="s">
        <v>240</v>
      </c>
      <c r="HC3445" s="5" t="s">
        <v>240</v>
      </c>
      <c r="HD3445" s="5" t="s">
        <v>240</v>
      </c>
      <c r="HE3445" s="5" t="s">
        <v>240</v>
      </c>
      <c r="HF3445" s="5" t="s">
        <v>240</v>
      </c>
      <c r="HG3445" s="5" t="s">
        <v>240</v>
      </c>
      <c r="HH3445" s="5" t="s">
        <v>240</v>
      </c>
      <c r="HI3445" s="5" t="s">
        <v>240</v>
      </c>
      <c r="HJ3445" s="5" t="s">
        <v>240</v>
      </c>
      <c r="HK3445" s="5" t="s">
        <v>240</v>
      </c>
      <c r="HL3445" s="5" t="s">
        <v>240</v>
      </c>
      <c r="HM3445" s="5" t="s">
        <v>240</v>
      </c>
      <c r="HN3445" s="5" t="s">
        <v>240</v>
      </c>
      <c r="HO3445" s="5" t="s">
        <v>312</v>
      </c>
      <c r="HP3445" s="5" t="s">
        <v>240</v>
      </c>
      <c r="HQ3445" s="5" t="s">
        <v>240</v>
      </c>
      <c r="HR3445" s="5" t="s">
        <v>240</v>
      </c>
      <c r="HS3445" s="5" t="s">
        <v>240</v>
      </c>
      <c r="HT3445" s="5" t="s">
        <v>240</v>
      </c>
      <c r="HU3445" s="5" t="s">
        <v>240</v>
      </c>
      <c r="HV3445" s="5" t="s">
        <v>240</v>
      </c>
      <c r="HW3445" s="5" t="s">
        <v>240</v>
      </c>
      <c r="HX3445" s="5" t="s">
        <v>240</v>
      </c>
      <c r="HY3445" s="5" t="s">
        <v>240</v>
      </c>
      <c r="HZ3445" s="5" t="s">
        <v>240</v>
      </c>
      <c r="IA3445" s="5" t="s">
        <v>240</v>
      </c>
      <c r="IB3445" s="5" t="s">
        <v>240</v>
      </c>
      <c r="IC3445" s="5" t="s">
        <v>240</v>
      </c>
      <c r="ID3445" s="5" t="s">
        <v>240</v>
      </c>
      <c r="IE3445" s="5" t="s">
        <v>240</v>
      </c>
      <c r="IF3445" s="5" t="s">
        <v>240</v>
      </c>
    </row>
    <row r="3446" spans="1:240" x14ac:dyDescent="0.4">
      <c r="A3446" s="5">
        <v>8988</v>
      </c>
      <c r="B3446" s="5">
        <v>1</v>
      </c>
      <c r="C3446" s="5">
        <v>1</v>
      </c>
      <c r="D3446" s="5" t="s">
        <v>723</v>
      </c>
      <c r="E3446" s="5" t="s">
        <v>245</v>
      </c>
      <c r="F3446" s="5" t="s">
        <v>254</v>
      </c>
      <c r="G3446" s="5" t="s">
        <v>726</v>
      </c>
      <c r="H3446" s="6" t="s">
        <v>7155</v>
      </c>
      <c r="I3446" s="5" t="s">
        <v>722</v>
      </c>
      <c r="J3446" s="7">
        <f>1</f>
        <v>1</v>
      </c>
      <c r="K3446" s="5" t="s">
        <v>3682</v>
      </c>
      <c r="L3446" s="7">
        <f>1</f>
        <v>1</v>
      </c>
      <c r="M3446" s="7">
        <f>1</f>
        <v>1</v>
      </c>
      <c r="N3446" s="5" t="s">
        <v>242</v>
      </c>
      <c r="O3446" s="5">
        <v>1</v>
      </c>
      <c r="P3446" s="5" t="s">
        <v>294</v>
      </c>
      <c r="Q3446" s="5" t="s">
        <v>3678</v>
      </c>
      <c r="R3446" s="5" t="s">
        <v>240</v>
      </c>
      <c r="S3446" s="5" t="s">
        <v>240</v>
      </c>
      <c r="T3446" s="5" t="s">
        <v>243</v>
      </c>
      <c r="U3446" s="5" t="s">
        <v>244</v>
      </c>
      <c r="V3446" s="5" t="s">
        <v>240</v>
      </c>
      <c r="W3446" s="5" t="s">
        <v>240</v>
      </c>
      <c r="X3446" s="5" t="s">
        <v>240</v>
      </c>
      <c r="Y3446" s="5" t="s">
        <v>240</v>
      </c>
      <c r="Z3446" s="6" t="s">
        <v>298</v>
      </c>
      <c r="AA3446" s="6" t="s">
        <v>240</v>
      </c>
      <c r="AB3446" s="6" t="s">
        <v>240</v>
      </c>
      <c r="AC3446" s="5" t="s">
        <v>240</v>
      </c>
      <c r="AD3446" s="6" t="s">
        <v>240</v>
      </c>
      <c r="AE3446" s="6" t="s">
        <v>299</v>
      </c>
      <c r="AF3446" s="5" t="s">
        <v>248</v>
      </c>
      <c r="AG3446" s="5" t="s">
        <v>249</v>
      </c>
      <c r="AH3446" s="5" t="s">
        <v>240</v>
      </c>
      <c r="AI3446" s="5" t="s">
        <v>240</v>
      </c>
      <c r="AJ3446" s="5" t="s">
        <v>240</v>
      </c>
      <c r="AK3446" s="5" t="s">
        <v>240</v>
      </c>
      <c r="AL3446" s="5" t="s">
        <v>240</v>
      </c>
      <c r="AM3446" s="5" t="s">
        <v>240</v>
      </c>
      <c r="AN3446" s="5" t="s">
        <v>240</v>
      </c>
      <c r="AO3446" s="5" t="s">
        <v>240</v>
      </c>
      <c r="AP3446" s="6" t="s">
        <v>240</v>
      </c>
      <c r="AQ3446" s="6" t="s">
        <v>240</v>
      </c>
      <c r="AR3446" s="6" t="s">
        <v>240</v>
      </c>
      <c r="AS3446" s="6" t="s">
        <v>240</v>
      </c>
      <c r="AT3446" s="5" t="s">
        <v>240</v>
      </c>
      <c r="AU3446" s="5" t="s">
        <v>729</v>
      </c>
      <c r="AV3446" s="5" t="s">
        <v>729</v>
      </c>
      <c r="AW3446" s="5" t="s">
        <v>251</v>
      </c>
      <c r="AX3446" s="5" t="s">
        <v>252</v>
      </c>
      <c r="AY3446" s="5" t="s">
        <v>253</v>
      </c>
      <c r="AZ3446" s="5" t="s">
        <v>6046</v>
      </c>
      <c r="BA3446" s="5" t="s">
        <v>255</v>
      </c>
      <c r="BB3446" s="5" t="s">
        <v>731</v>
      </c>
      <c r="BD3446" s="5" t="s">
        <v>240</v>
      </c>
      <c r="BF3446" s="5" t="s">
        <v>732</v>
      </c>
      <c r="BG3446" s="6" t="s">
        <v>733</v>
      </c>
      <c r="BH3446" s="5" t="s">
        <v>734</v>
      </c>
      <c r="BI3446" s="5" t="s">
        <v>734</v>
      </c>
      <c r="BJ3446" s="5" t="s">
        <v>240</v>
      </c>
      <c r="BK3446" s="7">
        <f>1</f>
        <v>1</v>
      </c>
      <c r="BL3446" s="7">
        <f>1</f>
        <v>1</v>
      </c>
      <c r="BM3446" s="5" t="s">
        <v>258</v>
      </c>
      <c r="BN3446" s="5" t="s">
        <v>259</v>
      </c>
      <c r="BO3446" s="5" t="s">
        <v>240</v>
      </c>
      <c r="BP3446" s="5" t="s">
        <v>240</v>
      </c>
      <c r="BQ3446" s="5" t="s">
        <v>240</v>
      </c>
      <c r="BR3446" s="5" t="s">
        <v>240</v>
      </c>
      <c r="BS3446" s="5" t="s">
        <v>240</v>
      </c>
      <c r="BT3446" s="5" t="s">
        <v>240</v>
      </c>
      <c r="BU3446" s="5" t="s">
        <v>240</v>
      </c>
      <c r="BV3446" s="5" t="s">
        <v>240</v>
      </c>
      <c r="BW3446" s="6" t="s">
        <v>240</v>
      </c>
      <c r="BX3446" s="5" t="s">
        <v>240</v>
      </c>
      <c r="BY3446" s="5" t="s">
        <v>240</v>
      </c>
      <c r="BZ3446" s="5" t="s">
        <v>240</v>
      </c>
      <c r="CA3446" s="5" t="s">
        <v>259</v>
      </c>
      <c r="CB3446" s="5" t="s">
        <v>240</v>
      </c>
      <c r="CC3446" s="5" t="s">
        <v>240</v>
      </c>
      <c r="CD3446" s="5" t="s">
        <v>240</v>
      </c>
      <c r="CE3446" s="5" t="s">
        <v>240</v>
      </c>
      <c r="CF3446" s="5" t="s">
        <v>240</v>
      </c>
      <c r="CG3446" s="5" t="s">
        <v>304</v>
      </c>
      <c r="CH3446" s="5" t="s">
        <v>305</v>
      </c>
      <c r="CI3446" s="5" t="s">
        <v>260</v>
      </c>
      <c r="CK3446" s="5" t="s">
        <v>3681</v>
      </c>
      <c r="CL3446" s="6" t="s">
        <v>261</v>
      </c>
      <c r="CM3446" s="5" t="s">
        <v>262</v>
      </c>
      <c r="CN3446" s="5" t="s">
        <v>263</v>
      </c>
      <c r="CO3446" s="5" t="s">
        <v>264</v>
      </c>
      <c r="CP3446" s="5" t="s">
        <v>240</v>
      </c>
      <c r="CQ3446" s="5">
        <v>0</v>
      </c>
      <c r="CR3446" s="5" t="s">
        <v>735</v>
      </c>
      <c r="CS3446" s="5" t="s">
        <v>307</v>
      </c>
      <c r="CT3446" s="5" t="s">
        <v>307</v>
      </c>
      <c r="CU3446" s="5" t="s">
        <v>260</v>
      </c>
      <c r="CV3446" s="5" t="s">
        <v>612</v>
      </c>
      <c r="CW3446" s="8">
        <f>1</f>
        <v>1</v>
      </c>
      <c r="CX3446" s="7">
        <f>1</f>
        <v>1</v>
      </c>
      <c r="CY3446" s="7">
        <f>0</f>
        <v>0</v>
      </c>
      <c r="DA3446" s="7">
        <f>1</f>
        <v>1</v>
      </c>
      <c r="DB3446" s="7" t="s">
        <v>240</v>
      </c>
      <c r="DC3446" s="5" t="s">
        <v>240</v>
      </c>
      <c r="DD3446" s="5" t="s">
        <v>240</v>
      </c>
      <c r="DE3446" s="5" t="s">
        <v>240</v>
      </c>
      <c r="DF3446" s="5" t="s">
        <v>240</v>
      </c>
      <c r="DG3446" s="7">
        <f>0</f>
        <v>0</v>
      </c>
      <c r="DI3446" s="5" t="s">
        <v>240</v>
      </c>
      <c r="DJ3446" s="5" t="s">
        <v>240</v>
      </c>
      <c r="DK3446" s="5" t="s">
        <v>240</v>
      </c>
      <c r="DL3446" s="5" t="s">
        <v>240</v>
      </c>
      <c r="DM3446" s="5" t="s">
        <v>240</v>
      </c>
      <c r="DN3446" s="5" t="s">
        <v>240</v>
      </c>
      <c r="DO3446" s="7" t="s">
        <v>240</v>
      </c>
      <c r="DP3446" s="5" t="s">
        <v>240</v>
      </c>
      <c r="DQ3446" s="5" t="s">
        <v>248</v>
      </c>
      <c r="DR3446" s="5" t="s">
        <v>731</v>
      </c>
      <c r="DS3446" s="5" t="s">
        <v>731</v>
      </c>
      <c r="DT3446" s="5" t="s">
        <v>240</v>
      </c>
      <c r="DU3446" s="5" t="s">
        <v>240</v>
      </c>
      <c r="DV3446" s="5" t="s">
        <v>6047</v>
      </c>
      <c r="DW3446" s="5" t="s">
        <v>707</v>
      </c>
      <c r="DX3446" s="5" t="s">
        <v>240</v>
      </c>
      <c r="DY3446" s="5" t="s">
        <v>240</v>
      </c>
      <c r="DZ3446" s="5" t="s">
        <v>240</v>
      </c>
      <c r="EA3446" s="5" t="s">
        <v>240</v>
      </c>
      <c r="EB3446" s="5" t="s">
        <v>240</v>
      </c>
      <c r="EC3446" s="5" t="s">
        <v>240</v>
      </c>
      <c r="ED3446" s="5" t="s">
        <v>240</v>
      </c>
      <c r="EE3446" s="5" t="s">
        <v>240</v>
      </c>
      <c r="EF3446" s="5" t="s">
        <v>240</v>
      </c>
      <c r="EG3446" s="5" t="s">
        <v>240</v>
      </c>
      <c r="EH3446" s="5" t="s">
        <v>240</v>
      </c>
      <c r="EI3446" s="5" t="s">
        <v>240</v>
      </c>
      <c r="EJ3446" s="5" t="s">
        <v>240</v>
      </c>
      <c r="EK3446" s="5" t="s">
        <v>240</v>
      </c>
      <c r="EL3446" s="5" t="s">
        <v>240</v>
      </c>
      <c r="EM3446" s="5" t="s">
        <v>240</v>
      </c>
      <c r="EN3446" s="5" t="s">
        <v>240</v>
      </c>
      <c r="EO3446" s="5" t="s">
        <v>240</v>
      </c>
      <c r="EP3446" s="5" t="s">
        <v>240</v>
      </c>
      <c r="EQ3446" s="5" t="s">
        <v>240</v>
      </c>
      <c r="ER3446" s="5" t="s">
        <v>240</v>
      </c>
      <c r="ES3446" s="5" t="s">
        <v>240</v>
      </c>
      <c r="ET3446" s="5" t="s">
        <v>240</v>
      </c>
      <c r="EU3446" s="5" t="s">
        <v>240</v>
      </c>
      <c r="EV3446" s="5" t="s">
        <v>240</v>
      </c>
      <c r="EW3446" s="5" t="s">
        <v>240</v>
      </c>
      <c r="EX3446" s="5" t="s">
        <v>240</v>
      </c>
      <c r="EY3446" s="5" t="s">
        <v>240</v>
      </c>
      <c r="EZ3446" s="5" t="s">
        <v>240</v>
      </c>
      <c r="FA3446" s="5" t="s">
        <v>240</v>
      </c>
      <c r="FB3446" s="5" t="s">
        <v>240</v>
      </c>
      <c r="FC3446" s="5" t="s">
        <v>240</v>
      </c>
      <c r="FD3446" s="5" t="s">
        <v>240</v>
      </c>
      <c r="FE3446" s="5" t="s">
        <v>240</v>
      </c>
      <c r="FF3446" s="5" t="s">
        <v>240</v>
      </c>
      <c r="FG3446" s="5" t="s">
        <v>240</v>
      </c>
      <c r="FH3446" s="5" t="s">
        <v>240</v>
      </c>
      <c r="FI3446" s="5" t="s">
        <v>240</v>
      </c>
      <c r="FJ3446" s="5" t="s">
        <v>240</v>
      </c>
      <c r="FK3446" s="5" t="s">
        <v>240</v>
      </c>
      <c r="FL3446" s="5" t="s">
        <v>240</v>
      </c>
      <c r="FM3446" s="5" t="s">
        <v>240</v>
      </c>
      <c r="FN3446" s="5" t="s">
        <v>240</v>
      </c>
      <c r="FO3446" s="5" t="s">
        <v>240</v>
      </c>
      <c r="FP3446" s="5" t="s">
        <v>240</v>
      </c>
      <c r="FQ3446" s="5" t="s">
        <v>240</v>
      </c>
      <c r="FR3446" s="5" t="s">
        <v>240</v>
      </c>
      <c r="FS3446" s="5" t="s">
        <v>240</v>
      </c>
      <c r="FT3446" s="5" t="s">
        <v>240</v>
      </c>
      <c r="FU3446" s="5" t="s">
        <v>240</v>
      </c>
      <c r="FV3446" s="5" t="s">
        <v>240</v>
      </c>
      <c r="FW3446" s="5" t="s">
        <v>240</v>
      </c>
      <c r="FX3446" s="5" t="s">
        <v>240</v>
      </c>
      <c r="FY3446" s="5" t="s">
        <v>240</v>
      </c>
      <c r="FZ3446" s="5" t="s">
        <v>240</v>
      </c>
      <c r="GA3446" s="5" t="s">
        <v>240</v>
      </c>
      <c r="GB3446" s="5" t="s">
        <v>240</v>
      </c>
      <c r="GC3446" s="5" t="s">
        <v>240</v>
      </c>
      <c r="GD3446" s="5" t="s">
        <v>240</v>
      </c>
      <c r="GE3446" s="5" t="s">
        <v>240</v>
      </c>
      <c r="GF3446" s="5" t="s">
        <v>240</v>
      </c>
      <c r="GG3446" s="5" t="s">
        <v>240</v>
      </c>
      <c r="GH3446" s="5" t="s">
        <v>240</v>
      </c>
      <c r="GI3446" s="5" t="s">
        <v>240</v>
      </c>
      <c r="GJ3446" s="5" t="s">
        <v>240</v>
      </c>
      <c r="GK3446" s="5" t="s">
        <v>240</v>
      </c>
      <c r="GL3446" s="5" t="s">
        <v>240</v>
      </c>
      <c r="GM3446" s="5" t="s">
        <v>240</v>
      </c>
      <c r="GN3446" s="5" t="s">
        <v>240</v>
      </c>
      <c r="GO3446" s="5" t="s">
        <v>240</v>
      </c>
      <c r="GP3446" s="5" t="s">
        <v>240</v>
      </c>
      <c r="GQ3446" s="5" t="s">
        <v>240</v>
      </c>
      <c r="GR3446" s="5" t="s">
        <v>240</v>
      </c>
      <c r="GS3446" s="5" t="s">
        <v>240</v>
      </c>
      <c r="GT3446" s="5" t="s">
        <v>240</v>
      </c>
      <c r="GU3446" s="5" t="s">
        <v>240</v>
      </c>
      <c r="GV3446" s="5" t="s">
        <v>240</v>
      </c>
      <c r="GW3446" s="5" t="s">
        <v>240</v>
      </c>
      <c r="GX3446" s="5" t="s">
        <v>240</v>
      </c>
      <c r="GY3446" s="5" t="s">
        <v>240</v>
      </c>
      <c r="GZ3446" s="5" t="s">
        <v>240</v>
      </c>
      <c r="HA3446" s="5" t="s">
        <v>240</v>
      </c>
      <c r="HB3446" s="5" t="s">
        <v>240</v>
      </c>
      <c r="HC3446" s="5" t="s">
        <v>240</v>
      </c>
      <c r="HD3446" s="5" t="s">
        <v>240</v>
      </c>
      <c r="HE3446" s="5" t="s">
        <v>240</v>
      </c>
      <c r="HF3446" s="5" t="s">
        <v>240</v>
      </c>
      <c r="HG3446" s="5" t="s">
        <v>240</v>
      </c>
      <c r="HH3446" s="5" t="s">
        <v>240</v>
      </c>
      <c r="HI3446" s="5" t="s">
        <v>240</v>
      </c>
      <c r="HJ3446" s="5" t="s">
        <v>240</v>
      </c>
      <c r="HK3446" s="5" t="s">
        <v>240</v>
      </c>
      <c r="HL3446" s="5" t="s">
        <v>240</v>
      </c>
      <c r="HM3446" s="5" t="s">
        <v>240</v>
      </c>
      <c r="HN3446" s="5" t="s">
        <v>240</v>
      </c>
      <c r="HO3446" s="5" t="s">
        <v>240</v>
      </c>
      <c r="HP3446" s="5" t="s">
        <v>240</v>
      </c>
      <c r="HQ3446" s="5" t="s">
        <v>240</v>
      </c>
      <c r="HR3446" s="5" t="s">
        <v>240</v>
      </c>
      <c r="HS3446" s="5" t="s">
        <v>240</v>
      </c>
      <c r="HT3446" s="5" t="s">
        <v>240</v>
      </c>
      <c r="HU3446" s="5" t="s">
        <v>240</v>
      </c>
      <c r="HV3446" s="5" t="s">
        <v>240</v>
      </c>
      <c r="HW3446" s="5" t="s">
        <v>240</v>
      </c>
      <c r="HX3446" s="5" t="s">
        <v>240</v>
      </c>
      <c r="HY3446" s="5" t="s">
        <v>240</v>
      </c>
      <c r="HZ3446" s="5" t="s">
        <v>240</v>
      </c>
      <c r="IA3446" s="5" t="s">
        <v>240</v>
      </c>
      <c r="IB3446" s="5" t="s">
        <v>240</v>
      </c>
      <c r="IC3446" s="5" t="s">
        <v>240</v>
      </c>
      <c r="ID3446" s="5" t="s">
        <v>240</v>
      </c>
      <c r="IE3446" s="5" t="s">
        <v>240</v>
      </c>
      <c r="IF3446" s="5" t="s">
        <v>240</v>
      </c>
    </row>
    <row r="3447" spans="1:240" x14ac:dyDescent="0.4">
      <c r="A3447" s="5">
        <v>8989</v>
      </c>
      <c r="B3447" s="5">
        <v>1</v>
      </c>
      <c r="C3447" s="5">
        <v>1</v>
      </c>
      <c r="D3447" s="5" t="s">
        <v>723</v>
      </c>
      <c r="E3447" s="5" t="s">
        <v>245</v>
      </c>
      <c r="F3447" s="5" t="s">
        <v>254</v>
      </c>
      <c r="G3447" s="5" t="s">
        <v>726</v>
      </c>
      <c r="H3447" s="6" t="s">
        <v>7152</v>
      </c>
      <c r="I3447" s="5" t="s">
        <v>722</v>
      </c>
      <c r="J3447" s="7">
        <f>1</f>
        <v>1</v>
      </c>
      <c r="K3447" s="5" t="s">
        <v>3682</v>
      </c>
      <c r="L3447" s="7">
        <f>1</f>
        <v>1</v>
      </c>
      <c r="M3447" s="7">
        <f>1</f>
        <v>1</v>
      </c>
      <c r="N3447" s="5" t="s">
        <v>242</v>
      </c>
      <c r="O3447" s="5">
        <v>1</v>
      </c>
      <c r="P3447" s="5" t="s">
        <v>294</v>
      </c>
      <c r="Q3447" s="5" t="s">
        <v>3678</v>
      </c>
      <c r="R3447" s="5" t="s">
        <v>240</v>
      </c>
      <c r="S3447" s="5" t="s">
        <v>240</v>
      </c>
      <c r="T3447" s="5" t="s">
        <v>243</v>
      </c>
      <c r="U3447" s="5" t="s">
        <v>244</v>
      </c>
      <c r="V3447" s="5" t="s">
        <v>240</v>
      </c>
      <c r="W3447" s="5" t="s">
        <v>240</v>
      </c>
      <c r="X3447" s="5" t="s">
        <v>240</v>
      </c>
      <c r="Y3447" s="5" t="s">
        <v>240</v>
      </c>
      <c r="Z3447" s="6" t="s">
        <v>298</v>
      </c>
      <c r="AA3447" s="6" t="s">
        <v>240</v>
      </c>
      <c r="AB3447" s="6" t="s">
        <v>240</v>
      </c>
      <c r="AC3447" s="5" t="s">
        <v>240</v>
      </c>
      <c r="AD3447" s="6" t="s">
        <v>240</v>
      </c>
      <c r="AE3447" s="6" t="s">
        <v>299</v>
      </c>
      <c r="AF3447" s="5" t="s">
        <v>248</v>
      </c>
      <c r="AG3447" s="5" t="s">
        <v>249</v>
      </c>
      <c r="AH3447" s="5" t="s">
        <v>240</v>
      </c>
      <c r="AI3447" s="5" t="s">
        <v>240</v>
      </c>
      <c r="AJ3447" s="5" t="s">
        <v>240</v>
      </c>
      <c r="AK3447" s="5" t="s">
        <v>240</v>
      </c>
      <c r="AL3447" s="5" t="s">
        <v>240</v>
      </c>
      <c r="AM3447" s="5" t="s">
        <v>240</v>
      </c>
      <c r="AN3447" s="5" t="s">
        <v>240</v>
      </c>
      <c r="AO3447" s="5" t="s">
        <v>240</v>
      </c>
      <c r="AP3447" s="6" t="s">
        <v>240</v>
      </c>
      <c r="AQ3447" s="6" t="s">
        <v>240</v>
      </c>
      <c r="AR3447" s="6" t="s">
        <v>240</v>
      </c>
      <c r="AS3447" s="6" t="s">
        <v>240</v>
      </c>
      <c r="AT3447" s="5" t="s">
        <v>240</v>
      </c>
      <c r="AU3447" s="5" t="s">
        <v>729</v>
      </c>
      <c r="AV3447" s="5" t="s">
        <v>729</v>
      </c>
      <c r="AW3447" s="5" t="s">
        <v>251</v>
      </c>
      <c r="AX3447" s="5" t="s">
        <v>252</v>
      </c>
      <c r="AY3447" s="5" t="s">
        <v>253</v>
      </c>
      <c r="AZ3447" s="5" t="s">
        <v>6046</v>
      </c>
      <c r="BA3447" s="5" t="s">
        <v>255</v>
      </c>
      <c r="BB3447" s="5" t="s">
        <v>731</v>
      </c>
      <c r="BD3447" s="5" t="s">
        <v>240</v>
      </c>
      <c r="BF3447" s="5" t="s">
        <v>732</v>
      </c>
      <c r="BG3447" s="6" t="s">
        <v>733</v>
      </c>
      <c r="BH3447" s="5" t="s">
        <v>734</v>
      </c>
      <c r="BI3447" s="5" t="s">
        <v>734</v>
      </c>
      <c r="BJ3447" s="5" t="s">
        <v>240</v>
      </c>
      <c r="BK3447" s="7">
        <f>1</f>
        <v>1</v>
      </c>
      <c r="BL3447" s="7">
        <f>1</f>
        <v>1</v>
      </c>
      <c r="BM3447" s="5" t="s">
        <v>258</v>
      </c>
      <c r="BN3447" s="5" t="s">
        <v>259</v>
      </c>
      <c r="BO3447" s="5" t="s">
        <v>240</v>
      </c>
      <c r="BP3447" s="5" t="s">
        <v>240</v>
      </c>
      <c r="BQ3447" s="5" t="s">
        <v>240</v>
      </c>
      <c r="BR3447" s="5" t="s">
        <v>240</v>
      </c>
      <c r="BS3447" s="5" t="s">
        <v>240</v>
      </c>
      <c r="BT3447" s="5" t="s">
        <v>240</v>
      </c>
      <c r="BU3447" s="5" t="s">
        <v>240</v>
      </c>
      <c r="BV3447" s="5" t="s">
        <v>240</v>
      </c>
      <c r="BW3447" s="6" t="s">
        <v>240</v>
      </c>
      <c r="BX3447" s="5" t="s">
        <v>240</v>
      </c>
      <c r="BY3447" s="5" t="s">
        <v>240</v>
      </c>
      <c r="BZ3447" s="5" t="s">
        <v>240</v>
      </c>
      <c r="CA3447" s="5" t="s">
        <v>259</v>
      </c>
      <c r="CB3447" s="5" t="s">
        <v>240</v>
      </c>
      <c r="CC3447" s="5" t="s">
        <v>240</v>
      </c>
      <c r="CD3447" s="5" t="s">
        <v>240</v>
      </c>
      <c r="CE3447" s="5" t="s">
        <v>240</v>
      </c>
      <c r="CF3447" s="5" t="s">
        <v>240</v>
      </c>
      <c r="CG3447" s="5" t="s">
        <v>304</v>
      </c>
      <c r="CH3447" s="5" t="s">
        <v>305</v>
      </c>
      <c r="CI3447" s="5" t="s">
        <v>260</v>
      </c>
      <c r="CK3447" s="5" t="s">
        <v>3681</v>
      </c>
      <c r="CL3447" s="6" t="s">
        <v>261</v>
      </c>
      <c r="CM3447" s="5" t="s">
        <v>262</v>
      </c>
      <c r="CN3447" s="5" t="s">
        <v>263</v>
      </c>
      <c r="CO3447" s="5" t="s">
        <v>264</v>
      </c>
      <c r="CP3447" s="5" t="s">
        <v>240</v>
      </c>
      <c r="CQ3447" s="5">
        <v>0</v>
      </c>
      <c r="CR3447" s="5" t="s">
        <v>735</v>
      </c>
      <c r="CS3447" s="5" t="s">
        <v>307</v>
      </c>
      <c r="CT3447" s="5" t="s">
        <v>307</v>
      </c>
      <c r="CU3447" s="5" t="s">
        <v>260</v>
      </c>
      <c r="CV3447" s="5" t="s">
        <v>612</v>
      </c>
      <c r="CW3447" s="8">
        <f>1</f>
        <v>1</v>
      </c>
      <c r="CX3447" s="7">
        <f>1</f>
        <v>1</v>
      </c>
      <c r="CY3447" s="7">
        <f>0</f>
        <v>0</v>
      </c>
      <c r="DA3447" s="7">
        <f>1</f>
        <v>1</v>
      </c>
      <c r="DB3447" s="7" t="s">
        <v>240</v>
      </c>
      <c r="DC3447" s="5" t="s">
        <v>240</v>
      </c>
      <c r="DD3447" s="5" t="s">
        <v>240</v>
      </c>
      <c r="DE3447" s="5" t="s">
        <v>240</v>
      </c>
      <c r="DF3447" s="5" t="s">
        <v>240</v>
      </c>
      <c r="DG3447" s="7">
        <f>0</f>
        <v>0</v>
      </c>
      <c r="DI3447" s="5" t="s">
        <v>240</v>
      </c>
      <c r="DJ3447" s="5" t="s">
        <v>240</v>
      </c>
      <c r="DK3447" s="5" t="s">
        <v>240</v>
      </c>
      <c r="DL3447" s="5" t="s">
        <v>240</v>
      </c>
      <c r="DM3447" s="5" t="s">
        <v>240</v>
      </c>
      <c r="DN3447" s="5" t="s">
        <v>240</v>
      </c>
      <c r="DO3447" s="7" t="s">
        <v>240</v>
      </c>
      <c r="DP3447" s="5" t="s">
        <v>240</v>
      </c>
      <c r="DQ3447" s="5" t="s">
        <v>248</v>
      </c>
      <c r="DR3447" s="5" t="s">
        <v>731</v>
      </c>
      <c r="DS3447" s="5" t="s">
        <v>731</v>
      </c>
      <c r="DT3447" s="5" t="s">
        <v>240</v>
      </c>
      <c r="DU3447" s="5" t="s">
        <v>240</v>
      </c>
      <c r="DV3447" s="5" t="s">
        <v>6047</v>
      </c>
      <c r="DW3447" s="5" t="s">
        <v>758</v>
      </c>
      <c r="DX3447" s="5" t="s">
        <v>240</v>
      </c>
      <c r="DY3447" s="5" t="s">
        <v>240</v>
      </c>
      <c r="DZ3447" s="5" t="s">
        <v>240</v>
      </c>
      <c r="EA3447" s="5" t="s">
        <v>240</v>
      </c>
      <c r="EB3447" s="5" t="s">
        <v>240</v>
      </c>
      <c r="EC3447" s="5" t="s">
        <v>240</v>
      </c>
      <c r="ED3447" s="5" t="s">
        <v>240</v>
      </c>
      <c r="EE3447" s="5" t="s">
        <v>240</v>
      </c>
      <c r="EF3447" s="5" t="s">
        <v>240</v>
      </c>
      <c r="EG3447" s="5" t="s">
        <v>240</v>
      </c>
      <c r="EH3447" s="5" t="s">
        <v>240</v>
      </c>
      <c r="EI3447" s="5" t="s">
        <v>240</v>
      </c>
      <c r="EJ3447" s="5" t="s">
        <v>240</v>
      </c>
      <c r="EK3447" s="5" t="s">
        <v>240</v>
      </c>
      <c r="EL3447" s="5" t="s">
        <v>240</v>
      </c>
      <c r="EM3447" s="5" t="s">
        <v>240</v>
      </c>
      <c r="EN3447" s="5" t="s">
        <v>240</v>
      </c>
      <c r="EO3447" s="5" t="s">
        <v>240</v>
      </c>
      <c r="EP3447" s="5" t="s">
        <v>240</v>
      </c>
      <c r="EQ3447" s="5" t="s">
        <v>240</v>
      </c>
      <c r="ER3447" s="5" t="s">
        <v>240</v>
      </c>
      <c r="ES3447" s="5" t="s">
        <v>240</v>
      </c>
      <c r="ET3447" s="5" t="s">
        <v>240</v>
      </c>
      <c r="EU3447" s="5" t="s">
        <v>240</v>
      </c>
      <c r="EV3447" s="5" t="s">
        <v>240</v>
      </c>
      <c r="EW3447" s="5" t="s">
        <v>240</v>
      </c>
      <c r="EX3447" s="5" t="s">
        <v>240</v>
      </c>
      <c r="EY3447" s="5" t="s">
        <v>240</v>
      </c>
      <c r="EZ3447" s="5" t="s">
        <v>240</v>
      </c>
      <c r="FA3447" s="5" t="s">
        <v>240</v>
      </c>
      <c r="FB3447" s="5" t="s">
        <v>240</v>
      </c>
      <c r="FC3447" s="5" t="s">
        <v>240</v>
      </c>
      <c r="FD3447" s="5" t="s">
        <v>240</v>
      </c>
      <c r="FE3447" s="5" t="s">
        <v>240</v>
      </c>
      <c r="FF3447" s="5" t="s">
        <v>240</v>
      </c>
      <c r="FG3447" s="5" t="s">
        <v>240</v>
      </c>
      <c r="FH3447" s="5" t="s">
        <v>240</v>
      </c>
      <c r="FI3447" s="5" t="s">
        <v>240</v>
      </c>
      <c r="FJ3447" s="5" t="s">
        <v>240</v>
      </c>
      <c r="FK3447" s="5" t="s">
        <v>240</v>
      </c>
      <c r="FL3447" s="5" t="s">
        <v>240</v>
      </c>
      <c r="FM3447" s="5" t="s">
        <v>240</v>
      </c>
      <c r="FN3447" s="5" t="s">
        <v>240</v>
      </c>
      <c r="FO3447" s="5" t="s">
        <v>240</v>
      </c>
      <c r="FP3447" s="5" t="s">
        <v>240</v>
      </c>
      <c r="FQ3447" s="5" t="s">
        <v>240</v>
      </c>
      <c r="FR3447" s="5" t="s">
        <v>240</v>
      </c>
      <c r="FS3447" s="5" t="s">
        <v>240</v>
      </c>
      <c r="FT3447" s="5" t="s">
        <v>240</v>
      </c>
      <c r="FU3447" s="5" t="s">
        <v>240</v>
      </c>
      <c r="FV3447" s="5" t="s">
        <v>240</v>
      </c>
      <c r="FW3447" s="5" t="s">
        <v>240</v>
      </c>
      <c r="FX3447" s="5" t="s">
        <v>240</v>
      </c>
      <c r="FY3447" s="5" t="s">
        <v>240</v>
      </c>
      <c r="FZ3447" s="5" t="s">
        <v>240</v>
      </c>
      <c r="GA3447" s="5" t="s">
        <v>240</v>
      </c>
      <c r="GB3447" s="5" t="s">
        <v>240</v>
      </c>
      <c r="GC3447" s="5" t="s">
        <v>240</v>
      </c>
      <c r="GD3447" s="5" t="s">
        <v>240</v>
      </c>
      <c r="GE3447" s="5" t="s">
        <v>240</v>
      </c>
      <c r="GF3447" s="5" t="s">
        <v>240</v>
      </c>
      <c r="GG3447" s="5" t="s">
        <v>240</v>
      </c>
      <c r="GH3447" s="5" t="s">
        <v>240</v>
      </c>
      <c r="GI3447" s="5" t="s">
        <v>240</v>
      </c>
      <c r="GJ3447" s="5" t="s">
        <v>240</v>
      </c>
      <c r="GK3447" s="5" t="s">
        <v>240</v>
      </c>
      <c r="GL3447" s="5" t="s">
        <v>240</v>
      </c>
      <c r="GM3447" s="5" t="s">
        <v>240</v>
      </c>
      <c r="GN3447" s="5" t="s">
        <v>240</v>
      </c>
      <c r="GO3447" s="5" t="s">
        <v>240</v>
      </c>
      <c r="GP3447" s="5" t="s">
        <v>240</v>
      </c>
      <c r="GQ3447" s="5" t="s">
        <v>240</v>
      </c>
      <c r="GR3447" s="5" t="s">
        <v>240</v>
      </c>
      <c r="GS3447" s="5" t="s">
        <v>240</v>
      </c>
      <c r="GT3447" s="5" t="s">
        <v>240</v>
      </c>
      <c r="GU3447" s="5" t="s">
        <v>240</v>
      </c>
      <c r="GV3447" s="5" t="s">
        <v>240</v>
      </c>
      <c r="GW3447" s="5" t="s">
        <v>240</v>
      </c>
      <c r="GX3447" s="5" t="s">
        <v>240</v>
      </c>
      <c r="GY3447" s="5" t="s">
        <v>240</v>
      </c>
      <c r="GZ3447" s="5" t="s">
        <v>240</v>
      </c>
      <c r="HA3447" s="5" t="s">
        <v>240</v>
      </c>
      <c r="HB3447" s="5" t="s">
        <v>240</v>
      </c>
      <c r="HC3447" s="5" t="s">
        <v>240</v>
      </c>
      <c r="HD3447" s="5" t="s">
        <v>240</v>
      </c>
      <c r="HE3447" s="5" t="s">
        <v>240</v>
      </c>
      <c r="HF3447" s="5" t="s">
        <v>240</v>
      </c>
      <c r="HG3447" s="5" t="s">
        <v>240</v>
      </c>
      <c r="HH3447" s="5" t="s">
        <v>240</v>
      </c>
      <c r="HI3447" s="5" t="s">
        <v>240</v>
      </c>
      <c r="HJ3447" s="5" t="s">
        <v>240</v>
      </c>
      <c r="HK3447" s="5" t="s">
        <v>240</v>
      </c>
      <c r="HL3447" s="5" t="s">
        <v>240</v>
      </c>
      <c r="HM3447" s="5" t="s">
        <v>240</v>
      </c>
      <c r="HN3447" s="5" t="s">
        <v>240</v>
      </c>
      <c r="HO3447" s="5" t="s">
        <v>240</v>
      </c>
      <c r="HP3447" s="5" t="s">
        <v>240</v>
      </c>
      <c r="HQ3447" s="5" t="s">
        <v>240</v>
      </c>
      <c r="HR3447" s="5" t="s">
        <v>240</v>
      </c>
      <c r="HS3447" s="5" t="s">
        <v>240</v>
      </c>
      <c r="HT3447" s="5" t="s">
        <v>240</v>
      </c>
      <c r="HU3447" s="5" t="s">
        <v>240</v>
      </c>
      <c r="HV3447" s="5" t="s">
        <v>240</v>
      </c>
      <c r="HW3447" s="5" t="s">
        <v>240</v>
      </c>
      <c r="HX3447" s="5" t="s">
        <v>240</v>
      </c>
      <c r="HY3447" s="5" t="s">
        <v>240</v>
      </c>
      <c r="HZ3447" s="5" t="s">
        <v>240</v>
      </c>
      <c r="IA3447" s="5" t="s">
        <v>240</v>
      </c>
      <c r="IB3447" s="5" t="s">
        <v>240</v>
      </c>
      <c r="IC3447" s="5" t="s">
        <v>240</v>
      </c>
      <c r="ID3447" s="5" t="s">
        <v>240</v>
      </c>
      <c r="IE3447" s="5" t="s">
        <v>240</v>
      </c>
      <c r="IF3447" s="5" t="s">
        <v>240</v>
      </c>
    </row>
    <row r="3448" spans="1:240" x14ac:dyDescent="0.4">
      <c r="A3448" s="5">
        <v>8990</v>
      </c>
      <c r="B3448" s="5">
        <v>1</v>
      </c>
      <c r="C3448" s="5">
        <v>1</v>
      </c>
      <c r="D3448" s="5" t="s">
        <v>723</v>
      </c>
      <c r="E3448" s="5" t="s">
        <v>5060</v>
      </c>
      <c r="F3448" s="5" t="s">
        <v>254</v>
      </c>
      <c r="G3448" s="5" t="s">
        <v>5061</v>
      </c>
      <c r="H3448" s="6" t="s">
        <v>5062</v>
      </c>
      <c r="I3448" s="5" t="s">
        <v>5059</v>
      </c>
      <c r="J3448" s="7">
        <f>1</f>
        <v>1</v>
      </c>
      <c r="K3448" s="5" t="s">
        <v>3682</v>
      </c>
      <c r="L3448" s="7">
        <f>1</f>
        <v>1</v>
      </c>
      <c r="M3448" s="7">
        <f>1</f>
        <v>1</v>
      </c>
      <c r="N3448" s="5" t="s">
        <v>242</v>
      </c>
      <c r="O3448" s="5">
        <v>1</v>
      </c>
      <c r="P3448" s="5" t="s">
        <v>294</v>
      </c>
      <c r="Q3448" s="5" t="s">
        <v>3678</v>
      </c>
      <c r="R3448" s="5" t="s">
        <v>240</v>
      </c>
      <c r="S3448" s="5" t="s">
        <v>240</v>
      </c>
      <c r="T3448" s="5" t="s">
        <v>243</v>
      </c>
      <c r="U3448" s="5" t="s">
        <v>244</v>
      </c>
      <c r="V3448" s="5" t="s">
        <v>240</v>
      </c>
      <c r="W3448" s="5" t="s">
        <v>240</v>
      </c>
      <c r="X3448" s="5" t="s">
        <v>240</v>
      </c>
      <c r="Y3448" s="5" t="s">
        <v>240</v>
      </c>
      <c r="Z3448" s="6" t="s">
        <v>298</v>
      </c>
      <c r="AA3448" s="6" t="s">
        <v>240</v>
      </c>
      <c r="AB3448" s="6" t="s">
        <v>240</v>
      </c>
      <c r="AC3448" s="5" t="s">
        <v>240</v>
      </c>
      <c r="AD3448" s="6" t="s">
        <v>240</v>
      </c>
      <c r="AE3448" s="6" t="s">
        <v>299</v>
      </c>
      <c r="AF3448" s="5" t="s">
        <v>248</v>
      </c>
      <c r="AG3448" s="5" t="s">
        <v>249</v>
      </c>
      <c r="AH3448" s="5" t="s">
        <v>240</v>
      </c>
      <c r="AI3448" s="5" t="s">
        <v>240</v>
      </c>
      <c r="AJ3448" s="5" t="s">
        <v>240</v>
      </c>
      <c r="AK3448" s="5" t="s">
        <v>240</v>
      </c>
      <c r="AL3448" s="5" t="s">
        <v>240</v>
      </c>
      <c r="AM3448" s="5" t="s">
        <v>240</v>
      </c>
      <c r="AN3448" s="5" t="s">
        <v>240</v>
      </c>
      <c r="AO3448" s="5" t="s">
        <v>240</v>
      </c>
      <c r="AP3448" s="6" t="s">
        <v>240</v>
      </c>
      <c r="AQ3448" s="6" t="s">
        <v>240</v>
      </c>
      <c r="AR3448" s="6" t="s">
        <v>240</v>
      </c>
      <c r="AS3448" s="6" t="s">
        <v>240</v>
      </c>
      <c r="AT3448" s="5" t="s">
        <v>240</v>
      </c>
      <c r="AU3448" s="5" t="s">
        <v>729</v>
      </c>
      <c r="AV3448" s="5" t="s">
        <v>729</v>
      </c>
      <c r="AW3448" s="5" t="s">
        <v>251</v>
      </c>
      <c r="AX3448" s="5" t="s">
        <v>252</v>
      </c>
      <c r="AY3448" s="5" t="s">
        <v>253</v>
      </c>
      <c r="AZ3448" s="5" t="s">
        <v>240</v>
      </c>
      <c r="BA3448" s="5" t="s">
        <v>255</v>
      </c>
      <c r="BB3448" s="5" t="s">
        <v>731</v>
      </c>
      <c r="BD3448" s="5" t="s">
        <v>240</v>
      </c>
      <c r="BF3448" s="5" t="s">
        <v>732</v>
      </c>
      <c r="BG3448" s="6" t="s">
        <v>733</v>
      </c>
      <c r="BH3448" s="5" t="s">
        <v>734</v>
      </c>
      <c r="BI3448" s="5" t="s">
        <v>734</v>
      </c>
      <c r="BJ3448" s="5" t="s">
        <v>240</v>
      </c>
      <c r="BK3448" s="7">
        <f>1</f>
        <v>1</v>
      </c>
      <c r="BL3448" s="7">
        <f>1</f>
        <v>1</v>
      </c>
      <c r="BM3448" s="5" t="s">
        <v>258</v>
      </c>
      <c r="BN3448" s="5" t="s">
        <v>259</v>
      </c>
      <c r="BO3448" s="5" t="s">
        <v>240</v>
      </c>
      <c r="BP3448" s="5" t="s">
        <v>240</v>
      </c>
      <c r="BQ3448" s="5" t="s">
        <v>240</v>
      </c>
      <c r="BR3448" s="5" t="s">
        <v>240</v>
      </c>
      <c r="BS3448" s="5" t="s">
        <v>240</v>
      </c>
      <c r="BT3448" s="5" t="s">
        <v>240</v>
      </c>
      <c r="BU3448" s="5" t="s">
        <v>240</v>
      </c>
      <c r="BV3448" s="5" t="s">
        <v>240</v>
      </c>
      <c r="BW3448" s="6" t="s">
        <v>240</v>
      </c>
      <c r="BX3448" s="5" t="s">
        <v>240</v>
      </c>
      <c r="BY3448" s="5" t="s">
        <v>240</v>
      </c>
      <c r="BZ3448" s="5" t="s">
        <v>240</v>
      </c>
      <c r="CA3448" s="5" t="s">
        <v>259</v>
      </c>
      <c r="CB3448" s="5" t="s">
        <v>240</v>
      </c>
      <c r="CC3448" s="5" t="s">
        <v>240</v>
      </c>
      <c r="CD3448" s="5" t="s">
        <v>240</v>
      </c>
      <c r="CE3448" s="5" t="s">
        <v>240</v>
      </c>
      <c r="CF3448" s="5" t="s">
        <v>240</v>
      </c>
      <c r="CG3448" s="5" t="s">
        <v>304</v>
      </c>
      <c r="CH3448" s="5" t="s">
        <v>305</v>
      </c>
      <c r="CI3448" s="5" t="s">
        <v>240</v>
      </c>
      <c r="CK3448" s="5" t="s">
        <v>3681</v>
      </c>
      <c r="CL3448" s="6" t="s">
        <v>261</v>
      </c>
      <c r="CM3448" s="5" t="s">
        <v>262</v>
      </c>
      <c r="CN3448" s="5" t="s">
        <v>263</v>
      </c>
      <c r="CO3448" s="5" t="s">
        <v>264</v>
      </c>
      <c r="CP3448" s="5" t="s">
        <v>240</v>
      </c>
      <c r="CQ3448" s="5">
        <v>0</v>
      </c>
      <c r="CR3448" s="5" t="s">
        <v>735</v>
      </c>
      <c r="CS3448" s="5" t="s">
        <v>307</v>
      </c>
      <c r="CT3448" s="5" t="s">
        <v>307</v>
      </c>
      <c r="CU3448" s="5" t="s">
        <v>260</v>
      </c>
      <c r="CV3448" s="5" t="s">
        <v>612</v>
      </c>
      <c r="CW3448" s="8">
        <f>1</f>
        <v>1</v>
      </c>
      <c r="CX3448" s="7">
        <f>1</f>
        <v>1</v>
      </c>
      <c r="CY3448" s="7">
        <f>0</f>
        <v>0</v>
      </c>
      <c r="DA3448" s="7">
        <f>1</f>
        <v>1</v>
      </c>
      <c r="DB3448" s="7" t="s">
        <v>240</v>
      </c>
      <c r="DC3448" s="5" t="s">
        <v>240</v>
      </c>
      <c r="DD3448" s="5" t="s">
        <v>240</v>
      </c>
      <c r="DE3448" s="5" t="s">
        <v>240</v>
      </c>
      <c r="DF3448" s="5" t="s">
        <v>240</v>
      </c>
      <c r="DG3448" s="7">
        <f>0</f>
        <v>0</v>
      </c>
      <c r="DI3448" s="5" t="s">
        <v>240</v>
      </c>
      <c r="DJ3448" s="5" t="s">
        <v>240</v>
      </c>
      <c r="DK3448" s="5" t="s">
        <v>240</v>
      </c>
      <c r="DL3448" s="5" t="s">
        <v>240</v>
      </c>
      <c r="DM3448" s="5" t="s">
        <v>240</v>
      </c>
      <c r="DN3448" s="5" t="s">
        <v>240</v>
      </c>
      <c r="DO3448" s="7" t="s">
        <v>240</v>
      </c>
      <c r="DP3448" s="5" t="s">
        <v>240</v>
      </c>
      <c r="DQ3448" s="5" t="s">
        <v>240</v>
      </c>
      <c r="DR3448" s="5" t="s">
        <v>731</v>
      </c>
      <c r="DS3448" s="5" t="s">
        <v>731</v>
      </c>
      <c r="DT3448" s="5" t="s">
        <v>240</v>
      </c>
      <c r="DU3448" s="5" t="s">
        <v>240</v>
      </c>
      <c r="DV3448" s="5" t="s">
        <v>5063</v>
      </c>
      <c r="DW3448" s="5" t="s">
        <v>693</v>
      </c>
      <c r="DX3448" s="5" t="s">
        <v>240</v>
      </c>
      <c r="DY3448" s="5" t="s">
        <v>240</v>
      </c>
      <c r="DZ3448" s="5" t="s">
        <v>240</v>
      </c>
      <c r="EA3448" s="5" t="s">
        <v>240</v>
      </c>
      <c r="EB3448" s="5" t="s">
        <v>240</v>
      </c>
      <c r="EC3448" s="5" t="s">
        <v>240</v>
      </c>
      <c r="ED3448" s="5" t="s">
        <v>240</v>
      </c>
      <c r="EE3448" s="5" t="s">
        <v>240</v>
      </c>
      <c r="EF3448" s="5" t="s">
        <v>240</v>
      </c>
      <c r="EG3448" s="5" t="s">
        <v>240</v>
      </c>
      <c r="EH3448" s="5" t="s">
        <v>240</v>
      </c>
      <c r="EI3448" s="5" t="s">
        <v>240</v>
      </c>
      <c r="EJ3448" s="5" t="s">
        <v>240</v>
      </c>
      <c r="EK3448" s="5" t="s">
        <v>240</v>
      </c>
      <c r="EL3448" s="5" t="s">
        <v>240</v>
      </c>
      <c r="EM3448" s="5" t="s">
        <v>240</v>
      </c>
      <c r="EN3448" s="5" t="s">
        <v>240</v>
      </c>
      <c r="EO3448" s="5" t="s">
        <v>240</v>
      </c>
      <c r="EP3448" s="5" t="s">
        <v>240</v>
      </c>
      <c r="EQ3448" s="5" t="s">
        <v>240</v>
      </c>
      <c r="ER3448" s="5" t="s">
        <v>240</v>
      </c>
      <c r="ES3448" s="5" t="s">
        <v>240</v>
      </c>
      <c r="ET3448" s="5" t="s">
        <v>240</v>
      </c>
      <c r="EU3448" s="5" t="s">
        <v>240</v>
      </c>
      <c r="EV3448" s="5" t="s">
        <v>240</v>
      </c>
      <c r="EW3448" s="5" t="s">
        <v>240</v>
      </c>
      <c r="EX3448" s="5" t="s">
        <v>240</v>
      </c>
      <c r="EY3448" s="5" t="s">
        <v>240</v>
      </c>
      <c r="EZ3448" s="5" t="s">
        <v>240</v>
      </c>
      <c r="FA3448" s="5" t="s">
        <v>240</v>
      </c>
      <c r="FB3448" s="5" t="s">
        <v>240</v>
      </c>
      <c r="FC3448" s="5" t="s">
        <v>240</v>
      </c>
      <c r="FD3448" s="5" t="s">
        <v>240</v>
      </c>
      <c r="FE3448" s="5" t="s">
        <v>240</v>
      </c>
      <c r="FF3448" s="5" t="s">
        <v>240</v>
      </c>
      <c r="FG3448" s="5" t="s">
        <v>240</v>
      </c>
      <c r="FH3448" s="5" t="s">
        <v>240</v>
      </c>
      <c r="FI3448" s="5" t="s">
        <v>240</v>
      </c>
      <c r="FJ3448" s="5" t="s">
        <v>240</v>
      </c>
      <c r="FK3448" s="5" t="s">
        <v>240</v>
      </c>
      <c r="FL3448" s="5" t="s">
        <v>240</v>
      </c>
      <c r="FM3448" s="5" t="s">
        <v>240</v>
      </c>
      <c r="FN3448" s="5" t="s">
        <v>240</v>
      </c>
      <c r="FO3448" s="5" t="s">
        <v>240</v>
      </c>
      <c r="FP3448" s="5" t="s">
        <v>240</v>
      </c>
      <c r="FQ3448" s="5" t="s">
        <v>240</v>
      </c>
      <c r="FR3448" s="5" t="s">
        <v>240</v>
      </c>
      <c r="FS3448" s="5" t="s">
        <v>240</v>
      </c>
      <c r="FT3448" s="5" t="s">
        <v>240</v>
      </c>
      <c r="FU3448" s="5" t="s">
        <v>240</v>
      </c>
      <c r="FV3448" s="5" t="s">
        <v>240</v>
      </c>
      <c r="FW3448" s="5" t="s">
        <v>240</v>
      </c>
      <c r="FX3448" s="5" t="s">
        <v>240</v>
      </c>
      <c r="FY3448" s="5" t="s">
        <v>240</v>
      </c>
      <c r="FZ3448" s="5" t="s">
        <v>240</v>
      </c>
      <c r="GA3448" s="5" t="s">
        <v>240</v>
      </c>
      <c r="GB3448" s="5" t="s">
        <v>240</v>
      </c>
      <c r="GC3448" s="5" t="s">
        <v>240</v>
      </c>
      <c r="GD3448" s="5" t="s">
        <v>240</v>
      </c>
      <c r="GE3448" s="5" t="s">
        <v>240</v>
      </c>
      <c r="GF3448" s="5" t="s">
        <v>240</v>
      </c>
      <c r="GG3448" s="5" t="s">
        <v>240</v>
      </c>
      <c r="GH3448" s="5" t="s">
        <v>240</v>
      </c>
      <c r="GI3448" s="5" t="s">
        <v>240</v>
      </c>
      <c r="GJ3448" s="5" t="s">
        <v>240</v>
      </c>
      <c r="GK3448" s="5" t="s">
        <v>240</v>
      </c>
      <c r="GL3448" s="5" t="s">
        <v>240</v>
      </c>
      <c r="GM3448" s="5" t="s">
        <v>240</v>
      </c>
      <c r="GN3448" s="5" t="s">
        <v>240</v>
      </c>
      <c r="GO3448" s="5" t="s">
        <v>240</v>
      </c>
      <c r="GP3448" s="5" t="s">
        <v>240</v>
      </c>
      <c r="GQ3448" s="5" t="s">
        <v>240</v>
      </c>
      <c r="GR3448" s="5" t="s">
        <v>240</v>
      </c>
      <c r="GS3448" s="5" t="s">
        <v>240</v>
      </c>
      <c r="GT3448" s="5" t="s">
        <v>240</v>
      </c>
      <c r="GU3448" s="5" t="s">
        <v>240</v>
      </c>
      <c r="GV3448" s="5" t="s">
        <v>240</v>
      </c>
      <c r="GW3448" s="5" t="s">
        <v>240</v>
      </c>
      <c r="GX3448" s="5" t="s">
        <v>240</v>
      </c>
      <c r="GY3448" s="5" t="s">
        <v>240</v>
      </c>
      <c r="GZ3448" s="5" t="s">
        <v>240</v>
      </c>
      <c r="HA3448" s="5" t="s">
        <v>240</v>
      </c>
      <c r="HB3448" s="5" t="s">
        <v>240</v>
      </c>
      <c r="HC3448" s="5" t="s">
        <v>240</v>
      </c>
      <c r="HD3448" s="5" t="s">
        <v>240</v>
      </c>
      <c r="HE3448" s="5" t="s">
        <v>240</v>
      </c>
      <c r="HF3448" s="5" t="s">
        <v>240</v>
      </c>
      <c r="HG3448" s="5" t="s">
        <v>240</v>
      </c>
      <c r="HH3448" s="5" t="s">
        <v>240</v>
      </c>
      <c r="HI3448" s="5" t="s">
        <v>240</v>
      </c>
      <c r="HJ3448" s="5" t="s">
        <v>240</v>
      </c>
      <c r="HK3448" s="5" t="s">
        <v>240</v>
      </c>
      <c r="HL3448" s="5" t="s">
        <v>240</v>
      </c>
      <c r="HM3448" s="5" t="s">
        <v>240</v>
      </c>
      <c r="HN3448" s="5" t="s">
        <v>240</v>
      </c>
      <c r="HO3448" s="5" t="s">
        <v>312</v>
      </c>
      <c r="HP3448" s="5" t="s">
        <v>240</v>
      </c>
      <c r="HQ3448" s="5" t="s">
        <v>240</v>
      </c>
      <c r="HR3448" s="5" t="s">
        <v>240</v>
      </c>
      <c r="HS3448" s="5" t="s">
        <v>240</v>
      </c>
      <c r="HT3448" s="5" t="s">
        <v>240</v>
      </c>
      <c r="HU3448" s="5" t="s">
        <v>240</v>
      </c>
      <c r="HV3448" s="5" t="s">
        <v>240</v>
      </c>
      <c r="HW3448" s="5" t="s">
        <v>240</v>
      </c>
      <c r="HX3448" s="5" t="s">
        <v>240</v>
      </c>
      <c r="HY3448" s="5" t="s">
        <v>240</v>
      </c>
      <c r="HZ3448" s="5" t="s">
        <v>240</v>
      </c>
      <c r="IA3448" s="5" t="s">
        <v>240</v>
      </c>
      <c r="IB3448" s="5" t="s">
        <v>240</v>
      </c>
      <c r="IC3448" s="5" t="s">
        <v>240</v>
      </c>
      <c r="ID3448" s="5" t="s">
        <v>240</v>
      </c>
      <c r="IE3448" s="5" t="s">
        <v>240</v>
      </c>
      <c r="IF3448" s="5" t="s">
        <v>240</v>
      </c>
    </row>
    <row r="3449" spans="1:240" x14ac:dyDescent="0.4">
      <c r="A3449" s="5">
        <v>8991</v>
      </c>
      <c r="B3449" s="5">
        <v>1</v>
      </c>
      <c r="C3449" s="5">
        <v>1</v>
      </c>
      <c r="D3449" s="5" t="s">
        <v>723</v>
      </c>
      <c r="E3449" s="5" t="s">
        <v>5060</v>
      </c>
      <c r="F3449" s="5" t="s">
        <v>254</v>
      </c>
      <c r="G3449" s="5" t="s">
        <v>5061</v>
      </c>
      <c r="H3449" s="6" t="s">
        <v>5068</v>
      </c>
      <c r="I3449" s="5" t="s">
        <v>5067</v>
      </c>
      <c r="J3449" s="7">
        <f>1</f>
        <v>1</v>
      </c>
      <c r="K3449" s="5" t="s">
        <v>3682</v>
      </c>
      <c r="L3449" s="7">
        <f>1</f>
        <v>1</v>
      </c>
      <c r="M3449" s="7">
        <f>1</f>
        <v>1</v>
      </c>
      <c r="N3449" s="5" t="s">
        <v>242</v>
      </c>
      <c r="O3449" s="5">
        <v>1</v>
      </c>
      <c r="P3449" s="5" t="s">
        <v>294</v>
      </c>
      <c r="Q3449" s="5" t="s">
        <v>3678</v>
      </c>
      <c r="R3449" s="5" t="s">
        <v>240</v>
      </c>
      <c r="S3449" s="5" t="s">
        <v>240</v>
      </c>
      <c r="T3449" s="5" t="s">
        <v>243</v>
      </c>
      <c r="U3449" s="5" t="s">
        <v>244</v>
      </c>
      <c r="V3449" s="5" t="s">
        <v>240</v>
      </c>
      <c r="W3449" s="5" t="s">
        <v>240</v>
      </c>
      <c r="X3449" s="5" t="s">
        <v>240</v>
      </c>
      <c r="Y3449" s="5" t="s">
        <v>240</v>
      </c>
      <c r="Z3449" s="6" t="s">
        <v>298</v>
      </c>
      <c r="AA3449" s="6" t="s">
        <v>240</v>
      </c>
      <c r="AB3449" s="6" t="s">
        <v>240</v>
      </c>
      <c r="AC3449" s="5" t="s">
        <v>240</v>
      </c>
      <c r="AD3449" s="6" t="s">
        <v>240</v>
      </c>
      <c r="AE3449" s="6" t="s">
        <v>299</v>
      </c>
      <c r="AF3449" s="5" t="s">
        <v>248</v>
      </c>
      <c r="AG3449" s="5" t="s">
        <v>249</v>
      </c>
      <c r="AH3449" s="5" t="s">
        <v>240</v>
      </c>
      <c r="AI3449" s="5" t="s">
        <v>240</v>
      </c>
      <c r="AJ3449" s="5" t="s">
        <v>240</v>
      </c>
      <c r="AK3449" s="5" t="s">
        <v>240</v>
      </c>
      <c r="AL3449" s="5" t="s">
        <v>240</v>
      </c>
      <c r="AM3449" s="5" t="s">
        <v>240</v>
      </c>
      <c r="AN3449" s="5" t="s">
        <v>240</v>
      </c>
      <c r="AO3449" s="5" t="s">
        <v>240</v>
      </c>
      <c r="AP3449" s="6" t="s">
        <v>240</v>
      </c>
      <c r="AQ3449" s="6" t="s">
        <v>240</v>
      </c>
      <c r="AR3449" s="6" t="s">
        <v>240</v>
      </c>
      <c r="AS3449" s="6" t="s">
        <v>240</v>
      </c>
      <c r="AT3449" s="5" t="s">
        <v>240</v>
      </c>
      <c r="AU3449" s="5" t="s">
        <v>729</v>
      </c>
      <c r="AV3449" s="5" t="s">
        <v>729</v>
      </c>
      <c r="AW3449" s="5" t="s">
        <v>251</v>
      </c>
      <c r="AX3449" s="5" t="s">
        <v>252</v>
      </c>
      <c r="AY3449" s="5" t="s">
        <v>253</v>
      </c>
      <c r="AZ3449" s="5" t="s">
        <v>6046</v>
      </c>
      <c r="BA3449" s="5" t="s">
        <v>255</v>
      </c>
      <c r="BB3449" s="5" t="s">
        <v>731</v>
      </c>
      <c r="BD3449" s="5" t="s">
        <v>240</v>
      </c>
      <c r="BF3449" s="5" t="s">
        <v>732</v>
      </c>
      <c r="BG3449" s="6" t="s">
        <v>733</v>
      </c>
      <c r="BH3449" s="5" t="s">
        <v>734</v>
      </c>
      <c r="BI3449" s="5" t="s">
        <v>734</v>
      </c>
      <c r="BJ3449" s="5" t="s">
        <v>240</v>
      </c>
      <c r="BK3449" s="7">
        <f>1</f>
        <v>1</v>
      </c>
      <c r="BL3449" s="7">
        <f>1</f>
        <v>1</v>
      </c>
      <c r="BM3449" s="5" t="s">
        <v>258</v>
      </c>
      <c r="BN3449" s="5" t="s">
        <v>259</v>
      </c>
      <c r="BO3449" s="5" t="s">
        <v>240</v>
      </c>
      <c r="BP3449" s="5" t="s">
        <v>240</v>
      </c>
      <c r="BQ3449" s="5" t="s">
        <v>240</v>
      </c>
      <c r="BR3449" s="5" t="s">
        <v>240</v>
      </c>
      <c r="BS3449" s="5" t="s">
        <v>240</v>
      </c>
      <c r="BT3449" s="5" t="s">
        <v>240</v>
      </c>
      <c r="BU3449" s="5" t="s">
        <v>240</v>
      </c>
      <c r="BV3449" s="5" t="s">
        <v>240</v>
      </c>
      <c r="BW3449" s="6" t="s">
        <v>240</v>
      </c>
      <c r="BX3449" s="5" t="s">
        <v>240</v>
      </c>
      <c r="BY3449" s="5" t="s">
        <v>240</v>
      </c>
      <c r="BZ3449" s="5" t="s">
        <v>240</v>
      </c>
      <c r="CA3449" s="5" t="s">
        <v>259</v>
      </c>
      <c r="CB3449" s="5" t="s">
        <v>240</v>
      </c>
      <c r="CC3449" s="5" t="s">
        <v>240</v>
      </c>
      <c r="CD3449" s="5" t="s">
        <v>240</v>
      </c>
      <c r="CE3449" s="5" t="s">
        <v>240</v>
      </c>
      <c r="CF3449" s="5" t="s">
        <v>240</v>
      </c>
      <c r="CG3449" s="5" t="s">
        <v>304</v>
      </c>
      <c r="CH3449" s="5" t="s">
        <v>305</v>
      </c>
      <c r="CI3449" s="5" t="s">
        <v>260</v>
      </c>
      <c r="CK3449" s="5" t="s">
        <v>3681</v>
      </c>
      <c r="CL3449" s="6" t="s">
        <v>261</v>
      </c>
      <c r="CM3449" s="5" t="s">
        <v>262</v>
      </c>
      <c r="CN3449" s="5" t="s">
        <v>263</v>
      </c>
      <c r="CO3449" s="5" t="s">
        <v>264</v>
      </c>
      <c r="CP3449" s="5" t="s">
        <v>240</v>
      </c>
      <c r="CQ3449" s="5">
        <v>0</v>
      </c>
      <c r="CR3449" s="5" t="s">
        <v>735</v>
      </c>
      <c r="CS3449" s="5" t="s">
        <v>307</v>
      </c>
      <c r="CT3449" s="5" t="s">
        <v>307</v>
      </c>
      <c r="CU3449" s="5" t="s">
        <v>260</v>
      </c>
      <c r="CV3449" s="5" t="s">
        <v>612</v>
      </c>
      <c r="CW3449" s="8">
        <f>1</f>
        <v>1</v>
      </c>
      <c r="CX3449" s="7">
        <f>1</f>
        <v>1</v>
      </c>
      <c r="CY3449" s="7">
        <f>0</f>
        <v>0</v>
      </c>
      <c r="DA3449" s="7">
        <f>1</f>
        <v>1</v>
      </c>
      <c r="DB3449" s="7" t="s">
        <v>240</v>
      </c>
      <c r="DC3449" s="5" t="s">
        <v>240</v>
      </c>
      <c r="DD3449" s="5" t="s">
        <v>240</v>
      </c>
      <c r="DE3449" s="5" t="s">
        <v>240</v>
      </c>
      <c r="DF3449" s="5" t="s">
        <v>240</v>
      </c>
      <c r="DG3449" s="7">
        <f>0</f>
        <v>0</v>
      </c>
      <c r="DI3449" s="5" t="s">
        <v>240</v>
      </c>
      <c r="DJ3449" s="5" t="s">
        <v>240</v>
      </c>
      <c r="DK3449" s="5" t="s">
        <v>240</v>
      </c>
      <c r="DL3449" s="5" t="s">
        <v>240</v>
      </c>
      <c r="DM3449" s="5" t="s">
        <v>240</v>
      </c>
      <c r="DN3449" s="5" t="s">
        <v>240</v>
      </c>
      <c r="DO3449" s="7" t="s">
        <v>240</v>
      </c>
      <c r="DP3449" s="5" t="s">
        <v>240</v>
      </c>
      <c r="DQ3449" s="5" t="s">
        <v>248</v>
      </c>
      <c r="DR3449" s="5" t="s">
        <v>731</v>
      </c>
      <c r="DS3449" s="5" t="s">
        <v>731</v>
      </c>
      <c r="DT3449" s="5" t="s">
        <v>240</v>
      </c>
      <c r="DU3449" s="5" t="s">
        <v>240</v>
      </c>
      <c r="DV3449" s="5" t="s">
        <v>6047</v>
      </c>
      <c r="DW3449" s="5" t="s">
        <v>756</v>
      </c>
      <c r="DX3449" s="5" t="s">
        <v>240</v>
      </c>
      <c r="DY3449" s="5" t="s">
        <v>240</v>
      </c>
      <c r="DZ3449" s="5" t="s">
        <v>240</v>
      </c>
      <c r="EA3449" s="5" t="s">
        <v>240</v>
      </c>
      <c r="EB3449" s="5" t="s">
        <v>240</v>
      </c>
      <c r="EC3449" s="5" t="s">
        <v>240</v>
      </c>
      <c r="ED3449" s="5" t="s">
        <v>240</v>
      </c>
      <c r="EE3449" s="5" t="s">
        <v>240</v>
      </c>
      <c r="EF3449" s="5" t="s">
        <v>240</v>
      </c>
      <c r="EG3449" s="5" t="s">
        <v>240</v>
      </c>
      <c r="EH3449" s="5" t="s">
        <v>240</v>
      </c>
      <c r="EI3449" s="5" t="s">
        <v>240</v>
      </c>
      <c r="EJ3449" s="5" t="s">
        <v>240</v>
      </c>
      <c r="EK3449" s="5" t="s">
        <v>240</v>
      </c>
      <c r="EL3449" s="5" t="s">
        <v>240</v>
      </c>
      <c r="EM3449" s="5" t="s">
        <v>240</v>
      </c>
      <c r="EN3449" s="5" t="s">
        <v>240</v>
      </c>
      <c r="EO3449" s="5" t="s">
        <v>240</v>
      </c>
      <c r="EP3449" s="5" t="s">
        <v>240</v>
      </c>
      <c r="EQ3449" s="5" t="s">
        <v>240</v>
      </c>
      <c r="ER3449" s="5" t="s">
        <v>240</v>
      </c>
      <c r="ES3449" s="5" t="s">
        <v>240</v>
      </c>
      <c r="ET3449" s="5" t="s">
        <v>240</v>
      </c>
      <c r="EU3449" s="5" t="s">
        <v>240</v>
      </c>
      <c r="EV3449" s="5" t="s">
        <v>240</v>
      </c>
      <c r="EW3449" s="5" t="s">
        <v>240</v>
      </c>
      <c r="EX3449" s="5" t="s">
        <v>240</v>
      </c>
      <c r="EY3449" s="5" t="s">
        <v>240</v>
      </c>
      <c r="EZ3449" s="5" t="s">
        <v>240</v>
      </c>
      <c r="FA3449" s="5" t="s">
        <v>240</v>
      </c>
      <c r="FB3449" s="5" t="s">
        <v>240</v>
      </c>
      <c r="FC3449" s="5" t="s">
        <v>240</v>
      </c>
      <c r="FD3449" s="5" t="s">
        <v>240</v>
      </c>
      <c r="FE3449" s="5" t="s">
        <v>240</v>
      </c>
      <c r="FF3449" s="5" t="s">
        <v>240</v>
      </c>
      <c r="FG3449" s="5" t="s">
        <v>240</v>
      </c>
      <c r="FH3449" s="5" t="s">
        <v>240</v>
      </c>
      <c r="FI3449" s="5" t="s">
        <v>240</v>
      </c>
      <c r="FJ3449" s="5" t="s">
        <v>240</v>
      </c>
      <c r="FK3449" s="5" t="s">
        <v>240</v>
      </c>
      <c r="FL3449" s="5" t="s">
        <v>240</v>
      </c>
      <c r="FM3449" s="5" t="s">
        <v>240</v>
      </c>
      <c r="FN3449" s="5" t="s">
        <v>240</v>
      </c>
      <c r="FO3449" s="5" t="s">
        <v>240</v>
      </c>
      <c r="FP3449" s="5" t="s">
        <v>240</v>
      </c>
      <c r="FQ3449" s="5" t="s">
        <v>240</v>
      </c>
      <c r="FR3449" s="5" t="s">
        <v>240</v>
      </c>
      <c r="FS3449" s="5" t="s">
        <v>240</v>
      </c>
      <c r="FT3449" s="5" t="s">
        <v>240</v>
      </c>
      <c r="FU3449" s="5" t="s">
        <v>240</v>
      </c>
      <c r="FV3449" s="5" t="s">
        <v>240</v>
      </c>
      <c r="FW3449" s="5" t="s">
        <v>240</v>
      </c>
      <c r="FX3449" s="5" t="s">
        <v>240</v>
      </c>
      <c r="FY3449" s="5" t="s">
        <v>240</v>
      </c>
      <c r="FZ3449" s="5" t="s">
        <v>240</v>
      </c>
      <c r="GA3449" s="5" t="s">
        <v>240</v>
      </c>
      <c r="GB3449" s="5" t="s">
        <v>240</v>
      </c>
      <c r="GC3449" s="5" t="s">
        <v>240</v>
      </c>
      <c r="GD3449" s="5" t="s">
        <v>240</v>
      </c>
      <c r="GE3449" s="5" t="s">
        <v>240</v>
      </c>
      <c r="GF3449" s="5" t="s">
        <v>240</v>
      </c>
      <c r="GG3449" s="5" t="s">
        <v>240</v>
      </c>
      <c r="GH3449" s="5" t="s">
        <v>240</v>
      </c>
      <c r="GI3449" s="5" t="s">
        <v>240</v>
      </c>
      <c r="GJ3449" s="5" t="s">
        <v>240</v>
      </c>
      <c r="GK3449" s="5" t="s">
        <v>240</v>
      </c>
      <c r="GL3449" s="5" t="s">
        <v>240</v>
      </c>
      <c r="GM3449" s="5" t="s">
        <v>240</v>
      </c>
      <c r="GN3449" s="5" t="s">
        <v>240</v>
      </c>
      <c r="GO3449" s="5" t="s">
        <v>240</v>
      </c>
      <c r="GP3449" s="5" t="s">
        <v>240</v>
      </c>
      <c r="GQ3449" s="5" t="s">
        <v>240</v>
      </c>
      <c r="GR3449" s="5" t="s">
        <v>240</v>
      </c>
      <c r="GS3449" s="5" t="s">
        <v>240</v>
      </c>
      <c r="GT3449" s="5" t="s">
        <v>240</v>
      </c>
      <c r="GU3449" s="5" t="s">
        <v>240</v>
      </c>
      <c r="GV3449" s="5" t="s">
        <v>240</v>
      </c>
      <c r="GW3449" s="5" t="s">
        <v>240</v>
      </c>
      <c r="GX3449" s="5" t="s">
        <v>240</v>
      </c>
      <c r="GY3449" s="5" t="s">
        <v>240</v>
      </c>
      <c r="GZ3449" s="5" t="s">
        <v>240</v>
      </c>
      <c r="HA3449" s="5" t="s">
        <v>240</v>
      </c>
      <c r="HB3449" s="5" t="s">
        <v>240</v>
      </c>
      <c r="HC3449" s="5" t="s">
        <v>240</v>
      </c>
      <c r="HD3449" s="5" t="s">
        <v>240</v>
      </c>
      <c r="HE3449" s="5" t="s">
        <v>240</v>
      </c>
      <c r="HF3449" s="5" t="s">
        <v>240</v>
      </c>
      <c r="HG3449" s="5" t="s">
        <v>240</v>
      </c>
      <c r="HH3449" s="5" t="s">
        <v>240</v>
      </c>
      <c r="HI3449" s="5" t="s">
        <v>240</v>
      </c>
      <c r="HJ3449" s="5" t="s">
        <v>240</v>
      </c>
      <c r="HK3449" s="5" t="s">
        <v>240</v>
      </c>
      <c r="HL3449" s="5" t="s">
        <v>240</v>
      </c>
      <c r="HM3449" s="5" t="s">
        <v>240</v>
      </c>
      <c r="HN3449" s="5" t="s">
        <v>240</v>
      </c>
      <c r="HO3449" s="5" t="s">
        <v>240</v>
      </c>
      <c r="HP3449" s="5" t="s">
        <v>240</v>
      </c>
      <c r="HQ3449" s="5" t="s">
        <v>240</v>
      </c>
      <c r="HR3449" s="5" t="s">
        <v>240</v>
      </c>
      <c r="HS3449" s="5" t="s">
        <v>240</v>
      </c>
      <c r="HT3449" s="5" t="s">
        <v>240</v>
      </c>
      <c r="HU3449" s="5" t="s">
        <v>240</v>
      </c>
      <c r="HV3449" s="5" t="s">
        <v>240</v>
      </c>
      <c r="HW3449" s="5" t="s">
        <v>240</v>
      </c>
      <c r="HX3449" s="5" t="s">
        <v>240</v>
      </c>
      <c r="HY3449" s="5" t="s">
        <v>240</v>
      </c>
      <c r="HZ3449" s="5" t="s">
        <v>240</v>
      </c>
      <c r="IA3449" s="5" t="s">
        <v>240</v>
      </c>
      <c r="IB3449" s="5" t="s">
        <v>240</v>
      </c>
      <c r="IC3449" s="5" t="s">
        <v>240</v>
      </c>
      <c r="ID3449" s="5" t="s">
        <v>240</v>
      </c>
      <c r="IE3449" s="5" t="s">
        <v>240</v>
      </c>
      <c r="IF3449" s="5" t="s">
        <v>240</v>
      </c>
    </row>
    <row r="3450" spans="1:240" x14ac:dyDescent="0.4">
      <c r="A3450" s="5">
        <v>8992</v>
      </c>
      <c r="B3450" s="5">
        <v>1</v>
      </c>
      <c r="C3450" s="5">
        <v>1</v>
      </c>
      <c r="D3450" s="5" t="s">
        <v>723</v>
      </c>
      <c r="E3450" s="5" t="s">
        <v>5060</v>
      </c>
      <c r="F3450" s="5" t="s">
        <v>254</v>
      </c>
      <c r="G3450" s="5" t="s">
        <v>5061</v>
      </c>
      <c r="H3450" s="6" t="s">
        <v>5070</v>
      </c>
      <c r="I3450" s="5" t="s">
        <v>5069</v>
      </c>
      <c r="J3450" s="7">
        <f>1</f>
        <v>1</v>
      </c>
      <c r="K3450" s="5" t="s">
        <v>3682</v>
      </c>
      <c r="L3450" s="7">
        <f>1</f>
        <v>1</v>
      </c>
      <c r="M3450" s="7">
        <f>1</f>
        <v>1</v>
      </c>
      <c r="N3450" s="5" t="s">
        <v>242</v>
      </c>
      <c r="O3450" s="5">
        <v>1</v>
      </c>
      <c r="P3450" s="5" t="s">
        <v>294</v>
      </c>
      <c r="Q3450" s="5" t="s">
        <v>266</v>
      </c>
      <c r="R3450" s="5" t="s">
        <v>240</v>
      </c>
      <c r="S3450" s="5" t="s">
        <v>240</v>
      </c>
      <c r="T3450" s="5" t="s">
        <v>243</v>
      </c>
      <c r="U3450" s="5" t="s">
        <v>240</v>
      </c>
      <c r="V3450" s="5" t="s">
        <v>240</v>
      </c>
      <c r="Y3450" s="5" t="s">
        <v>240</v>
      </c>
      <c r="Z3450" s="6" t="s">
        <v>6118</v>
      </c>
      <c r="AB3450" s="6" t="s">
        <v>240</v>
      </c>
      <c r="AE3450" s="6" t="s">
        <v>747</v>
      </c>
      <c r="AF3450" s="5" t="s">
        <v>248</v>
      </c>
      <c r="AG3450" s="5" t="s">
        <v>249</v>
      </c>
      <c r="AW3450" s="5" t="s">
        <v>251</v>
      </c>
      <c r="AX3450" s="5" t="s">
        <v>240</v>
      </c>
      <c r="AY3450" s="5" t="s">
        <v>253</v>
      </c>
      <c r="AZ3450" s="5" t="s">
        <v>240</v>
      </c>
      <c r="BA3450" s="5" t="s">
        <v>255</v>
      </c>
      <c r="BB3450" s="5" t="s">
        <v>240</v>
      </c>
      <c r="BD3450" s="5" t="s">
        <v>240</v>
      </c>
      <c r="BF3450" s="5" t="s">
        <v>687</v>
      </c>
      <c r="BG3450" s="6" t="s">
        <v>6118</v>
      </c>
      <c r="BH3450" s="5" t="s">
        <v>302</v>
      </c>
      <c r="BI3450" s="5" t="s">
        <v>448</v>
      </c>
      <c r="BJ3450" s="5" t="s">
        <v>240</v>
      </c>
      <c r="BK3450" s="8">
        <f>0</f>
        <v>0</v>
      </c>
      <c r="BL3450" s="7">
        <f>0</f>
        <v>0</v>
      </c>
      <c r="BM3450" s="5" t="s">
        <v>258</v>
      </c>
      <c r="BN3450" s="5" t="s">
        <v>259</v>
      </c>
      <c r="CB3450" s="5" t="s">
        <v>240</v>
      </c>
      <c r="CC3450" s="5" t="s">
        <v>240</v>
      </c>
      <c r="CG3450" s="5" t="s">
        <v>449</v>
      </c>
      <c r="CH3450" s="5" t="s">
        <v>305</v>
      </c>
      <c r="CI3450" s="5" t="s">
        <v>240</v>
      </c>
      <c r="CL3450" s="6" t="s">
        <v>261</v>
      </c>
      <c r="CM3450" s="5" t="s">
        <v>240</v>
      </c>
      <c r="CN3450" s="5" t="s">
        <v>263</v>
      </c>
      <c r="CO3450" s="5" t="s">
        <v>240</v>
      </c>
      <c r="CP3450" s="5" t="s">
        <v>240</v>
      </c>
      <c r="CQ3450" s="5">
        <v>0</v>
      </c>
      <c r="CR3450" s="5" t="s">
        <v>306</v>
      </c>
      <c r="CS3450" s="5" t="s">
        <v>307</v>
      </c>
      <c r="CT3450" s="5" t="s">
        <v>307</v>
      </c>
      <c r="CU3450" s="5" t="s">
        <v>260</v>
      </c>
      <c r="CX3450" s="7">
        <f>32191445</f>
        <v>32191445</v>
      </c>
      <c r="CY3450" s="7">
        <f>0</f>
        <v>0</v>
      </c>
      <c r="DA3450" s="7">
        <f>0</f>
        <v>0</v>
      </c>
      <c r="DC3450" s="5" t="s">
        <v>450</v>
      </c>
      <c r="DD3450" s="5" t="s">
        <v>240</v>
      </c>
      <c r="DF3450" s="5" t="s">
        <v>450</v>
      </c>
      <c r="DG3450" s="7">
        <f>0</f>
        <v>0</v>
      </c>
      <c r="DI3450" s="5" t="s">
        <v>240</v>
      </c>
      <c r="DJ3450" s="5" t="s">
        <v>240</v>
      </c>
      <c r="DK3450" s="5" t="s">
        <v>240</v>
      </c>
      <c r="DL3450" s="5" t="s">
        <v>240</v>
      </c>
      <c r="DP3450" s="5" t="s">
        <v>240</v>
      </c>
      <c r="DQ3450" s="5" t="s">
        <v>240</v>
      </c>
      <c r="DR3450" s="5" t="s">
        <v>240</v>
      </c>
      <c r="DS3450" s="5" t="s">
        <v>240</v>
      </c>
      <c r="DV3450" s="5" t="s">
        <v>310</v>
      </c>
      <c r="DW3450" s="5" t="s">
        <v>2385</v>
      </c>
      <c r="HO3450" s="5" t="s">
        <v>312</v>
      </c>
    </row>
    <row r="3451" spans="1:240" x14ac:dyDescent="0.4">
      <c r="A3451" s="5">
        <v>8993</v>
      </c>
      <c r="B3451" s="5">
        <v>1</v>
      </c>
      <c r="C3451" s="5">
        <v>1</v>
      </c>
      <c r="D3451" s="5" t="s">
        <v>723</v>
      </c>
      <c r="E3451" s="5" t="s">
        <v>5060</v>
      </c>
      <c r="F3451" s="5" t="s">
        <v>254</v>
      </c>
      <c r="G3451" s="5" t="s">
        <v>5061</v>
      </c>
      <c r="H3451" s="6" t="s">
        <v>5078</v>
      </c>
      <c r="I3451" s="5" t="s">
        <v>5077</v>
      </c>
      <c r="J3451" s="7">
        <f>1</f>
        <v>1</v>
      </c>
      <c r="K3451" s="5" t="s">
        <v>3682</v>
      </c>
      <c r="L3451" s="7">
        <f>1</f>
        <v>1</v>
      </c>
      <c r="M3451" s="7">
        <f>1</f>
        <v>1</v>
      </c>
      <c r="N3451" s="5" t="s">
        <v>242</v>
      </c>
      <c r="O3451" s="5">
        <v>1</v>
      </c>
      <c r="P3451" s="5" t="s">
        <v>294</v>
      </c>
      <c r="Q3451" s="5" t="s">
        <v>3678</v>
      </c>
      <c r="R3451" s="5" t="s">
        <v>240</v>
      </c>
      <c r="S3451" s="5" t="s">
        <v>240</v>
      </c>
      <c r="T3451" s="5" t="s">
        <v>243</v>
      </c>
      <c r="U3451" s="5" t="s">
        <v>244</v>
      </c>
      <c r="V3451" s="5" t="s">
        <v>240</v>
      </c>
      <c r="W3451" s="5" t="s">
        <v>240</v>
      </c>
      <c r="X3451" s="5" t="s">
        <v>240</v>
      </c>
      <c r="Y3451" s="5" t="s">
        <v>240</v>
      </c>
      <c r="Z3451" s="6" t="s">
        <v>298</v>
      </c>
      <c r="AA3451" s="6" t="s">
        <v>240</v>
      </c>
      <c r="AB3451" s="6" t="s">
        <v>240</v>
      </c>
      <c r="AC3451" s="5" t="s">
        <v>240</v>
      </c>
      <c r="AD3451" s="6" t="s">
        <v>240</v>
      </c>
      <c r="AE3451" s="6" t="s">
        <v>299</v>
      </c>
      <c r="AF3451" s="5" t="s">
        <v>248</v>
      </c>
      <c r="AG3451" s="5" t="s">
        <v>249</v>
      </c>
      <c r="AH3451" s="5" t="s">
        <v>240</v>
      </c>
      <c r="AI3451" s="5" t="s">
        <v>240</v>
      </c>
      <c r="AJ3451" s="5" t="s">
        <v>240</v>
      </c>
      <c r="AK3451" s="5" t="s">
        <v>240</v>
      </c>
      <c r="AL3451" s="5" t="s">
        <v>240</v>
      </c>
      <c r="AM3451" s="5" t="s">
        <v>240</v>
      </c>
      <c r="AN3451" s="5" t="s">
        <v>240</v>
      </c>
      <c r="AO3451" s="5" t="s">
        <v>240</v>
      </c>
      <c r="AP3451" s="6" t="s">
        <v>240</v>
      </c>
      <c r="AQ3451" s="6" t="s">
        <v>240</v>
      </c>
      <c r="AR3451" s="6" t="s">
        <v>240</v>
      </c>
      <c r="AS3451" s="6" t="s">
        <v>240</v>
      </c>
      <c r="AT3451" s="5" t="s">
        <v>240</v>
      </c>
      <c r="AU3451" s="5" t="s">
        <v>729</v>
      </c>
      <c r="AV3451" s="5" t="s">
        <v>729</v>
      </c>
      <c r="AW3451" s="5" t="s">
        <v>251</v>
      </c>
      <c r="AX3451" s="5" t="s">
        <v>252</v>
      </c>
      <c r="AY3451" s="5" t="s">
        <v>253</v>
      </c>
      <c r="AZ3451" s="5" t="s">
        <v>6046</v>
      </c>
      <c r="BA3451" s="5" t="s">
        <v>255</v>
      </c>
      <c r="BB3451" s="5" t="s">
        <v>731</v>
      </c>
      <c r="BD3451" s="5" t="s">
        <v>240</v>
      </c>
      <c r="BF3451" s="5" t="s">
        <v>732</v>
      </c>
      <c r="BG3451" s="6" t="s">
        <v>733</v>
      </c>
      <c r="BH3451" s="5" t="s">
        <v>734</v>
      </c>
      <c r="BI3451" s="5" t="s">
        <v>734</v>
      </c>
      <c r="BJ3451" s="5" t="s">
        <v>240</v>
      </c>
      <c r="BK3451" s="7">
        <f>1</f>
        <v>1</v>
      </c>
      <c r="BL3451" s="7">
        <f>1</f>
        <v>1</v>
      </c>
      <c r="BM3451" s="5" t="s">
        <v>258</v>
      </c>
      <c r="BN3451" s="5" t="s">
        <v>259</v>
      </c>
      <c r="BO3451" s="5" t="s">
        <v>240</v>
      </c>
      <c r="BP3451" s="5" t="s">
        <v>240</v>
      </c>
      <c r="BQ3451" s="5" t="s">
        <v>240</v>
      </c>
      <c r="BR3451" s="5" t="s">
        <v>240</v>
      </c>
      <c r="BS3451" s="5" t="s">
        <v>240</v>
      </c>
      <c r="BT3451" s="5" t="s">
        <v>240</v>
      </c>
      <c r="BU3451" s="5" t="s">
        <v>240</v>
      </c>
      <c r="BV3451" s="5" t="s">
        <v>240</v>
      </c>
      <c r="BW3451" s="6" t="s">
        <v>240</v>
      </c>
      <c r="BX3451" s="5" t="s">
        <v>240</v>
      </c>
      <c r="BY3451" s="5" t="s">
        <v>240</v>
      </c>
      <c r="BZ3451" s="5" t="s">
        <v>240</v>
      </c>
      <c r="CA3451" s="5" t="s">
        <v>259</v>
      </c>
      <c r="CB3451" s="5" t="s">
        <v>240</v>
      </c>
      <c r="CC3451" s="5" t="s">
        <v>240</v>
      </c>
      <c r="CD3451" s="5" t="s">
        <v>240</v>
      </c>
      <c r="CE3451" s="5" t="s">
        <v>240</v>
      </c>
      <c r="CF3451" s="5" t="s">
        <v>240</v>
      </c>
      <c r="CG3451" s="5" t="s">
        <v>304</v>
      </c>
      <c r="CH3451" s="5" t="s">
        <v>305</v>
      </c>
      <c r="CI3451" s="5" t="s">
        <v>260</v>
      </c>
      <c r="CK3451" s="5" t="s">
        <v>3681</v>
      </c>
      <c r="CL3451" s="6" t="s">
        <v>261</v>
      </c>
      <c r="CM3451" s="5" t="s">
        <v>262</v>
      </c>
      <c r="CN3451" s="5" t="s">
        <v>263</v>
      </c>
      <c r="CO3451" s="5" t="s">
        <v>264</v>
      </c>
      <c r="CP3451" s="5" t="s">
        <v>240</v>
      </c>
      <c r="CQ3451" s="5">
        <v>0</v>
      </c>
      <c r="CR3451" s="5" t="s">
        <v>735</v>
      </c>
      <c r="CS3451" s="5" t="s">
        <v>307</v>
      </c>
      <c r="CT3451" s="5" t="s">
        <v>307</v>
      </c>
      <c r="CU3451" s="5" t="s">
        <v>260</v>
      </c>
      <c r="CV3451" s="5" t="s">
        <v>612</v>
      </c>
      <c r="CW3451" s="8">
        <f>1</f>
        <v>1</v>
      </c>
      <c r="CX3451" s="7">
        <f>1</f>
        <v>1</v>
      </c>
      <c r="CY3451" s="7">
        <f>0</f>
        <v>0</v>
      </c>
      <c r="DA3451" s="7">
        <f>1</f>
        <v>1</v>
      </c>
      <c r="DB3451" s="7" t="s">
        <v>240</v>
      </c>
      <c r="DC3451" s="5" t="s">
        <v>240</v>
      </c>
      <c r="DD3451" s="5" t="s">
        <v>240</v>
      </c>
      <c r="DE3451" s="5" t="s">
        <v>240</v>
      </c>
      <c r="DF3451" s="5" t="s">
        <v>240</v>
      </c>
      <c r="DG3451" s="7">
        <f>0</f>
        <v>0</v>
      </c>
      <c r="DI3451" s="5" t="s">
        <v>240</v>
      </c>
      <c r="DJ3451" s="5" t="s">
        <v>240</v>
      </c>
      <c r="DK3451" s="5" t="s">
        <v>240</v>
      </c>
      <c r="DL3451" s="5" t="s">
        <v>240</v>
      </c>
      <c r="DM3451" s="5" t="s">
        <v>240</v>
      </c>
      <c r="DN3451" s="5" t="s">
        <v>240</v>
      </c>
      <c r="DO3451" s="7" t="s">
        <v>240</v>
      </c>
      <c r="DP3451" s="5" t="s">
        <v>240</v>
      </c>
      <c r="DQ3451" s="5" t="s">
        <v>248</v>
      </c>
      <c r="DR3451" s="5" t="s">
        <v>731</v>
      </c>
      <c r="DS3451" s="5" t="s">
        <v>731</v>
      </c>
      <c r="DT3451" s="5" t="s">
        <v>240</v>
      </c>
      <c r="DU3451" s="5" t="s">
        <v>240</v>
      </c>
      <c r="DV3451" s="5" t="s">
        <v>6047</v>
      </c>
      <c r="DW3451" s="5" t="s">
        <v>750</v>
      </c>
      <c r="DX3451" s="5" t="s">
        <v>240</v>
      </c>
      <c r="DY3451" s="5" t="s">
        <v>240</v>
      </c>
      <c r="DZ3451" s="5" t="s">
        <v>240</v>
      </c>
      <c r="EA3451" s="5" t="s">
        <v>240</v>
      </c>
      <c r="EB3451" s="5" t="s">
        <v>240</v>
      </c>
      <c r="EC3451" s="5" t="s">
        <v>240</v>
      </c>
      <c r="ED3451" s="5" t="s">
        <v>240</v>
      </c>
      <c r="EE3451" s="5" t="s">
        <v>240</v>
      </c>
      <c r="EF3451" s="5" t="s">
        <v>240</v>
      </c>
      <c r="EG3451" s="5" t="s">
        <v>240</v>
      </c>
      <c r="EH3451" s="5" t="s">
        <v>240</v>
      </c>
      <c r="EI3451" s="5" t="s">
        <v>240</v>
      </c>
      <c r="EJ3451" s="5" t="s">
        <v>240</v>
      </c>
      <c r="EK3451" s="5" t="s">
        <v>240</v>
      </c>
      <c r="EL3451" s="5" t="s">
        <v>240</v>
      </c>
      <c r="EM3451" s="5" t="s">
        <v>240</v>
      </c>
      <c r="EN3451" s="5" t="s">
        <v>240</v>
      </c>
      <c r="EO3451" s="5" t="s">
        <v>240</v>
      </c>
      <c r="EP3451" s="5" t="s">
        <v>240</v>
      </c>
      <c r="EQ3451" s="5" t="s">
        <v>240</v>
      </c>
      <c r="ER3451" s="5" t="s">
        <v>240</v>
      </c>
      <c r="ES3451" s="5" t="s">
        <v>240</v>
      </c>
      <c r="ET3451" s="5" t="s">
        <v>240</v>
      </c>
      <c r="EU3451" s="5" t="s">
        <v>240</v>
      </c>
      <c r="EV3451" s="5" t="s">
        <v>240</v>
      </c>
      <c r="EW3451" s="5" t="s">
        <v>240</v>
      </c>
      <c r="EX3451" s="5" t="s">
        <v>240</v>
      </c>
      <c r="EY3451" s="5" t="s">
        <v>240</v>
      </c>
      <c r="EZ3451" s="5" t="s">
        <v>240</v>
      </c>
      <c r="FA3451" s="5" t="s">
        <v>240</v>
      </c>
      <c r="FB3451" s="5" t="s">
        <v>240</v>
      </c>
      <c r="FC3451" s="5" t="s">
        <v>240</v>
      </c>
      <c r="FD3451" s="5" t="s">
        <v>240</v>
      </c>
      <c r="FE3451" s="5" t="s">
        <v>240</v>
      </c>
      <c r="FF3451" s="5" t="s">
        <v>240</v>
      </c>
      <c r="FG3451" s="5" t="s">
        <v>240</v>
      </c>
      <c r="FH3451" s="5" t="s">
        <v>240</v>
      </c>
      <c r="FI3451" s="5" t="s">
        <v>240</v>
      </c>
      <c r="FJ3451" s="5" t="s">
        <v>240</v>
      </c>
      <c r="FK3451" s="5" t="s">
        <v>240</v>
      </c>
      <c r="FL3451" s="5" t="s">
        <v>240</v>
      </c>
      <c r="FM3451" s="5" t="s">
        <v>240</v>
      </c>
      <c r="FN3451" s="5" t="s">
        <v>240</v>
      </c>
      <c r="FO3451" s="5" t="s">
        <v>240</v>
      </c>
      <c r="FP3451" s="5" t="s">
        <v>240</v>
      </c>
      <c r="FQ3451" s="5" t="s">
        <v>240</v>
      </c>
      <c r="FR3451" s="5" t="s">
        <v>240</v>
      </c>
      <c r="FS3451" s="5" t="s">
        <v>240</v>
      </c>
      <c r="FT3451" s="5" t="s">
        <v>240</v>
      </c>
      <c r="FU3451" s="5" t="s">
        <v>240</v>
      </c>
      <c r="FV3451" s="5" t="s">
        <v>240</v>
      </c>
      <c r="FW3451" s="5" t="s">
        <v>240</v>
      </c>
      <c r="FX3451" s="5" t="s">
        <v>240</v>
      </c>
      <c r="FY3451" s="5" t="s">
        <v>240</v>
      </c>
      <c r="FZ3451" s="5" t="s">
        <v>240</v>
      </c>
      <c r="GA3451" s="5" t="s">
        <v>240</v>
      </c>
      <c r="GB3451" s="5" t="s">
        <v>240</v>
      </c>
      <c r="GC3451" s="5" t="s">
        <v>240</v>
      </c>
      <c r="GD3451" s="5" t="s">
        <v>240</v>
      </c>
      <c r="GE3451" s="5" t="s">
        <v>240</v>
      </c>
      <c r="GF3451" s="5" t="s">
        <v>240</v>
      </c>
      <c r="GG3451" s="5" t="s">
        <v>240</v>
      </c>
      <c r="GH3451" s="5" t="s">
        <v>240</v>
      </c>
      <c r="GI3451" s="5" t="s">
        <v>240</v>
      </c>
      <c r="GJ3451" s="5" t="s">
        <v>240</v>
      </c>
      <c r="GK3451" s="5" t="s">
        <v>240</v>
      </c>
      <c r="GL3451" s="5" t="s">
        <v>240</v>
      </c>
      <c r="GM3451" s="5" t="s">
        <v>240</v>
      </c>
      <c r="GN3451" s="5" t="s">
        <v>240</v>
      </c>
      <c r="GO3451" s="5" t="s">
        <v>240</v>
      </c>
      <c r="GP3451" s="5" t="s">
        <v>240</v>
      </c>
      <c r="GQ3451" s="5" t="s">
        <v>240</v>
      </c>
      <c r="GR3451" s="5" t="s">
        <v>240</v>
      </c>
      <c r="GS3451" s="5" t="s">
        <v>240</v>
      </c>
      <c r="GT3451" s="5" t="s">
        <v>240</v>
      </c>
      <c r="GU3451" s="5" t="s">
        <v>240</v>
      </c>
      <c r="GV3451" s="5" t="s">
        <v>240</v>
      </c>
      <c r="GW3451" s="5" t="s">
        <v>240</v>
      </c>
      <c r="GX3451" s="5" t="s">
        <v>240</v>
      </c>
      <c r="GY3451" s="5" t="s">
        <v>240</v>
      </c>
      <c r="GZ3451" s="5" t="s">
        <v>240</v>
      </c>
      <c r="HA3451" s="5" t="s">
        <v>240</v>
      </c>
      <c r="HB3451" s="5" t="s">
        <v>240</v>
      </c>
      <c r="HC3451" s="5" t="s">
        <v>240</v>
      </c>
      <c r="HD3451" s="5" t="s">
        <v>240</v>
      </c>
      <c r="HE3451" s="5" t="s">
        <v>240</v>
      </c>
      <c r="HF3451" s="5" t="s">
        <v>240</v>
      </c>
      <c r="HG3451" s="5" t="s">
        <v>240</v>
      </c>
      <c r="HH3451" s="5" t="s">
        <v>240</v>
      </c>
      <c r="HI3451" s="5" t="s">
        <v>240</v>
      </c>
      <c r="HJ3451" s="5" t="s">
        <v>240</v>
      </c>
      <c r="HK3451" s="5" t="s">
        <v>240</v>
      </c>
      <c r="HL3451" s="5" t="s">
        <v>240</v>
      </c>
      <c r="HM3451" s="5" t="s">
        <v>240</v>
      </c>
      <c r="HN3451" s="5" t="s">
        <v>240</v>
      </c>
      <c r="HO3451" s="5" t="s">
        <v>240</v>
      </c>
      <c r="HP3451" s="5" t="s">
        <v>240</v>
      </c>
      <c r="HQ3451" s="5" t="s">
        <v>240</v>
      </c>
      <c r="HR3451" s="5" t="s">
        <v>240</v>
      </c>
      <c r="HS3451" s="5" t="s">
        <v>240</v>
      </c>
      <c r="HT3451" s="5" t="s">
        <v>240</v>
      </c>
      <c r="HU3451" s="5" t="s">
        <v>240</v>
      </c>
      <c r="HV3451" s="5" t="s">
        <v>240</v>
      </c>
      <c r="HW3451" s="5" t="s">
        <v>240</v>
      </c>
      <c r="HX3451" s="5" t="s">
        <v>240</v>
      </c>
      <c r="HY3451" s="5" t="s">
        <v>240</v>
      </c>
      <c r="HZ3451" s="5" t="s">
        <v>240</v>
      </c>
      <c r="IA3451" s="5" t="s">
        <v>240</v>
      </c>
      <c r="IB3451" s="5" t="s">
        <v>240</v>
      </c>
      <c r="IC3451" s="5" t="s">
        <v>240</v>
      </c>
      <c r="ID3451" s="5" t="s">
        <v>240</v>
      </c>
      <c r="IE3451" s="5" t="s">
        <v>240</v>
      </c>
      <c r="IF3451" s="5" t="s">
        <v>240</v>
      </c>
    </row>
    <row r="3452" spans="1:240" x14ac:dyDescent="0.4">
      <c r="A3452" s="5">
        <v>8994</v>
      </c>
      <c r="B3452" s="5">
        <v>1</v>
      </c>
      <c r="C3452" s="5">
        <v>1</v>
      </c>
      <c r="D3452" s="5" t="s">
        <v>723</v>
      </c>
      <c r="E3452" s="5" t="s">
        <v>5060</v>
      </c>
      <c r="F3452" s="5" t="s">
        <v>254</v>
      </c>
      <c r="G3452" s="5" t="s">
        <v>5061</v>
      </c>
      <c r="H3452" s="6" t="s">
        <v>5081</v>
      </c>
      <c r="I3452" s="5" t="s">
        <v>5080</v>
      </c>
      <c r="J3452" s="7">
        <f>1</f>
        <v>1</v>
      </c>
      <c r="K3452" s="5" t="s">
        <v>3682</v>
      </c>
      <c r="L3452" s="7">
        <f>1</f>
        <v>1</v>
      </c>
      <c r="M3452" s="7">
        <f>1</f>
        <v>1</v>
      </c>
      <c r="N3452" s="5" t="s">
        <v>242</v>
      </c>
      <c r="O3452" s="5">
        <v>1</v>
      </c>
      <c r="P3452" s="5" t="s">
        <v>294</v>
      </c>
      <c r="Q3452" s="5" t="s">
        <v>3678</v>
      </c>
      <c r="R3452" s="5" t="s">
        <v>240</v>
      </c>
      <c r="S3452" s="5" t="s">
        <v>240</v>
      </c>
      <c r="T3452" s="5" t="s">
        <v>243</v>
      </c>
      <c r="U3452" s="5" t="s">
        <v>244</v>
      </c>
      <c r="V3452" s="5" t="s">
        <v>240</v>
      </c>
      <c r="W3452" s="5" t="s">
        <v>240</v>
      </c>
      <c r="X3452" s="5" t="s">
        <v>240</v>
      </c>
      <c r="Y3452" s="5" t="s">
        <v>240</v>
      </c>
      <c r="Z3452" s="6" t="s">
        <v>298</v>
      </c>
      <c r="AA3452" s="6" t="s">
        <v>240</v>
      </c>
      <c r="AB3452" s="6" t="s">
        <v>240</v>
      </c>
      <c r="AC3452" s="5" t="s">
        <v>240</v>
      </c>
      <c r="AD3452" s="6" t="s">
        <v>240</v>
      </c>
      <c r="AE3452" s="6" t="s">
        <v>299</v>
      </c>
      <c r="AF3452" s="5" t="s">
        <v>248</v>
      </c>
      <c r="AG3452" s="5" t="s">
        <v>249</v>
      </c>
      <c r="AH3452" s="5" t="s">
        <v>240</v>
      </c>
      <c r="AI3452" s="5" t="s">
        <v>240</v>
      </c>
      <c r="AJ3452" s="5" t="s">
        <v>240</v>
      </c>
      <c r="AK3452" s="5" t="s">
        <v>240</v>
      </c>
      <c r="AL3452" s="5" t="s">
        <v>240</v>
      </c>
      <c r="AM3452" s="5" t="s">
        <v>240</v>
      </c>
      <c r="AN3452" s="5" t="s">
        <v>240</v>
      </c>
      <c r="AO3452" s="5" t="s">
        <v>240</v>
      </c>
      <c r="AP3452" s="6" t="s">
        <v>240</v>
      </c>
      <c r="AQ3452" s="6" t="s">
        <v>240</v>
      </c>
      <c r="AR3452" s="6" t="s">
        <v>240</v>
      </c>
      <c r="AS3452" s="6" t="s">
        <v>240</v>
      </c>
      <c r="AT3452" s="5" t="s">
        <v>240</v>
      </c>
      <c r="AU3452" s="5" t="s">
        <v>729</v>
      </c>
      <c r="AV3452" s="5" t="s">
        <v>729</v>
      </c>
      <c r="AW3452" s="5" t="s">
        <v>251</v>
      </c>
      <c r="AX3452" s="5" t="s">
        <v>252</v>
      </c>
      <c r="AY3452" s="5" t="s">
        <v>253</v>
      </c>
      <c r="AZ3452" s="5" t="s">
        <v>240</v>
      </c>
      <c r="BA3452" s="5" t="s">
        <v>255</v>
      </c>
      <c r="BB3452" s="5" t="s">
        <v>731</v>
      </c>
      <c r="BD3452" s="5" t="s">
        <v>240</v>
      </c>
      <c r="BF3452" s="5" t="s">
        <v>732</v>
      </c>
      <c r="BG3452" s="6" t="s">
        <v>733</v>
      </c>
      <c r="BH3452" s="5" t="s">
        <v>734</v>
      </c>
      <c r="BI3452" s="5" t="s">
        <v>734</v>
      </c>
      <c r="BJ3452" s="5" t="s">
        <v>240</v>
      </c>
      <c r="BK3452" s="7">
        <f>1</f>
        <v>1</v>
      </c>
      <c r="BL3452" s="7">
        <f>1</f>
        <v>1</v>
      </c>
      <c r="BM3452" s="5" t="s">
        <v>258</v>
      </c>
      <c r="BN3452" s="5" t="s">
        <v>259</v>
      </c>
      <c r="BO3452" s="5" t="s">
        <v>240</v>
      </c>
      <c r="BP3452" s="5" t="s">
        <v>240</v>
      </c>
      <c r="BQ3452" s="5" t="s">
        <v>240</v>
      </c>
      <c r="BR3452" s="5" t="s">
        <v>240</v>
      </c>
      <c r="BS3452" s="5" t="s">
        <v>240</v>
      </c>
      <c r="BT3452" s="5" t="s">
        <v>240</v>
      </c>
      <c r="BU3452" s="5" t="s">
        <v>240</v>
      </c>
      <c r="BV3452" s="5" t="s">
        <v>240</v>
      </c>
      <c r="BW3452" s="6" t="s">
        <v>240</v>
      </c>
      <c r="BX3452" s="5" t="s">
        <v>240</v>
      </c>
      <c r="BY3452" s="5" t="s">
        <v>240</v>
      </c>
      <c r="BZ3452" s="5" t="s">
        <v>240</v>
      </c>
      <c r="CA3452" s="5" t="s">
        <v>259</v>
      </c>
      <c r="CB3452" s="5" t="s">
        <v>240</v>
      </c>
      <c r="CC3452" s="5" t="s">
        <v>240</v>
      </c>
      <c r="CD3452" s="5" t="s">
        <v>240</v>
      </c>
      <c r="CE3452" s="5" t="s">
        <v>240</v>
      </c>
      <c r="CF3452" s="5" t="s">
        <v>240</v>
      </c>
      <c r="CG3452" s="5" t="s">
        <v>304</v>
      </c>
      <c r="CH3452" s="5" t="s">
        <v>305</v>
      </c>
      <c r="CI3452" s="5" t="s">
        <v>240</v>
      </c>
      <c r="CK3452" s="5" t="s">
        <v>3681</v>
      </c>
      <c r="CL3452" s="6" t="s">
        <v>261</v>
      </c>
      <c r="CM3452" s="5" t="s">
        <v>262</v>
      </c>
      <c r="CN3452" s="5" t="s">
        <v>263</v>
      </c>
      <c r="CO3452" s="5" t="s">
        <v>264</v>
      </c>
      <c r="CP3452" s="5" t="s">
        <v>240</v>
      </c>
      <c r="CQ3452" s="5">
        <v>0</v>
      </c>
      <c r="CR3452" s="5" t="s">
        <v>735</v>
      </c>
      <c r="CS3452" s="5" t="s">
        <v>307</v>
      </c>
      <c r="CT3452" s="5" t="s">
        <v>307</v>
      </c>
      <c r="CU3452" s="5" t="s">
        <v>260</v>
      </c>
      <c r="CV3452" s="5" t="s">
        <v>612</v>
      </c>
      <c r="CW3452" s="8">
        <f>1</f>
        <v>1</v>
      </c>
      <c r="CX3452" s="7">
        <f>1</f>
        <v>1</v>
      </c>
      <c r="CY3452" s="7">
        <f>0</f>
        <v>0</v>
      </c>
      <c r="DA3452" s="7">
        <f>1</f>
        <v>1</v>
      </c>
      <c r="DB3452" s="7" t="s">
        <v>240</v>
      </c>
      <c r="DC3452" s="5" t="s">
        <v>240</v>
      </c>
      <c r="DD3452" s="5" t="s">
        <v>240</v>
      </c>
      <c r="DE3452" s="5" t="s">
        <v>240</v>
      </c>
      <c r="DF3452" s="5" t="s">
        <v>240</v>
      </c>
      <c r="DG3452" s="7">
        <f>0</f>
        <v>0</v>
      </c>
      <c r="DI3452" s="5" t="s">
        <v>240</v>
      </c>
      <c r="DJ3452" s="5" t="s">
        <v>240</v>
      </c>
      <c r="DK3452" s="5" t="s">
        <v>240</v>
      </c>
      <c r="DL3452" s="5" t="s">
        <v>240</v>
      </c>
      <c r="DM3452" s="5" t="s">
        <v>240</v>
      </c>
      <c r="DN3452" s="5" t="s">
        <v>240</v>
      </c>
      <c r="DO3452" s="7" t="s">
        <v>240</v>
      </c>
      <c r="DP3452" s="5" t="s">
        <v>240</v>
      </c>
      <c r="DQ3452" s="5" t="s">
        <v>240</v>
      </c>
      <c r="DR3452" s="5" t="s">
        <v>731</v>
      </c>
      <c r="DS3452" s="5" t="s">
        <v>731</v>
      </c>
      <c r="DT3452" s="5" t="s">
        <v>240</v>
      </c>
      <c r="DU3452" s="5" t="s">
        <v>240</v>
      </c>
      <c r="DV3452" s="5" t="s">
        <v>5063</v>
      </c>
      <c r="DW3452" s="5" t="s">
        <v>695</v>
      </c>
      <c r="DX3452" s="5" t="s">
        <v>240</v>
      </c>
      <c r="DY3452" s="5" t="s">
        <v>240</v>
      </c>
      <c r="DZ3452" s="5" t="s">
        <v>240</v>
      </c>
      <c r="EA3452" s="5" t="s">
        <v>240</v>
      </c>
      <c r="EB3452" s="5" t="s">
        <v>240</v>
      </c>
      <c r="EC3452" s="5" t="s">
        <v>240</v>
      </c>
      <c r="ED3452" s="5" t="s">
        <v>240</v>
      </c>
      <c r="EE3452" s="5" t="s">
        <v>240</v>
      </c>
      <c r="EF3452" s="5" t="s">
        <v>240</v>
      </c>
      <c r="EG3452" s="5" t="s">
        <v>240</v>
      </c>
      <c r="EH3452" s="5" t="s">
        <v>240</v>
      </c>
      <c r="EI3452" s="5" t="s">
        <v>240</v>
      </c>
      <c r="EJ3452" s="5" t="s">
        <v>240</v>
      </c>
      <c r="EK3452" s="5" t="s">
        <v>240</v>
      </c>
      <c r="EL3452" s="5" t="s">
        <v>240</v>
      </c>
      <c r="EM3452" s="5" t="s">
        <v>240</v>
      </c>
      <c r="EN3452" s="5" t="s">
        <v>240</v>
      </c>
      <c r="EO3452" s="5" t="s">
        <v>240</v>
      </c>
      <c r="EP3452" s="5" t="s">
        <v>240</v>
      </c>
      <c r="EQ3452" s="5" t="s">
        <v>240</v>
      </c>
      <c r="ER3452" s="5" t="s">
        <v>240</v>
      </c>
      <c r="ES3452" s="5" t="s">
        <v>240</v>
      </c>
      <c r="ET3452" s="5" t="s">
        <v>240</v>
      </c>
      <c r="EU3452" s="5" t="s">
        <v>240</v>
      </c>
      <c r="EV3452" s="5" t="s">
        <v>240</v>
      </c>
      <c r="EW3452" s="5" t="s">
        <v>240</v>
      </c>
      <c r="EX3452" s="5" t="s">
        <v>240</v>
      </c>
      <c r="EY3452" s="5" t="s">
        <v>240</v>
      </c>
      <c r="EZ3452" s="5" t="s">
        <v>240</v>
      </c>
      <c r="FA3452" s="5" t="s">
        <v>240</v>
      </c>
      <c r="FB3452" s="5" t="s">
        <v>240</v>
      </c>
      <c r="FC3452" s="5" t="s">
        <v>240</v>
      </c>
      <c r="FD3452" s="5" t="s">
        <v>240</v>
      </c>
      <c r="FE3452" s="5" t="s">
        <v>240</v>
      </c>
      <c r="FF3452" s="5" t="s">
        <v>240</v>
      </c>
      <c r="FG3452" s="5" t="s">
        <v>240</v>
      </c>
      <c r="FH3452" s="5" t="s">
        <v>240</v>
      </c>
      <c r="FI3452" s="5" t="s">
        <v>240</v>
      </c>
      <c r="FJ3452" s="5" t="s">
        <v>240</v>
      </c>
      <c r="FK3452" s="5" t="s">
        <v>240</v>
      </c>
      <c r="FL3452" s="5" t="s">
        <v>240</v>
      </c>
      <c r="FM3452" s="5" t="s">
        <v>240</v>
      </c>
      <c r="FN3452" s="5" t="s">
        <v>240</v>
      </c>
      <c r="FO3452" s="5" t="s">
        <v>240</v>
      </c>
      <c r="FP3452" s="5" t="s">
        <v>240</v>
      </c>
      <c r="FQ3452" s="5" t="s">
        <v>240</v>
      </c>
      <c r="FR3452" s="5" t="s">
        <v>240</v>
      </c>
      <c r="FS3452" s="5" t="s">
        <v>240</v>
      </c>
      <c r="FT3452" s="5" t="s">
        <v>240</v>
      </c>
      <c r="FU3452" s="5" t="s">
        <v>240</v>
      </c>
      <c r="FV3452" s="5" t="s">
        <v>240</v>
      </c>
      <c r="FW3452" s="5" t="s">
        <v>240</v>
      </c>
      <c r="FX3452" s="5" t="s">
        <v>240</v>
      </c>
      <c r="FY3452" s="5" t="s">
        <v>240</v>
      </c>
      <c r="FZ3452" s="5" t="s">
        <v>240</v>
      </c>
      <c r="GA3452" s="5" t="s">
        <v>240</v>
      </c>
      <c r="GB3452" s="5" t="s">
        <v>240</v>
      </c>
      <c r="GC3452" s="5" t="s">
        <v>240</v>
      </c>
      <c r="GD3452" s="5" t="s">
        <v>240</v>
      </c>
      <c r="GE3452" s="5" t="s">
        <v>240</v>
      </c>
      <c r="GF3452" s="5" t="s">
        <v>240</v>
      </c>
      <c r="GG3452" s="5" t="s">
        <v>240</v>
      </c>
      <c r="GH3452" s="5" t="s">
        <v>240</v>
      </c>
      <c r="GI3452" s="5" t="s">
        <v>240</v>
      </c>
      <c r="GJ3452" s="5" t="s">
        <v>240</v>
      </c>
      <c r="GK3452" s="5" t="s">
        <v>240</v>
      </c>
      <c r="GL3452" s="5" t="s">
        <v>240</v>
      </c>
      <c r="GM3452" s="5" t="s">
        <v>240</v>
      </c>
      <c r="GN3452" s="5" t="s">
        <v>240</v>
      </c>
      <c r="GO3452" s="5" t="s">
        <v>240</v>
      </c>
      <c r="GP3452" s="5" t="s">
        <v>240</v>
      </c>
      <c r="GQ3452" s="5" t="s">
        <v>240</v>
      </c>
      <c r="GR3452" s="5" t="s">
        <v>240</v>
      </c>
      <c r="GS3452" s="5" t="s">
        <v>240</v>
      </c>
      <c r="GT3452" s="5" t="s">
        <v>240</v>
      </c>
      <c r="GU3452" s="5" t="s">
        <v>240</v>
      </c>
      <c r="GV3452" s="5" t="s">
        <v>240</v>
      </c>
      <c r="GW3452" s="5" t="s">
        <v>240</v>
      </c>
      <c r="GX3452" s="5" t="s">
        <v>240</v>
      </c>
      <c r="GY3452" s="5" t="s">
        <v>240</v>
      </c>
      <c r="GZ3452" s="5" t="s">
        <v>240</v>
      </c>
      <c r="HA3452" s="5" t="s">
        <v>240</v>
      </c>
      <c r="HB3452" s="5" t="s">
        <v>240</v>
      </c>
      <c r="HC3452" s="5" t="s">
        <v>240</v>
      </c>
      <c r="HD3452" s="5" t="s">
        <v>240</v>
      </c>
      <c r="HE3452" s="5" t="s">
        <v>240</v>
      </c>
      <c r="HF3452" s="5" t="s">
        <v>240</v>
      </c>
      <c r="HG3452" s="5" t="s">
        <v>240</v>
      </c>
      <c r="HH3452" s="5" t="s">
        <v>240</v>
      </c>
      <c r="HI3452" s="5" t="s">
        <v>240</v>
      </c>
      <c r="HJ3452" s="5" t="s">
        <v>240</v>
      </c>
      <c r="HK3452" s="5" t="s">
        <v>240</v>
      </c>
      <c r="HL3452" s="5" t="s">
        <v>240</v>
      </c>
      <c r="HM3452" s="5" t="s">
        <v>240</v>
      </c>
      <c r="HN3452" s="5" t="s">
        <v>240</v>
      </c>
      <c r="HO3452" s="5" t="s">
        <v>312</v>
      </c>
      <c r="HP3452" s="5" t="s">
        <v>240</v>
      </c>
      <c r="HQ3452" s="5" t="s">
        <v>240</v>
      </c>
      <c r="HR3452" s="5" t="s">
        <v>240</v>
      </c>
      <c r="HS3452" s="5" t="s">
        <v>240</v>
      </c>
      <c r="HT3452" s="5" t="s">
        <v>240</v>
      </c>
      <c r="HU3452" s="5" t="s">
        <v>240</v>
      </c>
      <c r="HV3452" s="5" t="s">
        <v>240</v>
      </c>
      <c r="HW3452" s="5" t="s">
        <v>240</v>
      </c>
      <c r="HX3452" s="5" t="s">
        <v>240</v>
      </c>
      <c r="HY3452" s="5" t="s">
        <v>240</v>
      </c>
      <c r="HZ3452" s="5" t="s">
        <v>240</v>
      </c>
      <c r="IA3452" s="5" t="s">
        <v>240</v>
      </c>
      <c r="IB3452" s="5" t="s">
        <v>240</v>
      </c>
      <c r="IC3452" s="5" t="s">
        <v>240</v>
      </c>
      <c r="ID3452" s="5" t="s">
        <v>240</v>
      </c>
      <c r="IE3452" s="5" t="s">
        <v>240</v>
      </c>
      <c r="IF3452" s="5" t="s">
        <v>240</v>
      </c>
    </row>
    <row r="3453" spans="1:240" x14ac:dyDescent="0.4">
      <c r="A3453" s="5">
        <v>8995</v>
      </c>
      <c r="B3453" s="5">
        <v>1</v>
      </c>
      <c r="C3453" s="5">
        <v>1</v>
      </c>
      <c r="D3453" s="5" t="s">
        <v>723</v>
      </c>
      <c r="E3453" s="5" t="s">
        <v>5060</v>
      </c>
      <c r="F3453" s="5" t="s">
        <v>254</v>
      </c>
      <c r="G3453" s="5" t="s">
        <v>5061</v>
      </c>
      <c r="H3453" s="6" t="s">
        <v>5085</v>
      </c>
      <c r="I3453" s="5" t="s">
        <v>5084</v>
      </c>
      <c r="J3453" s="7">
        <f>1</f>
        <v>1</v>
      </c>
      <c r="K3453" s="5" t="s">
        <v>3682</v>
      </c>
      <c r="L3453" s="7">
        <f>1</f>
        <v>1</v>
      </c>
      <c r="M3453" s="7">
        <f>1</f>
        <v>1</v>
      </c>
      <c r="N3453" s="5" t="s">
        <v>242</v>
      </c>
      <c r="O3453" s="5">
        <v>1</v>
      </c>
      <c r="P3453" s="5" t="s">
        <v>294</v>
      </c>
      <c r="Q3453" s="5" t="s">
        <v>3678</v>
      </c>
      <c r="R3453" s="5" t="s">
        <v>240</v>
      </c>
      <c r="S3453" s="5" t="s">
        <v>240</v>
      </c>
      <c r="T3453" s="5" t="s">
        <v>243</v>
      </c>
      <c r="U3453" s="5" t="s">
        <v>244</v>
      </c>
      <c r="V3453" s="5" t="s">
        <v>240</v>
      </c>
      <c r="W3453" s="5" t="s">
        <v>240</v>
      </c>
      <c r="X3453" s="5" t="s">
        <v>240</v>
      </c>
      <c r="Y3453" s="5" t="s">
        <v>240</v>
      </c>
      <c r="Z3453" s="6" t="s">
        <v>298</v>
      </c>
      <c r="AA3453" s="6" t="s">
        <v>240</v>
      </c>
      <c r="AB3453" s="6" t="s">
        <v>240</v>
      </c>
      <c r="AC3453" s="5" t="s">
        <v>240</v>
      </c>
      <c r="AD3453" s="6" t="s">
        <v>240</v>
      </c>
      <c r="AE3453" s="6" t="s">
        <v>299</v>
      </c>
      <c r="AF3453" s="5" t="s">
        <v>248</v>
      </c>
      <c r="AG3453" s="5" t="s">
        <v>249</v>
      </c>
      <c r="AH3453" s="5" t="s">
        <v>240</v>
      </c>
      <c r="AI3453" s="5" t="s">
        <v>240</v>
      </c>
      <c r="AJ3453" s="5" t="s">
        <v>240</v>
      </c>
      <c r="AK3453" s="5" t="s">
        <v>240</v>
      </c>
      <c r="AL3453" s="5" t="s">
        <v>240</v>
      </c>
      <c r="AM3453" s="5" t="s">
        <v>240</v>
      </c>
      <c r="AN3453" s="5" t="s">
        <v>240</v>
      </c>
      <c r="AO3453" s="5" t="s">
        <v>240</v>
      </c>
      <c r="AP3453" s="6" t="s">
        <v>240</v>
      </c>
      <c r="AQ3453" s="6" t="s">
        <v>240</v>
      </c>
      <c r="AR3453" s="6" t="s">
        <v>240</v>
      </c>
      <c r="AS3453" s="6" t="s">
        <v>240</v>
      </c>
      <c r="AT3453" s="5" t="s">
        <v>240</v>
      </c>
      <c r="AU3453" s="5" t="s">
        <v>729</v>
      </c>
      <c r="AV3453" s="5" t="s">
        <v>729</v>
      </c>
      <c r="AW3453" s="5" t="s">
        <v>251</v>
      </c>
      <c r="AX3453" s="5" t="s">
        <v>252</v>
      </c>
      <c r="AY3453" s="5" t="s">
        <v>253</v>
      </c>
      <c r="AZ3453" s="5" t="s">
        <v>6046</v>
      </c>
      <c r="BA3453" s="5" t="s">
        <v>255</v>
      </c>
      <c r="BB3453" s="5" t="s">
        <v>731</v>
      </c>
      <c r="BD3453" s="5" t="s">
        <v>240</v>
      </c>
      <c r="BF3453" s="5" t="s">
        <v>732</v>
      </c>
      <c r="BG3453" s="6" t="s">
        <v>733</v>
      </c>
      <c r="BH3453" s="5" t="s">
        <v>734</v>
      </c>
      <c r="BI3453" s="5" t="s">
        <v>734</v>
      </c>
      <c r="BJ3453" s="5" t="s">
        <v>240</v>
      </c>
      <c r="BK3453" s="7">
        <f>1</f>
        <v>1</v>
      </c>
      <c r="BL3453" s="7">
        <f>1</f>
        <v>1</v>
      </c>
      <c r="BM3453" s="5" t="s">
        <v>258</v>
      </c>
      <c r="BN3453" s="5" t="s">
        <v>259</v>
      </c>
      <c r="BO3453" s="5" t="s">
        <v>240</v>
      </c>
      <c r="BP3453" s="5" t="s">
        <v>240</v>
      </c>
      <c r="BQ3453" s="5" t="s">
        <v>240</v>
      </c>
      <c r="BR3453" s="5" t="s">
        <v>240</v>
      </c>
      <c r="BS3453" s="5" t="s">
        <v>240</v>
      </c>
      <c r="BT3453" s="5" t="s">
        <v>240</v>
      </c>
      <c r="BU3453" s="5" t="s">
        <v>240</v>
      </c>
      <c r="BV3453" s="5" t="s">
        <v>240</v>
      </c>
      <c r="BW3453" s="6" t="s">
        <v>240</v>
      </c>
      <c r="BX3453" s="5" t="s">
        <v>240</v>
      </c>
      <c r="BY3453" s="5" t="s">
        <v>240</v>
      </c>
      <c r="BZ3453" s="5" t="s">
        <v>240</v>
      </c>
      <c r="CA3453" s="5" t="s">
        <v>259</v>
      </c>
      <c r="CB3453" s="5" t="s">
        <v>240</v>
      </c>
      <c r="CC3453" s="5" t="s">
        <v>240</v>
      </c>
      <c r="CD3453" s="5" t="s">
        <v>240</v>
      </c>
      <c r="CE3453" s="5" t="s">
        <v>240</v>
      </c>
      <c r="CF3453" s="5" t="s">
        <v>240</v>
      </c>
      <c r="CG3453" s="5" t="s">
        <v>304</v>
      </c>
      <c r="CH3453" s="5" t="s">
        <v>305</v>
      </c>
      <c r="CI3453" s="5" t="s">
        <v>260</v>
      </c>
      <c r="CK3453" s="5" t="s">
        <v>3681</v>
      </c>
      <c r="CL3453" s="6" t="s">
        <v>261</v>
      </c>
      <c r="CM3453" s="5" t="s">
        <v>262</v>
      </c>
      <c r="CN3453" s="5" t="s">
        <v>263</v>
      </c>
      <c r="CO3453" s="5" t="s">
        <v>264</v>
      </c>
      <c r="CP3453" s="5" t="s">
        <v>240</v>
      </c>
      <c r="CQ3453" s="5">
        <v>0</v>
      </c>
      <c r="CR3453" s="5" t="s">
        <v>735</v>
      </c>
      <c r="CS3453" s="5" t="s">
        <v>307</v>
      </c>
      <c r="CT3453" s="5" t="s">
        <v>307</v>
      </c>
      <c r="CU3453" s="5" t="s">
        <v>260</v>
      </c>
      <c r="CV3453" s="5" t="s">
        <v>612</v>
      </c>
      <c r="CW3453" s="8">
        <f>1</f>
        <v>1</v>
      </c>
      <c r="CX3453" s="7">
        <f>1</f>
        <v>1</v>
      </c>
      <c r="CY3453" s="7">
        <f>0</f>
        <v>0</v>
      </c>
      <c r="DA3453" s="7">
        <f>1</f>
        <v>1</v>
      </c>
      <c r="DB3453" s="7" t="s">
        <v>240</v>
      </c>
      <c r="DC3453" s="5" t="s">
        <v>240</v>
      </c>
      <c r="DD3453" s="5" t="s">
        <v>240</v>
      </c>
      <c r="DE3453" s="5" t="s">
        <v>240</v>
      </c>
      <c r="DF3453" s="5" t="s">
        <v>240</v>
      </c>
      <c r="DG3453" s="7">
        <f>0</f>
        <v>0</v>
      </c>
      <c r="DI3453" s="5" t="s">
        <v>240</v>
      </c>
      <c r="DJ3453" s="5" t="s">
        <v>240</v>
      </c>
      <c r="DK3453" s="5" t="s">
        <v>240</v>
      </c>
      <c r="DL3453" s="5" t="s">
        <v>240</v>
      </c>
      <c r="DM3453" s="5" t="s">
        <v>240</v>
      </c>
      <c r="DN3453" s="5" t="s">
        <v>240</v>
      </c>
      <c r="DO3453" s="7" t="s">
        <v>240</v>
      </c>
      <c r="DP3453" s="5" t="s">
        <v>240</v>
      </c>
      <c r="DQ3453" s="5" t="s">
        <v>248</v>
      </c>
      <c r="DR3453" s="5" t="s">
        <v>731</v>
      </c>
      <c r="DS3453" s="5" t="s">
        <v>731</v>
      </c>
      <c r="DT3453" s="5" t="s">
        <v>240</v>
      </c>
      <c r="DU3453" s="5" t="s">
        <v>240</v>
      </c>
      <c r="DV3453" s="5" t="s">
        <v>6047</v>
      </c>
      <c r="DW3453" s="5" t="s">
        <v>748</v>
      </c>
      <c r="DX3453" s="5" t="s">
        <v>240</v>
      </c>
      <c r="DY3453" s="5" t="s">
        <v>240</v>
      </c>
      <c r="DZ3453" s="5" t="s">
        <v>240</v>
      </c>
      <c r="EA3453" s="5" t="s">
        <v>240</v>
      </c>
      <c r="EB3453" s="5" t="s">
        <v>240</v>
      </c>
      <c r="EC3453" s="5" t="s">
        <v>240</v>
      </c>
      <c r="ED3453" s="5" t="s">
        <v>240</v>
      </c>
      <c r="EE3453" s="5" t="s">
        <v>240</v>
      </c>
      <c r="EF3453" s="5" t="s">
        <v>240</v>
      </c>
      <c r="EG3453" s="5" t="s">
        <v>240</v>
      </c>
      <c r="EH3453" s="5" t="s">
        <v>240</v>
      </c>
      <c r="EI3453" s="5" t="s">
        <v>240</v>
      </c>
      <c r="EJ3453" s="5" t="s">
        <v>240</v>
      </c>
      <c r="EK3453" s="5" t="s">
        <v>240</v>
      </c>
      <c r="EL3453" s="5" t="s">
        <v>240</v>
      </c>
      <c r="EM3453" s="5" t="s">
        <v>240</v>
      </c>
      <c r="EN3453" s="5" t="s">
        <v>240</v>
      </c>
      <c r="EO3453" s="5" t="s">
        <v>240</v>
      </c>
      <c r="EP3453" s="5" t="s">
        <v>240</v>
      </c>
      <c r="EQ3453" s="5" t="s">
        <v>240</v>
      </c>
      <c r="ER3453" s="5" t="s">
        <v>240</v>
      </c>
      <c r="ES3453" s="5" t="s">
        <v>240</v>
      </c>
      <c r="ET3453" s="5" t="s">
        <v>240</v>
      </c>
      <c r="EU3453" s="5" t="s">
        <v>240</v>
      </c>
      <c r="EV3453" s="5" t="s">
        <v>240</v>
      </c>
      <c r="EW3453" s="5" t="s">
        <v>240</v>
      </c>
      <c r="EX3453" s="5" t="s">
        <v>240</v>
      </c>
      <c r="EY3453" s="5" t="s">
        <v>240</v>
      </c>
      <c r="EZ3453" s="5" t="s">
        <v>240</v>
      </c>
      <c r="FA3453" s="5" t="s">
        <v>240</v>
      </c>
      <c r="FB3453" s="5" t="s">
        <v>240</v>
      </c>
      <c r="FC3453" s="5" t="s">
        <v>240</v>
      </c>
      <c r="FD3453" s="5" t="s">
        <v>240</v>
      </c>
      <c r="FE3453" s="5" t="s">
        <v>240</v>
      </c>
      <c r="FF3453" s="5" t="s">
        <v>240</v>
      </c>
      <c r="FG3453" s="5" t="s">
        <v>240</v>
      </c>
      <c r="FH3453" s="5" t="s">
        <v>240</v>
      </c>
      <c r="FI3453" s="5" t="s">
        <v>240</v>
      </c>
      <c r="FJ3453" s="5" t="s">
        <v>240</v>
      </c>
      <c r="FK3453" s="5" t="s">
        <v>240</v>
      </c>
      <c r="FL3453" s="5" t="s">
        <v>240</v>
      </c>
      <c r="FM3453" s="5" t="s">
        <v>240</v>
      </c>
      <c r="FN3453" s="5" t="s">
        <v>240</v>
      </c>
      <c r="FO3453" s="5" t="s">
        <v>240</v>
      </c>
      <c r="FP3453" s="5" t="s">
        <v>240</v>
      </c>
      <c r="FQ3453" s="5" t="s">
        <v>240</v>
      </c>
      <c r="FR3453" s="5" t="s">
        <v>240</v>
      </c>
      <c r="FS3453" s="5" t="s">
        <v>240</v>
      </c>
      <c r="FT3453" s="5" t="s">
        <v>240</v>
      </c>
      <c r="FU3453" s="5" t="s">
        <v>240</v>
      </c>
      <c r="FV3453" s="5" t="s">
        <v>240</v>
      </c>
      <c r="FW3453" s="5" t="s">
        <v>240</v>
      </c>
      <c r="FX3453" s="5" t="s">
        <v>240</v>
      </c>
      <c r="FY3453" s="5" t="s">
        <v>240</v>
      </c>
      <c r="FZ3453" s="5" t="s">
        <v>240</v>
      </c>
      <c r="GA3453" s="5" t="s">
        <v>240</v>
      </c>
      <c r="GB3453" s="5" t="s">
        <v>240</v>
      </c>
      <c r="GC3453" s="5" t="s">
        <v>240</v>
      </c>
      <c r="GD3453" s="5" t="s">
        <v>240</v>
      </c>
      <c r="GE3453" s="5" t="s">
        <v>240</v>
      </c>
      <c r="GF3453" s="5" t="s">
        <v>240</v>
      </c>
      <c r="GG3453" s="5" t="s">
        <v>240</v>
      </c>
      <c r="GH3453" s="5" t="s">
        <v>240</v>
      </c>
      <c r="GI3453" s="5" t="s">
        <v>240</v>
      </c>
      <c r="GJ3453" s="5" t="s">
        <v>240</v>
      </c>
      <c r="GK3453" s="5" t="s">
        <v>240</v>
      </c>
      <c r="GL3453" s="5" t="s">
        <v>240</v>
      </c>
      <c r="GM3453" s="5" t="s">
        <v>240</v>
      </c>
      <c r="GN3453" s="5" t="s">
        <v>240</v>
      </c>
      <c r="GO3453" s="5" t="s">
        <v>240</v>
      </c>
      <c r="GP3453" s="5" t="s">
        <v>240</v>
      </c>
      <c r="GQ3453" s="5" t="s">
        <v>240</v>
      </c>
      <c r="GR3453" s="5" t="s">
        <v>240</v>
      </c>
      <c r="GS3453" s="5" t="s">
        <v>240</v>
      </c>
      <c r="GT3453" s="5" t="s">
        <v>240</v>
      </c>
      <c r="GU3453" s="5" t="s">
        <v>240</v>
      </c>
      <c r="GV3453" s="5" t="s">
        <v>240</v>
      </c>
      <c r="GW3453" s="5" t="s">
        <v>240</v>
      </c>
      <c r="GX3453" s="5" t="s">
        <v>240</v>
      </c>
      <c r="GY3453" s="5" t="s">
        <v>240</v>
      </c>
      <c r="GZ3453" s="5" t="s">
        <v>240</v>
      </c>
      <c r="HA3453" s="5" t="s">
        <v>240</v>
      </c>
      <c r="HB3453" s="5" t="s">
        <v>240</v>
      </c>
      <c r="HC3453" s="5" t="s">
        <v>240</v>
      </c>
      <c r="HD3453" s="5" t="s">
        <v>240</v>
      </c>
      <c r="HE3453" s="5" t="s">
        <v>240</v>
      </c>
      <c r="HF3453" s="5" t="s">
        <v>240</v>
      </c>
      <c r="HG3453" s="5" t="s">
        <v>240</v>
      </c>
      <c r="HH3453" s="5" t="s">
        <v>240</v>
      </c>
      <c r="HI3453" s="5" t="s">
        <v>240</v>
      </c>
      <c r="HJ3453" s="5" t="s">
        <v>240</v>
      </c>
      <c r="HK3453" s="5" t="s">
        <v>240</v>
      </c>
      <c r="HL3453" s="5" t="s">
        <v>240</v>
      </c>
      <c r="HM3453" s="5" t="s">
        <v>240</v>
      </c>
      <c r="HN3453" s="5" t="s">
        <v>240</v>
      </c>
      <c r="HO3453" s="5" t="s">
        <v>240</v>
      </c>
      <c r="HP3453" s="5" t="s">
        <v>240</v>
      </c>
      <c r="HQ3453" s="5" t="s">
        <v>240</v>
      </c>
      <c r="HR3453" s="5" t="s">
        <v>240</v>
      </c>
      <c r="HS3453" s="5" t="s">
        <v>240</v>
      </c>
      <c r="HT3453" s="5" t="s">
        <v>240</v>
      </c>
      <c r="HU3453" s="5" t="s">
        <v>240</v>
      </c>
      <c r="HV3453" s="5" t="s">
        <v>240</v>
      </c>
      <c r="HW3453" s="5" t="s">
        <v>240</v>
      </c>
      <c r="HX3453" s="5" t="s">
        <v>240</v>
      </c>
      <c r="HY3453" s="5" t="s">
        <v>240</v>
      </c>
      <c r="HZ3453" s="5" t="s">
        <v>240</v>
      </c>
      <c r="IA3453" s="5" t="s">
        <v>240</v>
      </c>
      <c r="IB3453" s="5" t="s">
        <v>240</v>
      </c>
      <c r="IC3453" s="5" t="s">
        <v>240</v>
      </c>
      <c r="ID3453" s="5" t="s">
        <v>240</v>
      </c>
      <c r="IE3453" s="5" t="s">
        <v>240</v>
      </c>
      <c r="IF3453" s="5" t="s">
        <v>240</v>
      </c>
    </row>
    <row r="3454" spans="1:240" x14ac:dyDescent="0.4">
      <c r="A3454" s="5">
        <v>8996</v>
      </c>
      <c r="B3454" s="5">
        <v>1</v>
      </c>
      <c r="C3454" s="5">
        <v>1</v>
      </c>
      <c r="D3454" s="5" t="s">
        <v>723</v>
      </c>
      <c r="E3454" s="5" t="s">
        <v>5060</v>
      </c>
      <c r="F3454" s="5" t="s">
        <v>254</v>
      </c>
      <c r="G3454" s="5" t="s">
        <v>5061</v>
      </c>
      <c r="H3454" s="6" t="s">
        <v>5087</v>
      </c>
      <c r="I3454" s="5" t="s">
        <v>5086</v>
      </c>
      <c r="J3454" s="7">
        <f>1</f>
        <v>1</v>
      </c>
      <c r="K3454" s="5" t="s">
        <v>3682</v>
      </c>
      <c r="L3454" s="7">
        <f>1</f>
        <v>1</v>
      </c>
      <c r="M3454" s="7">
        <f>1</f>
        <v>1</v>
      </c>
      <c r="N3454" s="5" t="s">
        <v>242</v>
      </c>
      <c r="O3454" s="5">
        <v>1</v>
      </c>
      <c r="P3454" s="5" t="s">
        <v>294</v>
      </c>
      <c r="Q3454" s="5" t="s">
        <v>266</v>
      </c>
      <c r="R3454" s="5" t="s">
        <v>240</v>
      </c>
      <c r="S3454" s="5" t="s">
        <v>240</v>
      </c>
      <c r="T3454" s="5" t="s">
        <v>243</v>
      </c>
      <c r="U3454" s="5" t="s">
        <v>244</v>
      </c>
      <c r="V3454" s="5" t="s">
        <v>240</v>
      </c>
      <c r="Y3454" s="5" t="s">
        <v>240</v>
      </c>
      <c r="Z3454" s="6" t="s">
        <v>3465</v>
      </c>
      <c r="AB3454" s="6" t="s">
        <v>240</v>
      </c>
      <c r="AE3454" s="6" t="s">
        <v>299</v>
      </c>
      <c r="AF3454" s="5" t="s">
        <v>248</v>
      </c>
      <c r="AG3454" s="5" t="s">
        <v>249</v>
      </c>
      <c r="AW3454" s="5" t="s">
        <v>251</v>
      </c>
      <c r="AX3454" s="5" t="s">
        <v>240</v>
      </c>
      <c r="AY3454" s="5" t="s">
        <v>253</v>
      </c>
      <c r="AZ3454" s="5" t="s">
        <v>240</v>
      </c>
      <c r="BA3454" s="5" t="s">
        <v>255</v>
      </c>
      <c r="BB3454" s="5" t="s">
        <v>240</v>
      </c>
      <c r="BD3454" s="5" t="s">
        <v>686</v>
      </c>
      <c r="BF3454" s="5" t="s">
        <v>301</v>
      </c>
      <c r="BG3454" s="6" t="s">
        <v>3465</v>
      </c>
      <c r="BH3454" s="5" t="s">
        <v>302</v>
      </c>
      <c r="BI3454" s="5" t="s">
        <v>448</v>
      </c>
      <c r="BJ3454" s="5" t="s">
        <v>240</v>
      </c>
      <c r="BK3454" s="8">
        <f>0</f>
        <v>0</v>
      </c>
      <c r="BL3454" s="7">
        <f>0</f>
        <v>0</v>
      </c>
      <c r="BM3454" s="5" t="s">
        <v>258</v>
      </c>
      <c r="BN3454" s="5" t="s">
        <v>259</v>
      </c>
      <c r="CB3454" s="5" t="s">
        <v>240</v>
      </c>
      <c r="CC3454" s="5" t="s">
        <v>240</v>
      </c>
      <c r="CG3454" s="5" t="s">
        <v>449</v>
      </c>
      <c r="CH3454" s="5" t="s">
        <v>305</v>
      </c>
      <c r="CI3454" s="5" t="s">
        <v>240</v>
      </c>
      <c r="CL3454" s="6" t="s">
        <v>261</v>
      </c>
      <c r="CM3454" s="5" t="s">
        <v>240</v>
      </c>
      <c r="CN3454" s="5" t="s">
        <v>263</v>
      </c>
      <c r="CO3454" s="5" t="s">
        <v>240</v>
      </c>
      <c r="CP3454" s="5" t="s">
        <v>240</v>
      </c>
      <c r="CQ3454" s="5">
        <v>0</v>
      </c>
      <c r="CR3454" s="5" t="s">
        <v>306</v>
      </c>
      <c r="CS3454" s="5" t="s">
        <v>307</v>
      </c>
      <c r="CT3454" s="5" t="s">
        <v>307</v>
      </c>
      <c r="CU3454" s="5" t="s">
        <v>260</v>
      </c>
      <c r="CX3454" s="7">
        <f>130590</f>
        <v>130590</v>
      </c>
      <c r="CY3454" s="7">
        <f>0</f>
        <v>0</v>
      </c>
      <c r="DA3454" s="7">
        <f>0</f>
        <v>0</v>
      </c>
      <c r="DC3454" s="5" t="s">
        <v>689</v>
      </c>
      <c r="DD3454" s="5" t="s">
        <v>240</v>
      </c>
      <c r="DF3454" s="5" t="s">
        <v>618</v>
      </c>
      <c r="DG3454" s="7">
        <f>304.06</f>
        <v>304.06</v>
      </c>
      <c r="DI3454" s="5" t="s">
        <v>240</v>
      </c>
      <c r="DJ3454" s="5" t="s">
        <v>240</v>
      </c>
      <c r="DK3454" s="5" t="s">
        <v>240</v>
      </c>
      <c r="DL3454" s="5" t="s">
        <v>240</v>
      </c>
      <c r="DP3454" s="5" t="s">
        <v>240</v>
      </c>
      <c r="DQ3454" s="5" t="s">
        <v>240</v>
      </c>
      <c r="DR3454" s="5" t="s">
        <v>240</v>
      </c>
      <c r="DS3454" s="5" t="s">
        <v>240</v>
      </c>
      <c r="DV3454" s="5" t="s">
        <v>6130</v>
      </c>
      <c r="DW3454" s="5" t="s">
        <v>312</v>
      </c>
      <c r="HO3454" s="5" t="s">
        <v>312</v>
      </c>
    </row>
    <row r="3455" spans="1:240" x14ac:dyDescent="0.4">
      <c r="A3455" s="5">
        <v>8997</v>
      </c>
      <c r="B3455" s="5">
        <v>1</v>
      </c>
      <c r="C3455" s="5">
        <v>1</v>
      </c>
      <c r="D3455" s="5" t="s">
        <v>723</v>
      </c>
      <c r="E3455" s="5" t="s">
        <v>5060</v>
      </c>
      <c r="F3455" s="5" t="s">
        <v>254</v>
      </c>
      <c r="G3455" s="5" t="s">
        <v>5061</v>
      </c>
      <c r="H3455" s="6" t="s">
        <v>5091</v>
      </c>
      <c r="I3455" s="5" t="s">
        <v>5090</v>
      </c>
      <c r="J3455" s="7">
        <f>1</f>
        <v>1</v>
      </c>
      <c r="K3455" s="5" t="s">
        <v>3682</v>
      </c>
      <c r="L3455" s="7">
        <f>1</f>
        <v>1</v>
      </c>
      <c r="M3455" s="7">
        <f>1</f>
        <v>1</v>
      </c>
      <c r="N3455" s="5" t="s">
        <v>242</v>
      </c>
      <c r="O3455" s="5">
        <v>1</v>
      </c>
      <c r="P3455" s="5" t="s">
        <v>294</v>
      </c>
      <c r="Q3455" s="5" t="s">
        <v>3678</v>
      </c>
      <c r="R3455" s="5" t="s">
        <v>240</v>
      </c>
      <c r="S3455" s="5" t="s">
        <v>240</v>
      </c>
      <c r="T3455" s="5" t="s">
        <v>243</v>
      </c>
      <c r="U3455" s="5" t="s">
        <v>244</v>
      </c>
      <c r="V3455" s="5" t="s">
        <v>240</v>
      </c>
      <c r="W3455" s="5" t="s">
        <v>240</v>
      </c>
      <c r="X3455" s="5" t="s">
        <v>240</v>
      </c>
      <c r="Y3455" s="5" t="s">
        <v>240</v>
      </c>
      <c r="Z3455" s="6" t="s">
        <v>298</v>
      </c>
      <c r="AA3455" s="6" t="s">
        <v>240</v>
      </c>
      <c r="AB3455" s="6" t="s">
        <v>240</v>
      </c>
      <c r="AC3455" s="5" t="s">
        <v>240</v>
      </c>
      <c r="AD3455" s="6" t="s">
        <v>240</v>
      </c>
      <c r="AE3455" s="6" t="s">
        <v>299</v>
      </c>
      <c r="AF3455" s="5" t="s">
        <v>248</v>
      </c>
      <c r="AG3455" s="5" t="s">
        <v>249</v>
      </c>
      <c r="AH3455" s="5" t="s">
        <v>240</v>
      </c>
      <c r="AI3455" s="5" t="s">
        <v>240</v>
      </c>
      <c r="AJ3455" s="5" t="s">
        <v>240</v>
      </c>
      <c r="AK3455" s="5" t="s">
        <v>240</v>
      </c>
      <c r="AL3455" s="5" t="s">
        <v>240</v>
      </c>
      <c r="AM3455" s="5" t="s">
        <v>240</v>
      </c>
      <c r="AN3455" s="5" t="s">
        <v>240</v>
      </c>
      <c r="AO3455" s="5" t="s">
        <v>240</v>
      </c>
      <c r="AP3455" s="6" t="s">
        <v>240</v>
      </c>
      <c r="AQ3455" s="6" t="s">
        <v>240</v>
      </c>
      <c r="AR3455" s="6" t="s">
        <v>240</v>
      </c>
      <c r="AS3455" s="6" t="s">
        <v>240</v>
      </c>
      <c r="AT3455" s="5" t="s">
        <v>240</v>
      </c>
      <c r="AU3455" s="5" t="s">
        <v>729</v>
      </c>
      <c r="AV3455" s="5" t="s">
        <v>729</v>
      </c>
      <c r="AW3455" s="5" t="s">
        <v>251</v>
      </c>
      <c r="AX3455" s="5" t="s">
        <v>252</v>
      </c>
      <c r="AY3455" s="5" t="s">
        <v>253</v>
      </c>
      <c r="AZ3455" s="5" t="s">
        <v>6046</v>
      </c>
      <c r="BA3455" s="5" t="s">
        <v>255</v>
      </c>
      <c r="BB3455" s="5" t="s">
        <v>731</v>
      </c>
      <c r="BD3455" s="5" t="s">
        <v>240</v>
      </c>
      <c r="BF3455" s="5" t="s">
        <v>732</v>
      </c>
      <c r="BG3455" s="6" t="s">
        <v>733</v>
      </c>
      <c r="BH3455" s="5" t="s">
        <v>734</v>
      </c>
      <c r="BI3455" s="5" t="s">
        <v>734</v>
      </c>
      <c r="BJ3455" s="5" t="s">
        <v>240</v>
      </c>
      <c r="BK3455" s="7">
        <f>1</f>
        <v>1</v>
      </c>
      <c r="BL3455" s="7">
        <f>1</f>
        <v>1</v>
      </c>
      <c r="BM3455" s="5" t="s">
        <v>258</v>
      </c>
      <c r="BN3455" s="5" t="s">
        <v>259</v>
      </c>
      <c r="BO3455" s="5" t="s">
        <v>240</v>
      </c>
      <c r="BP3455" s="5" t="s">
        <v>240</v>
      </c>
      <c r="BQ3455" s="5" t="s">
        <v>240</v>
      </c>
      <c r="BR3455" s="5" t="s">
        <v>240</v>
      </c>
      <c r="BS3455" s="5" t="s">
        <v>240</v>
      </c>
      <c r="BT3455" s="5" t="s">
        <v>240</v>
      </c>
      <c r="BU3455" s="5" t="s">
        <v>240</v>
      </c>
      <c r="BV3455" s="5" t="s">
        <v>240</v>
      </c>
      <c r="BW3455" s="6" t="s">
        <v>240</v>
      </c>
      <c r="BX3455" s="5" t="s">
        <v>240</v>
      </c>
      <c r="BY3455" s="5" t="s">
        <v>240</v>
      </c>
      <c r="BZ3455" s="5" t="s">
        <v>240</v>
      </c>
      <c r="CA3455" s="5" t="s">
        <v>259</v>
      </c>
      <c r="CB3455" s="5" t="s">
        <v>240</v>
      </c>
      <c r="CC3455" s="5" t="s">
        <v>240</v>
      </c>
      <c r="CD3455" s="5" t="s">
        <v>240</v>
      </c>
      <c r="CE3455" s="5" t="s">
        <v>240</v>
      </c>
      <c r="CF3455" s="5" t="s">
        <v>240</v>
      </c>
      <c r="CG3455" s="5" t="s">
        <v>304</v>
      </c>
      <c r="CH3455" s="5" t="s">
        <v>305</v>
      </c>
      <c r="CI3455" s="5" t="s">
        <v>260</v>
      </c>
      <c r="CK3455" s="5" t="s">
        <v>3681</v>
      </c>
      <c r="CL3455" s="6" t="s">
        <v>261</v>
      </c>
      <c r="CM3455" s="5" t="s">
        <v>262</v>
      </c>
      <c r="CN3455" s="5" t="s">
        <v>263</v>
      </c>
      <c r="CO3455" s="5" t="s">
        <v>264</v>
      </c>
      <c r="CP3455" s="5" t="s">
        <v>240</v>
      </c>
      <c r="CQ3455" s="5">
        <v>0</v>
      </c>
      <c r="CR3455" s="5" t="s">
        <v>735</v>
      </c>
      <c r="CS3455" s="5" t="s">
        <v>307</v>
      </c>
      <c r="CT3455" s="5" t="s">
        <v>307</v>
      </c>
      <c r="CU3455" s="5" t="s">
        <v>260</v>
      </c>
      <c r="CV3455" s="5" t="s">
        <v>612</v>
      </c>
      <c r="CW3455" s="8">
        <f>1</f>
        <v>1</v>
      </c>
      <c r="CX3455" s="7">
        <f>1</f>
        <v>1</v>
      </c>
      <c r="CY3455" s="7">
        <f>0</f>
        <v>0</v>
      </c>
      <c r="DA3455" s="7">
        <f>1</f>
        <v>1</v>
      </c>
      <c r="DB3455" s="7" t="s">
        <v>240</v>
      </c>
      <c r="DC3455" s="5" t="s">
        <v>240</v>
      </c>
      <c r="DD3455" s="5" t="s">
        <v>240</v>
      </c>
      <c r="DE3455" s="5" t="s">
        <v>240</v>
      </c>
      <c r="DF3455" s="5" t="s">
        <v>240</v>
      </c>
      <c r="DG3455" s="7">
        <f>0</f>
        <v>0</v>
      </c>
      <c r="DI3455" s="5" t="s">
        <v>240</v>
      </c>
      <c r="DJ3455" s="5" t="s">
        <v>240</v>
      </c>
      <c r="DK3455" s="5" t="s">
        <v>240</v>
      </c>
      <c r="DL3455" s="5" t="s">
        <v>240</v>
      </c>
      <c r="DM3455" s="5" t="s">
        <v>240</v>
      </c>
      <c r="DN3455" s="5" t="s">
        <v>240</v>
      </c>
      <c r="DO3455" s="7" t="s">
        <v>240</v>
      </c>
      <c r="DP3455" s="5" t="s">
        <v>240</v>
      </c>
      <c r="DQ3455" s="5" t="s">
        <v>248</v>
      </c>
      <c r="DR3455" s="5" t="s">
        <v>731</v>
      </c>
      <c r="DS3455" s="5" t="s">
        <v>731</v>
      </c>
      <c r="DT3455" s="5" t="s">
        <v>240</v>
      </c>
      <c r="DU3455" s="5" t="s">
        <v>240</v>
      </c>
      <c r="DV3455" s="5" t="s">
        <v>6047</v>
      </c>
      <c r="DW3455" s="5" t="s">
        <v>744</v>
      </c>
      <c r="DX3455" s="5" t="s">
        <v>240</v>
      </c>
      <c r="DY3455" s="5" t="s">
        <v>240</v>
      </c>
      <c r="DZ3455" s="5" t="s">
        <v>240</v>
      </c>
      <c r="EA3455" s="5" t="s">
        <v>240</v>
      </c>
      <c r="EB3455" s="5" t="s">
        <v>240</v>
      </c>
      <c r="EC3455" s="5" t="s">
        <v>240</v>
      </c>
      <c r="ED3455" s="5" t="s">
        <v>240</v>
      </c>
      <c r="EE3455" s="5" t="s">
        <v>240</v>
      </c>
      <c r="EF3455" s="5" t="s">
        <v>240</v>
      </c>
      <c r="EG3455" s="5" t="s">
        <v>240</v>
      </c>
      <c r="EH3455" s="5" t="s">
        <v>240</v>
      </c>
      <c r="EI3455" s="5" t="s">
        <v>240</v>
      </c>
      <c r="EJ3455" s="5" t="s">
        <v>240</v>
      </c>
      <c r="EK3455" s="5" t="s">
        <v>240</v>
      </c>
      <c r="EL3455" s="5" t="s">
        <v>240</v>
      </c>
      <c r="EM3455" s="5" t="s">
        <v>240</v>
      </c>
      <c r="EN3455" s="5" t="s">
        <v>240</v>
      </c>
      <c r="EO3455" s="5" t="s">
        <v>240</v>
      </c>
      <c r="EP3455" s="5" t="s">
        <v>240</v>
      </c>
      <c r="EQ3455" s="5" t="s">
        <v>240</v>
      </c>
      <c r="ER3455" s="5" t="s">
        <v>240</v>
      </c>
      <c r="ES3455" s="5" t="s">
        <v>240</v>
      </c>
      <c r="ET3455" s="5" t="s">
        <v>240</v>
      </c>
      <c r="EU3455" s="5" t="s">
        <v>240</v>
      </c>
      <c r="EV3455" s="5" t="s">
        <v>240</v>
      </c>
      <c r="EW3455" s="5" t="s">
        <v>240</v>
      </c>
      <c r="EX3455" s="5" t="s">
        <v>240</v>
      </c>
      <c r="EY3455" s="5" t="s">
        <v>240</v>
      </c>
      <c r="EZ3455" s="5" t="s">
        <v>240</v>
      </c>
      <c r="FA3455" s="5" t="s">
        <v>240</v>
      </c>
      <c r="FB3455" s="5" t="s">
        <v>240</v>
      </c>
      <c r="FC3455" s="5" t="s">
        <v>240</v>
      </c>
      <c r="FD3455" s="5" t="s">
        <v>240</v>
      </c>
      <c r="FE3455" s="5" t="s">
        <v>240</v>
      </c>
      <c r="FF3455" s="5" t="s">
        <v>240</v>
      </c>
      <c r="FG3455" s="5" t="s">
        <v>240</v>
      </c>
      <c r="FH3455" s="5" t="s">
        <v>240</v>
      </c>
      <c r="FI3455" s="5" t="s">
        <v>240</v>
      </c>
      <c r="FJ3455" s="5" t="s">
        <v>240</v>
      </c>
      <c r="FK3455" s="5" t="s">
        <v>240</v>
      </c>
      <c r="FL3455" s="5" t="s">
        <v>240</v>
      </c>
      <c r="FM3455" s="5" t="s">
        <v>240</v>
      </c>
      <c r="FN3455" s="5" t="s">
        <v>240</v>
      </c>
      <c r="FO3455" s="5" t="s">
        <v>240</v>
      </c>
      <c r="FP3455" s="5" t="s">
        <v>240</v>
      </c>
      <c r="FQ3455" s="5" t="s">
        <v>240</v>
      </c>
      <c r="FR3455" s="5" t="s">
        <v>240</v>
      </c>
      <c r="FS3455" s="5" t="s">
        <v>240</v>
      </c>
      <c r="FT3455" s="5" t="s">
        <v>240</v>
      </c>
      <c r="FU3455" s="5" t="s">
        <v>240</v>
      </c>
      <c r="FV3455" s="5" t="s">
        <v>240</v>
      </c>
      <c r="FW3455" s="5" t="s">
        <v>240</v>
      </c>
      <c r="FX3455" s="5" t="s">
        <v>240</v>
      </c>
      <c r="FY3455" s="5" t="s">
        <v>240</v>
      </c>
      <c r="FZ3455" s="5" t="s">
        <v>240</v>
      </c>
      <c r="GA3455" s="5" t="s">
        <v>240</v>
      </c>
      <c r="GB3455" s="5" t="s">
        <v>240</v>
      </c>
      <c r="GC3455" s="5" t="s">
        <v>240</v>
      </c>
      <c r="GD3455" s="5" t="s">
        <v>240</v>
      </c>
      <c r="GE3455" s="5" t="s">
        <v>240</v>
      </c>
      <c r="GF3455" s="5" t="s">
        <v>240</v>
      </c>
      <c r="GG3455" s="5" t="s">
        <v>240</v>
      </c>
      <c r="GH3455" s="5" t="s">
        <v>240</v>
      </c>
      <c r="GI3455" s="5" t="s">
        <v>240</v>
      </c>
      <c r="GJ3455" s="5" t="s">
        <v>240</v>
      </c>
      <c r="GK3455" s="5" t="s">
        <v>240</v>
      </c>
      <c r="GL3455" s="5" t="s">
        <v>240</v>
      </c>
      <c r="GM3455" s="5" t="s">
        <v>240</v>
      </c>
      <c r="GN3455" s="5" t="s">
        <v>240</v>
      </c>
      <c r="GO3455" s="5" t="s">
        <v>240</v>
      </c>
      <c r="GP3455" s="5" t="s">
        <v>240</v>
      </c>
      <c r="GQ3455" s="5" t="s">
        <v>240</v>
      </c>
      <c r="GR3455" s="5" t="s">
        <v>240</v>
      </c>
      <c r="GS3455" s="5" t="s">
        <v>240</v>
      </c>
      <c r="GT3455" s="5" t="s">
        <v>240</v>
      </c>
      <c r="GU3455" s="5" t="s">
        <v>240</v>
      </c>
      <c r="GV3455" s="5" t="s">
        <v>240</v>
      </c>
      <c r="GW3455" s="5" t="s">
        <v>240</v>
      </c>
      <c r="GX3455" s="5" t="s">
        <v>240</v>
      </c>
      <c r="GY3455" s="5" t="s">
        <v>240</v>
      </c>
      <c r="GZ3455" s="5" t="s">
        <v>240</v>
      </c>
      <c r="HA3455" s="5" t="s">
        <v>240</v>
      </c>
      <c r="HB3455" s="5" t="s">
        <v>240</v>
      </c>
      <c r="HC3455" s="5" t="s">
        <v>240</v>
      </c>
      <c r="HD3455" s="5" t="s">
        <v>240</v>
      </c>
      <c r="HE3455" s="5" t="s">
        <v>240</v>
      </c>
      <c r="HF3455" s="5" t="s">
        <v>240</v>
      </c>
      <c r="HG3455" s="5" t="s">
        <v>240</v>
      </c>
      <c r="HH3455" s="5" t="s">
        <v>240</v>
      </c>
      <c r="HI3455" s="5" t="s">
        <v>240</v>
      </c>
      <c r="HJ3455" s="5" t="s">
        <v>240</v>
      </c>
      <c r="HK3455" s="5" t="s">
        <v>240</v>
      </c>
      <c r="HL3455" s="5" t="s">
        <v>240</v>
      </c>
      <c r="HM3455" s="5" t="s">
        <v>240</v>
      </c>
      <c r="HN3455" s="5" t="s">
        <v>240</v>
      </c>
      <c r="HO3455" s="5" t="s">
        <v>240</v>
      </c>
      <c r="HP3455" s="5" t="s">
        <v>240</v>
      </c>
      <c r="HQ3455" s="5" t="s">
        <v>240</v>
      </c>
      <c r="HR3455" s="5" t="s">
        <v>240</v>
      </c>
      <c r="HS3455" s="5" t="s">
        <v>240</v>
      </c>
      <c r="HT3455" s="5" t="s">
        <v>240</v>
      </c>
      <c r="HU3455" s="5" t="s">
        <v>240</v>
      </c>
      <c r="HV3455" s="5" t="s">
        <v>240</v>
      </c>
      <c r="HW3455" s="5" t="s">
        <v>240</v>
      </c>
      <c r="HX3455" s="5" t="s">
        <v>240</v>
      </c>
      <c r="HY3455" s="5" t="s">
        <v>240</v>
      </c>
      <c r="HZ3455" s="5" t="s">
        <v>240</v>
      </c>
      <c r="IA3455" s="5" t="s">
        <v>240</v>
      </c>
      <c r="IB3455" s="5" t="s">
        <v>240</v>
      </c>
      <c r="IC3455" s="5" t="s">
        <v>240</v>
      </c>
      <c r="ID3455" s="5" t="s">
        <v>240</v>
      </c>
      <c r="IE3455" s="5" t="s">
        <v>240</v>
      </c>
      <c r="IF3455" s="5" t="s">
        <v>240</v>
      </c>
    </row>
    <row r="3456" spans="1:240" x14ac:dyDescent="0.4">
      <c r="A3456" s="5">
        <v>8998</v>
      </c>
      <c r="B3456" s="5">
        <v>1</v>
      </c>
      <c r="C3456" s="5">
        <v>1</v>
      </c>
      <c r="D3456" s="5" t="s">
        <v>723</v>
      </c>
      <c r="E3456" s="5" t="s">
        <v>5060</v>
      </c>
      <c r="F3456" s="5" t="s">
        <v>254</v>
      </c>
      <c r="G3456" s="5" t="s">
        <v>5061</v>
      </c>
      <c r="H3456" s="6" t="s">
        <v>5094</v>
      </c>
      <c r="I3456" s="5" t="s">
        <v>5093</v>
      </c>
      <c r="J3456" s="7">
        <f>1</f>
        <v>1</v>
      </c>
      <c r="K3456" s="5" t="s">
        <v>3682</v>
      </c>
      <c r="L3456" s="7">
        <f>1</f>
        <v>1</v>
      </c>
      <c r="M3456" s="7">
        <f>1</f>
        <v>1</v>
      </c>
      <c r="N3456" s="5" t="s">
        <v>242</v>
      </c>
      <c r="O3456" s="5">
        <v>1</v>
      </c>
      <c r="P3456" s="5" t="s">
        <v>294</v>
      </c>
      <c r="Q3456" s="5" t="s">
        <v>3678</v>
      </c>
      <c r="R3456" s="5" t="s">
        <v>240</v>
      </c>
      <c r="S3456" s="5" t="s">
        <v>240</v>
      </c>
      <c r="T3456" s="5" t="s">
        <v>243</v>
      </c>
      <c r="U3456" s="5" t="s">
        <v>244</v>
      </c>
      <c r="V3456" s="5" t="s">
        <v>240</v>
      </c>
      <c r="W3456" s="5" t="s">
        <v>240</v>
      </c>
      <c r="X3456" s="5" t="s">
        <v>240</v>
      </c>
      <c r="Y3456" s="5" t="s">
        <v>240</v>
      </c>
      <c r="Z3456" s="6" t="s">
        <v>298</v>
      </c>
      <c r="AA3456" s="6" t="s">
        <v>240</v>
      </c>
      <c r="AB3456" s="6" t="s">
        <v>240</v>
      </c>
      <c r="AC3456" s="5" t="s">
        <v>240</v>
      </c>
      <c r="AD3456" s="6" t="s">
        <v>240</v>
      </c>
      <c r="AE3456" s="6" t="s">
        <v>299</v>
      </c>
      <c r="AF3456" s="5" t="s">
        <v>248</v>
      </c>
      <c r="AG3456" s="5" t="s">
        <v>249</v>
      </c>
      <c r="AH3456" s="5" t="s">
        <v>240</v>
      </c>
      <c r="AI3456" s="5" t="s">
        <v>240</v>
      </c>
      <c r="AJ3456" s="5" t="s">
        <v>240</v>
      </c>
      <c r="AK3456" s="5" t="s">
        <v>240</v>
      </c>
      <c r="AL3456" s="5" t="s">
        <v>240</v>
      </c>
      <c r="AM3456" s="5" t="s">
        <v>240</v>
      </c>
      <c r="AN3456" s="5" t="s">
        <v>240</v>
      </c>
      <c r="AO3456" s="5" t="s">
        <v>240</v>
      </c>
      <c r="AP3456" s="6" t="s">
        <v>240</v>
      </c>
      <c r="AQ3456" s="6" t="s">
        <v>240</v>
      </c>
      <c r="AR3456" s="6" t="s">
        <v>240</v>
      </c>
      <c r="AS3456" s="6" t="s">
        <v>240</v>
      </c>
      <c r="AT3456" s="5" t="s">
        <v>240</v>
      </c>
      <c r="AU3456" s="5" t="s">
        <v>729</v>
      </c>
      <c r="AV3456" s="5" t="s">
        <v>729</v>
      </c>
      <c r="AW3456" s="5" t="s">
        <v>251</v>
      </c>
      <c r="AX3456" s="5" t="s">
        <v>252</v>
      </c>
      <c r="AY3456" s="5" t="s">
        <v>253</v>
      </c>
      <c r="AZ3456" s="5" t="s">
        <v>6046</v>
      </c>
      <c r="BA3456" s="5" t="s">
        <v>255</v>
      </c>
      <c r="BB3456" s="5" t="s">
        <v>731</v>
      </c>
      <c r="BD3456" s="5" t="s">
        <v>240</v>
      </c>
      <c r="BF3456" s="5" t="s">
        <v>732</v>
      </c>
      <c r="BG3456" s="6" t="s">
        <v>733</v>
      </c>
      <c r="BH3456" s="5" t="s">
        <v>734</v>
      </c>
      <c r="BI3456" s="5" t="s">
        <v>734</v>
      </c>
      <c r="BJ3456" s="5" t="s">
        <v>240</v>
      </c>
      <c r="BK3456" s="7">
        <f>1</f>
        <v>1</v>
      </c>
      <c r="BL3456" s="7">
        <f>1</f>
        <v>1</v>
      </c>
      <c r="BM3456" s="5" t="s">
        <v>258</v>
      </c>
      <c r="BN3456" s="5" t="s">
        <v>259</v>
      </c>
      <c r="BO3456" s="5" t="s">
        <v>240</v>
      </c>
      <c r="BP3456" s="5" t="s">
        <v>240</v>
      </c>
      <c r="BQ3456" s="5" t="s">
        <v>240</v>
      </c>
      <c r="BR3456" s="5" t="s">
        <v>240</v>
      </c>
      <c r="BS3456" s="5" t="s">
        <v>240</v>
      </c>
      <c r="BT3456" s="5" t="s">
        <v>240</v>
      </c>
      <c r="BU3456" s="5" t="s">
        <v>240</v>
      </c>
      <c r="BV3456" s="5" t="s">
        <v>240</v>
      </c>
      <c r="BW3456" s="6" t="s">
        <v>240</v>
      </c>
      <c r="BX3456" s="5" t="s">
        <v>240</v>
      </c>
      <c r="BY3456" s="5" t="s">
        <v>240</v>
      </c>
      <c r="BZ3456" s="5" t="s">
        <v>240</v>
      </c>
      <c r="CA3456" s="5" t="s">
        <v>259</v>
      </c>
      <c r="CB3456" s="5" t="s">
        <v>240</v>
      </c>
      <c r="CC3456" s="5" t="s">
        <v>240</v>
      </c>
      <c r="CD3456" s="5" t="s">
        <v>240</v>
      </c>
      <c r="CE3456" s="5" t="s">
        <v>240</v>
      </c>
      <c r="CF3456" s="5" t="s">
        <v>240</v>
      </c>
      <c r="CG3456" s="5" t="s">
        <v>304</v>
      </c>
      <c r="CH3456" s="5" t="s">
        <v>305</v>
      </c>
      <c r="CI3456" s="5" t="s">
        <v>260</v>
      </c>
      <c r="CK3456" s="5" t="s">
        <v>3681</v>
      </c>
      <c r="CL3456" s="6" t="s">
        <v>261</v>
      </c>
      <c r="CM3456" s="5" t="s">
        <v>262</v>
      </c>
      <c r="CN3456" s="5" t="s">
        <v>263</v>
      </c>
      <c r="CO3456" s="5" t="s">
        <v>264</v>
      </c>
      <c r="CP3456" s="5" t="s">
        <v>240</v>
      </c>
      <c r="CQ3456" s="5">
        <v>0</v>
      </c>
      <c r="CR3456" s="5" t="s">
        <v>735</v>
      </c>
      <c r="CS3456" s="5" t="s">
        <v>307</v>
      </c>
      <c r="CT3456" s="5" t="s">
        <v>307</v>
      </c>
      <c r="CU3456" s="5" t="s">
        <v>260</v>
      </c>
      <c r="CV3456" s="5" t="s">
        <v>612</v>
      </c>
      <c r="CW3456" s="8">
        <f>1</f>
        <v>1</v>
      </c>
      <c r="CX3456" s="7">
        <f>1</f>
        <v>1</v>
      </c>
      <c r="CY3456" s="7">
        <f>0</f>
        <v>0</v>
      </c>
      <c r="DA3456" s="7">
        <f>1</f>
        <v>1</v>
      </c>
      <c r="DB3456" s="7" t="s">
        <v>240</v>
      </c>
      <c r="DC3456" s="5" t="s">
        <v>240</v>
      </c>
      <c r="DD3456" s="5" t="s">
        <v>240</v>
      </c>
      <c r="DE3456" s="5" t="s">
        <v>240</v>
      </c>
      <c r="DF3456" s="5" t="s">
        <v>240</v>
      </c>
      <c r="DG3456" s="7">
        <f>0</f>
        <v>0</v>
      </c>
      <c r="DI3456" s="5" t="s">
        <v>240</v>
      </c>
      <c r="DJ3456" s="5" t="s">
        <v>240</v>
      </c>
      <c r="DK3456" s="5" t="s">
        <v>240</v>
      </c>
      <c r="DL3456" s="5" t="s">
        <v>240</v>
      </c>
      <c r="DM3456" s="5" t="s">
        <v>240</v>
      </c>
      <c r="DN3456" s="5" t="s">
        <v>240</v>
      </c>
      <c r="DO3456" s="7" t="s">
        <v>240</v>
      </c>
      <c r="DP3456" s="5" t="s">
        <v>240</v>
      </c>
      <c r="DQ3456" s="5" t="s">
        <v>248</v>
      </c>
      <c r="DR3456" s="5" t="s">
        <v>731</v>
      </c>
      <c r="DS3456" s="5" t="s">
        <v>731</v>
      </c>
      <c r="DT3456" s="5" t="s">
        <v>240</v>
      </c>
      <c r="DU3456" s="5" t="s">
        <v>240</v>
      </c>
      <c r="DV3456" s="5" t="s">
        <v>6047</v>
      </c>
      <c r="DW3456" s="5" t="s">
        <v>742</v>
      </c>
      <c r="DX3456" s="5" t="s">
        <v>240</v>
      </c>
      <c r="DY3456" s="5" t="s">
        <v>240</v>
      </c>
      <c r="DZ3456" s="5" t="s">
        <v>240</v>
      </c>
      <c r="EA3456" s="5" t="s">
        <v>240</v>
      </c>
      <c r="EB3456" s="5" t="s">
        <v>240</v>
      </c>
      <c r="EC3456" s="5" t="s">
        <v>240</v>
      </c>
      <c r="ED3456" s="5" t="s">
        <v>240</v>
      </c>
      <c r="EE3456" s="5" t="s">
        <v>240</v>
      </c>
      <c r="EF3456" s="5" t="s">
        <v>240</v>
      </c>
      <c r="EG3456" s="5" t="s">
        <v>240</v>
      </c>
      <c r="EH3456" s="5" t="s">
        <v>240</v>
      </c>
      <c r="EI3456" s="5" t="s">
        <v>240</v>
      </c>
      <c r="EJ3456" s="5" t="s">
        <v>240</v>
      </c>
      <c r="EK3456" s="5" t="s">
        <v>240</v>
      </c>
      <c r="EL3456" s="5" t="s">
        <v>240</v>
      </c>
      <c r="EM3456" s="5" t="s">
        <v>240</v>
      </c>
      <c r="EN3456" s="5" t="s">
        <v>240</v>
      </c>
      <c r="EO3456" s="5" t="s">
        <v>240</v>
      </c>
      <c r="EP3456" s="5" t="s">
        <v>240</v>
      </c>
      <c r="EQ3456" s="5" t="s">
        <v>240</v>
      </c>
      <c r="ER3456" s="5" t="s">
        <v>240</v>
      </c>
      <c r="ES3456" s="5" t="s">
        <v>240</v>
      </c>
      <c r="ET3456" s="5" t="s">
        <v>240</v>
      </c>
      <c r="EU3456" s="5" t="s">
        <v>240</v>
      </c>
      <c r="EV3456" s="5" t="s">
        <v>240</v>
      </c>
      <c r="EW3456" s="5" t="s">
        <v>240</v>
      </c>
      <c r="EX3456" s="5" t="s">
        <v>240</v>
      </c>
      <c r="EY3456" s="5" t="s">
        <v>240</v>
      </c>
      <c r="EZ3456" s="5" t="s">
        <v>240</v>
      </c>
      <c r="FA3456" s="5" t="s">
        <v>240</v>
      </c>
      <c r="FB3456" s="5" t="s">
        <v>240</v>
      </c>
      <c r="FC3456" s="5" t="s">
        <v>240</v>
      </c>
      <c r="FD3456" s="5" t="s">
        <v>240</v>
      </c>
      <c r="FE3456" s="5" t="s">
        <v>240</v>
      </c>
      <c r="FF3456" s="5" t="s">
        <v>240</v>
      </c>
      <c r="FG3456" s="5" t="s">
        <v>240</v>
      </c>
      <c r="FH3456" s="5" t="s">
        <v>240</v>
      </c>
      <c r="FI3456" s="5" t="s">
        <v>240</v>
      </c>
      <c r="FJ3456" s="5" t="s">
        <v>240</v>
      </c>
      <c r="FK3456" s="5" t="s">
        <v>240</v>
      </c>
      <c r="FL3456" s="5" t="s">
        <v>240</v>
      </c>
      <c r="FM3456" s="5" t="s">
        <v>240</v>
      </c>
      <c r="FN3456" s="5" t="s">
        <v>240</v>
      </c>
      <c r="FO3456" s="5" t="s">
        <v>240</v>
      </c>
      <c r="FP3456" s="5" t="s">
        <v>240</v>
      </c>
      <c r="FQ3456" s="5" t="s">
        <v>240</v>
      </c>
      <c r="FR3456" s="5" t="s">
        <v>240</v>
      </c>
      <c r="FS3456" s="5" t="s">
        <v>240</v>
      </c>
      <c r="FT3456" s="5" t="s">
        <v>240</v>
      </c>
      <c r="FU3456" s="5" t="s">
        <v>240</v>
      </c>
      <c r="FV3456" s="5" t="s">
        <v>240</v>
      </c>
      <c r="FW3456" s="5" t="s">
        <v>240</v>
      </c>
      <c r="FX3456" s="5" t="s">
        <v>240</v>
      </c>
      <c r="FY3456" s="5" t="s">
        <v>240</v>
      </c>
      <c r="FZ3456" s="5" t="s">
        <v>240</v>
      </c>
      <c r="GA3456" s="5" t="s">
        <v>240</v>
      </c>
      <c r="GB3456" s="5" t="s">
        <v>240</v>
      </c>
      <c r="GC3456" s="5" t="s">
        <v>240</v>
      </c>
      <c r="GD3456" s="5" t="s">
        <v>240</v>
      </c>
      <c r="GE3456" s="5" t="s">
        <v>240</v>
      </c>
      <c r="GF3456" s="5" t="s">
        <v>240</v>
      </c>
      <c r="GG3456" s="5" t="s">
        <v>240</v>
      </c>
      <c r="GH3456" s="5" t="s">
        <v>240</v>
      </c>
      <c r="GI3456" s="5" t="s">
        <v>240</v>
      </c>
      <c r="GJ3456" s="5" t="s">
        <v>240</v>
      </c>
      <c r="GK3456" s="5" t="s">
        <v>240</v>
      </c>
      <c r="GL3456" s="5" t="s">
        <v>240</v>
      </c>
      <c r="GM3456" s="5" t="s">
        <v>240</v>
      </c>
      <c r="GN3456" s="5" t="s">
        <v>240</v>
      </c>
      <c r="GO3456" s="5" t="s">
        <v>240</v>
      </c>
      <c r="GP3456" s="5" t="s">
        <v>240</v>
      </c>
      <c r="GQ3456" s="5" t="s">
        <v>240</v>
      </c>
      <c r="GR3456" s="5" t="s">
        <v>240</v>
      </c>
      <c r="GS3456" s="5" t="s">
        <v>240</v>
      </c>
      <c r="GT3456" s="5" t="s">
        <v>240</v>
      </c>
      <c r="GU3456" s="5" t="s">
        <v>240</v>
      </c>
      <c r="GV3456" s="5" t="s">
        <v>240</v>
      </c>
      <c r="GW3456" s="5" t="s">
        <v>240</v>
      </c>
      <c r="GX3456" s="5" t="s">
        <v>240</v>
      </c>
      <c r="GY3456" s="5" t="s">
        <v>240</v>
      </c>
      <c r="GZ3456" s="5" t="s">
        <v>240</v>
      </c>
      <c r="HA3456" s="5" t="s">
        <v>240</v>
      </c>
      <c r="HB3456" s="5" t="s">
        <v>240</v>
      </c>
      <c r="HC3456" s="5" t="s">
        <v>240</v>
      </c>
      <c r="HD3456" s="5" t="s">
        <v>240</v>
      </c>
      <c r="HE3456" s="5" t="s">
        <v>240</v>
      </c>
      <c r="HF3456" s="5" t="s">
        <v>240</v>
      </c>
      <c r="HG3456" s="5" t="s">
        <v>240</v>
      </c>
      <c r="HH3456" s="5" t="s">
        <v>240</v>
      </c>
      <c r="HI3456" s="5" t="s">
        <v>240</v>
      </c>
      <c r="HJ3456" s="5" t="s">
        <v>240</v>
      </c>
      <c r="HK3456" s="5" t="s">
        <v>240</v>
      </c>
      <c r="HL3456" s="5" t="s">
        <v>240</v>
      </c>
      <c r="HM3456" s="5" t="s">
        <v>240</v>
      </c>
      <c r="HN3456" s="5" t="s">
        <v>240</v>
      </c>
      <c r="HO3456" s="5" t="s">
        <v>240</v>
      </c>
      <c r="HP3456" s="5" t="s">
        <v>240</v>
      </c>
      <c r="HQ3456" s="5" t="s">
        <v>240</v>
      </c>
      <c r="HR3456" s="5" t="s">
        <v>240</v>
      </c>
      <c r="HS3456" s="5" t="s">
        <v>240</v>
      </c>
      <c r="HT3456" s="5" t="s">
        <v>240</v>
      </c>
      <c r="HU3456" s="5" t="s">
        <v>240</v>
      </c>
      <c r="HV3456" s="5" t="s">
        <v>240</v>
      </c>
      <c r="HW3456" s="5" t="s">
        <v>240</v>
      </c>
      <c r="HX3456" s="5" t="s">
        <v>240</v>
      </c>
      <c r="HY3456" s="5" t="s">
        <v>240</v>
      </c>
      <c r="HZ3456" s="5" t="s">
        <v>240</v>
      </c>
      <c r="IA3456" s="5" t="s">
        <v>240</v>
      </c>
      <c r="IB3456" s="5" t="s">
        <v>240</v>
      </c>
      <c r="IC3456" s="5" t="s">
        <v>240</v>
      </c>
      <c r="ID3456" s="5" t="s">
        <v>240</v>
      </c>
      <c r="IE3456" s="5" t="s">
        <v>240</v>
      </c>
      <c r="IF3456" s="5" t="s">
        <v>240</v>
      </c>
    </row>
    <row r="3457" spans="1:240" x14ac:dyDescent="0.4">
      <c r="A3457" s="5">
        <v>8999</v>
      </c>
      <c r="B3457" s="5">
        <v>1</v>
      </c>
      <c r="C3457" s="5">
        <v>1</v>
      </c>
      <c r="D3457" s="5" t="s">
        <v>723</v>
      </c>
      <c r="E3457" s="5" t="s">
        <v>5060</v>
      </c>
      <c r="F3457" s="5" t="s">
        <v>254</v>
      </c>
      <c r="G3457" s="5" t="s">
        <v>5061</v>
      </c>
      <c r="H3457" s="6" t="s">
        <v>5098</v>
      </c>
      <c r="I3457" s="5" t="s">
        <v>5097</v>
      </c>
      <c r="J3457" s="7">
        <f>1</f>
        <v>1</v>
      </c>
      <c r="K3457" s="5" t="s">
        <v>3682</v>
      </c>
      <c r="L3457" s="7">
        <f>1</f>
        <v>1</v>
      </c>
      <c r="M3457" s="7">
        <f>1</f>
        <v>1</v>
      </c>
      <c r="N3457" s="5" t="s">
        <v>242</v>
      </c>
      <c r="O3457" s="5">
        <v>1</v>
      </c>
      <c r="P3457" s="5" t="s">
        <v>294</v>
      </c>
      <c r="Q3457" s="5" t="s">
        <v>266</v>
      </c>
      <c r="R3457" s="5" t="s">
        <v>240</v>
      </c>
      <c r="S3457" s="5" t="s">
        <v>240</v>
      </c>
      <c r="T3457" s="5" t="s">
        <v>243</v>
      </c>
      <c r="U3457" s="5" t="s">
        <v>244</v>
      </c>
      <c r="V3457" s="5" t="s">
        <v>240</v>
      </c>
      <c r="Y3457" s="5" t="s">
        <v>240</v>
      </c>
      <c r="Z3457" s="6" t="s">
        <v>6136</v>
      </c>
      <c r="AB3457" s="6" t="s">
        <v>240</v>
      </c>
      <c r="AE3457" s="6" t="s">
        <v>299</v>
      </c>
      <c r="AF3457" s="5" t="s">
        <v>248</v>
      </c>
      <c r="AG3457" s="5" t="s">
        <v>249</v>
      </c>
      <c r="AW3457" s="5" t="s">
        <v>251</v>
      </c>
      <c r="AX3457" s="5" t="s">
        <v>240</v>
      </c>
      <c r="AY3457" s="5" t="s">
        <v>253</v>
      </c>
      <c r="AZ3457" s="5" t="s">
        <v>240</v>
      </c>
      <c r="BA3457" s="5" t="s">
        <v>255</v>
      </c>
      <c r="BB3457" s="5" t="s">
        <v>240</v>
      </c>
      <c r="BD3457" s="5" t="s">
        <v>240</v>
      </c>
      <c r="BF3457" s="5" t="s">
        <v>301</v>
      </c>
      <c r="BG3457" s="6" t="s">
        <v>6136</v>
      </c>
      <c r="BH3457" s="5" t="s">
        <v>302</v>
      </c>
      <c r="BI3457" s="5" t="s">
        <v>448</v>
      </c>
      <c r="BJ3457" s="5" t="s">
        <v>240</v>
      </c>
      <c r="BK3457" s="8">
        <f>0</f>
        <v>0</v>
      </c>
      <c r="BL3457" s="7">
        <f>0</f>
        <v>0</v>
      </c>
      <c r="BM3457" s="5" t="s">
        <v>258</v>
      </c>
      <c r="BN3457" s="5" t="s">
        <v>259</v>
      </c>
      <c r="CB3457" s="5" t="s">
        <v>240</v>
      </c>
      <c r="CC3457" s="5" t="s">
        <v>240</v>
      </c>
      <c r="CG3457" s="5" t="s">
        <v>449</v>
      </c>
      <c r="CH3457" s="5" t="s">
        <v>305</v>
      </c>
      <c r="CI3457" s="5" t="s">
        <v>240</v>
      </c>
      <c r="CL3457" s="6" t="s">
        <v>261</v>
      </c>
      <c r="CM3457" s="5" t="s">
        <v>240</v>
      </c>
      <c r="CN3457" s="5" t="s">
        <v>263</v>
      </c>
      <c r="CO3457" s="5" t="s">
        <v>240</v>
      </c>
      <c r="CP3457" s="5" t="s">
        <v>240</v>
      </c>
      <c r="CQ3457" s="5">
        <v>0</v>
      </c>
      <c r="CR3457" s="5" t="s">
        <v>306</v>
      </c>
      <c r="CS3457" s="5" t="s">
        <v>307</v>
      </c>
      <c r="CT3457" s="5" t="s">
        <v>307</v>
      </c>
      <c r="CU3457" s="5" t="s">
        <v>260</v>
      </c>
      <c r="CX3457" s="7">
        <f>2730121</f>
        <v>2730121</v>
      </c>
      <c r="CY3457" s="7">
        <f>0</f>
        <v>0</v>
      </c>
      <c r="DA3457" s="7">
        <f>0</f>
        <v>0</v>
      </c>
      <c r="DC3457" s="5" t="s">
        <v>450</v>
      </c>
      <c r="DD3457" s="5" t="s">
        <v>240</v>
      </c>
      <c r="DF3457" s="5" t="s">
        <v>450</v>
      </c>
      <c r="DG3457" s="7">
        <f>138.53</f>
        <v>138.53</v>
      </c>
      <c r="DI3457" s="5" t="s">
        <v>240</v>
      </c>
      <c r="DJ3457" s="5" t="s">
        <v>240</v>
      </c>
      <c r="DK3457" s="5" t="s">
        <v>240</v>
      </c>
      <c r="DL3457" s="5" t="s">
        <v>240</v>
      </c>
      <c r="DP3457" s="5" t="s">
        <v>240</v>
      </c>
      <c r="DQ3457" s="5" t="s">
        <v>240</v>
      </c>
      <c r="DR3457" s="5" t="s">
        <v>240</v>
      </c>
      <c r="DS3457" s="5" t="s">
        <v>240</v>
      </c>
      <c r="DV3457" s="5" t="s">
        <v>310</v>
      </c>
      <c r="DW3457" s="5" t="s">
        <v>2582</v>
      </c>
      <c r="HO3457" s="5" t="s">
        <v>312</v>
      </c>
    </row>
    <row r="3458" spans="1:240" x14ac:dyDescent="0.4">
      <c r="A3458" s="5">
        <v>9000</v>
      </c>
      <c r="B3458" s="5">
        <v>1</v>
      </c>
      <c r="C3458" s="5">
        <v>1</v>
      </c>
      <c r="D3458" s="5" t="s">
        <v>723</v>
      </c>
      <c r="E3458" s="5" t="s">
        <v>5060</v>
      </c>
      <c r="F3458" s="5" t="s">
        <v>254</v>
      </c>
      <c r="G3458" s="5" t="s">
        <v>5061</v>
      </c>
      <c r="H3458" s="6" t="s">
        <v>5100</v>
      </c>
      <c r="I3458" s="5" t="s">
        <v>5099</v>
      </c>
      <c r="J3458" s="7">
        <f>1</f>
        <v>1</v>
      </c>
      <c r="K3458" s="5" t="s">
        <v>3682</v>
      </c>
      <c r="L3458" s="7">
        <f>1</f>
        <v>1</v>
      </c>
      <c r="M3458" s="7">
        <f>1</f>
        <v>1</v>
      </c>
      <c r="N3458" s="5" t="s">
        <v>242</v>
      </c>
      <c r="O3458" s="5">
        <v>1</v>
      </c>
      <c r="P3458" s="5" t="s">
        <v>294</v>
      </c>
      <c r="Q3458" s="5" t="s">
        <v>266</v>
      </c>
      <c r="R3458" s="5" t="s">
        <v>240</v>
      </c>
      <c r="S3458" s="5" t="s">
        <v>240</v>
      </c>
      <c r="T3458" s="5" t="s">
        <v>243</v>
      </c>
      <c r="U3458" s="5" t="s">
        <v>240</v>
      </c>
      <c r="V3458" s="5" t="s">
        <v>240</v>
      </c>
      <c r="Y3458" s="5" t="s">
        <v>240</v>
      </c>
      <c r="Z3458" s="6" t="s">
        <v>6139</v>
      </c>
      <c r="AB3458" s="6" t="s">
        <v>240</v>
      </c>
      <c r="AE3458" s="6" t="s">
        <v>747</v>
      </c>
      <c r="AF3458" s="5" t="s">
        <v>248</v>
      </c>
      <c r="AG3458" s="5" t="s">
        <v>249</v>
      </c>
      <c r="AW3458" s="5" t="s">
        <v>251</v>
      </c>
      <c r="AX3458" s="5" t="s">
        <v>240</v>
      </c>
      <c r="AY3458" s="5" t="s">
        <v>253</v>
      </c>
      <c r="AZ3458" s="5" t="s">
        <v>240</v>
      </c>
      <c r="BA3458" s="5" t="s">
        <v>255</v>
      </c>
      <c r="BB3458" s="5" t="s">
        <v>240</v>
      </c>
      <c r="BD3458" s="5" t="s">
        <v>240</v>
      </c>
      <c r="BF3458" s="5" t="s">
        <v>687</v>
      </c>
      <c r="BG3458" s="6" t="s">
        <v>6139</v>
      </c>
      <c r="BH3458" s="5" t="s">
        <v>302</v>
      </c>
      <c r="BI3458" s="5" t="s">
        <v>448</v>
      </c>
      <c r="BJ3458" s="5" t="s">
        <v>240</v>
      </c>
      <c r="BK3458" s="8">
        <f>0</f>
        <v>0</v>
      </c>
      <c r="BL3458" s="7">
        <f>0</f>
        <v>0</v>
      </c>
      <c r="BM3458" s="5" t="s">
        <v>258</v>
      </c>
      <c r="BN3458" s="5" t="s">
        <v>259</v>
      </c>
      <c r="CB3458" s="5" t="s">
        <v>240</v>
      </c>
      <c r="CC3458" s="5" t="s">
        <v>240</v>
      </c>
      <c r="CG3458" s="5" t="s">
        <v>449</v>
      </c>
      <c r="CH3458" s="5" t="s">
        <v>305</v>
      </c>
      <c r="CI3458" s="5" t="s">
        <v>240</v>
      </c>
      <c r="CL3458" s="6" t="s">
        <v>261</v>
      </c>
      <c r="CM3458" s="5" t="s">
        <v>240</v>
      </c>
      <c r="CN3458" s="5" t="s">
        <v>263</v>
      </c>
      <c r="CO3458" s="5" t="s">
        <v>240</v>
      </c>
      <c r="CP3458" s="5" t="s">
        <v>240</v>
      </c>
      <c r="CQ3458" s="5">
        <v>0</v>
      </c>
      <c r="CR3458" s="5" t="s">
        <v>306</v>
      </c>
      <c r="CS3458" s="5" t="s">
        <v>307</v>
      </c>
      <c r="CT3458" s="5" t="s">
        <v>307</v>
      </c>
      <c r="CU3458" s="5" t="s">
        <v>260</v>
      </c>
      <c r="CX3458" s="7">
        <f>1989417</f>
        <v>1989417</v>
      </c>
      <c r="CY3458" s="7">
        <f>0</f>
        <v>0</v>
      </c>
      <c r="DA3458" s="7">
        <f>0</f>
        <v>0</v>
      </c>
      <c r="DC3458" s="5" t="s">
        <v>450</v>
      </c>
      <c r="DD3458" s="5" t="s">
        <v>240</v>
      </c>
      <c r="DF3458" s="5" t="s">
        <v>450</v>
      </c>
      <c r="DG3458" s="7">
        <f>0</f>
        <v>0</v>
      </c>
      <c r="DI3458" s="5" t="s">
        <v>240</v>
      </c>
      <c r="DJ3458" s="5" t="s">
        <v>240</v>
      </c>
      <c r="DK3458" s="5" t="s">
        <v>240</v>
      </c>
      <c r="DL3458" s="5" t="s">
        <v>240</v>
      </c>
      <c r="DP3458" s="5" t="s">
        <v>240</v>
      </c>
      <c r="DQ3458" s="5" t="s">
        <v>240</v>
      </c>
      <c r="DR3458" s="5" t="s">
        <v>240</v>
      </c>
      <c r="DS3458" s="5" t="s">
        <v>240</v>
      </c>
      <c r="DV3458" s="5" t="s">
        <v>310</v>
      </c>
      <c r="DW3458" s="5" t="s">
        <v>2381</v>
      </c>
      <c r="HO3458" s="5" t="s">
        <v>312</v>
      </c>
    </row>
    <row r="3459" spans="1:240" x14ac:dyDescent="0.4">
      <c r="A3459" s="5">
        <v>9001</v>
      </c>
      <c r="B3459" s="5">
        <v>1</v>
      </c>
      <c r="C3459" s="5">
        <v>1</v>
      </c>
      <c r="D3459" s="5" t="s">
        <v>723</v>
      </c>
      <c r="E3459" s="5" t="s">
        <v>5060</v>
      </c>
      <c r="F3459" s="5" t="s">
        <v>254</v>
      </c>
      <c r="G3459" s="5" t="s">
        <v>5061</v>
      </c>
      <c r="H3459" s="6" t="s">
        <v>5108</v>
      </c>
      <c r="I3459" s="5" t="s">
        <v>5107</v>
      </c>
      <c r="J3459" s="7">
        <f>1</f>
        <v>1</v>
      </c>
      <c r="K3459" s="5" t="s">
        <v>3682</v>
      </c>
      <c r="L3459" s="7">
        <f>1</f>
        <v>1</v>
      </c>
      <c r="M3459" s="7">
        <f>1</f>
        <v>1</v>
      </c>
      <c r="N3459" s="5" t="s">
        <v>242</v>
      </c>
      <c r="O3459" s="5">
        <v>1</v>
      </c>
      <c r="P3459" s="5" t="s">
        <v>294</v>
      </c>
      <c r="Q3459" s="5" t="s">
        <v>3678</v>
      </c>
      <c r="R3459" s="5" t="s">
        <v>240</v>
      </c>
      <c r="S3459" s="5" t="s">
        <v>240</v>
      </c>
      <c r="T3459" s="5" t="s">
        <v>243</v>
      </c>
      <c r="U3459" s="5" t="s">
        <v>244</v>
      </c>
      <c r="V3459" s="5" t="s">
        <v>240</v>
      </c>
      <c r="W3459" s="5" t="s">
        <v>240</v>
      </c>
      <c r="X3459" s="5" t="s">
        <v>240</v>
      </c>
      <c r="Y3459" s="5" t="s">
        <v>240</v>
      </c>
      <c r="Z3459" s="6" t="s">
        <v>298</v>
      </c>
      <c r="AA3459" s="6" t="s">
        <v>240</v>
      </c>
      <c r="AB3459" s="6" t="s">
        <v>240</v>
      </c>
      <c r="AC3459" s="5" t="s">
        <v>240</v>
      </c>
      <c r="AD3459" s="6" t="s">
        <v>240</v>
      </c>
      <c r="AE3459" s="6" t="s">
        <v>299</v>
      </c>
      <c r="AF3459" s="5" t="s">
        <v>248</v>
      </c>
      <c r="AG3459" s="5" t="s">
        <v>249</v>
      </c>
      <c r="AH3459" s="5" t="s">
        <v>240</v>
      </c>
      <c r="AI3459" s="5" t="s">
        <v>240</v>
      </c>
      <c r="AJ3459" s="5" t="s">
        <v>240</v>
      </c>
      <c r="AK3459" s="5" t="s">
        <v>240</v>
      </c>
      <c r="AL3459" s="5" t="s">
        <v>240</v>
      </c>
      <c r="AM3459" s="5" t="s">
        <v>240</v>
      </c>
      <c r="AN3459" s="5" t="s">
        <v>240</v>
      </c>
      <c r="AO3459" s="5" t="s">
        <v>240</v>
      </c>
      <c r="AP3459" s="6" t="s">
        <v>240</v>
      </c>
      <c r="AQ3459" s="6" t="s">
        <v>240</v>
      </c>
      <c r="AR3459" s="6" t="s">
        <v>240</v>
      </c>
      <c r="AS3459" s="6" t="s">
        <v>240</v>
      </c>
      <c r="AT3459" s="5" t="s">
        <v>240</v>
      </c>
      <c r="AU3459" s="5" t="s">
        <v>729</v>
      </c>
      <c r="AV3459" s="5" t="s">
        <v>729</v>
      </c>
      <c r="AW3459" s="5" t="s">
        <v>251</v>
      </c>
      <c r="AX3459" s="5" t="s">
        <v>252</v>
      </c>
      <c r="AY3459" s="5" t="s">
        <v>253</v>
      </c>
      <c r="AZ3459" s="5" t="s">
        <v>6046</v>
      </c>
      <c r="BA3459" s="5" t="s">
        <v>255</v>
      </c>
      <c r="BB3459" s="5" t="s">
        <v>731</v>
      </c>
      <c r="BD3459" s="5" t="s">
        <v>240</v>
      </c>
      <c r="BF3459" s="5" t="s">
        <v>732</v>
      </c>
      <c r="BG3459" s="6" t="s">
        <v>733</v>
      </c>
      <c r="BH3459" s="5" t="s">
        <v>734</v>
      </c>
      <c r="BI3459" s="5" t="s">
        <v>734</v>
      </c>
      <c r="BJ3459" s="5" t="s">
        <v>240</v>
      </c>
      <c r="BK3459" s="7">
        <f>1</f>
        <v>1</v>
      </c>
      <c r="BL3459" s="7">
        <f>1</f>
        <v>1</v>
      </c>
      <c r="BM3459" s="5" t="s">
        <v>258</v>
      </c>
      <c r="BN3459" s="5" t="s">
        <v>259</v>
      </c>
      <c r="BO3459" s="5" t="s">
        <v>240</v>
      </c>
      <c r="BP3459" s="5" t="s">
        <v>240</v>
      </c>
      <c r="BQ3459" s="5" t="s">
        <v>240</v>
      </c>
      <c r="BR3459" s="5" t="s">
        <v>240</v>
      </c>
      <c r="BS3459" s="5" t="s">
        <v>240</v>
      </c>
      <c r="BT3459" s="5" t="s">
        <v>240</v>
      </c>
      <c r="BU3459" s="5" t="s">
        <v>240</v>
      </c>
      <c r="BV3459" s="5" t="s">
        <v>240</v>
      </c>
      <c r="BW3459" s="6" t="s">
        <v>240</v>
      </c>
      <c r="BX3459" s="5" t="s">
        <v>240</v>
      </c>
      <c r="BY3459" s="5" t="s">
        <v>240</v>
      </c>
      <c r="BZ3459" s="5" t="s">
        <v>240</v>
      </c>
      <c r="CA3459" s="5" t="s">
        <v>259</v>
      </c>
      <c r="CB3459" s="5" t="s">
        <v>240</v>
      </c>
      <c r="CC3459" s="5" t="s">
        <v>240</v>
      </c>
      <c r="CD3459" s="5" t="s">
        <v>240</v>
      </c>
      <c r="CE3459" s="5" t="s">
        <v>240</v>
      </c>
      <c r="CF3459" s="5" t="s">
        <v>240</v>
      </c>
      <c r="CG3459" s="5" t="s">
        <v>304</v>
      </c>
      <c r="CH3459" s="5" t="s">
        <v>305</v>
      </c>
      <c r="CI3459" s="5" t="s">
        <v>260</v>
      </c>
      <c r="CK3459" s="5" t="s">
        <v>3681</v>
      </c>
      <c r="CL3459" s="6" t="s">
        <v>261</v>
      </c>
      <c r="CM3459" s="5" t="s">
        <v>262</v>
      </c>
      <c r="CN3459" s="5" t="s">
        <v>263</v>
      </c>
      <c r="CO3459" s="5" t="s">
        <v>264</v>
      </c>
      <c r="CP3459" s="5" t="s">
        <v>240</v>
      </c>
      <c r="CQ3459" s="5">
        <v>0</v>
      </c>
      <c r="CR3459" s="5" t="s">
        <v>735</v>
      </c>
      <c r="CS3459" s="5" t="s">
        <v>307</v>
      </c>
      <c r="CT3459" s="5" t="s">
        <v>307</v>
      </c>
      <c r="CU3459" s="5" t="s">
        <v>260</v>
      </c>
      <c r="CV3459" s="5" t="s">
        <v>612</v>
      </c>
      <c r="CW3459" s="8">
        <f>1</f>
        <v>1</v>
      </c>
      <c r="CX3459" s="7">
        <f>1</f>
        <v>1</v>
      </c>
      <c r="CY3459" s="7">
        <f>0</f>
        <v>0</v>
      </c>
      <c r="DA3459" s="7">
        <f>1</f>
        <v>1</v>
      </c>
      <c r="DB3459" s="7" t="s">
        <v>240</v>
      </c>
      <c r="DC3459" s="5" t="s">
        <v>240</v>
      </c>
      <c r="DD3459" s="5" t="s">
        <v>240</v>
      </c>
      <c r="DE3459" s="5" t="s">
        <v>240</v>
      </c>
      <c r="DF3459" s="5" t="s">
        <v>240</v>
      </c>
      <c r="DG3459" s="7">
        <f>0</f>
        <v>0</v>
      </c>
      <c r="DI3459" s="5" t="s">
        <v>240</v>
      </c>
      <c r="DJ3459" s="5" t="s">
        <v>240</v>
      </c>
      <c r="DK3459" s="5" t="s">
        <v>240</v>
      </c>
      <c r="DL3459" s="5" t="s">
        <v>240</v>
      </c>
      <c r="DM3459" s="5" t="s">
        <v>240</v>
      </c>
      <c r="DN3459" s="5" t="s">
        <v>240</v>
      </c>
      <c r="DO3459" s="7" t="s">
        <v>240</v>
      </c>
      <c r="DP3459" s="5" t="s">
        <v>240</v>
      </c>
      <c r="DQ3459" s="5" t="s">
        <v>248</v>
      </c>
      <c r="DR3459" s="5" t="s">
        <v>731</v>
      </c>
      <c r="DS3459" s="5" t="s">
        <v>731</v>
      </c>
      <c r="DT3459" s="5" t="s">
        <v>240</v>
      </c>
      <c r="DU3459" s="5" t="s">
        <v>240</v>
      </c>
      <c r="DV3459" s="5" t="s">
        <v>6047</v>
      </c>
      <c r="DW3459" s="5" t="s">
        <v>1364</v>
      </c>
      <c r="DX3459" s="5" t="s">
        <v>240</v>
      </c>
      <c r="DY3459" s="5" t="s">
        <v>240</v>
      </c>
      <c r="DZ3459" s="5" t="s">
        <v>240</v>
      </c>
      <c r="EA3459" s="5" t="s">
        <v>240</v>
      </c>
      <c r="EB3459" s="5" t="s">
        <v>240</v>
      </c>
      <c r="EC3459" s="5" t="s">
        <v>240</v>
      </c>
      <c r="ED3459" s="5" t="s">
        <v>240</v>
      </c>
      <c r="EE3459" s="5" t="s">
        <v>240</v>
      </c>
      <c r="EF3459" s="5" t="s">
        <v>240</v>
      </c>
      <c r="EG3459" s="5" t="s">
        <v>240</v>
      </c>
      <c r="EH3459" s="5" t="s">
        <v>240</v>
      </c>
      <c r="EI3459" s="5" t="s">
        <v>240</v>
      </c>
      <c r="EJ3459" s="5" t="s">
        <v>240</v>
      </c>
      <c r="EK3459" s="5" t="s">
        <v>240</v>
      </c>
      <c r="EL3459" s="5" t="s">
        <v>240</v>
      </c>
      <c r="EM3459" s="5" t="s">
        <v>240</v>
      </c>
      <c r="EN3459" s="5" t="s">
        <v>240</v>
      </c>
      <c r="EO3459" s="5" t="s">
        <v>240</v>
      </c>
      <c r="EP3459" s="5" t="s">
        <v>240</v>
      </c>
      <c r="EQ3459" s="5" t="s">
        <v>240</v>
      </c>
      <c r="ER3459" s="5" t="s">
        <v>240</v>
      </c>
      <c r="ES3459" s="5" t="s">
        <v>240</v>
      </c>
      <c r="ET3459" s="5" t="s">
        <v>240</v>
      </c>
      <c r="EU3459" s="5" t="s">
        <v>240</v>
      </c>
      <c r="EV3459" s="5" t="s">
        <v>240</v>
      </c>
      <c r="EW3459" s="5" t="s">
        <v>240</v>
      </c>
      <c r="EX3459" s="5" t="s">
        <v>240</v>
      </c>
      <c r="EY3459" s="5" t="s">
        <v>240</v>
      </c>
      <c r="EZ3459" s="5" t="s">
        <v>240</v>
      </c>
      <c r="FA3459" s="5" t="s">
        <v>240</v>
      </c>
      <c r="FB3459" s="5" t="s">
        <v>240</v>
      </c>
      <c r="FC3459" s="5" t="s">
        <v>240</v>
      </c>
      <c r="FD3459" s="5" t="s">
        <v>240</v>
      </c>
      <c r="FE3459" s="5" t="s">
        <v>240</v>
      </c>
      <c r="FF3459" s="5" t="s">
        <v>240</v>
      </c>
      <c r="FG3459" s="5" t="s">
        <v>240</v>
      </c>
      <c r="FH3459" s="5" t="s">
        <v>240</v>
      </c>
      <c r="FI3459" s="5" t="s">
        <v>240</v>
      </c>
      <c r="FJ3459" s="5" t="s">
        <v>240</v>
      </c>
      <c r="FK3459" s="5" t="s">
        <v>240</v>
      </c>
      <c r="FL3459" s="5" t="s">
        <v>240</v>
      </c>
      <c r="FM3459" s="5" t="s">
        <v>240</v>
      </c>
      <c r="FN3459" s="5" t="s">
        <v>240</v>
      </c>
      <c r="FO3459" s="5" t="s">
        <v>240</v>
      </c>
      <c r="FP3459" s="5" t="s">
        <v>240</v>
      </c>
      <c r="FQ3459" s="5" t="s">
        <v>240</v>
      </c>
      <c r="FR3459" s="5" t="s">
        <v>240</v>
      </c>
      <c r="FS3459" s="5" t="s">
        <v>240</v>
      </c>
      <c r="FT3459" s="5" t="s">
        <v>240</v>
      </c>
      <c r="FU3459" s="5" t="s">
        <v>240</v>
      </c>
      <c r="FV3459" s="5" t="s">
        <v>240</v>
      </c>
      <c r="FW3459" s="5" t="s">
        <v>240</v>
      </c>
      <c r="FX3459" s="5" t="s">
        <v>240</v>
      </c>
      <c r="FY3459" s="5" t="s">
        <v>240</v>
      </c>
      <c r="FZ3459" s="5" t="s">
        <v>240</v>
      </c>
      <c r="GA3459" s="5" t="s">
        <v>240</v>
      </c>
      <c r="GB3459" s="5" t="s">
        <v>240</v>
      </c>
      <c r="GC3459" s="5" t="s">
        <v>240</v>
      </c>
      <c r="GD3459" s="5" t="s">
        <v>240</v>
      </c>
      <c r="GE3459" s="5" t="s">
        <v>240</v>
      </c>
      <c r="GF3459" s="5" t="s">
        <v>240</v>
      </c>
      <c r="GG3459" s="5" t="s">
        <v>240</v>
      </c>
      <c r="GH3459" s="5" t="s">
        <v>240</v>
      </c>
      <c r="GI3459" s="5" t="s">
        <v>240</v>
      </c>
      <c r="GJ3459" s="5" t="s">
        <v>240</v>
      </c>
      <c r="GK3459" s="5" t="s">
        <v>240</v>
      </c>
      <c r="GL3459" s="5" t="s">
        <v>240</v>
      </c>
      <c r="GM3459" s="5" t="s">
        <v>240</v>
      </c>
      <c r="GN3459" s="5" t="s">
        <v>240</v>
      </c>
      <c r="GO3459" s="5" t="s">
        <v>240</v>
      </c>
      <c r="GP3459" s="5" t="s">
        <v>240</v>
      </c>
      <c r="GQ3459" s="5" t="s">
        <v>240</v>
      </c>
      <c r="GR3459" s="5" t="s">
        <v>240</v>
      </c>
      <c r="GS3459" s="5" t="s">
        <v>240</v>
      </c>
      <c r="GT3459" s="5" t="s">
        <v>240</v>
      </c>
      <c r="GU3459" s="5" t="s">
        <v>240</v>
      </c>
      <c r="GV3459" s="5" t="s">
        <v>240</v>
      </c>
      <c r="GW3459" s="5" t="s">
        <v>240</v>
      </c>
      <c r="GX3459" s="5" t="s">
        <v>240</v>
      </c>
      <c r="GY3459" s="5" t="s">
        <v>240</v>
      </c>
      <c r="GZ3459" s="5" t="s">
        <v>240</v>
      </c>
      <c r="HA3459" s="5" t="s">
        <v>240</v>
      </c>
      <c r="HB3459" s="5" t="s">
        <v>240</v>
      </c>
      <c r="HC3459" s="5" t="s">
        <v>240</v>
      </c>
      <c r="HD3459" s="5" t="s">
        <v>240</v>
      </c>
      <c r="HE3459" s="5" t="s">
        <v>240</v>
      </c>
      <c r="HF3459" s="5" t="s">
        <v>240</v>
      </c>
      <c r="HG3459" s="5" t="s">
        <v>240</v>
      </c>
      <c r="HH3459" s="5" t="s">
        <v>240</v>
      </c>
      <c r="HI3459" s="5" t="s">
        <v>240</v>
      </c>
      <c r="HJ3459" s="5" t="s">
        <v>240</v>
      </c>
      <c r="HK3459" s="5" t="s">
        <v>240</v>
      </c>
      <c r="HL3459" s="5" t="s">
        <v>240</v>
      </c>
      <c r="HM3459" s="5" t="s">
        <v>240</v>
      </c>
      <c r="HN3459" s="5" t="s">
        <v>240</v>
      </c>
      <c r="HO3459" s="5" t="s">
        <v>240</v>
      </c>
      <c r="HP3459" s="5" t="s">
        <v>240</v>
      </c>
      <c r="HQ3459" s="5" t="s">
        <v>240</v>
      </c>
      <c r="HR3459" s="5" t="s">
        <v>240</v>
      </c>
      <c r="HS3459" s="5" t="s">
        <v>240</v>
      </c>
      <c r="HT3459" s="5" t="s">
        <v>240</v>
      </c>
      <c r="HU3459" s="5" t="s">
        <v>240</v>
      </c>
      <c r="HV3459" s="5" t="s">
        <v>240</v>
      </c>
      <c r="HW3459" s="5" t="s">
        <v>240</v>
      </c>
      <c r="HX3459" s="5" t="s">
        <v>240</v>
      </c>
      <c r="HY3459" s="5" t="s">
        <v>240</v>
      </c>
      <c r="HZ3459" s="5" t="s">
        <v>240</v>
      </c>
      <c r="IA3459" s="5" t="s">
        <v>240</v>
      </c>
      <c r="IB3459" s="5" t="s">
        <v>240</v>
      </c>
      <c r="IC3459" s="5" t="s">
        <v>240</v>
      </c>
      <c r="ID3459" s="5" t="s">
        <v>240</v>
      </c>
      <c r="IE3459" s="5" t="s">
        <v>240</v>
      </c>
      <c r="IF3459" s="5" t="s">
        <v>240</v>
      </c>
    </row>
    <row r="3460" spans="1:240" x14ac:dyDescent="0.4">
      <c r="A3460" s="5">
        <v>9002</v>
      </c>
      <c r="B3460" s="5">
        <v>1</v>
      </c>
      <c r="C3460" s="5">
        <v>1</v>
      </c>
      <c r="D3460" s="5" t="s">
        <v>723</v>
      </c>
      <c r="E3460" s="5" t="s">
        <v>5060</v>
      </c>
      <c r="F3460" s="5" t="s">
        <v>254</v>
      </c>
      <c r="G3460" s="5" t="s">
        <v>5061</v>
      </c>
      <c r="H3460" s="6" t="s">
        <v>5111</v>
      </c>
      <c r="I3460" s="5" t="s">
        <v>5110</v>
      </c>
      <c r="J3460" s="7">
        <f>1</f>
        <v>1</v>
      </c>
      <c r="K3460" s="5" t="s">
        <v>3682</v>
      </c>
      <c r="L3460" s="7">
        <f>1</f>
        <v>1</v>
      </c>
      <c r="M3460" s="7">
        <f>1</f>
        <v>1</v>
      </c>
      <c r="N3460" s="5" t="s">
        <v>242</v>
      </c>
      <c r="O3460" s="5">
        <v>1</v>
      </c>
      <c r="P3460" s="5" t="s">
        <v>294</v>
      </c>
      <c r="Q3460" s="5" t="s">
        <v>3678</v>
      </c>
      <c r="R3460" s="5" t="s">
        <v>240</v>
      </c>
      <c r="S3460" s="5" t="s">
        <v>240</v>
      </c>
      <c r="T3460" s="5" t="s">
        <v>243</v>
      </c>
      <c r="U3460" s="5" t="s">
        <v>244</v>
      </c>
      <c r="V3460" s="5" t="s">
        <v>240</v>
      </c>
      <c r="W3460" s="5" t="s">
        <v>240</v>
      </c>
      <c r="X3460" s="5" t="s">
        <v>240</v>
      </c>
      <c r="Y3460" s="5" t="s">
        <v>240</v>
      </c>
      <c r="Z3460" s="6" t="s">
        <v>298</v>
      </c>
      <c r="AA3460" s="6" t="s">
        <v>240</v>
      </c>
      <c r="AB3460" s="6" t="s">
        <v>240</v>
      </c>
      <c r="AC3460" s="5" t="s">
        <v>240</v>
      </c>
      <c r="AD3460" s="6" t="s">
        <v>240</v>
      </c>
      <c r="AE3460" s="6" t="s">
        <v>299</v>
      </c>
      <c r="AF3460" s="5" t="s">
        <v>248</v>
      </c>
      <c r="AG3460" s="5" t="s">
        <v>249</v>
      </c>
      <c r="AH3460" s="5" t="s">
        <v>240</v>
      </c>
      <c r="AI3460" s="5" t="s">
        <v>240</v>
      </c>
      <c r="AJ3460" s="5" t="s">
        <v>240</v>
      </c>
      <c r="AK3460" s="5" t="s">
        <v>240</v>
      </c>
      <c r="AL3460" s="5" t="s">
        <v>240</v>
      </c>
      <c r="AM3460" s="5" t="s">
        <v>240</v>
      </c>
      <c r="AN3460" s="5" t="s">
        <v>240</v>
      </c>
      <c r="AO3460" s="5" t="s">
        <v>240</v>
      </c>
      <c r="AP3460" s="6" t="s">
        <v>240</v>
      </c>
      <c r="AQ3460" s="6" t="s">
        <v>240</v>
      </c>
      <c r="AR3460" s="6" t="s">
        <v>240</v>
      </c>
      <c r="AS3460" s="6" t="s">
        <v>240</v>
      </c>
      <c r="AT3460" s="5" t="s">
        <v>240</v>
      </c>
      <c r="AU3460" s="5" t="s">
        <v>729</v>
      </c>
      <c r="AV3460" s="5" t="s">
        <v>729</v>
      </c>
      <c r="AW3460" s="5" t="s">
        <v>251</v>
      </c>
      <c r="AX3460" s="5" t="s">
        <v>252</v>
      </c>
      <c r="AY3460" s="5" t="s">
        <v>253</v>
      </c>
      <c r="AZ3460" s="5" t="s">
        <v>240</v>
      </c>
      <c r="BA3460" s="5" t="s">
        <v>255</v>
      </c>
      <c r="BB3460" s="5" t="s">
        <v>731</v>
      </c>
      <c r="BD3460" s="5" t="s">
        <v>240</v>
      </c>
      <c r="BF3460" s="5" t="s">
        <v>732</v>
      </c>
      <c r="BG3460" s="6" t="s">
        <v>733</v>
      </c>
      <c r="BH3460" s="5" t="s">
        <v>734</v>
      </c>
      <c r="BI3460" s="5" t="s">
        <v>734</v>
      </c>
      <c r="BJ3460" s="5" t="s">
        <v>240</v>
      </c>
      <c r="BK3460" s="7">
        <f>1</f>
        <v>1</v>
      </c>
      <c r="BL3460" s="7">
        <f>1</f>
        <v>1</v>
      </c>
      <c r="BM3460" s="5" t="s">
        <v>258</v>
      </c>
      <c r="BN3460" s="5" t="s">
        <v>259</v>
      </c>
      <c r="BO3460" s="5" t="s">
        <v>240</v>
      </c>
      <c r="BP3460" s="5" t="s">
        <v>240</v>
      </c>
      <c r="BQ3460" s="5" t="s">
        <v>240</v>
      </c>
      <c r="BR3460" s="5" t="s">
        <v>240</v>
      </c>
      <c r="BS3460" s="5" t="s">
        <v>240</v>
      </c>
      <c r="BT3460" s="5" t="s">
        <v>240</v>
      </c>
      <c r="BU3460" s="5" t="s">
        <v>240</v>
      </c>
      <c r="BV3460" s="5" t="s">
        <v>240</v>
      </c>
      <c r="BW3460" s="6" t="s">
        <v>240</v>
      </c>
      <c r="BX3460" s="5" t="s">
        <v>240</v>
      </c>
      <c r="BY3460" s="5" t="s">
        <v>240</v>
      </c>
      <c r="BZ3460" s="5" t="s">
        <v>240</v>
      </c>
      <c r="CA3460" s="5" t="s">
        <v>259</v>
      </c>
      <c r="CB3460" s="5" t="s">
        <v>240</v>
      </c>
      <c r="CC3460" s="5" t="s">
        <v>240</v>
      </c>
      <c r="CD3460" s="5" t="s">
        <v>240</v>
      </c>
      <c r="CE3460" s="5" t="s">
        <v>240</v>
      </c>
      <c r="CF3460" s="5" t="s">
        <v>240</v>
      </c>
      <c r="CG3460" s="5" t="s">
        <v>304</v>
      </c>
      <c r="CH3460" s="5" t="s">
        <v>305</v>
      </c>
      <c r="CI3460" s="5" t="s">
        <v>240</v>
      </c>
      <c r="CK3460" s="5" t="s">
        <v>3681</v>
      </c>
      <c r="CL3460" s="6" t="s">
        <v>261</v>
      </c>
      <c r="CM3460" s="5" t="s">
        <v>262</v>
      </c>
      <c r="CN3460" s="5" t="s">
        <v>263</v>
      </c>
      <c r="CO3460" s="5" t="s">
        <v>264</v>
      </c>
      <c r="CP3460" s="5" t="s">
        <v>240</v>
      </c>
      <c r="CQ3460" s="5">
        <v>0</v>
      </c>
      <c r="CR3460" s="5" t="s">
        <v>735</v>
      </c>
      <c r="CS3460" s="5" t="s">
        <v>307</v>
      </c>
      <c r="CT3460" s="5" t="s">
        <v>307</v>
      </c>
      <c r="CU3460" s="5" t="s">
        <v>260</v>
      </c>
      <c r="CV3460" s="5" t="s">
        <v>612</v>
      </c>
      <c r="CW3460" s="8">
        <f>1</f>
        <v>1</v>
      </c>
      <c r="CX3460" s="7">
        <f>1</f>
        <v>1</v>
      </c>
      <c r="CY3460" s="7">
        <f>0</f>
        <v>0</v>
      </c>
      <c r="DA3460" s="7">
        <f>1</f>
        <v>1</v>
      </c>
      <c r="DB3460" s="7" t="s">
        <v>240</v>
      </c>
      <c r="DC3460" s="5" t="s">
        <v>240</v>
      </c>
      <c r="DD3460" s="5" t="s">
        <v>240</v>
      </c>
      <c r="DE3460" s="5" t="s">
        <v>240</v>
      </c>
      <c r="DF3460" s="5" t="s">
        <v>240</v>
      </c>
      <c r="DG3460" s="7">
        <f>0</f>
        <v>0</v>
      </c>
      <c r="DI3460" s="5" t="s">
        <v>240</v>
      </c>
      <c r="DJ3460" s="5" t="s">
        <v>240</v>
      </c>
      <c r="DK3460" s="5" t="s">
        <v>240</v>
      </c>
      <c r="DL3460" s="5" t="s">
        <v>240</v>
      </c>
      <c r="DM3460" s="5" t="s">
        <v>240</v>
      </c>
      <c r="DN3460" s="5" t="s">
        <v>240</v>
      </c>
      <c r="DO3460" s="7" t="s">
        <v>240</v>
      </c>
      <c r="DP3460" s="5" t="s">
        <v>240</v>
      </c>
      <c r="DQ3460" s="5" t="s">
        <v>240</v>
      </c>
      <c r="DR3460" s="5" t="s">
        <v>731</v>
      </c>
      <c r="DS3460" s="5" t="s">
        <v>731</v>
      </c>
      <c r="DT3460" s="5" t="s">
        <v>240</v>
      </c>
      <c r="DU3460" s="5" t="s">
        <v>240</v>
      </c>
      <c r="DV3460" s="5" t="s">
        <v>5063</v>
      </c>
      <c r="DW3460" s="5" t="s">
        <v>799</v>
      </c>
      <c r="DX3460" s="5" t="s">
        <v>240</v>
      </c>
      <c r="DY3460" s="5" t="s">
        <v>240</v>
      </c>
      <c r="DZ3460" s="5" t="s">
        <v>240</v>
      </c>
      <c r="EA3460" s="5" t="s">
        <v>240</v>
      </c>
      <c r="EB3460" s="5" t="s">
        <v>240</v>
      </c>
      <c r="EC3460" s="5" t="s">
        <v>240</v>
      </c>
      <c r="ED3460" s="5" t="s">
        <v>240</v>
      </c>
      <c r="EE3460" s="5" t="s">
        <v>240</v>
      </c>
      <c r="EF3460" s="5" t="s">
        <v>240</v>
      </c>
      <c r="EG3460" s="5" t="s">
        <v>240</v>
      </c>
      <c r="EH3460" s="5" t="s">
        <v>240</v>
      </c>
      <c r="EI3460" s="5" t="s">
        <v>240</v>
      </c>
      <c r="EJ3460" s="5" t="s">
        <v>240</v>
      </c>
      <c r="EK3460" s="5" t="s">
        <v>240</v>
      </c>
      <c r="EL3460" s="5" t="s">
        <v>240</v>
      </c>
      <c r="EM3460" s="5" t="s">
        <v>240</v>
      </c>
      <c r="EN3460" s="5" t="s">
        <v>240</v>
      </c>
      <c r="EO3460" s="5" t="s">
        <v>240</v>
      </c>
      <c r="EP3460" s="5" t="s">
        <v>240</v>
      </c>
      <c r="EQ3460" s="5" t="s">
        <v>240</v>
      </c>
      <c r="ER3460" s="5" t="s">
        <v>240</v>
      </c>
      <c r="ES3460" s="5" t="s">
        <v>240</v>
      </c>
      <c r="ET3460" s="5" t="s">
        <v>240</v>
      </c>
      <c r="EU3460" s="5" t="s">
        <v>240</v>
      </c>
      <c r="EV3460" s="5" t="s">
        <v>240</v>
      </c>
      <c r="EW3460" s="5" t="s">
        <v>240</v>
      </c>
      <c r="EX3460" s="5" t="s">
        <v>240</v>
      </c>
      <c r="EY3460" s="5" t="s">
        <v>240</v>
      </c>
      <c r="EZ3460" s="5" t="s">
        <v>240</v>
      </c>
      <c r="FA3460" s="5" t="s">
        <v>240</v>
      </c>
      <c r="FB3460" s="5" t="s">
        <v>240</v>
      </c>
      <c r="FC3460" s="5" t="s">
        <v>240</v>
      </c>
      <c r="FD3460" s="5" t="s">
        <v>240</v>
      </c>
      <c r="FE3460" s="5" t="s">
        <v>240</v>
      </c>
      <c r="FF3460" s="5" t="s">
        <v>240</v>
      </c>
      <c r="FG3460" s="5" t="s">
        <v>240</v>
      </c>
      <c r="FH3460" s="5" t="s">
        <v>240</v>
      </c>
      <c r="FI3460" s="5" t="s">
        <v>240</v>
      </c>
      <c r="FJ3460" s="5" t="s">
        <v>240</v>
      </c>
      <c r="FK3460" s="5" t="s">
        <v>240</v>
      </c>
      <c r="FL3460" s="5" t="s">
        <v>240</v>
      </c>
      <c r="FM3460" s="5" t="s">
        <v>240</v>
      </c>
      <c r="FN3460" s="5" t="s">
        <v>240</v>
      </c>
      <c r="FO3460" s="5" t="s">
        <v>240</v>
      </c>
      <c r="FP3460" s="5" t="s">
        <v>240</v>
      </c>
      <c r="FQ3460" s="5" t="s">
        <v>240</v>
      </c>
      <c r="FR3460" s="5" t="s">
        <v>240</v>
      </c>
      <c r="FS3460" s="5" t="s">
        <v>240</v>
      </c>
      <c r="FT3460" s="5" t="s">
        <v>240</v>
      </c>
      <c r="FU3460" s="5" t="s">
        <v>240</v>
      </c>
      <c r="FV3460" s="5" t="s">
        <v>240</v>
      </c>
      <c r="FW3460" s="5" t="s">
        <v>240</v>
      </c>
      <c r="FX3460" s="5" t="s">
        <v>240</v>
      </c>
      <c r="FY3460" s="5" t="s">
        <v>240</v>
      </c>
      <c r="FZ3460" s="5" t="s">
        <v>240</v>
      </c>
      <c r="GA3460" s="5" t="s">
        <v>240</v>
      </c>
      <c r="GB3460" s="5" t="s">
        <v>240</v>
      </c>
      <c r="GC3460" s="5" t="s">
        <v>240</v>
      </c>
      <c r="GD3460" s="5" t="s">
        <v>240</v>
      </c>
      <c r="GE3460" s="5" t="s">
        <v>240</v>
      </c>
      <c r="GF3460" s="5" t="s">
        <v>240</v>
      </c>
      <c r="GG3460" s="5" t="s">
        <v>240</v>
      </c>
      <c r="GH3460" s="5" t="s">
        <v>240</v>
      </c>
      <c r="GI3460" s="5" t="s">
        <v>240</v>
      </c>
      <c r="GJ3460" s="5" t="s">
        <v>240</v>
      </c>
      <c r="GK3460" s="5" t="s">
        <v>240</v>
      </c>
      <c r="GL3460" s="5" t="s">
        <v>240</v>
      </c>
      <c r="GM3460" s="5" t="s">
        <v>240</v>
      </c>
      <c r="GN3460" s="5" t="s">
        <v>240</v>
      </c>
      <c r="GO3460" s="5" t="s">
        <v>240</v>
      </c>
      <c r="GP3460" s="5" t="s">
        <v>240</v>
      </c>
      <c r="GQ3460" s="5" t="s">
        <v>240</v>
      </c>
      <c r="GR3460" s="5" t="s">
        <v>240</v>
      </c>
      <c r="GS3460" s="5" t="s">
        <v>240</v>
      </c>
      <c r="GT3460" s="5" t="s">
        <v>240</v>
      </c>
      <c r="GU3460" s="5" t="s">
        <v>240</v>
      </c>
      <c r="GV3460" s="5" t="s">
        <v>240</v>
      </c>
      <c r="GW3460" s="5" t="s">
        <v>240</v>
      </c>
      <c r="GX3460" s="5" t="s">
        <v>240</v>
      </c>
      <c r="GY3460" s="5" t="s">
        <v>240</v>
      </c>
      <c r="GZ3460" s="5" t="s">
        <v>240</v>
      </c>
      <c r="HA3460" s="5" t="s">
        <v>240</v>
      </c>
      <c r="HB3460" s="5" t="s">
        <v>240</v>
      </c>
      <c r="HC3460" s="5" t="s">
        <v>240</v>
      </c>
      <c r="HD3460" s="5" t="s">
        <v>240</v>
      </c>
      <c r="HE3460" s="5" t="s">
        <v>240</v>
      </c>
      <c r="HF3460" s="5" t="s">
        <v>240</v>
      </c>
      <c r="HG3460" s="5" t="s">
        <v>240</v>
      </c>
      <c r="HH3460" s="5" t="s">
        <v>240</v>
      </c>
      <c r="HI3460" s="5" t="s">
        <v>240</v>
      </c>
      <c r="HJ3460" s="5" t="s">
        <v>240</v>
      </c>
      <c r="HK3460" s="5" t="s">
        <v>240</v>
      </c>
      <c r="HL3460" s="5" t="s">
        <v>240</v>
      </c>
      <c r="HM3460" s="5" t="s">
        <v>240</v>
      </c>
      <c r="HN3460" s="5" t="s">
        <v>240</v>
      </c>
      <c r="HO3460" s="5" t="s">
        <v>312</v>
      </c>
      <c r="HP3460" s="5" t="s">
        <v>240</v>
      </c>
      <c r="HQ3460" s="5" t="s">
        <v>240</v>
      </c>
      <c r="HR3460" s="5" t="s">
        <v>240</v>
      </c>
      <c r="HS3460" s="5" t="s">
        <v>240</v>
      </c>
      <c r="HT3460" s="5" t="s">
        <v>240</v>
      </c>
      <c r="HU3460" s="5" t="s">
        <v>240</v>
      </c>
      <c r="HV3460" s="5" t="s">
        <v>240</v>
      </c>
      <c r="HW3460" s="5" t="s">
        <v>240</v>
      </c>
      <c r="HX3460" s="5" t="s">
        <v>240</v>
      </c>
      <c r="HY3460" s="5" t="s">
        <v>240</v>
      </c>
      <c r="HZ3460" s="5" t="s">
        <v>240</v>
      </c>
      <c r="IA3460" s="5" t="s">
        <v>240</v>
      </c>
      <c r="IB3460" s="5" t="s">
        <v>240</v>
      </c>
      <c r="IC3460" s="5" t="s">
        <v>240</v>
      </c>
      <c r="ID3460" s="5" t="s">
        <v>240</v>
      </c>
      <c r="IE3460" s="5" t="s">
        <v>240</v>
      </c>
      <c r="IF3460" s="5" t="s">
        <v>240</v>
      </c>
    </row>
    <row r="3461" spans="1:240" x14ac:dyDescent="0.4">
      <c r="A3461" s="5">
        <v>9003</v>
      </c>
      <c r="B3461" s="5">
        <v>1</v>
      </c>
      <c r="C3461" s="5">
        <v>1</v>
      </c>
      <c r="D3461" s="5" t="s">
        <v>723</v>
      </c>
      <c r="E3461" s="5" t="s">
        <v>5060</v>
      </c>
      <c r="F3461" s="5" t="s">
        <v>254</v>
      </c>
      <c r="G3461" s="5" t="s">
        <v>5061</v>
      </c>
      <c r="H3461" s="6" t="s">
        <v>5116</v>
      </c>
      <c r="I3461" s="5" t="s">
        <v>5115</v>
      </c>
      <c r="J3461" s="7">
        <f>1</f>
        <v>1</v>
      </c>
      <c r="K3461" s="5" t="s">
        <v>3682</v>
      </c>
      <c r="L3461" s="7">
        <f>1</f>
        <v>1</v>
      </c>
      <c r="M3461" s="7">
        <f>1</f>
        <v>1</v>
      </c>
      <c r="N3461" s="5" t="s">
        <v>242</v>
      </c>
      <c r="O3461" s="5">
        <v>1</v>
      </c>
      <c r="P3461" s="5" t="s">
        <v>294</v>
      </c>
      <c r="Q3461" s="5" t="s">
        <v>3678</v>
      </c>
      <c r="R3461" s="5" t="s">
        <v>240</v>
      </c>
      <c r="S3461" s="5" t="s">
        <v>240</v>
      </c>
      <c r="T3461" s="5" t="s">
        <v>243</v>
      </c>
      <c r="U3461" s="5" t="s">
        <v>244</v>
      </c>
      <c r="V3461" s="5" t="s">
        <v>240</v>
      </c>
      <c r="W3461" s="5" t="s">
        <v>240</v>
      </c>
      <c r="X3461" s="5" t="s">
        <v>240</v>
      </c>
      <c r="Y3461" s="5" t="s">
        <v>240</v>
      </c>
      <c r="Z3461" s="6" t="s">
        <v>298</v>
      </c>
      <c r="AA3461" s="6" t="s">
        <v>240</v>
      </c>
      <c r="AB3461" s="6" t="s">
        <v>240</v>
      </c>
      <c r="AC3461" s="5" t="s">
        <v>240</v>
      </c>
      <c r="AD3461" s="6" t="s">
        <v>240</v>
      </c>
      <c r="AE3461" s="6" t="s">
        <v>299</v>
      </c>
      <c r="AF3461" s="5" t="s">
        <v>248</v>
      </c>
      <c r="AG3461" s="5" t="s">
        <v>249</v>
      </c>
      <c r="AH3461" s="5" t="s">
        <v>240</v>
      </c>
      <c r="AI3461" s="5" t="s">
        <v>240</v>
      </c>
      <c r="AJ3461" s="5" t="s">
        <v>240</v>
      </c>
      <c r="AK3461" s="5" t="s">
        <v>240</v>
      </c>
      <c r="AL3461" s="5" t="s">
        <v>240</v>
      </c>
      <c r="AM3461" s="5" t="s">
        <v>240</v>
      </c>
      <c r="AN3461" s="5" t="s">
        <v>240</v>
      </c>
      <c r="AO3461" s="5" t="s">
        <v>240</v>
      </c>
      <c r="AP3461" s="6" t="s">
        <v>240</v>
      </c>
      <c r="AQ3461" s="6" t="s">
        <v>240</v>
      </c>
      <c r="AR3461" s="6" t="s">
        <v>240</v>
      </c>
      <c r="AS3461" s="6" t="s">
        <v>240</v>
      </c>
      <c r="AT3461" s="5" t="s">
        <v>240</v>
      </c>
      <c r="AU3461" s="5" t="s">
        <v>729</v>
      </c>
      <c r="AV3461" s="5" t="s">
        <v>729</v>
      </c>
      <c r="AW3461" s="5" t="s">
        <v>251</v>
      </c>
      <c r="AX3461" s="5" t="s">
        <v>252</v>
      </c>
      <c r="AY3461" s="5" t="s">
        <v>253</v>
      </c>
      <c r="AZ3461" s="5" t="s">
        <v>6046</v>
      </c>
      <c r="BA3461" s="5" t="s">
        <v>255</v>
      </c>
      <c r="BB3461" s="5" t="s">
        <v>731</v>
      </c>
      <c r="BD3461" s="5" t="s">
        <v>240</v>
      </c>
      <c r="BF3461" s="5" t="s">
        <v>732</v>
      </c>
      <c r="BG3461" s="6" t="s">
        <v>733</v>
      </c>
      <c r="BH3461" s="5" t="s">
        <v>734</v>
      </c>
      <c r="BI3461" s="5" t="s">
        <v>734</v>
      </c>
      <c r="BJ3461" s="5" t="s">
        <v>240</v>
      </c>
      <c r="BK3461" s="7">
        <f>1</f>
        <v>1</v>
      </c>
      <c r="BL3461" s="7">
        <f>1</f>
        <v>1</v>
      </c>
      <c r="BM3461" s="5" t="s">
        <v>258</v>
      </c>
      <c r="BN3461" s="5" t="s">
        <v>259</v>
      </c>
      <c r="BO3461" s="5" t="s">
        <v>240</v>
      </c>
      <c r="BP3461" s="5" t="s">
        <v>240</v>
      </c>
      <c r="BQ3461" s="5" t="s">
        <v>240</v>
      </c>
      <c r="BR3461" s="5" t="s">
        <v>240</v>
      </c>
      <c r="BS3461" s="5" t="s">
        <v>240</v>
      </c>
      <c r="BT3461" s="5" t="s">
        <v>240</v>
      </c>
      <c r="BU3461" s="5" t="s">
        <v>240</v>
      </c>
      <c r="BV3461" s="5" t="s">
        <v>240</v>
      </c>
      <c r="BW3461" s="6" t="s">
        <v>240</v>
      </c>
      <c r="BX3461" s="5" t="s">
        <v>240</v>
      </c>
      <c r="BY3461" s="5" t="s">
        <v>240</v>
      </c>
      <c r="BZ3461" s="5" t="s">
        <v>240</v>
      </c>
      <c r="CA3461" s="5" t="s">
        <v>259</v>
      </c>
      <c r="CB3461" s="5" t="s">
        <v>240</v>
      </c>
      <c r="CC3461" s="5" t="s">
        <v>240</v>
      </c>
      <c r="CD3461" s="5" t="s">
        <v>240</v>
      </c>
      <c r="CE3461" s="5" t="s">
        <v>240</v>
      </c>
      <c r="CF3461" s="5" t="s">
        <v>240</v>
      </c>
      <c r="CG3461" s="5" t="s">
        <v>304</v>
      </c>
      <c r="CH3461" s="5" t="s">
        <v>305</v>
      </c>
      <c r="CI3461" s="5" t="s">
        <v>260</v>
      </c>
      <c r="CK3461" s="5" t="s">
        <v>3681</v>
      </c>
      <c r="CL3461" s="6" t="s">
        <v>261</v>
      </c>
      <c r="CM3461" s="5" t="s">
        <v>262</v>
      </c>
      <c r="CN3461" s="5" t="s">
        <v>263</v>
      </c>
      <c r="CO3461" s="5" t="s">
        <v>264</v>
      </c>
      <c r="CP3461" s="5" t="s">
        <v>240</v>
      </c>
      <c r="CQ3461" s="5">
        <v>0</v>
      </c>
      <c r="CR3461" s="5" t="s">
        <v>735</v>
      </c>
      <c r="CS3461" s="5" t="s">
        <v>307</v>
      </c>
      <c r="CT3461" s="5" t="s">
        <v>307</v>
      </c>
      <c r="CU3461" s="5" t="s">
        <v>260</v>
      </c>
      <c r="CV3461" s="5" t="s">
        <v>612</v>
      </c>
      <c r="CW3461" s="8">
        <f>1</f>
        <v>1</v>
      </c>
      <c r="CX3461" s="7">
        <f>1</f>
        <v>1</v>
      </c>
      <c r="CY3461" s="7">
        <f>0</f>
        <v>0</v>
      </c>
      <c r="DA3461" s="7">
        <f>1</f>
        <v>1</v>
      </c>
      <c r="DB3461" s="7" t="s">
        <v>240</v>
      </c>
      <c r="DC3461" s="5" t="s">
        <v>240</v>
      </c>
      <c r="DD3461" s="5" t="s">
        <v>240</v>
      </c>
      <c r="DE3461" s="5" t="s">
        <v>240</v>
      </c>
      <c r="DF3461" s="5" t="s">
        <v>240</v>
      </c>
      <c r="DG3461" s="7">
        <f>0</f>
        <v>0</v>
      </c>
      <c r="DI3461" s="5" t="s">
        <v>240</v>
      </c>
      <c r="DJ3461" s="5" t="s">
        <v>240</v>
      </c>
      <c r="DK3461" s="5" t="s">
        <v>240</v>
      </c>
      <c r="DL3461" s="5" t="s">
        <v>240</v>
      </c>
      <c r="DM3461" s="5" t="s">
        <v>240</v>
      </c>
      <c r="DN3461" s="5" t="s">
        <v>240</v>
      </c>
      <c r="DO3461" s="7" t="s">
        <v>240</v>
      </c>
      <c r="DP3461" s="5" t="s">
        <v>240</v>
      </c>
      <c r="DQ3461" s="5" t="s">
        <v>248</v>
      </c>
      <c r="DR3461" s="5" t="s">
        <v>731</v>
      </c>
      <c r="DS3461" s="5" t="s">
        <v>731</v>
      </c>
      <c r="DT3461" s="5" t="s">
        <v>240</v>
      </c>
      <c r="DU3461" s="5" t="s">
        <v>240</v>
      </c>
      <c r="DV3461" s="5" t="s">
        <v>6047</v>
      </c>
      <c r="DW3461" s="5" t="s">
        <v>719</v>
      </c>
      <c r="DX3461" s="5" t="s">
        <v>240</v>
      </c>
      <c r="DY3461" s="5" t="s">
        <v>240</v>
      </c>
      <c r="DZ3461" s="5" t="s">
        <v>240</v>
      </c>
      <c r="EA3461" s="5" t="s">
        <v>240</v>
      </c>
      <c r="EB3461" s="5" t="s">
        <v>240</v>
      </c>
      <c r="EC3461" s="5" t="s">
        <v>240</v>
      </c>
      <c r="ED3461" s="5" t="s">
        <v>240</v>
      </c>
      <c r="EE3461" s="5" t="s">
        <v>240</v>
      </c>
      <c r="EF3461" s="5" t="s">
        <v>240</v>
      </c>
      <c r="EG3461" s="5" t="s">
        <v>240</v>
      </c>
      <c r="EH3461" s="5" t="s">
        <v>240</v>
      </c>
      <c r="EI3461" s="5" t="s">
        <v>240</v>
      </c>
      <c r="EJ3461" s="5" t="s">
        <v>240</v>
      </c>
      <c r="EK3461" s="5" t="s">
        <v>240</v>
      </c>
      <c r="EL3461" s="5" t="s">
        <v>240</v>
      </c>
      <c r="EM3461" s="5" t="s">
        <v>240</v>
      </c>
      <c r="EN3461" s="5" t="s">
        <v>240</v>
      </c>
      <c r="EO3461" s="5" t="s">
        <v>240</v>
      </c>
      <c r="EP3461" s="5" t="s">
        <v>240</v>
      </c>
      <c r="EQ3461" s="5" t="s">
        <v>240</v>
      </c>
      <c r="ER3461" s="5" t="s">
        <v>240</v>
      </c>
      <c r="ES3461" s="5" t="s">
        <v>240</v>
      </c>
      <c r="ET3461" s="5" t="s">
        <v>240</v>
      </c>
      <c r="EU3461" s="5" t="s">
        <v>240</v>
      </c>
      <c r="EV3461" s="5" t="s">
        <v>240</v>
      </c>
      <c r="EW3461" s="5" t="s">
        <v>240</v>
      </c>
      <c r="EX3461" s="5" t="s">
        <v>240</v>
      </c>
      <c r="EY3461" s="5" t="s">
        <v>240</v>
      </c>
      <c r="EZ3461" s="5" t="s">
        <v>240</v>
      </c>
      <c r="FA3461" s="5" t="s">
        <v>240</v>
      </c>
      <c r="FB3461" s="5" t="s">
        <v>240</v>
      </c>
      <c r="FC3461" s="5" t="s">
        <v>240</v>
      </c>
      <c r="FD3461" s="5" t="s">
        <v>240</v>
      </c>
      <c r="FE3461" s="5" t="s">
        <v>240</v>
      </c>
      <c r="FF3461" s="5" t="s">
        <v>240</v>
      </c>
      <c r="FG3461" s="5" t="s">
        <v>240</v>
      </c>
      <c r="FH3461" s="5" t="s">
        <v>240</v>
      </c>
      <c r="FI3461" s="5" t="s">
        <v>240</v>
      </c>
      <c r="FJ3461" s="5" t="s">
        <v>240</v>
      </c>
      <c r="FK3461" s="5" t="s">
        <v>240</v>
      </c>
      <c r="FL3461" s="5" t="s">
        <v>240</v>
      </c>
      <c r="FM3461" s="5" t="s">
        <v>240</v>
      </c>
      <c r="FN3461" s="5" t="s">
        <v>240</v>
      </c>
      <c r="FO3461" s="5" t="s">
        <v>240</v>
      </c>
      <c r="FP3461" s="5" t="s">
        <v>240</v>
      </c>
      <c r="FQ3461" s="5" t="s">
        <v>240</v>
      </c>
      <c r="FR3461" s="5" t="s">
        <v>240</v>
      </c>
      <c r="FS3461" s="5" t="s">
        <v>240</v>
      </c>
      <c r="FT3461" s="5" t="s">
        <v>240</v>
      </c>
      <c r="FU3461" s="5" t="s">
        <v>240</v>
      </c>
      <c r="FV3461" s="5" t="s">
        <v>240</v>
      </c>
      <c r="FW3461" s="5" t="s">
        <v>240</v>
      </c>
      <c r="FX3461" s="5" t="s">
        <v>240</v>
      </c>
      <c r="FY3461" s="5" t="s">
        <v>240</v>
      </c>
      <c r="FZ3461" s="5" t="s">
        <v>240</v>
      </c>
      <c r="GA3461" s="5" t="s">
        <v>240</v>
      </c>
      <c r="GB3461" s="5" t="s">
        <v>240</v>
      </c>
      <c r="GC3461" s="5" t="s">
        <v>240</v>
      </c>
      <c r="GD3461" s="5" t="s">
        <v>240</v>
      </c>
      <c r="GE3461" s="5" t="s">
        <v>240</v>
      </c>
      <c r="GF3461" s="5" t="s">
        <v>240</v>
      </c>
      <c r="GG3461" s="5" t="s">
        <v>240</v>
      </c>
      <c r="GH3461" s="5" t="s">
        <v>240</v>
      </c>
      <c r="GI3461" s="5" t="s">
        <v>240</v>
      </c>
      <c r="GJ3461" s="5" t="s">
        <v>240</v>
      </c>
      <c r="GK3461" s="5" t="s">
        <v>240</v>
      </c>
      <c r="GL3461" s="5" t="s">
        <v>240</v>
      </c>
      <c r="GM3461" s="5" t="s">
        <v>240</v>
      </c>
      <c r="GN3461" s="5" t="s">
        <v>240</v>
      </c>
      <c r="GO3461" s="5" t="s">
        <v>240</v>
      </c>
      <c r="GP3461" s="5" t="s">
        <v>240</v>
      </c>
      <c r="GQ3461" s="5" t="s">
        <v>240</v>
      </c>
      <c r="GR3461" s="5" t="s">
        <v>240</v>
      </c>
      <c r="GS3461" s="5" t="s">
        <v>240</v>
      </c>
      <c r="GT3461" s="5" t="s">
        <v>240</v>
      </c>
      <c r="GU3461" s="5" t="s">
        <v>240</v>
      </c>
      <c r="GV3461" s="5" t="s">
        <v>240</v>
      </c>
      <c r="GW3461" s="5" t="s">
        <v>240</v>
      </c>
      <c r="GX3461" s="5" t="s">
        <v>240</v>
      </c>
      <c r="GY3461" s="5" t="s">
        <v>240</v>
      </c>
      <c r="GZ3461" s="5" t="s">
        <v>240</v>
      </c>
      <c r="HA3461" s="5" t="s">
        <v>240</v>
      </c>
      <c r="HB3461" s="5" t="s">
        <v>240</v>
      </c>
      <c r="HC3461" s="5" t="s">
        <v>240</v>
      </c>
      <c r="HD3461" s="5" t="s">
        <v>240</v>
      </c>
      <c r="HE3461" s="5" t="s">
        <v>240</v>
      </c>
      <c r="HF3461" s="5" t="s">
        <v>240</v>
      </c>
      <c r="HG3461" s="5" t="s">
        <v>240</v>
      </c>
      <c r="HH3461" s="5" t="s">
        <v>240</v>
      </c>
      <c r="HI3461" s="5" t="s">
        <v>240</v>
      </c>
      <c r="HJ3461" s="5" t="s">
        <v>240</v>
      </c>
      <c r="HK3461" s="5" t="s">
        <v>240</v>
      </c>
      <c r="HL3461" s="5" t="s">
        <v>240</v>
      </c>
      <c r="HM3461" s="5" t="s">
        <v>240</v>
      </c>
      <c r="HN3461" s="5" t="s">
        <v>240</v>
      </c>
      <c r="HO3461" s="5" t="s">
        <v>240</v>
      </c>
      <c r="HP3461" s="5" t="s">
        <v>240</v>
      </c>
      <c r="HQ3461" s="5" t="s">
        <v>240</v>
      </c>
      <c r="HR3461" s="5" t="s">
        <v>240</v>
      </c>
      <c r="HS3461" s="5" t="s">
        <v>240</v>
      </c>
      <c r="HT3461" s="5" t="s">
        <v>240</v>
      </c>
      <c r="HU3461" s="5" t="s">
        <v>240</v>
      </c>
      <c r="HV3461" s="5" t="s">
        <v>240</v>
      </c>
      <c r="HW3461" s="5" t="s">
        <v>240</v>
      </c>
      <c r="HX3461" s="5" t="s">
        <v>240</v>
      </c>
      <c r="HY3461" s="5" t="s">
        <v>240</v>
      </c>
      <c r="HZ3461" s="5" t="s">
        <v>240</v>
      </c>
      <c r="IA3461" s="5" t="s">
        <v>240</v>
      </c>
      <c r="IB3461" s="5" t="s">
        <v>240</v>
      </c>
      <c r="IC3461" s="5" t="s">
        <v>240</v>
      </c>
      <c r="ID3461" s="5" t="s">
        <v>240</v>
      </c>
      <c r="IE3461" s="5" t="s">
        <v>240</v>
      </c>
      <c r="IF3461" s="5" t="s">
        <v>240</v>
      </c>
    </row>
    <row r="3462" spans="1:240" x14ac:dyDescent="0.4">
      <c r="A3462" s="5">
        <v>9004</v>
      </c>
      <c r="B3462" s="5">
        <v>1</v>
      </c>
      <c r="C3462" s="5">
        <v>1</v>
      </c>
      <c r="D3462" s="5" t="s">
        <v>723</v>
      </c>
      <c r="E3462" s="5" t="s">
        <v>5060</v>
      </c>
      <c r="F3462" s="5" t="s">
        <v>254</v>
      </c>
      <c r="G3462" s="5" t="s">
        <v>5061</v>
      </c>
      <c r="H3462" s="6" t="s">
        <v>5118</v>
      </c>
      <c r="I3462" s="5" t="s">
        <v>5117</v>
      </c>
      <c r="J3462" s="7">
        <f>1</f>
        <v>1</v>
      </c>
      <c r="K3462" s="5" t="s">
        <v>3682</v>
      </c>
      <c r="L3462" s="7">
        <f>1</f>
        <v>1</v>
      </c>
      <c r="M3462" s="7">
        <f>1</f>
        <v>1</v>
      </c>
      <c r="N3462" s="5" t="s">
        <v>242</v>
      </c>
      <c r="O3462" s="5">
        <v>1</v>
      </c>
      <c r="P3462" s="5" t="s">
        <v>294</v>
      </c>
      <c r="Q3462" s="5" t="s">
        <v>266</v>
      </c>
      <c r="R3462" s="5" t="s">
        <v>240</v>
      </c>
      <c r="S3462" s="5" t="s">
        <v>240</v>
      </c>
      <c r="T3462" s="5" t="s">
        <v>243</v>
      </c>
      <c r="U3462" s="5" t="s">
        <v>240</v>
      </c>
      <c r="V3462" s="5" t="s">
        <v>240</v>
      </c>
      <c r="Y3462" s="5" t="s">
        <v>240</v>
      </c>
      <c r="Z3462" s="6" t="s">
        <v>6029</v>
      </c>
      <c r="AB3462" s="6" t="s">
        <v>240</v>
      </c>
      <c r="AE3462" s="6" t="s">
        <v>747</v>
      </c>
      <c r="AF3462" s="5" t="s">
        <v>248</v>
      </c>
      <c r="AG3462" s="5" t="s">
        <v>249</v>
      </c>
      <c r="AW3462" s="5" t="s">
        <v>251</v>
      </c>
      <c r="AX3462" s="5" t="s">
        <v>240</v>
      </c>
      <c r="AY3462" s="5" t="s">
        <v>253</v>
      </c>
      <c r="AZ3462" s="5" t="s">
        <v>240</v>
      </c>
      <c r="BA3462" s="5" t="s">
        <v>255</v>
      </c>
      <c r="BB3462" s="5" t="s">
        <v>240</v>
      </c>
      <c r="BD3462" s="5" t="s">
        <v>240</v>
      </c>
      <c r="BF3462" s="5" t="s">
        <v>687</v>
      </c>
      <c r="BG3462" s="6" t="s">
        <v>6029</v>
      </c>
      <c r="BH3462" s="5" t="s">
        <v>302</v>
      </c>
      <c r="BI3462" s="5" t="s">
        <v>448</v>
      </c>
      <c r="BJ3462" s="5" t="s">
        <v>240</v>
      </c>
      <c r="BK3462" s="8">
        <f>0</f>
        <v>0</v>
      </c>
      <c r="BL3462" s="7">
        <f>0</f>
        <v>0</v>
      </c>
      <c r="BM3462" s="5" t="s">
        <v>258</v>
      </c>
      <c r="BN3462" s="5" t="s">
        <v>259</v>
      </c>
      <c r="CB3462" s="5" t="s">
        <v>240</v>
      </c>
      <c r="CC3462" s="5" t="s">
        <v>240</v>
      </c>
      <c r="CG3462" s="5" t="s">
        <v>449</v>
      </c>
      <c r="CH3462" s="5" t="s">
        <v>305</v>
      </c>
      <c r="CI3462" s="5" t="s">
        <v>240</v>
      </c>
      <c r="CL3462" s="6" t="s">
        <v>261</v>
      </c>
      <c r="CM3462" s="5" t="s">
        <v>240</v>
      </c>
      <c r="CN3462" s="5" t="s">
        <v>263</v>
      </c>
      <c r="CO3462" s="5" t="s">
        <v>240</v>
      </c>
      <c r="CP3462" s="5" t="s">
        <v>240</v>
      </c>
      <c r="CQ3462" s="5">
        <v>0</v>
      </c>
      <c r="CR3462" s="5" t="s">
        <v>306</v>
      </c>
      <c r="CS3462" s="5" t="s">
        <v>307</v>
      </c>
      <c r="CT3462" s="5" t="s">
        <v>307</v>
      </c>
      <c r="CU3462" s="5" t="s">
        <v>260</v>
      </c>
      <c r="CX3462" s="7">
        <f>2508165</f>
        <v>2508165</v>
      </c>
      <c r="CY3462" s="7">
        <f>0</f>
        <v>0</v>
      </c>
      <c r="DA3462" s="7">
        <f>0</f>
        <v>0</v>
      </c>
      <c r="DC3462" s="5" t="s">
        <v>450</v>
      </c>
      <c r="DD3462" s="5" t="s">
        <v>240</v>
      </c>
      <c r="DF3462" s="5" t="s">
        <v>450</v>
      </c>
      <c r="DG3462" s="7">
        <f>1010.07</f>
        <v>1010.07</v>
      </c>
      <c r="DI3462" s="5" t="s">
        <v>240</v>
      </c>
      <c r="DJ3462" s="5" t="s">
        <v>240</v>
      </c>
      <c r="DK3462" s="5" t="s">
        <v>240</v>
      </c>
      <c r="DL3462" s="5" t="s">
        <v>240</v>
      </c>
      <c r="DP3462" s="5" t="s">
        <v>240</v>
      </c>
      <c r="DQ3462" s="5" t="s">
        <v>240</v>
      </c>
      <c r="DR3462" s="5" t="s">
        <v>240</v>
      </c>
      <c r="DS3462" s="5" t="s">
        <v>240</v>
      </c>
      <c r="DV3462" s="5" t="s">
        <v>310</v>
      </c>
      <c r="DW3462" s="5" t="s">
        <v>2379</v>
      </c>
      <c r="HO3462" s="5" t="s">
        <v>312</v>
      </c>
    </row>
    <row r="3463" spans="1:240" x14ac:dyDescent="0.4">
      <c r="A3463" s="5">
        <v>9005</v>
      </c>
      <c r="B3463" s="5">
        <v>1</v>
      </c>
      <c r="C3463" s="5">
        <v>1</v>
      </c>
      <c r="D3463" s="5" t="s">
        <v>723</v>
      </c>
      <c r="E3463" s="5" t="s">
        <v>5060</v>
      </c>
      <c r="F3463" s="5" t="s">
        <v>254</v>
      </c>
      <c r="G3463" s="5" t="s">
        <v>5061</v>
      </c>
      <c r="H3463" s="6" t="s">
        <v>5126</v>
      </c>
      <c r="I3463" s="5" t="s">
        <v>5125</v>
      </c>
      <c r="J3463" s="7">
        <f>1</f>
        <v>1</v>
      </c>
      <c r="K3463" s="5" t="s">
        <v>3682</v>
      </c>
      <c r="L3463" s="7">
        <f>1</f>
        <v>1</v>
      </c>
      <c r="M3463" s="7">
        <f>1</f>
        <v>1</v>
      </c>
      <c r="N3463" s="5" t="s">
        <v>242</v>
      </c>
      <c r="O3463" s="5">
        <v>1</v>
      </c>
      <c r="P3463" s="5" t="s">
        <v>294</v>
      </c>
      <c r="Q3463" s="5" t="s">
        <v>3678</v>
      </c>
      <c r="R3463" s="5" t="s">
        <v>240</v>
      </c>
      <c r="S3463" s="5" t="s">
        <v>240</v>
      </c>
      <c r="T3463" s="5" t="s">
        <v>243</v>
      </c>
      <c r="U3463" s="5" t="s">
        <v>244</v>
      </c>
      <c r="V3463" s="5" t="s">
        <v>240</v>
      </c>
      <c r="W3463" s="5" t="s">
        <v>240</v>
      </c>
      <c r="X3463" s="5" t="s">
        <v>240</v>
      </c>
      <c r="Y3463" s="5" t="s">
        <v>240</v>
      </c>
      <c r="Z3463" s="6" t="s">
        <v>298</v>
      </c>
      <c r="AA3463" s="6" t="s">
        <v>240</v>
      </c>
      <c r="AB3463" s="6" t="s">
        <v>240</v>
      </c>
      <c r="AC3463" s="5" t="s">
        <v>240</v>
      </c>
      <c r="AD3463" s="6" t="s">
        <v>240</v>
      </c>
      <c r="AE3463" s="6" t="s">
        <v>299</v>
      </c>
      <c r="AF3463" s="5" t="s">
        <v>248</v>
      </c>
      <c r="AG3463" s="5" t="s">
        <v>249</v>
      </c>
      <c r="AH3463" s="5" t="s">
        <v>240</v>
      </c>
      <c r="AI3463" s="5" t="s">
        <v>240</v>
      </c>
      <c r="AJ3463" s="5" t="s">
        <v>240</v>
      </c>
      <c r="AK3463" s="5" t="s">
        <v>240</v>
      </c>
      <c r="AL3463" s="5" t="s">
        <v>240</v>
      </c>
      <c r="AM3463" s="5" t="s">
        <v>240</v>
      </c>
      <c r="AN3463" s="5" t="s">
        <v>240</v>
      </c>
      <c r="AO3463" s="5" t="s">
        <v>240</v>
      </c>
      <c r="AP3463" s="6" t="s">
        <v>240</v>
      </c>
      <c r="AQ3463" s="6" t="s">
        <v>240</v>
      </c>
      <c r="AR3463" s="6" t="s">
        <v>240</v>
      </c>
      <c r="AS3463" s="6" t="s">
        <v>240</v>
      </c>
      <c r="AT3463" s="5" t="s">
        <v>240</v>
      </c>
      <c r="AU3463" s="5" t="s">
        <v>729</v>
      </c>
      <c r="AV3463" s="5" t="s">
        <v>729</v>
      </c>
      <c r="AW3463" s="5" t="s">
        <v>251</v>
      </c>
      <c r="AX3463" s="5" t="s">
        <v>252</v>
      </c>
      <c r="AY3463" s="5" t="s">
        <v>253</v>
      </c>
      <c r="AZ3463" s="5" t="s">
        <v>6046</v>
      </c>
      <c r="BA3463" s="5" t="s">
        <v>255</v>
      </c>
      <c r="BB3463" s="5" t="s">
        <v>731</v>
      </c>
      <c r="BD3463" s="5" t="s">
        <v>240</v>
      </c>
      <c r="BF3463" s="5" t="s">
        <v>732</v>
      </c>
      <c r="BG3463" s="6" t="s">
        <v>733</v>
      </c>
      <c r="BH3463" s="5" t="s">
        <v>734</v>
      </c>
      <c r="BI3463" s="5" t="s">
        <v>734</v>
      </c>
      <c r="BJ3463" s="5" t="s">
        <v>240</v>
      </c>
      <c r="BK3463" s="7">
        <f>1</f>
        <v>1</v>
      </c>
      <c r="BL3463" s="7">
        <f>1</f>
        <v>1</v>
      </c>
      <c r="BM3463" s="5" t="s">
        <v>258</v>
      </c>
      <c r="BN3463" s="5" t="s">
        <v>259</v>
      </c>
      <c r="BO3463" s="5" t="s">
        <v>240</v>
      </c>
      <c r="BP3463" s="5" t="s">
        <v>240</v>
      </c>
      <c r="BQ3463" s="5" t="s">
        <v>240</v>
      </c>
      <c r="BR3463" s="5" t="s">
        <v>240</v>
      </c>
      <c r="BS3463" s="5" t="s">
        <v>240</v>
      </c>
      <c r="BT3463" s="5" t="s">
        <v>240</v>
      </c>
      <c r="BU3463" s="5" t="s">
        <v>240</v>
      </c>
      <c r="BV3463" s="5" t="s">
        <v>240</v>
      </c>
      <c r="BW3463" s="6" t="s">
        <v>240</v>
      </c>
      <c r="BX3463" s="5" t="s">
        <v>240</v>
      </c>
      <c r="BY3463" s="5" t="s">
        <v>240</v>
      </c>
      <c r="BZ3463" s="5" t="s">
        <v>240</v>
      </c>
      <c r="CA3463" s="5" t="s">
        <v>259</v>
      </c>
      <c r="CB3463" s="5" t="s">
        <v>240</v>
      </c>
      <c r="CC3463" s="5" t="s">
        <v>240</v>
      </c>
      <c r="CD3463" s="5" t="s">
        <v>240</v>
      </c>
      <c r="CE3463" s="5" t="s">
        <v>240</v>
      </c>
      <c r="CF3463" s="5" t="s">
        <v>240</v>
      </c>
      <c r="CG3463" s="5" t="s">
        <v>304</v>
      </c>
      <c r="CH3463" s="5" t="s">
        <v>305</v>
      </c>
      <c r="CI3463" s="5" t="s">
        <v>260</v>
      </c>
      <c r="CK3463" s="5" t="s">
        <v>3681</v>
      </c>
      <c r="CL3463" s="6" t="s">
        <v>261</v>
      </c>
      <c r="CM3463" s="5" t="s">
        <v>262</v>
      </c>
      <c r="CN3463" s="5" t="s">
        <v>263</v>
      </c>
      <c r="CO3463" s="5" t="s">
        <v>264</v>
      </c>
      <c r="CP3463" s="5" t="s">
        <v>240</v>
      </c>
      <c r="CQ3463" s="5">
        <v>0</v>
      </c>
      <c r="CR3463" s="5" t="s">
        <v>735</v>
      </c>
      <c r="CS3463" s="5" t="s">
        <v>307</v>
      </c>
      <c r="CT3463" s="5" t="s">
        <v>307</v>
      </c>
      <c r="CU3463" s="5" t="s">
        <v>260</v>
      </c>
      <c r="CV3463" s="5" t="s">
        <v>612</v>
      </c>
      <c r="CW3463" s="8">
        <f>1</f>
        <v>1</v>
      </c>
      <c r="CX3463" s="7">
        <f>1</f>
        <v>1</v>
      </c>
      <c r="CY3463" s="7">
        <f>0</f>
        <v>0</v>
      </c>
      <c r="DA3463" s="7">
        <f>1</f>
        <v>1</v>
      </c>
      <c r="DB3463" s="7" t="s">
        <v>240</v>
      </c>
      <c r="DC3463" s="5" t="s">
        <v>240</v>
      </c>
      <c r="DD3463" s="5" t="s">
        <v>240</v>
      </c>
      <c r="DE3463" s="5" t="s">
        <v>240</v>
      </c>
      <c r="DF3463" s="5" t="s">
        <v>240</v>
      </c>
      <c r="DG3463" s="7">
        <f>0</f>
        <v>0</v>
      </c>
      <c r="DI3463" s="5" t="s">
        <v>240</v>
      </c>
      <c r="DJ3463" s="5" t="s">
        <v>240</v>
      </c>
      <c r="DK3463" s="5" t="s">
        <v>240</v>
      </c>
      <c r="DL3463" s="5" t="s">
        <v>240</v>
      </c>
      <c r="DM3463" s="5" t="s">
        <v>240</v>
      </c>
      <c r="DN3463" s="5" t="s">
        <v>240</v>
      </c>
      <c r="DO3463" s="7" t="s">
        <v>240</v>
      </c>
      <c r="DP3463" s="5" t="s">
        <v>240</v>
      </c>
      <c r="DQ3463" s="5" t="s">
        <v>248</v>
      </c>
      <c r="DR3463" s="5" t="s">
        <v>731</v>
      </c>
      <c r="DS3463" s="5" t="s">
        <v>731</v>
      </c>
      <c r="DT3463" s="5" t="s">
        <v>240</v>
      </c>
      <c r="DU3463" s="5" t="s">
        <v>240</v>
      </c>
      <c r="DV3463" s="5" t="s">
        <v>6047</v>
      </c>
      <c r="DW3463" s="5" t="s">
        <v>713</v>
      </c>
      <c r="DX3463" s="5" t="s">
        <v>240</v>
      </c>
      <c r="DY3463" s="5" t="s">
        <v>240</v>
      </c>
      <c r="DZ3463" s="5" t="s">
        <v>240</v>
      </c>
      <c r="EA3463" s="5" t="s">
        <v>240</v>
      </c>
      <c r="EB3463" s="5" t="s">
        <v>240</v>
      </c>
      <c r="EC3463" s="5" t="s">
        <v>240</v>
      </c>
      <c r="ED3463" s="5" t="s">
        <v>240</v>
      </c>
      <c r="EE3463" s="5" t="s">
        <v>240</v>
      </c>
      <c r="EF3463" s="5" t="s">
        <v>240</v>
      </c>
      <c r="EG3463" s="5" t="s">
        <v>240</v>
      </c>
      <c r="EH3463" s="5" t="s">
        <v>240</v>
      </c>
      <c r="EI3463" s="5" t="s">
        <v>240</v>
      </c>
      <c r="EJ3463" s="5" t="s">
        <v>240</v>
      </c>
      <c r="EK3463" s="5" t="s">
        <v>240</v>
      </c>
      <c r="EL3463" s="5" t="s">
        <v>240</v>
      </c>
      <c r="EM3463" s="5" t="s">
        <v>240</v>
      </c>
      <c r="EN3463" s="5" t="s">
        <v>240</v>
      </c>
      <c r="EO3463" s="5" t="s">
        <v>240</v>
      </c>
      <c r="EP3463" s="5" t="s">
        <v>240</v>
      </c>
      <c r="EQ3463" s="5" t="s">
        <v>240</v>
      </c>
      <c r="ER3463" s="5" t="s">
        <v>240</v>
      </c>
      <c r="ES3463" s="5" t="s">
        <v>240</v>
      </c>
      <c r="ET3463" s="5" t="s">
        <v>240</v>
      </c>
      <c r="EU3463" s="5" t="s">
        <v>240</v>
      </c>
      <c r="EV3463" s="5" t="s">
        <v>240</v>
      </c>
      <c r="EW3463" s="5" t="s">
        <v>240</v>
      </c>
      <c r="EX3463" s="5" t="s">
        <v>240</v>
      </c>
      <c r="EY3463" s="5" t="s">
        <v>240</v>
      </c>
      <c r="EZ3463" s="5" t="s">
        <v>240</v>
      </c>
      <c r="FA3463" s="5" t="s">
        <v>240</v>
      </c>
      <c r="FB3463" s="5" t="s">
        <v>240</v>
      </c>
      <c r="FC3463" s="5" t="s">
        <v>240</v>
      </c>
      <c r="FD3463" s="5" t="s">
        <v>240</v>
      </c>
      <c r="FE3463" s="5" t="s">
        <v>240</v>
      </c>
      <c r="FF3463" s="5" t="s">
        <v>240</v>
      </c>
      <c r="FG3463" s="5" t="s">
        <v>240</v>
      </c>
      <c r="FH3463" s="5" t="s">
        <v>240</v>
      </c>
      <c r="FI3463" s="5" t="s">
        <v>240</v>
      </c>
      <c r="FJ3463" s="5" t="s">
        <v>240</v>
      </c>
      <c r="FK3463" s="5" t="s">
        <v>240</v>
      </c>
      <c r="FL3463" s="5" t="s">
        <v>240</v>
      </c>
      <c r="FM3463" s="5" t="s">
        <v>240</v>
      </c>
      <c r="FN3463" s="5" t="s">
        <v>240</v>
      </c>
      <c r="FO3463" s="5" t="s">
        <v>240</v>
      </c>
      <c r="FP3463" s="5" t="s">
        <v>240</v>
      </c>
      <c r="FQ3463" s="5" t="s">
        <v>240</v>
      </c>
      <c r="FR3463" s="5" t="s">
        <v>240</v>
      </c>
      <c r="FS3463" s="5" t="s">
        <v>240</v>
      </c>
      <c r="FT3463" s="5" t="s">
        <v>240</v>
      </c>
      <c r="FU3463" s="5" t="s">
        <v>240</v>
      </c>
      <c r="FV3463" s="5" t="s">
        <v>240</v>
      </c>
      <c r="FW3463" s="5" t="s">
        <v>240</v>
      </c>
      <c r="FX3463" s="5" t="s">
        <v>240</v>
      </c>
      <c r="FY3463" s="5" t="s">
        <v>240</v>
      </c>
      <c r="FZ3463" s="5" t="s">
        <v>240</v>
      </c>
      <c r="GA3463" s="5" t="s">
        <v>240</v>
      </c>
      <c r="GB3463" s="5" t="s">
        <v>240</v>
      </c>
      <c r="GC3463" s="5" t="s">
        <v>240</v>
      </c>
      <c r="GD3463" s="5" t="s">
        <v>240</v>
      </c>
      <c r="GE3463" s="5" t="s">
        <v>240</v>
      </c>
      <c r="GF3463" s="5" t="s">
        <v>240</v>
      </c>
      <c r="GG3463" s="5" t="s">
        <v>240</v>
      </c>
      <c r="GH3463" s="5" t="s">
        <v>240</v>
      </c>
      <c r="GI3463" s="5" t="s">
        <v>240</v>
      </c>
      <c r="GJ3463" s="5" t="s">
        <v>240</v>
      </c>
      <c r="GK3463" s="5" t="s">
        <v>240</v>
      </c>
      <c r="GL3463" s="5" t="s">
        <v>240</v>
      </c>
      <c r="GM3463" s="5" t="s">
        <v>240</v>
      </c>
      <c r="GN3463" s="5" t="s">
        <v>240</v>
      </c>
      <c r="GO3463" s="5" t="s">
        <v>240</v>
      </c>
      <c r="GP3463" s="5" t="s">
        <v>240</v>
      </c>
      <c r="GQ3463" s="5" t="s">
        <v>240</v>
      </c>
      <c r="GR3463" s="5" t="s">
        <v>240</v>
      </c>
      <c r="GS3463" s="5" t="s">
        <v>240</v>
      </c>
      <c r="GT3463" s="5" t="s">
        <v>240</v>
      </c>
      <c r="GU3463" s="5" t="s">
        <v>240</v>
      </c>
      <c r="GV3463" s="5" t="s">
        <v>240</v>
      </c>
      <c r="GW3463" s="5" t="s">
        <v>240</v>
      </c>
      <c r="GX3463" s="5" t="s">
        <v>240</v>
      </c>
      <c r="GY3463" s="5" t="s">
        <v>240</v>
      </c>
      <c r="GZ3463" s="5" t="s">
        <v>240</v>
      </c>
      <c r="HA3463" s="5" t="s">
        <v>240</v>
      </c>
      <c r="HB3463" s="5" t="s">
        <v>240</v>
      </c>
      <c r="HC3463" s="5" t="s">
        <v>240</v>
      </c>
      <c r="HD3463" s="5" t="s">
        <v>240</v>
      </c>
      <c r="HE3463" s="5" t="s">
        <v>240</v>
      </c>
      <c r="HF3463" s="5" t="s">
        <v>240</v>
      </c>
      <c r="HG3463" s="5" t="s">
        <v>240</v>
      </c>
      <c r="HH3463" s="5" t="s">
        <v>240</v>
      </c>
      <c r="HI3463" s="5" t="s">
        <v>240</v>
      </c>
      <c r="HJ3463" s="5" t="s">
        <v>240</v>
      </c>
      <c r="HK3463" s="5" t="s">
        <v>240</v>
      </c>
      <c r="HL3463" s="5" t="s">
        <v>240</v>
      </c>
      <c r="HM3463" s="5" t="s">
        <v>240</v>
      </c>
      <c r="HN3463" s="5" t="s">
        <v>240</v>
      </c>
      <c r="HO3463" s="5" t="s">
        <v>240</v>
      </c>
      <c r="HP3463" s="5" t="s">
        <v>240</v>
      </c>
      <c r="HQ3463" s="5" t="s">
        <v>240</v>
      </c>
      <c r="HR3463" s="5" t="s">
        <v>240</v>
      </c>
      <c r="HS3463" s="5" t="s">
        <v>240</v>
      </c>
      <c r="HT3463" s="5" t="s">
        <v>240</v>
      </c>
      <c r="HU3463" s="5" t="s">
        <v>240</v>
      </c>
      <c r="HV3463" s="5" t="s">
        <v>240</v>
      </c>
      <c r="HW3463" s="5" t="s">
        <v>240</v>
      </c>
      <c r="HX3463" s="5" t="s">
        <v>240</v>
      </c>
      <c r="HY3463" s="5" t="s">
        <v>240</v>
      </c>
      <c r="HZ3463" s="5" t="s">
        <v>240</v>
      </c>
      <c r="IA3463" s="5" t="s">
        <v>240</v>
      </c>
      <c r="IB3463" s="5" t="s">
        <v>240</v>
      </c>
      <c r="IC3463" s="5" t="s">
        <v>240</v>
      </c>
      <c r="ID3463" s="5" t="s">
        <v>240</v>
      </c>
      <c r="IE3463" s="5" t="s">
        <v>240</v>
      </c>
      <c r="IF3463" s="5" t="s">
        <v>240</v>
      </c>
    </row>
    <row r="3464" spans="1:240" x14ac:dyDescent="0.4">
      <c r="A3464" s="5">
        <v>9006</v>
      </c>
      <c r="B3464" s="5">
        <v>1</v>
      </c>
      <c r="C3464" s="5">
        <v>1</v>
      </c>
      <c r="D3464" s="5" t="s">
        <v>723</v>
      </c>
      <c r="E3464" s="5" t="s">
        <v>5060</v>
      </c>
      <c r="F3464" s="5" t="s">
        <v>254</v>
      </c>
      <c r="G3464" s="5" t="s">
        <v>5061</v>
      </c>
      <c r="H3464" s="6" t="s">
        <v>5128</v>
      </c>
      <c r="I3464" s="5" t="s">
        <v>5127</v>
      </c>
      <c r="J3464" s="7">
        <f>1</f>
        <v>1</v>
      </c>
      <c r="K3464" s="5" t="s">
        <v>3682</v>
      </c>
      <c r="L3464" s="7">
        <f>1</f>
        <v>1</v>
      </c>
      <c r="M3464" s="7">
        <f>1</f>
        <v>1</v>
      </c>
      <c r="N3464" s="5" t="s">
        <v>242</v>
      </c>
      <c r="O3464" s="5">
        <v>1</v>
      </c>
      <c r="P3464" s="5" t="s">
        <v>294</v>
      </c>
      <c r="Q3464" s="5" t="s">
        <v>3678</v>
      </c>
      <c r="R3464" s="5" t="s">
        <v>240</v>
      </c>
      <c r="S3464" s="5" t="s">
        <v>240</v>
      </c>
      <c r="T3464" s="5" t="s">
        <v>243</v>
      </c>
      <c r="U3464" s="5" t="s">
        <v>244</v>
      </c>
      <c r="V3464" s="5" t="s">
        <v>240</v>
      </c>
      <c r="W3464" s="5" t="s">
        <v>240</v>
      </c>
      <c r="X3464" s="5" t="s">
        <v>240</v>
      </c>
      <c r="Y3464" s="5" t="s">
        <v>240</v>
      </c>
      <c r="Z3464" s="6" t="s">
        <v>298</v>
      </c>
      <c r="AA3464" s="6" t="s">
        <v>240</v>
      </c>
      <c r="AB3464" s="6" t="s">
        <v>240</v>
      </c>
      <c r="AC3464" s="5" t="s">
        <v>240</v>
      </c>
      <c r="AD3464" s="6" t="s">
        <v>240</v>
      </c>
      <c r="AE3464" s="6" t="s">
        <v>299</v>
      </c>
      <c r="AF3464" s="5" t="s">
        <v>248</v>
      </c>
      <c r="AG3464" s="5" t="s">
        <v>249</v>
      </c>
      <c r="AH3464" s="5" t="s">
        <v>240</v>
      </c>
      <c r="AI3464" s="5" t="s">
        <v>240</v>
      </c>
      <c r="AJ3464" s="5" t="s">
        <v>240</v>
      </c>
      <c r="AK3464" s="5" t="s">
        <v>240</v>
      </c>
      <c r="AL3464" s="5" t="s">
        <v>240</v>
      </c>
      <c r="AM3464" s="5" t="s">
        <v>240</v>
      </c>
      <c r="AN3464" s="5" t="s">
        <v>240</v>
      </c>
      <c r="AO3464" s="5" t="s">
        <v>240</v>
      </c>
      <c r="AP3464" s="6" t="s">
        <v>240</v>
      </c>
      <c r="AQ3464" s="6" t="s">
        <v>240</v>
      </c>
      <c r="AR3464" s="6" t="s">
        <v>240</v>
      </c>
      <c r="AS3464" s="6" t="s">
        <v>240</v>
      </c>
      <c r="AT3464" s="5" t="s">
        <v>240</v>
      </c>
      <c r="AU3464" s="5" t="s">
        <v>729</v>
      </c>
      <c r="AV3464" s="5" t="s">
        <v>729</v>
      </c>
      <c r="AW3464" s="5" t="s">
        <v>251</v>
      </c>
      <c r="AX3464" s="5" t="s">
        <v>252</v>
      </c>
      <c r="AY3464" s="5" t="s">
        <v>253</v>
      </c>
      <c r="AZ3464" s="5" t="s">
        <v>6046</v>
      </c>
      <c r="BA3464" s="5" t="s">
        <v>255</v>
      </c>
      <c r="BB3464" s="5" t="s">
        <v>731</v>
      </c>
      <c r="BD3464" s="5" t="s">
        <v>240</v>
      </c>
      <c r="BF3464" s="5" t="s">
        <v>732</v>
      </c>
      <c r="BG3464" s="6" t="s">
        <v>733</v>
      </c>
      <c r="BH3464" s="5" t="s">
        <v>734</v>
      </c>
      <c r="BI3464" s="5" t="s">
        <v>734</v>
      </c>
      <c r="BJ3464" s="5" t="s">
        <v>240</v>
      </c>
      <c r="BK3464" s="7">
        <f>1</f>
        <v>1</v>
      </c>
      <c r="BL3464" s="7">
        <f>1</f>
        <v>1</v>
      </c>
      <c r="BM3464" s="5" t="s">
        <v>258</v>
      </c>
      <c r="BN3464" s="5" t="s">
        <v>259</v>
      </c>
      <c r="BO3464" s="5" t="s">
        <v>240</v>
      </c>
      <c r="BP3464" s="5" t="s">
        <v>240</v>
      </c>
      <c r="BQ3464" s="5" t="s">
        <v>240</v>
      </c>
      <c r="BR3464" s="5" t="s">
        <v>240</v>
      </c>
      <c r="BS3464" s="5" t="s">
        <v>240</v>
      </c>
      <c r="BT3464" s="5" t="s">
        <v>240</v>
      </c>
      <c r="BU3464" s="5" t="s">
        <v>240</v>
      </c>
      <c r="BV3464" s="5" t="s">
        <v>240</v>
      </c>
      <c r="BW3464" s="6" t="s">
        <v>240</v>
      </c>
      <c r="BX3464" s="5" t="s">
        <v>240</v>
      </c>
      <c r="BY3464" s="5" t="s">
        <v>240</v>
      </c>
      <c r="BZ3464" s="5" t="s">
        <v>240</v>
      </c>
      <c r="CA3464" s="5" t="s">
        <v>259</v>
      </c>
      <c r="CB3464" s="5" t="s">
        <v>240</v>
      </c>
      <c r="CC3464" s="5" t="s">
        <v>240</v>
      </c>
      <c r="CD3464" s="5" t="s">
        <v>240</v>
      </c>
      <c r="CE3464" s="5" t="s">
        <v>240</v>
      </c>
      <c r="CF3464" s="5" t="s">
        <v>240</v>
      </c>
      <c r="CG3464" s="5" t="s">
        <v>304</v>
      </c>
      <c r="CH3464" s="5" t="s">
        <v>305</v>
      </c>
      <c r="CI3464" s="5" t="s">
        <v>260</v>
      </c>
      <c r="CK3464" s="5" t="s">
        <v>3681</v>
      </c>
      <c r="CL3464" s="6" t="s">
        <v>261</v>
      </c>
      <c r="CM3464" s="5" t="s">
        <v>262</v>
      </c>
      <c r="CN3464" s="5" t="s">
        <v>263</v>
      </c>
      <c r="CO3464" s="5" t="s">
        <v>264</v>
      </c>
      <c r="CP3464" s="5" t="s">
        <v>240</v>
      </c>
      <c r="CQ3464" s="5">
        <v>0</v>
      </c>
      <c r="CR3464" s="5" t="s">
        <v>735</v>
      </c>
      <c r="CS3464" s="5" t="s">
        <v>307</v>
      </c>
      <c r="CT3464" s="5" t="s">
        <v>307</v>
      </c>
      <c r="CU3464" s="5" t="s">
        <v>260</v>
      </c>
      <c r="CV3464" s="5" t="s">
        <v>612</v>
      </c>
      <c r="CW3464" s="8">
        <f>1</f>
        <v>1</v>
      </c>
      <c r="CX3464" s="7">
        <f>1</f>
        <v>1</v>
      </c>
      <c r="CY3464" s="7">
        <f>0</f>
        <v>0</v>
      </c>
      <c r="DA3464" s="7">
        <f>1</f>
        <v>1</v>
      </c>
      <c r="DB3464" s="7" t="s">
        <v>240</v>
      </c>
      <c r="DC3464" s="5" t="s">
        <v>240</v>
      </c>
      <c r="DD3464" s="5" t="s">
        <v>240</v>
      </c>
      <c r="DE3464" s="5" t="s">
        <v>240</v>
      </c>
      <c r="DF3464" s="5" t="s">
        <v>240</v>
      </c>
      <c r="DG3464" s="7">
        <f>0</f>
        <v>0</v>
      </c>
      <c r="DI3464" s="5" t="s">
        <v>240</v>
      </c>
      <c r="DJ3464" s="5" t="s">
        <v>240</v>
      </c>
      <c r="DK3464" s="5" t="s">
        <v>240</v>
      </c>
      <c r="DL3464" s="5" t="s">
        <v>240</v>
      </c>
      <c r="DM3464" s="5" t="s">
        <v>240</v>
      </c>
      <c r="DN3464" s="5" t="s">
        <v>240</v>
      </c>
      <c r="DO3464" s="7" t="s">
        <v>240</v>
      </c>
      <c r="DP3464" s="5" t="s">
        <v>240</v>
      </c>
      <c r="DQ3464" s="5" t="s">
        <v>248</v>
      </c>
      <c r="DR3464" s="5" t="s">
        <v>731</v>
      </c>
      <c r="DS3464" s="5" t="s">
        <v>731</v>
      </c>
      <c r="DT3464" s="5" t="s">
        <v>240</v>
      </c>
      <c r="DU3464" s="5" t="s">
        <v>240</v>
      </c>
      <c r="DV3464" s="5" t="s">
        <v>6047</v>
      </c>
      <c r="DW3464" s="5" t="s">
        <v>711</v>
      </c>
      <c r="DX3464" s="5" t="s">
        <v>240</v>
      </c>
      <c r="DY3464" s="5" t="s">
        <v>240</v>
      </c>
      <c r="DZ3464" s="5" t="s">
        <v>240</v>
      </c>
      <c r="EA3464" s="5" t="s">
        <v>240</v>
      </c>
      <c r="EB3464" s="5" t="s">
        <v>240</v>
      </c>
      <c r="EC3464" s="5" t="s">
        <v>240</v>
      </c>
      <c r="ED3464" s="5" t="s">
        <v>240</v>
      </c>
      <c r="EE3464" s="5" t="s">
        <v>240</v>
      </c>
      <c r="EF3464" s="5" t="s">
        <v>240</v>
      </c>
      <c r="EG3464" s="5" t="s">
        <v>240</v>
      </c>
      <c r="EH3464" s="5" t="s">
        <v>240</v>
      </c>
      <c r="EI3464" s="5" t="s">
        <v>240</v>
      </c>
      <c r="EJ3464" s="5" t="s">
        <v>240</v>
      </c>
      <c r="EK3464" s="5" t="s">
        <v>240</v>
      </c>
      <c r="EL3464" s="5" t="s">
        <v>240</v>
      </c>
      <c r="EM3464" s="5" t="s">
        <v>240</v>
      </c>
      <c r="EN3464" s="5" t="s">
        <v>240</v>
      </c>
      <c r="EO3464" s="5" t="s">
        <v>240</v>
      </c>
      <c r="EP3464" s="5" t="s">
        <v>240</v>
      </c>
      <c r="EQ3464" s="5" t="s">
        <v>240</v>
      </c>
      <c r="ER3464" s="5" t="s">
        <v>240</v>
      </c>
      <c r="ES3464" s="5" t="s">
        <v>240</v>
      </c>
      <c r="ET3464" s="5" t="s">
        <v>240</v>
      </c>
      <c r="EU3464" s="5" t="s">
        <v>240</v>
      </c>
      <c r="EV3464" s="5" t="s">
        <v>240</v>
      </c>
      <c r="EW3464" s="5" t="s">
        <v>240</v>
      </c>
      <c r="EX3464" s="5" t="s">
        <v>240</v>
      </c>
      <c r="EY3464" s="5" t="s">
        <v>240</v>
      </c>
      <c r="EZ3464" s="5" t="s">
        <v>240</v>
      </c>
      <c r="FA3464" s="5" t="s">
        <v>240</v>
      </c>
      <c r="FB3464" s="5" t="s">
        <v>240</v>
      </c>
      <c r="FC3464" s="5" t="s">
        <v>240</v>
      </c>
      <c r="FD3464" s="5" t="s">
        <v>240</v>
      </c>
      <c r="FE3464" s="5" t="s">
        <v>240</v>
      </c>
      <c r="FF3464" s="5" t="s">
        <v>240</v>
      </c>
      <c r="FG3464" s="5" t="s">
        <v>240</v>
      </c>
      <c r="FH3464" s="5" t="s">
        <v>240</v>
      </c>
      <c r="FI3464" s="5" t="s">
        <v>240</v>
      </c>
      <c r="FJ3464" s="5" t="s">
        <v>240</v>
      </c>
      <c r="FK3464" s="5" t="s">
        <v>240</v>
      </c>
      <c r="FL3464" s="5" t="s">
        <v>240</v>
      </c>
      <c r="FM3464" s="5" t="s">
        <v>240</v>
      </c>
      <c r="FN3464" s="5" t="s">
        <v>240</v>
      </c>
      <c r="FO3464" s="5" t="s">
        <v>240</v>
      </c>
      <c r="FP3464" s="5" t="s">
        <v>240</v>
      </c>
      <c r="FQ3464" s="5" t="s">
        <v>240</v>
      </c>
      <c r="FR3464" s="5" t="s">
        <v>240</v>
      </c>
      <c r="FS3464" s="5" t="s">
        <v>240</v>
      </c>
      <c r="FT3464" s="5" t="s">
        <v>240</v>
      </c>
      <c r="FU3464" s="5" t="s">
        <v>240</v>
      </c>
      <c r="FV3464" s="5" t="s">
        <v>240</v>
      </c>
      <c r="FW3464" s="5" t="s">
        <v>240</v>
      </c>
      <c r="FX3464" s="5" t="s">
        <v>240</v>
      </c>
      <c r="FY3464" s="5" t="s">
        <v>240</v>
      </c>
      <c r="FZ3464" s="5" t="s">
        <v>240</v>
      </c>
      <c r="GA3464" s="5" t="s">
        <v>240</v>
      </c>
      <c r="GB3464" s="5" t="s">
        <v>240</v>
      </c>
      <c r="GC3464" s="5" t="s">
        <v>240</v>
      </c>
      <c r="GD3464" s="5" t="s">
        <v>240</v>
      </c>
      <c r="GE3464" s="5" t="s">
        <v>240</v>
      </c>
      <c r="GF3464" s="5" t="s">
        <v>240</v>
      </c>
      <c r="GG3464" s="5" t="s">
        <v>240</v>
      </c>
      <c r="GH3464" s="5" t="s">
        <v>240</v>
      </c>
      <c r="GI3464" s="5" t="s">
        <v>240</v>
      </c>
      <c r="GJ3464" s="5" t="s">
        <v>240</v>
      </c>
      <c r="GK3464" s="5" t="s">
        <v>240</v>
      </c>
      <c r="GL3464" s="5" t="s">
        <v>240</v>
      </c>
      <c r="GM3464" s="5" t="s">
        <v>240</v>
      </c>
      <c r="GN3464" s="5" t="s">
        <v>240</v>
      </c>
      <c r="GO3464" s="5" t="s">
        <v>240</v>
      </c>
      <c r="GP3464" s="5" t="s">
        <v>240</v>
      </c>
      <c r="GQ3464" s="5" t="s">
        <v>240</v>
      </c>
      <c r="GR3464" s="5" t="s">
        <v>240</v>
      </c>
      <c r="GS3464" s="5" t="s">
        <v>240</v>
      </c>
      <c r="GT3464" s="5" t="s">
        <v>240</v>
      </c>
      <c r="GU3464" s="5" t="s">
        <v>240</v>
      </c>
      <c r="GV3464" s="5" t="s">
        <v>240</v>
      </c>
      <c r="GW3464" s="5" t="s">
        <v>240</v>
      </c>
      <c r="GX3464" s="5" t="s">
        <v>240</v>
      </c>
      <c r="GY3464" s="5" t="s">
        <v>240</v>
      </c>
      <c r="GZ3464" s="5" t="s">
        <v>240</v>
      </c>
      <c r="HA3464" s="5" t="s">
        <v>240</v>
      </c>
      <c r="HB3464" s="5" t="s">
        <v>240</v>
      </c>
      <c r="HC3464" s="5" t="s">
        <v>240</v>
      </c>
      <c r="HD3464" s="5" t="s">
        <v>240</v>
      </c>
      <c r="HE3464" s="5" t="s">
        <v>240</v>
      </c>
      <c r="HF3464" s="5" t="s">
        <v>240</v>
      </c>
      <c r="HG3464" s="5" t="s">
        <v>240</v>
      </c>
      <c r="HH3464" s="5" t="s">
        <v>240</v>
      </c>
      <c r="HI3464" s="5" t="s">
        <v>240</v>
      </c>
      <c r="HJ3464" s="5" t="s">
        <v>240</v>
      </c>
      <c r="HK3464" s="5" t="s">
        <v>240</v>
      </c>
      <c r="HL3464" s="5" t="s">
        <v>240</v>
      </c>
      <c r="HM3464" s="5" t="s">
        <v>240</v>
      </c>
      <c r="HN3464" s="5" t="s">
        <v>240</v>
      </c>
      <c r="HO3464" s="5" t="s">
        <v>240</v>
      </c>
      <c r="HP3464" s="5" t="s">
        <v>240</v>
      </c>
      <c r="HQ3464" s="5" t="s">
        <v>240</v>
      </c>
      <c r="HR3464" s="5" t="s">
        <v>240</v>
      </c>
      <c r="HS3464" s="5" t="s">
        <v>240</v>
      </c>
      <c r="HT3464" s="5" t="s">
        <v>240</v>
      </c>
      <c r="HU3464" s="5" t="s">
        <v>240</v>
      </c>
      <c r="HV3464" s="5" t="s">
        <v>240</v>
      </c>
      <c r="HW3464" s="5" t="s">
        <v>240</v>
      </c>
      <c r="HX3464" s="5" t="s">
        <v>240</v>
      </c>
      <c r="HY3464" s="5" t="s">
        <v>240</v>
      </c>
      <c r="HZ3464" s="5" t="s">
        <v>240</v>
      </c>
      <c r="IA3464" s="5" t="s">
        <v>240</v>
      </c>
      <c r="IB3464" s="5" t="s">
        <v>240</v>
      </c>
      <c r="IC3464" s="5" t="s">
        <v>240</v>
      </c>
      <c r="ID3464" s="5" t="s">
        <v>240</v>
      </c>
      <c r="IE3464" s="5" t="s">
        <v>240</v>
      </c>
      <c r="IF3464" s="5" t="s">
        <v>240</v>
      </c>
    </row>
    <row r="3465" spans="1:240" x14ac:dyDescent="0.4">
      <c r="A3465" s="5">
        <v>9007</v>
      </c>
      <c r="B3465" s="5">
        <v>1</v>
      </c>
      <c r="C3465" s="5">
        <v>1</v>
      </c>
      <c r="D3465" s="5" t="s">
        <v>723</v>
      </c>
      <c r="E3465" s="5" t="s">
        <v>5060</v>
      </c>
      <c r="F3465" s="5" t="s">
        <v>254</v>
      </c>
      <c r="G3465" s="5" t="s">
        <v>5061</v>
      </c>
      <c r="H3465" s="6" t="s">
        <v>6993</v>
      </c>
      <c r="I3465" s="5" t="s">
        <v>6992</v>
      </c>
      <c r="J3465" s="7">
        <f>1</f>
        <v>1</v>
      </c>
      <c r="K3465" s="5" t="s">
        <v>3682</v>
      </c>
      <c r="L3465" s="7">
        <f>1</f>
        <v>1</v>
      </c>
      <c r="M3465" s="7">
        <f>1</f>
        <v>1</v>
      </c>
      <c r="N3465" s="5" t="s">
        <v>242</v>
      </c>
      <c r="O3465" s="5">
        <v>1</v>
      </c>
      <c r="P3465" s="5" t="s">
        <v>294</v>
      </c>
      <c r="Q3465" s="5" t="s">
        <v>266</v>
      </c>
      <c r="R3465" s="5" t="s">
        <v>240</v>
      </c>
      <c r="S3465" s="5" t="s">
        <v>240</v>
      </c>
      <c r="T3465" s="5" t="s">
        <v>243</v>
      </c>
      <c r="U3465" s="5" t="s">
        <v>244</v>
      </c>
      <c r="V3465" s="5" t="s">
        <v>240</v>
      </c>
      <c r="Y3465" s="5" t="s">
        <v>240</v>
      </c>
      <c r="Z3465" s="6" t="s">
        <v>6153</v>
      </c>
      <c r="AB3465" s="6" t="s">
        <v>240</v>
      </c>
      <c r="AE3465" s="6" t="s">
        <v>299</v>
      </c>
      <c r="AF3465" s="5" t="s">
        <v>248</v>
      </c>
      <c r="AG3465" s="5" t="s">
        <v>249</v>
      </c>
      <c r="AW3465" s="5" t="s">
        <v>251</v>
      </c>
      <c r="AX3465" s="5" t="s">
        <v>240</v>
      </c>
      <c r="AY3465" s="5" t="s">
        <v>253</v>
      </c>
      <c r="AZ3465" s="5" t="s">
        <v>240</v>
      </c>
      <c r="BA3465" s="5" t="s">
        <v>255</v>
      </c>
      <c r="BB3465" s="5" t="s">
        <v>240</v>
      </c>
      <c r="BD3465" s="5" t="s">
        <v>240</v>
      </c>
      <c r="BF3465" s="5" t="s">
        <v>301</v>
      </c>
      <c r="BG3465" s="6" t="s">
        <v>6153</v>
      </c>
      <c r="BH3465" s="5" t="s">
        <v>302</v>
      </c>
      <c r="BI3465" s="5" t="s">
        <v>448</v>
      </c>
      <c r="BJ3465" s="5" t="s">
        <v>240</v>
      </c>
      <c r="BK3465" s="8">
        <f>0</f>
        <v>0</v>
      </c>
      <c r="BL3465" s="7">
        <f>0</f>
        <v>0</v>
      </c>
      <c r="BM3465" s="5" t="s">
        <v>258</v>
      </c>
      <c r="BN3465" s="5" t="s">
        <v>259</v>
      </c>
      <c r="CB3465" s="5" t="s">
        <v>240</v>
      </c>
      <c r="CC3465" s="5" t="s">
        <v>240</v>
      </c>
      <c r="CG3465" s="5" t="s">
        <v>449</v>
      </c>
      <c r="CH3465" s="5" t="s">
        <v>305</v>
      </c>
      <c r="CI3465" s="5" t="s">
        <v>240</v>
      </c>
      <c r="CL3465" s="6" t="s">
        <v>261</v>
      </c>
      <c r="CM3465" s="5" t="s">
        <v>240</v>
      </c>
      <c r="CN3465" s="5" t="s">
        <v>263</v>
      </c>
      <c r="CO3465" s="5" t="s">
        <v>240</v>
      </c>
      <c r="CP3465" s="5" t="s">
        <v>240</v>
      </c>
      <c r="CQ3465" s="5">
        <v>0</v>
      </c>
      <c r="CR3465" s="5" t="s">
        <v>306</v>
      </c>
      <c r="CS3465" s="5" t="s">
        <v>307</v>
      </c>
      <c r="CT3465" s="5" t="s">
        <v>307</v>
      </c>
      <c r="CU3465" s="5" t="s">
        <v>260</v>
      </c>
      <c r="CX3465" s="7">
        <f>1143000</f>
        <v>1143000</v>
      </c>
      <c r="CY3465" s="7">
        <f>0</f>
        <v>0</v>
      </c>
      <c r="DA3465" s="7">
        <f>0</f>
        <v>0</v>
      </c>
      <c r="DC3465" s="5" t="s">
        <v>450</v>
      </c>
      <c r="DD3465" s="5" t="s">
        <v>240</v>
      </c>
      <c r="DF3465" s="5" t="s">
        <v>450</v>
      </c>
      <c r="DG3465" s="7">
        <f>144.85</f>
        <v>144.85</v>
      </c>
      <c r="DI3465" s="5" t="s">
        <v>240</v>
      </c>
      <c r="DJ3465" s="5" t="s">
        <v>240</v>
      </c>
      <c r="DK3465" s="5" t="s">
        <v>240</v>
      </c>
      <c r="DL3465" s="5" t="s">
        <v>240</v>
      </c>
      <c r="DP3465" s="5" t="s">
        <v>240</v>
      </c>
      <c r="DQ3465" s="5" t="s">
        <v>240</v>
      </c>
      <c r="DR3465" s="5" t="s">
        <v>240</v>
      </c>
      <c r="DS3465" s="5" t="s">
        <v>240</v>
      </c>
      <c r="DV3465" s="5" t="s">
        <v>310</v>
      </c>
      <c r="DW3465" s="5" t="s">
        <v>2580</v>
      </c>
      <c r="HO3465" s="5" t="s">
        <v>312</v>
      </c>
    </row>
    <row r="3466" spans="1:240" x14ac:dyDescent="0.4">
      <c r="A3466" s="5">
        <v>9008</v>
      </c>
      <c r="B3466" s="5">
        <v>1</v>
      </c>
      <c r="C3466" s="5">
        <v>1</v>
      </c>
      <c r="D3466" s="5" t="s">
        <v>723</v>
      </c>
      <c r="E3466" s="5" t="s">
        <v>5060</v>
      </c>
      <c r="F3466" s="5" t="s">
        <v>254</v>
      </c>
      <c r="G3466" s="5" t="s">
        <v>5061</v>
      </c>
      <c r="H3466" s="6" t="s">
        <v>7232</v>
      </c>
      <c r="I3466" s="5" t="s">
        <v>7231</v>
      </c>
      <c r="J3466" s="7">
        <f>1</f>
        <v>1</v>
      </c>
      <c r="K3466" s="5" t="s">
        <v>3682</v>
      </c>
      <c r="L3466" s="7">
        <f>1</f>
        <v>1</v>
      </c>
      <c r="M3466" s="7">
        <f>1</f>
        <v>1</v>
      </c>
      <c r="N3466" s="5" t="s">
        <v>242</v>
      </c>
      <c r="O3466" s="5">
        <v>1</v>
      </c>
      <c r="P3466" s="5" t="s">
        <v>294</v>
      </c>
      <c r="Q3466" s="5" t="s">
        <v>266</v>
      </c>
      <c r="R3466" s="5" t="s">
        <v>240</v>
      </c>
      <c r="S3466" s="5" t="s">
        <v>240</v>
      </c>
      <c r="T3466" s="5" t="s">
        <v>243</v>
      </c>
      <c r="U3466" s="5" t="s">
        <v>240</v>
      </c>
      <c r="V3466" s="5" t="s">
        <v>240</v>
      </c>
      <c r="Y3466" s="5" t="s">
        <v>240</v>
      </c>
      <c r="Z3466" s="6" t="s">
        <v>6064</v>
      </c>
      <c r="AB3466" s="6" t="s">
        <v>240</v>
      </c>
      <c r="AE3466" s="6" t="s">
        <v>5120</v>
      </c>
      <c r="AF3466" s="5" t="s">
        <v>248</v>
      </c>
      <c r="AG3466" s="5" t="s">
        <v>249</v>
      </c>
      <c r="AW3466" s="5" t="s">
        <v>251</v>
      </c>
      <c r="AX3466" s="5" t="s">
        <v>240</v>
      </c>
      <c r="AY3466" s="5" t="s">
        <v>253</v>
      </c>
      <c r="AZ3466" s="5" t="s">
        <v>240</v>
      </c>
      <c r="BA3466" s="5" t="s">
        <v>255</v>
      </c>
      <c r="BB3466" s="5" t="s">
        <v>240</v>
      </c>
      <c r="BD3466" s="5" t="s">
        <v>240</v>
      </c>
      <c r="BF3466" s="5" t="s">
        <v>687</v>
      </c>
      <c r="BG3466" s="6" t="s">
        <v>6064</v>
      </c>
      <c r="BH3466" s="5" t="s">
        <v>302</v>
      </c>
      <c r="BI3466" s="5" t="s">
        <v>448</v>
      </c>
      <c r="BJ3466" s="5" t="s">
        <v>240</v>
      </c>
      <c r="BK3466" s="8">
        <f>0</f>
        <v>0</v>
      </c>
      <c r="BL3466" s="7">
        <f>0</f>
        <v>0</v>
      </c>
      <c r="BM3466" s="5" t="s">
        <v>258</v>
      </c>
      <c r="BN3466" s="5" t="s">
        <v>259</v>
      </c>
      <c r="CB3466" s="5" t="s">
        <v>240</v>
      </c>
      <c r="CC3466" s="5" t="s">
        <v>240</v>
      </c>
      <c r="CG3466" s="5" t="s">
        <v>449</v>
      </c>
      <c r="CH3466" s="5" t="s">
        <v>305</v>
      </c>
      <c r="CI3466" s="5" t="s">
        <v>240</v>
      </c>
      <c r="CL3466" s="6" t="s">
        <v>261</v>
      </c>
      <c r="CM3466" s="5" t="s">
        <v>240</v>
      </c>
      <c r="CN3466" s="5" t="s">
        <v>263</v>
      </c>
      <c r="CO3466" s="5" t="s">
        <v>240</v>
      </c>
      <c r="CP3466" s="5" t="s">
        <v>240</v>
      </c>
      <c r="CQ3466" s="5">
        <v>0</v>
      </c>
      <c r="CR3466" s="5" t="s">
        <v>306</v>
      </c>
      <c r="CS3466" s="5" t="s">
        <v>307</v>
      </c>
      <c r="CT3466" s="5" t="s">
        <v>307</v>
      </c>
      <c r="CU3466" s="5" t="s">
        <v>260</v>
      </c>
      <c r="CX3466" s="7">
        <f>27786362</f>
        <v>27786362</v>
      </c>
      <c r="CY3466" s="7">
        <f>0</f>
        <v>0</v>
      </c>
      <c r="DA3466" s="7">
        <f>0</f>
        <v>0</v>
      </c>
      <c r="DC3466" s="5" t="s">
        <v>450</v>
      </c>
      <c r="DD3466" s="5" t="s">
        <v>240</v>
      </c>
      <c r="DF3466" s="5" t="s">
        <v>450</v>
      </c>
      <c r="DG3466" s="7">
        <f>0</f>
        <v>0</v>
      </c>
      <c r="DI3466" s="5" t="s">
        <v>240</v>
      </c>
      <c r="DJ3466" s="5" t="s">
        <v>240</v>
      </c>
      <c r="DK3466" s="5" t="s">
        <v>240</v>
      </c>
      <c r="DL3466" s="5" t="s">
        <v>240</v>
      </c>
      <c r="DP3466" s="5" t="s">
        <v>240</v>
      </c>
      <c r="DQ3466" s="5" t="s">
        <v>240</v>
      </c>
      <c r="DR3466" s="5" t="s">
        <v>240</v>
      </c>
      <c r="DS3466" s="5" t="s">
        <v>240</v>
      </c>
      <c r="DV3466" s="5" t="s">
        <v>310</v>
      </c>
      <c r="DW3466" s="5" t="s">
        <v>2377</v>
      </c>
      <c r="HO3466" s="5" t="s">
        <v>312</v>
      </c>
    </row>
    <row r="3467" spans="1:240" x14ac:dyDescent="0.4">
      <c r="A3467" s="5">
        <v>9009</v>
      </c>
      <c r="B3467" s="5">
        <v>1</v>
      </c>
      <c r="C3467" s="5">
        <v>1</v>
      </c>
      <c r="D3467" s="5" t="s">
        <v>723</v>
      </c>
      <c r="E3467" s="5" t="s">
        <v>5060</v>
      </c>
      <c r="F3467" s="5" t="s">
        <v>254</v>
      </c>
      <c r="G3467" s="5" t="s">
        <v>5061</v>
      </c>
      <c r="H3467" s="6" t="s">
        <v>6963</v>
      </c>
      <c r="I3467" s="5" t="s">
        <v>6962</v>
      </c>
      <c r="J3467" s="7">
        <f>1</f>
        <v>1</v>
      </c>
      <c r="K3467" s="5" t="s">
        <v>3682</v>
      </c>
      <c r="L3467" s="7">
        <f>1</f>
        <v>1</v>
      </c>
      <c r="M3467" s="7">
        <f>1</f>
        <v>1</v>
      </c>
      <c r="N3467" s="5" t="s">
        <v>242</v>
      </c>
      <c r="O3467" s="5">
        <v>1</v>
      </c>
      <c r="P3467" s="5" t="s">
        <v>294</v>
      </c>
      <c r="Q3467" s="5" t="s">
        <v>3678</v>
      </c>
      <c r="R3467" s="5" t="s">
        <v>240</v>
      </c>
      <c r="S3467" s="5" t="s">
        <v>240</v>
      </c>
      <c r="T3467" s="5" t="s">
        <v>243</v>
      </c>
      <c r="U3467" s="5" t="s">
        <v>244</v>
      </c>
      <c r="V3467" s="5" t="s">
        <v>240</v>
      </c>
      <c r="W3467" s="5" t="s">
        <v>240</v>
      </c>
      <c r="X3467" s="5" t="s">
        <v>240</v>
      </c>
      <c r="Y3467" s="5" t="s">
        <v>240</v>
      </c>
      <c r="Z3467" s="6" t="s">
        <v>298</v>
      </c>
      <c r="AA3467" s="6" t="s">
        <v>240</v>
      </c>
      <c r="AB3467" s="6" t="s">
        <v>240</v>
      </c>
      <c r="AC3467" s="5" t="s">
        <v>240</v>
      </c>
      <c r="AD3467" s="6" t="s">
        <v>240</v>
      </c>
      <c r="AE3467" s="6" t="s">
        <v>299</v>
      </c>
      <c r="AF3467" s="5" t="s">
        <v>248</v>
      </c>
      <c r="AG3467" s="5" t="s">
        <v>249</v>
      </c>
      <c r="AH3467" s="5" t="s">
        <v>240</v>
      </c>
      <c r="AI3467" s="5" t="s">
        <v>240</v>
      </c>
      <c r="AJ3467" s="5" t="s">
        <v>240</v>
      </c>
      <c r="AK3467" s="5" t="s">
        <v>240</v>
      </c>
      <c r="AL3467" s="5" t="s">
        <v>240</v>
      </c>
      <c r="AM3467" s="5" t="s">
        <v>240</v>
      </c>
      <c r="AN3467" s="5" t="s">
        <v>240</v>
      </c>
      <c r="AO3467" s="5" t="s">
        <v>240</v>
      </c>
      <c r="AP3467" s="6" t="s">
        <v>240</v>
      </c>
      <c r="AQ3467" s="6" t="s">
        <v>240</v>
      </c>
      <c r="AR3467" s="6" t="s">
        <v>240</v>
      </c>
      <c r="AS3467" s="6" t="s">
        <v>240</v>
      </c>
      <c r="AT3467" s="5" t="s">
        <v>240</v>
      </c>
      <c r="AU3467" s="5" t="s">
        <v>729</v>
      </c>
      <c r="AV3467" s="5" t="s">
        <v>729</v>
      </c>
      <c r="AW3467" s="5" t="s">
        <v>251</v>
      </c>
      <c r="AX3467" s="5" t="s">
        <v>252</v>
      </c>
      <c r="AY3467" s="5" t="s">
        <v>253</v>
      </c>
      <c r="AZ3467" s="5" t="s">
        <v>6046</v>
      </c>
      <c r="BA3467" s="5" t="s">
        <v>255</v>
      </c>
      <c r="BB3467" s="5" t="s">
        <v>731</v>
      </c>
      <c r="BD3467" s="5" t="s">
        <v>240</v>
      </c>
      <c r="BF3467" s="5" t="s">
        <v>732</v>
      </c>
      <c r="BG3467" s="6" t="s">
        <v>733</v>
      </c>
      <c r="BH3467" s="5" t="s">
        <v>734</v>
      </c>
      <c r="BI3467" s="5" t="s">
        <v>734</v>
      </c>
      <c r="BJ3467" s="5" t="s">
        <v>240</v>
      </c>
      <c r="BK3467" s="7">
        <f>1</f>
        <v>1</v>
      </c>
      <c r="BL3467" s="7">
        <f>1</f>
        <v>1</v>
      </c>
      <c r="BM3467" s="5" t="s">
        <v>258</v>
      </c>
      <c r="BN3467" s="5" t="s">
        <v>259</v>
      </c>
      <c r="BO3467" s="5" t="s">
        <v>240</v>
      </c>
      <c r="BP3467" s="5" t="s">
        <v>240</v>
      </c>
      <c r="BQ3467" s="5" t="s">
        <v>240</v>
      </c>
      <c r="BR3467" s="5" t="s">
        <v>240</v>
      </c>
      <c r="BS3467" s="5" t="s">
        <v>240</v>
      </c>
      <c r="BT3467" s="5" t="s">
        <v>240</v>
      </c>
      <c r="BU3467" s="5" t="s">
        <v>240</v>
      </c>
      <c r="BV3467" s="5" t="s">
        <v>240</v>
      </c>
      <c r="BW3467" s="6" t="s">
        <v>240</v>
      </c>
      <c r="BX3467" s="5" t="s">
        <v>240</v>
      </c>
      <c r="BY3467" s="5" t="s">
        <v>240</v>
      </c>
      <c r="BZ3467" s="5" t="s">
        <v>240</v>
      </c>
      <c r="CA3467" s="5" t="s">
        <v>259</v>
      </c>
      <c r="CB3467" s="5" t="s">
        <v>240</v>
      </c>
      <c r="CC3467" s="5" t="s">
        <v>240</v>
      </c>
      <c r="CD3467" s="5" t="s">
        <v>240</v>
      </c>
      <c r="CE3467" s="5" t="s">
        <v>240</v>
      </c>
      <c r="CF3467" s="5" t="s">
        <v>240</v>
      </c>
      <c r="CG3467" s="5" t="s">
        <v>304</v>
      </c>
      <c r="CH3467" s="5" t="s">
        <v>305</v>
      </c>
      <c r="CI3467" s="5" t="s">
        <v>260</v>
      </c>
      <c r="CK3467" s="5" t="s">
        <v>3681</v>
      </c>
      <c r="CL3467" s="6" t="s">
        <v>261</v>
      </c>
      <c r="CM3467" s="5" t="s">
        <v>262</v>
      </c>
      <c r="CN3467" s="5" t="s">
        <v>263</v>
      </c>
      <c r="CO3467" s="5" t="s">
        <v>264</v>
      </c>
      <c r="CP3467" s="5" t="s">
        <v>240</v>
      </c>
      <c r="CQ3467" s="5">
        <v>0</v>
      </c>
      <c r="CR3467" s="5" t="s">
        <v>735</v>
      </c>
      <c r="CS3467" s="5" t="s">
        <v>307</v>
      </c>
      <c r="CT3467" s="5" t="s">
        <v>307</v>
      </c>
      <c r="CU3467" s="5" t="s">
        <v>260</v>
      </c>
      <c r="CV3467" s="5" t="s">
        <v>612</v>
      </c>
      <c r="CW3467" s="8">
        <f>1</f>
        <v>1</v>
      </c>
      <c r="CX3467" s="7">
        <f>1</f>
        <v>1</v>
      </c>
      <c r="CY3467" s="7">
        <f>0</f>
        <v>0</v>
      </c>
      <c r="DA3467" s="7">
        <f>1</f>
        <v>1</v>
      </c>
      <c r="DB3467" s="7" t="s">
        <v>240</v>
      </c>
      <c r="DC3467" s="5" t="s">
        <v>240</v>
      </c>
      <c r="DD3467" s="5" t="s">
        <v>240</v>
      </c>
      <c r="DE3467" s="5" t="s">
        <v>240</v>
      </c>
      <c r="DF3467" s="5" t="s">
        <v>240</v>
      </c>
      <c r="DG3467" s="7">
        <f>0</f>
        <v>0</v>
      </c>
      <c r="DI3467" s="5" t="s">
        <v>240</v>
      </c>
      <c r="DJ3467" s="5" t="s">
        <v>240</v>
      </c>
      <c r="DK3467" s="5" t="s">
        <v>240</v>
      </c>
      <c r="DL3467" s="5" t="s">
        <v>240</v>
      </c>
      <c r="DM3467" s="5" t="s">
        <v>240</v>
      </c>
      <c r="DN3467" s="5" t="s">
        <v>240</v>
      </c>
      <c r="DO3467" s="7" t="s">
        <v>240</v>
      </c>
      <c r="DP3467" s="5" t="s">
        <v>240</v>
      </c>
      <c r="DQ3467" s="5" t="s">
        <v>248</v>
      </c>
      <c r="DR3467" s="5" t="s">
        <v>731</v>
      </c>
      <c r="DS3467" s="5" t="s">
        <v>731</v>
      </c>
      <c r="DT3467" s="5" t="s">
        <v>240</v>
      </c>
      <c r="DU3467" s="5" t="s">
        <v>240</v>
      </c>
      <c r="DV3467" s="5" t="s">
        <v>6047</v>
      </c>
      <c r="DW3467" s="5" t="s">
        <v>754</v>
      </c>
      <c r="DX3467" s="5" t="s">
        <v>240</v>
      </c>
      <c r="DY3467" s="5" t="s">
        <v>240</v>
      </c>
      <c r="DZ3467" s="5" t="s">
        <v>240</v>
      </c>
      <c r="EA3467" s="5" t="s">
        <v>240</v>
      </c>
      <c r="EB3467" s="5" t="s">
        <v>240</v>
      </c>
      <c r="EC3467" s="5" t="s">
        <v>240</v>
      </c>
      <c r="ED3467" s="5" t="s">
        <v>240</v>
      </c>
      <c r="EE3467" s="5" t="s">
        <v>240</v>
      </c>
      <c r="EF3467" s="5" t="s">
        <v>240</v>
      </c>
      <c r="EG3467" s="5" t="s">
        <v>240</v>
      </c>
      <c r="EH3467" s="5" t="s">
        <v>240</v>
      </c>
      <c r="EI3467" s="5" t="s">
        <v>240</v>
      </c>
      <c r="EJ3467" s="5" t="s">
        <v>240</v>
      </c>
      <c r="EK3467" s="5" t="s">
        <v>240</v>
      </c>
      <c r="EL3467" s="5" t="s">
        <v>240</v>
      </c>
      <c r="EM3467" s="5" t="s">
        <v>240</v>
      </c>
      <c r="EN3467" s="5" t="s">
        <v>240</v>
      </c>
      <c r="EO3467" s="5" t="s">
        <v>240</v>
      </c>
      <c r="EP3467" s="5" t="s">
        <v>240</v>
      </c>
      <c r="EQ3467" s="5" t="s">
        <v>240</v>
      </c>
      <c r="ER3467" s="5" t="s">
        <v>240</v>
      </c>
      <c r="ES3467" s="5" t="s">
        <v>240</v>
      </c>
      <c r="ET3467" s="5" t="s">
        <v>240</v>
      </c>
      <c r="EU3467" s="5" t="s">
        <v>240</v>
      </c>
      <c r="EV3467" s="5" t="s">
        <v>240</v>
      </c>
      <c r="EW3467" s="5" t="s">
        <v>240</v>
      </c>
      <c r="EX3467" s="5" t="s">
        <v>240</v>
      </c>
      <c r="EY3467" s="5" t="s">
        <v>240</v>
      </c>
      <c r="EZ3467" s="5" t="s">
        <v>240</v>
      </c>
      <c r="FA3467" s="5" t="s">
        <v>240</v>
      </c>
      <c r="FB3467" s="5" t="s">
        <v>240</v>
      </c>
      <c r="FC3467" s="5" t="s">
        <v>240</v>
      </c>
      <c r="FD3467" s="5" t="s">
        <v>240</v>
      </c>
      <c r="FE3467" s="5" t="s">
        <v>240</v>
      </c>
      <c r="FF3467" s="5" t="s">
        <v>240</v>
      </c>
      <c r="FG3467" s="5" t="s">
        <v>240</v>
      </c>
      <c r="FH3467" s="5" t="s">
        <v>240</v>
      </c>
      <c r="FI3467" s="5" t="s">
        <v>240</v>
      </c>
      <c r="FJ3467" s="5" t="s">
        <v>240</v>
      </c>
      <c r="FK3467" s="5" t="s">
        <v>240</v>
      </c>
      <c r="FL3467" s="5" t="s">
        <v>240</v>
      </c>
      <c r="FM3467" s="5" t="s">
        <v>240</v>
      </c>
      <c r="FN3467" s="5" t="s">
        <v>240</v>
      </c>
      <c r="FO3467" s="5" t="s">
        <v>240</v>
      </c>
      <c r="FP3467" s="5" t="s">
        <v>240</v>
      </c>
      <c r="FQ3467" s="5" t="s">
        <v>240</v>
      </c>
      <c r="FR3467" s="5" t="s">
        <v>240</v>
      </c>
      <c r="FS3467" s="5" t="s">
        <v>240</v>
      </c>
      <c r="FT3467" s="5" t="s">
        <v>240</v>
      </c>
      <c r="FU3467" s="5" t="s">
        <v>240</v>
      </c>
      <c r="FV3467" s="5" t="s">
        <v>240</v>
      </c>
      <c r="FW3467" s="5" t="s">
        <v>240</v>
      </c>
      <c r="FX3467" s="5" t="s">
        <v>240</v>
      </c>
      <c r="FY3467" s="5" t="s">
        <v>240</v>
      </c>
      <c r="FZ3467" s="5" t="s">
        <v>240</v>
      </c>
      <c r="GA3467" s="5" t="s">
        <v>240</v>
      </c>
      <c r="GB3467" s="5" t="s">
        <v>240</v>
      </c>
      <c r="GC3467" s="5" t="s">
        <v>240</v>
      </c>
      <c r="GD3467" s="5" t="s">
        <v>240</v>
      </c>
      <c r="GE3467" s="5" t="s">
        <v>240</v>
      </c>
      <c r="GF3467" s="5" t="s">
        <v>240</v>
      </c>
      <c r="GG3467" s="5" t="s">
        <v>240</v>
      </c>
      <c r="GH3467" s="5" t="s">
        <v>240</v>
      </c>
      <c r="GI3467" s="5" t="s">
        <v>240</v>
      </c>
      <c r="GJ3467" s="5" t="s">
        <v>240</v>
      </c>
      <c r="GK3467" s="5" t="s">
        <v>240</v>
      </c>
      <c r="GL3467" s="5" t="s">
        <v>240</v>
      </c>
      <c r="GM3467" s="5" t="s">
        <v>240</v>
      </c>
      <c r="GN3467" s="5" t="s">
        <v>240</v>
      </c>
      <c r="GO3467" s="5" t="s">
        <v>240</v>
      </c>
      <c r="GP3467" s="5" t="s">
        <v>240</v>
      </c>
      <c r="GQ3467" s="5" t="s">
        <v>240</v>
      </c>
      <c r="GR3467" s="5" t="s">
        <v>240</v>
      </c>
      <c r="GS3467" s="5" t="s">
        <v>240</v>
      </c>
      <c r="GT3467" s="5" t="s">
        <v>240</v>
      </c>
      <c r="GU3467" s="5" t="s">
        <v>240</v>
      </c>
      <c r="GV3467" s="5" t="s">
        <v>240</v>
      </c>
      <c r="GW3467" s="5" t="s">
        <v>240</v>
      </c>
      <c r="GX3467" s="5" t="s">
        <v>240</v>
      </c>
      <c r="GY3467" s="5" t="s">
        <v>240</v>
      </c>
      <c r="GZ3467" s="5" t="s">
        <v>240</v>
      </c>
      <c r="HA3467" s="5" t="s">
        <v>240</v>
      </c>
      <c r="HB3467" s="5" t="s">
        <v>240</v>
      </c>
      <c r="HC3467" s="5" t="s">
        <v>240</v>
      </c>
      <c r="HD3467" s="5" t="s">
        <v>240</v>
      </c>
      <c r="HE3467" s="5" t="s">
        <v>240</v>
      </c>
      <c r="HF3467" s="5" t="s">
        <v>240</v>
      </c>
      <c r="HG3467" s="5" t="s">
        <v>240</v>
      </c>
      <c r="HH3467" s="5" t="s">
        <v>240</v>
      </c>
      <c r="HI3467" s="5" t="s">
        <v>240</v>
      </c>
      <c r="HJ3467" s="5" t="s">
        <v>240</v>
      </c>
      <c r="HK3467" s="5" t="s">
        <v>240</v>
      </c>
      <c r="HL3467" s="5" t="s">
        <v>240</v>
      </c>
      <c r="HM3467" s="5" t="s">
        <v>240</v>
      </c>
      <c r="HN3467" s="5" t="s">
        <v>240</v>
      </c>
      <c r="HO3467" s="5" t="s">
        <v>240</v>
      </c>
      <c r="HP3467" s="5" t="s">
        <v>240</v>
      </c>
      <c r="HQ3467" s="5" t="s">
        <v>240</v>
      </c>
      <c r="HR3467" s="5" t="s">
        <v>240</v>
      </c>
      <c r="HS3467" s="5" t="s">
        <v>240</v>
      </c>
      <c r="HT3467" s="5" t="s">
        <v>240</v>
      </c>
      <c r="HU3467" s="5" t="s">
        <v>240</v>
      </c>
      <c r="HV3467" s="5" t="s">
        <v>240</v>
      </c>
      <c r="HW3467" s="5" t="s">
        <v>240</v>
      </c>
      <c r="HX3467" s="5" t="s">
        <v>240</v>
      </c>
      <c r="HY3467" s="5" t="s">
        <v>240</v>
      </c>
      <c r="HZ3467" s="5" t="s">
        <v>240</v>
      </c>
      <c r="IA3467" s="5" t="s">
        <v>240</v>
      </c>
      <c r="IB3467" s="5" t="s">
        <v>240</v>
      </c>
      <c r="IC3467" s="5" t="s">
        <v>240</v>
      </c>
      <c r="ID3467" s="5" t="s">
        <v>240</v>
      </c>
      <c r="IE3467" s="5" t="s">
        <v>240</v>
      </c>
      <c r="IF3467" s="5" t="s">
        <v>240</v>
      </c>
    </row>
    <row r="3468" spans="1:240" x14ac:dyDescent="0.4">
      <c r="A3468" s="5">
        <v>9010</v>
      </c>
      <c r="B3468" s="5">
        <v>1</v>
      </c>
      <c r="C3468" s="5">
        <v>1</v>
      </c>
      <c r="D3468" s="5" t="s">
        <v>723</v>
      </c>
      <c r="E3468" s="5" t="s">
        <v>5060</v>
      </c>
      <c r="F3468" s="5" t="s">
        <v>254</v>
      </c>
      <c r="G3468" s="5" t="s">
        <v>5061</v>
      </c>
      <c r="H3468" s="6" t="s">
        <v>7126</v>
      </c>
      <c r="I3468" s="5" t="s">
        <v>7125</v>
      </c>
      <c r="J3468" s="7">
        <f>1</f>
        <v>1</v>
      </c>
      <c r="K3468" s="5" t="s">
        <v>3682</v>
      </c>
      <c r="L3468" s="7">
        <f>1</f>
        <v>1</v>
      </c>
      <c r="M3468" s="7">
        <f>1</f>
        <v>1</v>
      </c>
      <c r="N3468" s="5" t="s">
        <v>242</v>
      </c>
      <c r="O3468" s="5">
        <v>1</v>
      </c>
      <c r="P3468" s="5" t="s">
        <v>294</v>
      </c>
      <c r="Q3468" s="5" t="s">
        <v>3678</v>
      </c>
      <c r="R3468" s="5" t="s">
        <v>240</v>
      </c>
      <c r="S3468" s="5" t="s">
        <v>240</v>
      </c>
      <c r="T3468" s="5" t="s">
        <v>243</v>
      </c>
      <c r="U3468" s="5" t="s">
        <v>244</v>
      </c>
      <c r="V3468" s="5" t="s">
        <v>240</v>
      </c>
      <c r="W3468" s="5" t="s">
        <v>240</v>
      </c>
      <c r="X3468" s="5" t="s">
        <v>240</v>
      </c>
      <c r="Y3468" s="5" t="s">
        <v>240</v>
      </c>
      <c r="Z3468" s="6" t="s">
        <v>298</v>
      </c>
      <c r="AA3468" s="6" t="s">
        <v>240</v>
      </c>
      <c r="AB3468" s="6" t="s">
        <v>240</v>
      </c>
      <c r="AC3468" s="5" t="s">
        <v>240</v>
      </c>
      <c r="AD3468" s="6" t="s">
        <v>240</v>
      </c>
      <c r="AE3468" s="6" t="s">
        <v>299</v>
      </c>
      <c r="AF3468" s="5" t="s">
        <v>248</v>
      </c>
      <c r="AG3468" s="5" t="s">
        <v>249</v>
      </c>
      <c r="AH3468" s="5" t="s">
        <v>240</v>
      </c>
      <c r="AI3468" s="5" t="s">
        <v>240</v>
      </c>
      <c r="AJ3468" s="5" t="s">
        <v>240</v>
      </c>
      <c r="AK3468" s="5" t="s">
        <v>240</v>
      </c>
      <c r="AL3468" s="5" t="s">
        <v>240</v>
      </c>
      <c r="AM3468" s="5" t="s">
        <v>240</v>
      </c>
      <c r="AN3468" s="5" t="s">
        <v>240</v>
      </c>
      <c r="AO3468" s="5" t="s">
        <v>240</v>
      </c>
      <c r="AP3468" s="6" t="s">
        <v>240</v>
      </c>
      <c r="AQ3468" s="6" t="s">
        <v>240</v>
      </c>
      <c r="AR3468" s="6" t="s">
        <v>240</v>
      </c>
      <c r="AS3468" s="6" t="s">
        <v>240</v>
      </c>
      <c r="AT3468" s="5" t="s">
        <v>240</v>
      </c>
      <c r="AU3468" s="5" t="s">
        <v>729</v>
      </c>
      <c r="AV3468" s="5" t="s">
        <v>729</v>
      </c>
      <c r="AW3468" s="5" t="s">
        <v>251</v>
      </c>
      <c r="AX3468" s="5" t="s">
        <v>252</v>
      </c>
      <c r="AY3468" s="5" t="s">
        <v>253</v>
      </c>
      <c r="AZ3468" s="5" t="s">
        <v>6046</v>
      </c>
      <c r="BA3468" s="5" t="s">
        <v>255</v>
      </c>
      <c r="BB3468" s="5" t="s">
        <v>731</v>
      </c>
      <c r="BD3468" s="5" t="s">
        <v>240</v>
      </c>
      <c r="BF3468" s="5" t="s">
        <v>732</v>
      </c>
      <c r="BG3468" s="6" t="s">
        <v>733</v>
      </c>
      <c r="BH3468" s="5" t="s">
        <v>734</v>
      </c>
      <c r="BI3468" s="5" t="s">
        <v>734</v>
      </c>
      <c r="BJ3468" s="5" t="s">
        <v>240</v>
      </c>
      <c r="BK3468" s="7">
        <f>1</f>
        <v>1</v>
      </c>
      <c r="BL3468" s="7">
        <f>1</f>
        <v>1</v>
      </c>
      <c r="BM3468" s="5" t="s">
        <v>258</v>
      </c>
      <c r="BN3468" s="5" t="s">
        <v>259</v>
      </c>
      <c r="BO3468" s="5" t="s">
        <v>240</v>
      </c>
      <c r="BP3468" s="5" t="s">
        <v>240</v>
      </c>
      <c r="BQ3468" s="5" t="s">
        <v>240</v>
      </c>
      <c r="BR3468" s="5" t="s">
        <v>240</v>
      </c>
      <c r="BS3468" s="5" t="s">
        <v>240</v>
      </c>
      <c r="BT3468" s="5" t="s">
        <v>240</v>
      </c>
      <c r="BU3468" s="5" t="s">
        <v>240</v>
      </c>
      <c r="BV3468" s="5" t="s">
        <v>240</v>
      </c>
      <c r="BW3468" s="6" t="s">
        <v>240</v>
      </c>
      <c r="BX3468" s="5" t="s">
        <v>240</v>
      </c>
      <c r="BY3468" s="5" t="s">
        <v>240</v>
      </c>
      <c r="BZ3468" s="5" t="s">
        <v>240</v>
      </c>
      <c r="CA3468" s="5" t="s">
        <v>259</v>
      </c>
      <c r="CB3468" s="5" t="s">
        <v>240</v>
      </c>
      <c r="CC3468" s="5" t="s">
        <v>240</v>
      </c>
      <c r="CD3468" s="5" t="s">
        <v>240</v>
      </c>
      <c r="CE3468" s="5" t="s">
        <v>240</v>
      </c>
      <c r="CF3468" s="5" t="s">
        <v>240</v>
      </c>
      <c r="CG3468" s="5" t="s">
        <v>304</v>
      </c>
      <c r="CH3468" s="5" t="s">
        <v>305</v>
      </c>
      <c r="CI3468" s="5" t="s">
        <v>260</v>
      </c>
      <c r="CK3468" s="5" t="s">
        <v>3681</v>
      </c>
      <c r="CL3468" s="6" t="s">
        <v>261</v>
      </c>
      <c r="CM3468" s="5" t="s">
        <v>262</v>
      </c>
      <c r="CN3468" s="5" t="s">
        <v>263</v>
      </c>
      <c r="CO3468" s="5" t="s">
        <v>264</v>
      </c>
      <c r="CP3468" s="5" t="s">
        <v>240</v>
      </c>
      <c r="CQ3468" s="5">
        <v>0</v>
      </c>
      <c r="CR3468" s="5" t="s">
        <v>735</v>
      </c>
      <c r="CS3468" s="5" t="s">
        <v>307</v>
      </c>
      <c r="CT3468" s="5" t="s">
        <v>307</v>
      </c>
      <c r="CU3468" s="5" t="s">
        <v>260</v>
      </c>
      <c r="CV3468" s="5" t="s">
        <v>612</v>
      </c>
      <c r="CW3468" s="8">
        <f>1</f>
        <v>1</v>
      </c>
      <c r="CX3468" s="7">
        <f>1</f>
        <v>1</v>
      </c>
      <c r="CY3468" s="7">
        <f>0</f>
        <v>0</v>
      </c>
      <c r="DA3468" s="7">
        <f>1</f>
        <v>1</v>
      </c>
      <c r="DB3468" s="7" t="s">
        <v>240</v>
      </c>
      <c r="DC3468" s="5" t="s">
        <v>240</v>
      </c>
      <c r="DD3468" s="5" t="s">
        <v>240</v>
      </c>
      <c r="DE3468" s="5" t="s">
        <v>240</v>
      </c>
      <c r="DF3468" s="5" t="s">
        <v>240</v>
      </c>
      <c r="DG3468" s="7">
        <f>0</f>
        <v>0</v>
      </c>
      <c r="DI3468" s="5" t="s">
        <v>240</v>
      </c>
      <c r="DJ3468" s="5" t="s">
        <v>240</v>
      </c>
      <c r="DK3468" s="5" t="s">
        <v>240</v>
      </c>
      <c r="DL3468" s="5" t="s">
        <v>240</v>
      </c>
      <c r="DM3468" s="5" t="s">
        <v>240</v>
      </c>
      <c r="DN3468" s="5" t="s">
        <v>240</v>
      </c>
      <c r="DO3468" s="7" t="s">
        <v>240</v>
      </c>
      <c r="DP3468" s="5" t="s">
        <v>240</v>
      </c>
      <c r="DQ3468" s="5" t="s">
        <v>248</v>
      </c>
      <c r="DR3468" s="5" t="s">
        <v>731</v>
      </c>
      <c r="DS3468" s="5" t="s">
        <v>731</v>
      </c>
      <c r="DT3468" s="5" t="s">
        <v>240</v>
      </c>
      <c r="DU3468" s="5" t="s">
        <v>240</v>
      </c>
      <c r="DV3468" s="5" t="s">
        <v>6047</v>
      </c>
      <c r="DW3468" s="5" t="s">
        <v>752</v>
      </c>
      <c r="DX3468" s="5" t="s">
        <v>240</v>
      </c>
      <c r="DY3468" s="5" t="s">
        <v>240</v>
      </c>
      <c r="DZ3468" s="5" t="s">
        <v>240</v>
      </c>
      <c r="EA3468" s="5" t="s">
        <v>240</v>
      </c>
      <c r="EB3468" s="5" t="s">
        <v>240</v>
      </c>
      <c r="EC3468" s="5" t="s">
        <v>240</v>
      </c>
      <c r="ED3468" s="5" t="s">
        <v>240</v>
      </c>
      <c r="EE3468" s="5" t="s">
        <v>240</v>
      </c>
      <c r="EF3468" s="5" t="s">
        <v>240</v>
      </c>
      <c r="EG3468" s="5" t="s">
        <v>240</v>
      </c>
      <c r="EH3468" s="5" t="s">
        <v>240</v>
      </c>
      <c r="EI3468" s="5" t="s">
        <v>240</v>
      </c>
      <c r="EJ3468" s="5" t="s">
        <v>240</v>
      </c>
      <c r="EK3468" s="5" t="s">
        <v>240</v>
      </c>
      <c r="EL3468" s="5" t="s">
        <v>240</v>
      </c>
      <c r="EM3468" s="5" t="s">
        <v>240</v>
      </c>
      <c r="EN3468" s="5" t="s">
        <v>240</v>
      </c>
      <c r="EO3468" s="5" t="s">
        <v>240</v>
      </c>
      <c r="EP3468" s="5" t="s">
        <v>240</v>
      </c>
      <c r="EQ3468" s="5" t="s">
        <v>240</v>
      </c>
      <c r="ER3468" s="5" t="s">
        <v>240</v>
      </c>
      <c r="ES3468" s="5" t="s">
        <v>240</v>
      </c>
      <c r="ET3468" s="5" t="s">
        <v>240</v>
      </c>
      <c r="EU3468" s="5" t="s">
        <v>240</v>
      </c>
      <c r="EV3468" s="5" t="s">
        <v>240</v>
      </c>
      <c r="EW3468" s="5" t="s">
        <v>240</v>
      </c>
      <c r="EX3468" s="5" t="s">
        <v>240</v>
      </c>
      <c r="EY3468" s="5" t="s">
        <v>240</v>
      </c>
      <c r="EZ3468" s="5" t="s">
        <v>240</v>
      </c>
      <c r="FA3468" s="5" t="s">
        <v>240</v>
      </c>
      <c r="FB3468" s="5" t="s">
        <v>240</v>
      </c>
      <c r="FC3468" s="5" t="s">
        <v>240</v>
      </c>
      <c r="FD3468" s="5" t="s">
        <v>240</v>
      </c>
      <c r="FE3468" s="5" t="s">
        <v>240</v>
      </c>
      <c r="FF3468" s="5" t="s">
        <v>240</v>
      </c>
      <c r="FG3468" s="5" t="s">
        <v>240</v>
      </c>
      <c r="FH3468" s="5" t="s">
        <v>240</v>
      </c>
      <c r="FI3468" s="5" t="s">
        <v>240</v>
      </c>
      <c r="FJ3468" s="5" t="s">
        <v>240</v>
      </c>
      <c r="FK3468" s="5" t="s">
        <v>240</v>
      </c>
      <c r="FL3468" s="5" t="s">
        <v>240</v>
      </c>
      <c r="FM3468" s="5" t="s">
        <v>240</v>
      </c>
      <c r="FN3468" s="5" t="s">
        <v>240</v>
      </c>
      <c r="FO3468" s="5" t="s">
        <v>240</v>
      </c>
      <c r="FP3468" s="5" t="s">
        <v>240</v>
      </c>
      <c r="FQ3468" s="5" t="s">
        <v>240</v>
      </c>
      <c r="FR3468" s="5" t="s">
        <v>240</v>
      </c>
      <c r="FS3468" s="5" t="s">
        <v>240</v>
      </c>
      <c r="FT3468" s="5" t="s">
        <v>240</v>
      </c>
      <c r="FU3468" s="5" t="s">
        <v>240</v>
      </c>
      <c r="FV3468" s="5" t="s">
        <v>240</v>
      </c>
      <c r="FW3468" s="5" t="s">
        <v>240</v>
      </c>
      <c r="FX3468" s="5" t="s">
        <v>240</v>
      </c>
      <c r="FY3468" s="5" t="s">
        <v>240</v>
      </c>
      <c r="FZ3468" s="5" t="s">
        <v>240</v>
      </c>
      <c r="GA3468" s="5" t="s">
        <v>240</v>
      </c>
      <c r="GB3468" s="5" t="s">
        <v>240</v>
      </c>
      <c r="GC3468" s="5" t="s">
        <v>240</v>
      </c>
      <c r="GD3468" s="5" t="s">
        <v>240</v>
      </c>
      <c r="GE3468" s="5" t="s">
        <v>240</v>
      </c>
      <c r="GF3468" s="5" t="s">
        <v>240</v>
      </c>
      <c r="GG3468" s="5" t="s">
        <v>240</v>
      </c>
      <c r="GH3468" s="5" t="s">
        <v>240</v>
      </c>
      <c r="GI3468" s="5" t="s">
        <v>240</v>
      </c>
      <c r="GJ3468" s="5" t="s">
        <v>240</v>
      </c>
      <c r="GK3468" s="5" t="s">
        <v>240</v>
      </c>
      <c r="GL3468" s="5" t="s">
        <v>240</v>
      </c>
      <c r="GM3468" s="5" t="s">
        <v>240</v>
      </c>
      <c r="GN3468" s="5" t="s">
        <v>240</v>
      </c>
      <c r="GO3468" s="5" t="s">
        <v>240</v>
      </c>
      <c r="GP3468" s="5" t="s">
        <v>240</v>
      </c>
      <c r="GQ3468" s="5" t="s">
        <v>240</v>
      </c>
      <c r="GR3468" s="5" t="s">
        <v>240</v>
      </c>
      <c r="GS3468" s="5" t="s">
        <v>240</v>
      </c>
      <c r="GT3468" s="5" t="s">
        <v>240</v>
      </c>
      <c r="GU3468" s="5" t="s">
        <v>240</v>
      </c>
      <c r="GV3468" s="5" t="s">
        <v>240</v>
      </c>
      <c r="GW3468" s="5" t="s">
        <v>240</v>
      </c>
      <c r="GX3468" s="5" t="s">
        <v>240</v>
      </c>
      <c r="GY3468" s="5" t="s">
        <v>240</v>
      </c>
      <c r="GZ3468" s="5" t="s">
        <v>240</v>
      </c>
      <c r="HA3468" s="5" t="s">
        <v>240</v>
      </c>
      <c r="HB3468" s="5" t="s">
        <v>240</v>
      </c>
      <c r="HC3468" s="5" t="s">
        <v>240</v>
      </c>
      <c r="HD3468" s="5" t="s">
        <v>240</v>
      </c>
      <c r="HE3468" s="5" t="s">
        <v>240</v>
      </c>
      <c r="HF3468" s="5" t="s">
        <v>240</v>
      </c>
      <c r="HG3468" s="5" t="s">
        <v>240</v>
      </c>
      <c r="HH3468" s="5" t="s">
        <v>240</v>
      </c>
      <c r="HI3468" s="5" t="s">
        <v>240</v>
      </c>
      <c r="HJ3468" s="5" t="s">
        <v>240</v>
      </c>
      <c r="HK3468" s="5" t="s">
        <v>240</v>
      </c>
      <c r="HL3468" s="5" t="s">
        <v>240</v>
      </c>
      <c r="HM3468" s="5" t="s">
        <v>240</v>
      </c>
      <c r="HN3468" s="5" t="s">
        <v>240</v>
      </c>
      <c r="HO3468" s="5" t="s">
        <v>240</v>
      </c>
      <c r="HP3468" s="5" t="s">
        <v>240</v>
      </c>
      <c r="HQ3468" s="5" t="s">
        <v>240</v>
      </c>
      <c r="HR3468" s="5" t="s">
        <v>240</v>
      </c>
      <c r="HS3468" s="5" t="s">
        <v>240</v>
      </c>
      <c r="HT3468" s="5" t="s">
        <v>240</v>
      </c>
      <c r="HU3468" s="5" t="s">
        <v>240</v>
      </c>
      <c r="HV3468" s="5" t="s">
        <v>240</v>
      </c>
      <c r="HW3468" s="5" t="s">
        <v>240</v>
      </c>
      <c r="HX3468" s="5" t="s">
        <v>240</v>
      </c>
      <c r="HY3468" s="5" t="s">
        <v>240</v>
      </c>
      <c r="HZ3468" s="5" t="s">
        <v>240</v>
      </c>
      <c r="IA3468" s="5" t="s">
        <v>240</v>
      </c>
      <c r="IB3468" s="5" t="s">
        <v>240</v>
      </c>
      <c r="IC3468" s="5" t="s">
        <v>240</v>
      </c>
      <c r="ID3468" s="5" t="s">
        <v>240</v>
      </c>
      <c r="IE3468" s="5" t="s">
        <v>240</v>
      </c>
      <c r="IF3468" s="5" t="s">
        <v>240</v>
      </c>
    </row>
    <row r="3469" spans="1:240" x14ac:dyDescent="0.4">
      <c r="A3469" s="5">
        <v>9011</v>
      </c>
      <c r="B3469" s="5">
        <v>1</v>
      </c>
      <c r="C3469" s="5">
        <v>1</v>
      </c>
      <c r="D3469" s="5" t="s">
        <v>723</v>
      </c>
      <c r="E3469" s="5" t="s">
        <v>5060</v>
      </c>
      <c r="F3469" s="5" t="s">
        <v>254</v>
      </c>
      <c r="G3469" s="5" t="s">
        <v>5061</v>
      </c>
      <c r="H3469" s="6" t="s">
        <v>6768</v>
      </c>
      <c r="I3469" s="5" t="s">
        <v>6767</v>
      </c>
      <c r="J3469" s="7">
        <f>1</f>
        <v>1</v>
      </c>
      <c r="K3469" s="5" t="s">
        <v>3682</v>
      </c>
      <c r="L3469" s="7">
        <f>1</f>
        <v>1</v>
      </c>
      <c r="M3469" s="7">
        <f>1</f>
        <v>1</v>
      </c>
      <c r="N3469" s="5" t="s">
        <v>242</v>
      </c>
      <c r="O3469" s="5">
        <v>1</v>
      </c>
      <c r="P3469" s="5" t="s">
        <v>294</v>
      </c>
      <c r="Q3469" s="5" t="s">
        <v>266</v>
      </c>
      <c r="R3469" s="5" t="s">
        <v>240</v>
      </c>
      <c r="S3469" s="5" t="s">
        <v>240</v>
      </c>
      <c r="T3469" s="5" t="s">
        <v>243</v>
      </c>
      <c r="U3469" s="5" t="s">
        <v>240</v>
      </c>
      <c r="V3469" s="5" t="s">
        <v>240</v>
      </c>
      <c r="Y3469" s="5" t="s">
        <v>240</v>
      </c>
      <c r="Z3469" s="6" t="s">
        <v>6161</v>
      </c>
      <c r="AB3469" s="6" t="s">
        <v>240</v>
      </c>
      <c r="AE3469" s="6" t="s">
        <v>6162</v>
      </c>
      <c r="AF3469" s="5" t="s">
        <v>248</v>
      </c>
      <c r="AG3469" s="5" t="s">
        <v>249</v>
      </c>
      <c r="AW3469" s="5" t="s">
        <v>251</v>
      </c>
      <c r="AX3469" s="5" t="s">
        <v>240</v>
      </c>
      <c r="AY3469" s="5" t="s">
        <v>253</v>
      </c>
      <c r="AZ3469" s="5" t="s">
        <v>240</v>
      </c>
      <c r="BA3469" s="5" t="s">
        <v>255</v>
      </c>
      <c r="BB3469" s="5" t="s">
        <v>240</v>
      </c>
      <c r="BD3469" s="5" t="s">
        <v>240</v>
      </c>
      <c r="BF3469" s="5" t="s">
        <v>687</v>
      </c>
      <c r="BG3469" s="6" t="s">
        <v>6161</v>
      </c>
      <c r="BH3469" s="5" t="s">
        <v>302</v>
      </c>
      <c r="BI3469" s="5" t="s">
        <v>448</v>
      </c>
      <c r="BJ3469" s="5" t="s">
        <v>240</v>
      </c>
      <c r="BK3469" s="8">
        <f>0</f>
        <v>0</v>
      </c>
      <c r="BL3469" s="7">
        <f>0</f>
        <v>0</v>
      </c>
      <c r="BM3469" s="5" t="s">
        <v>258</v>
      </c>
      <c r="BN3469" s="5" t="s">
        <v>259</v>
      </c>
      <c r="CB3469" s="5" t="s">
        <v>240</v>
      </c>
      <c r="CC3469" s="5" t="s">
        <v>240</v>
      </c>
      <c r="CG3469" s="5" t="s">
        <v>449</v>
      </c>
      <c r="CH3469" s="5" t="s">
        <v>305</v>
      </c>
      <c r="CI3469" s="5" t="s">
        <v>240</v>
      </c>
      <c r="CL3469" s="6" t="s">
        <v>261</v>
      </c>
      <c r="CM3469" s="5" t="s">
        <v>240</v>
      </c>
      <c r="CN3469" s="5" t="s">
        <v>263</v>
      </c>
      <c r="CO3469" s="5" t="s">
        <v>240</v>
      </c>
      <c r="CP3469" s="5" t="s">
        <v>240</v>
      </c>
      <c r="CQ3469" s="5">
        <v>0</v>
      </c>
      <c r="CR3469" s="5" t="s">
        <v>306</v>
      </c>
      <c r="CS3469" s="5" t="s">
        <v>307</v>
      </c>
      <c r="CT3469" s="5" t="s">
        <v>307</v>
      </c>
      <c r="CU3469" s="5" t="s">
        <v>260</v>
      </c>
      <c r="CX3469" s="7">
        <f>439220</f>
        <v>439220</v>
      </c>
      <c r="CY3469" s="7">
        <f>0</f>
        <v>0</v>
      </c>
      <c r="DA3469" s="7">
        <f>0</f>
        <v>0</v>
      </c>
      <c r="DC3469" s="5" t="s">
        <v>450</v>
      </c>
      <c r="DD3469" s="5" t="s">
        <v>240</v>
      </c>
      <c r="DF3469" s="5" t="s">
        <v>450</v>
      </c>
      <c r="DG3469" s="7">
        <f>219.61</f>
        <v>219.61</v>
      </c>
      <c r="DI3469" s="5" t="s">
        <v>240</v>
      </c>
      <c r="DJ3469" s="5" t="s">
        <v>240</v>
      </c>
      <c r="DK3469" s="5" t="s">
        <v>240</v>
      </c>
      <c r="DL3469" s="5" t="s">
        <v>240</v>
      </c>
      <c r="DP3469" s="5" t="s">
        <v>240</v>
      </c>
      <c r="DQ3469" s="5" t="s">
        <v>240</v>
      </c>
      <c r="DR3469" s="5" t="s">
        <v>240</v>
      </c>
      <c r="DS3469" s="5" t="s">
        <v>240</v>
      </c>
      <c r="DV3469" s="5" t="s">
        <v>310</v>
      </c>
      <c r="DW3469" s="5" t="s">
        <v>2375</v>
      </c>
      <c r="HO3469" s="5" t="s">
        <v>312</v>
      </c>
    </row>
    <row r="3470" spans="1:240" x14ac:dyDescent="0.4">
      <c r="A3470" s="5">
        <v>9012</v>
      </c>
      <c r="B3470" s="5">
        <v>1</v>
      </c>
      <c r="C3470" s="5">
        <v>1</v>
      </c>
      <c r="D3470" s="5" t="s">
        <v>723</v>
      </c>
      <c r="E3470" s="5" t="s">
        <v>5060</v>
      </c>
      <c r="F3470" s="5" t="s">
        <v>254</v>
      </c>
      <c r="G3470" s="5" t="s">
        <v>5061</v>
      </c>
      <c r="H3470" s="6" t="s">
        <v>6850</v>
      </c>
      <c r="I3470" s="5" t="s">
        <v>6849</v>
      </c>
      <c r="J3470" s="7">
        <f>1</f>
        <v>1</v>
      </c>
      <c r="K3470" s="5" t="s">
        <v>3682</v>
      </c>
      <c r="L3470" s="7">
        <f>1</f>
        <v>1</v>
      </c>
      <c r="M3470" s="7">
        <f>1</f>
        <v>1</v>
      </c>
      <c r="N3470" s="5" t="s">
        <v>242</v>
      </c>
      <c r="O3470" s="5">
        <v>1</v>
      </c>
      <c r="P3470" s="5" t="s">
        <v>294</v>
      </c>
      <c r="Q3470" s="5" t="s">
        <v>3678</v>
      </c>
      <c r="R3470" s="5" t="s">
        <v>240</v>
      </c>
      <c r="S3470" s="5" t="s">
        <v>240</v>
      </c>
      <c r="T3470" s="5" t="s">
        <v>243</v>
      </c>
      <c r="U3470" s="5" t="s">
        <v>244</v>
      </c>
      <c r="V3470" s="5" t="s">
        <v>240</v>
      </c>
      <c r="W3470" s="5" t="s">
        <v>240</v>
      </c>
      <c r="X3470" s="5" t="s">
        <v>240</v>
      </c>
      <c r="Y3470" s="5" t="s">
        <v>240</v>
      </c>
      <c r="Z3470" s="6" t="s">
        <v>298</v>
      </c>
      <c r="AA3470" s="6" t="s">
        <v>240</v>
      </c>
      <c r="AB3470" s="6" t="s">
        <v>240</v>
      </c>
      <c r="AC3470" s="5" t="s">
        <v>240</v>
      </c>
      <c r="AD3470" s="6" t="s">
        <v>240</v>
      </c>
      <c r="AE3470" s="6" t="s">
        <v>299</v>
      </c>
      <c r="AF3470" s="5" t="s">
        <v>248</v>
      </c>
      <c r="AG3470" s="5" t="s">
        <v>249</v>
      </c>
      <c r="AH3470" s="5" t="s">
        <v>240</v>
      </c>
      <c r="AI3470" s="5" t="s">
        <v>240</v>
      </c>
      <c r="AJ3470" s="5" t="s">
        <v>240</v>
      </c>
      <c r="AK3470" s="5" t="s">
        <v>240</v>
      </c>
      <c r="AL3470" s="5" t="s">
        <v>240</v>
      </c>
      <c r="AM3470" s="5" t="s">
        <v>240</v>
      </c>
      <c r="AN3470" s="5" t="s">
        <v>240</v>
      </c>
      <c r="AO3470" s="5" t="s">
        <v>240</v>
      </c>
      <c r="AP3470" s="6" t="s">
        <v>240</v>
      </c>
      <c r="AQ3470" s="6" t="s">
        <v>240</v>
      </c>
      <c r="AR3470" s="6" t="s">
        <v>240</v>
      </c>
      <c r="AS3470" s="6" t="s">
        <v>240</v>
      </c>
      <c r="AT3470" s="5" t="s">
        <v>240</v>
      </c>
      <c r="AU3470" s="5" t="s">
        <v>729</v>
      </c>
      <c r="AV3470" s="5" t="s">
        <v>729</v>
      </c>
      <c r="AW3470" s="5" t="s">
        <v>251</v>
      </c>
      <c r="AX3470" s="5" t="s">
        <v>252</v>
      </c>
      <c r="AY3470" s="5" t="s">
        <v>253</v>
      </c>
      <c r="AZ3470" s="5" t="s">
        <v>6046</v>
      </c>
      <c r="BA3470" s="5" t="s">
        <v>255</v>
      </c>
      <c r="BB3470" s="5" t="s">
        <v>731</v>
      </c>
      <c r="BD3470" s="5" t="s">
        <v>240</v>
      </c>
      <c r="BF3470" s="5" t="s">
        <v>732</v>
      </c>
      <c r="BG3470" s="6" t="s">
        <v>733</v>
      </c>
      <c r="BH3470" s="5" t="s">
        <v>734</v>
      </c>
      <c r="BI3470" s="5" t="s">
        <v>734</v>
      </c>
      <c r="BJ3470" s="5" t="s">
        <v>240</v>
      </c>
      <c r="BK3470" s="7">
        <f>1</f>
        <v>1</v>
      </c>
      <c r="BL3470" s="7">
        <f>1</f>
        <v>1</v>
      </c>
      <c r="BM3470" s="5" t="s">
        <v>258</v>
      </c>
      <c r="BN3470" s="5" t="s">
        <v>259</v>
      </c>
      <c r="BO3470" s="5" t="s">
        <v>240</v>
      </c>
      <c r="BP3470" s="5" t="s">
        <v>240</v>
      </c>
      <c r="BQ3470" s="5" t="s">
        <v>240</v>
      </c>
      <c r="BR3470" s="5" t="s">
        <v>240</v>
      </c>
      <c r="BS3470" s="5" t="s">
        <v>240</v>
      </c>
      <c r="BT3470" s="5" t="s">
        <v>240</v>
      </c>
      <c r="BU3470" s="5" t="s">
        <v>240</v>
      </c>
      <c r="BV3470" s="5" t="s">
        <v>240</v>
      </c>
      <c r="BW3470" s="6" t="s">
        <v>240</v>
      </c>
      <c r="BX3470" s="5" t="s">
        <v>240</v>
      </c>
      <c r="BY3470" s="5" t="s">
        <v>240</v>
      </c>
      <c r="BZ3470" s="5" t="s">
        <v>240</v>
      </c>
      <c r="CA3470" s="5" t="s">
        <v>259</v>
      </c>
      <c r="CB3470" s="5" t="s">
        <v>240</v>
      </c>
      <c r="CC3470" s="5" t="s">
        <v>240</v>
      </c>
      <c r="CD3470" s="5" t="s">
        <v>240</v>
      </c>
      <c r="CE3470" s="5" t="s">
        <v>240</v>
      </c>
      <c r="CF3470" s="5" t="s">
        <v>240</v>
      </c>
      <c r="CG3470" s="5" t="s">
        <v>304</v>
      </c>
      <c r="CH3470" s="5" t="s">
        <v>305</v>
      </c>
      <c r="CI3470" s="5" t="s">
        <v>260</v>
      </c>
      <c r="CK3470" s="5" t="s">
        <v>3681</v>
      </c>
      <c r="CL3470" s="6" t="s">
        <v>261</v>
      </c>
      <c r="CM3470" s="5" t="s">
        <v>262</v>
      </c>
      <c r="CN3470" s="5" t="s">
        <v>263</v>
      </c>
      <c r="CO3470" s="5" t="s">
        <v>264</v>
      </c>
      <c r="CP3470" s="5" t="s">
        <v>240</v>
      </c>
      <c r="CQ3470" s="5">
        <v>0</v>
      </c>
      <c r="CR3470" s="5" t="s">
        <v>735</v>
      </c>
      <c r="CS3470" s="5" t="s">
        <v>307</v>
      </c>
      <c r="CT3470" s="5" t="s">
        <v>307</v>
      </c>
      <c r="CU3470" s="5" t="s">
        <v>260</v>
      </c>
      <c r="CV3470" s="5" t="s">
        <v>612</v>
      </c>
      <c r="CW3470" s="8">
        <f>1</f>
        <v>1</v>
      </c>
      <c r="CX3470" s="7">
        <f>1</f>
        <v>1</v>
      </c>
      <c r="CY3470" s="7">
        <f>0</f>
        <v>0</v>
      </c>
      <c r="DA3470" s="7">
        <f>1</f>
        <v>1</v>
      </c>
      <c r="DB3470" s="7" t="s">
        <v>240</v>
      </c>
      <c r="DC3470" s="5" t="s">
        <v>240</v>
      </c>
      <c r="DD3470" s="5" t="s">
        <v>240</v>
      </c>
      <c r="DE3470" s="5" t="s">
        <v>240</v>
      </c>
      <c r="DF3470" s="5" t="s">
        <v>240</v>
      </c>
      <c r="DG3470" s="7">
        <f>0</f>
        <v>0</v>
      </c>
      <c r="DI3470" s="5" t="s">
        <v>240</v>
      </c>
      <c r="DJ3470" s="5" t="s">
        <v>240</v>
      </c>
      <c r="DK3470" s="5" t="s">
        <v>240</v>
      </c>
      <c r="DL3470" s="5" t="s">
        <v>240</v>
      </c>
      <c r="DM3470" s="5" t="s">
        <v>240</v>
      </c>
      <c r="DN3470" s="5" t="s">
        <v>240</v>
      </c>
      <c r="DO3470" s="7" t="s">
        <v>240</v>
      </c>
      <c r="DP3470" s="5" t="s">
        <v>240</v>
      </c>
      <c r="DQ3470" s="5" t="s">
        <v>248</v>
      </c>
      <c r="DR3470" s="5" t="s">
        <v>731</v>
      </c>
      <c r="DS3470" s="5" t="s">
        <v>731</v>
      </c>
      <c r="DT3470" s="5" t="s">
        <v>240</v>
      </c>
      <c r="DU3470" s="5" t="s">
        <v>240</v>
      </c>
      <c r="DV3470" s="5" t="s">
        <v>6047</v>
      </c>
      <c r="DW3470" s="5" t="s">
        <v>312</v>
      </c>
      <c r="DX3470" s="5" t="s">
        <v>240</v>
      </c>
      <c r="DY3470" s="5" t="s">
        <v>240</v>
      </c>
      <c r="DZ3470" s="5" t="s">
        <v>240</v>
      </c>
      <c r="EA3470" s="5" t="s">
        <v>240</v>
      </c>
      <c r="EB3470" s="5" t="s">
        <v>240</v>
      </c>
      <c r="EC3470" s="5" t="s">
        <v>240</v>
      </c>
      <c r="ED3470" s="5" t="s">
        <v>240</v>
      </c>
      <c r="EE3470" s="5" t="s">
        <v>240</v>
      </c>
      <c r="EF3470" s="5" t="s">
        <v>240</v>
      </c>
      <c r="EG3470" s="5" t="s">
        <v>240</v>
      </c>
      <c r="EH3470" s="5" t="s">
        <v>240</v>
      </c>
      <c r="EI3470" s="5" t="s">
        <v>240</v>
      </c>
      <c r="EJ3470" s="5" t="s">
        <v>240</v>
      </c>
      <c r="EK3470" s="5" t="s">
        <v>240</v>
      </c>
      <c r="EL3470" s="5" t="s">
        <v>240</v>
      </c>
      <c r="EM3470" s="5" t="s">
        <v>240</v>
      </c>
      <c r="EN3470" s="5" t="s">
        <v>240</v>
      </c>
      <c r="EO3470" s="5" t="s">
        <v>240</v>
      </c>
      <c r="EP3470" s="5" t="s">
        <v>240</v>
      </c>
      <c r="EQ3470" s="5" t="s">
        <v>240</v>
      </c>
      <c r="ER3470" s="5" t="s">
        <v>240</v>
      </c>
      <c r="ES3470" s="5" t="s">
        <v>240</v>
      </c>
      <c r="ET3470" s="5" t="s">
        <v>240</v>
      </c>
      <c r="EU3470" s="5" t="s">
        <v>240</v>
      </c>
      <c r="EV3470" s="5" t="s">
        <v>240</v>
      </c>
      <c r="EW3470" s="5" t="s">
        <v>240</v>
      </c>
      <c r="EX3470" s="5" t="s">
        <v>240</v>
      </c>
      <c r="EY3470" s="5" t="s">
        <v>240</v>
      </c>
      <c r="EZ3470" s="5" t="s">
        <v>240</v>
      </c>
      <c r="FA3470" s="5" t="s">
        <v>240</v>
      </c>
      <c r="FB3470" s="5" t="s">
        <v>240</v>
      </c>
      <c r="FC3470" s="5" t="s">
        <v>240</v>
      </c>
      <c r="FD3470" s="5" t="s">
        <v>240</v>
      </c>
      <c r="FE3470" s="5" t="s">
        <v>240</v>
      </c>
      <c r="FF3470" s="5" t="s">
        <v>240</v>
      </c>
      <c r="FG3470" s="5" t="s">
        <v>240</v>
      </c>
      <c r="FH3470" s="5" t="s">
        <v>240</v>
      </c>
      <c r="FI3470" s="5" t="s">
        <v>240</v>
      </c>
      <c r="FJ3470" s="5" t="s">
        <v>240</v>
      </c>
      <c r="FK3470" s="5" t="s">
        <v>240</v>
      </c>
      <c r="FL3470" s="5" t="s">
        <v>240</v>
      </c>
      <c r="FM3470" s="5" t="s">
        <v>240</v>
      </c>
      <c r="FN3470" s="5" t="s">
        <v>240</v>
      </c>
      <c r="FO3470" s="5" t="s">
        <v>240</v>
      </c>
      <c r="FP3470" s="5" t="s">
        <v>240</v>
      </c>
      <c r="FQ3470" s="5" t="s">
        <v>240</v>
      </c>
      <c r="FR3470" s="5" t="s">
        <v>240</v>
      </c>
      <c r="FS3470" s="5" t="s">
        <v>240</v>
      </c>
      <c r="FT3470" s="5" t="s">
        <v>240</v>
      </c>
      <c r="FU3470" s="5" t="s">
        <v>240</v>
      </c>
      <c r="FV3470" s="5" t="s">
        <v>240</v>
      </c>
      <c r="FW3470" s="5" t="s">
        <v>240</v>
      </c>
      <c r="FX3470" s="5" t="s">
        <v>240</v>
      </c>
      <c r="FY3470" s="5" t="s">
        <v>240</v>
      </c>
      <c r="FZ3470" s="5" t="s">
        <v>240</v>
      </c>
      <c r="GA3470" s="5" t="s">
        <v>240</v>
      </c>
      <c r="GB3470" s="5" t="s">
        <v>240</v>
      </c>
      <c r="GC3470" s="5" t="s">
        <v>240</v>
      </c>
      <c r="GD3470" s="5" t="s">
        <v>240</v>
      </c>
      <c r="GE3470" s="5" t="s">
        <v>240</v>
      </c>
      <c r="GF3470" s="5" t="s">
        <v>240</v>
      </c>
      <c r="GG3470" s="5" t="s">
        <v>240</v>
      </c>
      <c r="GH3470" s="5" t="s">
        <v>240</v>
      </c>
      <c r="GI3470" s="5" t="s">
        <v>240</v>
      </c>
      <c r="GJ3470" s="5" t="s">
        <v>240</v>
      </c>
      <c r="GK3470" s="5" t="s">
        <v>240</v>
      </c>
      <c r="GL3470" s="5" t="s">
        <v>240</v>
      </c>
      <c r="GM3470" s="5" t="s">
        <v>240</v>
      </c>
      <c r="GN3470" s="5" t="s">
        <v>240</v>
      </c>
      <c r="GO3470" s="5" t="s">
        <v>240</v>
      </c>
      <c r="GP3470" s="5" t="s">
        <v>240</v>
      </c>
      <c r="GQ3470" s="5" t="s">
        <v>240</v>
      </c>
      <c r="GR3470" s="5" t="s">
        <v>240</v>
      </c>
      <c r="GS3470" s="5" t="s">
        <v>240</v>
      </c>
      <c r="GT3470" s="5" t="s">
        <v>240</v>
      </c>
      <c r="GU3470" s="5" t="s">
        <v>240</v>
      </c>
      <c r="GV3470" s="5" t="s">
        <v>240</v>
      </c>
      <c r="GW3470" s="5" t="s">
        <v>240</v>
      </c>
      <c r="GX3470" s="5" t="s">
        <v>240</v>
      </c>
      <c r="GY3470" s="5" t="s">
        <v>240</v>
      </c>
      <c r="GZ3470" s="5" t="s">
        <v>240</v>
      </c>
      <c r="HA3470" s="5" t="s">
        <v>240</v>
      </c>
      <c r="HB3470" s="5" t="s">
        <v>240</v>
      </c>
      <c r="HC3470" s="5" t="s">
        <v>240</v>
      </c>
      <c r="HD3470" s="5" t="s">
        <v>240</v>
      </c>
      <c r="HE3470" s="5" t="s">
        <v>240</v>
      </c>
      <c r="HF3470" s="5" t="s">
        <v>240</v>
      </c>
      <c r="HG3470" s="5" t="s">
        <v>240</v>
      </c>
      <c r="HH3470" s="5" t="s">
        <v>240</v>
      </c>
      <c r="HI3470" s="5" t="s">
        <v>240</v>
      </c>
      <c r="HJ3470" s="5" t="s">
        <v>240</v>
      </c>
      <c r="HK3470" s="5" t="s">
        <v>240</v>
      </c>
      <c r="HL3470" s="5" t="s">
        <v>240</v>
      </c>
      <c r="HM3470" s="5" t="s">
        <v>240</v>
      </c>
      <c r="HN3470" s="5" t="s">
        <v>240</v>
      </c>
      <c r="HO3470" s="5" t="s">
        <v>240</v>
      </c>
      <c r="HP3470" s="5" t="s">
        <v>240</v>
      </c>
      <c r="HQ3470" s="5" t="s">
        <v>240</v>
      </c>
      <c r="HR3470" s="5" t="s">
        <v>240</v>
      </c>
      <c r="HS3470" s="5" t="s">
        <v>240</v>
      </c>
      <c r="HT3470" s="5" t="s">
        <v>240</v>
      </c>
      <c r="HU3470" s="5" t="s">
        <v>240</v>
      </c>
      <c r="HV3470" s="5" t="s">
        <v>240</v>
      </c>
      <c r="HW3470" s="5" t="s">
        <v>240</v>
      </c>
      <c r="HX3470" s="5" t="s">
        <v>240</v>
      </c>
      <c r="HY3470" s="5" t="s">
        <v>240</v>
      </c>
      <c r="HZ3470" s="5" t="s">
        <v>240</v>
      </c>
      <c r="IA3470" s="5" t="s">
        <v>240</v>
      </c>
      <c r="IB3470" s="5" t="s">
        <v>240</v>
      </c>
      <c r="IC3470" s="5" t="s">
        <v>240</v>
      </c>
      <c r="ID3470" s="5" t="s">
        <v>240</v>
      </c>
      <c r="IE3470" s="5" t="s">
        <v>240</v>
      </c>
      <c r="IF3470" s="5" t="s">
        <v>240</v>
      </c>
    </row>
    <row r="3471" spans="1:240" x14ac:dyDescent="0.4">
      <c r="A3471" s="5">
        <v>9013</v>
      </c>
      <c r="B3471" s="5">
        <v>1</v>
      </c>
      <c r="C3471" s="5">
        <v>1</v>
      </c>
      <c r="D3471" s="5" t="s">
        <v>723</v>
      </c>
      <c r="E3471" s="5" t="s">
        <v>5060</v>
      </c>
      <c r="F3471" s="5" t="s">
        <v>254</v>
      </c>
      <c r="G3471" s="5" t="s">
        <v>5061</v>
      </c>
      <c r="H3471" s="6" t="s">
        <v>6889</v>
      </c>
      <c r="I3471" s="5" t="s">
        <v>6888</v>
      </c>
      <c r="J3471" s="7">
        <f>1</f>
        <v>1</v>
      </c>
      <c r="K3471" s="5" t="s">
        <v>3682</v>
      </c>
      <c r="L3471" s="7">
        <f>1</f>
        <v>1</v>
      </c>
      <c r="M3471" s="7">
        <f>1</f>
        <v>1</v>
      </c>
      <c r="N3471" s="5" t="s">
        <v>242</v>
      </c>
      <c r="O3471" s="5">
        <v>1</v>
      </c>
      <c r="P3471" s="5" t="s">
        <v>294</v>
      </c>
      <c r="Q3471" s="5" t="s">
        <v>3678</v>
      </c>
      <c r="R3471" s="5" t="s">
        <v>240</v>
      </c>
      <c r="S3471" s="5" t="s">
        <v>240</v>
      </c>
      <c r="T3471" s="5" t="s">
        <v>243</v>
      </c>
      <c r="U3471" s="5" t="s">
        <v>244</v>
      </c>
      <c r="V3471" s="5" t="s">
        <v>240</v>
      </c>
      <c r="W3471" s="5" t="s">
        <v>240</v>
      </c>
      <c r="X3471" s="5" t="s">
        <v>240</v>
      </c>
      <c r="Y3471" s="5" t="s">
        <v>240</v>
      </c>
      <c r="Z3471" s="6" t="s">
        <v>298</v>
      </c>
      <c r="AA3471" s="6" t="s">
        <v>240</v>
      </c>
      <c r="AB3471" s="6" t="s">
        <v>240</v>
      </c>
      <c r="AC3471" s="5" t="s">
        <v>240</v>
      </c>
      <c r="AD3471" s="6" t="s">
        <v>240</v>
      </c>
      <c r="AE3471" s="6" t="s">
        <v>299</v>
      </c>
      <c r="AF3471" s="5" t="s">
        <v>248</v>
      </c>
      <c r="AG3471" s="5" t="s">
        <v>249</v>
      </c>
      <c r="AH3471" s="5" t="s">
        <v>240</v>
      </c>
      <c r="AI3471" s="5" t="s">
        <v>240</v>
      </c>
      <c r="AJ3471" s="5" t="s">
        <v>240</v>
      </c>
      <c r="AK3471" s="5" t="s">
        <v>240</v>
      </c>
      <c r="AL3471" s="5" t="s">
        <v>240</v>
      </c>
      <c r="AM3471" s="5" t="s">
        <v>240</v>
      </c>
      <c r="AN3471" s="5" t="s">
        <v>240</v>
      </c>
      <c r="AO3471" s="5" t="s">
        <v>240</v>
      </c>
      <c r="AP3471" s="6" t="s">
        <v>240</v>
      </c>
      <c r="AQ3471" s="6" t="s">
        <v>240</v>
      </c>
      <c r="AR3471" s="6" t="s">
        <v>240</v>
      </c>
      <c r="AS3471" s="6" t="s">
        <v>240</v>
      </c>
      <c r="AT3471" s="5" t="s">
        <v>240</v>
      </c>
      <c r="AU3471" s="5" t="s">
        <v>729</v>
      </c>
      <c r="AV3471" s="5" t="s">
        <v>729</v>
      </c>
      <c r="AW3471" s="5" t="s">
        <v>251</v>
      </c>
      <c r="AX3471" s="5" t="s">
        <v>252</v>
      </c>
      <c r="AY3471" s="5" t="s">
        <v>253</v>
      </c>
      <c r="AZ3471" s="5" t="s">
        <v>6046</v>
      </c>
      <c r="BA3471" s="5" t="s">
        <v>255</v>
      </c>
      <c r="BB3471" s="5" t="s">
        <v>731</v>
      </c>
      <c r="BD3471" s="5" t="s">
        <v>240</v>
      </c>
      <c r="BF3471" s="5" t="s">
        <v>732</v>
      </c>
      <c r="BG3471" s="6" t="s">
        <v>733</v>
      </c>
      <c r="BH3471" s="5" t="s">
        <v>734</v>
      </c>
      <c r="BI3471" s="5" t="s">
        <v>734</v>
      </c>
      <c r="BJ3471" s="5" t="s">
        <v>240</v>
      </c>
      <c r="BK3471" s="7">
        <f>1</f>
        <v>1</v>
      </c>
      <c r="BL3471" s="7">
        <f>1</f>
        <v>1</v>
      </c>
      <c r="BM3471" s="5" t="s">
        <v>258</v>
      </c>
      <c r="BN3471" s="5" t="s">
        <v>259</v>
      </c>
      <c r="BO3471" s="5" t="s">
        <v>240</v>
      </c>
      <c r="BP3471" s="5" t="s">
        <v>240</v>
      </c>
      <c r="BQ3471" s="5" t="s">
        <v>240</v>
      </c>
      <c r="BR3471" s="5" t="s">
        <v>240</v>
      </c>
      <c r="BS3471" s="5" t="s">
        <v>240</v>
      </c>
      <c r="BT3471" s="5" t="s">
        <v>240</v>
      </c>
      <c r="BU3471" s="5" t="s">
        <v>240</v>
      </c>
      <c r="BV3471" s="5" t="s">
        <v>240</v>
      </c>
      <c r="BW3471" s="6" t="s">
        <v>240</v>
      </c>
      <c r="BX3471" s="5" t="s">
        <v>240</v>
      </c>
      <c r="BY3471" s="5" t="s">
        <v>240</v>
      </c>
      <c r="BZ3471" s="5" t="s">
        <v>240</v>
      </c>
      <c r="CA3471" s="5" t="s">
        <v>259</v>
      </c>
      <c r="CB3471" s="5" t="s">
        <v>240</v>
      </c>
      <c r="CC3471" s="5" t="s">
        <v>240</v>
      </c>
      <c r="CD3471" s="5" t="s">
        <v>240</v>
      </c>
      <c r="CE3471" s="5" t="s">
        <v>240</v>
      </c>
      <c r="CF3471" s="5" t="s">
        <v>240</v>
      </c>
      <c r="CG3471" s="5" t="s">
        <v>304</v>
      </c>
      <c r="CH3471" s="5" t="s">
        <v>305</v>
      </c>
      <c r="CI3471" s="5" t="s">
        <v>260</v>
      </c>
      <c r="CK3471" s="5" t="s">
        <v>3681</v>
      </c>
      <c r="CL3471" s="6" t="s">
        <v>261</v>
      </c>
      <c r="CM3471" s="5" t="s">
        <v>262</v>
      </c>
      <c r="CN3471" s="5" t="s">
        <v>263</v>
      </c>
      <c r="CO3471" s="5" t="s">
        <v>264</v>
      </c>
      <c r="CP3471" s="5" t="s">
        <v>240</v>
      </c>
      <c r="CQ3471" s="5">
        <v>0</v>
      </c>
      <c r="CR3471" s="5" t="s">
        <v>735</v>
      </c>
      <c r="CS3471" s="5" t="s">
        <v>307</v>
      </c>
      <c r="CT3471" s="5" t="s">
        <v>307</v>
      </c>
      <c r="CU3471" s="5" t="s">
        <v>260</v>
      </c>
      <c r="CV3471" s="5" t="s">
        <v>612</v>
      </c>
      <c r="CW3471" s="8">
        <f>1</f>
        <v>1</v>
      </c>
      <c r="CX3471" s="7">
        <f>1</f>
        <v>1</v>
      </c>
      <c r="CY3471" s="7">
        <f>0</f>
        <v>0</v>
      </c>
      <c r="DA3471" s="7">
        <f>1</f>
        <v>1</v>
      </c>
      <c r="DB3471" s="7" t="s">
        <v>240</v>
      </c>
      <c r="DC3471" s="5" t="s">
        <v>240</v>
      </c>
      <c r="DD3471" s="5" t="s">
        <v>240</v>
      </c>
      <c r="DE3471" s="5" t="s">
        <v>240</v>
      </c>
      <c r="DF3471" s="5" t="s">
        <v>240</v>
      </c>
      <c r="DG3471" s="7">
        <f>0</f>
        <v>0</v>
      </c>
      <c r="DI3471" s="5" t="s">
        <v>240</v>
      </c>
      <c r="DJ3471" s="5" t="s">
        <v>240</v>
      </c>
      <c r="DK3471" s="5" t="s">
        <v>240</v>
      </c>
      <c r="DL3471" s="5" t="s">
        <v>240</v>
      </c>
      <c r="DM3471" s="5" t="s">
        <v>240</v>
      </c>
      <c r="DN3471" s="5" t="s">
        <v>240</v>
      </c>
      <c r="DO3471" s="7" t="s">
        <v>240</v>
      </c>
      <c r="DP3471" s="5" t="s">
        <v>240</v>
      </c>
      <c r="DQ3471" s="5" t="s">
        <v>248</v>
      </c>
      <c r="DR3471" s="5" t="s">
        <v>731</v>
      </c>
      <c r="DS3471" s="5" t="s">
        <v>731</v>
      </c>
      <c r="DT3471" s="5" t="s">
        <v>240</v>
      </c>
      <c r="DU3471" s="5" t="s">
        <v>240</v>
      </c>
      <c r="DV3471" s="5" t="s">
        <v>6047</v>
      </c>
      <c r="DW3471" s="5" t="s">
        <v>621</v>
      </c>
      <c r="DX3471" s="5" t="s">
        <v>240</v>
      </c>
      <c r="DY3471" s="5" t="s">
        <v>240</v>
      </c>
      <c r="DZ3471" s="5" t="s">
        <v>240</v>
      </c>
      <c r="EA3471" s="5" t="s">
        <v>240</v>
      </c>
      <c r="EB3471" s="5" t="s">
        <v>240</v>
      </c>
      <c r="EC3471" s="5" t="s">
        <v>240</v>
      </c>
      <c r="ED3471" s="5" t="s">
        <v>240</v>
      </c>
      <c r="EE3471" s="5" t="s">
        <v>240</v>
      </c>
      <c r="EF3471" s="5" t="s">
        <v>240</v>
      </c>
      <c r="EG3471" s="5" t="s">
        <v>240</v>
      </c>
      <c r="EH3471" s="5" t="s">
        <v>240</v>
      </c>
      <c r="EI3471" s="5" t="s">
        <v>240</v>
      </c>
      <c r="EJ3471" s="5" t="s">
        <v>240</v>
      </c>
      <c r="EK3471" s="5" t="s">
        <v>240</v>
      </c>
      <c r="EL3471" s="5" t="s">
        <v>240</v>
      </c>
      <c r="EM3471" s="5" t="s">
        <v>240</v>
      </c>
      <c r="EN3471" s="5" t="s">
        <v>240</v>
      </c>
      <c r="EO3471" s="5" t="s">
        <v>240</v>
      </c>
      <c r="EP3471" s="5" t="s">
        <v>240</v>
      </c>
      <c r="EQ3471" s="5" t="s">
        <v>240</v>
      </c>
      <c r="ER3471" s="5" t="s">
        <v>240</v>
      </c>
      <c r="ES3471" s="5" t="s">
        <v>240</v>
      </c>
      <c r="ET3471" s="5" t="s">
        <v>240</v>
      </c>
      <c r="EU3471" s="5" t="s">
        <v>240</v>
      </c>
      <c r="EV3471" s="5" t="s">
        <v>240</v>
      </c>
      <c r="EW3471" s="5" t="s">
        <v>240</v>
      </c>
      <c r="EX3471" s="5" t="s">
        <v>240</v>
      </c>
      <c r="EY3471" s="5" t="s">
        <v>240</v>
      </c>
      <c r="EZ3471" s="5" t="s">
        <v>240</v>
      </c>
      <c r="FA3471" s="5" t="s">
        <v>240</v>
      </c>
      <c r="FB3471" s="5" t="s">
        <v>240</v>
      </c>
      <c r="FC3471" s="5" t="s">
        <v>240</v>
      </c>
      <c r="FD3471" s="5" t="s">
        <v>240</v>
      </c>
      <c r="FE3471" s="5" t="s">
        <v>240</v>
      </c>
      <c r="FF3471" s="5" t="s">
        <v>240</v>
      </c>
      <c r="FG3471" s="5" t="s">
        <v>240</v>
      </c>
      <c r="FH3471" s="5" t="s">
        <v>240</v>
      </c>
      <c r="FI3471" s="5" t="s">
        <v>240</v>
      </c>
      <c r="FJ3471" s="5" t="s">
        <v>240</v>
      </c>
      <c r="FK3471" s="5" t="s">
        <v>240</v>
      </c>
      <c r="FL3471" s="5" t="s">
        <v>240</v>
      </c>
      <c r="FM3471" s="5" t="s">
        <v>240</v>
      </c>
      <c r="FN3471" s="5" t="s">
        <v>240</v>
      </c>
      <c r="FO3471" s="5" t="s">
        <v>240</v>
      </c>
      <c r="FP3471" s="5" t="s">
        <v>240</v>
      </c>
      <c r="FQ3471" s="5" t="s">
        <v>240</v>
      </c>
      <c r="FR3471" s="5" t="s">
        <v>240</v>
      </c>
      <c r="FS3471" s="5" t="s">
        <v>240</v>
      </c>
      <c r="FT3471" s="5" t="s">
        <v>240</v>
      </c>
      <c r="FU3471" s="5" t="s">
        <v>240</v>
      </c>
      <c r="FV3471" s="5" t="s">
        <v>240</v>
      </c>
      <c r="FW3471" s="5" t="s">
        <v>240</v>
      </c>
      <c r="FX3471" s="5" t="s">
        <v>240</v>
      </c>
      <c r="FY3471" s="5" t="s">
        <v>240</v>
      </c>
      <c r="FZ3471" s="5" t="s">
        <v>240</v>
      </c>
      <c r="GA3471" s="5" t="s">
        <v>240</v>
      </c>
      <c r="GB3471" s="5" t="s">
        <v>240</v>
      </c>
      <c r="GC3471" s="5" t="s">
        <v>240</v>
      </c>
      <c r="GD3471" s="5" t="s">
        <v>240</v>
      </c>
      <c r="GE3471" s="5" t="s">
        <v>240</v>
      </c>
      <c r="GF3471" s="5" t="s">
        <v>240</v>
      </c>
      <c r="GG3471" s="5" t="s">
        <v>240</v>
      </c>
      <c r="GH3471" s="5" t="s">
        <v>240</v>
      </c>
      <c r="GI3471" s="5" t="s">
        <v>240</v>
      </c>
      <c r="GJ3471" s="5" t="s">
        <v>240</v>
      </c>
      <c r="GK3471" s="5" t="s">
        <v>240</v>
      </c>
      <c r="GL3471" s="5" t="s">
        <v>240</v>
      </c>
      <c r="GM3471" s="5" t="s">
        <v>240</v>
      </c>
      <c r="GN3471" s="5" t="s">
        <v>240</v>
      </c>
      <c r="GO3471" s="5" t="s">
        <v>240</v>
      </c>
      <c r="GP3471" s="5" t="s">
        <v>240</v>
      </c>
      <c r="GQ3471" s="5" t="s">
        <v>240</v>
      </c>
      <c r="GR3471" s="5" t="s">
        <v>240</v>
      </c>
      <c r="GS3471" s="5" t="s">
        <v>240</v>
      </c>
      <c r="GT3471" s="5" t="s">
        <v>240</v>
      </c>
      <c r="GU3471" s="5" t="s">
        <v>240</v>
      </c>
      <c r="GV3471" s="5" t="s">
        <v>240</v>
      </c>
      <c r="GW3471" s="5" t="s">
        <v>240</v>
      </c>
      <c r="GX3471" s="5" t="s">
        <v>240</v>
      </c>
      <c r="GY3471" s="5" t="s">
        <v>240</v>
      </c>
      <c r="GZ3471" s="5" t="s">
        <v>240</v>
      </c>
      <c r="HA3471" s="5" t="s">
        <v>240</v>
      </c>
      <c r="HB3471" s="5" t="s">
        <v>240</v>
      </c>
      <c r="HC3471" s="5" t="s">
        <v>240</v>
      </c>
      <c r="HD3471" s="5" t="s">
        <v>240</v>
      </c>
      <c r="HE3471" s="5" t="s">
        <v>240</v>
      </c>
      <c r="HF3471" s="5" t="s">
        <v>240</v>
      </c>
      <c r="HG3471" s="5" t="s">
        <v>240</v>
      </c>
      <c r="HH3471" s="5" t="s">
        <v>240</v>
      </c>
      <c r="HI3471" s="5" t="s">
        <v>240</v>
      </c>
      <c r="HJ3471" s="5" t="s">
        <v>240</v>
      </c>
      <c r="HK3471" s="5" t="s">
        <v>240</v>
      </c>
      <c r="HL3471" s="5" t="s">
        <v>240</v>
      </c>
      <c r="HM3471" s="5" t="s">
        <v>240</v>
      </c>
      <c r="HN3471" s="5" t="s">
        <v>240</v>
      </c>
      <c r="HO3471" s="5" t="s">
        <v>240</v>
      </c>
      <c r="HP3471" s="5" t="s">
        <v>240</v>
      </c>
      <c r="HQ3471" s="5" t="s">
        <v>240</v>
      </c>
      <c r="HR3471" s="5" t="s">
        <v>240</v>
      </c>
      <c r="HS3471" s="5" t="s">
        <v>240</v>
      </c>
      <c r="HT3471" s="5" t="s">
        <v>240</v>
      </c>
      <c r="HU3471" s="5" t="s">
        <v>240</v>
      </c>
      <c r="HV3471" s="5" t="s">
        <v>240</v>
      </c>
      <c r="HW3471" s="5" t="s">
        <v>240</v>
      </c>
      <c r="HX3471" s="5" t="s">
        <v>240</v>
      </c>
      <c r="HY3471" s="5" t="s">
        <v>240</v>
      </c>
      <c r="HZ3471" s="5" t="s">
        <v>240</v>
      </c>
      <c r="IA3471" s="5" t="s">
        <v>240</v>
      </c>
      <c r="IB3471" s="5" t="s">
        <v>240</v>
      </c>
      <c r="IC3471" s="5" t="s">
        <v>240</v>
      </c>
      <c r="ID3471" s="5" t="s">
        <v>240</v>
      </c>
      <c r="IE3471" s="5" t="s">
        <v>240</v>
      </c>
      <c r="IF3471" s="5" t="s">
        <v>240</v>
      </c>
    </row>
    <row r="3472" spans="1:240" x14ac:dyDescent="0.4">
      <c r="A3472" s="5">
        <v>9014</v>
      </c>
      <c r="B3472" s="5">
        <v>1</v>
      </c>
      <c r="C3472" s="5">
        <v>1</v>
      </c>
      <c r="D3472" s="5" t="s">
        <v>723</v>
      </c>
      <c r="E3472" s="5" t="s">
        <v>5060</v>
      </c>
      <c r="F3472" s="5" t="s">
        <v>254</v>
      </c>
      <c r="G3472" s="5" t="s">
        <v>5061</v>
      </c>
      <c r="H3472" s="6" t="s">
        <v>6758</v>
      </c>
      <c r="I3472" s="5" t="s">
        <v>6757</v>
      </c>
      <c r="J3472" s="7">
        <f>1</f>
        <v>1</v>
      </c>
      <c r="K3472" s="5" t="s">
        <v>3682</v>
      </c>
      <c r="L3472" s="7">
        <f>1</f>
        <v>1</v>
      </c>
      <c r="M3472" s="7">
        <f>1</f>
        <v>1</v>
      </c>
      <c r="N3472" s="5" t="s">
        <v>242</v>
      </c>
      <c r="O3472" s="5">
        <v>1</v>
      </c>
      <c r="P3472" s="5" t="s">
        <v>294</v>
      </c>
      <c r="Q3472" s="5" t="s">
        <v>266</v>
      </c>
      <c r="R3472" s="5" t="s">
        <v>240</v>
      </c>
      <c r="S3472" s="5" t="s">
        <v>240</v>
      </c>
      <c r="T3472" s="5" t="s">
        <v>243</v>
      </c>
      <c r="U3472" s="5" t="s">
        <v>244</v>
      </c>
      <c r="V3472" s="5" t="s">
        <v>240</v>
      </c>
      <c r="Y3472" s="5" t="s">
        <v>240</v>
      </c>
      <c r="Z3472" s="6" t="s">
        <v>3903</v>
      </c>
      <c r="AB3472" s="6" t="s">
        <v>240</v>
      </c>
      <c r="AE3472" s="6" t="s">
        <v>299</v>
      </c>
      <c r="AF3472" s="5" t="s">
        <v>248</v>
      </c>
      <c r="AG3472" s="5" t="s">
        <v>249</v>
      </c>
      <c r="AW3472" s="5" t="s">
        <v>251</v>
      </c>
      <c r="AX3472" s="5" t="s">
        <v>240</v>
      </c>
      <c r="AY3472" s="5" t="s">
        <v>253</v>
      </c>
      <c r="AZ3472" s="5" t="s">
        <v>240</v>
      </c>
      <c r="BA3472" s="5" t="s">
        <v>255</v>
      </c>
      <c r="BB3472" s="5" t="s">
        <v>240</v>
      </c>
      <c r="BD3472" s="5" t="s">
        <v>240</v>
      </c>
      <c r="BF3472" s="5" t="s">
        <v>301</v>
      </c>
      <c r="BG3472" s="6" t="s">
        <v>3903</v>
      </c>
      <c r="BH3472" s="5" t="s">
        <v>302</v>
      </c>
      <c r="BI3472" s="5" t="s">
        <v>448</v>
      </c>
      <c r="BJ3472" s="5" t="s">
        <v>240</v>
      </c>
      <c r="BK3472" s="8">
        <f>0</f>
        <v>0</v>
      </c>
      <c r="BL3472" s="7">
        <f>0</f>
        <v>0</v>
      </c>
      <c r="BM3472" s="5" t="s">
        <v>258</v>
      </c>
      <c r="BN3472" s="5" t="s">
        <v>259</v>
      </c>
      <c r="CB3472" s="5" t="s">
        <v>240</v>
      </c>
      <c r="CC3472" s="5" t="s">
        <v>240</v>
      </c>
      <c r="CG3472" s="5" t="s">
        <v>449</v>
      </c>
      <c r="CH3472" s="5" t="s">
        <v>305</v>
      </c>
      <c r="CI3472" s="5" t="s">
        <v>240</v>
      </c>
      <c r="CL3472" s="6" t="s">
        <v>261</v>
      </c>
      <c r="CM3472" s="5" t="s">
        <v>240</v>
      </c>
      <c r="CN3472" s="5" t="s">
        <v>263</v>
      </c>
      <c r="CO3472" s="5" t="s">
        <v>240</v>
      </c>
      <c r="CP3472" s="5" t="s">
        <v>240</v>
      </c>
      <c r="CQ3472" s="5">
        <v>0</v>
      </c>
      <c r="CR3472" s="5" t="s">
        <v>306</v>
      </c>
      <c r="CS3472" s="5" t="s">
        <v>307</v>
      </c>
      <c r="CT3472" s="5" t="s">
        <v>307</v>
      </c>
      <c r="CU3472" s="5" t="s">
        <v>260</v>
      </c>
      <c r="CX3472" s="7">
        <f>4925510</f>
        <v>4925510</v>
      </c>
      <c r="CY3472" s="7">
        <f>0</f>
        <v>0</v>
      </c>
      <c r="DA3472" s="7">
        <f>0</f>
        <v>0</v>
      </c>
      <c r="DC3472" s="5" t="s">
        <v>450</v>
      </c>
      <c r="DD3472" s="5" t="s">
        <v>240</v>
      </c>
      <c r="DF3472" s="5" t="s">
        <v>450</v>
      </c>
      <c r="DG3472" s="7">
        <f>503.93</f>
        <v>503.93</v>
      </c>
      <c r="DI3472" s="5" t="s">
        <v>240</v>
      </c>
      <c r="DJ3472" s="5" t="s">
        <v>240</v>
      </c>
      <c r="DK3472" s="5" t="s">
        <v>240</v>
      </c>
      <c r="DL3472" s="5" t="s">
        <v>240</v>
      </c>
      <c r="DP3472" s="5" t="s">
        <v>240</v>
      </c>
      <c r="DQ3472" s="5" t="s">
        <v>240</v>
      </c>
      <c r="DR3472" s="5" t="s">
        <v>240</v>
      </c>
      <c r="DS3472" s="5" t="s">
        <v>240</v>
      </c>
      <c r="DV3472" s="5" t="s">
        <v>310</v>
      </c>
      <c r="DW3472" s="5" t="s">
        <v>2578</v>
      </c>
      <c r="HO3472" s="5" t="s">
        <v>312</v>
      </c>
    </row>
    <row r="3473" spans="1:240" x14ac:dyDescent="0.4">
      <c r="A3473" s="5">
        <v>9015</v>
      </c>
      <c r="B3473" s="5">
        <v>1</v>
      </c>
      <c r="C3473" s="5">
        <v>1</v>
      </c>
      <c r="D3473" s="5" t="s">
        <v>723</v>
      </c>
      <c r="E3473" s="5" t="s">
        <v>5060</v>
      </c>
      <c r="F3473" s="5" t="s">
        <v>254</v>
      </c>
      <c r="G3473" s="5" t="s">
        <v>5061</v>
      </c>
      <c r="H3473" s="6" t="s">
        <v>6815</v>
      </c>
      <c r="I3473" s="5" t="s">
        <v>6814</v>
      </c>
      <c r="J3473" s="7">
        <f>1</f>
        <v>1</v>
      </c>
      <c r="K3473" s="5" t="s">
        <v>3682</v>
      </c>
      <c r="L3473" s="7">
        <f>1</f>
        <v>1</v>
      </c>
      <c r="M3473" s="7">
        <f>1</f>
        <v>1</v>
      </c>
      <c r="N3473" s="5" t="s">
        <v>242</v>
      </c>
      <c r="O3473" s="5">
        <v>1</v>
      </c>
      <c r="P3473" s="5" t="s">
        <v>294</v>
      </c>
      <c r="Q3473" s="5" t="s">
        <v>266</v>
      </c>
      <c r="R3473" s="5" t="s">
        <v>240</v>
      </c>
      <c r="S3473" s="5" t="s">
        <v>240</v>
      </c>
      <c r="T3473" s="5" t="s">
        <v>243</v>
      </c>
      <c r="U3473" s="5" t="s">
        <v>244</v>
      </c>
      <c r="V3473" s="5" t="s">
        <v>240</v>
      </c>
      <c r="Y3473" s="5" t="s">
        <v>240</v>
      </c>
      <c r="Z3473" s="6" t="s">
        <v>6170</v>
      </c>
      <c r="AB3473" s="6" t="s">
        <v>240</v>
      </c>
      <c r="AE3473" s="6" t="s">
        <v>299</v>
      </c>
      <c r="AF3473" s="5" t="s">
        <v>248</v>
      </c>
      <c r="AG3473" s="5" t="s">
        <v>249</v>
      </c>
      <c r="AW3473" s="5" t="s">
        <v>251</v>
      </c>
      <c r="AX3473" s="5" t="s">
        <v>240</v>
      </c>
      <c r="AY3473" s="5" t="s">
        <v>253</v>
      </c>
      <c r="AZ3473" s="5" t="s">
        <v>240</v>
      </c>
      <c r="BA3473" s="5" t="s">
        <v>255</v>
      </c>
      <c r="BB3473" s="5" t="s">
        <v>240</v>
      </c>
      <c r="BD3473" s="5" t="s">
        <v>240</v>
      </c>
      <c r="BF3473" s="5" t="s">
        <v>301</v>
      </c>
      <c r="BG3473" s="6" t="s">
        <v>6170</v>
      </c>
      <c r="BH3473" s="5" t="s">
        <v>302</v>
      </c>
      <c r="BI3473" s="5" t="s">
        <v>448</v>
      </c>
      <c r="BJ3473" s="5" t="s">
        <v>240</v>
      </c>
      <c r="BK3473" s="8">
        <f>0</f>
        <v>0</v>
      </c>
      <c r="BL3473" s="7">
        <f>0</f>
        <v>0</v>
      </c>
      <c r="BM3473" s="5" t="s">
        <v>258</v>
      </c>
      <c r="BN3473" s="5" t="s">
        <v>259</v>
      </c>
      <c r="CB3473" s="5" t="s">
        <v>240</v>
      </c>
      <c r="CC3473" s="5" t="s">
        <v>240</v>
      </c>
      <c r="CG3473" s="5" t="s">
        <v>449</v>
      </c>
      <c r="CH3473" s="5" t="s">
        <v>305</v>
      </c>
      <c r="CI3473" s="5" t="s">
        <v>240</v>
      </c>
      <c r="CL3473" s="6" t="s">
        <v>261</v>
      </c>
      <c r="CM3473" s="5" t="s">
        <v>240</v>
      </c>
      <c r="CN3473" s="5" t="s">
        <v>263</v>
      </c>
      <c r="CO3473" s="5" t="s">
        <v>240</v>
      </c>
      <c r="CP3473" s="5" t="s">
        <v>240</v>
      </c>
      <c r="CQ3473" s="5">
        <v>0</v>
      </c>
      <c r="CR3473" s="5" t="s">
        <v>306</v>
      </c>
      <c r="CS3473" s="5" t="s">
        <v>307</v>
      </c>
      <c r="CT3473" s="5" t="s">
        <v>307</v>
      </c>
      <c r="CU3473" s="5" t="s">
        <v>260</v>
      </c>
      <c r="CX3473" s="7">
        <f>11246035</f>
        <v>11246035</v>
      </c>
      <c r="CY3473" s="7">
        <f>0</f>
        <v>0</v>
      </c>
      <c r="DA3473" s="7">
        <f>0</f>
        <v>0</v>
      </c>
      <c r="DC3473" s="5" t="s">
        <v>450</v>
      </c>
      <c r="DD3473" s="5" t="s">
        <v>240</v>
      </c>
      <c r="DF3473" s="5" t="s">
        <v>450</v>
      </c>
      <c r="DG3473" s="7">
        <f>52.01</f>
        <v>52.01</v>
      </c>
      <c r="DI3473" s="5" t="s">
        <v>240</v>
      </c>
      <c r="DJ3473" s="5" t="s">
        <v>240</v>
      </c>
      <c r="DK3473" s="5" t="s">
        <v>240</v>
      </c>
      <c r="DL3473" s="5" t="s">
        <v>240</v>
      </c>
      <c r="DP3473" s="5" t="s">
        <v>240</v>
      </c>
      <c r="DQ3473" s="5" t="s">
        <v>240</v>
      </c>
      <c r="DR3473" s="5" t="s">
        <v>240</v>
      </c>
      <c r="DS3473" s="5" t="s">
        <v>240</v>
      </c>
      <c r="DV3473" s="5" t="s">
        <v>310</v>
      </c>
      <c r="DW3473" s="5" t="s">
        <v>2576</v>
      </c>
      <c r="HO3473" s="5" t="s">
        <v>312</v>
      </c>
    </row>
    <row r="3474" spans="1:240" x14ac:dyDescent="0.4">
      <c r="A3474" s="5">
        <v>9016</v>
      </c>
      <c r="B3474" s="5">
        <v>1</v>
      </c>
      <c r="C3474" s="5">
        <v>1</v>
      </c>
      <c r="D3474" s="5" t="s">
        <v>723</v>
      </c>
      <c r="E3474" s="5" t="s">
        <v>5060</v>
      </c>
      <c r="F3474" s="5" t="s">
        <v>254</v>
      </c>
      <c r="G3474" s="5" t="s">
        <v>5061</v>
      </c>
      <c r="H3474" s="6" t="s">
        <v>5160</v>
      </c>
      <c r="I3474" s="5" t="s">
        <v>5159</v>
      </c>
      <c r="J3474" s="7">
        <f>1</f>
        <v>1</v>
      </c>
      <c r="K3474" s="5" t="s">
        <v>3682</v>
      </c>
      <c r="L3474" s="7">
        <f>1</f>
        <v>1</v>
      </c>
      <c r="M3474" s="7">
        <f>1</f>
        <v>1</v>
      </c>
      <c r="N3474" s="5" t="s">
        <v>242</v>
      </c>
      <c r="O3474" s="5">
        <v>1</v>
      </c>
      <c r="P3474" s="5" t="s">
        <v>294</v>
      </c>
      <c r="Q3474" s="5" t="s">
        <v>266</v>
      </c>
      <c r="R3474" s="5" t="s">
        <v>240</v>
      </c>
      <c r="S3474" s="5" t="s">
        <v>240</v>
      </c>
      <c r="T3474" s="5" t="s">
        <v>243</v>
      </c>
      <c r="U3474" s="5" t="s">
        <v>240</v>
      </c>
      <c r="V3474" s="5" t="s">
        <v>240</v>
      </c>
      <c r="Y3474" s="5" t="s">
        <v>240</v>
      </c>
      <c r="Z3474" s="6" t="s">
        <v>6173</v>
      </c>
      <c r="AB3474" s="6" t="s">
        <v>240</v>
      </c>
      <c r="AE3474" s="6" t="s">
        <v>275</v>
      </c>
      <c r="AF3474" s="5" t="s">
        <v>248</v>
      </c>
      <c r="AG3474" s="5" t="s">
        <v>249</v>
      </c>
      <c r="AW3474" s="5" t="s">
        <v>251</v>
      </c>
      <c r="AX3474" s="5" t="s">
        <v>240</v>
      </c>
      <c r="AY3474" s="5" t="s">
        <v>253</v>
      </c>
      <c r="AZ3474" s="5" t="s">
        <v>240</v>
      </c>
      <c r="BA3474" s="5" t="s">
        <v>255</v>
      </c>
      <c r="BB3474" s="5" t="s">
        <v>240</v>
      </c>
      <c r="BD3474" s="5" t="s">
        <v>240</v>
      </c>
      <c r="BF3474" s="5" t="s">
        <v>687</v>
      </c>
      <c r="BG3474" s="6" t="s">
        <v>6173</v>
      </c>
      <c r="BH3474" s="5" t="s">
        <v>302</v>
      </c>
      <c r="BI3474" s="5" t="s">
        <v>448</v>
      </c>
      <c r="BJ3474" s="5" t="s">
        <v>240</v>
      </c>
      <c r="BK3474" s="8">
        <f>0</f>
        <v>0</v>
      </c>
      <c r="BL3474" s="7">
        <f>0</f>
        <v>0</v>
      </c>
      <c r="BM3474" s="5" t="s">
        <v>258</v>
      </c>
      <c r="BN3474" s="5" t="s">
        <v>259</v>
      </c>
      <c r="CB3474" s="5" t="s">
        <v>240</v>
      </c>
      <c r="CC3474" s="5" t="s">
        <v>240</v>
      </c>
      <c r="CG3474" s="5" t="s">
        <v>449</v>
      </c>
      <c r="CH3474" s="5" t="s">
        <v>305</v>
      </c>
      <c r="CI3474" s="5" t="s">
        <v>240</v>
      </c>
      <c r="CL3474" s="6" t="s">
        <v>261</v>
      </c>
      <c r="CM3474" s="5" t="s">
        <v>240</v>
      </c>
      <c r="CN3474" s="5" t="s">
        <v>263</v>
      </c>
      <c r="CO3474" s="5" t="s">
        <v>240</v>
      </c>
      <c r="CP3474" s="5" t="s">
        <v>240</v>
      </c>
      <c r="CQ3474" s="5">
        <v>0</v>
      </c>
      <c r="CR3474" s="5" t="s">
        <v>306</v>
      </c>
      <c r="CS3474" s="5" t="s">
        <v>307</v>
      </c>
      <c r="CT3474" s="5" t="s">
        <v>307</v>
      </c>
      <c r="CU3474" s="5" t="s">
        <v>260</v>
      </c>
      <c r="CX3474" s="7">
        <f>361200</f>
        <v>361200</v>
      </c>
      <c r="CY3474" s="7">
        <f>0</f>
        <v>0</v>
      </c>
      <c r="DA3474" s="7">
        <f>0</f>
        <v>0</v>
      </c>
      <c r="DC3474" s="5" t="s">
        <v>450</v>
      </c>
      <c r="DD3474" s="5" t="s">
        <v>240</v>
      </c>
      <c r="DF3474" s="5" t="s">
        <v>450</v>
      </c>
      <c r="DG3474" s="7">
        <f>301</f>
        <v>301</v>
      </c>
      <c r="DI3474" s="5" t="s">
        <v>240</v>
      </c>
      <c r="DJ3474" s="5" t="s">
        <v>240</v>
      </c>
      <c r="DK3474" s="5" t="s">
        <v>240</v>
      </c>
      <c r="DL3474" s="5" t="s">
        <v>240</v>
      </c>
      <c r="DP3474" s="5" t="s">
        <v>240</v>
      </c>
      <c r="DQ3474" s="5" t="s">
        <v>240</v>
      </c>
      <c r="DR3474" s="5" t="s">
        <v>240</v>
      </c>
      <c r="DS3474" s="5" t="s">
        <v>240</v>
      </c>
      <c r="DV3474" s="5" t="s">
        <v>310</v>
      </c>
      <c r="DW3474" s="5" t="s">
        <v>2373</v>
      </c>
      <c r="HO3474" s="5" t="s">
        <v>312</v>
      </c>
    </row>
    <row r="3475" spans="1:240" x14ac:dyDescent="0.4">
      <c r="A3475" s="5">
        <v>9017</v>
      </c>
      <c r="B3475" s="5">
        <v>1</v>
      </c>
      <c r="C3475" s="5">
        <v>1</v>
      </c>
      <c r="D3475" s="5" t="s">
        <v>723</v>
      </c>
      <c r="E3475" s="5" t="s">
        <v>5060</v>
      </c>
      <c r="F3475" s="5" t="s">
        <v>254</v>
      </c>
      <c r="G3475" s="5" t="s">
        <v>5061</v>
      </c>
      <c r="H3475" s="6" t="s">
        <v>5168</v>
      </c>
      <c r="I3475" s="5" t="s">
        <v>5167</v>
      </c>
      <c r="J3475" s="7">
        <f>1</f>
        <v>1</v>
      </c>
      <c r="K3475" s="5" t="s">
        <v>3682</v>
      </c>
      <c r="L3475" s="7">
        <f>1</f>
        <v>1</v>
      </c>
      <c r="M3475" s="7">
        <f>1</f>
        <v>1</v>
      </c>
      <c r="N3475" s="5" t="s">
        <v>242</v>
      </c>
      <c r="O3475" s="5">
        <v>1</v>
      </c>
      <c r="P3475" s="5" t="s">
        <v>294</v>
      </c>
      <c r="Q3475" s="5" t="s">
        <v>3678</v>
      </c>
      <c r="R3475" s="5" t="s">
        <v>240</v>
      </c>
      <c r="S3475" s="5" t="s">
        <v>240</v>
      </c>
      <c r="T3475" s="5" t="s">
        <v>243</v>
      </c>
      <c r="U3475" s="5" t="s">
        <v>244</v>
      </c>
      <c r="V3475" s="5" t="s">
        <v>240</v>
      </c>
      <c r="W3475" s="5" t="s">
        <v>240</v>
      </c>
      <c r="X3475" s="5" t="s">
        <v>240</v>
      </c>
      <c r="Y3475" s="5" t="s">
        <v>240</v>
      </c>
      <c r="Z3475" s="6" t="s">
        <v>298</v>
      </c>
      <c r="AA3475" s="6" t="s">
        <v>240</v>
      </c>
      <c r="AB3475" s="6" t="s">
        <v>240</v>
      </c>
      <c r="AC3475" s="5" t="s">
        <v>240</v>
      </c>
      <c r="AD3475" s="6" t="s">
        <v>240</v>
      </c>
      <c r="AE3475" s="6" t="s">
        <v>299</v>
      </c>
      <c r="AF3475" s="5" t="s">
        <v>248</v>
      </c>
      <c r="AG3475" s="5" t="s">
        <v>249</v>
      </c>
      <c r="AH3475" s="5" t="s">
        <v>240</v>
      </c>
      <c r="AI3475" s="5" t="s">
        <v>240</v>
      </c>
      <c r="AJ3475" s="5" t="s">
        <v>240</v>
      </c>
      <c r="AK3475" s="5" t="s">
        <v>240</v>
      </c>
      <c r="AL3475" s="5" t="s">
        <v>240</v>
      </c>
      <c r="AM3475" s="5" t="s">
        <v>240</v>
      </c>
      <c r="AN3475" s="5" t="s">
        <v>240</v>
      </c>
      <c r="AO3475" s="5" t="s">
        <v>240</v>
      </c>
      <c r="AP3475" s="6" t="s">
        <v>240</v>
      </c>
      <c r="AQ3475" s="6" t="s">
        <v>240</v>
      </c>
      <c r="AR3475" s="6" t="s">
        <v>240</v>
      </c>
      <c r="AS3475" s="6" t="s">
        <v>240</v>
      </c>
      <c r="AT3475" s="5" t="s">
        <v>240</v>
      </c>
      <c r="AU3475" s="5" t="s">
        <v>729</v>
      </c>
      <c r="AV3475" s="5" t="s">
        <v>729</v>
      </c>
      <c r="AW3475" s="5" t="s">
        <v>251</v>
      </c>
      <c r="AX3475" s="5" t="s">
        <v>252</v>
      </c>
      <c r="AY3475" s="5" t="s">
        <v>253</v>
      </c>
      <c r="AZ3475" s="5" t="s">
        <v>6046</v>
      </c>
      <c r="BA3475" s="5" t="s">
        <v>255</v>
      </c>
      <c r="BB3475" s="5" t="s">
        <v>731</v>
      </c>
      <c r="BD3475" s="5" t="s">
        <v>240</v>
      </c>
      <c r="BF3475" s="5" t="s">
        <v>732</v>
      </c>
      <c r="BG3475" s="6" t="s">
        <v>733</v>
      </c>
      <c r="BH3475" s="5" t="s">
        <v>734</v>
      </c>
      <c r="BI3475" s="5" t="s">
        <v>734</v>
      </c>
      <c r="BJ3475" s="5" t="s">
        <v>240</v>
      </c>
      <c r="BK3475" s="7">
        <f>1</f>
        <v>1</v>
      </c>
      <c r="BL3475" s="7">
        <f>1</f>
        <v>1</v>
      </c>
      <c r="BM3475" s="5" t="s">
        <v>258</v>
      </c>
      <c r="BN3475" s="5" t="s">
        <v>259</v>
      </c>
      <c r="BO3475" s="5" t="s">
        <v>240</v>
      </c>
      <c r="BP3475" s="5" t="s">
        <v>240</v>
      </c>
      <c r="BQ3475" s="5" t="s">
        <v>240</v>
      </c>
      <c r="BR3475" s="5" t="s">
        <v>240</v>
      </c>
      <c r="BS3475" s="5" t="s">
        <v>240</v>
      </c>
      <c r="BT3475" s="5" t="s">
        <v>240</v>
      </c>
      <c r="BU3475" s="5" t="s">
        <v>240</v>
      </c>
      <c r="BV3475" s="5" t="s">
        <v>240</v>
      </c>
      <c r="BW3475" s="6" t="s">
        <v>240</v>
      </c>
      <c r="BX3475" s="5" t="s">
        <v>240</v>
      </c>
      <c r="BY3475" s="5" t="s">
        <v>240</v>
      </c>
      <c r="BZ3475" s="5" t="s">
        <v>240</v>
      </c>
      <c r="CA3475" s="5" t="s">
        <v>259</v>
      </c>
      <c r="CB3475" s="5" t="s">
        <v>240</v>
      </c>
      <c r="CC3475" s="5" t="s">
        <v>240</v>
      </c>
      <c r="CD3475" s="5" t="s">
        <v>240</v>
      </c>
      <c r="CE3475" s="5" t="s">
        <v>240</v>
      </c>
      <c r="CF3475" s="5" t="s">
        <v>240</v>
      </c>
      <c r="CG3475" s="5" t="s">
        <v>304</v>
      </c>
      <c r="CH3475" s="5" t="s">
        <v>305</v>
      </c>
      <c r="CI3475" s="5" t="s">
        <v>260</v>
      </c>
      <c r="CK3475" s="5" t="s">
        <v>3681</v>
      </c>
      <c r="CL3475" s="6" t="s">
        <v>261</v>
      </c>
      <c r="CM3475" s="5" t="s">
        <v>262</v>
      </c>
      <c r="CN3475" s="5" t="s">
        <v>263</v>
      </c>
      <c r="CO3475" s="5" t="s">
        <v>264</v>
      </c>
      <c r="CP3475" s="5" t="s">
        <v>240</v>
      </c>
      <c r="CQ3475" s="5">
        <v>0</v>
      </c>
      <c r="CR3475" s="5" t="s">
        <v>735</v>
      </c>
      <c r="CS3475" s="5" t="s">
        <v>307</v>
      </c>
      <c r="CT3475" s="5" t="s">
        <v>307</v>
      </c>
      <c r="CU3475" s="5" t="s">
        <v>260</v>
      </c>
      <c r="CV3475" s="5" t="s">
        <v>612</v>
      </c>
      <c r="CW3475" s="8">
        <f>1</f>
        <v>1</v>
      </c>
      <c r="CX3475" s="7">
        <f>1</f>
        <v>1</v>
      </c>
      <c r="CY3475" s="7">
        <f>0</f>
        <v>0</v>
      </c>
      <c r="DA3475" s="7">
        <f>1</f>
        <v>1</v>
      </c>
      <c r="DB3475" s="7" t="s">
        <v>240</v>
      </c>
      <c r="DC3475" s="5" t="s">
        <v>240</v>
      </c>
      <c r="DD3475" s="5" t="s">
        <v>240</v>
      </c>
      <c r="DE3475" s="5" t="s">
        <v>240</v>
      </c>
      <c r="DF3475" s="5" t="s">
        <v>240</v>
      </c>
      <c r="DG3475" s="7">
        <f>0</f>
        <v>0</v>
      </c>
      <c r="DI3475" s="5" t="s">
        <v>240</v>
      </c>
      <c r="DJ3475" s="5" t="s">
        <v>240</v>
      </c>
      <c r="DK3475" s="5" t="s">
        <v>240</v>
      </c>
      <c r="DL3475" s="5" t="s">
        <v>240</v>
      </c>
      <c r="DM3475" s="5" t="s">
        <v>240</v>
      </c>
      <c r="DN3475" s="5" t="s">
        <v>240</v>
      </c>
      <c r="DO3475" s="7" t="s">
        <v>240</v>
      </c>
      <c r="DP3475" s="5" t="s">
        <v>240</v>
      </c>
      <c r="DQ3475" s="5" t="s">
        <v>248</v>
      </c>
      <c r="DR3475" s="5" t="s">
        <v>731</v>
      </c>
      <c r="DS3475" s="5" t="s">
        <v>731</v>
      </c>
      <c r="DT3475" s="5" t="s">
        <v>240</v>
      </c>
      <c r="DU3475" s="5" t="s">
        <v>240</v>
      </c>
      <c r="DV3475" s="5" t="s">
        <v>6047</v>
      </c>
      <c r="DW3475" s="5" t="s">
        <v>818</v>
      </c>
      <c r="DX3475" s="5" t="s">
        <v>240</v>
      </c>
      <c r="DY3475" s="5" t="s">
        <v>240</v>
      </c>
      <c r="DZ3475" s="5" t="s">
        <v>240</v>
      </c>
      <c r="EA3475" s="5" t="s">
        <v>240</v>
      </c>
      <c r="EB3475" s="5" t="s">
        <v>240</v>
      </c>
      <c r="EC3475" s="5" t="s">
        <v>240</v>
      </c>
      <c r="ED3475" s="5" t="s">
        <v>240</v>
      </c>
      <c r="EE3475" s="5" t="s">
        <v>240</v>
      </c>
      <c r="EF3475" s="5" t="s">
        <v>240</v>
      </c>
      <c r="EG3475" s="5" t="s">
        <v>240</v>
      </c>
      <c r="EH3475" s="5" t="s">
        <v>240</v>
      </c>
      <c r="EI3475" s="5" t="s">
        <v>240</v>
      </c>
      <c r="EJ3475" s="5" t="s">
        <v>240</v>
      </c>
      <c r="EK3475" s="5" t="s">
        <v>240</v>
      </c>
      <c r="EL3475" s="5" t="s">
        <v>240</v>
      </c>
      <c r="EM3475" s="5" t="s">
        <v>240</v>
      </c>
      <c r="EN3475" s="5" t="s">
        <v>240</v>
      </c>
      <c r="EO3475" s="5" t="s">
        <v>240</v>
      </c>
      <c r="EP3475" s="5" t="s">
        <v>240</v>
      </c>
      <c r="EQ3475" s="5" t="s">
        <v>240</v>
      </c>
      <c r="ER3475" s="5" t="s">
        <v>240</v>
      </c>
      <c r="ES3475" s="5" t="s">
        <v>240</v>
      </c>
      <c r="ET3475" s="5" t="s">
        <v>240</v>
      </c>
      <c r="EU3475" s="5" t="s">
        <v>240</v>
      </c>
      <c r="EV3475" s="5" t="s">
        <v>240</v>
      </c>
      <c r="EW3475" s="5" t="s">
        <v>240</v>
      </c>
      <c r="EX3475" s="5" t="s">
        <v>240</v>
      </c>
      <c r="EY3475" s="5" t="s">
        <v>240</v>
      </c>
      <c r="EZ3475" s="5" t="s">
        <v>240</v>
      </c>
      <c r="FA3475" s="5" t="s">
        <v>240</v>
      </c>
      <c r="FB3475" s="5" t="s">
        <v>240</v>
      </c>
      <c r="FC3475" s="5" t="s">
        <v>240</v>
      </c>
      <c r="FD3475" s="5" t="s">
        <v>240</v>
      </c>
      <c r="FE3475" s="5" t="s">
        <v>240</v>
      </c>
      <c r="FF3475" s="5" t="s">
        <v>240</v>
      </c>
      <c r="FG3475" s="5" t="s">
        <v>240</v>
      </c>
      <c r="FH3475" s="5" t="s">
        <v>240</v>
      </c>
      <c r="FI3475" s="5" t="s">
        <v>240</v>
      </c>
      <c r="FJ3475" s="5" t="s">
        <v>240</v>
      </c>
      <c r="FK3475" s="5" t="s">
        <v>240</v>
      </c>
      <c r="FL3475" s="5" t="s">
        <v>240</v>
      </c>
      <c r="FM3475" s="5" t="s">
        <v>240</v>
      </c>
      <c r="FN3475" s="5" t="s">
        <v>240</v>
      </c>
      <c r="FO3475" s="5" t="s">
        <v>240</v>
      </c>
      <c r="FP3475" s="5" t="s">
        <v>240</v>
      </c>
      <c r="FQ3475" s="5" t="s">
        <v>240</v>
      </c>
      <c r="FR3475" s="5" t="s">
        <v>240</v>
      </c>
      <c r="FS3475" s="5" t="s">
        <v>240</v>
      </c>
      <c r="FT3475" s="5" t="s">
        <v>240</v>
      </c>
      <c r="FU3475" s="5" t="s">
        <v>240</v>
      </c>
      <c r="FV3475" s="5" t="s">
        <v>240</v>
      </c>
      <c r="FW3475" s="5" t="s">
        <v>240</v>
      </c>
      <c r="FX3475" s="5" t="s">
        <v>240</v>
      </c>
      <c r="FY3475" s="5" t="s">
        <v>240</v>
      </c>
      <c r="FZ3475" s="5" t="s">
        <v>240</v>
      </c>
      <c r="GA3475" s="5" t="s">
        <v>240</v>
      </c>
      <c r="GB3475" s="5" t="s">
        <v>240</v>
      </c>
      <c r="GC3475" s="5" t="s">
        <v>240</v>
      </c>
      <c r="GD3475" s="5" t="s">
        <v>240</v>
      </c>
      <c r="GE3475" s="5" t="s">
        <v>240</v>
      </c>
      <c r="GF3475" s="5" t="s">
        <v>240</v>
      </c>
      <c r="GG3475" s="5" t="s">
        <v>240</v>
      </c>
      <c r="GH3475" s="5" t="s">
        <v>240</v>
      </c>
      <c r="GI3475" s="5" t="s">
        <v>240</v>
      </c>
      <c r="GJ3475" s="5" t="s">
        <v>240</v>
      </c>
      <c r="GK3475" s="5" t="s">
        <v>240</v>
      </c>
      <c r="GL3475" s="5" t="s">
        <v>240</v>
      </c>
      <c r="GM3475" s="5" t="s">
        <v>240</v>
      </c>
      <c r="GN3475" s="5" t="s">
        <v>240</v>
      </c>
      <c r="GO3475" s="5" t="s">
        <v>240</v>
      </c>
      <c r="GP3475" s="5" t="s">
        <v>240</v>
      </c>
      <c r="GQ3475" s="5" t="s">
        <v>240</v>
      </c>
      <c r="GR3475" s="5" t="s">
        <v>240</v>
      </c>
      <c r="GS3475" s="5" t="s">
        <v>240</v>
      </c>
      <c r="GT3475" s="5" t="s">
        <v>240</v>
      </c>
      <c r="GU3475" s="5" t="s">
        <v>240</v>
      </c>
      <c r="GV3475" s="5" t="s">
        <v>240</v>
      </c>
      <c r="GW3475" s="5" t="s">
        <v>240</v>
      </c>
      <c r="GX3475" s="5" t="s">
        <v>240</v>
      </c>
      <c r="GY3475" s="5" t="s">
        <v>240</v>
      </c>
      <c r="GZ3475" s="5" t="s">
        <v>240</v>
      </c>
      <c r="HA3475" s="5" t="s">
        <v>240</v>
      </c>
      <c r="HB3475" s="5" t="s">
        <v>240</v>
      </c>
      <c r="HC3475" s="5" t="s">
        <v>240</v>
      </c>
      <c r="HD3475" s="5" t="s">
        <v>240</v>
      </c>
      <c r="HE3475" s="5" t="s">
        <v>240</v>
      </c>
      <c r="HF3475" s="5" t="s">
        <v>240</v>
      </c>
      <c r="HG3475" s="5" t="s">
        <v>240</v>
      </c>
      <c r="HH3475" s="5" t="s">
        <v>240</v>
      </c>
      <c r="HI3475" s="5" t="s">
        <v>240</v>
      </c>
      <c r="HJ3475" s="5" t="s">
        <v>240</v>
      </c>
      <c r="HK3475" s="5" t="s">
        <v>240</v>
      </c>
      <c r="HL3475" s="5" t="s">
        <v>240</v>
      </c>
      <c r="HM3475" s="5" t="s">
        <v>240</v>
      </c>
      <c r="HN3475" s="5" t="s">
        <v>240</v>
      </c>
      <c r="HO3475" s="5" t="s">
        <v>240</v>
      </c>
      <c r="HP3475" s="5" t="s">
        <v>240</v>
      </c>
      <c r="HQ3475" s="5" t="s">
        <v>240</v>
      </c>
      <c r="HR3475" s="5" t="s">
        <v>240</v>
      </c>
      <c r="HS3475" s="5" t="s">
        <v>240</v>
      </c>
      <c r="HT3475" s="5" t="s">
        <v>240</v>
      </c>
      <c r="HU3475" s="5" t="s">
        <v>240</v>
      </c>
      <c r="HV3475" s="5" t="s">
        <v>240</v>
      </c>
      <c r="HW3475" s="5" t="s">
        <v>240</v>
      </c>
      <c r="HX3475" s="5" t="s">
        <v>240</v>
      </c>
      <c r="HY3475" s="5" t="s">
        <v>240</v>
      </c>
      <c r="HZ3475" s="5" t="s">
        <v>240</v>
      </c>
      <c r="IA3475" s="5" t="s">
        <v>240</v>
      </c>
      <c r="IB3475" s="5" t="s">
        <v>240</v>
      </c>
      <c r="IC3475" s="5" t="s">
        <v>240</v>
      </c>
      <c r="ID3475" s="5" t="s">
        <v>240</v>
      </c>
      <c r="IE3475" s="5" t="s">
        <v>240</v>
      </c>
      <c r="IF3475" s="5" t="s">
        <v>240</v>
      </c>
    </row>
    <row r="3476" spans="1:240" x14ac:dyDescent="0.4">
      <c r="A3476" s="5">
        <v>9018</v>
      </c>
      <c r="B3476" s="5">
        <v>1</v>
      </c>
      <c r="C3476" s="5">
        <v>1</v>
      </c>
      <c r="D3476" s="5" t="s">
        <v>723</v>
      </c>
      <c r="E3476" s="5" t="s">
        <v>5060</v>
      </c>
      <c r="F3476" s="5" t="s">
        <v>254</v>
      </c>
      <c r="G3476" s="5" t="s">
        <v>5061</v>
      </c>
      <c r="H3476" s="6" t="s">
        <v>5171</v>
      </c>
      <c r="I3476" s="5" t="s">
        <v>5170</v>
      </c>
      <c r="J3476" s="7">
        <f>1</f>
        <v>1</v>
      </c>
      <c r="K3476" s="5" t="s">
        <v>3682</v>
      </c>
      <c r="L3476" s="7">
        <f>1</f>
        <v>1</v>
      </c>
      <c r="M3476" s="7">
        <f>1</f>
        <v>1</v>
      </c>
      <c r="N3476" s="5" t="s">
        <v>242</v>
      </c>
      <c r="O3476" s="5">
        <v>1</v>
      </c>
      <c r="P3476" s="5" t="s">
        <v>294</v>
      </c>
      <c r="Q3476" s="5" t="s">
        <v>3678</v>
      </c>
      <c r="R3476" s="5" t="s">
        <v>240</v>
      </c>
      <c r="S3476" s="5" t="s">
        <v>240</v>
      </c>
      <c r="T3476" s="5" t="s">
        <v>243</v>
      </c>
      <c r="U3476" s="5" t="s">
        <v>244</v>
      </c>
      <c r="V3476" s="5" t="s">
        <v>240</v>
      </c>
      <c r="W3476" s="5" t="s">
        <v>240</v>
      </c>
      <c r="X3476" s="5" t="s">
        <v>240</v>
      </c>
      <c r="Y3476" s="5" t="s">
        <v>240</v>
      </c>
      <c r="Z3476" s="6" t="s">
        <v>298</v>
      </c>
      <c r="AA3476" s="6" t="s">
        <v>240</v>
      </c>
      <c r="AB3476" s="6" t="s">
        <v>240</v>
      </c>
      <c r="AC3476" s="5" t="s">
        <v>240</v>
      </c>
      <c r="AD3476" s="6" t="s">
        <v>240</v>
      </c>
      <c r="AE3476" s="6" t="s">
        <v>299</v>
      </c>
      <c r="AF3476" s="5" t="s">
        <v>248</v>
      </c>
      <c r="AG3476" s="5" t="s">
        <v>249</v>
      </c>
      <c r="AH3476" s="5" t="s">
        <v>240</v>
      </c>
      <c r="AI3476" s="5" t="s">
        <v>240</v>
      </c>
      <c r="AJ3476" s="5" t="s">
        <v>240</v>
      </c>
      <c r="AK3476" s="5" t="s">
        <v>240</v>
      </c>
      <c r="AL3476" s="5" t="s">
        <v>240</v>
      </c>
      <c r="AM3476" s="5" t="s">
        <v>240</v>
      </c>
      <c r="AN3476" s="5" t="s">
        <v>240</v>
      </c>
      <c r="AO3476" s="5" t="s">
        <v>240</v>
      </c>
      <c r="AP3476" s="6" t="s">
        <v>240</v>
      </c>
      <c r="AQ3476" s="6" t="s">
        <v>240</v>
      </c>
      <c r="AR3476" s="6" t="s">
        <v>240</v>
      </c>
      <c r="AS3476" s="6" t="s">
        <v>240</v>
      </c>
      <c r="AT3476" s="5" t="s">
        <v>240</v>
      </c>
      <c r="AU3476" s="5" t="s">
        <v>729</v>
      </c>
      <c r="AV3476" s="5" t="s">
        <v>729</v>
      </c>
      <c r="AW3476" s="5" t="s">
        <v>251</v>
      </c>
      <c r="AX3476" s="5" t="s">
        <v>252</v>
      </c>
      <c r="AY3476" s="5" t="s">
        <v>253</v>
      </c>
      <c r="AZ3476" s="5" t="s">
        <v>240</v>
      </c>
      <c r="BA3476" s="5" t="s">
        <v>255</v>
      </c>
      <c r="BB3476" s="5" t="s">
        <v>731</v>
      </c>
      <c r="BD3476" s="5" t="s">
        <v>240</v>
      </c>
      <c r="BF3476" s="5" t="s">
        <v>732</v>
      </c>
      <c r="BG3476" s="6" t="s">
        <v>733</v>
      </c>
      <c r="BH3476" s="5" t="s">
        <v>734</v>
      </c>
      <c r="BI3476" s="5" t="s">
        <v>734</v>
      </c>
      <c r="BJ3476" s="5" t="s">
        <v>240</v>
      </c>
      <c r="BK3476" s="7">
        <f>1</f>
        <v>1</v>
      </c>
      <c r="BL3476" s="7">
        <f>1</f>
        <v>1</v>
      </c>
      <c r="BM3476" s="5" t="s">
        <v>258</v>
      </c>
      <c r="BN3476" s="5" t="s">
        <v>259</v>
      </c>
      <c r="BO3476" s="5" t="s">
        <v>240</v>
      </c>
      <c r="BP3476" s="5" t="s">
        <v>240</v>
      </c>
      <c r="BQ3476" s="5" t="s">
        <v>240</v>
      </c>
      <c r="BR3476" s="5" t="s">
        <v>240</v>
      </c>
      <c r="BS3476" s="5" t="s">
        <v>240</v>
      </c>
      <c r="BT3476" s="5" t="s">
        <v>240</v>
      </c>
      <c r="BU3476" s="5" t="s">
        <v>240</v>
      </c>
      <c r="BV3476" s="5" t="s">
        <v>240</v>
      </c>
      <c r="BW3476" s="6" t="s">
        <v>240</v>
      </c>
      <c r="BX3476" s="5" t="s">
        <v>240</v>
      </c>
      <c r="BY3476" s="5" t="s">
        <v>240</v>
      </c>
      <c r="BZ3476" s="5" t="s">
        <v>240</v>
      </c>
      <c r="CA3476" s="5" t="s">
        <v>259</v>
      </c>
      <c r="CB3476" s="5" t="s">
        <v>240</v>
      </c>
      <c r="CC3476" s="5" t="s">
        <v>240</v>
      </c>
      <c r="CD3476" s="5" t="s">
        <v>240</v>
      </c>
      <c r="CE3476" s="5" t="s">
        <v>240</v>
      </c>
      <c r="CF3476" s="5" t="s">
        <v>240</v>
      </c>
      <c r="CG3476" s="5" t="s">
        <v>304</v>
      </c>
      <c r="CH3476" s="5" t="s">
        <v>305</v>
      </c>
      <c r="CI3476" s="5" t="s">
        <v>240</v>
      </c>
      <c r="CK3476" s="5" t="s">
        <v>3681</v>
      </c>
      <c r="CL3476" s="6" t="s">
        <v>261</v>
      </c>
      <c r="CM3476" s="5" t="s">
        <v>262</v>
      </c>
      <c r="CN3476" s="5" t="s">
        <v>263</v>
      </c>
      <c r="CO3476" s="5" t="s">
        <v>264</v>
      </c>
      <c r="CP3476" s="5" t="s">
        <v>240</v>
      </c>
      <c r="CQ3476" s="5">
        <v>0</v>
      </c>
      <c r="CR3476" s="5" t="s">
        <v>735</v>
      </c>
      <c r="CS3476" s="5" t="s">
        <v>307</v>
      </c>
      <c r="CT3476" s="5" t="s">
        <v>307</v>
      </c>
      <c r="CU3476" s="5" t="s">
        <v>260</v>
      </c>
      <c r="CV3476" s="5" t="s">
        <v>612</v>
      </c>
      <c r="CW3476" s="8">
        <f>1</f>
        <v>1</v>
      </c>
      <c r="CX3476" s="7">
        <f>1</f>
        <v>1</v>
      </c>
      <c r="CY3476" s="7">
        <f>0</f>
        <v>0</v>
      </c>
      <c r="DA3476" s="7">
        <f>1</f>
        <v>1</v>
      </c>
      <c r="DB3476" s="7" t="s">
        <v>240</v>
      </c>
      <c r="DC3476" s="5" t="s">
        <v>240</v>
      </c>
      <c r="DD3476" s="5" t="s">
        <v>240</v>
      </c>
      <c r="DE3476" s="5" t="s">
        <v>240</v>
      </c>
      <c r="DF3476" s="5" t="s">
        <v>240</v>
      </c>
      <c r="DG3476" s="7">
        <f>0</f>
        <v>0</v>
      </c>
      <c r="DI3476" s="5" t="s">
        <v>240</v>
      </c>
      <c r="DJ3476" s="5" t="s">
        <v>240</v>
      </c>
      <c r="DK3476" s="5" t="s">
        <v>240</v>
      </c>
      <c r="DL3476" s="5" t="s">
        <v>240</v>
      </c>
      <c r="DM3476" s="5" t="s">
        <v>240</v>
      </c>
      <c r="DN3476" s="5" t="s">
        <v>240</v>
      </c>
      <c r="DO3476" s="7" t="s">
        <v>240</v>
      </c>
      <c r="DP3476" s="5" t="s">
        <v>240</v>
      </c>
      <c r="DQ3476" s="5" t="s">
        <v>240</v>
      </c>
      <c r="DR3476" s="5" t="s">
        <v>731</v>
      </c>
      <c r="DS3476" s="5" t="s">
        <v>731</v>
      </c>
      <c r="DT3476" s="5" t="s">
        <v>240</v>
      </c>
      <c r="DU3476" s="5" t="s">
        <v>240</v>
      </c>
      <c r="DV3476" s="5" t="s">
        <v>5063</v>
      </c>
      <c r="DW3476" s="5" t="s">
        <v>682</v>
      </c>
      <c r="DX3476" s="5" t="s">
        <v>240</v>
      </c>
      <c r="DY3476" s="5" t="s">
        <v>240</v>
      </c>
      <c r="DZ3476" s="5" t="s">
        <v>240</v>
      </c>
      <c r="EA3476" s="5" t="s">
        <v>240</v>
      </c>
      <c r="EB3476" s="5" t="s">
        <v>240</v>
      </c>
      <c r="EC3476" s="5" t="s">
        <v>240</v>
      </c>
      <c r="ED3476" s="5" t="s">
        <v>240</v>
      </c>
      <c r="EE3476" s="5" t="s">
        <v>240</v>
      </c>
      <c r="EF3476" s="5" t="s">
        <v>240</v>
      </c>
      <c r="EG3476" s="5" t="s">
        <v>240</v>
      </c>
      <c r="EH3476" s="5" t="s">
        <v>240</v>
      </c>
      <c r="EI3476" s="5" t="s">
        <v>240</v>
      </c>
      <c r="EJ3476" s="5" t="s">
        <v>240</v>
      </c>
      <c r="EK3476" s="5" t="s">
        <v>240</v>
      </c>
      <c r="EL3476" s="5" t="s">
        <v>240</v>
      </c>
      <c r="EM3476" s="5" t="s">
        <v>240</v>
      </c>
      <c r="EN3476" s="5" t="s">
        <v>240</v>
      </c>
      <c r="EO3476" s="5" t="s">
        <v>240</v>
      </c>
      <c r="EP3476" s="5" t="s">
        <v>240</v>
      </c>
      <c r="EQ3476" s="5" t="s">
        <v>240</v>
      </c>
      <c r="ER3476" s="5" t="s">
        <v>240</v>
      </c>
      <c r="ES3476" s="5" t="s">
        <v>240</v>
      </c>
      <c r="ET3476" s="5" t="s">
        <v>240</v>
      </c>
      <c r="EU3476" s="5" t="s">
        <v>240</v>
      </c>
      <c r="EV3476" s="5" t="s">
        <v>240</v>
      </c>
      <c r="EW3476" s="5" t="s">
        <v>240</v>
      </c>
      <c r="EX3476" s="5" t="s">
        <v>240</v>
      </c>
      <c r="EY3476" s="5" t="s">
        <v>240</v>
      </c>
      <c r="EZ3476" s="5" t="s">
        <v>240</v>
      </c>
      <c r="FA3476" s="5" t="s">
        <v>240</v>
      </c>
      <c r="FB3476" s="5" t="s">
        <v>240</v>
      </c>
      <c r="FC3476" s="5" t="s">
        <v>240</v>
      </c>
      <c r="FD3476" s="5" t="s">
        <v>240</v>
      </c>
      <c r="FE3476" s="5" t="s">
        <v>240</v>
      </c>
      <c r="FF3476" s="5" t="s">
        <v>240</v>
      </c>
      <c r="FG3476" s="5" t="s">
        <v>240</v>
      </c>
      <c r="FH3476" s="5" t="s">
        <v>240</v>
      </c>
      <c r="FI3476" s="5" t="s">
        <v>240</v>
      </c>
      <c r="FJ3476" s="5" t="s">
        <v>240</v>
      </c>
      <c r="FK3476" s="5" t="s">
        <v>240</v>
      </c>
      <c r="FL3476" s="5" t="s">
        <v>240</v>
      </c>
      <c r="FM3476" s="5" t="s">
        <v>240</v>
      </c>
      <c r="FN3476" s="5" t="s">
        <v>240</v>
      </c>
      <c r="FO3476" s="5" t="s">
        <v>240</v>
      </c>
      <c r="FP3476" s="5" t="s">
        <v>240</v>
      </c>
      <c r="FQ3476" s="5" t="s">
        <v>240</v>
      </c>
      <c r="FR3476" s="5" t="s">
        <v>240</v>
      </c>
      <c r="FS3476" s="5" t="s">
        <v>240</v>
      </c>
      <c r="FT3476" s="5" t="s">
        <v>240</v>
      </c>
      <c r="FU3476" s="5" t="s">
        <v>240</v>
      </c>
      <c r="FV3476" s="5" t="s">
        <v>240</v>
      </c>
      <c r="FW3476" s="5" t="s">
        <v>240</v>
      </c>
      <c r="FX3476" s="5" t="s">
        <v>240</v>
      </c>
      <c r="FY3476" s="5" t="s">
        <v>240</v>
      </c>
      <c r="FZ3476" s="5" t="s">
        <v>240</v>
      </c>
      <c r="GA3476" s="5" t="s">
        <v>240</v>
      </c>
      <c r="GB3476" s="5" t="s">
        <v>240</v>
      </c>
      <c r="GC3476" s="5" t="s">
        <v>240</v>
      </c>
      <c r="GD3476" s="5" t="s">
        <v>240</v>
      </c>
      <c r="GE3476" s="5" t="s">
        <v>240</v>
      </c>
      <c r="GF3476" s="5" t="s">
        <v>240</v>
      </c>
      <c r="GG3476" s="5" t="s">
        <v>240</v>
      </c>
      <c r="GH3476" s="5" t="s">
        <v>240</v>
      </c>
      <c r="GI3476" s="5" t="s">
        <v>240</v>
      </c>
      <c r="GJ3476" s="5" t="s">
        <v>240</v>
      </c>
      <c r="GK3476" s="5" t="s">
        <v>240</v>
      </c>
      <c r="GL3476" s="5" t="s">
        <v>240</v>
      </c>
      <c r="GM3476" s="5" t="s">
        <v>240</v>
      </c>
      <c r="GN3476" s="5" t="s">
        <v>240</v>
      </c>
      <c r="GO3476" s="5" t="s">
        <v>240</v>
      </c>
      <c r="GP3476" s="5" t="s">
        <v>240</v>
      </c>
      <c r="GQ3476" s="5" t="s">
        <v>240</v>
      </c>
      <c r="GR3476" s="5" t="s">
        <v>240</v>
      </c>
      <c r="GS3476" s="5" t="s">
        <v>240</v>
      </c>
      <c r="GT3476" s="5" t="s">
        <v>240</v>
      </c>
      <c r="GU3476" s="5" t="s">
        <v>240</v>
      </c>
      <c r="GV3476" s="5" t="s">
        <v>240</v>
      </c>
      <c r="GW3476" s="5" t="s">
        <v>240</v>
      </c>
      <c r="GX3476" s="5" t="s">
        <v>240</v>
      </c>
      <c r="GY3476" s="5" t="s">
        <v>240</v>
      </c>
      <c r="GZ3476" s="5" t="s">
        <v>240</v>
      </c>
      <c r="HA3476" s="5" t="s">
        <v>240</v>
      </c>
      <c r="HB3476" s="5" t="s">
        <v>240</v>
      </c>
      <c r="HC3476" s="5" t="s">
        <v>240</v>
      </c>
      <c r="HD3476" s="5" t="s">
        <v>240</v>
      </c>
      <c r="HE3476" s="5" t="s">
        <v>240</v>
      </c>
      <c r="HF3476" s="5" t="s">
        <v>240</v>
      </c>
      <c r="HG3476" s="5" t="s">
        <v>240</v>
      </c>
      <c r="HH3476" s="5" t="s">
        <v>240</v>
      </c>
      <c r="HI3476" s="5" t="s">
        <v>240</v>
      </c>
      <c r="HJ3476" s="5" t="s">
        <v>240</v>
      </c>
      <c r="HK3476" s="5" t="s">
        <v>240</v>
      </c>
      <c r="HL3476" s="5" t="s">
        <v>240</v>
      </c>
      <c r="HM3476" s="5" t="s">
        <v>240</v>
      </c>
      <c r="HN3476" s="5" t="s">
        <v>240</v>
      </c>
      <c r="HO3476" s="5" t="s">
        <v>312</v>
      </c>
      <c r="HP3476" s="5" t="s">
        <v>240</v>
      </c>
      <c r="HQ3476" s="5" t="s">
        <v>240</v>
      </c>
      <c r="HR3476" s="5" t="s">
        <v>240</v>
      </c>
      <c r="HS3476" s="5" t="s">
        <v>240</v>
      </c>
      <c r="HT3476" s="5" t="s">
        <v>240</v>
      </c>
      <c r="HU3476" s="5" t="s">
        <v>240</v>
      </c>
      <c r="HV3476" s="5" t="s">
        <v>240</v>
      </c>
      <c r="HW3476" s="5" t="s">
        <v>240</v>
      </c>
      <c r="HX3476" s="5" t="s">
        <v>240</v>
      </c>
      <c r="HY3476" s="5" t="s">
        <v>240</v>
      </c>
      <c r="HZ3476" s="5" t="s">
        <v>240</v>
      </c>
      <c r="IA3476" s="5" t="s">
        <v>240</v>
      </c>
      <c r="IB3476" s="5" t="s">
        <v>240</v>
      </c>
      <c r="IC3476" s="5" t="s">
        <v>240</v>
      </c>
      <c r="ID3476" s="5" t="s">
        <v>240</v>
      </c>
      <c r="IE3476" s="5" t="s">
        <v>240</v>
      </c>
      <c r="IF3476" s="5" t="s">
        <v>240</v>
      </c>
    </row>
    <row r="3477" spans="1:240" x14ac:dyDescent="0.4">
      <c r="A3477" s="5">
        <v>9019</v>
      </c>
      <c r="B3477" s="5">
        <v>1</v>
      </c>
      <c r="C3477" s="5">
        <v>1</v>
      </c>
      <c r="D3477" s="5" t="s">
        <v>723</v>
      </c>
      <c r="E3477" s="5" t="s">
        <v>5060</v>
      </c>
      <c r="F3477" s="5" t="s">
        <v>254</v>
      </c>
      <c r="G3477" s="5" t="s">
        <v>5061</v>
      </c>
      <c r="H3477" s="6" t="s">
        <v>5175</v>
      </c>
      <c r="I3477" s="5" t="s">
        <v>5174</v>
      </c>
      <c r="J3477" s="7">
        <f>1</f>
        <v>1</v>
      </c>
      <c r="K3477" s="5" t="s">
        <v>3682</v>
      </c>
      <c r="L3477" s="7">
        <f>1</f>
        <v>1</v>
      </c>
      <c r="M3477" s="7">
        <f>1</f>
        <v>1</v>
      </c>
      <c r="N3477" s="5" t="s">
        <v>242</v>
      </c>
      <c r="O3477" s="5">
        <v>1</v>
      </c>
      <c r="P3477" s="5" t="s">
        <v>294</v>
      </c>
      <c r="Q3477" s="5" t="s">
        <v>3678</v>
      </c>
      <c r="R3477" s="5" t="s">
        <v>240</v>
      </c>
      <c r="S3477" s="5" t="s">
        <v>240</v>
      </c>
      <c r="T3477" s="5" t="s">
        <v>243</v>
      </c>
      <c r="U3477" s="5" t="s">
        <v>244</v>
      </c>
      <c r="V3477" s="5" t="s">
        <v>240</v>
      </c>
      <c r="W3477" s="5" t="s">
        <v>240</v>
      </c>
      <c r="X3477" s="5" t="s">
        <v>240</v>
      </c>
      <c r="Y3477" s="5" t="s">
        <v>240</v>
      </c>
      <c r="Z3477" s="6" t="s">
        <v>298</v>
      </c>
      <c r="AA3477" s="6" t="s">
        <v>240</v>
      </c>
      <c r="AB3477" s="6" t="s">
        <v>240</v>
      </c>
      <c r="AC3477" s="5" t="s">
        <v>240</v>
      </c>
      <c r="AD3477" s="6" t="s">
        <v>240</v>
      </c>
      <c r="AE3477" s="6" t="s">
        <v>299</v>
      </c>
      <c r="AF3477" s="5" t="s">
        <v>248</v>
      </c>
      <c r="AG3477" s="5" t="s">
        <v>249</v>
      </c>
      <c r="AH3477" s="5" t="s">
        <v>240</v>
      </c>
      <c r="AI3477" s="5" t="s">
        <v>240</v>
      </c>
      <c r="AJ3477" s="5" t="s">
        <v>240</v>
      </c>
      <c r="AK3477" s="5" t="s">
        <v>240</v>
      </c>
      <c r="AL3477" s="5" t="s">
        <v>240</v>
      </c>
      <c r="AM3477" s="5" t="s">
        <v>240</v>
      </c>
      <c r="AN3477" s="5" t="s">
        <v>240</v>
      </c>
      <c r="AO3477" s="5" t="s">
        <v>240</v>
      </c>
      <c r="AP3477" s="6" t="s">
        <v>240</v>
      </c>
      <c r="AQ3477" s="6" t="s">
        <v>240</v>
      </c>
      <c r="AR3477" s="6" t="s">
        <v>240</v>
      </c>
      <c r="AS3477" s="6" t="s">
        <v>240</v>
      </c>
      <c r="AT3477" s="5" t="s">
        <v>240</v>
      </c>
      <c r="AU3477" s="5" t="s">
        <v>729</v>
      </c>
      <c r="AV3477" s="5" t="s">
        <v>729</v>
      </c>
      <c r="AW3477" s="5" t="s">
        <v>251</v>
      </c>
      <c r="AX3477" s="5" t="s">
        <v>252</v>
      </c>
      <c r="AY3477" s="5" t="s">
        <v>253</v>
      </c>
      <c r="AZ3477" s="5" t="s">
        <v>6046</v>
      </c>
      <c r="BA3477" s="5" t="s">
        <v>255</v>
      </c>
      <c r="BB3477" s="5" t="s">
        <v>731</v>
      </c>
      <c r="BD3477" s="5" t="s">
        <v>240</v>
      </c>
      <c r="BF3477" s="5" t="s">
        <v>732</v>
      </c>
      <c r="BG3477" s="6" t="s">
        <v>733</v>
      </c>
      <c r="BH3477" s="5" t="s">
        <v>734</v>
      </c>
      <c r="BI3477" s="5" t="s">
        <v>734</v>
      </c>
      <c r="BJ3477" s="5" t="s">
        <v>240</v>
      </c>
      <c r="BK3477" s="7">
        <f>1</f>
        <v>1</v>
      </c>
      <c r="BL3477" s="7">
        <f>1</f>
        <v>1</v>
      </c>
      <c r="BM3477" s="5" t="s">
        <v>258</v>
      </c>
      <c r="BN3477" s="5" t="s">
        <v>259</v>
      </c>
      <c r="BO3477" s="5" t="s">
        <v>240</v>
      </c>
      <c r="BP3477" s="5" t="s">
        <v>240</v>
      </c>
      <c r="BQ3477" s="5" t="s">
        <v>240</v>
      </c>
      <c r="BR3477" s="5" t="s">
        <v>240</v>
      </c>
      <c r="BS3477" s="5" t="s">
        <v>240</v>
      </c>
      <c r="BT3477" s="5" t="s">
        <v>240</v>
      </c>
      <c r="BU3477" s="5" t="s">
        <v>240</v>
      </c>
      <c r="BV3477" s="5" t="s">
        <v>240</v>
      </c>
      <c r="BW3477" s="6" t="s">
        <v>240</v>
      </c>
      <c r="BX3477" s="5" t="s">
        <v>240</v>
      </c>
      <c r="BY3477" s="5" t="s">
        <v>240</v>
      </c>
      <c r="BZ3477" s="5" t="s">
        <v>240</v>
      </c>
      <c r="CA3477" s="5" t="s">
        <v>259</v>
      </c>
      <c r="CB3477" s="5" t="s">
        <v>240</v>
      </c>
      <c r="CC3477" s="5" t="s">
        <v>240</v>
      </c>
      <c r="CD3477" s="5" t="s">
        <v>240</v>
      </c>
      <c r="CE3477" s="5" t="s">
        <v>240</v>
      </c>
      <c r="CF3477" s="5" t="s">
        <v>240</v>
      </c>
      <c r="CG3477" s="5" t="s">
        <v>304</v>
      </c>
      <c r="CH3477" s="5" t="s">
        <v>305</v>
      </c>
      <c r="CI3477" s="5" t="s">
        <v>260</v>
      </c>
      <c r="CK3477" s="5" t="s">
        <v>3681</v>
      </c>
      <c r="CL3477" s="6" t="s">
        <v>261</v>
      </c>
      <c r="CM3477" s="5" t="s">
        <v>262</v>
      </c>
      <c r="CN3477" s="5" t="s">
        <v>263</v>
      </c>
      <c r="CO3477" s="5" t="s">
        <v>264</v>
      </c>
      <c r="CP3477" s="5" t="s">
        <v>240</v>
      </c>
      <c r="CQ3477" s="5">
        <v>0</v>
      </c>
      <c r="CR3477" s="5" t="s">
        <v>735</v>
      </c>
      <c r="CS3477" s="5" t="s">
        <v>307</v>
      </c>
      <c r="CT3477" s="5" t="s">
        <v>307</v>
      </c>
      <c r="CU3477" s="5" t="s">
        <v>260</v>
      </c>
      <c r="CV3477" s="5" t="s">
        <v>612</v>
      </c>
      <c r="CW3477" s="8">
        <f>1</f>
        <v>1</v>
      </c>
      <c r="CX3477" s="7">
        <f>1</f>
        <v>1</v>
      </c>
      <c r="CY3477" s="7">
        <f>0</f>
        <v>0</v>
      </c>
      <c r="DA3477" s="7">
        <f>1</f>
        <v>1</v>
      </c>
      <c r="DB3477" s="7" t="s">
        <v>240</v>
      </c>
      <c r="DC3477" s="5" t="s">
        <v>240</v>
      </c>
      <c r="DD3477" s="5" t="s">
        <v>240</v>
      </c>
      <c r="DE3477" s="5" t="s">
        <v>240</v>
      </c>
      <c r="DF3477" s="5" t="s">
        <v>240</v>
      </c>
      <c r="DG3477" s="7">
        <f>0</f>
        <v>0</v>
      </c>
      <c r="DI3477" s="5" t="s">
        <v>240</v>
      </c>
      <c r="DJ3477" s="5" t="s">
        <v>240</v>
      </c>
      <c r="DK3477" s="5" t="s">
        <v>240</v>
      </c>
      <c r="DL3477" s="5" t="s">
        <v>240</v>
      </c>
      <c r="DM3477" s="5" t="s">
        <v>240</v>
      </c>
      <c r="DN3477" s="5" t="s">
        <v>240</v>
      </c>
      <c r="DO3477" s="7" t="s">
        <v>240</v>
      </c>
      <c r="DP3477" s="5" t="s">
        <v>240</v>
      </c>
      <c r="DQ3477" s="5" t="s">
        <v>248</v>
      </c>
      <c r="DR3477" s="5" t="s">
        <v>731</v>
      </c>
      <c r="DS3477" s="5" t="s">
        <v>731</v>
      </c>
      <c r="DT3477" s="5" t="s">
        <v>240</v>
      </c>
      <c r="DU3477" s="5" t="s">
        <v>240</v>
      </c>
      <c r="DV3477" s="5" t="s">
        <v>6047</v>
      </c>
      <c r="DW3477" s="5" t="s">
        <v>804</v>
      </c>
      <c r="DX3477" s="5" t="s">
        <v>240</v>
      </c>
      <c r="DY3477" s="5" t="s">
        <v>240</v>
      </c>
      <c r="DZ3477" s="5" t="s">
        <v>240</v>
      </c>
      <c r="EA3477" s="5" t="s">
        <v>240</v>
      </c>
      <c r="EB3477" s="5" t="s">
        <v>240</v>
      </c>
      <c r="EC3477" s="5" t="s">
        <v>240</v>
      </c>
      <c r="ED3477" s="5" t="s">
        <v>240</v>
      </c>
      <c r="EE3477" s="5" t="s">
        <v>240</v>
      </c>
      <c r="EF3477" s="5" t="s">
        <v>240</v>
      </c>
      <c r="EG3477" s="5" t="s">
        <v>240</v>
      </c>
      <c r="EH3477" s="5" t="s">
        <v>240</v>
      </c>
      <c r="EI3477" s="5" t="s">
        <v>240</v>
      </c>
      <c r="EJ3477" s="5" t="s">
        <v>240</v>
      </c>
      <c r="EK3477" s="5" t="s">
        <v>240</v>
      </c>
      <c r="EL3477" s="5" t="s">
        <v>240</v>
      </c>
      <c r="EM3477" s="5" t="s">
        <v>240</v>
      </c>
      <c r="EN3477" s="5" t="s">
        <v>240</v>
      </c>
      <c r="EO3477" s="5" t="s">
        <v>240</v>
      </c>
      <c r="EP3477" s="5" t="s">
        <v>240</v>
      </c>
      <c r="EQ3477" s="5" t="s">
        <v>240</v>
      </c>
      <c r="ER3477" s="5" t="s">
        <v>240</v>
      </c>
      <c r="ES3477" s="5" t="s">
        <v>240</v>
      </c>
      <c r="ET3477" s="5" t="s">
        <v>240</v>
      </c>
      <c r="EU3477" s="5" t="s">
        <v>240</v>
      </c>
      <c r="EV3477" s="5" t="s">
        <v>240</v>
      </c>
      <c r="EW3477" s="5" t="s">
        <v>240</v>
      </c>
      <c r="EX3477" s="5" t="s">
        <v>240</v>
      </c>
      <c r="EY3477" s="5" t="s">
        <v>240</v>
      </c>
      <c r="EZ3477" s="5" t="s">
        <v>240</v>
      </c>
      <c r="FA3477" s="5" t="s">
        <v>240</v>
      </c>
      <c r="FB3477" s="5" t="s">
        <v>240</v>
      </c>
      <c r="FC3477" s="5" t="s">
        <v>240</v>
      </c>
      <c r="FD3477" s="5" t="s">
        <v>240</v>
      </c>
      <c r="FE3477" s="5" t="s">
        <v>240</v>
      </c>
      <c r="FF3477" s="5" t="s">
        <v>240</v>
      </c>
      <c r="FG3477" s="5" t="s">
        <v>240</v>
      </c>
      <c r="FH3477" s="5" t="s">
        <v>240</v>
      </c>
      <c r="FI3477" s="5" t="s">
        <v>240</v>
      </c>
      <c r="FJ3477" s="5" t="s">
        <v>240</v>
      </c>
      <c r="FK3477" s="5" t="s">
        <v>240</v>
      </c>
      <c r="FL3477" s="5" t="s">
        <v>240</v>
      </c>
      <c r="FM3477" s="5" t="s">
        <v>240</v>
      </c>
      <c r="FN3477" s="5" t="s">
        <v>240</v>
      </c>
      <c r="FO3477" s="5" t="s">
        <v>240</v>
      </c>
      <c r="FP3477" s="5" t="s">
        <v>240</v>
      </c>
      <c r="FQ3477" s="5" t="s">
        <v>240</v>
      </c>
      <c r="FR3477" s="5" t="s">
        <v>240</v>
      </c>
      <c r="FS3477" s="5" t="s">
        <v>240</v>
      </c>
      <c r="FT3477" s="5" t="s">
        <v>240</v>
      </c>
      <c r="FU3477" s="5" t="s">
        <v>240</v>
      </c>
      <c r="FV3477" s="5" t="s">
        <v>240</v>
      </c>
      <c r="FW3477" s="5" t="s">
        <v>240</v>
      </c>
      <c r="FX3477" s="5" t="s">
        <v>240</v>
      </c>
      <c r="FY3477" s="5" t="s">
        <v>240</v>
      </c>
      <c r="FZ3477" s="5" t="s">
        <v>240</v>
      </c>
      <c r="GA3477" s="5" t="s">
        <v>240</v>
      </c>
      <c r="GB3477" s="5" t="s">
        <v>240</v>
      </c>
      <c r="GC3477" s="5" t="s">
        <v>240</v>
      </c>
      <c r="GD3477" s="5" t="s">
        <v>240</v>
      </c>
      <c r="GE3477" s="5" t="s">
        <v>240</v>
      </c>
      <c r="GF3477" s="5" t="s">
        <v>240</v>
      </c>
      <c r="GG3477" s="5" t="s">
        <v>240</v>
      </c>
      <c r="GH3477" s="5" t="s">
        <v>240</v>
      </c>
      <c r="GI3477" s="5" t="s">
        <v>240</v>
      </c>
      <c r="GJ3477" s="5" t="s">
        <v>240</v>
      </c>
      <c r="GK3477" s="5" t="s">
        <v>240</v>
      </c>
      <c r="GL3477" s="5" t="s">
        <v>240</v>
      </c>
      <c r="GM3477" s="5" t="s">
        <v>240</v>
      </c>
      <c r="GN3477" s="5" t="s">
        <v>240</v>
      </c>
      <c r="GO3477" s="5" t="s">
        <v>240</v>
      </c>
      <c r="GP3477" s="5" t="s">
        <v>240</v>
      </c>
      <c r="GQ3477" s="5" t="s">
        <v>240</v>
      </c>
      <c r="GR3477" s="5" t="s">
        <v>240</v>
      </c>
      <c r="GS3477" s="5" t="s">
        <v>240</v>
      </c>
      <c r="GT3477" s="5" t="s">
        <v>240</v>
      </c>
      <c r="GU3477" s="5" t="s">
        <v>240</v>
      </c>
      <c r="GV3477" s="5" t="s">
        <v>240</v>
      </c>
      <c r="GW3477" s="5" t="s">
        <v>240</v>
      </c>
      <c r="GX3477" s="5" t="s">
        <v>240</v>
      </c>
      <c r="GY3477" s="5" t="s">
        <v>240</v>
      </c>
      <c r="GZ3477" s="5" t="s">
        <v>240</v>
      </c>
      <c r="HA3477" s="5" t="s">
        <v>240</v>
      </c>
      <c r="HB3477" s="5" t="s">
        <v>240</v>
      </c>
      <c r="HC3477" s="5" t="s">
        <v>240</v>
      </c>
      <c r="HD3477" s="5" t="s">
        <v>240</v>
      </c>
      <c r="HE3477" s="5" t="s">
        <v>240</v>
      </c>
      <c r="HF3477" s="5" t="s">
        <v>240</v>
      </c>
      <c r="HG3477" s="5" t="s">
        <v>240</v>
      </c>
      <c r="HH3477" s="5" t="s">
        <v>240</v>
      </c>
      <c r="HI3477" s="5" t="s">
        <v>240</v>
      </c>
      <c r="HJ3477" s="5" t="s">
        <v>240</v>
      </c>
      <c r="HK3477" s="5" t="s">
        <v>240</v>
      </c>
      <c r="HL3477" s="5" t="s">
        <v>240</v>
      </c>
      <c r="HM3477" s="5" t="s">
        <v>240</v>
      </c>
      <c r="HN3477" s="5" t="s">
        <v>240</v>
      </c>
      <c r="HO3477" s="5" t="s">
        <v>240</v>
      </c>
      <c r="HP3477" s="5" t="s">
        <v>240</v>
      </c>
      <c r="HQ3477" s="5" t="s">
        <v>240</v>
      </c>
      <c r="HR3477" s="5" t="s">
        <v>240</v>
      </c>
      <c r="HS3477" s="5" t="s">
        <v>240</v>
      </c>
      <c r="HT3477" s="5" t="s">
        <v>240</v>
      </c>
      <c r="HU3477" s="5" t="s">
        <v>240</v>
      </c>
      <c r="HV3477" s="5" t="s">
        <v>240</v>
      </c>
      <c r="HW3477" s="5" t="s">
        <v>240</v>
      </c>
      <c r="HX3477" s="5" t="s">
        <v>240</v>
      </c>
      <c r="HY3477" s="5" t="s">
        <v>240</v>
      </c>
      <c r="HZ3477" s="5" t="s">
        <v>240</v>
      </c>
      <c r="IA3477" s="5" t="s">
        <v>240</v>
      </c>
      <c r="IB3477" s="5" t="s">
        <v>240</v>
      </c>
      <c r="IC3477" s="5" t="s">
        <v>240</v>
      </c>
      <c r="ID3477" s="5" t="s">
        <v>240</v>
      </c>
      <c r="IE3477" s="5" t="s">
        <v>240</v>
      </c>
      <c r="IF3477" s="5" t="s">
        <v>240</v>
      </c>
    </row>
    <row r="3478" spans="1:240" x14ac:dyDescent="0.4">
      <c r="A3478" s="5">
        <v>9020</v>
      </c>
      <c r="B3478" s="5">
        <v>1</v>
      </c>
      <c r="C3478" s="5">
        <v>1</v>
      </c>
      <c r="D3478" s="5" t="s">
        <v>723</v>
      </c>
      <c r="E3478" s="5" t="s">
        <v>5060</v>
      </c>
      <c r="F3478" s="5" t="s">
        <v>254</v>
      </c>
      <c r="G3478" s="5" t="s">
        <v>5061</v>
      </c>
      <c r="H3478" s="6" t="s">
        <v>5177</v>
      </c>
      <c r="I3478" s="5" t="s">
        <v>5176</v>
      </c>
      <c r="J3478" s="7">
        <f>1</f>
        <v>1</v>
      </c>
      <c r="K3478" s="5" t="s">
        <v>3682</v>
      </c>
      <c r="L3478" s="7">
        <f>1</f>
        <v>1</v>
      </c>
      <c r="M3478" s="7">
        <f>1</f>
        <v>1</v>
      </c>
      <c r="N3478" s="5" t="s">
        <v>242</v>
      </c>
      <c r="O3478" s="5">
        <v>1</v>
      </c>
      <c r="P3478" s="5" t="s">
        <v>294</v>
      </c>
      <c r="Q3478" s="5" t="s">
        <v>266</v>
      </c>
      <c r="R3478" s="5" t="s">
        <v>240</v>
      </c>
      <c r="S3478" s="5" t="s">
        <v>240</v>
      </c>
      <c r="T3478" s="5" t="s">
        <v>243</v>
      </c>
      <c r="U3478" s="5" t="s">
        <v>240</v>
      </c>
      <c r="V3478" s="5" t="s">
        <v>240</v>
      </c>
      <c r="Y3478" s="5" t="s">
        <v>240</v>
      </c>
      <c r="Z3478" s="6" t="s">
        <v>6183</v>
      </c>
      <c r="AB3478" s="6" t="s">
        <v>240</v>
      </c>
      <c r="AE3478" s="6" t="s">
        <v>6184</v>
      </c>
      <c r="AF3478" s="5" t="s">
        <v>248</v>
      </c>
      <c r="AG3478" s="5" t="s">
        <v>249</v>
      </c>
      <c r="AW3478" s="5" t="s">
        <v>251</v>
      </c>
      <c r="AX3478" s="5" t="s">
        <v>240</v>
      </c>
      <c r="AY3478" s="5" t="s">
        <v>253</v>
      </c>
      <c r="AZ3478" s="5" t="s">
        <v>240</v>
      </c>
      <c r="BA3478" s="5" t="s">
        <v>255</v>
      </c>
      <c r="BB3478" s="5" t="s">
        <v>240</v>
      </c>
      <c r="BD3478" s="5" t="s">
        <v>240</v>
      </c>
      <c r="BF3478" s="5" t="s">
        <v>687</v>
      </c>
      <c r="BG3478" s="6" t="s">
        <v>6183</v>
      </c>
      <c r="BH3478" s="5" t="s">
        <v>302</v>
      </c>
      <c r="BI3478" s="5" t="s">
        <v>448</v>
      </c>
      <c r="BJ3478" s="5" t="s">
        <v>240</v>
      </c>
      <c r="BK3478" s="8">
        <f>0</f>
        <v>0</v>
      </c>
      <c r="BL3478" s="7">
        <f>0</f>
        <v>0</v>
      </c>
      <c r="BM3478" s="5" t="s">
        <v>258</v>
      </c>
      <c r="BN3478" s="5" t="s">
        <v>259</v>
      </c>
      <c r="CB3478" s="5" t="s">
        <v>240</v>
      </c>
      <c r="CC3478" s="5" t="s">
        <v>240</v>
      </c>
      <c r="CG3478" s="5" t="s">
        <v>449</v>
      </c>
      <c r="CH3478" s="5" t="s">
        <v>305</v>
      </c>
      <c r="CI3478" s="5" t="s">
        <v>240</v>
      </c>
      <c r="CL3478" s="6" t="s">
        <v>261</v>
      </c>
      <c r="CM3478" s="5" t="s">
        <v>240</v>
      </c>
      <c r="CN3478" s="5" t="s">
        <v>263</v>
      </c>
      <c r="CO3478" s="5" t="s">
        <v>240</v>
      </c>
      <c r="CP3478" s="5" t="s">
        <v>240</v>
      </c>
      <c r="CQ3478" s="5">
        <v>0</v>
      </c>
      <c r="CR3478" s="5" t="s">
        <v>306</v>
      </c>
      <c r="CS3478" s="5" t="s">
        <v>307</v>
      </c>
      <c r="CT3478" s="5" t="s">
        <v>307</v>
      </c>
      <c r="CU3478" s="5" t="s">
        <v>260</v>
      </c>
      <c r="CX3478" s="7">
        <f>26509</f>
        <v>26509</v>
      </c>
      <c r="CY3478" s="7">
        <f>0</f>
        <v>0</v>
      </c>
      <c r="DA3478" s="7">
        <f>0</f>
        <v>0</v>
      </c>
      <c r="DC3478" s="5" t="s">
        <v>450</v>
      </c>
      <c r="DD3478" s="5" t="s">
        <v>240</v>
      </c>
      <c r="DF3478" s="5" t="s">
        <v>450</v>
      </c>
      <c r="DG3478" s="7">
        <f>5.41</f>
        <v>5.41</v>
      </c>
      <c r="DI3478" s="5" t="s">
        <v>240</v>
      </c>
      <c r="DJ3478" s="5" t="s">
        <v>240</v>
      </c>
      <c r="DK3478" s="5" t="s">
        <v>240</v>
      </c>
      <c r="DL3478" s="5" t="s">
        <v>240</v>
      </c>
      <c r="DP3478" s="5" t="s">
        <v>240</v>
      </c>
      <c r="DQ3478" s="5" t="s">
        <v>240</v>
      </c>
      <c r="DR3478" s="5" t="s">
        <v>240</v>
      </c>
      <c r="DS3478" s="5" t="s">
        <v>240</v>
      </c>
      <c r="DV3478" s="5" t="s">
        <v>310</v>
      </c>
      <c r="DW3478" s="5" t="s">
        <v>2363</v>
      </c>
      <c r="HO3478" s="5" t="s">
        <v>312</v>
      </c>
    </row>
    <row r="3479" spans="1:240" x14ac:dyDescent="0.4">
      <c r="A3479" s="5">
        <v>9021</v>
      </c>
      <c r="B3479" s="5">
        <v>1</v>
      </c>
      <c r="C3479" s="5">
        <v>1</v>
      </c>
      <c r="D3479" s="5" t="s">
        <v>723</v>
      </c>
      <c r="E3479" s="5" t="s">
        <v>5060</v>
      </c>
      <c r="F3479" s="5" t="s">
        <v>254</v>
      </c>
      <c r="G3479" s="5" t="s">
        <v>5061</v>
      </c>
      <c r="H3479" s="6" t="s">
        <v>5185</v>
      </c>
      <c r="I3479" s="5" t="s">
        <v>5184</v>
      </c>
      <c r="J3479" s="7">
        <f>1</f>
        <v>1</v>
      </c>
      <c r="K3479" s="5" t="s">
        <v>3682</v>
      </c>
      <c r="L3479" s="7">
        <f>1</f>
        <v>1</v>
      </c>
      <c r="M3479" s="7">
        <f>1</f>
        <v>1</v>
      </c>
      <c r="N3479" s="5" t="s">
        <v>242</v>
      </c>
      <c r="O3479" s="5">
        <v>1</v>
      </c>
      <c r="P3479" s="5" t="s">
        <v>294</v>
      </c>
      <c r="Q3479" s="5" t="s">
        <v>613</v>
      </c>
      <c r="R3479" s="5" t="s">
        <v>240</v>
      </c>
      <c r="S3479" s="5" t="s">
        <v>240</v>
      </c>
      <c r="T3479" s="5" t="s">
        <v>243</v>
      </c>
      <c r="U3479" s="5" t="s">
        <v>724</v>
      </c>
      <c r="V3479" s="5" t="s">
        <v>240</v>
      </c>
      <c r="W3479" s="5" t="s">
        <v>240</v>
      </c>
      <c r="X3479" s="5" t="s">
        <v>240</v>
      </c>
      <c r="Y3479" s="5" t="s">
        <v>240</v>
      </c>
      <c r="Z3479" s="6" t="s">
        <v>298</v>
      </c>
      <c r="AA3479" s="6" t="s">
        <v>240</v>
      </c>
      <c r="AB3479" s="6" t="s">
        <v>240</v>
      </c>
      <c r="AC3479" s="5" t="s">
        <v>240</v>
      </c>
      <c r="AD3479" s="6" t="s">
        <v>240</v>
      </c>
      <c r="AE3479" s="6" t="s">
        <v>299</v>
      </c>
      <c r="AF3479" s="5" t="s">
        <v>727</v>
      </c>
      <c r="AG3479" s="5" t="s">
        <v>260</v>
      </c>
      <c r="AH3479" s="5" t="s">
        <v>240</v>
      </c>
      <c r="AI3479" s="5" t="s">
        <v>240</v>
      </c>
      <c r="AJ3479" s="5" t="s">
        <v>240</v>
      </c>
      <c r="AK3479" s="5" t="s">
        <v>240</v>
      </c>
      <c r="AL3479" s="5" t="s">
        <v>240</v>
      </c>
      <c r="AM3479" s="5" t="s">
        <v>240</v>
      </c>
      <c r="AN3479" s="5" t="s">
        <v>240</v>
      </c>
      <c r="AO3479" s="5" t="s">
        <v>240</v>
      </c>
      <c r="AP3479" s="6" t="s">
        <v>240</v>
      </c>
      <c r="AQ3479" s="6" t="s">
        <v>240</v>
      </c>
      <c r="AR3479" s="6" t="s">
        <v>240</v>
      </c>
      <c r="AS3479" s="6" t="s">
        <v>240</v>
      </c>
      <c r="AT3479" s="5" t="s">
        <v>240</v>
      </c>
      <c r="AU3479" s="5" t="s">
        <v>729</v>
      </c>
      <c r="AV3479" s="5" t="s">
        <v>729</v>
      </c>
      <c r="AW3479" s="5" t="s">
        <v>251</v>
      </c>
      <c r="AX3479" s="5" t="s">
        <v>252</v>
      </c>
      <c r="AY3479" s="5" t="s">
        <v>253</v>
      </c>
      <c r="AZ3479" s="5" t="s">
        <v>240</v>
      </c>
      <c r="BA3479" s="5" t="s">
        <v>255</v>
      </c>
      <c r="BB3479" s="5" t="s">
        <v>731</v>
      </c>
      <c r="BD3479" s="5" t="s">
        <v>240</v>
      </c>
      <c r="BF3479" s="5" t="s">
        <v>732</v>
      </c>
      <c r="BG3479" s="6" t="s">
        <v>733</v>
      </c>
      <c r="BH3479" s="5" t="s">
        <v>734</v>
      </c>
      <c r="BI3479" s="5" t="s">
        <v>734</v>
      </c>
      <c r="BJ3479" s="5" t="s">
        <v>240</v>
      </c>
      <c r="BK3479" s="8">
        <f>47.3</f>
        <v>47.3</v>
      </c>
      <c r="BL3479" s="7">
        <f>0</f>
        <v>0</v>
      </c>
      <c r="BM3479" s="5" t="s">
        <v>258</v>
      </c>
      <c r="BN3479" s="5" t="s">
        <v>259</v>
      </c>
      <c r="BO3479" s="5" t="s">
        <v>240</v>
      </c>
      <c r="BP3479" s="5" t="s">
        <v>240</v>
      </c>
      <c r="BQ3479" s="5" t="s">
        <v>240</v>
      </c>
      <c r="BR3479" s="5" t="s">
        <v>240</v>
      </c>
      <c r="BS3479" s="5" t="s">
        <v>240</v>
      </c>
      <c r="BT3479" s="5" t="s">
        <v>240</v>
      </c>
      <c r="BU3479" s="5" t="s">
        <v>240</v>
      </c>
      <c r="BV3479" s="5" t="s">
        <v>240</v>
      </c>
      <c r="BW3479" s="6" t="s">
        <v>240</v>
      </c>
      <c r="BX3479" s="5" t="s">
        <v>240</v>
      </c>
      <c r="BY3479" s="5" t="s">
        <v>240</v>
      </c>
      <c r="BZ3479" s="5" t="s">
        <v>240</v>
      </c>
      <c r="CA3479" s="5" t="s">
        <v>259</v>
      </c>
      <c r="CB3479" s="5" t="s">
        <v>240</v>
      </c>
      <c r="CC3479" s="5" t="s">
        <v>240</v>
      </c>
      <c r="CD3479" s="5" t="s">
        <v>240</v>
      </c>
      <c r="CE3479" s="5" t="s">
        <v>240</v>
      </c>
      <c r="CF3479" s="5" t="s">
        <v>240</v>
      </c>
      <c r="CG3479" s="5" t="s">
        <v>617</v>
      </c>
      <c r="CH3479" s="5" t="s">
        <v>305</v>
      </c>
      <c r="CI3479" s="5" t="s">
        <v>240</v>
      </c>
      <c r="CL3479" s="6" t="s">
        <v>261</v>
      </c>
      <c r="CM3479" s="5" t="s">
        <v>262</v>
      </c>
      <c r="CN3479" s="5" t="s">
        <v>263</v>
      </c>
      <c r="CO3479" s="5" t="s">
        <v>264</v>
      </c>
      <c r="CP3479" s="5" t="s">
        <v>240</v>
      </c>
      <c r="CQ3479" s="5">
        <v>0</v>
      </c>
      <c r="CR3479" s="5" t="s">
        <v>735</v>
      </c>
      <c r="CS3479" s="5" t="s">
        <v>307</v>
      </c>
      <c r="CT3479" s="5" t="s">
        <v>307</v>
      </c>
      <c r="CU3479" s="5" t="s">
        <v>260</v>
      </c>
      <c r="CV3479" s="5" t="s">
        <v>240</v>
      </c>
      <c r="CW3479" s="8">
        <f>0</f>
        <v>0</v>
      </c>
      <c r="CX3479" s="7">
        <f>0</f>
        <v>0</v>
      </c>
      <c r="CY3479" s="7">
        <f>0</f>
        <v>0</v>
      </c>
      <c r="DA3479" s="7">
        <f>520</f>
        <v>520</v>
      </c>
      <c r="DB3479" s="7" t="s">
        <v>240</v>
      </c>
      <c r="DC3479" s="5" t="s">
        <v>240</v>
      </c>
      <c r="DD3479" s="5" t="s">
        <v>240</v>
      </c>
      <c r="DE3479" s="5" t="s">
        <v>240</v>
      </c>
      <c r="DF3479" s="5" t="s">
        <v>450</v>
      </c>
      <c r="DG3479" s="7">
        <f>0</f>
        <v>0</v>
      </c>
      <c r="DI3479" s="5" t="s">
        <v>737</v>
      </c>
      <c r="DJ3479" s="5" t="s">
        <v>240</v>
      </c>
      <c r="DK3479" s="5" t="s">
        <v>240</v>
      </c>
      <c r="DL3479" s="5" t="s">
        <v>240</v>
      </c>
      <c r="DM3479" s="5" t="s">
        <v>240</v>
      </c>
      <c r="DN3479" s="5" t="s">
        <v>240</v>
      </c>
      <c r="DO3479" s="7" t="s">
        <v>240</v>
      </c>
      <c r="DP3479" s="5" t="s">
        <v>240</v>
      </c>
      <c r="DQ3479" s="5" t="s">
        <v>240</v>
      </c>
      <c r="DR3479" s="5" t="s">
        <v>731</v>
      </c>
      <c r="DS3479" s="5" t="s">
        <v>731</v>
      </c>
      <c r="DT3479" s="5" t="s">
        <v>240</v>
      </c>
      <c r="DU3479" s="5" t="s">
        <v>240</v>
      </c>
      <c r="DV3479" s="5" t="s">
        <v>738</v>
      </c>
      <c r="DW3479" s="5" t="s">
        <v>598</v>
      </c>
      <c r="DX3479" s="5" t="s">
        <v>240</v>
      </c>
      <c r="DY3479" s="5" t="s">
        <v>240</v>
      </c>
      <c r="DZ3479" s="5" t="s">
        <v>240</v>
      </c>
      <c r="EA3479" s="5" t="s">
        <v>240</v>
      </c>
      <c r="EB3479" s="5" t="s">
        <v>240</v>
      </c>
      <c r="EC3479" s="5" t="s">
        <v>240</v>
      </c>
      <c r="ED3479" s="5" t="s">
        <v>240</v>
      </c>
      <c r="EE3479" s="5" t="s">
        <v>240</v>
      </c>
      <c r="EF3479" s="5" t="s">
        <v>240</v>
      </c>
      <c r="EG3479" s="5" t="s">
        <v>240</v>
      </c>
      <c r="EH3479" s="5" t="s">
        <v>240</v>
      </c>
      <c r="EI3479" s="5" t="s">
        <v>240</v>
      </c>
      <c r="EJ3479" s="5" t="s">
        <v>240</v>
      </c>
      <c r="EK3479" s="5" t="s">
        <v>240</v>
      </c>
      <c r="EL3479" s="5" t="s">
        <v>240</v>
      </c>
      <c r="EM3479" s="5" t="s">
        <v>240</v>
      </c>
      <c r="EN3479" s="5" t="s">
        <v>240</v>
      </c>
      <c r="EO3479" s="5" t="s">
        <v>240</v>
      </c>
      <c r="EP3479" s="5" t="s">
        <v>240</v>
      </c>
      <c r="EQ3479" s="5" t="s">
        <v>240</v>
      </c>
      <c r="ER3479" s="5" t="s">
        <v>240</v>
      </c>
      <c r="ES3479" s="5" t="s">
        <v>240</v>
      </c>
      <c r="ET3479" s="5" t="s">
        <v>240</v>
      </c>
      <c r="EU3479" s="5" t="s">
        <v>240</v>
      </c>
      <c r="EV3479" s="5" t="s">
        <v>240</v>
      </c>
      <c r="EW3479" s="5" t="s">
        <v>240</v>
      </c>
      <c r="EX3479" s="5" t="s">
        <v>240</v>
      </c>
      <c r="EY3479" s="5" t="s">
        <v>240</v>
      </c>
      <c r="EZ3479" s="5" t="s">
        <v>240</v>
      </c>
      <c r="FA3479" s="5" t="s">
        <v>240</v>
      </c>
      <c r="FB3479" s="5" t="s">
        <v>240</v>
      </c>
      <c r="FC3479" s="5" t="s">
        <v>240</v>
      </c>
      <c r="FD3479" s="5" t="s">
        <v>240</v>
      </c>
      <c r="FE3479" s="5" t="s">
        <v>240</v>
      </c>
      <c r="FF3479" s="5" t="s">
        <v>240</v>
      </c>
      <c r="FG3479" s="5" t="s">
        <v>240</v>
      </c>
      <c r="FH3479" s="5" t="s">
        <v>240</v>
      </c>
      <c r="FI3479" s="5" t="s">
        <v>240</v>
      </c>
      <c r="FJ3479" s="5" t="s">
        <v>240</v>
      </c>
      <c r="FK3479" s="5" t="s">
        <v>240</v>
      </c>
      <c r="FL3479" s="5" t="s">
        <v>240</v>
      </c>
      <c r="FM3479" s="5" t="s">
        <v>240</v>
      </c>
      <c r="FN3479" s="5" t="s">
        <v>240</v>
      </c>
      <c r="FO3479" s="5" t="s">
        <v>240</v>
      </c>
      <c r="FP3479" s="5" t="s">
        <v>240</v>
      </c>
      <c r="FQ3479" s="5" t="s">
        <v>240</v>
      </c>
      <c r="FR3479" s="5" t="s">
        <v>240</v>
      </c>
      <c r="FS3479" s="5" t="s">
        <v>240</v>
      </c>
      <c r="FT3479" s="5" t="s">
        <v>240</v>
      </c>
      <c r="FU3479" s="5" t="s">
        <v>240</v>
      </c>
      <c r="FV3479" s="5" t="s">
        <v>240</v>
      </c>
      <c r="FW3479" s="5" t="s">
        <v>240</v>
      </c>
      <c r="FX3479" s="5" t="s">
        <v>240</v>
      </c>
      <c r="FY3479" s="5" t="s">
        <v>240</v>
      </c>
      <c r="FZ3479" s="5" t="s">
        <v>240</v>
      </c>
      <c r="GA3479" s="5" t="s">
        <v>240</v>
      </c>
      <c r="GB3479" s="5" t="s">
        <v>240</v>
      </c>
      <c r="GC3479" s="5" t="s">
        <v>240</v>
      </c>
      <c r="GD3479" s="5" t="s">
        <v>240</v>
      </c>
      <c r="GE3479" s="5" t="s">
        <v>240</v>
      </c>
      <c r="GF3479" s="5" t="s">
        <v>240</v>
      </c>
      <c r="GG3479" s="5" t="s">
        <v>240</v>
      </c>
      <c r="GH3479" s="5" t="s">
        <v>240</v>
      </c>
      <c r="GI3479" s="5" t="s">
        <v>240</v>
      </c>
      <c r="GJ3479" s="5" t="s">
        <v>240</v>
      </c>
      <c r="GK3479" s="5" t="s">
        <v>240</v>
      </c>
      <c r="GL3479" s="5" t="s">
        <v>240</v>
      </c>
      <c r="GM3479" s="5" t="s">
        <v>240</v>
      </c>
      <c r="GN3479" s="5" t="s">
        <v>240</v>
      </c>
      <c r="GO3479" s="5" t="s">
        <v>240</v>
      </c>
      <c r="GP3479" s="5" t="s">
        <v>240</v>
      </c>
      <c r="GQ3479" s="5" t="s">
        <v>240</v>
      </c>
      <c r="GR3479" s="5" t="s">
        <v>240</v>
      </c>
      <c r="GS3479" s="5" t="s">
        <v>240</v>
      </c>
      <c r="GT3479" s="5" t="s">
        <v>240</v>
      </c>
      <c r="GU3479" s="5" t="s">
        <v>240</v>
      </c>
      <c r="GV3479" s="5" t="s">
        <v>240</v>
      </c>
      <c r="GW3479" s="5" t="s">
        <v>240</v>
      </c>
      <c r="GX3479" s="5" t="s">
        <v>240</v>
      </c>
      <c r="GY3479" s="5" t="s">
        <v>240</v>
      </c>
      <c r="GZ3479" s="5" t="s">
        <v>240</v>
      </c>
      <c r="HA3479" s="5" t="s">
        <v>240</v>
      </c>
      <c r="HB3479" s="5" t="s">
        <v>240</v>
      </c>
      <c r="HC3479" s="5" t="s">
        <v>240</v>
      </c>
      <c r="HD3479" s="5" t="s">
        <v>240</v>
      </c>
      <c r="HE3479" s="5" t="s">
        <v>240</v>
      </c>
      <c r="HF3479" s="5" t="s">
        <v>240</v>
      </c>
      <c r="HG3479" s="5" t="s">
        <v>240</v>
      </c>
      <c r="HH3479" s="5" t="s">
        <v>240</v>
      </c>
      <c r="HI3479" s="5" t="s">
        <v>240</v>
      </c>
      <c r="HJ3479" s="5" t="s">
        <v>240</v>
      </c>
      <c r="HK3479" s="5" t="s">
        <v>240</v>
      </c>
      <c r="HL3479" s="5" t="s">
        <v>240</v>
      </c>
      <c r="HM3479" s="5" t="s">
        <v>240</v>
      </c>
      <c r="HN3479" s="5" t="s">
        <v>240</v>
      </c>
      <c r="HO3479" s="5" t="s">
        <v>620</v>
      </c>
      <c r="HP3479" s="5" t="s">
        <v>240</v>
      </c>
      <c r="HQ3479" s="5" t="s">
        <v>240</v>
      </c>
      <c r="HR3479" s="5" t="s">
        <v>240</v>
      </c>
      <c r="HS3479" s="5" t="s">
        <v>240</v>
      </c>
      <c r="HT3479" s="5" t="s">
        <v>240</v>
      </c>
      <c r="HU3479" s="5" t="s">
        <v>240</v>
      </c>
      <c r="HV3479" s="5" t="s">
        <v>240</v>
      </c>
      <c r="HW3479" s="5" t="s">
        <v>240</v>
      </c>
      <c r="HX3479" s="5" t="s">
        <v>240</v>
      </c>
      <c r="HY3479" s="5" t="s">
        <v>240</v>
      </c>
      <c r="HZ3479" s="5" t="s">
        <v>240</v>
      </c>
      <c r="IA3479" s="5" t="s">
        <v>240</v>
      </c>
      <c r="IB3479" s="5" t="s">
        <v>240</v>
      </c>
      <c r="IC3479" s="5" t="s">
        <v>240</v>
      </c>
      <c r="ID3479" s="5" t="s">
        <v>240</v>
      </c>
      <c r="IE3479" s="5" t="s">
        <v>240</v>
      </c>
      <c r="IF3479" s="5" t="s">
        <v>240</v>
      </c>
    </row>
    <row r="3480" spans="1:240" x14ac:dyDescent="0.4">
      <c r="A3480" s="5">
        <v>9022</v>
      </c>
      <c r="B3480" s="5">
        <v>1</v>
      </c>
      <c r="C3480" s="5">
        <v>1</v>
      </c>
      <c r="D3480" s="5" t="s">
        <v>723</v>
      </c>
      <c r="E3480" s="5" t="s">
        <v>5060</v>
      </c>
      <c r="F3480" s="5" t="s">
        <v>254</v>
      </c>
      <c r="G3480" s="5" t="s">
        <v>5061</v>
      </c>
      <c r="H3480" s="6" t="s">
        <v>5187</v>
      </c>
      <c r="I3480" s="5" t="s">
        <v>5186</v>
      </c>
      <c r="J3480" s="7">
        <f>1</f>
        <v>1</v>
      </c>
      <c r="K3480" s="5" t="s">
        <v>3682</v>
      </c>
      <c r="L3480" s="7">
        <f>1</f>
        <v>1</v>
      </c>
      <c r="M3480" s="7">
        <f>1</f>
        <v>1</v>
      </c>
      <c r="N3480" s="5" t="s">
        <v>242</v>
      </c>
      <c r="O3480" s="5">
        <v>1</v>
      </c>
      <c r="P3480" s="5" t="s">
        <v>294</v>
      </c>
      <c r="Q3480" s="5" t="s">
        <v>613</v>
      </c>
      <c r="R3480" s="5" t="s">
        <v>240</v>
      </c>
      <c r="S3480" s="5" t="s">
        <v>240</v>
      </c>
      <c r="T3480" s="5" t="s">
        <v>243</v>
      </c>
      <c r="U3480" s="5" t="s">
        <v>724</v>
      </c>
      <c r="V3480" s="5" t="s">
        <v>240</v>
      </c>
      <c r="W3480" s="5" t="s">
        <v>240</v>
      </c>
      <c r="X3480" s="5" t="s">
        <v>240</v>
      </c>
      <c r="Y3480" s="5" t="s">
        <v>240</v>
      </c>
      <c r="Z3480" s="6" t="s">
        <v>298</v>
      </c>
      <c r="AA3480" s="6" t="s">
        <v>240</v>
      </c>
      <c r="AB3480" s="6" t="s">
        <v>240</v>
      </c>
      <c r="AC3480" s="5" t="s">
        <v>240</v>
      </c>
      <c r="AD3480" s="6" t="s">
        <v>240</v>
      </c>
      <c r="AE3480" s="6" t="s">
        <v>299</v>
      </c>
      <c r="AF3480" s="5" t="s">
        <v>727</v>
      </c>
      <c r="AG3480" s="5" t="s">
        <v>260</v>
      </c>
      <c r="AH3480" s="5" t="s">
        <v>240</v>
      </c>
      <c r="AI3480" s="5" t="s">
        <v>240</v>
      </c>
      <c r="AJ3480" s="5" t="s">
        <v>240</v>
      </c>
      <c r="AK3480" s="5" t="s">
        <v>240</v>
      </c>
      <c r="AL3480" s="5" t="s">
        <v>240</v>
      </c>
      <c r="AM3480" s="5" t="s">
        <v>240</v>
      </c>
      <c r="AN3480" s="5" t="s">
        <v>240</v>
      </c>
      <c r="AO3480" s="5" t="s">
        <v>240</v>
      </c>
      <c r="AP3480" s="6" t="s">
        <v>240</v>
      </c>
      <c r="AQ3480" s="6" t="s">
        <v>240</v>
      </c>
      <c r="AR3480" s="6" t="s">
        <v>240</v>
      </c>
      <c r="AS3480" s="6" t="s">
        <v>240</v>
      </c>
      <c r="AT3480" s="5" t="s">
        <v>240</v>
      </c>
      <c r="AU3480" s="5" t="s">
        <v>729</v>
      </c>
      <c r="AV3480" s="5" t="s">
        <v>729</v>
      </c>
      <c r="AW3480" s="5" t="s">
        <v>251</v>
      </c>
      <c r="AX3480" s="5" t="s">
        <v>252</v>
      </c>
      <c r="AY3480" s="5" t="s">
        <v>253</v>
      </c>
      <c r="AZ3480" s="5" t="s">
        <v>240</v>
      </c>
      <c r="BA3480" s="5" t="s">
        <v>255</v>
      </c>
      <c r="BB3480" s="5" t="s">
        <v>731</v>
      </c>
      <c r="BD3480" s="5" t="s">
        <v>240</v>
      </c>
      <c r="BF3480" s="5" t="s">
        <v>732</v>
      </c>
      <c r="BG3480" s="6" t="s">
        <v>733</v>
      </c>
      <c r="BH3480" s="5" t="s">
        <v>734</v>
      </c>
      <c r="BI3480" s="5" t="s">
        <v>734</v>
      </c>
      <c r="BJ3480" s="5" t="s">
        <v>240</v>
      </c>
      <c r="BK3480" s="8">
        <f>385</f>
        <v>385</v>
      </c>
      <c r="BL3480" s="7">
        <f>0</f>
        <v>0</v>
      </c>
      <c r="BM3480" s="5" t="s">
        <v>258</v>
      </c>
      <c r="BN3480" s="5" t="s">
        <v>259</v>
      </c>
      <c r="BO3480" s="5" t="s">
        <v>240</v>
      </c>
      <c r="BP3480" s="5" t="s">
        <v>240</v>
      </c>
      <c r="BQ3480" s="5" t="s">
        <v>240</v>
      </c>
      <c r="BR3480" s="5" t="s">
        <v>240</v>
      </c>
      <c r="BS3480" s="5" t="s">
        <v>240</v>
      </c>
      <c r="BT3480" s="5" t="s">
        <v>240</v>
      </c>
      <c r="BU3480" s="5" t="s">
        <v>240</v>
      </c>
      <c r="BV3480" s="5" t="s">
        <v>240</v>
      </c>
      <c r="BW3480" s="6" t="s">
        <v>240</v>
      </c>
      <c r="BX3480" s="5" t="s">
        <v>240</v>
      </c>
      <c r="BY3480" s="5" t="s">
        <v>240</v>
      </c>
      <c r="BZ3480" s="5" t="s">
        <v>240</v>
      </c>
      <c r="CA3480" s="5" t="s">
        <v>259</v>
      </c>
      <c r="CB3480" s="5" t="s">
        <v>240</v>
      </c>
      <c r="CC3480" s="5" t="s">
        <v>240</v>
      </c>
      <c r="CD3480" s="5" t="s">
        <v>240</v>
      </c>
      <c r="CE3480" s="5" t="s">
        <v>240</v>
      </c>
      <c r="CF3480" s="5" t="s">
        <v>240</v>
      </c>
      <c r="CG3480" s="5" t="s">
        <v>617</v>
      </c>
      <c r="CH3480" s="5" t="s">
        <v>305</v>
      </c>
      <c r="CI3480" s="5" t="s">
        <v>240</v>
      </c>
      <c r="CL3480" s="6" t="s">
        <v>261</v>
      </c>
      <c r="CM3480" s="5" t="s">
        <v>262</v>
      </c>
      <c r="CN3480" s="5" t="s">
        <v>263</v>
      </c>
      <c r="CO3480" s="5" t="s">
        <v>264</v>
      </c>
      <c r="CP3480" s="5" t="s">
        <v>240</v>
      </c>
      <c r="CQ3480" s="5">
        <v>0</v>
      </c>
      <c r="CR3480" s="5" t="s">
        <v>735</v>
      </c>
      <c r="CS3480" s="5" t="s">
        <v>307</v>
      </c>
      <c r="CT3480" s="5" t="s">
        <v>307</v>
      </c>
      <c r="CU3480" s="5" t="s">
        <v>260</v>
      </c>
      <c r="CV3480" s="5" t="s">
        <v>240</v>
      </c>
      <c r="CW3480" s="8">
        <f>0</f>
        <v>0</v>
      </c>
      <c r="CX3480" s="7">
        <f>0</f>
        <v>0</v>
      </c>
      <c r="CY3480" s="7">
        <f>0</f>
        <v>0</v>
      </c>
      <c r="DA3480" s="7">
        <f>4235</f>
        <v>4235</v>
      </c>
      <c r="DB3480" s="7" t="s">
        <v>240</v>
      </c>
      <c r="DC3480" s="5" t="s">
        <v>240</v>
      </c>
      <c r="DD3480" s="5" t="s">
        <v>240</v>
      </c>
      <c r="DE3480" s="5" t="s">
        <v>240</v>
      </c>
      <c r="DF3480" s="5" t="s">
        <v>854</v>
      </c>
      <c r="DG3480" s="7">
        <f>0</f>
        <v>0</v>
      </c>
      <c r="DI3480" s="5" t="s">
        <v>737</v>
      </c>
      <c r="DJ3480" s="5" t="s">
        <v>240</v>
      </c>
      <c r="DK3480" s="5" t="s">
        <v>240</v>
      </c>
      <c r="DL3480" s="5" t="s">
        <v>240</v>
      </c>
      <c r="DM3480" s="5" t="s">
        <v>240</v>
      </c>
      <c r="DN3480" s="5" t="s">
        <v>240</v>
      </c>
      <c r="DO3480" s="7" t="s">
        <v>240</v>
      </c>
      <c r="DP3480" s="5" t="s">
        <v>240</v>
      </c>
      <c r="DQ3480" s="5" t="s">
        <v>240</v>
      </c>
      <c r="DR3480" s="5" t="s">
        <v>731</v>
      </c>
      <c r="DS3480" s="5" t="s">
        <v>731</v>
      </c>
      <c r="DT3480" s="5" t="s">
        <v>240</v>
      </c>
      <c r="DU3480" s="5" t="s">
        <v>240</v>
      </c>
      <c r="DV3480" s="5" t="s">
        <v>738</v>
      </c>
      <c r="DW3480" s="5" t="s">
        <v>548</v>
      </c>
      <c r="DX3480" s="5" t="s">
        <v>240</v>
      </c>
      <c r="DY3480" s="5" t="s">
        <v>240</v>
      </c>
      <c r="DZ3480" s="5" t="s">
        <v>240</v>
      </c>
      <c r="EA3480" s="5" t="s">
        <v>240</v>
      </c>
      <c r="EB3480" s="5" t="s">
        <v>240</v>
      </c>
      <c r="EC3480" s="5" t="s">
        <v>240</v>
      </c>
      <c r="ED3480" s="5" t="s">
        <v>240</v>
      </c>
      <c r="EE3480" s="5" t="s">
        <v>240</v>
      </c>
      <c r="EF3480" s="5" t="s">
        <v>240</v>
      </c>
      <c r="EG3480" s="5" t="s">
        <v>240</v>
      </c>
      <c r="EH3480" s="5" t="s">
        <v>240</v>
      </c>
      <c r="EI3480" s="5" t="s">
        <v>240</v>
      </c>
      <c r="EJ3480" s="5" t="s">
        <v>240</v>
      </c>
      <c r="EK3480" s="5" t="s">
        <v>240</v>
      </c>
      <c r="EL3480" s="5" t="s">
        <v>240</v>
      </c>
      <c r="EM3480" s="5" t="s">
        <v>240</v>
      </c>
      <c r="EN3480" s="5" t="s">
        <v>240</v>
      </c>
      <c r="EO3480" s="5" t="s">
        <v>240</v>
      </c>
      <c r="EP3480" s="5" t="s">
        <v>240</v>
      </c>
      <c r="EQ3480" s="5" t="s">
        <v>240</v>
      </c>
      <c r="ER3480" s="5" t="s">
        <v>240</v>
      </c>
      <c r="ES3480" s="5" t="s">
        <v>240</v>
      </c>
      <c r="ET3480" s="5" t="s">
        <v>240</v>
      </c>
      <c r="EU3480" s="5" t="s">
        <v>240</v>
      </c>
      <c r="EV3480" s="5" t="s">
        <v>240</v>
      </c>
      <c r="EW3480" s="5" t="s">
        <v>240</v>
      </c>
      <c r="EX3480" s="5" t="s">
        <v>240</v>
      </c>
      <c r="EY3480" s="5" t="s">
        <v>240</v>
      </c>
      <c r="EZ3480" s="5" t="s">
        <v>240</v>
      </c>
      <c r="FA3480" s="5" t="s">
        <v>240</v>
      </c>
      <c r="FB3480" s="5" t="s">
        <v>240</v>
      </c>
      <c r="FC3480" s="5" t="s">
        <v>240</v>
      </c>
      <c r="FD3480" s="5" t="s">
        <v>240</v>
      </c>
      <c r="FE3480" s="5" t="s">
        <v>240</v>
      </c>
      <c r="FF3480" s="5" t="s">
        <v>240</v>
      </c>
      <c r="FG3480" s="5" t="s">
        <v>240</v>
      </c>
      <c r="FH3480" s="5" t="s">
        <v>240</v>
      </c>
      <c r="FI3480" s="5" t="s">
        <v>240</v>
      </c>
      <c r="FJ3480" s="5" t="s">
        <v>240</v>
      </c>
      <c r="FK3480" s="5" t="s">
        <v>240</v>
      </c>
      <c r="FL3480" s="5" t="s">
        <v>240</v>
      </c>
      <c r="FM3480" s="5" t="s">
        <v>240</v>
      </c>
      <c r="FN3480" s="5" t="s">
        <v>240</v>
      </c>
      <c r="FO3480" s="5" t="s">
        <v>240</v>
      </c>
      <c r="FP3480" s="5" t="s">
        <v>240</v>
      </c>
      <c r="FQ3480" s="5" t="s">
        <v>240</v>
      </c>
      <c r="FR3480" s="5" t="s">
        <v>240</v>
      </c>
      <c r="FS3480" s="5" t="s">
        <v>240</v>
      </c>
      <c r="FT3480" s="5" t="s">
        <v>240</v>
      </c>
      <c r="FU3480" s="5" t="s">
        <v>240</v>
      </c>
      <c r="FV3480" s="5" t="s">
        <v>240</v>
      </c>
      <c r="FW3480" s="5" t="s">
        <v>240</v>
      </c>
      <c r="FX3480" s="5" t="s">
        <v>240</v>
      </c>
      <c r="FY3480" s="5" t="s">
        <v>240</v>
      </c>
      <c r="FZ3480" s="5" t="s">
        <v>240</v>
      </c>
      <c r="GA3480" s="5" t="s">
        <v>240</v>
      </c>
      <c r="GB3480" s="5" t="s">
        <v>240</v>
      </c>
      <c r="GC3480" s="5" t="s">
        <v>240</v>
      </c>
      <c r="GD3480" s="5" t="s">
        <v>240</v>
      </c>
      <c r="GE3480" s="5" t="s">
        <v>240</v>
      </c>
      <c r="GF3480" s="5" t="s">
        <v>240</v>
      </c>
      <c r="GG3480" s="5" t="s">
        <v>240</v>
      </c>
      <c r="GH3480" s="5" t="s">
        <v>240</v>
      </c>
      <c r="GI3480" s="5" t="s">
        <v>240</v>
      </c>
      <c r="GJ3480" s="5" t="s">
        <v>240</v>
      </c>
      <c r="GK3480" s="5" t="s">
        <v>240</v>
      </c>
      <c r="GL3480" s="5" t="s">
        <v>240</v>
      </c>
      <c r="GM3480" s="5" t="s">
        <v>240</v>
      </c>
      <c r="GN3480" s="5" t="s">
        <v>240</v>
      </c>
      <c r="GO3480" s="5" t="s">
        <v>240</v>
      </c>
      <c r="GP3480" s="5" t="s">
        <v>240</v>
      </c>
      <c r="GQ3480" s="5" t="s">
        <v>240</v>
      </c>
      <c r="GR3480" s="5" t="s">
        <v>240</v>
      </c>
      <c r="GS3480" s="5" t="s">
        <v>240</v>
      </c>
      <c r="GT3480" s="5" t="s">
        <v>240</v>
      </c>
      <c r="GU3480" s="5" t="s">
        <v>240</v>
      </c>
      <c r="GV3480" s="5" t="s">
        <v>240</v>
      </c>
      <c r="GW3480" s="5" t="s">
        <v>240</v>
      </c>
      <c r="GX3480" s="5" t="s">
        <v>240</v>
      </c>
      <c r="GY3480" s="5" t="s">
        <v>240</v>
      </c>
      <c r="GZ3480" s="5" t="s">
        <v>240</v>
      </c>
      <c r="HA3480" s="5" t="s">
        <v>240</v>
      </c>
      <c r="HB3480" s="5" t="s">
        <v>240</v>
      </c>
      <c r="HC3480" s="5" t="s">
        <v>240</v>
      </c>
      <c r="HD3480" s="5" t="s">
        <v>240</v>
      </c>
      <c r="HE3480" s="5" t="s">
        <v>240</v>
      </c>
      <c r="HF3480" s="5" t="s">
        <v>240</v>
      </c>
      <c r="HG3480" s="5" t="s">
        <v>240</v>
      </c>
      <c r="HH3480" s="5" t="s">
        <v>240</v>
      </c>
      <c r="HI3480" s="5" t="s">
        <v>240</v>
      </c>
      <c r="HJ3480" s="5" t="s">
        <v>240</v>
      </c>
      <c r="HK3480" s="5" t="s">
        <v>240</v>
      </c>
      <c r="HL3480" s="5" t="s">
        <v>240</v>
      </c>
      <c r="HM3480" s="5" t="s">
        <v>240</v>
      </c>
      <c r="HN3480" s="5" t="s">
        <v>240</v>
      </c>
      <c r="HO3480" s="5" t="s">
        <v>620</v>
      </c>
      <c r="HP3480" s="5" t="s">
        <v>240</v>
      </c>
      <c r="HQ3480" s="5" t="s">
        <v>240</v>
      </c>
      <c r="HR3480" s="5" t="s">
        <v>240</v>
      </c>
      <c r="HS3480" s="5" t="s">
        <v>240</v>
      </c>
      <c r="HT3480" s="5" t="s">
        <v>240</v>
      </c>
      <c r="HU3480" s="5" t="s">
        <v>240</v>
      </c>
      <c r="HV3480" s="5" t="s">
        <v>240</v>
      </c>
      <c r="HW3480" s="5" t="s">
        <v>240</v>
      </c>
      <c r="HX3480" s="5" t="s">
        <v>240</v>
      </c>
      <c r="HY3480" s="5" t="s">
        <v>240</v>
      </c>
      <c r="HZ3480" s="5" t="s">
        <v>240</v>
      </c>
      <c r="IA3480" s="5" t="s">
        <v>240</v>
      </c>
      <c r="IB3480" s="5" t="s">
        <v>240</v>
      </c>
      <c r="IC3480" s="5" t="s">
        <v>240</v>
      </c>
      <c r="ID3480" s="5" t="s">
        <v>240</v>
      </c>
      <c r="IE3480" s="5" t="s">
        <v>240</v>
      </c>
      <c r="IF3480" s="5" t="s">
        <v>240</v>
      </c>
    </row>
    <row r="3481" spans="1:240" x14ac:dyDescent="0.4">
      <c r="A3481" s="5">
        <v>9023</v>
      </c>
      <c r="B3481" s="5">
        <v>1</v>
      </c>
      <c r="C3481" s="5">
        <v>1</v>
      </c>
      <c r="D3481" s="5" t="s">
        <v>723</v>
      </c>
      <c r="E3481" s="5" t="s">
        <v>5060</v>
      </c>
      <c r="F3481" s="5" t="s">
        <v>254</v>
      </c>
      <c r="G3481" s="5" t="s">
        <v>5061</v>
      </c>
      <c r="H3481" s="6" t="s">
        <v>5191</v>
      </c>
      <c r="I3481" s="5" t="s">
        <v>5190</v>
      </c>
      <c r="J3481" s="7">
        <f>1</f>
        <v>1</v>
      </c>
      <c r="K3481" s="5" t="s">
        <v>3682</v>
      </c>
      <c r="L3481" s="7">
        <f>1</f>
        <v>1</v>
      </c>
      <c r="M3481" s="7">
        <f>1</f>
        <v>1</v>
      </c>
      <c r="N3481" s="5" t="s">
        <v>242</v>
      </c>
      <c r="O3481" s="5">
        <v>1</v>
      </c>
      <c r="P3481" s="5" t="s">
        <v>294</v>
      </c>
      <c r="Q3481" s="5" t="s">
        <v>613</v>
      </c>
      <c r="R3481" s="5" t="s">
        <v>240</v>
      </c>
      <c r="S3481" s="5" t="s">
        <v>240</v>
      </c>
      <c r="T3481" s="5" t="s">
        <v>243</v>
      </c>
      <c r="U3481" s="5" t="s">
        <v>724</v>
      </c>
      <c r="V3481" s="5" t="s">
        <v>240</v>
      </c>
      <c r="W3481" s="5" t="s">
        <v>240</v>
      </c>
      <c r="X3481" s="5" t="s">
        <v>240</v>
      </c>
      <c r="Y3481" s="5" t="s">
        <v>240</v>
      </c>
      <c r="Z3481" s="6" t="s">
        <v>298</v>
      </c>
      <c r="AA3481" s="6" t="s">
        <v>240</v>
      </c>
      <c r="AB3481" s="6" t="s">
        <v>240</v>
      </c>
      <c r="AC3481" s="5" t="s">
        <v>240</v>
      </c>
      <c r="AD3481" s="6" t="s">
        <v>240</v>
      </c>
      <c r="AE3481" s="6" t="s">
        <v>299</v>
      </c>
      <c r="AF3481" s="5" t="s">
        <v>727</v>
      </c>
      <c r="AG3481" s="5" t="s">
        <v>260</v>
      </c>
      <c r="AH3481" s="5" t="s">
        <v>240</v>
      </c>
      <c r="AI3481" s="5" t="s">
        <v>240</v>
      </c>
      <c r="AJ3481" s="5" t="s">
        <v>240</v>
      </c>
      <c r="AK3481" s="5" t="s">
        <v>240</v>
      </c>
      <c r="AL3481" s="5" t="s">
        <v>240</v>
      </c>
      <c r="AM3481" s="5" t="s">
        <v>240</v>
      </c>
      <c r="AN3481" s="5" t="s">
        <v>240</v>
      </c>
      <c r="AO3481" s="5" t="s">
        <v>240</v>
      </c>
      <c r="AP3481" s="6" t="s">
        <v>240</v>
      </c>
      <c r="AQ3481" s="6" t="s">
        <v>240</v>
      </c>
      <c r="AR3481" s="6" t="s">
        <v>240</v>
      </c>
      <c r="AS3481" s="6" t="s">
        <v>240</v>
      </c>
      <c r="AT3481" s="5" t="s">
        <v>240</v>
      </c>
      <c r="AU3481" s="5" t="s">
        <v>729</v>
      </c>
      <c r="AV3481" s="5" t="s">
        <v>729</v>
      </c>
      <c r="AW3481" s="5" t="s">
        <v>251</v>
      </c>
      <c r="AX3481" s="5" t="s">
        <v>252</v>
      </c>
      <c r="AY3481" s="5" t="s">
        <v>253</v>
      </c>
      <c r="AZ3481" s="5" t="s">
        <v>240</v>
      </c>
      <c r="BA3481" s="5" t="s">
        <v>255</v>
      </c>
      <c r="BB3481" s="5" t="s">
        <v>731</v>
      </c>
      <c r="BD3481" s="5" t="s">
        <v>240</v>
      </c>
      <c r="BF3481" s="5" t="s">
        <v>732</v>
      </c>
      <c r="BG3481" s="6" t="s">
        <v>733</v>
      </c>
      <c r="BH3481" s="5" t="s">
        <v>734</v>
      </c>
      <c r="BI3481" s="5" t="s">
        <v>734</v>
      </c>
      <c r="BJ3481" s="5" t="s">
        <v>240</v>
      </c>
      <c r="BK3481" s="8">
        <f>111</f>
        <v>111</v>
      </c>
      <c r="BL3481" s="7">
        <f>0</f>
        <v>0</v>
      </c>
      <c r="BM3481" s="5" t="s">
        <v>258</v>
      </c>
      <c r="BN3481" s="5" t="s">
        <v>259</v>
      </c>
      <c r="BO3481" s="5" t="s">
        <v>240</v>
      </c>
      <c r="BP3481" s="5" t="s">
        <v>240</v>
      </c>
      <c r="BQ3481" s="5" t="s">
        <v>240</v>
      </c>
      <c r="BR3481" s="5" t="s">
        <v>240</v>
      </c>
      <c r="BS3481" s="5" t="s">
        <v>240</v>
      </c>
      <c r="BT3481" s="5" t="s">
        <v>240</v>
      </c>
      <c r="BU3481" s="5" t="s">
        <v>240</v>
      </c>
      <c r="BV3481" s="5" t="s">
        <v>240</v>
      </c>
      <c r="BW3481" s="6" t="s">
        <v>240</v>
      </c>
      <c r="BX3481" s="5" t="s">
        <v>240</v>
      </c>
      <c r="BY3481" s="5" t="s">
        <v>240</v>
      </c>
      <c r="BZ3481" s="5" t="s">
        <v>240</v>
      </c>
      <c r="CA3481" s="5" t="s">
        <v>259</v>
      </c>
      <c r="CB3481" s="5" t="s">
        <v>240</v>
      </c>
      <c r="CC3481" s="5" t="s">
        <v>240</v>
      </c>
      <c r="CD3481" s="5" t="s">
        <v>240</v>
      </c>
      <c r="CE3481" s="5" t="s">
        <v>240</v>
      </c>
      <c r="CF3481" s="5" t="s">
        <v>240</v>
      </c>
      <c r="CG3481" s="5" t="s">
        <v>617</v>
      </c>
      <c r="CH3481" s="5" t="s">
        <v>305</v>
      </c>
      <c r="CI3481" s="5" t="s">
        <v>240</v>
      </c>
      <c r="CL3481" s="6" t="s">
        <v>261</v>
      </c>
      <c r="CM3481" s="5" t="s">
        <v>262</v>
      </c>
      <c r="CN3481" s="5" t="s">
        <v>263</v>
      </c>
      <c r="CO3481" s="5" t="s">
        <v>264</v>
      </c>
      <c r="CP3481" s="5" t="s">
        <v>240</v>
      </c>
      <c r="CQ3481" s="5">
        <v>0</v>
      </c>
      <c r="CR3481" s="5" t="s">
        <v>735</v>
      </c>
      <c r="CS3481" s="5" t="s">
        <v>307</v>
      </c>
      <c r="CT3481" s="5" t="s">
        <v>307</v>
      </c>
      <c r="CU3481" s="5" t="s">
        <v>260</v>
      </c>
      <c r="CV3481" s="5" t="s">
        <v>240</v>
      </c>
      <c r="CW3481" s="8">
        <f>0</f>
        <v>0</v>
      </c>
      <c r="CX3481" s="7">
        <f>0</f>
        <v>0</v>
      </c>
      <c r="CY3481" s="7">
        <f>0</f>
        <v>0</v>
      </c>
      <c r="DA3481" s="7">
        <f>1221</f>
        <v>1221</v>
      </c>
      <c r="DB3481" s="7" t="s">
        <v>240</v>
      </c>
      <c r="DC3481" s="5" t="s">
        <v>240</v>
      </c>
      <c r="DD3481" s="5" t="s">
        <v>240</v>
      </c>
      <c r="DE3481" s="5" t="s">
        <v>240</v>
      </c>
      <c r="DF3481" s="5" t="s">
        <v>450</v>
      </c>
      <c r="DG3481" s="7">
        <f>0</f>
        <v>0</v>
      </c>
      <c r="DH3481" s="6" t="s">
        <v>736</v>
      </c>
      <c r="DI3481" s="5" t="s">
        <v>737</v>
      </c>
      <c r="DJ3481" s="5" t="s">
        <v>240</v>
      </c>
      <c r="DK3481" s="5" t="s">
        <v>240</v>
      </c>
      <c r="DL3481" s="5" t="s">
        <v>240</v>
      </c>
      <c r="DM3481" s="5" t="s">
        <v>240</v>
      </c>
      <c r="DN3481" s="5" t="s">
        <v>240</v>
      </c>
      <c r="DO3481" s="7" t="s">
        <v>240</v>
      </c>
      <c r="DP3481" s="5" t="s">
        <v>240</v>
      </c>
      <c r="DQ3481" s="5" t="s">
        <v>240</v>
      </c>
      <c r="DR3481" s="5" t="s">
        <v>731</v>
      </c>
      <c r="DS3481" s="5" t="s">
        <v>731</v>
      </c>
      <c r="DT3481" s="5" t="s">
        <v>240</v>
      </c>
      <c r="DU3481" s="5" t="s">
        <v>240</v>
      </c>
      <c r="DV3481" s="5" t="s">
        <v>738</v>
      </c>
      <c r="DW3481" s="5" t="s">
        <v>621</v>
      </c>
      <c r="DX3481" s="5" t="s">
        <v>240</v>
      </c>
      <c r="DY3481" s="5" t="s">
        <v>240</v>
      </c>
      <c r="DZ3481" s="5" t="s">
        <v>240</v>
      </c>
      <c r="EA3481" s="5" t="s">
        <v>240</v>
      </c>
      <c r="EB3481" s="5" t="s">
        <v>240</v>
      </c>
      <c r="EC3481" s="5" t="s">
        <v>240</v>
      </c>
      <c r="ED3481" s="5" t="s">
        <v>240</v>
      </c>
      <c r="EE3481" s="5" t="s">
        <v>240</v>
      </c>
      <c r="EF3481" s="5" t="s">
        <v>240</v>
      </c>
      <c r="EG3481" s="5" t="s">
        <v>240</v>
      </c>
      <c r="EH3481" s="5" t="s">
        <v>240</v>
      </c>
      <c r="EI3481" s="5" t="s">
        <v>240</v>
      </c>
      <c r="EJ3481" s="5" t="s">
        <v>240</v>
      </c>
      <c r="EK3481" s="5" t="s">
        <v>240</v>
      </c>
      <c r="EL3481" s="5" t="s">
        <v>240</v>
      </c>
      <c r="EM3481" s="5" t="s">
        <v>240</v>
      </c>
      <c r="EN3481" s="5" t="s">
        <v>240</v>
      </c>
      <c r="EO3481" s="5" t="s">
        <v>240</v>
      </c>
      <c r="EP3481" s="5" t="s">
        <v>240</v>
      </c>
      <c r="EQ3481" s="5" t="s">
        <v>240</v>
      </c>
      <c r="ER3481" s="5" t="s">
        <v>240</v>
      </c>
      <c r="ES3481" s="5" t="s">
        <v>240</v>
      </c>
      <c r="ET3481" s="5" t="s">
        <v>240</v>
      </c>
      <c r="EU3481" s="5" t="s">
        <v>240</v>
      </c>
      <c r="EV3481" s="5" t="s">
        <v>240</v>
      </c>
      <c r="EW3481" s="5" t="s">
        <v>240</v>
      </c>
      <c r="EX3481" s="5" t="s">
        <v>240</v>
      </c>
      <c r="EY3481" s="5" t="s">
        <v>240</v>
      </c>
      <c r="EZ3481" s="5" t="s">
        <v>240</v>
      </c>
      <c r="FA3481" s="5" t="s">
        <v>240</v>
      </c>
      <c r="FB3481" s="5" t="s">
        <v>240</v>
      </c>
      <c r="FC3481" s="5" t="s">
        <v>240</v>
      </c>
      <c r="FD3481" s="5" t="s">
        <v>240</v>
      </c>
      <c r="FE3481" s="5" t="s">
        <v>240</v>
      </c>
      <c r="FF3481" s="5" t="s">
        <v>240</v>
      </c>
      <c r="FG3481" s="5" t="s">
        <v>240</v>
      </c>
      <c r="FH3481" s="5" t="s">
        <v>240</v>
      </c>
      <c r="FI3481" s="5" t="s">
        <v>240</v>
      </c>
      <c r="FJ3481" s="5" t="s">
        <v>240</v>
      </c>
      <c r="FK3481" s="5" t="s">
        <v>240</v>
      </c>
      <c r="FL3481" s="5" t="s">
        <v>240</v>
      </c>
      <c r="FM3481" s="5" t="s">
        <v>240</v>
      </c>
      <c r="FN3481" s="5" t="s">
        <v>240</v>
      </c>
      <c r="FO3481" s="5" t="s">
        <v>240</v>
      </c>
      <c r="FP3481" s="5" t="s">
        <v>240</v>
      </c>
      <c r="FQ3481" s="5" t="s">
        <v>240</v>
      </c>
      <c r="FR3481" s="5" t="s">
        <v>240</v>
      </c>
      <c r="FS3481" s="5" t="s">
        <v>240</v>
      </c>
      <c r="FT3481" s="5" t="s">
        <v>240</v>
      </c>
      <c r="FU3481" s="5" t="s">
        <v>240</v>
      </c>
      <c r="FV3481" s="5" t="s">
        <v>240</v>
      </c>
      <c r="FW3481" s="5" t="s">
        <v>240</v>
      </c>
      <c r="FX3481" s="5" t="s">
        <v>240</v>
      </c>
      <c r="FY3481" s="5" t="s">
        <v>240</v>
      </c>
      <c r="FZ3481" s="5" t="s">
        <v>240</v>
      </c>
      <c r="GA3481" s="5" t="s">
        <v>240</v>
      </c>
      <c r="GB3481" s="5" t="s">
        <v>240</v>
      </c>
      <c r="GC3481" s="5" t="s">
        <v>240</v>
      </c>
      <c r="GD3481" s="5" t="s">
        <v>240</v>
      </c>
      <c r="GE3481" s="5" t="s">
        <v>240</v>
      </c>
      <c r="GF3481" s="5" t="s">
        <v>240</v>
      </c>
      <c r="GG3481" s="5" t="s">
        <v>240</v>
      </c>
      <c r="GH3481" s="5" t="s">
        <v>240</v>
      </c>
      <c r="GI3481" s="5" t="s">
        <v>240</v>
      </c>
      <c r="GJ3481" s="5" t="s">
        <v>240</v>
      </c>
      <c r="GK3481" s="5" t="s">
        <v>240</v>
      </c>
      <c r="GL3481" s="5" t="s">
        <v>240</v>
      </c>
      <c r="GM3481" s="5" t="s">
        <v>240</v>
      </c>
      <c r="GN3481" s="5" t="s">
        <v>240</v>
      </c>
      <c r="GO3481" s="5" t="s">
        <v>240</v>
      </c>
      <c r="GP3481" s="5" t="s">
        <v>240</v>
      </c>
      <c r="GQ3481" s="5" t="s">
        <v>240</v>
      </c>
      <c r="GR3481" s="5" t="s">
        <v>240</v>
      </c>
      <c r="GS3481" s="5" t="s">
        <v>240</v>
      </c>
      <c r="GT3481" s="5" t="s">
        <v>240</v>
      </c>
      <c r="GU3481" s="5" t="s">
        <v>240</v>
      </c>
      <c r="GV3481" s="5" t="s">
        <v>240</v>
      </c>
      <c r="GW3481" s="5" t="s">
        <v>240</v>
      </c>
      <c r="GX3481" s="5" t="s">
        <v>240</v>
      </c>
      <c r="GY3481" s="5" t="s">
        <v>240</v>
      </c>
      <c r="GZ3481" s="5" t="s">
        <v>240</v>
      </c>
      <c r="HA3481" s="5" t="s">
        <v>240</v>
      </c>
      <c r="HB3481" s="5" t="s">
        <v>240</v>
      </c>
      <c r="HC3481" s="5" t="s">
        <v>240</v>
      </c>
      <c r="HD3481" s="5" t="s">
        <v>240</v>
      </c>
      <c r="HE3481" s="5" t="s">
        <v>240</v>
      </c>
      <c r="HF3481" s="5" t="s">
        <v>240</v>
      </c>
      <c r="HG3481" s="5" t="s">
        <v>240</v>
      </c>
      <c r="HH3481" s="5" t="s">
        <v>240</v>
      </c>
      <c r="HI3481" s="5" t="s">
        <v>240</v>
      </c>
      <c r="HJ3481" s="5" t="s">
        <v>240</v>
      </c>
      <c r="HK3481" s="5" t="s">
        <v>240</v>
      </c>
      <c r="HL3481" s="5" t="s">
        <v>240</v>
      </c>
      <c r="HM3481" s="5" t="s">
        <v>240</v>
      </c>
      <c r="HN3481" s="5" t="s">
        <v>240</v>
      </c>
      <c r="HO3481" s="5" t="s">
        <v>312</v>
      </c>
      <c r="HP3481" s="5" t="s">
        <v>240</v>
      </c>
      <c r="HQ3481" s="5" t="s">
        <v>240</v>
      </c>
      <c r="HR3481" s="5" t="s">
        <v>240</v>
      </c>
      <c r="HS3481" s="5" t="s">
        <v>240</v>
      </c>
      <c r="HT3481" s="5" t="s">
        <v>240</v>
      </c>
      <c r="HU3481" s="5" t="s">
        <v>240</v>
      </c>
      <c r="HV3481" s="5" t="s">
        <v>240</v>
      </c>
      <c r="HW3481" s="5" t="s">
        <v>240</v>
      </c>
      <c r="HX3481" s="5" t="s">
        <v>240</v>
      </c>
      <c r="HY3481" s="5" t="s">
        <v>240</v>
      </c>
      <c r="HZ3481" s="5" t="s">
        <v>240</v>
      </c>
      <c r="IA3481" s="5" t="s">
        <v>240</v>
      </c>
      <c r="IB3481" s="5" t="s">
        <v>240</v>
      </c>
      <c r="IC3481" s="5" t="s">
        <v>240</v>
      </c>
      <c r="ID3481" s="5" t="s">
        <v>240</v>
      </c>
      <c r="IE3481" s="5" t="s">
        <v>240</v>
      </c>
      <c r="IF3481" s="5" t="s">
        <v>240</v>
      </c>
    </row>
    <row r="3482" spans="1:240" x14ac:dyDescent="0.4">
      <c r="A3482" s="5">
        <v>9024</v>
      </c>
      <c r="B3482" s="5">
        <v>1</v>
      </c>
      <c r="C3482" s="5">
        <v>1</v>
      </c>
      <c r="D3482" s="5" t="s">
        <v>723</v>
      </c>
      <c r="E3482" s="5" t="s">
        <v>5060</v>
      </c>
      <c r="F3482" s="5" t="s">
        <v>254</v>
      </c>
      <c r="G3482" s="5" t="s">
        <v>5061</v>
      </c>
      <c r="H3482" s="6" t="s">
        <v>5193</v>
      </c>
      <c r="I3482" s="5" t="s">
        <v>5192</v>
      </c>
      <c r="J3482" s="7">
        <f>1</f>
        <v>1</v>
      </c>
      <c r="K3482" s="5" t="s">
        <v>3682</v>
      </c>
      <c r="L3482" s="7">
        <f>1</f>
        <v>1</v>
      </c>
      <c r="M3482" s="7">
        <f>1</f>
        <v>1</v>
      </c>
      <c r="N3482" s="5" t="s">
        <v>242</v>
      </c>
      <c r="O3482" s="5">
        <v>1</v>
      </c>
      <c r="P3482" s="5" t="s">
        <v>294</v>
      </c>
      <c r="Q3482" s="5" t="s">
        <v>613</v>
      </c>
      <c r="R3482" s="5" t="s">
        <v>240</v>
      </c>
      <c r="S3482" s="5" t="s">
        <v>240</v>
      </c>
      <c r="T3482" s="5" t="s">
        <v>243</v>
      </c>
      <c r="U3482" s="5" t="s">
        <v>724</v>
      </c>
      <c r="V3482" s="5" t="s">
        <v>240</v>
      </c>
      <c r="W3482" s="5" t="s">
        <v>240</v>
      </c>
      <c r="X3482" s="5" t="s">
        <v>240</v>
      </c>
      <c r="Y3482" s="5" t="s">
        <v>240</v>
      </c>
      <c r="Z3482" s="6" t="s">
        <v>298</v>
      </c>
      <c r="AA3482" s="6" t="s">
        <v>240</v>
      </c>
      <c r="AB3482" s="6" t="s">
        <v>240</v>
      </c>
      <c r="AC3482" s="5" t="s">
        <v>240</v>
      </c>
      <c r="AD3482" s="6" t="s">
        <v>240</v>
      </c>
      <c r="AE3482" s="6" t="s">
        <v>299</v>
      </c>
      <c r="AF3482" s="5" t="s">
        <v>727</v>
      </c>
      <c r="AG3482" s="5" t="s">
        <v>260</v>
      </c>
      <c r="AH3482" s="5" t="s">
        <v>240</v>
      </c>
      <c r="AI3482" s="5" t="s">
        <v>240</v>
      </c>
      <c r="AJ3482" s="5" t="s">
        <v>240</v>
      </c>
      <c r="AK3482" s="5" t="s">
        <v>240</v>
      </c>
      <c r="AL3482" s="5" t="s">
        <v>240</v>
      </c>
      <c r="AM3482" s="5" t="s">
        <v>240</v>
      </c>
      <c r="AN3482" s="5" t="s">
        <v>240</v>
      </c>
      <c r="AO3482" s="5" t="s">
        <v>240</v>
      </c>
      <c r="AP3482" s="6" t="s">
        <v>240</v>
      </c>
      <c r="AQ3482" s="6" t="s">
        <v>240</v>
      </c>
      <c r="AR3482" s="6" t="s">
        <v>240</v>
      </c>
      <c r="AS3482" s="6" t="s">
        <v>240</v>
      </c>
      <c r="AT3482" s="5" t="s">
        <v>240</v>
      </c>
      <c r="AU3482" s="5" t="s">
        <v>729</v>
      </c>
      <c r="AV3482" s="5" t="s">
        <v>729</v>
      </c>
      <c r="AW3482" s="5" t="s">
        <v>251</v>
      </c>
      <c r="AX3482" s="5" t="s">
        <v>252</v>
      </c>
      <c r="AY3482" s="5" t="s">
        <v>253</v>
      </c>
      <c r="AZ3482" s="5" t="s">
        <v>240</v>
      </c>
      <c r="BA3482" s="5" t="s">
        <v>255</v>
      </c>
      <c r="BB3482" s="5" t="s">
        <v>731</v>
      </c>
      <c r="BD3482" s="5" t="s">
        <v>240</v>
      </c>
      <c r="BF3482" s="5" t="s">
        <v>732</v>
      </c>
      <c r="BG3482" s="6" t="s">
        <v>733</v>
      </c>
      <c r="BH3482" s="5" t="s">
        <v>734</v>
      </c>
      <c r="BI3482" s="5" t="s">
        <v>734</v>
      </c>
      <c r="BJ3482" s="5" t="s">
        <v>240</v>
      </c>
      <c r="BK3482" s="8">
        <f>1310</f>
        <v>1310</v>
      </c>
      <c r="BL3482" s="7">
        <f>0</f>
        <v>0</v>
      </c>
      <c r="BM3482" s="5" t="s">
        <v>258</v>
      </c>
      <c r="BN3482" s="5" t="s">
        <v>259</v>
      </c>
      <c r="BO3482" s="5" t="s">
        <v>240</v>
      </c>
      <c r="BP3482" s="5" t="s">
        <v>240</v>
      </c>
      <c r="BQ3482" s="5" t="s">
        <v>240</v>
      </c>
      <c r="BR3482" s="5" t="s">
        <v>240</v>
      </c>
      <c r="BS3482" s="5" t="s">
        <v>240</v>
      </c>
      <c r="BT3482" s="5" t="s">
        <v>240</v>
      </c>
      <c r="BU3482" s="5" t="s">
        <v>240</v>
      </c>
      <c r="BV3482" s="5" t="s">
        <v>240</v>
      </c>
      <c r="BW3482" s="6" t="s">
        <v>240</v>
      </c>
      <c r="BX3482" s="5" t="s">
        <v>240</v>
      </c>
      <c r="BY3482" s="5" t="s">
        <v>240</v>
      </c>
      <c r="BZ3482" s="5" t="s">
        <v>240</v>
      </c>
      <c r="CA3482" s="5" t="s">
        <v>259</v>
      </c>
      <c r="CB3482" s="5" t="s">
        <v>240</v>
      </c>
      <c r="CC3482" s="5" t="s">
        <v>240</v>
      </c>
      <c r="CD3482" s="5" t="s">
        <v>240</v>
      </c>
      <c r="CE3482" s="5" t="s">
        <v>240</v>
      </c>
      <c r="CF3482" s="5" t="s">
        <v>240</v>
      </c>
      <c r="CG3482" s="5" t="s">
        <v>617</v>
      </c>
      <c r="CH3482" s="5" t="s">
        <v>305</v>
      </c>
      <c r="CI3482" s="5" t="s">
        <v>240</v>
      </c>
      <c r="CL3482" s="6" t="s">
        <v>261</v>
      </c>
      <c r="CM3482" s="5" t="s">
        <v>262</v>
      </c>
      <c r="CN3482" s="5" t="s">
        <v>263</v>
      </c>
      <c r="CO3482" s="5" t="s">
        <v>264</v>
      </c>
      <c r="CP3482" s="5" t="s">
        <v>240</v>
      </c>
      <c r="CQ3482" s="5">
        <v>0</v>
      </c>
      <c r="CR3482" s="5" t="s">
        <v>735</v>
      </c>
      <c r="CS3482" s="5" t="s">
        <v>307</v>
      </c>
      <c r="CT3482" s="5" t="s">
        <v>307</v>
      </c>
      <c r="CU3482" s="5" t="s">
        <v>260</v>
      </c>
      <c r="CV3482" s="5" t="s">
        <v>240</v>
      </c>
      <c r="CW3482" s="8">
        <f>0</f>
        <v>0</v>
      </c>
      <c r="CX3482" s="7">
        <f>0</f>
        <v>0</v>
      </c>
      <c r="CY3482" s="7">
        <f>0</f>
        <v>0</v>
      </c>
      <c r="DA3482" s="7">
        <f>14410</f>
        <v>14410</v>
      </c>
      <c r="DB3482" s="7" t="s">
        <v>240</v>
      </c>
      <c r="DC3482" s="5" t="s">
        <v>240</v>
      </c>
      <c r="DD3482" s="5" t="s">
        <v>240</v>
      </c>
      <c r="DE3482" s="5" t="s">
        <v>240</v>
      </c>
      <c r="DF3482" s="5" t="s">
        <v>450</v>
      </c>
      <c r="DG3482" s="7">
        <f>0</f>
        <v>0</v>
      </c>
      <c r="DI3482" s="5" t="s">
        <v>737</v>
      </c>
      <c r="DJ3482" s="5" t="s">
        <v>240</v>
      </c>
      <c r="DK3482" s="5" t="s">
        <v>240</v>
      </c>
      <c r="DL3482" s="5" t="s">
        <v>240</v>
      </c>
      <c r="DM3482" s="5" t="s">
        <v>240</v>
      </c>
      <c r="DN3482" s="5" t="s">
        <v>240</v>
      </c>
      <c r="DO3482" s="7" t="s">
        <v>240</v>
      </c>
      <c r="DP3482" s="5" t="s">
        <v>240</v>
      </c>
      <c r="DQ3482" s="5" t="s">
        <v>240</v>
      </c>
      <c r="DR3482" s="5" t="s">
        <v>731</v>
      </c>
      <c r="DS3482" s="5" t="s">
        <v>731</v>
      </c>
      <c r="DT3482" s="5" t="s">
        <v>240</v>
      </c>
      <c r="DU3482" s="5" t="s">
        <v>240</v>
      </c>
      <c r="DV3482" s="5" t="s">
        <v>738</v>
      </c>
      <c r="DW3482" s="5" t="s">
        <v>620</v>
      </c>
      <c r="DX3482" s="5" t="s">
        <v>240</v>
      </c>
      <c r="DY3482" s="5" t="s">
        <v>240</v>
      </c>
      <c r="DZ3482" s="5" t="s">
        <v>240</v>
      </c>
      <c r="EA3482" s="5" t="s">
        <v>240</v>
      </c>
      <c r="EB3482" s="5" t="s">
        <v>240</v>
      </c>
      <c r="EC3482" s="5" t="s">
        <v>240</v>
      </c>
      <c r="ED3482" s="5" t="s">
        <v>240</v>
      </c>
      <c r="EE3482" s="5" t="s">
        <v>240</v>
      </c>
      <c r="EF3482" s="5" t="s">
        <v>240</v>
      </c>
      <c r="EG3482" s="5" t="s">
        <v>240</v>
      </c>
      <c r="EH3482" s="5" t="s">
        <v>240</v>
      </c>
      <c r="EI3482" s="5" t="s">
        <v>240</v>
      </c>
      <c r="EJ3482" s="5" t="s">
        <v>240</v>
      </c>
      <c r="EK3482" s="5" t="s">
        <v>240</v>
      </c>
      <c r="EL3482" s="5" t="s">
        <v>240</v>
      </c>
      <c r="EM3482" s="5" t="s">
        <v>240</v>
      </c>
      <c r="EN3482" s="5" t="s">
        <v>240</v>
      </c>
      <c r="EO3482" s="5" t="s">
        <v>240</v>
      </c>
      <c r="EP3482" s="5" t="s">
        <v>240</v>
      </c>
      <c r="EQ3482" s="5" t="s">
        <v>240</v>
      </c>
      <c r="ER3482" s="5" t="s">
        <v>240</v>
      </c>
      <c r="ES3482" s="5" t="s">
        <v>240</v>
      </c>
      <c r="ET3482" s="5" t="s">
        <v>240</v>
      </c>
      <c r="EU3482" s="5" t="s">
        <v>240</v>
      </c>
      <c r="EV3482" s="5" t="s">
        <v>240</v>
      </c>
      <c r="EW3482" s="5" t="s">
        <v>240</v>
      </c>
      <c r="EX3482" s="5" t="s">
        <v>240</v>
      </c>
      <c r="EY3482" s="5" t="s">
        <v>240</v>
      </c>
      <c r="EZ3482" s="5" t="s">
        <v>240</v>
      </c>
      <c r="FA3482" s="5" t="s">
        <v>240</v>
      </c>
      <c r="FB3482" s="5" t="s">
        <v>240</v>
      </c>
      <c r="FC3482" s="5" t="s">
        <v>240</v>
      </c>
      <c r="FD3482" s="5" t="s">
        <v>240</v>
      </c>
      <c r="FE3482" s="5" t="s">
        <v>240</v>
      </c>
      <c r="FF3482" s="5" t="s">
        <v>240</v>
      </c>
      <c r="FG3482" s="5" t="s">
        <v>240</v>
      </c>
      <c r="FH3482" s="5" t="s">
        <v>240</v>
      </c>
      <c r="FI3482" s="5" t="s">
        <v>240</v>
      </c>
      <c r="FJ3482" s="5" t="s">
        <v>240</v>
      </c>
      <c r="FK3482" s="5" t="s">
        <v>240</v>
      </c>
      <c r="FL3482" s="5" t="s">
        <v>240</v>
      </c>
      <c r="FM3482" s="5" t="s">
        <v>240</v>
      </c>
      <c r="FN3482" s="5" t="s">
        <v>240</v>
      </c>
      <c r="FO3482" s="5" t="s">
        <v>240</v>
      </c>
      <c r="FP3482" s="5" t="s">
        <v>240</v>
      </c>
      <c r="FQ3482" s="5" t="s">
        <v>240</v>
      </c>
      <c r="FR3482" s="5" t="s">
        <v>240</v>
      </c>
      <c r="FS3482" s="5" t="s">
        <v>240</v>
      </c>
      <c r="FT3482" s="5" t="s">
        <v>240</v>
      </c>
      <c r="FU3482" s="5" t="s">
        <v>240</v>
      </c>
      <c r="FV3482" s="5" t="s">
        <v>240</v>
      </c>
      <c r="FW3482" s="5" t="s">
        <v>240</v>
      </c>
      <c r="FX3482" s="5" t="s">
        <v>240</v>
      </c>
      <c r="FY3482" s="5" t="s">
        <v>240</v>
      </c>
      <c r="FZ3482" s="5" t="s">
        <v>240</v>
      </c>
      <c r="GA3482" s="5" t="s">
        <v>240</v>
      </c>
      <c r="GB3482" s="5" t="s">
        <v>240</v>
      </c>
      <c r="GC3482" s="5" t="s">
        <v>240</v>
      </c>
      <c r="GD3482" s="5" t="s">
        <v>240</v>
      </c>
      <c r="GE3482" s="5" t="s">
        <v>240</v>
      </c>
      <c r="GF3482" s="5" t="s">
        <v>240</v>
      </c>
      <c r="GG3482" s="5" t="s">
        <v>240</v>
      </c>
      <c r="GH3482" s="5" t="s">
        <v>240</v>
      </c>
      <c r="GI3482" s="5" t="s">
        <v>240</v>
      </c>
      <c r="GJ3482" s="5" t="s">
        <v>240</v>
      </c>
      <c r="GK3482" s="5" t="s">
        <v>240</v>
      </c>
      <c r="GL3482" s="5" t="s">
        <v>240</v>
      </c>
      <c r="GM3482" s="5" t="s">
        <v>240</v>
      </c>
      <c r="GN3482" s="5" t="s">
        <v>240</v>
      </c>
      <c r="GO3482" s="5" t="s">
        <v>240</v>
      </c>
      <c r="GP3482" s="5" t="s">
        <v>240</v>
      </c>
      <c r="GQ3482" s="5" t="s">
        <v>240</v>
      </c>
      <c r="GR3482" s="5" t="s">
        <v>240</v>
      </c>
      <c r="GS3482" s="5" t="s">
        <v>240</v>
      </c>
      <c r="GT3482" s="5" t="s">
        <v>240</v>
      </c>
      <c r="GU3482" s="5" t="s">
        <v>240</v>
      </c>
      <c r="GV3482" s="5" t="s">
        <v>240</v>
      </c>
      <c r="GW3482" s="5" t="s">
        <v>240</v>
      </c>
      <c r="GX3482" s="5" t="s">
        <v>240</v>
      </c>
      <c r="GY3482" s="5" t="s">
        <v>240</v>
      </c>
      <c r="GZ3482" s="5" t="s">
        <v>240</v>
      </c>
      <c r="HA3482" s="5" t="s">
        <v>240</v>
      </c>
      <c r="HB3482" s="5" t="s">
        <v>240</v>
      </c>
      <c r="HC3482" s="5" t="s">
        <v>240</v>
      </c>
      <c r="HD3482" s="5" t="s">
        <v>240</v>
      </c>
      <c r="HE3482" s="5" t="s">
        <v>240</v>
      </c>
      <c r="HF3482" s="5" t="s">
        <v>240</v>
      </c>
      <c r="HG3482" s="5" t="s">
        <v>240</v>
      </c>
      <c r="HH3482" s="5" t="s">
        <v>240</v>
      </c>
      <c r="HI3482" s="5" t="s">
        <v>240</v>
      </c>
      <c r="HJ3482" s="5" t="s">
        <v>240</v>
      </c>
      <c r="HK3482" s="5" t="s">
        <v>240</v>
      </c>
      <c r="HL3482" s="5" t="s">
        <v>240</v>
      </c>
      <c r="HM3482" s="5" t="s">
        <v>240</v>
      </c>
      <c r="HN3482" s="5" t="s">
        <v>240</v>
      </c>
      <c r="HO3482" s="5" t="s">
        <v>312</v>
      </c>
      <c r="HP3482" s="5" t="s">
        <v>240</v>
      </c>
      <c r="HQ3482" s="5" t="s">
        <v>240</v>
      </c>
      <c r="HR3482" s="5" t="s">
        <v>240</v>
      </c>
      <c r="HS3482" s="5" t="s">
        <v>240</v>
      </c>
      <c r="HT3482" s="5" t="s">
        <v>240</v>
      </c>
      <c r="HU3482" s="5" t="s">
        <v>240</v>
      </c>
      <c r="HV3482" s="5" t="s">
        <v>240</v>
      </c>
      <c r="HW3482" s="5" t="s">
        <v>240</v>
      </c>
      <c r="HX3482" s="5" t="s">
        <v>240</v>
      </c>
      <c r="HY3482" s="5" t="s">
        <v>240</v>
      </c>
      <c r="HZ3482" s="5" t="s">
        <v>240</v>
      </c>
      <c r="IA3482" s="5" t="s">
        <v>240</v>
      </c>
      <c r="IB3482" s="5" t="s">
        <v>240</v>
      </c>
      <c r="IC3482" s="5" t="s">
        <v>240</v>
      </c>
      <c r="ID3482" s="5" t="s">
        <v>240</v>
      </c>
      <c r="IE3482" s="5" t="s">
        <v>240</v>
      </c>
      <c r="IF3482" s="5" t="s">
        <v>240</v>
      </c>
    </row>
    <row r="3483" spans="1:240" x14ac:dyDescent="0.4">
      <c r="A3483" s="5">
        <v>9025</v>
      </c>
      <c r="B3483" s="5">
        <v>1</v>
      </c>
      <c r="C3483" s="5">
        <v>1</v>
      </c>
      <c r="D3483" s="5" t="s">
        <v>723</v>
      </c>
      <c r="E3483" s="5" t="s">
        <v>5060</v>
      </c>
      <c r="F3483" s="5" t="s">
        <v>254</v>
      </c>
      <c r="G3483" s="5" t="s">
        <v>5061</v>
      </c>
      <c r="H3483" s="6" t="s">
        <v>5203</v>
      </c>
      <c r="I3483" s="5" t="s">
        <v>5202</v>
      </c>
      <c r="J3483" s="7">
        <f>1</f>
        <v>1</v>
      </c>
      <c r="K3483" s="5" t="s">
        <v>3682</v>
      </c>
      <c r="L3483" s="7">
        <f>1</f>
        <v>1</v>
      </c>
      <c r="M3483" s="7">
        <f>1</f>
        <v>1</v>
      </c>
      <c r="N3483" s="5" t="s">
        <v>242</v>
      </c>
      <c r="O3483" s="5">
        <v>1</v>
      </c>
      <c r="P3483" s="5" t="s">
        <v>294</v>
      </c>
      <c r="Q3483" s="5" t="s">
        <v>613</v>
      </c>
      <c r="R3483" s="5" t="s">
        <v>240</v>
      </c>
      <c r="S3483" s="5" t="s">
        <v>240</v>
      </c>
      <c r="T3483" s="5" t="s">
        <v>243</v>
      </c>
      <c r="U3483" s="5" t="s">
        <v>724</v>
      </c>
      <c r="V3483" s="5" t="s">
        <v>240</v>
      </c>
      <c r="W3483" s="5" t="s">
        <v>240</v>
      </c>
      <c r="X3483" s="5" t="s">
        <v>240</v>
      </c>
      <c r="Y3483" s="5" t="s">
        <v>240</v>
      </c>
      <c r="Z3483" s="6" t="s">
        <v>298</v>
      </c>
      <c r="AA3483" s="6" t="s">
        <v>240</v>
      </c>
      <c r="AB3483" s="6" t="s">
        <v>240</v>
      </c>
      <c r="AC3483" s="5" t="s">
        <v>240</v>
      </c>
      <c r="AD3483" s="6" t="s">
        <v>240</v>
      </c>
      <c r="AE3483" s="6" t="s">
        <v>299</v>
      </c>
      <c r="AF3483" s="5" t="s">
        <v>727</v>
      </c>
      <c r="AG3483" s="5" t="s">
        <v>260</v>
      </c>
      <c r="AH3483" s="5" t="s">
        <v>240</v>
      </c>
      <c r="AI3483" s="5" t="s">
        <v>240</v>
      </c>
      <c r="AJ3483" s="5" t="s">
        <v>240</v>
      </c>
      <c r="AK3483" s="5" t="s">
        <v>240</v>
      </c>
      <c r="AL3483" s="5" t="s">
        <v>240</v>
      </c>
      <c r="AM3483" s="5" t="s">
        <v>240</v>
      </c>
      <c r="AN3483" s="5" t="s">
        <v>240</v>
      </c>
      <c r="AO3483" s="5" t="s">
        <v>240</v>
      </c>
      <c r="AP3483" s="6" t="s">
        <v>240</v>
      </c>
      <c r="AQ3483" s="6" t="s">
        <v>240</v>
      </c>
      <c r="AR3483" s="6" t="s">
        <v>240</v>
      </c>
      <c r="AS3483" s="6" t="s">
        <v>240</v>
      </c>
      <c r="AT3483" s="5" t="s">
        <v>240</v>
      </c>
      <c r="AU3483" s="5" t="s">
        <v>729</v>
      </c>
      <c r="AV3483" s="5" t="s">
        <v>729</v>
      </c>
      <c r="AW3483" s="5" t="s">
        <v>251</v>
      </c>
      <c r="AX3483" s="5" t="s">
        <v>252</v>
      </c>
      <c r="AY3483" s="5" t="s">
        <v>253</v>
      </c>
      <c r="AZ3483" s="5" t="s">
        <v>240</v>
      </c>
      <c r="BA3483" s="5" t="s">
        <v>255</v>
      </c>
      <c r="BB3483" s="5" t="s">
        <v>731</v>
      </c>
      <c r="BD3483" s="5" t="s">
        <v>240</v>
      </c>
      <c r="BF3483" s="5" t="s">
        <v>732</v>
      </c>
      <c r="BG3483" s="6" t="s">
        <v>733</v>
      </c>
      <c r="BH3483" s="5" t="s">
        <v>734</v>
      </c>
      <c r="BI3483" s="5" t="s">
        <v>734</v>
      </c>
      <c r="BJ3483" s="5" t="s">
        <v>240</v>
      </c>
      <c r="BK3483" s="8">
        <f>2760</f>
        <v>2760</v>
      </c>
      <c r="BL3483" s="7">
        <f>0</f>
        <v>0</v>
      </c>
      <c r="BM3483" s="5" t="s">
        <v>258</v>
      </c>
      <c r="BN3483" s="5" t="s">
        <v>259</v>
      </c>
      <c r="BO3483" s="5" t="s">
        <v>240</v>
      </c>
      <c r="BP3483" s="5" t="s">
        <v>240</v>
      </c>
      <c r="BQ3483" s="5" t="s">
        <v>240</v>
      </c>
      <c r="BR3483" s="5" t="s">
        <v>240</v>
      </c>
      <c r="BS3483" s="5" t="s">
        <v>240</v>
      </c>
      <c r="BT3483" s="5" t="s">
        <v>240</v>
      </c>
      <c r="BU3483" s="5" t="s">
        <v>240</v>
      </c>
      <c r="BV3483" s="5" t="s">
        <v>240</v>
      </c>
      <c r="BW3483" s="6" t="s">
        <v>240</v>
      </c>
      <c r="BX3483" s="5" t="s">
        <v>240</v>
      </c>
      <c r="BY3483" s="5" t="s">
        <v>240</v>
      </c>
      <c r="BZ3483" s="5" t="s">
        <v>240</v>
      </c>
      <c r="CA3483" s="5" t="s">
        <v>259</v>
      </c>
      <c r="CB3483" s="5" t="s">
        <v>240</v>
      </c>
      <c r="CC3483" s="5" t="s">
        <v>240</v>
      </c>
      <c r="CD3483" s="5" t="s">
        <v>240</v>
      </c>
      <c r="CE3483" s="5" t="s">
        <v>240</v>
      </c>
      <c r="CF3483" s="5" t="s">
        <v>240</v>
      </c>
      <c r="CG3483" s="5" t="s">
        <v>617</v>
      </c>
      <c r="CH3483" s="5" t="s">
        <v>305</v>
      </c>
      <c r="CI3483" s="5" t="s">
        <v>240</v>
      </c>
      <c r="CL3483" s="6" t="s">
        <v>261</v>
      </c>
      <c r="CM3483" s="5" t="s">
        <v>262</v>
      </c>
      <c r="CN3483" s="5" t="s">
        <v>263</v>
      </c>
      <c r="CO3483" s="5" t="s">
        <v>264</v>
      </c>
      <c r="CP3483" s="5" t="s">
        <v>240</v>
      </c>
      <c r="CQ3483" s="5">
        <v>0</v>
      </c>
      <c r="CR3483" s="5" t="s">
        <v>735</v>
      </c>
      <c r="CS3483" s="5" t="s">
        <v>307</v>
      </c>
      <c r="CT3483" s="5" t="s">
        <v>307</v>
      </c>
      <c r="CU3483" s="5" t="s">
        <v>260</v>
      </c>
      <c r="CV3483" s="5" t="s">
        <v>240</v>
      </c>
      <c r="CW3483" s="8">
        <f>0</f>
        <v>0</v>
      </c>
      <c r="CX3483" s="7">
        <f>0</f>
        <v>0</v>
      </c>
      <c r="CY3483" s="7">
        <f>0</f>
        <v>0</v>
      </c>
      <c r="DA3483" s="7">
        <f>30360</f>
        <v>30360</v>
      </c>
      <c r="DB3483" s="7" t="s">
        <v>240</v>
      </c>
      <c r="DC3483" s="5" t="s">
        <v>240</v>
      </c>
      <c r="DD3483" s="5" t="s">
        <v>240</v>
      </c>
      <c r="DE3483" s="5" t="s">
        <v>240</v>
      </c>
      <c r="DF3483" s="5" t="s">
        <v>450</v>
      </c>
      <c r="DG3483" s="7">
        <f>0</f>
        <v>0</v>
      </c>
      <c r="DI3483" s="5" t="s">
        <v>737</v>
      </c>
      <c r="DJ3483" s="5" t="s">
        <v>240</v>
      </c>
      <c r="DK3483" s="5" t="s">
        <v>240</v>
      </c>
      <c r="DL3483" s="5" t="s">
        <v>240</v>
      </c>
      <c r="DM3483" s="5" t="s">
        <v>240</v>
      </c>
      <c r="DN3483" s="5" t="s">
        <v>240</v>
      </c>
      <c r="DO3483" s="7" t="s">
        <v>240</v>
      </c>
      <c r="DP3483" s="5" t="s">
        <v>240</v>
      </c>
      <c r="DQ3483" s="5" t="s">
        <v>240</v>
      </c>
      <c r="DR3483" s="5" t="s">
        <v>731</v>
      </c>
      <c r="DS3483" s="5" t="s">
        <v>731</v>
      </c>
      <c r="DT3483" s="5" t="s">
        <v>240</v>
      </c>
      <c r="DU3483" s="5" t="s">
        <v>240</v>
      </c>
      <c r="DV3483" s="5" t="s">
        <v>738</v>
      </c>
      <c r="DW3483" s="5" t="s">
        <v>820</v>
      </c>
      <c r="DX3483" s="5" t="s">
        <v>240</v>
      </c>
      <c r="DY3483" s="5" t="s">
        <v>240</v>
      </c>
      <c r="DZ3483" s="5" t="s">
        <v>240</v>
      </c>
      <c r="EA3483" s="5" t="s">
        <v>240</v>
      </c>
      <c r="EB3483" s="5" t="s">
        <v>240</v>
      </c>
      <c r="EC3483" s="5" t="s">
        <v>240</v>
      </c>
      <c r="ED3483" s="5" t="s">
        <v>240</v>
      </c>
      <c r="EE3483" s="5" t="s">
        <v>240</v>
      </c>
      <c r="EF3483" s="5" t="s">
        <v>240</v>
      </c>
      <c r="EG3483" s="5" t="s">
        <v>240</v>
      </c>
      <c r="EH3483" s="5" t="s">
        <v>240</v>
      </c>
      <c r="EI3483" s="5" t="s">
        <v>240</v>
      </c>
      <c r="EJ3483" s="5" t="s">
        <v>240</v>
      </c>
      <c r="EK3483" s="5" t="s">
        <v>240</v>
      </c>
      <c r="EL3483" s="5" t="s">
        <v>240</v>
      </c>
      <c r="EM3483" s="5" t="s">
        <v>240</v>
      </c>
      <c r="EN3483" s="5" t="s">
        <v>240</v>
      </c>
      <c r="EO3483" s="5" t="s">
        <v>240</v>
      </c>
      <c r="EP3483" s="5" t="s">
        <v>240</v>
      </c>
      <c r="EQ3483" s="5" t="s">
        <v>240</v>
      </c>
      <c r="ER3483" s="5" t="s">
        <v>240</v>
      </c>
      <c r="ES3483" s="5" t="s">
        <v>240</v>
      </c>
      <c r="ET3483" s="5" t="s">
        <v>240</v>
      </c>
      <c r="EU3483" s="5" t="s">
        <v>240</v>
      </c>
      <c r="EV3483" s="5" t="s">
        <v>240</v>
      </c>
      <c r="EW3483" s="5" t="s">
        <v>240</v>
      </c>
      <c r="EX3483" s="5" t="s">
        <v>240</v>
      </c>
      <c r="EY3483" s="5" t="s">
        <v>240</v>
      </c>
      <c r="EZ3483" s="5" t="s">
        <v>240</v>
      </c>
      <c r="FA3483" s="5" t="s">
        <v>240</v>
      </c>
      <c r="FB3483" s="5" t="s">
        <v>240</v>
      </c>
      <c r="FC3483" s="5" t="s">
        <v>240</v>
      </c>
      <c r="FD3483" s="5" t="s">
        <v>240</v>
      </c>
      <c r="FE3483" s="5" t="s">
        <v>240</v>
      </c>
      <c r="FF3483" s="5" t="s">
        <v>240</v>
      </c>
      <c r="FG3483" s="5" t="s">
        <v>240</v>
      </c>
      <c r="FH3483" s="5" t="s">
        <v>240</v>
      </c>
      <c r="FI3483" s="5" t="s">
        <v>240</v>
      </c>
      <c r="FJ3483" s="5" t="s">
        <v>240</v>
      </c>
      <c r="FK3483" s="5" t="s">
        <v>240</v>
      </c>
      <c r="FL3483" s="5" t="s">
        <v>240</v>
      </c>
      <c r="FM3483" s="5" t="s">
        <v>240</v>
      </c>
      <c r="FN3483" s="5" t="s">
        <v>240</v>
      </c>
      <c r="FO3483" s="5" t="s">
        <v>240</v>
      </c>
      <c r="FP3483" s="5" t="s">
        <v>240</v>
      </c>
      <c r="FQ3483" s="5" t="s">
        <v>240</v>
      </c>
      <c r="FR3483" s="5" t="s">
        <v>240</v>
      </c>
      <c r="FS3483" s="5" t="s">
        <v>240</v>
      </c>
      <c r="FT3483" s="5" t="s">
        <v>240</v>
      </c>
      <c r="FU3483" s="5" t="s">
        <v>240</v>
      </c>
      <c r="FV3483" s="5" t="s">
        <v>240</v>
      </c>
      <c r="FW3483" s="5" t="s">
        <v>240</v>
      </c>
      <c r="FX3483" s="5" t="s">
        <v>240</v>
      </c>
      <c r="FY3483" s="5" t="s">
        <v>240</v>
      </c>
      <c r="FZ3483" s="5" t="s">
        <v>240</v>
      </c>
      <c r="GA3483" s="5" t="s">
        <v>240</v>
      </c>
      <c r="GB3483" s="5" t="s">
        <v>240</v>
      </c>
      <c r="GC3483" s="5" t="s">
        <v>240</v>
      </c>
      <c r="GD3483" s="5" t="s">
        <v>240</v>
      </c>
      <c r="GE3483" s="5" t="s">
        <v>240</v>
      </c>
      <c r="GF3483" s="5" t="s">
        <v>240</v>
      </c>
      <c r="GG3483" s="5" t="s">
        <v>240</v>
      </c>
      <c r="GH3483" s="5" t="s">
        <v>240</v>
      </c>
      <c r="GI3483" s="5" t="s">
        <v>240</v>
      </c>
      <c r="GJ3483" s="5" t="s">
        <v>240</v>
      </c>
      <c r="GK3483" s="5" t="s">
        <v>240</v>
      </c>
      <c r="GL3483" s="5" t="s">
        <v>240</v>
      </c>
      <c r="GM3483" s="5" t="s">
        <v>240</v>
      </c>
      <c r="GN3483" s="5" t="s">
        <v>240</v>
      </c>
      <c r="GO3483" s="5" t="s">
        <v>240</v>
      </c>
      <c r="GP3483" s="5" t="s">
        <v>240</v>
      </c>
      <c r="GQ3483" s="5" t="s">
        <v>240</v>
      </c>
      <c r="GR3483" s="5" t="s">
        <v>240</v>
      </c>
      <c r="GS3483" s="5" t="s">
        <v>240</v>
      </c>
      <c r="GT3483" s="5" t="s">
        <v>240</v>
      </c>
      <c r="GU3483" s="5" t="s">
        <v>240</v>
      </c>
      <c r="GV3483" s="5" t="s">
        <v>240</v>
      </c>
      <c r="GW3483" s="5" t="s">
        <v>240</v>
      </c>
      <c r="GX3483" s="5" t="s">
        <v>240</v>
      </c>
      <c r="GY3483" s="5" t="s">
        <v>240</v>
      </c>
      <c r="GZ3483" s="5" t="s">
        <v>240</v>
      </c>
      <c r="HA3483" s="5" t="s">
        <v>240</v>
      </c>
      <c r="HB3483" s="5" t="s">
        <v>240</v>
      </c>
      <c r="HC3483" s="5" t="s">
        <v>240</v>
      </c>
      <c r="HD3483" s="5" t="s">
        <v>240</v>
      </c>
      <c r="HE3483" s="5" t="s">
        <v>240</v>
      </c>
      <c r="HF3483" s="5" t="s">
        <v>240</v>
      </c>
      <c r="HG3483" s="5" t="s">
        <v>240</v>
      </c>
      <c r="HH3483" s="5" t="s">
        <v>240</v>
      </c>
      <c r="HI3483" s="5" t="s">
        <v>240</v>
      </c>
      <c r="HJ3483" s="5" t="s">
        <v>240</v>
      </c>
      <c r="HK3483" s="5" t="s">
        <v>240</v>
      </c>
      <c r="HL3483" s="5" t="s">
        <v>240</v>
      </c>
      <c r="HM3483" s="5" t="s">
        <v>240</v>
      </c>
      <c r="HN3483" s="5" t="s">
        <v>240</v>
      </c>
      <c r="HO3483" s="5" t="s">
        <v>312</v>
      </c>
      <c r="HP3483" s="5" t="s">
        <v>240</v>
      </c>
      <c r="HQ3483" s="5" t="s">
        <v>240</v>
      </c>
      <c r="HR3483" s="5" t="s">
        <v>240</v>
      </c>
      <c r="HS3483" s="5" t="s">
        <v>240</v>
      </c>
      <c r="HT3483" s="5" t="s">
        <v>240</v>
      </c>
      <c r="HU3483" s="5" t="s">
        <v>240</v>
      </c>
      <c r="HV3483" s="5" t="s">
        <v>240</v>
      </c>
      <c r="HW3483" s="5" t="s">
        <v>240</v>
      </c>
      <c r="HX3483" s="5" t="s">
        <v>240</v>
      </c>
      <c r="HY3483" s="5" t="s">
        <v>240</v>
      </c>
      <c r="HZ3483" s="5" t="s">
        <v>240</v>
      </c>
      <c r="IA3483" s="5" t="s">
        <v>240</v>
      </c>
      <c r="IB3483" s="5" t="s">
        <v>240</v>
      </c>
      <c r="IC3483" s="5" t="s">
        <v>240</v>
      </c>
      <c r="ID3483" s="5" t="s">
        <v>240</v>
      </c>
      <c r="IE3483" s="5" t="s">
        <v>240</v>
      </c>
      <c r="IF3483" s="5" t="s">
        <v>240</v>
      </c>
    </row>
    <row r="3484" spans="1:240" x14ac:dyDescent="0.4">
      <c r="A3484" s="5">
        <v>9026</v>
      </c>
      <c r="B3484" s="5">
        <v>1</v>
      </c>
      <c r="C3484" s="5">
        <v>1</v>
      </c>
      <c r="D3484" s="5" t="s">
        <v>723</v>
      </c>
      <c r="E3484" s="5" t="s">
        <v>5060</v>
      </c>
      <c r="F3484" s="5" t="s">
        <v>254</v>
      </c>
      <c r="G3484" s="5" t="s">
        <v>5061</v>
      </c>
      <c r="H3484" s="6" t="s">
        <v>5206</v>
      </c>
      <c r="I3484" s="5" t="s">
        <v>5205</v>
      </c>
      <c r="J3484" s="7">
        <f>1</f>
        <v>1</v>
      </c>
      <c r="K3484" s="5" t="s">
        <v>3682</v>
      </c>
      <c r="L3484" s="7">
        <f>1</f>
        <v>1</v>
      </c>
      <c r="M3484" s="7">
        <f>1</f>
        <v>1</v>
      </c>
      <c r="N3484" s="5" t="s">
        <v>242</v>
      </c>
      <c r="O3484" s="5">
        <v>1</v>
      </c>
      <c r="P3484" s="5" t="s">
        <v>294</v>
      </c>
      <c r="Q3484" s="5" t="s">
        <v>613</v>
      </c>
      <c r="R3484" s="5" t="s">
        <v>240</v>
      </c>
      <c r="S3484" s="5" t="s">
        <v>240</v>
      </c>
      <c r="T3484" s="5" t="s">
        <v>243</v>
      </c>
      <c r="U3484" s="5" t="s">
        <v>724</v>
      </c>
      <c r="V3484" s="5" t="s">
        <v>240</v>
      </c>
      <c r="W3484" s="5" t="s">
        <v>240</v>
      </c>
      <c r="X3484" s="5" t="s">
        <v>240</v>
      </c>
      <c r="Y3484" s="5" t="s">
        <v>240</v>
      </c>
      <c r="Z3484" s="6" t="s">
        <v>298</v>
      </c>
      <c r="AA3484" s="6" t="s">
        <v>240</v>
      </c>
      <c r="AB3484" s="6" t="s">
        <v>240</v>
      </c>
      <c r="AC3484" s="5" t="s">
        <v>240</v>
      </c>
      <c r="AD3484" s="6" t="s">
        <v>240</v>
      </c>
      <c r="AE3484" s="6" t="s">
        <v>299</v>
      </c>
      <c r="AF3484" s="5" t="s">
        <v>727</v>
      </c>
      <c r="AG3484" s="5" t="s">
        <v>260</v>
      </c>
      <c r="AH3484" s="5" t="s">
        <v>240</v>
      </c>
      <c r="AI3484" s="5" t="s">
        <v>240</v>
      </c>
      <c r="AJ3484" s="5" t="s">
        <v>240</v>
      </c>
      <c r="AK3484" s="5" t="s">
        <v>240</v>
      </c>
      <c r="AL3484" s="5" t="s">
        <v>240</v>
      </c>
      <c r="AM3484" s="5" t="s">
        <v>240</v>
      </c>
      <c r="AN3484" s="5" t="s">
        <v>240</v>
      </c>
      <c r="AO3484" s="5" t="s">
        <v>240</v>
      </c>
      <c r="AP3484" s="6" t="s">
        <v>240</v>
      </c>
      <c r="AQ3484" s="6" t="s">
        <v>240</v>
      </c>
      <c r="AR3484" s="6" t="s">
        <v>240</v>
      </c>
      <c r="AS3484" s="6" t="s">
        <v>240</v>
      </c>
      <c r="AT3484" s="5" t="s">
        <v>240</v>
      </c>
      <c r="AU3484" s="5" t="s">
        <v>729</v>
      </c>
      <c r="AV3484" s="5" t="s">
        <v>729</v>
      </c>
      <c r="AW3484" s="5" t="s">
        <v>251</v>
      </c>
      <c r="AX3484" s="5" t="s">
        <v>252</v>
      </c>
      <c r="AY3484" s="5" t="s">
        <v>253</v>
      </c>
      <c r="AZ3484" s="5" t="s">
        <v>240</v>
      </c>
      <c r="BA3484" s="5" t="s">
        <v>255</v>
      </c>
      <c r="BB3484" s="5" t="s">
        <v>731</v>
      </c>
      <c r="BD3484" s="5" t="s">
        <v>240</v>
      </c>
      <c r="BF3484" s="5" t="s">
        <v>732</v>
      </c>
      <c r="BG3484" s="6" t="s">
        <v>733</v>
      </c>
      <c r="BH3484" s="5" t="s">
        <v>734</v>
      </c>
      <c r="BI3484" s="5" t="s">
        <v>734</v>
      </c>
      <c r="BJ3484" s="5" t="s">
        <v>240</v>
      </c>
      <c r="BK3484" s="8">
        <f>493</f>
        <v>493</v>
      </c>
      <c r="BL3484" s="7">
        <f>0</f>
        <v>0</v>
      </c>
      <c r="BM3484" s="5" t="s">
        <v>258</v>
      </c>
      <c r="BN3484" s="5" t="s">
        <v>259</v>
      </c>
      <c r="BO3484" s="5" t="s">
        <v>240</v>
      </c>
      <c r="BP3484" s="5" t="s">
        <v>240</v>
      </c>
      <c r="BQ3484" s="5" t="s">
        <v>240</v>
      </c>
      <c r="BR3484" s="5" t="s">
        <v>240</v>
      </c>
      <c r="BS3484" s="5" t="s">
        <v>240</v>
      </c>
      <c r="BT3484" s="5" t="s">
        <v>240</v>
      </c>
      <c r="BU3484" s="5" t="s">
        <v>240</v>
      </c>
      <c r="BV3484" s="5" t="s">
        <v>240</v>
      </c>
      <c r="BW3484" s="6" t="s">
        <v>240</v>
      </c>
      <c r="BX3484" s="5" t="s">
        <v>240</v>
      </c>
      <c r="BY3484" s="5" t="s">
        <v>240</v>
      </c>
      <c r="BZ3484" s="5" t="s">
        <v>240</v>
      </c>
      <c r="CA3484" s="5" t="s">
        <v>259</v>
      </c>
      <c r="CB3484" s="5" t="s">
        <v>240</v>
      </c>
      <c r="CC3484" s="5" t="s">
        <v>240</v>
      </c>
      <c r="CD3484" s="5" t="s">
        <v>240</v>
      </c>
      <c r="CE3484" s="5" t="s">
        <v>240</v>
      </c>
      <c r="CF3484" s="5" t="s">
        <v>240</v>
      </c>
      <c r="CG3484" s="5" t="s">
        <v>617</v>
      </c>
      <c r="CH3484" s="5" t="s">
        <v>305</v>
      </c>
      <c r="CI3484" s="5" t="s">
        <v>240</v>
      </c>
      <c r="CL3484" s="6" t="s">
        <v>261</v>
      </c>
      <c r="CM3484" s="5" t="s">
        <v>262</v>
      </c>
      <c r="CN3484" s="5" t="s">
        <v>263</v>
      </c>
      <c r="CO3484" s="5" t="s">
        <v>264</v>
      </c>
      <c r="CP3484" s="5" t="s">
        <v>240</v>
      </c>
      <c r="CQ3484" s="5">
        <v>0</v>
      </c>
      <c r="CR3484" s="5" t="s">
        <v>735</v>
      </c>
      <c r="CS3484" s="5" t="s">
        <v>307</v>
      </c>
      <c r="CT3484" s="5" t="s">
        <v>307</v>
      </c>
      <c r="CU3484" s="5" t="s">
        <v>260</v>
      </c>
      <c r="CV3484" s="5" t="s">
        <v>240</v>
      </c>
      <c r="CW3484" s="8">
        <f>0</f>
        <v>0</v>
      </c>
      <c r="CX3484" s="7">
        <f>0</f>
        <v>0</v>
      </c>
      <c r="CY3484" s="7">
        <f>0</f>
        <v>0</v>
      </c>
      <c r="DA3484" s="7">
        <f>5423</f>
        <v>5423</v>
      </c>
      <c r="DB3484" s="7" t="s">
        <v>240</v>
      </c>
      <c r="DC3484" s="5" t="s">
        <v>240</v>
      </c>
      <c r="DD3484" s="5" t="s">
        <v>240</v>
      </c>
      <c r="DE3484" s="5" t="s">
        <v>240</v>
      </c>
      <c r="DF3484" s="5" t="s">
        <v>450</v>
      </c>
      <c r="DG3484" s="7">
        <f>0</f>
        <v>0</v>
      </c>
      <c r="DI3484" s="5" t="s">
        <v>737</v>
      </c>
      <c r="DJ3484" s="5" t="s">
        <v>240</v>
      </c>
      <c r="DK3484" s="5" t="s">
        <v>240</v>
      </c>
      <c r="DL3484" s="5" t="s">
        <v>240</v>
      </c>
      <c r="DM3484" s="5" t="s">
        <v>240</v>
      </c>
      <c r="DN3484" s="5" t="s">
        <v>240</v>
      </c>
      <c r="DO3484" s="7" t="s">
        <v>240</v>
      </c>
      <c r="DP3484" s="5" t="s">
        <v>240</v>
      </c>
      <c r="DQ3484" s="5" t="s">
        <v>240</v>
      </c>
      <c r="DR3484" s="5" t="s">
        <v>731</v>
      </c>
      <c r="DS3484" s="5" t="s">
        <v>731</v>
      </c>
      <c r="DT3484" s="5" t="s">
        <v>240</v>
      </c>
      <c r="DU3484" s="5" t="s">
        <v>240</v>
      </c>
      <c r="DV3484" s="5" t="s">
        <v>738</v>
      </c>
      <c r="DW3484" s="5" t="s">
        <v>818</v>
      </c>
      <c r="DX3484" s="5" t="s">
        <v>240</v>
      </c>
      <c r="DY3484" s="5" t="s">
        <v>240</v>
      </c>
      <c r="DZ3484" s="5" t="s">
        <v>240</v>
      </c>
      <c r="EA3484" s="5" t="s">
        <v>240</v>
      </c>
      <c r="EB3484" s="5" t="s">
        <v>240</v>
      </c>
      <c r="EC3484" s="5" t="s">
        <v>240</v>
      </c>
      <c r="ED3484" s="5" t="s">
        <v>240</v>
      </c>
      <c r="EE3484" s="5" t="s">
        <v>240</v>
      </c>
      <c r="EF3484" s="5" t="s">
        <v>240</v>
      </c>
      <c r="EG3484" s="5" t="s">
        <v>240</v>
      </c>
      <c r="EH3484" s="5" t="s">
        <v>240</v>
      </c>
      <c r="EI3484" s="5" t="s">
        <v>240</v>
      </c>
      <c r="EJ3484" s="5" t="s">
        <v>240</v>
      </c>
      <c r="EK3484" s="5" t="s">
        <v>240</v>
      </c>
      <c r="EL3484" s="5" t="s">
        <v>240</v>
      </c>
      <c r="EM3484" s="5" t="s">
        <v>240</v>
      </c>
      <c r="EN3484" s="5" t="s">
        <v>240</v>
      </c>
      <c r="EO3484" s="5" t="s">
        <v>240</v>
      </c>
      <c r="EP3484" s="5" t="s">
        <v>240</v>
      </c>
      <c r="EQ3484" s="5" t="s">
        <v>240</v>
      </c>
      <c r="ER3484" s="5" t="s">
        <v>240</v>
      </c>
      <c r="ES3484" s="5" t="s">
        <v>240</v>
      </c>
      <c r="ET3484" s="5" t="s">
        <v>240</v>
      </c>
      <c r="EU3484" s="5" t="s">
        <v>240</v>
      </c>
      <c r="EV3484" s="5" t="s">
        <v>240</v>
      </c>
      <c r="EW3484" s="5" t="s">
        <v>240</v>
      </c>
      <c r="EX3484" s="5" t="s">
        <v>240</v>
      </c>
      <c r="EY3484" s="5" t="s">
        <v>240</v>
      </c>
      <c r="EZ3484" s="5" t="s">
        <v>240</v>
      </c>
      <c r="FA3484" s="5" t="s">
        <v>240</v>
      </c>
      <c r="FB3484" s="5" t="s">
        <v>240</v>
      </c>
      <c r="FC3484" s="5" t="s">
        <v>240</v>
      </c>
      <c r="FD3484" s="5" t="s">
        <v>240</v>
      </c>
      <c r="FE3484" s="5" t="s">
        <v>240</v>
      </c>
      <c r="FF3484" s="5" t="s">
        <v>240</v>
      </c>
      <c r="FG3484" s="5" t="s">
        <v>240</v>
      </c>
      <c r="FH3484" s="5" t="s">
        <v>240</v>
      </c>
      <c r="FI3484" s="5" t="s">
        <v>240</v>
      </c>
      <c r="FJ3484" s="5" t="s">
        <v>240</v>
      </c>
      <c r="FK3484" s="5" t="s">
        <v>240</v>
      </c>
      <c r="FL3484" s="5" t="s">
        <v>240</v>
      </c>
      <c r="FM3484" s="5" t="s">
        <v>240</v>
      </c>
      <c r="FN3484" s="5" t="s">
        <v>240</v>
      </c>
      <c r="FO3484" s="5" t="s">
        <v>240</v>
      </c>
      <c r="FP3484" s="5" t="s">
        <v>240</v>
      </c>
      <c r="FQ3484" s="5" t="s">
        <v>240</v>
      </c>
      <c r="FR3484" s="5" t="s">
        <v>240</v>
      </c>
      <c r="FS3484" s="5" t="s">
        <v>240</v>
      </c>
      <c r="FT3484" s="5" t="s">
        <v>240</v>
      </c>
      <c r="FU3484" s="5" t="s">
        <v>240</v>
      </c>
      <c r="FV3484" s="5" t="s">
        <v>240</v>
      </c>
      <c r="FW3484" s="5" t="s">
        <v>240</v>
      </c>
      <c r="FX3484" s="5" t="s">
        <v>240</v>
      </c>
      <c r="FY3484" s="5" t="s">
        <v>240</v>
      </c>
      <c r="FZ3484" s="5" t="s">
        <v>240</v>
      </c>
      <c r="GA3484" s="5" t="s">
        <v>240</v>
      </c>
      <c r="GB3484" s="5" t="s">
        <v>240</v>
      </c>
      <c r="GC3484" s="5" t="s">
        <v>240</v>
      </c>
      <c r="GD3484" s="5" t="s">
        <v>240</v>
      </c>
      <c r="GE3484" s="5" t="s">
        <v>240</v>
      </c>
      <c r="GF3484" s="5" t="s">
        <v>240</v>
      </c>
      <c r="GG3484" s="5" t="s">
        <v>240</v>
      </c>
      <c r="GH3484" s="5" t="s">
        <v>240</v>
      </c>
      <c r="GI3484" s="5" t="s">
        <v>240</v>
      </c>
      <c r="GJ3484" s="5" t="s">
        <v>240</v>
      </c>
      <c r="GK3484" s="5" t="s">
        <v>240</v>
      </c>
      <c r="GL3484" s="5" t="s">
        <v>240</v>
      </c>
      <c r="GM3484" s="5" t="s">
        <v>240</v>
      </c>
      <c r="GN3484" s="5" t="s">
        <v>240</v>
      </c>
      <c r="GO3484" s="5" t="s">
        <v>240</v>
      </c>
      <c r="GP3484" s="5" t="s">
        <v>240</v>
      </c>
      <c r="GQ3484" s="5" t="s">
        <v>240</v>
      </c>
      <c r="GR3484" s="5" t="s">
        <v>240</v>
      </c>
      <c r="GS3484" s="5" t="s">
        <v>240</v>
      </c>
      <c r="GT3484" s="5" t="s">
        <v>240</v>
      </c>
      <c r="GU3484" s="5" t="s">
        <v>240</v>
      </c>
      <c r="GV3484" s="5" t="s">
        <v>240</v>
      </c>
      <c r="GW3484" s="5" t="s">
        <v>240</v>
      </c>
      <c r="GX3484" s="5" t="s">
        <v>240</v>
      </c>
      <c r="GY3484" s="5" t="s">
        <v>240</v>
      </c>
      <c r="GZ3484" s="5" t="s">
        <v>240</v>
      </c>
      <c r="HA3484" s="5" t="s">
        <v>240</v>
      </c>
      <c r="HB3484" s="5" t="s">
        <v>240</v>
      </c>
      <c r="HC3484" s="5" t="s">
        <v>240</v>
      </c>
      <c r="HD3484" s="5" t="s">
        <v>240</v>
      </c>
      <c r="HE3484" s="5" t="s">
        <v>240</v>
      </c>
      <c r="HF3484" s="5" t="s">
        <v>240</v>
      </c>
      <c r="HG3484" s="5" t="s">
        <v>240</v>
      </c>
      <c r="HH3484" s="5" t="s">
        <v>240</v>
      </c>
      <c r="HI3484" s="5" t="s">
        <v>240</v>
      </c>
      <c r="HJ3484" s="5" t="s">
        <v>240</v>
      </c>
      <c r="HK3484" s="5" t="s">
        <v>240</v>
      </c>
      <c r="HL3484" s="5" t="s">
        <v>240</v>
      </c>
      <c r="HM3484" s="5" t="s">
        <v>240</v>
      </c>
      <c r="HN3484" s="5" t="s">
        <v>240</v>
      </c>
      <c r="HO3484" s="5" t="s">
        <v>312</v>
      </c>
      <c r="HP3484" s="5" t="s">
        <v>240</v>
      </c>
      <c r="HQ3484" s="5" t="s">
        <v>240</v>
      </c>
      <c r="HR3484" s="5" t="s">
        <v>240</v>
      </c>
      <c r="HS3484" s="5" t="s">
        <v>240</v>
      </c>
      <c r="HT3484" s="5" t="s">
        <v>240</v>
      </c>
      <c r="HU3484" s="5" t="s">
        <v>240</v>
      </c>
      <c r="HV3484" s="5" t="s">
        <v>240</v>
      </c>
      <c r="HW3484" s="5" t="s">
        <v>240</v>
      </c>
      <c r="HX3484" s="5" t="s">
        <v>240</v>
      </c>
      <c r="HY3484" s="5" t="s">
        <v>240</v>
      </c>
      <c r="HZ3484" s="5" t="s">
        <v>240</v>
      </c>
      <c r="IA3484" s="5" t="s">
        <v>240</v>
      </c>
      <c r="IB3484" s="5" t="s">
        <v>240</v>
      </c>
      <c r="IC3484" s="5" t="s">
        <v>240</v>
      </c>
      <c r="ID3484" s="5" t="s">
        <v>240</v>
      </c>
      <c r="IE3484" s="5" t="s">
        <v>240</v>
      </c>
      <c r="IF3484" s="5" t="s">
        <v>240</v>
      </c>
    </row>
    <row r="3485" spans="1:240" x14ac:dyDescent="0.4">
      <c r="A3485" s="5">
        <v>9027</v>
      </c>
      <c r="B3485" s="5">
        <v>1</v>
      </c>
      <c r="C3485" s="5">
        <v>1</v>
      </c>
      <c r="D3485" s="5" t="s">
        <v>723</v>
      </c>
      <c r="E3485" s="5" t="s">
        <v>5060</v>
      </c>
      <c r="F3485" s="5" t="s">
        <v>254</v>
      </c>
      <c r="G3485" s="5" t="s">
        <v>5061</v>
      </c>
      <c r="H3485" s="6" t="s">
        <v>5999</v>
      </c>
      <c r="I3485" s="5" t="s">
        <v>5998</v>
      </c>
      <c r="J3485" s="7">
        <f>1</f>
        <v>1</v>
      </c>
      <c r="K3485" s="5" t="s">
        <v>3682</v>
      </c>
      <c r="L3485" s="7">
        <f>1</f>
        <v>1</v>
      </c>
      <c r="M3485" s="7">
        <f>1</f>
        <v>1</v>
      </c>
      <c r="N3485" s="5" t="s">
        <v>242</v>
      </c>
      <c r="O3485" s="5">
        <v>1</v>
      </c>
      <c r="P3485" s="5" t="s">
        <v>294</v>
      </c>
      <c r="Q3485" s="5" t="s">
        <v>613</v>
      </c>
      <c r="R3485" s="5" t="s">
        <v>240</v>
      </c>
      <c r="S3485" s="5" t="s">
        <v>240</v>
      </c>
      <c r="T3485" s="5" t="s">
        <v>243</v>
      </c>
      <c r="U3485" s="5" t="s">
        <v>724</v>
      </c>
      <c r="V3485" s="5" t="s">
        <v>240</v>
      </c>
      <c r="W3485" s="5" t="s">
        <v>240</v>
      </c>
      <c r="X3485" s="5" t="s">
        <v>240</v>
      </c>
      <c r="Y3485" s="5" t="s">
        <v>240</v>
      </c>
      <c r="Z3485" s="6" t="s">
        <v>298</v>
      </c>
      <c r="AA3485" s="6" t="s">
        <v>240</v>
      </c>
      <c r="AB3485" s="6" t="s">
        <v>240</v>
      </c>
      <c r="AC3485" s="5" t="s">
        <v>240</v>
      </c>
      <c r="AD3485" s="6" t="s">
        <v>240</v>
      </c>
      <c r="AE3485" s="6" t="s">
        <v>299</v>
      </c>
      <c r="AF3485" s="5" t="s">
        <v>727</v>
      </c>
      <c r="AG3485" s="5" t="s">
        <v>260</v>
      </c>
      <c r="AH3485" s="5" t="s">
        <v>240</v>
      </c>
      <c r="AI3485" s="5" t="s">
        <v>240</v>
      </c>
      <c r="AJ3485" s="5" t="s">
        <v>240</v>
      </c>
      <c r="AK3485" s="5" t="s">
        <v>240</v>
      </c>
      <c r="AL3485" s="5" t="s">
        <v>240</v>
      </c>
      <c r="AM3485" s="5" t="s">
        <v>240</v>
      </c>
      <c r="AN3485" s="5" t="s">
        <v>240</v>
      </c>
      <c r="AO3485" s="5" t="s">
        <v>240</v>
      </c>
      <c r="AP3485" s="6" t="s">
        <v>240</v>
      </c>
      <c r="AQ3485" s="6" t="s">
        <v>240</v>
      </c>
      <c r="AR3485" s="6" t="s">
        <v>240</v>
      </c>
      <c r="AS3485" s="6" t="s">
        <v>240</v>
      </c>
      <c r="AT3485" s="5" t="s">
        <v>240</v>
      </c>
      <c r="AU3485" s="5" t="s">
        <v>729</v>
      </c>
      <c r="AV3485" s="5" t="s">
        <v>729</v>
      </c>
      <c r="AW3485" s="5" t="s">
        <v>251</v>
      </c>
      <c r="AX3485" s="5" t="s">
        <v>252</v>
      </c>
      <c r="AY3485" s="5" t="s">
        <v>253</v>
      </c>
      <c r="AZ3485" s="5" t="s">
        <v>240</v>
      </c>
      <c r="BA3485" s="5" t="s">
        <v>255</v>
      </c>
      <c r="BB3485" s="5" t="s">
        <v>731</v>
      </c>
      <c r="BD3485" s="5" t="s">
        <v>240</v>
      </c>
      <c r="BF3485" s="5" t="s">
        <v>732</v>
      </c>
      <c r="BG3485" s="6" t="s">
        <v>733</v>
      </c>
      <c r="BH3485" s="5" t="s">
        <v>734</v>
      </c>
      <c r="BI3485" s="5" t="s">
        <v>734</v>
      </c>
      <c r="BJ3485" s="5" t="s">
        <v>240</v>
      </c>
      <c r="BK3485" s="8">
        <f>495.86</f>
        <v>495.86</v>
      </c>
      <c r="BL3485" s="7">
        <f>0</f>
        <v>0</v>
      </c>
      <c r="BM3485" s="5" t="s">
        <v>258</v>
      </c>
      <c r="BN3485" s="5" t="s">
        <v>259</v>
      </c>
      <c r="BO3485" s="5" t="s">
        <v>240</v>
      </c>
      <c r="BP3485" s="5" t="s">
        <v>240</v>
      </c>
      <c r="BQ3485" s="5" t="s">
        <v>240</v>
      </c>
      <c r="BR3485" s="5" t="s">
        <v>240</v>
      </c>
      <c r="BS3485" s="5" t="s">
        <v>240</v>
      </c>
      <c r="BT3485" s="5" t="s">
        <v>240</v>
      </c>
      <c r="BU3485" s="5" t="s">
        <v>240</v>
      </c>
      <c r="BV3485" s="5" t="s">
        <v>240</v>
      </c>
      <c r="BW3485" s="6" t="s">
        <v>240</v>
      </c>
      <c r="BX3485" s="5" t="s">
        <v>240</v>
      </c>
      <c r="BY3485" s="5" t="s">
        <v>240</v>
      </c>
      <c r="BZ3485" s="5" t="s">
        <v>240</v>
      </c>
      <c r="CA3485" s="5" t="s">
        <v>259</v>
      </c>
      <c r="CB3485" s="5" t="s">
        <v>240</v>
      </c>
      <c r="CC3485" s="5" t="s">
        <v>240</v>
      </c>
      <c r="CD3485" s="5" t="s">
        <v>240</v>
      </c>
      <c r="CE3485" s="5" t="s">
        <v>240</v>
      </c>
      <c r="CF3485" s="5" t="s">
        <v>240</v>
      </c>
      <c r="CG3485" s="5" t="s">
        <v>617</v>
      </c>
      <c r="CH3485" s="5" t="s">
        <v>305</v>
      </c>
      <c r="CI3485" s="5" t="s">
        <v>240</v>
      </c>
      <c r="CL3485" s="6" t="s">
        <v>261</v>
      </c>
      <c r="CM3485" s="5" t="s">
        <v>262</v>
      </c>
      <c r="CN3485" s="5" t="s">
        <v>263</v>
      </c>
      <c r="CO3485" s="5" t="s">
        <v>264</v>
      </c>
      <c r="CP3485" s="5" t="s">
        <v>240</v>
      </c>
      <c r="CQ3485" s="5">
        <v>0</v>
      </c>
      <c r="CR3485" s="5" t="s">
        <v>735</v>
      </c>
      <c r="CS3485" s="5" t="s">
        <v>307</v>
      </c>
      <c r="CT3485" s="5" t="s">
        <v>307</v>
      </c>
      <c r="CU3485" s="5" t="s">
        <v>260</v>
      </c>
      <c r="CV3485" s="5" t="s">
        <v>240</v>
      </c>
      <c r="CW3485" s="8">
        <f>0</f>
        <v>0</v>
      </c>
      <c r="CX3485" s="7">
        <f>0</f>
        <v>0</v>
      </c>
      <c r="CY3485" s="7">
        <f>0</f>
        <v>0</v>
      </c>
      <c r="DA3485" s="7">
        <f>5454</f>
        <v>5454</v>
      </c>
      <c r="DB3485" s="7" t="s">
        <v>240</v>
      </c>
      <c r="DC3485" s="5" t="s">
        <v>240</v>
      </c>
      <c r="DD3485" s="5" t="s">
        <v>240</v>
      </c>
      <c r="DE3485" s="5" t="s">
        <v>240</v>
      </c>
      <c r="DF3485" s="5" t="s">
        <v>450</v>
      </c>
      <c r="DG3485" s="7">
        <f>0</f>
        <v>0</v>
      </c>
      <c r="DI3485" s="5" t="s">
        <v>737</v>
      </c>
      <c r="DJ3485" s="5" t="s">
        <v>240</v>
      </c>
      <c r="DK3485" s="5" t="s">
        <v>240</v>
      </c>
      <c r="DL3485" s="5" t="s">
        <v>240</v>
      </c>
      <c r="DM3485" s="5" t="s">
        <v>240</v>
      </c>
      <c r="DN3485" s="5" t="s">
        <v>240</v>
      </c>
      <c r="DO3485" s="7" t="s">
        <v>240</v>
      </c>
      <c r="DP3485" s="5" t="s">
        <v>240</v>
      </c>
      <c r="DQ3485" s="5" t="s">
        <v>240</v>
      </c>
      <c r="DR3485" s="5" t="s">
        <v>731</v>
      </c>
      <c r="DS3485" s="5" t="s">
        <v>731</v>
      </c>
      <c r="DT3485" s="5" t="s">
        <v>240</v>
      </c>
      <c r="DU3485" s="5" t="s">
        <v>240</v>
      </c>
      <c r="DV3485" s="5" t="s">
        <v>738</v>
      </c>
      <c r="DW3485" s="5" t="s">
        <v>596</v>
      </c>
      <c r="DX3485" s="5" t="s">
        <v>240</v>
      </c>
      <c r="DY3485" s="5" t="s">
        <v>240</v>
      </c>
      <c r="DZ3485" s="5" t="s">
        <v>240</v>
      </c>
      <c r="EA3485" s="5" t="s">
        <v>240</v>
      </c>
      <c r="EB3485" s="5" t="s">
        <v>240</v>
      </c>
      <c r="EC3485" s="5" t="s">
        <v>240</v>
      </c>
      <c r="ED3485" s="5" t="s">
        <v>240</v>
      </c>
      <c r="EE3485" s="5" t="s">
        <v>240</v>
      </c>
      <c r="EF3485" s="5" t="s">
        <v>240</v>
      </c>
      <c r="EG3485" s="5" t="s">
        <v>240</v>
      </c>
      <c r="EH3485" s="5" t="s">
        <v>240</v>
      </c>
      <c r="EI3485" s="5" t="s">
        <v>240</v>
      </c>
      <c r="EJ3485" s="5" t="s">
        <v>240</v>
      </c>
      <c r="EK3485" s="5" t="s">
        <v>240</v>
      </c>
      <c r="EL3485" s="5" t="s">
        <v>240</v>
      </c>
      <c r="EM3485" s="5" t="s">
        <v>240</v>
      </c>
      <c r="EN3485" s="5" t="s">
        <v>240</v>
      </c>
      <c r="EO3485" s="5" t="s">
        <v>240</v>
      </c>
      <c r="EP3485" s="5" t="s">
        <v>240</v>
      </c>
      <c r="EQ3485" s="5" t="s">
        <v>240</v>
      </c>
      <c r="ER3485" s="5" t="s">
        <v>240</v>
      </c>
      <c r="ES3485" s="5" t="s">
        <v>240</v>
      </c>
      <c r="ET3485" s="5" t="s">
        <v>240</v>
      </c>
      <c r="EU3485" s="5" t="s">
        <v>240</v>
      </c>
      <c r="EV3485" s="5" t="s">
        <v>240</v>
      </c>
      <c r="EW3485" s="5" t="s">
        <v>240</v>
      </c>
      <c r="EX3485" s="5" t="s">
        <v>240</v>
      </c>
      <c r="EY3485" s="5" t="s">
        <v>240</v>
      </c>
      <c r="EZ3485" s="5" t="s">
        <v>240</v>
      </c>
      <c r="FA3485" s="5" t="s">
        <v>240</v>
      </c>
      <c r="FB3485" s="5" t="s">
        <v>240</v>
      </c>
      <c r="FC3485" s="5" t="s">
        <v>240</v>
      </c>
      <c r="FD3485" s="5" t="s">
        <v>240</v>
      </c>
      <c r="FE3485" s="5" t="s">
        <v>240</v>
      </c>
      <c r="FF3485" s="5" t="s">
        <v>240</v>
      </c>
      <c r="FG3485" s="5" t="s">
        <v>240</v>
      </c>
      <c r="FH3485" s="5" t="s">
        <v>240</v>
      </c>
      <c r="FI3485" s="5" t="s">
        <v>240</v>
      </c>
      <c r="FJ3485" s="5" t="s">
        <v>240</v>
      </c>
      <c r="FK3485" s="5" t="s">
        <v>240</v>
      </c>
      <c r="FL3485" s="5" t="s">
        <v>240</v>
      </c>
      <c r="FM3485" s="5" t="s">
        <v>240</v>
      </c>
      <c r="FN3485" s="5" t="s">
        <v>240</v>
      </c>
      <c r="FO3485" s="5" t="s">
        <v>240</v>
      </c>
      <c r="FP3485" s="5" t="s">
        <v>240</v>
      </c>
      <c r="FQ3485" s="5" t="s">
        <v>240</v>
      </c>
      <c r="FR3485" s="5" t="s">
        <v>240</v>
      </c>
      <c r="FS3485" s="5" t="s">
        <v>240</v>
      </c>
      <c r="FT3485" s="5" t="s">
        <v>240</v>
      </c>
      <c r="FU3485" s="5" t="s">
        <v>240</v>
      </c>
      <c r="FV3485" s="5" t="s">
        <v>240</v>
      </c>
      <c r="FW3485" s="5" t="s">
        <v>240</v>
      </c>
      <c r="FX3485" s="5" t="s">
        <v>240</v>
      </c>
      <c r="FY3485" s="5" t="s">
        <v>240</v>
      </c>
      <c r="FZ3485" s="5" t="s">
        <v>240</v>
      </c>
      <c r="GA3485" s="5" t="s">
        <v>240</v>
      </c>
      <c r="GB3485" s="5" t="s">
        <v>240</v>
      </c>
      <c r="GC3485" s="5" t="s">
        <v>240</v>
      </c>
      <c r="GD3485" s="5" t="s">
        <v>240</v>
      </c>
      <c r="GE3485" s="5" t="s">
        <v>240</v>
      </c>
      <c r="GF3485" s="5" t="s">
        <v>240</v>
      </c>
      <c r="GG3485" s="5" t="s">
        <v>240</v>
      </c>
      <c r="GH3485" s="5" t="s">
        <v>240</v>
      </c>
      <c r="GI3485" s="5" t="s">
        <v>240</v>
      </c>
      <c r="GJ3485" s="5" t="s">
        <v>240</v>
      </c>
      <c r="GK3485" s="5" t="s">
        <v>240</v>
      </c>
      <c r="GL3485" s="5" t="s">
        <v>240</v>
      </c>
      <c r="GM3485" s="5" t="s">
        <v>240</v>
      </c>
      <c r="GN3485" s="5" t="s">
        <v>240</v>
      </c>
      <c r="GO3485" s="5" t="s">
        <v>240</v>
      </c>
      <c r="GP3485" s="5" t="s">
        <v>240</v>
      </c>
      <c r="GQ3485" s="5" t="s">
        <v>240</v>
      </c>
      <c r="GR3485" s="5" t="s">
        <v>240</v>
      </c>
      <c r="GS3485" s="5" t="s">
        <v>240</v>
      </c>
      <c r="GT3485" s="5" t="s">
        <v>240</v>
      </c>
      <c r="GU3485" s="5" t="s">
        <v>240</v>
      </c>
      <c r="GV3485" s="5" t="s">
        <v>240</v>
      </c>
      <c r="GW3485" s="5" t="s">
        <v>240</v>
      </c>
      <c r="GX3485" s="5" t="s">
        <v>240</v>
      </c>
      <c r="GY3485" s="5" t="s">
        <v>240</v>
      </c>
      <c r="GZ3485" s="5" t="s">
        <v>240</v>
      </c>
      <c r="HA3485" s="5" t="s">
        <v>240</v>
      </c>
      <c r="HB3485" s="5" t="s">
        <v>240</v>
      </c>
      <c r="HC3485" s="5" t="s">
        <v>240</v>
      </c>
      <c r="HD3485" s="5" t="s">
        <v>240</v>
      </c>
      <c r="HE3485" s="5" t="s">
        <v>240</v>
      </c>
      <c r="HF3485" s="5" t="s">
        <v>240</v>
      </c>
      <c r="HG3485" s="5" t="s">
        <v>240</v>
      </c>
      <c r="HH3485" s="5" t="s">
        <v>240</v>
      </c>
      <c r="HI3485" s="5" t="s">
        <v>240</v>
      </c>
      <c r="HJ3485" s="5" t="s">
        <v>240</v>
      </c>
      <c r="HK3485" s="5" t="s">
        <v>240</v>
      </c>
      <c r="HL3485" s="5" t="s">
        <v>240</v>
      </c>
      <c r="HM3485" s="5" t="s">
        <v>240</v>
      </c>
      <c r="HN3485" s="5" t="s">
        <v>240</v>
      </c>
      <c r="HO3485" s="5" t="s">
        <v>620</v>
      </c>
      <c r="HP3485" s="5" t="s">
        <v>240</v>
      </c>
      <c r="HQ3485" s="5" t="s">
        <v>240</v>
      </c>
      <c r="HR3485" s="5" t="s">
        <v>240</v>
      </c>
      <c r="HS3485" s="5" t="s">
        <v>240</v>
      </c>
      <c r="HT3485" s="5" t="s">
        <v>240</v>
      </c>
      <c r="HU3485" s="5" t="s">
        <v>240</v>
      </c>
      <c r="HV3485" s="5" t="s">
        <v>240</v>
      </c>
      <c r="HW3485" s="5" t="s">
        <v>240</v>
      </c>
      <c r="HX3485" s="5" t="s">
        <v>240</v>
      </c>
      <c r="HY3485" s="5" t="s">
        <v>240</v>
      </c>
      <c r="HZ3485" s="5" t="s">
        <v>240</v>
      </c>
      <c r="IA3485" s="5" t="s">
        <v>240</v>
      </c>
      <c r="IB3485" s="5" t="s">
        <v>240</v>
      </c>
      <c r="IC3485" s="5" t="s">
        <v>240</v>
      </c>
      <c r="ID3485" s="5" t="s">
        <v>240</v>
      </c>
      <c r="IE3485" s="5" t="s">
        <v>240</v>
      </c>
      <c r="IF3485" s="5" t="s">
        <v>240</v>
      </c>
    </row>
    <row r="3486" spans="1:240" x14ac:dyDescent="0.4">
      <c r="A3486" s="5">
        <v>9028</v>
      </c>
      <c r="B3486" s="5">
        <v>1</v>
      </c>
      <c r="C3486" s="5">
        <v>1</v>
      </c>
      <c r="D3486" s="5" t="s">
        <v>723</v>
      </c>
      <c r="E3486" s="5" t="s">
        <v>5060</v>
      </c>
      <c r="F3486" s="5" t="s">
        <v>254</v>
      </c>
      <c r="G3486" s="5" t="s">
        <v>5061</v>
      </c>
      <c r="H3486" s="6" t="s">
        <v>6001</v>
      </c>
      <c r="I3486" s="5" t="s">
        <v>6000</v>
      </c>
      <c r="J3486" s="7">
        <f>1</f>
        <v>1</v>
      </c>
      <c r="K3486" s="5" t="s">
        <v>3682</v>
      </c>
      <c r="L3486" s="7">
        <f>1</f>
        <v>1</v>
      </c>
      <c r="M3486" s="7">
        <f>1</f>
        <v>1</v>
      </c>
      <c r="N3486" s="5" t="s">
        <v>242</v>
      </c>
      <c r="O3486" s="5">
        <v>1</v>
      </c>
      <c r="P3486" s="5" t="s">
        <v>294</v>
      </c>
      <c r="Q3486" s="5" t="s">
        <v>266</v>
      </c>
      <c r="R3486" s="5" t="s">
        <v>240</v>
      </c>
      <c r="S3486" s="5" t="s">
        <v>240</v>
      </c>
      <c r="T3486" s="5" t="s">
        <v>296</v>
      </c>
      <c r="U3486" s="5" t="s">
        <v>244</v>
      </c>
      <c r="V3486" s="5" t="s">
        <v>240</v>
      </c>
      <c r="Y3486" s="5" t="s">
        <v>240</v>
      </c>
      <c r="Z3486" s="6" t="s">
        <v>298</v>
      </c>
      <c r="AB3486" s="6" t="s">
        <v>240</v>
      </c>
      <c r="AE3486" s="6" t="s">
        <v>299</v>
      </c>
      <c r="AF3486" s="5" t="s">
        <v>248</v>
      </c>
      <c r="AG3486" s="5" t="s">
        <v>249</v>
      </c>
      <c r="AW3486" s="5" t="s">
        <v>251</v>
      </c>
      <c r="AX3486" s="5" t="s">
        <v>240</v>
      </c>
      <c r="AY3486" s="5" t="s">
        <v>253</v>
      </c>
      <c r="AZ3486" s="5" t="s">
        <v>240</v>
      </c>
      <c r="BA3486" s="5" t="s">
        <v>255</v>
      </c>
      <c r="BB3486" s="5" t="s">
        <v>240</v>
      </c>
      <c r="BD3486" s="5" t="s">
        <v>240</v>
      </c>
      <c r="BF3486" s="5" t="s">
        <v>301</v>
      </c>
      <c r="BG3486" s="6" t="s">
        <v>299</v>
      </c>
      <c r="BH3486" s="5" t="s">
        <v>302</v>
      </c>
      <c r="BI3486" s="5" t="s">
        <v>303</v>
      </c>
      <c r="BJ3486" s="5" t="s">
        <v>240</v>
      </c>
      <c r="BK3486" s="8">
        <f>0</f>
        <v>0</v>
      </c>
      <c r="BL3486" s="7">
        <f>0</f>
        <v>0</v>
      </c>
      <c r="BM3486" s="5" t="s">
        <v>258</v>
      </c>
      <c r="BN3486" s="5" t="s">
        <v>259</v>
      </c>
      <c r="CB3486" s="5" t="s">
        <v>240</v>
      </c>
      <c r="CC3486" s="5" t="s">
        <v>240</v>
      </c>
      <c r="CG3486" s="5" t="s">
        <v>304</v>
      </c>
      <c r="CH3486" s="5" t="s">
        <v>305</v>
      </c>
      <c r="CI3486" s="5" t="s">
        <v>240</v>
      </c>
      <c r="CL3486" s="6" t="s">
        <v>261</v>
      </c>
      <c r="CM3486" s="5" t="s">
        <v>240</v>
      </c>
      <c r="CN3486" s="5" t="s">
        <v>263</v>
      </c>
      <c r="CO3486" s="5" t="s">
        <v>240</v>
      </c>
      <c r="CP3486" s="5" t="s">
        <v>240</v>
      </c>
      <c r="CQ3486" s="5">
        <v>0</v>
      </c>
      <c r="CR3486" s="5" t="s">
        <v>306</v>
      </c>
      <c r="CS3486" s="5" t="s">
        <v>307</v>
      </c>
      <c r="CT3486" s="5" t="s">
        <v>307</v>
      </c>
      <c r="CU3486" s="5" t="s">
        <v>260</v>
      </c>
      <c r="CX3486" s="7">
        <f>1</f>
        <v>1</v>
      </c>
      <c r="CY3486" s="7">
        <f>0</f>
        <v>0</v>
      </c>
      <c r="DA3486" s="7">
        <f>0</f>
        <v>0</v>
      </c>
      <c r="DC3486" s="5" t="s">
        <v>309</v>
      </c>
      <c r="DD3486" s="5" t="s">
        <v>240</v>
      </c>
      <c r="DF3486" s="5" t="s">
        <v>309</v>
      </c>
      <c r="DG3486" s="7">
        <f>11409</f>
        <v>11409</v>
      </c>
      <c r="DI3486" s="5" t="s">
        <v>240</v>
      </c>
      <c r="DJ3486" s="5" t="s">
        <v>240</v>
      </c>
      <c r="DK3486" s="5" t="s">
        <v>240</v>
      </c>
      <c r="DL3486" s="5" t="s">
        <v>240</v>
      </c>
      <c r="DP3486" s="5" t="s">
        <v>240</v>
      </c>
      <c r="DQ3486" s="5" t="s">
        <v>240</v>
      </c>
      <c r="DR3486" s="5" t="s">
        <v>240</v>
      </c>
      <c r="DS3486" s="5" t="s">
        <v>240</v>
      </c>
      <c r="DV3486" s="5" t="s">
        <v>310</v>
      </c>
      <c r="DW3486" s="5" t="s">
        <v>3975</v>
      </c>
      <c r="HO3486" s="5" t="s">
        <v>312</v>
      </c>
    </row>
    <row r="3487" spans="1:240" x14ac:dyDescent="0.4">
      <c r="A3487" s="5">
        <v>9029</v>
      </c>
      <c r="B3487" s="5">
        <v>1</v>
      </c>
      <c r="C3487" s="5">
        <v>1</v>
      </c>
      <c r="D3487" s="5" t="s">
        <v>723</v>
      </c>
      <c r="E3487" s="5" t="s">
        <v>5060</v>
      </c>
      <c r="F3487" s="5" t="s">
        <v>254</v>
      </c>
      <c r="G3487" s="5" t="s">
        <v>5061</v>
      </c>
      <c r="H3487" s="6" t="s">
        <v>6006</v>
      </c>
      <c r="I3487" s="5" t="s">
        <v>6005</v>
      </c>
      <c r="J3487" s="7">
        <f>1</f>
        <v>1</v>
      </c>
      <c r="K3487" s="5" t="s">
        <v>3682</v>
      </c>
      <c r="L3487" s="7">
        <f>1</f>
        <v>1</v>
      </c>
      <c r="M3487" s="7">
        <f>1</f>
        <v>1</v>
      </c>
      <c r="N3487" s="5" t="s">
        <v>242</v>
      </c>
      <c r="O3487" s="5">
        <v>1</v>
      </c>
      <c r="P3487" s="5" t="s">
        <v>294</v>
      </c>
      <c r="Q3487" s="5" t="s">
        <v>613</v>
      </c>
      <c r="R3487" s="5" t="s">
        <v>240</v>
      </c>
      <c r="S3487" s="5" t="s">
        <v>240</v>
      </c>
      <c r="T3487" s="5" t="s">
        <v>243</v>
      </c>
      <c r="U3487" s="5" t="s">
        <v>724</v>
      </c>
      <c r="V3487" s="5" t="s">
        <v>240</v>
      </c>
      <c r="W3487" s="5" t="s">
        <v>240</v>
      </c>
      <c r="X3487" s="5" t="s">
        <v>240</v>
      </c>
      <c r="Y3487" s="5" t="s">
        <v>240</v>
      </c>
      <c r="Z3487" s="6" t="s">
        <v>298</v>
      </c>
      <c r="AA3487" s="6" t="s">
        <v>240</v>
      </c>
      <c r="AB3487" s="6" t="s">
        <v>240</v>
      </c>
      <c r="AC3487" s="5" t="s">
        <v>240</v>
      </c>
      <c r="AD3487" s="6" t="s">
        <v>240</v>
      </c>
      <c r="AE3487" s="6" t="s">
        <v>299</v>
      </c>
      <c r="AF3487" s="5" t="s">
        <v>727</v>
      </c>
      <c r="AG3487" s="5" t="s">
        <v>260</v>
      </c>
      <c r="AH3487" s="5" t="s">
        <v>240</v>
      </c>
      <c r="AI3487" s="5" t="s">
        <v>240</v>
      </c>
      <c r="AJ3487" s="5" t="s">
        <v>240</v>
      </c>
      <c r="AK3487" s="5" t="s">
        <v>240</v>
      </c>
      <c r="AL3487" s="5" t="s">
        <v>240</v>
      </c>
      <c r="AM3487" s="5" t="s">
        <v>240</v>
      </c>
      <c r="AN3487" s="5" t="s">
        <v>240</v>
      </c>
      <c r="AO3487" s="5" t="s">
        <v>240</v>
      </c>
      <c r="AP3487" s="6" t="s">
        <v>240</v>
      </c>
      <c r="AQ3487" s="6" t="s">
        <v>240</v>
      </c>
      <c r="AR3487" s="6" t="s">
        <v>240</v>
      </c>
      <c r="AS3487" s="6" t="s">
        <v>240</v>
      </c>
      <c r="AT3487" s="5" t="s">
        <v>240</v>
      </c>
      <c r="AU3487" s="5" t="s">
        <v>729</v>
      </c>
      <c r="AV3487" s="5" t="s">
        <v>729</v>
      </c>
      <c r="AW3487" s="5" t="s">
        <v>251</v>
      </c>
      <c r="AX3487" s="5" t="s">
        <v>252</v>
      </c>
      <c r="AY3487" s="5" t="s">
        <v>253</v>
      </c>
      <c r="AZ3487" s="5" t="s">
        <v>240</v>
      </c>
      <c r="BA3487" s="5" t="s">
        <v>255</v>
      </c>
      <c r="BB3487" s="5" t="s">
        <v>731</v>
      </c>
      <c r="BD3487" s="5" t="s">
        <v>240</v>
      </c>
      <c r="BF3487" s="5" t="s">
        <v>732</v>
      </c>
      <c r="BG3487" s="6" t="s">
        <v>733</v>
      </c>
      <c r="BH3487" s="5" t="s">
        <v>734</v>
      </c>
      <c r="BI3487" s="5" t="s">
        <v>734</v>
      </c>
      <c r="BJ3487" s="5" t="s">
        <v>240</v>
      </c>
      <c r="BK3487" s="8">
        <f>1836</f>
        <v>1836</v>
      </c>
      <c r="BL3487" s="7">
        <f>0</f>
        <v>0</v>
      </c>
      <c r="BM3487" s="5" t="s">
        <v>258</v>
      </c>
      <c r="BN3487" s="5" t="s">
        <v>259</v>
      </c>
      <c r="BO3487" s="5" t="s">
        <v>240</v>
      </c>
      <c r="BP3487" s="5" t="s">
        <v>240</v>
      </c>
      <c r="BQ3487" s="5" t="s">
        <v>240</v>
      </c>
      <c r="BR3487" s="5" t="s">
        <v>240</v>
      </c>
      <c r="BS3487" s="5" t="s">
        <v>240</v>
      </c>
      <c r="BT3487" s="5" t="s">
        <v>240</v>
      </c>
      <c r="BU3487" s="5" t="s">
        <v>240</v>
      </c>
      <c r="BV3487" s="5" t="s">
        <v>240</v>
      </c>
      <c r="BW3487" s="6" t="s">
        <v>240</v>
      </c>
      <c r="BX3487" s="5" t="s">
        <v>240</v>
      </c>
      <c r="BY3487" s="5" t="s">
        <v>240</v>
      </c>
      <c r="BZ3487" s="5" t="s">
        <v>240</v>
      </c>
      <c r="CA3487" s="5" t="s">
        <v>259</v>
      </c>
      <c r="CB3487" s="5" t="s">
        <v>240</v>
      </c>
      <c r="CC3487" s="5" t="s">
        <v>240</v>
      </c>
      <c r="CD3487" s="5" t="s">
        <v>240</v>
      </c>
      <c r="CE3487" s="5" t="s">
        <v>240</v>
      </c>
      <c r="CF3487" s="5" t="s">
        <v>240</v>
      </c>
      <c r="CG3487" s="5" t="s">
        <v>617</v>
      </c>
      <c r="CH3487" s="5" t="s">
        <v>305</v>
      </c>
      <c r="CI3487" s="5" t="s">
        <v>240</v>
      </c>
      <c r="CL3487" s="6" t="s">
        <v>261</v>
      </c>
      <c r="CM3487" s="5" t="s">
        <v>262</v>
      </c>
      <c r="CN3487" s="5" t="s">
        <v>263</v>
      </c>
      <c r="CO3487" s="5" t="s">
        <v>264</v>
      </c>
      <c r="CP3487" s="5" t="s">
        <v>240</v>
      </c>
      <c r="CQ3487" s="5">
        <v>0</v>
      </c>
      <c r="CR3487" s="5" t="s">
        <v>735</v>
      </c>
      <c r="CS3487" s="5" t="s">
        <v>307</v>
      </c>
      <c r="CT3487" s="5" t="s">
        <v>307</v>
      </c>
      <c r="CU3487" s="5" t="s">
        <v>260</v>
      </c>
      <c r="CV3487" s="5" t="s">
        <v>240</v>
      </c>
      <c r="CW3487" s="8">
        <f>0</f>
        <v>0</v>
      </c>
      <c r="CX3487" s="7">
        <f>0</f>
        <v>0</v>
      </c>
      <c r="CY3487" s="7">
        <f>0</f>
        <v>0</v>
      </c>
      <c r="DA3487" s="7">
        <f>20196</f>
        <v>20196</v>
      </c>
      <c r="DB3487" s="7" t="s">
        <v>240</v>
      </c>
      <c r="DC3487" s="5" t="s">
        <v>240</v>
      </c>
      <c r="DD3487" s="5" t="s">
        <v>240</v>
      </c>
      <c r="DE3487" s="5" t="s">
        <v>240</v>
      </c>
      <c r="DF3487" s="5" t="s">
        <v>450</v>
      </c>
      <c r="DG3487" s="7">
        <f>0</f>
        <v>0</v>
      </c>
      <c r="DI3487" s="5" t="s">
        <v>737</v>
      </c>
      <c r="DJ3487" s="5" t="s">
        <v>240</v>
      </c>
      <c r="DK3487" s="5" t="s">
        <v>240</v>
      </c>
      <c r="DL3487" s="5" t="s">
        <v>240</v>
      </c>
      <c r="DM3487" s="5" t="s">
        <v>240</v>
      </c>
      <c r="DN3487" s="5" t="s">
        <v>240</v>
      </c>
      <c r="DO3487" s="7" t="s">
        <v>240</v>
      </c>
      <c r="DP3487" s="5" t="s">
        <v>240</v>
      </c>
      <c r="DQ3487" s="5" t="s">
        <v>240</v>
      </c>
      <c r="DR3487" s="5" t="s">
        <v>731</v>
      </c>
      <c r="DS3487" s="5" t="s">
        <v>731</v>
      </c>
      <c r="DT3487" s="5" t="s">
        <v>240</v>
      </c>
      <c r="DU3487" s="5" t="s">
        <v>240</v>
      </c>
      <c r="DV3487" s="5" t="s">
        <v>738</v>
      </c>
      <c r="DW3487" s="5" t="s">
        <v>1260</v>
      </c>
      <c r="DX3487" s="5" t="s">
        <v>240</v>
      </c>
      <c r="DY3487" s="5" t="s">
        <v>240</v>
      </c>
      <c r="DZ3487" s="5" t="s">
        <v>240</v>
      </c>
      <c r="EA3487" s="5" t="s">
        <v>240</v>
      </c>
      <c r="EB3487" s="5" t="s">
        <v>240</v>
      </c>
      <c r="EC3487" s="5" t="s">
        <v>240</v>
      </c>
      <c r="ED3487" s="5" t="s">
        <v>240</v>
      </c>
      <c r="EE3487" s="5" t="s">
        <v>240</v>
      </c>
      <c r="EF3487" s="5" t="s">
        <v>240</v>
      </c>
      <c r="EG3487" s="5" t="s">
        <v>240</v>
      </c>
      <c r="EH3487" s="5" t="s">
        <v>240</v>
      </c>
      <c r="EI3487" s="5" t="s">
        <v>240</v>
      </c>
      <c r="EJ3487" s="5" t="s">
        <v>240</v>
      </c>
      <c r="EK3487" s="5" t="s">
        <v>240</v>
      </c>
      <c r="EL3487" s="5" t="s">
        <v>240</v>
      </c>
      <c r="EM3487" s="5" t="s">
        <v>240</v>
      </c>
      <c r="EN3487" s="5" t="s">
        <v>240</v>
      </c>
      <c r="EO3487" s="5" t="s">
        <v>240</v>
      </c>
      <c r="EP3487" s="5" t="s">
        <v>240</v>
      </c>
      <c r="EQ3487" s="5" t="s">
        <v>240</v>
      </c>
      <c r="ER3487" s="5" t="s">
        <v>240</v>
      </c>
      <c r="ES3487" s="5" t="s">
        <v>240</v>
      </c>
      <c r="ET3487" s="5" t="s">
        <v>240</v>
      </c>
      <c r="EU3487" s="5" t="s">
        <v>240</v>
      </c>
      <c r="EV3487" s="5" t="s">
        <v>240</v>
      </c>
      <c r="EW3487" s="5" t="s">
        <v>240</v>
      </c>
      <c r="EX3487" s="5" t="s">
        <v>240</v>
      </c>
      <c r="EY3487" s="5" t="s">
        <v>240</v>
      </c>
      <c r="EZ3487" s="5" t="s">
        <v>240</v>
      </c>
      <c r="FA3487" s="5" t="s">
        <v>240</v>
      </c>
      <c r="FB3487" s="5" t="s">
        <v>240</v>
      </c>
      <c r="FC3487" s="5" t="s">
        <v>240</v>
      </c>
      <c r="FD3487" s="5" t="s">
        <v>240</v>
      </c>
      <c r="FE3487" s="5" t="s">
        <v>240</v>
      </c>
      <c r="FF3487" s="5" t="s">
        <v>240</v>
      </c>
      <c r="FG3487" s="5" t="s">
        <v>240</v>
      </c>
      <c r="FH3487" s="5" t="s">
        <v>240</v>
      </c>
      <c r="FI3487" s="5" t="s">
        <v>240</v>
      </c>
      <c r="FJ3487" s="5" t="s">
        <v>240</v>
      </c>
      <c r="FK3487" s="5" t="s">
        <v>240</v>
      </c>
      <c r="FL3487" s="5" t="s">
        <v>240</v>
      </c>
      <c r="FM3487" s="5" t="s">
        <v>240</v>
      </c>
      <c r="FN3487" s="5" t="s">
        <v>240</v>
      </c>
      <c r="FO3487" s="5" t="s">
        <v>240</v>
      </c>
      <c r="FP3487" s="5" t="s">
        <v>240</v>
      </c>
      <c r="FQ3487" s="5" t="s">
        <v>240</v>
      </c>
      <c r="FR3487" s="5" t="s">
        <v>240</v>
      </c>
      <c r="FS3487" s="5" t="s">
        <v>240</v>
      </c>
      <c r="FT3487" s="5" t="s">
        <v>240</v>
      </c>
      <c r="FU3487" s="5" t="s">
        <v>240</v>
      </c>
      <c r="FV3487" s="5" t="s">
        <v>240</v>
      </c>
      <c r="FW3487" s="5" t="s">
        <v>240</v>
      </c>
      <c r="FX3487" s="5" t="s">
        <v>240</v>
      </c>
      <c r="FY3487" s="5" t="s">
        <v>240</v>
      </c>
      <c r="FZ3487" s="5" t="s">
        <v>240</v>
      </c>
      <c r="GA3487" s="5" t="s">
        <v>240</v>
      </c>
      <c r="GB3487" s="5" t="s">
        <v>240</v>
      </c>
      <c r="GC3487" s="5" t="s">
        <v>240</v>
      </c>
      <c r="GD3487" s="5" t="s">
        <v>240</v>
      </c>
      <c r="GE3487" s="5" t="s">
        <v>240</v>
      </c>
      <c r="GF3487" s="5" t="s">
        <v>240</v>
      </c>
      <c r="GG3487" s="5" t="s">
        <v>240</v>
      </c>
      <c r="GH3487" s="5" t="s">
        <v>240</v>
      </c>
      <c r="GI3487" s="5" t="s">
        <v>240</v>
      </c>
      <c r="GJ3487" s="5" t="s">
        <v>240</v>
      </c>
      <c r="GK3487" s="5" t="s">
        <v>240</v>
      </c>
      <c r="GL3487" s="5" t="s">
        <v>240</v>
      </c>
      <c r="GM3487" s="5" t="s">
        <v>240</v>
      </c>
      <c r="GN3487" s="5" t="s">
        <v>240</v>
      </c>
      <c r="GO3487" s="5" t="s">
        <v>240</v>
      </c>
      <c r="GP3487" s="5" t="s">
        <v>240</v>
      </c>
      <c r="GQ3487" s="5" t="s">
        <v>240</v>
      </c>
      <c r="GR3487" s="5" t="s">
        <v>240</v>
      </c>
      <c r="GS3487" s="5" t="s">
        <v>240</v>
      </c>
      <c r="GT3487" s="5" t="s">
        <v>240</v>
      </c>
      <c r="GU3487" s="5" t="s">
        <v>240</v>
      </c>
      <c r="GV3487" s="5" t="s">
        <v>240</v>
      </c>
      <c r="GW3487" s="5" t="s">
        <v>240</v>
      </c>
      <c r="GX3487" s="5" t="s">
        <v>240</v>
      </c>
      <c r="GY3487" s="5" t="s">
        <v>240</v>
      </c>
      <c r="GZ3487" s="5" t="s">
        <v>240</v>
      </c>
      <c r="HA3487" s="5" t="s">
        <v>240</v>
      </c>
      <c r="HB3487" s="5" t="s">
        <v>240</v>
      </c>
      <c r="HC3487" s="5" t="s">
        <v>240</v>
      </c>
      <c r="HD3487" s="5" t="s">
        <v>240</v>
      </c>
      <c r="HE3487" s="5" t="s">
        <v>240</v>
      </c>
      <c r="HF3487" s="5" t="s">
        <v>240</v>
      </c>
      <c r="HG3487" s="5" t="s">
        <v>240</v>
      </c>
      <c r="HH3487" s="5" t="s">
        <v>240</v>
      </c>
      <c r="HI3487" s="5" t="s">
        <v>240</v>
      </c>
      <c r="HJ3487" s="5" t="s">
        <v>240</v>
      </c>
      <c r="HK3487" s="5" t="s">
        <v>240</v>
      </c>
      <c r="HL3487" s="5" t="s">
        <v>240</v>
      </c>
      <c r="HM3487" s="5" t="s">
        <v>240</v>
      </c>
      <c r="HN3487" s="5" t="s">
        <v>240</v>
      </c>
      <c r="HO3487" s="5" t="s">
        <v>312</v>
      </c>
      <c r="HP3487" s="5" t="s">
        <v>240</v>
      </c>
      <c r="HQ3487" s="5" t="s">
        <v>240</v>
      </c>
      <c r="HR3487" s="5" t="s">
        <v>240</v>
      </c>
      <c r="HS3487" s="5" t="s">
        <v>240</v>
      </c>
      <c r="HT3487" s="5" t="s">
        <v>240</v>
      </c>
      <c r="HU3487" s="5" t="s">
        <v>240</v>
      </c>
      <c r="HV3487" s="5" t="s">
        <v>240</v>
      </c>
      <c r="HW3487" s="5" t="s">
        <v>240</v>
      </c>
      <c r="HX3487" s="5" t="s">
        <v>240</v>
      </c>
      <c r="HY3487" s="5" t="s">
        <v>240</v>
      </c>
      <c r="HZ3487" s="5" t="s">
        <v>240</v>
      </c>
      <c r="IA3487" s="5" t="s">
        <v>240</v>
      </c>
      <c r="IB3487" s="5" t="s">
        <v>240</v>
      </c>
      <c r="IC3487" s="5" t="s">
        <v>240</v>
      </c>
      <c r="ID3487" s="5" t="s">
        <v>240</v>
      </c>
      <c r="IE3487" s="5" t="s">
        <v>240</v>
      </c>
      <c r="IF3487" s="5" t="s">
        <v>240</v>
      </c>
    </row>
    <row r="3488" spans="1:240" x14ac:dyDescent="0.4">
      <c r="A3488" s="5">
        <v>9030</v>
      </c>
      <c r="B3488" s="5">
        <v>1</v>
      </c>
      <c r="C3488" s="5">
        <v>1</v>
      </c>
      <c r="D3488" s="5" t="s">
        <v>723</v>
      </c>
      <c r="E3488" s="5" t="s">
        <v>5060</v>
      </c>
      <c r="F3488" s="5" t="s">
        <v>254</v>
      </c>
      <c r="G3488" s="5" t="s">
        <v>5061</v>
      </c>
      <c r="H3488" s="6" t="s">
        <v>6009</v>
      </c>
      <c r="I3488" s="5" t="s">
        <v>6008</v>
      </c>
      <c r="J3488" s="7">
        <f>1</f>
        <v>1</v>
      </c>
      <c r="K3488" s="5" t="s">
        <v>3682</v>
      </c>
      <c r="L3488" s="7">
        <f>1</f>
        <v>1</v>
      </c>
      <c r="M3488" s="7">
        <f>1</f>
        <v>1</v>
      </c>
      <c r="N3488" s="5" t="s">
        <v>242</v>
      </c>
      <c r="O3488" s="5">
        <v>1</v>
      </c>
      <c r="P3488" s="5" t="s">
        <v>294</v>
      </c>
      <c r="Q3488" s="5" t="s">
        <v>613</v>
      </c>
      <c r="R3488" s="5" t="s">
        <v>240</v>
      </c>
      <c r="S3488" s="5" t="s">
        <v>240</v>
      </c>
      <c r="T3488" s="5" t="s">
        <v>243</v>
      </c>
      <c r="U3488" s="5" t="s">
        <v>724</v>
      </c>
      <c r="V3488" s="5" t="s">
        <v>240</v>
      </c>
      <c r="W3488" s="5" t="s">
        <v>240</v>
      </c>
      <c r="X3488" s="5" t="s">
        <v>240</v>
      </c>
      <c r="Y3488" s="5" t="s">
        <v>240</v>
      </c>
      <c r="Z3488" s="6" t="s">
        <v>298</v>
      </c>
      <c r="AA3488" s="6" t="s">
        <v>240</v>
      </c>
      <c r="AB3488" s="6" t="s">
        <v>240</v>
      </c>
      <c r="AC3488" s="5" t="s">
        <v>240</v>
      </c>
      <c r="AD3488" s="6" t="s">
        <v>240</v>
      </c>
      <c r="AE3488" s="6" t="s">
        <v>299</v>
      </c>
      <c r="AF3488" s="5" t="s">
        <v>727</v>
      </c>
      <c r="AG3488" s="5" t="s">
        <v>260</v>
      </c>
      <c r="AH3488" s="5" t="s">
        <v>240</v>
      </c>
      <c r="AI3488" s="5" t="s">
        <v>240</v>
      </c>
      <c r="AJ3488" s="5" t="s">
        <v>240</v>
      </c>
      <c r="AK3488" s="5" t="s">
        <v>240</v>
      </c>
      <c r="AL3488" s="5" t="s">
        <v>240</v>
      </c>
      <c r="AM3488" s="5" t="s">
        <v>240</v>
      </c>
      <c r="AN3488" s="5" t="s">
        <v>240</v>
      </c>
      <c r="AO3488" s="5" t="s">
        <v>240</v>
      </c>
      <c r="AP3488" s="6" t="s">
        <v>240</v>
      </c>
      <c r="AQ3488" s="6" t="s">
        <v>240</v>
      </c>
      <c r="AR3488" s="6" t="s">
        <v>240</v>
      </c>
      <c r="AS3488" s="6" t="s">
        <v>240</v>
      </c>
      <c r="AT3488" s="5" t="s">
        <v>240</v>
      </c>
      <c r="AU3488" s="5" t="s">
        <v>729</v>
      </c>
      <c r="AV3488" s="5" t="s">
        <v>729</v>
      </c>
      <c r="AW3488" s="5" t="s">
        <v>251</v>
      </c>
      <c r="AX3488" s="5" t="s">
        <v>252</v>
      </c>
      <c r="AY3488" s="5" t="s">
        <v>253</v>
      </c>
      <c r="AZ3488" s="5" t="s">
        <v>240</v>
      </c>
      <c r="BA3488" s="5" t="s">
        <v>255</v>
      </c>
      <c r="BB3488" s="5" t="s">
        <v>731</v>
      </c>
      <c r="BD3488" s="5" t="s">
        <v>240</v>
      </c>
      <c r="BF3488" s="5" t="s">
        <v>732</v>
      </c>
      <c r="BG3488" s="6" t="s">
        <v>733</v>
      </c>
      <c r="BH3488" s="5" t="s">
        <v>734</v>
      </c>
      <c r="BI3488" s="5" t="s">
        <v>734</v>
      </c>
      <c r="BJ3488" s="5" t="s">
        <v>240</v>
      </c>
      <c r="BK3488" s="8">
        <f>777</f>
        <v>777</v>
      </c>
      <c r="BL3488" s="7">
        <f>0</f>
        <v>0</v>
      </c>
      <c r="BM3488" s="5" t="s">
        <v>258</v>
      </c>
      <c r="BN3488" s="5" t="s">
        <v>259</v>
      </c>
      <c r="BO3488" s="5" t="s">
        <v>240</v>
      </c>
      <c r="BP3488" s="5" t="s">
        <v>240</v>
      </c>
      <c r="BQ3488" s="5" t="s">
        <v>240</v>
      </c>
      <c r="BR3488" s="5" t="s">
        <v>240</v>
      </c>
      <c r="BS3488" s="5" t="s">
        <v>240</v>
      </c>
      <c r="BT3488" s="5" t="s">
        <v>240</v>
      </c>
      <c r="BU3488" s="5" t="s">
        <v>240</v>
      </c>
      <c r="BV3488" s="5" t="s">
        <v>240</v>
      </c>
      <c r="BW3488" s="6" t="s">
        <v>240</v>
      </c>
      <c r="BX3488" s="5" t="s">
        <v>240</v>
      </c>
      <c r="BY3488" s="5" t="s">
        <v>240</v>
      </c>
      <c r="BZ3488" s="5" t="s">
        <v>240</v>
      </c>
      <c r="CA3488" s="5" t="s">
        <v>259</v>
      </c>
      <c r="CB3488" s="5" t="s">
        <v>240</v>
      </c>
      <c r="CC3488" s="5" t="s">
        <v>240</v>
      </c>
      <c r="CD3488" s="5" t="s">
        <v>240</v>
      </c>
      <c r="CE3488" s="5" t="s">
        <v>240</v>
      </c>
      <c r="CF3488" s="5" t="s">
        <v>240</v>
      </c>
      <c r="CG3488" s="5" t="s">
        <v>617</v>
      </c>
      <c r="CH3488" s="5" t="s">
        <v>305</v>
      </c>
      <c r="CI3488" s="5" t="s">
        <v>240</v>
      </c>
      <c r="CL3488" s="6" t="s">
        <v>261</v>
      </c>
      <c r="CM3488" s="5" t="s">
        <v>262</v>
      </c>
      <c r="CN3488" s="5" t="s">
        <v>263</v>
      </c>
      <c r="CO3488" s="5" t="s">
        <v>264</v>
      </c>
      <c r="CP3488" s="5" t="s">
        <v>240</v>
      </c>
      <c r="CQ3488" s="5">
        <v>0</v>
      </c>
      <c r="CR3488" s="5" t="s">
        <v>735</v>
      </c>
      <c r="CS3488" s="5" t="s">
        <v>307</v>
      </c>
      <c r="CT3488" s="5" t="s">
        <v>307</v>
      </c>
      <c r="CU3488" s="5" t="s">
        <v>260</v>
      </c>
      <c r="CV3488" s="5" t="s">
        <v>240</v>
      </c>
      <c r="CW3488" s="8">
        <f>0</f>
        <v>0</v>
      </c>
      <c r="CX3488" s="7">
        <f>0</f>
        <v>0</v>
      </c>
      <c r="CY3488" s="7">
        <f>0</f>
        <v>0</v>
      </c>
      <c r="DA3488" s="7">
        <f>8547</f>
        <v>8547</v>
      </c>
      <c r="DB3488" s="7" t="s">
        <v>240</v>
      </c>
      <c r="DC3488" s="5" t="s">
        <v>240</v>
      </c>
      <c r="DD3488" s="5" t="s">
        <v>240</v>
      </c>
      <c r="DE3488" s="5" t="s">
        <v>240</v>
      </c>
      <c r="DF3488" s="5" t="s">
        <v>450</v>
      </c>
      <c r="DG3488" s="7">
        <f>0</f>
        <v>0</v>
      </c>
      <c r="DI3488" s="5" t="s">
        <v>737</v>
      </c>
      <c r="DJ3488" s="5" t="s">
        <v>240</v>
      </c>
      <c r="DK3488" s="5" t="s">
        <v>240</v>
      </c>
      <c r="DL3488" s="5" t="s">
        <v>240</v>
      </c>
      <c r="DM3488" s="5" t="s">
        <v>240</v>
      </c>
      <c r="DN3488" s="5" t="s">
        <v>240</v>
      </c>
      <c r="DO3488" s="7" t="s">
        <v>240</v>
      </c>
      <c r="DP3488" s="5" t="s">
        <v>240</v>
      </c>
      <c r="DQ3488" s="5" t="s">
        <v>240</v>
      </c>
      <c r="DR3488" s="5" t="s">
        <v>731</v>
      </c>
      <c r="DS3488" s="5" t="s">
        <v>731</v>
      </c>
      <c r="DT3488" s="5" t="s">
        <v>240</v>
      </c>
      <c r="DU3488" s="5" t="s">
        <v>240</v>
      </c>
      <c r="DV3488" s="5" t="s">
        <v>738</v>
      </c>
      <c r="DW3488" s="5" t="s">
        <v>808</v>
      </c>
      <c r="DX3488" s="5" t="s">
        <v>240</v>
      </c>
      <c r="DY3488" s="5" t="s">
        <v>240</v>
      </c>
      <c r="DZ3488" s="5" t="s">
        <v>240</v>
      </c>
      <c r="EA3488" s="5" t="s">
        <v>240</v>
      </c>
      <c r="EB3488" s="5" t="s">
        <v>240</v>
      </c>
      <c r="EC3488" s="5" t="s">
        <v>240</v>
      </c>
      <c r="ED3488" s="5" t="s">
        <v>240</v>
      </c>
      <c r="EE3488" s="5" t="s">
        <v>240</v>
      </c>
      <c r="EF3488" s="5" t="s">
        <v>240</v>
      </c>
      <c r="EG3488" s="5" t="s">
        <v>240</v>
      </c>
      <c r="EH3488" s="5" t="s">
        <v>240</v>
      </c>
      <c r="EI3488" s="5" t="s">
        <v>240</v>
      </c>
      <c r="EJ3488" s="5" t="s">
        <v>240</v>
      </c>
      <c r="EK3488" s="5" t="s">
        <v>240</v>
      </c>
      <c r="EL3488" s="5" t="s">
        <v>240</v>
      </c>
      <c r="EM3488" s="5" t="s">
        <v>240</v>
      </c>
      <c r="EN3488" s="5" t="s">
        <v>240</v>
      </c>
      <c r="EO3488" s="5" t="s">
        <v>240</v>
      </c>
      <c r="EP3488" s="5" t="s">
        <v>240</v>
      </c>
      <c r="EQ3488" s="5" t="s">
        <v>240</v>
      </c>
      <c r="ER3488" s="5" t="s">
        <v>240</v>
      </c>
      <c r="ES3488" s="5" t="s">
        <v>240</v>
      </c>
      <c r="ET3488" s="5" t="s">
        <v>240</v>
      </c>
      <c r="EU3488" s="5" t="s">
        <v>240</v>
      </c>
      <c r="EV3488" s="5" t="s">
        <v>240</v>
      </c>
      <c r="EW3488" s="5" t="s">
        <v>240</v>
      </c>
      <c r="EX3488" s="5" t="s">
        <v>240</v>
      </c>
      <c r="EY3488" s="5" t="s">
        <v>240</v>
      </c>
      <c r="EZ3488" s="5" t="s">
        <v>240</v>
      </c>
      <c r="FA3488" s="5" t="s">
        <v>240</v>
      </c>
      <c r="FB3488" s="5" t="s">
        <v>240</v>
      </c>
      <c r="FC3488" s="5" t="s">
        <v>240</v>
      </c>
      <c r="FD3488" s="5" t="s">
        <v>240</v>
      </c>
      <c r="FE3488" s="5" t="s">
        <v>240</v>
      </c>
      <c r="FF3488" s="5" t="s">
        <v>240</v>
      </c>
      <c r="FG3488" s="5" t="s">
        <v>240</v>
      </c>
      <c r="FH3488" s="5" t="s">
        <v>240</v>
      </c>
      <c r="FI3488" s="5" t="s">
        <v>240</v>
      </c>
      <c r="FJ3488" s="5" t="s">
        <v>240</v>
      </c>
      <c r="FK3488" s="5" t="s">
        <v>240</v>
      </c>
      <c r="FL3488" s="5" t="s">
        <v>240</v>
      </c>
      <c r="FM3488" s="5" t="s">
        <v>240</v>
      </c>
      <c r="FN3488" s="5" t="s">
        <v>240</v>
      </c>
      <c r="FO3488" s="5" t="s">
        <v>240</v>
      </c>
      <c r="FP3488" s="5" t="s">
        <v>240</v>
      </c>
      <c r="FQ3488" s="5" t="s">
        <v>240</v>
      </c>
      <c r="FR3488" s="5" t="s">
        <v>240</v>
      </c>
      <c r="FS3488" s="5" t="s">
        <v>240</v>
      </c>
      <c r="FT3488" s="5" t="s">
        <v>240</v>
      </c>
      <c r="FU3488" s="5" t="s">
        <v>240</v>
      </c>
      <c r="FV3488" s="5" t="s">
        <v>240</v>
      </c>
      <c r="FW3488" s="5" t="s">
        <v>240</v>
      </c>
      <c r="FX3488" s="5" t="s">
        <v>240</v>
      </c>
      <c r="FY3488" s="5" t="s">
        <v>240</v>
      </c>
      <c r="FZ3488" s="5" t="s">
        <v>240</v>
      </c>
      <c r="GA3488" s="5" t="s">
        <v>240</v>
      </c>
      <c r="GB3488" s="5" t="s">
        <v>240</v>
      </c>
      <c r="GC3488" s="5" t="s">
        <v>240</v>
      </c>
      <c r="GD3488" s="5" t="s">
        <v>240</v>
      </c>
      <c r="GE3488" s="5" t="s">
        <v>240</v>
      </c>
      <c r="GF3488" s="5" t="s">
        <v>240</v>
      </c>
      <c r="GG3488" s="5" t="s">
        <v>240</v>
      </c>
      <c r="GH3488" s="5" t="s">
        <v>240</v>
      </c>
      <c r="GI3488" s="5" t="s">
        <v>240</v>
      </c>
      <c r="GJ3488" s="5" t="s">
        <v>240</v>
      </c>
      <c r="GK3488" s="5" t="s">
        <v>240</v>
      </c>
      <c r="GL3488" s="5" t="s">
        <v>240</v>
      </c>
      <c r="GM3488" s="5" t="s">
        <v>240</v>
      </c>
      <c r="GN3488" s="5" t="s">
        <v>240</v>
      </c>
      <c r="GO3488" s="5" t="s">
        <v>240</v>
      </c>
      <c r="GP3488" s="5" t="s">
        <v>240</v>
      </c>
      <c r="GQ3488" s="5" t="s">
        <v>240</v>
      </c>
      <c r="GR3488" s="5" t="s">
        <v>240</v>
      </c>
      <c r="GS3488" s="5" t="s">
        <v>240</v>
      </c>
      <c r="GT3488" s="5" t="s">
        <v>240</v>
      </c>
      <c r="GU3488" s="5" t="s">
        <v>240</v>
      </c>
      <c r="GV3488" s="5" t="s">
        <v>240</v>
      </c>
      <c r="GW3488" s="5" t="s">
        <v>240</v>
      </c>
      <c r="GX3488" s="5" t="s">
        <v>240</v>
      </c>
      <c r="GY3488" s="5" t="s">
        <v>240</v>
      </c>
      <c r="GZ3488" s="5" t="s">
        <v>240</v>
      </c>
      <c r="HA3488" s="5" t="s">
        <v>240</v>
      </c>
      <c r="HB3488" s="5" t="s">
        <v>240</v>
      </c>
      <c r="HC3488" s="5" t="s">
        <v>240</v>
      </c>
      <c r="HD3488" s="5" t="s">
        <v>240</v>
      </c>
      <c r="HE3488" s="5" t="s">
        <v>240</v>
      </c>
      <c r="HF3488" s="5" t="s">
        <v>240</v>
      </c>
      <c r="HG3488" s="5" t="s">
        <v>240</v>
      </c>
      <c r="HH3488" s="5" t="s">
        <v>240</v>
      </c>
      <c r="HI3488" s="5" t="s">
        <v>240</v>
      </c>
      <c r="HJ3488" s="5" t="s">
        <v>240</v>
      </c>
      <c r="HK3488" s="5" t="s">
        <v>240</v>
      </c>
      <c r="HL3488" s="5" t="s">
        <v>240</v>
      </c>
      <c r="HM3488" s="5" t="s">
        <v>240</v>
      </c>
      <c r="HN3488" s="5" t="s">
        <v>240</v>
      </c>
      <c r="HO3488" s="5" t="s">
        <v>312</v>
      </c>
      <c r="HP3488" s="5" t="s">
        <v>240</v>
      </c>
      <c r="HQ3488" s="5" t="s">
        <v>240</v>
      </c>
      <c r="HR3488" s="5" t="s">
        <v>240</v>
      </c>
      <c r="HS3488" s="5" t="s">
        <v>240</v>
      </c>
      <c r="HT3488" s="5" t="s">
        <v>240</v>
      </c>
      <c r="HU3488" s="5" t="s">
        <v>240</v>
      </c>
      <c r="HV3488" s="5" t="s">
        <v>240</v>
      </c>
      <c r="HW3488" s="5" t="s">
        <v>240</v>
      </c>
      <c r="HX3488" s="5" t="s">
        <v>240</v>
      </c>
      <c r="HY3488" s="5" t="s">
        <v>240</v>
      </c>
      <c r="HZ3488" s="5" t="s">
        <v>240</v>
      </c>
      <c r="IA3488" s="5" t="s">
        <v>240</v>
      </c>
      <c r="IB3488" s="5" t="s">
        <v>240</v>
      </c>
      <c r="IC3488" s="5" t="s">
        <v>240</v>
      </c>
      <c r="ID3488" s="5" t="s">
        <v>240</v>
      </c>
      <c r="IE3488" s="5" t="s">
        <v>240</v>
      </c>
      <c r="IF3488" s="5" t="s">
        <v>240</v>
      </c>
    </row>
    <row r="3489" spans="1:240" x14ac:dyDescent="0.4">
      <c r="A3489" s="5">
        <v>9031</v>
      </c>
      <c r="B3489" s="5">
        <v>1</v>
      </c>
      <c r="C3489" s="5">
        <v>1</v>
      </c>
      <c r="D3489" s="5" t="s">
        <v>723</v>
      </c>
      <c r="E3489" s="5" t="s">
        <v>5060</v>
      </c>
      <c r="F3489" s="5" t="s">
        <v>254</v>
      </c>
      <c r="G3489" s="5" t="s">
        <v>5061</v>
      </c>
      <c r="H3489" s="6" t="s">
        <v>5995</v>
      </c>
      <c r="I3489" s="5" t="s">
        <v>5994</v>
      </c>
      <c r="J3489" s="7">
        <f>1</f>
        <v>1</v>
      </c>
      <c r="K3489" s="5" t="s">
        <v>3682</v>
      </c>
      <c r="L3489" s="7">
        <f>1</f>
        <v>1</v>
      </c>
      <c r="M3489" s="7">
        <f>1</f>
        <v>1</v>
      </c>
      <c r="N3489" s="5" t="s">
        <v>242</v>
      </c>
      <c r="O3489" s="5">
        <v>1</v>
      </c>
      <c r="P3489" s="5" t="s">
        <v>294</v>
      </c>
      <c r="Q3489" s="5" t="s">
        <v>613</v>
      </c>
      <c r="R3489" s="5" t="s">
        <v>240</v>
      </c>
      <c r="S3489" s="5" t="s">
        <v>240</v>
      </c>
      <c r="T3489" s="5" t="s">
        <v>243</v>
      </c>
      <c r="U3489" s="5" t="s">
        <v>724</v>
      </c>
      <c r="V3489" s="5" t="s">
        <v>240</v>
      </c>
      <c r="W3489" s="5" t="s">
        <v>240</v>
      </c>
      <c r="X3489" s="5" t="s">
        <v>240</v>
      </c>
      <c r="Y3489" s="5" t="s">
        <v>240</v>
      </c>
      <c r="Z3489" s="6" t="s">
        <v>298</v>
      </c>
      <c r="AA3489" s="6" t="s">
        <v>240</v>
      </c>
      <c r="AB3489" s="6" t="s">
        <v>240</v>
      </c>
      <c r="AC3489" s="5" t="s">
        <v>240</v>
      </c>
      <c r="AD3489" s="6" t="s">
        <v>240</v>
      </c>
      <c r="AE3489" s="6" t="s">
        <v>299</v>
      </c>
      <c r="AF3489" s="5" t="s">
        <v>727</v>
      </c>
      <c r="AG3489" s="5" t="s">
        <v>260</v>
      </c>
      <c r="AH3489" s="5" t="s">
        <v>240</v>
      </c>
      <c r="AI3489" s="5" t="s">
        <v>240</v>
      </c>
      <c r="AJ3489" s="5" t="s">
        <v>240</v>
      </c>
      <c r="AK3489" s="5" t="s">
        <v>240</v>
      </c>
      <c r="AL3489" s="5" t="s">
        <v>240</v>
      </c>
      <c r="AM3489" s="5" t="s">
        <v>240</v>
      </c>
      <c r="AN3489" s="5" t="s">
        <v>240</v>
      </c>
      <c r="AO3489" s="5" t="s">
        <v>240</v>
      </c>
      <c r="AP3489" s="6" t="s">
        <v>240</v>
      </c>
      <c r="AQ3489" s="6" t="s">
        <v>240</v>
      </c>
      <c r="AR3489" s="6" t="s">
        <v>240</v>
      </c>
      <c r="AS3489" s="6" t="s">
        <v>240</v>
      </c>
      <c r="AT3489" s="5" t="s">
        <v>240</v>
      </c>
      <c r="AU3489" s="5" t="s">
        <v>729</v>
      </c>
      <c r="AV3489" s="5" t="s">
        <v>729</v>
      </c>
      <c r="AW3489" s="5" t="s">
        <v>251</v>
      </c>
      <c r="AX3489" s="5" t="s">
        <v>252</v>
      </c>
      <c r="AY3489" s="5" t="s">
        <v>253</v>
      </c>
      <c r="AZ3489" s="5" t="s">
        <v>240</v>
      </c>
      <c r="BA3489" s="5" t="s">
        <v>255</v>
      </c>
      <c r="BB3489" s="5" t="s">
        <v>731</v>
      </c>
      <c r="BD3489" s="5" t="s">
        <v>240</v>
      </c>
      <c r="BF3489" s="5" t="s">
        <v>732</v>
      </c>
      <c r="BG3489" s="6" t="s">
        <v>733</v>
      </c>
      <c r="BH3489" s="5" t="s">
        <v>734</v>
      </c>
      <c r="BI3489" s="5" t="s">
        <v>734</v>
      </c>
      <c r="BJ3489" s="5" t="s">
        <v>240</v>
      </c>
      <c r="BK3489" s="8">
        <f>239</f>
        <v>239</v>
      </c>
      <c r="BL3489" s="7">
        <f>0</f>
        <v>0</v>
      </c>
      <c r="BM3489" s="5" t="s">
        <v>258</v>
      </c>
      <c r="BN3489" s="5" t="s">
        <v>259</v>
      </c>
      <c r="BO3489" s="5" t="s">
        <v>240</v>
      </c>
      <c r="BP3489" s="5" t="s">
        <v>240</v>
      </c>
      <c r="BQ3489" s="5" t="s">
        <v>240</v>
      </c>
      <c r="BR3489" s="5" t="s">
        <v>240</v>
      </c>
      <c r="BS3489" s="5" t="s">
        <v>240</v>
      </c>
      <c r="BT3489" s="5" t="s">
        <v>240</v>
      </c>
      <c r="BU3489" s="5" t="s">
        <v>240</v>
      </c>
      <c r="BV3489" s="5" t="s">
        <v>240</v>
      </c>
      <c r="BW3489" s="6" t="s">
        <v>240</v>
      </c>
      <c r="BX3489" s="5" t="s">
        <v>240</v>
      </c>
      <c r="BY3489" s="5" t="s">
        <v>240</v>
      </c>
      <c r="BZ3489" s="5" t="s">
        <v>240</v>
      </c>
      <c r="CA3489" s="5" t="s">
        <v>259</v>
      </c>
      <c r="CB3489" s="5" t="s">
        <v>240</v>
      </c>
      <c r="CC3489" s="5" t="s">
        <v>240</v>
      </c>
      <c r="CD3489" s="5" t="s">
        <v>240</v>
      </c>
      <c r="CE3489" s="5" t="s">
        <v>240</v>
      </c>
      <c r="CF3489" s="5" t="s">
        <v>240</v>
      </c>
      <c r="CG3489" s="5" t="s">
        <v>617</v>
      </c>
      <c r="CH3489" s="5" t="s">
        <v>305</v>
      </c>
      <c r="CI3489" s="5" t="s">
        <v>240</v>
      </c>
      <c r="CL3489" s="6" t="s">
        <v>261</v>
      </c>
      <c r="CM3489" s="5" t="s">
        <v>262</v>
      </c>
      <c r="CN3489" s="5" t="s">
        <v>263</v>
      </c>
      <c r="CO3489" s="5" t="s">
        <v>264</v>
      </c>
      <c r="CP3489" s="5" t="s">
        <v>240</v>
      </c>
      <c r="CQ3489" s="5">
        <v>0</v>
      </c>
      <c r="CR3489" s="5" t="s">
        <v>735</v>
      </c>
      <c r="CS3489" s="5" t="s">
        <v>307</v>
      </c>
      <c r="CT3489" s="5" t="s">
        <v>307</v>
      </c>
      <c r="CU3489" s="5" t="s">
        <v>260</v>
      </c>
      <c r="CV3489" s="5" t="s">
        <v>240</v>
      </c>
      <c r="CW3489" s="8">
        <f>0</f>
        <v>0</v>
      </c>
      <c r="CX3489" s="7">
        <f>0</f>
        <v>0</v>
      </c>
      <c r="CY3489" s="7">
        <f>0</f>
        <v>0</v>
      </c>
      <c r="DA3489" s="7">
        <f>2629</f>
        <v>2629</v>
      </c>
      <c r="DB3489" s="7" t="s">
        <v>240</v>
      </c>
      <c r="DC3489" s="5" t="s">
        <v>240</v>
      </c>
      <c r="DD3489" s="5" t="s">
        <v>240</v>
      </c>
      <c r="DE3489" s="5" t="s">
        <v>240</v>
      </c>
      <c r="DF3489" s="5" t="s">
        <v>450</v>
      </c>
      <c r="DG3489" s="7">
        <f>0</f>
        <v>0</v>
      </c>
      <c r="DI3489" s="5" t="s">
        <v>737</v>
      </c>
      <c r="DJ3489" s="5" t="s">
        <v>240</v>
      </c>
      <c r="DK3489" s="5" t="s">
        <v>240</v>
      </c>
      <c r="DL3489" s="5" t="s">
        <v>240</v>
      </c>
      <c r="DM3489" s="5" t="s">
        <v>240</v>
      </c>
      <c r="DN3489" s="5" t="s">
        <v>240</v>
      </c>
      <c r="DO3489" s="7" t="s">
        <v>240</v>
      </c>
      <c r="DP3489" s="5" t="s">
        <v>240</v>
      </c>
      <c r="DQ3489" s="5" t="s">
        <v>240</v>
      </c>
      <c r="DR3489" s="5" t="s">
        <v>731</v>
      </c>
      <c r="DS3489" s="5" t="s">
        <v>731</v>
      </c>
      <c r="DT3489" s="5" t="s">
        <v>240</v>
      </c>
      <c r="DU3489" s="5" t="s">
        <v>240</v>
      </c>
      <c r="DV3489" s="5" t="s">
        <v>738</v>
      </c>
      <c r="DW3489" s="5" t="s">
        <v>801</v>
      </c>
      <c r="DX3489" s="5" t="s">
        <v>240</v>
      </c>
      <c r="DY3489" s="5" t="s">
        <v>240</v>
      </c>
      <c r="DZ3489" s="5" t="s">
        <v>240</v>
      </c>
      <c r="EA3489" s="5" t="s">
        <v>240</v>
      </c>
      <c r="EB3489" s="5" t="s">
        <v>240</v>
      </c>
      <c r="EC3489" s="5" t="s">
        <v>240</v>
      </c>
      <c r="ED3489" s="5" t="s">
        <v>240</v>
      </c>
      <c r="EE3489" s="5" t="s">
        <v>240</v>
      </c>
      <c r="EF3489" s="5" t="s">
        <v>240</v>
      </c>
      <c r="EG3489" s="5" t="s">
        <v>240</v>
      </c>
      <c r="EH3489" s="5" t="s">
        <v>240</v>
      </c>
      <c r="EI3489" s="5" t="s">
        <v>240</v>
      </c>
      <c r="EJ3489" s="5" t="s">
        <v>240</v>
      </c>
      <c r="EK3489" s="5" t="s">
        <v>240</v>
      </c>
      <c r="EL3489" s="5" t="s">
        <v>240</v>
      </c>
      <c r="EM3489" s="5" t="s">
        <v>240</v>
      </c>
      <c r="EN3489" s="5" t="s">
        <v>240</v>
      </c>
      <c r="EO3489" s="5" t="s">
        <v>240</v>
      </c>
      <c r="EP3489" s="5" t="s">
        <v>240</v>
      </c>
      <c r="EQ3489" s="5" t="s">
        <v>240</v>
      </c>
      <c r="ER3489" s="5" t="s">
        <v>240</v>
      </c>
      <c r="ES3489" s="5" t="s">
        <v>240</v>
      </c>
      <c r="ET3489" s="5" t="s">
        <v>240</v>
      </c>
      <c r="EU3489" s="5" t="s">
        <v>240</v>
      </c>
      <c r="EV3489" s="5" t="s">
        <v>240</v>
      </c>
      <c r="EW3489" s="5" t="s">
        <v>240</v>
      </c>
      <c r="EX3489" s="5" t="s">
        <v>240</v>
      </c>
      <c r="EY3489" s="5" t="s">
        <v>240</v>
      </c>
      <c r="EZ3489" s="5" t="s">
        <v>240</v>
      </c>
      <c r="FA3489" s="5" t="s">
        <v>240</v>
      </c>
      <c r="FB3489" s="5" t="s">
        <v>240</v>
      </c>
      <c r="FC3489" s="5" t="s">
        <v>240</v>
      </c>
      <c r="FD3489" s="5" t="s">
        <v>240</v>
      </c>
      <c r="FE3489" s="5" t="s">
        <v>240</v>
      </c>
      <c r="FF3489" s="5" t="s">
        <v>240</v>
      </c>
      <c r="FG3489" s="5" t="s">
        <v>240</v>
      </c>
      <c r="FH3489" s="5" t="s">
        <v>240</v>
      </c>
      <c r="FI3489" s="5" t="s">
        <v>240</v>
      </c>
      <c r="FJ3489" s="5" t="s">
        <v>240</v>
      </c>
      <c r="FK3489" s="5" t="s">
        <v>240</v>
      </c>
      <c r="FL3489" s="5" t="s">
        <v>240</v>
      </c>
      <c r="FM3489" s="5" t="s">
        <v>240</v>
      </c>
      <c r="FN3489" s="5" t="s">
        <v>240</v>
      </c>
      <c r="FO3489" s="5" t="s">
        <v>240</v>
      </c>
      <c r="FP3489" s="5" t="s">
        <v>240</v>
      </c>
      <c r="FQ3489" s="5" t="s">
        <v>240</v>
      </c>
      <c r="FR3489" s="5" t="s">
        <v>240</v>
      </c>
      <c r="FS3489" s="5" t="s">
        <v>240</v>
      </c>
      <c r="FT3489" s="5" t="s">
        <v>240</v>
      </c>
      <c r="FU3489" s="5" t="s">
        <v>240</v>
      </c>
      <c r="FV3489" s="5" t="s">
        <v>240</v>
      </c>
      <c r="FW3489" s="5" t="s">
        <v>240</v>
      </c>
      <c r="FX3489" s="5" t="s">
        <v>240</v>
      </c>
      <c r="FY3489" s="5" t="s">
        <v>240</v>
      </c>
      <c r="FZ3489" s="5" t="s">
        <v>240</v>
      </c>
      <c r="GA3489" s="5" t="s">
        <v>240</v>
      </c>
      <c r="GB3489" s="5" t="s">
        <v>240</v>
      </c>
      <c r="GC3489" s="5" t="s">
        <v>240</v>
      </c>
      <c r="GD3489" s="5" t="s">
        <v>240</v>
      </c>
      <c r="GE3489" s="5" t="s">
        <v>240</v>
      </c>
      <c r="GF3489" s="5" t="s">
        <v>240</v>
      </c>
      <c r="GG3489" s="5" t="s">
        <v>240</v>
      </c>
      <c r="GH3489" s="5" t="s">
        <v>240</v>
      </c>
      <c r="GI3489" s="5" t="s">
        <v>240</v>
      </c>
      <c r="GJ3489" s="5" t="s">
        <v>240</v>
      </c>
      <c r="GK3489" s="5" t="s">
        <v>240</v>
      </c>
      <c r="GL3489" s="5" t="s">
        <v>240</v>
      </c>
      <c r="GM3489" s="5" t="s">
        <v>240</v>
      </c>
      <c r="GN3489" s="5" t="s">
        <v>240</v>
      </c>
      <c r="GO3489" s="5" t="s">
        <v>240</v>
      </c>
      <c r="GP3489" s="5" t="s">
        <v>240</v>
      </c>
      <c r="GQ3489" s="5" t="s">
        <v>240</v>
      </c>
      <c r="GR3489" s="5" t="s">
        <v>240</v>
      </c>
      <c r="GS3489" s="5" t="s">
        <v>240</v>
      </c>
      <c r="GT3489" s="5" t="s">
        <v>240</v>
      </c>
      <c r="GU3489" s="5" t="s">
        <v>240</v>
      </c>
      <c r="GV3489" s="5" t="s">
        <v>240</v>
      </c>
      <c r="GW3489" s="5" t="s">
        <v>240</v>
      </c>
      <c r="GX3489" s="5" t="s">
        <v>240</v>
      </c>
      <c r="GY3489" s="5" t="s">
        <v>240</v>
      </c>
      <c r="GZ3489" s="5" t="s">
        <v>240</v>
      </c>
      <c r="HA3489" s="5" t="s">
        <v>240</v>
      </c>
      <c r="HB3489" s="5" t="s">
        <v>240</v>
      </c>
      <c r="HC3489" s="5" t="s">
        <v>240</v>
      </c>
      <c r="HD3489" s="5" t="s">
        <v>240</v>
      </c>
      <c r="HE3489" s="5" t="s">
        <v>240</v>
      </c>
      <c r="HF3489" s="5" t="s">
        <v>240</v>
      </c>
      <c r="HG3489" s="5" t="s">
        <v>240</v>
      </c>
      <c r="HH3489" s="5" t="s">
        <v>240</v>
      </c>
      <c r="HI3489" s="5" t="s">
        <v>240</v>
      </c>
      <c r="HJ3489" s="5" t="s">
        <v>240</v>
      </c>
      <c r="HK3489" s="5" t="s">
        <v>240</v>
      </c>
      <c r="HL3489" s="5" t="s">
        <v>240</v>
      </c>
      <c r="HM3489" s="5" t="s">
        <v>240</v>
      </c>
      <c r="HN3489" s="5" t="s">
        <v>240</v>
      </c>
      <c r="HO3489" s="5" t="s">
        <v>312</v>
      </c>
      <c r="HP3489" s="5" t="s">
        <v>240</v>
      </c>
      <c r="HQ3489" s="5" t="s">
        <v>240</v>
      </c>
      <c r="HR3489" s="5" t="s">
        <v>240</v>
      </c>
      <c r="HS3489" s="5" t="s">
        <v>240</v>
      </c>
      <c r="HT3489" s="5" t="s">
        <v>240</v>
      </c>
      <c r="HU3489" s="5" t="s">
        <v>240</v>
      </c>
      <c r="HV3489" s="5" t="s">
        <v>240</v>
      </c>
      <c r="HW3489" s="5" t="s">
        <v>240</v>
      </c>
      <c r="HX3489" s="5" t="s">
        <v>240</v>
      </c>
      <c r="HY3489" s="5" t="s">
        <v>240</v>
      </c>
      <c r="HZ3489" s="5" t="s">
        <v>240</v>
      </c>
      <c r="IA3489" s="5" t="s">
        <v>240</v>
      </c>
      <c r="IB3489" s="5" t="s">
        <v>240</v>
      </c>
      <c r="IC3489" s="5" t="s">
        <v>240</v>
      </c>
      <c r="ID3489" s="5" t="s">
        <v>240</v>
      </c>
      <c r="IE3489" s="5" t="s">
        <v>240</v>
      </c>
      <c r="IF3489" s="5" t="s">
        <v>240</v>
      </c>
    </row>
    <row r="3490" spans="1:240" x14ac:dyDescent="0.4">
      <c r="A3490" s="5">
        <v>9032</v>
      </c>
      <c r="B3490" s="5">
        <v>1</v>
      </c>
      <c r="C3490" s="5">
        <v>1</v>
      </c>
      <c r="D3490" s="5" t="s">
        <v>723</v>
      </c>
      <c r="E3490" s="5" t="s">
        <v>5060</v>
      </c>
      <c r="F3490" s="5" t="s">
        <v>254</v>
      </c>
      <c r="G3490" s="5" t="s">
        <v>5061</v>
      </c>
      <c r="H3490" s="6" t="s">
        <v>5993</v>
      </c>
      <c r="I3490" s="5" t="s">
        <v>5992</v>
      </c>
      <c r="J3490" s="7">
        <f>1</f>
        <v>1</v>
      </c>
      <c r="K3490" s="5" t="s">
        <v>3682</v>
      </c>
      <c r="L3490" s="7">
        <f>1</f>
        <v>1</v>
      </c>
      <c r="M3490" s="7">
        <f>1</f>
        <v>1</v>
      </c>
      <c r="N3490" s="5" t="s">
        <v>242</v>
      </c>
      <c r="O3490" s="5">
        <v>1</v>
      </c>
      <c r="P3490" s="5" t="s">
        <v>294</v>
      </c>
      <c r="Q3490" s="5" t="s">
        <v>266</v>
      </c>
      <c r="R3490" s="5" t="s">
        <v>240</v>
      </c>
      <c r="S3490" s="5" t="s">
        <v>240</v>
      </c>
      <c r="T3490" s="5" t="s">
        <v>296</v>
      </c>
      <c r="U3490" s="5" t="s">
        <v>244</v>
      </c>
      <c r="V3490" s="5" t="s">
        <v>240</v>
      </c>
      <c r="Y3490" s="5" t="s">
        <v>240</v>
      </c>
      <c r="Z3490" s="6" t="s">
        <v>298</v>
      </c>
      <c r="AB3490" s="6" t="s">
        <v>240</v>
      </c>
      <c r="AE3490" s="6" t="s">
        <v>299</v>
      </c>
      <c r="AF3490" s="5" t="s">
        <v>248</v>
      </c>
      <c r="AG3490" s="5" t="s">
        <v>249</v>
      </c>
      <c r="AW3490" s="5" t="s">
        <v>251</v>
      </c>
      <c r="AX3490" s="5" t="s">
        <v>240</v>
      </c>
      <c r="AY3490" s="5" t="s">
        <v>253</v>
      </c>
      <c r="AZ3490" s="5" t="s">
        <v>240</v>
      </c>
      <c r="BA3490" s="5" t="s">
        <v>255</v>
      </c>
      <c r="BB3490" s="5" t="s">
        <v>240</v>
      </c>
      <c r="BD3490" s="5" t="s">
        <v>240</v>
      </c>
      <c r="BF3490" s="5" t="s">
        <v>301</v>
      </c>
      <c r="BG3490" s="6" t="s">
        <v>299</v>
      </c>
      <c r="BH3490" s="5" t="s">
        <v>302</v>
      </c>
      <c r="BI3490" s="5" t="s">
        <v>303</v>
      </c>
      <c r="BJ3490" s="5" t="s">
        <v>240</v>
      </c>
      <c r="BK3490" s="8">
        <f>0</f>
        <v>0</v>
      </c>
      <c r="BL3490" s="7">
        <f>0</f>
        <v>0</v>
      </c>
      <c r="BM3490" s="5" t="s">
        <v>258</v>
      </c>
      <c r="BN3490" s="5" t="s">
        <v>259</v>
      </c>
      <c r="CB3490" s="5" t="s">
        <v>240</v>
      </c>
      <c r="CC3490" s="5" t="s">
        <v>240</v>
      </c>
      <c r="CG3490" s="5" t="s">
        <v>304</v>
      </c>
      <c r="CH3490" s="5" t="s">
        <v>305</v>
      </c>
      <c r="CI3490" s="5" t="s">
        <v>240</v>
      </c>
      <c r="CL3490" s="6" t="s">
        <v>261</v>
      </c>
      <c r="CM3490" s="5" t="s">
        <v>240</v>
      </c>
      <c r="CN3490" s="5" t="s">
        <v>263</v>
      </c>
      <c r="CO3490" s="5" t="s">
        <v>240</v>
      </c>
      <c r="CP3490" s="5" t="s">
        <v>240</v>
      </c>
      <c r="CQ3490" s="5">
        <v>0</v>
      </c>
      <c r="CR3490" s="5" t="s">
        <v>306</v>
      </c>
      <c r="CS3490" s="5" t="s">
        <v>307</v>
      </c>
      <c r="CT3490" s="5" t="s">
        <v>307</v>
      </c>
      <c r="CU3490" s="5" t="s">
        <v>260</v>
      </c>
      <c r="CX3490" s="7">
        <f>1</f>
        <v>1</v>
      </c>
      <c r="CY3490" s="7">
        <f>0</f>
        <v>0</v>
      </c>
      <c r="DA3490" s="7">
        <f>0</f>
        <v>0</v>
      </c>
      <c r="DC3490" s="5" t="s">
        <v>309</v>
      </c>
      <c r="DD3490" s="5" t="s">
        <v>240</v>
      </c>
      <c r="DF3490" s="5" t="s">
        <v>309</v>
      </c>
      <c r="DG3490" s="7">
        <f>4385</f>
        <v>4385</v>
      </c>
      <c r="DI3490" s="5" t="s">
        <v>240</v>
      </c>
      <c r="DJ3490" s="5" t="s">
        <v>240</v>
      </c>
      <c r="DK3490" s="5" t="s">
        <v>240</v>
      </c>
      <c r="DL3490" s="5" t="s">
        <v>240</v>
      </c>
      <c r="DP3490" s="5" t="s">
        <v>240</v>
      </c>
      <c r="DQ3490" s="5" t="s">
        <v>240</v>
      </c>
      <c r="DR3490" s="5" t="s">
        <v>240</v>
      </c>
      <c r="DS3490" s="5" t="s">
        <v>240</v>
      </c>
      <c r="DV3490" s="5" t="s">
        <v>310</v>
      </c>
      <c r="DW3490" s="5" t="s">
        <v>3991</v>
      </c>
      <c r="HO3490" s="5" t="s">
        <v>312</v>
      </c>
    </row>
    <row r="3491" spans="1:240" x14ac:dyDescent="0.4">
      <c r="A3491" s="5">
        <v>9033</v>
      </c>
      <c r="B3491" s="5">
        <v>1</v>
      </c>
      <c r="C3491" s="5">
        <v>1</v>
      </c>
      <c r="D3491" s="5" t="s">
        <v>723</v>
      </c>
      <c r="E3491" s="5" t="s">
        <v>5060</v>
      </c>
      <c r="F3491" s="5" t="s">
        <v>254</v>
      </c>
      <c r="G3491" s="5" t="s">
        <v>5061</v>
      </c>
      <c r="H3491" s="6" t="s">
        <v>5985</v>
      </c>
      <c r="I3491" s="5" t="s">
        <v>5984</v>
      </c>
      <c r="J3491" s="7">
        <f>1</f>
        <v>1</v>
      </c>
      <c r="K3491" s="5" t="s">
        <v>3682</v>
      </c>
      <c r="L3491" s="7">
        <f>1</f>
        <v>1</v>
      </c>
      <c r="M3491" s="7">
        <f>1</f>
        <v>1</v>
      </c>
      <c r="N3491" s="5" t="s">
        <v>242</v>
      </c>
      <c r="O3491" s="5">
        <v>1</v>
      </c>
      <c r="P3491" s="5" t="s">
        <v>294</v>
      </c>
      <c r="Q3491" s="5" t="s">
        <v>613</v>
      </c>
      <c r="R3491" s="5" t="s">
        <v>240</v>
      </c>
      <c r="S3491" s="5" t="s">
        <v>240</v>
      </c>
      <c r="T3491" s="5" t="s">
        <v>243</v>
      </c>
      <c r="U3491" s="5" t="s">
        <v>724</v>
      </c>
      <c r="V3491" s="5" t="s">
        <v>240</v>
      </c>
      <c r="W3491" s="5" t="s">
        <v>240</v>
      </c>
      <c r="X3491" s="5" t="s">
        <v>240</v>
      </c>
      <c r="Y3491" s="5" t="s">
        <v>240</v>
      </c>
      <c r="Z3491" s="6" t="s">
        <v>298</v>
      </c>
      <c r="AA3491" s="6" t="s">
        <v>240</v>
      </c>
      <c r="AB3491" s="6" t="s">
        <v>240</v>
      </c>
      <c r="AC3491" s="5" t="s">
        <v>240</v>
      </c>
      <c r="AD3491" s="6" t="s">
        <v>240</v>
      </c>
      <c r="AE3491" s="6" t="s">
        <v>299</v>
      </c>
      <c r="AF3491" s="5" t="s">
        <v>727</v>
      </c>
      <c r="AG3491" s="5" t="s">
        <v>260</v>
      </c>
      <c r="AH3491" s="5" t="s">
        <v>240</v>
      </c>
      <c r="AI3491" s="5" t="s">
        <v>240</v>
      </c>
      <c r="AJ3491" s="5" t="s">
        <v>240</v>
      </c>
      <c r="AK3491" s="5" t="s">
        <v>240</v>
      </c>
      <c r="AL3491" s="5" t="s">
        <v>240</v>
      </c>
      <c r="AM3491" s="5" t="s">
        <v>240</v>
      </c>
      <c r="AN3491" s="5" t="s">
        <v>240</v>
      </c>
      <c r="AO3491" s="5" t="s">
        <v>240</v>
      </c>
      <c r="AP3491" s="6" t="s">
        <v>240</v>
      </c>
      <c r="AQ3491" s="6" t="s">
        <v>240</v>
      </c>
      <c r="AR3491" s="6" t="s">
        <v>240</v>
      </c>
      <c r="AS3491" s="6" t="s">
        <v>240</v>
      </c>
      <c r="AT3491" s="5" t="s">
        <v>240</v>
      </c>
      <c r="AU3491" s="5" t="s">
        <v>729</v>
      </c>
      <c r="AV3491" s="5" t="s">
        <v>729</v>
      </c>
      <c r="AW3491" s="5" t="s">
        <v>251</v>
      </c>
      <c r="AX3491" s="5" t="s">
        <v>252</v>
      </c>
      <c r="AY3491" s="5" t="s">
        <v>253</v>
      </c>
      <c r="AZ3491" s="5" t="s">
        <v>240</v>
      </c>
      <c r="BA3491" s="5" t="s">
        <v>255</v>
      </c>
      <c r="BB3491" s="5" t="s">
        <v>731</v>
      </c>
      <c r="BD3491" s="5" t="s">
        <v>240</v>
      </c>
      <c r="BF3491" s="5" t="s">
        <v>732</v>
      </c>
      <c r="BG3491" s="6" t="s">
        <v>733</v>
      </c>
      <c r="BH3491" s="5" t="s">
        <v>734</v>
      </c>
      <c r="BI3491" s="5" t="s">
        <v>734</v>
      </c>
      <c r="BJ3491" s="5" t="s">
        <v>240</v>
      </c>
      <c r="BK3491" s="8">
        <f>297</f>
        <v>297</v>
      </c>
      <c r="BL3491" s="7">
        <f>0</f>
        <v>0</v>
      </c>
      <c r="BM3491" s="5" t="s">
        <v>258</v>
      </c>
      <c r="BN3491" s="5" t="s">
        <v>259</v>
      </c>
      <c r="BO3491" s="5" t="s">
        <v>240</v>
      </c>
      <c r="BP3491" s="5" t="s">
        <v>240</v>
      </c>
      <c r="BQ3491" s="5" t="s">
        <v>240</v>
      </c>
      <c r="BR3491" s="5" t="s">
        <v>240</v>
      </c>
      <c r="BS3491" s="5" t="s">
        <v>240</v>
      </c>
      <c r="BT3491" s="5" t="s">
        <v>240</v>
      </c>
      <c r="BU3491" s="5" t="s">
        <v>240</v>
      </c>
      <c r="BV3491" s="5" t="s">
        <v>240</v>
      </c>
      <c r="BW3491" s="6" t="s">
        <v>240</v>
      </c>
      <c r="BX3491" s="5" t="s">
        <v>240</v>
      </c>
      <c r="BY3491" s="5" t="s">
        <v>240</v>
      </c>
      <c r="BZ3491" s="5" t="s">
        <v>240</v>
      </c>
      <c r="CA3491" s="5" t="s">
        <v>259</v>
      </c>
      <c r="CB3491" s="5" t="s">
        <v>240</v>
      </c>
      <c r="CC3491" s="5" t="s">
        <v>240</v>
      </c>
      <c r="CD3491" s="5" t="s">
        <v>240</v>
      </c>
      <c r="CE3491" s="5" t="s">
        <v>240</v>
      </c>
      <c r="CF3491" s="5" t="s">
        <v>240</v>
      </c>
      <c r="CG3491" s="5" t="s">
        <v>617</v>
      </c>
      <c r="CH3491" s="5" t="s">
        <v>305</v>
      </c>
      <c r="CI3491" s="5" t="s">
        <v>240</v>
      </c>
      <c r="CL3491" s="6" t="s">
        <v>261</v>
      </c>
      <c r="CM3491" s="5" t="s">
        <v>262</v>
      </c>
      <c r="CN3491" s="5" t="s">
        <v>263</v>
      </c>
      <c r="CO3491" s="5" t="s">
        <v>264</v>
      </c>
      <c r="CP3491" s="5" t="s">
        <v>240</v>
      </c>
      <c r="CQ3491" s="5">
        <v>0</v>
      </c>
      <c r="CR3491" s="5" t="s">
        <v>735</v>
      </c>
      <c r="CS3491" s="5" t="s">
        <v>307</v>
      </c>
      <c r="CT3491" s="5" t="s">
        <v>307</v>
      </c>
      <c r="CU3491" s="5" t="s">
        <v>260</v>
      </c>
      <c r="CV3491" s="5" t="s">
        <v>240</v>
      </c>
      <c r="CW3491" s="8">
        <f>0</f>
        <v>0</v>
      </c>
      <c r="CX3491" s="7">
        <f>0</f>
        <v>0</v>
      </c>
      <c r="CY3491" s="7">
        <f>0</f>
        <v>0</v>
      </c>
      <c r="DA3491" s="7">
        <f>3267</f>
        <v>3267</v>
      </c>
      <c r="DB3491" s="7" t="s">
        <v>240</v>
      </c>
      <c r="DC3491" s="5" t="s">
        <v>240</v>
      </c>
      <c r="DD3491" s="5" t="s">
        <v>240</v>
      </c>
      <c r="DE3491" s="5" t="s">
        <v>240</v>
      </c>
      <c r="DF3491" s="5" t="s">
        <v>854</v>
      </c>
      <c r="DG3491" s="7">
        <f>0</f>
        <v>0</v>
      </c>
      <c r="DI3491" s="5" t="s">
        <v>737</v>
      </c>
      <c r="DJ3491" s="5" t="s">
        <v>240</v>
      </c>
      <c r="DK3491" s="5" t="s">
        <v>240</v>
      </c>
      <c r="DL3491" s="5" t="s">
        <v>240</v>
      </c>
      <c r="DM3491" s="5" t="s">
        <v>240</v>
      </c>
      <c r="DN3491" s="5" t="s">
        <v>240</v>
      </c>
      <c r="DO3491" s="7" t="s">
        <v>240</v>
      </c>
      <c r="DP3491" s="5" t="s">
        <v>240</v>
      </c>
      <c r="DQ3491" s="5" t="s">
        <v>240</v>
      </c>
      <c r="DR3491" s="5" t="s">
        <v>731</v>
      </c>
      <c r="DS3491" s="5" t="s">
        <v>731</v>
      </c>
      <c r="DT3491" s="5" t="s">
        <v>240</v>
      </c>
      <c r="DU3491" s="5" t="s">
        <v>240</v>
      </c>
      <c r="DV3491" s="5" t="s">
        <v>738</v>
      </c>
      <c r="DW3491" s="5" t="s">
        <v>546</v>
      </c>
      <c r="DX3491" s="5" t="s">
        <v>240</v>
      </c>
      <c r="DY3491" s="5" t="s">
        <v>240</v>
      </c>
      <c r="DZ3491" s="5" t="s">
        <v>240</v>
      </c>
      <c r="EA3491" s="5" t="s">
        <v>240</v>
      </c>
      <c r="EB3491" s="5" t="s">
        <v>240</v>
      </c>
      <c r="EC3491" s="5" t="s">
        <v>240</v>
      </c>
      <c r="ED3491" s="5" t="s">
        <v>240</v>
      </c>
      <c r="EE3491" s="5" t="s">
        <v>240</v>
      </c>
      <c r="EF3491" s="5" t="s">
        <v>240</v>
      </c>
      <c r="EG3491" s="5" t="s">
        <v>240</v>
      </c>
      <c r="EH3491" s="5" t="s">
        <v>240</v>
      </c>
      <c r="EI3491" s="5" t="s">
        <v>240</v>
      </c>
      <c r="EJ3491" s="5" t="s">
        <v>240</v>
      </c>
      <c r="EK3491" s="5" t="s">
        <v>240</v>
      </c>
      <c r="EL3491" s="5" t="s">
        <v>240</v>
      </c>
      <c r="EM3491" s="5" t="s">
        <v>240</v>
      </c>
      <c r="EN3491" s="5" t="s">
        <v>240</v>
      </c>
      <c r="EO3491" s="5" t="s">
        <v>240</v>
      </c>
      <c r="EP3491" s="5" t="s">
        <v>240</v>
      </c>
      <c r="EQ3491" s="5" t="s">
        <v>240</v>
      </c>
      <c r="ER3491" s="5" t="s">
        <v>240</v>
      </c>
      <c r="ES3491" s="5" t="s">
        <v>240</v>
      </c>
      <c r="ET3491" s="5" t="s">
        <v>240</v>
      </c>
      <c r="EU3491" s="5" t="s">
        <v>240</v>
      </c>
      <c r="EV3491" s="5" t="s">
        <v>240</v>
      </c>
      <c r="EW3491" s="5" t="s">
        <v>240</v>
      </c>
      <c r="EX3491" s="5" t="s">
        <v>240</v>
      </c>
      <c r="EY3491" s="5" t="s">
        <v>240</v>
      </c>
      <c r="EZ3491" s="5" t="s">
        <v>240</v>
      </c>
      <c r="FA3491" s="5" t="s">
        <v>240</v>
      </c>
      <c r="FB3491" s="5" t="s">
        <v>240</v>
      </c>
      <c r="FC3491" s="5" t="s">
        <v>240</v>
      </c>
      <c r="FD3491" s="5" t="s">
        <v>240</v>
      </c>
      <c r="FE3491" s="5" t="s">
        <v>240</v>
      </c>
      <c r="FF3491" s="5" t="s">
        <v>240</v>
      </c>
      <c r="FG3491" s="5" t="s">
        <v>240</v>
      </c>
      <c r="FH3491" s="5" t="s">
        <v>240</v>
      </c>
      <c r="FI3491" s="5" t="s">
        <v>240</v>
      </c>
      <c r="FJ3491" s="5" t="s">
        <v>240</v>
      </c>
      <c r="FK3491" s="5" t="s">
        <v>240</v>
      </c>
      <c r="FL3491" s="5" t="s">
        <v>240</v>
      </c>
      <c r="FM3491" s="5" t="s">
        <v>240</v>
      </c>
      <c r="FN3491" s="5" t="s">
        <v>240</v>
      </c>
      <c r="FO3491" s="5" t="s">
        <v>240</v>
      </c>
      <c r="FP3491" s="5" t="s">
        <v>240</v>
      </c>
      <c r="FQ3491" s="5" t="s">
        <v>240</v>
      </c>
      <c r="FR3491" s="5" t="s">
        <v>240</v>
      </c>
      <c r="FS3491" s="5" t="s">
        <v>240</v>
      </c>
      <c r="FT3491" s="5" t="s">
        <v>240</v>
      </c>
      <c r="FU3491" s="5" t="s">
        <v>240</v>
      </c>
      <c r="FV3491" s="5" t="s">
        <v>240</v>
      </c>
      <c r="FW3491" s="5" t="s">
        <v>240</v>
      </c>
      <c r="FX3491" s="5" t="s">
        <v>240</v>
      </c>
      <c r="FY3491" s="5" t="s">
        <v>240</v>
      </c>
      <c r="FZ3491" s="5" t="s">
        <v>240</v>
      </c>
      <c r="GA3491" s="5" t="s">
        <v>240</v>
      </c>
      <c r="GB3491" s="5" t="s">
        <v>240</v>
      </c>
      <c r="GC3491" s="5" t="s">
        <v>240</v>
      </c>
      <c r="GD3491" s="5" t="s">
        <v>240</v>
      </c>
      <c r="GE3491" s="5" t="s">
        <v>240</v>
      </c>
      <c r="GF3491" s="5" t="s">
        <v>240</v>
      </c>
      <c r="GG3491" s="5" t="s">
        <v>240</v>
      </c>
      <c r="GH3491" s="5" t="s">
        <v>240</v>
      </c>
      <c r="GI3491" s="5" t="s">
        <v>240</v>
      </c>
      <c r="GJ3491" s="5" t="s">
        <v>240</v>
      </c>
      <c r="GK3491" s="5" t="s">
        <v>240</v>
      </c>
      <c r="GL3491" s="5" t="s">
        <v>240</v>
      </c>
      <c r="GM3491" s="5" t="s">
        <v>240</v>
      </c>
      <c r="GN3491" s="5" t="s">
        <v>240</v>
      </c>
      <c r="GO3491" s="5" t="s">
        <v>240</v>
      </c>
      <c r="GP3491" s="5" t="s">
        <v>240</v>
      </c>
      <c r="GQ3491" s="5" t="s">
        <v>240</v>
      </c>
      <c r="GR3491" s="5" t="s">
        <v>240</v>
      </c>
      <c r="GS3491" s="5" t="s">
        <v>240</v>
      </c>
      <c r="GT3491" s="5" t="s">
        <v>240</v>
      </c>
      <c r="GU3491" s="5" t="s">
        <v>240</v>
      </c>
      <c r="GV3491" s="5" t="s">
        <v>240</v>
      </c>
      <c r="GW3491" s="5" t="s">
        <v>240</v>
      </c>
      <c r="GX3491" s="5" t="s">
        <v>240</v>
      </c>
      <c r="GY3491" s="5" t="s">
        <v>240</v>
      </c>
      <c r="GZ3491" s="5" t="s">
        <v>240</v>
      </c>
      <c r="HA3491" s="5" t="s">
        <v>240</v>
      </c>
      <c r="HB3491" s="5" t="s">
        <v>240</v>
      </c>
      <c r="HC3491" s="5" t="s">
        <v>240</v>
      </c>
      <c r="HD3491" s="5" t="s">
        <v>240</v>
      </c>
      <c r="HE3491" s="5" t="s">
        <v>240</v>
      </c>
      <c r="HF3491" s="5" t="s">
        <v>240</v>
      </c>
      <c r="HG3491" s="5" t="s">
        <v>240</v>
      </c>
      <c r="HH3491" s="5" t="s">
        <v>240</v>
      </c>
      <c r="HI3491" s="5" t="s">
        <v>240</v>
      </c>
      <c r="HJ3491" s="5" t="s">
        <v>240</v>
      </c>
      <c r="HK3491" s="5" t="s">
        <v>240</v>
      </c>
      <c r="HL3491" s="5" t="s">
        <v>240</v>
      </c>
      <c r="HM3491" s="5" t="s">
        <v>240</v>
      </c>
      <c r="HN3491" s="5" t="s">
        <v>240</v>
      </c>
      <c r="HO3491" s="5" t="s">
        <v>620</v>
      </c>
      <c r="HP3491" s="5" t="s">
        <v>240</v>
      </c>
      <c r="HQ3491" s="5" t="s">
        <v>240</v>
      </c>
      <c r="HR3491" s="5" t="s">
        <v>240</v>
      </c>
      <c r="HS3491" s="5" t="s">
        <v>240</v>
      </c>
      <c r="HT3491" s="5" t="s">
        <v>240</v>
      </c>
      <c r="HU3491" s="5" t="s">
        <v>240</v>
      </c>
      <c r="HV3491" s="5" t="s">
        <v>240</v>
      </c>
      <c r="HW3491" s="5" t="s">
        <v>240</v>
      </c>
      <c r="HX3491" s="5" t="s">
        <v>240</v>
      </c>
      <c r="HY3491" s="5" t="s">
        <v>240</v>
      </c>
      <c r="HZ3491" s="5" t="s">
        <v>240</v>
      </c>
      <c r="IA3491" s="5" t="s">
        <v>240</v>
      </c>
      <c r="IB3491" s="5" t="s">
        <v>240</v>
      </c>
      <c r="IC3491" s="5" t="s">
        <v>240</v>
      </c>
      <c r="ID3491" s="5" t="s">
        <v>240</v>
      </c>
      <c r="IE3491" s="5" t="s">
        <v>240</v>
      </c>
      <c r="IF3491" s="5" t="s">
        <v>240</v>
      </c>
    </row>
    <row r="3492" spans="1:240" x14ac:dyDescent="0.4">
      <c r="A3492" s="5">
        <v>9034</v>
      </c>
      <c r="B3492" s="5">
        <v>1</v>
      </c>
      <c r="C3492" s="5">
        <v>1</v>
      </c>
      <c r="D3492" s="5" t="s">
        <v>723</v>
      </c>
      <c r="E3492" s="5" t="s">
        <v>5060</v>
      </c>
      <c r="F3492" s="5" t="s">
        <v>254</v>
      </c>
      <c r="G3492" s="5" t="s">
        <v>5982</v>
      </c>
      <c r="H3492" s="6" t="s">
        <v>5983</v>
      </c>
      <c r="I3492" s="5" t="s">
        <v>5981</v>
      </c>
      <c r="J3492" s="7">
        <f>1</f>
        <v>1</v>
      </c>
      <c r="K3492" s="5" t="s">
        <v>3682</v>
      </c>
      <c r="L3492" s="7">
        <f>1</f>
        <v>1</v>
      </c>
      <c r="M3492" s="7">
        <f>1</f>
        <v>1</v>
      </c>
      <c r="N3492" s="5" t="s">
        <v>242</v>
      </c>
      <c r="O3492" s="5">
        <v>1</v>
      </c>
      <c r="P3492" s="5" t="s">
        <v>294</v>
      </c>
      <c r="Q3492" s="5" t="s">
        <v>613</v>
      </c>
      <c r="R3492" s="5" t="s">
        <v>240</v>
      </c>
      <c r="S3492" s="5" t="s">
        <v>240</v>
      </c>
      <c r="T3492" s="5" t="s">
        <v>243</v>
      </c>
      <c r="U3492" s="5" t="s">
        <v>724</v>
      </c>
      <c r="V3492" s="5" t="s">
        <v>240</v>
      </c>
      <c r="W3492" s="5" t="s">
        <v>240</v>
      </c>
      <c r="X3492" s="5" t="s">
        <v>240</v>
      </c>
      <c r="Y3492" s="5" t="s">
        <v>240</v>
      </c>
      <c r="Z3492" s="6" t="s">
        <v>298</v>
      </c>
      <c r="AA3492" s="6" t="s">
        <v>240</v>
      </c>
      <c r="AB3492" s="6" t="s">
        <v>240</v>
      </c>
      <c r="AC3492" s="5" t="s">
        <v>240</v>
      </c>
      <c r="AD3492" s="6" t="s">
        <v>240</v>
      </c>
      <c r="AE3492" s="6" t="s">
        <v>299</v>
      </c>
      <c r="AF3492" s="5" t="s">
        <v>727</v>
      </c>
      <c r="AG3492" s="5" t="s">
        <v>260</v>
      </c>
      <c r="AH3492" s="5" t="s">
        <v>240</v>
      </c>
      <c r="AI3492" s="5" t="s">
        <v>240</v>
      </c>
      <c r="AJ3492" s="5" t="s">
        <v>240</v>
      </c>
      <c r="AK3492" s="5" t="s">
        <v>240</v>
      </c>
      <c r="AL3492" s="5" t="s">
        <v>240</v>
      </c>
      <c r="AM3492" s="5" t="s">
        <v>240</v>
      </c>
      <c r="AN3492" s="5" t="s">
        <v>240</v>
      </c>
      <c r="AO3492" s="5" t="s">
        <v>240</v>
      </c>
      <c r="AP3492" s="6" t="s">
        <v>240</v>
      </c>
      <c r="AQ3492" s="6" t="s">
        <v>240</v>
      </c>
      <c r="AR3492" s="6" t="s">
        <v>240</v>
      </c>
      <c r="AS3492" s="6" t="s">
        <v>240</v>
      </c>
      <c r="AT3492" s="5" t="s">
        <v>240</v>
      </c>
      <c r="AU3492" s="5" t="s">
        <v>729</v>
      </c>
      <c r="AV3492" s="5" t="s">
        <v>729</v>
      </c>
      <c r="AW3492" s="5" t="s">
        <v>251</v>
      </c>
      <c r="AX3492" s="5" t="s">
        <v>252</v>
      </c>
      <c r="AY3492" s="5" t="s">
        <v>253</v>
      </c>
      <c r="AZ3492" s="5" t="s">
        <v>240</v>
      </c>
      <c r="BA3492" s="5" t="s">
        <v>255</v>
      </c>
      <c r="BB3492" s="5" t="s">
        <v>731</v>
      </c>
      <c r="BD3492" s="5" t="s">
        <v>240</v>
      </c>
      <c r="BF3492" s="5" t="s">
        <v>732</v>
      </c>
      <c r="BG3492" s="6" t="s">
        <v>733</v>
      </c>
      <c r="BH3492" s="5" t="s">
        <v>734</v>
      </c>
      <c r="BI3492" s="5" t="s">
        <v>734</v>
      </c>
      <c r="BJ3492" s="5" t="s">
        <v>240</v>
      </c>
      <c r="BK3492" s="8">
        <f>69.42</f>
        <v>69.42</v>
      </c>
      <c r="BL3492" s="7">
        <f>0</f>
        <v>0</v>
      </c>
      <c r="BM3492" s="5" t="s">
        <v>258</v>
      </c>
      <c r="BN3492" s="5" t="s">
        <v>259</v>
      </c>
      <c r="BO3492" s="5" t="s">
        <v>240</v>
      </c>
      <c r="BP3492" s="5" t="s">
        <v>240</v>
      </c>
      <c r="BQ3492" s="5" t="s">
        <v>240</v>
      </c>
      <c r="BR3492" s="5" t="s">
        <v>240</v>
      </c>
      <c r="BS3492" s="5" t="s">
        <v>240</v>
      </c>
      <c r="BT3492" s="5" t="s">
        <v>240</v>
      </c>
      <c r="BU3492" s="5" t="s">
        <v>240</v>
      </c>
      <c r="BV3492" s="5" t="s">
        <v>240</v>
      </c>
      <c r="BW3492" s="6" t="s">
        <v>240</v>
      </c>
      <c r="BX3492" s="5" t="s">
        <v>240</v>
      </c>
      <c r="BY3492" s="5" t="s">
        <v>240</v>
      </c>
      <c r="BZ3492" s="5" t="s">
        <v>240</v>
      </c>
      <c r="CA3492" s="5" t="s">
        <v>259</v>
      </c>
      <c r="CB3492" s="5" t="s">
        <v>240</v>
      </c>
      <c r="CC3492" s="5" t="s">
        <v>240</v>
      </c>
      <c r="CD3492" s="5" t="s">
        <v>240</v>
      </c>
      <c r="CE3492" s="5" t="s">
        <v>240</v>
      </c>
      <c r="CF3492" s="5" t="s">
        <v>240</v>
      </c>
      <c r="CG3492" s="5" t="s">
        <v>617</v>
      </c>
      <c r="CH3492" s="5" t="s">
        <v>305</v>
      </c>
      <c r="CI3492" s="5" t="s">
        <v>240</v>
      </c>
      <c r="CL3492" s="6" t="s">
        <v>261</v>
      </c>
      <c r="CM3492" s="5" t="s">
        <v>262</v>
      </c>
      <c r="CN3492" s="5" t="s">
        <v>263</v>
      </c>
      <c r="CO3492" s="5" t="s">
        <v>264</v>
      </c>
      <c r="CP3492" s="5" t="s">
        <v>240</v>
      </c>
      <c r="CQ3492" s="5">
        <v>0</v>
      </c>
      <c r="CR3492" s="5" t="s">
        <v>735</v>
      </c>
      <c r="CS3492" s="5" t="s">
        <v>307</v>
      </c>
      <c r="CT3492" s="5" t="s">
        <v>307</v>
      </c>
      <c r="CU3492" s="5" t="s">
        <v>260</v>
      </c>
      <c r="CV3492" s="5" t="s">
        <v>240</v>
      </c>
      <c r="CW3492" s="8">
        <f>0</f>
        <v>0</v>
      </c>
      <c r="CX3492" s="7">
        <f>0</f>
        <v>0</v>
      </c>
      <c r="CY3492" s="7">
        <f>0</f>
        <v>0</v>
      </c>
      <c r="DA3492" s="7">
        <f>763</f>
        <v>763</v>
      </c>
      <c r="DB3492" s="7" t="s">
        <v>240</v>
      </c>
      <c r="DC3492" s="5" t="s">
        <v>240</v>
      </c>
      <c r="DD3492" s="5" t="s">
        <v>240</v>
      </c>
      <c r="DE3492" s="5" t="s">
        <v>240</v>
      </c>
      <c r="DF3492" s="5" t="s">
        <v>450</v>
      </c>
      <c r="DG3492" s="7">
        <f>0</f>
        <v>0</v>
      </c>
      <c r="DI3492" s="5" t="s">
        <v>737</v>
      </c>
      <c r="DJ3492" s="5" t="s">
        <v>240</v>
      </c>
      <c r="DK3492" s="5" t="s">
        <v>240</v>
      </c>
      <c r="DL3492" s="5" t="s">
        <v>240</v>
      </c>
      <c r="DM3492" s="5" t="s">
        <v>240</v>
      </c>
      <c r="DN3492" s="5" t="s">
        <v>240</v>
      </c>
      <c r="DO3492" s="7" t="s">
        <v>240</v>
      </c>
      <c r="DP3492" s="5" t="s">
        <v>240</v>
      </c>
      <c r="DQ3492" s="5" t="s">
        <v>240</v>
      </c>
      <c r="DR3492" s="5" t="s">
        <v>731</v>
      </c>
      <c r="DS3492" s="5" t="s">
        <v>731</v>
      </c>
      <c r="DT3492" s="5" t="s">
        <v>240</v>
      </c>
      <c r="DU3492" s="5" t="s">
        <v>240</v>
      </c>
      <c r="DV3492" s="5" t="s">
        <v>738</v>
      </c>
      <c r="DW3492" s="5" t="s">
        <v>522</v>
      </c>
      <c r="DX3492" s="5" t="s">
        <v>240</v>
      </c>
      <c r="DY3492" s="5" t="s">
        <v>240</v>
      </c>
      <c r="DZ3492" s="5" t="s">
        <v>240</v>
      </c>
      <c r="EA3492" s="5" t="s">
        <v>240</v>
      </c>
      <c r="EB3492" s="5" t="s">
        <v>240</v>
      </c>
      <c r="EC3492" s="5" t="s">
        <v>240</v>
      </c>
      <c r="ED3492" s="5" t="s">
        <v>240</v>
      </c>
      <c r="EE3492" s="5" t="s">
        <v>240</v>
      </c>
      <c r="EF3492" s="5" t="s">
        <v>240</v>
      </c>
      <c r="EG3492" s="5" t="s">
        <v>240</v>
      </c>
      <c r="EH3492" s="5" t="s">
        <v>240</v>
      </c>
      <c r="EI3492" s="5" t="s">
        <v>240</v>
      </c>
      <c r="EJ3492" s="5" t="s">
        <v>240</v>
      </c>
      <c r="EK3492" s="5" t="s">
        <v>240</v>
      </c>
      <c r="EL3492" s="5" t="s">
        <v>240</v>
      </c>
      <c r="EM3492" s="5" t="s">
        <v>240</v>
      </c>
      <c r="EN3492" s="5" t="s">
        <v>240</v>
      </c>
      <c r="EO3492" s="5" t="s">
        <v>240</v>
      </c>
      <c r="EP3492" s="5" t="s">
        <v>240</v>
      </c>
      <c r="EQ3492" s="5" t="s">
        <v>240</v>
      </c>
      <c r="ER3492" s="5" t="s">
        <v>240</v>
      </c>
      <c r="ES3492" s="5" t="s">
        <v>240</v>
      </c>
      <c r="ET3492" s="5" t="s">
        <v>240</v>
      </c>
      <c r="EU3492" s="5" t="s">
        <v>240</v>
      </c>
      <c r="EV3492" s="5" t="s">
        <v>240</v>
      </c>
      <c r="EW3492" s="5" t="s">
        <v>240</v>
      </c>
      <c r="EX3492" s="5" t="s">
        <v>240</v>
      </c>
      <c r="EY3492" s="5" t="s">
        <v>240</v>
      </c>
      <c r="EZ3492" s="5" t="s">
        <v>240</v>
      </c>
      <c r="FA3492" s="5" t="s">
        <v>240</v>
      </c>
      <c r="FB3492" s="5" t="s">
        <v>240</v>
      </c>
      <c r="FC3492" s="5" t="s">
        <v>240</v>
      </c>
      <c r="FD3492" s="5" t="s">
        <v>240</v>
      </c>
      <c r="FE3492" s="5" t="s">
        <v>240</v>
      </c>
      <c r="FF3492" s="5" t="s">
        <v>240</v>
      </c>
      <c r="FG3492" s="5" t="s">
        <v>240</v>
      </c>
      <c r="FH3492" s="5" t="s">
        <v>240</v>
      </c>
      <c r="FI3492" s="5" t="s">
        <v>240</v>
      </c>
      <c r="FJ3492" s="5" t="s">
        <v>240</v>
      </c>
      <c r="FK3492" s="5" t="s">
        <v>240</v>
      </c>
      <c r="FL3492" s="5" t="s">
        <v>240</v>
      </c>
      <c r="FM3492" s="5" t="s">
        <v>240</v>
      </c>
      <c r="FN3492" s="5" t="s">
        <v>240</v>
      </c>
      <c r="FO3492" s="5" t="s">
        <v>240</v>
      </c>
      <c r="FP3492" s="5" t="s">
        <v>240</v>
      </c>
      <c r="FQ3492" s="5" t="s">
        <v>240</v>
      </c>
      <c r="FR3492" s="5" t="s">
        <v>240</v>
      </c>
      <c r="FS3492" s="5" t="s">
        <v>240</v>
      </c>
      <c r="FT3492" s="5" t="s">
        <v>240</v>
      </c>
      <c r="FU3492" s="5" t="s">
        <v>240</v>
      </c>
      <c r="FV3492" s="5" t="s">
        <v>240</v>
      </c>
      <c r="FW3492" s="5" t="s">
        <v>240</v>
      </c>
      <c r="FX3492" s="5" t="s">
        <v>240</v>
      </c>
      <c r="FY3492" s="5" t="s">
        <v>240</v>
      </c>
      <c r="FZ3492" s="5" t="s">
        <v>240</v>
      </c>
      <c r="GA3492" s="5" t="s">
        <v>240</v>
      </c>
      <c r="GB3492" s="5" t="s">
        <v>240</v>
      </c>
      <c r="GC3492" s="5" t="s">
        <v>240</v>
      </c>
      <c r="GD3492" s="5" t="s">
        <v>240</v>
      </c>
      <c r="GE3492" s="5" t="s">
        <v>240</v>
      </c>
      <c r="GF3492" s="5" t="s">
        <v>240</v>
      </c>
      <c r="GG3492" s="5" t="s">
        <v>240</v>
      </c>
      <c r="GH3492" s="5" t="s">
        <v>240</v>
      </c>
      <c r="GI3492" s="5" t="s">
        <v>240</v>
      </c>
      <c r="GJ3492" s="5" t="s">
        <v>240</v>
      </c>
      <c r="GK3492" s="5" t="s">
        <v>240</v>
      </c>
      <c r="GL3492" s="5" t="s">
        <v>240</v>
      </c>
      <c r="GM3492" s="5" t="s">
        <v>240</v>
      </c>
      <c r="GN3492" s="5" t="s">
        <v>240</v>
      </c>
      <c r="GO3492" s="5" t="s">
        <v>240</v>
      </c>
      <c r="GP3492" s="5" t="s">
        <v>240</v>
      </c>
      <c r="GQ3492" s="5" t="s">
        <v>240</v>
      </c>
      <c r="GR3492" s="5" t="s">
        <v>240</v>
      </c>
      <c r="GS3492" s="5" t="s">
        <v>240</v>
      </c>
      <c r="GT3492" s="5" t="s">
        <v>240</v>
      </c>
      <c r="GU3492" s="5" t="s">
        <v>240</v>
      </c>
      <c r="GV3492" s="5" t="s">
        <v>240</v>
      </c>
      <c r="GW3492" s="5" t="s">
        <v>240</v>
      </c>
      <c r="GX3492" s="5" t="s">
        <v>240</v>
      </c>
      <c r="GY3492" s="5" t="s">
        <v>240</v>
      </c>
      <c r="GZ3492" s="5" t="s">
        <v>240</v>
      </c>
      <c r="HA3492" s="5" t="s">
        <v>240</v>
      </c>
      <c r="HB3492" s="5" t="s">
        <v>240</v>
      </c>
      <c r="HC3492" s="5" t="s">
        <v>240</v>
      </c>
      <c r="HD3492" s="5" t="s">
        <v>240</v>
      </c>
      <c r="HE3492" s="5" t="s">
        <v>240</v>
      </c>
      <c r="HF3492" s="5" t="s">
        <v>240</v>
      </c>
      <c r="HG3492" s="5" t="s">
        <v>240</v>
      </c>
      <c r="HH3492" s="5" t="s">
        <v>240</v>
      </c>
      <c r="HI3492" s="5" t="s">
        <v>240</v>
      </c>
      <c r="HJ3492" s="5" t="s">
        <v>240</v>
      </c>
      <c r="HK3492" s="5" t="s">
        <v>240</v>
      </c>
      <c r="HL3492" s="5" t="s">
        <v>240</v>
      </c>
      <c r="HM3492" s="5" t="s">
        <v>240</v>
      </c>
      <c r="HN3492" s="5" t="s">
        <v>240</v>
      </c>
      <c r="HO3492" s="5" t="s">
        <v>620</v>
      </c>
      <c r="HP3492" s="5" t="s">
        <v>240</v>
      </c>
      <c r="HQ3492" s="5" t="s">
        <v>240</v>
      </c>
      <c r="HR3492" s="5" t="s">
        <v>240</v>
      </c>
      <c r="HS3492" s="5" t="s">
        <v>240</v>
      </c>
      <c r="HT3492" s="5" t="s">
        <v>240</v>
      </c>
      <c r="HU3492" s="5" t="s">
        <v>240</v>
      </c>
      <c r="HV3492" s="5" t="s">
        <v>240</v>
      </c>
      <c r="HW3492" s="5" t="s">
        <v>240</v>
      </c>
      <c r="HX3492" s="5" t="s">
        <v>240</v>
      </c>
      <c r="HY3492" s="5" t="s">
        <v>240</v>
      </c>
      <c r="HZ3492" s="5" t="s">
        <v>240</v>
      </c>
      <c r="IA3492" s="5" t="s">
        <v>240</v>
      </c>
      <c r="IB3492" s="5" t="s">
        <v>240</v>
      </c>
      <c r="IC3492" s="5" t="s">
        <v>240</v>
      </c>
      <c r="ID3492" s="5" t="s">
        <v>240</v>
      </c>
      <c r="IE3492" s="5" t="s">
        <v>240</v>
      </c>
      <c r="IF3492" s="5" t="s">
        <v>240</v>
      </c>
    </row>
    <row r="3493" spans="1:240" x14ac:dyDescent="0.4">
      <c r="A3493" s="5">
        <v>9035</v>
      </c>
      <c r="B3493" s="5">
        <v>1</v>
      </c>
      <c r="C3493" s="5">
        <v>1</v>
      </c>
      <c r="D3493" s="5" t="s">
        <v>723</v>
      </c>
      <c r="E3493" s="5" t="s">
        <v>5060</v>
      </c>
      <c r="F3493" s="5" t="s">
        <v>254</v>
      </c>
      <c r="G3493" s="5" t="s">
        <v>5061</v>
      </c>
      <c r="H3493" s="6" t="s">
        <v>6037</v>
      </c>
      <c r="I3493" s="5" t="s">
        <v>6036</v>
      </c>
      <c r="J3493" s="7">
        <f>1</f>
        <v>1</v>
      </c>
      <c r="K3493" s="5" t="s">
        <v>3682</v>
      </c>
      <c r="L3493" s="7">
        <f>1</f>
        <v>1</v>
      </c>
      <c r="M3493" s="7">
        <f>1</f>
        <v>1</v>
      </c>
      <c r="N3493" s="5" t="s">
        <v>242</v>
      </c>
      <c r="O3493" s="5">
        <v>1</v>
      </c>
      <c r="P3493" s="5" t="s">
        <v>294</v>
      </c>
      <c r="Q3493" s="5" t="s">
        <v>613</v>
      </c>
      <c r="R3493" s="5" t="s">
        <v>240</v>
      </c>
      <c r="S3493" s="5" t="s">
        <v>240</v>
      </c>
      <c r="T3493" s="5" t="s">
        <v>243</v>
      </c>
      <c r="U3493" s="5" t="s">
        <v>724</v>
      </c>
      <c r="V3493" s="5" t="s">
        <v>240</v>
      </c>
      <c r="W3493" s="5" t="s">
        <v>240</v>
      </c>
      <c r="X3493" s="5" t="s">
        <v>240</v>
      </c>
      <c r="Y3493" s="5" t="s">
        <v>240</v>
      </c>
      <c r="Z3493" s="6" t="s">
        <v>298</v>
      </c>
      <c r="AA3493" s="6" t="s">
        <v>240</v>
      </c>
      <c r="AB3493" s="6" t="s">
        <v>240</v>
      </c>
      <c r="AC3493" s="5" t="s">
        <v>240</v>
      </c>
      <c r="AD3493" s="6" t="s">
        <v>240</v>
      </c>
      <c r="AE3493" s="6" t="s">
        <v>299</v>
      </c>
      <c r="AF3493" s="5" t="s">
        <v>727</v>
      </c>
      <c r="AG3493" s="5" t="s">
        <v>260</v>
      </c>
      <c r="AH3493" s="5" t="s">
        <v>240</v>
      </c>
      <c r="AI3493" s="5" t="s">
        <v>240</v>
      </c>
      <c r="AJ3493" s="5" t="s">
        <v>240</v>
      </c>
      <c r="AK3493" s="5" t="s">
        <v>240</v>
      </c>
      <c r="AL3493" s="5" t="s">
        <v>240</v>
      </c>
      <c r="AM3493" s="5" t="s">
        <v>240</v>
      </c>
      <c r="AN3493" s="5" t="s">
        <v>240</v>
      </c>
      <c r="AO3493" s="5" t="s">
        <v>240</v>
      </c>
      <c r="AP3493" s="6" t="s">
        <v>240</v>
      </c>
      <c r="AQ3493" s="6" t="s">
        <v>240</v>
      </c>
      <c r="AR3493" s="6" t="s">
        <v>240</v>
      </c>
      <c r="AS3493" s="6" t="s">
        <v>240</v>
      </c>
      <c r="AT3493" s="5" t="s">
        <v>240</v>
      </c>
      <c r="AU3493" s="5" t="s">
        <v>729</v>
      </c>
      <c r="AV3493" s="5" t="s">
        <v>729</v>
      </c>
      <c r="AW3493" s="5" t="s">
        <v>251</v>
      </c>
      <c r="AX3493" s="5" t="s">
        <v>252</v>
      </c>
      <c r="AY3493" s="5" t="s">
        <v>253</v>
      </c>
      <c r="AZ3493" s="5" t="s">
        <v>240</v>
      </c>
      <c r="BA3493" s="5" t="s">
        <v>255</v>
      </c>
      <c r="BB3493" s="5" t="s">
        <v>731</v>
      </c>
      <c r="BD3493" s="5" t="s">
        <v>240</v>
      </c>
      <c r="BF3493" s="5" t="s">
        <v>732</v>
      </c>
      <c r="BG3493" s="6" t="s">
        <v>733</v>
      </c>
      <c r="BH3493" s="5" t="s">
        <v>734</v>
      </c>
      <c r="BI3493" s="5" t="s">
        <v>734</v>
      </c>
      <c r="BJ3493" s="5" t="s">
        <v>240</v>
      </c>
      <c r="BK3493" s="8">
        <f>138.6</f>
        <v>138.6</v>
      </c>
      <c r="BL3493" s="7">
        <f>0</f>
        <v>0</v>
      </c>
      <c r="BM3493" s="5" t="s">
        <v>258</v>
      </c>
      <c r="BN3493" s="5" t="s">
        <v>259</v>
      </c>
      <c r="BO3493" s="5" t="s">
        <v>240</v>
      </c>
      <c r="BP3493" s="5" t="s">
        <v>240</v>
      </c>
      <c r="BQ3493" s="5" t="s">
        <v>240</v>
      </c>
      <c r="BR3493" s="5" t="s">
        <v>240</v>
      </c>
      <c r="BS3493" s="5" t="s">
        <v>240</v>
      </c>
      <c r="BT3493" s="5" t="s">
        <v>240</v>
      </c>
      <c r="BU3493" s="5" t="s">
        <v>240</v>
      </c>
      <c r="BV3493" s="5" t="s">
        <v>240</v>
      </c>
      <c r="BW3493" s="6" t="s">
        <v>240</v>
      </c>
      <c r="BX3493" s="5" t="s">
        <v>240</v>
      </c>
      <c r="BY3493" s="5" t="s">
        <v>240</v>
      </c>
      <c r="BZ3493" s="5" t="s">
        <v>240</v>
      </c>
      <c r="CA3493" s="5" t="s">
        <v>259</v>
      </c>
      <c r="CB3493" s="5" t="s">
        <v>240</v>
      </c>
      <c r="CC3493" s="5" t="s">
        <v>240</v>
      </c>
      <c r="CD3493" s="5" t="s">
        <v>240</v>
      </c>
      <c r="CE3493" s="5" t="s">
        <v>240</v>
      </c>
      <c r="CF3493" s="5" t="s">
        <v>240</v>
      </c>
      <c r="CG3493" s="5" t="s">
        <v>617</v>
      </c>
      <c r="CH3493" s="5" t="s">
        <v>305</v>
      </c>
      <c r="CI3493" s="5" t="s">
        <v>240</v>
      </c>
      <c r="CL3493" s="6" t="s">
        <v>261</v>
      </c>
      <c r="CM3493" s="5" t="s">
        <v>262</v>
      </c>
      <c r="CN3493" s="5" t="s">
        <v>263</v>
      </c>
      <c r="CO3493" s="5" t="s">
        <v>264</v>
      </c>
      <c r="CP3493" s="5" t="s">
        <v>240</v>
      </c>
      <c r="CQ3493" s="5">
        <v>0</v>
      </c>
      <c r="CR3493" s="5" t="s">
        <v>735</v>
      </c>
      <c r="CS3493" s="5" t="s">
        <v>307</v>
      </c>
      <c r="CT3493" s="5" t="s">
        <v>307</v>
      </c>
      <c r="CU3493" s="5" t="s">
        <v>260</v>
      </c>
      <c r="CV3493" s="5" t="s">
        <v>240</v>
      </c>
      <c r="CW3493" s="8">
        <f>0</f>
        <v>0</v>
      </c>
      <c r="CX3493" s="7">
        <f>0</f>
        <v>0</v>
      </c>
      <c r="CY3493" s="7">
        <f>0</f>
        <v>0</v>
      </c>
      <c r="DA3493" s="7">
        <f>1524</f>
        <v>1524</v>
      </c>
      <c r="DB3493" s="7" t="s">
        <v>240</v>
      </c>
      <c r="DC3493" s="5" t="s">
        <v>240</v>
      </c>
      <c r="DD3493" s="5" t="s">
        <v>240</v>
      </c>
      <c r="DE3493" s="5" t="s">
        <v>240</v>
      </c>
      <c r="DF3493" s="5" t="s">
        <v>450</v>
      </c>
      <c r="DG3493" s="7">
        <f>0</f>
        <v>0</v>
      </c>
      <c r="DI3493" s="5" t="s">
        <v>737</v>
      </c>
      <c r="DJ3493" s="5" t="s">
        <v>240</v>
      </c>
      <c r="DK3493" s="5" t="s">
        <v>240</v>
      </c>
      <c r="DL3493" s="5" t="s">
        <v>240</v>
      </c>
      <c r="DM3493" s="5" t="s">
        <v>240</v>
      </c>
      <c r="DN3493" s="5" t="s">
        <v>240</v>
      </c>
      <c r="DO3493" s="7" t="s">
        <v>240</v>
      </c>
      <c r="DP3493" s="5" t="s">
        <v>240</v>
      </c>
      <c r="DQ3493" s="5" t="s">
        <v>240</v>
      </c>
      <c r="DR3493" s="5" t="s">
        <v>731</v>
      </c>
      <c r="DS3493" s="5" t="s">
        <v>731</v>
      </c>
      <c r="DT3493" s="5" t="s">
        <v>240</v>
      </c>
      <c r="DU3493" s="5" t="s">
        <v>240</v>
      </c>
      <c r="DV3493" s="5" t="s">
        <v>738</v>
      </c>
      <c r="DW3493" s="5" t="s">
        <v>510</v>
      </c>
      <c r="DX3493" s="5" t="s">
        <v>240</v>
      </c>
      <c r="DY3493" s="5" t="s">
        <v>240</v>
      </c>
      <c r="DZ3493" s="5" t="s">
        <v>240</v>
      </c>
      <c r="EA3493" s="5" t="s">
        <v>240</v>
      </c>
      <c r="EB3493" s="5" t="s">
        <v>240</v>
      </c>
      <c r="EC3493" s="5" t="s">
        <v>240</v>
      </c>
      <c r="ED3493" s="5" t="s">
        <v>240</v>
      </c>
      <c r="EE3493" s="5" t="s">
        <v>240</v>
      </c>
      <c r="EF3493" s="5" t="s">
        <v>240</v>
      </c>
      <c r="EG3493" s="5" t="s">
        <v>240</v>
      </c>
      <c r="EH3493" s="5" t="s">
        <v>240</v>
      </c>
      <c r="EI3493" s="5" t="s">
        <v>240</v>
      </c>
      <c r="EJ3493" s="5" t="s">
        <v>240</v>
      </c>
      <c r="EK3493" s="5" t="s">
        <v>240</v>
      </c>
      <c r="EL3493" s="5" t="s">
        <v>240</v>
      </c>
      <c r="EM3493" s="5" t="s">
        <v>240</v>
      </c>
      <c r="EN3493" s="5" t="s">
        <v>240</v>
      </c>
      <c r="EO3493" s="5" t="s">
        <v>240</v>
      </c>
      <c r="EP3493" s="5" t="s">
        <v>240</v>
      </c>
      <c r="EQ3493" s="5" t="s">
        <v>240</v>
      </c>
      <c r="ER3493" s="5" t="s">
        <v>240</v>
      </c>
      <c r="ES3493" s="5" t="s">
        <v>240</v>
      </c>
      <c r="ET3493" s="5" t="s">
        <v>240</v>
      </c>
      <c r="EU3493" s="5" t="s">
        <v>240</v>
      </c>
      <c r="EV3493" s="5" t="s">
        <v>240</v>
      </c>
      <c r="EW3493" s="5" t="s">
        <v>240</v>
      </c>
      <c r="EX3493" s="5" t="s">
        <v>240</v>
      </c>
      <c r="EY3493" s="5" t="s">
        <v>240</v>
      </c>
      <c r="EZ3493" s="5" t="s">
        <v>240</v>
      </c>
      <c r="FA3493" s="5" t="s">
        <v>240</v>
      </c>
      <c r="FB3493" s="5" t="s">
        <v>240</v>
      </c>
      <c r="FC3493" s="5" t="s">
        <v>240</v>
      </c>
      <c r="FD3493" s="5" t="s">
        <v>240</v>
      </c>
      <c r="FE3493" s="5" t="s">
        <v>240</v>
      </c>
      <c r="FF3493" s="5" t="s">
        <v>240</v>
      </c>
      <c r="FG3493" s="5" t="s">
        <v>240</v>
      </c>
      <c r="FH3493" s="5" t="s">
        <v>240</v>
      </c>
      <c r="FI3493" s="5" t="s">
        <v>240</v>
      </c>
      <c r="FJ3493" s="5" t="s">
        <v>240</v>
      </c>
      <c r="FK3493" s="5" t="s">
        <v>240</v>
      </c>
      <c r="FL3493" s="5" t="s">
        <v>240</v>
      </c>
      <c r="FM3493" s="5" t="s">
        <v>240</v>
      </c>
      <c r="FN3493" s="5" t="s">
        <v>240</v>
      </c>
      <c r="FO3493" s="5" t="s">
        <v>240</v>
      </c>
      <c r="FP3493" s="5" t="s">
        <v>240</v>
      </c>
      <c r="FQ3493" s="5" t="s">
        <v>240</v>
      </c>
      <c r="FR3493" s="5" t="s">
        <v>240</v>
      </c>
      <c r="FS3493" s="5" t="s">
        <v>240</v>
      </c>
      <c r="FT3493" s="5" t="s">
        <v>240</v>
      </c>
      <c r="FU3493" s="5" t="s">
        <v>240</v>
      </c>
      <c r="FV3493" s="5" t="s">
        <v>240</v>
      </c>
      <c r="FW3493" s="5" t="s">
        <v>240</v>
      </c>
      <c r="FX3493" s="5" t="s">
        <v>240</v>
      </c>
      <c r="FY3493" s="5" t="s">
        <v>240</v>
      </c>
      <c r="FZ3493" s="5" t="s">
        <v>240</v>
      </c>
      <c r="GA3493" s="5" t="s">
        <v>240</v>
      </c>
      <c r="GB3493" s="5" t="s">
        <v>240</v>
      </c>
      <c r="GC3493" s="5" t="s">
        <v>240</v>
      </c>
      <c r="GD3493" s="5" t="s">
        <v>240</v>
      </c>
      <c r="GE3493" s="5" t="s">
        <v>240</v>
      </c>
      <c r="GF3493" s="5" t="s">
        <v>240</v>
      </c>
      <c r="GG3493" s="5" t="s">
        <v>240</v>
      </c>
      <c r="GH3493" s="5" t="s">
        <v>240</v>
      </c>
      <c r="GI3493" s="5" t="s">
        <v>240</v>
      </c>
      <c r="GJ3493" s="5" t="s">
        <v>240</v>
      </c>
      <c r="GK3493" s="5" t="s">
        <v>240</v>
      </c>
      <c r="GL3493" s="5" t="s">
        <v>240</v>
      </c>
      <c r="GM3493" s="5" t="s">
        <v>240</v>
      </c>
      <c r="GN3493" s="5" t="s">
        <v>240</v>
      </c>
      <c r="GO3493" s="5" t="s">
        <v>240</v>
      </c>
      <c r="GP3493" s="5" t="s">
        <v>240</v>
      </c>
      <c r="GQ3493" s="5" t="s">
        <v>240</v>
      </c>
      <c r="GR3493" s="5" t="s">
        <v>240</v>
      </c>
      <c r="GS3493" s="5" t="s">
        <v>240</v>
      </c>
      <c r="GT3493" s="5" t="s">
        <v>240</v>
      </c>
      <c r="GU3493" s="5" t="s">
        <v>240</v>
      </c>
      <c r="GV3493" s="5" t="s">
        <v>240</v>
      </c>
      <c r="GW3493" s="5" t="s">
        <v>240</v>
      </c>
      <c r="GX3493" s="5" t="s">
        <v>240</v>
      </c>
      <c r="GY3493" s="5" t="s">
        <v>240</v>
      </c>
      <c r="GZ3493" s="5" t="s">
        <v>240</v>
      </c>
      <c r="HA3493" s="5" t="s">
        <v>240</v>
      </c>
      <c r="HB3493" s="5" t="s">
        <v>240</v>
      </c>
      <c r="HC3493" s="5" t="s">
        <v>240</v>
      </c>
      <c r="HD3493" s="5" t="s">
        <v>240</v>
      </c>
      <c r="HE3493" s="5" t="s">
        <v>240</v>
      </c>
      <c r="HF3493" s="5" t="s">
        <v>240</v>
      </c>
      <c r="HG3493" s="5" t="s">
        <v>240</v>
      </c>
      <c r="HH3493" s="5" t="s">
        <v>240</v>
      </c>
      <c r="HI3493" s="5" t="s">
        <v>240</v>
      </c>
      <c r="HJ3493" s="5" t="s">
        <v>240</v>
      </c>
      <c r="HK3493" s="5" t="s">
        <v>240</v>
      </c>
      <c r="HL3493" s="5" t="s">
        <v>240</v>
      </c>
      <c r="HM3493" s="5" t="s">
        <v>240</v>
      </c>
      <c r="HN3493" s="5" t="s">
        <v>240</v>
      </c>
      <c r="HO3493" s="5" t="s">
        <v>620</v>
      </c>
      <c r="HP3493" s="5" t="s">
        <v>240</v>
      </c>
      <c r="HQ3493" s="5" t="s">
        <v>240</v>
      </c>
      <c r="HR3493" s="5" t="s">
        <v>240</v>
      </c>
      <c r="HS3493" s="5" t="s">
        <v>240</v>
      </c>
      <c r="HT3493" s="5" t="s">
        <v>240</v>
      </c>
      <c r="HU3493" s="5" t="s">
        <v>240</v>
      </c>
      <c r="HV3493" s="5" t="s">
        <v>240</v>
      </c>
      <c r="HW3493" s="5" t="s">
        <v>240</v>
      </c>
      <c r="HX3493" s="5" t="s">
        <v>240</v>
      </c>
      <c r="HY3493" s="5" t="s">
        <v>240</v>
      </c>
      <c r="HZ3493" s="5" t="s">
        <v>240</v>
      </c>
      <c r="IA3493" s="5" t="s">
        <v>240</v>
      </c>
      <c r="IB3493" s="5" t="s">
        <v>240</v>
      </c>
      <c r="IC3493" s="5" t="s">
        <v>240</v>
      </c>
      <c r="ID3493" s="5" t="s">
        <v>240</v>
      </c>
      <c r="IE3493" s="5" t="s">
        <v>240</v>
      </c>
      <c r="IF3493" s="5" t="s">
        <v>240</v>
      </c>
    </row>
    <row r="3494" spans="1:240" x14ac:dyDescent="0.4">
      <c r="A3494" s="5">
        <v>9036</v>
      </c>
      <c r="B3494" s="5">
        <v>1</v>
      </c>
      <c r="C3494" s="5">
        <v>1</v>
      </c>
      <c r="D3494" s="5" t="s">
        <v>723</v>
      </c>
      <c r="E3494" s="5" t="s">
        <v>5060</v>
      </c>
      <c r="F3494" s="5" t="s">
        <v>254</v>
      </c>
      <c r="G3494" s="5" t="s">
        <v>5061</v>
      </c>
      <c r="H3494" s="6" t="s">
        <v>7110</v>
      </c>
      <c r="I3494" s="5" t="s">
        <v>7109</v>
      </c>
      <c r="J3494" s="7">
        <f>1</f>
        <v>1</v>
      </c>
      <c r="K3494" s="5" t="s">
        <v>3682</v>
      </c>
      <c r="L3494" s="7">
        <f>1</f>
        <v>1</v>
      </c>
      <c r="M3494" s="7">
        <f>1</f>
        <v>1</v>
      </c>
      <c r="N3494" s="5" t="s">
        <v>242</v>
      </c>
      <c r="O3494" s="5">
        <v>1</v>
      </c>
      <c r="P3494" s="5" t="s">
        <v>294</v>
      </c>
      <c r="Q3494" s="5" t="s">
        <v>266</v>
      </c>
      <c r="R3494" s="5" t="s">
        <v>240</v>
      </c>
      <c r="S3494" s="5" t="s">
        <v>240</v>
      </c>
      <c r="T3494" s="5" t="s">
        <v>296</v>
      </c>
      <c r="U3494" s="5" t="s">
        <v>244</v>
      </c>
      <c r="V3494" s="5" t="s">
        <v>240</v>
      </c>
      <c r="Y3494" s="5" t="s">
        <v>240</v>
      </c>
      <c r="Z3494" s="6" t="s">
        <v>298</v>
      </c>
      <c r="AB3494" s="6" t="s">
        <v>240</v>
      </c>
      <c r="AE3494" s="6" t="s">
        <v>299</v>
      </c>
      <c r="AF3494" s="5" t="s">
        <v>248</v>
      </c>
      <c r="AG3494" s="5" t="s">
        <v>249</v>
      </c>
      <c r="AW3494" s="5" t="s">
        <v>251</v>
      </c>
      <c r="AX3494" s="5" t="s">
        <v>240</v>
      </c>
      <c r="AY3494" s="5" t="s">
        <v>253</v>
      </c>
      <c r="AZ3494" s="5" t="s">
        <v>240</v>
      </c>
      <c r="BA3494" s="5" t="s">
        <v>255</v>
      </c>
      <c r="BB3494" s="5" t="s">
        <v>240</v>
      </c>
      <c r="BD3494" s="5" t="s">
        <v>240</v>
      </c>
      <c r="BF3494" s="5" t="s">
        <v>301</v>
      </c>
      <c r="BG3494" s="6" t="s">
        <v>299</v>
      </c>
      <c r="BH3494" s="5" t="s">
        <v>302</v>
      </c>
      <c r="BI3494" s="5" t="s">
        <v>303</v>
      </c>
      <c r="BJ3494" s="5" t="s">
        <v>240</v>
      </c>
      <c r="BK3494" s="8">
        <f>0</f>
        <v>0</v>
      </c>
      <c r="BL3494" s="7">
        <f>0</f>
        <v>0</v>
      </c>
      <c r="BM3494" s="5" t="s">
        <v>258</v>
      </c>
      <c r="BN3494" s="5" t="s">
        <v>259</v>
      </c>
      <c r="CB3494" s="5" t="s">
        <v>240</v>
      </c>
      <c r="CC3494" s="5" t="s">
        <v>240</v>
      </c>
      <c r="CG3494" s="5" t="s">
        <v>304</v>
      </c>
      <c r="CH3494" s="5" t="s">
        <v>305</v>
      </c>
      <c r="CI3494" s="5" t="s">
        <v>240</v>
      </c>
      <c r="CL3494" s="6" t="s">
        <v>261</v>
      </c>
      <c r="CM3494" s="5" t="s">
        <v>240</v>
      </c>
      <c r="CN3494" s="5" t="s">
        <v>263</v>
      </c>
      <c r="CO3494" s="5" t="s">
        <v>240</v>
      </c>
      <c r="CP3494" s="5" t="s">
        <v>240</v>
      </c>
      <c r="CQ3494" s="5">
        <v>0</v>
      </c>
      <c r="CR3494" s="5" t="s">
        <v>306</v>
      </c>
      <c r="CS3494" s="5" t="s">
        <v>307</v>
      </c>
      <c r="CT3494" s="5" t="s">
        <v>307</v>
      </c>
      <c r="CU3494" s="5" t="s">
        <v>260</v>
      </c>
      <c r="CX3494" s="7">
        <f>1</f>
        <v>1</v>
      </c>
      <c r="CY3494" s="7">
        <f>0</f>
        <v>0</v>
      </c>
      <c r="DA3494" s="7">
        <f>0</f>
        <v>0</v>
      </c>
      <c r="DC3494" s="5" t="s">
        <v>309</v>
      </c>
      <c r="DD3494" s="5" t="s">
        <v>240</v>
      </c>
      <c r="DF3494" s="5" t="s">
        <v>309</v>
      </c>
      <c r="DG3494" s="7">
        <f>730</f>
        <v>730</v>
      </c>
      <c r="DI3494" s="5" t="s">
        <v>240</v>
      </c>
      <c r="DJ3494" s="5" t="s">
        <v>240</v>
      </c>
      <c r="DK3494" s="5" t="s">
        <v>240</v>
      </c>
      <c r="DL3494" s="5" t="s">
        <v>240</v>
      </c>
      <c r="DP3494" s="5" t="s">
        <v>240</v>
      </c>
      <c r="DQ3494" s="5" t="s">
        <v>240</v>
      </c>
      <c r="DR3494" s="5" t="s">
        <v>240</v>
      </c>
      <c r="DS3494" s="5" t="s">
        <v>240</v>
      </c>
      <c r="DV3494" s="5" t="s">
        <v>310</v>
      </c>
      <c r="DW3494" s="5" t="s">
        <v>4007</v>
      </c>
      <c r="HO3494" s="5" t="s">
        <v>312</v>
      </c>
    </row>
    <row r="3495" spans="1:240" x14ac:dyDescent="0.4">
      <c r="A3495" s="5">
        <v>9037</v>
      </c>
      <c r="B3495" s="5">
        <v>1</v>
      </c>
      <c r="C3495" s="5">
        <v>1</v>
      </c>
      <c r="D3495" s="5" t="s">
        <v>723</v>
      </c>
      <c r="E3495" s="5" t="s">
        <v>5060</v>
      </c>
      <c r="F3495" s="5" t="s">
        <v>254</v>
      </c>
      <c r="G3495" s="5" t="s">
        <v>5061</v>
      </c>
      <c r="H3495" s="6" t="s">
        <v>6039</v>
      </c>
      <c r="I3495" s="5" t="s">
        <v>6038</v>
      </c>
      <c r="J3495" s="7">
        <f>1</f>
        <v>1</v>
      </c>
      <c r="K3495" s="5" t="s">
        <v>3682</v>
      </c>
      <c r="L3495" s="7">
        <f>1</f>
        <v>1</v>
      </c>
      <c r="M3495" s="7">
        <f>1</f>
        <v>1</v>
      </c>
      <c r="N3495" s="5" t="s">
        <v>242</v>
      </c>
      <c r="O3495" s="5">
        <v>1</v>
      </c>
      <c r="P3495" s="5" t="s">
        <v>294</v>
      </c>
      <c r="Q3495" s="5" t="s">
        <v>613</v>
      </c>
      <c r="R3495" s="5" t="s">
        <v>240</v>
      </c>
      <c r="S3495" s="5" t="s">
        <v>240</v>
      </c>
      <c r="T3495" s="5" t="s">
        <v>243</v>
      </c>
      <c r="U3495" s="5" t="s">
        <v>724</v>
      </c>
      <c r="V3495" s="5" t="s">
        <v>240</v>
      </c>
      <c r="W3495" s="5" t="s">
        <v>240</v>
      </c>
      <c r="X3495" s="5" t="s">
        <v>240</v>
      </c>
      <c r="Y3495" s="5" t="s">
        <v>240</v>
      </c>
      <c r="Z3495" s="6" t="s">
        <v>298</v>
      </c>
      <c r="AA3495" s="6" t="s">
        <v>240</v>
      </c>
      <c r="AB3495" s="6" t="s">
        <v>240</v>
      </c>
      <c r="AC3495" s="5" t="s">
        <v>240</v>
      </c>
      <c r="AD3495" s="6" t="s">
        <v>240</v>
      </c>
      <c r="AE3495" s="6" t="s">
        <v>299</v>
      </c>
      <c r="AF3495" s="5" t="s">
        <v>727</v>
      </c>
      <c r="AG3495" s="5" t="s">
        <v>260</v>
      </c>
      <c r="AH3495" s="5" t="s">
        <v>240</v>
      </c>
      <c r="AI3495" s="5" t="s">
        <v>240</v>
      </c>
      <c r="AJ3495" s="5" t="s">
        <v>240</v>
      </c>
      <c r="AK3495" s="5" t="s">
        <v>240</v>
      </c>
      <c r="AL3495" s="5" t="s">
        <v>240</v>
      </c>
      <c r="AM3495" s="5" t="s">
        <v>240</v>
      </c>
      <c r="AN3495" s="5" t="s">
        <v>240</v>
      </c>
      <c r="AO3495" s="5" t="s">
        <v>240</v>
      </c>
      <c r="AP3495" s="6" t="s">
        <v>240</v>
      </c>
      <c r="AQ3495" s="6" t="s">
        <v>240</v>
      </c>
      <c r="AR3495" s="6" t="s">
        <v>240</v>
      </c>
      <c r="AS3495" s="6" t="s">
        <v>240</v>
      </c>
      <c r="AT3495" s="5" t="s">
        <v>240</v>
      </c>
      <c r="AU3495" s="5" t="s">
        <v>729</v>
      </c>
      <c r="AV3495" s="5" t="s">
        <v>729</v>
      </c>
      <c r="AW3495" s="5" t="s">
        <v>251</v>
      </c>
      <c r="AX3495" s="5" t="s">
        <v>252</v>
      </c>
      <c r="AY3495" s="5" t="s">
        <v>253</v>
      </c>
      <c r="AZ3495" s="5" t="s">
        <v>240</v>
      </c>
      <c r="BA3495" s="5" t="s">
        <v>255</v>
      </c>
      <c r="BB3495" s="5" t="s">
        <v>731</v>
      </c>
      <c r="BD3495" s="5" t="s">
        <v>240</v>
      </c>
      <c r="BF3495" s="5" t="s">
        <v>732</v>
      </c>
      <c r="BG3495" s="6" t="s">
        <v>733</v>
      </c>
      <c r="BH3495" s="5" t="s">
        <v>734</v>
      </c>
      <c r="BI3495" s="5" t="s">
        <v>734</v>
      </c>
      <c r="BJ3495" s="5" t="s">
        <v>240</v>
      </c>
      <c r="BK3495" s="8">
        <f>2152</f>
        <v>2152</v>
      </c>
      <c r="BL3495" s="7">
        <f>0</f>
        <v>0</v>
      </c>
      <c r="BM3495" s="5" t="s">
        <v>258</v>
      </c>
      <c r="BN3495" s="5" t="s">
        <v>259</v>
      </c>
      <c r="BO3495" s="5" t="s">
        <v>240</v>
      </c>
      <c r="BP3495" s="5" t="s">
        <v>240</v>
      </c>
      <c r="BQ3495" s="5" t="s">
        <v>240</v>
      </c>
      <c r="BR3495" s="5" t="s">
        <v>240</v>
      </c>
      <c r="BS3495" s="5" t="s">
        <v>240</v>
      </c>
      <c r="BT3495" s="5" t="s">
        <v>240</v>
      </c>
      <c r="BU3495" s="5" t="s">
        <v>240</v>
      </c>
      <c r="BV3495" s="5" t="s">
        <v>240</v>
      </c>
      <c r="BW3495" s="6" t="s">
        <v>240</v>
      </c>
      <c r="BX3495" s="5" t="s">
        <v>240</v>
      </c>
      <c r="BY3495" s="5" t="s">
        <v>240</v>
      </c>
      <c r="BZ3495" s="5" t="s">
        <v>240</v>
      </c>
      <c r="CA3495" s="5" t="s">
        <v>259</v>
      </c>
      <c r="CB3495" s="5" t="s">
        <v>240</v>
      </c>
      <c r="CC3495" s="5" t="s">
        <v>240</v>
      </c>
      <c r="CD3495" s="5" t="s">
        <v>240</v>
      </c>
      <c r="CE3495" s="5" t="s">
        <v>240</v>
      </c>
      <c r="CF3495" s="5" t="s">
        <v>240</v>
      </c>
      <c r="CG3495" s="5" t="s">
        <v>617</v>
      </c>
      <c r="CH3495" s="5" t="s">
        <v>305</v>
      </c>
      <c r="CI3495" s="5" t="s">
        <v>240</v>
      </c>
      <c r="CL3495" s="6" t="s">
        <v>261</v>
      </c>
      <c r="CM3495" s="5" t="s">
        <v>262</v>
      </c>
      <c r="CN3495" s="5" t="s">
        <v>263</v>
      </c>
      <c r="CO3495" s="5" t="s">
        <v>264</v>
      </c>
      <c r="CP3495" s="5" t="s">
        <v>240</v>
      </c>
      <c r="CQ3495" s="5">
        <v>0</v>
      </c>
      <c r="CR3495" s="5" t="s">
        <v>735</v>
      </c>
      <c r="CS3495" s="5" t="s">
        <v>307</v>
      </c>
      <c r="CT3495" s="5" t="s">
        <v>307</v>
      </c>
      <c r="CU3495" s="5" t="s">
        <v>260</v>
      </c>
      <c r="CV3495" s="5" t="s">
        <v>240</v>
      </c>
      <c r="CW3495" s="8">
        <f>0</f>
        <v>0</v>
      </c>
      <c r="CX3495" s="7">
        <f>0</f>
        <v>0</v>
      </c>
      <c r="CY3495" s="7">
        <f>0</f>
        <v>0</v>
      </c>
      <c r="DA3495" s="7">
        <f>23672</f>
        <v>23672</v>
      </c>
      <c r="DB3495" s="7" t="s">
        <v>240</v>
      </c>
      <c r="DC3495" s="5" t="s">
        <v>240</v>
      </c>
      <c r="DD3495" s="5" t="s">
        <v>240</v>
      </c>
      <c r="DE3495" s="5" t="s">
        <v>240</v>
      </c>
      <c r="DF3495" s="5" t="s">
        <v>450</v>
      </c>
      <c r="DG3495" s="7">
        <f>0</f>
        <v>0</v>
      </c>
      <c r="DI3495" s="5" t="s">
        <v>737</v>
      </c>
      <c r="DJ3495" s="5" t="s">
        <v>240</v>
      </c>
      <c r="DK3495" s="5" t="s">
        <v>240</v>
      </c>
      <c r="DL3495" s="5" t="s">
        <v>240</v>
      </c>
      <c r="DM3495" s="5" t="s">
        <v>240</v>
      </c>
      <c r="DN3495" s="5" t="s">
        <v>240</v>
      </c>
      <c r="DO3495" s="7" t="s">
        <v>240</v>
      </c>
      <c r="DP3495" s="5" t="s">
        <v>240</v>
      </c>
      <c r="DQ3495" s="5" t="s">
        <v>240</v>
      </c>
      <c r="DR3495" s="5" t="s">
        <v>731</v>
      </c>
      <c r="DS3495" s="5" t="s">
        <v>731</v>
      </c>
      <c r="DT3495" s="5" t="s">
        <v>240</v>
      </c>
      <c r="DU3495" s="5" t="s">
        <v>240</v>
      </c>
      <c r="DV3495" s="5" t="s">
        <v>738</v>
      </c>
      <c r="DW3495" s="5" t="s">
        <v>797</v>
      </c>
      <c r="DX3495" s="5" t="s">
        <v>240</v>
      </c>
      <c r="DY3495" s="5" t="s">
        <v>240</v>
      </c>
      <c r="DZ3495" s="5" t="s">
        <v>240</v>
      </c>
      <c r="EA3495" s="5" t="s">
        <v>240</v>
      </c>
      <c r="EB3495" s="5" t="s">
        <v>240</v>
      </c>
      <c r="EC3495" s="5" t="s">
        <v>240</v>
      </c>
      <c r="ED3495" s="5" t="s">
        <v>240</v>
      </c>
      <c r="EE3495" s="5" t="s">
        <v>240</v>
      </c>
      <c r="EF3495" s="5" t="s">
        <v>240</v>
      </c>
      <c r="EG3495" s="5" t="s">
        <v>240</v>
      </c>
      <c r="EH3495" s="5" t="s">
        <v>240</v>
      </c>
      <c r="EI3495" s="5" t="s">
        <v>240</v>
      </c>
      <c r="EJ3495" s="5" t="s">
        <v>240</v>
      </c>
      <c r="EK3495" s="5" t="s">
        <v>240</v>
      </c>
      <c r="EL3495" s="5" t="s">
        <v>240</v>
      </c>
      <c r="EM3495" s="5" t="s">
        <v>240</v>
      </c>
      <c r="EN3495" s="5" t="s">
        <v>240</v>
      </c>
      <c r="EO3495" s="5" t="s">
        <v>240</v>
      </c>
      <c r="EP3495" s="5" t="s">
        <v>240</v>
      </c>
      <c r="EQ3495" s="5" t="s">
        <v>240</v>
      </c>
      <c r="ER3495" s="5" t="s">
        <v>240</v>
      </c>
      <c r="ES3495" s="5" t="s">
        <v>240</v>
      </c>
      <c r="ET3495" s="5" t="s">
        <v>240</v>
      </c>
      <c r="EU3495" s="5" t="s">
        <v>240</v>
      </c>
      <c r="EV3495" s="5" t="s">
        <v>240</v>
      </c>
      <c r="EW3495" s="5" t="s">
        <v>240</v>
      </c>
      <c r="EX3495" s="5" t="s">
        <v>240</v>
      </c>
      <c r="EY3495" s="5" t="s">
        <v>240</v>
      </c>
      <c r="EZ3495" s="5" t="s">
        <v>240</v>
      </c>
      <c r="FA3495" s="5" t="s">
        <v>240</v>
      </c>
      <c r="FB3495" s="5" t="s">
        <v>240</v>
      </c>
      <c r="FC3495" s="5" t="s">
        <v>240</v>
      </c>
      <c r="FD3495" s="5" t="s">
        <v>240</v>
      </c>
      <c r="FE3495" s="5" t="s">
        <v>240</v>
      </c>
      <c r="FF3495" s="5" t="s">
        <v>240</v>
      </c>
      <c r="FG3495" s="5" t="s">
        <v>240</v>
      </c>
      <c r="FH3495" s="5" t="s">
        <v>240</v>
      </c>
      <c r="FI3495" s="5" t="s">
        <v>240</v>
      </c>
      <c r="FJ3495" s="5" t="s">
        <v>240</v>
      </c>
      <c r="FK3495" s="5" t="s">
        <v>240</v>
      </c>
      <c r="FL3495" s="5" t="s">
        <v>240</v>
      </c>
      <c r="FM3495" s="5" t="s">
        <v>240</v>
      </c>
      <c r="FN3495" s="5" t="s">
        <v>240</v>
      </c>
      <c r="FO3495" s="5" t="s">
        <v>240</v>
      </c>
      <c r="FP3495" s="5" t="s">
        <v>240</v>
      </c>
      <c r="FQ3495" s="5" t="s">
        <v>240</v>
      </c>
      <c r="FR3495" s="5" t="s">
        <v>240</v>
      </c>
      <c r="FS3495" s="5" t="s">
        <v>240</v>
      </c>
      <c r="FT3495" s="5" t="s">
        <v>240</v>
      </c>
      <c r="FU3495" s="5" t="s">
        <v>240</v>
      </c>
      <c r="FV3495" s="5" t="s">
        <v>240</v>
      </c>
      <c r="FW3495" s="5" t="s">
        <v>240</v>
      </c>
      <c r="FX3495" s="5" t="s">
        <v>240</v>
      </c>
      <c r="FY3495" s="5" t="s">
        <v>240</v>
      </c>
      <c r="FZ3495" s="5" t="s">
        <v>240</v>
      </c>
      <c r="GA3495" s="5" t="s">
        <v>240</v>
      </c>
      <c r="GB3495" s="5" t="s">
        <v>240</v>
      </c>
      <c r="GC3495" s="5" t="s">
        <v>240</v>
      </c>
      <c r="GD3495" s="5" t="s">
        <v>240</v>
      </c>
      <c r="GE3495" s="5" t="s">
        <v>240</v>
      </c>
      <c r="GF3495" s="5" t="s">
        <v>240</v>
      </c>
      <c r="GG3495" s="5" t="s">
        <v>240</v>
      </c>
      <c r="GH3495" s="5" t="s">
        <v>240</v>
      </c>
      <c r="GI3495" s="5" t="s">
        <v>240</v>
      </c>
      <c r="GJ3495" s="5" t="s">
        <v>240</v>
      </c>
      <c r="GK3495" s="5" t="s">
        <v>240</v>
      </c>
      <c r="GL3495" s="5" t="s">
        <v>240</v>
      </c>
      <c r="GM3495" s="5" t="s">
        <v>240</v>
      </c>
      <c r="GN3495" s="5" t="s">
        <v>240</v>
      </c>
      <c r="GO3495" s="5" t="s">
        <v>240</v>
      </c>
      <c r="GP3495" s="5" t="s">
        <v>240</v>
      </c>
      <c r="GQ3495" s="5" t="s">
        <v>240</v>
      </c>
      <c r="GR3495" s="5" t="s">
        <v>240</v>
      </c>
      <c r="GS3495" s="5" t="s">
        <v>240</v>
      </c>
      <c r="GT3495" s="5" t="s">
        <v>240</v>
      </c>
      <c r="GU3495" s="5" t="s">
        <v>240</v>
      </c>
      <c r="GV3495" s="5" t="s">
        <v>240</v>
      </c>
      <c r="GW3495" s="5" t="s">
        <v>240</v>
      </c>
      <c r="GX3495" s="5" t="s">
        <v>240</v>
      </c>
      <c r="GY3495" s="5" t="s">
        <v>240</v>
      </c>
      <c r="GZ3495" s="5" t="s">
        <v>240</v>
      </c>
      <c r="HA3495" s="5" t="s">
        <v>240</v>
      </c>
      <c r="HB3495" s="5" t="s">
        <v>240</v>
      </c>
      <c r="HC3495" s="5" t="s">
        <v>240</v>
      </c>
      <c r="HD3495" s="5" t="s">
        <v>240</v>
      </c>
      <c r="HE3495" s="5" t="s">
        <v>240</v>
      </c>
      <c r="HF3495" s="5" t="s">
        <v>240</v>
      </c>
      <c r="HG3495" s="5" t="s">
        <v>240</v>
      </c>
      <c r="HH3495" s="5" t="s">
        <v>240</v>
      </c>
      <c r="HI3495" s="5" t="s">
        <v>240</v>
      </c>
      <c r="HJ3495" s="5" t="s">
        <v>240</v>
      </c>
      <c r="HK3495" s="5" t="s">
        <v>240</v>
      </c>
      <c r="HL3495" s="5" t="s">
        <v>240</v>
      </c>
      <c r="HM3495" s="5" t="s">
        <v>240</v>
      </c>
      <c r="HN3495" s="5" t="s">
        <v>240</v>
      </c>
      <c r="HO3495" s="5" t="s">
        <v>312</v>
      </c>
      <c r="HP3495" s="5" t="s">
        <v>240</v>
      </c>
      <c r="HQ3495" s="5" t="s">
        <v>240</v>
      </c>
      <c r="HR3495" s="5" t="s">
        <v>240</v>
      </c>
      <c r="HS3495" s="5" t="s">
        <v>240</v>
      </c>
      <c r="HT3495" s="5" t="s">
        <v>240</v>
      </c>
      <c r="HU3495" s="5" t="s">
        <v>240</v>
      </c>
      <c r="HV3495" s="5" t="s">
        <v>240</v>
      </c>
      <c r="HW3495" s="5" t="s">
        <v>240</v>
      </c>
      <c r="HX3495" s="5" t="s">
        <v>240</v>
      </c>
      <c r="HY3495" s="5" t="s">
        <v>240</v>
      </c>
      <c r="HZ3495" s="5" t="s">
        <v>240</v>
      </c>
      <c r="IA3495" s="5" t="s">
        <v>240</v>
      </c>
      <c r="IB3495" s="5" t="s">
        <v>240</v>
      </c>
      <c r="IC3495" s="5" t="s">
        <v>240</v>
      </c>
      <c r="ID3495" s="5" t="s">
        <v>240</v>
      </c>
      <c r="IE3495" s="5" t="s">
        <v>240</v>
      </c>
      <c r="IF3495" s="5" t="s">
        <v>240</v>
      </c>
    </row>
    <row r="3496" spans="1:240" x14ac:dyDescent="0.4">
      <c r="A3496" s="5">
        <v>9038</v>
      </c>
      <c r="B3496" s="5">
        <v>1</v>
      </c>
      <c r="C3496" s="5">
        <v>1</v>
      </c>
      <c r="D3496" s="5" t="s">
        <v>723</v>
      </c>
      <c r="E3496" s="5" t="s">
        <v>5060</v>
      </c>
      <c r="F3496" s="5" t="s">
        <v>254</v>
      </c>
      <c r="G3496" s="5" t="s">
        <v>5061</v>
      </c>
      <c r="H3496" s="6" t="s">
        <v>5977</v>
      </c>
      <c r="I3496" s="5" t="s">
        <v>5976</v>
      </c>
      <c r="J3496" s="7">
        <f>1</f>
        <v>1</v>
      </c>
      <c r="K3496" s="5" t="s">
        <v>3682</v>
      </c>
      <c r="L3496" s="7">
        <f>1</f>
        <v>1</v>
      </c>
      <c r="M3496" s="7">
        <f>1</f>
        <v>1</v>
      </c>
      <c r="N3496" s="5" t="s">
        <v>242</v>
      </c>
      <c r="O3496" s="5">
        <v>1</v>
      </c>
      <c r="P3496" s="5" t="s">
        <v>294</v>
      </c>
      <c r="Q3496" s="5" t="s">
        <v>613</v>
      </c>
      <c r="R3496" s="5" t="s">
        <v>240</v>
      </c>
      <c r="S3496" s="5" t="s">
        <v>240</v>
      </c>
      <c r="T3496" s="5" t="s">
        <v>243</v>
      </c>
      <c r="U3496" s="5" t="s">
        <v>724</v>
      </c>
      <c r="V3496" s="5" t="s">
        <v>240</v>
      </c>
      <c r="W3496" s="5" t="s">
        <v>240</v>
      </c>
      <c r="X3496" s="5" t="s">
        <v>240</v>
      </c>
      <c r="Y3496" s="5" t="s">
        <v>240</v>
      </c>
      <c r="Z3496" s="6" t="s">
        <v>298</v>
      </c>
      <c r="AA3496" s="6" t="s">
        <v>240</v>
      </c>
      <c r="AB3496" s="6" t="s">
        <v>240</v>
      </c>
      <c r="AC3496" s="5" t="s">
        <v>240</v>
      </c>
      <c r="AD3496" s="6" t="s">
        <v>240</v>
      </c>
      <c r="AE3496" s="6" t="s">
        <v>299</v>
      </c>
      <c r="AF3496" s="5" t="s">
        <v>727</v>
      </c>
      <c r="AG3496" s="5" t="s">
        <v>260</v>
      </c>
      <c r="AH3496" s="5" t="s">
        <v>240</v>
      </c>
      <c r="AI3496" s="5" t="s">
        <v>240</v>
      </c>
      <c r="AJ3496" s="5" t="s">
        <v>240</v>
      </c>
      <c r="AK3496" s="5" t="s">
        <v>240</v>
      </c>
      <c r="AL3496" s="5" t="s">
        <v>240</v>
      </c>
      <c r="AM3496" s="5" t="s">
        <v>240</v>
      </c>
      <c r="AN3496" s="5" t="s">
        <v>240</v>
      </c>
      <c r="AO3496" s="5" t="s">
        <v>240</v>
      </c>
      <c r="AP3496" s="6" t="s">
        <v>240</v>
      </c>
      <c r="AQ3496" s="6" t="s">
        <v>240</v>
      </c>
      <c r="AR3496" s="6" t="s">
        <v>240</v>
      </c>
      <c r="AS3496" s="6" t="s">
        <v>240</v>
      </c>
      <c r="AT3496" s="5" t="s">
        <v>240</v>
      </c>
      <c r="AU3496" s="5" t="s">
        <v>729</v>
      </c>
      <c r="AV3496" s="5" t="s">
        <v>729</v>
      </c>
      <c r="AW3496" s="5" t="s">
        <v>251</v>
      </c>
      <c r="AX3496" s="5" t="s">
        <v>252</v>
      </c>
      <c r="AY3496" s="5" t="s">
        <v>253</v>
      </c>
      <c r="AZ3496" s="5" t="s">
        <v>240</v>
      </c>
      <c r="BA3496" s="5" t="s">
        <v>255</v>
      </c>
      <c r="BB3496" s="5" t="s">
        <v>731</v>
      </c>
      <c r="BD3496" s="5" t="s">
        <v>240</v>
      </c>
      <c r="BF3496" s="5" t="s">
        <v>732</v>
      </c>
      <c r="BG3496" s="6" t="s">
        <v>733</v>
      </c>
      <c r="BH3496" s="5" t="s">
        <v>734</v>
      </c>
      <c r="BI3496" s="5" t="s">
        <v>734</v>
      </c>
      <c r="BJ3496" s="5" t="s">
        <v>240</v>
      </c>
      <c r="BK3496" s="8">
        <f>1147</f>
        <v>1147</v>
      </c>
      <c r="BL3496" s="7">
        <f>0</f>
        <v>0</v>
      </c>
      <c r="BM3496" s="5" t="s">
        <v>258</v>
      </c>
      <c r="BN3496" s="5" t="s">
        <v>259</v>
      </c>
      <c r="BO3496" s="5" t="s">
        <v>240</v>
      </c>
      <c r="BP3496" s="5" t="s">
        <v>240</v>
      </c>
      <c r="BQ3496" s="5" t="s">
        <v>240</v>
      </c>
      <c r="BR3496" s="5" t="s">
        <v>240</v>
      </c>
      <c r="BS3496" s="5" t="s">
        <v>240</v>
      </c>
      <c r="BT3496" s="5" t="s">
        <v>240</v>
      </c>
      <c r="BU3496" s="5" t="s">
        <v>240</v>
      </c>
      <c r="BV3496" s="5" t="s">
        <v>240</v>
      </c>
      <c r="BW3496" s="6" t="s">
        <v>240</v>
      </c>
      <c r="BX3496" s="5" t="s">
        <v>240</v>
      </c>
      <c r="BY3496" s="5" t="s">
        <v>240</v>
      </c>
      <c r="BZ3496" s="5" t="s">
        <v>240</v>
      </c>
      <c r="CA3496" s="5" t="s">
        <v>259</v>
      </c>
      <c r="CB3496" s="5" t="s">
        <v>240</v>
      </c>
      <c r="CC3496" s="5" t="s">
        <v>240</v>
      </c>
      <c r="CD3496" s="5" t="s">
        <v>240</v>
      </c>
      <c r="CE3496" s="5" t="s">
        <v>240</v>
      </c>
      <c r="CF3496" s="5" t="s">
        <v>240</v>
      </c>
      <c r="CG3496" s="5" t="s">
        <v>617</v>
      </c>
      <c r="CH3496" s="5" t="s">
        <v>305</v>
      </c>
      <c r="CI3496" s="5" t="s">
        <v>240</v>
      </c>
      <c r="CL3496" s="6" t="s">
        <v>261</v>
      </c>
      <c r="CM3496" s="5" t="s">
        <v>262</v>
      </c>
      <c r="CN3496" s="5" t="s">
        <v>263</v>
      </c>
      <c r="CO3496" s="5" t="s">
        <v>264</v>
      </c>
      <c r="CP3496" s="5" t="s">
        <v>240</v>
      </c>
      <c r="CQ3496" s="5">
        <v>0</v>
      </c>
      <c r="CR3496" s="5" t="s">
        <v>735</v>
      </c>
      <c r="CS3496" s="5" t="s">
        <v>307</v>
      </c>
      <c r="CT3496" s="5" t="s">
        <v>307</v>
      </c>
      <c r="CU3496" s="5" t="s">
        <v>260</v>
      </c>
      <c r="CV3496" s="5" t="s">
        <v>240</v>
      </c>
      <c r="CW3496" s="8">
        <f>0</f>
        <v>0</v>
      </c>
      <c r="CX3496" s="7">
        <f>0</f>
        <v>0</v>
      </c>
      <c r="CY3496" s="7">
        <f>0</f>
        <v>0</v>
      </c>
      <c r="DA3496" s="7">
        <f>12617</f>
        <v>12617</v>
      </c>
      <c r="DB3496" s="7" t="s">
        <v>240</v>
      </c>
      <c r="DC3496" s="5" t="s">
        <v>240</v>
      </c>
      <c r="DD3496" s="5" t="s">
        <v>240</v>
      </c>
      <c r="DE3496" s="5" t="s">
        <v>240</v>
      </c>
      <c r="DF3496" s="5" t="s">
        <v>450</v>
      </c>
      <c r="DG3496" s="7">
        <f>0</f>
        <v>0</v>
      </c>
      <c r="DI3496" s="5" t="s">
        <v>737</v>
      </c>
      <c r="DJ3496" s="5" t="s">
        <v>240</v>
      </c>
      <c r="DK3496" s="5" t="s">
        <v>240</v>
      </c>
      <c r="DL3496" s="5" t="s">
        <v>240</v>
      </c>
      <c r="DM3496" s="5" t="s">
        <v>240</v>
      </c>
      <c r="DN3496" s="5" t="s">
        <v>240</v>
      </c>
      <c r="DO3496" s="7" t="s">
        <v>240</v>
      </c>
      <c r="DP3496" s="5" t="s">
        <v>240</v>
      </c>
      <c r="DQ3496" s="5" t="s">
        <v>240</v>
      </c>
      <c r="DR3496" s="5" t="s">
        <v>731</v>
      </c>
      <c r="DS3496" s="5" t="s">
        <v>731</v>
      </c>
      <c r="DT3496" s="5" t="s">
        <v>240</v>
      </c>
      <c r="DU3496" s="5" t="s">
        <v>240</v>
      </c>
      <c r="DV3496" s="5" t="s">
        <v>738</v>
      </c>
      <c r="DW3496" s="5" t="s">
        <v>795</v>
      </c>
      <c r="DX3496" s="5" t="s">
        <v>240</v>
      </c>
      <c r="DY3496" s="5" t="s">
        <v>240</v>
      </c>
      <c r="DZ3496" s="5" t="s">
        <v>240</v>
      </c>
      <c r="EA3496" s="5" t="s">
        <v>240</v>
      </c>
      <c r="EB3496" s="5" t="s">
        <v>240</v>
      </c>
      <c r="EC3496" s="5" t="s">
        <v>240</v>
      </c>
      <c r="ED3496" s="5" t="s">
        <v>240</v>
      </c>
      <c r="EE3496" s="5" t="s">
        <v>240</v>
      </c>
      <c r="EF3496" s="5" t="s">
        <v>240</v>
      </c>
      <c r="EG3496" s="5" t="s">
        <v>240</v>
      </c>
      <c r="EH3496" s="5" t="s">
        <v>240</v>
      </c>
      <c r="EI3496" s="5" t="s">
        <v>240</v>
      </c>
      <c r="EJ3496" s="5" t="s">
        <v>240</v>
      </c>
      <c r="EK3496" s="5" t="s">
        <v>240</v>
      </c>
      <c r="EL3496" s="5" t="s">
        <v>240</v>
      </c>
      <c r="EM3496" s="5" t="s">
        <v>240</v>
      </c>
      <c r="EN3496" s="5" t="s">
        <v>240</v>
      </c>
      <c r="EO3496" s="5" t="s">
        <v>240</v>
      </c>
      <c r="EP3496" s="5" t="s">
        <v>240</v>
      </c>
      <c r="EQ3496" s="5" t="s">
        <v>240</v>
      </c>
      <c r="ER3496" s="5" t="s">
        <v>240</v>
      </c>
      <c r="ES3496" s="5" t="s">
        <v>240</v>
      </c>
      <c r="ET3496" s="5" t="s">
        <v>240</v>
      </c>
      <c r="EU3496" s="5" t="s">
        <v>240</v>
      </c>
      <c r="EV3496" s="5" t="s">
        <v>240</v>
      </c>
      <c r="EW3496" s="5" t="s">
        <v>240</v>
      </c>
      <c r="EX3496" s="5" t="s">
        <v>240</v>
      </c>
      <c r="EY3496" s="5" t="s">
        <v>240</v>
      </c>
      <c r="EZ3496" s="5" t="s">
        <v>240</v>
      </c>
      <c r="FA3496" s="5" t="s">
        <v>240</v>
      </c>
      <c r="FB3496" s="5" t="s">
        <v>240</v>
      </c>
      <c r="FC3496" s="5" t="s">
        <v>240</v>
      </c>
      <c r="FD3496" s="5" t="s">
        <v>240</v>
      </c>
      <c r="FE3496" s="5" t="s">
        <v>240</v>
      </c>
      <c r="FF3496" s="5" t="s">
        <v>240</v>
      </c>
      <c r="FG3496" s="5" t="s">
        <v>240</v>
      </c>
      <c r="FH3496" s="5" t="s">
        <v>240</v>
      </c>
      <c r="FI3496" s="5" t="s">
        <v>240</v>
      </c>
      <c r="FJ3496" s="5" t="s">
        <v>240</v>
      </c>
      <c r="FK3496" s="5" t="s">
        <v>240</v>
      </c>
      <c r="FL3496" s="5" t="s">
        <v>240</v>
      </c>
      <c r="FM3496" s="5" t="s">
        <v>240</v>
      </c>
      <c r="FN3496" s="5" t="s">
        <v>240</v>
      </c>
      <c r="FO3496" s="5" t="s">
        <v>240</v>
      </c>
      <c r="FP3496" s="5" t="s">
        <v>240</v>
      </c>
      <c r="FQ3496" s="5" t="s">
        <v>240</v>
      </c>
      <c r="FR3496" s="5" t="s">
        <v>240</v>
      </c>
      <c r="FS3496" s="5" t="s">
        <v>240</v>
      </c>
      <c r="FT3496" s="5" t="s">
        <v>240</v>
      </c>
      <c r="FU3496" s="5" t="s">
        <v>240</v>
      </c>
      <c r="FV3496" s="5" t="s">
        <v>240</v>
      </c>
      <c r="FW3496" s="5" t="s">
        <v>240</v>
      </c>
      <c r="FX3496" s="5" t="s">
        <v>240</v>
      </c>
      <c r="FY3496" s="5" t="s">
        <v>240</v>
      </c>
      <c r="FZ3496" s="5" t="s">
        <v>240</v>
      </c>
      <c r="GA3496" s="5" t="s">
        <v>240</v>
      </c>
      <c r="GB3496" s="5" t="s">
        <v>240</v>
      </c>
      <c r="GC3496" s="5" t="s">
        <v>240</v>
      </c>
      <c r="GD3496" s="5" t="s">
        <v>240</v>
      </c>
      <c r="GE3496" s="5" t="s">
        <v>240</v>
      </c>
      <c r="GF3496" s="5" t="s">
        <v>240</v>
      </c>
      <c r="GG3496" s="5" t="s">
        <v>240</v>
      </c>
      <c r="GH3496" s="5" t="s">
        <v>240</v>
      </c>
      <c r="GI3496" s="5" t="s">
        <v>240</v>
      </c>
      <c r="GJ3496" s="5" t="s">
        <v>240</v>
      </c>
      <c r="GK3496" s="5" t="s">
        <v>240</v>
      </c>
      <c r="GL3496" s="5" t="s">
        <v>240</v>
      </c>
      <c r="GM3496" s="5" t="s">
        <v>240</v>
      </c>
      <c r="GN3496" s="5" t="s">
        <v>240</v>
      </c>
      <c r="GO3496" s="5" t="s">
        <v>240</v>
      </c>
      <c r="GP3496" s="5" t="s">
        <v>240</v>
      </c>
      <c r="GQ3496" s="5" t="s">
        <v>240</v>
      </c>
      <c r="GR3496" s="5" t="s">
        <v>240</v>
      </c>
      <c r="GS3496" s="5" t="s">
        <v>240</v>
      </c>
      <c r="GT3496" s="5" t="s">
        <v>240</v>
      </c>
      <c r="GU3496" s="5" t="s">
        <v>240</v>
      </c>
      <c r="GV3496" s="5" t="s">
        <v>240</v>
      </c>
      <c r="GW3496" s="5" t="s">
        <v>240</v>
      </c>
      <c r="GX3496" s="5" t="s">
        <v>240</v>
      </c>
      <c r="GY3496" s="5" t="s">
        <v>240</v>
      </c>
      <c r="GZ3496" s="5" t="s">
        <v>240</v>
      </c>
      <c r="HA3496" s="5" t="s">
        <v>240</v>
      </c>
      <c r="HB3496" s="5" t="s">
        <v>240</v>
      </c>
      <c r="HC3496" s="5" t="s">
        <v>240</v>
      </c>
      <c r="HD3496" s="5" t="s">
        <v>240</v>
      </c>
      <c r="HE3496" s="5" t="s">
        <v>240</v>
      </c>
      <c r="HF3496" s="5" t="s">
        <v>240</v>
      </c>
      <c r="HG3496" s="5" t="s">
        <v>240</v>
      </c>
      <c r="HH3496" s="5" t="s">
        <v>240</v>
      </c>
      <c r="HI3496" s="5" t="s">
        <v>240</v>
      </c>
      <c r="HJ3496" s="5" t="s">
        <v>240</v>
      </c>
      <c r="HK3496" s="5" t="s">
        <v>240</v>
      </c>
      <c r="HL3496" s="5" t="s">
        <v>240</v>
      </c>
      <c r="HM3496" s="5" t="s">
        <v>240</v>
      </c>
      <c r="HN3496" s="5" t="s">
        <v>240</v>
      </c>
      <c r="HO3496" s="5" t="s">
        <v>312</v>
      </c>
      <c r="HP3496" s="5" t="s">
        <v>240</v>
      </c>
      <c r="HQ3496" s="5" t="s">
        <v>240</v>
      </c>
      <c r="HR3496" s="5" t="s">
        <v>240</v>
      </c>
      <c r="HS3496" s="5" t="s">
        <v>240</v>
      </c>
      <c r="HT3496" s="5" t="s">
        <v>240</v>
      </c>
      <c r="HU3496" s="5" t="s">
        <v>240</v>
      </c>
      <c r="HV3496" s="5" t="s">
        <v>240</v>
      </c>
      <c r="HW3496" s="5" t="s">
        <v>240</v>
      </c>
      <c r="HX3496" s="5" t="s">
        <v>240</v>
      </c>
      <c r="HY3496" s="5" t="s">
        <v>240</v>
      </c>
      <c r="HZ3496" s="5" t="s">
        <v>240</v>
      </c>
      <c r="IA3496" s="5" t="s">
        <v>240</v>
      </c>
      <c r="IB3496" s="5" t="s">
        <v>240</v>
      </c>
      <c r="IC3496" s="5" t="s">
        <v>240</v>
      </c>
      <c r="ID3496" s="5" t="s">
        <v>240</v>
      </c>
      <c r="IE3496" s="5" t="s">
        <v>240</v>
      </c>
      <c r="IF3496" s="5" t="s">
        <v>240</v>
      </c>
    </row>
    <row r="3497" spans="1:240" x14ac:dyDescent="0.4">
      <c r="A3497" s="5">
        <v>9039</v>
      </c>
      <c r="B3497" s="5">
        <v>1</v>
      </c>
      <c r="C3497" s="5">
        <v>1</v>
      </c>
      <c r="D3497" s="5" t="s">
        <v>723</v>
      </c>
      <c r="E3497" s="5" t="s">
        <v>5060</v>
      </c>
      <c r="F3497" s="5" t="s">
        <v>254</v>
      </c>
      <c r="G3497" s="5" t="s">
        <v>5061</v>
      </c>
      <c r="H3497" s="6" t="s">
        <v>5968</v>
      </c>
      <c r="I3497" s="5" t="s">
        <v>5967</v>
      </c>
      <c r="J3497" s="7">
        <f>1</f>
        <v>1</v>
      </c>
      <c r="K3497" s="5" t="s">
        <v>3682</v>
      </c>
      <c r="L3497" s="7">
        <f>1</f>
        <v>1</v>
      </c>
      <c r="M3497" s="7">
        <f>1</f>
        <v>1</v>
      </c>
      <c r="N3497" s="5" t="s">
        <v>242</v>
      </c>
      <c r="O3497" s="5">
        <v>1</v>
      </c>
      <c r="P3497" s="5" t="s">
        <v>294</v>
      </c>
      <c r="Q3497" s="5" t="s">
        <v>613</v>
      </c>
      <c r="R3497" s="5" t="s">
        <v>240</v>
      </c>
      <c r="S3497" s="5" t="s">
        <v>240</v>
      </c>
      <c r="T3497" s="5" t="s">
        <v>243</v>
      </c>
      <c r="U3497" s="5" t="s">
        <v>724</v>
      </c>
      <c r="V3497" s="5" t="s">
        <v>240</v>
      </c>
      <c r="W3497" s="5" t="s">
        <v>240</v>
      </c>
      <c r="X3497" s="5" t="s">
        <v>240</v>
      </c>
      <c r="Y3497" s="5" t="s">
        <v>240</v>
      </c>
      <c r="Z3497" s="6" t="s">
        <v>298</v>
      </c>
      <c r="AA3497" s="6" t="s">
        <v>240</v>
      </c>
      <c r="AB3497" s="6" t="s">
        <v>240</v>
      </c>
      <c r="AC3497" s="5" t="s">
        <v>240</v>
      </c>
      <c r="AD3497" s="6" t="s">
        <v>240</v>
      </c>
      <c r="AE3497" s="6" t="s">
        <v>299</v>
      </c>
      <c r="AF3497" s="5" t="s">
        <v>727</v>
      </c>
      <c r="AG3497" s="5" t="s">
        <v>260</v>
      </c>
      <c r="AH3497" s="5" t="s">
        <v>240</v>
      </c>
      <c r="AI3497" s="5" t="s">
        <v>240</v>
      </c>
      <c r="AJ3497" s="5" t="s">
        <v>240</v>
      </c>
      <c r="AK3497" s="5" t="s">
        <v>240</v>
      </c>
      <c r="AL3497" s="5" t="s">
        <v>240</v>
      </c>
      <c r="AM3497" s="5" t="s">
        <v>240</v>
      </c>
      <c r="AN3497" s="5" t="s">
        <v>240</v>
      </c>
      <c r="AO3497" s="5" t="s">
        <v>240</v>
      </c>
      <c r="AP3497" s="6" t="s">
        <v>240</v>
      </c>
      <c r="AQ3497" s="6" t="s">
        <v>240</v>
      </c>
      <c r="AR3497" s="6" t="s">
        <v>240</v>
      </c>
      <c r="AS3497" s="6" t="s">
        <v>240</v>
      </c>
      <c r="AT3497" s="5" t="s">
        <v>240</v>
      </c>
      <c r="AU3497" s="5" t="s">
        <v>729</v>
      </c>
      <c r="AV3497" s="5" t="s">
        <v>729</v>
      </c>
      <c r="AW3497" s="5" t="s">
        <v>251</v>
      </c>
      <c r="AX3497" s="5" t="s">
        <v>252</v>
      </c>
      <c r="AY3497" s="5" t="s">
        <v>253</v>
      </c>
      <c r="AZ3497" s="5" t="s">
        <v>240</v>
      </c>
      <c r="BA3497" s="5" t="s">
        <v>255</v>
      </c>
      <c r="BB3497" s="5" t="s">
        <v>731</v>
      </c>
      <c r="BD3497" s="5" t="s">
        <v>240</v>
      </c>
      <c r="BF3497" s="5" t="s">
        <v>732</v>
      </c>
      <c r="BG3497" s="6" t="s">
        <v>733</v>
      </c>
      <c r="BH3497" s="5" t="s">
        <v>734</v>
      </c>
      <c r="BI3497" s="5" t="s">
        <v>734</v>
      </c>
      <c r="BJ3497" s="5" t="s">
        <v>240</v>
      </c>
      <c r="BK3497" s="8">
        <f>1439</f>
        <v>1439</v>
      </c>
      <c r="BL3497" s="7">
        <f>0</f>
        <v>0</v>
      </c>
      <c r="BM3497" s="5" t="s">
        <v>258</v>
      </c>
      <c r="BN3497" s="5" t="s">
        <v>259</v>
      </c>
      <c r="BO3497" s="5" t="s">
        <v>240</v>
      </c>
      <c r="BP3497" s="5" t="s">
        <v>240</v>
      </c>
      <c r="BQ3497" s="5" t="s">
        <v>240</v>
      </c>
      <c r="BR3497" s="5" t="s">
        <v>240</v>
      </c>
      <c r="BS3497" s="5" t="s">
        <v>240</v>
      </c>
      <c r="BT3497" s="5" t="s">
        <v>240</v>
      </c>
      <c r="BU3497" s="5" t="s">
        <v>240</v>
      </c>
      <c r="BV3497" s="5" t="s">
        <v>240</v>
      </c>
      <c r="BW3497" s="6" t="s">
        <v>240</v>
      </c>
      <c r="BX3497" s="5" t="s">
        <v>240</v>
      </c>
      <c r="BY3497" s="5" t="s">
        <v>240</v>
      </c>
      <c r="BZ3497" s="5" t="s">
        <v>240</v>
      </c>
      <c r="CA3497" s="5" t="s">
        <v>259</v>
      </c>
      <c r="CB3497" s="5" t="s">
        <v>240</v>
      </c>
      <c r="CC3497" s="5" t="s">
        <v>240</v>
      </c>
      <c r="CD3497" s="5" t="s">
        <v>240</v>
      </c>
      <c r="CE3497" s="5" t="s">
        <v>240</v>
      </c>
      <c r="CF3497" s="5" t="s">
        <v>240</v>
      </c>
      <c r="CG3497" s="5" t="s">
        <v>617</v>
      </c>
      <c r="CH3497" s="5" t="s">
        <v>305</v>
      </c>
      <c r="CI3497" s="5" t="s">
        <v>240</v>
      </c>
      <c r="CL3497" s="6" t="s">
        <v>261</v>
      </c>
      <c r="CM3497" s="5" t="s">
        <v>262</v>
      </c>
      <c r="CN3497" s="5" t="s">
        <v>263</v>
      </c>
      <c r="CO3497" s="5" t="s">
        <v>264</v>
      </c>
      <c r="CP3497" s="5" t="s">
        <v>240</v>
      </c>
      <c r="CQ3497" s="5">
        <v>0</v>
      </c>
      <c r="CR3497" s="5" t="s">
        <v>735</v>
      </c>
      <c r="CS3497" s="5" t="s">
        <v>307</v>
      </c>
      <c r="CT3497" s="5" t="s">
        <v>307</v>
      </c>
      <c r="CU3497" s="5" t="s">
        <v>260</v>
      </c>
      <c r="CV3497" s="5" t="s">
        <v>240</v>
      </c>
      <c r="CW3497" s="8">
        <f>0</f>
        <v>0</v>
      </c>
      <c r="CX3497" s="7">
        <f>0</f>
        <v>0</v>
      </c>
      <c r="CY3497" s="7">
        <f>0</f>
        <v>0</v>
      </c>
      <c r="DA3497" s="7">
        <f>15829</f>
        <v>15829</v>
      </c>
      <c r="DB3497" s="7" t="s">
        <v>240</v>
      </c>
      <c r="DC3497" s="5" t="s">
        <v>240</v>
      </c>
      <c r="DD3497" s="5" t="s">
        <v>240</v>
      </c>
      <c r="DE3497" s="5" t="s">
        <v>240</v>
      </c>
      <c r="DF3497" s="5" t="s">
        <v>450</v>
      </c>
      <c r="DG3497" s="7">
        <f>0</f>
        <v>0</v>
      </c>
      <c r="DI3497" s="5" t="s">
        <v>737</v>
      </c>
      <c r="DJ3497" s="5" t="s">
        <v>240</v>
      </c>
      <c r="DK3497" s="5" t="s">
        <v>240</v>
      </c>
      <c r="DL3497" s="5" t="s">
        <v>240</v>
      </c>
      <c r="DM3497" s="5" t="s">
        <v>240</v>
      </c>
      <c r="DN3497" s="5" t="s">
        <v>240</v>
      </c>
      <c r="DO3497" s="7" t="s">
        <v>240</v>
      </c>
      <c r="DP3497" s="5" t="s">
        <v>240</v>
      </c>
      <c r="DQ3497" s="5" t="s">
        <v>240</v>
      </c>
      <c r="DR3497" s="5" t="s">
        <v>731</v>
      </c>
      <c r="DS3497" s="5" t="s">
        <v>731</v>
      </c>
      <c r="DT3497" s="5" t="s">
        <v>240</v>
      </c>
      <c r="DU3497" s="5" t="s">
        <v>240</v>
      </c>
      <c r="DV3497" s="5" t="s">
        <v>738</v>
      </c>
      <c r="DW3497" s="5" t="s">
        <v>793</v>
      </c>
      <c r="DX3497" s="5" t="s">
        <v>240</v>
      </c>
      <c r="DY3497" s="5" t="s">
        <v>240</v>
      </c>
      <c r="DZ3497" s="5" t="s">
        <v>240</v>
      </c>
      <c r="EA3497" s="5" t="s">
        <v>240</v>
      </c>
      <c r="EB3497" s="5" t="s">
        <v>240</v>
      </c>
      <c r="EC3497" s="5" t="s">
        <v>240</v>
      </c>
      <c r="ED3497" s="5" t="s">
        <v>240</v>
      </c>
      <c r="EE3497" s="5" t="s">
        <v>240</v>
      </c>
      <c r="EF3497" s="5" t="s">
        <v>240</v>
      </c>
      <c r="EG3497" s="5" t="s">
        <v>240</v>
      </c>
      <c r="EH3497" s="5" t="s">
        <v>240</v>
      </c>
      <c r="EI3497" s="5" t="s">
        <v>240</v>
      </c>
      <c r="EJ3497" s="5" t="s">
        <v>240</v>
      </c>
      <c r="EK3497" s="5" t="s">
        <v>240</v>
      </c>
      <c r="EL3497" s="5" t="s">
        <v>240</v>
      </c>
      <c r="EM3497" s="5" t="s">
        <v>240</v>
      </c>
      <c r="EN3497" s="5" t="s">
        <v>240</v>
      </c>
      <c r="EO3497" s="5" t="s">
        <v>240</v>
      </c>
      <c r="EP3497" s="5" t="s">
        <v>240</v>
      </c>
      <c r="EQ3497" s="5" t="s">
        <v>240</v>
      </c>
      <c r="ER3497" s="5" t="s">
        <v>240</v>
      </c>
      <c r="ES3497" s="5" t="s">
        <v>240</v>
      </c>
      <c r="ET3497" s="5" t="s">
        <v>240</v>
      </c>
      <c r="EU3497" s="5" t="s">
        <v>240</v>
      </c>
      <c r="EV3497" s="5" t="s">
        <v>240</v>
      </c>
      <c r="EW3497" s="5" t="s">
        <v>240</v>
      </c>
      <c r="EX3497" s="5" t="s">
        <v>240</v>
      </c>
      <c r="EY3497" s="5" t="s">
        <v>240</v>
      </c>
      <c r="EZ3497" s="5" t="s">
        <v>240</v>
      </c>
      <c r="FA3497" s="5" t="s">
        <v>240</v>
      </c>
      <c r="FB3497" s="5" t="s">
        <v>240</v>
      </c>
      <c r="FC3497" s="5" t="s">
        <v>240</v>
      </c>
      <c r="FD3497" s="5" t="s">
        <v>240</v>
      </c>
      <c r="FE3497" s="5" t="s">
        <v>240</v>
      </c>
      <c r="FF3497" s="5" t="s">
        <v>240</v>
      </c>
      <c r="FG3497" s="5" t="s">
        <v>240</v>
      </c>
      <c r="FH3497" s="5" t="s">
        <v>240</v>
      </c>
      <c r="FI3497" s="5" t="s">
        <v>240</v>
      </c>
      <c r="FJ3497" s="5" t="s">
        <v>240</v>
      </c>
      <c r="FK3497" s="5" t="s">
        <v>240</v>
      </c>
      <c r="FL3497" s="5" t="s">
        <v>240</v>
      </c>
      <c r="FM3497" s="5" t="s">
        <v>240</v>
      </c>
      <c r="FN3497" s="5" t="s">
        <v>240</v>
      </c>
      <c r="FO3497" s="5" t="s">
        <v>240</v>
      </c>
      <c r="FP3497" s="5" t="s">
        <v>240</v>
      </c>
      <c r="FQ3497" s="5" t="s">
        <v>240</v>
      </c>
      <c r="FR3497" s="5" t="s">
        <v>240</v>
      </c>
      <c r="FS3497" s="5" t="s">
        <v>240</v>
      </c>
      <c r="FT3497" s="5" t="s">
        <v>240</v>
      </c>
      <c r="FU3497" s="5" t="s">
        <v>240</v>
      </c>
      <c r="FV3497" s="5" t="s">
        <v>240</v>
      </c>
      <c r="FW3497" s="5" t="s">
        <v>240</v>
      </c>
      <c r="FX3497" s="5" t="s">
        <v>240</v>
      </c>
      <c r="FY3497" s="5" t="s">
        <v>240</v>
      </c>
      <c r="FZ3497" s="5" t="s">
        <v>240</v>
      </c>
      <c r="GA3497" s="5" t="s">
        <v>240</v>
      </c>
      <c r="GB3497" s="5" t="s">
        <v>240</v>
      </c>
      <c r="GC3497" s="5" t="s">
        <v>240</v>
      </c>
      <c r="GD3497" s="5" t="s">
        <v>240</v>
      </c>
      <c r="GE3497" s="5" t="s">
        <v>240</v>
      </c>
      <c r="GF3497" s="5" t="s">
        <v>240</v>
      </c>
      <c r="GG3497" s="5" t="s">
        <v>240</v>
      </c>
      <c r="GH3497" s="5" t="s">
        <v>240</v>
      </c>
      <c r="GI3497" s="5" t="s">
        <v>240</v>
      </c>
      <c r="GJ3497" s="5" t="s">
        <v>240</v>
      </c>
      <c r="GK3497" s="5" t="s">
        <v>240</v>
      </c>
      <c r="GL3497" s="5" t="s">
        <v>240</v>
      </c>
      <c r="GM3497" s="5" t="s">
        <v>240</v>
      </c>
      <c r="GN3497" s="5" t="s">
        <v>240</v>
      </c>
      <c r="GO3497" s="5" t="s">
        <v>240</v>
      </c>
      <c r="GP3497" s="5" t="s">
        <v>240</v>
      </c>
      <c r="GQ3497" s="5" t="s">
        <v>240</v>
      </c>
      <c r="GR3497" s="5" t="s">
        <v>240</v>
      </c>
      <c r="GS3497" s="5" t="s">
        <v>240</v>
      </c>
      <c r="GT3497" s="5" t="s">
        <v>240</v>
      </c>
      <c r="GU3497" s="5" t="s">
        <v>240</v>
      </c>
      <c r="GV3497" s="5" t="s">
        <v>240</v>
      </c>
      <c r="GW3497" s="5" t="s">
        <v>240</v>
      </c>
      <c r="GX3497" s="5" t="s">
        <v>240</v>
      </c>
      <c r="GY3497" s="5" t="s">
        <v>240</v>
      </c>
      <c r="GZ3497" s="5" t="s">
        <v>240</v>
      </c>
      <c r="HA3497" s="5" t="s">
        <v>240</v>
      </c>
      <c r="HB3497" s="5" t="s">
        <v>240</v>
      </c>
      <c r="HC3497" s="5" t="s">
        <v>240</v>
      </c>
      <c r="HD3497" s="5" t="s">
        <v>240</v>
      </c>
      <c r="HE3497" s="5" t="s">
        <v>240</v>
      </c>
      <c r="HF3497" s="5" t="s">
        <v>240</v>
      </c>
      <c r="HG3497" s="5" t="s">
        <v>240</v>
      </c>
      <c r="HH3497" s="5" t="s">
        <v>240</v>
      </c>
      <c r="HI3497" s="5" t="s">
        <v>240</v>
      </c>
      <c r="HJ3497" s="5" t="s">
        <v>240</v>
      </c>
      <c r="HK3497" s="5" t="s">
        <v>240</v>
      </c>
      <c r="HL3497" s="5" t="s">
        <v>240</v>
      </c>
      <c r="HM3497" s="5" t="s">
        <v>240</v>
      </c>
      <c r="HN3497" s="5" t="s">
        <v>240</v>
      </c>
      <c r="HO3497" s="5" t="s">
        <v>312</v>
      </c>
      <c r="HP3497" s="5" t="s">
        <v>240</v>
      </c>
      <c r="HQ3497" s="5" t="s">
        <v>240</v>
      </c>
      <c r="HR3497" s="5" t="s">
        <v>240</v>
      </c>
      <c r="HS3497" s="5" t="s">
        <v>240</v>
      </c>
      <c r="HT3497" s="5" t="s">
        <v>240</v>
      </c>
      <c r="HU3497" s="5" t="s">
        <v>240</v>
      </c>
      <c r="HV3497" s="5" t="s">
        <v>240</v>
      </c>
      <c r="HW3497" s="5" t="s">
        <v>240</v>
      </c>
      <c r="HX3497" s="5" t="s">
        <v>240</v>
      </c>
      <c r="HY3497" s="5" t="s">
        <v>240</v>
      </c>
      <c r="HZ3497" s="5" t="s">
        <v>240</v>
      </c>
      <c r="IA3497" s="5" t="s">
        <v>240</v>
      </c>
      <c r="IB3497" s="5" t="s">
        <v>240</v>
      </c>
      <c r="IC3497" s="5" t="s">
        <v>240</v>
      </c>
      <c r="ID3497" s="5" t="s">
        <v>240</v>
      </c>
      <c r="IE3497" s="5" t="s">
        <v>240</v>
      </c>
      <c r="IF3497" s="5" t="s">
        <v>240</v>
      </c>
    </row>
    <row r="3498" spans="1:240" x14ac:dyDescent="0.4">
      <c r="A3498" s="5">
        <v>9040</v>
      </c>
      <c r="B3498" s="5">
        <v>1</v>
      </c>
      <c r="C3498" s="5">
        <v>1</v>
      </c>
      <c r="D3498" s="5" t="s">
        <v>723</v>
      </c>
      <c r="E3498" s="5" t="s">
        <v>5060</v>
      </c>
      <c r="F3498" s="5" t="s">
        <v>254</v>
      </c>
      <c r="G3498" s="5" t="s">
        <v>5061</v>
      </c>
      <c r="H3498" s="6" t="s">
        <v>5955</v>
      </c>
      <c r="I3498" s="5" t="s">
        <v>5954</v>
      </c>
      <c r="J3498" s="7">
        <f>1</f>
        <v>1</v>
      </c>
      <c r="K3498" s="5" t="s">
        <v>3682</v>
      </c>
      <c r="L3498" s="7">
        <f>1</f>
        <v>1</v>
      </c>
      <c r="M3498" s="7">
        <f>1</f>
        <v>1</v>
      </c>
      <c r="N3498" s="5" t="s">
        <v>242</v>
      </c>
      <c r="O3498" s="5">
        <v>1</v>
      </c>
      <c r="P3498" s="5" t="s">
        <v>294</v>
      </c>
      <c r="Q3498" s="5" t="s">
        <v>613</v>
      </c>
      <c r="R3498" s="5" t="s">
        <v>240</v>
      </c>
      <c r="S3498" s="5" t="s">
        <v>240</v>
      </c>
      <c r="T3498" s="5" t="s">
        <v>243</v>
      </c>
      <c r="U3498" s="5" t="s">
        <v>724</v>
      </c>
      <c r="V3498" s="5" t="s">
        <v>240</v>
      </c>
      <c r="W3498" s="5" t="s">
        <v>240</v>
      </c>
      <c r="X3498" s="5" t="s">
        <v>240</v>
      </c>
      <c r="Y3498" s="5" t="s">
        <v>240</v>
      </c>
      <c r="Z3498" s="6" t="s">
        <v>298</v>
      </c>
      <c r="AA3498" s="6" t="s">
        <v>240</v>
      </c>
      <c r="AB3498" s="6" t="s">
        <v>240</v>
      </c>
      <c r="AC3498" s="5" t="s">
        <v>240</v>
      </c>
      <c r="AD3498" s="6" t="s">
        <v>240</v>
      </c>
      <c r="AE3498" s="6" t="s">
        <v>299</v>
      </c>
      <c r="AF3498" s="5" t="s">
        <v>727</v>
      </c>
      <c r="AG3498" s="5" t="s">
        <v>260</v>
      </c>
      <c r="AH3498" s="5" t="s">
        <v>240</v>
      </c>
      <c r="AI3498" s="5" t="s">
        <v>240</v>
      </c>
      <c r="AJ3498" s="5" t="s">
        <v>240</v>
      </c>
      <c r="AK3498" s="5" t="s">
        <v>240</v>
      </c>
      <c r="AL3498" s="5" t="s">
        <v>240</v>
      </c>
      <c r="AM3498" s="5" t="s">
        <v>240</v>
      </c>
      <c r="AN3498" s="5" t="s">
        <v>240</v>
      </c>
      <c r="AO3498" s="5" t="s">
        <v>240</v>
      </c>
      <c r="AP3498" s="6" t="s">
        <v>240</v>
      </c>
      <c r="AQ3498" s="6" t="s">
        <v>240</v>
      </c>
      <c r="AR3498" s="6" t="s">
        <v>240</v>
      </c>
      <c r="AS3498" s="6" t="s">
        <v>240</v>
      </c>
      <c r="AT3498" s="5" t="s">
        <v>240</v>
      </c>
      <c r="AU3498" s="5" t="s">
        <v>729</v>
      </c>
      <c r="AV3498" s="5" t="s">
        <v>729</v>
      </c>
      <c r="AW3498" s="5" t="s">
        <v>251</v>
      </c>
      <c r="AX3498" s="5" t="s">
        <v>252</v>
      </c>
      <c r="AY3498" s="5" t="s">
        <v>253</v>
      </c>
      <c r="AZ3498" s="5" t="s">
        <v>240</v>
      </c>
      <c r="BA3498" s="5" t="s">
        <v>255</v>
      </c>
      <c r="BB3498" s="5" t="s">
        <v>731</v>
      </c>
      <c r="BD3498" s="5" t="s">
        <v>240</v>
      </c>
      <c r="BF3498" s="5" t="s">
        <v>732</v>
      </c>
      <c r="BG3498" s="6" t="s">
        <v>733</v>
      </c>
      <c r="BH3498" s="5" t="s">
        <v>734</v>
      </c>
      <c r="BI3498" s="5" t="s">
        <v>734</v>
      </c>
      <c r="BJ3498" s="5" t="s">
        <v>240</v>
      </c>
      <c r="BK3498" s="8">
        <f>83.8</f>
        <v>83.8</v>
      </c>
      <c r="BL3498" s="7">
        <f>0</f>
        <v>0</v>
      </c>
      <c r="BM3498" s="5" t="s">
        <v>258</v>
      </c>
      <c r="BN3498" s="5" t="s">
        <v>259</v>
      </c>
      <c r="BO3498" s="5" t="s">
        <v>240</v>
      </c>
      <c r="BP3498" s="5" t="s">
        <v>240</v>
      </c>
      <c r="BQ3498" s="5" t="s">
        <v>240</v>
      </c>
      <c r="BR3498" s="5" t="s">
        <v>240</v>
      </c>
      <c r="BS3498" s="5" t="s">
        <v>240</v>
      </c>
      <c r="BT3498" s="5" t="s">
        <v>240</v>
      </c>
      <c r="BU3498" s="5" t="s">
        <v>240</v>
      </c>
      <c r="BV3498" s="5" t="s">
        <v>240</v>
      </c>
      <c r="BW3498" s="6" t="s">
        <v>240</v>
      </c>
      <c r="BX3498" s="5" t="s">
        <v>240</v>
      </c>
      <c r="BY3498" s="5" t="s">
        <v>240</v>
      </c>
      <c r="BZ3498" s="5" t="s">
        <v>240</v>
      </c>
      <c r="CA3498" s="5" t="s">
        <v>259</v>
      </c>
      <c r="CB3498" s="5" t="s">
        <v>240</v>
      </c>
      <c r="CC3498" s="5" t="s">
        <v>240</v>
      </c>
      <c r="CD3498" s="5" t="s">
        <v>240</v>
      </c>
      <c r="CE3498" s="5" t="s">
        <v>240</v>
      </c>
      <c r="CF3498" s="5" t="s">
        <v>240</v>
      </c>
      <c r="CG3498" s="5" t="s">
        <v>617</v>
      </c>
      <c r="CH3498" s="5" t="s">
        <v>305</v>
      </c>
      <c r="CI3498" s="5" t="s">
        <v>240</v>
      </c>
      <c r="CL3498" s="6" t="s">
        <v>261</v>
      </c>
      <c r="CM3498" s="5" t="s">
        <v>262</v>
      </c>
      <c r="CN3498" s="5" t="s">
        <v>263</v>
      </c>
      <c r="CO3498" s="5" t="s">
        <v>264</v>
      </c>
      <c r="CP3498" s="5" t="s">
        <v>240</v>
      </c>
      <c r="CQ3498" s="5">
        <v>0</v>
      </c>
      <c r="CR3498" s="5" t="s">
        <v>735</v>
      </c>
      <c r="CS3498" s="5" t="s">
        <v>307</v>
      </c>
      <c r="CT3498" s="5" t="s">
        <v>307</v>
      </c>
      <c r="CU3498" s="5" t="s">
        <v>260</v>
      </c>
      <c r="CV3498" s="5" t="s">
        <v>240</v>
      </c>
      <c r="CW3498" s="8">
        <f>0</f>
        <v>0</v>
      </c>
      <c r="CX3498" s="7">
        <f>0</f>
        <v>0</v>
      </c>
      <c r="CY3498" s="7">
        <f>0</f>
        <v>0</v>
      </c>
      <c r="DA3498" s="7">
        <f>921</f>
        <v>921</v>
      </c>
      <c r="DB3498" s="7" t="s">
        <v>240</v>
      </c>
      <c r="DC3498" s="5" t="s">
        <v>240</v>
      </c>
      <c r="DD3498" s="5" t="s">
        <v>240</v>
      </c>
      <c r="DE3498" s="5" t="s">
        <v>240</v>
      </c>
      <c r="DF3498" s="5" t="s">
        <v>450</v>
      </c>
      <c r="DG3498" s="7">
        <f>0</f>
        <v>0</v>
      </c>
      <c r="DI3498" s="5" t="s">
        <v>737</v>
      </c>
      <c r="DJ3498" s="5" t="s">
        <v>240</v>
      </c>
      <c r="DK3498" s="5" t="s">
        <v>240</v>
      </c>
      <c r="DL3498" s="5" t="s">
        <v>240</v>
      </c>
      <c r="DM3498" s="5" t="s">
        <v>240</v>
      </c>
      <c r="DN3498" s="5" t="s">
        <v>240</v>
      </c>
      <c r="DO3498" s="7" t="s">
        <v>240</v>
      </c>
      <c r="DP3498" s="5" t="s">
        <v>240</v>
      </c>
      <c r="DQ3498" s="5" t="s">
        <v>240</v>
      </c>
      <c r="DR3498" s="5" t="s">
        <v>731</v>
      </c>
      <c r="DS3498" s="5" t="s">
        <v>731</v>
      </c>
      <c r="DT3498" s="5" t="s">
        <v>240</v>
      </c>
      <c r="DU3498" s="5" t="s">
        <v>240</v>
      </c>
      <c r="DV3498" s="5" t="s">
        <v>738</v>
      </c>
      <c r="DW3498" s="5" t="s">
        <v>592</v>
      </c>
      <c r="DX3498" s="5" t="s">
        <v>240</v>
      </c>
      <c r="DY3498" s="5" t="s">
        <v>240</v>
      </c>
      <c r="DZ3498" s="5" t="s">
        <v>240</v>
      </c>
      <c r="EA3498" s="5" t="s">
        <v>240</v>
      </c>
      <c r="EB3498" s="5" t="s">
        <v>240</v>
      </c>
      <c r="EC3498" s="5" t="s">
        <v>240</v>
      </c>
      <c r="ED3498" s="5" t="s">
        <v>240</v>
      </c>
      <c r="EE3498" s="5" t="s">
        <v>240</v>
      </c>
      <c r="EF3498" s="5" t="s">
        <v>240</v>
      </c>
      <c r="EG3498" s="5" t="s">
        <v>240</v>
      </c>
      <c r="EH3498" s="5" t="s">
        <v>240</v>
      </c>
      <c r="EI3498" s="5" t="s">
        <v>240</v>
      </c>
      <c r="EJ3498" s="5" t="s">
        <v>240</v>
      </c>
      <c r="EK3498" s="5" t="s">
        <v>240</v>
      </c>
      <c r="EL3498" s="5" t="s">
        <v>240</v>
      </c>
      <c r="EM3498" s="5" t="s">
        <v>240</v>
      </c>
      <c r="EN3498" s="5" t="s">
        <v>240</v>
      </c>
      <c r="EO3498" s="5" t="s">
        <v>240</v>
      </c>
      <c r="EP3498" s="5" t="s">
        <v>240</v>
      </c>
      <c r="EQ3498" s="5" t="s">
        <v>240</v>
      </c>
      <c r="ER3498" s="5" t="s">
        <v>240</v>
      </c>
      <c r="ES3498" s="5" t="s">
        <v>240</v>
      </c>
      <c r="ET3498" s="5" t="s">
        <v>240</v>
      </c>
      <c r="EU3498" s="5" t="s">
        <v>240</v>
      </c>
      <c r="EV3498" s="5" t="s">
        <v>240</v>
      </c>
      <c r="EW3498" s="5" t="s">
        <v>240</v>
      </c>
      <c r="EX3498" s="5" t="s">
        <v>240</v>
      </c>
      <c r="EY3498" s="5" t="s">
        <v>240</v>
      </c>
      <c r="EZ3498" s="5" t="s">
        <v>240</v>
      </c>
      <c r="FA3498" s="5" t="s">
        <v>240</v>
      </c>
      <c r="FB3498" s="5" t="s">
        <v>240</v>
      </c>
      <c r="FC3498" s="5" t="s">
        <v>240</v>
      </c>
      <c r="FD3498" s="5" t="s">
        <v>240</v>
      </c>
      <c r="FE3498" s="5" t="s">
        <v>240</v>
      </c>
      <c r="FF3498" s="5" t="s">
        <v>240</v>
      </c>
      <c r="FG3498" s="5" t="s">
        <v>240</v>
      </c>
      <c r="FH3498" s="5" t="s">
        <v>240</v>
      </c>
      <c r="FI3498" s="5" t="s">
        <v>240</v>
      </c>
      <c r="FJ3498" s="5" t="s">
        <v>240</v>
      </c>
      <c r="FK3498" s="5" t="s">
        <v>240</v>
      </c>
      <c r="FL3498" s="5" t="s">
        <v>240</v>
      </c>
      <c r="FM3498" s="5" t="s">
        <v>240</v>
      </c>
      <c r="FN3498" s="5" t="s">
        <v>240</v>
      </c>
      <c r="FO3498" s="5" t="s">
        <v>240</v>
      </c>
      <c r="FP3498" s="5" t="s">
        <v>240</v>
      </c>
      <c r="FQ3498" s="5" t="s">
        <v>240</v>
      </c>
      <c r="FR3498" s="5" t="s">
        <v>240</v>
      </c>
      <c r="FS3498" s="5" t="s">
        <v>240</v>
      </c>
      <c r="FT3498" s="5" t="s">
        <v>240</v>
      </c>
      <c r="FU3498" s="5" t="s">
        <v>240</v>
      </c>
      <c r="FV3498" s="5" t="s">
        <v>240</v>
      </c>
      <c r="FW3498" s="5" t="s">
        <v>240</v>
      </c>
      <c r="FX3498" s="5" t="s">
        <v>240</v>
      </c>
      <c r="FY3498" s="5" t="s">
        <v>240</v>
      </c>
      <c r="FZ3498" s="5" t="s">
        <v>240</v>
      </c>
      <c r="GA3498" s="5" t="s">
        <v>240</v>
      </c>
      <c r="GB3498" s="5" t="s">
        <v>240</v>
      </c>
      <c r="GC3498" s="5" t="s">
        <v>240</v>
      </c>
      <c r="GD3498" s="5" t="s">
        <v>240</v>
      </c>
      <c r="GE3498" s="5" t="s">
        <v>240</v>
      </c>
      <c r="GF3498" s="5" t="s">
        <v>240</v>
      </c>
      <c r="GG3498" s="5" t="s">
        <v>240</v>
      </c>
      <c r="GH3498" s="5" t="s">
        <v>240</v>
      </c>
      <c r="GI3498" s="5" t="s">
        <v>240</v>
      </c>
      <c r="GJ3498" s="5" t="s">
        <v>240</v>
      </c>
      <c r="GK3498" s="5" t="s">
        <v>240</v>
      </c>
      <c r="GL3498" s="5" t="s">
        <v>240</v>
      </c>
      <c r="GM3498" s="5" t="s">
        <v>240</v>
      </c>
      <c r="GN3498" s="5" t="s">
        <v>240</v>
      </c>
      <c r="GO3498" s="5" t="s">
        <v>240</v>
      </c>
      <c r="GP3498" s="5" t="s">
        <v>240</v>
      </c>
      <c r="GQ3498" s="5" t="s">
        <v>240</v>
      </c>
      <c r="GR3498" s="5" t="s">
        <v>240</v>
      </c>
      <c r="GS3498" s="5" t="s">
        <v>240</v>
      </c>
      <c r="GT3498" s="5" t="s">
        <v>240</v>
      </c>
      <c r="GU3498" s="5" t="s">
        <v>240</v>
      </c>
      <c r="GV3498" s="5" t="s">
        <v>240</v>
      </c>
      <c r="GW3498" s="5" t="s">
        <v>240</v>
      </c>
      <c r="GX3498" s="5" t="s">
        <v>240</v>
      </c>
      <c r="GY3498" s="5" t="s">
        <v>240</v>
      </c>
      <c r="GZ3498" s="5" t="s">
        <v>240</v>
      </c>
      <c r="HA3498" s="5" t="s">
        <v>240</v>
      </c>
      <c r="HB3498" s="5" t="s">
        <v>240</v>
      </c>
      <c r="HC3498" s="5" t="s">
        <v>240</v>
      </c>
      <c r="HD3498" s="5" t="s">
        <v>240</v>
      </c>
      <c r="HE3498" s="5" t="s">
        <v>240</v>
      </c>
      <c r="HF3498" s="5" t="s">
        <v>240</v>
      </c>
      <c r="HG3498" s="5" t="s">
        <v>240</v>
      </c>
      <c r="HH3498" s="5" t="s">
        <v>240</v>
      </c>
      <c r="HI3498" s="5" t="s">
        <v>240</v>
      </c>
      <c r="HJ3498" s="5" t="s">
        <v>240</v>
      </c>
      <c r="HK3498" s="5" t="s">
        <v>240</v>
      </c>
      <c r="HL3498" s="5" t="s">
        <v>240</v>
      </c>
      <c r="HM3498" s="5" t="s">
        <v>240</v>
      </c>
      <c r="HN3498" s="5" t="s">
        <v>240</v>
      </c>
      <c r="HO3498" s="5" t="s">
        <v>620</v>
      </c>
      <c r="HP3498" s="5" t="s">
        <v>240</v>
      </c>
      <c r="HQ3498" s="5" t="s">
        <v>240</v>
      </c>
      <c r="HR3498" s="5" t="s">
        <v>240</v>
      </c>
      <c r="HS3498" s="5" t="s">
        <v>240</v>
      </c>
      <c r="HT3498" s="5" t="s">
        <v>240</v>
      </c>
      <c r="HU3498" s="5" t="s">
        <v>240</v>
      </c>
      <c r="HV3498" s="5" t="s">
        <v>240</v>
      </c>
      <c r="HW3498" s="5" t="s">
        <v>240</v>
      </c>
      <c r="HX3498" s="5" t="s">
        <v>240</v>
      </c>
      <c r="HY3498" s="5" t="s">
        <v>240</v>
      </c>
      <c r="HZ3498" s="5" t="s">
        <v>240</v>
      </c>
      <c r="IA3498" s="5" t="s">
        <v>240</v>
      </c>
      <c r="IB3498" s="5" t="s">
        <v>240</v>
      </c>
      <c r="IC3498" s="5" t="s">
        <v>240</v>
      </c>
      <c r="ID3498" s="5" t="s">
        <v>240</v>
      </c>
      <c r="IE3498" s="5" t="s">
        <v>240</v>
      </c>
      <c r="IF3498" s="5" t="s">
        <v>240</v>
      </c>
    </row>
    <row r="3499" spans="1:240" x14ac:dyDescent="0.4">
      <c r="A3499" s="5">
        <v>9041</v>
      </c>
      <c r="B3499" s="5">
        <v>1</v>
      </c>
      <c r="C3499" s="5">
        <v>1</v>
      </c>
      <c r="D3499" s="5" t="s">
        <v>723</v>
      </c>
      <c r="E3499" s="5" t="s">
        <v>5060</v>
      </c>
      <c r="F3499" s="5" t="s">
        <v>254</v>
      </c>
      <c r="G3499" s="5" t="s">
        <v>5061</v>
      </c>
      <c r="H3499" s="6" t="s">
        <v>6076</v>
      </c>
      <c r="I3499" s="5" t="s">
        <v>6075</v>
      </c>
      <c r="J3499" s="7">
        <f>1</f>
        <v>1</v>
      </c>
      <c r="K3499" s="5" t="s">
        <v>3682</v>
      </c>
      <c r="L3499" s="7">
        <f>1</f>
        <v>1</v>
      </c>
      <c r="M3499" s="7">
        <f>1</f>
        <v>1</v>
      </c>
      <c r="N3499" s="5" t="s">
        <v>242</v>
      </c>
      <c r="O3499" s="5">
        <v>1</v>
      </c>
      <c r="P3499" s="5" t="s">
        <v>294</v>
      </c>
      <c r="Q3499" s="5" t="s">
        <v>613</v>
      </c>
      <c r="R3499" s="5" t="s">
        <v>240</v>
      </c>
      <c r="S3499" s="5" t="s">
        <v>240</v>
      </c>
      <c r="T3499" s="5" t="s">
        <v>243</v>
      </c>
      <c r="U3499" s="5" t="s">
        <v>724</v>
      </c>
      <c r="V3499" s="5" t="s">
        <v>240</v>
      </c>
      <c r="W3499" s="5" t="s">
        <v>240</v>
      </c>
      <c r="X3499" s="5" t="s">
        <v>240</v>
      </c>
      <c r="Y3499" s="5" t="s">
        <v>240</v>
      </c>
      <c r="Z3499" s="6" t="s">
        <v>298</v>
      </c>
      <c r="AA3499" s="6" t="s">
        <v>240</v>
      </c>
      <c r="AB3499" s="6" t="s">
        <v>240</v>
      </c>
      <c r="AC3499" s="5" t="s">
        <v>240</v>
      </c>
      <c r="AD3499" s="6" t="s">
        <v>240</v>
      </c>
      <c r="AE3499" s="6" t="s">
        <v>299</v>
      </c>
      <c r="AF3499" s="5" t="s">
        <v>727</v>
      </c>
      <c r="AG3499" s="5" t="s">
        <v>260</v>
      </c>
      <c r="AH3499" s="5" t="s">
        <v>240</v>
      </c>
      <c r="AI3499" s="5" t="s">
        <v>240</v>
      </c>
      <c r="AJ3499" s="5" t="s">
        <v>240</v>
      </c>
      <c r="AK3499" s="5" t="s">
        <v>240</v>
      </c>
      <c r="AL3499" s="5" t="s">
        <v>240</v>
      </c>
      <c r="AM3499" s="5" t="s">
        <v>240</v>
      </c>
      <c r="AN3499" s="5" t="s">
        <v>240</v>
      </c>
      <c r="AO3499" s="5" t="s">
        <v>240</v>
      </c>
      <c r="AP3499" s="6" t="s">
        <v>240</v>
      </c>
      <c r="AQ3499" s="6" t="s">
        <v>240</v>
      </c>
      <c r="AR3499" s="6" t="s">
        <v>240</v>
      </c>
      <c r="AS3499" s="6" t="s">
        <v>240</v>
      </c>
      <c r="AT3499" s="5" t="s">
        <v>240</v>
      </c>
      <c r="AU3499" s="5" t="s">
        <v>729</v>
      </c>
      <c r="AV3499" s="5" t="s">
        <v>729</v>
      </c>
      <c r="AW3499" s="5" t="s">
        <v>251</v>
      </c>
      <c r="AX3499" s="5" t="s">
        <v>252</v>
      </c>
      <c r="AY3499" s="5" t="s">
        <v>253</v>
      </c>
      <c r="AZ3499" s="5" t="s">
        <v>240</v>
      </c>
      <c r="BA3499" s="5" t="s">
        <v>255</v>
      </c>
      <c r="BB3499" s="5" t="s">
        <v>731</v>
      </c>
      <c r="BD3499" s="5" t="s">
        <v>240</v>
      </c>
      <c r="BF3499" s="5" t="s">
        <v>732</v>
      </c>
      <c r="BG3499" s="6" t="s">
        <v>733</v>
      </c>
      <c r="BH3499" s="5" t="s">
        <v>734</v>
      </c>
      <c r="BI3499" s="5" t="s">
        <v>734</v>
      </c>
      <c r="BJ3499" s="5" t="s">
        <v>240</v>
      </c>
      <c r="BK3499" s="8">
        <f>767</f>
        <v>767</v>
      </c>
      <c r="BL3499" s="7">
        <f>0</f>
        <v>0</v>
      </c>
      <c r="BM3499" s="5" t="s">
        <v>258</v>
      </c>
      <c r="BN3499" s="5" t="s">
        <v>259</v>
      </c>
      <c r="BO3499" s="5" t="s">
        <v>240</v>
      </c>
      <c r="BP3499" s="5" t="s">
        <v>240</v>
      </c>
      <c r="BQ3499" s="5" t="s">
        <v>240</v>
      </c>
      <c r="BR3499" s="5" t="s">
        <v>240</v>
      </c>
      <c r="BS3499" s="5" t="s">
        <v>240</v>
      </c>
      <c r="BT3499" s="5" t="s">
        <v>240</v>
      </c>
      <c r="BU3499" s="5" t="s">
        <v>240</v>
      </c>
      <c r="BV3499" s="5" t="s">
        <v>240</v>
      </c>
      <c r="BW3499" s="6" t="s">
        <v>240</v>
      </c>
      <c r="BX3499" s="5" t="s">
        <v>240</v>
      </c>
      <c r="BY3499" s="5" t="s">
        <v>240</v>
      </c>
      <c r="BZ3499" s="5" t="s">
        <v>240</v>
      </c>
      <c r="CA3499" s="5" t="s">
        <v>259</v>
      </c>
      <c r="CB3499" s="5" t="s">
        <v>240</v>
      </c>
      <c r="CC3499" s="5" t="s">
        <v>240</v>
      </c>
      <c r="CD3499" s="5" t="s">
        <v>240</v>
      </c>
      <c r="CE3499" s="5" t="s">
        <v>240</v>
      </c>
      <c r="CF3499" s="5" t="s">
        <v>240</v>
      </c>
      <c r="CG3499" s="5" t="s">
        <v>617</v>
      </c>
      <c r="CH3499" s="5" t="s">
        <v>305</v>
      </c>
      <c r="CI3499" s="5" t="s">
        <v>240</v>
      </c>
      <c r="CL3499" s="6" t="s">
        <v>261</v>
      </c>
      <c r="CM3499" s="5" t="s">
        <v>262</v>
      </c>
      <c r="CN3499" s="5" t="s">
        <v>263</v>
      </c>
      <c r="CO3499" s="5" t="s">
        <v>264</v>
      </c>
      <c r="CP3499" s="5" t="s">
        <v>240</v>
      </c>
      <c r="CQ3499" s="5">
        <v>0</v>
      </c>
      <c r="CR3499" s="5" t="s">
        <v>735</v>
      </c>
      <c r="CS3499" s="5" t="s">
        <v>307</v>
      </c>
      <c r="CT3499" s="5" t="s">
        <v>307</v>
      </c>
      <c r="CU3499" s="5" t="s">
        <v>260</v>
      </c>
      <c r="CV3499" s="5" t="s">
        <v>240</v>
      </c>
      <c r="CW3499" s="8">
        <f>0</f>
        <v>0</v>
      </c>
      <c r="CX3499" s="7">
        <f>0</f>
        <v>0</v>
      </c>
      <c r="CY3499" s="7">
        <f>0</f>
        <v>0</v>
      </c>
      <c r="DA3499" s="7">
        <f>8437</f>
        <v>8437</v>
      </c>
      <c r="DB3499" s="7" t="s">
        <v>240</v>
      </c>
      <c r="DC3499" s="5" t="s">
        <v>240</v>
      </c>
      <c r="DD3499" s="5" t="s">
        <v>240</v>
      </c>
      <c r="DE3499" s="5" t="s">
        <v>240</v>
      </c>
      <c r="DF3499" s="5" t="s">
        <v>450</v>
      </c>
      <c r="DG3499" s="7">
        <f>0</f>
        <v>0</v>
      </c>
      <c r="DI3499" s="5" t="s">
        <v>737</v>
      </c>
      <c r="DJ3499" s="5" t="s">
        <v>240</v>
      </c>
      <c r="DK3499" s="5" t="s">
        <v>240</v>
      </c>
      <c r="DL3499" s="5" t="s">
        <v>240</v>
      </c>
      <c r="DM3499" s="5" t="s">
        <v>240</v>
      </c>
      <c r="DN3499" s="5" t="s">
        <v>240</v>
      </c>
      <c r="DO3499" s="7" t="s">
        <v>240</v>
      </c>
      <c r="DP3499" s="5" t="s">
        <v>240</v>
      </c>
      <c r="DQ3499" s="5" t="s">
        <v>240</v>
      </c>
      <c r="DR3499" s="5" t="s">
        <v>731</v>
      </c>
      <c r="DS3499" s="5" t="s">
        <v>731</v>
      </c>
      <c r="DT3499" s="5" t="s">
        <v>240</v>
      </c>
      <c r="DU3499" s="5" t="s">
        <v>240</v>
      </c>
      <c r="DV3499" s="5" t="s">
        <v>738</v>
      </c>
      <c r="DW3499" s="5" t="s">
        <v>791</v>
      </c>
      <c r="DX3499" s="5" t="s">
        <v>240</v>
      </c>
      <c r="DY3499" s="5" t="s">
        <v>240</v>
      </c>
      <c r="DZ3499" s="5" t="s">
        <v>240</v>
      </c>
      <c r="EA3499" s="5" t="s">
        <v>240</v>
      </c>
      <c r="EB3499" s="5" t="s">
        <v>240</v>
      </c>
      <c r="EC3499" s="5" t="s">
        <v>240</v>
      </c>
      <c r="ED3499" s="5" t="s">
        <v>240</v>
      </c>
      <c r="EE3499" s="5" t="s">
        <v>240</v>
      </c>
      <c r="EF3499" s="5" t="s">
        <v>240</v>
      </c>
      <c r="EG3499" s="5" t="s">
        <v>240</v>
      </c>
      <c r="EH3499" s="5" t="s">
        <v>240</v>
      </c>
      <c r="EI3499" s="5" t="s">
        <v>240</v>
      </c>
      <c r="EJ3499" s="5" t="s">
        <v>240</v>
      </c>
      <c r="EK3499" s="5" t="s">
        <v>240</v>
      </c>
      <c r="EL3499" s="5" t="s">
        <v>240</v>
      </c>
      <c r="EM3499" s="5" t="s">
        <v>240</v>
      </c>
      <c r="EN3499" s="5" t="s">
        <v>240</v>
      </c>
      <c r="EO3499" s="5" t="s">
        <v>240</v>
      </c>
      <c r="EP3499" s="5" t="s">
        <v>240</v>
      </c>
      <c r="EQ3499" s="5" t="s">
        <v>240</v>
      </c>
      <c r="ER3499" s="5" t="s">
        <v>240</v>
      </c>
      <c r="ES3499" s="5" t="s">
        <v>240</v>
      </c>
      <c r="ET3499" s="5" t="s">
        <v>240</v>
      </c>
      <c r="EU3499" s="5" t="s">
        <v>240</v>
      </c>
      <c r="EV3499" s="5" t="s">
        <v>240</v>
      </c>
      <c r="EW3499" s="5" t="s">
        <v>240</v>
      </c>
      <c r="EX3499" s="5" t="s">
        <v>240</v>
      </c>
      <c r="EY3499" s="5" t="s">
        <v>240</v>
      </c>
      <c r="EZ3499" s="5" t="s">
        <v>240</v>
      </c>
      <c r="FA3499" s="5" t="s">
        <v>240</v>
      </c>
      <c r="FB3499" s="5" t="s">
        <v>240</v>
      </c>
      <c r="FC3499" s="5" t="s">
        <v>240</v>
      </c>
      <c r="FD3499" s="5" t="s">
        <v>240</v>
      </c>
      <c r="FE3499" s="5" t="s">
        <v>240</v>
      </c>
      <c r="FF3499" s="5" t="s">
        <v>240</v>
      </c>
      <c r="FG3499" s="5" t="s">
        <v>240</v>
      </c>
      <c r="FH3499" s="5" t="s">
        <v>240</v>
      </c>
      <c r="FI3499" s="5" t="s">
        <v>240</v>
      </c>
      <c r="FJ3499" s="5" t="s">
        <v>240</v>
      </c>
      <c r="FK3499" s="5" t="s">
        <v>240</v>
      </c>
      <c r="FL3499" s="5" t="s">
        <v>240</v>
      </c>
      <c r="FM3499" s="5" t="s">
        <v>240</v>
      </c>
      <c r="FN3499" s="5" t="s">
        <v>240</v>
      </c>
      <c r="FO3499" s="5" t="s">
        <v>240</v>
      </c>
      <c r="FP3499" s="5" t="s">
        <v>240</v>
      </c>
      <c r="FQ3499" s="5" t="s">
        <v>240</v>
      </c>
      <c r="FR3499" s="5" t="s">
        <v>240</v>
      </c>
      <c r="FS3499" s="5" t="s">
        <v>240</v>
      </c>
      <c r="FT3499" s="5" t="s">
        <v>240</v>
      </c>
      <c r="FU3499" s="5" t="s">
        <v>240</v>
      </c>
      <c r="FV3499" s="5" t="s">
        <v>240</v>
      </c>
      <c r="FW3499" s="5" t="s">
        <v>240</v>
      </c>
      <c r="FX3499" s="5" t="s">
        <v>240</v>
      </c>
      <c r="FY3499" s="5" t="s">
        <v>240</v>
      </c>
      <c r="FZ3499" s="5" t="s">
        <v>240</v>
      </c>
      <c r="GA3499" s="5" t="s">
        <v>240</v>
      </c>
      <c r="GB3499" s="5" t="s">
        <v>240</v>
      </c>
      <c r="GC3499" s="5" t="s">
        <v>240</v>
      </c>
      <c r="GD3499" s="5" t="s">
        <v>240</v>
      </c>
      <c r="GE3499" s="5" t="s">
        <v>240</v>
      </c>
      <c r="GF3499" s="5" t="s">
        <v>240</v>
      </c>
      <c r="GG3499" s="5" t="s">
        <v>240</v>
      </c>
      <c r="GH3499" s="5" t="s">
        <v>240</v>
      </c>
      <c r="GI3499" s="5" t="s">
        <v>240</v>
      </c>
      <c r="GJ3499" s="5" t="s">
        <v>240</v>
      </c>
      <c r="GK3499" s="5" t="s">
        <v>240</v>
      </c>
      <c r="GL3499" s="5" t="s">
        <v>240</v>
      </c>
      <c r="GM3499" s="5" t="s">
        <v>240</v>
      </c>
      <c r="GN3499" s="5" t="s">
        <v>240</v>
      </c>
      <c r="GO3499" s="5" t="s">
        <v>240</v>
      </c>
      <c r="GP3499" s="5" t="s">
        <v>240</v>
      </c>
      <c r="GQ3499" s="5" t="s">
        <v>240</v>
      </c>
      <c r="GR3499" s="5" t="s">
        <v>240</v>
      </c>
      <c r="GS3499" s="5" t="s">
        <v>240</v>
      </c>
      <c r="GT3499" s="5" t="s">
        <v>240</v>
      </c>
      <c r="GU3499" s="5" t="s">
        <v>240</v>
      </c>
      <c r="GV3499" s="5" t="s">
        <v>240</v>
      </c>
      <c r="GW3499" s="5" t="s">
        <v>240</v>
      </c>
      <c r="GX3499" s="5" t="s">
        <v>240</v>
      </c>
      <c r="GY3499" s="5" t="s">
        <v>240</v>
      </c>
      <c r="GZ3499" s="5" t="s">
        <v>240</v>
      </c>
      <c r="HA3499" s="5" t="s">
        <v>240</v>
      </c>
      <c r="HB3499" s="5" t="s">
        <v>240</v>
      </c>
      <c r="HC3499" s="5" t="s">
        <v>240</v>
      </c>
      <c r="HD3499" s="5" t="s">
        <v>240</v>
      </c>
      <c r="HE3499" s="5" t="s">
        <v>240</v>
      </c>
      <c r="HF3499" s="5" t="s">
        <v>240</v>
      </c>
      <c r="HG3499" s="5" t="s">
        <v>240</v>
      </c>
      <c r="HH3499" s="5" t="s">
        <v>240</v>
      </c>
      <c r="HI3499" s="5" t="s">
        <v>240</v>
      </c>
      <c r="HJ3499" s="5" t="s">
        <v>240</v>
      </c>
      <c r="HK3499" s="5" t="s">
        <v>240</v>
      </c>
      <c r="HL3499" s="5" t="s">
        <v>240</v>
      </c>
      <c r="HM3499" s="5" t="s">
        <v>240</v>
      </c>
      <c r="HN3499" s="5" t="s">
        <v>240</v>
      </c>
      <c r="HO3499" s="5" t="s">
        <v>312</v>
      </c>
      <c r="HP3499" s="5" t="s">
        <v>240</v>
      </c>
      <c r="HQ3499" s="5" t="s">
        <v>240</v>
      </c>
      <c r="HR3499" s="5" t="s">
        <v>240</v>
      </c>
      <c r="HS3499" s="5" t="s">
        <v>240</v>
      </c>
      <c r="HT3499" s="5" t="s">
        <v>240</v>
      </c>
      <c r="HU3499" s="5" t="s">
        <v>240</v>
      </c>
      <c r="HV3499" s="5" t="s">
        <v>240</v>
      </c>
      <c r="HW3499" s="5" t="s">
        <v>240</v>
      </c>
      <c r="HX3499" s="5" t="s">
        <v>240</v>
      </c>
      <c r="HY3499" s="5" t="s">
        <v>240</v>
      </c>
      <c r="HZ3499" s="5" t="s">
        <v>240</v>
      </c>
      <c r="IA3499" s="5" t="s">
        <v>240</v>
      </c>
      <c r="IB3499" s="5" t="s">
        <v>240</v>
      </c>
      <c r="IC3499" s="5" t="s">
        <v>240</v>
      </c>
      <c r="ID3499" s="5" t="s">
        <v>240</v>
      </c>
      <c r="IE3499" s="5" t="s">
        <v>240</v>
      </c>
      <c r="IF3499" s="5" t="s">
        <v>240</v>
      </c>
    </row>
    <row r="3500" spans="1:240" x14ac:dyDescent="0.4">
      <c r="A3500" s="5">
        <v>9042</v>
      </c>
      <c r="B3500" s="5">
        <v>1</v>
      </c>
      <c r="C3500" s="5">
        <v>1</v>
      </c>
      <c r="D3500" s="5" t="s">
        <v>723</v>
      </c>
      <c r="E3500" s="5" t="s">
        <v>5060</v>
      </c>
      <c r="F3500" s="5" t="s">
        <v>254</v>
      </c>
      <c r="G3500" s="5" t="s">
        <v>5061</v>
      </c>
      <c r="H3500" s="6" t="s">
        <v>5948</v>
      </c>
      <c r="I3500" s="5" t="s">
        <v>5947</v>
      </c>
      <c r="J3500" s="7">
        <f>1</f>
        <v>1</v>
      </c>
      <c r="K3500" s="5" t="s">
        <v>3682</v>
      </c>
      <c r="L3500" s="7">
        <f>1</f>
        <v>1</v>
      </c>
      <c r="M3500" s="7">
        <f>1</f>
        <v>1</v>
      </c>
      <c r="N3500" s="5" t="s">
        <v>242</v>
      </c>
      <c r="O3500" s="5">
        <v>1</v>
      </c>
      <c r="P3500" s="5" t="s">
        <v>294</v>
      </c>
      <c r="Q3500" s="5" t="s">
        <v>613</v>
      </c>
      <c r="R3500" s="5" t="s">
        <v>240</v>
      </c>
      <c r="S3500" s="5" t="s">
        <v>240</v>
      </c>
      <c r="T3500" s="5" t="s">
        <v>243</v>
      </c>
      <c r="U3500" s="5" t="s">
        <v>724</v>
      </c>
      <c r="V3500" s="5" t="s">
        <v>240</v>
      </c>
      <c r="W3500" s="5" t="s">
        <v>240</v>
      </c>
      <c r="X3500" s="5" t="s">
        <v>240</v>
      </c>
      <c r="Y3500" s="5" t="s">
        <v>240</v>
      </c>
      <c r="Z3500" s="6" t="s">
        <v>298</v>
      </c>
      <c r="AA3500" s="6" t="s">
        <v>240</v>
      </c>
      <c r="AB3500" s="6" t="s">
        <v>240</v>
      </c>
      <c r="AC3500" s="5" t="s">
        <v>240</v>
      </c>
      <c r="AD3500" s="6" t="s">
        <v>240</v>
      </c>
      <c r="AE3500" s="6" t="s">
        <v>299</v>
      </c>
      <c r="AF3500" s="5" t="s">
        <v>727</v>
      </c>
      <c r="AG3500" s="5" t="s">
        <v>260</v>
      </c>
      <c r="AH3500" s="5" t="s">
        <v>240</v>
      </c>
      <c r="AI3500" s="5" t="s">
        <v>240</v>
      </c>
      <c r="AJ3500" s="5" t="s">
        <v>240</v>
      </c>
      <c r="AK3500" s="5" t="s">
        <v>240</v>
      </c>
      <c r="AL3500" s="5" t="s">
        <v>240</v>
      </c>
      <c r="AM3500" s="5" t="s">
        <v>240</v>
      </c>
      <c r="AN3500" s="5" t="s">
        <v>240</v>
      </c>
      <c r="AO3500" s="5" t="s">
        <v>240</v>
      </c>
      <c r="AP3500" s="6" t="s">
        <v>240</v>
      </c>
      <c r="AQ3500" s="6" t="s">
        <v>240</v>
      </c>
      <c r="AR3500" s="6" t="s">
        <v>240</v>
      </c>
      <c r="AS3500" s="6" t="s">
        <v>240</v>
      </c>
      <c r="AT3500" s="5" t="s">
        <v>240</v>
      </c>
      <c r="AU3500" s="5" t="s">
        <v>729</v>
      </c>
      <c r="AV3500" s="5" t="s">
        <v>729</v>
      </c>
      <c r="AW3500" s="5" t="s">
        <v>251</v>
      </c>
      <c r="AX3500" s="5" t="s">
        <v>252</v>
      </c>
      <c r="AY3500" s="5" t="s">
        <v>253</v>
      </c>
      <c r="AZ3500" s="5" t="s">
        <v>240</v>
      </c>
      <c r="BA3500" s="5" t="s">
        <v>255</v>
      </c>
      <c r="BB3500" s="5" t="s">
        <v>731</v>
      </c>
      <c r="BD3500" s="5" t="s">
        <v>240</v>
      </c>
      <c r="BF3500" s="5" t="s">
        <v>732</v>
      </c>
      <c r="BG3500" s="6" t="s">
        <v>733</v>
      </c>
      <c r="BH3500" s="5" t="s">
        <v>734</v>
      </c>
      <c r="BI3500" s="5" t="s">
        <v>734</v>
      </c>
      <c r="BJ3500" s="5" t="s">
        <v>240</v>
      </c>
      <c r="BK3500" s="8">
        <f>327.27</f>
        <v>327.27</v>
      </c>
      <c r="BL3500" s="7">
        <f>0</f>
        <v>0</v>
      </c>
      <c r="BM3500" s="5" t="s">
        <v>258</v>
      </c>
      <c r="BN3500" s="5" t="s">
        <v>259</v>
      </c>
      <c r="BO3500" s="5" t="s">
        <v>240</v>
      </c>
      <c r="BP3500" s="5" t="s">
        <v>240</v>
      </c>
      <c r="BQ3500" s="5" t="s">
        <v>240</v>
      </c>
      <c r="BR3500" s="5" t="s">
        <v>240</v>
      </c>
      <c r="BS3500" s="5" t="s">
        <v>240</v>
      </c>
      <c r="BT3500" s="5" t="s">
        <v>240</v>
      </c>
      <c r="BU3500" s="5" t="s">
        <v>240</v>
      </c>
      <c r="BV3500" s="5" t="s">
        <v>240</v>
      </c>
      <c r="BW3500" s="6" t="s">
        <v>240</v>
      </c>
      <c r="BX3500" s="5" t="s">
        <v>240</v>
      </c>
      <c r="BY3500" s="5" t="s">
        <v>240</v>
      </c>
      <c r="BZ3500" s="5" t="s">
        <v>240</v>
      </c>
      <c r="CA3500" s="5" t="s">
        <v>259</v>
      </c>
      <c r="CB3500" s="5" t="s">
        <v>240</v>
      </c>
      <c r="CC3500" s="5" t="s">
        <v>240</v>
      </c>
      <c r="CD3500" s="5" t="s">
        <v>240</v>
      </c>
      <c r="CE3500" s="5" t="s">
        <v>240</v>
      </c>
      <c r="CF3500" s="5" t="s">
        <v>240</v>
      </c>
      <c r="CG3500" s="5" t="s">
        <v>617</v>
      </c>
      <c r="CH3500" s="5" t="s">
        <v>305</v>
      </c>
      <c r="CI3500" s="5" t="s">
        <v>240</v>
      </c>
      <c r="CL3500" s="6" t="s">
        <v>261</v>
      </c>
      <c r="CM3500" s="5" t="s">
        <v>262</v>
      </c>
      <c r="CN3500" s="5" t="s">
        <v>263</v>
      </c>
      <c r="CO3500" s="5" t="s">
        <v>264</v>
      </c>
      <c r="CP3500" s="5" t="s">
        <v>240</v>
      </c>
      <c r="CQ3500" s="5">
        <v>0</v>
      </c>
      <c r="CR3500" s="5" t="s">
        <v>735</v>
      </c>
      <c r="CS3500" s="5" t="s">
        <v>307</v>
      </c>
      <c r="CT3500" s="5" t="s">
        <v>307</v>
      </c>
      <c r="CU3500" s="5" t="s">
        <v>260</v>
      </c>
      <c r="CV3500" s="5" t="s">
        <v>240</v>
      </c>
      <c r="CW3500" s="8">
        <f>0</f>
        <v>0</v>
      </c>
      <c r="CX3500" s="7">
        <f>0</f>
        <v>0</v>
      </c>
      <c r="CY3500" s="7">
        <f>0</f>
        <v>0</v>
      </c>
      <c r="DA3500" s="7">
        <f>3599</f>
        <v>3599</v>
      </c>
      <c r="DB3500" s="7" t="s">
        <v>240</v>
      </c>
      <c r="DC3500" s="5" t="s">
        <v>240</v>
      </c>
      <c r="DD3500" s="5" t="s">
        <v>240</v>
      </c>
      <c r="DE3500" s="5" t="s">
        <v>240</v>
      </c>
      <c r="DF3500" s="5" t="s">
        <v>450</v>
      </c>
      <c r="DG3500" s="7">
        <f>0</f>
        <v>0</v>
      </c>
      <c r="DI3500" s="5" t="s">
        <v>737</v>
      </c>
      <c r="DJ3500" s="5" t="s">
        <v>240</v>
      </c>
      <c r="DK3500" s="5" t="s">
        <v>240</v>
      </c>
      <c r="DL3500" s="5" t="s">
        <v>240</v>
      </c>
      <c r="DM3500" s="5" t="s">
        <v>240</v>
      </c>
      <c r="DN3500" s="5" t="s">
        <v>240</v>
      </c>
      <c r="DO3500" s="7" t="s">
        <v>240</v>
      </c>
      <c r="DP3500" s="5" t="s">
        <v>240</v>
      </c>
      <c r="DQ3500" s="5" t="s">
        <v>240</v>
      </c>
      <c r="DR3500" s="5" t="s">
        <v>731</v>
      </c>
      <c r="DS3500" s="5" t="s">
        <v>731</v>
      </c>
      <c r="DT3500" s="5" t="s">
        <v>240</v>
      </c>
      <c r="DU3500" s="5" t="s">
        <v>240</v>
      </c>
      <c r="DV3500" s="5" t="s">
        <v>738</v>
      </c>
      <c r="DW3500" s="5" t="s">
        <v>825</v>
      </c>
      <c r="DX3500" s="5" t="s">
        <v>240</v>
      </c>
      <c r="DY3500" s="5" t="s">
        <v>240</v>
      </c>
      <c r="DZ3500" s="5" t="s">
        <v>240</v>
      </c>
      <c r="EA3500" s="5" t="s">
        <v>240</v>
      </c>
      <c r="EB3500" s="5" t="s">
        <v>240</v>
      </c>
      <c r="EC3500" s="5" t="s">
        <v>240</v>
      </c>
      <c r="ED3500" s="5" t="s">
        <v>240</v>
      </c>
      <c r="EE3500" s="5" t="s">
        <v>240</v>
      </c>
      <c r="EF3500" s="5" t="s">
        <v>240</v>
      </c>
      <c r="EG3500" s="5" t="s">
        <v>240</v>
      </c>
      <c r="EH3500" s="5" t="s">
        <v>240</v>
      </c>
      <c r="EI3500" s="5" t="s">
        <v>240</v>
      </c>
      <c r="EJ3500" s="5" t="s">
        <v>240</v>
      </c>
      <c r="EK3500" s="5" t="s">
        <v>240</v>
      </c>
      <c r="EL3500" s="5" t="s">
        <v>240</v>
      </c>
      <c r="EM3500" s="5" t="s">
        <v>240</v>
      </c>
      <c r="EN3500" s="5" t="s">
        <v>240</v>
      </c>
      <c r="EO3500" s="5" t="s">
        <v>240</v>
      </c>
      <c r="EP3500" s="5" t="s">
        <v>240</v>
      </c>
      <c r="EQ3500" s="5" t="s">
        <v>240</v>
      </c>
      <c r="ER3500" s="5" t="s">
        <v>240</v>
      </c>
      <c r="ES3500" s="5" t="s">
        <v>240</v>
      </c>
      <c r="ET3500" s="5" t="s">
        <v>240</v>
      </c>
      <c r="EU3500" s="5" t="s">
        <v>240</v>
      </c>
      <c r="EV3500" s="5" t="s">
        <v>240</v>
      </c>
      <c r="EW3500" s="5" t="s">
        <v>240</v>
      </c>
      <c r="EX3500" s="5" t="s">
        <v>240</v>
      </c>
      <c r="EY3500" s="5" t="s">
        <v>240</v>
      </c>
      <c r="EZ3500" s="5" t="s">
        <v>240</v>
      </c>
      <c r="FA3500" s="5" t="s">
        <v>240</v>
      </c>
      <c r="FB3500" s="5" t="s">
        <v>240</v>
      </c>
      <c r="FC3500" s="5" t="s">
        <v>240</v>
      </c>
      <c r="FD3500" s="5" t="s">
        <v>240</v>
      </c>
      <c r="FE3500" s="5" t="s">
        <v>240</v>
      </c>
      <c r="FF3500" s="5" t="s">
        <v>240</v>
      </c>
      <c r="FG3500" s="5" t="s">
        <v>240</v>
      </c>
      <c r="FH3500" s="5" t="s">
        <v>240</v>
      </c>
      <c r="FI3500" s="5" t="s">
        <v>240</v>
      </c>
      <c r="FJ3500" s="5" t="s">
        <v>240</v>
      </c>
      <c r="FK3500" s="5" t="s">
        <v>240</v>
      </c>
      <c r="FL3500" s="5" t="s">
        <v>240</v>
      </c>
      <c r="FM3500" s="5" t="s">
        <v>240</v>
      </c>
      <c r="FN3500" s="5" t="s">
        <v>240</v>
      </c>
      <c r="FO3500" s="5" t="s">
        <v>240</v>
      </c>
      <c r="FP3500" s="5" t="s">
        <v>240</v>
      </c>
      <c r="FQ3500" s="5" t="s">
        <v>240</v>
      </c>
      <c r="FR3500" s="5" t="s">
        <v>240</v>
      </c>
      <c r="FS3500" s="5" t="s">
        <v>240</v>
      </c>
      <c r="FT3500" s="5" t="s">
        <v>240</v>
      </c>
      <c r="FU3500" s="5" t="s">
        <v>240</v>
      </c>
      <c r="FV3500" s="5" t="s">
        <v>240</v>
      </c>
      <c r="FW3500" s="5" t="s">
        <v>240</v>
      </c>
      <c r="FX3500" s="5" t="s">
        <v>240</v>
      </c>
      <c r="FY3500" s="5" t="s">
        <v>240</v>
      </c>
      <c r="FZ3500" s="5" t="s">
        <v>240</v>
      </c>
      <c r="GA3500" s="5" t="s">
        <v>240</v>
      </c>
      <c r="GB3500" s="5" t="s">
        <v>240</v>
      </c>
      <c r="GC3500" s="5" t="s">
        <v>240</v>
      </c>
      <c r="GD3500" s="5" t="s">
        <v>240</v>
      </c>
      <c r="GE3500" s="5" t="s">
        <v>240</v>
      </c>
      <c r="GF3500" s="5" t="s">
        <v>240</v>
      </c>
      <c r="GG3500" s="5" t="s">
        <v>240</v>
      </c>
      <c r="GH3500" s="5" t="s">
        <v>240</v>
      </c>
      <c r="GI3500" s="5" t="s">
        <v>240</v>
      </c>
      <c r="GJ3500" s="5" t="s">
        <v>240</v>
      </c>
      <c r="GK3500" s="5" t="s">
        <v>240</v>
      </c>
      <c r="GL3500" s="5" t="s">
        <v>240</v>
      </c>
      <c r="GM3500" s="5" t="s">
        <v>240</v>
      </c>
      <c r="GN3500" s="5" t="s">
        <v>240</v>
      </c>
      <c r="GO3500" s="5" t="s">
        <v>240</v>
      </c>
      <c r="GP3500" s="5" t="s">
        <v>240</v>
      </c>
      <c r="GQ3500" s="5" t="s">
        <v>240</v>
      </c>
      <c r="GR3500" s="5" t="s">
        <v>240</v>
      </c>
      <c r="GS3500" s="5" t="s">
        <v>240</v>
      </c>
      <c r="GT3500" s="5" t="s">
        <v>240</v>
      </c>
      <c r="GU3500" s="5" t="s">
        <v>240</v>
      </c>
      <c r="GV3500" s="5" t="s">
        <v>240</v>
      </c>
      <c r="GW3500" s="5" t="s">
        <v>240</v>
      </c>
      <c r="GX3500" s="5" t="s">
        <v>240</v>
      </c>
      <c r="GY3500" s="5" t="s">
        <v>240</v>
      </c>
      <c r="GZ3500" s="5" t="s">
        <v>240</v>
      </c>
      <c r="HA3500" s="5" t="s">
        <v>240</v>
      </c>
      <c r="HB3500" s="5" t="s">
        <v>240</v>
      </c>
      <c r="HC3500" s="5" t="s">
        <v>240</v>
      </c>
      <c r="HD3500" s="5" t="s">
        <v>240</v>
      </c>
      <c r="HE3500" s="5" t="s">
        <v>240</v>
      </c>
      <c r="HF3500" s="5" t="s">
        <v>240</v>
      </c>
      <c r="HG3500" s="5" t="s">
        <v>240</v>
      </c>
      <c r="HH3500" s="5" t="s">
        <v>240</v>
      </c>
      <c r="HI3500" s="5" t="s">
        <v>240</v>
      </c>
      <c r="HJ3500" s="5" t="s">
        <v>240</v>
      </c>
      <c r="HK3500" s="5" t="s">
        <v>240</v>
      </c>
      <c r="HL3500" s="5" t="s">
        <v>240</v>
      </c>
      <c r="HM3500" s="5" t="s">
        <v>240</v>
      </c>
      <c r="HN3500" s="5" t="s">
        <v>240</v>
      </c>
      <c r="HO3500" s="5" t="s">
        <v>312</v>
      </c>
      <c r="HP3500" s="5" t="s">
        <v>240</v>
      </c>
      <c r="HQ3500" s="5" t="s">
        <v>240</v>
      </c>
      <c r="HR3500" s="5" t="s">
        <v>240</v>
      </c>
      <c r="HS3500" s="5" t="s">
        <v>240</v>
      </c>
      <c r="HT3500" s="5" t="s">
        <v>240</v>
      </c>
      <c r="HU3500" s="5" t="s">
        <v>240</v>
      </c>
      <c r="HV3500" s="5" t="s">
        <v>240</v>
      </c>
      <c r="HW3500" s="5" t="s">
        <v>240</v>
      </c>
      <c r="HX3500" s="5" t="s">
        <v>240</v>
      </c>
      <c r="HY3500" s="5" t="s">
        <v>240</v>
      </c>
      <c r="HZ3500" s="5" t="s">
        <v>240</v>
      </c>
      <c r="IA3500" s="5" t="s">
        <v>240</v>
      </c>
      <c r="IB3500" s="5" t="s">
        <v>240</v>
      </c>
      <c r="IC3500" s="5" t="s">
        <v>240</v>
      </c>
      <c r="ID3500" s="5" t="s">
        <v>240</v>
      </c>
      <c r="IE3500" s="5" t="s">
        <v>240</v>
      </c>
      <c r="IF3500" s="5" t="s">
        <v>240</v>
      </c>
    </row>
    <row r="3501" spans="1:240" x14ac:dyDescent="0.4">
      <c r="A3501" s="5">
        <v>9043</v>
      </c>
      <c r="B3501" s="5">
        <v>1</v>
      </c>
      <c r="C3501" s="5">
        <v>1</v>
      </c>
      <c r="D3501" s="5" t="s">
        <v>723</v>
      </c>
      <c r="E3501" s="5" t="s">
        <v>5060</v>
      </c>
      <c r="F3501" s="5" t="s">
        <v>254</v>
      </c>
      <c r="G3501" s="5" t="s">
        <v>5061</v>
      </c>
      <c r="H3501" s="6" t="s">
        <v>6084</v>
      </c>
      <c r="I3501" s="5" t="s">
        <v>6083</v>
      </c>
      <c r="J3501" s="7">
        <f>1</f>
        <v>1</v>
      </c>
      <c r="K3501" s="5" t="s">
        <v>3682</v>
      </c>
      <c r="L3501" s="7">
        <f>1</f>
        <v>1</v>
      </c>
      <c r="M3501" s="7">
        <f>1</f>
        <v>1</v>
      </c>
      <c r="N3501" s="5" t="s">
        <v>242</v>
      </c>
      <c r="O3501" s="5">
        <v>1</v>
      </c>
      <c r="P3501" s="5" t="s">
        <v>294</v>
      </c>
      <c r="Q3501" s="5" t="s">
        <v>613</v>
      </c>
      <c r="R3501" s="5" t="s">
        <v>240</v>
      </c>
      <c r="S3501" s="5" t="s">
        <v>240</v>
      </c>
      <c r="T3501" s="5" t="s">
        <v>243</v>
      </c>
      <c r="U3501" s="5" t="s">
        <v>724</v>
      </c>
      <c r="V3501" s="5" t="s">
        <v>240</v>
      </c>
      <c r="W3501" s="5" t="s">
        <v>240</v>
      </c>
      <c r="X3501" s="5" t="s">
        <v>240</v>
      </c>
      <c r="Y3501" s="5" t="s">
        <v>240</v>
      </c>
      <c r="Z3501" s="6" t="s">
        <v>298</v>
      </c>
      <c r="AA3501" s="6" t="s">
        <v>240</v>
      </c>
      <c r="AB3501" s="6" t="s">
        <v>240</v>
      </c>
      <c r="AC3501" s="5" t="s">
        <v>240</v>
      </c>
      <c r="AD3501" s="6" t="s">
        <v>240</v>
      </c>
      <c r="AE3501" s="6" t="s">
        <v>299</v>
      </c>
      <c r="AF3501" s="5" t="s">
        <v>727</v>
      </c>
      <c r="AG3501" s="5" t="s">
        <v>260</v>
      </c>
      <c r="AH3501" s="5" t="s">
        <v>240</v>
      </c>
      <c r="AI3501" s="5" t="s">
        <v>240</v>
      </c>
      <c r="AJ3501" s="5" t="s">
        <v>240</v>
      </c>
      <c r="AK3501" s="5" t="s">
        <v>240</v>
      </c>
      <c r="AL3501" s="5" t="s">
        <v>240</v>
      </c>
      <c r="AM3501" s="5" t="s">
        <v>240</v>
      </c>
      <c r="AN3501" s="5" t="s">
        <v>240</v>
      </c>
      <c r="AO3501" s="5" t="s">
        <v>240</v>
      </c>
      <c r="AP3501" s="6" t="s">
        <v>240</v>
      </c>
      <c r="AQ3501" s="6" t="s">
        <v>240</v>
      </c>
      <c r="AR3501" s="6" t="s">
        <v>240</v>
      </c>
      <c r="AS3501" s="6" t="s">
        <v>240</v>
      </c>
      <c r="AT3501" s="5" t="s">
        <v>240</v>
      </c>
      <c r="AU3501" s="5" t="s">
        <v>729</v>
      </c>
      <c r="AV3501" s="5" t="s">
        <v>729</v>
      </c>
      <c r="AW3501" s="5" t="s">
        <v>251</v>
      </c>
      <c r="AX3501" s="5" t="s">
        <v>252</v>
      </c>
      <c r="AY3501" s="5" t="s">
        <v>253</v>
      </c>
      <c r="AZ3501" s="5" t="s">
        <v>240</v>
      </c>
      <c r="BA3501" s="5" t="s">
        <v>255</v>
      </c>
      <c r="BB3501" s="5" t="s">
        <v>731</v>
      </c>
      <c r="BD3501" s="5" t="s">
        <v>240</v>
      </c>
      <c r="BF3501" s="5" t="s">
        <v>732</v>
      </c>
      <c r="BG3501" s="6" t="s">
        <v>733</v>
      </c>
      <c r="BH3501" s="5" t="s">
        <v>734</v>
      </c>
      <c r="BI3501" s="5" t="s">
        <v>734</v>
      </c>
      <c r="BJ3501" s="5" t="s">
        <v>240</v>
      </c>
      <c r="BK3501" s="8">
        <f>723</f>
        <v>723</v>
      </c>
      <c r="BL3501" s="7">
        <f>0</f>
        <v>0</v>
      </c>
      <c r="BM3501" s="5" t="s">
        <v>258</v>
      </c>
      <c r="BN3501" s="5" t="s">
        <v>259</v>
      </c>
      <c r="BO3501" s="5" t="s">
        <v>240</v>
      </c>
      <c r="BP3501" s="5" t="s">
        <v>240</v>
      </c>
      <c r="BQ3501" s="5" t="s">
        <v>240</v>
      </c>
      <c r="BR3501" s="5" t="s">
        <v>240</v>
      </c>
      <c r="BS3501" s="5" t="s">
        <v>240</v>
      </c>
      <c r="BT3501" s="5" t="s">
        <v>240</v>
      </c>
      <c r="BU3501" s="5" t="s">
        <v>240</v>
      </c>
      <c r="BV3501" s="5" t="s">
        <v>240</v>
      </c>
      <c r="BW3501" s="6" t="s">
        <v>240</v>
      </c>
      <c r="BX3501" s="5" t="s">
        <v>240</v>
      </c>
      <c r="BY3501" s="5" t="s">
        <v>240</v>
      </c>
      <c r="BZ3501" s="5" t="s">
        <v>240</v>
      </c>
      <c r="CA3501" s="5" t="s">
        <v>259</v>
      </c>
      <c r="CB3501" s="5" t="s">
        <v>240</v>
      </c>
      <c r="CC3501" s="5" t="s">
        <v>240</v>
      </c>
      <c r="CD3501" s="5" t="s">
        <v>240</v>
      </c>
      <c r="CE3501" s="5" t="s">
        <v>240</v>
      </c>
      <c r="CF3501" s="5" t="s">
        <v>240</v>
      </c>
      <c r="CG3501" s="5" t="s">
        <v>617</v>
      </c>
      <c r="CH3501" s="5" t="s">
        <v>305</v>
      </c>
      <c r="CI3501" s="5" t="s">
        <v>240</v>
      </c>
      <c r="CL3501" s="6" t="s">
        <v>261</v>
      </c>
      <c r="CM3501" s="5" t="s">
        <v>262</v>
      </c>
      <c r="CN3501" s="5" t="s">
        <v>263</v>
      </c>
      <c r="CO3501" s="5" t="s">
        <v>264</v>
      </c>
      <c r="CP3501" s="5" t="s">
        <v>240</v>
      </c>
      <c r="CQ3501" s="5">
        <v>0</v>
      </c>
      <c r="CR3501" s="5" t="s">
        <v>735</v>
      </c>
      <c r="CS3501" s="5" t="s">
        <v>307</v>
      </c>
      <c r="CT3501" s="5" t="s">
        <v>307</v>
      </c>
      <c r="CU3501" s="5" t="s">
        <v>260</v>
      </c>
      <c r="CV3501" s="5" t="s">
        <v>240</v>
      </c>
      <c r="CW3501" s="8">
        <f>0</f>
        <v>0</v>
      </c>
      <c r="CX3501" s="7">
        <f>0</f>
        <v>0</v>
      </c>
      <c r="CY3501" s="7">
        <f>0</f>
        <v>0</v>
      </c>
      <c r="DA3501" s="7">
        <f>7953</f>
        <v>7953</v>
      </c>
      <c r="DB3501" s="7" t="s">
        <v>240</v>
      </c>
      <c r="DC3501" s="5" t="s">
        <v>240</v>
      </c>
      <c r="DD3501" s="5" t="s">
        <v>240</v>
      </c>
      <c r="DE3501" s="5" t="s">
        <v>240</v>
      </c>
      <c r="DF3501" s="5" t="s">
        <v>450</v>
      </c>
      <c r="DG3501" s="7">
        <f>0</f>
        <v>0</v>
      </c>
      <c r="DI3501" s="5" t="s">
        <v>737</v>
      </c>
      <c r="DJ3501" s="5" t="s">
        <v>240</v>
      </c>
      <c r="DK3501" s="5" t="s">
        <v>240</v>
      </c>
      <c r="DL3501" s="5" t="s">
        <v>240</v>
      </c>
      <c r="DM3501" s="5" t="s">
        <v>240</v>
      </c>
      <c r="DN3501" s="5" t="s">
        <v>240</v>
      </c>
      <c r="DO3501" s="7" t="s">
        <v>240</v>
      </c>
      <c r="DP3501" s="5" t="s">
        <v>240</v>
      </c>
      <c r="DQ3501" s="5" t="s">
        <v>240</v>
      </c>
      <c r="DR3501" s="5" t="s">
        <v>731</v>
      </c>
      <c r="DS3501" s="5" t="s">
        <v>731</v>
      </c>
      <c r="DT3501" s="5" t="s">
        <v>240</v>
      </c>
      <c r="DU3501" s="5" t="s">
        <v>240</v>
      </c>
      <c r="DV3501" s="5" t="s">
        <v>738</v>
      </c>
      <c r="DW3501" s="5" t="s">
        <v>789</v>
      </c>
      <c r="DX3501" s="5" t="s">
        <v>240</v>
      </c>
      <c r="DY3501" s="5" t="s">
        <v>240</v>
      </c>
      <c r="DZ3501" s="5" t="s">
        <v>240</v>
      </c>
      <c r="EA3501" s="5" t="s">
        <v>240</v>
      </c>
      <c r="EB3501" s="5" t="s">
        <v>240</v>
      </c>
      <c r="EC3501" s="5" t="s">
        <v>240</v>
      </c>
      <c r="ED3501" s="5" t="s">
        <v>240</v>
      </c>
      <c r="EE3501" s="5" t="s">
        <v>240</v>
      </c>
      <c r="EF3501" s="5" t="s">
        <v>240</v>
      </c>
      <c r="EG3501" s="5" t="s">
        <v>240</v>
      </c>
      <c r="EH3501" s="5" t="s">
        <v>240</v>
      </c>
      <c r="EI3501" s="5" t="s">
        <v>240</v>
      </c>
      <c r="EJ3501" s="5" t="s">
        <v>240</v>
      </c>
      <c r="EK3501" s="5" t="s">
        <v>240</v>
      </c>
      <c r="EL3501" s="5" t="s">
        <v>240</v>
      </c>
      <c r="EM3501" s="5" t="s">
        <v>240</v>
      </c>
      <c r="EN3501" s="5" t="s">
        <v>240</v>
      </c>
      <c r="EO3501" s="5" t="s">
        <v>240</v>
      </c>
      <c r="EP3501" s="5" t="s">
        <v>240</v>
      </c>
      <c r="EQ3501" s="5" t="s">
        <v>240</v>
      </c>
      <c r="ER3501" s="5" t="s">
        <v>240</v>
      </c>
      <c r="ES3501" s="5" t="s">
        <v>240</v>
      </c>
      <c r="ET3501" s="5" t="s">
        <v>240</v>
      </c>
      <c r="EU3501" s="5" t="s">
        <v>240</v>
      </c>
      <c r="EV3501" s="5" t="s">
        <v>240</v>
      </c>
      <c r="EW3501" s="5" t="s">
        <v>240</v>
      </c>
      <c r="EX3501" s="5" t="s">
        <v>240</v>
      </c>
      <c r="EY3501" s="5" t="s">
        <v>240</v>
      </c>
      <c r="EZ3501" s="5" t="s">
        <v>240</v>
      </c>
      <c r="FA3501" s="5" t="s">
        <v>240</v>
      </c>
      <c r="FB3501" s="5" t="s">
        <v>240</v>
      </c>
      <c r="FC3501" s="5" t="s">
        <v>240</v>
      </c>
      <c r="FD3501" s="5" t="s">
        <v>240</v>
      </c>
      <c r="FE3501" s="5" t="s">
        <v>240</v>
      </c>
      <c r="FF3501" s="5" t="s">
        <v>240</v>
      </c>
      <c r="FG3501" s="5" t="s">
        <v>240</v>
      </c>
      <c r="FH3501" s="5" t="s">
        <v>240</v>
      </c>
      <c r="FI3501" s="5" t="s">
        <v>240</v>
      </c>
      <c r="FJ3501" s="5" t="s">
        <v>240</v>
      </c>
      <c r="FK3501" s="5" t="s">
        <v>240</v>
      </c>
      <c r="FL3501" s="5" t="s">
        <v>240</v>
      </c>
      <c r="FM3501" s="5" t="s">
        <v>240</v>
      </c>
      <c r="FN3501" s="5" t="s">
        <v>240</v>
      </c>
      <c r="FO3501" s="5" t="s">
        <v>240</v>
      </c>
      <c r="FP3501" s="5" t="s">
        <v>240</v>
      </c>
      <c r="FQ3501" s="5" t="s">
        <v>240</v>
      </c>
      <c r="FR3501" s="5" t="s">
        <v>240</v>
      </c>
      <c r="FS3501" s="5" t="s">
        <v>240</v>
      </c>
      <c r="FT3501" s="5" t="s">
        <v>240</v>
      </c>
      <c r="FU3501" s="5" t="s">
        <v>240</v>
      </c>
      <c r="FV3501" s="5" t="s">
        <v>240</v>
      </c>
      <c r="FW3501" s="5" t="s">
        <v>240</v>
      </c>
      <c r="FX3501" s="5" t="s">
        <v>240</v>
      </c>
      <c r="FY3501" s="5" t="s">
        <v>240</v>
      </c>
      <c r="FZ3501" s="5" t="s">
        <v>240</v>
      </c>
      <c r="GA3501" s="5" t="s">
        <v>240</v>
      </c>
      <c r="GB3501" s="5" t="s">
        <v>240</v>
      </c>
      <c r="GC3501" s="5" t="s">
        <v>240</v>
      </c>
      <c r="GD3501" s="5" t="s">
        <v>240</v>
      </c>
      <c r="GE3501" s="5" t="s">
        <v>240</v>
      </c>
      <c r="GF3501" s="5" t="s">
        <v>240</v>
      </c>
      <c r="GG3501" s="5" t="s">
        <v>240</v>
      </c>
      <c r="GH3501" s="5" t="s">
        <v>240</v>
      </c>
      <c r="GI3501" s="5" t="s">
        <v>240</v>
      </c>
      <c r="GJ3501" s="5" t="s">
        <v>240</v>
      </c>
      <c r="GK3501" s="5" t="s">
        <v>240</v>
      </c>
      <c r="GL3501" s="5" t="s">
        <v>240</v>
      </c>
      <c r="GM3501" s="5" t="s">
        <v>240</v>
      </c>
      <c r="GN3501" s="5" t="s">
        <v>240</v>
      </c>
      <c r="GO3501" s="5" t="s">
        <v>240</v>
      </c>
      <c r="GP3501" s="5" t="s">
        <v>240</v>
      </c>
      <c r="GQ3501" s="5" t="s">
        <v>240</v>
      </c>
      <c r="GR3501" s="5" t="s">
        <v>240</v>
      </c>
      <c r="GS3501" s="5" t="s">
        <v>240</v>
      </c>
      <c r="GT3501" s="5" t="s">
        <v>240</v>
      </c>
      <c r="GU3501" s="5" t="s">
        <v>240</v>
      </c>
      <c r="GV3501" s="5" t="s">
        <v>240</v>
      </c>
      <c r="GW3501" s="5" t="s">
        <v>240</v>
      </c>
      <c r="GX3501" s="5" t="s">
        <v>240</v>
      </c>
      <c r="GY3501" s="5" t="s">
        <v>240</v>
      </c>
      <c r="GZ3501" s="5" t="s">
        <v>240</v>
      </c>
      <c r="HA3501" s="5" t="s">
        <v>240</v>
      </c>
      <c r="HB3501" s="5" t="s">
        <v>240</v>
      </c>
      <c r="HC3501" s="5" t="s">
        <v>240</v>
      </c>
      <c r="HD3501" s="5" t="s">
        <v>240</v>
      </c>
      <c r="HE3501" s="5" t="s">
        <v>240</v>
      </c>
      <c r="HF3501" s="5" t="s">
        <v>240</v>
      </c>
      <c r="HG3501" s="5" t="s">
        <v>240</v>
      </c>
      <c r="HH3501" s="5" t="s">
        <v>240</v>
      </c>
      <c r="HI3501" s="5" t="s">
        <v>240</v>
      </c>
      <c r="HJ3501" s="5" t="s">
        <v>240</v>
      </c>
      <c r="HK3501" s="5" t="s">
        <v>240</v>
      </c>
      <c r="HL3501" s="5" t="s">
        <v>240</v>
      </c>
      <c r="HM3501" s="5" t="s">
        <v>240</v>
      </c>
      <c r="HN3501" s="5" t="s">
        <v>240</v>
      </c>
      <c r="HO3501" s="5" t="s">
        <v>312</v>
      </c>
      <c r="HP3501" s="5" t="s">
        <v>240</v>
      </c>
      <c r="HQ3501" s="5" t="s">
        <v>240</v>
      </c>
      <c r="HR3501" s="5" t="s">
        <v>240</v>
      </c>
      <c r="HS3501" s="5" t="s">
        <v>240</v>
      </c>
      <c r="HT3501" s="5" t="s">
        <v>240</v>
      </c>
      <c r="HU3501" s="5" t="s">
        <v>240</v>
      </c>
      <c r="HV3501" s="5" t="s">
        <v>240</v>
      </c>
      <c r="HW3501" s="5" t="s">
        <v>240</v>
      </c>
      <c r="HX3501" s="5" t="s">
        <v>240</v>
      </c>
      <c r="HY3501" s="5" t="s">
        <v>240</v>
      </c>
      <c r="HZ3501" s="5" t="s">
        <v>240</v>
      </c>
      <c r="IA3501" s="5" t="s">
        <v>240</v>
      </c>
      <c r="IB3501" s="5" t="s">
        <v>240</v>
      </c>
      <c r="IC3501" s="5" t="s">
        <v>240</v>
      </c>
      <c r="ID3501" s="5" t="s">
        <v>240</v>
      </c>
      <c r="IE3501" s="5" t="s">
        <v>240</v>
      </c>
      <c r="IF3501" s="5" t="s">
        <v>240</v>
      </c>
    </row>
    <row r="3502" spans="1:240" x14ac:dyDescent="0.4">
      <c r="A3502" s="5">
        <v>9044</v>
      </c>
      <c r="B3502" s="5">
        <v>1</v>
      </c>
      <c r="C3502" s="5">
        <v>1</v>
      </c>
      <c r="D3502" s="5" t="s">
        <v>723</v>
      </c>
      <c r="E3502" s="5" t="s">
        <v>5060</v>
      </c>
      <c r="F3502" s="5" t="s">
        <v>254</v>
      </c>
      <c r="G3502" s="5" t="s">
        <v>5061</v>
      </c>
      <c r="H3502" s="6" t="s">
        <v>5943</v>
      </c>
      <c r="I3502" s="5" t="s">
        <v>5942</v>
      </c>
      <c r="J3502" s="7">
        <f>1</f>
        <v>1</v>
      </c>
      <c r="K3502" s="5" t="s">
        <v>3682</v>
      </c>
      <c r="L3502" s="7">
        <f>1</f>
        <v>1</v>
      </c>
      <c r="M3502" s="7">
        <f>1</f>
        <v>1</v>
      </c>
      <c r="N3502" s="5" t="s">
        <v>242</v>
      </c>
      <c r="O3502" s="5">
        <v>1</v>
      </c>
      <c r="P3502" s="5" t="s">
        <v>294</v>
      </c>
      <c r="Q3502" s="5" t="s">
        <v>266</v>
      </c>
      <c r="R3502" s="5" t="s">
        <v>240</v>
      </c>
      <c r="S3502" s="5" t="s">
        <v>240</v>
      </c>
      <c r="T3502" s="5" t="s">
        <v>296</v>
      </c>
      <c r="U3502" s="5" t="s">
        <v>244</v>
      </c>
      <c r="V3502" s="5" t="s">
        <v>240</v>
      </c>
      <c r="Y3502" s="5" t="s">
        <v>240</v>
      </c>
      <c r="Z3502" s="6" t="s">
        <v>298</v>
      </c>
      <c r="AB3502" s="6" t="s">
        <v>240</v>
      </c>
      <c r="AE3502" s="6" t="s">
        <v>299</v>
      </c>
      <c r="AF3502" s="5" t="s">
        <v>248</v>
      </c>
      <c r="AG3502" s="5" t="s">
        <v>249</v>
      </c>
      <c r="AW3502" s="5" t="s">
        <v>251</v>
      </c>
      <c r="AX3502" s="5" t="s">
        <v>240</v>
      </c>
      <c r="AY3502" s="5" t="s">
        <v>253</v>
      </c>
      <c r="AZ3502" s="5" t="s">
        <v>240</v>
      </c>
      <c r="BA3502" s="5" t="s">
        <v>255</v>
      </c>
      <c r="BB3502" s="5" t="s">
        <v>240</v>
      </c>
      <c r="BD3502" s="5" t="s">
        <v>240</v>
      </c>
      <c r="BF3502" s="5" t="s">
        <v>301</v>
      </c>
      <c r="BG3502" s="6" t="s">
        <v>299</v>
      </c>
      <c r="BH3502" s="5" t="s">
        <v>302</v>
      </c>
      <c r="BI3502" s="5" t="s">
        <v>303</v>
      </c>
      <c r="BJ3502" s="5" t="s">
        <v>240</v>
      </c>
      <c r="BK3502" s="8">
        <f>0</f>
        <v>0</v>
      </c>
      <c r="BL3502" s="7">
        <f>0</f>
        <v>0</v>
      </c>
      <c r="BM3502" s="5" t="s">
        <v>258</v>
      </c>
      <c r="BN3502" s="5" t="s">
        <v>259</v>
      </c>
      <c r="CB3502" s="5" t="s">
        <v>240</v>
      </c>
      <c r="CC3502" s="5" t="s">
        <v>240</v>
      </c>
      <c r="CG3502" s="5" t="s">
        <v>304</v>
      </c>
      <c r="CH3502" s="5" t="s">
        <v>305</v>
      </c>
      <c r="CI3502" s="5" t="s">
        <v>240</v>
      </c>
      <c r="CL3502" s="6" t="s">
        <v>261</v>
      </c>
      <c r="CM3502" s="5" t="s">
        <v>240</v>
      </c>
      <c r="CN3502" s="5" t="s">
        <v>263</v>
      </c>
      <c r="CO3502" s="5" t="s">
        <v>240</v>
      </c>
      <c r="CP3502" s="5" t="s">
        <v>240</v>
      </c>
      <c r="CQ3502" s="5">
        <v>0</v>
      </c>
      <c r="CR3502" s="5" t="s">
        <v>306</v>
      </c>
      <c r="CS3502" s="5" t="s">
        <v>307</v>
      </c>
      <c r="CT3502" s="5" t="s">
        <v>307</v>
      </c>
      <c r="CU3502" s="5" t="s">
        <v>260</v>
      </c>
      <c r="CX3502" s="7">
        <f>1</f>
        <v>1</v>
      </c>
      <c r="CY3502" s="7">
        <f>0</f>
        <v>0</v>
      </c>
      <c r="DA3502" s="7">
        <f>0</f>
        <v>0</v>
      </c>
      <c r="DC3502" s="5" t="s">
        <v>309</v>
      </c>
      <c r="DD3502" s="5" t="s">
        <v>240</v>
      </c>
      <c r="DF3502" s="5" t="s">
        <v>309</v>
      </c>
      <c r="DG3502" s="7">
        <f>216</f>
        <v>216</v>
      </c>
      <c r="DI3502" s="5" t="s">
        <v>240</v>
      </c>
      <c r="DJ3502" s="5" t="s">
        <v>240</v>
      </c>
      <c r="DK3502" s="5" t="s">
        <v>240</v>
      </c>
      <c r="DL3502" s="5" t="s">
        <v>240</v>
      </c>
      <c r="DP3502" s="5" t="s">
        <v>240</v>
      </c>
      <c r="DQ3502" s="5" t="s">
        <v>240</v>
      </c>
      <c r="DR3502" s="5" t="s">
        <v>240</v>
      </c>
      <c r="DS3502" s="5" t="s">
        <v>240</v>
      </c>
      <c r="DV3502" s="5" t="s">
        <v>310</v>
      </c>
      <c r="DW3502" s="5" t="s">
        <v>4038</v>
      </c>
      <c r="HO3502" s="5" t="s">
        <v>312</v>
      </c>
    </row>
    <row r="3503" spans="1:240" x14ac:dyDescent="0.4">
      <c r="A3503" s="5">
        <v>9045</v>
      </c>
      <c r="B3503" s="5">
        <v>1</v>
      </c>
      <c r="C3503" s="5">
        <v>1</v>
      </c>
      <c r="D3503" s="5" t="s">
        <v>723</v>
      </c>
      <c r="E3503" s="5" t="s">
        <v>5060</v>
      </c>
      <c r="F3503" s="5" t="s">
        <v>254</v>
      </c>
      <c r="G3503" s="5" t="s">
        <v>5061</v>
      </c>
      <c r="H3503" s="6" t="s">
        <v>5941</v>
      </c>
      <c r="I3503" s="5" t="s">
        <v>5940</v>
      </c>
      <c r="J3503" s="7">
        <f>1</f>
        <v>1</v>
      </c>
      <c r="K3503" s="5" t="s">
        <v>3682</v>
      </c>
      <c r="L3503" s="7">
        <f>1</f>
        <v>1</v>
      </c>
      <c r="M3503" s="7">
        <f>1</f>
        <v>1</v>
      </c>
      <c r="N3503" s="5" t="s">
        <v>242</v>
      </c>
      <c r="O3503" s="5">
        <v>1</v>
      </c>
      <c r="P3503" s="5" t="s">
        <v>294</v>
      </c>
      <c r="Q3503" s="5" t="s">
        <v>613</v>
      </c>
      <c r="R3503" s="5" t="s">
        <v>240</v>
      </c>
      <c r="S3503" s="5" t="s">
        <v>240</v>
      </c>
      <c r="T3503" s="5" t="s">
        <v>243</v>
      </c>
      <c r="U3503" s="5" t="s">
        <v>724</v>
      </c>
      <c r="V3503" s="5" t="s">
        <v>240</v>
      </c>
      <c r="W3503" s="5" t="s">
        <v>240</v>
      </c>
      <c r="X3503" s="5" t="s">
        <v>240</v>
      </c>
      <c r="Y3503" s="5" t="s">
        <v>240</v>
      </c>
      <c r="Z3503" s="6" t="s">
        <v>298</v>
      </c>
      <c r="AA3503" s="6" t="s">
        <v>240</v>
      </c>
      <c r="AB3503" s="6" t="s">
        <v>240</v>
      </c>
      <c r="AC3503" s="5" t="s">
        <v>240</v>
      </c>
      <c r="AD3503" s="6" t="s">
        <v>240</v>
      </c>
      <c r="AE3503" s="6" t="s">
        <v>299</v>
      </c>
      <c r="AF3503" s="5" t="s">
        <v>727</v>
      </c>
      <c r="AG3503" s="5" t="s">
        <v>260</v>
      </c>
      <c r="AH3503" s="5" t="s">
        <v>240</v>
      </c>
      <c r="AI3503" s="5" t="s">
        <v>240</v>
      </c>
      <c r="AJ3503" s="5" t="s">
        <v>240</v>
      </c>
      <c r="AK3503" s="5" t="s">
        <v>240</v>
      </c>
      <c r="AL3503" s="5" t="s">
        <v>240</v>
      </c>
      <c r="AM3503" s="5" t="s">
        <v>240</v>
      </c>
      <c r="AN3503" s="5" t="s">
        <v>240</v>
      </c>
      <c r="AO3503" s="5" t="s">
        <v>240</v>
      </c>
      <c r="AP3503" s="6" t="s">
        <v>240</v>
      </c>
      <c r="AQ3503" s="6" t="s">
        <v>240</v>
      </c>
      <c r="AR3503" s="6" t="s">
        <v>240</v>
      </c>
      <c r="AS3503" s="6" t="s">
        <v>240</v>
      </c>
      <c r="AT3503" s="5" t="s">
        <v>240</v>
      </c>
      <c r="AU3503" s="5" t="s">
        <v>729</v>
      </c>
      <c r="AV3503" s="5" t="s">
        <v>729</v>
      </c>
      <c r="AW3503" s="5" t="s">
        <v>251</v>
      </c>
      <c r="AX3503" s="5" t="s">
        <v>252</v>
      </c>
      <c r="AY3503" s="5" t="s">
        <v>253</v>
      </c>
      <c r="AZ3503" s="5" t="s">
        <v>240</v>
      </c>
      <c r="BA3503" s="5" t="s">
        <v>255</v>
      </c>
      <c r="BB3503" s="5" t="s">
        <v>731</v>
      </c>
      <c r="BD3503" s="5" t="s">
        <v>240</v>
      </c>
      <c r="BF3503" s="5" t="s">
        <v>732</v>
      </c>
      <c r="BG3503" s="6" t="s">
        <v>733</v>
      </c>
      <c r="BH3503" s="5" t="s">
        <v>734</v>
      </c>
      <c r="BI3503" s="5" t="s">
        <v>734</v>
      </c>
      <c r="BJ3503" s="5" t="s">
        <v>240</v>
      </c>
      <c r="BK3503" s="8">
        <f>495.86</f>
        <v>495.86</v>
      </c>
      <c r="BL3503" s="7">
        <f>0</f>
        <v>0</v>
      </c>
      <c r="BM3503" s="5" t="s">
        <v>258</v>
      </c>
      <c r="BN3503" s="5" t="s">
        <v>259</v>
      </c>
      <c r="BO3503" s="5" t="s">
        <v>240</v>
      </c>
      <c r="BP3503" s="5" t="s">
        <v>240</v>
      </c>
      <c r="BQ3503" s="5" t="s">
        <v>240</v>
      </c>
      <c r="BR3503" s="5" t="s">
        <v>240</v>
      </c>
      <c r="BS3503" s="5" t="s">
        <v>240</v>
      </c>
      <c r="BT3503" s="5" t="s">
        <v>240</v>
      </c>
      <c r="BU3503" s="5" t="s">
        <v>240</v>
      </c>
      <c r="BV3503" s="5" t="s">
        <v>240</v>
      </c>
      <c r="BW3503" s="6" t="s">
        <v>240</v>
      </c>
      <c r="BX3503" s="5" t="s">
        <v>240</v>
      </c>
      <c r="BY3503" s="5" t="s">
        <v>240</v>
      </c>
      <c r="BZ3503" s="5" t="s">
        <v>240</v>
      </c>
      <c r="CA3503" s="5" t="s">
        <v>259</v>
      </c>
      <c r="CB3503" s="5" t="s">
        <v>240</v>
      </c>
      <c r="CC3503" s="5" t="s">
        <v>240</v>
      </c>
      <c r="CD3503" s="5" t="s">
        <v>240</v>
      </c>
      <c r="CE3503" s="5" t="s">
        <v>240</v>
      </c>
      <c r="CF3503" s="5" t="s">
        <v>240</v>
      </c>
      <c r="CG3503" s="5" t="s">
        <v>617</v>
      </c>
      <c r="CH3503" s="5" t="s">
        <v>305</v>
      </c>
      <c r="CI3503" s="5" t="s">
        <v>240</v>
      </c>
      <c r="CL3503" s="6" t="s">
        <v>261</v>
      </c>
      <c r="CM3503" s="5" t="s">
        <v>262</v>
      </c>
      <c r="CN3503" s="5" t="s">
        <v>263</v>
      </c>
      <c r="CO3503" s="5" t="s">
        <v>264</v>
      </c>
      <c r="CP3503" s="5" t="s">
        <v>240</v>
      </c>
      <c r="CQ3503" s="5">
        <v>0</v>
      </c>
      <c r="CR3503" s="5" t="s">
        <v>735</v>
      </c>
      <c r="CS3503" s="5" t="s">
        <v>307</v>
      </c>
      <c r="CT3503" s="5" t="s">
        <v>307</v>
      </c>
      <c r="CU3503" s="5" t="s">
        <v>260</v>
      </c>
      <c r="CV3503" s="5" t="s">
        <v>240</v>
      </c>
      <c r="CW3503" s="8">
        <f>0</f>
        <v>0</v>
      </c>
      <c r="CX3503" s="7">
        <f>0</f>
        <v>0</v>
      </c>
      <c r="CY3503" s="7">
        <f>0</f>
        <v>0</v>
      </c>
      <c r="DA3503" s="7">
        <f>5454</f>
        <v>5454</v>
      </c>
      <c r="DB3503" s="7" t="s">
        <v>240</v>
      </c>
      <c r="DC3503" s="5" t="s">
        <v>240</v>
      </c>
      <c r="DD3503" s="5" t="s">
        <v>240</v>
      </c>
      <c r="DE3503" s="5" t="s">
        <v>240</v>
      </c>
      <c r="DF3503" s="5" t="s">
        <v>450</v>
      </c>
      <c r="DG3503" s="7">
        <f>0</f>
        <v>0</v>
      </c>
      <c r="DI3503" s="5" t="s">
        <v>737</v>
      </c>
      <c r="DJ3503" s="5" t="s">
        <v>240</v>
      </c>
      <c r="DK3503" s="5" t="s">
        <v>240</v>
      </c>
      <c r="DL3503" s="5" t="s">
        <v>240</v>
      </c>
      <c r="DM3503" s="5" t="s">
        <v>240</v>
      </c>
      <c r="DN3503" s="5" t="s">
        <v>240</v>
      </c>
      <c r="DO3503" s="7" t="s">
        <v>240</v>
      </c>
      <c r="DP3503" s="5" t="s">
        <v>240</v>
      </c>
      <c r="DQ3503" s="5" t="s">
        <v>240</v>
      </c>
      <c r="DR3503" s="5" t="s">
        <v>731</v>
      </c>
      <c r="DS3503" s="5" t="s">
        <v>731</v>
      </c>
      <c r="DT3503" s="5" t="s">
        <v>240</v>
      </c>
      <c r="DU3503" s="5" t="s">
        <v>240</v>
      </c>
      <c r="DV3503" s="5" t="s">
        <v>738</v>
      </c>
      <c r="DW3503" s="5" t="s">
        <v>590</v>
      </c>
      <c r="DX3503" s="5" t="s">
        <v>240</v>
      </c>
      <c r="DY3503" s="5" t="s">
        <v>240</v>
      </c>
      <c r="DZ3503" s="5" t="s">
        <v>240</v>
      </c>
      <c r="EA3503" s="5" t="s">
        <v>240</v>
      </c>
      <c r="EB3503" s="5" t="s">
        <v>240</v>
      </c>
      <c r="EC3503" s="5" t="s">
        <v>240</v>
      </c>
      <c r="ED3503" s="5" t="s">
        <v>240</v>
      </c>
      <c r="EE3503" s="5" t="s">
        <v>240</v>
      </c>
      <c r="EF3503" s="5" t="s">
        <v>240</v>
      </c>
      <c r="EG3503" s="5" t="s">
        <v>240</v>
      </c>
      <c r="EH3503" s="5" t="s">
        <v>240</v>
      </c>
      <c r="EI3503" s="5" t="s">
        <v>240</v>
      </c>
      <c r="EJ3503" s="5" t="s">
        <v>240</v>
      </c>
      <c r="EK3503" s="5" t="s">
        <v>240</v>
      </c>
      <c r="EL3503" s="5" t="s">
        <v>240</v>
      </c>
      <c r="EM3503" s="5" t="s">
        <v>240</v>
      </c>
      <c r="EN3503" s="5" t="s">
        <v>240</v>
      </c>
      <c r="EO3503" s="5" t="s">
        <v>240</v>
      </c>
      <c r="EP3503" s="5" t="s">
        <v>240</v>
      </c>
      <c r="EQ3503" s="5" t="s">
        <v>240</v>
      </c>
      <c r="ER3503" s="5" t="s">
        <v>240</v>
      </c>
      <c r="ES3503" s="5" t="s">
        <v>240</v>
      </c>
      <c r="ET3503" s="5" t="s">
        <v>240</v>
      </c>
      <c r="EU3503" s="5" t="s">
        <v>240</v>
      </c>
      <c r="EV3503" s="5" t="s">
        <v>240</v>
      </c>
      <c r="EW3503" s="5" t="s">
        <v>240</v>
      </c>
      <c r="EX3503" s="5" t="s">
        <v>240</v>
      </c>
      <c r="EY3503" s="5" t="s">
        <v>240</v>
      </c>
      <c r="EZ3503" s="5" t="s">
        <v>240</v>
      </c>
      <c r="FA3503" s="5" t="s">
        <v>240</v>
      </c>
      <c r="FB3503" s="5" t="s">
        <v>240</v>
      </c>
      <c r="FC3503" s="5" t="s">
        <v>240</v>
      </c>
      <c r="FD3503" s="5" t="s">
        <v>240</v>
      </c>
      <c r="FE3503" s="5" t="s">
        <v>240</v>
      </c>
      <c r="FF3503" s="5" t="s">
        <v>240</v>
      </c>
      <c r="FG3503" s="5" t="s">
        <v>240</v>
      </c>
      <c r="FH3503" s="5" t="s">
        <v>240</v>
      </c>
      <c r="FI3503" s="5" t="s">
        <v>240</v>
      </c>
      <c r="FJ3503" s="5" t="s">
        <v>240</v>
      </c>
      <c r="FK3503" s="5" t="s">
        <v>240</v>
      </c>
      <c r="FL3503" s="5" t="s">
        <v>240</v>
      </c>
      <c r="FM3503" s="5" t="s">
        <v>240</v>
      </c>
      <c r="FN3503" s="5" t="s">
        <v>240</v>
      </c>
      <c r="FO3503" s="5" t="s">
        <v>240</v>
      </c>
      <c r="FP3503" s="5" t="s">
        <v>240</v>
      </c>
      <c r="FQ3503" s="5" t="s">
        <v>240</v>
      </c>
      <c r="FR3503" s="5" t="s">
        <v>240</v>
      </c>
      <c r="FS3503" s="5" t="s">
        <v>240</v>
      </c>
      <c r="FT3503" s="5" t="s">
        <v>240</v>
      </c>
      <c r="FU3503" s="5" t="s">
        <v>240</v>
      </c>
      <c r="FV3503" s="5" t="s">
        <v>240</v>
      </c>
      <c r="FW3503" s="5" t="s">
        <v>240</v>
      </c>
      <c r="FX3503" s="5" t="s">
        <v>240</v>
      </c>
      <c r="FY3503" s="5" t="s">
        <v>240</v>
      </c>
      <c r="FZ3503" s="5" t="s">
        <v>240</v>
      </c>
      <c r="GA3503" s="5" t="s">
        <v>240</v>
      </c>
      <c r="GB3503" s="5" t="s">
        <v>240</v>
      </c>
      <c r="GC3503" s="5" t="s">
        <v>240</v>
      </c>
      <c r="GD3503" s="5" t="s">
        <v>240</v>
      </c>
      <c r="GE3503" s="5" t="s">
        <v>240</v>
      </c>
      <c r="GF3503" s="5" t="s">
        <v>240</v>
      </c>
      <c r="GG3503" s="5" t="s">
        <v>240</v>
      </c>
      <c r="GH3503" s="5" t="s">
        <v>240</v>
      </c>
      <c r="GI3503" s="5" t="s">
        <v>240</v>
      </c>
      <c r="GJ3503" s="5" t="s">
        <v>240</v>
      </c>
      <c r="GK3503" s="5" t="s">
        <v>240</v>
      </c>
      <c r="GL3503" s="5" t="s">
        <v>240</v>
      </c>
      <c r="GM3503" s="5" t="s">
        <v>240</v>
      </c>
      <c r="GN3503" s="5" t="s">
        <v>240</v>
      </c>
      <c r="GO3503" s="5" t="s">
        <v>240</v>
      </c>
      <c r="GP3503" s="5" t="s">
        <v>240</v>
      </c>
      <c r="GQ3503" s="5" t="s">
        <v>240</v>
      </c>
      <c r="GR3503" s="5" t="s">
        <v>240</v>
      </c>
      <c r="GS3503" s="5" t="s">
        <v>240</v>
      </c>
      <c r="GT3503" s="5" t="s">
        <v>240</v>
      </c>
      <c r="GU3503" s="5" t="s">
        <v>240</v>
      </c>
      <c r="GV3503" s="5" t="s">
        <v>240</v>
      </c>
      <c r="GW3503" s="5" t="s">
        <v>240</v>
      </c>
      <c r="GX3503" s="5" t="s">
        <v>240</v>
      </c>
      <c r="GY3503" s="5" t="s">
        <v>240</v>
      </c>
      <c r="GZ3503" s="5" t="s">
        <v>240</v>
      </c>
      <c r="HA3503" s="5" t="s">
        <v>240</v>
      </c>
      <c r="HB3503" s="5" t="s">
        <v>240</v>
      </c>
      <c r="HC3503" s="5" t="s">
        <v>240</v>
      </c>
      <c r="HD3503" s="5" t="s">
        <v>240</v>
      </c>
      <c r="HE3503" s="5" t="s">
        <v>240</v>
      </c>
      <c r="HF3503" s="5" t="s">
        <v>240</v>
      </c>
      <c r="HG3503" s="5" t="s">
        <v>240</v>
      </c>
      <c r="HH3503" s="5" t="s">
        <v>240</v>
      </c>
      <c r="HI3503" s="5" t="s">
        <v>240</v>
      </c>
      <c r="HJ3503" s="5" t="s">
        <v>240</v>
      </c>
      <c r="HK3503" s="5" t="s">
        <v>240</v>
      </c>
      <c r="HL3503" s="5" t="s">
        <v>240</v>
      </c>
      <c r="HM3503" s="5" t="s">
        <v>240</v>
      </c>
      <c r="HN3503" s="5" t="s">
        <v>240</v>
      </c>
      <c r="HO3503" s="5" t="s">
        <v>620</v>
      </c>
      <c r="HP3503" s="5" t="s">
        <v>240</v>
      </c>
      <c r="HQ3503" s="5" t="s">
        <v>240</v>
      </c>
      <c r="HR3503" s="5" t="s">
        <v>240</v>
      </c>
      <c r="HS3503" s="5" t="s">
        <v>240</v>
      </c>
      <c r="HT3503" s="5" t="s">
        <v>240</v>
      </c>
      <c r="HU3503" s="5" t="s">
        <v>240</v>
      </c>
      <c r="HV3503" s="5" t="s">
        <v>240</v>
      </c>
      <c r="HW3503" s="5" t="s">
        <v>240</v>
      </c>
      <c r="HX3503" s="5" t="s">
        <v>240</v>
      </c>
      <c r="HY3503" s="5" t="s">
        <v>240</v>
      </c>
      <c r="HZ3503" s="5" t="s">
        <v>240</v>
      </c>
      <c r="IA3503" s="5" t="s">
        <v>240</v>
      </c>
      <c r="IB3503" s="5" t="s">
        <v>240</v>
      </c>
      <c r="IC3503" s="5" t="s">
        <v>240</v>
      </c>
      <c r="ID3503" s="5" t="s">
        <v>240</v>
      </c>
      <c r="IE3503" s="5" t="s">
        <v>240</v>
      </c>
      <c r="IF3503" s="5" t="s">
        <v>240</v>
      </c>
    </row>
    <row r="3504" spans="1:240" x14ac:dyDescent="0.4">
      <c r="A3504" s="5">
        <v>9046</v>
      </c>
      <c r="B3504" s="5">
        <v>1</v>
      </c>
      <c r="C3504" s="5">
        <v>1</v>
      </c>
      <c r="D3504" s="5" t="s">
        <v>723</v>
      </c>
      <c r="E3504" s="5" t="s">
        <v>5060</v>
      </c>
      <c r="F3504" s="5" t="s">
        <v>254</v>
      </c>
      <c r="G3504" s="5" t="s">
        <v>5061</v>
      </c>
      <c r="H3504" s="6" t="s">
        <v>5937</v>
      </c>
      <c r="I3504" s="5" t="s">
        <v>5936</v>
      </c>
      <c r="J3504" s="7">
        <f>1</f>
        <v>1</v>
      </c>
      <c r="K3504" s="5" t="s">
        <v>3682</v>
      </c>
      <c r="L3504" s="7">
        <f>1</f>
        <v>1</v>
      </c>
      <c r="M3504" s="7">
        <f>1</f>
        <v>1</v>
      </c>
      <c r="N3504" s="5" t="s">
        <v>242</v>
      </c>
      <c r="O3504" s="5">
        <v>1</v>
      </c>
      <c r="P3504" s="5" t="s">
        <v>294</v>
      </c>
      <c r="Q3504" s="5" t="s">
        <v>613</v>
      </c>
      <c r="R3504" s="5" t="s">
        <v>240</v>
      </c>
      <c r="S3504" s="5" t="s">
        <v>240</v>
      </c>
      <c r="T3504" s="5" t="s">
        <v>243</v>
      </c>
      <c r="U3504" s="5" t="s">
        <v>724</v>
      </c>
      <c r="V3504" s="5" t="s">
        <v>240</v>
      </c>
      <c r="W3504" s="5" t="s">
        <v>240</v>
      </c>
      <c r="X3504" s="5" t="s">
        <v>240</v>
      </c>
      <c r="Y3504" s="5" t="s">
        <v>240</v>
      </c>
      <c r="Z3504" s="6" t="s">
        <v>298</v>
      </c>
      <c r="AA3504" s="6" t="s">
        <v>240</v>
      </c>
      <c r="AB3504" s="6" t="s">
        <v>240</v>
      </c>
      <c r="AC3504" s="5" t="s">
        <v>240</v>
      </c>
      <c r="AD3504" s="6" t="s">
        <v>240</v>
      </c>
      <c r="AE3504" s="6" t="s">
        <v>299</v>
      </c>
      <c r="AF3504" s="5" t="s">
        <v>727</v>
      </c>
      <c r="AG3504" s="5" t="s">
        <v>260</v>
      </c>
      <c r="AH3504" s="5" t="s">
        <v>240</v>
      </c>
      <c r="AI3504" s="5" t="s">
        <v>240</v>
      </c>
      <c r="AJ3504" s="5" t="s">
        <v>240</v>
      </c>
      <c r="AK3504" s="5" t="s">
        <v>240</v>
      </c>
      <c r="AL3504" s="5" t="s">
        <v>240</v>
      </c>
      <c r="AM3504" s="5" t="s">
        <v>240</v>
      </c>
      <c r="AN3504" s="5" t="s">
        <v>240</v>
      </c>
      <c r="AO3504" s="5" t="s">
        <v>240</v>
      </c>
      <c r="AP3504" s="6" t="s">
        <v>240</v>
      </c>
      <c r="AQ3504" s="6" t="s">
        <v>240</v>
      </c>
      <c r="AR3504" s="6" t="s">
        <v>240</v>
      </c>
      <c r="AS3504" s="6" t="s">
        <v>240</v>
      </c>
      <c r="AT3504" s="5" t="s">
        <v>240</v>
      </c>
      <c r="AU3504" s="5" t="s">
        <v>729</v>
      </c>
      <c r="AV3504" s="5" t="s">
        <v>729</v>
      </c>
      <c r="AW3504" s="5" t="s">
        <v>251</v>
      </c>
      <c r="AX3504" s="5" t="s">
        <v>252</v>
      </c>
      <c r="AY3504" s="5" t="s">
        <v>253</v>
      </c>
      <c r="AZ3504" s="5" t="s">
        <v>240</v>
      </c>
      <c r="BA3504" s="5" t="s">
        <v>255</v>
      </c>
      <c r="BB3504" s="5" t="s">
        <v>731</v>
      </c>
      <c r="BD3504" s="5" t="s">
        <v>240</v>
      </c>
      <c r="BF3504" s="5" t="s">
        <v>732</v>
      </c>
      <c r="BG3504" s="6" t="s">
        <v>733</v>
      </c>
      <c r="BH3504" s="5" t="s">
        <v>734</v>
      </c>
      <c r="BI3504" s="5" t="s">
        <v>734</v>
      </c>
      <c r="BJ3504" s="5" t="s">
        <v>240</v>
      </c>
      <c r="BK3504" s="8">
        <f>704</f>
        <v>704</v>
      </c>
      <c r="BL3504" s="7">
        <f>0</f>
        <v>0</v>
      </c>
      <c r="BM3504" s="5" t="s">
        <v>258</v>
      </c>
      <c r="BN3504" s="5" t="s">
        <v>259</v>
      </c>
      <c r="BO3504" s="5" t="s">
        <v>240</v>
      </c>
      <c r="BP3504" s="5" t="s">
        <v>240</v>
      </c>
      <c r="BQ3504" s="5" t="s">
        <v>240</v>
      </c>
      <c r="BR3504" s="5" t="s">
        <v>240</v>
      </c>
      <c r="BS3504" s="5" t="s">
        <v>240</v>
      </c>
      <c r="BT3504" s="5" t="s">
        <v>240</v>
      </c>
      <c r="BU3504" s="5" t="s">
        <v>240</v>
      </c>
      <c r="BV3504" s="5" t="s">
        <v>240</v>
      </c>
      <c r="BW3504" s="6" t="s">
        <v>240</v>
      </c>
      <c r="BX3504" s="5" t="s">
        <v>240</v>
      </c>
      <c r="BY3504" s="5" t="s">
        <v>240</v>
      </c>
      <c r="BZ3504" s="5" t="s">
        <v>240</v>
      </c>
      <c r="CA3504" s="5" t="s">
        <v>259</v>
      </c>
      <c r="CB3504" s="5" t="s">
        <v>240</v>
      </c>
      <c r="CC3504" s="5" t="s">
        <v>240</v>
      </c>
      <c r="CD3504" s="5" t="s">
        <v>240</v>
      </c>
      <c r="CE3504" s="5" t="s">
        <v>240</v>
      </c>
      <c r="CF3504" s="5" t="s">
        <v>240</v>
      </c>
      <c r="CG3504" s="5" t="s">
        <v>617</v>
      </c>
      <c r="CH3504" s="5" t="s">
        <v>305</v>
      </c>
      <c r="CI3504" s="5" t="s">
        <v>240</v>
      </c>
      <c r="CL3504" s="6" t="s">
        <v>261</v>
      </c>
      <c r="CM3504" s="5" t="s">
        <v>262</v>
      </c>
      <c r="CN3504" s="5" t="s">
        <v>263</v>
      </c>
      <c r="CO3504" s="5" t="s">
        <v>264</v>
      </c>
      <c r="CP3504" s="5" t="s">
        <v>240</v>
      </c>
      <c r="CQ3504" s="5">
        <v>0</v>
      </c>
      <c r="CR3504" s="5" t="s">
        <v>735</v>
      </c>
      <c r="CS3504" s="5" t="s">
        <v>307</v>
      </c>
      <c r="CT3504" s="5" t="s">
        <v>307</v>
      </c>
      <c r="CU3504" s="5" t="s">
        <v>260</v>
      </c>
      <c r="CV3504" s="5" t="s">
        <v>240</v>
      </c>
      <c r="CW3504" s="8">
        <f>0</f>
        <v>0</v>
      </c>
      <c r="CX3504" s="7">
        <f>0</f>
        <v>0</v>
      </c>
      <c r="CY3504" s="7">
        <f>0</f>
        <v>0</v>
      </c>
      <c r="DA3504" s="7">
        <f>7744</f>
        <v>7744</v>
      </c>
      <c r="DB3504" s="7" t="s">
        <v>240</v>
      </c>
      <c r="DC3504" s="5" t="s">
        <v>240</v>
      </c>
      <c r="DD3504" s="5" t="s">
        <v>240</v>
      </c>
      <c r="DE3504" s="5" t="s">
        <v>240</v>
      </c>
      <c r="DF3504" s="5" t="s">
        <v>450</v>
      </c>
      <c r="DG3504" s="7">
        <f>0</f>
        <v>0</v>
      </c>
      <c r="DI3504" s="5" t="s">
        <v>737</v>
      </c>
      <c r="DJ3504" s="5" t="s">
        <v>240</v>
      </c>
      <c r="DK3504" s="5" t="s">
        <v>240</v>
      </c>
      <c r="DL3504" s="5" t="s">
        <v>240</v>
      </c>
      <c r="DM3504" s="5" t="s">
        <v>240</v>
      </c>
      <c r="DN3504" s="5" t="s">
        <v>240</v>
      </c>
      <c r="DO3504" s="7" t="s">
        <v>240</v>
      </c>
      <c r="DP3504" s="5" t="s">
        <v>240</v>
      </c>
      <c r="DQ3504" s="5" t="s">
        <v>240</v>
      </c>
      <c r="DR3504" s="5" t="s">
        <v>731</v>
      </c>
      <c r="DS3504" s="5" t="s">
        <v>731</v>
      </c>
      <c r="DT3504" s="5" t="s">
        <v>240</v>
      </c>
      <c r="DU3504" s="5" t="s">
        <v>240</v>
      </c>
      <c r="DV3504" s="5" t="s">
        <v>738</v>
      </c>
      <c r="DW3504" s="5" t="s">
        <v>544</v>
      </c>
      <c r="DX3504" s="5" t="s">
        <v>240</v>
      </c>
      <c r="DY3504" s="5" t="s">
        <v>240</v>
      </c>
      <c r="DZ3504" s="5" t="s">
        <v>240</v>
      </c>
      <c r="EA3504" s="5" t="s">
        <v>240</v>
      </c>
      <c r="EB3504" s="5" t="s">
        <v>240</v>
      </c>
      <c r="EC3504" s="5" t="s">
        <v>240</v>
      </c>
      <c r="ED3504" s="5" t="s">
        <v>240</v>
      </c>
      <c r="EE3504" s="5" t="s">
        <v>240</v>
      </c>
      <c r="EF3504" s="5" t="s">
        <v>240</v>
      </c>
      <c r="EG3504" s="5" t="s">
        <v>240</v>
      </c>
      <c r="EH3504" s="5" t="s">
        <v>240</v>
      </c>
      <c r="EI3504" s="5" t="s">
        <v>240</v>
      </c>
      <c r="EJ3504" s="5" t="s">
        <v>240</v>
      </c>
      <c r="EK3504" s="5" t="s">
        <v>240</v>
      </c>
      <c r="EL3504" s="5" t="s">
        <v>240</v>
      </c>
      <c r="EM3504" s="5" t="s">
        <v>240</v>
      </c>
      <c r="EN3504" s="5" t="s">
        <v>240</v>
      </c>
      <c r="EO3504" s="5" t="s">
        <v>240</v>
      </c>
      <c r="EP3504" s="5" t="s">
        <v>240</v>
      </c>
      <c r="EQ3504" s="5" t="s">
        <v>240</v>
      </c>
      <c r="ER3504" s="5" t="s">
        <v>240</v>
      </c>
      <c r="ES3504" s="5" t="s">
        <v>240</v>
      </c>
      <c r="ET3504" s="5" t="s">
        <v>240</v>
      </c>
      <c r="EU3504" s="5" t="s">
        <v>240</v>
      </c>
      <c r="EV3504" s="5" t="s">
        <v>240</v>
      </c>
      <c r="EW3504" s="5" t="s">
        <v>240</v>
      </c>
      <c r="EX3504" s="5" t="s">
        <v>240</v>
      </c>
      <c r="EY3504" s="5" t="s">
        <v>240</v>
      </c>
      <c r="EZ3504" s="5" t="s">
        <v>240</v>
      </c>
      <c r="FA3504" s="5" t="s">
        <v>240</v>
      </c>
      <c r="FB3504" s="5" t="s">
        <v>240</v>
      </c>
      <c r="FC3504" s="5" t="s">
        <v>240</v>
      </c>
      <c r="FD3504" s="5" t="s">
        <v>240</v>
      </c>
      <c r="FE3504" s="5" t="s">
        <v>240</v>
      </c>
      <c r="FF3504" s="5" t="s">
        <v>240</v>
      </c>
      <c r="FG3504" s="5" t="s">
        <v>240</v>
      </c>
      <c r="FH3504" s="5" t="s">
        <v>240</v>
      </c>
      <c r="FI3504" s="5" t="s">
        <v>240</v>
      </c>
      <c r="FJ3504" s="5" t="s">
        <v>240</v>
      </c>
      <c r="FK3504" s="5" t="s">
        <v>240</v>
      </c>
      <c r="FL3504" s="5" t="s">
        <v>240</v>
      </c>
      <c r="FM3504" s="5" t="s">
        <v>240</v>
      </c>
      <c r="FN3504" s="5" t="s">
        <v>240</v>
      </c>
      <c r="FO3504" s="5" t="s">
        <v>240</v>
      </c>
      <c r="FP3504" s="5" t="s">
        <v>240</v>
      </c>
      <c r="FQ3504" s="5" t="s">
        <v>240</v>
      </c>
      <c r="FR3504" s="5" t="s">
        <v>240</v>
      </c>
      <c r="FS3504" s="5" t="s">
        <v>240</v>
      </c>
      <c r="FT3504" s="5" t="s">
        <v>240</v>
      </c>
      <c r="FU3504" s="5" t="s">
        <v>240</v>
      </c>
      <c r="FV3504" s="5" t="s">
        <v>240</v>
      </c>
      <c r="FW3504" s="5" t="s">
        <v>240</v>
      </c>
      <c r="FX3504" s="5" t="s">
        <v>240</v>
      </c>
      <c r="FY3504" s="5" t="s">
        <v>240</v>
      </c>
      <c r="FZ3504" s="5" t="s">
        <v>240</v>
      </c>
      <c r="GA3504" s="5" t="s">
        <v>240</v>
      </c>
      <c r="GB3504" s="5" t="s">
        <v>240</v>
      </c>
      <c r="GC3504" s="5" t="s">
        <v>240</v>
      </c>
      <c r="GD3504" s="5" t="s">
        <v>240</v>
      </c>
      <c r="GE3504" s="5" t="s">
        <v>240</v>
      </c>
      <c r="GF3504" s="5" t="s">
        <v>240</v>
      </c>
      <c r="GG3504" s="5" t="s">
        <v>240</v>
      </c>
      <c r="GH3504" s="5" t="s">
        <v>240</v>
      </c>
      <c r="GI3504" s="5" t="s">
        <v>240</v>
      </c>
      <c r="GJ3504" s="5" t="s">
        <v>240</v>
      </c>
      <c r="GK3504" s="5" t="s">
        <v>240</v>
      </c>
      <c r="GL3504" s="5" t="s">
        <v>240</v>
      </c>
      <c r="GM3504" s="5" t="s">
        <v>240</v>
      </c>
      <c r="GN3504" s="5" t="s">
        <v>240</v>
      </c>
      <c r="GO3504" s="5" t="s">
        <v>240</v>
      </c>
      <c r="GP3504" s="5" t="s">
        <v>240</v>
      </c>
      <c r="GQ3504" s="5" t="s">
        <v>240</v>
      </c>
      <c r="GR3504" s="5" t="s">
        <v>240</v>
      </c>
      <c r="GS3504" s="5" t="s">
        <v>240</v>
      </c>
      <c r="GT3504" s="5" t="s">
        <v>240</v>
      </c>
      <c r="GU3504" s="5" t="s">
        <v>240</v>
      </c>
      <c r="GV3504" s="5" t="s">
        <v>240</v>
      </c>
      <c r="GW3504" s="5" t="s">
        <v>240</v>
      </c>
      <c r="GX3504" s="5" t="s">
        <v>240</v>
      </c>
      <c r="GY3504" s="5" t="s">
        <v>240</v>
      </c>
      <c r="GZ3504" s="5" t="s">
        <v>240</v>
      </c>
      <c r="HA3504" s="5" t="s">
        <v>240</v>
      </c>
      <c r="HB3504" s="5" t="s">
        <v>240</v>
      </c>
      <c r="HC3504" s="5" t="s">
        <v>240</v>
      </c>
      <c r="HD3504" s="5" t="s">
        <v>240</v>
      </c>
      <c r="HE3504" s="5" t="s">
        <v>240</v>
      </c>
      <c r="HF3504" s="5" t="s">
        <v>240</v>
      </c>
      <c r="HG3504" s="5" t="s">
        <v>240</v>
      </c>
      <c r="HH3504" s="5" t="s">
        <v>240</v>
      </c>
      <c r="HI3504" s="5" t="s">
        <v>240</v>
      </c>
      <c r="HJ3504" s="5" t="s">
        <v>240</v>
      </c>
      <c r="HK3504" s="5" t="s">
        <v>240</v>
      </c>
      <c r="HL3504" s="5" t="s">
        <v>240</v>
      </c>
      <c r="HM3504" s="5" t="s">
        <v>240</v>
      </c>
      <c r="HN3504" s="5" t="s">
        <v>240</v>
      </c>
      <c r="HO3504" s="5" t="s">
        <v>620</v>
      </c>
      <c r="HP3504" s="5" t="s">
        <v>240</v>
      </c>
      <c r="HQ3504" s="5" t="s">
        <v>240</v>
      </c>
      <c r="HR3504" s="5" t="s">
        <v>240</v>
      </c>
      <c r="HS3504" s="5" t="s">
        <v>240</v>
      </c>
      <c r="HT3504" s="5" t="s">
        <v>240</v>
      </c>
      <c r="HU3504" s="5" t="s">
        <v>240</v>
      </c>
      <c r="HV3504" s="5" t="s">
        <v>240</v>
      </c>
      <c r="HW3504" s="5" t="s">
        <v>240</v>
      </c>
      <c r="HX3504" s="5" t="s">
        <v>240</v>
      </c>
      <c r="HY3504" s="5" t="s">
        <v>240</v>
      </c>
      <c r="HZ3504" s="5" t="s">
        <v>240</v>
      </c>
      <c r="IA3504" s="5" t="s">
        <v>240</v>
      </c>
      <c r="IB3504" s="5" t="s">
        <v>240</v>
      </c>
      <c r="IC3504" s="5" t="s">
        <v>240</v>
      </c>
      <c r="ID3504" s="5" t="s">
        <v>240</v>
      </c>
      <c r="IE3504" s="5" t="s">
        <v>240</v>
      </c>
      <c r="IF3504" s="5" t="s">
        <v>240</v>
      </c>
    </row>
    <row r="3505" spans="1:240" x14ac:dyDescent="0.4">
      <c r="A3505" s="5">
        <v>9047</v>
      </c>
      <c r="B3505" s="5">
        <v>1</v>
      </c>
      <c r="C3505" s="5">
        <v>1</v>
      </c>
      <c r="D3505" s="5" t="s">
        <v>723</v>
      </c>
      <c r="E3505" s="5" t="s">
        <v>5060</v>
      </c>
      <c r="F3505" s="5" t="s">
        <v>254</v>
      </c>
      <c r="G3505" s="5" t="s">
        <v>5061</v>
      </c>
      <c r="H3505" s="6" t="s">
        <v>5935</v>
      </c>
      <c r="I3505" s="5" t="s">
        <v>5934</v>
      </c>
      <c r="J3505" s="7">
        <f>1</f>
        <v>1</v>
      </c>
      <c r="K3505" s="5" t="s">
        <v>3682</v>
      </c>
      <c r="L3505" s="7">
        <f>1</f>
        <v>1</v>
      </c>
      <c r="M3505" s="7">
        <f>1</f>
        <v>1</v>
      </c>
      <c r="N3505" s="5" t="s">
        <v>242</v>
      </c>
      <c r="O3505" s="5">
        <v>1</v>
      </c>
      <c r="P3505" s="5" t="s">
        <v>294</v>
      </c>
      <c r="Q3505" s="5" t="s">
        <v>613</v>
      </c>
      <c r="R3505" s="5" t="s">
        <v>240</v>
      </c>
      <c r="S3505" s="5" t="s">
        <v>240</v>
      </c>
      <c r="T3505" s="5" t="s">
        <v>243</v>
      </c>
      <c r="U3505" s="5" t="s">
        <v>724</v>
      </c>
      <c r="V3505" s="5" t="s">
        <v>240</v>
      </c>
      <c r="W3505" s="5" t="s">
        <v>240</v>
      </c>
      <c r="X3505" s="5" t="s">
        <v>240</v>
      </c>
      <c r="Y3505" s="5" t="s">
        <v>240</v>
      </c>
      <c r="Z3505" s="6" t="s">
        <v>298</v>
      </c>
      <c r="AA3505" s="6" t="s">
        <v>240</v>
      </c>
      <c r="AB3505" s="6" t="s">
        <v>240</v>
      </c>
      <c r="AC3505" s="5" t="s">
        <v>240</v>
      </c>
      <c r="AD3505" s="6" t="s">
        <v>240</v>
      </c>
      <c r="AE3505" s="6" t="s">
        <v>299</v>
      </c>
      <c r="AF3505" s="5" t="s">
        <v>727</v>
      </c>
      <c r="AG3505" s="5" t="s">
        <v>260</v>
      </c>
      <c r="AH3505" s="5" t="s">
        <v>240</v>
      </c>
      <c r="AI3505" s="5" t="s">
        <v>240</v>
      </c>
      <c r="AJ3505" s="5" t="s">
        <v>240</v>
      </c>
      <c r="AK3505" s="5" t="s">
        <v>240</v>
      </c>
      <c r="AL3505" s="5" t="s">
        <v>240</v>
      </c>
      <c r="AM3505" s="5" t="s">
        <v>240</v>
      </c>
      <c r="AN3505" s="5" t="s">
        <v>240</v>
      </c>
      <c r="AO3505" s="5" t="s">
        <v>240</v>
      </c>
      <c r="AP3505" s="6" t="s">
        <v>240</v>
      </c>
      <c r="AQ3505" s="6" t="s">
        <v>240</v>
      </c>
      <c r="AR3505" s="6" t="s">
        <v>240</v>
      </c>
      <c r="AS3505" s="6" t="s">
        <v>240</v>
      </c>
      <c r="AT3505" s="5" t="s">
        <v>240</v>
      </c>
      <c r="AU3505" s="5" t="s">
        <v>729</v>
      </c>
      <c r="AV3505" s="5" t="s">
        <v>729</v>
      </c>
      <c r="AW3505" s="5" t="s">
        <v>251</v>
      </c>
      <c r="AX3505" s="5" t="s">
        <v>252</v>
      </c>
      <c r="AY3505" s="5" t="s">
        <v>253</v>
      </c>
      <c r="AZ3505" s="5" t="s">
        <v>240</v>
      </c>
      <c r="BA3505" s="5" t="s">
        <v>255</v>
      </c>
      <c r="BB3505" s="5" t="s">
        <v>731</v>
      </c>
      <c r="BD3505" s="5" t="s">
        <v>240</v>
      </c>
      <c r="BF3505" s="5" t="s">
        <v>732</v>
      </c>
      <c r="BG3505" s="6" t="s">
        <v>733</v>
      </c>
      <c r="BH3505" s="5" t="s">
        <v>734</v>
      </c>
      <c r="BI3505" s="5" t="s">
        <v>734</v>
      </c>
      <c r="BJ3505" s="5" t="s">
        <v>240</v>
      </c>
      <c r="BK3505" s="8">
        <f>635</f>
        <v>635</v>
      </c>
      <c r="BL3505" s="7">
        <f>0</f>
        <v>0</v>
      </c>
      <c r="BM3505" s="5" t="s">
        <v>258</v>
      </c>
      <c r="BN3505" s="5" t="s">
        <v>259</v>
      </c>
      <c r="BO3505" s="5" t="s">
        <v>240</v>
      </c>
      <c r="BP3505" s="5" t="s">
        <v>240</v>
      </c>
      <c r="BQ3505" s="5" t="s">
        <v>240</v>
      </c>
      <c r="BR3505" s="5" t="s">
        <v>240</v>
      </c>
      <c r="BS3505" s="5" t="s">
        <v>240</v>
      </c>
      <c r="BT3505" s="5" t="s">
        <v>240</v>
      </c>
      <c r="BU3505" s="5" t="s">
        <v>240</v>
      </c>
      <c r="BV3505" s="5" t="s">
        <v>240</v>
      </c>
      <c r="BW3505" s="6" t="s">
        <v>240</v>
      </c>
      <c r="BX3505" s="5" t="s">
        <v>240</v>
      </c>
      <c r="BY3505" s="5" t="s">
        <v>240</v>
      </c>
      <c r="BZ3505" s="5" t="s">
        <v>240</v>
      </c>
      <c r="CA3505" s="5" t="s">
        <v>259</v>
      </c>
      <c r="CB3505" s="5" t="s">
        <v>240</v>
      </c>
      <c r="CC3505" s="5" t="s">
        <v>240</v>
      </c>
      <c r="CD3505" s="5" t="s">
        <v>240</v>
      </c>
      <c r="CE3505" s="5" t="s">
        <v>240</v>
      </c>
      <c r="CF3505" s="5" t="s">
        <v>240</v>
      </c>
      <c r="CG3505" s="5" t="s">
        <v>617</v>
      </c>
      <c r="CH3505" s="5" t="s">
        <v>305</v>
      </c>
      <c r="CI3505" s="5" t="s">
        <v>240</v>
      </c>
      <c r="CL3505" s="6" t="s">
        <v>261</v>
      </c>
      <c r="CM3505" s="5" t="s">
        <v>262</v>
      </c>
      <c r="CN3505" s="5" t="s">
        <v>263</v>
      </c>
      <c r="CO3505" s="5" t="s">
        <v>264</v>
      </c>
      <c r="CP3505" s="5" t="s">
        <v>240</v>
      </c>
      <c r="CQ3505" s="5">
        <v>0</v>
      </c>
      <c r="CR3505" s="5" t="s">
        <v>735</v>
      </c>
      <c r="CS3505" s="5" t="s">
        <v>307</v>
      </c>
      <c r="CT3505" s="5" t="s">
        <v>307</v>
      </c>
      <c r="CU3505" s="5" t="s">
        <v>260</v>
      </c>
      <c r="CV3505" s="5" t="s">
        <v>240</v>
      </c>
      <c r="CW3505" s="8">
        <f>0</f>
        <v>0</v>
      </c>
      <c r="CX3505" s="7">
        <f>0</f>
        <v>0</v>
      </c>
      <c r="CY3505" s="7">
        <f>0</f>
        <v>0</v>
      </c>
      <c r="DA3505" s="7">
        <f>6985</f>
        <v>6985</v>
      </c>
      <c r="DB3505" s="7" t="s">
        <v>240</v>
      </c>
      <c r="DC3505" s="5" t="s">
        <v>240</v>
      </c>
      <c r="DD3505" s="5" t="s">
        <v>240</v>
      </c>
      <c r="DE3505" s="5" t="s">
        <v>240</v>
      </c>
      <c r="DF3505" s="5" t="s">
        <v>450</v>
      </c>
      <c r="DG3505" s="7">
        <f>0</f>
        <v>0</v>
      </c>
      <c r="DI3505" s="5" t="s">
        <v>737</v>
      </c>
      <c r="DJ3505" s="5" t="s">
        <v>240</v>
      </c>
      <c r="DK3505" s="5" t="s">
        <v>240</v>
      </c>
      <c r="DL3505" s="5" t="s">
        <v>240</v>
      </c>
      <c r="DM3505" s="5" t="s">
        <v>240</v>
      </c>
      <c r="DN3505" s="5" t="s">
        <v>240</v>
      </c>
      <c r="DO3505" s="7" t="s">
        <v>240</v>
      </c>
      <c r="DP3505" s="5" t="s">
        <v>240</v>
      </c>
      <c r="DQ3505" s="5" t="s">
        <v>240</v>
      </c>
      <c r="DR3505" s="5" t="s">
        <v>731</v>
      </c>
      <c r="DS3505" s="5" t="s">
        <v>731</v>
      </c>
      <c r="DT3505" s="5" t="s">
        <v>240</v>
      </c>
      <c r="DU3505" s="5" t="s">
        <v>240</v>
      </c>
      <c r="DV3505" s="5" t="s">
        <v>738</v>
      </c>
      <c r="DW3505" s="5" t="s">
        <v>785</v>
      </c>
      <c r="DX3505" s="5" t="s">
        <v>240</v>
      </c>
      <c r="DY3505" s="5" t="s">
        <v>240</v>
      </c>
      <c r="DZ3505" s="5" t="s">
        <v>240</v>
      </c>
      <c r="EA3505" s="5" t="s">
        <v>240</v>
      </c>
      <c r="EB3505" s="5" t="s">
        <v>240</v>
      </c>
      <c r="EC3505" s="5" t="s">
        <v>240</v>
      </c>
      <c r="ED3505" s="5" t="s">
        <v>240</v>
      </c>
      <c r="EE3505" s="5" t="s">
        <v>240</v>
      </c>
      <c r="EF3505" s="5" t="s">
        <v>240</v>
      </c>
      <c r="EG3505" s="5" t="s">
        <v>240</v>
      </c>
      <c r="EH3505" s="5" t="s">
        <v>240</v>
      </c>
      <c r="EI3505" s="5" t="s">
        <v>240</v>
      </c>
      <c r="EJ3505" s="5" t="s">
        <v>240</v>
      </c>
      <c r="EK3505" s="5" t="s">
        <v>240</v>
      </c>
      <c r="EL3505" s="5" t="s">
        <v>240</v>
      </c>
      <c r="EM3505" s="5" t="s">
        <v>240</v>
      </c>
      <c r="EN3505" s="5" t="s">
        <v>240</v>
      </c>
      <c r="EO3505" s="5" t="s">
        <v>240</v>
      </c>
      <c r="EP3505" s="5" t="s">
        <v>240</v>
      </c>
      <c r="EQ3505" s="5" t="s">
        <v>240</v>
      </c>
      <c r="ER3505" s="5" t="s">
        <v>240</v>
      </c>
      <c r="ES3505" s="5" t="s">
        <v>240</v>
      </c>
      <c r="ET3505" s="5" t="s">
        <v>240</v>
      </c>
      <c r="EU3505" s="5" t="s">
        <v>240</v>
      </c>
      <c r="EV3505" s="5" t="s">
        <v>240</v>
      </c>
      <c r="EW3505" s="5" t="s">
        <v>240</v>
      </c>
      <c r="EX3505" s="5" t="s">
        <v>240</v>
      </c>
      <c r="EY3505" s="5" t="s">
        <v>240</v>
      </c>
      <c r="EZ3505" s="5" t="s">
        <v>240</v>
      </c>
      <c r="FA3505" s="5" t="s">
        <v>240</v>
      </c>
      <c r="FB3505" s="5" t="s">
        <v>240</v>
      </c>
      <c r="FC3505" s="5" t="s">
        <v>240</v>
      </c>
      <c r="FD3505" s="5" t="s">
        <v>240</v>
      </c>
      <c r="FE3505" s="5" t="s">
        <v>240</v>
      </c>
      <c r="FF3505" s="5" t="s">
        <v>240</v>
      </c>
      <c r="FG3505" s="5" t="s">
        <v>240</v>
      </c>
      <c r="FH3505" s="5" t="s">
        <v>240</v>
      </c>
      <c r="FI3505" s="5" t="s">
        <v>240</v>
      </c>
      <c r="FJ3505" s="5" t="s">
        <v>240</v>
      </c>
      <c r="FK3505" s="5" t="s">
        <v>240</v>
      </c>
      <c r="FL3505" s="5" t="s">
        <v>240</v>
      </c>
      <c r="FM3505" s="5" t="s">
        <v>240</v>
      </c>
      <c r="FN3505" s="5" t="s">
        <v>240</v>
      </c>
      <c r="FO3505" s="5" t="s">
        <v>240</v>
      </c>
      <c r="FP3505" s="5" t="s">
        <v>240</v>
      </c>
      <c r="FQ3505" s="5" t="s">
        <v>240</v>
      </c>
      <c r="FR3505" s="5" t="s">
        <v>240</v>
      </c>
      <c r="FS3505" s="5" t="s">
        <v>240</v>
      </c>
      <c r="FT3505" s="5" t="s">
        <v>240</v>
      </c>
      <c r="FU3505" s="5" t="s">
        <v>240</v>
      </c>
      <c r="FV3505" s="5" t="s">
        <v>240</v>
      </c>
      <c r="FW3505" s="5" t="s">
        <v>240</v>
      </c>
      <c r="FX3505" s="5" t="s">
        <v>240</v>
      </c>
      <c r="FY3505" s="5" t="s">
        <v>240</v>
      </c>
      <c r="FZ3505" s="5" t="s">
        <v>240</v>
      </c>
      <c r="GA3505" s="5" t="s">
        <v>240</v>
      </c>
      <c r="GB3505" s="5" t="s">
        <v>240</v>
      </c>
      <c r="GC3505" s="5" t="s">
        <v>240</v>
      </c>
      <c r="GD3505" s="5" t="s">
        <v>240</v>
      </c>
      <c r="GE3505" s="5" t="s">
        <v>240</v>
      </c>
      <c r="GF3505" s="5" t="s">
        <v>240</v>
      </c>
      <c r="GG3505" s="5" t="s">
        <v>240</v>
      </c>
      <c r="GH3505" s="5" t="s">
        <v>240</v>
      </c>
      <c r="GI3505" s="5" t="s">
        <v>240</v>
      </c>
      <c r="GJ3505" s="5" t="s">
        <v>240</v>
      </c>
      <c r="GK3505" s="5" t="s">
        <v>240</v>
      </c>
      <c r="GL3505" s="5" t="s">
        <v>240</v>
      </c>
      <c r="GM3505" s="5" t="s">
        <v>240</v>
      </c>
      <c r="GN3505" s="5" t="s">
        <v>240</v>
      </c>
      <c r="GO3505" s="5" t="s">
        <v>240</v>
      </c>
      <c r="GP3505" s="5" t="s">
        <v>240</v>
      </c>
      <c r="GQ3505" s="5" t="s">
        <v>240</v>
      </c>
      <c r="GR3505" s="5" t="s">
        <v>240</v>
      </c>
      <c r="GS3505" s="5" t="s">
        <v>240</v>
      </c>
      <c r="GT3505" s="5" t="s">
        <v>240</v>
      </c>
      <c r="GU3505" s="5" t="s">
        <v>240</v>
      </c>
      <c r="GV3505" s="5" t="s">
        <v>240</v>
      </c>
      <c r="GW3505" s="5" t="s">
        <v>240</v>
      </c>
      <c r="GX3505" s="5" t="s">
        <v>240</v>
      </c>
      <c r="GY3505" s="5" t="s">
        <v>240</v>
      </c>
      <c r="GZ3505" s="5" t="s">
        <v>240</v>
      </c>
      <c r="HA3505" s="5" t="s">
        <v>240</v>
      </c>
      <c r="HB3505" s="5" t="s">
        <v>240</v>
      </c>
      <c r="HC3505" s="5" t="s">
        <v>240</v>
      </c>
      <c r="HD3505" s="5" t="s">
        <v>240</v>
      </c>
      <c r="HE3505" s="5" t="s">
        <v>240</v>
      </c>
      <c r="HF3505" s="5" t="s">
        <v>240</v>
      </c>
      <c r="HG3505" s="5" t="s">
        <v>240</v>
      </c>
      <c r="HH3505" s="5" t="s">
        <v>240</v>
      </c>
      <c r="HI3505" s="5" t="s">
        <v>240</v>
      </c>
      <c r="HJ3505" s="5" t="s">
        <v>240</v>
      </c>
      <c r="HK3505" s="5" t="s">
        <v>240</v>
      </c>
      <c r="HL3505" s="5" t="s">
        <v>240</v>
      </c>
      <c r="HM3505" s="5" t="s">
        <v>240</v>
      </c>
      <c r="HN3505" s="5" t="s">
        <v>240</v>
      </c>
      <c r="HO3505" s="5" t="s">
        <v>312</v>
      </c>
      <c r="HP3505" s="5" t="s">
        <v>240</v>
      </c>
      <c r="HQ3505" s="5" t="s">
        <v>240</v>
      </c>
      <c r="HR3505" s="5" t="s">
        <v>240</v>
      </c>
      <c r="HS3505" s="5" t="s">
        <v>240</v>
      </c>
      <c r="HT3505" s="5" t="s">
        <v>240</v>
      </c>
      <c r="HU3505" s="5" t="s">
        <v>240</v>
      </c>
      <c r="HV3505" s="5" t="s">
        <v>240</v>
      </c>
      <c r="HW3505" s="5" t="s">
        <v>240</v>
      </c>
      <c r="HX3505" s="5" t="s">
        <v>240</v>
      </c>
      <c r="HY3505" s="5" t="s">
        <v>240</v>
      </c>
      <c r="HZ3505" s="5" t="s">
        <v>240</v>
      </c>
      <c r="IA3505" s="5" t="s">
        <v>240</v>
      </c>
      <c r="IB3505" s="5" t="s">
        <v>240</v>
      </c>
      <c r="IC3505" s="5" t="s">
        <v>240</v>
      </c>
      <c r="ID3505" s="5" t="s">
        <v>240</v>
      </c>
      <c r="IE3505" s="5" t="s">
        <v>240</v>
      </c>
      <c r="IF3505" s="5" t="s">
        <v>240</v>
      </c>
    </row>
    <row r="3506" spans="1:240" x14ac:dyDescent="0.4">
      <c r="A3506" s="5">
        <v>9048</v>
      </c>
      <c r="B3506" s="5">
        <v>1</v>
      </c>
      <c r="C3506" s="5">
        <v>1</v>
      </c>
      <c r="D3506" s="5" t="s">
        <v>723</v>
      </c>
      <c r="E3506" s="5" t="s">
        <v>5060</v>
      </c>
      <c r="F3506" s="5" t="s">
        <v>254</v>
      </c>
      <c r="G3506" s="5" t="s">
        <v>5061</v>
      </c>
      <c r="H3506" s="6" t="s">
        <v>5933</v>
      </c>
      <c r="I3506" s="5" t="s">
        <v>5932</v>
      </c>
      <c r="J3506" s="7">
        <f>1</f>
        <v>1</v>
      </c>
      <c r="K3506" s="5" t="s">
        <v>3682</v>
      </c>
      <c r="L3506" s="7">
        <f>1</f>
        <v>1</v>
      </c>
      <c r="M3506" s="7">
        <f>1</f>
        <v>1</v>
      </c>
      <c r="N3506" s="5" t="s">
        <v>242</v>
      </c>
      <c r="O3506" s="5">
        <v>1</v>
      </c>
      <c r="P3506" s="5" t="s">
        <v>294</v>
      </c>
      <c r="Q3506" s="5" t="s">
        <v>613</v>
      </c>
      <c r="R3506" s="5" t="s">
        <v>240</v>
      </c>
      <c r="S3506" s="5" t="s">
        <v>240</v>
      </c>
      <c r="T3506" s="5" t="s">
        <v>243</v>
      </c>
      <c r="U3506" s="5" t="s">
        <v>244</v>
      </c>
      <c r="V3506" s="5" t="s">
        <v>240</v>
      </c>
      <c r="Y3506" s="5" t="s">
        <v>240</v>
      </c>
      <c r="Z3506" s="6" t="s">
        <v>298</v>
      </c>
      <c r="AB3506" s="6" t="s">
        <v>240</v>
      </c>
      <c r="AE3506" s="6" t="s">
        <v>6216</v>
      </c>
      <c r="AF3506" s="5" t="s">
        <v>248</v>
      </c>
      <c r="AG3506" s="5" t="s">
        <v>249</v>
      </c>
      <c r="AW3506" s="5" t="s">
        <v>251</v>
      </c>
      <c r="AX3506" s="5" t="s">
        <v>240</v>
      </c>
      <c r="AY3506" s="5" t="s">
        <v>253</v>
      </c>
      <c r="AZ3506" s="5" t="s">
        <v>240</v>
      </c>
      <c r="BA3506" s="5" t="s">
        <v>255</v>
      </c>
      <c r="BB3506" s="5" t="s">
        <v>240</v>
      </c>
      <c r="BD3506" s="5" t="s">
        <v>240</v>
      </c>
      <c r="BF3506" s="5" t="s">
        <v>447</v>
      </c>
      <c r="BG3506" s="6" t="s">
        <v>6216</v>
      </c>
      <c r="BH3506" s="5" t="s">
        <v>302</v>
      </c>
      <c r="BI3506" s="5" t="s">
        <v>5264</v>
      </c>
      <c r="BJ3506" s="5" t="s">
        <v>240</v>
      </c>
      <c r="BK3506" s="8">
        <f>0</f>
        <v>0</v>
      </c>
      <c r="BL3506" s="7">
        <f>0</f>
        <v>0</v>
      </c>
      <c r="BM3506" s="5" t="s">
        <v>258</v>
      </c>
      <c r="BN3506" s="5" t="s">
        <v>259</v>
      </c>
      <c r="CB3506" s="5" t="s">
        <v>240</v>
      </c>
      <c r="CC3506" s="5" t="s">
        <v>240</v>
      </c>
      <c r="CG3506" s="5" t="s">
        <v>617</v>
      </c>
      <c r="CH3506" s="5" t="s">
        <v>305</v>
      </c>
      <c r="CI3506" s="5" t="s">
        <v>240</v>
      </c>
      <c r="CL3506" s="6" t="s">
        <v>261</v>
      </c>
      <c r="CM3506" s="5" t="s">
        <v>240</v>
      </c>
      <c r="CN3506" s="5" t="s">
        <v>263</v>
      </c>
      <c r="CO3506" s="5" t="s">
        <v>240</v>
      </c>
      <c r="CP3506" s="5" t="s">
        <v>240</v>
      </c>
      <c r="CQ3506" s="5">
        <v>0</v>
      </c>
      <c r="CR3506" s="5" t="s">
        <v>306</v>
      </c>
      <c r="CS3506" s="5" t="s">
        <v>307</v>
      </c>
      <c r="CT3506" s="5" t="s">
        <v>307</v>
      </c>
      <c r="CU3506" s="5" t="s">
        <v>260</v>
      </c>
      <c r="CX3506" s="7">
        <f>22336400</f>
        <v>22336400</v>
      </c>
      <c r="CY3506" s="7">
        <f>0</f>
        <v>0</v>
      </c>
      <c r="DA3506" s="7">
        <f>0</f>
        <v>0</v>
      </c>
      <c r="DC3506" s="5" t="s">
        <v>843</v>
      </c>
      <c r="DD3506" s="5" t="s">
        <v>240</v>
      </c>
      <c r="DF3506" s="5" t="s">
        <v>689</v>
      </c>
      <c r="DG3506" s="7">
        <f>2939</f>
        <v>2939</v>
      </c>
      <c r="DI3506" s="5" t="s">
        <v>843</v>
      </c>
      <c r="DJ3506" s="5" t="s">
        <v>240</v>
      </c>
      <c r="DK3506" s="5" t="s">
        <v>240</v>
      </c>
      <c r="DL3506" s="5" t="s">
        <v>240</v>
      </c>
      <c r="DP3506" s="5" t="s">
        <v>240</v>
      </c>
      <c r="DQ3506" s="5" t="s">
        <v>240</v>
      </c>
      <c r="DR3506" s="5" t="s">
        <v>240</v>
      </c>
      <c r="DS3506" s="5" t="s">
        <v>240</v>
      </c>
      <c r="DV3506" s="5" t="s">
        <v>6218</v>
      </c>
      <c r="DW3506" s="5" t="s">
        <v>820</v>
      </c>
      <c r="HO3506" s="5" t="s">
        <v>691</v>
      </c>
    </row>
    <row r="3507" spans="1:240" x14ac:dyDescent="0.4">
      <c r="A3507" s="5">
        <v>9049</v>
      </c>
      <c r="B3507" s="5">
        <v>1</v>
      </c>
      <c r="C3507" s="5">
        <v>1</v>
      </c>
      <c r="D3507" s="5" t="s">
        <v>723</v>
      </c>
      <c r="E3507" s="5" t="s">
        <v>5060</v>
      </c>
      <c r="F3507" s="5" t="s">
        <v>254</v>
      </c>
      <c r="G3507" s="5" t="s">
        <v>5061</v>
      </c>
      <c r="H3507" s="6" t="s">
        <v>5931</v>
      </c>
      <c r="I3507" s="5" t="s">
        <v>5930</v>
      </c>
      <c r="J3507" s="7">
        <f>1</f>
        <v>1</v>
      </c>
      <c r="K3507" s="5" t="s">
        <v>3682</v>
      </c>
      <c r="L3507" s="7">
        <f>1</f>
        <v>1</v>
      </c>
      <c r="M3507" s="7">
        <f>1</f>
        <v>1</v>
      </c>
      <c r="N3507" s="5" t="s">
        <v>242</v>
      </c>
      <c r="O3507" s="5">
        <v>1</v>
      </c>
      <c r="P3507" s="5" t="s">
        <v>294</v>
      </c>
      <c r="Q3507" s="5" t="s">
        <v>613</v>
      </c>
      <c r="R3507" s="5" t="s">
        <v>240</v>
      </c>
      <c r="S3507" s="5" t="s">
        <v>240</v>
      </c>
      <c r="T3507" s="5" t="s">
        <v>243</v>
      </c>
      <c r="U3507" s="5" t="s">
        <v>724</v>
      </c>
      <c r="V3507" s="5" t="s">
        <v>240</v>
      </c>
      <c r="W3507" s="5" t="s">
        <v>240</v>
      </c>
      <c r="X3507" s="5" t="s">
        <v>240</v>
      </c>
      <c r="Y3507" s="5" t="s">
        <v>240</v>
      </c>
      <c r="Z3507" s="6" t="s">
        <v>298</v>
      </c>
      <c r="AA3507" s="6" t="s">
        <v>240</v>
      </c>
      <c r="AB3507" s="6" t="s">
        <v>240</v>
      </c>
      <c r="AC3507" s="5" t="s">
        <v>240</v>
      </c>
      <c r="AD3507" s="6" t="s">
        <v>240</v>
      </c>
      <c r="AE3507" s="6" t="s">
        <v>299</v>
      </c>
      <c r="AF3507" s="5" t="s">
        <v>727</v>
      </c>
      <c r="AG3507" s="5" t="s">
        <v>260</v>
      </c>
      <c r="AH3507" s="5" t="s">
        <v>240</v>
      </c>
      <c r="AI3507" s="5" t="s">
        <v>240</v>
      </c>
      <c r="AJ3507" s="5" t="s">
        <v>240</v>
      </c>
      <c r="AK3507" s="5" t="s">
        <v>240</v>
      </c>
      <c r="AL3507" s="5" t="s">
        <v>240</v>
      </c>
      <c r="AM3507" s="5" t="s">
        <v>240</v>
      </c>
      <c r="AN3507" s="5" t="s">
        <v>240</v>
      </c>
      <c r="AO3507" s="5" t="s">
        <v>240</v>
      </c>
      <c r="AP3507" s="6" t="s">
        <v>240</v>
      </c>
      <c r="AQ3507" s="6" t="s">
        <v>240</v>
      </c>
      <c r="AR3507" s="6" t="s">
        <v>240</v>
      </c>
      <c r="AS3507" s="6" t="s">
        <v>240</v>
      </c>
      <c r="AT3507" s="5" t="s">
        <v>240</v>
      </c>
      <c r="AU3507" s="5" t="s">
        <v>729</v>
      </c>
      <c r="AV3507" s="5" t="s">
        <v>729</v>
      </c>
      <c r="AW3507" s="5" t="s">
        <v>251</v>
      </c>
      <c r="AX3507" s="5" t="s">
        <v>252</v>
      </c>
      <c r="AY3507" s="5" t="s">
        <v>253</v>
      </c>
      <c r="AZ3507" s="5" t="s">
        <v>240</v>
      </c>
      <c r="BA3507" s="5" t="s">
        <v>255</v>
      </c>
      <c r="BB3507" s="5" t="s">
        <v>731</v>
      </c>
      <c r="BD3507" s="5" t="s">
        <v>240</v>
      </c>
      <c r="BF3507" s="5" t="s">
        <v>732</v>
      </c>
      <c r="BG3507" s="6" t="s">
        <v>733</v>
      </c>
      <c r="BH3507" s="5" t="s">
        <v>734</v>
      </c>
      <c r="BI3507" s="5" t="s">
        <v>734</v>
      </c>
      <c r="BJ3507" s="5" t="s">
        <v>240</v>
      </c>
      <c r="BK3507" s="8">
        <f>616</f>
        <v>616</v>
      </c>
      <c r="BL3507" s="7">
        <f>0</f>
        <v>0</v>
      </c>
      <c r="BM3507" s="5" t="s">
        <v>258</v>
      </c>
      <c r="BN3507" s="5" t="s">
        <v>259</v>
      </c>
      <c r="BO3507" s="5" t="s">
        <v>240</v>
      </c>
      <c r="BP3507" s="5" t="s">
        <v>240</v>
      </c>
      <c r="BQ3507" s="5" t="s">
        <v>240</v>
      </c>
      <c r="BR3507" s="5" t="s">
        <v>240</v>
      </c>
      <c r="BS3507" s="5" t="s">
        <v>240</v>
      </c>
      <c r="BT3507" s="5" t="s">
        <v>240</v>
      </c>
      <c r="BU3507" s="5" t="s">
        <v>240</v>
      </c>
      <c r="BV3507" s="5" t="s">
        <v>240</v>
      </c>
      <c r="BW3507" s="6" t="s">
        <v>240</v>
      </c>
      <c r="BX3507" s="5" t="s">
        <v>240</v>
      </c>
      <c r="BY3507" s="5" t="s">
        <v>240</v>
      </c>
      <c r="BZ3507" s="5" t="s">
        <v>240</v>
      </c>
      <c r="CA3507" s="5" t="s">
        <v>259</v>
      </c>
      <c r="CB3507" s="5" t="s">
        <v>240</v>
      </c>
      <c r="CC3507" s="5" t="s">
        <v>240</v>
      </c>
      <c r="CD3507" s="5" t="s">
        <v>240</v>
      </c>
      <c r="CE3507" s="5" t="s">
        <v>240</v>
      </c>
      <c r="CF3507" s="5" t="s">
        <v>240</v>
      </c>
      <c r="CG3507" s="5" t="s">
        <v>617</v>
      </c>
      <c r="CH3507" s="5" t="s">
        <v>305</v>
      </c>
      <c r="CI3507" s="5" t="s">
        <v>240</v>
      </c>
      <c r="CL3507" s="6" t="s">
        <v>261</v>
      </c>
      <c r="CM3507" s="5" t="s">
        <v>262</v>
      </c>
      <c r="CN3507" s="5" t="s">
        <v>263</v>
      </c>
      <c r="CO3507" s="5" t="s">
        <v>264</v>
      </c>
      <c r="CP3507" s="5" t="s">
        <v>240</v>
      </c>
      <c r="CQ3507" s="5">
        <v>0</v>
      </c>
      <c r="CR3507" s="5" t="s">
        <v>735</v>
      </c>
      <c r="CS3507" s="5" t="s">
        <v>307</v>
      </c>
      <c r="CT3507" s="5" t="s">
        <v>307</v>
      </c>
      <c r="CU3507" s="5" t="s">
        <v>260</v>
      </c>
      <c r="CV3507" s="5" t="s">
        <v>240</v>
      </c>
      <c r="CW3507" s="8">
        <f>0</f>
        <v>0</v>
      </c>
      <c r="CX3507" s="7">
        <f>0</f>
        <v>0</v>
      </c>
      <c r="CY3507" s="7">
        <f>0</f>
        <v>0</v>
      </c>
      <c r="DA3507" s="7">
        <f>6776</f>
        <v>6776</v>
      </c>
      <c r="DB3507" s="7" t="s">
        <v>240</v>
      </c>
      <c r="DC3507" s="5" t="s">
        <v>240</v>
      </c>
      <c r="DD3507" s="5" t="s">
        <v>240</v>
      </c>
      <c r="DE3507" s="5" t="s">
        <v>240</v>
      </c>
      <c r="DF3507" s="5" t="s">
        <v>450</v>
      </c>
      <c r="DG3507" s="7">
        <f>0</f>
        <v>0</v>
      </c>
      <c r="DI3507" s="5" t="s">
        <v>737</v>
      </c>
      <c r="DJ3507" s="5" t="s">
        <v>240</v>
      </c>
      <c r="DK3507" s="5" t="s">
        <v>240</v>
      </c>
      <c r="DL3507" s="5" t="s">
        <v>240</v>
      </c>
      <c r="DM3507" s="5" t="s">
        <v>240</v>
      </c>
      <c r="DN3507" s="5" t="s">
        <v>240</v>
      </c>
      <c r="DO3507" s="7" t="s">
        <v>240</v>
      </c>
      <c r="DP3507" s="5" t="s">
        <v>240</v>
      </c>
      <c r="DQ3507" s="5" t="s">
        <v>240</v>
      </c>
      <c r="DR3507" s="5" t="s">
        <v>731</v>
      </c>
      <c r="DS3507" s="5" t="s">
        <v>731</v>
      </c>
      <c r="DT3507" s="5" t="s">
        <v>240</v>
      </c>
      <c r="DU3507" s="5" t="s">
        <v>240</v>
      </c>
      <c r="DV3507" s="5" t="s">
        <v>738</v>
      </c>
      <c r="DW3507" s="5" t="s">
        <v>781</v>
      </c>
      <c r="DX3507" s="5" t="s">
        <v>240</v>
      </c>
      <c r="DY3507" s="5" t="s">
        <v>240</v>
      </c>
      <c r="DZ3507" s="5" t="s">
        <v>240</v>
      </c>
      <c r="EA3507" s="5" t="s">
        <v>240</v>
      </c>
      <c r="EB3507" s="5" t="s">
        <v>240</v>
      </c>
      <c r="EC3507" s="5" t="s">
        <v>240</v>
      </c>
      <c r="ED3507" s="5" t="s">
        <v>240</v>
      </c>
      <c r="EE3507" s="5" t="s">
        <v>240</v>
      </c>
      <c r="EF3507" s="5" t="s">
        <v>240</v>
      </c>
      <c r="EG3507" s="5" t="s">
        <v>240</v>
      </c>
      <c r="EH3507" s="5" t="s">
        <v>240</v>
      </c>
      <c r="EI3507" s="5" t="s">
        <v>240</v>
      </c>
      <c r="EJ3507" s="5" t="s">
        <v>240</v>
      </c>
      <c r="EK3507" s="5" t="s">
        <v>240</v>
      </c>
      <c r="EL3507" s="5" t="s">
        <v>240</v>
      </c>
      <c r="EM3507" s="5" t="s">
        <v>240</v>
      </c>
      <c r="EN3507" s="5" t="s">
        <v>240</v>
      </c>
      <c r="EO3507" s="5" t="s">
        <v>240</v>
      </c>
      <c r="EP3507" s="5" t="s">
        <v>240</v>
      </c>
      <c r="EQ3507" s="5" t="s">
        <v>240</v>
      </c>
      <c r="ER3507" s="5" t="s">
        <v>240</v>
      </c>
      <c r="ES3507" s="5" t="s">
        <v>240</v>
      </c>
      <c r="ET3507" s="5" t="s">
        <v>240</v>
      </c>
      <c r="EU3507" s="5" t="s">
        <v>240</v>
      </c>
      <c r="EV3507" s="5" t="s">
        <v>240</v>
      </c>
      <c r="EW3507" s="5" t="s">
        <v>240</v>
      </c>
      <c r="EX3507" s="5" t="s">
        <v>240</v>
      </c>
      <c r="EY3507" s="5" t="s">
        <v>240</v>
      </c>
      <c r="EZ3507" s="5" t="s">
        <v>240</v>
      </c>
      <c r="FA3507" s="5" t="s">
        <v>240</v>
      </c>
      <c r="FB3507" s="5" t="s">
        <v>240</v>
      </c>
      <c r="FC3507" s="5" t="s">
        <v>240</v>
      </c>
      <c r="FD3507" s="5" t="s">
        <v>240</v>
      </c>
      <c r="FE3507" s="5" t="s">
        <v>240</v>
      </c>
      <c r="FF3507" s="5" t="s">
        <v>240</v>
      </c>
      <c r="FG3507" s="5" t="s">
        <v>240</v>
      </c>
      <c r="FH3507" s="5" t="s">
        <v>240</v>
      </c>
      <c r="FI3507" s="5" t="s">
        <v>240</v>
      </c>
      <c r="FJ3507" s="5" t="s">
        <v>240</v>
      </c>
      <c r="FK3507" s="5" t="s">
        <v>240</v>
      </c>
      <c r="FL3507" s="5" t="s">
        <v>240</v>
      </c>
      <c r="FM3507" s="5" t="s">
        <v>240</v>
      </c>
      <c r="FN3507" s="5" t="s">
        <v>240</v>
      </c>
      <c r="FO3507" s="5" t="s">
        <v>240</v>
      </c>
      <c r="FP3507" s="5" t="s">
        <v>240</v>
      </c>
      <c r="FQ3507" s="5" t="s">
        <v>240</v>
      </c>
      <c r="FR3507" s="5" t="s">
        <v>240</v>
      </c>
      <c r="FS3507" s="5" t="s">
        <v>240</v>
      </c>
      <c r="FT3507" s="5" t="s">
        <v>240</v>
      </c>
      <c r="FU3507" s="5" t="s">
        <v>240</v>
      </c>
      <c r="FV3507" s="5" t="s">
        <v>240</v>
      </c>
      <c r="FW3507" s="5" t="s">
        <v>240</v>
      </c>
      <c r="FX3507" s="5" t="s">
        <v>240</v>
      </c>
      <c r="FY3507" s="5" t="s">
        <v>240</v>
      </c>
      <c r="FZ3507" s="5" t="s">
        <v>240</v>
      </c>
      <c r="GA3507" s="5" t="s">
        <v>240</v>
      </c>
      <c r="GB3507" s="5" t="s">
        <v>240</v>
      </c>
      <c r="GC3507" s="5" t="s">
        <v>240</v>
      </c>
      <c r="GD3507" s="5" t="s">
        <v>240</v>
      </c>
      <c r="GE3507" s="5" t="s">
        <v>240</v>
      </c>
      <c r="GF3507" s="5" t="s">
        <v>240</v>
      </c>
      <c r="GG3507" s="5" t="s">
        <v>240</v>
      </c>
      <c r="GH3507" s="5" t="s">
        <v>240</v>
      </c>
      <c r="GI3507" s="5" t="s">
        <v>240</v>
      </c>
      <c r="GJ3507" s="5" t="s">
        <v>240</v>
      </c>
      <c r="GK3507" s="5" t="s">
        <v>240</v>
      </c>
      <c r="GL3507" s="5" t="s">
        <v>240</v>
      </c>
      <c r="GM3507" s="5" t="s">
        <v>240</v>
      </c>
      <c r="GN3507" s="5" t="s">
        <v>240</v>
      </c>
      <c r="GO3507" s="5" t="s">
        <v>240</v>
      </c>
      <c r="GP3507" s="5" t="s">
        <v>240</v>
      </c>
      <c r="GQ3507" s="5" t="s">
        <v>240</v>
      </c>
      <c r="GR3507" s="5" t="s">
        <v>240</v>
      </c>
      <c r="GS3507" s="5" t="s">
        <v>240</v>
      </c>
      <c r="GT3507" s="5" t="s">
        <v>240</v>
      </c>
      <c r="GU3507" s="5" t="s">
        <v>240</v>
      </c>
      <c r="GV3507" s="5" t="s">
        <v>240</v>
      </c>
      <c r="GW3507" s="5" t="s">
        <v>240</v>
      </c>
      <c r="GX3507" s="5" t="s">
        <v>240</v>
      </c>
      <c r="GY3507" s="5" t="s">
        <v>240</v>
      </c>
      <c r="GZ3507" s="5" t="s">
        <v>240</v>
      </c>
      <c r="HA3507" s="5" t="s">
        <v>240</v>
      </c>
      <c r="HB3507" s="5" t="s">
        <v>240</v>
      </c>
      <c r="HC3507" s="5" t="s">
        <v>240</v>
      </c>
      <c r="HD3507" s="5" t="s">
        <v>240</v>
      </c>
      <c r="HE3507" s="5" t="s">
        <v>240</v>
      </c>
      <c r="HF3507" s="5" t="s">
        <v>240</v>
      </c>
      <c r="HG3507" s="5" t="s">
        <v>240</v>
      </c>
      <c r="HH3507" s="5" t="s">
        <v>240</v>
      </c>
      <c r="HI3507" s="5" t="s">
        <v>240</v>
      </c>
      <c r="HJ3507" s="5" t="s">
        <v>240</v>
      </c>
      <c r="HK3507" s="5" t="s">
        <v>240</v>
      </c>
      <c r="HL3507" s="5" t="s">
        <v>240</v>
      </c>
      <c r="HM3507" s="5" t="s">
        <v>240</v>
      </c>
      <c r="HN3507" s="5" t="s">
        <v>240</v>
      </c>
      <c r="HO3507" s="5" t="s">
        <v>312</v>
      </c>
      <c r="HP3507" s="5" t="s">
        <v>240</v>
      </c>
      <c r="HQ3507" s="5" t="s">
        <v>240</v>
      </c>
      <c r="HR3507" s="5" t="s">
        <v>240</v>
      </c>
      <c r="HS3507" s="5" t="s">
        <v>240</v>
      </c>
      <c r="HT3507" s="5" t="s">
        <v>240</v>
      </c>
      <c r="HU3507" s="5" t="s">
        <v>240</v>
      </c>
      <c r="HV3507" s="5" t="s">
        <v>240</v>
      </c>
      <c r="HW3507" s="5" t="s">
        <v>240</v>
      </c>
      <c r="HX3507" s="5" t="s">
        <v>240</v>
      </c>
      <c r="HY3507" s="5" t="s">
        <v>240</v>
      </c>
      <c r="HZ3507" s="5" t="s">
        <v>240</v>
      </c>
      <c r="IA3507" s="5" t="s">
        <v>240</v>
      </c>
      <c r="IB3507" s="5" t="s">
        <v>240</v>
      </c>
      <c r="IC3507" s="5" t="s">
        <v>240</v>
      </c>
      <c r="ID3507" s="5" t="s">
        <v>240</v>
      </c>
      <c r="IE3507" s="5" t="s">
        <v>240</v>
      </c>
      <c r="IF3507" s="5" t="s">
        <v>240</v>
      </c>
    </row>
    <row r="3508" spans="1:240" x14ac:dyDescent="0.4">
      <c r="A3508" s="5">
        <v>9050</v>
      </c>
      <c r="B3508" s="5">
        <v>1</v>
      </c>
      <c r="C3508" s="5">
        <v>1</v>
      </c>
      <c r="D3508" s="5" t="s">
        <v>723</v>
      </c>
      <c r="E3508" s="5" t="s">
        <v>5060</v>
      </c>
      <c r="F3508" s="5" t="s">
        <v>254</v>
      </c>
      <c r="G3508" s="5" t="s">
        <v>5061</v>
      </c>
      <c r="H3508" s="6" t="s">
        <v>6108</v>
      </c>
      <c r="I3508" s="5" t="s">
        <v>6107</v>
      </c>
      <c r="J3508" s="7">
        <f>1</f>
        <v>1</v>
      </c>
      <c r="K3508" s="5" t="s">
        <v>3682</v>
      </c>
      <c r="L3508" s="7">
        <f>1</f>
        <v>1</v>
      </c>
      <c r="M3508" s="7">
        <f>1</f>
        <v>1</v>
      </c>
      <c r="N3508" s="5" t="s">
        <v>242</v>
      </c>
      <c r="O3508" s="5">
        <v>1</v>
      </c>
      <c r="P3508" s="5" t="s">
        <v>294</v>
      </c>
      <c r="Q3508" s="5" t="s">
        <v>613</v>
      </c>
      <c r="R3508" s="5" t="s">
        <v>240</v>
      </c>
      <c r="S3508" s="5" t="s">
        <v>240</v>
      </c>
      <c r="T3508" s="5" t="s">
        <v>243</v>
      </c>
      <c r="U3508" s="5" t="s">
        <v>244</v>
      </c>
      <c r="V3508" s="5" t="s">
        <v>240</v>
      </c>
      <c r="Y3508" s="5" t="s">
        <v>240</v>
      </c>
      <c r="Z3508" s="6" t="s">
        <v>298</v>
      </c>
      <c r="AB3508" s="6" t="s">
        <v>240</v>
      </c>
      <c r="AE3508" s="6" t="s">
        <v>299</v>
      </c>
      <c r="AF3508" s="5" t="s">
        <v>248</v>
      </c>
      <c r="AG3508" s="5" t="s">
        <v>249</v>
      </c>
      <c r="AW3508" s="5" t="s">
        <v>251</v>
      </c>
      <c r="AX3508" s="5" t="s">
        <v>240</v>
      </c>
      <c r="AY3508" s="5" t="s">
        <v>253</v>
      </c>
      <c r="AZ3508" s="5" t="s">
        <v>240</v>
      </c>
      <c r="BA3508" s="5" t="s">
        <v>255</v>
      </c>
      <c r="BB3508" s="5" t="s">
        <v>240</v>
      </c>
      <c r="BD3508" s="5" t="s">
        <v>240</v>
      </c>
      <c r="BF3508" s="5" t="s">
        <v>301</v>
      </c>
      <c r="BG3508" s="6" t="s">
        <v>299</v>
      </c>
      <c r="BH3508" s="5" t="s">
        <v>302</v>
      </c>
      <c r="BI3508" s="5" t="s">
        <v>5264</v>
      </c>
      <c r="BJ3508" s="5" t="s">
        <v>240</v>
      </c>
      <c r="BK3508" s="8">
        <f>0</f>
        <v>0</v>
      </c>
      <c r="BL3508" s="7">
        <f>0</f>
        <v>0</v>
      </c>
      <c r="BM3508" s="5" t="s">
        <v>258</v>
      </c>
      <c r="BN3508" s="5" t="s">
        <v>259</v>
      </c>
      <c r="CB3508" s="5" t="s">
        <v>240</v>
      </c>
      <c r="CC3508" s="5" t="s">
        <v>240</v>
      </c>
      <c r="CG3508" s="5" t="s">
        <v>617</v>
      </c>
      <c r="CH3508" s="5" t="s">
        <v>305</v>
      </c>
      <c r="CI3508" s="5" t="s">
        <v>240</v>
      </c>
      <c r="CL3508" s="6" t="s">
        <v>261</v>
      </c>
      <c r="CM3508" s="5" t="s">
        <v>240</v>
      </c>
      <c r="CN3508" s="5" t="s">
        <v>263</v>
      </c>
      <c r="CO3508" s="5" t="s">
        <v>240</v>
      </c>
      <c r="CP3508" s="5" t="s">
        <v>240</v>
      </c>
      <c r="CQ3508" s="5">
        <v>0</v>
      </c>
      <c r="CR3508" s="5" t="s">
        <v>306</v>
      </c>
      <c r="CS3508" s="5" t="s">
        <v>307</v>
      </c>
      <c r="CT3508" s="5" t="s">
        <v>307</v>
      </c>
      <c r="CU3508" s="5" t="s">
        <v>260</v>
      </c>
      <c r="CX3508" s="7">
        <f>265800</f>
        <v>265800</v>
      </c>
      <c r="CY3508" s="7">
        <f>0</f>
        <v>0</v>
      </c>
      <c r="DA3508" s="7">
        <f>0</f>
        <v>0</v>
      </c>
      <c r="DC3508" s="5" t="s">
        <v>689</v>
      </c>
      <c r="DD3508" s="5" t="s">
        <v>240</v>
      </c>
      <c r="DF3508" s="5" t="s">
        <v>450</v>
      </c>
      <c r="DG3508" s="7">
        <f>0</f>
        <v>0</v>
      </c>
      <c r="DI3508" s="5" t="s">
        <v>618</v>
      </c>
      <c r="DJ3508" s="5" t="s">
        <v>240</v>
      </c>
      <c r="DK3508" s="5" t="s">
        <v>240</v>
      </c>
      <c r="DL3508" s="5" t="s">
        <v>240</v>
      </c>
      <c r="DP3508" s="5" t="s">
        <v>240</v>
      </c>
      <c r="DQ3508" s="5" t="s">
        <v>240</v>
      </c>
      <c r="DR3508" s="5" t="s">
        <v>240</v>
      </c>
      <c r="DS3508" s="5" t="s">
        <v>240</v>
      </c>
      <c r="DV3508" s="5" t="s">
        <v>1821</v>
      </c>
      <c r="DW3508" s="5" t="s">
        <v>620</v>
      </c>
      <c r="HO3508" s="5" t="s">
        <v>621</v>
      </c>
    </row>
    <row r="3509" spans="1:240" x14ac:dyDescent="0.4">
      <c r="A3509" s="5">
        <v>9051</v>
      </c>
      <c r="B3509" s="5">
        <v>1</v>
      </c>
      <c r="C3509" s="5">
        <v>1</v>
      </c>
      <c r="D3509" s="5" t="s">
        <v>723</v>
      </c>
      <c r="E3509" s="5" t="s">
        <v>5060</v>
      </c>
      <c r="F3509" s="5" t="s">
        <v>254</v>
      </c>
      <c r="G3509" s="5" t="s">
        <v>5061</v>
      </c>
      <c r="H3509" s="6" t="s">
        <v>5928</v>
      </c>
      <c r="I3509" s="5" t="s">
        <v>5927</v>
      </c>
      <c r="J3509" s="7">
        <f>1</f>
        <v>1</v>
      </c>
      <c r="K3509" s="5" t="s">
        <v>3682</v>
      </c>
      <c r="L3509" s="7">
        <f>1</f>
        <v>1</v>
      </c>
      <c r="M3509" s="7">
        <f>1</f>
        <v>1</v>
      </c>
      <c r="N3509" s="5" t="s">
        <v>242</v>
      </c>
      <c r="O3509" s="5">
        <v>1</v>
      </c>
      <c r="P3509" s="5" t="s">
        <v>294</v>
      </c>
      <c r="Q3509" s="5" t="s">
        <v>613</v>
      </c>
      <c r="R3509" s="5" t="s">
        <v>240</v>
      </c>
      <c r="S3509" s="5" t="s">
        <v>240</v>
      </c>
      <c r="T3509" s="5" t="s">
        <v>243</v>
      </c>
      <c r="U3509" s="5" t="s">
        <v>724</v>
      </c>
      <c r="V3509" s="5" t="s">
        <v>240</v>
      </c>
      <c r="W3509" s="5" t="s">
        <v>240</v>
      </c>
      <c r="X3509" s="5" t="s">
        <v>240</v>
      </c>
      <c r="Y3509" s="5" t="s">
        <v>240</v>
      </c>
      <c r="Z3509" s="6" t="s">
        <v>298</v>
      </c>
      <c r="AA3509" s="6" t="s">
        <v>240</v>
      </c>
      <c r="AB3509" s="6" t="s">
        <v>240</v>
      </c>
      <c r="AC3509" s="5" t="s">
        <v>240</v>
      </c>
      <c r="AD3509" s="6" t="s">
        <v>240</v>
      </c>
      <c r="AE3509" s="6" t="s">
        <v>299</v>
      </c>
      <c r="AF3509" s="5" t="s">
        <v>727</v>
      </c>
      <c r="AG3509" s="5" t="s">
        <v>260</v>
      </c>
      <c r="AH3509" s="5" t="s">
        <v>240</v>
      </c>
      <c r="AI3509" s="5" t="s">
        <v>240</v>
      </c>
      <c r="AJ3509" s="5" t="s">
        <v>240</v>
      </c>
      <c r="AK3509" s="5" t="s">
        <v>240</v>
      </c>
      <c r="AL3509" s="5" t="s">
        <v>240</v>
      </c>
      <c r="AM3509" s="5" t="s">
        <v>240</v>
      </c>
      <c r="AN3509" s="5" t="s">
        <v>240</v>
      </c>
      <c r="AO3509" s="5" t="s">
        <v>240</v>
      </c>
      <c r="AP3509" s="6" t="s">
        <v>240</v>
      </c>
      <c r="AQ3509" s="6" t="s">
        <v>240</v>
      </c>
      <c r="AR3509" s="6" t="s">
        <v>240</v>
      </c>
      <c r="AS3509" s="6" t="s">
        <v>240</v>
      </c>
      <c r="AT3509" s="5" t="s">
        <v>240</v>
      </c>
      <c r="AU3509" s="5" t="s">
        <v>729</v>
      </c>
      <c r="AV3509" s="5" t="s">
        <v>729</v>
      </c>
      <c r="AW3509" s="5" t="s">
        <v>251</v>
      </c>
      <c r="AX3509" s="5" t="s">
        <v>252</v>
      </c>
      <c r="AY3509" s="5" t="s">
        <v>253</v>
      </c>
      <c r="AZ3509" s="5" t="s">
        <v>240</v>
      </c>
      <c r="BA3509" s="5" t="s">
        <v>255</v>
      </c>
      <c r="BB3509" s="5" t="s">
        <v>731</v>
      </c>
      <c r="BD3509" s="5" t="s">
        <v>240</v>
      </c>
      <c r="BF3509" s="5" t="s">
        <v>732</v>
      </c>
      <c r="BG3509" s="6" t="s">
        <v>733</v>
      </c>
      <c r="BH3509" s="5" t="s">
        <v>734</v>
      </c>
      <c r="BI3509" s="5" t="s">
        <v>734</v>
      </c>
      <c r="BJ3509" s="5" t="s">
        <v>240</v>
      </c>
      <c r="BK3509" s="8">
        <f>495.86</f>
        <v>495.86</v>
      </c>
      <c r="BL3509" s="7">
        <f>0</f>
        <v>0</v>
      </c>
      <c r="BM3509" s="5" t="s">
        <v>258</v>
      </c>
      <c r="BN3509" s="5" t="s">
        <v>259</v>
      </c>
      <c r="BO3509" s="5" t="s">
        <v>240</v>
      </c>
      <c r="BP3509" s="5" t="s">
        <v>240</v>
      </c>
      <c r="BQ3509" s="5" t="s">
        <v>240</v>
      </c>
      <c r="BR3509" s="5" t="s">
        <v>240</v>
      </c>
      <c r="BS3509" s="5" t="s">
        <v>240</v>
      </c>
      <c r="BT3509" s="5" t="s">
        <v>240</v>
      </c>
      <c r="BU3509" s="5" t="s">
        <v>240</v>
      </c>
      <c r="BV3509" s="5" t="s">
        <v>240</v>
      </c>
      <c r="BW3509" s="6" t="s">
        <v>240</v>
      </c>
      <c r="BX3509" s="5" t="s">
        <v>240</v>
      </c>
      <c r="BY3509" s="5" t="s">
        <v>240</v>
      </c>
      <c r="BZ3509" s="5" t="s">
        <v>240</v>
      </c>
      <c r="CA3509" s="5" t="s">
        <v>259</v>
      </c>
      <c r="CB3509" s="5" t="s">
        <v>240</v>
      </c>
      <c r="CC3509" s="5" t="s">
        <v>240</v>
      </c>
      <c r="CD3509" s="5" t="s">
        <v>240</v>
      </c>
      <c r="CE3509" s="5" t="s">
        <v>240</v>
      </c>
      <c r="CF3509" s="5" t="s">
        <v>240</v>
      </c>
      <c r="CG3509" s="5" t="s">
        <v>617</v>
      </c>
      <c r="CH3509" s="5" t="s">
        <v>305</v>
      </c>
      <c r="CI3509" s="5" t="s">
        <v>240</v>
      </c>
      <c r="CL3509" s="6" t="s">
        <v>261</v>
      </c>
      <c r="CM3509" s="5" t="s">
        <v>262</v>
      </c>
      <c r="CN3509" s="5" t="s">
        <v>263</v>
      </c>
      <c r="CO3509" s="5" t="s">
        <v>264</v>
      </c>
      <c r="CP3509" s="5" t="s">
        <v>240</v>
      </c>
      <c r="CQ3509" s="5">
        <v>0</v>
      </c>
      <c r="CR3509" s="5" t="s">
        <v>735</v>
      </c>
      <c r="CS3509" s="5" t="s">
        <v>307</v>
      </c>
      <c r="CT3509" s="5" t="s">
        <v>307</v>
      </c>
      <c r="CU3509" s="5" t="s">
        <v>260</v>
      </c>
      <c r="CV3509" s="5" t="s">
        <v>240</v>
      </c>
      <c r="CW3509" s="8">
        <f>0</f>
        <v>0</v>
      </c>
      <c r="CX3509" s="7">
        <f>0</f>
        <v>0</v>
      </c>
      <c r="CY3509" s="7">
        <f>0</f>
        <v>0</v>
      </c>
      <c r="DA3509" s="7">
        <f>5454</f>
        <v>5454</v>
      </c>
      <c r="DB3509" s="7" t="s">
        <v>240</v>
      </c>
      <c r="DC3509" s="5" t="s">
        <v>240</v>
      </c>
      <c r="DD3509" s="5" t="s">
        <v>240</v>
      </c>
      <c r="DE3509" s="5" t="s">
        <v>240</v>
      </c>
      <c r="DF3509" s="5" t="s">
        <v>450</v>
      </c>
      <c r="DG3509" s="7">
        <f>0</f>
        <v>0</v>
      </c>
      <c r="DI3509" s="5" t="s">
        <v>737</v>
      </c>
      <c r="DJ3509" s="5" t="s">
        <v>240</v>
      </c>
      <c r="DK3509" s="5" t="s">
        <v>240</v>
      </c>
      <c r="DL3509" s="5" t="s">
        <v>240</v>
      </c>
      <c r="DM3509" s="5" t="s">
        <v>240</v>
      </c>
      <c r="DN3509" s="5" t="s">
        <v>240</v>
      </c>
      <c r="DO3509" s="7" t="s">
        <v>240</v>
      </c>
      <c r="DP3509" s="5" t="s">
        <v>240</v>
      </c>
      <c r="DQ3509" s="5" t="s">
        <v>240</v>
      </c>
      <c r="DR3509" s="5" t="s">
        <v>731</v>
      </c>
      <c r="DS3509" s="5" t="s">
        <v>731</v>
      </c>
      <c r="DT3509" s="5" t="s">
        <v>240</v>
      </c>
      <c r="DU3509" s="5" t="s">
        <v>240</v>
      </c>
      <c r="DV3509" s="5" t="s">
        <v>738</v>
      </c>
      <c r="DW3509" s="5" t="s">
        <v>588</v>
      </c>
      <c r="DX3509" s="5" t="s">
        <v>240</v>
      </c>
      <c r="DY3509" s="5" t="s">
        <v>240</v>
      </c>
      <c r="DZ3509" s="5" t="s">
        <v>240</v>
      </c>
      <c r="EA3509" s="5" t="s">
        <v>240</v>
      </c>
      <c r="EB3509" s="5" t="s">
        <v>240</v>
      </c>
      <c r="EC3509" s="5" t="s">
        <v>240</v>
      </c>
      <c r="ED3509" s="5" t="s">
        <v>240</v>
      </c>
      <c r="EE3509" s="5" t="s">
        <v>240</v>
      </c>
      <c r="EF3509" s="5" t="s">
        <v>240</v>
      </c>
      <c r="EG3509" s="5" t="s">
        <v>240</v>
      </c>
      <c r="EH3509" s="5" t="s">
        <v>240</v>
      </c>
      <c r="EI3509" s="5" t="s">
        <v>240</v>
      </c>
      <c r="EJ3509" s="5" t="s">
        <v>240</v>
      </c>
      <c r="EK3509" s="5" t="s">
        <v>240</v>
      </c>
      <c r="EL3509" s="5" t="s">
        <v>240</v>
      </c>
      <c r="EM3509" s="5" t="s">
        <v>240</v>
      </c>
      <c r="EN3509" s="5" t="s">
        <v>240</v>
      </c>
      <c r="EO3509" s="5" t="s">
        <v>240</v>
      </c>
      <c r="EP3509" s="5" t="s">
        <v>240</v>
      </c>
      <c r="EQ3509" s="5" t="s">
        <v>240</v>
      </c>
      <c r="ER3509" s="5" t="s">
        <v>240</v>
      </c>
      <c r="ES3509" s="5" t="s">
        <v>240</v>
      </c>
      <c r="ET3509" s="5" t="s">
        <v>240</v>
      </c>
      <c r="EU3509" s="5" t="s">
        <v>240</v>
      </c>
      <c r="EV3509" s="5" t="s">
        <v>240</v>
      </c>
      <c r="EW3509" s="5" t="s">
        <v>240</v>
      </c>
      <c r="EX3509" s="5" t="s">
        <v>240</v>
      </c>
      <c r="EY3509" s="5" t="s">
        <v>240</v>
      </c>
      <c r="EZ3509" s="5" t="s">
        <v>240</v>
      </c>
      <c r="FA3509" s="5" t="s">
        <v>240</v>
      </c>
      <c r="FB3509" s="5" t="s">
        <v>240</v>
      </c>
      <c r="FC3509" s="5" t="s">
        <v>240</v>
      </c>
      <c r="FD3509" s="5" t="s">
        <v>240</v>
      </c>
      <c r="FE3509" s="5" t="s">
        <v>240</v>
      </c>
      <c r="FF3509" s="5" t="s">
        <v>240</v>
      </c>
      <c r="FG3509" s="5" t="s">
        <v>240</v>
      </c>
      <c r="FH3509" s="5" t="s">
        <v>240</v>
      </c>
      <c r="FI3509" s="5" t="s">
        <v>240</v>
      </c>
      <c r="FJ3509" s="5" t="s">
        <v>240</v>
      </c>
      <c r="FK3509" s="5" t="s">
        <v>240</v>
      </c>
      <c r="FL3509" s="5" t="s">
        <v>240</v>
      </c>
      <c r="FM3509" s="5" t="s">
        <v>240</v>
      </c>
      <c r="FN3509" s="5" t="s">
        <v>240</v>
      </c>
      <c r="FO3509" s="5" t="s">
        <v>240</v>
      </c>
      <c r="FP3509" s="5" t="s">
        <v>240</v>
      </c>
      <c r="FQ3509" s="5" t="s">
        <v>240</v>
      </c>
      <c r="FR3509" s="5" t="s">
        <v>240</v>
      </c>
      <c r="FS3509" s="5" t="s">
        <v>240</v>
      </c>
      <c r="FT3509" s="5" t="s">
        <v>240</v>
      </c>
      <c r="FU3509" s="5" t="s">
        <v>240</v>
      </c>
      <c r="FV3509" s="5" t="s">
        <v>240</v>
      </c>
      <c r="FW3509" s="5" t="s">
        <v>240</v>
      </c>
      <c r="FX3509" s="5" t="s">
        <v>240</v>
      </c>
      <c r="FY3509" s="5" t="s">
        <v>240</v>
      </c>
      <c r="FZ3509" s="5" t="s">
        <v>240</v>
      </c>
      <c r="GA3509" s="5" t="s">
        <v>240</v>
      </c>
      <c r="GB3509" s="5" t="s">
        <v>240</v>
      </c>
      <c r="GC3509" s="5" t="s">
        <v>240</v>
      </c>
      <c r="GD3509" s="5" t="s">
        <v>240</v>
      </c>
      <c r="GE3509" s="5" t="s">
        <v>240</v>
      </c>
      <c r="GF3509" s="5" t="s">
        <v>240</v>
      </c>
      <c r="GG3509" s="5" t="s">
        <v>240</v>
      </c>
      <c r="GH3509" s="5" t="s">
        <v>240</v>
      </c>
      <c r="GI3509" s="5" t="s">
        <v>240</v>
      </c>
      <c r="GJ3509" s="5" t="s">
        <v>240</v>
      </c>
      <c r="GK3509" s="5" t="s">
        <v>240</v>
      </c>
      <c r="GL3509" s="5" t="s">
        <v>240</v>
      </c>
      <c r="GM3509" s="5" t="s">
        <v>240</v>
      </c>
      <c r="GN3509" s="5" t="s">
        <v>240</v>
      </c>
      <c r="GO3509" s="5" t="s">
        <v>240</v>
      </c>
      <c r="GP3509" s="5" t="s">
        <v>240</v>
      </c>
      <c r="GQ3509" s="5" t="s">
        <v>240</v>
      </c>
      <c r="GR3509" s="5" t="s">
        <v>240</v>
      </c>
      <c r="GS3509" s="5" t="s">
        <v>240</v>
      </c>
      <c r="GT3509" s="5" t="s">
        <v>240</v>
      </c>
      <c r="GU3509" s="5" t="s">
        <v>240</v>
      </c>
      <c r="GV3509" s="5" t="s">
        <v>240</v>
      </c>
      <c r="GW3509" s="5" t="s">
        <v>240</v>
      </c>
      <c r="GX3509" s="5" t="s">
        <v>240</v>
      </c>
      <c r="GY3509" s="5" t="s">
        <v>240</v>
      </c>
      <c r="GZ3509" s="5" t="s">
        <v>240</v>
      </c>
      <c r="HA3509" s="5" t="s">
        <v>240</v>
      </c>
      <c r="HB3509" s="5" t="s">
        <v>240</v>
      </c>
      <c r="HC3509" s="5" t="s">
        <v>240</v>
      </c>
      <c r="HD3509" s="5" t="s">
        <v>240</v>
      </c>
      <c r="HE3509" s="5" t="s">
        <v>240</v>
      </c>
      <c r="HF3509" s="5" t="s">
        <v>240</v>
      </c>
      <c r="HG3509" s="5" t="s">
        <v>240</v>
      </c>
      <c r="HH3509" s="5" t="s">
        <v>240</v>
      </c>
      <c r="HI3509" s="5" t="s">
        <v>240</v>
      </c>
      <c r="HJ3509" s="5" t="s">
        <v>240</v>
      </c>
      <c r="HK3509" s="5" t="s">
        <v>240</v>
      </c>
      <c r="HL3509" s="5" t="s">
        <v>240</v>
      </c>
      <c r="HM3509" s="5" t="s">
        <v>240</v>
      </c>
      <c r="HN3509" s="5" t="s">
        <v>240</v>
      </c>
      <c r="HO3509" s="5" t="s">
        <v>620</v>
      </c>
      <c r="HP3509" s="5" t="s">
        <v>240</v>
      </c>
      <c r="HQ3509" s="5" t="s">
        <v>240</v>
      </c>
      <c r="HR3509" s="5" t="s">
        <v>240</v>
      </c>
      <c r="HS3509" s="5" t="s">
        <v>240</v>
      </c>
      <c r="HT3509" s="5" t="s">
        <v>240</v>
      </c>
      <c r="HU3509" s="5" t="s">
        <v>240</v>
      </c>
      <c r="HV3509" s="5" t="s">
        <v>240</v>
      </c>
      <c r="HW3509" s="5" t="s">
        <v>240</v>
      </c>
      <c r="HX3509" s="5" t="s">
        <v>240</v>
      </c>
      <c r="HY3509" s="5" t="s">
        <v>240</v>
      </c>
      <c r="HZ3509" s="5" t="s">
        <v>240</v>
      </c>
      <c r="IA3509" s="5" t="s">
        <v>240</v>
      </c>
      <c r="IB3509" s="5" t="s">
        <v>240</v>
      </c>
      <c r="IC3509" s="5" t="s">
        <v>240</v>
      </c>
      <c r="ID3509" s="5" t="s">
        <v>240</v>
      </c>
      <c r="IE3509" s="5" t="s">
        <v>240</v>
      </c>
      <c r="IF3509" s="5" t="s">
        <v>240</v>
      </c>
    </row>
    <row r="3510" spans="1:240" x14ac:dyDescent="0.4">
      <c r="A3510" s="5">
        <v>9052</v>
      </c>
      <c r="B3510" s="5">
        <v>1</v>
      </c>
      <c r="C3510" s="5">
        <v>1</v>
      </c>
      <c r="D3510" s="5" t="s">
        <v>723</v>
      </c>
      <c r="E3510" s="5" t="s">
        <v>5060</v>
      </c>
      <c r="F3510" s="5" t="s">
        <v>254</v>
      </c>
      <c r="G3510" s="5" t="s">
        <v>5061</v>
      </c>
      <c r="H3510" s="6" t="s">
        <v>5926</v>
      </c>
      <c r="I3510" s="5" t="s">
        <v>5925</v>
      </c>
      <c r="J3510" s="7">
        <f>1</f>
        <v>1</v>
      </c>
      <c r="K3510" s="5" t="s">
        <v>3682</v>
      </c>
      <c r="L3510" s="7">
        <f>1</f>
        <v>1</v>
      </c>
      <c r="M3510" s="7">
        <f>1</f>
        <v>1</v>
      </c>
      <c r="N3510" s="5" t="s">
        <v>242</v>
      </c>
      <c r="O3510" s="5">
        <v>1</v>
      </c>
      <c r="P3510" s="5" t="s">
        <v>294</v>
      </c>
      <c r="Q3510" s="5" t="s">
        <v>266</v>
      </c>
      <c r="R3510" s="5" t="s">
        <v>240</v>
      </c>
      <c r="S3510" s="5" t="s">
        <v>240</v>
      </c>
      <c r="T3510" s="5" t="s">
        <v>243</v>
      </c>
      <c r="U3510" s="5" t="s">
        <v>240</v>
      </c>
      <c r="V3510" s="5" t="s">
        <v>240</v>
      </c>
      <c r="Y3510" s="5" t="s">
        <v>240</v>
      </c>
      <c r="Z3510" s="6" t="s">
        <v>6223</v>
      </c>
      <c r="AB3510" s="6" t="s">
        <v>240</v>
      </c>
      <c r="AE3510" s="6" t="s">
        <v>747</v>
      </c>
      <c r="AF3510" s="5" t="s">
        <v>248</v>
      </c>
      <c r="AG3510" s="5" t="s">
        <v>249</v>
      </c>
      <c r="AW3510" s="5" t="s">
        <v>251</v>
      </c>
      <c r="AX3510" s="5" t="s">
        <v>240</v>
      </c>
      <c r="AY3510" s="5" t="s">
        <v>253</v>
      </c>
      <c r="AZ3510" s="5" t="s">
        <v>240</v>
      </c>
      <c r="BA3510" s="5" t="s">
        <v>255</v>
      </c>
      <c r="BB3510" s="5" t="s">
        <v>240</v>
      </c>
      <c r="BD3510" s="5" t="s">
        <v>240</v>
      </c>
      <c r="BF3510" s="5" t="s">
        <v>687</v>
      </c>
      <c r="BG3510" s="6" t="s">
        <v>6223</v>
      </c>
      <c r="BH3510" s="5" t="s">
        <v>302</v>
      </c>
      <c r="BI3510" s="5" t="s">
        <v>5278</v>
      </c>
      <c r="BJ3510" s="5" t="s">
        <v>240</v>
      </c>
      <c r="BK3510" s="8">
        <f>0</f>
        <v>0</v>
      </c>
      <c r="BL3510" s="7">
        <f>0</f>
        <v>0</v>
      </c>
      <c r="BM3510" s="5" t="s">
        <v>258</v>
      </c>
      <c r="BN3510" s="5" t="s">
        <v>259</v>
      </c>
      <c r="CB3510" s="5" t="s">
        <v>240</v>
      </c>
      <c r="CC3510" s="5" t="s">
        <v>240</v>
      </c>
      <c r="CG3510" s="5" t="s">
        <v>617</v>
      </c>
      <c r="CH3510" s="5" t="s">
        <v>305</v>
      </c>
      <c r="CI3510" s="5" t="s">
        <v>240</v>
      </c>
      <c r="CL3510" s="6" t="s">
        <v>261</v>
      </c>
      <c r="CM3510" s="5" t="s">
        <v>240</v>
      </c>
      <c r="CN3510" s="5" t="s">
        <v>263</v>
      </c>
      <c r="CO3510" s="5" t="s">
        <v>240</v>
      </c>
      <c r="CP3510" s="5" t="s">
        <v>240</v>
      </c>
      <c r="CQ3510" s="5">
        <v>0</v>
      </c>
      <c r="CR3510" s="5" t="s">
        <v>306</v>
      </c>
      <c r="CS3510" s="5" t="s">
        <v>307</v>
      </c>
      <c r="CT3510" s="5" t="s">
        <v>307</v>
      </c>
      <c r="CU3510" s="5" t="s">
        <v>260</v>
      </c>
      <c r="CX3510" s="7">
        <f>2704127</f>
        <v>2704127</v>
      </c>
      <c r="CY3510" s="7">
        <f>0</f>
        <v>0</v>
      </c>
      <c r="DA3510" s="7">
        <f>0</f>
        <v>0</v>
      </c>
      <c r="DC3510" s="5" t="s">
        <v>450</v>
      </c>
      <c r="DD3510" s="5" t="s">
        <v>240</v>
      </c>
      <c r="DF3510" s="5" t="s">
        <v>450</v>
      </c>
      <c r="DG3510" s="7">
        <f>0</f>
        <v>0</v>
      </c>
      <c r="DI3510" s="5" t="s">
        <v>240</v>
      </c>
      <c r="DJ3510" s="5" t="s">
        <v>240</v>
      </c>
      <c r="DK3510" s="5" t="s">
        <v>240</v>
      </c>
      <c r="DL3510" s="5" t="s">
        <v>240</v>
      </c>
      <c r="DP3510" s="5" t="s">
        <v>240</v>
      </c>
      <c r="DQ3510" s="5" t="s">
        <v>240</v>
      </c>
      <c r="DR3510" s="5" t="s">
        <v>240</v>
      </c>
      <c r="DS3510" s="5" t="s">
        <v>240</v>
      </c>
      <c r="DV3510" s="5" t="s">
        <v>310</v>
      </c>
      <c r="DW3510" s="5" t="s">
        <v>2365</v>
      </c>
      <c r="HO3510" s="5" t="s">
        <v>312</v>
      </c>
    </row>
    <row r="3511" spans="1:240" x14ac:dyDescent="0.4">
      <c r="A3511" s="5">
        <v>9053</v>
      </c>
      <c r="B3511" s="5">
        <v>1</v>
      </c>
      <c r="C3511" s="5">
        <v>1</v>
      </c>
      <c r="D3511" s="5" t="s">
        <v>723</v>
      </c>
      <c r="E3511" s="5" t="s">
        <v>5060</v>
      </c>
      <c r="F3511" s="5" t="s">
        <v>254</v>
      </c>
      <c r="G3511" s="5" t="s">
        <v>5061</v>
      </c>
      <c r="H3511" s="6" t="s">
        <v>5924</v>
      </c>
      <c r="I3511" s="5" t="s">
        <v>5923</v>
      </c>
      <c r="J3511" s="7">
        <f>1</f>
        <v>1</v>
      </c>
      <c r="K3511" s="5" t="s">
        <v>3682</v>
      </c>
      <c r="L3511" s="7">
        <f>1</f>
        <v>1</v>
      </c>
      <c r="M3511" s="7">
        <f>1</f>
        <v>1</v>
      </c>
      <c r="N3511" s="5" t="s">
        <v>242</v>
      </c>
      <c r="O3511" s="5">
        <v>1</v>
      </c>
      <c r="P3511" s="5" t="s">
        <v>294</v>
      </c>
      <c r="Q3511" s="5" t="s">
        <v>3678</v>
      </c>
      <c r="R3511" s="5" t="s">
        <v>240</v>
      </c>
      <c r="S3511" s="5" t="s">
        <v>240</v>
      </c>
      <c r="T3511" s="5" t="s">
        <v>243</v>
      </c>
      <c r="U3511" s="5" t="s">
        <v>244</v>
      </c>
      <c r="V3511" s="5" t="s">
        <v>240</v>
      </c>
      <c r="W3511" s="5" t="s">
        <v>240</v>
      </c>
      <c r="X3511" s="5" t="s">
        <v>240</v>
      </c>
      <c r="Y3511" s="5" t="s">
        <v>240</v>
      </c>
      <c r="Z3511" s="6" t="s">
        <v>298</v>
      </c>
      <c r="AA3511" s="6" t="s">
        <v>240</v>
      </c>
      <c r="AB3511" s="6" t="s">
        <v>240</v>
      </c>
      <c r="AC3511" s="5" t="s">
        <v>240</v>
      </c>
      <c r="AD3511" s="6" t="s">
        <v>240</v>
      </c>
      <c r="AE3511" s="6" t="s">
        <v>299</v>
      </c>
      <c r="AF3511" s="5" t="s">
        <v>248</v>
      </c>
      <c r="AG3511" s="5" t="s">
        <v>249</v>
      </c>
      <c r="AH3511" s="5" t="s">
        <v>240</v>
      </c>
      <c r="AI3511" s="5" t="s">
        <v>240</v>
      </c>
      <c r="AJ3511" s="5" t="s">
        <v>240</v>
      </c>
      <c r="AK3511" s="5" t="s">
        <v>240</v>
      </c>
      <c r="AL3511" s="5" t="s">
        <v>240</v>
      </c>
      <c r="AM3511" s="5" t="s">
        <v>240</v>
      </c>
      <c r="AN3511" s="5" t="s">
        <v>240</v>
      </c>
      <c r="AO3511" s="5" t="s">
        <v>240</v>
      </c>
      <c r="AP3511" s="6" t="s">
        <v>240</v>
      </c>
      <c r="AQ3511" s="6" t="s">
        <v>240</v>
      </c>
      <c r="AR3511" s="6" t="s">
        <v>240</v>
      </c>
      <c r="AS3511" s="6" t="s">
        <v>240</v>
      </c>
      <c r="AT3511" s="5" t="s">
        <v>240</v>
      </c>
      <c r="AU3511" s="5" t="s">
        <v>729</v>
      </c>
      <c r="AV3511" s="5" t="s">
        <v>729</v>
      </c>
      <c r="AW3511" s="5" t="s">
        <v>251</v>
      </c>
      <c r="AX3511" s="5" t="s">
        <v>252</v>
      </c>
      <c r="AY3511" s="5" t="s">
        <v>253</v>
      </c>
      <c r="AZ3511" s="5" t="s">
        <v>240</v>
      </c>
      <c r="BA3511" s="5" t="s">
        <v>255</v>
      </c>
      <c r="BB3511" s="5" t="s">
        <v>731</v>
      </c>
      <c r="BD3511" s="5" t="s">
        <v>240</v>
      </c>
      <c r="BF3511" s="5" t="s">
        <v>732</v>
      </c>
      <c r="BG3511" s="6" t="s">
        <v>733</v>
      </c>
      <c r="BH3511" s="5" t="s">
        <v>734</v>
      </c>
      <c r="BI3511" s="5" t="s">
        <v>734</v>
      </c>
      <c r="BJ3511" s="5" t="s">
        <v>240</v>
      </c>
      <c r="BK3511" s="7">
        <f>1</f>
        <v>1</v>
      </c>
      <c r="BL3511" s="7">
        <f>1</f>
        <v>1</v>
      </c>
      <c r="BM3511" s="5" t="s">
        <v>258</v>
      </c>
      <c r="BN3511" s="5" t="s">
        <v>259</v>
      </c>
      <c r="BO3511" s="5" t="s">
        <v>240</v>
      </c>
      <c r="BP3511" s="5" t="s">
        <v>240</v>
      </c>
      <c r="BQ3511" s="5" t="s">
        <v>240</v>
      </c>
      <c r="BR3511" s="5" t="s">
        <v>240</v>
      </c>
      <c r="BS3511" s="5" t="s">
        <v>240</v>
      </c>
      <c r="BT3511" s="5" t="s">
        <v>240</v>
      </c>
      <c r="BU3511" s="5" t="s">
        <v>240</v>
      </c>
      <c r="BV3511" s="5" t="s">
        <v>240</v>
      </c>
      <c r="BW3511" s="6" t="s">
        <v>240</v>
      </c>
      <c r="BX3511" s="5" t="s">
        <v>240</v>
      </c>
      <c r="BY3511" s="5" t="s">
        <v>240</v>
      </c>
      <c r="BZ3511" s="5" t="s">
        <v>240</v>
      </c>
      <c r="CA3511" s="5" t="s">
        <v>259</v>
      </c>
      <c r="CB3511" s="5" t="s">
        <v>240</v>
      </c>
      <c r="CC3511" s="5" t="s">
        <v>240</v>
      </c>
      <c r="CD3511" s="5" t="s">
        <v>240</v>
      </c>
      <c r="CE3511" s="5" t="s">
        <v>240</v>
      </c>
      <c r="CF3511" s="5" t="s">
        <v>240</v>
      </c>
      <c r="CG3511" s="5" t="s">
        <v>304</v>
      </c>
      <c r="CH3511" s="5" t="s">
        <v>305</v>
      </c>
      <c r="CI3511" s="5" t="s">
        <v>240</v>
      </c>
      <c r="CK3511" s="5" t="s">
        <v>3681</v>
      </c>
      <c r="CL3511" s="6" t="s">
        <v>261</v>
      </c>
      <c r="CM3511" s="5" t="s">
        <v>262</v>
      </c>
      <c r="CN3511" s="5" t="s">
        <v>263</v>
      </c>
      <c r="CO3511" s="5" t="s">
        <v>264</v>
      </c>
      <c r="CP3511" s="5" t="s">
        <v>240</v>
      </c>
      <c r="CQ3511" s="5">
        <v>0</v>
      </c>
      <c r="CR3511" s="5" t="s">
        <v>735</v>
      </c>
      <c r="CS3511" s="5" t="s">
        <v>307</v>
      </c>
      <c r="CT3511" s="5" t="s">
        <v>307</v>
      </c>
      <c r="CU3511" s="5" t="s">
        <v>260</v>
      </c>
      <c r="CV3511" s="5" t="s">
        <v>612</v>
      </c>
      <c r="CW3511" s="8">
        <f>1</f>
        <v>1</v>
      </c>
      <c r="CX3511" s="7">
        <f>1</f>
        <v>1</v>
      </c>
      <c r="CY3511" s="7">
        <f>0</f>
        <v>0</v>
      </c>
      <c r="DA3511" s="7">
        <f>1</f>
        <v>1</v>
      </c>
      <c r="DB3511" s="7" t="s">
        <v>240</v>
      </c>
      <c r="DC3511" s="5" t="s">
        <v>240</v>
      </c>
      <c r="DD3511" s="5" t="s">
        <v>240</v>
      </c>
      <c r="DE3511" s="5" t="s">
        <v>240</v>
      </c>
      <c r="DF3511" s="5" t="s">
        <v>240</v>
      </c>
      <c r="DG3511" s="7">
        <f>0</f>
        <v>0</v>
      </c>
      <c r="DI3511" s="5" t="s">
        <v>240</v>
      </c>
      <c r="DJ3511" s="5" t="s">
        <v>240</v>
      </c>
      <c r="DK3511" s="5" t="s">
        <v>240</v>
      </c>
      <c r="DL3511" s="5" t="s">
        <v>240</v>
      </c>
      <c r="DM3511" s="5" t="s">
        <v>240</v>
      </c>
      <c r="DN3511" s="5" t="s">
        <v>240</v>
      </c>
      <c r="DO3511" s="7" t="s">
        <v>240</v>
      </c>
      <c r="DP3511" s="5" t="s">
        <v>240</v>
      </c>
      <c r="DQ3511" s="5" t="s">
        <v>240</v>
      </c>
      <c r="DR3511" s="5" t="s">
        <v>731</v>
      </c>
      <c r="DS3511" s="5" t="s">
        <v>731</v>
      </c>
      <c r="DT3511" s="5" t="s">
        <v>240</v>
      </c>
      <c r="DU3511" s="5" t="s">
        <v>240</v>
      </c>
      <c r="DV3511" s="5" t="s">
        <v>3683</v>
      </c>
      <c r="DW3511" s="5" t="s">
        <v>1088</v>
      </c>
      <c r="DX3511" s="5" t="s">
        <v>240</v>
      </c>
      <c r="DY3511" s="5" t="s">
        <v>240</v>
      </c>
      <c r="DZ3511" s="5" t="s">
        <v>240</v>
      </c>
      <c r="EA3511" s="5" t="s">
        <v>240</v>
      </c>
      <c r="EB3511" s="5" t="s">
        <v>240</v>
      </c>
      <c r="EC3511" s="5" t="s">
        <v>240</v>
      </c>
      <c r="ED3511" s="5" t="s">
        <v>240</v>
      </c>
      <c r="EE3511" s="5" t="s">
        <v>240</v>
      </c>
      <c r="EF3511" s="5" t="s">
        <v>240</v>
      </c>
      <c r="EG3511" s="5" t="s">
        <v>240</v>
      </c>
      <c r="EH3511" s="5" t="s">
        <v>240</v>
      </c>
      <c r="EI3511" s="5" t="s">
        <v>240</v>
      </c>
      <c r="EJ3511" s="5" t="s">
        <v>240</v>
      </c>
      <c r="EK3511" s="5" t="s">
        <v>240</v>
      </c>
      <c r="EL3511" s="5" t="s">
        <v>240</v>
      </c>
      <c r="EM3511" s="5" t="s">
        <v>240</v>
      </c>
      <c r="EN3511" s="5" t="s">
        <v>240</v>
      </c>
      <c r="EO3511" s="5" t="s">
        <v>240</v>
      </c>
      <c r="EP3511" s="5" t="s">
        <v>240</v>
      </c>
      <c r="EQ3511" s="5" t="s">
        <v>240</v>
      </c>
      <c r="ER3511" s="5" t="s">
        <v>240</v>
      </c>
      <c r="ES3511" s="5" t="s">
        <v>240</v>
      </c>
      <c r="ET3511" s="5" t="s">
        <v>240</v>
      </c>
      <c r="EU3511" s="5" t="s">
        <v>240</v>
      </c>
      <c r="EV3511" s="5" t="s">
        <v>240</v>
      </c>
      <c r="EW3511" s="5" t="s">
        <v>240</v>
      </c>
      <c r="EX3511" s="5" t="s">
        <v>240</v>
      </c>
      <c r="EY3511" s="5" t="s">
        <v>240</v>
      </c>
      <c r="EZ3511" s="5" t="s">
        <v>240</v>
      </c>
      <c r="FA3511" s="5" t="s">
        <v>240</v>
      </c>
      <c r="FB3511" s="5" t="s">
        <v>240</v>
      </c>
      <c r="FC3511" s="5" t="s">
        <v>240</v>
      </c>
      <c r="FD3511" s="5" t="s">
        <v>240</v>
      </c>
      <c r="FE3511" s="5" t="s">
        <v>240</v>
      </c>
      <c r="FF3511" s="5" t="s">
        <v>240</v>
      </c>
      <c r="FG3511" s="5" t="s">
        <v>240</v>
      </c>
      <c r="FH3511" s="5" t="s">
        <v>240</v>
      </c>
      <c r="FI3511" s="5" t="s">
        <v>240</v>
      </c>
      <c r="FJ3511" s="5" t="s">
        <v>240</v>
      </c>
      <c r="FK3511" s="5" t="s">
        <v>240</v>
      </c>
      <c r="FL3511" s="5" t="s">
        <v>240</v>
      </c>
      <c r="FM3511" s="5" t="s">
        <v>240</v>
      </c>
      <c r="FN3511" s="5" t="s">
        <v>240</v>
      </c>
      <c r="FO3511" s="5" t="s">
        <v>240</v>
      </c>
      <c r="FP3511" s="5" t="s">
        <v>240</v>
      </c>
      <c r="FQ3511" s="5" t="s">
        <v>240</v>
      </c>
      <c r="FR3511" s="5" t="s">
        <v>240</v>
      </c>
      <c r="FS3511" s="5" t="s">
        <v>240</v>
      </c>
      <c r="FT3511" s="5" t="s">
        <v>240</v>
      </c>
      <c r="FU3511" s="5" t="s">
        <v>240</v>
      </c>
      <c r="FV3511" s="5" t="s">
        <v>240</v>
      </c>
      <c r="FW3511" s="5" t="s">
        <v>240</v>
      </c>
      <c r="FX3511" s="5" t="s">
        <v>240</v>
      </c>
      <c r="FY3511" s="5" t="s">
        <v>240</v>
      </c>
      <c r="FZ3511" s="5" t="s">
        <v>240</v>
      </c>
      <c r="GA3511" s="5" t="s">
        <v>240</v>
      </c>
      <c r="GB3511" s="5" t="s">
        <v>240</v>
      </c>
      <c r="GC3511" s="5" t="s">
        <v>240</v>
      </c>
      <c r="GD3511" s="5" t="s">
        <v>240</v>
      </c>
      <c r="GE3511" s="5" t="s">
        <v>240</v>
      </c>
      <c r="GF3511" s="5" t="s">
        <v>240</v>
      </c>
      <c r="GG3511" s="5" t="s">
        <v>240</v>
      </c>
      <c r="GH3511" s="5" t="s">
        <v>240</v>
      </c>
      <c r="GI3511" s="5" t="s">
        <v>240</v>
      </c>
      <c r="GJ3511" s="5" t="s">
        <v>240</v>
      </c>
      <c r="GK3511" s="5" t="s">
        <v>240</v>
      </c>
      <c r="GL3511" s="5" t="s">
        <v>240</v>
      </c>
      <c r="GM3511" s="5" t="s">
        <v>240</v>
      </c>
      <c r="GN3511" s="5" t="s">
        <v>240</v>
      </c>
      <c r="GO3511" s="5" t="s">
        <v>240</v>
      </c>
      <c r="GP3511" s="5" t="s">
        <v>240</v>
      </c>
      <c r="GQ3511" s="5" t="s">
        <v>240</v>
      </c>
      <c r="GR3511" s="5" t="s">
        <v>240</v>
      </c>
      <c r="GS3511" s="5" t="s">
        <v>240</v>
      </c>
      <c r="GT3511" s="5" t="s">
        <v>240</v>
      </c>
      <c r="GU3511" s="5" t="s">
        <v>240</v>
      </c>
      <c r="GV3511" s="5" t="s">
        <v>240</v>
      </c>
      <c r="GW3511" s="5" t="s">
        <v>240</v>
      </c>
      <c r="GX3511" s="5" t="s">
        <v>240</v>
      </c>
      <c r="GY3511" s="5" t="s">
        <v>240</v>
      </c>
      <c r="GZ3511" s="5" t="s">
        <v>240</v>
      </c>
      <c r="HA3511" s="5" t="s">
        <v>240</v>
      </c>
      <c r="HB3511" s="5" t="s">
        <v>240</v>
      </c>
      <c r="HC3511" s="5" t="s">
        <v>240</v>
      </c>
      <c r="HD3511" s="5" t="s">
        <v>240</v>
      </c>
      <c r="HE3511" s="5" t="s">
        <v>240</v>
      </c>
      <c r="HF3511" s="5" t="s">
        <v>240</v>
      </c>
      <c r="HG3511" s="5" t="s">
        <v>240</v>
      </c>
      <c r="HH3511" s="5" t="s">
        <v>240</v>
      </c>
      <c r="HI3511" s="5" t="s">
        <v>240</v>
      </c>
      <c r="HJ3511" s="5" t="s">
        <v>240</v>
      </c>
      <c r="HK3511" s="5" t="s">
        <v>240</v>
      </c>
      <c r="HL3511" s="5" t="s">
        <v>240</v>
      </c>
      <c r="HM3511" s="5" t="s">
        <v>240</v>
      </c>
      <c r="HN3511" s="5" t="s">
        <v>240</v>
      </c>
      <c r="HO3511" s="5" t="s">
        <v>312</v>
      </c>
      <c r="HP3511" s="5" t="s">
        <v>240</v>
      </c>
      <c r="HQ3511" s="5" t="s">
        <v>240</v>
      </c>
      <c r="HR3511" s="5" t="s">
        <v>240</v>
      </c>
      <c r="HS3511" s="5" t="s">
        <v>240</v>
      </c>
      <c r="HT3511" s="5" t="s">
        <v>240</v>
      </c>
      <c r="HU3511" s="5" t="s">
        <v>240</v>
      </c>
      <c r="HV3511" s="5" t="s">
        <v>240</v>
      </c>
      <c r="HW3511" s="5" t="s">
        <v>240</v>
      </c>
      <c r="HX3511" s="5" t="s">
        <v>240</v>
      </c>
      <c r="HY3511" s="5" t="s">
        <v>240</v>
      </c>
      <c r="HZ3511" s="5" t="s">
        <v>240</v>
      </c>
      <c r="IA3511" s="5" t="s">
        <v>240</v>
      </c>
      <c r="IB3511" s="5" t="s">
        <v>240</v>
      </c>
      <c r="IC3511" s="5" t="s">
        <v>240</v>
      </c>
      <c r="ID3511" s="5" t="s">
        <v>240</v>
      </c>
      <c r="IE3511" s="5" t="s">
        <v>240</v>
      </c>
      <c r="IF3511" s="5" t="s">
        <v>240</v>
      </c>
    </row>
    <row r="3512" spans="1:240" x14ac:dyDescent="0.4">
      <c r="A3512" s="5">
        <v>9054</v>
      </c>
      <c r="B3512" s="5">
        <v>1</v>
      </c>
      <c r="C3512" s="5">
        <v>1</v>
      </c>
      <c r="D3512" s="5" t="s">
        <v>723</v>
      </c>
      <c r="E3512" s="5" t="s">
        <v>5060</v>
      </c>
      <c r="F3512" s="5" t="s">
        <v>254</v>
      </c>
      <c r="G3512" s="5" t="s">
        <v>5061</v>
      </c>
      <c r="H3512" s="6" t="s">
        <v>6114</v>
      </c>
      <c r="I3512" s="5" t="s">
        <v>6113</v>
      </c>
      <c r="J3512" s="7">
        <f>1</f>
        <v>1</v>
      </c>
      <c r="K3512" s="5" t="s">
        <v>3682</v>
      </c>
      <c r="L3512" s="7">
        <f>1</f>
        <v>1</v>
      </c>
      <c r="M3512" s="7">
        <f>1</f>
        <v>1</v>
      </c>
      <c r="N3512" s="5" t="s">
        <v>242</v>
      </c>
      <c r="O3512" s="5">
        <v>1</v>
      </c>
      <c r="P3512" s="5" t="s">
        <v>294</v>
      </c>
      <c r="Q3512" s="5" t="s">
        <v>3678</v>
      </c>
      <c r="R3512" s="5" t="s">
        <v>240</v>
      </c>
      <c r="S3512" s="5" t="s">
        <v>240</v>
      </c>
      <c r="T3512" s="5" t="s">
        <v>243</v>
      </c>
      <c r="U3512" s="5" t="s">
        <v>244</v>
      </c>
      <c r="V3512" s="5" t="s">
        <v>240</v>
      </c>
      <c r="W3512" s="5" t="s">
        <v>240</v>
      </c>
      <c r="X3512" s="5" t="s">
        <v>240</v>
      </c>
      <c r="Y3512" s="5" t="s">
        <v>240</v>
      </c>
      <c r="Z3512" s="6" t="s">
        <v>298</v>
      </c>
      <c r="AA3512" s="6" t="s">
        <v>240</v>
      </c>
      <c r="AB3512" s="6" t="s">
        <v>240</v>
      </c>
      <c r="AC3512" s="5" t="s">
        <v>240</v>
      </c>
      <c r="AD3512" s="6" t="s">
        <v>240</v>
      </c>
      <c r="AE3512" s="6" t="s">
        <v>299</v>
      </c>
      <c r="AF3512" s="5" t="s">
        <v>248</v>
      </c>
      <c r="AG3512" s="5" t="s">
        <v>249</v>
      </c>
      <c r="AH3512" s="5" t="s">
        <v>240</v>
      </c>
      <c r="AI3512" s="5" t="s">
        <v>240</v>
      </c>
      <c r="AJ3512" s="5" t="s">
        <v>240</v>
      </c>
      <c r="AK3512" s="5" t="s">
        <v>240</v>
      </c>
      <c r="AL3512" s="5" t="s">
        <v>240</v>
      </c>
      <c r="AM3512" s="5" t="s">
        <v>240</v>
      </c>
      <c r="AN3512" s="5" t="s">
        <v>240</v>
      </c>
      <c r="AO3512" s="5" t="s">
        <v>240</v>
      </c>
      <c r="AP3512" s="6" t="s">
        <v>240</v>
      </c>
      <c r="AQ3512" s="6" t="s">
        <v>240</v>
      </c>
      <c r="AR3512" s="6" t="s">
        <v>240</v>
      </c>
      <c r="AS3512" s="6" t="s">
        <v>240</v>
      </c>
      <c r="AT3512" s="5" t="s">
        <v>240</v>
      </c>
      <c r="AU3512" s="5" t="s">
        <v>729</v>
      </c>
      <c r="AV3512" s="5" t="s">
        <v>729</v>
      </c>
      <c r="AW3512" s="5" t="s">
        <v>251</v>
      </c>
      <c r="AX3512" s="5" t="s">
        <v>252</v>
      </c>
      <c r="AY3512" s="5" t="s">
        <v>253</v>
      </c>
      <c r="AZ3512" s="5" t="s">
        <v>240</v>
      </c>
      <c r="BA3512" s="5" t="s">
        <v>255</v>
      </c>
      <c r="BB3512" s="5" t="s">
        <v>731</v>
      </c>
      <c r="BD3512" s="5" t="s">
        <v>240</v>
      </c>
      <c r="BF3512" s="5" t="s">
        <v>732</v>
      </c>
      <c r="BG3512" s="6" t="s">
        <v>733</v>
      </c>
      <c r="BH3512" s="5" t="s">
        <v>734</v>
      </c>
      <c r="BI3512" s="5" t="s">
        <v>734</v>
      </c>
      <c r="BJ3512" s="5" t="s">
        <v>240</v>
      </c>
      <c r="BK3512" s="7">
        <f>1</f>
        <v>1</v>
      </c>
      <c r="BL3512" s="7">
        <f>1</f>
        <v>1</v>
      </c>
      <c r="BM3512" s="5" t="s">
        <v>258</v>
      </c>
      <c r="BN3512" s="5" t="s">
        <v>259</v>
      </c>
      <c r="BO3512" s="5" t="s">
        <v>240</v>
      </c>
      <c r="BP3512" s="5" t="s">
        <v>240</v>
      </c>
      <c r="BQ3512" s="5" t="s">
        <v>240</v>
      </c>
      <c r="BR3512" s="5" t="s">
        <v>240</v>
      </c>
      <c r="BS3512" s="5" t="s">
        <v>240</v>
      </c>
      <c r="BT3512" s="5" t="s">
        <v>240</v>
      </c>
      <c r="BU3512" s="5" t="s">
        <v>240</v>
      </c>
      <c r="BV3512" s="5" t="s">
        <v>240</v>
      </c>
      <c r="BW3512" s="6" t="s">
        <v>240</v>
      </c>
      <c r="BX3512" s="5" t="s">
        <v>240</v>
      </c>
      <c r="BY3512" s="5" t="s">
        <v>240</v>
      </c>
      <c r="BZ3512" s="5" t="s">
        <v>240</v>
      </c>
      <c r="CA3512" s="5" t="s">
        <v>259</v>
      </c>
      <c r="CB3512" s="5" t="s">
        <v>240</v>
      </c>
      <c r="CC3512" s="5" t="s">
        <v>240</v>
      </c>
      <c r="CD3512" s="5" t="s">
        <v>240</v>
      </c>
      <c r="CE3512" s="5" t="s">
        <v>240</v>
      </c>
      <c r="CF3512" s="5" t="s">
        <v>240</v>
      </c>
      <c r="CG3512" s="5" t="s">
        <v>304</v>
      </c>
      <c r="CH3512" s="5" t="s">
        <v>305</v>
      </c>
      <c r="CI3512" s="5" t="s">
        <v>240</v>
      </c>
      <c r="CK3512" s="5" t="s">
        <v>3681</v>
      </c>
      <c r="CL3512" s="6" t="s">
        <v>261</v>
      </c>
      <c r="CM3512" s="5" t="s">
        <v>262</v>
      </c>
      <c r="CN3512" s="5" t="s">
        <v>263</v>
      </c>
      <c r="CO3512" s="5" t="s">
        <v>264</v>
      </c>
      <c r="CP3512" s="5" t="s">
        <v>240</v>
      </c>
      <c r="CQ3512" s="5">
        <v>0</v>
      </c>
      <c r="CR3512" s="5" t="s">
        <v>735</v>
      </c>
      <c r="CS3512" s="5" t="s">
        <v>307</v>
      </c>
      <c r="CT3512" s="5" t="s">
        <v>307</v>
      </c>
      <c r="CU3512" s="5" t="s">
        <v>260</v>
      </c>
      <c r="CV3512" s="5" t="s">
        <v>612</v>
      </c>
      <c r="CW3512" s="8">
        <f>1</f>
        <v>1</v>
      </c>
      <c r="CX3512" s="7">
        <f>1</f>
        <v>1</v>
      </c>
      <c r="CY3512" s="7">
        <f>0</f>
        <v>0</v>
      </c>
      <c r="DA3512" s="7">
        <f>1</f>
        <v>1</v>
      </c>
      <c r="DB3512" s="7" t="s">
        <v>240</v>
      </c>
      <c r="DC3512" s="5" t="s">
        <v>240</v>
      </c>
      <c r="DD3512" s="5" t="s">
        <v>240</v>
      </c>
      <c r="DE3512" s="5" t="s">
        <v>240</v>
      </c>
      <c r="DF3512" s="5" t="s">
        <v>240</v>
      </c>
      <c r="DG3512" s="7">
        <f>0</f>
        <v>0</v>
      </c>
      <c r="DI3512" s="5" t="s">
        <v>240</v>
      </c>
      <c r="DJ3512" s="5" t="s">
        <v>240</v>
      </c>
      <c r="DK3512" s="5" t="s">
        <v>240</v>
      </c>
      <c r="DL3512" s="5" t="s">
        <v>240</v>
      </c>
      <c r="DM3512" s="5" t="s">
        <v>240</v>
      </c>
      <c r="DN3512" s="5" t="s">
        <v>240</v>
      </c>
      <c r="DO3512" s="7" t="s">
        <v>240</v>
      </c>
      <c r="DP3512" s="5" t="s">
        <v>240</v>
      </c>
      <c r="DQ3512" s="5" t="s">
        <v>240</v>
      </c>
      <c r="DR3512" s="5" t="s">
        <v>731</v>
      </c>
      <c r="DS3512" s="5" t="s">
        <v>731</v>
      </c>
      <c r="DT3512" s="5" t="s">
        <v>240</v>
      </c>
      <c r="DU3512" s="5" t="s">
        <v>240</v>
      </c>
      <c r="DV3512" s="5" t="s">
        <v>3683</v>
      </c>
      <c r="DW3512" s="5" t="s">
        <v>1096</v>
      </c>
      <c r="DX3512" s="5" t="s">
        <v>240</v>
      </c>
      <c r="DY3512" s="5" t="s">
        <v>240</v>
      </c>
      <c r="DZ3512" s="5" t="s">
        <v>240</v>
      </c>
      <c r="EA3512" s="5" t="s">
        <v>240</v>
      </c>
      <c r="EB3512" s="5" t="s">
        <v>240</v>
      </c>
      <c r="EC3512" s="5" t="s">
        <v>240</v>
      </c>
      <c r="ED3512" s="5" t="s">
        <v>240</v>
      </c>
      <c r="EE3512" s="5" t="s">
        <v>240</v>
      </c>
      <c r="EF3512" s="5" t="s">
        <v>240</v>
      </c>
      <c r="EG3512" s="5" t="s">
        <v>240</v>
      </c>
      <c r="EH3512" s="5" t="s">
        <v>240</v>
      </c>
      <c r="EI3512" s="5" t="s">
        <v>240</v>
      </c>
      <c r="EJ3512" s="5" t="s">
        <v>240</v>
      </c>
      <c r="EK3512" s="5" t="s">
        <v>240</v>
      </c>
      <c r="EL3512" s="5" t="s">
        <v>240</v>
      </c>
      <c r="EM3512" s="5" t="s">
        <v>240</v>
      </c>
      <c r="EN3512" s="5" t="s">
        <v>240</v>
      </c>
      <c r="EO3512" s="5" t="s">
        <v>240</v>
      </c>
      <c r="EP3512" s="5" t="s">
        <v>240</v>
      </c>
      <c r="EQ3512" s="5" t="s">
        <v>240</v>
      </c>
      <c r="ER3512" s="5" t="s">
        <v>240</v>
      </c>
      <c r="ES3512" s="5" t="s">
        <v>240</v>
      </c>
      <c r="ET3512" s="5" t="s">
        <v>240</v>
      </c>
      <c r="EU3512" s="5" t="s">
        <v>240</v>
      </c>
      <c r="EV3512" s="5" t="s">
        <v>240</v>
      </c>
      <c r="EW3512" s="5" t="s">
        <v>240</v>
      </c>
      <c r="EX3512" s="5" t="s">
        <v>240</v>
      </c>
      <c r="EY3512" s="5" t="s">
        <v>240</v>
      </c>
      <c r="EZ3512" s="5" t="s">
        <v>240</v>
      </c>
      <c r="FA3512" s="5" t="s">
        <v>240</v>
      </c>
      <c r="FB3512" s="5" t="s">
        <v>240</v>
      </c>
      <c r="FC3512" s="5" t="s">
        <v>240</v>
      </c>
      <c r="FD3512" s="5" t="s">
        <v>240</v>
      </c>
      <c r="FE3512" s="5" t="s">
        <v>240</v>
      </c>
      <c r="FF3512" s="5" t="s">
        <v>240</v>
      </c>
      <c r="FG3512" s="5" t="s">
        <v>240</v>
      </c>
      <c r="FH3512" s="5" t="s">
        <v>240</v>
      </c>
      <c r="FI3512" s="5" t="s">
        <v>240</v>
      </c>
      <c r="FJ3512" s="5" t="s">
        <v>240</v>
      </c>
      <c r="FK3512" s="5" t="s">
        <v>240</v>
      </c>
      <c r="FL3512" s="5" t="s">
        <v>240</v>
      </c>
      <c r="FM3512" s="5" t="s">
        <v>240</v>
      </c>
      <c r="FN3512" s="5" t="s">
        <v>240</v>
      </c>
      <c r="FO3512" s="5" t="s">
        <v>240</v>
      </c>
      <c r="FP3512" s="5" t="s">
        <v>240</v>
      </c>
      <c r="FQ3512" s="5" t="s">
        <v>240</v>
      </c>
      <c r="FR3512" s="5" t="s">
        <v>240</v>
      </c>
      <c r="FS3512" s="5" t="s">
        <v>240</v>
      </c>
      <c r="FT3512" s="5" t="s">
        <v>240</v>
      </c>
      <c r="FU3512" s="5" t="s">
        <v>240</v>
      </c>
      <c r="FV3512" s="5" t="s">
        <v>240</v>
      </c>
      <c r="FW3512" s="5" t="s">
        <v>240</v>
      </c>
      <c r="FX3512" s="5" t="s">
        <v>240</v>
      </c>
      <c r="FY3512" s="5" t="s">
        <v>240</v>
      </c>
      <c r="FZ3512" s="5" t="s">
        <v>240</v>
      </c>
      <c r="GA3512" s="5" t="s">
        <v>240</v>
      </c>
      <c r="GB3512" s="5" t="s">
        <v>240</v>
      </c>
      <c r="GC3512" s="5" t="s">
        <v>240</v>
      </c>
      <c r="GD3512" s="5" t="s">
        <v>240</v>
      </c>
      <c r="GE3512" s="5" t="s">
        <v>240</v>
      </c>
      <c r="GF3512" s="5" t="s">
        <v>240</v>
      </c>
      <c r="GG3512" s="5" t="s">
        <v>240</v>
      </c>
      <c r="GH3512" s="5" t="s">
        <v>240</v>
      </c>
      <c r="GI3512" s="5" t="s">
        <v>240</v>
      </c>
      <c r="GJ3512" s="5" t="s">
        <v>240</v>
      </c>
      <c r="GK3512" s="5" t="s">
        <v>240</v>
      </c>
      <c r="GL3512" s="5" t="s">
        <v>240</v>
      </c>
      <c r="GM3512" s="5" t="s">
        <v>240</v>
      </c>
      <c r="GN3512" s="5" t="s">
        <v>240</v>
      </c>
      <c r="GO3512" s="5" t="s">
        <v>240</v>
      </c>
      <c r="GP3512" s="5" t="s">
        <v>240</v>
      </c>
      <c r="GQ3512" s="5" t="s">
        <v>240</v>
      </c>
      <c r="GR3512" s="5" t="s">
        <v>240</v>
      </c>
      <c r="GS3512" s="5" t="s">
        <v>240</v>
      </c>
      <c r="GT3512" s="5" t="s">
        <v>240</v>
      </c>
      <c r="GU3512" s="5" t="s">
        <v>240</v>
      </c>
      <c r="GV3512" s="5" t="s">
        <v>240</v>
      </c>
      <c r="GW3512" s="5" t="s">
        <v>240</v>
      </c>
      <c r="GX3512" s="5" t="s">
        <v>240</v>
      </c>
      <c r="GY3512" s="5" t="s">
        <v>240</v>
      </c>
      <c r="GZ3512" s="5" t="s">
        <v>240</v>
      </c>
      <c r="HA3512" s="5" t="s">
        <v>240</v>
      </c>
      <c r="HB3512" s="5" t="s">
        <v>240</v>
      </c>
      <c r="HC3512" s="5" t="s">
        <v>240</v>
      </c>
      <c r="HD3512" s="5" t="s">
        <v>240</v>
      </c>
      <c r="HE3512" s="5" t="s">
        <v>240</v>
      </c>
      <c r="HF3512" s="5" t="s">
        <v>240</v>
      </c>
      <c r="HG3512" s="5" t="s">
        <v>240</v>
      </c>
      <c r="HH3512" s="5" t="s">
        <v>240</v>
      </c>
      <c r="HI3512" s="5" t="s">
        <v>240</v>
      </c>
      <c r="HJ3512" s="5" t="s">
        <v>240</v>
      </c>
      <c r="HK3512" s="5" t="s">
        <v>240</v>
      </c>
      <c r="HL3512" s="5" t="s">
        <v>240</v>
      </c>
      <c r="HM3512" s="5" t="s">
        <v>240</v>
      </c>
      <c r="HN3512" s="5" t="s">
        <v>240</v>
      </c>
      <c r="HO3512" s="5" t="s">
        <v>312</v>
      </c>
      <c r="HP3512" s="5" t="s">
        <v>240</v>
      </c>
      <c r="HQ3512" s="5" t="s">
        <v>240</v>
      </c>
      <c r="HR3512" s="5" t="s">
        <v>240</v>
      </c>
      <c r="HS3512" s="5" t="s">
        <v>240</v>
      </c>
      <c r="HT3512" s="5" t="s">
        <v>240</v>
      </c>
      <c r="HU3512" s="5" t="s">
        <v>240</v>
      </c>
      <c r="HV3512" s="5" t="s">
        <v>240</v>
      </c>
      <c r="HW3512" s="5" t="s">
        <v>240</v>
      </c>
      <c r="HX3512" s="5" t="s">
        <v>240</v>
      </c>
      <c r="HY3512" s="5" t="s">
        <v>240</v>
      </c>
      <c r="HZ3512" s="5" t="s">
        <v>240</v>
      </c>
      <c r="IA3512" s="5" t="s">
        <v>240</v>
      </c>
      <c r="IB3512" s="5" t="s">
        <v>240</v>
      </c>
      <c r="IC3512" s="5" t="s">
        <v>240</v>
      </c>
      <c r="ID3512" s="5" t="s">
        <v>240</v>
      </c>
      <c r="IE3512" s="5" t="s">
        <v>240</v>
      </c>
      <c r="IF3512" s="5" t="s">
        <v>240</v>
      </c>
    </row>
    <row r="3513" spans="1:240" x14ac:dyDescent="0.4">
      <c r="A3513" s="5">
        <v>9055</v>
      </c>
      <c r="B3513" s="5">
        <v>1</v>
      </c>
      <c r="C3513" s="5">
        <v>1</v>
      </c>
      <c r="D3513" s="5" t="s">
        <v>723</v>
      </c>
      <c r="E3513" s="5" t="s">
        <v>5060</v>
      </c>
      <c r="F3513" s="5" t="s">
        <v>254</v>
      </c>
      <c r="G3513" s="5" t="s">
        <v>5061</v>
      </c>
      <c r="H3513" s="6" t="s">
        <v>5921</v>
      </c>
      <c r="I3513" s="5" t="s">
        <v>5920</v>
      </c>
      <c r="J3513" s="7">
        <f>1</f>
        <v>1</v>
      </c>
      <c r="K3513" s="5" t="s">
        <v>3682</v>
      </c>
      <c r="L3513" s="7">
        <f>1</f>
        <v>1</v>
      </c>
      <c r="M3513" s="7">
        <f>1</f>
        <v>1</v>
      </c>
      <c r="N3513" s="5" t="s">
        <v>242</v>
      </c>
      <c r="O3513" s="5">
        <v>1</v>
      </c>
      <c r="P3513" s="5" t="s">
        <v>294</v>
      </c>
      <c r="Q3513" s="5" t="s">
        <v>3678</v>
      </c>
      <c r="R3513" s="5" t="s">
        <v>240</v>
      </c>
      <c r="S3513" s="5" t="s">
        <v>240</v>
      </c>
      <c r="T3513" s="5" t="s">
        <v>243</v>
      </c>
      <c r="U3513" s="5" t="s">
        <v>244</v>
      </c>
      <c r="V3513" s="5" t="s">
        <v>240</v>
      </c>
      <c r="W3513" s="5" t="s">
        <v>240</v>
      </c>
      <c r="X3513" s="5" t="s">
        <v>240</v>
      </c>
      <c r="Y3513" s="5" t="s">
        <v>240</v>
      </c>
      <c r="Z3513" s="6" t="s">
        <v>298</v>
      </c>
      <c r="AA3513" s="6" t="s">
        <v>240</v>
      </c>
      <c r="AB3513" s="6" t="s">
        <v>240</v>
      </c>
      <c r="AC3513" s="5" t="s">
        <v>240</v>
      </c>
      <c r="AD3513" s="6" t="s">
        <v>240</v>
      </c>
      <c r="AE3513" s="6" t="s">
        <v>299</v>
      </c>
      <c r="AF3513" s="5" t="s">
        <v>248</v>
      </c>
      <c r="AG3513" s="5" t="s">
        <v>249</v>
      </c>
      <c r="AH3513" s="5" t="s">
        <v>240</v>
      </c>
      <c r="AI3513" s="5" t="s">
        <v>240</v>
      </c>
      <c r="AJ3513" s="5" t="s">
        <v>240</v>
      </c>
      <c r="AK3513" s="5" t="s">
        <v>240</v>
      </c>
      <c r="AL3513" s="5" t="s">
        <v>240</v>
      </c>
      <c r="AM3513" s="5" t="s">
        <v>240</v>
      </c>
      <c r="AN3513" s="5" t="s">
        <v>240</v>
      </c>
      <c r="AO3513" s="5" t="s">
        <v>240</v>
      </c>
      <c r="AP3513" s="6" t="s">
        <v>240</v>
      </c>
      <c r="AQ3513" s="6" t="s">
        <v>240</v>
      </c>
      <c r="AR3513" s="6" t="s">
        <v>240</v>
      </c>
      <c r="AS3513" s="6" t="s">
        <v>240</v>
      </c>
      <c r="AT3513" s="5" t="s">
        <v>240</v>
      </c>
      <c r="AU3513" s="5" t="s">
        <v>729</v>
      </c>
      <c r="AV3513" s="5" t="s">
        <v>729</v>
      </c>
      <c r="AW3513" s="5" t="s">
        <v>251</v>
      </c>
      <c r="AX3513" s="5" t="s">
        <v>252</v>
      </c>
      <c r="AY3513" s="5" t="s">
        <v>253</v>
      </c>
      <c r="AZ3513" s="5" t="s">
        <v>240</v>
      </c>
      <c r="BA3513" s="5" t="s">
        <v>255</v>
      </c>
      <c r="BB3513" s="5" t="s">
        <v>731</v>
      </c>
      <c r="BD3513" s="5" t="s">
        <v>240</v>
      </c>
      <c r="BF3513" s="5" t="s">
        <v>732</v>
      </c>
      <c r="BG3513" s="6" t="s">
        <v>733</v>
      </c>
      <c r="BH3513" s="5" t="s">
        <v>734</v>
      </c>
      <c r="BI3513" s="5" t="s">
        <v>734</v>
      </c>
      <c r="BJ3513" s="5" t="s">
        <v>240</v>
      </c>
      <c r="BK3513" s="7">
        <f>1</f>
        <v>1</v>
      </c>
      <c r="BL3513" s="7">
        <f>1</f>
        <v>1</v>
      </c>
      <c r="BM3513" s="5" t="s">
        <v>258</v>
      </c>
      <c r="BN3513" s="5" t="s">
        <v>259</v>
      </c>
      <c r="BO3513" s="5" t="s">
        <v>240</v>
      </c>
      <c r="BP3513" s="5" t="s">
        <v>240</v>
      </c>
      <c r="BQ3513" s="5" t="s">
        <v>240</v>
      </c>
      <c r="BR3513" s="5" t="s">
        <v>240</v>
      </c>
      <c r="BS3513" s="5" t="s">
        <v>240</v>
      </c>
      <c r="BT3513" s="5" t="s">
        <v>240</v>
      </c>
      <c r="BU3513" s="5" t="s">
        <v>240</v>
      </c>
      <c r="BV3513" s="5" t="s">
        <v>240</v>
      </c>
      <c r="BW3513" s="6" t="s">
        <v>240</v>
      </c>
      <c r="BX3513" s="5" t="s">
        <v>240</v>
      </c>
      <c r="BY3513" s="5" t="s">
        <v>240</v>
      </c>
      <c r="BZ3513" s="5" t="s">
        <v>240</v>
      </c>
      <c r="CA3513" s="5" t="s">
        <v>259</v>
      </c>
      <c r="CB3513" s="5" t="s">
        <v>240</v>
      </c>
      <c r="CC3513" s="5" t="s">
        <v>240</v>
      </c>
      <c r="CD3513" s="5" t="s">
        <v>240</v>
      </c>
      <c r="CE3513" s="5" t="s">
        <v>240</v>
      </c>
      <c r="CF3513" s="5" t="s">
        <v>240</v>
      </c>
      <c r="CG3513" s="5" t="s">
        <v>304</v>
      </c>
      <c r="CH3513" s="5" t="s">
        <v>305</v>
      </c>
      <c r="CI3513" s="5" t="s">
        <v>240</v>
      </c>
      <c r="CK3513" s="5" t="s">
        <v>3681</v>
      </c>
      <c r="CL3513" s="6" t="s">
        <v>261</v>
      </c>
      <c r="CM3513" s="5" t="s">
        <v>262</v>
      </c>
      <c r="CN3513" s="5" t="s">
        <v>263</v>
      </c>
      <c r="CO3513" s="5" t="s">
        <v>264</v>
      </c>
      <c r="CP3513" s="5" t="s">
        <v>240</v>
      </c>
      <c r="CQ3513" s="5">
        <v>0</v>
      </c>
      <c r="CR3513" s="5" t="s">
        <v>735</v>
      </c>
      <c r="CS3513" s="5" t="s">
        <v>307</v>
      </c>
      <c r="CT3513" s="5" t="s">
        <v>307</v>
      </c>
      <c r="CU3513" s="5" t="s">
        <v>260</v>
      </c>
      <c r="CV3513" s="5" t="s">
        <v>612</v>
      </c>
      <c r="CW3513" s="8">
        <f>1</f>
        <v>1</v>
      </c>
      <c r="CX3513" s="7">
        <f>1</f>
        <v>1</v>
      </c>
      <c r="CY3513" s="7">
        <f>0</f>
        <v>0</v>
      </c>
      <c r="DA3513" s="7">
        <f>1</f>
        <v>1</v>
      </c>
      <c r="DB3513" s="7" t="s">
        <v>240</v>
      </c>
      <c r="DC3513" s="5" t="s">
        <v>240</v>
      </c>
      <c r="DD3513" s="5" t="s">
        <v>240</v>
      </c>
      <c r="DE3513" s="5" t="s">
        <v>240</v>
      </c>
      <c r="DF3513" s="5" t="s">
        <v>240</v>
      </c>
      <c r="DG3513" s="7">
        <f>0</f>
        <v>0</v>
      </c>
      <c r="DI3513" s="5" t="s">
        <v>240</v>
      </c>
      <c r="DJ3513" s="5" t="s">
        <v>240</v>
      </c>
      <c r="DK3513" s="5" t="s">
        <v>240</v>
      </c>
      <c r="DL3513" s="5" t="s">
        <v>240</v>
      </c>
      <c r="DM3513" s="5" t="s">
        <v>240</v>
      </c>
      <c r="DN3513" s="5" t="s">
        <v>240</v>
      </c>
      <c r="DO3513" s="7" t="s">
        <v>240</v>
      </c>
      <c r="DP3513" s="5" t="s">
        <v>240</v>
      </c>
      <c r="DQ3513" s="5" t="s">
        <v>240</v>
      </c>
      <c r="DR3513" s="5" t="s">
        <v>731</v>
      </c>
      <c r="DS3513" s="5" t="s">
        <v>731</v>
      </c>
      <c r="DT3513" s="5" t="s">
        <v>240</v>
      </c>
      <c r="DU3513" s="5" t="s">
        <v>240</v>
      </c>
      <c r="DV3513" s="5" t="s">
        <v>3683</v>
      </c>
      <c r="DW3513" s="5" t="s">
        <v>1104</v>
      </c>
      <c r="DX3513" s="5" t="s">
        <v>240</v>
      </c>
      <c r="DY3513" s="5" t="s">
        <v>240</v>
      </c>
      <c r="DZ3513" s="5" t="s">
        <v>240</v>
      </c>
      <c r="EA3513" s="5" t="s">
        <v>240</v>
      </c>
      <c r="EB3513" s="5" t="s">
        <v>240</v>
      </c>
      <c r="EC3513" s="5" t="s">
        <v>240</v>
      </c>
      <c r="ED3513" s="5" t="s">
        <v>240</v>
      </c>
      <c r="EE3513" s="5" t="s">
        <v>240</v>
      </c>
      <c r="EF3513" s="5" t="s">
        <v>240</v>
      </c>
      <c r="EG3513" s="5" t="s">
        <v>240</v>
      </c>
      <c r="EH3513" s="5" t="s">
        <v>240</v>
      </c>
      <c r="EI3513" s="5" t="s">
        <v>240</v>
      </c>
      <c r="EJ3513" s="5" t="s">
        <v>240</v>
      </c>
      <c r="EK3513" s="5" t="s">
        <v>240</v>
      </c>
      <c r="EL3513" s="5" t="s">
        <v>240</v>
      </c>
      <c r="EM3513" s="5" t="s">
        <v>240</v>
      </c>
      <c r="EN3513" s="5" t="s">
        <v>240</v>
      </c>
      <c r="EO3513" s="5" t="s">
        <v>240</v>
      </c>
      <c r="EP3513" s="5" t="s">
        <v>240</v>
      </c>
      <c r="EQ3513" s="5" t="s">
        <v>240</v>
      </c>
      <c r="ER3513" s="5" t="s">
        <v>240</v>
      </c>
      <c r="ES3513" s="5" t="s">
        <v>240</v>
      </c>
      <c r="ET3513" s="5" t="s">
        <v>240</v>
      </c>
      <c r="EU3513" s="5" t="s">
        <v>240</v>
      </c>
      <c r="EV3513" s="5" t="s">
        <v>240</v>
      </c>
      <c r="EW3513" s="5" t="s">
        <v>240</v>
      </c>
      <c r="EX3513" s="5" t="s">
        <v>240</v>
      </c>
      <c r="EY3513" s="5" t="s">
        <v>240</v>
      </c>
      <c r="EZ3513" s="5" t="s">
        <v>240</v>
      </c>
      <c r="FA3513" s="5" t="s">
        <v>240</v>
      </c>
      <c r="FB3513" s="5" t="s">
        <v>240</v>
      </c>
      <c r="FC3513" s="5" t="s">
        <v>240</v>
      </c>
      <c r="FD3513" s="5" t="s">
        <v>240</v>
      </c>
      <c r="FE3513" s="5" t="s">
        <v>240</v>
      </c>
      <c r="FF3513" s="5" t="s">
        <v>240</v>
      </c>
      <c r="FG3513" s="5" t="s">
        <v>240</v>
      </c>
      <c r="FH3513" s="5" t="s">
        <v>240</v>
      </c>
      <c r="FI3513" s="5" t="s">
        <v>240</v>
      </c>
      <c r="FJ3513" s="5" t="s">
        <v>240</v>
      </c>
      <c r="FK3513" s="5" t="s">
        <v>240</v>
      </c>
      <c r="FL3513" s="5" t="s">
        <v>240</v>
      </c>
      <c r="FM3513" s="5" t="s">
        <v>240</v>
      </c>
      <c r="FN3513" s="5" t="s">
        <v>240</v>
      </c>
      <c r="FO3513" s="5" t="s">
        <v>240</v>
      </c>
      <c r="FP3513" s="5" t="s">
        <v>240</v>
      </c>
      <c r="FQ3513" s="5" t="s">
        <v>240</v>
      </c>
      <c r="FR3513" s="5" t="s">
        <v>240</v>
      </c>
      <c r="FS3513" s="5" t="s">
        <v>240</v>
      </c>
      <c r="FT3513" s="5" t="s">
        <v>240</v>
      </c>
      <c r="FU3513" s="5" t="s">
        <v>240</v>
      </c>
      <c r="FV3513" s="5" t="s">
        <v>240</v>
      </c>
      <c r="FW3513" s="5" t="s">
        <v>240</v>
      </c>
      <c r="FX3513" s="5" t="s">
        <v>240</v>
      </c>
      <c r="FY3513" s="5" t="s">
        <v>240</v>
      </c>
      <c r="FZ3513" s="5" t="s">
        <v>240</v>
      </c>
      <c r="GA3513" s="5" t="s">
        <v>240</v>
      </c>
      <c r="GB3513" s="5" t="s">
        <v>240</v>
      </c>
      <c r="GC3513" s="5" t="s">
        <v>240</v>
      </c>
      <c r="GD3513" s="5" t="s">
        <v>240</v>
      </c>
      <c r="GE3513" s="5" t="s">
        <v>240</v>
      </c>
      <c r="GF3513" s="5" t="s">
        <v>240</v>
      </c>
      <c r="GG3513" s="5" t="s">
        <v>240</v>
      </c>
      <c r="GH3513" s="5" t="s">
        <v>240</v>
      </c>
      <c r="GI3513" s="5" t="s">
        <v>240</v>
      </c>
      <c r="GJ3513" s="5" t="s">
        <v>240</v>
      </c>
      <c r="GK3513" s="5" t="s">
        <v>240</v>
      </c>
      <c r="GL3513" s="5" t="s">
        <v>240</v>
      </c>
      <c r="GM3513" s="5" t="s">
        <v>240</v>
      </c>
      <c r="GN3513" s="5" t="s">
        <v>240</v>
      </c>
      <c r="GO3513" s="5" t="s">
        <v>240</v>
      </c>
      <c r="GP3513" s="5" t="s">
        <v>240</v>
      </c>
      <c r="GQ3513" s="5" t="s">
        <v>240</v>
      </c>
      <c r="GR3513" s="5" t="s">
        <v>240</v>
      </c>
      <c r="GS3513" s="5" t="s">
        <v>240</v>
      </c>
      <c r="GT3513" s="5" t="s">
        <v>240</v>
      </c>
      <c r="GU3513" s="5" t="s">
        <v>240</v>
      </c>
      <c r="GV3513" s="5" t="s">
        <v>240</v>
      </c>
      <c r="GW3513" s="5" t="s">
        <v>240</v>
      </c>
      <c r="GX3513" s="5" t="s">
        <v>240</v>
      </c>
      <c r="GY3513" s="5" t="s">
        <v>240</v>
      </c>
      <c r="GZ3513" s="5" t="s">
        <v>240</v>
      </c>
      <c r="HA3513" s="5" t="s">
        <v>240</v>
      </c>
      <c r="HB3513" s="5" t="s">
        <v>240</v>
      </c>
      <c r="HC3513" s="5" t="s">
        <v>240</v>
      </c>
      <c r="HD3513" s="5" t="s">
        <v>240</v>
      </c>
      <c r="HE3513" s="5" t="s">
        <v>240</v>
      </c>
      <c r="HF3513" s="5" t="s">
        <v>240</v>
      </c>
      <c r="HG3513" s="5" t="s">
        <v>240</v>
      </c>
      <c r="HH3513" s="5" t="s">
        <v>240</v>
      </c>
      <c r="HI3513" s="5" t="s">
        <v>240</v>
      </c>
      <c r="HJ3513" s="5" t="s">
        <v>240</v>
      </c>
      <c r="HK3513" s="5" t="s">
        <v>240</v>
      </c>
      <c r="HL3513" s="5" t="s">
        <v>240</v>
      </c>
      <c r="HM3513" s="5" t="s">
        <v>240</v>
      </c>
      <c r="HN3513" s="5" t="s">
        <v>240</v>
      </c>
      <c r="HO3513" s="5" t="s">
        <v>312</v>
      </c>
      <c r="HP3513" s="5" t="s">
        <v>240</v>
      </c>
      <c r="HQ3513" s="5" t="s">
        <v>240</v>
      </c>
      <c r="HR3513" s="5" t="s">
        <v>240</v>
      </c>
      <c r="HS3513" s="5" t="s">
        <v>240</v>
      </c>
      <c r="HT3513" s="5" t="s">
        <v>240</v>
      </c>
      <c r="HU3513" s="5" t="s">
        <v>240</v>
      </c>
      <c r="HV3513" s="5" t="s">
        <v>240</v>
      </c>
      <c r="HW3513" s="5" t="s">
        <v>240</v>
      </c>
      <c r="HX3513" s="5" t="s">
        <v>240</v>
      </c>
      <c r="HY3513" s="5" t="s">
        <v>240</v>
      </c>
      <c r="HZ3513" s="5" t="s">
        <v>240</v>
      </c>
      <c r="IA3513" s="5" t="s">
        <v>240</v>
      </c>
      <c r="IB3513" s="5" t="s">
        <v>240</v>
      </c>
      <c r="IC3513" s="5" t="s">
        <v>240</v>
      </c>
      <c r="ID3513" s="5" t="s">
        <v>240</v>
      </c>
      <c r="IE3513" s="5" t="s">
        <v>240</v>
      </c>
      <c r="IF3513" s="5" t="s">
        <v>240</v>
      </c>
    </row>
    <row r="3514" spans="1:240" x14ac:dyDescent="0.4">
      <c r="A3514" s="5">
        <v>9056</v>
      </c>
      <c r="B3514" s="5">
        <v>1</v>
      </c>
      <c r="C3514" s="5">
        <v>1</v>
      </c>
      <c r="D3514" s="5" t="s">
        <v>723</v>
      </c>
      <c r="E3514" s="5" t="s">
        <v>5060</v>
      </c>
      <c r="F3514" s="5" t="s">
        <v>254</v>
      </c>
      <c r="G3514" s="5" t="s">
        <v>5061</v>
      </c>
      <c r="H3514" s="6" t="s">
        <v>5919</v>
      </c>
      <c r="I3514" s="5" t="s">
        <v>5918</v>
      </c>
      <c r="J3514" s="7">
        <f>1</f>
        <v>1</v>
      </c>
      <c r="K3514" s="5" t="s">
        <v>3682</v>
      </c>
      <c r="L3514" s="7">
        <f>1</f>
        <v>1</v>
      </c>
      <c r="M3514" s="7">
        <f>1</f>
        <v>1</v>
      </c>
      <c r="N3514" s="5" t="s">
        <v>242</v>
      </c>
      <c r="O3514" s="5">
        <v>1</v>
      </c>
      <c r="P3514" s="5" t="s">
        <v>294</v>
      </c>
      <c r="Q3514" s="5" t="s">
        <v>3678</v>
      </c>
      <c r="R3514" s="5" t="s">
        <v>240</v>
      </c>
      <c r="S3514" s="5" t="s">
        <v>240</v>
      </c>
      <c r="T3514" s="5" t="s">
        <v>243</v>
      </c>
      <c r="U3514" s="5" t="s">
        <v>244</v>
      </c>
      <c r="V3514" s="5" t="s">
        <v>240</v>
      </c>
      <c r="W3514" s="5" t="s">
        <v>240</v>
      </c>
      <c r="X3514" s="5" t="s">
        <v>240</v>
      </c>
      <c r="Y3514" s="5" t="s">
        <v>240</v>
      </c>
      <c r="Z3514" s="6" t="s">
        <v>298</v>
      </c>
      <c r="AA3514" s="6" t="s">
        <v>240</v>
      </c>
      <c r="AB3514" s="6" t="s">
        <v>240</v>
      </c>
      <c r="AC3514" s="5" t="s">
        <v>240</v>
      </c>
      <c r="AD3514" s="6" t="s">
        <v>240</v>
      </c>
      <c r="AE3514" s="6" t="s">
        <v>299</v>
      </c>
      <c r="AF3514" s="5" t="s">
        <v>248</v>
      </c>
      <c r="AG3514" s="5" t="s">
        <v>249</v>
      </c>
      <c r="AH3514" s="5" t="s">
        <v>240</v>
      </c>
      <c r="AI3514" s="5" t="s">
        <v>240</v>
      </c>
      <c r="AJ3514" s="5" t="s">
        <v>240</v>
      </c>
      <c r="AK3514" s="5" t="s">
        <v>240</v>
      </c>
      <c r="AL3514" s="5" t="s">
        <v>240</v>
      </c>
      <c r="AM3514" s="5" t="s">
        <v>240</v>
      </c>
      <c r="AN3514" s="5" t="s">
        <v>240</v>
      </c>
      <c r="AO3514" s="5" t="s">
        <v>240</v>
      </c>
      <c r="AP3514" s="6" t="s">
        <v>240</v>
      </c>
      <c r="AQ3514" s="6" t="s">
        <v>240</v>
      </c>
      <c r="AR3514" s="6" t="s">
        <v>240</v>
      </c>
      <c r="AS3514" s="6" t="s">
        <v>240</v>
      </c>
      <c r="AT3514" s="5" t="s">
        <v>240</v>
      </c>
      <c r="AU3514" s="5" t="s">
        <v>729</v>
      </c>
      <c r="AV3514" s="5" t="s">
        <v>729</v>
      </c>
      <c r="AW3514" s="5" t="s">
        <v>251</v>
      </c>
      <c r="AX3514" s="5" t="s">
        <v>252</v>
      </c>
      <c r="AY3514" s="5" t="s">
        <v>253</v>
      </c>
      <c r="AZ3514" s="5" t="s">
        <v>240</v>
      </c>
      <c r="BA3514" s="5" t="s">
        <v>255</v>
      </c>
      <c r="BB3514" s="5" t="s">
        <v>731</v>
      </c>
      <c r="BD3514" s="5" t="s">
        <v>240</v>
      </c>
      <c r="BF3514" s="5" t="s">
        <v>732</v>
      </c>
      <c r="BG3514" s="6" t="s">
        <v>733</v>
      </c>
      <c r="BH3514" s="5" t="s">
        <v>734</v>
      </c>
      <c r="BI3514" s="5" t="s">
        <v>734</v>
      </c>
      <c r="BJ3514" s="5" t="s">
        <v>240</v>
      </c>
      <c r="BK3514" s="7">
        <f>1</f>
        <v>1</v>
      </c>
      <c r="BL3514" s="7">
        <f>1</f>
        <v>1</v>
      </c>
      <c r="BM3514" s="5" t="s">
        <v>258</v>
      </c>
      <c r="BN3514" s="5" t="s">
        <v>259</v>
      </c>
      <c r="BO3514" s="5" t="s">
        <v>240</v>
      </c>
      <c r="BP3514" s="5" t="s">
        <v>240</v>
      </c>
      <c r="BQ3514" s="5" t="s">
        <v>240</v>
      </c>
      <c r="BR3514" s="5" t="s">
        <v>240</v>
      </c>
      <c r="BS3514" s="5" t="s">
        <v>240</v>
      </c>
      <c r="BT3514" s="5" t="s">
        <v>240</v>
      </c>
      <c r="BU3514" s="5" t="s">
        <v>240</v>
      </c>
      <c r="BV3514" s="5" t="s">
        <v>240</v>
      </c>
      <c r="BW3514" s="6" t="s">
        <v>240</v>
      </c>
      <c r="BX3514" s="5" t="s">
        <v>240</v>
      </c>
      <c r="BY3514" s="5" t="s">
        <v>240</v>
      </c>
      <c r="BZ3514" s="5" t="s">
        <v>240</v>
      </c>
      <c r="CA3514" s="5" t="s">
        <v>259</v>
      </c>
      <c r="CB3514" s="5" t="s">
        <v>240</v>
      </c>
      <c r="CC3514" s="5" t="s">
        <v>240</v>
      </c>
      <c r="CD3514" s="5" t="s">
        <v>240</v>
      </c>
      <c r="CE3514" s="5" t="s">
        <v>240</v>
      </c>
      <c r="CF3514" s="5" t="s">
        <v>240</v>
      </c>
      <c r="CG3514" s="5" t="s">
        <v>304</v>
      </c>
      <c r="CH3514" s="5" t="s">
        <v>305</v>
      </c>
      <c r="CI3514" s="5" t="s">
        <v>240</v>
      </c>
      <c r="CK3514" s="5" t="s">
        <v>3681</v>
      </c>
      <c r="CL3514" s="6" t="s">
        <v>261</v>
      </c>
      <c r="CM3514" s="5" t="s">
        <v>262</v>
      </c>
      <c r="CN3514" s="5" t="s">
        <v>263</v>
      </c>
      <c r="CO3514" s="5" t="s">
        <v>264</v>
      </c>
      <c r="CP3514" s="5" t="s">
        <v>240</v>
      </c>
      <c r="CQ3514" s="5">
        <v>0</v>
      </c>
      <c r="CR3514" s="5" t="s">
        <v>735</v>
      </c>
      <c r="CS3514" s="5" t="s">
        <v>307</v>
      </c>
      <c r="CT3514" s="5" t="s">
        <v>307</v>
      </c>
      <c r="CU3514" s="5" t="s">
        <v>260</v>
      </c>
      <c r="CV3514" s="5" t="s">
        <v>612</v>
      </c>
      <c r="CW3514" s="8">
        <f>1</f>
        <v>1</v>
      </c>
      <c r="CX3514" s="7">
        <f>1</f>
        <v>1</v>
      </c>
      <c r="CY3514" s="7">
        <f>0</f>
        <v>0</v>
      </c>
      <c r="DA3514" s="7">
        <f>1</f>
        <v>1</v>
      </c>
      <c r="DB3514" s="7" t="s">
        <v>240</v>
      </c>
      <c r="DC3514" s="5" t="s">
        <v>240</v>
      </c>
      <c r="DD3514" s="5" t="s">
        <v>240</v>
      </c>
      <c r="DE3514" s="5" t="s">
        <v>240</v>
      </c>
      <c r="DF3514" s="5" t="s">
        <v>240</v>
      </c>
      <c r="DG3514" s="7">
        <f>0</f>
        <v>0</v>
      </c>
      <c r="DI3514" s="5" t="s">
        <v>240</v>
      </c>
      <c r="DJ3514" s="5" t="s">
        <v>240</v>
      </c>
      <c r="DK3514" s="5" t="s">
        <v>240</v>
      </c>
      <c r="DL3514" s="5" t="s">
        <v>240</v>
      </c>
      <c r="DM3514" s="5" t="s">
        <v>240</v>
      </c>
      <c r="DN3514" s="5" t="s">
        <v>240</v>
      </c>
      <c r="DO3514" s="7" t="s">
        <v>240</v>
      </c>
      <c r="DP3514" s="5" t="s">
        <v>240</v>
      </c>
      <c r="DQ3514" s="5" t="s">
        <v>240</v>
      </c>
      <c r="DR3514" s="5" t="s">
        <v>731</v>
      </c>
      <c r="DS3514" s="5" t="s">
        <v>731</v>
      </c>
      <c r="DT3514" s="5" t="s">
        <v>240</v>
      </c>
      <c r="DU3514" s="5" t="s">
        <v>240</v>
      </c>
      <c r="DV3514" s="5" t="s">
        <v>3683</v>
      </c>
      <c r="DW3514" s="5" t="s">
        <v>4048</v>
      </c>
      <c r="DX3514" s="5" t="s">
        <v>240</v>
      </c>
      <c r="DY3514" s="5" t="s">
        <v>240</v>
      </c>
      <c r="DZ3514" s="5" t="s">
        <v>240</v>
      </c>
      <c r="EA3514" s="5" t="s">
        <v>240</v>
      </c>
      <c r="EB3514" s="5" t="s">
        <v>240</v>
      </c>
      <c r="EC3514" s="5" t="s">
        <v>240</v>
      </c>
      <c r="ED3514" s="5" t="s">
        <v>240</v>
      </c>
      <c r="EE3514" s="5" t="s">
        <v>240</v>
      </c>
      <c r="EF3514" s="5" t="s">
        <v>240</v>
      </c>
      <c r="EG3514" s="5" t="s">
        <v>240</v>
      </c>
      <c r="EH3514" s="5" t="s">
        <v>240</v>
      </c>
      <c r="EI3514" s="5" t="s">
        <v>240</v>
      </c>
      <c r="EJ3514" s="5" t="s">
        <v>240</v>
      </c>
      <c r="EK3514" s="5" t="s">
        <v>240</v>
      </c>
      <c r="EL3514" s="5" t="s">
        <v>240</v>
      </c>
      <c r="EM3514" s="5" t="s">
        <v>240</v>
      </c>
      <c r="EN3514" s="5" t="s">
        <v>240</v>
      </c>
      <c r="EO3514" s="5" t="s">
        <v>240</v>
      </c>
      <c r="EP3514" s="5" t="s">
        <v>240</v>
      </c>
      <c r="EQ3514" s="5" t="s">
        <v>240</v>
      </c>
      <c r="ER3514" s="5" t="s">
        <v>240</v>
      </c>
      <c r="ES3514" s="5" t="s">
        <v>240</v>
      </c>
      <c r="ET3514" s="5" t="s">
        <v>240</v>
      </c>
      <c r="EU3514" s="5" t="s">
        <v>240</v>
      </c>
      <c r="EV3514" s="5" t="s">
        <v>240</v>
      </c>
      <c r="EW3514" s="5" t="s">
        <v>240</v>
      </c>
      <c r="EX3514" s="5" t="s">
        <v>240</v>
      </c>
      <c r="EY3514" s="5" t="s">
        <v>240</v>
      </c>
      <c r="EZ3514" s="5" t="s">
        <v>240</v>
      </c>
      <c r="FA3514" s="5" t="s">
        <v>240</v>
      </c>
      <c r="FB3514" s="5" t="s">
        <v>240</v>
      </c>
      <c r="FC3514" s="5" t="s">
        <v>240</v>
      </c>
      <c r="FD3514" s="5" t="s">
        <v>240</v>
      </c>
      <c r="FE3514" s="5" t="s">
        <v>240</v>
      </c>
      <c r="FF3514" s="5" t="s">
        <v>240</v>
      </c>
      <c r="FG3514" s="5" t="s">
        <v>240</v>
      </c>
      <c r="FH3514" s="5" t="s">
        <v>240</v>
      </c>
      <c r="FI3514" s="5" t="s">
        <v>240</v>
      </c>
      <c r="FJ3514" s="5" t="s">
        <v>240</v>
      </c>
      <c r="FK3514" s="5" t="s">
        <v>240</v>
      </c>
      <c r="FL3514" s="5" t="s">
        <v>240</v>
      </c>
      <c r="FM3514" s="5" t="s">
        <v>240</v>
      </c>
      <c r="FN3514" s="5" t="s">
        <v>240</v>
      </c>
      <c r="FO3514" s="5" t="s">
        <v>240</v>
      </c>
      <c r="FP3514" s="5" t="s">
        <v>240</v>
      </c>
      <c r="FQ3514" s="5" t="s">
        <v>240</v>
      </c>
      <c r="FR3514" s="5" t="s">
        <v>240</v>
      </c>
      <c r="FS3514" s="5" t="s">
        <v>240</v>
      </c>
      <c r="FT3514" s="5" t="s">
        <v>240</v>
      </c>
      <c r="FU3514" s="5" t="s">
        <v>240</v>
      </c>
      <c r="FV3514" s="5" t="s">
        <v>240</v>
      </c>
      <c r="FW3514" s="5" t="s">
        <v>240</v>
      </c>
      <c r="FX3514" s="5" t="s">
        <v>240</v>
      </c>
      <c r="FY3514" s="5" t="s">
        <v>240</v>
      </c>
      <c r="FZ3514" s="5" t="s">
        <v>240</v>
      </c>
      <c r="GA3514" s="5" t="s">
        <v>240</v>
      </c>
      <c r="GB3514" s="5" t="s">
        <v>240</v>
      </c>
      <c r="GC3514" s="5" t="s">
        <v>240</v>
      </c>
      <c r="GD3514" s="5" t="s">
        <v>240</v>
      </c>
      <c r="GE3514" s="5" t="s">
        <v>240</v>
      </c>
      <c r="GF3514" s="5" t="s">
        <v>240</v>
      </c>
      <c r="GG3514" s="5" t="s">
        <v>240</v>
      </c>
      <c r="GH3514" s="5" t="s">
        <v>240</v>
      </c>
      <c r="GI3514" s="5" t="s">
        <v>240</v>
      </c>
      <c r="GJ3514" s="5" t="s">
        <v>240</v>
      </c>
      <c r="GK3514" s="5" t="s">
        <v>240</v>
      </c>
      <c r="GL3514" s="5" t="s">
        <v>240</v>
      </c>
      <c r="GM3514" s="5" t="s">
        <v>240</v>
      </c>
      <c r="GN3514" s="5" t="s">
        <v>240</v>
      </c>
      <c r="GO3514" s="5" t="s">
        <v>240</v>
      </c>
      <c r="GP3514" s="5" t="s">
        <v>240</v>
      </c>
      <c r="GQ3514" s="5" t="s">
        <v>240</v>
      </c>
      <c r="GR3514" s="5" t="s">
        <v>240</v>
      </c>
      <c r="GS3514" s="5" t="s">
        <v>240</v>
      </c>
      <c r="GT3514" s="5" t="s">
        <v>240</v>
      </c>
      <c r="GU3514" s="5" t="s">
        <v>240</v>
      </c>
      <c r="GV3514" s="5" t="s">
        <v>240</v>
      </c>
      <c r="GW3514" s="5" t="s">
        <v>240</v>
      </c>
      <c r="GX3514" s="5" t="s">
        <v>240</v>
      </c>
      <c r="GY3514" s="5" t="s">
        <v>240</v>
      </c>
      <c r="GZ3514" s="5" t="s">
        <v>240</v>
      </c>
      <c r="HA3514" s="5" t="s">
        <v>240</v>
      </c>
      <c r="HB3514" s="5" t="s">
        <v>240</v>
      </c>
      <c r="HC3514" s="5" t="s">
        <v>240</v>
      </c>
      <c r="HD3514" s="5" t="s">
        <v>240</v>
      </c>
      <c r="HE3514" s="5" t="s">
        <v>240</v>
      </c>
      <c r="HF3514" s="5" t="s">
        <v>240</v>
      </c>
      <c r="HG3514" s="5" t="s">
        <v>240</v>
      </c>
      <c r="HH3514" s="5" t="s">
        <v>240</v>
      </c>
      <c r="HI3514" s="5" t="s">
        <v>240</v>
      </c>
      <c r="HJ3514" s="5" t="s">
        <v>240</v>
      </c>
      <c r="HK3514" s="5" t="s">
        <v>240</v>
      </c>
      <c r="HL3514" s="5" t="s">
        <v>240</v>
      </c>
      <c r="HM3514" s="5" t="s">
        <v>240</v>
      </c>
      <c r="HN3514" s="5" t="s">
        <v>240</v>
      </c>
      <c r="HO3514" s="5" t="s">
        <v>312</v>
      </c>
      <c r="HP3514" s="5" t="s">
        <v>240</v>
      </c>
      <c r="HQ3514" s="5" t="s">
        <v>240</v>
      </c>
      <c r="HR3514" s="5" t="s">
        <v>240</v>
      </c>
      <c r="HS3514" s="5" t="s">
        <v>240</v>
      </c>
      <c r="HT3514" s="5" t="s">
        <v>240</v>
      </c>
      <c r="HU3514" s="5" t="s">
        <v>240</v>
      </c>
      <c r="HV3514" s="5" t="s">
        <v>240</v>
      </c>
      <c r="HW3514" s="5" t="s">
        <v>240</v>
      </c>
      <c r="HX3514" s="5" t="s">
        <v>240</v>
      </c>
      <c r="HY3514" s="5" t="s">
        <v>240</v>
      </c>
      <c r="HZ3514" s="5" t="s">
        <v>240</v>
      </c>
      <c r="IA3514" s="5" t="s">
        <v>240</v>
      </c>
      <c r="IB3514" s="5" t="s">
        <v>240</v>
      </c>
      <c r="IC3514" s="5" t="s">
        <v>240</v>
      </c>
      <c r="ID3514" s="5" t="s">
        <v>240</v>
      </c>
      <c r="IE3514" s="5" t="s">
        <v>240</v>
      </c>
      <c r="IF3514" s="5" t="s">
        <v>240</v>
      </c>
    </row>
    <row r="3515" spans="1:240" x14ac:dyDescent="0.4">
      <c r="A3515" s="5">
        <v>9057</v>
      </c>
      <c r="B3515" s="5">
        <v>1</v>
      </c>
      <c r="C3515" s="5">
        <v>1</v>
      </c>
      <c r="D3515" s="5" t="s">
        <v>723</v>
      </c>
      <c r="E3515" s="5" t="s">
        <v>5060</v>
      </c>
      <c r="F3515" s="5" t="s">
        <v>254</v>
      </c>
      <c r="G3515" s="5" t="s">
        <v>5061</v>
      </c>
      <c r="H3515" s="6" t="s">
        <v>5917</v>
      </c>
      <c r="I3515" s="5" t="s">
        <v>5916</v>
      </c>
      <c r="J3515" s="7">
        <f>1</f>
        <v>1</v>
      </c>
      <c r="K3515" s="5" t="s">
        <v>3682</v>
      </c>
      <c r="L3515" s="7">
        <f>1</f>
        <v>1</v>
      </c>
      <c r="M3515" s="7">
        <f>1</f>
        <v>1</v>
      </c>
      <c r="N3515" s="5" t="s">
        <v>242</v>
      </c>
      <c r="O3515" s="5">
        <v>1</v>
      </c>
      <c r="P3515" s="5" t="s">
        <v>294</v>
      </c>
      <c r="Q3515" s="5" t="s">
        <v>3678</v>
      </c>
      <c r="R3515" s="5" t="s">
        <v>240</v>
      </c>
      <c r="S3515" s="5" t="s">
        <v>240</v>
      </c>
      <c r="T3515" s="5" t="s">
        <v>243</v>
      </c>
      <c r="U3515" s="5" t="s">
        <v>244</v>
      </c>
      <c r="V3515" s="5" t="s">
        <v>240</v>
      </c>
      <c r="W3515" s="5" t="s">
        <v>240</v>
      </c>
      <c r="X3515" s="5" t="s">
        <v>240</v>
      </c>
      <c r="Y3515" s="5" t="s">
        <v>240</v>
      </c>
      <c r="Z3515" s="6" t="s">
        <v>298</v>
      </c>
      <c r="AA3515" s="6" t="s">
        <v>240</v>
      </c>
      <c r="AB3515" s="6" t="s">
        <v>240</v>
      </c>
      <c r="AC3515" s="5" t="s">
        <v>240</v>
      </c>
      <c r="AD3515" s="6" t="s">
        <v>240</v>
      </c>
      <c r="AE3515" s="6" t="s">
        <v>299</v>
      </c>
      <c r="AF3515" s="5" t="s">
        <v>248</v>
      </c>
      <c r="AG3515" s="5" t="s">
        <v>249</v>
      </c>
      <c r="AH3515" s="5" t="s">
        <v>240</v>
      </c>
      <c r="AI3515" s="5" t="s">
        <v>240</v>
      </c>
      <c r="AJ3515" s="5" t="s">
        <v>240</v>
      </c>
      <c r="AK3515" s="5" t="s">
        <v>240</v>
      </c>
      <c r="AL3515" s="5" t="s">
        <v>240</v>
      </c>
      <c r="AM3515" s="5" t="s">
        <v>240</v>
      </c>
      <c r="AN3515" s="5" t="s">
        <v>240</v>
      </c>
      <c r="AO3515" s="5" t="s">
        <v>240</v>
      </c>
      <c r="AP3515" s="6" t="s">
        <v>240</v>
      </c>
      <c r="AQ3515" s="6" t="s">
        <v>240</v>
      </c>
      <c r="AR3515" s="6" t="s">
        <v>240</v>
      </c>
      <c r="AS3515" s="6" t="s">
        <v>240</v>
      </c>
      <c r="AT3515" s="5" t="s">
        <v>240</v>
      </c>
      <c r="AU3515" s="5" t="s">
        <v>729</v>
      </c>
      <c r="AV3515" s="5" t="s">
        <v>729</v>
      </c>
      <c r="AW3515" s="5" t="s">
        <v>251</v>
      </c>
      <c r="AX3515" s="5" t="s">
        <v>252</v>
      </c>
      <c r="AY3515" s="5" t="s">
        <v>253</v>
      </c>
      <c r="AZ3515" s="5" t="s">
        <v>240</v>
      </c>
      <c r="BA3515" s="5" t="s">
        <v>255</v>
      </c>
      <c r="BB3515" s="5" t="s">
        <v>731</v>
      </c>
      <c r="BD3515" s="5" t="s">
        <v>240</v>
      </c>
      <c r="BF3515" s="5" t="s">
        <v>732</v>
      </c>
      <c r="BG3515" s="6" t="s">
        <v>733</v>
      </c>
      <c r="BH3515" s="5" t="s">
        <v>734</v>
      </c>
      <c r="BI3515" s="5" t="s">
        <v>734</v>
      </c>
      <c r="BJ3515" s="5" t="s">
        <v>240</v>
      </c>
      <c r="BK3515" s="7">
        <f>1</f>
        <v>1</v>
      </c>
      <c r="BL3515" s="7">
        <f>1</f>
        <v>1</v>
      </c>
      <c r="BM3515" s="5" t="s">
        <v>258</v>
      </c>
      <c r="BN3515" s="5" t="s">
        <v>259</v>
      </c>
      <c r="BO3515" s="5" t="s">
        <v>240</v>
      </c>
      <c r="BP3515" s="5" t="s">
        <v>240</v>
      </c>
      <c r="BQ3515" s="5" t="s">
        <v>240</v>
      </c>
      <c r="BR3515" s="5" t="s">
        <v>240</v>
      </c>
      <c r="BS3515" s="5" t="s">
        <v>240</v>
      </c>
      <c r="BT3515" s="5" t="s">
        <v>240</v>
      </c>
      <c r="BU3515" s="5" t="s">
        <v>240</v>
      </c>
      <c r="BV3515" s="5" t="s">
        <v>240</v>
      </c>
      <c r="BW3515" s="6" t="s">
        <v>240</v>
      </c>
      <c r="BX3515" s="5" t="s">
        <v>240</v>
      </c>
      <c r="BY3515" s="5" t="s">
        <v>240</v>
      </c>
      <c r="BZ3515" s="5" t="s">
        <v>240</v>
      </c>
      <c r="CA3515" s="5" t="s">
        <v>259</v>
      </c>
      <c r="CB3515" s="5" t="s">
        <v>240</v>
      </c>
      <c r="CC3515" s="5" t="s">
        <v>240</v>
      </c>
      <c r="CD3515" s="5" t="s">
        <v>240</v>
      </c>
      <c r="CE3515" s="5" t="s">
        <v>240</v>
      </c>
      <c r="CF3515" s="5" t="s">
        <v>240</v>
      </c>
      <c r="CG3515" s="5" t="s">
        <v>304</v>
      </c>
      <c r="CH3515" s="5" t="s">
        <v>305</v>
      </c>
      <c r="CI3515" s="5" t="s">
        <v>240</v>
      </c>
      <c r="CK3515" s="5" t="s">
        <v>3681</v>
      </c>
      <c r="CL3515" s="6" t="s">
        <v>261</v>
      </c>
      <c r="CM3515" s="5" t="s">
        <v>262</v>
      </c>
      <c r="CN3515" s="5" t="s">
        <v>263</v>
      </c>
      <c r="CO3515" s="5" t="s">
        <v>264</v>
      </c>
      <c r="CP3515" s="5" t="s">
        <v>240</v>
      </c>
      <c r="CQ3515" s="5">
        <v>0</v>
      </c>
      <c r="CR3515" s="5" t="s">
        <v>735</v>
      </c>
      <c r="CS3515" s="5" t="s">
        <v>307</v>
      </c>
      <c r="CT3515" s="5" t="s">
        <v>307</v>
      </c>
      <c r="CU3515" s="5" t="s">
        <v>260</v>
      </c>
      <c r="CV3515" s="5" t="s">
        <v>612</v>
      </c>
      <c r="CW3515" s="8">
        <f>1</f>
        <v>1</v>
      </c>
      <c r="CX3515" s="7">
        <f>1</f>
        <v>1</v>
      </c>
      <c r="CY3515" s="7">
        <f>0</f>
        <v>0</v>
      </c>
      <c r="DA3515" s="7">
        <f>1</f>
        <v>1</v>
      </c>
      <c r="DB3515" s="7" t="s">
        <v>240</v>
      </c>
      <c r="DC3515" s="5" t="s">
        <v>240</v>
      </c>
      <c r="DD3515" s="5" t="s">
        <v>240</v>
      </c>
      <c r="DE3515" s="5" t="s">
        <v>240</v>
      </c>
      <c r="DF3515" s="5" t="s">
        <v>240</v>
      </c>
      <c r="DG3515" s="7">
        <f>0</f>
        <v>0</v>
      </c>
      <c r="DI3515" s="5" t="s">
        <v>240</v>
      </c>
      <c r="DJ3515" s="5" t="s">
        <v>240</v>
      </c>
      <c r="DK3515" s="5" t="s">
        <v>240</v>
      </c>
      <c r="DL3515" s="5" t="s">
        <v>240</v>
      </c>
      <c r="DM3515" s="5" t="s">
        <v>240</v>
      </c>
      <c r="DN3515" s="5" t="s">
        <v>240</v>
      </c>
      <c r="DO3515" s="7" t="s">
        <v>240</v>
      </c>
      <c r="DP3515" s="5" t="s">
        <v>240</v>
      </c>
      <c r="DQ3515" s="5" t="s">
        <v>240</v>
      </c>
      <c r="DR3515" s="5" t="s">
        <v>731</v>
      </c>
      <c r="DS3515" s="5" t="s">
        <v>731</v>
      </c>
      <c r="DT3515" s="5" t="s">
        <v>240</v>
      </c>
      <c r="DU3515" s="5" t="s">
        <v>240</v>
      </c>
      <c r="DV3515" s="5" t="s">
        <v>3683</v>
      </c>
      <c r="DW3515" s="5" t="s">
        <v>4009</v>
      </c>
      <c r="DX3515" s="5" t="s">
        <v>240</v>
      </c>
      <c r="DY3515" s="5" t="s">
        <v>240</v>
      </c>
      <c r="DZ3515" s="5" t="s">
        <v>240</v>
      </c>
      <c r="EA3515" s="5" t="s">
        <v>240</v>
      </c>
      <c r="EB3515" s="5" t="s">
        <v>240</v>
      </c>
      <c r="EC3515" s="5" t="s">
        <v>240</v>
      </c>
      <c r="ED3515" s="5" t="s">
        <v>240</v>
      </c>
      <c r="EE3515" s="5" t="s">
        <v>240</v>
      </c>
      <c r="EF3515" s="5" t="s">
        <v>240</v>
      </c>
      <c r="EG3515" s="5" t="s">
        <v>240</v>
      </c>
      <c r="EH3515" s="5" t="s">
        <v>240</v>
      </c>
      <c r="EI3515" s="5" t="s">
        <v>240</v>
      </c>
      <c r="EJ3515" s="5" t="s">
        <v>240</v>
      </c>
      <c r="EK3515" s="5" t="s">
        <v>240</v>
      </c>
      <c r="EL3515" s="5" t="s">
        <v>240</v>
      </c>
      <c r="EM3515" s="5" t="s">
        <v>240</v>
      </c>
      <c r="EN3515" s="5" t="s">
        <v>240</v>
      </c>
      <c r="EO3515" s="5" t="s">
        <v>240</v>
      </c>
      <c r="EP3515" s="5" t="s">
        <v>240</v>
      </c>
      <c r="EQ3515" s="5" t="s">
        <v>240</v>
      </c>
      <c r="ER3515" s="5" t="s">
        <v>240</v>
      </c>
      <c r="ES3515" s="5" t="s">
        <v>240</v>
      </c>
      <c r="ET3515" s="5" t="s">
        <v>240</v>
      </c>
      <c r="EU3515" s="5" t="s">
        <v>240</v>
      </c>
      <c r="EV3515" s="5" t="s">
        <v>240</v>
      </c>
      <c r="EW3515" s="5" t="s">
        <v>240</v>
      </c>
      <c r="EX3515" s="5" t="s">
        <v>240</v>
      </c>
      <c r="EY3515" s="5" t="s">
        <v>240</v>
      </c>
      <c r="EZ3515" s="5" t="s">
        <v>240</v>
      </c>
      <c r="FA3515" s="5" t="s">
        <v>240</v>
      </c>
      <c r="FB3515" s="5" t="s">
        <v>240</v>
      </c>
      <c r="FC3515" s="5" t="s">
        <v>240</v>
      </c>
      <c r="FD3515" s="5" t="s">
        <v>240</v>
      </c>
      <c r="FE3515" s="5" t="s">
        <v>240</v>
      </c>
      <c r="FF3515" s="5" t="s">
        <v>240</v>
      </c>
      <c r="FG3515" s="5" t="s">
        <v>240</v>
      </c>
      <c r="FH3515" s="5" t="s">
        <v>240</v>
      </c>
      <c r="FI3515" s="5" t="s">
        <v>240</v>
      </c>
      <c r="FJ3515" s="5" t="s">
        <v>240</v>
      </c>
      <c r="FK3515" s="5" t="s">
        <v>240</v>
      </c>
      <c r="FL3515" s="5" t="s">
        <v>240</v>
      </c>
      <c r="FM3515" s="5" t="s">
        <v>240</v>
      </c>
      <c r="FN3515" s="5" t="s">
        <v>240</v>
      </c>
      <c r="FO3515" s="5" t="s">
        <v>240</v>
      </c>
      <c r="FP3515" s="5" t="s">
        <v>240</v>
      </c>
      <c r="FQ3515" s="5" t="s">
        <v>240</v>
      </c>
      <c r="FR3515" s="5" t="s">
        <v>240</v>
      </c>
      <c r="FS3515" s="5" t="s">
        <v>240</v>
      </c>
      <c r="FT3515" s="5" t="s">
        <v>240</v>
      </c>
      <c r="FU3515" s="5" t="s">
        <v>240</v>
      </c>
      <c r="FV3515" s="5" t="s">
        <v>240</v>
      </c>
      <c r="FW3515" s="5" t="s">
        <v>240</v>
      </c>
      <c r="FX3515" s="5" t="s">
        <v>240</v>
      </c>
      <c r="FY3515" s="5" t="s">
        <v>240</v>
      </c>
      <c r="FZ3515" s="5" t="s">
        <v>240</v>
      </c>
      <c r="GA3515" s="5" t="s">
        <v>240</v>
      </c>
      <c r="GB3515" s="5" t="s">
        <v>240</v>
      </c>
      <c r="GC3515" s="5" t="s">
        <v>240</v>
      </c>
      <c r="GD3515" s="5" t="s">
        <v>240</v>
      </c>
      <c r="GE3515" s="5" t="s">
        <v>240</v>
      </c>
      <c r="GF3515" s="5" t="s">
        <v>240</v>
      </c>
      <c r="GG3515" s="5" t="s">
        <v>240</v>
      </c>
      <c r="GH3515" s="5" t="s">
        <v>240</v>
      </c>
      <c r="GI3515" s="5" t="s">
        <v>240</v>
      </c>
      <c r="GJ3515" s="5" t="s">
        <v>240</v>
      </c>
      <c r="GK3515" s="5" t="s">
        <v>240</v>
      </c>
      <c r="GL3515" s="5" t="s">
        <v>240</v>
      </c>
      <c r="GM3515" s="5" t="s">
        <v>240</v>
      </c>
      <c r="GN3515" s="5" t="s">
        <v>240</v>
      </c>
      <c r="GO3515" s="5" t="s">
        <v>240</v>
      </c>
      <c r="GP3515" s="5" t="s">
        <v>240</v>
      </c>
      <c r="GQ3515" s="5" t="s">
        <v>240</v>
      </c>
      <c r="GR3515" s="5" t="s">
        <v>240</v>
      </c>
      <c r="GS3515" s="5" t="s">
        <v>240</v>
      </c>
      <c r="GT3515" s="5" t="s">
        <v>240</v>
      </c>
      <c r="GU3515" s="5" t="s">
        <v>240</v>
      </c>
      <c r="GV3515" s="5" t="s">
        <v>240</v>
      </c>
      <c r="GW3515" s="5" t="s">
        <v>240</v>
      </c>
      <c r="GX3515" s="5" t="s">
        <v>240</v>
      </c>
      <c r="GY3515" s="5" t="s">
        <v>240</v>
      </c>
      <c r="GZ3515" s="5" t="s">
        <v>240</v>
      </c>
      <c r="HA3515" s="5" t="s">
        <v>240</v>
      </c>
      <c r="HB3515" s="5" t="s">
        <v>240</v>
      </c>
      <c r="HC3515" s="5" t="s">
        <v>240</v>
      </c>
      <c r="HD3515" s="5" t="s">
        <v>240</v>
      </c>
      <c r="HE3515" s="5" t="s">
        <v>240</v>
      </c>
      <c r="HF3515" s="5" t="s">
        <v>240</v>
      </c>
      <c r="HG3515" s="5" t="s">
        <v>240</v>
      </c>
      <c r="HH3515" s="5" t="s">
        <v>240</v>
      </c>
      <c r="HI3515" s="5" t="s">
        <v>240</v>
      </c>
      <c r="HJ3515" s="5" t="s">
        <v>240</v>
      </c>
      <c r="HK3515" s="5" t="s">
        <v>240</v>
      </c>
      <c r="HL3515" s="5" t="s">
        <v>240</v>
      </c>
      <c r="HM3515" s="5" t="s">
        <v>240</v>
      </c>
      <c r="HN3515" s="5" t="s">
        <v>240</v>
      </c>
      <c r="HO3515" s="5" t="s">
        <v>312</v>
      </c>
      <c r="HP3515" s="5" t="s">
        <v>240</v>
      </c>
      <c r="HQ3515" s="5" t="s">
        <v>240</v>
      </c>
      <c r="HR3515" s="5" t="s">
        <v>240</v>
      </c>
      <c r="HS3515" s="5" t="s">
        <v>240</v>
      </c>
      <c r="HT3515" s="5" t="s">
        <v>240</v>
      </c>
      <c r="HU3515" s="5" t="s">
        <v>240</v>
      </c>
      <c r="HV3515" s="5" t="s">
        <v>240</v>
      </c>
      <c r="HW3515" s="5" t="s">
        <v>240</v>
      </c>
      <c r="HX3515" s="5" t="s">
        <v>240</v>
      </c>
      <c r="HY3515" s="5" t="s">
        <v>240</v>
      </c>
      <c r="HZ3515" s="5" t="s">
        <v>240</v>
      </c>
      <c r="IA3515" s="5" t="s">
        <v>240</v>
      </c>
      <c r="IB3515" s="5" t="s">
        <v>240</v>
      </c>
      <c r="IC3515" s="5" t="s">
        <v>240</v>
      </c>
      <c r="ID3515" s="5" t="s">
        <v>240</v>
      </c>
      <c r="IE3515" s="5" t="s">
        <v>240</v>
      </c>
      <c r="IF3515" s="5" t="s">
        <v>240</v>
      </c>
    </row>
    <row r="3516" spans="1:240" x14ac:dyDescent="0.4">
      <c r="A3516" s="5">
        <v>9058</v>
      </c>
      <c r="B3516" s="5">
        <v>1</v>
      </c>
      <c r="C3516" s="5">
        <v>1</v>
      </c>
      <c r="D3516" s="5" t="s">
        <v>723</v>
      </c>
      <c r="E3516" s="5" t="s">
        <v>5060</v>
      </c>
      <c r="F3516" s="5" t="s">
        <v>254</v>
      </c>
      <c r="G3516" s="5" t="s">
        <v>5061</v>
      </c>
      <c r="H3516" s="6" t="s">
        <v>6123</v>
      </c>
      <c r="I3516" s="5" t="s">
        <v>6122</v>
      </c>
      <c r="J3516" s="7">
        <f>1</f>
        <v>1</v>
      </c>
      <c r="K3516" s="5" t="s">
        <v>3682</v>
      </c>
      <c r="L3516" s="7">
        <f>1</f>
        <v>1</v>
      </c>
      <c r="M3516" s="7">
        <f>1</f>
        <v>1</v>
      </c>
      <c r="N3516" s="5" t="s">
        <v>242</v>
      </c>
      <c r="O3516" s="5">
        <v>1</v>
      </c>
      <c r="P3516" s="5" t="s">
        <v>294</v>
      </c>
      <c r="Q3516" s="5" t="s">
        <v>613</v>
      </c>
      <c r="R3516" s="5" t="s">
        <v>240</v>
      </c>
      <c r="S3516" s="5" t="s">
        <v>240</v>
      </c>
      <c r="T3516" s="5" t="s">
        <v>243</v>
      </c>
      <c r="U3516" s="5" t="s">
        <v>724</v>
      </c>
      <c r="V3516" s="5" t="s">
        <v>240</v>
      </c>
      <c r="W3516" s="5" t="s">
        <v>240</v>
      </c>
      <c r="X3516" s="5" t="s">
        <v>240</v>
      </c>
      <c r="Y3516" s="5" t="s">
        <v>240</v>
      </c>
      <c r="Z3516" s="6" t="s">
        <v>298</v>
      </c>
      <c r="AA3516" s="6" t="s">
        <v>240</v>
      </c>
      <c r="AB3516" s="6" t="s">
        <v>240</v>
      </c>
      <c r="AC3516" s="5" t="s">
        <v>240</v>
      </c>
      <c r="AD3516" s="6" t="s">
        <v>240</v>
      </c>
      <c r="AE3516" s="6" t="s">
        <v>299</v>
      </c>
      <c r="AF3516" s="5" t="s">
        <v>727</v>
      </c>
      <c r="AG3516" s="5" t="s">
        <v>260</v>
      </c>
      <c r="AH3516" s="5" t="s">
        <v>240</v>
      </c>
      <c r="AI3516" s="5" t="s">
        <v>240</v>
      </c>
      <c r="AJ3516" s="5" t="s">
        <v>240</v>
      </c>
      <c r="AK3516" s="5" t="s">
        <v>240</v>
      </c>
      <c r="AL3516" s="5" t="s">
        <v>240</v>
      </c>
      <c r="AM3516" s="5" t="s">
        <v>240</v>
      </c>
      <c r="AN3516" s="5" t="s">
        <v>240</v>
      </c>
      <c r="AO3516" s="5" t="s">
        <v>240</v>
      </c>
      <c r="AP3516" s="6" t="s">
        <v>240</v>
      </c>
      <c r="AQ3516" s="6" t="s">
        <v>240</v>
      </c>
      <c r="AR3516" s="6" t="s">
        <v>240</v>
      </c>
      <c r="AS3516" s="6" t="s">
        <v>240</v>
      </c>
      <c r="AT3516" s="5" t="s">
        <v>240</v>
      </c>
      <c r="AU3516" s="5" t="s">
        <v>729</v>
      </c>
      <c r="AV3516" s="5" t="s">
        <v>729</v>
      </c>
      <c r="AW3516" s="5" t="s">
        <v>251</v>
      </c>
      <c r="AX3516" s="5" t="s">
        <v>252</v>
      </c>
      <c r="AY3516" s="5" t="s">
        <v>253</v>
      </c>
      <c r="AZ3516" s="5" t="s">
        <v>240</v>
      </c>
      <c r="BA3516" s="5" t="s">
        <v>255</v>
      </c>
      <c r="BB3516" s="5" t="s">
        <v>731</v>
      </c>
      <c r="BD3516" s="5" t="s">
        <v>240</v>
      </c>
      <c r="BF3516" s="5" t="s">
        <v>732</v>
      </c>
      <c r="BG3516" s="6" t="s">
        <v>733</v>
      </c>
      <c r="BH3516" s="5" t="s">
        <v>734</v>
      </c>
      <c r="BI3516" s="5" t="s">
        <v>734</v>
      </c>
      <c r="BJ3516" s="5" t="s">
        <v>240</v>
      </c>
      <c r="BK3516" s="8">
        <f>406</f>
        <v>406</v>
      </c>
      <c r="BL3516" s="7">
        <f>0</f>
        <v>0</v>
      </c>
      <c r="BM3516" s="5" t="s">
        <v>258</v>
      </c>
      <c r="BN3516" s="5" t="s">
        <v>259</v>
      </c>
      <c r="BO3516" s="5" t="s">
        <v>240</v>
      </c>
      <c r="BP3516" s="5" t="s">
        <v>240</v>
      </c>
      <c r="BQ3516" s="5" t="s">
        <v>240</v>
      </c>
      <c r="BR3516" s="5" t="s">
        <v>240</v>
      </c>
      <c r="BS3516" s="5" t="s">
        <v>240</v>
      </c>
      <c r="BT3516" s="5" t="s">
        <v>240</v>
      </c>
      <c r="BU3516" s="5" t="s">
        <v>240</v>
      </c>
      <c r="BV3516" s="5" t="s">
        <v>240</v>
      </c>
      <c r="BW3516" s="6" t="s">
        <v>240</v>
      </c>
      <c r="BX3516" s="5" t="s">
        <v>240</v>
      </c>
      <c r="BY3516" s="5" t="s">
        <v>240</v>
      </c>
      <c r="BZ3516" s="5" t="s">
        <v>240</v>
      </c>
      <c r="CA3516" s="5" t="s">
        <v>259</v>
      </c>
      <c r="CB3516" s="5" t="s">
        <v>240</v>
      </c>
      <c r="CC3516" s="5" t="s">
        <v>240</v>
      </c>
      <c r="CD3516" s="5" t="s">
        <v>240</v>
      </c>
      <c r="CE3516" s="5" t="s">
        <v>240</v>
      </c>
      <c r="CF3516" s="5" t="s">
        <v>240</v>
      </c>
      <c r="CG3516" s="5" t="s">
        <v>617</v>
      </c>
      <c r="CH3516" s="5" t="s">
        <v>305</v>
      </c>
      <c r="CI3516" s="5" t="s">
        <v>240</v>
      </c>
      <c r="CL3516" s="6" t="s">
        <v>261</v>
      </c>
      <c r="CM3516" s="5" t="s">
        <v>262</v>
      </c>
      <c r="CN3516" s="5" t="s">
        <v>263</v>
      </c>
      <c r="CO3516" s="5" t="s">
        <v>264</v>
      </c>
      <c r="CP3516" s="5" t="s">
        <v>240</v>
      </c>
      <c r="CQ3516" s="5">
        <v>0</v>
      </c>
      <c r="CR3516" s="5" t="s">
        <v>735</v>
      </c>
      <c r="CS3516" s="5" t="s">
        <v>307</v>
      </c>
      <c r="CT3516" s="5" t="s">
        <v>307</v>
      </c>
      <c r="CU3516" s="5" t="s">
        <v>260</v>
      </c>
      <c r="CV3516" s="5" t="s">
        <v>240</v>
      </c>
      <c r="CW3516" s="8">
        <f>0</f>
        <v>0</v>
      </c>
      <c r="CX3516" s="7">
        <f>0</f>
        <v>0</v>
      </c>
      <c r="CY3516" s="7">
        <f>0</f>
        <v>0</v>
      </c>
      <c r="DA3516" s="7">
        <f>4466</f>
        <v>4466</v>
      </c>
      <c r="DB3516" s="7" t="s">
        <v>240</v>
      </c>
      <c r="DC3516" s="5" t="s">
        <v>240</v>
      </c>
      <c r="DD3516" s="5" t="s">
        <v>240</v>
      </c>
      <c r="DE3516" s="5" t="s">
        <v>240</v>
      </c>
      <c r="DF3516" s="5" t="s">
        <v>450</v>
      </c>
      <c r="DG3516" s="7">
        <f>0</f>
        <v>0</v>
      </c>
      <c r="DI3516" s="5" t="s">
        <v>737</v>
      </c>
      <c r="DJ3516" s="5" t="s">
        <v>240</v>
      </c>
      <c r="DK3516" s="5" t="s">
        <v>240</v>
      </c>
      <c r="DL3516" s="5" t="s">
        <v>240</v>
      </c>
      <c r="DM3516" s="5" t="s">
        <v>240</v>
      </c>
      <c r="DN3516" s="5" t="s">
        <v>240</v>
      </c>
      <c r="DO3516" s="7" t="s">
        <v>240</v>
      </c>
      <c r="DP3516" s="5" t="s">
        <v>240</v>
      </c>
      <c r="DQ3516" s="5" t="s">
        <v>240</v>
      </c>
      <c r="DR3516" s="5" t="s">
        <v>731</v>
      </c>
      <c r="DS3516" s="5" t="s">
        <v>731</v>
      </c>
      <c r="DT3516" s="5" t="s">
        <v>240</v>
      </c>
      <c r="DU3516" s="5" t="s">
        <v>240</v>
      </c>
      <c r="DV3516" s="5" t="s">
        <v>738</v>
      </c>
      <c r="DW3516" s="5" t="s">
        <v>958</v>
      </c>
      <c r="DX3516" s="5" t="s">
        <v>240</v>
      </c>
      <c r="DY3516" s="5" t="s">
        <v>240</v>
      </c>
      <c r="DZ3516" s="5" t="s">
        <v>240</v>
      </c>
      <c r="EA3516" s="5" t="s">
        <v>240</v>
      </c>
      <c r="EB3516" s="5" t="s">
        <v>240</v>
      </c>
      <c r="EC3516" s="5" t="s">
        <v>240</v>
      </c>
      <c r="ED3516" s="5" t="s">
        <v>240</v>
      </c>
      <c r="EE3516" s="5" t="s">
        <v>240</v>
      </c>
      <c r="EF3516" s="5" t="s">
        <v>240</v>
      </c>
      <c r="EG3516" s="5" t="s">
        <v>240</v>
      </c>
      <c r="EH3516" s="5" t="s">
        <v>240</v>
      </c>
      <c r="EI3516" s="5" t="s">
        <v>240</v>
      </c>
      <c r="EJ3516" s="5" t="s">
        <v>240</v>
      </c>
      <c r="EK3516" s="5" t="s">
        <v>240</v>
      </c>
      <c r="EL3516" s="5" t="s">
        <v>240</v>
      </c>
      <c r="EM3516" s="5" t="s">
        <v>240</v>
      </c>
      <c r="EN3516" s="5" t="s">
        <v>240</v>
      </c>
      <c r="EO3516" s="5" t="s">
        <v>240</v>
      </c>
      <c r="EP3516" s="5" t="s">
        <v>240</v>
      </c>
      <c r="EQ3516" s="5" t="s">
        <v>240</v>
      </c>
      <c r="ER3516" s="5" t="s">
        <v>240</v>
      </c>
      <c r="ES3516" s="5" t="s">
        <v>240</v>
      </c>
      <c r="ET3516" s="5" t="s">
        <v>240</v>
      </c>
      <c r="EU3516" s="5" t="s">
        <v>240</v>
      </c>
      <c r="EV3516" s="5" t="s">
        <v>240</v>
      </c>
      <c r="EW3516" s="5" t="s">
        <v>240</v>
      </c>
      <c r="EX3516" s="5" t="s">
        <v>240</v>
      </c>
      <c r="EY3516" s="5" t="s">
        <v>240</v>
      </c>
      <c r="EZ3516" s="5" t="s">
        <v>240</v>
      </c>
      <c r="FA3516" s="5" t="s">
        <v>240</v>
      </c>
      <c r="FB3516" s="5" t="s">
        <v>240</v>
      </c>
      <c r="FC3516" s="5" t="s">
        <v>240</v>
      </c>
      <c r="FD3516" s="5" t="s">
        <v>240</v>
      </c>
      <c r="FE3516" s="5" t="s">
        <v>240</v>
      </c>
      <c r="FF3516" s="5" t="s">
        <v>240</v>
      </c>
      <c r="FG3516" s="5" t="s">
        <v>240</v>
      </c>
      <c r="FH3516" s="5" t="s">
        <v>240</v>
      </c>
      <c r="FI3516" s="5" t="s">
        <v>240</v>
      </c>
      <c r="FJ3516" s="5" t="s">
        <v>240</v>
      </c>
      <c r="FK3516" s="5" t="s">
        <v>240</v>
      </c>
      <c r="FL3516" s="5" t="s">
        <v>240</v>
      </c>
      <c r="FM3516" s="5" t="s">
        <v>240</v>
      </c>
      <c r="FN3516" s="5" t="s">
        <v>240</v>
      </c>
      <c r="FO3516" s="5" t="s">
        <v>240</v>
      </c>
      <c r="FP3516" s="5" t="s">
        <v>240</v>
      </c>
      <c r="FQ3516" s="5" t="s">
        <v>240</v>
      </c>
      <c r="FR3516" s="5" t="s">
        <v>240</v>
      </c>
      <c r="FS3516" s="5" t="s">
        <v>240</v>
      </c>
      <c r="FT3516" s="5" t="s">
        <v>240</v>
      </c>
      <c r="FU3516" s="5" t="s">
        <v>240</v>
      </c>
      <c r="FV3516" s="5" t="s">
        <v>240</v>
      </c>
      <c r="FW3516" s="5" t="s">
        <v>240</v>
      </c>
      <c r="FX3516" s="5" t="s">
        <v>240</v>
      </c>
      <c r="FY3516" s="5" t="s">
        <v>240</v>
      </c>
      <c r="FZ3516" s="5" t="s">
        <v>240</v>
      </c>
      <c r="GA3516" s="5" t="s">
        <v>240</v>
      </c>
      <c r="GB3516" s="5" t="s">
        <v>240</v>
      </c>
      <c r="GC3516" s="5" t="s">
        <v>240</v>
      </c>
      <c r="GD3516" s="5" t="s">
        <v>240</v>
      </c>
      <c r="GE3516" s="5" t="s">
        <v>240</v>
      </c>
      <c r="GF3516" s="5" t="s">
        <v>240</v>
      </c>
      <c r="GG3516" s="5" t="s">
        <v>240</v>
      </c>
      <c r="GH3516" s="5" t="s">
        <v>240</v>
      </c>
      <c r="GI3516" s="5" t="s">
        <v>240</v>
      </c>
      <c r="GJ3516" s="5" t="s">
        <v>240</v>
      </c>
      <c r="GK3516" s="5" t="s">
        <v>240</v>
      </c>
      <c r="GL3516" s="5" t="s">
        <v>240</v>
      </c>
      <c r="GM3516" s="5" t="s">
        <v>240</v>
      </c>
      <c r="GN3516" s="5" t="s">
        <v>240</v>
      </c>
      <c r="GO3516" s="5" t="s">
        <v>240</v>
      </c>
      <c r="GP3516" s="5" t="s">
        <v>240</v>
      </c>
      <c r="GQ3516" s="5" t="s">
        <v>240</v>
      </c>
      <c r="GR3516" s="5" t="s">
        <v>240</v>
      </c>
      <c r="GS3516" s="5" t="s">
        <v>240</v>
      </c>
      <c r="GT3516" s="5" t="s">
        <v>240</v>
      </c>
      <c r="GU3516" s="5" t="s">
        <v>240</v>
      </c>
      <c r="GV3516" s="5" t="s">
        <v>240</v>
      </c>
      <c r="GW3516" s="5" t="s">
        <v>240</v>
      </c>
      <c r="GX3516" s="5" t="s">
        <v>240</v>
      </c>
      <c r="GY3516" s="5" t="s">
        <v>240</v>
      </c>
      <c r="GZ3516" s="5" t="s">
        <v>240</v>
      </c>
      <c r="HA3516" s="5" t="s">
        <v>240</v>
      </c>
      <c r="HB3516" s="5" t="s">
        <v>240</v>
      </c>
      <c r="HC3516" s="5" t="s">
        <v>240</v>
      </c>
      <c r="HD3516" s="5" t="s">
        <v>240</v>
      </c>
      <c r="HE3516" s="5" t="s">
        <v>240</v>
      </c>
      <c r="HF3516" s="5" t="s">
        <v>240</v>
      </c>
      <c r="HG3516" s="5" t="s">
        <v>240</v>
      </c>
      <c r="HH3516" s="5" t="s">
        <v>240</v>
      </c>
      <c r="HI3516" s="5" t="s">
        <v>240</v>
      </c>
      <c r="HJ3516" s="5" t="s">
        <v>240</v>
      </c>
      <c r="HK3516" s="5" t="s">
        <v>240</v>
      </c>
      <c r="HL3516" s="5" t="s">
        <v>240</v>
      </c>
      <c r="HM3516" s="5" t="s">
        <v>240</v>
      </c>
      <c r="HN3516" s="5" t="s">
        <v>240</v>
      </c>
      <c r="HO3516" s="5" t="s">
        <v>312</v>
      </c>
      <c r="HP3516" s="5" t="s">
        <v>240</v>
      </c>
      <c r="HQ3516" s="5" t="s">
        <v>240</v>
      </c>
      <c r="HR3516" s="5" t="s">
        <v>240</v>
      </c>
      <c r="HS3516" s="5" t="s">
        <v>240</v>
      </c>
      <c r="HT3516" s="5" t="s">
        <v>240</v>
      </c>
      <c r="HU3516" s="5" t="s">
        <v>240</v>
      </c>
      <c r="HV3516" s="5" t="s">
        <v>240</v>
      </c>
      <c r="HW3516" s="5" t="s">
        <v>240</v>
      </c>
      <c r="HX3516" s="5" t="s">
        <v>240</v>
      </c>
      <c r="HY3516" s="5" t="s">
        <v>240</v>
      </c>
      <c r="HZ3516" s="5" t="s">
        <v>240</v>
      </c>
      <c r="IA3516" s="5" t="s">
        <v>240</v>
      </c>
      <c r="IB3516" s="5" t="s">
        <v>240</v>
      </c>
      <c r="IC3516" s="5" t="s">
        <v>240</v>
      </c>
      <c r="ID3516" s="5" t="s">
        <v>240</v>
      </c>
      <c r="IE3516" s="5" t="s">
        <v>240</v>
      </c>
      <c r="IF3516" s="5" t="s">
        <v>240</v>
      </c>
    </row>
    <row r="3517" spans="1:240" x14ac:dyDescent="0.4">
      <c r="A3517" s="5">
        <v>9059</v>
      </c>
      <c r="B3517" s="5">
        <v>1</v>
      </c>
      <c r="C3517" s="5">
        <v>1</v>
      </c>
      <c r="D3517" s="5" t="s">
        <v>723</v>
      </c>
      <c r="E3517" s="5" t="s">
        <v>5060</v>
      </c>
      <c r="F3517" s="5" t="s">
        <v>254</v>
      </c>
      <c r="G3517" s="5" t="s">
        <v>5061</v>
      </c>
      <c r="H3517" s="6" t="s">
        <v>5914</v>
      </c>
      <c r="I3517" s="5" t="s">
        <v>5913</v>
      </c>
      <c r="J3517" s="7">
        <f>1</f>
        <v>1</v>
      </c>
      <c r="K3517" s="5" t="s">
        <v>3682</v>
      </c>
      <c r="L3517" s="7">
        <f>1</f>
        <v>1</v>
      </c>
      <c r="M3517" s="7">
        <f>1</f>
        <v>1</v>
      </c>
      <c r="N3517" s="5" t="s">
        <v>242</v>
      </c>
      <c r="O3517" s="5">
        <v>1</v>
      </c>
      <c r="P3517" s="5" t="s">
        <v>294</v>
      </c>
      <c r="Q3517" s="5" t="s">
        <v>613</v>
      </c>
      <c r="R3517" s="5" t="s">
        <v>240</v>
      </c>
      <c r="S3517" s="5" t="s">
        <v>240</v>
      </c>
      <c r="T3517" s="5" t="s">
        <v>243</v>
      </c>
      <c r="U3517" s="5" t="s">
        <v>724</v>
      </c>
      <c r="V3517" s="5" t="s">
        <v>240</v>
      </c>
      <c r="W3517" s="5" t="s">
        <v>240</v>
      </c>
      <c r="X3517" s="5" t="s">
        <v>240</v>
      </c>
      <c r="Y3517" s="5" t="s">
        <v>240</v>
      </c>
      <c r="Z3517" s="6" t="s">
        <v>298</v>
      </c>
      <c r="AA3517" s="6" t="s">
        <v>240</v>
      </c>
      <c r="AB3517" s="6" t="s">
        <v>240</v>
      </c>
      <c r="AC3517" s="5" t="s">
        <v>240</v>
      </c>
      <c r="AD3517" s="6" t="s">
        <v>240</v>
      </c>
      <c r="AE3517" s="6" t="s">
        <v>299</v>
      </c>
      <c r="AF3517" s="5" t="s">
        <v>727</v>
      </c>
      <c r="AG3517" s="5" t="s">
        <v>260</v>
      </c>
      <c r="AH3517" s="5" t="s">
        <v>240</v>
      </c>
      <c r="AI3517" s="5" t="s">
        <v>240</v>
      </c>
      <c r="AJ3517" s="5" t="s">
        <v>240</v>
      </c>
      <c r="AK3517" s="5" t="s">
        <v>240</v>
      </c>
      <c r="AL3517" s="5" t="s">
        <v>240</v>
      </c>
      <c r="AM3517" s="5" t="s">
        <v>240</v>
      </c>
      <c r="AN3517" s="5" t="s">
        <v>240</v>
      </c>
      <c r="AO3517" s="5" t="s">
        <v>240</v>
      </c>
      <c r="AP3517" s="6" t="s">
        <v>240</v>
      </c>
      <c r="AQ3517" s="6" t="s">
        <v>240</v>
      </c>
      <c r="AR3517" s="6" t="s">
        <v>240</v>
      </c>
      <c r="AS3517" s="6" t="s">
        <v>240</v>
      </c>
      <c r="AT3517" s="5" t="s">
        <v>240</v>
      </c>
      <c r="AU3517" s="5" t="s">
        <v>729</v>
      </c>
      <c r="AV3517" s="5" t="s">
        <v>729</v>
      </c>
      <c r="AW3517" s="5" t="s">
        <v>251</v>
      </c>
      <c r="AX3517" s="5" t="s">
        <v>252</v>
      </c>
      <c r="AY3517" s="5" t="s">
        <v>253</v>
      </c>
      <c r="AZ3517" s="5" t="s">
        <v>240</v>
      </c>
      <c r="BA3517" s="5" t="s">
        <v>255</v>
      </c>
      <c r="BB3517" s="5" t="s">
        <v>731</v>
      </c>
      <c r="BD3517" s="5" t="s">
        <v>240</v>
      </c>
      <c r="BF3517" s="5" t="s">
        <v>732</v>
      </c>
      <c r="BG3517" s="6" t="s">
        <v>733</v>
      </c>
      <c r="BH3517" s="5" t="s">
        <v>734</v>
      </c>
      <c r="BI3517" s="5" t="s">
        <v>734</v>
      </c>
      <c r="BJ3517" s="5" t="s">
        <v>240</v>
      </c>
      <c r="BK3517" s="8">
        <f>245</f>
        <v>245</v>
      </c>
      <c r="BL3517" s="7">
        <f>0</f>
        <v>0</v>
      </c>
      <c r="BM3517" s="5" t="s">
        <v>258</v>
      </c>
      <c r="BN3517" s="5" t="s">
        <v>259</v>
      </c>
      <c r="BO3517" s="5" t="s">
        <v>240</v>
      </c>
      <c r="BP3517" s="5" t="s">
        <v>240</v>
      </c>
      <c r="BQ3517" s="5" t="s">
        <v>240</v>
      </c>
      <c r="BR3517" s="5" t="s">
        <v>240</v>
      </c>
      <c r="BS3517" s="5" t="s">
        <v>240</v>
      </c>
      <c r="BT3517" s="5" t="s">
        <v>240</v>
      </c>
      <c r="BU3517" s="5" t="s">
        <v>240</v>
      </c>
      <c r="BV3517" s="5" t="s">
        <v>240</v>
      </c>
      <c r="BW3517" s="6" t="s">
        <v>240</v>
      </c>
      <c r="BX3517" s="5" t="s">
        <v>240</v>
      </c>
      <c r="BY3517" s="5" t="s">
        <v>240</v>
      </c>
      <c r="BZ3517" s="5" t="s">
        <v>240</v>
      </c>
      <c r="CA3517" s="5" t="s">
        <v>259</v>
      </c>
      <c r="CB3517" s="5" t="s">
        <v>240</v>
      </c>
      <c r="CC3517" s="5" t="s">
        <v>240</v>
      </c>
      <c r="CD3517" s="5" t="s">
        <v>240</v>
      </c>
      <c r="CE3517" s="5" t="s">
        <v>240</v>
      </c>
      <c r="CF3517" s="5" t="s">
        <v>240</v>
      </c>
      <c r="CG3517" s="5" t="s">
        <v>617</v>
      </c>
      <c r="CH3517" s="5" t="s">
        <v>305</v>
      </c>
      <c r="CI3517" s="5" t="s">
        <v>240</v>
      </c>
      <c r="CL3517" s="6" t="s">
        <v>261</v>
      </c>
      <c r="CM3517" s="5" t="s">
        <v>262</v>
      </c>
      <c r="CN3517" s="5" t="s">
        <v>263</v>
      </c>
      <c r="CO3517" s="5" t="s">
        <v>264</v>
      </c>
      <c r="CP3517" s="5" t="s">
        <v>240</v>
      </c>
      <c r="CQ3517" s="5">
        <v>0</v>
      </c>
      <c r="CR3517" s="5" t="s">
        <v>735</v>
      </c>
      <c r="CS3517" s="5" t="s">
        <v>307</v>
      </c>
      <c r="CT3517" s="5" t="s">
        <v>307</v>
      </c>
      <c r="CU3517" s="5" t="s">
        <v>260</v>
      </c>
      <c r="CV3517" s="5" t="s">
        <v>240</v>
      </c>
      <c r="CW3517" s="8">
        <f>0</f>
        <v>0</v>
      </c>
      <c r="CX3517" s="7">
        <f>0</f>
        <v>0</v>
      </c>
      <c r="CY3517" s="7">
        <f>0</f>
        <v>0</v>
      </c>
      <c r="DA3517" s="7">
        <f>2695</f>
        <v>2695</v>
      </c>
      <c r="DB3517" s="7" t="s">
        <v>240</v>
      </c>
      <c r="DC3517" s="5" t="s">
        <v>240</v>
      </c>
      <c r="DD3517" s="5" t="s">
        <v>240</v>
      </c>
      <c r="DE3517" s="5" t="s">
        <v>240</v>
      </c>
      <c r="DF3517" s="5" t="s">
        <v>450</v>
      </c>
      <c r="DG3517" s="7">
        <f>0</f>
        <v>0</v>
      </c>
      <c r="DI3517" s="5" t="s">
        <v>737</v>
      </c>
      <c r="DJ3517" s="5" t="s">
        <v>240</v>
      </c>
      <c r="DK3517" s="5" t="s">
        <v>240</v>
      </c>
      <c r="DL3517" s="5" t="s">
        <v>240</v>
      </c>
      <c r="DM3517" s="5" t="s">
        <v>240</v>
      </c>
      <c r="DN3517" s="5" t="s">
        <v>240</v>
      </c>
      <c r="DO3517" s="7" t="s">
        <v>240</v>
      </c>
      <c r="DP3517" s="5" t="s">
        <v>240</v>
      </c>
      <c r="DQ3517" s="5" t="s">
        <v>240</v>
      </c>
      <c r="DR3517" s="5" t="s">
        <v>731</v>
      </c>
      <c r="DS3517" s="5" t="s">
        <v>731</v>
      </c>
      <c r="DT3517" s="5" t="s">
        <v>240</v>
      </c>
      <c r="DU3517" s="5" t="s">
        <v>240</v>
      </c>
      <c r="DV3517" s="5" t="s">
        <v>738</v>
      </c>
      <c r="DW3517" s="5" t="s">
        <v>775</v>
      </c>
      <c r="DX3517" s="5" t="s">
        <v>240</v>
      </c>
      <c r="DY3517" s="5" t="s">
        <v>240</v>
      </c>
      <c r="DZ3517" s="5" t="s">
        <v>240</v>
      </c>
      <c r="EA3517" s="5" t="s">
        <v>240</v>
      </c>
      <c r="EB3517" s="5" t="s">
        <v>240</v>
      </c>
      <c r="EC3517" s="5" t="s">
        <v>240</v>
      </c>
      <c r="ED3517" s="5" t="s">
        <v>240</v>
      </c>
      <c r="EE3517" s="5" t="s">
        <v>240</v>
      </c>
      <c r="EF3517" s="5" t="s">
        <v>240</v>
      </c>
      <c r="EG3517" s="5" t="s">
        <v>240</v>
      </c>
      <c r="EH3517" s="5" t="s">
        <v>240</v>
      </c>
      <c r="EI3517" s="5" t="s">
        <v>240</v>
      </c>
      <c r="EJ3517" s="5" t="s">
        <v>240</v>
      </c>
      <c r="EK3517" s="5" t="s">
        <v>240</v>
      </c>
      <c r="EL3517" s="5" t="s">
        <v>240</v>
      </c>
      <c r="EM3517" s="5" t="s">
        <v>240</v>
      </c>
      <c r="EN3517" s="5" t="s">
        <v>240</v>
      </c>
      <c r="EO3517" s="5" t="s">
        <v>240</v>
      </c>
      <c r="EP3517" s="5" t="s">
        <v>240</v>
      </c>
      <c r="EQ3517" s="5" t="s">
        <v>240</v>
      </c>
      <c r="ER3517" s="5" t="s">
        <v>240</v>
      </c>
      <c r="ES3517" s="5" t="s">
        <v>240</v>
      </c>
      <c r="ET3517" s="5" t="s">
        <v>240</v>
      </c>
      <c r="EU3517" s="5" t="s">
        <v>240</v>
      </c>
      <c r="EV3517" s="5" t="s">
        <v>240</v>
      </c>
      <c r="EW3517" s="5" t="s">
        <v>240</v>
      </c>
      <c r="EX3517" s="5" t="s">
        <v>240</v>
      </c>
      <c r="EY3517" s="5" t="s">
        <v>240</v>
      </c>
      <c r="EZ3517" s="5" t="s">
        <v>240</v>
      </c>
      <c r="FA3517" s="5" t="s">
        <v>240</v>
      </c>
      <c r="FB3517" s="5" t="s">
        <v>240</v>
      </c>
      <c r="FC3517" s="5" t="s">
        <v>240</v>
      </c>
      <c r="FD3517" s="5" t="s">
        <v>240</v>
      </c>
      <c r="FE3517" s="5" t="s">
        <v>240</v>
      </c>
      <c r="FF3517" s="5" t="s">
        <v>240</v>
      </c>
      <c r="FG3517" s="5" t="s">
        <v>240</v>
      </c>
      <c r="FH3517" s="5" t="s">
        <v>240</v>
      </c>
      <c r="FI3517" s="5" t="s">
        <v>240</v>
      </c>
      <c r="FJ3517" s="5" t="s">
        <v>240</v>
      </c>
      <c r="FK3517" s="5" t="s">
        <v>240</v>
      </c>
      <c r="FL3517" s="5" t="s">
        <v>240</v>
      </c>
      <c r="FM3517" s="5" t="s">
        <v>240</v>
      </c>
      <c r="FN3517" s="5" t="s">
        <v>240</v>
      </c>
      <c r="FO3517" s="5" t="s">
        <v>240</v>
      </c>
      <c r="FP3517" s="5" t="s">
        <v>240</v>
      </c>
      <c r="FQ3517" s="5" t="s">
        <v>240</v>
      </c>
      <c r="FR3517" s="5" t="s">
        <v>240</v>
      </c>
      <c r="FS3517" s="5" t="s">
        <v>240</v>
      </c>
      <c r="FT3517" s="5" t="s">
        <v>240</v>
      </c>
      <c r="FU3517" s="5" t="s">
        <v>240</v>
      </c>
      <c r="FV3517" s="5" t="s">
        <v>240</v>
      </c>
      <c r="FW3517" s="5" t="s">
        <v>240</v>
      </c>
      <c r="FX3517" s="5" t="s">
        <v>240</v>
      </c>
      <c r="FY3517" s="5" t="s">
        <v>240</v>
      </c>
      <c r="FZ3517" s="5" t="s">
        <v>240</v>
      </c>
      <c r="GA3517" s="5" t="s">
        <v>240</v>
      </c>
      <c r="GB3517" s="5" t="s">
        <v>240</v>
      </c>
      <c r="GC3517" s="5" t="s">
        <v>240</v>
      </c>
      <c r="GD3517" s="5" t="s">
        <v>240</v>
      </c>
      <c r="GE3517" s="5" t="s">
        <v>240</v>
      </c>
      <c r="GF3517" s="5" t="s">
        <v>240</v>
      </c>
      <c r="GG3517" s="5" t="s">
        <v>240</v>
      </c>
      <c r="GH3517" s="5" t="s">
        <v>240</v>
      </c>
      <c r="GI3517" s="5" t="s">
        <v>240</v>
      </c>
      <c r="GJ3517" s="5" t="s">
        <v>240</v>
      </c>
      <c r="GK3517" s="5" t="s">
        <v>240</v>
      </c>
      <c r="GL3517" s="5" t="s">
        <v>240</v>
      </c>
      <c r="GM3517" s="5" t="s">
        <v>240</v>
      </c>
      <c r="GN3517" s="5" t="s">
        <v>240</v>
      </c>
      <c r="GO3517" s="5" t="s">
        <v>240</v>
      </c>
      <c r="GP3517" s="5" t="s">
        <v>240</v>
      </c>
      <c r="GQ3517" s="5" t="s">
        <v>240</v>
      </c>
      <c r="GR3517" s="5" t="s">
        <v>240</v>
      </c>
      <c r="GS3517" s="5" t="s">
        <v>240</v>
      </c>
      <c r="GT3517" s="5" t="s">
        <v>240</v>
      </c>
      <c r="GU3517" s="5" t="s">
        <v>240</v>
      </c>
      <c r="GV3517" s="5" t="s">
        <v>240</v>
      </c>
      <c r="GW3517" s="5" t="s">
        <v>240</v>
      </c>
      <c r="GX3517" s="5" t="s">
        <v>240</v>
      </c>
      <c r="GY3517" s="5" t="s">
        <v>240</v>
      </c>
      <c r="GZ3517" s="5" t="s">
        <v>240</v>
      </c>
      <c r="HA3517" s="5" t="s">
        <v>240</v>
      </c>
      <c r="HB3517" s="5" t="s">
        <v>240</v>
      </c>
      <c r="HC3517" s="5" t="s">
        <v>240</v>
      </c>
      <c r="HD3517" s="5" t="s">
        <v>240</v>
      </c>
      <c r="HE3517" s="5" t="s">
        <v>240</v>
      </c>
      <c r="HF3517" s="5" t="s">
        <v>240</v>
      </c>
      <c r="HG3517" s="5" t="s">
        <v>240</v>
      </c>
      <c r="HH3517" s="5" t="s">
        <v>240</v>
      </c>
      <c r="HI3517" s="5" t="s">
        <v>240</v>
      </c>
      <c r="HJ3517" s="5" t="s">
        <v>240</v>
      </c>
      <c r="HK3517" s="5" t="s">
        <v>240</v>
      </c>
      <c r="HL3517" s="5" t="s">
        <v>240</v>
      </c>
      <c r="HM3517" s="5" t="s">
        <v>240</v>
      </c>
      <c r="HN3517" s="5" t="s">
        <v>240</v>
      </c>
      <c r="HO3517" s="5" t="s">
        <v>312</v>
      </c>
      <c r="HP3517" s="5" t="s">
        <v>240</v>
      </c>
      <c r="HQ3517" s="5" t="s">
        <v>240</v>
      </c>
      <c r="HR3517" s="5" t="s">
        <v>240</v>
      </c>
      <c r="HS3517" s="5" t="s">
        <v>240</v>
      </c>
      <c r="HT3517" s="5" t="s">
        <v>240</v>
      </c>
      <c r="HU3517" s="5" t="s">
        <v>240</v>
      </c>
      <c r="HV3517" s="5" t="s">
        <v>240</v>
      </c>
      <c r="HW3517" s="5" t="s">
        <v>240</v>
      </c>
      <c r="HX3517" s="5" t="s">
        <v>240</v>
      </c>
      <c r="HY3517" s="5" t="s">
        <v>240</v>
      </c>
      <c r="HZ3517" s="5" t="s">
        <v>240</v>
      </c>
      <c r="IA3517" s="5" t="s">
        <v>240</v>
      </c>
      <c r="IB3517" s="5" t="s">
        <v>240</v>
      </c>
      <c r="IC3517" s="5" t="s">
        <v>240</v>
      </c>
      <c r="ID3517" s="5" t="s">
        <v>240</v>
      </c>
      <c r="IE3517" s="5" t="s">
        <v>240</v>
      </c>
      <c r="IF3517" s="5" t="s">
        <v>240</v>
      </c>
    </row>
    <row r="3518" spans="1:240" x14ac:dyDescent="0.4">
      <c r="A3518" s="5">
        <v>9060</v>
      </c>
      <c r="B3518" s="5">
        <v>1</v>
      </c>
      <c r="C3518" s="5">
        <v>1</v>
      </c>
      <c r="D3518" s="5" t="s">
        <v>723</v>
      </c>
      <c r="E3518" s="5" t="s">
        <v>5060</v>
      </c>
      <c r="F3518" s="5" t="s">
        <v>254</v>
      </c>
      <c r="G3518" s="5" t="s">
        <v>5061</v>
      </c>
      <c r="H3518" s="6" t="s">
        <v>5912</v>
      </c>
      <c r="I3518" s="5" t="s">
        <v>5911</v>
      </c>
      <c r="J3518" s="7">
        <f>1</f>
        <v>1</v>
      </c>
      <c r="K3518" s="5" t="s">
        <v>3682</v>
      </c>
      <c r="L3518" s="7">
        <f>1</f>
        <v>1</v>
      </c>
      <c r="M3518" s="7">
        <f>1</f>
        <v>1</v>
      </c>
      <c r="N3518" s="5" t="s">
        <v>242</v>
      </c>
      <c r="O3518" s="5">
        <v>1</v>
      </c>
      <c r="P3518" s="5" t="s">
        <v>294</v>
      </c>
      <c r="Q3518" s="5" t="s">
        <v>3678</v>
      </c>
      <c r="R3518" s="5" t="s">
        <v>240</v>
      </c>
      <c r="S3518" s="5" t="s">
        <v>240</v>
      </c>
      <c r="T3518" s="5" t="s">
        <v>243</v>
      </c>
      <c r="U3518" s="5" t="s">
        <v>244</v>
      </c>
      <c r="V3518" s="5" t="s">
        <v>240</v>
      </c>
      <c r="W3518" s="5" t="s">
        <v>240</v>
      </c>
      <c r="X3518" s="5" t="s">
        <v>240</v>
      </c>
      <c r="Y3518" s="5" t="s">
        <v>240</v>
      </c>
      <c r="Z3518" s="6" t="s">
        <v>298</v>
      </c>
      <c r="AA3518" s="6" t="s">
        <v>240</v>
      </c>
      <c r="AB3518" s="6" t="s">
        <v>240</v>
      </c>
      <c r="AC3518" s="5" t="s">
        <v>240</v>
      </c>
      <c r="AD3518" s="6" t="s">
        <v>240</v>
      </c>
      <c r="AE3518" s="6" t="s">
        <v>299</v>
      </c>
      <c r="AF3518" s="5" t="s">
        <v>248</v>
      </c>
      <c r="AG3518" s="5" t="s">
        <v>249</v>
      </c>
      <c r="AH3518" s="5" t="s">
        <v>240</v>
      </c>
      <c r="AI3518" s="5" t="s">
        <v>240</v>
      </c>
      <c r="AJ3518" s="5" t="s">
        <v>240</v>
      </c>
      <c r="AK3518" s="5" t="s">
        <v>240</v>
      </c>
      <c r="AL3518" s="5" t="s">
        <v>240</v>
      </c>
      <c r="AM3518" s="5" t="s">
        <v>240</v>
      </c>
      <c r="AN3518" s="5" t="s">
        <v>240</v>
      </c>
      <c r="AO3518" s="5" t="s">
        <v>240</v>
      </c>
      <c r="AP3518" s="6" t="s">
        <v>240</v>
      </c>
      <c r="AQ3518" s="6" t="s">
        <v>240</v>
      </c>
      <c r="AR3518" s="6" t="s">
        <v>240</v>
      </c>
      <c r="AS3518" s="6" t="s">
        <v>240</v>
      </c>
      <c r="AT3518" s="5" t="s">
        <v>240</v>
      </c>
      <c r="AU3518" s="5" t="s">
        <v>729</v>
      </c>
      <c r="AV3518" s="5" t="s">
        <v>729</v>
      </c>
      <c r="AW3518" s="5" t="s">
        <v>251</v>
      </c>
      <c r="AX3518" s="5" t="s">
        <v>252</v>
      </c>
      <c r="AY3518" s="5" t="s">
        <v>253</v>
      </c>
      <c r="AZ3518" s="5" t="s">
        <v>240</v>
      </c>
      <c r="BA3518" s="5" t="s">
        <v>255</v>
      </c>
      <c r="BB3518" s="5" t="s">
        <v>731</v>
      </c>
      <c r="BD3518" s="5" t="s">
        <v>240</v>
      </c>
      <c r="BF3518" s="5" t="s">
        <v>732</v>
      </c>
      <c r="BG3518" s="6" t="s">
        <v>733</v>
      </c>
      <c r="BH3518" s="5" t="s">
        <v>734</v>
      </c>
      <c r="BI3518" s="5" t="s">
        <v>734</v>
      </c>
      <c r="BJ3518" s="5" t="s">
        <v>240</v>
      </c>
      <c r="BK3518" s="7">
        <f>1</f>
        <v>1</v>
      </c>
      <c r="BL3518" s="7">
        <f>1</f>
        <v>1</v>
      </c>
      <c r="BM3518" s="5" t="s">
        <v>258</v>
      </c>
      <c r="BN3518" s="5" t="s">
        <v>259</v>
      </c>
      <c r="BO3518" s="5" t="s">
        <v>240</v>
      </c>
      <c r="BP3518" s="5" t="s">
        <v>240</v>
      </c>
      <c r="BQ3518" s="5" t="s">
        <v>240</v>
      </c>
      <c r="BR3518" s="5" t="s">
        <v>240</v>
      </c>
      <c r="BS3518" s="5" t="s">
        <v>240</v>
      </c>
      <c r="BT3518" s="5" t="s">
        <v>240</v>
      </c>
      <c r="BU3518" s="5" t="s">
        <v>240</v>
      </c>
      <c r="BV3518" s="5" t="s">
        <v>240</v>
      </c>
      <c r="BW3518" s="6" t="s">
        <v>240</v>
      </c>
      <c r="BX3518" s="5" t="s">
        <v>240</v>
      </c>
      <c r="BY3518" s="5" t="s">
        <v>240</v>
      </c>
      <c r="BZ3518" s="5" t="s">
        <v>240</v>
      </c>
      <c r="CA3518" s="5" t="s">
        <v>259</v>
      </c>
      <c r="CB3518" s="5" t="s">
        <v>240</v>
      </c>
      <c r="CC3518" s="5" t="s">
        <v>240</v>
      </c>
      <c r="CD3518" s="5" t="s">
        <v>240</v>
      </c>
      <c r="CE3518" s="5" t="s">
        <v>240</v>
      </c>
      <c r="CF3518" s="5" t="s">
        <v>240</v>
      </c>
      <c r="CG3518" s="5" t="s">
        <v>304</v>
      </c>
      <c r="CH3518" s="5" t="s">
        <v>305</v>
      </c>
      <c r="CI3518" s="5" t="s">
        <v>240</v>
      </c>
      <c r="CK3518" s="5" t="s">
        <v>3681</v>
      </c>
      <c r="CL3518" s="6" t="s">
        <v>261</v>
      </c>
      <c r="CM3518" s="5" t="s">
        <v>262</v>
      </c>
      <c r="CN3518" s="5" t="s">
        <v>263</v>
      </c>
      <c r="CO3518" s="5" t="s">
        <v>264</v>
      </c>
      <c r="CP3518" s="5" t="s">
        <v>240</v>
      </c>
      <c r="CQ3518" s="5">
        <v>0</v>
      </c>
      <c r="CR3518" s="5" t="s">
        <v>735</v>
      </c>
      <c r="CS3518" s="5" t="s">
        <v>307</v>
      </c>
      <c r="CT3518" s="5" t="s">
        <v>307</v>
      </c>
      <c r="CU3518" s="5" t="s">
        <v>260</v>
      </c>
      <c r="CV3518" s="5" t="s">
        <v>612</v>
      </c>
      <c r="CW3518" s="8">
        <f>1</f>
        <v>1</v>
      </c>
      <c r="CX3518" s="7">
        <f>1</f>
        <v>1</v>
      </c>
      <c r="CY3518" s="7">
        <f>0</f>
        <v>0</v>
      </c>
      <c r="DA3518" s="7">
        <f>1</f>
        <v>1</v>
      </c>
      <c r="DB3518" s="7" t="s">
        <v>240</v>
      </c>
      <c r="DC3518" s="5" t="s">
        <v>240</v>
      </c>
      <c r="DD3518" s="5" t="s">
        <v>240</v>
      </c>
      <c r="DE3518" s="5" t="s">
        <v>240</v>
      </c>
      <c r="DF3518" s="5" t="s">
        <v>240</v>
      </c>
      <c r="DG3518" s="7">
        <f>0</f>
        <v>0</v>
      </c>
      <c r="DI3518" s="5" t="s">
        <v>240</v>
      </c>
      <c r="DJ3518" s="5" t="s">
        <v>240</v>
      </c>
      <c r="DK3518" s="5" t="s">
        <v>240</v>
      </c>
      <c r="DL3518" s="5" t="s">
        <v>240</v>
      </c>
      <c r="DM3518" s="5" t="s">
        <v>240</v>
      </c>
      <c r="DN3518" s="5" t="s">
        <v>240</v>
      </c>
      <c r="DO3518" s="7" t="s">
        <v>240</v>
      </c>
      <c r="DP3518" s="5" t="s">
        <v>240</v>
      </c>
      <c r="DQ3518" s="5" t="s">
        <v>240</v>
      </c>
      <c r="DR3518" s="5" t="s">
        <v>731</v>
      </c>
      <c r="DS3518" s="5" t="s">
        <v>731</v>
      </c>
      <c r="DT3518" s="5" t="s">
        <v>240</v>
      </c>
      <c r="DU3518" s="5" t="s">
        <v>240</v>
      </c>
      <c r="DV3518" s="5" t="s">
        <v>3683</v>
      </c>
      <c r="DW3518" s="5" t="s">
        <v>1108</v>
      </c>
      <c r="DX3518" s="5" t="s">
        <v>240</v>
      </c>
      <c r="DY3518" s="5" t="s">
        <v>240</v>
      </c>
      <c r="DZ3518" s="5" t="s">
        <v>240</v>
      </c>
      <c r="EA3518" s="5" t="s">
        <v>240</v>
      </c>
      <c r="EB3518" s="5" t="s">
        <v>240</v>
      </c>
      <c r="EC3518" s="5" t="s">
        <v>240</v>
      </c>
      <c r="ED3518" s="5" t="s">
        <v>240</v>
      </c>
      <c r="EE3518" s="5" t="s">
        <v>240</v>
      </c>
      <c r="EF3518" s="5" t="s">
        <v>240</v>
      </c>
      <c r="EG3518" s="5" t="s">
        <v>240</v>
      </c>
      <c r="EH3518" s="5" t="s">
        <v>240</v>
      </c>
      <c r="EI3518" s="5" t="s">
        <v>240</v>
      </c>
      <c r="EJ3518" s="5" t="s">
        <v>240</v>
      </c>
      <c r="EK3518" s="5" t="s">
        <v>240</v>
      </c>
      <c r="EL3518" s="5" t="s">
        <v>240</v>
      </c>
      <c r="EM3518" s="5" t="s">
        <v>240</v>
      </c>
      <c r="EN3518" s="5" t="s">
        <v>240</v>
      </c>
      <c r="EO3518" s="5" t="s">
        <v>240</v>
      </c>
      <c r="EP3518" s="5" t="s">
        <v>240</v>
      </c>
      <c r="EQ3518" s="5" t="s">
        <v>240</v>
      </c>
      <c r="ER3518" s="5" t="s">
        <v>240</v>
      </c>
      <c r="ES3518" s="5" t="s">
        <v>240</v>
      </c>
      <c r="ET3518" s="5" t="s">
        <v>240</v>
      </c>
      <c r="EU3518" s="5" t="s">
        <v>240</v>
      </c>
      <c r="EV3518" s="5" t="s">
        <v>240</v>
      </c>
      <c r="EW3518" s="5" t="s">
        <v>240</v>
      </c>
      <c r="EX3518" s="5" t="s">
        <v>240</v>
      </c>
      <c r="EY3518" s="5" t="s">
        <v>240</v>
      </c>
      <c r="EZ3518" s="5" t="s">
        <v>240</v>
      </c>
      <c r="FA3518" s="5" t="s">
        <v>240</v>
      </c>
      <c r="FB3518" s="5" t="s">
        <v>240</v>
      </c>
      <c r="FC3518" s="5" t="s">
        <v>240</v>
      </c>
      <c r="FD3518" s="5" t="s">
        <v>240</v>
      </c>
      <c r="FE3518" s="5" t="s">
        <v>240</v>
      </c>
      <c r="FF3518" s="5" t="s">
        <v>240</v>
      </c>
      <c r="FG3518" s="5" t="s">
        <v>240</v>
      </c>
      <c r="FH3518" s="5" t="s">
        <v>240</v>
      </c>
      <c r="FI3518" s="5" t="s">
        <v>240</v>
      </c>
      <c r="FJ3518" s="5" t="s">
        <v>240</v>
      </c>
      <c r="FK3518" s="5" t="s">
        <v>240</v>
      </c>
      <c r="FL3518" s="5" t="s">
        <v>240</v>
      </c>
      <c r="FM3518" s="5" t="s">
        <v>240</v>
      </c>
      <c r="FN3518" s="5" t="s">
        <v>240</v>
      </c>
      <c r="FO3518" s="5" t="s">
        <v>240</v>
      </c>
      <c r="FP3518" s="5" t="s">
        <v>240</v>
      </c>
      <c r="FQ3518" s="5" t="s">
        <v>240</v>
      </c>
      <c r="FR3518" s="5" t="s">
        <v>240</v>
      </c>
      <c r="FS3518" s="5" t="s">
        <v>240</v>
      </c>
      <c r="FT3518" s="5" t="s">
        <v>240</v>
      </c>
      <c r="FU3518" s="5" t="s">
        <v>240</v>
      </c>
      <c r="FV3518" s="5" t="s">
        <v>240</v>
      </c>
      <c r="FW3518" s="5" t="s">
        <v>240</v>
      </c>
      <c r="FX3518" s="5" t="s">
        <v>240</v>
      </c>
      <c r="FY3518" s="5" t="s">
        <v>240</v>
      </c>
      <c r="FZ3518" s="5" t="s">
        <v>240</v>
      </c>
      <c r="GA3518" s="5" t="s">
        <v>240</v>
      </c>
      <c r="GB3518" s="5" t="s">
        <v>240</v>
      </c>
      <c r="GC3518" s="5" t="s">
        <v>240</v>
      </c>
      <c r="GD3518" s="5" t="s">
        <v>240</v>
      </c>
      <c r="GE3518" s="5" t="s">
        <v>240</v>
      </c>
      <c r="GF3518" s="5" t="s">
        <v>240</v>
      </c>
      <c r="GG3518" s="5" t="s">
        <v>240</v>
      </c>
      <c r="GH3518" s="5" t="s">
        <v>240</v>
      </c>
      <c r="GI3518" s="5" t="s">
        <v>240</v>
      </c>
      <c r="GJ3518" s="5" t="s">
        <v>240</v>
      </c>
      <c r="GK3518" s="5" t="s">
        <v>240</v>
      </c>
      <c r="GL3518" s="5" t="s">
        <v>240</v>
      </c>
      <c r="GM3518" s="5" t="s">
        <v>240</v>
      </c>
      <c r="GN3518" s="5" t="s">
        <v>240</v>
      </c>
      <c r="GO3518" s="5" t="s">
        <v>240</v>
      </c>
      <c r="GP3518" s="5" t="s">
        <v>240</v>
      </c>
      <c r="GQ3518" s="5" t="s">
        <v>240</v>
      </c>
      <c r="GR3518" s="5" t="s">
        <v>240</v>
      </c>
      <c r="GS3518" s="5" t="s">
        <v>240</v>
      </c>
      <c r="GT3518" s="5" t="s">
        <v>240</v>
      </c>
      <c r="GU3518" s="5" t="s">
        <v>240</v>
      </c>
      <c r="GV3518" s="5" t="s">
        <v>240</v>
      </c>
      <c r="GW3518" s="5" t="s">
        <v>240</v>
      </c>
      <c r="GX3518" s="5" t="s">
        <v>240</v>
      </c>
      <c r="GY3518" s="5" t="s">
        <v>240</v>
      </c>
      <c r="GZ3518" s="5" t="s">
        <v>240</v>
      </c>
      <c r="HA3518" s="5" t="s">
        <v>240</v>
      </c>
      <c r="HB3518" s="5" t="s">
        <v>240</v>
      </c>
      <c r="HC3518" s="5" t="s">
        <v>240</v>
      </c>
      <c r="HD3518" s="5" t="s">
        <v>240</v>
      </c>
      <c r="HE3518" s="5" t="s">
        <v>240</v>
      </c>
      <c r="HF3518" s="5" t="s">
        <v>240</v>
      </c>
      <c r="HG3518" s="5" t="s">
        <v>240</v>
      </c>
      <c r="HH3518" s="5" t="s">
        <v>240</v>
      </c>
      <c r="HI3518" s="5" t="s">
        <v>240</v>
      </c>
      <c r="HJ3518" s="5" t="s">
        <v>240</v>
      </c>
      <c r="HK3518" s="5" t="s">
        <v>240</v>
      </c>
      <c r="HL3518" s="5" t="s">
        <v>240</v>
      </c>
      <c r="HM3518" s="5" t="s">
        <v>240</v>
      </c>
      <c r="HN3518" s="5" t="s">
        <v>240</v>
      </c>
      <c r="HO3518" s="5" t="s">
        <v>312</v>
      </c>
      <c r="HP3518" s="5" t="s">
        <v>240</v>
      </c>
      <c r="HQ3518" s="5" t="s">
        <v>240</v>
      </c>
      <c r="HR3518" s="5" t="s">
        <v>240</v>
      </c>
      <c r="HS3518" s="5" t="s">
        <v>240</v>
      </c>
      <c r="HT3518" s="5" t="s">
        <v>240</v>
      </c>
      <c r="HU3518" s="5" t="s">
        <v>240</v>
      </c>
      <c r="HV3518" s="5" t="s">
        <v>240</v>
      </c>
      <c r="HW3518" s="5" t="s">
        <v>240</v>
      </c>
      <c r="HX3518" s="5" t="s">
        <v>240</v>
      </c>
      <c r="HY3518" s="5" t="s">
        <v>240</v>
      </c>
      <c r="HZ3518" s="5" t="s">
        <v>240</v>
      </c>
      <c r="IA3518" s="5" t="s">
        <v>240</v>
      </c>
      <c r="IB3518" s="5" t="s">
        <v>240</v>
      </c>
      <c r="IC3518" s="5" t="s">
        <v>240</v>
      </c>
      <c r="ID3518" s="5" t="s">
        <v>240</v>
      </c>
      <c r="IE3518" s="5" t="s">
        <v>240</v>
      </c>
      <c r="IF3518" s="5" t="s">
        <v>240</v>
      </c>
    </row>
    <row r="3519" spans="1:240" x14ac:dyDescent="0.4">
      <c r="A3519" s="5">
        <v>9061</v>
      </c>
      <c r="B3519" s="5">
        <v>1</v>
      </c>
      <c r="C3519" s="5">
        <v>1</v>
      </c>
      <c r="D3519" s="5" t="s">
        <v>723</v>
      </c>
      <c r="E3519" s="5" t="s">
        <v>5060</v>
      </c>
      <c r="F3519" s="5" t="s">
        <v>254</v>
      </c>
      <c r="G3519" s="5" t="s">
        <v>5061</v>
      </c>
      <c r="H3519" s="6" t="s">
        <v>5910</v>
      </c>
      <c r="I3519" s="5" t="s">
        <v>5909</v>
      </c>
      <c r="J3519" s="7">
        <f>1</f>
        <v>1</v>
      </c>
      <c r="K3519" s="5" t="s">
        <v>3682</v>
      </c>
      <c r="L3519" s="7">
        <f>1</f>
        <v>1</v>
      </c>
      <c r="M3519" s="7">
        <f>1</f>
        <v>1</v>
      </c>
      <c r="N3519" s="5" t="s">
        <v>242</v>
      </c>
      <c r="O3519" s="5">
        <v>1</v>
      </c>
      <c r="P3519" s="5" t="s">
        <v>294</v>
      </c>
      <c r="Q3519" s="5" t="s">
        <v>613</v>
      </c>
      <c r="R3519" s="5" t="s">
        <v>240</v>
      </c>
      <c r="S3519" s="5" t="s">
        <v>240</v>
      </c>
      <c r="T3519" s="5" t="s">
        <v>243</v>
      </c>
      <c r="U3519" s="5" t="s">
        <v>724</v>
      </c>
      <c r="V3519" s="5" t="s">
        <v>240</v>
      </c>
      <c r="W3519" s="5" t="s">
        <v>240</v>
      </c>
      <c r="X3519" s="5" t="s">
        <v>240</v>
      </c>
      <c r="Y3519" s="5" t="s">
        <v>240</v>
      </c>
      <c r="Z3519" s="6" t="s">
        <v>298</v>
      </c>
      <c r="AA3519" s="6" t="s">
        <v>240</v>
      </c>
      <c r="AB3519" s="6" t="s">
        <v>240</v>
      </c>
      <c r="AC3519" s="5" t="s">
        <v>240</v>
      </c>
      <c r="AD3519" s="6" t="s">
        <v>240</v>
      </c>
      <c r="AE3519" s="6" t="s">
        <v>299</v>
      </c>
      <c r="AF3519" s="5" t="s">
        <v>727</v>
      </c>
      <c r="AG3519" s="5" t="s">
        <v>260</v>
      </c>
      <c r="AH3519" s="5" t="s">
        <v>240</v>
      </c>
      <c r="AI3519" s="5" t="s">
        <v>240</v>
      </c>
      <c r="AJ3519" s="5" t="s">
        <v>240</v>
      </c>
      <c r="AK3519" s="5" t="s">
        <v>240</v>
      </c>
      <c r="AL3519" s="5" t="s">
        <v>240</v>
      </c>
      <c r="AM3519" s="5" t="s">
        <v>240</v>
      </c>
      <c r="AN3519" s="5" t="s">
        <v>240</v>
      </c>
      <c r="AO3519" s="5" t="s">
        <v>240</v>
      </c>
      <c r="AP3519" s="6" t="s">
        <v>240</v>
      </c>
      <c r="AQ3519" s="6" t="s">
        <v>240</v>
      </c>
      <c r="AR3519" s="6" t="s">
        <v>240</v>
      </c>
      <c r="AS3519" s="6" t="s">
        <v>240</v>
      </c>
      <c r="AT3519" s="5" t="s">
        <v>240</v>
      </c>
      <c r="AU3519" s="5" t="s">
        <v>729</v>
      </c>
      <c r="AV3519" s="5" t="s">
        <v>729</v>
      </c>
      <c r="AW3519" s="5" t="s">
        <v>251</v>
      </c>
      <c r="AX3519" s="5" t="s">
        <v>252</v>
      </c>
      <c r="AY3519" s="5" t="s">
        <v>253</v>
      </c>
      <c r="AZ3519" s="5" t="s">
        <v>240</v>
      </c>
      <c r="BA3519" s="5" t="s">
        <v>255</v>
      </c>
      <c r="BB3519" s="5" t="s">
        <v>731</v>
      </c>
      <c r="BD3519" s="5" t="s">
        <v>240</v>
      </c>
      <c r="BF3519" s="5" t="s">
        <v>732</v>
      </c>
      <c r="BG3519" s="6" t="s">
        <v>733</v>
      </c>
      <c r="BH3519" s="5" t="s">
        <v>734</v>
      </c>
      <c r="BI3519" s="5" t="s">
        <v>734</v>
      </c>
      <c r="BJ3519" s="5" t="s">
        <v>240</v>
      </c>
      <c r="BK3519" s="8">
        <f>705</f>
        <v>705</v>
      </c>
      <c r="BL3519" s="7">
        <f>0</f>
        <v>0</v>
      </c>
      <c r="BM3519" s="5" t="s">
        <v>258</v>
      </c>
      <c r="BN3519" s="5" t="s">
        <v>259</v>
      </c>
      <c r="BO3519" s="5" t="s">
        <v>240</v>
      </c>
      <c r="BP3519" s="5" t="s">
        <v>240</v>
      </c>
      <c r="BQ3519" s="5" t="s">
        <v>240</v>
      </c>
      <c r="BR3519" s="5" t="s">
        <v>240</v>
      </c>
      <c r="BS3519" s="5" t="s">
        <v>240</v>
      </c>
      <c r="BT3519" s="5" t="s">
        <v>240</v>
      </c>
      <c r="BU3519" s="5" t="s">
        <v>240</v>
      </c>
      <c r="BV3519" s="5" t="s">
        <v>240</v>
      </c>
      <c r="BW3519" s="6" t="s">
        <v>240</v>
      </c>
      <c r="BX3519" s="5" t="s">
        <v>240</v>
      </c>
      <c r="BY3519" s="5" t="s">
        <v>240</v>
      </c>
      <c r="BZ3519" s="5" t="s">
        <v>240</v>
      </c>
      <c r="CA3519" s="5" t="s">
        <v>259</v>
      </c>
      <c r="CB3519" s="5" t="s">
        <v>240</v>
      </c>
      <c r="CC3519" s="5" t="s">
        <v>240</v>
      </c>
      <c r="CD3519" s="5" t="s">
        <v>240</v>
      </c>
      <c r="CE3519" s="5" t="s">
        <v>240</v>
      </c>
      <c r="CF3519" s="5" t="s">
        <v>240</v>
      </c>
      <c r="CG3519" s="5" t="s">
        <v>617</v>
      </c>
      <c r="CH3519" s="5" t="s">
        <v>305</v>
      </c>
      <c r="CI3519" s="5" t="s">
        <v>240</v>
      </c>
      <c r="CL3519" s="6" t="s">
        <v>261</v>
      </c>
      <c r="CM3519" s="5" t="s">
        <v>262</v>
      </c>
      <c r="CN3519" s="5" t="s">
        <v>263</v>
      </c>
      <c r="CO3519" s="5" t="s">
        <v>264</v>
      </c>
      <c r="CP3519" s="5" t="s">
        <v>240</v>
      </c>
      <c r="CQ3519" s="5">
        <v>0</v>
      </c>
      <c r="CR3519" s="5" t="s">
        <v>735</v>
      </c>
      <c r="CS3519" s="5" t="s">
        <v>307</v>
      </c>
      <c r="CT3519" s="5" t="s">
        <v>307</v>
      </c>
      <c r="CU3519" s="5" t="s">
        <v>260</v>
      </c>
      <c r="CV3519" s="5" t="s">
        <v>240</v>
      </c>
      <c r="CW3519" s="8">
        <f>0</f>
        <v>0</v>
      </c>
      <c r="CX3519" s="7">
        <f>0</f>
        <v>0</v>
      </c>
      <c r="CY3519" s="7">
        <f>0</f>
        <v>0</v>
      </c>
      <c r="DA3519" s="7">
        <f>7755</f>
        <v>7755</v>
      </c>
      <c r="DB3519" s="7" t="s">
        <v>240</v>
      </c>
      <c r="DC3519" s="5" t="s">
        <v>240</v>
      </c>
      <c r="DD3519" s="5" t="s">
        <v>240</v>
      </c>
      <c r="DE3519" s="5" t="s">
        <v>240</v>
      </c>
      <c r="DF3519" s="5" t="s">
        <v>450</v>
      </c>
      <c r="DG3519" s="7">
        <f>0</f>
        <v>0</v>
      </c>
      <c r="DI3519" s="5" t="s">
        <v>737</v>
      </c>
      <c r="DJ3519" s="5" t="s">
        <v>240</v>
      </c>
      <c r="DK3519" s="5" t="s">
        <v>240</v>
      </c>
      <c r="DL3519" s="5" t="s">
        <v>240</v>
      </c>
      <c r="DM3519" s="5" t="s">
        <v>240</v>
      </c>
      <c r="DN3519" s="5" t="s">
        <v>240</v>
      </c>
      <c r="DO3519" s="7" t="s">
        <v>240</v>
      </c>
      <c r="DP3519" s="5" t="s">
        <v>240</v>
      </c>
      <c r="DQ3519" s="5" t="s">
        <v>240</v>
      </c>
      <c r="DR3519" s="5" t="s">
        <v>731</v>
      </c>
      <c r="DS3519" s="5" t="s">
        <v>731</v>
      </c>
      <c r="DT3519" s="5" t="s">
        <v>240</v>
      </c>
      <c r="DU3519" s="5" t="s">
        <v>240</v>
      </c>
      <c r="DV3519" s="5" t="s">
        <v>738</v>
      </c>
      <c r="DW3519" s="5" t="s">
        <v>772</v>
      </c>
      <c r="DX3519" s="5" t="s">
        <v>240</v>
      </c>
      <c r="DY3519" s="5" t="s">
        <v>240</v>
      </c>
      <c r="DZ3519" s="5" t="s">
        <v>240</v>
      </c>
      <c r="EA3519" s="5" t="s">
        <v>240</v>
      </c>
      <c r="EB3519" s="5" t="s">
        <v>240</v>
      </c>
      <c r="EC3519" s="5" t="s">
        <v>240</v>
      </c>
      <c r="ED3519" s="5" t="s">
        <v>240</v>
      </c>
      <c r="EE3519" s="5" t="s">
        <v>240</v>
      </c>
      <c r="EF3519" s="5" t="s">
        <v>240</v>
      </c>
      <c r="EG3519" s="5" t="s">
        <v>240</v>
      </c>
      <c r="EH3519" s="5" t="s">
        <v>240</v>
      </c>
      <c r="EI3519" s="5" t="s">
        <v>240</v>
      </c>
      <c r="EJ3519" s="5" t="s">
        <v>240</v>
      </c>
      <c r="EK3519" s="5" t="s">
        <v>240</v>
      </c>
      <c r="EL3519" s="5" t="s">
        <v>240</v>
      </c>
      <c r="EM3519" s="5" t="s">
        <v>240</v>
      </c>
      <c r="EN3519" s="5" t="s">
        <v>240</v>
      </c>
      <c r="EO3519" s="5" t="s">
        <v>240</v>
      </c>
      <c r="EP3519" s="5" t="s">
        <v>240</v>
      </c>
      <c r="EQ3519" s="5" t="s">
        <v>240</v>
      </c>
      <c r="ER3519" s="5" t="s">
        <v>240</v>
      </c>
      <c r="ES3519" s="5" t="s">
        <v>240</v>
      </c>
      <c r="ET3519" s="5" t="s">
        <v>240</v>
      </c>
      <c r="EU3519" s="5" t="s">
        <v>240</v>
      </c>
      <c r="EV3519" s="5" t="s">
        <v>240</v>
      </c>
      <c r="EW3519" s="5" t="s">
        <v>240</v>
      </c>
      <c r="EX3519" s="5" t="s">
        <v>240</v>
      </c>
      <c r="EY3519" s="5" t="s">
        <v>240</v>
      </c>
      <c r="EZ3519" s="5" t="s">
        <v>240</v>
      </c>
      <c r="FA3519" s="5" t="s">
        <v>240</v>
      </c>
      <c r="FB3519" s="5" t="s">
        <v>240</v>
      </c>
      <c r="FC3519" s="5" t="s">
        <v>240</v>
      </c>
      <c r="FD3519" s="5" t="s">
        <v>240</v>
      </c>
      <c r="FE3519" s="5" t="s">
        <v>240</v>
      </c>
      <c r="FF3519" s="5" t="s">
        <v>240</v>
      </c>
      <c r="FG3519" s="5" t="s">
        <v>240</v>
      </c>
      <c r="FH3519" s="5" t="s">
        <v>240</v>
      </c>
      <c r="FI3519" s="5" t="s">
        <v>240</v>
      </c>
      <c r="FJ3519" s="5" t="s">
        <v>240</v>
      </c>
      <c r="FK3519" s="5" t="s">
        <v>240</v>
      </c>
      <c r="FL3519" s="5" t="s">
        <v>240</v>
      </c>
      <c r="FM3519" s="5" t="s">
        <v>240</v>
      </c>
      <c r="FN3519" s="5" t="s">
        <v>240</v>
      </c>
      <c r="FO3519" s="5" t="s">
        <v>240</v>
      </c>
      <c r="FP3519" s="5" t="s">
        <v>240</v>
      </c>
      <c r="FQ3519" s="5" t="s">
        <v>240</v>
      </c>
      <c r="FR3519" s="5" t="s">
        <v>240</v>
      </c>
      <c r="FS3519" s="5" t="s">
        <v>240</v>
      </c>
      <c r="FT3519" s="5" t="s">
        <v>240</v>
      </c>
      <c r="FU3519" s="5" t="s">
        <v>240</v>
      </c>
      <c r="FV3519" s="5" t="s">
        <v>240</v>
      </c>
      <c r="FW3519" s="5" t="s">
        <v>240</v>
      </c>
      <c r="FX3519" s="5" t="s">
        <v>240</v>
      </c>
      <c r="FY3519" s="5" t="s">
        <v>240</v>
      </c>
      <c r="FZ3519" s="5" t="s">
        <v>240</v>
      </c>
      <c r="GA3519" s="5" t="s">
        <v>240</v>
      </c>
      <c r="GB3519" s="5" t="s">
        <v>240</v>
      </c>
      <c r="GC3519" s="5" t="s">
        <v>240</v>
      </c>
      <c r="GD3519" s="5" t="s">
        <v>240</v>
      </c>
      <c r="GE3519" s="5" t="s">
        <v>240</v>
      </c>
      <c r="GF3519" s="5" t="s">
        <v>240</v>
      </c>
      <c r="GG3519" s="5" t="s">
        <v>240</v>
      </c>
      <c r="GH3519" s="5" t="s">
        <v>240</v>
      </c>
      <c r="GI3519" s="5" t="s">
        <v>240</v>
      </c>
      <c r="GJ3519" s="5" t="s">
        <v>240</v>
      </c>
      <c r="GK3519" s="5" t="s">
        <v>240</v>
      </c>
      <c r="GL3519" s="5" t="s">
        <v>240</v>
      </c>
      <c r="GM3519" s="5" t="s">
        <v>240</v>
      </c>
      <c r="GN3519" s="5" t="s">
        <v>240</v>
      </c>
      <c r="GO3519" s="5" t="s">
        <v>240</v>
      </c>
      <c r="GP3519" s="5" t="s">
        <v>240</v>
      </c>
      <c r="GQ3519" s="5" t="s">
        <v>240</v>
      </c>
      <c r="GR3519" s="5" t="s">
        <v>240</v>
      </c>
      <c r="GS3519" s="5" t="s">
        <v>240</v>
      </c>
      <c r="GT3519" s="5" t="s">
        <v>240</v>
      </c>
      <c r="GU3519" s="5" t="s">
        <v>240</v>
      </c>
      <c r="GV3519" s="5" t="s">
        <v>240</v>
      </c>
      <c r="GW3519" s="5" t="s">
        <v>240</v>
      </c>
      <c r="GX3519" s="5" t="s">
        <v>240</v>
      </c>
      <c r="GY3519" s="5" t="s">
        <v>240</v>
      </c>
      <c r="GZ3519" s="5" t="s">
        <v>240</v>
      </c>
      <c r="HA3519" s="5" t="s">
        <v>240</v>
      </c>
      <c r="HB3519" s="5" t="s">
        <v>240</v>
      </c>
      <c r="HC3519" s="5" t="s">
        <v>240</v>
      </c>
      <c r="HD3519" s="5" t="s">
        <v>240</v>
      </c>
      <c r="HE3519" s="5" t="s">
        <v>240</v>
      </c>
      <c r="HF3519" s="5" t="s">
        <v>240</v>
      </c>
      <c r="HG3519" s="5" t="s">
        <v>240</v>
      </c>
      <c r="HH3519" s="5" t="s">
        <v>240</v>
      </c>
      <c r="HI3519" s="5" t="s">
        <v>240</v>
      </c>
      <c r="HJ3519" s="5" t="s">
        <v>240</v>
      </c>
      <c r="HK3519" s="5" t="s">
        <v>240</v>
      </c>
      <c r="HL3519" s="5" t="s">
        <v>240</v>
      </c>
      <c r="HM3519" s="5" t="s">
        <v>240</v>
      </c>
      <c r="HN3519" s="5" t="s">
        <v>240</v>
      </c>
      <c r="HO3519" s="5" t="s">
        <v>312</v>
      </c>
      <c r="HP3519" s="5" t="s">
        <v>240</v>
      </c>
      <c r="HQ3519" s="5" t="s">
        <v>240</v>
      </c>
      <c r="HR3519" s="5" t="s">
        <v>240</v>
      </c>
      <c r="HS3519" s="5" t="s">
        <v>240</v>
      </c>
      <c r="HT3519" s="5" t="s">
        <v>240</v>
      </c>
      <c r="HU3519" s="5" t="s">
        <v>240</v>
      </c>
      <c r="HV3519" s="5" t="s">
        <v>240</v>
      </c>
      <c r="HW3519" s="5" t="s">
        <v>240</v>
      </c>
      <c r="HX3519" s="5" t="s">
        <v>240</v>
      </c>
      <c r="HY3519" s="5" t="s">
        <v>240</v>
      </c>
      <c r="HZ3519" s="5" t="s">
        <v>240</v>
      </c>
      <c r="IA3519" s="5" t="s">
        <v>240</v>
      </c>
      <c r="IB3519" s="5" t="s">
        <v>240</v>
      </c>
      <c r="IC3519" s="5" t="s">
        <v>240</v>
      </c>
      <c r="ID3519" s="5" t="s">
        <v>240</v>
      </c>
      <c r="IE3519" s="5" t="s">
        <v>240</v>
      </c>
      <c r="IF3519" s="5" t="s">
        <v>240</v>
      </c>
    </row>
    <row r="3520" spans="1:240" x14ac:dyDescent="0.4">
      <c r="A3520" s="5">
        <v>9062</v>
      </c>
      <c r="B3520" s="5">
        <v>1</v>
      </c>
      <c r="C3520" s="5">
        <v>1</v>
      </c>
      <c r="D3520" s="5" t="s">
        <v>723</v>
      </c>
      <c r="E3520" s="5" t="s">
        <v>5060</v>
      </c>
      <c r="F3520" s="5" t="s">
        <v>254</v>
      </c>
      <c r="G3520" s="5" t="s">
        <v>5061</v>
      </c>
      <c r="H3520" s="6" t="s">
        <v>5908</v>
      </c>
      <c r="I3520" s="5" t="s">
        <v>5907</v>
      </c>
      <c r="J3520" s="7">
        <f>1</f>
        <v>1</v>
      </c>
      <c r="K3520" s="5" t="s">
        <v>3682</v>
      </c>
      <c r="L3520" s="7">
        <f>1</f>
        <v>1</v>
      </c>
      <c r="M3520" s="7">
        <f>1</f>
        <v>1</v>
      </c>
      <c r="N3520" s="5" t="s">
        <v>242</v>
      </c>
      <c r="O3520" s="5">
        <v>1</v>
      </c>
      <c r="P3520" s="5" t="s">
        <v>294</v>
      </c>
      <c r="Q3520" s="5" t="s">
        <v>613</v>
      </c>
      <c r="R3520" s="5" t="s">
        <v>240</v>
      </c>
      <c r="S3520" s="5" t="s">
        <v>240</v>
      </c>
      <c r="T3520" s="5" t="s">
        <v>243</v>
      </c>
      <c r="U3520" s="5" t="s">
        <v>724</v>
      </c>
      <c r="V3520" s="5" t="s">
        <v>240</v>
      </c>
      <c r="W3520" s="5" t="s">
        <v>240</v>
      </c>
      <c r="X3520" s="5" t="s">
        <v>240</v>
      </c>
      <c r="Y3520" s="5" t="s">
        <v>240</v>
      </c>
      <c r="Z3520" s="6" t="s">
        <v>298</v>
      </c>
      <c r="AA3520" s="6" t="s">
        <v>240</v>
      </c>
      <c r="AB3520" s="6" t="s">
        <v>240</v>
      </c>
      <c r="AC3520" s="5" t="s">
        <v>240</v>
      </c>
      <c r="AD3520" s="6" t="s">
        <v>240</v>
      </c>
      <c r="AE3520" s="6" t="s">
        <v>299</v>
      </c>
      <c r="AF3520" s="5" t="s">
        <v>727</v>
      </c>
      <c r="AG3520" s="5" t="s">
        <v>260</v>
      </c>
      <c r="AH3520" s="5" t="s">
        <v>240</v>
      </c>
      <c r="AI3520" s="5" t="s">
        <v>240</v>
      </c>
      <c r="AJ3520" s="5" t="s">
        <v>240</v>
      </c>
      <c r="AK3520" s="5" t="s">
        <v>240</v>
      </c>
      <c r="AL3520" s="5" t="s">
        <v>240</v>
      </c>
      <c r="AM3520" s="5" t="s">
        <v>240</v>
      </c>
      <c r="AN3520" s="5" t="s">
        <v>240</v>
      </c>
      <c r="AO3520" s="5" t="s">
        <v>240</v>
      </c>
      <c r="AP3520" s="6" t="s">
        <v>240</v>
      </c>
      <c r="AQ3520" s="6" t="s">
        <v>240</v>
      </c>
      <c r="AR3520" s="6" t="s">
        <v>240</v>
      </c>
      <c r="AS3520" s="6" t="s">
        <v>240</v>
      </c>
      <c r="AT3520" s="5" t="s">
        <v>240</v>
      </c>
      <c r="AU3520" s="5" t="s">
        <v>729</v>
      </c>
      <c r="AV3520" s="5" t="s">
        <v>729</v>
      </c>
      <c r="AW3520" s="5" t="s">
        <v>251</v>
      </c>
      <c r="AX3520" s="5" t="s">
        <v>252</v>
      </c>
      <c r="AY3520" s="5" t="s">
        <v>253</v>
      </c>
      <c r="AZ3520" s="5" t="s">
        <v>240</v>
      </c>
      <c r="BA3520" s="5" t="s">
        <v>255</v>
      </c>
      <c r="BB3520" s="5" t="s">
        <v>731</v>
      </c>
      <c r="BD3520" s="5" t="s">
        <v>240</v>
      </c>
      <c r="BF3520" s="5" t="s">
        <v>732</v>
      </c>
      <c r="BG3520" s="6" t="s">
        <v>733</v>
      </c>
      <c r="BH3520" s="5" t="s">
        <v>734</v>
      </c>
      <c r="BI3520" s="5" t="s">
        <v>734</v>
      </c>
      <c r="BJ3520" s="5" t="s">
        <v>240</v>
      </c>
      <c r="BK3520" s="8">
        <f>991.73</f>
        <v>991.73</v>
      </c>
      <c r="BL3520" s="7">
        <f>0</f>
        <v>0</v>
      </c>
      <c r="BM3520" s="5" t="s">
        <v>258</v>
      </c>
      <c r="BN3520" s="5" t="s">
        <v>259</v>
      </c>
      <c r="BO3520" s="5" t="s">
        <v>240</v>
      </c>
      <c r="BP3520" s="5" t="s">
        <v>240</v>
      </c>
      <c r="BQ3520" s="5" t="s">
        <v>240</v>
      </c>
      <c r="BR3520" s="5" t="s">
        <v>240</v>
      </c>
      <c r="BS3520" s="5" t="s">
        <v>240</v>
      </c>
      <c r="BT3520" s="5" t="s">
        <v>240</v>
      </c>
      <c r="BU3520" s="5" t="s">
        <v>240</v>
      </c>
      <c r="BV3520" s="5" t="s">
        <v>240</v>
      </c>
      <c r="BW3520" s="6" t="s">
        <v>240</v>
      </c>
      <c r="BX3520" s="5" t="s">
        <v>240</v>
      </c>
      <c r="BY3520" s="5" t="s">
        <v>240</v>
      </c>
      <c r="BZ3520" s="5" t="s">
        <v>240</v>
      </c>
      <c r="CA3520" s="5" t="s">
        <v>259</v>
      </c>
      <c r="CB3520" s="5" t="s">
        <v>240</v>
      </c>
      <c r="CC3520" s="5" t="s">
        <v>240</v>
      </c>
      <c r="CD3520" s="5" t="s">
        <v>240</v>
      </c>
      <c r="CE3520" s="5" t="s">
        <v>240</v>
      </c>
      <c r="CF3520" s="5" t="s">
        <v>240</v>
      </c>
      <c r="CG3520" s="5" t="s">
        <v>617</v>
      </c>
      <c r="CH3520" s="5" t="s">
        <v>305</v>
      </c>
      <c r="CI3520" s="5" t="s">
        <v>240</v>
      </c>
      <c r="CL3520" s="6" t="s">
        <v>261</v>
      </c>
      <c r="CM3520" s="5" t="s">
        <v>262</v>
      </c>
      <c r="CN3520" s="5" t="s">
        <v>263</v>
      </c>
      <c r="CO3520" s="5" t="s">
        <v>264</v>
      </c>
      <c r="CP3520" s="5" t="s">
        <v>240</v>
      </c>
      <c r="CQ3520" s="5">
        <v>0</v>
      </c>
      <c r="CR3520" s="5" t="s">
        <v>735</v>
      </c>
      <c r="CS3520" s="5" t="s">
        <v>307</v>
      </c>
      <c r="CT3520" s="5" t="s">
        <v>307</v>
      </c>
      <c r="CU3520" s="5" t="s">
        <v>260</v>
      </c>
      <c r="CV3520" s="5" t="s">
        <v>240</v>
      </c>
      <c r="CW3520" s="8">
        <f>0</f>
        <v>0</v>
      </c>
      <c r="CX3520" s="7">
        <f>0</f>
        <v>0</v>
      </c>
      <c r="CY3520" s="7">
        <f>0</f>
        <v>0</v>
      </c>
      <c r="DA3520" s="7">
        <f>10909</f>
        <v>10909</v>
      </c>
      <c r="DB3520" s="7" t="s">
        <v>240</v>
      </c>
      <c r="DC3520" s="5" t="s">
        <v>240</v>
      </c>
      <c r="DD3520" s="5" t="s">
        <v>240</v>
      </c>
      <c r="DE3520" s="5" t="s">
        <v>240</v>
      </c>
      <c r="DF3520" s="5" t="s">
        <v>450</v>
      </c>
      <c r="DG3520" s="7">
        <f>0</f>
        <v>0</v>
      </c>
      <c r="DI3520" s="5" t="s">
        <v>737</v>
      </c>
      <c r="DJ3520" s="5" t="s">
        <v>240</v>
      </c>
      <c r="DK3520" s="5" t="s">
        <v>240</v>
      </c>
      <c r="DL3520" s="5" t="s">
        <v>240</v>
      </c>
      <c r="DM3520" s="5" t="s">
        <v>240</v>
      </c>
      <c r="DN3520" s="5" t="s">
        <v>240</v>
      </c>
      <c r="DO3520" s="7" t="s">
        <v>240</v>
      </c>
      <c r="DP3520" s="5" t="s">
        <v>240</v>
      </c>
      <c r="DQ3520" s="5" t="s">
        <v>240</v>
      </c>
      <c r="DR3520" s="5" t="s">
        <v>731</v>
      </c>
      <c r="DS3520" s="5" t="s">
        <v>731</v>
      </c>
      <c r="DT3520" s="5" t="s">
        <v>240</v>
      </c>
      <c r="DU3520" s="5" t="s">
        <v>240</v>
      </c>
      <c r="DV3520" s="5" t="s">
        <v>738</v>
      </c>
      <c r="DW3520" s="5" t="s">
        <v>586</v>
      </c>
      <c r="DX3520" s="5" t="s">
        <v>240</v>
      </c>
      <c r="DY3520" s="5" t="s">
        <v>240</v>
      </c>
      <c r="DZ3520" s="5" t="s">
        <v>240</v>
      </c>
      <c r="EA3520" s="5" t="s">
        <v>240</v>
      </c>
      <c r="EB3520" s="5" t="s">
        <v>240</v>
      </c>
      <c r="EC3520" s="5" t="s">
        <v>240</v>
      </c>
      <c r="ED3520" s="5" t="s">
        <v>240</v>
      </c>
      <c r="EE3520" s="5" t="s">
        <v>240</v>
      </c>
      <c r="EF3520" s="5" t="s">
        <v>240</v>
      </c>
      <c r="EG3520" s="5" t="s">
        <v>240</v>
      </c>
      <c r="EH3520" s="5" t="s">
        <v>240</v>
      </c>
      <c r="EI3520" s="5" t="s">
        <v>240</v>
      </c>
      <c r="EJ3520" s="5" t="s">
        <v>240</v>
      </c>
      <c r="EK3520" s="5" t="s">
        <v>240</v>
      </c>
      <c r="EL3520" s="5" t="s">
        <v>240</v>
      </c>
      <c r="EM3520" s="5" t="s">
        <v>240</v>
      </c>
      <c r="EN3520" s="5" t="s">
        <v>240</v>
      </c>
      <c r="EO3520" s="5" t="s">
        <v>240</v>
      </c>
      <c r="EP3520" s="5" t="s">
        <v>240</v>
      </c>
      <c r="EQ3520" s="5" t="s">
        <v>240</v>
      </c>
      <c r="ER3520" s="5" t="s">
        <v>240</v>
      </c>
      <c r="ES3520" s="5" t="s">
        <v>240</v>
      </c>
      <c r="ET3520" s="5" t="s">
        <v>240</v>
      </c>
      <c r="EU3520" s="5" t="s">
        <v>240</v>
      </c>
      <c r="EV3520" s="5" t="s">
        <v>240</v>
      </c>
      <c r="EW3520" s="5" t="s">
        <v>240</v>
      </c>
      <c r="EX3520" s="5" t="s">
        <v>240</v>
      </c>
      <c r="EY3520" s="5" t="s">
        <v>240</v>
      </c>
      <c r="EZ3520" s="5" t="s">
        <v>240</v>
      </c>
      <c r="FA3520" s="5" t="s">
        <v>240</v>
      </c>
      <c r="FB3520" s="5" t="s">
        <v>240</v>
      </c>
      <c r="FC3520" s="5" t="s">
        <v>240</v>
      </c>
      <c r="FD3520" s="5" t="s">
        <v>240</v>
      </c>
      <c r="FE3520" s="5" t="s">
        <v>240</v>
      </c>
      <c r="FF3520" s="5" t="s">
        <v>240</v>
      </c>
      <c r="FG3520" s="5" t="s">
        <v>240</v>
      </c>
      <c r="FH3520" s="5" t="s">
        <v>240</v>
      </c>
      <c r="FI3520" s="5" t="s">
        <v>240</v>
      </c>
      <c r="FJ3520" s="5" t="s">
        <v>240</v>
      </c>
      <c r="FK3520" s="5" t="s">
        <v>240</v>
      </c>
      <c r="FL3520" s="5" t="s">
        <v>240</v>
      </c>
      <c r="FM3520" s="5" t="s">
        <v>240</v>
      </c>
      <c r="FN3520" s="5" t="s">
        <v>240</v>
      </c>
      <c r="FO3520" s="5" t="s">
        <v>240</v>
      </c>
      <c r="FP3520" s="5" t="s">
        <v>240</v>
      </c>
      <c r="FQ3520" s="5" t="s">
        <v>240</v>
      </c>
      <c r="FR3520" s="5" t="s">
        <v>240</v>
      </c>
      <c r="FS3520" s="5" t="s">
        <v>240</v>
      </c>
      <c r="FT3520" s="5" t="s">
        <v>240</v>
      </c>
      <c r="FU3520" s="5" t="s">
        <v>240</v>
      </c>
      <c r="FV3520" s="5" t="s">
        <v>240</v>
      </c>
      <c r="FW3520" s="5" t="s">
        <v>240</v>
      </c>
      <c r="FX3520" s="5" t="s">
        <v>240</v>
      </c>
      <c r="FY3520" s="5" t="s">
        <v>240</v>
      </c>
      <c r="FZ3520" s="5" t="s">
        <v>240</v>
      </c>
      <c r="GA3520" s="5" t="s">
        <v>240</v>
      </c>
      <c r="GB3520" s="5" t="s">
        <v>240</v>
      </c>
      <c r="GC3520" s="5" t="s">
        <v>240</v>
      </c>
      <c r="GD3520" s="5" t="s">
        <v>240</v>
      </c>
      <c r="GE3520" s="5" t="s">
        <v>240</v>
      </c>
      <c r="GF3520" s="5" t="s">
        <v>240</v>
      </c>
      <c r="GG3520" s="5" t="s">
        <v>240</v>
      </c>
      <c r="GH3520" s="5" t="s">
        <v>240</v>
      </c>
      <c r="GI3520" s="5" t="s">
        <v>240</v>
      </c>
      <c r="GJ3520" s="5" t="s">
        <v>240</v>
      </c>
      <c r="GK3520" s="5" t="s">
        <v>240</v>
      </c>
      <c r="GL3520" s="5" t="s">
        <v>240</v>
      </c>
      <c r="GM3520" s="5" t="s">
        <v>240</v>
      </c>
      <c r="GN3520" s="5" t="s">
        <v>240</v>
      </c>
      <c r="GO3520" s="5" t="s">
        <v>240</v>
      </c>
      <c r="GP3520" s="5" t="s">
        <v>240</v>
      </c>
      <c r="GQ3520" s="5" t="s">
        <v>240</v>
      </c>
      <c r="GR3520" s="5" t="s">
        <v>240</v>
      </c>
      <c r="GS3520" s="5" t="s">
        <v>240</v>
      </c>
      <c r="GT3520" s="5" t="s">
        <v>240</v>
      </c>
      <c r="GU3520" s="5" t="s">
        <v>240</v>
      </c>
      <c r="GV3520" s="5" t="s">
        <v>240</v>
      </c>
      <c r="GW3520" s="5" t="s">
        <v>240</v>
      </c>
      <c r="GX3520" s="5" t="s">
        <v>240</v>
      </c>
      <c r="GY3520" s="5" t="s">
        <v>240</v>
      </c>
      <c r="GZ3520" s="5" t="s">
        <v>240</v>
      </c>
      <c r="HA3520" s="5" t="s">
        <v>240</v>
      </c>
      <c r="HB3520" s="5" t="s">
        <v>240</v>
      </c>
      <c r="HC3520" s="5" t="s">
        <v>240</v>
      </c>
      <c r="HD3520" s="5" t="s">
        <v>240</v>
      </c>
      <c r="HE3520" s="5" t="s">
        <v>240</v>
      </c>
      <c r="HF3520" s="5" t="s">
        <v>240</v>
      </c>
      <c r="HG3520" s="5" t="s">
        <v>240</v>
      </c>
      <c r="HH3520" s="5" t="s">
        <v>240</v>
      </c>
      <c r="HI3520" s="5" t="s">
        <v>240</v>
      </c>
      <c r="HJ3520" s="5" t="s">
        <v>240</v>
      </c>
      <c r="HK3520" s="5" t="s">
        <v>240</v>
      </c>
      <c r="HL3520" s="5" t="s">
        <v>240</v>
      </c>
      <c r="HM3520" s="5" t="s">
        <v>240</v>
      </c>
      <c r="HN3520" s="5" t="s">
        <v>240</v>
      </c>
      <c r="HO3520" s="5" t="s">
        <v>620</v>
      </c>
      <c r="HP3520" s="5" t="s">
        <v>240</v>
      </c>
      <c r="HQ3520" s="5" t="s">
        <v>240</v>
      </c>
      <c r="HR3520" s="5" t="s">
        <v>240</v>
      </c>
      <c r="HS3520" s="5" t="s">
        <v>240</v>
      </c>
      <c r="HT3520" s="5" t="s">
        <v>240</v>
      </c>
      <c r="HU3520" s="5" t="s">
        <v>240</v>
      </c>
      <c r="HV3520" s="5" t="s">
        <v>240</v>
      </c>
      <c r="HW3520" s="5" t="s">
        <v>240</v>
      </c>
      <c r="HX3520" s="5" t="s">
        <v>240</v>
      </c>
      <c r="HY3520" s="5" t="s">
        <v>240</v>
      </c>
      <c r="HZ3520" s="5" t="s">
        <v>240</v>
      </c>
      <c r="IA3520" s="5" t="s">
        <v>240</v>
      </c>
      <c r="IB3520" s="5" t="s">
        <v>240</v>
      </c>
      <c r="IC3520" s="5" t="s">
        <v>240</v>
      </c>
      <c r="ID3520" s="5" t="s">
        <v>240</v>
      </c>
      <c r="IE3520" s="5" t="s">
        <v>240</v>
      </c>
      <c r="IF3520" s="5" t="s">
        <v>240</v>
      </c>
    </row>
    <row r="3521" spans="1:240" x14ac:dyDescent="0.4">
      <c r="A3521" s="5">
        <v>9063</v>
      </c>
      <c r="B3521" s="5">
        <v>1</v>
      </c>
      <c r="C3521" s="5">
        <v>1</v>
      </c>
      <c r="D3521" s="5" t="s">
        <v>723</v>
      </c>
      <c r="E3521" s="5" t="s">
        <v>5060</v>
      </c>
      <c r="F3521" s="5" t="s">
        <v>254</v>
      </c>
      <c r="G3521" s="5" t="s">
        <v>5061</v>
      </c>
      <c r="H3521" s="6" t="s">
        <v>5906</v>
      </c>
      <c r="I3521" s="5" t="s">
        <v>5905</v>
      </c>
      <c r="J3521" s="7">
        <f>1</f>
        <v>1</v>
      </c>
      <c r="K3521" s="5" t="s">
        <v>3682</v>
      </c>
      <c r="L3521" s="7">
        <f>1</f>
        <v>1</v>
      </c>
      <c r="M3521" s="7">
        <f>1</f>
        <v>1</v>
      </c>
      <c r="N3521" s="5" t="s">
        <v>242</v>
      </c>
      <c r="O3521" s="5">
        <v>1</v>
      </c>
      <c r="P3521" s="5" t="s">
        <v>294</v>
      </c>
      <c r="Q3521" s="5" t="s">
        <v>613</v>
      </c>
      <c r="R3521" s="5" t="s">
        <v>240</v>
      </c>
      <c r="S3521" s="5" t="s">
        <v>240</v>
      </c>
      <c r="T3521" s="5" t="s">
        <v>243</v>
      </c>
      <c r="U3521" s="5" t="s">
        <v>724</v>
      </c>
      <c r="V3521" s="5" t="s">
        <v>240</v>
      </c>
      <c r="W3521" s="5" t="s">
        <v>240</v>
      </c>
      <c r="X3521" s="5" t="s">
        <v>240</v>
      </c>
      <c r="Y3521" s="5" t="s">
        <v>240</v>
      </c>
      <c r="Z3521" s="6" t="s">
        <v>298</v>
      </c>
      <c r="AA3521" s="6" t="s">
        <v>240</v>
      </c>
      <c r="AB3521" s="6" t="s">
        <v>240</v>
      </c>
      <c r="AC3521" s="5" t="s">
        <v>240</v>
      </c>
      <c r="AD3521" s="6" t="s">
        <v>240</v>
      </c>
      <c r="AE3521" s="6" t="s">
        <v>299</v>
      </c>
      <c r="AF3521" s="5" t="s">
        <v>727</v>
      </c>
      <c r="AG3521" s="5" t="s">
        <v>260</v>
      </c>
      <c r="AH3521" s="5" t="s">
        <v>240</v>
      </c>
      <c r="AI3521" s="5" t="s">
        <v>240</v>
      </c>
      <c r="AJ3521" s="5" t="s">
        <v>240</v>
      </c>
      <c r="AK3521" s="5" t="s">
        <v>240</v>
      </c>
      <c r="AL3521" s="5" t="s">
        <v>240</v>
      </c>
      <c r="AM3521" s="5" t="s">
        <v>240</v>
      </c>
      <c r="AN3521" s="5" t="s">
        <v>240</v>
      </c>
      <c r="AO3521" s="5" t="s">
        <v>240</v>
      </c>
      <c r="AP3521" s="6" t="s">
        <v>240</v>
      </c>
      <c r="AQ3521" s="6" t="s">
        <v>240</v>
      </c>
      <c r="AR3521" s="6" t="s">
        <v>240</v>
      </c>
      <c r="AS3521" s="6" t="s">
        <v>240</v>
      </c>
      <c r="AT3521" s="5" t="s">
        <v>240</v>
      </c>
      <c r="AU3521" s="5" t="s">
        <v>729</v>
      </c>
      <c r="AV3521" s="5" t="s">
        <v>729</v>
      </c>
      <c r="AW3521" s="5" t="s">
        <v>251</v>
      </c>
      <c r="AX3521" s="5" t="s">
        <v>252</v>
      </c>
      <c r="AY3521" s="5" t="s">
        <v>253</v>
      </c>
      <c r="AZ3521" s="5" t="s">
        <v>240</v>
      </c>
      <c r="BA3521" s="5" t="s">
        <v>255</v>
      </c>
      <c r="BB3521" s="5" t="s">
        <v>731</v>
      </c>
      <c r="BD3521" s="5" t="s">
        <v>240</v>
      </c>
      <c r="BF3521" s="5" t="s">
        <v>732</v>
      </c>
      <c r="BG3521" s="6" t="s">
        <v>733</v>
      </c>
      <c r="BH3521" s="5" t="s">
        <v>734</v>
      </c>
      <c r="BI3521" s="5" t="s">
        <v>734</v>
      </c>
      <c r="BJ3521" s="5" t="s">
        <v>240</v>
      </c>
      <c r="BK3521" s="8">
        <f>327</f>
        <v>327</v>
      </c>
      <c r="BL3521" s="7">
        <f>0</f>
        <v>0</v>
      </c>
      <c r="BM3521" s="5" t="s">
        <v>258</v>
      </c>
      <c r="BN3521" s="5" t="s">
        <v>259</v>
      </c>
      <c r="BO3521" s="5" t="s">
        <v>240</v>
      </c>
      <c r="BP3521" s="5" t="s">
        <v>240</v>
      </c>
      <c r="BQ3521" s="5" t="s">
        <v>240</v>
      </c>
      <c r="BR3521" s="5" t="s">
        <v>240</v>
      </c>
      <c r="BS3521" s="5" t="s">
        <v>240</v>
      </c>
      <c r="BT3521" s="5" t="s">
        <v>240</v>
      </c>
      <c r="BU3521" s="5" t="s">
        <v>240</v>
      </c>
      <c r="BV3521" s="5" t="s">
        <v>240</v>
      </c>
      <c r="BW3521" s="6" t="s">
        <v>240</v>
      </c>
      <c r="BX3521" s="5" t="s">
        <v>240</v>
      </c>
      <c r="BY3521" s="5" t="s">
        <v>240</v>
      </c>
      <c r="BZ3521" s="5" t="s">
        <v>240</v>
      </c>
      <c r="CA3521" s="5" t="s">
        <v>259</v>
      </c>
      <c r="CB3521" s="5" t="s">
        <v>240</v>
      </c>
      <c r="CC3521" s="5" t="s">
        <v>240</v>
      </c>
      <c r="CD3521" s="5" t="s">
        <v>240</v>
      </c>
      <c r="CE3521" s="5" t="s">
        <v>240</v>
      </c>
      <c r="CF3521" s="5" t="s">
        <v>240</v>
      </c>
      <c r="CG3521" s="5" t="s">
        <v>617</v>
      </c>
      <c r="CH3521" s="5" t="s">
        <v>305</v>
      </c>
      <c r="CI3521" s="5" t="s">
        <v>240</v>
      </c>
      <c r="CL3521" s="6" t="s">
        <v>261</v>
      </c>
      <c r="CM3521" s="5" t="s">
        <v>262</v>
      </c>
      <c r="CN3521" s="5" t="s">
        <v>263</v>
      </c>
      <c r="CO3521" s="5" t="s">
        <v>264</v>
      </c>
      <c r="CP3521" s="5" t="s">
        <v>240</v>
      </c>
      <c r="CQ3521" s="5">
        <v>0</v>
      </c>
      <c r="CR3521" s="5" t="s">
        <v>735</v>
      </c>
      <c r="CS3521" s="5" t="s">
        <v>307</v>
      </c>
      <c r="CT3521" s="5" t="s">
        <v>307</v>
      </c>
      <c r="CU3521" s="5" t="s">
        <v>260</v>
      </c>
      <c r="CV3521" s="5" t="s">
        <v>240</v>
      </c>
      <c r="CW3521" s="8">
        <f>0</f>
        <v>0</v>
      </c>
      <c r="CX3521" s="7">
        <f>0</f>
        <v>0</v>
      </c>
      <c r="CY3521" s="7">
        <f>0</f>
        <v>0</v>
      </c>
      <c r="DA3521" s="7">
        <f>3597</f>
        <v>3597</v>
      </c>
      <c r="DB3521" s="7" t="s">
        <v>240</v>
      </c>
      <c r="DC3521" s="5" t="s">
        <v>240</v>
      </c>
      <c r="DD3521" s="5" t="s">
        <v>240</v>
      </c>
      <c r="DE3521" s="5" t="s">
        <v>240</v>
      </c>
      <c r="DF3521" s="5" t="s">
        <v>450</v>
      </c>
      <c r="DG3521" s="7">
        <f>0</f>
        <v>0</v>
      </c>
      <c r="DI3521" s="5" t="s">
        <v>737</v>
      </c>
      <c r="DJ3521" s="5" t="s">
        <v>240</v>
      </c>
      <c r="DK3521" s="5" t="s">
        <v>240</v>
      </c>
      <c r="DL3521" s="5" t="s">
        <v>240</v>
      </c>
      <c r="DM3521" s="5" t="s">
        <v>240</v>
      </c>
      <c r="DN3521" s="5" t="s">
        <v>240</v>
      </c>
      <c r="DO3521" s="7" t="s">
        <v>240</v>
      </c>
      <c r="DP3521" s="5" t="s">
        <v>240</v>
      </c>
      <c r="DQ3521" s="5" t="s">
        <v>240</v>
      </c>
      <c r="DR3521" s="5" t="s">
        <v>731</v>
      </c>
      <c r="DS3521" s="5" t="s">
        <v>731</v>
      </c>
      <c r="DT3521" s="5" t="s">
        <v>240</v>
      </c>
      <c r="DU3521" s="5" t="s">
        <v>240</v>
      </c>
      <c r="DV3521" s="5" t="s">
        <v>738</v>
      </c>
      <c r="DW3521" s="5" t="s">
        <v>542</v>
      </c>
      <c r="DX3521" s="5" t="s">
        <v>240</v>
      </c>
      <c r="DY3521" s="5" t="s">
        <v>240</v>
      </c>
      <c r="DZ3521" s="5" t="s">
        <v>240</v>
      </c>
      <c r="EA3521" s="5" t="s">
        <v>240</v>
      </c>
      <c r="EB3521" s="5" t="s">
        <v>240</v>
      </c>
      <c r="EC3521" s="5" t="s">
        <v>240</v>
      </c>
      <c r="ED3521" s="5" t="s">
        <v>240</v>
      </c>
      <c r="EE3521" s="5" t="s">
        <v>240</v>
      </c>
      <c r="EF3521" s="5" t="s">
        <v>240</v>
      </c>
      <c r="EG3521" s="5" t="s">
        <v>240</v>
      </c>
      <c r="EH3521" s="5" t="s">
        <v>240</v>
      </c>
      <c r="EI3521" s="5" t="s">
        <v>240</v>
      </c>
      <c r="EJ3521" s="5" t="s">
        <v>240</v>
      </c>
      <c r="EK3521" s="5" t="s">
        <v>240</v>
      </c>
      <c r="EL3521" s="5" t="s">
        <v>240</v>
      </c>
      <c r="EM3521" s="5" t="s">
        <v>240</v>
      </c>
      <c r="EN3521" s="5" t="s">
        <v>240</v>
      </c>
      <c r="EO3521" s="5" t="s">
        <v>240</v>
      </c>
      <c r="EP3521" s="5" t="s">
        <v>240</v>
      </c>
      <c r="EQ3521" s="5" t="s">
        <v>240</v>
      </c>
      <c r="ER3521" s="5" t="s">
        <v>240</v>
      </c>
      <c r="ES3521" s="5" t="s">
        <v>240</v>
      </c>
      <c r="ET3521" s="5" t="s">
        <v>240</v>
      </c>
      <c r="EU3521" s="5" t="s">
        <v>240</v>
      </c>
      <c r="EV3521" s="5" t="s">
        <v>240</v>
      </c>
      <c r="EW3521" s="5" t="s">
        <v>240</v>
      </c>
      <c r="EX3521" s="5" t="s">
        <v>240</v>
      </c>
      <c r="EY3521" s="5" t="s">
        <v>240</v>
      </c>
      <c r="EZ3521" s="5" t="s">
        <v>240</v>
      </c>
      <c r="FA3521" s="5" t="s">
        <v>240</v>
      </c>
      <c r="FB3521" s="5" t="s">
        <v>240</v>
      </c>
      <c r="FC3521" s="5" t="s">
        <v>240</v>
      </c>
      <c r="FD3521" s="5" t="s">
        <v>240</v>
      </c>
      <c r="FE3521" s="5" t="s">
        <v>240</v>
      </c>
      <c r="FF3521" s="5" t="s">
        <v>240</v>
      </c>
      <c r="FG3521" s="5" t="s">
        <v>240</v>
      </c>
      <c r="FH3521" s="5" t="s">
        <v>240</v>
      </c>
      <c r="FI3521" s="5" t="s">
        <v>240</v>
      </c>
      <c r="FJ3521" s="5" t="s">
        <v>240</v>
      </c>
      <c r="FK3521" s="5" t="s">
        <v>240</v>
      </c>
      <c r="FL3521" s="5" t="s">
        <v>240</v>
      </c>
      <c r="FM3521" s="5" t="s">
        <v>240</v>
      </c>
      <c r="FN3521" s="5" t="s">
        <v>240</v>
      </c>
      <c r="FO3521" s="5" t="s">
        <v>240</v>
      </c>
      <c r="FP3521" s="5" t="s">
        <v>240</v>
      </c>
      <c r="FQ3521" s="5" t="s">
        <v>240</v>
      </c>
      <c r="FR3521" s="5" t="s">
        <v>240</v>
      </c>
      <c r="FS3521" s="5" t="s">
        <v>240</v>
      </c>
      <c r="FT3521" s="5" t="s">
        <v>240</v>
      </c>
      <c r="FU3521" s="5" t="s">
        <v>240</v>
      </c>
      <c r="FV3521" s="5" t="s">
        <v>240</v>
      </c>
      <c r="FW3521" s="5" t="s">
        <v>240</v>
      </c>
      <c r="FX3521" s="5" t="s">
        <v>240</v>
      </c>
      <c r="FY3521" s="5" t="s">
        <v>240</v>
      </c>
      <c r="FZ3521" s="5" t="s">
        <v>240</v>
      </c>
      <c r="GA3521" s="5" t="s">
        <v>240</v>
      </c>
      <c r="GB3521" s="5" t="s">
        <v>240</v>
      </c>
      <c r="GC3521" s="5" t="s">
        <v>240</v>
      </c>
      <c r="GD3521" s="5" t="s">
        <v>240</v>
      </c>
      <c r="GE3521" s="5" t="s">
        <v>240</v>
      </c>
      <c r="GF3521" s="5" t="s">
        <v>240</v>
      </c>
      <c r="GG3521" s="5" t="s">
        <v>240</v>
      </c>
      <c r="GH3521" s="5" t="s">
        <v>240</v>
      </c>
      <c r="GI3521" s="5" t="s">
        <v>240</v>
      </c>
      <c r="GJ3521" s="5" t="s">
        <v>240</v>
      </c>
      <c r="GK3521" s="5" t="s">
        <v>240</v>
      </c>
      <c r="GL3521" s="5" t="s">
        <v>240</v>
      </c>
      <c r="GM3521" s="5" t="s">
        <v>240</v>
      </c>
      <c r="GN3521" s="5" t="s">
        <v>240</v>
      </c>
      <c r="GO3521" s="5" t="s">
        <v>240</v>
      </c>
      <c r="GP3521" s="5" t="s">
        <v>240</v>
      </c>
      <c r="GQ3521" s="5" t="s">
        <v>240</v>
      </c>
      <c r="GR3521" s="5" t="s">
        <v>240</v>
      </c>
      <c r="GS3521" s="5" t="s">
        <v>240</v>
      </c>
      <c r="GT3521" s="5" t="s">
        <v>240</v>
      </c>
      <c r="GU3521" s="5" t="s">
        <v>240</v>
      </c>
      <c r="GV3521" s="5" t="s">
        <v>240</v>
      </c>
      <c r="GW3521" s="5" t="s">
        <v>240</v>
      </c>
      <c r="GX3521" s="5" t="s">
        <v>240</v>
      </c>
      <c r="GY3521" s="5" t="s">
        <v>240</v>
      </c>
      <c r="GZ3521" s="5" t="s">
        <v>240</v>
      </c>
      <c r="HA3521" s="5" t="s">
        <v>240</v>
      </c>
      <c r="HB3521" s="5" t="s">
        <v>240</v>
      </c>
      <c r="HC3521" s="5" t="s">
        <v>240</v>
      </c>
      <c r="HD3521" s="5" t="s">
        <v>240</v>
      </c>
      <c r="HE3521" s="5" t="s">
        <v>240</v>
      </c>
      <c r="HF3521" s="5" t="s">
        <v>240</v>
      </c>
      <c r="HG3521" s="5" t="s">
        <v>240</v>
      </c>
      <c r="HH3521" s="5" t="s">
        <v>240</v>
      </c>
      <c r="HI3521" s="5" t="s">
        <v>240</v>
      </c>
      <c r="HJ3521" s="5" t="s">
        <v>240</v>
      </c>
      <c r="HK3521" s="5" t="s">
        <v>240</v>
      </c>
      <c r="HL3521" s="5" t="s">
        <v>240</v>
      </c>
      <c r="HM3521" s="5" t="s">
        <v>240</v>
      </c>
      <c r="HN3521" s="5" t="s">
        <v>240</v>
      </c>
      <c r="HO3521" s="5" t="s">
        <v>620</v>
      </c>
      <c r="HP3521" s="5" t="s">
        <v>240</v>
      </c>
      <c r="HQ3521" s="5" t="s">
        <v>240</v>
      </c>
      <c r="HR3521" s="5" t="s">
        <v>240</v>
      </c>
      <c r="HS3521" s="5" t="s">
        <v>240</v>
      </c>
      <c r="HT3521" s="5" t="s">
        <v>240</v>
      </c>
      <c r="HU3521" s="5" t="s">
        <v>240</v>
      </c>
      <c r="HV3521" s="5" t="s">
        <v>240</v>
      </c>
      <c r="HW3521" s="5" t="s">
        <v>240</v>
      </c>
      <c r="HX3521" s="5" t="s">
        <v>240</v>
      </c>
      <c r="HY3521" s="5" t="s">
        <v>240</v>
      </c>
      <c r="HZ3521" s="5" t="s">
        <v>240</v>
      </c>
      <c r="IA3521" s="5" t="s">
        <v>240</v>
      </c>
      <c r="IB3521" s="5" t="s">
        <v>240</v>
      </c>
      <c r="IC3521" s="5" t="s">
        <v>240</v>
      </c>
      <c r="ID3521" s="5" t="s">
        <v>240</v>
      </c>
      <c r="IE3521" s="5" t="s">
        <v>240</v>
      </c>
      <c r="IF3521" s="5" t="s">
        <v>240</v>
      </c>
    </row>
    <row r="3522" spans="1:240" x14ac:dyDescent="0.4">
      <c r="A3522" s="5">
        <v>9064</v>
      </c>
      <c r="B3522" s="5">
        <v>1</v>
      </c>
      <c r="C3522" s="5">
        <v>1</v>
      </c>
      <c r="D3522" s="5" t="s">
        <v>723</v>
      </c>
      <c r="E3522" s="5" t="s">
        <v>5060</v>
      </c>
      <c r="F3522" s="5" t="s">
        <v>254</v>
      </c>
      <c r="G3522" s="5" t="s">
        <v>5061</v>
      </c>
      <c r="H3522" s="6" t="s">
        <v>5904</v>
      </c>
      <c r="I3522" s="5" t="s">
        <v>5903</v>
      </c>
      <c r="J3522" s="7">
        <f>1</f>
        <v>1</v>
      </c>
      <c r="K3522" s="5" t="s">
        <v>3682</v>
      </c>
      <c r="L3522" s="7">
        <f>1</f>
        <v>1</v>
      </c>
      <c r="M3522" s="7">
        <f>1</f>
        <v>1</v>
      </c>
      <c r="N3522" s="5" t="s">
        <v>242</v>
      </c>
      <c r="O3522" s="5">
        <v>1</v>
      </c>
      <c r="P3522" s="5" t="s">
        <v>294</v>
      </c>
      <c r="Q3522" s="5" t="s">
        <v>3678</v>
      </c>
      <c r="R3522" s="5" t="s">
        <v>240</v>
      </c>
      <c r="S3522" s="5" t="s">
        <v>240</v>
      </c>
      <c r="T3522" s="5" t="s">
        <v>243</v>
      </c>
      <c r="U3522" s="5" t="s">
        <v>244</v>
      </c>
      <c r="V3522" s="5" t="s">
        <v>240</v>
      </c>
      <c r="W3522" s="5" t="s">
        <v>240</v>
      </c>
      <c r="X3522" s="5" t="s">
        <v>240</v>
      </c>
      <c r="Y3522" s="5" t="s">
        <v>240</v>
      </c>
      <c r="Z3522" s="6" t="s">
        <v>298</v>
      </c>
      <c r="AA3522" s="6" t="s">
        <v>240</v>
      </c>
      <c r="AB3522" s="6" t="s">
        <v>240</v>
      </c>
      <c r="AC3522" s="5" t="s">
        <v>240</v>
      </c>
      <c r="AD3522" s="6" t="s">
        <v>240</v>
      </c>
      <c r="AE3522" s="6" t="s">
        <v>299</v>
      </c>
      <c r="AF3522" s="5" t="s">
        <v>248</v>
      </c>
      <c r="AG3522" s="5" t="s">
        <v>249</v>
      </c>
      <c r="AH3522" s="5" t="s">
        <v>240</v>
      </c>
      <c r="AI3522" s="5" t="s">
        <v>240</v>
      </c>
      <c r="AJ3522" s="5" t="s">
        <v>240</v>
      </c>
      <c r="AK3522" s="5" t="s">
        <v>240</v>
      </c>
      <c r="AL3522" s="5" t="s">
        <v>240</v>
      </c>
      <c r="AM3522" s="5" t="s">
        <v>240</v>
      </c>
      <c r="AN3522" s="5" t="s">
        <v>240</v>
      </c>
      <c r="AO3522" s="5" t="s">
        <v>240</v>
      </c>
      <c r="AP3522" s="6" t="s">
        <v>240</v>
      </c>
      <c r="AQ3522" s="6" t="s">
        <v>240</v>
      </c>
      <c r="AR3522" s="6" t="s">
        <v>240</v>
      </c>
      <c r="AS3522" s="6" t="s">
        <v>240</v>
      </c>
      <c r="AT3522" s="5" t="s">
        <v>240</v>
      </c>
      <c r="AU3522" s="5" t="s">
        <v>729</v>
      </c>
      <c r="AV3522" s="5" t="s">
        <v>729</v>
      </c>
      <c r="AW3522" s="5" t="s">
        <v>251</v>
      </c>
      <c r="AX3522" s="5" t="s">
        <v>252</v>
      </c>
      <c r="AY3522" s="5" t="s">
        <v>253</v>
      </c>
      <c r="AZ3522" s="5" t="s">
        <v>240</v>
      </c>
      <c r="BA3522" s="5" t="s">
        <v>255</v>
      </c>
      <c r="BB3522" s="5" t="s">
        <v>731</v>
      </c>
      <c r="BD3522" s="5" t="s">
        <v>240</v>
      </c>
      <c r="BF3522" s="5" t="s">
        <v>732</v>
      </c>
      <c r="BG3522" s="6" t="s">
        <v>733</v>
      </c>
      <c r="BH3522" s="5" t="s">
        <v>734</v>
      </c>
      <c r="BI3522" s="5" t="s">
        <v>734</v>
      </c>
      <c r="BJ3522" s="5" t="s">
        <v>240</v>
      </c>
      <c r="BK3522" s="7">
        <f>1</f>
        <v>1</v>
      </c>
      <c r="BL3522" s="7">
        <f>1</f>
        <v>1</v>
      </c>
      <c r="BM3522" s="5" t="s">
        <v>258</v>
      </c>
      <c r="BN3522" s="5" t="s">
        <v>259</v>
      </c>
      <c r="BO3522" s="5" t="s">
        <v>240</v>
      </c>
      <c r="BP3522" s="5" t="s">
        <v>240</v>
      </c>
      <c r="BQ3522" s="5" t="s">
        <v>240</v>
      </c>
      <c r="BR3522" s="5" t="s">
        <v>240</v>
      </c>
      <c r="BS3522" s="5" t="s">
        <v>240</v>
      </c>
      <c r="BT3522" s="5" t="s">
        <v>240</v>
      </c>
      <c r="BU3522" s="5" t="s">
        <v>240</v>
      </c>
      <c r="BV3522" s="5" t="s">
        <v>240</v>
      </c>
      <c r="BW3522" s="6" t="s">
        <v>240</v>
      </c>
      <c r="BX3522" s="5" t="s">
        <v>240</v>
      </c>
      <c r="BY3522" s="5" t="s">
        <v>240</v>
      </c>
      <c r="BZ3522" s="5" t="s">
        <v>240</v>
      </c>
      <c r="CA3522" s="5" t="s">
        <v>259</v>
      </c>
      <c r="CB3522" s="5" t="s">
        <v>240</v>
      </c>
      <c r="CC3522" s="5" t="s">
        <v>240</v>
      </c>
      <c r="CD3522" s="5" t="s">
        <v>240</v>
      </c>
      <c r="CE3522" s="5" t="s">
        <v>240</v>
      </c>
      <c r="CF3522" s="5" t="s">
        <v>240</v>
      </c>
      <c r="CG3522" s="5" t="s">
        <v>304</v>
      </c>
      <c r="CH3522" s="5" t="s">
        <v>305</v>
      </c>
      <c r="CI3522" s="5" t="s">
        <v>240</v>
      </c>
      <c r="CK3522" s="5" t="s">
        <v>3681</v>
      </c>
      <c r="CL3522" s="6" t="s">
        <v>261</v>
      </c>
      <c r="CM3522" s="5" t="s">
        <v>262</v>
      </c>
      <c r="CN3522" s="5" t="s">
        <v>263</v>
      </c>
      <c r="CO3522" s="5" t="s">
        <v>264</v>
      </c>
      <c r="CP3522" s="5" t="s">
        <v>240</v>
      </c>
      <c r="CQ3522" s="5">
        <v>0</v>
      </c>
      <c r="CR3522" s="5" t="s">
        <v>735</v>
      </c>
      <c r="CS3522" s="5" t="s">
        <v>307</v>
      </c>
      <c r="CT3522" s="5" t="s">
        <v>307</v>
      </c>
      <c r="CU3522" s="5" t="s">
        <v>260</v>
      </c>
      <c r="CV3522" s="5" t="s">
        <v>612</v>
      </c>
      <c r="CW3522" s="8">
        <f>1</f>
        <v>1</v>
      </c>
      <c r="CX3522" s="7">
        <f>1</f>
        <v>1</v>
      </c>
      <c r="CY3522" s="7">
        <f>0</f>
        <v>0</v>
      </c>
      <c r="DA3522" s="7">
        <f>1</f>
        <v>1</v>
      </c>
      <c r="DB3522" s="7" t="s">
        <v>240</v>
      </c>
      <c r="DC3522" s="5" t="s">
        <v>240</v>
      </c>
      <c r="DD3522" s="5" t="s">
        <v>240</v>
      </c>
      <c r="DE3522" s="5" t="s">
        <v>240</v>
      </c>
      <c r="DF3522" s="5" t="s">
        <v>240</v>
      </c>
      <c r="DG3522" s="7">
        <f>0</f>
        <v>0</v>
      </c>
      <c r="DI3522" s="5" t="s">
        <v>240</v>
      </c>
      <c r="DJ3522" s="5" t="s">
        <v>240</v>
      </c>
      <c r="DK3522" s="5" t="s">
        <v>240</v>
      </c>
      <c r="DL3522" s="5" t="s">
        <v>240</v>
      </c>
      <c r="DM3522" s="5" t="s">
        <v>240</v>
      </c>
      <c r="DN3522" s="5" t="s">
        <v>240</v>
      </c>
      <c r="DO3522" s="7" t="s">
        <v>240</v>
      </c>
      <c r="DP3522" s="5" t="s">
        <v>240</v>
      </c>
      <c r="DQ3522" s="5" t="s">
        <v>240</v>
      </c>
      <c r="DR3522" s="5" t="s">
        <v>731</v>
      </c>
      <c r="DS3522" s="5" t="s">
        <v>731</v>
      </c>
      <c r="DT3522" s="5" t="s">
        <v>240</v>
      </c>
      <c r="DU3522" s="5" t="s">
        <v>240</v>
      </c>
      <c r="DV3522" s="5" t="s">
        <v>3683</v>
      </c>
      <c r="DW3522" s="5" t="s">
        <v>791</v>
      </c>
      <c r="DX3522" s="5" t="s">
        <v>240</v>
      </c>
      <c r="DY3522" s="5" t="s">
        <v>240</v>
      </c>
      <c r="DZ3522" s="5" t="s">
        <v>240</v>
      </c>
      <c r="EA3522" s="5" t="s">
        <v>240</v>
      </c>
      <c r="EB3522" s="5" t="s">
        <v>240</v>
      </c>
      <c r="EC3522" s="5" t="s">
        <v>240</v>
      </c>
      <c r="ED3522" s="5" t="s">
        <v>240</v>
      </c>
      <c r="EE3522" s="5" t="s">
        <v>240</v>
      </c>
      <c r="EF3522" s="5" t="s">
        <v>240</v>
      </c>
      <c r="EG3522" s="5" t="s">
        <v>240</v>
      </c>
      <c r="EH3522" s="5" t="s">
        <v>240</v>
      </c>
      <c r="EI3522" s="5" t="s">
        <v>240</v>
      </c>
      <c r="EJ3522" s="5" t="s">
        <v>240</v>
      </c>
      <c r="EK3522" s="5" t="s">
        <v>240</v>
      </c>
      <c r="EL3522" s="5" t="s">
        <v>240</v>
      </c>
      <c r="EM3522" s="5" t="s">
        <v>240</v>
      </c>
      <c r="EN3522" s="5" t="s">
        <v>240</v>
      </c>
      <c r="EO3522" s="5" t="s">
        <v>240</v>
      </c>
      <c r="EP3522" s="5" t="s">
        <v>240</v>
      </c>
      <c r="EQ3522" s="5" t="s">
        <v>240</v>
      </c>
      <c r="ER3522" s="5" t="s">
        <v>240</v>
      </c>
      <c r="ES3522" s="5" t="s">
        <v>240</v>
      </c>
      <c r="ET3522" s="5" t="s">
        <v>240</v>
      </c>
      <c r="EU3522" s="5" t="s">
        <v>240</v>
      </c>
      <c r="EV3522" s="5" t="s">
        <v>240</v>
      </c>
      <c r="EW3522" s="5" t="s">
        <v>240</v>
      </c>
      <c r="EX3522" s="5" t="s">
        <v>240</v>
      </c>
      <c r="EY3522" s="5" t="s">
        <v>240</v>
      </c>
      <c r="EZ3522" s="5" t="s">
        <v>240</v>
      </c>
      <c r="FA3522" s="5" t="s">
        <v>240</v>
      </c>
      <c r="FB3522" s="5" t="s">
        <v>240</v>
      </c>
      <c r="FC3522" s="5" t="s">
        <v>240</v>
      </c>
      <c r="FD3522" s="5" t="s">
        <v>240</v>
      </c>
      <c r="FE3522" s="5" t="s">
        <v>240</v>
      </c>
      <c r="FF3522" s="5" t="s">
        <v>240</v>
      </c>
      <c r="FG3522" s="5" t="s">
        <v>240</v>
      </c>
      <c r="FH3522" s="5" t="s">
        <v>240</v>
      </c>
      <c r="FI3522" s="5" t="s">
        <v>240</v>
      </c>
      <c r="FJ3522" s="5" t="s">
        <v>240</v>
      </c>
      <c r="FK3522" s="5" t="s">
        <v>240</v>
      </c>
      <c r="FL3522" s="5" t="s">
        <v>240</v>
      </c>
      <c r="FM3522" s="5" t="s">
        <v>240</v>
      </c>
      <c r="FN3522" s="5" t="s">
        <v>240</v>
      </c>
      <c r="FO3522" s="5" t="s">
        <v>240</v>
      </c>
      <c r="FP3522" s="5" t="s">
        <v>240</v>
      </c>
      <c r="FQ3522" s="5" t="s">
        <v>240</v>
      </c>
      <c r="FR3522" s="5" t="s">
        <v>240</v>
      </c>
      <c r="FS3522" s="5" t="s">
        <v>240</v>
      </c>
      <c r="FT3522" s="5" t="s">
        <v>240</v>
      </c>
      <c r="FU3522" s="5" t="s">
        <v>240</v>
      </c>
      <c r="FV3522" s="5" t="s">
        <v>240</v>
      </c>
      <c r="FW3522" s="5" t="s">
        <v>240</v>
      </c>
      <c r="FX3522" s="5" t="s">
        <v>240</v>
      </c>
      <c r="FY3522" s="5" t="s">
        <v>240</v>
      </c>
      <c r="FZ3522" s="5" t="s">
        <v>240</v>
      </c>
      <c r="GA3522" s="5" t="s">
        <v>240</v>
      </c>
      <c r="GB3522" s="5" t="s">
        <v>240</v>
      </c>
      <c r="GC3522" s="5" t="s">
        <v>240</v>
      </c>
      <c r="GD3522" s="5" t="s">
        <v>240</v>
      </c>
      <c r="GE3522" s="5" t="s">
        <v>240</v>
      </c>
      <c r="GF3522" s="5" t="s">
        <v>240</v>
      </c>
      <c r="GG3522" s="5" t="s">
        <v>240</v>
      </c>
      <c r="GH3522" s="5" t="s">
        <v>240</v>
      </c>
      <c r="GI3522" s="5" t="s">
        <v>240</v>
      </c>
      <c r="GJ3522" s="5" t="s">
        <v>240</v>
      </c>
      <c r="GK3522" s="5" t="s">
        <v>240</v>
      </c>
      <c r="GL3522" s="5" t="s">
        <v>240</v>
      </c>
      <c r="GM3522" s="5" t="s">
        <v>240</v>
      </c>
      <c r="GN3522" s="5" t="s">
        <v>240</v>
      </c>
      <c r="GO3522" s="5" t="s">
        <v>240</v>
      </c>
      <c r="GP3522" s="5" t="s">
        <v>240</v>
      </c>
      <c r="GQ3522" s="5" t="s">
        <v>240</v>
      </c>
      <c r="GR3522" s="5" t="s">
        <v>240</v>
      </c>
      <c r="GS3522" s="5" t="s">
        <v>240</v>
      </c>
      <c r="GT3522" s="5" t="s">
        <v>240</v>
      </c>
      <c r="GU3522" s="5" t="s">
        <v>240</v>
      </c>
      <c r="GV3522" s="5" t="s">
        <v>240</v>
      </c>
      <c r="GW3522" s="5" t="s">
        <v>240</v>
      </c>
      <c r="GX3522" s="5" t="s">
        <v>240</v>
      </c>
      <c r="GY3522" s="5" t="s">
        <v>240</v>
      </c>
      <c r="GZ3522" s="5" t="s">
        <v>240</v>
      </c>
      <c r="HA3522" s="5" t="s">
        <v>240</v>
      </c>
      <c r="HB3522" s="5" t="s">
        <v>240</v>
      </c>
      <c r="HC3522" s="5" t="s">
        <v>240</v>
      </c>
      <c r="HD3522" s="5" t="s">
        <v>240</v>
      </c>
      <c r="HE3522" s="5" t="s">
        <v>240</v>
      </c>
      <c r="HF3522" s="5" t="s">
        <v>240</v>
      </c>
      <c r="HG3522" s="5" t="s">
        <v>240</v>
      </c>
      <c r="HH3522" s="5" t="s">
        <v>240</v>
      </c>
      <c r="HI3522" s="5" t="s">
        <v>240</v>
      </c>
      <c r="HJ3522" s="5" t="s">
        <v>240</v>
      </c>
      <c r="HK3522" s="5" t="s">
        <v>240</v>
      </c>
      <c r="HL3522" s="5" t="s">
        <v>240</v>
      </c>
      <c r="HM3522" s="5" t="s">
        <v>240</v>
      </c>
      <c r="HN3522" s="5" t="s">
        <v>240</v>
      </c>
      <c r="HO3522" s="5" t="s">
        <v>312</v>
      </c>
      <c r="HP3522" s="5" t="s">
        <v>240</v>
      </c>
      <c r="HQ3522" s="5" t="s">
        <v>240</v>
      </c>
      <c r="HR3522" s="5" t="s">
        <v>240</v>
      </c>
      <c r="HS3522" s="5" t="s">
        <v>240</v>
      </c>
      <c r="HT3522" s="5" t="s">
        <v>240</v>
      </c>
      <c r="HU3522" s="5" t="s">
        <v>240</v>
      </c>
      <c r="HV3522" s="5" t="s">
        <v>240</v>
      </c>
      <c r="HW3522" s="5" t="s">
        <v>240</v>
      </c>
      <c r="HX3522" s="5" t="s">
        <v>240</v>
      </c>
      <c r="HY3522" s="5" t="s">
        <v>240</v>
      </c>
      <c r="HZ3522" s="5" t="s">
        <v>240</v>
      </c>
      <c r="IA3522" s="5" t="s">
        <v>240</v>
      </c>
      <c r="IB3522" s="5" t="s">
        <v>240</v>
      </c>
      <c r="IC3522" s="5" t="s">
        <v>240</v>
      </c>
      <c r="ID3522" s="5" t="s">
        <v>240</v>
      </c>
      <c r="IE3522" s="5" t="s">
        <v>240</v>
      </c>
      <c r="IF3522" s="5" t="s">
        <v>240</v>
      </c>
    </row>
    <row r="3523" spans="1:240" x14ac:dyDescent="0.4">
      <c r="A3523" s="5">
        <v>9065</v>
      </c>
      <c r="B3523" s="5">
        <v>1</v>
      </c>
      <c r="C3523" s="5">
        <v>1</v>
      </c>
      <c r="D3523" s="5" t="s">
        <v>723</v>
      </c>
      <c r="E3523" s="5" t="s">
        <v>5060</v>
      </c>
      <c r="F3523" s="5" t="s">
        <v>254</v>
      </c>
      <c r="G3523" s="5" t="s">
        <v>5061</v>
      </c>
      <c r="H3523" s="6" t="s">
        <v>5902</v>
      </c>
      <c r="I3523" s="5" t="s">
        <v>5901</v>
      </c>
      <c r="J3523" s="7">
        <f>1</f>
        <v>1</v>
      </c>
      <c r="K3523" s="5" t="s">
        <v>3682</v>
      </c>
      <c r="L3523" s="7">
        <f>1</f>
        <v>1</v>
      </c>
      <c r="M3523" s="7">
        <f>1</f>
        <v>1</v>
      </c>
      <c r="N3523" s="5" t="s">
        <v>242</v>
      </c>
      <c r="O3523" s="5">
        <v>1</v>
      </c>
      <c r="P3523" s="5" t="s">
        <v>294</v>
      </c>
      <c r="Q3523" s="5" t="s">
        <v>613</v>
      </c>
      <c r="R3523" s="5" t="s">
        <v>240</v>
      </c>
      <c r="S3523" s="5" t="s">
        <v>240</v>
      </c>
      <c r="T3523" s="5" t="s">
        <v>243</v>
      </c>
      <c r="U3523" s="5" t="s">
        <v>724</v>
      </c>
      <c r="V3523" s="5" t="s">
        <v>240</v>
      </c>
      <c r="W3523" s="5" t="s">
        <v>240</v>
      </c>
      <c r="X3523" s="5" t="s">
        <v>240</v>
      </c>
      <c r="Y3523" s="5" t="s">
        <v>240</v>
      </c>
      <c r="Z3523" s="6" t="s">
        <v>298</v>
      </c>
      <c r="AA3523" s="6" t="s">
        <v>240</v>
      </c>
      <c r="AB3523" s="6" t="s">
        <v>240</v>
      </c>
      <c r="AC3523" s="5" t="s">
        <v>240</v>
      </c>
      <c r="AD3523" s="6" t="s">
        <v>240</v>
      </c>
      <c r="AE3523" s="6" t="s">
        <v>299</v>
      </c>
      <c r="AF3523" s="5" t="s">
        <v>727</v>
      </c>
      <c r="AG3523" s="5" t="s">
        <v>260</v>
      </c>
      <c r="AH3523" s="5" t="s">
        <v>240</v>
      </c>
      <c r="AI3523" s="5" t="s">
        <v>240</v>
      </c>
      <c r="AJ3523" s="5" t="s">
        <v>240</v>
      </c>
      <c r="AK3523" s="5" t="s">
        <v>240</v>
      </c>
      <c r="AL3523" s="5" t="s">
        <v>240</v>
      </c>
      <c r="AM3523" s="5" t="s">
        <v>240</v>
      </c>
      <c r="AN3523" s="5" t="s">
        <v>240</v>
      </c>
      <c r="AO3523" s="5" t="s">
        <v>240</v>
      </c>
      <c r="AP3523" s="6" t="s">
        <v>240</v>
      </c>
      <c r="AQ3523" s="6" t="s">
        <v>240</v>
      </c>
      <c r="AR3523" s="6" t="s">
        <v>240</v>
      </c>
      <c r="AS3523" s="6" t="s">
        <v>240</v>
      </c>
      <c r="AT3523" s="5" t="s">
        <v>240</v>
      </c>
      <c r="AU3523" s="5" t="s">
        <v>729</v>
      </c>
      <c r="AV3523" s="5" t="s">
        <v>729</v>
      </c>
      <c r="AW3523" s="5" t="s">
        <v>251</v>
      </c>
      <c r="AX3523" s="5" t="s">
        <v>252</v>
      </c>
      <c r="AY3523" s="5" t="s">
        <v>253</v>
      </c>
      <c r="AZ3523" s="5" t="s">
        <v>240</v>
      </c>
      <c r="BA3523" s="5" t="s">
        <v>255</v>
      </c>
      <c r="BB3523" s="5" t="s">
        <v>731</v>
      </c>
      <c r="BD3523" s="5" t="s">
        <v>240</v>
      </c>
      <c r="BF3523" s="5" t="s">
        <v>732</v>
      </c>
      <c r="BG3523" s="6" t="s">
        <v>733</v>
      </c>
      <c r="BH3523" s="5" t="s">
        <v>734</v>
      </c>
      <c r="BI3523" s="5" t="s">
        <v>734</v>
      </c>
      <c r="BJ3523" s="5" t="s">
        <v>240</v>
      </c>
      <c r="BK3523" s="8">
        <f>332</f>
        <v>332</v>
      </c>
      <c r="BL3523" s="7">
        <f>0</f>
        <v>0</v>
      </c>
      <c r="BM3523" s="5" t="s">
        <v>258</v>
      </c>
      <c r="BN3523" s="5" t="s">
        <v>259</v>
      </c>
      <c r="BO3523" s="5" t="s">
        <v>240</v>
      </c>
      <c r="BP3523" s="5" t="s">
        <v>240</v>
      </c>
      <c r="BQ3523" s="5" t="s">
        <v>240</v>
      </c>
      <c r="BR3523" s="5" t="s">
        <v>240</v>
      </c>
      <c r="BS3523" s="5" t="s">
        <v>240</v>
      </c>
      <c r="BT3523" s="5" t="s">
        <v>240</v>
      </c>
      <c r="BU3523" s="5" t="s">
        <v>240</v>
      </c>
      <c r="BV3523" s="5" t="s">
        <v>240</v>
      </c>
      <c r="BW3523" s="6" t="s">
        <v>240</v>
      </c>
      <c r="BX3523" s="5" t="s">
        <v>240</v>
      </c>
      <c r="BY3523" s="5" t="s">
        <v>240</v>
      </c>
      <c r="BZ3523" s="5" t="s">
        <v>240</v>
      </c>
      <c r="CA3523" s="5" t="s">
        <v>259</v>
      </c>
      <c r="CB3523" s="5" t="s">
        <v>240</v>
      </c>
      <c r="CC3523" s="5" t="s">
        <v>240</v>
      </c>
      <c r="CD3523" s="5" t="s">
        <v>240</v>
      </c>
      <c r="CE3523" s="5" t="s">
        <v>240</v>
      </c>
      <c r="CF3523" s="5" t="s">
        <v>240</v>
      </c>
      <c r="CG3523" s="5" t="s">
        <v>617</v>
      </c>
      <c r="CH3523" s="5" t="s">
        <v>305</v>
      </c>
      <c r="CI3523" s="5" t="s">
        <v>240</v>
      </c>
      <c r="CL3523" s="6" t="s">
        <v>261</v>
      </c>
      <c r="CM3523" s="5" t="s">
        <v>262</v>
      </c>
      <c r="CN3523" s="5" t="s">
        <v>263</v>
      </c>
      <c r="CO3523" s="5" t="s">
        <v>264</v>
      </c>
      <c r="CP3523" s="5" t="s">
        <v>240</v>
      </c>
      <c r="CQ3523" s="5">
        <v>0</v>
      </c>
      <c r="CR3523" s="5" t="s">
        <v>735</v>
      </c>
      <c r="CS3523" s="5" t="s">
        <v>307</v>
      </c>
      <c r="CT3523" s="5" t="s">
        <v>307</v>
      </c>
      <c r="CU3523" s="5" t="s">
        <v>260</v>
      </c>
      <c r="CV3523" s="5" t="s">
        <v>240</v>
      </c>
      <c r="CW3523" s="8">
        <f>0</f>
        <v>0</v>
      </c>
      <c r="CX3523" s="7">
        <f>0</f>
        <v>0</v>
      </c>
      <c r="CY3523" s="7">
        <f>0</f>
        <v>0</v>
      </c>
      <c r="DA3523" s="7">
        <f>3652</f>
        <v>3652</v>
      </c>
      <c r="DB3523" s="7" t="s">
        <v>240</v>
      </c>
      <c r="DC3523" s="5" t="s">
        <v>240</v>
      </c>
      <c r="DD3523" s="5" t="s">
        <v>240</v>
      </c>
      <c r="DE3523" s="5" t="s">
        <v>240</v>
      </c>
      <c r="DF3523" s="5" t="s">
        <v>450</v>
      </c>
      <c r="DG3523" s="7">
        <f>0</f>
        <v>0</v>
      </c>
      <c r="DI3523" s="5" t="s">
        <v>737</v>
      </c>
      <c r="DJ3523" s="5" t="s">
        <v>240</v>
      </c>
      <c r="DK3523" s="5" t="s">
        <v>240</v>
      </c>
      <c r="DL3523" s="5" t="s">
        <v>240</v>
      </c>
      <c r="DM3523" s="5" t="s">
        <v>240</v>
      </c>
      <c r="DN3523" s="5" t="s">
        <v>240</v>
      </c>
      <c r="DO3523" s="7" t="s">
        <v>240</v>
      </c>
      <c r="DP3523" s="5" t="s">
        <v>240</v>
      </c>
      <c r="DQ3523" s="5" t="s">
        <v>240</v>
      </c>
      <c r="DR3523" s="5" t="s">
        <v>731</v>
      </c>
      <c r="DS3523" s="5" t="s">
        <v>731</v>
      </c>
      <c r="DT3523" s="5" t="s">
        <v>240</v>
      </c>
      <c r="DU3523" s="5" t="s">
        <v>240</v>
      </c>
      <c r="DV3523" s="5" t="s">
        <v>738</v>
      </c>
      <c r="DW3523" s="5" t="s">
        <v>763</v>
      </c>
      <c r="DX3523" s="5" t="s">
        <v>240</v>
      </c>
      <c r="DY3523" s="5" t="s">
        <v>240</v>
      </c>
      <c r="DZ3523" s="5" t="s">
        <v>240</v>
      </c>
      <c r="EA3523" s="5" t="s">
        <v>240</v>
      </c>
      <c r="EB3523" s="5" t="s">
        <v>240</v>
      </c>
      <c r="EC3523" s="5" t="s">
        <v>240</v>
      </c>
      <c r="ED3523" s="5" t="s">
        <v>240</v>
      </c>
      <c r="EE3523" s="5" t="s">
        <v>240</v>
      </c>
      <c r="EF3523" s="5" t="s">
        <v>240</v>
      </c>
      <c r="EG3523" s="5" t="s">
        <v>240</v>
      </c>
      <c r="EH3523" s="5" t="s">
        <v>240</v>
      </c>
      <c r="EI3523" s="5" t="s">
        <v>240</v>
      </c>
      <c r="EJ3523" s="5" t="s">
        <v>240</v>
      </c>
      <c r="EK3523" s="5" t="s">
        <v>240</v>
      </c>
      <c r="EL3523" s="5" t="s">
        <v>240</v>
      </c>
      <c r="EM3523" s="5" t="s">
        <v>240</v>
      </c>
      <c r="EN3523" s="5" t="s">
        <v>240</v>
      </c>
      <c r="EO3523" s="5" t="s">
        <v>240</v>
      </c>
      <c r="EP3523" s="5" t="s">
        <v>240</v>
      </c>
      <c r="EQ3523" s="5" t="s">
        <v>240</v>
      </c>
      <c r="ER3523" s="5" t="s">
        <v>240</v>
      </c>
      <c r="ES3523" s="5" t="s">
        <v>240</v>
      </c>
      <c r="ET3523" s="5" t="s">
        <v>240</v>
      </c>
      <c r="EU3523" s="5" t="s">
        <v>240</v>
      </c>
      <c r="EV3523" s="5" t="s">
        <v>240</v>
      </c>
      <c r="EW3523" s="5" t="s">
        <v>240</v>
      </c>
      <c r="EX3523" s="5" t="s">
        <v>240</v>
      </c>
      <c r="EY3523" s="5" t="s">
        <v>240</v>
      </c>
      <c r="EZ3523" s="5" t="s">
        <v>240</v>
      </c>
      <c r="FA3523" s="5" t="s">
        <v>240</v>
      </c>
      <c r="FB3523" s="5" t="s">
        <v>240</v>
      </c>
      <c r="FC3523" s="5" t="s">
        <v>240</v>
      </c>
      <c r="FD3523" s="5" t="s">
        <v>240</v>
      </c>
      <c r="FE3523" s="5" t="s">
        <v>240</v>
      </c>
      <c r="FF3523" s="5" t="s">
        <v>240</v>
      </c>
      <c r="FG3523" s="5" t="s">
        <v>240</v>
      </c>
      <c r="FH3523" s="5" t="s">
        <v>240</v>
      </c>
      <c r="FI3523" s="5" t="s">
        <v>240</v>
      </c>
      <c r="FJ3523" s="5" t="s">
        <v>240</v>
      </c>
      <c r="FK3523" s="5" t="s">
        <v>240</v>
      </c>
      <c r="FL3523" s="5" t="s">
        <v>240</v>
      </c>
      <c r="FM3523" s="5" t="s">
        <v>240</v>
      </c>
      <c r="FN3523" s="5" t="s">
        <v>240</v>
      </c>
      <c r="FO3523" s="5" t="s">
        <v>240</v>
      </c>
      <c r="FP3523" s="5" t="s">
        <v>240</v>
      </c>
      <c r="FQ3523" s="5" t="s">
        <v>240</v>
      </c>
      <c r="FR3523" s="5" t="s">
        <v>240</v>
      </c>
      <c r="FS3523" s="5" t="s">
        <v>240</v>
      </c>
      <c r="FT3523" s="5" t="s">
        <v>240</v>
      </c>
      <c r="FU3523" s="5" t="s">
        <v>240</v>
      </c>
      <c r="FV3523" s="5" t="s">
        <v>240</v>
      </c>
      <c r="FW3523" s="5" t="s">
        <v>240</v>
      </c>
      <c r="FX3523" s="5" t="s">
        <v>240</v>
      </c>
      <c r="FY3523" s="5" t="s">
        <v>240</v>
      </c>
      <c r="FZ3523" s="5" t="s">
        <v>240</v>
      </c>
      <c r="GA3523" s="5" t="s">
        <v>240</v>
      </c>
      <c r="GB3523" s="5" t="s">
        <v>240</v>
      </c>
      <c r="GC3523" s="5" t="s">
        <v>240</v>
      </c>
      <c r="GD3523" s="5" t="s">
        <v>240</v>
      </c>
      <c r="GE3523" s="5" t="s">
        <v>240</v>
      </c>
      <c r="GF3523" s="5" t="s">
        <v>240</v>
      </c>
      <c r="GG3523" s="5" t="s">
        <v>240</v>
      </c>
      <c r="GH3523" s="5" t="s">
        <v>240</v>
      </c>
      <c r="GI3523" s="5" t="s">
        <v>240</v>
      </c>
      <c r="GJ3523" s="5" t="s">
        <v>240</v>
      </c>
      <c r="GK3523" s="5" t="s">
        <v>240</v>
      </c>
      <c r="GL3523" s="5" t="s">
        <v>240</v>
      </c>
      <c r="GM3523" s="5" t="s">
        <v>240</v>
      </c>
      <c r="GN3523" s="5" t="s">
        <v>240</v>
      </c>
      <c r="GO3523" s="5" t="s">
        <v>240</v>
      </c>
      <c r="GP3523" s="5" t="s">
        <v>240</v>
      </c>
      <c r="GQ3523" s="5" t="s">
        <v>240</v>
      </c>
      <c r="GR3523" s="5" t="s">
        <v>240</v>
      </c>
      <c r="GS3523" s="5" t="s">
        <v>240</v>
      </c>
      <c r="GT3523" s="5" t="s">
        <v>240</v>
      </c>
      <c r="GU3523" s="5" t="s">
        <v>240</v>
      </c>
      <c r="GV3523" s="5" t="s">
        <v>240</v>
      </c>
      <c r="GW3523" s="5" t="s">
        <v>240</v>
      </c>
      <c r="GX3523" s="5" t="s">
        <v>240</v>
      </c>
      <c r="GY3523" s="5" t="s">
        <v>240</v>
      </c>
      <c r="GZ3523" s="5" t="s">
        <v>240</v>
      </c>
      <c r="HA3523" s="5" t="s">
        <v>240</v>
      </c>
      <c r="HB3523" s="5" t="s">
        <v>240</v>
      </c>
      <c r="HC3523" s="5" t="s">
        <v>240</v>
      </c>
      <c r="HD3523" s="5" t="s">
        <v>240</v>
      </c>
      <c r="HE3523" s="5" t="s">
        <v>240</v>
      </c>
      <c r="HF3523" s="5" t="s">
        <v>240</v>
      </c>
      <c r="HG3523" s="5" t="s">
        <v>240</v>
      </c>
      <c r="HH3523" s="5" t="s">
        <v>240</v>
      </c>
      <c r="HI3523" s="5" t="s">
        <v>240</v>
      </c>
      <c r="HJ3523" s="5" t="s">
        <v>240</v>
      </c>
      <c r="HK3523" s="5" t="s">
        <v>240</v>
      </c>
      <c r="HL3523" s="5" t="s">
        <v>240</v>
      </c>
      <c r="HM3523" s="5" t="s">
        <v>240</v>
      </c>
      <c r="HN3523" s="5" t="s">
        <v>240</v>
      </c>
      <c r="HO3523" s="5" t="s">
        <v>312</v>
      </c>
      <c r="HP3523" s="5" t="s">
        <v>240</v>
      </c>
      <c r="HQ3523" s="5" t="s">
        <v>240</v>
      </c>
      <c r="HR3523" s="5" t="s">
        <v>240</v>
      </c>
      <c r="HS3523" s="5" t="s">
        <v>240</v>
      </c>
      <c r="HT3523" s="5" t="s">
        <v>240</v>
      </c>
      <c r="HU3523" s="5" t="s">
        <v>240</v>
      </c>
      <c r="HV3523" s="5" t="s">
        <v>240</v>
      </c>
      <c r="HW3523" s="5" t="s">
        <v>240</v>
      </c>
      <c r="HX3523" s="5" t="s">
        <v>240</v>
      </c>
      <c r="HY3523" s="5" t="s">
        <v>240</v>
      </c>
      <c r="HZ3523" s="5" t="s">
        <v>240</v>
      </c>
      <c r="IA3523" s="5" t="s">
        <v>240</v>
      </c>
      <c r="IB3523" s="5" t="s">
        <v>240</v>
      </c>
      <c r="IC3523" s="5" t="s">
        <v>240</v>
      </c>
      <c r="ID3523" s="5" t="s">
        <v>240</v>
      </c>
      <c r="IE3523" s="5" t="s">
        <v>240</v>
      </c>
      <c r="IF3523" s="5" t="s">
        <v>240</v>
      </c>
    </row>
    <row r="3524" spans="1:240" x14ac:dyDescent="0.4">
      <c r="A3524" s="5">
        <v>9066</v>
      </c>
      <c r="B3524" s="5">
        <v>1</v>
      </c>
      <c r="C3524" s="5">
        <v>1</v>
      </c>
      <c r="D3524" s="5" t="s">
        <v>723</v>
      </c>
      <c r="E3524" s="5" t="s">
        <v>5060</v>
      </c>
      <c r="F3524" s="5" t="s">
        <v>254</v>
      </c>
      <c r="G3524" s="5" t="s">
        <v>5061</v>
      </c>
      <c r="H3524" s="6" t="s">
        <v>6143</v>
      </c>
      <c r="I3524" s="5" t="s">
        <v>6142</v>
      </c>
      <c r="J3524" s="7">
        <f>1</f>
        <v>1</v>
      </c>
      <c r="K3524" s="5" t="s">
        <v>3682</v>
      </c>
      <c r="L3524" s="7">
        <f>1</f>
        <v>1</v>
      </c>
      <c r="M3524" s="7">
        <f>1</f>
        <v>1</v>
      </c>
      <c r="N3524" s="5" t="s">
        <v>242</v>
      </c>
      <c r="O3524" s="5">
        <v>1</v>
      </c>
      <c r="P3524" s="5" t="s">
        <v>294</v>
      </c>
      <c r="Q3524" s="5" t="s">
        <v>3678</v>
      </c>
      <c r="R3524" s="5" t="s">
        <v>240</v>
      </c>
      <c r="S3524" s="5" t="s">
        <v>240</v>
      </c>
      <c r="T3524" s="5" t="s">
        <v>243</v>
      </c>
      <c r="U3524" s="5" t="s">
        <v>244</v>
      </c>
      <c r="V3524" s="5" t="s">
        <v>240</v>
      </c>
      <c r="W3524" s="5" t="s">
        <v>240</v>
      </c>
      <c r="X3524" s="5" t="s">
        <v>240</v>
      </c>
      <c r="Y3524" s="5" t="s">
        <v>240</v>
      </c>
      <c r="Z3524" s="6" t="s">
        <v>298</v>
      </c>
      <c r="AA3524" s="6" t="s">
        <v>240</v>
      </c>
      <c r="AB3524" s="6" t="s">
        <v>240</v>
      </c>
      <c r="AC3524" s="5" t="s">
        <v>240</v>
      </c>
      <c r="AD3524" s="6" t="s">
        <v>240</v>
      </c>
      <c r="AE3524" s="6" t="s">
        <v>299</v>
      </c>
      <c r="AF3524" s="5" t="s">
        <v>248</v>
      </c>
      <c r="AG3524" s="5" t="s">
        <v>249</v>
      </c>
      <c r="AH3524" s="5" t="s">
        <v>240</v>
      </c>
      <c r="AI3524" s="5" t="s">
        <v>240</v>
      </c>
      <c r="AJ3524" s="5" t="s">
        <v>240</v>
      </c>
      <c r="AK3524" s="5" t="s">
        <v>240</v>
      </c>
      <c r="AL3524" s="5" t="s">
        <v>240</v>
      </c>
      <c r="AM3524" s="5" t="s">
        <v>240</v>
      </c>
      <c r="AN3524" s="5" t="s">
        <v>240</v>
      </c>
      <c r="AO3524" s="5" t="s">
        <v>240</v>
      </c>
      <c r="AP3524" s="6" t="s">
        <v>240</v>
      </c>
      <c r="AQ3524" s="6" t="s">
        <v>240</v>
      </c>
      <c r="AR3524" s="6" t="s">
        <v>240</v>
      </c>
      <c r="AS3524" s="6" t="s">
        <v>240</v>
      </c>
      <c r="AT3524" s="5" t="s">
        <v>240</v>
      </c>
      <c r="AU3524" s="5" t="s">
        <v>729</v>
      </c>
      <c r="AV3524" s="5" t="s">
        <v>729</v>
      </c>
      <c r="AW3524" s="5" t="s">
        <v>251</v>
      </c>
      <c r="AX3524" s="5" t="s">
        <v>252</v>
      </c>
      <c r="AY3524" s="5" t="s">
        <v>253</v>
      </c>
      <c r="AZ3524" s="5" t="s">
        <v>240</v>
      </c>
      <c r="BA3524" s="5" t="s">
        <v>255</v>
      </c>
      <c r="BB3524" s="5" t="s">
        <v>731</v>
      </c>
      <c r="BD3524" s="5" t="s">
        <v>240</v>
      </c>
      <c r="BF3524" s="5" t="s">
        <v>732</v>
      </c>
      <c r="BG3524" s="6" t="s">
        <v>733</v>
      </c>
      <c r="BH3524" s="5" t="s">
        <v>734</v>
      </c>
      <c r="BI3524" s="5" t="s">
        <v>734</v>
      </c>
      <c r="BJ3524" s="5" t="s">
        <v>240</v>
      </c>
      <c r="BK3524" s="7">
        <f>1</f>
        <v>1</v>
      </c>
      <c r="BL3524" s="7">
        <f>1</f>
        <v>1</v>
      </c>
      <c r="BM3524" s="5" t="s">
        <v>258</v>
      </c>
      <c r="BN3524" s="5" t="s">
        <v>259</v>
      </c>
      <c r="BO3524" s="5" t="s">
        <v>240</v>
      </c>
      <c r="BP3524" s="5" t="s">
        <v>240</v>
      </c>
      <c r="BQ3524" s="5" t="s">
        <v>240</v>
      </c>
      <c r="BR3524" s="5" t="s">
        <v>240</v>
      </c>
      <c r="BS3524" s="5" t="s">
        <v>240</v>
      </c>
      <c r="BT3524" s="5" t="s">
        <v>240</v>
      </c>
      <c r="BU3524" s="5" t="s">
        <v>240</v>
      </c>
      <c r="BV3524" s="5" t="s">
        <v>240</v>
      </c>
      <c r="BW3524" s="6" t="s">
        <v>240</v>
      </c>
      <c r="BX3524" s="5" t="s">
        <v>240</v>
      </c>
      <c r="BY3524" s="5" t="s">
        <v>240</v>
      </c>
      <c r="BZ3524" s="5" t="s">
        <v>240</v>
      </c>
      <c r="CA3524" s="5" t="s">
        <v>259</v>
      </c>
      <c r="CB3524" s="5" t="s">
        <v>240</v>
      </c>
      <c r="CC3524" s="5" t="s">
        <v>240</v>
      </c>
      <c r="CD3524" s="5" t="s">
        <v>240</v>
      </c>
      <c r="CE3524" s="5" t="s">
        <v>240</v>
      </c>
      <c r="CF3524" s="5" t="s">
        <v>240</v>
      </c>
      <c r="CG3524" s="5" t="s">
        <v>304</v>
      </c>
      <c r="CH3524" s="5" t="s">
        <v>305</v>
      </c>
      <c r="CI3524" s="5" t="s">
        <v>240</v>
      </c>
      <c r="CK3524" s="5" t="s">
        <v>3681</v>
      </c>
      <c r="CL3524" s="6" t="s">
        <v>261</v>
      </c>
      <c r="CM3524" s="5" t="s">
        <v>262</v>
      </c>
      <c r="CN3524" s="5" t="s">
        <v>263</v>
      </c>
      <c r="CO3524" s="5" t="s">
        <v>264</v>
      </c>
      <c r="CP3524" s="5" t="s">
        <v>240</v>
      </c>
      <c r="CQ3524" s="5">
        <v>0</v>
      </c>
      <c r="CR3524" s="5" t="s">
        <v>735</v>
      </c>
      <c r="CS3524" s="5" t="s">
        <v>307</v>
      </c>
      <c r="CT3524" s="5" t="s">
        <v>307</v>
      </c>
      <c r="CU3524" s="5" t="s">
        <v>260</v>
      </c>
      <c r="CV3524" s="5" t="s">
        <v>612</v>
      </c>
      <c r="CW3524" s="8">
        <f>1</f>
        <v>1</v>
      </c>
      <c r="CX3524" s="7">
        <f>1</f>
        <v>1</v>
      </c>
      <c r="CY3524" s="7">
        <f>0</f>
        <v>0</v>
      </c>
      <c r="DA3524" s="7">
        <f>1</f>
        <v>1</v>
      </c>
      <c r="DB3524" s="7" t="s">
        <v>240</v>
      </c>
      <c r="DC3524" s="5" t="s">
        <v>240</v>
      </c>
      <c r="DD3524" s="5" t="s">
        <v>240</v>
      </c>
      <c r="DE3524" s="5" t="s">
        <v>240</v>
      </c>
      <c r="DF3524" s="5" t="s">
        <v>240</v>
      </c>
      <c r="DG3524" s="7">
        <f>0</f>
        <v>0</v>
      </c>
      <c r="DI3524" s="5" t="s">
        <v>240</v>
      </c>
      <c r="DJ3524" s="5" t="s">
        <v>240</v>
      </c>
      <c r="DK3524" s="5" t="s">
        <v>240</v>
      </c>
      <c r="DL3524" s="5" t="s">
        <v>240</v>
      </c>
      <c r="DM3524" s="5" t="s">
        <v>240</v>
      </c>
      <c r="DN3524" s="5" t="s">
        <v>240</v>
      </c>
      <c r="DO3524" s="7" t="s">
        <v>240</v>
      </c>
      <c r="DP3524" s="5" t="s">
        <v>240</v>
      </c>
      <c r="DQ3524" s="5" t="s">
        <v>240</v>
      </c>
      <c r="DR3524" s="5" t="s">
        <v>731</v>
      </c>
      <c r="DS3524" s="5" t="s">
        <v>731</v>
      </c>
      <c r="DT3524" s="5" t="s">
        <v>240</v>
      </c>
      <c r="DU3524" s="5" t="s">
        <v>240</v>
      </c>
      <c r="DV3524" s="5" t="s">
        <v>3683</v>
      </c>
      <c r="DW3524" s="5" t="s">
        <v>756</v>
      </c>
      <c r="DX3524" s="5" t="s">
        <v>240</v>
      </c>
      <c r="DY3524" s="5" t="s">
        <v>240</v>
      </c>
      <c r="DZ3524" s="5" t="s">
        <v>240</v>
      </c>
      <c r="EA3524" s="5" t="s">
        <v>240</v>
      </c>
      <c r="EB3524" s="5" t="s">
        <v>240</v>
      </c>
      <c r="EC3524" s="5" t="s">
        <v>240</v>
      </c>
      <c r="ED3524" s="5" t="s">
        <v>240</v>
      </c>
      <c r="EE3524" s="5" t="s">
        <v>240</v>
      </c>
      <c r="EF3524" s="5" t="s">
        <v>240</v>
      </c>
      <c r="EG3524" s="5" t="s">
        <v>240</v>
      </c>
      <c r="EH3524" s="5" t="s">
        <v>240</v>
      </c>
      <c r="EI3524" s="5" t="s">
        <v>240</v>
      </c>
      <c r="EJ3524" s="5" t="s">
        <v>240</v>
      </c>
      <c r="EK3524" s="5" t="s">
        <v>240</v>
      </c>
      <c r="EL3524" s="5" t="s">
        <v>240</v>
      </c>
      <c r="EM3524" s="5" t="s">
        <v>240</v>
      </c>
      <c r="EN3524" s="5" t="s">
        <v>240</v>
      </c>
      <c r="EO3524" s="5" t="s">
        <v>240</v>
      </c>
      <c r="EP3524" s="5" t="s">
        <v>240</v>
      </c>
      <c r="EQ3524" s="5" t="s">
        <v>240</v>
      </c>
      <c r="ER3524" s="5" t="s">
        <v>240</v>
      </c>
      <c r="ES3524" s="5" t="s">
        <v>240</v>
      </c>
      <c r="ET3524" s="5" t="s">
        <v>240</v>
      </c>
      <c r="EU3524" s="5" t="s">
        <v>240</v>
      </c>
      <c r="EV3524" s="5" t="s">
        <v>240</v>
      </c>
      <c r="EW3524" s="5" t="s">
        <v>240</v>
      </c>
      <c r="EX3524" s="5" t="s">
        <v>240</v>
      </c>
      <c r="EY3524" s="5" t="s">
        <v>240</v>
      </c>
      <c r="EZ3524" s="5" t="s">
        <v>240</v>
      </c>
      <c r="FA3524" s="5" t="s">
        <v>240</v>
      </c>
      <c r="FB3524" s="5" t="s">
        <v>240</v>
      </c>
      <c r="FC3524" s="5" t="s">
        <v>240</v>
      </c>
      <c r="FD3524" s="5" t="s">
        <v>240</v>
      </c>
      <c r="FE3524" s="5" t="s">
        <v>240</v>
      </c>
      <c r="FF3524" s="5" t="s">
        <v>240</v>
      </c>
      <c r="FG3524" s="5" t="s">
        <v>240</v>
      </c>
      <c r="FH3524" s="5" t="s">
        <v>240</v>
      </c>
      <c r="FI3524" s="5" t="s">
        <v>240</v>
      </c>
      <c r="FJ3524" s="5" t="s">
        <v>240</v>
      </c>
      <c r="FK3524" s="5" t="s">
        <v>240</v>
      </c>
      <c r="FL3524" s="5" t="s">
        <v>240</v>
      </c>
      <c r="FM3524" s="5" t="s">
        <v>240</v>
      </c>
      <c r="FN3524" s="5" t="s">
        <v>240</v>
      </c>
      <c r="FO3524" s="5" t="s">
        <v>240</v>
      </c>
      <c r="FP3524" s="5" t="s">
        <v>240</v>
      </c>
      <c r="FQ3524" s="5" t="s">
        <v>240</v>
      </c>
      <c r="FR3524" s="5" t="s">
        <v>240</v>
      </c>
      <c r="FS3524" s="5" t="s">
        <v>240</v>
      </c>
      <c r="FT3524" s="5" t="s">
        <v>240</v>
      </c>
      <c r="FU3524" s="5" t="s">
        <v>240</v>
      </c>
      <c r="FV3524" s="5" t="s">
        <v>240</v>
      </c>
      <c r="FW3524" s="5" t="s">
        <v>240</v>
      </c>
      <c r="FX3524" s="5" t="s">
        <v>240</v>
      </c>
      <c r="FY3524" s="5" t="s">
        <v>240</v>
      </c>
      <c r="FZ3524" s="5" t="s">
        <v>240</v>
      </c>
      <c r="GA3524" s="5" t="s">
        <v>240</v>
      </c>
      <c r="GB3524" s="5" t="s">
        <v>240</v>
      </c>
      <c r="GC3524" s="5" t="s">
        <v>240</v>
      </c>
      <c r="GD3524" s="5" t="s">
        <v>240</v>
      </c>
      <c r="GE3524" s="5" t="s">
        <v>240</v>
      </c>
      <c r="GF3524" s="5" t="s">
        <v>240</v>
      </c>
      <c r="GG3524" s="5" t="s">
        <v>240</v>
      </c>
      <c r="GH3524" s="5" t="s">
        <v>240</v>
      </c>
      <c r="GI3524" s="5" t="s">
        <v>240</v>
      </c>
      <c r="GJ3524" s="5" t="s">
        <v>240</v>
      </c>
      <c r="GK3524" s="5" t="s">
        <v>240</v>
      </c>
      <c r="GL3524" s="5" t="s">
        <v>240</v>
      </c>
      <c r="GM3524" s="5" t="s">
        <v>240</v>
      </c>
      <c r="GN3524" s="5" t="s">
        <v>240</v>
      </c>
      <c r="GO3524" s="5" t="s">
        <v>240</v>
      </c>
      <c r="GP3524" s="5" t="s">
        <v>240</v>
      </c>
      <c r="GQ3524" s="5" t="s">
        <v>240</v>
      </c>
      <c r="GR3524" s="5" t="s">
        <v>240</v>
      </c>
      <c r="GS3524" s="5" t="s">
        <v>240</v>
      </c>
      <c r="GT3524" s="5" t="s">
        <v>240</v>
      </c>
      <c r="GU3524" s="5" t="s">
        <v>240</v>
      </c>
      <c r="GV3524" s="5" t="s">
        <v>240</v>
      </c>
      <c r="GW3524" s="5" t="s">
        <v>240</v>
      </c>
      <c r="GX3524" s="5" t="s">
        <v>240</v>
      </c>
      <c r="GY3524" s="5" t="s">
        <v>240</v>
      </c>
      <c r="GZ3524" s="5" t="s">
        <v>240</v>
      </c>
      <c r="HA3524" s="5" t="s">
        <v>240</v>
      </c>
      <c r="HB3524" s="5" t="s">
        <v>240</v>
      </c>
      <c r="HC3524" s="5" t="s">
        <v>240</v>
      </c>
      <c r="HD3524" s="5" t="s">
        <v>240</v>
      </c>
      <c r="HE3524" s="5" t="s">
        <v>240</v>
      </c>
      <c r="HF3524" s="5" t="s">
        <v>240</v>
      </c>
      <c r="HG3524" s="5" t="s">
        <v>240</v>
      </c>
      <c r="HH3524" s="5" t="s">
        <v>240</v>
      </c>
      <c r="HI3524" s="5" t="s">
        <v>240</v>
      </c>
      <c r="HJ3524" s="5" t="s">
        <v>240</v>
      </c>
      <c r="HK3524" s="5" t="s">
        <v>240</v>
      </c>
      <c r="HL3524" s="5" t="s">
        <v>240</v>
      </c>
      <c r="HM3524" s="5" t="s">
        <v>240</v>
      </c>
      <c r="HN3524" s="5" t="s">
        <v>240</v>
      </c>
      <c r="HO3524" s="5" t="s">
        <v>312</v>
      </c>
      <c r="HP3524" s="5" t="s">
        <v>240</v>
      </c>
      <c r="HQ3524" s="5" t="s">
        <v>240</v>
      </c>
      <c r="HR3524" s="5" t="s">
        <v>240</v>
      </c>
      <c r="HS3524" s="5" t="s">
        <v>240</v>
      </c>
      <c r="HT3524" s="5" t="s">
        <v>240</v>
      </c>
      <c r="HU3524" s="5" t="s">
        <v>240</v>
      </c>
      <c r="HV3524" s="5" t="s">
        <v>240</v>
      </c>
      <c r="HW3524" s="5" t="s">
        <v>240</v>
      </c>
      <c r="HX3524" s="5" t="s">
        <v>240</v>
      </c>
      <c r="HY3524" s="5" t="s">
        <v>240</v>
      </c>
      <c r="HZ3524" s="5" t="s">
        <v>240</v>
      </c>
      <c r="IA3524" s="5" t="s">
        <v>240</v>
      </c>
      <c r="IB3524" s="5" t="s">
        <v>240</v>
      </c>
      <c r="IC3524" s="5" t="s">
        <v>240</v>
      </c>
      <c r="ID3524" s="5" t="s">
        <v>240</v>
      </c>
      <c r="IE3524" s="5" t="s">
        <v>240</v>
      </c>
      <c r="IF3524" s="5" t="s">
        <v>240</v>
      </c>
    </row>
    <row r="3525" spans="1:240" x14ac:dyDescent="0.4">
      <c r="A3525" s="5">
        <v>9067</v>
      </c>
      <c r="B3525" s="5">
        <v>1</v>
      </c>
      <c r="C3525" s="5">
        <v>1</v>
      </c>
      <c r="D3525" s="5" t="s">
        <v>723</v>
      </c>
      <c r="E3525" s="5" t="s">
        <v>5060</v>
      </c>
      <c r="F3525" s="5" t="s">
        <v>254</v>
      </c>
      <c r="G3525" s="5" t="s">
        <v>5061</v>
      </c>
      <c r="H3525" s="6" t="s">
        <v>5899</v>
      </c>
      <c r="I3525" s="5" t="s">
        <v>5898</v>
      </c>
      <c r="J3525" s="7">
        <f>1</f>
        <v>1</v>
      </c>
      <c r="K3525" s="5" t="s">
        <v>3682</v>
      </c>
      <c r="L3525" s="7">
        <f>1</f>
        <v>1</v>
      </c>
      <c r="M3525" s="7">
        <f>1</f>
        <v>1</v>
      </c>
      <c r="N3525" s="5" t="s">
        <v>242</v>
      </c>
      <c r="O3525" s="5">
        <v>1</v>
      </c>
      <c r="P3525" s="5" t="s">
        <v>294</v>
      </c>
      <c r="Q3525" s="5" t="s">
        <v>613</v>
      </c>
      <c r="R3525" s="5" t="s">
        <v>240</v>
      </c>
      <c r="S3525" s="5" t="s">
        <v>240</v>
      </c>
      <c r="T3525" s="5" t="s">
        <v>243</v>
      </c>
      <c r="U3525" s="5" t="s">
        <v>724</v>
      </c>
      <c r="V3525" s="5" t="s">
        <v>240</v>
      </c>
      <c r="W3525" s="5" t="s">
        <v>240</v>
      </c>
      <c r="X3525" s="5" t="s">
        <v>240</v>
      </c>
      <c r="Y3525" s="5" t="s">
        <v>240</v>
      </c>
      <c r="Z3525" s="6" t="s">
        <v>298</v>
      </c>
      <c r="AA3525" s="6" t="s">
        <v>240</v>
      </c>
      <c r="AB3525" s="6" t="s">
        <v>240</v>
      </c>
      <c r="AC3525" s="5" t="s">
        <v>240</v>
      </c>
      <c r="AD3525" s="6" t="s">
        <v>240</v>
      </c>
      <c r="AE3525" s="6" t="s">
        <v>299</v>
      </c>
      <c r="AF3525" s="5" t="s">
        <v>727</v>
      </c>
      <c r="AG3525" s="5" t="s">
        <v>260</v>
      </c>
      <c r="AH3525" s="5" t="s">
        <v>240</v>
      </c>
      <c r="AI3525" s="5" t="s">
        <v>240</v>
      </c>
      <c r="AJ3525" s="5" t="s">
        <v>240</v>
      </c>
      <c r="AK3525" s="5" t="s">
        <v>240</v>
      </c>
      <c r="AL3525" s="5" t="s">
        <v>240</v>
      </c>
      <c r="AM3525" s="5" t="s">
        <v>240</v>
      </c>
      <c r="AN3525" s="5" t="s">
        <v>240</v>
      </c>
      <c r="AO3525" s="5" t="s">
        <v>240</v>
      </c>
      <c r="AP3525" s="6" t="s">
        <v>240</v>
      </c>
      <c r="AQ3525" s="6" t="s">
        <v>240</v>
      </c>
      <c r="AR3525" s="6" t="s">
        <v>240</v>
      </c>
      <c r="AS3525" s="6" t="s">
        <v>240</v>
      </c>
      <c r="AT3525" s="5" t="s">
        <v>240</v>
      </c>
      <c r="AU3525" s="5" t="s">
        <v>729</v>
      </c>
      <c r="AV3525" s="5" t="s">
        <v>729</v>
      </c>
      <c r="AW3525" s="5" t="s">
        <v>251</v>
      </c>
      <c r="AX3525" s="5" t="s">
        <v>252</v>
      </c>
      <c r="AY3525" s="5" t="s">
        <v>253</v>
      </c>
      <c r="AZ3525" s="5" t="s">
        <v>240</v>
      </c>
      <c r="BA3525" s="5" t="s">
        <v>255</v>
      </c>
      <c r="BB3525" s="5" t="s">
        <v>731</v>
      </c>
      <c r="BD3525" s="5" t="s">
        <v>240</v>
      </c>
      <c r="BF3525" s="5" t="s">
        <v>732</v>
      </c>
      <c r="BG3525" s="6" t="s">
        <v>733</v>
      </c>
      <c r="BH3525" s="5" t="s">
        <v>734</v>
      </c>
      <c r="BI3525" s="5" t="s">
        <v>734</v>
      </c>
      <c r="BJ3525" s="5" t="s">
        <v>240</v>
      </c>
      <c r="BK3525" s="8">
        <f>33</f>
        <v>33</v>
      </c>
      <c r="BL3525" s="7">
        <f>0</f>
        <v>0</v>
      </c>
      <c r="BM3525" s="5" t="s">
        <v>258</v>
      </c>
      <c r="BN3525" s="5" t="s">
        <v>259</v>
      </c>
      <c r="BO3525" s="5" t="s">
        <v>240</v>
      </c>
      <c r="BP3525" s="5" t="s">
        <v>240</v>
      </c>
      <c r="BQ3525" s="5" t="s">
        <v>240</v>
      </c>
      <c r="BR3525" s="5" t="s">
        <v>240</v>
      </c>
      <c r="BS3525" s="5" t="s">
        <v>240</v>
      </c>
      <c r="BT3525" s="5" t="s">
        <v>240</v>
      </c>
      <c r="BU3525" s="5" t="s">
        <v>240</v>
      </c>
      <c r="BV3525" s="5" t="s">
        <v>240</v>
      </c>
      <c r="BW3525" s="6" t="s">
        <v>240</v>
      </c>
      <c r="BX3525" s="5" t="s">
        <v>240</v>
      </c>
      <c r="BY3525" s="5" t="s">
        <v>240</v>
      </c>
      <c r="BZ3525" s="5" t="s">
        <v>240</v>
      </c>
      <c r="CA3525" s="5" t="s">
        <v>259</v>
      </c>
      <c r="CB3525" s="5" t="s">
        <v>240</v>
      </c>
      <c r="CC3525" s="5" t="s">
        <v>240</v>
      </c>
      <c r="CD3525" s="5" t="s">
        <v>240</v>
      </c>
      <c r="CE3525" s="5" t="s">
        <v>240</v>
      </c>
      <c r="CF3525" s="5" t="s">
        <v>240</v>
      </c>
      <c r="CG3525" s="5" t="s">
        <v>617</v>
      </c>
      <c r="CH3525" s="5" t="s">
        <v>305</v>
      </c>
      <c r="CI3525" s="5" t="s">
        <v>240</v>
      </c>
      <c r="CL3525" s="6" t="s">
        <v>261</v>
      </c>
      <c r="CM3525" s="5" t="s">
        <v>262</v>
      </c>
      <c r="CN3525" s="5" t="s">
        <v>263</v>
      </c>
      <c r="CO3525" s="5" t="s">
        <v>264</v>
      </c>
      <c r="CP3525" s="5" t="s">
        <v>240</v>
      </c>
      <c r="CQ3525" s="5">
        <v>0</v>
      </c>
      <c r="CR3525" s="5" t="s">
        <v>735</v>
      </c>
      <c r="CS3525" s="5" t="s">
        <v>307</v>
      </c>
      <c r="CT3525" s="5" t="s">
        <v>307</v>
      </c>
      <c r="CU3525" s="5" t="s">
        <v>260</v>
      </c>
      <c r="CV3525" s="5" t="s">
        <v>240</v>
      </c>
      <c r="CW3525" s="8">
        <f>0</f>
        <v>0</v>
      </c>
      <c r="CX3525" s="7">
        <f>0</f>
        <v>0</v>
      </c>
      <c r="CY3525" s="7">
        <f>0</f>
        <v>0</v>
      </c>
      <c r="DA3525" s="7">
        <f>363</f>
        <v>363</v>
      </c>
      <c r="DB3525" s="7" t="s">
        <v>240</v>
      </c>
      <c r="DC3525" s="5" t="s">
        <v>240</v>
      </c>
      <c r="DD3525" s="5" t="s">
        <v>240</v>
      </c>
      <c r="DE3525" s="5" t="s">
        <v>240</v>
      </c>
      <c r="DF3525" s="5" t="s">
        <v>450</v>
      </c>
      <c r="DG3525" s="7">
        <f>0</f>
        <v>0</v>
      </c>
      <c r="DI3525" s="5" t="s">
        <v>737</v>
      </c>
      <c r="DJ3525" s="5" t="s">
        <v>240</v>
      </c>
      <c r="DK3525" s="5" t="s">
        <v>240</v>
      </c>
      <c r="DL3525" s="5" t="s">
        <v>240</v>
      </c>
      <c r="DM3525" s="5" t="s">
        <v>240</v>
      </c>
      <c r="DN3525" s="5" t="s">
        <v>240</v>
      </c>
      <c r="DO3525" s="7" t="s">
        <v>240</v>
      </c>
      <c r="DP3525" s="5" t="s">
        <v>240</v>
      </c>
      <c r="DQ3525" s="5" t="s">
        <v>240</v>
      </c>
      <c r="DR3525" s="5" t="s">
        <v>731</v>
      </c>
      <c r="DS3525" s="5" t="s">
        <v>731</v>
      </c>
      <c r="DT3525" s="5" t="s">
        <v>240</v>
      </c>
      <c r="DU3525" s="5" t="s">
        <v>240</v>
      </c>
      <c r="DV3525" s="5" t="s">
        <v>738</v>
      </c>
      <c r="DW3525" s="5" t="s">
        <v>520</v>
      </c>
      <c r="DX3525" s="5" t="s">
        <v>240</v>
      </c>
      <c r="DY3525" s="5" t="s">
        <v>240</v>
      </c>
      <c r="DZ3525" s="5" t="s">
        <v>240</v>
      </c>
      <c r="EA3525" s="5" t="s">
        <v>240</v>
      </c>
      <c r="EB3525" s="5" t="s">
        <v>240</v>
      </c>
      <c r="EC3525" s="5" t="s">
        <v>240</v>
      </c>
      <c r="ED3525" s="5" t="s">
        <v>240</v>
      </c>
      <c r="EE3525" s="5" t="s">
        <v>240</v>
      </c>
      <c r="EF3525" s="5" t="s">
        <v>240</v>
      </c>
      <c r="EG3525" s="5" t="s">
        <v>240</v>
      </c>
      <c r="EH3525" s="5" t="s">
        <v>240</v>
      </c>
      <c r="EI3525" s="5" t="s">
        <v>240</v>
      </c>
      <c r="EJ3525" s="5" t="s">
        <v>240</v>
      </c>
      <c r="EK3525" s="5" t="s">
        <v>240</v>
      </c>
      <c r="EL3525" s="5" t="s">
        <v>240</v>
      </c>
      <c r="EM3525" s="5" t="s">
        <v>240</v>
      </c>
      <c r="EN3525" s="5" t="s">
        <v>240</v>
      </c>
      <c r="EO3525" s="5" t="s">
        <v>240</v>
      </c>
      <c r="EP3525" s="5" t="s">
        <v>240</v>
      </c>
      <c r="EQ3525" s="5" t="s">
        <v>240</v>
      </c>
      <c r="ER3525" s="5" t="s">
        <v>240</v>
      </c>
      <c r="ES3525" s="5" t="s">
        <v>240</v>
      </c>
      <c r="ET3525" s="5" t="s">
        <v>240</v>
      </c>
      <c r="EU3525" s="5" t="s">
        <v>240</v>
      </c>
      <c r="EV3525" s="5" t="s">
        <v>240</v>
      </c>
      <c r="EW3525" s="5" t="s">
        <v>240</v>
      </c>
      <c r="EX3525" s="5" t="s">
        <v>240</v>
      </c>
      <c r="EY3525" s="5" t="s">
        <v>240</v>
      </c>
      <c r="EZ3525" s="5" t="s">
        <v>240</v>
      </c>
      <c r="FA3525" s="5" t="s">
        <v>240</v>
      </c>
      <c r="FB3525" s="5" t="s">
        <v>240</v>
      </c>
      <c r="FC3525" s="5" t="s">
        <v>240</v>
      </c>
      <c r="FD3525" s="5" t="s">
        <v>240</v>
      </c>
      <c r="FE3525" s="5" t="s">
        <v>240</v>
      </c>
      <c r="FF3525" s="5" t="s">
        <v>240</v>
      </c>
      <c r="FG3525" s="5" t="s">
        <v>240</v>
      </c>
      <c r="FH3525" s="5" t="s">
        <v>240</v>
      </c>
      <c r="FI3525" s="5" t="s">
        <v>240</v>
      </c>
      <c r="FJ3525" s="5" t="s">
        <v>240</v>
      </c>
      <c r="FK3525" s="5" t="s">
        <v>240</v>
      </c>
      <c r="FL3525" s="5" t="s">
        <v>240</v>
      </c>
      <c r="FM3525" s="5" t="s">
        <v>240</v>
      </c>
      <c r="FN3525" s="5" t="s">
        <v>240</v>
      </c>
      <c r="FO3525" s="5" t="s">
        <v>240</v>
      </c>
      <c r="FP3525" s="5" t="s">
        <v>240</v>
      </c>
      <c r="FQ3525" s="5" t="s">
        <v>240</v>
      </c>
      <c r="FR3525" s="5" t="s">
        <v>240</v>
      </c>
      <c r="FS3525" s="5" t="s">
        <v>240</v>
      </c>
      <c r="FT3525" s="5" t="s">
        <v>240</v>
      </c>
      <c r="FU3525" s="5" t="s">
        <v>240</v>
      </c>
      <c r="FV3525" s="5" t="s">
        <v>240</v>
      </c>
      <c r="FW3525" s="5" t="s">
        <v>240</v>
      </c>
      <c r="FX3525" s="5" t="s">
        <v>240</v>
      </c>
      <c r="FY3525" s="5" t="s">
        <v>240</v>
      </c>
      <c r="FZ3525" s="5" t="s">
        <v>240</v>
      </c>
      <c r="GA3525" s="5" t="s">
        <v>240</v>
      </c>
      <c r="GB3525" s="5" t="s">
        <v>240</v>
      </c>
      <c r="GC3525" s="5" t="s">
        <v>240</v>
      </c>
      <c r="GD3525" s="5" t="s">
        <v>240</v>
      </c>
      <c r="GE3525" s="5" t="s">
        <v>240</v>
      </c>
      <c r="GF3525" s="5" t="s">
        <v>240</v>
      </c>
      <c r="GG3525" s="5" t="s">
        <v>240</v>
      </c>
      <c r="GH3525" s="5" t="s">
        <v>240</v>
      </c>
      <c r="GI3525" s="5" t="s">
        <v>240</v>
      </c>
      <c r="GJ3525" s="5" t="s">
        <v>240</v>
      </c>
      <c r="GK3525" s="5" t="s">
        <v>240</v>
      </c>
      <c r="GL3525" s="5" t="s">
        <v>240</v>
      </c>
      <c r="GM3525" s="5" t="s">
        <v>240</v>
      </c>
      <c r="GN3525" s="5" t="s">
        <v>240</v>
      </c>
      <c r="GO3525" s="5" t="s">
        <v>240</v>
      </c>
      <c r="GP3525" s="5" t="s">
        <v>240</v>
      </c>
      <c r="GQ3525" s="5" t="s">
        <v>240</v>
      </c>
      <c r="GR3525" s="5" t="s">
        <v>240</v>
      </c>
      <c r="GS3525" s="5" t="s">
        <v>240</v>
      </c>
      <c r="GT3525" s="5" t="s">
        <v>240</v>
      </c>
      <c r="GU3525" s="5" t="s">
        <v>240</v>
      </c>
      <c r="GV3525" s="5" t="s">
        <v>240</v>
      </c>
      <c r="GW3525" s="5" t="s">
        <v>240</v>
      </c>
      <c r="GX3525" s="5" t="s">
        <v>240</v>
      </c>
      <c r="GY3525" s="5" t="s">
        <v>240</v>
      </c>
      <c r="GZ3525" s="5" t="s">
        <v>240</v>
      </c>
      <c r="HA3525" s="5" t="s">
        <v>240</v>
      </c>
      <c r="HB3525" s="5" t="s">
        <v>240</v>
      </c>
      <c r="HC3525" s="5" t="s">
        <v>240</v>
      </c>
      <c r="HD3525" s="5" t="s">
        <v>240</v>
      </c>
      <c r="HE3525" s="5" t="s">
        <v>240</v>
      </c>
      <c r="HF3525" s="5" t="s">
        <v>240</v>
      </c>
      <c r="HG3525" s="5" t="s">
        <v>240</v>
      </c>
      <c r="HH3525" s="5" t="s">
        <v>240</v>
      </c>
      <c r="HI3525" s="5" t="s">
        <v>240</v>
      </c>
      <c r="HJ3525" s="5" t="s">
        <v>240</v>
      </c>
      <c r="HK3525" s="5" t="s">
        <v>240</v>
      </c>
      <c r="HL3525" s="5" t="s">
        <v>240</v>
      </c>
      <c r="HM3525" s="5" t="s">
        <v>240</v>
      </c>
      <c r="HN3525" s="5" t="s">
        <v>240</v>
      </c>
      <c r="HO3525" s="5" t="s">
        <v>620</v>
      </c>
      <c r="HP3525" s="5" t="s">
        <v>240</v>
      </c>
      <c r="HQ3525" s="5" t="s">
        <v>240</v>
      </c>
      <c r="HR3525" s="5" t="s">
        <v>240</v>
      </c>
      <c r="HS3525" s="5" t="s">
        <v>240</v>
      </c>
      <c r="HT3525" s="5" t="s">
        <v>240</v>
      </c>
      <c r="HU3525" s="5" t="s">
        <v>240</v>
      </c>
      <c r="HV3525" s="5" t="s">
        <v>240</v>
      </c>
      <c r="HW3525" s="5" t="s">
        <v>240</v>
      </c>
      <c r="HX3525" s="5" t="s">
        <v>240</v>
      </c>
      <c r="HY3525" s="5" t="s">
        <v>240</v>
      </c>
      <c r="HZ3525" s="5" t="s">
        <v>240</v>
      </c>
      <c r="IA3525" s="5" t="s">
        <v>240</v>
      </c>
      <c r="IB3525" s="5" t="s">
        <v>240</v>
      </c>
      <c r="IC3525" s="5" t="s">
        <v>240</v>
      </c>
      <c r="ID3525" s="5" t="s">
        <v>240</v>
      </c>
      <c r="IE3525" s="5" t="s">
        <v>240</v>
      </c>
      <c r="IF3525" s="5" t="s">
        <v>240</v>
      </c>
    </row>
    <row r="3526" spans="1:240" x14ac:dyDescent="0.4">
      <c r="A3526" s="5">
        <v>9068</v>
      </c>
      <c r="B3526" s="5">
        <v>1</v>
      </c>
      <c r="C3526" s="5">
        <v>1</v>
      </c>
      <c r="D3526" s="5" t="s">
        <v>723</v>
      </c>
      <c r="E3526" s="5" t="s">
        <v>5060</v>
      </c>
      <c r="F3526" s="5" t="s">
        <v>254</v>
      </c>
      <c r="G3526" s="5" t="s">
        <v>5061</v>
      </c>
      <c r="H3526" s="6" t="s">
        <v>5897</v>
      </c>
      <c r="I3526" s="5" t="s">
        <v>5896</v>
      </c>
      <c r="J3526" s="7">
        <f>1</f>
        <v>1</v>
      </c>
      <c r="K3526" s="5" t="s">
        <v>3682</v>
      </c>
      <c r="L3526" s="7">
        <f>1</f>
        <v>1</v>
      </c>
      <c r="M3526" s="7">
        <f>1</f>
        <v>1</v>
      </c>
      <c r="N3526" s="5" t="s">
        <v>242</v>
      </c>
      <c r="O3526" s="5">
        <v>1</v>
      </c>
      <c r="P3526" s="5" t="s">
        <v>294</v>
      </c>
      <c r="Q3526" s="5" t="s">
        <v>3678</v>
      </c>
      <c r="R3526" s="5" t="s">
        <v>240</v>
      </c>
      <c r="S3526" s="5" t="s">
        <v>240</v>
      </c>
      <c r="T3526" s="5" t="s">
        <v>243</v>
      </c>
      <c r="U3526" s="5" t="s">
        <v>244</v>
      </c>
      <c r="V3526" s="5" t="s">
        <v>240</v>
      </c>
      <c r="W3526" s="5" t="s">
        <v>240</v>
      </c>
      <c r="X3526" s="5" t="s">
        <v>240</v>
      </c>
      <c r="Y3526" s="5" t="s">
        <v>240</v>
      </c>
      <c r="Z3526" s="6" t="s">
        <v>298</v>
      </c>
      <c r="AA3526" s="6" t="s">
        <v>240</v>
      </c>
      <c r="AB3526" s="6" t="s">
        <v>240</v>
      </c>
      <c r="AC3526" s="5" t="s">
        <v>240</v>
      </c>
      <c r="AD3526" s="6" t="s">
        <v>240</v>
      </c>
      <c r="AE3526" s="6" t="s">
        <v>299</v>
      </c>
      <c r="AF3526" s="5" t="s">
        <v>248</v>
      </c>
      <c r="AG3526" s="5" t="s">
        <v>249</v>
      </c>
      <c r="AH3526" s="5" t="s">
        <v>240</v>
      </c>
      <c r="AI3526" s="5" t="s">
        <v>240</v>
      </c>
      <c r="AJ3526" s="5" t="s">
        <v>240</v>
      </c>
      <c r="AK3526" s="5" t="s">
        <v>240</v>
      </c>
      <c r="AL3526" s="5" t="s">
        <v>240</v>
      </c>
      <c r="AM3526" s="5" t="s">
        <v>240</v>
      </c>
      <c r="AN3526" s="5" t="s">
        <v>240</v>
      </c>
      <c r="AO3526" s="5" t="s">
        <v>240</v>
      </c>
      <c r="AP3526" s="6" t="s">
        <v>240</v>
      </c>
      <c r="AQ3526" s="6" t="s">
        <v>240</v>
      </c>
      <c r="AR3526" s="6" t="s">
        <v>240</v>
      </c>
      <c r="AS3526" s="6" t="s">
        <v>240</v>
      </c>
      <c r="AT3526" s="5" t="s">
        <v>240</v>
      </c>
      <c r="AU3526" s="5" t="s">
        <v>729</v>
      </c>
      <c r="AV3526" s="5" t="s">
        <v>729</v>
      </c>
      <c r="AW3526" s="5" t="s">
        <v>251</v>
      </c>
      <c r="AX3526" s="5" t="s">
        <v>252</v>
      </c>
      <c r="AY3526" s="5" t="s">
        <v>253</v>
      </c>
      <c r="AZ3526" s="5" t="s">
        <v>240</v>
      </c>
      <c r="BA3526" s="5" t="s">
        <v>255</v>
      </c>
      <c r="BB3526" s="5" t="s">
        <v>731</v>
      </c>
      <c r="BD3526" s="5" t="s">
        <v>240</v>
      </c>
      <c r="BF3526" s="5" t="s">
        <v>732</v>
      </c>
      <c r="BG3526" s="6" t="s">
        <v>733</v>
      </c>
      <c r="BH3526" s="5" t="s">
        <v>734</v>
      </c>
      <c r="BI3526" s="5" t="s">
        <v>734</v>
      </c>
      <c r="BJ3526" s="5" t="s">
        <v>240</v>
      </c>
      <c r="BK3526" s="7">
        <f>1</f>
        <v>1</v>
      </c>
      <c r="BL3526" s="7">
        <f>1</f>
        <v>1</v>
      </c>
      <c r="BM3526" s="5" t="s">
        <v>258</v>
      </c>
      <c r="BN3526" s="5" t="s">
        <v>259</v>
      </c>
      <c r="BO3526" s="5" t="s">
        <v>240</v>
      </c>
      <c r="BP3526" s="5" t="s">
        <v>240</v>
      </c>
      <c r="BQ3526" s="5" t="s">
        <v>240</v>
      </c>
      <c r="BR3526" s="5" t="s">
        <v>240</v>
      </c>
      <c r="BS3526" s="5" t="s">
        <v>240</v>
      </c>
      <c r="BT3526" s="5" t="s">
        <v>240</v>
      </c>
      <c r="BU3526" s="5" t="s">
        <v>240</v>
      </c>
      <c r="BV3526" s="5" t="s">
        <v>240</v>
      </c>
      <c r="BW3526" s="6" t="s">
        <v>240</v>
      </c>
      <c r="BX3526" s="5" t="s">
        <v>240</v>
      </c>
      <c r="BY3526" s="5" t="s">
        <v>240</v>
      </c>
      <c r="BZ3526" s="5" t="s">
        <v>240</v>
      </c>
      <c r="CA3526" s="5" t="s">
        <v>259</v>
      </c>
      <c r="CB3526" s="5" t="s">
        <v>240</v>
      </c>
      <c r="CC3526" s="5" t="s">
        <v>240</v>
      </c>
      <c r="CD3526" s="5" t="s">
        <v>240</v>
      </c>
      <c r="CE3526" s="5" t="s">
        <v>240</v>
      </c>
      <c r="CF3526" s="5" t="s">
        <v>240</v>
      </c>
      <c r="CG3526" s="5" t="s">
        <v>304</v>
      </c>
      <c r="CH3526" s="5" t="s">
        <v>305</v>
      </c>
      <c r="CI3526" s="5" t="s">
        <v>240</v>
      </c>
      <c r="CK3526" s="5" t="s">
        <v>3681</v>
      </c>
      <c r="CL3526" s="6" t="s">
        <v>261</v>
      </c>
      <c r="CM3526" s="5" t="s">
        <v>262</v>
      </c>
      <c r="CN3526" s="5" t="s">
        <v>263</v>
      </c>
      <c r="CO3526" s="5" t="s">
        <v>264</v>
      </c>
      <c r="CP3526" s="5" t="s">
        <v>240</v>
      </c>
      <c r="CQ3526" s="5">
        <v>0</v>
      </c>
      <c r="CR3526" s="5" t="s">
        <v>735</v>
      </c>
      <c r="CS3526" s="5" t="s">
        <v>307</v>
      </c>
      <c r="CT3526" s="5" t="s">
        <v>307</v>
      </c>
      <c r="CU3526" s="5" t="s">
        <v>260</v>
      </c>
      <c r="CV3526" s="5" t="s">
        <v>612</v>
      </c>
      <c r="CW3526" s="8">
        <f>1</f>
        <v>1</v>
      </c>
      <c r="CX3526" s="7">
        <f>1</f>
        <v>1</v>
      </c>
      <c r="CY3526" s="7">
        <f>0</f>
        <v>0</v>
      </c>
      <c r="DA3526" s="7">
        <f>1</f>
        <v>1</v>
      </c>
      <c r="DB3526" s="7" t="s">
        <v>240</v>
      </c>
      <c r="DC3526" s="5" t="s">
        <v>240</v>
      </c>
      <c r="DD3526" s="5" t="s">
        <v>240</v>
      </c>
      <c r="DE3526" s="5" t="s">
        <v>240</v>
      </c>
      <c r="DF3526" s="5" t="s">
        <v>240</v>
      </c>
      <c r="DG3526" s="7">
        <f>0</f>
        <v>0</v>
      </c>
      <c r="DI3526" s="5" t="s">
        <v>240</v>
      </c>
      <c r="DJ3526" s="5" t="s">
        <v>240</v>
      </c>
      <c r="DK3526" s="5" t="s">
        <v>240</v>
      </c>
      <c r="DL3526" s="5" t="s">
        <v>240</v>
      </c>
      <c r="DM3526" s="5" t="s">
        <v>240</v>
      </c>
      <c r="DN3526" s="5" t="s">
        <v>240</v>
      </c>
      <c r="DO3526" s="7" t="s">
        <v>240</v>
      </c>
      <c r="DP3526" s="5" t="s">
        <v>240</v>
      </c>
      <c r="DQ3526" s="5" t="s">
        <v>240</v>
      </c>
      <c r="DR3526" s="5" t="s">
        <v>731</v>
      </c>
      <c r="DS3526" s="5" t="s">
        <v>731</v>
      </c>
      <c r="DT3526" s="5" t="s">
        <v>240</v>
      </c>
      <c r="DU3526" s="5" t="s">
        <v>240</v>
      </c>
      <c r="DV3526" s="5" t="s">
        <v>3683</v>
      </c>
      <c r="DW3526" s="5" t="s">
        <v>707</v>
      </c>
      <c r="DX3526" s="5" t="s">
        <v>240</v>
      </c>
      <c r="DY3526" s="5" t="s">
        <v>240</v>
      </c>
      <c r="DZ3526" s="5" t="s">
        <v>240</v>
      </c>
      <c r="EA3526" s="5" t="s">
        <v>240</v>
      </c>
      <c r="EB3526" s="5" t="s">
        <v>240</v>
      </c>
      <c r="EC3526" s="5" t="s">
        <v>240</v>
      </c>
      <c r="ED3526" s="5" t="s">
        <v>240</v>
      </c>
      <c r="EE3526" s="5" t="s">
        <v>240</v>
      </c>
      <c r="EF3526" s="5" t="s">
        <v>240</v>
      </c>
      <c r="EG3526" s="5" t="s">
        <v>240</v>
      </c>
      <c r="EH3526" s="5" t="s">
        <v>240</v>
      </c>
      <c r="EI3526" s="5" t="s">
        <v>240</v>
      </c>
      <c r="EJ3526" s="5" t="s">
        <v>240</v>
      </c>
      <c r="EK3526" s="5" t="s">
        <v>240</v>
      </c>
      <c r="EL3526" s="5" t="s">
        <v>240</v>
      </c>
      <c r="EM3526" s="5" t="s">
        <v>240</v>
      </c>
      <c r="EN3526" s="5" t="s">
        <v>240</v>
      </c>
      <c r="EO3526" s="5" t="s">
        <v>240</v>
      </c>
      <c r="EP3526" s="5" t="s">
        <v>240</v>
      </c>
      <c r="EQ3526" s="5" t="s">
        <v>240</v>
      </c>
      <c r="ER3526" s="5" t="s">
        <v>240</v>
      </c>
      <c r="ES3526" s="5" t="s">
        <v>240</v>
      </c>
      <c r="ET3526" s="5" t="s">
        <v>240</v>
      </c>
      <c r="EU3526" s="5" t="s">
        <v>240</v>
      </c>
      <c r="EV3526" s="5" t="s">
        <v>240</v>
      </c>
      <c r="EW3526" s="5" t="s">
        <v>240</v>
      </c>
      <c r="EX3526" s="5" t="s">
        <v>240</v>
      </c>
      <c r="EY3526" s="5" t="s">
        <v>240</v>
      </c>
      <c r="EZ3526" s="5" t="s">
        <v>240</v>
      </c>
      <c r="FA3526" s="5" t="s">
        <v>240</v>
      </c>
      <c r="FB3526" s="5" t="s">
        <v>240</v>
      </c>
      <c r="FC3526" s="5" t="s">
        <v>240</v>
      </c>
      <c r="FD3526" s="5" t="s">
        <v>240</v>
      </c>
      <c r="FE3526" s="5" t="s">
        <v>240</v>
      </c>
      <c r="FF3526" s="5" t="s">
        <v>240</v>
      </c>
      <c r="FG3526" s="5" t="s">
        <v>240</v>
      </c>
      <c r="FH3526" s="5" t="s">
        <v>240</v>
      </c>
      <c r="FI3526" s="5" t="s">
        <v>240</v>
      </c>
      <c r="FJ3526" s="5" t="s">
        <v>240</v>
      </c>
      <c r="FK3526" s="5" t="s">
        <v>240</v>
      </c>
      <c r="FL3526" s="5" t="s">
        <v>240</v>
      </c>
      <c r="FM3526" s="5" t="s">
        <v>240</v>
      </c>
      <c r="FN3526" s="5" t="s">
        <v>240</v>
      </c>
      <c r="FO3526" s="5" t="s">
        <v>240</v>
      </c>
      <c r="FP3526" s="5" t="s">
        <v>240</v>
      </c>
      <c r="FQ3526" s="5" t="s">
        <v>240</v>
      </c>
      <c r="FR3526" s="5" t="s">
        <v>240</v>
      </c>
      <c r="FS3526" s="5" t="s">
        <v>240</v>
      </c>
      <c r="FT3526" s="5" t="s">
        <v>240</v>
      </c>
      <c r="FU3526" s="5" t="s">
        <v>240</v>
      </c>
      <c r="FV3526" s="5" t="s">
        <v>240</v>
      </c>
      <c r="FW3526" s="5" t="s">
        <v>240</v>
      </c>
      <c r="FX3526" s="5" t="s">
        <v>240</v>
      </c>
      <c r="FY3526" s="5" t="s">
        <v>240</v>
      </c>
      <c r="FZ3526" s="5" t="s">
        <v>240</v>
      </c>
      <c r="GA3526" s="5" t="s">
        <v>240</v>
      </c>
      <c r="GB3526" s="5" t="s">
        <v>240</v>
      </c>
      <c r="GC3526" s="5" t="s">
        <v>240</v>
      </c>
      <c r="GD3526" s="5" t="s">
        <v>240</v>
      </c>
      <c r="GE3526" s="5" t="s">
        <v>240</v>
      </c>
      <c r="GF3526" s="5" t="s">
        <v>240</v>
      </c>
      <c r="GG3526" s="5" t="s">
        <v>240</v>
      </c>
      <c r="GH3526" s="5" t="s">
        <v>240</v>
      </c>
      <c r="GI3526" s="5" t="s">
        <v>240</v>
      </c>
      <c r="GJ3526" s="5" t="s">
        <v>240</v>
      </c>
      <c r="GK3526" s="5" t="s">
        <v>240</v>
      </c>
      <c r="GL3526" s="5" t="s">
        <v>240</v>
      </c>
      <c r="GM3526" s="5" t="s">
        <v>240</v>
      </c>
      <c r="GN3526" s="5" t="s">
        <v>240</v>
      </c>
      <c r="GO3526" s="5" t="s">
        <v>240</v>
      </c>
      <c r="GP3526" s="5" t="s">
        <v>240</v>
      </c>
      <c r="GQ3526" s="5" t="s">
        <v>240</v>
      </c>
      <c r="GR3526" s="5" t="s">
        <v>240</v>
      </c>
      <c r="GS3526" s="5" t="s">
        <v>240</v>
      </c>
      <c r="GT3526" s="5" t="s">
        <v>240</v>
      </c>
      <c r="GU3526" s="5" t="s">
        <v>240</v>
      </c>
      <c r="GV3526" s="5" t="s">
        <v>240</v>
      </c>
      <c r="GW3526" s="5" t="s">
        <v>240</v>
      </c>
      <c r="GX3526" s="5" t="s">
        <v>240</v>
      </c>
      <c r="GY3526" s="5" t="s">
        <v>240</v>
      </c>
      <c r="GZ3526" s="5" t="s">
        <v>240</v>
      </c>
      <c r="HA3526" s="5" t="s">
        <v>240</v>
      </c>
      <c r="HB3526" s="5" t="s">
        <v>240</v>
      </c>
      <c r="HC3526" s="5" t="s">
        <v>240</v>
      </c>
      <c r="HD3526" s="5" t="s">
        <v>240</v>
      </c>
      <c r="HE3526" s="5" t="s">
        <v>240</v>
      </c>
      <c r="HF3526" s="5" t="s">
        <v>240</v>
      </c>
      <c r="HG3526" s="5" t="s">
        <v>240</v>
      </c>
      <c r="HH3526" s="5" t="s">
        <v>240</v>
      </c>
      <c r="HI3526" s="5" t="s">
        <v>240</v>
      </c>
      <c r="HJ3526" s="5" t="s">
        <v>240</v>
      </c>
      <c r="HK3526" s="5" t="s">
        <v>240</v>
      </c>
      <c r="HL3526" s="5" t="s">
        <v>240</v>
      </c>
      <c r="HM3526" s="5" t="s">
        <v>240</v>
      </c>
      <c r="HN3526" s="5" t="s">
        <v>240</v>
      </c>
      <c r="HO3526" s="5" t="s">
        <v>312</v>
      </c>
      <c r="HP3526" s="5" t="s">
        <v>240</v>
      </c>
      <c r="HQ3526" s="5" t="s">
        <v>240</v>
      </c>
      <c r="HR3526" s="5" t="s">
        <v>240</v>
      </c>
      <c r="HS3526" s="5" t="s">
        <v>240</v>
      </c>
      <c r="HT3526" s="5" t="s">
        <v>240</v>
      </c>
      <c r="HU3526" s="5" t="s">
        <v>240</v>
      </c>
      <c r="HV3526" s="5" t="s">
        <v>240</v>
      </c>
      <c r="HW3526" s="5" t="s">
        <v>240</v>
      </c>
      <c r="HX3526" s="5" t="s">
        <v>240</v>
      </c>
      <c r="HY3526" s="5" t="s">
        <v>240</v>
      </c>
      <c r="HZ3526" s="5" t="s">
        <v>240</v>
      </c>
      <c r="IA3526" s="5" t="s">
        <v>240</v>
      </c>
      <c r="IB3526" s="5" t="s">
        <v>240</v>
      </c>
      <c r="IC3526" s="5" t="s">
        <v>240</v>
      </c>
      <c r="ID3526" s="5" t="s">
        <v>240</v>
      </c>
      <c r="IE3526" s="5" t="s">
        <v>240</v>
      </c>
      <c r="IF3526" s="5" t="s">
        <v>240</v>
      </c>
    </row>
    <row r="3527" spans="1:240" x14ac:dyDescent="0.4">
      <c r="A3527" s="5">
        <v>9069</v>
      </c>
      <c r="B3527" s="5">
        <v>1</v>
      </c>
      <c r="C3527" s="5">
        <v>1</v>
      </c>
      <c r="D3527" s="5" t="s">
        <v>723</v>
      </c>
      <c r="E3527" s="5" t="s">
        <v>5060</v>
      </c>
      <c r="F3527" s="5" t="s">
        <v>254</v>
      </c>
      <c r="G3527" s="5" t="s">
        <v>5061</v>
      </c>
      <c r="H3527" s="6" t="s">
        <v>5895</v>
      </c>
      <c r="I3527" s="5" t="s">
        <v>5894</v>
      </c>
      <c r="J3527" s="7">
        <f>1</f>
        <v>1</v>
      </c>
      <c r="K3527" s="5" t="s">
        <v>3682</v>
      </c>
      <c r="L3527" s="7">
        <f>1</f>
        <v>1</v>
      </c>
      <c r="M3527" s="7">
        <f>1</f>
        <v>1</v>
      </c>
      <c r="N3527" s="5" t="s">
        <v>242</v>
      </c>
      <c r="O3527" s="5">
        <v>1</v>
      </c>
      <c r="P3527" s="5" t="s">
        <v>294</v>
      </c>
      <c r="Q3527" s="5" t="s">
        <v>613</v>
      </c>
      <c r="R3527" s="5" t="s">
        <v>240</v>
      </c>
      <c r="S3527" s="5" t="s">
        <v>240</v>
      </c>
      <c r="T3527" s="5" t="s">
        <v>243</v>
      </c>
      <c r="U3527" s="5" t="s">
        <v>724</v>
      </c>
      <c r="V3527" s="5" t="s">
        <v>240</v>
      </c>
      <c r="W3527" s="5" t="s">
        <v>240</v>
      </c>
      <c r="X3527" s="5" t="s">
        <v>240</v>
      </c>
      <c r="Y3527" s="5" t="s">
        <v>240</v>
      </c>
      <c r="Z3527" s="6" t="s">
        <v>298</v>
      </c>
      <c r="AA3527" s="6" t="s">
        <v>240</v>
      </c>
      <c r="AB3527" s="6" t="s">
        <v>240</v>
      </c>
      <c r="AC3527" s="5" t="s">
        <v>240</v>
      </c>
      <c r="AD3527" s="6" t="s">
        <v>240</v>
      </c>
      <c r="AE3527" s="6" t="s">
        <v>299</v>
      </c>
      <c r="AF3527" s="5" t="s">
        <v>727</v>
      </c>
      <c r="AG3527" s="5" t="s">
        <v>260</v>
      </c>
      <c r="AH3527" s="5" t="s">
        <v>240</v>
      </c>
      <c r="AI3527" s="5" t="s">
        <v>240</v>
      </c>
      <c r="AJ3527" s="5" t="s">
        <v>240</v>
      </c>
      <c r="AK3527" s="5" t="s">
        <v>240</v>
      </c>
      <c r="AL3527" s="5" t="s">
        <v>240</v>
      </c>
      <c r="AM3527" s="5" t="s">
        <v>240</v>
      </c>
      <c r="AN3527" s="5" t="s">
        <v>240</v>
      </c>
      <c r="AO3527" s="5" t="s">
        <v>240</v>
      </c>
      <c r="AP3527" s="6" t="s">
        <v>240</v>
      </c>
      <c r="AQ3527" s="6" t="s">
        <v>240</v>
      </c>
      <c r="AR3527" s="6" t="s">
        <v>240</v>
      </c>
      <c r="AS3527" s="6" t="s">
        <v>240</v>
      </c>
      <c r="AT3527" s="5" t="s">
        <v>240</v>
      </c>
      <c r="AU3527" s="5" t="s">
        <v>729</v>
      </c>
      <c r="AV3527" s="5" t="s">
        <v>729</v>
      </c>
      <c r="AW3527" s="5" t="s">
        <v>251</v>
      </c>
      <c r="AX3527" s="5" t="s">
        <v>252</v>
      </c>
      <c r="AY3527" s="5" t="s">
        <v>253</v>
      </c>
      <c r="AZ3527" s="5" t="s">
        <v>240</v>
      </c>
      <c r="BA3527" s="5" t="s">
        <v>255</v>
      </c>
      <c r="BB3527" s="5" t="s">
        <v>731</v>
      </c>
      <c r="BD3527" s="5" t="s">
        <v>240</v>
      </c>
      <c r="BF3527" s="5" t="s">
        <v>732</v>
      </c>
      <c r="BG3527" s="6" t="s">
        <v>733</v>
      </c>
      <c r="BH3527" s="5" t="s">
        <v>734</v>
      </c>
      <c r="BI3527" s="5" t="s">
        <v>734</v>
      </c>
      <c r="BJ3527" s="5" t="s">
        <v>240</v>
      </c>
      <c r="BK3527" s="8">
        <f>141</f>
        <v>141</v>
      </c>
      <c r="BL3527" s="7">
        <f>0</f>
        <v>0</v>
      </c>
      <c r="BM3527" s="5" t="s">
        <v>258</v>
      </c>
      <c r="BN3527" s="5" t="s">
        <v>259</v>
      </c>
      <c r="BO3527" s="5" t="s">
        <v>240</v>
      </c>
      <c r="BP3527" s="5" t="s">
        <v>240</v>
      </c>
      <c r="BQ3527" s="5" t="s">
        <v>240</v>
      </c>
      <c r="BR3527" s="5" t="s">
        <v>240</v>
      </c>
      <c r="BS3527" s="5" t="s">
        <v>240</v>
      </c>
      <c r="BT3527" s="5" t="s">
        <v>240</v>
      </c>
      <c r="BU3527" s="5" t="s">
        <v>240</v>
      </c>
      <c r="BV3527" s="5" t="s">
        <v>240</v>
      </c>
      <c r="BW3527" s="6" t="s">
        <v>240</v>
      </c>
      <c r="BX3527" s="5" t="s">
        <v>240</v>
      </c>
      <c r="BY3527" s="5" t="s">
        <v>240</v>
      </c>
      <c r="BZ3527" s="5" t="s">
        <v>240</v>
      </c>
      <c r="CA3527" s="5" t="s">
        <v>259</v>
      </c>
      <c r="CB3527" s="5" t="s">
        <v>240</v>
      </c>
      <c r="CC3527" s="5" t="s">
        <v>240</v>
      </c>
      <c r="CD3527" s="5" t="s">
        <v>240</v>
      </c>
      <c r="CE3527" s="5" t="s">
        <v>240</v>
      </c>
      <c r="CF3527" s="5" t="s">
        <v>240</v>
      </c>
      <c r="CG3527" s="5" t="s">
        <v>617</v>
      </c>
      <c r="CH3527" s="5" t="s">
        <v>305</v>
      </c>
      <c r="CI3527" s="5" t="s">
        <v>240</v>
      </c>
      <c r="CL3527" s="6" t="s">
        <v>261</v>
      </c>
      <c r="CM3527" s="5" t="s">
        <v>262</v>
      </c>
      <c r="CN3527" s="5" t="s">
        <v>263</v>
      </c>
      <c r="CO3527" s="5" t="s">
        <v>264</v>
      </c>
      <c r="CP3527" s="5" t="s">
        <v>240</v>
      </c>
      <c r="CQ3527" s="5">
        <v>0</v>
      </c>
      <c r="CR3527" s="5" t="s">
        <v>735</v>
      </c>
      <c r="CS3527" s="5" t="s">
        <v>307</v>
      </c>
      <c r="CT3527" s="5" t="s">
        <v>307</v>
      </c>
      <c r="CU3527" s="5" t="s">
        <v>260</v>
      </c>
      <c r="CV3527" s="5" t="s">
        <v>240</v>
      </c>
      <c r="CW3527" s="8">
        <f>0</f>
        <v>0</v>
      </c>
      <c r="CX3527" s="7">
        <f>0</f>
        <v>0</v>
      </c>
      <c r="CY3527" s="7">
        <f>0</f>
        <v>0</v>
      </c>
      <c r="DA3527" s="7">
        <f>1551</f>
        <v>1551</v>
      </c>
      <c r="DB3527" s="7" t="s">
        <v>240</v>
      </c>
      <c r="DC3527" s="5" t="s">
        <v>240</v>
      </c>
      <c r="DD3527" s="5" t="s">
        <v>240</v>
      </c>
      <c r="DE3527" s="5" t="s">
        <v>240</v>
      </c>
      <c r="DF3527" s="5" t="s">
        <v>450</v>
      </c>
      <c r="DG3527" s="7">
        <f>0</f>
        <v>0</v>
      </c>
      <c r="DI3527" s="5" t="s">
        <v>737</v>
      </c>
      <c r="DJ3527" s="5" t="s">
        <v>240</v>
      </c>
      <c r="DK3527" s="5" t="s">
        <v>240</v>
      </c>
      <c r="DL3527" s="5" t="s">
        <v>240</v>
      </c>
      <c r="DM3527" s="5" t="s">
        <v>240</v>
      </c>
      <c r="DN3527" s="5" t="s">
        <v>240</v>
      </c>
      <c r="DO3527" s="7" t="s">
        <v>240</v>
      </c>
      <c r="DP3527" s="5" t="s">
        <v>240</v>
      </c>
      <c r="DQ3527" s="5" t="s">
        <v>240</v>
      </c>
      <c r="DR3527" s="5" t="s">
        <v>731</v>
      </c>
      <c r="DS3527" s="5" t="s">
        <v>731</v>
      </c>
      <c r="DT3527" s="5" t="s">
        <v>240</v>
      </c>
      <c r="DU3527" s="5" t="s">
        <v>240</v>
      </c>
      <c r="DV3527" s="5" t="s">
        <v>738</v>
      </c>
      <c r="DW3527" s="5" t="s">
        <v>584</v>
      </c>
      <c r="DX3527" s="5" t="s">
        <v>240</v>
      </c>
      <c r="DY3527" s="5" t="s">
        <v>240</v>
      </c>
      <c r="DZ3527" s="5" t="s">
        <v>240</v>
      </c>
      <c r="EA3527" s="5" t="s">
        <v>240</v>
      </c>
      <c r="EB3527" s="5" t="s">
        <v>240</v>
      </c>
      <c r="EC3527" s="5" t="s">
        <v>240</v>
      </c>
      <c r="ED3527" s="5" t="s">
        <v>240</v>
      </c>
      <c r="EE3527" s="5" t="s">
        <v>240</v>
      </c>
      <c r="EF3527" s="5" t="s">
        <v>240</v>
      </c>
      <c r="EG3527" s="5" t="s">
        <v>240</v>
      </c>
      <c r="EH3527" s="5" t="s">
        <v>240</v>
      </c>
      <c r="EI3527" s="5" t="s">
        <v>240</v>
      </c>
      <c r="EJ3527" s="5" t="s">
        <v>240</v>
      </c>
      <c r="EK3527" s="5" t="s">
        <v>240</v>
      </c>
      <c r="EL3527" s="5" t="s">
        <v>240</v>
      </c>
      <c r="EM3527" s="5" t="s">
        <v>240</v>
      </c>
      <c r="EN3527" s="5" t="s">
        <v>240</v>
      </c>
      <c r="EO3527" s="5" t="s">
        <v>240</v>
      </c>
      <c r="EP3527" s="5" t="s">
        <v>240</v>
      </c>
      <c r="EQ3527" s="5" t="s">
        <v>240</v>
      </c>
      <c r="ER3527" s="5" t="s">
        <v>240</v>
      </c>
      <c r="ES3527" s="5" t="s">
        <v>240</v>
      </c>
      <c r="ET3527" s="5" t="s">
        <v>240</v>
      </c>
      <c r="EU3527" s="5" t="s">
        <v>240</v>
      </c>
      <c r="EV3527" s="5" t="s">
        <v>240</v>
      </c>
      <c r="EW3527" s="5" t="s">
        <v>240</v>
      </c>
      <c r="EX3527" s="5" t="s">
        <v>240</v>
      </c>
      <c r="EY3527" s="5" t="s">
        <v>240</v>
      </c>
      <c r="EZ3527" s="5" t="s">
        <v>240</v>
      </c>
      <c r="FA3527" s="5" t="s">
        <v>240</v>
      </c>
      <c r="FB3527" s="5" t="s">
        <v>240</v>
      </c>
      <c r="FC3527" s="5" t="s">
        <v>240</v>
      </c>
      <c r="FD3527" s="5" t="s">
        <v>240</v>
      </c>
      <c r="FE3527" s="5" t="s">
        <v>240</v>
      </c>
      <c r="FF3527" s="5" t="s">
        <v>240</v>
      </c>
      <c r="FG3527" s="5" t="s">
        <v>240</v>
      </c>
      <c r="FH3527" s="5" t="s">
        <v>240</v>
      </c>
      <c r="FI3527" s="5" t="s">
        <v>240</v>
      </c>
      <c r="FJ3527" s="5" t="s">
        <v>240</v>
      </c>
      <c r="FK3527" s="5" t="s">
        <v>240</v>
      </c>
      <c r="FL3527" s="5" t="s">
        <v>240</v>
      </c>
      <c r="FM3527" s="5" t="s">
        <v>240</v>
      </c>
      <c r="FN3527" s="5" t="s">
        <v>240</v>
      </c>
      <c r="FO3527" s="5" t="s">
        <v>240</v>
      </c>
      <c r="FP3527" s="5" t="s">
        <v>240</v>
      </c>
      <c r="FQ3527" s="5" t="s">
        <v>240</v>
      </c>
      <c r="FR3527" s="5" t="s">
        <v>240</v>
      </c>
      <c r="FS3527" s="5" t="s">
        <v>240</v>
      </c>
      <c r="FT3527" s="5" t="s">
        <v>240</v>
      </c>
      <c r="FU3527" s="5" t="s">
        <v>240</v>
      </c>
      <c r="FV3527" s="5" t="s">
        <v>240</v>
      </c>
      <c r="FW3527" s="5" t="s">
        <v>240</v>
      </c>
      <c r="FX3527" s="5" t="s">
        <v>240</v>
      </c>
      <c r="FY3527" s="5" t="s">
        <v>240</v>
      </c>
      <c r="FZ3527" s="5" t="s">
        <v>240</v>
      </c>
      <c r="GA3527" s="5" t="s">
        <v>240</v>
      </c>
      <c r="GB3527" s="5" t="s">
        <v>240</v>
      </c>
      <c r="GC3527" s="5" t="s">
        <v>240</v>
      </c>
      <c r="GD3527" s="5" t="s">
        <v>240</v>
      </c>
      <c r="GE3527" s="5" t="s">
        <v>240</v>
      </c>
      <c r="GF3527" s="5" t="s">
        <v>240</v>
      </c>
      <c r="GG3527" s="5" t="s">
        <v>240</v>
      </c>
      <c r="GH3527" s="5" t="s">
        <v>240</v>
      </c>
      <c r="GI3527" s="5" t="s">
        <v>240</v>
      </c>
      <c r="GJ3527" s="5" t="s">
        <v>240</v>
      </c>
      <c r="GK3527" s="5" t="s">
        <v>240</v>
      </c>
      <c r="GL3527" s="5" t="s">
        <v>240</v>
      </c>
      <c r="GM3527" s="5" t="s">
        <v>240</v>
      </c>
      <c r="GN3527" s="5" t="s">
        <v>240</v>
      </c>
      <c r="GO3527" s="5" t="s">
        <v>240</v>
      </c>
      <c r="GP3527" s="5" t="s">
        <v>240</v>
      </c>
      <c r="GQ3527" s="5" t="s">
        <v>240</v>
      </c>
      <c r="GR3527" s="5" t="s">
        <v>240</v>
      </c>
      <c r="GS3527" s="5" t="s">
        <v>240</v>
      </c>
      <c r="GT3527" s="5" t="s">
        <v>240</v>
      </c>
      <c r="GU3527" s="5" t="s">
        <v>240</v>
      </c>
      <c r="GV3527" s="5" t="s">
        <v>240</v>
      </c>
      <c r="GW3527" s="5" t="s">
        <v>240</v>
      </c>
      <c r="GX3527" s="5" t="s">
        <v>240</v>
      </c>
      <c r="GY3527" s="5" t="s">
        <v>240</v>
      </c>
      <c r="GZ3527" s="5" t="s">
        <v>240</v>
      </c>
      <c r="HA3527" s="5" t="s">
        <v>240</v>
      </c>
      <c r="HB3527" s="5" t="s">
        <v>240</v>
      </c>
      <c r="HC3527" s="5" t="s">
        <v>240</v>
      </c>
      <c r="HD3527" s="5" t="s">
        <v>240</v>
      </c>
      <c r="HE3527" s="5" t="s">
        <v>240</v>
      </c>
      <c r="HF3527" s="5" t="s">
        <v>240</v>
      </c>
      <c r="HG3527" s="5" t="s">
        <v>240</v>
      </c>
      <c r="HH3527" s="5" t="s">
        <v>240</v>
      </c>
      <c r="HI3527" s="5" t="s">
        <v>240</v>
      </c>
      <c r="HJ3527" s="5" t="s">
        <v>240</v>
      </c>
      <c r="HK3527" s="5" t="s">
        <v>240</v>
      </c>
      <c r="HL3527" s="5" t="s">
        <v>240</v>
      </c>
      <c r="HM3527" s="5" t="s">
        <v>240</v>
      </c>
      <c r="HN3527" s="5" t="s">
        <v>240</v>
      </c>
      <c r="HO3527" s="5" t="s">
        <v>620</v>
      </c>
      <c r="HP3527" s="5" t="s">
        <v>240</v>
      </c>
      <c r="HQ3527" s="5" t="s">
        <v>240</v>
      </c>
      <c r="HR3527" s="5" t="s">
        <v>240</v>
      </c>
      <c r="HS3527" s="5" t="s">
        <v>240</v>
      </c>
      <c r="HT3527" s="5" t="s">
        <v>240</v>
      </c>
      <c r="HU3527" s="5" t="s">
        <v>240</v>
      </c>
      <c r="HV3527" s="5" t="s">
        <v>240</v>
      </c>
      <c r="HW3527" s="5" t="s">
        <v>240</v>
      </c>
      <c r="HX3527" s="5" t="s">
        <v>240</v>
      </c>
      <c r="HY3527" s="5" t="s">
        <v>240</v>
      </c>
      <c r="HZ3527" s="5" t="s">
        <v>240</v>
      </c>
      <c r="IA3527" s="5" t="s">
        <v>240</v>
      </c>
      <c r="IB3527" s="5" t="s">
        <v>240</v>
      </c>
      <c r="IC3527" s="5" t="s">
        <v>240</v>
      </c>
      <c r="ID3527" s="5" t="s">
        <v>240</v>
      </c>
      <c r="IE3527" s="5" t="s">
        <v>240</v>
      </c>
      <c r="IF3527" s="5" t="s">
        <v>240</v>
      </c>
    </row>
    <row r="3528" spans="1:240" x14ac:dyDescent="0.4">
      <c r="A3528" s="5">
        <v>9070</v>
      </c>
      <c r="B3528" s="5">
        <v>1</v>
      </c>
      <c r="C3528" s="5">
        <v>1</v>
      </c>
      <c r="D3528" s="5" t="s">
        <v>723</v>
      </c>
      <c r="E3528" s="5" t="s">
        <v>5060</v>
      </c>
      <c r="F3528" s="5" t="s">
        <v>254</v>
      </c>
      <c r="G3528" s="5" t="s">
        <v>5061</v>
      </c>
      <c r="H3528" s="6" t="s">
        <v>5893</v>
      </c>
      <c r="I3528" s="5" t="s">
        <v>5892</v>
      </c>
      <c r="J3528" s="7">
        <f>1</f>
        <v>1</v>
      </c>
      <c r="K3528" s="5" t="s">
        <v>3682</v>
      </c>
      <c r="L3528" s="7">
        <f>1</f>
        <v>1</v>
      </c>
      <c r="M3528" s="7">
        <f>1</f>
        <v>1</v>
      </c>
      <c r="N3528" s="5" t="s">
        <v>242</v>
      </c>
      <c r="O3528" s="5">
        <v>1</v>
      </c>
      <c r="P3528" s="5" t="s">
        <v>294</v>
      </c>
      <c r="Q3528" s="5" t="s">
        <v>3678</v>
      </c>
      <c r="R3528" s="5" t="s">
        <v>240</v>
      </c>
      <c r="S3528" s="5" t="s">
        <v>240</v>
      </c>
      <c r="T3528" s="5" t="s">
        <v>243</v>
      </c>
      <c r="U3528" s="5" t="s">
        <v>244</v>
      </c>
      <c r="V3528" s="5" t="s">
        <v>240</v>
      </c>
      <c r="W3528" s="5" t="s">
        <v>240</v>
      </c>
      <c r="X3528" s="5" t="s">
        <v>240</v>
      </c>
      <c r="Y3528" s="5" t="s">
        <v>240</v>
      </c>
      <c r="Z3528" s="6" t="s">
        <v>298</v>
      </c>
      <c r="AA3528" s="6" t="s">
        <v>240</v>
      </c>
      <c r="AB3528" s="6" t="s">
        <v>240</v>
      </c>
      <c r="AC3528" s="5" t="s">
        <v>240</v>
      </c>
      <c r="AD3528" s="6" t="s">
        <v>240</v>
      </c>
      <c r="AE3528" s="6" t="s">
        <v>299</v>
      </c>
      <c r="AF3528" s="5" t="s">
        <v>248</v>
      </c>
      <c r="AG3528" s="5" t="s">
        <v>249</v>
      </c>
      <c r="AH3528" s="5" t="s">
        <v>240</v>
      </c>
      <c r="AI3528" s="5" t="s">
        <v>240</v>
      </c>
      <c r="AJ3528" s="5" t="s">
        <v>240</v>
      </c>
      <c r="AK3528" s="5" t="s">
        <v>240</v>
      </c>
      <c r="AL3528" s="5" t="s">
        <v>240</v>
      </c>
      <c r="AM3528" s="5" t="s">
        <v>240</v>
      </c>
      <c r="AN3528" s="5" t="s">
        <v>240</v>
      </c>
      <c r="AO3528" s="5" t="s">
        <v>240</v>
      </c>
      <c r="AP3528" s="6" t="s">
        <v>240</v>
      </c>
      <c r="AQ3528" s="6" t="s">
        <v>240</v>
      </c>
      <c r="AR3528" s="6" t="s">
        <v>240</v>
      </c>
      <c r="AS3528" s="6" t="s">
        <v>240</v>
      </c>
      <c r="AT3528" s="5" t="s">
        <v>240</v>
      </c>
      <c r="AU3528" s="5" t="s">
        <v>729</v>
      </c>
      <c r="AV3528" s="5" t="s">
        <v>729</v>
      </c>
      <c r="AW3528" s="5" t="s">
        <v>251</v>
      </c>
      <c r="AX3528" s="5" t="s">
        <v>252</v>
      </c>
      <c r="AY3528" s="5" t="s">
        <v>253</v>
      </c>
      <c r="AZ3528" s="5" t="s">
        <v>240</v>
      </c>
      <c r="BA3528" s="5" t="s">
        <v>255</v>
      </c>
      <c r="BB3528" s="5" t="s">
        <v>731</v>
      </c>
      <c r="BD3528" s="5" t="s">
        <v>240</v>
      </c>
      <c r="BF3528" s="5" t="s">
        <v>732</v>
      </c>
      <c r="BG3528" s="6" t="s">
        <v>733</v>
      </c>
      <c r="BH3528" s="5" t="s">
        <v>734</v>
      </c>
      <c r="BI3528" s="5" t="s">
        <v>734</v>
      </c>
      <c r="BJ3528" s="5" t="s">
        <v>240</v>
      </c>
      <c r="BK3528" s="7">
        <f>1</f>
        <v>1</v>
      </c>
      <c r="BL3528" s="7">
        <f>1</f>
        <v>1</v>
      </c>
      <c r="BM3528" s="5" t="s">
        <v>258</v>
      </c>
      <c r="BN3528" s="5" t="s">
        <v>259</v>
      </c>
      <c r="BO3528" s="5" t="s">
        <v>240</v>
      </c>
      <c r="BP3528" s="5" t="s">
        <v>240</v>
      </c>
      <c r="BQ3528" s="5" t="s">
        <v>240</v>
      </c>
      <c r="BR3528" s="5" t="s">
        <v>240</v>
      </c>
      <c r="BS3528" s="5" t="s">
        <v>240</v>
      </c>
      <c r="BT3528" s="5" t="s">
        <v>240</v>
      </c>
      <c r="BU3528" s="5" t="s">
        <v>240</v>
      </c>
      <c r="BV3528" s="5" t="s">
        <v>240</v>
      </c>
      <c r="BW3528" s="6" t="s">
        <v>240</v>
      </c>
      <c r="BX3528" s="5" t="s">
        <v>240</v>
      </c>
      <c r="BY3528" s="5" t="s">
        <v>240</v>
      </c>
      <c r="BZ3528" s="5" t="s">
        <v>240</v>
      </c>
      <c r="CA3528" s="5" t="s">
        <v>259</v>
      </c>
      <c r="CB3528" s="5" t="s">
        <v>240</v>
      </c>
      <c r="CC3528" s="5" t="s">
        <v>240</v>
      </c>
      <c r="CD3528" s="5" t="s">
        <v>240</v>
      </c>
      <c r="CE3528" s="5" t="s">
        <v>240</v>
      </c>
      <c r="CF3528" s="5" t="s">
        <v>240</v>
      </c>
      <c r="CG3528" s="5" t="s">
        <v>304</v>
      </c>
      <c r="CH3528" s="5" t="s">
        <v>305</v>
      </c>
      <c r="CI3528" s="5" t="s">
        <v>240</v>
      </c>
      <c r="CK3528" s="5" t="s">
        <v>3681</v>
      </c>
      <c r="CL3528" s="6" t="s">
        <v>261</v>
      </c>
      <c r="CM3528" s="5" t="s">
        <v>262</v>
      </c>
      <c r="CN3528" s="5" t="s">
        <v>263</v>
      </c>
      <c r="CO3528" s="5" t="s">
        <v>264</v>
      </c>
      <c r="CP3528" s="5" t="s">
        <v>240</v>
      </c>
      <c r="CQ3528" s="5">
        <v>0</v>
      </c>
      <c r="CR3528" s="5" t="s">
        <v>735</v>
      </c>
      <c r="CS3528" s="5" t="s">
        <v>307</v>
      </c>
      <c r="CT3528" s="5" t="s">
        <v>307</v>
      </c>
      <c r="CU3528" s="5" t="s">
        <v>260</v>
      </c>
      <c r="CV3528" s="5" t="s">
        <v>612</v>
      </c>
      <c r="CW3528" s="8">
        <f>1</f>
        <v>1</v>
      </c>
      <c r="CX3528" s="7">
        <f>1</f>
        <v>1</v>
      </c>
      <c r="CY3528" s="7">
        <f>0</f>
        <v>0</v>
      </c>
      <c r="DA3528" s="7">
        <f>1</f>
        <v>1</v>
      </c>
      <c r="DB3528" s="7" t="s">
        <v>240</v>
      </c>
      <c r="DC3528" s="5" t="s">
        <v>240</v>
      </c>
      <c r="DD3528" s="5" t="s">
        <v>240</v>
      </c>
      <c r="DE3528" s="5" t="s">
        <v>240</v>
      </c>
      <c r="DF3528" s="5" t="s">
        <v>240</v>
      </c>
      <c r="DG3528" s="7">
        <f>0</f>
        <v>0</v>
      </c>
      <c r="DI3528" s="5" t="s">
        <v>240</v>
      </c>
      <c r="DJ3528" s="5" t="s">
        <v>240</v>
      </c>
      <c r="DK3528" s="5" t="s">
        <v>240</v>
      </c>
      <c r="DL3528" s="5" t="s">
        <v>240</v>
      </c>
      <c r="DM3528" s="5" t="s">
        <v>240</v>
      </c>
      <c r="DN3528" s="5" t="s">
        <v>240</v>
      </c>
      <c r="DO3528" s="7" t="s">
        <v>240</v>
      </c>
      <c r="DP3528" s="5" t="s">
        <v>240</v>
      </c>
      <c r="DQ3528" s="5" t="s">
        <v>240</v>
      </c>
      <c r="DR3528" s="5" t="s">
        <v>731</v>
      </c>
      <c r="DS3528" s="5" t="s">
        <v>731</v>
      </c>
      <c r="DT3528" s="5" t="s">
        <v>240</v>
      </c>
      <c r="DU3528" s="5" t="s">
        <v>240</v>
      </c>
      <c r="DV3528" s="5" t="s">
        <v>3683</v>
      </c>
      <c r="DW3528" s="5" t="s">
        <v>1210</v>
      </c>
      <c r="DX3528" s="5" t="s">
        <v>240</v>
      </c>
      <c r="DY3528" s="5" t="s">
        <v>240</v>
      </c>
      <c r="DZ3528" s="5" t="s">
        <v>240</v>
      </c>
      <c r="EA3528" s="5" t="s">
        <v>240</v>
      </c>
      <c r="EB3528" s="5" t="s">
        <v>240</v>
      </c>
      <c r="EC3528" s="5" t="s">
        <v>240</v>
      </c>
      <c r="ED3528" s="5" t="s">
        <v>240</v>
      </c>
      <c r="EE3528" s="5" t="s">
        <v>240</v>
      </c>
      <c r="EF3528" s="5" t="s">
        <v>240</v>
      </c>
      <c r="EG3528" s="5" t="s">
        <v>240</v>
      </c>
      <c r="EH3528" s="5" t="s">
        <v>240</v>
      </c>
      <c r="EI3528" s="5" t="s">
        <v>240</v>
      </c>
      <c r="EJ3528" s="5" t="s">
        <v>240</v>
      </c>
      <c r="EK3528" s="5" t="s">
        <v>240</v>
      </c>
      <c r="EL3528" s="5" t="s">
        <v>240</v>
      </c>
      <c r="EM3528" s="5" t="s">
        <v>240</v>
      </c>
      <c r="EN3528" s="5" t="s">
        <v>240</v>
      </c>
      <c r="EO3528" s="5" t="s">
        <v>240</v>
      </c>
      <c r="EP3528" s="5" t="s">
        <v>240</v>
      </c>
      <c r="EQ3528" s="5" t="s">
        <v>240</v>
      </c>
      <c r="ER3528" s="5" t="s">
        <v>240</v>
      </c>
      <c r="ES3528" s="5" t="s">
        <v>240</v>
      </c>
      <c r="ET3528" s="5" t="s">
        <v>240</v>
      </c>
      <c r="EU3528" s="5" t="s">
        <v>240</v>
      </c>
      <c r="EV3528" s="5" t="s">
        <v>240</v>
      </c>
      <c r="EW3528" s="5" t="s">
        <v>240</v>
      </c>
      <c r="EX3528" s="5" t="s">
        <v>240</v>
      </c>
      <c r="EY3528" s="5" t="s">
        <v>240</v>
      </c>
      <c r="EZ3528" s="5" t="s">
        <v>240</v>
      </c>
      <c r="FA3528" s="5" t="s">
        <v>240</v>
      </c>
      <c r="FB3528" s="5" t="s">
        <v>240</v>
      </c>
      <c r="FC3528" s="5" t="s">
        <v>240</v>
      </c>
      <c r="FD3528" s="5" t="s">
        <v>240</v>
      </c>
      <c r="FE3528" s="5" t="s">
        <v>240</v>
      </c>
      <c r="FF3528" s="5" t="s">
        <v>240</v>
      </c>
      <c r="FG3528" s="5" t="s">
        <v>240</v>
      </c>
      <c r="FH3528" s="5" t="s">
        <v>240</v>
      </c>
      <c r="FI3528" s="5" t="s">
        <v>240</v>
      </c>
      <c r="FJ3528" s="5" t="s">
        <v>240</v>
      </c>
      <c r="FK3528" s="5" t="s">
        <v>240</v>
      </c>
      <c r="FL3528" s="5" t="s">
        <v>240</v>
      </c>
      <c r="FM3528" s="5" t="s">
        <v>240</v>
      </c>
      <c r="FN3528" s="5" t="s">
        <v>240</v>
      </c>
      <c r="FO3528" s="5" t="s">
        <v>240</v>
      </c>
      <c r="FP3528" s="5" t="s">
        <v>240</v>
      </c>
      <c r="FQ3528" s="5" t="s">
        <v>240</v>
      </c>
      <c r="FR3528" s="5" t="s">
        <v>240</v>
      </c>
      <c r="FS3528" s="5" t="s">
        <v>240</v>
      </c>
      <c r="FT3528" s="5" t="s">
        <v>240</v>
      </c>
      <c r="FU3528" s="5" t="s">
        <v>240</v>
      </c>
      <c r="FV3528" s="5" t="s">
        <v>240</v>
      </c>
      <c r="FW3528" s="5" t="s">
        <v>240</v>
      </c>
      <c r="FX3528" s="5" t="s">
        <v>240</v>
      </c>
      <c r="FY3528" s="5" t="s">
        <v>240</v>
      </c>
      <c r="FZ3528" s="5" t="s">
        <v>240</v>
      </c>
      <c r="GA3528" s="5" t="s">
        <v>240</v>
      </c>
      <c r="GB3528" s="5" t="s">
        <v>240</v>
      </c>
      <c r="GC3528" s="5" t="s">
        <v>240</v>
      </c>
      <c r="GD3528" s="5" t="s">
        <v>240</v>
      </c>
      <c r="GE3528" s="5" t="s">
        <v>240</v>
      </c>
      <c r="GF3528" s="5" t="s">
        <v>240</v>
      </c>
      <c r="GG3528" s="5" t="s">
        <v>240</v>
      </c>
      <c r="GH3528" s="5" t="s">
        <v>240</v>
      </c>
      <c r="GI3528" s="5" t="s">
        <v>240</v>
      </c>
      <c r="GJ3528" s="5" t="s">
        <v>240</v>
      </c>
      <c r="GK3528" s="5" t="s">
        <v>240</v>
      </c>
      <c r="GL3528" s="5" t="s">
        <v>240</v>
      </c>
      <c r="GM3528" s="5" t="s">
        <v>240</v>
      </c>
      <c r="GN3528" s="5" t="s">
        <v>240</v>
      </c>
      <c r="GO3528" s="5" t="s">
        <v>240</v>
      </c>
      <c r="GP3528" s="5" t="s">
        <v>240</v>
      </c>
      <c r="GQ3528" s="5" t="s">
        <v>240</v>
      </c>
      <c r="GR3528" s="5" t="s">
        <v>240</v>
      </c>
      <c r="GS3528" s="5" t="s">
        <v>240</v>
      </c>
      <c r="GT3528" s="5" t="s">
        <v>240</v>
      </c>
      <c r="GU3528" s="5" t="s">
        <v>240</v>
      </c>
      <c r="GV3528" s="5" t="s">
        <v>240</v>
      </c>
      <c r="GW3528" s="5" t="s">
        <v>240</v>
      </c>
      <c r="GX3528" s="5" t="s">
        <v>240</v>
      </c>
      <c r="GY3528" s="5" t="s">
        <v>240</v>
      </c>
      <c r="GZ3528" s="5" t="s">
        <v>240</v>
      </c>
      <c r="HA3528" s="5" t="s">
        <v>240</v>
      </c>
      <c r="HB3528" s="5" t="s">
        <v>240</v>
      </c>
      <c r="HC3528" s="5" t="s">
        <v>240</v>
      </c>
      <c r="HD3528" s="5" t="s">
        <v>240</v>
      </c>
      <c r="HE3528" s="5" t="s">
        <v>240</v>
      </c>
      <c r="HF3528" s="5" t="s">
        <v>240</v>
      </c>
      <c r="HG3528" s="5" t="s">
        <v>240</v>
      </c>
      <c r="HH3528" s="5" t="s">
        <v>240</v>
      </c>
      <c r="HI3528" s="5" t="s">
        <v>240</v>
      </c>
      <c r="HJ3528" s="5" t="s">
        <v>240</v>
      </c>
      <c r="HK3528" s="5" t="s">
        <v>240</v>
      </c>
      <c r="HL3528" s="5" t="s">
        <v>240</v>
      </c>
      <c r="HM3528" s="5" t="s">
        <v>240</v>
      </c>
      <c r="HN3528" s="5" t="s">
        <v>240</v>
      </c>
      <c r="HO3528" s="5" t="s">
        <v>312</v>
      </c>
      <c r="HP3528" s="5" t="s">
        <v>240</v>
      </c>
      <c r="HQ3528" s="5" t="s">
        <v>240</v>
      </c>
      <c r="HR3528" s="5" t="s">
        <v>240</v>
      </c>
      <c r="HS3528" s="5" t="s">
        <v>240</v>
      </c>
      <c r="HT3528" s="5" t="s">
        <v>240</v>
      </c>
      <c r="HU3528" s="5" t="s">
        <v>240</v>
      </c>
      <c r="HV3528" s="5" t="s">
        <v>240</v>
      </c>
      <c r="HW3528" s="5" t="s">
        <v>240</v>
      </c>
      <c r="HX3528" s="5" t="s">
        <v>240</v>
      </c>
      <c r="HY3528" s="5" t="s">
        <v>240</v>
      </c>
      <c r="HZ3528" s="5" t="s">
        <v>240</v>
      </c>
      <c r="IA3528" s="5" t="s">
        <v>240</v>
      </c>
      <c r="IB3528" s="5" t="s">
        <v>240</v>
      </c>
      <c r="IC3528" s="5" t="s">
        <v>240</v>
      </c>
      <c r="ID3528" s="5" t="s">
        <v>240</v>
      </c>
      <c r="IE3528" s="5" t="s">
        <v>240</v>
      </c>
      <c r="IF3528" s="5" t="s">
        <v>240</v>
      </c>
    </row>
    <row r="3529" spans="1:240" x14ac:dyDescent="0.4">
      <c r="A3529" s="5">
        <v>9071</v>
      </c>
      <c r="B3529" s="5">
        <v>1</v>
      </c>
      <c r="C3529" s="5">
        <v>1</v>
      </c>
      <c r="D3529" s="5" t="s">
        <v>723</v>
      </c>
      <c r="E3529" s="5" t="s">
        <v>5060</v>
      </c>
      <c r="F3529" s="5" t="s">
        <v>254</v>
      </c>
      <c r="G3529" s="5" t="s">
        <v>5061</v>
      </c>
      <c r="H3529" s="6" t="s">
        <v>5891</v>
      </c>
      <c r="I3529" s="5" t="s">
        <v>5890</v>
      </c>
      <c r="J3529" s="7">
        <f>1</f>
        <v>1</v>
      </c>
      <c r="K3529" s="5" t="s">
        <v>3682</v>
      </c>
      <c r="L3529" s="7">
        <f>1</f>
        <v>1</v>
      </c>
      <c r="M3529" s="7">
        <f>1</f>
        <v>1</v>
      </c>
      <c r="N3529" s="5" t="s">
        <v>242</v>
      </c>
      <c r="O3529" s="5">
        <v>1</v>
      </c>
      <c r="P3529" s="5" t="s">
        <v>294</v>
      </c>
      <c r="Q3529" s="5" t="s">
        <v>613</v>
      </c>
      <c r="R3529" s="5" t="s">
        <v>240</v>
      </c>
      <c r="S3529" s="5" t="s">
        <v>240</v>
      </c>
      <c r="T3529" s="5" t="s">
        <v>243</v>
      </c>
      <c r="U3529" s="5" t="s">
        <v>724</v>
      </c>
      <c r="V3529" s="5" t="s">
        <v>240</v>
      </c>
      <c r="W3529" s="5" t="s">
        <v>240</v>
      </c>
      <c r="X3529" s="5" t="s">
        <v>240</v>
      </c>
      <c r="Y3529" s="5" t="s">
        <v>240</v>
      </c>
      <c r="Z3529" s="6" t="s">
        <v>298</v>
      </c>
      <c r="AA3529" s="6" t="s">
        <v>240</v>
      </c>
      <c r="AB3529" s="6" t="s">
        <v>240</v>
      </c>
      <c r="AC3529" s="5" t="s">
        <v>240</v>
      </c>
      <c r="AD3529" s="6" t="s">
        <v>240</v>
      </c>
      <c r="AE3529" s="6" t="s">
        <v>299</v>
      </c>
      <c r="AF3529" s="5" t="s">
        <v>727</v>
      </c>
      <c r="AG3529" s="5" t="s">
        <v>260</v>
      </c>
      <c r="AH3529" s="5" t="s">
        <v>240</v>
      </c>
      <c r="AI3529" s="5" t="s">
        <v>240</v>
      </c>
      <c r="AJ3529" s="5" t="s">
        <v>240</v>
      </c>
      <c r="AK3529" s="5" t="s">
        <v>240</v>
      </c>
      <c r="AL3529" s="5" t="s">
        <v>240</v>
      </c>
      <c r="AM3529" s="5" t="s">
        <v>240</v>
      </c>
      <c r="AN3529" s="5" t="s">
        <v>240</v>
      </c>
      <c r="AO3529" s="5" t="s">
        <v>240</v>
      </c>
      <c r="AP3529" s="6" t="s">
        <v>240</v>
      </c>
      <c r="AQ3529" s="6" t="s">
        <v>240</v>
      </c>
      <c r="AR3529" s="6" t="s">
        <v>240</v>
      </c>
      <c r="AS3529" s="6" t="s">
        <v>240</v>
      </c>
      <c r="AT3529" s="5" t="s">
        <v>240</v>
      </c>
      <c r="AU3529" s="5" t="s">
        <v>729</v>
      </c>
      <c r="AV3529" s="5" t="s">
        <v>729</v>
      </c>
      <c r="AW3529" s="5" t="s">
        <v>251</v>
      </c>
      <c r="AX3529" s="5" t="s">
        <v>252</v>
      </c>
      <c r="AY3529" s="5" t="s">
        <v>253</v>
      </c>
      <c r="AZ3529" s="5" t="s">
        <v>240</v>
      </c>
      <c r="BA3529" s="5" t="s">
        <v>255</v>
      </c>
      <c r="BB3529" s="5" t="s">
        <v>731</v>
      </c>
      <c r="BD3529" s="5" t="s">
        <v>240</v>
      </c>
      <c r="BF3529" s="5" t="s">
        <v>732</v>
      </c>
      <c r="BG3529" s="6" t="s">
        <v>733</v>
      </c>
      <c r="BH3529" s="5" t="s">
        <v>734</v>
      </c>
      <c r="BI3529" s="5" t="s">
        <v>734</v>
      </c>
      <c r="BJ3529" s="5" t="s">
        <v>240</v>
      </c>
      <c r="BK3529" s="8">
        <f>689</f>
        <v>689</v>
      </c>
      <c r="BL3529" s="7">
        <f>0</f>
        <v>0</v>
      </c>
      <c r="BM3529" s="5" t="s">
        <v>258</v>
      </c>
      <c r="BN3529" s="5" t="s">
        <v>259</v>
      </c>
      <c r="BO3529" s="5" t="s">
        <v>240</v>
      </c>
      <c r="BP3529" s="5" t="s">
        <v>240</v>
      </c>
      <c r="BQ3529" s="5" t="s">
        <v>240</v>
      </c>
      <c r="BR3529" s="5" t="s">
        <v>240</v>
      </c>
      <c r="BS3529" s="5" t="s">
        <v>240</v>
      </c>
      <c r="BT3529" s="5" t="s">
        <v>240</v>
      </c>
      <c r="BU3529" s="5" t="s">
        <v>240</v>
      </c>
      <c r="BV3529" s="5" t="s">
        <v>240</v>
      </c>
      <c r="BW3529" s="6" t="s">
        <v>240</v>
      </c>
      <c r="BX3529" s="5" t="s">
        <v>240</v>
      </c>
      <c r="BY3529" s="5" t="s">
        <v>240</v>
      </c>
      <c r="BZ3529" s="5" t="s">
        <v>240</v>
      </c>
      <c r="CA3529" s="5" t="s">
        <v>259</v>
      </c>
      <c r="CB3529" s="5" t="s">
        <v>240</v>
      </c>
      <c r="CC3529" s="5" t="s">
        <v>240</v>
      </c>
      <c r="CD3529" s="5" t="s">
        <v>240</v>
      </c>
      <c r="CE3529" s="5" t="s">
        <v>240</v>
      </c>
      <c r="CF3529" s="5" t="s">
        <v>240</v>
      </c>
      <c r="CG3529" s="5" t="s">
        <v>617</v>
      </c>
      <c r="CH3529" s="5" t="s">
        <v>305</v>
      </c>
      <c r="CI3529" s="5" t="s">
        <v>240</v>
      </c>
      <c r="CL3529" s="6" t="s">
        <v>261</v>
      </c>
      <c r="CM3529" s="5" t="s">
        <v>262</v>
      </c>
      <c r="CN3529" s="5" t="s">
        <v>263</v>
      </c>
      <c r="CO3529" s="5" t="s">
        <v>264</v>
      </c>
      <c r="CP3529" s="5" t="s">
        <v>240</v>
      </c>
      <c r="CQ3529" s="5">
        <v>0</v>
      </c>
      <c r="CR3529" s="5" t="s">
        <v>735</v>
      </c>
      <c r="CS3529" s="5" t="s">
        <v>307</v>
      </c>
      <c r="CT3529" s="5" t="s">
        <v>307</v>
      </c>
      <c r="CU3529" s="5" t="s">
        <v>260</v>
      </c>
      <c r="CV3529" s="5" t="s">
        <v>240</v>
      </c>
      <c r="CW3529" s="8">
        <f>0</f>
        <v>0</v>
      </c>
      <c r="CX3529" s="7">
        <f>0</f>
        <v>0</v>
      </c>
      <c r="CY3529" s="7">
        <f>0</f>
        <v>0</v>
      </c>
      <c r="DA3529" s="7">
        <f>7579</f>
        <v>7579</v>
      </c>
      <c r="DB3529" s="7" t="s">
        <v>240</v>
      </c>
      <c r="DC3529" s="5" t="s">
        <v>240</v>
      </c>
      <c r="DD3529" s="5" t="s">
        <v>240</v>
      </c>
      <c r="DE3529" s="5" t="s">
        <v>240</v>
      </c>
      <c r="DF3529" s="5" t="s">
        <v>450</v>
      </c>
      <c r="DG3529" s="7">
        <f>0</f>
        <v>0</v>
      </c>
      <c r="DI3529" s="5" t="s">
        <v>737</v>
      </c>
      <c r="DJ3529" s="5" t="s">
        <v>240</v>
      </c>
      <c r="DK3529" s="5" t="s">
        <v>240</v>
      </c>
      <c r="DL3529" s="5" t="s">
        <v>240</v>
      </c>
      <c r="DM3529" s="5" t="s">
        <v>240</v>
      </c>
      <c r="DN3529" s="5" t="s">
        <v>240</v>
      </c>
      <c r="DO3529" s="7" t="s">
        <v>240</v>
      </c>
      <c r="DP3529" s="5" t="s">
        <v>240</v>
      </c>
      <c r="DQ3529" s="5" t="s">
        <v>240</v>
      </c>
      <c r="DR3529" s="5" t="s">
        <v>731</v>
      </c>
      <c r="DS3529" s="5" t="s">
        <v>731</v>
      </c>
      <c r="DT3529" s="5" t="s">
        <v>240</v>
      </c>
      <c r="DU3529" s="5" t="s">
        <v>240</v>
      </c>
      <c r="DV3529" s="5" t="s">
        <v>738</v>
      </c>
      <c r="DW3529" s="5" t="s">
        <v>742</v>
      </c>
      <c r="DX3529" s="5" t="s">
        <v>240</v>
      </c>
      <c r="DY3529" s="5" t="s">
        <v>240</v>
      </c>
      <c r="DZ3529" s="5" t="s">
        <v>240</v>
      </c>
      <c r="EA3529" s="5" t="s">
        <v>240</v>
      </c>
      <c r="EB3529" s="5" t="s">
        <v>240</v>
      </c>
      <c r="EC3529" s="5" t="s">
        <v>240</v>
      </c>
      <c r="ED3529" s="5" t="s">
        <v>240</v>
      </c>
      <c r="EE3529" s="5" t="s">
        <v>240</v>
      </c>
      <c r="EF3529" s="5" t="s">
        <v>240</v>
      </c>
      <c r="EG3529" s="5" t="s">
        <v>240</v>
      </c>
      <c r="EH3529" s="5" t="s">
        <v>240</v>
      </c>
      <c r="EI3529" s="5" t="s">
        <v>240</v>
      </c>
      <c r="EJ3529" s="5" t="s">
        <v>240</v>
      </c>
      <c r="EK3529" s="5" t="s">
        <v>240</v>
      </c>
      <c r="EL3529" s="5" t="s">
        <v>240</v>
      </c>
      <c r="EM3529" s="5" t="s">
        <v>240</v>
      </c>
      <c r="EN3529" s="5" t="s">
        <v>240</v>
      </c>
      <c r="EO3529" s="5" t="s">
        <v>240</v>
      </c>
      <c r="EP3529" s="5" t="s">
        <v>240</v>
      </c>
      <c r="EQ3529" s="5" t="s">
        <v>240</v>
      </c>
      <c r="ER3529" s="5" t="s">
        <v>240</v>
      </c>
      <c r="ES3529" s="5" t="s">
        <v>240</v>
      </c>
      <c r="ET3529" s="5" t="s">
        <v>240</v>
      </c>
      <c r="EU3529" s="5" t="s">
        <v>240</v>
      </c>
      <c r="EV3529" s="5" t="s">
        <v>240</v>
      </c>
      <c r="EW3529" s="5" t="s">
        <v>240</v>
      </c>
      <c r="EX3529" s="5" t="s">
        <v>240</v>
      </c>
      <c r="EY3529" s="5" t="s">
        <v>240</v>
      </c>
      <c r="EZ3529" s="5" t="s">
        <v>240</v>
      </c>
      <c r="FA3529" s="5" t="s">
        <v>240</v>
      </c>
      <c r="FB3529" s="5" t="s">
        <v>240</v>
      </c>
      <c r="FC3529" s="5" t="s">
        <v>240</v>
      </c>
      <c r="FD3529" s="5" t="s">
        <v>240</v>
      </c>
      <c r="FE3529" s="5" t="s">
        <v>240</v>
      </c>
      <c r="FF3529" s="5" t="s">
        <v>240</v>
      </c>
      <c r="FG3529" s="5" t="s">
        <v>240</v>
      </c>
      <c r="FH3529" s="5" t="s">
        <v>240</v>
      </c>
      <c r="FI3529" s="5" t="s">
        <v>240</v>
      </c>
      <c r="FJ3529" s="5" t="s">
        <v>240</v>
      </c>
      <c r="FK3529" s="5" t="s">
        <v>240</v>
      </c>
      <c r="FL3529" s="5" t="s">
        <v>240</v>
      </c>
      <c r="FM3529" s="5" t="s">
        <v>240</v>
      </c>
      <c r="FN3529" s="5" t="s">
        <v>240</v>
      </c>
      <c r="FO3529" s="5" t="s">
        <v>240</v>
      </c>
      <c r="FP3529" s="5" t="s">
        <v>240</v>
      </c>
      <c r="FQ3529" s="5" t="s">
        <v>240</v>
      </c>
      <c r="FR3529" s="5" t="s">
        <v>240</v>
      </c>
      <c r="FS3529" s="5" t="s">
        <v>240</v>
      </c>
      <c r="FT3529" s="5" t="s">
        <v>240</v>
      </c>
      <c r="FU3529" s="5" t="s">
        <v>240</v>
      </c>
      <c r="FV3529" s="5" t="s">
        <v>240</v>
      </c>
      <c r="FW3529" s="5" t="s">
        <v>240</v>
      </c>
      <c r="FX3529" s="5" t="s">
        <v>240</v>
      </c>
      <c r="FY3529" s="5" t="s">
        <v>240</v>
      </c>
      <c r="FZ3529" s="5" t="s">
        <v>240</v>
      </c>
      <c r="GA3529" s="5" t="s">
        <v>240</v>
      </c>
      <c r="GB3529" s="5" t="s">
        <v>240</v>
      </c>
      <c r="GC3529" s="5" t="s">
        <v>240</v>
      </c>
      <c r="GD3529" s="5" t="s">
        <v>240</v>
      </c>
      <c r="GE3529" s="5" t="s">
        <v>240</v>
      </c>
      <c r="GF3529" s="5" t="s">
        <v>240</v>
      </c>
      <c r="GG3529" s="5" t="s">
        <v>240</v>
      </c>
      <c r="GH3529" s="5" t="s">
        <v>240</v>
      </c>
      <c r="GI3529" s="5" t="s">
        <v>240</v>
      </c>
      <c r="GJ3529" s="5" t="s">
        <v>240</v>
      </c>
      <c r="GK3529" s="5" t="s">
        <v>240</v>
      </c>
      <c r="GL3529" s="5" t="s">
        <v>240</v>
      </c>
      <c r="GM3529" s="5" t="s">
        <v>240</v>
      </c>
      <c r="GN3529" s="5" t="s">
        <v>240</v>
      </c>
      <c r="GO3529" s="5" t="s">
        <v>240</v>
      </c>
      <c r="GP3529" s="5" t="s">
        <v>240</v>
      </c>
      <c r="GQ3529" s="5" t="s">
        <v>240</v>
      </c>
      <c r="GR3529" s="5" t="s">
        <v>240</v>
      </c>
      <c r="GS3529" s="5" t="s">
        <v>240</v>
      </c>
      <c r="GT3529" s="5" t="s">
        <v>240</v>
      </c>
      <c r="GU3529" s="5" t="s">
        <v>240</v>
      </c>
      <c r="GV3529" s="5" t="s">
        <v>240</v>
      </c>
      <c r="GW3529" s="5" t="s">
        <v>240</v>
      </c>
      <c r="GX3529" s="5" t="s">
        <v>240</v>
      </c>
      <c r="GY3529" s="5" t="s">
        <v>240</v>
      </c>
      <c r="GZ3529" s="5" t="s">
        <v>240</v>
      </c>
      <c r="HA3529" s="5" t="s">
        <v>240</v>
      </c>
      <c r="HB3529" s="5" t="s">
        <v>240</v>
      </c>
      <c r="HC3529" s="5" t="s">
        <v>240</v>
      </c>
      <c r="HD3529" s="5" t="s">
        <v>240</v>
      </c>
      <c r="HE3529" s="5" t="s">
        <v>240</v>
      </c>
      <c r="HF3529" s="5" t="s">
        <v>240</v>
      </c>
      <c r="HG3529" s="5" t="s">
        <v>240</v>
      </c>
      <c r="HH3529" s="5" t="s">
        <v>240</v>
      </c>
      <c r="HI3529" s="5" t="s">
        <v>240</v>
      </c>
      <c r="HJ3529" s="5" t="s">
        <v>240</v>
      </c>
      <c r="HK3529" s="5" t="s">
        <v>240</v>
      </c>
      <c r="HL3529" s="5" t="s">
        <v>240</v>
      </c>
      <c r="HM3529" s="5" t="s">
        <v>240</v>
      </c>
      <c r="HN3529" s="5" t="s">
        <v>240</v>
      </c>
      <c r="HO3529" s="5" t="s">
        <v>312</v>
      </c>
      <c r="HP3529" s="5" t="s">
        <v>240</v>
      </c>
      <c r="HQ3529" s="5" t="s">
        <v>240</v>
      </c>
      <c r="HR3529" s="5" t="s">
        <v>240</v>
      </c>
      <c r="HS3529" s="5" t="s">
        <v>240</v>
      </c>
      <c r="HT3529" s="5" t="s">
        <v>240</v>
      </c>
      <c r="HU3529" s="5" t="s">
        <v>240</v>
      </c>
      <c r="HV3529" s="5" t="s">
        <v>240</v>
      </c>
      <c r="HW3529" s="5" t="s">
        <v>240</v>
      </c>
      <c r="HX3529" s="5" t="s">
        <v>240</v>
      </c>
      <c r="HY3529" s="5" t="s">
        <v>240</v>
      </c>
      <c r="HZ3529" s="5" t="s">
        <v>240</v>
      </c>
      <c r="IA3529" s="5" t="s">
        <v>240</v>
      </c>
      <c r="IB3529" s="5" t="s">
        <v>240</v>
      </c>
      <c r="IC3529" s="5" t="s">
        <v>240</v>
      </c>
      <c r="ID3529" s="5" t="s">
        <v>240</v>
      </c>
      <c r="IE3529" s="5" t="s">
        <v>240</v>
      </c>
      <c r="IF3529" s="5" t="s">
        <v>240</v>
      </c>
    </row>
    <row r="3530" spans="1:240" x14ac:dyDescent="0.4">
      <c r="A3530" s="5">
        <v>9072</v>
      </c>
      <c r="B3530" s="5">
        <v>1</v>
      </c>
      <c r="C3530" s="5">
        <v>1</v>
      </c>
      <c r="D3530" s="5" t="s">
        <v>723</v>
      </c>
      <c r="E3530" s="5" t="s">
        <v>5060</v>
      </c>
      <c r="F3530" s="5" t="s">
        <v>254</v>
      </c>
      <c r="G3530" s="5" t="s">
        <v>5061</v>
      </c>
      <c r="H3530" s="6" t="s">
        <v>5889</v>
      </c>
      <c r="I3530" s="5" t="s">
        <v>5888</v>
      </c>
      <c r="J3530" s="7">
        <f>1</f>
        <v>1</v>
      </c>
      <c r="K3530" s="5" t="s">
        <v>3682</v>
      </c>
      <c r="L3530" s="7">
        <f>1</f>
        <v>1</v>
      </c>
      <c r="M3530" s="7">
        <f>1</f>
        <v>1</v>
      </c>
      <c r="N3530" s="5" t="s">
        <v>242</v>
      </c>
      <c r="O3530" s="5">
        <v>1</v>
      </c>
      <c r="P3530" s="5" t="s">
        <v>294</v>
      </c>
      <c r="Q3530" s="5" t="s">
        <v>3678</v>
      </c>
      <c r="R3530" s="5" t="s">
        <v>240</v>
      </c>
      <c r="S3530" s="5" t="s">
        <v>240</v>
      </c>
      <c r="T3530" s="5" t="s">
        <v>243</v>
      </c>
      <c r="U3530" s="5" t="s">
        <v>244</v>
      </c>
      <c r="V3530" s="5" t="s">
        <v>240</v>
      </c>
      <c r="W3530" s="5" t="s">
        <v>240</v>
      </c>
      <c r="X3530" s="5" t="s">
        <v>240</v>
      </c>
      <c r="Y3530" s="5" t="s">
        <v>240</v>
      </c>
      <c r="Z3530" s="6" t="s">
        <v>298</v>
      </c>
      <c r="AA3530" s="6" t="s">
        <v>240</v>
      </c>
      <c r="AB3530" s="6" t="s">
        <v>240</v>
      </c>
      <c r="AC3530" s="5" t="s">
        <v>240</v>
      </c>
      <c r="AD3530" s="6" t="s">
        <v>240</v>
      </c>
      <c r="AE3530" s="6" t="s">
        <v>299</v>
      </c>
      <c r="AF3530" s="5" t="s">
        <v>248</v>
      </c>
      <c r="AG3530" s="5" t="s">
        <v>249</v>
      </c>
      <c r="AH3530" s="5" t="s">
        <v>240</v>
      </c>
      <c r="AI3530" s="5" t="s">
        <v>240</v>
      </c>
      <c r="AJ3530" s="5" t="s">
        <v>240</v>
      </c>
      <c r="AK3530" s="5" t="s">
        <v>240</v>
      </c>
      <c r="AL3530" s="5" t="s">
        <v>240</v>
      </c>
      <c r="AM3530" s="5" t="s">
        <v>240</v>
      </c>
      <c r="AN3530" s="5" t="s">
        <v>240</v>
      </c>
      <c r="AO3530" s="5" t="s">
        <v>240</v>
      </c>
      <c r="AP3530" s="6" t="s">
        <v>240</v>
      </c>
      <c r="AQ3530" s="6" t="s">
        <v>240</v>
      </c>
      <c r="AR3530" s="6" t="s">
        <v>240</v>
      </c>
      <c r="AS3530" s="6" t="s">
        <v>240</v>
      </c>
      <c r="AT3530" s="5" t="s">
        <v>240</v>
      </c>
      <c r="AU3530" s="5" t="s">
        <v>729</v>
      </c>
      <c r="AV3530" s="5" t="s">
        <v>729</v>
      </c>
      <c r="AW3530" s="5" t="s">
        <v>251</v>
      </c>
      <c r="AX3530" s="5" t="s">
        <v>252</v>
      </c>
      <c r="AY3530" s="5" t="s">
        <v>253</v>
      </c>
      <c r="AZ3530" s="5" t="s">
        <v>240</v>
      </c>
      <c r="BA3530" s="5" t="s">
        <v>255</v>
      </c>
      <c r="BB3530" s="5" t="s">
        <v>731</v>
      </c>
      <c r="BD3530" s="5" t="s">
        <v>240</v>
      </c>
      <c r="BF3530" s="5" t="s">
        <v>732</v>
      </c>
      <c r="BG3530" s="6" t="s">
        <v>733</v>
      </c>
      <c r="BH3530" s="5" t="s">
        <v>734</v>
      </c>
      <c r="BI3530" s="5" t="s">
        <v>734</v>
      </c>
      <c r="BJ3530" s="5" t="s">
        <v>240</v>
      </c>
      <c r="BK3530" s="7">
        <f>1</f>
        <v>1</v>
      </c>
      <c r="BL3530" s="7">
        <f>1</f>
        <v>1</v>
      </c>
      <c r="BM3530" s="5" t="s">
        <v>258</v>
      </c>
      <c r="BN3530" s="5" t="s">
        <v>259</v>
      </c>
      <c r="BO3530" s="5" t="s">
        <v>240</v>
      </c>
      <c r="BP3530" s="5" t="s">
        <v>240</v>
      </c>
      <c r="BQ3530" s="5" t="s">
        <v>240</v>
      </c>
      <c r="BR3530" s="5" t="s">
        <v>240</v>
      </c>
      <c r="BS3530" s="5" t="s">
        <v>240</v>
      </c>
      <c r="BT3530" s="5" t="s">
        <v>240</v>
      </c>
      <c r="BU3530" s="5" t="s">
        <v>240</v>
      </c>
      <c r="BV3530" s="5" t="s">
        <v>240</v>
      </c>
      <c r="BW3530" s="6" t="s">
        <v>240</v>
      </c>
      <c r="BX3530" s="5" t="s">
        <v>240</v>
      </c>
      <c r="BY3530" s="5" t="s">
        <v>240</v>
      </c>
      <c r="BZ3530" s="5" t="s">
        <v>240</v>
      </c>
      <c r="CA3530" s="5" t="s">
        <v>259</v>
      </c>
      <c r="CB3530" s="5" t="s">
        <v>240</v>
      </c>
      <c r="CC3530" s="5" t="s">
        <v>240</v>
      </c>
      <c r="CD3530" s="5" t="s">
        <v>240</v>
      </c>
      <c r="CE3530" s="5" t="s">
        <v>240</v>
      </c>
      <c r="CF3530" s="5" t="s">
        <v>240</v>
      </c>
      <c r="CG3530" s="5" t="s">
        <v>304</v>
      </c>
      <c r="CH3530" s="5" t="s">
        <v>305</v>
      </c>
      <c r="CI3530" s="5" t="s">
        <v>240</v>
      </c>
      <c r="CK3530" s="5" t="s">
        <v>3681</v>
      </c>
      <c r="CL3530" s="6" t="s">
        <v>261</v>
      </c>
      <c r="CM3530" s="5" t="s">
        <v>262</v>
      </c>
      <c r="CN3530" s="5" t="s">
        <v>263</v>
      </c>
      <c r="CO3530" s="5" t="s">
        <v>264</v>
      </c>
      <c r="CP3530" s="5" t="s">
        <v>240</v>
      </c>
      <c r="CQ3530" s="5">
        <v>0</v>
      </c>
      <c r="CR3530" s="5" t="s">
        <v>735</v>
      </c>
      <c r="CS3530" s="5" t="s">
        <v>307</v>
      </c>
      <c r="CT3530" s="5" t="s">
        <v>307</v>
      </c>
      <c r="CU3530" s="5" t="s">
        <v>260</v>
      </c>
      <c r="CV3530" s="5" t="s">
        <v>612</v>
      </c>
      <c r="CW3530" s="8">
        <f>1</f>
        <v>1</v>
      </c>
      <c r="CX3530" s="7">
        <f>1</f>
        <v>1</v>
      </c>
      <c r="CY3530" s="7">
        <f>0</f>
        <v>0</v>
      </c>
      <c r="DA3530" s="7">
        <f>1</f>
        <v>1</v>
      </c>
      <c r="DB3530" s="7" t="s">
        <v>240</v>
      </c>
      <c r="DC3530" s="5" t="s">
        <v>240</v>
      </c>
      <c r="DD3530" s="5" t="s">
        <v>240</v>
      </c>
      <c r="DE3530" s="5" t="s">
        <v>240</v>
      </c>
      <c r="DF3530" s="5" t="s">
        <v>240</v>
      </c>
      <c r="DG3530" s="7">
        <f>0</f>
        <v>0</v>
      </c>
      <c r="DI3530" s="5" t="s">
        <v>240</v>
      </c>
      <c r="DJ3530" s="5" t="s">
        <v>240</v>
      </c>
      <c r="DK3530" s="5" t="s">
        <v>240</v>
      </c>
      <c r="DL3530" s="5" t="s">
        <v>240</v>
      </c>
      <c r="DM3530" s="5" t="s">
        <v>240</v>
      </c>
      <c r="DN3530" s="5" t="s">
        <v>240</v>
      </c>
      <c r="DO3530" s="7" t="s">
        <v>240</v>
      </c>
      <c r="DP3530" s="5" t="s">
        <v>240</v>
      </c>
      <c r="DQ3530" s="5" t="s">
        <v>240</v>
      </c>
      <c r="DR3530" s="5" t="s">
        <v>731</v>
      </c>
      <c r="DS3530" s="5" t="s">
        <v>731</v>
      </c>
      <c r="DT3530" s="5" t="s">
        <v>240</v>
      </c>
      <c r="DU3530" s="5" t="s">
        <v>240</v>
      </c>
      <c r="DV3530" s="5" t="s">
        <v>3683</v>
      </c>
      <c r="DW3530" s="5" t="s">
        <v>806</v>
      </c>
      <c r="DX3530" s="5" t="s">
        <v>240</v>
      </c>
      <c r="DY3530" s="5" t="s">
        <v>240</v>
      </c>
      <c r="DZ3530" s="5" t="s">
        <v>240</v>
      </c>
      <c r="EA3530" s="5" t="s">
        <v>240</v>
      </c>
      <c r="EB3530" s="5" t="s">
        <v>240</v>
      </c>
      <c r="EC3530" s="5" t="s">
        <v>240</v>
      </c>
      <c r="ED3530" s="5" t="s">
        <v>240</v>
      </c>
      <c r="EE3530" s="5" t="s">
        <v>240</v>
      </c>
      <c r="EF3530" s="5" t="s">
        <v>240</v>
      </c>
      <c r="EG3530" s="5" t="s">
        <v>240</v>
      </c>
      <c r="EH3530" s="5" t="s">
        <v>240</v>
      </c>
      <c r="EI3530" s="5" t="s">
        <v>240</v>
      </c>
      <c r="EJ3530" s="5" t="s">
        <v>240</v>
      </c>
      <c r="EK3530" s="5" t="s">
        <v>240</v>
      </c>
      <c r="EL3530" s="5" t="s">
        <v>240</v>
      </c>
      <c r="EM3530" s="5" t="s">
        <v>240</v>
      </c>
      <c r="EN3530" s="5" t="s">
        <v>240</v>
      </c>
      <c r="EO3530" s="5" t="s">
        <v>240</v>
      </c>
      <c r="EP3530" s="5" t="s">
        <v>240</v>
      </c>
      <c r="EQ3530" s="5" t="s">
        <v>240</v>
      </c>
      <c r="ER3530" s="5" t="s">
        <v>240</v>
      </c>
      <c r="ES3530" s="5" t="s">
        <v>240</v>
      </c>
      <c r="ET3530" s="5" t="s">
        <v>240</v>
      </c>
      <c r="EU3530" s="5" t="s">
        <v>240</v>
      </c>
      <c r="EV3530" s="5" t="s">
        <v>240</v>
      </c>
      <c r="EW3530" s="5" t="s">
        <v>240</v>
      </c>
      <c r="EX3530" s="5" t="s">
        <v>240</v>
      </c>
      <c r="EY3530" s="5" t="s">
        <v>240</v>
      </c>
      <c r="EZ3530" s="5" t="s">
        <v>240</v>
      </c>
      <c r="FA3530" s="5" t="s">
        <v>240</v>
      </c>
      <c r="FB3530" s="5" t="s">
        <v>240</v>
      </c>
      <c r="FC3530" s="5" t="s">
        <v>240</v>
      </c>
      <c r="FD3530" s="5" t="s">
        <v>240</v>
      </c>
      <c r="FE3530" s="5" t="s">
        <v>240</v>
      </c>
      <c r="FF3530" s="5" t="s">
        <v>240</v>
      </c>
      <c r="FG3530" s="5" t="s">
        <v>240</v>
      </c>
      <c r="FH3530" s="5" t="s">
        <v>240</v>
      </c>
      <c r="FI3530" s="5" t="s">
        <v>240</v>
      </c>
      <c r="FJ3530" s="5" t="s">
        <v>240</v>
      </c>
      <c r="FK3530" s="5" t="s">
        <v>240</v>
      </c>
      <c r="FL3530" s="5" t="s">
        <v>240</v>
      </c>
      <c r="FM3530" s="5" t="s">
        <v>240</v>
      </c>
      <c r="FN3530" s="5" t="s">
        <v>240</v>
      </c>
      <c r="FO3530" s="5" t="s">
        <v>240</v>
      </c>
      <c r="FP3530" s="5" t="s">
        <v>240</v>
      </c>
      <c r="FQ3530" s="5" t="s">
        <v>240</v>
      </c>
      <c r="FR3530" s="5" t="s">
        <v>240</v>
      </c>
      <c r="FS3530" s="5" t="s">
        <v>240</v>
      </c>
      <c r="FT3530" s="5" t="s">
        <v>240</v>
      </c>
      <c r="FU3530" s="5" t="s">
        <v>240</v>
      </c>
      <c r="FV3530" s="5" t="s">
        <v>240</v>
      </c>
      <c r="FW3530" s="5" t="s">
        <v>240</v>
      </c>
      <c r="FX3530" s="5" t="s">
        <v>240</v>
      </c>
      <c r="FY3530" s="5" t="s">
        <v>240</v>
      </c>
      <c r="FZ3530" s="5" t="s">
        <v>240</v>
      </c>
      <c r="GA3530" s="5" t="s">
        <v>240</v>
      </c>
      <c r="GB3530" s="5" t="s">
        <v>240</v>
      </c>
      <c r="GC3530" s="5" t="s">
        <v>240</v>
      </c>
      <c r="GD3530" s="5" t="s">
        <v>240</v>
      </c>
      <c r="GE3530" s="5" t="s">
        <v>240</v>
      </c>
      <c r="GF3530" s="5" t="s">
        <v>240</v>
      </c>
      <c r="GG3530" s="5" t="s">
        <v>240</v>
      </c>
      <c r="GH3530" s="5" t="s">
        <v>240</v>
      </c>
      <c r="GI3530" s="5" t="s">
        <v>240</v>
      </c>
      <c r="GJ3530" s="5" t="s">
        <v>240</v>
      </c>
      <c r="GK3530" s="5" t="s">
        <v>240</v>
      </c>
      <c r="GL3530" s="5" t="s">
        <v>240</v>
      </c>
      <c r="GM3530" s="5" t="s">
        <v>240</v>
      </c>
      <c r="GN3530" s="5" t="s">
        <v>240</v>
      </c>
      <c r="GO3530" s="5" t="s">
        <v>240</v>
      </c>
      <c r="GP3530" s="5" t="s">
        <v>240</v>
      </c>
      <c r="GQ3530" s="5" t="s">
        <v>240</v>
      </c>
      <c r="GR3530" s="5" t="s">
        <v>240</v>
      </c>
      <c r="GS3530" s="5" t="s">
        <v>240</v>
      </c>
      <c r="GT3530" s="5" t="s">
        <v>240</v>
      </c>
      <c r="GU3530" s="5" t="s">
        <v>240</v>
      </c>
      <c r="GV3530" s="5" t="s">
        <v>240</v>
      </c>
      <c r="GW3530" s="5" t="s">
        <v>240</v>
      </c>
      <c r="GX3530" s="5" t="s">
        <v>240</v>
      </c>
      <c r="GY3530" s="5" t="s">
        <v>240</v>
      </c>
      <c r="GZ3530" s="5" t="s">
        <v>240</v>
      </c>
      <c r="HA3530" s="5" t="s">
        <v>240</v>
      </c>
      <c r="HB3530" s="5" t="s">
        <v>240</v>
      </c>
      <c r="HC3530" s="5" t="s">
        <v>240</v>
      </c>
      <c r="HD3530" s="5" t="s">
        <v>240</v>
      </c>
      <c r="HE3530" s="5" t="s">
        <v>240</v>
      </c>
      <c r="HF3530" s="5" t="s">
        <v>240</v>
      </c>
      <c r="HG3530" s="5" t="s">
        <v>240</v>
      </c>
      <c r="HH3530" s="5" t="s">
        <v>240</v>
      </c>
      <c r="HI3530" s="5" t="s">
        <v>240</v>
      </c>
      <c r="HJ3530" s="5" t="s">
        <v>240</v>
      </c>
      <c r="HK3530" s="5" t="s">
        <v>240</v>
      </c>
      <c r="HL3530" s="5" t="s">
        <v>240</v>
      </c>
      <c r="HM3530" s="5" t="s">
        <v>240</v>
      </c>
      <c r="HN3530" s="5" t="s">
        <v>240</v>
      </c>
      <c r="HO3530" s="5" t="s">
        <v>312</v>
      </c>
      <c r="HP3530" s="5" t="s">
        <v>240</v>
      </c>
      <c r="HQ3530" s="5" t="s">
        <v>240</v>
      </c>
      <c r="HR3530" s="5" t="s">
        <v>240</v>
      </c>
      <c r="HS3530" s="5" t="s">
        <v>240</v>
      </c>
      <c r="HT3530" s="5" t="s">
        <v>240</v>
      </c>
      <c r="HU3530" s="5" t="s">
        <v>240</v>
      </c>
      <c r="HV3530" s="5" t="s">
        <v>240</v>
      </c>
      <c r="HW3530" s="5" t="s">
        <v>240</v>
      </c>
      <c r="HX3530" s="5" t="s">
        <v>240</v>
      </c>
      <c r="HY3530" s="5" t="s">
        <v>240</v>
      </c>
      <c r="HZ3530" s="5" t="s">
        <v>240</v>
      </c>
      <c r="IA3530" s="5" t="s">
        <v>240</v>
      </c>
      <c r="IB3530" s="5" t="s">
        <v>240</v>
      </c>
      <c r="IC3530" s="5" t="s">
        <v>240</v>
      </c>
      <c r="ID3530" s="5" t="s">
        <v>240</v>
      </c>
      <c r="IE3530" s="5" t="s">
        <v>240</v>
      </c>
      <c r="IF3530" s="5" t="s">
        <v>240</v>
      </c>
    </row>
    <row r="3531" spans="1:240" x14ac:dyDescent="0.4">
      <c r="A3531" s="5">
        <v>9073</v>
      </c>
      <c r="B3531" s="5">
        <v>1</v>
      </c>
      <c r="C3531" s="5">
        <v>1</v>
      </c>
      <c r="D3531" s="5" t="s">
        <v>723</v>
      </c>
      <c r="E3531" s="5" t="s">
        <v>5060</v>
      </c>
      <c r="F3531" s="5" t="s">
        <v>254</v>
      </c>
      <c r="G3531" s="5" t="s">
        <v>5061</v>
      </c>
      <c r="H3531" s="6" t="s">
        <v>5887</v>
      </c>
      <c r="I3531" s="5" t="s">
        <v>5886</v>
      </c>
      <c r="J3531" s="7">
        <f>1</f>
        <v>1</v>
      </c>
      <c r="K3531" s="5" t="s">
        <v>3682</v>
      </c>
      <c r="L3531" s="7">
        <f>1</f>
        <v>1</v>
      </c>
      <c r="M3531" s="7">
        <f>1</f>
        <v>1</v>
      </c>
      <c r="N3531" s="5" t="s">
        <v>242</v>
      </c>
      <c r="O3531" s="5">
        <v>1</v>
      </c>
      <c r="P3531" s="5" t="s">
        <v>294</v>
      </c>
      <c r="Q3531" s="5" t="s">
        <v>613</v>
      </c>
      <c r="R3531" s="5" t="s">
        <v>240</v>
      </c>
      <c r="S3531" s="5" t="s">
        <v>240</v>
      </c>
      <c r="T3531" s="5" t="s">
        <v>243</v>
      </c>
      <c r="U3531" s="5" t="s">
        <v>724</v>
      </c>
      <c r="V3531" s="5" t="s">
        <v>240</v>
      </c>
      <c r="W3531" s="5" t="s">
        <v>240</v>
      </c>
      <c r="X3531" s="5" t="s">
        <v>240</v>
      </c>
      <c r="Y3531" s="5" t="s">
        <v>240</v>
      </c>
      <c r="Z3531" s="6" t="s">
        <v>298</v>
      </c>
      <c r="AA3531" s="6" t="s">
        <v>240</v>
      </c>
      <c r="AB3531" s="6" t="s">
        <v>240</v>
      </c>
      <c r="AC3531" s="5" t="s">
        <v>240</v>
      </c>
      <c r="AD3531" s="6" t="s">
        <v>240</v>
      </c>
      <c r="AE3531" s="6" t="s">
        <v>299</v>
      </c>
      <c r="AF3531" s="5" t="s">
        <v>727</v>
      </c>
      <c r="AG3531" s="5" t="s">
        <v>260</v>
      </c>
      <c r="AH3531" s="5" t="s">
        <v>240</v>
      </c>
      <c r="AI3531" s="5" t="s">
        <v>240</v>
      </c>
      <c r="AJ3531" s="5" t="s">
        <v>240</v>
      </c>
      <c r="AK3531" s="5" t="s">
        <v>240</v>
      </c>
      <c r="AL3531" s="5" t="s">
        <v>240</v>
      </c>
      <c r="AM3531" s="5" t="s">
        <v>240</v>
      </c>
      <c r="AN3531" s="5" t="s">
        <v>240</v>
      </c>
      <c r="AO3531" s="5" t="s">
        <v>240</v>
      </c>
      <c r="AP3531" s="6" t="s">
        <v>240</v>
      </c>
      <c r="AQ3531" s="6" t="s">
        <v>240</v>
      </c>
      <c r="AR3531" s="6" t="s">
        <v>240</v>
      </c>
      <c r="AS3531" s="6" t="s">
        <v>240</v>
      </c>
      <c r="AT3531" s="5" t="s">
        <v>240</v>
      </c>
      <c r="AU3531" s="5" t="s">
        <v>729</v>
      </c>
      <c r="AV3531" s="5" t="s">
        <v>729</v>
      </c>
      <c r="AW3531" s="5" t="s">
        <v>251</v>
      </c>
      <c r="AX3531" s="5" t="s">
        <v>252</v>
      </c>
      <c r="AY3531" s="5" t="s">
        <v>253</v>
      </c>
      <c r="AZ3531" s="5" t="s">
        <v>240</v>
      </c>
      <c r="BA3531" s="5" t="s">
        <v>255</v>
      </c>
      <c r="BB3531" s="5" t="s">
        <v>731</v>
      </c>
      <c r="BD3531" s="5" t="s">
        <v>240</v>
      </c>
      <c r="BF3531" s="5" t="s">
        <v>732</v>
      </c>
      <c r="BG3531" s="6" t="s">
        <v>733</v>
      </c>
      <c r="BH3531" s="5" t="s">
        <v>734</v>
      </c>
      <c r="BI3531" s="5" t="s">
        <v>734</v>
      </c>
      <c r="BJ3531" s="5" t="s">
        <v>240</v>
      </c>
      <c r="BK3531" s="8">
        <f>1044</f>
        <v>1044</v>
      </c>
      <c r="BL3531" s="7">
        <f>0</f>
        <v>0</v>
      </c>
      <c r="BM3531" s="5" t="s">
        <v>258</v>
      </c>
      <c r="BN3531" s="5" t="s">
        <v>259</v>
      </c>
      <c r="BO3531" s="5" t="s">
        <v>240</v>
      </c>
      <c r="BP3531" s="5" t="s">
        <v>240</v>
      </c>
      <c r="BQ3531" s="5" t="s">
        <v>240</v>
      </c>
      <c r="BR3531" s="5" t="s">
        <v>240</v>
      </c>
      <c r="BS3531" s="5" t="s">
        <v>240</v>
      </c>
      <c r="BT3531" s="5" t="s">
        <v>240</v>
      </c>
      <c r="BU3531" s="5" t="s">
        <v>240</v>
      </c>
      <c r="BV3531" s="5" t="s">
        <v>240</v>
      </c>
      <c r="BW3531" s="6" t="s">
        <v>240</v>
      </c>
      <c r="BX3531" s="5" t="s">
        <v>240</v>
      </c>
      <c r="BY3531" s="5" t="s">
        <v>240</v>
      </c>
      <c r="BZ3531" s="5" t="s">
        <v>240</v>
      </c>
      <c r="CA3531" s="5" t="s">
        <v>259</v>
      </c>
      <c r="CB3531" s="5" t="s">
        <v>240</v>
      </c>
      <c r="CC3531" s="5" t="s">
        <v>240</v>
      </c>
      <c r="CD3531" s="5" t="s">
        <v>240</v>
      </c>
      <c r="CE3531" s="5" t="s">
        <v>240</v>
      </c>
      <c r="CF3531" s="5" t="s">
        <v>240</v>
      </c>
      <c r="CG3531" s="5" t="s">
        <v>617</v>
      </c>
      <c r="CH3531" s="5" t="s">
        <v>305</v>
      </c>
      <c r="CI3531" s="5" t="s">
        <v>240</v>
      </c>
      <c r="CL3531" s="6" t="s">
        <v>261</v>
      </c>
      <c r="CM3531" s="5" t="s">
        <v>262</v>
      </c>
      <c r="CN3531" s="5" t="s">
        <v>263</v>
      </c>
      <c r="CO3531" s="5" t="s">
        <v>264</v>
      </c>
      <c r="CP3531" s="5" t="s">
        <v>240</v>
      </c>
      <c r="CQ3531" s="5">
        <v>0</v>
      </c>
      <c r="CR3531" s="5" t="s">
        <v>735</v>
      </c>
      <c r="CS3531" s="5" t="s">
        <v>307</v>
      </c>
      <c r="CT3531" s="5" t="s">
        <v>307</v>
      </c>
      <c r="CU3531" s="5" t="s">
        <v>260</v>
      </c>
      <c r="CV3531" s="5" t="s">
        <v>240</v>
      </c>
      <c r="CW3531" s="8">
        <f>0</f>
        <v>0</v>
      </c>
      <c r="CX3531" s="7">
        <f>0</f>
        <v>0</v>
      </c>
      <c r="CY3531" s="7">
        <f>0</f>
        <v>0</v>
      </c>
      <c r="DA3531" s="7">
        <f>11484</f>
        <v>11484</v>
      </c>
      <c r="DB3531" s="7" t="s">
        <v>240</v>
      </c>
      <c r="DC3531" s="5" t="s">
        <v>240</v>
      </c>
      <c r="DD3531" s="5" t="s">
        <v>240</v>
      </c>
      <c r="DE3531" s="5" t="s">
        <v>240</v>
      </c>
      <c r="DF3531" s="5" t="s">
        <v>450</v>
      </c>
      <c r="DG3531" s="7">
        <f>0</f>
        <v>0</v>
      </c>
      <c r="DI3531" s="5" t="s">
        <v>737</v>
      </c>
      <c r="DJ3531" s="5" t="s">
        <v>240</v>
      </c>
      <c r="DK3531" s="5" t="s">
        <v>240</v>
      </c>
      <c r="DL3531" s="5" t="s">
        <v>240</v>
      </c>
      <c r="DM3531" s="5" t="s">
        <v>240</v>
      </c>
      <c r="DN3531" s="5" t="s">
        <v>240</v>
      </c>
      <c r="DO3531" s="7" t="s">
        <v>240</v>
      </c>
      <c r="DP3531" s="5" t="s">
        <v>240</v>
      </c>
      <c r="DQ3531" s="5" t="s">
        <v>240</v>
      </c>
      <c r="DR3531" s="5" t="s">
        <v>731</v>
      </c>
      <c r="DS3531" s="5" t="s">
        <v>731</v>
      </c>
      <c r="DT3531" s="5" t="s">
        <v>240</v>
      </c>
      <c r="DU3531" s="5" t="s">
        <v>240</v>
      </c>
      <c r="DV3531" s="5" t="s">
        <v>738</v>
      </c>
      <c r="DW3531" s="5" t="s">
        <v>740</v>
      </c>
      <c r="DX3531" s="5" t="s">
        <v>240</v>
      </c>
      <c r="DY3531" s="5" t="s">
        <v>240</v>
      </c>
      <c r="DZ3531" s="5" t="s">
        <v>240</v>
      </c>
      <c r="EA3531" s="5" t="s">
        <v>240</v>
      </c>
      <c r="EB3531" s="5" t="s">
        <v>240</v>
      </c>
      <c r="EC3531" s="5" t="s">
        <v>240</v>
      </c>
      <c r="ED3531" s="5" t="s">
        <v>240</v>
      </c>
      <c r="EE3531" s="5" t="s">
        <v>240</v>
      </c>
      <c r="EF3531" s="5" t="s">
        <v>240</v>
      </c>
      <c r="EG3531" s="5" t="s">
        <v>240</v>
      </c>
      <c r="EH3531" s="5" t="s">
        <v>240</v>
      </c>
      <c r="EI3531" s="5" t="s">
        <v>240</v>
      </c>
      <c r="EJ3531" s="5" t="s">
        <v>240</v>
      </c>
      <c r="EK3531" s="5" t="s">
        <v>240</v>
      </c>
      <c r="EL3531" s="5" t="s">
        <v>240</v>
      </c>
      <c r="EM3531" s="5" t="s">
        <v>240</v>
      </c>
      <c r="EN3531" s="5" t="s">
        <v>240</v>
      </c>
      <c r="EO3531" s="5" t="s">
        <v>240</v>
      </c>
      <c r="EP3531" s="5" t="s">
        <v>240</v>
      </c>
      <c r="EQ3531" s="5" t="s">
        <v>240</v>
      </c>
      <c r="ER3531" s="5" t="s">
        <v>240</v>
      </c>
      <c r="ES3531" s="5" t="s">
        <v>240</v>
      </c>
      <c r="ET3531" s="5" t="s">
        <v>240</v>
      </c>
      <c r="EU3531" s="5" t="s">
        <v>240</v>
      </c>
      <c r="EV3531" s="5" t="s">
        <v>240</v>
      </c>
      <c r="EW3531" s="5" t="s">
        <v>240</v>
      </c>
      <c r="EX3531" s="5" t="s">
        <v>240</v>
      </c>
      <c r="EY3531" s="5" t="s">
        <v>240</v>
      </c>
      <c r="EZ3531" s="5" t="s">
        <v>240</v>
      </c>
      <c r="FA3531" s="5" t="s">
        <v>240</v>
      </c>
      <c r="FB3531" s="5" t="s">
        <v>240</v>
      </c>
      <c r="FC3531" s="5" t="s">
        <v>240</v>
      </c>
      <c r="FD3531" s="5" t="s">
        <v>240</v>
      </c>
      <c r="FE3531" s="5" t="s">
        <v>240</v>
      </c>
      <c r="FF3531" s="5" t="s">
        <v>240</v>
      </c>
      <c r="FG3531" s="5" t="s">
        <v>240</v>
      </c>
      <c r="FH3531" s="5" t="s">
        <v>240</v>
      </c>
      <c r="FI3531" s="5" t="s">
        <v>240</v>
      </c>
      <c r="FJ3531" s="5" t="s">
        <v>240</v>
      </c>
      <c r="FK3531" s="5" t="s">
        <v>240</v>
      </c>
      <c r="FL3531" s="5" t="s">
        <v>240</v>
      </c>
      <c r="FM3531" s="5" t="s">
        <v>240</v>
      </c>
      <c r="FN3531" s="5" t="s">
        <v>240</v>
      </c>
      <c r="FO3531" s="5" t="s">
        <v>240</v>
      </c>
      <c r="FP3531" s="5" t="s">
        <v>240</v>
      </c>
      <c r="FQ3531" s="5" t="s">
        <v>240</v>
      </c>
      <c r="FR3531" s="5" t="s">
        <v>240</v>
      </c>
      <c r="FS3531" s="5" t="s">
        <v>240</v>
      </c>
      <c r="FT3531" s="5" t="s">
        <v>240</v>
      </c>
      <c r="FU3531" s="5" t="s">
        <v>240</v>
      </c>
      <c r="FV3531" s="5" t="s">
        <v>240</v>
      </c>
      <c r="FW3531" s="5" t="s">
        <v>240</v>
      </c>
      <c r="FX3531" s="5" t="s">
        <v>240</v>
      </c>
      <c r="FY3531" s="5" t="s">
        <v>240</v>
      </c>
      <c r="FZ3531" s="5" t="s">
        <v>240</v>
      </c>
      <c r="GA3531" s="5" t="s">
        <v>240</v>
      </c>
      <c r="GB3531" s="5" t="s">
        <v>240</v>
      </c>
      <c r="GC3531" s="5" t="s">
        <v>240</v>
      </c>
      <c r="GD3531" s="5" t="s">
        <v>240</v>
      </c>
      <c r="GE3531" s="5" t="s">
        <v>240</v>
      </c>
      <c r="GF3531" s="5" t="s">
        <v>240</v>
      </c>
      <c r="GG3531" s="5" t="s">
        <v>240</v>
      </c>
      <c r="GH3531" s="5" t="s">
        <v>240</v>
      </c>
      <c r="GI3531" s="5" t="s">
        <v>240</v>
      </c>
      <c r="GJ3531" s="5" t="s">
        <v>240</v>
      </c>
      <c r="GK3531" s="5" t="s">
        <v>240</v>
      </c>
      <c r="GL3531" s="5" t="s">
        <v>240</v>
      </c>
      <c r="GM3531" s="5" t="s">
        <v>240</v>
      </c>
      <c r="GN3531" s="5" t="s">
        <v>240</v>
      </c>
      <c r="GO3531" s="5" t="s">
        <v>240</v>
      </c>
      <c r="GP3531" s="5" t="s">
        <v>240</v>
      </c>
      <c r="GQ3531" s="5" t="s">
        <v>240</v>
      </c>
      <c r="GR3531" s="5" t="s">
        <v>240</v>
      </c>
      <c r="GS3531" s="5" t="s">
        <v>240</v>
      </c>
      <c r="GT3531" s="5" t="s">
        <v>240</v>
      </c>
      <c r="GU3531" s="5" t="s">
        <v>240</v>
      </c>
      <c r="GV3531" s="5" t="s">
        <v>240</v>
      </c>
      <c r="GW3531" s="5" t="s">
        <v>240</v>
      </c>
      <c r="GX3531" s="5" t="s">
        <v>240</v>
      </c>
      <c r="GY3531" s="5" t="s">
        <v>240</v>
      </c>
      <c r="GZ3531" s="5" t="s">
        <v>240</v>
      </c>
      <c r="HA3531" s="5" t="s">
        <v>240</v>
      </c>
      <c r="HB3531" s="5" t="s">
        <v>240</v>
      </c>
      <c r="HC3531" s="5" t="s">
        <v>240</v>
      </c>
      <c r="HD3531" s="5" t="s">
        <v>240</v>
      </c>
      <c r="HE3531" s="5" t="s">
        <v>240</v>
      </c>
      <c r="HF3531" s="5" t="s">
        <v>240</v>
      </c>
      <c r="HG3531" s="5" t="s">
        <v>240</v>
      </c>
      <c r="HH3531" s="5" t="s">
        <v>240</v>
      </c>
      <c r="HI3531" s="5" t="s">
        <v>240</v>
      </c>
      <c r="HJ3531" s="5" t="s">
        <v>240</v>
      </c>
      <c r="HK3531" s="5" t="s">
        <v>240</v>
      </c>
      <c r="HL3531" s="5" t="s">
        <v>240</v>
      </c>
      <c r="HM3531" s="5" t="s">
        <v>240</v>
      </c>
      <c r="HN3531" s="5" t="s">
        <v>240</v>
      </c>
      <c r="HO3531" s="5" t="s">
        <v>312</v>
      </c>
      <c r="HP3531" s="5" t="s">
        <v>240</v>
      </c>
      <c r="HQ3531" s="5" t="s">
        <v>240</v>
      </c>
      <c r="HR3531" s="5" t="s">
        <v>240</v>
      </c>
      <c r="HS3531" s="5" t="s">
        <v>240</v>
      </c>
      <c r="HT3531" s="5" t="s">
        <v>240</v>
      </c>
      <c r="HU3531" s="5" t="s">
        <v>240</v>
      </c>
      <c r="HV3531" s="5" t="s">
        <v>240</v>
      </c>
      <c r="HW3531" s="5" t="s">
        <v>240</v>
      </c>
      <c r="HX3531" s="5" t="s">
        <v>240</v>
      </c>
      <c r="HY3531" s="5" t="s">
        <v>240</v>
      </c>
      <c r="HZ3531" s="5" t="s">
        <v>240</v>
      </c>
      <c r="IA3531" s="5" t="s">
        <v>240</v>
      </c>
      <c r="IB3531" s="5" t="s">
        <v>240</v>
      </c>
      <c r="IC3531" s="5" t="s">
        <v>240</v>
      </c>
      <c r="ID3531" s="5" t="s">
        <v>240</v>
      </c>
      <c r="IE3531" s="5" t="s">
        <v>240</v>
      </c>
      <c r="IF3531" s="5" t="s">
        <v>240</v>
      </c>
    </row>
    <row r="3532" spans="1:240" x14ac:dyDescent="0.4">
      <c r="A3532" s="5">
        <v>9074</v>
      </c>
      <c r="B3532" s="5">
        <v>1</v>
      </c>
      <c r="C3532" s="5">
        <v>1</v>
      </c>
      <c r="D3532" s="5" t="s">
        <v>723</v>
      </c>
      <c r="E3532" s="5" t="s">
        <v>5060</v>
      </c>
      <c r="F3532" s="5" t="s">
        <v>254</v>
      </c>
      <c r="G3532" s="5" t="s">
        <v>5061</v>
      </c>
      <c r="H3532" s="6" t="s">
        <v>5885</v>
      </c>
      <c r="I3532" s="5" t="s">
        <v>5884</v>
      </c>
      <c r="J3532" s="7">
        <f>1</f>
        <v>1</v>
      </c>
      <c r="K3532" s="5" t="s">
        <v>3682</v>
      </c>
      <c r="L3532" s="7">
        <f>1</f>
        <v>1</v>
      </c>
      <c r="M3532" s="7">
        <f>1</f>
        <v>1</v>
      </c>
      <c r="N3532" s="5" t="s">
        <v>242</v>
      </c>
      <c r="O3532" s="5">
        <v>1</v>
      </c>
      <c r="P3532" s="5" t="s">
        <v>294</v>
      </c>
      <c r="Q3532" s="5" t="s">
        <v>3678</v>
      </c>
      <c r="R3532" s="5" t="s">
        <v>240</v>
      </c>
      <c r="S3532" s="5" t="s">
        <v>240</v>
      </c>
      <c r="T3532" s="5" t="s">
        <v>243</v>
      </c>
      <c r="U3532" s="5" t="s">
        <v>244</v>
      </c>
      <c r="V3532" s="5" t="s">
        <v>240</v>
      </c>
      <c r="W3532" s="5" t="s">
        <v>240</v>
      </c>
      <c r="X3532" s="5" t="s">
        <v>240</v>
      </c>
      <c r="Y3532" s="5" t="s">
        <v>240</v>
      </c>
      <c r="Z3532" s="6" t="s">
        <v>298</v>
      </c>
      <c r="AA3532" s="6" t="s">
        <v>240</v>
      </c>
      <c r="AB3532" s="6" t="s">
        <v>240</v>
      </c>
      <c r="AC3532" s="5" t="s">
        <v>240</v>
      </c>
      <c r="AD3532" s="6" t="s">
        <v>240</v>
      </c>
      <c r="AE3532" s="6" t="s">
        <v>299</v>
      </c>
      <c r="AF3532" s="5" t="s">
        <v>248</v>
      </c>
      <c r="AG3532" s="5" t="s">
        <v>249</v>
      </c>
      <c r="AH3532" s="5" t="s">
        <v>240</v>
      </c>
      <c r="AI3532" s="5" t="s">
        <v>240</v>
      </c>
      <c r="AJ3532" s="5" t="s">
        <v>240</v>
      </c>
      <c r="AK3532" s="5" t="s">
        <v>240</v>
      </c>
      <c r="AL3532" s="5" t="s">
        <v>240</v>
      </c>
      <c r="AM3532" s="5" t="s">
        <v>240</v>
      </c>
      <c r="AN3532" s="5" t="s">
        <v>240</v>
      </c>
      <c r="AO3532" s="5" t="s">
        <v>240</v>
      </c>
      <c r="AP3532" s="6" t="s">
        <v>240</v>
      </c>
      <c r="AQ3532" s="6" t="s">
        <v>240</v>
      </c>
      <c r="AR3532" s="6" t="s">
        <v>240</v>
      </c>
      <c r="AS3532" s="6" t="s">
        <v>240</v>
      </c>
      <c r="AT3532" s="5" t="s">
        <v>240</v>
      </c>
      <c r="AU3532" s="5" t="s">
        <v>729</v>
      </c>
      <c r="AV3532" s="5" t="s">
        <v>729</v>
      </c>
      <c r="AW3532" s="5" t="s">
        <v>251</v>
      </c>
      <c r="AX3532" s="5" t="s">
        <v>252</v>
      </c>
      <c r="AY3532" s="5" t="s">
        <v>253</v>
      </c>
      <c r="AZ3532" s="5" t="s">
        <v>240</v>
      </c>
      <c r="BA3532" s="5" t="s">
        <v>255</v>
      </c>
      <c r="BB3532" s="5" t="s">
        <v>731</v>
      </c>
      <c r="BD3532" s="5" t="s">
        <v>240</v>
      </c>
      <c r="BF3532" s="5" t="s">
        <v>732</v>
      </c>
      <c r="BG3532" s="6" t="s">
        <v>733</v>
      </c>
      <c r="BH3532" s="5" t="s">
        <v>734</v>
      </c>
      <c r="BI3532" s="5" t="s">
        <v>734</v>
      </c>
      <c r="BJ3532" s="5" t="s">
        <v>240</v>
      </c>
      <c r="BK3532" s="7">
        <f>1</f>
        <v>1</v>
      </c>
      <c r="BL3532" s="7">
        <f>1</f>
        <v>1</v>
      </c>
      <c r="BM3532" s="5" t="s">
        <v>258</v>
      </c>
      <c r="BN3532" s="5" t="s">
        <v>259</v>
      </c>
      <c r="BO3532" s="5" t="s">
        <v>240</v>
      </c>
      <c r="BP3532" s="5" t="s">
        <v>240</v>
      </c>
      <c r="BQ3532" s="5" t="s">
        <v>240</v>
      </c>
      <c r="BR3532" s="5" t="s">
        <v>240</v>
      </c>
      <c r="BS3532" s="5" t="s">
        <v>240</v>
      </c>
      <c r="BT3532" s="5" t="s">
        <v>240</v>
      </c>
      <c r="BU3532" s="5" t="s">
        <v>240</v>
      </c>
      <c r="BV3532" s="5" t="s">
        <v>240</v>
      </c>
      <c r="BW3532" s="6" t="s">
        <v>240</v>
      </c>
      <c r="BX3532" s="5" t="s">
        <v>240</v>
      </c>
      <c r="BY3532" s="5" t="s">
        <v>240</v>
      </c>
      <c r="BZ3532" s="5" t="s">
        <v>240</v>
      </c>
      <c r="CA3532" s="5" t="s">
        <v>259</v>
      </c>
      <c r="CB3532" s="5" t="s">
        <v>240</v>
      </c>
      <c r="CC3532" s="5" t="s">
        <v>240</v>
      </c>
      <c r="CD3532" s="5" t="s">
        <v>240</v>
      </c>
      <c r="CE3532" s="5" t="s">
        <v>240</v>
      </c>
      <c r="CF3532" s="5" t="s">
        <v>240</v>
      </c>
      <c r="CG3532" s="5" t="s">
        <v>304</v>
      </c>
      <c r="CH3532" s="5" t="s">
        <v>305</v>
      </c>
      <c r="CI3532" s="5" t="s">
        <v>240</v>
      </c>
      <c r="CK3532" s="5" t="s">
        <v>3681</v>
      </c>
      <c r="CL3532" s="6" t="s">
        <v>261</v>
      </c>
      <c r="CM3532" s="5" t="s">
        <v>262</v>
      </c>
      <c r="CN3532" s="5" t="s">
        <v>263</v>
      </c>
      <c r="CO3532" s="5" t="s">
        <v>264</v>
      </c>
      <c r="CP3532" s="5" t="s">
        <v>240</v>
      </c>
      <c r="CQ3532" s="5">
        <v>0</v>
      </c>
      <c r="CR3532" s="5" t="s">
        <v>735</v>
      </c>
      <c r="CS3532" s="5" t="s">
        <v>307</v>
      </c>
      <c r="CT3532" s="5" t="s">
        <v>307</v>
      </c>
      <c r="CU3532" s="5" t="s">
        <v>260</v>
      </c>
      <c r="CV3532" s="5" t="s">
        <v>612</v>
      </c>
      <c r="CW3532" s="8">
        <f>1</f>
        <v>1</v>
      </c>
      <c r="CX3532" s="7">
        <f>1</f>
        <v>1</v>
      </c>
      <c r="CY3532" s="7">
        <f>0</f>
        <v>0</v>
      </c>
      <c r="DA3532" s="7">
        <f>1</f>
        <v>1</v>
      </c>
      <c r="DB3532" s="7" t="s">
        <v>240</v>
      </c>
      <c r="DC3532" s="5" t="s">
        <v>240</v>
      </c>
      <c r="DD3532" s="5" t="s">
        <v>240</v>
      </c>
      <c r="DE3532" s="5" t="s">
        <v>240</v>
      </c>
      <c r="DF3532" s="5" t="s">
        <v>240</v>
      </c>
      <c r="DG3532" s="7">
        <f>0</f>
        <v>0</v>
      </c>
      <c r="DI3532" s="5" t="s">
        <v>240</v>
      </c>
      <c r="DJ3532" s="5" t="s">
        <v>240</v>
      </c>
      <c r="DK3532" s="5" t="s">
        <v>240</v>
      </c>
      <c r="DL3532" s="5" t="s">
        <v>240</v>
      </c>
      <c r="DM3532" s="5" t="s">
        <v>240</v>
      </c>
      <c r="DN3532" s="5" t="s">
        <v>240</v>
      </c>
      <c r="DO3532" s="7" t="s">
        <v>240</v>
      </c>
      <c r="DP3532" s="5" t="s">
        <v>240</v>
      </c>
      <c r="DQ3532" s="5" t="s">
        <v>240</v>
      </c>
      <c r="DR3532" s="5" t="s">
        <v>731</v>
      </c>
      <c r="DS3532" s="5" t="s">
        <v>731</v>
      </c>
      <c r="DT3532" s="5" t="s">
        <v>240</v>
      </c>
      <c r="DU3532" s="5" t="s">
        <v>240</v>
      </c>
      <c r="DV3532" s="5" t="s">
        <v>3683</v>
      </c>
      <c r="DW3532" s="5" t="s">
        <v>658</v>
      </c>
      <c r="DX3532" s="5" t="s">
        <v>240</v>
      </c>
      <c r="DY3532" s="5" t="s">
        <v>240</v>
      </c>
      <c r="DZ3532" s="5" t="s">
        <v>240</v>
      </c>
      <c r="EA3532" s="5" t="s">
        <v>240</v>
      </c>
      <c r="EB3532" s="5" t="s">
        <v>240</v>
      </c>
      <c r="EC3532" s="5" t="s">
        <v>240</v>
      </c>
      <c r="ED3532" s="5" t="s">
        <v>240</v>
      </c>
      <c r="EE3532" s="5" t="s">
        <v>240</v>
      </c>
      <c r="EF3532" s="5" t="s">
        <v>240</v>
      </c>
      <c r="EG3532" s="5" t="s">
        <v>240</v>
      </c>
      <c r="EH3532" s="5" t="s">
        <v>240</v>
      </c>
      <c r="EI3532" s="5" t="s">
        <v>240</v>
      </c>
      <c r="EJ3532" s="5" t="s">
        <v>240</v>
      </c>
      <c r="EK3532" s="5" t="s">
        <v>240</v>
      </c>
      <c r="EL3532" s="5" t="s">
        <v>240</v>
      </c>
      <c r="EM3532" s="5" t="s">
        <v>240</v>
      </c>
      <c r="EN3532" s="5" t="s">
        <v>240</v>
      </c>
      <c r="EO3532" s="5" t="s">
        <v>240</v>
      </c>
      <c r="EP3532" s="5" t="s">
        <v>240</v>
      </c>
      <c r="EQ3532" s="5" t="s">
        <v>240</v>
      </c>
      <c r="ER3532" s="5" t="s">
        <v>240</v>
      </c>
      <c r="ES3532" s="5" t="s">
        <v>240</v>
      </c>
      <c r="ET3532" s="5" t="s">
        <v>240</v>
      </c>
      <c r="EU3532" s="5" t="s">
        <v>240</v>
      </c>
      <c r="EV3532" s="5" t="s">
        <v>240</v>
      </c>
      <c r="EW3532" s="5" t="s">
        <v>240</v>
      </c>
      <c r="EX3532" s="5" t="s">
        <v>240</v>
      </c>
      <c r="EY3532" s="5" t="s">
        <v>240</v>
      </c>
      <c r="EZ3532" s="5" t="s">
        <v>240</v>
      </c>
      <c r="FA3532" s="5" t="s">
        <v>240</v>
      </c>
      <c r="FB3532" s="5" t="s">
        <v>240</v>
      </c>
      <c r="FC3532" s="5" t="s">
        <v>240</v>
      </c>
      <c r="FD3532" s="5" t="s">
        <v>240</v>
      </c>
      <c r="FE3532" s="5" t="s">
        <v>240</v>
      </c>
      <c r="FF3532" s="5" t="s">
        <v>240</v>
      </c>
      <c r="FG3532" s="5" t="s">
        <v>240</v>
      </c>
      <c r="FH3532" s="5" t="s">
        <v>240</v>
      </c>
      <c r="FI3532" s="5" t="s">
        <v>240</v>
      </c>
      <c r="FJ3532" s="5" t="s">
        <v>240</v>
      </c>
      <c r="FK3532" s="5" t="s">
        <v>240</v>
      </c>
      <c r="FL3532" s="5" t="s">
        <v>240</v>
      </c>
      <c r="FM3532" s="5" t="s">
        <v>240</v>
      </c>
      <c r="FN3532" s="5" t="s">
        <v>240</v>
      </c>
      <c r="FO3532" s="5" t="s">
        <v>240</v>
      </c>
      <c r="FP3532" s="5" t="s">
        <v>240</v>
      </c>
      <c r="FQ3532" s="5" t="s">
        <v>240</v>
      </c>
      <c r="FR3532" s="5" t="s">
        <v>240</v>
      </c>
      <c r="FS3532" s="5" t="s">
        <v>240</v>
      </c>
      <c r="FT3532" s="5" t="s">
        <v>240</v>
      </c>
      <c r="FU3532" s="5" t="s">
        <v>240</v>
      </c>
      <c r="FV3532" s="5" t="s">
        <v>240</v>
      </c>
      <c r="FW3532" s="5" t="s">
        <v>240</v>
      </c>
      <c r="FX3532" s="5" t="s">
        <v>240</v>
      </c>
      <c r="FY3532" s="5" t="s">
        <v>240</v>
      </c>
      <c r="FZ3532" s="5" t="s">
        <v>240</v>
      </c>
      <c r="GA3532" s="5" t="s">
        <v>240</v>
      </c>
      <c r="GB3532" s="5" t="s">
        <v>240</v>
      </c>
      <c r="GC3532" s="5" t="s">
        <v>240</v>
      </c>
      <c r="GD3532" s="5" t="s">
        <v>240</v>
      </c>
      <c r="GE3532" s="5" t="s">
        <v>240</v>
      </c>
      <c r="GF3532" s="5" t="s">
        <v>240</v>
      </c>
      <c r="GG3532" s="5" t="s">
        <v>240</v>
      </c>
      <c r="GH3532" s="5" t="s">
        <v>240</v>
      </c>
      <c r="GI3532" s="5" t="s">
        <v>240</v>
      </c>
      <c r="GJ3532" s="5" t="s">
        <v>240</v>
      </c>
      <c r="GK3532" s="5" t="s">
        <v>240</v>
      </c>
      <c r="GL3532" s="5" t="s">
        <v>240</v>
      </c>
      <c r="GM3532" s="5" t="s">
        <v>240</v>
      </c>
      <c r="GN3532" s="5" t="s">
        <v>240</v>
      </c>
      <c r="GO3532" s="5" t="s">
        <v>240</v>
      </c>
      <c r="GP3532" s="5" t="s">
        <v>240</v>
      </c>
      <c r="GQ3532" s="5" t="s">
        <v>240</v>
      </c>
      <c r="GR3532" s="5" t="s">
        <v>240</v>
      </c>
      <c r="GS3532" s="5" t="s">
        <v>240</v>
      </c>
      <c r="GT3532" s="5" t="s">
        <v>240</v>
      </c>
      <c r="GU3532" s="5" t="s">
        <v>240</v>
      </c>
      <c r="GV3532" s="5" t="s">
        <v>240</v>
      </c>
      <c r="GW3532" s="5" t="s">
        <v>240</v>
      </c>
      <c r="GX3532" s="5" t="s">
        <v>240</v>
      </c>
      <c r="GY3532" s="5" t="s">
        <v>240</v>
      </c>
      <c r="GZ3532" s="5" t="s">
        <v>240</v>
      </c>
      <c r="HA3532" s="5" t="s">
        <v>240</v>
      </c>
      <c r="HB3532" s="5" t="s">
        <v>240</v>
      </c>
      <c r="HC3532" s="5" t="s">
        <v>240</v>
      </c>
      <c r="HD3532" s="5" t="s">
        <v>240</v>
      </c>
      <c r="HE3532" s="5" t="s">
        <v>240</v>
      </c>
      <c r="HF3532" s="5" t="s">
        <v>240</v>
      </c>
      <c r="HG3532" s="5" t="s">
        <v>240</v>
      </c>
      <c r="HH3532" s="5" t="s">
        <v>240</v>
      </c>
      <c r="HI3532" s="5" t="s">
        <v>240</v>
      </c>
      <c r="HJ3532" s="5" t="s">
        <v>240</v>
      </c>
      <c r="HK3532" s="5" t="s">
        <v>240</v>
      </c>
      <c r="HL3532" s="5" t="s">
        <v>240</v>
      </c>
      <c r="HM3532" s="5" t="s">
        <v>240</v>
      </c>
      <c r="HN3532" s="5" t="s">
        <v>240</v>
      </c>
      <c r="HO3532" s="5" t="s">
        <v>312</v>
      </c>
      <c r="HP3532" s="5" t="s">
        <v>240</v>
      </c>
      <c r="HQ3532" s="5" t="s">
        <v>240</v>
      </c>
      <c r="HR3532" s="5" t="s">
        <v>240</v>
      </c>
      <c r="HS3532" s="5" t="s">
        <v>240</v>
      </c>
      <c r="HT3532" s="5" t="s">
        <v>240</v>
      </c>
      <c r="HU3532" s="5" t="s">
        <v>240</v>
      </c>
      <c r="HV3532" s="5" t="s">
        <v>240</v>
      </c>
      <c r="HW3532" s="5" t="s">
        <v>240</v>
      </c>
      <c r="HX3532" s="5" t="s">
        <v>240</v>
      </c>
      <c r="HY3532" s="5" t="s">
        <v>240</v>
      </c>
      <c r="HZ3532" s="5" t="s">
        <v>240</v>
      </c>
      <c r="IA3532" s="5" t="s">
        <v>240</v>
      </c>
      <c r="IB3532" s="5" t="s">
        <v>240</v>
      </c>
      <c r="IC3532" s="5" t="s">
        <v>240</v>
      </c>
      <c r="ID3532" s="5" t="s">
        <v>240</v>
      </c>
      <c r="IE3532" s="5" t="s">
        <v>240</v>
      </c>
      <c r="IF3532" s="5" t="s">
        <v>240</v>
      </c>
    </row>
    <row r="3533" spans="1:240" x14ac:dyDescent="0.4">
      <c r="A3533" s="5">
        <v>9075</v>
      </c>
      <c r="B3533" s="5">
        <v>1</v>
      </c>
      <c r="C3533" s="5">
        <v>1</v>
      </c>
      <c r="D3533" s="5" t="s">
        <v>723</v>
      </c>
      <c r="E3533" s="5" t="s">
        <v>5060</v>
      </c>
      <c r="F3533" s="5" t="s">
        <v>254</v>
      </c>
      <c r="G3533" s="5" t="s">
        <v>5061</v>
      </c>
      <c r="H3533" s="6" t="s">
        <v>5883</v>
      </c>
      <c r="I3533" s="5" t="s">
        <v>5882</v>
      </c>
      <c r="J3533" s="7">
        <f>1</f>
        <v>1</v>
      </c>
      <c r="K3533" s="5" t="s">
        <v>3682</v>
      </c>
      <c r="L3533" s="7">
        <f>1</f>
        <v>1</v>
      </c>
      <c r="M3533" s="7">
        <f>1</f>
        <v>1</v>
      </c>
      <c r="N3533" s="5" t="s">
        <v>242</v>
      </c>
      <c r="O3533" s="5">
        <v>1</v>
      </c>
      <c r="P3533" s="5" t="s">
        <v>294</v>
      </c>
      <c r="Q3533" s="5" t="s">
        <v>3678</v>
      </c>
      <c r="R3533" s="5" t="s">
        <v>240</v>
      </c>
      <c r="S3533" s="5" t="s">
        <v>240</v>
      </c>
      <c r="T3533" s="5" t="s">
        <v>243</v>
      </c>
      <c r="U3533" s="5" t="s">
        <v>244</v>
      </c>
      <c r="V3533" s="5" t="s">
        <v>240</v>
      </c>
      <c r="W3533" s="5" t="s">
        <v>240</v>
      </c>
      <c r="X3533" s="5" t="s">
        <v>240</v>
      </c>
      <c r="Y3533" s="5" t="s">
        <v>240</v>
      </c>
      <c r="Z3533" s="6" t="s">
        <v>298</v>
      </c>
      <c r="AA3533" s="6" t="s">
        <v>240</v>
      </c>
      <c r="AB3533" s="6" t="s">
        <v>240</v>
      </c>
      <c r="AC3533" s="5" t="s">
        <v>240</v>
      </c>
      <c r="AD3533" s="6" t="s">
        <v>240</v>
      </c>
      <c r="AE3533" s="6" t="s">
        <v>299</v>
      </c>
      <c r="AF3533" s="5" t="s">
        <v>248</v>
      </c>
      <c r="AG3533" s="5" t="s">
        <v>249</v>
      </c>
      <c r="AH3533" s="5" t="s">
        <v>240</v>
      </c>
      <c r="AI3533" s="5" t="s">
        <v>240</v>
      </c>
      <c r="AJ3533" s="5" t="s">
        <v>240</v>
      </c>
      <c r="AK3533" s="5" t="s">
        <v>240</v>
      </c>
      <c r="AL3533" s="5" t="s">
        <v>240</v>
      </c>
      <c r="AM3533" s="5" t="s">
        <v>240</v>
      </c>
      <c r="AN3533" s="5" t="s">
        <v>240</v>
      </c>
      <c r="AO3533" s="5" t="s">
        <v>240</v>
      </c>
      <c r="AP3533" s="6" t="s">
        <v>240</v>
      </c>
      <c r="AQ3533" s="6" t="s">
        <v>240</v>
      </c>
      <c r="AR3533" s="6" t="s">
        <v>240</v>
      </c>
      <c r="AS3533" s="6" t="s">
        <v>240</v>
      </c>
      <c r="AT3533" s="5" t="s">
        <v>240</v>
      </c>
      <c r="AU3533" s="5" t="s">
        <v>729</v>
      </c>
      <c r="AV3533" s="5" t="s">
        <v>729</v>
      </c>
      <c r="AW3533" s="5" t="s">
        <v>251</v>
      </c>
      <c r="AX3533" s="5" t="s">
        <v>252</v>
      </c>
      <c r="AY3533" s="5" t="s">
        <v>253</v>
      </c>
      <c r="AZ3533" s="5" t="s">
        <v>240</v>
      </c>
      <c r="BA3533" s="5" t="s">
        <v>255</v>
      </c>
      <c r="BB3533" s="5" t="s">
        <v>731</v>
      </c>
      <c r="BD3533" s="5" t="s">
        <v>240</v>
      </c>
      <c r="BF3533" s="5" t="s">
        <v>732</v>
      </c>
      <c r="BG3533" s="6" t="s">
        <v>733</v>
      </c>
      <c r="BH3533" s="5" t="s">
        <v>734</v>
      </c>
      <c r="BI3533" s="5" t="s">
        <v>734</v>
      </c>
      <c r="BJ3533" s="5" t="s">
        <v>240</v>
      </c>
      <c r="BK3533" s="7">
        <f>1</f>
        <v>1</v>
      </c>
      <c r="BL3533" s="7">
        <f>1</f>
        <v>1</v>
      </c>
      <c r="BM3533" s="5" t="s">
        <v>258</v>
      </c>
      <c r="BN3533" s="5" t="s">
        <v>259</v>
      </c>
      <c r="BO3533" s="5" t="s">
        <v>240</v>
      </c>
      <c r="BP3533" s="5" t="s">
        <v>240</v>
      </c>
      <c r="BQ3533" s="5" t="s">
        <v>240</v>
      </c>
      <c r="BR3533" s="5" t="s">
        <v>240</v>
      </c>
      <c r="BS3533" s="5" t="s">
        <v>240</v>
      </c>
      <c r="BT3533" s="5" t="s">
        <v>240</v>
      </c>
      <c r="BU3533" s="5" t="s">
        <v>240</v>
      </c>
      <c r="BV3533" s="5" t="s">
        <v>240</v>
      </c>
      <c r="BW3533" s="6" t="s">
        <v>240</v>
      </c>
      <c r="BX3533" s="5" t="s">
        <v>240</v>
      </c>
      <c r="BY3533" s="5" t="s">
        <v>240</v>
      </c>
      <c r="BZ3533" s="5" t="s">
        <v>240</v>
      </c>
      <c r="CA3533" s="5" t="s">
        <v>259</v>
      </c>
      <c r="CB3533" s="5" t="s">
        <v>240</v>
      </c>
      <c r="CC3533" s="5" t="s">
        <v>240</v>
      </c>
      <c r="CD3533" s="5" t="s">
        <v>240</v>
      </c>
      <c r="CE3533" s="5" t="s">
        <v>240</v>
      </c>
      <c r="CF3533" s="5" t="s">
        <v>240</v>
      </c>
      <c r="CG3533" s="5" t="s">
        <v>304</v>
      </c>
      <c r="CH3533" s="5" t="s">
        <v>305</v>
      </c>
      <c r="CI3533" s="5" t="s">
        <v>240</v>
      </c>
      <c r="CK3533" s="5" t="s">
        <v>3681</v>
      </c>
      <c r="CL3533" s="6" t="s">
        <v>261</v>
      </c>
      <c r="CM3533" s="5" t="s">
        <v>262</v>
      </c>
      <c r="CN3533" s="5" t="s">
        <v>263</v>
      </c>
      <c r="CO3533" s="5" t="s">
        <v>264</v>
      </c>
      <c r="CP3533" s="5" t="s">
        <v>240</v>
      </c>
      <c r="CQ3533" s="5">
        <v>0</v>
      </c>
      <c r="CR3533" s="5" t="s">
        <v>735</v>
      </c>
      <c r="CS3533" s="5" t="s">
        <v>307</v>
      </c>
      <c r="CT3533" s="5" t="s">
        <v>307</v>
      </c>
      <c r="CU3533" s="5" t="s">
        <v>260</v>
      </c>
      <c r="CV3533" s="5" t="s">
        <v>612</v>
      </c>
      <c r="CW3533" s="8">
        <f>1</f>
        <v>1</v>
      </c>
      <c r="CX3533" s="7">
        <f>1</f>
        <v>1</v>
      </c>
      <c r="CY3533" s="7">
        <f>0</f>
        <v>0</v>
      </c>
      <c r="DA3533" s="7">
        <f>1</f>
        <v>1</v>
      </c>
      <c r="DB3533" s="7" t="s">
        <v>240</v>
      </c>
      <c r="DC3533" s="5" t="s">
        <v>240</v>
      </c>
      <c r="DD3533" s="5" t="s">
        <v>240</v>
      </c>
      <c r="DE3533" s="5" t="s">
        <v>240</v>
      </c>
      <c r="DF3533" s="5" t="s">
        <v>240</v>
      </c>
      <c r="DG3533" s="7">
        <f>0</f>
        <v>0</v>
      </c>
      <c r="DI3533" s="5" t="s">
        <v>240</v>
      </c>
      <c r="DJ3533" s="5" t="s">
        <v>240</v>
      </c>
      <c r="DK3533" s="5" t="s">
        <v>240</v>
      </c>
      <c r="DL3533" s="5" t="s">
        <v>240</v>
      </c>
      <c r="DM3533" s="5" t="s">
        <v>240</v>
      </c>
      <c r="DN3533" s="5" t="s">
        <v>240</v>
      </c>
      <c r="DO3533" s="7" t="s">
        <v>240</v>
      </c>
      <c r="DP3533" s="5" t="s">
        <v>240</v>
      </c>
      <c r="DQ3533" s="5" t="s">
        <v>240</v>
      </c>
      <c r="DR3533" s="5" t="s">
        <v>731</v>
      </c>
      <c r="DS3533" s="5" t="s">
        <v>731</v>
      </c>
      <c r="DT3533" s="5" t="s">
        <v>240</v>
      </c>
      <c r="DU3533" s="5" t="s">
        <v>240</v>
      </c>
      <c r="DV3533" s="5" t="s">
        <v>3683</v>
      </c>
      <c r="DW3533" s="5" t="s">
        <v>492</v>
      </c>
      <c r="DX3533" s="5" t="s">
        <v>240</v>
      </c>
      <c r="DY3533" s="5" t="s">
        <v>240</v>
      </c>
      <c r="DZ3533" s="5" t="s">
        <v>240</v>
      </c>
      <c r="EA3533" s="5" t="s">
        <v>240</v>
      </c>
      <c r="EB3533" s="5" t="s">
        <v>240</v>
      </c>
      <c r="EC3533" s="5" t="s">
        <v>240</v>
      </c>
      <c r="ED3533" s="5" t="s">
        <v>240</v>
      </c>
      <c r="EE3533" s="5" t="s">
        <v>240</v>
      </c>
      <c r="EF3533" s="5" t="s">
        <v>240</v>
      </c>
      <c r="EG3533" s="5" t="s">
        <v>240</v>
      </c>
      <c r="EH3533" s="5" t="s">
        <v>240</v>
      </c>
      <c r="EI3533" s="5" t="s">
        <v>240</v>
      </c>
      <c r="EJ3533" s="5" t="s">
        <v>240</v>
      </c>
      <c r="EK3533" s="5" t="s">
        <v>240</v>
      </c>
      <c r="EL3533" s="5" t="s">
        <v>240</v>
      </c>
      <c r="EM3533" s="5" t="s">
        <v>240</v>
      </c>
      <c r="EN3533" s="5" t="s">
        <v>240</v>
      </c>
      <c r="EO3533" s="5" t="s">
        <v>240</v>
      </c>
      <c r="EP3533" s="5" t="s">
        <v>240</v>
      </c>
      <c r="EQ3533" s="5" t="s">
        <v>240</v>
      </c>
      <c r="ER3533" s="5" t="s">
        <v>240</v>
      </c>
      <c r="ES3533" s="5" t="s">
        <v>240</v>
      </c>
      <c r="ET3533" s="5" t="s">
        <v>240</v>
      </c>
      <c r="EU3533" s="5" t="s">
        <v>240</v>
      </c>
      <c r="EV3533" s="5" t="s">
        <v>240</v>
      </c>
      <c r="EW3533" s="5" t="s">
        <v>240</v>
      </c>
      <c r="EX3533" s="5" t="s">
        <v>240</v>
      </c>
      <c r="EY3533" s="5" t="s">
        <v>240</v>
      </c>
      <c r="EZ3533" s="5" t="s">
        <v>240</v>
      </c>
      <c r="FA3533" s="5" t="s">
        <v>240</v>
      </c>
      <c r="FB3533" s="5" t="s">
        <v>240</v>
      </c>
      <c r="FC3533" s="5" t="s">
        <v>240</v>
      </c>
      <c r="FD3533" s="5" t="s">
        <v>240</v>
      </c>
      <c r="FE3533" s="5" t="s">
        <v>240</v>
      </c>
      <c r="FF3533" s="5" t="s">
        <v>240</v>
      </c>
      <c r="FG3533" s="5" t="s">
        <v>240</v>
      </c>
      <c r="FH3533" s="5" t="s">
        <v>240</v>
      </c>
      <c r="FI3533" s="5" t="s">
        <v>240</v>
      </c>
      <c r="FJ3533" s="5" t="s">
        <v>240</v>
      </c>
      <c r="FK3533" s="5" t="s">
        <v>240</v>
      </c>
      <c r="FL3533" s="5" t="s">
        <v>240</v>
      </c>
      <c r="FM3533" s="5" t="s">
        <v>240</v>
      </c>
      <c r="FN3533" s="5" t="s">
        <v>240</v>
      </c>
      <c r="FO3533" s="5" t="s">
        <v>240</v>
      </c>
      <c r="FP3533" s="5" t="s">
        <v>240</v>
      </c>
      <c r="FQ3533" s="5" t="s">
        <v>240</v>
      </c>
      <c r="FR3533" s="5" t="s">
        <v>240</v>
      </c>
      <c r="FS3533" s="5" t="s">
        <v>240</v>
      </c>
      <c r="FT3533" s="5" t="s">
        <v>240</v>
      </c>
      <c r="FU3533" s="5" t="s">
        <v>240</v>
      </c>
      <c r="FV3533" s="5" t="s">
        <v>240</v>
      </c>
      <c r="FW3533" s="5" t="s">
        <v>240</v>
      </c>
      <c r="FX3533" s="5" t="s">
        <v>240</v>
      </c>
      <c r="FY3533" s="5" t="s">
        <v>240</v>
      </c>
      <c r="FZ3533" s="5" t="s">
        <v>240</v>
      </c>
      <c r="GA3533" s="5" t="s">
        <v>240</v>
      </c>
      <c r="GB3533" s="5" t="s">
        <v>240</v>
      </c>
      <c r="GC3533" s="5" t="s">
        <v>240</v>
      </c>
      <c r="GD3533" s="5" t="s">
        <v>240</v>
      </c>
      <c r="GE3533" s="5" t="s">
        <v>240</v>
      </c>
      <c r="GF3533" s="5" t="s">
        <v>240</v>
      </c>
      <c r="GG3533" s="5" t="s">
        <v>240</v>
      </c>
      <c r="GH3533" s="5" t="s">
        <v>240</v>
      </c>
      <c r="GI3533" s="5" t="s">
        <v>240</v>
      </c>
      <c r="GJ3533" s="5" t="s">
        <v>240</v>
      </c>
      <c r="GK3533" s="5" t="s">
        <v>240</v>
      </c>
      <c r="GL3533" s="5" t="s">
        <v>240</v>
      </c>
      <c r="GM3533" s="5" t="s">
        <v>240</v>
      </c>
      <c r="GN3533" s="5" t="s">
        <v>240</v>
      </c>
      <c r="GO3533" s="5" t="s">
        <v>240</v>
      </c>
      <c r="GP3533" s="5" t="s">
        <v>240</v>
      </c>
      <c r="GQ3533" s="5" t="s">
        <v>240</v>
      </c>
      <c r="GR3533" s="5" t="s">
        <v>240</v>
      </c>
      <c r="GS3533" s="5" t="s">
        <v>240</v>
      </c>
      <c r="GT3533" s="5" t="s">
        <v>240</v>
      </c>
      <c r="GU3533" s="5" t="s">
        <v>240</v>
      </c>
      <c r="GV3533" s="5" t="s">
        <v>240</v>
      </c>
      <c r="GW3533" s="5" t="s">
        <v>240</v>
      </c>
      <c r="GX3533" s="5" t="s">
        <v>240</v>
      </c>
      <c r="GY3533" s="5" t="s">
        <v>240</v>
      </c>
      <c r="GZ3533" s="5" t="s">
        <v>240</v>
      </c>
      <c r="HA3533" s="5" t="s">
        <v>240</v>
      </c>
      <c r="HB3533" s="5" t="s">
        <v>240</v>
      </c>
      <c r="HC3533" s="5" t="s">
        <v>240</v>
      </c>
      <c r="HD3533" s="5" t="s">
        <v>240</v>
      </c>
      <c r="HE3533" s="5" t="s">
        <v>240</v>
      </c>
      <c r="HF3533" s="5" t="s">
        <v>240</v>
      </c>
      <c r="HG3533" s="5" t="s">
        <v>240</v>
      </c>
      <c r="HH3533" s="5" t="s">
        <v>240</v>
      </c>
      <c r="HI3533" s="5" t="s">
        <v>240</v>
      </c>
      <c r="HJ3533" s="5" t="s">
        <v>240</v>
      </c>
      <c r="HK3533" s="5" t="s">
        <v>240</v>
      </c>
      <c r="HL3533" s="5" t="s">
        <v>240</v>
      </c>
      <c r="HM3533" s="5" t="s">
        <v>240</v>
      </c>
      <c r="HN3533" s="5" t="s">
        <v>240</v>
      </c>
      <c r="HO3533" s="5" t="s">
        <v>312</v>
      </c>
      <c r="HP3533" s="5" t="s">
        <v>240</v>
      </c>
      <c r="HQ3533" s="5" t="s">
        <v>240</v>
      </c>
      <c r="HR3533" s="5" t="s">
        <v>240</v>
      </c>
      <c r="HS3533" s="5" t="s">
        <v>240</v>
      </c>
      <c r="HT3533" s="5" t="s">
        <v>240</v>
      </c>
      <c r="HU3533" s="5" t="s">
        <v>240</v>
      </c>
      <c r="HV3533" s="5" t="s">
        <v>240</v>
      </c>
      <c r="HW3533" s="5" t="s">
        <v>240</v>
      </c>
      <c r="HX3533" s="5" t="s">
        <v>240</v>
      </c>
      <c r="HY3533" s="5" t="s">
        <v>240</v>
      </c>
      <c r="HZ3533" s="5" t="s">
        <v>240</v>
      </c>
      <c r="IA3533" s="5" t="s">
        <v>240</v>
      </c>
      <c r="IB3533" s="5" t="s">
        <v>240</v>
      </c>
      <c r="IC3533" s="5" t="s">
        <v>240</v>
      </c>
      <c r="ID3533" s="5" t="s">
        <v>240</v>
      </c>
      <c r="IE3533" s="5" t="s">
        <v>240</v>
      </c>
      <c r="IF3533" s="5" t="s">
        <v>240</v>
      </c>
    </row>
    <row r="3534" spans="1:240" x14ac:dyDescent="0.4">
      <c r="A3534" s="5">
        <v>9076</v>
      </c>
      <c r="B3534" s="5">
        <v>1</v>
      </c>
      <c r="C3534" s="5">
        <v>1</v>
      </c>
      <c r="D3534" s="5" t="s">
        <v>723</v>
      </c>
      <c r="E3534" s="5" t="s">
        <v>5060</v>
      </c>
      <c r="F3534" s="5" t="s">
        <v>254</v>
      </c>
      <c r="G3534" s="5" t="s">
        <v>5061</v>
      </c>
      <c r="H3534" s="6" t="s">
        <v>5881</v>
      </c>
      <c r="I3534" s="5" t="s">
        <v>5880</v>
      </c>
      <c r="J3534" s="7">
        <f>1</f>
        <v>1</v>
      </c>
      <c r="K3534" s="5" t="s">
        <v>3682</v>
      </c>
      <c r="L3534" s="7">
        <f>1</f>
        <v>1</v>
      </c>
      <c r="M3534" s="7">
        <f>1</f>
        <v>1</v>
      </c>
      <c r="N3534" s="5" t="s">
        <v>242</v>
      </c>
      <c r="O3534" s="5">
        <v>1</v>
      </c>
      <c r="P3534" s="5" t="s">
        <v>294</v>
      </c>
      <c r="Q3534" s="5" t="s">
        <v>3678</v>
      </c>
      <c r="R3534" s="5" t="s">
        <v>240</v>
      </c>
      <c r="S3534" s="5" t="s">
        <v>240</v>
      </c>
      <c r="T3534" s="5" t="s">
        <v>243</v>
      </c>
      <c r="U3534" s="5" t="s">
        <v>244</v>
      </c>
      <c r="V3534" s="5" t="s">
        <v>240</v>
      </c>
      <c r="W3534" s="5" t="s">
        <v>240</v>
      </c>
      <c r="X3534" s="5" t="s">
        <v>240</v>
      </c>
      <c r="Y3534" s="5" t="s">
        <v>240</v>
      </c>
      <c r="Z3534" s="6" t="s">
        <v>298</v>
      </c>
      <c r="AA3534" s="6" t="s">
        <v>240</v>
      </c>
      <c r="AB3534" s="6" t="s">
        <v>240</v>
      </c>
      <c r="AC3534" s="5" t="s">
        <v>240</v>
      </c>
      <c r="AD3534" s="6" t="s">
        <v>240</v>
      </c>
      <c r="AE3534" s="6" t="s">
        <v>299</v>
      </c>
      <c r="AF3534" s="5" t="s">
        <v>248</v>
      </c>
      <c r="AG3534" s="5" t="s">
        <v>249</v>
      </c>
      <c r="AH3534" s="5" t="s">
        <v>240</v>
      </c>
      <c r="AI3534" s="5" t="s">
        <v>240</v>
      </c>
      <c r="AJ3534" s="5" t="s">
        <v>240</v>
      </c>
      <c r="AK3534" s="5" t="s">
        <v>240</v>
      </c>
      <c r="AL3534" s="5" t="s">
        <v>240</v>
      </c>
      <c r="AM3534" s="5" t="s">
        <v>240</v>
      </c>
      <c r="AN3534" s="5" t="s">
        <v>240</v>
      </c>
      <c r="AO3534" s="5" t="s">
        <v>240</v>
      </c>
      <c r="AP3534" s="6" t="s">
        <v>240</v>
      </c>
      <c r="AQ3534" s="6" t="s">
        <v>240</v>
      </c>
      <c r="AR3534" s="6" t="s">
        <v>240</v>
      </c>
      <c r="AS3534" s="6" t="s">
        <v>240</v>
      </c>
      <c r="AT3534" s="5" t="s">
        <v>240</v>
      </c>
      <c r="AU3534" s="5" t="s">
        <v>729</v>
      </c>
      <c r="AV3534" s="5" t="s">
        <v>729</v>
      </c>
      <c r="AW3534" s="5" t="s">
        <v>251</v>
      </c>
      <c r="AX3534" s="5" t="s">
        <v>252</v>
      </c>
      <c r="AY3534" s="5" t="s">
        <v>253</v>
      </c>
      <c r="AZ3534" s="5" t="s">
        <v>240</v>
      </c>
      <c r="BA3534" s="5" t="s">
        <v>255</v>
      </c>
      <c r="BB3534" s="5" t="s">
        <v>731</v>
      </c>
      <c r="BD3534" s="5" t="s">
        <v>240</v>
      </c>
      <c r="BF3534" s="5" t="s">
        <v>732</v>
      </c>
      <c r="BG3534" s="6" t="s">
        <v>733</v>
      </c>
      <c r="BH3534" s="5" t="s">
        <v>734</v>
      </c>
      <c r="BI3534" s="5" t="s">
        <v>734</v>
      </c>
      <c r="BJ3534" s="5" t="s">
        <v>240</v>
      </c>
      <c r="BK3534" s="7">
        <f>1</f>
        <v>1</v>
      </c>
      <c r="BL3534" s="7">
        <f>1</f>
        <v>1</v>
      </c>
      <c r="BM3534" s="5" t="s">
        <v>258</v>
      </c>
      <c r="BN3534" s="5" t="s">
        <v>259</v>
      </c>
      <c r="BO3534" s="5" t="s">
        <v>240</v>
      </c>
      <c r="BP3534" s="5" t="s">
        <v>240</v>
      </c>
      <c r="BQ3534" s="5" t="s">
        <v>240</v>
      </c>
      <c r="BR3534" s="5" t="s">
        <v>240</v>
      </c>
      <c r="BS3534" s="5" t="s">
        <v>240</v>
      </c>
      <c r="BT3534" s="5" t="s">
        <v>240</v>
      </c>
      <c r="BU3534" s="5" t="s">
        <v>240</v>
      </c>
      <c r="BV3534" s="5" t="s">
        <v>240</v>
      </c>
      <c r="BW3534" s="6" t="s">
        <v>240</v>
      </c>
      <c r="BX3534" s="5" t="s">
        <v>240</v>
      </c>
      <c r="BY3534" s="5" t="s">
        <v>240</v>
      </c>
      <c r="BZ3534" s="5" t="s">
        <v>240</v>
      </c>
      <c r="CA3534" s="5" t="s">
        <v>259</v>
      </c>
      <c r="CB3534" s="5" t="s">
        <v>240</v>
      </c>
      <c r="CC3534" s="5" t="s">
        <v>240</v>
      </c>
      <c r="CD3534" s="5" t="s">
        <v>240</v>
      </c>
      <c r="CE3534" s="5" t="s">
        <v>240</v>
      </c>
      <c r="CF3534" s="5" t="s">
        <v>240</v>
      </c>
      <c r="CG3534" s="5" t="s">
        <v>304</v>
      </c>
      <c r="CH3534" s="5" t="s">
        <v>305</v>
      </c>
      <c r="CI3534" s="5" t="s">
        <v>240</v>
      </c>
      <c r="CK3534" s="5" t="s">
        <v>3681</v>
      </c>
      <c r="CL3534" s="6" t="s">
        <v>261</v>
      </c>
      <c r="CM3534" s="5" t="s">
        <v>262</v>
      </c>
      <c r="CN3534" s="5" t="s">
        <v>263</v>
      </c>
      <c r="CO3534" s="5" t="s">
        <v>264</v>
      </c>
      <c r="CP3534" s="5" t="s">
        <v>240</v>
      </c>
      <c r="CQ3534" s="5">
        <v>0</v>
      </c>
      <c r="CR3534" s="5" t="s">
        <v>735</v>
      </c>
      <c r="CS3534" s="5" t="s">
        <v>307</v>
      </c>
      <c r="CT3534" s="5" t="s">
        <v>307</v>
      </c>
      <c r="CU3534" s="5" t="s">
        <v>260</v>
      </c>
      <c r="CV3534" s="5" t="s">
        <v>612</v>
      </c>
      <c r="CW3534" s="8">
        <f>1</f>
        <v>1</v>
      </c>
      <c r="CX3534" s="7">
        <f>1</f>
        <v>1</v>
      </c>
      <c r="CY3534" s="7">
        <f>0</f>
        <v>0</v>
      </c>
      <c r="DA3534" s="7">
        <f>1</f>
        <v>1</v>
      </c>
      <c r="DB3534" s="7" t="s">
        <v>240</v>
      </c>
      <c r="DC3534" s="5" t="s">
        <v>240</v>
      </c>
      <c r="DD3534" s="5" t="s">
        <v>240</v>
      </c>
      <c r="DE3534" s="5" t="s">
        <v>240</v>
      </c>
      <c r="DF3534" s="5" t="s">
        <v>240</v>
      </c>
      <c r="DG3534" s="7">
        <f>0</f>
        <v>0</v>
      </c>
      <c r="DI3534" s="5" t="s">
        <v>240</v>
      </c>
      <c r="DJ3534" s="5" t="s">
        <v>240</v>
      </c>
      <c r="DK3534" s="5" t="s">
        <v>240</v>
      </c>
      <c r="DL3534" s="5" t="s">
        <v>240</v>
      </c>
      <c r="DM3534" s="5" t="s">
        <v>240</v>
      </c>
      <c r="DN3534" s="5" t="s">
        <v>240</v>
      </c>
      <c r="DO3534" s="7" t="s">
        <v>240</v>
      </c>
      <c r="DP3534" s="5" t="s">
        <v>240</v>
      </c>
      <c r="DQ3534" s="5" t="s">
        <v>240</v>
      </c>
      <c r="DR3534" s="5" t="s">
        <v>731</v>
      </c>
      <c r="DS3534" s="5" t="s">
        <v>731</v>
      </c>
      <c r="DT3534" s="5" t="s">
        <v>240</v>
      </c>
      <c r="DU3534" s="5" t="s">
        <v>240</v>
      </c>
      <c r="DV3534" s="5" t="s">
        <v>3683</v>
      </c>
      <c r="DW3534" s="5" t="s">
        <v>750</v>
      </c>
      <c r="DX3534" s="5" t="s">
        <v>240</v>
      </c>
      <c r="DY3534" s="5" t="s">
        <v>240</v>
      </c>
      <c r="DZ3534" s="5" t="s">
        <v>240</v>
      </c>
      <c r="EA3534" s="5" t="s">
        <v>240</v>
      </c>
      <c r="EB3534" s="5" t="s">
        <v>240</v>
      </c>
      <c r="EC3534" s="5" t="s">
        <v>240</v>
      </c>
      <c r="ED3534" s="5" t="s">
        <v>240</v>
      </c>
      <c r="EE3534" s="5" t="s">
        <v>240</v>
      </c>
      <c r="EF3534" s="5" t="s">
        <v>240</v>
      </c>
      <c r="EG3534" s="5" t="s">
        <v>240</v>
      </c>
      <c r="EH3534" s="5" t="s">
        <v>240</v>
      </c>
      <c r="EI3534" s="5" t="s">
        <v>240</v>
      </c>
      <c r="EJ3534" s="5" t="s">
        <v>240</v>
      </c>
      <c r="EK3534" s="5" t="s">
        <v>240</v>
      </c>
      <c r="EL3534" s="5" t="s">
        <v>240</v>
      </c>
      <c r="EM3534" s="5" t="s">
        <v>240</v>
      </c>
      <c r="EN3534" s="5" t="s">
        <v>240</v>
      </c>
      <c r="EO3534" s="5" t="s">
        <v>240</v>
      </c>
      <c r="EP3534" s="5" t="s">
        <v>240</v>
      </c>
      <c r="EQ3534" s="5" t="s">
        <v>240</v>
      </c>
      <c r="ER3534" s="5" t="s">
        <v>240</v>
      </c>
      <c r="ES3534" s="5" t="s">
        <v>240</v>
      </c>
      <c r="ET3534" s="5" t="s">
        <v>240</v>
      </c>
      <c r="EU3534" s="5" t="s">
        <v>240</v>
      </c>
      <c r="EV3534" s="5" t="s">
        <v>240</v>
      </c>
      <c r="EW3534" s="5" t="s">
        <v>240</v>
      </c>
      <c r="EX3534" s="5" t="s">
        <v>240</v>
      </c>
      <c r="EY3534" s="5" t="s">
        <v>240</v>
      </c>
      <c r="EZ3534" s="5" t="s">
        <v>240</v>
      </c>
      <c r="FA3534" s="5" t="s">
        <v>240</v>
      </c>
      <c r="FB3534" s="5" t="s">
        <v>240</v>
      </c>
      <c r="FC3534" s="5" t="s">
        <v>240</v>
      </c>
      <c r="FD3534" s="5" t="s">
        <v>240</v>
      </c>
      <c r="FE3534" s="5" t="s">
        <v>240</v>
      </c>
      <c r="FF3534" s="5" t="s">
        <v>240</v>
      </c>
      <c r="FG3534" s="5" t="s">
        <v>240</v>
      </c>
      <c r="FH3534" s="5" t="s">
        <v>240</v>
      </c>
      <c r="FI3534" s="5" t="s">
        <v>240</v>
      </c>
      <c r="FJ3534" s="5" t="s">
        <v>240</v>
      </c>
      <c r="FK3534" s="5" t="s">
        <v>240</v>
      </c>
      <c r="FL3534" s="5" t="s">
        <v>240</v>
      </c>
      <c r="FM3534" s="5" t="s">
        <v>240</v>
      </c>
      <c r="FN3534" s="5" t="s">
        <v>240</v>
      </c>
      <c r="FO3534" s="5" t="s">
        <v>240</v>
      </c>
      <c r="FP3534" s="5" t="s">
        <v>240</v>
      </c>
      <c r="FQ3534" s="5" t="s">
        <v>240</v>
      </c>
      <c r="FR3534" s="5" t="s">
        <v>240</v>
      </c>
      <c r="FS3534" s="5" t="s">
        <v>240</v>
      </c>
      <c r="FT3534" s="5" t="s">
        <v>240</v>
      </c>
      <c r="FU3534" s="5" t="s">
        <v>240</v>
      </c>
      <c r="FV3534" s="5" t="s">
        <v>240</v>
      </c>
      <c r="FW3534" s="5" t="s">
        <v>240</v>
      </c>
      <c r="FX3534" s="5" t="s">
        <v>240</v>
      </c>
      <c r="FY3534" s="5" t="s">
        <v>240</v>
      </c>
      <c r="FZ3534" s="5" t="s">
        <v>240</v>
      </c>
      <c r="GA3534" s="5" t="s">
        <v>240</v>
      </c>
      <c r="GB3534" s="5" t="s">
        <v>240</v>
      </c>
      <c r="GC3534" s="5" t="s">
        <v>240</v>
      </c>
      <c r="GD3534" s="5" t="s">
        <v>240</v>
      </c>
      <c r="GE3534" s="5" t="s">
        <v>240</v>
      </c>
      <c r="GF3534" s="5" t="s">
        <v>240</v>
      </c>
      <c r="GG3534" s="5" t="s">
        <v>240</v>
      </c>
      <c r="GH3534" s="5" t="s">
        <v>240</v>
      </c>
      <c r="GI3534" s="5" t="s">
        <v>240</v>
      </c>
      <c r="GJ3534" s="5" t="s">
        <v>240</v>
      </c>
      <c r="GK3534" s="5" t="s">
        <v>240</v>
      </c>
      <c r="GL3534" s="5" t="s">
        <v>240</v>
      </c>
      <c r="GM3534" s="5" t="s">
        <v>240</v>
      </c>
      <c r="GN3534" s="5" t="s">
        <v>240</v>
      </c>
      <c r="GO3534" s="5" t="s">
        <v>240</v>
      </c>
      <c r="GP3534" s="5" t="s">
        <v>240</v>
      </c>
      <c r="GQ3534" s="5" t="s">
        <v>240</v>
      </c>
      <c r="GR3534" s="5" t="s">
        <v>240</v>
      </c>
      <c r="GS3534" s="5" t="s">
        <v>240</v>
      </c>
      <c r="GT3534" s="5" t="s">
        <v>240</v>
      </c>
      <c r="GU3534" s="5" t="s">
        <v>240</v>
      </c>
      <c r="GV3534" s="5" t="s">
        <v>240</v>
      </c>
      <c r="GW3534" s="5" t="s">
        <v>240</v>
      </c>
      <c r="GX3534" s="5" t="s">
        <v>240</v>
      </c>
      <c r="GY3534" s="5" t="s">
        <v>240</v>
      </c>
      <c r="GZ3534" s="5" t="s">
        <v>240</v>
      </c>
      <c r="HA3534" s="5" t="s">
        <v>240</v>
      </c>
      <c r="HB3534" s="5" t="s">
        <v>240</v>
      </c>
      <c r="HC3534" s="5" t="s">
        <v>240</v>
      </c>
      <c r="HD3534" s="5" t="s">
        <v>240</v>
      </c>
      <c r="HE3534" s="5" t="s">
        <v>240</v>
      </c>
      <c r="HF3534" s="5" t="s">
        <v>240</v>
      </c>
      <c r="HG3534" s="5" t="s">
        <v>240</v>
      </c>
      <c r="HH3534" s="5" t="s">
        <v>240</v>
      </c>
      <c r="HI3534" s="5" t="s">
        <v>240</v>
      </c>
      <c r="HJ3534" s="5" t="s">
        <v>240</v>
      </c>
      <c r="HK3534" s="5" t="s">
        <v>240</v>
      </c>
      <c r="HL3534" s="5" t="s">
        <v>240</v>
      </c>
      <c r="HM3534" s="5" t="s">
        <v>240</v>
      </c>
      <c r="HN3534" s="5" t="s">
        <v>240</v>
      </c>
      <c r="HO3534" s="5" t="s">
        <v>312</v>
      </c>
      <c r="HP3534" s="5" t="s">
        <v>240</v>
      </c>
      <c r="HQ3534" s="5" t="s">
        <v>240</v>
      </c>
      <c r="HR3534" s="5" t="s">
        <v>240</v>
      </c>
      <c r="HS3534" s="5" t="s">
        <v>240</v>
      </c>
      <c r="HT3534" s="5" t="s">
        <v>240</v>
      </c>
      <c r="HU3534" s="5" t="s">
        <v>240</v>
      </c>
      <c r="HV3534" s="5" t="s">
        <v>240</v>
      </c>
      <c r="HW3534" s="5" t="s">
        <v>240</v>
      </c>
      <c r="HX3534" s="5" t="s">
        <v>240</v>
      </c>
      <c r="HY3534" s="5" t="s">
        <v>240</v>
      </c>
      <c r="HZ3534" s="5" t="s">
        <v>240</v>
      </c>
      <c r="IA3534" s="5" t="s">
        <v>240</v>
      </c>
      <c r="IB3534" s="5" t="s">
        <v>240</v>
      </c>
      <c r="IC3534" s="5" t="s">
        <v>240</v>
      </c>
      <c r="ID3534" s="5" t="s">
        <v>240</v>
      </c>
      <c r="IE3534" s="5" t="s">
        <v>240</v>
      </c>
      <c r="IF3534" s="5" t="s">
        <v>240</v>
      </c>
    </row>
    <row r="3535" spans="1:240" x14ac:dyDescent="0.4">
      <c r="A3535" s="5">
        <v>9077</v>
      </c>
      <c r="B3535" s="5">
        <v>1</v>
      </c>
      <c r="C3535" s="5">
        <v>1</v>
      </c>
      <c r="D3535" s="5" t="s">
        <v>723</v>
      </c>
      <c r="E3535" s="5" t="s">
        <v>5060</v>
      </c>
      <c r="F3535" s="5" t="s">
        <v>254</v>
      </c>
      <c r="G3535" s="5" t="s">
        <v>5061</v>
      </c>
      <c r="H3535" s="6" t="s">
        <v>5879</v>
      </c>
      <c r="I3535" s="5" t="s">
        <v>5878</v>
      </c>
      <c r="J3535" s="7">
        <f>1</f>
        <v>1</v>
      </c>
      <c r="K3535" s="5" t="s">
        <v>3682</v>
      </c>
      <c r="L3535" s="7">
        <f>1</f>
        <v>1</v>
      </c>
      <c r="M3535" s="7">
        <f>1</f>
        <v>1</v>
      </c>
      <c r="N3535" s="5" t="s">
        <v>242</v>
      </c>
      <c r="O3535" s="5">
        <v>1</v>
      </c>
      <c r="P3535" s="5" t="s">
        <v>294</v>
      </c>
      <c r="Q3535" s="5" t="s">
        <v>613</v>
      </c>
      <c r="R3535" s="5" t="s">
        <v>240</v>
      </c>
      <c r="S3535" s="5" t="s">
        <v>240</v>
      </c>
      <c r="T3535" s="5" t="s">
        <v>243</v>
      </c>
      <c r="U3535" s="5" t="s">
        <v>724</v>
      </c>
      <c r="V3535" s="5" t="s">
        <v>240</v>
      </c>
      <c r="W3535" s="5" t="s">
        <v>240</v>
      </c>
      <c r="X3535" s="5" t="s">
        <v>240</v>
      </c>
      <c r="Y3535" s="5" t="s">
        <v>240</v>
      </c>
      <c r="Z3535" s="6" t="s">
        <v>298</v>
      </c>
      <c r="AA3535" s="6" t="s">
        <v>240</v>
      </c>
      <c r="AB3535" s="6" t="s">
        <v>240</v>
      </c>
      <c r="AC3535" s="5" t="s">
        <v>240</v>
      </c>
      <c r="AD3535" s="6" t="s">
        <v>240</v>
      </c>
      <c r="AE3535" s="6" t="s">
        <v>299</v>
      </c>
      <c r="AF3535" s="5" t="s">
        <v>727</v>
      </c>
      <c r="AG3535" s="5" t="s">
        <v>260</v>
      </c>
      <c r="AH3535" s="5" t="s">
        <v>240</v>
      </c>
      <c r="AI3535" s="5" t="s">
        <v>240</v>
      </c>
      <c r="AJ3535" s="5" t="s">
        <v>240</v>
      </c>
      <c r="AK3535" s="5" t="s">
        <v>240</v>
      </c>
      <c r="AL3535" s="5" t="s">
        <v>240</v>
      </c>
      <c r="AM3535" s="5" t="s">
        <v>240</v>
      </c>
      <c r="AN3535" s="5" t="s">
        <v>240</v>
      </c>
      <c r="AO3535" s="5" t="s">
        <v>240</v>
      </c>
      <c r="AP3535" s="6" t="s">
        <v>240</v>
      </c>
      <c r="AQ3535" s="6" t="s">
        <v>240</v>
      </c>
      <c r="AR3535" s="6" t="s">
        <v>240</v>
      </c>
      <c r="AS3535" s="6" t="s">
        <v>240</v>
      </c>
      <c r="AT3535" s="5" t="s">
        <v>240</v>
      </c>
      <c r="AU3535" s="5" t="s">
        <v>729</v>
      </c>
      <c r="AV3535" s="5" t="s">
        <v>729</v>
      </c>
      <c r="AW3535" s="5" t="s">
        <v>251</v>
      </c>
      <c r="AX3535" s="5" t="s">
        <v>252</v>
      </c>
      <c r="AY3535" s="5" t="s">
        <v>253</v>
      </c>
      <c r="AZ3535" s="5" t="s">
        <v>240</v>
      </c>
      <c r="BA3535" s="5" t="s">
        <v>255</v>
      </c>
      <c r="BB3535" s="5" t="s">
        <v>731</v>
      </c>
      <c r="BD3535" s="5" t="s">
        <v>240</v>
      </c>
      <c r="BF3535" s="5" t="s">
        <v>732</v>
      </c>
      <c r="BG3535" s="6" t="s">
        <v>733</v>
      </c>
      <c r="BH3535" s="5" t="s">
        <v>734</v>
      </c>
      <c r="BI3535" s="5" t="s">
        <v>734</v>
      </c>
      <c r="BJ3535" s="5" t="s">
        <v>240</v>
      </c>
      <c r="BK3535" s="8">
        <f>535</f>
        <v>535</v>
      </c>
      <c r="BL3535" s="7">
        <f>0</f>
        <v>0</v>
      </c>
      <c r="BM3535" s="5" t="s">
        <v>258</v>
      </c>
      <c r="BN3535" s="5" t="s">
        <v>259</v>
      </c>
      <c r="BO3535" s="5" t="s">
        <v>240</v>
      </c>
      <c r="BP3535" s="5" t="s">
        <v>240</v>
      </c>
      <c r="BQ3535" s="5" t="s">
        <v>240</v>
      </c>
      <c r="BR3535" s="5" t="s">
        <v>240</v>
      </c>
      <c r="BS3535" s="5" t="s">
        <v>240</v>
      </c>
      <c r="BT3535" s="5" t="s">
        <v>240</v>
      </c>
      <c r="BU3535" s="5" t="s">
        <v>240</v>
      </c>
      <c r="BV3535" s="5" t="s">
        <v>240</v>
      </c>
      <c r="BW3535" s="6" t="s">
        <v>240</v>
      </c>
      <c r="BX3535" s="5" t="s">
        <v>240</v>
      </c>
      <c r="BY3535" s="5" t="s">
        <v>240</v>
      </c>
      <c r="BZ3535" s="5" t="s">
        <v>240</v>
      </c>
      <c r="CA3535" s="5" t="s">
        <v>259</v>
      </c>
      <c r="CB3535" s="5" t="s">
        <v>240</v>
      </c>
      <c r="CC3535" s="5" t="s">
        <v>240</v>
      </c>
      <c r="CD3535" s="5" t="s">
        <v>240</v>
      </c>
      <c r="CE3535" s="5" t="s">
        <v>240</v>
      </c>
      <c r="CF3535" s="5" t="s">
        <v>240</v>
      </c>
      <c r="CG3535" s="5" t="s">
        <v>617</v>
      </c>
      <c r="CH3535" s="5" t="s">
        <v>305</v>
      </c>
      <c r="CI3535" s="5" t="s">
        <v>240</v>
      </c>
      <c r="CL3535" s="6" t="s">
        <v>261</v>
      </c>
      <c r="CM3535" s="5" t="s">
        <v>262</v>
      </c>
      <c r="CN3535" s="5" t="s">
        <v>263</v>
      </c>
      <c r="CO3535" s="5" t="s">
        <v>264</v>
      </c>
      <c r="CP3535" s="5" t="s">
        <v>240</v>
      </c>
      <c r="CQ3535" s="5">
        <v>0</v>
      </c>
      <c r="CR3535" s="5" t="s">
        <v>735</v>
      </c>
      <c r="CS3535" s="5" t="s">
        <v>307</v>
      </c>
      <c r="CT3535" s="5" t="s">
        <v>307</v>
      </c>
      <c r="CU3535" s="5" t="s">
        <v>260</v>
      </c>
      <c r="CV3535" s="5" t="s">
        <v>240</v>
      </c>
      <c r="CW3535" s="8">
        <f>0</f>
        <v>0</v>
      </c>
      <c r="CX3535" s="7">
        <f>0</f>
        <v>0</v>
      </c>
      <c r="CY3535" s="7">
        <f>0</f>
        <v>0</v>
      </c>
      <c r="DA3535" s="7">
        <f>5885</f>
        <v>5885</v>
      </c>
      <c r="DB3535" s="7" t="s">
        <v>240</v>
      </c>
      <c r="DC3535" s="5" t="s">
        <v>240</v>
      </c>
      <c r="DD3535" s="5" t="s">
        <v>240</v>
      </c>
      <c r="DE3535" s="5" t="s">
        <v>240</v>
      </c>
      <c r="DF3535" s="5" t="s">
        <v>450</v>
      </c>
      <c r="DG3535" s="7">
        <f>0</f>
        <v>0</v>
      </c>
      <c r="DI3535" s="5" t="s">
        <v>737</v>
      </c>
      <c r="DJ3535" s="5" t="s">
        <v>240</v>
      </c>
      <c r="DK3535" s="5" t="s">
        <v>240</v>
      </c>
      <c r="DL3535" s="5" t="s">
        <v>240</v>
      </c>
      <c r="DM3535" s="5" t="s">
        <v>240</v>
      </c>
      <c r="DN3535" s="5" t="s">
        <v>240</v>
      </c>
      <c r="DO3535" s="7" t="s">
        <v>240</v>
      </c>
      <c r="DP3535" s="5" t="s">
        <v>240</v>
      </c>
      <c r="DQ3535" s="5" t="s">
        <v>240</v>
      </c>
      <c r="DR3535" s="5" t="s">
        <v>731</v>
      </c>
      <c r="DS3535" s="5" t="s">
        <v>731</v>
      </c>
      <c r="DT3535" s="5" t="s">
        <v>240</v>
      </c>
      <c r="DU3535" s="5" t="s">
        <v>240</v>
      </c>
      <c r="DV3535" s="5" t="s">
        <v>738</v>
      </c>
      <c r="DW3535" s="5" t="s">
        <v>540</v>
      </c>
      <c r="DX3535" s="5" t="s">
        <v>240</v>
      </c>
      <c r="DY3535" s="5" t="s">
        <v>240</v>
      </c>
      <c r="DZ3535" s="5" t="s">
        <v>240</v>
      </c>
      <c r="EA3535" s="5" t="s">
        <v>240</v>
      </c>
      <c r="EB3535" s="5" t="s">
        <v>240</v>
      </c>
      <c r="EC3535" s="5" t="s">
        <v>240</v>
      </c>
      <c r="ED3535" s="5" t="s">
        <v>240</v>
      </c>
      <c r="EE3535" s="5" t="s">
        <v>240</v>
      </c>
      <c r="EF3535" s="5" t="s">
        <v>240</v>
      </c>
      <c r="EG3535" s="5" t="s">
        <v>240</v>
      </c>
      <c r="EH3535" s="5" t="s">
        <v>240</v>
      </c>
      <c r="EI3535" s="5" t="s">
        <v>240</v>
      </c>
      <c r="EJ3535" s="5" t="s">
        <v>240</v>
      </c>
      <c r="EK3535" s="5" t="s">
        <v>240</v>
      </c>
      <c r="EL3535" s="5" t="s">
        <v>240</v>
      </c>
      <c r="EM3535" s="5" t="s">
        <v>240</v>
      </c>
      <c r="EN3535" s="5" t="s">
        <v>240</v>
      </c>
      <c r="EO3535" s="5" t="s">
        <v>240</v>
      </c>
      <c r="EP3535" s="5" t="s">
        <v>240</v>
      </c>
      <c r="EQ3535" s="5" t="s">
        <v>240</v>
      </c>
      <c r="ER3535" s="5" t="s">
        <v>240</v>
      </c>
      <c r="ES3535" s="5" t="s">
        <v>240</v>
      </c>
      <c r="ET3535" s="5" t="s">
        <v>240</v>
      </c>
      <c r="EU3535" s="5" t="s">
        <v>240</v>
      </c>
      <c r="EV3535" s="5" t="s">
        <v>240</v>
      </c>
      <c r="EW3535" s="5" t="s">
        <v>240</v>
      </c>
      <c r="EX3535" s="5" t="s">
        <v>240</v>
      </c>
      <c r="EY3535" s="5" t="s">
        <v>240</v>
      </c>
      <c r="EZ3535" s="5" t="s">
        <v>240</v>
      </c>
      <c r="FA3535" s="5" t="s">
        <v>240</v>
      </c>
      <c r="FB3535" s="5" t="s">
        <v>240</v>
      </c>
      <c r="FC3535" s="5" t="s">
        <v>240</v>
      </c>
      <c r="FD3535" s="5" t="s">
        <v>240</v>
      </c>
      <c r="FE3535" s="5" t="s">
        <v>240</v>
      </c>
      <c r="FF3535" s="5" t="s">
        <v>240</v>
      </c>
      <c r="FG3535" s="5" t="s">
        <v>240</v>
      </c>
      <c r="FH3535" s="5" t="s">
        <v>240</v>
      </c>
      <c r="FI3535" s="5" t="s">
        <v>240</v>
      </c>
      <c r="FJ3535" s="5" t="s">
        <v>240</v>
      </c>
      <c r="FK3535" s="5" t="s">
        <v>240</v>
      </c>
      <c r="FL3535" s="5" t="s">
        <v>240</v>
      </c>
      <c r="FM3535" s="5" t="s">
        <v>240</v>
      </c>
      <c r="FN3535" s="5" t="s">
        <v>240</v>
      </c>
      <c r="FO3535" s="5" t="s">
        <v>240</v>
      </c>
      <c r="FP3535" s="5" t="s">
        <v>240</v>
      </c>
      <c r="FQ3535" s="5" t="s">
        <v>240</v>
      </c>
      <c r="FR3535" s="5" t="s">
        <v>240</v>
      </c>
      <c r="FS3535" s="5" t="s">
        <v>240</v>
      </c>
      <c r="FT3535" s="5" t="s">
        <v>240</v>
      </c>
      <c r="FU3535" s="5" t="s">
        <v>240</v>
      </c>
      <c r="FV3535" s="5" t="s">
        <v>240</v>
      </c>
      <c r="FW3535" s="5" t="s">
        <v>240</v>
      </c>
      <c r="FX3535" s="5" t="s">
        <v>240</v>
      </c>
      <c r="FY3535" s="5" t="s">
        <v>240</v>
      </c>
      <c r="FZ3535" s="5" t="s">
        <v>240</v>
      </c>
      <c r="GA3535" s="5" t="s">
        <v>240</v>
      </c>
      <c r="GB3535" s="5" t="s">
        <v>240</v>
      </c>
      <c r="GC3535" s="5" t="s">
        <v>240</v>
      </c>
      <c r="GD3535" s="5" t="s">
        <v>240</v>
      </c>
      <c r="GE3535" s="5" t="s">
        <v>240</v>
      </c>
      <c r="GF3535" s="5" t="s">
        <v>240</v>
      </c>
      <c r="GG3535" s="5" t="s">
        <v>240</v>
      </c>
      <c r="GH3535" s="5" t="s">
        <v>240</v>
      </c>
      <c r="GI3535" s="5" t="s">
        <v>240</v>
      </c>
      <c r="GJ3535" s="5" t="s">
        <v>240</v>
      </c>
      <c r="GK3535" s="5" t="s">
        <v>240</v>
      </c>
      <c r="GL3535" s="5" t="s">
        <v>240</v>
      </c>
      <c r="GM3535" s="5" t="s">
        <v>240</v>
      </c>
      <c r="GN3535" s="5" t="s">
        <v>240</v>
      </c>
      <c r="GO3535" s="5" t="s">
        <v>240</v>
      </c>
      <c r="GP3535" s="5" t="s">
        <v>240</v>
      </c>
      <c r="GQ3535" s="5" t="s">
        <v>240</v>
      </c>
      <c r="GR3535" s="5" t="s">
        <v>240</v>
      </c>
      <c r="GS3535" s="5" t="s">
        <v>240</v>
      </c>
      <c r="GT3535" s="5" t="s">
        <v>240</v>
      </c>
      <c r="GU3535" s="5" t="s">
        <v>240</v>
      </c>
      <c r="GV3535" s="5" t="s">
        <v>240</v>
      </c>
      <c r="GW3535" s="5" t="s">
        <v>240</v>
      </c>
      <c r="GX3535" s="5" t="s">
        <v>240</v>
      </c>
      <c r="GY3535" s="5" t="s">
        <v>240</v>
      </c>
      <c r="GZ3535" s="5" t="s">
        <v>240</v>
      </c>
      <c r="HA3535" s="5" t="s">
        <v>240</v>
      </c>
      <c r="HB3535" s="5" t="s">
        <v>240</v>
      </c>
      <c r="HC3535" s="5" t="s">
        <v>240</v>
      </c>
      <c r="HD3535" s="5" t="s">
        <v>240</v>
      </c>
      <c r="HE3535" s="5" t="s">
        <v>240</v>
      </c>
      <c r="HF3535" s="5" t="s">
        <v>240</v>
      </c>
      <c r="HG3535" s="5" t="s">
        <v>240</v>
      </c>
      <c r="HH3535" s="5" t="s">
        <v>240</v>
      </c>
      <c r="HI3535" s="5" t="s">
        <v>240</v>
      </c>
      <c r="HJ3535" s="5" t="s">
        <v>240</v>
      </c>
      <c r="HK3535" s="5" t="s">
        <v>240</v>
      </c>
      <c r="HL3535" s="5" t="s">
        <v>240</v>
      </c>
      <c r="HM3535" s="5" t="s">
        <v>240</v>
      </c>
      <c r="HN3535" s="5" t="s">
        <v>240</v>
      </c>
      <c r="HO3535" s="5" t="s">
        <v>620</v>
      </c>
      <c r="HP3535" s="5" t="s">
        <v>240</v>
      </c>
      <c r="HQ3535" s="5" t="s">
        <v>240</v>
      </c>
      <c r="HR3535" s="5" t="s">
        <v>240</v>
      </c>
      <c r="HS3535" s="5" t="s">
        <v>240</v>
      </c>
      <c r="HT3535" s="5" t="s">
        <v>240</v>
      </c>
      <c r="HU3535" s="5" t="s">
        <v>240</v>
      </c>
      <c r="HV3535" s="5" t="s">
        <v>240</v>
      </c>
      <c r="HW3535" s="5" t="s">
        <v>240</v>
      </c>
      <c r="HX3535" s="5" t="s">
        <v>240</v>
      </c>
      <c r="HY3535" s="5" t="s">
        <v>240</v>
      </c>
      <c r="HZ3535" s="5" t="s">
        <v>240</v>
      </c>
      <c r="IA3535" s="5" t="s">
        <v>240</v>
      </c>
      <c r="IB3535" s="5" t="s">
        <v>240</v>
      </c>
      <c r="IC3535" s="5" t="s">
        <v>240</v>
      </c>
      <c r="ID3535" s="5" t="s">
        <v>240</v>
      </c>
      <c r="IE3535" s="5" t="s">
        <v>240</v>
      </c>
      <c r="IF3535" s="5" t="s">
        <v>240</v>
      </c>
    </row>
    <row r="3536" spans="1:240" x14ac:dyDescent="0.4">
      <c r="A3536" s="5">
        <v>9078</v>
      </c>
      <c r="B3536" s="5">
        <v>1</v>
      </c>
      <c r="C3536" s="5">
        <v>1</v>
      </c>
      <c r="D3536" s="5" t="s">
        <v>723</v>
      </c>
      <c r="E3536" s="5" t="s">
        <v>5060</v>
      </c>
      <c r="F3536" s="5" t="s">
        <v>254</v>
      </c>
      <c r="G3536" s="5" t="s">
        <v>5061</v>
      </c>
      <c r="H3536" s="6" t="s">
        <v>5873</v>
      </c>
      <c r="I3536" s="5" t="s">
        <v>5872</v>
      </c>
      <c r="J3536" s="7">
        <f>1</f>
        <v>1</v>
      </c>
      <c r="K3536" s="5" t="s">
        <v>3682</v>
      </c>
      <c r="L3536" s="7">
        <f>1</f>
        <v>1</v>
      </c>
      <c r="M3536" s="7">
        <f>1</f>
        <v>1</v>
      </c>
      <c r="N3536" s="5" t="s">
        <v>242</v>
      </c>
      <c r="O3536" s="5">
        <v>1</v>
      </c>
      <c r="P3536" s="5" t="s">
        <v>294</v>
      </c>
      <c r="Q3536" s="5" t="s">
        <v>613</v>
      </c>
      <c r="R3536" s="5" t="s">
        <v>240</v>
      </c>
      <c r="S3536" s="5" t="s">
        <v>240</v>
      </c>
      <c r="T3536" s="5" t="s">
        <v>243</v>
      </c>
      <c r="U3536" s="5" t="s">
        <v>724</v>
      </c>
      <c r="V3536" s="5" t="s">
        <v>240</v>
      </c>
      <c r="W3536" s="5" t="s">
        <v>240</v>
      </c>
      <c r="X3536" s="5" t="s">
        <v>240</v>
      </c>
      <c r="Y3536" s="5" t="s">
        <v>240</v>
      </c>
      <c r="Z3536" s="6" t="s">
        <v>298</v>
      </c>
      <c r="AA3536" s="6" t="s">
        <v>240</v>
      </c>
      <c r="AB3536" s="6" t="s">
        <v>240</v>
      </c>
      <c r="AC3536" s="5" t="s">
        <v>240</v>
      </c>
      <c r="AD3536" s="6" t="s">
        <v>240</v>
      </c>
      <c r="AE3536" s="6" t="s">
        <v>299</v>
      </c>
      <c r="AF3536" s="5" t="s">
        <v>727</v>
      </c>
      <c r="AG3536" s="5" t="s">
        <v>260</v>
      </c>
      <c r="AH3536" s="5" t="s">
        <v>240</v>
      </c>
      <c r="AI3536" s="5" t="s">
        <v>240</v>
      </c>
      <c r="AJ3536" s="5" t="s">
        <v>240</v>
      </c>
      <c r="AK3536" s="5" t="s">
        <v>240</v>
      </c>
      <c r="AL3536" s="5" t="s">
        <v>240</v>
      </c>
      <c r="AM3536" s="5" t="s">
        <v>240</v>
      </c>
      <c r="AN3536" s="5" t="s">
        <v>240</v>
      </c>
      <c r="AO3536" s="5" t="s">
        <v>240</v>
      </c>
      <c r="AP3536" s="6" t="s">
        <v>240</v>
      </c>
      <c r="AQ3536" s="6" t="s">
        <v>240</v>
      </c>
      <c r="AR3536" s="6" t="s">
        <v>240</v>
      </c>
      <c r="AS3536" s="6" t="s">
        <v>240</v>
      </c>
      <c r="AT3536" s="5" t="s">
        <v>240</v>
      </c>
      <c r="AU3536" s="5" t="s">
        <v>729</v>
      </c>
      <c r="AV3536" s="5" t="s">
        <v>729</v>
      </c>
      <c r="AW3536" s="5" t="s">
        <v>251</v>
      </c>
      <c r="AX3536" s="5" t="s">
        <v>252</v>
      </c>
      <c r="AY3536" s="5" t="s">
        <v>253</v>
      </c>
      <c r="AZ3536" s="5" t="s">
        <v>240</v>
      </c>
      <c r="BA3536" s="5" t="s">
        <v>255</v>
      </c>
      <c r="BB3536" s="5" t="s">
        <v>731</v>
      </c>
      <c r="BD3536" s="5" t="s">
        <v>240</v>
      </c>
      <c r="BF3536" s="5" t="s">
        <v>732</v>
      </c>
      <c r="BG3536" s="6" t="s">
        <v>733</v>
      </c>
      <c r="BH3536" s="5" t="s">
        <v>734</v>
      </c>
      <c r="BI3536" s="5" t="s">
        <v>734</v>
      </c>
      <c r="BJ3536" s="5" t="s">
        <v>240</v>
      </c>
      <c r="BK3536" s="8">
        <f>1322</f>
        <v>1322</v>
      </c>
      <c r="BL3536" s="7">
        <f>0</f>
        <v>0</v>
      </c>
      <c r="BM3536" s="5" t="s">
        <v>258</v>
      </c>
      <c r="BN3536" s="5" t="s">
        <v>259</v>
      </c>
      <c r="BO3536" s="5" t="s">
        <v>240</v>
      </c>
      <c r="BP3536" s="5" t="s">
        <v>240</v>
      </c>
      <c r="BQ3536" s="5" t="s">
        <v>240</v>
      </c>
      <c r="BR3536" s="5" t="s">
        <v>240</v>
      </c>
      <c r="BS3536" s="5" t="s">
        <v>240</v>
      </c>
      <c r="BT3536" s="5" t="s">
        <v>240</v>
      </c>
      <c r="BU3536" s="5" t="s">
        <v>240</v>
      </c>
      <c r="BV3536" s="5" t="s">
        <v>240</v>
      </c>
      <c r="BW3536" s="6" t="s">
        <v>240</v>
      </c>
      <c r="BX3536" s="5" t="s">
        <v>240</v>
      </c>
      <c r="BY3536" s="5" t="s">
        <v>240</v>
      </c>
      <c r="BZ3536" s="5" t="s">
        <v>240</v>
      </c>
      <c r="CA3536" s="5" t="s">
        <v>259</v>
      </c>
      <c r="CB3536" s="5" t="s">
        <v>240</v>
      </c>
      <c r="CC3536" s="5" t="s">
        <v>240</v>
      </c>
      <c r="CD3536" s="5" t="s">
        <v>240</v>
      </c>
      <c r="CE3536" s="5" t="s">
        <v>240</v>
      </c>
      <c r="CF3536" s="5" t="s">
        <v>240</v>
      </c>
      <c r="CG3536" s="5" t="s">
        <v>617</v>
      </c>
      <c r="CH3536" s="5" t="s">
        <v>305</v>
      </c>
      <c r="CI3536" s="5" t="s">
        <v>240</v>
      </c>
      <c r="CL3536" s="6" t="s">
        <v>261</v>
      </c>
      <c r="CM3536" s="5" t="s">
        <v>262</v>
      </c>
      <c r="CN3536" s="5" t="s">
        <v>263</v>
      </c>
      <c r="CO3536" s="5" t="s">
        <v>264</v>
      </c>
      <c r="CP3536" s="5" t="s">
        <v>240</v>
      </c>
      <c r="CQ3536" s="5">
        <v>0</v>
      </c>
      <c r="CR3536" s="5" t="s">
        <v>735</v>
      </c>
      <c r="CS3536" s="5" t="s">
        <v>307</v>
      </c>
      <c r="CT3536" s="5" t="s">
        <v>307</v>
      </c>
      <c r="CU3536" s="5" t="s">
        <v>260</v>
      </c>
      <c r="CV3536" s="5" t="s">
        <v>240</v>
      </c>
      <c r="CW3536" s="8">
        <f>0</f>
        <v>0</v>
      </c>
      <c r="CX3536" s="7">
        <f>0</f>
        <v>0</v>
      </c>
      <c r="CY3536" s="7">
        <f>0</f>
        <v>0</v>
      </c>
      <c r="DA3536" s="7">
        <f>14542</f>
        <v>14542</v>
      </c>
      <c r="DB3536" s="7" t="s">
        <v>240</v>
      </c>
      <c r="DC3536" s="5" t="s">
        <v>240</v>
      </c>
      <c r="DD3536" s="5" t="s">
        <v>240</v>
      </c>
      <c r="DE3536" s="5" t="s">
        <v>240</v>
      </c>
      <c r="DF3536" s="5" t="s">
        <v>450</v>
      </c>
      <c r="DG3536" s="7">
        <f>0</f>
        <v>0</v>
      </c>
      <c r="DI3536" s="5" t="s">
        <v>737</v>
      </c>
      <c r="DJ3536" s="5" t="s">
        <v>240</v>
      </c>
      <c r="DK3536" s="5" t="s">
        <v>240</v>
      </c>
      <c r="DL3536" s="5" t="s">
        <v>240</v>
      </c>
      <c r="DM3536" s="5" t="s">
        <v>240</v>
      </c>
      <c r="DN3536" s="5" t="s">
        <v>240</v>
      </c>
      <c r="DO3536" s="7" t="s">
        <v>240</v>
      </c>
      <c r="DP3536" s="5" t="s">
        <v>240</v>
      </c>
      <c r="DQ3536" s="5" t="s">
        <v>240</v>
      </c>
      <c r="DR3536" s="5" t="s">
        <v>731</v>
      </c>
      <c r="DS3536" s="5" t="s">
        <v>731</v>
      </c>
      <c r="DT3536" s="5" t="s">
        <v>240</v>
      </c>
      <c r="DU3536" s="5" t="s">
        <v>240</v>
      </c>
      <c r="DV3536" s="5" t="s">
        <v>738</v>
      </c>
      <c r="DW3536" s="5" t="s">
        <v>721</v>
      </c>
      <c r="DX3536" s="5" t="s">
        <v>240</v>
      </c>
      <c r="DY3536" s="5" t="s">
        <v>240</v>
      </c>
      <c r="DZ3536" s="5" t="s">
        <v>240</v>
      </c>
      <c r="EA3536" s="5" t="s">
        <v>240</v>
      </c>
      <c r="EB3536" s="5" t="s">
        <v>240</v>
      </c>
      <c r="EC3536" s="5" t="s">
        <v>240</v>
      </c>
      <c r="ED3536" s="5" t="s">
        <v>240</v>
      </c>
      <c r="EE3536" s="5" t="s">
        <v>240</v>
      </c>
      <c r="EF3536" s="5" t="s">
        <v>240</v>
      </c>
      <c r="EG3536" s="5" t="s">
        <v>240</v>
      </c>
      <c r="EH3536" s="5" t="s">
        <v>240</v>
      </c>
      <c r="EI3536" s="5" t="s">
        <v>240</v>
      </c>
      <c r="EJ3536" s="5" t="s">
        <v>240</v>
      </c>
      <c r="EK3536" s="5" t="s">
        <v>240</v>
      </c>
      <c r="EL3536" s="5" t="s">
        <v>240</v>
      </c>
      <c r="EM3536" s="5" t="s">
        <v>240</v>
      </c>
      <c r="EN3536" s="5" t="s">
        <v>240</v>
      </c>
      <c r="EO3536" s="5" t="s">
        <v>240</v>
      </c>
      <c r="EP3536" s="5" t="s">
        <v>240</v>
      </c>
      <c r="EQ3536" s="5" t="s">
        <v>240</v>
      </c>
      <c r="ER3536" s="5" t="s">
        <v>240</v>
      </c>
      <c r="ES3536" s="5" t="s">
        <v>240</v>
      </c>
      <c r="ET3536" s="5" t="s">
        <v>240</v>
      </c>
      <c r="EU3536" s="5" t="s">
        <v>240</v>
      </c>
      <c r="EV3536" s="5" t="s">
        <v>240</v>
      </c>
      <c r="EW3536" s="5" t="s">
        <v>240</v>
      </c>
      <c r="EX3536" s="5" t="s">
        <v>240</v>
      </c>
      <c r="EY3536" s="5" t="s">
        <v>240</v>
      </c>
      <c r="EZ3536" s="5" t="s">
        <v>240</v>
      </c>
      <c r="FA3536" s="5" t="s">
        <v>240</v>
      </c>
      <c r="FB3536" s="5" t="s">
        <v>240</v>
      </c>
      <c r="FC3536" s="5" t="s">
        <v>240</v>
      </c>
      <c r="FD3536" s="5" t="s">
        <v>240</v>
      </c>
      <c r="FE3536" s="5" t="s">
        <v>240</v>
      </c>
      <c r="FF3536" s="5" t="s">
        <v>240</v>
      </c>
      <c r="FG3536" s="5" t="s">
        <v>240</v>
      </c>
      <c r="FH3536" s="5" t="s">
        <v>240</v>
      </c>
      <c r="FI3536" s="5" t="s">
        <v>240</v>
      </c>
      <c r="FJ3536" s="5" t="s">
        <v>240</v>
      </c>
      <c r="FK3536" s="5" t="s">
        <v>240</v>
      </c>
      <c r="FL3536" s="5" t="s">
        <v>240</v>
      </c>
      <c r="FM3536" s="5" t="s">
        <v>240</v>
      </c>
      <c r="FN3536" s="5" t="s">
        <v>240</v>
      </c>
      <c r="FO3536" s="5" t="s">
        <v>240</v>
      </c>
      <c r="FP3536" s="5" t="s">
        <v>240</v>
      </c>
      <c r="FQ3536" s="5" t="s">
        <v>240</v>
      </c>
      <c r="FR3536" s="5" t="s">
        <v>240</v>
      </c>
      <c r="FS3536" s="5" t="s">
        <v>240</v>
      </c>
      <c r="FT3536" s="5" t="s">
        <v>240</v>
      </c>
      <c r="FU3536" s="5" t="s">
        <v>240</v>
      </c>
      <c r="FV3536" s="5" t="s">
        <v>240</v>
      </c>
      <c r="FW3536" s="5" t="s">
        <v>240</v>
      </c>
      <c r="FX3536" s="5" t="s">
        <v>240</v>
      </c>
      <c r="FY3536" s="5" t="s">
        <v>240</v>
      </c>
      <c r="FZ3536" s="5" t="s">
        <v>240</v>
      </c>
      <c r="GA3536" s="5" t="s">
        <v>240</v>
      </c>
      <c r="GB3536" s="5" t="s">
        <v>240</v>
      </c>
      <c r="GC3536" s="5" t="s">
        <v>240</v>
      </c>
      <c r="GD3536" s="5" t="s">
        <v>240</v>
      </c>
      <c r="GE3536" s="5" t="s">
        <v>240</v>
      </c>
      <c r="GF3536" s="5" t="s">
        <v>240</v>
      </c>
      <c r="GG3536" s="5" t="s">
        <v>240</v>
      </c>
      <c r="GH3536" s="5" t="s">
        <v>240</v>
      </c>
      <c r="GI3536" s="5" t="s">
        <v>240</v>
      </c>
      <c r="GJ3536" s="5" t="s">
        <v>240</v>
      </c>
      <c r="GK3536" s="5" t="s">
        <v>240</v>
      </c>
      <c r="GL3536" s="5" t="s">
        <v>240</v>
      </c>
      <c r="GM3536" s="5" t="s">
        <v>240</v>
      </c>
      <c r="GN3536" s="5" t="s">
        <v>240</v>
      </c>
      <c r="GO3536" s="5" t="s">
        <v>240</v>
      </c>
      <c r="GP3536" s="5" t="s">
        <v>240</v>
      </c>
      <c r="GQ3536" s="5" t="s">
        <v>240</v>
      </c>
      <c r="GR3536" s="5" t="s">
        <v>240</v>
      </c>
      <c r="GS3536" s="5" t="s">
        <v>240</v>
      </c>
      <c r="GT3536" s="5" t="s">
        <v>240</v>
      </c>
      <c r="GU3536" s="5" t="s">
        <v>240</v>
      </c>
      <c r="GV3536" s="5" t="s">
        <v>240</v>
      </c>
      <c r="GW3536" s="5" t="s">
        <v>240</v>
      </c>
      <c r="GX3536" s="5" t="s">
        <v>240</v>
      </c>
      <c r="GY3536" s="5" t="s">
        <v>240</v>
      </c>
      <c r="GZ3536" s="5" t="s">
        <v>240</v>
      </c>
      <c r="HA3536" s="5" t="s">
        <v>240</v>
      </c>
      <c r="HB3536" s="5" t="s">
        <v>240</v>
      </c>
      <c r="HC3536" s="5" t="s">
        <v>240</v>
      </c>
      <c r="HD3536" s="5" t="s">
        <v>240</v>
      </c>
      <c r="HE3536" s="5" t="s">
        <v>240</v>
      </c>
      <c r="HF3536" s="5" t="s">
        <v>240</v>
      </c>
      <c r="HG3536" s="5" t="s">
        <v>240</v>
      </c>
      <c r="HH3536" s="5" t="s">
        <v>240</v>
      </c>
      <c r="HI3536" s="5" t="s">
        <v>240</v>
      </c>
      <c r="HJ3536" s="5" t="s">
        <v>240</v>
      </c>
      <c r="HK3536" s="5" t="s">
        <v>240</v>
      </c>
      <c r="HL3536" s="5" t="s">
        <v>240</v>
      </c>
      <c r="HM3536" s="5" t="s">
        <v>240</v>
      </c>
      <c r="HN3536" s="5" t="s">
        <v>240</v>
      </c>
      <c r="HO3536" s="5" t="s">
        <v>312</v>
      </c>
      <c r="HP3536" s="5" t="s">
        <v>240</v>
      </c>
      <c r="HQ3536" s="5" t="s">
        <v>240</v>
      </c>
      <c r="HR3536" s="5" t="s">
        <v>240</v>
      </c>
      <c r="HS3536" s="5" t="s">
        <v>240</v>
      </c>
      <c r="HT3536" s="5" t="s">
        <v>240</v>
      </c>
      <c r="HU3536" s="5" t="s">
        <v>240</v>
      </c>
      <c r="HV3536" s="5" t="s">
        <v>240</v>
      </c>
      <c r="HW3536" s="5" t="s">
        <v>240</v>
      </c>
      <c r="HX3536" s="5" t="s">
        <v>240</v>
      </c>
      <c r="HY3536" s="5" t="s">
        <v>240</v>
      </c>
      <c r="HZ3536" s="5" t="s">
        <v>240</v>
      </c>
      <c r="IA3536" s="5" t="s">
        <v>240</v>
      </c>
      <c r="IB3536" s="5" t="s">
        <v>240</v>
      </c>
      <c r="IC3536" s="5" t="s">
        <v>240</v>
      </c>
      <c r="ID3536" s="5" t="s">
        <v>240</v>
      </c>
      <c r="IE3536" s="5" t="s">
        <v>240</v>
      </c>
      <c r="IF3536" s="5" t="s">
        <v>240</v>
      </c>
    </row>
    <row r="3537" spans="1:240" x14ac:dyDescent="0.4">
      <c r="A3537" s="5">
        <v>9079</v>
      </c>
      <c r="B3537" s="5">
        <v>1</v>
      </c>
      <c r="C3537" s="5">
        <v>1</v>
      </c>
      <c r="D3537" s="5" t="s">
        <v>723</v>
      </c>
      <c r="E3537" s="5" t="s">
        <v>5060</v>
      </c>
      <c r="F3537" s="5" t="s">
        <v>254</v>
      </c>
      <c r="G3537" s="5" t="s">
        <v>5061</v>
      </c>
      <c r="H3537" s="6" t="s">
        <v>5871</v>
      </c>
      <c r="I3537" s="5" t="s">
        <v>5870</v>
      </c>
      <c r="J3537" s="7">
        <f>1</f>
        <v>1</v>
      </c>
      <c r="K3537" s="5" t="s">
        <v>3682</v>
      </c>
      <c r="L3537" s="7">
        <f>1</f>
        <v>1</v>
      </c>
      <c r="M3537" s="7">
        <f>1</f>
        <v>1</v>
      </c>
      <c r="N3537" s="5" t="s">
        <v>242</v>
      </c>
      <c r="O3537" s="5">
        <v>1</v>
      </c>
      <c r="P3537" s="5" t="s">
        <v>294</v>
      </c>
      <c r="Q3537" s="5" t="s">
        <v>613</v>
      </c>
      <c r="R3537" s="5" t="s">
        <v>240</v>
      </c>
      <c r="S3537" s="5" t="s">
        <v>240</v>
      </c>
      <c r="T3537" s="5" t="s">
        <v>243</v>
      </c>
      <c r="U3537" s="5" t="s">
        <v>724</v>
      </c>
      <c r="V3537" s="5" t="s">
        <v>240</v>
      </c>
      <c r="W3537" s="5" t="s">
        <v>240</v>
      </c>
      <c r="X3537" s="5" t="s">
        <v>240</v>
      </c>
      <c r="Y3537" s="5" t="s">
        <v>240</v>
      </c>
      <c r="Z3537" s="6" t="s">
        <v>298</v>
      </c>
      <c r="AA3537" s="6" t="s">
        <v>240</v>
      </c>
      <c r="AB3537" s="6" t="s">
        <v>240</v>
      </c>
      <c r="AC3537" s="5" t="s">
        <v>240</v>
      </c>
      <c r="AD3537" s="6" t="s">
        <v>240</v>
      </c>
      <c r="AE3537" s="6" t="s">
        <v>299</v>
      </c>
      <c r="AF3537" s="5" t="s">
        <v>727</v>
      </c>
      <c r="AG3537" s="5" t="s">
        <v>260</v>
      </c>
      <c r="AH3537" s="5" t="s">
        <v>240</v>
      </c>
      <c r="AI3537" s="5" t="s">
        <v>240</v>
      </c>
      <c r="AJ3537" s="5" t="s">
        <v>240</v>
      </c>
      <c r="AK3537" s="5" t="s">
        <v>240</v>
      </c>
      <c r="AL3537" s="5" t="s">
        <v>240</v>
      </c>
      <c r="AM3537" s="5" t="s">
        <v>240</v>
      </c>
      <c r="AN3537" s="5" t="s">
        <v>240</v>
      </c>
      <c r="AO3537" s="5" t="s">
        <v>240</v>
      </c>
      <c r="AP3537" s="6" t="s">
        <v>240</v>
      </c>
      <c r="AQ3537" s="6" t="s">
        <v>240</v>
      </c>
      <c r="AR3537" s="6" t="s">
        <v>240</v>
      </c>
      <c r="AS3537" s="6" t="s">
        <v>240</v>
      </c>
      <c r="AT3537" s="5" t="s">
        <v>240</v>
      </c>
      <c r="AU3537" s="5" t="s">
        <v>729</v>
      </c>
      <c r="AV3537" s="5" t="s">
        <v>729</v>
      </c>
      <c r="AW3537" s="5" t="s">
        <v>251</v>
      </c>
      <c r="AX3537" s="5" t="s">
        <v>252</v>
      </c>
      <c r="AY3537" s="5" t="s">
        <v>253</v>
      </c>
      <c r="AZ3537" s="5" t="s">
        <v>240</v>
      </c>
      <c r="BA3537" s="5" t="s">
        <v>255</v>
      </c>
      <c r="BB3537" s="5" t="s">
        <v>731</v>
      </c>
      <c r="BD3537" s="5" t="s">
        <v>240</v>
      </c>
      <c r="BF3537" s="5" t="s">
        <v>732</v>
      </c>
      <c r="BG3537" s="6" t="s">
        <v>733</v>
      </c>
      <c r="BH3537" s="5" t="s">
        <v>734</v>
      </c>
      <c r="BI3537" s="5" t="s">
        <v>734</v>
      </c>
      <c r="BJ3537" s="5" t="s">
        <v>240</v>
      </c>
      <c r="BK3537" s="8">
        <f>168</f>
        <v>168</v>
      </c>
      <c r="BL3537" s="7">
        <f>0</f>
        <v>0</v>
      </c>
      <c r="BM3537" s="5" t="s">
        <v>258</v>
      </c>
      <c r="BN3537" s="5" t="s">
        <v>259</v>
      </c>
      <c r="BO3537" s="5" t="s">
        <v>240</v>
      </c>
      <c r="BP3537" s="5" t="s">
        <v>240</v>
      </c>
      <c r="BQ3537" s="5" t="s">
        <v>240</v>
      </c>
      <c r="BR3537" s="5" t="s">
        <v>240</v>
      </c>
      <c r="BS3537" s="5" t="s">
        <v>240</v>
      </c>
      <c r="BT3537" s="5" t="s">
        <v>240</v>
      </c>
      <c r="BU3537" s="5" t="s">
        <v>240</v>
      </c>
      <c r="BV3537" s="5" t="s">
        <v>240</v>
      </c>
      <c r="BW3537" s="6" t="s">
        <v>240</v>
      </c>
      <c r="BX3537" s="5" t="s">
        <v>240</v>
      </c>
      <c r="BY3537" s="5" t="s">
        <v>240</v>
      </c>
      <c r="BZ3537" s="5" t="s">
        <v>240</v>
      </c>
      <c r="CA3537" s="5" t="s">
        <v>259</v>
      </c>
      <c r="CB3537" s="5" t="s">
        <v>240</v>
      </c>
      <c r="CC3537" s="5" t="s">
        <v>240</v>
      </c>
      <c r="CD3537" s="5" t="s">
        <v>240</v>
      </c>
      <c r="CE3537" s="5" t="s">
        <v>240</v>
      </c>
      <c r="CF3537" s="5" t="s">
        <v>240</v>
      </c>
      <c r="CG3537" s="5" t="s">
        <v>617</v>
      </c>
      <c r="CH3537" s="5" t="s">
        <v>305</v>
      </c>
      <c r="CI3537" s="5" t="s">
        <v>240</v>
      </c>
      <c r="CL3537" s="6" t="s">
        <v>261</v>
      </c>
      <c r="CM3537" s="5" t="s">
        <v>262</v>
      </c>
      <c r="CN3537" s="5" t="s">
        <v>263</v>
      </c>
      <c r="CO3537" s="5" t="s">
        <v>264</v>
      </c>
      <c r="CP3537" s="5" t="s">
        <v>240</v>
      </c>
      <c r="CQ3537" s="5">
        <v>0</v>
      </c>
      <c r="CR3537" s="5" t="s">
        <v>735</v>
      </c>
      <c r="CS3537" s="5" t="s">
        <v>307</v>
      </c>
      <c r="CT3537" s="5" t="s">
        <v>307</v>
      </c>
      <c r="CU3537" s="5" t="s">
        <v>260</v>
      </c>
      <c r="CV3537" s="5" t="s">
        <v>240</v>
      </c>
      <c r="CW3537" s="8">
        <f>0</f>
        <v>0</v>
      </c>
      <c r="CX3537" s="7">
        <f>0</f>
        <v>0</v>
      </c>
      <c r="CY3537" s="7">
        <f>0</f>
        <v>0</v>
      </c>
      <c r="DA3537" s="7">
        <f>1848</f>
        <v>1848</v>
      </c>
      <c r="DB3537" s="7" t="s">
        <v>240</v>
      </c>
      <c r="DC3537" s="5" t="s">
        <v>240</v>
      </c>
      <c r="DD3537" s="5" t="s">
        <v>240</v>
      </c>
      <c r="DE3537" s="5" t="s">
        <v>240</v>
      </c>
      <c r="DF3537" s="5" t="s">
        <v>450</v>
      </c>
      <c r="DG3537" s="7">
        <f>0</f>
        <v>0</v>
      </c>
      <c r="DI3537" s="5" t="s">
        <v>737</v>
      </c>
      <c r="DJ3537" s="5" t="s">
        <v>240</v>
      </c>
      <c r="DK3537" s="5" t="s">
        <v>240</v>
      </c>
      <c r="DL3537" s="5" t="s">
        <v>240</v>
      </c>
      <c r="DM3537" s="5" t="s">
        <v>240</v>
      </c>
      <c r="DN3537" s="5" t="s">
        <v>240</v>
      </c>
      <c r="DO3537" s="7" t="s">
        <v>240</v>
      </c>
      <c r="DP3537" s="5" t="s">
        <v>240</v>
      </c>
      <c r="DQ3537" s="5" t="s">
        <v>240</v>
      </c>
      <c r="DR3537" s="5" t="s">
        <v>731</v>
      </c>
      <c r="DS3537" s="5" t="s">
        <v>731</v>
      </c>
      <c r="DT3537" s="5" t="s">
        <v>240</v>
      </c>
      <c r="DU3537" s="5" t="s">
        <v>240</v>
      </c>
      <c r="DV3537" s="5" t="s">
        <v>738</v>
      </c>
      <c r="DW3537" s="5" t="s">
        <v>719</v>
      </c>
      <c r="DX3537" s="5" t="s">
        <v>240</v>
      </c>
      <c r="DY3537" s="5" t="s">
        <v>240</v>
      </c>
      <c r="DZ3537" s="5" t="s">
        <v>240</v>
      </c>
      <c r="EA3537" s="5" t="s">
        <v>240</v>
      </c>
      <c r="EB3537" s="5" t="s">
        <v>240</v>
      </c>
      <c r="EC3537" s="5" t="s">
        <v>240</v>
      </c>
      <c r="ED3537" s="5" t="s">
        <v>240</v>
      </c>
      <c r="EE3537" s="5" t="s">
        <v>240</v>
      </c>
      <c r="EF3537" s="5" t="s">
        <v>240</v>
      </c>
      <c r="EG3537" s="5" t="s">
        <v>240</v>
      </c>
      <c r="EH3537" s="5" t="s">
        <v>240</v>
      </c>
      <c r="EI3537" s="5" t="s">
        <v>240</v>
      </c>
      <c r="EJ3537" s="5" t="s">
        <v>240</v>
      </c>
      <c r="EK3537" s="5" t="s">
        <v>240</v>
      </c>
      <c r="EL3537" s="5" t="s">
        <v>240</v>
      </c>
      <c r="EM3537" s="5" t="s">
        <v>240</v>
      </c>
      <c r="EN3537" s="5" t="s">
        <v>240</v>
      </c>
      <c r="EO3537" s="5" t="s">
        <v>240</v>
      </c>
      <c r="EP3537" s="5" t="s">
        <v>240</v>
      </c>
      <c r="EQ3537" s="5" t="s">
        <v>240</v>
      </c>
      <c r="ER3537" s="5" t="s">
        <v>240</v>
      </c>
      <c r="ES3537" s="5" t="s">
        <v>240</v>
      </c>
      <c r="ET3537" s="5" t="s">
        <v>240</v>
      </c>
      <c r="EU3537" s="5" t="s">
        <v>240</v>
      </c>
      <c r="EV3537" s="5" t="s">
        <v>240</v>
      </c>
      <c r="EW3537" s="5" t="s">
        <v>240</v>
      </c>
      <c r="EX3537" s="5" t="s">
        <v>240</v>
      </c>
      <c r="EY3537" s="5" t="s">
        <v>240</v>
      </c>
      <c r="EZ3537" s="5" t="s">
        <v>240</v>
      </c>
      <c r="FA3537" s="5" t="s">
        <v>240</v>
      </c>
      <c r="FB3537" s="5" t="s">
        <v>240</v>
      </c>
      <c r="FC3537" s="5" t="s">
        <v>240</v>
      </c>
      <c r="FD3537" s="5" t="s">
        <v>240</v>
      </c>
      <c r="FE3537" s="5" t="s">
        <v>240</v>
      </c>
      <c r="FF3537" s="5" t="s">
        <v>240</v>
      </c>
      <c r="FG3537" s="5" t="s">
        <v>240</v>
      </c>
      <c r="FH3537" s="5" t="s">
        <v>240</v>
      </c>
      <c r="FI3537" s="5" t="s">
        <v>240</v>
      </c>
      <c r="FJ3537" s="5" t="s">
        <v>240</v>
      </c>
      <c r="FK3537" s="5" t="s">
        <v>240</v>
      </c>
      <c r="FL3537" s="5" t="s">
        <v>240</v>
      </c>
      <c r="FM3537" s="5" t="s">
        <v>240</v>
      </c>
      <c r="FN3537" s="5" t="s">
        <v>240</v>
      </c>
      <c r="FO3537" s="5" t="s">
        <v>240</v>
      </c>
      <c r="FP3537" s="5" t="s">
        <v>240</v>
      </c>
      <c r="FQ3537" s="5" t="s">
        <v>240</v>
      </c>
      <c r="FR3537" s="5" t="s">
        <v>240</v>
      </c>
      <c r="FS3537" s="5" t="s">
        <v>240</v>
      </c>
      <c r="FT3537" s="5" t="s">
        <v>240</v>
      </c>
      <c r="FU3537" s="5" t="s">
        <v>240</v>
      </c>
      <c r="FV3537" s="5" t="s">
        <v>240</v>
      </c>
      <c r="FW3537" s="5" t="s">
        <v>240</v>
      </c>
      <c r="FX3537" s="5" t="s">
        <v>240</v>
      </c>
      <c r="FY3537" s="5" t="s">
        <v>240</v>
      </c>
      <c r="FZ3537" s="5" t="s">
        <v>240</v>
      </c>
      <c r="GA3537" s="5" t="s">
        <v>240</v>
      </c>
      <c r="GB3537" s="5" t="s">
        <v>240</v>
      </c>
      <c r="GC3537" s="5" t="s">
        <v>240</v>
      </c>
      <c r="GD3537" s="5" t="s">
        <v>240</v>
      </c>
      <c r="GE3537" s="5" t="s">
        <v>240</v>
      </c>
      <c r="GF3537" s="5" t="s">
        <v>240</v>
      </c>
      <c r="GG3537" s="5" t="s">
        <v>240</v>
      </c>
      <c r="GH3537" s="5" t="s">
        <v>240</v>
      </c>
      <c r="GI3537" s="5" t="s">
        <v>240</v>
      </c>
      <c r="GJ3537" s="5" t="s">
        <v>240</v>
      </c>
      <c r="GK3537" s="5" t="s">
        <v>240</v>
      </c>
      <c r="GL3537" s="5" t="s">
        <v>240</v>
      </c>
      <c r="GM3537" s="5" t="s">
        <v>240</v>
      </c>
      <c r="GN3537" s="5" t="s">
        <v>240</v>
      </c>
      <c r="GO3537" s="5" t="s">
        <v>240</v>
      </c>
      <c r="GP3537" s="5" t="s">
        <v>240</v>
      </c>
      <c r="GQ3537" s="5" t="s">
        <v>240</v>
      </c>
      <c r="GR3537" s="5" t="s">
        <v>240</v>
      </c>
      <c r="GS3537" s="5" t="s">
        <v>240</v>
      </c>
      <c r="GT3537" s="5" t="s">
        <v>240</v>
      </c>
      <c r="GU3537" s="5" t="s">
        <v>240</v>
      </c>
      <c r="GV3537" s="5" t="s">
        <v>240</v>
      </c>
      <c r="GW3537" s="5" t="s">
        <v>240</v>
      </c>
      <c r="GX3537" s="5" t="s">
        <v>240</v>
      </c>
      <c r="GY3537" s="5" t="s">
        <v>240</v>
      </c>
      <c r="GZ3537" s="5" t="s">
        <v>240</v>
      </c>
      <c r="HA3537" s="5" t="s">
        <v>240</v>
      </c>
      <c r="HB3537" s="5" t="s">
        <v>240</v>
      </c>
      <c r="HC3537" s="5" t="s">
        <v>240</v>
      </c>
      <c r="HD3537" s="5" t="s">
        <v>240</v>
      </c>
      <c r="HE3537" s="5" t="s">
        <v>240</v>
      </c>
      <c r="HF3537" s="5" t="s">
        <v>240</v>
      </c>
      <c r="HG3537" s="5" t="s">
        <v>240</v>
      </c>
      <c r="HH3537" s="5" t="s">
        <v>240</v>
      </c>
      <c r="HI3537" s="5" t="s">
        <v>240</v>
      </c>
      <c r="HJ3537" s="5" t="s">
        <v>240</v>
      </c>
      <c r="HK3537" s="5" t="s">
        <v>240</v>
      </c>
      <c r="HL3537" s="5" t="s">
        <v>240</v>
      </c>
      <c r="HM3537" s="5" t="s">
        <v>240</v>
      </c>
      <c r="HN3537" s="5" t="s">
        <v>240</v>
      </c>
      <c r="HO3537" s="5" t="s">
        <v>312</v>
      </c>
      <c r="HP3537" s="5" t="s">
        <v>240</v>
      </c>
      <c r="HQ3537" s="5" t="s">
        <v>240</v>
      </c>
      <c r="HR3537" s="5" t="s">
        <v>240</v>
      </c>
      <c r="HS3537" s="5" t="s">
        <v>240</v>
      </c>
      <c r="HT3537" s="5" t="s">
        <v>240</v>
      </c>
      <c r="HU3537" s="5" t="s">
        <v>240</v>
      </c>
      <c r="HV3537" s="5" t="s">
        <v>240</v>
      </c>
      <c r="HW3537" s="5" t="s">
        <v>240</v>
      </c>
      <c r="HX3537" s="5" t="s">
        <v>240</v>
      </c>
      <c r="HY3537" s="5" t="s">
        <v>240</v>
      </c>
      <c r="HZ3537" s="5" t="s">
        <v>240</v>
      </c>
      <c r="IA3537" s="5" t="s">
        <v>240</v>
      </c>
      <c r="IB3537" s="5" t="s">
        <v>240</v>
      </c>
      <c r="IC3537" s="5" t="s">
        <v>240</v>
      </c>
      <c r="ID3537" s="5" t="s">
        <v>240</v>
      </c>
      <c r="IE3537" s="5" t="s">
        <v>240</v>
      </c>
      <c r="IF3537" s="5" t="s">
        <v>240</v>
      </c>
    </row>
    <row r="3538" spans="1:240" x14ac:dyDescent="0.4">
      <c r="A3538" s="5">
        <v>9080</v>
      </c>
      <c r="B3538" s="5">
        <v>1</v>
      </c>
      <c r="C3538" s="5">
        <v>1</v>
      </c>
      <c r="D3538" s="5" t="s">
        <v>723</v>
      </c>
      <c r="E3538" s="5" t="s">
        <v>5060</v>
      </c>
      <c r="F3538" s="5" t="s">
        <v>254</v>
      </c>
      <c r="G3538" s="5" t="s">
        <v>5061</v>
      </c>
      <c r="H3538" s="6" t="s">
        <v>6178</v>
      </c>
      <c r="I3538" s="5" t="s">
        <v>6177</v>
      </c>
      <c r="J3538" s="7">
        <f>1</f>
        <v>1</v>
      </c>
      <c r="K3538" s="5" t="s">
        <v>3682</v>
      </c>
      <c r="L3538" s="7">
        <f>1</f>
        <v>1</v>
      </c>
      <c r="M3538" s="7">
        <f>1</f>
        <v>1</v>
      </c>
      <c r="N3538" s="5" t="s">
        <v>242</v>
      </c>
      <c r="O3538" s="5">
        <v>1</v>
      </c>
      <c r="P3538" s="5" t="s">
        <v>294</v>
      </c>
      <c r="Q3538" s="5" t="s">
        <v>3678</v>
      </c>
      <c r="R3538" s="5" t="s">
        <v>240</v>
      </c>
      <c r="S3538" s="5" t="s">
        <v>240</v>
      </c>
      <c r="T3538" s="5" t="s">
        <v>243</v>
      </c>
      <c r="U3538" s="5" t="s">
        <v>244</v>
      </c>
      <c r="V3538" s="5" t="s">
        <v>240</v>
      </c>
      <c r="W3538" s="5" t="s">
        <v>240</v>
      </c>
      <c r="X3538" s="5" t="s">
        <v>240</v>
      </c>
      <c r="Y3538" s="5" t="s">
        <v>240</v>
      </c>
      <c r="Z3538" s="6" t="s">
        <v>298</v>
      </c>
      <c r="AA3538" s="6" t="s">
        <v>240</v>
      </c>
      <c r="AB3538" s="6" t="s">
        <v>240</v>
      </c>
      <c r="AC3538" s="5" t="s">
        <v>240</v>
      </c>
      <c r="AD3538" s="6" t="s">
        <v>240</v>
      </c>
      <c r="AE3538" s="6" t="s">
        <v>299</v>
      </c>
      <c r="AF3538" s="5" t="s">
        <v>248</v>
      </c>
      <c r="AG3538" s="5" t="s">
        <v>249</v>
      </c>
      <c r="AH3538" s="5" t="s">
        <v>240</v>
      </c>
      <c r="AI3538" s="5" t="s">
        <v>240</v>
      </c>
      <c r="AJ3538" s="5" t="s">
        <v>240</v>
      </c>
      <c r="AK3538" s="5" t="s">
        <v>240</v>
      </c>
      <c r="AL3538" s="5" t="s">
        <v>240</v>
      </c>
      <c r="AM3538" s="5" t="s">
        <v>240</v>
      </c>
      <c r="AN3538" s="5" t="s">
        <v>240</v>
      </c>
      <c r="AO3538" s="5" t="s">
        <v>240</v>
      </c>
      <c r="AP3538" s="6" t="s">
        <v>240</v>
      </c>
      <c r="AQ3538" s="6" t="s">
        <v>240</v>
      </c>
      <c r="AR3538" s="6" t="s">
        <v>240</v>
      </c>
      <c r="AS3538" s="6" t="s">
        <v>240</v>
      </c>
      <c r="AT3538" s="5" t="s">
        <v>240</v>
      </c>
      <c r="AU3538" s="5" t="s">
        <v>729</v>
      </c>
      <c r="AV3538" s="5" t="s">
        <v>729</v>
      </c>
      <c r="AW3538" s="5" t="s">
        <v>251</v>
      </c>
      <c r="AX3538" s="5" t="s">
        <v>252</v>
      </c>
      <c r="AY3538" s="5" t="s">
        <v>253</v>
      </c>
      <c r="AZ3538" s="5" t="s">
        <v>240</v>
      </c>
      <c r="BA3538" s="5" t="s">
        <v>255</v>
      </c>
      <c r="BB3538" s="5" t="s">
        <v>731</v>
      </c>
      <c r="BD3538" s="5" t="s">
        <v>240</v>
      </c>
      <c r="BF3538" s="5" t="s">
        <v>732</v>
      </c>
      <c r="BG3538" s="6" t="s">
        <v>733</v>
      </c>
      <c r="BH3538" s="5" t="s">
        <v>734</v>
      </c>
      <c r="BI3538" s="5" t="s">
        <v>734</v>
      </c>
      <c r="BJ3538" s="5" t="s">
        <v>240</v>
      </c>
      <c r="BK3538" s="7">
        <f>1</f>
        <v>1</v>
      </c>
      <c r="BL3538" s="7">
        <f>1</f>
        <v>1</v>
      </c>
      <c r="BM3538" s="5" t="s">
        <v>258</v>
      </c>
      <c r="BN3538" s="5" t="s">
        <v>259</v>
      </c>
      <c r="BO3538" s="5" t="s">
        <v>240</v>
      </c>
      <c r="BP3538" s="5" t="s">
        <v>240</v>
      </c>
      <c r="BQ3538" s="5" t="s">
        <v>240</v>
      </c>
      <c r="BR3538" s="5" t="s">
        <v>240</v>
      </c>
      <c r="BS3538" s="5" t="s">
        <v>240</v>
      </c>
      <c r="BT3538" s="5" t="s">
        <v>240</v>
      </c>
      <c r="BU3538" s="5" t="s">
        <v>240</v>
      </c>
      <c r="BV3538" s="5" t="s">
        <v>240</v>
      </c>
      <c r="BW3538" s="6" t="s">
        <v>240</v>
      </c>
      <c r="BX3538" s="5" t="s">
        <v>240</v>
      </c>
      <c r="BY3538" s="5" t="s">
        <v>240</v>
      </c>
      <c r="BZ3538" s="5" t="s">
        <v>240</v>
      </c>
      <c r="CA3538" s="5" t="s">
        <v>259</v>
      </c>
      <c r="CB3538" s="5" t="s">
        <v>240</v>
      </c>
      <c r="CC3538" s="5" t="s">
        <v>240</v>
      </c>
      <c r="CD3538" s="5" t="s">
        <v>240</v>
      </c>
      <c r="CE3538" s="5" t="s">
        <v>240</v>
      </c>
      <c r="CF3538" s="5" t="s">
        <v>240</v>
      </c>
      <c r="CG3538" s="5" t="s">
        <v>304</v>
      </c>
      <c r="CH3538" s="5" t="s">
        <v>305</v>
      </c>
      <c r="CI3538" s="5" t="s">
        <v>240</v>
      </c>
      <c r="CK3538" s="5" t="s">
        <v>3681</v>
      </c>
      <c r="CL3538" s="6" t="s">
        <v>261</v>
      </c>
      <c r="CM3538" s="5" t="s">
        <v>262</v>
      </c>
      <c r="CN3538" s="5" t="s">
        <v>263</v>
      </c>
      <c r="CO3538" s="5" t="s">
        <v>264</v>
      </c>
      <c r="CP3538" s="5" t="s">
        <v>240</v>
      </c>
      <c r="CQ3538" s="5">
        <v>0</v>
      </c>
      <c r="CR3538" s="5" t="s">
        <v>735</v>
      </c>
      <c r="CS3538" s="5" t="s">
        <v>307</v>
      </c>
      <c r="CT3538" s="5" t="s">
        <v>307</v>
      </c>
      <c r="CU3538" s="5" t="s">
        <v>260</v>
      </c>
      <c r="CV3538" s="5" t="s">
        <v>612</v>
      </c>
      <c r="CW3538" s="8">
        <f>1</f>
        <v>1</v>
      </c>
      <c r="CX3538" s="7">
        <f>1</f>
        <v>1</v>
      </c>
      <c r="CY3538" s="7">
        <f>0</f>
        <v>0</v>
      </c>
      <c r="DA3538" s="7">
        <f>1</f>
        <v>1</v>
      </c>
      <c r="DB3538" s="7" t="s">
        <v>240</v>
      </c>
      <c r="DC3538" s="5" t="s">
        <v>240</v>
      </c>
      <c r="DD3538" s="5" t="s">
        <v>240</v>
      </c>
      <c r="DE3538" s="5" t="s">
        <v>240</v>
      </c>
      <c r="DF3538" s="5" t="s">
        <v>240</v>
      </c>
      <c r="DG3538" s="7">
        <f>0</f>
        <v>0</v>
      </c>
      <c r="DI3538" s="5" t="s">
        <v>240</v>
      </c>
      <c r="DJ3538" s="5" t="s">
        <v>240</v>
      </c>
      <c r="DK3538" s="5" t="s">
        <v>240</v>
      </c>
      <c r="DL3538" s="5" t="s">
        <v>240</v>
      </c>
      <c r="DM3538" s="5" t="s">
        <v>240</v>
      </c>
      <c r="DN3538" s="5" t="s">
        <v>240</v>
      </c>
      <c r="DO3538" s="7" t="s">
        <v>240</v>
      </c>
      <c r="DP3538" s="5" t="s">
        <v>240</v>
      </c>
      <c r="DQ3538" s="5" t="s">
        <v>240</v>
      </c>
      <c r="DR3538" s="5" t="s">
        <v>731</v>
      </c>
      <c r="DS3538" s="5" t="s">
        <v>731</v>
      </c>
      <c r="DT3538" s="5" t="s">
        <v>240</v>
      </c>
      <c r="DU3538" s="5" t="s">
        <v>240</v>
      </c>
      <c r="DV3538" s="5" t="s">
        <v>3683</v>
      </c>
      <c r="DW3538" s="5" t="s">
        <v>1106</v>
      </c>
      <c r="DX3538" s="5" t="s">
        <v>240</v>
      </c>
      <c r="DY3538" s="5" t="s">
        <v>240</v>
      </c>
      <c r="DZ3538" s="5" t="s">
        <v>240</v>
      </c>
      <c r="EA3538" s="5" t="s">
        <v>240</v>
      </c>
      <c r="EB3538" s="5" t="s">
        <v>240</v>
      </c>
      <c r="EC3538" s="5" t="s">
        <v>240</v>
      </c>
      <c r="ED3538" s="5" t="s">
        <v>240</v>
      </c>
      <c r="EE3538" s="5" t="s">
        <v>240</v>
      </c>
      <c r="EF3538" s="5" t="s">
        <v>240</v>
      </c>
      <c r="EG3538" s="5" t="s">
        <v>240</v>
      </c>
      <c r="EH3538" s="5" t="s">
        <v>240</v>
      </c>
      <c r="EI3538" s="5" t="s">
        <v>240</v>
      </c>
      <c r="EJ3538" s="5" t="s">
        <v>240</v>
      </c>
      <c r="EK3538" s="5" t="s">
        <v>240</v>
      </c>
      <c r="EL3538" s="5" t="s">
        <v>240</v>
      </c>
      <c r="EM3538" s="5" t="s">
        <v>240</v>
      </c>
      <c r="EN3538" s="5" t="s">
        <v>240</v>
      </c>
      <c r="EO3538" s="5" t="s">
        <v>240</v>
      </c>
      <c r="EP3538" s="5" t="s">
        <v>240</v>
      </c>
      <c r="EQ3538" s="5" t="s">
        <v>240</v>
      </c>
      <c r="ER3538" s="5" t="s">
        <v>240</v>
      </c>
      <c r="ES3538" s="5" t="s">
        <v>240</v>
      </c>
      <c r="ET3538" s="5" t="s">
        <v>240</v>
      </c>
      <c r="EU3538" s="5" t="s">
        <v>240</v>
      </c>
      <c r="EV3538" s="5" t="s">
        <v>240</v>
      </c>
      <c r="EW3538" s="5" t="s">
        <v>240</v>
      </c>
      <c r="EX3538" s="5" t="s">
        <v>240</v>
      </c>
      <c r="EY3538" s="5" t="s">
        <v>240</v>
      </c>
      <c r="EZ3538" s="5" t="s">
        <v>240</v>
      </c>
      <c r="FA3538" s="5" t="s">
        <v>240</v>
      </c>
      <c r="FB3538" s="5" t="s">
        <v>240</v>
      </c>
      <c r="FC3538" s="5" t="s">
        <v>240</v>
      </c>
      <c r="FD3538" s="5" t="s">
        <v>240</v>
      </c>
      <c r="FE3538" s="5" t="s">
        <v>240</v>
      </c>
      <c r="FF3538" s="5" t="s">
        <v>240</v>
      </c>
      <c r="FG3538" s="5" t="s">
        <v>240</v>
      </c>
      <c r="FH3538" s="5" t="s">
        <v>240</v>
      </c>
      <c r="FI3538" s="5" t="s">
        <v>240</v>
      </c>
      <c r="FJ3538" s="5" t="s">
        <v>240</v>
      </c>
      <c r="FK3538" s="5" t="s">
        <v>240</v>
      </c>
      <c r="FL3538" s="5" t="s">
        <v>240</v>
      </c>
      <c r="FM3538" s="5" t="s">
        <v>240</v>
      </c>
      <c r="FN3538" s="5" t="s">
        <v>240</v>
      </c>
      <c r="FO3538" s="5" t="s">
        <v>240</v>
      </c>
      <c r="FP3538" s="5" t="s">
        <v>240</v>
      </c>
      <c r="FQ3538" s="5" t="s">
        <v>240</v>
      </c>
      <c r="FR3538" s="5" t="s">
        <v>240</v>
      </c>
      <c r="FS3538" s="5" t="s">
        <v>240</v>
      </c>
      <c r="FT3538" s="5" t="s">
        <v>240</v>
      </c>
      <c r="FU3538" s="5" t="s">
        <v>240</v>
      </c>
      <c r="FV3538" s="5" t="s">
        <v>240</v>
      </c>
      <c r="FW3538" s="5" t="s">
        <v>240</v>
      </c>
      <c r="FX3538" s="5" t="s">
        <v>240</v>
      </c>
      <c r="FY3538" s="5" t="s">
        <v>240</v>
      </c>
      <c r="FZ3538" s="5" t="s">
        <v>240</v>
      </c>
      <c r="GA3538" s="5" t="s">
        <v>240</v>
      </c>
      <c r="GB3538" s="5" t="s">
        <v>240</v>
      </c>
      <c r="GC3538" s="5" t="s">
        <v>240</v>
      </c>
      <c r="GD3538" s="5" t="s">
        <v>240</v>
      </c>
      <c r="GE3538" s="5" t="s">
        <v>240</v>
      </c>
      <c r="GF3538" s="5" t="s">
        <v>240</v>
      </c>
      <c r="GG3538" s="5" t="s">
        <v>240</v>
      </c>
      <c r="GH3538" s="5" t="s">
        <v>240</v>
      </c>
      <c r="GI3538" s="5" t="s">
        <v>240</v>
      </c>
      <c r="GJ3538" s="5" t="s">
        <v>240</v>
      </c>
      <c r="GK3538" s="5" t="s">
        <v>240</v>
      </c>
      <c r="GL3538" s="5" t="s">
        <v>240</v>
      </c>
      <c r="GM3538" s="5" t="s">
        <v>240</v>
      </c>
      <c r="GN3538" s="5" t="s">
        <v>240</v>
      </c>
      <c r="GO3538" s="5" t="s">
        <v>240</v>
      </c>
      <c r="GP3538" s="5" t="s">
        <v>240</v>
      </c>
      <c r="GQ3538" s="5" t="s">
        <v>240</v>
      </c>
      <c r="GR3538" s="5" t="s">
        <v>240</v>
      </c>
      <c r="GS3538" s="5" t="s">
        <v>240</v>
      </c>
      <c r="GT3538" s="5" t="s">
        <v>240</v>
      </c>
      <c r="GU3538" s="5" t="s">
        <v>240</v>
      </c>
      <c r="GV3538" s="5" t="s">
        <v>240</v>
      </c>
      <c r="GW3538" s="5" t="s">
        <v>240</v>
      </c>
      <c r="GX3538" s="5" t="s">
        <v>240</v>
      </c>
      <c r="GY3538" s="5" t="s">
        <v>240</v>
      </c>
      <c r="GZ3538" s="5" t="s">
        <v>240</v>
      </c>
      <c r="HA3538" s="5" t="s">
        <v>240</v>
      </c>
      <c r="HB3538" s="5" t="s">
        <v>240</v>
      </c>
      <c r="HC3538" s="5" t="s">
        <v>240</v>
      </c>
      <c r="HD3538" s="5" t="s">
        <v>240</v>
      </c>
      <c r="HE3538" s="5" t="s">
        <v>240</v>
      </c>
      <c r="HF3538" s="5" t="s">
        <v>240</v>
      </c>
      <c r="HG3538" s="5" t="s">
        <v>240</v>
      </c>
      <c r="HH3538" s="5" t="s">
        <v>240</v>
      </c>
      <c r="HI3538" s="5" t="s">
        <v>240</v>
      </c>
      <c r="HJ3538" s="5" t="s">
        <v>240</v>
      </c>
      <c r="HK3538" s="5" t="s">
        <v>240</v>
      </c>
      <c r="HL3538" s="5" t="s">
        <v>240</v>
      </c>
      <c r="HM3538" s="5" t="s">
        <v>240</v>
      </c>
      <c r="HN3538" s="5" t="s">
        <v>240</v>
      </c>
      <c r="HO3538" s="5" t="s">
        <v>312</v>
      </c>
      <c r="HP3538" s="5" t="s">
        <v>240</v>
      </c>
      <c r="HQ3538" s="5" t="s">
        <v>240</v>
      </c>
      <c r="HR3538" s="5" t="s">
        <v>240</v>
      </c>
      <c r="HS3538" s="5" t="s">
        <v>240</v>
      </c>
      <c r="HT3538" s="5" t="s">
        <v>240</v>
      </c>
      <c r="HU3538" s="5" t="s">
        <v>240</v>
      </c>
      <c r="HV3538" s="5" t="s">
        <v>240</v>
      </c>
      <c r="HW3538" s="5" t="s">
        <v>240</v>
      </c>
      <c r="HX3538" s="5" t="s">
        <v>240</v>
      </c>
      <c r="HY3538" s="5" t="s">
        <v>240</v>
      </c>
      <c r="HZ3538" s="5" t="s">
        <v>240</v>
      </c>
      <c r="IA3538" s="5" t="s">
        <v>240</v>
      </c>
      <c r="IB3538" s="5" t="s">
        <v>240</v>
      </c>
      <c r="IC3538" s="5" t="s">
        <v>240</v>
      </c>
      <c r="ID3538" s="5" t="s">
        <v>240</v>
      </c>
      <c r="IE3538" s="5" t="s">
        <v>240</v>
      </c>
      <c r="IF3538" s="5" t="s">
        <v>240</v>
      </c>
    </row>
    <row r="3539" spans="1:240" x14ac:dyDescent="0.4">
      <c r="A3539" s="5">
        <v>9081</v>
      </c>
      <c r="B3539" s="5">
        <v>1</v>
      </c>
      <c r="C3539" s="5">
        <v>1</v>
      </c>
      <c r="D3539" s="5" t="s">
        <v>723</v>
      </c>
      <c r="E3539" s="5" t="s">
        <v>5060</v>
      </c>
      <c r="F3539" s="5" t="s">
        <v>254</v>
      </c>
      <c r="G3539" s="5" t="s">
        <v>5061</v>
      </c>
      <c r="H3539" s="6" t="s">
        <v>5868</v>
      </c>
      <c r="I3539" s="5" t="s">
        <v>5867</v>
      </c>
      <c r="J3539" s="7">
        <f>1</f>
        <v>1</v>
      </c>
      <c r="K3539" s="5" t="s">
        <v>3682</v>
      </c>
      <c r="L3539" s="7">
        <f>1</f>
        <v>1</v>
      </c>
      <c r="M3539" s="7">
        <f>1</f>
        <v>1</v>
      </c>
      <c r="N3539" s="5" t="s">
        <v>242</v>
      </c>
      <c r="O3539" s="5">
        <v>1</v>
      </c>
      <c r="P3539" s="5" t="s">
        <v>294</v>
      </c>
      <c r="Q3539" s="5" t="s">
        <v>613</v>
      </c>
      <c r="R3539" s="5" t="s">
        <v>240</v>
      </c>
      <c r="S3539" s="5" t="s">
        <v>240</v>
      </c>
      <c r="T3539" s="5" t="s">
        <v>243</v>
      </c>
      <c r="U3539" s="5" t="s">
        <v>724</v>
      </c>
      <c r="V3539" s="5" t="s">
        <v>240</v>
      </c>
      <c r="W3539" s="5" t="s">
        <v>240</v>
      </c>
      <c r="X3539" s="5" t="s">
        <v>240</v>
      </c>
      <c r="Y3539" s="5" t="s">
        <v>240</v>
      </c>
      <c r="Z3539" s="6" t="s">
        <v>298</v>
      </c>
      <c r="AA3539" s="6" t="s">
        <v>240</v>
      </c>
      <c r="AB3539" s="6" t="s">
        <v>240</v>
      </c>
      <c r="AC3539" s="5" t="s">
        <v>240</v>
      </c>
      <c r="AD3539" s="6" t="s">
        <v>240</v>
      </c>
      <c r="AE3539" s="6" t="s">
        <v>299</v>
      </c>
      <c r="AF3539" s="5" t="s">
        <v>727</v>
      </c>
      <c r="AG3539" s="5" t="s">
        <v>260</v>
      </c>
      <c r="AH3539" s="5" t="s">
        <v>240</v>
      </c>
      <c r="AI3539" s="5" t="s">
        <v>240</v>
      </c>
      <c r="AJ3539" s="5" t="s">
        <v>240</v>
      </c>
      <c r="AK3539" s="5" t="s">
        <v>240</v>
      </c>
      <c r="AL3539" s="5" t="s">
        <v>240</v>
      </c>
      <c r="AM3539" s="5" t="s">
        <v>240</v>
      </c>
      <c r="AN3539" s="5" t="s">
        <v>240</v>
      </c>
      <c r="AO3539" s="5" t="s">
        <v>240</v>
      </c>
      <c r="AP3539" s="6" t="s">
        <v>240</v>
      </c>
      <c r="AQ3539" s="6" t="s">
        <v>240</v>
      </c>
      <c r="AR3539" s="6" t="s">
        <v>240</v>
      </c>
      <c r="AS3539" s="6" t="s">
        <v>240</v>
      </c>
      <c r="AT3539" s="5" t="s">
        <v>240</v>
      </c>
      <c r="AU3539" s="5" t="s">
        <v>729</v>
      </c>
      <c r="AV3539" s="5" t="s">
        <v>729</v>
      </c>
      <c r="AW3539" s="5" t="s">
        <v>251</v>
      </c>
      <c r="AX3539" s="5" t="s">
        <v>252</v>
      </c>
      <c r="AY3539" s="5" t="s">
        <v>253</v>
      </c>
      <c r="AZ3539" s="5" t="s">
        <v>240</v>
      </c>
      <c r="BA3539" s="5" t="s">
        <v>255</v>
      </c>
      <c r="BB3539" s="5" t="s">
        <v>731</v>
      </c>
      <c r="BD3539" s="5" t="s">
        <v>240</v>
      </c>
      <c r="BF3539" s="5" t="s">
        <v>732</v>
      </c>
      <c r="BG3539" s="6" t="s">
        <v>733</v>
      </c>
      <c r="BH3539" s="5" t="s">
        <v>734</v>
      </c>
      <c r="BI3539" s="5" t="s">
        <v>734</v>
      </c>
      <c r="BJ3539" s="5" t="s">
        <v>240</v>
      </c>
      <c r="BK3539" s="8">
        <f>986</f>
        <v>986</v>
      </c>
      <c r="BL3539" s="7">
        <f>0</f>
        <v>0</v>
      </c>
      <c r="BM3539" s="5" t="s">
        <v>258</v>
      </c>
      <c r="BN3539" s="5" t="s">
        <v>259</v>
      </c>
      <c r="BO3539" s="5" t="s">
        <v>240</v>
      </c>
      <c r="BP3539" s="5" t="s">
        <v>240</v>
      </c>
      <c r="BQ3539" s="5" t="s">
        <v>240</v>
      </c>
      <c r="BR3539" s="5" t="s">
        <v>240</v>
      </c>
      <c r="BS3539" s="5" t="s">
        <v>240</v>
      </c>
      <c r="BT3539" s="5" t="s">
        <v>240</v>
      </c>
      <c r="BU3539" s="5" t="s">
        <v>240</v>
      </c>
      <c r="BV3539" s="5" t="s">
        <v>240</v>
      </c>
      <c r="BW3539" s="6" t="s">
        <v>240</v>
      </c>
      <c r="BX3539" s="5" t="s">
        <v>240</v>
      </c>
      <c r="BY3539" s="5" t="s">
        <v>240</v>
      </c>
      <c r="BZ3539" s="5" t="s">
        <v>240</v>
      </c>
      <c r="CA3539" s="5" t="s">
        <v>259</v>
      </c>
      <c r="CB3539" s="5" t="s">
        <v>240</v>
      </c>
      <c r="CC3539" s="5" t="s">
        <v>240</v>
      </c>
      <c r="CD3539" s="5" t="s">
        <v>240</v>
      </c>
      <c r="CE3539" s="5" t="s">
        <v>240</v>
      </c>
      <c r="CF3539" s="5" t="s">
        <v>240</v>
      </c>
      <c r="CG3539" s="5" t="s">
        <v>617</v>
      </c>
      <c r="CH3539" s="5" t="s">
        <v>305</v>
      </c>
      <c r="CI3539" s="5" t="s">
        <v>240</v>
      </c>
      <c r="CL3539" s="6" t="s">
        <v>261</v>
      </c>
      <c r="CM3539" s="5" t="s">
        <v>262</v>
      </c>
      <c r="CN3539" s="5" t="s">
        <v>263</v>
      </c>
      <c r="CO3539" s="5" t="s">
        <v>264</v>
      </c>
      <c r="CP3539" s="5" t="s">
        <v>240</v>
      </c>
      <c r="CQ3539" s="5">
        <v>0</v>
      </c>
      <c r="CR3539" s="5" t="s">
        <v>735</v>
      </c>
      <c r="CS3539" s="5" t="s">
        <v>307</v>
      </c>
      <c r="CT3539" s="5" t="s">
        <v>307</v>
      </c>
      <c r="CU3539" s="5" t="s">
        <v>260</v>
      </c>
      <c r="CV3539" s="5" t="s">
        <v>240</v>
      </c>
      <c r="CW3539" s="8">
        <f>0</f>
        <v>0</v>
      </c>
      <c r="CX3539" s="7">
        <f>0</f>
        <v>0</v>
      </c>
      <c r="CY3539" s="7">
        <f>0</f>
        <v>0</v>
      </c>
      <c r="DA3539" s="7">
        <f>10846</f>
        <v>10846</v>
      </c>
      <c r="DB3539" s="7" t="s">
        <v>240</v>
      </c>
      <c r="DC3539" s="5" t="s">
        <v>240</v>
      </c>
      <c r="DD3539" s="5" t="s">
        <v>240</v>
      </c>
      <c r="DE3539" s="5" t="s">
        <v>240</v>
      </c>
      <c r="DF3539" s="5" t="s">
        <v>450</v>
      </c>
      <c r="DG3539" s="7">
        <f>0</f>
        <v>0</v>
      </c>
      <c r="DI3539" s="5" t="s">
        <v>737</v>
      </c>
      <c r="DJ3539" s="5" t="s">
        <v>240</v>
      </c>
      <c r="DK3539" s="5" t="s">
        <v>240</v>
      </c>
      <c r="DL3539" s="5" t="s">
        <v>240</v>
      </c>
      <c r="DM3539" s="5" t="s">
        <v>240</v>
      </c>
      <c r="DN3539" s="5" t="s">
        <v>240</v>
      </c>
      <c r="DO3539" s="7" t="s">
        <v>240</v>
      </c>
      <c r="DP3539" s="5" t="s">
        <v>240</v>
      </c>
      <c r="DQ3539" s="5" t="s">
        <v>240</v>
      </c>
      <c r="DR3539" s="5" t="s">
        <v>731</v>
      </c>
      <c r="DS3539" s="5" t="s">
        <v>731</v>
      </c>
      <c r="DT3539" s="5" t="s">
        <v>240</v>
      </c>
      <c r="DU3539" s="5" t="s">
        <v>240</v>
      </c>
      <c r="DV3539" s="5" t="s">
        <v>738</v>
      </c>
      <c r="DW3539" s="5" t="s">
        <v>717</v>
      </c>
      <c r="DX3539" s="5" t="s">
        <v>240</v>
      </c>
      <c r="DY3539" s="5" t="s">
        <v>240</v>
      </c>
      <c r="DZ3539" s="5" t="s">
        <v>240</v>
      </c>
      <c r="EA3539" s="5" t="s">
        <v>240</v>
      </c>
      <c r="EB3539" s="5" t="s">
        <v>240</v>
      </c>
      <c r="EC3539" s="5" t="s">
        <v>240</v>
      </c>
      <c r="ED3539" s="5" t="s">
        <v>240</v>
      </c>
      <c r="EE3539" s="5" t="s">
        <v>240</v>
      </c>
      <c r="EF3539" s="5" t="s">
        <v>240</v>
      </c>
      <c r="EG3539" s="5" t="s">
        <v>240</v>
      </c>
      <c r="EH3539" s="5" t="s">
        <v>240</v>
      </c>
      <c r="EI3539" s="5" t="s">
        <v>240</v>
      </c>
      <c r="EJ3539" s="5" t="s">
        <v>240</v>
      </c>
      <c r="EK3539" s="5" t="s">
        <v>240</v>
      </c>
      <c r="EL3539" s="5" t="s">
        <v>240</v>
      </c>
      <c r="EM3539" s="5" t="s">
        <v>240</v>
      </c>
      <c r="EN3539" s="5" t="s">
        <v>240</v>
      </c>
      <c r="EO3539" s="5" t="s">
        <v>240</v>
      </c>
      <c r="EP3539" s="5" t="s">
        <v>240</v>
      </c>
      <c r="EQ3539" s="5" t="s">
        <v>240</v>
      </c>
      <c r="ER3539" s="5" t="s">
        <v>240</v>
      </c>
      <c r="ES3539" s="5" t="s">
        <v>240</v>
      </c>
      <c r="ET3539" s="5" t="s">
        <v>240</v>
      </c>
      <c r="EU3539" s="5" t="s">
        <v>240</v>
      </c>
      <c r="EV3539" s="5" t="s">
        <v>240</v>
      </c>
      <c r="EW3539" s="5" t="s">
        <v>240</v>
      </c>
      <c r="EX3539" s="5" t="s">
        <v>240</v>
      </c>
      <c r="EY3539" s="5" t="s">
        <v>240</v>
      </c>
      <c r="EZ3539" s="5" t="s">
        <v>240</v>
      </c>
      <c r="FA3539" s="5" t="s">
        <v>240</v>
      </c>
      <c r="FB3539" s="5" t="s">
        <v>240</v>
      </c>
      <c r="FC3539" s="5" t="s">
        <v>240</v>
      </c>
      <c r="FD3539" s="5" t="s">
        <v>240</v>
      </c>
      <c r="FE3539" s="5" t="s">
        <v>240</v>
      </c>
      <c r="FF3539" s="5" t="s">
        <v>240</v>
      </c>
      <c r="FG3539" s="5" t="s">
        <v>240</v>
      </c>
      <c r="FH3539" s="5" t="s">
        <v>240</v>
      </c>
      <c r="FI3539" s="5" t="s">
        <v>240</v>
      </c>
      <c r="FJ3539" s="5" t="s">
        <v>240</v>
      </c>
      <c r="FK3539" s="5" t="s">
        <v>240</v>
      </c>
      <c r="FL3539" s="5" t="s">
        <v>240</v>
      </c>
      <c r="FM3539" s="5" t="s">
        <v>240</v>
      </c>
      <c r="FN3539" s="5" t="s">
        <v>240</v>
      </c>
      <c r="FO3539" s="5" t="s">
        <v>240</v>
      </c>
      <c r="FP3539" s="5" t="s">
        <v>240</v>
      </c>
      <c r="FQ3539" s="5" t="s">
        <v>240</v>
      </c>
      <c r="FR3539" s="5" t="s">
        <v>240</v>
      </c>
      <c r="FS3539" s="5" t="s">
        <v>240</v>
      </c>
      <c r="FT3539" s="5" t="s">
        <v>240</v>
      </c>
      <c r="FU3539" s="5" t="s">
        <v>240</v>
      </c>
      <c r="FV3539" s="5" t="s">
        <v>240</v>
      </c>
      <c r="FW3539" s="5" t="s">
        <v>240</v>
      </c>
      <c r="FX3539" s="5" t="s">
        <v>240</v>
      </c>
      <c r="FY3539" s="5" t="s">
        <v>240</v>
      </c>
      <c r="FZ3539" s="5" t="s">
        <v>240</v>
      </c>
      <c r="GA3539" s="5" t="s">
        <v>240</v>
      </c>
      <c r="GB3539" s="5" t="s">
        <v>240</v>
      </c>
      <c r="GC3539" s="5" t="s">
        <v>240</v>
      </c>
      <c r="GD3539" s="5" t="s">
        <v>240</v>
      </c>
      <c r="GE3539" s="5" t="s">
        <v>240</v>
      </c>
      <c r="GF3539" s="5" t="s">
        <v>240</v>
      </c>
      <c r="GG3539" s="5" t="s">
        <v>240</v>
      </c>
      <c r="GH3539" s="5" t="s">
        <v>240</v>
      </c>
      <c r="GI3539" s="5" t="s">
        <v>240</v>
      </c>
      <c r="GJ3539" s="5" t="s">
        <v>240</v>
      </c>
      <c r="GK3539" s="5" t="s">
        <v>240</v>
      </c>
      <c r="GL3539" s="5" t="s">
        <v>240</v>
      </c>
      <c r="GM3539" s="5" t="s">
        <v>240</v>
      </c>
      <c r="GN3539" s="5" t="s">
        <v>240</v>
      </c>
      <c r="GO3539" s="5" t="s">
        <v>240</v>
      </c>
      <c r="GP3539" s="5" t="s">
        <v>240</v>
      </c>
      <c r="GQ3539" s="5" t="s">
        <v>240</v>
      </c>
      <c r="GR3539" s="5" t="s">
        <v>240</v>
      </c>
      <c r="GS3539" s="5" t="s">
        <v>240</v>
      </c>
      <c r="GT3539" s="5" t="s">
        <v>240</v>
      </c>
      <c r="GU3539" s="5" t="s">
        <v>240</v>
      </c>
      <c r="GV3539" s="5" t="s">
        <v>240</v>
      </c>
      <c r="GW3539" s="5" t="s">
        <v>240</v>
      </c>
      <c r="GX3539" s="5" t="s">
        <v>240</v>
      </c>
      <c r="GY3539" s="5" t="s">
        <v>240</v>
      </c>
      <c r="GZ3539" s="5" t="s">
        <v>240</v>
      </c>
      <c r="HA3539" s="5" t="s">
        <v>240</v>
      </c>
      <c r="HB3539" s="5" t="s">
        <v>240</v>
      </c>
      <c r="HC3539" s="5" t="s">
        <v>240</v>
      </c>
      <c r="HD3539" s="5" t="s">
        <v>240</v>
      </c>
      <c r="HE3539" s="5" t="s">
        <v>240</v>
      </c>
      <c r="HF3539" s="5" t="s">
        <v>240</v>
      </c>
      <c r="HG3539" s="5" t="s">
        <v>240</v>
      </c>
      <c r="HH3539" s="5" t="s">
        <v>240</v>
      </c>
      <c r="HI3539" s="5" t="s">
        <v>240</v>
      </c>
      <c r="HJ3539" s="5" t="s">
        <v>240</v>
      </c>
      <c r="HK3539" s="5" t="s">
        <v>240</v>
      </c>
      <c r="HL3539" s="5" t="s">
        <v>240</v>
      </c>
      <c r="HM3539" s="5" t="s">
        <v>240</v>
      </c>
      <c r="HN3539" s="5" t="s">
        <v>240</v>
      </c>
      <c r="HO3539" s="5" t="s">
        <v>312</v>
      </c>
      <c r="HP3539" s="5" t="s">
        <v>240</v>
      </c>
      <c r="HQ3539" s="5" t="s">
        <v>240</v>
      </c>
      <c r="HR3539" s="5" t="s">
        <v>240</v>
      </c>
      <c r="HS3539" s="5" t="s">
        <v>240</v>
      </c>
      <c r="HT3539" s="5" t="s">
        <v>240</v>
      </c>
      <c r="HU3539" s="5" t="s">
        <v>240</v>
      </c>
      <c r="HV3539" s="5" t="s">
        <v>240</v>
      </c>
      <c r="HW3539" s="5" t="s">
        <v>240</v>
      </c>
      <c r="HX3539" s="5" t="s">
        <v>240</v>
      </c>
      <c r="HY3539" s="5" t="s">
        <v>240</v>
      </c>
      <c r="HZ3539" s="5" t="s">
        <v>240</v>
      </c>
      <c r="IA3539" s="5" t="s">
        <v>240</v>
      </c>
      <c r="IB3539" s="5" t="s">
        <v>240</v>
      </c>
      <c r="IC3539" s="5" t="s">
        <v>240</v>
      </c>
      <c r="ID3539" s="5" t="s">
        <v>240</v>
      </c>
      <c r="IE3539" s="5" t="s">
        <v>240</v>
      </c>
      <c r="IF3539" s="5" t="s">
        <v>240</v>
      </c>
    </row>
    <row r="3540" spans="1:240" x14ac:dyDescent="0.4">
      <c r="A3540" s="5">
        <v>9082</v>
      </c>
      <c r="B3540" s="5">
        <v>1</v>
      </c>
      <c r="C3540" s="5">
        <v>1</v>
      </c>
      <c r="D3540" s="5" t="s">
        <v>723</v>
      </c>
      <c r="E3540" s="5" t="s">
        <v>5060</v>
      </c>
      <c r="F3540" s="5" t="s">
        <v>254</v>
      </c>
      <c r="G3540" s="5" t="s">
        <v>5061</v>
      </c>
      <c r="H3540" s="6" t="s">
        <v>5866</v>
      </c>
      <c r="I3540" s="5" t="s">
        <v>5865</v>
      </c>
      <c r="J3540" s="7">
        <f>1</f>
        <v>1</v>
      </c>
      <c r="K3540" s="5" t="s">
        <v>3682</v>
      </c>
      <c r="L3540" s="7">
        <f>1</f>
        <v>1</v>
      </c>
      <c r="M3540" s="7">
        <f>1</f>
        <v>1</v>
      </c>
      <c r="N3540" s="5" t="s">
        <v>242</v>
      </c>
      <c r="O3540" s="5">
        <v>1</v>
      </c>
      <c r="P3540" s="5" t="s">
        <v>294</v>
      </c>
      <c r="Q3540" s="5" t="s">
        <v>3678</v>
      </c>
      <c r="R3540" s="5" t="s">
        <v>240</v>
      </c>
      <c r="S3540" s="5" t="s">
        <v>240</v>
      </c>
      <c r="T3540" s="5" t="s">
        <v>243</v>
      </c>
      <c r="U3540" s="5" t="s">
        <v>244</v>
      </c>
      <c r="V3540" s="5" t="s">
        <v>240</v>
      </c>
      <c r="W3540" s="5" t="s">
        <v>240</v>
      </c>
      <c r="X3540" s="5" t="s">
        <v>240</v>
      </c>
      <c r="Y3540" s="5" t="s">
        <v>240</v>
      </c>
      <c r="Z3540" s="6" t="s">
        <v>298</v>
      </c>
      <c r="AA3540" s="6" t="s">
        <v>240</v>
      </c>
      <c r="AB3540" s="6" t="s">
        <v>240</v>
      </c>
      <c r="AC3540" s="5" t="s">
        <v>240</v>
      </c>
      <c r="AD3540" s="6" t="s">
        <v>240</v>
      </c>
      <c r="AE3540" s="6" t="s">
        <v>299</v>
      </c>
      <c r="AF3540" s="5" t="s">
        <v>248</v>
      </c>
      <c r="AG3540" s="5" t="s">
        <v>249</v>
      </c>
      <c r="AH3540" s="5" t="s">
        <v>240</v>
      </c>
      <c r="AI3540" s="5" t="s">
        <v>240</v>
      </c>
      <c r="AJ3540" s="5" t="s">
        <v>240</v>
      </c>
      <c r="AK3540" s="5" t="s">
        <v>240</v>
      </c>
      <c r="AL3540" s="5" t="s">
        <v>240</v>
      </c>
      <c r="AM3540" s="5" t="s">
        <v>240</v>
      </c>
      <c r="AN3540" s="5" t="s">
        <v>240</v>
      </c>
      <c r="AO3540" s="5" t="s">
        <v>240</v>
      </c>
      <c r="AP3540" s="6" t="s">
        <v>240</v>
      </c>
      <c r="AQ3540" s="6" t="s">
        <v>240</v>
      </c>
      <c r="AR3540" s="6" t="s">
        <v>240</v>
      </c>
      <c r="AS3540" s="6" t="s">
        <v>240</v>
      </c>
      <c r="AT3540" s="5" t="s">
        <v>240</v>
      </c>
      <c r="AU3540" s="5" t="s">
        <v>729</v>
      </c>
      <c r="AV3540" s="5" t="s">
        <v>729</v>
      </c>
      <c r="AW3540" s="5" t="s">
        <v>251</v>
      </c>
      <c r="AX3540" s="5" t="s">
        <v>252</v>
      </c>
      <c r="AY3540" s="5" t="s">
        <v>253</v>
      </c>
      <c r="AZ3540" s="5" t="s">
        <v>240</v>
      </c>
      <c r="BA3540" s="5" t="s">
        <v>255</v>
      </c>
      <c r="BB3540" s="5" t="s">
        <v>731</v>
      </c>
      <c r="BD3540" s="5" t="s">
        <v>240</v>
      </c>
      <c r="BF3540" s="5" t="s">
        <v>732</v>
      </c>
      <c r="BG3540" s="6" t="s">
        <v>733</v>
      </c>
      <c r="BH3540" s="5" t="s">
        <v>734</v>
      </c>
      <c r="BI3540" s="5" t="s">
        <v>734</v>
      </c>
      <c r="BJ3540" s="5" t="s">
        <v>240</v>
      </c>
      <c r="BK3540" s="7">
        <f>1</f>
        <v>1</v>
      </c>
      <c r="BL3540" s="7">
        <f>1</f>
        <v>1</v>
      </c>
      <c r="BM3540" s="5" t="s">
        <v>258</v>
      </c>
      <c r="BN3540" s="5" t="s">
        <v>259</v>
      </c>
      <c r="BO3540" s="5" t="s">
        <v>240</v>
      </c>
      <c r="BP3540" s="5" t="s">
        <v>240</v>
      </c>
      <c r="BQ3540" s="5" t="s">
        <v>240</v>
      </c>
      <c r="BR3540" s="5" t="s">
        <v>240</v>
      </c>
      <c r="BS3540" s="5" t="s">
        <v>240</v>
      </c>
      <c r="BT3540" s="5" t="s">
        <v>240</v>
      </c>
      <c r="BU3540" s="5" t="s">
        <v>240</v>
      </c>
      <c r="BV3540" s="5" t="s">
        <v>240</v>
      </c>
      <c r="BW3540" s="6" t="s">
        <v>240</v>
      </c>
      <c r="BX3540" s="5" t="s">
        <v>240</v>
      </c>
      <c r="BY3540" s="5" t="s">
        <v>240</v>
      </c>
      <c r="BZ3540" s="5" t="s">
        <v>240</v>
      </c>
      <c r="CA3540" s="5" t="s">
        <v>259</v>
      </c>
      <c r="CB3540" s="5" t="s">
        <v>240</v>
      </c>
      <c r="CC3540" s="5" t="s">
        <v>240</v>
      </c>
      <c r="CD3540" s="5" t="s">
        <v>240</v>
      </c>
      <c r="CE3540" s="5" t="s">
        <v>240</v>
      </c>
      <c r="CF3540" s="5" t="s">
        <v>240</v>
      </c>
      <c r="CG3540" s="5" t="s">
        <v>304</v>
      </c>
      <c r="CH3540" s="5" t="s">
        <v>305</v>
      </c>
      <c r="CI3540" s="5" t="s">
        <v>240</v>
      </c>
      <c r="CK3540" s="5" t="s">
        <v>3681</v>
      </c>
      <c r="CL3540" s="6" t="s">
        <v>261</v>
      </c>
      <c r="CM3540" s="5" t="s">
        <v>262</v>
      </c>
      <c r="CN3540" s="5" t="s">
        <v>263</v>
      </c>
      <c r="CO3540" s="5" t="s">
        <v>264</v>
      </c>
      <c r="CP3540" s="5" t="s">
        <v>240</v>
      </c>
      <c r="CQ3540" s="5">
        <v>0</v>
      </c>
      <c r="CR3540" s="5" t="s">
        <v>735</v>
      </c>
      <c r="CS3540" s="5" t="s">
        <v>307</v>
      </c>
      <c r="CT3540" s="5" t="s">
        <v>307</v>
      </c>
      <c r="CU3540" s="5" t="s">
        <v>260</v>
      </c>
      <c r="CV3540" s="5" t="s">
        <v>612</v>
      </c>
      <c r="CW3540" s="8">
        <f>1</f>
        <v>1</v>
      </c>
      <c r="CX3540" s="7">
        <f>1</f>
        <v>1</v>
      </c>
      <c r="CY3540" s="7">
        <f>0</f>
        <v>0</v>
      </c>
      <c r="DA3540" s="7">
        <f>1</f>
        <v>1</v>
      </c>
      <c r="DB3540" s="7" t="s">
        <v>240</v>
      </c>
      <c r="DC3540" s="5" t="s">
        <v>240</v>
      </c>
      <c r="DD3540" s="5" t="s">
        <v>240</v>
      </c>
      <c r="DE3540" s="5" t="s">
        <v>240</v>
      </c>
      <c r="DF3540" s="5" t="s">
        <v>240</v>
      </c>
      <c r="DG3540" s="7">
        <f>0</f>
        <v>0</v>
      </c>
      <c r="DI3540" s="5" t="s">
        <v>240</v>
      </c>
      <c r="DJ3540" s="5" t="s">
        <v>240</v>
      </c>
      <c r="DK3540" s="5" t="s">
        <v>240</v>
      </c>
      <c r="DL3540" s="5" t="s">
        <v>240</v>
      </c>
      <c r="DM3540" s="5" t="s">
        <v>240</v>
      </c>
      <c r="DN3540" s="5" t="s">
        <v>240</v>
      </c>
      <c r="DO3540" s="7" t="s">
        <v>240</v>
      </c>
      <c r="DP3540" s="5" t="s">
        <v>240</v>
      </c>
      <c r="DQ3540" s="5" t="s">
        <v>240</v>
      </c>
      <c r="DR3540" s="5" t="s">
        <v>731</v>
      </c>
      <c r="DS3540" s="5" t="s">
        <v>731</v>
      </c>
      <c r="DT3540" s="5" t="s">
        <v>240</v>
      </c>
      <c r="DU3540" s="5" t="s">
        <v>240</v>
      </c>
      <c r="DV3540" s="5" t="s">
        <v>3683</v>
      </c>
      <c r="DW3540" s="5" t="s">
        <v>1082</v>
      </c>
      <c r="DX3540" s="5" t="s">
        <v>240</v>
      </c>
      <c r="DY3540" s="5" t="s">
        <v>240</v>
      </c>
      <c r="DZ3540" s="5" t="s">
        <v>240</v>
      </c>
      <c r="EA3540" s="5" t="s">
        <v>240</v>
      </c>
      <c r="EB3540" s="5" t="s">
        <v>240</v>
      </c>
      <c r="EC3540" s="5" t="s">
        <v>240</v>
      </c>
      <c r="ED3540" s="5" t="s">
        <v>240</v>
      </c>
      <c r="EE3540" s="5" t="s">
        <v>240</v>
      </c>
      <c r="EF3540" s="5" t="s">
        <v>240</v>
      </c>
      <c r="EG3540" s="5" t="s">
        <v>240</v>
      </c>
      <c r="EH3540" s="5" t="s">
        <v>240</v>
      </c>
      <c r="EI3540" s="5" t="s">
        <v>240</v>
      </c>
      <c r="EJ3540" s="5" t="s">
        <v>240</v>
      </c>
      <c r="EK3540" s="5" t="s">
        <v>240</v>
      </c>
      <c r="EL3540" s="5" t="s">
        <v>240</v>
      </c>
      <c r="EM3540" s="5" t="s">
        <v>240</v>
      </c>
      <c r="EN3540" s="5" t="s">
        <v>240</v>
      </c>
      <c r="EO3540" s="5" t="s">
        <v>240</v>
      </c>
      <c r="EP3540" s="5" t="s">
        <v>240</v>
      </c>
      <c r="EQ3540" s="5" t="s">
        <v>240</v>
      </c>
      <c r="ER3540" s="5" t="s">
        <v>240</v>
      </c>
      <c r="ES3540" s="5" t="s">
        <v>240</v>
      </c>
      <c r="ET3540" s="5" t="s">
        <v>240</v>
      </c>
      <c r="EU3540" s="5" t="s">
        <v>240</v>
      </c>
      <c r="EV3540" s="5" t="s">
        <v>240</v>
      </c>
      <c r="EW3540" s="5" t="s">
        <v>240</v>
      </c>
      <c r="EX3540" s="5" t="s">
        <v>240</v>
      </c>
      <c r="EY3540" s="5" t="s">
        <v>240</v>
      </c>
      <c r="EZ3540" s="5" t="s">
        <v>240</v>
      </c>
      <c r="FA3540" s="5" t="s">
        <v>240</v>
      </c>
      <c r="FB3540" s="5" t="s">
        <v>240</v>
      </c>
      <c r="FC3540" s="5" t="s">
        <v>240</v>
      </c>
      <c r="FD3540" s="5" t="s">
        <v>240</v>
      </c>
      <c r="FE3540" s="5" t="s">
        <v>240</v>
      </c>
      <c r="FF3540" s="5" t="s">
        <v>240</v>
      </c>
      <c r="FG3540" s="5" t="s">
        <v>240</v>
      </c>
      <c r="FH3540" s="5" t="s">
        <v>240</v>
      </c>
      <c r="FI3540" s="5" t="s">
        <v>240</v>
      </c>
      <c r="FJ3540" s="5" t="s">
        <v>240</v>
      </c>
      <c r="FK3540" s="5" t="s">
        <v>240</v>
      </c>
      <c r="FL3540" s="5" t="s">
        <v>240</v>
      </c>
      <c r="FM3540" s="5" t="s">
        <v>240</v>
      </c>
      <c r="FN3540" s="5" t="s">
        <v>240</v>
      </c>
      <c r="FO3540" s="5" t="s">
        <v>240</v>
      </c>
      <c r="FP3540" s="5" t="s">
        <v>240</v>
      </c>
      <c r="FQ3540" s="5" t="s">
        <v>240</v>
      </c>
      <c r="FR3540" s="5" t="s">
        <v>240</v>
      </c>
      <c r="FS3540" s="5" t="s">
        <v>240</v>
      </c>
      <c r="FT3540" s="5" t="s">
        <v>240</v>
      </c>
      <c r="FU3540" s="5" t="s">
        <v>240</v>
      </c>
      <c r="FV3540" s="5" t="s">
        <v>240</v>
      </c>
      <c r="FW3540" s="5" t="s">
        <v>240</v>
      </c>
      <c r="FX3540" s="5" t="s">
        <v>240</v>
      </c>
      <c r="FY3540" s="5" t="s">
        <v>240</v>
      </c>
      <c r="FZ3540" s="5" t="s">
        <v>240</v>
      </c>
      <c r="GA3540" s="5" t="s">
        <v>240</v>
      </c>
      <c r="GB3540" s="5" t="s">
        <v>240</v>
      </c>
      <c r="GC3540" s="5" t="s">
        <v>240</v>
      </c>
      <c r="GD3540" s="5" t="s">
        <v>240</v>
      </c>
      <c r="GE3540" s="5" t="s">
        <v>240</v>
      </c>
      <c r="GF3540" s="5" t="s">
        <v>240</v>
      </c>
      <c r="GG3540" s="5" t="s">
        <v>240</v>
      </c>
      <c r="GH3540" s="5" t="s">
        <v>240</v>
      </c>
      <c r="GI3540" s="5" t="s">
        <v>240</v>
      </c>
      <c r="GJ3540" s="5" t="s">
        <v>240</v>
      </c>
      <c r="GK3540" s="5" t="s">
        <v>240</v>
      </c>
      <c r="GL3540" s="5" t="s">
        <v>240</v>
      </c>
      <c r="GM3540" s="5" t="s">
        <v>240</v>
      </c>
      <c r="GN3540" s="5" t="s">
        <v>240</v>
      </c>
      <c r="GO3540" s="5" t="s">
        <v>240</v>
      </c>
      <c r="GP3540" s="5" t="s">
        <v>240</v>
      </c>
      <c r="GQ3540" s="5" t="s">
        <v>240</v>
      </c>
      <c r="GR3540" s="5" t="s">
        <v>240</v>
      </c>
      <c r="GS3540" s="5" t="s">
        <v>240</v>
      </c>
      <c r="GT3540" s="5" t="s">
        <v>240</v>
      </c>
      <c r="GU3540" s="5" t="s">
        <v>240</v>
      </c>
      <c r="GV3540" s="5" t="s">
        <v>240</v>
      </c>
      <c r="GW3540" s="5" t="s">
        <v>240</v>
      </c>
      <c r="GX3540" s="5" t="s">
        <v>240</v>
      </c>
      <c r="GY3540" s="5" t="s">
        <v>240</v>
      </c>
      <c r="GZ3540" s="5" t="s">
        <v>240</v>
      </c>
      <c r="HA3540" s="5" t="s">
        <v>240</v>
      </c>
      <c r="HB3540" s="5" t="s">
        <v>240</v>
      </c>
      <c r="HC3540" s="5" t="s">
        <v>240</v>
      </c>
      <c r="HD3540" s="5" t="s">
        <v>240</v>
      </c>
      <c r="HE3540" s="5" t="s">
        <v>240</v>
      </c>
      <c r="HF3540" s="5" t="s">
        <v>240</v>
      </c>
      <c r="HG3540" s="5" t="s">
        <v>240</v>
      </c>
      <c r="HH3540" s="5" t="s">
        <v>240</v>
      </c>
      <c r="HI3540" s="5" t="s">
        <v>240</v>
      </c>
      <c r="HJ3540" s="5" t="s">
        <v>240</v>
      </c>
      <c r="HK3540" s="5" t="s">
        <v>240</v>
      </c>
      <c r="HL3540" s="5" t="s">
        <v>240</v>
      </c>
      <c r="HM3540" s="5" t="s">
        <v>240</v>
      </c>
      <c r="HN3540" s="5" t="s">
        <v>240</v>
      </c>
      <c r="HO3540" s="5" t="s">
        <v>312</v>
      </c>
      <c r="HP3540" s="5" t="s">
        <v>240</v>
      </c>
      <c r="HQ3540" s="5" t="s">
        <v>240</v>
      </c>
      <c r="HR3540" s="5" t="s">
        <v>240</v>
      </c>
      <c r="HS3540" s="5" t="s">
        <v>240</v>
      </c>
      <c r="HT3540" s="5" t="s">
        <v>240</v>
      </c>
      <c r="HU3540" s="5" t="s">
        <v>240</v>
      </c>
      <c r="HV3540" s="5" t="s">
        <v>240</v>
      </c>
      <c r="HW3540" s="5" t="s">
        <v>240</v>
      </c>
      <c r="HX3540" s="5" t="s">
        <v>240</v>
      </c>
      <c r="HY3540" s="5" t="s">
        <v>240</v>
      </c>
      <c r="HZ3540" s="5" t="s">
        <v>240</v>
      </c>
      <c r="IA3540" s="5" t="s">
        <v>240</v>
      </c>
      <c r="IB3540" s="5" t="s">
        <v>240</v>
      </c>
      <c r="IC3540" s="5" t="s">
        <v>240</v>
      </c>
      <c r="ID3540" s="5" t="s">
        <v>240</v>
      </c>
      <c r="IE3540" s="5" t="s">
        <v>240</v>
      </c>
      <c r="IF3540" s="5" t="s">
        <v>240</v>
      </c>
    </row>
    <row r="3541" spans="1:240" x14ac:dyDescent="0.4">
      <c r="A3541" s="5">
        <v>9083</v>
      </c>
      <c r="B3541" s="5">
        <v>1</v>
      </c>
      <c r="C3541" s="5">
        <v>1</v>
      </c>
      <c r="D3541" s="5" t="s">
        <v>723</v>
      </c>
      <c r="E3541" s="5" t="s">
        <v>725</v>
      </c>
      <c r="F3541" s="5" t="s">
        <v>254</v>
      </c>
      <c r="G3541" s="5" t="s">
        <v>726</v>
      </c>
      <c r="H3541" s="6" t="s">
        <v>5864</v>
      </c>
      <c r="I3541" s="5" t="s">
        <v>5863</v>
      </c>
      <c r="J3541" s="7">
        <f>1</f>
        <v>1</v>
      </c>
      <c r="K3541" s="5" t="s">
        <v>3682</v>
      </c>
      <c r="L3541" s="7">
        <f>1</f>
        <v>1</v>
      </c>
      <c r="M3541" s="7">
        <f>1</f>
        <v>1</v>
      </c>
      <c r="N3541" s="5" t="s">
        <v>242</v>
      </c>
      <c r="O3541" s="5">
        <v>1</v>
      </c>
      <c r="P3541" s="5" t="s">
        <v>294</v>
      </c>
      <c r="Q3541" s="5" t="s">
        <v>613</v>
      </c>
      <c r="R3541" s="5" t="s">
        <v>240</v>
      </c>
      <c r="S3541" s="5" t="s">
        <v>240</v>
      </c>
      <c r="T3541" s="5" t="s">
        <v>243</v>
      </c>
      <c r="U3541" s="5" t="s">
        <v>724</v>
      </c>
      <c r="V3541" s="5" t="s">
        <v>240</v>
      </c>
      <c r="W3541" s="5" t="s">
        <v>240</v>
      </c>
      <c r="X3541" s="5" t="s">
        <v>240</v>
      </c>
      <c r="Y3541" s="5" t="s">
        <v>240</v>
      </c>
      <c r="Z3541" s="6" t="s">
        <v>298</v>
      </c>
      <c r="AA3541" s="6" t="s">
        <v>240</v>
      </c>
      <c r="AB3541" s="6" t="s">
        <v>240</v>
      </c>
      <c r="AC3541" s="5" t="s">
        <v>240</v>
      </c>
      <c r="AD3541" s="6" t="s">
        <v>240</v>
      </c>
      <c r="AE3541" s="6" t="s">
        <v>299</v>
      </c>
      <c r="AF3541" s="5" t="s">
        <v>727</v>
      </c>
      <c r="AG3541" s="5" t="s">
        <v>260</v>
      </c>
      <c r="AH3541" s="5" t="s">
        <v>240</v>
      </c>
      <c r="AI3541" s="5" t="s">
        <v>240</v>
      </c>
      <c r="AJ3541" s="5" t="s">
        <v>240</v>
      </c>
      <c r="AK3541" s="5" t="s">
        <v>240</v>
      </c>
      <c r="AL3541" s="5" t="s">
        <v>240</v>
      </c>
      <c r="AM3541" s="5" t="s">
        <v>240</v>
      </c>
      <c r="AN3541" s="5" t="s">
        <v>240</v>
      </c>
      <c r="AO3541" s="5" t="s">
        <v>240</v>
      </c>
      <c r="AP3541" s="6" t="s">
        <v>240</v>
      </c>
      <c r="AQ3541" s="6" t="s">
        <v>240</v>
      </c>
      <c r="AR3541" s="6" t="s">
        <v>240</v>
      </c>
      <c r="AS3541" s="6" t="s">
        <v>240</v>
      </c>
      <c r="AT3541" s="5" t="s">
        <v>240</v>
      </c>
      <c r="AU3541" s="5" t="s">
        <v>729</v>
      </c>
      <c r="AV3541" s="5" t="s">
        <v>729</v>
      </c>
      <c r="AW3541" s="5" t="s">
        <v>251</v>
      </c>
      <c r="AX3541" s="5" t="s">
        <v>252</v>
      </c>
      <c r="AY3541" s="5" t="s">
        <v>253</v>
      </c>
      <c r="AZ3541" s="5" t="s">
        <v>240</v>
      </c>
      <c r="BA3541" s="5" t="s">
        <v>255</v>
      </c>
      <c r="BB3541" s="5" t="s">
        <v>731</v>
      </c>
      <c r="BD3541" s="5" t="s">
        <v>240</v>
      </c>
      <c r="BF3541" s="5" t="s">
        <v>732</v>
      </c>
      <c r="BG3541" s="6" t="s">
        <v>733</v>
      </c>
      <c r="BH3541" s="5" t="s">
        <v>734</v>
      </c>
      <c r="BI3541" s="5" t="s">
        <v>734</v>
      </c>
      <c r="BJ3541" s="5" t="s">
        <v>240</v>
      </c>
      <c r="BK3541" s="8">
        <f>1142</f>
        <v>1142</v>
      </c>
      <c r="BL3541" s="7">
        <f>0</f>
        <v>0</v>
      </c>
      <c r="BM3541" s="5" t="s">
        <v>258</v>
      </c>
      <c r="BN3541" s="5" t="s">
        <v>259</v>
      </c>
      <c r="BO3541" s="5" t="s">
        <v>240</v>
      </c>
      <c r="BP3541" s="5" t="s">
        <v>240</v>
      </c>
      <c r="BQ3541" s="5" t="s">
        <v>240</v>
      </c>
      <c r="BR3541" s="5" t="s">
        <v>240</v>
      </c>
      <c r="BS3541" s="5" t="s">
        <v>240</v>
      </c>
      <c r="BT3541" s="5" t="s">
        <v>240</v>
      </c>
      <c r="BU3541" s="5" t="s">
        <v>240</v>
      </c>
      <c r="BV3541" s="5" t="s">
        <v>240</v>
      </c>
      <c r="BW3541" s="6" t="s">
        <v>240</v>
      </c>
      <c r="BX3541" s="5" t="s">
        <v>240</v>
      </c>
      <c r="BY3541" s="5" t="s">
        <v>240</v>
      </c>
      <c r="BZ3541" s="5" t="s">
        <v>240</v>
      </c>
      <c r="CA3541" s="5" t="s">
        <v>259</v>
      </c>
      <c r="CB3541" s="5" t="s">
        <v>240</v>
      </c>
      <c r="CC3541" s="5" t="s">
        <v>240</v>
      </c>
      <c r="CD3541" s="5" t="s">
        <v>240</v>
      </c>
      <c r="CE3541" s="5" t="s">
        <v>240</v>
      </c>
      <c r="CF3541" s="5" t="s">
        <v>240</v>
      </c>
      <c r="CG3541" s="5" t="s">
        <v>617</v>
      </c>
      <c r="CH3541" s="5" t="s">
        <v>305</v>
      </c>
      <c r="CI3541" s="5" t="s">
        <v>240</v>
      </c>
      <c r="CL3541" s="6" t="s">
        <v>261</v>
      </c>
      <c r="CM3541" s="5" t="s">
        <v>262</v>
      </c>
      <c r="CN3541" s="5" t="s">
        <v>263</v>
      </c>
      <c r="CO3541" s="5" t="s">
        <v>264</v>
      </c>
      <c r="CP3541" s="5" t="s">
        <v>240</v>
      </c>
      <c r="CQ3541" s="5">
        <v>0</v>
      </c>
      <c r="CR3541" s="5" t="s">
        <v>735</v>
      </c>
      <c r="CS3541" s="5" t="s">
        <v>307</v>
      </c>
      <c r="CT3541" s="5" t="s">
        <v>307</v>
      </c>
      <c r="CU3541" s="5" t="s">
        <v>260</v>
      </c>
      <c r="CV3541" s="5" t="s">
        <v>240</v>
      </c>
      <c r="CW3541" s="8">
        <f>0</f>
        <v>0</v>
      </c>
      <c r="CX3541" s="7">
        <f>0</f>
        <v>0</v>
      </c>
      <c r="CY3541" s="7">
        <f>0</f>
        <v>0</v>
      </c>
      <c r="DA3541" s="7">
        <f>12562</f>
        <v>12562</v>
      </c>
      <c r="DB3541" s="7" t="s">
        <v>240</v>
      </c>
      <c r="DC3541" s="5" t="s">
        <v>240</v>
      </c>
      <c r="DD3541" s="5" t="s">
        <v>240</v>
      </c>
      <c r="DE3541" s="5" t="s">
        <v>240</v>
      </c>
      <c r="DF3541" s="5" t="s">
        <v>450</v>
      </c>
      <c r="DG3541" s="7">
        <f>0</f>
        <v>0</v>
      </c>
      <c r="DI3541" s="5" t="s">
        <v>737</v>
      </c>
      <c r="DJ3541" s="5" t="s">
        <v>240</v>
      </c>
      <c r="DK3541" s="5" t="s">
        <v>240</v>
      </c>
      <c r="DL3541" s="5" t="s">
        <v>240</v>
      </c>
      <c r="DM3541" s="5" t="s">
        <v>240</v>
      </c>
      <c r="DN3541" s="5" t="s">
        <v>240</v>
      </c>
      <c r="DO3541" s="7" t="s">
        <v>240</v>
      </c>
      <c r="DP3541" s="5" t="s">
        <v>240</v>
      </c>
      <c r="DQ3541" s="5" t="s">
        <v>240</v>
      </c>
      <c r="DR3541" s="5" t="s">
        <v>731</v>
      </c>
      <c r="DS3541" s="5" t="s">
        <v>731</v>
      </c>
      <c r="DT3541" s="5" t="s">
        <v>240</v>
      </c>
      <c r="DU3541" s="5" t="s">
        <v>240</v>
      </c>
      <c r="DV3541" s="5" t="s">
        <v>738</v>
      </c>
      <c r="DW3541" s="5" t="s">
        <v>580</v>
      </c>
      <c r="DX3541" s="5" t="s">
        <v>240</v>
      </c>
      <c r="DY3541" s="5" t="s">
        <v>240</v>
      </c>
      <c r="DZ3541" s="5" t="s">
        <v>240</v>
      </c>
      <c r="EA3541" s="5" t="s">
        <v>240</v>
      </c>
      <c r="EB3541" s="5" t="s">
        <v>240</v>
      </c>
      <c r="EC3541" s="5" t="s">
        <v>240</v>
      </c>
      <c r="ED3541" s="5" t="s">
        <v>240</v>
      </c>
      <c r="EE3541" s="5" t="s">
        <v>240</v>
      </c>
      <c r="EF3541" s="5" t="s">
        <v>240</v>
      </c>
      <c r="EG3541" s="5" t="s">
        <v>240</v>
      </c>
      <c r="EH3541" s="5" t="s">
        <v>240</v>
      </c>
      <c r="EI3541" s="5" t="s">
        <v>240</v>
      </c>
      <c r="EJ3541" s="5" t="s">
        <v>240</v>
      </c>
      <c r="EK3541" s="5" t="s">
        <v>240</v>
      </c>
      <c r="EL3541" s="5" t="s">
        <v>240</v>
      </c>
      <c r="EM3541" s="5" t="s">
        <v>240</v>
      </c>
      <c r="EN3541" s="5" t="s">
        <v>240</v>
      </c>
      <c r="EO3541" s="5" t="s">
        <v>240</v>
      </c>
      <c r="EP3541" s="5" t="s">
        <v>240</v>
      </c>
      <c r="EQ3541" s="5" t="s">
        <v>240</v>
      </c>
      <c r="ER3541" s="5" t="s">
        <v>240</v>
      </c>
      <c r="ES3541" s="5" t="s">
        <v>240</v>
      </c>
      <c r="ET3541" s="5" t="s">
        <v>240</v>
      </c>
      <c r="EU3541" s="5" t="s">
        <v>240</v>
      </c>
      <c r="EV3541" s="5" t="s">
        <v>240</v>
      </c>
      <c r="EW3541" s="5" t="s">
        <v>240</v>
      </c>
      <c r="EX3541" s="5" t="s">
        <v>240</v>
      </c>
      <c r="EY3541" s="5" t="s">
        <v>240</v>
      </c>
      <c r="EZ3541" s="5" t="s">
        <v>240</v>
      </c>
      <c r="FA3541" s="5" t="s">
        <v>240</v>
      </c>
      <c r="FB3541" s="5" t="s">
        <v>240</v>
      </c>
      <c r="FC3541" s="5" t="s">
        <v>240</v>
      </c>
      <c r="FD3541" s="5" t="s">
        <v>240</v>
      </c>
      <c r="FE3541" s="5" t="s">
        <v>240</v>
      </c>
      <c r="FF3541" s="5" t="s">
        <v>240</v>
      </c>
      <c r="FG3541" s="5" t="s">
        <v>240</v>
      </c>
      <c r="FH3541" s="5" t="s">
        <v>240</v>
      </c>
      <c r="FI3541" s="5" t="s">
        <v>240</v>
      </c>
      <c r="FJ3541" s="5" t="s">
        <v>240</v>
      </c>
      <c r="FK3541" s="5" t="s">
        <v>240</v>
      </c>
      <c r="FL3541" s="5" t="s">
        <v>240</v>
      </c>
      <c r="FM3541" s="5" t="s">
        <v>240</v>
      </c>
      <c r="FN3541" s="5" t="s">
        <v>240</v>
      </c>
      <c r="FO3541" s="5" t="s">
        <v>240</v>
      </c>
      <c r="FP3541" s="5" t="s">
        <v>240</v>
      </c>
      <c r="FQ3541" s="5" t="s">
        <v>240</v>
      </c>
      <c r="FR3541" s="5" t="s">
        <v>240</v>
      </c>
      <c r="FS3541" s="5" t="s">
        <v>240</v>
      </c>
      <c r="FT3541" s="5" t="s">
        <v>240</v>
      </c>
      <c r="FU3541" s="5" t="s">
        <v>240</v>
      </c>
      <c r="FV3541" s="5" t="s">
        <v>240</v>
      </c>
      <c r="FW3541" s="5" t="s">
        <v>240</v>
      </c>
      <c r="FX3541" s="5" t="s">
        <v>240</v>
      </c>
      <c r="FY3541" s="5" t="s">
        <v>240</v>
      </c>
      <c r="FZ3541" s="5" t="s">
        <v>240</v>
      </c>
      <c r="GA3541" s="5" t="s">
        <v>240</v>
      </c>
      <c r="GB3541" s="5" t="s">
        <v>240</v>
      </c>
      <c r="GC3541" s="5" t="s">
        <v>240</v>
      </c>
      <c r="GD3541" s="5" t="s">
        <v>240</v>
      </c>
      <c r="GE3541" s="5" t="s">
        <v>240</v>
      </c>
      <c r="GF3541" s="5" t="s">
        <v>240</v>
      </c>
      <c r="GG3541" s="5" t="s">
        <v>240</v>
      </c>
      <c r="GH3541" s="5" t="s">
        <v>240</v>
      </c>
      <c r="GI3541" s="5" t="s">
        <v>240</v>
      </c>
      <c r="GJ3541" s="5" t="s">
        <v>240</v>
      </c>
      <c r="GK3541" s="5" t="s">
        <v>240</v>
      </c>
      <c r="GL3541" s="5" t="s">
        <v>240</v>
      </c>
      <c r="GM3541" s="5" t="s">
        <v>240</v>
      </c>
      <c r="GN3541" s="5" t="s">
        <v>240</v>
      </c>
      <c r="GO3541" s="5" t="s">
        <v>240</v>
      </c>
      <c r="GP3541" s="5" t="s">
        <v>240</v>
      </c>
      <c r="GQ3541" s="5" t="s">
        <v>240</v>
      </c>
      <c r="GR3541" s="5" t="s">
        <v>240</v>
      </c>
      <c r="GS3541" s="5" t="s">
        <v>240</v>
      </c>
      <c r="GT3541" s="5" t="s">
        <v>240</v>
      </c>
      <c r="GU3541" s="5" t="s">
        <v>240</v>
      </c>
      <c r="GV3541" s="5" t="s">
        <v>240</v>
      </c>
      <c r="GW3541" s="5" t="s">
        <v>240</v>
      </c>
      <c r="GX3541" s="5" t="s">
        <v>240</v>
      </c>
      <c r="GY3541" s="5" t="s">
        <v>240</v>
      </c>
      <c r="GZ3541" s="5" t="s">
        <v>240</v>
      </c>
      <c r="HA3541" s="5" t="s">
        <v>240</v>
      </c>
      <c r="HB3541" s="5" t="s">
        <v>240</v>
      </c>
      <c r="HC3541" s="5" t="s">
        <v>240</v>
      </c>
      <c r="HD3541" s="5" t="s">
        <v>240</v>
      </c>
      <c r="HE3541" s="5" t="s">
        <v>240</v>
      </c>
      <c r="HF3541" s="5" t="s">
        <v>240</v>
      </c>
      <c r="HG3541" s="5" t="s">
        <v>240</v>
      </c>
      <c r="HH3541" s="5" t="s">
        <v>240</v>
      </c>
      <c r="HI3541" s="5" t="s">
        <v>240</v>
      </c>
      <c r="HJ3541" s="5" t="s">
        <v>240</v>
      </c>
      <c r="HK3541" s="5" t="s">
        <v>240</v>
      </c>
      <c r="HL3541" s="5" t="s">
        <v>240</v>
      </c>
      <c r="HM3541" s="5" t="s">
        <v>240</v>
      </c>
      <c r="HN3541" s="5" t="s">
        <v>240</v>
      </c>
      <c r="HO3541" s="5" t="s">
        <v>620</v>
      </c>
      <c r="HP3541" s="5" t="s">
        <v>240</v>
      </c>
      <c r="HQ3541" s="5" t="s">
        <v>240</v>
      </c>
      <c r="HR3541" s="5" t="s">
        <v>240</v>
      </c>
      <c r="HS3541" s="5" t="s">
        <v>240</v>
      </c>
      <c r="HT3541" s="5" t="s">
        <v>240</v>
      </c>
      <c r="HU3541" s="5" t="s">
        <v>240</v>
      </c>
      <c r="HV3541" s="5" t="s">
        <v>240</v>
      </c>
      <c r="HW3541" s="5" t="s">
        <v>240</v>
      </c>
      <c r="HX3541" s="5" t="s">
        <v>240</v>
      </c>
      <c r="HY3541" s="5" t="s">
        <v>240</v>
      </c>
      <c r="HZ3541" s="5" t="s">
        <v>240</v>
      </c>
      <c r="IA3541" s="5" t="s">
        <v>240</v>
      </c>
      <c r="IB3541" s="5" t="s">
        <v>240</v>
      </c>
      <c r="IC3541" s="5" t="s">
        <v>240</v>
      </c>
      <c r="ID3541" s="5" t="s">
        <v>240</v>
      </c>
      <c r="IE3541" s="5" t="s">
        <v>240</v>
      </c>
      <c r="IF3541" s="5" t="s">
        <v>240</v>
      </c>
    </row>
    <row r="3542" spans="1:240" x14ac:dyDescent="0.4">
      <c r="A3542" s="5">
        <v>9084</v>
      </c>
      <c r="B3542" s="5">
        <v>1</v>
      </c>
      <c r="C3542" s="5">
        <v>1</v>
      </c>
      <c r="D3542" s="5" t="s">
        <v>723</v>
      </c>
      <c r="E3542" s="5" t="s">
        <v>725</v>
      </c>
      <c r="F3542" s="5" t="s">
        <v>254</v>
      </c>
      <c r="G3542" s="5" t="s">
        <v>5861</v>
      </c>
      <c r="H3542" s="6" t="s">
        <v>5862</v>
      </c>
      <c r="I3542" s="5" t="s">
        <v>5860</v>
      </c>
      <c r="J3542" s="7">
        <f>1</f>
        <v>1</v>
      </c>
      <c r="K3542" s="5" t="s">
        <v>3682</v>
      </c>
      <c r="L3542" s="7">
        <f>1</f>
        <v>1</v>
      </c>
      <c r="M3542" s="7">
        <f>1</f>
        <v>1</v>
      </c>
      <c r="N3542" s="5" t="s">
        <v>242</v>
      </c>
      <c r="O3542" s="5">
        <v>1</v>
      </c>
      <c r="P3542" s="5" t="s">
        <v>294</v>
      </c>
      <c r="Q3542" s="5" t="s">
        <v>3678</v>
      </c>
      <c r="R3542" s="5" t="s">
        <v>240</v>
      </c>
      <c r="S3542" s="5" t="s">
        <v>240</v>
      </c>
      <c r="T3542" s="5" t="s">
        <v>243</v>
      </c>
      <c r="U3542" s="5" t="s">
        <v>244</v>
      </c>
      <c r="V3542" s="5" t="s">
        <v>240</v>
      </c>
      <c r="W3542" s="5" t="s">
        <v>240</v>
      </c>
      <c r="X3542" s="5" t="s">
        <v>240</v>
      </c>
      <c r="Y3542" s="5" t="s">
        <v>240</v>
      </c>
      <c r="Z3542" s="6" t="s">
        <v>298</v>
      </c>
      <c r="AA3542" s="6" t="s">
        <v>240</v>
      </c>
      <c r="AB3542" s="6" t="s">
        <v>240</v>
      </c>
      <c r="AC3542" s="5" t="s">
        <v>240</v>
      </c>
      <c r="AD3542" s="6" t="s">
        <v>240</v>
      </c>
      <c r="AE3542" s="6" t="s">
        <v>299</v>
      </c>
      <c r="AF3542" s="5" t="s">
        <v>248</v>
      </c>
      <c r="AG3542" s="5" t="s">
        <v>249</v>
      </c>
      <c r="AH3542" s="5" t="s">
        <v>240</v>
      </c>
      <c r="AI3542" s="5" t="s">
        <v>240</v>
      </c>
      <c r="AJ3542" s="5" t="s">
        <v>240</v>
      </c>
      <c r="AK3542" s="5" t="s">
        <v>240</v>
      </c>
      <c r="AL3542" s="5" t="s">
        <v>240</v>
      </c>
      <c r="AM3542" s="5" t="s">
        <v>240</v>
      </c>
      <c r="AN3542" s="5" t="s">
        <v>240</v>
      </c>
      <c r="AO3542" s="5" t="s">
        <v>240</v>
      </c>
      <c r="AP3542" s="6" t="s">
        <v>240</v>
      </c>
      <c r="AQ3542" s="6" t="s">
        <v>240</v>
      </c>
      <c r="AR3542" s="6" t="s">
        <v>240</v>
      </c>
      <c r="AS3542" s="6" t="s">
        <v>240</v>
      </c>
      <c r="AT3542" s="5" t="s">
        <v>240</v>
      </c>
      <c r="AU3542" s="5" t="s">
        <v>729</v>
      </c>
      <c r="AV3542" s="5" t="s">
        <v>729</v>
      </c>
      <c r="AW3542" s="5" t="s">
        <v>251</v>
      </c>
      <c r="AX3542" s="5" t="s">
        <v>252</v>
      </c>
      <c r="AY3542" s="5" t="s">
        <v>253</v>
      </c>
      <c r="AZ3542" s="5" t="s">
        <v>240</v>
      </c>
      <c r="BA3542" s="5" t="s">
        <v>255</v>
      </c>
      <c r="BB3542" s="5" t="s">
        <v>731</v>
      </c>
      <c r="BD3542" s="5" t="s">
        <v>240</v>
      </c>
      <c r="BF3542" s="5" t="s">
        <v>732</v>
      </c>
      <c r="BG3542" s="6" t="s">
        <v>733</v>
      </c>
      <c r="BH3542" s="5" t="s">
        <v>734</v>
      </c>
      <c r="BI3542" s="5" t="s">
        <v>734</v>
      </c>
      <c r="BJ3542" s="5" t="s">
        <v>240</v>
      </c>
      <c r="BK3542" s="7">
        <f>1</f>
        <v>1</v>
      </c>
      <c r="BL3542" s="7">
        <f>1</f>
        <v>1</v>
      </c>
      <c r="BM3542" s="5" t="s">
        <v>258</v>
      </c>
      <c r="BN3542" s="5" t="s">
        <v>259</v>
      </c>
      <c r="BO3542" s="5" t="s">
        <v>240</v>
      </c>
      <c r="BP3542" s="5" t="s">
        <v>240</v>
      </c>
      <c r="BQ3542" s="5" t="s">
        <v>240</v>
      </c>
      <c r="BR3542" s="5" t="s">
        <v>240</v>
      </c>
      <c r="BS3542" s="5" t="s">
        <v>240</v>
      </c>
      <c r="BT3542" s="5" t="s">
        <v>240</v>
      </c>
      <c r="BU3542" s="5" t="s">
        <v>240</v>
      </c>
      <c r="BV3542" s="5" t="s">
        <v>240</v>
      </c>
      <c r="BW3542" s="6" t="s">
        <v>240</v>
      </c>
      <c r="BX3542" s="5" t="s">
        <v>240</v>
      </c>
      <c r="BY3542" s="5" t="s">
        <v>240</v>
      </c>
      <c r="BZ3542" s="5" t="s">
        <v>240</v>
      </c>
      <c r="CA3542" s="5" t="s">
        <v>259</v>
      </c>
      <c r="CB3542" s="5" t="s">
        <v>240</v>
      </c>
      <c r="CC3542" s="5" t="s">
        <v>240</v>
      </c>
      <c r="CD3542" s="5" t="s">
        <v>240</v>
      </c>
      <c r="CE3542" s="5" t="s">
        <v>240</v>
      </c>
      <c r="CF3542" s="5" t="s">
        <v>240</v>
      </c>
      <c r="CG3542" s="5" t="s">
        <v>304</v>
      </c>
      <c r="CH3542" s="5" t="s">
        <v>305</v>
      </c>
      <c r="CI3542" s="5" t="s">
        <v>240</v>
      </c>
      <c r="CK3542" s="5" t="s">
        <v>3681</v>
      </c>
      <c r="CL3542" s="6" t="s">
        <v>261</v>
      </c>
      <c r="CM3542" s="5" t="s">
        <v>262</v>
      </c>
      <c r="CN3542" s="5" t="s">
        <v>263</v>
      </c>
      <c r="CO3542" s="5" t="s">
        <v>264</v>
      </c>
      <c r="CP3542" s="5" t="s">
        <v>240</v>
      </c>
      <c r="CQ3542" s="5">
        <v>0</v>
      </c>
      <c r="CR3542" s="5" t="s">
        <v>735</v>
      </c>
      <c r="CS3542" s="5" t="s">
        <v>307</v>
      </c>
      <c r="CT3542" s="5" t="s">
        <v>307</v>
      </c>
      <c r="CU3542" s="5" t="s">
        <v>260</v>
      </c>
      <c r="CV3542" s="5" t="s">
        <v>612</v>
      </c>
      <c r="CW3542" s="8">
        <f>1</f>
        <v>1</v>
      </c>
      <c r="CX3542" s="7">
        <f>1</f>
        <v>1</v>
      </c>
      <c r="CY3542" s="7">
        <f>0</f>
        <v>0</v>
      </c>
      <c r="DA3542" s="7">
        <f>1</f>
        <v>1</v>
      </c>
      <c r="DB3542" s="7" t="s">
        <v>240</v>
      </c>
      <c r="DC3542" s="5" t="s">
        <v>240</v>
      </c>
      <c r="DD3542" s="5" t="s">
        <v>240</v>
      </c>
      <c r="DE3542" s="5" t="s">
        <v>240</v>
      </c>
      <c r="DF3542" s="5" t="s">
        <v>240</v>
      </c>
      <c r="DG3542" s="7">
        <f>0</f>
        <v>0</v>
      </c>
      <c r="DI3542" s="5" t="s">
        <v>240</v>
      </c>
      <c r="DJ3542" s="5" t="s">
        <v>240</v>
      </c>
      <c r="DK3542" s="5" t="s">
        <v>240</v>
      </c>
      <c r="DL3542" s="5" t="s">
        <v>240</v>
      </c>
      <c r="DM3542" s="5" t="s">
        <v>240</v>
      </c>
      <c r="DN3542" s="5" t="s">
        <v>240</v>
      </c>
      <c r="DO3542" s="7" t="s">
        <v>240</v>
      </c>
      <c r="DP3542" s="5" t="s">
        <v>240</v>
      </c>
      <c r="DQ3542" s="5" t="s">
        <v>240</v>
      </c>
      <c r="DR3542" s="5" t="s">
        <v>731</v>
      </c>
      <c r="DS3542" s="5" t="s">
        <v>731</v>
      </c>
      <c r="DT3542" s="5" t="s">
        <v>240</v>
      </c>
      <c r="DU3542" s="5" t="s">
        <v>240</v>
      </c>
      <c r="DV3542" s="5" t="s">
        <v>3683</v>
      </c>
      <c r="DW3542" s="5" t="s">
        <v>787</v>
      </c>
      <c r="DX3542" s="5" t="s">
        <v>240</v>
      </c>
      <c r="DY3542" s="5" t="s">
        <v>240</v>
      </c>
      <c r="DZ3542" s="5" t="s">
        <v>240</v>
      </c>
      <c r="EA3542" s="5" t="s">
        <v>240</v>
      </c>
      <c r="EB3542" s="5" t="s">
        <v>240</v>
      </c>
      <c r="EC3542" s="5" t="s">
        <v>240</v>
      </c>
      <c r="ED3542" s="5" t="s">
        <v>240</v>
      </c>
      <c r="EE3542" s="5" t="s">
        <v>240</v>
      </c>
      <c r="EF3542" s="5" t="s">
        <v>240</v>
      </c>
      <c r="EG3542" s="5" t="s">
        <v>240</v>
      </c>
      <c r="EH3542" s="5" t="s">
        <v>240</v>
      </c>
      <c r="EI3542" s="5" t="s">
        <v>240</v>
      </c>
      <c r="EJ3542" s="5" t="s">
        <v>240</v>
      </c>
      <c r="EK3542" s="5" t="s">
        <v>240</v>
      </c>
      <c r="EL3542" s="5" t="s">
        <v>240</v>
      </c>
      <c r="EM3542" s="5" t="s">
        <v>240</v>
      </c>
      <c r="EN3542" s="5" t="s">
        <v>240</v>
      </c>
      <c r="EO3542" s="5" t="s">
        <v>240</v>
      </c>
      <c r="EP3542" s="5" t="s">
        <v>240</v>
      </c>
      <c r="EQ3542" s="5" t="s">
        <v>240</v>
      </c>
      <c r="ER3542" s="5" t="s">
        <v>240</v>
      </c>
      <c r="ES3542" s="5" t="s">
        <v>240</v>
      </c>
      <c r="ET3542" s="5" t="s">
        <v>240</v>
      </c>
      <c r="EU3542" s="5" t="s">
        <v>240</v>
      </c>
      <c r="EV3542" s="5" t="s">
        <v>240</v>
      </c>
      <c r="EW3542" s="5" t="s">
        <v>240</v>
      </c>
      <c r="EX3542" s="5" t="s">
        <v>240</v>
      </c>
      <c r="EY3542" s="5" t="s">
        <v>240</v>
      </c>
      <c r="EZ3542" s="5" t="s">
        <v>240</v>
      </c>
      <c r="FA3542" s="5" t="s">
        <v>240</v>
      </c>
      <c r="FB3542" s="5" t="s">
        <v>240</v>
      </c>
      <c r="FC3542" s="5" t="s">
        <v>240</v>
      </c>
      <c r="FD3542" s="5" t="s">
        <v>240</v>
      </c>
      <c r="FE3542" s="5" t="s">
        <v>240</v>
      </c>
      <c r="FF3542" s="5" t="s">
        <v>240</v>
      </c>
      <c r="FG3542" s="5" t="s">
        <v>240</v>
      </c>
      <c r="FH3542" s="5" t="s">
        <v>240</v>
      </c>
      <c r="FI3542" s="5" t="s">
        <v>240</v>
      </c>
      <c r="FJ3542" s="5" t="s">
        <v>240</v>
      </c>
      <c r="FK3542" s="5" t="s">
        <v>240</v>
      </c>
      <c r="FL3542" s="5" t="s">
        <v>240</v>
      </c>
      <c r="FM3542" s="5" t="s">
        <v>240</v>
      </c>
      <c r="FN3542" s="5" t="s">
        <v>240</v>
      </c>
      <c r="FO3542" s="5" t="s">
        <v>240</v>
      </c>
      <c r="FP3542" s="5" t="s">
        <v>240</v>
      </c>
      <c r="FQ3542" s="5" t="s">
        <v>240</v>
      </c>
      <c r="FR3542" s="5" t="s">
        <v>240</v>
      </c>
      <c r="FS3542" s="5" t="s">
        <v>240</v>
      </c>
      <c r="FT3542" s="5" t="s">
        <v>240</v>
      </c>
      <c r="FU3542" s="5" t="s">
        <v>240</v>
      </c>
      <c r="FV3542" s="5" t="s">
        <v>240</v>
      </c>
      <c r="FW3542" s="5" t="s">
        <v>240</v>
      </c>
      <c r="FX3542" s="5" t="s">
        <v>240</v>
      </c>
      <c r="FY3542" s="5" t="s">
        <v>240</v>
      </c>
      <c r="FZ3542" s="5" t="s">
        <v>240</v>
      </c>
      <c r="GA3542" s="5" t="s">
        <v>240</v>
      </c>
      <c r="GB3542" s="5" t="s">
        <v>240</v>
      </c>
      <c r="GC3542" s="5" t="s">
        <v>240</v>
      </c>
      <c r="GD3542" s="5" t="s">
        <v>240</v>
      </c>
      <c r="GE3542" s="5" t="s">
        <v>240</v>
      </c>
      <c r="GF3542" s="5" t="s">
        <v>240</v>
      </c>
      <c r="GG3542" s="5" t="s">
        <v>240</v>
      </c>
      <c r="GH3542" s="5" t="s">
        <v>240</v>
      </c>
      <c r="GI3542" s="5" t="s">
        <v>240</v>
      </c>
      <c r="GJ3542" s="5" t="s">
        <v>240</v>
      </c>
      <c r="GK3542" s="5" t="s">
        <v>240</v>
      </c>
      <c r="GL3542" s="5" t="s">
        <v>240</v>
      </c>
      <c r="GM3542" s="5" t="s">
        <v>240</v>
      </c>
      <c r="GN3542" s="5" t="s">
        <v>240</v>
      </c>
      <c r="GO3542" s="5" t="s">
        <v>240</v>
      </c>
      <c r="GP3542" s="5" t="s">
        <v>240</v>
      </c>
      <c r="GQ3542" s="5" t="s">
        <v>240</v>
      </c>
      <c r="GR3542" s="5" t="s">
        <v>240</v>
      </c>
      <c r="GS3542" s="5" t="s">
        <v>240</v>
      </c>
      <c r="GT3542" s="5" t="s">
        <v>240</v>
      </c>
      <c r="GU3542" s="5" t="s">
        <v>240</v>
      </c>
      <c r="GV3542" s="5" t="s">
        <v>240</v>
      </c>
      <c r="GW3542" s="5" t="s">
        <v>240</v>
      </c>
      <c r="GX3542" s="5" t="s">
        <v>240</v>
      </c>
      <c r="GY3542" s="5" t="s">
        <v>240</v>
      </c>
      <c r="GZ3542" s="5" t="s">
        <v>240</v>
      </c>
      <c r="HA3542" s="5" t="s">
        <v>240</v>
      </c>
      <c r="HB3542" s="5" t="s">
        <v>240</v>
      </c>
      <c r="HC3542" s="5" t="s">
        <v>240</v>
      </c>
      <c r="HD3542" s="5" t="s">
        <v>240</v>
      </c>
      <c r="HE3542" s="5" t="s">
        <v>240</v>
      </c>
      <c r="HF3542" s="5" t="s">
        <v>240</v>
      </c>
      <c r="HG3542" s="5" t="s">
        <v>240</v>
      </c>
      <c r="HH3542" s="5" t="s">
        <v>240</v>
      </c>
      <c r="HI3542" s="5" t="s">
        <v>240</v>
      </c>
      <c r="HJ3542" s="5" t="s">
        <v>240</v>
      </c>
      <c r="HK3542" s="5" t="s">
        <v>240</v>
      </c>
      <c r="HL3542" s="5" t="s">
        <v>240</v>
      </c>
      <c r="HM3542" s="5" t="s">
        <v>240</v>
      </c>
      <c r="HN3542" s="5" t="s">
        <v>240</v>
      </c>
      <c r="HO3542" s="5" t="s">
        <v>312</v>
      </c>
      <c r="HP3542" s="5" t="s">
        <v>240</v>
      </c>
      <c r="HQ3542" s="5" t="s">
        <v>240</v>
      </c>
      <c r="HR3542" s="5" t="s">
        <v>240</v>
      </c>
      <c r="HS3542" s="5" t="s">
        <v>240</v>
      </c>
      <c r="HT3542" s="5" t="s">
        <v>240</v>
      </c>
      <c r="HU3542" s="5" t="s">
        <v>240</v>
      </c>
      <c r="HV3542" s="5" t="s">
        <v>240</v>
      </c>
      <c r="HW3542" s="5" t="s">
        <v>240</v>
      </c>
      <c r="HX3542" s="5" t="s">
        <v>240</v>
      </c>
      <c r="HY3542" s="5" t="s">
        <v>240</v>
      </c>
      <c r="HZ3542" s="5" t="s">
        <v>240</v>
      </c>
      <c r="IA3542" s="5" t="s">
        <v>240</v>
      </c>
      <c r="IB3542" s="5" t="s">
        <v>240</v>
      </c>
      <c r="IC3542" s="5" t="s">
        <v>240</v>
      </c>
      <c r="ID3542" s="5" t="s">
        <v>240</v>
      </c>
      <c r="IE3542" s="5" t="s">
        <v>240</v>
      </c>
      <c r="IF3542" s="5" t="s">
        <v>240</v>
      </c>
    </row>
    <row r="3543" spans="1:240" x14ac:dyDescent="0.4">
      <c r="A3543" s="5">
        <v>9085</v>
      </c>
      <c r="B3543" s="5">
        <v>1</v>
      </c>
      <c r="C3543" s="5">
        <v>1</v>
      </c>
      <c r="D3543" s="5" t="s">
        <v>723</v>
      </c>
      <c r="E3543" s="5" t="s">
        <v>725</v>
      </c>
      <c r="F3543" s="5" t="s">
        <v>254</v>
      </c>
      <c r="G3543" s="5" t="s">
        <v>726</v>
      </c>
      <c r="H3543" s="6" t="s">
        <v>5851</v>
      </c>
      <c r="I3543" s="5" t="s">
        <v>5850</v>
      </c>
      <c r="J3543" s="7">
        <f>1</f>
        <v>1</v>
      </c>
      <c r="K3543" s="5" t="s">
        <v>3682</v>
      </c>
      <c r="L3543" s="7">
        <f>1</f>
        <v>1</v>
      </c>
      <c r="M3543" s="7">
        <f>1</f>
        <v>1</v>
      </c>
      <c r="N3543" s="5" t="s">
        <v>242</v>
      </c>
      <c r="O3543" s="5">
        <v>1</v>
      </c>
      <c r="P3543" s="5" t="s">
        <v>294</v>
      </c>
      <c r="Q3543" s="5" t="s">
        <v>613</v>
      </c>
      <c r="R3543" s="5" t="s">
        <v>240</v>
      </c>
      <c r="S3543" s="5" t="s">
        <v>240</v>
      </c>
      <c r="T3543" s="5" t="s">
        <v>243</v>
      </c>
      <c r="U3543" s="5" t="s">
        <v>724</v>
      </c>
      <c r="V3543" s="5" t="s">
        <v>240</v>
      </c>
      <c r="W3543" s="5" t="s">
        <v>240</v>
      </c>
      <c r="X3543" s="5" t="s">
        <v>240</v>
      </c>
      <c r="Y3543" s="5" t="s">
        <v>240</v>
      </c>
      <c r="Z3543" s="6" t="s">
        <v>298</v>
      </c>
      <c r="AA3543" s="6" t="s">
        <v>240</v>
      </c>
      <c r="AB3543" s="6" t="s">
        <v>240</v>
      </c>
      <c r="AC3543" s="5" t="s">
        <v>240</v>
      </c>
      <c r="AD3543" s="6" t="s">
        <v>240</v>
      </c>
      <c r="AE3543" s="6" t="s">
        <v>299</v>
      </c>
      <c r="AF3543" s="5" t="s">
        <v>727</v>
      </c>
      <c r="AG3543" s="5" t="s">
        <v>260</v>
      </c>
      <c r="AH3543" s="5" t="s">
        <v>240</v>
      </c>
      <c r="AI3543" s="5" t="s">
        <v>240</v>
      </c>
      <c r="AJ3543" s="5" t="s">
        <v>240</v>
      </c>
      <c r="AK3543" s="5" t="s">
        <v>240</v>
      </c>
      <c r="AL3543" s="5" t="s">
        <v>240</v>
      </c>
      <c r="AM3543" s="5" t="s">
        <v>240</v>
      </c>
      <c r="AN3543" s="5" t="s">
        <v>240</v>
      </c>
      <c r="AO3543" s="5" t="s">
        <v>240</v>
      </c>
      <c r="AP3543" s="6" t="s">
        <v>240</v>
      </c>
      <c r="AQ3543" s="6" t="s">
        <v>240</v>
      </c>
      <c r="AR3543" s="6" t="s">
        <v>240</v>
      </c>
      <c r="AS3543" s="6" t="s">
        <v>240</v>
      </c>
      <c r="AT3543" s="5" t="s">
        <v>240</v>
      </c>
      <c r="AU3543" s="5" t="s">
        <v>729</v>
      </c>
      <c r="AV3543" s="5" t="s">
        <v>729</v>
      </c>
      <c r="AW3543" s="5" t="s">
        <v>251</v>
      </c>
      <c r="AX3543" s="5" t="s">
        <v>252</v>
      </c>
      <c r="AY3543" s="5" t="s">
        <v>253</v>
      </c>
      <c r="AZ3543" s="5" t="s">
        <v>240</v>
      </c>
      <c r="BA3543" s="5" t="s">
        <v>255</v>
      </c>
      <c r="BB3543" s="5" t="s">
        <v>731</v>
      </c>
      <c r="BD3543" s="5" t="s">
        <v>240</v>
      </c>
      <c r="BF3543" s="5" t="s">
        <v>732</v>
      </c>
      <c r="BG3543" s="6" t="s">
        <v>733</v>
      </c>
      <c r="BH3543" s="5" t="s">
        <v>734</v>
      </c>
      <c r="BI3543" s="5" t="s">
        <v>734</v>
      </c>
      <c r="BJ3543" s="5" t="s">
        <v>240</v>
      </c>
      <c r="BK3543" s="8">
        <f>797.59</f>
        <v>797.59</v>
      </c>
      <c r="BL3543" s="7">
        <f>0</f>
        <v>0</v>
      </c>
      <c r="BM3543" s="5" t="s">
        <v>258</v>
      </c>
      <c r="BN3543" s="5" t="s">
        <v>259</v>
      </c>
      <c r="BO3543" s="5" t="s">
        <v>240</v>
      </c>
      <c r="BP3543" s="5" t="s">
        <v>240</v>
      </c>
      <c r="BQ3543" s="5" t="s">
        <v>240</v>
      </c>
      <c r="BR3543" s="5" t="s">
        <v>240</v>
      </c>
      <c r="BS3543" s="5" t="s">
        <v>240</v>
      </c>
      <c r="BT3543" s="5" t="s">
        <v>240</v>
      </c>
      <c r="BU3543" s="5" t="s">
        <v>240</v>
      </c>
      <c r="BV3543" s="5" t="s">
        <v>240</v>
      </c>
      <c r="BW3543" s="6" t="s">
        <v>240</v>
      </c>
      <c r="BX3543" s="5" t="s">
        <v>240</v>
      </c>
      <c r="BY3543" s="5" t="s">
        <v>240</v>
      </c>
      <c r="BZ3543" s="5" t="s">
        <v>240</v>
      </c>
      <c r="CA3543" s="5" t="s">
        <v>259</v>
      </c>
      <c r="CB3543" s="5" t="s">
        <v>240</v>
      </c>
      <c r="CC3543" s="5" t="s">
        <v>240</v>
      </c>
      <c r="CD3543" s="5" t="s">
        <v>240</v>
      </c>
      <c r="CE3543" s="5" t="s">
        <v>240</v>
      </c>
      <c r="CF3543" s="5" t="s">
        <v>240</v>
      </c>
      <c r="CG3543" s="5" t="s">
        <v>617</v>
      </c>
      <c r="CH3543" s="5" t="s">
        <v>305</v>
      </c>
      <c r="CI3543" s="5" t="s">
        <v>240</v>
      </c>
      <c r="CL3543" s="6" t="s">
        <v>261</v>
      </c>
      <c r="CM3543" s="5" t="s">
        <v>262</v>
      </c>
      <c r="CN3543" s="5" t="s">
        <v>263</v>
      </c>
      <c r="CO3543" s="5" t="s">
        <v>264</v>
      </c>
      <c r="CP3543" s="5" t="s">
        <v>240</v>
      </c>
      <c r="CQ3543" s="5">
        <v>0</v>
      </c>
      <c r="CR3543" s="5" t="s">
        <v>735</v>
      </c>
      <c r="CS3543" s="5" t="s">
        <v>307</v>
      </c>
      <c r="CT3543" s="5" t="s">
        <v>307</v>
      </c>
      <c r="CU3543" s="5" t="s">
        <v>260</v>
      </c>
      <c r="CV3543" s="5" t="s">
        <v>240</v>
      </c>
      <c r="CW3543" s="8">
        <f>0</f>
        <v>0</v>
      </c>
      <c r="CX3543" s="7">
        <f>0</f>
        <v>0</v>
      </c>
      <c r="CY3543" s="7">
        <f>0</f>
        <v>0</v>
      </c>
      <c r="DA3543" s="7">
        <f>8773</f>
        <v>8773</v>
      </c>
      <c r="DB3543" s="7" t="s">
        <v>240</v>
      </c>
      <c r="DC3543" s="5" t="s">
        <v>240</v>
      </c>
      <c r="DD3543" s="5" t="s">
        <v>240</v>
      </c>
      <c r="DE3543" s="5" t="s">
        <v>240</v>
      </c>
      <c r="DF3543" s="5" t="s">
        <v>450</v>
      </c>
      <c r="DG3543" s="7">
        <f>0</f>
        <v>0</v>
      </c>
      <c r="DI3543" s="5" t="s">
        <v>737</v>
      </c>
      <c r="DJ3543" s="5" t="s">
        <v>240</v>
      </c>
      <c r="DK3543" s="5" t="s">
        <v>240</v>
      </c>
      <c r="DL3543" s="5" t="s">
        <v>240</v>
      </c>
      <c r="DM3543" s="5" t="s">
        <v>240</v>
      </c>
      <c r="DN3543" s="5" t="s">
        <v>240</v>
      </c>
      <c r="DO3543" s="7" t="s">
        <v>240</v>
      </c>
      <c r="DP3543" s="5" t="s">
        <v>240</v>
      </c>
      <c r="DQ3543" s="5" t="s">
        <v>240</v>
      </c>
      <c r="DR3543" s="5" t="s">
        <v>731</v>
      </c>
      <c r="DS3543" s="5" t="s">
        <v>731</v>
      </c>
      <c r="DT3543" s="5" t="s">
        <v>240</v>
      </c>
      <c r="DU3543" s="5" t="s">
        <v>240</v>
      </c>
      <c r="DV3543" s="5" t="s">
        <v>738</v>
      </c>
      <c r="DW3543" s="5" t="s">
        <v>711</v>
      </c>
      <c r="DX3543" s="5" t="s">
        <v>240</v>
      </c>
      <c r="DY3543" s="5" t="s">
        <v>240</v>
      </c>
      <c r="DZ3543" s="5" t="s">
        <v>240</v>
      </c>
      <c r="EA3543" s="5" t="s">
        <v>240</v>
      </c>
      <c r="EB3543" s="5" t="s">
        <v>240</v>
      </c>
      <c r="EC3543" s="5" t="s">
        <v>240</v>
      </c>
      <c r="ED3543" s="5" t="s">
        <v>240</v>
      </c>
      <c r="EE3543" s="5" t="s">
        <v>240</v>
      </c>
      <c r="EF3543" s="5" t="s">
        <v>240</v>
      </c>
      <c r="EG3543" s="5" t="s">
        <v>240</v>
      </c>
      <c r="EH3543" s="5" t="s">
        <v>240</v>
      </c>
      <c r="EI3543" s="5" t="s">
        <v>240</v>
      </c>
      <c r="EJ3543" s="5" t="s">
        <v>240</v>
      </c>
      <c r="EK3543" s="5" t="s">
        <v>240</v>
      </c>
      <c r="EL3543" s="5" t="s">
        <v>240</v>
      </c>
      <c r="EM3543" s="5" t="s">
        <v>240</v>
      </c>
      <c r="EN3543" s="5" t="s">
        <v>240</v>
      </c>
      <c r="EO3543" s="5" t="s">
        <v>240</v>
      </c>
      <c r="EP3543" s="5" t="s">
        <v>240</v>
      </c>
      <c r="EQ3543" s="5" t="s">
        <v>240</v>
      </c>
      <c r="ER3543" s="5" t="s">
        <v>240</v>
      </c>
      <c r="ES3543" s="5" t="s">
        <v>240</v>
      </c>
      <c r="ET3543" s="5" t="s">
        <v>240</v>
      </c>
      <c r="EU3543" s="5" t="s">
        <v>240</v>
      </c>
      <c r="EV3543" s="5" t="s">
        <v>240</v>
      </c>
      <c r="EW3543" s="5" t="s">
        <v>240</v>
      </c>
      <c r="EX3543" s="5" t="s">
        <v>240</v>
      </c>
      <c r="EY3543" s="5" t="s">
        <v>240</v>
      </c>
      <c r="EZ3543" s="5" t="s">
        <v>240</v>
      </c>
      <c r="FA3543" s="5" t="s">
        <v>240</v>
      </c>
      <c r="FB3543" s="5" t="s">
        <v>240</v>
      </c>
      <c r="FC3543" s="5" t="s">
        <v>240</v>
      </c>
      <c r="FD3543" s="5" t="s">
        <v>240</v>
      </c>
      <c r="FE3543" s="5" t="s">
        <v>240</v>
      </c>
      <c r="FF3543" s="5" t="s">
        <v>240</v>
      </c>
      <c r="FG3543" s="5" t="s">
        <v>240</v>
      </c>
      <c r="FH3543" s="5" t="s">
        <v>240</v>
      </c>
      <c r="FI3543" s="5" t="s">
        <v>240</v>
      </c>
      <c r="FJ3543" s="5" t="s">
        <v>240</v>
      </c>
      <c r="FK3543" s="5" t="s">
        <v>240</v>
      </c>
      <c r="FL3543" s="5" t="s">
        <v>240</v>
      </c>
      <c r="FM3543" s="5" t="s">
        <v>240</v>
      </c>
      <c r="FN3543" s="5" t="s">
        <v>240</v>
      </c>
      <c r="FO3543" s="5" t="s">
        <v>240</v>
      </c>
      <c r="FP3543" s="5" t="s">
        <v>240</v>
      </c>
      <c r="FQ3543" s="5" t="s">
        <v>240</v>
      </c>
      <c r="FR3543" s="5" t="s">
        <v>240</v>
      </c>
      <c r="FS3543" s="5" t="s">
        <v>240</v>
      </c>
      <c r="FT3543" s="5" t="s">
        <v>240</v>
      </c>
      <c r="FU3543" s="5" t="s">
        <v>240</v>
      </c>
      <c r="FV3543" s="5" t="s">
        <v>240</v>
      </c>
      <c r="FW3543" s="5" t="s">
        <v>240</v>
      </c>
      <c r="FX3543" s="5" t="s">
        <v>240</v>
      </c>
      <c r="FY3543" s="5" t="s">
        <v>240</v>
      </c>
      <c r="FZ3543" s="5" t="s">
        <v>240</v>
      </c>
      <c r="GA3543" s="5" t="s">
        <v>240</v>
      </c>
      <c r="GB3543" s="5" t="s">
        <v>240</v>
      </c>
      <c r="GC3543" s="5" t="s">
        <v>240</v>
      </c>
      <c r="GD3543" s="5" t="s">
        <v>240</v>
      </c>
      <c r="GE3543" s="5" t="s">
        <v>240</v>
      </c>
      <c r="GF3543" s="5" t="s">
        <v>240</v>
      </c>
      <c r="GG3543" s="5" t="s">
        <v>240</v>
      </c>
      <c r="GH3543" s="5" t="s">
        <v>240</v>
      </c>
      <c r="GI3543" s="5" t="s">
        <v>240</v>
      </c>
      <c r="GJ3543" s="5" t="s">
        <v>240</v>
      </c>
      <c r="GK3543" s="5" t="s">
        <v>240</v>
      </c>
      <c r="GL3543" s="5" t="s">
        <v>240</v>
      </c>
      <c r="GM3543" s="5" t="s">
        <v>240</v>
      </c>
      <c r="GN3543" s="5" t="s">
        <v>240</v>
      </c>
      <c r="GO3543" s="5" t="s">
        <v>240</v>
      </c>
      <c r="GP3543" s="5" t="s">
        <v>240</v>
      </c>
      <c r="GQ3543" s="5" t="s">
        <v>240</v>
      </c>
      <c r="GR3543" s="5" t="s">
        <v>240</v>
      </c>
      <c r="GS3543" s="5" t="s">
        <v>240</v>
      </c>
      <c r="GT3543" s="5" t="s">
        <v>240</v>
      </c>
      <c r="GU3543" s="5" t="s">
        <v>240</v>
      </c>
      <c r="GV3543" s="5" t="s">
        <v>240</v>
      </c>
      <c r="GW3543" s="5" t="s">
        <v>240</v>
      </c>
      <c r="GX3543" s="5" t="s">
        <v>240</v>
      </c>
      <c r="GY3543" s="5" t="s">
        <v>240</v>
      </c>
      <c r="GZ3543" s="5" t="s">
        <v>240</v>
      </c>
      <c r="HA3543" s="5" t="s">
        <v>240</v>
      </c>
      <c r="HB3543" s="5" t="s">
        <v>240</v>
      </c>
      <c r="HC3543" s="5" t="s">
        <v>240</v>
      </c>
      <c r="HD3543" s="5" t="s">
        <v>240</v>
      </c>
      <c r="HE3543" s="5" t="s">
        <v>240</v>
      </c>
      <c r="HF3543" s="5" t="s">
        <v>240</v>
      </c>
      <c r="HG3543" s="5" t="s">
        <v>240</v>
      </c>
      <c r="HH3543" s="5" t="s">
        <v>240</v>
      </c>
      <c r="HI3543" s="5" t="s">
        <v>240</v>
      </c>
      <c r="HJ3543" s="5" t="s">
        <v>240</v>
      </c>
      <c r="HK3543" s="5" t="s">
        <v>240</v>
      </c>
      <c r="HL3543" s="5" t="s">
        <v>240</v>
      </c>
      <c r="HM3543" s="5" t="s">
        <v>240</v>
      </c>
      <c r="HN3543" s="5" t="s">
        <v>240</v>
      </c>
      <c r="HO3543" s="5" t="s">
        <v>312</v>
      </c>
      <c r="HP3543" s="5" t="s">
        <v>240</v>
      </c>
      <c r="HQ3543" s="5" t="s">
        <v>240</v>
      </c>
      <c r="HR3543" s="5" t="s">
        <v>240</v>
      </c>
      <c r="HS3543" s="5" t="s">
        <v>240</v>
      </c>
      <c r="HT3543" s="5" t="s">
        <v>240</v>
      </c>
      <c r="HU3543" s="5" t="s">
        <v>240</v>
      </c>
      <c r="HV3543" s="5" t="s">
        <v>240</v>
      </c>
      <c r="HW3543" s="5" t="s">
        <v>240</v>
      </c>
      <c r="HX3543" s="5" t="s">
        <v>240</v>
      </c>
      <c r="HY3543" s="5" t="s">
        <v>240</v>
      </c>
      <c r="HZ3543" s="5" t="s">
        <v>240</v>
      </c>
      <c r="IA3543" s="5" t="s">
        <v>240</v>
      </c>
      <c r="IB3543" s="5" t="s">
        <v>240</v>
      </c>
      <c r="IC3543" s="5" t="s">
        <v>240</v>
      </c>
      <c r="ID3543" s="5" t="s">
        <v>240</v>
      </c>
      <c r="IE3543" s="5" t="s">
        <v>240</v>
      </c>
      <c r="IF3543" s="5" t="s">
        <v>240</v>
      </c>
    </row>
    <row r="3544" spans="1:240" x14ac:dyDescent="0.4">
      <c r="A3544" s="5">
        <v>9086</v>
      </c>
      <c r="B3544" s="5">
        <v>1</v>
      </c>
      <c r="C3544" s="5">
        <v>1</v>
      </c>
      <c r="D3544" s="5" t="s">
        <v>723</v>
      </c>
      <c r="E3544" s="5" t="s">
        <v>725</v>
      </c>
      <c r="F3544" s="5" t="s">
        <v>254</v>
      </c>
      <c r="G3544" s="5" t="s">
        <v>5848</v>
      </c>
      <c r="H3544" s="6" t="s">
        <v>5849</v>
      </c>
      <c r="I3544" s="5" t="s">
        <v>5847</v>
      </c>
      <c r="J3544" s="7">
        <f>1</f>
        <v>1</v>
      </c>
      <c r="K3544" s="5" t="s">
        <v>3682</v>
      </c>
      <c r="L3544" s="7">
        <f>1</f>
        <v>1</v>
      </c>
      <c r="M3544" s="7">
        <f>1</f>
        <v>1</v>
      </c>
      <c r="N3544" s="5" t="s">
        <v>242</v>
      </c>
      <c r="O3544" s="5">
        <v>1</v>
      </c>
      <c r="P3544" s="5" t="s">
        <v>294</v>
      </c>
      <c r="Q3544" s="5" t="s">
        <v>613</v>
      </c>
      <c r="R3544" s="5" t="s">
        <v>240</v>
      </c>
      <c r="S3544" s="5" t="s">
        <v>240</v>
      </c>
      <c r="T3544" s="5" t="s">
        <v>243</v>
      </c>
      <c r="U3544" s="5" t="s">
        <v>724</v>
      </c>
      <c r="V3544" s="5" t="s">
        <v>240</v>
      </c>
      <c r="W3544" s="5" t="s">
        <v>240</v>
      </c>
      <c r="X3544" s="5" t="s">
        <v>240</v>
      </c>
      <c r="Y3544" s="5" t="s">
        <v>240</v>
      </c>
      <c r="Z3544" s="6" t="s">
        <v>298</v>
      </c>
      <c r="AA3544" s="6" t="s">
        <v>240</v>
      </c>
      <c r="AB3544" s="6" t="s">
        <v>240</v>
      </c>
      <c r="AC3544" s="5" t="s">
        <v>240</v>
      </c>
      <c r="AD3544" s="6" t="s">
        <v>240</v>
      </c>
      <c r="AE3544" s="6" t="s">
        <v>299</v>
      </c>
      <c r="AF3544" s="5" t="s">
        <v>727</v>
      </c>
      <c r="AG3544" s="5" t="s">
        <v>260</v>
      </c>
      <c r="AH3544" s="5" t="s">
        <v>240</v>
      </c>
      <c r="AI3544" s="5" t="s">
        <v>240</v>
      </c>
      <c r="AJ3544" s="5" t="s">
        <v>240</v>
      </c>
      <c r="AK3544" s="5" t="s">
        <v>240</v>
      </c>
      <c r="AL3544" s="5" t="s">
        <v>240</v>
      </c>
      <c r="AM3544" s="5" t="s">
        <v>240</v>
      </c>
      <c r="AN3544" s="5" t="s">
        <v>240</v>
      </c>
      <c r="AO3544" s="5" t="s">
        <v>240</v>
      </c>
      <c r="AP3544" s="6" t="s">
        <v>240</v>
      </c>
      <c r="AQ3544" s="6" t="s">
        <v>240</v>
      </c>
      <c r="AR3544" s="6" t="s">
        <v>240</v>
      </c>
      <c r="AS3544" s="6" t="s">
        <v>240</v>
      </c>
      <c r="AT3544" s="5" t="s">
        <v>240</v>
      </c>
      <c r="AU3544" s="5" t="s">
        <v>729</v>
      </c>
      <c r="AV3544" s="5" t="s">
        <v>729</v>
      </c>
      <c r="AW3544" s="5" t="s">
        <v>251</v>
      </c>
      <c r="AX3544" s="5" t="s">
        <v>252</v>
      </c>
      <c r="AY3544" s="5" t="s">
        <v>253</v>
      </c>
      <c r="AZ3544" s="5" t="s">
        <v>240</v>
      </c>
      <c r="BA3544" s="5" t="s">
        <v>255</v>
      </c>
      <c r="BB3544" s="5" t="s">
        <v>731</v>
      </c>
      <c r="BD3544" s="5" t="s">
        <v>240</v>
      </c>
      <c r="BF3544" s="5" t="s">
        <v>732</v>
      </c>
      <c r="BG3544" s="6" t="s">
        <v>733</v>
      </c>
      <c r="BH3544" s="5" t="s">
        <v>734</v>
      </c>
      <c r="BI3544" s="5" t="s">
        <v>734</v>
      </c>
      <c r="BJ3544" s="5" t="s">
        <v>240</v>
      </c>
      <c r="BK3544" s="8">
        <f>512</f>
        <v>512</v>
      </c>
      <c r="BL3544" s="7">
        <f>0</f>
        <v>0</v>
      </c>
      <c r="BM3544" s="5" t="s">
        <v>258</v>
      </c>
      <c r="BN3544" s="5" t="s">
        <v>259</v>
      </c>
      <c r="BO3544" s="5" t="s">
        <v>240</v>
      </c>
      <c r="BP3544" s="5" t="s">
        <v>240</v>
      </c>
      <c r="BQ3544" s="5" t="s">
        <v>240</v>
      </c>
      <c r="BR3544" s="5" t="s">
        <v>240</v>
      </c>
      <c r="BS3544" s="5" t="s">
        <v>240</v>
      </c>
      <c r="BT3544" s="5" t="s">
        <v>240</v>
      </c>
      <c r="BU3544" s="5" t="s">
        <v>240</v>
      </c>
      <c r="BV3544" s="5" t="s">
        <v>240</v>
      </c>
      <c r="BW3544" s="6" t="s">
        <v>240</v>
      </c>
      <c r="BX3544" s="5" t="s">
        <v>240</v>
      </c>
      <c r="BY3544" s="5" t="s">
        <v>240</v>
      </c>
      <c r="BZ3544" s="5" t="s">
        <v>240</v>
      </c>
      <c r="CA3544" s="5" t="s">
        <v>259</v>
      </c>
      <c r="CB3544" s="5" t="s">
        <v>240</v>
      </c>
      <c r="CC3544" s="5" t="s">
        <v>240</v>
      </c>
      <c r="CD3544" s="5" t="s">
        <v>240</v>
      </c>
      <c r="CE3544" s="5" t="s">
        <v>240</v>
      </c>
      <c r="CF3544" s="5" t="s">
        <v>240</v>
      </c>
      <c r="CG3544" s="5" t="s">
        <v>617</v>
      </c>
      <c r="CH3544" s="5" t="s">
        <v>305</v>
      </c>
      <c r="CI3544" s="5" t="s">
        <v>240</v>
      </c>
      <c r="CL3544" s="6" t="s">
        <v>261</v>
      </c>
      <c r="CM3544" s="5" t="s">
        <v>262</v>
      </c>
      <c r="CN3544" s="5" t="s">
        <v>263</v>
      </c>
      <c r="CO3544" s="5" t="s">
        <v>264</v>
      </c>
      <c r="CP3544" s="5" t="s">
        <v>240</v>
      </c>
      <c r="CQ3544" s="5">
        <v>0</v>
      </c>
      <c r="CR3544" s="5" t="s">
        <v>735</v>
      </c>
      <c r="CS3544" s="5" t="s">
        <v>307</v>
      </c>
      <c r="CT3544" s="5" t="s">
        <v>307</v>
      </c>
      <c r="CU3544" s="5" t="s">
        <v>260</v>
      </c>
      <c r="CV3544" s="5" t="s">
        <v>240</v>
      </c>
      <c r="CW3544" s="8">
        <f>0</f>
        <v>0</v>
      </c>
      <c r="CX3544" s="7">
        <f>0</f>
        <v>0</v>
      </c>
      <c r="CY3544" s="7">
        <f>0</f>
        <v>0</v>
      </c>
      <c r="DA3544" s="7">
        <f>5632</f>
        <v>5632</v>
      </c>
      <c r="DB3544" s="7" t="s">
        <v>240</v>
      </c>
      <c r="DC3544" s="5" t="s">
        <v>240</v>
      </c>
      <c r="DD3544" s="5" t="s">
        <v>240</v>
      </c>
      <c r="DE3544" s="5" t="s">
        <v>240</v>
      </c>
      <c r="DF3544" s="5" t="s">
        <v>854</v>
      </c>
      <c r="DG3544" s="7">
        <f>0</f>
        <v>0</v>
      </c>
      <c r="DH3544" s="6" t="s">
        <v>6280</v>
      </c>
      <c r="DI3544" s="5" t="s">
        <v>737</v>
      </c>
      <c r="DJ3544" s="5" t="s">
        <v>240</v>
      </c>
      <c r="DK3544" s="5" t="s">
        <v>240</v>
      </c>
      <c r="DL3544" s="5" t="s">
        <v>240</v>
      </c>
      <c r="DM3544" s="5" t="s">
        <v>240</v>
      </c>
      <c r="DN3544" s="5" t="s">
        <v>240</v>
      </c>
      <c r="DO3544" s="7" t="s">
        <v>240</v>
      </c>
      <c r="DP3544" s="5" t="s">
        <v>240</v>
      </c>
      <c r="DQ3544" s="5" t="s">
        <v>240</v>
      </c>
      <c r="DR3544" s="5" t="s">
        <v>731</v>
      </c>
      <c r="DS3544" s="5" t="s">
        <v>731</v>
      </c>
      <c r="DT3544" s="5" t="s">
        <v>240</v>
      </c>
      <c r="DU3544" s="5" t="s">
        <v>240</v>
      </c>
      <c r="DV3544" s="5" t="s">
        <v>738</v>
      </c>
      <c r="DW3544" s="5" t="s">
        <v>666</v>
      </c>
      <c r="DX3544" s="5" t="s">
        <v>240</v>
      </c>
      <c r="DY3544" s="5" t="s">
        <v>240</v>
      </c>
      <c r="DZ3544" s="5" t="s">
        <v>240</v>
      </c>
      <c r="EA3544" s="5" t="s">
        <v>240</v>
      </c>
      <c r="EB3544" s="5" t="s">
        <v>240</v>
      </c>
      <c r="EC3544" s="5" t="s">
        <v>240</v>
      </c>
      <c r="ED3544" s="5" t="s">
        <v>240</v>
      </c>
      <c r="EE3544" s="5" t="s">
        <v>240</v>
      </c>
      <c r="EF3544" s="5" t="s">
        <v>240</v>
      </c>
      <c r="EG3544" s="5" t="s">
        <v>240</v>
      </c>
      <c r="EH3544" s="5" t="s">
        <v>240</v>
      </c>
      <c r="EI3544" s="5" t="s">
        <v>240</v>
      </c>
      <c r="EJ3544" s="5" t="s">
        <v>240</v>
      </c>
      <c r="EK3544" s="5" t="s">
        <v>240</v>
      </c>
      <c r="EL3544" s="5" t="s">
        <v>240</v>
      </c>
      <c r="EM3544" s="5" t="s">
        <v>240</v>
      </c>
      <c r="EN3544" s="5" t="s">
        <v>240</v>
      </c>
      <c r="EO3544" s="5" t="s">
        <v>240</v>
      </c>
      <c r="EP3544" s="5" t="s">
        <v>240</v>
      </c>
      <c r="EQ3544" s="5" t="s">
        <v>240</v>
      </c>
      <c r="ER3544" s="5" t="s">
        <v>240</v>
      </c>
      <c r="ES3544" s="5" t="s">
        <v>240</v>
      </c>
      <c r="ET3544" s="5" t="s">
        <v>240</v>
      </c>
      <c r="EU3544" s="5" t="s">
        <v>240</v>
      </c>
      <c r="EV3544" s="5" t="s">
        <v>240</v>
      </c>
      <c r="EW3544" s="5" t="s">
        <v>240</v>
      </c>
      <c r="EX3544" s="5" t="s">
        <v>240</v>
      </c>
      <c r="EY3544" s="5" t="s">
        <v>240</v>
      </c>
      <c r="EZ3544" s="5" t="s">
        <v>240</v>
      </c>
      <c r="FA3544" s="5" t="s">
        <v>240</v>
      </c>
      <c r="FB3544" s="5" t="s">
        <v>240</v>
      </c>
      <c r="FC3544" s="5" t="s">
        <v>240</v>
      </c>
      <c r="FD3544" s="5" t="s">
        <v>240</v>
      </c>
      <c r="FE3544" s="5" t="s">
        <v>240</v>
      </c>
      <c r="FF3544" s="5" t="s">
        <v>240</v>
      </c>
      <c r="FG3544" s="5" t="s">
        <v>240</v>
      </c>
      <c r="FH3544" s="5" t="s">
        <v>240</v>
      </c>
      <c r="FI3544" s="5" t="s">
        <v>240</v>
      </c>
      <c r="FJ3544" s="5" t="s">
        <v>240</v>
      </c>
      <c r="FK3544" s="5" t="s">
        <v>240</v>
      </c>
      <c r="FL3544" s="5" t="s">
        <v>240</v>
      </c>
      <c r="FM3544" s="5" t="s">
        <v>240</v>
      </c>
      <c r="FN3544" s="5" t="s">
        <v>240</v>
      </c>
      <c r="FO3544" s="5" t="s">
        <v>240</v>
      </c>
      <c r="FP3544" s="5" t="s">
        <v>240</v>
      </c>
      <c r="FQ3544" s="5" t="s">
        <v>240</v>
      </c>
      <c r="FR3544" s="5" t="s">
        <v>240</v>
      </c>
      <c r="FS3544" s="5" t="s">
        <v>240</v>
      </c>
      <c r="FT3544" s="5" t="s">
        <v>240</v>
      </c>
      <c r="FU3544" s="5" t="s">
        <v>240</v>
      </c>
      <c r="FV3544" s="5" t="s">
        <v>240</v>
      </c>
      <c r="FW3544" s="5" t="s">
        <v>240</v>
      </c>
      <c r="FX3544" s="5" t="s">
        <v>240</v>
      </c>
      <c r="FY3544" s="5" t="s">
        <v>240</v>
      </c>
      <c r="FZ3544" s="5" t="s">
        <v>240</v>
      </c>
      <c r="GA3544" s="5" t="s">
        <v>240</v>
      </c>
      <c r="GB3544" s="5" t="s">
        <v>240</v>
      </c>
      <c r="GC3544" s="5" t="s">
        <v>240</v>
      </c>
      <c r="GD3544" s="5" t="s">
        <v>240</v>
      </c>
      <c r="GE3544" s="5" t="s">
        <v>240</v>
      </c>
      <c r="GF3544" s="5" t="s">
        <v>240</v>
      </c>
      <c r="GG3544" s="5" t="s">
        <v>240</v>
      </c>
      <c r="GH3544" s="5" t="s">
        <v>240</v>
      </c>
      <c r="GI3544" s="5" t="s">
        <v>240</v>
      </c>
      <c r="GJ3544" s="5" t="s">
        <v>240</v>
      </c>
      <c r="GK3544" s="5" t="s">
        <v>240</v>
      </c>
      <c r="GL3544" s="5" t="s">
        <v>240</v>
      </c>
      <c r="GM3544" s="5" t="s">
        <v>240</v>
      </c>
      <c r="GN3544" s="5" t="s">
        <v>240</v>
      </c>
      <c r="GO3544" s="5" t="s">
        <v>240</v>
      </c>
      <c r="GP3544" s="5" t="s">
        <v>240</v>
      </c>
      <c r="GQ3544" s="5" t="s">
        <v>240</v>
      </c>
      <c r="GR3544" s="5" t="s">
        <v>240</v>
      </c>
      <c r="GS3544" s="5" t="s">
        <v>240</v>
      </c>
      <c r="GT3544" s="5" t="s">
        <v>240</v>
      </c>
      <c r="GU3544" s="5" t="s">
        <v>240</v>
      </c>
      <c r="GV3544" s="5" t="s">
        <v>240</v>
      </c>
      <c r="GW3544" s="5" t="s">
        <v>240</v>
      </c>
      <c r="GX3544" s="5" t="s">
        <v>240</v>
      </c>
      <c r="GY3544" s="5" t="s">
        <v>240</v>
      </c>
      <c r="GZ3544" s="5" t="s">
        <v>240</v>
      </c>
      <c r="HA3544" s="5" t="s">
        <v>240</v>
      </c>
      <c r="HB3544" s="5" t="s">
        <v>240</v>
      </c>
      <c r="HC3544" s="5" t="s">
        <v>240</v>
      </c>
      <c r="HD3544" s="5" t="s">
        <v>240</v>
      </c>
      <c r="HE3544" s="5" t="s">
        <v>240</v>
      </c>
      <c r="HF3544" s="5" t="s">
        <v>240</v>
      </c>
      <c r="HG3544" s="5" t="s">
        <v>240</v>
      </c>
      <c r="HH3544" s="5" t="s">
        <v>240</v>
      </c>
      <c r="HI3544" s="5" t="s">
        <v>240</v>
      </c>
      <c r="HJ3544" s="5" t="s">
        <v>240</v>
      </c>
      <c r="HK3544" s="5" t="s">
        <v>240</v>
      </c>
      <c r="HL3544" s="5" t="s">
        <v>240</v>
      </c>
      <c r="HM3544" s="5" t="s">
        <v>240</v>
      </c>
      <c r="HN3544" s="5" t="s">
        <v>240</v>
      </c>
      <c r="HO3544" s="5" t="s">
        <v>620</v>
      </c>
      <c r="HP3544" s="5" t="s">
        <v>240</v>
      </c>
      <c r="HQ3544" s="5" t="s">
        <v>240</v>
      </c>
      <c r="HR3544" s="5" t="s">
        <v>240</v>
      </c>
      <c r="HS3544" s="5" t="s">
        <v>240</v>
      </c>
      <c r="HT3544" s="5" t="s">
        <v>240</v>
      </c>
      <c r="HU3544" s="5" t="s">
        <v>240</v>
      </c>
      <c r="HV3544" s="5" t="s">
        <v>240</v>
      </c>
      <c r="HW3544" s="5" t="s">
        <v>240</v>
      </c>
      <c r="HX3544" s="5" t="s">
        <v>240</v>
      </c>
      <c r="HY3544" s="5" t="s">
        <v>240</v>
      </c>
      <c r="HZ3544" s="5" t="s">
        <v>240</v>
      </c>
      <c r="IA3544" s="5" t="s">
        <v>240</v>
      </c>
      <c r="IB3544" s="5" t="s">
        <v>240</v>
      </c>
      <c r="IC3544" s="5" t="s">
        <v>240</v>
      </c>
      <c r="ID3544" s="5" t="s">
        <v>240</v>
      </c>
      <c r="IE3544" s="5" t="s">
        <v>240</v>
      </c>
      <c r="IF3544" s="5" t="s">
        <v>240</v>
      </c>
    </row>
    <row r="3545" spans="1:240" x14ac:dyDescent="0.4">
      <c r="A3545" s="5">
        <v>9087</v>
      </c>
      <c r="B3545" s="5">
        <v>1</v>
      </c>
      <c r="C3545" s="5">
        <v>1</v>
      </c>
      <c r="D3545" s="5" t="s">
        <v>723</v>
      </c>
      <c r="E3545" s="5" t="s">
        <v>725</v>
      </c>
      <c r="F3545" s="5" t="s">
        <v>254</v>
      </c>
      <c r="G3545" s="5" t="s">
        <v>5845</v>
      </c>
      <c r="H3545" s="6" t="s">
        <v>5846</v>
      </c>
      <c r="I3545" s="5" t="s">
        <v>5844</v>
      </c>
      <c r="J3545" s="7">
        <f>1</f>
        <v>1</v>
      </c>
      <c r="K3545" s="5" t="s">
        <v>3682</v>
      </c>
      <c r="L3545" s="7">
        <f>1</f>
        <v>1</v>
      </c>
      <c r="M3545" s="7">
        <f>1</f>
        <v>1</v>
      </c>
      <c r="N3545" s="5" t="s">
        <v>242</v>
      </c>
      <c r="O3545" s="5">
        <v>1</v>
      </c>
      <c r="P3545" s="5" t="s">
        <v>294</v>
      </c>
      <c r="Q3545" s="5" t="s">
        <v>613</v>
      </c>
      <c r="R3545" s="5" t="s">
        <v>240</v>
      </c>
      <c r="S3545" s="5" t="s">
        <v>240</v>
      </c>
      <c r="T3545" s="5" t="s">
        <v>243</v>
      </c>
      <c r="U3545" s="5" t="s">
        <v>724</v>
      </c>
      <c r="V3545" s="5" t="s">
        <v>240</v>
      </c>
      <c r="W3545" s="5" t="s">
        <v>240</v>
      </c>
      <c r="X3545" s="5" t="s">
        <v>240</v>
      </c>
      <c r="Y3545" s="5" t="s">
        <v>240</v>
      </c>
      <c r="Z3545" s="6" t="s">
        <v>298</v>
      </c>
      <c r="AA3545" s="6" t="s">
        <v>240</v>
      </c>
      <c r="AB3545" s="6" t="s">
        <v>240</v>
      </c>
      <c r="AC3545" s="5" t="s">
        <v>240</v>
      </c>
      <c r="AD3545" s="6" t="s">
        <v>240</v>
      </c>
      <c r="AE3545" s="6" t="s">
        <v>299</v>
      </c>
      <c r="AF3545" s="5" t="s">
        <v>727</v>
      </c>
      <c r="AG3545" s="5" t="s">
        <v>260</v>
      </c>
      <c r="AH3545" s="5" t="s">
        <v>240</v>
      </c>
      <c r="AI3545" s="5" t="s">
        <v>240</v>
      </c>
      <c r="AJ3545" s="5" t="s">
        <v>240</v>
      </c>
      <c r="AK3545" s="5" t="s">
        <v>240</v>
      </c>
      <c r="AL3545" s="5" t="s">
        <v>240</v>
      </c>
      <c r="AM3545" s="5" t="s">
        <v>240</v>
      </c>
      <c r="AN3545" s="5" t="s">
        <v>240</v>
      </c>
      <c r="AO3545" s="5" t="s">
        <v>240</v>
      </c>
      <c r="AP3545" s="6" t="s">
        <v>240</v>
      </c>
      <c r="AQ3545" s="6" t="s">
        <v>240</v>
      </c>
      <c r="AR3545" s="6" t="s">
        <v>240</v>
      </c>
      <c r="AS3545" s="6" t="s">
        <v>240</v>
      </c>
      <c r="AT3545" s="5" t="s">
        <v>240</v>
      </c>
      <c r="AU3545" s="5" t="s">
        <v>729</v>
      </c>
      <c r="AV3545" s="5" t="s">
        <v>729</v>
      </c>
      <c r="AW3545" s="5" t="s">
        <v>251</v>
      </c>
      <c r="AX3545" s="5" t="s">
        <v>252</v>
      </c>
      <c r="AY3545" s="5" t="s">
        <v>253</v>
      </c>
      <c r="AZ3545" s="5" t="s">
        <v>240</v>
      </c>
      <c r="BA3545" s="5" t="s">
        <v>255</v>
      </c>
      <c r="BB3545" s="5" t="s">
        <v>731</v>
      </c>
      <c r="BD3545" s="5" t="s">
        <v>240</v>
      </c>
      <c r="BF3545" s="5" t="s">
        <v>732</v>
      </c>
      <c r="BG3545" s="6" t="s">
        <v>733</v>
      </c>
      <c r="BH3545" s="5" t="s">
        <v>734</v>
      </c>
      <c r="BI3545" s="5" t="s">
        <v>734</v>
      </c>
      <c r="BJ3545" s="5" t="s">
        <v>240</v>
      </c>
      <c r="BK3545" s="8">
        <f>739</f>
        <v>739</v>
      </c>
      <c r="BL3545" s="7">
        <f>0</f>
        <v>0</v>
      </c>
      <c r="BM3545" s="5" t="s">
        <v>258</v>
      </c>
      <c r="BN3545" s="5" t="s">
        <v>259</v>
      </c>
      <c r="BO3545" s="5" t="s">
        <v>240</v>
      </c>
      <c r="BP3545" s="5" t="s">
        <v>240</v>
      </c>
      <c r="BQ3545" s="5" t="s">
        <v>240</v>
      </c>
      <c r="BR3545" s="5" t="s">
        <v>240</v>
      </c>
      <c r="BS3545" s="5" t="s">
        <v>240</v>
      </c>
      <c r="BT3545" s="5" t="s">
        <v>240</v>
      </c>
      <c r="BU3545" s="5" t="s">
        <v>240</v>
      </c>
      <c r="BV3545" s="5" t="s">
        <v>240</v>
      </c>
      <c r="BW3545" s="6" t="s">
        <v>240</v>
      </c>
      <c r="BX3545" s="5" t="s">
        <v>240</v>
      </c>
      <c r="BY3545" s="5" t="s">
        <v>240</v>
      </c>
      <c r="BZ3545" s="5" t="s">
        <v>240</v>
      </c>
      <c r="CA3545" s="5" t="s">
        <v>259</v>
      </c>
      <c r="CB3545" s="5" t="s">
        <v>240</v>
      </c>
      <c r="CC3545" s="5" t="s">
        <v>240</v>
      </c>
      <c r="CD3545" s="5" t="s">
        <v>240</v>
      </c>
      <c r="CE3545" s="5" t="s">
        <v>240</v>
      </c>
      <c r="CF3545" s="5" t="s">
        <v>240</v>
      </c>
      <c r="CG3545" s="5" t="s">
        <v>617</v>
      </c>
      <c r="CH3545" s="5" t="s">
        <v>305</v>
      </c>
      <c r="CI3545" s="5" t="s">
        <v>240</v>
      </c>
      <c r="CL3545" s="6" t="s">
        <v>261</v>
      </c>
      <c r="CM3545" s="5" t="s">
        <v>262</v>
      </c>
      <c r="CN3545" s="5" t="s">
        <v>263</v>
      </c>
      <c r="CO3545" s="5" t="s">
        <v>264</v>
      </c>
      <c r="CP3545" s="5" t="s">
        <v>240</v>
      </c>
      <c r="CQ3545" s="5">
        <v>0</v>
      </c>
      <c r="CR3545" s="5" t="s">
        <v>735</v>
      </c>
      <c r="CS3545" s="5" t="s">
        <v>307</v>
      </c>
      <c r="CT3545" s="5" t="s">
        <v>307</v>
      </c>
      <c r="CU3545" s="5" t="s">
        <v>260</v>
      </c>
      <c r="CV3545" s="5" t="s">
        <v>240</v>
      </c>
      <c r="CW3545" s="8">
        <f>0</f>
        <v>0</v>
      </c>
      <c r="CX3545" s="7">
        <f>0</f>
        <v>0</v>
      </c>
      <c r="CY3545" s="7">
        <f>0</f>
        <v>0</v>
      </c>
      <c r="DA3545" s="7">
        <f>8129</f>
        <v>8129</v>
      </c>
      <c r="DB3545" s="7" t="s">
        <v>240</v>
      </c>
      <c r="DC3545" s="5" t="s">
        <v>240</v>
      </c>
      <c r="DD3545" s="5" t="s">
        <v>240</v>
      </c>
      <c r="DE3545" s="5" t="s">
        <v>240</v>
      </c>
      <c r="DF3545" s="5" t="s">
        <v>450</v>
      </c>
      <c r="DG3545" s="7">
        <f>0</f>
        <v>0</v>
      </c>
      <c r="DI3545" s="5" t="s">
        <v>737</v>
      </c>
      <c r="DJ3545" s="5" t="s">
        <v>240</v>
      </c>
      <c r="DK3545" s="5" t="s">
        <v>240</v>
      </c>
      <c r="DL3545" s="5" t="s">
        <v>240</v>
      </c>
      <c r="DM3545" s="5" t="s">
        <v>240</v>
      </c>
      <c r="DN3545" s="5" t="s">
        <v>240</v>
      </c>
      <c r="DO3545" s="7" t="s">
        <v>240</v>
      </c>
      <c r="DP3545" s="5" t="s">
        <v>240</v>
      </c>
      <c r="DQ3545" s="5" t="s">
        <v>240</v>
      </c>
      <c r="DR3545" s="5" t="s">
        <v>731</v>
      </c>
      <c r="DS3545" s="5" t="s">
        <v>731</v>
      </c>
      <c r="DT3545" s="5" t="s">
        <v>240</v>
      </c>
      <c r="DU3545" s="5" t="s">
        <v>240</v>
      </c>
      <c r="DV3545" s="5" t="s">
        <v>738</v>
      </c>
      <c r="DW3545" s="5" t="s">
        <v>709</v>
      </c>
      <c r="DX3545" s="5" t="s">
        <v>240</v>
      </c>
      <c r="DY3545" s="5" t="s">
        <v>240</v>
      </c>
      <c r="DZ3545" s="5" t="s">
        <v>240</v>
      </c>
      <c r="EA3545" s="5" t="s">
        <v>240</v>
      </c>
      <c r="EB3545" s="5" t="s">
        <v>240</v>
      </c>
      <c r="EC3545" s="5" t="s">
        <v>240</v>
      </c>
      <c r="ED3545" s="5" t="s">
        <v>240</v>
      </c>
      <c r="EE3545" s="5" t="s">
        <v>240</v>
      </c>
      <c r="EF3545" s="5" t="s">
        <v>240</v>
      </c>
      <c r="EG3545" s="5" t="s">
        <v>240</v>
      </c>
      <c r="EH3545" s="5" t="s">
        <v>240</v>
      </c>
      <c r="EI3545" s="5" t="s">
        <v>240</v>
      </c>
      <c r="EJ3545" s="5" t="s">
        <v>240</v>
      </c>
      <c r="EK3545" s="5" t="s">
        <v>240</v>
      </c>
      <c r="EL3545" s="5" t="s">
        <v>240</v>
      </c>
      <c r="EM3545" s="5" t="s">
        <v>240</v>
      </c>
      <c r="EN3545" s="5" t="s">
        <v>240</v>
      </c>
      <c r="EO3545" s="5" t="s">
        <v>240</v>
      </c>
      <c r="EP3545" s="5" t="s">
        <v>240</v>
      </c>
      <c r="EQ3545" s="5" t="s">
        <v>240</v>
      </c>
      <c r="ER3545" s="5" t="s">
        <v>240</v>
      </c>
      <c r="ES3545" s="5" t="s">
        <v>240</v>
      </c>
      <c r="ET3545" s="5" t="s">
        <v>240</v>
      </c>
      <c r="EU3545" s="5" t="s">
        <v>240</v>
      </c>
      <c r="EV3545" s="5" t="s">
        <v>240</v>
      </c>
      <c r="EW3545" s="5" t="s">
        <v>240</v>
      </c>
      <c r="EX3545" s="5" t="s">
        <v>240</v>
      </c>
      <c r="EY3545" s="5" t="s">
        <v>240</v>
      </c>
      <c r="EZ3545" s="5" t="s">
        <v>240</v>
      </c>
      <c r="FA3545" s="5" t="s">
        <v>240</v>
      </c>
      <c r="FB3545" s="5" t="s">
        <v>240</v>
      </c>
      <c r="FC3545" s="5" t="s">
        <v>240</v>
      </c>
      <c r="FD3545" s="5" t="s">
        <v>240</v>
      </c>
      <c r="FE3545" s="5" t="s">
        <v>240</v>
      </c>
      <c r="FF3545" s="5" t="s">
        <v>240</v>
      </c>
      <c r="FG3545" s="5" t="s">
        <v>240</v>
      </c>
      <c r="FH3545" s="5" t="s">
        <v>240</v>
      </c>
      <c r="FI3545" s="5" t="s">
        <v>240</v>
      </c>
      <c r="FJ3545" s="5" t="s">
        <v>240</v>
      </c>
      <c r="FK3545" s="5" t="s">
        <v>240</v>
      </c>
      <c r="FL3545" s="5" t="s">
        <v>240</v>
      </c>
      <c r="FM3545" s="5" t="s">
        <v>240</v>
      </c>
      <c r="FN3545" s="5" t="s">
        <v>240</v>
      </c>
      <c r="FO3545" s="5" t="s">
        <v>240</v>
      </c>
      <c r="FP3545" s="5" t="s">
        <v>240</v>
      </c>
      <c r="FQ3545" s="5" t="s">
        <v>240</v>
      </c>
      <c r="FR3545" s="5" t="s">
        <v>240</v>
      </c>
      <c r="FS3545" s="5" t="s">
        <v>240</v>
      </c>
      <c r="FT3545" s="5" t="s">
        <v>240</v>
      </c>
      <c r="FU3545" s="5" t="s">
        <v>240</v>
      </c>
      <c r="FV3545" s="5" t="s">
        <v>240</v>
      </c>
      <c r="FW3545" s="5" t="s">
        <v>240</v>
      </c>
      <c r="FX3545" s="5" t="s">
        <v>240</v>
      </c>
      <c r="FY3545" s="5" t="s">
        <v>240</v>
      </c>
      <c r="FZ3545" s="5" t="s">
        <v>240</v>
      </c>
      <c r="GA3545" s="5" t="s">
        <v>240</v>
      </c>
      <c r="GB3545" s="5" t="s">
        <v>240</v>
      </c>
      <c r="GC3545" s="5" t="s">
        <v>240</v>
      </c>
      <c r="GD3545" s="5" t="s">
        <v>240</v>
      </c>
      <c r="GE3545" s="5" t="s">
        <v>240</v>
      </c>
      <c r="GF3545" s="5" t="s">
        <v>240</v>
      </c>
      <c r="GG3545" s="5" t="s">
        <v>240</v>
      </c>
      <c r="GH3545" s="5" t="s">
        <v>240</v>
      </c>
      <c r="GI3545" s="5" t="s">
        <v>240</v>
      </c>
      <c r="GJ3545" s="5" t="s">
        <v>240</v>
      </c>
      <c r="GK3545" s="5" t="s">
        <v>240</v>
      </c>
      <c r="GL3545" s="5" t="s">
        <v>240</v>
      </c>
      <c r="GM3545" s="5" t="s">
        <v>240</v>
      </c>
      <c r="GN3545" s="5" t="s">
        <v>240</v>
      </c>
      <c r="GO3545" s="5" t="s">
        <v>240</v>
      </c>
      <c r="GP3545" s="5" t="s">
        <v>240</v>
      </c>
      <c r="GQ3545" s="5" t="s">
        <v>240</v>
      </c>
      <c r="GR3545" s="5" t="s">
        <v>240</v>
      </c>
      <c r="GS3545" s="5" t="s">
        <v>240</v>
      </c>
      <c r="GT3545" s="5" t="s">
        <v>240</v>
      </c>
      <c r="GU3545" s="5" t="s">
        <v>240</v>
      </c>
      <c r="GV3545" s="5" t="s">
        <v>240</v>
      </c>
      <c r="GW3545" s="5" t="s">
        <v>240</v>
      </c>
      <c r="GX3545" s="5" t="s">
        <v>240</v>
      </c>
      <c r="GY3545" s="5" t="s">
        <v>240</v>
      </c>
      <c r="GZ3545" s="5" t="s">
        <v>240</v>
      </c>
      <c r="HA3545" s="5" t="s">
        <v>240</v>
      </c>
      <c r="HB3545" s="5" t="s">
        <v>240</v>
      </c>
      <c r="HC3545" s="5" t="s">
        <v>240</v>
      </c>
      <c r="HD3545" s="5" t="s">
        <v>240</v>
      </c>
      <c r="HE3545" s="5" t="s">
        <v>240</v>
      </c>
      <c r="HF3545" s="5" t="s">
        <v>240</v>
      </c>
      <c r="HG3545" s="5" t="s">
        <v>240</v>
      </c>
      <c r="HH3545" s="5" t="s">
        <v>240</v>
      </c>
      <c r="HI3545" s="5" t="s">
        <v>240</v>
      </c>
      <c r="HJ3545" s="5" t="s">
        <v>240</v>
      </c>
      <c r="HK3545" s="5" t="s">
        <v>240</v>
      </c>
      <c r="HL3545" s="5" t="s">
        <v>240</v>
      </c>
      <c r="HM3545" s="5" t="s">
        <v>240</v>
      </c>
      <c r="HN3545" s="5" t="s">
        <v>240</v>
      </c>
      <c r="HO3545" s="5" t="s">
        <v>312</v>
      </c>
      <c r="HP3545" s="5" t="s">
        <v>240</v>
      </c>
      <c r="HQ3545" s="5" t="s">
        <v>240</v>
      </c>
      <c r="HR3545" s="5" t="s">
        <v>240</v>
      </c>
      <c r="HS3545" s="5" t="s">
        <v>240</v>
      </c>
      <c r="HT3545" s="5" t="s">
        <v>240</v>
      </c>
      <c r="HU3545" s="5" t="s">
        <v>240</v>
      </c>
      <c r="HV3545" s="5" t="s">
        <v>240</v>
      </c>
      <c r="HW3545" s="5" t="s">
        <v>240</v>
      </c>
      <c r="HX3545" s="5" t="s">
        <v>240</v>
      </c>
      <c r="HY3545" s="5" t="s">
        <v>240</v>
      </c>
      <c r="HZ3545" s="5" t="s">
        <v>240</v>
      </c>
      <c r="IA3545" s="5" t="s">
        <v>240</v>
      </c>
      <c r="IB3545" s="5" t="s">
        <v>240</v>
      </c>
      <c r="IC3545" s="5" t="s">
        <v>240</v>
      </c>
      <c r="ID3545" s="5" t="s">
        <v>240</v>
      </c>
      <c r="IE3545" s="5" t="s">
        <v>240</v>
      </c>
      <c r="IF3545" s="5" t="s">
        <v>240</v>
      </c>
    </row>
    <row r="3546" spans="1:240" x14ac:dyDescent="0.4">
      <c r="A3546" s="5">
        <v>9088</v>
      </c>
      <c r="B3546" s="5">
        <v>1</v>
      </c>
      <c r="C3546" s="5">
        <v>1</v>
      </c>
      <c r="D3546" s="5" t="s">
        <v>723</v>
      </c>
      <c r="E3546" s="5" t="s">
        <v>725</v>
      </c>
      <c r="F3546" s="5" t="s">
        <v>254</v>
      </c>
      <c r="G3546" s="5" t="s">
        <v>5840</v>
      </c>
      <c r="H3546" s="6" t="s">
        <v>5841</v>
      </c>
      <c r="I3546" s="5" t="s">
        <v>5839</v>
      </c>
      <c r="J3546" s="7">
        <f>1</f>
        <v>1</v>
      </c>
      <c r="K3546" s="5" t="s">
        <v>3682</v>
      </c>
      <c r="L3546" s="7">
        <f>1</f>
        <v>1</v>
      </c>
      <c r="M3546" s="7">
        <f>1</f>
        <v>1</v>
      </c>
      <c r="N3546" s="5" t="s">
        <v>242</v>
      </c>
      <c r="O3546" s="5">
        <v>1</v>
      </c>
      <c r="P3546" s="5" t="s">
        <v>294</v>
      </c>
      <c r="Q3546" s="5" t="s">
        <v>613</v>
      </c>
      <c r="R3546" s="5" t="s">
        <v>240</v>
      </c>
      <c r="S3546" s="5" t="s">
        <v>240</v>
      </c>
      <c r="T3546" s="5" t="s">
        <v>243</v>
      </c>
      <c r="U3546" s="5" t="s">
        <v>724</v>
      </c>
      <c r="V3546" s="5" t="s">
        <v>240</v>
      </c>
      <c r="W3546" s="5" t="s">
        <v>240</v>
      </c>
      <c r="X3546" s="5" t="s">
        <v>240</v>
      </c>
      <c r="Y3546" s="5" t="s">
        <v>240</v>
      </c>
      <c r="Z3546" s="6" t="s">
        <v>298</v>
      </c>
      <c r="AA3546" s="6" t="s">
        <v>240</v>
      </c>
      <c r="AB3546" s="6" t="s">
        <v>240</v>
      </c>
      <c r="AC3546" s="5" t="s">
        <v>240</v>
      </c>
      <c r="AD3546" s="6" t="s">
        <v>240</v>
      </c>
      <c r="AE3546" s="6" t="s">
        <v>299</v>
      </c>
      <c r="AF3546" s="5" t="s">
        <v>727</v>
      </c>
      <c r="AG3546" s="5" t="s">
        <v>260</v>
      </c>
      <c r="AH3546" s="5" t="s">
        <v>240</v>
      </c>
      <c r="AI3546" s="5" t="s">
        <v>240</v>
      </c>
      <c r="AJ3546" s="5" t="s">
        <v>240</v>
      </c>
      <c r="AK3546" s="5" t="s">
        <v>240</v>
      </c>
      <c r="AL3546" s="5" t="s">
        <v>240</v>
      </c>
      <c r="AM3546" s="5" t="s">
        <v>240</v>
      </c>
      <c r="AN3546" s="5" t="s">
        <v>240</v>
      </c>
      <c r="AO3546" s="5" t="s">
        <v>240</v>
      </c>
      <c r="AP3546" s="6" t="s">
        <v>240</v>
      </c>
      <c r="AQ3546" s="6" t="s">
        <v>240</v>
      </c>
      <c r="AR3546" s="6" t="s">
        <v>240</v>
      </c>
      <c r="AS3546" s="6" t="s">
        <v>240</v>
      </c>
      <c r="AT3546" s="5" t="s">
        <v>240</v>
      </c>
      <c r="AU3546" s="5" t="s">
        <v>729</v>
      </c>
      <c r="AV3546" s="5" t="s">
        <v>729</v>
      </c>
      <c r="AW3546" s="5" t="s">
        <v>251</v>
      </c>
      <c r="AX3546" s="5" t="s">
        <v>252</v>
      </c>
      <c r="AY3546" s="5" t="s">
        <v>253</v>
      </c>
      <c r="AZ3546" s="5" t="s">
        <v>240</v>
      </c>
      <c r="BA3546" s="5" t="s">
        <v>255</v>
      </c>
      <c r="BB3546" s="5" t="s">
        <v>731</v>
      </c>
      <c r="BD3546" s="5" t="s">
        <v>240</v>
      </c>
      <c r="BF3546" s="5" t="s">
        <v>732</v>
      </c>
      <c r="BG3546" s="6" t="s">
        <v>733</v>
      </c>
      <c r="BH3546" s="5" t="s">
        <v>734</v>
      </c>
      <c r="BI3546" s="5" t="s">
        <v>734</v>
      </c>
      <c r="BJ3546" s="5" t="s">
        <v>240</v>
      </c>
      <c r="BK3546" s="8">
        <f>749</f>
        <v>749</v>
      </c>
      <c r="BL3546" s="7">
        <f>0</f>
        <v>0</v>
      </c>
      <c r="BM3546" s="5" t="s">
        <v>258</v>
      </c>
      <c r="BN3546" s="5" t="s">
        <v>259</v>
      </c>
      <c r="BO3546" s="5" t="s">
        <v>240</v>
      </c>
      <c r="BP3546" s="5" t="s">
        <v>240</v>
      </c>
      <c r="BQ3546" s="5" t="s">
        <v>240</v>
      </c>
      <c r="BR3546" s="5" t="s">
        <v>240</v>
      </c>
      <c r="BS3546" s="5" t="s">
        <v>240</v>
      </c>
      <c r="BT3546" s="5" t="s">
        <v>240</v>
      </c>
      <c r="BU3546" s="5" t="s">
        <v>240</v>
      </c>
      <c r="BV3546" s="5" t="s">
        <v>240</v>
      </c>
      <c r="BW3546" s="6" t="s">
        <v>240</v>
      </c>
      <c r="BX3546" s="5" t="s">
        <v>240</v>
      </c>
      <c r="BY3546" s="5" t="s">
        <v>240</v>
      </c>
      <c r="BZ3546" s="5" t="s">
        <v>240</v>
      </c>
      <c r="CA3546" s="5" t="s">
        <v>259</v>
      </c>
      <c r="CB3546" s="5" t="s">
        <v>240</v>
      </c>
      <c r="CC3546" s="5" t="s">
        <v>240</v>
      </c>
      <c r="CD3546" s="5" t="s">
        <v>240</v>
      </c>
      <c r="CE3546" s="5" t="s">
        <v>240</v>
      </c>
      <c r="CF3546" s="5" t="s">
        <v>240</v>
      </c>
      <c r="CG3546" s="5" t="s">
        <v>617</v>
      </c>
      <c r="CH3546" s="5" t="s">
        <v>305</v>
      </c>
      <c r="CI3546" s="5" t="s">
        <v>240</v>
      </c>
      <c r="CL3546" s="6" t="s">
        <v>261</v>
      </c>
      <c r="CM3546" s="5" t="s">
        <v>262</v>
      </c>
      <c r="CN3546" s="5" t="s">
        <v>263</v>
      </c>
      <c r="CO3546" s="5" t="s">
        <v>264</v>
      </c>
      <c r="CP3546" s="5" t="s">
        <v>240</v>
      </c>
      <c r="CQ3546" s="5">
        <v>0</v>
      </c>
      <c r="CR3546" s="5" t="s">
        <v>735</v>
      </c>
      <c r="CS3546" s="5" t="s">
        <v>307</v>
      </c>
      <c r="CT3546" s="5" t="s">
        <v>307</v>
      </c>
      <c r="CU3546" s="5" t="s">
        <v>260</v>
      </c>
      <c r="CV3546" s="5" t="s">
        <v>240</v>
      </c>
      <c r="CW3546" s="8">
        <f>0</f>
        <v>0</v>
      </c>
      <c r="CX3546" s="7">
        <f>0</f>
        <v>0</v>
      </c>
      <c r="CY3546" s="7">
        <f>0</f>
        <v>0</v>
      </c>
      <c r="DA3546" s="7">
        <f>8239</f>
        <v>8239</v>
      </c>
      <c r="DB3546" s="7" t="s">
        <v>240</v>
      </c>
      <c r="DC3546" s="5" t="s">
        <v>240</v>
      </c>
      <c r="DD3546" s="5" t="s">
        <v>240</v>
      </c>
      <c r="DE3546" s="5" t="s">
        <v>240</v>
      </c>
      <c r="DF3546" s="5" t="s">
        <v>450</v>
      </c>
      <c r="DG3546" s="7">
        <f>0</f>
        <v>0</v>
      </c>
      <c r="DI3546" s="5" t="s">
        <v>737</v>
      </c>
      <c r="DJ3546" s="5" t="s">
        <v>240</v>
      </c>
      <c r="DK3546" s="5" t="s">
        <v>240</v>
      </c>
      <c r="DL3546" s="5" t="s">
        <v>240</v>
      </c>
      <c r="DM3546" s="5" t="s">
        <v>240</v>
      </c>
      <c r="DN3546" s="5" t="s">
        <v>240</v>
      </c>
      <c r="DO3546" s="7" t="s">
        <v>240</v>
      </c>
      <c r="DP3546" s="5" t="s">
        <v>240</v>
      </c>
      <c r="DQ3546" s="5" t="s">
        <v>240</v>
      </c>
      <c r="DR3546" s="5" t="s">
        <v>731</v>
      </c>
      <c r="DS3546" s="5" t="s">
        <v>731</v>
      </c>
      <c r="DT3546" s="5" t="s">
        <v>240</v>
      </c>
      <c r="DU3546" s="5" t="s">
        <v>240</v>
      </c>
      <c r="DV3546" s="5" t="s">
        <v>738</v>
      </c>
      <c r="DW3546" s="5" t="s">
        <v>707</v>
      </c>
      <c r="DX3546" s="5" t="s">
        <v>240</v>
      </c>
      <c r="DY3546" s="5" t="s">
        <v>240</v>
      </c>
      <c r="DZ3546" s="5" t="s">
        <v>240</v>
      </c>
      <c r="EA3546" s="5" t="s">
        <v>240</v>
      </c>
      <c r="EB3546" s="5" t="s">
        <v>240</v>
      </c>
      <c r="EC3546" s="5" t="s">
        <v>240</v>
      </c>
      <c r="ED3546" s="5" t="s">
        <v>240</v>
      </c>
      <c r="EE3546" s="5" t="s">
        <v>240</v>
      </c>
      <c r="EF3546" s="5" t="s">
        <v>240</v>
      </c>
      <c r="EG3546" s="5" t="s">
        <v>240</v>
      </c>
      <c r="EH3546" s="5" t="s">
        <v>240</v>
      </c>
      <c r="EI3546" s="5" t="s">
        <v>240</v>
      </c>
      <c r="EJ3546" s="5" t="s">
        <v>240</v>
      </c>
      <c r="EK3546" s="5" t="s">
        <v>240</v>
      </c>
      <c r="EL3546" s="5" t="s">
        <v>240</v>
      </c>
      <c r="EM3546" s="5" t="s">
        <v>240</v>
      </c>
      <c r="EN3546" s="5" t="s">
        <v>240</v>
      </c>
      <c r="EO3546" s="5" t="s">
        <v>240</v>
      </c>
      <c r="EP3546" s="5" t="s">
        <v>240</v>
      </c>
      <c r="EQ3546" s="5" t="s">
        <v>240</v>
      </c>
      <c r="ER3546" s="5" t="s">
        <v>240</v>
      </c>
      <c r="ES3546" s="5" t="s">
        <v>240</v>
      </c>
      <c r="ET3546" s="5" t="s">
        <v>240</v>
      </c>
      <c r="EU3546" s="5" t="s">
        <v>240</v>
      </c>
      <c r="EV3546" s="5" t="s">
        <v>240</v>
      </c>
      <c r="EW3546" s="5" t="s">
        <v>240</v>
      </c>
      <c r="EX3546" s="5" t="s">
        <v>240</v>
      </c>
      <c r="EY3546" s="5" t="s">
        <v>240</v>
      </c>
      <c r="EZ3546" s="5" t="s">
        <v>240</v>
      </c>
      <c r="FA3546" s="5" t="s">
        <v>240</v>
      </c>
      <c r="FB3546" s="5" t="s">
        <v>240</v>
      </c>
      <c r="FC3546" s="5" t="s">
        <v>240</v>
      </c>
      <c r="FD3546" s="5" t="s">
        <v>240</v>
      </c>
      <c r="FE3546" s="5" t="s">
        <v>240</v>
      </c>
      <c r="FF3546" s="5" t="s">
        <v>240</v>
      </c>
      <c r="FG3546" s="5" t="s">
        <v>240</v>
      </c>
      <c r="FH3546" s="5" t="s">
        <v>240</v>
      </c>
      <c r="FI3546" s="5" t="s">
        <v>240</v>
      </c>
      <c r="FJ3546" s="5" t="s">
        <v>240</v>
      </c>
      <c r="FK3546" s="5" t="s">
        <v>240</v>
      </c>
      <c r="FL3546" s="5" t="s">
        <v>240</v>
      </c>
      <c r="FM3546" s="5" t="s">
        <v>240</v>
      </c>
      <c r="FN3546" s="5" t="s">
        <v>240</v>
      </c>
      <c r="FO3546" s="5" t="s">
        <v>240</v>
      </c>
      <c r="FP3546" s="5" t="s">
        <v>240</v>
      </c>
      <c r="FQ3546" s="5" t="s">
        <v>240</v>
      </c>
      <c r="FR3546" s="5" t="s">
        <v>240</v>
      </c>
      <c r="FS3546" s="5" t="s">
        <v>240</v>
      </c>
      <c r="FT3546" s="5" t="s">
        <v>240</v>
      </c>
      <c r="FU3546" s="5" t="s">
        <v>240</v>
      </c>
      <c r="FV3546" s="5" t="s">
        <v>240</v>
      </c>
      <c r="FW3546" s="5" t="s">
        <v>240</v>
      </c>
      <c r="FX3546" s="5" t="s">
        <v>240</v>
      </c>
      <c r="FY3546" s="5" t="s">
        <v>240</v>
      </c>
      <c r="FZ3546" s="5" t="s">
        <v>240</v>
      </c>
      <c r="GA3546" s="5" t="s">
        <v>240</v>
      </c>
      <c r="GB3546" s="5" t="s">
        <v>240</v>
      </c>
      <c r="GC3546" s="5" t="s">
        <v>240</v>
      </c>
      <c r="GD3546" s="5" t="s">
        <v>240</v>
      </c>
      <c r="GE3546" s="5" t="s">
        <v>240</v>
      </c>
      <c r="GF3546" s="5" t="s">
        <v>240</v>
      </c>
      <c r="GG3546" s="5" t="s">
        <v>240</v>
      </c>
      <c r="GH3546" s="5" t="s">
        <v>240</v>
      </c>
      <c r="GI3546" s="5" t="s">
        <v>240</v>
      </c>
      <c r="GJ3546" s="5" t="s">
        <v>240</v>
      </c>
      <c r="GK3546" s="5" t="s">
        <v>240</v>
      </c>
      <c r="GL3546" s="5" t="s">
        <v>240</v>
      </c>
      <c r="GM3546" s="5" t="s">
        <v>240</v>
      </c>
      <c r="GN3546" s="5" t="s">
        <v>240</v>
      </c>
      <c r="GO3546" s="5" t="s">
        <v>240</v>
      </c>
      <c r="GP3546" s="5" t="s">
        <v>240</v>
      </c>
      <c r="GQ3546" s="5" t="s">
        <v>240</v>
      </c>
      <c r="GR3546" s="5" t="s">
        <v>240</v>
      </c>
      <c r="GS3546" s="5" t="s">
        <v>240</v>
      </c>
      <c r="GT3546" s="5" t="s">
        <v>240</v>
      </c>
      <c r="GU3546" s="5" t="s">
        <v>240</v>
      </c>
      <c r="GV3546" s="5" t="s">
        <v>240</v>
      </c>
      <c r="GW3546" s="5" t="s">
        <v>240</v>
      </c>
      <c r="GX3546" s="5" t="s">
        <v>240</v>
      </c>
      <c r="GY3546" s="5" t="s">
        <v>240</v>
      </c>
      <c r="GZ3546" s="5" t="s">
        <v>240</v>
      </c>
      <c r="HA3546" s="5" t="s">
        <v>240</v>
      </c>
      <c r="HB3546" s="5" t="s">
        <v>240</v>
      </c>
      <c r="HC3546" s="5" t="s">
        <v>240</v>
      </c>
      <c r="HD3546" s="5" t="s">
        <v>240</v>
      </c>
      <c r="HE3546" s="5" t="s">
        <v>240</v>
      </c>
      <c r="HF3546" s="5" t="s">
        <v>240</v>
      </c>
      <c r="HG3546" s="5" t="s">
        <v>240</v>
      </c>
      <c r="HH3546" s="5" t="s">
        <v>240</v>
      </c>
      <c r="HI3546" s="5" t="s">
        <v>240</v>
      </c>
      <c r="HJ3546" s="5" t="s">
        <v>240</v>
      </c>
      <c r="HK3546" s="5" t="s">
        <v>240</v>
      </c>
      <c r="HL3546" s="5" t="s">
        <v>240</v>
      </c>
      <c r="HM3546" s="5" t="s">
        <v>240</v>
      </c>
      <c r="HN3546" s="5" t="s">
        <v>240</v>
      </c>
      <c r="HO3546" s="5" t="s">
        <v>312</v>
      </c>
      <c r="HP3546" s="5" t="s">
        <v>240</v>
      </c>
      <c r="HQ3546" s="5" t="s">
        <v>240</v>
      </c>
      <c r="HR3546" s="5" t="s">
        <v>240</v>
      </c>
      <c r="HS3546" s="5" t="s">
        <v>240</v>
      </c>
      <c r="HT3546" s="5" t="s">
        <v>240</v>
      </c>
      <c r="HU3546" s="5" t="s">
        <v>240</v>
      </c>
      <c r="HV3546" s="5" t="s">
        <v>240</v>
      </c>
      <c r="HW3546" s="5" t="s">
        <v>240</v>
      </c>
      <c r="HX3546" s="5" t="s">
        <v>240</v>
      </c>
      <c r="HY3546" s="5" t="s">
        <v>240</v>
      </c>
      <c r="HZ3546" s="5" t="s">
        <v>240</v>
      </c>
      <c r="IA3546" s="5" t="s">
        <v>240</v>
      </c>
      <c r="IB3546" s="5" t="s">
        <v>240</v>
      </c>
      <c r="IC3546" s="5" t="s">
        <v>240</v>
      </c>
      <c r="ID3546" s="5" t="s">
        <v>240</v>
      </c>
      <c r="IE3546" s="5" t="s">
        <v>240</v>
      </c>
      <c r="IF3546" s="5" t="s">
        <v>240</v>
      </c>
    </row>
    <row r="3547" spans="1:240" x14ac:dyDescent="0.4">
      <c r="A3547" s="5">
        <v>9089</v>
      </c>
      <c r="B3547" s="5">
        <v>1</v>
      </c>
      <c r="C3547" s="5">
        <v>1</v>
      </c>
      <c r="D3547" s="5" t="s">
        <v>723</v>
      </c>
      <c r="E3547" s="5" t="s">
        <v>725</v>
      </c>
      <c r="F3547" s="5" t="s">
        <v>254</v>
      </c>
      <c r="G3547" s="5" t="s">
        <v>726</v>
      </c>
      <c r="H3547" s="6" t="s">
        <v>5838</v>
      </c>
      <c r="I3547" s="5" t="s">
        <v>5837</v>
      </c>
      <c r="J3547" s="7">
        <f>1</f>
        <v>1</v>
      </c>
      <c r="K3547" s="5" t="s">
        <v>3682</v>
      </c>
      <c r="L3547" s="7">
        <f>1</f>
        <v>1</v>
      </c>
      <c r="M3547" s="7">
        <f>1</f>
        <v>1</v>
      </c>
      <c r="N3547" s="5" t="s">
        <v>242</v>
      </c>
      <c r="O3547" s="5">
        <v>1</v>
      </c>
      <c r="P3547" s="5" t="s">
        <v>294</v>
      </c>
      <c r="Q3547" s="5" t="s">
        <v>613</v>
      </c>
      <c r="R3547" s="5" t="s">
        <v>240</v>
      </c>
      <c r="S3547" s="5" t="s">
        <v>240</v>
      </c>
      <c r="T3547" s="5" t="s">
        <v>243</v>
      </c>
      <c r="U3547" s="5" t="s">
        <v>724</v>
      </c>
      <c r="V3547" s="5" t="s">
        <v>240</v>
      </c>
      <c r="W3547" s="5" t="s">
        <v>240</v>
      </c>
      <c r="X3547" s="5" t="s">
        <v>240</v>
      </c>
      <c r="Y3547" s="5" t="s">
        <v>240</v>
      </c>
      <c r="Z3547" s="6" t="s">
        <v>298</v>
      </c>
      <c r="AA3547" s="6" t="s">
        <v>240</v>
      </c>
      <c r="AB3547" s="6" t="s">
        <v>240</v>
      </c>
      <c r="AC3547" s="5" t="s">
        <v>240</v>
      </c>
      <c r="AD3547" s="6" t="s">
        <v>240</v>
      </c>
      <c r="AE3547" s="6" t="s">
        <v>299</v>
      </c>
      <c r="AF3547" s="5" t="s">
        <v>727</v>
      </c>
      <c r="AG3547" s="5" t="s">
        <v>260</v>
      </c>
      <c r="AH3547" s="5" t="s">
        <v>240</v>
      </c>
      <c r="AI3547" s="5" t="s">
        <v>240</v>
      </c>
      <c r="AJ3547" s="5" t="s">
        <v>240</v>
      </c>
      <c r="AK3547" s="5" t="s">
        <v>240</v>
      </c>
      <c r="AL3547" s="5" t="s">
        <v>240</v>
      </c>
      <c r="AM3547" s="5" t="s">
        <v>240</v>
      </c>
      <c r="AN3547" s="5" t="s">
        <v>240</v>
      </c>
      <c r="AO3547" s="5" t="s">
        <v>240</v>
      </c>
      <c r="AP3547" s="6" t="s">
        <v>240</v>
      </c>
      <c r="AQ3547" s="6" t="s">
        <v>240</v>
      </c>
      <c r="AR3547" s="6" t="s">
        <v>240</v>
      </c>
      <c r="AS3547" s="6" t="s">
        <v>240</v>
      </c>
      <c r="AT3547" s="5" t="s">
        <v>240</v>
      </c>
      <c r="AU3547" s="5" t="s">
        <v>729</v>
      </c>
      <c r="AV3547" s="5" t="s">
        <v>729</v>
      </c>
      <c r="AW3547" s="5" t="s">
        <v>251</v>
      </c>
      <c r="AX3547" s="5" t="s">
        <v>252</v>
      </c>
      <c r="AY3547" s="5" t="s">
        <v>253</v>
      </c>
      <c r="AZ3547" s="5" t="s">
        <v>240</v>
      </c>
      <c r="BA3547" s="5" t="s">
        <v>255</v>
      </c>
      <c r="BB3547" s="5" t="s">
        <v>731</v>
      </c>
      <c r="BD3547" s="5" t="s">
        <v>240</v>
      </c>
      <c r="BF3547" s="5" t="s">
        <v>732</v>
      </c>
      <c r="BG3547" s="6" t="s">
        <v>733</v>
      </c>
      <c r="BH3547" s="5" t="s">
        <v>734</v>
      </c>
      <c r="BI3547" s="5" t="s">
        <v>734</v>
      </c>
      <c r="BJ3547" s="5" t="s">
        <v>240</v>
      </c>
      <c r="BK3547" s="8">
        <f>49.58</f>
        <v>49.58</v>
      </c>
      <c r="BL3547" s="7">
        <f>0</f>
        <v>0</v>
      </c>
      <c r="BM3547" s="5" t="s">
        <v>258</v>
      </c>
      <c r="BN3547" s="5" t="s">
        <v>259</v>
      </c>
      <c r="BO3547" s="5" t="s">
        <v>240</v>
      </c>
      <c r="BP3547" s="5" t="s">
        <v>240</v>
      </c>
      <c r="BQ3547" s="5" t="s">
        <v>240</v>
      </c>
      <c r="BR3547" s="5" t="s">
        <v>240</v>
      </c>
      <c r="BS3547" s="5" t="s">
        <v>240</v>
      </c>
      <c r="BT3547" s="5" t="s">
        <v>240</v>
      </c>
      <c r="BU3547" s="5" t="s">
        <v>240</v>
      </c>
      <c r="BV3547" s="5" t="s">
        <v>240</v>
      </c>
      <c r="BW3547" s="6" t="s">
        <v>240</v>
      </c>
      <c r="BX3547" s="5" t="s">
        <v>240</v>
      </c>
      <c r="BY3547" s="5" t="s">
        <v>240</v>
      </c>
      <c r="BZ3547" s="5" t="s">
        <v>240</v>
      </c>
      <c r="CA3547" s="5" t="s">
        <v>259</v>
      </c>
      <c r="CB3547" s="5" t="s">
        <v>240</v>
      </c>
      <c r="CC3547" s="5" t="s">
        <v>240</v>
      </c>
      <c r="CD3547" s="5" t="s">
        <v>240</v>
      </c>
      <c r="CE3547" s="5" t="s">
        <v>240</v>
      </c>
      <c r="CF3547" s="5" t="s">
        <v>240</v>
      </c>
      <c r="CG3547" s="5" t="s">
        <v>617</v>
      </c>
      <c r="CH3547" s="5" t="s">
        <v>305</v>
      </c>
      <c r="CI3547" s="5" t="s">
        <v>240</v>
      </c>
      <c r="CL3547" s="6" t="s">
        <v>261</v>
      </c>
      <c r="CM3547" s="5" t="s">
        <v>262</v>
      </c>
      <c r="CN3547" s="5" t="s">
        <v>263</v>
      </c>
      <c r="CO3547" s="5" t="s">
        <v>264</v>
      </c>
      <c r="CP3547" s="5" t="s">
        <v>240</v>
      </c>
      <c r="CQ3547" s="5">
        <v>0</v>
      </c>
      <c r="CR3547" s="5" t="s">
        <v>735</v>
      </c>
      <c r="CS3547" s="5" t="s">
        <v>307</v>
      </c>
      <c r="CT3547" s="5" t="s">
        <v>307</v>
      </c>
      <c r="CU3547" s="5" t="s">
        <v>260</v>
      </c>
      <c r="CV3547" s="5" t="s">
        <v>240</v>
      </c>
      <c r="CW3547" s="8">
        <f>0</f>
        <v>0</v>
      </c>
      <c r="CX3547" s="7">
        <f>0</f>
        <v>0</v>
      </c>
      <c r="CY3547" s="7">
        <f>0</f>
        <v>0</v>
      </c>
      <c r="DA3547" s="7">
        <f>545</f>
        <v>545</v>
      </c>
      <c r="DB3547" s="7" t="s">
        <v>240</v>
      </c>
      <c r="DC3547" s="5" t="s">
        <v>240</v>
      </c>
      <c r="DD3547" s="5" t="s">
        <v>240</v>
      </c>
      <c r="DE3547" s="5" t="s">
        <v>240</v>
      </c>
      <c r="DF3547" s="5" t="s">
        <v>450</v>
      </c>
      <c r="DG3547" s="7">
        <f>0</f>
        <v>0</v>
      </c>
      <c r="DI3547" s="5" t="s">
        <v>737</v>
      </c>
      <c r="DJ3547" s="5" t="s">
        <v>240</v>
      </c>
      <c r="DK3547" s="5" t="s">
        <v>240</v>
      </c>
      <c r="DL3547" s="5" t="s">
        <v>240</v>
      </c>
      <c r="DM3547" s="5" t="s">
        <v>240</v>
      </c>
      <c r="DN3547" s="5" t="s">
        <v>240</v>
      </c>
      <c r="DO3547" s="7" t="s">
        <v>240</v>
      </c>
      <c r="DP3547" s="5" t="s">
        <v>240</v>
      </c>
      <c r="DQ3547" s="5" t="s">
        <v>240</v>
      </c>
      <c r="DR3547" s="5" t="s">
        <v>731</v>
      </c>
      <c r="DS3547" s="5" t="s">
        <v>731</v>
      </c>
      <c r="DT3547" s="5" t="s">
        <v>240</v>
      </c>
      <c r="DU3547" s="5" t="s">
        <v>240</v>
      </c>
      <c r="DV3547" s="5" t="s">
        <v>738</v>
      </c>
      <c r="DW3547" s="5" t="s">
        <v>664</v>
      </c>
      <c r="DX3547" s="5" t="s">
        <v>240</v>
      </c>
      <c r="DY3547" s="5" t="s">
        <v>240</v>
      </c>
      <c r="DZ3547" s="5" t="s">
        <v>240</v>
      </c>
      <c r="EA3547" s="5" t="s">
        <v>240</v>
      </c>
      <c r="EB3547" s="5" t="s">
        <v>240</v>
      </c>
      <c r="EC3547" s="5" t="s">
        <v>240</v>
      </c>
      <c r="ED3547" s="5" t="s">
        <v>240</v>
      </c>
      <c r="EE3547" s="5" t="s">
        <v>240</v>
      </c>
      <c r="EF3547" s="5" t="s">
        <v>240</v>
      </c>
      <c r="EG3547" s="5" t="s">
        <v>240</v>
      </c>
      <c r="EH3547" s="5" t="s">
        <v>240</v>
      </c>
      <c r="EI3547" s="5" t="s">
        <v>240</v>
      </c>
      <c r="EJ3547" s="5" t="s">
        <v>240</v>
      </c>
      <c r="EK3547" s="5" t="s">
        <v>240</v>
      </c>
      <c r="EL3547" s="5" t="s">
        <v>240</v>
      </c>
      <c r="EM3547" s="5" t="s">
        <v>240</v>
      </c>
      <c r="EN3547" s="5" t="s">
        <v>240</v>
      </c>
      <c r="EO3547" s="5" t="s">
        <v>240</v>
      </c>
      <c r="EP3547" s="5" t="s">
        <v>240</v>
      </c>
      <c r="EQ3547" s="5" t="s">
        <v>240</v>
      </c>
      <c r="ER3547" s="5" t="s">
        <v>240</v>
      </c>
      <c r="ES3547" s="5" t="s">
        <v>240</v>
      </c>
      <c r="ET3547" s="5" t="s">
        <v>240</v>
      </c>
      <c r="EU3547" s="5" t="s">
        <v>240</v>
      </c>
      <c r="EV3547" s="5" t="s">
        <v>240</v>
      </c>
      <c r="EW3547" s="5" t="s">
        <v>240</v>
      </c>
      <c r="EX3547" s="5" t="s">
        <v>240</v>
      </c>
      <c r="EY3547" s="5" t="s">
        <v>240</v>
      </c>
      <c r="EZ3547" s="5" t="s">
        <v>240</v>
      </c>
      <c r="FA3547" s="5" t="s">
        <v>240</v>
      </c>
      <c r="FB3547" s="5" t="s">
        <v>240</v>
      </c>
      <c r="FC3547" s="5" t="s">
        <v>240</v>
      </c>
      <c r="FD3547" s="5" t="s">
        <v>240</v>
      </c>
      <c r="FE3547" s="5" t="s">
        <v>240</v>
      </c>
      <c r="FF3547" s="5" t="s">
        <v>240</v>
      </c>
      <c r="FG3547" s="5" t="s">
        <v>240</v>
      </c>
      <c r="FH3547" s="5" t="s">
        <v>240</v>
      </c>
      <c r="FI3547" s="5" t="s">
        <v>240</v>
      </c>
      <c r="FJ3547" s="5" t="s">
        <v>240</v>
      </c>
      <c r="FK3547" s="5" t="s">
        <v>240</v>
      </c>
      <c r="FL3547" s="5" t="s">
        <v>240</v>
      </c>
      <c r="FM3547" s="5" t="s">
        <v>240</v>
      </c>
      <c r="FN3547" s="5" t="s">
        <v>240</v>
      </c>
      <c r="FO3547" s="5" t="s">
        <v>240</v>
      </c>
      <c r="FP3547" s="5" t="s">
        <v>240</v>
      </c>
      <c r="FQ3547" s="5" t="s">
        <v>240</v>
      </c>
      <c r="FR3547" s="5" t="s">
        <v>240</v>
      </c>
      <c r="FS3547" s="5" t="s">
        <v>240</v>
      </c>
      <c r="FT3547" s="5" t="s">
        <v>240</v>
      </c>
      <c r="FU3547" s="5" t="s">
        <v>240</v>
      </c>
      <c r="FV3547" s="5" t="s">
        <v>240</v>
      </c>
      <c r="FW3547" s="5" t="s">
        <v>240</v>
      </c>
      <c r="FX3547" s="5" t="s">
        <v>240</v>
      </c>
      <c r="FY3547" s="5" t="s">
        <v>240</v>
      </c>
      <c r="FZ3547" s="5" t="s">
        <v>240</v>
      </c>
      <c r="GA3547" s="5" t="s">
        <v>240</v>
      </c>
      <c r="GB3547" s="5" t="s">
        <v>240</v>
      </c>
      <c r="GC3547" s="5" t="s">
        <v>240</v>
      </c>
      <c r="GD3547" s="5" t="s">
        <v>240</v>
      </c>
      <c r="GE3547" s="5" t="s">
        <v>240</v>
      </c>
      <c r="GF3547" s="5" t="s">
        <v>240</v>
      </c>
      <c r="GG3547" s="5" t="s">
        <v>240</v>
      </c>
      <c r="GH3547" s="5" t="s">
        <v>240</v>
      </c>
      <c r="GI3547" s="5" t="s">
        <v>240</v>
      </c>
      <c r="GJ3547" s="5" t="s">
        <v>240</v>
      </c>
      <c r="GK3547" s="5" t="s">
        <v>240</v>
      </c>
      <c r="GL3547" s="5" t="s">
        <v>240</v>
      </c>
      <c r="GM3547" s="5" t="s">
        <v>240</v>
      </c>
      <c r="GN3547" s="5" t="s">
        <v>240</v>
      </c>
      <c r="GO3547" s="5" t="s">
        <v>240</v>
      </c>
      <c r="GP3547" s="5" t="s">
        <v>240</v>
      </c>
      <c r="GQ3547" s="5" t="s">
        <v>240</v>
      </c>
      <c r="GR3547" s="5" t="s">
        <v>240</v>
      </c>
      <c r="GS3547" s="5" t="s">
        <v>240</v>
      </c>
      <c r="GT3547" s="5" t="s">
        <v>240</v>
      </c>
      <c r="GU3547" s="5" t="s">
        <v>240</v>
      </c>
      <c r="GV3547" s="5" t="s">
        <v>240</v>
      </c>
      <c r="GW3547" s="5" t="s">
        <v>240</v>
      </c>
      <c r="GX3547" s="5" t="s">
        <v>240</v>
      </c>
      <c r="GY3547" s="5" t="s">
        <v>240</v>
      </c>
      <c r="GZ3547" s="5" t="s">
        <v>240</v>
      </c>
      <c r="HA3547" s="5" t="s">
        <v>240</v>
      </c>
      <c r="HB3547" s="5" t="s">
        <v>240</v>
      </c>
      <c r="HC3547" s="5" t="s">
        <v>240</v>
      </c>
      <c r="HD3547" s="5" t="s">
        <v>240</v>
      </c>
      <c r="HE3547" s="5" t="s">
        <v>240</v>
      </c>
      <c r="HF3547" s="5" t="s">
        <v>240</v>
      </c>
      <c r="HG3547" s="5" t="s">
        <v>240</v>
      </c>
      <c r="HH3547" s="5" t="s">
        <v>240</v>
      </c>
      <c r="HI3547" s="5" t="s">
        <v>240</v>
      </c>
      <c r="HJ3547" s="5" t="s">
        <v>240</v>
      </c>
      <c r="HK3547" s="5" t="s">
        <v>240</v>
      </c>
      <c r="HL3547" s="5" t="s">
        <v>240</v>
      </c>
      <c r="HM3547" s="5" t="s">
        <v>240</v>
      </c>
      <c r="HN3547" s="5" t="s">
        <v>240</v>
      </c>
      <c r="HO3547" s="5" t="s">
        <v>620</v>
      </c>
      <c r="HP3547" s="5" t="s">
        <v>240</v>
      </c>
      <c r="HQ3547" s="5" t="s">
        <v>240</v>
      </c>
      <c r="HR3547" s="5" t="s">
        <v>240</v>
      </c>
      <c r="HS3547" s="5" t="s">
        <v>240</v>
      </c>
      <c r="HT3547" s="5" t="s">
        <v>240</v>
      </c>
      <c r="HU3547" s="5" t="s">
        <v>240</v>
      </c>
      <c r="HV3547" s="5" t="s">
        <v>240</v>
      </c>
      <c r="HW3547" s="5" t="s">
        <v>240</v>
      </c>
      <c r="HX3547" s="5" t="s">
        <v>240</v>
      </c>
      <c r="HY3547" s="5" t="s">
        <v>240</v>
      </c>
      <c r="HZ3547" s="5" t="s">
        <v>240</v>
      </c>
      <c r="IA3547" s="5" t="s">
        <v>240</v>
      </c>
      <c r="IB3547" s="5" t="s">
        <v>240</v>
      </c>
      <c r="IC3547" s="5" t="s">
        <v>240</v>
      </c>
      <c r="ID3547" s="5" t="s">
        <v>240</v>
      </c>
      <c r="IE3547" s="5" t="s">
        <v>240</v>
      </c>
      <c r="IF3547" s="5" t="s">
        <v>240</v>
      </c>
    </row>
    <row r="3548" spans="1:240" x14ac:dyDescent="0.4">
      <c r="A3548" s="5">
        <v>9090</v>
      </c>
      <c r="B3548" s="5">
        <v>1</v>
      </c>
      <c r="C3548" s="5">
        <v>1</v>
      </c>
      <c r="D3548" s="5" t="s">
        <v>723</v>
      </c>
      <c r="E3548" s="5" t="s">
        <v>725</v>
      </c>
      <c r="F3548" s="5" t="s">
        <v>254</v>
      </c>
      <c r="G3548" s="5" t="s">
        <v>726</v>
      </c>
      <c r="H3548" s="6" t="s">
        <v>5836</v>
      </c>
      <c r="I3548" s="5" t="s">
        <v>5835</v>
      </c>
      <c r="J3548" s="7">
        <f>1</f>
        <v>1</v>
      </c>
      <c r="K3548" s="5" t="s">
        <v>3682</v>
      </c>
      <c r="L3548" s="7">
        <f>1</f>
        <v>1</v>
      </c>
      <c r="M3548" s="7">
        <f>1</f>
        <v>1</v>
      </c>
      <c r="N3548" s="5" t="s">
        <v>242</v>
      </c>
      <c r="O3548" s="5">
        <v>1</v>
      </c>
      <c r="P3548" s="5" t="s">
        <v>294</v>
      </c>
      <c r="Q3548" s="5" t="s">
        <v>613</v>
      </c>
      <c r="R3548" s="5" t="s">
        <v>240</v>
      </c>
      <c r="S3548" s="5" t="s">
        <v>240</v>
      </c>
      <c r="T3548" s="5" t="s">
        <v>243</v>
      </c>
      <c r="U3548" s="5" t="s">
        <v>724</v>
      </c>
      <c r="V3548" s="5" t="s">
        <v>240</v>
      </c>
      <c r="W3548" s="5" t="s">
        <v>240</v>
      </c>
      <c r="X3548" s="5" t="s">
        <v>240</v>
      </c>
      <c r="Y3548" s="5" t="s">
        <v>240</v>
      </c>
      <c r="Z3548" s="6" t="s">
        <v>298</v>
      </c>
      <c r="AA3548" s="6" t="s">
        <v>240</v>
      </c>
      <c r="AB3548" s="6" t="s">
        <v>240</v>
      </c>
      <c r="AC3548" s="5" t="s">
        <v>240</v>
      </c>
      <c r="AD3548" s="6" t="s">
        <v>240</v>
      </c>
      <c r="AE3548" s="6" t="s">
        <v>299</v>
      </c>
      <c r="AF3548" s="5" t="s">
        <v>727</v>
      </c>
      <c r="AG3548" s="5" t="s">
        <v>260</v>
      </c>
      <c r="AH3548" s="5" t="s">
        <v>240</v>
      </c>
      <c r="AI3548" s="5" t="s">
        <v>240</v>
      </c>
      <c r="AJ3548" s="5" t="s">
        <v>240</v>
      </c>
      <c r="AK3548" s="5" t="s">
        <v>240</v>
      </c>
      <c r="AL3548" s="5" t="s">
        <v>240</v>
      </c>
      <c r="AM3548" s="5" t="s">
        <v>240</v>
      </c>
      <c r="AN3548" s="5" t="s">
        <v>240</v>
      </c>
      <c r="AO3548" s="5" t="s">
        <v>240</v>
      </c>
      <c r="AP3548" s="6" t="s">
        <v>240</v>
      </c>
      <c r="AQ3548" s="6" t="s">
        <v>240</v>
      </c>
      <c r="AR3548" s="6" t="s">
        <v>240</v>
      </c>
      <c r="AS3548" s="6" t="s">
        <v>240</v>
      </c>
      <c r="AT3548" s="5" t="s">
        <v>240</v>
      </c>
      <c r="AU3548" s="5" t="s">
        <v>729</v>
      </c>
      <c r="AV3548" s="5" t="s">
        <v>729</v>
      </c>
      <c r="AW3548" s="5" t="s">
        <v>251</v>
      </c>
      <c r="AX3548" s="5" t="s">
        <v>252</v>
      </c>
      <c r="AY3548" s="5" t="s">
        <v>253</v>
      </c>
      <c r="AZ3548" s="5" t="s">
        <v>240</v>
      </c>
      <c r="BA3548" s="5" t="s">
        <v>255</v>
      </c>
      <c r="BB3548" s="5" t="s">
        <v>731</v>
      </c>
      <c r="BD3548" s="5" t="s">
        <v>240</v>
      </c>
      <c r="BF3548" s="5" t="s">
        <v>732</v>
      </c>
      <c r="BG3548" s="6" t="s">
        <v>733</v>
      </c>
      <c r="BH3548" s="5" t="s">
        <v>734</v>
      </c>
      <c r="BI3548" s="5" t="s">
        <v>734</v>
      </c>
      <c r="BJ3548" s="5" t="s">
        <v>240</v>
      </c>
      <c r="BK3548" s="8">
        <f>1135</f>
        <v>1135</v>
      </c>
      <c r="BL3548" s="7">
        <f>0</f>
        <v>0</v>
      </c>
      <c r="BM3548" s="5" t="s">
        <v>258</v>
      </c>
      <c r="BN3548" s="5" t="s">
        <v>259</v>
      </c>
      <c r="BO3548" s="5" t="s">
        <v>240</v>
      </c>
      <c r="BP3548" s="5" t="s">
        <v>240</v>
      </c>
      <c r="BQ3548" s="5" t="s">
        <v>240</v>
      </c>
      <c r="BR3548" s="5" t="s">
        <v>240</v>
      </c>
      <c r="BS3548" s="5" t="s">
        <v>240</v>
      </c>
      <c r="BT3548" s="5" t="s">
        <v>240</v>
      </c>
      <c r="BU3548" s="5" t="s">
        <v>240</v>
      </c>
      <c r="BV3548" s="5" t="s">
        <v>240</v>
      </c>
      <c r="BW3548" s="6" t="s">
        <v>240</v>
      </c>
      <c r="BX3548" s="5" t="s">
        <v>240</v>
      </c>
      <c r="BY3548" s="5" t="s">
        <v>240</v>
      </c>
      <c r="BZ3548" s="5" t="s">
        <v>240</v>
      </c>
      <c r="CA3548" s="5" t="s">
        <v>259</v>
      </c>
      <c r="CB3548" s="5" t="s">
        <v>240</v>
      </c>
      <c r="CC3548" s="5" t="s">
        <v>240</v>
      </c>
      <c r="CD3548" s="5" t="s">
        <v>240</v>
      </c>
      <c r="CE3548" s="5" t="s">
        <v>240</v>
      </c>
      <c r="CF3548" s="5" t="s">
        <v>240</v>
      </c>
      <c r="CG3548" s="5" t="s">
        <v>617</v>
      </c>
      <c r="CH3548" s="5" t="s">
        <v>305</v>
      </c>
      <c r="CI3548" s="5" t="s">
        <v>240</v>
      </c>
      <c r="CL3548" s="6" t="s">
        <v>261</v>
      </c>
      <c r="CM3548" s="5" t="s">
        <v>262</v>
      </c>
      <c r="CN3548" s="5" t="s">
        <v>263</v>
      </c>
      <c r="CO3548" s="5" t="s">
        <v>264</v>
      </c>
      <c r="CP3548" s="5" t="s">
        <v>240</v>
      </c>
      <c r="CQ3548" s="5">
        <v>0</v>
      </c>
      <c r="CR3548" s="5" t="s">
        <v>735</v>
      </c>
      <c r="CS3548" s="5" t="s">
        <v>307</v>
      </c>
      <c r="CT3548" s="5" t="s">
        <v>307</v>
      </c>
      <c r="CU3548" s="5" t="s">
        <v>260</v>
      </c>
      <c r="CV3548" s="5" t="s">
        <v>240</v>
      </c>
      <c r="CW3548" s="8">
        <f>0</f>
        <v>0</v>
      </c>
      <c r="CX3548" s="7">
        <f>0</f>
        <v>0</v>
      </c>
      <c r="CY3548" s="7">
        <f>0</f>
        <v>0</v>
      </c>
      <c r="DA3548" s="7">
        <f>12485</f>
        <v>12485</v>
      </c>
      <c r="DB3548" s="7" t="s">
        <v>240</v>
      </c>
      <c r="DC3548" s="5" t="s">
        <v>240</v>
      </c>
      <c r="DD3548" s="5" t="s">
        <v>240</v>
      </c>
      <c r="DE3548" s="5" t="s">
        <v>240</v>
      </c>
      <c r="DF3548" s="5" t="s">
        <v>450</v>
      </c>
      <c r="DG3548" s="7">
        <f>0</f>
        <v>0</v>
      </c>
      <c r="DI3548" s="5" t="s">
        <v>737</v>
      </c>
      <c r="DJ3548" s="5" t="s">
        <v>240</v>
      </c>
      <c r="DK3548" s="5" t="s">
        <v>240</v>
      </c>
      <c r="DL3548" s="5" t="s">
        <v>240</v>
      </c>
      <c r="DM3548" s="5" t="s">
        <v>240</v>
      </c>
      <c r="DN3548" s="5" t="s">
        <v>240</v>
      </c>
      <c r="DO3548" s="7" t="s">
        <v>240</v>
      </c>
      <c r="DP3548" s="5" t="s">
        <v>240</v>
      </c>
      <c r="DQ3548" s="5" t="s">
        <v>240</v>
      </c>
      <c r="DR3548" s="5" t="s">
        <v>731</v>
      </c>
      <c r="DS3548" s="5" t="s">
        <v>731</v>
      </c>
      <c r="DT3548" s="5" t="s">
        <v>240</v>
      </c>
      <c r="DU3548" s="5" t="s">
        <v>240</v>
      </c>
      <c r="DV3548" s="5" t="s">
        <v>738</v>
      </c>
      <c r="DW3548" s="5" t="s">
        <v>578</v>
      </c>
      <c r="DX3548" s="5" t="s">
        <v>240</v>
      </c>
      <c r="DY3548" s="5" t="s">
        <v>240</v>
      </c>
      <c r="DZ3548" s="5" t="s">
        <v>240</v>
      </c>
      <c r="EA3548" s="5" t="s">
        <v>240</v>
      </c>
      <c r="EB3548" s="5" t="s">
        <v>240</v>
      </c>
      <c r="EC3548" s="5" t="s">
        <v>240</v>
      </c>
      <c r="ED3548" s="5" t="s">
        <v>240</v>
      </c>
      <c r="EE3548" s="5" t="s">
        <v>240</v>
      </c>
      <c r="EF3548" s="5" t="s">
        <v>240</v>
      </c>
      <c r="EG3548" s="5" t="s">
        <v>240</v>
      </c>
      <c r="EH3548" s="5" t="s">
        <v>240</v>
      </c>
      <c r="EI3548" s="5" t="s">
        <v>240</v>
      </c>
      <c r="EJ3548" s="5" t="s">
        <v>240</v>
      </c>
      <c r="EK3548" s="5" t="s">
        <v>240</v>
      </c>
      <c r="EL3548" s="5" t="s">
        <v>240</v>
      </c>
      <c r="EM3548" s="5" t="s">
        <v>240</v>
      </c>
      <c r="EN3548" s="5" t="s">
        <v>240</v>
      </c>
      <c r="EO3548" s="5" t="s">
        <v>240</v>
      </c>
      <c r="EP3548" s="5" t="s">
        <v>240</v>
      </c>
      <c r="EQ3548" s="5" t="s">
        <v>240</v>
      </c>
      <c r="ER3548" s="5" t="s">
        <v>240</v>
      </c>
      <c r="ES3548" s="5" t="s">
        <v>240</v>
      </c>
      <c r="ET3548" s="5" t="s">
        <v>240</v>
      </c>
      <c r="EU3548" s="5" t="s">
        <v>240</v>
      </c>
      <c r="EV3548" s="5" t="s">
        <v>240</v>
      </c>
      <c r="EW3548" s="5" t="s">
        <v>240</v>
      </c>
      <c r="EX3548" s="5" t="s">
        <v>240</v>
      </c>
      <c r="EY3548" s="5" t="s">
        <v>240</v>
      </c>
      <c r="EZ3548" s="5" t="s">
        <v>240</v>
      </c>
      <c r="FA3548" s="5" t="s">
        <v>240</v>
      </c>
      <c r="FB3548" s="5" t="s">
        <v>240</v>
      </c>
      <c r="FC3548" s="5" t="s">
        <v>240</v>
      </c>
      <c r="FD3548" s="5" t="s">
        <v>240</v>
      </c>
      <c r="FE3548" s="5" t="s">
        <v>240</v>
      </c>
      <c r="FF3548" s="5" t="s">
        <v>240</v>
      </c>
      <c r="FG3548" s="5" t="s">
        <v>240</v>
      </c>
      <c r="FH3548" s="5" t="s">
        <v>240</v>
      </c>
      <c r="FI3548" s="5" t="s">
        <v>240</v>
      </c>
      <c r="FJ3548" s="5" t="s">
        <v>240</v>
      </c>
      <c r="FK3548" s="5" t="s">
        <v>240</v>
      </c>
      <c r="FL3548" s="5" t="s">
        <v>240</v>
      </c>
      <c r="FM3548" s="5" t="s">
        <v>240</v>
      </c>
      <c r="FN3548" s="5" t="s">
        <v>240</v>
      </c>
      <c r="FO3548" s="5" t="s">
        <v>240</v>
      </c>
      <c r="FP3548" s="5" t="s">
        <v>240</v>
      </c>
      <c r="FQ3548" s="5" t="s">
        <v>240</v>
      </c>
      <c r="FR3548" s="5" t="s">
        <v>240</v>
      </c>
      <c r="FS3548" s="5" t="s">
        <v>240</v>
      </c>
      <c r="FT3548" s="5" t="s">
        <v>240</v>
      </c>
      <c r="FU3548" s="5" t="s">
        <v>240</v>
      </c>
      <c r="FV3548" s="5" t="s">
        <v>240</v>
      </c>
      <c r="FW3548" s="5" t="s">
        <v>240</v>
      </c>
      <c r="FX3548" s="5" t="s">
        <v>240</v>
      </c>
      <c r="FY3548" s="5" t="s">
        <v>240</v>
      </c>
      <c r="FZ3548" s="5" t="s">
        <v>240</v>
      </c>
      <c r="GA3548" s="5" t="s">
        <v>240</v>
      </c>
      <c r="GB3548" s="5" t="s">
        <v>240</v>
      </c>
      <c r="GC3548" s="5" t="s">
        <v>240</v>
      </c>
      <c r="GD3548" s="5" t="s">
        <v>240</v>
      </c>
      <c r="GE3548" s="5" t="s">
        <v>240</v>
      </c>
      <c r="GF3548" s="5" t="s">
        <v>240</v>
      </c>
      <c r="GG3548" s="5" t="s">
        <v>240</v>
      </c>
      <c r="GH3548" s="5" t="s">
        <v>240</v>
      </c>
      <c r="GI3548" s="5" t="s">
        <v>240</v>
      </c>
      <c r="GJ3548" s="5" t="s">
        <v>240</v>
      </c>
      <c r="GK3548" s="5" t="s">
        <v>240</v>
      </c>
      <c r="GL3548" s="5" t="s">
        <v>240</v>
      </c>
      <c r="GM3548" s="5" t="s">
        <v>240</v>
      </c>
      <c r="GN3548" s="5" t="s">
        <v>240</v>
      </c>
      <c r="GO3548" s="5" t="s">
        <v>240</v>
      </c>
      <c r="GP3548" s="5" t="s">
        <v>240</v>
      </c>
      <c r="GQ3548" s="5" t="s">
        <v>240</v>
      </c>
      <c r="GR3548" s="5" t="s">
        <v>240</v>
      </c>
      <c r="GS3548" s="5" t="s">
        <v>240</v>
      </c>
      <c r="GT3548" s="5" t="s">
        <v>240</v>
      </c>
      <c r="GU3548" s="5" t="s">
        <v>240</v>
      </c>
      <c r="GV3548" s="5" t="s">
        <v>240</v>
      </c>
      <c r="GW3548" s="5" t="s">
        <v>240</v>
      </c>
      <c r="GX3548" s="5" t="s">
        <v>240</v>
      </c>
      <c r="GY3548" s="5" t="s">
        <v>240</v>
      </c>
      <c r="GZ3548" s="5" t="s">
        <v>240</v>
      </c>
      <c r="HA3548" s="5" t="s">
        <v>240</v>
      </c>
      <c r="HB3548" s="5" t="s">
        <v>240</v>
      </c>
      <c r="HC3548" s="5" t="s">
        <v>240</v>
      </c>
      <c r="HD3548" s="5" t="s">
        <v>240</v>
      </c>
      <c r="HE3548" s="5" t="s">
        <v>240</v>
      </c>
      <c r="HF3548" s="5" t="s">
        <v>240</v>
      </c>
      <c r="HG3548" s="5" t="s">
        <v>240</v>
      </c>
      <c r="HH3548" s="5" t="s">
        <v>240</v>
      </c>
      <c r="HI3548" s="5" t="s">
        <v>240</v>
      </c>
      <c r="HJ3548" s="5" t="s">
        <v>240</v>
      </c>
      <c r="HK3548" s="5" t="s">
        <v>240</v>
      </c>
      <c r="HL3548" s="5" t="s">
        <v>240</v>
      </c>
      <c r="HM3548" s="5" t="s">
        <v>240</v>
      </c>
      <c r="HN3548" s="5" t="s">
        <v>240</v>
      </c>
      <c r="HO3548" s="5" t="s">
        <v>620</v>
      </c>
      <c r="HP3548" s="5" t="s">
        <v>240</v>
      </c>
      <c r="HQ3548" s="5" t="s">
        <v>240</v>
      </c>
      <c r="HR3548" s="5" t="s">
        <v>240</v>
      </c>
      <c r="HS3548" s="5" t="s">
        <v>240</v>
      </c>
      <c r="HT3548" s="5" t="s">
        <v>240</v>
      </c>
      <c r="HU3548" s="5" t="s">
        <v>240</v>
      </c>
      <c r="HV3548" s="5" t="s">
        <v>240</v>
      </c>
      <c r="HW3548" s="5" t="s">
        <v>240</v>
      </c>
      <c r="HX3548" s="5" t="s">
        <v>240</v>
      </c>
      <c r="HY3548" s="5" t="s">
        <v>240</v>
      </c>
      <c r="HZ3548" s="5" t="s">
        <v>240</v>
      </c>
      <c r="IA3548" s="5" t="s">
        <v>240</v>
      </c>
      <c r="IB3548" s="5" t="s">
        <v>240</v>
      </c>
      <c r="IC3548" s="5" t="s">
        <v>240</v>
      </c>
      <c r="ID3548" s="5" t="s">
        <v>240</v>
      </c>
      <c r="IE3548" s="5" t="s">
        <v>240</v>
      </c>
      <c r="IF3548" s="5" t="s">
        <v>240</v>
      </c>
    </row>
    <row r="3549" spans="1:240" x14ac:dyDescent="0.4">
      <c r="A3549" s="5">
        <v>9091</v>
      </c>
      <c r="B3549" s="5">
        <v>1</v>
      </c>
      <c r="C3549" s="5">
        <v>1</v>
      </c>
      <c r="D3549" s="5" t="s">
        <v>723</v>
      </c>
      <c r="E3549" s="5" t="s">
        <v>725</v>
      </c>
      <c r="F3549" s="5" t="s">
        <v>254</v>
      </c>
      <c r="G3549" s="5" t="s">
        <v>726</v>
      </c>
      <c r="H3549" s="6" t="s">
        <v>5301</v>
      </c>
      <c r="I3549" s="5" t="s">
        <v>5300</v>
      </c>
      <c r="J3549" s="7">
        <f>1</f>
        <v>1</v>
      </c>
      <c r="K3549" s="5" t="s">
        <v>3682</v>
      </c>
      <c r="L3549" s="7">
        <f>1</f>
        <v>1</v>
      </c>
      <c r="M3549" s="7">
        <f>1</f>
        <v>1</v>
      </c>
      <c r="N3549" s="5" t="s">
        <v>242</v>
      </c>
      <c r="O3549" s="5">
        <v>1</v>
      </c>
      <c r="P3549" s="5" t="s">
        <v>294</v>
      </c>
      <c r="Q3549" s="5" t="s">
        <v>613</v>
      </c>
      <c r="R3549" s="5" t="s">
        <v>240</v>
      </c>
      <c r="S3549" s="5" t="s">
        <v>240</v>
      </c>
      <c r="T3549" s="5" t="s">
        <v>243</v>
      </c>
      <c r="U3549" s="5" t="s">
        <v>724</v>
      </c>
      <c r="V3549" s="5" t="s">
        <v>240</v>
      </c>
      <c r="W3549" s="5" t="s">
        <v>240</v>
      </c>
      <c r="X3549" s="5" t="s">
        <v>240</v>
      </c>
      <c r="Y3549" s="5" t="s">
        <v>240</v>
      </c>
      <c r="Z3549" s="6" t="s">
        <v>298</v>
      </c>
      <c r="AA3549" s="6" t="s">
        <v>240</v>
      </c>
      <c r="AB3549" s="6" t="s">
        <v>240</v>
      </c>
      <c r="AC3549" s="5" t="s">
        <v>240</v>
      </c>
      <c r="AD3549" s="6" t="s">
        <v>240</v>
      </c>
      <c r="AE3549" s="6" t="s">
        <v>299</v>
      </c>
      <c r="AF3549" s="5" t="s">
        <v>727</v>
      </c>
      <c r="AG3549" s="5" t="s">
        <v>260</v>
      </c>
      <c r="AH3549" s="5" t="s">
        <v>240</v>
      </c>
      <c r="AI3549" s="5" t="s">
        <v>240</v>
      </c>
      <c r="AJ3549" s="5" t="s">
        <v>240</v>
      </c>
      <c r="AK3549" s="5" t="s">
        <v>240</v>
      </c>
      <c r="AL3549" s="5" t="s">
        <v>240</v>
      </c>
      <c r="AM3549" s="5" t="s">
        <v>240</v>
      </c>
      <c r="AN3549" s="5" t="s">
        <v>240</v>
      </c>
      <c r="AO3549" s="5" t="s">
        <v>240</v>
      </c>
      <c r="AP3549" s="6" t="s">
        <v>240</v>
      </c>
      <c r="AQ3549" s="6" t="s">
        <v>240</v>
      </c>
      <c r="AR3549" s="6" t="s">
        <v>240</v>
      </c>
      <c r="AS3549" s="6" t="s">
        <v>240</v>
      </c>
      <c r="AT3549" s="5" t="s">
        <v>240</v>
      </c>
      <c r="AU3549" s="5" t="s">
        <v>729</v>
      </c>
      <c r="AV3549" s="5" t="s">
        <v>729</v>
      </c>
      <c r="AW3549" s="5" t="s">
        <v>251</v>
      </c>
      <c r="AX3549" s="5" t="s">
        <v>252</v>
      </c>
      <c r="AY3549" s="5" t="s">
        <v>253</v>
      </c>
      <c r="AZ3549" s="5" t="s">
        <v>240</v>
      </c>
      <c r="BA3549" s="5" t="s">
        <v>255</v>
      </c>
      <c r="BB3549" s="5" t="s">
        <v>731</v>
      </c>
      <c r="BD3549" s="5" t="s">
        <v>240</v>
      </c>
      <c r="BF3549" s="5" t="s">
        <v>732</v>
      </c>
      <c r="BG3549" s="6" t="s">
        <v>733</v>
      </c>
      <c r="BH3549" s="5" t="s">
        <v>734</v>
      </c>
      <c r="BI3549" s="5" t="s">
        <v>734</v>
      </c>
      <c r="BJ3549" s="5" t="s">
        <v>240</v>
      </c>
      <c r="BK3549" s="8">
        <f>496</f>
        <v>496</v>
      </c>
      <c r="BL3549" s="7">
        <f>0</f>
        <v>0</v>
      </c>
      <c r="BM3549" s="5" t="s">
        <v>258</v>
      </c>
      <c r="BN3549" s="5" t="s">
        <v>259</v>
      </c>
      <c r="BO3549" s="5" t="s">
        <v>240</v>
      </c>
      <c r="BP3549" s="5" t="s">
        <v>240</v>
      </c>
      <c r="BQ3549" s="5" t="s">
        <v>240</v>
      </c>
      <c r="BR3549" s="5" t="s">
        <v>240</v>
      </c>
      <c r="BS3549" s="5" t="s">
        <v>240</v>
      </c>
      <c r="BT3549" s="5" t="s">
        <v>240</v>
      </c>
      <c r="BU3549" s="5" t="s">
        <v>240</v>
      </c>
      <c r="BV3549" s="5" t="s">
        <v>240</v>
      </c>
      <c r="BW3549" s="6" t="s">
        <v>240</v>
      </c>
      <c r="BX3549" s="5" t="s">
        <v>240</v>
      </c>
      <c r="BY3549" s="5" t="s">
        <v>240</v>
      </c>
      <c r="BZ3549" s="5" t="s">
        <v>240</v>
      </c>
      <c r="CA3549" s="5" t="s">
        <v>259</v>
      </c>
      <c r="CB3549" s="5" t="s">
        <v>240</v>
      </c>
      <c r="CC3549" s="5" t="s">
        <v>240</v>
      </c>
      <c r="CD3549" s="5" t="s">
        <v>240</v>
      </c>
      <c r="CE3549" s="5" t="s">
        <v>240</v>
      </c>
      <c r="CF3549" s="5" t="s">
        <v>240</v>
      </c>
      <c r="CG3549" s="5" t="s">
        <v>617</v>
      </c>
      <c r="CH3549" s="5" t="s">
        <v>305</v>
      </c>
      <c r="CI3549" s="5" t="s">
        <v>240</v>
      </c>
      <c r="CL3549" s="6" t="s">
        <v>261</v>
      </c>
      <c r="CM3549" s="5" t="s">
        <v>262</v>
      </c>
      <c r="CN3549" s="5" t="s">
        <v>263</v>
      </c>
      <c r="CO3549" s="5" t="s">
        <v>264</v>
      </c>
      <c r="CP3549" s="5" t="s">
        <v>240</v>
      </c>
      <c r="CQ3549" s="5">
        <v>0</v>
      </c>
      <c r="CR3549" s="5" t="s">
        <v>735</v>
      </c>
      <c r="CS3549" s="5" t="s">
        <v>307</v>
      </c>
      <c r="CT3549" s="5" t="s">
        <v>307</v>
      </c>
      <c r="CU3549" s="5" t="s">
        <v>260</v>
      </c>
      <c r="CV3549" s="5" t="s">
        <v>240</v>
      </c>
      <c r="CW3549" s="8">
        <f>0</f>
        <v>0</v>
      </c>
      <c r="CX3549" s="7">
        <f>0</f>
        <v>0</v>
      </c>
      <c r="CY3549" s="7">
        <f>0</f>
        <v>0</v>
      </c>
      <c r="DA3549" s="7">
        <f>5456</f>
        <v>5456</v>
      </c>
      <c r="DB3549" s="7" t="s">
        <v>240</v>
      </c>
      <c r="DC3549" s="5" t="s">
        <v>240</v>
      </c>
      <c r="DD3549" s="5" t="s">
        <v>240</v>
      </c>
      <c r="DE3549" s="5" t="s">
        <v>240</v>
      </c>
      <c r="DF3549" s="5" t="s">
        <v>450</v>
      </c>
      <c r="DG3549" s="7">
        <f>0</f>
        <v>0</v>
      </c>
      <c r="DI3549" s="5" t="s">
        <v>737</v>
      </c>
      <c r="DJ3549" s="5" t="s">
        <v>240</v>
      </c>
      <c r="DK3549" s="5" t="s">
        <v>240</v>
      </c>
      <c r="DL3549" s="5" t="s">
        <v>240</v>
      </c>
      <c r="DM3549" s="5" t="s">
        <v>240</v>
      </c>
      <c r="DN3549" s="5" t="s">
        <v>240</v>
      </c>
      <c r="DO3549" s="7" t="s">
        <v>240</v>
      </c>
      <c r="DP3549" s="5" t="s">
        <v>240</v>
      </c>
      <c r="DQ3549" s="5" t="s">
        <v>240</v>
      </c>
      <c r="DR3549" s="5" t="s">
        <v>731</v>
      </c>
      <c r="DS3549" s="5" t="s">
        <v>731</v>
      </c>
      <c r="DT3549" s="5" t="s">
        <v>240</v>
      </c>
      <c r="DU3549" s="5" t="s">
        <v>240</v>
      </c>
      <c r="DV3549" s="5" t="s">
        <v>738</v>
      </c>
      <c r="DW3549" s="5" t="s">
        <v>538</v>
      </c>
      <c r="DX3549" s="5" t="s">
        <v>240</v>
      </c>
      <c r="DY3549" s="5" t="s">
        <v>240</v>
      </c>
      <c r="DZ3549" s="5" t="s">
        <v>240</v>
      </c>
      <c r="EA3549" s="5" t="s">
        <v>240</v>
      </c>
      <c r="EB3549" s="5" t="s">
        <v>240</v>
      </c>
      <c r="EC3549" s="5" t="s">
        <v>240</v>
      </c>
      <c r="ED3549" s="5" t="s">
        <v>240</v>
      </c>
      <c r="EE3549" s="5" t="s">
        <v>240</v>
      </c>
      <c r="EF3549" s="5" t="s">
        <v>240</v>
      </c>
      <c r="EG3549" s="5" t="s">
        <v>240</v>
      </c>
      <c r="EH3549" s="5" t="s">
        <v>240</v>
      </c>
      <c r="EI3549" s="5" t="s">
        <v>240</v>
      </c>
      <c r="EJ3549" s="5" t="s">
        <v>240</v>
      </c>
      <c r="EK3549" s="5" t="s">
        <v>240</v>
      </c>
      <c r="EL3549" s="5" t="s">
        <v>240</v>
      </c>
      <c r="EM3549" s="5" t="s">
        <v>240</v>
      </c>
      <c r="EN3549" s="5" t="s">
        <v>240</v>
      </c>
      <c r="EO3549" s="5" t="s">
        <v>240</v>
      </c>
      <c r="EP3549" s="5" t="s">
        <v>240</v>
      </c>
      <c r="EQ3549" s="5" t="s">
        <v>240</v>
      </c>
      <c r="ER3549" s="5" t="s">
        <v>240</v>
      </c>
      <c r="ES3549" s="5" t="s">
        <v>240</v>
      </c>
      <c r="ET3549" s="5" t="s">
        <v>240</v>
      </c>
      <c r="EU3549" s="5" t="s">
        <v>240</v>
      </c>
      <c r="EV3549" s="5" t="s">
        <v>240</v>
      </c>
      <c r="EW3549" s="5" t="s">
        <v>240</v>
      </c>
      <c r="EX3549" s="5" t="s">
        <v>240</v>
      </c>
      <c r="EY3549" s="5" t="s">
        <v>240</v>
      </c>
      <c r="EZ3549" s="5" t="s">
        <v>240</v>
      </c>
      <c r="FA3549" s="5" t="s">
        <v>240</v>
      </c>
      <c r="FB3549" s="5" t="s">
        <v>240</v>
      </c>
      <c r="FC3549" s="5" t="s">
        <v>240</v>
      </c>
      <c r="FD3549" s="5" t="s">
        <v>240</v>
      </c>
      <c r="FE3549" s="5" t="s">
        <v>240</v>
      </c>
      <c r="FF3549" s="5" t="s">
        <v>240</v>
      </c>
      <c r="FG3549" s="5" t="s">
        <v>240</v>
      </c>
      <c r="FH3549" s="5" t="s">
        <v>240</v>
      </c>
      <c r="FI3549" s="5" t="s">
        <v>240</v>
      </c>
      <c r="FJ3549" s="5" t="s">
        <v>240</v>
      </c>
      <c r="FK3549" s="5" t="s">
        <v>240</v>
      </c>
      <c r="FL3549" s="5" t="s">
        <v>240</v>
      </c>
      <c r="FM3549" s="5" t="s">
        <v>240</v>
      </c>
      <c r="FN3549" s="5" t="s">
        <v>240</v>
      </c>
      <c r="FO3549" s="5" t="s">
        <v>240</v>
      </c>
      <c r="FP3549" s="5" t="s">
        <v>240</v>
      </c>
      <c r="FQ3549" s="5" t="s">
        <v>240</v>
      </c>
      <c r="FR3549" s="5" t="s">
        <v>240</v>
      </c>
      <c r="FS3549" s="5" t="s">
        <v>240</v>
      </c>
      <c r="FT3549" s="5" t="s">
        <v>240</v>
      </c>
      <c r="FU3549" s="5" t="s">
        <v>240</v>
      </c>
      <c r="FV3549" s="5" t="s">
        <v>240</v>
      </c>
      <c r="FW3549" s="5" t="s">
        <v>240</v>
      </c>
      <c r="FX3549" s="5" t="s">
        <v>240</v>
      </c>
      <c r="FY3549" s="5" t="s">
        <v>240</v>
      </c>
      <c r="FZ3549" s="5" t="s">
        <v>240</v>
      </c>
      <c r="GA3549" s="5" t="s">
        <v>240</v>
      </c>
      <c r="GB3549" s="5" t="s">
        <v>240</v>
      </c>
      <c r="GC3549" s="5" t="s">
        <v>240</v>
      </c>
      <c r="GD3549" s="5" t="s">
        <v>240</v>
      </c>
      <c r="GE3549" s="5" t="s">
        <v>240</v>
      </c>
      <c r="GF3549" s="5" t="s">
        <v>240</v>
      </c>
      <c r="GG3549" s="5" t="s">
        <v>240</v>
      </c>
      <c r="GH3549" s="5" t="s">
        <v>240</v>
      </c>
      <c r="GI3549" s="5" t="s">
        <v>240</v>
      </c>
      <c r="GJ3549" s="5" t="s">
        <v>240</v>
      </c>
      <c r="GK3549" s="5" t="s">
        <v>240</v>
      </c>
      <c r="GL3549" s="5" t="s">
        <v>240</v>
      </c>
      <c r="GM3549" s="5" t="s">
        <v>240</v>
      </c>
      <c r="GN3549" s="5" t="s">
        <v>240</v>
      </c>
      <c r="GO3549" s="5" t="s">
        <v>240</v>
      </c>
      <c r="GP3549" s="5" t="s">
        <v>240</v>
      </c>
      <c r="GQ3549" s="5" t="s">
        <v>240</v>
      </c>
      <c r="GR3549" s="5" t="s">
        <v>240</v>
      </c>
      <c r="GS3549" s="5" t="s">
        <v>240</v>
      </c>
      <c r="GT3549" s="5" t="s">
        <v>240</v>
      </c>
      <c r="GU3549" s="5" t="s">
        <v>240</v>
      </c>
      <c r="GV3549" s="5" t="s">
        <v>240</v>
      </c>
      <c r="GW3549" s="5" t="s">
        <v>240</v>
      </c>
      <c r="GX3549" s="5" t="s">
        <v>240</v>
      </c>
      <c r="GY3549" s="5" t="s">
        <v>240</v>
      </c>
      <c r="GZ3549" s="5" t="s">
        <v>240</v>
      </c>
      <c r="HA3549" s="5" t="s">
        <v>240</v>
      </c>
      <c r="HB3549" s="5" t="s">
        <v>240</v>
      </c>
      <c r="HC3549" s="5" t="s">
        <v>240</v>
      </c>
      <c r="HD3549" s="5" t="s">
        <v>240</v>
      </c>
      <c r="HE3549" s="5" t="s">
        <v>240</v>
      </c>
      <c r="HF3549" s="5" t="s">
        <v>240</v>
      </c>
      <c r="HG3549" s="5" t="s">
        <v>240</v>
      </c>
      <c r="HH3549" s="5" t="s">
        <v>240</v>
      </c>
      <c r="HI3549" s="5" t="s">
        <v>240</v>
      </c>
      <c r="HJ3549" s="5" t="s">
        <v>240</v>
      </c>
      <c r="HK3549" s="5" t="s">
        <v>240</v>
      </c>
      <c r="HL3549" s="5" t="s">
        <v>240</v>
      </c>
      <c r="HM3549" s="5" t="s">
        <v>240</v>
      </c>
      <c r="HN3549" s="5" t="s">
        <v>240</v>
      </c>
      <c r="HO3549" s="5" t="s">
        <v>620</v>
      </c>
      <c r="HP3549" s="5" t="s">
        <v>240</v>
      </c>
      <c r="HQ3549" s="5" t="s">
        <v>240</v>
      </c>
      <c r="HR3549" s="5" t="s">
        <v>240</v>
      </c>
      <c r="HS3549" s="5" t="s">
        <v>240</v>
      </c>
      <c r="HT3549" s="5" t="s">
        <v>240</v>
      </c>
      <c r="HU3549" s="5" t="s">
        <v>240</v>
      </c>
      <c r="HV3549" s="5" t="s">
        <v>240</v>
      </c>
      <c r="HW3549" s="5" t="s">
        <v>240</v>
      </c>
      <c r="HX3549" s="5" t="s">
        <v>240</v>
      </c>
      <c r="HY3549" s="5" t="s">
        <v>240</v>
      </c>
      <c r="HZ3549" s="5" t="s">
        <v>240</v>
      </c>
      <c r="IA3549" s="5" t="s">
        <v>240</v>
      </c>
      <c r="IB3549" s="5" t="s">
        <v>240</v>
      </c>
      <c r="IC3549" s="5" t="s">
        <v>240</v>
      </c>
      <c r="ID3549" s="5" t="s">
        <v>240</v>
      </c>
      <c r="IE3549" s="5" t="s">
        <v>240</v>
      </c>
      <c r="IF3549" s="5" t="s">
        <v>240</v>
      </c>
    </row>
    <row r="3550" spans="1:240" x14ac:dyDescent="0.4">
      <c r="A3550" s="5">
        <v>9092</v>
      </c>
      <c r="B3550" s="5">
        <v>1</v>
      </c>
      <c r="C3550" s="5">
        <v>1</v>
      </c>
      <c r="D3550" s="5" t="s">
        <v>723</v>
      </c>
      <c r="E3550" s="5" t="s">
        <v>725</v>
      </c>
      <c r="F3550" s="5" t="s">
        <v>254</v>
      </c>
      <c r="G3550" s="5" t="s">
        <v>726</v>
      </c>
      <c r="H3550" s="6" t="s">
        <v>6516</v>
      </c>
      <c r="I3550" s="5" t="s">
        <v>6515</v>
      </c>
      <c r="J3550" s="7">
        <f>1</f>
        <v>1</v>
      </c>
      <c r="K3550" s="5" t="s">
        <v>3682</v>
      </c>
      <c r="L3550" s="7">
        <f>1</f>
        <v>1</v>
      </c>
      <c r="M3550" s="7">
        <f>1</f>
        <v>1</v>
      </c>
      <c r="N3550" s="5" t="s">
        <v>242</v>
      </c>
      <c r="O3550" s="5">
        <v>1</v>
      </c>
      <c r="P3550" s="5" t="s">
        <v>294</v>
      </c>
      <c r="Q3550" s="5" t="s">
        <v>3678</v>
      </c>
      <c r="R3550" s="5" t="s">
        <v>240</v>
      </c>
      <c r="S3550" s="5" t="s">
        <v>240</v>
      </c>
      <c r="T3550" s="5" t="s">
        <v>243</v>
      </c>
      <c r="U3550" s="5" t="s">
        <v>244</v>
      </c>
      <c r="V3550" s="5" t="s">
        <v>240</v>
      </c>
      <c r="W3550" s="5" t="s">
        <v>240</v>
      </c>
      <c r="X3550" s="5" t="s">
        <v>240</v>
      </c>
      <c r="Y3550" s="5" t="s">
        <v>240</v>
      </c>
      <c r="Z3550" s="6" t="s">
        <v>298</v>
      </c>
      <c r="AA3550" s="6" t="s">
        <v>240</v>
      </c>
      <c r="AB3550" s="6" t="s">
        <v>240</v>
      </c>
      <c r="AC3550" s="5" t="s">
        <v>240</v>
      </c>
      <c r="AD3550" s="6" t="s">
        <v>240</v>
      </c>
      <c r="AE3550" s="6" t="s">
        <v>299</v>
      </c>
      <c r="AF3550" s="5" t="s">
        <v>248</v>
      </c>
      <c r="AG3550" s="5" t="s">
        <v>249</v>
      </c>
      <c r="AH3550" s="5" t="s">
        <v>240</v>
      </c>
      <c r="AI3550" s="5" t="s">
        <v>240</v>
      </c>
      <c r="AJ3550" s="5" t="s">
        <v>240</v>
      </c>
      <c r="AK3550" s="5" t="s">
        <v>240</v>
      </c>
      <c r="AL3550" s="5" t="s">
        <v>240</v>
      </c>
      <c r="AM3550" s="5" t="s">
        <v>240</v>
      </c>
      <c r="AN3550" s="5" t="s">
        <v>240</v>
      </c>
      <c r="AO3550" s="5" t="s">
        <v>240</v>
      </c>
      <c r="AP3550" s="6" t="s">
        <v>240</v>
      </c>
      <c r="AQ3550" s="6" t="s">
        <v>240</v>
      </c>
      <c r="AR3550" s="6" t="s">
        <v>240</v>
      </c>
      <c r="AS3550" s="6" t="s">
        <v>240</v>
      </c>
      <c r="AT3550" s="5" t="s">
        <v>240</v>
      </c>
      <c r="AU3550" s="5" t="s">
        <v>729</v>
      </c>
      <c r="AV3550" s="5" t="s">
        <v>729</v>
      </c>
      <c r="AW3550" s="5" t="s">
        <v>251</v>
      </c>
      <c r="AX3550" s="5" t="s">
        <v>252</v>
      </c>
      <c r="AY3550" s="5" t="s">
        <v>253</v>
      </c>
      <c r="AZ3550" s="5" t="s">
        <v>240</v>
      </c>
      <c r="BA3550" s="5" t="s">
        <v>255</v>
      </c>
      <c r="BB3550" s="5" t="s">
        <v>731</v>
      </c>
      <c r="BD3550" s="5" t="s">
        <v>240</v>
      </c>
      <c r="BF3550" s="5" t="s">
        <v>732</v>
      </c>
      <c r="BG3550" s="6" t="s">
        <v>733</v>
      </c>
      <c r="BH3550" s="5" t="s">
        <v>734</v>
      </c>
      <c r="BI3550" s="5" t="s">
        <v>734</v>
      </c>
      <c r="BJ3550" s="5" t="s">
        <v>240</v>
      </c>
      <c r="BK3550" s="7">
        <f>1</f>
        <v>1</v>
      </c>
      <c r="BL3550" s="7">
        <f>1</f>
        <v>1</v>
      </c>
      <c r="BM3550" s="5" t="s">
        <v>258</v>
      </c>
      <c r="BN3550" s="5" t="s">
        <v>259</v>
      </c>
      <c r="BO3550" s="5" t="s">
        <v>240</v>
      </c>
      <c r="BP3550" s="5" t="s">
        <v>240</v>
      </c>
      <c r="BQ3550" s="5" t="s">
        <v>240</v>
      </c>
      <c r="BR3550" s="5" t="s">
        <v>240</v>
      </c>
      <c r="BS3550" s="5" t="s">
        <v>240</v>
      </c>
      <c r="BT3550" s="5" t="s">
        <v>240</v>
      </c>
      <c r="BU3550" s="5" t="s">
        <v>240</v>
      </c>
      <c r="BV3550" s="5" t="s">
        <v>240</v>
      </c>
      <c r="BW3550" s="6" t="s">
        <v>240</v>
      </c>
      <c r="BX3550" s="5" t="s">
        <v>240</v>
      </c>
      <c r="BY3550" s="5" t="s">
        <v>240</v>
      </c>
      <c r="BZ3550" s="5" t="s">
        <v>240</v>
      </c>
      <c r="CA3550" s="5" t="s">
        <v>259</v>
      </c>
      <c r="CB3550" s="5" t="s">
        <v>240</v>
      </c>
      <c r="CC3550" s="5" t="s">
        <v>240</v>
      </c>
      <c r="CD3550" s="5" t="s">
        <v>240</v>
      </c>
      <c r="CE3550" s="5" t="s">
        <v>240</v>
      </c>
      <c r="CF3550" s="5" t="s">
        <v>240</v>
      </c>
      <c r="CG3550" s="5" t="s">
        <v>304</v>
      </c>
      <c r="CH3550" s="5" t="s">
        <v>305</v>
      </c>
      <c r="CI3550" s="5" t="s">
        <v>240</v>
      </c>
      <c r="CK3550" s="5" t="s">
        <v>3681</v>
      </c>
      <c r="CL3550" s="6" t="s">
        <v>261</v>
      </c>
      <c r="CM3550" s="5" t="s">
        <v>262</v>
      </c>
      <c r="CN3550" s="5" t="s">
        <v>263</v>
      </c>
      <c r="CO3550" s="5" t="s">
        <v>264</v>
      </c>
      <c r="CP3550" s="5" t="s">
        <v>240</v>
      </c>
      <c r="CQ3550" s="5">
        <v>0</v>
      </c>
      <c r="CR3550" s="5" t="s">
        <v>735</v>
      </c>
      <c r="CS3550" s="5" t="s">
        <v>307</v>
      </c>
      <c r="CT3550" s="5" t="s">
        <v>307</v>
      </c>
      <c r="CU3550" s="5" t="s">
        <v>260</v>
      </c>
      <c r="CV3550" s="5" t="s">
        <v>612</v>
      </c>
      <c r="CW3550" s="8">
        <f>1</f>
        <v>1</v>
      </c>
      <c r="CX3550" s="7">
        <f>1</f>
        <v>1</v>
      </c>
      <c r="CY3550" s="7">
        <f>0</f>
        <v>0</v>
      </c>
      <c r="DA3550" s="7">
        <f>1</f>
        <v>1</v>
      </c>
      <c r="DB3550" s="7" t="s">
        <v>240</v>
      </c>
      <c r="DC3550" s="5" t="s">
        <v>240</v>
      </c>
      <c r="DD3550" s="5" t="s">
        <v>240</v>
      </c>
      <c r="DE3550" s="5" t="s">
        <v>240</v>
      </c>
      <c r="DF3550" s="5" t="s">
        <v>240</v>
      </c>
      <c r="DG3550" s="7">
        <f>0</f>
        <v>0</v>
      </c>
      <c r="DI3550" s="5" t="s">
        <v>240</v>
      </c>
      <c r="DJ3550" s="5" t="s">
        <v>240</v>
      </c>
      <c r="DK3550" s="5" t="s">
        <v>240</v>
      </c>
      <c r="DL3550" s="5" t="s">
        <v>240</v>
      </c>
      <c r="DM3550" s="5" t="s">
        <v>240</v>
      </c>
      <c r="DN3550" s="5" t="s">
        <v>240</v>
      </c>
      <c r="DO3550" s="7" t="s">
        <v>240</v>
      </c>
      <c r="DP3550" s="5" t="s">
        <v>240</v>
      </c>
      <c r="DQ3550" s="5" t="s">
        <v>240</v>
      </c>
      <c r="DR3550" s="5" t="s">
        <v>731</v>
      </c>
      <c r="DS3550" s="5" t="s">
        <v>731</v>
      </c>
      <c r="DT3550" s="5" t="s">
        <v>240</v>
      </c>
      <c r="DU3550" s="5" t="s">
        <v>240</v>
      </c>
      <c r="DV3550" s="5" t="s">
        <v>3683</v>
      </c>
      <c r="DW3550" s="5" t="s">
        <v>582</v>
      </c>
      <c r="DX3550" s="5" t="s">
        <v>240</v>
      </c>
      <c r="DY3550" s="5" t="s">
        <v>240</v>
      </c>
      <c r="DZ3550" s="5" t="s">
        <v>240</v>
      </c>
      <c r="EA3550" s="5" t="s">
        <v>240</v>
      </c>
      <c r="EB3550" s="5" t="s">
        <v>240</v>
      </c>
      <c r="EC3550" s="5" t="s">
        <v>240</v>
      </c>
      <c r="ED3550" s="5" t="s">
        <v>240</v>
      </c>
      <c r="EE3550" s="5" t="s">
        <v>240</v>
      </c>
      <c r="EF3550" s="5" t="s">
        <v>240</v>
      </c>
      <c r="EG3550" s="5" t="s">
        <v>240</v>
      </c>
      <c r="EH3550" s="5" t="s">
        <v>240</v>
      </c>
      <c r="EI3550" s="5" t="s">
        <v>240</v>
      </c>
      <c r="EJ3550" s="5" t="s">
        <v>240</v>
      </c>
      <c r="EK3550" s="5" t="s">
        <v>240</v>
      </c>
      <c r="EL3550" s="5" t="s">
        <v>240</v>
      </c>
      <c r="EM3550" s="5" t="s">
        <v>240</v>
      </c>
      <c r="EN3550" s="5" t="s">
        <v>240</v>
      </c>
      <c r="EO3550" s="5" t="s">
        <v>240</v>
      </c>
      <c r="EP3550" s="5" t="s">
        <v>240</v>
      </c>
      <c r="EQ3550" s="5" t="s">
        <v>240</v>
      </c>
      <c r="ER3550" s="5" t="s">
        <v>240</v>
      </c>
      <c r="ES3550" s="5" t="s">
        <v>240</v>
      </c>
      <c r="ET3550" s="5" t="s">
        <v>240</v>
      </c>
      <c r="EU3550" s="5" t="s">
        <v>240</v>
      </c>
      <c r="EV3550" s="5" t="s">
        <v>240</v>
      </c>
      <c r="EW3550" s="5" t="s">
        <v>240</v>
      </c>
      <c r="EX3550" s="5" t="s">
        <v>240</v>
      </c>
      <c r="EY3550" s="5" t="s">
        <v>240</v>
      </c>
      <c r="EZ3550" s="5" t="s">
        <v>240</v>
      </c>
      <c r="FA3550" s="5" t="s">
        <v>240</v>
      </c>
      <c r="FB3550" s="5" t="s">
        <v>240</v>
      </c>
      <c r="FC3550" s="5" t="s">
        <v>240</v>
      </c>
      <c r="FD3550" s="5" t="s">
        <v>240</v>
      </c>
      <c r="FE3550" s="5" t="s">
        <v>240</v>
      </c>
      <c r="FF3550" s="5" t="s">
        <v>240</v>
      </c>
      <c r="FG3550" s="5" t="s">
        <v>240</v>
      </c>
      <c r="FH3550" s="5" t="s">
        <v>240</v>
      </c>
      <c r="FI3550" s="5" t="s">
        <v>240</v>
      </c>
      <c r="FJ3550" s="5" t="s">
        <v>240</v>
      </c>
      <c r="FK3550" s="5" t="s">
        <v>240</v>
      </c>
      <c r="FL3550" s="5" t="s">
        <v>240</v>
      </c>
      <c r="FM3550" s="5" t="s">
        <v>240</v>
      </c>
      <c r="FN3550" s="5" t="s">
        <v>240</v>
      </c>
      <c r="FO3550" s="5" t="s">
        <v>240</v>
      </c>
      <c r="FP3550" s="5" t="s">
        <v>240</v>
      </c>
      <c r="FQ3550" s="5" t="s">
        <v>240</v>
      </c>
      <c r="FR3550" s="5" t="s">
        <v>240</v>
      </c>
      <c r="FS3550" s="5" t="s">
        <v>240</v>
      </c>
      <c r="FT3550" s="5" t="s">
        <v>240</v>
      </c>
      <c r="FU3550" s="5" t="s">
        <v>240</v>
      </c>
      <c r="FV3550" s="5" t="s">
        <v>240</v>
      </c>
      <c r="FW3550" s="5" t="s">
        <v>240</v>
      </c>
      <c r="FX3550" s="5" t="s">
        <v>240</v>
      </c>
      <c r="FY3550" s="5" t="s">
        <v>240</v>
      </c>
      <c r="FZ3550" s="5" t="s">
        <v>240</v>
      </c>
      <c r="GA3550" s="5" t="s">
        <v>240</v>
      </c>
      <c r="GB3550" s="5" t="s">
        <v>240</v>
      </c>
      <c r="GC3550" s="5" t="s">
        <v>240</v>
      </c>
      <c r="GD3550" s="5" t="s">
        <v>240</v>
      </c>
      <c r="GE3550" s="5" t="s">
        <v>240</v>
      </c>
      <c r="GF3550" s="5" t="s">
        <v>240</v>
      </c>
      <c r="GG3550" s="5" t="s">
        <v>240</v>
      </c>
      <c r="GH3550" s="5" t="s">
        <v>240</v>
      </c>
      <c r="GI3550" s="5" t="s">
        <v>240</v>
      </c>
      <c r="GJ3550" s="5" t="s">
        <v>240</v>
      </c>
      <c r="GK3550" s="5" t="s">
        <v>240</v>
      </c>
      <c r="GL3550" s="5" t="s">
        <v>240</v>
      </c>
      <c r="GM3550" s="5" t="s">
        <v>240</v>
      </c>
      <c r="GN3550" s="5" t="s">
        <v>240</v>
      </c>
      <c r="GO3550" s="5" t="s">
        <v>240</v>
      </c>
      <c r="GP3550" s="5" t="s">
        <v>240</v>
      </c>
      <c r="GQ3550" s="5" t="s">
        <v>240</v>
      </c>
      <c r="GR3550" s="5" t="s">
        <v>240</v>
      </c>
      <c r="GS3550" s="5" t="s">
        <v>240</v>
      </c>
      <c r="GT3550" s="5" t="s">
        <v>240</v>
      </c>
      <c r="GU3550" s="5" t="s">
        <v>240</v>
      </c>
      <c r="GV3550" s="5" t="s">
        <v>240</v>
      </c>
      <c r="GW3550" s="5" t="s">
        <v>240</v>
      </c>
      <c r="GX3550" s="5" t="s">
        <v>240</v>
      </c>
      <c r="GY3550" s="5" t="s">
        <v>240</v>
      </c>
      <c r="GZ3550" s="5" t="s">
        <v>240</v>
      </c>
      <c r="HA3550" s="5" t="s">
        <v>240</v>
      </c>
      <c r="HB3550" s="5" t="s">
        <v>240</v>
      </c>
      <c r="HC3550" s="5" t="s">
        <v>240</v>
      </c>
      <c r="HD3550" s="5" t="s">
        <v>240</v>
      </c>
      <c r="HE3550" s="5" t="s">
        <v>240</v>
      </c>
      <c r="HF3550" s="5" t="s">
        <v>240</v>
      </c>
      <c r="HG3550" s="5" t="s">
        <v>240</v>
      </c>
      <c r="HH3550" s="5" t="s">
        <v>240</v>
      </c>
      <c r="HI3550" s="5" t="s">
        <v>240</v>
      </c>
      <c r="HJ3550" s="5" t="s">
        <v>240</v>
      </c>
      <c r="HK3550" s="5" t="s">
        <v>240</v>
      </c>
      <c r="HL3550" s="5" t="s">
        <v>240</v>
      </c>
      <c r="HM3550" s="5" t="s">
        <v>240</v>
      </c>
      <c r="HN3550" s="5" t="s">
        <v>240</v>
      </c>
      <c r="HO3550" s="5" t="s">
        <v>312</v>
      </c>
      <c r="HP3550" s="5" t="s">
        <v>240</v>
      </c>
      <c r="HQ3550" s="5" t="s">
        <v>240</v>
      </c>
      <c r="HR3550" s="5" t="s">
        <v>240</v>
      </c>
      <c r="HS3550" s="5" t="s">
        <v>240</v>
      </c>
      <c r="HT3550" s="5" t="s">
        <v>240</v>
      </c>
      <c r="HU3550" s="5" t="s">
        <v>240</v>
      </c>
      <c r="HV3550" s="5" t="s">
        <v>240</v>
      </c>
      <c r="HW3550" s="5" t="s">
        <v>240</v>
      </c>
      <c r="HX3550" s="5" t="s">
        <v>240</v>
      </c>
      <c r="HY3550" s="5" t="s">
        <v>240</v>
      </c>
      <c r="HZ3550" s="5" t="s">
        <v>240</v>
      </c>
      <c r="IA3550" s="5" t="s">
        <v>240</v>
      </c>
      <c r="IB3550" s="5" t="s">
        <v>240</v>
      </c>
      <c r="IC3550" s="5" t="s">
        <v>240</v>
      </c>
      <c r="ID3550" s="5" t="s">
        <v>240</v>
      </c>
      <c r="IE3550" s="5" t="s">
        <v>240</v>
      </c>
      <c r="IF3550" s="5" t="s">
        <v>240</v>
      </c>
    </row>
    <row r="3551" spans="1:240" x14ac:dyDescent="0.4">
      <c r="A3551" s="5">
        <v>9093</v>
      </c>
      <c r="B3551" s="5">
        <v>1</v>
      </c>
      <c r="C3551" s="5">
        <v>1</v>
      </c>
      <c r="D3551" s="5" t="s">
        <v>723</v>
      </c>
      <c r="E3551" s="5" t="s">
        <v>725</v>
      </c>
      <c r="F3551" s="5" t="s">
        <v>254</v>
      </c>
      <c r="G3551" s="5" t="s">
        <v>726</v>
      </c>
      <c r="H3551" s="6" t="s">
        <v>6421</v>
      </c>
      <c r="I3551" s="5" t="s">
        <v>6420</v>
      </c>
      <c r="J3551" s="7">
        <f>1</f>
        <v>1</v>
      </c>
      <c r="K3551" s="5" t="s">
        <v>3682</v>
      </c>
      <c r="L3551" s="7">
        <f>1</f>
        <v>1</v>
      </c>
      <c r="M3551" s="7">
        <f>1</f>
        <v>1</v>
      </c>
      <c r="N3551" s="5" t="s">
        <v>242</v>
      </c>
      <c r="O3551" s="5">
        <v>1</v>
      </c>
      <c r="P3551" s="5" t="s">
        <v>294</v>
      </c>
      <c r="Q3551" s="5" t="s">
        <v>613</v>
      </c>
      <c r="R3551" s="5" t="s">
        <v>240</v>
      </c>
      <c r="S3551" s="5" t="s">
        <v>240</v>
      </c>
      <c r="T3551" s="5" t="s">
        <v>243</v>
      </c>
      <c r="U3551" s="5" t="s">
        <v>724</v>
      </c>
      <c r="V3551" s="5" t="s">
        <v>240</v>
      </c>
      <c r="W3551" s="5" t="s">
        <v>240</v>
      </c>
      <c r="X3551" s="5" t="s">
        <v>240</v>
      </c>
      <c r="Y3551" s="5" t="s">
        <v>240</v>
      </c>
      <c r="Z3551" s="6" t="s">
        <v>298</v>
      </c>
      <c r="AA3551" s="6" t="s">
        <v>240</v>
      </c>
      <c r="AB3551" s="6" t="s">
        <v>240</v>
      </c>
      <c r="AC3551" s="5" t="s">
        <v>240</v>
      </c>
      <c r="AD3551" s="6" t="s">
        <v>240</v>
      </c>
      <c r="AE3551" s="6" t="s">
        <v>299</v>
      </c>
      <c r="AF3551" s="5" t="s">
        <v>727</v>
      </c>
      <c r="AG3551" s="5" t="s">
        <v>260</v>
      </c>
      <c r="AH3551" s="5" t="s">
        <v>240</v>
      </c>
      <c r="AI3551" s="5" t="s">
        <v>240</v>
      </c>
      <c r="AJ3551" s="5" t="s">
        <v>240</v>
      </c>
      <c r="AK3551" s="5" t="s">
        <v>240</v>
      </c>
      <c r="AL3551" s="5" t="s">
        <v>240</v>
      </c>
      <c r="AM3551" s="5" t="s">
        <v>240</v>
      </c>
      <c r="AN3551" s="5" t="s">
        <v>240</v>
      </c>
      <c r="AO3551" s="5" t="s">
        <v>240</v>
      </c>
      <c r="AP3551" s="6" t="s">
        <v>240</v>
      </c>
      <c r="AQ3551" s="6" t="s">
        <v>240</v>
      </c>
      <c r="AR3551" s="6" t="s">
        <v>240</v>
      </c>
      <c r="AS3551" s="6" t="s">
        <v>240</v>
      </c>
      <c r="AT3551" s="5" t="s">
        <v>240</v>
      </c>
      <c r="AU3551" s="5" t="s">
        <v>729</v>
      </c>
      <c r="AV3551" s="5" t="s">
        <v>729</v>
      </c>
      <c r="AW3551" s="5" t="s">
        <v>251</v>
      </c>
      <c r="AX3551" s="5" t="s">
        <v>252</v>
      </c>
      <c r="AY3551" s="5" t="s">
        <v>253</v>
      </c>
      <c r="AZ3551" s="5" t="s">
        <v>240</v>
      </c>
      <c r="BA3551" s="5" t="s">
        <v>255</v>
      </c>
      <c r="BB3551" s="5" t="s">
        <v>731</v>
      </c>
      <c r="BD3551" s="5" t="s">
        <v>240</v>
      </c>
      <c r="BF3551" s="5" t="s">
        <v>732</v>
      </c>
      <c r="BG3551" s="6" t="s">
        <v>733</v>
      </c>
      <c r="BH3551" s="5" t="s">
        <v>734</v>
      </c>
      <c r="BI3551" s="5" t="s">
        <v>734</v>
      </c>
      <c r="BJ3551" s="5" t="s">
        <v>240</v>
      </c>
      <c r="BK3551" s="8">
        <f>1454.54</f>
        <v>1454.54</v>
      </c>
      <c r="BL3551" s="7">
        <f>0</f>
        <v>0</v>
      </c>
      <c r="BM3551" s="5" t="s">
        <v>258</v>
      </c>
      <c r="BN3551" s="5" t="s">
        <v>259</v>
      </c>
      <c r="BO3551" s="5" t="s">
        <v>240</v>
      </c>
      <c r="BP3551" s="5" t="s">
        <v>240</v>
      </c>
      <c r="BQ3551" s="5" t="s">
        <v>240</v>
      </c>
      <c r="BR3551" s="5" t="s">
        <v>240</v>
      </c>
      <c r="BS3551" s="5" t="s">
        <v>240</v>
      </c>
      <c r="BT3551" s="5" t="s">
        <v>240</v>
      </c>
      <c r="BU3551" s="5" t="s">
        <v>240</v>
      </c>
      <c r="BV3551" s="5" t="s">
        <v>240</v>
      </c>
      <c r="BW3551" s="6" t="s">
        <v>240</v>
      </c>
      <c r="BX3551" s="5" t="s">
        <v>240</v>
      </c>
      <c r="BY3551" s="5" t="s">
        <v>240</v>
      </c>
      <c r="BZ3551" s="5" t="s">
        <v>240</v>
      </c>
      <c r="CA3551" s="5" t="s">
        <v>259</v>
      </c>
      <c r="CB3551" s="5" t="s">
        <v>240</v>
      </c>
      <c r="CC3551" s="5" t="s">
        <v>240</v>
      </c>
      <c r="CD3551" s="5" t="s">
        <v>240</v>
      </c>
      <c r="CE3551" s="5" t="s">
        <v>240</v>
      </c>
      <c r="CF3551" s="5" t="s">
        <v>240</v>
      </c>
      <c r="CG3551" s="5" t="s">
        <v>617</v>
      </c>
      <c r="CH3551" s="5" t="s">
        <v>305</v>
      </c>
      <c r="CI3551" s="5" t="s">
        <v>240</v>
      </c>
      <c r="CL3551" s="6" t="s">
        <v>261</v>
      </c>
      <c r="CM3551" s="5" t="s">
        <v>262</v>
      </c>
      <c r="CN3551" s="5" t="s">
        <v>263</v>
      </c>
      <c r="CO3551" s="5" t="s">
        <v>264</v>
      </c>
      <c r="CP3551" s="5" t="s">
        <v>240</v>
      </c>
      <c r="CQ3551" s="5">
        <v>0</v>
      </c>
      <c r="CR3551" s="5" t="s">
        <v>735</v>
      </c>
      <c r="CS3551" s="5" t="s">
        <v>307</v>
      </c>
      <c r="CT3551" s="5" t="s">
        <v>307</v>
      </c>
      <c r="CU3551" s="5" t="s">
        <v>260</v>
      </c>
      <c r="CV3551" s="5" t="s">
        <v>240</v>
      </c>
      <c r="CW3551" s="8">
        <f>0</f>
        <v>0</v>
      </c>
      <c r="CX3551" s="7">
        <f>0</f>
        <v>0</v>
      </c>
      <c r="CY3551" s="7">
        <f>0</f>
        <v>0</v>
      </c>
      <c r="DA3551" s="7">
        <f>15999</f>
        <v>15999</v>
      </c>
      <c r="DB3551" s="7" t="s">
        <v>240</v>
      </c>
      <c r="DC3551" s="5" t="s">
        <v>240</v>
      </c>
      <c r="DD3551" s="5" t="s">
        <v>240</v>
      </c>
      <c r="DE3551" s="5" t="s">
        <v>240</v>
      </c>
      <c r="DF3551" s="5" t="s">
        <v>450</v>
      </c>
      <c r="DG3551" s="7">
        <f>0</f>
        <v>0</v>
      </c>
      <c r="DI3551" s="5" t="s">
        <v>737</v>
      </c>
      <c r="DJ3551" s="5" t="s">
        <v>240</v>
      </c>
      <c r="DK3551" s="5" t="s">
        <v>240</v>
      </c>
      <c r="DL3551" s="5" t="s">
        <v>240</v>
      </c>
      <c r="DM3551" s="5" t="s">
        <v>240</v>
      </c>
      <c r="DN3551" s="5" t="s">
        <v>240</v>
      </c>
      <c r="DO3551" s="7" t="s">
        <v>240</v>
      </c>
      <c r="DP3551" s="5" t="s">
        <v>240</v>
      </c>
      <c r="DQ3551" s="5" t="s">
        <v>240</v>
      </c>
      <c r="DR3551" s="5" t="s">
        <v>731</v>
      </c>
      <c r="DS3551" s="5" t="s">
        <v>731</v>
      </c>
      <c r="DT3551" s="5" t="s">
        <v>240</v>
      </c>
      <c r="DU3551" s="5" t="s">
        <v>240</v>
      </c>
      <c r="DV3551" s="5" t="s">
        <v>738</v>
      </c>
      <c r="DW3551" s="5" t="s">
        <v>518</v>
      </c>
      <c r="DX3551" s="5" t="s">
        <v>240</v>
      </c>
      <c r="DY3551" s="5" t="s">
        <v>240</v>
      </c>
      <c r="DZ3551" s="5" t="s">
        <v>240</v>
      </c>
      <c r="EA3551" s="5" t="s">
        <v>240</v>
      </c>
      <c r="EB3551" s="5" t="s">
        <v>240</v>
      </c>
      <c r="EC3551" s="5" t="s">
        <v>240</v>
      </c>
      <c r="ED3551" s="5" t="s">
        <v>240</v>
      </c>
      <c r="EE3551" s="5" t="s">
        <v>240</v>
      </c>
      <c r="EF3551" s="5" t="s">
        <v>240</v>
      </c>
      <c r="EG3551" s="5" t="s">
        <v>240</v>
      </c>
      <c r="EH3551" s="5" t="s">
        <v>240</v>
      </c>
      <c r="EI3551" s="5" t="s">
        <v>240</v>
      </c>
      <c r="EJ3551" s="5" t="s">
        <v>240</v>
      </c>
      <c r="EK3551" s="5" t="s">
        <v>240</v>
      </c>
      <c r="EL3551" s="5" t="s">
        <v>240</v>
      </c>
      <c r="EM3551" s="5" t="s">
        <v>240</v>
      </c>
      <c r="EN3551" s="5" t="s">
        <v>240</v>
      </c>
      <c r="EO3551" s="5" t="s">
        <v>240</v>
      </c>
      <c r="EP3551" s="5" t="s">
        <v>240</v>
      </c>
      <c r="EQ3551" s="5" t="s">
        <v>240</v>
      </c>
      <c r="ER3551" s="5" t="s">
        <v>240</v>
      </c>
      <c r="ES3551" s="5" t="s">
        <v>240</v>
      </c>
      <c r="ET3551" s="5" t="s">
        <v>240</v>
      </c>
      <c r="EU3551" s="5" t="s">
        <v>240</v>
      </c>
      <c r="EV3551" s="5" t="s">
        <v>240</v>
      </c>
      <c r="EW3551" s="5" t="s">
        <v>240</v>
      </c>
      <c r="EX3551" s="5" t="s">
        <v>240</v>
      </c>
      <c r="EY3551" s="5" t="s">
        <v>240</v>
      </c>
      <c r="EZ3551" s="5" t="s">
        <v>240</v>
      </c>
      <c r="FA3551" s="5" t="s">
        <v>240</v>
      </c>
      <c r="FB3551" s="5" t="s">
        <v>240</v>
      </c>
      <c r="FC3551" s="5" t="s">
        <v>240</v>
      </c>
      <c r="FD3551" s="5" t="s">
        <v>240</v>
      </c>
      <c r="FE3551" s="5" t="s">
        <v>240</v>
      </c>
      <c r="FF3551" s="5" t="s">
        <v>240</v>
      </c>
      <c r="FG3551" s="5" t="s">
        <v>240</v>
      </c>
      <c r="FH3551" s="5" t="s">
        <v>240</v>
      </c>
      <c r="FI3551" s="5" t="s">
        <v>240</v>
      </c>
      <c r="FJ3551" s="5" t="s">
        <v>240</v>
      </c>
      <c r="FK3551" s="5" t="s">
        <v>240</v>
      </c>
      <c r="FL3551" s="5" t="s">
        <v>240</v>
      </c>
      <c r="FM3551" s="5" t="s">
        <v>240</v>
      </c>
      <c r="FN3551" s="5" t="s">
        <v>240</v>
      </c>
      <c r="FO3551" s="5" t="s">
        <v>240</v>
      </c>
      <c r="FP3551" s="5" t="s">
        <v>240</v>
      </c>
      <c r="FQ3551" s="5" t="s">
        <v>240</v>
      </c>
      <c r="FR3551" s="5" t="s">
        <v>240</v>
      </c>
      <c r="FS3551" s="5" t="s">
        <v>240</v>
      </c>
      <c r="FT3551" s="5" t="s">
        <v>240</v>
      </c>
      <c r="FU3551" s="5" t="s">
        <v>240</v>
      </c>
      <c r="FV3551" s="5" t="s">
        <v>240</v>
      </c>
      <c r="FW3551" s="5" t="s">
        <v>240</v>
      </c>
      <c r="FX3551" s="5" t="s">
        <v>240</v>
      </c>
      <c r="FY3551" s="5" t="s">
        <v>240</v>
      </c>
      <c r="FZ3551" s="5" t="s">
        <v>240</v>
      </c>
      <c r="GA3551" s="5" t="s">
        <v>240</v>
      </c>
      <c r="GB3551" s="5" t="s">
        <v>240</v>
      </c>
      <c r="GC3551" s="5" t="s">
        <v>240</v>
      </c>
      <c r="GD3551" s="5" t="s">
        <v>240</v>
      </c>
      <c r="GE3551" s="5" t="s">
        <v>240</v>
      </c>
      <c r="GF3551" s="5" t="s">
        <v>240</v>
      </c>
      <c r="GG3551" s="5" t="s">
        <v>240</v>
      </c>
      <c r="GH3551" s="5" t="s">
        <v>240</v>
      </c>
      <c r="GI3551" s="5" t="s">
        <v>240</v>
      </c>
      <c r="GJ3551" s="5" t="s">
        <v>240</v>
      </c>
      <c r="GK3551" s="5" t="s">
        <v>240</v>
      </c>
      <c r="GL3551" s="5" t="s">
        <v>240</v>
      </c>
      <c r="GM3551" s="5" t="s">
        <v>240</v>
      </c>
      <c r="GN3551" s="5" t="s">
        <v>240</v>
      </c>
      <c r="GO3551" s="5" t="s">
        <v>240</v>
      </c>
      <c r="GP3551" s="5" t="s">
        <v>240</v>
      </c>
      <c r="GQ3551" s="5" t="s">
        <v>240</v>
      </c>
      <c r="GR3551" s="5" t="s">
        <v>240</v>
      </c>
      <c r="GS3551" s="5" t="s">
        <v>240</v>
      </c>
      <c r="GT3551" s="5" t="s">
        <v>240</v>
      </c>
      <c r="GU3551" s="5" t="s">
        <v>240</v>
      </c>
      <c r="GV3551" s="5" t="s">
        <v>240</v>
      </c>
      <c r="GW3551" s="5" t="s">
        <v>240</v>
      </c>
      <c r="GX3551" s="5" t="s">
        <v>240</v>
      </c>
      <c r="GY3551" s="5" t="s">
        <v>240</v>
      </c>
      <c r="GZ3551" s="5" t="s">
        <v>240</v>
      </c>
      <c r="HA3551" s="5" t="s">
        <v>240</v>
      </c>
      <c r="HB3551" s="5" t="s">
        <v>240</v>
      </c>
      <c r="HC3551" s="5" t="s">
        <v>240</v>
      </c>
      <c r="HD3551" s="5" t="s">
        <v>240</v>
      </c>
      <c r="HE3551" s="5" t="s">
        <v>240</v>
      </c>
      <c r="HF3551" s="5" t="s">
        <v>240</v>
      </c>
      <c r="HG3551" s="5" t="s">
        <v>240</v>
      </c>
      <c r="HH3551" s="5" t="s">
        <v>240</v>
      </c>
      <c r="HI3551" s="5" t="s">
        <v>240</v>
      </c>
      <c r="HJ3551" s="5" t="s">
        <v>240</v>
      </c>
      <c r="HK3551" s="5" t="s">
        <v>240</v>
      </c>
      <c r="HL3551" s="5" t="s">
        <v>240</v>
      </c>
      <c r="HM3551" s="5" t="s">
        <v>240</v>
      </c>
      <c r="HN3551" s="5" t="s">
        <v>240</v>
      </c>
      <c r="HO3551" s="5" t="s">
        <v>620</v>
      </c>
      <c r="HP3551" s="5" t="s">
        <v>240</v>
      </c>
      <c r="HQ3551" s="5" t="s">
        <v>240</v>
      </c>
      <c r="HR3551" s="5" t="s">
        <v>240</v>
      </c>
      <c r="HS3551" s="5" t="s">
        <v>240</v>
      </c>
      <c r="HT3551" s="5" t="s">
        <v>240</v>
      </c>
      <c r="HU3551" s="5" t="s">
        <v>240</v>
      </c>
      <c r="HV3551" s="5" t="s">
        <v>240</v>
      </c>
      <c r="HW3551" s="5" t="s">
        <v>240</v>
      </c>
      <c r="HX3551" s="5" t="s">
        <v>240</v>
      </c>
      <c r="HY3551" s="5" t="s">
        <v>240</v>
      </c>
      <c r="HZ3551" s="5" t="s">
        <v>240</v>
      </c>
      <c r="IA3551" s="5" t="s">
        <v>240</v>
      </c>
      <c r="IB3551" s="5" t="s">
        <v>240</v>
      </c>
      <c r="IC3551" s="5" t="s">
        <v>240</v>
      </c>
      <c r="ID3551" s="5" t="s">
        <v>240</v>
      </c>
      <c r="IE3551" s="5" t="s">
        <v>240</v>
      </c>
      <c r="IF3551" s="5" t="s">
        <v>240</v>
      </c>
    </row>
    <row r="3552" spans="1:240" x14ac:dyDescent="0.4">
      <c r="A3552" s="5">
        <v>9094</v>
      </c>
      <c r="B3552" s="5">
        <v>1</v>
      </c>
      <c r="C3552" s="5">
        <v>1</v>
      </c>
      <c r="D3552" s="5" t="s">
        <v>723</v>
      </c>
      <c r="E3552" s="5" t="s">
        <v>725</v>
      </c>
      <c r="F3552" s="5" t="s">
        <v>254</v>
      </c>
      <c r="G3552" s="5" t="s">
        <v>6427</v>
      </c>
      <c r="H3552" s="6" t="s">
        <v>6428</v>
      </c>
      <c r="I3552" s="5" t="s">
        <v>6426</v>
      </c>
      <c r="J3552" s="7">
        <f>1</f>
        <v>1</v>
      </c>
      <c r="K3552" s="5" t="s">
        <v>3682</v>
      </c>
      <c r="L3552" s="7">
        <f>1</f>
        <v>1</v>
      </c>
      <c r="M3552" s="7">
        <f>1</f>
        <v>1</v>
      </c>
      <c r="N3552" s="5" t="s">
        <v>242</v>
      </c>
      <c r="O3552" s="5">
        <v>1</v>
      </c>
      <c r="P3552" s="5" t="s">
        <v>294</v>
      </c>
      <c r="Q3552" s="5" t="s">
        <v>613</v>
      </c>
      <c r="R3552" s="5" t="s">
        <v>240</v>
      </c>
      <c r="S3552" s="5" t="s">
        <v>240</v>
      </c>
      <c r="T3552" s="5" t="s">
        <v>243</v>
      </c>
      <c r="U3552" s="5" t="s">
        <v>724</v>
      </c>
      <c r="V3552" s="5" t="s">
        <v>240</v>
      </c>
      <c r="W3552" s="5" t="s">
        <v>240</v>
      </c>
      <c r="X3552" s="5" t="s">
        <v>240</v>
      </c>
      <c r="Y3552" s="5" t="s">
        <v>240</v>
      </c>
      <c r="Z3552" s="6" t="s">
        <v>298</v>
      </c>
      <c r="AA3552" s="6" t="s">
        <v>240</v>
      </c>
      <c r="AB3552" s="6" t="s">
        <v>240</v>
      </c>
      <c r="AC3552" s="5" t="s">
        <v>240</v>
      </c>
      <c r="AD3552" s="6" t="s">
        <v>240</v>
      </c>
      <c r="AE3552" s="6" t="s">
        <v>299</v>
      </c>
      <c r="AF3552" s="5" t="s">
        <v>727</v>
      </c>
      <c r="AG3552" s="5" t="s">
        <v>260</v>
      </c>
      <c r="AH3552" s="5" t="s">
        <v>240</v>
      </c>
      <c r="AI3552" s="5" t="s">
        <v>240</v>
      </c>
      <c r="AJ3552" s="5" t="s">
        <v>240</v>
      </c>
      <c r="AK3552" s="5" t="s">
        <v>240</v>
      </c>
      <c r="AL3552" s="5" t="s">
        <v>240</v>
      </c>
      <c r="AM3552" s="5" t="s">
        <v>240</v>
      </c>
      <c r="AN3552" s="5" t="s">
        <v>240</v>
      </c>
      <c r="AO3552" s="5" t="s">
        <v>240</v>
      </c>
      <c r="AP3552" s="6" t="s">
        <v>240</v>
      </c>
      <c r="AQ3552" s="6" t="s">
        <v>240</v>
      </c>
      <c r="AR3552" s="6" t="s">
        <v>240</v>
      </c>
      <c r="AS3552" s="6" t="s">
        <v>240</v>
      </c>
      <c r="AT3552" s="5" t="s">
        <v>240</v>
      </c>
      <c r="AU3552" s="5" t="s">
        <v>729</v>
      </c>
      <c r="AV3552" s="5" t="s">
        <v>729</v>
      </c>
      <c r="AW3552" s="5" t="s">
        <v>251</v>
      </c>
      <c r="AX3552" s="5" t="s">
        <v>252</v>
      </c>
      <c r="AY3552" s="5" t="s">
        <v>253</v>
      </c>
      <c r="AZ3552" s="5" t="s">
        <v>240</v>
      </c>
      <c r="BA3552" s="5" t="s">
        <v>255</v>
      </c>
      <c r="BB3552" s="5" t="s">
        <v>731</v>
      </c>
      <c r="BD3552" s="5" t="s">
        <v>240</v>
      </c>
      <c r="BF3552" s="5" t="s">
        <v>732</v>
      </c>
      <c r="BG3552" s="6" t="s">
        <v>733</v>
      </c>
      <c r="BH3552" s="5" t="s">
        <v>734</v>
      </c>
      <c r="BI3552" s="5" t="s">
        <v>734</v>
      </c>
      <c r="BJ3552" s="5" t="s">
        <v>240</v>
      </c>
      <c r="BK3552" s="8">
        <f>193.8</f>
        <v>193.8</v>
      </c>
      <c r="BL3552" s="7">
        <f>0</f>
        <v>0</v>
      </c>
      <c r="BM3552" s="5" t="s">
        <v>258</v>
      </c>
      <c r="BN3552" s="5" t="s">
        <v>259</v>
      </c>
      <c r="BO3552" s="5" t="s">
        <v>240</v>
      </c>
      <c r="BP3552" s="5" t="s">
        <v>240</v>
      </c>
      <c r="BQ3552" s="5" t="s">
        <v>240</v>
      </c>
      <c r="BR3552" s="5" t="s">
        <v>240</v>
      </c>
      <c r="BS3552" s="5" t="s">
        <v>240</v>
      </c>
      <c r="BT3552" s="5" t="s">
        <v>240</v>
      </c>
      <c r="BU3552" s="5" t="s">
        <v>240</v>
      </c>
      <c r="BV3552" s="5" t="s">
        <v>240</v>
      </c>
      <c r="BW3552" s="6" t="s">
        <v>240</v>
      </c>
      <c r="BX3552" s="5" t="s">
        <v>240</v>
      </c>
      <c r="BY3552" s="5" t="s">
        <v>240</v>
      </c>
      <c r="BZ3552" s="5" t="s">
        <v>240</v>
      </c>
      <c r="CA3552" s="5" t="s">
        <v>259</v>
      </c>
      <c r="CB3552" s="5" t="s">
        <v>240</v>
      </c>
      <c r="CC3552" s="5" t="s">
        <v>240</v>
      </c>
      <c r="CD3552" s="5" t="s">
        <v>240</v>
      </c>
      <c r="CE3552" s="5" t="s">
        <v>240</v>
      </c>
      <c r="CF3552" s="5" t="s">
        <v>240</v>
      </c>
      <c r="CG3552" s="5" t="s">
        <v>617</v>
      </c>
      <c r="CH3552" s="5" t="s">
        <v>305</v>
      </c>
      <c r="CI3552" s="5" t="s">
        <v>240</v>
      </c>
      <c r="CL3552" s="6" t="s">
        <v>261</v>
      </c>
      <c r="CM3552" s="5" t="s">
        <v>262</v>
      </c>
      <c r="CN3552" s="5" t="s">
        <v>263</v>
      </c>
      <c r="CO3552" s="5" t="s">
        <v>264</v>
      </c>
      <c r="CP3552" s="5" t="s">
        <v>240</v>
      </c>
      <c r="CQ3552" s="5">
        <v>0</v>
      </c>
      <c r="CR3552" s="5" t="s">
        <v>735</v>
      </c>
      <c r="CS3552" s="5" t="s">
        <v>307</v>
      </c>
      <c r="CT3552" s="5" t="s">
        <v>307</v>
      </c>
      <c r="CU3552" s="5" t="s">
        <v>260</v>
      </c>
      <c r="CV3552" s="5" t="s">
        <v>240</v>
      </c>
      <c r="CW3552" s="8">
        <f>0</f>
        <v>0</v>
      </c>
      <c r="CX3552" s="7">
        <f>0</f>
        <v>0</v>
      </c>
      <c r="CY3552" s="7">
        <f>0</f>
        <v>0</v>
      </c>
      <c r="DA3552" s="7">
        <f>2131</f>
        <v>2131</v>
      </c>
      <c r="DB3552" s="7" t="s">
        <v>240</v>
      </c>
      <c r="DC3552" s="5" t="s">
        <v>240</v>
      </c>
      <c r="DD3552" s="5" t="s">
        <v>240</v>
      </c>
      <c r="DE3552" s="5" t="s">
        <v>240</v>
      </c>
      <c r="DF3552" s="5" t="s">
        <v>450</v>
      </c>
      <c r="DG3552" s="7">
        <f>0</f>
        <v>0</v>
      </c>
      <c r="DI3552" s="5" t="s">
        <v>737</v>
      </c>
      <c r="DJ3552" s="5" t="s">
        <v>240</v>
      </c>
      <c r="DK3552" s="5" t="s">
        <v>240</v>
      </c>
      <c r="DL3552" s="5" t="s">
        <v>240</v>
      </c>
      <c r="DM3552" s="5" t="s">
        <v>240</v>
      </c>
      <c r="DN3552" s="5" t="s">
        <v>240</v>
      </c>
      <c r="DO3552" s="7" t="s">
        <v>240</v>
      </c>
      <c r="DP3552" s="5" t="s">
        <v>240</v>
      </c>
      <c r="DQ3552" s="5" t="s">
        <v>240</v>
      </c>
      <c r="DR3552" s="5" t="s">
        <v>731</v>
      </c>
      <c r="DS3552" s="5" t="s">
        <v>731</v>
      </c>
      <c r="DT3552" s="5" t="s">
        <v>240</v>
      </c>
      <c r="DU3552" s="5" t="s">
        <v>240</v>
      </c>
      <c r="DV3552" s="5" t="s">
        <v>738</v>
      </c>
      <c r="DW3552" s="5" t="s">
        <v>508</v>
      </c>
      <c r="DX3552" s="5" t="s">
        <v>240</v>
      </c>
      <c r="DY3552" s="5" t="s">
        <v>240</v>
      </c>
      <c r="DZ3552" s="5" t="s">
        <v>240</v>
      </c>
      <c r="EA3552" s="5" t="s">
        <v>240</v>
      </c>
      <c r="EB3552" s="5" t="s">
        <v>240</v>
      </c>
      <c r="EC3552" s="5" t="s">
        <v>240</v>
      </c>
      <c r="ED3552" s="5" t="s">
        <v>240</v>
      </c>
      <c r="EE3552" s="5" t="s">
        <v>240</v>
      </c>
      <c r="EF3552" s="5" t="s">
        <v>240</v>
      </c>
      <c r="EG3552" s="5" t="s">
        <v>240</v>
      </c>
      <c r="EH3552" s="5" t="s">
        <v>240</v>
      </c>
      <c r="EI3552" s="5" t="s">
        <v>240</v>
      </c>
      <c r="EJ3552" s="5" t="s">
        <v>240</v>
      </c>
      <c r="EK3552" s="5" t="s">
        <v>240</v>
      </c>
      <c r="EL3552" s="5" t="s">
        <v>240</v>
      </c>
      <c r="EM3552" s="5" t="s">
        <v>240</v>
      </c>
      <c r="EN3552" s="5" t="s">
        <v>240</v>
      </c>
      <c r="EO3552" s="5" t="s">
        <v>240</v>
      </c>
      <c r="EP3552" s="5" t="s">
        <v>240</v>
      </c>
      <c r="EQ3552" s="5" t="s">
        <v>240</v>
      </c>
      <c r="ER3552" s="5" t="s">
        <v>240</v>
      </c>
      <c r="ES3552" s="5" t="s">
        <v>240</v>
      </c>
      <c r="ET3552" s="5" t="s">
        <v>240</v>
      </c>
      <c r="EU3552" s="5" t="s">
        <v>240</v>
      </c>
      <c r="EV3552" s="5" t="s">
        <v>240</v>
      </c>
      <c r="EW3552" s="5" t="s">
        <v>240</v>
      </c>
      <c r="EX3552" s="5" t="s">
        <v>240</v>
      </c>
      <c r="EY3552" s="5" t="s">
        <v>240</v>
      </c>
      <c r="EZ3552" s="5" t="s">
        <v>240</v>
      </c>
      <c r="FA3552" s="5" t="s">
        <v>240</v>
      </c>
      <c r="FB3552" s="5" t="s">
        <v>240</v>
      </c>
      <c r="FC3552" s="5" t="s">
        <v>240</v>
      </c>
      <c r="FD3552" s="5" t="s">
        <v>240</v>
      </c>
      <c r="FE3552" s="5" t="s">
        <v>240</v>
      </c>
      <c r="FF3552" s="5" t="s">
        <v>240</v>
      </c>
      <c r="FG3552" s="5" t="s">
        <v>240</v>
      </c>
      <c r="FH3552" s="5" t="s">
        <v>240</v>
      </c>
      <c r="FI3552" s="5" t="s">
        <v>240</v>
      </c>
      <c r="FJ3552" s="5" t="s">
        <v>240</v>
      </c>
      <c r="FK3552" s="5" t="s">
        <v>240</v>
      </c>
      <c r="FL3552" s="5" t="s">
        <v>240</v>
      </c>
      <c r="FM3552" s="5" t="s">
        <v>240</v>
      </c>
      <c r="FN3552" s="5" t="s">
        <v>240</v>
      </c>
      <c r="FO3552" s="5" t="s">
        <v>240</v>
      </c>
      <c r="FP3552" s="5" t="s">
        <v>240</v>
      </c>
      <c r="FQ3552" s="5" t="s">
        <v>240</v>
      </c>
      <c r="FR3552" s="5" t="s">
        <v>240</v>
      </c>
      <c r="FS3552" s="5" t="s">
        <v>240</v>
      </c>
      <c r="FT3552" s="5" t="s">
        <v>240</v>
      </c>
      <c r="FU3552" s="5" t="s">
        <v>240</v>
      </c>
      <c r="FV3552" s="5" t="s">
        <v>240</v>
      </c>
      <c r="FW3552" s="5" t="s">
        <v>240</v>
      </c>
      <c r="FX3552" s="5" t="s">
        <v>240</v>
      </c>
      <c r="FY3552" s="5" t="s">
        <v>240</v>
      </c>
      <c r="FZ3552" s="5" t="s">
        <v>240</v>
      </c>
      <c r="GA3552" s="5" t="s">
        <v>240</v>
      </c>
      <c r="GB3552" s="5" t="s">
        <v>240</v>
      </c>
      <c r="GC3552" s="5" t="s">
        <v>240</v>
      </c>
      <c r="GD3552" s="5" t="s">
        <v>240</v>
      </c>
      <c r="GE3552" s="5" t="s">
        <v>240</v>
      </c>
      <c r="GF3552" s="5" t="s">
        <v>240</v>
      </c>
      <c r="GG3552" s="5" t="s">
        <v>240</v>
      </c>
      <c r="GH3552" s="5" t="s">
        <v>240</v>
      </c>
      <c r="GI3552" s="5" t="s">
        <v>240</v>
      </c>
      <c r="GJ3552" s="5" t="s">
        <v>240</v>
      </c>
      <c r="GK3552" s="5" t="s">
        <v>240</v>
      </c>
      <c r="GL3552" s="5" t="s">
        <v>240</v>
      </c>
      <c r="GM3552" s="5" t="s">
        <v>240</v>
      </c>
      <c r="GN3552" s="5" t="s">
        <v>240</v>
      </c>
      <c r="GO3552" s="5" t="s">
        <v>240</v>
      </c>
      <c r="GP3552" s="5" t="s">
        <v>240</v>
      </c>
      <c r="GQ3552" s="5" t="s">
        <v>240</v>
      </c>
      <c r="GR3552" s="5" t="s">
        <v>240</v>
      </c>
      <c r="GS3552" s="5" t="s">
        <v>240</v>
      </c>
      <c r="GT3552" s="5" t="s">
        <v>240</v>
      </c>
      <c r="GU3552" s="5" t="s">
        <v>240</v>
      </c>
      <c r="GV3552" s="5" t="s">
        <v>240</v>
      </c>
      <c r="GW3552" s="5" t="s">
        <v>240</v>
      </c>
      <c r="GX3552" s="5" t="s">
        <v>240</v>
      </c>
      <c r="GY3552" s="5" t="s">
        <v>240</v>
      </c>
      <c r="GZ3552" s="5" t="s">
        <v>240</v>
      </c>
      <c r="HA3552" s="5" t="s">
        <v>240</v>
      </c>
      <c r="HB3552" s="5" t="s">
        <v>240</v>
      </c>
      <c r="HC3552" s="5" t="s">
        <v>240</v>
      </c>
      <c r="HD3552" s="5" t="s">
        <v>240</v>
      </c>
      <c r="HE3552" s="5" t="s">
        <v>240</v>
      </c>
      <c r="HF3552" s="5" t="s">
        <v>240</v>
      </c>
      <c r="HG3552" s="5" t="s">
        <v>240</v>
      </c>
      <c r="HH3552" s="5" t="s">
        <v>240</v>
      </c>
      <c r="HI3552" s="5" t="s">
        <v>240</v>
      </c>
      <c r="HJ3552" s="5" t="s">
        <v>240</v>
      </c>
      <c r="HK3552" s="5" t="s">
        <v>240</v>
      </c>
      <c r="HL3552" s="5" t="s">
        <v>240</v>
      </c>
      <c r="HM3552" s="5" t="s">
        <v>240</v>
      </c>
      <c r="HN3552" s="5" t="s">
        <v>240</v>
      </c>
      <c r="HO3552" s="5" t="s">
        <v>620</v>
      </c>
      <c r="HP3552" s="5" t="s">
        <v>240</v>
      </c>
      <c r="HQ3552" s="5" t="s">
        <v>240</v>
      </c>
      <c r="HR3552" s="5" t="s">
        <v>240</v>
      </c>
      <c r="HS3552" s="5" t="s">
        <v>240</v>
      </c>
      <c r="HT3552" s="5" t="s">
        <v>240</v>
      </c>
      <c r="HU3552" s="5" t="s">
        <v>240</v>
      </c>
      <c r="HV3552" s="5" t="s">
        <v>240</v>
      </c>
      <c r="HW3552" s="5" t="s">
        <v>240</v>
      </c>
      <c r="HX3552" s="5" t="s">
        <v>240</v>
      </c>
      <c r="HY3552" s="5" t="s">
        <v>240</v>
      </c>
      <c r="HZ3552" s="5" t="s">
        <v>240</v>
      </c>
      <c r="IA3552" s="5" t="s">
        <v>240</v>
      </c>
      <c r="IB3552" s="5" t="s">
        <v>240</v>
      </c>
      <c r="IC3552" s="5" t="s">
        <v>240</v>
      </c>
      <c r="ID3552" s="5" t="s">
        <v>240</v>
      </c>
      <c r="IE3552" s="5" t="s">
        <v>240</v>
      </c>
      <c r="IF3552" s="5" t="s">
        <v>240</v>
      </c>
    </row>
    <row r="3553" spans="1:240" x14ac:dyDescent="0.4">
      <c r="A3553" s="5">
        <v>9095</v>
      </c>
      <c r="B3553" s="5">
        <v>1</v>
      </c>
      <c r="C3553" s="5">
        <v>1</v>
      </c>
      <c r="D3553" s="5" t="s">
        <v>723</v>
      </c>
      <c r="E3553" s="5" t="s">
        <v>725</v>
      </c>
      <c r="F3553" s="5" t="s">
        <v>254</v>
      </c>
      <c r="G3553" s="5" t="s">
        <v>726</v>
      </c>
      <c r="H3553" s="6" t="s">
        <v>6425</v>
      </c>
      <c r="I3553" s="5" t="s">
        <v>6424</v>
      </c>
      <c r="J3553" s="7">
        <f>1</f>
        <v>1</v>
      </c>
      <c r="K3553" s="5" t="s">
        <v>3682</v>
      </c>
      <c r="L3553" s="7">
        <f>1</f>
        <v>1</v>
      </c>
      <c r="M3553" s="7">
        <f>1</f>
        <v>1</v>
      </c>
      <c r="N3553" s="5" t="s">
        <v>242</v>
      </c>
      <c r="O3553" s="5">
        <v>1</v>
      </c>
      <c r="P3553" s="5" t="s">
        <v>294</v>
      </c>
      <c r="Q3553" s="5" t="s">
        <v>613</v>
      </c>
      <c r="R3553" s="5" t="s">
        <v>240</v>
      </c>
      <c r="S3553" s="5" t="s">
        <v>240</v>
      </c>
      <c r="T3553" s="5" t="s">
        <v>243</v>
      </c>
      <c r="U3553" s="5" t="s">
        <v>724</v>
      </c>
      <c r="V3553" s="5" t="s">
        <v>240</v>
      </c>
      <c r="W3553" s="5" t="s">
        <v>240</v>
      </c>
      <c r="X3553" s="5" t="s">
        <v>240</v>
      </c>
      <c r="Y3553" s="5" t="s">
        <v>240</v>
      </c>
      <c r="Z3553" s="6" t="s">
        <v>298</v>
      </c>
      <c r="AA3553" s="6" t="s">
        <v>240</v>
      </c>
      <c r="AB3553" s="6" t="s">
        <v>240</v>
      </c>
      <c r="AC3553" s="5" t="s">
        <v>240</v>
      </c>
      <c r="AD3553" s="6" t="s">
        <v>240</v>
      </c>
      <c r="AE3553" s="6" t="s">
        <v>299</v>
      </c>
      <c r="AF3553" s="5" t="s">
        <v>727</v>
      </c>
      <c r="AG3553" s="5" t="s">
        <v>260</v>
      </c>
      <c r="AH3553" s="5" t="s">
        <v>240</v>
      </c>
      <c r="AI3553" s="5" t="s">
        <v>240</v>
      </c>
      <c r="AJ3553" s="5" t="s">
        <v>240</v>
      </c>
      <c r="AK3553" s="5" t="s">
        <v>240</v>
      </c>
      <c r="AL3553" s="5" t="s">
        <v>240</v>
      </c>
      <c r="AM3553" s="5" t="s">
        <v>240</v>
      </c>
      <c r="AN3553" s="5" t="s">
        <v>240</v>
      </c>
      <c r="AO3553" s="5" t="s">
        <v>240</v>
      </c>
      <c r="AP3553" s="6" t="s">
        <v>240</v>
      </c>
      <c r="AQ3553" s="6" t="s">
        <v>240</v>
      </c>
      <c r="AR3553" s="6" t="s">
        <v>240</v>
      </c>
      <c r="AS3553" s="6" t="s">
        <v>240</v>
      </c>
      <c r="AT3553" s="5" t="s">
        <v>240</v>
      </c>
      <c r="AU3553" s="5" t="s">
        <v>729</v>
      </c>
      <c r="AV3553" s="5" t="s">
        <v>729</v>
      </c>
      <c r="AW3553" s="5" t="s">
        <v>251</v>
      </c>
      <c r="AX3553" s="5" t="s">
        <v>252</v>
      </c>
      <c r="AY3553" s="5" t="s">
        <v>253</v>
      </c>
      <c r="AZ3553" s="5" t="s">
        <v>240</v>
      </c>
      <c r="BA3553" s="5" t="s">
        <v>255</v>
      </c>
      <c r="BB3553" s="5" t="s">
        <v>731</v>
      </c>
      <c r="BD3553" s="5" t="s">
        <v>240</v>
      </c>
      <c r="BF3553" s="5" t="s">
        <v>732</v>
      </c>
      <c r="BG3553" s="6" t="s">
        <v>733</v>
      </c>
      <c r="BH3553" s="5" t="s">
        <v>734</v>
      </c>
      <c r="BI3553" s="5" t="s">
        <v>734</v>
      </c>
      <c r="BJ3553" s="5" t="s">
        <v>240</v>
      </c>
      <c r="BK3553" s="8">
        <f>476</f>
        <v>476</v>
      </c>
      <c r="BL3553" s="7">
        <f>0</f>
        <v>0</v>
      </c>
      <c r="BM3553" s="5" t="s">
        <v>258</v>
      </c>
      <c r="BN3553" s="5" t="s">
        <v>259</v>
      </c>
      <c r="BO3553" s="5" t="s">
        <v>240</v>
      </c>
      <c r="BP3553" s="5" t="s">
        <v>240</v>
      </c>
      <c r="BQ3553" s="5" t="s">
        <v>240</v>
      </c>
      <c r="BR3553" s="5" t="s">
        <v>240</v>
      </c>
      <c r="BS3553" s="5" t="s">
        <v>240</v>
      </c>
      <c r="BT3553" s="5" t="s">
        <v>240</v>
      </c>
      <c r="BU3553" s="5" t="s">
        <v>240</v>
      </c>
      <c r="BV3553" s="5" t="s">
        <v>240</v>
      </c>
      <c r="BW3553" s="6" t="s">
        <v>240</v>
      </c>
      <c r="BX3553" s="5" t="s">
        <v>240</v>
      </c>
      <c r="BY3553" s="5" t="s">
        <v>240</v>
      </c>
      <c r="BZ3553" s="5" t="s">
        <v>240</v>
      </c>
      <c r="CA3553" s="5" t="s">
        <v>259</v>
      </c>
      <c r="CB3553" s="5" t="s">
        <v>240</v>
      </c>
      <c r="CC3553" s="5" t="s">
        <v>240</v>
      </c>
      <c r="CD3553" s="5" t="s">
        <v>240</v>
      </c>
      <c r="CE3553" s="5" t="s">
        <v>240</v>
      </c>
      <c r="CF3553" s="5" t="s">
        <v>240</v>
      </c>
      <c r="CG3553" s="5" t="s">
        <v>617</v>
      </c>
      <c r="CH3553" s="5" t="s">
        <v>305</v>
      </c>
      <c r="CI3553" s="5" t="s">
        <v>240</v>
      </c>
      <c r="CL3553" s="6" t="s">
        <v>261</v>
      </c>
      <c r="CM3553" s="5" t="s">
        <v>262</v>
      </c>
      <c r="CN3553" s="5" t="s">
        <v>263</v>
      </c>
      <c r="CO3553" s="5" t="s">
        <v>264</v>
      </c>
      <c r="CP3553" s="5" t="s">
        <v>240</v>
      </c>
      <c r="CQ3553" s="5">
        <v>0</v>
      </c>
      <c r="CR3553" s="5" t="s">
        <v>735</v>
      </c>
      <c r="CS3553" s="5" t="s">
        <v>307</v>
      </c>
      <c r="CT3553" s="5" t="s">
        <v>307</v>
      </c>
      <c r="CU3553" s="5" t="s">
        <v>260</v>
      </c>
      <c r="CV3553" s="5" t="s">
        <v>240</v>
      </c>
      <c r="CW3553" s="8">
        <f>0</f>
        <v>0</v>
      </c>
      <c r="CX3553" s="7">
        <f>0</f>
        <v>0</v>
      </c>
      <c r="CY3553" s="7">
        <f>0</f>
        <v>0</v>
      </c>
      <c r="DA3553" s="7">
        <f>5236</f>
        <v>5236</v>
      </c>
      <c r="DB3553" s="7" t="s">
        <v>240</v>
      </c>
      <c r="DC3553" s="5" t="s">
        <v>240</v>
      </c>
      <c r="DD3553" s="5" t="s">
        <v>240</v>
      </c>
      <c r="DE3553" s="5" t="s">
        <v>240</v>
      </c>
      <c r="DF3553" s="5" t="s">
        <v>450</v>
      </c>
      <c r="DG3553" s="7">
        <f>0</f>
        <v>0</v>
      </c>
      <c r="DI3553" s="5" t="s">
        <v>737</v>
      </c>
      <c r="DJ3553" s="5" t="s">
        <v>240</v>
      </c>
      <c r="DK3553" s="5" t="s">
        <v>240</v>
      </c>
      <c r="DL3553" s="5" t="s">
        <v>240</v>
      </c>
      <c r="DM3553" s="5" t="s">
        <v>240</v>
      </c>
      <c r="DN3553" s="5" t="s">
        <v>240</v>
      </c>
      <c r="DO3553" s="7" t="s">
        <v>240</v>
      </c>
      <c r="DP3553" s="5" t="s">
        <v>240</v>
      </c>
      <c r="DQ3553" s="5" t="s">
        <v>240</v>
      </c>
      <c r="DR3553" s="5" t="s">
        <v>731</v>
      </c>
      <c r="DS3553" s="5" t="s">
        <v>731</v>
      </c>
      <c r="DT3553" s="5" t="s">
        <v>240</v>
      </c>
      <c r="DU3553" s="5" t="s">
        <v>240</v>
      </c>
      <c r="DV3553" s="5" t="s">
        <v>738</v>
      </c>
      <c r="DW3553" s="5" t="s">
        <v>705</v>
      </c>
      <c r="DX3553" s="5" t="s">
        <v>240</v>
      </c>
      <c r="DY3553" s="5" t="s">
        <v>240</v>
      </c>
      <c r="DZ3553" s="5" t="s">
        <v>240</v>
      </c>
      <c r="EA3553" s="5" t="s">
        <v>240</v>
      </c>
      <c r="EB3553" s="5" t="s">
        <v>240</v>
      </c>
      <c r="EC3553" s="5" t="s">
        <v>240</v>
      </c>
      <c r="ED3553" s="5" t="s">
        <v>240</v>
      </c>
      <c r="EE3553" s="5" t="s">
        <v>240</v>
      </c>
      <c r="EF3553" s="5" t="s">
        <v>240</v>
      </c>
      <c r="EG3553" s="5" t="s">
        <v>240</v>
      </c>
      <c r="EH3553" s="5" t="s">
        <v>240</v>
      </c>
      <c r="EI3553" s="5" t="s">
        <v>240</v>
      </c>
      <c r="EJ3553" s="5" t="s">
        <v>240</v>
      </c>
      <c r="EK3553" s="5" t="s">
        <v>240</v>
      </c>
      <c r="EL3553" s="5" t="s">
        <v>240</v>
      </c>
      <c r="EM3553" s="5" t="s">
        <v>240</v>
      </c>
      <c r="EN3553" s="5" t="s">
        <v>240</v>
      </c>
      <c r="EO3553" s="5" t="s">
        <v>240</v>
      </c>
      <c r="EP3553" s="5" t="s">
        <v>240</v>
      </c>
      <c r="EQ3553" s="5" t="s">
        <v>240</v>
      </c>
      <c r="ER3553" s="5" t="s">
        <v>240</v>
      </c>
      <c r="ES3553" s="5" t="s">
        <v>240</v>
      </c>
      <c r="ET3553" s="5" t="s">
        <v>240</v>
      </c>
      <c r="EU3553" s="5" t="s">
        <v>240</v>
      </c>
      <c r="EV3553" s="5" t="s">
        <v>240</v>
      </c>
      <c r="EW3553" s="5" t="s">
        <v>240</v>
      </c>
      <c r="EX3553" s="5" t="s">
        <v>240</v>
      </c>
      <c r="EY3553" s="5" t="s">
        <v>240</v>
      </c>
      <c r="EZ3553" s="5" t="s">
        <v>240</v>
      </c>
      <c r="FA3553" s="5" t="s">
        <v>240</v>
      </c>
      <c r="FB3553" s="5" t="s">
        <v>240</v>
      </c>
      <c r="FC3553" s="5" t="s">
        <v>240</v>
      </c>
      <c r="FD3553" s="5" t="s">
        <v>240</v>
      </c>
      <c r="FE3553" s="5" t="s">
        <v>240</v>
      </c>
      <c r="FF3553" s="5" t="s">
        <v>240</v>
      </c>
      <c r="FG3553" s="5" t="s">
        <v>240</v>
      </c>
      <c r="FH3553" s="5" t="s">
        <v>240</v>
      </c>
      <c r="FI3553" s="5" t="s">
        <v>240</v>
      </c>
      <c r="FJ3553" s="5" t="s">
        <v>240</v>
      </c>
      <c r="FK3553" s="5" t="s">
        <v>240</v>
      </c>
      <c r="FL3553" s="5" t="s">
        <v>240</v>
      </c>
      <c r="FM3553" s="5" t="s">
        <v>240</v>
      </c>
      <c r="FN3553" s="5" t="s">
        <v>240</v>
      </c>
      <c r="FO3553" s="5" t="s">
        <v>240</v>
      </c>
      <c r="FP3553" s="5" t="s">
        <v>240</v>
      </c>
      <c r="FQ3553" s="5" t="s">
        <v>240</v>
      </c>
      <c r="FR3553" s="5" t="s">
        <v>240</v>
      </c>
      <c r="FS3553" s="5" t="s">
        <v>240</v>
      </c>
      <c r="FT3553" s="5" t="s">
        <v>240</v>
      </c>
      <c r="FU3553" s="5" t="s">
        <v>240</v>
      </c>
      <c r="FV3553" s="5" t="s">
        <v>240</v>
      </c>
      <c r="FW3553" s="5" t="s">
        <v>240</v>
      </c>
      <c r="FX3553" s="5" t="s">
        <v>240</v>
      </c>
      <c r="FY3553" s="5" t="s">
        <v>240</v>
      </c>
      <c r="FZ3553" s="5" t="s">
        <v>240</v>
      </c>
      <c r="GA3553" s="5" t="s">
        <v>240</v>
      </c>
      <c r="GB3553" s="5" t="s">
        <v>240</v>
      </c>
      <c r="GC3553" s="5" t="s">
        <v>240</v>
      </c>
      <c r="GD3553" s="5" t="s">
        <v>240</v>
      </c>
      <c r="GE3553" s="5" t="s">
        <v>240</v>
      </c>
      <c r="GF3553" s="5" t="s">
        <v>240</v>
      </c>
      <c r="GG3553" s="5" t="s">
        <v>240</v>
      </c>
      <c r="GH3553" s="5" t="s">
        <v>240</v>
      </c>
      <c r="GI3553" s="5" t="s">
        <v>240</v>
      </c>
      <c r="GJ3553" s="5" t="s">
        <v>240</v>
      </c>
      <c r="GK3553" s="5" t="s">
        <v>240</v>
      </c>
      <c r="GL3553" s="5" t="s">
        <v>240</v>
      </c>
      <c r="GM3553" s="5" t="s">
        <v>240</v>
      </c>
      <c r="GN3553" s="5" t="s">
        <v>240</v>
      </c>
      <c r="GO3553" s="5" t="s">
        <v>240</v>
      </c>
      <c r="GP3553" s="5" t="s">
        <v>240</v>
      </c>
      <c r="GQ3553" s="5" t="s">
        <v>240</v>
      </c>
      <c r="GR3553" s="5" t="s">
        <v>240</v>
      </c>
      <c r="GS3553" s="5" t="s">
        <v>240</v>
      </c>
      <c r="GT3553" s="5" t="s">
        <v>240</v>
      </c>
      <c r="GU3553" s="5" t="s">
        <v>240</v>
      </c>
      <c r="GV3553" s="5" t="s">
        <v>240</v>
      </c>
      <c r="GW3553" s="5" t="s">
        <v>240</v>
      </c>
      <c r="GX3553" s="5" t="s">
        <v>240</v>
      </c>
      <c r="GY3553" s="5" t="s">
        <v>240</v>
      </c>
      <c r="GZ3553" s="5" t="s">
        <v>240</v>
      </c>
      <c r="HA3553" s="5" t="s">
        <v>240</v>
      </c>
      <c r="HB3553" s="5" t="s">
        <v>240</v>
      </c>
      <c r="HC3553" s="5" t="s">
        <v>240</v>
      </c>
      <c r="HD3553" s="5" t="s">
        <v>240</v>
      </c>
      <c r="HE3553" s="5" t="s">
        <v>240</v>
      </c>
      <c r="HF3553" s="5" t="s">
        <v>240</v>
      </c>
      <c r="HG3553" s="5" t="s">
        <v>240</v>
      </c>
      <c r="HH3553" s="5" t="s">
        <v>240</v>
      </c>
      <c r="HI3553" s="5" t="s">
        <v>240</v>
      </c>
      <c r="HJ3553" s="5" t="s">
        <v>240</v>
      </c>
      <c r="HK3553" s="5" t="s">
        <v>240</v>
      </c>
      <c r="HL3553" s="5" t="s">
        <v>240</v>
      </c>
      <c r="HM3553" s="5" t="s">
        <v>240</v>
      </c>
      <c r="HN3553" s="5" t="s">
        <v>240</v>
      </c>
      <c r="HO3553" s="5" t="s">
        <v>312</v>
      </c>
      <c r="HP3553" s="5" t="s">
        <v>240</v>
      </c>
      <c r="HQ3553" s="5" t="s">
        <v>240</v>
      </c>
      <c r="HR3553" s="5" t="s">
        <v>240</v>
      </c>
      <c r="HS3553" s="5" t="s">
        <v>240</v>
      </c>
      <c r="HT3553" s="5" t="s">
        <v>240</v>
      </c>
      <c r="HU3553" s="5" t="s">
        <v>240</v>
      </c>
      <c r="HV3553" s="5" t="s">
        <v>240</v>
      </c>
      <c r="HW3553" s="5" t="s">
        <v>240</v>
      </c>
      <c r="HX3553" s="5" t="s">
        <v>240</v>
      </c>
      <c r="HY3553" s="5" t="s">
        <v>240</v>
      </c>
      <c r="HZ3553" s="5" t="s">
        <v>240</v>
      </c>
      <c r="IA3553" s="5" t="s">
        <v>240</v>
      </c>
      <c r="IB3553" s="5" t="s">
        <v>240</v>
      </c>
      <c r="IC3553" s="5" t="s">
        <v>240</v>
      </c>
      <c r="ID3553" s="5" t="s">
        <v>240</v>
      </c>
      <c r="IE3553" s="5" t="s">
        <v>240</v>
      </c>
      <c r="IF3553" s="5" t="s">
        <v>240</v>
      </c>
    </row>
    <row r="3554" spans="1:240" x14ac:dyDescent="0.4">
      <c r="A3554" s="5">
        <v>9096</v>
      </c>
      <c r="B3554" s="5">
        <v>1</v>
      </c>
      <c r="C3554" s="5">
        <v>1</v>
      </c>
      <c r="D3554" s="5" t="s">
        <v>723</v>
      </c>
      <c r="E3554" s="5" t="s">
        <v>725</v>
      </c>
      <c r="F3554" s="5" t="s">
        <v>254</v>
      </c>
      <c r="G3554" s="5" t="s">
        <v>6418</v>
      </c>
      <c r="H3554" s="6" t="s">
        <v>6419</v>
      </c>
      <c r="I3554" s="5" t="s">
        <v>6417</v>
      </c>
      <c r="J3554" s="7">
        <f>1</f>
        <v>1</v>
      </c>
      <c r="K3554" s="5" t="s">
        <v>3682</v>
      </c>
      <c r="L3554" s="7">
        <f>1</f>
        <v>1</v>
      </c>
      <c r="M3554" s="7">
        <f>1</f>
        <v>1</v>
      </c>
      <c r="N3554" s="5" t="s">
        <v>242</v>
      </c>
      <c r="O3554" s="5">
        <v>1</v>
      </c>
      <c r="P3554" s="5" t="s">
        <v>294</v>
      </c>
      <c r="Q3554" s="5" t="s">
        <v>3678</v>
      </c>
      <c r="R3554" s="5" t="s">
        <v>240</v>
      </c>
      <c r="S3554" s="5" t="s">
        <v>240</v>
      </c>
      <c r="T3554" s="5" t="s">
        <v>243</v>
      </c>
      <c r="U3554" s="5" t="s">
        <v>244</v>
      </c>
      <c r="V3554" s="5" t="s">
        <v>240</v>
      </c>
      <c r="W3554" s="5" t="s">
        <v>240</v>
      </c>
      <c r="X3554" s="5" t="s">
        <v>240</v>
      </c>
      <c r="Y3554" s="5" t="s">
        <v>240</v>
      </c>
      <c r="Z3554" s="6" t="s">
        <v>298</v>
      </c>
      <c r="AA3554" s="6" t="s">
        <v>240</v>
      </c>
      <c r="AB3554" s="6" t="s">
        <v>240</v>
      </c>
      <c r="AC3554" s="5" t="s">
        <v>240</v>
      </c>
      <c r="AD3554" s="6" t="s">
        <v>240</v>
      </c>
      <c r="AE3554" s="6" t="s">
        <v>299</v>
      </c>
      <c r="AF3554" s="5" t="s">
        <v>248</v>
      </c>
      <c r="AG3554" s="5" t="s">
        <v>249</v>
      </c>
      <c r="AH3554" s="5" t="s">
        <v>240</v>
      </c>
      <c r="AI3554" s="5" t="s">
        <v>240</v>
      </c>
      <c r="AJ3554" s="5" t="s">
        <v>240</v>
      </c>
      <c r="AK3554" s="5" t="s">
        <v>240</v>
      </c>
      <c r="AL3554" s="5" t="s">
        <v>240</v>
      </c>
      <c r="AM3554" s="5" t="s">
        <v>240</v>
      </c>
      <c r="AN3554" s="5" t="s">
        <v>240</v>
      </c>
      <c r="AO3554" s="5" t="s">
        <v>240</v>
      </c>
      <c r="AP3554" s="6" t="s">
        <v>240</v>
      </c>
      <c r="AQ3554" s="6" t="s">
        <v>240</v>
      </c>
      <c r="AR3554" s="6" t="s">
        <v>240</v>
      </c>
      <c r="AS3554" s="6" t="s">
        <v>240</v>
      </c>
      <c r="AT3554" s="5" t="s">
        <v>240</v>
      </c>
      <c r="AU3554" s="5" t="s">
        <v>729</v>
      </c>
      <c r="AV3554" s="5" t="s">
        <v>729</v>
      </c>
      <c r="AW3554" s="5" t="s">
        <v>251</v>
      </c>
      <c r="AX3554" s="5" t="s">
        <v>252</v>
      </c>
      <c r="AY3554" s="5" t="s">
        <v>253</v>
      </c>
      <c r="AZ3554" s="5" t="s">
        <v>240</v>
      </c>
      <c r="BA3554" s="5" t="s">
        <v>255</v>
      </c>
      <c r="BB3554" s="5" t="s">
        <v>731</v>
      </c>
      <c r="BD3554" s="5" t="s">
        <v>240</v>
      </c>
      <c r="BF3554" s="5" t="s">
        <v>732</v>
      </c>
      <c r="BG3554" s="6" t="s">
        <v>733</v>
      </c>
      <c r="BH3554" s="5" t="s">
        <v>734</v>
      </c>
      <c r="BI3554" s="5" t="s">
        <v>734</v>
      </c>
      <c r="BJ3554" s="5" t="s">
        <v>240</v>
      </c>
      <c r="BK3554" s="7">
        <f>1</f>
        <v>1</v>
      </c>
      <c r="BL3554" s="7">
        <f>1</f>
        <v>1</v>
      </c>
      <c r="BM3554" s="5" t="s">
        <v>258</v>
      </c>
      <c r="BN3554" s="5" t="s">
        <v>259</v>
      </c>
      <c r="BO3554" s="5" t="s">
        <v>240</v>
      </c>
      <c r="BP3554" s="5" t="s">
        <v>240</v>
      </c>
      <c r="BQ3554" s="5" t="s">
        <v>240</v>
      </c>
      <c r="BR3554" s="5" t="s">
        <v>240</v>
      </c>
      <c r="BS3554" s="5" t="s">
        <v>240</v>
      </c>
      <c r="BT3554" s="5" t="s">
        <v>240</v>
      </c>
      <c r="BU3554" s="5" t="s">
        <v>240</v>
      </c>
      <c r="BV3554" s="5" t="s">
        <v>240</v>
      </c>
      <c r="BW3554" s="6" t="s">
        <v>240</v>
      </c>
      <c r="BX3554" s="5" t="s">
        <v>240</v>
      </c>
      <c r="BY3554" s="5" t="s">
        <v>240</v>
      </c>
      <c r="BZ3554" s="5" t="s">
        <v>240</v>
      </c>
      <c r="CA3554" s="5" t="s">
        <v>259</v>
      </c>
      <c r="CB3554" s="5" t="s">
        <v>240</v>
      </c>
      <c r="CC3554" s="5" t="s">
        <v>240</v>
      </c>
      <c r="CD3554" s="5" t="s">
        <v>240</v>
      </c>
      <c r="CE3554" s="5" t="s">
        <v>240</v>
      </c>
      <c r="CF3554" s="5" t="s">
        <v>240</v>
      </c>
      <c r="CG3554" s="5" t="s">
        <v>304</v>
      </c>
      <c r="CH3554" s="5" t="s">
        <v>305</v>
      </c>
      <c r="CI3554" s="5" t="s">
        <v>240</v>
      </c>
      <c r="CK3554" s="5" t="s">
        <v>3681</v>
      </c>
      <c r="CL3554" s="6" t="s">
        <v>261</v>
      </c>
      <c r="CM3554" s="5" t="s">
        <v>262</v>
      </c>
      <c r="CN3554" s="5" t="s">
        <v>263</v>
      </c>
      <c r="CO3554" s="5" t="s">
        <v>264</v>
      </c>
      <c r="CP3554" s="5" t="s">
        <v>240</v>
      </c>
      <c r="CQ3554" s="5">
        <v>0</v>
      </c>
      <c r="CR3554" s="5" t="s">
        <v>735</v>
      </c>
      <c r="CS3554" s="5" t="s">
        <v>307</v>
      </c>
      <c r="CT3554" s="5" t="s">
        <v>307</v>
      </c>
      <c r="CU3554" s="5" t="s">
        <v>260</v>
      </c>
      <c r="CV3554" s="5" t="s">
        <v>612</v>
      </c>
      <c r="CW3554" s="8">
        <f>1</f>
        <v>1</v>
      </c>
      <c r="CX3554" s="7">
        <f>1</f>
        <v>1</v>
      </c>
      <c r="CY3554" s="7">
        <f>0</f>
        <v>0</v>
      </c>
      <c r="DA3554" s="7">
        <f>1</f>
        <v>1</v>
      </c>
      <c r="DB3554" s="7" t="s">
        <v>240</v>
      </c>
      <c r="DC3554" s="5" t="s">
        <v>240</v>
      </c>
      <c r="DD3554" s="5" t="s">
        <v>240</v>
      </c>
      <c r="DE3554" s="5" t="s">
        <v>240</v>
      </c>
      <c r="DF3554" s="5" t="s">
        <v>240</v>
      </c>
      <c r="DG3554" s="7">
        <f>0</f>
        <v>0</v>
      </c>
      <c r="DI3554" s="5" t="s">
        <v>240</v>
      </c>
      <c r="DJ3554" s="5" t="s">
        <v>240</v>
      </c>
      <c r="DK3554" s="5" t="s">
        <v>240</v>
      </c>
      <c r="DL3554" s="5" t="s">
        <v>240</v>
      </c>
      <c r="DM3554" s="5" t="s">
        <v>240</v>
      </c>
      <c r="DN3554" s="5" t="s">
        <v>240</v>
      </c>
      <c r="DO3554" s="7" t="s">
        <v>240</v>
      </c>
      <c r="DP3554" s="5" t="s">
        <v>240</v>
      </c>
      <c r="DQ3554" s="5" t="s">
        <v>240</v>
      </c>
      <c r="DR3554" s="5" t="s">
        <v>731</v>
      </c>
      <c r="DS3554" s="5" t="s">
        <v>731</v>
      </c>
      <c r="DT3554" s="5" t="s">
        <v>240</v>
      </c>
      <c r="DU3554" s="5" t="s">
        <v>240</v>
      </c>
      <c r="DV3554" s="5" t="s">
        <v>3683</v>
      </c>
      <c r="DW3554" s="5" t="s">
        <v>534</v>
      </c>
      <c r="DX3554" s="5" t="s">
        <v>240</v>
      </c>
      <c r="DY3554" s="5" t="s">
        <v>240</v>
      </c>
      <c r="DZ3554" s="5" t="s">
        <v>240</v>
      </c>
      <c r="EA3554" s="5" t="s">
        <v>240</v>
      </c>
      <c r="EB3554" s="5" t="s">
        <v>240</v>
      </c>
      <c r="EC3554" s="5" t="s">
        <v>240</v>
      </c>
      <c r="ED3554" s="5" t="s">
        <v>240</v>
      </c>
      <c r="EE3554" s="5" t="s">
        <v>240</v>
      </c>
      <c r="EF3554" s="5" t="s">
        <v>240</v>
      </c>
      <c r="EG3554" s="5" t="s">
        <v>240</v>
      </c>
      <c r="EH3554" s="5" t="s">
        <v>240</v>
      </c>
      <c r="EI3554" s="5" t="s">
        <v>240</v>
      </c>
      <c r="EJ3554" s="5" t="s">
        <v>240</v>
      </c>
      <c r="EK3554" s="5" t="s">
        <v>240</v>
      </c>
      <c r="EL3554" s="5" t="s">
        <v>240</v>
      </c>
      <c r="EM3554" s="5" t="s">
        <v>240</v>
      </c>
      <c r="EN3554" s="5" t="s">
        <v>240</v>
      </c>
      <c r="EO3554" s="5" t="s">
        <v>240</v>
      </c>
      <c r="EP3554" s="5" t="s">
        <v>240</v>
      </c>
      <c r="EQ3554" s="5" t="s">
        <v>240</v>
      </c>
      <c r="ER3554" s="5" t="s">
        <v>240</v>
      </c>
      <c r="ES3554" s="5" t="s">
        <v>240</v>
      </c>
      <c r="ET3554" s="5" t="s">
        <v>240</v>
      </c>
      <c r="EU3554" s="5" t="s">
        <v>240</v>
      </c>
      <c r="EV3554" s="5" t="s">
        <v>240</v>
      </c>
      <c r="EW3554" s="5" t="s">
        <v>240</v>
      </c>
      <c r="EX3554" s="5" t="s">
        <v>240</v>
      </c>
      <c r="EY3554" s="5" t="s">
        <v>240</v>
      </c>
      <c r="EZ3554" s="5" t="s">
        <v>240</v>
      </c>
      <c r="FA3554" s="5" t="s">
        <v>240</v>
      </c>
      <c r="FB3554" s="5" t="s">
        <v>240</v>
      </c>
      <c r="FC3554" s="5" t="s">
        <v>240</v>
      </c>
      <c r="FD3554" s="5" t="s">
        <v>240</v>
      </c>
      <c r="FE3554" s="5" t="s">
        <v>240</v>
      </c>
      <c r="FF3554" s="5" t="s">
        <v>240</v>
      </c>
      <c r="FG3554" s="5" t="s">
        <v>240</v>
      </c>
      <c r="FH3554" s="5" t="s">
        <v>240</v>
      </c>
      <c r="FI3554" s="5" t="s">
        <v>240</v>
      </c>
      <c r="FJ3554" s="5" t="s">
        <v>240</v>
      </c>
      <c r="FK3554" s="5" t="s">
        <v>240</v>
      </c>
      <c r="FL3554" s="5" t="s">
        <v>240</v>
      </c>
      <c r="FM3554" s="5" t="s">
        <v>240</v>
      </c>
      <c r="FN3554" s="5" t="s">
        <v>240</v>
      </c>
      <c r="FO3554" s="5" t="s">
        <v>240</v>
      </c>
      <c r="FP3554" s="5" t="s">
        <v>240</v>
      </c>
      <c r="FQ3554" s="5" t="s">
        <v>240</v>
      </c>
      <c r="FR3554" s="5" t="s">
        <v>240</v>
      </c>
      <c r="FS3554" s="5" t="s">
        <v>240</v>
      </c>
      <c r="FT3554" s="5" t="s">
        <v>240</v>
      </c>
      <c r="FU3554" s="5" t="s">
        <v>240</v>
      </c>
      <c r="FV3554" s="5" t="s">
        <v>240</v>
      </c>
      <c r="FW3554" s="5" t="s">
        <v>240</v>
      </c>
      <c r="FX3554" s="5" t="s">
        <v>240</v>
      </c>
      <c r="FY3554" s="5" t="s">
        <v>240</v>
      </c>
      <c r="FZ3554" s="5" t="s">
        <v>240</v>
      </c>
      <c r="GA3554" s="5" t="s">
        <v>240</v>
      </c>
      <c r="GB3554" s="5" t="s">
        <v>240</v>
      </c>
      <c r="GC3554" s="5" t="s">
        <v>240</v>
      </c>
      <c r="GD3554" s="5" t="s">
        <v>240</v>
      </c>
      <c r="GE3554" s="5" t="s">
        <v>240</v>
      </c>
      <c r="GF3554" s="5" t="s">
        <v>240</v>
      </c>
      <c r="GG3554" s="5" t="s">
        <v>240</v>
      </c>
      <c r="GH3554" s="5" t="s">
        <v>240</v>
      </c>
      <c r="GI3554" s="5" t="s">
        <v>240</v>
      </c>
      <c r="GJ3554" s="5" t="s">
        <v>240</v>
      </c>
      <c r="GK3554" s="5" t="s">
        <v>240</v>
      </c>
      <c r="GL3554" s="5" t="s">
        <v>240</v>
      </c>
      <c r="GM3554" s="5" t="s">
        <v>240</v>
      </c>
      <c r="GN3554" s="5" t="s">
        <v>240</v>
      </c>
      <c r="GO3554" s="5" t="s">
        <v>240</v>
      </c>
      <c r="GP3554" s="5" t="s">
        <v>240</v>
      </c>
      <c r="GQ3554" s="5" t="s">
        <v>240</v>
      </c>
      <c r="GR3554" s="5" t="s">
        <v>240</v>
      </c>
      <c r="GS3554" s="5" t="s">
        <v>240</v>
      </c>
      <c r="GT3554" s="5" t="s">
        <v>240</v>
      </c>
      <c r="GU3554" s="5" t="s">
        <v>240</v>
      </c>
      <c r="GV3554" s="5" t="s">
        <v>240</v>
      </c>
      <c r="GW3554" s="5" t="s">
        <v>240</v>
      </c>
      <c r="GX3554" s="5" t="s">
        <v>240</v>
      </c>
      <c r="GY3554" s="5" t="s">
        <v>240</v>
      </c>
      <c r="GZ3554" s="5" t="s">
        <v>240</v>
      </c>
      <c r="HA3554" s="5" t="s">
        <v>240</v>
      </c>
      <c r="HB3554" s="5" t="s">
        <v>240</v>
      </c>
      <c r="HC3554" s="5" t="s">
        <v>240</v>
      </c>
      <c r="HD3554" s="5" t="s">
        <v>240</v>
      </c>
      <c r="HE3554" s="5" t="s">
        <v>240</v>
      </c>
      <c r="HF3554" s="5" t="s">
        <v>240</v>
      </c>
      <c r="HG3554" s="5" t="s">
        <v>240</v>
      </c>
      <c r="HH3554" s="5" t="s">
        <v>240</v>
      </c>
      <c r="HI3554" s="5" t="s">
        <v>240</v>
      </c>
      <c r="HJ3554" s="5" t="s">
        <v>240</v>
      </c>
      <c r="HK3554" s="5" t="s">
        <v>240</v>
      </c>
      <c r="HL3554" s="5" t="s">
        <v>240</v>
      </c>
      <c r="HM3554" s="5" t="s">
        <v>240</v>
      </c>
      <c r="HN3554" s="5" t="s">
        <v>240</v>
      </c>
      <c r="HO3554" s="5" t="s">
        <v>312</v>
      </c>
      <c r="HP3554" s="5" t="s">
        <v>240</v>
      </c>
      <c r="HQ3554" s="5" t="s">
        <v>240</v>
      </c>
      <c r="HR3554" s="5" t="s">
        <v>240</v>
      </c>
      <c r="HS3554" s="5" t="s">
        <v>240</v>
      </c>
      <c r="HT3554" s="5" t="s">
        <v>240</v>
      </c>
      <c r="HU3554" s="5" t="s">
        <v>240</v>
      </c>
      <c r="HV3554" s="5" t="s">
        <v>240</v>
      </c>
      <c r="HW3554" s="5" t="s">
        <v>240</v>
      </c>
      <c r="HX3554" s="5" t="s">
        <v>240</v>
      </c>
      <c r="HY3554" s="5" t="s">
        <v>240</v>
      </c>
      <c r="HZ3554" s="5" t="s">
        <v>240</v>
      </c>
      <c r="IA3554" s="5" t="s">
        <v>240</v>
      </c>
      <c r="IB3554" s="5" t="s">
        <v>240</v>
      </c>
      <c r="IC3554" s="5" t="s">
        <v>240</v>
      </c>
      <c r="ID3554" s="5" t="s">
        <v>240</v>
      </c>
      <c r="IE3554" s="5" t="s">
        <v>240</v>
      </c>
      <c r="IF3554" s="5" t="s">
        <v>240</v>
      </c>
    </row>
    <row r="3555" spans="1:240" x14ac:dyDescent="0.4">
      <c r="A3555" s="5">
        <v>9097</v>
      </c>
      <c r="B3555" s="5">
        <v>1</v>
      </c>
      <c r="C3555" s="5">
        <v>1</v>
      </c>
      <c r="D3555" s="5" t="s">
        <v>723</v>
      </c>
      <c r="E3555" s="5" t="s">
        <v>725</v>
      </c>
      <c r="F3555" s="5" t="s">
        <v>254</v>
      </c>
      <c r="G3555" s="5" t="s">
        <v>6416</v>
      </c>
      <c r="H3555" s="6" t="s">
        <v>6415</v>
      </c>
      <c r="I3555" s="5" t="s">
        <v>6415</v>
      </c>
      <c r="J3555" s="7">
        <f>1</f>
        <v>1</v>
      </c>
      <c r="K3555" s="5" t="s">
        <v>3682</v>
      </c>
      <c r="L3555" s="7">
        <f>1</f>
        <v>1</v>
      </c>
      <c r="M3555" s="7">
        <f>1</f>
        <v>1</v>
      </c>
      <c r="N3555" s="5" t="s">
        <v>242</v>
      </c>
      <c r="O3555" s="5">
        <v>1</v>
      </c>
      <c r="P3555" s="5" t="s">
        <v>294</v>
      </c>
      <c r="Q3555" s="5" t="s">
        <v>613</v>
      </c>
      <c r="R3555" s="5" t="s">
        <v>240</v>
      </c>
      <c r="S3555" s="5" t="s">
        <v>240</v>
      </c>
      <c r="T3555" s="5" t="s">
        <v>243</v>
      </c>
      <c r="U3555" s="5" t="s">
        <v>724</v>
      </c>
      <c r="V3555" s="5" t="s">
        <v>240</v>
      </c>
      <c r="W3555" s="5" t="s">
        <v>240</v>
      </c>
      <c r="X3555" s="5" t="s">
        <v>240</v>
      </c>
      <c r="Y3555" s="5" t="s">
        <v>240</v>
      </c>
      <c r="Z3555" s="6" t="s">
        <v>298</v>
      </c>
      <c r="AA3555" s="6" t="s">
        <v>240</v>
      </c>
      <c r="AB3555" s="6" t="s">
        <v>240</v>
      </c>
      <c r="AC3555" s="5" t="s">
        <v>240</v>
      </c>
      <c r="AD3555" s="6" t="s">
        <v>240</v>
      </c>
      <c r="AE3555" s="6" t="s">
        <v>299</v>
      </c>
      <c r="AF3555" s="5" t="s">
        <v>727</v>
      </c>
      <c r="AG3555" s="5" t="s">
        <v>260</v>
      </c>
      <c r="AH3555" s="5" t="s">
        <v>240</v>
      </c>
      <c r="AI3555" s="5" t="s">
        <v>240</v>
      </c>
      <c r="AJ3555" s="5" t="s">
        <v>240</v>
      </c>
      <c r="AK3555" s="5" t="s">
        <v>240</v>
      </c>
      <c r="AL3555" s="5" t="s">
        <v>240</v>
      </c>
      <c r="AM3555" s="5" t="s">
        <v>240</v>
      </c>
      <c r="AN3555" s="5" t="s">
        <v>240</v>
      </c>
      <c r="AO3555" s="5" t="s">
        <v>240</v>
      </c>
      <c r="AP3555" s="6" t="s">
        <v>240</v>
      </c>
      <c r="AQ3555" s="6" t="s">
        <v>240</v>
      </c>
      <c r="AR3555" s="6" t="s">
        <v>240</v>
      </c>
      <c r="AS3555" s="6" t="s">
        <v>240</v>
      </c>
      <c r="AT3555" s="5" t="s">
        <v>240</v>
      </c>
      <c r="AU3555" s="5" t="s">
        <v>729</v>
      </c>
      <c r="AV3555" s="5" t="s">
        <v>729</v>
      </c>
      <c r="AW3555" s="5" t="s">
        <v>251</v>
      </c>
      <c r="AX3555" s="5" t="s">
        <v>252</v>
      </c>
      <c r="AY3555" s="5" t="s">
        <v>253</v>
      </c>
      <c r="AZ3555" s="5" t="s">
        <v>240</v>
      </c>
      <c r="BA3555" s="5" t="s">
        <v>255</v>
      </c>
      <c r="BB3555" s="5" t="s">
        <v>731</v>
      </c>
      <c r="BD3555" s="5" t="s">
        <v>240</v>
      </c>
      <c r="BF3555" s="5" t="s">
        <v>732</v>
      </c>
      <c r="BG3555" s="6" t="s">
        <v>733</v>
      </c>
      <c r="BH3555" s="5" t="s">
        <v>734</v>
      </c>
      <c r="BI3555" s="5" t="s">
        <v>734</v>
      </c>
      <c r="BJ3555" s="5" t="s">
        <v>240</v>
      </c>
      <c r="BK3555" s="8">
        <f>382</f>
        <v>382</v>
      </c>
      <c r="BL3555" s="7">
        <f>0</f>
        <v>0</v>
      </c>
      <c r="BM3555" s="5" t="s">
        <v>258</v>
      </c>
      <c r="BN3555" s="5" t="s">
        <v>259</v>
      </c>
      <c r="BO3555" s="5" t="s">
        <v>240</v>
      </c>
      <c r="BP3555" s="5" t="s">
        <v>240</v>
      </c>
      <c r="BQ3555" s="5" t="s">
        <v>240</v>
      </c>
      <c r="BR3555" s="5" t="s">
        <v>240</v>
      </c>
      <c r="BS3555" s="5" t="s">
        <v>240</v>
      </c>
      <c r="BT3555" s="5" t="s">
        <v>240</v>
      </c>
      <c r="BU3555" s="5" t="s">
        <v>240</v>
      </c>
      <c r="BV3555" s="5" t="s">
        <v>240</v>
      </c>
      <c r="BW3555" s="6" t="s">
        <v>240</v>
      </c>
      <c r="BX3555" s="5" t="s">
        <v>240</v>
      </c>
      <c r="BY3555" s="5" t="s">
        <v>240</v>
      </c>
      <c r="BZ3555" s="5" t="s">
        <v>240</v>
      </c>
      <c r="CA3555" s="5" t="s">
        <v>259</v>
      </c>
      <c r="CB3555" s="5" t="s">
        <v>240</v>
      </c>
      <c r="CC3555" s="5" t="s">
        <v>240</v>
      </c>
      <c r="CD3555" s="5" t="s">
        <v>240</v>
      </c>
      <c r="CE3555" s="5" t="s">
        <v>240</v>
      </c>
      <c r="CF3555" s="5" t="s">
        <v>240</v>
      </c>
      <c r="CG3555" s="5" t="s">
        <v>617</v>
      </c>
      <c r="CH3555" s="5" t="s">
        <v>305</v>
      </c>
      <c r="CI3555" s="5" t="s">
        <v>240</v>
      </c>
      <c r="CL3555" s="6" t="s">
        <v>261</v>
      </c>
      <c r="CM3555" s="5" t="s">
        <v>262</v>
      </c>
      <c r="CN3555" s="5" t="s">
        <v>263</v>
      </c>
      <c r="CO3555" s="5" t="s">
        <v>264</v>
      </c>
      <c r="CP3555" s="5" t="s">
        <v>240</v>
      </c>
      <c r="CQ3555" s="5">
        <v>0</v>
      </c>
      <c r="CR3555" s="5" t="s">
        <v>735</v>
      </c>
      <c r="CS3555" s="5" t="s">
        <v>307</v>
      </c>
      <c r="CT3555" s="5" t="s">
        <v>307</v>
      </c>
      <c r="CU3555" s="5" t="s">
        <v>260</v>
      </c>
      <c r="CV3555" s="5" t="s">
        <v>240</v>
      </c>
      <c r="CW3555" s="8">
        <f>0</f>
        <v>0</v>
      </c>
      <c r="CX3555" s="7">
        <f>0</f>
        <v>0</v>
      </c>
      <c r="CY3555" s="7">
        <f>0</f>
        <v>0</v>
      </c>
      <c r="DA3555" s="7">
        <f>4202</f>
        <v>4202</v>
      </c>
      <c r="DB3555" s="7" t="s">
        <v>240</v>
      </c>
      <c r="DC3555" s="5" t="s">
        <v>240</v>
      </c>
      <c r="DD3555" s="5" t="s">
        <v>240</v>
      </c>
      <c r="DE3555" s="5" t="s">
        <v>240</v>
      </c>
      <c r="DF3555" s="5" t="s">
        <v>450</v>
      </c>
      <c r="DG3555" s="7">
        <f>0</f>
        <v>0</v>
      </c>
      <c r="DI3555" s="5" t="s">
        <v>737</v>
      </c>
      <c r="DJ3555" s="5" t="s">
        <v>240</v>
      </c>
      <c r="DK3555" s="5" t="s">
        <v>240</v>
      </c>
      <c r="DL3555" s="5" t="s">
        <v>240</v>
      </c>
      <c r="DM3555" s="5" t="s">
        <v>240</v>
      </c>
      <c r="DN3555" s="5" t="s">
        <v>240</v>
      </c>
      <c r="DO3555" s="7" t="s">
        <v>240</v>
      </c>
      <c r="DP3555" s="5" t="s">
        <v>240</v>
      </c>
      <c r="DQ3555" s="5" t="s">
        <v>240</v>
      </c>
      <c r="DR3555" s="5" t="s">
        <v>731</v>
      </c>
      <c r="DS3555" s="5" t="s">
        <v>731</v>
      </c>
      <c r="DT3555" s="5" t="s">
        <v>240</v>
      </c>
      <c r="DU3555" s="5" t="s">
        <v>240</v>
      </c>
      <c r="DV3555" s="5" t="s">
        <v>738</v>
      </c>
      <c r="DW3555" s="5" t="s">
        <v>703</v>
      </c>
      <c r="DX3555" s="5" t="s">
        <v>240</v>
      </c>
      <c r="DY3555" s="5" t="s">
        <v>240</v>
      </c>
      <c r="DZ3555" s="5" t="s">
        <v>240</v>
      </c>
      <c r="EA3555" s="5" t="s">
        <v>240</v>
      </c>
      <c r="EB3555" s="5" t="s">
        <v>240</v>
      </c>
      <c r="EC3555" s="5" t="s">
        <v>240</v>
      </c>
      <c r="ED3555" s="5" t="s">
        <v>240</v>
      </c>
      <c r="EE3555" s="5" t="s">
        <v>240</v>
      </c>
      <c r="EF3555" s="5" t="s">
        <v>240</v>
      </c>
      <c r="EG3555" s="5" t="s">
        <v>240</v>
      </c>
      <c r="EH3555" s="5" t="s">
        <v>240</v>
      </c>
      <c r="EI3555" s="5" t="s">
        <v>240</v>
      </c>
      <c r="EJ3555" s="5" t="s">
        <v>240</v>
      </c>
      <c r="EK3555" s="5" t="s">
        <v>240</v>
      </c>
      <c r="EL3555" s="5" t="s">
        <v>240</v>
      </c>
      <c r="EM3555" s="5" t="s">
        <v>240</v>
      </c>
      <c r="EN3555" s="5" t="s">
        <v>240</v>
      </c>
      <c r="EO3555" s="5" t="s">
        <v>240</v>
      </c>
      <c r="EP3555" s="5" t="s">
        <v>240</v>
      </c>
      <c r="EQ3555" s="5" t="s">
        <v>240</v>
      </c>
      <c r="ER3555" s="5" t="s">
        <v>240</v>
      </c>
      <c r="ES3555" s="5" t="s">
        <v>240</v>
      </c>
      <c r="ET3555" s="5" t="s">
        <v>240</v>
      </c>
      <c r="EU3555" s="5" t="s">
        <v>240</v>
      </c>
      <c r="EV3555" s="5" t="s">
        <v>240</v>
      </c>
      <c r="EW3555" s="5" t="s">
        <v>240</v>
      </c>
      <c r="EX3555" s="5" t="s">
        <v>240</v>
      </c>
      <c r="EY3555" s="5" t="s">
        <v>240</v>
      </c>
      <c r="EZ3555" s="5" t="s">
        <v>240</v>
      </c>
      <c r="FA3555" s="5" t="s">
        <v>240</v>
      </c>
      <c r="FB3555" s="5" t="s">
        <v>240</v>
      </c>
      <c r="FC3555" s="5" t="s">
        <v>240</v>
      </c>
      <c r="FD3555" s="5" t="s">
        <v>240</v>
      </c>
      <c r="FE3555" s="5" t="s">
        <v>240</v>
      </c>
      <c r="FF3555" s="5" t="s">
        <v>240</v>
      </c>
      <c r="FG3555" s="5" t="s">
        <v>240</v>
      </c>
      <c r="FH3555" s="5" t="s">
        <v>240</v>
      </c>
      <c r="FI3555" s="5" t="s">
        <v>240</v>
      </c>
      <c r="FJ3555" s="5" t="s">
        <v>240</v>
      </c>
      <c r="FK3555" s="5" t="s">
        <v>240</v>
      </c>
      <c r="FL3555" s="5" t="s">
        <v>240</v>
      </c>
      <c r="FM3555" s="5" t="s">
        <v>240</v>
      </c>
      <c r="FN3555" s="5" t="s">
        <v>240</v>
      </c>
      <c r="FO3555" s="5" t="s">
        <v>240</v>
      </c>
      <c r="FP3555" s="5" t="s">
        <v>240</v>
      </c>
      <c r="FQ3555" s="5" t="s">
        <v>240</v>
      </c>
      <c r="FR3555" s="5" t="s">
        <v>240</v>
      </c>
      <c r="FS3555" s="5" t="s">
        <v>240</v>
      </c>
      <c r="FT3555" s="5" t="s">
        <v>240</v>
      </c>
      <c r="FU3555" s="5" t="s">
        <v>240</v>
      </c>
      <c r="FV3555" s="5" t="s">
        <v>240</v>
      </c>
      <c r="FW3555" s="5" t="s">
        <v>240</v>
      </c>
      <c r="FX3555" s="5" t="s">
        <v>240</v>
      </c>
      <c r="FY3555" s="5" t="s">
        <v>240</v>
      </c>
      <c r="FZ3555" s="5" t="s">
        <v>240</v>
      </c>
      <c r="GA3555" s="5" t="s">
        <v>240</v>
      </c>
      <c r="GB3555" s="5" t="s">
        <v>240</v>
      </c>
      <c r="GC3555" s="5" t="s">
        <v>240</v>
      </c>
      <c r="GD3555" s="5" t="s">
        <v>240</v>
      </c>
      <c r="GE3555" s="5" t="s">
        <v>240</v>
      </c>
      <c r="GF3555" s="5" t="s">
        <v>240</v>
      </c>
      <c r="GG3555" s="5" t="s">
        <v>240</v>
      </c>
      <c r="GH3555" s="5" t="s">
        <v>240</v>
      </c>
      <c r="GI3555" s="5" t="s">
        <v>240</v>
      </c>
      <c r="GJ3555" s="5" t="s">
        <v>240</v>
      </c>
      <c r="GK3555" s="5" t="s">
        <v>240</v>
      </c>
      <c r="GL3555" s="5" t="s">
        <v>240</v>
      </c>
      <c r="GM3555" s="5" t="s">
        <v>240</v>
      </c>
      <c r="GN3555" s="5" t="s">
        <v>240</v>
      </c>
      <c r="GO3555" s="5" t="s">
        <v>240</v>
      </c>
      <c r="GP3555" s="5" t="s">
        <v>240</v>
      </c>
      <c r="GQ3555" s="5" t="s">
        <v>240</v>
      </c>
      <c r="GR3555" s="5" t="s">
        <v>240</v>
      </c>
      <c r="GS3555" s="5" t="s">
        <v>240</v>
      </c>
      <c r="GT3555" s="5" t="s">
        <v>240</v>
      </c>
      <c r="GU3555" s="5" t="s">
        <v>240</v>
      </c>
      <c r="GV3555" s="5" t="s">
        <v>240</v>
      </c>
      <c r="GW3555" s="5" t="s">
        <v>240</v>
      </c>
      <c r="GX3555" s="5" t="s">
        <v>240</v>
      </c>
      <c r="GY3555" s="5" t="s">
        <v>240</v>
      </c>
      <c r="GZ3555" s="5" t="s">
        <v>240</v>
      </c>
      <c r="HA3555" s="5" t="s">
        <v>240</v>
      </c>
      <c r="HB3555" s="5" t="s">
        <v>240</v>
      </c>
      <c r="HC3555" s="5" t="s">
        <v>240</v>
      </c>
      <c r="HD3555" s="5" t="s">
        <v>240</v>
      </c>
      <c r="HE3555" s="5" t="s">
        <v>240</v>
      </c>
      <c r="HF3555" s="5" t="s">
        <v>240</v>
      </c>
      <c r="HG3555" s="5" t="s">
        <v>240</v>
      </c>
      <c r="HH3555" s="5" t="s">
        <v>240</v>
      </c>
      <c r="HI3555" s="5" t="s">
        <v>240</v>
      </c>
      <c r="HJ3555" s="5" t="s">
        <v>240</v>
      </c>
      <c r="HK3555" s="5" t="s">
        <v>240</v>
      </c>
      <c r="HL3555" s="5" t="s">
        <v>240</v>
      </c>
      <c r="HM3555" s="5" t="s">
        <v>240</v>
      </c>
      <c r="HN3555" s="5" t="s">
        <v>240</v>
      </c>
      <c r="HO3555" s="5" t="s">
        <v>312</v>
      </c>
      <c r="HP3555" s="5" t="s">
        <v>240</v>
      </c>
      <c r="HQ3555" s="5" t="s">
        <v>240</v>
      </c>
      <c r="HR3555" s="5" t="s">
        <v>240</v>
      </c>
      <c r="HS3555" s="5" t="s">
        <v>240</v>
      </c>
      <c r="HT3555" s="5" t="s">
        <v>240</v>
      </c>
      <c r="HU3555" s="5" t="s">
        <v>240</v>
      </c>
      <c r="HV3555" s="5" t="s">
        <v>240</v>
      </c>
      <c r="HW3555" s="5" t="s">
        <v>240</v>
      </c>
      <c r="HX3555" s="5" t="s">
        <v>240</v>
      </c>
      <c r="HY3555" s="5" t="s">
        <v>240</v>
      </c>
      <c r="HZ3555" s="5" t="s">
        <v>240</v>
      </c>
      <c r="IA3555" s="5" t="s">
        <v>240</v>
      </c>
      <c r="IB3555" s="5" t="s">
        <v>240</v>
      </c>
      <c r="IC3555" s="5" t="s">
        <v>240</v>
      </c>
      <c r="ID3555" s="5" t="s">
        <v>240</v>
      </c>
      <c r="IE3555" s="5" t="s">
        <v>240</v>
      </c>
      <c r="IF3555" s="5" t="s">
        <v>240</v>
      </c>
    </row>
    <row r="3556" spans="1:240" x14ac:dyDescent="0.4">
      <c r="A3556" s="5">
        <v>9098</v>
      </c>
      <c r="B3556" s="5">
        <v>1</v>
      </c>
      <c r="C3556" s="5">
        <v>1</v>
      </c>
      <c r="D3556" s="5" t="s">
        <v>723</v>
      </c>
      <c r="E3556" s="5" t="s">
        <v>725</v>
      </c>
      <c r="F3556" s="5" t="s">
        <v>254</v>
      </c>
      <c r="G3556" s="5" t="s">
        <v>726</v>
      </c>
      <c r="H3556" s="6" t="s">
        <v>6414</v>
      </c>
      <c r="I3556" s="5" t="s">
        <v>6413</v>
      </c>
      <c r="J3556" s="7">
        <f>1</f>
        <v>1</v>
      </c>
      <c r="K3556" s="5" t="s">
        <v>3682</v>
      </c>
      <c r="L3556" s="7">
        <f>1</f>
        <v>1</v>
      </c>
      <c r="M3556" s="7">
        <f>1</f>
        <v>1</v>
      </c>
      <c r="N3556" s="5" t="s">
        <v>242</v>
      </c>
      <c r="O3556" s="5">
        <v>1</v>
      </c>
      <c r="P3556" s="5" t="s">
        <v>294</v>
      </c>
      <c r="Q3556" s="5" t="s">
        <v>613</v>
      </c>
      <c r="R3556" s="5" t="s">
        <v>240</v>
      </c>
      <c r="S3556" s="5" t="s">
        <v>240</v>
      </c>
      <c r="T3556" s="5" t="s">
        <v>243</v>
      </c>
      <c r="U3556" s="5" t="s">
        <v>724</v>
      </c>
      <c r="V3556" s="5" t="s">
        <v>240</v>
      </c>
      <c r="W3556" s="5" t="s">
        <v>240</v>
      </c>
      <c r="X3556" s="5" t="s">
        <v>240</v>
      </c>
      <c r="Y3556" s="5" t="s">
        <v>240</v>
      </c>
      <c r="Z3556" s="6" t="s">
        <v>298</v>
      </c>
      <c r="AA3556" s="6" t="s">
        <v>240</v>
      </c>
      <c r="AB3556" s="6" t="s">
        <v>240</v>
      </c>
      <c r="AC3556" s="5" t="s">
        <v>240</v>
      </c>
      <c r="AD3556" s="6" t="s">
        <v>240</v>
      </c>
      <c r="AE3556" s="6" t="s">
        <v>299</v>
      </c>
      <c r="AF3556" s="5" t="s">
        <v>727</v>
      </c>
      <c r="AG3556" s="5" t="s">
        <v>260</v>
      </c>
      <c r="AH3556" s="5" t="s">
        <v>240</v>
      </c>
      <c r="AI3556" s="5" t="s">
        <v>240</v>
      </c>
      <c r="AJ3556" s="5" t="s">
        <v>240</v>
      </c>
      <c r="AK3556" s="5" t="s">
        <v>240</v>
      </c>
      <c r="AL3556" s="5" t="s">
        <v>240</v>
      </c>
      <c r="AM3556" s="5" t="s">
        <v>240</v>
      </c>
      <c r="AN3556" s="5" t="s">
        <v>240</v>
      </c>
      <c r="AO3556" s="5" t="s">
        <v>240</v>
      </c>
      <c r="AP3556" s="6" t="s">
        <v>240</v>
      </c>
      <c r="AQ3556" s="6" t="s">
        <v>240</v>
      </c>
      <c r="AR3556" s="6" t="s">
        <v>240</v>
      </c>
      <c r="AS3556" s="6" t="s">
        <v>240</v>
      </c>
      <c r="AT3556" s="5" t="s">
        <v>240</v>
      </c>
      <c r="AU3556" s="5" t="s">
        <v>729</v>
      </c>
      <c r="AV3556" s="5" t="s">
        <v>729</v>
      </c>
      <c r="AW3556" s="5" t="s">
        <v>251</v>
      </c>
      <c r="AX3556" s="5" t="s">
        <v>252</v>
      </c>
      <c r="AY3556" s="5" t="s">
        <v>253</v>
      </c>
      <c r="AZ3556" s="5" t="s">
        <v>240</v>
      </c>
      <c r="BA3556" s="5" t="s">
        <v>255</v>
      </c>
      <c r="BB3556" s="5" t="s">
        <v>731</v>
      </c>
      <c r="BD3556" s="5" t="s">
        <v>240</v>
      </c>
      <c r="BF3556" s="5" t="s">
        <v>732</v>
      </c>
      <c r="BG3556" s="6" t="s">
        <v>733</v>
      </c>
      <c r="BH3556" s="5" t="s">
        <v>734</v>
      </c>
      <c r="BI3556" s="5" t="s">
        <v>734</v>
      </c>
      <c r="BJ3556" s="5" t="s">
        <v>240</v>
      </c>
      <c r="BK3556" s="8">
        <f>1317</f>
        <v>1317</v>
      </c>
      <c r="BL3556" s="7">
        <f>0</f>
        <v>0</v>
      </c>
      <c r="BM3556" s="5" t="s">
        <v>258</v>
      </c>
      <c r="BN3556" s="5" t="s">
        <v>259</v>
      </c>
      <c r="BO3556" s="5" t="s">
        <v>240</v>
      </c>
      <c r="BP3556" s="5" t="s">
        <v>240</v>
      </c>
      <c r="BQ3556" s="5" t="s">
        <v>240</v>
      </c>
      <c r="BR3556" s="5" t="s">
        <v>240</v>
      </c>
      <c r="BS3556" s="5" t="s">
        <v>240</v>
      </c>
      <c r="BT3556" s="5" t="s">
        <v>240</v>
      </c>
      <c r="BU3556" s="5" t="s">
        <v>240</v>
      </c>
      <c r="BV3556" s="5" t="s">
        <v>240</v>
      </c>
      <c r="BW3556" s="6" t="s">
        <v>240</v>
      </c>
      <c r="BX3556" s="5" t="s">
        <v>240</v>
      </c>
      <c r="BY3556" s="5" t="s">
        <v>240</v>
      </c>
      <c r="BZ3556" s="5" t="s">
        <v>240</v>
      </c>
      <c r="CA3556" s="5" t="s">
        <v>259</v>
      </c>
      <c r="CB3556" s="5" t="s">
        <v>240</v>
      </c>
      <c r="CC3556" s="5" t="s">
        <v>240</v>
      </c>
      <c r="CD3556" s="5" t="s">
        <v>240</v>
      </c>
      <c r="CE3556" s="5" t="s">
        <v>240</v>
      </c>
      <c r="CF3556" s="5" t="s">
        <v>240</v>
      </c>
      <c r="CG3556" s="5" t="s">
        <v>617</v>
      </c>
      <c r="CH3556" s="5" t="s">
        <v>305</v>
      </c>
      <c r="CI3556" s="5" t="s">
        <v>240</v>
      </c>
      <c r="CL3556" s="6" t="s">
        <v>261</v>
      </c>
      <c r="CM3556" s="5" t="s">
        <v>262</v>
      </c>
      <c r="CN3556" s="5" t="s">
        <v>263</v>
      </c>
      <c r="CO3556" s="5" t="s">
        <v>264</v>
      </c>
      <c r="CP3556" s="5" t="s">
        <v>240</v>
      </c>
      <c r="CQ3556" s="5">
        <v>0</v>
      </c>
      <c r="CR3556" s="5" t="s">
        <v>735</v>
      </c>
      <c r="CS3556" s="5" t="s">
        <v>307</v>
      </c>
      <c r="CT3556" s="5" t="s">
        <v>307</v>
      </c>
      <c r="CU3556" s="5" t="s">
        <v>260</v>
      </c>
      <c r="CV3556" s="5" t="s">
        <v>240</v>
      </c>
      <c r="CW3556" s="8">
        <f>0</f>
        <v>0</v>
      </c>
      <c r="CX3556" s="7">
        <f>0</f>
        <v>0</v>
      </c>
      <c r="CY3556" s="7">
        <f>0</f>
        <v>0</v>
      </c>
      <c r="DA3556" s="7">
        <f>14487</f>
        <v>14487</v>
      </c>
      <c r="DB3556" s="7" t="s">
        <v>240</v>
      </c>
      <c r="DC3556" s="5" t="s">
        <v>240</v>
      </c>
      <c r="DD3556" s="5" t="s">
        <v>240</v>
      </c>
      <c r="DE3556" s="5" t="s">
        <v>240</v>
      </c>
      <c r="DF3556" s="5" t="s">
        <v>450</v>
      </c>
      <c r="DG3556" s="7">
        <f>0</f>
        <v>0</v>
      </c>
      <c r="DI3556" s="5" t="s">
        <v>737</v>
      </c>
      <c r="DJ3556" s="5" t="s">
        <v>240</v>
      </c>
      <c r="DK3556" s="5" t="s">
        <v>240</v>
      </c>
      <c r="DL3556" s="5" t="s">
        <v>240</v>
      </c>
      <c r="DM3556" s="5" t="s">
        <v>240</v>
      </c>
      <c r="DN3556" s="5" t="s">
        <v>240</v>
      </c>
      <c r="DO3556" s="7" t="s">
        <v>240</v>
      </c>
      <c r="DP3556" s="5" t="s">
        <v>240</v>
      </c>
      <c r="DQ3556" s="5" t="s">
        <v>240</v>
      </c>
      <c r="DR3556" s="5" t="s">
        <v>731</v>
      </c>
      <c r="DS3556" s="5" t="s">
        <v>731</v>
      </c>
      <c r="DT3556" s="5" t="s">
        <v>240</v>
      </c>
      <c r="DU3556" s="5" t="s">
        <v>240</v>
      </c>
      <c r="DV3556" s="5" t="s">
        <v>738</v>
      </c>
      <c r="DW3556" s="5" t="s">
        <v>662</v>
      </c>
      <c r="DX3556" s="5" t="s">
        <v>240</v>
      </c>
      <c r="DY3556" s="5" t="s">
        <v>240</v>
      </c>
      <c r="DZ3556" s="5" t="s">
        <v>240</v>
      </c>
      <c r="EA3556" s="5" t="s">
        <v>240</v>
      </c>
      <c r="EB3556" s="5" t="s">
        <v>240</v>
      </c>
      <c r="EC3556" s="5" t="s">
        <v>240</v>
      </c>
      <c r="ED3556" s="5" t="s">
        <v>240</v>
      </c>
      <c r="EE3556" s="5" t="s">
        <v>240</v>
      </c>
      <c r="EF3556" s="5" t="s">
        <v>240</v>
      </c>
      <c r="EG3556" s="5" t="s">
        <v>240</v>
      </c>
      <c r="EH3556" s="5" t="s">
        <v>240</v>
      </c>
      <c r="EI3556" s="5" t="s">
        <v>240</v>
      </c>
      <c r="EJ3556" s="5" t="s">
        <v>240</v>
      </c>
      <c r="EK3556" s="5" t="s">
        <v>240</v>
      </c>
      <c r="EL3556" s="5" t="s">
        <v>240</v>
      </c>
      <c r="EM3556" s="5" t="s">
        <v>240</v>
      </c>
      <c r="EN3556" s="5" t="s">
        <v>240</v>
      </c>
      <c r="EO3556" s="5" t="s">
        <v>240</v>
      </c>
      <c r="EP3556" s="5" t="s">
        <v>240</v>
      </c>
      <c r="EQ3556" s="5" t="s">
        <v>240</v>
      </c>
      <c r="ER3556" s="5" t="s">
        <v>240</v>
      </c>
      <c r="ES3556" s="5" t="s">
        <v>240</v>
      </c>
      <c r="ET3556" s="5" t="s">
        <v>240</v>
      </c>
      <c r="EU3556" s="5" t="s">
        <v>240</v>
      </c>
      <c r="EV3556" s="5" t="s">
        <v>240</v>
      </c>
      <c r="EW3556" s="5" t="s">
        <v>240</v>
      </c>
      <c r="EX3556" s="5" t="s">
        <v>240</v>
      </c>
      <c r="EY3556" s="5" t="s">
        <v>240</v>
      </c>
      <c r="EZ3556" s="5" t="s">
        <v>240</v>
      </c>
      <c r="FA3556" s="5" t="s">
        <v>240</v>
      </c>
      <c r="FB3556" s="5" t="s">
        <v>240</v>
      </c>
      <c r="FC3556" s="5" t="s">
        <v>240</v>
      </c>
      <c r="FD3556" s="5" t="s">
        <v>240</v>
      </c>
      <c r="FE3556" s="5" t="s">
        <v>240</v>
      </c>
      <c r="FF3556" s="5" t="s">
        <v>240</v>
      </c>
      <c r="FG3556" s="5" t="s">
        <v>240</v>
      </c>
      <c r="FH3556" s="5" t="s">
        <v>240</v>
      </c>
      <c r="FI3556" s="5" t="s">
        <v>240</v>
      </c>
      <c r="FJ3556" s="5" t="s">
        <v>240</v>
      </c>
      <c r="FK3556" s="5" t="s">
        <v>240</v>
      </c>
      <c r="FL3556" s="5" t="s">
        <v>240</v>
      </c>
      <c r="FM3556" s="5" t="s">
        <v>240</v>
      </c>
      <c r="FN3556" s="5" t="s">
        <v>240</v>
      </c>
      <c r="FO3556" s="5" t="s">
        <v>240</v>
      </c>
      <c r="FP3556" s="5" t="s">
        <v>240</v>
      </c>
      <c r="FQ3556" s="5" t="s">
        <v>240</v>
      </c>
      <c r="FR3556" s="5" t="s">
        <v>240</v>
      </c>
      <c r="FS3556" s="5" t="s">
        <v>240</v>
      </c>
      <c r="FT3556" s="5" t="s">
        <v>240</v>
      </c>
      <c r="FU3556" s="5" t="s">
        <v>240</v>
      </c>
      <c r="FV3556" s="5" t="s">
        <v>240</v>
      </c>
      <c r="FW3556" s="5" t="s">
        <v>240</v>
      </c>
      <c r="FX3556" s="5" t="s">
        <v>240</v>
      </c>
      <c r="FY3556" s="5" t="s">
        <v>240</v>
      </c>
      <c r="FZ3556" s="5" t="s">
        <v>240</v>
      </c>
      <c r="GA3556" s="5" t="s">
        <v>240</v>
      </c>
      <c r="GB3556" s="5" t="s">
        <v>240</v>
      </c>
      <c r="GC3556" s="5" t="s">
        <v>240</v>
      </c>
      <c r="GD3556" s="5" t="s">
        <v>240</v>
      </c>
      <c r="GE3556" s="5" t="s">
        <v>240</v>
      </c>
      <c r="GF3556" s="5" t="s">
        <v>240</v>
      </c>
      <c r="GG3556" s="5" t="s">
        <v>240</v>
      </c>
      <c r="GH3556" s="5" t="s">
        <v>240</v>
      </c>
      <c r="GI3556" s="5" t="s">
        <v>240</v>
      </c>
      <c r="GJ3556" s="5" t="s">
        <v>240</v>
      </c>
      <c r="GK3556" s="5" t="s">
        <v>240</v>
      </c>
      <c r="GL3556" s="5" t="s">
        <v>240</v>
      </c>
      <c r="GM3556" s="5" t="s">
        <v>240</v>
      </c>
      <c r="GN3556" s="5" t="s">
        <v>240</v>
      </c>
      <c r="GO3556" s="5" t="s">
        <v>240</v>
      </c>
      <c r="GP3556" s="5" t="s">
        <v>240</v>
      </c>
      <c r="GQ3556" s="5" t="s">
        <v>240</v>
      </c>
      <c r="GR3556" s="5" t="s">
        <v>240</v>
      </c>
      <c r="GS3556" s="5" t="s">
        <v>240</v>
      </c>
      <c r="GT3556" s="5" t="s">
        <v>240</v>
      </c>
      <c r="GU3556" s="5" t="s">
        <v>240</v>
      </c>
      <c r="GV3556" s="5" t="s">
        <v>240</v>
      </c>
      <c r="GW3556" s="5" t="s">
        <v>240</v>
      </c>
      <c r="GX3556" s="5" t="s">
        <v>240</v>
      </c>
      <c r="GY3556" s="5" t="s">
        <v>240</v>
      </c>
      <c r="GZ3556" s="5" t="s">
        <v>240</v>
      </c>
      <c r="HA3556" s="5" t="s">
        <v>240</v>
      </c>
      <c r="HB3556" s="5" t="s">
        <v>240</v>
      </c>
      <c r="HC3556" s="5" t="s">
        <v>240</v>
      </c>
      <c r="HD3556" s="5" t="s">
        <v>240</v>
      </c>
      <c r="HE3556" s="5" t="s">
        <v>240</v>
      </c>
      <c r="HF3556" s="5" t="s">
        <v>240</v>
      </c>
      <c r="HG3556" s="5" t="s">
        <v>240</v>
      </c>
      <c r="HH3556" s="5" t="s">
        <v>240</v>
      </c>
      <c r="HI3556" s="5" t="s">
        <v>240</v>
      </c>
      <c r="HJ3556" s="5" t="s">
        <v>240</v>
      </c>
      <c r="HK3556" s="5" t="s">
        <v>240</v>
      </c>
      <c r="HL3556" s="5" t="s">
        <v>240</v>
      </c>
      <c r="HM3556" s="5" t="s">
        <v>240</v>
      </c>
      <c r="HN3556" s="5" t="s">
        <v>240</v>
      </c>
      <c r="HO3556" s="5" t="s">
        <v>620</v>
      </c>
      <c r="HP3556" s="5" t="s">
        <v>240</v>
      </c>
      <c r="HQ3556" s="5" t="s">
        <v>240</v>
      </c>
      <c r="HR3556" s="5" t="s">
        <v>240</v>
      </c>
      <c r="HS3556" s="5" t="s">
        <v>240</v>
      </c>
      <c r="HT3556" s="5" t="s">
        <v>240</v>
      </c>
      <c r="HU3556" s="5" t="s">
        <v>240</v>
      </c>
      <c r="HV3556" s="5" t="s">
        <v>240</v>
      </c>
      <c r="HW3556" s="5" t="s">
        <v>240</v>
      </c>
      <c r="HX3556" s="5" t="s">
        <v>240</v>
      </c>
      <c r="HY3556" s="5" t="s">
        <v>240</v>
      </c>
      <c r="HZ3556" s="5" t="s">
        <v>240</v>
      </c>
      <c r="IA3556" s="5" t="s">
        <v>240</v>
      </c>
      <c r="IB3556" s="5" t="s">
        <v>240</v>
      </c>
      <c r="IC3556" s="5" t="s">
        <v>240</v>
      </c>
      <c r="ID3556" s="5" t="s">
        <v>240</v>
      </c>
      <c r="IE3556" s="5" t="s">
        <v>240</v>
      </c>
      <c r="IF3556" s="5" t="s">
        <v>240</v>
      </c>
    </row>
    <row r="3557" spans="1:240" x14ac:dyDescent="0.4">
      <c r="A3557" s="5">
        <v>9099</v>
      </c>
      <c r="B3557" s="5">
        <v>1</v>
      </c>
      <c r="C3557" s="5">
        <v>1</v>
      </c>
      <c r="D3557" s="5" t="s">
        <v>723</v>
      </c>
      <c r="E3557" s="5" t="s">
        <v>725</v>
      </c>
      <c r="F3557" s="5" t="s">
        <v>254</v>
      </c>
      <c r="G3557" s="5" t="s">
        <v>726</v>
      </c>
      <c r="H3557" s="6" t="s">
        <v>5877</v>
      </c>
      <c r="I3557" s="5" t="s">
        <v>5876</v>
      </c>
      <c r="J3557" s="7">
        <f>1</f>
        <v>1</v>
      </c>
      <c r="K3557" s="5" t="s">
        <v>3682</v>
      </c>
      <c r="L3557" s="7">
        <f>1</f>
        <v>1</v>
      </c>
      <c r="M3557" s="7">
        <f>1</f>
        <v>1</v>
      </c>
      <c r="N3557" s="5" t="s">
        <v>242</v>
      </c>
      <c r="O3557" s="5">
        <v>1</v>
      </c>
      <c r="P3557" s="5" t="s">
        <v>294</v>
      </c>
      <c r="Q3557" s="5" t="s">
        <v>613</v>
      </c>
      <c r="R3557" s="5" t="s">
        <v>240</v>
      </c>
      <c r="S3557" s="5" t="s">
        <v>240</v>
      </c>
      <c r="T3557" s="5" t="s">
        <v>243</v>
      </c>
      <c r="U3557" s="5" t="s">
        <v>724</v>
      </c>
      <c r="V3557" s="5" t="s">
        <v>240</v>
      </c>
      <c r="W3557" s="5" t="s">
        <v>240</v>
      </c>
      <c r="X3557" s="5" t="s">
        <v>240</v>
      </c>
      <c r="Y3557" s="5" t="s">
        <v>240</v>
      </c>
      <c r="Z3557" s="6" t="s">
        <v>298</v>
      </c>
      <c r="AA3557" s="6" t="s">
        <v>240</v>
      </c>
      <c r="AB3557" s="6" t="s">
        <v>240</v>
      </c>
      <c r="AC3557" s="5" t="s">
        <v>240</v>
      </c>
      <c r="AD3557" s="6" t="s">
        <v>240</v>
      </c>
      <c r="AE3557" s="6" t="s">
        <v>299</v>
      </c>
      <c r="AF3557" s="5" t="s">
        <v>727</v>
      </c>
      <c r="AG3557" s="5" t="s">
        <v>260</v>
      </c>
      <c r="AH3557" s="5" t="s">
        <v>240</v>
      </c>
      <c r="AI3557" s="5" t="s">
        <v>240</v>
      </c>
      <c r="AJ3557" s="5" t="s">
        <v>240</v>
      </c>
      <c r="AK3557" s="5" t="s">
        <v>240</v>
      </c>
      <c r="AL3557" s="5" t="s">
        <v>240</v>
      </c>
      <c r="AM3557" s="5" t="s">
        <v>240</v>
      </c>
      <c r="AN3557" s="5" t="s">
        <v>240</v>
      </c>
      <c r="AO3557" s="5" t="s">
        <v>240</v>
      </c>
      <c r="AP3557" s="6" t="s">
        <v>240</v>
      </c>
      <c r="AQ3557" s="6" t="s">
        <v>240</v>
      </c>
      <c r="AR3557" s="6" t="s">
        <v>240</v>
      </c>
      <c r="AS3557" s="6" t="s">
        <v>240</v>
      </c>
      <c r="AT3557" s="5" t="s">
        <v>240</v>
      </c>
      <c r="AU3557" s="5" t="s">
        <v>729</v>
      </c>
      <c r="AV3557" s="5" t="s">
        <v>729</v>
      </c>
      <c r="AW3557" s="5" t="s">
        <v>251</v>
      </c>
      <c r="AX3557" s="5" t="s">
        <v>252</v>
      </c>
      <c r="AY3557" s="5" t="s">
        <v>253</v>
      </c>
      <c r="AZ3557" s="5" t="s">
        <v>240</v>
      </c>
      <c r="BA3557" s="5" t="s">
        <v>255</v>
      </c>
      <c r="BB3557" s="5" t="s">
        <v>731</v>
      </c>
      <c r="BD3557" s="5" t="s">
        <v>240</v>
      </c>
      <c r="BF3557" s="5" t="s">
        <v>732</v>
      </c>
      <c r="BG3557" s="6" t="s">
        <v>733</v>
      </c>
      <c r="BH3557" s="5" t="s">
        <v>734</v>
      </c>
      <c r="BI3557" s="5" t="s">
        <v>734</v>
      </c>
      <c r="BJ3557" s="5" t="s">
        <v>240</v>
      </c>
      <c r="BK3557" s="8">
        <f>273</f>
        <v>273</v>
      </c>
      <c r="BL3557" s="7">
        <f>0</f>
        <v>0</v>
      </c>
      <c r="BM3557" s="5" t="s">
        <v>258</v>
      </c>
      <c r="BN3557" s="5" t="s">
        <v>259</v>
      </c>
      <c r="BO3557" s="5" t="s">
        <v>240</v>
      </c>
      <c r="BP3557" s="5" t="s">
        <v>240</v>
      </c>
      <c r="BQ3557" s="5" t="s">
        <v>240</v>
      </c>
      <c r="BR3557" s="5" t="s">
        <v>240</v>
      </c>
      <c r="BS3557" s="5" t="s">
        <v>240</v>
      </c>
      <c r="BT3557" s="5" t="s">
        <v>240</v>
      </c>
      <c r="BU3557" s="5" t="s">
        <v>240</v>
      </c>
      <c r="BV3557" s="5" t="s">
        <v>240</v>
      </c>
      <c r="BW3557" s="6" t="s">
        <v>240</v>
      </c>
      <c r="BX3557" s="5" t="s">
        <v>240</v>
      </c>
      <c r="BY3557" s="5" t="s">
        <v>240</v>
      </c>
      <c r="BZ3557" s="5" t="s">
        <v>240</v>
      </c>
      <c r="CA3557" s="5" t="s">
        <v>259</v>
      </c>
      <c r="CB3557" s="5" t="s">
        <v>240</v>
      </c>
      <c r="CC3557" s="5" t="s">
        <v>240</v>
      </c>
      <c r="CD3557" s="5" t="s">
        <v>240</v>
      </c>
      <c r="CE3557" s="5" t="s">
        <v>240</v>
      </c>
      <c r="CF3557" s="5" t="s">
        <v>240</v>
      </c>
      <c r="CG3557" s="5" t="s">
        <v>617</v>
      </c>
      <c r="CH3557" s="5" t="s">
        <v>305</v>
      </c>
      <c r="CI3557" s="5" t="s">
        <v>240</v>
      </c>
      <c r="CL3557" s="6" t="s">
        <v>261</v>
      </c>
      <c r="CM3557" s="5" t="s">
        <v>262</v>
      </c>
      <c r="CN3557" s="5" t="s">
        <v>263</v>
      </c>
      <c r="CO3557" s="5" t="s">
        <v>264</v>
      </c>
      <c r="CP3557" s="5" t="s">
        <v>240</v>
      </c>
      <c r="CQ3557" s="5">
        <v>0</v>
      </c>
      <c r="CR3557" s="5" t="s">
        <v>735</v>
      </c>
      <c r="CS3557" s="5" t="s">
        <v>307</v>
      </c>
      <c r="CT3557" s="5" t="s">
        <v>307</v>
      </c>
      <c r="CU3557" s="5" t="s">
        <v>260</v>
      </c>
      <c r="CV3557" s="5" t="s">
        <v>240</v>
      </c>
      <c r="CW3557" s="8">
        <f>0</f>
        <v>0</v>
      </c>
      <c r="CX3557" s="7">
        <f>0</f>
        <v>0</v>
      </c>
      <c r="CY3557" s="7">
        <f>0</f>
        <v>0</v>
      </c>
      <c r="DA3557" s="7">
        <f>3003</f>
        <v>3003</v>
      </c>
      <c r="DB3557" s="7" t="s">
        <v>240</v>
      </c>
      <c r="DC3557" s="5" t="s">
        <v>240</v>
      </c>
      <c r="DD3557" s="5" t="s">
        <v>240</v>
      </c>
      <c r="DE3557" s="5" t="s">
        <v>240</v>
      </c>
      <c r="DF3557" s="5" t="s">
        <v>450</v>
      </c>
      <c r="DG3557" s="7">
        <f>0</f>
        <v>0</v>
      </c>
      <c r="DI3557" s="5" t="s">
        <v>737</v>
      </c>
      <c r="DJ3557" s="5" t="s">
        <v>240</v>
      </c>
      <c r="DK3557" s="5" t="s">
        <v>240</v>
      </c>
      <c r="DL3557" s="5" t="s">
        <v>240</v>
      </c>
      <c r="DM3557" s="5" t="s">
        <v>240</v>
      </c>
      <c r="DN3557" s="5" t="s">
        <v>240</v>
      </c>
      <c r="DO3557" s="7" t="s">
        <v>240</v>
      </c>
      <c r="DP3557" s="5" t="s">
        <v>240</v>
      </c>
      <c r="DQ3557" s="5" t="s">
        <v>240</v>
      </c>
      <c r="DR3557" s="5" t="s">
        <v>731</v>
      </c>
      <c r="DS3557" s="5" t="s">
        <v>731</v>
      </c>
      <c r="DT3557" s="5" t="s">
        <v>240</v>
      </c>
      <c r="DU3557" s="5" t="s">
        <v>240</v>
      </c>
      <c r="DV3557" s="5" t="s">
        <v>738</v>
      </c>
      <c r="DW3557" s="5" t="s">
        <v>699</v>
      </c>
      <c r="DX3557" s="5" t="s">
        <v>240</v>
      </c>
      <c r="DY3557" s="5" t="s">
        <v>240</v>
      </c>
      <c r="DZ3557" s="5" t="s">
        <v>240</v>
      </c>
      <c r="EA3557" s="5" t="s">
        <v>240</v>
      </c>
      <c r="EB3557" s="5" t="s">
        <v>240</v>
      </c>
      <c r="EC3557" s="5" t="s">
        <v>240</v>
      </c>
      <c r="ED3557" s="5" t="s">
        <v>240</v>
      </c>
      <c r="EE3557" s="5" t="s">
        <v>240</v>
      </c>
      <c r="EF3557" s="5" t="s">
        <v>240</v>
      </c>
      <c r="EG3557" s="5" t="s">
        <v>240</v>
      </c>
      <c r="EH3557" s="5" t="s">
        <v>240</v>
      </c>
      <c r="EI3557" s="5" t="s">
        <v>240</v>
      </c>
      <c r="EJ3557" s="5" t="s">
        <v>240</v>
      </c>
      <c r="EK3557" s="5" t="s">
        <v>240</v>
      </c>
      <c r="EL3557" s="5" t="s">
        <v>240</v>
      </c>
      <c r="EM3557" s="5" t="s">
        <v>240</v>
      </c>
      <c r="EN3557" s="5" t="s">
        <v>240</v>
      </c>
      <c r="EO3557" s="5" t="s">
        <v>240</v>
      </c>
      <c r="EP3557" s="5" t="s">
        <v>240</v>
      </c>
      <c r="EQ3557" s="5" t="s">
        <v>240</v>
      </c>
      <c r="ER3557" s="5" t="s">
        <v>240</v>
      </c>
      <c r="ES3557" s="5" t="s">
        <v>240</v>
      </c>
      <c r="ET3557" s="5" t="s">
        <v>240</v>
      </c>
      <c r="EU3557" s="5" t="s">
        <v>240</v>
      </c>
      <c r="EV3557" s="5" t="s">
        <v>240</v>
      </c>
      <c r="EW3557" s="5" t="s">
        <v>240</v>
      </c>
      <c r="EX3557" s="5" t="s">
        <v>240</v>
      </c>
      <c r="EY3557" s="5" t="s">
        <v>240</v>
      </c>
      <c r="EZ3557" s="5" t="s">
        <v>240</v>
      </c>
      <c r="FA3557" s="5" t="s">
        <v>240</v>
      </c>
      <c r="FB3557" s="5" t="s">
        <v>240</v>
      </c>
      <c r="FC3557" s="5" t="s">
        <v>240</v>
      </c>
      <c r="FD3557" s="5" t="s">
        <v>240</v>
      </c>
      <c r="FE3557" s="5" t="s">
        <v>240</v>
      </c>
      <c r="FF3557" s="5" t="s">
        <v>240</v>
      </c>
      <c r="FG3557" s="5" t="s">
        <v>240</v>
      </c>
      <c r="FH3557" s="5" t="s">
        <v>240</v>
      </c>
      <c r="FI3557" s="5" t="s">
        <v>240</v>
      </c>
      <c r="FJ3557" s="5" t="s">
        <v>240</v>
      </c>
      <c r="FK3557" s="5" t="s">
        <v>240</v>
      </c>
      <c r="FL3557" s="5" t="s">
        <v>240</v>
      </c>
      <c r="FM3557" s="5" t="s">
        <v>240</v>
      </c>
      <c r="FN3557" s="5" t="s">
        <v>240</v>
      </c>
      <c r="FO3557" s="5" t="s">
        <v>240</v>
      </c>
      <c r="FP3557" s="5" t="s">
        <v>240</v>
      </c>
      <c r="FQ3557" s="5" t="s">
        <v>240</v>
      </c>
      <c r="FR3557" s="5" t="s">
        <v>240</v>
      </c>
      <c r="FS3557" s="5" t="s">
        <v>240</v>
      </c>
      <c r="FT3557" s="5" t="s">
        <v>240</v>
      </c>
      <c r="FU3557" s="5" t="s">
        <v>240</v>
      </c>
      <c r="FV3557" s="5" t="s">
        <v>240</v>
      </c>
      <c r="FW3557" s="5" t="s">
        <v>240</v>
      </c>
      <c r="FX3557" s="5" t="s">
        <v>240</v>
      </c>
      <c r="FY3557" s="5" t="s">
        <v>240</v>
      </c>
      <c r="FZ3557" s="5" t="s">
        <v>240</v>
      </c>
      <c r="GA3557" s="5" t="s">
        <v>240</v>
      </c>
      <c r="GB3557" s="5" t="s">
        <v>240</v>
      </c>
      <c r="GC3557" s="5" t="s">
        <v>240</v>
      </c>
      <c r="GD3557" s="5" t="s">
        <v>240</v>
      </c>
      <c r="GE3557" s="5" t="s">
        <v>240</v>
      </c>
      <c r="GF3557" s="5" t="s">
        <v>240</v>
      </c>
      <c r="GG3557" s="5" t="s">
        <v>240</v>
      </c>
      <c r="GH3557" s="5" t="s">
        <v>240</v>
      </c>
      <c r="GI3557" s="5" t="s">
        <v>240</v>
      </c>
      <c r="GJ3557" s="5" t="s">
        <v>240</v>
      </c>
      <c r="GK3557" s="5" t="s">
        <v>240</v>
      </c>
      <c r="GL3557" s="5" t="s">
        <v>240</v>
      </c>
      <c r="GM3557" s="5" t="s">
        <v>240</v>
      </c>
      <c r="GN3557" s="5" t="s">
        <v>240</v>
      </c>
      <c r="GO3557" s="5" t="s">
        <v>240</v>
      </c>
      <c r="GP3557" s="5" t="s">
        <v>240</v>
      </c>
      <c r="GQ3557" s="5" t="s">
        <v>240</v>
      </c>
      <c r="GR3557" s="5" t="s">
        <v>240</v>
      </c>
      <c r="GS3557" s="5" t="s">
        <v>240</v>
      </c>
      <c r="GT3557" s="5" t="s">
        <v>240</v>
      </c>
      <c r="GU3557" s="5" t="s">
        <v>240</v>
      </c>
      <c r="GV3557" s="5" t="s">
        <v>240</v>
      </c>
      <c r="GW3557" s="5" t="s">
        <v>240</v>
      </c>
      <c r="GX3557" s="5" t="s">
        <v>240</v>
      </c>
      <c r="GY3557" s="5" t="s">
        <v>240</v>
      </c>
      <c r="GZ3557" s="5" t="s">
        <v>240</v>
      </c>
      <c r="HA3557" s="5" t="s">
        <v>240</v>
      </c>
      <c r="HB3557" s="5" t="s">
        <v>240</v>
      </c>
      <c r="HC3557" s="5" t="s">
        <v>240</v>
      </c>
      <c r="HD3557" s="5" t="s">
        <v>240</v>
      </c>
      <c r="HE3557" s="5" t="s">
        <v>240</v>
      </c>
      <c r="HF3557" s="5" t="s">
        <v>240</v>
      </c>
      <c r="HG3557" s="5" t="s">
        <v>240</v>
      </c>
      <c r="HH3557" s="5" t="s">
        <v>240</v>
      </c>
      <c r="HI3557" s="5" t="s">
        <v>240</v>
      </c>
      <c r="HJ3557" s="5" t="s">
        <v>240</v>
      </c>
      <c r="HK3557" s="5" t="s">
        <v>240</v>
      </c>
      <c r="HL3557" s="5" t="s">
        <v>240</v>
      </c>
      <c r="HM3557" s="5" t="s">
        <v>240</v>
      </c>
      <c r="HN3557" s="5" t="s">
        <v>240</v>
      </c>
      <c r="HO3557" s="5" t="s">
        <v>312</v>
      </c>
      <c r="HP3557" s="5" t="s">
        <v>240</v>
      </c>
      <c r="HQ3557" s="5" t="s">
        <v>240</v>
      </c>
      <c r="HR3557" s="5" t="s">
        <v>240</v>
      </c>
      <c r="HS3557" s="5" t="s">
        <v>240</v>
      </c>
      <c r="HT3557" s="5" t="s">
        <v>240</v>
      </c>
      <c r="HU3557" s="5" t="s">
        <v>240</v>
      </c>
      <c r="HV3557" s="5" t="s">
        <v>240</v>
      </c>
      <c r="HW3557" s="5" t="s">
        <v>240</v>
      </c>
      <c r="HX3557" s="5" t="s">
        <v>240</v>
      </c>
      <c r="HY3557" s="5" t="s">
        <v>240</v>
      </c>
      <c r="HZ3557" s="5" t="s">
        <v>240</v>
      </c>
      <c r="IA3557" s="5" t="s">
        <v>240</v>
      </c>
      <c r="IB3557" s="5" t="s">
        <v>240</v>
      </c>
      <c r="IC3557" s="5" t="s">
        <v>240</v>
      </c>
      <c r="ID3557" s="5" t="s">
        <v>240</v>
      </c>
      <c r="IE3557" s="5" t="s">
        <v>240</v>
      </c>
      <c r="IF3557" s="5" t="s">
        <v>240</v>
      </c>
    </row>
    <row r="3558" spans="1:240" x14ac:dyDescent="0.4">
      <c r="A3558" s="5">
        <v>9100</v>
      </c>
      <c r="B3558" s="5">
        <v>1</v>
      </c>
      <c r="C3558" s="5">
        <v>1</v>
      </c>
      <c r="D3558" s="5" t="s">
        <v>723</v>
      </c>
      <c r="E3558" s="5" t="s">
        <v>725</v>
      </c>
      <c r="F3558" s="5" t="s">
        <v>254</v>
      </c>
      <c r="G3558" s="5" t="s">
        <v>726</v>
      </c>
      <c r="H3558" s="6" t="s">
        <v>5875</v>
      </c>
      <c r="I3558" s="5" t="s">
        <v>5874</v>
      </c>
      <c r="J3558" s="7">
        <f>1</f>
        <v>1</v>
      </c>
      <c r="K3558" s="5" t="s">
        <v>3682</v>
      </c>
      <c r="L3558" s="7">
        <f>1</f>
        <v>1</v>
      </c>
      <c r="M3558" s="7">
        <f>1</f>
        <v>1</v>
      </c>
      <c r="N3558" s="5" t="s">
        <v>242</v>
      </c>
      <c r="O3558" s="5">
        <v>1</v>
      </c>
      <c r="P3558" s="5" t="s">
        <v>294</v>
      </c>
      <c r="Q3558" s="5" t="s">
        <v>3678</v>
      </c>
      <c r="R3558" s="5" t="s">
        <v>240</v>
      </c>
      <c r="S3558" s="5" t="s">
        <v>240</v>
      </c>
      <c r="T3558" s="5" t="s">
        <v>243</v>
      </c>
      <c r="U3558" s="5" t="s">
        <v>244</v>
      </c>
      <c r="V3558" s="5" t="s">
        <v>240</v>
      </c>
      <c r="W3558" s="5" t="s">
        <v>240</v>
      </c>
      <c r="X3558" s="5" t="s">
        <v>240</v>
      </c>
      <c r="Y3558" s="5" t="s">
        <v>240</v>
      </c>
      <c r="Z3558" s="6" t="s">
        <v>298</v>
      </c>
      <c r="AA3558" s="6" t="s">
        <v>240</v>
      </c>
      <c r="AB3558" s="6" t="s">
        <v>240</v>
      </c>
      <c r="AC3558" s="5" t="s">
        <v>240</v>
      </c>
      <c r="AD3558" s="6" t="s">
        <v>240</v>
      </c>
      <c r="AE3558" s="6" t="s">
        <v>299</v>
      </c>
      <c r="AF3558" s="5" t="s">
        <v>248</v>
      </c>
      <c r="AG3558" s="5" t="s">
        <v>249</v>
      </c>
      <c r="AH3558" s="5" t="s">
        <v>240</v>
      </c>
      <c r="AI3558" s="5" t="s">
        <v>240</v>
      </c>
      <c r="AJ3558" s="5" t="s">
        <v>240</v>
      </c>
      <c r="AK3558" s="5" t="s">
        <v>240</v>
      </c>
      <c r="AL3558" s="5" t="s">
        <v>240</v>
      </c>
      <c r="AM3558" s="5" t="s">
        <v>240</v>
      </c>
      <c r="AN3558" s="5" t="s">
        <v>240</v>
      </c>
      <c r="AO3558" s="5" t="s">
        <v>240</v>
      </c>
      <c r="AP3558" s="6" t="s">
        <v>240</v>
      </c>
      <c r="AQ3558" s="6" t="s">
        <v>240</v>
      </c>
      <c r="AR3558" s="6" t="s">
        <v>240</v>
      </c>
      <c r="AS3558" s="6" t="s">
        <v>240</v>
      </c>
      <c r="AT3558" s="5" t="s">
        <v>240</v>
      </c>
      <c r="AU3558" s="5" t="s">
        <v>729</v>
      </c>
      <c r="AV3558" s="5" t="s">
        <v>729</v>
      </c>
      <c r="AW3558" s="5" t="s">
        <v>251</v>
      </c>
      <c r="AX3558" s="5" t="s">
        <v>252</v>
      </c>
      <c r="AY3558" s="5" t="s">
        <v>253</v>
      </c>
      <c r="AZ3558" s="5" t="s">
        <v>240</v>
      </c>
      <c r="BA3558" s="5" t="s">
        <v>255</v>
      </c>
      <c r="BB3558" s="5" t="s">
        <v>731</v>
      </c>
      <c r="BD3558" s="5" t="s">
        <v>240</v>
      </c>
      <c r="BF3558" s="5" t="s">
        <v>732</v>
      </c>
      <c r="BG3558" s="6" t="s">
        <v>733</v>
      </c>
      <c r="BH3558" s="5" t="s">
        <v>734</v>
      </c>
      <c r="BI3558" s="5" t="s">
        <v>734</v>
      </c>
      <c r="BJ3558" s="5" t="s">
        <v>240</v>
      </c>
      <c r="BK3558" s="7">
        <f>1</f>
        <v>1</v>
      </c>
      <c r="BL3558" s="7">
        <f>1</f>
        <v>1</v>
      </c>
      <c r="BM3558" s="5" t="s">
        <v>258</v>
      </c>
      <c r="BN3558" s="5" t="s">
        <v>259</v>
      </c>
      <c r="BO3558" s="5" t="s">
        <v>240</v>
      </c>
      <c r="BP3558" s="5" t="s">
        <v>240</v>
      </c>
      <c r="BQ3558" s="5" t="s">
        <v>240</v>
      </c>
      <c r="BR3558" s="5" t="s">
        <v>240</v>
      </c>
      <c r="BS3558" s="5" t="s">
        <v>240</v>
      </c>
      <c r="BT3558" s="5" t="s">
        <v>240</v>
      </c>
      <c r="BU3558" s="5" t="s">
        <v>240</v>
      </c>
      <c r="BV3558" s="5" t="s">
        <v>240</v>
      </c>
      <c r="BW3558" s="6" t="s">
        <v>240</v>
      </c>
      <c r="BX3558" s="5" t="s">
        <v>240</v>
      </c>
      <c r="BY3558" s="5" t="s">
        <v>240</v>
      </c>
      <c r="BZ3558" s="5" t="s">
        <v>240</v>
      </c>
      <c r="CA3558" s="5" t="s">
        <v>259</v>
      </c>
      <c r="CB3558" s="5" t="s">
        <v>240</v>
      </c>
      <c r="CC3558" s="5" t="s">
        <v>240</v>
      </c>
      <c r="CD3558" s="5" t="s">
        <v>240</v>
      </c>
      <c r="CE3558" s="5" t="s">
        <v>240</v>
      </c>
      <c r="CF3558" s="5" t="s">
        <v>240</v>
      </c>
      <c r="CG3558" s="5" t="s">
        <v>304</v>
      </c>
      <c r="CH3558" s="5" t="s">
        <v>305</v>
      </c>
      <c r="CI3558" s="5" t="s">
        <v>240</v>
      </c>
      <c r="CK3558" s="5" t="s">
        <v>3681</v>
      </c>
      <c r="CL3558" s="6" t="s">
        <v>261</v>
      </c>
      <c r="CM3558" s="5" t="s">
        <v>262</v>
      </c>
      <c r="CN3558" s="5" t="s">
        <v>263</v>
      </c>
      <c r="CO3558" s="5" t="s">
        <v>264</v>
      </c>
      <c r="CP3558" s="5" t="s">
        <v>240</v>
      </c>
      <c r="CQ3558" s="5">
        <v>0</v>
      </c>
      <c r="CR3558" s="5" t="s">
        <v>735</v>
      </c>
      <c r="CS3558" s="5" t="s">
        <v>307</v>
      </c>
      <c r="CT3558" s="5" t="s">
        <v>307</v>
      </c>
      <c r="CU3558" s="5" t="s">
        <v>260</v>
      </c>
      <c r="CV3558" s="5" t="s">
        <v>612</v>
      </c>
      <c r="CW3558" s="8">
        <f>1</f>
        <v>1</v>
      </c>
      <c r="CX3558" s="7">
        <f>1</f>
        <v>1</v>
      </c>
      <c r="CY3558" s="7">
        <f>0</f>
        <v>0</v>
      </c>
      <c r="DA3558" s="7">
        <f>1</f>
        <v>1</v>
      </c>
      <c r="DB3558" s="7" t="s">
        <v>240</v>
      </c>
      <c r="DC3558" s="5" t="s">
        <v>240</v>
      </c>
      <c r="DD3558" s="5" t="s">
        <v>240</v>
      </c>
      <c r="DE3558" s="5" t="s">
        <v>240</v>
      </c>
      <c r="DF3558" s="5" t="s">
        <v>240</v>
      </c>
      <c r="DG3558" s="7">
        <f>0</f>
        <v>0</v>
      </c>
      <c r="DI3558" s="5" t="s">
        <v>240</v>
      </c>
      <c r="DJ3558" s="5" t="s">
        <v>240</v>
      </c>
      <c r="DK3558" s="5" t="s">
        <v>240</v>
      </c>
      <c r="DL3558" s="5" t="s">
        <v>240</v>
      </c>
      <c r="DM3558" s="5" t="s">
        <v>240</v>
      </c>
      <c r="DN3558" s="5" t="s">
        <v>240</v>
      </c>
      <c r="DO3558" s="7" t="s">
        <v>240</v>
      </c>
      <c r="DP3558" s="5" t="s">
        <v>240</v>
      </c>
      <c r="DQ3558" s="5" t="s">
        <v>240</v>
      </c>
      <c r="DR3558" s="5" t="s">
        <v>731</v>
      </c>
      <c r="DS3558" s="5" t="s">
        <v>731</v>
      </c>
      <c r="DT3558" s="5" t="s">
        <v>240</v>
      </c>
      <c r="DU3558" s="5" t="s">
        <v>240</v>
      </c>
      <c r="DV3558" s="5" t="s">
        <v>3683</v>
      </c>
      <c r="DW3558" s="5" t="s">
        <v>2051</v>
      </c>
      <c r="DX3558" s="5" t="s">
        <v>240</v>
      </c>
      <c r="DY3558" s="5" t="s">
        <v>240</v>
      </c>
      <c r="DZ3558" s="5" t="s">
        <v>240</v>
      </c>
      <c r="EA3558" s="5" t="s">
        <v>240</v>
      </c>
      <c r="EB3558" s="5" t="s">
        <v>240</v>
      </c>
      <c r="EC3558" s="5" t="s">
        <v>240</v>
      </c>
      <c r="ED3558" s="5" t="s">
        <v>240</v>
      </c>
      <c r="EE3558" s="5" t="s">
        <v>240</v>
      </c>
      <c r="EF3558" s="5" t="s">
        <v>240</v>
      </c>
      <c r="EG3558" s="5" t="s">
        <v>240</v>
      </c>
      <c r="EH3558" s="5" t="s">
        <v>240</v>
      </c>
      <c r="EI3558" s="5" t="s">
        <v>240</v>
      </c>
      <c r="EJ3558" s="5" t="s">
        <v>240</v>
      </c>
      <c r="EK3558" s="5" t="s">
        <v>240</v>
      </c>
      <c r="EL3558" s="5" t="s">
        <v>240</v>
      </c>
      <c r="EM3558" s="5" t="s">
        <v>240</v>
      </c>
      <c r="EN3558" s="5" t="s">
        <v>240</v>
      </c>
      <c r="EO3558" s="5" t="s">
        <v>240</v>
      </c>
      <c r="EP3558" s="5" t="s">
        <v>240</v>
      </c>
      <c r="EQ3558" s="5" t="s">
        <v>240</v>
      </c>
      <c r="ER3558" s="5" t="s">
        <v>240</v>
      </c>
      <c r="ES3558" s="5" t="s">
        <v>240</v>
      </c>
      <c r="ET3558" s="5" t="s">
        <v>240</v>
      </c>
      <c r="EU3558" s="5" t="s">
        <v>240</v>
      </c>
      <c r="EV3558" s="5" t="s">
        <v>240</v>
      </c>
      <c r="EW3558" s="5" t="s">
        <v>240</v>
      </c>
      <c r="EX3558" s="5" t="s">
        <v>240</v>
      </c>
      <c r="EY3558" s="5" t="s">
        <v>240</v>
      </c>
      <c r="EZ3558" s="5" t="s">
        <v>240</v>
      </c>
      <c r="FA3558" s="5" t="s">
        <v>240</v>
      </c>
      <c r="FB3558" s="5" t="s">
        <v>240</v>
      </c>
      <c r="FC3558" s="5" t="s">
        <v>240</v>
      </c>
      <c r="FD3558" s="5" t="s">
        <v>240</v>
      </c>
      <c r="FE3558" s="5" t="s">
        <v>240</v>
      </c>
      <c r="FF3558" s="5" t="s">
        <v>240</v>
      </c>
      <c r="FG3558" s="5" t="s">
        <v>240</v>
      </c>
      <c r="FH3558" s="5" t="s">
        <v>240</v>
      </c>
      <c r="FI3558" s="5" t="s">
        <v>240</v>
      </c>
      <c r="FJ3558" s="5" t="s">
        <v>240</v>
      </c>
      <c r="FK3558" s="5" t="s">
        <v>240</v>
      </c>
      <c r="FL3558" s="5" t="s">
        <v>240</v>
      </c>
      <c r="FM3558" s="5" t="s">
        <v>240</v>
      </c>
      <c r="FN3558" s="5" t="s">
        <v>240</v>
      </c>
      <c r="FO3558" s="5" t="s">
        <v>240</v>
      </c>
      <c r="FP3558" s="5" t="s">
        <v>240</v>
      </c>
      <c r="FQ3558" s="5" t="s">
        <v>240</v>
      </c>
      <c r="FR3558" s="5" t="s">
        <v>240</v>
      </c>
      <c r="FS3558" s="5" t="s">
        <v>240</v>
      </c>
      <c r="FT3558" s="5" t="s">
        <v>240</v>
      </c>
      <c r="FU3558" s="5" t="s">
        <v>240</v>
      </c>
      <c r="FV3558" s="5" t="s">
        <v>240</v>
      </c>
      <c r="FW3558" s="5" t="s">
        <v>240</v>
      </c>
      <c r="FX3558" s="5" t="s">
        <v>240</v>
      </c>
      <c r="FY3558" s="5" t="s">
        <v>240</v>
      </c>
      <c r="FZ3558" s="5" t="s">
        <v>240</v>
      </c>
      <c r="GA3558" s="5" t="s">
        <v>240</v>
      </c>
      <c r="GB3558" s="5" t="s">
        <v>240</v>
      </c>
      <c r="GC3558" s="5" t="s">
        <v>240</v>
      </c>
      <c r="GD3558" s="5" t="s">
        <v>240</v>
      </c>
      <c r="GE3558" s="5" t="s">
        <v>240</v>
      </c>
      <c r="GF3558" s="5" t="s">
        <v>240</v>
      </c>
      <c r="GG3558" s="5" t="s">
        <v>240</v>
      </c>
      <c r="GH3558" s="5" t="s">
        <v>240</v>
      </c>
      <c r="GI3558" s="5" t="s">
        <v>240</v>
      </c>
      <c r="GJ3558" s="5" t="s">
        <v>240</v>
      </c>
      <c r="GK3558" s="5" t="s">
        <v>240</v>
      </c>
      <c r="GL3558" s="5" t="s">
        <v>240</v>
      </c>
      <c r="GM3558" s="5" t="s">
        <v>240</v>
      </c>
      <c r="GN3558" s="5" t="s">
        <v>240</v>
      </c>
      <c r="GO3558" s="5" t="s">
        <v>240</v>
      </c>
      <c r="GP3558" s="5" t="s">
        <v>240</v>
      </c>
      <c r="GQ3558" s="5" t="s">
        <v>240</v>
      </c>
      <c r="GR3558" s="5" t="s">
        <v>240</v>
      </c>
      <c r="GS3558" s="5" t="s">
        <v>240</v>
      </c>
      <c r="GT3558" s="5" t="s">
        <v>240</v>
      </c>
      <c r="GU3558" s="5" t="s">
        <v>240</v>
      </c>
      <c r="GV3558" s="5" t="s">
        <v>240</v>
      </c>
      <c r="GW3558" s="5" t="s">
        <v>240</v>
      </c>
      <c r="GX3558" s="5" t="s">
        <v>240</v>
      </c>
      <c r="GY3558" s="5" t="s">
        <v>240</v>
      </c>
      <c r="GZ3558" s="5" t="s">
        <v>240</v>
      </c>
      <c r="HA3558" s="5" t="s">
        <v>240</v>
      </c>
      <c r="HB3558" s="5" t="s">
        <v>240</v>
      </c>
      <c r="HC3558" s="5" t="s">
        <v>240</v>
      </c>
      <c r="HD3558" s="5" t="s">
        <v>240</v>
      </c>
      <c r="HE3558" s="5" t="s">
        <v>240</v>
      </c>
      <c r="HF3558" s="5" t="s">
        <v>240</v>
      </c>
      <c r="HG3558" s="5" t="s">
        <v>240</v>
      </c>
      <c r="HH3558" s="5" t="s">
        <v>240</v>
      </c>
      <c r="HI3558" s="5" t="s">
        <v>240</v>
      </c>
      <c r="HJ3558" s="5" t="s">
        <v>240</v>
      </c>
      <c r="HK3558" s="5" t="s">
        <v>240</v>
      </c>
      <c r="HL3558" s="5" t="s">
        <v>240</v>
      </c>
      <c r="HM3558" s="5" t="s">
        <v>240</v>
      </c>
      <c r="HN3558" s="5" t="s">
        <v>240</v>
      </c>
      <c r="HO3558" s="5" t="s">
        <v>312</v>
      </c>
      <c r="HP3558" s="5" t="s">
        <v>240</v>
      </c>
      <c r="HQ3558" s="5" t="s">
        <v>240</v>
      </c>
      <c r="HR3558" s="5" t="s">
        <v>240</v>
      </c>
      <c r="HS3558" s="5" t="s">
        <v>240</v>
      </c>
      <c r="HT3558" s="5" t="s">
        <v>240</v>
      </c>
      <c r="HU3558" s="5" t="s">
        <v>240</v>
      </c>
      <c r="HV3558" s="5" t="s">
        <v>240</v>
      </c>
      <c r="HW3558" s="5" t="s">
        <v>240</v>
      </c>
      <c r="HX3558" s="5" t="s">
        <v>240</v>
      </c>
      <c r="HY3558" s="5" t="s">
        <v>240</v>
      </c>
      <c r="HZ3558" s="5" t="s">
        <v>240</v>
      </c>
      <c r="IA3558" s="5" t="s">
        <v>240</v>
      </c>
      <c r="IB3558" s="5" t="s">
        <v>240</v>
      </c>
      <c r="IC3558" s="5" t="s">
        <v>240</v>
      </c>
      <c r="ID3558" s="5" t="s">
        <v>240</v>
      </c>
      <c r="IE3558" s="5" t="s">
        <v>240</v>
      </c>
      <c r="IF3558" s="5" t="s">
        <v>240</v>
      </c>
    </row>
    <row r="3559" spans="1:240" x14ac:dyDescent="0.4">
      <c r="A3559" s="5">
        <v>9101</v>
      </c>
      <c r="B3559" s="5">
        <v>1</v>
      </c>
      <c r="C3559" s="5">
        <v>1</v>
      </c>
      <c r="D3559" s="5" t="s">
        <v>723</v>
      </c>
      <c r="E3559" s="5" t="s">
        <v>725</v>
      </c>
      <c r="F3559" s="5" t="s">
        <v>254</v>
      </c>
      <c r="G3559" s="5" t="s">
        <v>5858</v>
      </c>
      <c r="H3559" s="6" t="s">
        <v>5859</v>
      </c>
      <c r="I3559" s="5" t="s">
        <v>5857</v>
      </c>
      <c r="J3559" s="7">
        <f>1</f>
        <v>1</v>
      </c>
      <c r="K3559" s="5" t="s">
        <v>3682</v>
      </c>
      <c r="L3559" s="7">
        <f>1</f>
        <v>1</v>
      </c>
      <c r="M3559" s="7">
        <f>1</f>
        <v>1</v>
      </c>
      <c r="N3559" s="5" t="s">
        <v>242</v>
      </c>
      <c r="O3559" s="5">
        <v>1</v>
      </c>
      <c r="P3559" s="5" t="s">
        <v>294</v>
      </c>
      <c r="Q3559" s="5" t="s">
        <v>613</v>
      </c>
      <c r="R3559" s="5" t="s">
        <v>240</v>
      </c>
      <c r="S3559" s="5" t="s">
        <v>240</v>
      </c>
      <c r="T3559" s="5" t="s">
        <v>243</v>
      </c>
      <c r="U3559" s="5" t="s">
        <v>724</v>
      </c>
      <c r="V3559" s="5" t="s">
        <v>240</v>
      </c>
      <c r="W3559" s="5" t="s">
        <v>240</v>
      </c>
      <c r="X3559" s="5" t="s">
        <v>240</v>
      </c>
      <c r="Y3559" s="5" t="s">
        <v>240</v>
      </c>
      <c r="Z3559" s="6" t="s">
        <v>298</v>
      </c>
      <c r="AA3559" s="6" t="s">
        <v>240</v>
      </c>
      <c r="AB3559" s="6" t="s">
        <v>240</v>
      </c>
      <c r="AC3559" s="5" t="s">
        <v>240</v>
      </c>
      <c r="AD3559" s="6" t="s">
        <v>240</v>
      </c>
      <c r="AE3559" s="6" t="s">
        <v>299</v>
      </c>
      <c r="AF3559" s="5" t="s">
        <v>727</v>
      </c>
      <c r="AG3559" s="5" t="s">
        <v>260</v>
      </c>
      <c r="AH3559" s="5" t="s">
        <v>240</v>
      </c>
      <c r="AI3559" s="5" t="s">
        <v>240</v>
      </c>
      <c r="AJ3559" s="5" t="s">
        <v>240</v>
      </c>
      <c r="AK3559" s="5" t="s">
        <v>240</v>
      </c>
      <c r="AL3559" s="5" t="s">
        <v>240</v>
      </c>
      <c r="AM3559" s="5" t="s">
        <v>240</v>
      </c>
      <c r="AN3559" s="5" t="s">
        <v>240</v>
      </c>
      <c r="AO3559" s="5" t="s">
        <v>240</v>
      </c>
      <c r="AP3559" s="6" t="s">
        <v>240</v>
      </c>
      <c r="AQ3559" s="6" t="s">
        <v>240</v>
      </c>
      <c r="AR3559" s="6" t="s">
        <v>240</v>
      </c>
      <c r="AS3559" s="6" t="s">
        <v>240</v>
      </c>
      <c r="AT3559" s="5" t="s">
        <v>240</v>
      </c>
      <c r="AU3559" s="5" t="s">
        <v>729</v>
      </c>
      <c r="AV3559" s="5" t="s">
        <v>729</v>
      </c>
      <c r="AW3559" s="5" t="s">
        <v>251</v>
      </c>
      <c r="AX3559" s="5" t="s">
        <v>252</v>
      </c>
      <c r="AY3559" s="5" t="s">
        <v>253</v>
      </c>
      <c r="AZ3559" s="5" t="s">
        <v>240</v>
      </c>
      <c r="BA3559" s="5" t="s">
        <v>255</v>
      </c>
      <c r="BB3559" s="5" t="s">
        <v>731</v>
      </c>
      <c r="BD3559" s="5" t="s">
        <v>3167</v>
      </c>
      <c r="BF3559" s="5" t="s">
        <v>732</v>
      </c>
      <c r="BG3559" s="6" t="s">
        <v>733</v>
      </c>
      <c r="BH3559" s="5" t="s">
        <v>734</v>
      </c>
      <c r="BI3559" s="5" t="s">
        <v>734</v>
      </c>
      <c r="BJ3559" s="5" t="s">
        <v>240</v>
      </c>
      <c r="BK3559" s="8">
        <f>827</f>
        <v>827</v>
      </c>
      <c r="BL3559" s="7">
        <f>0</f>
        <v>0</v>
      </c>
      <c r="BM3559" s="5" t="s">
        <v>258</v>
      </c>
      <c r="BN3559" s="5" t="s">
        <v>259</v>
      </c>
      <c r="BO3559" s="5" t="s">
        <v>240</v>
      </c>
      <c r="BP3559" s="5" t="s">
        <v>240</v>
      </c>
      <c r="BQ3559" s="5" t="s">
        <v>240</v>
      </c>
      <c r="BR3559" s="5" t="s">
        <v>240</v>
      </c>
      <c r="BS3559" s="5" t="s">
        <v>240</v>
      </c>
      <c r="BT3559" s="5" t="s">
        <v>240</v>
      </c>
      <c r="BU3559" s="5" t="s">
        <v>240</v>
      </c>
      <c r="BV3559" s="5" t="s">
        <v>240</v>
      </c>
      <c r="BW3559" s="6" t="s">
        <v>240</v>
      </c>
      <c r="BX3559" s="5" t="s">
        <v>240</v>
      </c>
      <c r="BY3559" s="5" t="s">
        <v>240</v>
      </c>
      <c r="BZ3559" s="5" t="s">
        <v>240</v>
      </c>
      <c r="CA3559" s="5" t="s">
        <v>259</v>
      </c>
      <c r="CB3559" s="5" t="s">
        <v>240</v>
      </c>
      <c r="CC3559" s="5" t="s">
        <v>240</v>
      </c>
      <c r="CD3559" s="5" t="s">
        <v>240</v>
      </c>
      <c r="CE3559" s="5" t="s">
        <v>240</v>
      </c>
      <c r="CF3559" s="5" t="s">
        <v>240</v>
      </c>
      <c r="CG3559" s="5" t="s">
        <v>617</v>
      </c>
      <c r="CH3559" s="5" t="s">
        <v>305</v>
      </c>
      <c r="CI3559" s="5" t="s">
        <v>240</v>
      </c>
      <c r="CL3559" s="6" t="s">
        <v>261</v>
      </c>
      <c r="CM3559" s="5" t="s">
        <v>262</v>
      </c>
      <c r="CN3559" s="5" t="s">
        <v>263</v>
      </c>
      <c r="CO3559" s="5" t="s">
        <v>264</v>
      </c>
      <c r="CP3559" s="5" t="s">
        <v>240</v>
      </c>
      <c r="CQ3559" s="5">
        <v>0</v>
      </c>
      <c r="CR3559" s="5" t="s">
        <v>735</v>
      </c>
      <c r="CS3559" s="5" t="s">
        <v>307</v>
      </c>
      <c r="CT3559" s="5" t="s">
        <v>307</v>
      </c>
      <c r="CU3559" s="5" t="s">
        <v>260</v>
      </c>
      <c r="CV3559" s="5" t="s">
        <v>240</v>
      </c>
      <c r="CW3559" s="8">
        <f>0</f>
        <v>0</v>
      </c>
      <c r="CX3559" s="7">
        <f>0</f>
        <v>0</v>
      </c>
      <c r="CY3559" s="7">
        <f>0</f>
        <v>0</v>
      </c>
      <c r="DA3559" s="7">
        <f>9097</f>
        <v>9097</v>
      </c>
      <c r="DB3559" s="7" t="s">
        <v>240</v>
      </c>
      <c r="DC3559" s="5" t="s">
        <v>240</v>
      </c>
      <c r="DD3559" s="5" t="s">
        <v>240</v>
      </c>
      <c r="DE3559" s="5" t="s">
        <v>240</v>
      </c>
      <c r="DF3559" s="5" t="s">
        <v>450</v>
      </c>
      <c r="DG3559" s="7">
        <f>0</f>
        <v>0</v>
      </c>
      <c r="DI3559" s="5" t="s">
        <v>737</v>
      </c>
      <c r="DJ3559" s="5" t="s">
        <v>240</v>
      </c>
      <c r="DK3559" s="5" t="s">
        <v>240</v>
      </c>
      <c r="DL3559" s="5" t="s">
        <v>240</v>
      </c>
      <c r="DM3559" s="5" t="s">
        <v>240</v>
      </c>
      <c r="DN3559" s="5" t="s">
        <v>240</v>
      </c>
      <c r="DO3559" s="7" t="s">
        <v>240</v>
      </c>
      <c r="DP3559" s="5" t="s">
        <v>240</v>
      </c>
      <c r="DQ3559" s="5" t="s">
        <v>240</v>
      </c>
      <c r="DR3559" s="5" t="s">
        <v>731</v>
      </c>
      <c r="DS3559" s="5" t="s">
        <v>731</v>
      </c>
      <c r="DT3559" s="5" t="s">
        <v>240</v>
      </c>
      <c r="DU3559" s="5" t="s">
        <v>240</v>
      </c>
      <c r="DV3559" s="5" t="s">
        <v>738</v>
      </c>
      <c r="DW3559" s="5" t="s">
        <v>697</v>
      </c>
      <c r="DX3559" s="5" t="s">
        <v>240</v>
      </c>
      <c r="DY3559" s="5" t="s">
        <v>240</v>
      </c>
      <c r="DZ3559" s="5" t="s">
        <v>240</v>
      </c>
      <c r="EA3559" s="5" t="s">
        <v>240</v>
      </c>
      <c r="EB3559" s="5" t="s">
        <v>240</v>
      </c>
      <c r="EC3559" s="5" t="s">
        <v>240</v>
      </c>
      <c r="ED3559" s="5" t="s">
        <v>240</v>
      </c>
      <c r="EE3559" s="5" t="s">
        <v>240</v>
      </c>
      <c r="EF3559" s="5" t="s">
        <v>240</v>
      </c>
      <c r="EG3559" s="5" t="s">
        <v>240</v>
      </c>
      <c r="EH3559" s="5" t="s">
        <v>240</v>
      </c>
      <c r="EI3559" s="5" t="s">
        <v>240</v>
      </c>
      <c r="EJ3559" s="5" t="s">
        <v>240</v>
      </c>
      <c r="EK3559" s="5" t="s">
        <v>240</v>
      </c>
      <c r="EL3559" s="5" t="s">
        <v>240</v>
      </c>
      <c r="EM3559" s="5" t="s">
        <v>240</v>
      </c>
      <c r="EN3559" s="5" t="s">
        <v>240</v>
      </c>
      <c r="EO3559" s="5" t="s">
        <v>240</v>
      </c>
      <c r="EP3559" s="5" t="s">
        <v>240</v>
      </c>
      <c r="EQ3559" s="5" t="s">
        <v>240</v>
      </c>
      <c r="ER3559" s="5" t="s">
        <v>240</v>
      </c>
      <c r="ES3559" s="5" t="s">
        <v>240</v>
      </c>
      <c r="ET3559" s="5" t="s">
        <v>240</v>
      </c>
      <c r="EU3559" s="5" t="s">
        <v>240</v>
      </c>
      <c r="EV3559" s="5" t="s">
        <v>240</v>
      </c>
      <c r="EW3559" s="5" t="s">
        <v>240</v>
      </c>
      <c r="EX3559" s="5" t="s">
        <v>240</v>
      </c>
      <c r="EY3559" s="5" t="s">
        <v>240</v>
      </c>
      <c r="EZ3559" s="5" t="s">
        <v>240</v>
      </c>
      <c r="FA3559" s="5" t="s">
        <v>240</v>
      </c>
      <c r="FB3559" s="5" t="s">
        <v>240</v>
      </c>
      <c r="FC3559" s="5" t="s">
        <v>240</v>
      </c>
      <c r="FD3559" s="5" t="s">
        <v>240</v>
      </c>
      <c r="FE3559" s="5" t="s">
        <v>240</v>
      </c>
      <c r="FF3559" s="5" t="s">
        <v>240</v>
      </c>
      <c r="FG3559" s="5" t="s">
        <v>240</v>
      </c>
      <c r="FH3559" s="5" t="s">
        <v>240</v>
      </c>
      <c r="FI3559" s="5" t="s">
        <v>240</v>
      </c>
      <c r="FJ3559" s="5" t="s">
        <v>240</v>
      </c>
      <c r="FK3559" s="5" t="s">
        <v>240</v>
      </c>
      <c r="FL3559" s="5" t="s">
        <v>240</v>
      </c>
      <c r="FM3559" s="5" t="s">
        <v>240</v>
      </c>
      <c r="FN3559" s="5" t="s">
        <v>240</v>
      </c>
      <c r="FO3559" s="5" t="s">
        <v>240</v>
      </c>
      <c r="FP3559" s="5" t="s">
        <v>240</v>
      </c>
      <c r="FQ3559" s="5" t="s">
        <v>240</v>
      </c>
      <c r="FR3559" s="5" t="s">
        <v>240</v>
      </c>
      <c r="FS3559" s="5" t="s">
        <v>240</v>
      </c>
      <c r="FT3559" s="5" t="s">
        <v>240</v>
      </c>
      <c r="FU3559" s="5" t="s">
        <v>240</v>
      </c>
      <c r="FV3559" s="5" t="s">
        <v>240</v>
      </c>
      <c r="FW3559" s="5" t="s">
        <v>240</v>
      </c>
      <c r="FX3559" s="5" t="s">
        <v>240</v>
      </c>
      <c r="FY3559" s="5" t="s">
        <v>240</v>
      </c>
      <c r="FZ3559" s="5" t="s">
        <v>240</v>
      </c>
      <c r="GA3559" s="5" t="s">
        <v>240</v>
      </c>
      <c r="GB3559" s="5" t="s">
        <v>240</v>
      </c>
      <c r="GC3559" s="5" t="s">
        <v>240</v>
      </c>
      <c r="GD3559" s="5" t="s">
        <v>240</v>
      </c>
      <c r="GE3559" s="5" t="s">
        <v>240</v>
      </c>
      <c r="GF3559" s="5" t="s">
        <v>240</v>
      </c>
      <c r="GG3559" s="5" t="s">
        <v>240</v>
      </c>
      <c r="GH3559" s="5" t="s">
        <v>240</v>
      </c>
      <c r="GI3559" s="5" t="s">
        <v>240</v>
      </c>
      <c r="GJ3559" s="5" t="s">
        <v>240</v>
      </c>
      <c r="GK3559" s="5" t="s">
        <v>240</v>
      </c>
      <c r="GL3559" s="5" t="s">
        <v>240</v>
      </c>
      <c r="GM3559" s="5" t="s">
        <v>240</v>
      </c>
      <c r="GN3559" s="5" t="s">
        <v>240</v>
      </c>
      <c r="GO3559" s="5" t="s">
        <v>240</v>
      </c>
      <c r="GP3559" s="5" t="s">
        <v>240</v>
      </c>
      <c r="GQ3559" s="5" t="s">
        <v>240</v>
      </c>
      <c r="GR3559" s="5" t="s">
        <v>240</v>
      </c>
      <c r="GS3559" s="5" t="s">
        <v>240</v>
      </c>
      <c r="GT3559" s="5" t="s">
        <v>240</v>
      </c>
      <c r="GU3559" s="5" t="s">
        <v>240</v>
      </c>
      <c r="GV3559" s="5" t="s">
        <v>240</v>
      </c>
      <c r="GW3559" s="5" t="s">
        <v>240</v>
      </c>
      <c r="GX3559" s="5" t="s">
        <v>240</v>
      </c>
      <c r="GY3559" s="5" t="s">
        <v>240</v>
      </c>
      <c r="GZ3559" s="5" t="s">
        <v>240</v>
      </c>
      <c r="HA3559" s="5" t="s">
        <v>240</v>
      </c>
      <c r="HB3559" s="5" t="s">
        <v>240</v>
      </c>
      <c r="HC3559" s="5" t="s">
        <v>240</v>
      </c>
      <c r="HD3559" s="5" t="s">
        <v>240</v>
      </c>
      <c r="HE3559" s="5" t="s">
        <v>240</v>
      </c>
      <c r="HF3559" s="5" t="s">
        <v>240</v>
      </c>
      <c r="HG3559" s="5" t="s">
        <v>240</v>
      </c>
      <c r="HH3559" s="5" t="s">
        <v>240</v>
      </c>
      <c r="HI3559" s="5" t="s">
        <v>240</v>
      </c>
      <c r="HJ3559" s="5" t="s">
        <v>240</v>
      </c>
      <c r="HK3559" s="5" t="s">
        <v>240</v>
      </c>
      <c r="HL3559" s="5" t="s">
        <v>240</v>
      </c>
      <c r="HM3559" s="5" t="s">
        <v>240</v>
      </c>
      <c r="HN3559" s="5" t="s">
        <v>240</v>
      </c>
      <c r="HO3559" s="5" t="s">
        <v>312</v>
      </c>
      <c r="HP3559" s="5" t="s">
        <v>240</v>
      </c>
      <c r="HQ3559" s="5" t="s">
        <v>240</v>
      </c>
      <c r="HR3559" s="5" t="s">
        <v>240</v>
      </c>
      <c r="HS3559" s="5" t="s">
        <v>240</v>
      </c>
      <c r="HT3559" s="5" t="s">
        <v>240</v>
      </c>
      <c r="HU3559" s="5" t="s">
        <v>240</v>
      </c>
      <c r="HV3559" s="5" t="s">
        <v>240</v>
      </c>
      <c r="HW3559" s="5" t="s">
        <v>240</v>
      </c>
      <c r="HX3559" s="5" t="s">
        <v>240</v>
      </c>
      <c r="HY3559" s="5" t="s">
        <v>240</v>
      </c>
      <c r="HZ3559" s="5" t="s">
        <v>240</v>
      </c>
      <c r="IA3559" s="5" t="s">
        <v>240</v>
      </c>
      <c r="IB3559" s="5" t="s">
        <v>240</v>
      </c>
      <c r="IC3559" s="5" t="s">
        <v>240</v>
      </c>
      <c r="ID3559" s="5" t="s">
        <v>240</v>
      </c>
      <c r="IE3559" s="5" t="s">
        <v>240</v>
      </c>
      <c r="IF3559" s="5" t="s">
        <v>240</v>
      </c>
    </row>
    <row r="3560" spans="1:240" x14ac:dyDescent="0.4">
      <c r="A3560" s="5">
        <v>9102</v>
      </c>
      <c r="B3560" s="5">
        <v>1</v>
      </c>
      <c r="C3560" s="5">
        <v>1</v>
      </c>
      <c r="D3560" s="5" t="s">
        <v>723</v>
      </c>
      <c r="E3560" s="5" t="s">
        <v>725</v>
      </c>
      <c r="F3560" s="5" t="s">
        <v>254</v>
      </c>
      <c r="G3560" s="5" t="s">
        <v>5831</v>
      </c>
      <c r="H3560" s="6" t="s">
        <v>5832</v>
      </c>
      <c r="I3560" s="5" t="s">
        <v>5830</v>
      </c>
      <c r="J3560" s="7">
        <f>1</f>
        <v>1</v>
      </c>
      <c r="K3560" s="5" t="s">
        <v>3682</v>
      </c>
      <c r="L3560" s="7">
        <f>1</f>
        <v>1</v>
      </c>
      <c r="M3560" s="7">
        <f>1</f>
        <v>1</v>
      </c>
      <c r="N3560" s="5" t="s">
        <v>242</v>
      </c>
      <c r="O3560" s="5">
        <v>1</v>
      </c>
      <c r="P3560" s="5" t="s">
        <v>294</v>
      </c>
      <c r="Q3560" s="5" t="s">
        <v>613</v>
      </c>
      <c r="R3560" s="5" t="s">
        <v>240</v>
      </c>
      <c r="S3560" s="5" t="s">
        <v>240</v>
      </c>
      <c r="T3560" s="5" t="s">
        <v>243</v>
      </c>
      <c r="U3560" s="5" t="s">
        <v>724</v>
      </c>
      <c r="V3560" s="5" t="s">
        <v>240</v>
      </c>
      <c r="W3560" s="5" t="s">
        <v>240</v>
      </c>
      <c r="X3560" s="5" t="s">
        <v>240</v>
      </c>
      <c r="Y3560" s="5" t="s">
        <v>240</v>
      </c>
      <c r="Z3560" s="6" t="s">
        <v>298</v>
      </c>
      <c r="AA3560" s="6" t="s">
        <v>240</v>
      </c>
      <c r="AB3560" s="6" t="s">
        <v>240</v>
      </c>
      <c r="AC3560" s="5" t="s">
        <v>240</v>
      </c>
      <c r="AD3560" s="6" t="s">
        <v>240</v>
      </c>
      <c r="AE3560" s="6" t="s">
        <v>299</v>
      </c>
      <c r="AF3560" s="5" t="s">
        <v>727</v>
      </c>
      <c r="AG3560" s="5" t="s">
        <v>260</v>
      </c>
      <c r="AH3560" s="5" t="s">
        <v>240</v>
      </c>
      <c r="AI3560" s="5" t="s">
        <v>240</v>
      </c>
      <c r="AJ3560" s="5" t="s">
        <v>240</v>
      </c>
      <c r="AK3560" s="5" t="s">
        <v>240</v>
      </c>
      <c r="AL3560" s="5" t="s">
        <v>240</v>
      </c>
      <c r="AM3560" s="5" t="s">
        <v>240</v>
      </c>
      <c r="AN3560" s="5" t="s">
        <v>240</v>
      </c>
      <c r="AO3560" s="5" t="s">
        <v>240</v>
      </c>
      <c r="AP3560" s="6" t="s">
        <v>240</v>
      </c>
      <c r="AQ3560" s="6" t="s">
        <v>240</v>
      </c>
      <c r="AR3560" s="6" t="s">
        <v>240</v>
      </c>
      <c r="AS3560" s="6" t="s">
        <v>240</v>
      </c>
      <c r="AT3560" s="5" t="s">
        <v>240</v>
      </c>
      <c r="AU3560" s="5" t="s">
        <v>729</v>
      </c>
      <c r="AV3560" s="5" t="s">
        <v>729</v>
      </c>
      <c r="AW3560" s="5" t="s">
        <v>251</v>
      </c>
      <c r="AX3560" s="5" t="s">
        <v>252</v>
      </c>
      <c r="AY3560" s="5" t="s">
        <v>253</v>
      </c>
      <c r="AZ3560" s="5" t="s">
        <v>240</v>
      </c>
      <c r="BA3560" s="5" t="s">
        <v>255</v>
      </c>
      <c r="BB3560" s="5" t="s">
        <v>731</v>
      </c>
      <c r="BD3560" s="5" t="s">
        <v>240</v>
      </c>
      <c r="BF3560" s="5" t="s">
        <v>732</v>
      </c>
      <c r="BG3560" s="6" t="s">
        <v>733</v>
      </c>
      <c r="BH3560" s="5" t="s">
        <v>734</v>
      </c>
      <c r="BI3560" s="5" t="s">
        <v>734</v>
      </c>
      <c r="BJ3560" s="5" t="s">
        <v>240</v>
      </c>
      <c r="BK3560" s="8">
        <f>334</f>
        <v>334</v>
      </c>
      <c r="BL3560" s="7">
        <f>0</f>
        <v>0</v>
      </c>
      <c r="BM3560" s="5" t="s">
        <v>258</v>
      </c>
      <c r="BN3560" s="5" t="s">
        <v>259</v>
      </c>
      <c r="BO3560" s="5" t="s">
        <v>240</v>
      </c>
      <c r="BP3560" s="5" t="s">
        <v>240</v>
      </c>
      <c r="BQ3560" s="5" t="s">
        <v>240</v>
      </c>
      <c r="BR3560" s="5" t="s">
        <v>240</v>
      </c>
      <c r="BS3560" s="5" t="s">
        <v>240</v>
      </c>
      <c r="BT3560" s="5" t="s">
        <v>240</v>
      </c>
      <c r="BU3560" s="5" t="s">
        <v>240</v>
      </c>
      <c r="BV3560" s="5" t="s">
        <v>240</v>
      </c>
      <c r="BW3560" s="6" t="s">
        <v>240</v>
      </c>
      <c r="BX3560" s="5" t="s">
        <v>240</v>
      </c>
      <c r="BY3560" s="5" t="s">
        <v>240</v>
      </c>
      <c r="BZ3560" s="5" t="s">
        <v>240</v>
      </c>
      <c r="CA3560" s="5" t="s">
        <v>259</v>
      </c>
      <c r="CB3560" s="5" t="s">
        <v>240</v>
      </c>
      <c r="CC3560" s="5" t="s">
        <v>240</v>
      </c>
      <c r="CD3560" s="5" t="s">
        <v>240</v>
      </c>
      <c r="CE3560" s="5" t="s">
        <v>240</v>
      </c>
      <c r="CF3560" s="5" t="s">
        <v>240</v>
      </c>
      <c r="CG3560" s="5" t="s">
        <v>617</v>
      </c>
      <c r="CH3560" s="5" t="s">
        <v>305</v>
      </c>
      <c r="CI3560" s="5" t="s">
        <v>240</v>
      </c>
      <c r="CL3560" s="6" t="s">
        <v>261</v>
      </c>
      <c r="CM3560" s="5" t="s">
        <v>262</v>
      </c>
      <c r="CN3560" s="5" t="s">
        <v>263</v>
      </c>
      <c r="CO3560" s="5" t="s">
        <v>264</v>
      </c>
      <c r="CP3560" s="5" t="s">
        <v>240</v>
      </c>
      <c r="CQ3560" s="5">
        <v>0</v>
      </c>
      <c r="CR3560" s="5" t="s">
        <v>735</v>
      </c>
      <c r="CS3560" s="5" t="s">
        <v>307</v>
      </c>
      <c r="CT3560" s="5" t="s">
        <v>307</v>
      </c>
      <c r="CU3560" s="5" t="s">
        <v>260</v>
      </c>
      <c r="CV3560" s="5" t="s">
        <v>240</v>
      </c>
      <c r="CW3560" s="8">
        <f>0</f>
        <v>0</v>
      </c>
      <c r="CX3560" s="7">
        <f>0</f>
        <v>0</v>
      </c>
      <c r="CY3560" s="7">
        <f>0</f>
        <v>0</v>
      </c>
      <c r="DA3560" s="7">
        <f>3674</f>
        <v>3674</v>
      </c>
      <c r="DB3560" s="7" t="s">
        <v>240</v>
      </c>
      <c r="DC3560" s="5" t="s">
        <v>240</v>
      </c>
      <c r="DD3560" s="5" t="s">
        <v>240</v>
      </c>
      <c r="DE3560" s="5" t="s">
        <v>240</v>
      </c>
      <c r="DF3560" s="5" t="s">
        <v>450</v>
      </c>
      <c r="DG3560" s="7">
        <f>0</f>
        <v>0</v>
      </c>
      <c r="DI3560" s="5" t="s">
        <v>737</v>
      </c>
      <c r="DJ3560" s="5" t="s">
        <v>240</v>
      </c>
      <c r="DK3560" s="5" t="s">
        <v>240</v>
      </c>
      <c r="DL3560" s="5" t="s">
        <v>240</v>
      </c>
      <c r="DM3560" s="5" t="s">
        <v>240</v>
      </c>
      <c r="DN3560" s="5" t="s">
        <v>240</v>
      </c>
      <c r="DO3560" s="7" t="s">
        <v>240</v>
      </c>
      <c r="DP3560" s="5" t="s">
        <v>240</v>
      </c>
      <c r="DQ3560" s="5" t="s">
        <v>240</v>
      </c>
      <c r="DR3560" s="5" t="s">
        <v>731</v>
      </c>
      <c r="DS3560" s="5" t="s">
        <v>731</v>
      </c>
      <c r="DT3560" s="5" t="s">
        <v>240</v>
      </c>
      <c r="DU3560" s="5" t="s">
        <v>240</v>
      </c>
      <c r="DV3560" s="5" t="s">
        <v>738</v>
      </c>
      <c r="DW3560" s="5" t="s">
        <v>1229</v>
      </c>
      <c r="DX3560" s="5" t="s">
        <v>240</v>
      </c>
      <c r="DY3560" s="5" t="s">
        <v>240</v>
      </c>
      <c r="DZ3560" s="5" t="s">
        <v>240</v>
      </c>
      <c r="EA3560" s="5" t="s">
        <v>240</v>
      </c>
      <c r="EB3560" s="5" t="s">
        <v>240</v>
      </c>
      <c r="EC3560" s="5" t="s">
        <v>240</v>
      </c>
      <c r="ED3560" s="5" t="s">
        <v>240</v>
      </c>
      <c r="EE3560" s="5" t="s">
        <v>240</v>
      </c>
      <c r="EF3560" s="5" t="s">
        <v>240</v>
      </c>
      <c r="EG3560" s="5" t="s">
        <v>240</v>
      </c>
      <c r="EH3560" s="5" t="s">
        <v>240</v>
      </c>
      <c r="EI3560" s="5" t="s">
        <v>240</v>
      </c>
      <c r="EJ3560" s="5" t="s">
        <v>240</v>
      </c>
      <c r="EK3560" s="5" t="s">
        <v>240</v>
      </c>
      <c r="EL3560" s="5" t="s">
        <v>240</v>
      </c>
      <c r="EM3560" s="5" t="s">
        <v>240</v>
      </c>
      <c r="EN3560" s="5" t="s">
        <v>240</v>
      </c>
      <c r="EO3560" s="5" t="s">
        <v>240</v>
      </c>
      <c r="EP3560" s="5" t="s">
        <v>240</v>
      </c>
      <c r="EQ3560" s="5" t="s">
        <v>240</v>
      </c>
      <c r="ER3560" s="5" t="s">
        <v>240</v>
      </c>
      <c r="ES3560" s="5" t="s">
        <v>240</v>
      </c>
      <c r="ET3560" s="5" t="s">
        <v>240</v>
      </c>
      <c r="EU3560" s="5" t="s">
        <v>240</v>
      </c>
      <c r="EV3560" s="5" t="s">
        <v>240</v>
      </c>
      <c r="EW3560" s="5" t="s">
        <v>240</v>
      </c>
      <c r="EX3560" s="5" t="s">
        <v>240</v>
      </c>
      <c r="EY3560" s="5" t="s">
        <v>240</v>
      </c>
      <c r="EZ3560" s="5" t="s">
        <v>240</v>
      </c>
      <c r="FA3560" s="5" t="s">
        <v>240</v>
      </c>
      <c r="FB3560" s="5" t="s">
        <v>240</v>
      </c>
      <c r="FC3560" s="5" t="s">
        <v>240</v>
      </c>
      <c r="FD3560" s="5" t="s">
        <v>240</v>
      </c>
      <c r="FE3560" s="5" t="s">
        <v>240</v>
      </c>
      <c r="FF3560" s="5" t="s">
        <v>240</v>
      </c>
      <c r="FG3560" s="5" t="s">
        <v>240</v>
      </c>
      <c r="FH3560" s="5" t="s">
        <v>240</v>
      </c>
      <c r="FI3560" s="5" t="s">
        <v>240</v>
      </c>
      <c r="FJ3560" s="5" t="s">
        <v>240</v>
      </c>
      <c r="FK3560" s="5" t="s">
        <v>240</v>
      </c>
      <c r="FL3560" s="5" t="s">
        <v>240</v>
      </c>
      <c r="FM3560" s="5" t="s">
        <v>240</v>
      </c>
      <c r="FN3560" s="5" t="s">
        <v>240</v>
      </c>
      <c r="FO3560" s="5" t="s">
        <v>240</v>
      </c>
      <c r="FP3560" s="5" t="s">
        <v>240</v>
      </c>
      <c r="FQ3560" s="5" t="s">
        <v>240</v>
      </c>
      <c r="FR3560" s="5" t="s">
        <v>240</v>
      </c>
      <c r="FS3560" s="5" t="s">
        <v>240</v>
      </c>
      <c r="FT3560" s="5" t="s">
        <v>240</v>
      </c>
      <c r="FU3560" s="5" t="s">
        <v>240</v>
      </c>
      <c r="FV3560" s="5" t="s">
        <v>240</v>
      </c>
      <c r="FW3560" s="5" t="s">
        <v>240</v>
      </c>
      <c r="FX3560" s="5" t="s">
        <v>240</v>
      </c>
      <c r="FY3560" s="5" t="s">
        <v>240</v>
      </c>
      <c r="FZ3560" s="5" t="s">
        <v>240</v>
      </c>
      <c r="GA3560" s="5" t="s">
        <v>240</v>
      </c>
      <c r="GB3560" s="5" t="s">
        <v>240</v>
      </c>
      <c r="GC3560" s="5" t="s">
        <v>240</v>
      </c>
      <c r="GD3560" s="5" t="s">
        <v>240</v>
      </c>
      <c r="GE3560" s="5" t="s">
        <v>240</v>
      </c>
      <c r="GF3560" s="5" t="s">
        <v>240</v>
      </c>
      <c r="GG3560" s="5" t="s">
        <v>240</v>
      </c>
      <c r="GH3560" s="5" t="s">
        <v>240</v>
      </c>
      <c r="GI3560" s="5" t="s">
        <v>240</v>
      </c>
      <c r="GJ3560" s="5" t="s">
        <v>240</v>
      </c>
      <c r="GK3560" s="5" t="s">
        <v>240</v>
      </c>
      <c r="GL3560" s="5" t="s">
        <v>240</v>
      </c>
      <c r="GM3560" s="5" t="s">
        <v>240</v>
      </c>
      <c r="GN3560" s="5" t="s">
        <v>240</v>
      </c>
      <c r="GO3560" s="5" t="s">
        <v>240</v>
      </c>
      <c r="GP3560" s="5" t="s">
        <v>240</v>
      </c>
      <c r="GQ3560" s="5" t="s">
        <v>240</v>
      </c>
      <c r="GR3560" s="5" t="s">
        <v>240</v>
      </c>
      <c r="GS3560" s="5" t="s">
        <v>240</v>
      </c>
      <c r="GT3560" s="5" t="s">
        <v>240</v>
      </c>
      <c r="GU3560" s="5" t="s">
        <v>240</v>
      </c>
      <c r="GV3560" s="5" t="s">
        <v>240</v>
      </c>
      <c r="GW3560" s="5" t="s">
        <v>240</v>
      </c>
      <c r="GX3560" s="5" t="s">
        <v>240</v>
      </c>
      <c r="GY3560" s="5" t="s">
        <v>240</v>
      </c>
      <c r="GZ3560" s="5" t="s">
        <v>240</v>
      </c>
      <c r="HA3560" s="5" t="s">
        <v>240</v>
      </c>
      <c r="HB3560" s="5" t="s">
        <v>240</v>
      </c>
      <c r="HC3560" s="5" t="s">
        <v>240</v>
      </c>
      <c r="HD3560" s="5" t="s">
        <v>240</v>
      </c>
      <c r="HE3560" s="5" t="s">
        <v>240</v>
      </c>
      <c r="HF3560" s="5" t="s">
        <v>240</v>
      </c>
      <c r="HG3560" s="5" t="s">
        <v>240</v>
      </c>
      <c r="HH3560" s="5" t="s">
        <v>240</v>
      </c>
      <c r="HI3560" s="5" t="s">
        <v>240</v>
      </c>
      <c r="HJ3560" s="5" t="s">
        <v>240</v>
      </c>
      <c r="HK3560" s="5" t="s">
        <v>240</v>
      </c>
      <c r="HL3560" s="5" t="s">
        <v>240</v>
      </c>
      <c r="HM3560" s="5" t="s">
        <v>240</v>
      </c>
      <c r="HN3560" s="5" t="s">
        <v>240</v>
      </c>
      <c r="HO3560" s="5" t="s">
        <v>312</v>
      </c>
      <c r="HP3560" s="5" t="s">
        <v>240</v>
      </c>
      <c r="HQ3560" s="5" t="s">
        <v>240</v>
      </c>
      <c r="HR3560" s="5" t="s">
        <v>240</v>
      </c>
      <c r="HS3560" s="5" t="s">
        <v>240</v>
      </c>
      <c r="HT3560" s="5" t="s">
        <v>240</v>
      </c>
      <c r="HU3560" s="5" t="s">
        <v>240</v>
      </c>
      <c r="HV3560" s="5" t="s">
        <v>240</v>
      </c>
      <c r="HW3560" s="5" t="s">
        <v>240</v>
      </c>
      <c r="HX3560" s="5" t="s">
        <v>240</v>
      </c>
      <c r="HY3560" s="5" t="s">
        <v>240</v>
      </c>
      <c r="HZ3560" s="5" t="s">
        <v>240</v>
      </c>
      <c r="IA3560" s="5" t="s">
        <v>240</v>
      </c>
      <c r="IB3560" s="5" t="s">
        <v>240</v>
      </c>
      <c r="IC3560" s="5" t="s">
        <v>240</v>
      </c>
      <c r="ID3560" s="5" t="s">
        <v>240</v>
      </c>
      <c r="IE3560" s="5" t="s">
        <v>240</v>
      </c>
      <c r="IF3560" s="5" t="s">
        <v>240</v>
      </c>
    </row>
    <row r="3561" spans="1:240" x14ac:dyDescent="0.4">
      <c r="A3561" s="5">
        <v>9103</v>
      </c>
      <c r="B3561" s="5">
        <v>1</v>
      </c>
      <c r="C3561" s="5">
        <v>1</v>
      </c>
      <c r="D3561" s="5" t="s">
        <v>723</v>
      </c>
      <c r="E3561" s="5" t="s">
        <v>725</v>
      </c>
      <c r="F3561" s="5" t="s">
        <v>254</v>
      </c>
      <c r="G3561" s="5" t="s">
        <v>5828</v>
      </c>
      <c r="H3561" s="6" t="s">
        <v>5829</v>
      </c>
      <c r="I3561" s="5" t="s">
        <v>5827</v>
      </c>
      <c r="J3561" s="7">
        <f>1</f>
        <v>1</v>
      </c>
      <c r="K3561" s="5" t="s">
        <v>3682</v>
      </c>
      <c r="L3561" s="7">
        <f>1</f>
        <v>1</v>
      </c>
      <c r="M3561" s="7">
        <f>1</f>
        <v>1</v>
      </c>
      <c r="N3561" s="5" t="s">
        <v>242</v>
      </c>
      <c r="O3561" s="5">
        <v>1</v>
      </c>
      <c r="P3561" s="5" t="s">
        <v>294</v>
      </c>
      <c r="Q3561" s="5" t="s">
        <v>613</v>
      </c>
      <c r="R3561" s="5" t="s">
        <v>240</v>
      </c>
      <c r="S3561" s="5" t="s">
        <v>240</v>
      </c>
      <c r="T3561" s="5" t="s">
        <v>243</v>
      </c>
      <c r="U3561" s="5" t="s">
        <v>724</v>
      </c>
      <c r="V3561" s="5" t="s">
        <v>240</v>
      </c>
      <c r="W3561" s="5" t="s">
        <v>240</v>
      </c>
      <c r="X3561" s="5" t="s">
        <v>240</v>
      </c>
      <c r="Y3561" s="5" t="s">
        <v>240</v>
      </c>
      <c r="Z3561" s="6" t="s">
        <v>298</v>
      </c>
      <c r="AA3561" s="6" t="s">
        <v>240</v>
      </c>
      <c r="AB3561" s="6" t="s">
        <v>240</v>
      </c>
      <c r="AC3561" s="5" t="s">
        <v>240</v>
      </c>
      <c r="AD3561" s="6" t="s">
        <v>240</v>
      </c>
      <c r="AE3561" s="6" t="s">
        <v>299</v>
      </c>
      <c r="AF3561" s="5" t="s">
        <v>727</v>
      </c>
      <c r="AG3561" s="5" t="s">
        <v>260</v>
      </c>
      <c r="AH3561" s="5" t="s">
        <v>240</v>
      </c>
      <c r="AI3561" s="5" t="s">
        <v>240</v>
      </c>
      <c r="AJ3561" s="5" t="s">
        <v>240</v>
      </c>
      <c r="AK3561" s="5" t="s">
        <v>240</v>
      </c>
      <c r="AL3561" s="5" t="s">
        <v>240</v>
      </c>
      <c r="AM3561" s="5" t="s">
        <v>240</v>
      </c>
      <c r="AN3561" s="5" t="s">
        <v>240</v>
      </c>
      <c r="AO3561" s="5" t="s">
        <v>240</v>
      </c>
      <c r="AP3561" s="6" t="s">
        <v>240</v>
      </c>
      <c r="AQ3561" s="6" t="s">
        <v>240</v>
      </c>
      <c r="AR3561" s="6" t="s">
        <v>240</v>
      </c>
      <c r="AS3561" s="6" t="s">
        <v>240</v>
      </c>
      <c r="AT3561" s="5" t="s">
        <v>240</v>
      </c>
      <c r="AU3561" s="5" t="s">
        <v>729</v>
      </c>
      <c r="AV3561" s="5" t="s">
        <v>729</v>
      </c>
      <c r="AW3561" s="5" t="s">
        <v>251</v>
      </c>
      <c r="AX3561" s="5" t="s">
        <v>252</v>
      </c>
      <c r="AY3561" s="5" t="s">
        <v>253</v>
      </c>
      <c r="AZ3561" s="5" t="s">
        <v>240</v>
      </c>
      <c r="BA3561" s="5" t="s">
        <v>255</v>
      </c>
      <c r="BB3561" s="5" t="s">
        <v>731</v>
      </c>
      <c r="BD3561" s="5" t="s">
        <v>240</v>
      </c>
      <c r="BF3561" s="5" t="s">
        <v>732</v>
      </c>
      <c r="BG3561" s="6" t="s">
        <v>733</v>
      </c>
      <c r="BH3561" s="5" t="s">
        <v>734</v>
      </c>
      <c r="BI3561" s="5" t="s">
        <v>734</v>
      </c>
      <c r="BJ3561" s="5" t="s">
        <v>240</v>
      </c>
      <c r="BK3561" s="8">
        <f>1098</f>
        <v>1098</v>
      </c>
      <c r="BL3561" s="7">
        <f>0</f>
        <v>0</v>
      </c>
      <c r="BM3561" s="5" t="s">
        <v>258</v>
      </c>
      <c r="BN3561" s="5" t="s">
        <v>259</v>
      </c>
      <c r="BO3561" s="5" t="s">
        <v>240</v>
      </c>
      <c r="BP3561" s="5" t="s">
        <v>240</v>
      </c>
      <c r="BQ3561" s="5" t="s">
        <v>240</v>
      </c>
      <c r="BR3561" s="5" t="s">
        <v>240</v>
      </c>
      <c r="BS3561" s="5" t="s">
        <v>240</v>
      </c>
      <c r="BT3561" s="5" t="s">
        <v>240</v>
      </c>
      <c r="BU3561" s="5" t="s">
        <v>240</v>
      </c>
      <c r="BV3561" s="5" t="s">
        <v>240</v>
      </c>
      <c r="BW3561" s="6" t="s">
        <v>240</v>
      </c>
      <c r="BX3561" s="5" t="s">
        <v>240</v>
      </c>
      <c r="BY3561" s="5" t="s">
        <v>240</v>
      </c>
      <c r="BZ3561" s="5" t="s">
        <v>240</v>
      </c>
      <c r="CA3561" s="5" t="s">
        <v>259</v>
      </c>
      <c r="CB3561" s="5" t="s">
        <v>240</v>
      </c>
      <c r="CC3561" s="5" t="s">
        <v>240</v>
      </c>
      <c r="CD3561" s="5" t="s">
        <v>240</v>
      </c>
      <c r="CE3561" s="5" t="s">
        <v>240</v>
      </c>
      <c r="CF3561" s="5" t="s">
        <v>240</v>
      </c>
      <c r="CG3561" s="5" t="s">
        <v>617</v>
      </c>
      <c r="CH3561" s="5" t="s">
        <v>305</v>
      </c>
      <c r="CI3561" s="5" t="s">
        <v>240</v>
      </c>
      <c r="CL3561" s="6" t="s">
        <v>261</v>
      </c>
      <c r="CM3561" s="5" t="s">
        <v>262</v>
      </c>
      <c r="CN3561" s="5" t="s">
        <v>263</v>
      </c>
      <c r="CO3561" s="5" t="s">
        <v>264</v>
      </c>
      <c r="CP3561" s="5" t="s">
        <v>240</v>
      </c>
      <c r="CQ3561" s="5">
        <v>0</v>
      </c>
      <c r="CR3561" s="5" t="s">
        <v>735</v>
      </c>
      <c r="CS3561" s="5" t="s">
        <v>307</v>
      </c>
      <c r="CT3561" s="5" t="s">
        <v>307</v>
      </c>
      <c r="CU3561" s="5" t="s">
        <v>260</v>
      </c>
      <c r="CV3561" s="5" t="s">
        <v>240</v>
      </c>
      <c r="CW3561" s="8">
        <f>0</f>
        <v>0</v>
      </c>
      <c r="CX3561" s="7">
        <f>0</f>
        <v>0</v>
      </c>
      <c r="CY3561" s="7">
        <f>0</f>
        <v>0</v>
      </c>
      <c r="DA3561" s="7">
        <f>12078</f>
        <v>12078</v>
      </c>
      <c r="DB3561" s="7" t="s">
        <v>240</v>
      </c>
      <c r="DC3561" s="5" t="s">
        <v>240</v>
      </c>
      <c r="DD3561" s="5" t="s">
        <v>240</v>
      </c>
      <c r="DE3561" s="5" t="s">
        <v>240</v>
      </c>
      <c r="DF3561" s="5" t="s">
        <v>450</v>
      </c>
      <c r="DG3561" s="7">
        <f>0</f>
        <v>0</v>
      </c>
      <c r="DH3561" s="6" t="s">
        <v>6280</v>
      </c>
      <c r="DI3561" s="5" t="s">
        <v>737</v>
      </c>
      <c r="DJ3561" s="5" t="s">
        <v>240</v>
      </c>
      <c r="DK3561" s="5" t="s">
        <v>240</v>
      </c>
      <c r="DL3561" s="5" t="s">
        <v>240</v>
      </c>
      <c r="DM3561" s="5" t="s">
        <v>240</v>
      </c>
      <c r="DN3561" s="5" t="s">
        <v>240</v>
      </c>
      <c r="DO3561" s="7" t="s">
        <v>240</v>
      </c>
      <c r="DP3561" s="5" t="s">
        <v>240</v>
      </c>
      <c r="DQ3561" s="5" t="s">
        <v>240</v>
      </c>
      <c r="DR3561" s="5" t="s">
        <v>731</v>
      </c>
      <c r="DS3561" s="5" t="s">
        <v>731</v>
      </c>
      <c r="DT3561" s="5" t="s">
        <v>240</v>
      </c>
      <c r="DU3561" s="5" t="s">
        <v>240</v>
      </c>
      <c r="DV3561" s="5" t="s">
        <v>738</v>
      </c>
      <c r="DW3561" s="5" t="s">
        <v>658</v>
      </c>
      <c r="DX3561" s="5" t="s">
        <v>240</v>
      </c>
      <c r="DY3561" s="5" t="s">
        <v>240</v>
      </c>
      <c r="DZ3561" s="5" t="s">
        <v>240</v>
      </c>
      <c r="EA3561" s="5" t="s">
        <v>240</v>
      </c>
      <c r="EB3561" s="5" t="s">
        <v>240</v>
      </c>
      <c r="EC3561" s="5" t="s">
        <v>240</v>
      </c>
      <c r="ED3561" s="5" t="s">
        <v>240</v>
      </c>
      <c r="EE3561" s="5" t="s">
        <v>240</v>
      </c>
      <c r="EF3561" s="5" t="s">
        <v>240</v>
      </c>
      <c r="EG3561" s="5" t="s">
        <v>240</v>
      </c>
      <c r="EH3561" s="5" t="s">
        <v>240</v>
      </c>
      <c r="EI3561" s="5" t="s">
        <v>240</v>
      </c>
      <c r="EJ3561" s="5" t="s">
        <v>240</v>
      </c>
      <c r="EK3561" s="5" t="s">
        <v>240</v>
      </c>
      <c r="EL3561" s="5" t="s">
        <v>240</v>
      </c>
      <c r="EM3561" s="5" t="s">
        <v>240</v>
      </c>
      <c r="EN3561" s="5" t="s">
        <v>240</v>
      </c>
      <c r="EO3561" s="5" t="s">
        <v>240</v>
      </c>
      <c r="EP3561" s="5" t="s">
        <v>240</v>
      </c>
      <c r="EQ3561" s="5" t="s">
        <v>240</v>
      </c>
      <c r="ER3561" s="5" t="s">
        <v>240</v>
      </c>
      <c r="ES3561" s="5" t="s">
        <v>240</v>
      </c>
      <c r="ET3561" s="5" t="s">
        <v>240</v>
      </c>
      <c r="EU3561" s="5" t="s">
        <v>240</v>
      </c>
      <c r="EV3561" s="5" t="s">
        <v>240</v>
      </c>
      <c r="EW3561" s="5" t="s">
        <v>240</v>
      </c>
      <c r="EX3561" s="5" t="s">
        <v>240</v>
      </c>
      <c r="EY3561" s="5" t="s">
        <v>240</v>
      </c>
      <c r="EZ3561" s="5" t="s">
        <v>240</v>
      </c>
      <c r="FA3561" s="5" t="s">
        <v>240</v>
      </c>
      <c r="FB3561" s="5" t="s">
        <v>240</v>
      </c>
      <c r="FC3561" s="5" t="s">
        <v>240</v>
      </c>
      <c r="FD3561" s="5" t="s">
        <v>240</v>
      </c>
      <c r="FE3561" s="5" t="s">
        <v>240</v>
      </c>
      <c r="FF3561" s="5" t="s">
        <v>240</v>
      </c>
      <c r="FG3561" s="5" t="s">
        <v>240</v>
      </c>
      <c r="FH3561" s="5" t="s">
        <v>240</v>
      </c>
      <c r="FI3561" s="5" t="s">
        <v>240</v>
      </c>
      <c r="FJ3561" s="5" t="s">
        <v>240</v>
      </c>
      <c r="FK3561" s="5" t="s">
        <v>240</v>
      </c>
      <c r="FL3561" s="5" t="s">
        <v>240</v>
      </c>
      <c r="FM3561" s="5" t="s">
        <v>240</v>
      </c>
      <c r="FN3561" s="5" t="s">
        <v>240</v>
      </c>
      <c r="FO3561" s="5" t="s">
        <v>240</v>
      </c>
      <c r="FP3561" s="5" t="s">
        <v>240</v>
      </c>
      <c r="FQ3561" s="5" t="s">
        <v>240</v>
      </c>
      <c r="FR3561" s="5" t="s">
        <v>240</v>
      </c>
      <c r="FS3561" s="5" t="s">
        <v>240</v>
      </c>
      <c r="FT3561" s="5" t="s">
        <v>240</v>
      </c>
      <c r="FU3561" s="5" t="s">
        <v>240</v>
      </c>
      <c r="FV3561" s="5" t="s">
        <v>240</v>
      </c>
      <c r="FW3561" s="5" t="s">
        <v>240</v>
      </c>
      <c r="FX3561" s="5" t="s">
        <v>240</v>
      </c>
      <c r="FY3561" s="5" t="s">
        <v>240</v>
      </c>
      <c r="FZ3561" s="5" t="s">
        <v>240</v>
      </c>
      <c r="GA3561" s="5" t="s">
        <v>240</v>
      </c>
      <c r="GB3561" s="5" t="s">
        <v>240</v>
      </c>
      <c r="GC3561" s="5" t="s">
        <v>240</v>
      </c>
      <c r="GD3561" s="5" t="s">
        <v>240</v>
      </c>
      <c r="GE3561" s="5" t="s">
        <v>240</v>
      </c>
      <c r="GF3561" s="5" t="s">
        <v>240</v>
      </c>
      <c r="GG3561" s="5" t="s">
        <v>240</v>
      </c>
      <c r="GH3561" s="5" t="s">
        <v>240</v>
      </c>
      <c r="GI3561" s="5" t="s">
        <v>240</v>
      </c>
      <c r="GJ3561" s="5" t="s">
        <v>240</v>
      </c>
      <c r="GK3561" s="5" t="s">
        <v>240</v>
      </c>
      <c r="GL3561" s="5" t="s">
        <v>240</v>
      </c>
      <c r="GM3561" s="5" t="s">
        <v>240</v>
      </c>
      <c r="GN3561" s="5" t="s">
        <v>240</v>
      </c>
      <c r="GO3561" s="5" t="s">
        <v>240</v>
      </c>
      <c r="GP3561" s="5" t="s">
        <v>240</v>
      </c>
      <c r="GQ3561" s="5" t="s">
        <v>240</v>
      </c>
      <c r="GR3561" s="5" t="s">
        <v>240</v>
      </c>
      <c r="GS3561" s="5" t="s">
        <v>240</v>
      </c>
      <c r="GT3561" s="5" t="s">
        <v>240</v>
      </c>
      <c r="GU3561" s="5" t="s">
        <v>240</v>
      </c>
      <c r="GV3561" s="5" t="s">
        <v>240</v>
      </c>
      <c r="GW3561" s="5" t="s">
        <v>240</v>
      </c>
      <c r="GX3561" s="5" t="s">
        <v>240</v>
      </c>
      <c r="GY3561" s="5" t="s">
        <v>240</v>
      </c>
      <c r="GZ3561" s="5" t="s">
        <v>240</v>
      </c>
      <c r="HA3561" s="5" t="s">
        <v>240</v>
      </c>
      <c r="HB3561" s="5" t="s">
        <v>240</v>
      </c>
      <c r="HC3561" s="5" t="s">
        <v>240</v>
      </c>
      <c r="HD3561" s="5" t="s">
        <v>240</v>
      </c>
      <c r="HE3561" s="5" t="s">
        <v>240</v>
      </c>
      <c r="HF3561" s="5" t="s">
        <v>240</v>
      </c>
      <c r="HG3561" s="5" t="s">
        <v>240</v>
      </c>
      <c r="HH3561" s="5" t="s">
        <v>240</v>
      </c>
      <c r="HI3561" s="5" t="s">
        <v>240</v>
      </c>
      <c r="HJ3561" s="5" t="s">
        <v>240</v>
      </c>
      <c r="HK3561" s="5" t="s">
        <v>240</v>
      </c>
      <c r="HL3561" s="5" t="s">
        <v>240</v>
      </c>
      <c r="HM3561" s="5" t="s">
        <v>240</v>
      </c>
      <c r="HN3561" s="5" t="s">
        <v>240</v>
      </c>
      <c r="HO3561" s="5" t="s">
        <v>620</v>
      </c>
      <c r="HP3561" s="5" t="s">
        <v>240</v>
      </c>
      <c r="HQ3561" s="5" t="s">
        <v>240</v>
      </c>
      <c r="HR3561" s="5" t="s">
        <v>240</v>
      </c>
      <c r="HS3561" s="5" t="s">
        <v>240</v>
      </c>
      <c r="HT3561" s="5" t="s">
        <v>240</v>
      </c>
      <c r="HU3561" s="5" t="s">
        <v>240</v>
      </c>
      <c r="HV3561" s="5" t="s">
        <v>240</v>
      </c>
      <c r="HW3561" s="5" t="s">
        <v>240</v>
      </c>
      <c r="HX3561" s="5" t="s">
        <v>240</v>
      </c>
      <c r="HY3561" s="5" t="s">
        <v>240</v>
      </c>
      <c r="HZ3561" s="5" t="s">
        <v>240</v>
      </c>
      <c r="IA3561" s="5" t="s">
        <v>240</v>
      </c>
      <c r="IB3561" s="5" t="s">
        <v>240</v>
      </c>
      <c r="IC3561" s="5" t="s">
        <v>240</v>
      </c>
      <c r="ID3561" s="5" t="s">
        <v>240</v>
      </c>
      <c r="IE3561" s="5" t="s">
        <v>240</v>
      </c>
      <c r="IF3561" s="5" t="s">
        <v>240</v>
      </c>
    </row>
    <row r="3562" spans="1:240" x14ac:dyDescent="0.4">
      <c r="A3562" s="5">
        <v>9104</v>
      </c>
      <c r="B3562" s="5">
        <v>1</v>
      </c>
      <c r="C3562" s="5">
        <v>1</v>
      </c>
      <c r="D3562" s="5" t="s">
        <v>723</v>
      </c>
      <c r="E3562" s="5" t="s">
        <v>725</v>
      </c>
      <c r="F3562" s="5" t="s">
        <v>254</v>
      </c>
      <c r="G3562" s="5" t="s">
        <v>5825</v>
      </c>
      <c r="H3562" s="6" t="s">
        <v>5826</v>
      </c>
      <c r="I3562" s="5" t="s">
        <v>5824</v>
      </c>
      <c r="J3562" s="7">
        <f>1</f>
        <v>1</v>
      </c>
      <c r="K3562" s="5" t="s">
        <v>3682</v>
      </c>
      <c r="L3562" s="7">
        <f>1</f>
        <v>1</v>
      </c>
      <c r="M3562" s="7">
        <f>1</f>
        <v>1</v>
      </c>
      <c r="N3562" s="5" t="s">
        <v>242</v>
      </c>
      <c r="O3562" s="5">
        <v>1</v>
      </c>
      <c r="P3562" s="5" t="s">
        <v>294</v>
      </c>
      <c r="Q3562" s="5" t="s">
        <v>613</v>
      </c>
      <c r="R3562" s="5" t="s">
        <v>240</v>
      </c>
      <c r="S3562" s="5" t="s">
        <v>240</v>
      </c>
      <c r="T3562" s="5" t="s">
        <v>243</v>
      </c>
      <c r="U3562" s="5" t="s">
        <v>724</v>
      </c>
      <c r="V3562" s="5" t="s">
        <v>240</v>
      </c>
      <c r="W3562" s="5" t="s">
        <v>240</v>
      </c>
      <c r="X3562" s="5" t="s">
        <v>240</v>
      </c>
      <c r="Y3562" s="5" t="s">
        <v>240</v>
      </c>
      <c r="Z3562" s="6" t="s">
        <v>298</v>
      </c>
      <c r="AA3562" s="6" t="s">
        <v>240</v>
      </c>
      <c r="AB3562" s="6" t="s">
        <v>240</v>
      </c>
      <c r="AC3562" s="5" t="s">
        <v>240</v>
      </c>
      <c r="AD3562" s="6" t="s">
        <v>240</v>
      </c>
      <c r="AE3562" s="6" t="s">
        <v>299</v>
      </c>
      <c r="AF3562" s="5" t="s">
        <v>727</v>
      </c>
      <c r="AG3562" s="5" t="s">
        <v>260</v>
      </c>
      <c r="AH3562" s="5" t="s">
        <v>240</v>
      </c>
      <c r="AI3562" s="5" t="s">
        <v>240</v>
      </c>
      <c r="AJ3562" s="5" t="s">
        <v>240</v>
      </c>
      <c r="AK3562" s="5" t="s">
        <v>240</v>
      </c>
      <c r="AL3562" s="5" t="s">
        <v>240</v>
      </c>
      <c r="AM3562" s="5" t="s">
        <v>240</v>
      </c>
      <c r="AN3562" s="5" t="s">
        <v>240</v>
      </c>
      <c r="AO3562" s="5" t="s">
        <v>240</v>
      </c>
      <c r="AP3562" s="6" t="s">
        <v>240</v>
      </c>
      <c r="AQ3562" s="6" t="s">
        <v>240</v>
      </c>
      <c r="AR3562" s="6" t="s">
        <v>240</v>
      </c>
      <c r="AS3562" s="6" t="s">
        <v>240</v>
      </c>
      <c r="AT3562" s="5" t="s">
        <v>240</v>
      </c>
      <c r="AU3562" s="5" t="s">
        <v>729</v>
      </c>
      <c r="AV3562" s="5" t="s">
        <v>729</v>
      </c>
      <c r="AW3562" s="5" t="s">
        <v>251</v>
      </c>
      <c r="AX3562" s="5" t="s">
        <v>252</v>
      </c>
      <c r="AY3562" s="5" t="s">
        <v>253</v>
      </c>
      <c r="AZ3562" s="5" t="s">
        <v>240</v>
      </c>
      <c r="BA3562" s="5" t="s">
        <v>255</v>
      </c>
      <c r="BB3562" s="5" t="s">
        <v>731</v>
      </c>
      <c r="BD3562" s="5" t="s">
        <v>240</v>
      </c>
      <c r="BF3562" s="5" t="s">
        <v>732</v>
      </c>
      <c r="BG3562" s="6" t="s">
        <v>733</v>
      </c>
      <c r="BH3562" s="5" t="s">
        <v>734</v>
      </c>
      <c r="BI3562" s="5" t="s">
        <v>734</v>
      </c>
      <c r="BJ3562" s="5" t="s">
        <v>240</v>
      </c>
      <c r="BK3562" s="8">
        <f>1648</f>
        <v>1648</v>
      </c>
      <c r="BL3562" s="7">
        <f>0</f>
        <v>0</v>
      </c>
      <c r="BM3562" s="5" t="s">
        <v>258</v>
      </c>
      <c r="BN3562" s="5" t="s">
        <v>259</v>
      </c>
      <c r="BO3562" s="5" t="s">
        <v>240</v>
      </c>
      <c r="BP3562" s="5" t="s">
        <v>240</v>
      </c>
      <c r="BQ3562" s="5" t="s">
        <v>240</v>
      </c>
      <c r="BR3562" s="5" t="s">
        <v>240</v>
      </c>
      <c r="BS3562" s="5" t="s">
        <v>240</v>
      </c>
      <c r="BT3562" s="5" t="s">
        <v>240</v>
      </c>
      <c r="BU3562" s="5" t="s">
        <v>240</v>
      </c>
      <c r="BV3562" s="5" t="s">
        <v>240</v>
      </c>
      <c r="BW3562" s="6" t="s">
        <v>240</v>
      </c>
      <c r="BX3562" s="5" t="s">
        <v>240</v>
      </c>
      <c r="BY3562" s="5" t="s">
        <v>240</v>
      </c>
      <c r="BZ3562" s="5" t="s">
        <v>240</v>
      </c>
      <c r="CA3562" s="5" t="s">
        <v>259</v>
      </c>
      <c r="CB3562" s="5" t="s">
        <v>240</v>
      </c>
      <c r="CC3562" s="5" t="s">
        <v>240</v>
      </c>
      <c r="CD3562" s="5" t="s">
        <v>240</v>
      </c>
      <c r="CE3562" s="5" t="s">
        <v>240</v>
      </c>
      <c r="CF3562" s="5" t="s">
        <v>240</v>
      </c>
      <c r="CG3562" s="5" t="s">
        <v>617</v>
      </c>
      <c r="CH3562" s="5" t="s">
        <v>305</v>
      </c>
      <c r="CI3562" s="5" t="s">
        <v>240</v>
      </c>
      <c r="CL3562" s="6" t="s">
        <v>261</v>
      </c>
      <c r="CM3562" s="5" t="s">
        <v>262</v>
      </c>
      <c r="CN3562" s="5" t="s">
        <v>263</v>
      </c>
      <c r="CO3562" s="5" t="s">
        <v>264</v>
      </c>
      <c r="CP3562" s="5" t="s">
        <v>240</v>
      </c>
      <c r="CQ3562" s="5">
        <v>0</v>
      </c>
      <c r="CR3562" s="5" t="s">
        <v>735</v>
      </c>
      <c r="CS3562" s="5" t="s">
        <v>307</v>
      </c>
      <c r="CT3562" s="5" t="s">
        <v>307</v>
      </c>
      <c r="CU3562" s="5" t="s">
        <v>260</v>
      </c>
      <c r="CV3562" s="5" t="s">
        <v>240</v>
      </c>
      <c r="CW3562" s="8">
        <f>0</f>
        <v>0</v>
      </c>
      <c r="CX3562" s="7">
        <f>0</f>
        <v>0</v>
      </c>
      <c r="CY3562" s="7">
        <f>0</f>
        <v>0</v>
      </c>
      <c r="DA3562" s="7">
        <f>18128</f>
        <v>18128</v>
      </c>
      <c r="DB3562" s="7" t="s">
        <v>240</v>
      </c>
      <c r="DC3562" s="5" t="s">
        <v>240</v>
      </c>
      <c r="DD3562" s="5" t="s">
        <v>240</v>
      </c>
      <c r="DE3562" s="5" t="s">
        <v>240</v>
      </c>
      <c r="DF3562" s="5" t="s">
        <v>450</v>
      </c>
      <c r="DG3562" s="7">
        <f>0</f>
        <v>0</v>
      </c>
      <c r="DI3562" s="5" t="s">
        <v>737</v>
      </c>
      <c r="DJ3562" s="5" t="s">
        <v>240</v>
      </c>
      <c r="DK3562" s="5" t="s">
        <v>240</v>
      </c>
      <c r="DL3562" s="5" t="s">
        <v>240</v>
      </c>
      <c r="DM3562" s="5" t="s">
        <v>240</v>
      </c>
      <c r="DN3562" s="5" t="s">
        <v>240</v>
      </c>
      <c r="DO3562" s="7" t="s">
        <v>240</v>
      </c>
      <c r="DP3562" s="5" t="s">
        <v>240</v>
      </c>
      <c r="DQ3562" s="5" t="s">
        <v>240</v>
      </c>
      <c r="DR3562" s="5" t="s">
        <v>731</v>
      </c>
      <c r="DS3562" s="5" t="s">
        <v>731</v>
      </c>
      <c r="DT3562" s="5" t="s">
        <v>240</v>
      </c>
      <c r="DU3562" s="5" t="s">
        <v>240</v>
      </c>
      <c r="DV3562" s="5" t="s">
        <v>738</v>
      </c>
      <c r="DW3562" s="5" t="s">
        <v>576</v>
      </c>
      <c r="DX3562" s="5" t="s">
        <v>240</v>
      </c>
      <c r="DY3562" s="5" t="s">
        <v>240</v>
      </c>
      <c r="DZ3562" s="5" t="s">
        <v>240</v>
      </c>
      <c r="EA3562" s="5" t="s">
        <v>240</v>
      </c>
      <c r="EB3562" s="5" t="s">
        <v>240</v>
      </c>
      <c r="EC3562" s="5" t="s">
        <v>240</v>
      </c>
      <c r="ED3562" s="5" t="s">
        <v>240</v>
      </c>
      <c r="EE3562" s="5" t="s">
        <v>240</v>
      </c>
      <c r="EF3562" s="5" t="s">
        <v>240</v>
      </c>
      <c r="EG3562" s="5" t="s">
        <v>240</v>
      </c>
      <c r="EH3562" s="5" t="s">
        <v>240</v>
      </c>
      <c r="EI3562" s="5" t="s">
        <v>240</v>
      </c>
      <c r="EJ3562" s="5" t="s">
        <v>240</v>
      </c>
      <c r="EK3562" s="5" t="s">
        <v>240</v>
      </c>
      <c r="EL3562" s="5" t="s">
        <v>240</v>
      </c>
      <c r="EM3562" s="5" t="s">
        <v>240</v>
      </c>
      <c r="EN3562" s="5" t="s">
        <v>240</v>
      </c>
      <c r="EO3562" s="5" t="s">
        <v>240</v>
      </c>
      <c r="EP3562" s="5" t="s">
        <v>240</v>
      </c>
      <c r="EQ3562" s="5" t="s">
        <v>240</v>
      </c>
      <c r="ER3562" s="5" t="s">
        <v>240</v>
      </c>
      <c r="ES3562" s="5" t="s">
        <v>240</v>
      </c>
      <c r="ET3562" s="5" t="s">
        <v>240</v>
      </c>
      <c r="EU3562" s="5" t="s">
        <v>240</v>
      </c>
      <c r="EV3562" s="5" t="s">
        <v>240</v>
      </c>
      <c r="EW3562" s="5" t="s">
        <v>240</v>
      </c>
      <c r="EX3562" s="5" t="s">
        <v>240</v>
      </c>
      <c r="EY3562" s="5" t="s">
        <v>240</v>
      </c>
      <c r="EZ3562" s="5" t="s">
        <v>240</v>
      </c>
      <c r="FA3562" s="5" t="s">
        <v>240</v>
      </c>
      <c r="FB3562" s="5" t="s">
        <v>240</v>
      </c>
      <c r="FC3562" s="5" t="s">
        <v>240</v>
      </c>
      <c r="FD3562" s="5" t="s">
        <v>240</v>
      </c>
      <c r="FE3562" s="5" t="s">
        <v>240</v>
      </c>
      <c r="FF3562" s="5" t="s">
        <v>240</v>
      </c>
      <c r="FG3562" s="5" t="s">
        <v>240</v>
      </c>
      <c r="FH3562" s="5" t="s">
        <v>240</v>
      </c>
      <c r="FI3562" s="5" t="s">
        <v>240</v>
      </c>
      <c r="FJ3562" s="5" t="s">
        <v>240</v>
      </c>
      <c r="FK3562" s="5" t="s">
        <v>240</v>
      </c>
      <c r="FL3562" s="5" t="s">
        <v>240</v>
      </c>
      <c r="FM3562" s="5" t="s">
        <v>240</v>
      </c>
      <c r="FN3562" s="5" t="s">
        <v>240</v>
      </c>
      <c r="FO3562" s="5" t="s">
        <v>240</v>
      </c>
      <c r="FP3562" s="5" t="s">
        <v>240</v>
      </c>
      <c r="FQ3562" s="5" t="s">
        <v>240</v>
      </c>
      <c r="FR3562" s="5" t="s">
        <v>240</v>
      </c>
      <c r="FS3562" s="5" t="s">
        <v>240</v>
      </c>
      <c r="FT3562" s="5" t="s">
        <v>240</v>
      </c>
      <c r="FU3562" s="5" t="s">
        <v>240</v>
      </c>
      <c r="FV3562" s="5" t="s">
        <v>240</v>
      </c>
      <c r="FW3562" s="5" t="s">
        <v>240</v>
      </c>
      <c r="FX3562" s="5" t="s">
        <v>240</v>
      </c>
      <c r="FY3562" s="5" t="s">
        <v>240</v>
      </c>
      <c r="FZ3562" s="5" t="s">
        <v>240</v>
      </c>
      <c r="GA3562" s="5" t="s">
        <v>240</v>
      </c>
      <c r="GB3562" s="5" t="s">
        <v>240</v>
      </c>
      <c r="GC3562" s="5" t="s">
        <v>240</v>
      </c>
      <c r="GD3562" s="5" t="s">
        <v>240</v>
      </c>
      <c r="GE3562" s="5" t="s">
        <v>240</v>
      </c>
      <c r="GF3562" s="5" t="s">
        <v>240</v>
      </c>
      <c r="GG3562" s="5" t="s">
        <v>240</v>
      </c>
      <c r="GH3562" s="5" t="s">
        <v>240</v>
      </c>
      <c r="GI3562" s="5" t="s">
        <v>240</v>
      </c>
      <c r="GJ3562" s="5" t="s">
        <v>240</v>
      </c>
      <c r="GK3562" s="5" t="s">
        <v>240</v>
      </c>
      <c r="GL3562" s="5" t="s">
        <v>240</v>
      </c>
      <c r="GM3562" s="5" t="s">
        <v>240</v>
      </c>
      <c r="GN3562" s="5" t="s">
        <v>240</v>
      </c>
      <c r="GO3562" s="5" t="s">
        <v>240</v>
      </c>
      <c r="GP3562" s="5" t="s">
        <v>240</v>
      </c>
      <c r="GQ3562" s="5" t="s">
        <v>240</v>
      </c>
      <c r="GR3562" s="5" t="s">
        <v>240</v>
      </c>
      <c r="GS3562" s="5" t="s">
        <v>240</v>
      </c>
      <c r="GT3562" s="5" t="s">
        <v>240</v>
      </c>
      <c r="GU3562" s="5" t="s">
        <v>240</v>
      </c>
      <c r="GV3562" s="5" t="s">
        <v>240</v>
      </c>
      <c r="GW3562" s="5" t="s">
        <v>240</v>
      </c>
      <c r="GX3562" s="5" t="s">
        <v>240</v>
      </c>
      <c r="GY3562" s="5" t="s">
        <v>240</v>
      </c>
      <c r="GZ3562" s="5" t="s">
        <v>240</v>
      </c>
      <c r="HA3562" s="5" t="s">
        <v>240</v>
      </c>
      <c r="HB3562" s="5" t="s">
        <v>240</v>
      </c>
      <c r="HC3562" s="5" t="s">
        <v>240</v>
      </c>
      <c r="HD3562" s="5" t="s">
        <v>240</v>
      </c>
      <c r="HE3562" s="5" t="s">
        <v>240</v>
      </c>
      <c r="HF3562" s="5" t="s">
        <v>240</v>
      </c>
      <c r="HG3562" s="5" t="s">
        <v>240</v>
      </c>
      <c r="HH3562" s="5" t="s">
        <v>240</v>
      </c>
      <c r="HI3562" s="5" t="s">
        <v>240</v>
      </c>
      <c r="HJ3562" s="5" t="s">
        <v>240</v>
      </c>
      <c r="HK3562" s="5" t="s">
        <v>240</v>
      </c>
      <c r="HL3562" s="5" t="s">
        <v>240</v>
      </c>
      <c r="HM3562" s="5" t="s">
        <v>240</v>
      </c>
      <c r="HN3562" s="5" t="s">
        <v>240</v>
      </c>
      <c r="HO3562" s="5" t="s">
        <v>620</v>
      </c>
      <c r="HP3562" s="5" t="s">
        <v>240</v>
      </c>
      <c r="HQ3562" s="5" t="s">
        <v>240</v>
      </c>
      <c r="HR3562" s="5" t="s">
        <v>240</v>
      </c>
      <c r="HS3562" s="5" t="s">
        <v>240</v>
      </c>
      <c r="HT3562" s="5" t="s">
        <v>240</v>
      </c>
      <c r="HU3562" s="5" t="s">
        <v>240</v>
      </c>
      <c r="HV3562" s="5" t="s">
        <v>240</v>
      </c>
      <c r="HW3562" s="5" t="s">
        <v>240</v>
      </c>
      <c r="HX3562" s="5" t="s">
        <v>240</v>
      </c>
      <c r="HY3562" s="5" t="s">
        <v>240</v>
      </c>
      <c r="HZ3562" s="5" t="s">
        <v>240</v>
      </c>
      <c r="IA3562" s="5" t="s">
        <v>240</v>
      </c>
      <c r="IB3562" s="5" t="s">
        <v>240</v>
      </c>
      <c r="IC3562" s="5" t="s">
        <v>240</v>
      </c>
      <c r="ID3562" s="5" t="s">
        <v>240</v>
      </c>
      <c r="IE3562" s="5" t="s">
        <v>240</v>
      </c>
      <c r="IF3562" s="5" t="s">
        <v>240</v>
      </c>
    </row>
    <row r="3563" spans="1:240" x14ac:dyDescent="0.4">
      <c r="A3563" s="5">
        <v>9105</v>
      </c>
      <c r="B3563" s="5">
        <v>1</v>
      </c>
      <c r="C3563" s="5">
        <v>1</v>
      </c>
      <c r="D3563" s="5" t="s">
        <v>723</v>
      </c>
      <c r="E3563" s="5" t="s">
        <v>725</v>
      </c>
      <c r="F3563" s="5" t="s">
        <v>254</v>
      </c>
      <c r="G3563" s="5" t="s">
        <v>726</v>
      </c>
      <c r="H3563" s="6" t="s">
        <v>5823</v>
      </c>
      <c r="I3563" s="5" t="s">
        <v>5822</v>
      </c>
      <c r="J3563" s="7">
        <f>1</f>
        <v>1</v>
      </c>
      <c r="K3563" s="5" t="s">
        <v>3682</v>
      </c>
      <c r="L3563" s="7">
        <f>1</f>
        <v>1</v>
      </c>
      <c r="M3563" s="7">
        <f>1</f>
        <v>1</v>
      </c>
      <c r="N3563" s="5" t="s">
        <v>242</v>
      </c>
      <c r="O3563" s="5">
        <v>1</v>
      </c>
      <c r="P3563" s="5" t="s">
        <v>294</v>
      </c>
      <c r="Q3563" s="5" t="s">
        <v>613</v>
      </c>
      <c r="R3563" s="5" t="s">
        <v>240</v>
      </c>
      <c r="S3563" s="5" t="s">
        <v>240</v>
      </c>
      <c r="T3563" s="5" t="s">
        <v>243</v>
      </c>
      <c r="U3563" s="5" t="s">
        <v>724</v>
      </c>
      <c r="V3563" s="5" t="s">
        <v>240</v>
      </c>
      <c r="W3563" s="5" t="s">
        <v>240</v>
      </c>
      <c r="X3563" s="5" t="s">
        <v>240</v>
      </c>
      <c r="Y3563" s="5" t="s">
        <v>240</v>
      </c>
      <c r="Z3563" s="6" t="s">
        <v>298</v>
      </c>
      <c r="AA3563" s="6" t="s">
        <v>240</v>
      </c>
      <c r="AB3563" s="6" t="s">
        <v>240</v>
      </c>
      <c r="AC3563" s="5" t="s">
        <v>240</v>
      </c>
      <c r="AD3563" s="6" t="s">
        <v>240</v>
      </c>
      <c r="AE3563" s="6" t="s">
        <v>299</v>
      </c>
      <c r="AF3563" s="5" t="s">
        <v>727</v>
      </c>
      <c r="AG3563" s="5" t="s">
        <v>260</v>
      </c>
      <c r="AH3563" s="5" t="s">
        <v>240</v>
      </c>
      <c r="AI3563" s="5" t="s">
        <v>240</v>
      </c>
      <c r="AJ3563" s="5" t="s">
        <v>240</v>
      </c>
      <c r="AK3563" s="5" t="s">
        <v>240</v>
      </c>
      <c r="AL3563" s="5" t="s">
        <v>240</v>
      </c>
      <c r="AM3563" s="5" t="s">
        <v>240</v>
      </c>
      <c r="AN3563" s="5" t="s">
        <v>240</v>
      </c>
      <c r="AO3563" s="5" t="s">
        <v>240</v>
      </c>
      <c r="AP3563" s="6" t="s">
        <v>240</v>
      </c>
      <c r="AQ3563" s="6" t="s">
        <v>240</v>
      </c>
      <c r="AR3563" s="6" t="s">
        <v>240</v>
      </c>
      <c r="AS3563" s="6" t="s">
        <v>240</v>
      </c>
      <c r="AT3563" s="5" t="s">
        <v>240</v>
      </c>
      <c r="AU3563" s="5" t="s">
        <v>729</v>
      </c>
      <c r="AV3563" s="5" t="s">
        <v>729</v>
      </c>
      <c r="AW3563" s="5" t="s">
        <v>251</v>
      </c>
      <c r="AX3563" s="5" t="s">
        <v>252</v>
      </c>
      <c r="AY3563" s="5" t="s">
        <v>253</v>
      </c>
      <c r="AZ3563" s="5" t="s">
        <v>240</v>
      </c>
      <c r="BA3563" s="5" t="s">
        <v>255</v>
      </c>
      <c r="BB3563" s="5" t="s">
        <v>731</v>
      </c>
      <c r="BD3563" s="5" t="s">
        <v>240</v>
      </c>
      <c r="BF3563" s="5" t="s">
        <v>732</v>
      </c>
      <c r="BG3563" s="6" t="s">
        <v>733</v>
      </c>
      <c r="BH3563" s="5" t="s">
        <v>734</v>
      </c>
      <c r="BI3563" s="5" t="s">
        <v>734</v>
      </c>
      <c r="BJ3563" s="5" t="s">
        <v>240</v>
      </c>
      <c r="BK3563" s="8">
        <f>890</f>
        <v>890</v>
      </c>
      <c r="BL3563" s="7">
        <f>0</f>
        <v>0</v>
      </c>
      <c r="BM3563" s="5" t="s">
        <v>258</v>
      </c>
      <c r="BN3563" s="5" t="s">
        <v>259</v>
      </c>
      <c r="BO3563" s="5" t="s">
        <v>240</v>
      </c>
      <c r="BP3563" s="5" t="s">
        <v>240</v>
      </c>
      <c r="BQ3563" s="5" t="s">
        <v>240</v>
      </c>
      <c r="BR3563" s="5" t="s">
        <v>240</v>
      </c>
      <c r="BS3563" s="5" t="s">
        <v>240</v>
      </c>
      <c r="BT3563" s="5" t="s">
        <v>240</v>
      </c>
      <c r="BU3563" s="5" t="s">
        <v>240</v>
      </c>
      <c r="BV3563" s="5" t="s">
        <v>240</v>
      </c>
      <c r="BW3563" s="6" t="s">
        <v>240</v>
      </c>
      <c r="BX3563" s="5" t="s">
        <v>240</v>
      </c>
      <c r="BY3563" s="5" t="s">
        <v>240</v>
      </c>
      <c r="BZ3563" s="5" t="s">
        <v>240</v>
      </c>
      <c r="CA3563" s="5" t="s">
        <v>259</v>
      </c>
      <c r="CB3563" s="5" t="s">
        <v>240</v>
      </c>
      <c r="CC3563" s="5" t="s">
        <v>240</v>
      </c>
      <c r="CD3563" s="5" t="s">
        <v>240</v>
      </c>
      <c r="CE3563" s="5" t="s">
        <v>240</v>
      </c>
      <c r="CF3563" s="5" t="s">
        <v>240</v>
      </c>
      <c r="CG3563" s="5" t="s">
        <v>617</v>
      </c>
      <c r="CH3563" s="5" t="s">
        <v>305</v>
      </c>
      <c r="CI3563" s="5" t="s">
        <v>240</v>
      </c>
      <c r="CL3563" s="6" t="s">
        <v>261</v>
      </c>
      <c r="CM3563" s="5" t="s">
        <v>262</v>
      </c>
      <c r="CN3563" s="5" t="s">
        <v>263</v>
      </c>
      <c r="CO3563" s="5" t="s">
        <v>264</v>
      </c>
      <c r="CP3563" s="5" t="s">
        <v>240</v>
      </c>
      <c r="CQ3563" s="5">
        <v>0</v>
      </c>
      <c r="CR3563" s="5" t="s">
        <v>735</v>
      </c>
      <c r="CS3563" s="5" t="s">
        <v>307</v>
      </c>
      <c r="CT3563" s="5" t="s">
        <v>307</v>
      </c>
      <c r="CU3563" s="5" t="s">
        <v>260</v>
      </c>
      <c r="CV3563" s="5" t="s">
        <v>240</v>
      </c>
      <c r="CW3563" s="8">
        <f>0</f>
        <v>0</v>
      </c>
      <c r="CX3563" s="7">
        <f>0</f>
        <v>0</v>
      </c>
      <c r="CY3563" s="7">
        <f>0</f>
        <v>0</v>
      </c>
      <c r="DA3563" s="7">
        <f>9790</f>
        <v>9790</v>
      </c>
      <c r="DB3563" s="7" t="s">
        <v>240</v>
      </c>
      <c r="DC3563" s="5" t="s">
        <v>240</v>
      </c>
      <c r="DD3563" s="5" t="s">
        <v>240</v>
      </c>
      <c r="DE3563" s="5" t="s">
        <v>240</v>
      </c>
      <c r="DF3563" s="5" t="s">
        <v>450</v>
      </c>
      <c r="DG3563" s="7">
        <f>0</f>
        <v>0</v>
      </c>
      <c r="DI3563" s="5" t="s">
        <v>737</v>
      </c>
      <c r="DJ3563" s="5" t="s">
        <v>240</v>
      </c>
      <c r="DK3563" s="5" t="s">
        <v>240</v>
      </c>
      <c r="DL3563" s="5" t="s">
        <v>240</v>
      </c>
      <c r="DM3563" s="5" t="s">
        <v>240</v>
      </c>
      <c r="DN3563" s="5" t="s">
        <v>240</v>
      </c>
      <c r="DO3563" s="7" t="s">
        <v>240</v>
      </c>
      <c r="DP3563" s="5" t="s">
        <v>240</v>
      </c>
      <c r="DQ3563" s="5" t="s">
        <v>240</v>
      </c>
      <c r="DR3563" s="5" t="s">
        <v>731</v>
      </c>
      <c r="DS3563" s="5" t="s">
        <v>731</v>
      </c>
      <c r="DT3563" s="5" t="s">
        <v>240</v>
      </c>
      <c r="DU3563" s="5" t="s">
        <v>240</v>
      </c>
      <c r="DV3563" s="5" t="s">
        <v>738</v>
      </c>
      <c r="DW3563" s="5" t="s">
        <v>1227</v>
      </c>
      <c r="DX3563" s="5" t="s">
        <v>240</v>
      </c>
      <c r="DY3563" s="5" t="s">
        <v>240</v>
      </c>
      <c r="DZ3563" s="5" t="s">
        <v>240</v>
      </c>
      <c r="EA3563" s="5" t="s">
        <v>240</v>
      </c>
      <c r="EB3563" s="5" t="s">
        <v>240</v>
      </c>
      <c r="EC3563" s="5" t="s">
        <v>240</v>
      </c>
      <c r="ED3563" s="5" t="s">
        <v>240</v>
      </c>
      <c r="EE3563" s="5" t="s">
        <v>240</v>
      </c>
      <c r="EF3563" s="5" t="s">
        <v>240</v>
      </c>
      <c r="EG3563" s="5" t="s">
        <v>240</v>
      </c>
      <c r="EH3563" s="5" t="s">
        <v>240</v>
      </c>
      <c r="EI3563" s="5" t="s">
        <v>240</v>
      </c>
      <c r="EJ3563" s="5" t="s">
        <v>240</v>
      </c>
      <c r="EK3563" s="5" t="s">
        <v>240</v>
      </c>
      <c r="EL3563" s="5" t="s">
        <v>240</v>
      </c>
      <c r="EM3563" s="5" t="s">
        <v>240</v>
      </c>
      <c r="EN3563" s="5" t="s">
        <v>240</v>
      </c>
      <c r="EO3563" s="5" t="s">
        <v>240</v>
      </c>
      <c r="EP3563" s="5" t="s">
        <v>240</v>
      </c>
      <c r="EQ3563" s="5" t="s">
        <v>240</v>
      </c>
      <c r="ER3563" s="5" t="s">
        <v>240</v>
      </c>
      <c r="ES3563" s="5" t="s">
        <v>240</v>
      </c>
      <c r="ET3563" s="5" t="s">
        <v>240</v>
      </c>
      <c r="EU3563" s="5" t="s">
        <v>240</v>
      </c>
      <c r="EV3563" s="5" t="s">
        <v>240</v>
      </c>
      <c r="EW3563" s="5" t="s">
        <v>240</v>
      </c>
      <c r="EX3563" s="5" t="s">
        <v>240</v>
      </c>
      <c r="EY3563" s="5" t="s">
        <v>240</v>
      </c>
      <c r="EZ3563" s="5" t="s">
        <v>240</v>
      </c>
      <c r="FA3563" s="5" t="s">
        <v>240</v>
      </c>
      <c r="FB3563" s="5" t="s">
        <v>240</v>
      </c>
      <c r="FC3563" s="5" t="s">
        <v>240</v>
      </c>
      <c r="FD3563" s="5" t="s">
        <v>240</v>
      </c>
      <c r="FE3563" s="5" t="s">
        <v>240</v>
      </c>
      <c r="FF3563" s="5" t="s">
        <v>240</v>
      </c>
      <c r="FG3563" s="5" t="s">
        <v>240</v>
      </c>
      <c r="FH3563" s="5" t="s">
        <v>240</v>
      </c>
      <c r="FI3563" s="5" t="s">
        <v>240</v>
      </c>
      <c r="FJ3563" s="5" t="s">
        <v>240</v>
      </c>
      <c r="FK3563" s="5" t="s">
        <v>240</v>
      </c>
      <c r="FL3563" s="5" t="s">
        <v>240</v>
      </c>
      <c r="FM3563" s="5" t="s">
        <v>240</v>
      </c>
      <c r="FN3563" s="5" t="s">
        <v>240</v>
      </c>
      <c r="FO3563" s="5" t="s">
        <v>240</v>
      </c>
      <c r="FP3563" s="5" t="s">
        <v>240</v>
      </c>
      <c r="FQ3563" s="5" t="s">
        <v>240</v>
      </c>
      <c r="FR3563" s="5" t="s">
        <v>240</v>
      </c>
      <c r="FS3563" s="5" t="s">
        <v>240</v>
      </c>
      <c r="FT3563" s="5" t="s">
        <v>240</v>
      </c>
      <c r="FU3563" s="5" t="s">
        <v>240</v>
      </c>
      <c r="FV3563" s="5" t="s">
        <v>240</v>
      </c>
      <c r="FW3563" s="5" t="s">
        <v>240</v>
      </c>
      <c r="FX3563" s="5" t="s">
        <v>240</v>
      </c>
      <c r="FY3563" s="5" t="s">
        <v>240</v>
      </c>
      <c r="FZ3563" s="5" t="s">
        <v>240</v>
      </c>
      <c r="GA3563" s="5" t="s">
        <v>240</v>
      </c>
      <c r="GB3563" s="5" t="s">
        <v>240</v>
      </c>
      <c r="GC3563" s="5" t="s">
        <v>240</v>
      </c>
      <c r="GD3563" s="5" t="s">
        <v>240</v>
      </c>
      <c r="GE3563" s="5" t="s">
        <v>240</v>
      </c>
      <c r="GF3563" s="5" t="s">
        <v>240</v>
      </c>
      <c r="GG3563" s="5" t="s">
        <v>240</v>
      </c>
      <c r="GH3563" s="5" t="s">
        <v>240</v>
      </c>
      <c r="GI3563" s="5" t="s">
        <v>240</v>
      </c>
      <c r="GJ3563" s="5" t="s">
        <v>240</v>
      </c>
      <c r="GK3563" s="5" t="s">
        <v>240</v>
      </c>
      <c r="GL3563" s="5" t="s">
        <v>240</v>
      </c>
      <c r="GM3563" s="5" t="s">
        <v>240</v>
      </c>
      <c r="GN3563" s="5" t="s">
        <v>240</v>
      </c>
      <c r="GO3563" s="5" t="s">
        <v>240</v>
      </c>
      <c r="GP3563" s="5" t="s">
        <v>240</v>
      </c>
      <c r="GQ3563" s="5" t="s">
        <v>240</v>
      </c>
      <c r="GR3563" s="5" t="s">
        <v>240</v>
      </c>
      <c r="GS3563" s="5" t="s">
        <v>240</v>
      </c>
      <c r="GT3563" s="5" t="s">
        <v>240</v>
      </c>
      <c r="GU3563" s="5" t="s">
        <v>240</v>
      </c>
      <c r="GV3563" s="5" t="s">
        <v>240</v>
      </c>
      <c r="GW3563" s="5" t="s">
        <v>240</v>
      </c>
      <c r="GX3563" s="5" t="s">
        <v>240</v>
      </c>
      <c r="GY3563" s="5" t="s">
        <v>240</v>
      </c>
      <c r="GZ3563" s="5" t="s">
        <v>240</v>
      </c>
      <c r="HA3563" s="5" t="s">
        <v>240</v>
      </c>
      <c r="HB3563" s="5" t="s">
        <v>240</v>
      </c>
      <c r="HC3563" s="5" t="s">
        <v>240</v>
      </c>
      <c r="HD3563" s="5" t="s">
        <v>240</v>
      </c>
      <c r="HE3563" s="5" t="s">
        <v>240</v>
      </c>
      <c r="HF3563" s="5" t="s">
        <v>240</v>
      </c>
      <c r="HG3563" s="5" t="s">
        <v>240</v>
      </c>
      <c r="HH3563" s="5" t="s">
        <v>240</v>
      </c>
      <c r="HI3563" s="5" t="s">
        <v>240</v>
      </c>
      <c r="HJ3563" s="5" t="s">
        <v>240</v>
      </c>
      <c r="HK3563" s="5" t="s">
        <v>240</v>
      </c>
      <c r="HL3563" s="5" t="s">
        <v>240</v>
      </c>
      <c r="HM3563" s="5" t="s">
        <v>240</v>
      </c>
      <c r="HN3563" s="5" t="s">
        <v>240</v>
      </c>
      <c r="HO3563" s="5" t="s">
        <v>312</v>
      </c>
      <c r="HP3563" s="5" t="s">
        <v>240</v>
      </c>
      <c r="HQ3563" s="5" t="s">
        <v>240</v>
      </c>
      <c r="HR3563" s="5" t="s">
        <v>240</v>
      </c>
      <c r="HS3563" s="5" t="s">
        <v>240</v>
      </c>
      <c r="HT3563" s="5" t="s">
        <v>240</v>
      </c>
      <c r="HU3563" s="5" t="s">
        <v>240</v>
      </c>
      <c r="HV3563" s="5" t="s">
        <v>240</v>
      </c>
      <c r="HW3563" s="5" t="s">
        <v>240</v>
      </c>
      <c r="HX3563" s="5" t="s">
        <v>240</v>
      </c>
      <c r="HY3563" s="5" t="s">
        <v>240</v>
      </c>
      <c r="HZ3563" s="5" t="s">
        <v>240</v>
      </c>
      <c r="IA3563" s="5" t="s">
        <v>240</v>
      </c>
      <c r="IB3563" s="5" t="s">
        <v>240</v>
      </c>
      <c r="IC3563" s="5" t="s">
        <v>240</v>
      </c>
      <c r="ID3563" s="5" t="s">
        <v>240</v>
      </c>
      <c r="IE3563" s="5" t="s">
        <v>240</v>
      </c>
      <c r="IF3563" s="5" t="s">
        <v>240</v>
      </c>
    </row>
    <row r="3564" spans="1:240" x14ac:dyDescent="0.4">
      <c r="A3564" s="5">
        <v>9106</v>
      </c>
      <c r="B3564" s="5">
        <v>1</v>
      </c>
      <c r="C3564" s="5">
        <v>1</v>
      </c>
      <c r="D3564" s="5" t="s">
        <v>723</v>
      </c>
      <c r="E3564" s="5" t="s">
        <v>725</v>
      </c>
      <c r="F3564" s="5" t="s">
        <v>254</v>
      </c>
      <c r="G3564" s="5" t="s">
        <v>726</v>
      </c>
      <c r="H3564" s="6" t="s">
        <v>5821</v>
      </c>
      <c r="I3564" s="5" t="s">
        <v>5820</v>
      </c>
      <c r="J3564" s="7">
        <f>1</f>
        <v>1</v>
      </c>
      <c r="K3564" s="5" t="s">
        <v>3682</v>
      </c>
      <c r="L3564" s="7">
        <f>1</f>
        <v>1</v>
      </c>
      <c r="M3564" s="7">
        <f>1</f>
        <v>1</v>
      </c>
      <c r="N3564" s="5" t="s">
        <v>242</v>
      </c>
      <c r="O3564" s="5">
        <v>1</v>
      </c>
      <c r="P3564" s="5" t="s">
        <v>294</v>
      </c>
      <c r="Q3564" s="5" t="s">
        <v>613</v>
      </c>
      <c r="R3564" s="5" t="s">
        <v>240</v>
      </c>
      <c r="S3564" s="5" t="s">
        <v>240</v>
      </c>
      <c r="T3564" s="5" t="s">
        <v>243</v>
      </c>
      <c r="U3564" s="5" t="s">
        <v>724</v>
      </c>
      <c r="V3564" s="5" t="s">
        <v>240</v>
      </c>
      <c r="W3564" s="5" t="s">
        <v>240</v>
      </c>
      <c r="X3564" s="5" t="s">
        <v>240</v>
      </c>
      <c r="Y3564" s="5" t="s">
        <v>240</v>
      </c>
      <c r="Z3564" s="6" t="s">
        <v>298</v>
      </c>
      <c r="AA3564" s="6" t="s">
        <v>240</v>
      </c>
      <c r="AB3564" s="6" t="s">
        <v>240</v>
      </c>
      <c r="AC3564" s="5" t="s">
        <v>240</v>
      </c>
      <c r="AD3564" s="6" t="s">
        <v>240</v>
      </c>
      <c r="AE3564" s="6" t="s">
        <v>299</v>
      </c>
      <c r="AF3564" s="5" t="s">
        <v>727</v>
      </c>
      <c r="AG3564" s="5" t="s">
        <v>260</v>
      </c>
      <c r="AH3564" s="5" t="s">
        <v>240</v>
      </c>
      <c r="AI3564" s="5" t="s">
        <v>240</v>
      </c>
      <c r="AJ3564" s="5" t="s">
        <v>240</v>
      </c>
      <c r="AK3564" s="5" t="s">
        <v>240</v>
      </c>
      <c r="AL3564" s="5" t="s">
        <v>240</v>
      </c>
      <c r="AM3564" s="5" t="s">
        <v>240</v>
      </c>
      <c r="AN3564" s="5" t="s">
        <v>240</v>
      </c>
      <c r="AO3564" s="5" t="s">
        <v>240</v>
      </c>
      <c r="AP3564" s="6" t="s">
        <v>240</v>
      </c>
      <c r="AQ3564" s="6" t="s">
        <v>240</v>
      </c>
      <c r="AR3564" s="6" t="s">
        <v>240</v>
      </c>
      <c r="AS3564" s="6" t="s">
        <v>240</v>
      </c>
      <c r="AT3564" s="5" t="s">
        <v>240</v>
      </c>
      <c r="AU3564" s="5" t="s">
        <v>729</v>
      </c>
      <c r="AV3564" s="5" t="s">
        <v>729</v>
      </c>
      <c r="AW3564" s="5" t="s">
        <v>251</v>
      </c>
      <c r="AX3564" s="5" t="s">
        <v>252</v>
      </c>
      <c r="AY3564" s="5" t="s">
        <v>253</v>
      </c>
      <c r="AZ3564" s="5" t="s">
        <v>240</v>
      </c>
      <c r="BA3564" s="5" t="s">
        <v>255</v>
      </c>
      <c r="BB3564" s="5" t="s">
        <v>731</v>
      </c>
      <c r="BD3564" s="5" t="s">
        <v>240</v>
      </c>
      <c r="BF3564" s="5" t="s">
        <v>732</v>
      </c>
      <c r="BG3564" s="6" t="s">
        <v>733</v>
      </c>
      <c r="BH3564" s="5" t="s">
        <v>734</v>
      </c>
      <c r="BI3564" s="5" t="s">
        <v>734</v>
      </c>
      <c r="BJ3564" s="5" t="s">
        <v>240</v>
      </c>
      <c r="BK3564" s="8">
        <f>1617</f>
        <v>1617</v>
      </c>
      <c r="BL3564" s="7">
        <f>0</f>
        <v>0</v>
      </c>
      <c r="BM3564" s="5" t="s">
        <v>258</v>
      </c>
      <c r="BN3564" s="5" t="s">
        <v>259</v>
      </c>
      <c r="BO3564" s="5" t="s">
        <v>240</v>
      </c>
      <c r="BP3564" s="5" t="s">
        <v>240</v>
      </c>
      <c r="BQ3564" s="5" t="s">
        <v>240</v>
      </c>
      <c r="BR3564" s="5" t="s">
        <v>240</v>
      </c>
      <c r="BS3564" s="5" t="s">
        <v>240</v>
      </c>
      <c r="BT3564" s="5" t="s">
        <v>240</v>
      </c>
      <c r="BU3564" s="5" t="s">
        <v>240</v>
      </c>
      <c r="BV3564" s="5" t="s">
        <v>240</v>
      </c>
      <c r="BW3564" s="6" t="s">
        <v>240</v>
      </c>
      <c r="BX3564" s="5" t="s">
        <v>240</v>
      </c>
      <c r="BY3564" s="5" t="s">
        <v>240</v>
      </c>
      <c r="BZ3564" s="5" t="s">
        <v>240</v>
      </c>
      <c r="CA3564" s="5" t="s">
        <v>259</v>
      </c>
      <c r="CB3564" s="5" t="s">
        <v>240</v>
      </c>
      <c r="CC3564" s="5" t="s">
        <v>240</v>
      </c>
      <c r="CD3564" s="5" t="s">
        <v>240</v>
      </c>
      <c r="CE3564" s="5" t="s">
        <v>240</v>
      </c>
      <c r="CF3564" s="5" t="s">
        <v>240</v>
      </c>
      <c r="CG3564" s="5" t="s">
        <v>617</v>
      </c>
      <c r="CH3564" s="5" t="s">
        <v>305</v>
      </c>
      <c r="CI3564" s="5" t="s">
        <v>240</v>
      </c>
      <c r="CL3564" s="6" t="s">
        <v>261</v>
      </c>
      <c r="CM3564" s="5" t="s">
        <v>262</v>
      </c>
      <c r="CN3564" s="5" t="s">
        <v>263</v>
      </c>
      <c r="CO3564" s="5" t="s">
        <v>264</v>
      </c>
      <c r="CP3564" s="5" t="s">
        <v>240</v>
      </c>
      <c r="CQ3564" s="5">
        <v>0</v>
      </c>
      <c r="CR3564" s="5" t="s">
        <v>735</v>
      </c>
      <c r="CS3564" s="5" t="s">
        <v>307</v>
      </c>
      <c r="CT3564" s="5" t="s">
        <v>307</v>
      </c>
      <c r="CU3564" s="5" t="s">
        <v>260</v>
      </c>
      <c r="CV3564" s="5" t="s">
        <v>240</v>
      </c>
      <c r="CW3564" s="8">
        <f>0</f>
        <v>0</v>
      </c>
      <c r="CX3564" s="7">
        <f>0</f>
        <v>0</v>
      </c>
      <c r="CY3564" s="7">
        <f>0</f>
        <v>0</v>
      </c>
      <c r="DA3564" s="7">
        <f>17787</f>
        <v>17787</v>
      </c>
      <c r="DB3564" s="7" t="s">
        <v>240</v>
      </c>
      <c r="DC3564" s="5" t="s">
        <v>240</v>
      </c>
      <c r="DD3564" s="5" t="s">
        <v>240</v>
      </c>
      <c r="DE3564" s="5" t="s">
        <v>240</v>
      </c>
      <c r="DF3564" s="5" t="s">
        <v>450</v>
      </c>
      <c r="DG3564" s="7">
        <f>0</f>
        <v>0</v>
      </c>
      <c r="DI3564" s="5" t="s">
        <v>737</v>
      </c>
      <c r="DJ3564" s="5" t="s">
        <v>240</v>
      </c>
      <c r="DK3564" s="5" t="s">
        <v>240</v>
      </c>
      <c r="DL3564" s="5" t="s">
        <v>240</v>
      </c>
      <c r="DM3564" s="5" t="s">
        <v>240</v>
      </c>
      <c r="DN3564" s="5" t="s">
        <v>240</v>
      </c>
      <c r="DO3564" s="7" t="s">
        <v>240</v>
      </c>
      <c r="DP3564" s="5" t="s">
        <v>240</v>
      </c>
      <c r="DQ3564" s="5" t="s">
        <v>240</v>
      </c>
      <c r="DR3564" s="5" t="s">
        <v>731</v>
      </c>
      <c r="DS3564" s="5" t="s">
        <v>731</v>
      </c>
      <c r="DT3564" s="5" t="s">
        <v>240</v>
      </c>
      <c r="DU3564" s="5" t="s">
        <v>240</v>
      </c>
      <c r="DV3564" s="5" t="s">
        <v>738</v>
      </c>
      <c r="DW3564" s="5" t="s">
        <v>1225</v>
      </c>
      <c r="DX3564" s="5" t="s">
        <v>240</v>
      </c>
      <c r="DY3564" s="5" t="s">
        <v>240</v>
      </c>
      <c r="DZ3564" s="5" t="s">
        <v>240</v>
      </c>
      <c r="EA3564" s="5" t="s">
        <v>240</v>
      </c>
      <c r="EB3564" s="5" t="s">
        <v>240</v>
      </c>
      <c r="EC3564" s="5" t="s">
        <v>240</v>
      </c>
      <c r="ED3564" s="5" t="s">
        <v>240</v>
      </c>
      <c r="EE3564" s="5" t="s">
        <v>240</v>
      </c>
      <c r="EF3564" s="5" t="s">
        <v>240</v>
      </c>
      <c r="EG3564" s="5" t="s">
        <v>240</v>
      </c>
      <c r="EH3564" s="5" t="s">
        <v>240</v>
      </c>
      <c r="EI3564" s="5" t="s">
        <v>240</v>
      </c>
      <c r="EJ3564" s="5" t="s">
        <v>240</v>
      </c>
      <c r="EK3564" s="5" t="s">
        <v>240</v>
      </c>
      <c r="EL3564" s="5" t="s">
        <v>240</v>
      </c>
      <c r="EM3564" s="5" t="s">
        <v>240</v>
      </c>
      <c r="EN3564" s="5" t="s">
        <v>240</v>
      </c>
      <c r="EO3564" s="5" t="s">
        <v>240</v>
      </c>
      <c r="EP3564" s="5" t="s">
        <v>240</v>
      </c>
      <c r="EQ3564" s="5" t="s">
        <v>240</v>
      </c>
      <c r="ER3564" s="5" t="s">
        <v>240</v>
      </c>
      <c r="ES3564" s="5" t="s">
        <v>240</v>
      </c>
      <c r="ET3564" s="5" t="s">
        <v>240</v>
      </c>
      <c r="EU3564" s="5" t="s">
        <v>240</v>
      </c>
      <c r="EV3564" s="5" t="s">
        <v>240</v>
      </c>
      <c r="EW3564" s="5" t="s">
        <v>240</v>
      </c>
      <c r="EX3564" s="5" t="s">
        <v>240</v>
      </c>
      <c r="EY3564" s="5" t="s">
        <v>240</v>
      </c>
      <c r="EZ3564" s="5" t="s">
        <v>240</v>
      </c>
      <c r="FA3564" s="5" t="s">
        <v>240</v>
      </c>
      <c r="FB3564" s="5" t="s">
        <v>240</v>
      </c>
      <c r="FC3564" s="5" t="s">
        <v>240</v>
      </c>
      <c r="FD3564" s="5" t="s">
        <v>240</v>
      </c>
      <c r="FE3564" s="5" t="s">
        <v>240</v>
      </c>
      <c r="FF3564" s="5" t="s">
        <v>240</v>
      </c>
      <c r="FG3564" s="5" t="s">
        <v>240</v>
      </c>
      <c r="FH3564" s="5" t="s">
        <v>240</v>
      </c>
      <c r="FI3564" s="5" t="s">
        <v>240</v>
      </c>
      <c r="FJ3564" s="5" t="s">
        <v>240</v>
      </c>
      <c r="FK3564" s="5" t="s">
        <v>240</v>
      </c>
      <c r="FL3564" s="5" t="s">
        <v>240</v>
      </c>
      <c r="FM3564" s="5" t="s">
        <v>240</v>
      </c>
      <c r="FN3564" s="5" t="s">
        <v>240</v>
      </c>
      <c r="FO3564" s="5" t="s">
        <v>240</v>
      </c>
      <c r="FP3564" s="5" t="s">
        <v>240</v>
      </c>
      <c r="FQ3564" s="5" t="s">
        <v>240</v>
      </c>
      <c r="FR3564" s="5" t="s">
        <v>240</v>
      </c>
      <c r="FS3564" s="5" t="s">
        <v>240</v>
      </c>
      <c r="FT3564" s="5" t="s">
        <v>240</v>
      </c>
      <c r="FU3564" s="5" t="s">
        <v>240</v>
      </c>
      <c r="FV3564" s="5" t="s">
        <v>240</v>
      </c>
      <c r="FW3564" s="5" t="s">
        <v>240</v>
      </c>
      <c r="FX3564" s="5" t="s">
        <v>240</v>
      </c>
      <c r="FY3564" s="5" t="s">
        <v>240</v>
      </c>
      <c r="FZ3564" s="5" t="s">
        <v>240</v>
      </c>
      <c r="GA3564" s="5" t="s">
        <v>240</v>
      </c>
      <c r="GB3564" s="5" t="s">
        <v>240</v>
      </c>
      <c r="GC3564" s="5" t="s">
        <v>240</v>
      </c>
      <c r="GD3564" s="5" t="s">
        <v>240</v>
      </c>
      <c r="GE3564" s="5" t="s">
        <v>240</v>
      </c>
      <c r="GF3564" s="5" t="s">
        <v>240</v>
      </c>
      <c r="GG3564" s="5" t="s">
        <v>240</v>
      </c>
      <c r="GH3564" s="5" t="s">
        <v>240</v>
      </c>
      <c r="GI3564" s="5" t="s">
        <v>240</v>
      </c>
      <c r="GJ3564" s="5" t="s">
        <v>240</v>
      </c>
      <c r="GK3564" s="5" t="s">
        <v>240</v>
      </c>
      <c r="GL3564" s="5" t="s">
        <v>240</v>
      </c>
      <c r="GM3564" s="5" t="s">
        <v>240</v>
      </c>
      <c r="GN3564" s="5" t="s">
        <v>240</v>
      </c>
      <c r="GO3564" s="5" t="s">
        <v>240</v>
      </c>
      <c r="GP3564" s="5" t="s">
        <v>240</v>
      </c>
      <c r="GQ3564" s="5" t="s">
        <v>240</v>
      </c>
      <c r="GR3564" s="5" t="s">
        <v>240</v>
      </c>
      <c r="GS3564" s="5" t="s">
        <v>240</v>
      </c>
      <c r="GT3564" s="5" t="s">
        <v>240</v>
      </c>
      <c r="GU3564" s="5" t="s">
        <v>240</v>
      </c>
      <c r="GV3564" s="5" t="s">
        <v>240</v>
      </c>
      <c r="GW3564" s="5" t="s">
        <v>240</v>
      </c>
      <c r="GX3564" s="5" t="s">
        <v>240</v>
      </c>
      <c r="GY3564" s="5" t="s">
        <v>240</v>
      </c>
      <c r="GZ3564" s="5" t="s">
        <v>240</v>
      </c>
      <c r="HA3564" s="5" t="s">
        <v>240</v>
      </c>
      <c r="HB3564" s="5" t="s">
        <v>240</v>
      </c>
      <c r="HC3564" s="5" t="s">
        <v>240</v>
      </c>
      <c r="HD3564" s="5" t="s">
        <v>240</v>
      </c>
      <c r="HE3564" s="5" t="s">
        <v>240</v>
      </c>
      <c r="HF3564" s="5" t="s">
        <v>240</v>
      </c>
      <c r="HG3564" s="5" t="s">
        <v>240</v>
      </c>
      <c r="HH3564" s="5" t="s">
        <v>240</v>
      </c>
      <c r="HI3564" s="5" t="s">
        <v>240</v>
      </c>
      <c r="HJ3564" s="5" t="s">
        <v>240</v>
      </c>
      <c r="HK3564" s="5" t="s">
        <v>240</v>
      </c>
      <c r="HL3564" s="5" t="s">
        <v>240</v>
      </c>
      <c r="HM3564" s="5" t="s">
        <v>240</v>
      </c>
      <c r="HN3564" s="5" t="s">
        <v>240</v>
      </c>
      <c r="HO3564" s="5" t="s">
        <v>312</v>
      </c>
      <c r="HP3564" s="5" t="s">
        <v>240</v>
      </c>
      <c r="HQ3564" s="5" t="s">
        <v>240</v>
      </c>
      <c r="HR3564" s="5" t="s">
        <v>240</v>
      </c>
      <c r="HS3564" s="5" t="s">
        <v>240</v>
      </c>
      <c r="HT3564" s="5" t="s">
        <v>240</v>
      </c>
      <c r="HU3564" s="5" t="s">
        <v>240</v>
      </c>
      <c r="HV3564" s="5" t="s">
        <v>240</v>
      </c>
      <c r="HW3564" s="5" t="s">
        <v>240</v>
      </c>
      <c r="HX3564" s="5" t="s">
        <v>240</v>
      </c>
      <c r="HY3564" s="5" t="s">
        <v>240</v>
      </c>
      <c r="HZ3564" s="5" t="s">
        <v>240</v>
      </c>
      <c r="IA3564" s="5" t="s">
        <v>240</v>
      </c>
      <c r="IB3564" s="5" t="s">
        <v>240</v>
      </c>
      <c r="IC3564" s="5" t="s">
        <v>240</v>
      </c>
      <c r="ID3564" s="5" t="s">
        <v>240</v>
      </c>
      <c r="IE3564" s="5" t="s">
        <v>240</v>
      </c>
      <c r="IF3564" s="5" t="s">
        <v>240</v>
      </c>
    </row>
    <row r="3565" spans="1:240" x14ac:dyDescent="0.4">
      <c r="A3565" s="5">
        <v>9107</v>
      </c>
      <c r="B3565" s="5">
        <v>1</v>
      </c>
      <c r="C3565" s="5">
        <v>1</v>
      </c>
      <c r="D3565" s="5" t="s">
        <v>723</v>
      </c>
      <c r="E3565" s="5" t="s">
        <v>725</v>
      </c>
      <c r="F3565" s="5" t="s">
        <v>254</v>
      </c>
      <c r="G3565" s="5" t="s">
        <v>726</v>
      </c>
      <c r="H3565" s="6" t="s">
        <v>5819</v>
      </c>
      <c r="I3565" s="5" t="s">
        <v>5818</v>
      </c>
      <c r="J3565" s="7">
        <f>1</f>
        <v>1</v>
      </c>
      <c r="K3565" s="5" t="s">
        <v>3682</v>
      </c>
      <c r="L3565" s="7">
        <f>1</f>
        <v>1</v>
      </c>
      <c r="M3565" s="7">
        <f>1</f>
        <v>1</v>
      </c>
      <c r="N3565" s="5" t="s">
        <v>242</v>
      </c>
      <c r="O3565" s="5">
        <v>1</v>
      </c>
      <c r="P3565" s="5" t="s">
        <v>294</v>
      </c>
      <c r="Q3565" s="5" t="s">
        <v>613</v>
      </c>
      <c r="R3565" s="5" t="s">
        <v>240</v>
      </c>
      <c r="S3565" s="5" t="s">
        <v>240</v>
      </c>
      <c r="T3565" s="5" t="s">
        <v>243</v>
      </c>
      <c r="U3565" s="5" t="s">
        <v>724</v>
      </c>
      <c r="V3565" s="5" t="s">
        <v>240</v>
      </c>
      <c r="W3565" s="5" t="s">
        <v>240</v>
      </c>
      <c r="X3565" s="5" t="s">
        <v>240</v>
      </c>
      <c r="Y3565" s="5" t="s">
        <v>240</v>
      </c>
      <c r="Z3565" s="6" t="s">
        <v>298</v>
      </c>
      <c r="AA3565" s="6" t="s">
        <v>240</v>
      </c>
      <c r="AB3565" s="6" t="s">
        <v>240</v>
      </c>
      <c r="AC3565" s="5" t="s">
        <v>240</v>
      </c>
      <c r="AD3565" s="6" t="s">
        <v>240</v>
      </c>
      <c r="AE3565" s="6" t="s">
        <v>299</v>
      </c>
      <c r="AF3565" s="5" t="s">
        <v>727</v>
      </c>
      <c r="AG3565" s="5" t="s">
        <v>260</v>
      </c>
      <c r="AH3565" s="5" t="s">
        <v>240</v>
      </c>
      <c r="AI3565" s="5" t="s">
        <v>240</v>
      </c>
      <c r="AJ3565" s="5" t="s">
        <v>240</v>
      </c>
      <c r="AK3565" s="5" t="s">
        <v>240</v>
      </c>
      <c r="AL3565" s="5" t="s">
        <v>240</v>
      </c>
      <c r="AM3565" s="5" t="s">
        <v>240</v>
      </c>
      <c r="AN3565" s="5" t="s">
        <v>240</v>
      </c>
      <c r="AO3565" s="5" t="s">
        <v>240</v>
      </c>
      <c r="AP3565" s="6" t="s">
        <v>240</v>
      </c>
      <c r="AQ3565" s="6" t="s">
        <v>240</v>
      </c>
      <c r="AR3565" s="6" t="s">
        <v>240</v>
      </c>
      <c r="AS3565" s="6" t="s">
        <v>240</v>
      </c>
      <c r="AT3565" s="5" t="s">
        <v>240</v>
      </c>
      <c r="AU3565" s="5" t="s">
        <v>729</v>
      </c>
      <c r="AV3565" s="5" t="s">
        <v>729</v>
      </c>
      <c r="AW3565" s="5" t="s">
        <v>251</v>
      </c>
      <c r="AX3565" s="5" t="s">
        <v>252</v>
      </c>
      <c r="AY3565" s="5" t="s">
        <v>253</v>
      </c>
      <c r="AZ3565" s="5" t="s">
        <v>240</v>
      </c>
      <c r="BA3565" s="5" t="s">
        <v>255</v>
      </c>
      <c r="BB3565" s="5" t="s">
        <v>731</v>
      </c>
      <c r="BD3565" s="5" t="s">
        <v>240</v>
      </c>
      <c r="BF3565" s="5" t="s">
        <v>732</v>
      </c>
      <c r="BG3565" s="6" t="s">
        <v>733</v>
      </c>
      <c r="BH3565" s="5" t="s">
        <v>734</v>
      </c>
      <c r="BI3565" s="5" t="s">
        <v>734</v>
      </c>
      <c r="BJ3565" s="5" t="s">
        <v>240</v>
      </c>
      <c r="BK3565" s="8">
        <f>3582.3</f>
        <v>3582.3</v>
      </c>
      <c r="BL3565" s="7">
        <f>0</f>
        <v>0</v>
      </c>
      <c r="BM3565" s="5" t="s">
        <v>258</v>
      </c>
      <c r="BN3565" s="5" t="s">
        <v>259</v>
      </c>
      <c r="BO3565" s="5" t="s">
        <v>240</v>
      </c>
      <c r="BP3565" s="5" t="s">
        <v>240</v>
      </c>
      <c r="BQ3565" s="5" t="s">
        <v>240</v>
      </c>
      <c r="BR3565" s="5" t="s">
        <v>240</v>
      </c>
      <c r="BS3565" s="5" t="s">
        <v>240</v>
      </c>
      <c r="BT3565" s="5" t="s">
        <v>240</v>
      </c>
      <c r="BU3565" s="5" t="s">
        <v>240</v>
      </c>
      <c r="BV3565" s="5" t="s">
        <v>240</v>
      </c>
      <c r="BW3565" s="6" t="s">
        <v>240</v>
      </c>
      <c r="BX3565" s="5" t="s">
        <v>240</v>
      </c>
      <c r="BY3565" s="5" t="s">
        <v>240</v>
      </c>
      <c r="BZ3565" s="5" t="s">
        <v>240</v>
      </c>
      <c r="CA3565" s="5" t="s">
        <v>259</v>
      </c>
      <c r="CB3565" s="5" t="s">
        <v>240</v>
      </c>
      <c r="CC3565" s="5" t="s">
        <v>240</v>
      </c>
      <c r="CD3565" s="5" t="s">
        <v>240</v>
      </c>
      <c r="CE3565" s="5" t="s">
        <v>240</v>
      </c>
      <c r="CF3565" s="5" t="s">
        <v>240</v>
      </c>
      <c r="CG3565" s="5" t="s">
        <v>617</v>
      </c>
      <c r="CH3565" s="5" t="s">
        <v>305</v>
      </c>
      <c r="CI3565" s="5" t="s">
        <v>240</v>
      </c>
      <c r="CL3565" s="6" t="s">
        <v>261</v>
      </c>
      <c r="CM3565" s="5" t="s">
        <v>262</v>
      </c>
      <c r="CN3565" s="5" t="s">
        <v>263</v>
      </c>
      <c r="CO3565" s="5" t="s">
        <v>264</v>
      </c>
      <c r="CP3565" s="5" t="s">
        <v>240</v>
      </c>
      <c r="CQ3565" s="5">
        <v>0</v>
      </c>
      <c r="CR3565" s="5" t="s">
        <v>735</v>
      </c>
      <c r="CS3565" s="5" t="s">
        <v>307</v>
      </c>
      <c r="CT3565" s="5" t="s">
        <v>307</v>
      </c>
      <c r="CU3565" s="5" t="s">
        <v>260</v>
      </c>
      <c r="CV3565" s="5" t="s">
        <v>240</v>
      </c>
      <c r="CW3565" s="8">
        <f>0</f>
        <v>0</v>
      </c>
      <c r="CX3565" s="7">
        <f>0</f>
        <v>0</v>
      </c>
      <c r="CY3565" s="7">
        <f>0</f>
        <v>0</v>
      </c>
      <c r="DA3565" s="7">
        <f>39405</f>
        <v>39405</v>
      </c>
      <c r="DB3565" s="7" t="s">
        <v>240</v>
      </c>
      <c r="DC3565" s="5" t="s">
        <v>240</v>
      </c>
      <c r="DD3565" s="5" t="s">
        <v>240</v>
      </c>
      <c r="DE3565" s="5" t="s">
        <v>240</v>
      </c>
      <c r="DF3565" s="5" t="s">
        <v>450</v>
      </c>
      <c r="DG3565" s="7">
        <f>0</f>
        <v>0</v>
      </c>
      <c r="DH3565" s="6" t="s">
        <v>6280</v>
      </c>
      <c r="DI3565" s="5" t="s">
        <v>737</v>
      </c>
      <c r="DJ3565" s="5" t="s">
        <v>240</v>
      </c>
      <c r="DK3565" s="5" t="s">
        <v>240</v>
      </c>
      <c r="DL3565" s="5" t="s">
        <v>240</v>
      </c>
      <c r="DM3565" s="5" t="s">
        <v>240</v>
      </c>
      <c r="DN3565" s="5" t="s">
        <v>240</v>
      </c>
      <c r="DO3565" s="7" t="s">
        <v>240</v>
      </c>
      <c r="DP3565" s="5" t="s">
        <v>240</v>
      </c>
      <c r="DQ3565" s="5" t="s">
        <v>240</v>
      </c>
      <c r="DR3565" s="5" t="s">
        <v>731</v>
      </c>
      <c r="DS3565" s="5" t="s">
        <v>731</v>
      </c>
      <c r="DT3565" s="5" t="s">
        <v>240</v>
      </c>
      <c r="DU3565" s="5" t="s">
        <v>240</v>
      </c>
      <c r="DV3565" s="5" t="s">
        <v>738</v>
      </c>
      <c r="DW3565" s="5" t="s">
        <v>656</v>
      </c>
      <c r="DX3565" s="5" t="s">
        <v>240</v>
      </c>
      <c r="DY3565" s="5" t="s">
        <v>240</v>
      </c>
      <c r="DZ3565" s="5" t="s">
        <v>240</v>
      </c>
      <c r="EA3565" s="5" t="s">
        <v>240</v>
      </c>
      <c r="EB3565" s="5" t="s">
        <v>240</v>
      </c>
      <c r="EC3565" s="5" t="s">
        <v>240</v>
      </c>
      <c r="ED3565" s="5" t="s">
        <v>240</v>
      </c>
      <c r="EE3565" s="5" t="s">
        <v>240</v>
      </c>
      <c r="EF3565" s="5" t="s">
        <v>240</v>
      </c>
      <c r="EG3565" s="5" t="s">
        <v>240</v>
      </c>
      <c r="EH3565" s="5" t="s">
        <v>240</v>
      </c>
      <c r="EI3565" s="5" t="s">
        <v>240</v>
      </c>
      <c r="EJ3565" s="5" t="s">
        <v>240</v>
      </c>
      <c r="EK3565" s="5" t="s">
        <v>240</v>
      </c>
      <c r="EL3565" s="5" t="s">
        <v>240</v>
      </c>
      <c r="EM3565" s="5" t="s">
        <v>240</v>
      </c>
      <c r="EN3565" s="5" t="s">
        <v>240</v>
      </c>
      <c r="EO3565" s="5" t="s">
        <v>240</v>
      </c>
      <c r="EP3565" s="5" t="s">
        <v>240</v>
      </c>
      <c r="EQ3565" s="5" t="s">
        <v>240</v>
      </c>
      <c r="ER3565" s="5" t="s">
        <v>240</v>
      </c>
      <c r="ES3565" s="5" t="s">
        <v>240</v>
      </c>
      <c r="ET3565" s="5" t="s">
        <v>240</v>
      </c>
      <c r="EU3565" s="5" t="s">
        <v>240</v>
      </c>
      <c r="EV3565" s="5" t="s">
        <v>240</v>
      </c>
      <c r="EW3565" s="5" t="s">
        <v>240</v>
      </c>
      <c r="EX3565" s="5" t="s">
        <v>240</v>
      </c>
      <c r="EY3565" s="5" t="s">
        <v>240</v>
      </c>
      <c r="EZ3565" s="5" t="s">
        <v>240</v>
      </c>
      <c r="FA3565" s="5" t="s">
        <v>240</v>
      </c>
      <c r="FB3565" s="5" t="s">
        <v>240</v>
      </c>
      <c r="FC3565" s="5" t="s">
        <v>240</v>
      </c>
      <c r="FD3565" s="5" t="s">
        <v>240</v>
      </c>
      <c r="FE3565" s="5" t="s">
        <v>240</v>
      </c>
      <c r="FF3565" s="5" t="s">
        <v>240</v>
      </c>
      <c r="FG3565" s="5" t="s">
        <v>240</v>
      </c>
      <c r="FH3565" s="5" t="s">
        <v>240</v>
      </c>
      <c r="FI3565" s="5" t="s">
        <v>240</v>
      </c>
      <c r="FJ3565" s="5" t="s">
        <v>240</v>
      </c>
      <c r="FK3565" s="5" t="s">
        <v>240</v>
      </c>
      <c r="FL3565" s="5" t="s">
        <v>240</v>
      </c>
      <c r="FM3565" s="5" t="s">
        <v>240</v>
      </c>
      <c r="FN3565" s="5" t="s">
        <v>240</v>
      </c>
      <c r="FO3565" s="5" t="s">
        <v>240</v>
      </c>
      <c r="FP3565" s="5" t="s">
        <v>240</v>
      </c>
      <c r="FQ3565" s="5" t="s">
        <v>240</v>
      </c>
      <c r="FR3565" s="5" t="s">
        <v>240</v>
      </c>
      <c r="FS3565" s="5" t="s">
        <v>240</v>
      </c>
      <c r="FT3565" s="5" t="s">
        <v>240</v>
      </c>
      <c r="FU3565" s="5" t="s">
        <v>240</v>
      </c>
      <c r="FV3565" s="5" t="s">
        <v>240</v>
      </c>
      <c r="FW3565" s="5" t="s">
        <v>240</v>
      </c>
      <c r="FX3565" s="5" t="s">
        <v>240</v>
      </c>
      <c r="FY3565" s="5" t="s">
        <v>240</v>
      </c>
      <c r="FZ3565" s="5" t="s">
        <v>240</v>
      </c>
      <c r="GA3565" s="5" t="s">
        <v>240</v>
      </c>
      <c r="GB3565" s="5" t="s">
        <v>240</v>
      </c>
      <c r="GC3565" s="5" t="s">
        <v>240</v>
      </c>
      <c r="GD3565" s="5" t="s">
        <v>240</v>
      </c>
      <c r="GE3565" s="5" t="s">
        <v>240</v>
      </c>
      <c r="GF3565" s="5" t="s">
        <v>240</v>
      </c>
      <c r="GG3565" s="5" t="s">
        <v>240</v>
      </c>
      <c r="GH3565" s="5" t="s">
        <v>240</v>
      </c>
      <c r="GI3565" s="5" t="s">
        <v>240</v>
      </c>
      <c r="GJ3565" s="5" t="s">
        <v>240</v>
      </c>
      <c r="GK3565" s="5" t="s">
        <v>240</v>
      </c>
      <c r="GL3565" s="5" t="s">
        <v>240</v>
      </c>
      <c r="GM3565" s="5" t="s">
        <v>240</v>
      </c>
      <c r="GN3565" s="5" t="s">
        <v>240</v>
      </c>
      <c r="GO3565" s="5" t="s">
        <v>240</v>
      </c>
      <c r="GP3565" s="5" t="s">
        <v>240</v>
      </c>
      <c r="GQ3565" s="5" t="s">
        <v>240</v>
      </c>
      <c r="GR3565" s="5" t="s">
        <v>240</v>
      </c>
      <c r="GS3565" s="5" t="s">
        <v>240</v>
      </c>
      <c r="GT3565" s="5" t="s">
        <v>240</v>
      </c>
      <c r="GU3565" s="5" t="s">
        <v>240</v>
      </c>
      <c r="GV3565" s="5" t="s">
        <v>240</v>
      </c>
      <c r="GW3565" s="5" t="s">
        <v>240</v>
      </c>
      <c r="GX3565" s="5" t="s">
        <v>240</v>
      </c>
      <c r="GY3565" s="5" t="s">
        <v>240</v>
      </c>
      <c r="GZ3565" s="5" t="s">
        <v>240</v>
      </c>
      <c r="HA3565" s="5" t="s">
        <v>240</v>
      </c>
      <c r="HB3565" s="5" t="s">
        <v>240</v>
      </c>
      <c r="HC3565" s="5" t="s">
        <v>240</v>
      </c>
      <c r="HD3565" s="5" t="s">
        <v>240</v>
      </c>
      <c r="HE3565" s="5" t="s">
        <v>240</v>
      </c>
      <c r="HF3565" s="5" t="s">
        <v>240</v>
      </c>
      <c r="HG3565" s="5" t="s">
        <v>240</v>
      </c>
      <c r="HH3565" s="5" t="s">
        <v>240</v>
      </c>
      <c r="HI3565" s="5" t="s">
        <v>240</v>
      </c>
      <c r="HJ3565" s="5" t="s">
        <v>240</v>
      </c>
      <c r="HK3565" s="5" t="s">
        <v>240</v>
      </c>
      <c r="HL3565" s="5" t="s">
        <v>240</v>
      </c>
      <c r="HM3565" s="5" t="s">
        <v>240</v>
      </c>
      <c r="HN3565" s="5" t="s">
        <v>240</v>
      </c>
      <c r="HO3565" s="5" t="s">
        <v>620</v>
      </c>
      <c r="HP3565" s="5" t="s">
        <v>240</v>
      </c>
      <c r="HQ3565" s="5" t="s">
        <v>240</v>
      </c>
      <c r="HR3565" s="5" t="s">
        <v>240</v>
      </c>
      <c r="HS3565" s="5" t="s">
        <v>240</v>
      </c>
      <c r="HT3565" s="5" t="s">
        <v>240</v>
      </c>
      <c r="HU3565" s="5" t="s">
        <v>240</v>
      </c>
      <c r="HV3565" s="5" t="s">
        <v>240</v>
      </c>
      <c r="HW3565" s="5" t="s">
        <v>240</v>
      </c>
      <c r="HX3565" s="5" t="s">
        <v>240</v>
      </c>
      <c r="HY3565" s="5" t="s">
        <v>240</v>
      </c>
      <c r="HZ3565" s="5" t="s">
        <v>240</v>
      </c>
      <c r="IA3565" s="5" t="s">
        <v>240</v>
      </c>
      <c r="IB3565" s="5" t="s">
        <v>240</v>
      </c>
      <c r="IC3565" s="5" t="s">
        <v>240</v>
      </c>
      <c r="ID3565" s="5" t="s">
        <v>240</v>
      </c>
      <c r="IE3565" s="5" t="s">
        <v>240</v>
      </c>
      <c r="IF3565" s="5" t="s">
        <v>240</v>
      </c>
    </row>
    <row r="3566" spans="1:240" x14ac:dyDescent="0.4">
      <c r="A3566" s="5">
        <v>9108</v>
      </c>
      <c r="B3566" s="5">
        <v>1</v>
      </c>
      <c r="C3566" s="5">
        <v>1</v>
      </c>
      <c r="D3566" s="5" t="s">
        <v>723</v>
      </c>
      <c r="E3566" s="5" t="s">
        <v>725</v>
      </c>
      <c r="F3566" s="5" t="s">
        <v>254</v>
      </c>
      <c r="G3566" s="5" t="s">
        <v>726</v>
      </c>
      <c r="H3566" s="6" t="s">
        <v>5817</v>
      </c>
      <c r="I3566" s="5" t="s">
        <v>5816</v>
      </c>
      <c r="J3566" s="7">
        <f>1</f>
        <v>1</v>
      </c>
      <c r="K3566" s="5" t="s">
        <v>3682</v>
      </c>
      <c r="L3566" s="7">
        <f>1</f>
        <v>1</v>
      </c>
      <c r="M3566" s="7">
        <f>1</f>
        <v>1</v>
      </c>
      <c r="N3566" s="5" t="s">
        <v>242</v>
      </c>
      <c r="O3566" s="5">
        <v>1</v>
      </c>
      <c r="P3566" s="5" t="s">
        <v>294</v>
      </c>
      <c r="Q3566" s="5" t="s">
        <v>3678</v>
      </c>
      <c r="R3566" s="5" t="s">
        <v>240</v>
      </c>
      <c r="S3566" s="5" t="s">
        <v>240</v>
      </c>
      <c r="T3566" s="5" t="s">
        <v>243</v>
      </c>
      <c r="U3566" s="5" t="s">
        <v>244</v>
      </c>
      <c r="V3566" s="5" t="s">
        <v>240</v>
      </c>
      <c r="W3566" s="5" t="s">
        <v>240</v>
      </c>
      <c r="X3566" s="5" t="s">
        <v>240</v>
      </c>
      <c r="Y3566" s="5" t="s">
        <v>240</v>
      </c>
      <c r="Z3566" s="6" t="s">
        <v>298</v>
      </c>
      <c r="AA3566" s="6" t="s">
        <v>240</v>
      </c>
      <c r="AB3566" s="6" t="s">
        <v>240</v>
      </c>
      <c r="AC3566" s="5" t="s">
        <v>240</v>
      </c>
      <c r="AD3566" s="6" t="s">
        <v>240</v>
      </c>
      <c r="AE3566" s="6" t="s">
        <v>299</v>
      </c>
      <c r="AF3566" s="5" t="s">
        <v>248</v>
      </c>
      <c r="AG3566" s="5" t="s">
        <v>249</v>
      </c>
      <c r="AH3566" s="5" t="s">
        <v>240</v>
      </c>
      <c r="AI3566" s="5" t="s">
        <v>240</v>
      </c>
      <c r="AJ3566" s="5" t="s">
        <v>240</v>
      </c>
      <c r="AK3566" s="5" t="s">
        <v>240</v>
      </c>
      <c r="AL3566" s="5" t="s">
        <v>240</v>
      </c>
      <c r="AM3566" s="5" t="s">
        <v>240</v>
      </c>
      <c r="AN3566" s="5" t="s">
        <v>240</v>
      </c>
      <c r="AO3566" s="5" t="s">
        <v>240</v>
      </c>
      <c r="AP3566" s="6" t="s">
        <v>240</v>
      </c>
      <c r="AQ3566" s="6" t="s">
        <v>240</v>
      </c>
      <c r="AR3566" s="6" t="s">
        <v>240</v>
      </c>
      <c r="AS3566" s="6" t="s">
        <v>240</v>
      </c>
      <c r="AT3566" s="5" t="s">
        <v>240</v>
      </c>
      <c r="AU3566" s="5" t="s">
        <v>729</v>
      </c>
      <c r="AV3566" s="5" t="s">
        <v>729</v>
      </c>
      <c r="AW3566" s="5" t="s">
        <v>251</v>
      </c>
      <c r="AX3566" s="5" t="s">
        <v>252</v>
      </c>
      <c r="AY3566" s="5" t="s">
        <v>253</v>
      </c>
      <c r="AZ3566" s="5" t="s">
        <v>240</v>
      </c>
      <c r="BA3566" s="5" t="s">
        <v>255</v>
      </c>
      <c r="BB3566" s="5" t="s">
        <v>731</v>
      </c>
      <c r="BD3566" s="5" t="s">
        <v>240</v>
      </c>
      <c r="BF3566" s="5" t="s">
        <v>732</v>
      </c>
      <c r="BG3566" s="6" t="s">
        <v>733</v>
      </c>
      <c r="BH3566" s="5" t="s">
        <v>734</v>
      </c>
      <c r="BI3566" s="5" t="s">
        <v>734</v>
      </c>
      <c r="BJ3566" s="5" t="s">
        <v>240</v>
      </c>
      <c r="BK3566" s="7">
        <f>1</f>
        <v>1</v>
      </c>
      <c r="BL3566" s="7">
        <f>1</f>
        <v>1</v>
      </c>
      <c r="BM3566" s="5" t="s">
        <v>258</v>
      </c>
      <c r="BN3566" s="5" t="s">
        <v>259</v>
      </c>
      <c r="BO3566" s="5" t="s">
        <v>240</v>
      </c>
      <c r="BP3566" s="5" t="s">
        <v>240</v>
      </c>
      <c r="BQ3566" s="5" t="s">
        <v>240</v>
      </c>
      <c r="BR3566" s="5" t="s">
        <v>240</v>
      </c>
      <c r="BS3566" s="5" t="s">
        <v>240</v>
      </c>
      <c r="BT3566" s="5" t="s">
        <v>240</v>
      </c>
      <c r="BU3566" s="5" t="s">
        <v>240</v>
      </c>
      <c r="BV3566" s="5" t="s">
        <v>240</v>
      </c>
      <c r="BW3566" s="6" t="s">
        <v>240</v>
      </c>
      <c r="BX3566" s="5" t="s">
        <v>240</v>
      </c>
      <c r="BY3566" s="5" t="s">
        <v>240</v>
      </c>
      <c r="BZ3566" s="5" t="s">
        <v>240</v>
      </c>
      <c r="CA3566" s="5" t="s">
        <v>259</v>
      </c>
      <c r="CB3566" s="5" t="s">
        <v>240</v>
      </c>
      <c r="CC3566" s="5" t="s">
        <v>240</v>
      </c>
      <c r="CD3566" s="5" t="s">
        <v>240</v>
      </c>
      <c r="CE3566" s="5" t="s">
        <v>240</v>
      </c>
      <c r="CF3566" s="5" t="s">
        <v>240</v>
      </c>
      <c r="CG3566" s="5" t="s">
        <v>304</v>
      </c>
      <c r="CH3566" s="5" t="s">
        <v>305</v>
      </c>
      <c r="CI3566" s="5" t="s">
        <v>240</v>
      </c>
      <c r="CK3566" s="5" t="s">
        <v>3681</v>
      </c>
      <c r="CL3566" s="6" t="s">
        <v>261</v>
      </c>
      <c r="CM3566" s="5" t="s">
        <v>262</v>
      </c>
      <c r="CN3566" s="5" t="s">
        <v>263</v>
      </c>
      <c r="CO3566" s="5" t="s">
        <v>264</v>
      </c>
      <c r="CP3566" s="5" t="s">
        <v>240</v>
      </c>
      <c r="CQ3566" s="5">
        <v>0</v>
      </c>
      <c r="CR3566" s="5" t="s">
        <v>735</v>
      </c>
      <c r="CS3566" s="5" t="s">
        <v>307</v>
      </c>
      <c r="CT3566" s="5" t="s">
        <v>307</v>
      </c>
      <c r="CU3566" s="5" t="s">
        <v>260</v>
      </c>
      <c r="CV3566" s="5" t="s">
        <v>612</v>
      </c>
      <c r="CW3566" s="8">
        <f>1</f>
        <v>1</v>
      </c>
      <c r="CX3566" s="7">
        <f>1</f>
        <v>1</v>
      </c>
      <c r="CY3566" s="7">
        <f>0</f>
        <v>0</v>
      </c>
      <c r="DA3566" s="7">
        <f>1</f>
        <v>1</v>
      </c>
      <c r="DB3566" s="7" t="s">
        <v>240</v>
      </c>
      <c r="DC3566" s="5" t="s">
        <v>240</v>
      </c>
      <c r="DD3566" s="5" t="s">
        <v>240</v>
      </c>
      <c r="DE3566" s="5" t="s">
        <v>240</v>
      </c>
      <c r="DF3566" s="5" t="s">
        <v>240</v>
      </c>
      <c r="DG3566" s="7">
        <f>0</f>
        <v>0</v>
      </c>
      <c r="DI3566" s="5" t="s">
        <v>240</v>
      </c>
      <c r="DJ3566" s="5" t="s">
        <v>240</v>
      </c>
      <c r="DK3566" s="5" t="s">
        <v>240</v>
      </c>
      <c r="DL3566" s="5" t="s">
        <v>240</v>
      </c>
      <c r="DM3566" s="5" t="s">
        <v>240</v>
      </c>
      <c r="DN3566" s="5" t="s">
        <v>240</v>
      </c>
      <c r="DO3566" s="7" t="s">
        <v>240</v>
      </c>
      <c r="DP3566" s="5" t="s">
        <v>240</v>
      </c>
      <c r="DQ3566" s="5" t="s">
        <v>240</v>
      </c>
      <c r="DR3566" s="5" t="s">
        <v>731</v>
      </c>
      <c r="DS3566" s="5" t="s">
        <v>731</v>
      </c>
      <c r="DT3566" s="5" t="s">
        <v>240</v>
      </c>
      <c r="DU3566" s="5" t="s">
        <v>240</v>
      </c>
      <c r="DV3566" s="5" t="s">
        <v>3683</v>
      </c>
      <c r="DW3566" s="5" t="s">
        <v>378</v>
      </c>
      <c r="DX3566" s="5" t="s">
        <v>240</v>
      </c>
      <c r="DY3566" s="5" t="s">
        <v>240</v>
      </c>
      <c r="DZ3566" s="5" t="s">
        <v>240</v>
      </c>
      <c r="EA3566" s="5" t="s">
        <v>240</v>
      </c>
      <c r="EB3566" s="5" t="s">
        <v>240</v>
      </c>
      <c r="EC3566" s="5" t="s">
        <v>240</v>
      </c>
      <c r="ED3566" s="5" t="s">
        <v>240</v>
      </c>
      <c r="EE3566" s="5" t="s">
        <v>240</v>
      </c>
      <c r="EF3566" s="5" t="s">
        <v>240</v>
      </c>
      <c r="EG3566" s="5" t="s">
        <v>240</v>
      </c>
      <c r="EH3566" s="5" t="s">
        <v>240</v>
      </c>
      <c r="EI3566" s="5" t="s">
        <v>240</v>
      </c>
      <c r="EJ3566" s="5" t="s">
        <v>240</v>
      </c>
      <c r="EK3566" s="5" t="s">
        <v>240</v>
      </c>
      <c r="EL3566" s="5" t="s">
        <v>240</v>
      </c>
      <c r="EM3566" s="5" t="s">
        <v>240</v>
      </c>
      <c r="EN3566" s="5" t="s">
        <v>240</v>
      </c>
      <c r="EO3566" s="5" t="s">
        <v>240</v>
      </c>
      <c r="EP3566" s="5" t="s">
        <v>240</v>
      </c>
      <c r="EQ3566" s="5" t="s">
        <v>240</v>
      </c>
      <c r="ER3566" s="5" t="s">
        <v>240</v>
      </c>
      <c r="ES3566" s="5" t="s">
        <v>240</v>
      </c>
      <c r="ET3566" s="5" t="s">
        <v>240</v>
      </c>
      <c r="EU3566" s="5" t="s">
        <v>240</v>
      </c>
      <c r="EV3566" s="5" t="s">
        <v>240</v>
      </c>
      <c r="EW3566" s="5" t="s">
        <v>240</v>
      </c>
      <c r="EX3566" s="5" t="s">
        <v>240</v>
      </c>
      <c r="EY3566" s="5" t="s">
        <v>240</v>
      </c>
      <c r="EZ3566" s="5" t="s">
        <v>240</v>
      </c>
      <c r="FA3566" s="5" t="s">
        <v>240</v>
      </c>
      <c r="FB3566" s="5" t="s">
        <v>240</v>
      </c>
      <c r="FC3566" s="5" t="s">
        <v>240</v>
      </c>
      <c r="FD3566" s="5" t="s">
        <v>240</v>
      </c>
      <c r="FE3566" s="5" t="s">
        <v>240</v>
      </c>
      <c r="FF3566" s="5" t="s">
        <v>240</v>
      </c>
      <c r="FG3566" s="5" t="s">
        <v>240</v>
      </c>
      <c r="FH3566" s="5" t="s">
        <v>240</v>
      </c>
      <c r="FI3566" s="5" t="s">
        <v>240</v>
      </c>
      <c r="FJ3566" s="5" t="s">
        <v>240</v>
      </c>
      <c r="FK3566" s="5" t="s">
        <v>240</v>
      </c>
      <c r="FL3566" s="5" t="s">
        <v>240</v>
      </c>
      <c r="FM3566" s="5" t="s">
        <v>240</v>
      </c>
      <c r="FN3566" s="5" t="s">
        <v>240</v>
      </c>
      <c r="FO3566" s="5" t="s">
        <v>240</v>
      </c>
      <c r="FP3566" s="5" t="s">
        <v>240</v>
      </c>
      <c r="FQ3566" s="5" t="s">
        <v>240</v>
      </c>
      <c r="FR3566" s="5" t="s">
        <v>240</v>
      </c>
      <c r="FS3566" s="5" t="s">
        <v>240</v>
      </c>
      <c r="FT3566" s="5" t="s">
        <v>240</v>
      </c>
      <c r="FU3566" s="5" t="s">
        <v>240</v>
      </c>
      <c r="FV3566" s="5" t="s">
        <v>240</v>
      </c>
      <c r="FW3566" s="5" t="s">
        <v>240</v>
      </c>
      <c r="FX3566" s="5" t="s">
        <v>240</v>
      </c>
      <c r="FY3566" s="5" t="s">
        <v>240</v>
      </c>
      <c r="FZ3566" s="5" t="s">
        <v>240</v>
      </c>
      <c r="GA3566" s="5" t="s">
        <v>240</v>
      </c>
      <c r="GB3566" s="5" t="s">
        <v>240</v>
      </c>
      <c r="GC3566" s="5" t="s">
        <v>240</v>
      </c>
      <c r="GD3566" s="5" t="s">
        <v>240</v>
      </c>
      <c r="GE3566" s="5" t="s">
        <v>240</v>
      </c>
      <c r="GF3566" s="5" t="s">
        <v>240</v>
      </c>
      <c r="GG3566" s="5" t="s">
        <v>240</v>
      </c>
      <c r="GH3566" s="5" t="s">
        <v>240</v>
      </c>
      <c r="GI3566" s="5" t="s">
        <v>240</v>
      </c>
      <c r="GJ3566" s="5" t="s">
        <v>240</v>
      </c>
      <c r="GK3566" s="5" t="s">
        <v>240</v>
      </c>
      <c r="GL3566" s="5" t="s">
        <v>240</v>
      </c>
      <c r="GM3566" s="5" t="s">
        <v>240</v>
      </c>
      <c r="GN3566" s="5" t="s">
        <v>240</v>
      </c>
      <c r="GO3566" s="5" t="s">
        <v>240</v>
      </c>
      <c r="GP3566" s="5" t="s">
        <v>240</v>
      </c>
      <c r="GQ3566" s="5" t="s">
        <v>240</v>
      </c>
      <c r="GR3566" s="5" t="s">
        <v>240</v>
      </c>
      <c r="GS3566" s="5" t="s">
        <v>240</v>
      </c>
      <c r="GT3566" s="5" t="s">
        <v>240</v>
      </c>
      <c r="GU3566" s="5" t="s">
        <v>240</v>
      </c>
      <c r="GV3566" s="5" t="s">
        <v>240</v>
      </c>
      <c r="GW3566" s="5" t="s">
        <v>240</v>
      </c>
      <c r="GX3566" s="5" t="s">
        <v>240</v>
      </c>
      <c r="GY3566" s="5" t="s">
        <v>240</v>
      </c>
      <c r="GZ3566" s="5" t="s">
        <v>240</v>
      </c>
      <c r="HA3566" s="5" t="s">
        <v>240</v>
      </c>
      <c r="HB3566" s="5" t="s">
        <v>240</v>
      </c>
      <c r="HC3566" s="5" t="s">
        <v>240</v>
      </c>
      <c r="HD3566" s="5" t="s">
        <v>240</v>
      </c>
      <c r="HE3566" s="5" t="s">
        <v>240</v>
      </c>
      <c r="HF3566" s="5" t="s">
        <v>240</v>
      </c>
      <c r="HG3566" s="5" t="s">
        <v>240</v>
      </c>
      <c r="HH3566" s="5" t="s">
        <v>240</v>
      </c>
      <c r="HI3566" s="5" t="s">
        <v>240</v>
      </c>
      <c r="HJ3566" s="5" t="s">
        <v>240</v>
      </c>
      <c r="HK3566" s="5" t="s">
        <v>240</v>
      </c>
      <c r="HL3566" s="5" t="s">
        <v>240</v>
      </c>
      <c r="HM3566" s="5" t="s">
        <v>240</v>
      </c>
      <c r="HN3566" s="5" t="s">
        <v>240</v>
      </c>
      <c r="HO3566" s="5" t="s">
        <v>312</v>
      </c>
      <c r="HP3566" s="5" t="s">
        <v>240</v>
      </c>
      <c r="HQ3566" s="5" t="s">
        <v>240</v>
      </c>
      <c r="HR3566" s="5" t="s">
        <v>240</v>
      </c>
      <c r="HS3566" s="5" t="s">
        <v>240</v>
      </c>
      <c r="HT3566" s="5" t="s">
        <v>240</v>
      </c>
      <c r="HU3566" s="5" t="s">
        <v>240</v>
      </c>
      <c r="HV3566" s="5" t="s">
        <v>240</v>
      </c>
      <c r="HW3566" s="5" t="s">
        <v>240</v>
      </c>
      <c r="HX3566" s="5" t="s">
        <v>240</v>
      </c>
      <c r="HY3566" s="5" t="s">
        <v>240</v>
      </c>
      <c r="HZ3566" s="5" t="s">
        <v>240</v>
      </c>
      <c r="IA3566" s="5" t="s">
        <v>240</v>
      </c>
      <c r="IB3566" s="5" t="s">
        <v>240</v>
      </c>
      <c r="IC3566" s="5" t="s">
        <v>240</v>
      </c>
      <c r="ID3566" s="5" t="s">
        <v>240</v>
      </c>
      <c r="IE3566" s="5" t="s">
        <v>240</v>
      </c>
      <c r="IF3566" s="5" t="s">
        <v>240</v>
      </c>
    </row>
    <row r="3567" spans="1:240" x14ac:dyDescent="0.4">
      <c r="A3567" s="5">
        <v>9109</v>
      </c>
      <c r="B3567" s="5">
        <v>1</v>
      </c>
      <c r="C3567" s="5">
        <v>1</v>
      </c>
      <c r="D3567" s="5" t="s">
        <v>723</v>
      </c>
      <c r="E3567" s="5" t="s">
        <v>725</v>
      </c>
      <c r="F3567" s="5" t="s">
        <v>254</v>
      </c>
      <c r="G3567" s="5" t="s">
        <v>726</v>
      </c>
      <c r="H3567" s="6" t="s">
        <v>5815</v>
      </c>
      <c r="I3567" s="5" t="s">
        <v>5814</v>
      </c>
      <c r="J3567" s="7">
        <f>1</f>
        <v>1</v>
      </c>
      <c r="K3567" s="5" t="s">
        <v>3682</v>
      </c>
      <c r="L3567" s="7">
        <f>1</f>
        <v>1</v>
      </c>
      <c r="M3567" s="7">
        <f>1</f>
        <v>1</v>
      </c>
      <c r="N3567" s="5" t="s">
        <v>242</v>
      </c>
      <c r="O3567" s="5">
        <v>1</v>
      </c>
      <c r="P3567" s="5" t="s">
        <v>294</v>
      </c>
      <c r="Q3567" s="5" t="s">
        <v>613</v>
      </c>
      <c r="R3567" s="5" t="s">
        <v>240</v>
      </c>
      <c r="S3567" s="5" t="s">
        <v>240</v>
      </c>
      <c r="T3567" s="5" t="s">
        <v>243</v>
      </c>
      <c r="U3567" s="5" t="s">
        <v>724</v>
      </c>
      <c r="V3567" s="5" t="s">
        <v>240</v>
      </c>
      <c r="W3567" s="5" t="s">
        <v>240</v>
      </c>
      <c r="X3567" s="5" t="s">
        <v>240</v>
      </c>
      <c r="Y3567" s="5" t="s">
        <v>240</v>
      </c>
      <c r="Z3567" s="6" t="s">
        <v>298</v>
      </c>
      <c r="AA3567" s="6" t="s">
        <v>240</v>
      </c>
      <c r="AB3567" s="6" t="s">
        <v>240</v>
      </c>
      <c r="AC3567" s="5" t="s">
        <v>240</v>
      </c>
      <c r="AD3567" s="6" t="s">
        <v>240</v>
      </c>
      <c r="AE3567" s="6" t="s">
        <v>299</v>
      </c>
      <c r="AF3567" s="5" t="s">
        <v>727</v>
      </c>
      <c r="AG3567" s="5" t="s">
        <v>260</v>
      </c>
      <c r="AH3567" s="5" t="s">
        <v>240</v>
      </c>
      <c r="AI3567" s="5" t="s">
        <v>240</v>
      </c>
      <c r="AJ3567" s="5" t="s">
        <v>240</v>
      </c>
      <c r="AK3567" s="5" t="s">
        <v>240</v>
      </c>
      <c r="AL3567" s="5" t="s">
        <v>240</v>
      </c>
      <c r="AM3567" s="5" t="s">
        <v>240</v>
      </c>
      <c r="AN3567" s="5" t="s">
        <v>240</v>
      </c>
      <c r="AO3567" s="5" t="s">
        <v>240</v>
      </c>
      <c r="AP3567" s="6" t="s">
        <v>240</v>
      </c>
      <c r="AQ3567" s="6" t="s">
        <v>240</v>
      </c>
      <c r="AR3567" s="6" t="s">
        <v>240</v>
      </c>
      <c r="AS3567" s="6" t="s">
        <v>240</v>
      </c>
      <c r="AT3567" s="5" t="s">
        <v>240</v>
      </c>
      <c r="AU3567" s="5" t="s">
        <v>729</v>
      </c>
      <c r="AV3567" s="5" t="s">
        <v>729</v>
      </c>
      <c r="AW3567" s="5" t="s">
        <v>251</v>
      </c>
      <c r="AX3567" s="5" t="s">
        <v>252</v>
      </c>
      <c r="AY3567" s="5" t="s">
        <v>253</v>
      </c>
      <c r="AZ3567" s="5" t="s">
        <v>240</v>
      </c>
      <c r="BA3567" s="5" t="s">
        <v>255</v>
      </c>
      <c r="BB3567" s="5" t="s">
        <v>731</v>
      </c>
      <c r="BD3567" s="5" t="s">
        <v>240</v>
      </c>
      <c r="BF3567" s="5" t="s">
        <v>732</v>
      </c>
      <c r="BG3567" s="6" t="s">
        <v>733</v>
      </c>
      <c r="BH3567" s="5" t="s">
        <v>734</v>
      </c>
      <c r="BI3567" s="5" t="s">
        <v>734</v>
      </c>
      <c r="BJ3567" s="5" t="s">
        <v>240</v>
      </c>
      <c r="BK3567" s="8">
        <f>2161</f>
        <v>2161</v>
      </c>
      <c r="BL3567" s="7">
        <f>0</f>
        <v>0</v>
      </c>
      <c r="BM3567" s="5" t="s">
        <v>258</v>
      </c>
      <c r="BN3567" s="5" t="s">
        <v>259</v>
      </c>
      <c r="BO3567" s="5" t="s">
        <v>240</v>
      </c>
      <c r="BP3567" s="5" t="s">
        <v>240</v>
      </c>
      <c r="BQ3567" s="5" t="s">
        <v>240</v>
      </c>
      <c r="BR3567" s="5" t="s">
        <v>240</v>
      </c>
      <c r="BS3567" s="5" t="s">
        <v>240</v>
      </c>
      <c r="BT3567" s="5" t="s">
        <v>240</v>
      </c>
      <c r="BU3567" s="5" t="s">
        <v>240</v>
      </c>
      <c r="BV3567" s="5" t="s">
        <v>240</v>
      </c>
      <c r="BW3567" s="6" t="s">
        <v>240</v>
      </c>
      <c r="BX3567" s="5" t="s">
        <v>240</v>
      </c>
      <c r="BY3567" s="5" t="s">
        <v>240</v>
      </c>
      <c r="BZ3567" s="5" t="s">
        <v>240</v>
      </c>
      <c r="CA3567" s="5" t="s">
        <v>259</v>
      </c>
      <c r="CB3567" s="5" t="s">
        <v>240</v>
      </c>
      <c r="CC3567" s="5" t="s">
        <v>240</v>
      </c>
      <c r="CD3567" s="5" t="s">
        <v>240</v>
      </c>
      <c r="CE3567" s="5" t="s">
        <v>240</v>
      </c>
      <c r="CF3567" s="5" t="s">
        <v>240</v>
      </c>
      <c r="CG3567" s="5" t="s">
        <v>617</v>
      </c>
      <c r="CH3567" s="5" t="s">
        <v>305</v>
      </c>
      <c r="CI3567" s="5" t="s">
        <v>240</v>
      </c>
      <c r="CL3567" s="6" t="s">
        <v>261</v>
      </c>
      <c r="CM3567" s="5" t="s">
        <v>262</v>
      </c>
      <c r="CN3567" s="5" t="s">
        <v>263</v>
      </c>
      <c r="CO3567" s="5" t="s">
        <v>264</v>
      </c>
      <c r="CP3567" s="5" t="s">
        <v>240</v>
      </c>
      <c r="CQ3567" s="5">
        <v>0</v>
      </c>
      <c r="CR3567" s="5" t="s">
        <v>735</v>
      </c>
      <c r="CS3567" s="5" t="s">
        <v>307</v>
      </c>
      <c r="CT3567" s="5" t="s">
        <v>307</v>
      </c>
      <c r="CU3567" s="5" t="s">
        <v>260</v>
      </c>
      <c r="CV3567" s="5" t="s">
        <v>240</v>
      </c>
      <c r="CW3567" s="8">
        <f>0</f>
        <v>0</v>
      </c>
      <c r="CX3567" s="7">
        <f>0</f>
        <v>0</v>
      </c>
      <c r="CY3567" s="7">
        <f>0</f>
        <v>0</v>
      </c>
      <c r="DA3567" s="7">
        <f>23771</f>
        <v>23771</v>
      </c>
      <c r="DB3567" s="7" t="s">
        <v>240</v>
      </c>
      <c r="DC3567" s="5" t="s">
        <v>240</v>
      </c>
      <c r="DD3567" s="5" t="s">
        <v>240</v>
      </c>
      <c r="DE3567" s="5" t="s">
        <v>240</v>
      </c>
      <c r="DF3567" s="5" t="s">
        <v>854</v>
      </c>
      <c r="DG3567" s="7">
        <f>0</f>
        <v>0</v>
      </c>
      <c r="DI3567" s="5" t="s">
        <v>737</v>
      </c>
      <c r="DJ3567" s="5" t="s">
        <v>240</v>
      </c>
      <c r="DK3567" s="5" t="s">
        <v>240</v>
      </c>
      <c r="DL3567" s="5" t="s">
        <v>240</v>
      </c>
      <c r="DM3567" s="5" t="s">
        <v>240</v>
      </c>
      <c r="DN3567" s="5" t="s">
        <v>240</v>
      </c>
      <c r="DO3567" s="7" t="s">
        <v>240</v>
      </c>
      <c r="DP3567" s="5" t="s">
        <v>240</v>
      </c>
      <c r="DQ3567" s="5" t="s">
        <v>240</v>
      </c>
      <c r="DR3567" s="5" t="s">
        <v>731</v>
      </c>
      <c r="DS3567" s="5" t="s">
        <v>731</v>
      </c>
      <c r="DT3567" s="5" t="s">
        <v>240</v>
      </c>
      <c r="DU3567" s="5" t="s">
        <v>240</v>
      </c>
      <c r="DV3567" s="5" t="s">
        <v>738</v>
      </c>
      <c r="DW3567" s="5" t="s">
        <v>536</v>
      </c>
      <c r="DX3567" s="5" t="s">
        <v>240</v>
      </c>
      <c r="DY3567" s="5" t="s">
        <v>240</v>
      </c>
      <c r="DZ3567" s="5" t="s">
        <v>240</v>
      </c>
      <c r="EA3567" s="5" t="s">
        <v>240</v>
      </c>
      <c r="EB3567" s="5" t="s">
        <v>240</v>
      </c>
      <c r="EC3567" s="5" t="s">
        <v>240</v>
      </c>
      <c r="ED3567" s="5" t="s">
        <v>240</v>
      </c>
      <c r="EE3567" s="5" t="s">
        <v>240</v>
      </c>
      <c r="EF3567" s="5" t="s">
        <v>240</v>
      </c>
      <c r="EG3567" s="5" t="s">
        <v>240</v>
      </c>
      <c r="EH3567" s="5" t="s">
        <v>240</v>
      </c>
      <c r="EI3567" s="5" t="s">
        <v>240</v>
      </c>
      <c r="EJ3567" s="5" t="s">
        <v>240</v>
      </c>
      <c r="EK3567" s="5" t="s">
        <v>240</v>
      </c>
      <c r="EL3567" s="5" t="s">
        <v>240</v>
      </c>
      <c r="EM3567" s="5" t="s">
        <v>240</v>
      </c>
      <c r="EN3567" s="5" t="s">
        <v>240</v>
      </c>
      <c r="EO3567" s="5" t="s">
        <v>240</v>
      </c>
      <c r="EP3567" s="5" t="s">
        <v>240</v>
      </c>
      <c r="EQ3567" s="5" t="s">
        <v>240</v>
      </c>
      <c r="ER3567" s="5" t="s">
        <v>240</v>
      </c>
      <c r="ES3567" s="5" t="s">
        <v>240</v>
      </c>
      <c r="ET3567" s="5" t="s">
        <v>240</v>
      </c>
      <c r="EU3567" s="5" t="s">
        <v>240</v>
      </c>
      <c r="EV3567" s="5" t="s">
        <v>240</v>
      </c>
      <c r="EW3567" s="5" t="s">
        <v>240</v>
      </c>
      <c r="EX3567" s="5" t="s">
        <v>240</v>
      </c>
      <c r="EY3567" s="5" t="s">
        <v>240</v>
      </c>
      <c r="EZ3567" s="5" t="s">
        <v>240</v>
      </c>
      <c r="FA3567" s="5" t="s">
        <v>240</v>
      </c>
      <c r="FB3567" s="5" t="s">
        <v>240</v>
      </c>
      <c r="FC3567" s="5" t="s">
        <v>240</v>
      </c>
      <c r="FD3567" s="5" t="s">
        <v>240</v>
      </c>
      <c r="FE3567" s="5" t="s">
        <v>240</v>
      </c>
      <c r="FF3567" s="5" t="s">
        <v>240</v>
      </c>
      <c r="FG3567" s="5" t="s">
        <v>240</v>
      </c>
      <c r="FH3567" s="5" t="s">
        <v>240</v>
      </c>
      <c r="FI3567" s="5" t="s">
        <v>240</v>
      </c>
      <c r="FJ3567" s="5" t="s">
        <v>240</v>
      </c>
      <c r="FK3567" s="5" t="s">
        <v>240</v>
      </c>
      <c r="FL3567" s="5" t="s">
        <v>240</v>
      </c>
      <c r="FM3567" s="5" t="s">
        <v>240</v>
      </c>
      <c r="FN3567" s="5" t="s">
        <v>240</v>
      </c>
      <c r="FO3567" s="5" t="s">
        <v>240</v>
      </c>
      <c r="FP3567" s="5" t="s">
        <v>240</v>
      </c>
      <c r="FQ3567" s="5" t="s">
        <v>240</v>
      </c>
      <c r="FR3567" s="5" t="s">
        <v>240</v>
      </c>
      <c r="FS3567" s="5" t="s">
        <v>240</v>
      </c>
      <c r="FT3567" s="5" t="s">
        <v>240</v>
      </c>
      <c r="FU3567" s="5" t="s">
        <v>240</v>
      </c>
      <c r="FV3567" s="5" t="s">
        <v>240</v>
      </c>
      <c r="FW3567" s="5" t="s">
        <v>240</v>
      </c>
      <c r="FX3567" s="5" t="s">
        <v>240</v>
      </c>
      <c r="FY3567" s="5" t="s">
        <v>240</v>
      </c>
      <c r="FZ3567" s="5" t="s">
        <v>240</v>
      </c>
      <c r="GA3567" s="5" t="s">
        <v>240</v>
      </c>
      <c r="GB3567" s="5" t="s">
        <v>240</v>
      </c>
      <c r="GC3567" s="5" t="s">
        <v>240</v>
      </c>
      <c r="GD3567" s="5" t="s">
        <v>240</v>
      </c>
      <c r="GE3567" s="5" t="s">
        <v>240</v>
      </c>
      <c r="GF3567" s="5" t="s">
        <v>240</v>
      </c>
      <c r="GG3567" s="5" t="s">
        <v>240</v>
      </c>
      <c r="GH3567" s="5" t="s">
        <v>240</v>
      </c>
      <c r="GI3567" s="5" t="s">
        <v>240</v>
      </c>
      <c r="GJ3567" s="5" t="s">
        <v>240</v>
      </c>
      <c r="GK3567" s="5" t="s">
        <v>240</v>
      </c>
      <c r="GL3567" s="5" t="s">
        <v>240</v>
      </c>
      <c r="GM3567" s="5" t="s">
        <v>240</v>
      </c>
      <c r="GN3567" s="5" t="s">
        <v>240</v>
      </c>
      <c r="GO3567" s="5" t="s">
        <v>240</v>
      </c>
      <c r="GP3567" s="5" t="s">
        <v>240</v>
      </c>
      <c r="GQ3567" s="5" t="s">
        <v>240</v>
      </c>
      <c r="GR3567" s="5" t="s">
        <v>240</v>
      </c>
      <c r="GS3567" s="5" t="s">
        <v>240</v>
      </c>
      <c r="GT3567" s="5" t="s">
        <v>240</v>
      </c>
      <c r="GU3567" s="5" t="s">
        <v>240</v>
      </c>
      <c r="GV3567" s="5" t="s">
        <v>240</v>
      </c>
      <c r="GW3567" s="5" t="s">
        <v>240</v>
      </c>
      <c r="GX3567" s="5" t="s">
        <v>240</v>
      </c>
      <c r="GY3567" s="5" t="s">
        <v>240</v>
      </c>
      <c r="GZ3567" s="5" t="s">
        <v>240</v>
      </c>
      <c r="HA3567" s="5" t="s">
        <v>240</v>
      </c>
      <c r="HB3567" s="5" t="s">
        <v>240</v>
      </c>
      <c r="HC3567" s="5" t="s">
        <v>240</v>
      </c>
      <c r="HD3567" s="5" t="s">
        <v>240</v>
      </c>
      <c r="HE3567" s="5" t="s">
        <v>240</v>
      </c>
      <c r="HF3567" s="5" t="s">
        <v>240</v>
      </c>
      <c r="HG3567" s="5" t="s">
        <v>240</v>
      </c>
      <c r="HH3567" s="5" t="s">
        <v>240</v>
      </c>
      <c r="HI3567" s="5" t="s">
        <v>240</v>
      </c>
      <c r="HJ3567" s="5" t="s">
        <v>240</v>
      </c>
      <c r="HK3567" s="5" t="s">
        <v>240</v>
      </c>
      <c r="HL3567" s="5" t="s">
        <v>240</v>
      </c>
      <c r="HM3567" s="5" t="s">
        <v>240</v>
      </c>
      <c r="HN3567" s="5" t="s">
        <v>240</v>
      </c>
      <c r="HO3567" s="5" t="s">
        <v>620</v>
      </c>
      <c r="HP3567" s="5" t="s">
        <v>240</v>
      </c>
      <c r="HQ3567" s="5" t="s">
        <v>240</v>
      </c>
      <c r="HR3567" s="5" t="s">
        <v>240</v>
      </c>
      <c r="HS3567" s="5" t="s">
        <v>240</v>
      </c>
      <c r="HT3567" s="5" t="s">
        <v>240</v>
      </c>
      <c r="HU3567" s="5" t="s">
        <v>240</v>
      </c>
      <c r="HV3567" s="5" t="s">
        <v>240</v>
      </c>
      <c r="HW3567" s="5" t="s">
        <v>240</v>
      </c>
      <c r="HX3567" s="5" t="s">
        <v>240</v>
      </c>
      <c r="HY3567" s="5" t="s">
        <v>240</v>
      </c>
      <c r="HZ3567" s="5" t="s">
        <v>240</v>
      </c>
      <c r="IA3567" s="5" t="s">
        <v>240</v>
      </c>
      <c r="IB3567" s="5" t="s">
        <v>240</v>
      </c>
      <c r="IC3567" s="5" t="s">
        <v>240</v>
      </c>
      <c r="ID3567" s="5" t="s">
        <v>240</v>
      </c>
      <c r="IE3567" s="5" t="s">
        <v>240</v>
      </c>
      <c r="IF3567" s="5" t="s">
        <v>240</v>
      </c>
    </row>
    <row r="3568" spans="1:240" x14ac:dyDescent="0.4">
      <c r="A3568" s="5">
        <v>9110</v>
      </c>
      <c r="B3568" s="5">
        <v>1</v>
      </c>
      <c r="C3568" s="5">
        <v>1</v>
      </c>
      <c r="D3568" s="5" t="s">
        <v>723</v>
      </c>
      <c r="E3568" s="5" t="s">
        <v>725</v>
      </c>
      <c r="F3568" s="5" t="s">
        <v>254</v>
      </c>
      <c r="G3568" s="5" t="s">
        <v>726</v>
      </c>
      <c r="H3568" s="6" t="s">
        <v>5813</v>
      </c>
      <c r="I3568" s="5" t="s">
        <v>5812</v>
      </c>
      <c r="J3568" s="7">
        <f>1</f>
        <v>1</v>
      </c>
      <c r="K3568" s="5" t="s">
        <v>3682</v>
      </c>
      <c r="L3568" s="7">
        <f>1</f>
        <v>1</v>
      </c>
      <c r="M3568" s="7">
        <f>1</f>
        <v>1</v>
      </c>
      <c r="N3568" s="5" t="s">
        <v>242</v>
      </c>
      <c r="O3568" s="5">
        <v>1</v>
      </c>
      <c r="P3568" s="5" t="s">
        <v>294</v>
      </c>
      <c r="Q3568" s="5" t="s">
        <v>613</v>
      </c>
      <c r="R3568" s="5" t="s">
        <v>240</v>
      </c>
      <c r="S3568" s="5" t="s">
        <v>240</v>
      </c>
      <c r="T3568" s="5" t="s">
        <v>243</v>
      </c>
      <c r="U3568" s="5" t="s">
        <v>724</v>
      </c>
      <c r="V3568" s="5" t="s">
        <v>240</v>
      </c>
      <c r="W3568" s="5" t="s">
        <v>240</v>
      </c>
      <c r="X3568" s="5" t="s">
        <v>240</v>
      </c>
      <c r="Y3568" s="5" t="s">
        <v>240</v>
      </c>
      <c r="Z3568" s="6" t="s">
        <v>298</v>
      </c>
      <c r="AA3568" s="6" t="s">
        <v>240</v>
      </c>
      <c r="AB3568" s="6" t="s">
        <v>240</v>
      </c>
      <c r="AC3568" s="5" t="s">
        <v>240</v>
      </c>
      <c r="AD3568" s="6" t="s">
        <v>240</v>
      </c>
      <c r="AE3568" s="6" t="s">
        <v>299</v>
      </c>
      <c r="AF3568" s="5" t="s">
        <v>727</v>
      </c>
      <c r="AG3568" s="5" t="s">
        <v>260</v>
      </c>
      <c r="AH3568" s="5" t="s">
        <v>240</v>
      </c>
      <c r="AI3568" s="5" t="s">
        <v>240</v>
      </c>
      <c r="AJ3568" s="5" t="s">
        <v>240</v>
      </c>
      <c r="AK3568" s="5" t="s">
        <v>240</v>
      </c>
      <c r="AL3568" s="5" t="s">
        <v>240</v>
      </c>
      <c r="AM3568" s="5" t="s">
        <v>240</v>
      </c>
      <c r="AN3568" s="5" t="s">
        <v>240</v>
      </c>
      <c r="AO3568" s="5" t="s">
        <v>240</v>
      </c>
      <c r="AP3568" s="6" t="s">
        <v>240</v>
      </c>
      <c r="AQ3568" s="6" t="s">
        <v>240</v>
      </c>
      <c r="AR3568" s="6" t="s">
        <v>240</v>
      </c>
      <c r="AS3568" s="6" t="s">
        <v>240</v>
      </c>
      <c r="AT3568" s="5" t="s">
        <v>240</v>
      </c>
      <c r="AU3568" s="5" t="s">
        <v>729</v>
      </c>
      <c r="AV3568" s="5" t="s">
        <v>729</v>
      </c>
      <c r="AW3568" s="5" t="s">
        <v>251</v>
      </c>
      <c r="AX3568" s="5" t="s">
        <v>252</v>
      </c>
      <c r="AY3568" s="5" t="s">
        <v>253</v>
      </c>
      <c r="AZ3568" s="5" t="s">
        <v>240</v>
      </c>
      <c r="BA3568" s="5" t="s">
        <v>255</v>
      </c>
      <c r="BB3568" s="5" t="s">
        <v>731</v>
      </c>
      <c r="BD3568" s="5" t="s">
        <v>240</v>
      </c>
      <c r="BF3568" s="5" t="s">
        <v>732</v>
      </c>
      <c r="BG3568" s="6" t="s">
        <v>733</v>
      </c>
      <c r="BH3568" s="5" t="s">
        <v>734</v>
      </c>
      <c r="BI3568" s="5" t="s">
        <v>734</v>
      </c>
      <c r="BJ3568" s="5" t="s">
        <v>240</v>
      </c>
      <c r="BK3568" s="8">
        <f>284</f>
        <v>284</v>
      </c>
      <c r="BL3568" s="7">
        <f>0</f>
        <v>0</v>
      </c>
      <c r="BM3568" s="5" t="s">
        <v>258</v>
      </c>
      <c r="BN3568" s="5" t="s">
        <v>259</v>
      </c>
      <c r="BO3568" s="5" t="s">
        <v>240</v>
      </c>
      <c r="BP3568" s="5" t="s">
        <v>240</v>
      </c>
      <c r="BQ3568" s="5" t="s">
        <v>240</v>
      </c>
      <c r="BR3568" s="5" t="s">
        <v>240</v>
      </c>
      <c r="BS3568" s="5" t="s">
        <v>240</v>
      </c>
      <c r="BT3568" s="5" t="s">
        <v>240</v>
      </c>
      <c r="BU3568" s="5" t="s">
        <v>240</v>
      </c>
      <c r="BV3568" s="5" t="s">
        <v>240</v>
      </c>
      <c r="BW3568" s="6" t="s">
        <v>240</v>
      </c>
      <c r="BX3568" s="5" t="s">
        <v>240</v>
      </c>
      <c r="BY3568" s="5" t="s">
        <v>240</v>
      </c>
      <c r="BZ3568" s="5" t="s">
        <v>240</v>
      </c>
      <c r="CA3568" s="5" t="s">
        <v>259</v>
      </c>
      <c r="CB3568" s="5" t="s">
        <v>240</v>
      </c>
      <c r="CC3568" s="5" t="s">
        <v>240</v>
      </c>
      <c r="CD3568" s="5" t="s">
        <v>240</v>
      </c>
      <c r="CE3568" s="5" t="s">
        <v>240</v>
      </c>
      <c r="CF3568" s="5" t="s">
        <v>240</v>
      </c>
      <c r="CG3568" s="5" t="s">
        <v>617</v>
      </c>
      <c r="CH3568" s="5" t="s">
        <v>305</v>
      </c>
      <c r="CI3568" s="5" t="s">
        <v>240</v>
      </c>
      <c r="CL3568" s="6" t="s">
        <v>261</v>
      </c>
      <c r="CM3568" s="5" t="s">
        <v>262</v>
      </c>
      <c r="CN3568" s="5" t="s">
        <v>263</v>
      </c>
      <c r="CO3568" s="5" t="s">
        <v>264</v>
      </c>
      <c r="CP3568" s="5" t="s">
        <v>240</v>
      </c>
      <c r="CQ3568" s="5">
        <v>0</v>
      </c>
      <c r="CR3568" s="5" t="s">
        <v>735</v>
      </c>
      <c r="CS3568" s="5" t="s">
        <v>307</v>
      </c>
      <c r="CT3568" s="5" t="s">
        <v>307</v>
      </c>
      <c r="CU3568" s="5" t="s">
        <v>260</v>
      </c>
      <c r="CV3568" s="5" t="s">
        <v>240</v>
      </c>
      <c r="CW3568" s="8">
        <f>0</f>
        <v>0</v>
      </c>
      <c r="CX3568" s="7">
        <f>0</f>
        <v>0</v>
      </c>
      <c r="CY3568" s="7">
        <f>0</f>
        <v>0</v>
      </c>
      <c r="DA3568" s="7">
        <f>7952</f>
        <v>7952</v>
      </c>
      <c r="DB3568" s="7" t="s">
        <v>240</v>
      </c>
      <c r="DC3568" s="5" t="s">
        <v>240</v>
      </c>
      <c r="DD3568" s="5" t="s">
        <v>240</v>
      </c>
      <c r="DE3568" s="5" t="s">
        <v>240</v>
      </c>
      <c r="DF3568" s="5" t="s">
        <v>450</v>
      </c>
      <c r="DG3568" s="7">
        <f>0</f>
        <v>0</v>
      </c>
      <c r="DI3568" s="5" t="s">
        <v>1320</v>
      </c>
      <c r="DJ3568" s="5" t="s">
        <v>240</v>
      </c>
      <c r="DK3568" s="5" t="s">
        <v>240</v>
      </c>
      <c r="DL3568" s="5" t="s">
        <v>240</v>
      </c>
      <c r="DM3568" s="5" t="s">
        <v>240</v>
      </c>
      <c r="DN3568" s="5" t="s">
        <v>240</v>
      </c>
      <c r="DO3568" s="7" t="s">
        <v>240</v>
      </c>
      <c r="DP3568" s="5" t="s">
        <v>240</v>
      </c>
      <c r="DQ3568" s="5" t="s">
        <v>240</v>
      </c>
      <c r="DR3568" s="5" t="s">
        <v>731</v>
      </c>
      <c r="DS3568" s="5" t="s">
        <v>731</v>
      </c>
      <c r="DT3568" s="5" t="s">
        <v>240</v>
      </c>
      <c r="DU3568" s="5" t="s">
        <v>240</v>
      </c>
      <c r="DV3568" s="5" t="s">
        <v>738</v>
      </c>
      <c r="DW3568" s="5" t="s">
        <v>1223</v>
      </c>
      <c r="DX3568" s="5" t="s">
        <v>240</v>
      </c>
      <c r="DY3568" s="5" t="s">
        <v>240</v>
      </c>
      <c r="DZ3568" s="5" t="s">
        <v>240</v>
      </c>
      <c r="EA3568" s="5" t="s">
        <v>240</v>
      </c>
      <c r="EB3568" s="5" t="s">
        <v>240</v>
      </c>
      <c r="EC3568" s="5" t="s">
        <v>240</v>
      </c>
      <c r="ED3568" s="5" t="s">
        <v>240</v>
      </c>
      <c r="EE3568" s="5" t="s">
        <v>240</v>
      </c>
      <c r="EF3568" s="5" t="s">
        <v>240</v>
      </c>
      <c r="EG3568" s="5" t="s">
        <v>240</v>
      </c>
      <c r="EH3568" s="5" t="s">
        <v>240</v>
      </c>
      <c r="EI3568" s="5" t="s">
        <v>240</v>
      </c>
      <c r="EJ3568" s="5" t="s">
        <v>240</v>
      </c>
      <c r="EK3568" s="5" t="s">
        <v>240</v>
      </c>
      <c r="EL3568" s="5" t="s">
        <v>240</v>
      </c>
      <c r="EM3568" s="5" t="s">
        <v>240</v>
      </c>
      <c r="EN3568" s="5" t="s">
        <v>240</v>
      </c>
      <c r="EO3568" s="5" t="s">
        <v>240</v>
      </c>
      <c r="EP3568" s="5" t="s">
        <v>240</v>
      </c>
      <c r="EQ3568" s="5" t="s">
        <v>240</v>
      </c>
      <c r="ER3568" s="5" t="s">
        <v>240</v>
      </c>
      <c r="ES3568" s="5" t="s">
        <v>240</v>
      </c>
      <c r="ET3568" s="5" t="s">
        <v>240</v>
      </c>
      <c r="EU3568" s="5" t="s">
        <v>240</v>
      </c>
      <c r="EV3568" s="5" t="s">
        <v>240</v>
      </c>
      <c r="EW3568" s="5" t="s">
        <v>240</v>
      </c>
      <c r="EX3568" s="5" t="s">
        <v>240</v>
      </c>
      <c r="EY3568" s="5" t="s">
        <v>240</v>
      </c>
      <c r="EZ3568" s="5" t="s">
        <v>240</v>
      </c>
      <c r="FA3568" s="5" t="s">
        <v>240</v>
      </c>
      <c r="FB3568" s="5" t="s">
        <v>240</v>
      </c>
      <c r="FC3568" s="5" t="s">
        <v>240</v>
      </c>
      <c r="FD3568" s="5" t="s">
        <v>240</v>
      </c>
      <c r="FE3568" s="5" t="s">
        <v>240</v>
      </c>
      <c r="FF3568" s="5" t="s">
        <v>240</v>
      </c>
      <c r="FG3568" s="5" t="s">
        <v>240</v>
      </c>
      <c r="FH3568" s="5" t="s">
        <v>240</v>
      </c>
      <c r="FI3568" s="5" t="s">
        <v>240</v>
      </c>
      <c r="FJ3568" s="5" t="s">
        <v>240</v>
      </c>
      <c r="FK3568" s="5" t="s">
        <v>240</v>
      </c>
      <c r="FL3568" s="5" t="s">
        <v>240</v>
      </c>
      <c r="FM3568" s="5" t="s">
        <v>240</v>
      </c>
      <c r="FN3568" s="5" t="s">
        <v>240</v>
      </c>
      <c r="FO3568" s="5" t="s">
        <v>240</v>
      </c>
      <c r="FP3568" s="5" t="s">
        <v>240</v>
      </c>
      <c r="FQ3568" s="5" t="s">
        <v>240</v>
      </c>
      <c r="FR3568" s="5" t="s">
        <v>240</v>
      </c>
      <c r="FS3568" s="5" t="s">
        <v>240</v>
      </c>
      <c r="FT3568" s="5" t="s">
        <v>240</v>
      </c>
      <c r="FU3568" s="5" t="s">
        <v>240</v>
      </c>
      <c r="FV3568" s="5" t="s">
        <v>240</v>
      </c>
      <c r="FW3568" s="5" t="s">
        <v>240</v>
      </c>
      <c r="FX3568" s="5" t="s">
        <v>240</v>
      </c>
      <c r="FY3568" s="5" t="s">
        <v>240</v>
      </c>
      <c r="FZ3568" s="5" t="s">
        <v>240</v>
      </c>
      <c r="GA3568" s="5" t="s">
        <v>240</v>
      </c>
      <c r="GB3568" s="5" t="s">
        <v>240</v>
      </c>
      <c r="GC3568" s="5" t="s">
        <v>240</v>
      </c>
      <c r="GD3568" s="5" t="s">
        <v>240</v>
      </c>
      <c r="GE3568" s="5" t="s">
        <v>240</v>
      </c>
      <c r="GF3568" s="5" t="s">
        <v>240</v>
      </c>
      <c r="GG3568" s="5" t="s">
        <v>240</v>
      </c>
      <c r="GH3568" s="5" t="s">
        <v>240</v>
      </c>
      <c r="GI3568" s="5" t="s">
        <v>240</v>
      </c>
      <c r="GJ3568" s="5" t="s">
        <v>240</v>
      </c>
      <c r="GK3568" s="5" t="s">
        <v>240</v>
      </c>
      <c r="GL3568" s="5" t="s">
        <v>240</v>
      </c>
      <c r="GM3568" s="5" t="s">
        <v>240</v>
      </c>
      <c r="GN3568" s="5" t="s">
        <v>240</v>
      </c>
      <c r="GO3568" s="5" t="s">
        <v>240</v>
      </c>
      <c r="GP3568" s="5" t="s">
        <v>240</v>
      </c>
      <c r="GQ3568" s="5" t="s">
        <v>240</v>
      </c>
      <c r="GR3568" s="5" t="s">
        <v>240</v>
      </c>
      <c r="GS3568" s="5" t="s">
        <v>240</v>
      </c>
      <c r="GT3568" s="5" t="s">
        <v>240</v>
      </c>
      <c r="GU3568" s="5" t="s">
        <v>240</v>
      </c>
      <c r="GV3568" s="5" t="s">
        <v>240</v>
      </c>
      <c r="GW3568" s="5" t="s">
        <v>240</v>
      </c>
      <c r="GX3568" s="5" t="s">
        <v>240</v>
      </c>
      <c r="GY3568" s="5" t="s">
        <v>240</v>
      </c>
      <c r="GZ3568" s="5" t="s">
        <v>240</v>
      </c>
      <c r="HA3568" s="5" t="s">
        <v>240</v>
      </c>
      <c r="HB3568" s="5" t="s">
        <v>240</v>
      </c>
      <c r="HC3568" s="5" t="s">
        <v>240</v>
      </c>
      <c r="HD3568" s="5" t="s">
        <v>240</v>
      </c>
      <c r="HE3568" s="5" t="s">
        <v>240</v>
      </c>
      <c r="HF3568" s="5" t="s">
        <v>240</v>
      </c>
      <c r="HG3568" s="5" t="s">
        <v>240</v>
      </c>
      <c r="HH3568" s="5" t="s">
        <v>240</v>
      </c>
      <c r="HI3568" s="5" t="s">
        <v>240</v>
      </c>
      <c r="HJ3568" s="5" t="s">
        <v>240</v>
      </c>
      <c r="HK3568" s="5" t="s">
        <v>240</v>
      </c>
      <c r="HL3568" s="5" t="s">
        <v>240</v>
      </c>
      <c r="HM3568" s="5" t="s">
        <v>240</v>
      </c>
      <c r="HN3568" s="5" t="s">
        <v>240</v>
      </c>
      <c r="HO3568" s="5" t="s">
        <v>312</v>
      </c>
      <c r="HP3568" s="5" t="s">
        <v>240</v>
      </c>
      <c r="HQ3568" s="5" t="s">
        <v>240</v>
      </c>
      <c r="HR3568" s="5" t="s">
        <v>240</v>
      </c>
      <c r="HS3568" s="5" t="s">
        <v>240</v>
      </c>
      <c r="HT3568" s="5" t="s">
        <v>240</v>
      </c>
      <c r="HU3568" s="5" t="s">
        <v>240</v>
      </c>
      <c r="HV3568" s="5" t="s">
        <v>240</v>
      </c>
      <c r="HW3568" s="5" t="s">
        <v>240</v>
      </c>
      <c r="HX3568" s="5" t="s">
        <v>240</v>
      </c>
      <c r="HY3568" s="5" t="s">
        <v>240</v>
      </c>
      <c r="HZ3568" s="5" t="s">
        <v>240</v>
      </c>
      <c r="IA3568" s="5" t="s">
        <v>240</v>
      </c>
      <c r="IB3568" s="5" t="s">
        <v>240</v>
      </c>
      <c r="IC3568" s="5" t="s">
        <v>240</v>
      </c>
      <c r="ID3568" s="5" t="s">
        <v>240</v>
      </c>
      <c r="IE3568" s="5" t="s">
        <v>240</v>
      </c>
      <c r="IF3568" s="5" t="s">
        <v>240</v>
      </c>
    </row>
    <row r="3569" spans="1:240" x14ac:dyDescent="0.4">
      <c r="A3569" s="5">
        <v>9111</v>
      </c>
      <c r="B3569" s="5">
        <v>1</v>
      </c>
      <c r="C3569" s="5">
        <v>1</v>
      </c>
      <c r="D3569" s="5" t="s">
        <v>723</v>
      </c>
      <c r="E3569" s="5" t="s">
        <v>725</v>
      </c>
      <c r="F3569" s="5" t="s">
        <v>254</v>
      </c>
      <c r="G3569" s="5" t="s">
        <v>726</v>
      </c>
      <c r="H3569" s="6" t="s">
        <v>5811</v>
      </c>
      <c r="I3569" s="5" t="s">
        <v>5810</v>
      </c>
      <c r="J3569" s="7">
        <f>1</f>
        <v>1</v>
      </c>
      <c r="K3569" s="5" t="s">
        <v>3682</v>
      </c>
      <c r="L3569" s="7">
        <f>1</f>
        <v>1</v>
      </c>
      <c r="M3569" s="7">
        <f>1</f>
        <v>1</v>
      </c>
      <c r="N3569" s="5" t="s">
        <v>242</v>
      </c>
      <c r="O3569" s="5">
        <v>1</v>
      </c>
      <c r="P3569" s="5" t="s">
        <v>294</v>
      </c>
      <c r="Q3569" s="5" t="s">
        <v>613</v>
      </c>
      <c r="R3569" s="5" t="s">
        <v>240</v>
      </c>
      <c r="S3569" s="5" t="s">
        <v>240</v>
      </c>
      <c r="T3569" s="5" t="s">
        <v>243</v>
      </c>
      <c r="U3569" s="5" t="s">
        <v>724</v>
      </c>
      <c r="V3569" s="5" t="s">
        <v>240</v>
      </c>
      <c r="W3569" s="5" t="s">
        <v>240</v>
      </c>
      <c r="X3569" s="5" t="s">
        <v>240</v>
      </c>
      <c r="Y3569" s="5" t="s">
        <v>240</v>
      </c>
      <c r="Z3569" s="6" t="s">
        <v>298</v>
      </c>
      <c r="AA3569" s="6" t="s">
        <v>240</v>
      </c>
      <c r="AB3569" s="6" t="s">
        <v>240</v>
      </c>
      <c r="AC3569" s="5" t="s">
        <v>240</v>
      </c>
      <c r="AD3569" s="6" t="s">
        <v>240</v>
      </c>
      <c r="AE3569" s="6" t="s">
        <v>299</v>
      </c>
      <c r="AF3569" s="5" t="s">
        <v>727</v>
      </c>
      <c r="AG3569" s="5" t="s">
        <v>260</v>
      </c>
      <c r="AH3569" s="5" t="s">
        <v>240</v>
      </c>
      <c r="AI3569" s="5" t="s">
        <v>240</v>
      </c>
      <c r="AJ3569" s="5" t="s">
        <v>240</v>
      </c>
      <c r="AK3569" s="5" t="s">
        <v>240</v>
      </c>
      <c r="AL3569" s="5" t="s">
        <v>240</v>
      </c>
      <c r="AM3569" s="5" t="s">
        <v>240</v>
      </c>
      <c r="AN3569" s="5" t="s">
        <v>240</v>
      </c>
      <c r="AO3569" s="5" t="s">
        <v>240</v>
      </c>
      <c r="AP3569" s="6" t="s">
        <v>240</v>
      </c>
      <c r="AQ3569" s="6" t="s">
        <v>240</v>
      </c>
      <c r="AR3569" s="6" t="s">
        <v>240</v>
      </c>
      <c r="AS3569" s="6" t="s">
        <v>240</v>
      </c>
      <c r="AT3569" s="5" t="s">
        <v>240</v>
      </c>
      <c r="AU3569" s="5" t="s">
        <v>729</v>
      </c>
      <c r="AV3569" s="5" t="s">
        <v>729</v>
      </c>
      <c r="AW3569" s="5" t="s">
        <v>251</v>
      </c>
      <c r="AX3569" s="5" t="s">
        <v>252</v>
      </c>
      <c r="AY3569" s="5" t="s">
        <v>253</v>
      </c>
      <c r="AZ3569" s="5" t="s">
        <v>240</v>
      </c>
      <c r="BA3569" s="5" t="s">
        <v>255</v>
      </c>
      <c r="BB3569" s="5" t="s">
        <v>731</v>
      </c>
      <c r="BD3569" s="5" t="s">
        <v>240</v>
      </c>
      <c r="BF3569" s="5" t="s">
        <v>732</v>
      </c>
      <c r="BG3569" s="6" t="s">
        <v>733</v>
      </c>
      <c r="BH3569" s="5" t="s">
        <v>734</v>
      </c>
      <c r="BI3569" s="5" t="s">
        <v>734</v>
      </c>
      <c r="BJ3569" s="5" t="s">
        <v>240</v>
      </c>
      <c r="BK3569" s="8">
        <f>323</f>
        <v>323</v>
      </c>
      <c r="BL3569" s="7">
        <f>0</f>
        <v>0</v>
      </c>
      <c r="BM3569" s="5" t="s">
        <v>258</v>
      </c>
      <c r="BN3569" s="5" t="s">
        <v>259</v>
      </c>
      <c r="BO3569" s="5" t="s">
        <v>240</v>
      </c>
      <c r="BP3569" s="5" t="s">
        <v>240</v>
      </c>
      <c r="BQ3569" s="5" t="s">
        <v>240</v>
      </c>
      <c r="BR3569" s="5" t="s">
        <v>240</v>
      </c>
      <c r="BS3569" s="5" t="s">
        <v>240</v>
      </c>
      <c r="BT3569" s="5" t="s">
        <v>240</v>
      </c>
      <c r="BU3569" s="5" t="s">
        <v>240</v>
      </c>
      <c r="BV3569" s="5" t="s">
        <v>240</v>
      </c>
      <c r="BW3569" s="6" t="s">
        <v>240</v>
      </c>
      <c r="BX3569" s="5" t="s">
        <v>240</v>
      </c>
      <c r="BY3569" s="5" t="s">
        <v>240</v>
      </c>
      <c r="BZ3569" s="5" t="s">
        <v>240</v>
      </c>
      <c r="CA3569" s="5" t="s">
        <v>259</v>
      </c>
      <c r="CB3569" s="5" t="s">
        <v>240</v>
      </c>
      <c r="CC3569" s="5" t="s">
        <v>240</v>
      </c>
      <c r="CD3569" s="5" t="s">
        <v>240</v>
      </c>
      <c r="CE3569" s="5" t="s">
        <v>240</v>
      </c>
      <c r="CF3569" s="5" t="s">
        <v>240</v>
      </c>
      <c r="CG3569" s="5" t="s">
        <v>617</v>
      </c>
      <c r="CH3569" s="5" t="s">
        <v>305</v>
      </c>
      <c r="CI3569" s="5" t="s">
        <v>240</v>
      </c>
      <c r="CL3569" s="6" t="s">
        <v>261</v>
      </c>
      <c r="CM3569" s="5" t="s">
        <v>262</v>
      </c>
      <c r="CN3569" s="5" t="s">
        <v>263</v>
      </c>
      <c r="CO3569" s="5" t="s">
        <v>264</v>
      </c>
      <c r="CP3569" s="5" t="s">
        <v>240</v>
      </c>
      <c r="CQ3569" s="5">
        <v>0</v>
      </c>
      <c r="CR3569" s="5" t="s">
        <v>735</v>
      </c>
      <c r="CS3569" s="5" t="s">
        <v>307</v>
      </c>
      <c r="CT3569" s="5" t="s">
        <v>307</v>
      </c>
      <c r="CU3569" s="5" t="s">
        <v>260</v>
      </c>
      <c r="CV3569" s="5" t="s">
        <v>240</v>
      </c>
      <c r="CW3569" s="8">
        <f>0</f>
        <v>0</v>
      </c>
      <c r="CX3569" s="7">
        <f>0</f>
        <v>0</v>
      </c>
      <c r="CY3569" s="7">
        <f>0</f>
        <v>0</v>
      </c>
      <c r="DA3569" s="7">
        <f>3553</f>
        <v>3553</v>
      </c>
      <c r="DB3569" s="7" t="s">
        <v>240</v>
      </c>
      <c r="DC3569" s="5" t="s">
        <v>240</v>
      </c>
      <c r="DD3569" s="5" t="s">
        <v>240</v>
      </c>
      <c r="DE3569" s="5" t="s">
        <v>240</v>
      </c>
      <c r="DF3569" s="5" t="s">
        <v>450</v>
      </c>
      <c r="DG3569" s="7">
        <f>0</f>
        <v>0</v>
      </c>
      <c r="DI3569" s="5" t="s">
        <v>737</v>
      </c>
      <c r="DJ3569" s="5" t="s">
        <v>240</v>
      </c>
      <c r="DK3569" s="5" t="s">
        <v>240</v>
      </c>
      <c r="DL3569" s="5" t="s">
        <v>240</v>
      </c>
      <c r="DM3569" s="5" t="s">
        <v>240</v>
      </c>
      <c r="DN3569" s="5" t="s">
        <v>240</v>
      </c>
      <c r="DO3569" s="7" t="s">
        <v>240</v>
      </c>
      <c r="DP3569" s="5" t="s">
        <v>240</v>
      </c>
      <c r="DQ3569" s="5" t="s">
        <v>240</v>
      </c>
      <c r="DR3569" s="5" t="s">
        <v>731</v>
      </c>
      <c r="DS3569" s="5" t="s">
        <v>731</v>
      </c>
      <c r="DT3569" s="5" t="s">
        <v>240</v>
      </c>
      <c r="DU3569" s="5" t="s">
        <v>240</v>
      </c>
      <c r="DV3569" s="5" t="s">
        <v>738</v>
      </c>
      <c r="DW3569" s="5" t="s">
        <v>1221</v>
      </c>
      <c r="DX3569" s="5" t="s">
        <v>240</v>
      </c>
      <c r="DY3569" s="5" t="s">
        <v>240</v>
      </c>
      <c r="DZ3569" s="5" t="s">
        <v>240</v>
      </c>
      <c r="EA3569" s="5" t="s">
        <v>240</v>
      </c>
      <c r="EB3569" s="5" t="s">
        <v>240</v>
      </c>
      <c r="EC3569" s="5" t="s">
        <v>240</v>
      </c>
      <c r="ED3569" s="5" t="s">
        <v>240</v>
      </c>
      <c r="EE3569" s="5" t="s">
        <v>240</v>
      </c>
      <c r="EF3569" s="5" t="s">
        <v>240</v>
      </c>
      <c r="EG3569" s="5" t="s">
        <v>240</v>
      </c>
      <c r="EH3569" s="5" t="s">
        <v>240</v>
      </c>
      <c r="EI3569" s="5" t="s">
        <v>240</v>
      </c>
      <c r="EJ3569" s="5" t="s">
        <v>240</v>
      </c>
      <c r="EK3569" s="5" t="s">
        <v>240</v>
      </c>
      <c r="EL3569" s="5" t="s">
        <v>240</v>
      </c>
      <c r="EM3569" s="5" t="s">
        <v>240</v>
      </c>
      <c r="EN3569" s="5" t="s">
        <v>240</v>
      </c>
      <c r="EO3569" s="5" t="s">
        <v>240</v>
      </c>
      <c r="EP3569" s="5" t="s">
        <v>240</v>
      </c>
      <c r="EQ3569" s="5" t="s">
        <v>240</v>
      </c>
      <c r="ER3569" s="5" t="s">
        <v>240</v>
      </c>
      <c r="ES3569" s="5" t="s">
        <v>240</v>
      </c>
      <c r="ET3569" s="5" t="s">
        <v>240</v>
      </c>
      <c r="EU3569" s="5" t="s">
        <v>240</v>
      </c>
      <c r="EV3569" s="5" t="s">
        <v>240</v>
      </c>
      <c r="EW3569" s="5" t="s">
        <v>240</v>
      </c>
      <c r="EX3569" s="5" t="s">
        <v>240</v>
      </c>
      <c r="EY3569" s="5" t="s">
        <v>240</v>
      </c>
      <c r="EZ3569" s="5" t="s">
        <v>240</v>
      </c>
      <c r="FA3569" s="5" t="s">
        <v>240</v>
      </c>
      <c r="FB3569" s="5" t="s">
        <v>240</v>
      </c>
      <c r="FC3569" s="5" t="s">
        <v>240</v>
      </c>
      <c r="FD3569" s="5" t="s">
        <v>240</v>
      </c>
      <c r="FE3569" s="5" t="s">
        <v>240</v>
      </c>
      <c r="FF3569" s="5" t="s">
        <v>240</v>
      </c>
      <c r="FG3569" s="5" t="s">
        <v>240</v>
      </c>
      <c r="FH3569" s="5" t="s">
        <v>240</v>
      </c>
      <c r="FI3569" s="5" t="s">
        <v>240</v>
      </c>
      <c r="FJ3569" s="5" t="s">
        <v>240</v>
      </c>
      <c r="FK3569" s="5" t="s">
        <v>240</v>
      </c>
      <c r="FL3569" s="5" t="s">
        <v>240</v>
      </c>
      <c r="FM3569" s="5" t="s">
        <v>240</v>
      </c>
      <c r="FN3569" s="5" t="s">
        <v>240</v>
      </c>
      <c r="FO3569" s="5" t="s">
        <v>240</v>
      </c>
      <c r="FP3569" s="5" t="s">
        <v>240</v>
      </c>
      <c r="FQ3569" s="5" t="s">
        <v>240</v>
      </c>
      <c r="FR3569" s="5" t="s">
        <v>240</v>
      </c>
      <c r="FS3569" s="5" t="s">
        <v>240</v>
      </c>
      <c r="FT3569" s="5" t="s">
        <v>240</v>
      </c>
      <c r="FU3569" s="5" t="s">
        <v>240</v>
      </c>
      <c r="FV3569" s="5" t="s">
        <v>240</v>
      </c>
      <c r="FW3569" s="5" t="s">
        <v>240</v>
      </c>
      <c r="FX3569" s="5" t="s">
        <v>240</v>
      </c>
      <c r="FY3569" s="5" t="s">
        <v>240</v>
      </c>
      <c r="FZ3569" s="5" t="s">
        <v>240</v>
      </c>
      <c r="GA3569" s="5" t="s">
        <v>240</v>
      </c>
      <c r="GB3569" s="5" t="s">
        <v>240</v>
      </c>
      <c r="GC3569" s="5" t="s">
        <v>240</v>
      </c>
      <c r="GD3569" s="5" t="s">
        <v>240</v>
      </c>
      <c r="GE3569" s="5" t="s">
        <v>240</v>
      </c>
      <c r="GF3569" s="5" t="s">
        <v>240</v>
      </c>
      <c r="GG3569" s="5" t="s">
        <v>240</v>
      </c>
      <c r="GH3569" s="5" t="s">
        <v>240</v>
      </c>
      <c r="GI3569" s="5" t="s">
        <v>240</v>
      </c>
      <c r="GJ3569" s="5" t="s">
        <v>240</v>
      </c>
      <c r="GK3569" s="5" t="s">
        <v>240</v>
      </c>
      <c r="GL3569" s="5" t="s">
        <v>240</v>
      </c>
      <c r="GM3569" s="5" t="s">
        <v>240</v>
      </c>
      <c r="GN3569" s="5" t="s">
        <v>240</v>
      </c>
      <c r="GO3569" s="5" t="s">
        <v>240</v>
      </c>
      <c r="GP3569" s="5" t="s">
        <v>240</v>
      </c>
      <c r="GQ3569" s="5" t="s">
        <v>240</v>
      </c>
      <c r="GR3569" s="5" t="s">
        <v>240</v>
      </c>
      <c r="GS3569" s="5" t="s">
        <v>240</v>
      </c>
      <c r="GT3569" s="5" t="s">
        <v>240</v>
      </c>
      <c r="GU3569" s="5" t="s">
        <v>240</v>
      </c>
      <c r="GV3569" s="5" t="s">
        <v>240</v>
      </c>
      <c r="GW3569" s="5" t="s">
        <v>240</v>
      </c>
      <c r="GX3569" s="5" t="s">
        <v>240</v>
      </c>
      <c r="GY3569" s="5" t="s">
        <v>240</v>
      </c>
      <c r="GZ3569" s="5" t="s">
        <v>240</v>
      </c>
      <c r="HA3569" s="5" t="s">
        <v>240</v>
      </c>
      <c r="HB3569" s="5" t="s">
        <v>240</v>
      </c>
      <c r="HC3569" s="5" t="s">
        <v>240</v>
      </c>
      <c r="HD3569" s="5" t="s">
        <v>240</v>
      </c>
      <c r="HE3569" s="5" t="s">
        <v>240</v>
      </c>
      <c r="HF3569" s="5" t="s">
        <v>240</v>
      </c>
      <c r="HG3569" s="5" t="s">
        <v>240</v>
      </c>
      <c r="HH3569" s="5" t="s">
        <v>240</v>
      </c>
      <c r="HI3569" s="5" t="s">
        <v>240</v>
      </c>
      <c r="HJ3569" s="5" t="s">
        <v>240</v>
      </c>
      <c r="HK3569" s="5" t="s">
        <v>240</v>
      </c>
      <c r="HL3569" s="5" t="s">
        <v>240</v>
      </c>
      <c r="HM3569" s="5" t="s">
        <v>240</v>
      </c>
      <c r="HN3569" s="5" t="s">
        <v>240</v>
      </c>
      <c r="HO3569" s="5" t="s">
        <v>312</v>
      </c>
      <c r="HP3569" s="5" t="s">
        <v>240</v>
      </c>
      <c r="HQ3569" s="5" t="s">
        <v>240</v>
      </c>
      <c r="HR3569" s="5" t="s">
        <v>240</v>
      </c>
      <c r="HS3569" s="5" t="s">
        <v>240</v>
      </c>
      <c r="HT3569" s="5" t="s">
        <v>240</v>
      </c>
      <c r="HU3569" s="5" t="s">
        <v>240</v>
      </c>
      <c r="HV3569" s="5" t="s">
        <v>240</v>
      </c>
      <c r="HW3569" s="5" t="s">
        <v>240</v>
      </c>
      <c r="HX3569" s="5" t="s">
        <v>240</v>
      </c>
      <c r="HY3569" s="5" t="s">
        <v>240</v>
      </c>
      <c r="HZ3569" s="5" t="s">
        <v>240</v>
      </c>
      <c r="IA3569" s="5" t="s">
        <v>240</v>
      </c>
      <c r="IB3569" s="5" t="s">
        <v>240</v>
      </c>
      <c r="IC3569" s="5" t="s">
        <v>240</v>
      </c>
      <c r="ID3569" s="5" t="s">
        <v>240</v>
      </c>
      <c r="IE3569" s="5" t="s">
        <v>240</v>
      </c>
      <c r="IF3569" s="5" t="s">
        <v>240</v>
      </c>
    </row>
    <row r="3570" spans="1:240" x14ac:dyDescent="0.4">
      <c r="A3570" s="5">
        <v>9112</v>
      </c>
      <c r="B3570" s="5">
        <v>1</v>
      </c>
      <c r="C3570" s="5">
        <v>1</v>
      </c>
      <c r="D3570" s="5" t="s">
        <v>723</v>
      </c>
      <c r="E3570" s="5" t="s">
        <v>725</v>
      </c>
      <c r="F3570" s="5" t="s">
        <v>254</v>
      </c>
      <c r="G3570" s="5" t="s">
        <v>726</v>
      </c>
      <c r="H3570" s="6" t="s">
        <v>5809</v>
      </c>
      <c r="I3570" s="5" t="s">
        <v>5808</v>
      </c>
      <c r="J3570" s="7">
        <f>1</f>
        <v>1</v>
      </c>
      <c r="K3570" s="5" t="s">
        <v>3682</v>
      </c>
      <c r="L3570" s="7">
        <f>1</f>
        <v>1</v>
      </c>
      <c r="M3570" s="7">
        <f>1</f>
        <v>1</v>
      </c>
      <c r="N3570" s="5" t="s">
        <v>242</v>
      </c>
      <c r="O3570" s="5">
        <v>1</v>
      </c>
      <c r="P3570" s="5" t="s">
        <v>294</v>
      </c>
      <c r="Q3570" s="5" t="s">
        <v>3678</v>
      </c>
      <c r="R3570" s="5" t="s">
        <v>240</v>
      </c>
      <c r="S3570" s="5" t="s">
        <v>240</v>
      </c>
      <c r="T3570" s="5" t="s">
        <v>243</v>
      </c>
      <c r="U3570" s="5" t="s">
        <v>244</v>
      </c>
      <c r="V3570" s="5" t="s">
        <v>240</v>
      </c>
      <c r="W3570" s="5" t="s">
        <v>240</v>
      </c>
      <c r="X3570" s="5" t="s">
        <v>240</v>
      </c>
      <c r="Y3570" s="5" t="s">
        <v>240</v>
      </c>
      <c r="Z3570" s="6" t="s">
        <v>298</v>
      </c>
      <c r="AA3570" s="6" t="s">
        <v>240</v>
      </c>
      <c r="AB3570" s="6" t="s">
        <v>240</v>
      </c>
      <c r="AC3570" s="5" t="s">
        <v>240</v>
      </c>
      <c r="AD3570" s="6" t="s">
        <v>240</v>
      </c>
      <c r="AE3570" s="6" t="s">
        <v>299</v>
      </c>
      <c r="AF3570" s="5" t="s">
        <v>248</v>
      </c>
      <c r="AG3570" s="5" t="s">
        <v>249</v>
      </c>
      <c r="AH3570" s="5" t="s">
        <v>240</v>
      </c>
      <c r="AI3570" s="5" t="s">
        <v>240</v>
      </c>
      <c r="AJ3570" s="5" t="s">
        <v>240</v>
      </c>
      <c r="AK3570" s="5" t="s">
        <v>240</v>
      </c>
      <c r="AL3570" s="5" t="s">
        <v>240</v>
      </c>
      <c r="AM3570" s="5" t="s">
        <v>240</v>
      </c>
      <c r="AN3570" s="5" t="s">
        <v>240</v>
      </c>
      <c r="AO3570" s="5" t="s">
        <v>240</v>
      </c>
      <c r="AP3570" s="6" t="s">
        <v>240</v>
      </c>
      <c r="AQ3570" s="6" t="s">
        <v>240</v>
      </c>
      <c r="AR3570" s="6" t="s">
        <v>240</v>
      </c>
      <c r="AS3570" s="6" t="s">
        <v>240</v>
      </c>
      <c r="AT3570" s="5" t="s">
        <v>240</v>
      </c>
      <c r="AU3570" s="5" t="s">
        <v>729</v>
      </c>
      <c r="AV3570" s="5" t="s">
        <v>729</v>
      </c>
      <c r="AW3570" s="5" t="s">
        <v>251</v>
      </c>
      <c r="AX3570" s="5" t="s">
        <v>252</v>
      </c>
      <c r="AY3570" s="5" t="s">
        <v>253</v>
      </c>
      <c r="AZ3570" s="5" t="s">
        <v>240</v>
      </c>
      <c r="BA3570" s="5" t="s">
        <v>255</v>
      </c>
      <c r="BB3570" s="5" t="s">
        <v>731</v>
      </c>
      <c r="BD3570" s="5" t="s">
        <v>240</v>
      </c>
      <c r="BF3570" s="5" t="s">
        <v>732</v>
      </c>
      <c r="BG3570" s="6" t="s">
        <v>733</v>
      </c>
      <c r="BH3570" s="5" t="s">
        <v>734</v>
      </c>
      <c r="BI3570" s="5" t="s">
        <v>734</v>
      </c>
      <c r="BJ3570" s="5" t="s">
        <v>240</v>
      </c>
      <c r="BK3570" s="7">
        <f>1</f>
        <v>1</v>
      </c>
      <c r="BL3570" s="7">
        <f>1</f>
        <v>1</v>
      </c>
      <c r="BM3570" s="5" t="s">
        <v>258</v>
      </c>
      <c r="BN3570" s="5" t="s">
        <v>259</v>
      </c>
      <c r="BO3570" s="5" t="s">
        <v>240</v>
      </c>
      <c r="BP3570" s="5" t="s">
        <v>240</v>
      </c>
      <c r="BQ3570" s="5" t="s">
        <v>240</v>
      </c>
      <c r="BR3570" s="5" t="s">
        <v>240</v>
      </c>
      <c r="BS3570" s="5" t="s">
        <v>240</v>
      </c>
      <c r="BT3570" s="5" t="s">
        <v>240</v>
      </c>
      <c r="BU3570" s="5" t="s">
        <v>240</v>
      </c>
      <c r="BV3570" s="5" t="s">
        <v>240</v>
      </c>
      <c r="BW3570" s="6" t="s">
        <v>240</v>
      </c>
      <c r="BX3570" s="5" t="s">
        <v>240</v>
      </c>
      <c r="BY3570" s="5" t="s">
        <v>240</v>
      </c>
      <c r="BZ3570" s="5" t="s">
        <v>240</v>
      </c>
      <c r="CA3570" s="5" t="s">
        <v>259</v>
      </c>
      <c r="CB3570" s="5" t="s">
        <v>240</v>
      </c>
      <c r="CC3570" s="5" t="s">
        <v>240</v>
      </c>
      <c r="CD3570" s="5" t="s">
        <v>240</v>
      </c>
      <c r="CE3570" s="5" t="s">
        <v>240</v>
      </c>
      <c r="CF3570" s="5" t="s">
        <v>240</v>
      </c>
      <c r="CG3570" s="5" t="s">
        <v>304</v>
      </c>
      <c r="CH3570" s="5" t="s">
        <v>305</v>
      </c>
      <c r="CI3570" s="5" t="s">
        <v>240</v>
      </c>
      <c r="CK3570" s="5" t="s">
        <v>3681</v>
      </c>
      <c r="CL3570" s="6" t="s">
        <v>261</v>
      </c>
      <c r="CM3570" s="5" t="s">
        <v>262</v>
      </c>
      <c r="CN3570" s="5" t="s">
        <v>263</v>
      </c>
      <c r="CO3570" s="5" t="s">
        <v>264</v>
      </c>
      <c r="CP3570" s="5" t="s">
        <v>240</v>
      </c>
      <c r="CQ3570" s="5">
        <v>0</v>
      </c>
      <c r="CR3570" s="5" t="s">
        <v>735</v>
      </c>
      <c r="CS3570" s="5" t="s">
        <v>307</v>
      </c>
      <c r="CT3570" s="5" t="s">
        <v>307</v>
      </c>
      <c r="CU3570" s="5" t="s">
        <v>260</v>
      </c>
      <c r="CV3570" s="5" t="s">
        <v>612</v>
      </c>
      <c r="CW3570" s="8">
        <f>1</f>
        <v>1</v>
      </c>
      <c r="CX3570" s="7">
        <f>1</f>
        <v>1</v>
      </c>
      <c r="CY3570" s="7">
        <f>0</f>
        <v>0</v>
      </c>
      <c r="DA3570" s="7">
        <f>1</f>
        <v>1</v>
      </c>
      <c r="DB3570" s="7" t="s">
        <v>240</v>
      </c>
      <c r="DC3570" s="5" t="s">
        <v>240</v>
      </c>
      <c r="DD3570" s="5" t="s">
        <v>240</v>
      </c>
      <c r="DE3570" s="5" t="s">
        <v>240</v>
      </c>
      <c r="DF3570" s="5" t="s">
        <v>240</v>
      </c>
      <c r="DG3570" s="7">
        <f>0</f>
        <v>0</v>
      </c>
      <c r="DI3570" s="5" t="s">
        <v>240</v>
      </c>
      <c r="DJ3570" s="5" t="s">
        <v>240</v>
      </c>
      <c r="DK3570" s="5" t="s">
        <v>240</v>
      </c>
      <c r="DL3570" s="5" t="s">
        <v>240</v>
      </c>
      <c r="DM3570" s="5" t="s">
        <v>240</v>
      </c>
      <c r="DN3570" s="5" t="s">
        <v>240</v>
      </c>
      <c r="DO3570" s="7" t="s">
        <v>240</v>
      </c>
      <c r="DP3570" s="5" t="s">
        <v>240</v>
      </c>
      <c r="DQ3570" s="5" t="s">
        <v>240</v>
      </c>
      <c r="DR3570" s="5" t="s">
        <v>731</v>
      </c>
      <c r="DS3570" s="5" t="s">
        <v>731</v>
      </c>
      <c r="DT3570" s="5" t="s">
        <v>240</v>
      </c>
      <c r="DU3570" s="5" t="s">
        <v>240</v>
      </c>
      <c r="DV3570" s="5" t="s">
        <v>3683</v>
      </c>
      <c r="DW3570" s="5" t="s">
        <v>668</v>
      </c>
      <c r="DX3570" s="5" t="s">
        <v>240</v>
      </c>
      <c r="DY3570" s="5" t="s">
        <v>240</v>
      </c>
      <c r="DZ3570" s="5" t="s">
        <v>240</v>
      </c>
      <c r="EA3570" s="5" t="s">
        <v>240</v>
      </c>
      <c r="EB3570" s="5" t="s">
        <v>240</v>
      </c>
      <c r="EC3570" s="5" t="s">
        <v>240</v>
      </c>
      <c r="ED3570" s="5" t="s">
        <v>240</v>
      </c>
      <c r="EE3570" s="5" t="s">
        <v>240</v>
      </c>
      <c r="EF3570" s="5" t="s">
        <v>240</v>
      </c>
      <c r="EG3570" s="5" t="s">
        <v>240</v>
      </c>
      <c r="EH3570" s="5" t="s">
        <v>240</v>
      </c>
      <c r="EI3570" s="5" t="s">
        <v>240</v>
      </c>
      <c r="EJ3570" s="5" t="s">
        <v>240</v>
      </c>
      <c r="EK3570" s="5" t="s">
        <v>240</v>
      </c>
      <c r="EL3570" s="5" t="s">
        <v>240</v>
      </c>
      <c r="EM3570" s="5" t="s">
        <v>240</v>
      </c>
      <c r="EN3570" s="5" t="s">
        <v>240</v>
      </c>
      <c r="EO3570" s="5" t="s">
        <v>240</v>
      </c>
      <c r="EP3570" s="5" t="s">
        <v>240</v>
      </c>
      <c r="EQ3570" s="5" t="s">
        <v>240</v>
      </c>
      <c r="ER3570" s="5" t="s">
        <v>240</v>
      </c>
      <c r="ES3570" s="5" t="s">
        <v>240</v>
      </c>
      <c r="ET3570" s="5" t="s">
        <v>240</v>
      </c>
      <c r="EU3570" s="5" t="s">
        <v>240</v>
      </c>
      <c r="EV3570" s="5" t="s">
        <v>240</v>
      </c>
      <c r="EW3570" s="5" t="s">
        <v>240</v>
      </c>
      <c r="EX3570" s="5" t="s">
        <v>240</v>
      </c>
      <c r="EY3570" s="5" t="s">
        <v>240</v>
      </c>
      <c r="EZ3570" s="5" t="s">
        <v>240</v>
      </c>
      <c r="FA3570" s="5" t="s">
        <v>240</v>
      </c>
      <c r="FB3570" s="5" t="s">
        <v>240</v>
      </c>
      <c r="FC3570" s="5" t="s">
        <v>240</v>
      </c>
      <c r="FD3570" s="5" t="s">
        <v>240</v>
      </c>
      <c r="FE3570" s="5" t="s">
        <v>240</v>
      </c>
      <c r="FF3570" s="5" t="s">
        <v>240</v>
      </c>
      <c r="FG3570" s="5" t="s">
        <v>240</v>
      </c>
      <c r="FH3570" s="5" t="s">
        <v>240</v>
      </c>
      <c r="FI3570" s="5" t="s">
        <v>240</v>
      </c>
      <c r="FJ3570" s="5" t="s">
        <v>240</v>
      </c>
      <c r="FK3570" s="5" t="s">
        <v>240</v>
      </c>
      <c r="FL3570" s="5" t="s">
        <v>240</v>
      </c>
      <c r="FM3570" s="5" t="s">
        <v>240</v>
      </c>
      <c r="FN3570" s="5" t="s">
        <v>240</v>
      </c>
      <c r="FO3570" s="5" t="s">
        <v>240</v>
      </c>
      <c r="FP3570" s="5" t="s">
        <v>240</v>
      </c>
      <c r="FQ3570" s="5" t="s">
        <v>240</v>
      </c>
      <c r="FR3570" s="5" t="s">
        <v>240</v>
      </c>
      <c r="FS3570" s="5" t="s">
        <v>240</v>
      </c>
      <c r="FT3570" s="5" t="s">
        <v>240</v>
      </c>
      <c r="FU3570" s="5" t="s">
        <v>240</v>
      </c>
      <c r="FV3570" s="5" t="s">
        <v>240</v>
      </c>
      <c r="FW3570" s="5" t="s">
        <v>240</v>
      </c>
      <c r="FX3570" s="5" t="s">
        <v>240</v>
      </c>
      <c r="FY3570" s="5" t="s">
        <v>240</v>
      </c>
      <c r="FZ3570" s="5" t="s">
        <v>240</v>
      </c>
      <c r="GA3570" s="5" t="s">
        <v>240</v>
      </c>
      <c r="GB3570" s="5" t="s">
        <v>240</v>
      </c>
      <c r="GC3570" s="5" t="s">
        <v>240</v>
      </c>
      <c r="GD3570" s="5" t="s">
        <v>240</v>
      </c>
      <c r="GE3570" s="5" t="s">
        <v>240</v>
      </c>
      <c r="GF3570" s="5" t="s">
        <v>240</v>
      </c>
      <c r="GG3570" s="5" t="s">
        <v>240</v>
      </c>
      <c r="GH3570" s="5" t="s">
        <v>240</v>
      </c>
      <c r="GI3570" s="5" t="s">
        <v>240</v>
      </c>
      <c r="GJ3570" s="5" t="s">
        <v>240</v>
      </c>
      <c r="GK3570" s="5" t="s">
        <v>240</v>
      </c>
      <c r="GL3570" s="5" t="s">
        <v>240</v>
      </c>
      <c r="GM3570" s="5" t="s">
        <v>240</v>
      </c>
      <c r="GN3570" s="5" t="s">
        <v>240</v>
      </c>
      <c r="GO3570" s="5" t="s">
        <v>240</v>
      </c>
      <c r="GP3570" s="5" t="s">
        <v>240</v>
      </c>
      <c r="GQ3570" s="5" t="s">
        <v>240</v>
      </c>
      <c r="GR3570" s="5" t="s">
        <v>240</v>
      </c>
      <c r="GS3570" s="5" t="s">
        <v>240</v>
      </c>
      <c r="GT3570" s="5" t="s">
        <v>240</v>
      </c>
      <c r="GU3570" s="5" t="s">
        <v>240</v>
      </c>
      <c r="GV3570" s="5" t="s">
        <v>240</v>
      </c>
      <c r="GW3570" s="5" t="s">
        <v>240</v>
      </c>
      <c r="GX3570" s="5" t="s">
        <v>240</v>
      </c>
      <c r="GY3570" s="5" t="s">
        <v>240</v>
      </c>
      <c r="GZ3570" s="5" t="s">
        <v>240</v>
      </c>
      <c r="HA3570" s="5" t="s">
        <v>240</v>
      </c>
      <c r="HB3570" s="5" t="s">
        <v>240</v>
      </c>
      <c r="HC3570" s="5" t="s">
        <v>240</v>
      </c>
      <c r="HD3570" s="5" t="s">
        <v>240</v>
      </c>
      <c r="HE3570" s="5" t="s">
        <v>240</v>
      </c>
      <c r="HF3570" s="5" t="s">
        <v>240</v>
      </c>
      <c r="HG3570" s="5" t="s">
        <v>240</v>
      </c>
      <c r="HH3570" s="5" t="s">
        <v>240</v>
      </c>
      <c r="HI3570" s="5" t="s">
        <v>240</v>
      </c>
      <c r="HJ3570" s="5" t="s">
        <v>240</v>
      </c>
      <c r="HK3570" s="5" t="s">
        <v>240</v>
      </c>
      <c r="HL3570" s="5" t="s">
        <v>240</v>
      </c>
      <c r="HM3570" s="5" t="s">
        <v>240</v>
      </c>
      <c r="HN3570" s="5" t="s">
        <v>240</v>
      </c>
      <c r="HO3570" s="5" t="s">
        <v>312</v>
      </c>
      <c r="HP3570" s="5" t="s">
        <v>240</v>
      </c>
      <c r="HQ3570" s="5" t="s">
        <v>240</v>
      </c>
      <c r="HR3570" s="5" t="s">
        <v>240</v>
      </c>
      <c r="HS3570" s="5" t="s">
        <v>240</v>
      </c>
      <c r="HT3570" s="5" t="s">
        <v>240</v>
      </c>
      <c r="HU3570" s="5" t="s">
        <v>240</v>
      </c>
      <c r="HV3570" s="5" t="s">
        <v>240</v>
      </c>
      <c r="HW3570" s="5" t="s">
        <v>240</v>
      </c>
      <c r="HX3570" s="5" t="s">
        <v>240</v>
      </c>
      <c r="HY3570" s="5" t="s">
        <v>240</v>
      </c>
      <c r="HZ3570" s="5" t="s">
        <v>240</v>
      </c>
      <c r="IA3570" s="5" t="s">
        <v>240</v>
      </c>
      <c r="IB3570" s="5" t="s">
        <v>240</v>
      </c>
      <c r="IC3570" s="5" t="s">
        <v>240</v>
      </c>
      <c r="ID3570" s="5" t="s">
        <v>240</v>
      </c>
      <c r="IE3570" s="5" t="s">
        <v>240</v>
      </c>
      <c r="IF3570" s="5" t="s">
        <v>240</v>
      </c>
    </row>
    <row r="3571" spans="1:240" x14ac:dyDescent="0.4">
      <c r="A3571" s="5">
        <v>9113</v>
      </c>
      <c r="B3571" s="5">
        <v>1</v>
      </c>
      <c r="C3571" s="5">
        <v>1</v>
      </c>
      <c r="D3571" s="5" t="s">
        <v>723</v>
      </c>
      <c r="E3571" s="5" t="s">
        <v>725</v>
      </c>
      <c r="F3571" s="5" t="s">
        <v>254</v>
      </c>
      <c r="G3571" s="5" t="s">
        <v>5806</v>
      </c>
      <c r="H3571" s="6" t="s">
        <v>5807</v>
      </c>
      <c r="I3571" s="5" t="s">
        <v>5805</v>
      </c>
      <c r="J3571" s="7">
        <f>1</f>
        <v>1</v>
      </c>
      <c r="K3571" s="5" t="s">
        <v>3682</v>
      </c>
      <c r="L3571" s="7">
        <f>1</f>
        <v>1</v>
      </c>
      <c r="M3571" s="7">
        <f>1</f>
        <v>1</v>
      </c>
      <c r="N3571" s="5" t="s">
        <v>242</v>
      </c>
      <c r="O3571" s="5">
        <v>1</v>
      </c>
      <c r="P3571" s="5" t="s">
        <v>294</v>
      </c>
      <c r="Q3571" s="5" t="s">
        <v>613</v>
      </c>
      <c r="R3571" s="5" t="s">
        <v>240</v>
      </c>
      <c r="S3571" s="5" t="s">
        <v>240</v>
      </c>
      <c r="T3571" s="5" t="s">
        <v>243</v>
      </c>
      <c r="U3571" s="5" t="s">
        <v>724</v>
      </c>
      <c r="V3571" s="5" t="s">
        <v>240</v>
      </c>
      <c r="W3571" s="5" t="s">
        <v>240</v>
      </c>
      <c r="X3571" s="5" t="s">
        <v>240</v>
      </c>
      <c r="Y3571" s="5" t="s">
        <v>240</v>
      </c>
      <c r="Z3571" s="6" t="s">
        <v>298</v>
      </c>
      <c r="AA3571" s="6" t="s">
        <v>240</v>
      </c>
      <c r="AB3571" s="6" t="s">
        <v>240</v>
      </c>
      <c r="AC3571" s="5" t="s">
        <v>240</v>
      </c>
      <c r="AD3571" s="6" t="s">
        <v>240</v>
      </c>
      <c r="AE3571" s="6" t="s">
        <v>299</v>
      </c>
      <c r="AF3571" s="5" t="s">
        <v>727</v>
      </c>
      <c r="AG3571" s="5" t="s">
        <v>260</v>
      </c>
      <c r="AH3571" s="5" t="s">
        <v>240</v>
      </c>
      <c r="AI3571" s="5" t="s">
        <v>240</v>
      </c>
      <c r="AJ3571" s="5" t="s">
        <v>240</v>
      </c>
      <c r="AK3571" s="5" t="s">
        <v>240</v>
      </c>
      <c r="AL3571" s="5" t="s">
        <v>240</v>
      </c>
      <c r="AM3571" s="5" t="s">
        <v>240</v>
      </c>
      <c r="AN3571" s="5" t="s">
        <v>240</v>
      </c>
      <c r="AO3571" s="5" t="s">
        <v>240</v>
      </c>
      <c r="AP3571" s="6" t="s">
        <v>240</v>
      </c>
      <c r="AQ3571" s="6" t="s">
        <v>240</v>
      </c>
      <c r="AR3571" s="6" t="s">
        <v>240</v>
      </c>
      <c r="AS3571" s="6" t="s">
        <v>240</v>
      </c>
      <c r="AT3571" s="5" t="s">
        <v>240</v>
      </c>
      <c r="AU3571" s="5" t="s">
        <v>729</v>
      </c>
      <c r="AV3571" s="5" t="s">
        <v>729</v>
      </c>
      <c r="AW3571" s="5" t="s">
        <v>251</v>
      </c>
      <c r="AX3571" s="5" t="s">
        <v>252</v>
      </c>
      <c r="AY3571" s="5" t="s">
        <v>253</v>
      </c>
      <c r="AZ3571" s="5" t="s">
        <v>240</v>
      </c>
      <c r="BA3571" s="5" t="s">
        <v>255</v>
      </c>
      <c r="BB3571" s="5" t="s">
        <v>731</v>
      </c>
      <c r="BD3571" s="5" t="s">
        <v>240</v>
      </c>
      <c r="BF3571" s="5" t="s">
        <v>732</v>
      </c>
      <c r="BG3571" s="6" t="s">
        <v>733</v>
      </c>
      <c r="BH3571" s="5" t="s">
        <v>734</v>
      </c>
      <c r="BI3571" s="5" t="s">
        <v>734</v>
      </c>
      <c r="BJ3571" s="5" t="s">
        <v>240</v>
      </c>
      <c r="BK3571" s="8">
        <f>1228</f>
        <v>1228</v>
      </c>
      <c r="BL3571" s="7">
        <f>0</f>
        <v>0</v>
      </c>
      <c r="BM3571" s="5" t="s">
        <v>258</v>
      </c>
      <c r="BN3571" s="5" t="s">
        <v>259</v>
      </c>
      <c r="BO3571" s="5" t="s">
        <v>240</v>
      </c>
      <c r="BP3571" s="5" t="s">
        <v>240</v>
      </c>
      <c r="BQ3571" s="5" t="s">
        <v>240</v>
      </c>
      <c r="BR3571" s="5" t="s">
        <v>240</v>
      </c>
      <c r="BS3571" s="5" t="s">
        <v>240</v>
      </c>
      <c r="BT3571" s="5" t="s">
        <v>240</v>
      </c>
      <c r="BU3571" s="5" t="s">
        <v>240</v>
      </c>
      <c r="BV3571" s="5" t="s">
        <v>240</v>
      </c>
      <c r="BW3571" s="6" t="s">
        <v>240</v>
      </c>
      <c r="BX3571" s="5" t="s">
        <v>240</v>
      </c>
      <c r="BY3571" s="5" t="s">
        <v>240</v>
      </c>
      <c r="BZ3571" s="5" t="s">
        <v>240</v>
      </c>
      <c r="CA3571" s="5" t="s">
        <v>259</v>
      </c>
      <c r="CB3571" s="5" t="s">
        <v>240</v>
      </c>
      <c r="CC3571" s="5" t="s">
        <v>240</v>
      </c>
      <c r="CD3571" s="5" t="s">
        <v>240</v>
      </c>
      <c r="CE3571" s="5" t="s">
        <v>240</v>
      </c>
      <c r="CF3571" s="5" t="s">
        <v>240</v>
      </c>
      <c r="CG3571" s="5" t="s">
        <v>617</v>
      </c>
      <c r="CH3571" s="5" t="s">
        <v>305</v>
      </c>
      <c r="CI3571" s="5" t="s">
        <v>240</v>
      </c>
      <c r="CL3571" s="6" t="s">
        <v>261</v>
      </c>
      <c r="CM3571" s="5" t="s">
        <v>262</v>
      </c>
      <c r="CN3571" s="5" t="s">
        <v>263</v>
      </c>
      <c r="CO3571" s="5" t="s">
        <v>264</v>
      </c>
      <c r="CP3571" s="5" t="s">
        <v>240</v>
      </c>
      <c r="CQ3571" s="5">
        <v>0</v>
      </c>
      <c r="CR3571" s="5" t="s">
        <v>735</v>
      </c>
      <c r="CS3571" s="5" t="s">
        <v>307</v>
      </c>
      <c r="CT3571" s="5" t="s">
        <v>307</v>
      </c>
      <c r="CU3571" s="5" t="s">
        <v>260</v>
      </c>
      <c r="CV3571" s="5" t="s">
        <v>240</v>
      </c>
      <c r="CW3571" s="8">
        <f>0</f>
        <v>0</v>
      </c>
      <c r="CX3571" s="7">
        <f>0</f>
        <v>0</v>
      </c>
      <c r="CY3571" s="7">
        <f>0</f>
        <v>0</v>
      </c>
      <c r="DA3571" s="7">
        <f>13508</f>
        <v>13508</v>
      </c>
      <c r="DB3571" s="7" t="s">
        <v>240</v>
      </c>
      <c r="DC3571" s="5" t="s">
        <v>240</v>
      </c>
      <c r="DD3571" s="5" t="s">
        <v>240</v>
      </c>
      <c r="DE3571" s="5" t="s">
        <v>240</v>
      </c>
      <c r="DF3571" s="5" t="s">
        <v>450</v>
      </c>
      <c r="DG3571" s="7">
        <f>0</f>
        <v>0</v>
      </c>
      <c r="DI3571" s="5" t="s">
        <v>737</v>
      </c>
      <c r="DJ3571" s="5" t="s">
        <v>240</v>
      </c>
      <c r="DK3571" s="5" t="s">
        <v>240</v>
      </c>
      <c r="DL3571" s="5" t="s">
        <v>240</v>
      </c>
      <c r="DM3571" s="5" t="s">
        <v>240</v>
      </c>
      <c r="DN3571" s="5" t="s">
        <v>240</v>
      </c>
      <c r="DO3571" s="7" t="s">
        <v>240</v>
      </c>
      <c r="DP3571" s="5" t="s">
        <v>240</v>
      </c>
      <c r="DQ3571" s="5" t="s">
        <v>240</v>
      </c>
      <c r="DR3571" s="5" t="s">
        <v>731</v>
      </c>
      <c r="DS3571" s="5" t="s">
        <v>731</v>
      </c>
      <c r="DT3571" s="5" t="s">
        <v>240</v>
      </c>
      <c r="DU3571" s="5" t="s">
        <v>240</v>
      </c>
      <c r="DV3571" s="5" t="s">
        <v>738</v>
      </c>
      <c r="DW3571" s="5" t="s">
        <v>265</v>
      </c>
      <c r="DX3571" s="5" t="s">
        <v>240</v>
      </c>
      <c r="DY3571" s="5" t="s">
        <v>240</v>
      </c>
      <c r="DZ3571" s="5" t="s">
        <v>240</v>
      </c>
      <c r="EA3571" s="5" t="s">
        <v>240</v>
      </c>
      <c r="EB3571" s="5" t="s">
        <v>240</v>
      </c>
      <c r="EC3571" s="5" t="s">
        <v>240</v>
      </c>
      <c r="ED3571" s="5" t="s">
        <v>240</v>
      </c>
      <c r="EE3571" s="5" t="s">
        <v>240</v>
      </c>
      <c r="EF3571" s="5" t="s">
        <v>240</v>
      </c>
      <c r="EG3571" s="5" t="s">
        <v>240</v>
      </c>
      <c r="EH3571" s="5" t="s">
        <v>240</v>
      </c>
      <c r="EI3571" s="5" t="s">
        <v>240</v>
      </c>
      <c r="EJ3571" s="5" t="s">
        <v>240</v>
      </c>
      <c r="EK3571" s="5" t="s">
        <v>240</v>
      </c>
      <c r="EL3571" s="5" t="s">
        <v>240</v>
      </c>
      <c r="EM3571" s="5" t="s">
        <v>240</v>
      </c>
      <c r="EN3571" s="5" t="s">
        <v>240</v>
      </c>
      <c r="EO3571" s="5" t="s">
        <v>240</v>
      </c>
      <c r="EP3571" s="5" t="s">
        <v>240</v>
      </c>
      <c r="EQ3571" s="5" t="s">
        <v>240</v>
      </c>
      <c r="ER3571" s="5" t="s">
        <v>240</v>
      </c>
      <c r="ES3571" s="5" t="s">
        <v>240</v>
      </c>
      <c r="ET3571" s="5" t="s">
        <v>240</v>
      </c>
      <c r="EU3571" s="5" t="s">
        <v>240</v>
      </c>
      <c r="EV3571" s="5" t="s">
        <v>240</v>
      </c>
      <c r="EW3571" s="5" t="s">
        <v>240</v>
      </c>
      <c r="EX3571" s="5" t="s">
        <v>240</v>
      </c>
      <c r="EY3571" s="5" t="s">
        <v>240</v>
      </c>
      <c r="EZ3571" s="5" t="s">
        <v>240</v>
      </c>
      <c r="FA3571" s="5" t="s">
        <v>240</v>
      </c>
      <c r="FB3571" s="5" t="s">
        <v>240</v>
      </c>
      <c r="FC3571" s="5" t="s">
        <v>240</v>
      </c>
      <c r="FD3571" s="5" t="s">
        <v>240</v>
      </c>
      <c r="FE3571" s="5" t="s">
        <v>240</v>
      </c>
      <c r="FF3571" s="5" t="s">
        <v>240</v>
      </c>
      <c r="FG3571" s="5" t="s">
        <v>240</v>
      </c>
      <c r="FH3571" s="5" t="s">
        <v>240</v>
      </c>
      <c r="FI3571" s="5" t="s">
        <v>240</v>
      </c>
      <c r="FJ3571" s="5" t="s">
        <v>240</v>
      </c>
      <c r="FK3571" s="5" t="s">
        <v>240</v>
      </c>
      <c r="FL3571" s="5" t="s">
        <v>240</v>
      </c>
      <c r="FM3571" s="5" t="s">
        <v>240</v>
      </c>
      <c r="FN3571" s="5" t="s">
        <v>240</v>
      </c>
      <c r="FO3571" s="5" t="s">
        <v>240</v>
      </c>
      <c r="FP3571" s="5" t="s">
        <v>240</v>
      </c>
      <c r="FQ3571" s="5" t="s">
        <v>240</v>
      </c>
      <c r="FR3571" s="5" t="s">
        <v>240</v>
      </c>
      <c r="FS3571" s="5" t="s">
        <v>240</v>
      </c>
      <c r="FT3571" s="5" t="s">
        <v>240</v>
      </c>
      <c r="FU3571" s="5" t="s">
        <v>240</v>
      </c>
      <c r="FV3571" s="5" t="s">
        <v>240</v>
      </c>
      <c r="FW3571" s="5" t="s">
        <v>240</v>
      </c>
      <c r="FX3571" s="5" t="s">
        <v>240</v>
      </c>
      <c r="FY3571" s="5" t="s">
        <v>240</v>
      </c>
      <c r="FZ3571" s="5" t="s">
        <v>240</v>
      </c>
      <c r="GA3571" s="5" t="s">
        <v>240</v>
      </c>
      <c r="GB3571" s="5" t="s">
        <v>240</v>
      </c>
      <c r="GC3571" s="5" t="s">
        <v>240</v>
      </c>
      <c r="GD3571" s="5" t="s">
        <v>240</v>
      </c>
      <c r="GE3571" s="5" t="s">
        <v>240</v>
      </c>
      <c r="GF3571" s="5" t="s">
        <v>240</v>
      </c>
      <c r="GG3571" s="5" t="s">
        <v>240</v>
      </c>
      <c r="GH3571" s="5" t="s">
        <v>240</v>
      </c>
      <c r="GI3571" s="5" t="s">
        <v>240</v>
      </c>
      <c r="GJ3571" s="5" t="s">
        <v>240</v>
      </c>
      <c r="GK3571" s="5" t="s">
        <v>240</v>
      </c>
      <c r="GL3571" s="5" t="s">
        <v>240</v>
      </c>
      <c r="GM3571" s="5" t="s">
        <v>240</v>
      </c>
      <c r="GN3571" s="5" t="s">
        <v>240</v>
      </c>
      <c r="GO3571" s="5" t="s">
        <v>240</v>
      </c>
      <c r="GP3571" s="5" t="s">
        <v>240</v>
      </c>
      <c r="GQ3571" s="5" t="s">
        <v>240</v>
      </c>
      <c r="GR3571" s="5" t="s">
        <v>240</v>
      </c>
      <c r="GS3571" s="5" t="s">
        <v>240</v>
      </c>
      <c r="GT3571" s="5" t="s">
        <v>240</v>
      </c>
      <c r="GU3571" s="5" t="s">
        <v>240</v>
      </c>
      <c r="GV3571" s="5" t="s">
        <v>240</v>
      </c>
      <c r="GW3571" s="5" t="s">
        <v>240</v>
      </c>
      <c r="GX3571" s="5" t="s">
        <v>240</v>
      </c>
      <c r="GY3571" s="5" t="s">
        <v>240</v>
      </c>
      <c r="GZ3571" s="5" t="s">
        <v>240</v>
      </c>
      <c r="HA3571" s="5" t="s">
        <v>240</v>
      </c>
      <c r="HB3571" s="5" t="s">
        <v>240</v>
      </c>
      <c r="HC3571" s="5" t="s">
        <v>240</v>
      </c>
      <c r="HD3571" s="5" t="s">
        <v>240</v>
      </c>
      <c r="HE3571" s="5" t="s">
        <v>240</v>
      </c>
      <c r="HF3571" s="5" t="s">
        <v>240</v>
      </c>
      <c r="HG3571" s="5" t="s">
        <v>240</v>
      </c>
      <c r="HH3571" s="5" t="s">
        <v>240</v>
      </c>
      <c r="HI3571" s="5" t="s">
        <v>240</v>
      </c>
      <c r="HJ3571" s="5" t="s">
        <v>240</v>
      </c>
      <c r="HK3571" s="5" t="s">
        <v>240</v>
      </c>
      <c r="HL3571" s="5" t="s">
        <v>240</v>
      </c>
      <c r="HM3571" s="5" t="s">
        <v>240</v>
      </c>
      <c r="HN3571" s="5" t="s">
        <v>240</v>
      </c>
      <c r="HO3571" s="5" t="s">
        <v>312</v>
      </c>
      <c r="HP3571" s="5" t="s">
        <v>240</v>
      </c>
      <c r="HQ3571" s="5" t="s">
        <v>240</v>
      </c>
      <c r="HR3571" s="5" t="s">
        <v>240</v>
      </c>
      <c r="HS3571" s="5" t="s">
        <v>240</v>
      </c>
      <c r="HT3571" s="5" t="s">
        <v>240</v>
      </c>
      <c r="HU3571" s="5" t="s">
        <v>240</v>
      </c>
      <c r="HV3571" s="5" t="s">
        <v>240</v>
      </c>
      <c r="HW3571" s="5" t="s">
        <v>240</v>
      </c>
      <c r="HX3571" s="5" t="s">
        <v>240</v>
      </c>
      <c r="HY3571" s="5" t="s">
        <v>240</v>
      </c>
      <c r="HZ3571" s="5" t="s">
        <v>240</v>
      </c>
      <c r="IA3571" s="5" t="s">
        <v>240</v>
      </c>
      <c r="IB3571" s="5" t="s">
        <v>240</v>
      </c>
      <c r="IC3571" s="5" t="s">
        <v>240</v>
      </c>
      <c r="ID3571" s="5" t="s">
        <v>240</v>
      </c>
      <c r="IE3571" s="5" t="s">
        <v>240</v>
      </c>
      <c r="IF3571" s="5" t="s">
        <v>240</v>
      </c>
    </row>
    <row r="3572" spans="1:240" x14ac:dyDescent="0.4">
      <c r="A3572" s="5">
        <v>9114</v>
      </c>
      <c r="B3572" s="5">
        <v>1</v>
      </c>
      <c r="C3572" s="5">
        <v>1</v>
      </c>
      <c r="D3572" s="5" t="s">
        <v>723</v>
      </c>
      <c r="E3572" s="5" t="s">
        <v>725</v>
      </c>
      <c r="F3572" s="5" t="s">
        <v>254</v>
      </c>
      <c r="G3572" s="5" t="s">
        <v>726</v>
      </c>
      <c r="H3572" s="6" t="s">
        <v>5804</v>
      </c>
      <c r="I3572" s="5" t="s">
        <v>5803</v>
      </c>
      <c r="J3572" s="7">
        <f>1</f>
        <v>1</v>
      </c>
      <c r="K3572" s="5" t="s">
        <v>3682</v>
      </c>
      <c r="L3572" s="7">
        <f>1</f>
        <v>1</v>
      </c>
      <c r="M3572" s="7">
        <f>1</f>
        <v>1</v>
      </c>
      <c r="N3572" s="5" t="s">
        <v>242</v>
      </c>
      <c r="O3572" s="5">
        <v>1</v>
      </c>
      <c r="P3572" s="5" t="s">
        <v>294</v>
      </c>
      <c r="Q3572" s="5" t="s">
        <v>613</v>
      </c>
      <c r="R3572" s="5" t="s">
        <v>240</v>
      </c>
      <c r="S3572" s="5" t="s">
        <v>240</v>
      </c>
      <c r="T3572" s="5" t="s">
        <v>243</v>
      </c>
      <c r="U3572" s="5" t="s">
        <v>724</v>
      </c>
      <c r="V3572" s="5" t="s">
        <v>240</v>
      </c>
      <c r="W3572" s="5" t="s">
        <v>240</v>
      </c>
      <c r="X3572" s="5" t="s">
        <v>240</v>
      </c>
      <c r="Y3572" s="5" t="s">
        <v>240</v>
      </c>
      <c r="Z3572" s="6" t="s">
        <v>298</v>
      </c>
      <c r="AA3572" s="6" t="s">
        <v>240</v>
      </c>
      <c r="AB3572" s="6" t="s">
        <v>240</v>
      </c>
      <c r="AC3572" s="5" t="s">
        <v>240</v>
      </c>
      <c r="AD3572" s="6" t="s">
        <v>240</v>
      </c>
      <c r="AE3572" s="6" t="s">
        <v>299</v>
      </c>
      <c r="AF3572" s="5" t="s">
        <v>727</v>
      </c>
      <c r="AG3572" s="5" t="s">
        <v>260</v>
      </c>
      <c r="AH3572" s="5" t="s">
        <v>240</v>
      </c>
      <c r="AI3572" s="5" t="s">
        <v>240</v>
      </c>
      <c r="AJ3572" s="5" t="s">
        <v>240</v>
      </c>
      <c r="AK3572" s="5" t="s">
        <v>240</v>
      </c>
      <c r="AL3572" s="5" t="s">
        <v>240</v>
      </c>
      <c r="AM3572" s="5" t="s">
        <v>240</v>
      </c>
      <c r="AN3572" s="5" t="s">
        <v>240</v>
      </c>
      <c r="AO3572" s="5" t="s">
        <v>240</v>
      </c>
      <c r="AP3572" s="6" t="s">
        <v>240</v>
      </c>
      <c r="AQ3572" s="6" t="s">
        <v>240</v>
      </c>
      <c r="AR3572" s="6" t="s">
        <v>240</v>
      </c>
      <c r="AS3572" s="6" t="s">
        <v>240</v>
      </c>
      <c r="AT3572" s="5" t="s">
        <v>240</v>
      </c>
      <c r="AU3572" s="5" t="s">
        <v>729</v>
      </c>
      <c r="AV3572" s="5" t="s">
        <v>729</v>
      </c>
      <c r="AW3572" s="5" t="s">
        <v>251</v>
      </c>
      <c r="AX3572" s="5" t="s">
        <v>252</v>
      </c>
      <c r="AY3572" s="5" t="s">
        <v>253</v>
      </c>
      <c r="AZ3572" s="5" t="s">
        <v>240</v>
      </c>
      <c r="BA3572" s="5" t="s">
        <v>255</v>
      </c>
      <c r="BB3572" s="5" t="s">
        <v>731</v>
      </c>
      <c r="BD3572" s="5" t="s">
        <v>240</v>
      </c>
      <c r="BF3572" s="5" t="s">
        <v>732</v>
      </c>
      <c r="BG3572" s="6" t="s">
        <v>733</v>
      </c>
      <c r="BH3572" s="5" t="s">
        <v>734</v>
      </c>
      <c r="BI3572" s="5" t="s">
        <v>734</v>
      </c>
      <c r="BJ3572" s="5" t="s">
        <v>240</v>
      </c>
      <c r="BK3572" s="8">
        <f>10</f>
        <v>10</v>
      </c>
      <c r="BL3572" s="7">
        <f>0</f>
        <v>0</v>
      </c>
      <c r="BM3572" s="5" t="s">
        <v>258</v>
      </c>
      <c r="BN3572" s="5" t="s">
        <v>259</v>
      </c>
      <c r="BO3572" s="5" t="s">
        <v>240</v>
      </c>
      <c r="BP3572" s="5" t="s">
        <v>240</v>
      </c>
      <c r="BQ3572" s="5" t="s">
        <v>240</v>
      </c>
      <c r="BR3572" s="5" t="s">
        <v>240</v>
      </c>
      <c r="BS3572" s="5" t="s">
        <v>240</v>
      </c>
      <c r="BT3572" s="5" t="s">
        <v>240</v>
      </c>
      <c r="BU3572" s="5" t="s">
        <v>240</v>
      </c>
      <c r="BV3572" s="5" t="s">
        <v>240</v>
      </c>
      <c r="BW3572" s="6" t="s">
        <v>240</v>
      </c>
      <c r="BX3572" s="5" t="s">
        <v>240</v>
      </c>
      <c r="BY3572" s="5" t="s">
        <v>240</v>
      </c>
      <c r="BZ3572" s="5" t="s">
        <v>240</v>
      </c>
      <c r="CA3572" s="5" t="s">
        <v>259</v>
      </c>
      <c r="CB3572" s="5" t="s">
        <v>240</v>
      </c>
      <c r="CC3572" s="5" t="s">
        <v>240</v>
      </c>
      <c r="CD3572" s="5" t="s">
        <v>240</v>
      </c>
      <c r="CE3572" s="5" t="s">
        <v>240</v>
      </c>
      <c r="CF3572" s="5" t="s">
        <v>240</v>
      </c>
      <c r="CG3572" s="5" t="s">
        <v>617</v>
      </c>
      <c r="CH3572" s="5" t="s">
        <v>305</v>
      </c>
      <c r="CI3572" s="5" t="s">
        <v>240</v>
      </c>
      <c r="CL3572" s="6" t="s">
        <v>261</v>
      </c>
      <c r="CM3572" s="5" t="s">
        <v>262</v>
      </c>
      <c r="CN3572" s="5" t="s">
        <v>263</v>
      </c>
      <c r="CO3572" s="5" t="s">
        <v>264</v>
      </c>
      <c r="CP3572" s="5" t="s">
        <v>240</v>
      </c>
      <c r="CQ3572" s="5">
        <v>0</v>
      </c>
      <c r="CR3572" s="5" t="s">
        <v>735</v>
      </c>
      <c r="CS3572" s="5" t="s">
        <v>307</v>
      </c>
      <c r="CT3572" s="5" t="s">
        <v>307</v>
      </c>
      <c r="CU3572" s="5" t="s">
        <v>260</v>
      </c>
      <c r="CV3572" s="5" t="s">
        <v>240</v>
      </c>
      <c r="CW3572" s="8">
        <f>0</f>
        <v>0</v>
      </c>
      <c r="CX3572" s="7">
        <f>0</f>
        <v>0</v>
      </c>
      <c r="CY3572" s="7">
        <f>0</f>
        <v>0</v>
      </c>
      <c r="DA3572" s="7">
        <f>110</f>
        <v>110</v>
      </c>
      <c r="DB3572" s="7" t="s">
        <v>240</v>
      </c>
      <c r="DC3572" s="5" t="s">
        <v>240</v>
      </c>
      <c r="DD3572" s="5" t="s">
        <v>240</v>
      </c>
      <c r="DE3572" s="5" t="s">
        <v>240</v>
      </c>
      <c r="DF3572" s="5" t="s">
        <v>450</v>
      </c>
      <c r="DG3572" s="7">
        <f>0</f>
        <v>0</v>
      </c>
      <c r="DI3572" s="5" t="s">
        <v>737</v>
      </c>
      <c r="DJ3572" s="5" t="s">
        <v>240</v>
      </c>
      <c r="DK3572" s="5" t="s">
        <v>240</v>
      </c>
      <c r="DL3572" s="5" t="s">
        <v>240</v>
      </c>
      <c r="DM3572" s="5" t="s">
        <v>240</v>
      </c>
      <c r="DN3572" s="5" t="s">
        <v>240</v>
      </c>
      <c r="DO3572" s="7" t="s">
        <v>240</v>
      </c>
      <c r="DP3572" s="5" t="s">
        <v>240</v>
      </c>
      <c r="DQ3572" s="5" t="s">
        <v>240</v>
      </c>
      <c r="DR3572" s="5" t="s">
        <v>731</v>
      </c>
      <c r="DS3572" s="5" t="s">
        <v>731</v>
      </c>
      <c r="DT3572" s="5" t="s">
        <v>240</v>
      </c>
      <c r="DU3572" s="5" t="s">
        <v>240</v>
      </c>
      <c r="DV3572" s="5" t="s">
        <v>738</v>
      </c>
      <c r="DW3572" s="5" t="s">
        <v>652</v>
      </c>
      <c r="DX3572" s="5" t="s">
        <v>240</v>
      </c>
      <c r="DY3572" s="5" t="s">
        <v>240</v>
      </c>
      <c r="DZ3572" s="5" t="s">
        <v>240</v>
      </c>
      <c r="EA3572" s="5" t="s">
        <v>240</v>
      </c>
      <c r="EB3572" s="5" t="s">
        <v>240</v>
      </c>
      <c r="EC3572" s="5" t="s">
        <v>240</v>
      </c>
      <c r="ED3572" s="5" t="s">
        <v>240</v>
      </c>
      <c r="EE3572" s="5" t="s">
        <v>240</v>
      </c>
      <c r="EF3572" s="5" t="s">
        <v>240</v>
      </c>
      <c r="EG3572" s="5" t="s">
        <v>240</v>
      </c>
      <c r="EH3572" s="5" t="s">
        <v>240</v>
      </c>
      <c r="EI3572" s="5" t="s">
        <v>240</v>
      </c>
      <c r="EJ3572" s="5" t="s">
        <v>240</v>
      </c>
      <c r="EK3572" s="5" t="s">
        <v>240</v>
      </c>
      <c r="EL3572" s="5" t="s">
        <v>240</v>
      </c>
      <c r="EM3572" s="5" t="s">
        <v>240</v>
      </c>
      <c r="EN3572" s="5" t="s">
        <v>240</v>
      </c>
      <c r="EO3572" s="5" t="s">
        <v>240</v>
      </c>
      <c r="EP3572" s="5" t="s">
        <v>240</v>
      </c>
      <c r="EQ3572" s="5" t="s">
        <v>240</v>
      </c>
      <c r="ER3572" s="5" t="s">
        <v>240</v>
      </c>
      <c r="ES3572" s="5" t="s">
        <v>240</v>
      </c>
      <c r="ET3572" s="5" t="s">
        <v>240</v>
      </c>
      <c r="EU3572" s="5" t="s">
        <v>240</v>
      </c>
      <c r="EV3572" s="5" t="s">
        <v>240</v>
      </c>
      <c r="EW3572" s="5" t="s">
        <v>240</v>
      </c>
      <c r="EX3572" s="5" t="s">
        <v>240</v>
      </c>
      <c r="EY3572" s="5" t="s">
        <v>240</v>
      </c>
      <c r="EZ3572" s="5" t="s">
        <v>240</v>
      </c>
      <c r="FA3572" s="5" t="s">
        <v>240</v>
      </c>
      <c r="FB3572" s="5" t="s">
        <v>240</v>
      </c>
      <c r="FC3572" s="5" t="s">
        <v>240</v>
      </c>
      <c r="FD3572" s="5" t="s">
        <v>240</v>
      </c>
      <c r="FE3572" s="5" t="s">
        <v>240</v>
      </c>
      <c r="FF3572" s="5" t="s">
        <v>240</v>
      </c>
      <c r="FG3572" s="5" t="s">
        <v>240</v>
      </c>
      <c r="FH3572" s="5" t="s">
        <v>240</v>
      </c>
      <c r="FI3572" s="5" t="s">
        <v>240</v>
      </c>
      <c r="FJ3572" s="5" t="s">
        <v>240</v>
      </c>
      <c r="FK3572" s="5" t="s">
        <v>240</v>
      </c>
      <c r="FL3572" s="5" t="s">
        <v>240</v>
      </c>
      <c r="FM3572" s="5" t="s">
        <v>240</v>
      </c>
      <c r="FN3572" s="5" t="s">
        <v>240</v>
      </c>
      <c r="FO3572" s="5" t="s">
        <v>240</v>
      </c>
      <c r="FP3572" s="5" t="s">
        <v>240</v>
      </c>
      <c r="FQ3572" s="5" t="s">
        <v>240</v>
      </c>
      <c r="FR3572" s="5" t="s">
        <v>240</v>
      </c>
      <c r="FS3572" s="5" t="s">
        <v>240</v>
      </c>
      <c r="FT3572" s="5" t="s">
        <v>240</v>
      </c>
      <c r="FU3572" s="5" t="s">
        <v>240</v>
      </c>
      <c r="FV3572" s="5" t="s">
        <v>240</v>
      </c>
      <c r="FW3572" s="5" t="s">
        <v>240</v>
      </c>
      <c r="FX3572" s="5" t="s">
        <v>240</v>
      </c>
      <c r="FY3572" s="5" t="s">
        <v>240</v>
      </c>
      <c r="FZ3572" s="5" t="s">
        <v>240</v>
      </c>
      <c r="GA3572" s="5" t="s">
        <v>240</v>
      </c>
      <c r="GB3572" s="5" t="s">
        <v>240</v>
      </c>
      <c r="GC3572" s="5" t="s">
        <v>240</v>
      </c>
      <c r="GD3572" s="5" t="s">
        <v>240</v>
      </c>
      <c r="GE3572" s="5" t="s">
        <v>240</v>
      </c>
      <c r="GF3572" s="5" t="s">
        <v>240</v>
      </c>
      <c r="GG3572" s="5" t="s">
        <v>240</v>
      </c>
      <c r="GH3572" s="5" t="s">
        <v>240</v>
      </c>
      <c r="GI3572" s="5" t="s">
        <v>240</v>
      </c>
      <c r="GJ3572" s="5" t="s">
        <v>240</v>
      </c>
      <c r="GK3572" s="5" t="s">
        <v>240</v>
      </c>
      <c r="GL3572" s="5" t="s">
        <v>240</v>
      </c>
      <c r="GM3572" s="5" t="s">
        <v>240</v>
      </c>
      <c r="GN3572" s="5" t="s">
        <v>240</v>
      </c>
      <c r="GO3572" s="5" t="s">
        <v>240</v>
      </c>
      <c r="GP3572" s="5" t="s">
        <v>240</v>
      </c>
      <c r="GQ3572" s="5" t="s">
        <v>240</v>
      </c>
      <c r="GR3572" s="5" t="s">
        <v>240</v>
      </c>
      <c r="GS3572" s="5" t="s">
        <v>240</v>
      </c>
      <c r="GT3572" s="5" t="s">
        <v>240</v>
      </c>
      <c r="GU3572" s="5" t="s">
        <v>240</v>
      </c>
      <c r="GV3572" s="5" t="s">
        <v>240</v>
      </c>
      <c r="GW3572" s="5" t="s">
        <v>240</v>
      </c>
      <c r="GX3572" s="5" t="s">
        <v>240</v>
      </c>
      <c r="GY3572" s="5" t="s">
        <v>240</v>
      </c>
      <c r="GZ3572" s="5" t="s">
        <v>240</v>
      </c>
      <c r="HA3572" s="5" t="s">
        <v>240</v>
      </c>
      <c r="HB3572" s="5" t="s">
        <v>240</v>
      </c>
      <c r="HC3572" s="5" t="s">
        <v>240</v>
      </c>
      <c r="HD3572" s="5" t="s">
        <v>240</v>
      </c>
      <c r="HE3572" s="5" t="s">
        <v>240</v>
      </c>
      <c r="HF3572" s="5" t="s">
        <v>240</v>
      </c>
      <c r="HG3572" s="5" t="s">
        <v>240</v>
      </c>
      <c r="HH3572" s="5" t="s">
        <v>240</v>
      </c>
      <c r="HI3572" s="5" t="s">
        <v>240</v>
      </c>
      <c r="HJ3572" s="5" t="s">
        <v>240</v>
      </c>
      <c r="HK3572" s="5" t="s">
        <v>240</v>
      </c>
      <c r="HL3572" s="5" t="s">
        <v>240</v>
      </c>
      <c r="HM3572" s="5" t="s">
        <v>240</v>
      </c>
      <c r="HN3572" s="5" t="s">
        <v>240</v>
      </c>
      <c r="HO3572" s="5" t="s">
        <v>620</v>
      </c>
      <c r="HP3572" s="5" t="s">
        <v>240</v>
      </c>
      <c r="HQ3572" s="5" t="s">
        <v>240</v>
      </c>
      <c r="HR3572" s="5" t="s">
        <v>240</v>
      </c>
      <c r="HS3572" s="5" t="s">
        <v>240</v>
      </c>
      <c r="HT3572" s="5" t="s">
        <v>240</v>
      </c>
      <c r="HU3572" s="5" t="s">
        <v>240</v>
      </c>
      <c r="HV3572" s="5" t="s">
        <v>240</v>
      </c>
      <c r="HW3572" s="5" t="s">
        <v>240</v>
      </c>
      <c r="HX3572" s="5" t="s">
        <v>240</v>
      </c>
      <c r="HY3572" s="5" t="s">
        <v>240</v>
      </c>
      <c r="HZ3572" s="5" t="s">
        <v>240</v>
      </c>
      <c r="IA3572" s="5" t="s">
        <v>240</v>
      </c>
      <c r="IB3572" s="5" t="s">
        <v>240</v>
      </c>
      <c r="IC3572" s="5" t="s">
        <v>240</v>
      </c>
      <c r="ID3572" s="5" t="s">
        <v>240</v>
      </c>
      <c r="IE3572" s="5" t="s">
        <v>240</v>
      </c>
      <c r="IF3572" s="5" t="s">
        <v>240</v>
      </c>
    </row>
    <row r="3573" spans="1:240" x14ac:dyDescent="0.4">
      <c r="A3573" s="5">
        <v>9115</v>
      </c>
      <c r="B3573" s="5">
        <v>1</v>
      </c>
      <c r="C3573" s="5">
        <v>1</v>
      </c>
      <c r="D3573" s="5" t="s">
        <v>723</v>
      </c>
      <c r="E3573" s="5" t="s">
        <v>725</v>
      </c>
      <c r="F3573" s="5" t="s">
        <v>254</v>
      </c>
      <c r="G3573" s="5" t="s">
        <v>5801</v>
      </c>
      <c r="H3573" s="6" t="s">
        <v>5802</v>
      </c>
      <c r="I3573" s="5" t="s">
        <v>5800</v>
      </c>
      <c r="J3573" s="7">
        <f>1</f>
        <v>1</v>
      </c>
      <c r="K3573" s="5" t="s">
        <v>3682</v>
      </c>
      <c r="L3573" s="7">
        <f>1</f>
        <v>1</v>
      </c>
      <c r="M3573" s="7">
        <f>1</f>
        <v>1</v>
      </c>
      <c r="N3573" s="5" t="s">
        <v>242</v>
      </c>
      <c r="O3573" s="5">
        <v>1</v>
      </c>
      <c r="P3573" s="5" t="s">
        <v>294</v>
      </c>
      <c r="Q3573" s="5" t="s">
        <v>3678</v>
      </c>
      <c r="R3573" s="5" t="s">
        <v>240</v>
      </c>
      <c r="S3573" s="5" t="s">
        <v>240</v>
      </c>
      <c r="T3573" s="5" t="s">
        <v>243</v>
      </c>
      <c r="U3573" s="5" t="s">
        <v>244</v>
      </c>
      <c r="V3573" s="5" t="s">
        <v>240</v>
      </c>
      <c r="W3573" s="5" t="s">
        <v>240</v>
      </c>
      <c r="X3573" s="5" t="s">
        <v>240</v>
      </c>
      <c r="Y3573" s="5" t="s">
        <v>240</v>
      </c>
      <c r="Z3573" s="6" t="s">
        <v>298</v>
      </c>
      <c r="AA3573" s="6" t="s">
        <v>240</v>
      </c>
      <c r="AB3573" s="6" t="s">
        <v>240</v>
      </c>
      <c r="AC3573" s="5" t="s">
        <v>240</v>
      </c>
      <c r="AD3573" s="6" t="s">
        <v>240</v>
      </c>
      <c r="AE3573" s="6" t="s">
        <v>299</v>
      </c>
      <c r="AF3573" s="5" t="s">
        <v>248</v>
      </c>
      <c r="AG3573" s="5" t="s">
        <v>249</v>
      </c>
      <c r="AH3573" s="5" t="s">
        <v>240</v>
      </c>
      <c r="AI3573" s="5" t="s">
        <v>240</v>
      </c>
      <c r="AJ3573" s="5" t="s">
        <v>240</v>
      </c>
      <c r="AK3573" s="5" t="s">
        <v>240</v>
      </c>
      <c r="AL3573" s="5" t="s">
        <v>240</v>
      </c>
      <c r="AM3573" s="5" t="s">
        <v>240</v>
      </c>
      <c r="AN3573" s="5" t="s">
        <v>240</v>
      </c>
      <c r="AO3573" s="5" t="s">
        <v>240</v>
      </c>
      <c r="AP3573" s="6" t="s">
        <v>240</v>
      </c>
      <c r="AQ3573" s="6" t="s">
        <v>240</v>
      </c>
      <c r="AR3573" s="6" t="s">
        <v>240</v>
      </c>
      <c r="AS3573" s="6" t="s">
        <v>240</v>
      </c>
      <c r="AT3573" s="5" t="s">
        <v>240</v>
      </c>
      <c r="AU3573" s="5" t="s">
        <v>729</v>
      </c>
      <c r="AV3573" s="5" t="s">
        <v>729</v>
      </c>
      <c r="AW3573" s="5" t="s">
        <v>251</v>
      </c>
      <c r="AX3573" s="5" t="s">
        <v>252</v>
      </c>
      <c r="AY3573" s="5" t="s">
        <v>253</v>
      </c>
      <c r="AZ3573" s="5" t="s">
        <v>240</v>
      </c>
      <c r="BA3573" s="5" t="s">
        <v>255</v>
      </c>
      <c r="BB3573" s="5" t="s">
        <v>731</v>
      </c>
      <c r="BD3573" s="5" t="s">
        <v>240</v>
      </c>
      <c r="BF3573" s="5" t="s">
        <v>732</v>
      </c>
      <c r="BG3573" s="6" t="s">
        <v>733</v>
      </c>
      <c r="BH3573" s="5" t="s">
        <v>734</v>
      </c>
      <c r="BI3573" s="5" t="s">
        <v>734</v>
      </c>
      <c r="BJ3573" s="5" t="s">
        <v>240</v>
      </c>
      <c r="BK3573" s="7">
        <f>1</f>
        <v>1</v>
      </c>
      <c r="BL3573" s="7">
        <f>1</f>
        <v>1</v>
      </c>
      <c r="BM3573" s="5" t="s">
        <v>258</v>
      </c>
      <c r="BN3573" s="5" t="s">
        <v>259</v>
      </c>
      <c r="BO3573" s="5" t="s">
        <v>240</v>
      </c>
      <c r="BP3573" s="5" t="s">
        <v>240</v>
      </c>
      <c r="BQ3573" s="5" t="s">
        <v>240</v>
      </c>
      <c r="BR3573" s="5" t="s">
        <v>240</v>
      </c>
      <c r="BS3573" s="5" t="s">
        <v>240</v>
      </c>
      <c r="BT3573" s="5" t="s">
        <v>240</v>
      </c>
      <c r="BU3573" s="5" t="s">
        <v>240</v>
      </c>
      <c r="BV3573" s="5" t="s">
        <v>240</v>
      </c>
      <c r="BW3573" s="6" t="s">
        <v>240</v>
      </c>
      <c r="BX3573" s="5" t="s">
        <v>240</v>
      </c>
      <c r="BY3573" s="5" t="s">
        <v>240</v>
      </c>
      <c r="BZ3573" s="5" t="s">
        <v>240</v>
      </c>
      <c r="CA3573" s="5" t="s">
        <v>259</v>
      </c>
      <c r="CB3573" s="5" t="s">
        <v>240</v>
      </c>
      <c r="CC3573" s="5" t="s">
        <v>240</v>
      </c>
      <c r="CD3573" s="5" t="s">
        <v>240</v>
      </c>
      <c r="CE3573" s="5" t="s">
        <v>240</v>
      </c>
      <c r="CF3573" s="5" t="s">
        <v>240</v>
      </c>
      <c r="CG3573" s="5" t="s">
        <v>304</v>
      </c>
      <c r="CH3573" s="5" t="s">
        <v>305</v>
      </c>
      <c r="CI3573" s="5" t="s">
        <v>240</v>
      </c>
      <c r="CK3573" s="5" t="s">
        <v>3681</v>
      </c>
      <c r="CL3573" s="6" t="s">
        <v>261</v>
      </c>
      <c r="CM3573" s="5" t="s">
        <v>262</v>
      </c>
      <c r="CN3573" s="5" t="s">
        <v>263</v>
      </c>
      <c r="CO3573" s="5" t="s">
        <v>264</v>
      </c>
      <c r="CP3573" s="5" t="s">
        <v>240</v>
      </c>
      <c r="CQ3573" s="5">
        <v>0</v>
      </c>
      <c r="CR3573" s="5" t="s">
        <v>735</v>
      </c>
      <c r="CS3573" s="5" t="s">
        <v>307</v>
      </c>
      <c r="CT3573" s="5" t="s">
        <v>307</v>
      </c>
      <c r="CU3573" s="5" t="s">
        <v>260</v>
      </c>
      <c r="CV3573" s="5" t="s">
        <v>612</v>
      </c>
      <c r="CW3573" s="8">
        <f>1</f>
        <v>1</v>
      </c>
      <c r="CX3573" s="7">
        <f>1</f>
        <v>1</v>
      </c>
      <c r="CY3573" s="7">
        <f>0</f>
        <v>0</v>
      </c>
      <c r="DA3573" s="7">
        <f>1</f>
        <v>1</v>
      </c>
      <c r="DB3573" s="7" t="s">
        <v>240</v>
      </c>
      <c r="DC3573" s="5" t="s">
        <v>240</v>
      </c>
      <c r="DD3573" s="5" t="s">
        <v>240</v>
      </c>
      <c r="DE3573" s="5" t="s">
        <v>240</v>
      </c>
      <c r="DF3573" s="5" t="s">
        <v>240</v>
      </c>
      <c r="DG3573" s="7">
        <f>0</f>
        <v>0</v>
      </c>
      <c r="DI3573" s="5" t="s">
        <v>240</v>
      </c>
      <c r="DJ3573" s="5" t="s">
        <v>240</v>
      </c>
      <c r="DK3573" s="5" t="s">
        <v>240</v>
      </c>
      <c r="DL3573" s="5" t="s">
        <v>240</v>
      </c>
      <c r="DM3573" s="5" t="s">
        <v>240</v>
      </c>
      <c r="DN3573" s="5" t="s">
        <v>240</v>
      </c>
      <c r="DO3573" s="7" t="s">
        <v>240</v>
      </c>
      <c r="DP3573" s="5" t="s">
        <v>240</v>
      </c>
      <c r="DQ3573" s="5" t="s">
        <v>240</v>
      </c>
      <c r="DR3573" s="5" t="s">
        <v>731</v>
      </c>
      <c r="DS3573" s="5" t="s">
        <v>731</v>
      </c>
      <c r="DT3573" s="5" t="s">
        <v>240</v>
      </c>
      <c r="DU3573" s="5" t="s">
        <v>240</v>
      </c>
      <c r="DV3573" s="5" t="s">
        <v>3683</v>
      </c>
      <c r="DW3573" s="5" t="s">
        <v>4095</v>
      </c>
      <c r="DX3573" s="5" t="s">
        <v>240</v>
      </c>
      <c r="DY3573" s="5" t="s">
        <v>240</v>
      </c>
      <c r="DZ3573" s="5" t="s">
        <v>240</v>
      </c>
      <c r="EA3573" s="5" t="s">
        <v>240</v>
      </c>
      <c r="EB3573" s="5" t="s">
        <v>240</v>
      </c>
      <c r="EC3573" s="5" t="s">
        <v>240</v>
      </c>
      <c r="ED3573" s="5" t="s">
        <v>240</v>
      </c>
      <c r="EE3573" s="5" t="s">
        <v>240</v>
      </c>
      <c r="EF3573" s="5" t="s">
        <v>240</v>
      </c>
      <c r="EG3573" s="5" t="s">
        <v>240</v>
      </c>
      <c r="EH3573" s="5" t="s">
        <v>240</v>
      </c>
      <c r="EI3573" s="5" t="s">
        <v>240</v>
      </c>
      <c r="EJ3573" s="5" t="s">
        <v>240</v>
      </c>
      <c r="EK3573" s="5" t="s">
        <v>240</v>
      </c>
      <c r="EL3573" s="5" t="s">
        <v>240</v>
      </c>
      <c r="EM3573" s="5" t="s">
        <v>240</v>
      </c>
      <c r="EN3573" s="5" t="s">
        <v>240</v>
      </c>
      <c r="EO3573" s="5" t="s">
        <v>240</v>
      </c>
      <c r="EP3573" s="5" t="s">
        <v>240</v>
      </c>
      <c r="EQ3573" s="5" t="s">
        <v>240</v>
      </c>
      <c r="ER3573" s="5" t="s">
        <v>240</v>
      </c>
      <c r="ES3573" s="5" t="s">
        <v>240</v>
      </c>
      <c r="ET3573" s="5" t="s">
        <v>240</v>
      </c>
      <c r="EU3573" s="5" t="s">
        <v>240</v>
      </c>
      <c r="EV3573" s="5" t="s">
        <v>240</v>
      </c>
      <c r="EW3573" s="5" t="s">
        <v>240</v>
      </c>
      <c r="EX3573" s="5" t="s">
        <v>240</v>
      </c>
      <c r="EY3573" s="5" t="s">
        <v>240</v>
      </c>
      <c r="EZ3573" s="5" t="s">
        <v>240</v>
      </c>
      <c r="FA3573" s="5" t="s">
        <v>240</v>
      </c>
      <c r="FB3573" s="5" t="s">
        <v>240</v>
      </c>
      <c r="FC3573" s="5" t="s">
        <v>240</v>
      </c>
      <c r="FD3573" s="5" t="s">
        <v>240</v>
      </c>
      <c r="FE3573" s="5" t="s">
        <v>240</v>
      </c>
      <c r="FF3573" s="5" t="s">
        <v>240</v>
      </c>
      <c r="FG3573" s="5" t="s">
        <v>240</v>
      </c>
      <c r="FH3573" s="5" t="s">
        <v>240</v>
      </c>
      <c r="FI3573" s="5" t="s">
        <v>240</v>
      </c>
      <c r="FJ3573" s="5" t="s">
        <v>240</v>
      </c>
      <c r="FK3573" s="5" t="s">
        <v>240</v>
      </c>
      <c r="FL3573" s="5" t="s">
        <v>240</v>
      </c>
      <c r="FM3573" s="5" t="s">
        <v>240</v>
      </c>
      <c r="FN3573" s="5" t="s">
        <v>240</v>
      </c>
      <c r="FO3573" s="5" t="s">
        <v>240</v>
      </c>
      <c r="FP3573" s="5" t="s">
        <v>240</v>
      </c>
      <c r="FQ3573" s="5" t="s">
        <v>240</v>
      </c>
      <c r="FR3573" s="5" t="s">
        <v>240</v>
      </c>
      <c r="FS3573" s="5" t="s">
        <v>240</v>
      </c>
      <c r="FT3573" s="5" t="s">
        <v>240</v>
      </c>
      <c r="FU3573" s="5" t="s">
        <v>240</v>
      </c>
      <c r="FV3573" s="5" t="s">
        <v>240</v>
      </c>
      <c r="FW3573" s="5" t="s">
        <v>240</v>
      </c>
      <c r="FX3573" s="5" t="s">
        <v>240</v>
      </c>
      <c r="FY3573" s="5" t="s">
        <v>240</v>
      </c>
      <c r="FZ3573" s="5" t="s">
        <v>240</v>
      </c>
      <c r="GA3573" s="5" t="s">
        <v>240</v>
      </c>
      <c r="GB3573" s="5" t="s">
        <v>240</v>
      </c>
      <c r="GC3573" s="5" t="s">
        <v>240</v>
      </c>
      <c r="GD3573" s="5" t="s">
        <v>240</v>
      </c>
      <c r="GE3573" s="5" t="s">
        <v>240</v>
      </c>
      <c r="GF3573" s="5" t="s">
        <v>240</v>
      </c>
      <c r="GG3573" s="5" t="s">
        <v>240</v>
      </c>
      <c r="GH3573" s="5" t="s">
        <v>240</v>
      </c>
      <c r="GI3573" s="5" t="s">
        <v>240</v>
      </c>
      <c r="GJ3573" s="5" t="s">
        <v>240</v>
      </c>
      <c r="GK3573" s="5" t="s">
        <v>240</v>
      </c>
      <c r="GL3573" s="5" t="s">
        <v>240</v>
      </c>
      <c r="GM3573" s="5" t="s">
        <v>240</v>
      </c>
      <c r="GN3573" s="5" t="s">
        <v>240</v>
      </c>
      <c r="GO3573" s="5" t="s">
        <v>240</v>
      </c>
      <c r="GP3573" s="5" t="s">
        <v>240</v>
      </c>
      <c r="GQ3573" s="5" t="s">
        <v>240</v>
      </c>
      <c r="GR3573" s="5" t="s">
        <v>240</v>
      </c>
      <c r="GS3573" s="5" t="s">
        <v>240</v>
      </c>
      <c r="GT3573" s="5" t="s">
        <v>240</v>
      </c>
      <c r="GU3573" s="5" t="s">
        <v>240</v>
      </c>
      <c r="GV3573" s="5" t="s">
        <v>240</v>
      </c>
      <c r="GW3573" s="5" t="s">
        <v>240</v>
      </c>
      <c r="GX3573" s="5" t="s">
        <v>240</v>
      </c>
      <c r="GY3573" s="5" t="s">
        <v>240</v>
      </c>
      <c r="GZ3573" s="5" t="s">
        <v>240</v>
      </c>
      <c r="HA3573" s="5" t="s">
        <v>240</v>
      </c>
      <c r="HB3573" s="5" t="s">
        <v>240</v>
      </c>
      <c r="HC3573" s="5" t="s">
        <v>240</v>
      </c>
      <c r="HD3573" s="5" t="s">
        <v>240</v>
      </c>
      <c r="HE3573" s="5" t="s">
        <v>240</v>
      </c>
      <c r="HF3573" s="5" t="s">
        <v>240</v>
      </c>
      <c r="HG3573" s="5" t="s">
        <v>240</v>
      </c>
      <c r="HH3573" s="5" t="s">
        <v>240</v>
      </c>
      <c r="HI3573" s="5" t="s">
        <v>240</v>
      </c>
      <c r="HJ3573" s="5" t="s">
        <v>240</v>
      </c>
      <c r="HK3573" s="5" t="s">
        <v>240</v>
      </c>
      <c r="HL3573" s="5" t="s">
        <v>240</v>
      </c>
      <c r="HM3573" s="5" t="s">
        <v>240</v>
      </c>
      <c r="HN3573" s="5" t="s">
        <v>240</v>
      </c>
      <c r="HO3573" s="5" t="s">
        <v>312</v>
      </c>
      <c r="HP3573" s="5" t="s">
        <v>240</v>
      </c>
      <c r="HQ3573" s="5" t="s">
        <v>240</v>
      </c>
      <c r="HR3573" s="5" t="s">
        <v>240</v>
      </c>
      <c r="HS3573" s="5" t="s">
        <v>240</v>
      </c>
      <c r="HT3573" s="5" t="s">
        <v>240</v>
      </c>
      <c r="HU3573" s="5" t="s">
        <v>240</v>
      </c>
      <c r="HV3573" s="5" t="s">
        <v>240</v>
      </c>
      <c r="HW3573" s="5" t="s">
        <v>240</v>
      </c>
      <c r="HX3573" s="5" t="s">
        <v>240</v>
      </c>
      <c r="HY3573" s="5" t="s">
        <v>240</v>
      </c>
      <c r="HZ3573" s="5" t="s">
        <v>240</v>
      </c>
      <c r="IA3573" s="5" t="s">
        <v>240</v>
      </c>
      <c r="IB3573" s="5" t="s">
        <v>240</v>
      </c>
      <c r="IC3573" s="5" t="s">
        <v>240</v>
      </c>
      <c r="ID3573" s="5" t="s">
        <v>240</v>
      </c>
      <c r="IE3573" s="5" t="s">
        <v>240</v>
      </c>
      <c r="IF3573" s="5" t="s">
        <v>240</v>
      </c>
    </row>
    <row r="3574" spans="1:240" x14ac:dyDescent="0.4">
      <c r="A3574" s="5">
        <v>9116</v>
      </c>
      <c r="B3574" s="5">
        <v>1</v>
      </c>
      <c r="C3574" s="5">
        <v>1</v>
      </c>
      <c r="D3574" s="5" t="s">
        <v>723</v>
      </c>
      <c r="E3574" s="5" t="s">
        <v>725</v>
      </c>
      <c r="F3574" s="5" t="s">
        <v>254</v>
      </c>
      <c r="G3574" s="5" t="s">
        <v>726</v>
      </c>
      <c r="H3574" s="6" t="s">
        <v>6440</v>
      </c>
      <c r="I3574" s="5" t="s">
        <v>6439</v>
      </c>
      <c r="J3574" s="7">
        <f>1</f>
        <v>1</v>
      </c>
      <c r="K3574" s="5" t="s">
        <v>3682</v>
      </c>
      <c r="L3574" s="7">
        <f>1</f>
        <v>1</v>
      </c>
      <c r="M3574" s="7">
        <f>1</f>
        <v>1</v>
      </c>
      <c r="N3574" s="5" t="s">
        <v>242</v>
      </c>
      <c r="O3574" s="5">
        <v>1</v>
      </c>
      <c r="P3574" s="5" t="s">
        <v>294</v>
      </c>
      <c r="Q3574" s="5" t="s">
        <v>3678</v>
      </c>
      <c r="R3574" s="5" t="s">
        <v>240</v>
      </c>
      <c r="S3574" s="5" t="s">
        <v>240</v>
      </c>
      <c r="T3574" s="5" t="s">
        <v>243</v>
      </c>
      <c r="U3574" s="5" t="s">
        <v>244</v>
      </c>
      <c r="V3574" s="5" t="s">
        <v>240</v>
      </c>
      <c r="W3574" s="5" t="s">
        <v>240</v>
      </c>
      <c r="X3574" s="5" t="s">
        <v>240</v>
      </c>
      <c r="Y3574" s="5" t="s">
        <v>240</v>
      </c>
      <c r="Z3574" s="6" t="s">
        <v>298</v>
      </c>
      <c r="AA3574" s="6" t="s">
        <v>240</v>
      </c>
      <c r="AB3574" s="6" t="s">
        <v>240</v>
      </c>
      <c r="AC3574" s="5" t="s">
        <v>240</v>
      </c>
      <c r="AD3574" s="6" t="s">
        <v>240</v>
      </c>
      <c r="AE3574" s="6" t="s">
        <v>299</v>
      </c>
      <c r="AF3574" s="5" t="s">
        <v>248</v>
      </c>
      <c r="AG3574" s="5" t="s">
        <v>249</v>
      </c>
      <c r="AH3574" s="5" t="s">
        <v>240</v>
      </c>
      <c r="AI3574" s="5" t="s">
        <v>240</v>
      </c>
      <c r="AJ3574" s="5" t="s">
        <v>240</v>
      </c>
      <c r="AK3574" s="5" t="s">
        <v>240</v>
      </c>
      <c r="AL3574" s="5" t="s">
        <v>240</v>
      </c>
      <c r="AM3574" s="5" t="s">
        <v>240</v>
      </c>
      <c r="AN3574" s="5" t="s">
        <v>240</v>
      </c>
      <c r="AO3574" s="5" t="s">
        <v>240</v>
      </c>
      <c r="AP3574" s="6" t="s">
        <v>240</v>
      </c>
      <c r="AQ3574" s="6" t="s">
        <v>240</v>
      </c>
      <c r="AR3574" s="6" t="s">
        <v>240</v>
      </c>
      <c r="AS3574" s="6" t="s">
        <v>240</v>
      </c>
      <c r="AT3574" s="5" t="s">
        <v>240</v>
      </c>
      <c r="AU3574" s="5" t="s">
        <v>729</v>
      </c>
      <c r="AV3574" s="5" t="s">
        <v>729</v>
      </c>
      <c r="AW3574" s="5" t="s">
        <v>251</v>
      </c>
      <c r="AX3574" s="5" t="s">
        <v>252</v>
      </c>
      <c r="AY3574" s="5" t="s">
        <v>253</v>
      </c>
      <c r="AZ3574" s="5" t="s">
        <v>240</v>
      </c>
      <c r="BA3574" s="5" t="s">
        <v>255</v>
      </c>
      <c r="BB3574" s="5" t="s">
        <v>731</v>
      </c>
      <c r="BD3574" s="5" t="s">
        <v>240</v>
      </c>
      <c r="BF3574" s="5" t="s">
        <v>732</v>
      </c>
      <c r="BG3574" s="6" t="s">
        <v>733</v>
      </c>
      <c r="BH3574" s="5" t="s">
        <v>734</v>
      </c>
      <c r="BI3574" s="5" t="s">
        <v>734</v>
      </c>
      <c r="BJ3574" s="5" t="s">
        <v>240</v>
      </c>
      <c r="BK3574" s="7">
        <f>1</f>
        <v>1</v>
      </c>
      <c r="BL3574" s="7">
        <f>1</f>
        <v>1</v>
      </c>
      <c r="BM3574" s="5" t="s">
        <v>258</v>
      </c>
      <c r="BN3574" s="5" t="s">
        <v>259</v>
      </c>
      <c r="BO3574" s="5" t="s">
        <v>240</v>
      </c>
      <c r="BP3574" s="5" t="s">
        <v>240</v>
      </c>
      <c r="BQ3574" s="5" t="s">
        <v>240</v>
      </c>
      <c r="BR3574" s="5" t="s">
        <v>240</v>
      </c>
      <c r="BS3574" s="5" t="s">
        <v>240</v>
      </c>
      <c r="BT3574" s="5" t="s">
        <v>240</v>
      </c>
      <c r="BU3574" s="5" t="s">
        <v>240</v>
      </c>
      <c r="BV3574" s="5" t="s">
        <v>240</v>
      </c>
      <c r="BW3574" s="6" t="s">
        <v>240</v>
      </c>
      <c r="BX3574" s="5" t="s">
        <v>240</v>
      </c>
      <c r="BY3574" s="5" t="s">
        <v>240</v>
      </c>
      <c r="BZ3574" s="5" t="s">
        <v>240</v>
      </c>
      <c r="CA3574" s="5" t="s">
        <v>259</v>
      </c>
      <c r="CB3574" s="5" t="s">
        <v>240</v>
      </c>
      <c r="CC3574" s="5" t="s">
        <v>240</v>
      </c>
      <c r="CD3574" s="5" t="s">
        <v>240</v>
      </c>
      <c r="CE3574" s="5" t="s">
        <v>240</v>
      </c>
      <c r="CF3574" s="5" t="s">
        <v>240</v>
      </c>
      <c r="CG3574" s="5" t="s">
        <v>304</v>
      </c>
      <c r="CH3574" s="5" t="s">
        <v>305</v>
      </c>
      <c r="CI3574" s="5" t="s">
        <v>240</v>
      </c>
      <c r="CK3574" s="5" t="s">
        <v>3681</v>
      </c>
      <c r="CL3574" s="6" t="s">
        <v>261</v>
      </c>
      <c r="CM3574" s="5" t="s">
        <v>262</v>
      </c>
      <c r="CN3574" s="5" t="s">
        <v>263</v>
      </c>
      <c r="CO3574" s="5" t="s">
        <v>264</v>
      </c>
      <c r="CP3574" s="5" t="s">
        <v>240</v>
      </c>
      <c r="CQ3574" s="5">
        <v>0</v>
      </c>
      <c r="CR3574" s="5" t="s">
        <v>735</v>
      </c>
      <c r="CS3574" s="5" t="s">
        <v>307</v>
      </c>
      <c r="CT3574" s="5" t="s">
        <v>307</v>
      </c>
      <c r="CU3574" s="5" t="s">
        <v>260</v>
      </c>
      <c r="CV3574" s="5" t="s">
        <v>612</v>
      </c>
      <c r="CW3574" s="8">
        <f>1</f>
        <v>1</v>
      </c>
      <c r="CX3574" s="7">
        <f>1</f>
        <v>1</v>
      </c>
      <c r="CY3574" s="7">
        <f>0</f>
        <v>0</v>
      </c>
      <c r="DA3574" s="7">
        <f>1</f>
        <v>1</v>
      </c>
      <c r="DB3574" s="7" t="s">
        <v>240</v>
      </c>
      <c r="DC3574" s="5" t="s">
        <v>240</v>
      </c>
      <c r="DD3574" s="5" t="s">
        <v>240</v>
      </c>
      <c r="DE3574" s="5" t="s">
        <v>240</v>
      </c>
      <c r="DF3574" s="5" t="s">
        <v>240</v>
      </c>
      <c r="DG3574" s="7">
        <f>0</f>
        <v>0</v>
      </c>
      <c r="DI3574" s="5" t="s">
        <v>240</v>
      </c>
      <c r="DJ3574" s="5" t="s">
        <v>240</v>
      </c>
      <c r="DK3574" s="5" t="s">
        <v>240</v>
      </c>
      <c r="DL3574" s="5" t="s">
        <v>240</v>
      </c>
      <c r="DM3574" s="5" t="s">
        <v>240</v>
      </c>
      <c r="DN3574" s="5" t="s">
        <v>240</v>
      </c>
      <c r="DO3574" s="7" t="s">
        <v>240</v>
      </c>
      <c r="DP3574" s="5" t="s">
        <v>240</v>
      </c>
      <c r="DQ3574" s="5" t="s">
        <v>240</v>
      </c>
      <c r="DR3574" s="5" t="s">
        <v>731</v>
      </c>
      <c r="DS3574" s="5" t="s">
        <v>731</v>
      </c>
      <c r="DT3574" s="5" t="s">
        <v>240</v>
      </c>
      <c r="DU3574" s="5" t="s">
        <v>240</v>
      </c>
      <c r="DV3574" s="5" t="s">
        <v>3683</v>
      </c>
      <c r="DW3574" s="5" t="s">
        <v>652</v>
      </c>
      <c r="DX3574" s="5" t="s">
        <v>240</v>
      </c>
      <c r="DY3574" s="5" t="s">
        <v>240</v>
      </c>
      <c r="DZ3574" s="5" t="s">
        <v>240</v>
      </c>
      <c r="EA3574" s="5" t="s">
        <v>240</v>
      </c>
      <c r="EB3574" s="5" t="s">
        <v>240</v>
      </c>
      <c r="EC3574" s="5" t="s">
        <v>240</v>
      </c>
      <c r="ED3574" s="5" t="s">
        <v>240</v>
      </c>
      <c r="EE3574" s="5" t="s">
        <v>240</v>
      </c>
      <c r="EF3574" s="5" t="s">
        <v>240</v>
      </c>
      <c r="EG3574" s="5" t="s">
        <v>240</v>
      </c>
      <c r="EH3574" s="5" t="s">
        <v>240</v>
      </c>
      <c r="EI3574" s="5" t="s">
        <v>240</v>
      </c>
      <c r="EJ3574" s="5" t="s">
        <v>240</v>
      </c>
      <c r="EK3574" s="5" t="s">
        <v>240</v>
      </c>
      <c r="EL3574" s="5" t="s">
        <v>240</v>
      </c>
      <c r="EM3574" s="5" t="s">
        <v>240</v>
      </c>
      <c r="EN3574" s="5" t="s">
        <v>240</v>
      </c>
      <c r="EO3574" s="5" t="s">
        <v>240</v>
      </c>
      <c r="EP3574" s="5" t="s">
        <v>240</v>
      </c>
      <c r="EQ3574" s="5" t="s">
        <v>240</v>
      </c>
      <c r="ER3574" s="5" t="s">
        <v>240</v>
      </c>
      <c r="ES3574" s="5" t="s">
        <v>240</v>
      </c>
      <c r="ET3574" s="5" t="s">
        <v>240</v>
      </c>
      <c r="EU3574" s="5" t="s">
        <v>240</v>
      </c>
      <c r="EV3574" s="5" t="s">
        <v>240</v>
      </c>
      <c r="EW3574" s="5" t="s">
        <v>240</v>
      </c>
      <c r="EX3574" s="5" t="s">
        <v>240</v>
      </c>
      <c r="EY3574" s="5" t="s">
        <v>240</v>
      </c>
      <c r="EZ3574" s="5" t="s">
        <v>240</v>
      </c>
      <c r="FA3574" s="5" t="s">
        <v>240</v>
      </c>
      <c r="FB3574" s="5" t="s">
        <v>240</v>
      </c>
      <c r="FC3574" s="5" t="s">
        <v>240</v>
      </c>
      <c r="FD3574" s="5" t="s">
        <v>240</v>
      </c>
      <c r="FE3574" s="5" t="s">
        <v>240</v>
      </c>
      <c r="FF3574" s="5" t="s">
        <v>240</v>
      </c>
      <c r="FG3574" s="5" t="s">
        <v>240</v>
      </c>
      <c r="FH3574" s="5" t="s">
        <v>240</v>
      </c>
      <c r="FI3574" s="5" t="s">
        <v>240</v>
      </c>
      <c r="FJ3574" s="5" t="s">
        <v>240</v>
      </c>
      <c r="FK3574" s="5" t="s">
        <v>240</v>
      </c>
      <c r="FL3574" s="5" t="s">
        <v>240</v>
      </c>
      <c r="FM3574" s="5" t="s">
        <v>240</v>
      </c>
      <c r="FN3574" s="5" t="s">
        <v>240</v>
      </c>
      <c r="FO3574" s="5" t="s">
        <v>240</v>
      </c>
      <c r="FP3574" s="5" t="s">
        <v>240</v>
      </c>
      <c r="FQ3574" s="5" t="s">
        <v>240</v>
      </c>
      <c r="FR3574" s="5" t="s">
        <v>240</v>
      </c>
      <c r="FS3574" s="5" t="s">
        <v>240</v>
      </c>
      <c r="FT3574" s="5" t="s">
        <v>240</v>
      </c>
      <c r="FU3574" s="5" t="s">
        <v>240</v>
      </c>
      <c r="FV3574" s="5" t="s">
        <v>240</v>
      </c>
      <c r="FW3574" s="5" t="s">
        <v>240</v>
      </c>
      <c r="FX3574" s="5" t="s">
        <v>240</v>
      </c>
      <c r="FY3574" s="5" t="s">
        <v>240</v>
      </c>
      <c r="FZ3574" s="5" t="s">
        <v>240</v>
      </c>
      <c r="GA3574" s="5" t="s">
        <v>240</v>
      </c>
      <c r="GB3574" s="5" t="s">
        <v>240</v>
      </c>
      <c r="GC3574" s="5" t="s">
        <v>240</v>
      </c>
      <c r="GD3574" s="5" t="s">
        <v>240</v>
      </c>
      <c r="GE3574" s="5" t="s">
        <v>240</v>
      </c>
      <c r="GF3574" s="5" t="s">
        <v>240</v>
      </c>
      <c r="GG3574" s="5" t="s">
        <v>240</v>
      </c>
      <c r="GH3574" s="5" t="s">
        <v>240</v>
      </c>
      <c r="GI3574" s="5" t="s">
        <v>240</v>
      </c>
      <c r="GJ3574" s="5" t="s">
        <v>240</v>
      </c>
      <c r="GK3574" s="5" t="s">
        <v>240</v>
      </c>
      <c r="GL3574" s="5" t="s">
        <v>240</v>
      </c>
      <c r="GM3574" s="5" t="s">
        <v>240</v>
      </c>
      <c r="GN3574" s="5" t="s">
        <v>240</v>
      </c>
      <c r="GO3574" s="5" t="s">
        <v>240</v>
      </c>
      <c r="GP3574" s="5" t="s">
        <v>240</v>
      </c>
      <c r="GQ3574" s="5" t="s">
        <v>240</v>
      </c>
      <c r="GR3574" s="5" t="s">
        <v>240</v>
      </c>
      <c r="GS3574" s="5" t="s">
        <v>240</v>
      </c>
      <c r="GT3574" s="5" t="s">
        <v>240</v>
      </c>
      <c r="GU3574" s="5" t="s">
        <v>240</v>
      </c>
      <c r="GV3574" s="5" t="s">
        <v>240</v>
      </c>
      <c r="GW3574" s="5" t="s">
        <v>240</v>
      </c>
      <c r="GX3574" s="5" t="s">
        <v>240</v>
      </c>
      <c r="GY3574" s="5" t="s">
        <v>240</v>
      </c>
      <c r="GZ3574" s="5" t="s">
        <v>240</v>
      </c>
      <c r="HA3574" s="5" t="s">
        <v>240</v>
      </c>
      <c r="HB3574" s="5" t="s">
        <v>240</v>
      </c>
      <c r="HC3574" s="5" t="s">
        <v>240</v>
      </c>
      <c r="HD3574" s="5" t="s">
        <v>240</v>
      </c>
      <c r="HE3574" s="5" t="s">
        <v>240</v>
      </c>
      <c r="HF3574" s="5" t="s">
        <v>240</v>
      </c>
      <c r="HG3574" s="5" t="s">
        <v>240</v>
      </c>
      <c r="HH3574" s="5" t="s">
        <v>240</v>
      </c>
      <c r="HI3574" s="5" t="s">
        <v>240</v>
      </c>
      <c r="HJ3574" s="5" t="s">
        <v>240</v>
      </c>
      <c r="HK3574" s="5" t="s">
        <v>240</v>
      </c>
      <c r="HL3574" s="5" t="s">
        <v>240</v>
      </c>
      <c r="HM3574" s="5" t="s">
        <v>240</v>
      </c>
      <c r="HN3574" s="5" t="s">
        <v>240</v>
      </c>
      <c r="HO3574" s="5" t="s">
        <v>312</v>
      </c>
      <c r="HP3574" s="5" t="s">
        <v>240</v>
      </c>
      <c r="HQ3574" s="5" t="s">
        <v>240</v>
      </c>
      <c r="HR3574" s="5" t="s">
        <v>240</v>
      </c>
      <c r="HS3574" s="5" t="s">
        <v>240</v>
      </c>
      <c r="HT3574" s="5" t="s">
        <v>240</v>
      </c>
      <c r="HU3574" s="5" t="s">
        <v>240</v>
      </c>
      <c r="HV3574" s="5" t="s">
        <v>240</v>
      </c>
      <c r="HW3574" s="5" t="s">
        <v>240</v>
      </c>
      <c r="HX3574" s="5" t="s">
        <v>240</v>
      </c>
      <c r="HY3574" s="5" t="s">
        <v>240</v>
      </c>
      <c r="HZ3574" s="5" t="s">
        <v>240</v>
      </c>
      <c r="IA3574" s="5" t="s">
        <v>240</v>
      </c>
      <c r="IB3574" s="5" t="s">
        <v>240</v>
      </c>
      <c r="IC3574" s="5" t="s">
        <v>240</v>
      </c>
      <c r="ID3574" s="5" t="s">
        <v>240</v>
      </c>
      <c r="IE3574" s="5" t="s">
        <v>240</v>
      </c>
      <c r="IF3574" s="5" t="s">
        <v>240</v>
      </c>
    </row>
    <row r="3575" spans="1:240" x14ac:dyDescent="0.4">
      <c r="A3575" s="5">
        <v>9117</v>
      </c>
      <c r="B3575" s="5">
        <v>1</v>
      </c>
      <c r="C3575" s="5">
        <v>1</v>
      </c>
      <c r="D3575" s="5" t="s">
        <v>723</v>
      </c>
      <c r="E3575" s="5" t="s">
        <v>725</v>
      </c>
      <c r="F3575" s="5" t="s">
        <v>254</v>
      </c>
      <c r="G3575" s="5" t="s">
        <v>726</v>
      </c>
      <c r="H3575" s="6" t="s">
        <v>5798</v>
      </c>
      <c r="I3575" s="5" t="s">
        <v>5797</v>
      </c>
      <c r="J3575" s="7">
        <f>1</f>
        <v>1</v>
      </c>
      <c r="K3575" s="5" t="s">
        <v>3682</v>
      </c>
      <c r="L3575" s="7">
        <f>1</f>
        <v>1</v>
      </c>
      <c r="M3575" s="7">
        <f>1</f>
        <v>1</v>
      </c>
      <c r="N3575" s="5" t="s">
        <v>242</v>
      </c>
      <c r="O3575" s="5">
        <v>1</v>
      </c>
      <c r="P3575" s="5" t="s">
        <v>294</v>
      </c>
      <c r="Q3575" s="5" t="s">
        <v>613</v>
      </c>
      <c r="R3575" s="5" t="s">
        <v>240</v>
      </c>
      <c r="S3575" s="5" t="s">
        <v>240</v>
      </c>
      <c r="T3575" s="5" t="s">
        <v>243</v>
      </c>
      <c r="U3575" s="5" t="s">
        <v>724</v>
      </c>
      <c r="V3575" s="5" t="s">
        <v>240</v>
      </c>
      <c r="W3575" s="5" t="s">
        <v>240</v>
      </c>
      <c r="X3575" s="5" t="s">
        <v>240</v>
      </c>
      <c r="Y3575" s="5" t="s">
        <v>240</v>
      </c>
      <c r="Z3575" s="6" t="s">
        <v>298</v>
      </c>
      <c r="AA3575" s="6" t="s">
        <v>240</v>
      </c>
      <c r="AB3575" s="6" t="s">
        <v>240</v>
      </c>
      <c r="AC3575" s="5" t="s">
        <v>240</v>
      </c>
      <c r="AD3575" s="6" t="s">
        <v>240</v>
      </c>
      <c r="AE3575" s="6" t="s">
        <v>299</v>
      </c>
      <c r="AF3575" s="5" t="s">
        <v>727</v>
      </c>
      <c r="AG3575" s="5" t="s">
        <v>260</v>
      </c>
      <c r="AH3575" s="5" t="s">
        <v>240</v>
      </c>
      <c r="AI3575" s="5" t="s">
        <v>240</v>
      </c>
      <c r="AJ3575" s="5" t="s">
        <v>240</v>
      </c>
      <c r="AK3575" s="5" t="s">
        <v>240</v>
      </c>
      <c r="AL3575" s="5" t="s">
        <v>240</v>
      </c>
      <c r="AM3575" s="5" t="s">
        <v>240</v>
      </c>
      <c r="AN3575" s="5" t="s">
        <v>240</v>
      </c>
      <c r="AO3575" s="5" t="s">
        <v>240</v>
      </c>
      <c r="AP3575" s="6" t="s">
        <v>240</v>
      </c>
      <c r="AQ3575" s="6" t="s">
        <v>240</v>
      </c>
      <c r="AR3575" s="6" t="s">
        <v>240</v>
      </c>
      <c r="AS3575" s="6" t="s">
        <v>240</v>
      </c>
      <c r="AT3575" s="5" t="s">
        <v>240</v>
      </c>
      <c r="AU3575" s="5" t="s">
        <v>729</v>
      </c>
      <c r="AV3575" s="5" t="s">
        <v>729</v>
      </c>
      <c r="AW3575" s="5" t="s">
        <v>251</v>
      </c>
      <c r="AX3575" s="5" t="s">
        <v>252</v>
      </c>
      <c r="AY3575" s="5" t="s">
        <v>253</v>
      </c>
      <c r="AZ3575" s="5" t="s">
        <v>240</v>
      </c>
      <c r="BA3575" s="5" t="s">
        <v>255</v>
      </c>
      <c r="BB3575" s="5" t="s">
        <v>731</v>
      </c>
      <c r="BD3575" s="5" t="s">
        <v>240</v>
      </c>
      <c r="BF3575" s="5" t="s">
        <v>732</v>
      </c>
      <c r="BG3575" s="6" t="s">
        <v>733</v>
      </c>
      <c r="BH3575" s="5" t="s">
        <v>734</v>
      </c>
      <c r="BI3575" s="5" t="s">
        <v>734</v>
      </c>
      <c r="BJ3575" s="5" t="s">
        <v>240</v>
      </c>
      <c r="BK3575" s="8">
        <f>1359</f>
        <v>1359</v>
      </c>
      <c r="BL3575" s="7">
        <f>0</f>
        <v>0</v>
      </c>
      <c r="BM3575" s="5" t="s">
        <v>258</v>
      </c>
      <c r="BN3575" s="5" t="s">
        <v>259</v>
      </c>
      <c r="BO3575" s="5" t="s">
        <v>240</v>
      </c>
      <c r="BP3575" s="5" t="s">
        <v>240</v>
      </c>
      <c r="BQ3575" s="5" t="s">
        <v>240</v>
      </c>
      <c r="BR3575" s="5" t="s">
        <v>240</v>
      </c>
      <c r="BS3575" s="5" t="s">
        <v>240</v>
      </c>
      <c r="BT3575" s="5" t="s">
        <v>240</v>
      </c>
      <c r="BU3575" s="5" t="s">
        <v>240</v>
      </c>
      <c r="BV3575" s="5" t="s">
        <v>240</v>
      </c>
      <c r="BW3575" s="6" t="s">
        <v>240</v>
      </c>
      <c r="BX3575" s="5" t="s">
        <v>240</v>
      </c>
      <c r="BY3575" s="5" t="s">
        <v>240</v>
      </c>
      <c r="BZ3575" s="5" t="s">
        <v>240</v>
      </c>
      <c r="CA3575" s="5" t="s">
        <v>259</v>
      </c>
      <c r="CB3575" s="5" t="s">
        <v>240</v>
      </c>
      <c r="CC3575" s="5" t="s">
        <v>240</v>
      </c>
      <c r="CD3575" s="5" t="s">
        <v>240</v>
      </c>
      <c r="CE3575" s="5" t="s">
        <v>240</v>
      </c>
      <c r="CF3575" s="5" t="s">
        <v>240</v>
      </c>
      <c r="CG3575" s="5" t="s">
        <v>617</v>
      </c>
      <c r="CH3575" s="5" t="s">
        <v>305</v>
      </c>
      <c r="CI3575" s="5" t="s">
        <v>240</v>
      </c>
      <c r="CL3575" s="6" t="s">
        <v>261</v>
      </c>
      <c r="CM3575" s="5" t="s">
        <v>262</v>
      </c>
      <c r="CN3575" s="5" t="s">
        <v>263</v>
      </c>
      <c r="CO3575" s="5" t="s">
        <v>264</v>
      </c>
      <c r="CP3575" s="5" t="s">
        <v>240</v>
      </c>
      <c r="CQ3575" s="5">
        <v>0</v>
      </c>
      <c r="CR3575" s="5" t="s">
        <v>735</v>
      </c>
      <c r="CS3575" s="5" t="s">
        <v>307</v>
      </c>
      <c r="CT3575" s="5" t="s">
        <v>307</v>
      </c>
      <c r="CU3575" s="5" t="s">
        <v>260</v>
      </c>
      <c r="CV3575" s="5" t="s">
        <v>240</v>
      </c>
      <c r="CW3575" s="8">
        <f>0</f>
        <v>0</v>
      </c>
      <c r="CX3575" s="7">
        <f>0</f>
        <v>0</v>
      </c>
      <c r="CY3575" s="7">
        <f>0</f>
        <v>0</v>
      </c>
      <c r="DA3575" s="7">
        <f>14949</f>
        <v>14949</v>
      </c>
      <c r="DB3575" s="7" t="s">
        <v>240</v>
      </c>
      <c r="DC3575" s="5" t="s">
        <v>240</v>
      </c>
      <c r="DD3575" s="5" t="s">
        <v>240</v>
      </c>
      <c r="DE3575" s="5" t="s">
        <v>240</v>
      </c>
      <c r="DF3575" s="5" t="s">
        <v>450</v>
      </c>
      <c r="DG3575" s="7">
        <f>0</f>
        <v>0</v>
      </c>
      <c r="DI3575" s="5" t="s">
        <v>737</v>
      </c>
      <c r="DJ3575" s="5" t="s">
        <v>240</v>
      </c>
      <c r="DK3575" s="5" t="s">
        <v>240</v>
      </c>
      <c r="DL3575" s="5" t="s">
        <v>240</v>
      </c>
      <c r="DM3575" s="5" t="s">
        <v>240</v>
      </c>
      <c r="DN3575" s="5" t="s">
        <v>240</v>
      </c>
      <c r="DO3575" s="7" t="s">
        <v>240</v>
      </c>
      <c r="DP3575" s="5" t="s">
        <v>240</v>
      </c>
      <c r="DQ3575" s="5" t="s">
        <v>240</v>
      </c>
      <c r="DR3575" s="5" t="s">
        <v>731</v>
      </c>
      <c r="DS3575" s="5" t="s">
        <v>731</v>
      </c>
      <c r="DT3575" s="5" t="s">
        <v>240</v>
      </c>
      <c r="DU3575" s="5" t="s">
        <v>240</v>
      </c>
      <c r="DV3575" s="5" t="s">
        <v>738</v>
      </c>
      <c r="DW3575" s="5" t="s">
        <v>1216</v>
      </c>
      <c r="DX3575" s="5" t="s">
        <v>240</v>
      </c>
      <c r="DY3575" s="5" t="s">
        <v>240</v>
      </c>
      <c r="DZ3575" s="5" t="s">
        <v>240</v>
      </c>
      <c r="EA3575" s="5" t="s">
        <v>240</v>
      </c>
      <c r="EB3575" s="5" t="s">
        <v>240</v>
      </c>
      <c r="EC3575" s="5" t="s">
        <v>240</v>
      </c>
      <c r="ED3575" s="5" t="s">
        <v>240</v>
      </c>
      <c r="EE3575" s="5" t="s">
        <v>240</v>
      </c>
      <c r="EF3575" s="5" t="s">
        <v>240</v>
      </c>
      <c r="EG3575" s="5" t="s">
        <v>240</v>
      </c>
      <c r="EH3575" s="5" t="s">
        <v>240</v>
      </c>
      <c r="EI3575" s="5" t="s">
        <v>240</v>
      </c>
      <c r="EJ3575" s="5" t="s">
        <v>240</v>
      </c>
      <c r="EK3575" s="5" t="s">
        <v>240</v>
      </c>
      <c r="EL3575" s="5" t="s">
        <v>240</v>
      </c>
      <c r="EM3575" s="5" t="s">
        <v>240</v>
      </c>
      <c r="EN3575" s="5" t="s">
        <v>240</v>
      </c>
      <c r="EO3575" s="5" t="s">
        <v>240</v>
      </c>
      <c r="EP3575" s="5" t="s">
        <v>240</v>
      </c>
      <c r="EQ3575" s="5" t="s">
        <v>240</v>
      </c>
      <c r="ER3575" s="5" t="s">
        <v>240</v>
      </c>
      <c r="ES3575" s="5" t="s">
        <v>240</v>
      </c>
      <c r="ET3575" s="5" t="s">
        <v>240</v>
      </c>
      <c r="EU3575" s="5" t="s">
        <v>240</v>
      </c>
      <c r="EV3575" s="5" t="s">
        <v>240</v>
      </c>
      <c r="EW3575" s="5" t="s">
        <v>240</v>
      </c>
      <c r="EX3575" s="5" t="s">
        <v>240</v>
      </c>
      <c r="EY3575" s="5" t="s">
        <v>240</v>
      </c>
      <c r="EZ3575" s="5" t="s">
        <v>240</v>
      </c>
      <c r="FA3575" s="5" t="s">
        <v>240</v>
      </c>
      <c r="FB3575" s="5" t="s">
        <v>240</v>
      </c>
      <c r="FC3575" s="5" t="s">
        <v>240</v>
      </c>
      <c r="FD3575" s="5" t="s">
        <v>240</v>
      </c>
      <c r="FE3575" s="5" t="s">
        <v>240</v>
      </c>
      <c r="FF3575" s="5" t="s">
        <v>240</v>
      </c>
      <c r="FG3575" s="5" t="s">
        <v>240</v>
      </c>
      <c r="FH3575" s="5" t="s">
        <v>240</v>
      </c>
      <c r="FI3575" s="5" t="s">
        <v>240</v>
      </c>
      <c r="FJ3575" s="5" t="s">
        <v>240</v>
      </c>
      <c r="FK3575" s="5" t="s">
        <v>240</v>
      </c>
      <c r="FL3575" s="5" t="s">
        <v>240</v>
      </c>
      <c r="FM3575" s="5" t="s">
        <v>240</v>
      </c>
      <c r="FN3575" s="5" t="s">
        <v>240</v>
      </c>
      <c r="FO3575" s="5" t="s">
        <v>240</v>
      </c>
      <c r="FP3575" s="5" t="s">
        <v>240</v>
      </c>
      <c r="FQ3575" s="5" t="s">
        <v>240</v>
      </c>
      <c r="FR3575" s="5" t="s">
        <v>240</v>
      </c>
      <c r="FS3575" s="5" t="s">
        <v>240</v>
      </c>
      <c r="FT3575" s="5" t="s">
        <v>240</v>
      </c>
      <c r="FU3575" s="5" t="s">
        <v>240</v>
      </c>
      <c r="FV3575" s="5" t="s">
        <v>240</v>
      </c>
      <c r="FW3575" s="5" t="s">
        <v>240</v>
      </c>
      <c r="FX3575" s="5" t="s">
        <v>240</v>
      </c>
      <c r="FY3575" s="5" t="s">
        <v>240</v>
      </c>
      <c r="FZ3575" s="5" t="s">
        <v>240</v>
      </c>
      <c r="GA3575" s="5" t="s">
        <v>240</v>
      </c>
      <c r="GB3575" s="5" t="s">
        <v>240</v>
      </c>
      <c r="GC3575" s="5" t="s">
        <v>240</v>
      </c>
      <c r="GD3575" s="5" t="s">
        <v>240</v>
      </c>
      <c r="GE3575" s="5" t="s">
        <v>240</v>
      </c>
      <c r="GF3575" s="5" t="s">
        <v>240</v>
      </c>
      <c r="GG3575" s="5" t="s">
        <v>240</v>
      </c>
      <c r="GH3575" s="5" t="s">
        <v>240</v>
      </c>
      <c r="GI3575" s="5" t="s">
        <v>240</v>
      </c>
      <c r="GJ3575" s="5" t="s">
        <v>240</v>
      </c>
      <c r="GK3575" s="5" t="s">
        <v>240</v>
      </c>
      <c r="GL3575" s="5" t="s">
        <v>240</v>
      </c>
      <c r="GM3575" s="5" t="s">
        <v>240</v>
      </c>
      <c r="GN3575" s="5" t="s">
        <v>240</v>
      </c>
      <c r="GO3575" s="5" t="s">
        <v>240</v>
      </c>
      <c r="GP3575" s="5" t="s">
        <v>240</v>
      </c>
      <c r="GQ3575" s="5" t="s">
        <v>240</v>
      </c>
      <c r="GR3575" s="5" t="s">
        <v>240</v>
      </c>
      <c r="GS3575" s="5" t="s">
        <v>240</v>
      </c>
      <c r="GT3575" s="5" t="s">
        <v>240</v>
      </c>
      <c r="GU3575" s="5" t="s">
        <v>240</v>
      </c>
      <c r="GV3575" s="5" t="s">
        <v>240</v>
      </c>
      <c r="GW3575" s="5" t="s">
        <v>240</v>
      </c>
      <c r="GX3575" s="5" t="s">
        <v>240</v>
      </c>
      <c r="GY3575" s="5" t="s">
        <v>240</v>
      </c>
      <c r="GZ3575" s="5" t="s">
        <v>240</v>
      </c>
      <c r="HA3575" s="5" t="s">
        <v>240</v>
      </c>
      <c r="HB3575" s="5" t="s">
        <v>240</v>
      </c>
      <c r="HC3575" s="5" t="s">
        <v>240</v>
      </c>
      <c r="HD3575" s="5" t="s">
        <v>240</v>
      </c>
      <c r="HE3575" s="5" t="s">
        <v>240</v>
      </c>
      <c r="HF3575" s="5" t="s">
        <v>240</v>
      </c>
      <c r="HG3575" s="5" t="s">
        <v>240</v>
      </c>
      <c r="HH3575" s="5" t="s">
        <v>240</v>
      </c>
      <c r="HI3575" s="5" t="s">
        <v>240</v>
      </c>
      <c r="HJ3575" s="5" t="s">
        <v>240</v>
      </c>
      <c r="HK3575" s="5" t="s">
        <v>240</v>
      </c>
      <c r="HL3575" s="5" t="s">
        <v>240</v>
      </c>
      <c r="HM3575" s="5" t="s">
        <v>240</v>
      </c>
      <c r="HN3575" s="5" t="s">
        <v>240</v>
      </c>
      <c r="HO3575" s="5" t="s">
        <v>312</v>
      </c>
      <c r="HP3575" s="5" t="s">
        <v>240</v>
      </c>
      <c r="HQ3575" s="5" t="s">
        <v>240</v>
      </c>
      <c r="HR3575" s="5" t="s">
        <v>240</v>
      </c>
      <c r="HS3575" s="5" t="s">
        <v>240</v>
      </c>
      <c r="HT3575" s="5" t="s">
        <v>240</v>
      </c>
      <c r="HU3575" s="5" t="s">
        <v>240</v>
      </c>
      <c r="HV3575" s="5" t="s">
        <v>240</v>
      </c>
      <c r="HW3575" s="5" t="s">
        <v>240</v>
      </c>
      <c r="HX3575" s="5" t="s">
        <v>240</v>
      </c>
      <c r="HY3575" s="5" t="s">
        <v>240</v>
      </c>
      <c r="HZ3575" s="5" t="s">
        <v>240</v>
      </c>
      <c r="IA3575" s="5" t="s">
        <v>240</v>
      </c>
      <c r="IB3575" s="5" t="s">
        <v>240</v>
      </c>
      <c r="IC3575" s="5" t="s">
        <v>240</v>
      </c>
      <c r="ID3575" s="5" t="s">
        <v>240</v>
      </c>
      <c r="IE3575" s="5" t="s">
        <v>240</v>
      </c>
      <c r="IF3575" s="5" t="s">
        <v>240</v>
      </c>
    </row>
    <row r="3576" spans="1:240" x14ac:dyDescent="0.4">
      <c r="A3576" s="5">
        <v>9118</v>
      </c>
      <c r="B3576" s="5">
        <v>1</v>
      </c>
      <c r="C3576" s="5">
        <v>1</v>
      </c>
      <c r="D3576" s="5" t="s">
        <v>723</v>
      </c>
      <c r="E3576" s="5" t="s">
        <v>725</v>
      </c>
      <c r="F3576" s="5" t="s">
        <v>254</v>
      </c>
      <c r="G3576" s="5" t="s">
        <v>5856</v>
      </c>
      <c r="H3576" s="6" t="s">
        <v>5855</v>
      </c>
      <c r="I3576" s="5" t="s">
        <v>5855</v>
      </c>
      <c r="J3576" s="7">
        <f>1</f>
        <v>1</v>
      </c>
      <c r="K3576" s="5" t="s">
        <v>3682</v>
      </c>
      <c r="L3576" s="7">
        <f>1</f>
        <v>1</v>
      </c>
      <c r="M3576" s="7">
        <f>1</f>
        <v>1</v>
      </c>
      <c r="N3576" s="5" t="s">
        <v>242</v>
      </c>
      <c r="O3576" s="5">
        <v>1</v>
      </c>
      <c r="P3576" s="5" t="s">
        <v>294</v>
      </c>
      <c r="Q3576" s="5" t="s">
        <v>613</v>
      </c>
      <c r="R3576" s="5" t="s">
        <v>240</v>
      </c>
      <c r="S3576" s="5" t="s">
        <v>240</v>
      </c>
      <c r="T3576" s="5" t="s">
        <v>243</v>
      </c>
      <c r="U3576" s="5" t="s">
        <v>724</v>
      </c>
      <c r="V3576" s="5" t="s">
        <v>240</v>
      </c>
      <c r="W3576" s="5" t="s">
        <v>240</v>
      </c>
      <c r="X3576" s="5" t="s">
        <v>240</v>
      </c>
      <c r="Y3576" s="5" t="s">
        <v>240</v>
      </c>
      <c r="Z3576" s="6" t="s">
        <v>298</v>
      </c>
      <c r="AA3576" s="6" t="s">
        <v>240</v>
      </c>
      <c r="AB3576" s="6" t="s">
        <v>240</v>
      </c>
      <c r="AC3576" s="5" t="s">
        <v>240</v>
      </c>
      <c r="AD3576" s="6" t="s">
        <v>240</v>
      </c>
      <c r="AE3576" s="6" t="s">
        <v>299</v>
      </c>
      <c r="AF3576" s="5" t="s">
        <v>727</v>
      </c>
      <c r="AG3576" s="5" t="s">
        <v>260</v>
      </c>
      <c r="AH3576" s="5" t="s">
        <v>240</v>
      </c>
      <c r="AI3576" s="5" t="s">
        <v>240</v>
      </c>
      <c r="AJ3576" s="5" t="s">
        <v>240</v>
      </c>
      <c r="AK3576" s="5" t="s">
        <v>240</v>
      </c>
      <c r="AL3576" s="5" t="s">
        <v>240</v>
      </c>
      <c r="AM3576" s="5" t="s">
        <v>240</v>
      </c>
      <c r="AN3576" s="5" t="s">
        <v>240</v>
      </c>
      <c r="AO3576" s="5" t="s">
        <v>240</v>
      </c>
      <c r="AP3576" s="6" t="s">
        <v>240</v>
      </c>
      <c r="AQ3576" s="6" t="s">
        <v>240</v>
      </c>
      <c r="AR3576" s="6" t="s">
        <v>240</v>
      </c>
      <c r="AS3576" s="6" t="s">
        <v>240</v>
      </c>
      <c r="AT3576" s="5" t="s">
        <v>240</v>
      </c>
      <c r="AU3576" s="5" t="s">
        <v>729</v>
      </c>
      <c r="AV3576" s="5" t="s">
        <v>729</v>
      </c>
      <c r="AW3576" s="5" t="s">
        <v>251</v>
      </c>
      <c r="AX3576" s="5" t="s">
        <v>252</v>
      </c>
      <c r="AY3576" s="5" t="s">
        <v>253</v>
      </c>
      <c r="AZ3576" s="5" t="s">
        <v>240</v>
      </c>
      <c r="BA3576" s="5" t="s">
        <v>255</v>
      </c>
      <c r="BB3576" s="5" t="s">
        <v>731</v>
      </c>
      <c r="BD3576" s="5" t="s">
        <v>240</v>
      </c>
      <c r="BF3576" s="5" t="s">
        <v>732</v>
      </c>
      <c r="BG3576" s="6" t="s">
        <v>733</v>
      </c>
      <c r="BH3576" s="5" t="s">
        <v>734</v>
      </c>
      <c r="BI3576" s="5" t="s">
        <v>734</v>
      </c>
      <c r="BJ3576" s="5" t="s">
        <v>240</v>
      </c>
      <c r="BK3576" s="8">
        <f>477</f>
        <v>477</v>
      </c>
      <c r="BL3576" s="7">
        <f>0</f>
        <v>0</v>
      </c>
      <c r="BM3576" s="5" t="s">
        <v>258</v>
      </c>
      <c r="BN3576" s="5" t="s">
        <v>259</v>
      </c>
      <c r="BO3576" s="5" t="s">
        <v>240</v>
      </c>
      <c r="BP3576" s="5" t="s">
        <v>240</v>
      </c>
      <c r="BQ3576" s="5" t="s">
        <v>240</v>
      </c>
      <c r="BR3576" s="5" t="s">
        <v>240</v>
      </c>
      <c r="BS3576" s="5" t="s">
        <v>240</v>
      </c>
      <c r="BT3576" s="5" t="s">
        <v>240</v>
      </c>
      <c r="BU3576" s="5" t="s">
        <v>240</v>
      </c>
      <c r="BV3576" s="5" t="s">
        <v>240</v>
      </c>
      <c r="BW3576" s="6" t="s">
        <v>240</v>
      </c>
      <c r="BX3576" s="5" t="s">
        <v>240</v>
      </c>
      <c r="BY3576" s="5" t="s">
        <v>240</v>
      </c>
      <c r="BZ3576" s="5" t="s">
        <v>240</v>
      </c>
      <c r="CA3576" s="5" t="s">
        <v>259</v>
      </c>
      <c r="CB3576" s="5" t="s">
        <v>240</v>
      </c>
      <c r="CC3576" s="5" t="s">
        <v>240</v>
      </c>
      <c r="CD3576" s="5" t="s">
        <v>240</v>
      </c>
      <c r="CE3576" s="5" t="s">
        <v>240</v>
      </c>
      <c r="CF3576" s="5" t="s">
        <v>240</v>
      </c>
      <c r="CG3576" s="5" t="s">
        <v>617</v>
      </c>
      <c r="CH3576" s="5" t="s">
        <v>305</v>
      </c>
      <c r="CI3576" s="5" t="s">
        <v>240</v>
      </c>
      <c r="CL3576" s="6" t="s">
        <v>261</v>
      </c>
      <c r="CM3576" s="5" t="s">
        <v>262</v>
      </c>
      <c r="CN3576" s="5" t="s">
        <v>263</v>
      </c>
      <c r="CO3576" s="5" t="s">
        <v>264</v>
      </c>
      <c r="CP3576" s="5" t="s">
        <v>240</v>
      </c>
      <c r="CQ3576" s="5">
        <v>0</v>
      </c>
      <c r="CR3576" s="5" t="s">
        <v>735</v>
      </c>
      <c r="CS3576" s="5" t="s">
        <v>307</v>
      </c>
      <c r="CT3576" s="5" t="s">
        <v>307</v>
      </c>
      <c r="CU3576" s="5" t="s">
        <v>260</v>
      </c>
      <c r="CV3576" s="5" t="s">
        <v>240</v>
      </c>
      <c r="CW3576" s="8">
        <f>0</f>
        <v>0</v>
      </c>
      <c r="CX3576" s="7">
        <f>0</f>
        <v>0</v>
      </c>
      <c r="CY3576" s="7">
        <f>0</f>
        <v>0</v>
      </c>
      <c r="DA3576" s="7">
        <f>5247</f>
        <v>5247</v>
      </c>
      <c r="DB3576" s="7" t="s">
        <v>240</v>
      </c>
      <c r="DC3576" s="5" t="s">
        <v>240</v>
      </c>
      <c r="DD3576" s="5" t="s">
        <v>240</v>
      </c>
      <c r="DE3576" s="5" t="s">
        <v>240</v>
      </c>
      <c r="DF3576" s="5" t="s">
        <v>450</v>
      </c>
      <c r="DG3576" s="7">
        <f>0</f>
        <v>0</v>
      </c>
      <c r="DI3576" s="5" t="s">
        <v>737</v>
      </c>
      <c r="DJ3576" s="5" t="s">
        <v>240</v>
      </c>
      <c r="DK3576" s="5" t="s">
        <v>240</v>
      </c>
      <c r="DL3576" s="5" t="s">
        <v>240</v>
      </c>
      <c r="DM3576" s="5" t="s">
        <v>240</v>
      </c>
      <c r="DN3576" s="5" t="s">
        <v>240</v>
      </c>
      <c r="DO3576" s="7" t="s">
        <v>240</v>
      </c>
      <c r="DP3576" s="5" t="s">
        <v>240</v>
      </c>
      <c r="DQ3576" s="5" t="s">
        <v>240</v>
      </c>
      <c r="DR3576" s="5" t="s">
        <v>731</v>
      </c>
      <c r="DS3576" s="5" t="s">
        <v>731</v>
      </c>
      <c r="DT3576" s="5" t="s">
        <v>240</v>
      </c>
      <c r="DU3576" s="5" t="s">
        <v>240</v>
      </c>
      <c r="DV3576" s="5" t="s">
        <v>738</v>
      </c>
      <c r="DW3576" s="5" t="s">
        <v>1214</v>
      </c>
      <c r="DX3576" s="5" t="s">
        <v>240</v>
      </c>
      <c r="DY3576" s="5" t="s">
        <v>240</v>
      </c>
      <c r="DZ3576" s="5" t="s">
        <v>240</v>
      </c>
      <c r="EA3576" s="5" t="s">
        <v>240</v>
      </c>
      <c r="EB3576" s="5" t="s">
        <v>240</v>
      </c>
      <c r="EC3576" s="5" t="s">
        <v>240</v>
      </c>
      <c r="ED3576" s="5" t="s">
        <v>240</v>
      </c>
      <c r="EE3576" s="5" t="s">
        <v>240</v>
      </c>
      <c r="EF3576" s="5" t="s">
        <v>240</v>
      </c>
      <c r="EG3576" s="5" t="s">
        <v>240</v>
      </c>
      <c r="EH3576" s="5" t="s">
        <v>240</v>
      </c>
      <c r="EI3576" s="5" t="s">
        <v>240</v>
      </c>
      <c r="EJ3576" s="5" t="s">
        <v>240</v>
      </c>
      <c r="EK3576" s="5" t="s">
        <v>240</v>
      </c>
      <c r="EL3576" s="5" t="s">
        <v>240</v>
      </c>
      <c r="EM3576" s="5" t="s">
        <v>240</v>
      </c>
      <c r="EN3576" s="5" t="s">
        <v>240</v>
      </c>
      <c r="EO3576" s="5" t="s">
        <v>240</v>
      </c>
      <c r="EP3576" s="5" t="s">
        <v>240</v>
      </c>
      <c r="EQ3576" s="5" t="s">
        <v>240</v>
      </c>
      <c r="ER3576" s="5" t="s">
        <v>240</v>
      </c>
      <c r="ES3576" s="5" t="s">
        <v>240</v>
      </c>
      <c r="ET3576" s="5" t="s">
        <v>240</v>
      </c>
      <c r="EU3576" s="5" t="s">
        <v>240</v>
      </c>
      <c r="EV3576" s="5" t="s">
        <v>240</v>
      </c>
      <c r="EW3576" s="5" t="s">
        <v>240</v>
      </c>
      <c r="EX3576" s="5" t="s">
        <v>240</v>
      </c>
      <c r="EY3576" s="5" t="s">
        <v>240</v>
      </c>
      <c r="EZ3576" s="5" t="s">
        <v>240</v>
      </c>
      <c r="FA3576" s="5" t="s">
        <v>240</v>
      </c>
      <c r="FB3576" s="5" t="s">
        <v>240</v>
      </c>
      <c r="FC3576" s="5" t="s">
        <v>240</v>
      </c>
      <c r="FD3576" s="5" t="s">
        <v>240</v>
      </c>
      <c r="FE3576" s="5" t="s">
        <v>240</v>
      </c>
      <c r="FF3576" s="5" t="s">
        <v>240</v>
      </c>
      <c r="FG3576" s="5" t="s">
        <v>240</v>
      </c>
      <c r="FH3576" s="5" t="s">
        <v>240</v>
      </c>
      <c r="FI3576" s="5" t="s">
        <v>240</v>
      </c>
      <c r="FJ3576" s="5" t="s">
        <v>240</v>
      </c>
      <c r="FK3576" s="5" t="s">
        <v>240</v>
      </c>
      <c r="FL3576" s="5" t="s">
        <v>240</v>
      </c>
      <c r="FM3576" s="5" t="s">
        <v>240</v>
      </c>
      <c r="FN3576" s="5" t="s">
        <v>240</v>
      </c>
      <c r="FO3576" s="5" t="s">
        <v>240</v>
      </c>
      <c r="FP3576" s="5" t="s">
        <v>240</v>
      </c>
      <c r="FQ3576" s="5" t="s">
        <v>240</v>
      </c>
      <c r="FR3576" s="5" t="s">
        <v>240</v>
      </c>
      <c r="FS3576" s="5" t="s">
        <v>240</v>
      </c>
      <c r="FT3576" s="5" t="s">
        <v>240</v>
      </c>
      <c r="FU3576" s="5" t="s">
        <v>240</v>
      </c>
      <c r="FV3576" s="5" t="s">
        <v>240</v>
      </c>
      <c r="FW3576" s="5" t="s">
        <v>240</v>
      </c>
      <c r="FX3576" s="5" t="s">
        <v>240</v>
      </c>
      <c r="FY3576" s="5" t="s">
        <v>240</v>
      </c>
      <c r="FZ3576" s="5" t="s">
        <v>240</v>
      </c>
      <c r="GA3576" s="5" t="s">
        <v>240</v>
      </c>
      <c r="GB3576" s="5" t="s">
        <v>240</v>
      </c>
      <c r="GC3576" s="5" t="s">
        <v>240</v>
      </c>
      <c r="GD3576" s="5" t="s">
        <v>240</v>
      </c>
      <c r="GE3576" s="5" t="s">
        <v>240</v>
      </c>
      <c r="GF3576" s="5" t="s">
        <v>240</v>
      </c>
      <c r="GG3576" s="5" t="s">
        <v>240</v>
      </c>
      <c r="GH3576" s="5" t="s">
        <v>240</v>
      </c>
      <c r="GI3576" s="5" t="s">
        <v>240</v>
      </c>
      <c r="GJ3576" s="5" t="s">
        <v>240</v>
      </c>
      <c r="GK3576" s="5" t="s">
        <v>240</v>
      </c>
      <c r="GL3576" s="5" t="s">
        <v>240</v>
      </c>
      <c r="GM3576" s="5" t="s">
        <v>240</v>
      </c>
      <c r="GN3576" s="5" t="s">
        <v>240</v>
      </c>
      <c r="GO3576" s="5" t="s">
        <v>240</v>
      </c>
      <c r="GP3576" s="5" t="s">
        <v>240</v>
      </c>
      <c r="GQ3576" s="5" t="s">
        <v>240</v>
      </c>
      <c r="GR3576" s="5" t="s">
        <v>240</v>
      </c>
      <c r="GS3576" s="5" t="s">
        <v>240</v>
      </c>
      <c r="GT3576" s="5" t="s">
        <v>240</v>
      </c>
      <c r="GU3576" s="5" t="s">
        <v>240</v>
      </c>
      <c r="GV3576" s="5" t="s">
        <v>240</v>
      </c>
      <c r="GW3576" s="5" t="s">
        <v>240</v>
      </c>
      <c r="GX3576" s="5" t="s">
        <v>240</v>
      </c>
      <c r="GY3576" s="5" t="s">
        <v>240</v>
      </c>
      <c r="GZ3576" s="5" t="s">
        <v>240</v>
      </c>
      <c r="HA3576" s="5" t="s">
        <v>240</v>
      </c>
      <c r="HB3576" s="5" t="s">
        <v>240</v>
      </c>
      <c r="HC3576" s="5" t="s">
        <v>240</v>
      </c>
      <c r="HD3576" s="5" t="s">
        <v>240</v>
      </c>
      <c r="HE3576" s="5" t="s">
        <v>240</v>
      </c>
      <c r="HF3576" s="5" t="s">
        <v>240</v>
      </c>
      <c r="HG3576" s="5" t="s">
        <v>240</v>
      </c>
      <c r="HH3576" s="5" t="s">
        <v>240</v>
      </c>
      <c r="HI3576" s="5" t="s">
        <v>240</v>
      </c>
      <c r="HJ3576" s="5" t="s">
        <v>240</v>
      </c>
      <c r="HK3576" s="5" t="s">
        <v>240</v>
      </c>
      <c r="HL3576" s="5" t="s">
        <v>240</v>
      </c>
      <c r="HM3576" s="5" t="s">
        <v>240</v>
      </c>
      <c r="HN3576" s="5" t="s">
        <v>240</v>
      </c>
      <c r="HO3576" s="5" t="s">
        <v>312</v>
      </c>
      <c r="HP3576" s="5" t="s">
        <v>240</v>
      </c>
      <c r="HQ3576" s="5" t="s">
        <v>240</v>
      </c>
      <c r="HR3576" s="5" t="s">
        <v>240</v>
      </c>
      <c r="HS3576" s="5" t="s">
        <v>240</v>
      </c>
      <c r="HT3576" s="5" t="s">
        <v>240</v>
      </c>
      <c r="HU3576" s="5" t="s">
        <v>240</v>
      </c>
      <c r="HV3576" s="5" t="s">
        <v>240</v>
      </c>
      <c r="HW3576" s="5" t="s">
        <v>240</v>
      </c>
      <c r="HX3576" s="5" t="s">
        <v>240</v>
      </c>
      <c r="HY3576" s="5" t="s">
        <v>240</v>
      </c>
      <c r="HZ3576" s="5" t="s">
        <v>240</v>
      </c>
      <c r="IA3576" s="5" t="s">
        <v>240</v>
      </c>
      <c r="IB3576" s="5" t="s">
        <v>240</v>
      </c>
      <c r="IC3576" s="5" t="s">
        <v>240</v>
      </c>
      <c r="ID3576" s="5" t="s">
        <v>240</v>
      </c>
      <c r="IE3576" s="5" t="s">
        <v>240</v>
      </c>
      <c r="IF3576" s="5" t="s">
        <v>240</v>
      </c>
    </row>
    <row r="3577" spans="1:240" x14ac:dyDescent="0.4">
      <c r="A3577" s="5">
        <v>9119</v>
      </c>
      <c r="B3577" s="5">
        <v>1</v>
      </c>
      <c r="C3577" s="5">
        <v>1</v>
      </c>
      <c r="D3577" s="5" t="s">
        <v>723</v>
      </c>
      <c r="E3577" s="5" t="s">
        <v>725</v>
      </c>
      <c r="F3577" s="5" t="s">
        <v>254</v>
      </c>
      <c r="G3577" s="5" t="s">
        <v>726</v>
      </c>
      <c r="H3577" s="6" t="s">
        <v>5796</v>
      </c>
      <c r="I3577" s="5" t="s">
        <v>5795</v>
      </c>
      <c r="J3577" s="7">
        <f>1</f>
        <v>1</v>
      </c>
      <c r="K3577" s="5" t="s">
        <v>3682</v>
      </c>
      <c r="L3577" s="7">
        <f>1</f>
        <v>1</v>
      </c>
      <c r="M3577" s="7">
        <f>1</f>
        <v>1</v>
      </c>
      <c r="N3577" s="5" t="s">
        <v>242</v>
      </c>
      <c r="O3577" s="5">
        <v>1</v>
      </c>
      <c r="P3577" s="5" t="s">
        <v>294</v>
      </c>
      <c r="Q3577" s="5" t="s">
        <v>613</v>
      </c>
      <c r="R3577" s="5" t="s">
        <v>240</v>
      </c>
      <c r="S3577" s="5" t="s">
        <v>240</v>
      </c>
      <c r="T3577" s="5" t="s">
        <v>243</v>
      </c>
      <c r="U3577" s="5" t="s">
        <v>724</v>
      </c>
      <c r="V3577" s="5" t="s">
        <v>240</v>
      </c>
      <c r="W3577" s="5" t="s">
        <v>240</v>
      </c>
      <c r="X3577" s="5" t="s">
        <v>240</v>
      </c>
      <c r="Y3577" s="5" t="s">
        <v>240</v>
      </c>
      <c r="Z3577" s="6" t="s">
        <v>298</v>
      </c>
      <c r="AA3577" s="6" t="s">
        <v>240</v>
      </c>
      <c r="AB3577" s="6" t="s">
        <v>240</v>
      </c>
      <c r="AC3577" s="5" t="s">
        <v>240</v>
      </c>
      <c r="AD3577" s="6" t="s">
        <v>240</v>
      </c>
      <c r="AE3577" s="6" t="s">
        <v>299</v>
      </c>
      <c r="AF3577" s="5" t="s">
        <v>727</v>
      </c>
      <c r="AG3577" s="5" t="s">
        <v>260</v>
      </c>
      <c r="AH3577" s="5" t="s">
        <v>240</v>
      </c>
      <c r="AI3577" s="5" t="s">
        <v>240</v>
      </c>
      <c r="AJ3577" s="5" t="s">
        <v>240</v>
      </c>
      <c r="AK3577" s="5" t="s">
        <v>240</v>
      </c>
      <c r="AL3577" s="5" t="s">
        <v>240</v>
      </c>
      <c r="AM3577" s="5" t="s">
        <v>240</v>
      </c>
      <c r="AN3577" s="5" t="s">
        <v>240</v>
      </c>
      <c r="AO3577" s="5" t="s">
        <v>240</v>
      </c>
      <c r="AP3577" s="6" t="s">
        <v>240</v>
      </c>
      <c r="AQ3577" s="6" t="s">
        <v>240</v>
      </c>
      <c r="AR3577" s="6" t="s">
        <v>240</v>
      </c>
      <c r="AS3577" s="6" t="s">
        <v>240</v>
      </c>
      <c r="AT3577" s="5" t="s">
        <v>240</v>
      </c>
      <c r="AU3577" s="5" t="s">
        <v>729</v>
      </c>
      <c r="AV3577" s="5" t="s">
        <v>729</v>
      </c>
      <c r="AW3577" s="5" t="s">
        <v>251</v>
      </c>
      <c r="AX3577" s="5" t="s">
        <v>252</v>
      </c>
      <c r="AY3577" s="5" t="s">
        <v>253</v>
      </c>
      <c r="AZ3577" s="5" t="s">
        <v>240</v>
      </c>
      <c r="BA3577" s="5" t="s">
        <v>255</v>
      </c>
      <c r="BB3577" s="5" t="s">
        <v>731</v>
      </c>
      <c r="BD3577" s="5" t="s">
        <v>240</v>
      </c>
      <c r="BF3577" s="5" t="s">
        <v>732</v>
      </c>
      <c r="BG3577" s="6" t="s">
        <v>733</v>
      </c>
      <c r="BH3577" s="5" t="s">
        <v>734</v>
      </c>
      <c r="BI3577" s="5" t="s">
        <v>734</v>
      </c>
      <c r="BJ3577" s="5" t="s">
        <v>240</v>
      </c>
      <c r="BK3577" s="8">
        <f>1606.61</f>
        <v>1606.61</v>
      </c>
      <c r="BL3577" s="7">
        <f>0</f>
        <v>0</v>
      </c>
      <c r="BM3577" s="5" t="s">
        <v>258</v>
      </c>
      <c r="BN3577" s="5" t="s">
        <v>259</v>
      </c>
      <c r="BO3577" s="5" t="s">
        <v>240</v>
      </c>
      <c r="BP3577" s="5" t="s">
        <v>240</v>
      </c>
      <c r="BQ3577" s="5" t="s">
        <v>240</v>
      </c>
      <c r="BR3577" s="5" t="s">
        <v>240</v>
      </c>
      <c r="BS3577" s="5" t="s">
        <v>240</v>
      </c>
      <c r="BT3577" s="5" t="s">
        <v>240</v>
      </c>
      <c r="BU3577" s="5" t="s">
        <v>240</v>
      </c>
      <c r="BV3577" s="5" t="s">
        <v>240</v>
      </c>
      <c r="BW3577" s="6" t="s">
        <v>240</v>
      </c>
      <c r="BX3577" s="5" t="s">
        <v>240</v>
      </c>
      <c r="BY3577" s="5" t="s">
        <v>240</v>
      </c>
      <c r="BZ3577" s="5" t="s">
        <v>240</v>
      </c>
      <c r="CA3577" s="5" t="s">
        <v>259</v>
      </c>
      <c r="CB3577" s="5" t="s">
        <v>240</v>
      </c>
      <c r="CC3577" s="5" t="s">
        <v>240</v>
      </c>
      <c r="CD3577" s="5" t="s">
        <v>240</v>
      </c>
      <c r="CE3577" s="5" t="s">
        <v>240</v>
      </c>
      <c r="CF3577" s="5" t="s">
        <v>240</v>
      </c>
      <c r="CG3577" s="5" t="s">
        <v>617</v>
      </c>
      <c r="CH3577" s="5" t="s">
        <v>305</v>
      </c>
      <c r="CI3577" s="5" t="s">
        <v>240</v>
      </c>
      <c r="CL3577" s="6" t="s">
        <v>261</v>
      </c>
      <c r="CM3577" s="5" t="s">
        <v>262</v>
      </c>
      <c r="CN3577" s="5" t="s">
        <v>263</v>
      </c>
      <c r="CO3577" s="5" t="s">
        <v>264</v>
      </c>
      <c r="CP3577" s="5" t="s">
        <v>240</v>
      </c>
      <c r="CQ3577" s="5">
        <v>0</v>
      </c>
      <c r="CR3577" s="5" t="s">
        <v>735</v>
      </c>
      <c r="CS3577" s="5" t="s">
        <v>307</v>
      </c>
      <c r="CT3577" s="5" t="s">
        <v>307</v>
      </c>
      <c r="CU3577" s="5" t="s">
        <v>260</v>
      </c>
      <c r="CV3577" s="5" t="s">
        <v>240</v>
      </c>
      <c r="CW3577" s="8">
        <f>0</f>
        <v>0</v>
      </c>
      <c r="CX3577" s="7">
        <f>0</f>
        <v>0</v>
      </c>
      <c r="CY3577" s="7">
        <f>0</f>
        <v>0</v>
      </c>
      <c r="DA3577" s="7">
        <f>17672</f>
        <v>17672</v>
      </c>
      <c r="DB3577" s="7" t="s">
        <v>240</v>
      </c>
      <c r="DC3577" s="5" t="s">
        <v>240</v>
      </c>
      <c r="DD3577" s="5" t="s">
        <v>240</v>
      </c>
      <c r="DE3577" s="5" t="s">
        <v>240</v>
      </c>
      <c r="DF3577" s="5" t="s">
        <v>450</v>
      </c>
      <c r="DG3577" s="7">
        <f>0</f>
        <v>0</v>
      </c>
      <c r="DI3577" s="5" t="s">
        <v>737</v>
      </c>
      <c r="DJ3577" s="5" t="s">
        <v>240</v>
      </c>
      <c r="DK3577" s="5" t="s">
        <v>240</v>
      </c>
      <c r="DL3577" s="5" t="s">
        <v>240</v>
      </c>
      <c r="DM3577" s="5" t="s">
        <v>240</v>
      </c>
      <c r="DN3577" s="5" t="s">
        <v>240</v>
      </c>
      <c r="DO3577" s="7" t="s">
        <v>240</v>
      </c>
      <c r="DP3577" s="5" t="s">
        <v>240</v>
      </c>
      <c r="DQ3577" s="5" t="s">
        <v>240</v>
      </c>
      <c r="DR3577" s="5" t="s">
        <v>731</v>
      </c>
      <c r="DS3577" s="5" t="s">
        <v>731</v>
      </c>
      <c r="DT3577" s="5" t="s">
        <v>240</v>
      </c>
      <c r="DU3577" s="5" t="s">
        <v>240</v>
      </c>
      <c r="DV3577" s="5" t="s">
        <v>738</v>
      </c>
      <c r="DW3577" s="5" t="s">
        <v>249</v>
      </c>
      <c r="DX3577" s="5" t="s">
        <v>240</v>
      </c>
      <c r="DY3577" s="5" t="s">
        <v>240</v>
      </c>
      <c r="DZ3577" s="5" t="s">
        <v>240</v>
      </c>
      <c r="EA3577" s="5" t="s">
        <v>240</v>
      </c>
      <c r="EB3577" s="5" t="s">
        <v>240</v>
      </c>
      <c r="EC3577" s="5" t="s">
        <v>240</v>
      </c>
      <c r="ED3577" s="5" t="s">
        <v>240</v>
      </c>
      <c r="EE3577" s="5" t="s">
        <v>240</v>
      </c>
      <c r="EF3577" s="5" t="s">
        <v>240</v>
      </c>
      <c r="EG3577" s="5" t="s">
        <v>240</v>
      </c>
      <c r="EH3577" s="5" t="s">
        <v>240</v>
      </c>
      <c r="EI3577" s="5" t="s">
        <v>240</v>
      </c>
      <c r="EJ3577" s="5" t="s">
        <v>240</v>
      </c>
      <c r="EK3577" s="5" t="s">
        <v>240</v>
      </c>
      <c r="EL3577" s="5" t="s">
        <v>240</v>
      </c>
      <c r="EM3577" s="5" t="s">
        <v>240</v>
      </c>
      <c r="EN3577" s="5" t="s">
        <v>240</v>
      </c>
      <c r="EO3577" s="5" t="s">
        <v>240</v>
      </c>
      <c r="EP3577" s="5" t="s">
        <v>240</v>
      </c>
      <c r="EQ3577" s="5" t="s">
        <v>240</v>
      </c>
      <c r="ER3577" s="5" t="s">
        <v>240</v>
      </c>
      <c r="ES3577" s="5" t="s">
        <v>240</v>
      </c>
      <c r="ET3577" s="5" t="s">
        <v>240</v>
      </c>
      <c r="EU3577" s="5" t="s">
        <v>240</v>
      </c>
      <c r="EV3577" s="5" t="s">
        <v>240</v>
      </c>
      <c r="EW3577" s="5" t="s">
        <v>240</v>
      </c>
      <c r="EX3577" s="5" t="s">
        <v>240</v>
      </c>
      <c r="EY3577" s="5" t="s">
        <v>240</v>
      </c>
      <c r="EZ3577" s="5" t="s">
        <v>240</v>
      </c>
      <c r="FA3577" s="5" t="s">
        <v>240</v>
      </c>
      <c r="FB3577" s="5" t="s">
        <v>240</v>
      </c>
      <c r="FC3577" s="5" t="s">
        <v>240</v>
      </c>
      <c r="FD3577" s="5" t="s">
        <v>240</v>
      </c>
      <c r="FE3577" s="5" t="s">
        <v>240</v>
      </c>
      <c r="FF3577" s="5" t="s">
        <v>240</v>
      </c>
      <c r="FG3577" s="5" t="s">
        <v>240</v>
      </c>
      <c r="FH3577" s="5" t="s">
        <v>240</v>
      </c>
      <c r="FI3577" s="5" t="s">
        <v>240</v>
      </c>
      <c r="FJ3577" s="5" t="s">
        <v>240</v>
      </c>
      <c r="FK3577" s="5" t="s">
        <v>240</v>
      </c>
      <c r="FL3577" s="5" t="s">
        <v>240</v>
      </c>
      <c r="FM3577" s="5" t="s">
        <v>240</v>
      </c>
      <c r="FN3577" s="5" t="s">
        <v>240</v>
      </c>
      <c r="FO3577" s="5" t="s">
        <v>240</v>
      </c>
      <c r="FP3577" s="5" t="s">
        <v>240</v>
      </c>
      <c r="FQ3577" s="5" t="s">
        <v>240</v>
      </c>
      <c r="FR3577" s="5" t="s">
        <v>240</v>
      </c>
      <c r="FS3577" s="5" t="s">
        <v>240</v>
      </c>
      <c r="FT3577" s="5" t="s">
        <v>240</v>
      </c>
      <c r="FU3577" s="5" t="s">
        <v>240</v>
      </c>
      <c r="FV3577" s="5" t="s">
        <v>240</v>
      </c>
      <c r="FW3577" s="5" t="s">
        <v>240</v>
      </c>
      <c r="FX3577" s="5" t="s">
        <v>240</v>
      </c>
      <c r="FY3577" s="5" t="s">
        <v>240</v>
      </c>
      <c r="FZ3577" s="5" t="s">
        <v>240</v>
      </c>
      <c r="GA3577" s="5" t="s">
        <v>240</v>
      </c>
      <c r="GB3577" s="5" t="s">
        <v>240</v>
      </c>
      <c r="GC3577" s="5" t="s">
        <v>240</v>
      </c>
      <c r="GD3577" s="5" t="s">
        <v>240</v>
      </c>
      <c r="GE3577" s="5" t="s">
        <v>240</v>
      </c>
      <c r="GF3577" s="5" t="s">
        <v>240</v>
      </c>
      <c r="GG3577" s="5" t="s">
        <v>240</v>
      </c>
      <c r="GH3577" s="5" t="s">
        <v>240</v>
      </c>
      <c r="GI3577" s="5" t="s">
        <v>240</v>
      </c>
      <c r="GJ3577" s="5" t="s">
        <v>240</v>
      </c>
      <c r="GK3577" s="5" t="s">
        <v>240</v>
      </c>
      <c r="GL3577" s="5" t="s">
        <v>240</v>
      </c>
      <c r="GM3577" s="5" t="s">
        <v>240</v>
      </c>
      <c r="GN3577" s="5" t="s">
        <v>240</v>
      </c>
      <c r="GO3577" s="5" t="s">
        <v>240</v>
      </c>
      <c r="GP3577" s="5" t="s">
        <v>240</v>
      </c>
      <c r="GQ3577" s="5" t="s">
        <v>240</v>
      </c>
      <c r="GR3577" s="5" t="s">
        <v>240</v>
      </c>
      <c r="GS3577" s="5" t="s">
        <v>240</v>
      </c>
      <c r="GT3577" s="5" t="s">
        <v>240</v>
      </c>
      <c r="GU3577" s="5" t="s">
        <v>240</v>
      </c>
      <c r="GV3577" s="5" t="s">
        <v>240</v>
      </c>
      <c r="GW3577" s="5" t="s">
        <v>240</v>
      </c>
      <c r="GX3577" s="5" t="s">
        <v>240</v>
      </c>
      <c r="GY3577" s="5" t="s">
        <v>240</v>
      </c>
      <c r="GZ3577" s="5" t="s">
        <v>240</v>
      </c>
      <c r="HA3577" s="5" t="s">
        <v>240</v>
      </c>
      <c r="HB3577" s="5" t="s">
        <v>240</v>
      </c>
      <c r="HC3577" s="5" t="s">
        <v>240</v>
      </c>
      <c r="HD3577" s="5" t="s">
        <v>240</v>
      </c>
      <c r="HE3577" s="5" t="s">
        <v>240</v>
      </c>
      <c r="HF3577" s="5" t="s">
        <v>240</v>
      </c>
      <c r="HG3577" s="5" t="s">
        <v>240</v>
      </c>
      <c r="HH3577" s="5" t="s">
        <v>240</v>
      </c>
      <c r="HI3577" s="5" t="s">
        <v>240</v>
      </c>
      <c r="HJ3577" s="5" t="s">
        <v>240</v>
      </c>
      <c r="HK3577" s="5" t="s">
        <v>240</v>
      </c>
      <c r="HL3577" s="5" t="s">
        <v>240</v>
      </c>
      <c r="HM3577" s="5" t="s">
        <v>240</v>
      </c>
      <c r="HN3577" s="5" t="s">
        <v>240</v>
      </c>
      <c r="HO3577" s="5" t="s">
        <v>620</v>
      </c>
      <c r="HP3577" s="5" t="s">
        <v>240</v>
      </c>
      <c r="HQ3577" s="5" t="s">
        <v>240</v>
      </c>
      <c r="HR3577" s="5" t="s">
        <v>240</v>
      </c>
      <c r="HS3577" s="5" t="s">
        <v>240</v>
      </c>
      <c r="HT3577" s="5" t="s">
        <v>240</v>
      </c>
      <c r="HU3577" s="5" t="s">
        <v>240</v>
      </c>
      <c r="HV3577" s="5" t="s">
        <v>240</v>
      </c>
      <c r="HW3577" s="5" t="s">
        <v>240</v>
      </c>
      <c r="HX3577" s="5" t="s">
        <v>240</v>
      </c>
      <c r="HY3577" s="5" t="s">
        <v>240</v>
      </c>
      <c r="HZ3577" s="5" t="s">
        <v>240</v>
      </c>
      <c r="IA3577" s="5" t="s">
        <v>240</v>
      </c>
      <c r="IB3577" s="5" t="s">
        <v>240</v>
      </c>
      <c r="IC3577" s="5" t="s">
        <v>240</v>
      </c>
      <c r="ID3577" s="5" t="s">
        <v>240</v>
      </c>
      <c r="IE3577" s="5" t="s">
        <v>240</v>
      </c>
      <c r="IF3577" s="5" t="s">
        <v>240</v>
      </c>
    </row>
    <row r="3578" spans="1:240" x14ac:dyDescent="0.4">
      <c r="A3578" s="5">
        <v>9120</v>
      </c>
      <c r="B3578" s="5">
        <v>1</v>
      </c>
      <c r="C3578" s="5">
        <v>1</v>
      </c>
      <c r="D3578" s="5" t="s">
        <v>723</v>
      </c>
      <c r="E3578" s="5" t="s">
        <v>725</v>
      </c>
      <c r="F3578" s="5" t="s">
        <v>254</v>
      </c>
      <c r="G3578" s="5" t="s">
        <v>5794</v>
      </c>
      <c r="H3578" s="6" t="s">
        <v>5793</v>
      </c>
      <c r="I3578" s="5" t="s">
        <v>5793</v>
      </c>
      <c r="J3578" s="7">
        <f>1</f>
        <v>1</v>
      </c>
      <c r="K3578" s="5" t="s">
        <v>3682</v>
      </c>
      <c r="L3578" s="7">
        <f>1</f>
        <v>1</v>
      </c>
      <c r="M3578" s="7">
        <f>1</f>
        <v>1</v>
      </c>
      <c r="N3578" s="5" t="s">
        <v>242</v>
      </c>
      <c r="O3578" s="5">
        <v>1</v>
      </c>
      <c r="P3578" s="5" t="s">
        <v>294</v>
      </c>
      <c r="Q3578" s="5" t="s">
        <v>613</v>
      </c>
      <c r="R3578" s="5" t="s">
        <v>240</v>
      </c>
      <c r="S3578" s="5" t="s">
        <v>240</v>
      </c>
      <c r="T3578" s="5" t="s">
        <v>243</v>
      </c>
      <c r="U3578" s="5" t="s">
        <v>724</v>
      </c>
      <c r="V3578" s="5" t="s">
        <v>240</v>
      </c>
      <c r="W3578" s="5" t="s">
        <v>240</v>
      </c>
      <c r="X3578" s="5" t="s">
        <v>240</v>
      </c>
      <c r="Y3578" s="5" t="s">
        <v>240</v>
      </c>
      <c r="Z3578" s="6" t="s">
        <v>298</v>
      </c>
      <c r="AA3578" s="6" t="s">
        <v>240</v>
      </c>
      <c r="AB3578" s="6" t="s">
        <v>240</v>
      </c>
      <c r="AC3578" s="5" t="s">
        <v>240</v>
      </c>
      <c r="AD3578" s="6" t="s">
        <v>240</v>
      </c>
      <c r="AE3578" s="6" t="s">
        <v>299</v>
      </c>
      <c r="AF3578" s="5" t="s">
        <v>727</v>
      </c>
      <c r="AG3578" s="5" t="s">
        <v>260</v>
      </c>
      <c r="AH3578" s="5" t="s">
        <v>240</v>
      </c>
      <c r="AI3578" s="5" t="s">
        <v>240</v>
      </c>
      <c r="AJ3578" s="5" t="s">
        <v>240</v>
      </c>
      <c r="AK3578" s="5" t="s">
        <v>240</v>
      </c>
      <c r="AL3578" s="5" t="s">
        <v>240</v>
      </c>
      <c r="AM3578" s="5" t="s">
        <v>240</v>
      </c>
      <c r="AN3578" s="5" t="s">
        <v>240</v>
      </c>
      <c r="AO3578" s="5" t="s">
        <v>240</v>
      </c>
      <c r="AP3578" s="6" t="s">
        <v>240</v>
      </c>
      <c r="AQ3578" s="6" t="s">
        <v>240</v>
      </c>
      <c r="AR3578" s="6" t="s">
        <v>240</v>
      </c>
      <c r="AS3578" s="6" t="s">
        <v>240</v>
      </c>
      <c r="AT3578" s="5" t="s">
        <v>240</v>
      </c>
      <c r="AU3578" s="5" t="s">
        <v>729</v>
      </c>
      <c r="AV3578" s="5" t="s">
        <v>729</v>
      </c>
      <c r="AW3578" s="5" t="s">
        <v>251</v>
      </c>
      <c r="AX3578" s="5" t="s">
        <v>252</v>
      </c>
      <c r="AY3578" s="5" t="s">
        <v>253</v>
      </c>
      <c r="AZ3578" s="5" t="s">
        <v>240</v>
      </c>
      <c r="BA3578" s="5" t="s">
        <v>255</v>
      </c>
      <c r="BB3578" s="5" t="s">
        <v>731</v>
      </c>
      <c r="BD3578" s="5" t="s">
        <v>240</v>
      </c>
      <c r="BF3578" s="5" t="s">
        <v>732</v>
      </c>
      <c r="BG3578" s="6" t="s">
        <v>733</v>
      </c>
      <c r="BH3578" s="5" t="s">
        <v>734</v>
      </c>
      <c r="BI3578" s="5" t="s">
        <v>734</v>
      </c>
      <c r="BJ3578" s="5" t="s">
        <v>240</v>
      </c>
      <c r="BK3578" s="8">
        <f>623</f>
        <v>623</v>
      </c>
      <c r="BL3578" s="7">
        <f>0</f>
        <v>0</v>
      </c>
      <c r="BM3578" s="5" t="s">
        <v>258</v>
      </c>
      <c r="BN3578" s="5" t="s">
        <v>259</v>
      </c>
      <c r="BO3578" s="5" t="s">
        <v>240</v>
      </c>
      <c r="BP3578" s="5" t="s">
        <v>240</v>
      </c>
      <c r="BQ3578" s="5" t="s">
        <v>240</v>
      </c>
      <c r="BR3578" s="5" t="s">
        <v>240</v>
      </c>
      <c r="BS3578" s="5" t="s">
        <v>240</v>
      </c>
      <c r="BT3578" s="5" t="s">
        <v>240</v>
      </c>
      <c r="BU3578" s="5" t="s">
        <v>240</v>
      </c>
      <c r="BV3578" s="5" t="s">
        <v>240</v>
      </c>
      <c r="BW3578" s="6" t="s">
        <v>240</v>
      </c>
      <c r="BX3578" s="5" t="s">
        <v>240</v>
      </c>
      <c r="BY3578" s="5" t="s">
        <v>240</v>
      </c>
      <c r="BZ3578" s="5" t="s">
        <v>240</v>
      </c>
      <c r="CA3578" s="5" t="s">
        <v>259</v>
      </c>
      <c r="CB3578" s="5" t="s">
        <v>240</v>
      </c>
      <c r="CC3578" s="5" t="s">
        <v>240</v>
      </c>
      <c r="CD3578" s="5" t="s">
        <v>240</v>
      </c>
      <c r="CE3578" s="5" t="s">
        <v>240</v>
      </c>
      <c r="CF3578" s="5" t="s">
        <v>240</v>
      </c>
      <c r="CG3578" s="5" t="s">
        <v>617</v>
      </c>
      <c r="CH3578" s="5" t="s">
        <v>305</v>
      </c>
      <c r="CI3578" s="5" t="s">
        <v>240</v>
      </c>
      <c r="CL3578" s="6" t="s">
        <v>261</v>
      </c>
      <c r="CM3578" s="5" t="s">
        <v>262</v>
      </c>
      <c r="CN3578" s="5" t="s">
        <v>263</v>
      </c>
      <c r="CO3578" s="5" t="s">
        <v>264</v>
      </c>
      <c r="CP3578" s="5" t="s">
        <v>240</v>
      </c>
      <c r="CQ3578" s="5">
        <v>0</v>
      </c>
      <c r="CR3578" s="5" t="s">
        <v>735</v>
      </c>
      <c r="CS3578" s="5" t="s">
        <v>307</v>
      </c>
      <c r="CT3578" s="5" t="s">
        <v>307</v>
      </c>
      <c r="CU3578" s="5" t="s">
        <v>260</v>
      </c>
      <c r="CV3578" s="5" t="s">
        <v>240</v>
      </c>
      <c r="CW3578" s="8">
        <f>0</f>
        <v>0</v>
      </c>
      <c r="CX3578" s="7">
        <f>0</f>
        <v>0</v>
      </c>
      <c r="CY3578" s="7">
        <f>0</f>
        <v>0</v>
      </c>
      <c r="DA3578" s="7">
        <f>6853</f>
        <v>6853</v>
      </c>
      <c r="DB3578" s="7" t="s">
        <v>240</v>
      </c>
      <c r="DC3578" s="5" t="s">
        <v>240</v>
      </c>
      <c r="DD3578" s="5" t="s">
        <v>240</v>
      </c>
      <c r="DE3578" s="5" t="s">
        <v>240</v>
      </c>
      <c r="DF3578" s="5" t="s">
        <v>450</v>
      </c>
      <c r="DG3578" s="7">
        <f>0</f>
        <v>0</v>
      </c>
      <c r="DI3578" s="5" t="s">
        <v>737</v>
      </c>
      <c r="DJ3578" s="5" t="s">
        <v>240</v>
      </c>
      <c r="DK3578" s="5" t="s">
        <v>240</v>
      </c>
      <c r="DL3578" s="5" t="s">
        <v>240</v>
      </c>
      <c r="DM3578" s="5" t="s">
        <v>240</v>
      </c>
      <c r="DN3578" s="5" t="s">
        <v>240</v>
      </c>
      <c r="DO3578" s="7" t="s">
        <v>240</v>
      </c>
      <c r="DP3578" s="5" t="s">
        <v>240</v>
      </c>
      <c r="DQ3578" s="5" t="s">
        <v>240</v>
      </c>
      <c r="DR3578" s="5" t="s">
        <v>731</v>
      </c>
      <c r="DS3578" s="5" t="s">
        <v>731</v>
      </c>
      <c r="DT3578" s="5" t="s">
        <v>240</v>
      </c>
      <c r="DU3578" s="5" t="s">
        <v>240</v>
      </c>
      <c r="DV3578" s="5" t="s">
        <v>738</v>
      </c>
      <c r="DW3578" s="5" t="s">
        <v>1212</v>
      </c>
      <c r="DX3578" s="5" t="s">
        <v>240</v>
      </c>
      <c r="DY3578" s="5" t="s">
        <v>240</v>
      </c>
      <c r="DZ3578" s="5" t="s">
        <v>240</v>
      </c>
      <c r="EA3578" s="5" t="s">
        <v>240</v>
      </c>
      <c r="EB3578" s="5" t="s">
        <v>240</v>
      </c>
      <c r="EC3578" s="5" t="s">
        <v>240</v>
      </c>
      <c r="ED3578" s="5" t="s">
        <v>240</v>
      </c>
      <c r="EE3578" s="5" t="s">
        <v>240</v>
      </c>
      <c r="EF3578" s="5" t="s">
        <v>240</v>
      </c>
      <c r="EG3578" s="5" t="s">
        <v>240</v>
      </c>
      <c r="EH3578" s="5" t="s">
        <v>240</v>
      </c>
      <c r="EI3578" s="5" t="s">
        <v>240</v>
      </c>
      <c r="EJ3578" s="5" t="s">
        <v>240</v>
      </c>
      <c r="EK3578" s="5" t="s">
        <v>240</v>
      </c>
      <c r="EL3578" s="5" t="s">
        <v>240</v>
      </c>
      <c r="EM3578" s="5" t="s">
        <v>240</v>
      </c>
      <c r="EN3578" s="5" t="s">
        <v>240</v>
      </c>
      <c r="EO3578" s="5" t="s">
        <v>240</v>
      </c>
      <c r="EP3578" s="5" t="s">
        <v>240</v>
      </c>
      <c r="EQ3578" s="5" t="s">
        <v>240</v>
      </c>
      <c r="ER3578" s="5" t="s">
        <v>240</v>
      </c>
      <c r="ES3578" s="5" t="s">
        <v>240</v>
      </c>
      <c r="ET3578" s="5" t="s">
        <v>240</v>
      </c>
      <c r="EU3578" s="5" t="s">
        <v>240</v>
      </c>
      <c r="EV3578" s="5" t="s">
        <v>240</v>
      </c>
      <c r="EW3578" s="5" t="s">
        <v>240</v>
      </c>
      <c r="EX3578" s="5" t="s">
        <v>240</v>
      </c>
      <c r="EY3578" s="5" t="s">
        <v>240</v>
      </c>
      <c r="EZ3578" s="5" t="s">
        <v>240</v>
      </c>
      <c r="FA3578" s="5" t="s">
        <v>240</v>
      </c>
      <c r="FB3578" s="5" t="s">
        <v>240</v>
      </c>
      <c r="FC3578" s="5" t="s">
        <v>240</v>
      </c>
      <c r="FD3578" s="5" t="s">
        <v>240</v>
      </c>
      <c r="FE3578" s="5" t="s">
        <v>240</v>
      </c>
      <c r="FF3578" s="5" t="s">
        <v>240</v>
      </c>
      <c r="FG3578" s="5" t="s">
        <v>240</v>
      </c>
      <c r="FH3578" s="5" t="s">
        <v>240</v>
      </c>
      <c r="FI3578" s="5" t="s">
        <v>240</v>
      </c>
      <c r="FJ3578" s="5" t="s">
        <v>240</v>
      </c>
      <c r="FK3578" s="5" t="s">
        <v>240</v>
      </c>
      <c r="FL3578" s="5" t="s">
        <v>240</v>
      </c>
      <c r="FM3578" s="5" t="s">
        <v>240</v>
      </c>
      <c r="FN3578" s="5" t="s">
        <v>240</v>
      </c>
      <c r="FO3578" s="5" t="s">
        <v>240</v>
      </c>
      <c r="FP3578" s="5" t="s">
        <v>240</v>
      </c>
      <c r="FQ3578" s="5" t="s">
        <v>240</v>
      </c>
      <c r="FR3578" s="5" t="s">
        <v>240</v>
      </c>
      <c r="FS3578" s="5" t="s">
        <v>240</v>
      </c>
      <c r="FT3578" s="5" t="s">
        <v>240</v>
      </c>
      <c r="FU3578" s="5" t="s">
        <v>240</v>
      </c>
      <c r="FV3578" s="5" t="s">
        <v>240</v>
      </c>
      <c r="FW3578" s="5" t="s">
        <v>240</v>
      </c>
      <c r="FX3578" s="5" t="s">
        <v>240</v>
      </c>
      <c r="FY3578" s="5" t="s">
        <v>240</v>
      </c>
      <c r="FZ3578" s="5" t="s">
        <v>240</v>
      </c>
      <c r="GA3578" s="5" t="s">
        <v>240</v>
      </c>
      <c r="GB3578" s="5" t="s">
        <v>240</v>
      </c>
      <c r="GC3578" s="5" t="s">
        <v>240</v>
      </c>
      <c r="GD3578" s="5" t="s">
        <v>240</v>
      </c>
      <c r="GE3578" s="5" t="s">
        <v>240</v>
      </c>
      <c r="GF3578" s="5" t="s">
        <v>240</v>
      </c>
      <c r="GG3578" s="5" t="s">
        <v>240</v>
      </c>
      <c r="GH3578" s="5" t="s">
        <v>240</v>
      </c>
      <c r="GI3578" s="5" t="s">
        <v>240</v>
      </c>
      <c r="GJ3578" s="5" t="s">
        <v>240</v>
      </c>
      <c r="GK3578" s="5" t="s">
        <v>240</v>
      </c>
      <c r="GL3578" s="5" t="s">
        <v>240</v>
      </c>
      <c r="GM3578" s="5" t="s">
        <v>240</v>
      </c>
      <c r="GN3578" s="5" t="s">
        <v>240</v>
      </c>
      <c r="GO3578" s="5" t="s">
        <v>240</v>
      </c>
      <c r="GP3578" s="5" t="s">
        <v>240</v>
      </c>
      <c r="GQ3578" s="5" t="s">
        <v>240</v>
      </c>
      <c r="GR3578" s="5" t="s">
        <v>240</v>
      </c>
      <c r="GS3578" s="5" t="s">
        <v>240</v>
      </c>
      <c r="GT3578" s="5" t="s">
        <v>240</v>
      </c>
      <c r="GU3578" s="5" t="s">
        <v>240</v>
      </c>
      <c r="GV3578" s="5" t="s">
        <v>240</v>
      </c>
      <c r="GW3578" s="5" t="s">
        <v>240</v>
      </c>
      <c r="GX3578" s="5" t="s">
        <v>240</v>
      </c>
      <c r="GY3578" s="5" t="s">
        <v>240</v>
      </c>
      <c r="GZ3578" s="5" t="s">
        <v>240</v>
      </c>
      <c r="HA3578" s="5" t="s">
        <v>240</v>
      </c>
      <c r="HB3578" s="5" t="s">
        <v>240</v>
      </c>
      <c r="HC3578" s="5" t="s">
        <v>240</v>
      </c>
      <c r="HD3578" s="5" t="s">
        <v>240</v>
      </c>
      <c r="HE3578" s="5" t="s">
        <v>240</v>
      </c>
      <c r="HF3578" s="5" t="s">
        <v>240</v>
      </c>
      <c r="HG3578" s="5" t="s">
        <v>240</v>
      </c>
      <c r="HH3578" s="5" t="s">
        <v>240</v>
      </c>
      <c r="HI3578" s="5" t="s">
        <v>240</v>
      </c>
      <c r="HJ3578" s="5" t="s">
        <v>240</v>
      </c>
      <c r="HK3578" s="5" t="s">
        <v>240</v>
      </c>
      <c r="HL3578" s="5" t="s">
        <v>240</v>
      </c>
      <c r="HM3578" s="5" t="s">
        <v>240</v>
      </c>
      <c r="HN3578" s="5" t="s">
        <v>240</v>
      </c>
      <c r="HO3578" s="5" t="s">
        <v>312</v>
      </c>
      <c r="HP3578" s="5" t="s">
        <v>240</v>
      </c>
      <c r="HQ3578" s="5" t="s">
        <v>240</v>
      </c>
      <c r="HR3578" s="5" t="s">
        <v>240</v>
      </c>
      <c r="HS3578" s="5" t="s">
        <v>240</v>
      </c>
      <c r="HT3578" s="5" t="s">
        <v>240</v>
      </c>
      <c r="HU3578" s="5" t="s">
        <v>240</v>
      </c>
      <c r="HV3578" s="5" t="s">
        <v>240</v>
      </c>
      <c r="HW3578" s="5" t="s">
        <v>240</v>
      </c>
      <c r="HX3578" s="5" t="s">
        <v>240</v>
      </c>
      <c r="HY3578" s="5" t="s">
        <v>240</v>
      </c>
      <c r="HZ3578" s="5" t="s">
        <v>240</v>
      </c>
      <c r="IA3578" s="5" t="s">
        <v>240</v>
      </c>
      <c r="IB3578" s="5" t="s">
        <v>240</v>
      </c>
      <c r="IC3578" s="5" t="s">
        <v>240</v>
      </c>
      <c r="ID3578" s="5" t="s">
        <v>240</v>
      </c>
      <c r="IE3578" s="5" t="s">
        <v>240</v>
      </c>
      <c r="IF3578" s="5" t="s">
        <v>240</v>
      </c>
    </row>
    <row r="3579" spans="1:240" x14ac:dyDescent="0.4">
      <c r="A3579" s="5">
        <v>9121</v>
      </c>
      <c r="B3579" s="5">
        <v>1</v>
      </c>
      <c r="C3579" s="5">
        <v>1</v>
      </c>
      <c r="D3579" s="5" t="s">
        <v>723</v>
      </c>
      <c r="E3579" s="5" t="s">
        <v>725</v>
      </c>
      <c r="F3579" s="5" t="s">
        <v>254</v>
      </c>
      <c r="G3579" s="5" t="s">
        <v>726</v>
      </c>
      <c r="H3579" s="6" t="s">
        <v>5792</v>
      </c>
      <c r="I3579" s="5" t="s">
        <v>5791</v>
      </c>
      <c r="J3579" s="7">
        <f>1</f>
        <v>1</v>
      </c>
      <c r="K3579" s="5" t="s">
        <v>3682</v>
      </c>
      <c r="L3579" s="7">
        <f>1</f>
        <v>1</v>
      </c>
      <c r="M3579" s="7">
        <f>1</f>
        <v>1</v>
      </c>
      <c r="N3579" s="5" t="s">
        <v>242</v>
      </c>
      <c r="O3579" s="5">
        <v>1</v>
      </c>
      <c r="P3579" s="5" t="s">
        <v>294</v>
      </c>
      <c r="Q3579" s="5" t="s">
        <v>613</v>
      </c>
      <c r="R3579" s="5" t="s">
        <v>240</v>
      </c>
      <c r="S3579" s="5" t="s">
        <v>240</v>
      </c>
      <c r="T3579" s="5" t="s">
        <v>243</v>
      </c>
      <c r="U3579" s="5" t="s">
        <v>724</v>
      </c>
      <c r="V3579" s="5" t="s">
        <v>240</v>
      </c>
      <c r="W3579" s="5" t="s">
        <v>240</v>
      </c>
      <c r="X3579" s="5" t="s">
        <v>240</v>
      </c>
      <c r="Y3579" s="5" t="s">
        <v>240</v>
      </c>
      <c r="Z3579" s="6" t="s">
        <v>298</v>
      </c>
      <c r="AA3579" s="6" t="s">
        <v>240</v>
      </c>
      <c r="AB3579" s="6" t="s">
        <v>240</v>
      </c>
      <c r="AC3579" s="5" t="s">
        <v>240</v>
      </c>
      <c r="AD3579" s="6" t="s">
        <v>240</v>
      </c>
      <c r="AE3579" s="6" t="s">
        <v>299</v>
      </c>
      <c r="AF3579" s="5" t="s">
        <v>727</v>
      </c>
      <c r="AG3579" s="5" t="s">
        <v>260</v>
      </c>
      <c r="AH3579" s="5" t="s">
        <v>240</v>
      </c>
      <c r="AI3579" s="5" t="s">
        <v>240</v>
      </c>
      <c r="AJ3579" s="5" t="s">
        <v>240</v>
      </c>
      <c r="AK3579" s="5" t="s">
        <v>240</v>
      </c>
      <c r="AL3579" s="5" t="s">
        <v>240</v>
      </c>
      <c r="AM3579" s="5" t="s">
        <v>240</v>
      </c>
      <c r="AN3579" s="5" t="s">
        <v>240</v>
      </c>
      <c r="AO3579" s="5" t="s">
        <v>240</v>
      </c>
      <c r="AP3579" s="6" t="s">
        <v>240</v>
      </c>
      <c r="AQ3579" s="6" t="s">
        <v>240</v>
      </c>
      <c r="AR3579" s="6" t="s">
        <v>240</v>
      </c>
      <c r="AS3579" s="6" t="s">
        <v>240</v>
      </c>
      <c r="AT3579" s="5" t="s">
        <v>240</v>
      </c>
      <c r="AU3579" s="5" t="s">
        <v>729</v>
      </c>
      <c r="AV3579" s="5" t="s">
        <v>729</v>
      </c>
      <c r="AW3579" s="5" t="s">
        <v>251</v>
      </c>
      <c r="AX3579" s="5" t="s">
        <v>252</v>
      </c>
      <c r="AY3579" s="5" t="s">
        <v>253</v>
      </c>
      <c r="AZ3579" s="5" t="s">
        <v>240</v>
      </c>
      <c r="BA3579" s="5" t="s">
        <v>255</v>
      </c>
      <c r="BB3579" s="5" t="s">
        <v>731</v>
      </c>
      <c r="BD3579" s="5" t="s">
        <v>240</v>
      </c>
      <c r="BF3579" s="5" t="s">
        <v>732</v>
      </c>
      <c r="BG3579" s="6" t="s">
        <v>733</v>
      </c>
      <c r="BH3579" s="5" t="s">
        <v>734</v>
      </c>
      <c r="BI3579" s="5" t="s">
        <v>734</v>
      </c>
      <c r="BJ3579" s="5" t="s">
        <v>240</v>
      </c>
      <c r="BK3579" s="8">
        <f>1034</f>
        <v>1034</v>
      </c>
      <c r="BL3579" s="7">
        <f>0</f>
        <v>0</v>
      </c>
      <c r="BM3579" s="5" t="s">
        <v>258</v>
      </c>
      <c r="BN3579" s="5" t="s">
        <v>259</v>
      </c>
      <c r="BO3579" s="5" t="s">
        <v>240</v>
      </c>
      <c r="BP3579" s="5" t="s">
        <v>240</v>
      </c>
      <c r="BQ3579" s="5" t="s">
        <v>240</v>
      </c>
      <c r="BR3579" s="5" t="s">
        <v>240</v>
      </c>
      <c r="BS3579" s="5" t="s">
        <v>240</v>
      </c>
      <c r="BT3579" s="5" t="s">
        <v>240</v>
      </c>
      <c r="BU3579" s="5" t="s">
        <v>240</v>
      </c>
      <c r="BV3579" s="5" t="s">
        <v>240</v>
      </c>
      <c r="BW3579" s="6" t="s">
        <v>240</v>
      </c>
      <c r="BX3579" s="5" t="s">
        <v>240</v>
      </c>
      <c r="BY3579" s="5" t="s">
        <v>240</v>
      </c>
      <c r="BZ3579" s="5" t="s">
        <v>240</v>
      </c>
      <c r="CA3579" s="5" t="s">
        <v>259</v>
      </c>
      <c r="CB3579" s="5" t="s">
        <v>240</v>
      </c>
      <c r="CC3579" s="5" t="s">
        <v>240</v>
      </c>
      <c r="CD3579" s="5" t="s">
        <v>240</v>
      </c>
      <c r="CE3579" s="5" t="s">
        <v>240</v>
      </c>
      <c r="CF3579" s="5" t="s">
        <v>240</v>
      </c>
      <c r="CG3579" s="5" t="s">
        <v>617</v>
      </c>
      <c r="CH3579" s="5" t="s">
        <v>305</v>
      </c>
      <c r="CI3579" s="5" t="s">
        <v>240</v>
      </c>
      <c r="CL3579" s="6" t="s">
        <v>261</v>
      </c>
      <c r="CM3579" s="5" t="s">
        <v>262</v>
      </c>
      <c r="CN3579" s="5" t="s">
        <v>263</v>
      </c>
      <c r="CO3579" s="5" t="s">
        <v>264</v>
      </c>
      <c r="CP3579" s="5" t="s">
        <v>240</v>
      </c>
      <c r="CQ3579" s="5">
        <v>0</v>
      </c>
      <c r="CR3579" s="5" t="s">
        <v>735</v>
      </c>
      <c r="CS3579" s="5" t="s">
        <v>307</v>
      </c>
      <c r="CT3579" s="5" t="s">
        <v>307</v>
      </c>
      <c r="CU3579" s="5" t="s">
        <v>260</v>
      </c>
      <c r="CV3579" s="5" t="s">
        <v>240</v>
      </c>
      <c r="CW3579" s="8">
        <f>0</f>
        <v>0</v>
      </c>
      <c r="CX3579" s="7">
        <f>0</f>
        <v>0</v>
      </c>
      <c r="CY3579" s="7">
        <f>0</f>
        <v>0</v>
      </c>
      <c r="DA3579" s="7">
        <f>11374</f>
        <v>11374</v>
      </c>
      <c r="DB3579" s="7" t="s">
        <v>240</v>
      </c>
      <c r="DC3579" s="5" t="s">
        <v>240</v>
      </c>
      <c r="DD3579" s="5" t="s">
        <v>240</v>
      </c>
      <c r="DE3579" s="5" t="s">
        <v>240</v>
      </c>
      <c r="DF3579" s="5" t="s">
        <v>450</v>
      </c>
      <c r="DG3579" s="7">
        <f>0</f>
        <v>0</v>
      </c>
      <c r="DI3579" s="5" t="s">
        <v>737</v>
      </c>
      <c r="DJ3579" s="5" t="s">
        <v>240</v>
      </c>
      <c r="DK3579" s="5" t="s">
        <v>240</v>
      </c>
      <c r="DL3579" s="5" t="s">
        <v>240</v>
      </c>
      <c r="DM3579" s="5" t="s">
        <v>240</v>
      </c>
      <c r="DN3579" s="5" t="s">
        <v>240</v>
      </c>
      <c r="DO3579" s="7" t="s">
        <v>240</v>
      </c>
      <c r="DP3579" s="5" t="s">
        <v>240</v>
      </c>
      <c r="DQ3579" s="5" t="s">
        <v>240</v>
      </c>
      <c r="DR3579" s="5" t="s">
        <v>731</v>
      </c>
      <c r="DS3579" s="5" t="s">
        <v>731</v>
      </c>
      <c r="DT3579" s="5" t="s">
        <v>240</v>
      </c>
      <c r="DU3579" s="5" t="s">
        <v>240</v>
      </c>
      <c r="DV3579" s="5" t="s">
        <v>738</v>
      </c>
      <c r="DW3579" s="5" t="s">
        <v>1210</v>
      </c>
      <c r="DX3579" s="5" t="s">
        <v>240</v>
      </c>
      <c r="DY3579" s="5" t="s">
        <v>240</v>
      </c>
      <c r="DZ3579" s="5" t="s">
        <v>240</v>
      </c>
      <c r="EA3579" s="5" t="s">
        <v>240</v>
      </c>
      <c r="EB3579" s="5" t="s">
        <v>240</v>
      </c>
      <c r="EC3579" s="5" t="s">
        <v>240</v>
      </c>
      <c r="ED3579" s="5" t="s">
        <v>240</v>
      </c>
      <c r="EE3579" s="5" t="s">
        <v>240</v>
      </c>
      <c r="EF3579" s="5" t="s">
        <v>240</v>
      </c>
      <c r="EG3579" s="5" t="s">
        <v>240</v>
      </c>
      <c r="EH3579" s="5" t="s">
        <v>240</v>
      </c>
      <c r="EI3579" s="5" t="s">
        <v>240</v>
      </c>
      <c r="EJ3579" s="5" t="s">
        <v>240</v>
      </c>
      <c r="EK3579" s="5" t="s">
        <v>240</v>
      </c>
      <c r="EL3579" s="5" t="s">
        <v>240</v>
      </c>
      <c r="EM3579" s="5" t="s">
        <v>240</v>
      </c>
      <c r="EN3579" s="5" t="s">
        <v>240</v>
      </c>
      <c r="EO3579" s="5" t="s">
        <v>240</v>
      </c>
      <c r="EP3579" s="5" t="s">
        <v>240</v>
      </c>
      <c r="EQ3579" s="5" t="s">
        <v>240</v>
      </c>
      <c r="ER3579" s="5" t="s">
        <v>240</v>
      </c>
      <c r="ES3579" s="5" t="s">
        <v>240</v>
      </c>
      <c r="ET3579" s="5" t="s">
        <v>240</v>
      </c>
      <c r="EU3579" s="5" t="s">
        <v>240</v>
      </c>
      <c r="EV3579" s="5" t="s">
        <v>240</v>
      </c>
      <c r="EW3579" s="5" t="s">
        <v>240</v>
      </c>
      <c r="EX3579" s="5" t="s">
        <v>240</v>
      </c>
      <c r="EY3579" s="5" t="s">
        <v>240</v>
      </c>
      <c r="EZ3579" s="5" t="s">
        <v>240</v>
      </c>
      <c r="FA3579" s="5" t="s">
        <v>240</v>
      </c>
      <c r="FB3579" s="5" t="s">
        <v>240</v>
      </c>
      <c r="FC3579" s="5" t="s">
        <v>240</v>
      </c>
      <c r="FD3579" s="5" t="s">
        <v>240</v>
      </c>
      <c r="FE3579" s="5" t="s">
        <v>240</v>
      </c>
      <c r="FF3579" s="5" t="s">
        <v>240</v>
      </c>
      <c r="FG3579" s="5" t="s">
        <v>240</v>
      </c>
      <c r="FH3579" s="5" t="s">
        <v>240</v>
      </c>
      <c r="FI3579" s="5" t="s">
        <v>240</v>
      </c>
      <c r="FJ3579" s="5" t="s">
        <v>240</v>
      </c>
      <c r="FK3579" s="5" t="s">
        <v>240</v>
      </c>
      <c r="FL3579" s="5" t="s">
        <v>240</v>
      </c>
      <c r="FM3579" s="5" t="s">
        <v>240</v>
      </c>
      <c r="FN3579" s="5" t="s">
        <v>240</v>
      </c>
      <c r="FO3579" s="5" t="s">
        <v>240</v>
      </c>
      <c r="FP3579" s="5" t="s">
        <v>240</v>
      </c>
      <c r="FQ3579" s="5" t="s">
        <v>240</v>
      </c>
      <c r="FR3579" s="5" t="s">
        <v>240</v>
      </c>
      <c r="FS3579" s="5" t="s">
        <v>240</v>
      </c>
      <c r="FT3579" s="5" t="s">
        <v>240</v>
      </c>
      <c r="FU3579" s="5" t="s">
        <v>240</v>
      </c>
      <c r="FV3579" s="5" t="s">
        <v>240</v>
      </c>
      <c r="FW3579" s="5" t="s">
        <v>240</v>
      </c>
      <c r="FX3579" s="5" t="s">
        <v>240</v>
      </c>
      <c r="FY3579" s="5" t="s">
        <v>240</v>
      </c>
      <c r="FZ3579" s="5" t="s">
        <v>240</v>
      </c>
      <c r="GA3579" s="5" t="s">
        <v>240</v>
      </c>
      <c r="GB3579" s="5" t="s">
        <v>240</v>
      </c>
      <c r="GC3579" s="5" t="s">
        <v>240</v>
      </c>
      <c r="GD3579" s="5" t="s">
        <v>240</v>
      </c>
      <c r="GE3579" s="5" t="s">
        <v>240</v>
      </c>
      <c r="GF3579" s="5" t="s">
        <v>240</v>
      </c>
      <c r="GG3579" s="5" t="s">
        <v>240</v>
      </c>
      <c r="GH3579" s="5" t="s">
        <v>240</v>
      </c>
      <c r="GI3579" s="5" t="s">
        <v>240</v>
      </c>
      <c r="GJ3579" s="5" t="s">
        <v>240</v>
      </c>
      <c r="GK3579" s="5" t="s">
        <v>240</v>
      </c>
      <c r="GL3579" s="5" t="s">
        <v>240</v>
      </c>
      <c r="GM3579" s="5" t="s">
        <v>240</v>
      </c>
      <c r="GN3579" s="5" t="s">
        <v>240</v>
      </c>
      <c r="GO3579" s="5" t="s">
        <v>240</v>
      </c>
      <c r="GP3579" s="5" t="s">
        <v>240</v>
      </c>
      <c r="GQ3579" s="5" t="s">
        <v>240</v>
      </c>
      <c r="GR3579" s="5" t="s">
        <v>240</v>
      </c>
      <c r="GS3579" s="5" t="s">
        <v>240</v>
      </c>
      <c r="GT3579" s="5" t="s">
        <v>240</v>
      </c>
      <c r="GU3579" s="5" t="s">
        <v>240</v>
      </c>
      <c r="GV3579" s="5" t="s">
        <v>240</v>
      </c>
      <c r="GW3579" s="5" t="s">
        <v>240</v>
      </c>
      <c r="GX3579" s="5" t="s">
        <v>240</v>
      </c>
      <c r="GY3579" s="5" t="s">
        <v>240</v>
      </c>
      <c r="GZ3579" s="5" t="s">
        <v>240</v>
      </c>
      <c r="HA3579" s="5" t="s">
        <v>240</v>
      </c>
      <c r="HB3579" s="5" t="s">
        <v>240</v>
      </c>
      <c r="HC3579" s="5" t="s">
        <v>240</v>
      </c>
      <c r="HD3579" s="5" t="s">
        <v>240</v>
      </c>
      <c r="HE3579" s="5" t="s">
        <v>240</v>
      </c>
      <c r="HF3579" s="5" t="s">
        <v>240</v>
      </c>
      <c r="HG3579" s="5" t="s">
        <v>240</v>
      </c>
      <c r="HH3579" s="5" t="s">
        <v>240</v>
      </c>
      <c r="HI3579" s="5" t="s">
        <v>240</v>
      </c>
      <c r="HJ3579" s="5" t="s">
        <v>240</v>
      </c>
      <c r="HK3579" s="5" t="s">
        <v>240</v>
      </c>
      <c r="HL3579" s="5" t="s">
        <v>240</v>
      </c>
      <c r="HM3579" s="5" t="s">
        <v>240</v>
      </c>
      <c r="HN3579" s="5" t="s">
        <v>240</v>
      </c>
      <c r="HO3579" s="5" t="s">
        <v>312</v>
      </c>
      <c r="HP3579" s="5" t="s">
        <v>240</v>
      </c>
      <c r="HQ3579" s="5" t="s">
        <v>240</v>
      </c>
      <c r="HR3579" s="5" t="s">
        <v>240</v>
      </c>
      <c r="HS3579" s="5" t="s">
        <v>240</v>
      </c>
      <c r="HT3579" s="5" t="s">
        <v>240</v>
      </c>
      <c r="HU3579" s="5" t="s">
        <v>240</v>
      </c>
      <c r="HV3579" s="5" t="s">
        <v>240</v>
      </c>
      <c r="HW3579" s="5" t="s">
        <v>240</v>
      </c>
      <c r="HX3579" s="5" t="s">
        <v>240</v>
      </c>
      <c r="HY3579" s="5" t="s">
        <v>240</v>
      </c>
      <c r="HZ3579" s="5" t="s">
        <v>240</v>
      </c>
      <c r="IA3579" s="5" t="s">
        <v>240</v>
      </c>
      <c r="IB3579" s="5" t="s">
        <v>240</v>
      </c>
      <c r="IC3579" s="5" t="s">
        <v>240</v>
      </c>
      <c r="ID3579" s="5" t="s">
        <v>240</v>
      </c>
      <c r="IE3579" s="5" t="s">
        <v>240</v>
      </c>
      <c r="IF3579" s="5" t="s">
        <v>240</v>
      </c>
    </row>
    <row r="3580" spans="1:240" x14ac:dyDescent="0.4">
      <c r="A3580" s="5">
        <v>9122</v>
      </c>
      <c r="B3580" s="5">
        <v>1</v>
      </c>
      <c r="C3580" s="5">
        <v>1</v>
      </c>
      <c r="D3580" s="5" t="s">
        <v>723</v>
      </c>
      <c r="E3580" s="5" t="s">
        <v>725</v>
      </c>
      <c r="F3580" s="5" t="s">
        <v>254</v>
      </c>
      <c r="G3580" s="5" t="s">
        <v>726</v>
      </c>
      <c r="H3580" s="6" t="s">
        <v>5790</v>
      </c>
      <c r="I3580" s="5" t="s">
        <v>5789</v>
      </c>
      <c r="J3580" s="7">
        <f>1</f>
        <v>1</v>
      </c>
      <c r="K3580" s="5" t="s">
        <v>3682</v>
      </c>
      <c r="L3580" s="7">
        <f>1</f>
        <v>1</v>
      </c>
      <c r="M3580" s="7">
        <f>1</f>
        <v>1</v>
      </c>
      <c r="N3580" s="5" t="s">
        <v>242</v>
      </c>
      <c r="O3580" s="5">
        <v>1</v>
      </c>
      <c r="P3580" s="5" t="s">
        <v>294</v>
      </c>
      <c r="Q3580" s="5" t="s">
        <v>613</v>
      </c>
      <c r="R3580" s="5" t="s">
        <v>240</v>
      </c>
      <c r="S3580" s="5" t="s">
        <v>240</v>
      </c>
      <c r="T3580" s="5" t="s">
        <v>243</v>
      </c>
      <c r="U3580" s="5" t="s">
        <v>724</v>
      </c>
      <c r="V3580" s="5" t="s">
        <v>240</v>
      </c>
      <c r="W3580" s="5" t="s">
        <v>240</v>
      </c>
      <c r="X3580" s="5" t="s">
        <v>240</v>
      </c>
      <c r="Y3580" s="5" t="s">
        <v>240</v>
      </c>
      <c r="Z3580" s="6" t="s">
        <v>298</v>
      </c>
      <c r="AA3580" s="6" t="s">
        <v>240</v>
      </c>
      <c r="AB3580" s="6" t="s">
        <v>240</v>
      </c>
      <c r="AC3580" s="5" t="s">
        <v>240</v>
      </c>
      <c r="AD3580" s="6" t="s">
        <v>240</v>
      </c>
      <c r="AE3580" s="6" t="s">
        <v>299</v>
      </c>
      <c r="AF3580" s="5" t="s">
        <v>727</v>
      </c>
      <c r="AG3580" s="5" t="s">
        <v>260</v>
      </c>
      <c r="AH3580" s="5" t="s">
        <v>240</v>
      </c>
      <c r="AI3580" s="5" t="s">
        <v>240</v>
      </c>
      <c r="AJ3580" s="5" t="s">
        <v>240</v>
      </c>
      <c r="AK3580" s="5" t="s">
        <v>240</v>
      </c>
      <c r="AL3580" s="5" t="s">
        <v>240</v>
      </c>
      <c r="AM3580" s="5" t="s">
        <v>240</v>
      </c>
      <c r="AN3580" s="5" t="s">
        <v>240</v>
      </c>
      <c r="AO3580" s="5" t="s">
        <v>240</v>
      </c>
      <c r="AP3580" s="6" t="s">
        <v>240</v>
      </c>
      <c r="AQ3580" s="6" t="s">
        <v>240</v>
      </c>
      <c r="AR3580" s="6" t="s">
        <v>240</v>
      </c>
      <c r="AS3580" s="6" t="s">
        <v>240</v>
      </c>
      <c r="AT3580" s="5" t="s">
        <v>240</v>
      </c>
      <c r="AU3580" s="5" t="s">
        <v>729</v>
      </c>
      <c r="AV3580" s="5" t="s">
        <v>729</v>
      </c>
      <c r="AW3580" s="5" t="s">
        <v>251</v>
      </c>
      <c r="AX3580" s="5" t="s">
        <v>252</v>
      </c>
      <c r="AY3580" s="5" t="s">
        <v>253</v>
      </c>
      <c r="AZ3580" s="5" t="s">
        <v>240</v>
      </c>
      <c r="BA3580" s="5" t="s">
        <v>255</v>
      </c>
      <c r="BB3580" s="5" t="s">
        <v>731</v>
      </c>
      <c r="BD3580" s="5" t="s">
        <v>240</v>
      </c>
      <c r="BF3580" s="5" t="s">
        <v>732</v>
      </c>
      <c r="BG3580" s="6" t="s">
        <v>733</v>
      </c>
      <c r="BH3580" s="5" t="s">
        <v>734</v>
      </c>
      <c r="BI3580" s="5" t="s">
        <v>734</v>
      </c>
      <c r="BJ3580" s="5" t="s">
        <v>240</v>
      </c>
      <c r="BK3580" s="8">
        <f>512.39</f>
        <v>512.39</v>
      </c>
      <c r="BL3580" s="7">
        <f>0</f>
        <v>0</v>
      </c>
      <c r="BM3580" s="5" t="s">
        <v>258</v>
      </c>
      <c r="BN3580" s="5" t="s">
        <v>259</v>
      </c>
      <c r="BO3580" s="5" t="s">
        <v>240</v>
      </c>
      <c r="BP3580" s="5" t="s">
        <v>240</v>
      </c>
      <c r="BQ3580" s="5" t="s">
        <v>240</v>
      </c>
      <c r="BR3580" s="5" t="s">
        <v>240</v>
      </c>
      <c r="BS3580" s="5" t="s">
        <v>240</v>
      </c>
      <c r="BT3580" s="5" t="s">
        <v>240</v>
      </c>
      <c r="BU3580" s="5" t="s">
        <v>240</v>
      </c>
      <c r="BV3580" s="5" t="s">
        <v>240</v>
      </c>
      <c r="BW3580" s="6" t="s">
        <v>240</v>
      </c>
      <c r="BX3580" s="5" t="s">
        <v>240</v>
      </c>
      <c r="BY3580" s="5" t="s">
        <v>240</v>
      </c>
      <c r="BZ3580" s="5" t="s">
        <v>240</v>
      </c>
      <c r="CA3580" s="5" t="s">
        <v>259</v>
      </c>
      <c r="CB3580" s="5" t="s">
        <v>240</v>
      </c>
      <c r="CC3580" s="5" t="s">
        <v>240</v>
      </c>
      <c r="CD3580" s="5" t="s">
        <v>240</v>
      </c>
      <c r="CE3580" s="5" t="s">
        <v>240</v>
      </c>
      <c r="CF3580" s="5" t="s">
        <v>240</v>
      </c>
      <c r="CG3580" s="5" t="s">
        <v>617</v>
      </c>
      <c r="CH3580" s="5" t="s">
        <v>305</v>
      </c>
      <c r="CI3580" s="5" t="s">
        <v>240</v>
      </c>
      <c r="CL3580" s="6" t="s">
        <v>261</v>
      </c>
      <c r="CM3580" s="5" t="s">
        <v>262</v>
      </c>
      <c r="CN3580" s="5" t="s">
        <v>263</v>
      </c>
      <c r="CO3580" s="5" t="s">
        <v>264</v>
      </c>
      <c r="CP3580" s="5" t="s">
        <v>240</v>
      </c>
      <c r="CQ3580" s="5">
        <v>0</v>
      </c>
      <c r="CR3580" s="5" t="s">
        <v>735</v>
      </c>
      <c r="CS3580" s="5" t="s">
        <v>307</v>
      </c>
      <c r="CT3580" s="5" t="s">
        <v>307</v>
      </c>
      <c r="CU3580" s="5" t="s">
        <v>260</v>
      </c>
      <c r="CV3580" s="5" t="s">
        <v>240</v>
      </c>
      <c r="CW3580" s="8">
        <f>0</f>
        <v>0</v>
      </c>
      <c r="CX3580" s="7">
        <f>0</f>
        <v>0</v>
      </c>
      <c r="CY3580" s="7">
        <f>0</f>
        <v>0</v>
      </c>
      <c r="DA3580" s="7">
        <f>5636</f>
        <v>5636</v>
      </c>
      <c r="DB3580" s="7" t="s">
        <v>240</v>
      </c>
      <c r="DC3580" s="5" t="s">
        <v>240</v>
      </c>
      <c r="DD3580" s="5" t="s">
        <v>240</v>
      </c>
      <c r="DE3580" s="5" t="s">
        <v>240</v>
      </c>
      <c r="DF3580" s="5" t="s">
        <v>450</v>
      </c>
      <c r="DG3580" s="7">
        <f>0</f>
        <v>0</v>
      </c>
      <c r="DI3580" s="5" t="s">
        <v>737</v>
      </c>
      <c r="DJ3580" s="5" t="s">
        <v>240</v>
      </c>
      <c r="DK3580" s="5" t="s">
        <v>240</v>
      </c>
      <c r="DL3580" s="5" t="s">
        <v>240</v>
      </c>
      <c r="DM3580" s="5" t="s">
        <v>240</v>
      </c>
      <c r="DN3580" s="5" t="s">
        <v>240</v>
      </c>
      <c r="DO3580" s="7" t="s">
        <v>240</v>
      </c>
      <c r="DP3580" s="5" t="s">
        <v>240</v>
      </c>
      <c r="DQ3580" s="5" t="s">
        <v>240</v>
      </c>
      <c r="DR3580" s="5" t="s">
        <v>731</v>
      </c>
      <c r="DS3580" s="5" t="s">
        <v>731</v>
      </c>
      <c r="DT3580" s="5" t="s">
        <v>240</v>
      </c>
      <c r="DU3580" s="5" t="s">
        <v>240</v>
      </c>
      <c r="DV3580" s="5" t="s">
        <v>738</v>
      </c>
      <c r="DW3580" s="5" t="s">
        <v>649</v>
      </c>
      <c r="DX3580" s="5" t="s">
        <v>240</v>
      </c>
      <c r="DY3580" s="5" t="s">
        <v>240</v>
      </c>
      <c r="DZ3580" s="5" t="s">
        <v>240</v>
      </c>
      <c r="EA3580" s="5" t="s">
        <v>240</v>
      </c>
      <c r="EB3580" s="5" t="s">
        <v>240</v>
      </c>
      <c r="EC3580" s="5" t="s">
        <v>240</v>
      </c>
      <c r="ED3580" s="5" t="s">
        <v>240</v>
      </c>
      <c r="EE3580" s="5" t="s">
        <v>240</v>
      </c>
      <c r="EF3580" s="5" t="s">
        <v>240</v>
      </c>
      <c r="EG3580" s="5" t="s">
        <v>240</v>
      </c>
      <c r="EH3580" s="5" t="s">
        <v>240</v>
      </c>
      <c r="EI3580" s="5" t="s">
        <v>240</v>
      </c>
      <c r="EJ3580" s="5" t="s">
        <v>240</v>
      </c>
      <c r="EK3580" s="5" t="s">
        <v>240</v>
      </c>
      <c r="EL3580" s="5" t="s">
        <v>240</v>
      </c>
      <c r="EM3580" s="5" t="s">
        <v>240</v>
      </c>
      <c r="EN3580" s="5" t="s">
        <v>240</v>
      </c>
      <c r="EO3580" s="5" t="s">
        <v>240</v>
      </c>
      <c r="EP3580" s="5" t="s">
        <v>240</v>
      </c>
      <c r="EQ3580" s="5" t="s">
        <v>240</v>
      </c>
      <c r="ER3580" s="5" t="s">
        <v>240</v>
      </c>
      <c r="ES3580" s="5" t="s">
        <v>240</v>
      </c>
      <c r="ET3580" s="5" t="s">
        <v>240</v>
      </c>
      <c r="EU3580" s="5" t="s">
        <v>240</v>
      </c>
      <c r="EV3580" s="5" t="s">
        <v>240</v>
      </c>
      <c r="EW3580" s="5" t="s">
        <v>240</v>
      </c>
      <c r="EX3580" s="5" t="s">
        <v>240</v>
      </c>
      <c r="EY3580" s="5" t="s">
        <v>240</v>
      </c>
      <c r="EZ3580" s="5" t="s">
        <v>240</v>
      </c>
      <c r="FA3580" s="5" t="s">
        <v>240</v>
      </c>
      <c r="FB3580" s="5" t="s">
        <v>240</v>
      </c>
      <c r="FC3580" s="5" t="s">
        <v>240</v>
      </c>
      <c r="FD3580" s="5" t="s">
        <v>240</v>
      </c>
      <c r="FE3580" s="5" t="s">
        <v>240</v>
      </c>
      <c r="FF3580" s="5" t="s">
        <v>240</v>
      </c>
      <c r="FG3580" s="5" t="s">
        <v>240</v>
      </c>
      <c r="FH3580" s="5" t="s">
        <v>240</v>
      </c>
      <c r="FI3580" s="5" t="s">
        <v>240</v>
      </c>
      <c r="FJ3580" s="5" t="s">
        <v>240</v>
      </c>
      <c r="FK3580" s="5" t="s">
        <v>240</v>
      </c>
      <c r="FL3580" s="5" t="s">
        <v>240</v>
      </c>
      <c r="FM3580" s="5" t="s">
        <v>240</v>
      </c>
      <c r="FN3580" s="5" t="s">
        <v>240</v>
      </c>
      <c r="FO3580" s="5" t="s">
        <v>240</v>
      </c>
      <c r="FP3580" s="5" t="s">
        <v>240</v>
      </c>
      <c r="FQ3580" s="5" t="s">
        <v>240</v>
      </c>
      <c r="FR3580" s="5" t="s">
        <v>240</v>
      </c>
      <c r="FS3580" s="5" t="s">
        <v>240</v>
      </c>
      <c r="FT3580" s="5" t="s">
        <v>240</v>
      </c>
      <c r="FU3580" s="5" t="s">
        <v>240</v>
      </c>
      <c r="FV3580" s="5" t="s">
        <v>240</v>
      </c>
      <c r="FW3580" s="5" t="s">
        <v>240</v>
      </c>
      <c r="FX3580" s="5" t="s">
        <v>240</v>
      </c>
      <c r="FY3580" s="5" t="s">
        <v>240</v>
      </c>
      <c r="FZ3580" s="5" t="s">
        <v>240</v>
      </c>
      <c r="GA3580" s="5" t="s">
        <v>240</v>
      </c>
      <c r="GB3580" s="5" t="s">
        <v>240</v>
      </c>
      <c r="GC3580" s="5" t="s">
        <v>240</v>
      </c>
      <c r="GD3580" s="5" t="s">
        <v>240</v>
      </c>
      <c r="GE3580" s="5" t="s">
        <v>240</v>
      </c>
      <c r="GF3580" s="5" t="s">
        <v>240</v>
      </c>
      <c r="GG3580" s="5" t="s">
        <v>240</v>
      </c>
      <c r="GH3580" s="5" t="s">
        <v>240</v>
      </c>
      <c r="GI3580" s="5" t="s">
        <v>240</v>
      </c>
      <c r="GJ3580" s="5" t="s">
        <v>240</v>
      </c>
      <c r="GK3580" s="5" t="s">
        <v>240</v>
      </c>
      <c r="GL3580" s="5" t="s">
        <v>240</v>
      </c>
      <c r="GM3580" s="5" t="s">
        <v>240</v>
      </c>
      <c r="GN3580" s="5" t="s">
        <v>240</v>
      </c>
      <c r="GO3580" s="5" t="s">
        <v>240</v>
      </c>
      <c r="GP3580" s="5" t="s">
        <v>240</v>
      </c>
      <c r="GQ3580" s="5" t="s">
        <v>240</v>
      </c>
      <c r="GR3580" s="5" t="s">
        <v>240</v>
      </c>
      <c r="GS3580" s="5" t="s">
        <v>240</v>
      </c>
      <c r="GT3580" s="5" t="s">
        <v>240</v>
      </c>
      <c r="GU3580" s="5" t="s">
        <v>240</v>
      </c>
      <c r="GV3580" s="5" t="s">
        <v>240</v>
      </c>
      <c r="GW3580" s="5" t="s">
        <v>240</v>
      </c>
      <c r="GX3580" s="5" t="s">
        <v>240</v>
      </c>
      <c r="GY3580" s="5" t="s">
        <v>240</v>
      </c>
      <c r="GZ3580" s="5" t="s">
        <v>240</v>
      </c>
      <c r="HA3580" s="5" t="s">
        <v>240</v>
      </c>
      <c r="HB3580" s="5" t="s">
        <v>240</v>
      </c>
      <c r="HC3580" s="5" t="s">
        <v>240</v>
      </c>
      <c r="HD3580" s="5" t="s">
        <v>240</v>
      </c>
      <c r="HE3580" s="5" t="s">
        <v>240</v>
      </c>
      <c r="HF3580" s="5" t="s">
        <v>240</v>
      </c>
      <c r="HG3580" s="5" t="s">
        <v>240</v>
      </c>
      <c r="HH3580" s="5" t="s">
        <v>240</v>
      </c>
      <c r="HI3580" s="5" t="s">
        <v>240</v>
      </c>
      <c r="HJ3580" s="5" t="s">
        <v>240</v>
      </c>
      <c r="HK3580" s="5" t="s">
        <v>240</v>
      </c>
      <c r="HL3580" s="5" t="s">
        <v>240</v>
      </c>
      <c r="HM3580" s="5" t="s">
        <v>240</v>
      </c>
      <c r="HN3580" s="5" t="s">
        <v>240</v>
      </c>
      <c r="HO3580" s="5" t="s">
        <v>620</v>
      </c>
      <c r="HP3580" s="5" t="s">
        <v>240</v>
      </c>
      <c r="HQ3580" s="5" t="s">
        <v>240</v>
      </c>
      <c r="HR3580" s="5" t="s">
        <v>240</v>
      </c>
      <c r="HS3580" s="5" t="s">
        <v>240</v>
      </c>
      <c r="HT3580" s="5" t="s">
        <v>240</v>
      </c>
      <c r="HU3580" s="5" t="s">
        <v>240</v>
      </c>
      <c r="HV3580" s="5" t="s">
        <v>240</v>
      </c>
      <c r="HW3580" s="5" t="s">
        <v>240</v>
      </c>
      <c r="HX3580" s="5" t="s">
        <v>240</v>
      </c>
      <c r="HY3580" s="5" t="s">
        <v>240</v>
      </c>
      <c r="HZ3580" s="5" t="s">
        <v>240</v>
      </c>
      <c r="IA3580" s="5" t="s">
        <v>240</v>
      </c>
      <c r="IB3580" s="5" t="s">
        <v>240</v>
      </c>
      <c r="IC3580" s="5" t="s">
        <v>240</v>
      </c>
      <c r="ID3580" s="5" t="s">
        <v>240</v>
      </c>
      <c r="IE3580" s="5" t="s">
        <v>240</v>
      </c>
      <c r="IF3580" s="5" t="s">
        <v>240</v>
      </c>
    </row>
    <row r="3581" spans="1:240" x14ac:dyDescent="0.4">
      <c r="A3581" s="5">
        <v>9123</v>
      </c>
      <c r="B3581" s="5">
        <v>1</v>
      </c>
      <c r="C3581" s="5">
        <v>1</v>
      </c>
      <c r="D3581" s="5" t="s">
        <v>723</v>
      </c>
      <c r="E3581" s="5" t="s">
        <v>725</v>
      </c>
      <c r="F3581" s="5" t="s">
        <v>254</v>
      </c>
      <c r="G3581" s="5" t="s">
        <v>726</v>
      </c>
      <c r="H3581" s="6" t="s">
        <v>5788</v>
      </c>
      <c r="I3581" s="5" t="s">
        <v>5787</v>
      </c>
      <c r="J3581" s="7">
        <f>1</f>
        <v>1</v>
      </c>
      <c r="K3581" s="5" t="s">
        <v>3682</v>
      </c>
      <c r="L3581" s="7">
        <f>1</f>
        <v>1</v>
      </c>
      <c r="M3581" s="7">
        <f>1</f>
        <v>1</v>
      </c>
      <c r="N3581" s="5" t="s">
        <v>242</v>
      </c>
      <c r="O3581" s="5">
        <v>1</v>
      </c>
      <c r="P3581" s="5" t="s">
        <v>294</v>
      </c>
      <c r="Q3581" s="5" t="s">
        <v>613</v>
      </c>
      <c r="R3581" s="5" t="s">
        <v>240</v>
      </c>
      <c r="S3581" s="5" t="s">
        <v>240</v>
      </c>
      <c r="T3581" s="5" t="s">
        <v>243</v>
      </c>
      <c r="U3581" s="5" t="s">
        <v>724</v>
      </c>
      <c r="V3581" s="5" t="s">
        <v>240</v>
      </c>
      <c r="W3581" s="5" t="s">
        <v>240</v>
      </c>
      <c r="X3581" s="5" t="s">
        <v>240</v>
      </c>
      <c r="Y3581" s="5" t="s">
        <v>240</v>
      </c>
      <c r="Z3581" s="6" t="s">
        <v>298</v>
      </c>
      <c r="AA3581" s="6" t="s">
        <v>240</v>
      </c>
      <c r="AB3581" s="6" t="s">
        <v>240</v>
      </c>
      <c r="AC3581" s="5" t="s">
        <v>240</v>
      </c>
      <c r="AD3581" s="6" t="s">
        <v>240</v>
      </c>
      <c r="AE3581" s="6" t="s">
        <v>299</v>
      </c>
      <c r="AF3581" s="5" t="s">
        <v>727</v>
      </c>
      <c r="AG3581" s="5" t="s">
        <v>260</v>
      </c>
      <c r="AH3581" s="5" t="s">
        <v>240</v>
      </c>
      <c r="AI3581" s="5" t="s">
        <v>240</v>
      </c>
      <c r="AJ3581" s="5" t="s">
        <v>240</v>
      </c>
      <c r="AK3581" s="5" t="s">
        <v>240</v>
      </c>
      <c r="AL3581" s="5" t="s">
        <v>240</v>
      </c>
      <c r="AM3581" s="5" t="s">
        <v>240</v>
      </c>
      <c r="AN3581" s="5" t="s">
        <v>240</v>
      </c>
      <c r="AO3581" s="5" t="s">
        <v>240</v>
      </c>
      <c r="AP3581" s="6" t="s">
        <v>240</v>
      </c>
      <c r="AQ3581" s="6" t="s">
        <v>240</v>
      </c>
      <c r="AR3581" s="6" t="s">
        <v>240</v>
      </c>
      <c r="AS3581" s="6" t="s">
        <v>240</v>
      </c>
      <c r="AT3581" s="5" t="s">
        <v>240</v>
      </c>
      <c r="AU3581" s="5" t="s">
        <v>729</v>
      </c>
      <c r="AV3581" s="5" t="s">
        <v>729</v>
      </c>
      <c r="AW3581" s="5" t="s">
        <v>251</v>
      </c>
      <c r="AX3581" s="5" t="s">
        <v>252</v>
      </c>
      <c r="AY3581" s="5" t="s">
        <v>253</v>
      </c>
      <c r="AZ3581" s="5" t="s">
        <v>240</v>
      </c>
      <c r="BA3581" s="5" t="s">
        <v>255</v>
      </c>
      <c r="BB3581" s="5" t="s">
        <v>731</v>
      </c>
      <c r="BD3581" s="5" t="s">
        <v>240</v>
      </c>
      <c r="BF3581" s="5" t="s">
        <v>732</v>
      </c>
      <c r="BG3581" s="6" t="s">
        <v>733</v>
      </c>
      <c r="BH3581" s="5" t="s">
        <v>734</v>
      </c>
      <c r="BI3581" s="5" t="s">
        <v>734</v>
      </c>
      <c r="BJ3581" s="5" t="s">
        <v>240</v>
      </c>
      <c r="BK3581" s="8">
        <f>426</f>
        <v>426</v>
      </c>
      <c r="BL3581" s="7">
        <f>0</f>
        <v>0</v>
      </c>
      <c r="BM3581" s="5" t="s">
        <v>258</v>
      </c>
      <c r="BN3581" s="5" t="s">
        <v>259</v>
      </c>
      <c r="BO3581" s="5" t="s">
        <v>240</v>
      </c>
      <c r="BP3581" s="5" t="s">
        <v>240</v>
      </c>
      <c r="BQ3581" s="5" t="s">
        <v>240</v>
      </c>
      <c r="BR3581" s="5" t="s">
        <v>240</v>
      </c>
      <c r="BS3581" s="5" t="s">
        <v>240</v>
      </c>
      <c r="BT3581" s="5" t="s">
        <v>240</v>
      </c>
      <c r="BU3581" s="5" t="s">
        <v>240</v>
      </c>
      <c r="BV3581" s="5" t="s">
        <v>240</v>
      </c>
      <c r="BW3581" s="6" t="s">
        <v>240</v>
      </c>
      <c r="BX3581" s="5" t="s">
        <v>240</v>
      </c>
      <c r="BY3581" s="5" t="s">
        <v>240</v>
      </c>
      <c r="BZ3581" s="5" t="s">
        <v>240</v>
      </c>
      <c r="CA3581" s="5" t="s">
        <v>259</v>
      </c>
      <c r="CB3581" s="5" t="s">
        <v>240</v>
      </c>
      <c r="CC3581" s="5" t="s">
        <v>240</v>
      </c>
      <c r="CD3581" s="5" t="s">
        <v>240</v>
      </c>
      <c r="CE3581" s="5" t="s">
        <v>240</v>
      </c>
      <c r="CF3581" s="5" t="s">
        <v>240</v>
      </c>
      <c r="CG3581" s="5" t="s">
        <v>617</v>
      </c>
      <c r="CH3581" s="5" t="s">
        <v>305</v>
      </c>
      <c r="CI3581" s="5" t="s">
        <v>240</v>
      </c>
      <c r="CL3581" s="6" t="s">
        <v>261</v>
      </c>
      <c r="CM3581" s="5" t="s">
        <v>262</v>
      </c>
      <c r="CN3581" s="5" t="s">
        <v>263</v>
      </c>
      <c r="CO3581" s="5" t="s">
        <v>264</v>
      </c>
      <c r="CP3581" s="5" t="s">
        <v>240</v>
      </c>
      <c r="CQ3581" s="5">
        <v>0</v>
      </c>
      <c r="CR3581" s="5" t="s">
        <v>735</v>
      </c>
      <c r="CS3581" s="5" t="s">
        <v>307</v>
      </c>
      <c r="CT3581" s="5" t="s">
        <v>307</v>
      </c>
      <c r="CU3581" s="5" t="s">
        <v>260</v>
      </c>
      <c r="CV3581" s="5" t="s">
        <v>240</v>
      </c>
      <c r="CW3581" s="8">
        <f>0</f>
        <v>0</v>
      </c>
      <c r="CX3581" s="7">
        <f>0</f>
        <v>0</v>
      </c>
      <c r="CY3581" s="7">
        <f>0</f>
        <v>0</v>
      </c>
      <c r="DA3581" s="7">
        <f>4686</f>
        <v>4686</v>
      </c>
      <c r="DB3581" s="7" t="s">
        <v>240</v>
      </c>
      <c r="DC3581" s="5" t="s">
        <v>240</v>
      </c>
      <c r="DD3581" s="5" t="s">
        <v>240</v>
      </c>
      <c r="DE3581" s="5" t="s">
        <v>240</v>
      </c>
      <c r="DF3581" s="5" t="s">
        <v>450</v>
      </c>
      <c r="DG3581" s="7">
        <f>0</f>
        <v>0</v>
      </c>
      <c r="DI3581" s="5" t="s">
        <v>737</v>
      </c>
      <c r="DJ3581" s="5" t="s">
        <v>240</v>
      </c>
      <c r="DK3581" s="5" t="s">
        <v>240</v>
      </c>
      <c r="DL3581" s="5" t="s">
        <v>240</v>
      </c>
      <c r="DM3581" s="5" t="s">
        <v>240</v>
      </c>
      <c r="DN3581" s="5" t="s">
        <v>240</v>
      </c>
      <c r="DO3581" s="7" t="s">
        <v>240</v>
      </c>
      <c r="DP3581" s="5" t="s">
        <v>240</v>
      </c>
      <c r="DQ3581" s="5" t="s">
        <v>240</v>
      </c>
      <c r="DR3581" s="5" t="s">
        <v>731</v>
      </c>
      <c r="DS3581" s="5" t="s">
        <v>731</v>
      </c>
      <c r="DT3581" s="5" t="s">
        <v>240</v>
      </c>
      <c r="DU3581" s="5" t="s">
        <v>240</v>
      </c>
      <c r="DV3581" s="5" t="s">
        <v>738</v>
      </c>
      <c r="DW3581" s="5" t="s">
        <v>570</v>
      </c>
      <c r="DX3581" s="5" t="s">
        <v>240</v>
      </c>
      <c r="DY3581" s="5" t="s">
        <v>240</v>
      </c>
      <c r="DZ3581" s="5" t="s">
        <v>240</v>
      </c>
      <c r="EA3581" s="5" t="s">
        <v>240</v>
      </c>
      <c r="EB3581" s="5" t="s">
        <v>240</v>
      </c>
      <c r="EC3581" s="5" t="s">
        <v>240</v>
      </c>
      <c r="ED3581" s="5" t="s">
        <v>240</v>
      </c>
      <c r="EE3581" s="5" t="s">
        <v>240</v>
      </c>
      <c r="EF3581" s="5" t="s">
        <v>240</v>
      </c>
      <c r="EG3581" s="5" t="s">
        <v>240</v>
      </c>
      <c r="EH3581" s="5" t="s">
        <v>240</v>
      </c>
      <c r="EI3581" s="5" t="s">
        <v>240</v>
      </c>
      <c r="EJ3581" s="5" t="s">
        <v>240</v>
      </c>
      <c r="EK3581" s="5" t="s">
        <v>240</v>
      </c>
      <c r="EL3581" s="5" t="s">
        <v>240</v>
      </c>
      <c r="EM3581" s="5" t="s">
        <v>240</v>
      </c>
      <c r="EN3581" s="5" t="s">
        <v>240</v>
      </c>
      <c r="EO3581" s="5" t="s">
        <v>240</v>
      </c>
      <c r="EP3581" s="5" t="s">
        <v>240</v>
      </c>
      <c r="EQ3581" s="5" t="s">
        <v>240</v>
      </c>
      <c r="ER3581" s="5" t="s">
        <v>240</v>
      </c>
      <c r="ES3581" s="5" t="s">
        <v>240</v>
      </c>
      <c r="ET3581" s="5" t="s">
        <v>240</v>
      </c>
      <c r="EU3581" s="5" t="s">
        <v>240</v>
      </c>
      <c r="EV3581" s="5" t="s">
        <v>240</v>
      </c>
      <c r="EW3581" s="5" t="s">
        <v>240</v>
      </c>
      <c r="EX3581" s="5" t="s">
        <v>240</v>
      </c>
      <c r="EY3581" s="5" t="s">
        <v>240</v>
      </c>
      <c r="EZ3581" s="5" t="s">
        <v>240</v>
      </c>
      <c r="FA3581" s="5" t="s">
        <v>240</v>
      </c>
      <c r="FB3581" s="5" t="s">
        <v>240</v>
      </c>
      <c r="FC3581" s="5" t="s">
        <v>240</v>
      </c>
      <c r="FD3581" s="5" t="s">
        <v>240</v>
      </c>
      <c r="FE3581" s="5" t="s">
        <v>240</v>
      </c>
      <c r="FF3581" s="5" t="s">
        <v>240</v>
      </c>
      <c r="FG3581" s="5" t="s">
        <v>240</v>
      </c>
      <c r="FH3581" s="5" t="s">
        <v>240</v>
      </c>
      <c r="FI3581" s="5" t="s">
        <v>240</v>
      </c>
      <c r="FJ3581" s="5" t="s">
        <v>240</v>
      </c>
      <c r="FK3581" s="5" t="s">
        <v>240</v>
      </c>
      <c r="FL3581" s="5" t="s">
        <v>240</v>
      </c>
      <c r="FM3581" s="5" t="s">
        <v>240</v>
      </c>
      <c r="FN3581" s="5" t="s">
        <v>240</v>
      </c>
      <c r="FO3581" s="5" t="s">
        <v>240</v>
      </c>
      <c r="FP3581" s="5" t="s">
        <v>240</v>
      </c>
      <c r="FQ3581" s="5" t="s">
        <v>240</v>
      </c>
      <c r="FR3581" s="5" t="s">
        <v>240</v>
      </c>
      <c r="FS3581" s="5" t="s">
        <v>240</v>
      </c>
      <c r="FT3581" s="5" t="s">
        <v>240</v>
      </c>
      <c r="FU3581" s="5" t="s">
        <v>240</v>
      </c>
      <c r="FV3581" s="5" t="s">
        <v>240</v>
      </c>
      <c r="FW3581" s="5" t="s">
        <v>240</v>
      </c>
      <c r="FX3581" s="5" t="s">
        <v>240</v>
      </c>
      <c r="FY3581" s="5" t="s">
        <v>240</v>
      </c>
      <c r="FZ3581" s="5" t="s">
        <v>240</v>
      </c>
      <c r="GA3581" s="5" t="s">
        <v>240</v>
      </c>
      <c r="GB3581" s="5" t="s">
        <v>240</v>
      </c>
      <c r="GC3581" s="5" t="s">
        <v>240</v>
      </c>
      <c r="GD3581" s="5" t="s">
        <v>240</v>
      </c>
      <c r="GE3581" s="5" t="s">
        <v>240</v>
      </c>
      <c r="GF3581" s="5" t="s">
        <v>240</v>
      </c>
      <c r="GG3581" s="5" t="s">
        <v>240</v>
      </c>
      <c r="GH3581" s="5" t="s">
        <v>240</v>
      </c>
      <c r="GI3581" s="5" t="s">
        <v>240</v>
      </c>
      <c r="GJ3581" s="5" t="s">
        <v>240</v>
      </c>
      <c r="GK3581" s="5" t="s">
        <v>240</v>
      </c>
      <c r="GL3581" s="5" t="s">
        <v>240</v>
      </c>
      <c r="GM3581" s="5" t="s">
        <v>240</v>
      </c>
      <c r="GN3581" s="5" t="s">
        <v>240</v>
      </c>
      <c r="GO3581" s="5" t="s">
        <v>240</v>
      </c>
      <c r="GP3581" s="5" t="s">
        <v>240</v>
      </c>
      <c r="GQ3581" s="5" t="s">
        <v>240</v>
      </c>
      <c r="GR3581" s="5" t="s">
        <v>240</v>
      </c>
      <c r="GS3581" s="5" t="s">
        <v>240</v>
      </c>
      <c r="GT3581" s="5" t="s">
        <v>240</v>
      </c>
      <c r="GU3581" s="5" t="s">
        <v>240</v>
      </c>
      <c r="GV3581" s="5" t="s">
        <v>240</v>
      </c>
      <c r="GW3581" s="5" t="s">
        <v>240</v>
      </c>
      <c r="GX3581" s="5" t="s">
        <v>240</v>
      </c>
      <c r="GY3581" s="5" t="s">
        <v>240</v>
      </c>
      <c r="GZ3581" s="5" t="s">
        <v>240</v>
      </c>
      <c r="HA3581" s="5" t="s">
        <v>240</v>
      </c>
      <c r="HB3581" s="5" t="s">
        <v>240</v>
      </c>
      <c r="HC3581" s="5" t="s">
        <v>240</v>
      </c>
      <c r="HD3581" s="5" t="s">
        <v>240</v>
      </c>
      <c r="HE3581" s="5" t="s">
        <v>240</v>
      </c>
      <c r="HF3581" s="5" t="s">
        <v>240</v>
      </c>
      <c r="HG3581" s="5" t="s">
        <v>240</v>
      </c>
      <c r="HH3581" s="5" t="s">
        <v>240</v>
      </c>
      <c r="HI3581" s="5" t="s">
        <v>240</v>
      </c>
      <c r="HJ3581" s="5" t="s">
        <v>240</v>
      </c>
      <c r="HK3581" s="5" t="s">
        <v>240</v>
      </c>
      <c r="HL3581" s="5" t="s">
        <v>240</v>
      </c>
      <c r="HM3581" s="5" t="s">
        <v>240</v>
      </c>
      <c r="HN3581" s="5" t="s">
        <v>240</v>
      </c>
      <c r="HO3581" s="5" t="s">
        <v>620</v>
      </c>
      <c r="HP3581" s="5" t="s">
        <v>240</v>
      </c>
      <c r="HQ3581" s="5" t="s">
        <v>240</v>
      </c>
      <c r="HR3581" s="5" t="s">
        <v>240</v>
      </c>
      <c r="HS3581" s="5" t="s">
        <v>240</v>
      </c>
      <c r="HT3581" s="5" t="s">
        <v>240</v>
      </c>
      <c r="HU3581" s="5" t="s">
        <v>240</v>
      </c>
      <c r="HV3581" s="5" t="s">
        <v>240</v>
      </c>
      <c r="HW3581" s="5" t="s">
        <v>240</v>
      </c>
      <c r="HX3581" s="5" t="s">
        <v>240</v>
      </c>
      <c r="HY3581" s="5" t="s">
        <v>240</v>
      </c>
      <c r="HZ3581" s="5" t="s">
        <v>240</v>
      </c>
      <c r="IA3581" s="5" t="s">
        <v>240</v>
      </c>
      <c r="IB3581" s="5" t="s">
        <v>240</v>
      </c>
      <c r="IC3581" s="5" t="s">
        <v>240</v>
      </c>
      <c r="ID3581" s="5" t="s">
        <v>240</v>
      </c>
      <c r="IE3581" s="5" t="s">
        <v>240</v>
      </c>
      <c r="IF3581" s="5" t="s">
        <v>240</v>
      </c>
    </row>
    <row r="3582" spans="1:240" x14ac:dyDescent="0.4">
      <c r="A3582" s="5">
        <v>9124</v>
      </c>
      <c r="B3582" s="5">
        <v>1</v>
      </c>
      <c r="C3582" s="5">
        <v>1</v>
      </c>
      <c r="D3582" s="5" t="s">
        <v>723</v>
      </c>
      <c r="E3582" s="5" t="s">
        <v>725</v>
      </c>
      <c r="F3582" s="5" t="s">
        <v>254</v>
      </c>
      <c r="G3582" s="5" t="s">
        <v>5785</v>
      </c>
      <c r="H3582" s="6" t="s">
        <v>5786</v>
      </c>
      <c r="I3582" s="5" t="s">
        <v>5784</v>
      </c>
      <c r="J3582" s="7">
        <f>1</f>
        <v>1</v>
      </c>
      <c r="K3582" s="5" t="s">
        <v>3682</v>
      </c>
      <c r="L3582" s="7">
        <f>1</f>
        <v>1</v>
      </c>
      <c r="M3582" s="7">
        <f>1</f>
        <v>1</v>
      </c>
      <c r="N3582" s="5" t="s">
        <v>242</v>
      </c>
      <c r="O3582" s="5">
        <v>1</v>
      </c>
      <c r="P3582" s="5" t="s">
        <v>294</v>
      </c>
      <c r="Q3582" s="5" t="s">
        <v>3678</v>
      </c>
      <c r="R3582" s="5" t="s">
        <v>240</v>
      </c>
      <c r="S3582" s="5" t="s">
        <v>240</v>
      </c>
      <c r="T3582" s="5" t="s">
        <v>243</v>
      </c>
      <c r="U3582" s="5" t="s">
        <v>244</v>
      </c>
      <c r="V3582" s="5" t="s">
        <v>240</v>
      </c>
      <c r="W3582" s="5" t="s">
        <v>240</v>
      </c>
      <c r="X3582" s="5" t="s">
        <v>240</v>
      </c>
      <c r="Y3582" s="5" t="s">
        <v>240</v>
      </c>
      <c r="Z3582" s="6" t="s">
        <v>298</v>
      </c>
      <c r="AA3582" s="6" t="s">
        <v>240</v>
      </c>
      <c r="AB3582" s="6" t="s">
        <v>240</v>
      </c>
      <c r="AC3582" s="5" t="s">
        <v>240</v>
      </c>
      <c r="AD3582" s="6" t="s">
        <v>240</v>
      </c>
      <c r="AE3582" s="6" t="s">
        <v>299</v>
      </c>
      <c r="AF3582" s="5" t="s">
        <v>248</v>
      </c>
      <c r="AG3582" s="5" t="s">
        <v>249</v>
      </c>
      <c r="AH3582" s="5" t="s">
        <v>240</v>
      </c>
      <c r="AI3582" s="5" t="s">
        <v>240</v>
      </c>
      <c r="AJ3582" s="5" t="s">
        <v>240</v>
      </c>
      <c r="AK3582" s="5" t="s">
        <v>240</v>
      </c>
      <c r="AL3582" s="5" t="s">
        <v>240</v>
      </c>
      <c r="AM3582" s="5" t="s">
        <v>240</v>
      </c>
      <c r="AN3582" s="5" t="s">
        <v>240</v>
      </c>
      <c r="AO3582" s="5" t="s">
        <v>240</v>
      </c>
      <c r="AP3582" s="6" t="s">
        <v>240</v>
      </c>
      <c r="AQ3582" s="6" t="s">
        <v>240</v>
      </c>
      <c r="AR3582" s="6" t="s">
        <v>240</v>
      </c>
      <c r="AS3582" s="6" t="s">
        <v>240</v>
      </c>
      <c r="AT3582" s="5" t="s">
        <v>240</v>
      </c>
      <c r="AU3582" s="5" t="s">
        <v>729</v>
      </c>
      <c r="AV3582" s="5" t="s">
        <v>729</v>
      </c>
      <c r="AW3582" s="5" t="s">
        <v>251</v>
      </c>
      <c r="AX3582" s="5" t="s">
        <v>252</v>
      </c>
      <c r="AY3582" s="5" t="s">
        <v>253</v>
      </c>
      <c r="AZ3582" s="5" t="s">
        <v>240</v>
      </c>
      <c r="BA3582" s="5" t="s">
        <v>255</v>
      </c>
      <c r="BB3582" s="5" t="s">
        <v>731</v>
      </c>
      <c r="BD3582" s="5" t="s">
        <v>240</v>
      </c>
      <c r="BF3582" s="5" t="s">
        <v>732</v>
      </c>
      <c r="BG3582" s="6" t="s">
        <v>733</v>
      </c>
      <c r="BH3582" s="5" t="s">
        <v>734</v>
      </c>
      <c r="BI3582" s="5" t="s">
        <v>734</v>
      </c>
      <c r="BJ3582" s="5" t="s">
        <v>240</v>
      </c>
      <c r="BK3582" s="7">
        <f>1</f>
        <v>1</v>
      </c>
      <c r="BL3582" s="7">
        <f>1</f>
        <v>1</v>
      </c>
      <c r="BM3582" s="5" t="s">
        <v>258</v>
      </c>
      <c r="BN3582" s="5" t="s">
        <v>259</v>
      </c>
      <c r="BO3582" s="5" t="s">
        <v>240</v>
      </c>
      <c r="BP3582" s="5" t="s">
        <v>240</v>
      </c>
      <c r="BQ3582" s="5" t="s">
        <v>240</v>
      </c>
      <c r="BR3582" s="5" t="s">
        <v>240</v>
      </c>
      <c r="BS3582" s="5" t="s">
        <v>240</v>
      </c>
      <c r="BT3582" s="5" t="s">
        <v>240</v>
      </c>
      <c r="BU3582" s="5" t="s">
        <v>240</v>
      </c>
      <c r="BV3582" s="5" t="s">
        <v>240</v>
      </c>
      <c r="BW3582" s="6" t="s">
        <v>240</v>
      </c>
      <c r="BX3582" s="5" t="s">
        <v>240</v>
      </c>
      <c r="BY3582" s="5" t="s">
        <v>240</v>
      </c>
      <c r="BZ3582" s="5" t="s">
        <v>240</v>
      </c>
      <c r="CA3582" s="5" t="s">
        <v>259</v>
      </c>
      <c r="CB3582" s="5" t="s">
        <v>240</v>
      </c>
      <c r="CC3582" s="5" t="s">
        <v>240</v>
      </c>
      <c r="CD3582" s="5" t="s">
        <v>240</v>
      </c>
      <c r="CE3582" s="5" t="s">
        <v>240</v>
      </c>
      <c r="CF3582" s="5" t="s">
        <v>240</v>
      </c>
      <c r="CG3582" s="5" t="s">
        <v>304</v>
      </c>
      <c r="CH3582" s="5" t="s">
        <v>305</v>
      </c>
      <c r="CI3582" s="5" t="s">
        <v>240</v>
      </c>
      <c r="CK3582" s="5" t="s">
        <v>3681</v>
      </c>
      <c r="CL3582" s="6" t="s">
        <v>261</v>
      </c>
      <c r="CM3582" s="5" t="s">
        <v>262</v>
      </c>
      <c r="CN3582" s="5" t="s">
        <v>263</v>
      </c>
      <c r="CO3582" s="5" t="s">
        <v>264</v>
      </c>
      <c r="CP3582" s="5" t="s">
        <v>240</v>
      </c>
      <c r="CQ3582" s="5">
        <v>0</v>
      </c>
      <c r="CR3582" s="5" t="s">
        <v>735</v>
      </c>
      <c r="CS3582" s="5" t="s">
        <v>307</v>
      </c>
      <c r="CT3582" s="5" t="s">
        <v>307</v>
      </c>
      <c r="CU3582" s="5" t="s">
        <v>260</v>
      </c>
      <c r="CV3582" s="5" t="s">
        <v>612</v>
      </c>
      <c r="CW3582" s="8">
        <f>1</f>
        <v>1</v>
      </c>
      <c r="CX3582" s="7">
        <f>1</f>
        <v>1</v>
      </c>
      <c r="CY3582" s="7">
        <f>0</f>
        <v>0</v>
      </c>
      <c r="DA3582" s="7">
        <f>1</f>
        <v>1</v>
      </c>
      <c r="DB3582" s="7" t="s">
        <v>240</v>
      </c>
      <c r="DC3582" s="5" t="s">
        <v>240</v>
      </c>
      <c r="DD3582" s="5" t="s">
        <v>240</v>
      </c>
      <c r="DE3582" s="5" t="s">
        <v>240</v>
      </c>
      <c r="DF3582" s="5" t="s">
        <v>240</v>
      </c>
      <c r="DG3582" s="7">
        <f>0</f>
        <v>0</v>
      </c>
      <c r="DI3582" s="5" t="s">
        <v>240</v>
      </c>
      <c r="DJ3582" s="5" t="s">
        <v>240</v>
      </c>
      <c r="DK3582" s="5" t="s">
        <v>240</v>
      </c>
      <c r="DL3582" s="5" t="s">
        <v>240</v>
      </c>
      <c r="DM3582" s="5" t="s">
        <v>240</v>
      </c>
      <c r="DN3582" s="5" t="s">
        <v>240</v>
      </c>
      <c r="DO3582" s="7" t="s">
        <v>240</v>
      </c>
      <c r="DP3582" s="5" t="s">
        <v>240</v>
      </c>
      <c r="DQ3582" s="5" t="s">
        <v>240</v>
      </c>
      <c r="DR3582" s="5" t="s">
        <v>731</v>
      </c>
      <c r="DS3582" s="5" t="s">
        <v>731</v>
      </c>
      <c r="DT3582" s="5" t="s">
        <v>240</v>
      </c>
      <c r="DU3582" s="5" t="s">
        <v>240</v>
      </c>
      <c r="DV3582" s="5" t="s">
        <v>3683</v>
      </c>
      <c r="DW3582" s="5" t="s">
        <v>348</v>
      </c>
      <c r="DX3582" s="5" t="s">
        <v>240</v>
      </c>
      <c r="DY3582" s="5" t="s">
        <v>240</v>
      </c>
      <c r="DZ3582" s="5" t="s">
        <v>240</v>
      </c>
      <c r="EA3582" s="5" t="s">
        <v>240</v>
      </c>
      <c r="EB3582" s="5" t="s">
        <v>240</v>
      </c>
      <c r="EC3582" s="5" t="s">
        <v>240</v>
      </c>
      <c r="ED3582" s="5" t="s">
        <v>240</v>
      </c>
      <c r="EE3582" s="5" t="s">
        <v>240</v>
      </c>
      <c r="EF3582" s="5" t="s">
        <v>240</v>
      </c>
      <c r="EG3582" s="5" t="s">
        <v>240</v>
      </c>
      <c r="EH3582" s="5" t="s">
        <v>240</v>
      </c>
      <c r="EI3582" s="5" t="s">
        <v>240</v>
      </c>
      <c r="EJ3582" s="5" t="s">
        <v>240</v>
      </c>
      <c r="EK3582" s="5" t="s">
        <v>240</v>
      </c>
      <c r="EL3582" s="5" t="s">
        <v>240</v>
      </c>
      <c r="EM3582" s="5" t="s">
        <v>240</v>
      </c>
      <c r="EN3582" s="5" t="s">
        <v>240</v>
      </c>
      <c r="EO3582" s="5" t="s">
        <v>240</v>
      </c>
      <c r="EP3582" s="5" t="s">
        <v>240</v>
      </c>
      <c r="EQ3582" s="5" t="s">
        <v>240</v>
      </c>
      <c r="ER3582" s="5" t="s">
        <v>240</v>
      </c>
      <c r="ES3582" s="5" t="s">
        <v>240</v>
      </c>
      <c r="ET3582" s="5" t="s">
        <v>240</v>
      </c>
      <c r="EU3582" s="5" t="s">
        <v>240</v>
      </c>
      <c r="EV3582" s="5" t="s">
        <v>240</v>
      </c>
      <c r="EW3582" s="5" t="s">
        <v>240</v>
      </c>
      <c r="EX3582" s="5" t="s">
        <v>240</v>
      </c>
      <c r="EY3582" s="5" t="s">
        <v>240</v>
      </c>
      <c r="EZ3582" s="5" t="s">
        <v>240</v>
      </c>
      <c r="FA3582" s="5" t="s">
        <v>240</v>
      </c>
      <c r="FB3582" s="5" t="s">
        <v>240</v>
      </c>
      <c r="FC3582" s="5" t="s">
        <v>240</v>
      </c>
      <c r="FD3582" s="5" t="s">
        <v>240</v>
      </c>
      <c r="FE3582" s="5" t="s">
        <v>240</v>
      </c>
      <c r="FF3582" s="5" t="s">
        <v>240</v>
      </c>
      <c r="FG3582" s="5" t="s">
        <v>240</v>
      </c>
      <c r="FH3582" s="5" t="s">
        <v>240</v>
      </c>
      <c r="FI3582" s="5" t="s">
        <v>240</v>
      </c>
      <c r="FJ3582" s="5" t="s">
        <v>240</v>
      </c>
      <c r="FK3582" s="5" t="s">
        <v>240</v>
      </c>
      <c r="FL3582" s="5" t="s">
        <v>240</v>
      </c>
      <c r="FM3582" s="5" t="s">
        <v>240</v>
      </c>
      <c r="FN3582" s="5" t="s">
        <v>240</v>
      </c>
      <c r="FO3582" s="5" t="s">
        <v>240</v>
      </c>
      <c r="FP3582" s="5" t="s">
        <v>240</v>
      </c>
      <c r="FQ3582" s="5" t="s">
        <v>240</v>
      </c>
      <c r="FR3582" s="5" t="s">
        <v>240</v>
      </c>
      <c r="FS3582" s="5" t="s">
        <v>240</v>
      </c>
      <c r="FT3582" s="5" t="s">
        <v>240</v>
      </c>
      <c r="FU3582" s="5" t="s">
        <v>240</v>
      </c>
      <c r="FV3582" s="5" t="s">
        <v>240</v>
      </c>
      <c r="FW3582" s="5" t="s">
        <v>240</v>
      </c>
      <c r="FX3582" s="5" t="s">
        <v>240</v>
      </c>
      <c r="FY3582" s="5" t="s">
        <v>240</v>
      </c>
      <c r="FZ3582" s="5" t="s">
        <v>240</v>
      </c>
      <c r="GA3582" s="5" t="s">
        <v>240</v>
      </c>
      <c r="GB3582" s="5" t="s">
        <v>240</v>
      </c>
      <c r="GC3582" s="5" t="s">
        <v>240</v>
      </c>
      <c r="GD3582" s="5" t="s">
        <v>240</v>
      </c>
      <c r="GE3582" s="5" t="s">
        <v>240</v>
      </c>
      <c r="GF3582" s="5" t="s">
        <v>240</v>
      </c>
      <c r="GG3582" s="5" t="s">
        <v>240</v>
      </c>
      <c r="GH3582" s="5" t="s">
        <v>240</v>
      </c>
      <c r="GI3582" s="5" t="s">
        <v>240</v>
      </c>
      <c r="GJ3582" s="5" t="s">
        <v>240</v>
      </c>
      <c r="GK3582" s="5" t="s">
        <v>240</v>
      </c>
      <c r="GL3582" s="5" t="s">
        <v>240</v>
      </c>
      <c r="GM3582" s="5" t="s">
        <v>240</v>
      </c>
      <c r="GN3582" s="5" t="s">
        <v>240</v>
      </c>
      <c r="GO3582" s="5" t="s">
        <v>240</v>
      </c>
      <c r="GP3582" s="5" t="s">
        <v>240</v>
      </c>
      <c r="GQ3582" s="5" t="s">
        <v>240</v>
      </c>
      <c r="GR3582" s="5" t="s">
        <v>240</v>
      </c>
      <c r="GS3582" s="5" t="s">
        <v>240</v>
      </c>
      <c r="GT3582" s="5" t="s">
        <v>240</v>
      </c>
      <c r="GU3582" s="5" t="s">
        <v>240</v>
      </c>
      <c r="GV3582" s="5" t="s">
        <v>240</v>
      </c>
      <c r="GW3582" s="5" t="s">
        <v>240</v>
      </c>
      <c r="GX3582" s="5" t="s">
        <v>240</v>
      </c>
      <c r="GY3582" s="5" t="s">
        <v>240</v>
      </c>
      <c r="GZ3582" s="5" t="s">
        <v>240</v>
      </c>
      <c r="HA3582" s="5" t="s">
        <v>240</v>
      </c>
      <c r="HB3582" s="5" t="s">
        <v>240</v>
      </c>
      <c r="HC3582" s="5" t="s">
        <v>240</v>
      </c>
      <c r="HD3582" s="5" t="s">
        <v>240</v>
      </c>
      <c r="HE3582" s="5" t="s">
        <v>240</v>
      </c>
      <c r="HF3582" s="5" t="s">
        <v>240</v>
      </c>
      <c r="HG3582" s="5" t="s">
        <v>240</v>
      </c>
      <c r="HH3582" s="5" t="s">
        <v>240</v>
      </c>
      <c r="HI3582" s="5" t="s">
        <v>240</v>
      </c>
      <c r="HJ3582" s="5" t="s">
        <v>240</v>
      </c>
      <c r="HK3582" s="5" t="s">
        <v>240</v>
      </c>
      <c r="HL3582" s="5" t="s">
        <v>240</v>
      </c>
      <c r="HM3582" s="5" t="s">
        <v>240</v>
      </c>
      <c r="HN3582" s="5" t="s">
        <v>240</v>
      </c>
      <c r="HO3582" s="5" t="s">
        <v>312</v>
      </c>
      <c r="HP3582" s="5" t="s">
        <v>240</v>
      </c>
      <c r="HQ3582" s="5" t="s">
        <v>240</v>
      </c>
      <c r="HR3582" s="5" t="s">
        <v>240</v>
      </c>
      <c r="HS3582" s="5" t="s">
        <v>240</v>
      </c>
      <c r="HT3582" s="5" t="s">
        <v>240</v>
      </c>
      <c r="HU3582" s="5" t="s">
        <v>240</v>
      </c>
      <c r="HV3582" s="5" t="s">
        <v>240</v>
      </c>
      <c r="HW3582" s="5" t="s">
        <v>240</v>
      </c>
      <c r="HX3582" s="5" t="s">
        <v>240</v>
      </c>
      <c r="HY3582" s="5" t="s">
        <v>240</v>
      </c>
      <c r="HZ3582" s="5" t="s">
        <v>240</v>
      </c>
      <c r="IA3582" s="5" t="s">
        <v>240</v>
      </c>
      <c r="IB3582" s="5" t="s">
        <v>240</v>
      </c>
      <c r="IC3582" s="5" t="s">
        <v>240</v>
      </c>
      <c r="ID3582" s="5" t="s">
        <v>240</v>
      </c>
      <c r="IE3582" s="5" t="s">
        <v>240</v>
      </c>
      <c r="IF3582" s="5" t="s">
        <v>240</v>
      </c>
    </row>
    <row r="3583" spans="1:240" x14ac:dyDescent="0.4">
      <c r="A3583" s="5">
        <v>9125</v>
      </c>
      <c r="B3583" s="5">
        <v>1</v>
      </c>
      <c r="C3583" s="5">
        <v>1</v>
      </c>
      <c r="D3583" s="5" t="s">
        <v>723</v>
      </c>
      <c r="E3583" s="5" t="s">
        <v>725</v>
      </c>
      <c r="F3583" s="5" t="s">
        <v>254</v>
      </c>
      <c r="G3583" s="5" t="s">
        <v>6508</v>
      </c>
      <c r="H3583" s="6" t="s">
        <v>6509</v>
      </c>
      <c r="I3583" s="5" t="s">
        <v>6507</v>
      </c>
      <c r="J3583" s="7">
        <f>1</f>
        <v>1</v>
      </c>
      <c r="K3583" s="5" t="s">
        <v>3682</v>
      </c>
      <c r="L3583" s="7">
        <f>1</f>
        <v>1</v>
      </c>
      <c r="M3583" s="7">
        <f>1</f>
        <v>1</v>
      </c>
      <c r="N3583" s="5" t="s">
        <v>242</v>
      </c>
      <c r="O3583" s="5">
        <v>1</v>
      </c>
      <c r="P3583" s="5" t="s">
        <v>294</v>
      </c>
      <c r="Q3583" s="5" t="s">
        <v>613</v>
      </c>
      <c r="R3583" s="5" t="s">
        <v>240</v>
      </c>
      <c r="S3583" s="5" t="s">
        <v>240</v>
      </c>
      <c r="T3583" s="5" t="s">
        <v>243</v>
      </c>
      <c r="U3583" s="5" t="s">
        <v>724</v>
      </c>
      <c r="V3583" s="5" t="s">
        <v>240</v>
      </c>
      <c r="W3583" s="5" t="s">
        <v>240</v>
      </c>
      <c r="X3583" s="5" t="s">
        <v>240</v>
      </c>
      <c r="Y3583" s="5" t="s">
        <v>240</v>
      </c>
      <c r="Z3583" s="6" t="s">
        <v>298</v>
      </c>
      <c r="AA3583" s="6" t="s">
        <v>240</v>
      </c>
      <c r="AB3583" s="6" t="s">
        <v>240</v>
      </c>
      <c r="AC3583" s="5" t="s">
        <v>240</v>
      </c>
      <c r="AD3583" s="6" t="s">
        <v>240</v>
      </c>
      <c r="AE3583" s="6" t="s">
        <v>299</v>
      </c>
      <c r="AF3583" s="5" t="s">
        <v>727</v>
      </c>
      <c r="AG3583" s="5" t="s">
        <v>260</v>
      </c>
      <c r="AH3583" s="5" t="s">
        <v>240</v>
      </c>
      <c r="AI3583" s="5" t="s">
        <v>240</v>
      </c>
      <c r="AJ3583" s="5" t="s">
        <v>240</v>
      </c>
      <c r="AK3583" s="5" t="s">
        <v>240</v>
      </c>
      <c r="AL3583" s="5" t="s">
        <v>240</v>
      </c>
      <c r="AM3583" s="5" t="s">
        <v>240</v>
      </c>
      <c r="AN3583" s="5" t="s">
        <v>240</v>
      </c>
      <c r="AO3583" s="5" t="s">
        <v>240</v>
      </c>
      <c r="AP3583" s="6" t="s">
        <v>240</v>
      </c>
      <c r="AQ3583" s="6" t="s">
        <v>240</v>
      </c>
      <c r="AR3583" s="6" t="s">
        <v>240</v>
      </c>
      <c r="AS3583" s="6" t="s">
        <v>240</v>
      </c>
      <c r="AT3583" s="5" t="s">
        <v>240</v>
      </c>
      <c r="AU3583" s="5" t="s">
        <v>729</v>
      </c>
      <c r="AV3583" s="5" t="s">
        <v>729</v>
      </c>
      <c r="AW3583" s="5" t="s">
        <v>251</v>
      </c>
      <c r="AX3583" s="5" t="s">
        <v>252</v>
      </c>
      <c r="AY3583" s="5" t="s">
        <v>253</v>
      </c>
      <c r="AZ3583" s="5" t="s">
        <v>240</v>
      </c>
      <c r="BA3583" s="5" t="s">
        <v>255</v>
      </c>
      <c r="BB3583" s="5" t="s">
        <v>731</v>
      </c>
      <c r="BD3583" s="5" t="s">
        <v>240</v>
      </c>
      <c r="BF3583" s="5" t="s">
        <v>732</v>
      </c>
      <c r="BG3583" s="6" t="s">
        <v>733</v>
      </c>
      <c r="BH3583" s="5" t="s">
        <v>734</v>
      </c>
      <c r="BI3583" s="5" t="s">
        <v>734</v>
      </c>
      <c r="BJ3583" s="5" t="s">
        <v>240</v>
      </c>
      <c r="BK3583" s="8">
        <f>200.9</f>
        <v>200.9</v>
      </c>
      <c r="BL3583" s="7">
        <f>0</f>
        <v>0</v>
      </c>
      <c r="BM3583" s="5" t="s">
        <v>258</v>
      </c>
      <c r="BN3583" s="5" t="s">
        <v>259</v>
      </c>
      <c r="BO3583" s="5" t="s">
        <v>240</v>
      </c>
      <c r="BP3583" s="5" t="s">
        <v>240</v>
      </c>
      <c r="BQ3583" s="5" t="s">
        <v>240</v>
      </c>
      <c r="BR3583" s="5" t="s">
        <v>240</v>
      </c>
      <c r="BS3583" s="5" t="s">
        <v>240</v>
      </c>
      <c r="BT3583" s="5" t="s">
        <v>240</v>
      </c>
      <c r="BU3583" s="5" t="s">
        <v>240</v>
      </c>
      <c r="BV3583" s="5" t="s">
        <v>240</v>
      </c>
      <c r="BW3583" s="6" t="s">
        <v>240</v>
      </c>
      <c r="BX3583" s="5" t="s">
        <v>240</v>
      </c>
      <c r="BY3583" s="5" t="s">
        <v>240</v>
      </c>
      <c r="BZ3583" s="5" t="s">
        <v>240</v>
      </c>
      <c r="CA3583" s="5" t="s">
        <v>259</v>
      </c>
      <c r="CB3583" s="5" t="s">
        <v>240</v>
      </c>
      <c r="CC3583" s="5" t="s">
        <v>240</v>
      </c>
      <c r="CD3583" s="5" t="s">
        <v>240</v>
      </c>
      <c r="CE3583" s="5" t="s">
        <v>240</v>
      </c>
      <c r="CF3583" s="5" t="s">
        <v>240</v>
      </c>
      <c r="CG3583" s="5" t="s">
        <v>617</v>
      </c>
      <c r="CH3583" s="5" t="s">
        <v>305</v>
      </c>
      <c r="CI3583" s="5" t="s">
        <v>240</v>
      </c>
      <c r="CL3583" s="6" t="s">
        <v>261</v>
      </c>
      <c r="CM3583" s="5" t="s">
        <v>262</v>
      </c>
      <c r="CN3583" s="5" t="s">
        <v>263</v>
      </c>
      <c r="CO3583" s="5" t="s">
        <v>264</v>
      </c>
      <c r="CP3583" s="5" t="s">
        <v>240</v>
      </c>
      <c r="CQ3583" s="5">
        <v>0</v>
      </c>
      <c r="CR3583" s="5" t="s">
        <v>735</v>
      </c>
      <c r="CS3583" s="5" t="s">
        <v>307</v>
      </c>
      <c r="CT3583" s="5" t="s">
        <v>307</v>
      </c>
      <c r="CU3583" s="5" t="s">
        <v>260</v>
      </c>
      <c r="CV3583" s="5" t="s">
        <v>240</v>
      </c>
      <c r="CW3583" s="8">
        <f>0</f>
        <v>0</v>
      </c>
      <c r="CX3583" s="7">
        <f>0</f>
        <v>0</v>
      </c>
      <c r="CY3583" s="7">
        <f>0</f>
        <v>0</v>
      </c>
      <c r="DA3583" s="7">
        <f>2209</f>
        <v>2209</v>
      </c>
      <c r="DB3583" s="7" t="s">
        <v>240</v>
      </c>
      <c r="DC3583" s="5" t="s">
        <v>240</v>
      </c>
      <c r="DD3583" s="5" t="s">
        <v>240</v>
      </c>
      <c r="DE3583" s="5" t="s">
        <v>240</v>
      </c>
      <c r="DF3583" s="5" t="s">
        <v>450</v>
      </c>
      <c r="DG3583" s="7">
        <f>0</f>
        <v>0</v>
      </c>
      <c r="DI3583" s="5" t="s">
        <v>737</v>
      </c>
      <c r="DJ3583" s="5" t="s">
        <v>240</v>
      </c>
      <c r="DK3583" s="5" t="s">
        <v>240</v>
      </c>
      <c r="DL3583" s="5" t="s">
        <v>240</v>
      </c>
      <c r="DM3583" s="5" t="s">
        <v>240</v>
      </c>
      <c r="DN3583" s="5" t="s">
        <v>240</v>
      </c>
      <c r="DO3583" s="7" t="s">
        <v>240</v>
      </c>
      <c r="DP3583" s="5" t="s">
        <v>240</v>
      </c>
      <c r="DQ3583" s="5" t="s">
        <v>240</v>
      </c>
      <c r="DR3583" s="5" t="s">
        <v>731</v>
      </c>
      <c r="DS3583" s="5" t="s">
        <v>731</v>
      </c>
      <c r="DT3583" s="5" t="s">
        <v>240</v>
      </c>
      <c r="DU3583" s="5" t="s">
        <v>240</v>
      </c>
      <c r="DV3583" s="5" t="s">
        <v>738</v>
      </c>
      <c r="DW3583" s="5" t="s">
        <v>516</v>
      </c>
      <c r="DX3583" s="5" t="s">
        <v>240</v>
      </c>
      <c r="DY3583" s="5" t="s">
        <v>240</v>
      </c>
      <c r="DZ3583" s="5" t="s">
        <v>240</v>
      </c>
      <c r="EA3583" s="5" t="s">
        <v>240</v>
      </c>
      <c r="EB3583" s="5" t="s">
        <v>240</v>
      </c>
      <c r="EC3583" s="5" t="s">
        <v>240</v>
      </c>
      <c r="ED3583" s="5" t="s">
        <v>240</v>
      </c>
      <c r="EE3583" s="5" t="s">
        <v>240</v>
      </c>
      <c r="EF3583" s="5" t="s">
        <v>240</v>
      </c>
      <c r="EG3583" s="5" t="s">
        <v>240</v>
      </c>
      <c r="EH3583" s="5" t="s">
        <v>240</v>
      </c>
      <c r="EI3583" s="5" t="s">
        <v>240</v>
      </c>
      <c r="EJ3583" s="5" t="s">
        <v>240</v>
      </c>
      <c r="EK3583" s="5" t="s">
        <v>240</v>
      </c>
      <c r="EL3583" s="5" t="s">
        <v>240</v>
      </c>
      <c r="EM3583" s="5" t="s">
        <v>240</v>
      </c>
      <c r="EN3583" s="5" t="s">
        <v>240</v>
      </c>
      <c r="EO3583" s="5" t="s">
        <v>240</v>
      </c>
      <c r="EP3583" s="5" t="s">
        <v>240</v>
      </c>
      <c r="EQ3583" s="5" t="s">
        <v>240</v>
      </c>
      <c r="ER3583" s="5" t="s">
        <v>240</v>
      </c>
      <c r="ES3583" s="5" t="s">
        <v>240</v>
      </c>
      <c r="ET3583" s="5" t="s">
        <v>240</v>
      </c>
      <c r="EU3583" s="5" t="s">
        <v>240</v>
      </c>
      <c r="EV3583" s="5" t="s">
        <v>240</v>
      </c>
      <c r="EW3583" s="5" t="s">
        <v>240</v>
      </c>
      <c r="EX3583" s="5" t="s">
        <v>240</v>
      </c>
      <c r="EY3583" s="5" t="s">
        <v>240</v>
      </c>
      <c r="EZ3583" s="5" t="s">
        <v>240</v>
      </c>
      <c r="FA3583" s="5" t="s">
        <v>240</v>
      </c>
      <c r="FB3583" s="5" t="s">
        <v>240</v>
      </c>
      <c r="FC3583" s="5" t="s">
        <v>240</v>
      </c>
      <c r="FD3583" s="5" t="s">
        <v>240</v>
      </c>
      <c r="FE3583" s="5" t="s">
        <v>240</v>
      </c>
      <c r="FF3583" s="5" t="s">
        <v>240</v>
      </c>
      <c r="FG3583" s="5" t="s">
        <v>240</v>
      </c>
      <c r="FH3583" s="5" t="s">
        <v>240</v>
      </c>
      <c r="FI3583" s="5" t="s">
        <v>240</v>
      </c>
      <c r="FJ3583" s="5" t="s">
        <v>240</v>
      </c>
      <c r="FK3583" s="5" t="s">
        <v>240</v>
      </c>
      <c r="FL3583" s="5" t="s">
        <v>240</v>
      </c>
      <c r="FM3583" s="5" t="s">
        <v>240</v>
      </c>
      <c r="FN3583" s="5" t="s">
        <v>240</v>
      </c>
      <c r="FO3583" s="5" t="s">
        <v>240</v>
      </c>
      <c r="FP3583" s="5" t="s">
        <v>240</v>
      </c>
      <c r="FQ3583" s="5" t="s">
        <v>240</v>
      </c>
      <c r="FR3583" s="5" t="s">
        <v>240</v>
      </c>
      <c r="FS3583" s="5" t="s">
        <v>240</v>
      </c>
      <c r="FT3583" s="5" t="s">
        <v>240</v>
      </c>
      <c r="FU3583" s="5" t="s">
        <v>240</v>
      </c>
      <c r="FV3583" s="5" t="s">
        <v>240</v>
      </c>
      <c r="FW3583" s="5" t="s">
        <v>240</v>
      </c>
      <c r="FX3583" s="5" t="s">
        <v>240</v>
      </c>
      <c r="FY3583" s="5" t="s">
        <v>240</v>
      </c>
      <c r="FZ3583" s="5" t="s">
        <v>240</v>
      </c>
      <c r="GA3583" s="5" t="s">
        <v>240</v>
      </c>
      <c r="GB3583" s="5" t="s">
        <v>240</v>
      </c>
      <c r="GC3583" s="5" t="s">
        <v>240</v>
      </c>
      <c r="GD3583" s="5" t="s">
        <v>240</v>
      </c>
      <c r="GE3583" s="5" t="s">
        <v>240</v>
      </c>
      <c r="GF3583" s="5" t="s">
        <v>240</v>
      </c>
      <c r="GG3583" s="5" t="s">
        <v>240</v>
      </c>
      <c r="GH3583" s="5" t="s">
        <v>240</v>
      </c>
      <c r="GI3583" s="5" t="s">
        <v>240</v>
      </c>
      <c r="GJ3583" s="5" t="s">
        <v>240</v>
      </c>
      <c r="GK3583" s="5" t="s">
        <v>240</v>
      </c>
      <c r="GL3583" s="5" t="s">
        <v>240</v>
      </c>
      <c r="GM3583" s="5" t="s">
        <v>240</v>
      </c>
      <c r="GN3583" s="5" t="s">
        <v>240</v>
      </c>
      <c r="GO3583" s="5" t="s">
        <v>240</v>
      </c>
      <c r="GP3583" s="5" t="s">
        <v>240</v>
      </c>
      <c r="GQ3583" s="5" t="s">
        <v>240</v>
      </c>
      <c r="GR3583" s="5" t="s">
        <v>240</v>
      </c>
      <c r="GS3583" s="5" t="s">
        <v>240</v>
      </c>
      <c r="GT3583" s="5" t="s">
        <v>240</v>
      </c>
      <c r="GU3583" s="5" t="s">
        <v>240</v>
      </c>
      <c r="GV3583" s="5" t="s">
        <v>240</v>
      </c>
      <c r="GW3583" s="5" t="s">
        <v>240</v>
      </c>
      <c r="GX3583" s="5" t="s">
        <v>240</v>
      </c>
      <c r="GY3583" s="5" t="s">
        <v>240</v>
      </c>
      <c r="GZ3583" s="5" t="s">
        <v>240</v>
      </c>
      <c r="HA3583" s="5" t="s">
        <v>240</v>
      </c>
      <c r="HB3583" s="5" t="s">
        <v>240</v>
      </c>
      <c r="HC3583" s="5" t="s">
        <v>240</v>
      </c>
      <c r="HD3583" s="5" t="s">
        <v>240</v>
      </c>
      <c r="HE3583" s="5" t="s">
        <v>240</v>
      </c>
      <c r="HF3583" s="5" t="s">
        <v>240</v>
      </c>
      <c r="HG3583" s="5" t="s">
        <v>240</v>
      </c>
      <c r="HH3583" s="5" t="s">
        <v>240</v>
      </c>
      <c r="HI3583" s="5" t="s">
        <v>240</v>
      </c>
      <c r="HJ3583" s="5" t="s">
        <v>240</v>
      </c>
      <c r="HK3583" s="5" t="s">
        <v>240</v>
      </c>
      <c r="HL3583" s="5" t="s">
        <v>240</v>
      </c>
      <c r="HM3583" s="5" t="s">
        <v>240</v>
      </c>
      <c r="HN3583" s="5" t="s">
        <v>240</v>
      </c>
      <c r="HO3583" s="5" t="s">
        <v>620</v>
      </c>
      <c r="HP3583" s="5" t="s">
        <v>240</v>
      </c>
      <c r="HQ3583" s="5" t="s">
        <v>240</v>
      </c>
      <c r="HR3583" s="5" t="s">
        <v>240</v>
      </c>
      <c r="HS3583" s="5" t="s">
        <v>240</v>
      </c>
      <c r="HT3583" s="5" t="s">
        <v>240</v>
      </c>
      <c r="HU3583" s="5" t="s">
        <v>240</v>
      </c>
      <c r="HV3583" s="5" t="s">
        <v>240</v>
      </c>
      <c r="HW3583" s="5" t="s">
        <v>240</v>
      </c>
      <c r="HX3583" s="5" t="s">
        <v>240</v>
      </c>
      <c r="HY3583" s="5" t="s">
        <v>240</v>
      </c>
      <c r="HZ3583" s="5" t="s">
        <v>240</v>
      </c>
      <c r="IA3583" s="5" t="s">
        <v>240</v>
      </c>
      <c r="IB3583" s="5" t="s">
        <v>240</v>
      </c>
      <c r="IC3583" s="5" t="s">
        <v>240</v>
      </c>
      <c r="ID3583" s="5" t="s">
        <v>240</v>
      </c>
      <c r="IE3583" s="5" t="s">
        <v>240</v>
      </c>
      <c r="IF3583" s="5" t="s">
        <v>240</v>
      </c>
    </row>
    <row r="3584" spans="1:240" x14ac:dyDescent="0.4">
      <c r="A3584" s="5">
        <v>9126</v>
      </c>
      <c r="B3584" s="5">
        <v>1</v>
      </c>
      <c r="C3584" s="5">
        <v>1</v>
      </c>
      <c r="D3584" s="5" t="s">
        <v>723</v>
      </c>
      <c r="E3584" s="5" t="s">
        <v>725</v>
      </c>
      <c r="F3584" s="5" t="s">
        <v>254</v>
      </c>
      <c r="G3584" s="5" t="s">
        <v>726</v>
      </c>
      <c r="H3584" s="6" t="s">
        <v>6432</v>
      </c>
      <c r="I3584" s="5" t="s">
        <v>6431</v>
      </c>
      <c r="J3584" s="7">
        <f>1</f>
        <v>1</v>
      </c>
      <c r="K3584" s="5" t="s">
        <v>3682</v>
      </c>
      <c r="L3584" s="7">
        <f>1</f>
        <v>1</v>
      </c>
      <c r="M3584" s="7">
        <f>1</f>
        <v>1</v>
      </c>
      <c r="N3584" s="5" t="s">
        <v>242</v>
      </c>
      <c r="O3584" s="5">
        <v>1</v>
      </c>
      <c r="P3584" s="5" t="s">
        <v>294</v>
      </c>
      <c r="Q3584" s="5" t="s">
        <v>3678</v>
      </c>
      <c r="R3584" s="5" t="s">
        <v>240</v>
      </c>
      <c r="S3584" s="5" t="s">
        <v>240</v>
      </c>
      <c r="T3584" s="5" t="s">
        <v>243</v>
      </c>
      <c r="U3584" s="5" t="s">
        <v>244</v>
      </c>
      <c r="V3584" s="5" t="s">
        <v>240</v>
      </c>
      <c r="W3584" s="5" t="s">
        <v>240</v>
      </c>
      <c r="X3584" s="5" t="s">
        <v>240</v>
      </c>
      <c r="Y3584" s="5" t="s">
        <v>240</v>
      </c>
      <c r="Z3584" s="6" t="s">
        <v>298</v>
      </c>
      <c r="AA3584" s="6" t="s">
        <v>240</v>
      </c>
      <c r="AB3584" s="6" t="s">
        <v>240</v>
      </c>
      <c r="AC3584" s="5" t="s">
        <v>240</v>
      </c>
      <c r="AD3584" s="6" t="s">
        <v>240</v>
      </c>
      <c r="AE3584" s="6" t="s">
        <v>299</v>
      </c>
      <c r="AF3584" s="5" t="s">
        <v>248</v>
      </c>
      <c r="AG3584" s="5" t="s">
        <v>249</v>
      </c>
      <c r="AH3584" s="5" t="s">
        <v>240</v>
      </c>
      <c r="AI3584" s="5" t="s">
        <v>240</v>
      </c>
      <c r="AJ3584" s="5" t="s">
        <v>240</v>
      </c>
      <c r="AK3584" s="5" t="s">
        <v>240</v>
      </c>
      <c r="AL3584" s="5" t="s">
        <v>240</v>
      </c>
      <c r="AM3584" s="5" t="s">
        <v>240</v>
      </c>
      <c r="AN3584" s="5" t="s">
        <v>240</v>
      </c>
      <c r="AO3584" s="5" t="s">
        <v>240</v>
      </c>
      <c r="AP3584" s="6" t="s">
        <v>240</v>
      </c>
      <c r="AQ3584" s="6" t="s">
        <v>240</v>
      </c>
      <c r="AR3584" s="6" t="s">
        <v>240</v>
      </c>
      <c r="AS3584" s="6" t="s">
        <v>240</v>
      </c>
      <c r="AT3584" s="5" t="s">
        <v>240</v>
      </c>
      <c r="AU3584" s="5" t="s">
        <v>729</v>
      </c>
      <c r="AV3584" s="5" t="s">
        <v>729</v>
      </c>
      <c r="AW3584" s="5" t="s">
        <v>251</v>
      </c>
      <c r="AX3584" s="5" t="s">
        <v>252</v>
      </c>
      <c r="AY3584" s="5" t="s">
        <v>253</v>
      </c>
      <c r="AZ3584" s="5" t="s">
        <v>240</v>
      </c>
      <c r="BA3584" s="5" t="s">
        <v>255</v>
      </c>
      <c r="BB3584" s="5" t="s">
        <v>731</v>
      </c>
      <c r="BD3584" s="5" t="s">
        <v>240</v>
      </c>
      <c r="BF3584" s="5" t="s">
        <v>732</v>
      </c>
      <c r="BG3584" s="6" t="s">
        <v>733</v>
      </c>
      <c r="BH3584" s="5" t="s">
        <v>734</v>
      </c>
      <c r="BI3584" s="5" t="s">
        <v>734</v>
      </c>
      <c r="BJ3584" s="5" t="s">
        <v>240</v>
      </c>
      <c r="BK3584" s="7">
        <f>1</f>
        <v>1</v>
      </c>
      <c r="BL3584" s="7">
        <f>1</f>
        <v>1</v>
      </c>
      <c r="BM3584" s="5" t="s">
        <v>258</v>
      </c>
      <c r="BN3584" s="5" t="s">
        <v>259</v>
      </c>
      <c r="BO3584" s="5" t="s">
        <v>240</v>
      </c>
      <c r="BP3584" s="5" t="s">
        <v>240</v>
      </c>
      <c r="BQ3584" s="5" t="s">
        <v>240</v>
      </c>
      <c r="BR3584" s="5" t="s">
        <v>240</v>
      </c>
      <c r="BS3584" s="5" t="s">
        <v>240</v>
      </c>
      <c r="BT3584" s="5" t="s">
        <v>240</v>
      </c>
      <c r="BU3584" s="5" t="s">
        <v>240</v>
      </c>
      <c r="BV3584" s="5" t="s">
        <v>240</v>
      </c>
      <c r="BW3584" s="6" t="s">
        <v>240</v>
      </c>
      <c r="BX3584" s="5" t="s">
        <v>240</v>
      </c>
      <c r="BY3584" s="5" t="s">
        <v>240</v>
      </c>
      <c r="BZ3584" s="5" t="s">
        <v>240</v>
      </c>
      <c r="CA3584" s="5" t="s">
        <v>259</v>
      </c>
      <c r="CB3584" s="5" t="s">
        <v>240</v>
      </c>
      <c r="CC3584" s="5" t="s">
        <v>240</v>
      </c>
      <c r="CD3584" s="5" t="s">
        <v>240</v>
      </c>
      <c r="CE3584" s="5" t="s">
        <v>240</v>
      </c>
      <c r="CF3584" s="5" t="s">
        <v>240</v>
      </c>
      <c r="CG3584" s="5" t="s">
        <v>304</v>
      </c>
      <c r="CH3584" s="5" t="s">
        <v>305</v>
      </c>
      <c r="CI3584" s="5" t="s">
        <v>240</v>
      </c>
      <c r="CK3584" s="5" t="s">
        <v>3681</v>
      </c>
      <c r="CL3584" s="6" t="s">
        <v>261</v>
      </c>
      <c r="CM3584" s="5" t="s">
        <v>262</v>
      </c>
      <c r="CN3584" s="5" t="s">
        <v>263</v>
      </c>
      <c r="CO3584" s="5" t="s">
        <v>264</v>
      </c>
      <c r="CP3584" s="5" t="s">
        <v>240</v>
      </c>
      <c r="CQ3584" s="5">
        <v>0</v>
      </c>
      <c r="CR3584" s="5" t="s">
        <v>735</v>
      </c>
      <c r="CS3584" s="5" t="s">
        <v>307</v>
      </c>
      <c r="CT3584" s="5" t="s">
        <v>307</v>
      </c>
      <c r="CU3584" s="5" t="s">
        <v>260</v>
      </c>
      <c r="CV3584" s="5" t="s">
        <v>612</v>
      </c>
      <c r="CW3584" s="8">
        <f>1</f>
        <v>1</v>
      </c>
      <c r="CX3584" s="7">
        <f>1</f>
        <v>1</v>
      </c>
      <c r="CY3584" s="7">
        <f>0</f>
        <v>0</v>
      </c>
      <c r="DA3584" s="7">
        <f>1</f>
        <v>1</v>
      </c>
      <c r="DB3584" s="7" t="s">
        <v>240</v>
      </c>
      <c r="DC3584" s="5" t="s">
        <v>240</v>
      </c>
      <c r="DD3584" s="5" t="s">
        <v>240</v>
      </c>
      <c r="DE3584" s="5" t="s">
        <v>240</v>
      </c>
      <c r="DF3584" s="5" t="s">
        <v>240</v>
      </c>
      <c r="DG3584" s="7">
        <f>0</f>
        <v>0</v>
      </c>
      <c r="DI3584" s="5" t="s">
        <v>240</v>
      </c>
      <c r="DJ3584" s="5" t="s">
        <v>240</v>
      </c>
      <c r="DK3584" s="5" t="s">
        <v>240</v>
      </c>
      <c r="DL3584" s="5" t="s">
        <v>240</v>
      </c>
      <c r="DM3584" s="5" t="s">
        <v>240</v>
      </c>
      <c r="DN3584" s="5" t="s">
        <v>240</v>
      </c>
      <c r="DO3584" s="7" t="s">
        <v>240</v>
      </c>
      <c r="DP3584" s="5" t="s">
        <v>240</v>
      </c>
      <c r="DQ3584" s="5" t="s">
        <v>240</v>
      </c>
      <c r="DR3584" s="5" t="s">
        <v>731</v>
      </c>
      <c r="DS3584" s="5" t="s">
        <v>731</v>
      </c>
      <c r="DT3584" s="5" t="s">
        <v>240</v>
      </c>
      <c r="DU3584" s="5" t="s">
        <v>240</v>
      </c>
      <c r="DV3584" s="5" t="s">
        <v>3683</v>
      </c>
      <c r="DW3584" s="5" t="s">
        <v>693</v>
      </c>
      <c r="DX3584" s="5" t="s">
        <v>240</v>
      </c>
      <c r="DY3584" s="5" t="s">
        <v>240</v>
      </c>
      <c r="DZ3584" s="5" t="s">
        <v>240</v>
      </c>
      <c r="EA3584" s="5" t="s">
        <v>240</v>
      </c>
      <c r="EB3584" s="5" t="s">
        <v>240</v>
      </c>
      <c r="EC3584" s="5" t="s">
        <v>240</v>
      </c>
      <c r="ED3584" s="5" t="s">
        <v>240</v>
      </c>
      <c r="EE3584" s="5" t="s">
        <v>240</v>
      </c>
      <c r="EF3584" s="5" t="s">
        <v>240</v>
      </c>
      <c r="EG3584" s="5" t="s">
        <v>240</v>
      </c>
      <c r="EH3584" s="5" t="s">
        <v>240</v>
      </c>
      <c r="EI3584" s="5" t="s">
        <v>240</v>
      </c>
      <c r="EJ3584" s="5" t="s">
        <v>240</v>
      </c>
      <c r="EK3584" s="5" t="s">
        <v>240</v>
      </c>
      <c r="EL3584" s="5" t="s">
        <v>240</v>
      </c>
      <c r="EM3584" s="5" t="s">
        <v>240</v>
      </c>
      <c r="EN3584" s="5" t="s">
        <v>240</v>
      </c>
      <c r="EO3584" s="5" t="s">
        <v>240</v>
      </c>
      <c r="EP3584" s="5" t="s">
        <v>240</v>
      </c>
      <c r="EQ3584" s="5" t="s">
        <v>240</v>
      </c>
      <c r="ER3584" s="5" t="s">
        <v>240</v>
      </c>
      <c r="ES3584" s="5" t="s">
        <v>240</v>
      </c>
      <c r="ET3584" s="5" t="s">
        <v>240</v>
      </c>
      <c r="EU3584" s="5" t="s">
        <v>240</v>
      </c>
      <c r="EV3584" s="5" t="s">
        <v>240</v>
      </c>
      <c r="EW3584" s="5" t="s">
        <v>240</v>
      </c>
      <c r="EX3584" s="5" t="s">
        <v>240</v>
      </c>
      <c r="EY3584" s="5" t="s">
        <v>240</v>
      </c>
      <c r="EZ3584" s="5" t="s">
        <v>240</v>
      </c>
      <c r="FA3584" s="5" t="s">
        <v>240</v>
      </c>
      <c r="FB3584" s="5" t="s">
        <v>240</v>
      </c>
      <c r="FC3584" s="5" t="s">
        <v>240</v>
      </c>
      <c r="FD3584" s="5" t="s">
        <v>240</v>
      </c>
      <c r="FE3584" s="5" t="s">
        <v>240</v>
      </c>
      <c r="FF3584" s="5" t="s">
        <v>240</v>
      </c>
      <c r="FG3584" s="5" t="s">
        <v>240</v>
      </c>
      <c r="FH3584" s="5" t="s">
        <v>240</v>
      </c>
      <c r="FI3584" s="5" t="s">
        <v>240</v>
      </c>
      <c r="FJ3584" s="5" t="s">
        <v>240</v>
      </c>
      <c r="FK3584" s="5" t="s">
        <v>240</v>
      </c>
      <c r="FL3584" s="5" t="s">
        <v>240</v>
      </c>
      <c r="FM3584" s="5" t="s">
        <v>240</v>
      </c>
      <c r="FN3584" s="5" t="s">
        <v>240</v>
      </c>
      <c r="FO3584" s="5" t="s">
        <v>240</v>
      </c>
      <c r="FP3584" s="5" t="s">
        <v>240</v>
      </c>
      <c r="FQ3584" s="5" t="s">
        <v>240</v>
      </c>
      <c r="FR3584" s="5" t="s">
        <v>240</v>
      </c>
      <c r="FS3584" s="5" t="s">
        <v>240</v>
      </c>
      <c r="FT3584" s="5" t="s">
        <v>240</v>
      </c>
      <c r="FU3584" s="5" t="s">
        <v>240</v>
      </c>
      <c r="FV3584" s="5" t="s">
        <v>240</v>
      </c>
      <c r="FW3584" s="5" t="s">
        <v>240</v>
      </c>
      <c r="FX3584" s="5" t="s">
        <v>240</v>
      </c>
      <c r="FY3584" s="5" t="s">
        <v>240</v>
      </c>
      <c r="FZ3584" s="5" t="s">
        <v>240</v>
      </c>
      <c r="GA3584" s="5" t="s">
        <v>240</v>
      </c>
      <c r="GB3584" s="5" t="s">
        <v>240</v>
      </c>
      <c r="GC3584" s="5" t="s">
        <v>240</v>
      </c>
      <c r="GD3584" s="5" t="s">
        <v>240</v>
      </c>
      <c r="GE3584" s="5" t="s">
        <v>240</v>
      </c>
      <c r="GF3584" s="5" t="s">
        <v>240</v>
      </c>
      <c r="GG3584" s="5" t="s">
        <v>240</v>
      </c>
      <c r="GH3584" s="5" t="s">
        <v>240</v>
      </c>
      <c r="GI3584" s="5" t="s">
        <v>240</v>
      </c>
      <c r="GJ3584" s="5" t="s">
        <v>240</v>
      </c>
      <c r="GK3584" s="5" t="s">
        <v>240</v>
      </c>
      <c r="GL3584" s="5" t="s">
        <v>240</v>
      </c>
      <c r="GM3584" s="5" t="s">
        <v>240</v>
      </c>
      <c r="GN3584" s="5" t="s">
        <v>240</v>
      </c>
      <c r="GO3584" s="5" t="s">
        <v>240</v>
      </c>
      <c r="GP3584" s="5" t="s">
        <v>240</v>
      </c>
      <c r="GQ3584" s="5" t="s">
        <v>240</v>
      </c>
      <c r="GR3584" s="5" t="s">
        <v>240</v>
      </c>
      <c r="GS3584" s="5" t="s">
        <v>240</v>
      </c>
      <c r="GT3584" s="5" t="s">
        <v>240</v>
      </c>
      <c r="GU3584" s="5" t="s">
        <v>240</v>
      </c>
      <c r="GV3584" s="5" t="s">
        <v>240</v>
      </c>
      <c r="GW3584" s="5" t="s">
        <v>240</v>
      </c>
      <c r="GX3584" s="5" t="s">
        <v>240</v>
      </c>
      <c r="GY3584" s="5" t="s">
        <v>240</v>
      </c>
      <c r="GZ3584" s="5" t="s">
        <v>240</v>
      </c>
      <c r="HA3584" s="5" t="s">
        <v>240</v>
      </c>
      <c r="HB3584" s="5" t="s">
        <v>240</v>
      </c>
      <c r="HC3584" s="5" t="s">
        <v>240</v>
      </c>
      <c r="HD3584" s="5" t="s">
        <v>240</v>
      </c>
      <c r="HE3584" s="5" t="s">
        <v>240</v>
      </c>
      <c r="HF3584" s="5" t="s">
        <v>240</v>
      </c>
      <c r="HG3584" s="5" t="s">
        <v>240</v>
      </c>
      <c r="HH3584" s="5" t="s">
        <v>240</v>
      </c>
      <c r="HI3584" s="5" t="s">
        <v>240</v>
      </c>
      <c r="HJ3584" s="5" t="s">
        <v>240</v>
      </c>
      <c r="HK3584" s="5" t="s">
        <v>240</v>
      </c>
      <c r="HL3584" s="5" t="s">
        <v>240</v>
      </c>
      <c r="HM3584" s="5" t="s">
        <v>240</v>
      </c>
      <c r="HN3584" s="5" t="s">
        <v>240</v>
      </c>
      <c r="HO3584" s="5" t="s">
        <v>312</v>
      </c>
      <c r="HP3584" s="5" t="s">
        <v>240</v>
      </c>
      <c r="HQ3584" s="5" t="s">
        <v>240</v>
      </c>
      <c r="HR3584" s="5" t="s">
        <v>240</v>
      </c>
      <c r="HS3584" s="5" t="s">
        <v>240</v>
      </c>
      <c r="HT3584" s="5" t="s">
        <v>240</v>
      </c>
      <c r="HU3584" s="5" t="s">
        <v>240</v>
      </c>
      <c r="HV3584" s="5" t="s">
        <v>240</v>
      </c>
      <c r="HW3584" s="5" t="s">
        <v>240</v>
      </c>
      <c r="HX3584" s="5" t="s">
        <v>240</v>
      </c>
      <c r="HY3584" s="5" t="s">
        <v>240</v>
      </c>
      <c r="HZ3584" s="5" t="s">
        <v>240</v>
      </c>
      <c r="IA3584" s="5" t="s">
        <v>240</v>
      </c>
      <c r="IB3584" s="5" t="s">
        <v>240</v>
      </c>
      <c r="IC3584" s="5" t="s">
        <v>240</v>
      </c>
      <c r="ID3584" s="5" t="s">
        <v>240</v>
      </c>
      <c r="IE3584" s="5" t="s">
        <v>240</v>
      </c>
      <c r="IF3584" s="5" t="s">
        <v>240</v>
      </c>
    </row>
    <row r="3585" spans="1:240" x14ac:dyDescent="0.4">
      <c r="A3585" s="5">
        <v>9127</v>
      </c>
      <c r="B3585" s="5">
        <v>1</v>
      </c>
      <c r="C3585" s="5">
        <v>1</v>
      </c>
      <c r="D3585" s="5" t="s">
        <v>723</v>
      </c>
      <c r="E3585" s="5" t="s">
        <v>725</v>
      </c>
      <c r="F3585" s="5" t="s">
        <v>254</v>
      </c>
      <c r="G3585" s="5" t="s">
        <v>726</v>
      </c>
      <c r="H3585" s="6" t="s">
        <v>6430</v>
      </c>
      <c r="I3585" s="5" t="s">
        <v>6429</v>
      </c>
      <c r="J3585" s="7">
        <f>1</f>
        <v>1</v>
      </c>
      <c r="K3585" s="5" t="s">
        <v>3682</v>
      </c>
      <c r="L3585" s="7">
        <f>1</f>
        <v>1</v>
      </c>
      <c r="M3585" s="7">
        <f>1</f>
        <v>1</v>
      </c>
      <c r="N3585" s="5" t="s">
        <v>242</v>
      </c>
      <c r="O3585" s="5">
        <v>1</v>
      </c>
      <c r="P3585" s="5" t="s">
        <v>294</v>
      </c>
      <c r="Q3585" s="5" t="s">
        <v>3678</v>
      </c>
      <c r="R3585" s="5" t="s">
        <v>240</v>
      </c>
      <c r="S3585" s="5" t="s">
        <v>240</v>
      </c>
      <c r="T3585" s="5" t="s">
        <v>243</v>
      </c>
      <c r="U3585" s="5" t="s">
        <v>244</v>
      </c>
      <c r="V3585" s="5" t="s">
        <v>240</v>
      </c>
      <c r="W3585" s="5" t="s">
        <v>240</v>
      </c>
      <c r="X3585" s="5" t="s">
        <v>240</v>
      </c>
      <c r="Y3585" s="5" t="s">
        <v>240</v>
      </c>
      <c r="Z3585" s="6" t="s">
        <v>298</v>
      </c>
      <c r="AA3585" s="6" t="s">
        <v>240</v>
      </c>
      <c r="AB3585" s="6" t="s">
        <v>240</v>
      </c>
      <c r="AC3585" s="5" t="s">
        <v>240</v>
      </c>
      <c r="AD3585" s="6" t="s">
        <v>240</v>
      </c>
      <c r="AE3585" s="6" t="s">
        <v>299</v>
      </c>
      <c r="AF3585" s="5" t="s">
        <v>248</v>
      </c>
      <c r="AG3585" s="5" t="s">
        <v>249</v>
      </c>
      <c r="AH3585" s="5" t="s">
        <v>240</v>
      </c>
      <c r="AI3585" s="5" t="s">
        <v>240</v>
      </c>
      <c r="AJ3585" s="5" t="s">
        <v>240</v>
      </c>
      <c r="AK3585" s="5" t="s">
        <v>240</v>
      </c>
      <c r="AL3585" s="5" t="s">
        <v>240</v>
      </c>
      <c r="AM3585" s="5" t="s">
        <v>240</v>
      </c>
      <c r="AN3585" s="5" t="s">
        <v>240</v>
      </c>
      <c r="AO3585" s="5" t="s">
        <v>240</v>
      </c>
      <c r="AP3585" s="6" t="s">
        <v>240</v>
      </c>
      <c r="AQ3585" s="6" t="s">
        <v>240</v>
      </c>
      <c r="AR3585" s="6" t="s">
        <v>240</v>
      </c>
      <c r="AS3585" s="6" t="s">
        <v>240</v>
      </c>
      <c r="AT3585" s="5" t="s">
        <v>240</v>
      </c>
      <c r="AU3585" s="5" t="s">
        <v>729</v>
      </c>
      <c r="AV3585" s="5" t="s">
        <v>729</v>
      </c>
      <c r="AW3585" s="5" t="s">
        <v>251</v>
      </c>
      <c r="AX3585" s="5" t="s">
        <v>252</v>
      </c>
      <c r="AY3585" s="5" t="s">
        <v>253</v>
      </c>
      <c r="AZ3585" s="5" t="s">
        <v>240</v>
      </c>
      <c r="BA3585" s="5" t="s">
        <v>255</v>
      </c>
      <c r="BB3585" s="5" t="s">
        <v>731</v>
      </c>
      <c r="BD3585" s="5" t="s">
        <v>240</v>
      </c>
      <c r="BF3585" s="5" t="s">
        <v>732</v>
      </c>
      <c r="BG3585" s="6" t="s">
        <v>733</v>
      </c>
      <c r="BH3585" s="5" t="s">
        <v>734</v>
      </c>
      <c r="BI3585" s="5" t="s">
        <v>734</v>
      </c>
      <c r="BJ3585" s="5" t="s">
        <v>240</v>
      </c>
      <c r="BK3585" s="7">
        <f>1</f>
        <v>1</v>
      </c>
      <c r="BL3585" s="7">
        <f>1</f>
        <v>1</v>
      </c>
      <c r="BM3585" s="5" t="s">
        <v>258</v>
      </c>
      <c r="BN3585" s="5" t="s">
        <v>259</v>
      </c>
      <c r="BO3585" s="5" t="s">
        <v>240</v>
      </c>
      <c r="BP3585" s="5" t="s">
        <v>240</v>
      </c>
      <c r="BQ3585" s="5" t="s">
        <v>240</v>
      </c>
      <c r="BR3585" s="5" t="s">
        <v>240</v>
      </c>
      <c r="BS3585" s="5" t="s">
        <v>240</v>
      </c>
      <c r="BT3585" s="5" t="s">
        <v>240</v>
      </c>
      <c r="BU3585" s="5" t="s">
        <v>240</v>
      </c>
      <c r="BV3585" s="5" t="s">
        <v>240</v>
      </c>
      <c r="BW3585" s="6" t="s">
        <v>240</v>
      </c>
      <c r="BX3585" s="5" t="s">
        <v>240</v>
      </c>
      <c r="BY3585" s="5" t="s">
        <v>240</v>
      </c>
      <c r="BZ3585" s="5" t="s">
        <v>240</v>
      </c>
      <c r="CA3585" s="5" t="s">
        <v>259</v>
      </c>
      <c r="CB3585" s="5" t="s">
        <v>240</v>
      </c>
      <c r="CC3585" s="5" t="s">
        <v>240</v>
      </c>
      <c r="CD3585" s="5" t="s">
        <v>240</v>
      </c>
      <c r="CE3585" s="5" t="s">
        <v>240</v>
      </c>
      <c r="CF3585" s="5" t="s">
        <v>240</v>
      </c>
      <c r="CG3585" s="5" t="s">
        <v>304</v>
      </c>
      <c r="CH3585" s="5" t="s">
        <v>305</v>
      </c>
      <c r="CI3585" s="5" t="s">
        <v>240</v>
      </c>
      <c r="CK3585" s="5" t="s">
        <v>3681</v>
      </c>
      <c r="CL3585" s="6" t="s">
        <v>261</v>
      </c>
      <c r="CM3585" s="5" t="s">
        <v>262</v>
      </c>
      <c r="CN3585" s="5" t="s">
        <v>263</v>
      </c>
      <c r="CO3585" s="5" t="s">
        <v>264</v>
      </c>
      <c r="CP3585" s="5" t="s">
        <v>240</v>
      </c>
      <c r="CQ3585" s="5">
        <v>0</v>
      </c>
      <c r="CR3585" s="5" t="s">
        <v>735</v>
      </c>
      <c r="CS3585" s="5" t="s">
        <v>307</v>
      </c>
      <c r="CT3585" s="5" t="s">
        <v>307</v>
      </c>
      <c r="CU3585" s="5" t="s">
        <v>260</v>
      </c>
      <c r="CV3585" s="5" t="s">
        <v>612</v>
      </c>
      <c r="CW3585" s="8">
        <f>1</f>
        <v>1</v>
      </c>
      <c r="CX3585" s="7">
        <f>1</f>
        <v>1</v>
      </c>
      <c r="CY3585" s="7">
        <f>0</f>
        <v>0</v>
      </c>
      <c r="DA3585" s="7">
        <f>1</f>
        <v>1</v>
      </c>
      <c r="DB3585" s="7" t="s">
        <v>240</v>
      </c>
      <c r="DC3585" s="5" t="s">
        <v>240</v>
      </c>
      <c r="DD3585" s="5" t="s">
        <v>240</v>
      </c>
      <c r="DE3585" s="5" t="s">
        <v>240</v>
      </c>
      <c r="DF3585" s="5" t="s">
        <v>240</v>
      </c>
      <c r="DG3585" s="7">
        <f>0</f>
        <v>0</v>
      </c>
      <c r="DI3585" s="5" t="s">
        <v>240</v>
      </c>
      <c r="DJ3585" s="5" t="s">
        <v>240</v>
      </c>
      <c r="DK3585" s="5" t="s">
        <v>240</v>
      </c>
      <c r="DL3585" s="5" t="s">
        <v>240</v>
      </c>
      <c r="DM3585" s="5" t="s">
        <v>240</v>
      </c>
      <c r="DN3585" s="5" t="s">
        <v>240</v>
      </c>
      <c r="DO3585" s="7" t="s">
        <v>240</v>
      </c>
      <c r="DP3585" s="5" t="s">
        <v>240</v>
      </c>
      <c r="DQ3585" s="5" t="s">
        <v>240</v>
      </c>
      <c r="DR3585" s="5" t="s">
        <v>731</v>
      </c>
      <c r="DS3585" s="5" t="s">
        <v>731</v>
      </c>
      <c r="DT3585" s="5" t="s">
        <v>240</v>
      </c>
      <c r="DU3585" s="5" t="s">
        <v>240</v>
      </c>
      <c r="DV3585" s="5" t="s">
        <v>3683</v>
      </c>
      <c r="DW3585" s="5" t="s">
        <v>388</v>
      </c>
      <c r="DX3585" s="5" t="s">
        <v>240</v>
      </c>
      <c r="DY3585" s="5" t="s">
        <v>240</v>
      </c>
      <c r="DZ3585" s="5" t="s">
        <v>240</v>
      </c>
      <c r="EA3585" s="5" t="s">
        <v>240</v>
      </c>
      <c r="EB3585" s="5" t="s">
        <v>240</v>
      </c>
      <c r="EC3585" s="5" t="s">
        <v>240</v>
      </c>
      <c r="ED3585" s="5" t="s">
        <v>240</v>
      </c>
      <c r="EE3585" s="5" t="s">
        <v>240</v>
      </c>
      <c r="EF3585" s="5" t="s">
        <v>240</v>
      </c>
      <c r="EG3585" s="5" t="s">
        <v>240</v>
      </c>
      <c r="EH3585" s="5" t="s">
        <v>240</v>
      </c>
      <c r="EI3585" s="5" t="s">
        <v>240</v>
      </c>
      <c r="EJ3585" s="5" t="s">
        <v>240</v>
      </c>
      <c r="EK3585" s="5" t="s">
        <v>240</v>
      </c>
      <c r="EL3585" s="5" t="s">
        <v>240</v>
      </c>
      <c r="EM3585" s="5" t="s">
        <v>240</v>
      </c>
      <c r="EN3585" s="5" t="s">
        <v>240</v>
      </c>
      <c r="EO3585" s="5" t="s">
        <v>240</v>
      </c>
      <c r="EP3585" s="5" t="s">
        <v>240</v>
      </c>
      <c r="EQ3585" s="5" t="s">
        <v>240</v>
      </c>
      <c r="ER3585" s="5" t="s">
        <v>240</v>
      </c>
      <c r="ES3585" s="5" t="s">
        <v>240</v>
      </c>
      <c r="ET3585" s="5" t="s">
        <v>240</v>
      </c>
      <c r="EU3585" s="5" t="s">
        <v>240</v>
      </c>
      <c r="EV3585" s="5" t="s">
        <v>240</v>
      </c>
      <c r="EW3585" s="5" t="s">
        <v>240</v>
      </c>
      <c r="EX3585" s="5" t="s">
        <v>240</v>
      </c>
      <c r="EY3585" s="5" t="s">
        <v>240</v>
      </c>
      <c r="EZ3585" s="5" t="s">
        <v>240</v>
      </c>
      <c r="FA3585" s="5" t="s">
        <v>240</v>
      </c>
      <c r="FB3585" s="5" t="s">
        <v>240</v>
      </c>
      <c r="FC3585" s="5" t="s">
        <v>240</v>
      </c>
      <c r="FD3585" s="5" t="s">
        <v>240</v>
      </c>
      <c r="FE3585" s="5" t="s">
        <v>240</v>
      </c>
      <c r="FF3585" s="5" t="s">
        <v>240</v>
      </c>
      <c r="FG3585" s="5" t="s">
        <v>240</v>
      </c>
      <c r="FH3585" s="5" t="s">
        <v>240</v>
      </c>
      <c r="FI3585" s="5" t="s">
        <v>240</v>
      </c>
      <c r="FJ3585" s="5" t="s">
        <v>240</v>
      </c>
      <c r="FK3585" s="5" t="s">
        <v>240</v>
      </c>
      <c r="FL3585" s="5" t="s">
        <v>240</v>
      </c>
      <c r="FM3585" s="5" t="s">
        <v>240</v>
      </c>
      <c r="FN3585" s="5" t="s">
        <v>240</v>
      </c>
      <c r="FO3585" s="5" t="s">
        <v>240</v>
      </c>
      <c r="FP3585" s="5" t="s">
        <v>240</v>
      </c>
      <c r="FQ3585" s="5" t="s">
        <v>240</v>
      </c>
      <c r="FR3585" s="5" t="s">
        <v>240</v>
      </c>
      <c r="FS3585" s="5" t="s">
        <v>240</v>
      </c>
      <c r="FT3585" s="5" t="s">
        <v>240</v>
      </c>
      <c r="FU3585" s="5" t="s">
        <v>240</v>
      </c>
      <c r="FV3585" s="5" t="s">
        <v>240</v>
      </c>
      <c r="FW3585" s="5" t="s">
        <v>240</v>
      </c>
      <c r="FX3585" s="5" t="s">
        <v>240</v>
      </c>
      <c r="FY3585" s="5" t="s">
        <v>240</v>
      </c>
      <c r="FZ3585" s="5" t="s">
        <v>240</v>
      </c>
      <c r="GA3585" s="5" t="s">
        <v>240</v>
      </c>
      <c r="GB3585" s="5" t="s">
        <v>240</v>
      </c>
      <c r="GC3585" s="5" t="s">
        <v>240</v>
      </c>
      <c r="GD3585" s="5" t="s">
        <v>240</v>
      </c>
      <c r="GE3585" s="5" t="s">
        <v>240</v>
      </c>
      <c r="GF3585" s="5" t="s">
        <v>240</v>
      </c>
      <c r="GG3585" s="5" t="s">
        <v>240</v>
      </c>
      <c r="GH3585" s="5" t="s">
        <v>240</v>
      </c>
      <c r="GI3585" s="5" t="s">
        <v>240</v>
      </c>
      <c r="GJ3585" s="5" t="s">
        <v>240</v>
      </c>
      <c r="GK3585" s="5" t="s">
        <v>240</v>
      </c>
      <c r="GL3585" s="5" t="s">
        <v>240</v>
      </c>
      <c r="GM3585" s="5" t="s">
        <v>240</v>
      </c>
      <c r="GN3585" s="5" t="s">
        <v>240</v>
      </c>
      <c r="GO3585" s="5" t="s">
        <v>240</v>
      </c>
      <c r="GP3585" s="5" t="s">
        <v>240</v>
      </c>
      <c r="GQ3585" s="5" t="s">
        <v>240</v>
      </c>
      <c r="GR3585" s="5" t="s">
        <v>240</v>
      </c>
      <c r="GS3585" s="5" t="s">
        <v>240</v>
      </c>
      <c r="GT3585" s="5" t="s">
        <v>240</v>
      </c>
      <c r="GU3585" s="5" t="s">
        <v>240</v>
      </c>
      <c r="GV3585" s="5" t="s">
        <v>240</v>
      </c>
      <c r="GW3585" s="5" t="s">
        <v>240</v>
      </c>
      <c r="GX3585" s="5" t="s">
        <v>240</v>
      </c>
      <c r="GY3585" s="5" t="s">
        <v>240</v>
      </c>
      <c r="GZ3585" s="5" t="s">
        <v>240</v>
      </c>
      <c r="HA3585" s="5" t="s">
        <v>240</v>
      </c>
      <c r="HB3585" s="5" t="s">
        <v>240</v>
      </c>
      <c r="HC3585" s="5" t="s">
        <v>240</v>
      </c>
      <c r="HD3585" s="5" t="s">
        <v>240</v>
      </c>
      <c r="HE3585" s="5" t="s">
        <v>240</v>
      </c>
      <c r="HF3585" s="5" t="s">
        <v>240</v>
      </c>
      <c r="HG3585" s="5" t="s">
        <v>240</v>
      </c>
      <c r="HH3585" s="5" t="s">
        <v>240</v>
      </c>
      <c r="HI3585" s="5" t="s">
        <v>240</v>
      </c>
      <c r="HJ3585" s="5" t="s">
        <v>240</v>
      </c>
      <c r="HK3585" s="5" t="s">
        <v>240</v>
      </c>
      <c r="HL3585" s="5" t="s">
        <v>240</v>
      </c>
      <c r="HM3585" s="5" t="s">
        <v>240</v>
      </c>
      <c r="HN3585" s="5" t="s">
        <v>240</v>
      </c>
      <c r="HO3585" s="5" t="s">
        <v>312</v>
      </c>
      <c r="HP3585" s="5" t="s">
        <v>240</v>
      </c>
      <c r="HQ3585" s="5" t="s">
        <v>240</v>
      </c>
      <c r="HR3585" s="5" t="s">
        <v>240</v>
      </c>
      <c r="HS3585" s="5" t="s">
        <v>240</v>
      </c>
      <c r="HT3585" s="5" t="s">
        <v>240</v>
      </c>
      <c r="HU3585" s="5" t="s">
        <v>240</v>
      </c>
      <c r="HV3585" s="5" t="s">
        <v>240</v>
      </c>
      <c r="HW3585" s="5" t="s">
        <v>240</v>
      </c>
      <c r="HX3585" s="5" t="s">
        <v>240</v>
      </c>
      <c r="HY3585" s="5" t="s">
        <v>240</v>
      </c>
      <c r="HZ3585" s="5" t="s">
        <v>240</v>
      </c>
      <c r="IA3585" s="5" t="s">
        <v>240</v>
      </c>
      <c r="IB3585" s="5" t="s">
        <v>240</v>
      </c>
      <c r="IC3585" s="5" t="s">
        <v>240</v>
      </c>
      <c r="ID3585" s="5" t="s">
        <v>240</v>
      </c>
      <c r="IE3585" s="5" t="s">
        <v>240</v>
      </c>
      <c r="IF3585" s="5" t="s">
        <v>240</v>
      </c>
    </row>
    <row r="3586" spans="1:240" x14ac:dyDescent="0.4">
      <c r="A3586" s="5">
        <v>9128</v>
      </c>
      <c r="B3586" s="5">
        <v>1</v>
      </c>
      <c r="C3586" s="5">
        <v>1</v>
      </c>
      <c r="D3586" s="5" t="s">
        <v>723</v>
      </c>
      <c r="E3586" s="5" t="s">
        <v>725</v>
      </c>
      <c r="F3586" s="5" t="s">
        <v>254</v>
      </c>
      <c r="G3586" s="5" t="s">
        <v>726</v>
      </c>
      <c r="H3586" s="6" t="s">
        <v>5780</v>
      </c>
      <c r="I3586" s="5" t="s">
        <v>5779</v>
      </c>
      <c r="J3586" s="7">
        <f>1</f>
        <v>1</v>
      </c>
      <c r="K3586" s="5" t="s">
        <v>3682</v>
      </c>
      <c r="L3586" s="7">
        <f>1</f>
        <v>1</v>
      </c>
      <c r="M3586" s="7">
        <f>1</f>
        <v>1</v>
      </c>
      <c r="N3586" s="5" t="s">
        <v>242</v>
      </c>
      <c r="O3586" s="5">
        <v>1</v>
      </c>
      <c r="P3586" s="5" t="s">
        <v>294</v>
      </c>
      <c r="Q3586" s="5" t="s">
        <v>3678</v>
      </c>
      <c r="R3586" s="5" t="s">
        <v>240</v>
      </c>
      <c r="S3586" s="5" t="s">
        <v>240</v>
      </c>
      <c r="T3586" s="5" t="s">
        <v>243</v>
      </c>
      <c r="U3586" s="5" t="s">
        <v>244</v>
      </c>
      <c r="V3586" s="5" t="s">
        <v>240</v>
      </c>
      <c r="W3586" s="5" t="s">
        <v>240</v>
      </c>
      <c r="X3586" s="5" t="s">
        <v>240</v>
      </c>
      <c r="Y3586" s="5" t="s">
        <v>240</v>
      </c>
      <c r="Z3586" s="6" t="s">
        <v>298</v>
      </c>
      <c r="AA3586" s="6" t="s">
        <v>240</v>
      </c>
      <c r="AB3586" s="6" t="s">
        <v>240</v>
      </c>
      <c r="AC3586" s="5" t="s">
        <v>240</v>
      </c>
      <c r="AD3586" s="6" t="s">
        <v>240</v>
      </c>
      <c r="AE3586" s="6" t="s">
        <v>299</v>
      </c>
      <c r="AF3586" s="5" t="s">
        <v>248</v>
      </c>
      <c r="AG3586" s="5" t="s">
        <v>249</v>
      </c>
      <c r="AH3586" s="5" t="s">
        <v>240</v>
      </c>
      <c r="AI3586" s="5" t="s">
        <v>240</v>
      </c>
      <c r="AJ3586" s="5" t="s">
        <v>240</v>
      </c>
      <c r="AK3586" s="5" t="s">
        <v>240</v>
      </c>
      <c r="AL3586" s="5" t="s">
        <v>240</v>
      </c>
      <c r="AM3586" s="5" t="s">
        <v>240</v>
      </c>
      <c r="AN3586" s="5" t="s">
        <v>240</v>
      </c>
      <c r="AO3586" s="5" t="s">
        <v>240</v>
      </c>
      <c r="AP3586" s="6" t="s">
        <v>240</v>
      </c>
      <c r="AQ3586" s="6" t="s">
        <v>240</v>
      </c>
      <c r="AR3586" s="6" t="s">
        <v>240</v>
      </c>
      <c r="AS3586" s="6" t="s">
        <v>240</v>
      </c>
      <c r="AT3586" s="5" t="s">
        <v>240</v>
      </c>
      <c r="AU3586" s="5" t="s">
        <v>729</v>
      </c>
      <c r="AV3586" s="5" t="s">
        <v>729</v>
      </c>
      <c r="AW3586" s="5" t="s">
        <v>251</v>
      </c>
      <c r="AX3586" s="5" t="s">
        <v>252</v>
      </c>
      <c r="AY3586" s="5" t="s">
        <v>253</v>
      </c>
      <c r="AZ3586" s="5" t="s">
        <v>240</v>
      </c>
      <c r="BA3586" s="5" t="s">
        <v>255</v>
      </c>
      <c r="BB3586" s="5" t="s">
        <v>731</v>
      </c>
      <c r="BD3586" s="5" t="s">
        <v>240</v>
      </c>
      <c r="BF3586" s="5" t="s">
        <v>732</v>
      </c>
      <c r="BG3586" s="6" t="s">
        <v>733</v>
      </c>
      <c r="BH3586" s="5" t="s">
        <v>734</v>
      </c>
      <c r="BI3586" s="5" t="s">
        <v>734</v>
      </c>
      <c r="BJ3586" s="5" t="s">
        <v>240</v>
      </c>
      <c r="BK3586" s="7">
        <f>1</f>
        <v>1</v>
      </c>
      <c r="BL3586" s="7">
        <f>1</f>
        <v>1</v>
      </c>
      <c r="BM3586" s="5" t="s">
        <v>258</v>
      </c>
      <c r="BN3586" s="5" t="s">
        <v>259</v>
      </c>
      <c r="BO3586" s="5" t="s">
        <v>240</v>
      </c>
      <c r="BP3586" s="5" t="s">
        <v>240</v>
      </c>
      <c r="BQ3586" s="5" t="s">
        <v>240</v>
      </c>
      <c r="BR3586" s="5" t="s">
        <v>240</v>
      </c>
      <c r="BS3586" s="5" t="s">
        <v>240</v>
      </c>
      <c r="BT3586" s="5" t="s">
        <v>240</v>
      </c>
      <c r="BU3586" s="5" t="s">
        <v>240</v>
      </c>
      <c r="BV3586" s="5" t="s">
        <v>240</v>
      </c>
      <c r="BW3586" s="6" t="s">
        <v>240</v>
      </c>
      <c r="BX3586" s="5" t="s">
        <v>240</v>
      </c>
      <c r="BY3586" s="5" t="s">
        <v>240</v>
      </c>
      <c r="BZ3586" s="5" t="s">
        <v>240</v>
      </c>
      <c r="CA3586" s="5" t="s">
        <v>259</v>
      </c>
      <c r="CB3586" s="5" t="s">
        <v>240</v>
      </c>
      <c r="CC3586" s="5" t="s">
        <v>240</v>
      </c>
      <c r="CD3586" s="5" t="s">
        <v>240</v>
      </c>
      <c r="CE3586" s="5" t="s">
        <v>240</v>
      </c>
      <c r="CF3586" s="5" t="s">
        <v>240</v>
      </c>
      <c r="CG3586" s="5" t="s">
        <v>304</v>
      </c>
      <c r="CH3586" s="5" t="s">
        <v>305</v>
      </c>
      <c r="CI3586" s="5" t="s">
        <v>240</v>
      </c>
      <c r="CK3586" s="5" t="s">
        <v>3681</v>
      </c>
      <c r="CL3586" s="6" t="s">
        <v>261</v>
      </c>
      <c r="CM3586" s="5" t="s">
        <v>262</v>
      </c>
      <c r="CN3586" s="5" t="s">
        <v>263</v>
      </c>
      <c r="CO3586" s="5" t="s">
        <v>264</v>
      </c>
      <c r="CP3586" s="5" t="s">
        <v>240</v>
      </c>
      <c r="CQ3586" s="5">
        <v>0</v>
      </c>
      <c r="CR3586" s="5" t="s">
        <v>735</v>
      </c>
      <c r="CS3586" s="5" t="s">
        <v>307</v>
      </c>
      <c r="CT3586" s="5" t="s">
        <v>307</v>
      </c>
      <c r="CU3586" s="5" t="s">
        <v>260</v>
      </c>
      <c r="CV3586" s="5" t="s">
        <v>612</v>
      </c>
      <c r="CW3586" s="8">
        <f>1</f>
        <v>1</v>
      </c>
      <c r="CX3586" s="7">
        <f>1</f>
        <v>1</v>
      </c>
      <c r="CY3586" s="7">
        <f>0</f>
        <v>0</v>
      </c>
      <c r="DA3586" s="7">
        <f>1</f>
        <v>1</v>
      </c>
      <c r="DB3586" s="7" t="s">
        <v>240</v>
      </c>
      <c r="DC3586" s="5" t="s">
        <v>240</v>
      </c>
      <c r="DD3586" s="5" t="s">
        <v>240</v>
      </c>
      <c r="DE3586" s="5" t="s">
        <v>240</v>
      </c>
      <c r="DF3586" s="5" t="s">
        <v>240</v>
      </c>
      <c r="DG3586" s="7">
        <f>0</f>
        <v>0</v>
      </c>
      <c r="DI3586" s="5" t="s">
        <v>240</v>
      </c>
      <c r="DJ3586" s="5" t="s">
        <v>240</v>
      </c>
      <c r="DK3586" s="5" t="s">
        <v>240</v>
      </c>
      <c r="DL3586" s="5" t="s">
        <v>240</v>
      </c>
      <c r="DM3586" s="5" t="s">
        <v>240</v>
      </c>
      <c r="DN3586" s="5" t="s">
        <v>240</v>
      </c>
      <c r="DO3586" s="7" t="s">
        <v>240</v>
      </c>
      <c r="DP3586" s="5" t="s">
        <v>240</v>
      </c>
      <c r="DQ3586" s="5" t="s">
        <v>240</v>
      </c>
      <c r="DR3586" s="5" t="s">
        <v>731</v>
      </c>
      <c r="DS3586" s="5" t="s">
        <v>731</v>
      </c>
      <c r="DT3586" s="5" t="s">
        <v>240</v>
      </c>
      <c r="DU3586" s="5" t="s">
        <v>240</v>
      </c>
      <c r="DV3586" s="5" t="s">
        <v>3683</v>
      </c>
      <c r="DW3586" s="5" t="s">
        <v>1190</v>
      </c>
      <c r="DX3586" s="5" t="s">
        <v>240</v>
      </c>
      <c r="DY3586" s="5" t="s">
        <v>240</v>
      </c>
      <c r="DZ3586" s="5" t="s">
        <v>240</v>
      </c>
      <c r="EA3586" s="5" t="s">
        <v>240</v>
      </c>
      <c r="EB3586" s="5" t="s">
        <v>240</v>
      </c>
      <c r="EC3586" s="5" t="s">
        <v>240</v>
      </c>
      <c r="ED3586" s="5" t="s">
        <v>240</v>
      </c>
      <c r="EE3586" s="5" t="s">
        <v>240</v>
      </c>
      <c r="EF3586" s="5" t="s">
        <v>240</v>
      </c>
      <c r="EG3586" s="5" t="s">
        <v>240</v>
      </c>
      <c r="EH3586" s="5" t="s">
        <v>240</v>
      </c>
      <c r="EI3586" s="5" t="s">
        <v>240</v>
      </c>
      <c r="EJ3586" s="5" t="s">
        <v>240</v>
      </c>
      <c r="EK3586" s="5" t="s">
        <v>240</v>
      </c>
      <c r="EL3586" s="5" t="s">
        <v>240</v>
      </c>
      <c r="EM3586" s="5" t="s">
        <v>240</v>
      </c>
      <c r="EN3586" s="5" t="s">
        <v>240</v>
      </c>
      <c r="EO3586" s="5" t="s">
        <v>240</v>
      </c>
      <c r="EP3586" s="5" t="s">
        <v>240</v>
      </c>
      <c r="EQ3586" s="5" t="s">
        <v>240</v>
      </c>
      <c r="ER3586" s="5" t="s">
        <v>240</v>
      </c>
      <c r="ES3586" s="5" t="s">
        <v>240</v>
      </c>
      <c r="ET3586" s="5" t="s">
        <v>240</v>
      </c>
      <c r="EU3586" s="5" t="s">
        <v>240</v>
      </c>
      <c r="EV3586" s="5" t="s">
        <v>240</v>
      </c>
      <c r="EW3586" s="5" t="s">
        <v>240</v>
      </c>
      <c r="EX3586" s="5" t="s">
        <v>240</v>
      </c>
      <c r="EY3586" s="5" t="s">
        <v>240</v>
      </c>
      <c r="EZ3586" s="5" t="s">
        <v>240</v>
      </c>
      <c r="FA3586" s="5" t="s">
        <v>240</v>
      </c>
      <c r="FB3586" s="5" t="s">
        <v>240</v>
      </c>
      <c r="FC3586" s="5" t="s">
        <v>240</v>
      </c>
      <c r="FD3586" s="5" t="s">
        <v>240</v>
      </c>
      <c r="FE3586" s="5" t="s">
        <v>240</v>
      </c>
      <c r="FF3586" s="5" t="s">
        <v>240</v>
      </c>
      <c r="FG3586" s="5" t="s">
        <v>240</v>
      </c>
      <c r="FH3586" s="5" t="s">
        <v>240</v>
      </c>
      <c r="FI3586" s="5" t="s">
        <v>240</v>
      </c>
      <c r="FJ3586" s="5" t="s">
        <v>240</v>
      </c>
      <c r="FK3586" s="5" t="s">
        <v>240</v>
      </c>
      <c r="FL3586" s="5" t="s">
        <v>240</v>
      </c>
      <c r="FM3586" s="5" t="s">
        <v>240</v>
      </c>
      <c r="FN3586" s="5" t="s">
        <v>240</v>
      </c>
      <c r="FO3586" s="5" t="s">
        <v>240</v>
      </c>
      <c r="FP3586" s="5" t="s">
        <v>240</v>
      </c>
      <c r="FQ3586" s="5" t="s">
        <v>240</v>
      </c>
      <c r="FR3586" s="5" t="s">
        <v>240</v>
      </c>
      <c r="FS3586" s="5" t="s">
        <v>240</v>
      </c>
      <c r="FT3586" s="5" t="s">
        <v>240</v>
      </c>
      <c r="FU3586" s="5" t="s">
        <v>240</v>
      </c>
      <c r="FV3586" s="5" t="s">
        <v>240</v>
      </c>
      <c r="FW3586" s="5" t="s">
        <v>240</v>
      </c>
      <c r="FX3586" s="5" t="s">
        <v>240</v>
      </c>
      <c r="FY3586" s="5" t="s">
        <v>240</v>
      </c>
      <c r="FZ3586" s="5" t="s">
        <v>240</v>
      </c>
      <c r="GA3586" s="5" t="s">
        <v>240</v>
      </c>
      <c r="GB3586" s="5" t="s">
        <v>240</v>
      </c>
      <c r="GC3586" s="5" t="s">
        <v>240</v>
      </c>
      <c r="GD3586" s="5" t="s">
        <v>240</v>
      </c>
      <c r="GE3586" s="5" t="s">
        <v>240</v>
      </c>
      <c r="GF3586" s="5" t="s">
        <v>240</v>
      </c>
      <c r="GG3586" s="5" t="s">
        <v>240</v>
      </c>
      <c r="GH3586" s="5" t="s">
        <v>240</v>
      </c>
      <c r="GI3586" s="5" t="s">
        <v>240</v>
      </c>
      <c r="GJ3586" s="5" t="s">
        <v>240</v>
      </c>
      <c r="GK3586" s="5" t="s">
        <v>240</v>
      </c>
      <c r="GL3586" s="5" t="s">
        <v>240</v>
      </c>
      <c r="GM3586" s="5" t="s">
        <v>240</v>
      </c>
      <c r="GN3586" s="5" t="s">
        <v>240</v>
      </c>
      <c r="GO3586" s="5" t="s">
        <v>240</v>
      </c>
      <c r="GP3586" s="5" t="s">
        <v>240</v>
      </c>
      <c r="GQ3586" s="5" t="s">
        <v>240</v>
      </c>
      <c r="GR3586" s="5" t="s">
        <v>240</v>
      </c>
      <c r="GS3586" s="5" t="s">
        <v>240</v>
      </c>
      <c r="GT3586" s="5" t="s">
        <v>240</v>
      </c>
      <c r="GU3586" s="5" t="s">
        <v>240</v>
      </c>
      <c r="GV3586" s="5" t="s">
        <v>240</v>
      </c>
      <c r="GW3586" s="5" t="s">
        <v>240</v>
      </c>
      <c r="GX3586" s="5" t="s">
        <v>240</v>
      </c>
      <c r="GY3586" s="5" t="s">
        <v>240</v>
      </c>
      <c r="GZ3586" s="5" t="s">
        <v>240</v>
      </c>
      <c r="HA3586" s="5" t="s">
        <v>240</v>
      </c>
      <c r="HB3586" s="5" t="s">
        <v>240</v>
      </c>
      <c r="HC3586" s="5" t="s">
        <v>240</v>
      </c>
      <c r="HD3586" s="5" t="s">
        <v>240</v>
      </c>
      <c r="HE3586" s="5" t="s">
        <v>240</v>
      </c>
      <c r="HF3586" s="5" t="s">
        <v>240</v>
      </c>
      <c r="HG3586" s="5" t="s">
        <v>240</v>
      </c>
      <c r="HH3586" s="5" t="s">
        <v>240</v>
      </c>
      <c r="HI3586" s="5" t="s">
        <v>240</v>
      </c>
      <c r="HJ3586" s="5" t="s">
        <v>240</v>
      </c>
      <c r="HK3586" s="5" t="s">
        <v>240</v>
      </c>
      <c r="HL3586" s="5" t="s">
        <v>240</v>
      </c>
      <c r="HM3586" s="5" t="s">
        <v>240</v>
      </c>
      <c r="HN3586" s="5" t="s">
        <v>240</v>
      </c>
      <c r="HO3586" s="5" t="s">
        <v>312</v>
      </c>
      <c r="HP3586" s="5" t="s">
        <v>240</v>
      </c>
      <c r="HQ3586" s="5" t="s">
        <v>240</v>
      </c>
      <c r="HR3586" s="5" t="s">
        <v>240</v>
      </c>
      <c r="HS3586" s="5" t="s">
        <v>240</v>
      </c>
      <c r="HT3586" s="5" t="s">
        <v>240</v>
      </c>
      <c r="HU3586" s="5" t="s">
        <v>240</v>
      </c>
      <c r="HV3586" s="5" t="s">
        <v>240</v>
      </c>
      <c r="HW3586" s="5" t="s">
        <v>240</v>
      </c>
      <c r="HX3586" s="5" t="s">
        <v>240</v>
      </c>
      <c r="HY3586" s="5" t="s">
        <v>240</v>
      </c>
      <c r="HZ3586" s="5" t="s">
        <v>240</v>
      </c>
      <c r="IA3586" s="5" t="s">
        <v>240</v>
      </c>
      <c r="IB3586" s="5" t="s">
        <v>240</v>
      </c>
      <c r="IC3586" s="5" t="s">
        <v>240</v>
      </c>
      <c r="ID3586" s="5" t="s">
        <v>240</v>
      </c>
      <c r="IE3586" s="5" t="s">
        <v>240</v>
      </c>
      <c r="IF3586" s="5" t="s">
        <v>240</v>
      </c>
    </row>
    <row r="3587" spans="1:240" x14ac:dyDescent="0.4">
      <c r="A3587" s="5">
        <v>9129</v>
      </c>
      <c r="B3587" s="5">
        <v>1</v>
      </c>
      <c r="C3587" s="5">
        <v>1</v>
      </c>
      <c r="D3587" s="5" t="s">
        <v>723</v>
      </c>
      <c r="E3587" s="5" t="s">
        <v>725</v>
      </c>
      <c r="F3587" s="5" t="s">
        <v>254</v>
      </c>
      <c r="G3587" s="5" t="s">
        <v>726</v>
      </c>
      <c r="H3587" s="6" t="s">
        <v>5778</v>
      </c>
      <c r="I3587" s="5" t="s">
        <v>5777</v>
      </c>
      <c r="J3587" s="7">
        <f>1</f>
        <v>1</v>
      </c>
      <c r="K3587" s="5" t="s">
        <v>3682</v>
      </c>
      <c r="L3587" s="7">
        <f>1</f>
        <v>1</v>
      </c>
      <c r="M3587" s="7">
        <f>1</f>
        <v>1</v>
      </c>
      <c r="N3587" s="5" t="s">
        <v>242</v>
      </c>
      <c r="O3587" s="5">
        <v>1</v>
      </c>
      <c r="P3587" s="5" t="s">
        <v>294</v>
      </c>
      <c r="Q3587" s="5" t="s">
        <v>613</v>
      </c>
      <c r="R3587" s="5" t="s">
        <v>240</v>
      </c>
      <c r="S3587" s="5" t="s">
        <v>240</v>
      </c>
      <c r="T3587" s="5" t="s">
        <v>243</v>
      </c>
      <c r="U3587" s="5" t="s">
        <v>724</v>
      </c>
      <c r="V3587" s="5" t="s">
        <v>240</v>
      </c>
      <c r="W3587" s="5" t="s">
        <v>240</v>
      </c>
      <c r="X3587" s="5" t="s">
        <v>240</v>
      </c>
      <c r="Y3587" s="5" t="s">
        <v>240</v>
      </c>
      <c r="Z3587" s="6" t="s">
        <v>298</v>
      </c>
      <c r="AA3587" s="6" t="s">
        <v>240</v>
      </c>
      <c r="AB3587" s="6" t="s">
        <v>240</v>
      </c>
      <c r="AC3587" s="5" t="s">
        <v>240</v>
      </c>
      <c r="AD3587" s="6" t="s">
        <v>240</v>
      </c>
      <c r="AE3587" s="6" t="s">
        <v>299</v>
      </c>
      <c r="AF3587" s="5" t="s">
        <v>727</v>
      </c>
      <c r="AG3587" s="5" t="s">
        <v>260</v>
      </c>
      <c r="AH3587" s="5" t="s">
        <v>240</v>
      </c>
      <c r="AI3587" s="5" t="s">
        <v>240</v>
      </c>
      <c r="AJ3587" s="5" t="s">
        <v>240</v>
      </c>
      <c r="AK3587" s="5" t="s">
        <v>240</v>
      </c>
      <c r="AL3587" s="5" t="s">
        <v>240</v>
      </c>
      <c r="AM3587" s="5" t="s">
        <v>240</v>
      </c>
      <c r="AN3587" s="5" t="s">
        <v>240</v>
      </c>
      <c r="AO3587" s="5" t="s">
        <v>240</v>
      </c>
      <c r="AP3587" s="6" t="s">
        <v>240</v>
      </c>
      <c r="AQ3587" s="6" t="s">
        <v>240</v>
      </c>
      <c r="AR3587" s="6" t="s">
        <v>240</v>
      </c>
      <c r="AS3587" s="6" t="s">
        <v>240</v>
      </c>
      <c r="AT3587" s="5" t="s">
        <v>240</v>
      </c>
      <c r="AU3587" s="5" t="s">
        <v>729</v>
      </c>
      <c r="AV3587" s="5" t="s">
        <v>729</v>
      </c>
      <c r="AW3587" s="5" t="s">
        <v>251</v>
      </c>
      <c r="AX3587" s="5" t="s">
        <v>252</v>
      </c>
      <c r="AY3587" s="5" t="s">
        <v>253</v>
      </c>
      <c r="AZ3587" s="5" t="s">
        <v>240</v>
      </c>
      <c r="BA3587" s="5" t="s">
        <v>255</v>
      </c>
      <c r="BB3587" s="5" t="s">
        <v>731</v>
      </c>
      <c r="BD3587" s="5" t="s">
        <v>240</v>
      </c>
      <c r="BF3587" s="5" t="s">
        <v>732</v>
      </c>
      <c r="BG3587" s="6" t="s">
        <v>733</v>
      </c>
      <c r="BH3587" s="5" t="s">
        <v>734</v>
      </c>
      <c r="BI3587" s="5" t="s">
        <v>734</v>
      </c>
      <c r="BJ3587" s="5" t="s">
        <v>240</v>
      </c>
      <c r="BK3587" s="8">
        <f>109</f>
        <v>109</v>
      </c>
      <c r="BL3587" s="7">
        <f>0</f>
        <v>0</v>
      </c>
      <c r="BM3587" s="5" t="s">
        <v>258</v>
      </c>
      <c r="BN3587" s="5" t="s">
        <v>259</v>
      </c>
      <c r="BO3587" s="5" t="s">
        <v>240</v>
      </c>
      <c r="BP3587" s="5" t="s">
        <v>240</v>
      </c>
      <c r="BQ3587" s="5" t="s">
        <v>240</v>
      </c>
      <c r="BR3587" s="5" t="s">
        <v>240</v>
      </c>
      <c r="BS3587" s="5" t="s">
        <v>240</v>
      </c>
      <c r="BT3587" s="5" t="s">
        <v>240</v>
      </c>
      <c r="BU3587" s="5" t="s">
        <v>240</v>
      </c>
      <c r="BV3587" s="5" t="s">
        <v>240</v>
      </c>
      <c r="BW3587" s="6" t="s">
        <v>240</v>
      </c>
      <c r="BX3587" s="5" t="s">
        <v>240</v>
      </c>
      <c r="BY3587" s="5" t="s">
        <v>240</v>
      </c>
      <c r="BZ3587" s="5" t="s">
        <v>240</v>
      </c>
      <c r="CA3587" s="5" t="s">
        <v>259</v>
      </c>
      <c r="CB3587" s="5" t="s">
        <v>240</v>
      </c>
      <c r="CC3587" s="5" t="s">
        <v>240</v>
      </c>
      <c r="CD3587" s="5" t="s">
        <v>240</v>
      </c>
      <c r="CE3587" s="5" t="s">
        <v>240</v>
      </c>
      <c r="CF3587" s="5" t="s">
        <v>240</v>
      </c>
      <c r="CG3587" s="5" t="s">
        <v>617</v>
      </c>
      <c r="CH3587" s="5" t="s">
        <v>305</v>
      </c>
      <c r="CI3587" s="5" t="s">
        <v>240</v>
      </c>
      <c r="CL3587" s="6" t="s">
        <v>261</v>
      </c>
      <c r="CM3587" s="5" t="s">
        <v>262</v>
      </c>
      <c r="CN3587" s="5" t="s">
        <v>263</v>
      </c>
      <c r="CO3587" s="5" t="s">
        <v>264</v>
      </c>
      <c r="CP3587" s="5" t="s">
        <v>240</v>
      </c>
      <c r="CQ3587" s="5">
        <v>0</v>
      </c>
      <c r="CR3587" s="5" t="s">
        <v>735</v>
      </c>
      <c r="CS3587" s="5" t="s">
        <v>307</v>
      </c>
      <c r="CT3587" s="5" t="s">
        <v>307</v>
      </c>
      <c r="CU3587" s="5" t="s">
        <v>260</v>
      </c>
      <c r="CV3587" s="5" t="s">
        <v>240</v>
      </c>
      <c r="CW3587" s="8">
        <f>0</f>
        <v>0</v>
      </c>
      <c r="CX3587" s="7">
        <f>0</f>
        <v>0</v>
      </c>
      <c r="CY3587" s="7">
        <f>0</f>
        <v>0</v>
      </c>
      <c r="DA3587" s="7">
        <f>1199</f>
        <v>1199</v>
      </c>
      <c r="DB3587" s="7" t="s">
        <v>240</v>
      </c>
      <c r="DC3587" s="5" t="s">
        <v>240</v>
      </c>
      <c r="DD3587" s="5" t="s">
        <v>240</v>
      </c>
      <c r="DE3587" s="5" t="s">
        <v>240</v>
      </c>
      <c r="DF3587" s="5" t="s">
        <v>450</v>
      </c>
      <c r="DG3587" s="7">
        <f>0</f>
        <v>0</v>
      </c>
      <c r="DI3587" s="5" t="s">
        <v>737</v>
      </c>
      <c r="DJ3587" s="5" t="s">
        <v>240</v>
      </c>
      <c r="DK3587" s="5" t="s">
        <v>240</v>
      </c>
      <c r="DL3587" s="5" t="s">
        <v>240</v>
      </c>
      <c r="DM3587" s="5" t="s">
        <v>240</v>
      </c>
      <c r="DN3587" s="5" t="s">
        <v>240</v>
      </c>
      <c r="DO3587" s="7" t="s">
        <v>240</v>
      </c>
      <c r="DP3587" s="5" t="s">
        <v>240</v>
      </c>
      <c r="DQ3587" s="5" t="s">
        <v>240</v>
      </c>
      <c r="DR3587" s="5" t="s">
        <v>731</v>
      </c>
      <c r="DS3587" s="5" t="s">
        <v>731</v>
      </c>
      <c r="DT3587" s="5" t="s">
        <v>240</v>
      </c>
      <c r="DU3587" s="5" t="s">
        <v>240</v>
      </c>
      <c r="DV3587" s="5" t="s">
        <v>738</v>
      </c>
      <c r="DW3587" s="5" t="s">
        <v>2057</v>
      </c>
      <c r="DX3587" s="5" t="s">
        <v>240</v>
      </c>
      <c r="DY3587" s="5" t="s">
        <v>240</v>
      </c>
      <c r="DZ3587" s="5" t="s">
        <v>240</v>
      </c>
      <c r="EA3587" s="5" t="s">
        <v>240</v>
      </c>
      <c r="EB3587" s="5" t="s">
        <v>240</v>
      </c>
      <c r="EC3587" s="5" t="s">
        <v>240</v>
      </c>
      <c r="ED3587" s="5" t="s">
        <v>240</v>
      </c>
      <c r="EE3587" s="5" t="s">
        <v>240</v>
      </c>
      <c r="EF3587" s="5" t="s">
        <v>240</v>
      </c>
      <c r="EG3587" s="5" t="s">
        <v>240</v>
      </c>
      <c r="EH3587" s="5" t="s">
        <v>240</v>
      </c>
      <c r="EI3587" s="5" t="s">
        <v>240</v>
      </c>
      <c r="EJ3587" s="5" t="s">
        <v>240</v>
      </c>
      <c r="EK3587" s="5" t="s">
        <v>240</v>
      </c>
      <c r="EL3587" s="5" t="s">
        <v>240</v>
      </c>
      <c r="EM3587" s="5" t="s">
        <v>240</v>
      </c>
      <c r="EN3587" s="5" t="s">
        <v>240</v>
      </c>
      <c r="EO3587" s="5" t="s">
        <v>240</v>
      </c>
      <c r="EP3587" s="5" t="s">
        <v>240</v>
      </c>
      <c r="EQ3587" s="5" t="s">
        <v>240</v>
      </c>
      <c r="ER3587" s="5" t="s">
        <v>240</v>
      </c>
      <c r="ES3587" s="5" t="s">
        <v>240</v>
      </c>
      <c r="ET3587" s="5" t="s">
        <v>240</v>
      </c>
      <c r="EU3587" s="5" t="s">
        <v>240</v>
      </c>
      <c r="EV3587" s="5" t="s">
        <v>240</v>
      </c>
      <c r="EW3587" s="5" t="s">
        <v>240</v>
      </c>
      <c r="EX3587" s="5" t="s">
        <v>240</v>
      </c>
      <c r="EY3587" s="5" t="s">
        <v>240</v>
      </c>
      <c r="EZ3587" s="5" t="s">
        <v>240</v>
      </c>
      <c r="FA3587" s="5" t="s">
        <v>240</v>
      </c>
      <c r="FB3587" s="5" t="s">
        <v>240</v>
      </c>
      <c r="FC3587" s="5" t="s">
        <v>240</v>
      </c>
      <c r="FD3587" s="5" t="s">
        <v>240</v>
      </c>
      <c r="FE3587" s="5" t="s">
        <v>240</v>
      </c>
      <c r="FF3587" s="5" t="s">
        <v>240</v>
      </c>
      <c r="FG3587" s="5" t="s">
        <v>240</v>
      </c>
      <c r="FH3587" s="5" t="s">
        <v>240</v>
      </c>
      <c r="FI3587" s="5" t="s">
        <v>240</v>
      </c>
      <c r="FJ3587" s="5" t="s">
        <v>240</v>
      </c>
      <c r="FK3587" s="5" t="s">
        <v>240</v>
      </c>
      <c r="FL3587" s="5" t="s">
        <v>240</v>
      </c>
      <c r="FM3587" s="5" t="s">
        <v>240</v>
      </c>
      <c r="FN3587" s="5" t="s">
        <v>240</v>
      </c>
      <c r="FO3587" s="5" t="s">
        <v>240</v>
      </c>
      <c r="FP3587" s="5" t="s">
        <v>240</v>
      </c>
      <c r="FQ3587" s="5" t="s">
        <v>240</v>
      </c>
      <c r="FR3587" s="5" t="s">
        <v>240</v>
      </c>
      <c r="FS3587" s="5" t="s">
        <v>240</v>
      </c>
      <c r="FT3587" s="5" t="s">
        <v>240</v>
      </c>
      <c r="FU3587" s="5" t="s">
        <v>240</v>
      </c>
      <c r="FV3587" s="5" t="s">
        <v>240</v>
      </c>
      <c r="FW3587" s="5" t="s">
        <v>240</v>
      </c>
      <c r="FX3587" s="5" t="s">
        <v>240</v>
      </c>
      <c r="FY3587" s="5" t="s">
        <v>240</v>
      </c>
      <c r="FZ3587" s="5" t="s">
        <v>240</v>
      </c>
      <c r="GA3587" s="5" t="s">
        <v>240</v>
      </c>
      <c r="GB3587" s="5" t="s">
        <v>240</v>
      </c>
      <c r="GC3587" s="5" t="s">
        <v>240</v>
      </c>
      <c r="GD3587" s="5" t="s">
        <v>240</v>
      </c>
      <c r="GE3587" s="5" t="s">
        <v>240</v>
      </c>
      <c r="GF3587" s="5" t="s">
        <v>240</v>
      </c>
      <c r="GG3587" s="5" t="s">
        <v>240</v>
      </c>
      <c r="GH3587" s="5" t="s">
        <v>240</v>
      </c>
      <c r="GI3587" s="5" t="s">
        <v>240</v>
      </c>
      <c r="GJ3587" s="5" t="s">
        <v>240</v>
      </c>
      <c r="GK3587" s="5" t="s">
        <v>240</v>
      </c>
      <c r="GL3587" s="5" t="s">
        <v>240</v>
      </c>
      <c r="GM3587" s="5" t="s">
        <v>240</v>
      </c>
      <c r="GN3587" s="5" t="s">
        <v>240</v>
      </c>
      <c r="GO3587" s="5" t="s">
        <v>240</v>
      </c>
      <c r="GP3587" s="5" t="s">
        <v>240</v>
      </c>
      <c r="GQ3587" s="5" t="s">
        <v>240</v>
      </c>
      <c r="GR3587" s="5" t="s">
        <v>240</v>
      </c>
      <c r="GS3587" s="5" t="s">
        <v>240</v>
      </c>
      <c r="GT3587" s="5" t="s">
        <v>240</v>
      </c>
      <c r="GU3587" s="5" t="s">
        <v>240</v>
      </c>
      <c r="GV3587" s="5" t="s">
        <v>240</v>
      </c>
      <c r="GW3587" s="5" t="s">
        <v>240</v>
      </c>
      <c r="GX3587" s="5" t="s">
        <v>240</v>
      </c>
      <c r="GY3587" s="5" t="s">
        <v>240</v>
      </c>
      <c r="GZ3587" s="5" t="s">
        <v>240</v>
      </c>
      <c r="HA3587" s="5" t="s">
        <v>240</v>
      </c>
      <c r="HB3587" s="5" t="s">
        <v>240</v>
      </c>
      <c r="HC3587" s="5" t="s">
        <v>240</v>
      </c>
      <c r="HD3587" s="5" t="s">
        <v>240</v>
      </c>
      <c r="HE3587" s="5" t="s">
        <v>240</v>
      </c>
      <c r="HF3587" s="5" t="s">
        <v>240</v>
      </c>
      <c r="HG3587" s="5" t="s">
        <v>240</v>
      </c>
      <c r="HH3587" s="5" t="s">
        <v>240</v>
      </c>
      <c r="HI3587" s="5" t="s">
        <v>240</v>
      </c>
      <c r="HJ3587" s="5" t="s">
        <v>240</v>
      </c>
      <c r="HK3587" s="5" t="s">
        <v>240</v>
      </c>
      <c r="HL3587" s="5" t="s">
        <v>240</v>
      </c>
      <c r="HM3587" s="5" t="s">
        <v>240</v>
      </c>
      <c r="HN3587" s="5" t="s">
        <v>240</v>
      </c>
      <c r="HO3587" s="5" t="s">
        <v>312</v>
      </c>
      <c r="HP3587" s="5" t="s">
        <v>240</v>
      </c>
      <c r="HQ3587" s="5" t="s">
        <v>240</v>
      </c>
      <c r="HR3587" s="5" t="s">
        <v>240</v>
      </c>
      <c r="HS3587" s="5" t="s">
        <v>240</v>
      </c>
      <c r="HT3587" s="5" t="s">
        <v>240</v>
      </c>
      <c r="HU3587" s="5" t="s">
        <v>240</v>
      </c>
      <c r="HV3587" s="5" t="s">
        <v>240</v>
      </c>
      <c r="HW3587" s="5" t="s">
        <v>240</v>
      </c>
      <c r="HX3587" s="5" t="s">
        <v>240</v>
      </c>
      <c r="HY3587" s="5" t="s">
        <v>240</v>
      </c>
      <c r="HZ3587" s="5" t="s">
        <v>240</v>
      </c>
      <c r="IA3587" s="5" t="s">
        <v>240</v>
      </c>
      <c r="IB3587" s="5" t="s">
        <v>240</v>
      </c>
      <c r="IC3587" s="5" t="s">
        <v>240</v>
      </c>
      <c r="ID3587" s="5" t="s">
        <v>240</v>
      </c>
      <c r="IE3587" s="5" t="s">
        <v>240</v>
      </c>
      <c r="IF3587" s="5" t="s">
        <v>240</v>
      </c>
    </row>
    <row r="3588" spans="1:240" x14ac:dyDescent="0.4">
      <c r="A3588" s="5">
        <v>9130</v>
      </c>
      <c r="B3588" s="5">
        <v>1</v>
      </c>
      <c r="C3588" s="5">
        <v>1</v>
      </c>
      <c r="D3588" s="5" t="s">
        <v>723</v>
      </c>
      <c r="E3588" s="5" t="s">
        <v>725</v>
      </c>
      <c r="F3588" s="5" t="s">
        <v>254</v>
      </c>
      <c r="G3588" s="5" t="s">
        <v>726</v>
      </c>
      <c r="H3588" s="6" t="s">
        <v>5776</v>
      </c>
      <c r="I3588" s="5" t="s">
        <v>5775</v>
      </c>
      <c r="J3588" s="7">
        <f>1</f>
        <v>1</v>
      </c>
      <c r="K3588" s="5" t="s">
        <v>3682</v>
      </c>
      <c r="L3588" s="7">
        <f>1</f>
        <v>1</v>
      </c>
      <c r="M3588" s="7">
        <f>1</f>
        <v>1</v>
      </c>
      <c r="N3588" s="5" t="s">
        <v>242</v>
      </c>
      <c r="O3588" s="5">
        <v>1</v>
      </c>
      <c r="P3588" s="5" t="s">
        <v>294</v>
      </c>
      <c r="Q3588" s="5" t="s">
        <v>3678</v>
      </c>
      <c r="R3588" s="5" t="s">
        <v>240</v>
      </c>
      <c r="S3588" s="5" t="s">
        <v>240</v>
      </c>
      <c r="T3588" s="5" t="s">
        <v>243</v>
      </c>
      <c r="U3588" s="5" t="s">
        <v>244</v>
      </c>
      <c r="V3588" s="5" t="s">
        <v>240</v>
      </c>
      <c r="W3588" s="5" t="s">
        <v>240</v>
      </c>
      <c r="X3588" s="5" t="s">
        <v>240</v>
      </c>
      <c r="Y3588" s="5" t="s">
        <v>240</v>
      </c>
      <c r="Z3588" s="6" t="s">
        <v>298</v>
      </c>
      <c r="AA3588" s="6" t="s">
        <v>240</v>
      </c>
      <c r="AB3588" s="6" t="s">
        <v>240</v>
      </c>
      <c r="AC3588" s="5" t="s">
        <v>240</v>
      </c>
      <c r="AD3588" s="6" t="s">
        <v>240</v>
      </c>
      <c r="AE3588" s="6" t="s">
        <v>299</v>
      </c>
      <c r="AF3588" s="5" t="s">
        <v>248</v>
      </c>
      <c r="AG3588" s="5" t="s">
        <v>249</v>
      </c>
      <c r="AH3588" s="5" t="s">
        <v>240</v>
      </c>
      <c r="AI3588" s="5" t="s">
        <v>240</v>
      </c>
      <c r="AJ3588" s="5" t="s">
        <v>240</v>
      </c>
      <c r="AK3588" s="5" t="s">
        <v>240</v>
      </c>
      <c r="AL3588" s="5" t="s">
        <v>240</v>
      </c>
      <c r="AM3588" s="5" t="s">
        <v>240</v>
      </c>
      <c r="AN3588" s="5" t="s">
        <v>240</v>
      </c>
      <c r="AO3588" s="5" t="s">
        <v>240</v>
      </c>
      <c r="AP3588" s="6" t="s">
        <v>240</v>
      </c>
      <c r="AQ3588" s="6" t="s">
        <v>240</v>
      </c>
      <c r="AR3588" s="6" t="s">
        <v>240</v>
      </c>
      <c r="AS3588" s="6" t="s">
        <v>240</v>
      </c>
      <c r="AT3588" s="5" t="s">
        <v>240</v>
      </c>
      <c r="AU3588" s="5" t="s">
        <v>729</v>
      </c>
      <c r="AV3588" s="5" t="s">
        <v>729</v>
      </c>
      <c r="AW3588" s="5" t="s">
        <v>251</v>
      </c>
      <c r="AX3588" s="5" t="s">
        <v>252</v>
      </c>
      <c r="AY3588" s="5" t="s">
        <v>253</v>
      </c>
      <c r="AZ3588" s="5" t="s">
        <v>240</v>
      </c>
      <c r="BA3588" s="5" t="s">
        <v>255</v>
      </c>
      <c r="BB3588" s="5" t="s">
        <v>731</v>
      </c>
      <c r="BD3588" s="5" t="s">
        <v>240</v>
      </c>
      <c r="BF3588" s="5" t="s">
        <v>732</v>
      </c>
      <c r="BG3588" s="6" t="s">
        <v>733</v>
      </c>
      <c r="BH3588" s="5" t="s">
        <v>734</v>
      </c>
      <c r="BI3588" s="5" t="s">
        <v>734</v>
      </c>
      <c r="BJ3588" s="5" t="s">
        <v>240</v>
      </c>
      <c r="BK3588" s="7">
        <f>1</f>
        <v>1</v>
      </c>
      <c r="BL3588" s="7">
        <f>1</f>
        <v>1</v>
      </c>
      <c r="BM3588" s="5" t="s">
        <v>258</v>
      </c>
      <c r="BN3588" s="5" t="s">
        <v>259</v>
      </c>
      <c r="BO3588" s="5" t="s">
        <v>240</v>
      </c>
      <c r="BP3588" s="5" t="s">
        <v>240</v>
      </c>
      <c r="BQ3588" s="5" t="s">
        <v>240</v>
      </c>
      <c r="BR3588" s="5" t="s">
        <v>240</v>
      </c>
      <c r="BS3588" s="5" t="s">
        <v>240</v>
      </c>
      <c r="BT3588" s="5" t="s">
        <v>240</v>
      </c>
      <c r="BU3588" s="5" t="s">
        <v>240</v>
      </c>
      <c r="BV3588" s="5" t="s">
        <v>240</v>
      </c>
      <c r="BW3588" s="6" t="s">
        <v>240</v>
      </c>
      <c r="BX3588" s="5" t="s">
        <v>240</v>
      </c>
      <c r="BY3588" s="5" t="s">
        <v>240</v>
      </c>
      <c r="BZ3588" s="5" t="s">
        <v>240</v>
      </c>
      <c r="CA3588" s="5" t="s">
        <v>259</v>
      </c>
      <c r="CB3588" s="5" t="s">
        <v>240</v>
      </c>
      <c r="CC3588" s="5" t="s">
        <v>240</v>
      </c>
      <c r="CD3588" s="5" t="s">
        <v>240</v>
      </c>
      <c r="CE3588" s="5" t="s">
        <v>240</v>
      </c>
      <c r="CF3588" s="5" t="s">
        <v>240</v>
      </c>
      <c r="CG3588" s="5" t="s">
        <v>304</v>
      </c>
      <c r="CH3588" s="5" t="s">
        <v>305</v>
      </c>
      <c r="CI3588" s="5" t="s">
        <v>240</v>
      </c>
      <c r="CK3588" s="5" t="s">
        <v>3681</v>
      </c>
      <c r="CL3588" s="6" t="s">
        <v>261</v>
      </c>
      <c r="CM3588" s="5" t="s">
        <v>262</v>
      </c>
      <c r="CN3588" s="5" t="s">
        <v>263</v>
      </c>
      <c r="CO3588" s="5" t="s">
        <v>264</v>
      </c>
      <c r="CP3588" s="5" t="s">
        <v>240</v>
      </c>
      <c r="CQ3588" s="5">
        <v>0</v>
      </c>
      <c r="CR3588" s="5" t="s">
        <v>735</v>
      </c>
      <c r="CS3588" s="5" t="s">
        <v>307</v>
      </c>
      <c r="CT3588" s="5" t="s">
        <v>307</v>
      </c>
      <c r="CU3588" s="5" t="s">
        <v>260</v>
      </c>
      <c r="CV3588" s="5" t="s">
        <v>612</v>
      </c>
      <c r="CW3588" s="8">
        <f>1</f>
        <v>1</v>
      </c>
      <c r="CX3588" s="7">
        <f>1</f>
        <v>1</v>
      </c>
      <c r="CY3588" s="7">
        <f>0</f>
        <v>0</v>
      </c>
      <c r="DA3588" s="7">
        <f>1</f>
        <v>1</v>
      </c>
      <c r="DB3588" s="7" t="s">
        <v>240</v>
      </c>
      <c r="DC3588" s="5" t="s">
        <v>240</v>
      </c>
      <c r="DD3588" s="5" t="s">
        <v>240</v>
      </c>
      <c r="DE3588" s="5" t="s">
        <v>240</v>
      </c>
      <c r="DF3588" s="5" t="s">
        <v>240</v>
      </c>
      <c r="DG3588" s="7">
        <f>0</f>
        <v>0</v>
      </c>
      <c r="DI3588" s="5" t="s">
        <v>240</v>
      </c>
      <c r="DJ3588" s="5" t="s">
        <v>240</v>
      </c>
      <c r="DK3588" s="5" t="s">
        <v>240</v>
      </c>
      <c r="DL3588" s="5" t="s">
        <v>240</v>
      </c>
      <c r="DM3588" s="5" t="s">
        <v>240</v>
      </c>
      <c r="DN3588" s="5" t="s">
        <v>240</v>
      </c>
      <c r="DO3588" s="7" t="s">
        <v>240</v>
      </c>
      <c r="DP3588" s="5" t="s">
        <v>240</v>
      </c>
      <c r="DQ3588" s="5" t="s">
        <v>240</v>
      </c>
      <c r="DR3588" s="5" t="s">
        <v>731</v>
      </c>
      <c r="DS3588" s="5" t="s">
        <v>731</v>
      </c>
      <c r="DT3588" s="5" t="s">
        <v>240</v>
      </c>
      <c r="DU3588" s="5" t="s">
        <v>240</v>
      </c>
      <c r="DV3588" s="5" t="s">
        <v>3683</v>
      </c>
      <c r="DW3588" s="5" t="s">
        <v>1198</v>
      </c>
      <c r="DX3588" s="5" t="s">
        <v>240</v>
      </c>
      <c r="DY3588" s="5" t="s">
        <v>240</v>
      </c>
      <c r="DZ3588" s="5" t="s">
        <v>240</v>
      </c>
      <c r="EA3588" s="5" t="s">
        <v>240</v>
      </c>
      <c r="EB3588" s="5" t="s">
        <v>240</v>
      </c>
      <c r="EC3588" s="5" t="s">
        <v>240</v>
      </c>
      <c r="ED3588" s="5" t="s">
        <v>240</v>
      </c>
      <c r="EE3588" s="5" t="s">
        <v>240</v>
      </c>
      <c r="EF3588" s="5" t="s">
        <v>240</v>
      </c>
      <c r="EG3588" s="5" t="s">
        <v>240</v>
      </c>
      <c r="EH3588" s="5" t="s">
        <v>240</v>
      </c>
      <c r="EI3588" s="5" t="s">
        <v>240</v>
      </c>
      <c r="EJ3588" s="5" t="s">
        <v>240</v>
      </c>
      <c r="EK3588" s="5" t="s">
        <v>240</v>
      </c>
      <c r="EL3588" s="5" t="s">
        <v>240</v>
      </c>
      <c r="EM3588" s="5" t="s">
        <v>240</v>
      </c>
      <c r="EN3588" s="5" t="s">
        <v>240</v>
      </c>
      <c r="EO3588" s="5" t="s">
        <v>240</v>
      </c>
      <c r="EP3588" s="5" t="s">
        <v>240</v>
      </c>
      <c r="EQ3588" s="5" t="s">
        <v>240</v>
      </c>
      <c r="ER3588" s="5" t="s">
        <v>240</v>
      </c>
      <c r="ES3588" s="5" t="s">
        <v>240</v>
      </c>
      <c r="ET3588" s="5" t="s">
        <v>240</v>
      </c>
      <c r="EU3588" s="5" t="s">
        <v>240</v>
      </c>
      <c r="EV3588" s="5" t="s">
        <v>240</v>
      </c>
      <c r="EW3588" s="5" t="s">
        <v>240</v>
      </c>
      <c r="EX3588" s="5" t="s">
        <v>240</v>
      </c>
      <c r="EY3588" s="5" t="s">
        <v>240</v>
      </c>
      <c r="EZ3588" s="5" t="s">
        <v>240</v>
      </c>
      <c r="FA3588" s="5" t="s">
        <v>240</v>
      </c>
      <c r="FB3588" s="5" t="s">
        <v>240</v>
      </c>
      <c r="FC3588" s="5" t="s">
        <v>240</v>
      </c>
      <c r="FD3588" s="5" t="s">
        <v>240</v>
      </c>
      <c r="FE3588" s="5" t="s">
        <v>240</v>
      </c>
      <c r="FF3588" s="5" t="s">
        <v>240</v>
      </c>
      <c r="FG3588" s="5" t="s">
        <v>240</v>
      </c>
      <c r="FH3588" s="5" t="s">
        <v>240</v>
      </c>
      <c r="FI3588" s="5" t="s">
        <v>240</v>
      </c>
      <c r="FJ3588" s="5" t="s">
        <v>240</v>
      </c>
      <c r="FK3588" s="5" t="s">
        <v>240</v>
      </c>
      <c r="FL3588" s="5" t="s">
        <v>240</v>
      </c>
      <c r="FM3588" s="5" t="s">
        <v>240</v>
      </c>
      <c r="FN3588" s="5" t="s">
        <v>240</v>
      </c>
      <c r="FO3588" s="5" t="s">
        <v>240</v>
      </c>
      <c r="FP3588" s="5" t="s">
        <v>240</v>
      </c>
      <c r="FQ3588" s="5" t="s">
        <v>240</v>
      </c>
      <c r="FR3588" s="5" t="s">
        <v>240</v>
      </c>
      <c r="FS3588" s="5" t="s">
        <v>240</v>
      </c>
      <c r="FT3588" s="5" t="s">
        <v>240</v>
      </c>
      <c r="FU3588" s="5" t="s">
        <v>240</v>
      </c>
      <c r="FV3588" s="5" t="s">
        <v>240</v>
      </c>
      <c r="FW3588" s="5" t="s">
        <v>240</v>
      </c>
      <c r="FX3588" s="5" t="s">
        <v>240</v>
      </c>
      <c r="FY3588" s="5" t="s">
        <v>240</v>
      </c>
      <c r="FZ3588" s="5" t="s">
        <v>240</v>
      </c>
      <c r="GA3588" s="5" t="s">
        <v>240</v>
      </c>
      <c r="GB3588" s="5" t="s">
        <v>240</v>
      </c>
      <c r="GC3588" s="5" t="s">
        <v>240</v>
      </c>
      <c r="GD3588" s="5" t="s">
        <v>240</v>
      </c>
      <c r="GE3588" s="5" t="s">
        <v>240</v>
      </c>
      <c r="GF3588" s="5" t="s">
        <v>240</v>
      </c>
      <c r="GG3588" s="5" t="s">
        <v>240</v>
      </c>
      <c r="GH3588" s="5" t="s">
        <v>240</v>
      </c>
      <c r="GI3588" s="5" t="s">
        <v>240</v>
      </c>
      <c r="GJ3588" s="5" t="s">
        <v>240</v>
      </c>
      <c r="GK3588" s="5" t="s">
        <v>240</v>
      </c>
      <c r="GL3588" s="5" t="s">
        <v>240</v>
      </c>
      <c r="GM3588" s="5" t="s">
        <v>240</v>
      </c>
      <c r="GN3588" s="5" t="s">
        <v>240</v>
      </c>
      <c r="GO3588" s="5" t="s">
        <v>240</v>
      </c>
      <c r="GP3588" s="5" t="s">
        <v>240</v>
      </c>
      <c r="GQ3588" s="5" t="s">
        <v>240</v>
      </c>
      <c r="GR3588" s="5" t="s">
        <v>240</v>
      </c>
      <c r="GS3588" s="5" t="s">
        <v>240</v>
      </c>
      <c r="GT3588" s="5" t="s">
        <v>240</v>
      </c>
      <c r="GU3588" s="5" t="s">
        <v>240</v>
      </c>
      <c r="GV3588" s="5" t="s">
        <v>240</v>
      </c>
      <c r="GW3588" s="5" t="s">
        <v>240</v>
      </c>
      <c r="GX3588" s="5" t="s">
        <v>240</v>
      </c>
      <c r="GY3588" s="5" t="s">
        <v>240</v>
      </c>
      <c r="GZ3588" s="5" t="s">
        <v>240</v>
      </c>
      <c r="HA3588" s="5" t="s">
        <v>240</v>
      </c>
      <c r="HB3588" s="5" t="s">
        <v>240</v>
      </c>
      <c r="HC3588" s="5" t="s">
        <v>240</v>
      </c>
      <c r="HD3588" s="5" t="s">
        <v>240</v>
      </c>
      <c r="HE3588" s="5" t="s">
        <v>240</v>
      </c>
      <c r="HF3588" s="5" t="s">
        <v>240</v>
      </c>
      <c r="HG3588" s="5" t="s">
        <v>240</v>
      </c>
      <c r="HH3588" s="5" t="s">
        <v>240</v>
      </c>
      <c r="HI3588" s="5" t="s">
        <v>240</v>
      </c>
      <c r="HJ3588" s="5" t="s">
        <v>240</v>
      </c>
      <c r="HK3588" s="5" t="s">
        <v>240</v>
      </c>
      <c r="HL3588" s="5" t="s">
        <v>240</v>
      </c>
      <c r="HM3588" s="5" t="s">
        <v>240</v>
      </c>
      <c r="HN3588" s="5" t="s">
        <v>240</v>
      </c>
      <c r="HO3588" s="5" t="s">
        <v>312</v>
      </c>
      <c r="HP3588" s="5" t="s">
        <v>240</v>
      </c>
      <c r="HQ3588" s="5" t="s">
        <v>240</v>
      </c>
      <c r="HR3588" s="5" t="s">
        <v>240</v>
      </c>
      <c r="HS3588" s="5" t="s">
        <v>240</v>
      </c>
      <c r="HT3588" s="5" t="s">
        <v>240</v>
      </c>
      <c r="HU3588" s="5" t="s">
        <v>240</v>
      </c>
      <c r="HV3588" s="5" t="s">
        <v>240</v>
      </c>
      <c r="HW3588" s="5" t="s">
        <v>240</v>
      </c>
      <c r="HX3588" s="5" t="s">
        <v>240</v>
      </c>
      <c r="HY3588" s="5" t="s">
        <v>240</v>
      </c>
      <c r="HZ3588" s="5" t="s">
        <v>240</v>
      </c>
      <c r="IA3588" s="5" t="s">
        <v>240</v>
      </c>
      <c r="IB3588" s="5" t="s">
        <v>240</v>
      </c>
      <c r="IC3588" s="5" t="s">
        <v>240</v>
      </c>
      <c r="ID3588" s="5" t="s">
        <v>240</v>
      </c>
      <c r="IE3588" s="5" t="s">
        <v>240</v>
      </c>
      <c r="IF3588" s="5" t="s">
        <v>240</v>
      </c>
    </row>
    <row r="3589" spans="1:240" x14ac:dyDescent="0.4">
      <c r="A3589" s="5">
        <v>9131</v>
      </c>
      <c r="B3589" s="5">
        <v>1</v>
      </c>
      <c r="C3589" s="5">
        <v>1</v>
      </c>
      <c r="D3589" s="5" t="s">
        <v>723</v>
      </c>
      <c r="E3589" s="5" t="s">
        <v>725</v>
      </c>
      <c r="F3589" s="5" t="s">
        <v>254</v>
      </c>
      <c r="G3589" s="5" t="s">
        <v>5773</v>
      </c>
      <c r="H3589" s="6" t="s">
        <v>5774</v>
      </c>
      <c r="I3589" s="5" t="s">
        <v>5772</v>
      </c>
      <c r="J3589" s="7">
        <f>1</f>
        <v>1</v>
      </c>
      <c r="K3589" s="5" t="s">
        <v>3682</v>
      </c>
      <c r="L3589" s="7">
        <f>1</f>
        <v>1</v>
      </c>
      <c r="M3589" s="7">
        <f>1</f>
        <v>1</v>
      </c>
      <c r="N3589" s="5" t="s">
        <v>242</v>
      </c>
      <c r="O3589" s="5">
        <v>1</v>
      </c>
      <c r="P3589" s="5" t="s">
        <v>294</v>
      </c>
      <c r="Q3589" s="5" t="s">
        <v>3678</v>
      </c>
      <c r="R3589" s="5" t="s">
        <v>240</v>
      </c>
      <c r="S3589" s="5" t="s">
        <v>240</v>
      </c>
      <c r="T3589" s="5" t="s">
        <v>243</v>
      </c>
      <c r="U3589" s="5" t="s">
        <v>244</v>
      </c>
      <c r="V3589" s="5" t="s">
        <v>240</v>
      </c>
      <c r="W3589" s="5" t="s">
        <v>240</v>
      </c>
      <c r="X3589" s="5" t="s">
        <v>240</v>
      </c>
      <c r="Y3589" s="5" t="s">
        <v>240</v>
      </c>
      <c r="Z3589" s="6" t="s">
        <v>298</v>
      </c>
      <c r="AA3589" s="6" t="s">
        <v>240</v>
      </c>
      <c r="AB3589" s="6" t="s">
        <v>240</v>
      </c>
      <c r="AC3589" s="5" t="s">
        <v>240</v>
      </c>
      <c r="AD3589" s="6" t="s">
        <v>240</v>
      </c>
      <c r="AE3589" s="6" t="s">
        <v>299</v>
      </c>
      <c r="AF3589" s="5" t="s">
        <v>248</v>
      </c>
      <c r="AG3589" s="5" t="s">
        <v>249</v>
      </c>
      <c r="AH3589" s="5" t="s">
        <v>240</v>
      </c>
      <c r="AI3589" s="5" t="s">
        <v>240</v>
      </c>
      <c r="AJ3589" s="5" t="s">
        <v>240</v>
      </c>
      <c r="AK3589" s="5" t="s">
        <v>240</v>
      </c>
      <c r="AL3589" s="5" t="s">
        <v>240</v>
      </c>
      <c r="AM3589" s="5" t="s">
        <v>240</v>
      </c>
      <c r="AN3589" s="5" t="s">
        <v>240</v>
      </c>
      <c r="AO3589" s="5" t="s">
        <v>240</v>
      </c>
      <c r="AP3589" s="6" t="s">
        <v>240</v>
      </c>
      <c r="AQ3589" s="6" t="s">
        <v>240</v>
      </c>
      <c r="AR3589" s="6" t="s">
        <v>240</v>
      </c>
      <c r="AS3589" s="6" t="s">
        <v>240</v>
      </c>
      <c r="AT3589" s="5" t="s">
        <v>240</v>
      </c>
      <c r="AU3589" s="5" t="s">
        <v>729</v>
      </c>
      <c r="AV3589" s="5" t="s">
        <v>729</v>
      </c>
      <c r="AW3589" s="5" t="s">
        <v>251</v>
      </c>
      <c r="AX3589" s="5" t="s">
        <v>252</v>
      </c>
      <c r="AY3589" s="5" t="s">
        <v>253</v>
      </c>
      <c r="AZ3589" s="5" t="s">
        <v>240</v>
      </c>
      <c r="BA3589" s="5" t="s">
        <v>255</v>
      </c>
      <c r="BB3589" s="5" t="s">
        <v>731</v>
      </c>
      <c r="BD3589" s="5" t="s">
        <v>240</v>
      </c>
      <c r="BF3589" s="5" t="s">
        <v>732</v>
      </c>
      <c r="BG3589" s="6" t="s">
        <v>733</v>
      </c>
      <c r="BH3589" s="5" t="s">
        <v>734</v>
      </c>
      <c r="BI3589" s="5" t="s">
        <v>734</v>
      </c>
      <c r="BJ3589" s="5" t="s">
        <v>240</v>
      </c>
      <c r="BK3589" s="7">
        <f>1</f>
        <v>1</v>
      </c>
      <c r="BL3589" s="7">
        <f>1</f>
        <v>1</v>
      </c>
      <c r="BM3589" s="5" t="s">
        <v>258</v>
      </c>
      <c r="BN3589" s="5" t="s">
        <v>259</v>
      </c>
      <c r="BO3589" s="5" t="s">
        <v>240</v>
      </c>
      <c r="BP3589" s="5" t="s">
        <v>240</v>
      </c>
      <c r="BQ3589" s="5" t="s">
        <v>240</v>
      </c>
      <c r="BR3589" s="5" t="s">
        <v>240</v>
      </c>
      <c r="BS3589" s="5" t="s">
        <v>240</v>
      </c>
      <c r="BT3589" s="5" t="s">
        <v>240</v>
      </c>
      <c r="BU3589" s="5" t="s">
        <v>240</v>
      </c>
      <c r="BV3589" s="5" t="s">
        <v>240</v>
      </c>
      <c r="BW3589" s="6" t="s">
        <v>240</v>
      </c>
      <c r="BX3589" s="5" t="s">
        <v>240</v>
      </c>
      <c r="BY3589" s="5" t="s">
        <v>240</v>
      </c>
      <c r="BZ3589" s="5" t="s">
        <v>240</v>
      </c>
      <c r="CA3589" s="5" t="s">
        <v>259</v>
      </c>
      <c r="CB3589" s="5" t="s">
        <v>240</v>
      </c>
      <c r="CC3589" s="5" t="s">
        <v>240</v>
      </c>
      <c r="CD3589" s="5" t="s">
        <v>240</v>
      </c>
      <c r="CE3589" s="5" t="s">
        <v>240</v>
      </c>
      <c r="CF3589" s="5" t="s">
        <v>240</v>
      </c>
      <c r="CG3589" s="5" t="s">
        <v>304</v>
      </c>
      <c r="CH3589" s="5" t="s">
        <v>305</v>
      </c>
      <c r="CI3589" s="5" t="s">
        <v>240</v>
      </c>
      <c r="CK3589" s="5" t="s">
        <v>3681</v>
      </c>
      <c r="CL3589" s="6" t="s">
        <v>261</v>
      </c>
      <c r="CM3589" s="5" t="s">
        <v>262</v>
      </c>
      <c r="CN3589" s="5" t="s">
        <v>263</v>
      </c>
      <c r="CO3589" s="5" t="s">
        <v>264</v>
      </c>
      <c r="CP3589" s="5" t="s">
        <v>240</v>
      </c>
      <c r="CQ3589" s="5">
        <v>0</v>
      </c>
      <c r="CR3589" s="5" t="s">
        <v>735</v>
      </c>
      <c r="CS3589" s="5" t="s">
        <v>307</v>
      </c>
      <c r="CT3589" s="5" t="s">
        <v>307</v>
      </c>
      <c r="CU3589" s="5" t="s">
        <v>260</v>
      </c>
      <c r="CV3589" s="5" t="s">
        <v>612</v>
      </c>
      <c r="CW3589" s="8">
        <f>1</f>
        <v>1</v>
      </c>
      <c r="CX3589" s="7">
        <f>1</f>
        <v>1</v>
      </c>
      <c r="CY3589" s="7">
        <f>0</f>
        <v>0</v>
      </c>
      <c r="DA3589" s="7">
        <f>1</f>
        <v>1</v>
      </c>
      <c r="DB3589" s="7" t="s">
        <v>240</v>
      </c>
      <c r="DC3589" s="5" t="s">
        <v>240</v>
      </c>
      <c r="DD3589" s="5" t="s">
        <v>240</v>
      </c>
      <c r="DE3589" s="5" t="s">
        <v>240</v>
      </c>
      <c r="DF3589" s="5" t="s">
        <v>240</v>
      </c>
      <c r="DG3589" s="7">
        <f>0</f>
        <v>0</v>
      </c>
      <c r="DI3589" s="5" t="s">
        <v>240</v>
      </c>
      <c r="DJ3589" s="5" t="s">
        <v>240</v>
      </c>
      <c r="DK3589" s="5" t="s">
        <v>240</v>
      </c>
      <c r="DL3589" s="5" t="s">
        <v>240</v>
      </c>
      <c r="DM3589" s="5" t="s">
        <v>240</v>
      </c>
      <c r="DN3589" s="5" t="s">
        <v>240</v>
      </c>
      <c r="DO3589" s="7" t="s">
        <v>240</v>
      </c>
      <c r="DP3589" s="5" t="s">
        <v>240</v>
      </c>
      <c r="DQ3589" s="5" t="s">
        <v>240</v>
      </c>
      <c r="DR3589" s="5" t="s">
        <v>731</v>
      </c>
      <c r="DS3589" s="5" t="s">
        <v>731</v>
      </c>
      <c r="DT3589" s="5" t="s">
        <v>240</v>
      </c>
      <c r="DU3589" s="5" t="s">
        <v>240</v>
      </c>
      <c r="DV3589" s="5" t="s">
        <v>3683</v>
      </c>
      <c r="DW3589" s="5" t="s">
        <v>438</v>
      </c>
      <c r="DX3589" s="5" t="s">
        <v>240</v>
      </c>
      <c r="DY3589" s="5" t="s">
        <v>240</v>
      </c>
      <c r="DZ3589" s="5" t="s">
        <v>240</v>
      </c>
      <c r="EA3589" s="5" t="s">
        <v>240</v>
      </c>
      <c r="EB3589" s="5" t="s">
        <v>240</v>
      </c>
      <c r="EC3589" s="5" t="s">
        <v>240</v>
      </c>
      <c r="ED3589" s="5" t="s">
        <v>240</v>
      </c>
      <c r="EE3589" s="5" t="s">
        <v>240</v>
      </c>
      <c r="EF3589" s="5" t="s">
        <v>240</v>
      </c>
      <c r="EG3589" s="5" t="s">
        <v>240</v>
      </c>
      <c r="EH3589" s="5" t="s">
        <v>240</v>
      </c>
      <c r="EI3589" s="5" t="s">
        <v>240</v>
      </c>
      <c r="EJ3589" s="5" t="s">
        <v>240</v>
      </c>
      <c r="EK3589" s="5" t="s">
        <v>240</v>
      </c>
      <c r="EL3589" s="5" t="s">
        <v>240</v>
      </c>
      <c r="EM3589" s="5" t="s">
        <v>240</v>
      </c>
      <c r="EN3589" s="5" t="s">
        <v>240</v>
      </c>
      <c r="EO3589" s="5" t="s">
        <v>240</v>
      </c>
      <c r="EP3589" s="5" t="s">
        <v>240</v>
      </c>
      <c r="EQ3589" s="5" t="s">
        <v>240</v>
      </c>
      <c r="ER3589" s="5" t="s">
        <v>240</v>
      </c>
      <c r="ES3589" s="5" t="s">
        <v>240</v>
      </c>
      <c r="ET3589" s="5" t="s">
        <v>240</v>
      </c>
      <c r="EU3589" s="5" t="s">
        <v>240</v>
      </c>
      <c r="EV3589" s="5" t="s">
        <v>240</v>
      </c>
      <c r="EW3589" s="5" t="s">
        <v>240</v>
      </c>
      <c r="EX3589" s="5" t="s">
        <v>240</v>
      </c>
      <c r="EY3589" s="5" t="s">
        <v>240</v>
      </c>
      <c r="EZ3589" s="5" t="s">
        <v>240</v>
      </c>
      <c r="FA3589" s="5" t="s">
        <v>240</v>
      </c>
      <c r="FB3589" s="5" t="s">
        <v>240</v>
      </c>
      <c r="FC3589" s="5" t="s">
        <v>240</v>
      </c>
      <c r="FD3589" s="5" t="s">
        <v>240</v>
      </c>
      <c r="FE3589" s="5" t="s">
        <v>240</v>
      </c>
      <c r="FF3589" s="5" t="s">
        <v>240</v>
      </c>
      <c r="FG3589" s="5" t="s">
        <v>240</v>
      </c>
      <c r="FH3589" s="5" t="s">
        <v>240</v>
      </c>
      <c r="FI3589" s="5" t="s">
        <v>240</v>
      </c>
      <c r="FJ3589" s="5" t="s">
        <v>240</v>
      </c>
      <c r="FK3589" s="5" t="s">
        <v>240</v>
      </c>
      <c r="FL3589" s="5" t="s">
        <v>240</v>
      </c>
      <c r="FM3589" s="5" t="s">
        <v>240</v>
      </c>
      <c r="FN3589" s="5" t="s">
        <v>240</v>
      </c>
      <c r="FO3589" s="5" t="s">
        <v>240</v>
      </c>
      <c r="FP3589" s="5" t="s">
        <v>240</v>
      </c>
      <c r="FQ3589" s="5" t="s">
        <v>240</v>
      </c>
      <c r="FR3589" s="5" t="s">
        <v>240</v>
      </c>
      <c r="FS3589" s="5" t="s">
        <v>240</v>
      </c>
      <c r="FT3589" s="5" t="s">
        <v>240</v>
      </c>
      <c r="FU3589" s="5" t="s">
        <v>240</v>
      </c>
      <c r="FV3589" s="5" t="s">
        <v>240</v>
      </c>
      <c r="FW3589" s="5" t="s">
        <v>240</v>
      </c>
      <c r="FX3589" s="5" t="s">
        <v>240</v>
      </c>
      <c r="FY3589" s="5" t="s">
        <v>240</v>
      </c>
      <c r="FZ3589" s="5" t="s">
        <v>240</v>
      </c>
      <c r="GA3589" s="5" t="s">
        <v>240</v>
      </c>
      <c r="GB3589" s="5" t="s">
        <v>240</v>
      </c>
      <c r="GC3589" s="5" t="s">
        <v>240</v>
      </c>
      <c r="GD3589" s="5" t="s">
        <v>240</v>
      </c>
      <c r="GE3589" s="5" t="s">
        <v>240</v>
      </c>
      <c r="GF3589" s="5" t="s">
        <v>240</v>
      </c>
      <c r="GG3589" s="5" t="s">
        <v>240</v>
      </c>
      <c r="GH3589" s="5" t="s">
        <v>240</v>
      </c>
      <c r="GI3589" s="5" t="s">
        <v>240</v>
      </c>
      <c r="GJ3589" s="5" t="s">
        <v>240</v>
      </c>
      <c r="GK3589" s="5" t="s">
        <v>240</v>
      </c>
      <c r="GL3589" s="5" t="s">
        <v>240</v>
      </c>
      <c r="GM3589" s="5" t="s">
        <v>240</v>
      </c>
      <c r="GN3589" s="5" t="s">
        <v>240</v>
      </c>
      <c r="GO3589" s="5" t="s">
        <v>240</v>
      </c>
      <c r="GP3589" s="5" t="s">
        <v>240</v>
      </c>
      <c r="GQ3589" s="5" t="s">
        <v>240</v>
      </c>
      <c r="GR3589" s="5" t="s">
        <v>240</v>
      </c>
      <c r="GS3589" s="5" t="s">
        <v>240</v>
      </c>
      <c r="GT3589" s="5" t="s">
        <v>240</v>
      </c>
      <c r="GU3589" s="5" t="s">
        <v>240</v>
      </c>
      <c r="GV3589" s="5" t="s">
        <v>240</v>
      </c>
      <c r="GW3589" s="5" t="s">
        <v>240</v>
      </c>
      <c r="GX3589" s="5" t="s">
        <v>240</v>
      </c>
      <c r="GY3589" s="5" t="s">
        <v>240</v>
      </c>
      <c r="GZ3589" s="5" t="s">
        <v>240</v>
      </c>
      <c r="HA3589" s="5" t="s">
        <v>240</v>
      </c>
      <c r="HB3589" s="5" t="s">
        <v>240</v>
      </c>
      <c r="HC3589" s="5" t="s">
        <v>240</v>
      </c>
      <c r="HD3589" s="5" t="s">
        <v>240</v>
      </c>
      <c r="HE3589" s="5" t="s">
        <v>240</v>
      </c>
      <c r="HF3589" s="5" t="s">
        <v>240</v>
      </c>
      <c r="HG3589" s="5" t="s">
        <v>240</v>
      </c>
      <c r="HH3589" s="5" t="s">
        <v>240</v>
      </c>
      <c r="HI3589" s="5" t="s">
        <v>240</v>
      </c>
      <c r="HJ3589" s="5" t="s">
        <v>240</v>
      </c>
      <c r="HK3589" s="5" t="s">
        <v>240</v>
      </c>
      <c r="HL3589" s="5" t="s">
        <v>240</v>
      </c>
      <c r="HM3589" s="5" t="s">
        <v>240</v>
      </c>
      <c r="HN3589" s="5" t="s">
        <v>240</v>
      </c>
      <c r="HO3589" s="5" t="s">
        <v>312</v>
      </c>
      <c r="HP3589" s="5" t="s">
        <v>240</v>
      </c>
      <c r="HQ3589" s="5" t="s">
        <v>240</v>
      </c>
      <c r="HR3589" s="5" t="s">
        <v>240</v>
      </c>
      <c r="HS3589" s="5" t="s">
        <v>240</v>
      </c>
      <c r="HT3589" s="5" t="s">
        <v>240</v>
      </c>
      <c r="HU3589" s="5" t="s">
        <v>240</v>
      </c>
      <c r="HV3589" s="5" t="s">
        <v>240</v>
      </c>
      <c r="HW3589" s="5" t="s">
        <v>240</v>
      </c>
      <c r="HX3589" s="5" t="s">
        <v>240</v>
      </c>
      <c r="HY3589" s="5" t="s">
        <v>240</v>
      </c>
      <c r="HZ3589" s="5" t="s">
        <v>240</v>
      </c>
      <c r="IA3589" s="5" t="s">
        <v>240</v>
      </c>
      <c r="IB3589" s="5" t="s">
        <v>240</v>
      </c>
      <c r="IC3589" s="5" t="s">
        <v>240</v>
      </c>
      <c r="ID3589" s="5" t="s">
        <v>240</v>
      </c>
      <c r="IE3589" s="5" t="s">
        <v>240</v>
      </c>
      <c r="IF3589" s="5" t="s">
        <v>240</v>
      </c>
    </row>
    <row r="3590" spans="1:240" x14ac:dyDescent="0.4">
      <c r="A3590" s="5">
        <v>9132</v>
      </c>
      <c r="B3590" s="5">
        <v>1</v>
      </c>
      <c r="C3590" s="5">
        <v>1</v>
      </c>
      <c r="D3590" s="5" t="s">
        <v>723</v>
      </c>
      <c r="E3590" s="5" t="s">
        <v>725</v>
      </c>
      <c r="F3590" s="5" t="s">
        <v>254</v>
      </c>
      <c r="G3590" s="5" t="s">
        <v>726</v>
      </c>
      <c r="H3590" s="6" t="s">
        <v>5771</v>
      </c>
      <c r="I3590" s="5" t="s">
        <v>5770</v>
      </c>
      <c r="J3590" s="7">
        <f>1</f>
        <v>1</v>
      </c>
      <c r="K3590" s="5" t="s">
        <v>3682</v>
      </c>
      <c r="L3590" s="7">
        <f>1</f>
        <v>1</v>
      </c>
      <c r="M3590" s="7">
        <f>1</f>
        <v>1</v>
      </c>
      <c r="N3590" s="5" t="s">
        <v>242</v>
      </c>
      <c r="O3590" s="5">
        <v>1</v>
      </c>
      <c r="P3590" s="5" t="s">
        <v>294</v>
      </c>
      <c r="Q3590" s="5" t="s">
        <v>3678</v>
      </c>
      <c r="R3590" s="5" t="s">
        <v>240</v>
      </c>
      <c r="S3590" s="5" t="s">
        <v>240</v>
      </c>
      <c r="T3590" s="5" t="s">
        <v>243</v>
      </c>
      <c r="U3590" s="5" t="s">
        <v>244</v>
      </c>
      <c r="V3590" s="5" t="s">
        <v>240</v>
      </c>
      <c r="W3590" s="5" t="s">
        <v>240</v>
      </c>
      <c r="X3590" s="5" t="s">
        <v>240</v>
      </c>
      <c r="Y3590" s="5" t="s">
        <v>240</v>
      </c>
      <c r="Z3590" s="6" t="s">
        <v>298</v>
      </c>
      <c r="AA3590" s="6" t="s">
        <v>240</v>
      </c>
      <c r="AB3590" s="6" t="s">
        <v>240</v>
      </c>
      <c r="AC3590" s="5" t="s">
        <v>240</v>
      </c>
      <c r="AD3590" s="6" t="s">
        <v>240</v>
      </c>
      <c r="AE3590" s="6" t="s">
        <v>299</v>
      </c>
      <c r="AF3590" s="5" t="s">
        <v>248</v>
      </c>
      <c r="AG3590" s="5" t="s">
        <v>249</v>
      </c>
      <c r="AH3590" s="5" t="s">
        <v>240</v>
      </c>
      <c r="AI3590" s="5" t="s">
        <v>240</v>
      </c>
      <c r="AJ3590" s="5" t="s">
        <v>240</v>
      </c>
      <c r="AK3590" s="5" t="s">
        <v>240</v>
      </c>
      <c r="AL3590" s="5" t="s">
        <v>240</v>
      </c>
      <c r="AM3590" s="5" t="s">
        <v>240</v>
      </c>
      <c r="AN3590" s="5" t="s">
        <v>240</v>
      </c>
      <c r="AO3590" s="5" t="s">
        <v>240</v>
      </c>
      <c r="AP3590" s="6" t="s">
        <v>240</v>
      </c>
      <c r="AQ3590" s="6" t="s">
        <v>240</v>
      </c>
      <c r="AR3590" s="6" t="s">
        <v>240</v>
      </c>
      <c r="AS3590" s="6" t="s">
        <v>240</v>
      </c>
      <c r="AT3590" s="5" t="s">
        <v>240</v>
      </c>
      <c r="AU3590" s="5" t="s">
        <v>729</v>
      </c>
      <c r="AV3590" s="5" t="s">
        <v>729</v>
      </c>
      <c r="AW3590" s="5" t="s">
        <v>251</v>
      </c>
      <c r="AX3590" s="5" t="s">
        <v>252</v>
      </c>
      <c r="AY3590" s="5" t="s">
        <v>253</v>
      </c>
      <c r="AZ3590" s="5" t="s">
        <v>240</v>
      </c>
      <c r="BA3590" s="5" t="s">
        <v>255</v>
      </c>
      <c r="BB3590" s="5" t="s">
        <v>731</v>
      </c>
      <c r="BD3590" s="5" t="s">
        <v>240</v>
      </c>
      <c r="BF3590" s="5" t="s">
        <v>732</v>
      </c>
      <c r="BG3590" s="6" t="s">
        <v>733</v>
      </c>
      <c r="BH3590" s="5" t="s">
        <v>734</v>
      </c>
      <c r="BI3590" s="5" t="s">
        <v>734</v>
      </c>
      <c r="BJ3590" s="5" t="s">
        <v>240</v>
      </c>
      <c r="BK3590" s="7">
        <f>1</f>
        <v>1</v>
      </c>
      <c r="BL3590" s="7">
        <f>1</f>
        <v>1</v>
      </c>
      <c r="BM3590" s="5" t="s">
        <v>258</v>
      </c>
      <c r="BN3590" s="5" t="s">
        <v>259</v>
      </c>
      <c r="BO3590" s="5" t="s">
        <v>240</v>
      </c>
      <c r="BP3590" s="5" t="s">
        <v>240</v>
      </c>
      <c r="BQ3590" s="5" t="s">
        <v>240</v>
      </c>
      <c r="BR3590" s="5" t="s">
        <v>240</v>
      </c>
      <c r="BS3590" s="5" t="s">
        <v>240</v>
      </c>
      <c r="BT3590" s="5" t="s">
        <v>240</v>
      </c>
      <c r="BU3590" s="5" t="s">
        <v>240</v>
      </c>
      <c r="BV3590" s="5" t="s">
        <v>240</v>
      </c>
      <c r="BW3590" s="6" t="s">
        <v>240</v>
      </c>
      <c r="BX3590" s="5" t="s">
        <v>240</v>
      </c>
      <c r="BY3590" s="5" t="s">
        <v>240</v>
      </c>
      <c r="BZ3590" s="5" t="s">
        <v>240</v>
      </c>
      <c r="CA3590" s="5" t="s">
        <v>259</v>
      </c>
      <c r="CB3590" s="5" t="s">
        <v>240</v>
      </c>
      <c r="CC3590" s="5" t="s">
        <v>240</v>
      </c>
      <c r="CD3590" s="5" t="s">
        <v>240</v>
      </c>
      <c r="CE3590" s="5" t="s">
        <v>240</v>
      </c>
      <c r="CF3590" s="5" t="s">
        <v>240</v>
      </c>
      <c r="CG3590" s="5" t="s">
        <v>304</v>
      </c>
      <c r="CH3590" s="5" t="s">
        <v>305</v>
      </c>
      <c r="CI3590" s="5" t="s">
        <v>240</v>
      </c>
      <c r="CK3590" s="5" t="s">
        <v>3681</v>
      </c>
      <c r="CL3590" s="6" t="s">
        <v>261</v>
      </c>
      <c r="CM3590" s="5" t="s">
        <v>262</v>
      </c>
      <c r="CN3590" s="5" t="s">
        <v>263</v>
      </c>
      <c r="CO3590" s="5" t="s">
        <v>264</v>
      </c>
      <c r="CP3590" s="5" t="s">
        <v>240</v>
      </c>
      <c r="CQ3590" s="5">
        <v>0</v>
      </c>
      <c r="CR3590" s="5" t="s">
        <v>735</v>
      </c>
      <c r="CS3590" s="5" t="s">
        <v>307</v>
      </c>
      <c r="CT3590" s="5" t="s">
        <v>307</v>
      </c>
      <c r="CU3590" s="5" t="s">
        <v>260</v>
      </c>
      <c r="CV3590" s="5" t="s">
        <v>612</v>
      </c>
      <c r="CW3590" s="8">
        <f>1</f>
        <v>1</v>
      </c>
      <c r="CX3590" s="7">
        <f>1</f>
        <v>1</v>
      </c>
      <c r="CY3590" s="7">
        <f>0</f>
        <v>0</v>
      </c>
      <c r="DA3590" s="7">
        <f>1</f>
        <v>1</v>
      </c>
      <c r="DB3590" s="7" t="s">
        <v>240</v>
      </c>
      <c r="DC3590" s="5" t="s">
        <v>240</v>
      </c>
      <c r="DD3590" s="5" t="s">
        <v>240</v>
      </c>
      <c r="DE3590" s="5" t="s">
        <v>240</v>
      </c>
      <c r="DF3590" s="5" t="s">
        <v>240</v>
      </c>
      <c r="DG3590" s="7">
        <f>0</f>
        <v>0</v>
      </c>
      <c r="DI3590" s="5" t="s">
        <v>240</v>
      </c>
      <c r="DJ3590" s="5" t="s">
        <v>240</v>
      </c>
      <c r="DK3590" s="5" t="s">
        <v>240</v>
      </c>
      <c r="DL3590" s="5" t="s">
        <v>240</v>
      </c>
      <c r="DM3590" s="5" t="s">
        <v>240</v>
      </c>
      <c r="DN3590" s="5" t="s">
        <v>240</v>
      </c>
      <c r="DO3590" s="7" t="s">
        <v>240</v>
      </c>
      <c r="DP3590" s="5" t="s">
        <v>240</v>
      </c>
      <c r="DQ3590" s="5" t="s">
        <v>240</v>
      </c>
      <c r="DR3590" s="5" t="s">
        <v>731</v>
      </c>
      <c r="DS3590" s="5" t="s">
        <v>731</v>
      </c>
      <c r="DT3590" s="5" t="s">
        <v>240</v>
      </c>
      <c r="DU3590" s="5" t="s">
        <v>240</v>
      </c>
      <c r="DV3590" s="5" t="s">
        <v>3683</v>
      </c>
      <c r="DW3590" s="5" t="s">
        <v>1206</v>
      </c>
      <c r="DX3590" s="5" t="s">
        <v>240</v>
      </c>
      <c r="DY3590" s="5" t="s">
        <v>240</v>
      </c>
      <c r="DZ3590" s="5" t="s">
        <v>240</v>
      </c>
      <c r="EA3590" s="5" t="s">
        <v>240</v>
      </c>
      <c r="EB3590" s="5" t="s">
        <v>240</v>
      </c>
      <c r="EC3590" s="5" t="s">
        <v>240</v>
      </c>
      <c r="ED3590" s="5" t="s">
        <v>240</v>
      </c>
      <c r="EE3590" s="5" t="s">
        <v>240</v>
      </c>
      <c r="EF3590" s="5" t="s">
        <v>240</v>
      </c>
      <c r="EG3590" s="5" t="s">
        <v>240</v>
      </c>
      <c r="EH3590" s="5" t="s">
        <v>240</v>
      </c>
      <c r="EI3590" s="5" t="s">
        <v>240</v>
      </c>
      <c r="EJ3590" s="5" t="s">
        <v>240</v>
      </c>
      <c r="EK3590" s="5" t="s">
        <v>240</v>
      </c>
      <c r="EL3590" s="5" t="s">
        <v>240</v>
      </c>
      <c r="EM3590" s="5" t="s">
        <v>240</v>
      </c>
      <c r="EN3590" s="5" t="s">
        <v>240</v>
      </c>
      <c r="EO3590" s="5" t="s">
        <v>240</v>
      </c>
      <c r="EP3590" s="5" t="s">
        <v>240</v>
      </c>
      <c r="EQ3590" s="5" t="s">
        <v>240</v>
      </c>
      <c r="ER3590" s="5" t="s">
        <v>240</v>
      </c>
      <c r="ES3590" s="5" t="s">
        <v>240</v>
      </c>
      <c r="ET3590" s="5" t="s">
        <v>240</v>
      </c>
      <c r="EU3590" s="5" t="s">
        <v>240</v>
      </c>
      <c r="EV3590" s="5" t="s">
        <v>240</v>
      </c>
      <c r="EW3590" s="5" t="s">
        <v>240</v>
      </c>
      <c r="EX3590" s="5" t="s">
        <v>240</v>
      </c>
      <c r="EY3590" s="5" t="s">
        <v>240</v>
      </c>
      <c r="EZ3590" s="5" t="s">
        <v>240</v>
      </c>
      <c r="FA3590" s="5" t="s">
        <v>240</v>
      </c>
      <c r="FB3590" s="5" t="s">
        <v>240</v>
      </c>
      <c r="FC3590" s="5" t="s">
        <v>240</v>
      </c>
      <c r="FD3590" s="5" t="s">
        <v>240</v>
      </c>
      <c r="FE3590" s="5" t="s">
        <v>240</v>
      </c>
      <c r="FF3590" s="5" t="s">
        <v>240</v>
      </c>
      <c r="FG3590" s="5" t="s">
        <v>240</v>
      </c>
      <c r="FH3590" s="5" t="s">
        <v>240</v>
      </c>
      <c r="FI3590" s="5" t="s">
        <v>240</v>
      </c>
      <c r="FJ3590" s="5" t="s">
        <v>240</v>
      </c>
      <c r="FK3590" s="5" t="s">
        <v>240</v>
      </c>
      <c r="FL3590" s="5" t="s">
        <v>240</v>
      </c>
      <c r="FM3590" s="5" t="s">
        <v>240</v>
      </c>
      <c r="FN3590" s="5" t="s">
        <v>240</v>
      </c>
      <c r="FO3590" s="5" t="s">
        <v>240</v>
      </c>
      <c r="FP3590" s="5" t="s">
        <v>240</v>
      </c>
      <c r="FQ3590" s="5" t="s">
        <v>240</v>
      </c>
      <c r="FR3590" s="5" t="s">
        <v>240</v>
      </c>
      <c r="FS3590" s="5" t="s">
        <v>240</v>
      </c>
      <c r="FT3590" s="5" t="s">
        <v>240</v>
      </c>
      <c r="FU3590" s="5" t="s">
        <v>240</v>
      </c>
      <c r="FV3590" s="5" t="s">
        <v>240</v>
      </c>
      <c r="FW3590" s="5" t="s">
        <v>240</v>
      </c>
      <c r="FX3590" s="5" t="s">
        <v>240</v>
      </c>
      <c r="FY3590" s="5" t="s">
        <v>240</v>
      </c>
      <c r="FZ3590" s="5" t="s">
        <v>240</v>
      </c>
      <c r="GA3590" s="5" t="s">
        <v>240</v>
      </c>
      <c r="GB3590" s="5" t="s">
        <v>240</v>
      </c>
      <c r="GC3590" s="5" t="s">
        <v>240</v>
      </c>
      <c r="GD3590" s="5" t="s">
        <v>240</v>
      </c>
      <c r="GE3590" s="5" t="s">
        <v>240</v>
      </c>
      <c r="GF3590" s="5" t="s">
        <v>240</v>
      </c>
      <c r="GG3590" s="5" t="s">
        <v>240</v>
      </c>
      <c r="GH3590" s="5" t="s">
        <v>240</v>
      </c>
      <c r="GI3590" s="5" t="s">
        <v>240</v>
      </c>
      <c r="GJ3590" s="5" t="s">
        <v>240</v>
      </c>
      <c r="GK3590" s="5" t="s">
        <v>240</v>
      </c>
      <c r="GL3590" s="5" t="s">
        <v>240</v>
      </c>
      <c r="GM3590" s="5" t="s">
        <v>240</v>
      </c>
      <c r="GN3590" s="5" t="s">
        <v>240</v>
      </c>
      <c r="GO3590" s="5" t="s">
        <v>240</v>
      </c>
      <c r="GP3590" s="5" t="s">
        <v>240</v>
      </c>
      <c r="GQ3590" s="5" t="s">
        <v>240</v>
      </c>
      <c r="GR3590" s="5" t="s">
        <v>240</v>
      </c>
      <c r="GS3590" s="5" t="s">
        <v>240</v>
      </c>
      <c r="GT3590" s="5" t="s">
        <v>240</v>
      </c>
      <c r="GU3590" s="5" t="s">
        <v>240</v>
      </c>
      <c r="GV3590" s="5" t="s">
        <v>240</v>
      </c>
      <c r="GW3590" s="5" t="s">
        <v>240</v>
      </c>
      <c r="GX3590" s="5" t="s">
        <v>240</v>
      </c>
      <c r="GY3590" s="5" t="s">
        <v>240</v>
      </c>
      <c r="GZ3590" s="5" t="s">
        <v>240</v>
      </c>
      <c r="HA3590" s="5" t="s">
        <v>240</v>
      </c>
      <c r="HB3590" s="5" t="s">
        <v>240</v>
      </c>
      <c r="HC3590" s="5" t="s">
        <v>240</v>
      </c>
      <c r="HD3590" s="5" t="s">
        <v>240</v>
      </c>
      <c r="HE3590" s="5" t="s">
        <v>240</v>
      </c>
      <c r="HF3590" s="5" t="s">
        <v>240</v>
      </c>
      <c r="HG3590" s="5" t="s">
        <v>240</v>
      </c>
      <c r="HH3590" s="5" t="s">
        <v>240</v>
      </c>
      <c r="HI3590" s="5" t="s">
        <v>240</v>
      </c>
      <c r="HJ3590" s="5" t="s">
        <v>240</v>
      </c>
      <c r="HK3590" s="5" t="s">
        <v>240</v>
      </c>
      <c r="HL3590" s="5" t="s">
        <v>240</v>
      </c>
      <c r="HM3590" s="5" t="s">
        <v>240</v>
      </c>
      <c r="HN3590" s="5" t="s">
        <v>240</v>
      </c>
      <c r="HO3590" s="5" t="s">
        <v>312</v>
      </c>
      <c r="HP3590" s="5" t="s">
        <v>240</v>
      </c>
      <c r="HQ3590" s="5" t="s">
        <v>240</v>
      </c>
      <c r="HR3590" s="5" t="s">
        <v>240</v>
      </c>
      <c r="HS3590" s="5" t="s">
        <v>240</v>
      </c>
      <c r="HT3590" s="5" t="s">
        <v>240</v>
      </c>
      <c r="HU3590" s="5" t="s">
        <v>240</v>
      </c>
      <c r="HV3590" s="5" t="s">
        <v>240</v>
      </c>
      <c r="HW3590" s="5" t="s">
        <v>240</v>
      </c>
      <c r="HX3590" s="5" t="s">
        <v>240</v>
      </c>
      <c r="HY3590" s="5" t="s">
        <v>240</v>
      </c>
      <c r="HZ3590" s="5" t="s">
        <v>240</v>
      </c>
      <c r="IA3590" s="5" t="s">
        <v>240</v>
      </c>
      <c r="IB3590" s="5" t="s">
        <v>240</v>
      </c>
      <c r="IC3590" s="5" t="s">
        <v>240</v>
      </c>
      <c r="ID3590" s="5" t="s">
        <v>240</v>
      </c>
      <c r="IE3590" s="5" t="s">
        <v>240</v>
      </c>
      <c r="IF3590" s="5" t="s">
        <v>240</v>
      </c>
    </row>
    <row r="3591" spans="1:240" x14ac:dyDescent="0.4">
      <c r="A3591" s="5">
        <v>9133</v>
      </c>
      <c r="B3591" s="5">
        <v>1</v>
      </c>
      <c r="C3591" s="5">
        <v>1</v>
      </c>
      <c r="D3591" s="5" t="s">
        <v>723</v>
      </c>
      <c r="E3591" s="5" t="s">
        <v>725</v>
      </c>
      <c r="F3591" s="5" t="s">
        <v>254</v>
      </c>
      <c r="G3591" s="5" t="s">
        <v>726</v>
      </c>
      <c r="H3591" s="6" t="s">
        <v>6423</v>
      </c>
      <c r="I3591" s="5" t="s">
        <v>6422</v>
      </c>
      <c r="J3591" s="7">
        <f>1</f>
        <v>1</v>
      </c>
      <c r="K3591" s="5" t="s">
        <v>3682</v>
      </c>
      <c r="L3591" s="7">
        <f>1</f>
        <v>1</v>
      </c>
      <c r="M3591" s="7">
        <f>1</f>
        <v>1</v>
      </c>
      <c r="N3591" s="5" t="s">
        <v>242</v>
      </c>
      <c r="O3591" s="5">
        <v>1</v>
      </c>
      <c r="P3591" s="5" t="s">
        <v>294</v>
      </c>
      <c r="Q3591" s="5" t="s">
        <v>613</v>
      </c>
      <c r="R3591" s="5" t="s">
        <v>240</v>
      </c>
      <c r="S3591" s="5" t="s">
        <v>240</v>
      </c>
      <c r="T3591" s="5" t="s">
        <v>243</v>
      </c>
      <c r="U3591" s="5" t="s">
        <v>724</v>
      </c>
      <c r="V3591" s="5" t="s">
        <v>240</v>
      </c>
      <c r="W3591" s="5" t="s">
        <v>240</v>
      </c>
      <c r="X3591" s="5" t="s">
        <v>240</v>
      </c>
      <c r="Y3591" s="5" t="s">
        <v>240</v>
      </c>
      <c r="Z3591" s="6" t="s">
        <v>298</v>
      </c>
      <c r="AA3591" s="6" t="s">
        <v>240</v>
      </c>
      <c r="AB3591" s="6" t="s">
        <v>240</v>
      </c>
      <c r="AC3591" s="5" t="s">
        <v>240</v>
      </c>
      <c r="AD3591" s="6" t="s">
        <v>240</v>
      </c>
      <c r="AE3591" s="6" t="s">
        <v>299</v>
      </c>
      <c r="AF3591" s="5" t="s">
        <v>727</v>
      </c>
      <c r="AG3591" s="5" t="s">
        <v>260</v>
      </c>
      <c r="AH3591" s="5" t="s">
        <v>240</v>
      </c>
      <c r="AI3591" s="5" t="s">
        <v>240</v>
      </c>
      <c r="AJ3591" s="5" t="s">
        <v>240</v>
      </c>
      <c r="AK3591" s="5" t="s">
        <v>240</v>
      </c>
      <c r="AL3591" s="5" t="s">
        <v>240</v>
      </c>
      <c r="AM3591" s="5" t="s">
        <v>240</v>
      </c>
      <c r="AN3591" s="5" t="s">
        <v>240</v>
      </c>
      <c r="AO3591" s="5" t="s">
        <v>240</v>
      </c>
      <c r="AP3591" s="6" t="s">
        <v>240</v>
      </c>
      <c r="AQ3591" s="6" t="s">
        <v>240</v>
      </c>
      <c r="AR3591" s="6" t="s">
        <v>240</v>
      </c>
      <c r="AS3591" s="6" t="s">
        <v>240</v>
      </c>
      <c r="AT3591" s="5" t="s">
        <v>240</v>
      </c>
      <c r="AU3591" s="5" t="s">
        <v>729</v>
      </c>
      <c r="AV3591" s="5" t="s">
        <v>729</v>
      </c>
      <c r="AW3591" s="5" t="s">
        <v>251</v>
      </c>
      <c r="AX3591" s="5" t="s">
        <v>252</v>
      </c>
      <c r="AY3591" s="5" t="s">
        <v>253</v>
      </c>
      <c r="AZ3591" s="5" t="s">
        <v>240</v>
      </c>
      <c r="BA3591" s="5" t="s">
        <v>255</v>
      </c>
      <c r="BB3591" s="5" t="s">
        <v>731</v>
      </c>
      <c r="BD3591" s="5" t="s">
        <v>240</v>
      </c>
      <c r="BF3591" s="5" t="s">
        <v>732</v>
      </c>
      <c r="BG3591" s="6" t="s">
        <v>733</v>
      </c>
      <c r="BH3591" s="5" t="s">
        <v>734</v>
      </c>
      <c r="BI3591" s="5" t="s">
        <v>734</v>
      </c>
      <c r="BJ3591" s="5" t="s">
        <v>240</v>
      </c>
      <c r="BK3591" s="8">
        <f>99.17</f>
        <v>99.17</v>
      </c>
      <c r="BL3591" s="7">
        <f>0</f>
        <v>0</v>
      </c>
      <c r="BM3591" s="5" t="s">
        <v>258</v>
      </c>
      <c r="BN3591" s="5" t="s">
        <v>259</v>
      </c>
      <c r="BO3591" s="5" t="s">
        <v>240</v>
      </c>
      <c r="BP3591" s="5" t="s">
        <v>240</v>
      </c>
      <c r="BQ3591" s="5" t="s">
        <v>240</v>
      </c>
      <c r="BR3591" s="5" t="s">
        <v>240</v>
      </c>
      <c r="BS3591" s="5" t="s">
        <v>240</v>
      </c>
      <c r="BT3591" s="5" t="s">
        <v>240</v>
      </c>
      <c r="BU3591" s="5" t="s">
        <v>240</v>
      </c>
      <c r="BV3591" s="5" t="s">
        <v>240</v>
      </c>
      <c r="BW3591" s="6" t="s">
        <v>240</v>
      </c>
      <c r="BX3591" s="5" t="s">
        <v>240</v>
      </c>
      <c r="BY3591" s="5" t="s">
        <v>240</v>
      </c>
      <c r="BZ3591" s="5" t="s">
        <v>240</v>
      </c>
      <c r="CA3591" s="5" t="s">
        <v>259</v>
      </c>
      <c r="CB3591" s="5" t="s">
        <v>240</v>
      </c>
      <c r="CC3591" s="5" t="s">
        <v>240</v>
      </c>
      <c r="CD3591" s="5" t="s">
        <v>240</v>
      </c>
      <c r="CE3591" s="5" t="s">
        <v>240</v>
      </c>
      <c r="CF3591" s="5" t="s">
        <v>240</v>
      </c>
      <c r="CG3591" s="5" t="s">
        <v>617</v>
      </c>
      <c r="CH3591" s="5" t="s">
        <v>305</v>
      </c>
      <c r="CI3591" s="5" t="s">
        <v>240</v>
      </c>
      <c r="CL3591" s="6" t="s">
        <v>261</v>
      </c>
      <c r="CM3591" s="5" t="s">
        <v>262</v>
      </c>
      <c r="CN3591" s="5" t="s">
        <v>263</v>
      </c>
      <c r="CO3591" s="5" t="s">
        <v>264</v>
      </c>
      <c r="CP3591" s="5" t="s">
        <v>240</v>
      </c>
      <c r="CQ3591" s="5">
        <v>0</v>
      </c>
      <c r="CR3591" s="5" t="s">
        <v>735</v>
      </c>
      <c r="CS3591" s="5" t="s">
        <v>307</v>
      </c>
      <c r="CT3591" s="5" t="s">
        <v>307</v>
      </c>
      <c r="CU3591" s="5" t="s">
        <v>260</v>
      </c>
      <c r="CV3591" s="5" t="s">
        <v>240</v>
      </c>
      <c r="CW3591" s="8">
        <f>0</f>
        <v>0</v>
      </c>
      <c r="CX3591" s="7">
        <f>0</f>
        <v>0</v>
      </c>
      <c r="CY3591" s="7">
        <f>0</f>
        <v>0</v>
      </c>
      <c r="DA3591" s="7">
        <f>1090</f>
        <v>1090</v>
      </c>
      <c r="DB3591" s="7" t="s">
        <v>240</v>
      </c>
      <c r="DC3591" s="5" t="s">
        <v>240</v>
      </c>
      <c r="DD3591" s="5" t="s">
        <v>240</v>
      </c>
      <c r="DE3591" s="5" t="s">
        <v>240</v>
      </c>
      <c r="DF3591" s="5" t="s">
        <v>450</v>
      </c>
      <c r="DG3591" s="7">
        <f>0</f>
        <v>0</v>
      </c>
      <c r="DI3591" s="5" t="s">
        <v>737</v>
      </c>
      <c r="DJ3591" s="5" t="s">
        <v>240</v>
      </c>
      <c r="DK3591" s="5" t="s">
        <v>240</v>
      </c>
      <c r="DL3591" s="5" t="s">
        <v>240</v>
      </c>
      <c r="DM3591" s="5" t="s">
        <v>240</v>
      </c>
      <c r="DN3591" s="5" t="s">
        <v>240</v>
      </c>
      <c r="DO3591" s="7" t="s">
        <v>240</v>
      </c>
      <c r="DP3591" s="5" t="s">
        <v>240</v>
      </c>
      <c r="DQ3591" s="5" t="s">
        <v>240</v>
      </c>
      <c r="DR3591" s="5" t="s">
        <v>731</v>
      </c>
      <c r="DS3591" s="5" t="s">
        <v>731</v>
      </c>
      <c r="DT3591" s="5" t="s">
        <v>240</v>
      </c>
      <c r="DU3591" s="5" t="s">
        <v>240</v>
      </c>
      <c r="DV3591" s="5" t="s">
        <v>738</v>
      </c>
      <c r="DW3591" s="5" t="s">
        <v>643</v>
      </c>
      <c r="DX3591" s="5" t="s">
        <v>240</v>
      </c>
      <c r="DY3591" s="5" t="s">
        <v>240</v>
      </c>
      <c r="DZ3591" s="5" t="s">
        <v>240</v>
      </c>
      <c r="EA3591" s="5" t="s">
        <v>240</v>
      </c>
      <c r="EB3591" s="5" t="s">
        <v>240</v>
      </c>
      <c r="EC3591" s="5" t="s">
        <v>240</v>
      </c>
      <c r="ED3591" s="5" t="s">
        <v>240</v>
      </c>
      <c r="EE3591" s="5" t="s">
        <v>240</v>
      </c>
      <c r="EF3591" s="5" t="s">
        <v>240</v>
      </c>
      <c r="EG3591" s="5" t="s">
        <v>240</v>
      </c>
      <c r="EH3591" s="5" t="s">
        <v>240</v>
      </c>
      <c r="EI3591" s="5" t="s">
        <v>240</v>
      </c>
      <c r="EJ3591" s="5" t="s">
        <v>240</v>
      </c>
      <c r="EK3591" s="5" t="s">
        <v>240</v>
      </c>
      <c r="EL3591" s="5" t="s">
        <v>240</v>
      </c>
      <c r="EM3591" s="5" t="s">
        <v>240</v>
      </c>
      <c r="EN3591" s="5" t="s">
        <v>240</v>
      </c>
      <c r="EO3591" s="5" t="s">
        <v>240</v>
      </c>
      <c r="EP3591" s="5" t="s">
        <v>240</v>
      </c>
      <c r="EQ3591" s="5" t="s">
        <v>240</v>
      </c>
      <c r="ER3591" s="5" t="s">
        <v>240</v>
      </c>
      <c r="ES3591" s="5" t="s">
        <v>240</v>
      </c>
      <c r="ET3591" s="5" t="s">
        <v>240</v>
      </c>
      <c r="EU3591" s="5" t="s">
        <v>240</v>
      </c>
      <c r="EV3591" s="5" t="s">
        <v>240</v>
      </c>
      <c r="EW3591" s="5" t="s">
        <v>240</v>
      </c>
      <c r="EX3591" s="5" t="s">
        <v>240</v>
      </c>
      <c r="EY3591" s="5" t="s">
        <v>240</v>
      </c>
      <c r="EZ3591" s="5" t="s">
        <v>240</v>
      </c>
      <c r="FA3591" s="5" t="s">
        <v>240</v>
      </c>
      <c r="FB3591" s="5" t="s">
        <v>240</v>
      </c>
      <c r="FC3591" s="5" t="s">
        <v>240</v>
      </c>
      <c r="FD3591" s="5" t="s">
        <v>240</v>
      </c>
      <c r="FE3591" s="5" t="s">
        <v>240</v>
      </c>
      <c r="FF3591" s="5" t="s">
        <v>240</v>
      </c>
      <c r="FG3591" s="5" t="s">
        <v>240</v>
      </c>
      <c r="FH3591" s="5" t="s">
        <v>240</v>
      </c>
      <c r="FI3591" s="5" t="s">
        <v>240</v>
      </c>
      <c r="FJ3591" s="5" t="s">
        <v>240</v>
      </c>
      <c r="FK3591" s="5" t="s">
        <v>240</v>
      </c>
      <c r="FL3591" s="5" t="s">
        <v>240</v>
      </c>
      <c r="FM3591" s="5" t="s">
        <v>240</v>
      </c>
      <c r="FN3591" s="5" t="s">
        <v>240</v>
      </c>
      <c r="FO3591" s="5" t="s">
        <v>240</v>
      </c>
      <c r="FP3591" s="5" t="s">
        <v>240</v>
      </c>
      <c r="FQ3591" s="5" t="s">
        <v>240</v>
      </c>
      <c r="FR3591" s="5" t="s">
        <v>240</v>
      </c>
      <c r="FS3591" s="5" t="s">
        <v>240</v>
      </c>
      <c r="FT3591" s="5" t="s">
        <v>240</v>
      </c>
      <c r="FU3591" s="5" t="s">
        <v>240</v>
      </c>
      <c r="FV3591" s="5" t="s">
        <v>240</v>
      </c>
      <c r="FW3591" s="5" t="s">
        <v>240</v>
      </c>
      <c r="FX3591" s="5" t="s">
        <v>240</v>
      </c>
      <c r="FY3591" s="5" t="s">
        <v>240</v>
      </c>
      <c r="FZ3591" s="5" t="s">
        <v>240</v>
      </c>
      <c r="GA3591" s="5" t="s">
        <v>240</v>
      </c>
      <c r="GB3591" s="5" t="s">
        <v>240</v>
      </c>
      <c r="GC3591" s="5" t="s">
        <v>240</v>
      </c>
      <c r="GD3591" s="5" t="s">
        <v>240</v>
      </c>
      <c r="GE3591" s="5" t="s">
        <v>240</v>
      </c>
      <c r="GF3591" s="5" t="s">
        <v>240</v>
      </c>
      <c r="GG3591" s="5" t="s">
        <v>240</v>
      </c>
      <c r="GH3591" s="5" t="s">
        <v>240</v>
      </c>
      <c r="GI3591" s="5" t="s">
        <v>240</v>
      </c>
      <c r="GJ3591" s="5" t="s">
        <v>240</v>
      </c>
      <c r="GK3591" s="5" t="s">
        <v>240</v>
      </c>
      <c r="GL3591" s="5" t="s">
        <v>240</v>
      </c>
      <c r="GM3591" s="5" t="s">
        <v>240</v>
      </c>
      <c r="GN3591" s="5" t="s">
        <v>240</v>
      </c>
      <c r="GO3591" s="5" t="s">
        <v>240</v>
      </c>
      <c r="GP3591" s="5" t="s">
        <v>240</v>
      </c>
      <c r="GQ3591" s="5" t="s">
        <v>240</v>
      </c>
      <c r="GR3591" s="5" t="s">
        <v>240</v>
      </c>
      <c r="GS3591" s="5" t="s">
        <v>240</v>
      </c>
      <c r="GT3591" s="5" t="s">
        <v>240</v>
      </c>
      <c r="GU3591" s="5" t="s">
        <v>240</v>
      </c>
      <c r="GV3591" s="5" t="s">
        <v>240</v>
      </c>
      <c r="GW3591" s="5" t="s">
        <v>240</v>
      </c>
      <c r="GX3591" s="5" t="s">
        <v>240</v>
      </c>
      <c r="GY3591" s="5" t="s">
        <v>240</v>
      </c>
      <c r="GZ3591" s="5" t="s">
        <v>240</v>
      </c>
      <c r="HA3591" s="5" t="s">
        <v>240</v>
      </c>
      <c r="HB3591" s="5" t="s">
        <v>240</v>
      </c>
      <c r="HC3591" s="5" t="s">
        <v>240</v>
      </c>
      <c r="HD3591" s="5" t="s">
        <v>240</v>
      </c>
      <c r="HE3591" s="5" t="s">
        <v>240</v>
      </c>
      <c r="HF3591" s="5" t="s">
        <v>240</v>
      </c>
      <c r="HG3591" s="5" t="s">
        <v>240</v>
      </c>
      <c r="HH3591" s="5" t="s">
        <v>240</v>
      </c>
      <c r="HI3591" s="5" t="s">
        <v>240</v>
      </c>
      <c r="HJ3591" s="5" t="s">
        <v>240</v>
      </c>
      <c r="HK3591" s="5" t="s">
        <v>240</v>
      </c>
      <c r="HL3591" s="5" t="s">
        <v>240</v>
      </c>
      <c r="HM3591" s="5" t="s">
        <v>240</v>
      </c>
      <c r="HN3591" s="5" t="s">
        <v>240</v>
      </c>
      <c r="HO3591" s="5" t="s">
        <v>620</v>
      </c>
      <c r="HP3591" s="5" t="s">
        <v>240</v>
      </c>
      <c r="HQ3591" s="5" t="s">
        <v>240</v>
      </c>
      <c r="HR3591" s="5" t="s">
        <v>240</v>
      </c>
      <c r="HS3591" s="5" t="s">
        <v>240</v>
      </c>
      <c r="HT3591" s="5" t="s">
        <v>240</v>
      </c>
      <c r="HU3591" s="5" t="s">
        <v>240</v>
      </c>
      <c r="HV3591" s="5" t="s">
        <v>240</v>
      </c>
      <c r="HW3591" s="5" t="s">
        <v>240</v>
      </c>
      <c r="HX3591" s="5" t="s">
        <v>240</v>
      </c>
      <c r="HY3591" s="5" t="s">
        <v>240</v>
      </c>
      <c r="HZ3591" s="5" t="s">
        <v>240</v>
      </c>
      <c r="IA3591" s="5" t="s">
        <v>240</v>
      </c>
      <c r="IB3591" s="5" t="s">
        <v>240</v>
      </c>
      <c r="IC3591" s="5" t="s">
        <v>240</v>
      </c>
      <c r="ID3591" s="5" t="s">
        <v>240</v>
      </c>
      <c r="IE3591" s="5" t="s">
        <v>240</v>
      </c>
      <c r="IF3591" s="5" t="s">
        <v>240</v>
      </c>
    </row>
    <row r="3592" spans="1:240" x14ac:dyDescent="0.4">
      <c r="A3592" s="5">
        <v>9134</v>
      </c>
      <c r="B3592" s="5">
        <v>1</v>
      </c>
      <c r="C3592" s="5">
        <v>1</v>
      </c>
      <c r="D3592" s="5" t="s">
        <v>723</v>
      </c>
      <c r="E3592" s="5" t="s">
        <v>725</v>
      </c>
      <c r="F3592" s="5" t="s">
        <v>254</v>
      </c>
      <c r="G3592" s="5" t="s">
        <v>726</v>
      </c>
      <c r="H3592" s="6" t="s">
        <v>5768</v>
      </c>
      <c r="I3592" s="5" t="s">
        <v>5767</v>
      </c>
      <c r="J3592" s="7">
        <f>1</f>
        <v>1</v>
      </c>
      <c r="K3592" s="5" t="s">
        <v>3682</v>
      </c>
      <c r="L3592" s="7">
        <f>1</f>
        <v>1</v>
      </c>
      <c r="M3592" s="7">
        <f>1</f>
        <v>1</v>
      </c>
      <c r="N3592" s="5" t="s">
        <v>242</v>
      </c>
      <c r="O3592" s="5">
        <v>1</v>
      </c>
      <c r="P3592" s="5" t="s">
        <v>294</v>
      </c>
      <c r="Q3592" s="5" t="s">
        <v>3678</v>
      </c>
      <c r="R3592" s="5" t="s">
        <v>240</v>
      </c>
      <c r="S3592" s="5" t="s">
        <v>240</v>
      </c>
      <c r="T3592" s="5" t="s">
        <v>243</v>
      </c>
      <c r="U3592" s="5" t="s">
        <v>244</v>
      </c>
      <c r="V3592" s="5" t="s">
        <v>240</v>
      </c>
      <c r="W3592" s="5" t="s">
        <v>240</v>
      </c>
      <c r="X3592" s="5" t="s">
        <v>240</v>
      </c>
      <c r="Y3592" s="5" t="s">
        <v>240</v>
      </c>
      <c r="Z3592" s="6" t="s">
        <v>298</v>
      </c>
      <c r="AA3592" s="6" t="s">
        <v>240</v>
      </c>
      <c r="AB3592" s="6" t="s">
        <v>240</v>
      </c>
      <c r="AC3592" s="5" t="s">
        <v>240</v>
      </c>
      <c r="AD3592" s="6" t="s">
        <v>240</v>
      </c>
      <c r="AE3592" s="6" t="s">
        <v>299</v>
      </c>
      <c r="AF3592" s="5" t="s">
        <v>248</v>
      </c>
      <c r="AG3592" s="5" t="s">
        <v>249</v>
      </c>
      <c r="AH3592" s="5" t="s">
        <v>240</v>
      </c>
      <c r="AI3592" s="5" t="s">
        <v>240</v>
      </c>
      <c r="AJ3592" s="5" t="s">
        <v>240</v>
      </c>
      <c r="AK3592" s="5" t="s">
        <v>240</v>
      </c>
      <c r="AL3592" s="5" t="s">
        <v>240</v>
      </c>
      <c r="AM3592" s="5" t="s">
        <v>240</v>
      </c>
      <c r="AN3592" s="5" t="s">
        <v>240</v>
      </c>
      <c r="AO3592" s="5" t="s">
        <v>240</v>
      </c>
      <c r="AP3592" s="6" t="s">
        <v>240</v>
      </c>
      <c r="AQ3592" s="6" t="s">
        <v>240</v>
      </c>
      <c r="AR3592" s="6" t="s">
        <v>240</v>
      </c>
      <c r="AS3592" s="6" t="s">
        <v>240</v>
      </c>
      <c r="AT3592" s="5" t="s">
        <v>240</v>
      </c>
      <c r="AU3592" s="5" t="s">
        <v>729</v>
      </c>
      <c r="AV3592" s="5" t="s">
        <v>729</v>
      </c>
      <c r="AW3592" s="5" t="s">
        <v>251</v>
      </c>
      <c r="AX3592" s="5" t="s">
        <v>252</v>
      </c>
      <c r="AY3592" s="5" t="s">
        <v>253</v>
      </c>
      <c r="AZ3592" s="5" t="s">
        <v>240</v>
      </c>
      <c r="BA3592" s="5" t="s">
        <v>255</v>
      </c>
      <c r="BB3592" s="5" t="s">
        <v>731</v>
      </c>
      <c r="BD3592" s="5" t="s">
        <v>240</v>
      </c>
      <c r="BF3592" s="5" t="s">
        <v>732</v>
      </c>
      <c r="BG3592" s="6" t="s">
        <v>733</v>
      </c>
      <c r="BH3592" s="5" t="s">
        <v>734</v>
      </c>
      <c r="BI3592" s="5" t="s">
        <v>734</v>
      </c>
      <c r="BJ3592" s="5" t="s">
        <v>240</v>
      </c>
      <c r="BK3592" s="7">
        <f>1</f>
        <v>1</v>
      </c>
      <c r="BL3592" s="7">
        <f>1</f>
        <v>1</v>
      </c>
      <c r="BM3592" s="5" t="s">
        <v>258</v>
      </c>
      <c r="BN3592" s="5" t="s">
        <v>259</v>
      </c>
      <c r="BO3592" s="5" t="s">
        <v>240</v>
      </c>
      <c r="BP3592" s="5" t="s">
        <v>240</v>
      </c>
      <c r="BQ3592" s="5" t="s">
        <v>240</v>
      </c>
      <c r="BR3592" s="5" t="s">
        <v>240</v>
      </c>
      <c r="BS3592" s="5" t="s">
        <v>240</v>
      </c>
      <c r="BT3592" s="5" t="s">
        <v>240</v>
      </c>
      <c r="BU3592" s="5" t="s">
        <v>240</v>
      </c>
      <c r="BV3592" s="5" t="s">
        <v>240</v>
      </c>
      <c r="BW3592" s="6" t="s">
        <v>240</v>
      </c>
      <c r="BX3592" s="5" t="s">
        <v>240</v>
      </c>
      <c r="BY3592" s="5" t="s">
        <v>240</v>
      </c>
      <c r="BZ3592" s="5" t="s">
        <v>240</v>
      </c>
      <c r="CA3592" s="5" t="s">
        <v>259</v>
      </c>
      <c r="CB3592" s="5" t="s">
        <v>240</v>
      </c>
      <c r="CC3592" s="5" t="s">
        <v>240</v>
      </c>
      <c r="CD3592" s="5" t="s">
        <v>240</v>
      </c>
      <c r="CE3592" s="5" t="s">
        <v>240</v>
      </c>
      <c r="CF3592" s="5" t="s">
        <v>240</v>
      </c>
      <c r="CG3592" s="5" t="s">
        <v>304</v>
      </c>
      <c r="CH3592" s="5" t="s">
        <v>305</v>
      </c>
      <c r="CI3592" s="5" t="s">
        <v>240</v>
      </c>
      <c r="CK3592" s="5" t="s">
        <v>3681</v>
      </c>
      <c r="CL3592" s="6" t="s">
        <v>261</v>
      </c>
      <c r="CM3592" s="5" t="s">
        <v>262</v>
      </c>
      <c r="CN3592" s="5" t="s">
        <v>263</v>
      </c>
      <c r="CO3592" s="5" t="s">
        <v>264</v>
      </c>
      <c r="CP3592" s="5" t="s">
        <v>240</v>
      </c>
      <c r="CQ3592" s="5">
        <v>0</v>
      </c>
      <c r="CR3592" s="5" t="s">
        <v>735</v>
      </c>
      <c r="CS3592" s="5" t="s">
        <v>307</v>
      </c>
      <c r="CT3592" s="5" t="s">
        <v>307</v>
      </c>
      <c r="CU3592" s="5" t="s">
        <v>260</v>
      </c>
      <c r="CV3592" s="5" t="s">
        <v>612</v>
      </c>
      <c r="CW3592" s="8">
        <f>1</f>
        <v>1</v>
      </c>
      <c r="CX3592" s="7">
        <f>1</f>
        <v>1</v>
      </c>
      <c r="CY3592" s="7">
        <f>0</f>
        <v>0</v>
      </c>
      <c r="DA3592" s="7">
        <f>1</f>
        <v>1</v>
      </c>
      <c r="DB3592" s="7" t="s">
        <v>240</v>
      </c>
      <c r="DC3592" s="5" t="s">
        <v>240</v>
      </c>
      <c r="DD3592" s="5" t="s">
        <v>240</v>
      </c>
      <c r="DE3592" s="5" t="s">
        <v>240</v>
      </c>
      <c r="DF3592" s="5" t="s">
        <v>240</v>
      </c>
      <c r="DG3592" s="7">
        <f>0</f>
        <v>0</v>
      </c>
      <c r="DI3592" s="5" t="s">
        <v>240</v>
      </c>
      <c r="DJ3592" s="5" t="s">
        <v>240</v>
      </c>
      <c r="DK3592" s="5" t="s">
        <v>240</v>
      </c>
      <c r="DL3592" s="5" t="s">
        <v>240</v>
      </c>
      <c r="DM3592" s="5" t="s">
        <v>240</v>
      </c>
      <c r="DN3592" s="5" t="s">
        <v>240</v>
      </c>
      <c r="DO3592" s="7" t="s">
        <v>240</v>
      </c>
      <c r="DP3592" s="5" t="s">
        <v>240</v>
      </c>
      <c r="DQ3592" s="5" t="s">
        <v>240</v>
      </c>
      <c r="DR3592" s="5" t="s">
        <v>731</v>
      </c>
      <c r="DS3592" s="5" t="s">
        <v>731</v>
      </c>
      <c r="DT3592" s="5" t="s">
        <v>240</v>
      </c>
      <c r="DU3592" s="5" t="s">
        <v>240</v>
      </c>
      <c r="DV3592" s="5" t="s">
        <v>3683</v>
      </c>
      <c r="DW3592" s="5" t="s">
        <v>477</v>
      </c>
      <c r="DX3592" s="5" t="s">
        <v>240</v>
      </c>
      <c r="DY3592" s="5" t="s">
        <v>240</v>
      </c>
      <c r="DZ3592" s="5" t="s">
        <v>240</v>
      </c>
      <c r="EA3592" s="5" t="s">
        <v>240</v>
      </c>
      <c r="EB3592" s="5" t="s">
        <v>240</v>
      </c>
      <c r="EC3592" s="5" t="s">
        <v>240</v>
      </c>
      <c r="ED3592" s="5" t="s">
        <v>240</v>
      </c>
      <c r="EE3592" s="5" t="s">
        <v>240</v>
      </c>
      <c r="EF3592" s="5" t="s">
        <v>240</v>
      </c>
      <c r="EG3592" s="5" t="s">
        <v>240</v>
      </c>
      <c r="EH3592" s="5" t="s">
        <v>240</v>
      </c>
      <c r="EI3592" s="5" t="s">
        <v>240</v>
      </c>
      <c r="EJ3592" s="5" t="s">
        <v>240</v>
      </c>
      <c r="EK3592" s="5" t="s">
        <v>240</v>
      </c>
      <c r="EL3592" s="5" t="s">
        <v>240</v>
      </c>
      <c r="EM3592" s="5" t="s">
        <v>240</v>
      </c>
      <c r="EN3592" s="5" t="s">
        <v>240</v>
      </c>
      <c r="EO3592" s="5" t="s">
        <v>240</v>
      </c>
      <c r="EP3592" s="5" t="s">
        <v>240</v>
      </c>
      <c r="EQ3592" s="5" t="s">
        <v>240</v>
      </c>
      <c r="ER3592" s="5" t="s">
        <v>240</v>
      </c>
      <c r="ES3592" s="5" t="s">
        <v>240</v>
      </c>
      <c r="ET3592" s="5" t="s">
        <v>240</v>
      </c>
      <c r="EU3592" s="5" t="s">
        <v>240</v>
      </c>
      <c r="EV3592" s="5" t="s">
        <v>240</v>
      </c>
      <c r="EW3592" s="5" t="s">
        <v>240</v>
      </c>
      <c r="EX3592" s="5" t="s">
        <v>240</v>
      </c>
      <c r="EY3592" s="5" t="s">
        <v>240</v>
      </c>
      <c r="EZ3592" s="5" t="s">
        <v>240</v>
      </c>
      <c r="FA3592" s="5" t="s">
        <v>240</v>
      </c>
      <c r="FB3592" s="5" t="s">
        <v>240</v>
      </c>
      <c r="FC3592" s="5" t="s">
        <v>240</v>
      </c>
      <c r="FD3592" s="5" t="s">
        <v>240</v>
      </c>
      <c r="FE3592" s="5" t="s">
        <v>240</v>
      </c>
      <c r="FF3592" s="5" t="s">
        <v>240</v>
      </c>
      <c r="FG3592" s="5" t="s">
        <v>240</v>
      </c>
      <c r="FH3592" s="5" t="s">
        <v>240</v>
      </c>
      <c r="FI3592" s="5" t="s">
        <v>240</v>
      </c>
      <c r="FJ3592" s="5" t="s">
        <v>240</v>
      </c>
      <c r="FK3592" s="5" t="s">
        <v>240</v>
      </c>
      <c r="FL3592" s="5" t="s">
        <v>240</v>
      </c>
      <c r="FM3592" s="5" t="s">
        <v>240</v>
      </c>
      <c r="FN3592" s="5" t="s">
        <v>240</v>
      </c>
      <c r="FO3592" s="5" t="s">
        <v>240</v>
      </c>
      <c r="FP3592" s="5" t="s">
        <v>240</v>
      </c>
      <c r="FQ3592" s="5" t="s">
        <v>240</v>
      </c>
      <c r="FR3592" s="5" t="s">
        <v>240</v>
      </c>
      <c r="FS3592" s="5" t="s">
        <v>240</v>
      </c>
      <c r="FT3592" s="5" t="s">
        <v>240</v>
      </c>
      <c r="FU3592" s="5" t="s">
        <v>240</v>
      </c>
      <c r="FV3592" s="5" t="s">
        <v>240</v>
      </c>
      <c r="FW3592" s="5" t="s">
        <v>240</v>
      </c>
      <c r="FX3592" s="5" t="s">
        <v>240</v>
      </c>
      <c r="FY3592" s="5" t="s">
        <v>240</v>
      </c>
      <c r="FZ3592" s="5" t="s">
        <v>240</v>
      </c>
      <c r="GA3592" s="5" t="s">
        <v>240</v>
      </c>
      <c r="GB3592" s="5" t="s">
        <v>240</v>
      </c>
      <c r="GC3592" s="5" t="s">
        <v>240</v>
      </c>
      <c r="GD3592" s="5" t="s">
        <v>240</v>
      </c>
      <c r="GE3592" s="5" t="s">
        <v>240</v>
      </c>
      <c r="GF3592" s="5" t="s">
        <v>240</v>
      </c>
      <c r="GG3592" s="5" t="s">
        <v>240</v>
      </c>
      <c r="GH3592" s="5" t="s">
        <v>240</v>
      </c>
      <c r="GI3592" s="5" t="s">
        <v>240</v>
      </c>
      <c r="GJ3592" s="5" t="s">
        <v>240</v>
      </c>
      <c r="GK3592" s="5" t="s">
        <v>240</v>
      </c>
      <c r="GL3592" s="5" t="s">
        <v>240</v>
      </c>
      <c r="GM3592" s="5" t="s">
        <v>240</v>
      </c>
      <c r="GN3592" s="5" t="s">
        <v>240</v>
      </c>
      <c r="GO3592" s="5" t="s">
        <v>240</v>
      </c>
      <c r="GP3592" s="5" t="s">
        <v>240</v>
      </c>
      <c r="GQ3592" s="5" t="s">
        <v>240</v>
      </c>
      <c r="GR3592" s="5" t="s">
        <v>240</v>
      </c>
      <c r="GS3592" s="5" t="s">
        <v>240</v>
      </c>
      <c r="GT3592" s="5" t="s">
        <v>240</v>
      </c>
      <c r="GU3592" s="5" t="s">
        <v>240</v>
      </c>
      <c r="GV3592" s="5" t="s">
        <v>240</v>
      </c>
      <c r="GW3592" s="5" t="s">
        <v>240</v>
      </c>
      <c r="GX3592" s="5" t="s">
        <v>240</v>
      </c>
      <c r="GY3592" s="5" t="s">
        <v>240</v>
      </c>
      <c r="GZ3592" s="5" t="s">
        <v>240</v>
      </c>
      <c r="HA3592" s="5" t="s">
        <v>240</v>
      </c>
      <c r="HB3592" s="5" t="s">
        <v>240</v>
      </c>
      <c r="HC3592" s="5" t="s">
        <v>240</v>
      </c>
      <c r="HD3592" s="5" t="s">
        <v>240</v>
      </c>
      <c r="HE3592" s="5" t="s">
        <v>240</v>
      </c>
      <c r="HF3592" s="5" t="s">
        <v>240</v>
      </c>
      <c r="HG3592" s="5" t="s">
        <v>240</v>
      </c>
      <c r="HH3592" s="5" t="s">
        <v>240</v>
      </c>
      <c r="HI3592" s="5" t="s">
        <v>240</v>
      </c>
      <c r="HJ3592" s="5" t="s">
        <v>240</v>
      </c>
      <c r="HK3592" s="5" t="s">
        <v>240</v>
      </c>
      <c r="HL3592" s="5" t="s">
        <v>240</v>
      </c>
      <c r="HM3592" s="5" t="s">
        <v>240</v>
      </c>
      <c r="HN3592" s="5" t="s">
        <v>240</v>
      </c>
      <c r="HO3592" s="5" t="s">
        <v>312</v>
      </c>
      <c r="HP3592" s="5" t="s">
        <v>240</v>
      </c>
      <c r="HQ3592" s="5" t="s">
        <v>240</v>
      </c>
      <c r="HR3592" s="5" t="s">
        <v>240</v>
      </c>
      <c r="HS3592" s="5" t="s">
        <v>240</v>
      </c>
      <c r="HT3592" s="5" t="s">
        <v>240</v>
      </c>
      <c r="HU3592" s="5" t="s">
        <v>240</v>
      </c>
      <c r="HV3592" s="5" t="s">
        <v>240</v>
      </c>
      <c r="HW3592" s="5" t="s">
        <v>240</v>
      </c>
      <c r="HX3592" s="5" t="s">
        <v>240</v>
      </c>
      <c r="HY3592" s="5" t="s">
        <v>240</v>
      </c>
      <c r="HZ3592" s="5" t="s">
        <v>240</v>
      </c>
      <c r="IA3592" s="5" t="s">
        <v>240</v>
      </c>
      <c r="IB3592" s="5" t="s">
        <v>240</v>
      </c>
      <c r="IC3592" s="5" t="s">
        <v>240</v>
      </c>
      <c r="ID3592" s="5" t="s">
        <v>240</v>
      </c>
      <c r="IE3592" s="5" t="s">
        <v>240</v>
      </c>
      <c r="IF3592" s="5" t="s">
        <v>240</v>
      </c>
    </row>
    <row r="3593" spans="1:240" x14ac:dyDescent="0.4">
      <c r="A3593" s="5">
        <v>9135</v>
      </c>
      <c r="B3593" s="5">
        <v>1</v>
      </c>
      <c r="C3593" s="5">
        <v>1</v>
      </c>
      <c r="D3593" s="5" t="s">
        <v>723</v>
      </c>
      <c r="E3593" s="5" t="s">
        <v>725</v>
      </c>
      <c r="F3593" s="5" t="s">
        <v>254</v>
      </c>
      <c r="G3593" s="5" t="s">
        <v>5765</v>
      </c>
      <c r="H3593" s="6" t="s">
        <v>5766</v>
      </c>
      <c r="I3593" s="5" t="s">
        <v>5764</v>
      </c>
      <c r="J3593" s="7">
        <f>1</f>
        <v>1</v>
      </c>
      <c r="K3593" s="5" t="s">
        <v>3682</v>
      </c>
      <c r="L3593" s="7">
        <f>1</f>
        <v>1</v>
      </c>
      <c r="M3593" s="7">
        <f>1</f>
        <v>1</v>
      </c>
      <c r="N3593" s="5" t="s">
        <v>242</v>
      </c>
      <c r="O3593" s="5">
        <v>1</v>
      </c>
      <c r="P3593" s="5" t="s">
        <v>294</v>
      </c>
      <c r="Q3593" s="5" t="s">
        <v>613</v>
      </c>
      <c r="R3593" s="5" t="s">
        <v>240</v>
      </c>
      <c r="S3593" s="5" t="s">
        <v>240</v>
      </c>
      <c r="T3593" s="5" t="s">
        <v>243</v>
      </c>
      <c r="U3593" s="5" t="s">
        <v>724</v>
      </c>
      <c r="V3593" s="5" t="s">
        <v>240</v>
      </c>
      <c r="W3593" s="5" t="s">
        <v>240</v>
      </c>
      <c r="X3593" s="5" t="s">
        <v>240</v>
      </c>
      <c r="Y3593" s="5" t="s">
        <v>240</v>
      </c>
      <c r="Z3593" s="6" t="s">
        <v>298</v>
      </c>
      <c r="AA3593" s="6" t="s">
        <v>240</v>
      </c>
      <c r="AB3593" s="6" t="s">
        <v>240</v>
      </c>
      <c r="AC3593" s="5" t="s">
        <v>240</v>
      </c>
      <c r="AD3593" s="6" t="s">
        <v>240</v>
      </c>
      <c r="AE3593" s="6" t="s">
        <v>299</v>
      </c>
      <c r="AF3593" s="5" t="s">
        <v>727</v>
      </c>
      <c r="AG3593" s="5" t="s">
        <v>260</v>
      </c>
      <c r="AH3593" s="5" t="s">
        <v>240</v>
      </c>
      <c r="AI3593" s="5" t="s">
        <v>240</v>
      </c>
      <c r="AJ3593" s="5" t="s">
        <v>240</v>
      </c>
      <c r="AK3593" s="5" t="s">
        <v>240</v>
      </c>
      <c r="AL3593" s="5" t="s">
        <v>240</v>
      </c>
      <c r="AM3593" s="5" t="s">
        <v>240</v>
      </c>
      <c r="AN3593" s="5" t="s">
        <v>240</v>
      </c>
      <c r="AO3593" s="5" t="s">
        <v>240</v>
      </c>
      <c r="AP3593" s="6" t="s">
        <v>240</v>
      </c>
      <c r="AQ3593" s="6" t="s">
        <v>240</v>
      </c>
      <c r="AR3593" s="6" t="s">
        <v>240</v>
      </c>
      <c r="AS3593" s="6" t="s">
        <v>240</v>
      </c>
      <c r="AT3593" s="5" t="s">
        <v>240</v>
      </c>
      <c r="AU3593" s="5" t="s">
        <v>729</v>
      </c>
      <c r="AV3593" s="5" t="s">
        <v>729</v>
      </c>
      <c r="AW3593" s="5" t="s">
        <v>251</v>
      </c>
      <c r="AX3593" s="5" t="s">
        <v>252</v>
      </c>
      <c r="AY3593" s="5" t="s">
        <v>253</v>
      </c>
      <c r="AZ3593" s="5" t="s">
        <v>240</v>
      </c>
      <c r="BA3593" s="5" t="s">
        <v>255</v>
      </c>
      <c r="BB3593" s="5" t="s">
        <v>731</v>
      </c>
      <c r="BD3593" s="5" t="s">
        <v>240</v>
      </c>
      <c r="BF3593" s="5" t="s">
        <v>732</v>
      </c>
      <c r="BG3593" s="6" t="s">
        <v>733</v>
      </c>
      <c r="BH3593" s="5" t="s">
        <v>734</v>
      </c>
      <c r="BI3593" s="5" t="s">
        <v>734</v>
      </c>
      <c r="BJ3593" s="5" t="s">
        <v>240</v>
      </c>
      <c r="BK3593" s="8">
        <f>99</f>
        <v>99</v>
      </c>
      <c r="BL3593" s="7">
        <f>0</f>
        <v>0</v>
      </c>
      <c r="BM3593" s="5" t="s">
        <v>258</v>
      </c>
      <c r="BN3593" s="5" t="s">
        <v>259</v>
      </c>
      <c r="BO3593" s="5" t="s">
        <v>240</v>
      </c>
      <c r="BP3593" s="5" t="s">
        <v>240</v>
      </c>
      <c r="BQ3593" s="5" t="s">
        <v>240</v>
      </c>
      <c r="BR3593" s="5" t="s">
        <v>240</v>
      </c>
      <c r="BS3593" s="5" t="s">
        <v>240</v>
      </c>
      <c r="BT3593" s="5" t="s">
        <v>240</v>
      </c>
      <c r="BU3593" s="5" t="s">
        <v>240</v>
      </c>
      <c r="BV3593" s="5" t="s">
        <v>240</v>
      </c>
      <c r="BW3593" s="6" t="s">
        <v>240</v>
      </c>
      <c r="BX3593" s="5" t="s">
        <v>240</v>
      </c>
      <c r="BY3593" s="5" t="s">
        <v>240</v>
      </c>
      <c r="BZ3593" s="5" t="s">
        <v>240</v>
      </c>
      <c r="CA3593" s="5" t="s">
        <v>259</v>
      </c>
      <c r="CB3593" s="5" t="s">
        <v>240</v>
      </c>
      <c r="CC3593" s="5" t="s">
        <v>240</v>
      </c>
      <c r="CD3593" s="5" t="s">
        <v>240</v>
      </c>
      <c r="CE3593" s="5" t="s">
        <v>240</v>
      </c>
      <c r="CF3593" s="5" t="s">
        <v>240</v>
      </c>
      <c r="CG3593" s="5" t="s">
        <v>617</v>
      </c>
      <c r="CH3593" s="5" t="s">
        <v>305</v>
      </c>
      <c r="CI3593" s="5" t="s">
        <v>240</v>
      </c>
      <c r="CL3593" s="6" t="s">
        <v>261</v>
      </c>
      <c r="CM3593" s="5" t="s">
        <v>262</v>
      </c>
      <c r="CN3593" s="5" t="s">
        <v>263</v>
      </c>
      <c r="CO3593" s="5" t="s">
        <v>264</v>
      </c>
      <c r="CP3593" s="5" t="s">
        <v>240</v>
      </c>
      <c r="CQ3593" s="5">
        <v>0</v>
      </c>
      <c r="CR3593" s="5" t="s">
        <v>735</v>
      </c>
      <c r="CS3593" s="5" t="s">
        <v>307</v>
      </c>
      <c r="CT3593" s="5" t="s">
        <v>307</v>
      </c>
      <c r="CU3593" s="5" t="s">
        <v>260</v>
      </c>
      <c r="CV3593" s="5" t="s">
        <v>240</v>
      </c>
      <c r="CW3593" s="8">
        <f>0</f>
        <v>0</v>
      </c>
      <c r="CX3593" s="7">
        <f>0</f>
        <v>0</v>
      </c>
      <c r="CY3593" s="7">
        <f>0</f>
        <v>0</v>
      </c>
      <c r="DA3593" s="7">
        <f>1089</f>
        <v>1089</v>
      </c>
      <c r="DB3593" s="7" t="s">
        <v>240</v>
      </c>
      <c r="DC3593" s="5" t="s">
        <v>240</v>
      </c>
      <c r="DD3593" s="5" t="s">
        <v>240</v>
      </c>
      <c r="DE3593" s="5" t="s">
        <v>240</v>
      </c>
      <c r="DF3593" s="5" t="s">
        <v>450</v>
      </c>
      <c r="DG3593" s="7">
        <f>0</f>
        <v>0</v>
      </c>
      <c r="DI3593" s="5" t="s">
        <v>737</v>
      </c>
      <c r="DJ3593" s="5" t="s">
        <v>240</v>
      </c>
      <c r="DK3593" s="5" t="s">
        <v>240</v>
      </c>
      <c r="DL3593" s="5" t="s">
        <v>240</v>
      </c>
      <c r="DM3593" s="5" t="s">
        <v>240</v>
      </c>
      <c r="DN3593" s="5" t="s">
        <v>240</v>
      </c>
      <c r="DO3593" s="7" t="s">
        <v>240</v>
      </c>
      <c r="DP3593" s="5" t="s">
        <v>240</v>
      </c>
      <c r="DQ3593" s="5" t="s">
        <v>240</v>
      </c>
      <c r="DR3593" s="5" t="s">
        <v>731</v>
      </c>
      <c r="DS3593" s="5" t="s">
        <v>731</v>
      </c>
      <c r="DT3593" s="5" t="s">
        <v>240</v>
      </c>
      <c r="DU3593" s="5" t="s">
        <v>240</v>
      </c>
      <c r="DV3593" s="5" t="s">
        <v>738</v>
      </c>
      <c r="DW3593" s="5" t="s">
        <v>2055</v>
      </c>
      <c r="DX3593" s="5" t="s">
        <v>240</v>
      </c>
      <c r="DY3593" s="5" t="s">
        <v>240</v>
      </c>
      <c r="DZ3593" s="5" t="s">
        <v>240</v>
      </c>
      <c r="EA3593" s="5" t="s">
        <v>240</v>
      </c>
      <c r="EB3593" s="5" t="s">
        <v>240</v>
      </c>
      <c r="EC3593" s="5" t="s">
        <v>240</v>
      </c>
      <c r="ED3593" s="5" t="s">
        <v>240</v>
      </c>
      <c r="EE3593" s="5" t="s">
        <v>240</v>
      </c>
      <c r="EF3593" s="5" t="s">
        <v>240</v>
      </c>
      <c r="EG3593" s="5" t="s">
        <v>240</v>
      </c>
      <c r="EH3593" s="5" t="s">
        <v>240</v>
      </c>
      <c r="EI3593" s="5" t="s">
        <v>240</v>
      </c>
      <c r="EJ3593" s="5" t="s">
        <v>240</v>
      </c>
      <c r="EK3593" s="5" t="s">
        <v>240</v>
      </c>
      <c r="EL3593" s="5" t="s">
        <v>240</v>
      </c>
      <c r="EM3593" s="5" t="s">
        <v>240</v>
      </c>
      <c r="EN3593" s="5" t="s">
        <v>240</v>
      </c>
      <c r="EO3593" s="5" t="s">
        <v>240</v>
      </c>
      <c r="EP3593" s="5" t="s">
        <v>240</v>
      </c>
      <c r="EQ3593" s="5" t="s">
        <v>240</v>
      </c>
      <c r="ER3593" s="5" t="s">
        <v>240</v>
      </c>
      <c r="ES3593" s="5" t="s">
        <v>240</v>
      </c>
      <c r="ET3593" s="5" t="s">
        <v>240</v>
      </c>
      <c r="EU3593" s="5" t="s">
        <v>240</v>
      </c>
      <c r="EV3593" s="5" t="s">
        <v>240</v>
      </c>
      <c r="EW3593" s="5" t="s">
        <v>240</v>
      </c>
      <c r="EX3593" s="5" t="s">
        <v>240</v>
      </c>
      <c r="EY3593" s="5" t="s">
        <v>240</v>
      </c>
      <c r="EZ3593" s="5" t="s">
        <v>240</v>
      </c>
      <c r="FA3593" s="5" t="s">
        <v>240</v>
      </c>
      <c r="FB3593" s="5" t="s">
        <v>240</v>
      </c>
      <c r="FC3593" s="5" t="s">
        <v>240</v>
      </c>
      <c r="FD3593" s="5" t="s">
        <v>240</v>
      </c>
      <c r="FE3593" s="5" t="s">
        <v>240</v>
      </c>
      <c r="FF3593" s="5" t="s">
        <v>240</v>
      </c>
      <c r="FG3593" s="5" t="s">
        <v>240</v>
      </c>
      <c r="FH3593" s="5" t="s">
        <v>240</v>
      </c>
      <c r="FI3593" s="5" t="s">
        <v>240</v>
      </c>
      <c r="FJ3593" s="5" t="s">
        <v>240</v>
      </c>
      <c r="FK3593" s="5" t="s">
        <v>240</v>
      </c>
      <c r="FL3593" s="5" t="s">
        <v>240</v>
      </c>
      <c r="FM3593" s="5" t="s">
        <v>240</v>
      </c>
      <c r="FN3593" s="5" t="s">
        <v>240</v>
      </c>
      <c r="FO3593" s="5" t="s">
        <v>240</v>
      </c>
      <c r="FP3593" s="5" t="s">
        <v>240</v>
      </c>
      <c r="FQ3593" s="5" t="s">
        <v>240</v>
      </c>
      <c r="FR3593" s="5" t="s">
        <v>240</v>
      </c>
      <c r="FS3593" s="5" t="s">
        <v>240</v>
      </c>
      <c r="FT3593" s="5" t="s">
        <v>240</v>
      </c>
      <c r="FU3593" s="5" t="s">
        <v>240</v>
      </c>
      <c r="FV3593" s="5" t="s">
        <v>240</v>
      </c>
      <c r="FW3593" s="5" t="s">
        <v>240</v>
      </c>
      <c r="FX3593" s="5" t="s">
        <v>240</v>
      </c>
      <c r="FY3593" s="5" t="s">
        <v>240</v>
      </c>
      <c r="FZ3593" s="5" t="s">
        <v>240</v>
      </c>
      <c r="GA3593" s="5" t="s">
        <v>240</v>
      </c>
      <c r="GB3593" s="5" t="s">
        <v>240</v>
      </c>
      <c r="GC3593" s="5" t="s">
        <v>240</v>
      </c>
      <c r="GD3593" s="5" t="s">
        <v>240</v>
      </c>
      <c r="GE3593" s="5" t="s">
        <v>240</v>
      </c>
      <c r="GF3593" s="5" t="s">
        <v>240</v>
      </c>
      <c r="GG3593" s="5" t="s">
        <v>240</v>
      </c>
      <c r="GH3593" s="5" t="s">
        <v>240</v>
      </c>
      <c r="GI3593" s="5" t="s">
        <v>240</v>
      </c>
      <c r="GJ3593" s="5" t="s">
        <v>240</v>
      </c>
      <c r="GK3593" s="5" t="s">
        <v>240</v>
      </c>
      <c r="GL3593" s="5" t="s">
        <v>240</v>
      </c>
      <c r="GM3593" s="5" t="s">
        <v>240</v>
      </c>
      <c r="GN3593" s="5" t="s">
        <v>240</v>
      </c>
      <c r="GO3593" s="5" t="s">
        <v>240</v>
      </c>
      <c r="GP3593" s="5" t="s">
        <v>240</v>
      </c>
      <c r="GQ3593" s="5" t="s">
        <v>240</v>
      </c>
      <c r="GR3593" s="5" t="s">
        <v>240</v>
      </c>
      <c r="GS3593" s="5" t="s">
        <v>240</v>
      </c>
      <c r="GT3593" s="5" t="s">
        <v>240</v>
      </c>
      <c r="GU3593" s="5" t="s">
        <v>240</v>
      </c>
      <c r="GV3593" s="5" t="s">
        <v>240</v>
      </c>
      <c r="GW3593" s="5" t="s">
        <v>240</v>
      </c>
      <c r="GX3593" s="5" t="s">
        <v>240</v>
      </c>
      <c r="GY3593" s="5" t="s">
        <v>240</v>
      </c>
      <c r="GZ3593" s="5" t="s">
        <v>240</v>
      </c>
      <c r="HA3593" s="5" t="s">
        <v>240</v>
      </c>
      <c r="HB3593" s="5" t="s">
        <v>240</v>
      </c>
      <c r="HC3593" s="5" t="s">
        <v>240</v>
      </c>
      <c r="HD3593" s="5" t="s">
        <v>240</v>
      </c>
      <c r="HE3593" s="5" t="s">
        <v>240</v>
      </c>
      <c r="HF3593" s="5" t="s">
        <v>240</v>
      </c>
      <c r="HG3593" s="5" t="s">
        <v>240</v>
      </c>
      <c r="HH3593" s="5" t="s">
        <v>240</v>
      </c>
      <c r="HI3593" s="5" t="s">
        <v>240</v>
      </c>
      <c r="HJ3593" s="5" t="s">
        <v>240</v>
      </c>
      <c r="HK3593" s="5" t="s">
        <v>240</v>
      </c>
      <c r="HL3593" s="5" t="s">
        <v>240</v>
      </c>
      <c r="HM3593" s="5" t="s">
        <v>240</v>
      </c>
      <c r="HN3593" s="5" t="s">
        <v>240</v>
      </c>
      <c r="HO3593" s="5" t="s">
        <v>312</v>
      </c>
      <c r="HP3593" s="5" t="s">
        <v>240</v>
      </c>
      <c r="HQ3593" s="5" t="s">
        <v>240</v>
      </c>
      <c r="HR3593" s="5" t="s">
        <v>240</v>
      </c>
      <c r="HS3593" s="5" t="s">
        <v>240</v>
      </c>
      <c r="HT3593" s="5" t="s">
        <v>240</v>
      </c>
      <c r="HU3593" s="5" t="s">
        <v>240</v>
      </c>
      <c r="HV3593" s="5" t="s">
        <v>240</v>
      </c>
      <c r="HW3593" s="5" t="s">
        <v>240</v>
      </c>
      <c r="HX3593" s="5" t="s">
        <v>240</v>
      </c>
      <c r="HY3593" s="5" t="s">
        <v>240</v>
      </c>
      <c r="HZ3593" s="5" t="s">
        <v>240</v>
      </c>
      <c r="IA3593" s="5" t="s">
        <v>240</v>
      </c>
      <c r="IB3593" s="5" t="s">
        <v>240</v>
      </c>
      <c r="IC3593" s="5" t="s">
        <v>240</v>
      </c>
      <c r="ID3593" s="5" t="s">
        <v>240</v>
      </c>
      <c r="IE3593" s="5" t="s">
        <v>240</v>
      </c>
      <c r="IF3593" s="5" t="s">
        <v>240</v>
      </c>
    </row>
    <row r="3594" spans="1:240" x14ac:dyDescent="0.4">
      <c r="A3594" s="5">
        <v>9136</v>
      </c>
      <c r="B3594" s="5">
        <v>1</v>
      </c>
      <c r="C3594" s="5">
        <v>1</v>
      </c>
      <c r="D3594" s="5" t="s">
        <v>723</v>
      </c>
      <c r="E3594" s="5" t="s">
        <v>725</v>
      </c>
      <c r="F3594" s="5" t="s">
        <v>254</v>
      </c>
      <c r="G3594" s="5" t="s">
        <v>5763</v>
      </c>
      <c r="H3594" s="6" t="s">
        <v>5762</v>
      </c>
      <c r="I3594" s="5" t="s">
        <v>5762</v>
      </c>
      <c r="J3594" s="7">
        <f>1</f>
        <v>1</v>
      </c>
      <c r="K3594" s="5" t="s">
        <v>3682</v>
      </c>
      <c r="L3594" s="7">
        <f>1</f>
        <v>1</v>
      </c>
      <c r="M3594" s="7">
        <f>1</f>
        <v>1</v>
      </c>
      <c r="N3594" s="5" t="s">
        <v>242</v>
      </c>
      <c r="O3594" s="5">
        <v>1</v>
      </c>
      <c r="P3594" s="5" t="s">
        <v>294</v>
      </c>
      <c r="Q3594" s="5" t="s">
        <v>3678</v>
      </c>
      <c r="R3594" s="5" t="s">
        <v>240</v>
      </c>
      <c r="S3594" s="5" t="s">
        <v>240</v>
      </c>
      <c r="T3594" s="5" t="s">
        <v>243</v>
      </c>
      <c r="U3594" s="5" t="s">
        <v>244</v>
      </c>
      <c r="V3594" s="5" t="s">
        <v>240</v>
      </c>
      <c r="W3594" s="5" t="s">
        <v>240</v>
      </c>
      <c r="X3594" s="5" t="s">
        <v>240</v>
      </c>
      <c r="Y3594" s="5" t="s">
        <v>240</v>
      </c>
      <c r="Z3594" s="6" t="s">
        <v>298</v>
      </c>
      <c r="AA3594" s="6" t="s">
        <v>240</v>
      </c>
      <c r="AB3594" s="6" t="s">
        <v>240</v>
      </c>
      <c r="AC3594" s="5" t="s">
        <v>240</v>
      </c>
      <c r="AD3594" s="6" t="s">
        <v>240</v>
      </c>
      <c r="AE3594" s="6" t="s">
        <v>299</v>
      </c>
      <c r="AF3594" s="5" t="s">
        <v>248</v>
      </c>
      <c r="AG3594" s="5" t="s">
        <v>249</v>
      </c>
      <c r="AH3594" s="5" t="s">
        <v>240</v>
      </c>
      <c r="AI3594" s="5" t="s">
        <v>240</v>
      </c>
      <c r="AJ3594" s="5" t="s">
        <v>240</v>
      </c>
      <c r="AK3594" s="5" t="s">
        <v>240</v>
      </c>
      <c r="AL3594" s="5" t="s">
        <v>240</v>
      </c>
      <c r="AM3594" s="5" t="s">
        <v>240</v>
      </c>
      <c r="AN3594" s="5" t="s">
        <v>240</v>
      </c>
      <c r="AO3594" s="5" t="s">
        <v>240</v>
      </c>
      <c r="AP3594" s="6" t="s">
        <v>240</v>
      </c>
      <c r="AQ3594" s="6" t="s">
        <v>240</v>
      </c>
      <c r="AR3594" s="6" t="s">
        <v>240</v>
      </c>
      <c r="AS3594" s="6" t="s">
        <v>240</v>
      </c>
      <c r="AT3594" s="5" t="s">
        <v>240</v>
      </c>
      <c r="AU3594" s="5" t="s">
        <v>729</v>
      </c>
      <c r="AV3594" s="5" t="s">
        <v>729</v>
      </c>
      <c r="AW3594" s="5" t="s">
        <v>251</v>
      </c>
      <c r="AX3594" s="5" t="s">
        <v>252</v>
      </c>
      <c r="AY3594" s="5" t="s">
        <v>253</v>
      </c>
      <c r="AZ3594" s="5" t="s">
        <v>240</v>
      </c>
      <c r="BA3594" s="5" t="s">
        <v>255</v>
      </c>
      <c r="BB3594" s="5" t="s">
        <v>731</v>
      </c>
      <c r="BD3594" s="5" t="s">
        <v>240</v>
      </c>
      <c r="BF3594" s="5" t="s">
        <v>732</v>
      </c>
      <c r="BG3594" s="6" t="s">
        <v>733</v>
      </c>
      <c r="BH3594" s="5" t="s">
        <v>734</v>
      </c>
      <c r="BI3594" s="5" t="s">
        <v>734</v>
      </c>
      <c r="BJ3594" s="5" t="s">
        <v>240</v>
      </c>
      <c r="BK3594" s="7">
        <f>1</f>
        <v>1</v>
      </c>
      <c r="BL3594" s="7">
        <f>1</f>
        <v>1</v>
      </c>
      <c r="BM3594" s="5" t="s">
        <v>258</v>
      </c>
      <c r="BN3594" s="5" t="s">
        <v>259</v>
      </c>
      <c r="BO3594" s="5" t="s">
        <v>240</v>
      </c>
      <c r="BP3594" s="5" t="s">
        <v>240</v>
      </c>
      <c r="BQ3594" s="5" t="s">
        <v>240</v>
      </c>
      <c r="BR3594" s="5" t="s">
        <v>240</v>
      </c>
      <c r="BS3594" s="5" t="s">
        <v>240</v>
      </c>
      <c r="BT3594" s="5" t="s">
        <v>240</v>
      </c>
      <c r="BU3594" s="5" t="s">
        <v>240</v>
      </c>
      <c r="BV3594" s="5" t="s">
        <v>240</v>
      </c>
      <c r="BW3594" s="6" t="s">
        <v>240</v>
      </c>
      <c r="BX3594" s="5" t="s">
        <v>240</v>
      </c>
      <c r="BY3594" s="5" t="s">
        <v>240</v>
      </c>
      <c r="BZ3594" s="5" t="s">
        <v>240</v>
      </c>
      <c r="CA3594" s="5" t="s">
        <v>259</v>
      </c>
      <c r="CB3594" s="5" t="s">
        <v>240</v>
      </c>
      <c r="CC3594" s="5" t="s">
        <v>240</v>
      </c>
      <c r="CD3594" s="5" t="s">
        <v>240</v>
      </c>
      <c r="CE3594" s="5" t="s">
        <v>240</v>
      </c>
      <c r="CF3594" s="5" t="s">
        <v>240</v>
      </c>
      <c r="CG3594" s="5" t="s">
        <v>304</v>
      </c>
      <c r="CH3594" s="5" t="s">
        <v>305</v>
      </c>
      <c r="CI3594" s="5" t="s">
        <v>240</v>
      </c>
      <c r="CK3594" s="5" t="s">
        <v>3681</v>
      </c>
      <c r="CL3594" s="6" t="s">
        <v>261</v>
      </c>
      <c r="CM3594" s="5" t="s">
        <v>262</v>
      </c>
      <c r="CN3594" s="5" t="s">
        <v>263</v>
      </c>
      <c r="CO3594" s="5" t="s">
        <v>264</v>
      </c>
      <c r="CP3594" s="5" t="s">
        <v>240</v>
      </c>
      <c r="CQ3594" s="5">
        <v>0</v>
      </c>
      <c r="CR3594" s="5" t="s">
        <v>735</v>
      </c>
      <c r="CS3594" s="5" t="s">
        <v>307</v>
      </c>
      <c r="CT3594" s="5" t="s">
        <v>307</v>
      </c>
      <c r="CU3594" s="5" t="s">
        <v>260</v>
      </c>
      <c r="CV3594" s="5" t="s">
        <v>612</v>
      </c>
      <c r="CW3594" s="8">
        <f>1</f>
        <v>1</v>
      </c>
      <c r="CX3594" s="7">
        <f>1</f>
        <v>1</v>
      </c>
      <c r="CY3594" s="7">
        <f>0</f>
        <v>0</v>
      </c>
      <c r="DA3594" s="7">
        <f>1</f>
        <v>1</v>
      </c>
      <c r="DB3594" s="7" t="s">
        <v>240</v>
      </c>
      <c r="DC3594" s="5" t="s">
        <v>240</v>
      </c>
      <c r="DD3594" s="5" t="s">
        <v>240</v>
      </c>
      <c r="DE3594" s="5" t="s">
        <v>240</v>
      </c>
      <c r="DF3594" s="5" t="s">
        <v>240</v>
      </c>
      <c r="DG3594" s="7">
        <f>0</f>
        <v>0</v>
      </c>
      <c r="DI3594" s="5" t="s">
        <v>240</v>
      </c>
      <c r="DJ3594" s="5" t="s">
        <v>240</v>
      </c>
      <c r="DK3594" s="5" t="s">
        <v>240</v>
      </c>
      <c r="DL3594" s="5" t="s">
        <v>240</v>
      </c>
      <c r="DM3594" s="5" t="s">
        <v>240</v>
      </c>
      <c r="DN3594" s="5" t="s">
        <v>240</v>
      </c>
      <c r="DO3594" s="7" t="s">
        <v>240</v>
      </c>
      <c r="DP3594" s="5" t="s">
        <v>240</v>
      </c>
      <c r="DQ3594" s="5" t="s">
        <v>240</v>
      </c>
      <c r="DR3594" s="5" t="s">
        <v>731</v>
      </c>
      <c r="DS3594" s="5" t="s">
        <v>731</v>
      </c>
      <c r="DT3594" s="5" t="s">
        <v>240</v>
      </c>
      <c r="DU3594" s="5" t="s">
        <v>240</v>
      </c>
      <c r="DV3594" s="5" t="s">
        <v>3683</v>
      </c>
      <c r="DW3594" s="5" t="s">
        <v>504</v>
      </c>
      <c r="DX3594" s="5" t="s">
        <v>240</v>
      </c>
      <c r="DY3594" s="5" t="s">
        <v>240</v>
      </c>
      <c r="DZ3594" s="5" t="s">
        <v>240</v>
      </c>
      <c r="EA3594" s="5" t="s">
        <v>240</v>
      </c>
      <c r="EB3594" s="5" t="s">
        <v>240</v>
      </c>
      <c r="EC3594" s="5" t="s">
        <v>240</v>
      </c>
      <c r="ED3594" s="5" t="s">
        <v>240</v>
      </c>
      <c r="EE3594" s="5" t="s">
        <v>240</v>
      </c>
      <c r="EF3594" s="5" t="s">
        <v>240</v>
      </c>
      <c r="EG3594" s="5" t="s">
        <v>240</v>
      </c>
      <c r="EH3594" s="5" t="s">
        <v>240</v>
      </c>
      <c r="EI3594" s="5" t="s">
        <v>240</v>
      </c>
      <c r="EJ3594" s="5" t="s">
        <v>240</v>
      </c>
      <c r="EK3594" s="5" t="s">
        <v>240</v>
      </c>
      <c r="EL3594" s="5" t="s">
        <v>240</v>
      </c>
      <c r="EM3594" s="5" t="s">
        <v>240</v>
      </c>
      <c r="EN3594" s="5" t="s">
        <v>240</v>
      </c>
      <c r="EO3594" s="5" t="s">
        <v>240</v>
      </c>
      <c r="EP3594" s="5" t="s">
        <v>240</v>
      </c>
      <c r="EQ3594" s="5" t="s">
        <v>240</v>
      </c>
      <c r="ER3594" s="5" t="s">
        <v>240</v>
      </c>
      <c r="ES3594" s="5" t="s">
        <v>240</v>
      </c>
      <c r="ET3594" s="5" t="s">
        <v>240</v>
      </c>
      <c r="EU3594" s="5" t="s">
        <v>240</v>
      </c>
      <c r="EV3594" s="5" t="s">
        <v>240</v>
      </c>
      <c r="EW3594" s="5" t="s">
        <v>240</v>
      </c>
      <c r="EX3594" s="5" t="s">
        <v>240</v>
      </c>
      <c r="EY3594" s="5" t="s">
        <v>240</v>
      </c>
      <c r="EZ3594" s="5" t="s">
        <v>240</v>
      </c>
      <c r="FA3594" s="5" t="s">
        <v>240</v>
      </c>
      <c r="FB3594" s="5" t="s">
        <v>240</v>
      </c>
      <c r="FC3594" s="5" t="s">
        <v>240</v>
      </c>
      <c r="FD3594" s="5" t="s">
        <v>240</v>
      </c>
      <c r="FE3594" s="5" t="s">
        <v>240</v>
      </c>
      <c r="FF3594" s="5" t="s">
        <v>240</v>
      </c>
      <c r="FG3594" s="5" t="s">
        <v>240</v>
      </c>
      <c r="FH3594" s="5" t="s">
        <v>240</v>
      </c>
      <c r="FI3594" s="5" t="s">
        <v>240</v>
      </c>
      <c r="FJ3594" s="5" t="s">
        <v>240</v>
      </c>
      <c r="FK3594" s="5" t="s">
        <v>240</v>
      </c>
      <c r="FL3594" s="5" t="s">
        <v>240</v>
      </c>
      <c r="FM3594" s="5" t="s">
        <v>240</v>
      </c>
      <c r="FN3594" s="5" t="s">
        <v>240</v>
      </c>
      <c r="FO3594" s="5" t="s">
        <v>240</v>
      </c>
      <c r="FP3594" s="5" t="s">
        <v>240</v>
      </c>
      <c r="FQ3594" s="5" t="s">
        <v>240</v>
      </c>
      <c r="FR3594" s="5" t="s">
        <v>240</v>
      </c>
      <c r="FS3594" s="5" t="s">
        <v>240</v>
      </c>
      <c r="FT3594" s="5" t="s">
        <v>240</v>
      </c>
      <c r="FU3594" s="5" t="s">
        <v>240</v>
      </c>
      <c r="FV3594" s="5" t="s">
        <v>240</v>
      </c>
      <c r="FW3594" s="5" t="s">
        <v>240</v>
      </c>
      <c r="FX3594" s="5" t="s">
        <v>240</v>
      </c>
      <c r="FY3594" s="5" t="s">
        <v>240</v>
      </c>
      <c r="FZ3594" s="5" t="s">
        <v>240</v>
      </c>
      <c r="GA3594" s="5" t="s">
        <v>240</v>
      </c>
      <c r="GB3594" s="5" t="s">
        <v>240</v>
      </c>
      <c r="GC3594" s="5" t="s">
        <v>240</v>
      </c>
      <c r="GD3594" s="5" t="s">
        <v>240</v>
      </c>
      <c r="GE3594" s="5" t="s">
        <v>240</v>
      </c>
      <c r="GF3594" s="5" t="s">
        <v>240</v>
      </c>
      <c r="GG3594" s="5" t="s">
        <v>240</v>
      </c>
      <c r="GH3594" s="5" t="s">
        <v>240</v>
      </c>
      <c r="GI3594" s="5" t="s">
        <v>240</v>
      </c>
      <c r="GJ3594" s="5" t="s">
        <v>240</v>
      </c>
      <c r="GK3594" s="5" t="s">
        <v>240</v>
      </c>
      <c r="GL3594" s="5" t="s">
        <v>240</v>
      </c>
      <c r="GM3594" s="5" t="s">
        <v>240</v>
      </c>
      <c r="GN3594" s="5" t="s">
        <v>240</v>
      </c>
      <c r="GO3594" s="5" t="s">
        <v>240</v>
      </c>
      <c r="GP3594" s="5" t="s">
        <v>240</v>
      </c>
      <c r="GQ3594" s="5" t="s">
        <v>240</v>
      </c>
      <c r="GR3594" s="5" t="s">
        <v>240</v>
      </c>
      <c r="GS3594" s="5" t="s">
        <v>240</v>
      </c>
      <c r="GT3594" s="5" t="s">
        <v>240</v>
      </c>
      <c r="GU3594" s="5" t="s">
        <v>240</v>
      </c>
      <c r="GV3594" s="5" t="s">
        <v>240</v>
      </c>
      <c r="GW3594" s="5" t="s">
        <v>240</v>
      </c>
      <c r="GX3594" s="5" t="s">
        <v>240</v>
      </c>
      <c r="GY3594" s="5" t="s">
        <v>240</v>
      </c>
      <c r="GZ3594" s="5" t="s">
        <v>240</v>
      </c>
      <c r="HA3594" s="5" t="s">
        <v>240</v>
      </c>
      <c r="HB3594" s="5" t="s">
        <v>240</v>
      </c>
      <c r="HC3594" s="5" t="s">
        <v>240</v>
      </c>
      <c r="HD3594" s="5" t="s">
        <v>240</v>
      </c>
      <c r="HE3594" s="5" t="s">
        <v>240</v>
      </c>
      <c r="HF3594" s="5" t="s">
        <v>240</v>
      </c>
      <c r="HG3594" s="5" t="s">
        <v>240</v>
      </c>
      <c r="HH3594" s="5" t="s">
        <v>240</v>
      </c>
      <c r="HI3594" s="5" t="s">
        <v>240</v>
      </c>
      <c r="HJ3594" s="5" t="s">
        <v>240</v>
      </c>
      <c r="HK3594" s="5" t="s">
        <v>240</v>
      </c>
      <c r="HL3594" s="5" t="s">
        <v>240</v>
      </c>
      <c r="HM3594" s="5" t="s">
        <v>240</v>
      </c>
      <c r="HN3594" s="5" t="s">
        <v>240</v>
      </c>
      <c r="HO3594" s="5" t="s">
        <v>312</v>
      </c>
      <c r="HP3594" s="5" t="s">
        <v>240</v>
      </c>
      <c r="HQ3594" s="5" t="s">
        <v>240</v>
      </c>
      <c r="HR3594" s="5" t="s">
        <v>240</v>
      </c>
      <c r="HS3594" s="5" t="s">
        <v>240</v>
      </c>
      <c r="HT3594" s="5" t="s">
        <v>240</v>
      </c>
      <c r="HU3594" s="5" t="s">
        <v>240</v>
      </c>
      <c r="HV3594" s="5" t="s">
        <v>240</v>
      </c>
      <c r="HW3594" s="5" t="s">
        <v>240</v>
      </c>
      <c r="HX3594" s="5" t="s">
        <v>240</v>
      </c>
      <c r="HY3594" s="5" t="s">
        <v>240</v>
      </c>
      <c r="HZ3594" s="5" t="s">
        <v>240</v>
      </c>
      <c r="IA3594" s="5" t="s">
        <v>240</v>
      </c>
      <c r="IB3594" s="5" t="s">
        <v>240</v>
      </c>
      <c r="IC3594" s="5" t="s">
        <v>240</v>
      </c>
      <c r="ID3594" s="5" t="s">
        <v>240</v>
      </c>
      <c r="IE3594" s="5" t="s">
        <v>240</v>
      </c>
      <c r="IF3594" s="5" t="s">
        <v>240</v>
      </c>
    </row>
    <row r="3595" spans="1:240" x14ac:dyDescent="0.4">
      <c r="A3595" s="5">
        <v>9137</v>
      </c>
      <c r="B3595" s="5">
        <v>1</v>
      </c>
      <c r="C3595" s="5">
        <v>1</v>
      </c>
      <c r="D3595" s="5" t="s">
        <v>723</v>
      </c>
      <c r="E3595" s="5" t="s">
        <v>725</v>
      </c>
      <c r="F3595" s="5" t="s">
        <v>254</v>
      </c>
      <c r="G3595" s="5" t="s">
        <v>726</v>
      </c>
      <c r="H3595" s="6" t="s">
        <v>5761</v>
      </c>
      <c r="I3595" s="5" t="s">
        <v>5760</v>
      </c>
      <c r="J3595" s="7">
        <f>1</f>
        <v>1</v>
      </c>
      <c r="K3595" s="5" t="s">
        <v>3682</v>
      </c>
      <c r="L3595" s="7">
        <f>1</f>
        <v>1</v>
      </c>
      <c r="M3595" s="7">
        <f>1</f>
        <v>1</v>
      </c>
      <c r="N3595" s="5" t="s">
        <v>242</v>
      </c>
      <c r="O3595" s="5">
        <v>1</v>
      </c>
      <c r="P3595" s="5" t="s">
        <v>294</v>
      </c>
      <c r="Q3595" s="5" t="s">
        <v>613</v>
      </c>
      <c r="R3595" s="5" t="s">
        <v>240</v>
      </c>
      <c r="S3595" s="5" t="s">
        <v>240</v>
      </c>
      <c r="T3595" s="5" t="s">
        <v>243</v>
      </c>
      <c r="U3595" s="5" t="s">
        <v>724</v>
      </c>
      <c r="V3595" s="5" t="s">
        <v>240</v>
      </c>
      <c r="W3595" s="5" t="s">
        <v>240</v>
      </c>
      <c r="X3595" s="5" t="s">
        <v>240</v>
      </c>
      <c r="Y3595" s="5" t="s">
        <v>240</v>
      </c>
      <c r="Z3595" s="6" t="s">
        <v>298</v>
      </c>
      <c r="AA3595" s="6" t="s">
        <v>240</v>
      </c>
      <c r="AB3595" s="6" t="s">
        <v>240</v>
      </c>
      <c r="AC3595" s="5" t="s">
        <v>240</v>
      </c>
      <c r="AD3595" s="6" t="s">
        <v>240</v>
      </c>
      <c r="AE3595" s="6" t="s">
        <v>299</v>
      </c>
      <c r="AF3595" s="5" t="s">
        <v>727</v>
      </c>
      <c r="AG3595" s="5" t="s">
        <v>260</v>
      </c>
      <c r="AH3595" s="5" t="s">
        <v>240</v>
      </c>
      <c r="AI3595" s="5" t="s">
        <v>240</v>
      </c>
      <c r="AJ3595" s="5" t="s">
        <v>240</v>
      </c>
      <c r="AK3595" s="5" t="s">
        <v>240</v>
      </c>
      <c r="AL3595" s="5" t="s">
        <v>240</v>
      </c>
      <c r="AM3595" s="5" t="s">
        <v>240</v>
      </c>
      <c r="AN3595" s="5" t="s">
        <v>240</v>
      </c>
      <c r="AO3595" s="5" t="s">
        <v>240</v>
      </c>
      <c r="AP3595" s="6" t="s">
        <v>240</v>
      </c>
      <c r="AQ3595" s="6" t="s">
        <v>240</v>
      </c>
      <c r="AR3595" s="6" t="s">
        <v>240</v>
      </c>
      <c r="AS3595" s="6" t="s">
        <v>240</v>
      </c>
      <c r="AT3595" s="5" t="s">
        <v>240</v>
      </c>
      <c r="AU3595" s="5" t="s">
        <v>729</v>
      </c>
      <c r="AV3595" s="5" t="s">
        <v>729</v>
      </c>
      <c r="AW3595" s="5" t="s">
        <v>251</v>
      </c>
      <c r="AX3595" s="5" t="s">
        <v>252</v>
      </c>
      <c r="AY3595" s="5" t="s">
        <v>253</v>
      </c>
      <c r="AZ3595" s="5" t="s">
        <v>240</v>
      </c>
      <c r="BA3595" s="5" t="s">
        <v>255</v>
      </c>
      <c r="BB3595" s="5" t="s">
        <v>731</v>
      </c>
      <c r="BD3595" s="5" t="s">
        <v>240</v>
      </c>
      <c r="BF3595" s="5" t="s">
        <v>732</v>
      </c>
      <c r="BG3595" s="6" t="s">
        <v>733</v>
      </c>
      <c r="BH3595" s="5" t="s">
        <v>734</v>
      </c>
      <c r="BI3595" s="5" t="s">
        <v>734</v>
      </c>
      <c r="BJ3595" s="5" t="s">
        <v>240</v>
      </c>
      <c r="BK3595" s="8">
        <f>825</f>
        <v>825</v>
      </c>
      <c r="BL3595" s="7">
        <f>0</f>
        <v>0</v>
      </c>
      <c r="BM3595" s="5" t="s">
        <v>258</v>
      </c>
      <c r="BN3595" s="5" t="s">
        <v>259</v>
      </c>
      <c r="BO3595" s="5" t="s">
        <v>240</v>
      </c>
      <c r="BP3595" s="5" t="s">
        <v>240</v>
      </c>
      <c r="BQ3595" s="5" t="s">
        <v>240</v>
      </c>
      <c r="BR3595" s="5" t="s">
        <v>240</v>
      </c>
      <c r="BS3595" s="5" t="s">
        <v>240</v>
      </c>
      <c r="BT3595" s="5" t="s">
        <v>240</v>
      </c>
      <c r="BU3595" s="5" t="s">
        <v>240</v>
      </c>
      <c r="BV3595" s="5" t="s">
        <v>240</v>
      </c>
      <c r="BW3595" s="6" t="s">
        <v>240</v>
      </c>
      <c r="BX3595" s="5" t="s">
        <v>240</v>
      </c>
      <c r="BY3595" s="5" t="s">
        <v>240</v>
      </c>
      <c r="BZ3595" s="5" t="s">
        <v>240</v>
      </c>
      <c r="CA3595" s="5" t="s">
        <v>259</v>
      </c>
      <c r="CB3595" s="5" t="s">
        <v>240</v>
      </c>
      <c r="CC3595" s="5" t="s">
        <v>240</v>
      </c>
      <c r="CD3595" s="5" t="s">
        <v>240</v>
      </c>
      <c r="CE3595" s="5" t="s">
        <v>240</v>
      </c>
      <c r="CF3595" s="5" t="s">
        <v>240</v>
      </c>
      <c r="CG3595" s="5" t="s">
        <v>617</v>
      </c>
      <c r="CH3595" s="5" t="s">
        <v>305</v>
      </c>
      <c r="CI3595" s="5" t="s">
        <v>240</v>
      </c>
      <c r="CL3595" s="6" t="s">
        <v>261</v>
      </c>
      <c r="CM3595" s="5" t="s">
        <v>262</v>
      </c>
      <c r="CN3595" s="5" t="s">
        <v>263</v>
      </c>
      <c r="CO3595" s="5" t="s">
        <v>264</v>
      </c>
      <c r="CP3595" s="5" t="s">
        <v>240</v>
      </c>
      <c r="CQ3595" s="5">
        <v>0</v>
      </c>
      <c r="CR3595" s="5" t="s">
        <v>735</v>
      </c>
      <c r="CS3595" s="5" t="s">
        <v>307</v>
      </c>
      <c r="CT3595" s="5" t="s">
        <v>307</v>
      </c>
      <c r="CU3595" s="5" t="s">
        <v>260</v>
      </c>
      <c r="CV3595" s="5" t="s">
        <v>240</v>
      </c>
      <c r="CW3595" s="8">
        <f>0</f>
        <v>0</v>
      </c>
      <c r="CX3595" s="7">
        <f>0</f>
        <v>0</v>
      </c>
      <c r="CY3595" s="7">
        <f>0</f>
        <v>0</v>
      </c>
      <c r="DA3595" s="7">
        <f>9075</f>
        <v>9075</v>
      </c>
      <c r="DB3595" s="7" t="s">
        <v>240</v>
      </c>
      <c r="DC3595" s="5" t="s">
        <v>240</v>
      </c>
      <c r="DD3595" s="5" t="s">
        <v>240</v>
      </c>
      <c r="DE3595" s="5" t="s">
        <v>240</v>
      </c>
      <c r="DF3595" s="5" t="s">
        <v>450</v>
      </c>
      <c r="DG3595" s="7">
        <f>0</f>
        <v>0</v>
      </c>
      <c r="DI3595" s="5" t="s">
        <v>737</v>
      </c>
      <c r="DJ3595" s="5" t="s">
        <v>240</v>
      </c>
      <c r="DK3595" s="5" t="s">
        <v>240</v>
      </c>
      <c r="DL3595" s="5" t="s">
        <v>240</v>
      </c>
      <c r="DM3595" s="5" t="s">
        <v>240</v>
      </c>
      <c r="DN3595" s="5" t="s">
        <v>240</v>
      </c>
      <c r="DO3595" s="7" t="s">
        <v>240</v>
      </c>
      <c r="DP3595" s="5" t="s">
        <v>240</v>
      </c>
      <c r="DQ3595" s="5" t="s">
        <v>240</v>
      </c>
      <c r="DR3595" s="5" t="s">
        <v>731</v>
      </c>
      <c r="DS3595" s="5" t="s">
        <v>731</v>
      </c>
      <c r="DT3595" s="5" t="s">
        <v>240</v>
      </c>
      <c r="DU3595" s="5" t="s">
        <v>240</v>
      </c>
      <c r="DV3595" s="5" t="s">
        <v>738</v>
      </c>
      <c r="DW3595" s="5" t="s">
        <v>1200</v>
      </c>
      <c r="DX3595" s="5" t="s">
        <v>240</v>
      </c>
      <c r="DY3595" s="5" t="s">
        <v>240</v>
      </c>
      <c r="DZ3595" s="5" t="s">
        <v>240</v>
      </c>
      <c r="EA3595" s="5" t="s">
        <v>240</v>
      </c>
      <c r="EB3595" s="5" t="s">
        <v>240</v>
      </c>
      <c r="EC3595" s="5" t="s">
        <v>240</v>
      </c>
      <c r="ED3595" s="5" t="s">
        <v>240</v>
      </c>
      <c r="EE3595" s="5" t="s">
        <v>240</v>
      </c>
      <c r="EF3595" s="5" t="s">
        <v>240</v>
      </c>
      <c r="EG3595" s="5" t="s">
        <v>240</v>
      </c>
      <c r="EH3595" s="5" t="s">
        <v>240</v>
      </c>
      <c r="EI3595" s="5" t="s">
        <v>240</v>
      </c>
      <c r="EJ3595" s="5" t="s">
        <v>240</v>
      </c>
      <c r="EK3595" s="5" t="s">
        <v>240</v>
      </c>
      <c r="EL3595" s="5" t="s">
        <v>240</v>
      </c>
      <c r="EM3595" s="5" t="s">
        <v>240</v>
      </c>
      <c r="EN3595" s="5" t="s">
        <v>240</v>
      </c>
      <c r="EO3595" s="5" t="s">
        <v>240</v>
      </c>
      <c r="EP3595" s="5" t="s">
        <v>240</v>
      </c>
      <c r="EQ3595" s="5" t="s">
        <v>240</v>
      </c>
      <c r="ER3595" s="5" t="s">
        <v>240</v>
      </c>
      <c r="ES3595" s="5" t="s">
        <v>240</v>
      </c>
      <c r="ET3595" s="5" t="s">
        <v>240</v>
      </c>
      <c r="EU3595" s="5" t="s">
        <v>240</v>
      </c>
      <c r="EV3595" s="5" t="s">
        <v>240</v>
      </c>
      <c r="EW3595" s="5" t="s">
        <v>240</v>
      </c>
      <c r="EX3595" s="5" t="s">
        <v>240</v>
      </c>
      <c r="EY3595" s="5" t="s">
        <v>240</v>
      </c>
      <c r="EZ3595" s="5" t="s">
        <v>240</v>
      </c>
      <c r="FA3595" s="5" t="s">
        <v>240</v>
      </c>
      <c r="FB3595" s="5" t="s">
        <v>240</v>
      </c>
      <c r="FC3595" s="5" t="s">
        <v>240</v>
      </c>
      <c r="FD3595" s="5" t="s">
        <v>240</v>
      </c>
      <c r="FE3595" s="5" t="s">
        <v>240</v>
      </c>
      <c r="FF3595" s="5" t="s">
        <v>240</v>
      </c>
      <c r="FG3595" s="5" t="s">
        <v>240</v>
      </c>
      <c r="FH3595" s="5" t="s">
        <v>240</v>
      </c>
      <c r="FI3595" s="5" t="s">
        <v>240</v>
      </c>
      <c r="FJ3595" s="5" t="s">
        <v>240</v>
      </c>
      <c r="FK3595" s="5" t="s">
        <v>240</v>
      </c>
      <c r="FL3595" s="5" t="s">
        <v>240</v>
      </c>
      <c r="FM3595" s="5" t="s">
        <v>240</v>
      </c>
      <c r="FN3595" s="5" t="s">
        <v>240</v>
      </c>
      <c r="FO3595" s="5" t="s">
        <v>240</v>
      </c>
      <c r="FP3595" s="5" t="s">
        <v>240</v>
      </c>
      <c r="FQ3595" s="5" t="s">
        <v>240</v>
      </c>
      <c r="FR3595" s="5" t="s">
        <v>240</v>
      </c>
      <c r="FS3595" s="5" t="s">
        <v>240</v>
      </c>
      <c r="FT3595" s="5" t="s">
        <v>240</v>
      </c>
      <c r="FU3595" s="5" t="s">
        <v>240</v>
      </c>
      <c r="FV3595" s="5" t="s">
        <v>240</v>
      </c>
      <c r="FW3595" s="5" t="s">
        <v>240</v>
      </c>
      <c r="FX3595" s="5" t="s">
        <v>240</v>
      </c>
      <c r="FY3595" s="5" t="s">
        <v>240</v>
      </c>
      <c r="FZ3595" s="5" t="s">
        <v>240</v>
      </c>
      <c r="GA3595" s="5" t="s">
        <v>240</v>
      </c>
      <c r="GB3595" s="5" t="s">
        <v>240</v>
      </c>
      <c r="GC3595" s="5" t="s">
        <v>240</v>
      </c>
      <c r="GD3595" s="5" t="s">
        <v>240</v>
      </c>
      <c r="GE3595" s="5" t="s">
        <v>240</v>
      </c>
      <c r="GF3595" s="5" t="s">
        <v>240</v>
      </c>
      <c r="GG3595" s="5" t="s">
        <v>240</v>
      </c>
      <c r="GH3595" s="5" t="s">
        <v>240</v>
      </c>
      <c r="GI3595" s="5" t="s">
        <v>240</v>
      </c>
      <c r="GJ3595" s="5" t="s">
        <v>240</v>
      </c>
      <c r="GK3595" s="5" t="s">
        <v>240</v>
      </c>
      <c r="GL3595" s="5" t="s">
        <v>240</v>
      </c>
      <c r="GM3595" s="5" t="s">
        <v>240</v>
      </c>
      <c r="GN3595" s="5" t="s">
        <v>240</v>
      </c>
      <c r="GO3595" s="5" t="s">
        <v>240</v>
      </c>
      <c r="GP3595" s="5" t="s">
        <v>240</v>
      </c>
      <c r="GQ3595" s="5" t="s">
        <v>240</v>
      </c>
      <c r="GR3595" s="5" t="s">
        <v>240</v>
      </c>
      <c r="GS3595" s="5" t="s">
        <v>240</v>
      </c>
      <c r="GT3595" s="5" t="s">
        <v>240</v>
      </c>
      <c r="GU3595" s="5" t="s">
        <v>240</v>
      </c>
      <c r="GV3595" s="5" t="s">
        <v>240</v>
      </c>
      <c r="GW3595" s="5" t="s">
        <v>240</v>
      </c>
      <c r="GX3595" s="5" t="s">
        <v>240</v>
      </c>
      <c r="GY3595" s="5" t="s">
        <v>240</v>
      </c>
      <c r="GZ3595" s="5" t="s">
        <v>240</v>
      </c>
      <c r="HA3595" s="5" t="s">
        <v>240</v>
      </c>
      <c r="HB3595" s="5" t="s">
        <v>240</v>
      </c>
      <c r="HC3595" s="5" t="s">
        <v>240</v>
      </c>
      <c r="HD3595" s="5" t="s">
        <v>240</v>
      </c>
      <c r="HE3595" s="5" t="s">
        <v>240</v>
      </c>
      <c r="HF3595" s="5" t="s">
        <v>240</v>
      </c>
      <c r="HG3595" s="5" t="s">
        <v>240</v>
      </c>
      <c r="HH3595" s="5" t="s">
        <v>240</v>
      </c>
      <c r="HI3595" s="5" t="s">
        <v>240</v>
      </c>
      <c r="HJ3595" s="5" t="s">
        <v>240</v>
      </c>
      <c r="HK3595" s="5" t="s">
        <v>240</v>
      </c>
      <c r="HL3595" s="5" t="s">
        <v>240</v>
      </c>
      <c r="HM3595" s="5" t="s">
        <v>240</v>
      </c>
      <c r="HN3595" s="5" t="s">
        <v>240</v>
      </c>
      <c r="HO3595" s="5" t="s">
        <v>312</v>
      </c>
      <c r="HP3595" s="5" t="s">
        <v>240</v>
      </c>
      <c r="HQ3595" s="5" t="s">
        <v>240</v>
      </c>
      <c r="HR3595" s="5" t="s">
        <v>240</v>
      </c>
      <c r="HS3595" s="5" t="s">
        <v>240</v>
      </c>
      <c r="HT3595" s="5" t="s">
        <v>240</v>
      </c>
      <c r="HU3595" s="5" t="s">
        <v>240</v>
      </c>
      <c r="HV3595" s="5" t="s">
        <v>240</v>
      </c>
      <c r="HW3595" s="5" t="s">
        <v>240</v>
      </c>
      <c r="HX3595" s="5" t="s">
        <v>240</v>
      </c>
      <c r="HY3595" s="5" t="s">
        <v>240</v>
      </c>
      <c r="HZ3595" s="5" t="s">
        <v>240</v>
      </c>
      <c r="IA3595" s="5" t="s">
        <v>240</v>
      </c>
      <c r="IB3595" s="5" t="s">
        <v>240</v>
      </c>
      <c r="IC3595" s="5" t="s">
        <v>240</v>
      </c>
      <c r="ID3595" s="5" t="s">
        <v>240</v>
      </c>
      <c r="IE3595" s="5" t="s">
        <v>240</v>
      </c>
      <c r="IF3595" s="5" t="s">
        <v>240</v>
      </c>
    </row>
    <row r="3596" spans="1:240" x14ac:dyDescent="0.4">
      <c r="A3596" s="5">
        <v>9138</v>
      </c>
      <c r="B3596" s="5">
        <v>1</v>
      </c>
      <c r="C3596" s="5">
        <v>1</v>
      </c>
      <c r="D3596" s="5" t="s">
        <v>723</v>
      </c>
      <c r="E3596" s="5" t="s">
        <v>725</v>
      </c>
      <c r="F3596" s="5" t="s">
        <v>254</v>
      </c>
      <c r="G3596" s="5" t="s">
        <v>726</v>
      </c>
      <c r="H3596" s="6" t="s">
        <v>5759</v>
      </c>
      <c r="I3596" s="5" t="s">
        <v>5758</v>
      </c>
      <c r="J3596" s="7">
        <f>1</f>
        <v>1</v>
      </c>
      <c r="K3596" s="5" t="s">
        <v>3682</v>
      </c>
      <c r="L3596" s="7">
        <f>1</f>
        <v>1</v>
      </c>
      <c r="M3596" s="7">
        <f>1</f>
        <v>1</v>
      </c>
      <c r="N3596" s="5" t="s">
        <v>242</v>
      </c>
      <c r="O3596" s="5">
        <v>1</v>
      </c>
      <c r="P3596" s="5" t="s">
        <v>294</v>
      </c>
      <c r="Q3596" s="5" t="s">
        <v>3678</v>
      </c>
      <c r="R3596" s="5" t="s">
        <v>240</v>
      </c>
      <c r="S3596" s="5" t="s">
        <v>240</v>
      </c>
      <c r="T3596" s="5" t="s">
        <v>243</v>
      </c>
      <c r="U3596" s="5" t="s">
        <v>244</v>
      </c>
      <c r="V3596" s="5" t="s">
        <v>240</v>
      </c>
      <c r="W3596" s="5" t="s">
        <v>240</v>
      </c>
      <c r="X3596" s="5" t="s">
        <v>240</v>
      </c>
      <c r="Y3596" s="5" t="s">
        <v>240</v>
      </c>
      <c r="Z3596" s="6" t="s">
        <v>298</v>
      </c>
      <c r="AA3596" s="6" t="s">
        <v>240</v>
      </c>
      <c r="AB3596" s="6" t="s">
        <v>240</v>
      </c>
      <c r="AC3596" s="5" t="s">
        <v>240</v>
      </c>
      <c r="AD3596" s="6" t="s">
        <v>240</v>
      </c>
      <c r="AE3596" s="6" t="s">
        <v>299</v>
      </c>
      <c r="AF3596" s="5" t="s">
        <v>248</v>
      </c>
      <c r="AG3596" s="5" t="s">
        <v>249</v>
      </c>
      <c r="AH3596" s="5" t="s">
        <v>240</v>
      </c>
      <c r="AI3596" s="5" t="s">
        <v>240</v>
      </c>
      <c r="AJ3596" s="5" t="s">
        <v>240</v>
      </c>
      <c r="AK3596" s="5" t="s">
        <v>240</v>
      </c>
      <c r="AL3596" s="5" t="s">
        <v>240</v>
      </c>
      <c r="AM3596" s="5" t="s">
        <v>240</v>
      </c>
      <c r="AN3596" s="5" t="s">
        <v>240</v>
      </c>
      <c r="AO3596" s="5" t="s">
        <v>240</v>
      </c>
      <c r="AP3596" s="6" t="s">
        <v>240</v>
      </c>
      <c r="AQ3596" s="6" t="s">
        <v>240</v>
      </c>
      <c r="AR3596" s="6" t="s">
        <v>240</v>
      </c>
      <c r="AS3596" s="6" t="s">
        <v>240</v>
      </c>
      <c r="AT3596" s="5" t="s">
        <v>240</v>
      </c>
      <c r="AU3596" s="5" t="s">
        <v>729</v>
      </c>
      <c r="AV3596" s="5" t="s">
        <v>729</v>
      </c>
      <c r="AW3596" s="5" t="s">
        <v>251</v>
      </c>
      <c r="AX3596" s="5" t="s">
        <v>252</v>
      </c>
      <c r="AY3596" s="5" t="s">
        <v>253</v>
      </c>
      <c r="AZ3596" s="5" t="s">
        <v>240</v>
      </c>
      <c r="BA3596" s="5" t="s">
        <v>255</v>
      </c>
      <c r="BB3596" s="5" t="s">
        <v>731</v>
      </c>
      <c r="BD3596" s="5" t="s">
        <v>240</v>
      </c>
      <c r="BF3596" s="5" t="s">
        <v>732</v>
      </c>
      <c r="BG3596" s="6" t="s">
        <v>733</v>
      </c>
      <c r="BH3596" s="5" t="s">
        <v>734</v>
      </c>
      <c r="BI3596" s="5" t="s">
        <v>734</v>
      </c>
      <c r="BJ3596" s="5" t="s">
        <v>240</v>
      </c>
      <c r="BK3596" s="7">
        <f>1</f>
        <v>1</v>
      </c>
      <c r="BL3596" s="7">
        <f>1</f>
        <v>1</v>
      </c>
      <c r="BM3596" s="5" t="s">
        <v>258</v>
      </c>
      <c r="BN3596" s="5" t="s">
        <v>259</v>
      </c>
      <c r="BO3596" s="5" t="s">
        <v>240</v>
      </c>
      <c r="BP3596" s="5" t="s">
        <v>240</v>
      </c>
      <c r="BQ3596" s="5" t="s">
        <v>240</v>
      </c>
      <c r="BR3596" s="5" t="s">
        <v>240</v>
      </c>
      <c r="BS3596" s="5" t="s">
        <v>240</v>
      </c>
      <c r="BT3596" s="5" t="s">
        <v>240</v>
      </c>
      <c r="BU3596" s="5" t="s">
        <v>240</v>
      </c>
      <c r="BV3596" s="5" t="s">
        <v>240</v>
      </c>
      <c r="BW3596" s="6" t="s">
        <v>240</v>
      </c>
      <c r="BX3596" s="5" t="s">
        <v>240</v>
      </c>
      <c r="BY3596" s="5" t="s">
        <v>240</v>
      </c>
      <c r="BZ3596" s="5" t="s">
        <v>240</v>
      </c>
      <c r="CA3596" s="5" t="s">
        <v>259</v>
      </c>
      <c r="CB3596" s="5" t="s">
        <v>240</v>
      </c>
      <c r="CC3596" s="5" t="s">
        <v>240</v>
      </c>
      <c r="CD3596" s="5" t="s">
        <v>240</v>
      </c>
      <c r="CE3596" s="5" t="s">
        <v>240</v>
      </c>
      <c r="CF3596" s="5" t="s">
        <v>240</v>
      </c>
      <c r="CG3596" s="5" t="s">
        <v>304</v>
      </c>
      <c r="CH3596" s="5" t="s">
        <v>305</v>
      </c>
      <c r="CI3596" s="5" t="s">
        <v>240</v>
      </c>
      <c r="CK3596" s="5" t="s">
        <v>3681</v>
      </c>
      <c r="CL3596" s="6" t="s">
        <v>261</v>
      </c>
      <c r="CM3596" s="5" t="s">
        <v>262</v>
      </c>
      <c r="CN3596" s="5" t="s">
        <v>263</v>
      </c>
      <c r="CO3596" s="5" t="s">
        <v>264</v>
      </c>
      <c r="CP3596" s="5" t="s">
        <v>240</v>
      </c>
      <c r="CQ3596" s="5">
        <v>0</v>
      </c>
      <c r="CR3596" s="5" t="s">
        <v>735</v>
      </c>
      <c r="CS3596" s="5" t="s">
        <v>307</v>
      </c>
      <c r="CT3596" s="5" t="s">
        <v>307</v>
      </c>
      <c r="CU3596" s="5" t="s">
        <v>260</v>
      </c>
      <c r="CV3596" s="5" t="s">
        <v>612</v>
      </c>
      <c r="CW3596" s="8">
        <f>1</f>
        <v>1</v>
      </c>
      <c r="CX3596" s="7">
        <f>1</f>
        <v>1</v>
      </c>
      <c r="CY3596" s="7">
        <f>0</f>
        <v>0</v>
      </c>
      <c r="DA3596" s="7">
        <f>1</f>
        <v>1</v>
      </c>
      <c r="DB3596" s="7" t="s">
        <v>240</v>
      </c>
      <c r="DC3596" s="5" t="s">
        <v>240</v>
      </c>
      <c r="DD3596" s="5" t="s">
        <v>240</v>
      </c>
      <c r="DE3596" s="5" t="s">
        <v>240</v>
      </c>
      <c r="DF3596" s="5" t="s">
        <v>240</v>
      </c>
      <c r="DG3596" s="7">
        <f>0</f>
        <v>0</v>
      </c>
      <c r="DI3596" s="5" t="s">
        <v>240</v>
      </c>
      <c r="DJ3596" s="5" t="s">
        <v>240</v>
      </c>
      <c r="DK3596" s="5" t="s">
        <v>240</v>
      </c>
      <c r="DL3596" s="5" t="s">
        <v>240</v>
      </c>
      <c r="DM3596" s="5" t="s">
        <v>240</v>
      </c>
      <c r="DN3596" s="5" t="s">
        <v>240</v>
      </c>
      <c r="DO3596" s="7" t="s">
        <v>240</v>
      </c>
      <c r="DP3596" s="5" t="s">
        <v>240</v>
      </c>
      <c r="DQ3596" s="5" t="s">
        <v>240</v>
      </c>
      <c r="DR3596" s="5" t="s">
        <v>731</v>
      </c>
      <c r="DS3596" s="5" t="s">
        <v>731</v>
      </c>
      <c r="DT3596" s="5" t="s">
        <v>240</v>
      </c>
      <c r="DU3596" s="5" t="s">
        <v>240</v>
      </c>
      <c r="DV3596" s="5" t="s">
        <v>3683</v>
      </c>
      <c r="DW3596" s="5" t="s">
        <v>528</v>
      </c>
      <c r="DX3596" s="5" t="s">
        <v>240</v>
      </c>
      <c r="DY3596" s="5" t="s">
        <v>240</v>
      </c>
      <c r="DZ3596" s="5" t="s">
        <v>240</v>
      </c>
      <c r="EA3596" s="5" t="s">
        <v>240</v>
      </c>
      <c r="EB3596" s="5" t="s">
        <v>240</v>
      </c>
      <c r="EC3596" s="5" t="s">
        <v>240</v>
      </c>
      <c r="ED3596" s="5" t="s">
        <v>240</v>
      </c>
      <c r="EE3596" s="5" t="s">
        <v>240</v>
      </c>
      <c r="EF3596" s="5" t="s">
        <v>240</v>
      </c>
      <c r="EG3596" s="5" t="s">
        <v>240</v>
      </c>
      <c r="EH3596" s="5" t="s">
        <v>240</v>
      </c>
      <c r="EI3596" s="5" t="s">
        <v>240</v>
      </c>
      <c r="EJ3596" s="5" t="s">
        <v>240</v>
      </c>
      <c r="EK3596" s="5" t="s">
        <v>240</v>
      </c>
      <c r="EL3596" s="5" t="s">
        <v>240</v>
      </c>
      <c r="EM3596" s="5" t="s">
        <v>240</v>
      </c>
      <c r="EN3596" s="5" t="s">
        <v>240</v>
      </c>
      <c r="EO3596" s="5" t="s">
        <v>240</v>
      </c>
      <c r="EP3596" s="5" t="s">
        <v>240</v>
      </c>
      <c r="EQ3596" s="5" t="s">
        <v>240</v>
      </c>
      <c r="ER3596" s="5" t="s">
        <v>240</v>
      </c>
      <c r="ES3596" s="5" t="s">
        <v>240</v>
      </c>
      <c r="ET3596" s="5" t="s">
        <v>240</v>
      </c>
      <c r="EU3596" s="5" t="s">
        <v>240</v>
      </c>
      <c r="EV3596" s="5" t="s">
        <v>240</v>
      </c>
      <c r="EW3596" s="5" t="s">
        <v>240</v>
      </c>
      <c r="EX3596" s="5" t="s">
        <v>240</v>
      </c>
      <c r="EY3596" s="5" t="s">
        <v>240</v>
      </c>
      <c r="EZ3596" s="5" t="s">
        <v>240</v>
      </c>
      <c r="FA3596" s="5" t="s">
        <v>240</v>
      </c>
      <c r="FB3596" s="5" t="s">
        <v>240</v>
      </c>
      <c r="FC3596" s="5" t="s">
        <v>240</v>
      </c>
      <c r="FD3596" s="5" t="s">
        <v>240</v>
      </c>
      <c r="FE3596" s="5" t="s">
        <v>240</v>
      </c>
      <c r="FF3596" s="5" t="s">
        <v>240</v>
      </c>
      <c r="FG3596" s="5" t="s">
        <v>240</v>
      </c>
      <c r="FH3596" s="5" t="s">
        <v>240</v>
      </c>
      <c r="FI3596" s="5" t="s">
        <v>240</v>
      </c>
      <c r="FJ3596" s="5" t="s">
        <v>240</v>
      </c>
      <c r="FK3596" s="5" t="s">
        <v>240</v>
      </c>
      <c r="FL3596" s="5" t="s">
        <v>240</v>
      </c>
      <c r="FM3596" s="5" t="s">
        <v>240</v>
      </c>
      <c r="FN3596" s="5" t="s">
        <v>240</v>
      </c>
      <c r="FO3596" s="5" t="s">
        <v>240</v>
      </c>
      <c r="FP3596" s="5" t="s">
        <v>240</v>
      </c>
      <c r="FQ3596" s="5" t="s">
        <v>240</v>
      </c>
      <c r="FR3596" s="5" t="s">
        <v>240</v>
      </c>
      <c r="FS3596" s="5" t="s">
        <v>240</v>
      </c>
      <c r="FT3596" s="5" t="s">
        <v>240</v>
      </c>
      <c r="FU3596" s="5" t="s">
        <v>240</v>
      </c>
      <c r="FV3596" s="5" t="s">
        <v>240</v>
      </c>
      <c r="FW3596" s="5" t="s">
        <v>240</v>
      </c>
      <c r="FX3596" s="5" t="s">
        <v>240</v>
      </c>
      <c r="FY3596" s="5" t="s">
        <v>240</v>
      </c>
      <c r="FZ3596" s="5" t="s">
        <v>240</v>
      </c>
      <c r="GA3596" s="5" t="s">
        <v>240</v>
      </c>
      <c r="GB3596" s="5" t="s">
        <v>240</v>
      </c>
      <c r="GC3596" s="5" t="s">
        <v>240</v>
      </c>
      <c r="GD3596" s="5" t="s">
        <v>240</v>
      </c>
      <c r="GE3596" s="5" t="s">
        <v>240</v>
      </c>
      <c r="GF3596" s="5" t="s">
        <v>240</v>
      </c>
      <c r="GG3596" s="5" t="s">
        <v>240</v>
      </c>
      <c r="GH3596" s="5" t="s">
        <v>240</v>
      </c>
      <c r="GI3596" s="5" t="s">
        <v>240</v>
      </c>
      <c r="GJ3596" s="5" t="s">
        <v>240</v>
      </c>
      <c r="GK3596" s="5" t="s">
        <v>240</v>
      </c>
      <c r="GL3596" s="5" t="s">
        <v>240</v>
      </c>
      <c r="GM3596" s="5" t="s">
        <v>240</v>
      </c>
      <c r="GN3596" s="5" t="s">
        <v>240</v>
      </c>
      <c r="GO3596" s="5" t="s">
        <v>240</v>
      </c>
      <c r="GP3596" s="5" t="s">
        <v>240</v>
      </c>
      <c r="GQ3596" s="5" t="s">
        <v>240</v>
      </c>
      <c r="GR3596" s="5" t="s">
        <v>240</v>
      </c>
      <c r="GS3596" s="5" t="s">
        <v>240</v>
      </c>
      <c r="GT3596" s="5" t="s">
        <v>240</v>
      </c>
      <c r="GU3596" s="5" t="s">
        <v>240</v>
      </c>
      <c r="GV3596" s="5" t="s">
        <v>240</v>
      </c>
      <c r="GW3596" s="5" t="s">
        <v>240</v>
      </c>
      <c r="GX3596" s="5" t="s">
        <v>240</v>
      </c>
      <c r="GY3596" s="5" t="s">
        <v>240</v>
      </c>
      <c r="GZ3596" s="5" t="s">
        <v>240</v>
      </c>
      <c r="HA3596" s="5" t="s">
        <v>240</v>
      </c>
      <c r="HB3596" s="5" t="s">
        <v>240</v>
      </c>
      <c r="HC3596" s="5" t="s">
        <v>240</v>
      </c>
      <c r="HD3596" s="5" t="s">
        <v>240</v>
      </c>
      <c r="HE3596" s="5" t="s">
        <v>240</v>
      </c>
      <c r="HF3596" s="5" t="s">
        <v>240</v>
      </c>
      <c r="HG3596" s="5" t="s">
        <v>240</v>
      </c>
      <c r="HH3596" s="5" t="s">
        <v>240</v>
      </c>
      <c r="HI3596" s="5" t="s">
        <v>240</v>
      </c>
      <c r="HJ3596" s="5" t="s">
        <v>240</v>
      </c>
      <c r="HK3596" s="5" t="s">
        <v>240</v>
      </c>
      <c r="HL3596" s="5" t="s">
        <v>240</v>
      </c>
      <c r="HM3596" s="5" t="s">
        <v>240</v>
      </c>
      <c r="HN3596" s="5" t="s">
        <v>240</v>
      </c>
      <c r="HO3596" s="5" t="s">
        <v>312</v>
      </c>
      <c r="HP3596" s="5" t="s">
        <v>240</v>
      </c>
      <c r="HQ3596" s="5" t="s">
        <v>240</v>
      </c>
      <c r="HR3596" s="5" t="s">
        <v>240</v>
      </c>
      <c r="HS3596" s="5" t="s">
        <v>240</v>
      </c>
      <c r="HT3596" s="5" t="s">
        <v>240</v>
      </c>
      <c r="HU3596" s="5" t="s">
        <v>240</v>
      </c>
      <c r="HV3596" s="5" t="s">
        <v>240</v>
      </c>
      <c r="HW3596" s="5" t="s">
        <v>240</v>
      </c>
      <c r="HX3596" s="5" t="s">
        <v>240</v>
      </c>
      <c r="HY3596" s="5" t="s">
        <v>240</v>
      </c>
      <c r="HZ3596" s="5" t="s">
        <v>240</v>
      </c>
      <c r="IA3596" s="5" t="s">
        <v>240</v>
      </c>
      <c r="IB3596" s="5" t="s">
        <v>240</v>
      </c>
      <c r="IC3596" s="5" t="s">
        <v>240</v>
      </c>
      <c r="ID3596" s="5" t="s">
        <v>240</v>
      </c>
      <c r="IE3596" s="5" t="s">
        <v>240</v>
      </c>
      <c r="IF3596" s="5" t="s">
        <v>240</v>
      </c>
    </row>
    <row r="3597" spans="1:240" x14ac:dyDescent="0.4">
      <c r="A3597" s="5">
        <v>9139</v>
      </c>
      <c r="B3597" s="5">
        <v>1</v>
      </c>
      <c r="C3597" s="5">
        <v>1</v>
      </c>
      <c r="D3597" s="5" t="s">
        <v>723</v>
      </c>
      <c r="E3597" s="5" t="s">
        <v>725</v>
      </c>
      <c r="F3597" s="5" t="s">
        <v>254</v>
      </c>
      <c r="G3597" s="5" t="s">
        <v>5756</v>
      </c>
      <c r="H3597" s="6" t="s">
        <v>5757</v>
      </c>
      <c r="I3597" s="5" t="s">
        <v>5755</v>
      </c>
      <c r="J3597" s="7">
        <f>1</f>
        <v>1</v>
      </c>
      <c r="K3597" s="5" t="s">
        <v>3682</v>
      </c>
      <c r="L3597" s="7">
        <f>1</f>
        <v>1</v>
      </c>
      <c r="M3597" s="7">
        <f>1</f>
        <v>1</v>
      </c>
      <c r="N3597" s="5" t="s">
        <v>242</v>
      </c>
      <c r="O3597" s="5">
        <v>1</v>
      </c>
      <c r="P3597" s="5" t="s">
        <v>294</v>
      </c>
      <c r="Q3597" s="5" t="s">
        <v>3678</v>
      </c>
      <c r="R3597" s="5" t="s">
        <v>240</v>
      </c>
      <c r="S3597" s="5" t="s">
        <v>240</v>
      </c>
      <c r="T3597" s="5" t="s">
        <v>243</v>
      </c>
      <c r="U3597" s="5" t="s">
        <v>244</v>
      </c>
      <c r="V3597" s="5" t="s">
        <v>240</v>
      </c>
      <c r="W3597" s="5" t="s">
        <v>240</v>
      </c>
      <c r="X3597" s="5" t="s">
        <v>240</v>
      </c>
      <c r="Y3597" s="5" t="s">
        <v>240</v>
      </c>
      <c r="Z3597" s="6" t="s">
        <v>298</v>
      </c>
      <c r="AA3597" s="6" t="s">
        <v>240</v>
      </c>
      <c r="AB3597" s="6" t="s">
        <v>240</v>
      </c>
      <c r="AC3597" s="5" t="s">
        <v>240</v>
      </c>
      <c r="AD3597" s="6" t="s">
        <v>240</v>
      </c>
      <c r="AE3597" s="6" t="s">
        <v>299</v>
      </c>
      <c r="AF3597" s="5" t="s">
        <v>248</v>
      </c>
      <c r="AG3597" s="5" t="s">
        <v>249</v>
      </c>
      <c r="AH3597" s="5" t="s">
        <v>240</v>
      </c>
      <c r="AI3597" s="5" t="s">
        <v>240</v>
      </c>
      <c r="AJ3597" s="5" t="s">
        <v>240</v>
      </c>
      <c r="AK3597" s="5" t="s">
        <v>240</v>
      </c>
      <c r="AL3597" s="5" t="s">
        <v>240</v>
      </c>
      <c r="AM3597" s="5" t="s">
        <v>240</v>
      </c>
      <c r="AN3597" s="5" t="s">
        <v>240</v>
      </c>
      <c r="AO3597" s="5" t="s">
        <v>240</v>
      </c>
      <c r="AP3597" s="6" t="s">
        <v>240</v>
      </c>
      <c r="AQ3597" s="6" t="s">
        <v>240</v>
      </c>
      <c r="AR3597" s="6" t="s">
        <v>240</v>
      </c>
      <c r="AS3597" s="6" t="s">
        <v>240</v>
      </c>
      <c r="AT3597" s="5" t="s">
        <v>240</v>
      </c>
      <c r="AU3597" s="5" t="s">
        <v>729</v>
      </c>
      <c r="AV3597" s="5" t="s">
        <v>729</v>
      </c>
      <c r="AW3597" s="5" t="s">
        <v>251</v>
      </c>
      <c r="AX3597" s="5" t="s">
        <v>252</v>
      </c>
      <c r="AY3597" s="5" t="s">
        <v>253</v>
      </c>
      <c r="AZ3597" s="5" t="s">
        <v>240</v>
      </c>
      <c r="BA3597" s="5" t="s">
        <v>255</v>
      </c>
      <c r="BB3597" s="5" t="s">
        <v>731</v>
      </c>
      <c r="BD3597" s="5" t="s">
        <v>240</v>
      </c>
      <c r="BF3597" s="5" t="s">
        <v>732</v>
      </c>
      <c r="BG3597" s="6" t="s">
        <v>733</v>
      </c>
      <c r="BH3597" s="5" t="s">
        <v>734</v>
      </c>
      <c r="BI3597" s="5" t="s">
        <v>734</v>
      </c>
      <c r="BJ3597" s="5" t="s">
        <v>240</v>
      </c>
      <c r="BK3597" s="7">
        <f>1</f>
        <v>1</v>
      </c>
      <c r="BL3597" s="7">
        <f>1</f>
        <v>1</v>
      </c>
      <c r="BM3597" s="5" t="s">
        <v>258</v>
      </c>
      <c r="BN3597" s="5" t="s">
        <v>259</v>
      </c>
      <c r="BO3597" s="5" t="s">
        <v>240</v>
      </c>
      <c r="BP3597" s="5" t="s">
        <v>240</v>
      </c>
      <c r="BQ3597" s="5" t="s">
        <v>240</v>
      </c>
      <c r="BR3597" s="5" t="s">
        <v>240</v>
      </c>
      <c r="BS3597" s="5" t="s">
        <v>240</v>
      </c>
      <c r="BT3597" s="5" t="s">
        <v>240</v>
      </c>
      <c r="BU3597" s="5" t="s">
        <v>240</v>
      </c>
      <c r="BV3597" s="5" t="s">
        <v>240</v>
      </c>
      <c r="BW3597" s="6" t="s">
        <v>240</v>
      </c>
      <c r="BX3597" s="5" t="s">
        <v>240</v>
      </c>
      <c r="BY3597" s="5" t="s">
        <v>240</v>
      </c>
      <c r="BZ3597" s="5" t="s">
        <v>240</v>
      </c>
      <c r="CA3597" s="5" t="s">
        <v>259</v>
      </c>
      <c r="CB3597" s="5" t="s">
        <v>240</v>
      </c>
      <c r="CC3597" s="5" t="s">
        <v>240</v>
      </c>
      <c r="CD3597" s="5" t="s">
        <v>240</v>
      </c>
      <c r="CE3597" s="5" t="s">
        <v>240</v>
      </c>
      <c r="CF3597" s="5" t="s">
        <v>240</v>
      </c>
      <c r="CG3597" s="5" t="s">
        <v>304</v>
      </c>
      <c r="CH3597" s="5" t="s">
        <v>305</v>
      </c>
      <c r="CI3597" s="5" t="s">
        <v>240</v>
      </c>
      <c r="CK3597" s="5" t="s">
        <v>3681</v>
      </c>
      <c r="CL3597" s="6" t="s">
        <v>261</v>
      </c>
      <c r="CM3597" s="5" t="s">
        <v>262</v>
      </c>
      <c r="CN3597" s="5" t="s">
        <v>263</v>
      </c>
      <c r="CO3597" s="5" t="s">
        <v>264</v>
      </c>
      <c r="CP3597" s="5" t="s">
        <v>240</v>
      </c>
      <c r="CQ3597" s="5">
        <v>0</v>
      </c>
      <c r="CR3597" s="5" t="s">
        <v>735</v>
      </c>
      <c r="CS3597" s="5" t="s">
        <v>307</v>
      </c>
      <c r="CT3597" s="5" t="s">
        <v>307</v>
      </c>
      <c r="CU3597" s="5" t="s">
        <v>260</v>
      </c>
      <c r="CV3597" s="5" t="s">
        <v>612</v>
      </c>
      <c r="CW3597" s="8">
        <f>1</f>
        <v>1</v>
      </c>
      <c r="CX3597" s="7">
        <f>1</f>
        <v>1</v>
      </c>
      <c r="CY3597" s="7">
        <f>0</f>
        <v>0</v>
      </c>
      <c r="DA3597" s="7">
        <f>1</f>
        <v>1</v>
      </c>
      <c r="DB3597" s="7" t="s">
        <v>240</v>
      </c>
      <c r="DC3597" s="5" t="s">
        <v>240</v>
      </c>
      <c r="DD3597" s="5" t="s">
        <v>240</v>
      </c>
      <c r="DE3597" s="5" t="s">
        <v>240</v>
      </c>
      <c r="DF3597" s="5" t="s">
        <v>240</v>
      </c>
      <c r="DG3597" s="7">
        <f>0</f>
        <v>0</v>
      </c>
      <c r="DI3597" s="5" t="s">
        <v>240</v>
      </c>
      <c r="DJ3597" s="5" t="s">
        <v>240</v>
      </c>
      <c r="DK3597" s="5" t="s">
        <v>240</v>
      </c>
      <c r="DL3597" s="5" t="s">
        <v>240</v>
      </c>
      <c r="DM3597" s="5" t="s">
        <v>240</v>
      </c>
      <c r="DN3597" s="5" t="s">
        <v>240</v>
      </c>
      <c r="DO3597" s="7" t="s">
        <v>240</v>
      </c>
      <c r="DP3597" s="5" t="s">
        <v>240</v>
      </c>
      <c r="DQ3597" s="5" t="s">
        <v>240</v>
      </c>
      <c r="DR3597" s="5" t="s">
        <v>731</v>
      </c>
      <c r="DS3597" s="5" t="s">
        <v>731</v>
      </c>
      <c r="DT3597" s="5" t="s">
        <v>240</v>
      </c>
      <c r="DU3597" s="5" t="s">
        <v>240</v>
      </c>
      <c r="DV3597" s="5" t="s">
        <v>3683</v>
      </c>
      <c r="DW3597" s="5" t="s">
        <v>1229</v>
      </c>
      <c r="DX3597" s="5" t="s">
        <v>240</v>
      </c>
      <c r="DY3597" s="5" t="s">
        <v>240</v>
      </c>
      <c r="DZ3597" s="5" t="s">
        <v>240</v>
      </c>
      <c r="EA3597" s="5" t="s">
        <v>240</v>
      </c>
      <c r="EB3597" s="5" t="s">
        <v>240</v>
      </c>
      <c r="EC3597" s="5" t="s">
        <v>240</v>
      </c>
      <c r="ED3597" s="5" t="s">
        <v>240</v>
      </c>
      <c r="EE3597" s="5" t="s">
        <v>240</v>
      </c>
      <c r="EF3597" s="5" t="s">
        <v>240</v>
      </c>
      <c r="EG3597" s="5" t="s">
        <v>240</v>
      </c>
      <c r="EH3597" s="5" t="s">
        <v>240</v>
      </c>
      <c r="EI3597" s="5" t="s">
        <v>240</v>
      </c>
      <c r="EJ3597" s="5" t="s">
        <v>240</v>
      </c>
      <c r="EK3597" s="5" t="s">
        <v>240</v>
      </c>
      <c r="EL3597" s="5" t="s">
        <v>240</v>
      </c>
      <c r="EM3597" s="5" t="s">
        <v>240</v>
      </c>
      <c r="EN3597" s="5" t="s">
        <v>240</v>
      </c>
      <c r="EO3597" s="5" t="s">
        <v>240</v>
      </c>
      <c r="EP3597" s="5" t="s">
        <v>240</v>
      </c>
      <c r="EQ3597" s="5" t="s">
        <v>240</v>
      </c>
      <c r="ER3597" s="5" t="s">
        <v>240</v>
      </c>
      <c r="ES3597" s="5" t="s">
        <v>240</v>
      </c>
      <c r="ET3597" s="5" t="s">
        <v>240</v>
      </c>
      <c r="EU3597" s="5" t="s">
        <v>240</v>
      </c>
      <c r="EV3597" s="5" t="s">
        <v>240</v>
      </c>
      <c r="EW3597" s="5" t="s">
        <v>240</v>
      </c>
      <c r="EX3597" s="5" t="s">
        <v>240</v>
      </c>
      <c r="EY3597" s="5" t="s">
        <v>240</v>
      </c>
      <c r="EZ3597" s="5" t="s">
        <v>240</v>
      </c>
      <c r="FA3597" s="5" t="s">
        <v>240</v>
      </c>
      <c r="FB3597" s="5" t="s">
        <v>240</v>
      </c>
      <c r="FC3597" s="5" t="s">
        <v>240</v>
      </c>
      <c r="FD3597" s="5" t="s">
        <v>240</v>
      </c>
      <c r="FE3597" s="5" t="s">
        <v>240</v>
      </c>
      <c r="FF3597" s="5" t="s">
        <v>240</v>
      </c>
      <c r="FG3597" s="5" t="s">
        <v>240</v>
      </c>
      <c r="FH3597" s="5" t="s">
        <v>240</v>
      </c>
      <c r="FI3597" s="5" t="s">
        <v>240</v>
      </c>
      <c r="FJ3597" s="5" t="s">
        <v>240</v>
      </c>
      <c r="FK3597" s="5" t="s">
        <v>240</v>
      </c>
      <c r="FL3597" s="5" t="s">
        <v>240</v>
      </c>
      <c r="FM3597" s="5" t="s">
        <v>240</v>
      </c>
      <c r="FN3597" s="5" t="s">
        <v>240</v>
      </c>
      <c r="FO3597" s="5" t="s">
        <v>240</v>
      </c>
      <c r="FP3597" s="5" t="s">
        <v>240</v>
      </c>
      <c r="FQ3597" s="5" t="s">
        <v>240</v>
      </c>
      <c r="FR3597" s="5" t="s">
        <v>240</v>
      </c>
      <c r="FS3597" s="5" t="s">
        <v>240</v>
      </c>
      <c r="FT3597" s="5" t="s">
        <v>240</v>
      </c>
      <c r="FU3597" s="5" t="s">
        <v>240</v>
      </c>
      <c r="FV3597" s="5" t="s">
        <v>240</v>
      </c>
      <c r="FW3597" s="5" t="s">
        <v>240</v>
      </c>
      <c r="FX3597" s="5" t="s">
        <v>240</v>
      </c>
      <c r="FY3597" s="5" t="s">
        <v>240</v>
      </c>
      <c r="FZ3597" s="5" t="s">
        <v>240</v>
      </c>
      <c r="GA3597" s="5" t="s">
        <v>240</v>
      </c>
      <c r="GB3597" s="5" t="s">
        <v>240</v>
      </c>
      <c r="GC3597" s="5" t="s">
        <v>240</v>
      </c>
      <c r="GD3597" s="5" t="s">
        <v>240</v>
      </c>
      <c r="GE3597" s="5" t="s">
        <v>240</v>
      </c>
      <c r="GF3597" s="5" t="s">
        <v>240</v>
      </c>
      <c r="GG3597" s="5" t="s">
        <v>240</v>
      </c>
      <c r="GH3597" s="5" t="s">
        <v>240</v>
      </c>
      <c r="GI3597" s="5" t="s">
        <v>240</v>
      </c>
      <c r="GJ3597" s="5" t="s">
        <v>240</v>
      </c>
      <c r="GK3597" s="5" t="s">
        <v>240</v>
      </c>
      <c r="GL3597" s="5" t="s">
        <v>240</v>
      </c>
      <c r="GM3597" s="5" t="s">
        <v>240</v>
      </c>
      <c r="GN3597" s="5" t="s">
        <v>240</v>
      </c>
      <c r="GO3597" s="5" t="s">
        <v>240</v>
      </c>
      <c r="GP3597" s="5" t="s">
        <v>240</v>
      </c>
      <c r="GQ3597" s="5" t="s">
        <v>240</v>
      </c>
      <c r="GR3597" s="5" t="s">
        <v>240</v>
      </c>
      <c r="GS3597" s="5" t="s">
        <v>240</v>
      </c>
      <c r="GT3597" s="5" t="s">
        <v>240</v>
      </c>
      <c r="GU3597" s="5" t="s">
        <v>240</v>
      </c>
      <c r="GV3597" s="5" t="s">
        <v>240</v>
      </c>
      <c r="GW3597" s="5" t="s">
        <v>240</v>
      </c>
      <c r="GX3597" s="5" t="s">
        <v>240</v>
      </c>
      <c r="GY3597" s="5" t="s">
        <v>240</v>
      </c>
      <c r="GZ3597" s="5" t="s">
        <v>240</v>
      </c>
      <c r="HA3597" s="5" t="s">
        <v>240</v>
      </c>
      <c r="HB3597" s="5" t="s">
        <v>240</v>
      </c>
      <c r="HC3597" s="5" t="s">
        <v>240</v>
      </c>
      <c r="HD3597" s="5" t="s">
        <v>240</v>
      </c>
      <c r="HE3597" s="5" t="s">
        <v>240</v>
      </c>
      <c r="HF3597" s="5" t="s">
        <v>240</v>
      </c>
      <c r="HG3597" s="5" t="s">
        <v>240</v>
      </c>
      <c r="HH3597" s="5" t="s">
        <v>240</v>
      </c>
      <c r="HI3597" s="5" t="s">
        <v>240</v>
      </c>
      <c r="HJ3597" s="5" t="s">
        <v>240</v>
      </c>
      <c r="HK3597" s="5" t="s">
        <v>240</v>
      </c>
      <c r="HL3597" s="5" t="s">
        <v>240</v>
      </c>
      <c r="HM3597" s="5" t="s">
        <v>240</v>
      </c>
      <c r="HN3597" s="5" t="s">
        <v>240</v>
      </c>
      <c r="HO3597" s="5" t="s">
        <v>312</v>
      </c>
      <c r="HP3597" s="5" t="s">
        <v>240</v>
      </c>
      <c r="HQ3597" s="5" t="s">
        <v>240</v>
      </c>
      <c r="HR3597" s="5" t="s">
        <v>240</v>
      </c>
      <c r="HS3597" s="5" t="s">
        <v>240</v>
      </c>
      <c r="HT3597" s="5" t="s">
        <v>240</v>
      </c>
      <c r="HU3597" s="5" t="s">
        <v>240</v>
      </c>
      <c r="HV3597" s="5" t="s">
        <v>240</v>
      </c>
      <c r="HW3597" s="5" t="s">
        <v>240</v>
      </c>
      <c r="HX3597" s="5" t="s">
        <v>240</v>
      </c>
      <c r="HY3597" s="5" t="s">
        <v>240</v>
      </c>
      <c r="HZ3597" s="5" t="s">
        <v>240</v>
      </c>
      <c r="IA3597" s="5" t="s">
        <v>240</v>
      </c>
      <c r="IB3597" s="5" t="s">
        <v>240</v>
      </c>
      <c r="IC3597" s="5" t="s">
        <v>240</v>
      </c>
      <c r="ID3597" s="5" t="s">
        <v>240</v>
      </c>
      <c r="IE3597" s="5" t="s">
        <v>240</v>
      </c>
      <c r="IF3597" s="5" t="s">
        <v>240</v>
      </c>
    </row>
    <row r="3598" spans="1:240" x14ac:dyDescent="0.4">
      <c r="A3598" s="5">
        <v>9140</v>
      </c>
      <c r="B3598" s="5">
        <v>1</v>
      </c>
      <c r="C3598" s="5">
        <v>1</v>
      </c>
      <c r="D3598" s="5" t="s">
        <v>723</v>
      </c>
      <c r="E3598" s="5" t="s">
        <v>725</v>
      </c>
      <c r="F3598" s="5" t="s">
        <v>254</v>
      </c>
      <c r="G3598" s="5" t="s">
        <v>5325</v>
      </c>
      <c r="H3598" s="6" t="s">
        <v>5754</v>
      </c>
      <c r="I3598" s="5" t="s">
        <v>5754</v>
      </c>
      <c r="J3598" s="7">
        <f>1</f>
        <v>1</v>
      </c>
      <c r="K3598" s="5" t="s">
        <v>3682</v>
      </c>
      <c r="L3598" s="7">
        <f>1</f>
        <v>1</v>
      </c>
      <c r="M3598" s="7">
        <f>1</f>
        <v>1</v>
      </c>
      <c r="N3598" s="5" t="s">
        <v>242</v>
      </c>
      <c r="O3598" s="5">
        <v>1</v>
      </c>
      <c r="P3598" s="5" t="s">
        <v>294</v>
      </c>
      <c r="Q3598" s="5" t="s">
        <v>3678</v>
      </c>
      <c r="R3598" s="5" t="s">
        <v>240</v>
      </c>
      <c r="S3598" s="5" t="s">
        <v>240</v>
      </c>
      <c r="T3598" s="5" t="s">
        <v>243</v>
      </c>
      <c r="U3598" s="5" t="s">
        <v>244</v>
      </c>
      <c r="V3598" s="5" t="s">
        <v>240</v>
      </c>
      <c r="W3598" s="5" t="s">
        <v>240</v>
      </c>
      <c r="X3598" s="5" t="s">
        <v>240</v>
      </c>
      <c r="Y3598" s="5" t="s">
        <v>240</v>
      </c>
      <c r="Z3598" s="6" t="s">
        <v>298</v>
      </c>
      <c r="AA3598" s="6" t="s">
        <v>240</v>
      </c>
      <c r="AB3598" s="6" t="s">
        <v>240</v>
      </c>
      <c r="AC3598" s="5" t="s">
        <v>240</v>
      </c>
      <c r="AD3598" s="6" t="s">
        <v>240</v>
      </c>
      <c r="AE3598" s="6" t="s">
        <v>299</v>
      </c>
      <c r="AF3598" s="5" t="s">
        <v>248</v>
      </c>
      <c r="AG3598" s="5" t="s">
        <v>249</v>
      </c>
      <c r="AH3598" s="5" t="s">
        <v>240</v>
      </c>
      <c r="AI3598" s="5" t="s">
        <v>240</v>
      </c>
      <c r="AJ3598" s="5" t="s">
        <v>240</v>
      </c>
      <c r="AK3598" s="5" t="s">
        <v>240</v>
      </c>
      <c r="AL3598" s="5" t="s">
        <v>240</v>
      </c>
      <c r="AM3598" s="5" t="s">
        <v>240</v>
      </c>
      <c r="AN3598" s="5" t="s">
        <v>240</v>
      </c>
      <c r="AO3598" s="5" t="s">
        <v>240</v>
      </c>
      <c r="AP3598" s="6" t="s">
        <v>240</v>
      </c>
      <c r="AQ3598" s="6" t="s">
        <v>240</v>
      </c>
      <c r="AR3598" s="6" t="s">
        <v>240</v>
      </c>
      <c r="AS3598" s="6" t="s">
        <v>240</v>
      </c>
      <c r="AT3598" s="5" t="s">
        <v>240</v>
      </c>
      <c r="AU3598" s="5" t="s">
        <v>729</v>
      </c>
      <c r="AV3598" s="5" t="s">
        <v>729</v>
      </c>
      <c r="AW3598" s="5" t="s">
        <v>251</v>
      </c>
      <c r="AX3598" s="5" t="s">
        <v>252</v>
      </c>
      <c r="AY3598" s="5" t="s">
        <v>253</v>
      </c>
      <c r="AZ3598" s="5" t="s">
        <v>240</v>
      </c>
      <c r="BA3598" s="5" t="s">
        <v>255</v>
      </c>
      <c r="BB3598" s="5" t="s">
        <v>731</v>
      </c>
      <c r="BD3598" s="5" t="s">
        <v>240</v>
      </c>
      <c r="BF3598" s="5" t="s">
        <v>732</v>
      </c>
      <c r="BG3598" s="6" t="s">
        <v>733</v>
      </c>
      <c r="BH3598" s="5" t="s">
        <v>734</v>
      </c>
      <c r="BI3598" s="5" t="s">
        <v>734</v>
      </c>
      <c r="BJ3598" s="5" t="s">
        <v>240</v>
      </c>
      <c r="BK3598" s="7">
        <f>1</f>
        <v>1</v>
      </c>
      <c r="BL3598" s="7">
        <f>1</f>
        <v>1</v>
      </c>
      <c r="BM3598" s="5" t="s">
        <v>258</v>
      </c>
      <c r="BN3598" s="5" t="s">
        <v>259</v>
      </c>
      <c r="BO3598" s="5" t="s">
        <v>240</v>
      </c>
      <c r="BP3598" s="5" t="s">
        <v>240</v>
      </c>
      <c r="BQ3598" s="5" t="s">
        <v>240</v>
      </c>
      <c r="BR3598" s="5" t="s">
        <v>240</v>
      </c>
      <c r="BS3598" s="5" t="s">
        <v>240</v>
      </c>
      <c r="BT3598" s="5" t="s">
        <v>240</v>
      </c>
      <c r="BU3598" s="5" t="s">
        <v>240</v>
      </c>
      <c r="BV3598" s="5" t="s">
        <v>240</v>
      </c>
      <c r="BW3598" s="6" t="s">
        <v>240</v>
      </c>
      <c r="BX3598" s="5" t="s">
        <v>240</v>
      </c>
      <c r="BY3598" s="5" t="s">
        <v>240</v>
      </c>
      <c r="BZ3598" s="5" t="s">
        <v>240</v>
      </c>
      <c r="CA3598" s="5" t="s">
        <v>259</v>
      </c>
      <c r="CB3598" s="5" t="s">
        <v>240</v>
      </c>
      <c r="CC3598" s="5" t="s">
        <v>240</v>
      </c>
      <c r="CD3598" s="5" t="s">
        <v>240</v>
      </c>
      <c r="CE3598" s="5" t="s">
        <v>240</v>
      </c>
      <c r="CF3598" s="5" t="s">
        <v>240</v>
      </c>
      <c r="CG3598" s="5" t="s">
        <v>304</v>
      </c>
      <c r="CH3598" s="5" t="s">
        <v>305</v>
      </c>
      <c r="CI3598" s="5" t="s">
        <v>240</v>
      </c>
      <c r="CK3598" s="5" t="s">
        <v>3681</v>
      </c>
      <c r="CL3598" s="6" t="s">
        <v>261</v>
      </c>
      <c r="CM3598" s="5" t="s">
        <v>262</v>
      </c>
      <c r="CN3598" s="5" t="s">
        <v>263</v>
      </c>
      <c r="CO3598" s="5" t="s">
        <v>264</v>
      </c>
      <c r="CP3598" s="5" t="s">
        <v>240</v>
      </c>
      <c r="CQ3598" s="5">
        <v>0</v>
      </c>
      <c r="CR3598" s="5" t="s">
        <v>735</v>
      </c>
      <c r="CS3598" s="5" t="s">
        <v>307</v>
      </c>
      <c r="CT3598" s="5" t="s">
        <v>307</v>
      </c>
      <c r="CU3598" s="5" t="s">
        <v>260</v>
      </c>
      <c r="CV3598" s="5" t="s">
        <v>612</v>
      </c>
      <c r="CW3598" s="8">
        <f>1</f>
        <v>1</v>
      </c>
      <c r="CX3598" s="7">
        <f>1</f>
        <v>1</v>
      </c>
      <c r="CY3598" s="7">
        <f>0</f>
        <v>0</v>
      </c>
      <c r="DA3598" s="7">
        <f>1</f>
        <v>1</v>
      </c>
      <c r="DB3598" s="7" t="s">
        <v>240</v>
      </c>
      <c r="DC3598" s="5" t="s">
        <v>240</v>
      </c>
      <c r="DD3598" s="5" t="s">
        <v>240</v>
      </c>
      <c r="DE3598" s="5" t="s">
        <v>240</v>
      </c>
      <c r="DF3598" s="5" t="s">
        <v>240</v>
      </c>
      <c r="DG3598" s="7">
        <f>0</f>
        <v>0</v>
      </c>
      <c r="DI3598" s="5" t="s">
        <v>240</v>
      </c>
      <c r="DJ3598" s="5" t="s">
        <v>240</v>
      </c>
      <c r="DK3598" s="5" t="s">
        <v>240</v>
      </c>
      <c r="DL3598" s="5" t="s">
        <v>240</v>
      </c>
      <c r="DM3598" s="5" t="s">
        <v>240</v>
      </c>
      <c r="DN3598" s="5" t="s">
        <v>240</v>
      </c>
      <c r="DO3598" s="7" t="s">
        <v>240</v>
      </c>
      <c r="DP3598" s="5" t="s">
        <v>240</v>
      </c>
      <c r="DQ3598" s="5" t="s">
        <v>240</v>
      </c>
      <c r="DR3598" s="5" t="s">
        <v>731</v>
      </c>
      <c r="DS3598" s="5" t="s">
        <v>731</v>
      </c>
      <c r="DT3598" s="5" t="s">
        <v>240</v>
      </c>
      <c r="DU3598" s="5" t="s">
        <v>240</v>
      </c>
      <c r="DV3598" s="5" t="s">
        <v>3683</v>
      </c>
      <c r="DW3598" s="5" t="s">
        <v>552</v>
      </c>
      <c r="DX3598" s="5" t="s">
        <v>240</v>
      </c>
      <c r="DY3598" s="5" t="s">
        <v>240</v>
      </c>
      <c r="DZ3598" s="5" t="s">
        <v>240</v>
      </c>
      <c r="EA3598" s="5" t="s">
        <v>240</v>
      </c>
      <c r="EB3598" s="5" t="s">
        <v>240</v>
      </c>
      <c r="EC3598" s="5" t="s">
        <v>240</v>
      </c>
      <c r="ED3598" s="5" t="s">
        <v>240</v>
      </c>
      <c r="EE3598" s="5" t="s">
        <v>240</v>
      </c>
      <c r="EF3598" s="5" t="s">
        <v>240</v>
      </c>
      <c r="EG3598" s="5" t="s">
        <v>240</v>
      </c>
      <c r="EH3598" s="5" t="s">
        <v>240</v>
      </c>
      <c r="EI3598" s="5" t="s">
        <v>240</v>
      </c>
      <c r="EJ3598" s="5" t="s">
        <v>240</v>
      </c>
      <c r="EK3598" s="5" t="s">
        <v>240</v>
      </c>
      <c r="EL3598" s="5" t="s">
        <v>240</v>
      </c>
      <c r="EM3598" s="5" t="s">
        <v>240</v>
      </c>
      <c r="EN3598" s="5" t="s">
        <v>240</v>
      </c>
      <c r="EO3598" s="5" t="s">
        <v>240</v>
      </c>
      <c r="EP3598" s="5" t="s">
        <v>240</v>
      </c>
      <c r="EQ3598" s="5" t="s">
        <v>240</v>
      </c>
      <c r="ER3598" s="5" t="s">
        <v>240</v>
      </c>
      <c r="ES3598" s="5" t="s">
        <v>240</v>
      </c>
      <c r="ET3598" s="5" t="s">
        <v>240</v>
      </c>
      <c r="EU3598" s="5" t="s">
        <v>240</v>
      </c>
      <c r="EV3598" s="5" t="s">
        <v>240</v>
      </c>
      <c r="EW3598" s="5" t="s">
        <v>240</v>
      </c>
      <c r="EX3598" s="5" t="s">
        <v>240</v>
      </c>
      <c r="EY3598" s="5" t="s">
        <v>240</v>
      </c>
      <c r="EZ3598" s="5" t="s">
        <v>240</v>
      </c>
      <c r="FA3598" s="5" t="s">
        <v>240</v>
      </c>
      <c r="FB3598" s="5" t="s">
        <v>240</v>
      </c>
      <c r="FC3598" s="5" t="s">
        <v>240</v>
      </c>
      <c r="FD3598" s="5" t="s">
        <v>240</v>
      </c>
      <c r="FE3598" s="5" t="s">
        <v>240</v>
      </c>
      <c r="FF3598" s="5" t="s">
        <v>240</v>
      </c>
      <c r="FG3598" s="5" t="s">
        <v>240</v>
      </c>
      <c r="FH3598" s="5" t="s">
        <v>240</v>
      </c>
      <c r="FI3598" s="5" t="s">
        <v>240</v>
      </c>
      <c r="FJ3598" s="5" t="s">
        <v>240</v>
      </c>
      <c r="FK3598" s="5" t="s">
        <v>240</v>
      </c>
      <c r="FL3598" s="5" t="s">
        <v>240</v>
      </c>
      <c r="FM3598" s="5" t="s">
        <v>240</v>
      </c>
      <c r="FN3598" s="5" t="s">
        <v>240</v>
      </c>
      <c r="FO3598" s="5" t="s">
        <v>240</v>
      </c>
      <c r="FP3598" s="5" t="s">
        <v>240</v>
      </c>
      <c r="FQ3598" s="5" t="s">
        <v>240</v>
      </c>
      <c r="FR3598" s="5" t="s">
        <v>240</v>
      </c>
      <c r="FS3598" s="5" t="s">
        <v>240</v>
      </c>
      <c r="FT3598" s="5" t="s">
        <v>240</v>
      </c>
      <c r="FU3598" s="5" t="s">
        <v>240</v>
      </c>
      <c r="FV3598" s="5" t="s">
        <v>240</v>
      </c>
      <c r="FW3598" s="5" t="s">
        <v>240</v>
      </c>
      <c r="FX3598" s="5" t="s">
        <v>240</v>
      </c>
      <c r="FY3598" s="5" t="s">
        <v>240</v>
      </c>
      <c r="FZ3598" s="5" t="s">
        <v>240</v>
      </c>
      <c r="GA3598" s="5" t="s">
        <v>240</v>
      </c>
      <c r="GB3598" s="5" t="s">
        <v>240</v>
      </c>
      <c r="GC3598" s="5" t="s">
        <v>240</v>
      </c>
      <c r="GD3598" s="5" t="s">
        <v>240</v>
      </c>
      <c r="GE3598" s="5" t="s">
        <v>240</v>
      </c>
      <c r="GF3598" s="5" t="s">
        <v>240</v>
      </c>
      <c r="GG3598" s="5" t="s">
        <v>240</v>
      </c>
      <c r="GH3598" s="5" t="s">
        <v>240</v>
      </c>
      <c r="GI3598" s="5" t="s">
        <v>240</v>
      </c>
      <c r="GJ3598" s="5" t="s">
        <v>240</v>
      </c>
      <c r="GK3598" s="5" t="s">
        <v>240</v>
      </c>
      <c r="GL3598" s="5" t="s">
        <v>240</v>
      </c>
      <c r="GM3598" s="5" t="s">
        <v>240</v>
      </c>
      <c r="GN3598" s="5" t="s">
        <v>240</v>
      </c>
      <c r="GO3598" s="5" t="s">
        <v>240</v>
      </c>
      <c r="GP3598" s="5" t="s">
        <v>240</v>
      </c>
      <c r="GQ3598" s="5" t="s">
        <v>240</v>
      </c>
      <c r="GR3598" s="5" t="s">
        <v>240</v>
      </c>
      <c r="GS3598" s="5" t="s">
        <v>240</v>
      </c>
      <c r="GT3598" s="5" t="s">
        <v>240</v>
      </c>
      <c r="GU3598" s="5" t="s">
        <v>240</v>
      </c>
      <c r="GV3598" s="5" t="s">
        <v>240</v>
      </c>
      <c r="GW3598" s="5" t="s">
        <v>240</v>
      </c>
      <c r="GX3598" s="5" t="s">
        <v>240</v>
      </c>
      <c r="GY3598" s="5" t="s">
        <v>240</v>
      </c>
      <c r="GZ3598" s="5" t="s">
        <v>240</v>
      </c>
      <c r="HA3598" s="5" t="s">
        <v>240</v>
      </c>
      <c r="HB3598" s="5" t="s">
        <v>240</v>
      </c>
      <c r="HC3598" s="5" t="s">
        <v>240</v>
      </c>
      <c r="HD3598" s="5" t="s">
        <v>240</v>
      </c>
      <c r="HE3598" s="5" t="s">
        <v>240</v>
      </c>
      <c r="HF3598" s="5" t="s">
        <v>240</v>
      </c>
      <c r="HG3598" s="5" t="s">
        <v>240</v>
      </c>
      <c r="HH3598" s="5" t="s">
        <v>240</v>
      </c>
      <c r="HI3598" s="5" t="s">
        <v>240</v>
      </c>
      <c r="HJ3598" s="5" t="s">
        <v>240</v>
      </c>
      <c r="HK3598" s="5" t="s">
        <v>240</v>
      </c>
      <c r="HL3598" s="5" t="s">
        <v>240</v>
      </c>
      <c r="HM3598" s="5" t="s">
        <v>240</v>
      </c>
      <c r="HN3598" s="5" t="s">
        <v>240</v>
      </c>
      <c r="HO3598" s="5" t="s">
        <v>312</v>
      </c>
      <c r="HP3598" s="5" t="s">
        <v>240</v>
      </c>
      <c r="HQ3598" s="5" t="s">
        <v>240</v>
      </c>
      <c r="HR3598" s="5" t="s">
        <v>240</v>
      </c>
      <c r="HS3598" s="5" t="s">
        <v>240</v>
      </c>
      <c r="HT3598" s="5" t="s">
        <v>240</v>
      </c>
      <c r="HU3598" s="5" t="s">
        <v>240</v>
      </c>
      <c r="HV3598" s="5" t="s">
        <v>240</v>
      </c>
      <c r="HW3598" s="5" t="s">
        <v>240</v>
      </c>
      <c r="HX3598" s="5" t="s">
        <v>240</v>
      </c>
      <c r="HY3598" s="5" t="s">
        <v>240</v>
      </c>
      <c r="HZ3598" s="5" t="s">
        <v>240</v>
      </c>
      <c r="IA3598" s="5" t="s">
        <v>240</v>
      </c>
      <c r="IB3598" s="5" t="s">
        <v>240</v>
      </c>
      <c r="IC3598" s="5" t="s">
        <v>240</v>
      </c>
      <c r="ID3598" s="5" t="s">
        <v>240</v>
      </c>
      <c r="IE3598" s="5" t="s">
        <v>240</v>
      </c>
      <c r="IF3598" s="5" t="s">
        <v>240</v>
      </c>
    </row>
    <row r="3599" spans="1:240" x14ac:dyDescent="0.4">
      <c r="A3599" s="5">
        <v>9141</v>
      </c>
      <c r="B3599" s="5">
        <v>1</v>
      </c>
      <c r="C3599" s="5">
        <v>1</v>
      </c>
      <c r="D3599" s="5" t="s">
        <v>723</v>
      </c>
      <c r="E3599" s="5" t="s">
        <v>725</v>
      </c>
      <c r="F3599" s="5" t="s">
        <v>254</v>
      </c>
      <c r="G3599" s="5" t="s">
        <v>5752</v>
      </c>
      <c r="H3599" s="6" t="s">
        <v>5753</v>
      </c>
      <c r="I3599" s="5" t="s">
        <v>5751</v>
      </c>
      <c r="J3599" s="7">
        <f>1</f>
        <v>1</v>
      </c>
      <c r="K3599" s="5" t="s">
        <v>3682</v>
      </c>
      <c r="L3599" s="7">
        <f>1</f>
        <v>1</v>
      </c>
      <c r="M3599" s="7">
        <f>1</f>
        <v>1</v>
      </c>
      <c r="N3599" s="5" t="s">
        <v>242</v>
      </c>
      <c r="O3599" s="5">
        <v>1</v>
      </c>
      <c r="P3599" s="5" t="s">
        <v>294</v>
      </c>
      <c r="Q3599" s="5" t="s">
        <v>613</v>
      </c>
      <c r="R3599" s="5" t="s">
        <v>240</v>
      </c>
      <c r="S3599" s="5" t="s">
        <v>240</v>
      </c>
      <c r="T3599" s="5" t="s">
        <v>243</v>
      </c>
      <c r="U3599" s="5" t="s">
        <v>724</v>
      </c>
      <c r="V3599" s="5" t="s">
        <v>240</v>
      </c>
      <c r="W3599" s="5" t="s">
        <v>240</v>
      </c>
      <c r="X3599" s="5" t="s">
        <v>240</v>
      </c>
      <c r="Y3599" s="5" t="s">
        <v>240</v>
      </c>
      <c r="Z3599" s="6" t="s">
        <v>298</v>
      </c>
      <c r="AA3599" s="6" t="s">
        <v>240</v>
      </c>
      <c r="AB3599" s="6" t="s">
        <v>240</v>
      </c>
      <c r="AC3599" s="5" t="s">
        <v>240</v>
      </c>
      <c r="AD3599" s="6" t="s">
        <v>240</v>
      </c>
      <c r="AE3599" s="6" t="s">
        <v>299</v>
      </c>
      <c r="AF3599" s="5" t="s">
        <v>727</v>
      </c>
      <c r="AG3599" s="5" t="s">
        <v>260</v>
      </c>
      <c r="AH3599" s="5" t="s">
        <v>240</v>
      </c>
      <c r="AI3599" s="5" t="s">
        <v>240</v>
      </c>
      <c r="AJ3599" s="5" t="s">
        <v>240</v>
      </c>
      <c r="AK3599" s="5" t="s">
        <v>240</v>
      </c>
      <c r="AL3599" s="5" t="s">
        <v>240</v>
      </c>
      <c r="AM3599" s="5" t="s">
        <v>240</v>
      </c>
      <c r="AN3599" s="5" t="s">
        <v>240</v>
      </c>
      <c r="AO3599" s="5" t="s">
        <v>240</v>
      </c>
      <c r="AP3599" s="6" t="s">
        <v>240</v>
      </c>
      <c r="AQ3599" s="6" t="s">
        <v>240</v>
      </c>
      <c r="AR3599" s="6" t="s">
        <v>240</v>
      </c>
      <c r="AS3599" s="6" t="s">
        <v>240</v>
      </c>
      <c r="AT3599" s="5" t="s">
        <v>240</v>
      </c>
      <c r="AU3599" s="5" t="s">
        <v>729</v>
      </c>
      <c r="AV3599" s="5" t="s">
        <v>729</v>
      </c>
      <c r="AW3599" s="5" t="s">
        <v>251</v>
      </c>
      <c r="AX3599" s="5" t="s">
        <v>252</v>
      </c>
      <c r="AY3599" s="5" t="s">
        <v>253</v>
      </c>
      <c r="AZ3599" s="5" t="s">
        <v>240</v>
      </c>
      <c r="BA3599" s="5" t="s">
        <v>255</v>
      </c>
      <c r="BB3599" s="5" t="s">
        <v>731</v>
      </c>
      <c r="BD3599" s="5" t="s">
        <v>240</v>
      </c>
      <c r="BF3599" s="5" t="s">
        <v>732</v>
      </c>
      <c r="BG3599" s="6" t="s">
        <v>733</v>
      </c>
      <c r="BH3599" s="5" t="s">
        <v>734</v>
      </c>
      <c r="BI3599" s="5" t="s">
        <v>734</v>
      </c>
      <c r="BJ3599" s="5" t="s">
        <v>240</v>
      </c>
      <c r="BK3599" s="8">
        <f>5339</f>
        <v>5339</v>
      </c>
      <c r="BL3599" s="7">
        <f>0</f>
        <v>0</v>
      </c>
      <c r="BM3599" s="5" t="s">
        <v>258</v>
      </c>
      <c r="BN3599" s="5" t="s">
        <v>259</v>
      </c>
      <c r="BO3599" s="5" t="s">
        <v>240</v>
      </c>
      <c r="BP3599" s="5" t="s">
        <v>240</v>
      </c>
      <c r="BQ3599" s="5" t="s">
        <v>240</v>
      </c>
      <c r="BR3599" s="5" t="s">
        <v>240</v>
      </c>
      <c r="BS3599" s="5" t="s">
        <v>240</v>
      </c>
      <c r="BT3599" s="5" t="s">
        <v>240</v>
      </c>
      <c r="BU3599" s="5" t="s">
        <v>240</v>
      </c>
      <c r="BV3599" s="5" t="s">
        <v>240</v>
      </c>
      <c r="BW3599" s="6" t="s">
        <v>240</v>
      </c>
      <c r="BX3599" s="5" t="s">
        <v>240</v>
      </c>
      <c r="BY3599" s="5" t="s">
        <v>240</v>
      </c>
      <c r="BZ3599" s="5" t="s">
        <v>240</v>
      </c>
      <c r="CA3599" s="5" t="s">
        <v>259</v>
      </c>
      <c r="CB3599" s="5" t="s">
        <v>240</v>
      </c>
      <c r="CC3599" s="5" t="s">
        <v>240</v>
      </c>
      <c r="CD3599" s="5" t="s">
        <v>240</v>
      </c>
      <c r="CE3599" s="5" t="s">
        <v>240</v>
      </c>
      <c r="CF3599" s="5" t="s">
        <v>240</v>
      </c>
      <c r="CG3599" s="5" t="s">
        <v>617</v>
      </c>
      <c r="CH3599" s="5" t="s">
        <v>305</v>
      </c>
      <c r="CI3599" s="5" t="s">
        <v>240</v>
      </c>
      <c r="CL3599" s="6" t="s">
        <v>261</v>
      </c>
      <c r="CM3599" s="5" t="s">
        <v>262</v>
      </c>
      <c r="CN3599" s="5" t="s">
        <v>263</v>
      </c>
      <c r="CO3599" s="5" t="s">
        <v>264</v>
      </c>
      <c r="CP3599" s="5" t="s">
        <v>240</v>
      </c>
      <c r="CQ3599" s="5">
        <v>0</v>
      </c>
      <c r="CR3599" s="5" t="s">
        <v>735</v>
      </c>
      <c r="CS3599" s="5" t="s">
        <v>307</v>
      </c>
      <c r="CT3599" s="5" t="s">
        <v>307</v>
      </c>
      <c r="CU3599" s="5" t="s">
        <v>260</v>
      </c>
      <c r="CV3599" s="5" t="s">
        <v>240</v>
      </c>
      <c r="CW3599" s="8">
        <f>0</f>
        <v>0</v>
      </c>
      <c r="CX3599" s="7">
        <f>0</f>
        <v>0</v>
      </c>
      <c r="CY3599" s="7">
        <f>0</f>
        <v>0</v>
      </c>
      <c r="DA3599" s="7">
        <f>58729</f>
        <v>58729</v>
      </c>
      <c r="DB3599" s="7" t="s">
        <v>240</v>
      </c>
      <c r="DC3599" s="5" t="s">
        <v>240</v>
      </c>
      <c r="DD3599" s="5" t="s">
        <v>240</v>
      </c>
      <c r="DE3599" s="5" t="s">
        <v>240</v>
      </c>
      <c r="DF3599" s="5" t="s">
        <v>450</v>
      </c>
      <c r="DG3599" s="7">
        <f>0</f>
        <v>0</v>
      </c>
      <c r="DI3599" s="5" t="s">
        <v>737</v>
      </c>
      <c r="DJ3599" s="5" t="s">
        <v>240</v>
      </c>
      <c r="DK3599" s="5" t="s">
        <v>240</v>
      </c>
      <c r="DL3599" s="5" t="s">
        <v>240</v>
      </c>
      <c r="DM3599" s="5" t="s">
        <v>240</v>
      </c>
      <c r="DN3599" s="5" t="s">
        <v>240</v>
      </c>
      <c r="DO3599" s="7" t="s">
        <v>240</v>
      </c>
      <c r="DP3599" s="5" t="s">
        <v>240</v>
      </c>
      <c r="DQ3599" s="5" t="s">
        <v>240</v>
      </c>
      <c r="DR3599" s="5" t="s">
        <v>731</v>
      </c>
      <c r="DS3599" s="5" t="s">
        <v>731</v>
      </c>
      <c r="DT3599" s="5" t="s">
        <v>240</v>
      </c>
      <c r="DU3599" s="5" t="s">
        <v>240</v>
      </c>
      <c r="DV3599" s="5" t="s">
        <v>738</v>
      </c>
      <c r="DW3599" s="5" t="s">
        <v>566</v>
      </c>
      <c r="DX3599" s="5" t="s">
        <v>240</v>
      </c>
      <c r="DY3599" s="5" t="s">
        <v>240</v>
      </c>
      <c r="DZ3599" s="5" t="s">
        <v>240</v>
      </c>
      <c r="EA3599" s="5" t="s">
        <v>240</v>
      </c>
      <c r="EB3599" s="5" t="s">
        <v>240</v>
      </c>
      <c r="EC3599" s="5" t="s">
        <v>240</v>
      </c>
      <c r="ED3599" s="5" t="s">
        <v>240</v>
      </c>
      <c r="EE3599" s="5" t="s">
        <v>240</v>
      </c>
      <c r="EF3599" s="5" t="s">
        <v>240</v>
      </c>
      <c r="EG3599" s="5" t="s">
        <v>240</v>
      </c>
      <c r="EH3599" s="5" t="s">
        <v>240</v>
      </c>
      <c r="EI3599" s="5" t="s">
        <v>240</v>
      </c>
      <c r="EJ3599" s="5" t="s">
        <v>240</v>
      </c>
      <c r="EK3599" s="5" t="s">
        <v>240</v>
      </c>
      <c r="EL3599" s="5" t="s">
        <v>240</v>
      </c>
      <c r="EM3599" s="5" t="s">
        <v>240</v>
      </c>
      <c r="EN3599" s="5" t="s">
        <v>240</v>
      </c>
      <c r="EO3599" s="5" t="s">
        <v>240</v>
      </c>
      <c r="EP3599" s="5" t="s">
        <v>240</v>
      </c>
      <c r="EQ3599" s="5" t="s">
        <v>240</v>
      </c>
      <c r="ER3599" s="5" t="s">
        <v>240</v>
      </c>
      <c r="ES3599" s="5" t="s">
        <v>240</v>
      </c>
      <c r="ET3599" s="5" t="s">
        <v>240</v>
      </c>
      <c r="EU3599" s="5" t="s">
        <v>240</v>
      </c>
      <c r="EV3599" s="5" t="s">
        <v>240</v>
      </c>
      <c r="EW3599" s="5" t="s">
        <v>240</v>
      </c>
      <c r="EX3599" s="5" t="s">
        <v>240</v>
      </c>
      <c r="EY3599" s="5" t="s">
        <v>240</v>
      </c>
      <c r="EZ3599" s="5" t="s">
        <v>240</v>
      </c>
      <c r="FA3599" s="5" t="s">
        <v>240</v>
      </c>
      <c r="FB3599" s="5" t="s">
        <v>240</v>
      </c>
      <c r="FC3599" s="5" t="s">
        <v>240</v>
      </c>
      <c r="FD3599" s="5" t="s">
        <v>240</v>
      </c>
      <c r="FE3599" s="5" t="s">
        <v>240</v>
      </c>
      <c r="FF3599" s="5" t="s">
        <v>240</v>
      </c>
      <c r="FG3599" s="5" t="s">
        <v>240</v>
      </c>
      <c r="FH3599" s="5" t="s">
        <v>240</v>
      </c>
      <c r="FI3599" s="5" t="s">
        <v>240</v>
      </c>
      <c r="FJ3599" s="5" t="s">
        <v>240</v>
      </c>
      <c r="FK3599" s="5" t="s">
        <v>240</v>
      </c>
      <c r="FL3599" s="5" t="s">
        <v>240</v>
      </c>
      <c r="FM3599" s="5" t="s">
        <v>240</v>
      </c>
      <c r="FN3599" s="5" t="s">
        <v>240</v>
      </c>
      <c r="FO3599" s="5" t="s">
        <v>240</v>
      </c>
      <c r="FP3599" s="5" t="s">
        <v>240</v>
      </c>
      <c r="FQ3599" s="5" t="s">
        <v>240</v>
      </c>
      <c r="FR3599" s="5" t="s">
        <v>240</v>
      </c>
      <c r="FS3599" s="5" t="s">
        <v>240</v>
      </c>
      <c r="FT3599" s="5" t="s">
        <v>240</v>
      </c>
      <c r="FU3599" s="5" t="s">
        <v>240</v>
      </c>
      <c r="FV3599" s="5" t="s">
        <v>240</v>
      </c>
      <c r="FW3599" s="5" t="s">
        <v>240</v>
      </c>
      <c r="FX3599" s="5" t="s">
        <v>240</v>
      </c>
      <c r="FY3599" s="5" t="s">
        <v>240</v>
      </c>
      <c r="FZ3599" s="5" t="s">
        <v>240</v>
      </c>
      <c r="GA3599" s="5" t="s">
        <v>240</v>
      </c>
      <c r="GB3599" s="5" t="s">
        <v>240</v>
      </c>
      <c r="GC3599" s="5" t="s">
        <v>240</v>
      </c>
      <c r="GD3599" s="5" t="s">
        <v>240</v>
      </c>
      <c r="GE3599" s="5" t="s">
        <v>240</v>
      </c>
      <c r="GF3599" s="5" t="s">
        <v>240</v>
      </c>
      <c r="GG3599" s="5" t="s">
        <v>240</v>
      </c>
      <c r="GH3599" s="5" t="s">
        <v>240</v>
      </c>
      <c r="GI3599" s="5" t="s">
        <v>240</v>
      </c>
      <c r="GJ3599" s="5" t="s">
        <v>240</v>
      </c>
      <c r="GK3599" s="5" t="s">
        <v>240</v>
      </c>
      <c r="GL3599" s="5" t="s">
        <v>240</v>
      </c>
      <c r="GM3599" s="5" t="s">
        <v>240</v>
      </c>
      <c r="GN3599" s="5" t="s">
        <v>240</v>
      </c>
      <c r="GO3599" s="5" t="s">
        <v>240</v>
      </c>
      <c r="GP3599" s="5" t="s">
        <v>240</v>
      </c>
      <c r="GQ3599" s="5" t="s">
        <v>240</v>
      </c>
      <c r="GR3599" s="5" t="s">
        <v>240</v>
      </c>
      <c r="GS3599" s="5" t="s">
        <v>240</v>
      </c>
      <c r="GT3599" s="5" t="s">
        <v>240</v>
      </c>
      <c r="GU3599" s="5" t="s">
        <v>240</v>
      </c>
      <c r="GV3599" s="5" t="s">
        <v>240</v>
      </c>
      <c r="GW3599" s="5" t="s">
        <v>240</v>
      </c>
      <c r="GX3599" s="5" t="s">
        <v>240</v>
      </c>
      <c r="GY3599" s="5" t="s">
        <v>240</v>
      </c>
      <c r="GZ3599" s="5" t="s">
        <v>240</v>
      </c>
      <c r="HA3599" s="5" t="s">
        <v>240</v>
      </c>
      <c r="HB3599" s="5" t="s">
        <v>240</v>
      </c>
      <c r="HC3599" s="5" t="s">
        <v>240</v>
      </c>
      <c r="HD3599" s="5" t="s">
        <v>240</v>
      </c>
      <c r="HE3599" s="5" t="s">
        <v>240</v>
      </c>
      <c r="HF3599" s="5" t="s">
        <v>240</v>
      </c>
      <c r="HG3599" s="5" t="s">
        <v>240</v>
      </c>
      <c r="HH3599" s="5" t="s">
        <v>240</v>
      </c>
      <c r="HI3599" s="5" t="s">
        <v>240</v>
      </c>
      <c r="HJ3599" s="5" t="s">
        <v>240</v>
      </c>
      <c r="HK3599" s="5" t="s">
        <v>240</v>
      </c>
      <c r="HL3599" s="5" t="s">
        <v>240</v>
      </c>
      <c r="HM3599" s="5" t="s">
        <v>240</v>
      </c>
      <c r="HN3599" s="5" t="s">
        <v>240</v>
      </c>
      <c r="HO3599" s="5" t="s">
        <v>620</v>
      </c>
      <c r="HP3599" s="5" t="s">
        <v>240</v>
      </c>
      <c r="HQ3599" s="5" t="s">
        <v>240</v>
      </c>
      <c r="HR3599" s="5" t="s">
        <v>240</v>
      </c>
      <c r="HS3599" s="5" t="s">
        <v>240</v>
      </c>
      <c r="HT3599" s="5" t="s">
        <v>240</v>
      </c>
      <c r="HU3599" s="5" t="s">
        <v>240</v>
      </c>
      <c r="HV3599" s="5" t="s">
        <v>240</v>
      </c>
      <c r="HW3599" s="5" t="s">
        <v>240</v>
      </c>
      <c r="HX3599" s="5" t="s">
        <v>240</v>
      </c>
      <c r="HY3599" s="5" t="s">
        <v>240</v>
      </c>
      <c r="HZ3599" s="5" t="s">
        <v>240</v>
      </c>
      <c r="IA3599" s="5" t="s">
        <v>240</v>
      </c>
      <c r="IB3599" s="5" t="s">
        <v>240</v>
      </c>
      <c r="IC3599" s="5" t="s">
        <v>240</v>
      </c>
      <c r="ID3599" s="5" t="s">
        <v>240</v>
      </c>
      <c r="IE3599" s="5" t="s">
        <v>240</v>
      </c>
      <c r="IF3599" s="5" t="s">
        <v>240</v>
      </c>
    </row>
    <row r="3600" spans="1:240" x14ac:dyDescent="0.4">
      <c r="A3600" s="5">
        <v>9142</v>
      </c>
      <c r="B3600" s="5">
        <v>1</v>
      </c>
      <c r="C3600" s="5">
        <v>1</v>
      </c>
      <c r="D3600" s="5" t="s">
        <v>723</v>
      </c>
      <c r="E3600" s="5" t="s">
        <v>725</v>
      </c>
      <c r="F3600" s="5" t="s">
        <v>254</v>
      </c>
      <c r="G3600" s="5" t="s">
        <v>5749</v>
      </c>
      <c r="H3600" s="6" t="s">
        <v>5750</v>
      </c>
      <c r="I3600" s="5" t="s">
        <v>5748</v>
      </c>
      <c r="J3600" s="7">
        <f>1</f>
        <v>1</v>
      </c>
      <c r="K3600" s="5" t="s">
        <v>3682</v>
      </c>
      <c r="L3600" s="7">
        <f>1</f>
        <v>1</v>
      </c>
      <c r="M3600" s="7">
        <f>1</f>
        <v>1</v>
      </c>
      <c r="N3600" s="5" t="s">
        <v>242</v>
      </c>
      <c r="O3600" s="5">
        <v>1</v>
      </c>
      <c r="P3600" s="5" t="s">
        <v>294</v>
      </c>
      <c r="Q3600" s="5" t="s">
        <v>3678</v>
      </c>
      <c r="R3600" s="5" t="s">
        <v>240</v>
      </c>
      <c r="S3600" s="5" t="s">
        <v>240</v>
      </c>
      <c r="T3600" s="5" t="s">
        <v>243</v>
      </c>
      <c r="U3600" s="5" t="s">
        <v>244</v>
      </c>
      <c r="V3600" s="5" t="s">
        <v>240</v>
      </c>
      <c r="W3600" s="5" t="s">
        <v>240</v>
      </c>
      <c r="X3600" s="5" t="s">
        <v>240</v>
      </c>
      <c r="Y3600" s="5" t="s">
        <v>240</v>
      </c>
      <c r="Z3600" s="6" t="s">
        <v>298</v>
      </c>
      <c r="AA3600" s="6" t="s">
        <v>240</v>
      </c>
      <c r="AB3600" s="6" t="s">
        <v>240</v>
      </c>
      <c r="AC3600" s="5" t="s">
        <v>240</v>
      </c>
      <c r="AD3600" s="6" t="s">
        <v>240</v>
      </c>
      <c r="AE3600" s="6" t="s">
        <v>299</v>
      </c>
      <c r="AF3600" s="5" t="s">
        <v>248</v>
      </c>
      <c r="AG3600" s="5" t="s">
        <v>249</v>
      </c>
      <c r="AH3600" s="5" t="s">
        <v>240</v>
      </c>
      <c r="AI3600" s="5" t="s">
        <v>240</v>
      </c>
      <c r="AJ3600" s="5" t="s">
        <v>240</v>
      </c>
      <c r="AK3600" s="5" t="s">
        <v>240</v>
      </c>
      <c r="AL3600" s="5" t="s">
        <v>240</v>
      </c>
      <c r="AM3600" s="5" t="s">
        <v>240</v>
      </c>
      <c r="AN3600" s="5" t="s">
        <v>240</v>
      </c>
      <c r="AO3600" s="5" t="s">
        <v>240</v>
      </c>
      <c r="AP3600" s="6" t="s">
        <v>240</v>
      </c>
      <c r="AQ3600" s="6" t="s">
        <v>240</v>
      </c>
      <c r="AR3600" s="6" t="s">
        <v>240</v>
      </c>
      <c r="AS3600" s="6" t="s">
        <v>240</v>
      </c>
      <c r="AT3600" s="5" t="s">
        <v>240</v>
      </c>
      <c r="AU3600" s="5" t="s">
        <v>729</v>
      </c>
      <c r="AV3600" s="5" t="s">
        <v>729</v>
      </c>
      <c r="AW3600" s="5" t="s">
        <v>251</v>
      </c>
      <c r="AX3600" s="5" t="s">
        <v>252</v>
      </c>
      <c r="AY3600" s="5" t="s">
        <v>253</v>
      </c>
      <c r="AZ3600" s="5" t="s">
        <v>240</v>
      </c>
      <c r="BA3600" s="5" t="s">
        <v>255</v>
      </c>
      <c r="BB3600" s="5" t="s">
        <v>731</v>
      </c>
      <c r="BD3600" s="5" t="s">
        <v>240</v>
      </c>
      <c r="BF3600" s="5" t="s">
        <v>732</v>
      </c>
      <c r="BG3600" s="6" t="s">
        <v>733</v>
      </c>
      <c r="BH3600" s="5" t="s">
        <v>734</v>
      </c>
      <c r="BI3600" s="5" t="s">
        <v>734</v>
      </c>
      <c r="BJ3600" s="5" t="s">
        <v>240</v>
      </c>
      <c r="BK3600" s="7">
        <f>1</f>
        <v>1</v>
      </c>
      <c r="BL3600" s="7">
        <f>1</f>
        <v>1</v>
      </c>
      <c r="BM3600" s="5" t="s">
        <v>258</v>
      </c>
      <c r="BN3600" s="5" t="s">
        <v>259</v>
      </c>
      <c r="BO3600" s="5" t="s">
        <v>240</v>
      </c>
      <c r="BP3600" s="5" t="s">
        <v>240</v>
      </c>
      <c r="BQ3600" s="5" t="s">
        <v>240</v>
      </c>
      <c r="BR3600" s="5" t="s">
        <v>240</v>
      </c>
      <c r="BS3600" s="5" t="s">
        <v>240</v>
      </c>
      <c r="BT3600" s="5" t="s">
        <v>240</v>
      </c>
      <c r="BU3600" s="5" t="s">
        <v>240</v>
      </c>
      <c r="BV3600" s="5" t="s">
        <v>240</v>
      </c>
      <c r="BW3600" s="6" t="s">
        <v>240</v>
      </c>
      <c r="BX3600" s="5" t="s">
        <v>240</v>
      </c>
      <c r="BY3600" s="5" t="s">
        <v>240</v>
      </c>
      <c r="BZ3600" s="5" t="s">
        <v>240</v>
      </c>
      <c r="CA3600" s="5" t="s">
        <v>259</v>
      </c>
      <c r="CB3600" s="5" t="s">
        <v>240</v>
      </c>
      <c r="CC3600" s="5" t="s">
        <v>240</v>
      </c>
      <c r="CD3600" s="5" t="s">
        <v>240</v>
      </c>
      <c r="CE3600" s="5" t="s">
        <v>240</v>
      </c>
      <c r="CF3600" s="5" t="s">
        <v>240</v>
      </c>
      <c r="CG3600" s="5" t="s">
        <v>304</v>
      </c>
      <c r="CH3600" s="5" t="s">
        <v>305</v>
      </c>
      <c r="CI3600" s="5" t="s">
        <v>240</v>
      </c>
      <c r="CK3600" s="5" t="s">
        <v>3681</v>
      </c>
      <c r="CL3600" s="6" t="s">
        <v>261</v>
      </c>
      <c r="CM3600" s="5" t="s">
        <v>262</v>
      </c>
      <c r="CN3600" s="5" t="s">
        <v>263</v>
      </c>
      <c r="CO3600" s="5" t="s">
        <v>264</v>
      </c>
      <c r="CP3600" s="5" t="s">
        <v>240</v>
      </c>
      <c r="CQ3600" s="5">
        <v>0</v>
      </c>
      <c r="CR3600" s="5" t="s">
        <v>735</v>
      </c>
      <c r="CS3600" s="5" t="s">
        <v>307</v>
      </c>
      <c r="CT3600" s="5" t="s">
        <v>307</v>
      </c>
      <c r="CU3600" s="5" t="s">
        <v>260</v>
      </c>
      <c r="CV3600" s="5" t="s">
        <v>612</v>
      </c>
      <c r="CW3600" s="8">
        <f>1</f>
        <v>1</v>
      </c>
      <c r="CX3600" s="7">
        <f>1</f>
        <v>1</v>
      </c>
      <c r="CY3600" s="7">
        <f>0</f>
        <v>0</v>
      </c>
      <c r="DA3600" s="7">
        <f>1</f>
        <v>1</v>
      </c>
      <c r="DB3600" s="7" t="s">
        <v>240</v>
      </c>
      <c r="DC3600" s="5" t="s">
        <v>240</v>
      </c>
      <c r="DD3600" s="5" t="s">
        <v>240</v>
      </c>
      <c r="DE3600" s="5" t="s">
        <v>240</v>
      </c>
      <c r="DF3600" s="5" t="s">
        <v>240</v>
      </c>
      <c r="DG3600" s="7">
        <f>0</f>
        <v>0</v>
      </c>
      <c r="DI3600" s="5" t="s">
        <v>240</v>
      </c>
      <c r="DJ3600" s="5" t="s">
        <v>240</v>
      </c>
      <c r="DK3600" s="5" t="s">
        <v>240</v>
      </c>
      <c r="DL3600" s="5" t="s">
        <v>240</v>
      </c>
      <c r="DM3600" s="5" t="s">
        <v>240</v>
      </c>
      <c r="DN3600" s="5" t="s">
        <v>240</v>
      </c>
      <c r="DO3600" s="7" t="s">
        <v>240</v>
      </c>
      <c r="DP3600" s="5" t="s">
        <v>240</v>
      </c>
      <c r="DQ3600" s="5" t="s">
        <v>240</v>
      </c>
      <c r="DR3600" s="5" t="s">
        <v>731</v>
      </c>
      <c r="DS3600" s="5" t="s">
        <v>731</v>
      </c>
      <c r="DT3600" s="5" t="s">
        <v>240</v>
      </c>
      <c r="DU3600" s="5" t="s">
        <v>240</v>
      </c>
      <c r="DV3600" s="5" t="s">
        <v>3683</v>
      </c>
      <c r="DW3600" s="5" t="s">
        <v>576</v>
      </c>
      <c r="DX3600" s="5" t="s">
        <v>240</v>
      </c>
      <c r="DY3600" s="5" t="s">
        <v>240</v>
      </c>
      <c r="DZ3600" s="5" t="s">
        <v>240</v>
      </c>
      <c r="EA3600" s="5" t="s">
        <v>240</v>
      </c>
      <c r="EB3600" s="5" t="s">
        <v>240</v>
      </c>
      <c r="EC3600" s="5" t="s">
        <v>240</v>
      </c>
      <c r="ED3600" s="5" t="s">
        <v>240</v>
      </c>
      <c r="EE3600" s="5" t="s">
        <v>240</v>
      </c>
      <c r="EF3600" s="5" t="s">
        <v>240</v>
      </c>
      <c r="EG3600" s="5" t="s">
        <v>240</v>
      </c>
      <c r="EH3600" s="5" t="s">
        <v>240</v>
      </c>
      <c r="EI3600" s="5" t="s">
        <v>240</v>
      </c>
      <c r="EJ3600" s="5" t="s">
        <v>240</v>
      </c>
      <c r="EK3600" s="5" t="s">
        <v>240</v>
      </c>
      <c r="EL3600" s="5" t="s">
        <v>240</v>
      </c>
      <c r="EM3600" s="5" t="s">
        <v>240</v>
      </c>
      <c r="EN3600" s="5" t="s">
        <v>240</v>
      </c>
      <c r="EO3600" s="5" t="s">
        <v>240</v>
      </c>
      <c r="EP3600" s="5" t="s">
        <v>240</v>
      </c>
      <c r="EQ3600" s="5" t="s">
        <v>240</v>
      </c>
      <c r="ER3600" s="5" t="s">
        <v>240</v>
      </c>
      <c r="ES3600" s="5" t="s">
        <v>240</v>
      </c>
      <c r="ET3600" s="5" t="s">
        <v>240</v>
      </c>
      <c r="EU3600" s="5" t="s">
        <v>240</v>
      </c>
      <c r="EV3600" s="5" t="s">
        <v>240</v>
      </c>
      <c r="EW3600" s="5" t="s">
        <v>240</v>
      </c>
      <c r="EX3600" s="5" t="s">
        <v>240</v>
      </c>
      <c r="EY3600" s="5" t="s">
        <v>240</v>
      </c>
      <c r="EZ3600" s="5" t="s">
        <v>240</v>
      </c>
      <c r="FA3600" s="5" t="s">
        <v>240</v>
      </c>
      <c r="FB3600" s="5" t="s">
        <v>240</v>
      </c>
      <c r="FC3600" s="5" t="s">
        <v>240</v>
      </c>
      <c r="FD3600" s="5" t="s">
        <v>240</v>
      </c>
      <c r="FE3600" s="5" t="s">
        <v>240</v>
      </c>
      <c r="FF3600" s="5" t="s">
        <v>240</v>
      </c>
      <c r="FG3600" s="5" t="s">
        <v>240</v>
      </c>
      <c r="FH3600" s="5" t="s">
        <v>240</v>
      </c>
      <c r="FI3600" s="5" t="s">
        <v>240</v>
      </c>
      <c r="FJ3600" s="5" t="s">
        <v>240</v>
      </c>
      <c r="FK3600" s="5" t="s">
        <v>240</v>
      </c>
      <c r="FL3600" s="5" t="s">
        <v>240</v>
      </c>
      <c r="FM3600" s="5" t="s">
        <v>240</v>
      </c>
      <c r="FN3600" s="5" t="s">
        <v>240</v>
      </c>
      <c r="FO3600" s="5" t="s">
        <v>240</v>
      </c>
      <c r="FP3600" s="5" t="s">
        <v>240</v>
      </c>
      <c r="FQ3600" s="5" t="s">
        <v>240</v>
      </c>
      <c r="FR3600" s="5" t="s">
        <v>240</v>
      </c>
      <c r="FS3600" s="5" t="s">
        <v>240</v>
      </c>
      <c r="FT3600" s="5" t="s">
        <v>240</v>
      </c>
      <c r="FU3600" s="5" t="s">
        <v>240</v>
      </c>
      <c r="FV3600" s="5" t="s">
        <v>240</v>
      </c>
      <c r="FW3600" s="5" t="s">
        <v>240</v>
      </c>
      <c r="FX3600" s="5" t="s">
        <v>240</v>
      </c>
      <c r="FY3600" s="5" t="s">
        <v>240</v>
      </c>
      <c r="FZ3600" s="5" t="s">
        <v>240</v>
      </c>
      <c r="GA3600" s="5" t="s">
        <v>240</v>
      </c>
      <c r="GB3600" s="5" t="s">
        <v>240</v>
      </c>
      <c r="GC3600" s="5" t="s">
        <v>240</v>
      </c>
      <c r="GD3600" s="5" t="s">
        <v>240</v>
      </c>
      <c r="GE3600" s="5" t="s">
        <v>240</v>
      </c>
      <c r="GF3600" s="5" t="s">
        <v>240</v>
      </c>
      <c r="GG3600" s="5" t="s">
        <v>240</v>
      </c>
      <c r="GH3600" s="5" t="s">
        <v>240</v>
      </c>
      <c r="GI3600" s="5" t="s">
        <v>240</v>
      </c>
      <c r="GJ3600" s="5" t="s">
        <v>240</v>
      </c>
      <c r="GK3600" s="5" t="s">
        <v>240</v>
      </c>
      <c r="GL3600" s="5" t="s">
        <v>240</v>
      </c>
      <c r="GM3600" s="5" t="s">
        <v>240</v>
      </c>
      <c r="GN3600" s="5" t="s">
        <v>240</v>
      </c>
      <c r="GO3600" s="5" t="s">
        <v>240</v>
      </c>
      <c r="GP3600" s="5" t="s">
        <v>240</v>
      </c>
      <c r="GQ3600" s="5" t="s">
        <v>240</v>
      </c>
      <c r="GR3600" s="5" t="s">
        <v>240</v>
      </c>
      <c r="GS3600" s="5" t="s">
        <v>240</v>
      </c>
      <c r="GT3600" s="5" t="s">
        <v>240</v>
      </c>
      <c r="GU3600" s="5" t="s">
        <v>240</v>
      </c>
      <c r="GV3600" s="5" t="s">
        <v>240</v>
      </c>
      <c r="GW3600" s="5" t="s">
        <v>240</v>
      </c>
      <c r="GX3600" s="5" t="s">
        <v>240</v>
      </c>
      <c r="GY3600" s="5" t="s">
        <v>240</v>
      </c>
      <c r="GZ3600" s="5" t="s">
        <v>240</v>
      </c>
      <c r="HA3600" s="5" t="s">
        <v>240</v>
      </c>
      <c r="HB3600" s="5" t="s">
        <v>240</v>
      </c>
      <c r="HC3600" s="5" t="s">
        <v>240</v>
      </c>
      <c r="HD3600" s="5" t="s">
        <v>240</v>
      </c>
      <c r="HE3600" s="5" t="s">
        <v>240</v>
      </c>
      <c r="HF3600" s="5" t="s">
        <v>240</v>
      </c>
      <c r="HG3600" s="5" t="s">
        <v>240</v>
      </c>
      <c r="HH3600" s="5" t="s">
        <v>240</v>
      </c>
      <c r="HI3600" s="5" t="s">
        <v>240</v>
      </c>
      <c r="HJ3600" s="5" t="s">
        <v>240</v>
      </c>
      <c r="HK3600" s="5" t="s">
        <v>240</v>
      </c>
      <c r="HL3600" s="5" t="s">
        <v>240</v>
      </c>
      <c r="HM3600" s="5" t="s">
        <v>240</v>
      </c>
      <c r="HN3600" s="5" t="s">
        <v>240</v>
      </c>
      <c r="HO3600" s="5" t="s">
        <v>312</v>
      </c>
      <c r="HP3600" s="5" t="s">
        <v>240</v>
      </c>
      <c r="HQ3600" s="5" t="s">
        <v>240</v>
      </c>
      <c r="HR3600" s="5" t="s">
        <v>240</v>
      </c>
      <c r="HS3600" s="5" t="s">
        <v>240</v>
      </c>
      <c r="HT3600" s="5" t="s">
        <v>240</v>
      </c>
      <c r="HU3600" s="5" t="s">
        <v>240</v>
      </c>
      <c r="HV3600" s="5" t="s">
        <v>240</v>
      </c>
      <c r="HW3600" s="5" t="s">
        <v>240</v>
      </c>
      <c r="HX3600" s="5" t="s">
        <v>240</v>
      </c>
      <c r="HY3600" s="5" t="s">
        <v>240</v>
      </c>
      <c r="HZ3600" s="5" t="s">
        <v>240</v>
      </c>
      <c r="IA3600" s="5" t="s">
        <v>240</v>
      </c>
      <c r="IB3600" s="5" t="s">
        <v>240</v>
      </c>
      <c r="IC3600" s="5" t="s">
        <v>240</v>
      </c>
      <c r="ID3600" s="5" t="s">
        <v>240</v>
      </c>
      <c r="IE3600" s="5" t="s">
        <v>240</v>
      </c>
      <c r="IF3600" s="5" t="s">
        <v>240</v>
      </c>
    </row>
    <row r="3601" spans="1:240" x14ac:dyDescent="0.4">
      <c r="A3601" s="5">
        <v>9143</v>
      </c>
      <c r="B3601" s="5">
        <v>1</v>
      </c>
      <c r="C3601" s="5">
        <v>1</v>
      </c>
      <c r="D3601" s="5" t="s">
        <v>723</v>
      </c>
      <c r="E3601" s="5" t="s">
        <v>725</v>
      </c>
      <c r="F3601" s="5" t="s">
        <v>254</v>
      </c>
      <c r="G3601" s="5" t="s">
        <v>726</v>
      </c>
      <c r="H3601" s="6" t="s">
        <v>5747</v>
      </c>
      <c r="I3601" s="5" t="s">
        <v>5746</v>
      </c>
      <c r="J3601" s="7">
        <f>1</f>
        <v>1</v>
      </c>
      <c r="K3601" s="5" t="s">
        <v>3682</v>
      </c>
      <c r="L3601" s="7">
        <f>1</f>
        <v>1</v>
      </c>
      <c r="M3601" s="7">
        <f>1</f>
        <v>1</v>
      </c>
      <c r="N3601" s="5" t="s">
        <v>242</v>
      </c>
      <c r="O3601" s="5">
        <v>1</v>
      </c>
      <c r="P3601" s="5" t="s">
        <v>294</v>
      </c>
      <c r="Q3601" s="5" t="s">
        <v>3678</v>
      </c>
      <c r="R3601" s="5" t="s">
        <v>240</v>
      </c>
      <c r="S3601" s="5" t="s">
        <v>240</v>
      </c>
      <c r="T3601" s="5" t="s">
        <v>243</v>
      </c>
      <c r="U3601" s="5" t="s">
        <v>244</v>
      </c>
      <c r="V3601" s="5" t="s">
        <v>240</v>
      </c>
      <c r="W3601" s="5" t="s">
        <v>240</v>
      </c>
      <c r="X3601" s="5" t="s">
        <v>240</v>
      </c>
      <c r="Y3601" s="5" t="s">
        <v>240</v>
      </c>
      <c r="Z3601" s="6" t="s">
        <v>298</v>
      </c>
      <c r="AA3601" s="6" t="s">
        <v>240</v>
      </c>
      <c r="AB3601" s="6" t="s">
        <v>240</v>
      </c>
      <c r="AC3601" s="5" t="s">
        <v>240</v>
      </c>
      <c r="AD3601" s="6" t="s">
        <v>240</v>
      </c>
      <c r="AE3601" s="6" t="s">
        <v>299</v>
      </c>
      <c r="AF3601" s="5" t="s">
        <v>248</v>
      </c>
      <c r="AG3601" s="5" t="s">
        <v>249</v>
      </c>
      <c r="AH3601" s="5" t="s">
        <v>240</v>
      </c>
      <c r="AI3601" s="5" t="s">
        <v>240</v>
      </c>
      <c r="AJ3601" s="5" t="s">
        <v>240</v>
      </c>
      <c r="AK3601" s="5" t="s">
        <v>240</v>
      </c>
      <c r="AL3601" s="5" t="s">
        <v>240</v>
      </c>
      <c r="AM3601" s="5" t="s">
        <v>240</v>
      </c>
      <c r="AN3601" s="5" t="s">
        <v>240</v>
      </c>
      <c r="AO3601" s="5" t="s">
        <v>240</v>
      </c>
      <c r="AP3601" s="6" t="s">
        <v>240</v>
      </c>
      <c r="AQ3601" s="6" t="s">
        <v>240</v>
      </c>
      <c r="AR3601" s="6" t="s">
        <v>240</v>
      </c>
      <c r="AS3601" s="6" t="s">
        <v>240</v>
      </c>
      <c r="AT3601" s="5" t="s">
        <v>240</v>
      </c>
      <c r="AU3601" s="5" t="s">
        <v>729</v>
      </c>
      <c r="AV3601" s="5" t="s">
        <v>729</v>
      </c>
      <c r="AW3601" s="5" t="s">
        <v>251</v>
      </c>
      <c r="AX3601" s="5" t="s">
        <v>252</v>
      </c>
      <c r="AY3601" s="5" t="s">
        <v>253</v>
      </c>
      <c r="AZ3601" s="5" t="s">
        <v>240</v>
      </c>
      <c r="BA3601" s="5" t="s">
        <v>255</v>
      </c>
      <c r="BB3601" s="5" t="s">
        <v>731</v>
      </c>
      <c r="BD3601" s="5" t="s">
        <v>240</v>
      </c>
      <c r="BF3601" s="5" t="s">
        <v>732</v>
      </c>
      <c r="BG3601" s="6" t="s">
        <v>733</v>
      </c>
      <c r="BH3601" s="5" t="s">
        <v>734</v>
      </c>
      <c r="BI3601" s="5" t="s">
        <v>734</v>
      </c>
      <c r="BJ3601" s="5" t="s">
        <v>240</v>
      </c>
      <c r="BK3601" s="7">
        <f>1</f>
        <v>1</v>
      </c>
      <c r="BL3601" s="7">
        <f>1</f>
        <v>1</v>
      </c>
      <c r="BM3601" s="5" t="s">
        <v>258</v>
      </c>
      <c r="BN3601" s="5" t="s">
        <v>259</v>
      </c>
      <c r="BO3601" s="5" t="s">
        <v>240</v>
      </c>
      <c r="BP3601" s="5" t="s">
        <v>240</v>
      </c>
      <c r="BQ3601" s="5" t="s">
        <v>240</v>
      </c>
      <c r="BR3601" s="5" t="s">
        <v>240</v>
      </c>
      <c r="BS3601" s="5" t="s">
        <v>240</v>
      </c>
      <c r="BT3601" s="5" t="s">
        <v>240</v>
      </c>
      <c r="BU3601" s="5" t="s">
        <v>240</v>
      </c>
      <c r="BV3601" s="5" t="s">
        <v>240</v>
      </c>
      <c r="BW3601" s="6" t="s">
        <v>240</v>
      </c>
      <c r="BX3601" s="5" t="s">
        <v>240</v>
      </c>
      <c r="BY3601" s="5" t="s">
        <v>240</v>
      </c>
      <c r="BZ3601" s="5" t="s">
        <v>240</v>
      </c>
      <c r="CA3601" s="5" t="s">
        <v>259</v>
      </c>
      <c r="CB3601" s="5" t="s">
        <v>240</v>
      </c>
      <c r="CC3601" s="5" t="s">
        <v>240</v>
      </c>
      <c r="CD3601" s="5" t="s">
        <v>240</v>
      </c>
      <c r="CE3601" s="5" t="s">
        <v>240</v>
      </c>
      <c r="CF3601" s="5" t="s">
        <v>240</v>
      </c>
      <c r="CG3601" s="5" t="s">
        <v>304</v>
      </c>
      <c r="CH3601" s="5" t="s">
        <v>305</v>
      </c>
      <c r="CI3601" s="5" t="s">
        <v>240</v>
      </c>
      <c r="CK3601" s="5" t="s">
        <v>3681</v>
      </c>
      <c r="CL3601" s="6" t="s">
        <v>261</v>
      </c>
      <c r="CM3601" s="5" t="s">
        <v>262</v>
      </c>
      <c r="CN3601" s="5" t="s">
        <v>263</v>
      </c>
      <c r="CO3601" s="5" t="s">
        <v>264</v>
      </c>
      <c r="CP3601" s="5" t="s">
        <v>240</v>
      </c>
      <c r="CQ3601" s="5">
        <v>0</v>
      </c>
      <c r="CR3601" s="5" t="s">
        <v>735</v>
      </c>
      <c r="CS3601" s="5" t="s">
        <v>307</v>
      </c>
      <c r="CT3601" s="5" t="s">
        <v>307</v>
      </c>
      <c r="CU3601" s="5" t="s">
        <v>260</v>
      </c>
      <c r="CV3601" s="5" t="s">
        <v>612</v>
      </c>
      <c r="CW3601" s="8">
        <f>1</f>
        <v>1</v>
      </c>
      <c r="CX3601" s="7">
        <f>1</f>
        <v>1</v>
      </c>
      <c r="CY3601" s="7">
        <f>0</f>
        <v>0</v>
      </c>
      <c r="DA3601" s="7">
        <f>1</f>
        <v>1</v>
      </c>
      <c r="DB3601" s="7" t="s">
        <v>240</v>
      </c>
      <c r="DC3601" s="5" t="s">
        <v>240</v>
      </c>
      <c r="DD3601" s="5" t="s">
        <v>240</v>
      </c>
      <c r="DE3601" s="5" t="s">
        <v>240</v>
      </c>
      <c r="DF3601" s="5" t="s">
        <v>240</v>
      </c>
      <c r="DG3601" s="7">
        <f>0</f>
        <v>0</v>
      </c>
      <c r="DI3601" s="5" t="s">
        <v>240</v>
      </c>
      <c r="DJ3601" s="5" t="s">
        <v>240</v>
      </c>
      <c r="DK3601" s="5" t="s">
        <v>240</v>
      </c>
      <c r="DL3601" s="5" t="s">
        <v>240</v>
      </c>
      <c r="DM3601" s="5" t="s">
        <v>240</v>
      </c>
      <c r="DN3601" s="5" t="s">
        <v>240</v>
      </c>
      <c r="DO3601" s="7" t="s">
        <v>240</v>
      </c>
      <c r="DP3601" s="5" t="s">
        <v>240</v>
      </c>
      <c r="DQ3601" s="5" t="s">
        <v>240</v>
      </c>
      <c r="DR3601" s="5" t="s">
        <v>731</v>
      </c>
      <c r="DS3601" s="5" t="s">
        <v>731</v>
      </c>
      <c r="DT3601" s="5" t="s">
        <v>240</v>
      </c>
      <c r="DU3601" s="5" t="s">
        <v>240</v>
      </c>
      <c r="DV3601" s="5" t="s">
        <v>3683</v>
      </c>
      <c r="DW3601" s="5" t="s">
        <v>711</v>
      </c>
      <c r="DX3601" s="5" t="s">
        <v>240</v>
      </c>
      <c r="DY3601" s="5" t="s">
        <v>240</v>
      </c>
      <c r="DZ3601" s="5" t="s">
        <v>240</v>
      </c>
      <c r="EA3601" s="5" t="s">
        <v>240</v>
      </c>
      <c r="EB3601" s="5" t="s">
        <v>240</v>
      </c>
      <c r="EC3601" s="5" t="s">
        <v>240</v>
      </c>
      <c r="ED3601" s="5" t="s">
        <v>240</v>
      </c>
      <c r="EE3601" s="5" t="s">
        <v>240</v>
      </c>
      <c r="EF3601" s="5" t="s">
        <v>240</v>
      </c>
      <c r="EG3601" s="5" t="s">
        <v>240</v>
      </c>
      <c r="EH3601" s="5" t="s">
        <v>240</v>
      </c>
      <c r="EI3601" s="5" t="s">
        <v>240</v>
      </c>
      <c r="EJ3601" s="5" t="s">
        <v>240</v>
      </c>
      <c r="EK3601" s="5" t="s">
        <v>240</v>
      </c>
      <c r="EL3601" s="5" t="s">
        <v>240</v>
      </c>
      <c r="EM3601" s="5" t="s">
        <v>240</v>
      </c>
      <c r="EN3601" s="5" t="s">
        <v>240</v>
      </c>
      <c r="EO3601" s="5" t="s">
        <v>240</v>
      </c>
      <c r="EP3601" s="5" t="s">
        <v>240</v>
      </c>
      <c r="EQ3601" s="5" t="s">
        <v>240</v>
      </c>
      <c r="ER3601" s="5" t="s">
        <v>240</v>
      </c>
      <c r="ES3601" s="5" t="s">
        <v>240</v>
      </c>
      <c r="ET3601" s="5" t="s">
        <v>240</v>
      </c>
      <c r="EU3601" s="5" t="s">
        <v>240</v>
      </c>
      <c r="EV3601" s="5" t="s">
        <v>240</v>
      </c>
      <c r="EW3601" s="5" t="s">
        <v>240</v>
      </c>
      <c r="EX3601" s="5" t="s">
        <v>240</v>
      </c>
      <c r="EY3601" s="5" t="s">
        <v>240</v>
      </c>
      <c r="EZ3601" s="5" t="s">
        <v>240</v>
      </c>
      <c r="FA3601" s="5" t="s">
        <v>240</v>
      </c>
      <c r="FB3601" s="5" t="s">
        <v>240</v>
      </c>
      <c r="FC3601" s="5" t="s">
        <v>240</v>
      </c>
      <c r="FD3601" s="5" t="s">
        <v>240</v>
      </c>
      <c r="FE3601" s="5" t="s">
        <v>240</v>
      </c>
      <c r="FF3601" s="5" t="s">
        <v>240</v>
      </c>
      <c r="FG3601" s="5" t="s">
        <v>240</v>
      </c>
      <c r="FH3601" s="5" t="s">
        <v>240</v>
      </c>
      <c r="FI3601" s="5" t="s">
        <v>240</v>
      </c>
      <c r="FJ3601" s="5" t="s">
        <v>240</v>
      </c>
      <c r="FK3601" s="5" t="s">
        <v>240</v>
      </c>
      <c r="FL3601" s="5" t="s">
        <v>240</v>
      </c>
      <c r="FM3601" s="5" t="s">
        <v>240</v>
      </c>
      <c r="FN3601" s="5" t="s">
        <v>240</v>
      </c>
      <c r="FO3601" s="5" t="s">
        <v>240</v>
      </c>
      <c r="FP3601" s="5" t="s">
        <v>240</v>
      </c>
      <c r="FQ3601" s="5" t="s">
        <v>240</v>
      </c>
      <c r="FR3601" s="5" t="s">
        <v>240</v>
      </c>
      <c r="FS3601" s="5" t="s">
        <v>240</v>
      </c>
      <c r="FT3601" s="5" t="s">
        <v>240</v>
      </c>
      <c r="FU3601" s="5" t="s">
        <v>240</v>
      </c>
      <c r="FV3601" s="5" t="s">
        <v>240</v>
      </c>
      <c r="FW3601" s="5" t="s">
        <v>240</v>
      </c>
      <c r="FX3601" s="5" t="s">
        <v>240</v>
      </c>
      <c r="FY3601" s="5" t="s">
        <v>240</v>
      </c>
      <c r="FZ3601" s="5" t="s">
        <v>240</v>
      </c>
      <c r="GA3601" s="5" t="s">
        <v>240</v>
      </c>
      <c r="GB3601" s="5" t="s">
        <v>240</v>
      </c>
      <c r="GC3601" s="5" t="s">
        <v>240</v>
      </c>
      <c r="GD3601" s="5" t="s">
        <v>240</v>
      </c>
      <c r="GE3601" s="5" t="s">
        <v>240</v>
      </c>
      <c r="GF3601" s="5" t="s">
        <v>240</v>
      </c>
      <c r="GG3601" s="5" t="s">
        <v>240</v>
      </c>
      <c r="GH3601" s="5" t="s">
        <v>240</v>
      </c>
      <c r="GI3601" s="5" t="s">
        <v>240</v>
      </c>
      <c r="GJ3601" s="5" t="s">
        <v>240</v>
      </c>
      <c r="GK3601" s="5" t="s">
        <v>240</v>
      </c>
      <c r="GL3601" s="5" t="s">
        <v>240</v>
      </c>
      <c r="GM3601" s="5" t="s">
        <v>240</v>
      </c>
      <c r="GN3601" s="5" t="s">
        <v>240</v>
      </c>
      <c r="GO3601" s="5" t="s">
        <v>240</v>
      </c>
      <c r="GP3601" s="5" t="s">
        <v>240</v>
      </c>
      <c r="GQ3601" s="5" t="s">
        <v>240</v>
      </c>
      <c r="GR3601" s="5" t="s">
        <v>240</v>
      </c>
      <c r="GS3601" s="5" t="s">
        <v>240</v>
      </c>
      <c r="GT3601" s="5" t="s">
        <v>240</v>
      </c>
      <c r="GU3601" s="5" t="s">
        <v>240</v>
      </c>
      <c r="GV3601" s="5" t="s">
        <v>240</v>
      </c>
      <c r="GW3601" s="5" t="s">
        <v>240</v>
      </c>
      <c r="GX3601" s="5" t="s">
        <v>240</v>
      </c>
      <c r="GY3601" s="5" t="s">
        <v>240</v>
      </c>
      <c r="GZ3601" s="5" t="s">
        <v>240</v>
      </c>
      <c r="HA3601" s="5" t="s">
        <v>240</v>
      </c>
      <c r="HB3601" s="5" t="s">
        <v>240</v>
      </c>
      <c r="HC3601" s="5" t="s">
        <v>240</v>
      </c>
      <c r="HD3601" s="5" t="s">
        <v>240</v>
      </c>
      <c r="HE3601" s="5" t="s">
        <v>240</v>
      </c>
      <c r="HF3601" s="5" t="s">
        <v>240</v>
      </c>
      <c r="HG3601" s="5" t="s">
        <v>240</v>
      </c>
      <c r="HH3601" s="5" t="s">
        <v>240</v>
      </c>
      <c r="HI3601" s="5" t="s">
        <v>240</v>
      </c>
      <c r="HJ3601" s="5" t="s">
        <v>240</v>
      </c>
      <c r="HK3601" s="5" t="s">
        <v>240</v>
      </c>
      <c r="HL3601" s="5" t="s">
        <v>240</v>
      </c>
      <c r="HM3601" s="5" t="s">
        <v>240</v>
      </c>
      <c r="HN3601" s="5" t="s">
        <v>240</v>
      </c>
      <c r="HO3601" s="5" t="s">
        <v>312</v>
      </c>
      <c r="HP3601" s="5" t="s">
        <v>240</v>
      </c>
      <c r="HQ3601" s="5" t="s">
        <v>240</v>
      </c>
      <c r="HR3601" s="5" t="s">
        <v>240</v>
      </c>
      <c r="HS3601" s="5" t="s">
        <v>240</v>
      </c>
      <c r="HT3601" s="5" t="s">
        <v>240</v>
      </c>
      <c r="HU3601" s="5" t="s">
        <v>240</v>
      </c>
      <c r="HV3601" s="5" t="s">
        <v>240</v>
      </c>
      <c r="HW3601" s="5" t="s">
        <v>240</v>
      </c>
      <c r="HX3601" s="5" t="s">
        <v>240</v>
      </c>
      <c r="HY3601" s="5" t="s">
        <v>240</v>
      </c>
      <c r="HZ3601" s="5" t="s">
        <v>240</v>
      </c>
      <c r="IA3601" s="5" t="s">
        <v>240</v>
      </c>
      <c r="IB3601" s="5" t="s">
        <v>240</v>
      </c>
      <c r="IC3601" s="5" t="s">
        <v>240</v>
      </c>
      <c r="ID3601" s="5" t="s">
        <v>240</v>
      </c>
      <c r="IE3601" s="5" t="s">
        <v>240</v>
      </c>
      <c r="IF3601" s="5" t="s">
        <v>240</v>
      </c>
    </row>
    <row r="3602" spans="1:240" x14ac:dyDescent="0.4">
      <c r="A3602" s="5">
        <v>9144</v>
      </c>
      <c r="B3602" s="5">
        <v>1</v>
      </c>
      <c r="C3602" s="5">
        <v>1</v>
      </c>
      <c r="D3602" s="5" t="s">
        <v>723</v>
      </c>
      <c r="E3602" s="5" t="s">
        <v>725</v>
      </c>
      <c r="F3602" s="5" t="s">
        <v>254</v>
      </c>
      <c r="G3602" s="5" t="s">
        <v>726</v>
      </c>
      <c r="H3602" s="6" t="s">
        <v>5745</v>
      </c>
      <c r="I3602" s="5" t="s">
        <v>5744</v>
      </c>
      <c r="J3602" s="7">
        <f>1</f>
        <v>1</v>
      </c>
      <c r="K3602" s="5" t="s">
        <v>3682</v>
      </c>
      <c r="L3602" s="7">
        <f>1</f>
        <v>1</v>
      </c>
      <c r="M3602" s="7">
        <f>1</f>
        <v>1</v>
      </c>
      <c r="N3602" s="5" t="s">
        <v>242</v>
      </c>
      <c r="O3602" s="5">
        <v>1</v>
      </c>
      <c r="P3602" s="5" t="s">
        <v>294</v>
      </c>
      <c r="Q3602" s="5" t="s">
        <v>3678</v>
      </c>
      <c r="R3602" s="5" t="s">
        <v>240</v>
      </c>
      <c r="S3602" s="5" t="s">
        <v>240</v>
      </c>
      <c r="T3602" s="5" t="s">
        <v>243</v>
      </c>
      <c r="U3602" s="5" t="s">
        <v>244</v>
      </c>
      <c r="V3602" s="5" t="s">
        <v>240</v>
      </c>
      <c r="W3602" s="5" t="s">
        <v>240</v>
      </c>
      <c r="X3602" s="5" t="s">
        <v>240</v>
      </c>
      <c r="Y3602" s="5" t="s">
        <v>240</v>
      </c>
      <c r="Z3602" s="6" t="s">
        <v>298</v>
      </c>
      <c r="AA3602" s="6" t="s">
        <v>240</v>
      </c>
      <c r="AB3602" s="6" t="s">
        <v>240</v>
      </c>
      <c r="AC3602" s="5" t="s">
        <v>240</v>
      </c>
      <c r="AD3602" s="6" t="s">
        <v>240</v>
      </c>
      <c r="AE3602" s="6" t="s">
        <v>299</v>
      </c>
      <c r="AF3602" s="5" t="s">
        <v>248</v>
      </c>
      <c r="AG3602" s="5" t="s">
        <v>249</v>
      </c>
      <c r="AH3602" s="5" t="s">
        <v>240</v>
      </c>
      <c r="AI3602" s="5" t="s">
        <v>240</v>
      </c>
      <c r="AJ3602" s="5" t="s">
        <v>240</v>
      </c>
      <c r="AK3602" s="5" t="s">
        <v>240</v>
      </c>
      <c r="AL3602" s="5" t="s">
        <v>240</v>
      </c>
      <c r="AM3602" s="5" t="s">
        <v>240</v>
      </c>
      <c r="AN3602" s="5" t="s">
        <v>240</v>
      </c>
      <c r="AO3602" s="5" t="s">
        <v>240</v>
      </c>
      <c r="AP3602" s="6" t="s">
        <v>240</v>
      </c>
      <c r="AQ3602" s="6" t="s">
        <v>240</v>
      </c>
      <c r="AR3602" s="6" t="s">
        <v>240</v>
      </c>
      <c r="AS3602" s="6" t="s">
        <v>240</v>
      </c>
      <c r="AT3602" s="5" t="s">
        <v>240</v>
      </c>
      <c r="AU3602" s="5" t="s">
        <v>729</v>
      </c>
      <c r="AV3602" s="5" t="s">
        <v>729</v>
      </c>
      <c r="AW3602" s="5" t="s">
        <v>251</v>
      </c>
      <c r="AX3602" s="5" t="s">
        <v>252</v>
      </c>
      <c r="AY3602" s="5" t="s">
        <v>253</v>
      </c>
      <c r="AZ3602" s="5" t="s">
        <v>240</v>
      </c>
      <c r="BA3602" s="5" t="s">
        <v>255</v>
      </c>
      <c r="BB3602" s="5" t="s">
        <v>731</v>
      </c>
      <c r="BD3602" s="5" t="s">
        <v>240</v>
      </c>
      <c r="BF3602" s="5" t="s">
        <v>732</v>
      </c>
      <c r="BG3602" s="6" t="s">
        <v>733</v>
      </c>
      <c r="BH3602" s="5" t="s">
        <v>734</v>
      </c>
      <c r="BI3602" s="5" t="s">
        <v>734</v>
      </c>
      <c r="BJ3602" s="5" t="s">
        <v>240</v>
      </c>
      <c r="BK3602" s="7">
        <f>1</f>
        <v>1</v>
      </c>
      <c r="BL3602" s="7">
        <f>1</f>
        <v>1</v>
      </c>
      <c r="BM3602" s="5" t="s">
        <v>258</v>
      </c>
      <c r="BN3602" s="5" t="s">
        <v>259</v>
      </c>
      <c r="BO3602" s="5" t="s">
        <v>240</v>
      </c>
      <c r="BP3602" s="5" t="s">
        <v>240</v>
      </c>
      <c r="BQ3602" s="5" t="s">
        <v>240</v>
      </c>
      <c r="BR3602" s="5" t="s">
        <v>240</v>
      </c>
      <c r="BS3602" s="5" t="s">
        <v>240</v>
      </c>
      <c r="BT3602" s="5" t="s">
        <v>240</v>
      </c>
      <c r="BU3602" s="5" t="s">
        <v>240</v>
      </c>
      <c r="BV3602" s="5" t="s">
        <v>240</v>
      </c>
      <c r="BW3602" s="6" t="s">
        <v>240</v>
      </c>
      <c r="BX3602" s="5" t="s">
        <v>240</v>
      </c>
      <c r="BY3602" s="5" t="s">
        <v>240</v>
      </c>
      <c r="BZ3602" s="5" t="s">
        <v>240</v>
      </c>
      <c r="CA3602" s="5" t="s">
        <v>259</v>
      </c>
      <c r="CB3602" s="5" t="s">
        <v>240</v>
      </c>
      <c r="CC3602" s="5" t="s">
        <v>240</v>
      </c>
      <c r="CD3602" s="5" t="s">
        <v>240</v>
      </c>
      <c r="CE3602" s="5" t="s">
        <v>240</v>
      </c>
      <c r="CF3602" s="5" t="s">
        <v>240</v>
      </c>
      <c r="CG3602" s="5" t="s">
        <v>304</v>
      </c>
      <c r="CH3602" s="5" t="s">
        <v>305</v>
      </c>
      <c r="CI3602" s="5" t="s">
        <v>240</v>
      </c>
      <c r="CK3602" s="5" t="s">
        <v>3681</v>
      </c>
      <c r="CL3602" s="6" t="s">
        <v>261</v>
      </c>
      <c r="CM3602" s="5" t="s">
        <v>262</v>
      </c>
      <c r="CN3602" s="5" t="s">
        <v>263</v>
      </c>
      <c r="CO3602" s="5" t="s">
        <v>264</v>
      </c>
      <c r="CP3602" s="5" t="s">
        <v>240</v>
      </c>
      <c r="CQ3602" s="5">
        <v>0</v>
      </c>
      <c r="CR3602" s="5" t="s">
        <v>735</v>
      </c>
      <c r="CS3602" s="5" t="s">
        <v>307</v>
      </c>
      <c r="CT3602" s="5" t="s">
        <v>307</v>
      </c>
      <c r="CU3602" s="5" t="s">
        <v>260</v>
      </c>
      <c r="CV3602" s="5" t="s">
        <v>612</v>
      </c>
      <c r="CW3602" s="8">
        <f>1</f>
        <v>1</v>
      </c>
      <c r="CX3602" s="7">
        <f>1</f>
        <v>1</v>
      </c>
      <c r="CY3602" s="7">
        <f>0</f>
        <v>0</v>
      </c>
      <c r="DA3602" s="7">
        <f>1</f>
        <v>1</v>
      </c>
      <c r="DB3602" s="7" t="s">
        <v>240</v>
      </c>
      <c r="DC3602" s="5" t="s">
        <v>240</v>
      </c>
      <c r="DD3602" s="5" t="s">
        <v>240</v>
      </c>
      <c r="DE3602" s="5" t="s">
        <v>240</v>
      </c>
      <c r="DF3602" s="5" t="s">
        <v>240</v>
      </c>
      <c r="DG3602" s="7">
        <f>0</f>
        <v>0</v>
      </c>
      <c r="DI3602" s="5" t="s">
        <v>240</v>
      </c>
      <c r="DJ3602" s="5" t="s">
        <v>240</v>
      </c>
      <c r="DK3602" s="5" t="s">
        <v>240</v>
      </c>
      <c r="DL3602" s="5" t="s">
        <v>240</v>
      </c>
      <c r="DM3602" s="5" t="s">
        <v>240</v>
      </c>
      <c r="DN3602" s="5" t="s">
        <v>240</v>
      </c>
      <c r="DO3602" s="7" t="s">
        <v>240</v>
      </c>
      <c r="DP3602" s="5" t="s">
        <v>240</v>
      </c>
      <c r="DQ3602" s="5" t="s">
        <v>240</v>
      </c>
      <c r="DR3602" s="5" t="s">
        <v>731</v>
      </c>
      <c r="DS3602" s="5" t="s">
        <v>731</v>
      </c>
      <c r="DT3602" s="5" t="s">
        <v>240</v>
      </c>
      <c r="DU3602" s="5" t="s">
        <v>240</v>
      </c>
      <c r="DV3602" s="5" t="s">
        <v>3683</v>
      </c>
      <c r="DW3602" s="5" t="s">
        <v>742</v>
      </c>
      <c r="DX3602" s="5" t="s">
        <v>240</v>
      </c>
      <c r="DY3602" s="5" t="s">
        <v>240</v>
      </c>
      <c r="DZ3602" s="5" t="s">
        <v>240</v>
      </c>
      <c r="EA3602" s="5" t="s">
        <v>240</v>
      </c>
      <c r="EB3602" s="5" t="s">
        <v>240</v>
      </c>
      <c r="EC3602" s="5" t="s">
        <v>240</v>
      </c>
      <c r="ED3602" s="5" t="s">
        <v>240</v>
      </c>
      <c r="EE3602" s="5" t="s">
        <v>240</v>
      </c>
      <c r="EF3602" s="5" t="s">
        <v>240</v>
      </c>
      <c r="EG3602" s="5" t="s">
        <v>240</v>
      </c>
      <c r="EH3602" s="5" t="s">
        <v>240</v>
      </c>
      <c r="EI3602" s="5" t="s">
        <v>240</v>
      </c>
      <c r="EJ3602" s="5" t="s">
        <v>240</v>
      </c>
      <c r="EK3602" s="5" t="s">
        <v>240</v>
      </c>
      <c r="EL3602" s="5" t="s">
        <v>240</v>
      </c>
      <c r="EM3602" s="5" t="s">
        <v>240</v>
      </c>
      <c r="EN3602" s="5" t="s">
        <v>240</v>
      </c>
      <c r="EO3602" s="5" t="s">
        <v>240</v>
      </c>
      <c r="EP3602" s="5" t="s">
        <v>240</v>
      </c>
      <c r="EQ3602" s="5" t="s">
        <v>240</v>
      </c>
      <c r="ER3602" s="5" t="s">
        <v>240</v>
      </c>
      <c r="ES3602" s="5" t="s">
        <v>240</v>
      </c>
      <c r="ET3602" s="5" t="s">
        <v>240</v>
      </c>
      <c r="EU3602" s="5" t="s">
        <v>240</v>
      </c>
      <c r="EV3602" s="5" t="s">
        <v>240</v>
      </c>
      <c r="EW3602" s="5" t="s">
        <v>240</v>
      </c>
      <c r="EX3602" s="5" t="s">
        <v>240</v>
      </c>
      <c r="EY3602" s="5" t="s">
        <v>240</v>
      </c>
      <c r="EZ3602" s="5" t="s">
        <v>240</v>
      </c>
      <c r="FA3602" s="5" t="s">
        <v>240</v>
      </c>
      <c r="FB3602" s="5" t="s">
        <v>240</v>
      </c>
      <c r="FC3602" s="5" t="s">
        <v>240</v>
      </c>
      <c r="FD3602" s="5" t="s">
        <v>240</v>
      </c>
      <c r="FE3602" s="5" t="s">
        <v>240</v>
      </c>
      <c r="FF3602" s="5" t="s">
        <v>240</v>
      </c>
      <c r="FG3602" s="5" t="s">
        <v>240</v>
      </c>
      <c r="FH3602" s="5" t="s">
        <v>240</v>
      </c>
      <c r="FI3602" s="5" t="s">
        <v>240</v>
      </c>
      <c r="FJ3602" s="5" t="s">
        <v>240</v>
      </c>
      <c r="FK3602" s="5" t="s">
        <v>240</v>
      </c>
      <c r="FL3602" s="5" t="s">
        <v>240</v>
      </c>
      <c r="FM3602" s="5" t="s">
        <v>240</v>
      </c>
      <c r="FN3602" s="5" t="s">
        <v>240</v>
      </c>
      <c r="FO3602" s="5" t="s">
        <v>240</v>
      </c>
      <c r="FP3602" s="5" t="s">
        <v>240</v>
      </c>
      <c r="FQ3602" s="5" t="s">
        <v>240</v>
      </c>
      <c r="FR3602" s="5" t="s">
        <v>240</v>
      </c>
      <c r="FS3602" s="5" t="s">
        <v>240</v>
      </c>
      <c r="FT3602" s="5" t="s">
        <v>240</v>
      </c>
      <c r="FU3602" s="5" t="s">
        <v>240</v>
      </c>
      <c r="FV3602" s="5" t="s">
        <v>240</v>
      </c>
      <c r="FW3602" s="5" t="s">
        <v>240</v>
      </c>
      <c r="FX3602" s="5" t="s">
        <v>240</v>
      </c>
      <c r="FY3602" s="5" t="s">
        <v>240</v>
      </c>
      <c r="FZ3602" s="5" t="s">
        <v>240</v>
      </c>
      <c r="GA3602" s="5" t="s">
        <v>240</v>
      </c>
      <c r="GB3602" s="5" t="s">
        <v>240</v>
      </c>
      <c r="GC3602" s="5" t="s">
        <v>240</v>
      </c>
      <c r="GD3602" s="5" t="s">
        <v>240</v>
      </c>
      <c r="GE3602" s="5" t="s">
        <v>240</v>
      </c>
      <c r="GF3602" s="5" t="s">
        <v>240</v>
      </c>
      <c r="GG3602" s="5" t="s">
        <v>240</v>
      </c>
      <c r="GH3602" s="5" t="s">
        <v>240</v>
      </c>
      <c r="GI3602" s="5" t="s">
        <v>240</v>
      </c>
      <c r="GJ3602" s="5" t="s">
        <v>240</v>
      </c>
      <c r="GK3602" s="5" t="s">
        <v>240</v>
      </c>
      <c r="GL3602" s="5" t="s">
        <v>240</v>
      </c>
      <c r="GM3602" s="5" t="s">
        <v>240</v>
      </c>
      <c r="GN3602" s="5" t="s">
        <v>240</v>
      </c>
      <c r="GO3602" s="5" t="s">
        <v>240</v>
      </c>
      <c r="GP3602" s="5" t="s">
        <v>240</v>
      </c>
      <c r="GQ3602" s="5" t="s">
        <v>240</v>
      </c>
      <c r="GR3602" s="5" t="s">
        <v>240</v>
      </c>
      <c r="GS3602" s="5" t="s">
        <v>240</v>
      </c>
      <c r="GT3602" s="5" t="s">
        <v>240</v>
      </c>
      <c r="GU3602" s="5" t="s">
        <v>240</v>
      </c>
      <c r="GV3602" s="5" t="s">
        <v>240</v>
      </c>
      <c r="GW3602" s="5" t="s">
        <v>240</v>
      </c>
      <c r="GX3602" s="5" t="s">
        <v>240</v>
      </c>
      <c r="GY3602" s="5" t="s">
        <v>240</v>
      </c>
      <c r="GZ3602" s="5" t="s">
        <v>240</v>
      </c>
      <c r="HA3602" s="5" t="s">
        <v>240</v>
      </c>
      <c r="HB3602" s="5" t="s">
        <v>240</v>
      </c>
      <c r="HC3602" s="5" t="s">
        <v>240</v>
      </c>
      <c r="HD3602" s="5" t="s">
        <v>240</v>
      </c>
      <c r="HE3602" s="5" t="s">
        <v>240</v>
      </c>
      <c r="HF3602" s="5" t="s">
        <v>240</v>
      </c>
      <c r="HG3602" s="5" t="s">
        <v>240</v>
      </c>
      <c r="HH3602" s="5" t="s">
        <v>240</v>
      </c>
      <c r="HI3602" s="5" t="s">
        <v>240</v>
      </c>
      <c r="HJ3602" s="5" t="s">
        <v>240</v>
      </c>
      <c r="HK3602" s="5" t="s">
        <v>240</v>
      </c>
      <c r="HL3602" s="5" t="s">
        <v>240</v>
      </c>
      <c r="HM3602" s="5" t="s">
        <v>240</v>
      </c>
      <c r="HN3602" s="5" t="s">
        <v>240</v>
      </c>
      <c r="HO3602" s="5" t="s">
        <v>312</v>
      </c>
      <c r="HP3602" s="5" t="s">
        <v>240</v>
      </c>
      <c r="HQ3602" s="5" t="s">
        <v>240</v>
      </c>
      <c r="HR3602" s="5" t="s">
        <v>240</v>
      </c>
      <c r="HS3602" s="5" t="s">
        <v>240</v>
      </c>
      <c r="HT3602" s="5" t="s">
        <v>240</v>
      </c>
      <c r="HU3602" s="5" t="s">
        <v>240</v>
      </c>
      <c r="HV3602" s="5" t="s">
        <v>240</v>
      </c>
      <c r="HW3602" s="5" t="s">
        <v>240</v>
      </c>
      <c r="HX3602" s="5" t="s">
        <v>240</v>
      </c>
      <c r="HY3602" s="5" t="s">
        <v>240</v>
      </c>
      <c r="HZ3602" s="5" t="s">
        <v>240</v>
      </c>
      <c r="IA3602" s="5" t="s">
        <v>240</v>
      </c>
      <c r="IB3602" s="5" t="s">
        <v>240</v>
      </c>
      <c r="IC3602" s="5" t="s">
        <v>240</v>
      </c>
      <c r="ID3602" s="5" t="s">
        <v>240</v>
      </c>
      <c r="IE3602" s="5" t="s">
        <v>240</v>
      </c>
      <c r="IF3602" s="5" t="s">
        <v>240</v>
      </c>
    </row>
    <row r="3603" spans="1:240" x14ac:dyDescent="0.4">
      <c r="A3603" s="5">
        <v>9145</v>
      </c>
      <c r="B3603" s="5">
        <v>1</v>
      </c>
      <c r="C3603" s="5">
        <v>1</v>
      </c>
      <c r="D3603" s="5" t="s">
        <v>723</v>
      </c>
      <c r="E3603" s="5" t="s">
        <v>725</v>
      </c>
      <c r="F3603" s="5" t="s">
        <v>254</v>
      </c>
      <c r="G3603" s="5" t="s">
        <v>726</v>
      </c>
      <c r="H3603" s="6" t="s">
        <v>5743</v>
      </c>
      <c r="I3603" s="5" t="s">
        <v>5742</v>
      </c>
      <c r="J3603" s="7">
        <f>1</f>
        <v>1</v>
      </c>
      <c r="K3603" s="5" t="s">
        <v>3682</v>
      </c>
      <c r="L3603" s="7">
        <f>1</f>
        <v>1</v>
      </c>
      <c r="M3603" s="7">
        <f>1</f>
        <v>1</v>
      </c>
      <c r="N3603" s="5" t="s">
        <v>242</v>
      </c>
      <c r="O3603" s="5">
        <v>1</v>
      </c>
      <c r="P3603" s="5" t="s">
        <v>294</v>
      </c>
      <c r="Q3603" s="5" t="s">
        <v>613</v>
      </c>
      <c r="R3603" s="5" t="s">
        <v>240</v>
      </c>
      <c r="S3603" s="5" t="s">
        <v>240</v>
      </c>
      <c r="T3603" s="5" t="s">
        <v>243</v>
      </c>
      <c r="U3603" s="5" t="s">
        <v>724</v>
      </c>
      <c r="V3603" s="5" t="s">
        <v>240</v>
      </c>
      <c r="W3603" s="5" t="s">
        <v>240</v>
      </c>
      <c r="X3603" s="5" t="s">
        <v>240</v>
      </c>
      <c r="Y3603" s="5" t="s">
        <v>240</v>
      </c>
      <c r="Z3603" s="6" t="s">
        <v>298</v>
      </c>
      <c r="AA3603" s="6" t="s">
        <v>240</v>
      </c>
      <c r="AB3603" s="6" t="s">
        <v>240</v>
      </c>
      <c r="AC3603" s="5" t="s">
        <v>240</v>
      </c>
      <c r="AD3603" s="6" t="s">
        <v>240</v>
      </c>
      <c r="AE3603" s="6" t="s">
        <v>299</v>
      </c>
      <c r="AF3603" s="5" t="s">
        <v>727</v>
      </c>
      <c r="AG3603" s="5" t="s">
        <v>260</v>
      </c>
      <c r="AH3603" s="5" t="s">
        <v>240</v>
      </c>
      <c r="AI3603" s="5" t="s">
        <v>240</v>
      </c>
      <c r="AJ3603" s="5" t="s">
        <v>240</v>
      </c>
      <c r="AK3603" s="5" t="s">
        <v>240</v>
      </c>
      <c r="AL3603" s="5" t="s">
        <v>240</v>
      </c>
      <c r="AM3603" s="5" t="s">
        <v>240</v>
      </c>
      <c r="AN3603" s="5" t="s">
        <v>240</v>
      </c>
      <c r="AO3603" s="5" t="s">
        <v>240</v>
      </c>
      <c r="AP3603" s="6" t="s">
        <v>240</v>
      </c>
      <c r="AQ3603" s="6" t="s">
        <v>240</v>
      </c>
      <c r="AR3603" s="6" t="s">
        <v>240</v>
      </c>
      <c r="AS3603" s="6" t="s">
        <v>240</v>
      </c>
      <c r="AT3603" s="5" t="s">
        <v>240</v>
      </c>
      <c r="AU3603" s="5" t="s">
        <v>729</v>
      </c>
      <c r="AV3603" s="5" t="s">
        <v>729</v>
      </c>
      <c r="AW3603" s="5" t="s">
        <v>251</v>
      </c>
      <c r="AX3603" s="5" t="s">
        <v>252</v>
      </c>
      <c r="AY3603" s="5" t="s">
        <v>253</v>
      </c>
      <c r="AZ3603" s="5" t="s">
        <v>240</v>
      </c>
      <c r="BA3603" s="5" t="s">
        <v>255</v>
      </c>
      <c r="BB3603" s="5" t="s">
        <v>731</v>
      </c>
      <c r="BD3603" s="5" t="s">
        <v>240</v>
      </c>
      <c r="BF3603" s="5" t="s">
        <v>732</v>
      </c>
      <c r="BG3603" s="6" t="s">
        <v>733</v>
      </c>
      <c r="BH3603" s="5" t="s">
        <v>734</v>
      </c>
      <c r="BI3603" s="5" t="s">
        <v>734</v>
      </c>
      <c r="BJ3603" s="5" t="s">
        <v>240</v>
      </c>
      <c r="BK3603" s="8">
        <f>1621</f>
        <v>1621</v>
      </c>
      <c r="BL3603" s="7">
        <f>0</f>
        <v>0</v>
      </c>
      <c r="BM3603" s="5" t="s">
        <v>258</v>
      </c>
      <c r="BN3603" s="5" t="s">
        <v>259</v>
      </c>
      <c r="BO3603" s="5" t="s">
        <v>240</v>
      </c>
      <c r="BP3603" s="5" t="s">
        <v>240</v>
      </c>
      <c r="BQ3603" s="5" t="s">
        <v>240</v>
      </c>
      <c r="BR3603" s="5" t="s">
        <v>240</v>
      </c>
      <c r="BS3603" s="5" t="s">
        <v>240</v>
      </c>
      <c r="BT3603" s="5" t="s">
        <v>240</v>
      </c>
      <c r="BU3603" s="5" t="s">
        <v>240</v>
      </c>
      <c r="BV3603" s="5" t="s">
        <v>240</v>
      </c>
      <c r="BW3603" s="6" t="s">
        <v>240</v>
      </c>
      <c r="BX3603" s="5" t="s">
        <v>240</v>
      </c>
      <c r="BY3603" s="5" t="s">
        <v>240</v>
      </c>
      <c r="BZ3603" s="5" t="s">
        <v>240</v>
      </c>
      <c r="CA3603" s="5" t="s">
        <v>259</v>
      </c>
      <c r="CB3603" s="5" t="s">
        <v>240</v>
      </c>
      <c r="CC3603" s="5" t="s">
        <v>240</v>
      </c>
      <c r="CD3603" s="5" t="s">
        <v>240</v>
      </c>
      <c r="CE3603" s="5" t="s">
        <v>240</v>
      </c>
      <c r="CF3603" s="5" t="s">
        <v>240</v>
      </c>
      <c r="CG3603" s="5" t="s">
        <v>617</v>
      </c>
      <c r="CH3603" s="5" t="s">
        <v>305</v>
      </c>
      <c r="CI3603" s="5" t="s">
        <v>240</v>
      </c>
      <c r="CL3603" s="6" t="s">
        <v>261</v>
      </c>
      <c r="CM3603" s="5" t="s">
        <v>262</v>
      </c>
      <c r="CN3603" s="5" t="s">
        <v>263</v>
      </c>
      <c r="CO3603" s="5" t="s">
        <v>264</v>
      </c>
      <c r="CP3603" s="5" t="s">
        <v>240</v>
      </c>
      <c r="CQ3603" s="5">
        <v>0</v>
      </c>
      <c r="CR3603" s="5" t="s">
        <v>735</v>
      </c>
      <c r="CS3603" s="5" t="s">
        <v>307</v>
      </c>
      <c r="CT3603" s="5" t="s">
        <v>307</v>
      </c>
      <c r="CU3603" s="5" t="s">
        <v>260</v>
      </c>
      <c r="CV3603" s="5" t="s">
        <v>240</v>
      </c>
      <c r="CW3603" s="8">
        <f>0</f>
        <v>0</v>
      </c>
      <c r="CX3603" s="7">
        <f>0</f>
        <v>0</v>
      </c>
      <c r="CY3603" s="7">
        <f>0</f>
        <v>0</v>
      </c>
      <c r="DA3603" s="7">
        <f>17831</f>
        <v>17831</v>
      </c>
      <c r="DB3603" s="7" t="s">
        <v>240</v>
      </c>
      <c r="DC3603" s="5" t="s">
        <v>240</v>
      </c>
      <c r="DD3603" s="5" t="s">
        <v>240</v>
      </c>
      <c r="DE3603" s="5" t="s">
        <v>240</v>
      </c>
      <c r="DF3603" s="5" t="s">
        <v>450</v>
      </c>
      <c r="DG3603" s="7">
        <f>0</f>
        <v>0</v>
      </c>
      <c r="DI3603" s="5" t="s">
        <v>737</v>
      </c>
      <c r="DJ3603" s="5" t="s">
        <v>240</v>
      </c>
      <c r="DK3603" s="5" t="s">
        <v>240</v>
      </c>
      <c r="DL3603" s="5" t="s">
        <v>240</v>
      </c>
      <c r="DM3603" s="5" t="s">
        <v>240</v>
      </c>
      <c r="DN3603" s="5" t="s">
        <v>240</v>
      </c>
      <c r="DO3603" s="7" t="s">
        <v>240</v>
      </c>
      <c r="DP3603" s="5" t="s">
        <v>240</v>
      </c>
      <c r="DQ3603" s="5" t="s">
        <v>240</v>
      </c>
      <c r="DR3603" s="5" t="s">
        <v>731</v>
      </c>
      <c r="DS3603" s="5" t="s">
        <v>731</v>
      </c>
      <c r="DT3603" s="5" t="s">
        <v>240</v>
      </c>
      <c r="DU3603" s="5" t="s">
        <v>240</v>
      </c>
      <c r="DV3603" s="5" t="s">
        <v>738</v>
      </c>
      <c r="DW3603" s="5" t="s">
        <v>639</v>
      </c>
      <c r="DX3603" s="5" t="s">
        <v>240</v>
      </c>
      <c r="DY3603" s="5" t="s">
        <v>240</v>
      </c>
      <c r="DZ3603" s="5" t="s">
        <v>240</v>
      </c>
      <c r="EA3603" s="5" t="s">
        <v>240</v>
      </c>
      <c r="EB3603" s="5" t="s">
        <v>240</v>
      </c>
      <c r="EC3603" s="5" t="s">
        <v>240</v>
      </c>
      <c r="ED3603" s="5" t="s">
        <v>240</v>
      </c>
      <c r="EE3603" s="5" t="s">
        <v>240</v>
      </c>
      <c r="EF3603" s="5" t="s">
        <v>240</v>
      </c>
      <c r="EG3603" s="5" t="s">
        <v>240</v>
      </c>
      <c r="EH3603" s="5" t="s">
        <v>240</v>
      </c>
      <c r="EI3603" s="5" t="s">
        <v>240</v>
      </c>
      <c r="EJ3603" s="5" t="s">
        <v>240</v>
      </c>
      <c r="EK3603" s="5" t="s">
        <v>240</v>
      </c>
      <c r="EL3603" s="5" t="s">
        <v>240</v>
      </c>
      <c r="EM3603" s="5" t="s">
        <v>240</v>
      </c>
      <c r="EN3603" s="5" t="s">
        <v>240</v>
      </c>
      <c r="EO3603" s="5" t="s">
        <v>240</v>
      </c>
      <c r="EP3603" s="5" t="s">
        <v>240</v>
      </c>
      <c r="EQ3603" s="5" t="s">
        <v>240</v>
      </c>
      <c r="ER3603" s="5" t="s">
        <v>240</v>
      </c>
      <c r="ES3603" s="5" t="s">
        <v>240</v>
      </c>
      <c r="ET3603" s="5" t="s">
        <v>240</v>
      </c>
      <c r="EU3603" s="5" t="s">
        <v>240</v>
      </c>
      <c r="EV3603" s="5" t="s">
        <v>240</v>
      </c>
      <c r="EW3603" s="5" t="s">
        <v>240</v>
      </c>
      <c r="EX3603" s="5" t="s">
        <v>240</v>
      </c>
      <c r="EY3603" s="5" t="s">
        <v>240</v>
      </c>
      <c r="EZ3603" s="5" t="s">
        <v>240</v>
      </c>
      <c r="FA3603" s="5" t="s">
        <v>240</v>
      </c>
      <c r="FB3603" s="5" t="s">
        <v>240</v>
      </c>
      <c r="FC3603" s="5" t="s">
        <v>240</v>
      </c>
      <c r="FD3603" s="5" t="s">
        <v>240</v>
      </c>
      <c r="FE3603" s="5" t="s">
        <v>240</v>
      </c>
      <c r="FF3603" s="5" t="s">
        <v>240</v>
      </c>
      <c r="FG3603" s="5" t="s">
        <v>240</v>
      </c>
      <c r="FH3603" s="5" t="s">
        <v>240</v>
      </c>
      <c r="FI3603" s="5" t="s">
        <v>240</v>
      </c>
      <c r="FJ3603" s="5" t="s">
        <v>240</v>
      </c>
      <c r="FK3603" s="5" t="s">
        <v>240</v>
      </c>
      <c r="FL3603" s="5" t="s">
        <v>240</v>
      </c>
      <c r="FM3603" s="5" t="s">
        <v>240</v>
      </c>
      <c r="FN3603" s="5" t="s">
        <v>240</v>
      </c>
      <c r="FO3603" s="5" t="s">
        <v>240</v>
      </c>
      <c r="FP3603" s="5" t="s">
        <v>240</v>
      </c>
      <c r="FQ3603" s="5" t="s">
        <v>240</v>
      </c>
      <c r="FR3603" s="5" t="s">
        <v>240</v>
      </c>
      <c r="FS3603" s="5" t="s">
        <v>240</v>
      </c>
      <c r="FT3603" s="5" t="s">
        <v>240</v>
      </c>
      <c r="FU3603" s="5" t="s">
        <v>240</v>
      </c>
      <c r="FV3603" s="5" t="s">
        <v>240</v>
      </c>
      <c r="FW3603" s="5" t="s">
        <v>240</v>
      </c>
      <c r="FX3603" s="5" t="s">
        <v>240</v>
      </c>
      <c r="FY3603" s="5" t="s">
        <v>240</v>
      </c>
      <c r="FZ3603" s="5" t="s">
        <v>240</v>
      </c>
      <c r="GA3603" s="5" t="s">
        <v>240</v>
      </c>
      <c r="GB3603" s="5" t="s">
        <v>240</v>
      </c>
      <c r="GC3603" s="5" t="s">
        <v>240</v>
      </c>
      <c r="GD3603" s="5" t="s">
        <v>240</v>
      </c>
      <c r="GE3603" s="5" t="s">
        <v>240</v>
      </c>
      <c r="GF3603" s="5" t="s">
        <v>240</v>
      </c>
      <c r="GG3603" s="5" t="s">
        <v>240</v>
      </c>
      <c r="GH3603" s="5" t="s">
        <v>240</v>
      </c>
      <c r="GI3603" s="5" t="s">
        <v>240</v>
      </c>
      <c r="GJ3603" s="5" t="s">
        <v>240</v>
      </c>
      <c r="GK3603" s="5" t="s">
        <v>240</v>
      </c>
      <c r="GL3603" s="5" t="s">
        <v>240</v>
      </c>
      <c r="GM3603" s="5" t="s">
        <v>240</v>
      </c>
      <c r="GN3603" s="5" t="s">
        <v>240</v>
      </c>
      <c r="GO3603" s="5" t="s">
        <v>240</v>
      </c>
      <c r="GP3603" s="5" t="s">
        <v>240</v>
      </c>
      <c r="GQ3603" s="5" t="s">
        <v>240</v>
      </c>
      <c r="GR3603" s="5" t="s">
        <v>240</v>
      </c>
      <c r="GS3603" s="5" t="s">
        <v>240</v>
      </c>
      <c r="GT3603" s="5" t="s">
        <v>240</v>
      </c>
      <c r="GU3603" s="5" t="s">
        <v>240</v>
      </c>
      <c r="GV3603" s="5" t="s">
        <v>240</v>
      </c>
      <c r="GW3603" s="5" t="s">
        <v>240</v>
      </c>
      <c r="GX3603" s="5" t="s">
        <v>240</v>
      </c>
      <c r="GY3603" s="5" t="s">
        <v>240</v>
      </c>
      <c r="GZ3603" s="5" t="s">
        <v>240</v>
      </c>
      <c r="HA3603" s="5" t="s">
        <v>240</v>
      </c>
      <c r="HB3603" s="5" t="s">
        <v>240</v>
      </c>
      <c r="HC3603" s="5" t="s">
        <v>240</v>
      </c>
      <c r="HD3603" s="5" t="s">
        <v>240</v>
      </c>
      <c r="HE3603" s="5" t="s">
        <v>240</v>
      </c>
      <c r="HF3603" s="5" t="s">
        <v>240</v>
      </c>
      <c r="HG3603" s="5" t="s">
        <v>240</v>
      </c>
      <c r="HH3603" s="5" t="s">
        <v>240</v>
      </c>
      <c r="HI3603" s="5" t="s">
        <v>240</v>
      </c>
      <c r="HJ3603" s="5" t="s">
        <v>240</v>
      </c>
      <c r="HK3603" s="5" t="s">
        <v>240</v>
      </c>
      <c r="HL3603" s="5" t="s">
        <v>240</v>
      </c>
      <c r="HM3603" s="5" t="s">
        <v>240</v>
      </c>
      <c r="HN3603" s="5" t="s">
        <v>240</v>
      </c>
      <c r="HO3603" s="5" t="s">
        <v>620</v>
      </c>
      <c r="HP3603" s="5" t="s">
        <v>240</v>
      </c>
      <c r="HQ3603" s="5" t="s">
        <v>240</v>
      </c>
      <c r="HR3603" s="5" t="s">
        <v>240</v>
      </c>
      <c r="HS3603" s="5" t="s">
        <v>240</v>
      </c>
      <c r="HT3603" s="5" t="s">
        <v>240</v>
      </c>
      <c r="HU3603" s="5" t="s">
        <v>240</v>
      </c>
      <c r="HV3603" s="5" t="s">
        <v>240</v>
      </c>
      <c r="HW3603" s="5" t="s">
        <v>240</v>
      </c>
      <c r="HX3603" s="5" t="s">
        <v>240</v>
      </c>
      <c r="HY3603" s="5" t="s">
        <v>240</v>
      </c>
      <c r="HZ3603" s="5" t="s">
        <v>240</v>
      </c>
      <c r="IA3603" s="5" t="s">
        <v>240</v>
      </c>
      <c r="IB3603" s="5" t="s">
        <v>240</v>
      </c>
      <c r="IC3603" s="5" t="s">
        <v>240</v>
      </c>
      <c r="ID3603" s="5" t="s">
        <v>240</v>
      </c>
      <c r="IE3603" s="5" t="s">
        <v>240</v>
      </c>
      <c r="IF3603" s="5" t="s">
        <v>240</v>
      </c>
    </row>
    <row r="3604" spans="1:240" x14ac:dyDescent="0.4">
      <c r="A3604" s="5">
        <v>9146</v>
      </c>
      <c r="B3604" s="5">
        <v>1</v>
      </c>
      <c r="C3604" s="5">
        <v>1</v>
      </c>
      <c r="D3604" s="5" t="s">
        <v>723</v>
      </c>
      <c r="E3604" s="5" t="s">
        <v>725</v>
      </c>
      <c r="F3604" s="5" t="s">
        <v>254</v>
      </c>
      <c r="G3604" s="5" t="s">
        <v>726</v>
      </c>
      <c r="H3604" s="6" t="s">
        <v>5741</v>
      </c>
      <c r="I3604" s="5" t="s">
        <v>5740</v>
      </c>
      <c r="J3604" s="7">
        <f>1</f>
        <v>1</v>
      </c>
      <c r="K3604" s="5" t="s">
        <v>3682</v>
      </c>
      <c r="L3604" s="7">
        <f>1</f>
        <v>1</v>
      </c>
      <c r="M3604" s="7">
        <f>1</f>
        <v>1</v>
      </c>
      <c r="N3604" s="5" t="s">
        <v>242</v>
      </c>
      <c r="O3604" s="5">
        <v>1</v>
      </c>
      <c r="P3604" s="5" t="s">
        <v>294</v>
      </c>
      <c r="Q3604" s="5" t="s">
        <v>3678</v>
      </c>
      <c r="R3604" s="5" t="s">
        <v>240</v>
      </c>
      <c r="S3604" s="5" t="s">
        <v>240</v>
      </c>
      <c r="T3604" s="5" t="s">
        <v>243</v>
      </c>
      <c r="U3604" s="5" t="s">
        <v>244</v>
      </c>
      <c r="V3604" s="5" t="s">
        <v>240</v>
      </c>
      <c r="W3604" s="5" t="s">
        <v>240</v>
      </c>
      <c r="X3604" s="5" t="s">
        <v>240</v>
      </c>
      <c r="Y3604" s="5" t="s">
        <v>240</v>
      </c>
      <c r="Z3604" s="6" t="s">
        <v>298</v>
      </c>
      <c r="AA3604" s="6" t="s">
        <v>240</v>
      </c>
      <c r="AB3604" s="6" t="s">
        <v>240</v>
      </c>
      <c r="AC3604" s="5" t="s">
        <v>240</v>
      </c>
      <c r="AD3604" s="6" t="s">
        <v>240</v>
      </c>
      <c r="AE3604" s="6" t="s">
        <v>299</v>
      </c>
      <c r="AF3604" s="5" t="s">
        <v>248</v>
      </c>
      <c r="AG3604" s="5" t="s">
        <v>249</v>
      </c>
      <c r="AH3604" s="5" t="s">
        <v>240</v>
      </c>
      <c r="AI3604" s="5" t="s">
        <v>240</v>
      </c>
      <c r="AJ3604" s="5" t="s">
        <v>240</v>
      </c>
      <c r="AK3604" s="5" t="s">
        <v>240</v>
      </c>
      <c r="AL3604" s="5" t="s">
        <v>240</v>
      </c>
      <c r="AM3604" s="5" t="s">
        <v>240</v>
      </c>
      <c r="AN3604" s="5" t="s">
        <v>240</v>
      </c>
      <c r="AO3604" s="5" t="s">
        <v>240</v>
      </c>
      <c r="AP3604" s="6" t="s">
        <v>240</v>
      </c>
      <c r="AQ3604" s="6" t="s">
        <v>240</v>
      </c>
      <c r="AR3604" s="6" t="s">
        <v>240</v>
      </c>
      <c r="AS3604" s="6" t="s">
        <v>240</v>
      </c>
      <c r="AT3604" s="5" t="s">
        <v>240</v>
      </c>
      <c r="AU3604" s="5" t="s">
        <v>729</v>
      </c>
      <c r="AV3604" s="5" t="s">
        <v>729</v>
      </c>
      <c r="AW3604" s="5" t="s">
        <v>251</v>
      </c>
      <c r="AX3604" s="5" t="s">
        <v>252</v>
      </c>
      <c r="AY3604" s="5" t="s">
        <v>253</v>
      </c>
      <c r="AZ3604" s="5" t="s">
        <v>240</v>
      </c>
      <c r="BA3604" s="5" t="s">
        <v>255</v>
      </c>
      <c r="BB3604" s="5" t="s">
        <v>731</v>
      </c>
      <c r="BD3604" s="5" t="s">
        <v>240</v>
      </c>
      <c r="BF3604" s="5" t="s">
        <v>732</v>
      </c>
      <c r="BG3604" s="6" t="s">
        <v>733</v>
      </c>
      <c r="BH3604" s="5" t="s">
        <v>734</v>
      </c>
      <c r="BI3604" s="5" t="s">
        <v>734</v>
      </c>
      <c r="BJ3604" s="5" t="s">
        <v>240</v>
      </c>
      <c r="BK3604" s="7">
        <f>1</f>
        <v>1</v>
      </c>
      <c r="BL3604" s="7">
        <f>1</f>
        <v>1</v>
      </c>
      <c r="BM3604" s="5" t="s">
        <v>258</v>
      </c>
      <c r="BN3604" s="5" t="s">
        <v>259</v>
      </c>
      <c r="BO3604" s="5" t="s">
        <v>240</v>
      </c>
      <c r="BP3604" s="5" t="s">
        <v>240</v>
      </c>
      <c r="BQ3604" s="5" t="s">
        <v>240</v>
      </c>
      <c r="BR3604" s="5" t="s">
        <v>240</v>
      </c>
      <c r="BS3604" s="5" t="s">
        <v>240</v>
      </c>
      <c r="BT3604" s="5" t="s">
        <v>240</v>
      </c>
      <c r="BU3604" s="5" t="s">
        <v>240</v>
      </c>
      <c r="BV3604" s="5" t="s">
        <v>240</v>
      </c>
      <c r="BW3604" s="6" t="s">
        <v>240</v>
      </c>
      <c r="BX3604" s="5" t="s">
        <v>240</v>
      </c>
      <c r="BY3604" s="5" t="s">
        <v>240</v>
      </c>
      <c r="BZ3604" s="5" t="s">
        <v>240</v>
      </c>
      <c r="CA3604" s="5" t="s">
        <v>259</v>
      </c>
      <c r="CB3604" s="5" t="s">
        <v>240</v>
      </c>
      <c r="CC3604" s="5" t="s">
        <v>240</v>
      </c>
      <c r="CD3604" s="5" t="s">
        <v>240</v>
      </c>
      <c r="CE3604" s="5" t="s">
        <v>240</v>
      </c>
      <c r="CF3604" s="5" t="s">
        <v>240</v>
      </c>
      <c r="CG3604" s="5" t="s">
        <v>304</v>
      </c>
      <c r="CH3604" s="5" t="s">
        <v>305</v>
      </c>
      <c r="CI3604" s="5" t="s">
        <v>240</v>
      </c>
      <c r="CK3604" s="5" t="s">
        <v>3681</v>
      </c>
      <c r="CL3604" s="6" t="s">
        <v>261</v>
      </c>
      <c r="CM3604" s="5" t="s">
        <v>262</v>
      </c>
      <c r="CN3604" s="5" t="s">
        <v>263</v>
      </c>
      <c r="CO3604" s="5" t="s">
        <v>264</v>
      </c>
      <c r="CP3604" s="5" t="s">
        <v>240</v>
      </c>
      <c r="CQ3604" s="5">
        <v>0</v>
      </c>
      <c r="CR3604" s="5" t="s">
        <v>735</v>
      </c>
      <c r="CS3604" s="5" t="s">
        <v>307</v>
      </c>
      <c r="CT3604" s="5" t="s">
        <v>307</v>
      </c>
      <c r="CU3604" s="5" t="s">
        <v>260</v>
      </c>
      <c r="CV3604" s="5" t="s">
        <v>612</v>
      </c>
      <c r="CW3604" s="8">
        <f>1</f>
        <v>1</v>
      </c>
      <c r="CX3604" s="7">
        <f>1</f>
        <v>1</v>
      </c>
      <c r="CY3604" s="7">
        <f>0</f>
        <v>0</v>
      </c>
      <c r="DA3604" s="7">
        <f>1</f>
        <v>1</v>
      </c>
      <c r="DB3604" s="7" t="s">
        <v>240</v>
      </c>
      <c r="DC3604" s="5" t="s">
        <v>240</v>
      </c>
      <c r="DD3604" s="5" t="s">
        <v>240</v>
      </c>
      <c r="DE3604" s="5" t="s">
        <v>240</v>
      </c>
      <c r="DF3604" s="5" t="s">
        <v>240</v>
      </c>
      <c r="DG3604" s="7">
        <f>0</f>
        <v>0</v>
      </c>
      <c r="DI3604" s="5" t="s">
        <v>240</v>
      </c>
      <c r="DJ3604" s="5" t="s">
        <v>240</v>
      </c>
      <c r="DK3604" s="5" t="s">
        <v>240</v>
      </c>
      <c r="DL3604" s="5" t="s">
        <v>240</v>
      </c>
      <c r="DM3604" s="5" t="s">
        <v>240</v>
      </c>
      <c r="DN3604" s="5" t="s">
        <v>240</v>
      </c>
      <c r="DO3604" s="7" t="s">
        <v>240</v>
      </c>
      <c r="DP3604" s="5" t="s">
        <v>240</v>
      </c>
      <c r="DQ3604" s="5" t="s">
        <v>240</v>
      </c>
      <c r="DR3604" s="5" t="s">
        <v>731</v>
      </c>
      <c r="DS3604" s="5" t="s">
        <v>731</v>
      </c>
      <c r="DT3604" s="5" t="s">
        <v>240</v>
      </c>
      <c r="DU3604" s="5" t="s">
        <v>240</v>
      </c>
      <c r="DV3604" s="5" t="s">
        <v>3683</v>
      </c>
      <c r="DW3604" s="5" t="s">
        <v>608</v>
      </c>
      <c r="DX3604" s="5" t="s">
        <v>240</v>
      </c>
      <c r="DY3604" s="5" t="s">
        <v>240</v>
      </c>
      <c r="DZ3604" s="5" t="s">
        <v>240</v>
      </c>
      <c r="EA3604" s="5" t="s">
        <v>240</v>
      </c>
      <c r="EB3604" s="5" t="s">
        <v>240</v>
      </c>
      <c r="EC3604" s="5" t="s">
        <v>240</v>
      </c>
      <c r="ED3604" s="5" t="s">
        <v>240</v>
      </c>
      <c r="EE3604" s="5" t="s">
        <v>240</v>
      </c>
      <c r="EF3604" s="5" t="s">
        <v>240</v>
      </c>
      <c r="EG3604" s="5" t="s">
        <v>240</v>
      </c>
      <c r="EH3604" s="5" t="s">
        <v>240</v>
      </c>
      <c r="EI3604" s="5" t="s">
        <v>240</v>
      </c>
      <c r="EJ3604" s="5" t="s">
        <v>240</v>
      </c>
      <c r="EK3604" s="5" t="s">
        <v>240</v>
      </c>
      <c r="EL3604" s="5" t="s">
        <v>240</v>
      </c>
      <c r="EM3604" s="5" t="s">
        <v>240</v>
      </c>
      <c r="EN3604" s="5" t="s">
        <v>240</v>
      </c>
      <c r="EO3604" s="5" t="s">
        <v>240</v>
      </c>
      <c r="EP3604" s="5" t="s">
        <v>240</v>
      </c>
      <c r="EQ3604" s="5" t="s">
        <v>240</v>
      </c>
      <c r="ER3604" s="5" t="s">
        <v>240</v>
      </c>
      <c r="ES3604" s="5" t="s">
        <v>240</v>
      </c>
      <c r="ET3604" s="5" t="s">
        <v>240</v>
      </c>
      <c r="EU3604" s="5" t="s">
        <v>240</v>
      </c>
      <c r="EV3604" s="5" t="s">
        <v>240</v>
      </c>
      <c r="EW3604" s="5" t="s">
        <v>240</v>
      </c>
      <c r="EX3604" s="5" t="s">
        <v>240</v>
      </c>
      <c r="EY3604" s="5" t="s">
        <v>240</v>
      </c>
      <c r="EZ3604" s="5" t="s">
        <v>240</v>
      </c>
      <c r="FA3604" s="5" t="s">
        <v>240</v>
      </c>
      <c r="FB3604" s="5" t="s">
        <v>240</v>
      </c>
      <c r="FC3604" s="5" t="s">
        <v>240</v>
      </c>
      <c r="FD3604" s="5" t="s">
        <v>240</v>
      </c>
      <c r="FE3604" s="5" t="s">
        <v>240</v>
      </c>
      <c r="FF3604" s="5" t="s">
        <v>240</v>
      </c>
      <c r="FG3604" s="5" t="s">
        <v>240</v>
      </c>
      <c r="FH3604" s="5" t="s">
        <v>240</v>
      </c>
      <c r="FI3604" s="5" t="s">
        <v>240</v>
      </c>
      <c r="FJ3604" s="5" t="s">
        <v>240</v>
      </c>
      <c r="FK3604" s="5" t="s">
        <v>240</v>
      </c>
      <c r="FL3604" s="5" t="s">
        <v>240</v>
      </c>
      <c r="FM3604" s="5" t="s">
        <v>240</v>
      </c>
      <c r="FN3604" s="5" t="s">
        <v>240</v>
      </c>
      <c r="FO3604" s="5" t="s">
        <v>240</v>
      </c>
      <c r="FP3604" s="5" t="s">
        <v>240</v>
      </c>
      <c r="FQ3604" s="5" t="s">
        <v>240</v>
      </c>
      <c r="FR3604" s="5" t="s">
        <v>240</v>
      </c>
      <c r="FS3604" s="5" t="s">
        <v>240</v>
      </c>
      <c r="FT3604" s="5" t="s">
        <v>240</v>
      </c>
      <c r="FU3604" s="5" t="s">
        <v>240</v>
      </c>
      <c r="FV3604" s="5" t="s">
        <v>240</v>
      </c>
      <c r="FW3604" s="5" t="s">
        <v>240</v>
      </c>
      <c r="FX3604" s="5" t="s">
        <v>240</v>
      </c>
      <c r="FY3604" s="5" t="s">
        <v>240</v>
      </c>
      <c r="FZ3604" s="5" t="s">
        <v>240</v>
      </c>
      <c r="GA3604" s="5" t="s">
        <v>240</v>
      </c>
      <c r="GB3604" s="5" t="s">
        <v>240</v>
      </c>
      <c r="GC3604" s="5" t="s">
        <v>240</v>
      </c>
      <c r="GD3604" s="5" t="s">
        <v>240</v>
      </c>
      <c r="GE3604" s="5" t="s">
        <v>240</v>
      </c>
      <c r="GF3604" s="5" t="s">
        <v>240</v>
      </c>
      <c r="GG3604" s="5" t="s">
        <v>240</v>
      </c>
      <c r="GH3604" s="5" t="s">
        <v>240</v>
      </c>
      <c r="GI3604" s="5" t="s">
        <v>240</v>
      </c>
      <c r="GJ3604" s="5" t="s">
        <v>240</v>
      </c>
      <c r="GK3604" s="5" t="s">
        <v>240</v>
      </c>
      <c r="GL3604" s="5" t="s">
        <v>240</v>
      </c>
      <c r="GM3604" s="5" t="s">
        <v>240</v>
      </c>
      <c r="GN3604" s="5" t="s">
        <v>240</v>
      </c>
      <c r="GO3604" s="5" t="s">
        <v>240</v>
      </c>
      <c r="GP3604" s="5" t="s">
        <v>240</v>
      </c>
      <c r="GQ3604" s="5" t="s">
        <v>240</v>
      </c>
      <c r="GR3604" s="5" t="s">
        <v>240</v>
      </c>
      <c r="GS3604" s="5" t="s">
        <v>240</v>
      </c>
      <c r="GT3604" s="5" t="s">
        <v>240</v>
      </c>
      <c r="GU3604" s="5" t="s">
        <v>240</v>
      </c>
      <c r="GV3604" s="5" t="s">
        <v>240</v>
      </c>
      <c r="GW3604" s="5" t="s">
        <v>240</v>
      </c>
      <c r="GX3604" s="5" t="s">
        <v>240</v>
      </c>
      <c r="GY3604" s="5" t="s">
        <v>240</v>
      </c>
      <c r="GZ3604" s="5" t="s">
        <v>240</v>
      </c>
      <c r="HA3604" s="5" t="s">
        <v>240</v>
      </c>
      <c r="HB3604" s="5" t="s">
        <v>240</v>
      </c>
      <c r="HC3604" s="5" t="s">
        <v>240</v>
      </c>
      <c r="HD3604" s="5" t="s">
        <v>240</v>
      </c>
      <c r="HE3604" s="5" t="s">
        <v>240</v>
      </c>
      <c r="HF3604" s="5" t="s">
        <v>240</v>
      </c>
      <c r="HG3604" s="5" t="s">
        <v>240</v>
      </c>
      <c r="HH3604" s="5" t="s">
        <v>240</v>
      </c>
      <c r="HI3604" s="5" t="s">
        <v>240</v>
      </c>
      <c r="HJ3604" s="5" t="s">
        <v>240</v>
      </c>
      <c r="HK3604" s="5" t="s">
        <v>240</v>
      </c>
      <c r="HL3604" s="5" t="s">
        <v>240</v>
      </c>
      <c r="HM3604" s="5" t="s">
        <v>240</v>
      </c>
      <c r="HN3604" s="5" t="s">
        <v>240</v>
      </c>
      <c r="HO3604" s="5" t="s">
        <v>312</v>
      </c>
      <c r="HP3604" s="5" t="s">
        <v>240</v>
      </c>
      <c r="HQ3604" s="5" t="s">
        <v>240</v>
      </c>
      <c r="HR3604" s="5" t="s">
        <v>240</v>
      </c>
      <c r="HS3604" s="5" t="s">
        <v>240</v>
      </c>
      <c r="HT3604" s="5" t="s">
        <v>240</v>
      </c>
      <c r="HU3604" s="5" t="s">
        <v>240</v>
      </c>
      <c r="HV3604" s="5" t="s">
        <v>240</v>
      </c>
      <c r="HW3604" s="5" t="s">
        <v>240</v>
      </c>
      <c r="HX3604" s="5" t="s">
        <v>240</v>
      </c>
      <c r="HY3604" s="5" t="s">
        <v>240</v>
      </c>
      <c r="HZ3604" s="5" t="s">
        <v>240</v>
      </c>
      <c r="IA3604" s="5" t="s">
        <v>240</v>
      </c>
      <c r="IB3604" s="5" t="s">
        <v>240</v>
      </c>
      <c r="IC3604" s="5" t="s">
        <v>240</v>
      </c>
      <c r="ID3604" s="5" t="s">
        <v>240</v>
      </c>
      <c r="IE3604" s="5" t="s">
        <v>240</v>
      </c>
      <c r="IF3604" s="5" t="s">
        <v>240</v>
      </c>
    </row>
    <row r="3605" spans="1:240" x14ac:dyDescent="0.4">
      <c r="A3605" s="5">
        <v>9147</v>
      </c>
      <c r="B3605" s="5">
        <v>1</v>
      </c>
      <c r="C3605" s="5">
        <v>1</v>
      </c>
      <c r="D3605" s="5" t="s">
        <v>723</v>
      </c>
      <c r="E3605" s="5" t="s">
        <v>725</v>
      </c>
      <c r="F3605" s="5" t="s">
        <v>254</v>
      </c>
      <c r="G3605" s="5" t="s">
        <v>726</v>
      </c>
      <c r="H3605" s="6" t="s">
        <v>6407</v>
      </c>
      <c r="I3605" s="5" t="s">
        <v>6406</v>
      </c>
      <c r="J3605" s="7">
        <f>1</f>
        <v>1</v>
      </c>
      <c r="K3605" s="5" t="s">
        <v>3682</v>
      </c>
      <c r="L3605" s="7">
        <f>1</f>
        <v>1</v>
      </c>
      <c r="M3605" s="7">
        <f>1</f>
        <v>1</v>
      </c>
      <c r="N3605" s="5" t="s">
        <v>242</v>
      </c>
      <c r="O3605" s="5">
        <v>1</v>
      </c>
      <c r="P3605" s="5" t="s">
        <v>294</v>
      </c>
      <c r="Q3605" s="5" t="s">
        <v>3678</v>
      </c>
      <c r="R3605" s="5" t="s">
        <v>240</v>
      </c>
      <c r="S3605" s="5" t="s">
        <v>240</v>
      </c>
      <c r="T3605" s="5" t="s">
        <v>243</v>
      </c>
      <c r="U3605" s="5" t="s">
        <v>244</v>
      </c>
      <c r="V3605" s="5" t="s">
        <v>240</v>
      </c>
      <c r="W3605" s="5" t="s">
        <v>240</v>
      </c>
      <c r="X3605" s="5" t="s">
        <v>240</v>
      </c>
      <c r="Y3605" s="5" t="s">
        <v>240</v>
      </c>
      <c r="Z3605" s="6" t="s">
        <v>298</v>
      </c>
      <c r="AA3605" s="6" t="s">
        <v>240</v>
      </c>
      <c r="AB3605" s="6" t="s">
        <v>240</v>
      </c>
      <c r="AC3605" s="5" t="s">
        <v>240</v>
      </c>
      <c r="AD3605" s="6" t="s">
        <v>240</v>
      </c>
      <c r="AE3605" s="6" t="s">
        <v>299</v>
      </c>
      <c r="AF3605" s="5" t="s">
        <v>248</v>
      </c>
      <c r="AG3605" s="5" t="s">
        <v>249</v>
      </c>
      <c r="AH3605" s="5" t="s">
        <v>240</v>
      </c>
      <c r="AI3605" s="5" t="s">
        <v>240</v>
      </c>
      <c r="AJ3605" s="5" t="s">
        <v>240</v>
      </c>
      <c r="AK3605" s="5" t="s">
        <v>240</v>
      </c>
      <c r="AL3605" s="5" t="s">
        <v>240</v>
      </c>
      <c r="AM3605" s="5" t="s">
        <v>240</v>
      </c>
      <c r="AN3605" s="5" t="s">
        <v>240</v>
      </c>
      <c r="AO3605" s="5" t="s">
        <v>240</v>
      </c>
      <c r="AP3605" s="6" t="s">
        <v>240</v>
      </c>
      <c r="AQ3605" s="6" t="s">
        <v>240</v>
      </c>
      <c r="AR3605" s="6" t="s">
        <v>240</v>
      </c>
      <c r="AS3605" s="6" t="s">
        <v>240</v>
      </c>
      <c r="AT3605" s="5" t="s">
        <v>240</v>
      </c>
      <c r="AU3605" s="5" t="s">
        <v>729</v>
      </c>
      <c r="AV3605" s="5" t="s">
        <v>729</v>
      </c>
      <c r="AW3605" s="5" t="s">
        <v>251</v>
      </c>
      <c r="AX3605" s="5" t="s">
        <v>252</v>
      </c>
      <c r="AY3605" s="5" t="s">
        <v>253</v>
      </c>
      <c r="AZ3605" s="5" t="s">
        <v>240</v>
      </c>
      <c r="BA3605" s="5" t="s">
        <v>255</v>
      </c>
      <c r="BB3605" s="5" t="s">
        <v>731</v>
      </c>
      <c r="BD3605" s="5" t="s">
        <v>240</v>
      </c>
      <c r="BF3605" s="5" t="s">
        <v>732</v>
      </c>
      <c r="BG3605" s="6" t="s">
        <v>733</v>
      </c>
      <c r="BH3605" s="5" t="s">
        <v>734</v>
      </c>
      <c r="BI3605" s="5" t="s">
        <v>734</v>
      </c>
      <c r="BJ3605" s="5" t="s">
        <v>240</v>
      </c>
      <c r="BK3605" s="7">
        <f>1</f>
        <v>1</v>
      </c>
      <c r="BL3605" s="7">
        <f>1</f>
        <v>1</v>
      </c>
      <c r="BM3605" s="5" t="s">
        <v>258</v>
      </c>
      <c r="BN3605" s="5" t="s">
        <v>259</v>
      </c>
      <c r="BO3605" s="5" t="s">
        <v>240</v>
      </c>
      <c r="BP3605" s="5" t="s">
        <v>240</v>
      </c>
      <c r="BQ3605" s="5" t="s">
        <v>240</v>
      </c>
      <c r="BR3605" s="5" t="s">
        <v>240</v>
      </c>
      <c r="BS3605" s="5" t="s">
        <v>240</v>
      </c>
      <c r="BT3605" s="5" t="s">
        <v>240</v>
      </c>
      <c r="BU3605" s="5" t="s">
        <v>240</v>
      </c>
      <c r="BV3605" s="5" t="s">
        <v>240</v>
      </c>
      <c r="BW3605" s="6" t="s">
        <v>240</v>
      </c>
      <c r="BX3605" s="5" t="s">
        <v>240</v>
      </c>
      <c r="BY3605" s="5" t="s">
        <v>240</v>
      </c>
      <c r="BZ3605" s="5" t="s">
        <v>240</v>
      </c>
      <c r="CA3605" s="5" t="s">
        <v>259</v>
      </c>
      <c r="CB3605" s="5" t="s">
        <v>240</v>
      </c>
      <c r="CC3605" s="5" t="s">
        <v>240</v>
      </c>
      <c r="CD3605" s="5" t="s">
        <v>240</v>
      </c>
      <c r="CE3605" s="5" t="s">
        <v>240</v>
      </c>
      <c r="CF3605" s="5" t="s">
        <v>240</v>
      </c>
      <c r="CG3605" s="5" t="s">
        <v>304</v>
      </c>
      <c r="CH3605" s="5" t="s">
        <v>305</v>
      </c>
      <c r="CI3605" s="5" t="s">
        <v>240</v>
      </c>
      <c r="CK3605" s="5" t="s">
        <v>3681</v>
      </c>
      <c r="CL3605" s="6" t="s">
        <v>261</v>
      </c>
      <c r="CM3605" s="5" t="s">
        <v>262</v>
      </c>
      <c r="CN3605" s="5" t="s">
        <v>263</v>
      </c>
      <c r="CO3605" s="5" t="s">
        <v>264</v>
      </c>
      <c r="CP3605" s="5" t="s">
        <v>240</v>
      </c>
      <c r="CQ3605" s="5">
        <v>0</v>
      </c>
      <c r="CR3605" s="5" t="s">
        <v>735</v>
      </c>
      <c r="CS3605" s="5" t="s">
        <v>307</v>
      </c>
      <c r="CT3605" s="5" t="s">
        <v>307</v>
      </c>
      <c r="CU3605" s="5" t="s">
        <v>260</v>
      </c>
      <c r="CV3605" s="5" t="s">
        <v>612</v>
      </c>
      <c r="CW3605" s="8">
        <f>1</f>
        <v>1</v>
      </c>
      <c r="CX3605" s="7">
        <f>1</f>
        <v>1</v>
      </c>
      <c r="CY3605" s="7">
        <f>0</f>
        <v>0</v>
      </c>
      <c r="DA3605" s="7">
        <f>1</f>
        <v>1</v>
      </c>
      <c r="DB3605" s="7" t="s">
        <v>240</v>
      </c>
      <c r="DC3605" s="5" t="s">
        <v>240</v>
      </c>
      <c r="DD3605" s="5" t="s">
        <v>240</v>
      </c>
      <c r="DE3605" s="5" t="s">
        <v>240</v>
      </c>
      <c r="DF3605" s="5" t="s">
        <v>240</v>
      </c>
      <c r="DG3605" s="7">
        <f>0</f>
        <v>0</v>
      </c>
      <c r="DI3605" s="5" t="s">
        <v>240</v>
      </c>
      <c r="DJ3605" s="5" t="s">
        <v>240</v>
      </c>
      <c r="DK3605" s="5" t="s">
        <v>240</v>
      </c>
      <c r="DL3605" s="5" t="s">
        <v>240</v>
      </c>
      <c r="DM3605" s="5" t="s">
        <v>240</v>
      </c>
      <c r="DN3605" s="5" t="s">
        <v>240</v>
      </c>
      <c r="DO3605" s="7" t="s">
        <v>240</v>
      </c>
      <c r="DP3605" s="5" t="s">
        <v>240</v>
      </c>
      <c r="DQ3605" s="5" t="s">
        <v>240</v>
      </c>
      <c r="DR3605" s="5" t="s">
        <v>731</v>
      </c>
      <c r="DS3605" s="5" t="s">
        <v>731</v>
      </c>
      <c r="DT3605" s="5" t="s">
        <v>240</v>
      </c>
      <c r="DU3605" s="5" t="s">
        <v>240</v>
      </c>
      <c r="DV3605" s="5" t="s">
        <v>3683</v>
      </c>
      <c r="DW3605" s="5" t="s">
        <v>623</v>
      </c>
      <c r="DX3605" s="5" t="s">
        <v>240</v>
      </c>
      <c r="DY3605" s="5" t="s">
        <v>240</v>
      </c>
      <c r="DZ3605" s="5" t="s">
        <v>240</v>
      </c>
      <c r="EA3605" s="5" t="s">
        <v>240</v>
      </c>
      <c r="EB3605" s="5" t="s">
        <v>240</v>
      </c>
      <c r="EC3605" s="5" t="s">
        <v>240</v>
      </c>
      <c r="ED3605" s="5" t="s">
        <v>240</v>
      </c>
      <c r="EE3605" s="5" t="s">
        <v>240</v>
      </c>
      <c r="EF3605" s="5" t="s">
        <v>240</v>
      </c>
      <c r="EG3605" s="5" t="s">
        <v>240</v>
      </c>
      <c r="EH3605" s="5" t="s">
        <v>240</v>
      </c>
      <c r="EI3605" s="5" t="s">
        <v>240</v>
      </c>
      <c r="EJ3605" s="5" t="s">
        <v>240</v>
      </c>
      <c r="EK3605" s="5" t="s">
        <v>240</v>
      </c>
      <c r="EL3605" s="5" t="s">
        <v>240</v>
      </c>
      <c r="EM3605" s="5" t="s">
        <v>240</v>
      </c>
      <c r="EN3605" s="5" t="s">
        <v>240</v>
      </c>
      <c r="EO3605" s="5" t="s">
        <v>240</v>
      </c>
      <c r="EP3605" s="5" t="s">
        <v>240</v>
      </c>
      <c r="EQ3605" s="5" t="s">
        <v>240</v>
      </c>
      <c r="ER3605" s="5" t="s">
        <v>240</v>
      </c>
      <c r="ES3605" s="5" t="s">
        <v>240</v>
      </c>
      <c r="ET3605" s="5" t="s">
        <v>240</v>
      </c>
      <c r="EU3605" s="5" t="s">
        <v>240</v>
      </c>
      <c r="EV3605" s="5" t="s">
        <v>240</v>
      </c>
      <c r="EW3605" s="5" t="s">
        <v>240</v>
      </c>
      <c r="EX3605" s="5" t="s">
        <v>240</v>
      </c>
      <c r="EY3605" s="5" t="s">
        <v>240</v>
      </c>
      <c r="EZ3605" s="5" t="s">
        <v>240</v>
      </c>
      <c r="FA3605" s="5" t="s">
        <v>240</v>
      </c>
      <c r="FB3605" s="5" t="s">
        <v>240</v>
      </c>
      <c r="FC3605" s="5" t="s">
        <v>240</v>
      </c>
      <c r="FD3605" s="5" t="s">
        <v>240</v>
      </c>
      <c r="FE3605" s="5" t="s">
        <v>240</v>
      </c>
      <c r="FF3605" s="5" t="s">
        <v>240</v>
      </c>
      <c r="FG3605" s="5" t="s">
        <v>240</v>
      </c>
      <c r="FH3605" s="5" t="s">
        <v>240</v>
      </c>
      <c r="FI3605" s="5" t="s">
        <v>240</v>
      </c>
      <c r="FJ3605" s="5" t="s">
        <v>240</v>
      </c>
      <c r="FK3605" s="5" t="s">
        <v>240</v>
      </c>
      <c r="FL3605" s="5" t="s">
        <v>240</v>
      </c>
      <c r="FM3605" s="5" t="s">
        <v>240</v>
      </c>
      <c r="FN3605" s="5" t="s">
        <v>240</v>
      </c>
      <c r="FO3605" s="5" t="s">
        <v>240</v>
      </c>
      <c r="FP3605" s="5" t="s">
        <v>240</v>
      </c>
      <c r="FQ3605" s="5" t="s">
        <v>240</v>
      </c>
      <c r="FR3605" s="5" t="s">
        <v>240</v>
      </c>
      <c r="FS3605" s="5" t="s">
        <v>240</v>
      </c>
      <c r="FT3605" s="5" t="s">
        <v>240</v>
      </c>
      <c r="FU3605" s="5" t="s">
        <v>240</v>
      </c>
      <c r="FV3605" s="5" t="s">
        <v>240</v>
      </c>
      <c r="FW3605" s="5" t="s">
        <v>240</v>
      </c>
      <c r="FX3605" s="5" t="s">
        <v>240</v>
      </c>
      <c r="FY3605" s="5" t="s">
        <v>240</v>
      </c>
      <c r="FZ3605" s="5" t="s">
        <v>240</v>
      </c>
      <c r="GA3605" s="5" t="s">
        <v>240</v>
      </c>
      <c r="GB3605" s="5" t="s">
        <v>240</v>
      </c>
      <c r="GC3605" s="5" t="s">
        <v>240</v>
      </c>
      <c r="GD3605" s="5" t="s">
        <v>240</v>
      </c>
      <c r="GE3605" s="5" t="s">
        <v>240</v>
      </c>
      <c r="GF3605" s="5" t="s">
        <v>240</v>
      </c>
      <c r="GG3605" s="5" t="s">
        <v>240</v>
      </c>
      <c r="GH3605" s="5" t="s">
        <v>240</v>
      </c>
      <c r="GI3605" s="5" t="s">
        <v>240</v>
      </c>
      <c r="GJ3605" s="5" t="s">
        <v>240</v>
      </c>
      <c r="GK3605" s="5" t="s">
        <v>240</v>
      </c>
      <c r="GL3605" s="5" t="s">
        <v>240</v>
      </c>
      <c r="GM3605" s="5" t="s">
        <v>240</v>
      </c>
      <c r="GN3605" s="5" t="s">
        <v>240</v>
      </c>
      <c r="GO3605" s="5" t="s">
        <v>240</v>
      </c>
      <c r="GP3605" s="5" t="s">
        <v>240</v>
      </c>
      <c r="GQ3605" s="5" t="s">
        <v>240</v>
      </c>
      <c r="GR3605" s="5" t="s">
        <v>240</v>
      </c>
      <c r="GS3605" s="5" t="s">
        <v>240</v>
      </c>
      <c r="GT3605" s="5" t="s">
        <v>240</v>
      </c>
      <c r="GU3605" s="5" t="s">
        <v>240</v>
      </c>
      <c r="GV3605" s="5" t="s">
        <v>240</v>
      </c>
      <c r="GW3605" s="5" t="s">
        <v>240</v>
      </c>
      <c r="GX3605" s="5" t="s">
        <v>240</v>
      </c>
      <c r="GY3605" s="5" t="s">
        <v>240</v>
      </c>
      <c r="GZ3605" s="5" t="s">
        <v>240</v>
      </c>
      <c r="HA3605" s="5" t="s">
        <v>240</v>
      </c>
      <c r="HB3605" s="5" t="s">
        <v>240</v>
      </c>
      <c r="HC3605" s="5" t="s">
        <v>240</v>
      </c>
      <c r="HD3605" s="5" t="s">
        <v>240</v>
      </c>
      <c r="HE3605" s="5" t="s">
        <v>240</v>
      </c>
      <c r="HF3605" s="5" t="s">
        <v>240</v>
      </c>
      <c r="HG3605" s="5" t="s">
        <v>240</v>
      </c>
      <c r="HH3605" s="5" t="s">
        <v>240</v>
      </c>
      <c r="HI3605" s="5" t="s">
        <v>240</v>
      </c>
      <c r="HJ3605" s="5" t="s">
        <v>240</v>
      </c>
      <c r="HK3605" s="5" t="s">
        <v>240</v>
      </c>
      <c r="HL3605" s="5" t="s">
        <v>240</v>
      </c>
      <c r="HM3605" s="5" t="s">
        <v>240</v>
      </c>
      <c r="HN3605" s="5" t="s">
        <v>240</v>
      </c>
      <c r="HO3605" s="5" t="s">
        <v>312</v>
      </c>
      <c r="HP3605" s="5" t="s">
        <v>240</v>
      </c>
      <c r="HQ3605" s="5" t="s">
        <v>240</v>
      </c>
      <c r="HR3605" s="5" t="s">
        <v>240</v>
      </c>
      <c r="HS3605" s="5" t="s">
        <v>240</v>
      </c>
      <c r="HT3605" s="5" t="s">
        <v>240</v>
      </c>
      <c r="HU3605" s="5" t="s">
        <v>240</v>
      </c>
      <c r="HV3605" s="5" t="s">
        <v>240</v>
      </c>
      <c r="HW3605" s="5" t="s">
        <v>240</v>
      </c>
      <c r="HX3605" s="5" t="s">
        <v>240</v>
      </c>
      <c r="HY3605" s="5" t="s">
        <v>240</v>
      </c>
      <c r="HZ3605" s="5" t="s">
        <v>240</v>
      </c>
      <c r="IA3605" s="5" t="s">
        <v>240</v>
      </c>
      <c r="IB3605" s="5" t="s">
        <v>240</v>
      </c>
      <c r="IC3605" s="5" t="s">
        <v>240</v>
      </c>
      <c r="ID3605" s="5" t="s">
        <v>240</v>
      </c>
      <c r="IE3605" s="5" t="s">
        <v>240</v>
      </c>
      <c r="IF3605" s="5" t="s">
        <v>240</v>
      </c>
    </row>
    <row r="3606" spans="1:240" x14ac:dyDescent="0.4">
      <c r="A3606" s="5">
        <v>9148</v>
      </c>
      <c r="B3606" s="5">
        <v>1</v>
      </c>
      <c r="C3606" s="5">
        <v>1</v>
      </c>
      <c r="D3606" s="5" t="s">
        <v>723</v>
      </c>
      <c r="E3606" s="5" t="s">
        <v>725</v>
      </c>
      <c r="F3606" s="5" t="s">
        <v>254</v>
      </c>
      <c r="G3606" s="5" t="s">
        <v>726</v>
      </c>
      <c r="H3606" s="6" t="s">
        <v>5738</v>
      </c>
      <c r="I3606" s="5" t="s">
        <v>5737</v>
      </c>
      <c r="J3606" s="7">
        <f>1</f>
        <v>1</v>
      </c>
      <c r="K3606" s="5" t="s">
        <v>3682</v>
      </c>
      <c r="L3606" s="7">
        <f>1</f>
        <v>1</v>
      </c>
      <c r="M3606" s="7">
        <f>1</f>
        <v>1</v>
      </c>
      <c r="N3606" s="5" t="s">
        <v>242</v>
      </c>
      <c r="O3606" s="5">
        <v>1</v>
      </c>
      <c r="P3606" s="5" t="s">
        <v>294</v>
      </c>
      <c r="Q3606" s="5" t="s">
        <v>3678</v>
      </c>
      <c r="R3606" s="5" t="s">
        <v>240</v>
      </c>
      <c r="S3606" s="5" t="s">
        <v>240</v>
      </c>
      <c r="T3606" s="5" t="s">
        <v>243</v>
      </c>
      <c r="U3606" s="5" t="s">
        <v>244</v>
      </c>
      <c r="V3606" s="5" t="s">
        <v>240</v>
      </c>
      <c r="W3606" s="5" t="s">
        <v>240</v>
      </c>
      <c r="X3606" s="5" t="s">
        <v>240</v>
      </c>
      <c r="Y3606" s="5" t="s">
        <v>240</v>
      </c>
      <c r="Z3606" s="6" t="s">
        <v>298</v>
      </c>
      <c r="AA3606" s="6" t="s">
        <v>240</v>
      </c>
      <c r="AB3606" s="6" t="s">
        <v>240</v>
      </c>
      <c r="AC3606" s="5" t="s">
        <v>240</v>
      </c>
      <c r="AD3606" s="6" t="s">
        <v>240</v>
      </c>
      <c r="AE3606" s="6" t="s">
        <v>299</v>
      </c>
      <c r="AF3606" s="5" t="s">
        <v>248</v>
      </c>
      <c r="AG3606" s="5" t="s">
        <v>249</v>
      </c>
      <c r="AH3606" s="5" t="s">
        <v>240</v>
      </c>
      <c r="AI3606" s="5" t="s">
        <v>240</v>
      </c>
      <c r="AJ3606" s="5" t="s">
        <v>240</v>
      </c>
      <c r="AK3606" s="5" t="s">
        <v>240</v>
      </c>
      <c r="AL3606" s="5" t="s">
        <v>240</v>
      </c>
      <c r="AM3606" s="5" t="s">
        <v>240</v>
      </c>
      <c r="AN3606" s="5" t="s">
        <v>240</v>
      </c>
      <c r="AO3606" s="5" t="s">
        <v>240</v>
      </c>
      <c r="AP3606" s="6" t="s">
        <v>240</v>
      </c>
      <c r="AQ3606" s="6" t="s">
        <v>240</v>
      </c>
      <c r="AR3606" s="6" t="s">
        <v>240</v>
      </c>
      <c r="AS3606" s="6" t="s">
        <v>240</v>
      </c>
      <c r="AT3606" s="5" t="s">
        <v>240</v>
      </c>
      <c r="AU3606" s="5" t="s">
        <v>729</v>
      </c>
      <c r="AV3606" s="5" t="s">
        <v>729</v>
      </c>
      <c r="AW3606" s="5" t="s">
        <v>251</v>
      </c>
      <c r="AX3606" s="5" t="s">
        <v>252</v>
      </c>
      <c r="AY3606" s="5" t="s">
        <v>253</v>
      </c>
      <c r="AZ3606" s="5" t="s">
        <v>240</v>
      </c>
      <c r="BA3606" s="5" t="s">
        <v>255</v>
      </c>
      <c r="BB3606" s="5" t="s">
        <v>731</v>
      </c>
      <c r="BD3606" s="5" t="s">
        <v>240</v>
      </c>
      <c r="BF3606" s="5" t="s">
        <v>732</v>
      </c>
      <c r="BG3606" s="6" t="s">
        <v>733</v>
      </c>
      <c r="BH3606" s="5" t="s">
        <v>734</v>
      </c>
      <c r="BI3606" s="5" t="s">
        <v>734</v>
      </c>
      <c r="BJ3606" s="5" t="s">
        <v>240</v>
      </c>
      <c r="BK3606" s="7">
        <f>1</f>
        <v>1</v>
      </c>
      <c r="BL3606" s="7">
        <f>1</f>
        <v>1</v>
      </c>
      <c r="BM3606" s="5" t="s">
        <v>258</v>
      </c>
      <c r="BN3606" s="5" t="s">
        <v>259</v>
      </c>
      <c r="BO3606" s="5" t="s">
        <v>240</v>
      </c>
      <c r="BP3606" s="5" t="s">
        <v>240</v>
      </c>
      <c r="BQ3606" s="5" t="s">
        <v>240</v>
      </c>
      <c r="BR3606" s="5" t="s">
        <v>240</v>
      </c>
      <c r="BS3606" s="5" t="s">
        <v>240</v>
      </c>
      <c r="BT3606" s="5" t="s">
        <v>240</v>
      </c>
      <c r="BU3606" s="5" t="s">
        <v>240</v>
      </c>
      <c r="BV3606" s="5" t="s">
        <v>240</v>
      </c>
      <c r="BW3606" s="6" t="s">
        <v>240</v>
      </c>
      <c r="BX3606" s="5" t="s">
        <v>240</v>
      </c>
      <c r="BY3606" s="5" t="s">
        <v>240</v>
      </c>
      <c r="BZ3606" s="5" t="s">
        <v>240</v>
      </c>
      <c r="CA3606" s="5" t="s">
        <v>259</v>
      </c>
      <c r="CB3606" s="5" t="s">
        <v>240</v>
      </c>
      <c r="CC3606" s="5" t="s">
        <v>240</v>
      </c>
      <c r="CD3606" s="5" t="s">
        <v>240</v>
      </c>
      <c r="CE3606" s="5" t="s">
        <v>240</v>
      </c>
      <c r="CF3606" s="5" t="s">
        <v>240</v>
      </c>
      <c r="CG3606" s="5" t="s">
        <v>304</v>
      </c>
      <c r="CH3606" s="5" t="s">
        <v>305</v>
      </c>
      <c r="CI3606" s="5" t="s">
        <v>240</v>
      </c>
      <c r="CK3606" s="5" t="s">
        <v>3681</v>
      </c>
      <c r="CL3606" s="6" t="s">
        <v>261</v>
      </c>
      <c r="CM3606" s="5" t="s">
        <v>262</v>
      </c>
      <c r="CN3606" s="5" t="s">
        <v>263</v>
      </c>
      <c r="CO3606" s="5" t="s">
        <v>264</v>
      </c>
      <c r="CP3606" s="5" t="s">
        <v>240</v>
      </c>
      <c r="CQ3606" s="5">
        <v>0</v>
      </c>
      <c r="CR3606" s="5" t="s">
        <v>735</v>
      </c>
      <c r="CS3606" s="5" t="s">
        <v>307</v>
      </c>
      <c r="CT3606" s="5" t="s">
        <v>307</v>
      </c>
      <c r="CU3606" s="5" t="s">
        <v>260</v>
      </c>
      <c r="CV3606" s="5" t="s">
        <v>612</v>
      </c>
      <c r="CW3606" s="8">
        <f>1</f>
        <v>1</v>
      </c>
      <c r="CX3606" s="7">
        <f>1</f>
        <v>1</v>
      </c>
      <c r="CY3606" s="7">
        <f>0</f>
        <v>0</v>
      </c>
      <c r="DA3606" s="7">
        <f>1</f>
        <v>1</v>
      </c>
      <c r="DB3606" s="7" t="s">
        <v>240</v>
      </c>
      <c r="DC3606" s="5" t="s">
        <v>240</v>
      </c>
      <c r="DD3606" s="5" t="s">
        <v>240</v>
      </c>
      <c r="DE3606" s="5" t="s">
        <v>240</v>
      </c>
      <c r="DF3606" s="5" t="s">
        <v>240</v>
      </c>
      <c r="DG3606" s="7">
        <f>0</f>
        <v>0</v>
      </c>
      <c r="DI3606" s="5" t="s">
        <v>240</v>
      </c>
      <c r="DJ3606" s="5" t="s">
        <v>240</v>
      </c>
      <c r="DK3606" s="5" t="s">
        <v>240</v>
      </c>
      <c r="DL3606" s="5" t="s">
        <v>240</v>
      </c>
      <c r="DM3606" s="5" t="s">
        <v>240</v>
      </c>
      <c r="DN3606" s="5" t="s">
        <v>240</v>
      </c>
      <c r="DO3606" s="7" t="s">
        <v>240</v>
      </c>
      <c r="DP3606" s="5" t="s">
        <v>240</v>
      </c>
      <c r="DQ3606" s="5" t="s">
        <v>240</v>
      </c>
      <c r="DR3606" s="5" t="s">
        <v>731</v>
      </c>
      <c r="DS3606" s="5" t="s">
        <v>731</v>
      </c>
      <c r="DT3606" s="5" t="s">
        <v>240</v>
      </c>
      <c r="DU3606" s="5" t="s">
        <v>240</v>
      </c>
      <c r="DV3606" s="5" t="s">
        <v>3683</v>
      </c>
      <c r="DW3606" s="5" t="s">
        <v>772</v>
      </c>
      <c r="DX3606" s="5" t="s">
        <v>240</v>
      </c>
      <c r="DY3606" s="5" t="s">
        <v>240</v>
      </c>
      <c r="DZ3606" s="5" t="s">
        <v>240</v>
      </c>
      <c r="EA3606" s="5" t="s">
        <v>240</v>
      </c>
      <c r="EB3606" s="5" t="s">
        <v>240</v>
      </c>
      <c r="EC3606" s="5" t="s">
        <v>240</v>
      </c>
      <c r="ED3606" s="5" t="s">
        <v>240</v>
      </c>
      <c r="EE3606" s="5" t="s">
        <v>240</v>
      </c>
      <c r="EF3606" s="5" t="s">
        <v>240</v>
      </c>
      <c r="EG3606" s="5" t="s">
        <v>240</v>
      </c>
      <c r="EH3606" s="5" t="s">
        <v>240</v>
      </c>
      <c r="EI3606" s="5" t="s">
        <v>240</v>
      </c>
      <c r="EJ3606" s="5" t="s">
        <v>240</v>
      </c>
      <c r="EK3606" s="5" t="s">
        <v>240</v>
      </c>
      <c r="EL3606" s="5" t="s">
        <v>240</v>
      </c>
      <c r="EM3606" s="5" t="s">
        <v>240</v>
      </c>
      <c r="EN3606" s="5" t="s">
        <v>240</v>
      </c>
      <c r="EO3606" s="5" t="s">
        <v>240</v>
      </c>
      <c r="EP3606" s="5" t="s">
        <v>240</v>
      </c>
      <c r="EQ3606" s="5" t="s">
        <v>240</v>
      </c>
      <c r="ER3606" s="5" t="s">
        <v>240</v>
      </c>
      <c r="ES3606" s="5" t="s">
        <v>240</v>
      </c>
      <c r="ET3606" s="5" t="s">
        <v>240</v>
      </c>
      <c r="EU3606" s="5" t="s">
        <v>240</v>
      </c>
      <c r="EV3606" s="5" t="s">
        <v>240</v>
      </c>
      <c r="EW3606" s="5" t="s">
        <v>240</v>
      </c>
      <c r="EX3606" s="5" t="s">
        <v>240</v>
      </c>
      <c r="EY3606" s="5" t="s">
        <v>240</v>
      </c>
      <c r="EZ3606" s="5" t="s">
        <v>240</v>
      </c>
      <c r="FA3606" s="5" t="s">
        <v>240</v>
      </c>
      <c r="FB3606" s="5" t="s">
        <v>240</v>
      </c>
      <c r="FC3606" s="5" t="s">
        <v>240</v>
      </c>
      <c r="FD3606" s="5" t="s">
        <v>240</v>
      </c>
      <c r="FE3606" s="5" t="s">
        <v>240</v>
      </c>
      <c r="FF3606" s="5" t="s">
        <v>240</v>
      </c>
      <c r="FG3606" s="5" t="s">
        <v>240</v>
      </c>
      <c r="FH3606" s="5" t="s">
        <v>240</v>
      </c>
      <c r="FI3606" s="5" t="s">
        <v>240</v>
      </c>
      <c r="FJ3606" s="5" t="s">
        <v>240</v>
      </c>
      <c r="FK3606" s="5" t="s">
        <v>240</v>
      </c>
      <c r="FL3606" s="5" t="s">
        <v>240</v>
      </c>
      <c r="FM3606" s="5" t="s">
        <v>240</v>
      </c>
      <c r="FN3606" s="5" t="s">
        <v>240</v>
      </c>
      <c r="FO3606" s="5" t="s">
        <v>240</v>
      </c>
      <c r="FP3606" s="5" t="s">
        <v>240</v>
      </c>
      <c r="FQ3606" s="5" t="s">
        <v>240</v>
      </c>
      <c r="FR3606" s="5" t="s">
        <v>240</v>
      </c>
      <c r="FS3606" s="5" t="s">
        <v>240</v>
      </c>
      <c r="FT3606" s="5" t="s">
        <v>240</v>
      </c>
      <c r="FU3606" s="5" t="s">
        <v>240</v>
      </c>
      <c r="FV3606" s="5" t="s">
        <v>240</v>
      </c>
      <c r="FW3606" s="5" t="s">
        <v>240</v>
      </c>
      <c r="FX3606" s="5" t="s">
        <v>240</v>
      </c>
      <c r="FY3606" s="5" t="s">
        <v>240</v>
      </c>
      <c r="FZ3606" s="5" t="s">
        <v>240</v>
      </c>
      <c r="GA3606" s="5" t="s">
        <v>240</v>
      </c>
      <c r="GB3606" s="5" t="s">
        <v>240</v>
      </c>
      <c r="GC3606" s="5" t="s">
        <v>240</v>
      </c>
      <c r="GD3606" s="5" t="s">
        <v>240</v>
      </c>
      <c r="GE3606" s="5" t="s">
        <v>240</v>
      </c>
      <c r="GF3606" s="5" t="s">
        <v>240</v>
      </c>
      <c r="GG3606" s="5" t="s">
        <v>240</v>
      </c>
      <c r="GH3606" s="5" t="s">
        <v>240</v>
      </c>
      <c r="GI3606" s="5" t="s">
        <v>240</v>
      </c>
      <c r="GJ3606" s="5" t="s">
        <v>240</v>
      </c>
      <c r="GK3606" s="5" t="s">
        <v>240</v>
      </c>
      <c r="GL3606" s="5" t="s">
        <v>240</v>
      </c>
      <c r="GM3606" s="5" t="s">
        <v>240</v>
      </c>
      <c r="GN3606" s="5" t="s">
        <v>240</v>
      </c>
      <c r="GO3606" s="5" t="s">
        <v>240</v>
      </c>
      <c r="GP3606" s="5" t="s">
        <v>240</v>
      </c>
      <c r="GQ3606" s="5" t="s">
        <v>240</v>
      </c>
      <c r="GR3606" s="5" t="s">
        <v>240</v>
      </c>
      <c r="GS3606" s="5" t="s">
        <v>240</v>
      </c>
      <c r="GT3606" s="5" t="s">
        <v>240</v>
      </c>
      <c r="GU3606" s="5" t="s">
        <v>240</v>
      </c>
      <c r="GV3606" s="5" t="s">
        <v>240</v>
      </c>
      <c r="GW3606" s="5" t="s">
        <v>240</v>
      </c>
      <c r="GX3606" s="5" t="s">
        <v>240</v>
      </c>
      <c r="GY3606" s="5" t="s">
        <v>240</v>
      </c>
      <c r="GZ3606" s="5" t="s">
        <v>240</v>
      </c>
      <c r="HA3606" s="5" t="s">
        <v>240</v>
      </c>
      <c r="HB3606" s="5" t="s">
        <v>240</v>
      </c>
      <c r="HC3606" s="5" t="s">
        <v>240</v>
      </c>
      <c r="HD3606" s="5" t="s">
        <v>240</v>
      </c>
      <c r="HE3606" s="5" t="s">
        <v>240</v>
      </c>
      <c r="HF3606" s="5" t="s">
        <v>240</v>
      </c>
      <c r="HG3606" s="5" t="s">
        <v>240</v>
      </c>
      <c r="HH3606" s="5" t="s">
        <v>240</v>
      </c>
      <c r="HI3606" s="5" t="s">
        <v>240</v>
      </c>
      <c r="HJ3606" s="5" t="s">
        <v>240</v>
      </c>
      <c r="HK3606" s="5" t="s">
        <v>240</v>
      </c>
      <c r="HL3606" s="5" t="s">
        <v>240</v>
      </c>
      <c r="HM3606" s="5" t="s">
        <v>240</v>
      </c>
      <c r="HN3606" s="5" t="s">
        <v>240</v>
      </c>
      <c r="HO3606" s="5" t="s">
        <v>312</v>
      </c>
      <c r="HP3606" s="5" t="s">
        <v>240</v>
      </c>
      <c r="HQ3606" s="5" t="s">
        <v>240</v>
      </c>
      <c r="HR3606" s="5" t="s">
        <v>240</v>
      </c>
      <c r="HS3606" s="5" t="s">
        <v>240</v>
      </c>
      <c r="HT3606" s="5" t="s">
        <v>240</v>
      </c>
      <c r="HU3606" s="5" t="s">
        <v>240</v>
      </c>
      <c r="HV3606" s="5" t="s">
        <v>240</v>
      </c>
      <c r="HW3606" s="5" t="s">
        <v>240</v>
      </c>
      <c r="HX3606" s="5" t="s">
        <v>240</v>
      </c>
      <c r="HY3606" s="5" t="s">
        <v>240</v>
      </c>
      <c r="HZ3606" s="5" t="s">
        <v>240</v>
      </c>
      <c r="IA3606" s="5" t="s">
        <v>240</v>
      </c>
      <c r="IB3606" s="5" t="s">
        <v>240</v>
      </c>
      <c r="IC3606" s="5" t="s">
        <v>240</v>
      </c>
      <c r="ID3606" s="5" t="s">
        <v>240</v>
      </c>
      <c r="IE3606" s="5" t="s">
        <v>240</v>
      </c>
      <c r="IF3606" s="5" t="s">
        <v>240</v>
      </c>
    </row>
    <row r="3607" spans="1:240" x14ac:dyDescent="0.4">
      <c r="A3607" s="5">
        <v>9149</v>
      </c>
      <c r="B3607" s="5">
        <v>1</v>
      </c>
      <c r="C3607" s="5">
        <v>1</v>
      </c>
      <c r="D3607" s="5" t="s">
        <v>723</v>
      </c>
      <c r="E3607" s="5" t="s">
        <v>725</v>
      </c>
      <c r="F3607" s="5" t="s">
        <v>254</v>
      </c>
      <c r="G3607" s="5" t="s">
        <v>726</v>
      </c>
      <c r="H3607" s="6" t="s">
        <v>6405</v>
      </c>
      <c r="I3607" s="5" t="s">
        <v>6404</v>
      </c>
      <c r="J3607" s="7">
        <f>1</f>
        <v>1</v>
      </c>
      <c r="K3607" s="5" t="s">
        <v>3682</v>
      </c>
      <c r="L3607" s="7">
        <f>1</f>
        <v>1</v>
      </c>
      <c r="M3607" s="7">
        <f>1</f>
        <v>1</v>
      </c>
      <c r="N3607" s="5" t="s">
        <v>242</v>
      </c>
      <c r="O3607" s="5">
        <v>1</v>
      </c>
      <c r="P3607" s="5" t="s">
        <v>294</v>
      </c>
      <c r="Q3607" s="5" t="s">
        <v>613</v>
      </c>
      <c r="R3607" s="5" t="s">
        <v>240</v>
      </c>
      <c r="S3607" s="5" t="s">
        <v>240</v>
      </c>
      <c r="T3607" s="5" t="s">
        <v>243</v>
      </c>
      <c r="U3607" s="5" t="s">
        <v>724</v>
      </c>
      <c r="V3607" s="5" t="s">
        <v>240</v>
      </c>
      <c r="W3607" s="5" t="s">
        <v>240</v>
      </c>
      <c r="X3607" s="5" t="s">
        <v>240</v>
      </c>
      <c r="Y3607" s="5" t="s">
        <v>240</v>
      </c>
      <c r="Z3607" s="6" t="s">
        <v>298</v>
      </c>
      <c r="AA3607" s="6" t="s">
        <v>240</v>
      </c>
      <c r="AB3607" s="6" t="s">
        <v>240</v>
      </c>
      <c r="AC3607" s="5" t="s">
        <v>240</v>
      </c>
      <c r="AD3607" s="6" t="s">
        <v>240</v>
      </c>
      <c r="AE3607" s="6" t="s">
        <v>299</v>
      </c>
      <c r="AF3607" s="5" t="s">
        <v>727</v>
      </c>
      <c r="AG3607" s="5" t="s">
        <v>260</v>
      </c>
      <c r="AH3607" s="5" t="s">
        <v>240</v>
      </c>
      <c r="AI3607" s="5" t="s">
        <v>240</v>
      </c>
      <c r="AJ3607" s="5" t="s">
        <v>240</v>
      </c>
      <c r="AK3607" s="5" t="s">
        <v>240</v>
      </c>
      <c r="AL3607" s="5" t="s">
        <v>240</v>
      </c>
      <c r="AM3607" s="5" t="s">
        <v>240</v>
      </c>
      <c r="AN3607" s="5" t="s">
        <v>240</v>
      </c>
      <c r="AO3607" s="5" t="s">
        <v>240</v>
      </c>
      <c r="AP3607" s="6" t="s">
        <v>240</v>
      </c>
      <c r="AQ3607" s="6" t="s">
        <v>240</v>
      </c>
      <c r="AR3607" s="6" t="s">
        <v>240</v>
      </c>
      <c r="AS3607" s="6" t="s">
        <v>240</v>
      </c>
      <c r="AT3607" s="5" t="s">
        <v>240</v>
      </c>
      <c r="AU3607" s="5" t="s">
        <v>729</v>
      </c>
      <c r="AV3607" s="5" t="s">
        <v>729</v>
      </c>
      <c r="AW3607" s="5" t="s">
        <v>251</v>
      </c>
      <c r="AX3607" s="5" t="s">
        <v>252</v>
      </c>
      <c r="AY3607" s="5" t="s">
        <v>253</v>
      </c>
      <c r="AZ3607" s="5" t="s">
        <v>240</v>
      </c>
      <c r="BA3607" s="5" t="s">
        <v>255</v>
      </c>
      <c r="BB3607" s="5" t="s">
        <v>731</v>
      </c>
      <c r="BD3607" s="5" t="s">
        <v>240</v>
      </c>
      <c r="BF3607" s="5" t="s">
        <v>732</v>
      </c>
      <c r="BG3607" s="6" t="s">
        <v>733</v>
      </c>
      <c r="BH3607" s="5" t="s">
        <v>734</v>
      </c>
      <c r="BI3607" s="5" t="s">
        <v>734</v>
      </c>
      <c r="BJ3607" s="5" t="s">
        <v>240</v>
      </c>
      <c r="BK3607" s="8">
        <f>1223.14</f>
        <v>1223.1400000000001</v>
      </c>
      <c r="BL3607" s="7">
        <f>0</f>
        <v>0</v>
      </c>
      <c r="BM3607" s="5" t="s">
        <v>258</v>
      </c>
      <c r="BN3607" s="5" t="s">
        <v>259</v>
      </c>
      <c r="BO3607" s="5" t="s">
        <v>240</v>
      </c>
      <c r="BP3607" s="5" t="s">
        <v>240</v>
      </c>
      <c r="BQ3607" s="5" t="s">
        <v>240</v>
      </c>
      <c r="BR3607" s="5" t="s">
        <v>240</v>
      </c>
      <c r="BS3607" s="5" t="s">
        <v>240</v>
      </c>
      <c r="BT3607" s="5" t="s">
        <v>240</v>
      </c>
      <c r="BU3607" s="5" t="s">
        <v>240</v>
      </c>
      <c r="BV3607" s="5" t="s">
        <v>240</v>
      </c>
      <c r="BW3607" s="6" t="s">
        <v>240</v>
      </c>
      <c r="BX3607" s="5" t="s">
        <v>240</v>
      </c>
      <c r="BY3607" s="5" t="s">
        <v>240</v>
      </c>
      <c r="BZ3607" s="5" t="s">
        <v>240</v>
      </c>
      <c r="CA3607" s="5" t="s">
        <v>259</v>
      </c>
      <c r="CB3607" s="5" t="s">
        <v>240</v>
      </c>
      <c r="CC3607" s="5" t="s">
        <v>240</v>
      </c>
      <c r="CD3607" s="5" t="s">
        <v>240</v>
      </c>
      <c r="CE3607" s="5" t="s">
        <v>240</v>
      </c>
      <c r="CF3607" s="5" t="s">
        <v>240</v>
      </c>
      <c r="CG3607" s="5" t="s">
        <v>617</v>
      </c>
      <c r="CH3607" s="5" t="s">
        <v>305</v>
      </c>
      <c r="CI3607" s="5" t="s">
        <v>240</v>
      </c>
      <c r="CL3607" s="6" t="s">
        <v>261</v>
      </c>
      <c r="CM3607" s="5" t="s">
        <v>262</v>
      </c>
      <c r="CN3607" s="5" t="s">
        <v>263</v>
      </c>
      <c r="CO3607" s="5" t="s">
        <v>264</v>
      </c>
      <c r="CP3607" s="5" t="s">
        <v>240</v>
      </c>
      <c r="CQ3607" s="5">
        <v>0</v>
      </c>
      <c r="CR3607" s="5" t="s">
        <v>735</v>
      </c>
      <c r="CS3607" s="5" t="s">
        <v>307</v>
      </c>
      <c r="CT3607" s="5" t="s">
        <v>307</v>
      </c>
      <c r="CU3607" s="5" t="s">
        <v>260</v>
      </c>
      <c r="CV3607" s="5" t="s">
        <v>240</v>
      </c>
      <c r="CW3607" s="8">
        <f>0</f>
        <v>0</v>
      </c>
      <c r="CX3607" s="7">
        <f>0</f>
        <v>0</v>
      </c>
      <c r="CY3607" s="7">
        <f>0</f>
        <v>0</v>
      </c>
      <c r="DA3607" s="7">
        <f>13454</f>
        <v>13454</v>
      </c>
      <c r="DB3607" s="7" t="s">
        <v>240</v>
      </c>
      <c r="DC3607" s="5" t="s">
        <v>240</v>
      </c>
      <c r="DD3607" s="5" t="s">
        <v>240</v>
      </c>
      <c r="DE3607" s="5" t="s">
        <v>240</v>
      </c>
      <c r="DF3607" s="5" t="s">
        <v>450</v>
      </c>
      <c r="DG3607" s="7">
        <f>0</f>
        <v>0</v>
      </c>
      <c r="DI3607" s="5" t="s">
        <v>737</v>
      </c>
      <c r="DJ3607" s="5" t="s">
        <v>240</v>
      </c>
      <c r="DK3607" s="5" t="s">
        <v>240</v>
      </c>
      <c r="DL3607" s="5" t="s">
        <v>240</v>
      </c>
      <c r="DM3607" s="5" t="s">
        <v>240</v>
      </c>
      <c r="DN3607" s="5" t="s">
        <v>240</v>
      </c>
      <c r="DO3607" s="7" t="s">
        <v>240</v>
      </c>
      <c r="DP3607" s="5" t="s">
        <v>240</v>
      </c>
      <c r="DQ3607" s="5" t="s">
        <v>240</v>
      </c>
      <c r="DR3607" s="5" t="s">
        <v>731</v>
      </c>
      <c r="DS3607" s="5" t="s">
        <v>731</v>
      </c>
      <c r="DT3607" s="5" t="s">
        <v>240</v>
      </c>
      <c r="DU3607" s="5" t="s">
        <v>240</v>
      </c>
      <c r="DV3607" s="5" t="s">
        <v>738</v>
      </c>
      <c r="DW3607" s="5" t="s">
        <v>564</v>
      </c>
      <c r="DX3607" s="5" t="s">
        <v>240</v>
      </c>
      <c r="DY3607" s="5" t="s">
        <v>240</v>
      </c>
      <c r="DZ3607" s="5" t="s">
        <v>240</v>
      </c>
      <c r="EA3607" s="5" t="s">
        <v>240</v>
      </c>
      <c r="EB3607" s="5" t="s">
        <v>240</v>
      </c>
      <c r="EC3607" s="5" t="s">
        <v>240</v>
      </c>
      <c r="ED3607" s="5" t="s">
        <v>240</v>
      </c>
      <c r="EE3607" s="5" t="s">
        <v>240</v>
      </c>
      <c r="EF3607" s="5" t="s">
        <v>240</v>
      </c>
      <c r="EG3607" s="5" t="s">
        <v>240</v>
      </c>
      <c r="EH3607" s="5" t="s">
        <v>240</v>
      </c>
      <c r="EI3607" s="5" t="s">
        <v>240</v>
      </c>
      <c r="EJ3607" s="5" t="s">
        <v>240</v>
      </c>
      <c r="EK3607" s="5" t="s">
        <v>240</v>
      </c>
      <c r="EL3607" s="5" t="s">
        <v>240</v>
      </c>
      <c r="EM3607" s="5" t="s">
        <v>240</v>
      </c>
      <c r="EN3607" s="5" t="s">
        <v>240</v>
      </c>
      <c r="EO3607" s="5" t="s">
        <v>240</v>
      </c>
      <c r="EP3607" s="5" t="s">
        <v>240</v>
      </c>
      <c r="EQ3607" s="5" t="s">
        <v>240</v>
      </c>
      <c r="ER3607" s="5" t="s">
        <v>240</v>
      </c>
      <c r="ES3607" s="5" t="s">
        <v>240</v>
      </c>
      <c r="ET3607" s="5" t="s">
        <v>240</v>
      </c>
      <c r="EU3607" s="5" t="s">
        <v>240</v>
      </c>
      <c r="EV3607" s="5" t="s">
        <v>240</v>
      </c>
      <c r="EW3607" s="5" t="s">
        <v>240</v>
      </c>
      <c r="EX3607" s="5" t="s">
        <v>240</v>
      </c>
      <c r="EY3607" s="5" t="s">
        <v>240</v>
      </c>
      <c r="EZ3607" s="5" t="s">
        <v>240</v>
      </c>
      <c r="FA3607" s="5" t="s">
        <v>240</v>
      </c>
      <c r="FB3607" s="5" t="s">
        <v>240</v>
      </c>
      <c r="FC3607" s="5" t="s">
        <v>240</v>
      </c>
      <c r="FD3607" s="5" t="s">
        <v>240</v>
      </c>
      <c r="FE3607" s="5" t="s">
        <v>240</v>
      </c>
      <c r="FF3607" s="5" t="s">
        <v>240</v>
      </c>
      <c r="FG3607" s="5" t="s">
        <v>240</v>
      </c>
      <c r="FH3607" s="5" t="s">
        <v>240</v>
      </c>
      <c r="FI3607" s="5" t="s">
        <v>240</v>
      </c>
      <c r="FJ3607" s="5" t="s">
        <v>240</v>
      </c>
      <c r="FK3607" s="5" t="s">
        <v>240</v>
      </c>
      <c r="FL3607" s="5" t="s">
        <v>240</v>
      </c>
      <c r="FM3607" s="5" t="s">
        <v>240</v>
      </c>
      <c r="FN3607" s="5" t="s">
        <v>240</v>
      </c>
      <c r="FO3607" s="5" t="s">
        <v>240</v>
      </c>
      <c r="FP3607" s="5" t="s">
        <v>240</v>
      </c>
      <c r="FQ3607" s="5" t="s">
        <v>240</v>
      </c>
      <c r="FR3607" s="5" t="s">
        <v>240</v>
      </c>
      <c r="FS3607" s="5" t="s">
        <v>240</v>
      </c>
      <c r="FT3607" s="5" t="s">
        <v>240</v>
      </c>
      <c r="FU3607" s="5" t="s">
        <v>240</v>
      </c>
      <c r="FV3607" s="5" t="s">
        <v>240</v>
      </c>
      <c r="FW3607" s="5" t="s">
        <v>240</v>
      </c>
      <c r="FX3607" s="5" t="s">
        <v>240</v>
      </c>
      <c r="FY3607" s="5" t="s">
        <v>240</v>
      </c>
      <c r="FZ3607" s="5" t="s">
        <v>240</v>
      </c>
      <c r="GA3607" s="5" t="s">
        <v>240</v>
      </c>
      <c r="GB3607" s="5" t="s">
        <v>240</v>
      </c>
      <c r="GC3607" s="5" t="s">
        <v>240</v>
      </c>
      <c r="GD3607" s="5" t="s">
        <v>240</v>
      </c>
      <c r="GE3607" s="5" t="s">
        <v>240</v>
      </c>
      <c r="GF3607" s="5" t="s">
        <v>240</v>
      </c>
      <c r="GG3607" s="5" t="s">
        <v>240</v>
      </c>
      <c r="GH3607" s="5" t="s">
        <v>240</v>
      </c>
      <c r="GI3607" s="5" t="s">
        <v>240</v>
      </c>
      <c r="GJ3607" s="5" t="s">
        <v>240</v>
      </c>
      <c r="GK3607" s="5" t="s">
        <v>240</v>
      </c>
      <c r="GL3607" s="5" t="s">
        <v>240</v>
      </c>
      <c r="GM3607" s="5" t="s">
        <v>240</v>
      </c>
      <c r="GN3607" s="5" t="s">
        <v>240</v>
      </c>
      <c r="GO3607" s="5" t="s">
        <v>240</v>
      </c>
      <c r="GP3607" s="5" t="s">
        <v>240</v>
      </c>
      <c r="GQ3607" s="5" t="s">
        <v>240</v>
      </c>
      <c r="GR3607" s="5" t="s">
        <v>240</v>
      </c>
      <c r="GS3607" s="5" t="s">
        <v>240</v>
      </c>
      <c r="GT3607" s="5" t="s">
        <v>240</v>
      </c>
      <c r="GU3607" s="5" t="s">
        <v>240</v>
      </c>
      <c r="GV3607" s="5" t="s">
        <v>240</v>
      </c>
      <c r="GW3607" s="5" t="s">
        <v>240</v>
      </c>
      <c r="GX3607" s="5" t="s">
        <v>240</v>
      </c>
      <c r="GY3607" s="5" t="s">
        <v>240</v>
      </c>
      <c r="GZ3607" s="5" t="s">
        <v>240</v>
      </c>
      <c r="HA3607" s="5" t="s">
        <v>240</v>
      </c>
      <c r="HB3607" s="5" t="s">
        <v>240</v>
      </c>
      <c r="HC3607" s="5" t="s">
        <v>240</v>
      </c>
      <c r="HD3607" s="5" t="s">
        <v>240</v>
      </c>
      <c r="HE3607" s="5" t="s">
        <v>240</v>
      </c>
      <c r="HF3607" s="5" t="s">
        <v>240</v>
      </c>
      <c r="HG3607" s="5" t="s">
        <v>240</v>
      </c>
      <c r="HH3607" s="5" t="s">
        <v>240</v>
      </c>
      <c r="HI3607" s="5" t="s">
        <v>240</v>
      </c>
      <c r="HJ3607" s="5" t="s">
        <v>240</v>
      </c>
      <c r="HK3607" s="5" t="s">
        <v>240</v>
      </c>
      <c r="HL3607" s="5" t="s">
        <v>240</v>
      </c>
      <c r="HM3607" s="5" t="s">
        <v>240</v>
      </c>
      <c r="HN3607" s="5" t="s">
        <v>240</v>
      </c>
      <c r="HO3607" s="5" t="s">
        <v>620</v>
      </c>
      <c r="HP3607" s="5" t="s">
        <v>240</v>
      </c>
      <c r="HQ3607" s="5" t="s">
        <v>240</v>
      </c>
      <c r="HR3607" s="5" t="s">
        <v>240</v>
      </c>
      <c r="HS3607" s="5" t="s">
        <v>240</v>
      </c>
      <c r="HT3607" s="5" t="s">
        <v>240</v>
      </c>
      <c r="HU3607" s="5" t="s">
        <v>240</v>
      </c>
      <c r="HV3607" s="5" t="s">
        <v>240</v>
      </c>
      <c r="HW3607" s="5" t="s">
        <v>240</v>
      </c>
      <c r="HX3607" s="5" t="s">
        <v>240</v>
      </c>
      <c r="HY3607" s="5" t="s">
        <v>240</v>
      </c>
      <c r="HZ3607" s="5" t="s">
        <v>240</v>
      </c>
      <c r="IA3607" s="5" t="s">
        <v>240</v>
      </c>
      <c r="IB3607" s="5" t="s">
        <v>240</v>
      </c>
      <c r="IC3607" s="5" t="s">
        <v>240</v>
      </c>
      <c r="ID3607" s="5" t="s">
        <v>240</v>
      </c>
      <c r="IE3607" s="5" t="s">
        <v>240</v>
      </c>
      <c r="IF3607" s="5" t="s">
        <v>240</v>
      </c>
    </row>
    <row r="3608" spans="1:240" x14ac:dyDescent="0.4">
      <c r="A3608" s="5">
        <v>9150</v>
      </c>
      <c r="B3608" s="5">
        <v>1</v>
      </c>
      <c r="C3608" s="5">
        <v>1</v>
      </c>
      <c r="D3608" s="5" t="s">
        <v>723</v>
      </c>
      <c r="E3608" s="5" t="s">
        <v>725</v>
      </c>
      <c r="F3608" s="5" t="s">
        <v>254</v>
      </c>
      <c r="G3608" s="5" t="s">
        <v>726</v>
      </c>
      <c r="H3608" s="6" t="s">
        <v>5735</v>
      </c>
      <c r="I3608" s="5" t="s">
        <v>5734</v>
      </c>
      <c r="J3608" s="7">
        <f>1</f>
        <v>1</v>
      </c>
      <c r="K3608" s="5" t="s">
        <v>3682</v>
      </c>
      <c r="L3608" s="7">
        <f>1</f>
        <v>1</v>
      </c>
      <c r="M3608" s="7">
        <f>1</f>
        <v>1</v>
      </c>
      <c r="N3608" s="5" t="s">
        <v>242</v>
      </c>
      <c r="O3608" s="5">
        <v>1</v>
      </c>
      <c r="P3608" s="5" t="s">
        <v>294</v>
      </c>
      <c r="Q3608" s="5" t="s">
        <v>3678</v>
      </c>
      <c r="R3608" s="5" t="s">
        <v>240</v>
      </c>
      <c r="S3608" s="5" t="s">
        <v>240</v>
      </c>
      <c r="T3608" s="5" t="s">
        <v>243</v>
      </c>
      <c r="U3608" s="5" t="s">
        <v>244</v>
      </c>
      <c r="V3608" s="5" t="s">
        <v>240</v>
      </c>
      <c r="W3608" s="5" t="s">
        <v>240</v>
      </c>
      <c r="X3608" s="5" t="s">
        <v>240</v>
      </c>
      <c r="Y3608" s="5" t="s">
        <v>240</v>
      </c>
      <c r="Z3608" s="6" t="s">
        <v>298</v>
      </c>
      <c r="AA3608" s="6" t="s">
        <v>240</v>
      </c>
      <c r="AB3608" s="6" t="s">
        <v>240</v>
      </c>
      <c r="AC3608" s="5" t="s">
        <v>240</v>
      </c>
      <c r="AD3608" s="6" t="s">
        <v>240</v>
      </c>
      <c r="AE3608" s="6" t="s">
        <v>299</v>
      </c>
      <c r="AF3608" s="5" t="s">
        <v>248</v>
      </c>
      <c r="AG3608" s="5" t="s">
        <v>249</v>
      </c>
      <c r="AH3608" s="5" t="s">
        <v>240</v>
      </c>
      <c r="AI3608" s="5" t="s">
        <v>240</v>
      </c>
      <c r="AJ3608" s="5" t="s">
        <v>240</v>
      </c>
      <c r="AK3608" s="5" t="s">
        <v>240</v>
      </c>
      <c r="AL3608" s="5" t="s">
        <v>240</v>
      </c>
      <c r="AM3608" s="5" t="s">
        <v>240</v>
      </c>
      <c r="AN3608" s="5" t="s">
        <v>240</v>
      </c>
      <c r="AO3608" s="5" t="s">
        <v>240</v>
      </c>
      <c r="AP3608" s="6" t="s">
        <v>240</v>
      </c>
      <c r="AQ3608" s="6" t="s">
        <v>240</v>
      </c>
      <c r="AR3608" s="6" t="s">
        <v>240</v>
      </c>
      <c r="AS3608" s="6" t="s">
        <v>240</v>
      </c>
      <c r="AT3608" s="5" t="s">
        <v>240</v>
      </c>
      <c r="AU3608" s="5" t="s">
        <v>729</v>
      </c>
      <c r="AV3608" s="5" t="s">
        <v>729</v>
      </c>
      <c r="AW3608" s="5" t="s">
        <v>251</v>
      </c>
      <c r="AX3608" s="5" t="s">
        <v>252</v>
      </c>
      <c r="AY3608" s="5" t="s">
        <v>253</v>
      </c>
      <c r="AZ3608" s="5" t="s">
        <v>240</v>
      </c>
      <c r="BA3608" s="5" t="s">
        <v>255</v>
      </c>
      <c r="BB3608" s="5" t="s">
        <v>731</v>
      </c>
      <c r="BD3608" s="5" t="s">
        <v>240</v>
      </c>
      <c r="BF3608" s="5" t="s">
        <v>732</v>
      </c>
      <c r="BG3608" s="6" t="s">
        <v>733</v>
      </c>
      <c r="BH3608" s="5" t="s">
        <v>734</v>
      </c>
      <c r="BI3608" s="5" t="s">
        <v>734</v>
      </c>
      <c r="BJ3608" s="5" t="s">
        <v>240</v>
      </c>
      <c r="BK3608" s="7">
        <f>1</f>
        <v>1</v>
      </c>
      <c r="BL3608" s="7">
        <f>1</f>
        <v>1</v>
      </c>
      <c r="BM3608" s="5" t="s">
        <v>258</v>
      </c>
      <c r="BN3608" s="5" t="s">
        <v>259</v>
      </c>
      <c r="BO3608" s="5" t="s">
        <v>240</v>
      </c>
      <c r="BP3608" s="5" t="s">
        <v>240</v>
      </c>
      <c r="BQ3608" s="5" t="s">
        <v>240</v>
      </c>
      <c r="BR3608" s="5" t="s">
        <v>240</v>
      </c>
      <c r="BS3608" s="5" t="s">
        <v>240</v>
      </c>
      <c r="BT3608" s="5" t="s">
        <v>240</v>
      </c>
      <c r="BU3608" s="5" t="s">
        <v>240</v>
      </c>
      <c r="BV3608" s="5" t="s">
        <v>240</v>
      </c>
      <c r="BW3608" s="6" t="s">
        <v>240</v>
      </c>
      <c r="BX3608" s="5" t="s">
        <v>240</v>
      </c>
      <c r="BY3608" s="5" t="s">
        <v>240</v>
      </c>
      <c r="BZ3608" s="5" t="s">
        <v>240</v>
      </c>
      <c r="CA3608" s="5" t="s">
        <v>259</v>
      </c>
      <c r="CB3608" s="5" t="s">
        <v>240</v>
      </c>
      <c r="CC3608" s="5" t="s">
        <v>240</v>
      </c>
      <c r="CD3608" s="5" t="s">
        <v>240</v>
      </c>
      <c r="CE3608" s="5" t="s">
        <v>240</v>
      </c>
      <c r="CF3608" s="5" t="s">
        <v>240</v>
      </c>
      <c r="CG3608" s="5" t="s">
        <v>304</v>
      </c>
      <c r="CH3608" s="5" t="s">
        <v>305</v>
      </c>
      <c r="CI3608" s="5" t="s">
        <v>240</v>
      </c>
      <c r="CK3608" s="5" t="s">
        <v>3681</v>
      </c>
      <c r="CL3608" s="6" t="s">
        <v>261</v>
      </c>
      <c r="CM3608" s="5" t="s">
        <v>262</v>
      </c>
      <c r="CN3608" s="5" t="s">
        <v>263</v>
      </c>
      <c r="CO3608" s="5" t="s">
        <v>264</v>
      </c>
      <c r="CP3608" s="5" t="s">
        <v>240</v>
      </c>
      <c r="CQ3608" s="5">
        <v>0</v>
      </c>
      <c r="CR3608" s="5" t="s">
        <v>735</v>
      </c>
      <c r="CS3608" s="5" t="s">
        <v>307</v>
      </c>
      <c r="CT3608" s="5" t="s">
        <v>307</v>
      </c>
      <c r="CU3608" s="5" t="s">
        <v>260</v>
      </c>
      <c r="CV3608" s="5" t="s">
        <v>612</v>
      </c>
      <c r="CW3608" s="8">
        <f>1</f>
        <v>1</v>
      </c>
      <c r="CX3608" s="7">
        <f>1</f>
        <v>1</v>
      </c>
      <c r="CY3608" s="7">
        <f>0</f>
        <v>0</v>
      </c>
      <c r="DA3608" s="7">
        <f>1</f>
        <v>1</v>
      </c>
      <c r="DB3608" s="7" t="s">
        <v>240</v>
      </c>
      <c r="DC3608" s="5" t="s">
        <v>240</v>
      </c>
      <c r="DD3608" s="5" t="s">
        <v>240</v>
      </c>
      <c r="DE3608" s="5" t="s">
        <v>240</v>
      </c>
      <c r="DF3608" s="5" t="s">
        <v>240</v>
      </c>
      <c r="DG3608" s="7">
        <f>0</f>
        <v>0</v>
      </c>
      <c r="DI3608" s="5" t="s">
        <v>240</v>
      </c>
      <c r="DJ3608" s="5" t="s">
        <v>240</v>
      </c>
      <c r="DK3608" s="5" t="s">
        <v>240</v>
      </c>
      <c r="DL3608" s="5" t="s">
        <v>240</v>
      </c>
      <c r="DM3608" s="5" t="s">
        <v>240</v>
      </c>
      <c r="DN3608" s="5" t="s">
        <v>240</v>
      </c>
      <c r="DO3608" s="7" t="s">
        <v>240</v>
      </c>
      <c r="DP3608" s="5" t="s">
        <v>240</v>
      </c>
      <c r="DQ3608" s="5" t="s">
        <v>240</v>
      </c>
      <c r="DR3608" s="5" t="s">
        <v>731</v>
      </c>
      <c r="DS3608" s="5" t="s">
        <v>731</v>
      </c>
      <c r="DT3608" s="5" t="s">
        <v>240</v>
      </c>
      <c r="DU3608" s="5" t="s">
        <v>240</v>
      </c>
      <c r="DV3608" s="5" t="s">
        <v>3683</v>
      </c>
      <c r="DW3608" s="5" t="s">
        <v>789</v>
      </c>
      <c r="DX3608" s="5" t="s">
        <v>240</v>
      </c>
      <c r="DY3608" s="5" t="s">
        <v>240</v>
      </c>
      <c r="DZ3608" s="5" t="s">
        <v>240</v>
      </c>
      <c r="EA3608" s="5" t="s">
        <v>240</v>
      </c>
      <c r="EB3608" s="5" t="s">
        <v>240</v>
      </c>
      <c r="EC3608" s="5" t="s">
        <v>240</v>
      </c>
      <c r="ED3608" s="5" t="s">
        <v>240</v>
      </c>
      <c r="EE3608" s="5" t="s">
        <v>240</v>
      </c>
      <c r="EF3608" s="5" t="s">
        <v>240</v>
      </c>
      <c r="EG3608" s="5" t="s">
        <v>240</v>
      </c>
      <c r="EH3608" s="5" t="s">
        <v>240</v>
      </c>
      <c r="EI3608" s="5" t="s">
        <v>240</v>
      </c>
      <c r="EJ3608" s="5" t="s">
        <v>240</v>
      </c>
      <c r="EK3608" s="5" t="s">
        <v>240</v>
      </c>
      <c r="EL3608" s="5" t="s">
        <v>240</v>
      </c>
      <c r="EM3608" s="5" t="s">
        <v>240</v>
      </c>
      <c r="EN3608" s="5" t="s">
        <v>240</v>
      </c>
      <c r="EO3608" s="5" t="s">
        <v>240</v>
      </c>
      <c r="EP3608" s="5" t="s">
        <v>240</v>
      </c>
      <c r="EQ3608" s="5" t="s">
        <v>240</v>
      </c>
      <c r="ER3608" s="5" t="s">
        <v>240</v>
      </c>
      <c r="ES3608" s="5" t="s">
        <v>240</v>
      </c>
      <c r="ET3608" s="5" t="s">
        <v>240</v>
      </c>
      <c r="EU3608" s="5" t="s">
        <v>240</v>
      </c>
      <c r="EV3608" s="5" t="s">
        <v>240</v>
      </c>
      <c r="EW3608" s="5" t="s">
        <v>240</v>
      </c>
      <c r="EX3608" s="5" t="s">
        <v>240</v>
      </c>
      <c r="EY3608" s="5" t="s">
        <v>240</v>
      </c>
      <c r="EZ3608" s="5" t="s">
        <v>240</v>
      </c>
      <c r="FA3608" s="5" t="s">
        <v>240</v>
      </c>
      <c r="FB3608" s="5" t="s">
        <v>240</v>
      </c>
      <c r="FC3608" s="5" t="s">
        <v>240</v>
      </c>
      <c r="FD3608" s="5" t="s">
        <v>240</v>
      </c>
      <c r="FE3608" s="5" t="s">
        <v>240</v>
      </c>
      <c r="FF3608" s="5" t="s">
        <v>240</v>
      </c>
      <c r="FG3608" s="5" t="s">
        <v>240</v>
      </c>
      <c r="FH3608" s="5" t="s">
        <v>240</v>
      </c>
      <c r="FI3608" s="5" t="s">
        <v>240</v>
      </c>
      <c r="FJ3608" s="5" t="s">
        <v>240</v>
      </c>
      <c r="FK3608" s="5" t="s">
        <v>240</v>
      </c>
      <c r="FL3608" s="5" t="s">
        <v>240</v>
      </c>
      <c r="FM3608" s="5" t="s">
        <v>240</v>
      </c>
      <c r="FN3608" s="5" t="s">
        <v>240</v>
      </c>
      <c r="FO3608" s="5" t="s">
        <v>240</v>
      </c>
      <c r="FP3608" s="5" t="s">
        <v>240</v>
      </c>
      <c r="FQ3608" s="5" t="s">
        <v>240</v>
      </c>
      <c r="FR3608" s="5" t="s">
        <v>240</v>
      </c>
      <c r="FS3608" s="5" t="s">
        <v>240</v>
      </c>
      <c r="FT3608" s="5" t="s">
        <v>240</v>
      </c>
      <c r="FU3608" s="5" t="s">
        <v>240</v>
      </c>
      <c r="FV3608" s="5" t="s">
        <v>240</v>
      </c>
      <c r="FW3608" s="5" t="s">
        <v>240</v>
      </c>
      <c r="FX3608" s="5" t="s">
        <v>240</v>
      </c>
      <c r="FY3608" s="5" t="s">
        <v>240</v>
      </c>
      <c r="FZ3608" s="5" t="s">
        <v>240</v>
      </c>
      <c r="GA3608" s="5" t="s">
        <v>240</v>
      </c>
      <c r="GB3608" s="5" t="s">
        <v>240</v>
      </c>
      <c r="GC3608" s="5" t="s">
        <v>240</v>
      </c>
      <c r="GD3608" s="5" t="s">
        <v>240</v>
      </c>
      <c r="GE3608" s="5" t="s">
        <v>240</v>
      </c>
      <c r="GF3608" s="5" t="s">
        <v>240</v>
      </c>
      <c r="GG3608" s="5" t="s">
        <v>240</v>
      </c>
      <c r="GH3608" s="5" t="s">
        <v>240</v>
      </c>
      <c r="GI3608" s="5" t="s">
        <v>240</v>
      </c>
      <c r="GJ3608" s="5" t="s">
        <v>240</v>
      </c>
      <c r="GK3608" s="5" t="s">
        <v>240</v>
      </c>
      <c r="GL3608" s="5" t="s">
        <v>240</v>
      </c>
      <c r="GM3608" s="5" t="s">
        <v>240</v>
      </c>
      <c r="GN3608" s="5" t="s">
        <v>240</v>
      </c>
      <c r="GO3608" s="5" t="s">
        <v>240</v>
      </c>
      <c r="GP3608" s="5" t="s">
        <v>240</v>
      </c>
      <c r="GQ3608" s="5" t="s">
        <v>240</v>
      </c>
      <c r="GR3608" s="5" t="s">
        <v>240</v>
      </c>
      <c r="GS3608" s="5" t="s">
        <v>240</v>
      </c>
      <c r="GT3608" s="5" t="s">
        <v>240</v>
      </c>
      <c r="GU3608" s="5" t="s">
        <v>240</v>
      </c>
      <c r="GV3608" s="5" t="s">
        <v>240</v>
      </c>
      <c r="GW3608" s="5" t="s">
        <v>240</v>
      </c>
      <c r="GX3608" s="5" t="s">
        <v>240</v>
      </c>
      <c r="GY3608" s="5" t="s">
        <v>240</v>
      </c>
      <c r="GZ3608" s="5" t="s">
        <v>240</v>
      </c>
      <c r="HA3608" s="5" t="s">
        <v>240</v>
      </c>
      <c r="HB3608" s="5" t="s">
        <v>240</v>
      </c>
      <c r="HC3608" s="5" t="s">
        <v>240</v>
      </c>
      <c r="HD3608" s="5" t="s">
        <v>240</v>
      </c>
      <c r="HE3608" s="5" t="s">
        <v>240</v>
      </c>
      <c r="HF3608" s="5" t="s">
        <v>240</v>
      </c>
      <c r="HG3608" s="5" t="s">
        <v>240</v>
      </c>
      <c r="HH3608" s="5" t="s">
        <v>240</v>
      </c>
      <c r="HI3608" s="5" t="s">
        <v>240</v>
      </c>
      <c r="HJ3608" s="5" t="s">
        <v>240</v>
      </c>
      <c r="HK3608" s="5" t="s">
        <v>240</v>
      </c>
      <c r="HL3608" s="5" t="s">
        <v>240</v>
      </c>
      <c r="HM3608" s="5" t="s">
        <v>240</v>
      </c>
      <c r="HN3608" s="5" t="s">
        <v>240</v>
      </c>
      <c r="HO3608" s="5" t="s">
        <v>312</v>
      </c>
      <c r="HP3608" s="5" t="s">
        <v>240</v>
      </c>
      <c r="HQ3608" s="5" t="s">
        <v>240</v>
      </c>
      <c r="HR3608" s="5" t="s">
        <v>240</v>
      </c>
      <c r="HS3608" s="5" t="s">
        <v>240</v>
      </c>
      <c r="HT3608" s="5" t="s">
        <v>240</v>
      </c>
      <c r="HU3608" s="5" t="s">
        <v>240</v>
      </c>
      <c r="HV3608" s="5" t="s">
        <v>240</v>
      </c>
      <c r="HW3608" s="5" t="s">
        <v>240</v>
      </c>
      <c r="HX3608" s="5" t="s">
        <v>240</v>
      </c>
      <c r="HY3608" s="5" t="s">
        <v>240</v>
      </c>
      <c r="HZ3608" s="5" t="s">
        <v>240</v>
      </c>
      <c r="IA3608" s="5" t="s">
        <v>240</v>
      </c>
      <c r="IB3608" s="5" t="s">
        <v>240</v>
      </c>
      <c r="IC3608" s="5" t="s">
        <v>240</v>
      </c>
      <c r="ID3608" s="5" t="s">
        <v>240</v>
      </c>
      <c r="IE3608" s="5" t="s">
        <v>240</v>
      </c>
      <c r="IF3608" s="5" t="s">
        <v>240</v>
      </c>
    </row>
    <row r="3609" spans="1:240" x14ac:dyDescent="0.4">
      <c r="A3609" s="5">
        <v>9151</v>
      </c>
      <c r="B3609" s="5">
        <v>1</v>
      </c>
      <c r="C3609" s="5">
        <v>1</v>
      </c>
      <c r="D3609" s="5" t="s">
        <v>723</v>
      </c>
      <c r="E3609" s="5" t="s">
        <v>725</v>
      </c>
      <c r="F3609" s="5" t="s">
        <v>254</v>
      </c>
      <c r="G3609" s="5" t="s">
        <v>726</v>
      </c>
      <c r="H3609" s="6" t="s">
        <v>6403</v>
      </c>
      <c r="I3609" s="5" t="s">
        <v>6402</v>
      </c>
      <c r="J3609" s="7">
        <f>1</f>
        <v>1</v>
      </c>
      <c r="K3609" s="5" t="s">
        <v>3682</v>
      </c>
      <c r="L3609" s="7">
        <f>1</f>
        <v>1</v>
      </c>
      <c r="M3609" s="7">
        <f>1</f>
        <v>1</v>
      </c>
      <c r="N3609" s="5" t="s">
        <v>242</v>
      </c>
      <c r="O3609" s="5">
        <v>1</v>
      </c>
      <c r="P3609" s="5" t="s">
        <v>294</v>
      </c>
      <c r="Q3609" s="5" t="s">
        <v>613</v>
      </c>
      <c r="R3609" s="5" t="s">
        <v>240</v>
      </c>
      <c r="S3609" s="5" t="s">
        <v>240</v>
      </c>
      <c r="T3609" s="5" t="s">
        <v>243</v>
      </c>
      <c r="U3609" s="5" t="s">
        <v>724</v>
      </c>
      <c r="V3609" s="5" t="s">
        <v>240</v>
      </c>
      <c r="W3609" s="5" t="s">
        <v>240</v>
      </c>
      <c r="X3609" s="5" t="s">
        <v>240</v>
      </c>
      <c r="Y3609" s="5" t="s">
        <v>240</v>
      </c>
      <c r="Z3609" s="6" t="s">
        <v>298</v>
      </c>
      <c r="AA3609" s="6" t="s">
        <v>240</v>
      </c>
      <c r="AB3609" s="6" t="s">
        <v>240</v>
      </c>
      <c r="AC3609" s="5" t="s">
        <v>240</v>
      </c>
      <c r="AD3609" s="6" t="s">
        <v>240</v>
      </c>
      <c r="AE3609" s="6" t="s">
        <v>299</v>
      </c>
      <c r="AF3609" s="5" t="s">
        <v>727</v>
      </c>
      <c r="AG3609" s="5" t="s">
        <v>260</v>
      </c>
      <c r="AH3609" s="5" t="s">
        <v>240</v>
      </c>
      <c r="AI3609" s="5" t="s">
        <v>240</v>
      </c>
      <c r="AJ3609" s="5" t="s">
        <v>240</v>
      </c>
      <c r="AK3609" s="5" t="s">
        <v>240</v>
      </c>
      <c r="AL3609" s="5" t="s">
        <v>240</v>
      </c>
      <c r="AM3609" s="5" t="s">
        <v>240</v>
      </c>
      <c r="AN3609" s="5" t="s">
        <v>240</v>
      </c>
      <c r="AO3609" s="5" t="s">
        <v>240</v>
      </c>
      <c r="AP3609" s="6" t="s">
        <v>240</v>
      </c>
      <c r="AQ3609" s="6" t="s">
        <v>240</v>
      </c>
      <c r="AR3609" s="6" t="s">
        <v>240</v>
      </c>
      <c r="AS3609" s="6" t="s">
        <v>240</v>
      </c>
      <c r="AT3609" s="5" t="s">
        <v>240</v>
      </c>
      <c r="AU3609" s="5" t="s">
        <v>729</v>
      </c>
      <c r="AV3609" s="5" t="s">
        <v>729</v>
      </c>
      <c r="AW3609" s="5" t="s">
        <v>251</v>
      </c>
      <c r="AX3609" s="5" t="s">
        <v>252</v>
      </c>
      <c r="AY3609" s="5" t="s">
        <v>253</v>
      </c>
      <c r="AZ3609" s="5" t="s">
        <v>240</v>
      </c>
      <c r="BA3609" s="5" t="s">
        <v>255</v>
      </c>
      <c r="BB3609" s="5" t="s">
        <v>731</v>
      </c>
      <c r="BD3609" s="5" t="s">
        <v>240</v>
      </c>
      <c r="BF3609" s="5" t="s">
        <v>732</v>
      </c>
      <c r="BG3609" s="6" t="s">
        <v>733</v>
      </c>
      <c r="BH3609" s="5" t="s">
        <v>734</v>
      </c>
      <c r="BI3609" s="5" t="s">
        <v>734</v>
      </c>
      <c r="BJ3609" s="5" t="s">
        <v>240</v>
      </c>
      <c r="BK3609" s="8">
        <f>54</f>
        <v>54</v>
      </c>
      <c r="BL3609" s="7">
        <f>0</f>
        <v>0</v>
      </c>
      <c r="BM3609" s="5" t="s">
        <v>258</v>
      </c>
      <c r="BN3609" s="5" t="s">
        <v>259</v>
      </c>
      <c r="BO3609" s="5" t="s">
        <v>240</v>
      </c>
      <c r="BP3609" s="5" t="s">
        <v>240</v>
      </c>
      <c r="BQ3609" s="5" t="s">
        <v>240</v>
      </c>
      <c r="BR3609" s="5" t="s">
        <v>240</v>
      </c>
      <c r="BS3609" s="5" t="s">
        <v>240</v>
      </c>
      <c r="BT3609" s="5" t="s">
        <v>240</v>
      </c>
      <c r="BU3609" s="5" t="s">
        <v>240</v>
      </c>
      <c r="BV3609" s="5" t="s">
        <v>240</v>
      </c>
      <c r="BW3609" s="6" t="s">
        <v>240</v>
      </c>
      <c r="BX3609" s="5" t="s">
        <v>240</v>
      </c>
      <c r="BY3609" s="5" t="s">
        <v>240</v>
      </c>
      <c r="BZ3609" s="5" t="s">
        <v>240</v>
      </c>
      <c r="CA3609" s="5" t="s">
        <v>259</v>
      </c>
      <c r="CB3609" s="5" t="s">
        <v>240</v>
      </c>
      <c r="CC3609" s="5" t="s">
        <v>240</v>
      </c>
      <c r="CD3609" s="5" t="s">
        <v>240</v>
      </c>
      <c r="CE3609" s="5" t="s">
        <v>240</v>
      </c>
      <c r="CF3609" s="5" t="s">
        <v>240</v>
      </c>
      <c r="CG3609" s="5" t="s">
        <v>617</v>
      </c>
      <c r="CH3609" s="5" t="s">
        <v>305</v>
      </c>
      <c r="CI3609" s="5" t="s">
        <v>240</v>
      </c>
      <c r="CL3609" s="6" t="s">
        <v>261</v>
      </c>
      <c r="CM3609" s="5" t="s">
        <v>262</v>
      </c>
      <c r="CN3609" s="5" t="s">
        <v>263</v>
      </c>
      <c r="CO3609" s="5" t="s">
        <v>264</v>
      </c>
      <c r="CP3609" s="5" t="s">
        <v>240</v>
      </c>
      <c r="CQ3609" s="5">
        <v>0</v>
      </c>
      <c r="CR3609" s="5" t="s">
        <v>735</v>
      </c>
      <c r="CS3609" s="5" t="s">
        <v>307</v>
      </c>
      <c r="CT3609" s="5" t="s">
        <v>307</v>
      </c>
      <c r="CU3609" s="5" t="s">
        <v>260</v>
      </c>
      <c r="CV3609" s="5" t="s">
        <v>240</v>
      </c>
      <c r="CW3609" s="8">
        <f>0</f>
        <v>0</v>
      </c>
      <c r="CX3609" s="7">
        <f>0</f>
        <v>0</v>
      </c>
      <c r="CY3609" s="7">
        <f>0</f>
        <v>0</v>
      </c>
      <c r="DA3609" s="7">
        <f>594</f>
        <v>594</v>
      </c>
      <c r="DB3609" s="7" t="s">
        <v>240</v>
      </c>
      <c r="DC3609" s="5" t="s">
        <v>240</v>
      </c>
      <c r="DD3609" s="5" t="s">
        <v>240</v>
      </c>
      <c r="DE3609" s="5" t="s">
        <v>240</v>
      </c>
      <c r="DF3609" s="5" t="s">
        <v>450</v>
      </c>
      <c r="DG3609" s="7">
        <f>0</f>
        <v>0</v>
      </c>
      <c r="DI3609" s="5" t="s">
        <v>737</v>
      </c>
      <c r="DJ3609" s="5" t="s">
        <v>240</v>
      </c>
      <c r="DK3609" s="5" t="s">
        <v>240</v>
      </c>
      <c r="DL3609" s="5" t="s">
        <v>240</v>
      </c>
      <c r="DM3609" s="5" t="s">
        <v>240</v>
      </c>
      <c r="DN3609" s="5" t="s">
        <v>240</v>
      </c>
      <c r="DO3609" s="7" t="s">
        <v>240</v>
      </c>
      <c r="DP3609" s="5" t="s">
        <v>240</v>
      </c>
      <c r="DQ3609" s="5" t="s">
        <v>240</v>
      </c>
      <c r="DR3609" s="5" t="s">
        <v>731</v>
      </c>
      <c r="DS3609" s="5" t="s">
        <v>731</v>
      </c>
      <c r="DT3609" s="5" t="s">
        <v>240</v>
      </c>
      <c r="DU3609" s="5" t="s">
        <v>240</v>
      </c>
      <c r="DV3609" s="5" t="s">
        <v>738</v>
      </c>
      <c r="DW3609" s="5" t="s">
        <v>827</v>
      </c>
      <c r="DX3609" s="5" t="s">
        <v>240</v>
      </c>
      <c r="DY3609" s="5" t="s">
        <v>240</v>
      </c>
      <c r="DZ3609" s="5" t="s">
        <v>240</v>
      </c>
      <c r="EA3609" s="5" t="s">
        <v>240</v>
      </c>
      <c r="EB3609" s="5" t="s">
        <v>240</v>
      </c>
      <c r="EC3609" s="5" t="s">
        <v>240</v>
      </c>
      <c r="ED3609" s="5" t="s">
        <v>240</v>
      </c>
      <c r="EE3609" s="5" t="s">
        <v>240</v>
      </c>
      <c r="EF3609" s="5" t="s">
        <v>240</v>
      </c>
      <c r="EG3609" s="5" t="s">
        <v>240</v>
      </c>
      <c r="EH3609" s="5" t="s">
        <v>240</v>
      </c>
      <c r="EI3609" s="5" t="s">
        <v>240</v>
      </c>
      <c r="EJ3609" s="5" t="s">
        <v>240</v>
      </c>
      <c r="EK3609" s="5" t="s">
        <v>240</v>
      </c>
      <c r="EL3609" s="5" t="s">
        <v>240</v>
      </c>
      <c r="EM3609" s="5" t="s">
        <v>240</v>
      </c>
      <c r="EN3609" s="5" t="s">
        <v>240</v>
      </c>
      <c r="EO3609" s="5" t="s">
        <v>240</v>
      </c>
      <c r="EP3609" s="5" t="s">
        <v>240</v>
      </c>
      <c r="EQ3609" s="5" t="s">
        <v>240</v>
      </c>
      <c r="ER3609" s="5" t="s">
        <v>240</v>
      </c>
      <c r="ES3609" s="5" t="s">
        <v>240</v>
      </c>
      <c r="ET3609" s="5" t="s">
        <v>240</v>
      </c>
      <c r="EU3609" s="5" t="s">
        <v>240</v>
      </c>
      <c r="EV3609" s="5" t="s">
        <v>240</v>
      </c>
      <c r="EW3609" s="5" t="s">
        <v>240</v>
      </c>
      <c r="EX3609" s="5" t="s">
        <v>240</v>
      </c>
      <c r="EY3609" s="5" t="s">
        <v>240</v>
      </c>
      <c r="EZ3609" s="5" t="s">
        <v>240</v>
      </c>
      <c r="FA3609" s="5" t="s">
        <v>240</v>
      </c>
      <c r="FB3609" s="5" t="s">
        <v>240</v>
      </c>
      <c r="FC3609" s="5" t="s">
        <v>240</v>
      </c>
      <c r="FD3609" s="5" t="s">
        <v>240</v>
      </c>
      <c r="FE3609" s="5" t="s">
        <v>240</v>
      </c>
      <c r="FF3609" s="5" t="s">
        <v>240</v>
      </c>
      <c r="FG3609" s="5" t="s">
        <v>240</v>
      </c>
      <c r="FH3609" s="5" t="s">
        <v>240</v>
      </c>
      <c r="FI3609" s="5" t="s">
        <v>240</v>
      </c>
      <c r="FJ3609" s="5" t="s">
        <v>240</v>
      </c>
      <c r="FK3609" s="5" t="s">
        <v>240</v>
      </c>
      <c r="FL3609" s="5" t="s">
        <v>240</v>
      </c>
      <c r="FM3609" s="5" t="s">
        <v>240</v>
      </c>
      <c r="FN3609" s="5" t="s">
        <v>240</v>
      </c>
      <c r="FO3609" s="5" t="s">
        <v>240</v>
      </c>
      <c r="FP3609" s="5" t="s">
        <v>240</v>
      </c>
      <c r="FQ3609" s="5" t="s">
        <v>240</v>
      </c>
      <c r="FR3609" s="5" t="s">
        <v>240</v>
      </c>
      <c r="FS3609" s="5" t="s">
        <v>240</v>
      </c>
      <c r="FT3609" s="5" t="s">
        <v>240</v>
      </c>
      <c r="FU3609" s="5" t="s">
        <v>240</v>
      </c>
      <c r="FV3609" s="5" t="s">
        <v>240</v>
      </c>
      <c r="FW3609" s="5" t="s">
        <v>240</v>
      </c>
      <c r="FX3609" s="5" t="s">
        <v>240</v>
      </c>
      <c r="FY3609" s="5" t="s">
        <v>240</v>
      </c>
      <c r="FZ3609" s="5" t="s">
        <v>240</v>
      </c>
      <c r="GA3609" s="5" t="s">
        <v>240</v>
      </c>
      <c r="GB3609" s="5" t="s">
        <v>240</v>
      </c>
      <c r="GC3609" s="5" t="s">
        <v>240</v>
      </c>
      <c r="GD3609" s="5" t="s">
        <v>240</v>
      </c>
      <c r="GE3609" s="5" t="s">
        <v>240</v>
      </c>
      <c r="GF3609" s="5" t="s">
        <v>240</v>
      </c>
      <c r="GG3609" s="5" t="s">
        <v>240</v>
      </c>
      <c r="GH3609" s="5" t="s">
        <v>240</v>
      </c>
      <c r="GI3609" s="5" t="s">
        <v>240</v>
      </c>
      <c r="GJ3609" s="5" t="s">
        <v>240</v>
      </c>
      <c r="GK3609" s="5" t="s">
        <v>240</v>
      </c>
      <c r="GL3609" s="5" t="s">
        <v>240</v>
      </c>
      <c r="GM3609" s="5" t="s">
        <v>240</v>
      </c>
      <c r="GN3609" s="5" t="s">
        <v>240</v>
      </c>
      <c r="GO3609" s="5" t="s">
        <v>240</v>
      </c>
      <c r="GP3609" s="5" t="s">
        <v>240</v>
      </c>
      <c r="GQ3609" s="5" t="s">
        <v>240</v>
      </c>
      <c r="GR3609" s="5" t="s">
        <v>240</v>
      </c>
      <c r="GS3609" s="5" t="s">
        <v>240</v>
      </c>
      <c r="GT3609" s="5" t="s">
        <v>240</v>
      </c>
      <c r="GU3609" s="5" t="s">
        <v>240</v>
      </c>
      <c r="GV3609" s="5" t="s">
        <v>240</v>
      </c>
      <c r="GW3609" s="5" t="s">
        <v>240</v>
      </c>
      <c r="GX3609" s="5" t="s">
        <v>240</v>
      </c>
      <c r="GY3609" s="5" t="s">
        <v>240</v>
      </c>
      <c r="GZ3609" s="5" t="s">
        <v>240</v>
      </c>
      <c r="HA3609" s="5" t="s">
        <v>240</v>
      </c>
      <c r="HB3609" s="5" t="s">
        <v>240</v>
      </c>
      <c r="HC3609" s="5" t="s">
        <v>240</v>
      </c>
      <c r="HD3609" s="5" t="s">
        <v>240</v>
      </c>
      <c r="HE3609" s="5" t="s">
        <v>240</v>
      </c>
      <c r="HF3609" s="5" t="s">
        <v>240</v>
      </c>
      <c r="HG3609" s="5" t="s">
        <v>240</v>
      </c>
      <c r="HH3609" s="5" t="s">
        <v>240</v>
      </c>
      <c r="HI3609" s="5" t="s">
        <v>240</v>
      </c>
      <c r="HJ3609" s="5" t="s">
        <v>240</v>
      </c>
      <c r="HK3609" s="5" t="s">
        <v>240</v>
      </c>
      <c r="HL3609" s="5" t="s">
        <v>240</v>
      </c>
      <c r="HM3609" s="5" t="s">
        <v>240</v>
      </c>
      <c r="HN3609" s="5" t="s">
        <v>240</v>
      </c>
      <c r="HO3609" s="5" t="s">
        <v>312</v>
      </c>
      <c r="HP3609" s="5" t="s">
        <v>240</v>
      </c>
      <c r="HQ3609" s="5" t="s">
        <v>240</v>
      </c>
      <c r="HR3609" s="5" t="s">
        <v>240</v>
      </c>
      <c r="HS3609" s="5" t="s">
        <v>240</v>
      </c>
      <c r="HT3609" s="5" t="s">
        <v>240</v>
      </c>
      <c r="HU3609" s="5" t="s">
        <v>240</v>
      </c>
      <c r="HV3609" s="5" t="s">
        <v>240</v>
      </c>
      <c r="HW3609" s="5" t="s">
        <v>240</v>
      </c>
      <c r="HX3609" s="5" t="s">
        <v>240</v>
      </c>
      <c r="HY3609" s="5" t="s">
        <v>240</v>
      </c>
      <c r="HZ3609" s="5" t="s">
        <v>240</v>
      </c>
      <c r="IA3609" s="5" t="s">
        <v>240</v>
      </c>
      <c r="IB3609" s="5" t="s">
        <v>240</v>
      </c>
      <c r="IC3609" s="5" t="s">
        <v>240</v>
      </c>
      <c r="ID3609" s="5" t="s">
        <v>240</v>
      </c>
      <c r="IE3609" s="5" t="s">
        <v>240</v>
      </c>
      <c r="IF3609" s="5" t="s">
        <v>240</v>
      </c>
    </row>
    <row r="3610" spans="1:240" x14ac:dyDescent="0.4">
      <c r="A3610" s="5">
        <v>9152</v>
      </c>
      <c r="B3610" s="5">
        <v>1</v>
      </c>
      <c r="C3610" s="5">
        <v>1</v>
      </c>
      <c r="D3610" s="5" t="s">
        <v>723</v>
      </c>
      <c r="E3610" s="5" t="s">
        <v>725</v>
      </c>
      <c r="F3610" s="5" t="s">
        <v>254</v>
      </c>
      <c r="G3610" s="5" t="s">
        <v>726</v>
      </c>
      <c r="H3610" s="6" t="s">
        <v>5732</v>
      </c>
      <c r="I3610" s="5" t="s">
        <v>5731</v>
      </c>
      <c r="J3610" s="7">
        <f>1</f>
        <v>1</v>
      </c>
      <c r="K3610" s="5" t="s">
        <v>3682</v>
      </c>
      <c r="L3610" s="7">
        <f>1</f>
        <v>1</v>
      </c>
      <c r="M3610" s="7">
        <f>1</f>
        <v>1</v>
      </c>
      <c r="N3610" s="5" t="s">
        <v>242</v>
      </c>
      <c r="O3610" s="5">
        <v>1</v>
      </c>
      <c r="P3610" s="5" t="s">
        <v>294</v>
      </c>
      <c r="Q3610" s="5" t="s">
        <v>3678</v>
      </c>
      <c r="R3610" s="5" t="s">
        <v>240</v>
      </c>
      <c r="S3610" s="5" t="s">
        <v>240</v>
      </c>
      <c r="T3610" s="5" t="s">
        <v>243</v>
      </c>
      <c r="U3610" s="5" t="s">
        <v>244</v>
      </c>
      <c r="V3610" s="5" t="s">
        <v>240</v>
      </c>
      <c r="W3610" s="5" t="s">
        <v>240</v>
      </c>
      <c r="X3610" s="5" t="s">
        <v>240</v>
      </c>
      <c r="Y3610" s="5" t="s">
        <v>240</v>
      </c>
      <c r="Z3610" s="6" t="s">
        <v>298</v>
      </c>
      <c r="AA3610" s="6" t="s">
        <v>240</v>
      </c>
      <c r="AB3610" s="6" t="s">
        <v>240</v>
      </c>
      <c r="AC3610" s="5" t="s">
        <v>240</v>
      </c>
      <c r="AD3610" s="6" t="s">
        <v>240</v>
      </c>
      <c r="AE3610" s="6" t="s">
        <v>299</v>
      </c>
      <c r="AF3610" s="5" t="s">
        <v>248</v>
      </c>
      <c r="AG3610" s="5" t="s">
        <v>249</v>
      </c>
      <c r="AH3610" s="5" t="s">
        <v>240</v>
      </c>
      <c r="AI3610" s="5" t="s">
        <v>240</v>
      </c>
      <c r="AJ3610" s="5" t="s">
        <v>240</v>
      </c>
      <c r="AK3610" s="5" t="s">
        <v>240</v>
      </c>
      <c r="AL3610" s="5" t="s">
        <v>240</v>
      </c>
      <c r="AM3610" s="5" t="s">
        <v>240</v>
      </c>
      <c r="AN3610" s="5" t="s">
        <v>240</v>
      </c>
      <c r="AO3610" s="5" t="s">
        <v>240</v>
      </c>
      <c r="AP3610" s="6" t="s">
        <v>240</v>
      </c>
      <c r="AQ3610" s="6" t="s">
        <v>240</v>
      </c>
      <c r="AR3610" s="6" t="s">
        <v>240</v>
      </c>
      <c r="AS3610" s="6" t="s">
        <v>240</v>
      </c>
      <c r="AT3610" s="5" t="s">
        <v>240</v>
      </c>
      <c r="AU3610" s="5" t="s">
        <v>729</v>
      </c>
      <c r="AV3610" s="5" t="s">
        <v>729</v>
      </c>
      <c r="AW3610" s="5" t="s">
        <v>251</v>
      </c>
      <c r="AX3610" s="5" t="s">
        <v>252</v>
      </c>
      <c r="AY3610" s="5" t="s">
        <v>253</v>
      </c>
      <c r="AZ3610" s="5" t="s">
        <v>240</v>
      </c>
      <c r="BA3610" s="5" t="s">
        <v>255</v>
      </c>
      <c r="BB3610" s="5" t="s">
        <v>731</v>
      </c>
      <c r="BD3610" s="5" t="s">
        <v>240</v>
      </c>
      <c r="BF3610" s="5" t="s">
        <v>732</v>
      </c>
      <c r="BG3610" s="6" t="s">
        <v>733</v>
      </c>
      <c r="BH3610" s="5" t="s">
        <v>734</v>
      </c>
      <c r="BI3610" s="5" t="s">
        <v>734</v>
      </c>
      <c r="BJ3610" s="5" t="s">
        <v>240</v>
      </c>
      <c r="BK3610" s="7">
        <f>1</f>
        <v>1</v>
      </c>
      <c r="BL3610" s="7">
        <f>1</f>
        <v>1</v>
      </c>
      <c r="BM3610" s="5" t="s">
        <v>258</v>
      </c>
      <c r="BN3610" s="5" t="s">
        <v>259</v>
      </c>
      <c r="BO3610" s="5" t="s">
        <v>240</v>
      </c>
      <c r="BP3610" s="5" t="s">
        <v>240</v>
      </c>
      <c r="BQ3610" s="5" t="s">
        <v>240</v>
      </c>
      <c r="BR3610" s="5" t="s">
        <v>240</v>
      </c>
      <c r="BS3610" s="5" t="s">
        <v>240</v>
      </c>
      <c r="BT3610" s="5" t="s">
        <v>240</v>
      </c>
      <c r="BU3610" s="5" t="s">
        <v>240</v>
      </c>
      <c r="BV3610" s="5" t="s">
        <v>240</v>
      </c>
      <c r="BW3610" s="6" t="s">
        <v>240</v>
      </c>
      <c r="BX3610" s="5" t="s">
        <v>240</v>
      </c>
      <c r="BY3610" s="5" t="s">
        <v>240</v>
      </c>
      <c r="BZ3610" s="5" t="s">
        <v>240</v>
      </c>
      <c r="CA3610" s="5" t="s">
        <v>259</v>
      </c>
      <c r="CB3610" s="5" t="s">
        <v>240</v>
      </c>
      <c r="CC3610" s="5" t="s">
        <v>240</v>
      </c>
      <c r="CD3610" s="5" t="s">
        <v>240</v>
      </c>
      <c r="CE3610" s="5" t="s">
        <v>240</v>
      </c>
      <c r="CF3610" s="5" t="s">
        <v>240</v>
      </c>
      <c r="CG3610" s="5" t="s">
        <v>304</v>
      </c>
      <c r="CH3610" s="5" t="s">
        <v>305</v>
      </c>
      <c r="CI3610" s="5" t="s">
        <v>240</v>
      </c>
      <c r="CK3610" s="5" t="s">
        <v>3681</v>
      </c>
      <c r="CL3610" s="6" t="s">
        <v>261</v>
      </c>
      <c r="CM3610" s="5" t="s">
        <v>262</v>
      </c>
      <c r="CN3610" s="5" t="s">
        <v>263</v>
      </c>
      <c r="CO3610" s="5" t="s">
        <v>264</v>
      </c>
      <c r="CP3610" s="5" t="s">
        <v>240</v>
      </c>
      <c r="CQ3610" s="5">
        <v>0</v>
      </c>
      <c r="CR3610" s="5" t="s">
        <v>735</v>
      </c>
      <c r="CS3610" s="5" t="s">
        <v>307</v>
      </c>
      <c r="CT3610" s="5" t="s">
        <v>307</v>
      </c>
      <c r="CU3610" s="5" t="s">
        <v>260</v>
      </c>
      <c r="CV3610" s="5" t="s">
        <v>612</v>
      </c>
      <c r="CW3610" s="8">
        <f>1</f>
        <v>1</v>
      </c>
      <c r="CX3610" s="7">
        <f>1</f>
        <v>1</v>
      </c>
      <c r="CY3610" s="7">
        <f>0</f>
        <v>0</v>
      </c>
      <c r="DA3610" s="7">
        <f>1</f>
        <v>1</v>
      </c>
      <c r="DB3610" s="7" t="s">
        <v>240</v>
      </c>
      <c r="DC3610" s="5" t="s">
        <v>240</v>
      </c>
      <c r="DD3610" s="5" t="s">
        <v>240</v>
      </c>
      <c r="DE3610" s="5" t="s">
        <v>240</v>
      </c>
      <c r="DF3610" s="5" t="s">
        <v>240</v>
      </c>
      <c r="DG3610" s="7">
        <f>0</f>
        <v>0</v>
      </c>
      <c r="DI3610" s="5" t="s">
        <v>240</v>
      </c>
      <c r="DJ3610" s="5" t="s">
        <v>240</v>
      </c>
      <c r="DK3610" s="5" t="s">
        <v>240</v>
      </c>
      <c r="DL3610" s="5" t="s">
        <v>240</v>
      </c>
      <c r="DM3610" s="5" t="s">
        <v>240</v>
      </c>
      <c r="DN3610" s="5" t="s">
        <v>240</v>
      </c>
      <c r="DO3610" s="7" t="s">
        <v>240</v>
      </c>
      <c r="DP3610" s="5" t="s">
        <v>240</v>
      </c>
      <c r="DQ3610" s="5" t="s">
        <v>240</v>
      </c>
      <c r="DR3610" s="5" t="s">
        <v>731</v>
      </c>
      <c r="DS3610" s="5" t="s">
        <v>731</v>
      </c>
      <c r="DT3610" s="5" t="s">
        <v>240</v>
      </c>
      <c r="DU3610" s="5" t="s">
        <v>240</v>
      </c>
      <c r="DV3610" s="5" t="s">
        <v>3683</v>
      </c>
      <c r="DW3610" s="5" t="s">
        <v>3985</v>
      </c>
      <c r="DX3610" s="5" t="s">
        <v>240</v>
      </c>
      <c r="DY3610" s="5" t="s">
        <v>240</v>
      </c>
      <c r="DZ3610" s="5" t="s">
        <v>240</v>
      </c>
      <c r="EA3610" s="5" t="s">
        <v>240</v>
      </c>
      <c r="EB3610" s="5" t="s">
        <v>240</v>
      </c>
      <c r="EC3610" s="5" t="s">
        <v>240</v>
      </c>
      <c r="ED3610" s="5" t="s">
        <v>240</v>
      </c>
      <c r="EE3610" s="5" t="s">
        <v>240</v>
      </c>
      <c r="EF3610" s="5" t="s">
        <v>240</v>
      </c>
      <c r="EG3610" s="5" t="s">
        <v>240</v>
      </c>
      <c r="EH3610" s="5" t="s">
        <v>240</v>
      </c>
      <c r="EI3610" s="5" t="s">
        <v>240</v>
      </c>
      <c r="EJ3610" s="5" t="s">
        <v>240</v>
      </c>
      <c r="EK3610" s="5" t="s">
        <v>240</v>
      </c>
      <c r="EL3610" s="5" t="s">
        <v>240</v>
      </c>
      <c r="EM3610" s="5" t="s">
        <v>240</v>
      </c>
      <c r="EN3610" s="5" t="s">
        <v>240</v>
      </c>
      <c r="EO3610" s="5" t="s">
        <v>240</v>
      </c>
      <c r="EP3610" s="5" t="s">
        <v>240</v>
      </c>
      <c r="EQ3610" s="5" t="s">
        <v>240</v>
      </c>
      <c r="ER3610" s="5" t="s">
        <v>240</v>
      </c>
      <c r="ES3610" s="5" t="s">
        <v>240</v>
      </c>
      <c r="ET3610" s="5" t="s">
        <v>240</v>
      </c>
      <c r="EU3610" s="5" t="s">
        <v>240</v>
      </c>
      <c r="EV3610" s="5" t="s">
        <v>240</v>
      </c>
      <c r="EW3610" s="5" t="s">
        <v>240</v>
      </c>
      <c r="EX3610" s="5" t="s">
        <v>240</v>
      </c>
      <c r="EY3610" s="5" t="s">
        <v>240</v>
      </c>
      <c r="EZ3610" s="5" t="s">
        <v>240</v>
      </c>
      <c r="FA3610" s="5" t="s">
        <v>240</v>
      </c>
      <c r="FB3610" s="5" t="s">
        <v>240</v>
      </c>
      <c r="FC3610" s="5" t="s">
        <v>240</v>
      </c>
      <c r="FD3610" s="5" t="s">
        <v>240</v>
      </c>
      <c r="FE3610" s="5" t="s">
        <v>240</v>
      </c>
      <c r="FF3610" s="5" t="s">
        <v>240</v>
      </c>
      <c r="FG3610" s="5" t="s">
        <v>240</v>
      </c>
      <c r="FH3610" s="5" t="s">
        <v>240</v>
      </c>
      <c r="FI3610" s="5" t="s">
        <v>240</v>
      </c>
      <c r="FJ3610" s="5" t="s">
        <v>240</v>
      </c>
      <c r="FK3610" s="5" t="s">
        <v>240</v>
      </c>
      <c r="FL3610" s="5" t="s">
        <v>240</v>
      </c>
      <c r="FM3610" s="5" t="s">
        <v>240</v>
      </c>
      <c r="FN3610" s="5" t="s">
        <v>240</v>
      </c>
      <c r="FO3610" s="5" t="s">
        <v>240</v>
      </c>
      <c r="FP3610" s="5" t="s">
        <v>240</v>
      </c>
      <c r="FQ3610" s="5" t="s">
        <v>240</v>
      </c>
      <c r="FR3610" s="5" t="s">
        <v>240</v>
      </c>
      <c r="FS3610" s="5" t="s">
        <v>240</v>
      </c>
      <c r="FT3610" s="5" t="s">
        <v>240</v>
      </c>
      <c r="FU3610" s="5" t="s">
        <v>240</v>
      </c>
      <c r="FV3610" s="5" t="s">
        <v>240</v>
      </c>
      <c r="FW3610" s="5" t="s">
        <v>240</v>
      </c>
      <c r="FX3610" s="5" t="s">
        <v>240</v>
      </c>
      <c r="FY3610" s="5" t="s">
        <v>240</v>
      </c>
      <c r="FZ3610" s="5" t="s">
        <v>240</v>
      </c>
      <c r="GA3610" s="5" t="s">
        <v>240</v>
      </c>
      <c r="GB3610" s="5" t="s">
        <v>240</v>
      </c>
      <c r="GC3610" s="5" t="s">
        <v>240</v>
      </c>
      <c r="GD3610" s="5" t="s">
        <v>240</v>
      </c>
      <c r="GE3610" s="5" t="s">
        <v>240</v>
      </c>
      <c r="GF3610" s="5" t="s">
        <v>240</v>
      </c>
      <c r="GG3610" s="5" t="s">
        <v>240</v>
      </c>
      <c r="GH3610" s="5" t="s">
        <v>240</v>
      </c>
      <c r="GI3610" s="5" t="s">
        <v>240</v>
      </c>
      <c r="GJ3610" s="5" t="s">
        <v>240</v>
      </c>
      <c r="GK3610" s="5" t="s">
        <v>240</v>
      </c>
      <c r="GL3610" s="5" t="s">
        <v>240</v>
      </c>
      <c r="GM3610" s="5" t="s">
        <v>240</v>
      </c>
      <c r="GN3610" s="5" t="s">
        <v>240</v>
      </c>
      <c r="GO3610" s="5" t="s">
        <v>240</v>
      </c>
      <c r="GP3610" s="5" t="s">
        <v>240</v>
      </c>
      <c r="GQ3610" s="5" t="s">
        <v>240</v>
      </c>
      <c r="GR3610" s="5" t="s">
        <v>240</v>
      </c>
      <c r="GS3610" s="5" t="s">
        <v>240</v>
      </c>
      <c r="GT3610" s="5" t="s">
        <v>240</v>
      </c>
      <c r="GU3610" s="5" t="s">
        <v>240</v>
      </c>
      <c r="GV3610" s="5" t="s">
        <v>240</v>
      </c>
      <c r="GW3610" s="5" t="s">
        <v>240</v>
      </c>
      <c r="GX3610" s="5" t="s">
        <v>240</v>
      </c>
      <c r="GY3610" s="5" t="s">
        <v>240</v>
      </c>
      <c r="GZ3610" s="5" t="s">
        <v>240</v>
      </c>
      <c r="HA3610" s="5" t="s">
        <v>240</v>
      </c>
      <c r="HB3610" s="5" t="s">
        <v>240</v>
      </c>
      <c r="HC3610" s="5" t="s">
        <v>240</v>
      </c>
      <c r="HD3610" s="5" t="s">
        <v>240</v>
      </c>
      <c r="HE3610" s="5" t="s">
        <v>240</v>
      </c>
      <c r="HF3610" s="5" t="s">
        <v>240</v>
      </c>
      <c r="HG3610" s="5" t="s">
        <v>240</v>
      </c>
      <c r="HH3610" s="5" t="s">
        <v>240</v>
      </c>
      <c r="HI3610" s="5" t="s">
        <v>240</v>
      </c>
      <c r="HJ3610" s="5" t="s">
        <v>240</v>
      </c>
      <c r="HK3610" s="5" t="s">
        <v>240</v>
      </c>
      <c r="HL3610" s="5" t="s">
        <v>240</v>
      </c>
      <c r="HM3610" s="5" t="s">
        <v>240</v>
      </c>
      <c r="HN3610" s="5" t="s">
        <v>240</v>
      </c>
      <c r="HO3610" s="5" t="s">
        <v>312</v>
      </c>
      <c r="HP3610" s="5" t="s">
        <v>240</v>
      </c>
      <c r="HQ3610" s="5" t="s">
        <v>240</v>
      </c>
      <c r="HR3610" s="5" t="s">
        <v>240</v>
      </c>
      <c r="HS3610" s="5" t="s">
        <v>240</v>
      </c>
      <c r="HT3610" s="5" t="s">
        <v>240</v>
      </c>
      <c r="HU3610" s="5" t="s">
        <v>240</v>
      </c>
      <c r="HV3610" s="5" t="s">
        <v>240</v>
      </c>
      <c r="HW3610" s="5" t="s">
        <v>240</v>
      </c>
      <c r="HX3610" s="5" t="s">
        <v>240</v>
      </c>
      <c r="HY3610" s="5" t="s">
        <v>240</v>
      </c>
      <c r="HZ3610" s="5" t="s">
        <v>240</v>
      </c>
      <c r="IA3610" s="5" t="s">
        <v>240</v>
      </c>
      <c r="IB3610" s="5" t="s">
        <v>240</v>
      </c>
      <c r="IC3610" s="5" t="s">
        <v>240</v>
      </c>
      <c r="ID3610" s="5" t="s">
        <v>240</v>
      </c>
      <c r="IE3610" s="5" t="s">
        <v>240</v>
      </c>
      <c r="IF3610" s="5" t="s">
        <v>240</v>
      </c>
    </row>
    <row r="3611" spans="1:240" x14ac:dyDescent="0.4">
      <c r="A3611" s="5">
        <v>9153</v>
      </c>
      <c r="B3611" s="5">
        <v>1</v>
      </c>
      <c r="C3611" s="5">
        <v>1</v>
      </c>
      <c r="D3611" s="5" t="s">
        <v>723</v>
      </c>
      <c r="E3611" s="5" t="s">
        <v>725</v>
      </c>
      <c r="F3611" s="5" t="s">
        <v>254</v>
      </c>
      <c r="G3611" s="5" t="s">
        <v>726</v>
      </c>
      <c r="H3611" s="6" t="s">
        <v>5730</v>
      </c>
      <c r="I3611" s="5" t="s">
        <v>5729</v>
      </c>
      <c r="J3611" s="7">
        <f>1</f>
        <v>1</v>
      </c>
      <c r="K3611" s="5" t="s">
        <v>3682</v>
      </c>
      <c r="L3611" s="7">
        <f>1</f>
        <v>1</v>
      </c>
      <c r="M3611" s="7">
        <f>1</f>
        <v>1</v>
      </c>
      <c r="N3611" s="5" t="s">
        <v>242</v>
      </c>
      <c r="O3611" s="5">
        <v>1</v>
      </c>
      <c r="P3611" s="5" t="s">
        <v>294</v>
      </c>
      <c r="Q3611" s="5" t="s">
        <v>613</v>
      </c>
      <c r="R3611" s="5" t="s">
        <v>240</v>
      </c>
      <c r="S3611" s="5" t="s">
        <v>240</v>
      </c>
      <c r="T3611" s="5" t="s">
        <v>243</v>
      </c>
      <c r="U3611" s="5" t="s">
        <v>724</v>
      </c>
      <c r="V3611" s="5" t="s">
        <v>240</v>
      </c>
      <c r="W3611" s="5" t="s">
        <v>240</v>
      </c>
      <c r="X3611" s="5" t="s">
        <v>240</v>
      </c>
      <c r="Y3611" s="5" t="s">
        <v>240</v>
      </c>
      <c r="Z3611" s="6" t="s">
        <v>298</v>
      </c>
      <c r="AA3611" s="6" t="s">
        <v>240</v>
      </c>
      <c r="AB3611" s="6" t="s">
        <v>240</v>
      </c>
      <c r="AC3611" s="5" t="s">
        <v>240</v>
      </c>
      <c r="AD3611" s="6" t="s">
        <v>240</v>
      </c>
      <c r="AE3611" s="6" t="s">
        <v>299</v>
      </c>
      <c r="AF3611" s="5" t="s">
        <v>727</v>
      </c>
      <c r="AG3611" s="5" t="s">
        <v>260</v>
      </c>
      <c r="AH3611" s="5" t="s">
        <v>240</v>
      </c>
      <c r="AI3611" s="5" t="s">
        <v>240</v>
      </c>
      <c r="AJ3611" s="5" t="s">
        <v>240</v>
      </c>
      <c r="AK3611" s="5" t="s">
        <v>240</v>
      </c>
      <c r="AL3611" s="5" t="s">
        <v>240</v>
      </c>
      <c r="AM3611" s="5" t="s">
        <v>240</v>
      </c>
      <c r="AN3611" s="5" t="s">
        <v>240</v>
      </c>
      <c r="AO3611" s="5" t="s">
        <v>240</v>
      </c>
      <c r="AP3611" s="6" t="s">
        <v>240</v>
      </c>
      <c r="AQ3611" s="6" t="s">
        <v>240</v>
      </c>
      <c r="AR3611" s="6" t="s">
        <v>240</v>
      </c>
      <c r="AS3611" s="6" t="s">
        <v>240</v>
      </c>
      <c r="AT3611" s="5" t="s">
        <v>240</v>
      </c>
      <c r="AU3611" s="5" t="s">
        <v>729</v>
      </c>
      <c r="AV3611" s="5" t="s">
        <v>729</v>
      </c>
      <c r="AW3611" s="5" t="s">
        <v>251</v>
      </c>
      <c r="AX3611" s="5" t="s">
        <v>252</v>
      </c>
      <c r="AY3611" s="5" t="s">
        <v>253</v>
      </c>
      <c r="AZ3611" s="5" t="s">
        <v>240</v>
      </c>
      <c r="BA3611" s="5" t="s">
        <v>255</v>
      </c>
      <c r="BB3611" s="5" t="s">
        <v>731</v>
      </c>
      <c r="BD3611" s="5" t="s">
        <v>240</v>
      </c>
      <c r="BF3611" s="5" t="s">
        <v>732</v>
      </c>
      <c r="BG3611" s="6" t="s">
        <v>733</v>
      </c>
      <c r="BH3611" s="5" t="s">
        <v>734</v>
      </c>
      <c r="BI3611" s="5" t="s">
        <v>734</v>
      </c>
      <c r="BJ3611" s="5" t="s">
        <v>240</v>
      </c>
      <c r="BK3611" s="8">
        <f>507</f>
        <v>507</v>
      </c>
      <c r="BL3611" s="7">
        <f>0</f>
        <v>0</v>
      </c>
      <c r="BM3611" s="5" t="s">
        <v>258</v>
      </c>
      <c r="BN3611" s="5" t="s">
        <v>259</v>
      </c>
      <c r="BO3611" s="5" t="s">
        <v>240</v>
      </c>
      <c r="BP3611" s="5" t="s">
        <v>240</v>
      </c>
      <c r="BQ3611" s="5" t="s">
        <v>240</v>
      </c>
      <c r="BR3611" s="5" t="s">
        <v>240</v>
      </c>
      <c r="BS3611" s="5" t="s">
        <v>240</v>
      </c>
      <c r="BT3611" s="5" t="s">
        <v>240</v>
      </c>
      <c r="BU3611" s="5" t="s">
        <v>240</v>
      </c>
      <c r="BV3611" s="5" t="s">
        <v>240</v>
      </c>
      <c r="BW3611" s="6" t="s">
        <v>240</v>
      </c>
      <c r="BX3611" s="5" t="s">
        <v>240</v>
      </c>
      <c r="BY3611" s="5" t="s">
        <v>240</v>
      </c>
      <c r="BZ3611" s="5" t="s">
        <v>240</v>
      </c>
      <c r="CA3611" s="5" t="s">
        <v>259</v>
      </c>
      <c r="CB3611" s="5" t="s">
        <v>240</v>
      </c>
      <c r="CC3611" s="5" t="s">
        <v>240</v>
      </c>
      <c r="CD3611" s="5" t="s">
        <v>240</v>
      </c>
      <c r="CE3611" s="5" t="s">
        <v>240</v>
      </c>
      <c r="CF3611" s="5" t="s">
        <v>240</v>
      </c>
      <c r="CG3611" s="5" t="s">
        <v>617</v>
      </c>
      <c r="CH3611" s="5" t="s">
        <v>305</v>
      </c>
      <c r="CI3611" s="5" t="s">
        <v>240</v>
      </c>
      <c r="CL3611" s="6" t="s">
        <v>261</v>
      </c>
      <c r="CM3611" s="5" t="s">
        <v>262</v>
      </c>
      <c r="CN3611" s="5" t="s">
        <v>263</v>
      </c>
      <c r="CO3611" s="5" t="s">
        <v>264</v>
      </c>
      <c r="CP3611" s="5" t="s">
        <v>240</v>
      </c>
      <c r="CQ3611" s="5">
        <v>0</v>
      </c>
      <c r="CR3611" s="5" t="s">
        <v>735</v>
      </c>
      <c r="CS3611" s="5" t="s">
        <v>307</v>
      </c>
      <c r="CT3611" s="5" t="s">
        <v>307</v>
      </c>
      <c r="CU3611" s="5" t="s">
        <v>260</v>
      </c>
      <c r="CV3611" s="5" t="s">
        <v>240</v>
      </c>
      <c r="CW3611" s="8">
        <f>0</f>
        <v>0</v>
      </c>
      <c r="CX3611" s="7">
        <f>0</f>
        <v>0</v>
      </c>
      <c r="CY3611" s="7">
        <f>0</f>
        <v>0</v>
      </c>
      <c r="DA3611" s="7">
        <f>5577</f>
        <v>5577</v>
      </c>
      <c r="DB3611" s="7" t="s">
        <v>240</v>
      </c>
      <c r="DC3611" s="5" t="s">
        <v>240</v>
      </c>
      <c r="DD3611" s="5" t="s">
        <v>240</v>
      </c>
      <c r="DE3611" s="5" t="s">
        <v>240</v>
      </c>
      <c r="DF3611" s="5" t="s">
        <v>450</v>
      </c>
      <c r="DG3611" s="7">
        <f>0</f>
        <v>0</v>
      </c>
      <c r="DI3611" s="5" t="s">
        <v>737</v>
      </c>
      <c r="DJ3611" s="5" t="s">
        <v>240</v>
      </c>
      <c r="DK3611" s="5" t="s">
        <v>240</v>
      </c>
      <c r="DL3611" s="5" t="s">
        <v>240</v>
      </c>
      <c r="DM3611" s="5" t="s">
        <v>240</v>
      </c>
      <c r="DN3611" s="5" t="s">
        <v>240</v>
      </c>
      <c r="DO3611" s="7" t="s">
        <v>240</v>
      </c>
      <c r="DP3611" s="5" t="s">
        <v>240</v>
      </c>
      <c r="DQ3611" s="5" t="s">
        <v>240</v>
      </c>
      <c r="DR3611" s="5" t="s">
        <v>731</v>
      </c>
      <c r="DS3611" s="5" t="s">
        <v>731</v>
      </c>
      <c r="DT3611" s="5" t="s">
        <v>240</v>
      </c>
      <c r="DU3611" s="5" t="s">
        <v>240</v>
      </c>
      <c r="DV3611" s="5" t="s">
        <v>738</v>
      </c>
      <c r="DW3611" s="5" t="s">
        <v>806</v>
      </c>
      <c r="DX3611" s="5" t="s">
        <v>240</v>
      </c>
      <c r="DY3611" s="5" t="s">
        <v>240</v>
      </c>
      <c r="DZ3611" s="5" t="s">
        <v>240</v>
      </c>
      <c r="EA3611" s="5" t="s">
        <v>240</v>
      </c>
      <c r="EB3611" s="5" t="s">
        <v>240</v>
      </c>
      <c r="EC3611" s="5" t="s">
        <v>240</v>
      </c>
      <c r="ED3611" s="5" t="s">
        <v>240</v>
      </c>
      <c r="EE3611" s="5" t="s">
        <v>240</v>
      </c>
      <c r="EF3611" s="5" t="s">
        <v>240</v>
      </c>
      <c r="EG3611" s="5" t="s">
        <v>240</v>
      </c>
      <c r="EH3611" s="5" t="s">
        <v>240</v>
      </c>
      <c r="EI3611" s="5" t="s">
        <v>240</v>
      </c>
      <c r="EJ3611" s="5" t="s">
        <v>240</v>
      </c>
      <c r="EK3611" s="5" t="s">
        <v>240</v>
      </c>
      <c r="EL3611" s="5" t="s">
        <v>240</v>
      </c>
      <c r="EM3611" s="5" t="s">
        <v>240</v>
      </c>
      <c r="EN3611" s="5" t="s">
        <v>240</v>
      </c>
      <c r="EO3611" s="5" t="s">
        <v>240</v>
      </c>
      <c r="EP3611" s="5" t="s">
        <v>240</v>
      </c>
      <c r="EQ3611" s="5" t="s">
        <v>240</v>
      </c>
      <c r="ER3611" s="5" t="s">
        <v>240</v>
      </c>
      <c r="ES3611" s="5" t="s">
        <v>240</v>
      </c>
      <c r="ET3611" s="5" t="s">
        <v>240</v>
      </c>
      <c r="EU3611" s="5" t="s">
        <v>240</v>
      </c>
      <c r="EV3611" s="5" t="s">
        <v>240</v>
      </c>
      <c r="EW3611" s="5" t="s">
        <v>240</v>
      </c>
      <c r="EX3611" s="5" t="s">
        <v>240</v>
      </c>
      <c r="EY3611" s="5" t="s">
        <v>240</v>
      </c>
      <c r="EZ3611" s="5" t="s">
        <v>240</v>
      </c>
      <c r="FA3611" s="5" t="s">
        <v>240</v>
      </c>
      <c r="FB3611" s="5" t="s">
        <v>240</v>
      </c>
      <c r="FC3611" s="5" t="s">
        <v>240</v>
      </c>
      <c r="FD3611" s="5" t="s">
        <v>240</v>
      </c>
      <c r="FE3611" s="5" t="s">
        <v>240</v>
      </c>
      <c r="FF3611" s="5" t="s">
        <v>240</v>
      </c>
      <c r="FG3611" s="5" t="s">
        <v>240</v>
      </c>
      <c r="FH3611" s="5" t="s">
        <v>240</v>
      </c>
      <c r="FI3611" s="5" t="s">
        <v>240</v>
      </c>
      <c r="FJ3611" s="5" t="s">
        <v>240</v>
      </c>
      <c r="FK3611" s="5" t="s">
        <v>240</v>
      </c>
      <c r="FL3611" s="5" t="s">
        <v>240</v>
      </c>
      <c r="FM3611" s="5" t="s">
        <v>240</v>
      </c>
      <c r="FN3611" s="5" t="s">
        <v>240</v>
      </c>
      <c r="FO3611" s="5" t="s">
        <v>240</v>
      </c>
      <c r="FP3611" s="5" t="s">
        <v>240</v>
      </c>
      <c r="FQ3611" s="5" t="s">
        <v>240</v>
      </c>
      <c r="FR3611" s="5" t="s">
        <v>240</v>
      </c>
      <c r="FS3611" s="5" t="s">
        <v>240</v>
      </c>
      <c r="FT3611" s="5" t="s">
        <v>240</v>
      </c>
      <c r="FU3611" s="5" t="s">
        <v>240</v>
      </c>
      <c r="FV3611" s="5" t="s">
        <v>240</v>
      </c>
      <c r="FW3611" s="5" t="s">
        <v>240</v>
      </c>
      <c r="FX3611" s="5" t="s">
        <v>240</v>
      </c>
      <c r="FY3611" s="5" t="s">
        <v>240</v>
      </c>
      <c r="FZ3611" s="5" t="s">
        <v>240</v>
      </c>
      <c r="GA3611" s="5" t="s">
        <v>240</v>
      </c>
      <c r="GB3611" s="5" t="s">
        <v>240</v>
      </c>
      <c r="GC3611" s="5" t="s">
        <v>240</v>
      </c>
      <c r="GD3611" s="5" t="s">
        <v>240</v>
      </c>
      <c r="GE3611" s="5" t="s">
        <v>240</v>
      </c>
      <c r="GF3611" s="5" t="s">
        <v>240</v>
      </c>
      <c r="GG3611" s="5" t="s">
        <v>240</v>
      </c>
      <c r="GH3611" s="5" t="s">
        <v>240</v>
      </c>
      <c r="GI3611" s="5" t="s">
        <v>240</v>
      </c>
      <c r="GJ3611" s="5" t="s">
        <v>240</v>
      </c>
      <c r="GK3611" s="5" t="s">
        <v>240</v>
      </c>
      <c r="GL3611" s="5" t="s">
        <v>240</v>
      </c>
      <c r="GM3611" s="5" t="s">
        <v>240</v>
      </c>
      <c r="GN3611" s="5" t="s">
        <v>240</v>
      </c>
      <c r="GO3611" s="5" t="s">
        <v>240</v>
      </c>
      <c r="GP3611" s="5" t="s">
        <v>240</v>
      </c>
      <c r="GQ3611" s="5" t="s">
        <v>240</v>
      </c>
      <c r="GR3611" s="5" t="s">
        <v>240</v>
      </c>
      <c r="GS3611" s="5" t="s">
        <v>240</v>
      </c>
      <c r="GT3611" s="5" t="s">
        <v>240</v>
      </c>
      <c r="GU3611" s="5" t="s">
        <v>240</v>
      </c>
      <c r="GV3611" s="5" t="s">
        <v>240</v>
      </c>
      <c r="GW3611" s="5" t="s">
        <v>240</v>
      </c>
      <c r="GX3611" s="5" t="s">
        <v>240</v>
      </c>
      <c r="GY3611" s="5" t="s">
        <v>240</v>
      </c>
      <c r="GZ3611" s="5" t="s">
        <v>240</v>
      </c>
      <c r="HA3611" s="5" t="s">
        <v>240</v>
      </c>
      <c r="HB3611" s="5" t="s">
        <v>240</v>
      </c>
      <c r="HC3611" s="5" t="s">
        <v>240</v>
      </c>
      <c r="HD3611" s="5" t="s">
        <v>240</v>
      </c>
      <c r="HE3611" s="5" t="s">
        <v>240</v>
      </c>
      <c r="HF3611" s="5" t="s">
        <v>240</v>
      </c>
      <c r="HG3611" s="5" t="s">
        <v>240</v>
      </c>
      <c r="HH3611" s="5" t="s">
        <v>240</v>
      </c>
      <c r="HI3611" s="5" t="s">
        <v>240</v>
      </c>
      <c r="HJ3611" s="5" t="s">
        <v>240</v>
      </c>
      <c r="HK3611" s="5" t="s">
        <v>240</v>
      </c>
      <c r="HL3611" s="5" t="s">
        <v>240</v>
      </c>
      <c r="HM3611" s="5" t="s">
        <v>240</v>
      </c>
      <c r="HN3611" s="5" t="s">
        <v>240</v>
      </c>
      <c r="HO3611" s="5" t="s">
        <v>312</v>
      </c>
      <c r="HP3611" s="5" t="s">
        <v>240</v>
      </c>
      <c r="HQ3611" s="5" t="s">
        <v>240</v>
      </c>
      <c r="HR3611" s="5" t="s">
        <v>240</v>
      </c>
      <c r="HS3611" s="5" t="s">
        <v>240</v>
      </c>
      <c r="HT3611" s="5" t="s">
        <v>240</v>
      </c>
      <c r="HU3611" s="5" t="s">
        <v>240</v>
      </c>
      <c r="HV3611" s="5" t="s">
        <v>240</v>
      </c>
      <c r="HW3611" s="5" t="s">
        <v>240</v>
      </c>
      <c r="HX3611" s="5" t="s">
        <v>240</v>
      </c>
      <c r="HY3611" s="5" t="s">
        <v>240</v>
      </c>
      <c r="HZ3611" s="5" t="s">
        <v>240</v>
      </c>
      <c r="IA3611" s="5" t="s">
        <v>240</v>
      </c>
      <c r="IB3611" s="5" t="s">
        <v>240</v>
      </c>
      <c r="IC3611" s="5" t="s">
        <v>240</v>
      </c>
      <c r="ID3611" s="5" t="s">
        <v>240</v>
      </c>
      <c r="IE3611" s="5" t="s">
        <v>240</v>
      </c>
      <c r="IF3611" s="5" t="s">
        <v>240</v>
      </c>
    </row>
    <row r="3612" spans="1:240" x14ac:dyDescent="0.4">
      <c r="A3612" s="5">
        <v>9154</v>
      </c>
      <c r="B3612" s="5">
        <v>1</v>
      </c>
      <c r="C3612" s="5">
        <v>1</v>
      </c>
      <c r="D3612" s="5" t="s">
        <v>723</v>
      </c>
      <c r="E3612" s="5" t="s">
        <v>725</v>
      </c>
      <c r="F3612" s="5" t="s">
        <v>254</v>
      </c>
      <c r="G3612" s="5" t="s">
        <v>726</v>
      </c>
      <c r="H3612" s="6" t="s">
        <v>5728</v>
      </c>
      <c r="I3612" s="5" t="s">
        <v>5727</v>
      </c>
      <c r="J3612" s="7">
        <f>1</f>
        <v>1</v>
      </c>
      <c r="K3612" s="5" t="s">
        <v>3682</v>
      </c>
      <c r="L3612" s="7">
        <f>1</f>
        <v>1</v>
      </c>
      <c r="M3612" s="7">
        <f>1</f>
        <v>1</v>
      </c>
      <c r="N3612" s="5" t="s">
        <v>242</v>
      </c>
      <c r="O3612" s="5">
        <v>1</v>
      </c>
      <c r="P3612" s="5" t="s">
        <v>294</v>
      </c>
      <c r="Q3612" s="5" t="s">
        <v>3678</v>
      </c>
      <c r="R3612" s="5" t="s">
        <v>240</v>
      </c>
      <c r="S3612" s="5" t="s">
        <v>240</v>
      </c>
      <c r="T3612" s="5" t="s">
        <v>243</v>
      </c>
      <c r="U3612" s="5" t="s">
        <v>244</v>
      </c>
      <c r="V3612" s="5" t="s">
        <v>240</v>
      </c>
      <c r="W3612" s="5" t="s">
        <v>240</v>
      </c>
      <c r="X3612" s="5" t="s">
        <v>240</v>
      </c>
      <c r="Y3612" s="5" t="s">
        <v>240</v>
      </c>
      <c r="Z3612" s="6" t="s">
        <v>298</v>
      </c>
      <c r="AA3612" s="6" t="s">
        <v>240</v>
      </c>
      <c r="AB3612" s="6" t="s">
        <v>240</v>
      </c>
      <c r="AC3612" s="5" t="s">
        <v>240</v>
      </c>
      <c r="AD3612" s="6" t="s">
        <v>240</v>
      </c>
      <c r="AE3612" s="6" t="s">
        <v>299</v>
      </c>
      <c r="AF3612" s="5" t="s">
        <v>248</v>
      </c>
      <c r="AG3612" s="5" t="s">
        <v>249</v>
      </c>
      <c r="AH3612" s="5" t="s">
        <v>240</v>
      </c>
      <c r="AI3612" s="5" t="s">
        <v>240</v>
      </c>
      <c r="AJ3612" s="5" t="s">
        <v>240</v>
      </c>
      <c r="AK3612" s="5" t="s">
        <v>240</v>
      </c>
      <c r="AL3612" s="5" t="s">
        <v>240</v>
      </c>
      <c r="AM3612" s="5" t="s">
        <v>240</v>
      </c>
      <c r="AN3612" s="5" t="s">
        <v>240</v>
      </c>
      <c r="AO3612" s="5" t="s">
        <v>240</v>
      </c>
      <c r="AP3612" s="6" t="s">
        <v>240</v>
      </c>
      <c r="AQ3612" s="6" t="s">
        <v>240</v>
      </c>
      <c r="AR3612" s="6" t="s">
        <v>240</v>
      </c>
      <c r="AS3612" s="6" t="s">
        <v>240</v>
      </c>
      <c r="AT3612" s="5" t="s">
        <v>240</v>
      </c>
      <c r="AU3612" s="5" t="s">
        <v>729</v>
      </c>
      <c r="AV3612" s="5" t="s">
        <v>729</v>
      </c>
      <c r="AW3612" s="5" t="s">
        <v>251</v>
      </c>
      <c r="AX3612" s="5" t="s">
        <v>252</v>
      </c>
      <c r="AY3612" s="5" t="s">
        <v>253</v>
      </c>
      <c r="AZ3612" s="5" t="s">
        <v>240</v>
      </c>
      <c r="BA3612" s="5" t="s">
        <v>255</v>
      </c>
      <c r="BB3612" s="5" t="s">
        <v>731</v>
      </c>
      <c r="BD3612" s="5" t="s">
        <v>240</v>
      </c>
      <c r="BF3612" s="5" t="s">
        <v>732</v>
      </c>
      <c r="BG3612" s="6" t="s">
        <v>733</v>
      </c>
      <c r="BH3612" s="5" t="s">
        <v>734</v>
      </c>
      <c r="BI3612" s="5" t="s">
        <v>734</v>
      </c>
      <c r="BJ3612" s="5" t="s">
        <v>240</v>
      </c>
      <c r="BK3612" s="7">
        <f>1</f>
        <v>1</v>
      </c>
      <c r="BL3612" s="7">
        <f>1</f>
        <v>1</v>
      </c>
      <c r="BM3612" s="5" t="s">
        <v>258</v>
      </c>
      <c r="BN3612" s="5" t="s">
        <v>259</v>
      </c>
      <c r="BO3612" s="5" t="s">
        <v>240</v>
      </c>
      <c r="BP3612" s="5" t="s">
        <v>240</v>
      </c>
      <c r="BQ3612" s="5" t="s">
        <v>240</v>
      </c>
      <c r="BR3612" s="5" t="s">
        <v>240</v>
      </c>
      <c r="BS3612" s="5" t="s">
        <v>240</v>
      </c>
      <c r="BT3612" s="5" t="s">
        <v>240</v>
      </c>
      <c r="BU3612" s="5" t="s">
        <v>240</v>
      </c>
      <c r="BV3612" s="5" t="s">
        <v>240</v>
      </c>
      <c r="BW3612" s="6" t="s">
        <v>240</v>
      </c>
      <c r="BX3612" s="5" t="s">
        <v>240</v>
      </c>
      <c r="BY3612" s="5" t="s">
        <v>240</v>
      </c>
      <c r="BZ3612" s="5" t="s">
        <v>240</v>
      </c>
      <c r="CA3612" s="5" t="s">
        <v>259</v>
      </c>
      <c r="CB3612" s="5" t="s">
        <v>240</v>
      </c>
      <c r="CC3612" s="5" t="s">
        <v>240</v>
      </c>
      <c r="CD3612" s="5" t="s">
        <v>240</v>
      </c>
      <c r="CE3612" s="5" t="s">
        <v>240</v>
      </c>
      <c r="CF3612" s="5" t="s">
        <v>240</v>
      </c>
      <c r="CG3612" s="5" t="s">
        <v>304</v>
      </c>
      <c r="CH3612" s="5" t="s">
        <v>305</v>
      </c>
      <c r="CI3612" s="5" t="s">
        <v>240</v>
      </c>
      <c r="CK3612" s="5" t="s">
        <v>3681</v>
      </c>
      <c r="CL3612" s="6" t="s">
        <v>261</v>
      </c>
      <c r="CM3612" s="5" t="s">
        <v>262</v>
      </c>
      <c r="CN3612" s="5" t="s">
        <v>263</v>
      </c>
      <c r="CO3612" s="5" t="s">
        <v>264</v>
      </c>
      <c r="CP3612" s="5" t="s">
        <v>240</v>
      </c>
      <c r="CQ3612" s="5">
        <v>0</v>
      </c>
      <c r="CR3612" s="5" t="s">
        <v>735</v>
      </c>
      <c r="CS3612" s="5" t="s">
        <v>307</v>
      </c>
      <c r="CT3612" s="5" t="s">
        <v>307</v>
      </c>
      <c r="CU3612" s="5" t="s">
        <v>260</v>
      </c>
      <c r="CV3612" s="5" t="s">
        <v>612</v>
      </c>
      <c r="CW3612" s="8">
        <f>1</f>
        <v>1</v>
      </c>
      <c r="CX3612" s="7">
        <f>1</f>
        <v>1</v>
      </c>
      <c r="CY3612" s="7">
        <f>0</f>
        <v>0</v>
      </c>
      <c r="DA3612" s="7">
        <f>1</f>
        <v>1</v>
      </c>
      <c r="DB3612" s="7" t="s">
        <v>240</v>
      </c>
      <c r="DC3612" s="5" t="s">
        <v>240</v>
      </c>
      <c r="DD3612" s="5" t="s">
        <v>240</v>
      </c>
      <c r="DE3612" s="5" t="s">
        <v>240</v>
      </c>
      <c r="DF3612" s="5" t="s">
        <v>240</v>
      </c>
      <c r="DG3612" s="7">
        <f>0</f>
        <v>0</v>
      </c>
      <c r="DI3612" s="5" t="s">
        <v>240</v>
      </c>
      <c r="DJ3612" s="5" t="s">
        <v>240</v>
      </c>
      <c r="DK3612" s="5" t="s">
        <v>240</v>
      </c>
      <c r="DL3612" s="5" t="s">
        <v>240</v>
      </c>
      <c r="DM3612" s="5" t="s">
        <v>240</v>
      </c>
      <c r="DN3612" s="5" t="s">
        <v>240</v>
      </c>
      <c r="DO3612" s="7" t="s">
        <v>240</v>
      </c>
      <c r="DP3612" s="5" t="s">
        <v>240</v>
      </c>
      <c r="DQ3612" s="5" t="s">
        <v>240</v>
      </c>
      <c r="DR3612" s="5" t="s">
        <v>731</v>
      </c>
      <c r="DS3612" s="5" t="s">
        <v>731</v>
      </c>
      <c r="DT3612" s="5" t="s">
        <v>240</v>
      </c>
      <c r="DU3612" s="5" t="s">
        <v>240</v>
      </c>
      <c r="DV3612" s="5" t="s">
        <v>3683</v>
      </c>
      <c r="DW3612" s="5" t="s">
        <v>763</v>
      </c>
      <c r="DX3612" s="5" t="s">
        <v>240</v>
      </c>
      <c r="DY3612" s="5" t="s">
        <v>240</v>
      </c>
      <c r="DZ3612" s="5" t="s">
        <v>240</v>
      </c>
      <c r="EA3612" s="5" t="s">
        <v>240</v>
      </c>
      <c r="EB3612" s="5" t="s">
        <v>240</v>
      </c>
      <c r="EC3612" s="5" t="s">
        <v>240</v>
      </c>
      <c r="ED3612" s="5" t="s">
        <v>240</v>
      </c>
      <c r="EE3612" s="5" t="s">
        <v>240</v>
      </c>
      <c r="EF3612" s="5" t="s">
        <v>240</v>
      </c>
      <c r="EG3612" s="5" t="s">
        <v>240</v>
      </c>
      <c r="EH3612" s="5" t="s">
        <v>240</v>
      </c>
      <c r="EI3612" s="5" t="s">
        <v>240</v>
      </c>
      <c r="EJ3612" s="5" t="s">
        <v>240</v>
      </c>
      <c r="EK3612" s="5" t="s">
        <v>240</v>
      </c>
      <c r="EL3612" s="5" t="s">
        <v>240</v>
      </c>
      <c r="EM3612" s="5" t="s">
        <v>240</v>
      </c>
      <c r="EN3612" s="5" t="s">
        <v>240</v>
      </c>
      <c r="EO3612" s="5" t="s">
        <v>240</v>
      </c>
      <c r="EP3612" s="5" t="s">
        <v>240</v>
      </c>
      <c r="EQ3612" s="5" t="s">
        <v>240</v>
      </c>
      <c r="ER3612" s="5" t="s">
        <v>240</v>
      </c>
      <c r="ES3612" s="5" t="s">
        <v>240</v>
      </c>
      <c r="ET3612" s="5" t="s">
        <v>240</v>
      </c>
      <c r="EU3612" s="5" t="s">
        <v>240</v>
      </c>
      <c r="EV3612" s="5" t="s">
        <v>240</v>
      </c>
      <c r="EW3612" s="5" t="s">
        <v>240</v>
      </c>
      <c r="EX3612" s="5" t="s">
        <v>240</v>
      </c>
      <c r="EY3612" s="5" t="s">
        <v>240</v>
      </c>
      <c r="EZ3612" s="5" t="s">
        <v>240</v>
      </c>
      <c r="FA3612" s="5" t="s">
        <v>240</v>
      </c>
      <c r="FB3612" s="5" t="s">
        <v>240</v>
      </c>
      <c r="FC3612" s="5" t="s">
        <v>240</v>
      </c>
      <c r="FD3612" s="5" t="s">
        <v>240</v>
      </c>
      <c r="FE3612" s="5" t="s">
        <v>240</v>
      </c>
      <c r="FF3612" s="5" t="s">
        <v>240</v>
      </c>
      <c r="FG3612" s="5" t="s">
        <v>240</v>
      </c>
      <c r="FH3612" s="5" t="s">
        <v>240</v>
      </c>
      <c r="FI3612" s="5" t="s">
        <v>240</v>
      </c>
      <c r="FJ3612" s="5" t="s">
        <v>240</v>
      </c>
      <c r="FK3612" s="5" t="s">
        <v>240</v>
      </c>
      <c r="FL3612" s="5" t="s">
        <v>240</v>
      </c>
      <c r="FM3612" s="5" t="s">
        <v>240</v>
      </c>
      <c r="FN3612" s="5" t="s">
        <v>240</v>
      </c>
      <c r="FO3612" s="5" t="s">
        <v>240</v>
      </c>
      <c r="FP3612" s="5" t="s">
        <v>240</v>
      </c>
      <c r="FQ3612" s="5" t="s">
        <v>240</v>
      </c>
      <c r="FR3612" s="5" t="s">
        <v>240</v>
      </c>
      <c r="FS3612" s="5" t="s">
        <v>240</v>
      </c>
      <c r="FT3612" s="5" t="s">
        <v>240</v>
      </c>
      <c r="FU3612" s="5" t="s">
        <v>240</v>
      </c>
      <c r="FV3612" s="5" t="s">
        <v>240</v>
      </c>
      <c r="FW3612" s="5" t="s">
        <v>240</v>
      </c>
      <c r="FX3612" s="5" t="s">
        <v>240</v>
      </c>
      <c r="FY3612" s="5" t="s">
        <v>240</v>
      </c>
      <c r="FZ3612" s="5" t="s">
        <v>240</v>
      </c>
      <c r="GA3612" s="5" t="s">
        <v>240</v>
      </c>
      <c r="GB3612" s="5" t="s">
        <v>240</v>
      </c>
      <c r="GC3612" s="5" t="s">
        <v>240</v>
      </c>
      <c r="GD3612" s="5" t="s">
        <v>240</v>
      </c>
      <c r="GE3612" s="5" t="s">
        <v>240</v>
      </c>
      <c r="GF3612" s="5" t="s">
        <v>240</v>
      </c>
      <c r="GG3612" s="5" t="s">
        <v>240</v>
      </c>
      <c r="GH3612" s="5" t="s">
        <v>240</v>
      </c>
      <c r="GI3612" s="5" t="s">
        <v>240</v>
      </c>
      <c r="GJ3612" s="5" t="s">
        <v>240</v>
      </c>
      <c r="GK3612" s="5" t="s">
        <v>240</v>
      </c>
      <c r="GL3612" s="5" t="s">
        <v>240</v>
      </c>
      <c r="GM3612" s="5" t="s">
        <v>240</v>
      </c>
      <c r="GN3612" s="5" t="s">
        <v>240</v>
      </c>
      <c r="GO3612" s="5" t="s">
        <v>240</v>
      </c>
      <c r="GP3612" s="5" t="s">
        <v>240</v>
      </c>
      <c r="GQ3612" s="5" t="s">
        <v>240</v>
      </c>
      <c r="GR3612" s="5" t="s">
        <v>240</v>
      </c>
      <c r="GS3612" s="5" t="s">
        <v>240</v>
      </c>
      <c r="GT3612" s="5" t="s">
        <v>240</v>
      </c>
      <c r="GU3612" s="5" t="s">
        <v>240</v>
      </c>
      <c r="GV3612" s="5" t="s">
        <v>240</v>
      </c>
      <c r="GW3612" s="5" t="s">
        <v>240</v>
      </c>
      <c r="GX3612" s="5" t="s">
        <v>240</v>
      </c>
      <c r="GY3612" s="5" t="s">
        <v>240</v>
      </c>
      <c r="GZ3612" s="5" t="s">
        <v>240</v>
      </c>
      <c r="HA3612" s="5" t="s">
        <v>240</v>
      </c>
      <c r="HB3612" s="5" t="s">
        <v>240</v>
      </c>
      <c r="HC3612" s="5" t="s">
        <v>240</v>
      </c>
      <c r="HD3612" s="5" t="s">
        <v>240</v>
      </c>
      <c r="HE3612" s="5" t="s">
        <v>240</v>
      </c>
      <c r="HF3612" s="5" t="s">
        <v>240</v>
      </c>
      <c r="HG3612" s="5" t="s">
        <v>240</v>
      </c>
      <c r="HH3612" s="5" t="s">
        <v>240</v>
      </c>
      <c r="HI3612" s="5" t="s">
        <v>240</v>
      </c>
      <c r="HJ3612" s="5" t="s">
        <v>240</v>
      </c>
      <c r="HK3612" s="5" t="s">
        <v>240</v>
      </c>
      <c r="HL3612" s="5" t="s">
        <v>240</v>
      </c>
      <c r="HM3612" s="5" t="s">
        <v>240</v>
      </c>
      <c r="HN3612" s="5" t="s">
        <v>240</v>
      </c>
      <c r="HO3612" s="5" t="s">
        <v>312</v>
      </c>
      <c r="HP3612" s="5" t="s">
        <v>240</v>
      </c>
      <c r="HQ3612" s="5" t="s">
        <v>240</v>
      </c>
      <c r="HR3612" s="5" t="s">
        <v>240</v>
      </c>
      <c r="HS3612" s="5" t="s">
        <v>240</v>
      </c>
      <c r="HT3612" s="5" t="s">
        <v>240</v>
      </c>
      <c r="HU3612" s="5" t="s">
        <v>240</v>
      </c>
      <c r="HV3612" s="5" t="s">
        <v>240</v>
      </c>
      <c r="HW3612" s="5" t="s">
        <v>240</v>
      </c>
      <c r="HX3612" s="5" t="s">
        <v>240</v>
      </c>
      <c r="HY3612" s="5" t="s">
        <v>240</v>
      </c>
      <c r="HZ3612" s="5" t="s">
        <v>240</v>
      </c>
      <c r="IA3612" s="5" t="s">
        <v>240</v>
      </c>
      <c r="IB3612" s="5" t="s">
        <v>240</v>
      </c>
      <c r="IC3612" s="5" t="s">
        <v>240</v>
      </c>
      <c r="ID3612" s="5" t="s">
        <v>240</v>
      </c>
      <c r="IE3612" s="5" t="s">
        <v>240</v>
      </c>
      <c r="IF3612" s="5" t="s">
        <v>240</v>
      </c>
    </row>
    <row r="3613" spans="1:240" x14ac:dyDescent="0.4">
      <c r="A3613" s="5">
        <v>9155</v>
      </c>
      <c r="B3613" s="5">
        <v>1</v>
      </c>
      <c r="C3613" s="5">
        <v>1</v>
      </c>
      <c r="D3613" s="5" t="s">
        <v>723</v>
      </c>
      <c r="E3613" s="5" t="s">
        <v>725</v>
      </c>
      <c r="F3613" s="5" t="s">
        <v>254</v>
      </c>
      <c r="G3613" s="5" t="s">
        <v>726</v>
      </c>
      <c r="H3613" s="6" t="s">
        <v>5726</v>
      </c>
      <c r="I3613" s="5" t="s">
        <v>5725</v>
      </c>
      <c r="J3613" s="7">
        <f>1</f>
        <v>1</v>
      </c>
      <c r="K3613" s="5" t="s">
        <v>3682</v>
      </c>
      <c r="L3613" s="7">
        <f>1</f>
        <v>1</v>
      </c>
      <c r="M3613" s="7">
        <f>1</f>
        <v>1</v>
      </c>
      <c r="N3613" s="5" t="s">
        <v>242</v>
      </c>
      <c r="O3613" s="5">
        <v>1</v>
      </c>
      <c r="P3613" s="5" t="s">
        <v>294</v>
      </c>
      <c r="Q3613" s="5" t="s">
        <v>613</v>
      </c>
      <c r="R3613" s="5" t="s">
        <v>240</v>
      </c>
      <c r="S3613" s="5" t="s">
        <v>240</v>
      </c>
      <c r="T3613" s="5" t="s">
        <v>243</v>
      </c>
      <c r="U3613" s="5" t="s">
        <v>724</v>
      </c>
      <c r="V3613" s="5" t="s">
        <v>240</v>
      </c>
      <c r="W3613" s="5" t="s">
        <v>240</v>
      </c>
      <c r="X3613" s="5" t="s">
        <v>240</v>
      </c>
      <c r="Y3613" s="5" t="s">
        <v>240</v>
      </c>
      <c r="Z3613" s="6" t="s">
        <v>298</v>
      </c>
      <c r="AA3613" s="6" t="s">
        <v>240</v>
      </c>
      <c r="AB3613" s="6" t="s">
        <v>240</v>
      </c>
      <c r="AC3613" s="5" t="s">
        <v>240</v>
      </c>
      <c r="AD3613" s="6" t="s">
        <v>240</v>
      </c>
      <c r="AE3613" s="6" t="s">
        <v>299</v>
      </c>
      <c r="AF3613" s="5" t="s">
        <v>727</v>
      </c>
      <c r="AG3613" s="5" t="s">
        <v>260</v>
      </c>
      <c r="AH3613" s="5" t="s">
        <v>240</v>
      </c>
      <c r="AI3613" s="5" t="s">
        <v>240</v>
      </c>
      <c r="AJ3613" s="5" t="s">
        <v>240</v>
      </c>
      <c r="AK3613" s="5" t="s">
        <v>240</v>
      </c>
      <c r="AL3613" s="5" t="s">
        <v>240</v>
      </c>
      <c r="AM3613" s="5" t="s">
        <v>240</v>
      </c>
      <c r="AN3613" s="5" t="s">
        <v>240</v>
      </c>
      <c r="AO3613" s="5" t="s">
        <v>240</v>
      </c>
      <c r="AP3613" s="6" t="s">
        <v>240</v>
      </c>
      <c r="AQ3613" s="6" t="s">
        <v>240</v>
      </c>
      <c r="AR3613" s="6" t="s">
        <v>240</v>
      </c>
      <c r="AS3613" s="6" t="s">
        <v>240</v>
      </c>
      <c r="AT3613" s="5" t="s">
        <v>240</v>
      </c>
      <c r="AU3613" s="5" t="s">
        <v>729</v>
      </c>
      <c r="AV3613" s="5" t="s">
        <v>729</v>
      </c>
      <c r="AW3613" s="5" t="s">
        <v>251</v>
      </c>
      <c r="AX3613" s="5" t="s">
        <v>252</v>
      </c>
      <c r="AY3613" s="5" t="s">
        <v>253</v>
      </c>
      <c r="AZ3613" s="5" t="s">
        <v>240</v>
      </c>
      <c r="BA3613" s="5" t="s">
        <v>255</v>
      </c>
      <c r="BB3613" s="5" t="s">
        <v>731</v>
      </c>
      <c r="BD3613" s="5" t="s">
        <v>240</v>
      </c>
      <c r="BF3613" s="5" t="s">
        <v>732</v>
      </c>
      <c r="BG3613" s="6" t="s">
        <v>733</v>
      </c>
      <c r="BH3613" s="5" t="s">
        <v>734</v>
      </c>
      <c r="BI3613" s="5" t="s">
        <v>734</v>
      </c>
      <c r="BJ3613" s="5" t="s">
        <v>240</v>
      </c>
      <c r="BK3613" s="8">
        <f>382</f>
        <v>382</v>
      </c>
      <c r="BL3613" s="7">
        <f>0</f>
        <v>0</v>
      </c>
      <c r="BM3613" s="5" t="s">
        <v>258</v>
      </c>
      <c r="BN3613" s="5" t="s">
        <v>259</v>
      </c>
      <c r="BO3613" s="5" t="s">
        <v>240</v>
      </c>
      <c r="BP3613" s="5" t="s">
        <v>240</v>
      </c>
      <c r="BQ3613" s="5" t="s">
        <v>240</v>
      </c>
      <c r="BR3613" s="5" t="s">
        <v>240</v>
      </c>
      <c r="BS3613" s="5" t="s">
        <v>240</v>
      </c>
      <c r="BT3613" s="5" t="s">
        <v>240</v>
      </c>
      <c r="BU3613" s="5" t="s">
        <v>240</v>
      </c>
      <c r="BV3613" s="5" t="s">
        <v>240</v>
      </c>
      <c r="BW3613" s="6" t="s">
        <v>240</v>
      </c>
      <c r="BX3613" s="5" t="s">
        <v>240</v>
      </c>
      <c r="BY3613" s="5" t="s">
        <v>240</v>
      </c>
      <c r="BZ3613" s="5" t="s">
        <v>240</v>
      </c>
      <c r="CA3613" s="5" t="s">
        <v>259</v>
      </c>
      <c r="CB3613" s="5" t="s">
        <v>240</v>
      </c>
      <c r="CC3613" s="5" t="s">
        <v>240</v>
      </c>
      <c r="CD3613" s="5" t="s">
        <v>240</v>
      </c>
      <c r="CE3613" s="5" t="s">
        <v>240</v>
      </c>
      <c r="CF3613" s="5" t="s">
        <v>240</v>
      </c>
      <c r="CG3613" s="5" t="s">
        <v>617</v>
      </c>
      <c r="CH3613" s="5" t="s">
        <v>305</v>
      </c>
      <c r="CI3613" s="5" t="s">
        <v>240</v>
      </c>
      <c r="CL3613" s="6" t="s">
        <v>261</v>
      </c>
      <c r="CM3613" s="5" t="s">
        <v>262</v>
      </c>
      <c r="CN3613" s="5" t="s">
        <v>263</v>
      </c>
      <c r="CO3613" s="5" t="s">
        <v>264</v>
      </c>
      <c r="CP3613" s="5" t="s">
        <v>240</v>
      </c>
      <c r="CQ3613" s="5">
        <v>0</v>
      </c>
      <c r="CR3613" s="5" t="s">
        <v>735</v>
      </c>
      <c r="CS3613" s="5" t="s">
        <v>307</v>
      </c>
      <c r="CT3613" s="5" t="s">
        <v>307</v>
      </c>
      <c r="CU3613" s="5" t="s">
        <v>260</v>
      </c>
      <c r="CV3613" s="5" t="s">
        <v>240</v>
      </c>
      <c r="CW3613" s="8">
        <f>0</f>
        <v>0</v>
      </c>
      <c r="CX3613" s="7">
        <f>0</f>
        <v>0</v>
      </c>
      <c r="CY3613" s="7">
        <f>0</f>
        <v>0</v>
      </c>
      <c r="DA3613" s="7">
        <f>4202</f>
        <v>4202</v>
      </c>
      <c r="DB3613" s="7" t="s">
        <v>240</v>
      </c>
      <c r="DC3613" s="5" t="s">
        <v>240</v>
      </c>
      <c r="DD3613" s="5" t="s">
        <v>240</v>
      </c>
      <c r="DE3613" s="5" t="s">
        <v>240</v>
      </c>
      <c r="DF3613" s="5" t="s">
        <v>450</v>
      </c>
      <c r="DG3613" s="7">
        <f>0</f>
        <v>0</v>
      </c>
      <c r="DI3613" s="5" t="s">
        <v>737</v>
      </c>
      <c r="DJ3613" s="5" t="s">
        <v>240</v>
      </c>
      <c r="DK3613" s="5" t="s">
        <v>240</v>
      </c>
      <c r="DL3613" s="5" t="s">
        <v>240</v>
      </c>
      <c r="DM3613" s="5" t="s">
        <v>240</v>
      </c>
      <c r="DN3613" s="5" t="s">
        <v>240</v>
      </c>
      <c r="DO3613" s="7" t="s">
        <v>240</v>
      </c>
      <c r="DP3613" s="5" t="s">
        <v>240</v>
      </c>
      <c r="DQ3613" s="5" t="s">
        <v>240</v>
      </c>
      <c r="DR3613" s="5" t="s">
        <v>731</v>
      </c>
      <c r="DS3613" s="5" t="s">
        <v>731</v>
      </c>
      <c r="DT3613" s="5" t="s">
        <v>240</v>
      </c>
      <c r="DU3613" s="5" t="s">
        <v>240</v>
      </c>
      <c r="DV3613" s="5" t="s">
        <v>738</v>
      </c>
      <c r="DW3613" s="5" t="s">
        <v>633</v>
      </c>
      <c r="DX3613" s="5" t="s">
        <v>240</v>
      </c>
      <c r="DY3613" s="5" t="s">
        <v>240</v>
      </c>
      <c r="DZ3613" s="5" t="s">
        <v>240</v>
      </c>
      <c r="EA3613" s="5" t="s">
        <v>240</v>
      </c>
      <c r="EB3613" s="5" t="s">
        <v>240</v>
      </c>
      <c r="EC3613" s="5" t="s">
        <v>240</v>
      </c>
      <c r="ED3613" s="5" t="s">
        <v>240</v>
      </c>
      <c r="EE3613" s="5" t="s">
        <v>240</v>
      </c>
      <c r="EF3613" s="5" t="s">
        <v>240</v>
      </c>
      <c r="EG3613" s="5" t="s">
        <v>240</v>
      </c>
      <c r="EH3613" s="5" t="s">
        <v>240</v>
      </c>
      <c r="EI3613" s="5" t="s">
        <v>240</v>
      </c>
      <c r="EJ3613" s="5" t="s">
        <v>240</v>
      </c>
      <c r="EK3613" s="5" t="s">
        <v>240</v>
      </c>
      <c r="EL3613" s="5" t="s">
        <v>240</v>
      </c>
      <c r="EM3613" s="5" t="s">
        <v>240</v>
      </c>
      <c r="EN3613" s="5" t="s">
        <v>240</v>
      </c>
      <c r="EO3613" s="5" t="s">
        <v>240</v>
      </c>
      <c r="EP3613" s="5" t="s">
        <v>240</v>
      </c>
      <c r="EQ3613" s="5" t="s">
        <v>240</v>
      </c>
      <c r="ER3613" s="5" t="s">
        <v>240</v>
      </c>
      <c r="ES3613" s="5" t="s">
        <v>240</v>
      </c>
      <c r="ET3613" s="5" t="s">
        <v>240</v>
      </c>
      <c r="EU3613" s="5" t="s">
        <v>240</v>
      </c>
      <c r="EV3613" s="5" t="s">
        <v>240</v>
      </c>
      <c r="EW3613" s="5" t="s">
        <v>240</v>
      </c>
      <c r="EX3613" s="5" t="s">
        <v>240</v>
      </c>
      <c r="EY3613" s="5" t="s">
        <v>240</v>
      </c>
      <c r="EZ3613" s="5" t="s">
        <v>240</v>
      </c>
      <c r="FA3613" s="5" t="s">
        <v>240</v>
      </c>
      <c r="FB3613" s="5" t="s">
        <v>240</v>
      </c>
      <c r="FC3613" s="5" t="s">
        <v>240</v>
      </c>
      <c r="FD3613" s="5" t="s">
        <v>240</v>
      </c>
      <c r="FE3613" s="5" t="s">
        <v>240</v>
      </c>
      <c r="FF3613" s="5" t="s">
        <v>240</v>
      </c>
      <c r="FG3613" s="5" t="s">
        <v>240</v>
      </c>
      <c r="FH3613" s="5" t="s">
        <v>240</v>
      </c>
      <c r="FI3613" s="5" t="s">
        <v>240</v>
      </c>
      <c r="FJ3613" s="5" t="s">
        <v>240</v>
      </c>
      <c r="FK3613" s="5" t="s">
        <v>240</v>
      </c>
      <c r="FL3613" s="5" t="s">
        <v>240</v>
      </c>
      <c r="FM3613" s="5" t="s">
        <v>240</v>
      </c>
      <c r="FN3613" s="5" t="s">
        <v>240</v>
      </c>
      <c r="FO3613" s="5" t="s">
        <v>240</v>
      </c>
      <c r="FP3613" s="5" t="s">
        <v>240</v>
      </c>
      <c r="FQ3613" s="5" t="s">
        <v>240</v>
      </c>
      <c r="FR3613" s="5" t="s">
        <v>240</v>
      </c>
      <c r="FS3613" s="5" t="s">
        <v>240</v>
      </c>
      <c r="FT3613" s="5" t="s">
        <v>240</v>
      </c>
      <c r="FU3613" s="5" t="s">
        <v>240</v>
      </c>
      <c r="FV3613" s="5" t="s">
        <v>240</v>
      </c>
      <c r="FW3613" s="5" t="s">
        <v>240</v>
      </c>
      <c r="FX3613" s="5" t="s">
        <v>240</v>
      </c>
      <c r="FY3613" s="5" t="s">
        <v>240</v>
      </c>
      <c r="FZ3613" s="5" t="s">
        <v>240</v>
      </c>
      <c r="GA3613" s="5" t="s">
        <v>240</v>
      </c>
      <c r="GB3613" s="5" t="s">
        <v>240</v>
      </c>
      <c r="GC3613" s="5" t="s">
        <v>240</v>
      </c>
      <c r="GD3613" s="5" t="s">
        <v>240</v>
      </c>
      <c r="GE3613" s="5" t="s">
        <v>240</v>
      </c>
      <c r="GF3613" s="5" t="s">
        <v>240</v>
      </c>
      <c r="GG3613" s="5" t="s">
        <v>240</v>
      </c>
      <c r="GH3613" s="5" t="s">
        <v>240</v>
      </c>
      <c r="GI3613" s="5" t="s">
        <v>240</v>
      </c>
      <c r="GJ3613" s="5" t="s">
        <v>240</v>
      </c>
      <c r="GK3613" s="5" t="s">
        <v>240</v>
      </c>
      <c r="GL3613" s="5" t="s">
        <v>240</v>
      </c>
      <c r="GM3613" s="5" t="s">
        <v>240</v>
      </c>
      <c r="GN3613" s="5" t="s">
        <v>240</v>
      </c>
      <c r="GO3613" s="5" t="s">
        <v>240</v>
      </c>
      <c r="GP3613" s="5" t="s">
        <v>240</v>
      </c>
      <c r="GQ3613" s="5" t="s">
        <v>240</v>
      </c>
      <c r="GR3613" s="5" t="s">
        <v>240</v>
      </c>
      <c r="GS3613" s="5" t="s">
        <v>240</v>
      </c>
      <c r="GT3613" s="5" t="s">
        <v>240</v>
      </c>
      <c r="GU3613" s="5" t="s">
        <v>240</v>
      </c>
      <c r="GV3613" s="5" t="s">
        <v>240</v>
      </c>
      <c r="GW3613" s="5" t="s">
        <v>240</v>
      </c>
      <c r="GX3613" s="5" t="s">
        <v>240</v>
      </c>
      <c r="GY3613" s="5" t="s">
        <v>240</v>
      </c>
      <c r="GZ3613" s="5" t="s">
        <v>240</v>
      </c>
      <c r="HA3613" s="5" t="s">
        <v>240</v>
      </c>
      <c r="HB3613" s="5" t="s">
        <v>240</v>
      </c>
      <c r="HC3613" s="5" t="s">
        <v>240</v>
      </c>
      <c r="HD3613" s="5" t="s">
        <v>240</v>
      </c>
      <c r="HE3613" s="5" t="s">
        <v>240</v>
      </c>
      <c r="HF3613" s="5" t="s">
        <v>240</v>
      </c>
      <c r="HG3613" s="5" t="s">
        <v>240</v>
      </c>
      <c r="HH3613" s="5" t="s">
        <v>240</v>
      </c>
      <c r="HI3613" s="5" t="s">
        <v>240</v>
      </c>
      <c r="HJ3613" s="5" t="s">
        <v>240</v>
      </c>
      <c r="HK3613" s="5" t="s">
        <v>240</v>
      </c>
      <c r="HL3613" s="5" t="s">
        <v>240</v>
      </c>
      <c r="HM3613" s="5" t="s">
        <v>240</v>
      </c>
      <c r="HN3613" s="5" t="s">
        <v>240</v>
      </c>
      <c r="HO3613" s="5" t="s">
        <v>620</v>
      </c>
      <c r="HP3613" s="5" t="s">
        <v>240</v>
      </c>
      <c r="HQ3613" s="5" t="s">
        <v>240</v>
      </c>
      <c r="HR3613" s="5" t="s">
        <v>240</v>
      </c>
      <c r="HS3613" s="5" t="s">
        <v>240</v>
      </c>
      <c r="HT3613" s="5" t="s">
        <v>240</v>
      </c>
      <c r="HU3613" s="5" t="s">
        <v>240</v>
      </c>
      <c r="HV3613" s="5" t="s">
        <v>240</v>
      </c>
      <c r="HW3613" s="5" t="s">
        <v>240</v>
      </c>
      <c r="HX3613" s="5" t="s">
        <v>240</v>
      </c>
      <c r="HY3613" s="5" t="s">
        <v>240</v>
      </c>
      <c r="HZ3613" s="5" t="s">
        <v>240</v>
      </c>
      <c r="IA3613" s="5" t="s">
        <v>240</v>
      </c>
      <c r="IB3613" s="5" t="s">
        <v>240</v>
      </c>
      <c r="IC3613" s="5" t="s">
        <v>240</v>
      </c>
      <c r="ID3613" s="5" t="s">
        <v>240</v>
      </c>
      <c r="IE3613" s="5" t="s">
        <v>240</v>
      </c>
      <c r="IF3613" s="5" t="s">
        <v>240</v>
      </c>
    </row>
    <row r="3614" spans="1:240" x14ac:dyDescent="0.4">
      <c r="A3614" s="5">
        <v>9156</v>
      </c>
      <c r="B3614" s="5">
        <v>1</v>
      </c>
      <c r="C3614" s="5">
        <v>1</v>
      </c>
      <c r="D3614" s="5" t="s">
        <v>723</v>
      </c>
      <c r="E3614" s="5" t="s">
        <v>725</v>
      </c>
      <c r="F3614" s="5" t="s">
        <v>254</v>
      </c>
      <c r="G3614" s="5" t="s">
        <v>5723</v>
      </c>
      <c r="H3614" s="6" t="s">
        <v>5724</v>
      </c>
      <c r="I3614" s="5" t="s">
        <v>5722</v>
      </c>
      <c r="J3614" s="7">
        <f>1</f>
        <v>1</v>
      </c>
      <c r="K3614" s="5" t="s">
        <v>3682</v>
      </c>
      <c r="L3614" s="7">
        <f>1</f>
        <v>1</v>
      </c>
      <c r="M3614" s="7">
        <f>1</f>
        <v>1</v>
      </c>
      <c r="N3614" s="5" t="s">
        <v>242</v>
      </c>
      <c r="O3614" s="5">
        <v>1</v>
      </c>
      <c r="P3614" s="5" t="s">
        <v>294</v>
      </c>
      <c r="Q3614" s="5" t="s">
        <v>3678</v>
      </c>
      <c r="R3614" s="5" t="s">
        <v>240</v>
      </c>
      <c r="S3614" s="5" t="s">
        <v>240</v>
      </c>
      <c r="T3614" s="5" t="s">
        <v>243</v>
      </c>
      <c r="U3614" s="5" t="s">
        <v>244</v>
      </c>
      <c r="V3614" s="5" t="s">
        <v>240</v>
      </c>
      <c r="W3614" s="5" t="s">
        <v>240</v>
      </c>
      <c r="X3614" s="5" t="s">
        <v>240</v>
      </c>
      <c r="Y3614" s="5" t="s">
        <v>240</v>
      </c>
      <c r="Z3614" s="6" t="s">
        <v>298</v>
      </c>
      <c r="AA3614" s="6" t="s">
        <v>240</v>
      </c>
      <c r="AB3614" s="6" t="s">
        <v>240</v>
      </c>
      <c r="AC3614" s="5" t="s">
        <v>240</v>
      </c>
      <c r="AD3614" s="6" t="s">
        <v>240</v>
      </c>
      <c r="AE3614" s="6" t="s">
        <v>299</v>
      </c>
      <c r="AF3614" s="5" t="s">
        <v>248</v>
      </c>
      <c r="AG3614" s="5" t="s">
        <v>249</v>
      </c>
      <c r="AH3614" s="5" t="s">
        <v>240</v>
      </c>
      <c r="AI3614" s="5" t="s">
        <v>240</v>
      </c>
      <c r="AJ3614" s="5" t="s">
        <v>240</v>
      </c>
      <c r="AK3614" s="5" t="s">
        <v>240</v>
      </c>
      <c r="AL3614" s="5" t="s">
        <v>240</v>
      </c>
      <c r="AM3614" s="5" t="s">
        <v>240</v>
      </c>
      <c r="AN3614" s="5" t="s">
        <v>240</v>
      </c>
      <c r="AO3614" s="5" t="s">
        <v>240</v>
      </c>
      <c r="AP3614" s="6" t="s">
        <v>240</v>
      </c>
      <c r="AQ3614" s="6" t="s">
        <v>240</v>
      </c>
      <c r="AR3614" s="6" t="s">
        <v>240</v>
      </c>
      <c r="AS3614" s="6" t="s">
        <v>240</v>
      </c>
      <c r="AT3614" s="5" t="s">
        <v>240</v>
      </c>
      <c r="AU3614" s="5" t="s">
        <v>729</v>
      </c>
      <c r="AV3614" s="5" t="s">
        <v>729</v>
      </c>
      <c r="AW3614" s="5" t="s">
        <v>251</v>
      </c>
      <c r="AX3614" s="5" t="s">
        <v>252</v>
      </c>
      <c r="AY3614" s="5" t="s">
        <v>253</v>
      </c>
      <c r="AZ3614" s="5" t="s">
        <v>240</v>
      </c>
      <c r="BA3614" s="5" t="s">
        <v>255</v>
      </c>
      <c r="BB3614" s="5" t="s">
        <v>731</v>
      </c>
      <c r="BD3614" s="5" t="s">
        <v>240</v>
      </c>
      <c r="BF3614" s="5" t="s">
        <v>732</v>
      </c>
      <c r="BG3614" s="6" t="s">
        <v>733</v>
      </c>
      <c r="BH3614" s="5" t="s">
        <v>734</v>
      </c>
      <c r="BI3614" s="5" t="s">
        <v>734</v>
      </c>
      <c r="BJ3614" s="5" t="s">
        <v>240</v>
      </c>
      <c r="BK3614" s="7">
        <f>1</f>
        <v>1</v>
      </c>
      <c r="BL3614" s="7">
        <f>1</f>
        <v>1</v>
      </c>
      <c r="BM3614" s="5" t="s">
        <v>258</v>
      </c>
      <c r="BN3614" s="5" t="s">
        <v>259</v>
      </c>
      <c r="BO3614" s="5" t="s">
        <v>240</v>
      </c>
      <c r="BP3614" s="5" t="s">
        <v>240</v>
      </c>
      <c r="BQ3614" s="5" t="s">
        <v>240</v>
      </c>
      <c r="BR3614" s="5" t="s">
        <v>240</v>
      </c>
      <c r="BS3614" s="5" t="s">
        <v>240</v>
      </c>
      <c r="BT3614" s="5" t="s">
        <v>240</v>
      </c>
      <c r="BU3614" s="5" t="s">
        <v>240</v>
      </c>
      <c r="BV3614" s="5" t="s">
        <v>240</v>
      </c>
      <c r="BW3614" s="6" t="s">
        <v>240</v>
      </c>
      <c r="BX3614" s="5" t="s">
        <v>240</v>
      </c>
      <c r="BY3614" s="5" t="s">
        <v>240</v>
      </c>
      <c r="BZ3614" s="5" t="s">
        <v>240</v>
      </c>
      <c r="CA3614" s="5" t="s">
        <v>259</v>
      </c>
      <c r="CB3614" s="5" t="s">
        <v>240</v>
      </c>
      <c r="CC3614" s="5" t="s">
        <v>240</v>
      </c>
      <c r="CD3614" s="5" t="s">
        <v>240</v>
      </c>
      <c r="CE3614" s="5" t="s">
        <v>240</v>
      </c>
      <c r="CF3614" s="5" t="s">
        <v>240</v>
      </c>
      <c r="CG3614" s="5" t="s">
        <v>304</v>
      </c>
      <c r="CH3614" s="5" t="s">
        <v>305</v>
      </c>
      <c r="CI3614" s="5" t="s">
        <v>240</v>
      </c>
      <c r="CK3614" s="5" t="s">
        <v>3681</v>
      </c>
      <c r="CL3614" s="6" t="s">
        <v>261</v>
      </c>
      <c r="CM3614" s="5" t="s">
        <v>262</v>
      </c>
      <c r="CN3614" s="5" t="s">
        <v>263</v>
      </c>
      <c r="CO3614" s="5" t="s">
        <v>264</v>
      </c>
      <c r="CP3614" s="5" t="s">
        <v>240</v>
      </c>
      <c r="CQ3614" s="5">
        <v>0</v>
      </c>
      <c r="CR3614" s="5" t="s">
        <v>735</v>
      </c>
      <c r="CS3614" s="5" t="s">
        <v>307</v>
      </c>
      <c r="CT3614" s="5" t="s">
        <v>307</v>
      </c>
      <c r="CU3614" s="5" t="s">
        <v>260</v>
      </c>
      <c r="CV3614" s="5" t="s">
        <v>612</v>
      </c>
      <c r="CW3614" s="8">
        <f>1</f>
        <v>1</v>
      </c>
      <c r="CX3614" s="7">
        <f>1</f>
        <v>1</v>
      </c>
      <c r="CY3614" s="7">
        <f>0</f>
        <v>0</v>
      </c>
      <c r="DA3614" s="7">
        <f>1</f>
        <v>1</v>
      </c>
      <c r="DB3614" s="7" t="s">
        <v>240</v>
      </c>
      <c r="DC3614" s="5" t="s">
        <v>240</v>
      </c>
      <c r="DD3614" s="5" t="s">
        <v>240</v>
      </c>
      <c r="DE3614" s="5" t="s">
        <v>240</v>
      </c>
      <c r="DF3614" s="5" t="s">
        <v>240</v>
      </c>
      <c r="DG3614" s="7">
        <f>0</f>
        <v>0</v>
      </c>
      <c r="DI3614" s="5" t="s">
        <v>240</v>
      </c>
      <c r="DJ3614" s="5" t="s">
        <v>240</v>
      </c>
      <c r="DK3614" s="5" t="s">
        <v>240</v>
      </c>
      <c r="DL3614" s="5" t="s">
        <v>240</v>
      </c>
      <c r="DM3614" s="5" t="s">
        <v>240</v>
      </c>
      <c r="DN3614" s="5" t="s">
        <v>240</v>
      </c>
      <c r="DO3614" s="7" t="s">
        <v>240</v>
      </c>
      <c r="DP3614" s="5" t="s">
        <v>240</v>
      </c>
      <c r="DQ3614" s="5" t="s">
        <v>240</v>
      </c>
      <c r="DR3614" s="5" t="s">
        <v>731</v>
      </c>
      <c r="DS3614" s="5" t="s">
        <v>731</v>
      </c>
      <c r="DT3614" s="5" t="s">
        <v>240</v>
      </c>
      <c r="DU3614" s="5" t="s">
        <v>240</v>
      </c>
      <c r="DV3614" s="5" t="s">
        <v>3683</v>
      </c>
      <c r="DW3614" s="5" t="s">
        <v>1070</v>
      </c>
      <c r="DX3614" s="5" t="s">
        <v>240</v>
      </c>
      <c r="DY3614" s="5" t="s">
        <v>240</v>
      </c>
      <c r="DZ3614" s="5" t="s">
        <v>240</v>
      </c>
      <c r="EA3614" s="5" t="s">
        <v>240</v>
      </c>
      <c r="EB3614" s="5" t="s">
        <v>240</v>
      </c>
      <c r="EC3614" s="5" t="s">
        <v>240</v>
      </c>
      <c r="ED3614" s="5" t="s">
        <v>240</v>
      </c>
      <c r="EE3614" s="5" t="s">
        <v>240</v>
      </c>
      <c r="EF3614" s="5" t="s">
        <v>240</v>
      </c>
      <c r="EG3614" s="5" t="s">
        <v>240</v>
      </c>
      <c r="EH3614" s="5" t="s">
        <v>240</v>
      </c>
      <c r="EI3614" s="5" t="s">
        <v>240</v>
      </c>
      <c r="EJ3614" s="5" t="s">
        <v>240</v>
      </c>
      <c r="EK3614" s="5" t="s">
        <v>240</v>
      </c>
      <c r="EL3614" s="5" t="s">
        <v>240</v>
      </c>
      <c r="EM3614" s="5" t="s">
        <v>240</v>
      </c>
      <c r="EN3614" s="5" t="s">
        <v>240</v>
      </c>
      <c r="EO3614" s="5" t="s">
        <v>240</v>
      </c>
      <c r="EP3614" s="5" t="s">
        <v>240</v>
      </c>
      <c r="EQ3614" s="5" t="s">
        <v>240</v>
      </c>
      <c r="ER3614" s="5" t="s">
        <v>240</v>
      </c>
      <c r="ES3614" s="5" t="s">
        <v>240</v>
      </c>
      <c r="ET3614" s="5" t="s">
        <v>240</v>
      </c>
      <c r="EU3614" s="5" t="s">
        <v>240</v>
      </c>
      <c r="EV3614" s="5" t="s">
        <v>240</v>
      </c>
      <c r="EW3614" s="5" t="s">
        <v>240</v>
      </c>
      <c r="EX3614" s="5" t="s">
        <v>240</v>
      </c>
      <c r="EY3614" s="5" t="s">
        <v>240</v>
      </c>
      <c r="EZ3614" s="5" t="s">
        <v>240</v>
      </c>
      <c r="FA3614" s="5" t="s">
        <v>240</v>
      </c>
      <c r="FB3614" s="5" t="s">
        <v>240</v>
      </c>
      <c r="FC3614" s="5" t="s">
        <v>240</v>
      </c>
      <c r="FD3614" s="5" t="s">
        <v>240</v>
      </c>
      <c r="FE3614" s="5" t="s">
        <v>240</v>
      </c>
      <c r="FF3614" s="5" t="s">
        <v>240</v>
      </c>
      <c r="FG3614" s="5" t="s">
        <v>240</v>
      </c>
      <c r="FH3614" s="5" t="s">
        <v>240</v>
      </c>
      <c r="FI3614" s="5" t="s">
        <v>240</v>
      </c>
      <c r="FJ3614" s="5" t="s">
        <v>240</v>
      </c>
      <c r="FK3614" s="5" t="s">
        <v>240</v>
      </c>
      <c r="FL3614" s="5" t="s">
        <v>240</v>
      </c>
      <c r="FM3614" s="5" t="s">
        <v>240</v>
      </c>
      <c r="FN3614" s="5" t="s">
        <v>240</v>
      </c>
      <c r="FO3614" s="5" t="s">
        <v>240</v>
      </c>
      <c r="FP3614" s="5" t="s">
        <v>240</v>
      </c>
      <c r="FQ3614" s="5" t="s">
        <v>240</v>
      </c>
      <c r="FR3614" s="5" t="s">
        <v>240</v>
      </c>
      <c r="FS3614" s="5" t="s">
        <v>240</v>
      </c>
      <c r="FT3614" s="5" t="s">
        <v>240</v>
      </c>
      <c r="FU3614" s="5" t="s">
        <v>240</v>
      </c>
      <c r="FV3614" s="5" t="s">
        <v>240</v>
      </c>
      <c r="FW3614" s="5" t="s">
        <v>240</v>
      </c>
      <c r="FX3614" s="5" t="s">
        <v>240</v>
      </c>
      <c r="FY3614" s="5" t="s">
        <v>240</v>
      </c>
      <c r="FZ3614" s="5" t="s">
        <v>240</v>
      </c>
      <c r="GA3614" s="5" t="s">
        <v>240</v>
      </c>
      <c r="GB3614" s="5" t="s">
        <v>240</v>
      </c>
      <c r="GC3614" s="5" t="s">
        <v>240</v>
      </c>
      <c r="GD3614" s="5" t="s">
        <v>240</v>
      </c>
      <c r="GE3614" s="5" t="s">
        <v>240</v>
      </c>
      <c r="GF3614" s="5" t="s">
        <v>240</v>
      </c>
      <c r="GG3614" s="5" t="s">
        <v>240</v>
      </c>
      <c r="GH3614" s="5" t="s">
        <v>240</v>
      </c>
      <c r="GI3614" s="5" t="s">
        <v>240</v>
      </c>
      <c r="GJ3614" s="5" t="s">
        <v>240</v>
      </c>
      <c r="GK3614" s="5" t="s">
        <v>240</v>
      </c>
      <c r="GL3614" s="5" t="s">
        <v>240</v>
      </c>
      <c r="GM3614" s="5" t="s">
        <v>240</v>
      </c>
      <c r="GN3614" s="5" t="s">
        <v>240</v>
      </c>
      <c r="GO3614" s="5" t="s">
        <v>240</v>
      </c>
      <c r="GP3614" s="5" t="s">
        <v>240</v>
      </c>
      <c r="GQ3614" s="5" t="s">
        <v>240</v>
      </c>
      <c r="GR3614" s="5" t="s">
        <v>240</v>
      </c>
      <c r="GS3614" s="5" t="s">
        <v>240</v>
      </c>
      <c r="GT3614" s="5" t="s">
        <v>240</v>
      </c>
      <c r="GU3614" s="5" t="s">
        <v>240</v>
      </c>
      <c r="GV3614" s="5" t="s">
        <v>240</v>
      </c>
      <c r="GW3614" s="5" t="s">
        <v>240</v>
      </c>
      <c r="GX3614" s="5" t="s">
        <v>240</v>
      </c>
      <c r="GY3614" s="5" t="s">
        <v>240</v>
      </c>
      <c r="GZ3614" s="5" t="s">
        <v>240</v>
      </c>
      <c r="HA3614" s="5" t="s">
        <v>240</v>
      </c>
      <c r="HB3614" s="5" t="s">
        <v>240</v>
      </c>
      <c r="HC3614" s="5" t="s">
        <v>240</v>
      </c>
      <c r="HD3614" s="5" t="s">
        <v>240</v>
      </c>
      <c r="HE3614" s="5" t="s">
        <v>240</v>
      </c>
      <c r="HF3614" s="5" t="s">
        <v>240</v>
      </c>
      <c r="HG3614" s="5" t="s">
        <v>240</v>
      </c>
      <c r="HH3614" s="5" t="s">
        <v>240</v>
      </c>
      <c r="HI3614" s="5" t="s">
        <v>240</v>
      </c>
      <c r="HJ3614" s="5" t="s">
        <v>240</v>
      </c>
      <c r="HK3614" s="5" t="s">
        <v>240</v>
      </c>
      <c r="HL3614" s="5" t="s">
        <v>240</v>
      </c>
      <c r="HM3614" s="5" t="s">
        <v>240</v>
      </c>
      <c r="HN3614" s="5" t="s">
        <v>240</v>
      </c>
      <c r="HO3614" s="5" t="s">
        <v>312</v>
      </c>
      <c r="HP3614" s="5" t="s">
        <v>240</v>
      </c>
      <c r="HQ3614" s="5" t="s">
        <v>240</v>
      </c>
      <c r="HR3614" s="5" t="s">
        <v>240</v>
      </c>
      <c r="HS3614" s="5" t="s">
        <v>240</v>
      </c>
      <c r="HT3614" s="5" t="s">
        <v>240</v>
      </c>
      <c r="HU3614" s="5" t="s">
        <v>240</v>
      </c>
      <c r="HV3614" s="5" t="s">
        <v>240</v>
      </c>
      <c r="HW3614" s="5" t="s">
        <v>240</v>
      </c>
      <c r="HX3614" s="5" t="s">
        <v>240</v>
      </c>
      <c r="HY3614" s="5" t="s">
        <v>240</v>
      </c>
      <c r="HZ3614" s="5" t="s">
        <v>240</v>
      </c>
      <c r="IA3614" s="5" t="s">
        <v>240</v>
      </c>
      <c r="IB3614" s="5" t="s">
        <v>240</v>
      </c>
      <c r="IC3614" s="5" t="s">
        <v>240</v>
      </c>
      <c r="ID3614" s="5" t="s">
        <v>240</v>
      </c>
      <c r="IE3614" s="5" t="s">
        <v>240</v>
      </c>
      <c r="IF3614" s="5" t="s">
        <v>240</v>
      </c>
    </row>
    <row r="3615" spans="1:240" x14ac:dyDescent="0.4">
      <c r="A3615" s="5">
        <v>9157</v>
      </c>
      <c r="B3615" s="5">
        <v>1</v>
      </c>
      <c r="C3615" s="5">
        <v>1</v>
      </c>
      <c r="D3615" s="5" t="s">
        <v>723</v>
      </c>
      <c r="E3615" s="5" t="s">
        <v>725</v>
      </c>
      <c r="F3615" s="5" t="s">
        <v>254</v>
      </c>
      <c r="G3615" s="5" t="s">
        <v>6398</v>
      </c>
      <c r="H3615" s="6" t="s">
        <v>6399</v>
      </c>
      <c r="I3615" s="5" t="s">
        <v>6397</v>
      </c>
      <c r="J3615" s="7">
        <f>1</f>
        <v>1</v>
      </c>
      <c r="K3615" s="5" t="s">
        <v>3682</v>
      </c>
      <c r="L3615" s="7">
        <f>1</f>
        <v>1</v>
      </c>
      <c r="M3615" s="7">
        <f>1</f>
        <v>1</v>
      </c>
      <c r="N3615" s="5" t="s">
        <v>242</v>
      </c>
      <c r="O3615" s="5">
        <v>1</v>
      </c>
      <c r="P3615" s="5" t="s">
        <v>294</v>
      </c>
      <c r="Q3615" s="5" t="s">
        <v>613</v>
      </c>
      <c r="R3615" s="5" t="s">
        <v>240</v>
      </c>
      <c r="S3615" s="5" t="s">
        <v>240</v>
      </c>
      <c r="T3615" s="5" t="s">
        <v>243</v>
      </c>
      <c r="U3615" s="5" t="s">
        <v>724</v>
      </c>
      <c r="V3615" s="5" t="s">
        <v>240</v>
      </c>
      <c r="W3615" s="5" t="s">
        <v>240</v>
      </c>
      <c r="X3615" s="5" t="s">
        <v>240</v>
      </c>
      <c r="Y3615" s="5" t="s">
        <v>240</v>
      </c>
      <c r="Z3615" s="6" t="s">
        <v>298</v>
      </c>
      <c r="AA3615" s="6" t="s">
        <v>240</v>
      </c>
      <c r="AB3615" s="6" t="s">
        <v>240</v>
      </c>
      <c r="AC3615" s="5" t="s">
        <v>240</v>
      </c>
      <c r="AD3615" s="6" t="s">
        <v>240</v>
      </c>
      <c r="AE3615" s="6" t="s">
        <v>299</v>
      </c>
      <c r="AF3615" s="5" t="s">
        <v>727</v>
      </c>
      <c r="AG3615" s="5" t="s">
        <v>260</v>
      </c>
      <c r="AH3615" s="5" t="s">
        <v>240</v>
      </c>
      <c r="AI3615" s="5" t="s">
        <v>240</v>
      </c>
      <c r="AJ3615" s="5" t="s">
        <v>240</v>
      </c>
      <c r="AK3615" s="5" t="s">
        <v>240</v>
      </c>
      <c r="AL3615" s="5" t="s">
        <v>240</v>
      </c>
      <c r="AM3615" s="5" t="s">
        <v>240</v>
      </c>
      <c r="AN3615" s="5" t="s">
        <v>240</v>
      </c>
      <c r="AO3615" s="5" t="s">
        <v>240</v>
      </c>
      <c r="AP3615" s="6" t="s">
        <v>240</v>
      </c>
      <c r="AQ3615" s="6" t="s">
        <v>240</v>
      </c>
      <c r="AR3615" s="6" t="s">
        <v>240</v>
      </c>
      <c r="AS3615" s="6" t="s">
        <v>240</v>
      </c>
      <c r="AT3615" s="5" t="s">
        <v>240</v>
      </c>
      <c r="AU3615" s="5" t="s">
        <v>729</v>
      </c>
      <c r="AV3615" s="5" t="s">
        <v>729</v>
      </c>
      <c r="AW3615" s="5" t="s">
        <v>251</v>
      </c>
      <c r="AX3615" s="5" t="s">
        <v>252</v>
      </c>
      <c r="AY3615" s="5" t="s">
        <v>253</v>
      </c>
      <c r="AZ3615" s="5" t="s">
        <v>240</v>
      </c>
      <c r="BA3615" s="5" t="s">
        <v>255</v>
      </c>
      <c r="BB3615" s="5" t="s">
        <v>731</v>
      </c>
      <c r="BD3615" s="5" t="s">
        <v>240</v>
      </c>
      <c r="BF3615" s="5" t="s">
        <v>732</v>
      </c>
      <c r="BG3615" s="6" t="s">
        <v>733</v>
      </c>
      <c r="BH3615" s="5" t="s">
        <v>734</v>
      </c>
      <c r="BI3615" s="5" t="s">
        <v>734</v>
      </c>
      <c r="BJ3615" s="5" t="s">
        <v>240</v>
      </c>
      <c r="BK3615" s="8">
        <f>1795</f>
        <v>1795</v>
      </c>
      <c r="BL3615" s="7">
        <f>0</f>
        <v>0</v>
      </c>
      <c r="BM3615" s="5" t="s">
        <v>258</v>
      </c>
      <c r="BN3615" s="5" t="s">
        <v>259</v>
      </c>
      <c r="BO3615" s="5" t="s">
        <v>240</v>
      </c>
      <c r="BP3615" s="5" t="s">
        <v>240</v>
      </c>
      <c r="BQ3615" s="5" t="s">
        <v>240</v>
      </c>
      <c r="BR3615" s="5" t="s">
        <v>240</v>
      </c>
      <c r="BS3615" s="5" t="s">
        <v>240</v>
      </c>
      <c r="BT3615" s="5" t="s">
        <v>240</v>
      </c>
      <c r="BU3615" s="5" t="s">
        <v>240</v>
      </c>
      <c r="BV3615" s="5" t="s">
        <v>240</v>
      </c>
      <c r="BW3615" s="6" t="s">
        <v>240</v>
      </c>
      <c r="BX3615" s="5" t="s">
        <v>240</v>
      </c>
      <c r="BY3615" s="5" t="s">
        <v>240</v>
      </c>
      <c r="BZ3615" s="5" t="s">
        <v>240</v>
      </c>
      <c r="CA3615" s="5" t="s">
        <v>259</v>
      </c>
      <c r="CB3615" s="5" t="s">
        <v>240</v>
      </c>
      <c r="CC3615" s="5" t="s">
        <v>240</v>
      </c>
      <c r="CD3615" s="5" t="s">
        <v>240</v>
      </c>
      <c r="CE3615" s="5" t="s">
        <v>240</v>
      </c>
      <c r="CF3615" s="5" t="s">
        <v>240</v>
      </c>
      <c r="CG3615" s="5" t="s">
        <v>617</v>
      </c>
      <c r="CH3615" s="5" t="s">
        <v>305</v>
      </c>
      <c r="CI3615" s="5" t="s">
        <v>240</v>
      </c>
      <c r="CL3615" s="6" t="s">
        <v>261</v>
      </c>
      <c r="CM3615" s="5" t="s">
        <v>262</v>
      </c>
      <c r="CN3615" s="5" t="s">
        <v>263</v>
      </c>
      <c r="CO3615" s="5" t="s">
        <v>264</v>
      </c>
      <c r="CP3615" s="5" t="s">
        <v>240</v>
      </c>
      <c r="CQ3615" s="5">
        <v>0</v>
      </c>
      <c r="CR3615" s="5" t="s">
        <v>735</v>
      </c>
      <c r="CS3615" s="5" t="s">
        <v>307</v>
      </c>
      <c r="CT3615" s="5" t="s">
        <v>307</v>
      </c>
      <c r="CU3615" s="5" t="s">
        <v>260</v>
      </c>
      <c r="CV3615" s="5" t="s">
        <v>240</v>
      </c>
      <c r="CW3615" s="8">
        <f>0</f>
        <v>0</v>
      </c>
      <c r="CX3615" s="7">
        <f>0</f>
        <v>0</v>
      </c>
      <c r="CY3615" s="7">
        <f>0</f>
        <v>0</v>
      </c>
      <c r="DA3615" s="7">
        <f>19745</f>
        <v>19745</v>
      </c>
      <c r="DB3615" s="7" t="s">
        <v>240</v>
      </c>
      <c r="DC3615" s="5" t="s">
        <v>240</v>
      </c>
      <c r="DD3615" s="5" t="s">
        <v>240</v>
      </c>
      <c r="DE3615" s="5" t="s">
        <v>240</v>
      </c>
      <c r="DF3615" s="5" t="s">
        <v>450</v>
      </c>
      <c r="DG3615" s="7">
        <f>0</f>
        <v>0</v>
      </c>
      <c r="DI3615" s="5" t="s">
        <v>737</v>
      </c>
      <c r="DJ3615" s="5" t="s">
        <v>240</v>
      </c>
      <c r="DK3615" s="5" t="s">
        <v>240</v>
      </c>
      <c r="DL3615" s="5" t="s">
        <v>240</v>
      </c>
      <c r="DM3615" s="5" t="s">
        <v>240</v>
      </c>
      <c r="DN3615" s="5" t="s">
        <v>240</v>
      </c>
      <c r="DO3615" s="7" t="s">
        <v>240</v>
      </c>
      <c r="DP3615" s="5" t="s">
        <v>240</v>
      </c>
      <c r="DQ3615" s="5" t="s">
        <v>240</v>
      </c>
      <c r="DR3615" s="5" t="s">
        <v>731</v>
      </c>
      <c r="DS3615" s="5" t="s">
        <v>731</v>
      </c>
      <c r="DT3615" s="5" t="s">
        <v>240</v>
      </c>
      <c r="DU3615" s="5" t="s">
        <v>240</v>
      </c>
      <c r="DV3615" s="5" t="s">
        <v>738</v>
      </c>
      <c r="DW3615" s="5" t="s">
        <v>530</v>
      </c>
      <c r="DX3615" s="5" t="s">
        <v>240</v>
      </c>
      <c r="DY3615" s="5" t="s">
        <v>240</v>
      </c>
      <c r="DZ3615" s="5" t="s">
        <v>240</v>
      </c>
      <c r="EA3615" s="5" t="s">
        <v>240</v>
      </c>
      <c r="EB3615" s="5" t="s">
        <v>240</v>
      </c>
      <c r="EC3615" s="5" t="s">
        <v>240</v>
      </c>
      <c r="ED3615" s="5" t="s">
        <v>240</v>
      </c>
      <c r="EE3615" s="5" t="s">
        <v>240</v>
      </c>
      <c r="EF3615" s="5" t="s">
        <v>240</v>
      </c>
      <c r="EG3615" s="5" t="s">
        <v>240</v>
      </c>
      <c r="EH3615" s="5" t="s">
        <v>240</v>
      </c>
      <c r="EI3615" s="5" t="s">
        <v>240</v>
      </c>
      <c r="EJ3615" s="5" t="s">
        <v>240</v>
      </c>
      <c r="EK3615" s="5" t="s">
        <v>240</v>
      </c>
      <c r="EL3615" s="5" t="s">
        <v>240</v>
      </c>
      <c r="EM3615" s="5" t="s">
        <v>240</v>
      </c>
      <c r="EN3615" s="5" t="s">
        <v>240</v>
      </c>
      <c r="EO3615" s="5" t="s">
        <v>240</v>
      </c>
      <c r="EP3615" s="5" t="s">
        <v>240</v>
      </c>
      <c r="EQ3615" s="5" t="s">
        <v>240</v>
      </c>
      <c r="ER3615" s="5" t="s">
        <v>240</v>
      </c>
      <c r="ES3615" s="5" t="s">
        <v>240</v>
      </c>
      <c r="ET3615" s="5" t="s">
        <v>240</v>
      </c>
      <c r="EU3615" s="5" t="s">
        <v>240</v>
      </c>
      <c r="EV3615" s="5" t="s">
        <v>240</v>
      </c>
      <c r="EW3615" s="5" t="s">
        <v>240</v>
      </c>
      <c r="EX3615" s="5" t="s">
        <v>240</v>
      </c>
      <c r="EY3615" s="5" t="s">
        <v>240</v>
      </c>
      <c r="EZ3615" s="5" t="s">
        <v>240</v>
      </c>
      <c r="FA3615" s="5" t="s">
        <v>240</v>
      </c>
      <c r="FB3615" s="5" t="s">
        <v>240</v>
      </c>
      <c r="FC3615" s="5" t="s">
        <v>240</v>
      </c>
      <c r="FD3615" s="5" t="s">
        <v>240</v>
      </c>
      <c r="FE3615" s="5" t="s">
        <v>240</v>
      </c>
      <c r="FF3615" s="5" t="s">
        <v>240</v>
      </c>
      <c r="FG3615" s="5" t="s">
        <v>240</v>
      </c>
      <c r="FH3615" s="5" t="s">
        <v>240</v>
      </c>
      <c r="FI3615" s="5" t="s">
        <v>240</v>
      </c>
      <c r="FJ3615" s="5" t="s">
        <v>240</v>
      </c>
      <c r="FK3615" s="5" t="s">
        <v>240</v>
      </c>
      <c r="FL3615" s="5" t="s">
        <v>240</v>
      </c>
      <c r="FM3615" s="5" t="s">
        <v>240</v>
      </c>
      <c r="FN3615" s="5" t="s">
        <v>240</v>
      </c>
      <c r="FO3615" s="5" t="s">
        <v>240</v>
      </c>
      <c r="FP3615" s="5" t="s">
        <v>240</v>
      </c>
      <c r="FQ3615" s="5" t="s">
        <v>240</v>
      </c>
      <c r="FR3615" s="5" t="s">
        <v>240</v>
      </c>
      <c r="FS3615" s="5" t="s">
        <v>240</v>
      </c>
      <c r="FT3615" s="5" t="s">
        <v>240</v>
      </c>
      <c r="FU3615" s="5" t="s">
        <v>240</v>
      </c>
      <c r="FV3615" s="5" t="s">
        <v>240</v>
      </c>
      <c r="FW3615" s="5" t="s">
        <v>240</v>
      </c>
      <c r="FX3615" s="5" t="s">
        <v>240</v>
      </c>
      <c r="FY3615" s="5" t="s">
        <v>240</v>
      </c>
      <c r="FZ3615" s="5" t="s">
        <v>240</v>
      </c>
      <c r="GA3615" s="5" t="s">
        <v>240</v>
      </c>
      <c r="GB3615" s="5" t="s">
        <v>240</v>
      </c>
      <c r="GC3615" s="5" t="s">
        <v>240</v>
      </c>
      <c r="GD3615" s="5" t="s">
        <v>240</v>
      </c>
      <c r="GE3615" s="5" t="s">
        <v>240</v>
      </c>
      <c r="GF3615" s="5" t="s">
        <v>240</v>
      </c>
      <c r="GG3615" s="5" t="s">
        <v>240</v>
      </c>
      <c r="GH3615" s="5" t="s">
        <v>240</v>
      </c>
      <c r="GI3615" s="5" t="s">
        <v>240</v>
      </c>
      <c r="GJ3615" s="5" t="s">
        <v>240</v>
      </c>
      <c r="GK3615" s="5" t="s">
        <v>240</v>
      </c>
      <c r="GL3615" s="5" t="s">
        <v>240</v>
      </c>
      <c r="GM3615" s="5" t="s">
        <v>240</v>
      </c>
      <c r="GN3615" s="5" t="s">
        <v>240</v>
      </c>
      <c r="GO3615" s="5" t="s">
        <v>240</v>
      </c>
      <c r="GP3615" s="5" t="s">
        <v>240</v>
      </c>
      <c r="GQ3615" s="5" t="s">
        <v>240</v>
      </c>
      <c r="GR3615" s="5" t="s">
        <v>240</v>
      </c>
      <c r="GS3615" s="5" t="s">
        <v>240</v>
      </c>
      <c r="GT3615" s="5" t="s">
        <v>240</v>
      </c>
      <c r="GU3615" s="5" t="s">
        <v>240</v>
      </c>
      <c r="GV3615" s="5" t="s">
        <v>240</v>
      </c>
      <c r="GW3615" s="5" t="s">
        <v>240</v>
      </c>
      <c r="GX3615" s="5" t="s">
        <v>240</v>
      </c>
      <c r="GY3615" s="5" t="s">
        <v>240</v>
      </c>
      <c r="GZ3615" s="5" t="s">
        <v>240</v>
      </c>
      <c r="HA3615" s="5" t="s">
        <v>240</v>
      </c>
      <c r="HB3615" s="5" t="s">
        <v>240</v>
      </c>
      <c r="HC3615" s="5" t="s">
        <v>240</v>
      </c>
      <c r="HD3615" s="5" t="s">
        <v>240</v>
      </c>
      <c r="HE3615" s="5" t="s">
        <v>240</v>
      </c>
      <c r="HF3615" s="5" t="s">
        <v>240</v>
      </c>
      <c r="HG3615" s="5" t="s">
        <v>240</v>
      </c>
      <c r="HH3615" s="5" t="s">
        <v>240</v>
      </c>
      <c r="HI3615" s="5" t="s">
        <v>240</v>
      </c>
      <c r="HJ3615" s="5" t="s">
        <v>240</v>
      </c>
      <c r="HK3615" s="5" t="s">
        <v>240</v>
      </c>
      <c r="HL3615" s="5" t="s">
        <v>240</v>
      </c>
      <c r="HM3615" s="5" t="s">
        <v>240</v>
      </c>
      <c r="HN3615" s="5" t="s">
        <v>240</v>
      </c>
      <c r="HO3615" s="5" t="s">
        <v>620</v>
      </c>
      <c r="HP3615" s="5" t="s">
        <v>240</v>
      </c>
      <c r="HQ3615" s="5" t="s">
        <v>240</v>
      </c>
      <c r="HR3615" s="5" t="s">
        <v>240</v>
      </c>
      <c r="HS3615" s="5" t="s">
        <v>240</v>
      </c>
      <c r="HT3615" s="5" t="s">
        <v>240</v>
      </c>
      <c r="HU3615" s="5" t="s">
        <v>240</v>
      </c>
      <c r="HV3615" s="5" t="s">
        <v>240</v>
      </c>
      <c r="HW3615" s="5" t="s">
        <v>240</v>
      </c>
      <c r="HX3615" s="5" t="s">
        <v>240</v>
      </c>
      <c r="HY3615" s="5" t="s">
        <v>240</v>
      </c>
      <c r="HZ3615" s="5" t="s">
        <v>240</v>
      </c>
      <c r="IA3615" s="5" t="s">
        <v>240</v>
      </c>
      <c r="IB3615" s="5" t="s">
        <v>240</v>
      </c>
      <c r="IC3615" s="5" t="s">
        <v>240</v>
      </c>
      <c r="ID3615" s="5" t="s">
        <v>240</v>
      </c>
      <c r="IE3615" s="5" t="s">
        <v>240</v>
      </c>
      <c r="IF3615" s="5" t="s">
        <v>240</v>
      </c>
    </row>
    <row r="3616" spans="1:240" x14ac:dyDescent="0.4">
      <c r="A3616" s="5">
        <v>9158</v>
      </c>
      <c r="B3616" s="5">
        <v>1</v>
      </c>
      <c r="C3616" s="5">
        <v>1</v>
      </c>
      <c r="D3616" s="5" t="s">
        <v>723</v>
      </c>
      <c r="E3616" s="5" t="s">
        <v>725</v>
      </c>
      <c r="F3616" s="5" t="s">
        <v>254</v>
      </c>
      <c r="G3616" s="5" t="s">
        <v>726</v>
      </c>
      <c r="H3616" s="6" t="s">
        <v>5720</v>
      </c>
      <c r="I3616" s="5" t="s">
        <v>5719</v>
      </c>
      <c r="J3616" s="7">
        <f>1</f>
        <v>1</v>
      </c>
      <c r="K3616" s="5" t="s">
        <v>3682</v>
      </c>
      <c r="L3616" s="7">
        <f>1</f>
        <v>1</v>
      </c>
      <c r="M3616" s="7">
        <f>1</f>
        <v>1</v>
      </c>
      <c r="N3616" s="5" t="s">
        <v>242</v>
      </c>
      <c r="O3616" s="5">
        <v>1</v>
      </c>
      <c r="P3616" s="5" t="s">
        <v>294</v>
      </c>
      <c r="Q3616" s="5" t="s">
        <v>613</v>
      </c>
      <c r="R3616" s="5" t="s">
        <v>240</v>
      </c>
      <c r="S3616" s="5" t="s">
        <v>240</v>
      </c>
      <c r="T3616" s="5" t="s">
        <v>243</v>
      </c>
      <c r="U3616" s="5" t="s">
        <v>724</v>
      </c>
      <c r="V3616" s="5" t="s">
        <v>240</v>
      </c>
      <c r="W3616" s="5" t="s">
        <v>240</v>
      </c>
      <c r="X3616" s="5" t="s">
        <v>240</v>
      </c>
      <c r="Y3616" s="5" t="s">
        <v>240</v>
      </c>
      <c r="Z3616" s="6" t="s">
        <v>298</v>
      </c>
      <c r="AA3616" s="6" t="s">
        <v>240</v>
      </c>
      <c r="AB3616" s="6" t="s">
        <v>240</v>
      </c>
      <c r="AC3616" s="5" t="s">
        <v>240</v>
      </c>
      <c r="AD3616" s="6" t="s">
        <v>240</v>
      </c>
      <c r="AE3616" s="6" t="s">
        <v>299</v>
      </c>
      <c r="AF3616" s="5" t="s">
        <v>727</v>
      </c>
      <c r="AG3616" s="5" t="s">
        <v>260</v>
      </c>
      <c r="AH3616" s="5" t="s">
        <v>240</v>
      </c>
      <c r="AI3616" s="5" t="s">
        <v>240</v>
      </c>
      <c r="AJ3616" s="5" t="s">
        <v>240</v>
      </c>
      <c r="AK3616" s="5" t="s">
        <v>240</v>
      </c>
      <c r="AL3616" s="5" t="s">
        <v>240</v>
      </c>
      <c r="AM3616" s="5" t="s">
        <v>240</v>
      </c>
      <c r="AN3616" s="5" t="s">
        <v>240</v>
      </c>
      <c r="AO3616" s="5" t="s">
        <v>240</v>
      </c>
      <c r="AP3616" s="6" t="s">
        <v>240</v>
      </c>
      <c r="AQ3616" s="6" t="s">
        <v>240</v>
      </c>
      <c r="AR3616" s="6" t="s">
        <v>240</v>
      </c>
      <c r="AS3616" s="6" t="s">
        <v>240</v>
      </c>
      <c r="AT3616" s="5" t="s">
        <v>240</v>
      </c>
      <c r="AU3616" s="5" t="s">
        <v>729</v>
      </c>
      <c r="AV3616" s="5" t="s">
        <v>729</v>
      </c>
      <c r="AW3616" s="5" t="s">
        <v>251</v>
      </c>
      <c r="AX3616" s="5" t="s">
        <v>252</v>
      </c>
      <c r="AY3616" s="5" t="s">
        <v>253</v>
      </c>
      <c r="AZ3616" s="5" t="s">
        <v>240</v>
      </c>
      <c r="BA3616" s="5" t="s">
        <v>255</v>
      </c>
      <c r="BB3616" s="5" t="s">
        <v>731</v>
      </c>
      <c r="BD3616" s="5" t="s">
        <v>240</v>
      </c>
      <c r="BF3616" s="5" t="s">
        <v>732</v>
      </c>
      <c r="BG3616" s="6" t="s">
        <v>733</v>
      </c>
      <c r="BH3616" s="5" t="s">
        <v>734</v>
      </c>
      <c r="BI3616" s="5" t="s">
        <v>734</v>
      </c>
      <c r="BJ3616" s="5" t="s">
        <v>240</v>
      </c>
      <c r="BK3616" s="8">
        <f>239.6</f>
        <v>239.6</v>
      </c>
      <c r="BL3616" s="7">
        <f>0</f>
        <v>0</v>
      </c>
      <c r="BM3616" s="5" t="s">
        <v>258</v>
      </c>
      <c r="BN3616" s="5" t="s">
        <v>259</v>
      </c>
      <c r="BO3616" s="5" t="s">
        <v>240</v>
      </c>
      <c r="BP3616" s="5" t="s">
        <v>240</v>
      </c>
      <c r="BQ3616" s="5" t="s">
        <v>240</v>
      </c>
      <c r="BR3616" s="5" t="s">
        <v>240</v>
      </c>
      <c r="BS3616" s="5" t="s">
        <v>240</v>
      </c>
      <c r="BT3616" s="5" t="s">
        <v>240</v>
      </c>
      <c r="BU3616" s="5" t="s">
        <v>240</v>
      </c>
      <c r="BV3616" s="5" t="s">
        <v>240</v>
      </c>
      <c r="BW3616" s="6" t="s">
        <v>240</v>
      </c>
      <c r="BX3616" s="5" t="s">
        <v>240</v>
      </c>
      <c r="BY3616" s="5" t="s">
        <v>240</v>
      </c>
      <c r="BZ3616" s="5" t="s">
        <v>240</v>
      </c>
      <c r="CA3616" s="5" t="s">
        <v>259</v>
      </c>
      <c r="CB3616" s="5" t="s">
        <v>240</v>
      </c>
      <c r="CC3616" s="5" t="s">
        <v>240</v>
      </c>
      <c r="CD3616" s="5" t="s">
        <v>240</v>
      </c>
      <c r="CE3616" s="5" t="s">
        <v>240</v>
      </c>
      <c r="CF3616" s="5" t="s">
        <v>240</v>
      </c>
      <c r="CG3616" s="5" t="s">
        <v>617</v>
      </c>
      <c r="CH3616" s="5" t="s">
        <v>305</v>
      </c>
      <c r="CI3616" s="5" t="s">
        <v>240</v>
      </c>
      <c r="CL3616" s="6" t="s">
        <v>261</v>
      </c>
      <c r="CM3616" s="5" t="s">
        <v>262</v>
      </c>
      <c r="CN3616" s="5" t="s">
        <v>263</v>
      </c>
      <c r="CO3616" s="5" t="s">
        <v>264</v>
      </c>
      <c r="CP3616" s="5" t="s">
        <v>240</v>
      </c>
      <c r="CQ3616" s="5">
        <v>0</v>
      </c>
      <c r="CR3616" s="5" t="s">
        <v>735</v>
      </c>
      <c r="CS3616" s="5" t="s">
        <v>307</v>
      </c>
      <c r="CT3616" s="5" t="s">
        <v>307</v>
      </c>
      <c r="CU3616" s="5" t="s">
        <v>260</v>
      </c>
      <c r="CV3616" s="5" t="s">
        <v>240</v>
      </c>
      <c r="CW3616" s="8">
        <f>0</f>
        <v>0</v>
      </c>
      <c r="CX3616" s="7">
        <f>0</f>
        <v>0</v>
      </c>
      <c r="CY3616" s="7">
        <f>0</f>
        <v>0</v>
      </c>
      <c r="DA3616" s="7">
        <f>2635</f>
        <v>2635</v>
      </c>
      <c r="DB3616" s="7" t="s">
        <v>240</v>
      </c>
      <c r="DC3616" s="5" t="s">
        <v>240</v>
      </c>
      <c r="DD3616" s="5" t="s">
        <v>240</v>
      </c>
      <c r="DE3616" s="5" t="s">
        <v>240</v>
      </c>
      <c r="DF3616" s="5" t="s">
        <v>450</v>
      </c>
      <c r="DG3616" s="7">
        <f>0</f>
        <v>0</v>
      </c>
      <c r="DI3616" s="5" t="s">
        <v>737</v>
      </c>
      <c r="DJ3616" s="5" t="s">
        <v>240</v>
      </c>
      <c r="DK3616" s="5" t="s">
        <v>240</v>
      </c>
      <c r="DL3616" s="5" t="s">
        <v>240</v>
      </c>
      <c r="DM3616" s="5" t="s">
        <v>240</v>
      </c>
      <c r="DN3616" s="5" t="s">
        <v>240</v>
      </c>
      <c r="DO3616" s="7" t="s">
        <v>240</v>
      </c>
      <c r="DP3616" s="5" t="s">
        <v>240</v>
      </c>
      <c r="DQ3616" s="5" t="s">
        <v>240</v>
      </c>
      <c r="DR3616" s="5" t="s">
        <v>731</v>
      </c>
      <c r="DS3616" s="5" t="s">
        <v>731</v>
      </c>
      <c r="DT3616" s="5" t="s">
        <v>240</v>
      </c>
      <c r="DU3616" s="5" t="s">
        <v>240</v>
      </c>
      <c r="DV3616" s="5" t="s">
        <v>738</v>
      </c>
      <c r="DW3616" s="5" t="s">
        <v>514</v>
      </c>
      <c r="DX3616" s="5" t="s">
        <v>240</v>
      </c>
      <c r="DY3616" s="5" t="s">
        <v>240</v>
      </c>
      <c r="DZ3616" s="5" t="s">
        <v>240</v>
      </c>
      <c r="EA3616" s="5" t="s">
        <v>240</v>
      </c>
      <c r="EB3616" s="5" t="s">
        <v>240</v>
      </c>
      <c r="EC3616" s="5" t="s">
        <v>240</v>
      </c>
      <c r="ED3616" s="5" t="s">
        <v>240</v>
      </c>
      <c r="EE3616" s="5" t="s">
        <v>240</v>
      </c>
      <c r="EF3616" s="5" t="s">
        <v>240</v>
      </c>
      <c r="EG3616" s="5" t="s">
        <v>240</v>
      </c>
      <c r="EH3616" s="5" t="s">
        <v>240</v>
      </c>
      <c r="EI3616" s="5" t="s">
        <v>240</v>
      </c>
      <c r="EJ3616" s="5" t="s">
        <v>240</v>
      </c>
      <c r="EK3616" s="5" t="s">
        <v>240</v>
      </c>
      <c r="EL3616" s="5" t="s">
        <v>240</v>
      </c>
      <c r="EM3616" s="5" t="s">
        <v>240</v>
      </c>
      <c r="EN3616" s="5" t="s">
        <v>240</v>
      </c>
      <c r="EO3616" s="5" t="s">
        <v>240</v>
      </c>
      <c r="EP3616" s="5" t="s">
        <v>240</v>
      </c>
      <c r="EQ3616" s="5" t="s">
        <v>240</v>
      </c>
      <c r="ER3616" s="5" t="s">
        <v>240</v>
      </c>
      <c r="ES3616" s="5" t="s">
        <v>240</v>
      </c>
      <c r="ET3616" s="5" t="s">
        <v>240</v>
      </c>
      <c r="EU3616" s="5" t="s">
        <v>240</v>
      </c>
      <c r="EV3616" s="5" t="s">
        <v>240</v>
      </c>
      <c r="EW3616" s="5" t="s">
        <v>240</v>
      </c>
      <c r="EX3616" s="5" t="s">
        <v>240</v>
      </c>
      <c r="EY3616" s="5" t="s">
        <v>240</v>
      </c>
      <c r="EZ3616" s="5" t="s">
        <v>240</v>
      </c>
      <c r="FA3616" s="5" t="s">
        <v>240</v>
      </c>
      <c r="FB3616" s="5" t="s">
        <v>240</v>
      </c>
      <c r="FC3616" s="5" t="s">
        <v>240</v>
      </c>
      <c r="FD3616" s="5" t="s">
        <v>240</v>
      </c>
      <c r="FE3616" s="5" t="s">
        <v>240</v>
      </c>
      <c r="FF3616" s="5" t="s">
        <v>240</v>
      </c>
      <c r="FG3616" s="5" t="s">
        <v>240</v>
      </c>
      <c r="FH3616" s="5" t="s">
        <v>240</v>
      </c>
      <c r="FI3616" s="5" t="s">
        <v>240</v>
      </c>
      <c r="FJ3616" s="5" t="s">
        <v>240</v>
      </c>
      <c r="FK3616" s="5" t="s">
        <v>240</v>
      </c>
      <c r="FL3616" s="5" t="s">
        <v>240</v>
      </c>
      <c r="FM3616" s="5" t="s">
        <v>240</v>
      </c>
      <c r="FN3616" s="5" t="s">
        <v>240</v>
      </c>
      <c r="FO3616" s="5" t="s">
        <v>240</v>
      </c>
      <c r="FP3616" s="5" t="s">
        <v>240</v>
      </c>
      <c r="FQ3616" s="5" t="s">
        <v>240</v>
      </c>
      <c r="FR3616" s="5" t="s">
        <v>240</v>
      </c>
      <c r="FS3616" s="5" t="s">
        <v>240</v>
      </c>
      <c r="FT3616" s="5" t="s">
        <v>240</v>
      </c>
      <c r="FU3616" s="5" t="s">
        <v>240</v>
      </c>
      <c r="FV3616" s="5" t="s">
        <v>240</v>
      </c>
      <c r="FW3616" s="5" t="s">
        <v>240</v>
      </c>
      <c r="FX3616" s="5" t="s">
        <v>240</v>
      </c>
      <c r="FY3616" s="5" t="s">
        <v>240</v>
      </c>
      <c r="FZ3616" s="5" t="s">
        <v>240</v>
      </c>
      <c r="GA3616" s="5" t="s">
        <v>240</v>
      </c>
      <c r="GB3616" s="5" t="s">
        <v>240</v>
      </c>
      <c r="GC3616" s="5" t="s">
        <v>240</v>
      </c>
      <c r="GD3616" s="5" t="s">
        <v>240</v>
      </c>
      <c r="GE3616" s="5" t="s">
        <v>240</v>
      </c>
      <c r="GF3616" s="5" t="s">
        <v>240</v>
      </c>
      <c r="GG3616" s="5" t="s">
        <v>240</v>
      </c>
      <c r="GH3616" s="5" t="s">
        <v>240</v>
      </c>
      <c r="GI3616" s="5" t="s">
        <v>240</v>
      </c>
      <c r="GJ3616" s="5" t="s">
        <v>240</v>
      </c>
      <c r="GK3616" s="5" t="s">
        <v>240</v>
      </c>
      <c r="GL3616" s="5" t="s">
        <v>240</v>
      </c>
      <c r="GM3616" s="5" t="s">
        <v>240</v>
      </c>
      <c r="GN3616" s="5" t="s">
        <v>240</v>
      </c>
      <c r="GO3616" s="5" t="s">
        <v>240</v>
      </c>
      <c r="GP3616" s="5" t="s">
        <v>240</v>
      </c>
      <c r="GQ3616" s="5" t="s">
        <v>240</v>
      </c>
      <c r="GR3616" s="5" t="s">
        <v>240</v>
      </c>
      <c r="GS3616" s="5" t="s">
        <v>240</v>
      </c>
      <c r="GT3616" s="5" t="s">
        <v>240</v>
      </c>
      <c r="GU3616" s="5" t="s">
        <v>240</v>
      </c>
      <c r="GV3616" s="5" t="s">
        <v>240</v>
      </c>
      <c r="GW3616" s="5" t="s">
        <v>240</v>
      </c>
      <c r="GX3616" s="5" t="s">
        <v>240</v>
      </c>
      <c r="GY3616" s="5" t="s">
        <v>240</v>
      </c>
      <c r="GZ3616" s="5" t="s">
        <v>240</v>
      </c>
      <c r="HA3616" s="5" t="s">
        <v>240</v>
      </c>
      <c r="HB3616" s="5" t="s">
        <v>240</v>
      </c>
      <c r="HC3616" s="5" t="s">
        <v>240</v>
      </c>
      <c r="HD3616" s="5" t="s">
        <v>240</v>
      </c>
      <c r="HE3616" s="5" t="s">
        <v>240</v>
      </c>
      <c r="HF3616" s="5" t="s">
        <v>240</v>
      </c>
      <c r="HG3616" s="5" t="s">
        <v>240</v>
      </c>
      <c r="HH3616" s="5" t="s">
        <v>240</v>
      </c>
      <c r="HI3616" s="5" t="s">
        <v>240</v>
      </c>
      <c r="HJ3616" s="5" t="s">
        <v>240</v>
      </c>
      <c r="HK3616" s="5" t="s">
        <v>240</v>
      </c>
      <c r="HL3616" s="5" t="s">
        <v>240</v>
      </c>
      <c r="HM3616" s="5" t="s">
        <v>240</v>
      </c>
      <c r="HN3616" s="5" t="s">
        <v>240</v>
      </c>
      <c r="HO3616" s="5" t="s">
        <v>620</v>
      </c>
      <c r="HP3616" s="5" t="s">
        <v>240</v>
      </c>
      <c r="HQ3616" s="5" t="s">
        <v>240</v>
      </c>
      <c r="HR3616" s="5" t="s">
        <v>240</v>
      </c>
      <c r="HS3616" s="5" t="s">
        <v>240</v>
      </c>
      <c r="HT3616" s="5" t="s">
        <v>240</v>
      </c>
      <c r="HU3616" s="5" t="s">
        <v>240</v>
      </c>
      <c r="HV3616" s="5" t="s">
        <v>240</v>
      </c>
      <c r="HW3616" s="5" t="s">
        <v>240</v>
      </c>
      <c r="HX3616" s="5" t="s">
        <v>240</v>
      </c>
      <c r="HY3616" s="5" t="s">
        <v>240</v>
      </c>
      <c r="HZ3616" s="5" t="s">
        <v>240</v>
      </c>
      <c r="IA3616" s="5" t="s">
        <v>240</v>
      </c>
      <c r="IB3616" s="5" t="s">
        <v>240</v>
      </c>
      <c r="IC3616" s="5" t="s">
        <v>240</v>
      </c>
      <c r="ID3616" s="5" t="s">
        <v>240</v>
      </c>
      <c r="IE3616" s="5" t="s">
        <v>240</v>
      </c>
      <c r="IF3616" s="5" t="s">
        <v>240</v>
      </c>
    </row>
    <row r="3617" spans="1:240" x14ac:dyDescent="0.4">
      <c r="A3617" s="5">
        <v>9159</v>
      </c>
      <c r="B3617" s="5">
        <v>1</v>
      </c>
      <c r="C3617" s="5">
        <v>1</v>
      </c>
      <c r="D3617" s="5" t="s">
        <v>723</v>
      </c>
      <c r="E3617" s="5" t="s">
        <v>725</v>
      </c>
      <c r="F3617" s="5" t="s">
        <v>254</v>
      </c>
      <c r="G3617" s="5" t="s">
        <v>5717</v>
      </c>
      <c r="H3617" s="6" t="s">
        <v>5718</v>
      </c>
      <c r="I3617" s="5" t="s">
        <v>5716</v>
      </c>
      <c r="J3617" s="7">
        <f>1</f>
        <v>1</v>
      </c>
      <c r="K3617" s="5" t="s">
        <v>3682</v>
      </c>
      <c r="L3617" s="7">
        <f>1</f>
        <v>1</v>
      </c>
      <c r="M3617" s="7">
        <f>1</f>
        <v>1</v>
      </c>
      <c r="N3617" s="5" t="s">
        <v>242</v>
      </c>
      <c r="O3617" s="5">
        <v>1</v>
      </c>
      <c r="P3617" s="5" t="s">
        <v>294</v>
      </c>
      <c r="Q3617" s="5" t="s">
        <v>613</v>
      </c>
      <c r="R3617" s="5" t="s">
        <v>240</v>
      </c>
      <c r="S3617" s="5" t="s">
        <v>240</v>
      </c>
      <c r="T3617" s="5" t="s">
        <v>243</v>
      </c>
      <c r="U3617" s="5" t="s">
        <v>724</v>
      </c>
      <c r="V3617" s="5" t="s">
        <v>240</v>
      </c>
      <c r="W3617" s="5" t="s">
        <v>240</v>
      </c>
      <c r="X3617" s="5" t="s">
        <v>240</v>
      </c>
      <c r="Y3617" s="5" t="s">
        <v>240</v>
      </c>
      <c r="Z3617" s="6" t="s">
        <v>298</v>
      </c>
      <c r="AA3617" s="6" t="s">
        <v>240</v>
      </c>
      <c r="AB3617" s="6" t="s">
        <v>240</v>
      </c>
      <c r="AC3617" s="5" t="s">
        <v>240</v>
      </c>
      <c r="AD3617" s="6" t="s">
        <v>240</v>
      </c>
      <c r="AE3617" s="6" t="s">
        <v>299</v>
      </c>
      <c r="AF3617" s="5" t="s">
        <v>727</v>
      </c>
      <c r="AG3617" s="5" t="s">
        <v>260</v>
      </c>
      <c r="AH3617" s="5" t="s">
        <v>240</v>
      </c>
      <c r="AI3617" s="5" t="s">
        <v>240</v>
      </c>
      <c r="AJ3617" s="5" t="s">
        <v>240</v>
      </c>
      <c r="AK3617" s="5" t="s">
        <v>240</v>
      </c>
      <c r="AL3617" s="5" t="s">
        <v>240</v>
      </c>
      <c r="AM3617" s="5" t="s">
        <v>240</v>
      </c>
      <c r="AN3617" s="5" t="s">
        <v>240</v>
      </c>
      <c r="AO3617" s="5" t="s">
        <v>240</v>
      </c>
      <c r="AP3617" s="6" t="s">
        <v>240</v>
      </c>
      <c r="AQ3617" s="6" t="s">
        <v>240</v>
      </c>
      <c r="AR3617" s="6" t="s">
        <v>240</v>
      </c>
      <c r="AS3617" s="6" t="s">
        <v>240</v>
      </c>
      <c r="AT3617" s="5" t="s">
        <v>240</v>
      </c>
      <c r="AU3617" s="5" t="s">
        <v>729</v>
      </c>
      <c r="AV3617" s="5" t="s">
        <v>729</v>
      </c>
      <c r="AW3617" s="5" t="s">
        <v>251</v>
      </c>
      <c r="AX3617" s="5" t="s">
        <v>252</v>
      </c>
      <c r="AY3617" s="5" t="s">
        <v>253</v>
      </c>
      <c r="AZ3617" s="5" t="s">
        <v>240</v>
      </c>
      <c r="BA3617" s="5" t="s">
        <v>255</v>
      </c>
      <c r="BB3617" s="5" t="s">
        <v>731</v>
      </c>
      <c r="BD3617" s="5" t="s">
        <v>240</v>
      </c>
      <c r="BF3617" s="5" t="s">
        <v>732</v>
      </c>
      <c r="BG3617" s="6" t="s">
        <v>733</v>
      </c>
      <c r="BH3617" s="5" t="s">
        <v>734</v>
      </c>
      <c r="BI3617" s="5" t="s">
        <v>734</v>
      </c>
      <c r="BJ3617" s="5" t="s">
        <v>240</v>
      </c>
      <c r="BK3617" s="8">
        <f>228</f>
        <v>228</v>
      </c>
      <c r="BL3617" s="7">
        <f>0</f>
        <v>0</v>
      </c>
      <c r="BM3617" s="5" t="s">
        <v>258</v>
      </c>
      <c r="BN3617" s="5" t="s">
        <v>259</v>
      </c>
      <c r="BO3617" s="5" t="s">
        <v>240</v>
      </c>
      <c r="BP3617" s="5" t="s">
        <v>240</v>
      </c>
      <c r="BQ3617" s="5" t="s">
        <v>240</v>
      </c>
      <c r="BR3617" s="5" t="s">
        <v>240</v>
      </c>
      <c r="BS3617" s="5" t="s">
        <v>240</v>
      </c>
      <c r="BT3617" s="5" t="s">
        <v>240</v>
      </c>
      <c r="BU3617" s="5" t="s">
        <v>240</v>
      </c>
      <c r="BV3617" s="5" t="s">
        <v>240</v>
      </c>
      <c r="BW3617" s="6" t="s">
        <v>240</v>
      </c>
      <c r="BX3617" s="5" t="s">
        <v>240</v>
      </c>
      <c r="BY3617" s="5" t="s">
        <v>240</v>
      </c>
      <c r="BZ3617" s="5" t="s">
        <v>240</v>
      </c>
      <c r="CA3617" s="5" t="s">
        <v>259</v>
      </c>
      <c r="CB3617" s="5" t="s">
        <v>240</v>
      </c>
      <c r="CC3617" s="5" t="s">
        <v>240</v>
      </c>
      <c r="CD3617" s="5" t="s">
        <v>240</v>
      </c>
      <c r="CE3617" s="5" t="s">
        <v>240</v>
      </c>
      <c r="CF3617" s="5" t="s">
        <v>240</v>
      </c>
      <c r="CG3617" s="5" t="s">
        <v>617</v>
      </c>
      <c r="CH3617" s="5" t="s">
        <v>305</v>
      </c>
      <c r="CI3617" s="5" t="s">
        <v>240</v>
      </c>
      <c r="CL3617" s="6" t="s">
        <v>261</v>
      </c>
      <c r="CM3617" s="5" t="s">
        <v>262</v>
      </c>
      <c r="CN3617" s="5" t="s">
        <v>263</v>
      </c>
      <c r="CO3617" s="5" t="s">
        <v>264</v>
      </c>
      <c r="CP3617" s="5" t="s">
        <v>240</v>
      </c>
      <c r="CQ3617" s="5">
        <v>0</v>
      </c>
      <c r="CR3617" s="5" t="s">
        <v>735</v>
      </c>
      <c r="CS3617" s="5" t="s">
        <v>307</v>
      </c>
      <c r="CT3617" s="5" t="s">
        <v>307</v>
      </c>
      <c r="CU3617" s="5" t="s">
        <v>260</v>
      </c>
      <c r="CV3617" s="5" t="s">
        <v>240</v>
      </c>
      <c r="CW3617" s="8">
        <f>0</f>
        <v>0</v>
      </c>
      <c r="CX3617" s="7">
        <f>0</f>
        <v>0</v>
      </c>
      <c r="CY3617" s="7">
        <f>0</f>
        <v>0</v>
      </c>
      <c r="DA3617" s="7">
        <f>2508</f>
        <v>2508</v>
      </c>
      <c r="DB3617" s="7" t="s">
        <v>240</v>
      </c>
      <c r="DC3617" s="5" t="s">
        <v>240</v>
      </c>
      <c r="DD3617" s="5" t="s">
        <v>240</v>
      </c>
      <c r="DE3617" s="5" t="s">
        <v>240</v>
      </c>
      <c r="DF3617" s="5" t="s">
        <v>450</v>
      </c>
      <c r="DG3617" s="7">
        <f>0</f>
        <v>0</v>
      </c>
      <c r="DI3617" s="5" t="s">
        <v>737</v>
      </c>
      <c r="DJ3617" s="5" t="s">
        <v>240</v>
      </c>
      <c r="DK3617" s="5" t="s">
        <v>240</v>
      </c>
      <c r="DL3617" s="5" t="s">
        <v>240</v>
      </c>
      <c r="DM3617" s="5" t="s">
        <v>240</v>
      </c>
      <c r="DN3617" s="5" t="s">
        <v>240</v>
      </c>
      <c r="DO3617" s="7" t="s">
        <v>240</v>
      </c>
      <c r="DP3617" s="5" t="s">
        <v>240</v>
      </c>
      <c r="DQ3617" s="5" t="s">
        <v>240</v>
      </c>
      <c r="DR3617" s="5" t="s">
        <v>731</v>
      </c>
      <c r="DS3617" s="5" t="s">
        <v>731</v>
      </c>
      <c r="DT3617" s="5" t="s">
        <v>240</v>
      </c>
      <c r="DU3617" s="5" t="s">
        <v>240</v>
      </c>
      <c r="DV3617" s="5" t="s">
        <v>738</v>
      </c>
      <c r="DW3617" s="5" t="s">
        <v>750</v>
      </c>
      <c r="DX3617" s="5" t="s">
        <v>240</v>
      </c>
      <c r="DY3617" s="5" t="s">
        <v>240</v>
      </c>
      <c r="DZ3617" s="5" t="s">
        <v>240</v>
      </c>
      <c r="EA3617" s="5" t="s">
        <v>240</v>
      </c>
      <c r="EB3617" s="5" t="s">
        <v>240</v>
      </c>
      <c r="EC3617" s="5" t="s">
        <v>240</v>
      </c>
      <c r="ED3617" s="5" t="s">
        <v>240</v>
      </c>
      <c r="EE3617" s="5" t="s">
        <v>240</v>
      </c>
      <c r="EF3617" s="5" t="s">
        <v>240</v>
      </c>
      <c r="EG3617" s="5" t="s">
        <v>240</v>
      </c>
      <c r="EH3617" s="5" t="s">
        <v>240</v>
      </c>
      <c r="EI3617" s="5" t="s">
        <v>240</v>
      </c>
      <c r="EJ3617" s="5" t="s">
        <v>240</v>
      </c>
      <c r="EK3617" s="5" t="s">
        <v>240</v>
      </c>
      <c r="EL3617" s="5" t="s">
        <v>240</v>
      </c>
      <c r="EM3617" s="5" t="s">
        <v>240</v>
      </c>
      <c r="EN3617" s="5" t="s">
        <v>240</v>
      </c>
      <c r="EO3617" s="5" t="s">
        <v>240</v>
      </c>
      <c r="EP3617" s="5" t="s">
        <v>240</v>
      </c>
      <c r="EQ3617" s="5" t="s">
        <v>240</v>
      </c>
      <c r="ER3617" s="5" t="s">
        <v>240</v>
      </c>
      <c r="ES3617" s="5" t="s">
        <v>240</v>
      </c>
      <c r="ET3617" s="5" t="s">
        <v>240</v>
      </c>
      <c r="EU3617" s="5" t="s">
        <v>240</v>
      </c>
      <c r="EV3617" s="5" t="s">
        <v>240</v>
      </c>
      <c r="EW3617" s="5" t="s">
        <v>240</v>
      </c>
      <c r="EX3617" s="5" t="s">
        <v>240</v>
      </c>
      <c r="EY3617" s="5" t="s">
        <v>240</v>
      </c>
      <c r="EZ3617" s="5" t="s">
        <v>240</v>
      </c>
      <c r="FA3617" s="5" t="s">
        <v>240</v>
      </c>
      <c r="FB3617" s="5" t="s">
        <v>240</v>
      </c>
      <c r="FC3617" s="5" t="s">
        <v>240</v>
      </c>
      <c r="FD3617" s="5" t="s">
        <v>240</v>
      </c>
      <c r="FE3617" s="5" t="s">
        <v>240</v>
      </c>
      <c r="FF3617" s="5" t="s">
        <v>240</v>
      </c>
      <c r="FG3617" s="5" t="s">
        <v>240</v>
      </c>
      <c r="FH3617" s="5" t="s">
        <v>240</v>
      </c>
      <c r="FI3617" s="5" t="s">
        <v>240</v>
      </c>
      <c r="FJ3617" s="5" t="s">
        <v>240</v>
      </c>
      <c r="FK3617" s="5" t="s">
        <v>240</v>
      </c>
      <c r="FL3617" s="5" t="s">
        <v>240</v>
      </c>
      <c r="FM3617" s="5" t="s">
        <v>240</v>
      </c>
      <c r="FN3617" s="5" t="s">
        <v>240</v>
      </c>
      <c r="FO3617" s="5" t="s">
        <v>240</v>
      </c>
      <c r="FP3617" s="5" t="s">
        <v>240</v>
      </c>
      <c r="FQ3617" s="5" t="s">
        <v>240</v>
      </c>
      <c r="FR3617" s="5" t="s">
        <v>240</v>
      </c>
      <c r="FS3617" s="5" t="s">
        <v>240</v>
      </c>
      <c r="FT3617" s="5" t="s">
        <v>240</v>
      </c>
      <c r="FU3617" s="5" t="s">
        <v>240</v>
      </c>
      <c r="FV3617" s="5" t="s">
        <v>240</v>
      </c>
      <c r="FW3617" s="5" t="s">
        <v>240</v>
      </c>
      <c r="FX3617" s="5" t="s">
        <v>240</v>
      </c>
      <c r="FY3617" s="5" t="s">
        <v>240</v>
      </c>
      <c r="FZ3617" s="5" t="s">
        <v>240</v>
      </c>
      <c r="GA3617" s="5" t="s">
        <v>240</v>
      </c>
      <c r="GB3617" s="5" t="s">
        <v>240</v>
      </c>
      <c r="GC3617" s="5" t="s">
        <v>240</v>
      </c>
      <c r="GD3617" s="5" t="s">
        <v>240</v>
      </c>
      <c r="GE3617" s="5" t="s">
        <v>240</v>
      </c>
      <c r="GF3617" s="5" t="s">
        <v>240</v>
      </c>
      <c r="GG3617" s="5" t="s">
        <v>240</v>
      </c>
      <c r="GH3617" s="5" t="s">
        <v>240</v>
      </c>
      <c r="GI3617" s="5" t="s">
        <v>240</v>
      </c>
      <c r="GJ3617" s="5" t="s">
        <v>240</v>
      </c>
      <c r="GK3617" s="5" t="s">
        <v>240</v>
      </c>
      <c r="GL3617" s="5" t="s">
        <v>240</v>
      </c>
      <c r="GM3617" s="5" t="s">
        <v>240</v>
      </c>
      <c r="GN3617" s="5" t="s">
        <v>240</v>
      </c>
      <c r="GO3617" s="5" t="s">
        <v>240</v>
      </c>
      <c r="GP3617" s="5" t="s">
        <v>240</v>
      </c>
      <c r="GQ3617" s="5" t="s">
        <v>240</v>
      </c>
      <c r="GR3617" s="5" t="s">
        <v>240</v>
      </c>
      <c r="GS3617" s="5" t="s">
        <v>240</v>
      </c>
      <c r="GT3617" s="5" t="s">
        <v>240</v>
      </c>
      <c r="GU3617" s="5" t="s">
        <v>240</v>
      </c>
      <c r="GV3617" s="5" t="s">
        <v>240</v>
      </c>
      <c r="GW3617" s="5" t="s">
        <v>240</v>
      </c>
      <c r="GX3617" s="5" t="s">
        <v>240</v>
      </c>
      <c r="GY3617" s="5" t="s">
        <v>240</v>
      </c>
      <c r="GZ3617" s="5" t="s">
        <v>240</v>
      </c>
      <c r="HA3617" s="5" t="s">
        <v>240</v>
      </c>
      <c r="HB3617" s="5" t="s">
        <v>240</v>
      </c>
      <c r="HC3617" s="5" t="s">
        <v>240</v>
      </c>
      <c r="HD3617" s="5" t="s">
        <v>240</v>
      </c>
      <c r="HE3617" s="5" t="s">
        <v>240</v>
      </c>
      <c r="HF3617" s="5" t="s">
        <v>240</v>
      </c>
      <c r="HG3617" s="5" t="s">
        <v>240</v>
      </c>
      <c r="HH3617" s="5" t="s">
        <v>240</v>
      </c>
      <c r="HI3617" s="5" t="s">
        <v>240</v>
      </c>
      <c r="HJ3617" s="5" t="s">
        <v>240</v>
      </c>
      <c r="HK3617" s="5" t="s">
        <v>240</v>
      </c>
      <c r="HL3617" s="5" t="s">
        <v>240</v>
      </c>
      <c r="HM3617" s="5" t="s">
        <v>240</v>
      </c>
      <c r="HN3617" s="5" t="s">
        <v>240</v>
      </c>
      <c r="HO3617" s="5" t="s">
        <v>312</v>
      </c>
      <c r="HP3617" s="5" t="s">
        <v>240</v>
      </c>
      <c r="HQ3617" s="5" t="s">
        <v>240</v>
      </c>
      <c r="HR3617" s="5" t="s">
        <v>240</v>
      </c>
      <c r="HS3617" s="5" t="s">
        <v>240</v>
      </c>
      <c r="HT3617" s="5" t="s">
        <v>240</v>
      </c>
      <c r="HU3617" s="5" t="s">
        <v>240</v>
      </c>
      <c r="HV3617" s="5" t="s">
        <v>240</v>
      </c>
      <c r="HW3617" s="5" t="s">
        <v>240</v>
      </c>
      <c r="HX3617" s="5" t="s">
        <v>240</v>
      </c>
      <c r="HY3617" s="5" t="s">
        <v>240</v>
      </c>
      <c r="HZ3617" s="5" t="s">
        <v>240</v>
      </c>
      <c r="IA3617" s="5" t="s">
        <v>240</v>
      </c>
      <c r="IB3617" s="5" t="s">
        <v>240</v>
      </c>
      <c r="IC3617" s="5" t="s">
        <v>240</v>
      </c>
      <c r="ID3617" s="5" t="s">
        <v>240</v>
      </c>
      <c r="IE3617" s="5" t="s">
        <v>240</v>
      </c>
      <c r="IF3617" s="5" t="s">
        <v>240</v>
      </c>
    </row>
    <row r="3618" spans="1:240" x14ac:dyDescent="0.4">
      <c r="A3618" s="5">
        <v>9160</v>
      </c>
      <c r="B3618" s="5">
        <v>1</v>
      </c>
      <c r="C3618" s="5">
        <v>1</v>
      </c>
      <c r="D3618" s="5" t="s">
        <v>723</v>
      </c>
      <c r="E3618" s="5" t="s">
        <v>725</v>
      </c>
      <c r="F3618" s="5" t="s">
        <v>254</v>
      </c>
      <c r="G3618" s="5" t="s">
        <v>5714</v>
      </c>
      <c r="H3618" s="6" t="s">
        <v>5715</v>
      </c>
      <c r="I3618" s="5" t="s">
        <v>5713</v>
      </c>
      <c r="J3618" s="7">
        <f>1</f>
        <v>1</v>
      </c>
      <c r="K3618" s="5" t="s">
        <v>3682</v>
      </c>
      <c r="L3618" s="7">
        <f>1</f>
        <v>1</v>
      </c>
      <c r="M3618" s="7">
        <f>1</f>
        <v>1</v>
      </c>
      <c r="N3618" s="5" t="s">
        <v>242</v>
      </c>
      <c r="O3618" s="5">
        <v>1</v>
      </c>
      <c r="P3618" s="5" t="s">
        <v>294</v>
      </c>
      <c r="Q3618" s="5" t="s">
        <v>3678</v>
      </c>
      <c r="R3618" s="5" t="s">
        <v>240</v>
      </c>
      <c r="S3618" s="5" t="s">
        <v>240</v>
      </c>
      <c r="T3618" s="5" t="s">
        <v>243</v>
      </c>
      <c r="U3618" s="5" t="s">
        <v>244</v>
      </c>
      <c r="V3618" s="5" t="s">
        <v>240</v>
      </c>
      <c r="W3618" s="5" t="s">
        <v>240</v>
      </c>
      <c r="X3618" s="5" t="s">
        <v>240</v>
      </c>
      <c r="Y3618" s="5" t="s">
        <v>240</v>
      </c>
      <c r="Z3618" s="6" t="s">
        <v>298</v>
      </c>
      <c r="AA3618" s="6" t="s">
        <v>240</v>
      </c>
      <c r="AB3618" s="6" t="s">
        <v>240</v>
      </c>
      <c r="AC3618" s="5" t="s">
        <v>240</v>
      </c>
      <c r="AD3618" s="6" t="s">
        <v>240</v>
      </c>
      <c r="AE3618" s="6" t="s">
        <v>299</v>
      </c>
      <c r="AF3618" s="5" t="s">
        <v>248</v>
      </c>
      <c r="AG3618" s="5" t="s">
        <v>249</v>
      </c>
      <c r="AH3618" s="5" t="s">
        <v>240</v>
      </c>
      <c r="AI3618" s="5" t="s">
        <v>240</v>
      </c>
      <c r="AJ3618" s="5" t="s">
        <v>240</v>
      </c>
      <c r="AK3618" s="5" t="s">
        <v>240</v>
      </c>
      <c r="AL3618" s="5" t="s">
        <v>240</v>
      </c>
      <c r="AM3618" s="5" t="s">
        <v>240</v>
      </c>
      <c r="AN3618" s="5" t="s">
        <v>240</v>
      </c>
      <c r="AO3618" s="5" t="s">
        <v>240</v>
      </c>
      <c r="AP3618" s="6" t="s">
        <v>240</v>
      </c>
      <c r="AQ3618" s="6" t="s">
        <v>240</v>
      </c>
      <c r="AR3618" s="6" t="s">
        <v>240</v>
      </c>
      <c r="AS3618" s="6" t="s">
        <v>240</v>
      </c>
      <c r="AT3618" s="5" t="s">
        <v>240</v>
      </c>
      <c r="AU3618" s="5" t="s">
        <v>729</v>
      </c>
      <c r="AV3618" s="5" t="s">
        <v>729</v>
      </c>
      <c r="AW3618" s="5" t="s">
        <v>251</v>
      </c>
      <c r="AX3618" s="5" t="s">
        <v>252</v>
      </c>
      <c r="AY3618" s="5" t="s">
        <v>253</v>
      </c>
      <c r="AZ3618" s="5" t="s">
        <v>240</v>
      </c>
      <c r="BA3618" s="5" t="s">
        <v>255</v>
      </c>
      <c r="BB3618" s="5" t="s">
        <v>731</v>
      </c>
      <c r="BD3618" s="5" t="s">
        <v>240</v>
      </c>
      <c r="BF3618" s="5" t="s">
        <v>732</v>
      </c>
      <c r="BG3618" s="6" t="s">
        <v>733</v>
      </c>
      <c r="BH3618" s="5" t="s">
        <v>734</v>
      </c>
      <c r="BI3618" s="5" t="s">
        <v>734</v>
      </c>
      <c r="BJ3618" s="5" t="s">
        <v>240</v>
      </c>
      <c r="BK3618" s="7">
        <f>1</f>
        <v>1</v>
      </c>
      <c r="BL3618" s="7">
        <f>1</f>
        <v>1</v>
      </c>
      <c r="BM3618" s="5" t="s">
        <v>258</v>
      </c>
      <c r="BN3618" s="5" t="s">
        <v>259</v>
      </c>
      <c r="BO3618" s="5" t="s">
        <v>240</v>
      </c>
      <c r="BP3618" s="5" t="s">
        <v>240</v>
      </c>
      <c r="BQ3618" s="5" t="s">
        <v>240</v>
      </c>
      <c r="BR3618" s="5" t="s">
        <v>240</v>
      </c>
      <c r="BS3618" s="5" t="s">
        <v>240</v>
      </c>
      <c r="BT3618" s="5" t="s">
        <v>240</v>
      </c>
      <c r="BU3618" s="5" t="s">
        <v>240</v>
      </c>
      <c r="BV3618" s="5" t="s">
        <v>240</v>
      </c>
      <c r="BW3618" s="6" t="s">
        <v>240</v>
      </c>
      <c r="BX3618" s="5" t="s">
        <v>240</v>
      </c>
      <c r="BY3618" s="5" t="s">
        <v>240</v>
      </c>
      <c r="BZ3618" s="5" t="s">
        <v>240</v>
      </c>
      <c r="CA3618" s="5" t="s">
        <v>259</v>
      </c>
      <c r="CB3618" s="5" t="s">
        <v>240</v>
      </c>
      <c r="CC3618" s="5" t="s">
        <v>240</v>
      </c>
      <c r="CD3618" s="5" t="s">
        <v>240</v>
      </c>
      <c r="CE3618" s="5" t="s">
        <v>240</v>
      </c>
      <c r="CF3618" s="5" t="s">
        <v>240</v>
      </c>
      <c r="CG3618" s="5" t="s">
        <v>304</v>
      </c>
      <c r="CH3618" s="5" t="s">
        <v>305</v>
      </c>
      <c r="CI3618" s="5" t="s">
        <v>240</v>
      </c>
      <c r="CK3618" s="5" t="s">
        <v>3681</v>
      </c>
      <c r="CL3618" s="6" t="s">
        <v>261</v>
      </c>
      <c r="CM3618" s="5" t="s">
        <v>262</v>
      </c>
      <c r="CN3618" s="5" t="s">
        <v>263</v>
      </c>
      <c r="CO3618" s="5" t="s">
        <v>264</v>
      </c>
      <c r="CP3618" s="5" t="s">
        <v>240</v>
      </c>
      <c r="CQ3618" s="5">
        <v>0</v>
      </c>
      <c r="CR3618" s="5" t="s">
        <v>735</v>
      </c>
      <c r="CS3618" s="5" t="s">
        <v>307</v>
      </c>
      <c r="CT3618" s="5" t="s">
        <v>307</v>
      </c>
      <c r="CU3618" s="5" t="s">
        <v>260</v>
      </c>
      <c r="CV3618" s="5" t="s">
        <v>612</v>
      </c>
      <c r="CW3618" s="8">
        <f>1</f>
        <v>1</v>
      </c>
      <c r="CX3618" s="7">
        <f>1</f>
        <v>1</v>
      </c>
      <c r="CY3618" s="7">
        <f>0</f>
        <v>0</v>
      </c>
      <c r="DA3618" s="7">
        <f>1</f>
        <v>1</v>
      </c>
      <c r="DB3618" s="7" t="s">
        <v>240</v>
      </c>
      <c r="DC3618" s="5" t="s">
        <v>240</v>
      </c>
      <c r="DD3618" s="5" t="s">
        <v>240</v>
      </c>
      <c r="DE3618" s="5" t="s">
        <v>240</v>
      </c>
      <c r="DF3618" s="5" t="s">
        <v>240</v>
      </c>
      <c r="DG3618" s="7">
        <f>0</f>
        <v>0</v>
      </c>
      <c r="DI3618" s="5" t="s">
        <v>240</v>
      </c>
      <c r="DJ3618" s="5" t="s">
        <v>240</v>
      </c>
      <c r="DK3618" s="5" t="s">
        <v>240</v>
      </c>
      <c r="DL3618" s="5" t="s">
        <v>240</v>
      </c>
      <c r="DM3618" s="5" t="s">
        <v>240</v>
      </c>
      <c r="DN3618" s="5" t="s">
        <v>240</v>
      </c>
      <c r="DO3618" s="7" t="s">
        <v>240</v>
      </c>
      <c r="DP3618" s="5" t="s">
        <v>240</v>
      </c>
      <c r="DQ3618" s="5" t="s">
        <v>240</v>
      </c>
      <c r="DR3618" s="5" t="s">
        <v>731</v>
      </c>
      <c r="DS3618" s="5" t="s">
        <v>731</v>
      </c>
      <c r="DT3618" s="5" t="s">
        <v>240</v>
      </c>
      <c r="DU3618" s="5" t="s">
        <v>240</v>
      </c>
      <c r="DV3618" s="5" t="s">
        <v>3683</v>
      </c>
      <c r="DW3618" s="5" t="s">
        <v>4105</v>
      </c>
      <c r="DX3618" s="5" t="s">
        <v>240</v>
      </c>
      <c r="DY3618" s="5" t="s">
        <v>240</v>
      </c>
      <c r="DZ3618" s="5" t="s">
        <v>240</v>
      </c>
      <c r="EA3618" s="5" t="s">
        <v>240</v>
      </c>
      <c r="EB3618" s="5" t="s">
        <v>240</v>
      </c>
      <c r="EC3618" s="5" t="s">
        <v>240</v>
      </c>
      <c r="ED3618" s="5" t="s">
        <v>240</v>
      </c>
      <c r="EE3618" s="5" t="s">
        <v>240</v>
      </c>
      <c r="EF3618" s="5" t="s">
        <v>240</v>
      </c>
      <c r="EG3618" s="5" t="s">
        <v>240</v>
      </c>
      <c r="EH3618" s="5" t="s">
        <v>240</v>
      </c>
      <c r="EI3618" s="5" t="s">
        <v>240</v>
      </c>
      <c r="EJ3618" s="5" t="s">
        <v>240</v>
      </c>
      <c r="EK3618" s="5" t="s">
        <v>240</v>
      </c>
      <c r="EL3618" s="5" t="s">
        <v>240</v>
      </c>
      <c r="EM3618" s="5" t="s">
        <v>240</v>
      </c>
      <c r="EN3618" s="5" t="s">
        <v>240</v>
      </c>
      <c r="EO3618" s="5" t="s">
        <v>240</v>
      </c>
      <c r="EP3618" s="5" t="s">
        <v>240</v>
      </c>
      <c r="EQ3618" s="5" t="s">
        <v>240</v>
      </c>
      <c r="ER3618" s="5" t="s">
        <v>240</v>
      </c>
      <c r="ES3618" s="5" t="s">
        <v>240</v>
      </c>
      <c r="ET3618" s="5" t="s">
        <v>240</v>
      </c>
      <c r="EU3618" s="5" t="s">
        <v>240</v>
      </c>
      <c r="EV3618" s="5" t="s">
        <v>240</v>
      </c>
      <c r="EW3618" s="5" t="s">
        <v>240</v>
      </c>
      <c r="EX3618" s="5" t="s">
        <v>240</v>
      </c>
      <c r="EY3618" s="5" t="s">
        <v>240</v>
      </c>
      <c r="EZ3618" s="5" t="s">
        <v>240</v>
      </c>
      <c r="FA3618" s="5" t="s">
        <v>240</v>
      </c>
      <c r="FB3618" s="5" t="s">
        <v>240</v>
      </c>
      <c r="FC3618" s="5" t="s">
        <v>240</v>
      </c>
      <c r="FD3618" s="5" t="s">
        <v>240</v>
      </c>
      <c r="FE3618" s="5" t="s">
        <v>240</v>
      </c>
      <c r="FF3618" s="5" t="s">
        <v>240</v>
      </c>
      <c r="FG3618" s="5" t="s">
        <v>240</v>
      </c>
      <c r="FH3618" s="5" t="s">
        <v>240</v>
      </c>
      <c r="FI3618" s="5" t="s">
        <v>240</v>
      </c>
      <c r="FJ3618" s="5" t="s">
        <v>240</v>
      </c>
      <c r="FK3618" s="5" t="s">
        <v>240</v>
      </c>
      <c r="FL3618" s="5" t="s">
        <v>240</v>
      </c>
      <c r="FM3618" s="5" t="s">
        <v>240</v>
      </c>
      <c r="FN3618" s="5" t="s">
        <v>240</v>
      </c>
      <c r="FO3618" s="5" t="s">
        <v>240</v>
      </c>
      <c r="FP3618" s="5" t="s">
        <v>240</v>
      </c>
      <c r="FQ3618" s="5" t="s">
        <v>240</v>
      </c>
      <c r="FR3618" s="5" t="s">
        <v>240</v>
      </c>
      <c r="FS3618" s="5" t="s">
        <v>240</v>
      </c>
      <c r="FT3618" s="5" t="s">
        <v>240</v>
      </c>
      <c r="FU3618" s="5" t="s">
        <v>240</v>
      </c>
      <c r="FV3618" s="5" t="s">
        <v>240</v>
      </c>
      <c r="FW3618" s="5" t="s">
        <v>240</v>
      </c>
      <c r="FX3618" s="5" t="s">
        <v>240</v>
      </c>
      <c r="FY3618" s="5" t="s">
        <v>240</v>
      </c>
      <c r="FZ3618" s="5" t="s">
        <v>240</v>
      </c>
      <c r="GA3618" s="5" t="s">
        <v>240</v>
      </c>
      <c r="GB3618" s="5" t="s">
        <v>240</v>
      </c>
      <c r="GC3618" s="5" t="s">
        <v>240</v>
      </c>
      <c r="GD3618" s="5" t="s">
        <v>240</v>
      </c>
      <c r="GE3618" s="5" t="s">
        <v>240</v>
      </c>
      <c r="GF3618" s="5" t="s">
        <v>240</v>
      </c>
      <c r="GG3618" s="5" t="s">
        <v>240</v>
      </c>
      <c r="GH3618" s="5" t="s">
        <v>240</v>
      </c>
      <c r="GI3618" s="5" t="s">
        <v>240</v>
      </c>
      <c r="GJ3618" s="5" t="s">
        <v>240</v>
      </c>
      <c r="GK3618" s="5" t="s">
        <v>240</v>
      </c>
      <c r="GL3618" s="5" t="s">
        <v>240</v>
      </c>
      <c r="GM3618" s="5" t="s">
        <v>240</v>
      </c>
      <c r="GN3618" s="5" t="s">
        <v>240</v>
      </c>
      <c r="GO3618" s="5" t="s">
        <v>240</v>
      </c>
      <c r="GP3618" s="5" t="s">
        <v>240</v>
      </c>
      <c r="GQ3618" s="5" t="s">
        <v>240</v>
      </c>
      <c r="GR3618" s="5" t="s">
        <v>240</v>
      </c>
      <c r="GS3618" s="5" t="s">
        <v>240</v>
      </c>
      <c r="GT3618" s="5" t="s">
        <v>240</v>
      </c>
      <c r="GU3618" s="5" t="s">
        <v>240</v>
      </c>
      <c r="GV3618" s="5" t="s">
        <v>240</v>
      </c>
      <c r="GW3618" s="5" t="s">
        <v>240</v>
      </c>
      <c r="GX3618" s="5" t="s">
        <v>240</v>
      </c>
      <c r="GY3618" s="5" t="s">
        <v>240</v>
      </c>
      <c r="GZ3618" s="5" t="s">
        <v>240</v>
      </c>
      <c r="HA3618" s="5" t="s">
        <v>240</v>
      </c>
      <c r="HB3618" s="5" t="s">
        <v>240</v>
      </c>
      <c r="HC3618" s="5" t="s">
        <v>240</v>
      </c>
      <c r="HD3618" s="5" t="s">
        <v>240</v>
      </c>
      <c r="HE3618" s="5" t="s">
        <v>240</v>
      </c>
      <c r="HF3618" s="5" t="s">
        <v>240</v>
      </c>
      <c r="HG3618" s="5" t="s">
        <v>240</v>
      </c>
      <c r="HH3618" s="5" t="s">
        <v>240</v>
      </c>
      <c r="HI3618" s="5" t="s">
        <v>240</v>
      </c>
      <c r="HJ3618" s="5" t="s">
        <v>240</v>
      </c>
      <c r="HK3618" s="5" t="s">
        <v>240</v>
      </c>
      <c r="HL3618" s="5" t="s">
        <v>240</v>
      </c>
      <c r="HM3618" s="5" t="s">
        <v>240</v>
      </c>
      <c r="HN3618" s="5" t="s">
        <v>240</v>
      </c>
      <c r="HO3618" s="5" t="s">
        <v>312</v>
      </c>
      <c r="HP3618" s="5" t="s">
        <v>240</v>
      </c>
      <c r="HQ3618" s="5" t="s">
        <v>240</v>
      </c>
      <c r="HR3618" s="5" t="s">
        <v>240</v>
      </c>
      <c r="HS3618" s="5" t="s">
        <v>240</v>
      </c>
      <c r="HT3618" s="5" t="s">
        <v>240</v>
      </c>
      <c r="HU3618" s="5" t="s">
        <v>240</v>
      </c>
      <c r="HV3618" s="5" t="s">
        <v>240</v>
      </c>
      <c r="HW3618" s="5" t="s">
        <v>240</v>
      </c>
      <c r="HX3618" s="5" t="s">
        <v>240</v>
      </c>
      <c r="HY3618" s="5" t="s">
        <v>240</v>
      </c>
      <c r="HZ3618" s="5" t="s">
        <v>240</v>
      </c>
      <c r="IA3618" s="5" t="s">
        <v>240</v>
      </c>
      <c r="IB3618" s="5" t="s">
        <v>240</v>
      </c>
      <c r="IC3618" s="5" t="s">
        <v>240</v>
      </c>
      <c r="ID3618" s="5" t="s">
        <v>240</v>
      </c>
      <c r="IE3618" s="5" t="s">
        <v>240</v>
      </c>
      <c r="IF3618" s="5" t="s">
        <v>240</v>
      </c>
    </row>
    <row r="3619" spans="1:240" x14ac:dyDescent="0.4">
      <c r="A3619" s="5">
        <v>9161</v>
      </c>
      <c r="B3619" s="5">
        <v>1</v>
      </c>
      <c r="C3619" s="5">
        <v>1</v>
      </c>
      <c r="D3619" s="5" t="s">
        <v>723</v>
      </c>
      <c r="E3619" s="5" t="s">
        <v>725</v>
      </c>
      <c r="F3619" s="5" t="s">
        <v>254</v>
      </c>
      <c r="G3619" s="5" t="s">
        <v>726</v>
      </c>
      <c r="H3619" s="6" t="s">
        <v>5712</v>
      </c>
      <c r="I3619" s="5" t="s">
        <v>5711</v>
      </c>
      <c r="J3619" s="7">
        <f>1</f>
        <v>1</v>
      </c>
      <c r="K3619" s="5" t="s">
        <v>3682</v>
      </c>
      <c r="L3619" s="7">
        <f>1</f>
        <v>1</v>
      </c>
      <c r="M3619" s="7">
        <f>1</f>
        <v>1</v>
      </c>
      <c r="N3619" s="5" t="s">
        <v>242</v>
      </c>
      <c r="O3619" s="5">
        <v>1</v>
      </c>
      <c r="P3619" s="5" t="s">
        <v>294</v>
      </c>
      <c r="Q3619" s="5" t="s">
        <v>613</v>
      </c>
      <c r="R3619" s="5" t="s">
        <v>240</v>
      </c>
      <c r="S3619" s="5" t="s">
        <v>240</v>
      </c>
      <c r="T3619" s="5" t="s">
        <v>243</v>
      </c>
      <c r="U3619" s="5" t="s">
        <v>724</v>
      </c>
      <c r="V3619" s="5" t="s">
        <v>240</v>
      </c>
      <c r="W3619" s="5" t="s">
        <v>240</v>
      </c>
      <c r="X3619" s="5" t="s">
        <v>240</v>
      </c>
      <c r="Y3619" s="5" t="s">
        <v>240</v>
      </c>
      <c r="Z3619" s="6" t="s">
        <v>298</v>
      </c>
      <c r="AA3619" s="6" t="s">
        <v>240</v>
      </c>
      <c r="AB3619" s="6" t="s">
        <v>240</v>
      </c>
      <c r="AC3619" s="5" t="s">
        <v>240</v>
      </c>
      <c r="AD3619" s="6" t="s">
        <v>240</v>
      </c>
      <c r="AE3619" s="6" t="s">
        <v>299</v>
      </c>
      <c r="AF3619" s="5" t="s">
        <v>727</v>
      </c>
      <c r="AG3619" s="5" t="s">
        <v>260</v>
      </c>
      <c r="AH3619" s="5" t="s">
        <v>240</v>
      </c>
      <c r="AI3619" s="5" t="s">
        <v>240</v>
      </c>
      <c r="AJ3619" s="5" t="s">
        <v>240</v>
      </c>
      <c r="AK3619" s="5" t="s">
        <v>240</v>
      </c>
      <c r="AL3619" s="5" t="s">
        <v>240</v>
      </c>
      <c r="AM3619" s="5" t="s">
        <v>240</v>
      </c>
      <c r="AN3619" s="5" t="s">
        <v>240</v>
      </c>
      <c r="AO3619" s="5" t="s">
        <v>240</v>
      </c>
      <c r="AP3619" s="6" t="s">
        <v>240</v>
      </c>
      <c r="AQ3619" s="6" t="s">
        <v>240</v>
      </c>
      <c r="AR3619" s="6" t="s">
        <v>240</v>
      </c>
      <c r="AS3619" s="6" t="s">
        <v>240</v>
      </c>
      <c r="AT3619" s="5" t="s">
        <v>240</v>
      </c>
      <c r="AU3619" s="5" t="s">
        <v>729</v>
      </c>
      <c r="AV3619" s="5" t="s">
        <v>729</v>
      </c>
      <c r="AW3619" s="5" t="s">
        <v>251</v>
      </c>
      <c r="AX3619" s="5" t="s">
        <v>252</v>
      </c>
      <c r="AY3619" s="5" t="s">
        <v>253</v>
      </c>
      <c r="AZ3619" s="5" t="s">
        <v>240</v>
      </c>
      <c r="BA3619" s="5" t="s">
        <v>255</v>
      </c>
      <c r="BB3619" s="5" t="s">
        <v>731</v>
      </c>
      <c r="BD3619" s="5" t="s">
        <v>240</v>
      </c>
      <c r="BF3619" s="5" t="s">
        <v>732</v>
      </c>
      <c r="BG3619" s="6" t="s">
        <v>733</v>
      </c>
      <c r="BH3619" s="5" t="s">
        <v>734</v>
      </c>
      <c r="BI3619" s="5" t="s">
        <v>734</v>
      </c>
      <c r="BJ3619" s="5" t="s">
        <v>240</v>
      </c>
      <c r="BK3619" s="8">
        <f>657</f>
        <v>657</v>
      </c>
      <c r="BL3619" s="7">
        <f>0</f>
        <v>0</v>
      </c>
      <c r="BM3619" s="5" t="s">
        <v>258</v>
      </c>
      <c r="BN3619" s="5" t="s">
        <v>259</v>
      </c>
      <c r="BO3619" s="5" t="s">
        <v>240</v>
      </c>
      <c r="BP3619" s="5" t="s">
        <v>240</v>
      </c>
      <c r="BQ3619" s="5" t="s">
        <v>240</v>
      </c>
      <c r="BR3619" s="5" t="s">
        <v>240</v>
      </c>
      <c r="BS3619" s="5" t="s">
        <v>240</v>
      </c>
      <c r="BT3619" s="5" t="s">
        <v>240</v>
      </c>
      <c r="BU3619" s="5" t="s">
        <v>240</v>
      </c>
      <c r="BV3619" s="5" t="s">
        <v>240</v>
      </c>
      <c r="BW3619" s="6" t="s">
        <v>240</v>
      </c>
      <c r="BX3619" s="5" t="s">
        <v>240</v>
      </c>
      <c r="BY3619" s="5" t="s">
        <v>240</v>
      </c>
      <c r="BZ3619" s="5" t="s">
        <v>240</v>
      </c>
      <c r="CA3619" s="5" t="s">
        <v>259</v>
      </c>
      <c r="CB3619" s="5" t="s">
        <v>240</v>
      </c>
      <c r="CC3619" s="5" t="s">
        <v>240</v>
      </c>
      <c r="CD3619" s="5" t="s">
        <v>240</v>
      </c>
      <c r="CE3619" s="5" t="s">
        <v>240</v>
      </c>
      <c r="CF3619" s="5" t="s">
        <v>240</v>
      </c>
      <c r="CG3619" s="5" t="s">
        <v>617</v>
      </c>
      <c r="CH3619" s="5" t="s">
        <v>305</v>
      </c>
      <c r="CI3619" s="5" t="s">
        <v>240</v>
      </c>
      <c r="CL3619" s="6" t="s">
        <v>261</v>
      </c>
      <c r="CM3619" s="5" t="s">
        <v>262</v>
      </c>
      <c r="CN3619" s="5" t="s">
        <v>263</v>
      </c>
      <c r="CO3619" s="5" t="s">
        <v>264</v>
      </c>
      <c r="CP3619" s="5" t="s">
        <v>240</v>
      </c>
      <c r="CQ3619" s="5">
        <v>0</v>
      </c>
      <c r="CR3619" s="5" t="s">
        <v>735</v>
      </c>
      <c r="CS3619" s="5" t="s">
        <v>307</v>
      </c>
      <c r="CT3619" s="5" t="s">
        <v>307</v>
      </c>
      <c r="CU3619" s="5" t="s">
        <v>260</v>
      </c>
      <c r="CV3619" s="5" t="s">
        <v>240</v>
      </c>
      <c r="CW3619" s="8">
        <f>0</f>
        <v>0</v>
      </c>
      <c r="CX3619" s="7">
        <f>0</f>
        <v>0</v>
      </c>
      <c r="CY3619" s="7">
        <f>0</f>
        <v>0</v>
      </c>
      <c r="DA3619" s="7">
        <f>7227</f>
        <v>7227</v>
      </c>
      <c r="DB3619" s="7" t="s">
        <v>240</v>
      </c>
      <c r="DC3619" s="5" t="s">
        <v>240</v>
      </c>
      <c r="DD3619" s="5" t="s">
        <v>240</v>
      </c>
      <c r="DE3619" s="5" t="s">
        <v>240</v>
      </c>
      <c r="DF3619" s="5" t="s">
        <v>450</v>
      </c>
      <c r="DG3619" s="7">
        <f>0</f>
        <v>0</v>
      </c>
      <c r="DI3619" s="5" t="s">
        <v>737</v>
      </c>
      <c r="DJ3619" s="5" t="s">
        <v>240</v>
      </c>
      <c r="DK3619" s="5" t="s">
        <v>240</v>
      </c>
      <c r="DL3619" s="5" t="s">
        <v>240</v>
      </c>
      <c r="DM3619" s="5" t="s">
        <v>240</v>
      </c>
      <c r="DN3619" s="5" t="s">
        <v>240</v>
      </c>
      <c r="DO3619" s="7" t="s">
        <v>240</v>
      </c>
      <c r="DP3619" s="5" t="s">
        <v>240</v>
      </c>
      <c r="DQ3619" s="5" t="s">
        <v>240</v>
      </c>
      <c r="DR3619" s="5" t="s">
        <v>731</v>
      </c>
      <c r="DS3619" s="5" t="s">
        <v>731</v>
      </c>
      <c r="DT3619" s="5" t="s">
        <v>240</v>
      </c>
      <c r="DU3619" s="5" t="s">
        <v>240</v>
      </c>
      <c r="DV3619" s="5" t="s">
        <v>738</v>
      </c>
      <c r="DW3619" s="5" t="s">
        <v>744</v>
      </c>
      <c r="DX3619" s="5" t="s">
        <v>240</v>
      </c>
      <c r="DY3619" s="5" t="s">
        <v>240</v>
      </c>
      <c r="DZ3619" s="5" t="s">
        <v>240</v>
      </c>
      <c r="EA3619" s="5" t="s">
        <v>240</v>
      </c>
      <c r="EB3619" s="5" t="s">
        <v>240</v>
      </c>
      <c r="EC3619" s="5" t="s">
        <v>240</v>
      </c>
      <c r="ED3619" s="5" t="s">
        <v>240</v>
      </c>
      <c r="EE3619" s="5" t="s">
        <v>240</v>
      </c>
      <c r="EF3619" s="5" t="s">
        <v>240</v>
      </c>
      <c r="EG3619" s="5" t="s">
        <v>240</v>
      </c>
      <c r="EH3619" s="5" t="s">
        <v>240</v>
      </c>
      <c r="EI3619" s="5" t="s">
        <v>240</v>
      </c>
      <c r="EJ3619" s="5" t="s">
        <v>240</v>
      </c>
      <c r="EK3619" s="5" t="s">
        <v>240</v>
      </c>
      <c r="EL3619" s="5" t="s">
        <v>240</v>
      </c>
      <c r="EM3619" s="5" t="s">
        <v>240</v>
      </c>
      <c r="EN3619" s="5" t="s">
        <v>240</v>
      </c>
      <c r="EO3619" s="5" t="s">
        <v>240</v>
      </c>
      <c r="EP3619" s="5" t="s">
        <v>240</v>
      </c>
      <c r="EQ3619" s="5" t="s">
        <v>240</v>
      </c>
      <c r="ER3619" s="5" t="s">
        <v>240</v>
      </c>
      <c r="ES3619" s="5" t="s">
        <v>240</v>
      </c>
      <c r="ET3619" s="5" t="s">
        <v>240</v>
      </c>
      <c r="EU3619" s="5" t="s">
        <v>240</v>
      </c>
      <c r="EV3619" s="5" t="s">
        <v>240</v>
      </c>
      <c r="EW3619" s="5" t="s">
        <v>240</v>
      </c>
      <c r="EX3619" s="5" t="s">
        <v>240</v>
      </c>
      <c r="EY3619" s="5" t="s">
        <v>240</v>
      </c>
      <c r="EZ3619" s="5" t="s">
        <v>240</v>
      </c>
      <c r="FA3619" s="5" t="s">
        <v>240</v>
      </c>
      <c r="FB3619" s="5" t="s">
        <v>240</v>
      </c>
      <c r="FC3619" s="5" t="s">
        <v>240</v>
      </c>
      <c r="FD3619" s="5" t="s">
        <v>240</v>
      </c>
      <c r="FE3619" s="5" t="s">
        <v>240</v>
      </c>
      <c r="FF3619" s="5" t="s">
        <v>240</v>
      </c>
      <c r="FG3619" s="5" t="s">
        <v>240</v>
      </c>
      <c r="FH3619" s="5" t="s">
        <v>240</v>
      </c>
      <c r="FI3619" s="5" t="s">
        <v>240</v>
      </c>
      <c r="FJ3619" s="5" t="s">
        <v>240</v>
      </c>
      <c r="FK3619" s="5" t="s">
        <v>240</v>
      </c>
      <c r="FL3619" s="5" t="s">
        <v>240</v>
      </c>
      <c r="FM3619" s="5" t="s">
        <v>240</v>
      </c>
      <c r="FN3619" s="5" t="s">
        <v>240</v>
      </c>
      <c r="FO3619" s="5" t="s">
        <v>240</v>
      </c>
      <c r="FP3619" s="5" t="s">
        <v>240</v>
      </c>
      <c r="FQ3619" s="5" t="s">
        <v>240</v>
      </c>
      <c r="FR3619" s="5" t="s">
        <v>240</v>
      </c>
      <c r="FS3619" s="5" t="s">
        <v>240</v>
      </c>
      <c r="FT3619" s="5" t="s">
        <v>240</v>
      </c>
      <c r="FU3619" s="5" t="s">
        <v>240</v>
      </c>
      <c r="FV3619" s="5" t="s">
        <v>240</v>
      </c>
      <c r="FW3619" s="5" t="s">
        <v>240</v>
      </c>
      <c r="FX3619" s="5" t="s">
        <v>240</v>
      </c>
      <c r="FY3619" s="5" t="s">
        <v>240</v>
      </c>
      <c r="FZ3619" s="5" t="s">
        <v>240</v>
      </c>
      <c r="GA3619" s="5" t="s">
        <v>240</v>
      </c>
      <c r="GB3619" s="5" t="s">
        <v>240</v>
      </c>
      <c r="GC3619" s="5" t="s">
        <v>240</v>
      </c>
      <c r="GD3619" s="5" t="s">
        <v>240</v>
      </c>
      <c r="GE3619" s="5" t="s">
        <v>240</v>
      </c>
      <c r="GF3619" s="5" t="s">
        <v>240</v>
      </c>
      <c r="GG3619" s="5" t="s">
        <v>240</v>
      </c>
      <c r="GH3619" s="5" t="s">
        <v>240</v>
      </c>
      <c r="GI3619" s="5" t="s">
        <v>240</v>
      </c>
      <c r="GJ3619" s="5" t="s">
        <v>240</v>
      </c>
      <c r="GK3619" s="5" t="s">
        <v>240</v>
      </c>
      <c r="GL3619" s="5" t="s">
        <v>240</v>
      </c>
      <c r="GM3619" s="5" t="s">
        <v>240</v>
      </c>
      <c r="GN3619" s="5" t="s">
        <v>240</v>
      </c>
      <c r="GO3619" s="5" t="s">
        <v>240</v>
      </c>
      <c r="GP3619" s="5" t="s">
        <v>240</v>
      </c>
      <c r="GQ3619" s="5" t="s">
        <v>240</v>
      </c>
      <c r="GR3619" s="5" t="s">
        <v>240</v>
      </c>
      <c r="GS3619" s="5" t="s">
        <v>240</v>
      </c>
      <c r="GT3619" s="5" t="s">
        <v>240</v>
      </c>
      <c r="GU3619" s="5" t="s">
        <v>240</v>
      </c>
      <c r="GV3619" s="5" t="s">
        <v>240</v>
      </c>
      <c r="GW3619" s="5" t="s">
        <v>240</v>
      </c>
      <c r="GX3619" s="5" t="s">
        <v>240</v>
      </c>
      <c r="GY3619" s="5" t="s">
        <v>240</v>
      </c>
      <c r="GZ3619" s="5" t="s">
        <v>240</v>
      </c>
      <c r="HA3619" s="5" t="s">
        <v>240</v>
      </c>
      <c r="HB3619" s="5" t="s">
        <v>240</v>
      </c>
      <c r="HC3619" s="5" t="s">
        <v>240</v>
      </c>
      <c r="HD3619" s="5" t="s">
        <v>240</v>
      </c>
      <c r="HE3619" s="5" t="s">
        <v>240</v>
      </c>
      <c r="HF3619" s="5" t="s">
        <v>240</v>
      </c>
      <c r="HG3619" s="5" t="s">
        <v>240</v>
      </c>
      <c r="HH3619" s="5" t="s">
        <v>240</v>
      </c>
      <c r="HI3619" s="5" t="s">
        <v>240</v>
      </c>
      <c r="HJ3619" s="5" t="s">
        <v>240</v>
      </c>
      <c r="HK3619" s="5" t="s">
        <v>240</v>
      </c>
      <c r="HL3619" s="5" t="s">
        <v>240</v>
      </c>
      <c r="HM3619" s="5" t="s">
        <v>240</v>
      </c>
      <c r="HN3619" s="5" t="s">
        <v>240</v>
      </c>
      <c r="HO3619" s="5" t="s">
        <v>312</v>
      </c>
      <c r="HP3619" s="5" t="s">
        <v>240</v>
      </c>
      <c r="HQ3619" s="5" t="s">
        <v>240</v>
      </c>
      <c r="HR3619" s="5" t="s">
        <v>240</v>
      </c>
      <c r="HS3619" s="5" t="s">
        <v>240</v>
      </c>
      <c r="HT3619" s="5" t="s">
        <v>240</v>
      </c>
      <c r="HU3619" s="5" t="s">
        <v>240</v>
      </c>
      <c r="HV3619" s="5" t="s">
        <v>240</v>
      </c>
      <c r="HW3619" s="5" t="s">
        <v>240</v>
      </c>
      <c r="HX3619" s="5" t="s">
        <v>240</v>
      </c>
      <c r="HY3619" s="5" t="s">
        <v>240</v>
      </c>
      <c r="HZ3619" s="5" t="s">
        <v>240</v>
      </c>
      <c r="IA3619" s="5" t="s">
        <v>240</v>
      </c>
      <c r="IB3619" s="5" t="s">
        <v>240</v>
      </c>
      <c r="IC3619" s="5" t="s">
        <v>240</v>
      </c>
      <c r="ID3619" s="5" t="s">
        <v>240</v>
      </c>
      <c r="IE3619" s="5" t="s">
        <v>240</v>
      </c>
      <c r="IF3619" s="5" t="s">
        <v>240</v>
      </c>
    </row>
    <row r="3620" spans="1:240" x14ac:dyDescent="0.4">
      <c r="A3620" s="5">
        <v>9162</v>
      </c>
      <c r="B3620" s="5">
        <v>1</v>
      </c>
      <c r="C3620" s="5">
        <v>1</v>
      </c>
      <c r="D3620" s="5" t="s">
        <v>723</v>
      </c>
      <c r="E3620" s="5" t="s">
        <v>725</v>
      </c>
      <c r="F3620" s="5" t="s">
        <v>254</v>
      </c>
      <c r="G3620" s="5" t="s">
        <v>5325</v>
      </c>
      <c r="H3620" s="6" t="s">
        <v>5710</v>
      </c>
      <c r="I3620" s="5" t="s">
        <v>5710</v>
      </c>
      <c r="J3620" s="7">
        <f>1</f>
        <v>1</v>
      </c>
      <c r="K3620" s="5" t="s">
        <v>3682</v>
      </c>
      <c r="L3620" s="7">
        <f>1</f>
        <v>1</v>
      </c>
      <c r="M3620" s="7">
        <f>1</f>
        <v>1</v>
      </c>
      <c r="N3620" s="5" t="s">
        <v>242</v>
      </c>
      <c r="O3620" s="5">
        <v>1</v>
      </c>
      <c r="P3620" s="5" t="s">
        <v>294</v>
      </c>
      <c r="Q3620" s="5" t="s">
        <v>613</v>
      </c>
      <c r="R3620" s="5" t="s">
        <v>240</v>
      </c>
      <c r="S3620" s="5" t="s">
        <v>240</v>
      </c>
      <c r="T3620" s="5" t="s">
        <v>243</v>
      </c>
      <c r="U3620" s="5" t="s">
        <v>724</v>
      </c>
      <c r="V3620" s="5" t="s">
        <v>240</v>
      </c>
      <c r="W3620" s="5" t="s">
        <v>240</v>
      </c>
      <c r="X3620" s="5" t="s">
        <v>240</v>
      </c>
      <c r="Y3620" s="5" t="s">
        <v>240</v>
      </c>
      <c r="Z3620" s="6" t="s">
        <v>298</v>
      </c>
      <c r="AA3620" s="6" t="s">
        <v>240</v>
      </c>
      <c r="AB3620" s="6" t="s">
        <v>240</v>
      </c>
      <c r="AC3620" s="5" t="s">
        <v>240</v>
      </c>
      <c r="AD3620" s="6" t="s">
        <v>240</v>
      </c>
      <c r="AE3620" s="6" t="s">
        <v>299</v>
      </c>
      <c r="AF3620" s="5" t="s">
        <v>727</v>
      </c>
      <c r="AG3620" s="5" t="s">
        <v>260</v>
      </c>
      <c r="AH3620" s="5" t="s">
        <v>240</v>
      </c>
      <c r="AI3620" s="5" t="s">
        <v>240</v>
      </c>
      <c r="AJ3620" s="5" t="s">
        <v>240</v>
      </c>
      <c r="AK3620" s="5" t="s">
        <v>240</v>
      </c>
      <c r="AL3620" s="5" t="s">
        <v>240</v>
      </c>
      <c r="AM3620" s="5" t="s">
        <v>240</v>
      </c>
      <c r="AN3620" s="5" t="s">
        <v>240</v>
      </c>
      <c r="AO3620" s="5" t="s">
        <v>240</v>
      </c>
      <c r="AP3620" s="6" t="s">
        <v>240</v>
      </c>
      <c r="AQ3620" s="6" t="s">
        <v>240</v>
      </c>
      <c r="AR3620" s="6" t="s">
        <v>240</v>
      </c>
      <c r="AS3620" s="6" t="s">
        <v>240</v>
      </c>
      <c r="AT3620" s="5" t="s">
        <v>240</v>
      </c>
      <c r="AU3620" s="5" t="s">
        <v>729</v>
      </c>
      <c r="AV3620" s="5" t="s">
        <v>729</v>
      </c>
      <c r="AW3620" s="5" t="s">
        <v>251</v>
      </c>
      <c r="AX3620" s="5" t="s">
        <v>252</v>
      </c>
      <c r="AY3620" s="5" t="s">
        <v>253</v>
      </c>
      <c r="AZ3620" s="5" t="s">
        <v>240</v>
      </c>
      <c r="BA3620" s="5" t="s">
        <v>255</v>
      </c>
      <c r="BB3620" s="5" t="s">
        <v>731</v>
      </c>
      <c r="BD3620" s="5" t="s">
        <v>240</v>
      </c>
      <c r="BF3620" s="5" t="s">
        <v>732</v>
      </c>
      <c r="BG3620" s="6" t="s">
        <v>733</v>
      </c>
      <c r="BH3620" s="5" t="s">
        <v>734</v>
      </c>
      <c r="BI3620" s="5" t="s">
        <v>734</v>
      </c>
      <c r="BJ3620" s="5" t="s">
        <v>240</v>
      </c>
      <c r="BK3620" s="8">
        <f>208.26</f>
        <v>208.26</v>
      </c>
      <c r="BL3620" s="7">
        <f>0</f>
        <v>0</v>
      </c>
      <c r="BM3620" s="5" t="s">
        <v>258</v>
      </c>
      <c r="BN3620" s="5" t="s">
        <v>259</v>
      </c>
      <c r="BO3620" s="5" t="s">
        <v>240</v>
      </c>
      <c r="BP3620" s="5" t="s">
        <v>240</v>
      </c>
      <c r="BQ3620" s="5" t="s">
        <v>240</v>
      </c>
      <c r="BR3620" s="5" t="s">
        <v>240</v>
      </c>
      <c r="BS3620" s="5" t="s">
        <v>240</v>
      </c>
      <c r="BT3620" s="5" t="s">
        <v>240</v>
      </c>
      <c r="BU3620" s="5" t="s">
        <v>240</v>
      </c>
      <c r="BV3620" s="5" t="s">
        <v>240</v>
      </c>
      <c r="BW3620" s="6" t="s">
        <v>240</v>
      </c>
      <c r="BX3620" s="5" t="s">
        <v>240</v>
      </c>
      <c r="BY3620" s="5" t="s">
        <v>240</v>
      </c>
      <c r="BZ3620" s="5" t="s">
        <v>240</v>
      </c>
      <c r="CA3620" s="5" t="s">
        <v>259</v>
      </c>
      <c r="CB3620" s="5" t="s">
        <v>240</v>
      </c>
      <c r="CC3620" s="5" t="s">
        <v>240</v>
      </c>
      <c r="CD3620" s="5" t="s">
        <v>240</v>
      </c>
      <c r="CE3620" s="5" t="s">
        <v>240</v>
      </c>
      <c r="CF3620" s="5" t="s">
        <v>240</v>
      </c>
      <c r="CG3620" s="5" t="s">
        <v>617</v>
      </c>
      <c r="CH3620" s="5" t="s">
        <v>305</v>
      </c>
      <c r="CI3620" s="5" t="s">
        <v>240</v>
      </c>
      <c r="CL3620" s="6" t="s">
        <v>261</v>
      </c>
      <c r="CM3620" s="5" t="s">
        <v>262</v>
      </c>
      <c r="CN3620" s="5" t="s">
        <v>263</v>
      </c>
      <c r="CO3620" s="5" t="s">
        <v>264</v>
      </c>
      <c r="CP3620" s="5" t="s">
        <v>240</v>
      </c>
      <c r="CQ3620" s="5">
        <v>0</v>
      </c>
      <c r="CR3620" s="5" t="s">
        <v>735</v>
      </c>
      <c r="CS3620" s="5" t="s">
        <v>307</v>
      </c>
      <c r="CT3620" s="5" t="s">
        <v>307</v>
      </c>
      <c r="CU3620" s="5" t="s">
        <v>260</v>
      </c>
      <c r="CV3620" s="5" t="s">
        <v>240</v>
      </c>
      <c r="CW3620" s="8">
        <f>0</f>
        <v>0</v>
      </c>
      <c r="CX3620" s="7">
        <f>0</f>
        <v>0</v>
      </c>
      <c r="CY3620" s="7">
        <f>0</f>
        <v>0</v>
      </c>
      <c r="DA3620" s="7">
        <f>2290</f>
        <v>2290</v>
      </c>
      <c r="DB3620" s="7" t="s">
        <v>240</v>
      </c>
      <c r="DC3620" s="5" t="s">
        <v>240</v>
      </c>
      <c r="DD3620" s="5" t="s">
        <v>240</v>
      </c>
      <c r="DE3620" s="5" t="s">
        <v>240</v>
      </c>
      <c r="DF3620" s="5" t="s">
        <v>450</v>
      </c>
      <c r="DG3620" s="7">
        <f>0</f>
        <v>0</v>
      </c>
      <c r="DI3620" s="5" t="s">
        <v>737</v>
      </c>
      <c r="DJ3620" s="5" t="s">
        <v>240</v>
      </c>
      <c r="DK3620" s="5" t="s">
        <v>240</v>
      </c>
      <c r="DL3620" s="5" t="s">
        <v>240</v>
      </c>
      <c r="DM3620" s="5" t="s">
        <v>240</v>
      </c>
      <c r="DN3620" s="5" t="s">
        <v>240</v>
      </c>
      <c r="DO3620" s="7" t="s">
        <v>240</v>
      </c>
      <c r="DP3620" s="5" t="s">
        <v>240</v>
      </c>
      <c r="DQ3620" s="5" t="s">
        <v>240</v>
      </c>
      <c r="DR3620" s="5" t="s">
        <v>731</v>
      </c>
      <c r="DS3620" s="5" t="s">
        <v>731</v>
      </c>
      <c r="DT3620" s="5" t="s">
        <v>240</v>
      </c>
      <c r="DU3620" s="5" t="s">
        <v>240</v>
      </c>
      <c r="DV3620" s="5" t="s">
        <v>738</v>
      </c>
      <c r="DW3620" s="5" t="s">
        <v>506</v>
      </c>
      <c r="DX3620" s="5" t="s">
        <v>240</v>
      </c>
      <c r="DY3620" s="5" t="s">
        <v>240</v>
      </c>
      <c r="DZ3620" s="5" t="s">
        <v>240</v>
      </c>
      <c r="EA3620" s="5" t="s">
        <v>240</v>
      </c>
      <c r="EB3620" s="5" t="s">
        <v>240</v>
      </c>
      <c r="EC3620" s="5" t="s">
        <v>240</v>
      </c>
      <c r="ED3620" s="5" t="s">
        <v>240</v>
      </c>
      <c r="EE3620" s="5" t="s">
        <v>240</v>
      </c>
      <c r="EF3620" s="5" t="s">
        <v>240</v>
      </c>
      <c r="EG3620" s="5" t="s">
        <v>240</v>
      </c>
      <c r="EH3620" s="5" t="s">
        <v>240</v>
      </c>
      <c r="EI3620" s="5" t="s">
        <v>240</v>
      </c>
      <c r="EJ3620" s="5" t="s">
        <v>240</v>
      </c>
      <c r="EK3620" s="5" t="s">
        <v>240</v>
      </c>
      <c r="EL3620" s="5" t="s">
        <v>240</v>
      </c>
      <c r="EM3620" s="5" t="s">
        <v>240</v>
      </c>
      <c r="EN3620" s="5" t="s">
        <v>240</v>
      </c>
      <c r="EO3620" s="5" t="s">
        <v>240</v>
      </c>
      <c r="EP3620" s="5" t="s">
        <v>240</v>
      </c>
      <c r="EQ3620" s="5" t="s">
        <v>240</v>
      </c>
      <c r="ER3620" s="5" t="s">
        <v>240</v>
      </c>
      <c r="ES3620" s="5" t="s">
        <v>240</v>
      </c>
      <c r="ET3620" s="5" t="s">
        <v>240</v>
      </c>
      <c r="EU3620" s="5" t="s">
        <v>240</v>
      </c>
      <c r="EV3620" s="5" t="s">
        <v>240</v>
      </c>
      <c r="EW3620" s="5" t="s">
        <v>240</v>
      </c>
      <c r="EX3620" s="5" t="s">
        <v>240</v>
      </c>
      <c r="EY3620" s="5" t="s">
        <v>240</v>
      </c>
      <c r="EZ3620" s="5" t="s">
        <v>240</v>
      </c>
      <c r="FA3620" s="5" t="s">
        <v>240</v>
      </c>
      <c r="FB3620" s="5" t="s">
        <v>240</v>
      </c>
      <c r="FC3620" s="5" t="s">
        <v>240</v>
      </c>
      <c r="FD3620" s="5" t="s">
        <v>240</v>
      </c>
      <c r="FE3620" s="5" t="s">
        <v>240</v>
      </c>
      <c r="FF3620" s="5" t="s">
        <v>240</v>
      </c>
      <c r="FG3620" s="5" t="s">
        <v>240</v>
      </c>
      <c r="FH3620" s="5" t="s">
        <v>240</v>
      </c>
      <c r="FI3620" s="5" t="s">
        <v>240</v>
      </c>
      <c r="FJ3620" s="5" t="s">
        <v>240</v>
      </c>
      <c r="FK3620" s="5" t="s">
        <v>240</v>
      </c>
      <c r="FL3620" s="5" t="s">
        <v>240</v>
      </c>
      <c r="FM3620" s="5" t="s">
        <v>240</v>
      </c>
      <c r="FN3620" s="5" t="s">
        <v>240</v>
      </c>
      <c r="FO3620" s="5" t="s">
        <v>240</v>
      </c>
      <c r="FP3620" s="5" t="s">
        <v>240</v>
      </c>
      <c r="FQ3620" s="5" t="s">
        <v>240</v>
      </c>
      <c r="FR3620" s="5" t="s">
        <v>240</v>
      </c>
      <c r="FS3620" s="5" t="s">
        <v>240</v>
      </c>
      <c r="FT3620" s="5" t="s">
        <v>240</v>
      </c>
      <c r="FU3620" s="5" t="s">
        <v>240</v>
      </c>
      <c r="FV3620" s="5" t="s">
        <v>240</v>
      </c>
      <c r="FW3620" s="5" t="s">
        <v>240</v>
      </c>
      <c r="FX3620" s="5" t="s">
        <v>240</v>
      </c>
      <c r="FY3620" s="5" t="s">
        <v>240</v>
      </c>
      <c r="FZ3620" s="5" t="s">
        <v>240</v>
      </c>
      <c r="GA3620" s="5" t="s">
        <v>240</v>
      </c>
      <c r="GB3620" s="5" t="s">
        <v>240</v>
      </c>
      <c r="GC3620" s="5" t="s">
        <v>240</v>
      </c>
      <c r="GD3620" s="5" t="s">
        <v>240</v>
      </c>
      <c r="GE3620" s="5" t="s">
        <v>240</v>
      </c>
      <c r="GF3620" s="5" t="s">
        <v>240</v>
      </c>
      <c r="GG3620" s="5" t="s">
        <v>240</v>
      </c>
      <c r="GH3620" s="5" t="s">
        <v>240</v>
      </c>
      <c r="GI3620" s="5" t="s">
        <v>240</v>
      </c>
      <c r="GJ3620" s="5" t="s">
        <v>240</v>
      </c>
      <c r="GK3620" s="5" t="s">
        <v>240</v>
      </c>
      <c r="GL3620" s="5" t="s">
        <v>240</v>
      </c>
      <c r="GM3620" s="5" t="s">
        <v>240</v>
      </c>
      <c r="GN3620" s="5" t="s">
        <v>240</v>
      </c>
      <c r="GO3620" s="5" t="s">
        <v>240</v>
      </c>
      <c r="GP3620" s="5" t="s">
        <v>240</v>
      </c>
      <c r="GQ3620" s="5" t="s">
        <v>240</v>
      </c>
      <c r="GR3620" s="5" t="s">
        <v>240</v>
      </c>
      <c r="GS3620" s="5" t="s">
        <v>240</v>
      </c>
      <c r="GT3620" s="5" t="s">
        <v>240</v>
      </c>
      <c r="GU3620" s="5" t="s">
        <v>240</v>
      </c>
      <c r="GV3620" s="5" t="s">
        <v>240</v>
      </c>
      <c r="GW3620" s="5" t="s">
        <v>240</v>
      </c>
      <c r="GX3620" s="5" t="s">
        <v>240</v>
      </c>
      <c r="GY3620" s="5" t="s">
        <v>240</v>
      </c>
      <c r="GZ3620" s="5" t="s">
        <v>240</v>
      </c>
      <c r="HA3620" s="5" t="s">
        <v>240</v>
      </c>
      <c r="HB3620" s="5" t="s">
        <v>240</v>
      </c>
      <c r="HC3620" s="5" t="s">
        <v>240</v>
      </c>
      <c r="HD3620" s="5" t="s">
        <v>240</v>
      </c>
      <c r="HE3620" s="5" t="s">
        <v>240</v>
      </c>
      <c r="HF3620" s="5" t="s">
        <v>240</v>
      </c>
      <c r="HG3620" s="5" t="s">
        <v>240</v>
      </c>
      <c r="HH3620" s="5" t="s">
        <v>240</v>
      </c>
      <c r="HI3620" s="5" t="s">
        <v>240</v>
      </c>
      <c r="HJ3620" s="5" t="s">
        <v>240</v>
      </c>
      <c r="HK3620" s="5" t="s">
        <v>240</v>
      </c>
      <c r="HL3620" s="5" t="s">
        <v>240</v>
      </c>
      <c r="HM3620" s="5" t="s">
        <v>240</v>
      </c>
      <c r="HN3620" s="5" t="s">
        <v>240</v>
      </c>
      <c r="HO3620" s="5" t="s">
        <v>620</v>
      </c>
      <c r="HP3620" s="5" t="s">
        <v>240</v>
      </c>
      <c r="HQ3620" s="5" t="s">
        <v>240</v>
      </c>
      <c r="HR3620" s="5" t="s">
        <v>240</v>
      </c>
      <c r="HS3620" s="5" t="s">
        <v>240</v>
      </c>
      <c r="HT3620" s="5" t="s">
        <v>240</v>
      </c>
      <c r="HU3620" s="5" t="s">
        <v>240</v>
      </c>
      <c r="HV3620" s="5" t="s">
        <v>240</v>
      </c>
      <c r="HW3620" s="5" t="s">
        <v>240</v>
      </c>
      <c r="HX3620" s="5" t="s">
        <v>240</v>
      </c>
      <c r="HY3620" s="5" t="s">
        <v>240</v>
      </c>
      <c r="HZ3620" s="5" t="s">
        <v>240</v>
      </c>
      <c r="IA3620" s="5" t="s">
        <v>240</v>
      </c>
      <c r="IB3620" s="5" t="s">
        <v>240</v>
      </c>
      <c r="IC3620" s="5" t="s">
        <v>240</v>
      </c>
      <c r="ID3620" s="5" t="s">
        <v>240</v>
      </c>
      <c r="IE3620" s="5" t="s">
        <v>240</v>
      </c>
      <c r="IF3620" s="5" t="s">
        <v>240</v>
      </c>
    </row>
    <row r="3621" spans="1:240" x14ac:dyDescent="0.4">
      <c r="A3621" s="5">
        <v>9163</v>
      </c>
      <c r="B3621" s="5">
        <v>1</v>
      </c>
      <c r="C3621" s="5">
        <v>1</v>
      </c>
      <c r="D3621" s="5" t="s">
        <v>723</v>
      </c>
      <c r="E3621" s="5" t="s">
        <v>725</v>
      </c>
      <c r="F3621" s="5" t="s">
        <v>254</v>
      </c>
      <c r="G3621" s="5" t="s">
        <v>5386</v>
      </c>
      <c r="H3621" s="6" t="s">
        <v>5709</v>
      </c>
      <c r="I3621" s="5" t="s">
        <v>5709</v>
      </c>
      <c r="J3621" s="7">
        <f>1</f>
        <v>1</v>
      </c>
      <c r="K3621" s="5" t="s">
        <v>3682</v>
      </c>
      <c r="L3621" s="7">
        <f>1</f>
        <v>1</v>
      </c>
      <c r="M3621" s="7">
        <f>1</f>
        <v>1</v>
      </c>
      <c r="N3621" s="5" t="s">
        <v>242</v>
      </c>
      <c r="O3621" s="5">
        <v>1</v>
      </c>
      <c r="P3621" s="5" t="s">
        <v>294</v>
      </c>
      <c r="Q3621" s="5" t="s">
        <v>3678</v>
      </c>
      <c r="R3621" s="5" t="s">
        <v>240</v>
      </c>
      <c r="S3621" s="5" t="s">
        <v>240</v>
      </c>
      <c r="T3621" s="5" t="s">
        <v>243</v>
      </c>
      <c r="U3621" s="5" t="s">
        <v>244</v>
      </c>
      <c r="V3621" s="5" t="s">
        <v>240</v>
      </c>
      <c r="W3621" s="5" t="s">
        <v>240</v>
      </c>
      <c r="X3621" s="5" t="s">
        <v>240</v>
      </c>
      <c r="Y3621" s="5" t="s">
        <v>240</v>
      </c>
      <c r="Z3621" s="6" t="s">
        <v>298</v>
      </c>
      <c r="AA3621" s="6" t="s">
        <v>240</v>
      </c>
      <c r="AB3621" s="6" t="s">
        <v>240</v>
      </c>
      <c r="AC3621" s="5" t="s">
        <v>240</v>
      </c>
      <c r="AD3621" s="6" t="s">
        <v>240</v>
      </c>
      <c r="AE3621" s="6" t="s">
        <v>299</v>
      </c>
      <c r="AF3621" s="5" t="s">
        <v>248</v>
      </c>
      <c r="AG3621" s="5" t="s">
        <v>249</v>
      </c>
      <c r="AH3621" s="5" t="s">
        <v>240</v>
      </c>
      <c r="AI3621" s="5" t="s">
        <v>240</v>
      </c>
      <c r="AJ3621" s="5" t="s">
        <v>240</v>
      </c>
      <c r="AK3621" s="5" t="s">
        <v>240</v>
      </c>
      <c r="AL3621" s="5" t="s">
        <v>240</v>
      </c>
      <c r="AM3621" s="5" t="s">
        <v>240</v>
      </c>
      <c r="AN3621" s="5" t="s">
        <v>240</v>
      </c>
      <c r="AO3621" s="5" t="s">
        <v>240</v>
      </c>
      <c r="AP3621" s="6" t="s">
        <v>240</v>
      </c>
      <c r="AQ3621" s="6" t="s">
        <v>240</v>
      </c>
      <c r="AR3621" s="6" t="s">
        <v>240</v>
      </c>
      <c r="AS3621" s="6" t="s">
        <v>240</v>
      </c>
      <c r="AT3621" s="5" t="s">
        <v>240</v>
      </c>
      <c r="AU3621" s="5" t="s">
        <v>729</v>
      </c>
      <c r="AV3621" s="5" t="s">
        <v>729</v>
      </c>
      <c r="AW3621" s="5" t="s">
        <v>251</v>
      </c>
      <c r="AX3621" s="5" t="s">
        <v>252</v>
      </c>
      <c r="AY3621" s="5" t="s">
        <v>253</v>
      </c>
      <c r="AZ3621" s="5" t="s">
        <v>240</v>
      </c>
      <c r="BA3621" s="5" t="s">
        <v>255</v>
      </c>
      <c r="BB3621" s="5" t="s">
        <v>731</v>
      </c>
      <c r="BD3621" s="5" t="s">
        <v>240</v>
      </c>
      <c r="BF3621" s="5" t="s">
        <v>732</v>
      </c>
      <c r="BG3621" s="6" t="s">
        <v>733</v>
      </c>
      <c r="BH3621" s="5" t="s">
        <v>734</v>
      </c>
      <c r="BI3621" s="5" t="s">
        <v>734</v>
      </c>
      <c r="BJ3621" s="5" t="s">
        <v>240</v>
      </c>
      <c r="BK3621" s="7">
        <f>1</f>
        <v>1</v>
      </c>
      <c r="BL3621" s="7">
        <f>1</f>
        <v>1</v>
      </c>
      <c r="BM3621" s="5" t="s">
        <v>258</v>
      </c>
      <c r="BN3621" s="5" t="s">
        <v>259</v>
      </c>
      <c r="BO3621" s="5" t="s">
        <v>240</v>
      </c>
      <c r="BP3621" s="5" t="s">
        <v>240</v>
      </c>
      <c r="BQ3621" s="5" t="s">
        <v>240</v>
      </c>
      <c r="BR3621" s="5" t="s">
        <v>240</v>
      </c>
      <c r="BS3621" s="5" t="s">
        <v>240</v>
      </c>
      <c r="BT3621" s="5" t="s">
        <v>240</v>
      </c>
      <c r="BU3621" s="5" t="s">
        <v>240</v>
      </c>
      <c r="BV3621" s="5" t="s">
        <v>240</v>
      </c>
      <c r="BW3621" s="6" t="s">
        <v>240</v>
      </c>
      <c r="BX3621" s="5" t="s">
        <v>240</v>
      </c>
      <c r="BY3621" s="5" t="s">
        <v>240</v>
      </c>
      <c r="BZ3621" s="5" t="s">
        <v>240</v>
      </c>
      <c r="CA3621" s="5" t="s">
        <v>259</v>
      </c>
      <c r="CB3621" s="5" t="s">
        <v>240</v>
      </c>
      <c r="CC3621" s="5" t="s">
        <v>240</v>
      </c>
      <c r="CD3621" s="5" t="s">
        <v>240</v>
      </c>
      <c r="CE3621" s="5" t="s">
        <v>240</v>
      </c>
      <c r="CF3621" s="5" t="s">
        <v>240</v>
      </c>
      <c r="CG3621" s="5" t="s">
        <v>304</v>
      </c>
      <c r="CH3621" s="5" t="s">
        <v>305</v>
      </c>
      <c r="CI3621" s="5" t="s">
        <v>240</v>
      </c>
      <c r="CK3621" s="5" t="s">
        <v>3681</v>
      </c>
      <c r="CL3621" s="6" t="s">
        <v>261</v>
      </c>
      <c r="CM3621" s="5" t="s">
        <v>262</v>
      </c>
      <c r="CN3621" s="5" t="s">
        <v>263</v>
      </c>
      <c r="CO3621" s="5" t="s">
        <v>264</v>
      </c>
      <c r="CP3621" s="5" t="s">
        <v>240</v>
      </c>
      <c r="CQ3621" s="5">
        <v>0</v>
      </c>
      <c r="CR3621" s="5" t="s">
        <v>735</v>
      </c>
      <c r="CS3621" s="5" t="s">
        <v>307</v>
      </c>
      <c r="CT3621" s="5" t="s">
        <v>307</v>
      </c>
      <c r="CU3621" s="5" t="s">
        <v>260</v>
      </c>
      <c r="CV3621" s="5" t="s">
        <v>612</v>
      </c>
      <c r="CW3621" s="8">
        <f>1</f>
        <v>1</v>
      </c>
      <c r="CX3621" s="7">
        <f>1</f>
        <v>1</v>
      </c>
      <c r="CY3621" s="7">
        <f>0</f>
        <v>0</v>
      </c>
      <c r="DA3621" s="7">
        <f>1</f>
        <v>1</v>
      </c>
      <c r="DB3621" s="7" t="s">
        <v>240</v>
      </c>
      <c r="DC3621" s="5" t="s">
        <v>240</v>
      </c>
      <c r="DD3621" s="5" t="s">
        <v>240</v>
      </c>
      <c r="DE3621" s="5" t="s">
        <v>240</v>
      </c>
      <c r="DF3621" s="5" t="s">
        <v>240</v>
      </c>
      <c r="DG3621" s="7">
        <f>0</f>
        <v>0</v>
      </c>
      <c r="DI3621" s="5" t="s">
        <v>240</v>
      </c>
      <c r="DJ3621" s="5" t="s">
        <v>240</v>
      </c>
      <c r="DK3621" s="5" t="s">
        <v>240</v>
      </c>
      <c r="DL3621" s="5" t="s">
        <v>240</v>
      </c>
      <c r="DM3621" s="5" t="s">
        <v>240</v>
      </c>
      <c r="DN3621" s="5" t="s">
        <v>240</v>
      </c>
      <c r="DO3621" s="7" t="s">
        <v>240</v>
      </c>
      <c r="DP3621" s="5" t="s">
        <v>240</v>
      </c>
      <c r="DQ3621" s="5" t="s">
        <v>240</v>
      </c>
      <c r="DR3621" s="5" t="s">
        <v>731</v>
      </c>
      <c r="DS3621" s="5" t="s">
        <v>731</v>
      </c>
      <c r="DT3621" s="5" t="s">
        <v>240</v>
      </c>
      <c r="DU3621" s="5" t="s">
        <v>240</v>
      </c>
      <c r="DV3621" s="5" t="s">
        <v>3683</v>
      </c>
      <c r="DW3621" s="5" t="s">
        <v>1086</v>
      </c>
      <c r="DX3621" s="5" t="s">
        <v>240</v>
      </c>
      <c r="DY3621" s="5" t="s">
        <v>240</v>
      </c>
      <c r="DZ3621" s="5" t="s">
        <v>240</v>
      </c>
      <c r="EA3621" s="5" t="s">
        <v>240</v>
      </c>
      <c r="EB3621" s="5" t="s">
        <v>240</v>
      </c>
      <c r="EC3621" s="5" t="s">
        <v>240</v>
      </c>
      <c r="ED3621" s="5" t="s">
        <v>240</v>
      </c>
      <c r="EE3621" s="5" t="s">
        <v>240</v>
      </c>
      <c r="EF3621" s="5" t="s">
        <v>240</v>
      </c>
      <c r="EG3621" s="5" t="s">
        <v>240</v>
      </c>
      <c r="EH3621" s="5" t="s">
        <v>240</v>
      </c>
      <c r="EI3621" s="5" t="s">
        <v>240</v>
      </c>
      <c r="EJ3621" s="5" t="s">
        <v>240</v>
      </c>
      <c r="EK3621" s="5" t="s">
        <v>240</v>
      </c>
      <c r="EL3621" s="5" t="s">
        <v>240</v>
      </c>
      <c r="EM3621" s="5" t="s">
        <v>240</v>
      </c>
      <c r="EN3621" s="5" t="s">
        <v>240</v>
      </c>
      <c r="EO3621" s="5" t="s">
        <v>240</v>
      </c>
      <c r="EP3621" s="5" t="s">
        <v>240</v>
      </c>
      <c r="EQ3621" s="5" t="s">
        <v>240</v>
      </c>
      <c r="ER3621" s="5" t="s">
        <v>240</v>
      </c>
      <c r="ES3621" s="5" t="s">
        <v>240</v>
      </c>
      <c r="ET3621" s="5" t="s">
        <v>240</v>
      </c>
      <c r="EU3621" s="5" t="s">
        <v>240</v>
      </c>
      <c r="EV3621" s="5" t="s">
        <v>240</v>
      </c>
      <c r="EW3621" s="5" t="s">
        <v>240</v>
      </c>
      <c r="EX3621" s="5" t="s">
        <v>240</v>
      </c>
      <c r="EY3621" s="5" t="s">
        <v>240</v>
      </c>
      <c r="EZ3621" s="5" t="s">
        <v>240</v>
      </c>
      <c r="FA3621" s="5" t="s">
        <v>240</v>
      </c>
      <c r="FB3621" s="5" t="s">
        <v>240</v>
      </c>
      <c r="FC3621" s="5" t="s">
        <v>240</v>
      </c>
      <c r="FD3621" s="5" t="s">
        <v>240</v>
      </c>
      <c r="FE3621" s="5" t="s">
        <v>240</v>
      </c>
      <c r="FF3621" s="5" t="s">
        <v>240</v>
      </c>
      <c r="FG3621" s="5" t="s">
        <v>240</v>
      </c>
      <c r="FH3621" s="5" t="s">
        <v>240</v>
      </c>
      <c r="FI3621" s="5" t="s">
        <v>240</v>
      </c>
      <c r="FJ3621" s="5" t="s">
        <v>240</v>
      </c>
      <c r="FK3621" s="5" t="s">
        <v>240</v>
      </c>
      <c r="FL3621" s="5" t="s">
        <v>240</v>
      </c>
      <c r="FM3621" s="5" t="s">
        <v>240</v>
      </c>
      <c r="FN3621" s="5" t="s">
        <v>240</v>
      </c>
      <c r="FO3621" s="5" t="s">
        <v>240</v>
      </c>
      <c r="FP3621" s="5" t="s">
        <v>240</v>
      </c>
      <c r="FQ3621" s="5" t="s">
        <v>240</v>
      </c>
      <c r="FR3621" s="5" t="s">
        <v>240</v>
      </c>
      <c r="FS3621" s="5" t="s">
        <v>240</v>
      </c>
      <c r="FT3621" s="5" t="s">
        <v>240</v>
      </c>
      <c r="FU3621" s="5" t="s">
        <v>240</v>
      </c>
      <c r="FV3621" s="5" t="s">
        <v>240</v>
      </c>
      <c r="FW3621" s="5" t="s">
        <v>240</v>
      </c>
      <c r="FX3621" s="5" t="s">
        <v>240</v>
      </c>
      <c r="FY3621" s="5" t="s">
        <v>240</v>
      </c>
      <c r="FZ3621" s="5" t="s">
        <v>240</v>
      </c>
      <c r="GA3621" s="5" t="s">
        <v>240</v>
      </c>
      <c r="GB3621" s="5" t="s">
        <v>240</v>
      </c>
      <c r="GC3621" s="5" t="s">
        <v>240</v>
      </c>
      <c r="GD3621" s="5" t="s">
        <v>240</v>
      </c>
      <c r="GE3621" s="5" t="s">
        <v>240</v>
      </c>
      <c r="GF3621" s="5" t="s">
        <v>240</v>
      </c>
      <c r="GG3621" s="5" t="s">
        <v>240</v>
      </c>
      <c r="GH3621" s="5" t="s">
        <v>240</v>
      </c>
      <c r="GI3621" s="5" t="s">
        <v>240</v>
      </c>
      <c r="GJ3621" s="5" t="s">
        <v>240</v>
      </c>
      <c r="GK3621" s="5" t="s">
        <v>240</v>
      </c>
      <c r="GL3621" s="5" t="s">
        <v>240</v>
      </c>
      <c r="GM3621" s="5" t="s">
        <v>240</v>
      </c>
      <c r="GN3621" s="5" t="s">
        <v>240</v>
      </c>
      <c r="GO3621" s="5" t="s">
        <v>240</v>
      </c>
      <c r="GP3621" s="5" t="s">
        <v>240</v>
      </c>
      <c r="GQ3621" s="5" t="s">
        <v>240</v>
      </c>
      <c r="GR3621" s="5" t="s">
        <v>240</v>
      </c>
      <c r="GS3621" s="5" t="s">
        <v>240</v>
      </c>
      <c r="GT3621" s="5" t="s">
        <v>240</v>
      </c>
      <c r="GU3621" s="5" t="s">
        <v>240</v>
      </c>
      <c r="GV3621" s="5" t="s">
        <v>240</v>
      </c>
      <c r="GW3621" s="5" t="s">
        <v>240</v>
      </c>
      <c r="GX3621" s="5" t="s">
        <v>240</v>
      </c>
      <c r="GY3621" s="5" t="s">
        <v>240</v>
      </c>
      <c r="GZ3621" s="5" t="s">
        <v>240</v>
      </c>
      <c r="HA3621" s="5" t="s">
        <v>240</v>
      </c>
      <c r="HB3621" s="5" t="s">
        <v>240</v>
      </c>
      <c r="HC3621" s="5" t="s">
        <v>240</v>
      </c>
      <c r="HD3621" s="5" t="s">
        <v>240</v>
      </c>
      <c r="HE3621" s="5" t="s">
        <v>240</v>
      </c>
      <c r="HF3621" s="5" t="s">
        <v>240</v>
      </c>
      <c r="HG3621" s="5" t="s">
        <v>240</v>
      </c>
      <c r="HH3621" s="5" t="s">
        <v>240</v>
      </c>
      <c r="HI3621" s="5" t="s">
        <v>240</v>
      </c>
      <c r="HJ3621" s="5" t="s">
        <v>240</v>
      </c>
      <c r="HK3621" s="5" t="s">
        <v>240</v>
      </c>
      <c r="HL3621" s="5" t="s">
        <v>240</v>
      </c>
      <c r="HM3621" s="5" t="s">
        <v>240</v>
      </c>
      <c r="HN3621" s="5" t="s">
        <v>240</v>
      </c>
      <c r="HO3621" s="5" t="s">
        <v>312</v>
      </c>
      <c r="HP3621" s="5" t="s">
        <v>240</v>
      </c>
      <c r="HQ3621" s="5" t="s">
        <v>240</v>
      </c>
      <c r="HR3621" s="5" t="s">
        <v>240</v>
      </c>
      <c r="HS3621" s="5" t="s">
        <v>240</v>
      </c>
      <c r="HT3621" s="5" t="s">
        <v>240</v>
      </c>
      <c r="HU3621" s="5" t="s">
        <v>240</v>
      </c>
      <c r="HV3621" s="5" t="s">
        <v>240</v>
      </c>
      <c r="HW3621" s="5" t="s">
        <v>240</v>
      </c>
      <c r="HX3621" s="5" t="s">
        <v>240</v>
      </c>
      <c r="HY3621" s="5" t="s">
        <v>240</v>
      </c>
      <c r="HZ3621" s="5" t="s">
        <v>240</v>
      </c>
      <c r="IA3621" s="5" t="s">
        <v>240</v>
      </c>
      <c r="IB3621" s="5" t="s">
        <v>240</v>
      </c>
      <c r="IC3621" s="5" t="s">
        <v>240</v>
      </c>
      <c r="ID3621" s="5" t="s">
        <v>240</v>
      </c>
      <c r="IE3621" s="5" t="s">
        <v>240</v>
      </c>
      <c r="IF3621" s="5" t="s">
        <v>240</v>
      </c>
    </row>
    <row r="3622" spans="1:240" x14ac:dyDescent="0.4">
      <c r="A3622" s="5">
        <v>9164</v>
      </c>
      <c r="B3622" s="5">
        <v>1</v>
      </c>
      <c r="C3622" s="5">
        <v>1</v>
      </c>
      <c r="D3622" s="5" t="s">
        <v>723</v>
      </c>
      <c r="E3622" s="5" t="s">
        <v>725</v>
      </c>
      <c r="F3622" s="5" t="s">
        <v>254</v>
      </c>
      <c r="G3622" s="5" t="s">
        <v>726</v>
      </c>
      <c r="H3622" s="6" t="s">
        <v>5708</v>
      </c>
      <c r="I3622" s="5" t="s">
        <v>5707</v>
      </c>
      <c r="J3622" s="7">
        <f>1</f>
        <v>1</v>
      </c>
      <c r="K3622" s="5" t="s">
        <v>3682</v>
      </c>
      <c r="L3622" s="7">
        <f>1</f>
        <v>1</v>
      </c>
      <c r="M3622" s="7">
        <f>1</f>
        <v>1</v>
      </c>
      <c r="N3622" s="5" t="s">
        <v>242</v>
      </c>
      <c r="O3622" s="5">
        <v>1</v>
      </c>
      <c r="P3622" s="5" t="s">
        <v>294</v>
      </c>
      <c r="Q3622" s="5" t="s">
        <v>3678</v>
      </c>
      <c r="R3622" s="5" t="s">
        <v>240</v>
      </c>
      <c r="S3622" s="5" t="s">
        <v>240</v>
      </c>
      <c r="T3622" s="5" t="s">
        <v>243</v>
      </c>
      <c r="U3622" s="5" t="s">
        <v>244</v>
      </c>
      <c r="V3622" s="5" t="s">
        <v>240</v>
      </c>
      <c r="W3622" s="5" t="s">
        <v>240</v>
      </c>
      <c r="X3622" s="5" t="s">
        <v>240</v>
      </c>
      <c r="Y3622" s="5" t="s">
        <v>240</v>
      </c>
      <c r="Z3622" s="6" t="s">
        <v>298</v>
      </c>
      <c r="AA3622" s="6" t="s">
        <v>240</v>
      </c>
      <c r="AB3622" s="6" t="s">
        <v>240</v>
      </c>
      <c r="AC3622" s="5" t="s">
        <v>240</v>
      </c>
      <c r="AD3622" s="6" t="s">
        <v>240</v>
      </c>
      <c r="AE3622" s="6" t="s">
        <v>299</v>
      </c>
      <c r="AF3622" s="5" t="s">
        <v>248</v>
      </c>
      <c r="AG3622" s="5" t="s">
        <v>249</v>
      </c>
      <c r="AH3622" s="5" t="s">
        <v>240</v>
      </c>
      <c r="AI3622" s="5" t="s">
        <v>240</v>
      </c>
      <c r="AJ3622" s="5" t="s">
        <v>240</v>
      </c>
      <c r="AK3622" s="5" t="s">
        <v>240</v>
      </c>
      <c r="AL3622" s="5" t="s">
        <v>240</v>
      </c>
      <c r="AM3622" s="5" t="s">
        <v>240</v>
      </c>
      <c r="AN3622" s="5" t="s">
        <v>240</v>
      </c>
      <c r="AO3622" s="5" t="s">
        <v>240</v>
      </c>
      <c r="AP3622" s="6" t="s">
        <v>240</v>
      </c>
      <c r="AQ3622" s="6" t="s">
        <v>240</v>
      </c>
      <c r="AR3622" s="6" t="s">
        <v>240</v>
      </c>
      <c r="AS3622" s="6" t="s">
        <v>240</v>
      </c>
      <c r="AT3622" s="5" t="s">
        <v>240</v>
      </c>
      <c r="AU3622" s="5" t="s">
        <v>729</v>
      </c>
      <c r="AV3622" s="5" t="s">
        <v>729</v>
      </c>
      <c r="AW3622" s="5" t="s">
        <v>251</v>
      </c>
      <c r="AX3622" s="5" t="s">
        <v>252</v>
      </c>
      <c r="AY3622" s="5" t="s">
        <v>253</v>
      </c>
      <c r="AZ3622" s="5" t="s">
        <v>240</v>
      </c>
      <c r="BA3622" s="5" t="s">
        <v>255</v>
      </c>
      <c r="BB3622" s="5" t="s">
        <v>731</v>
      </c>
      <c r="BD3622" s="5" t="s">
        <v>240</v>
      </c>
      <c r="BF3622" s="5" t="s">
        <v>732</v>
      </c>
      <c r="BG3622" s="6" t="s">
        <v>733</v>
      </c>
      <c r="BH3622" s="5" t="s">
        <v>734</v>
      </c>
      <c r="BI3622" s="5" t="s">
        <v>734</v>
      </c>
      <c r="BJ3622" s="5" t="s">
        <v>240</v>
      </c>
      <c r="BK3622" s="7">
        <f>1</f>
        <v>1</v>
      </c>
      <c r="BL3622" s="7">
        <f>1</f>
        <v>1</v>
      </c>
      <c r="BM3622" s="5" t="s">
        <v>258</v>
      </c>
      <c r="BN3622" s="5" t="s">
        <v>259</v>
      </c>
      <c r="BO3622" s="5" t="s">
        <v>240</v>
      </c>
      <c r="BP3622" s="5" t="s">
        <v>240</v>
      </c>
      <c r="BQ3622" s="5" t="s">
        <v>240</v>
      </c>
      <c r="BR3622" s="5" t="s">
        <v>240</v>
      </c>
      <c r="BS3622" s="5" t="s">
        <v>240</v>
      </c>
      <c r="BT3622" s="5" t="s">
        <v>240</v>
      </c>
      <c r="BU3622" s="5" t="s">
        <v>240</v>
      </c>
      <c r="BV3622" s="5" t="s">
        <v>240</v>
      </c>
      <c r="BW3622" s="6" t="s">
        <v>240</v>
      </c>
      <c r="BX3622" s="5" t="s">
        <v>240</v>
      </c>
      <c r="BY3622" s="5" t="s">
        <v>240</v>
      </c>
      <c r="BZ3622" s="5" t="s">
        <v>240</v>
      </c>
      <c r="CA3622" s="5" t="s">
        <v>259</v>
      </c>
      <c r="CB3622" s="5" t="s">
        <v>240</v>
      </c>
      <c r="CC3622" s="5" t="s">
        <v>240</v>
      </c>
      <c r="CD3622" s="5" t="s">
        <v>240</v>
      </c>
      <c r="CE3622" s="5" t="s">
        <v>240</v>
      </c>
      <c r="CF3622" s="5" t="s">
        <v>240</v>
      </c>
      <c r="CG3622" s="5" t="s">
        <v>304</v>
      </c>
      <c r="CH3622" s="5" t="s">
        <v>305</v>
      </c>
      <c r="CI3622" s="5" t="s">
        <v>240</v>
      </c>
      <c r="CK3622" s="5" t="s">
        <v>3681</v>
      </c>
      <c r="CL3622" s="6" t="s">
        <v>261</v>
      </c>
      <c r="CM3622" s="5" t="s">
        <v>262</v>
      </c>
      <c r="CN3622" s="5" t="s">
        <v>263</v>
      </c>
      <c r="CO3622" s="5" t="s">
        <v>264</v>
      </c>
      <c r="CP3622" s="5" t="s">
        <v>240</v>
      </c>
      <c r="CQ3622" s="5">
        <v>0</v>
      </c>
      <c r="CR3622" s="5" t="s">
        <v>735</v>
      </c>
      <c r="CS3622" s="5" t="s">
        <v>307</v>
      </c>
      <c r="CT3622" s="5" t="s">
        <v>307</v>
      </c>
      <c r="CU3622" s="5" t="s">
        <v>260</v>
      </c>
      <c r="CV3622" s="5" t="s">
        <v>612</v>
      </c>
      <c r="CW3622" s="8">
        <f>1</f>
        <v>1</v>
      </c>
      <c r="CX3622" s="7">
        <f>1</f>
        <v>1</v>
      </c>
      <c r="CY3622" s="7">
        <f>0</f>
        <v>0</v>
      </c>
      <c r="DA3622" s="7">
        <f>1</f>
        <v>1</v>
      </c>
      <c r="DB3622" s="7" t="s">
        <v>240</v>
      </c>
      <c r="DC3622" s="5" t="s">
        <v>240</v>
      </c>
      <c r="DD3622" s="5" t="s">
        <v>240</v>
      </c>
      <c r="DE3622" s="5" t="s">
        <v>240</v>
      </c>
      <c r="DF3622" s="5" t="s">
        <v>240</v>
      </c>
      <c r="DG3622" s="7">
        <f>0</f>
        <v>0</v>
      </c>
      <c r="DI3622" s="5" t="s">
        <v>240</v>
      </c>
      <c r="DJ3622" s="5" t="s">
        <v>240</v>
      </c>
      <c r="DK3622" s="5" t="s">
        <v>240</v>
      </c>
      <c r="DL3622" s="5" t="s">
        <v>240</v>
      </c>
      <c r="DM3622" s="5" t="s">
        <v>240</v>
      </c>
      <c r="DN3622" s="5" t="s">
        <v>240</v>
      </c>
      <c r="DO3622" s="7" t="s">
        <v>240</v>
      </c>
      <c r="DP3622" s="5" t="s">
        <v>240</v>
      </c>
      <c r="DQ3622" s="5" t="s">
        <v>240</v>
      </c>
      <c r="DR3622" s="5" t="s">
        <v>731</v>
      </c>
      <c r="DS3622" s="5" t="s">
        <v>731</v>
      </c>
      <c r="DT3622" s="5" t="s">
        <v>240</v>
      </c>
      <c r="DU3622" s="5" t="s">
        <v>240</v>
      </c>
      <c r="DV3622" s="5" t="s">
        <v>3683</v>
      </c>
      <c r="DW3622" s="5" t="s">
        <v>570</v>
      </c>
      <c r="DX3622" s="5" t="s">
        <v>240</v>
      </c>
      <c r="DY3622" s="5" t="s">
        <v>240</v>
      </c>
      <c r="DZ3622" s="5" t="s">
        <v>240</v>
      </c>
      <c r="EA3622" s="5" t="s">
        <v>240</v>
      </c>
      <c r="EB3622" s="5" t="s">
        <v>240</v>
      </c>
      <c r="EC3622" s="5" t="s">
        <v>240</v>
      </c>
      <c r="ED3622" s="5" t="s">
        <v>240</v>
      </c>
      <c r="EE3622" s="5" t="s">
        <v>240</v>
      </c>
      <c r="EF3622" s="5" t="s">
        <v>240</v>
      </c>
      <c r="EG3622" s="5" t="s">
        <v>240</v>
      </c>
      <c r="EH3622" s="5" t="s">
        <v>240</v>
      </c>
      <c r="EI3622" s="5" t="s">
        <v>240</v>
      </c>
      <c r="EJ3622" s="5" t="s">
        <v>240</v>
      </c>
      <c r="EK3622" s="5" t="s">
        <v>240</v>
      </c>
      <c r="EL3622" s="5" t="s">
        <v>240</v>
      </c>
      <c r="EM3622" s="5" t="s">
        <v>240</v>
      </c>
      <c r="EN3622" s="5" t="s">
        <v>240</v>
      </c>
      <c r="EO3622" s="5" t="s">
        <v>240</v>
      </c>
      <c r="EP3622" s="5" t="s">
        <v>240</v>
      </c>
      <c r="EQ3622" s="5" t="s">
        <v>240</v>
      </c>
      <c r="ER3622" s="5" t="s">
        <v>240</v>
      </c>
      <c r="ES3622" s="5" t="s">
        <v>240</v>
      </c>
      <c r="ET3622" s="5" t="s">
        <v>240</v>
      </c>
      <c r="EU3622" s="5" t="s">
        <v>240</v>
      </c>
      <c r="EV3622" s="5" t="s">
        <v>240</v>
      </c>
      <c r="EW3622" s="5" t="s">
        <v>240</v>
      </c>
      <c r="EX3622" s="5" t="s">
        <v>240</v>
      </c>
      <c r="EY3622" s="5" t="s">
        <v>240</v>
      </c>
      <c r="EZ3622" s="5" t="s">
        <v>240</v>
      </c>
      <c r="FA3622" s="5" t="s">
        <v>240</v>
      </c>
      <c r="FB3622" s="5" t="s">
        <v>240</v>
      </c>
      <c r="FC3622" s="5" t="s">
        <v>240</v>
      </c>
      <c r="FD3622" s="5" t="s">
        <v>240</v>
      </c>
      <c r="FE3622" s="5" t="s">
        <v>240</v>
      </c>
      <c r="FF3622" s="5" t="s">
        <v>240</v>
      </c>
      <c r="FG3622" s="5" t="s">
        <v>240</v>
      </c>
      <c r="FH3622" s="5" t="s">
        <v>240</v>
      </c>
      <c r="FI3622" s="5" t="s">
        <v>240</v>
      </c>
      <c r="FJ3622" s="5" t="s">
        <v>240</v>
      </c>
      <c r="FK3622" s="5" t="s">
        <v>240</v>
      </c>
      <c r="FL3622" s="5" t="s">
        <v>240</v>
      </c>
      <c r="FM3622" s="5" t="s">
        <v>240</v>
      </c>
      <c r="FN3622" s="5" t="s">
        <v>240</v>
      </c>
      <c r="FO3622" s="5" t="s">
        <v>240</v>
      </c>
      <c r="FP3622" s="5" t="s">
        <v>240</v>
      </c>
      <c r="FQ3622" s="5" t="s">
        <v>240</v>
      </c>
      <c r="FR3622" s="5" t="s">
        <v>240</v>
      </c>
      <c r="FS3622" s="5" t="s">
        <v>240</v>
      </c>
      <c r="FT3622" s="5" t="s">
        <v>240</v>
      </c>
      <c r="FU3622" s="5" t="s">
        <v>240</v>
      </c>
      <c r="FV3622" s="5" t="s">
        <v>240</v>
      </c>
      <c r="FW3622" s="5" t="s">
        <v>240</v>
      </c>
      <c r="FX3622" s="5" t="s">
        <v>240</v>
      </c>
      <c r="FY3622" s="5" t="s">
        <v>240</v>
      </c>
      <c r="FZ3622" s="5" t="s">
        <v>240</v>
      </c>
      <c r="GA3622" s="5" t="s">
        <v>240</v>
      </c>
      <c r="GB3622" s="5" t="s">
        <v>240</v>
      </c>
      <c r="GC3622" s="5" t="s">
        <v>240</v>
      </c>
      <c r="GD3622" s="5" t="s">
        <v>240</v>
      </c>
      <c r="GE3622" s="5" t="s">
        <v>240</v>
      </c>
      <c r="GF3622" s="5" t="s">
        <v>240</v>
      </c>
      <c r="GG3622" s="5" t="s">
        <v>240</v>
      </c>
      <c r="GH3622" s="5" t="s">
        <v>240</v>
      </c>
      <c r="GI3622" s="5" t="s">
        <v>240</v>
      </c>
      <c r="GJ3622" s="5" t="s">
        <v>240</v>
      </c>
      <c r="GK3622" s="5" t="s">
        <v>240</v>
      </c>
      <c r="GL3622" s="5" t="s">
        <v>240</v>
      </c>
      <c r="GM3622" s="5" t="s">
        <v>240</v>
      </c>
      <c r="GN3622" s="5" t="s">
        <v>240</v>
      </c>
      <c r="GO3622" s="5" t="s">
        <v>240</v>
      </c>
      <c r="GP3622" s="5" t="s">
        <v>240</v>
      </c>
      <c r="GQ3622" s="5" t="s">
        <v>240</v>
      </c>
      <c r="GR3622" s="5" t="s">
        <v>240</v>
      </c>
      <c r="GS3622" s="5" t="s">
        <v>240</v>
      </c>
      <c r="GT3622" s="5" t="s">
        <v>240</v>
      </c>
      <c r="GU3622" s="5" t="s">
        <v>240</v>
      </c>
      <c r="GV3622" s="5" t="s">
        <v>240</v>
      </c>
      <c r="GW3622" s="5" t="s">
        <v>240</v>
      </c>
      <c r="GX3622" s="5" t="s">
        <v>240</v>
      </c>
      <c r="GY3622" s="5" t="s">
        <v>240</v>
      </c>
      <c r="GZ3622" s="5" t="s">
        <v>240</v>
      </c>
      <c r="HA3622" s="5" t="s">
        <v>240</v>
      </c>
      <c r="HB3622" s="5" t="s">
        <v>240</v>
      </c>
      <c r="HC3622" s="5" t="s">
        <v>240</v>
      </c>
      <c r="HD3622" s="5" t="s">
        <v>240</v>
      </c>
      <c r="HE3622" s="5" t="s">
        <v>240</v>
      </c>
      <c r="HF3622" s="5" t="s">
        <v>240</v>
      </c>
      <c r="HG3622" s="5" t="s">
        <v>240</v>
      </c>
      <c r="HH3622" s="5" t="s">
        <v>240</v>
      </c>
      <c r="HI3622" s="5" t="s">
        <v>240</v>
      </c>
      <c r="HJ3622" s="5" t="s">
        <v>240</v>
      </c>
      <c r="HK3622" s="5" t="s">
        <v>240</v>
      </c>
      <c r="HL3622" s="5" t="s">
        <v>240</v>
      </c>
      <c r="HM3622" s="5" t="s">
        <v>240</v>
      </c>
      <c r="HN3622" s="5" t="s">
        <v>240</v>
      </c>
      <c r="HO3622" s="5" t="s">
        <v>312</v>
      </c>
      <c r="HP3622" s="5" t="s">
        <v>240</v>
      </c>
      <c r="HQ3622" s="5" t="s">
        <v>240</v>
      </c>
      <c r="HR3622" s="5" t="s">
        <v>240</v>
      </c>
      <c r="HS3622" s="5" t="s">
        <v>240</v>
      </c>
      <c r="HT3622" s="5" t="s">
        <v>240</v>
      </c>
      <c r="HU3622" s="5" t="s">
        <v>240</v>
      </c>
      <c r="HV3622" s="5" t="s">
        <v>240</v>
      </c>
      <c r="HW3622" s="5" t="s">
        <v>240</v>
      </c>
      <c r="HX3622" s="5" t="s">
        <v>240</v>
      </c>
      <c r="HY3622" s="5" t="s">
        <v>240</v>
      </c>
      <c r="HZ3622" s="5" t="s">
        <v>240</v>
      </c>
      <c r="IA3622" s="5" t="s">
        <v>240</v>
      </c>
      <c r="IB3622" s="5" t="s">
        <v>240</v>
      </c>
      <c r="IC3622" s="5" t="s">
        <v>240</v>
      </c>
      <c r="ID3622" s="5" t="s">
        <v>240</v>
      </c>
      <c r="IE3622" s="5" t="s">
        <v>240</v>
      </c>
      <c r="IF3622" s="5" t="s">
        <v>240</v>
      </c>
    </row>
    <row r="3623" spans="1:240" x14ac:dyDescent="0.4">
      <c r="A3623" s="5">
        <v>9165</v>
      </c>
      <c r="B3623" s="5">
        <v>1</v>
      </c>
      <c r="C3623" s="5">
        <v>1</v>
      </c>
      <c r="D3623" s="5" t="s">
        <v>723</v>
      </c>
      <c r="E3623" s="5" t="s">
        <v>725</v>
      </c>
      <c r="F3623" s="5" t="s">
        <v>254</v>
      </c>
      <c r="G3623" s="5" t="s">
        <v>726</v>
      </c>
      <c r="H3623" s="6" t="s">
        <v>6393</v>
      </c>
      <c r="I3623" s="5" t="s">
        <v>6392</v>
      </c>
      <c r="J3623" s="7">
        <f>1</f>
        <v>1</v>
      </c>
      <c r="K3623" s="5" t="s">
        <v>3682</v>
      </c>
      <c r="L3623" s="7">
        <f>1</f>
        <v>1</v>
      </c>
      <c r="M3623" s="7">
        <f>1</f>
        <v>1</v>
      </c>
      <c r="N3623" s="5" t="s">
        <v>242</v>
      </c>
      <c r="O3623" s="5">
        <v>1</v>
      </c>
      <c r="P3623" s="5" t="s">
        <v>294</v>
      </c>
      <c r="Q3623" s="5" t="s">
        <v>3678</v>
      </c>
      <c r="R3623" s="5" t="s">
        <v>240</v>
      </c>
      <c r="S3623" s="5" t="s">
        <v>240</v>
      </c>
      <c r="T3623" s="5" t="s">
        <v>243</v>
      </c>
      <c r="U3623" s="5" t="s">
        <v>244</v>
      </c>
      <c r="V3623" s="5" t="s">
        <v>240</v>
      </c>
      <c r="W3623" s="5" t="s">
        <v>240</v>
      </c>
      <c r="X3623" s="5" t="s">
        <v>240</v>
      </c>
      <c r="Y3623" s="5" t="s">
        <v>240</v>
      </c>
      <c r="Z3623" s="6" t="s">
        <v>298</v>
      </c>
      <c r="AA3623" s="6" t="s">
        <v>240</v>
      </c>
      <c r="AB3623" s="6" t="s">
        <v>240</v>
      </c>
      <c r="AC3623" s="5" t="s">
        <v>240</v>
      </c>
      <c r="AD3623" s="6" t="s">
        <v>240</v>
      </c>
      <c r="AE3623" s="6" t="s">
        <v>299</v>
      </c>
      <c r="AF3623" s="5" t="s">
        <v>248</v>
      </c>
      <c r="AG3623" s="5" t="s">
        <v>249</v>
      </c>
      <c r="AH3623" s="5" t="s">
        <v>240</v>
      </c>
      <c r="AI3623" s="5" t="s">
        <v>240</v>
      </c>
      <c r="AJ3623" s="5" t="s">
        <v>240</v>
      </c>
      <c r="AK3623" s="5" t="s">
        <v>240</v>
      </c>
      <c r="AL3623" s="5" t="s">
        <v>240</v>
      </c>
      <c r="AM3623" s="5" t="s">
        <v>240</v>
      </c>
      <c r="AN3623" s="5" t="s">
        <v>240</v>
      </c>
      <c r="AO3623" s="5" t="s">
        <v>240</v>
      </c>
      <c r="AP3623" s="6" t="s">
        <v>240</v>
      </c>
      <c r="AQ3623" s="6" t="s">
        <v>240</v>
      </c>
      <c r="AR3623" s="6" t="s">
        <v>240</v>
      </c>
      <c r="AS3623" s="6" t="s">
        <v>240</v>
      </c>
      <c r="AT3623" s="5" t="s">
        <v>240</v>
      </c>
      <c r="AU3623" s="5" t="s">
        <v>729</v>
      </c>
      <c r="AV3623" s="5" t="s">
        <v>729</v>
      </c>
      <c r="AW3623" s="5" t="s">
        <v>251</v>
      </c>
      <c r="AX3623" s="5" t="s">
        <v>252</v>
      </c>
      <c r="AY3623" s="5" t="s">
        <v>253</v>
      </c>
      <c r="AZ3623" s="5" t="s">
        <v>240</v>
      </c>
      <c r="BA3623" s="5" t="s">
        <v>255</v>
      </c>
      <c r="BB3623" s="5" t="s">
        <v>731</v>
      </c>
      <c r="BD3623" s="5" t="s">
        <v>240</v>
      </c>
      <c r="BF3623" s="5" t="s">
        <v>732</v>
      </c>
      <c r="BG3623" s="6" t="s">
        <v>733</v>
      </c>
      <c r="BH3623" s="5" t="s">
        <v>734</v>
      </c>
      <c r="BI3623" s="5" t="s">
        <v>734</v>
      </c>
      <c r="BJ3623" s="5" t="s">
        <v>240</v>
      </c>
      <c r="BK3623" s="7">
        <f>1</f>
        <v>1</v>
      </c>
      <c r="BL3623" s="7">
        <f>1</f>
        <v>1</v>
      </c>
      <c r="BM3623" s="5" t="s">
        <v>258</v>
      </c>
      <c r="BN3623" s="5" t="s">
        <v>259</v>
      </c>
      <c r="BO3623" s="5" t="s">
        <v>240</v>
      </c>
      <c r="BP3623" s="5" t="s">
        <v>240</v>
      </c>
      <c r="BQ3623" s="5" t="s">
        <v>240</v>
      </c>
      <c r="BR3623" s="5" t="s">
        <v>240</v>
      </c>
      <c r="BS3623" s="5" t="s">
        <v>240</v>
      </c>
      <c r="BT3623" s="5" t="s">
        <v>240</v>
      </c>
      <c r="BU3623" s="5" t="s">
        <v>240</v>
      </c>
      <c r="BV3623" s="5" t="s">
        <v>240</v>
      </c>
      <c r="BW3623" s="6" t="s">
        <v>240</v>
      </c>
      <c r="BX3623" s="5" t="s">
        <v>240</v>
      </c>
      <c r="BY3623" s="5" t="s">
        <v>240</v>
      </c>
      <c r="BZ3623" s="5" t="s">
        <v>240</v>
      </c>
      <c r="CA3623" s="5" t="s">
        <v>259</v>
      </c>
      <c r="CB3623" s="5" t="s">
        <v>240</v>
      </c>
      <c r="CC3623" s="5" t="s">
        <v>240</v>
      </c>
      <c r="CD3623" s="5" t="s">
        <v>240</v>
      </c>
      <c r="CE3623" s="5" t="s">
        <v>240</v>
      </c>
      <c r="CF3623" s="5" t="s">
        <v>240</v>
      </c>
      <c r="CG3623" s="5" t="s">
        <v>304</v>
      </c>
      <c r="CH3623" s="5" t="s">
        <v>305</v>
      </c>
      <c r="CI3623" s="5" t="s">
        <v>240</v>
      </c>
      <c r="CK3623" s="5" t="s">
        <v>3681</v>
      </c>
      <c r="CL3623" s="6" t="s">
        <v>261</v>
      </c>
      <c r="CM3623" s="5" t="s">
        <v>262</v>
      </c>
      <c r="CN3623" s="5" t="s">
        <v>263</v>
      </c>
      <c r="CO3623" s="5" t="s">
        <v>264</v>
      </c>
      <c r="CP3623" s="5" t="s">
        <v>240</v>
      </c>
      <c r="CQ3623" s="5">
        <v>0</v>
      </c>
      <c r="CR3623" s="5" t="s">
        <v>735</v>
      </c>
      <c r="CS3623" s="5" t="s">
        <v>307</v>
      </c>
      <c r="CT3623" s="5" t="s">
        <v>307</v>
      </c>
      <c r="CU3623" s="5" t="s">
        <v>260</v>
      </c>
      <c r="CV3623" s="5" t="s">
        <v>612</v>
      </c>
      <c r="CW3623" s="8">
        <f>1</f>
        <v>1</v>
      </c>
      <c r="CX3623" s="7">
        <f>1</f>
        <v>1</v>
      </c>
      <c r="CY3623" s="7">
        <f>0</f>
        <v>0</v>
      </c>
      <c r="DA3623" s="7">
        <f>1</f>
        <v>1</v>
      </c>
      <c r="DB3623" s="7" t="s">
        <v>240</v>
      </c>
      <c r="DC3623" s="5" t="s">
        <v>240</v>
      </c>
      <c r="DD3623" s="5" t="s">
        <v>240</v>
      </c>
      <c r="DE3623" s="5" t="s">
        <v>240</v>
      </c>
      <c r="DF3623" s="5" t="s">
        <v>240</v>
      </c>
      <c r="DG3623" s="7">
        <f>0</f>
        <v>0</v>
      </c>
      <c r="DI3623" s="5" t="s">
        <v>240</v>
      </c>
      <c r="DJ3623" s="5" t="s">
        <v>240</v>
      </c>
      <c r="DK3623" s="5" t="s">
        <v>240</v>
      </c>
      <c r="DL3623" s="5" t="s">
        <v>240</v>
      </c>
      <c r="DM3623" s="5" t="s">
        <v>240</v>
      </c>
      <c r="DN3623" s="5" t="s">
        <v>240</v>
      </c>
      <c r="DO3623" s="7" t="s">
        <v>240</v>
      </c>
      <c r="DP3623" s="5" t="s">
        <v>240</v>
      </c>
      <c r="DQ3623" s="5" t="s">
        <v>240</v>
      </c>
      <c r="DR3623" s="5" t="s">
        <v>731</v>
      </c>
      <c r="DS3623" s="5" t="s">
        <v>731</v>
      </c>
      <c r="DT3623" s="5" t="s">
        <v>240</v>
      </c>
      <c r="DU3623" s="5" t="s">
        <v>240</v>
      </c>
      <c r="DV3623" s="5" t="s">
        <v>3683</v>
      </c>
      <c r="DW3623" s="5" t="s">
        <v>620</v>
      </c>
      <c r="DX3623" s="5" t="s">
        <v>240</v>
      </c>
      <c r="DY3623" s="5" t="s">
        <v>240</v>
      </c>
      <c r="DZ3623" s="5" t="s">
        <v>240</v>
      </c>
      <c r="EA3623" s="5" t="s">
        <v>240</v>
      </c>
      <c r="EB3623" s="5" t="s">
        <v>240</v>
      </c>
      <c r="EC3623" s="5" t="s">
        <v>240</v>
      </c>
      <c r="ED3623" s="5" t="s">
        <v>240</v>
      </c>
      <c r="EE3623" s="5" t="s">
        <v>240</v>
      </c>
      <c r="EF3623" s="5" t="s">
        <v>240</v>
      </c>
      <c r="EG3623" s="5" t="s">
        <v>240</v>
      </c>
      <c r="EH3623" s="5" t="s">
        <v>240</v>
      </c>
      <c r="EI3623" s="5" t="s">
        <v>240</v>
      </c>
      <c r="EJ3623" s="5" t="s">
        <v>240</v>
      </c>
      <c r="EK3623" s="5" t="s">
        <v>240</v>
      </c>
      <c r="EL3623" s="5" t="s">
        <v>240</v>
      </c>
      <c r="EM3623" s="5" t="s">
        <v>240</v>
      </c>
      <c r="EN3623" s="5" t="s">
        <v>240</v>
      </c>
      <c r="EO3623" s="5" t="s">
        <v>240</v>
      </c>
      <c r="EP3623" s="5" t="s">
        <v>240</v>
      </c>
      <c r="EQ3623" s="5" t="s">
        <v>240</v>
      </c>
      <c r="ER3623" s="5" t="s">
        <v>240</v>
      </c>
      <c r="ES3623" s="5" t="s">
        <v>240</v>
      </c>
      <c r="ET3623" s="5" t="s">
        <v>240</v>
      </c>
      <c r="EU3623" s="5" t="s">
        <v>240</v>
      </c>
      <c r="EV3623" s="5" t="s">
        <v>240</v>
      </c>
      <c r="EW3623" s="5" t="s">
        <v>240</v>
      </c>
      <c r="EX3623" s="5" t="s">
        <v>240</v>
      </c>
      <c r="EY3623" s="5" t="s">
        <v>240</v>
      </c>
      <c r="EZ3623" s="5" t="s">
        <v>240</v>
      </c>
      <c r="FA3623" s="5" t="s">
        <v>240</v>
      </c>
      <c r="FB3623" s="5" t="s">
        <v>240</v>
      </c>
      <c r="FC3623" s="5" t="s">
        <v>240</v>
      </c>
      <c r="FD3623" s="5" t="s">
        <v>240</v>
      </c>
      <c r="FE3623" s="5" t="s">
        <v>240</v>
      </c>
      <c r="FF3623" s="5" t="s">
        <v>240</v>
      </c>
      <c r="FG3623" s="5" t="s">
        <v>240</v>
      </c>
      <c r="FH3623" s="5" t="s">
        <v>240</v>
      </c>
      <c r="FI3623" s="5" t="s">
        <v>240</v>
      </c>
      <c r="FJ3623" s="5" t="s">
        <v>240</v>
      </c>
      <c r="FK3623" s="5" t="s">
        <v>240</v>
      </c>
      <c r="FL3623" s="5" t="s">
        <v>240</v>
      </c>
      <c r="FM3623" s="5" t="s">
        <v>240</v>
      </c>
      <c r="FN3623" s="5" t="s">
        <v>240</v>
      </c>
      <c r="FO3623" s="5" t="s">
        <v>240</v>
      </c>
      <c r="FP3623" s="5" t="s">
        <v>240</v>
      </c>
      <c r="FQ3623" s="5" t="s">
        <v>240</v>
      </c>
      <c r="FR3623" s="5" t="s">
        <v>240</v>
      </c>
      <c r="FS3623" s="5" t="s">
        <v>240</v>
      </c>
      <c r="FT3623" s="5" t="s">
        <v>240</v>
      </c>
      <c r="FU3623" s="5" t="s">
        <v>240</v>
      </c>
      <c r="FV3623" s="5" t="s">
        <v>240</v>
      </c>
      <c r="FW3623" s="5" t="s">
        <v>240</v>
      </c>
      <c r="FX3623" s="5" t="s">
        <v>240</v>
      </c>
      <c r="FY3623" s="5" t="s">
        <v>240</v>
      </c>
      <c r="FZ3623" s="5" t="s">
        <v>240</v>
      </c>
      <c r="GA3623" s="5" t="s">
        <v>240</v>
      </c>
      <c r="GB3623" s="5" t="s">
        <v>240</v>
      </c>
      <c r="GC3623" s="5" t="s">
        <v>240</v>
      </c>
      <c r="GD3623" s="5" t="s">
        <v>240</v>
      </c>
      <c r="GE3623" s="5" t="s">
        <v>240</v>
      </c>
      <c r="GF3623" s="5" t="s">
        <v>240</v>
      </c>
      <c r="GG3623" s="5" t="s">
        <v>240</v>
      </c>
      <c r="GH3623" s="5" t="s">
        <v>240</v>
      </c>
      <c r="GI3623" s="5" t="s">
        <v>240</v>
      </c>
      <c r="GJ3623" s="5" t="s">
        <v>240</v>
      </c>
      <c r="GK3623" s="5" t="s">
        <v>240</v>
      </c>
      <c r="GL3623" s="5" t="s">
        <v>240</v>
      </c>
      <c r="GM3623" s="5" t="s">
        <v>240</v>
      </c>
      <c r="GN3623" s="5" t="s">
        <v>240</v>
      </c>
      <c r="GO3623" s="5" t="s">
        <v>240</v>
      </c>
      <c r="GP3623" s="5" t="s">
        <v>240</v>
      </c>
      <c r="GQ3623" s="5" t="s">
        <v>240</v>
      </c>
      <c r="GR3623" s="5" t="s">
        <v>240</v>
      </c>
      <c r="GS3623" s="5" t="s">
        <v>240</v>
      </c>
      <c r="GT3623" s="5" t="s">
        <v>240</v>
      </c>
      <c r="GU3623" s="5" t="s">
        <v>240</v>
      </c>
      <c r="GV3623" s="5" t="s">
        <v>240</v>
      </c>
      <c r="GW3623" s="5" t="s">
        <v>240</v>
      </c>
      <c r="GX3623" s="5" t="s">
        <v>240</v>
      </c>
      <c r="GY3623" s="5" t="s">
        <v>240</v>
      </c>
      <c r="GZ3623" s="5" t="s">
        <v>240</v>
      </c>
      <c r="HA3623" s="5" t="s">
        <v>240</v>
      </c>
      <c r="HB3623" s="5" t="s">
        <v>240</v>
      </c>
      <c r="HC3623" s="5" t="s">
        <v>240</v>
      </c>
      <c r="HD3623" s="5" t="s">
        <v>240</v>
      </c>
      <c r="HE3623" s="5" t="s">
        <v>240</v>
      </c>
      <c r="HF3623" s="5" t="s">
        <v>240</v>
      </c>
      <c r="HG3623" s="5" t="s">
        <v>240</v>
      </c>
      <c r="HH3623" s="5" t="s">
        <v>240</v>
      </c>
      <c r="HI3623" s="5" t="s">
        <v>240</v>
      </c>
      <c r="HJ3623" s="5" t="s">
        <v>240</v>
      </c>
      <c r="HK3623" s="5" t="s">
        <v>240</v>
      </c>
      <c r="HL3623" s="5" t="s">
        <v>240</v>
      </c>
      <c r="HM3623" s="5" t="s">
        <v>240</v>
      </c>
      <c r="HN3623" s="5" t="s">
        <v>240</v>
      </c>
      <c r="HO3623" s="5" t="s">
        <v>312</v>
      </c>
      <c r="HP3623" s="5" t="s">
        <v>240</v>
      </c>
      <c r="HQ3623" s="5" t="s">
        <v>240</v>
      </c>
      <c r="HR3623" s="5" t="s">
        <v>240</v>
      </c>
      <c r="HS3623" s="5" t="s">
        <v>240</v>
      </c>
      <c r="HT3623" s="5" t="s">
        <v>240</v>
      </c>
      <c r="HU3623" s="5" t="s">
        <v>240</v>
      </c>
      <c r="HV3623" s="5" t="s">
        <v>240</v>
      </c>
      <c r="HW3623" s="5" t="s">
        <v>240</v>
      </c>
      <c r="HX3623" s="5" t="s">
        <v>240</v>
      </c>
      <c r="HY3623" s="5" t="s">
        <v>240</v>
      </c>
      <c r="HZ3623" s="5" t="s">
        <v>240</v>
      </c>
      <c r="IA3623" s="5" t="s">
        <v>240</v>
      </c>
      <c r="IB3623" s="5" t="s">
        <v>240</v>
      </c>
      <c r="IC3623" s="5" t="s">
        <v>240</v>
      </c>
      <c r="ID3623" s="5" t="s">
        <v>240</v>
      </c>
      <c r="IE3623" s="5" t="s">
        <v>240</v>
      </c>
      <c r="IF3623" s="5" t="s">
        <v>240</v>
      </c>
    </row>
    <row r="3624" spans="1:240" x14ac:dyDescent="0.4">
      <c r="A3624" s="5">
        <v>9166</v>
      </c>
      <c r="B3624" s="5">
        <v>1</v>
      </c>
      <c r="C3624" s="5">
        <v>1</v>
      </c>
      <c r="D3624" s="5" t="s">
        <v>723</v>
      </c>
      <c r="E3624" s="5" t="s">
        <v>725</v>
      </c>
      <c r="F3624" s="5" t="s">
        <v>254</v>
      </c>
      <c r="G3624" s="5" t="s">
        <v>726</v>
      </c>
      <c r="H3624" s="6" t="s">
        <v>5705</v>
      </c>
      <c r="I3624" s="5" t="s">
        <v>5704</v>
      </c>
      <c r="J3624" s="7">
        <f>1</f>
        <v>1</v>
      </c>
      <c r="K3624" s="5" t="s">
        <v>3682</v>
      </c>
      <c r="L3624" s="7">
        <f>1</f>
        <v>1</v>
      </c>
      <c r="M3624" s="7">
        <f>1</f>
        <v>1</v>
      </c>
      <c r="N3624" s="5" t="s">
        <v>242</v>
      </c>
      <c r="O3624" s="5">
        <v>1</v>
      </c>
      <c r="P3624" s="5" t="s">
        <v>294</v>
      </c>
      <c r="Q3624" s="5" t="s">
        <v>3678</v>
      </c>
      <c r="R3624" s="5" t="s">
        <v>240</v>
      </c>
      <c r="S3624" s="5" t="s">
        <v>240</v>
      </c>
      <c r="T3624" s="5" t="s">
        <v>243</v>
      </c>
      <c r="U3624" s="5" t="s">
        <v>244</v>
      </c>
      <c r="V3624" s="5" t="s">
        <v>240</v>
      </c>
      <c r="W3624" s="5" t="s">
        <v>240</v>
      </c>
      <c r="X3624" s="5" t="s">
        <v>240</v>
      </c>
      <c r="Y3624" s="5" t="s">
        <v>240</v>
      </c>
      <c r="Z3624" s="6" t="s">
        <v>298</v>
      </c>
      <c r="AA3624" s="6" t="s">
        <v>240</v>
      </c>
      <c r="AB3624" s="6" t="s">
        <v>240</v>
      </c>
      <c r="AC3624" s="5" t="s">
        <v>240</v>
      </c>
      <c r="AD3624" s="6" t="s">
        <v>240</v>
      </c>
      <c r="AE3624" s="6" t="s">
        <v>299</v>
      </c>
      <c r="AF3624" s="5" t="s">
        <v>248</v>
      </c>
      <c r="AG3624" s="5" t="s">
        <v>249</v>
      </c>
      <c r="AH3624" s="5" t="s">
        <v>240</v>
      </c>
      <c r="AI3624" s="5" t="s">
        <v>240</v>
      </c>
      <c r="AJ3624" s="5" t="s">
        <v>240</v>
      </c>
      <c r="AK3624" s="5" t="s">
        <v>240</v>
      </c>
      <c r="AL3624" s="5" t="s">
        <v>240</v>
      </c>
      <c r="AM3624" s="5" t="s">
        <v>240</v>
      </c>
      <c r="AN3624" s="5" t="s">
        <v>240</v>
      </c>
      <c r="AO3624" s="5" t="s">
        <v>240</v>
      </c>
      <c r="AP3624" s="6" t="s">
        <v>240</v>
      </c>
      <c r="AQ3624" s="6" t="s">
        <v>240</v>
      </c>
      <c r="AR3624" s="6" t="s">
        <v>240</v>
      </c>
      <c r="AS3624" s="6" t="s">
        <v>240</v>
      </c>
      <c r="AT3624" s="5" t="s">
        <v>240</v>
      </c>
      <c r="AU3624" s="5" t="s">
        <v>729</v>
      </c>
      <c r="AV3624" s="5" t="s">
        <v>729</v>
      </c>
      <c r="AW3624" s="5" t="s">
        <v>251</v>
      </c>
      <c r="AX3624" s="5" t="s">
        <v>252</v>
      </c>
      <c r="AY3624" s="5" t="s">
        <v>253</v>
      </c>
      <c r="AZ3624" s="5" t="s">
        <v>240</v>
      </c>
      <c r="BA3624" s="5" t="s">
        <v>255</v>
      </c>
      <c r="BB3624" s="5" t="s">
        <v>731</v>
      </c>
      <c r="BD3624" s="5" t="s">
        <v>240</v>
      </c>
      <c r="BF3624" s="5" t="s">
        <v>732</v>
      </c>
      <c r="BG3624" s="6" t="s">
        <v>733</v>
      </c>
      <c r="BH3624" s="5" t="s">
        <v>734</v>
      </c>
      <c r="BI3624" s="5" t="s">
        <v>734</v>
      </c>
      <c r="BJ3624" s="5" t="s">
        <v>240</v>
      </c>
      <c r="BK3624" s="7">
        <f>1</f>
        <v>1</v>
      </c>
      <c r="BL3624" s="7">
        <f>1</f>
        <v>1</v>
      </c>
      <c r="BM3624" s="5" t="s">
        <v>258</v>
      </c>
      <c r="BN3624" s="5" t="s">
        <v>259</v>
      </c>
      <c r="BO3624" s="5" t="s">
        <v>240</v>
      </c>
      <c r="BP3624" s="5" t="s">
        <v>240</v>
      </c>
      <c r="BQ3624" s="5" t="s">
        <v>240</v>
      </c>
      <c r="BR3624" s="5" t="s">
        <v>240</v>
      </c>
      <c r="BS3624" s="5" t="s">
        <v>240</v>
      </c>
      <c r="BT3624" s="5" t="s">
        <v>240</v>
      </c>
      <c r="BU3624" s="5" t="s">
        <v>240</v>
      </c>
      <c r="BV3624" s="5" t="s">
        <v>240</v>
      </c>
      <c r="BW3624" s="6" t="s">
        <v>240</v>
      </c>
      <c r="BX3624" s="5" t="s">
        <v>240</v>
      </c>
      <c r="BY3624" s="5" t="s">
        <v>240</v>
      </c>
      <c r="BZ3624" s="5" t="s">
        <v>240</v>
      </c>
      <c r="CA3624" s="5" t="s">
        <v>259</v>
      </c>
      <c r="CB3624" s="5" t="s">
        <v>240</v>
      </c>
      <c r="CC3624" s="5" t="s">
        <v>240</v>
      </c>
      <c r="CD3624" s="5" t="s">
        <v>240</v>
      </c>
      <c r="CE3624" s="5" t="s">
        <v>240</v>
      </c>
      <c r="CF3624" s="5" t="s">
        <v>240</v>
      </c>
      <c r="CG3624" s="5" t="s">
        <v>304</v>
      </c>
      <c r="CH3624" s="5" t="s">
        <v>305</v>
      </c>
      <c r="CI3624" s="5" t="s">
        <v>240</v>
      </c>
      <c r="CK3624" s="5" t="s">
        <v>3681</v>
      </c>
      <c r="CL3624" s="6" t="s">
        <v>261</v>
      </c>
      <c r="CM3624" s="5" t="s">
        <v>262</v>
      </c>
      <c r="CN3624" s="5" t="s">
        <v>263</v>
      </c>
      <c r="CO3624" s="5" t="s">
        <v>264</v>
      </c>
      <c r="CP3624" s="5" t="s">
        <v>240</v>
      </c>
      <c r="CQ3624" s="5">
        <v>0</v>
      </c>
      <c r="CR3624" s="5" t="s">
        <v>735</v>
      </c>
      <c r="CS3624" s="5" t="s">
        <v>307</v>
      </c>
      <c r="CT3624" s="5" t="s">
        <v>307</v>
      </c>
      <c r="CU3624" s="5" t="s">
        <v>260</v>
      </c>
      <c r="CV3624" s="5" t="s">
        <v>612</v>
      </c>
      <c r="CW3624" s="8">
        <f>1</f>
        <v>1</v>
      </c>
      <c r="CX3624" s="7">
        <f>1</f>
        <v>1</v>
      </c>
      <c r="CY3624" s="7">
        <f>0</f>
        <v>0</v>
      </c>
      <c r="DA3624" s="7">
        <f>1</f>
        <v>1</v>
      </c>
      <c r="DB3624" s="7" t="s">
        <v>240</v>
      </c>
      <c r="DC3624" s="5" t="s">
        <v>240</v>
      </c>
      <c r="DD3624" s="5" t="s">
        <v>240</v>
      </c>
      <c r="DE3624" s="5" t="s">
        <v>240</v>
      </c>
      <c r="DF3624" s="5" t="s">
        <v>240</v>
      </c>
      <c r="DG3624" s="7">
        <f>0</f>
        <v>0</v>
      </c>
      <c r="DI3624" s="5" t="s">
        <v>240</v>
      </c>
      <c r="DJ3624" s="5" t="s">
        <v>240</v>
      </c>
      <c r="DK3624" s="5" t="s">
        <v>240</v>
      </c>
      <c r="DL3624" s="5" t="s">
        <v>240</v>
      </c>
      <c r="DM3624" s="5" t="s">
        <v>240</v>
      </c>
      <c r="DN3624" s="5" t="s">
        <v>240</v>
      </c>
      <c r="DO3624" s="7" t="s">
        <v>240</v>
      </c>
      <c r="DP3624" s="5" t="s">
        <v>240</v>
      </c>
      <c r="DQ3624" s="5" t="s">
        <v>240</v>
      </c>
      <c r="DR3624" s="5" t="s">
        <v>731</v>
      </c>
      <c r="DS3624" s="5" t="s">
        <v>731</v>
      </c>
      <c r="DT3624" s="5" t="s">
        <v>240</v>
      </c>
      <c r="DU3624" s="5" t="s">
        <v>240</v>
      </c>
      <c r="DV3624" s="5" t="s">
        <v>3683</v>
      </c>
      <c r="DW3624" s="5" t="s">
        <v>4040</v>
      </c>
      <c r="DX3624" s="5" t="s">
        <v>240</v>
      </c>
      <c r="DY3624" s="5" t="s">
        <v>240</v>
      </c>
      <c r="DZ3624" s="5" t="s">
        <v>240</v>
      </c>
      <c r="EA3624" s="5" t="s">
        <v>240</v>
      </c>
      <c r="EB3624" s="5" t="s">
        <v>240</v>
      </c>
      <c r="EC3624" s="5" t="s">
        <v>240</v>
      </c>
      <c r="ED3624" s="5" t="s">
        <v>240</v>
      </c>
      <c r="EE3624" s="5" t="s">
        <v>240</v>
      </c>
      <c r="EF3624" s="5" t="s">
        <v>240</v>
      </c>
      <c r="EG3624" s="5" t="s">
        <v>240</v>
      </c>
      <c r="EH3624" s="5" t="s">
        <v>240</v>
      </c>
      <c r="EI3624" s="5" t="s">
        <v>240</v>
      </c>
      <c r="EJ3624" s="5" t="s">
        <v>240</v>
      </c>
      <c r="EK3624" s="5" t="s">
        <v>240</v>
      </c>
      <c r="EL3624" s="5" t="s">
        <v>240</v>
      </c>
      <c r="EM3624" s="5" t="s">
        <v>240</v>
      </c>
      <c r="EN3624" s="5" t="s">
        <v>240</v>
      </c>
      <c r="EO3624" s="5" t="s">
        <v>240</v>
      </c>
      <c r="EP3624" s="5" t="s">
        <v>240</v>
      </c>
      <c r="EQ3624" s="5" t="s">
        <v>240</v>
      </c>
      <c r="ER3624" s="5" t="s">
        <v>240</v>
      </c>
      <c r="ES3624" s="5" t="s">
        <v>240</v>
      </c>
      <c r="ET3624" s="5" t="s">
        <v>240</v>
      </c>
      <c r="EU3624" s="5" t="s">
        <v>240</v>
      </c>
      <c r="EV3624" s="5" t="s">
        <v>240</v>
      </c>
      <c r="EW3624" s="5" t="s">
        <v>240</v>
      </c>
      <c r="EX3624" s="5" t="s">
        <v>240</v>
      </c>
      <c r="EY3624" s="5" t="s">
        <v>240</v>
      </c>
      <c r="EZ3624" s="5" t="s">
        <v>240</v>
      </c>
      <c r="FA3624" s="5" t="s">
        <v>240</v>
      </c>
      <c r="FB3624" s="5" t="s">
        <v>240</v>
      </c>
      <c r="FC3624" s="5" t="s">
        <v>240</v>
      </c>
      <c r="FD3624" s="5" t="s">
        <v>240</v>
      </c>
      <c r="FE3624" s="5" t="s">
        <v>240</v>
      </c>
      <c r="FF3624" s="5" t="s">
        <v>240</v>
      </c>
      <c r="FG3624" s="5" t="s">
        <v>240</v>
      </c>
      <c r="FH3624" s="5" t="s">
        <v>240</v>
      </c>
      <c r="FI3624" s="5" t="s">
        <v>240</v>
      </c>
      <c r="FJ3624" s="5" t="s">
        <v>240</v>
      </c>
      <c r="FK3624" s="5" t="s">
        <v>240</v>
      </c>
      <c r="FL3624" s="5" t="s">
        <v>240</v>
      </c>
      <c r="FM3624" s="5" t="s">
        <v>240</v>
      </c>
      <c r="FN3624" s="5" t="s">
        <v>240</v>
      </c>
      <c r="FO3624" s="5" t="s">
        <v>240</v>
      </c>
      <c r="FP3624" s="5" t="s">
        <v>240</v>
      </c>
      <c r="FQ3624" s="5" t="s">
        <v>240</v>
      </c>
      <c r="FR3624" s="5" t="s">
        <v>240</v>
      </c>
      <c r="FS3624" s="5" t="s">
        <v>240</v>
      </c>
      <c r="FT3624" s="5" t="s">
        <v>240</v>
      </c>
      <c r="FU3624" s="5" t="s">
        <v>240</v>
      </c>
      <c r="FV3624" s="5" t="s">
        <v>240</v>
      </c>
      <c r="FW3624" s="5" t="s">
        <v>240</v>
      </c>
      <c r="FX3624" s="5" t="s">
        <v>240</v>
      </c>
      <c r="FY3624" s="5" t="s">
        <v>240</v>
      </c>
      <c r="FZ3624" s="5" t="s">
        <v>240</v>
      </c>
      <c r="GA3624" s="5" t="s">
        <v>240</v>
      </c>
      <c r="GB3624" s="5" t="s">
        <v>240</v>
      </c>
      <c r="GC3624" s="5" t="s">
        <v>240</v>
      </c>
      <c r="GD3624" s="5" t="s">
        <v>240</v>
      </c>
      <c r="GE3624" s="5" t="s">
        <v>240</v>
      </c>
      <c r="GF3624" s="5" t="s">
        <v>240</v>
      </c>
      <c r="GG3624" s="5" t="s">
        <v>240</v>
      </c>
      <c r="GH3624" s="5" t="s">
        <v>240</v>
      </c>
      <c r="GI3624" s="5" t="s">
        <v>240</v>
      </c>
      <c r="GJ3624" s="5" t="s">
        <v>240</v>
      </c>
      <c r="GK3624" s="5" t="s">
        <v>240</v>
      </c>
      <c r="GL3624" s="5" t="s">
        <v>240</v>
      </c>
      <c r="GM3624" s="5" t="s">
        <v>240</v>
      </c>
      <c r="GN3624" s="5" t="s">
        <v>240</v>
      </c>
      <c r="GO3624" s="5" t="s">
        <v>240</v>
      </c>
      <c r="GP3624" s="5" t="s">
        <v>240</v>
      </c>
      <c r="GQ3624" s="5" t="s">
        <v>240</v>
      </c>
      <c r="GR3624" s="5" t="s">
        <v>240</v>
      </c>
      <c r="GS3624" s="5" t="s">
        <v>240</v>
      </c>
      <c r="GT3624" s="5" t="s">
        <v>240</v>
      </c>
      <c r="GU3624" s="5" t="s">
        <v>240</v>
      </c>
      <c r="GV3624" s="5" t="s">
        <v>240</v>
      </c>
      <c r="GW3624" s="5" t="s">
        <v>240</v>
      </c>
      <c r="GX3624" s="5" t="s">
        <v>240</v>
      </c>
      <c r="GY3624" s="5" t="s">
        <v>240</v>
      </c>
      <c r="GZ3624" s="5" t="s">
        <v>240</v>
      </c>
      <c r="HA3624" s="5" t="s">
        <v>240</v>
      </c>
      <c r="HB3624" s="5" t="s">
        <v>240</v>
      </c>
      <c r="HC3624" s="5" t="s">
        <v>240</v>
      </c>
      <c r="HD3624" s="5" t="s">
        <v>240</v>
      </c>
      <c r="HE3624" s="5" t="s">
        <v>240</v>
      </c>
      <c r="HF3624" s="5" t="s">
        <v>240</v>
      </c>
      <c r="HG3624" s="5" t="s">
        <v>240</v>
      </c>
      <c r="HH3624" s="5" t="s">
        <v>240</v>
      </c>
      <c r="HI3624" s="5" t="s">
        <v>240</v>
      </c>
      <c r="HJ3624" s="5" t="s">
        <v>240</v>
      </c>
      <c r="HK3624" s="5" t="s">
        <v>240</v>
      </c>
      <c r="HL3624" s="5" t="s">
        <v>240</v>
      </c>
      <c r="HM3624" s="5" t="s">
        <v>240</v>
      </c>
      <c r="HN3624" s="5" t="s">
        <v>240</v>
      </c>
      <c r="HO3624" s="5" t="s">
        <v>312</v>
      </c>
      <c r="HP3624" s="5" t="s">
        <v>240</v>
      </c>
      <c r="HQ3624" s="5" t="s">
        <v>240</v>
      </c>
      <c r="HR3624" s="5" t="s">
        <v>240</v>
      </c>
      <c r="HS3624" s="5" t="s">
        <v>240</v>
      </c>
      <c r="HT3624" s="5" t="s">
        <v>240</v>
      </c>
      <c r="HU3624" s="5" t="s">
        <v>240</v>
      </c>
      <c r="HV3624" s="5" t="s">
        <v>240</v>
      </c>
      <c r="HW3624" s="5" t="s">
        <v>240</v>
      </c>
      <c r="HX3624" s="5" t="s">
        <v>240</v>
      </c>
      <c r="HY3624" s="5" t="s">
        <v>240</v>
      </c>
      <c r="HZ3624" s="5" t="s">
        <v>240</v>
      </c>
      <c r="IA3624" s="5" t="s">
        <v>240</v>
      </c>
      <c r="IB3624" s="5" t="s">
        <v>240</v>
      </c>
      <c r="IC3624" s="5" t="s">
        <v>240</v>
      </c>
      <c r="ID3624" s="5" t="s">
        <v>240</v>
      </c>
      <c r="IE3624" s="5" t="s">
        <v>240</v>
      </c>
      <c r="IF3624" s="5" t="s">
        <v>240</v>
      </c>
    </row>
    <row r="3625" spans="1:240" x14ac:dyDescent="0.4">
      <c r="A3625" s="5">
        <v>9167</v>
      </c>
      <c r="B3625" s="5">
        <v>1</v>
      </c>
      <c r="C3625" s="5">
        <v>1</v>
      </c>
      <c r="D3625" s="5" t="s">
        <v>723</v>
      </c>
      <c r="E3625" s="5" t="s">
        <v>725</v>
      </c>
      <c r="F3625" s="5" t="s">
        <v>254</v>
      </c>
      <c r="G3625" s="5" t="s">
        <v>726</v>
      </c>
      <c r="H3625" s="6" t="s">
        <v>5703</v>
      </c>
      <c r="I3625" s="5" t="s">
        <v>5702</v>
      </c>
      <c r="J3625" s="7">
        <f>1</f>
        <v>1</v>
      </c>
      <c r="K3625" s="5" t="s">
        <v>3682</v>
      </c>
      <c r="L3625" s="7">
        <f>1</f>
        <v>1</v>
      </c>
      <c r="M3625" s="7">
        <f>1</f>
        <v>1</v>
      </c>
      <c r="N3625" s="5" t="s">
        <v>242</v>
      </c>
      <c r="O3625" s="5">
        <v>1</v>
      </c>
      <c r="P3625" s="5" t="s">
        <v>294</v>
      </c>
      <c r="Q3625" s="5" t="s">
        <v>3678</v>
      </c>
      <c r="R3625" s="5" t="s">
        <v>240</v>
      </c>
      <c r="S3625" s="5" t="s">
        <v>240</v>
      </c>
      <c r="T3625" s="5" t="s">
        <v>243</v>
      </c>
      <c r="U3625" s="5" t="s">
        <v>244</v>
      </c>
      <c r="V3625" s="5" t="s">
        <v>240</v>
      </c>
      <c r="W3625" s="5" t="s">
        <v>240</v>
      </c>
      <c r="X3625" s="5" t="s">
        <v>240</v>
      </c>
      <c r="Y3625" s="5" t="s">
        <v>240</v>
      </c>
      <c r="Z3625" s="6" t="s">
        <v>298</v>
      </c>
      <c r="AA3625" s="6" t="s">
        <v>240</v>
      </c>
      <c r="AB3625" s="6" t="s">
        <v>240</v>
      </c>
      <c r="AC3625" s="5" t="s">
        <v>240</v>
      </c>
      <c r="AD3625" s="6" t="s">
        <v>240</v>
      </c>
      <c r="AE3625" s="6" t="s">
        <v>299</v>
      </c>
      <c r="AF3625" s="5" t="s">
        <v>248</v>
      </c>
      <c r="AG3625" s="5" t="s">
        <v>249</v>
      </c>
      <c r="AH3625" s="5" t="s">
        <v>240</v>
      </c>
      <c r="AI3625" s="5" t="s">
        <v>240</v>
      </c>
      <c r="AJ3625" s="5" t="s">
        <v>240</v>
      </c>
      <c r="AK3625" s="5" t="s">
        <v>240</v>
      </c>
      <c r="AL3625" s="5" t="s">
        <v>240</v>
      </c>
      <c r="AM3625" s="5" t="s">
        <v>240</v>
      </c>
      <c r="AN3625" s="5" t="s">
        <v>240</v>
      </c>
      <c r="AO3625" s="5" t="s">
        <v>240</v>
      </c>
      <c r="AP3625" s="6" t="s">
        <v>240</v>
      </c>
      <c r="AQ3625" s="6" t="s">
        <v>240</v>
      </c>
      <c r="AR3625" s="6" t="s">
        <v>240</v>
      </c>
      <c r="AS3625" s="6" t="s">
        <v>240</v>
      </c>
      <c r="AT3625" s="5" t="s">
        <v>240</v>
      </c>
      <c r="AU3625" s="5" t="s">
        <v>729</v>
      </c>
      <c r="AV3625" s="5" t="s">
        <v>729</v>
      </c>
      <c r="AW3625" s="5" t="s">
        <v>251</v>
      </c>
      <c r="AX3625" s="5" t="s">
        <v>252</v>
      </c>
      <c r="AY3625" s="5" t="s">
        <v>253</v>
      </c>
      <c r="AZ3625" s="5" t="s">
        <v>240</v>
      </c>
      <c r="BA3625" s="5" t="s">
        <v>255</v>
      </c>
      <c r="BB3625" s="5" t="s">
        <v>731</v>
      </c>
      <c r="BD3625" s="5" t="s">
        <v>240</v>
      </c>
      <c r="BF3625" s="5" t="s">
        <v>732</v>
      </c>
      <c r="BG3625" s="6" t="s">
        <v>733</v>
      </c>
      <c r="BH3625" s="5" t="s">
        <v>734</v>
      </c>
      <c r="BI3625" s="5" t="s">
        <v>734</v>
      </c>
      <c r="BJ3625" s="5" t="s">
        <v>240</v>
      </c>
      <c r="BK3625" s="7">
        <f>1</f>
        <v>1</v>
      </c>
      <c r="BL3625" s="7">
        <f>1</f>
        <v>1</v>
      </c>
      <c r="BM3625" s="5" t="s">
        <v>258</v>
      </c>
      <c r="BN3625" s="5" t="s">
        <v>259</v>
      </c>
      <c r="BO3625" s="5" t="s">
        <v>240</v>
      </c>
      <c r="BP3625" s="5" t="s">
        <v>240</v>
      </c>
      <c r="BQ3625" s="5" t="s">
        <v>240</v>
      </c>
      <c r="BR3625" s="5" t="s">
        <v>240</v>
      </c>
      <c r="BS3625" s="5" t="s">
        <v>240</v>
      </c>
      <c r="BT3625" s="5" t="s">
        <v>240</v>
      </c>
      <c r="BU3625" s="5" t="s">
        <v>240</v>
      </c>
      <c r="BV3625" s="5" t="s">
        <v>240</v>
      </c>
      <c r="BW3625" s="6" t="s">
        <v>240</v>
      </c>
      <c r="BX3625" s="5" t="s">
        <v>240</v>
      </c>
      <c r="BY3625" s="5" t="s">
        <v>240</v>
      </c>
      <c r="BZ3625" s="5" t="s">
        <v>240</v>
      </c>
      <c r="CA3625" s="5" t="s">
        <v>259</v>
      </c>
      <c r="CB3625" s="5" t="s">
        <v>240</v>
      </c>
      <c r="CC3625" s="5" t="s">
        <v>240</v>
      </c>
      <c r="CD3625" s="5" t="s">
        <v>240</v>
      </c>
      <c r="CE3625" s="5" t="s">
        <v>240</v>
      </c>
      <c r="CF3625" s="5" t="s">
        <v>240</v>
      </c>
      <c r="CG3625" s="5" t="s">
        <v>304</v>
      </c>
      <c r="CH3625" s="5" t="s">
        <v>305</v>
      </c>
      <c r="CI3625" s="5" t="s">
        <v>240</v>
      </c>
      <c r="CK3625" s="5" t="s">
        <v>3681</v>
      </c>
      <c r="CL3625" s="6" t="s">
        <v>261</v>
      </c>
      <c r="CM3625" s="5" t="s">
        <v>262</v>
      </c>
      <c r="CN3625" s="5" t="s">
        <v>263</v>
      </c>
      <c r="CO3625" s="5" t="s">
        <v>264</v>
      </c>
      <c r="CP3625" s="5" t="s">
        <v>240</v>
      </c>
      <c r="CQ3625" s="5">
        <v>0</v>
      </c>
      <c r="CR3625" s="5" t="s">
        <v>735</v>
      </c>
      <c r="CS3625" s="5" t="s">
        <v>307</v>
      </c>
      <c r="CT3625" s="5" t="s">
        <v>307</v>
      </c>
      <c r="CU3625" s="5" t="s">
        <v>260</v>
      </c>
      <c r="CV3625" s="5" t="s">
        <v>612</v>
      </c>
      <c r="CW3625" s="8">
        <f>1</f>
        <v>1</v>
      </c>
      <c r="CX3625" s="7">
        <f>1</f>
        <v>1</v>
      </c>
      <c r="CY3625" s="7">
        <f>0</f>
        <v>0</v>
      </c>
      <c r="DA3625" s="7">
        <f>1</f>
        <v>1</v>
      </c>
      <c r="DB3625" s="7" t="s">
        <v>240</v>
      </c>
      <c r="DC3625" s="5" t="s">
        <v>240</v>
      </c>
      <c r="DD3625" s="5" t="s">
        <v>240</v>
      </c>
      <c r="DE3625" s="5" t="s">
        <v>240</v>
      </c>
      <c r="DF3625" s="5" t="s">
        <v>240</v>
      </c>
      <c r="DG3625" s="7">
        <f>0</f>
        <v>0</v>
      </c>
      <c r="DI3625" s="5" t="s">
        <v>240</v>
      </c>
      <c r="DJ3625" s="5" t="s">
        <v>240</v>
      </c>
      <c r="DK3625" s="5" t="s">
        <v>240</v>
      </c>
      <c r="DL3625" s="5" t="s">
        <v>240</v>
      </c>
      <c r="DM3625" s="5" t="s">
        <v>240</v>
      </c>
      <c r="DN3625" s="5" t="s">
        <v>240</v>
      </c>
      <c r="DO3625" s="7" t="s">
        <v>240</v>
      </c>
      <c r="DP3625" s="5" t="s">
        <v>240</v>
      </c>
      <c r="DQ3625" s="5" t="s">
        <v>240</v>
      </c>
      <c r="DR3625" s="5" t="s">
        <v>731</v>
      </c>
      <c r="DS3625" s="5" t="s">
        <v>731</v>
      </c>
      <c r="DT3625" s="5" t="s">
        <v>240</v>
      </c>
      <c r="DU3625" s="5" t="s">
        <v>240</v>
      </c>
      <c r="DV3625" s="5" t="s">
        <v>3683</v>
      </c>
      <c r="DW3625" s="5" t="s">
        <v>364</v>
      </c>
      <c r="DX3625" s="5" t="s">
        <v>240</v>
      </c>
      <c r="DY3625" s="5" t="s">
        <v>240</v>
      </c>
      <c r="DZ3625" s="5" t="s">
        <v>240</v>
      </c>
      <c r="EA3625" s="5" t="s">
        <v>240</v>
      </c>
      <c r="EB3625" s="5" t="s">
        <v>240</v>
      </c>
      <c r="EC3625" s="5" t="s">
        <v>240</v>
      </c>
      <c r="ED3625" s="5" t="s">
        <v>240</v>
      </c>
      <c r="EE3625" s="5" t="s">
        <v>240</v>
      </c>
      <c r="EF3625" s="5" t="s">
        <v>240</v>
      </c>
      <c r="EG3625" s="5" t="s">
        <v>240</v>
      </c>
      <c r="EH3625" s="5" t="s">
        <v>240</v>
      </c>
      <c r="EI3625" s="5" t="s">
        <v>240</v>
      </c>
      <c r="EJ3625" s="5" t="s">
        <v>240</v>
      </c>
      <c r="EK3625" s="5" t="s">
        <v>240</v>
      </c>
      <c r="EL3625" s="5" t="s">
        <v>240</v>
      </c>
      <c r="EM3625" s="5" t="s">
        <v>240</v>
      </c>
      <c r="EN3625" s="5" t="s">
        <v>240</v>
      </c>
      <c r="EO3625" s="5" t="s">
        <v>240</v>
      </c>
      <c r="EP3625" s="5" t="s">
        <v>240</v>
      </c>
      <c r="EQ3625" s="5" t="s">
        <v>240</v>
      </c>
      <c r="ER3625" s="5" t="s">
        <v>240</v>
      </c>
      <c r="ES3625" s="5" t="s">
        <v>240</v>
      </c>
      <c r="ET3625" s="5" t="s">
        <v>240</v>
      </c>
      <c r="EU3625" s="5" t="s">
        <v>240</v>
      </c>
      <c r="EV3625" s="5" t="s">
        <v>240</v>
      </c>
      <c r="EW3625" s="5" t="s">
        <v>240</v>
      </c>
      <c r="EX3625" s="5" t="s">
        <v>240</v>
      </c>
      <c r="EY3625" s="5" t="s">
        <v>240</v>
      </c>
      <c r="EZ3625" s="5" t="s">
        <v>240</v>
      </c>
      <c r="FA3625" s="5" t="s">
        <v>240</v>
      </c>
      <c r="FB3625" s="5" t="s">
        <v>240</v>
      </c>
      <c r="FC3625" s="5" t="s">
        <v>240</v>
      </c>
      <c r="FD3625" s="5" t="s">
        <v>240</v>
      </c>
      <c r="FE3625" s="5" t="s">
        <v>240</v>
      </c>
      <c r="FF3625" s="5" t="s">
        <v>240</v>
      </c>
      <c r="FG3625" s="5" t="s">
        <v>240</v>
      </c>
      <c r="FH3625" s="5" t="s">
        <v>240</v>
      </c>
      <c r="FI3625" s="5" t="s">
        <v>240</v>
      </c>
      <c r="FJ3625" s="5" t="s">
        <v>240</v>
      </c>
      <c r="FK3625" s="5" t="s">
        <v>240</v>
      </c>
      <c r="FL3625" s="5" t="s">
        <v>240</v>
      </c>
      <c r="FM3625" s="5" t="s">
        <v>240</v>
      </c>
      <c r="FN3625" s="5" t="s">
        <v>240</v>
      </c>
      <c r="FO3625" s="5" t="s">
        <v>240</v>
      </c>
      <c r="FP3625" s="5" t="s">
        <v>240</v>
      </c>
      <c r="FQ3625" s="5" t="s">
        <v>240</v>
      </c>
      <c r="FR3625" s="5" t="s">
        <v>240</v>
      </c>
      <c r="FS3625" s="5" t="s">
        <v>240</v>
      </c>
      <c r="FT3625" s="5" t="s">
        <v>240</v>
      </c>
      <c r="FU3625" s="5" t="s">
        <v>240</v>
      </c>
      <c r="FV3625" s="5" t="s">
        <v>240</v>
      </c>
      <c r="FW3625" s="5" t="s">
        <v>240</v>
      </c>
      <c r="FX3625" s="5" t="s">
        <v>240</v>
      </c>
      <c r="FY3625" s="5" t="s">
        <v>240</v>
      </c>
      <c r="FZ3625" s="5" t="s">
        <v>240</v>
      </c>
      <c r="GA3625" s="5" t="s">
        <v>240</v>
      </c>
      <c r="GB3625" s="5" t="s">
        <v>240</v>
      </c>
      <c r="GC3625" s="5" t="s">
        <v>240</v>
      </c>
      <c r="GD3625" s="5" t="s">
        <v>240</v>
      </c>
      <c r="GE3625" s="5" t="s">
        <v>240</v>
      </c>
      <c r="GF3625" s="5" t="s">
        <v>240</v>
      </c>
      <c r="GG3625" s="5" t="s">
        <v>240</v>
      </c>
      <c r="GH3625" s="5" t="s">
        <v>240</v>
      </c>
      <c r="GI3625" s="5" t="s">
        <v>240</v>
      </c>
      <c r="GJ3625" s="5" t="s">
        <v>240</v>
      </c>
      <c r="GK3625" s="5" t="s">
        <v>240</v>
      </c>
      <c r="GL3625" s="5" t="s">
        <v>240</v>
      </c>
      <c r="GM3625" s="5" t="s">
        <v>240</v>
      </c>
      <c r="GN3625" s="5" t="s">
        <v>240</v>
      </c>
      <c r="GO3625" s="5" t="s">
        <v>240</v>
      </c>
      <c r="GP3625" s="5" t="s">
        <v>240</v>
      </c>
      <c r="GQ3625" s="5" t="s">
        <v>240</v>
      </c>
      <c r="GR3625" s="5" t="s">
        <v>240</v>
      </c>
      <c r="GS3625" s="5" t="s">
        <v>240</v>
      </c>
      <c r="GT3625" s="5" t="s">
        <v>240</v>
      </c>
      <c r="GU3625" s="5" t="s">
        <v>240</v>
      </c>
      <c r="GV3625" s="5" t="s">
        <v>240</v>
      </c>
      <c r="GW3625" s="5" t="s">
        <v>240</v>
      </c>
      <c r="GX3625" s="5" t="s">
        <v>240</v>
      </c>
      <c r="GY3625" s="5" t="s">
        <v>240</v>
      </c>
      <c r="GZ3625" s="5" t="s">
        <v>240</v>
      </c>
      <c r="HA3625" s="5" t="s">
        <v>240</v>
      </c>
      <c r="HB3625" s="5" t="s">
        <v>240</v>
      </c>
      <c r="HC3625" s="5" t="s">
        <v>240</v>
      </c>
      <c r="HD3625" s="5" t="s">
        <v>240</v>
      </c>
      <c r="HE3625" s="5" t="s">
        <v>240</v>
      </c>
      <c r="HF3625" s="5" t="s">
        <v>240</v>
      </c>
      <c r="HG3625" s="5" t="s">
        <v>240</v>
      </c>
      <c r="HH3625" s="5" t="s">
        <v>240</v>
      </c>
      <c r="HI3625" s="5" t="s">
        <v>240</v>
      </c>
      <c r="HJ3625" s="5" t="s">
        <v>240</v>
      </c>
      <c r="HK3625" s="5" t="s">
        <v>240</v>
      </c>
      <c r="HL3625" s="5" t="s">
        <v>240</v>
      </c>
      <c r="HM3625" s="5" t="s">
        <v>240</v>
      </c>
      <c r="HN3625" s="5" t="s">
        <v>240</v>
      </c>
      <c r="HO3625" s="5" t="s">
        <v>312</v>
      </c>
      <c r="HP3625" s="5" t="s">
        <v>240</v>
      </c>
      <c r="HQ3625" s="5" t="s">
        <v>240</v>
      </c>
      <c r="HR3625" s="5" t="s">
        <v>240</v>
      </c>
      <c r="HS3625" s="5" t="s">
        <v>240</v>
      </c>
      <c r="HT3625" s="5" t="s">
        <v>240</v>
      </c>
      <c r="HU3625" s="5" t="s">
        <v>240</v>
      </c>
      <c r="HV3625" s="5" t="s">
        <v>240</v>
      </c>
      <c r="HW3625" s="5" t="s">
        <v>240</v>
      </c>
      <c r="HX3625" s="5" t="s">
        <v>240</v>
      </c>
      <c r="HY3625" s="5" t="s">
        <v>240</v>
      </c>
      <c r="HZ3625" s="5" t="s">
        <v>240</v>
      </c>
      <c r="IA3625" s="5" t="s">
        <v>240</v>
      </c>
      <c r="IB3625" s="5" t="s">
        <v>240</v>
      </c>
      <c r="IC3625" s="5" t="s">
        <v>240</v>
      </c>
      <c r="ID3625" s="5" t="s">
        <v>240</v>
      </c>
      <c r="IE3625" s="5" t="s">
        <v>240</v>
      </c>
      <c r="IF3625" s="5" t="s">
        <v>240</v>
      </c>
    </row>
    <row r="3626" spans="1:240" x14ac:dyDescent="0.4">
      <c r="A3626" s="5">
        <v>9168</v>
      </c>
      <c r="B3626" s="5">
        <v>1</v>
      </c>
      <c r="C3626" s="5">
        <v>1</v>
      </c>
      <c r="D3626" s="5" t="s">
        <v>723</v>
      </c>
      <c r="E3626" s="5" t="s">
        <v>725</v>
      </c>
      <c r="F3626" s="5" t="s">
        <v>254</v>
      </c>
      <c r="G3626" s="5" t="s">
        <v>726</v>
      </c>
      <c r="H3626" s="6" t="s">
        <v>5701</v>
      </c>
      <c r="I3626" s="5" t="s">
        <v>5700</v>
      </c>
      <c r="J3626" s="7">
        <f>1</f>
        <v>1</v>
      </c>
      <c r="K3626" s="5" t="s">
        <v>3682</v>
      </c>
      <c r="L3626" s="7">
        <f>1</f>
        <v>1</v>
      </c>
      <c r="M3626" s="7">
        <f>1</f>
        <v>1</v>
      </c>
      <c r="N3626" s="5" t="s">
        <v>242</v>
      </c>
      <c r="O3626" s="5">
        <v>1</v>
      </c>
      <c r="P3626" s="5" t="s">
        <v>294</v>
      </c>
      <c r="Q3626" s="5" t="s">
        <v>3678</v>
      </c>
      <c r="R3626" s="5" t="s">
        <v>240</v>
      </c>
      <c r="S3626" s="5" t="s">
        <v>240</v>
      </c>
      <c r="T3626" s="5" t="s">
        <v>243</v>
      </c>
      <c r="U3626" s="5" t="s">
        <v>244</v>
      </c>
      <c r="V3626" s="5" t="s">
        <v>240</v>
      </c>
      <c r="W3626" s="5" t="s">
        <v>240</v>
      </c>
      <c r="X3626" s="5" t="s">
        <v>240</v>
      </c>
      <c r="Y3626" s="5" t="s">
        <v>240</v>
      </c>
      <c r="Z3626" s="6" t="s">
        <v>298</v>
      </c>
      <c r="AA3626" s="6" t="s">
        <v>240</v>
      </c>
      <c r="AB3626" s="6" t="s">
        <v>240</v>
      </c>
      <c r="AC3626" s="5" t="s">
        <v>240</v>
      </c>
      <c r="AD3626" s="6" t="s">
        <v>240</v>
      </c>
      <c r="AE3626" s="6" t="s">
        <v>299</v>
      </c>
      <c r="AF3626" s="5" t="s">
        <v>248</v>
      </c>
      <c r="AG3626" s="5" t="s">
        <v>249</v>
      </c>
      <c r="AH3626" s="5" t="s">
        <v>240</v>
      </c>
      <c r="AI3626" s="5" t="s">
        <v>240</v>
      </c>
      <c r="AJ3626" s="5" t="s">
        <v>240</v>
      </c>
      <c r="AK3626" s="5" t="s">
        <v>240</v>
      </c>
      <c r="AL3626" s="5" t="s">
        <v>240</v>
      </c>
      <c r="AM3626" s="5" t="s">
        <v>240</v>
      </c>
      <c r="AN3626" s="5" t="s">
        <v>240</v>
      </c>
      <c r="AO3626" s="5" t="s">
        <v>240</v>
      </c>
      <c r="AP3626" s="6" t="s">
        <v>240</v>
      </c>
      <c r="AQ3626" s="6" t="s">
        <v>240</v>
      </c>
      <c r="AR3626" s="6" t="s">
        <v>240</v>
      </c>
      <c r="AS3626" s="6" t="s">
        <v>240</v>
      </c>
      <c r="AT3626" s="5" t="s">
        <v>240</v>
      </c>
      <c r="AU3626" s="5" t="s">
        <v>729</v>
      </c>
      <c r="AV3626" s="5" t="s">
        <v>729</v>
      </c>
      <c r="AW3626" s="5" t="s">
        <v>251</v>
      </c>
      <c r="AX3626" s="5" t="s">
        <v>252</v>
      </c>
      <c r="AY3626" s="5" t="s">
        <v>253</v>
      </c>
      <c r="AZ3626" s="5" t="s">
        <v>240</v>
      </c>
      <c r="BA3626" s="5" t="s">
        <v>255</v>
      </c>
      <c r="BB3626" s="5" t="s">
        <v>731</v>
      </c>
      <c r="BD3626" s="5" t="s">
        <v>240</v>
      </c>
      <c r="BF3626" s="5" t="s">
        <v>732</v>
      </c>
      <c r="BG3626" s="6" t="s">
        <v>733</v>
      </c>
      <c r="BH3626" s="5" t="s">
        <v>734</v>
      </c>
      <c r="BI3626" s="5" t="s">
        <v>734</v>
      </c>
      <c r="BJ3626" s="5" t="s">
        <v>240</v>
      </c>
      <c r="BK3626" s="7">
        <f>1</f>
        <v>1</v>
      </c>
      <c r="BL3626" s="7">
        <f>1</f>
        <v>1</v>
      </c>
      <c r="BM3626" s="5" t="s">
        <v>258</v>
      </c>
      <c r="BN3626" s="5" t="s">
        <v>259</v>
      </c>
      <c r="BO3626" s="5" t="s">
        <v>240</v>
      </c>
      <c r="BP3626" s="5" t="s">
        <v>240</v>
      </c>
      <c r="BQ3626" s="5" t="s">
        <v>240</v>
      </c>
      <c r="BR3626" s="5" t="s">
        <v>240</v>
      </c>
      <c r="BS3626" s="5" t="s">
        <v>240</v>
      </c>
      <c r="BT3626" s="5" t="s">
        <v>240</v>
      </c>
      <c r="BU3626" s="5" t="s">
        <v>240</v>
      </c>
      <c r="BV3626" s="5" t="s">
        <v>240</v>
      </c>
      <c r="BW3626" s="6" t="s">
        <v>240</v>
      </c>
      <c r="BX3626" s="5" t="s">
        <v>240</v>
      </c>
      <c r="BY3626" s="5" t="s">
        <v>240</v>
      </c>
      <c r="BZ3626" s="5" t="s">
        <v>240</v>
      </c>
      <c r="CA3626" s="5" t="s">
        <v>259</v>
      </c>
      <c r="CB3626" s="5" t="s">
        <v>240</v>
      </c>
      <c r="CC3626" s="5" t="s">
        <v>240</v>
      </c>
      <c r="CD3626" s="5" t="s">
        <v>240</v>
      </c>
      <c r="CE3626" s="5" t="s">
        <v>240</v>
      </c>
      <c r="CF3626" s="5" t="s">
        <v>240</v>
      </c>
      <c r="CG3626" s="5" t="s">
        <v>304</v>
      </c>
      <c r="CH3626" s="5" t="s">
        <v>305</v>
      </c>
      <c r="CI3626" s="5" t="s">
        <v>240</v>
      </c>
      <c r="CK3626" s="5" t="s">
        <v>3681</v>
      </c>
      <c r="CL3626" s="6" t="s">
        <v>261</v>
      </c>
      <c r="CM3626" s="5" t="s">
        <v>262</v>
      </c>
      <c r="CN3626" s="5" t="s">
        <v>263</v>
      </c>
      <c r="CO3626" s="5" t="s">
        <v>264</v>
      </c>
      <c r="CP3626" s="5" t="s">
        <v>240</v>
      </c>
      <c r="CQ3626" s="5">
        <v>0</v>
      </c>
      <c r="CR3626" s="5" t="s">
        <v>735</v>
      </c>
      <c r="CS3626" s="5" t="s">
        <v>307</v>
      </c>
      <c r="CT3626" s="5" t="s">
        <v>307</v>
      </c>
      <c r="CU3626" s="5" t="s">
        <v>260</v>
      </c>
      <c r="CV3626" s="5" t="s">
        <v>612</v>
      </c>
      <c r="CW3626" s="8">
        <f>1</f>
        <v>1</v>
      </c>
      <c r="CX3626" s="7">
        <f>1</f>
        <v>1</v>
      </c>
      <c r="CY3626" s="7">
        <f>0</f>
        <v>0</v>
      </c>
      <c r="DA3626" s="7">
        <f>1</f>
        <v>1</v>
      </c>
      <c r="DB3626" s="7" t="s">
        <v>240</v>
      </c>
      <c r="DC3626" s="5" t="s">
        <v>240</v>
      </c>
      <c r="DD3626" s="5" t="s">
        <v>240</v>
      </c>
      <c r="DE3626" s="5" t="s">
        <v>240</v>
      </c>
      <c r="DF3626" s="5" t="s">
        <v>240</v>
      </c>
      <c r="DG3626" s="7">
        <f>0</f>
        <v>0</v>
      </c>
      <c r="DI3626" s="5" t="s">
        <v>240</v>
      </c>
      <c r="DJ3626" s="5" t="s">
        <v>240</v>
      </c>
      <c r="DK3626" s="5" t="s">
        <v>240</v>
      </c>
      <c r="DL3626" s="5" t="s">
        <v>240</v>
      </c>
      <c r="DM3626" s="5" t="s">
        <v>240</v>
      </c>
      <c r="DN3626" s="5" t="s">
        <v>240</v>
      </c>
      <c r="DO3626" s="7" t="s">
        <v>240</v>
      </c>
      <c r="DP3626" s="5" t="s">
        <v>240</v>
      </c>
      <c r="DQ3626" s="5" t="s">
        <v>240</v>
      </c>
      <c r="DR3626" s="5" t="s">
        <v>731</v>
      </c>
      <c r="DS3626" s="5" t="s">
        <v>731</v>
      </c>
      <c r="DT3626" s="5" t="s">
        <v>240</v>
      </c>
      <c r="DU3626" s="5" t="s">
        <v>240</v>
      </c>
      <c r="DV3626" s="5" t="s">
        <v>3683</v>
      </c>
      <c r="DW3626" s="5" t="s">
        <v>374</v>
      </c>
      <c r="DX3626" s="5" t="s">
        <v>240</v>
      </c>
      <c r="DY3626" s="5" t="s">
        <v>240</v>
      </c>
      <c r="DZ3626" s="5" t="s">
        <v>240</v>
      </c>
      <c r="EA3626" s="5" t="s">
        <v>240</v>
      </c>
      <c r="EB3626" s="5" t="s">
        <v>240</v>
      </c>
      <c r="EC3626" s="5" t="s">
        <v>240</v>
      </c>
      <c r="ED3626" s="5" t="s">
        <v>240</v>
      </c>
      <c r="EE3626" s="5" t="s">
        <v>240</v>
      </c>
      <c r="EF3626" s="5" t="s">
        <v>240</v>
      </c>
      <c r="EG3626" s="5" t="s">
        <v>240</v>
      </c>
      <c r="EH3626" s="5" t="s">
        <v>240</v>
      </c>
      <c r="EI3626" s="5" t="s">
        <v>240</v>
      </c>
      <c r="EJ3626" s="5" t="s">
        <v>240</v>
      </c>
      <c r="EK3626" s="5" t="s">
        <v>240</v>
      </c>
      <c r="EL3626" s="5" t="s">
        <v>240</v>
      </c>
      <c r="EM3626" s="5" t="s">
        <v>240</v>
      </c>
      <c r="EN3626" s="5" t="s">
        <v>240</v>
      </c>
      <c r="EO3626" s="5" t="s">
        <v>240</v>
      </c>
      <c r="EP3626" s="5" t="s">
        <v>240</v>
      </c>
      <c r="EQ3626" s="5" t="s">
        <v>240</v>
      </c>
      <c r="ER3626" s="5" t="s">
        <v>240</v>
      </c>
      <c r="ES3626" s="5" t="s">
        <v>240</v>
      </c>
      <c r="ET3626" s="5" t="s">
        <v>240</v>
      </c>
      <c r="EU3626" s="5" t="s">
        <v>240</v>
      </c>
      <c r="EV3626" s="5" t="s">
        <v>240</v>
      </c>
      <c r="EW3626" s="5" t="s">
        <v>240</v>
      </c>
      <c r="EX3626" s="5" t="s">
        <v>240</v>
      </c>
      <c r="EY3626" s="5" t="s">
        <v>240</v>
      </c>
      <c r="EZ3626" s="5" t="s">
        <v>240</v>
      </c>
      <c r="FA3626" s="5" t="s">
        <v>240</v>
      </c>
      <c r="FB3626" s="5" t="s">
        <v>240</v>
      </c>
      <c r="FC3626" s="5" t="s">
        <v>240</v>
      </c>
      <c r="FD3626" s="5" t="s">
        <v>240</v>
      </c>
      <c r="FE3626" s="5" t="s">
        <v>240</v>
      </c>
      <c r="FF3626" s="5" t="s">
        <v>240</v>
      </c>
      <c r="FG3626" s="5" t="s">
        <v>240</v>
      </c>
      <c r="FH3626" s="5" t="s">
        <v>240</v>
      </c>
      <c r="FI3626" s="5" t="s">
        <v>240</v>
      </c>
      <c r="FJ3626" s="5" t="s">
        <v>240</v>
      </c>
      <c r="FK3626" s="5" t="s">
        <v>240</v>
      </c>
      <c r="FL3626" s="5" t="s">
        <v>240</v>
      </c>
      <c r="FM3626" s="5" t="s">
        <v>240</v>
      </c>
      <c r="FN3626" s="5" t="s">
        <v>240</v>
      </c>
      <c r="FO3626" s="5" t="s">
        <v>240</v>
      </c>
      <c r="FP3626" s="5" t="s">
        <v>240</v>
      </c>
      <c r="FQ3626" s="5" t="s">
        <v>240</v>
      </c>
      <c r="FR3626" s="5" t="s">
        <v>240</v>
      </c>
      <c r="FS3626" s="5" t="s">
        <v>240</v>
      </c>
      <c r="FT3626" s="5" t="s">
        <v>240</v>
      </c>
      <c r="FU3626" s="5" t="s">
        <v>240</v>
      </c>
      <c r="FV3626" s="5" t="s">
        <v>240</v>
      </c>
      <c r="FW3626" s="5" t="s">
        <v>240</v>
      </c>
      <c r="FX3626" s="5" t="s">
        <v>240</v>
      </c>
      <c r="FY3626" s="5" t="s">
        <v>240</v>
      </c>
      <c r="FZ3626" s="5" t="s">
        <v>240</v>
      </c>
      <c r="GA3626" s="5" t="s">
        <v>240</v>
      </c>
      <c r="GB3626" s="5" t="s">
        <v>240</v>
      </c>
      <c r="GC3626" s="5" t="s">
        <v>240</v>
      </c>
      <c r="GD3626" s="5" t="s">
        <v>240</v>
      </c>
      <c r="GE3626" s="5" t="s">
        <v>240</v>
      </c>
      <c r="GF3626" s="5" t="s">
        <v>240</v>
      </c>
      <c r="GG3626" s="5" t="s">
        <v>240</v>
      </c>
      <c r="GH3626" s="5" t="s">
        <v>240</v>
      </c>
      <c r="GI3626" s="5" t="s">
        <v>240</v>
      </c>
      <c r="GJ3626" s="5" t="s">
        <v>240</v>
      </c>
      <c r="GK3626" s="5" t="s">
        <v>240</v>
      </c>
      <c r="GL3626" s="5" t="s">
        <v>240</v>
      </c>
      <c r="GM3626" s="5" t="s">
        <v>240</v>
      </c>
      <c r="GN3626" s="5" t="s">
        <v>240</v>
      </c>
      <c r="GO3626" s="5" t="s">
        <v>240</v>
      </c>
      <c r="GP3626" s="5" t="s">
        <v>240</v>
      </c>
      <c r="GQ3626" s="5" t="s">
        <v>240</v>
      </c>
      <c r="GR3626" s="5" t="s">
        <v>240</v>
      </c>
      <c r="GS3626" s="5" t="s">
        <v>240</v>
      </c>
      <c r="GT3626" s="5" t="s">
        <v>240</v>
      </c>
      <c r="GU3626" s="5" t="s">
        <v>240</v>
      </c>
      <c r="GV3626" s="5" t="s">
        <v>240</v>
      </c>
      <c r="GW3626" s="5" t="s">
        <v>240</v>
      </c>
      <c r="GX3626" s="5" t="s">
        <v>240</v>
      </c>
      <c r="GY3626" s="5" t="s">
        <v>240</v>
      </c>
      <c r="GZ3626" s="5" t="s">
        <v>240</v>
      </c>
      <c r="HA3626" s="5" t="s">
        <v>240</v>
      </c>
      <c r="HB3626" s="5" t="s">
        <v>240</v>
      </c>
      <c r="HC3626" s="5" t="s">
        <v>240</v>
      </c>
      <c r="HD3626" s="5" t="s">
        <v>240</v>
      </c>
      <c r="HE3626" s="5" t="s">
        <v>240</v>
      </c>
      <c r="HF3626" s="5" t="s">
        <v>240</v>
      </c>
      <c r="HG3626" s="5" t="s">
        <v>240</v>
      </c>
      <c r="HH3626" s="5" t="s">
        <v>240</v>
      </c>
      <c r="HI3626" s="5" t="s">
        <v>240</v>
      </c>
      <c r="HJ3626" s="5" t="s">
        <v>240</v>
      </c>
      <c r="HK3626" s="5" t="s">
        <v>240</v>
      </c>
      <c r="HL3626" s="5" t="s">
        <v>240</v>
      </c>
      <c r="HM3626" s="5" t="s">
        <v>240</v>
      </c>
      <c r="HN3626" s="5" t="s">
        <v>240</v>
      </c>
      <c r="HO3626" s="5" t="s">
        <v>312</v>
      </c>
      <c r="HP3626" s="5" t="s">
        <v>240</v>
      </c>
      <c r="HQ3626" s="5" t="s">
        <v>240</v>
      </c>
      <c r="HR3626" s="5" t="s">
        <v>240</v>
      </c>
      <c r="HS3626" s="5" t="s">
        <v>240</v>
      </c>
      <c r="HT3626" s="5" t="s">
        <v>240</v>
      </c>
      <c r="HU3626" s="5" t="s">
        <v>240</v>
      </c>
      <c r="HV3626" s="5" t="s">
        <v>240</v>
      </c>
      <c r="HW3626" s="5" t="s">
        <v>240</v>
      </c>
      <c r="HX3626" s="5" t="s">
        <v>240</v>
      </c>
      <c r="HY3626" s="5" t="s">
        <v>240</v>
      </c>
      <c r="HZ3626" s="5" t="s">
        <v>240</v>
      </c>
      <c r="IA3626" s="5" t="s">
        <v>240</v>
      </c>
      <c r="IB3626" s="5" t="s">
        <v>240</v>
      </c>
      <c r="IC3626" s="5" t="s">
        <v>240</v>
      </c>
      <c r="ID3626" s="5" t="s">
        <v>240</v>
      </c>
      <c r="IE3626" s="5" t="s">
        <v>240</v>
      </c>
      <c r="IF3626" s="5" t="s">
        <v>240</v>
      </c>
    </row>
    <row r="3627" spans="1:240" x14ac:dyDescent="0.4">
      <c r="A3627" s="5">
        <v>9169</v>
      </c>
      <c r="B3627" s="5">
        <v>1</v>
      </c>
      <c r="C3627" s="5">
        <v>1</v>
      </c>
      <c r="D3627" s="5" t="s">
        <v>723</v>
      </c>
      <c r="E3627" s="5" t="s">
        <v>725</v>
      </c>
      <c r="F3627" s="5" t="s">
        <v>254</v>
      </c>
      <c r="G3627" s="5" t="s">
        <v>726</v>
      </c>
      <c r="H3627" s="6" t="s">
        <v>6390</v>
      </c>
      <c r="I3627" s="5" t="s">
        <v>6389</v>
      </c>
      <c r="J3627" s="7">
        <f>1</f>
        <v>1</v>
      </c>
      <c r="K3627" s="5" t="s">
        <v>3682</v>
      </c>
      <c r="L3627" s="7">
        <f>1</f>
        <v>1</v>
      </c>
      <c r="M3627" s="7">
        <f>1</f>
        <v>1</v>
      </c>
      <c r="N3627" s="5" t="s">
        <v>242</v>
      </c>
      <c r="O3627" s="5">
        <v>1</v>
      </c>
      <c r="P3627" s="5" t="s">
        <v>294</v>
      </c>
      <c r="Q3627" s="5" t="s">
        <v>3678</v>
      </c>
      <c r="R3627" s="5" t="s">
        <v>240</v>
      </c>
      <c r="S3627" s="5" t="s">
        <v>240</v>
      </c>
      <c r="T3627" s="5" t="s">
        <v>243</v>
      </c>
      <c r="U3627" s="5" t="s">
        <v>244</v>
      </c>
      <c r="V3627" s="5" t="s">
        <v>240</v>
      </c>
      <c r="W3627" s="5" t="s">
        <v>240</v>
      </c>
      <c r="X3627" s="5" t="s">
        <v>240</v>
      </c>
      <c r="Y3627" s="5" t="s">
        <v>240</v>
      </c>
      <c r="Z3627" s="6" t="s">
        <v>298</v>
      </c>
      <c r="AA3627" s="6" t="s">
        <v>240</v>
      </c>
      <c r="AB3627" s="6" t="s">
        <v>240</v>
      </c>
      <c r="AC3627" s="5" t="s">
        <v>240</v>
      </c>
      <c r="AD3627" s="6" t="s">
        <v>240</v>
      </c>
      <c r="AE3627" s="6" t="s">
        <v>299</v>
      </c>
      <c r="AF3627" s="5" t="s">
        <v>248</v>
      </c>
      <c r="AG3627" s="5" t="s">
        <v>249</v>
      </c>
      <c r="AH3627" s="5" t="s">
        <v>240</v>
      </c>
      <c r="AI3627" s="5" t="s">
        <v>240</v>
      </c>
      <c r="AJ3627" s="5" t="s">
        <v>240</v>
      </c>
      <c r="AK3627" s="5" t="s">
        <v>240</v>
      </c>
      <c r="AL3627" s="5" t="s">
        <v>240</v>
      </c>
      <c r="AM3627" s="5" t="s">
        <v>240</v>
      </c>
      <c r="AN3627" s="5" t="s">
        <v>240</v>
      </c>
      <c r="AO3627" s="5" t="s">
        <v>240</v>
      </c>
      <c r="AP3627" s="6" t="s">
        <v>240</v>
      </c>
      <c r="AQ3627" s="6" t="s">
        <v>240</v>
      </c>
      <c r="AR3627" s="6" t="s">
        <v>240</v>
      </c>
      <c r="AS3627" s="6" t="s">
        <v>240</v>
      </c>
      <c r="AT3627" s="5" t="s">
        <v>240</v>
      </c>
      <c r="AU3627" s="5" t="s">
        <v>729</v>
      </c>
      <c r="AV3627" s="5" t="s">
        <v>729</v>
      </c>
      <c r="AW3627" s="5" t="s">
        <v>251</v>
      </c>
      <c r="AX3627" s="5" t="s">
        <v>252</v>
      </c>
      <c r="AY3627" s="5" t="s">
        <v>253</v>
      </c>
      <c r="AZ3627" s="5" t="s">
        <v>240</v>
      </c>
      <c r="BA3627" s="5" t="s">
        <v>255</v>
      </c>
      <c r="BB3627" s="5" t="s">
        <v>731</v>
      </c>
      <c r="BD3627" s="5" t="s">
        <v>240</v>
      </c>
      <c r="BF3627" s="5" t="s">
        <v>732</v>
      </c>
      <c r="BG3627" s="6" t="s">
        <v>733</v>
      </c>
      <c r="BH3627" s="5" t="s">
        <v>734</v>
      </c>
      <c r="BI3627" s="5" t="s">
        <v>734</v>
      </c>
      <c r="BJ3627" s="5" t="s">
        <v>240</v>
      </c>
      <c r="BK3627" s="7">
        <f>1</f>
        <v>1</v>
      </c>
      <c r="BL3627" s="7">
        <f>1</f>
        <v>1</v>
      </c>
      <c r="BM3627" s="5" t="s">
        <v>258</v>
      </c>
      <c r="BN3627" s="5" t="s">
        <v>259</v>
      </c>
      <c r="BO3627" s="5" t="s">
        <v>240</v>
      </c>
      <c r="BP3627" s="5" t="s">
        <v>240</v>
      </c>
      <c r="BQ3627" s="5" t="s">
        <v>240</v>
      </c>
      <c r="BR3627" s="5" t="s">
        <v>240</v>
      </c>
      <c r="BS3627" s="5" t="s">
        <v>240</v>
      </c>
      <c r="BT3627" s="5" t="s">
        <v>240</v>
      </c>
      <c r="BU3627" s="5" t="s">
        <v>240</v>
      </c>
      <c r="BV3627" s="5" t="s">
        <v>240</v>
      </c>
      <c r="BW3627" s="6" t="s">
        <v>240</v>
      </c>
      <c r="BX3627" s="5" t="s">
        <v>240</v>
      </c>
      <c r="BY3627" s="5" t="s">
        <v>240</v>
      </c>
      <c r="BZ3627" s="5" t="s">
        <v>240</v>
      </c>
      <c r="CA3627" s="5" t="s">
        <v>259</v>
      </c>
      <c r="CB3627" s="5" t="s">
        <v>240</v>
      </c>
      <c r="CC3627" s="5" t="s">
        <v>240</v>
      </c>
      <c r="CD3627" s="5" t="s">
        <v>240</v>
      </c>
      <c r="CE3627" s="5" t="s">
        <v>240</v>
      </c>
      <c r="CF3627" s="5" t="s">
        <v>240</v>
      </c>
      <c r="CG3627" s="5" t="s">
        <v>304</v>
      </c>
      <c r="CH3627" s="5" t="s">
        <v>305</v>
      </c>
      <c r="CI3627" s="5" t="s">
        <v>240</v>
      </c>
      <c r="CK3627" s="5" t="s">
        <v>3681</v>
      </c>
      <c r="CL3627" s="6" t="s">
        <v>261</v>
      </c>
      <c r="CM3627" s="5" t="s">
        <v>262</v>
      </c>
      <c r="CN3627" s="5" t="s">
        <v>263</v>
      </c>
      <c r="CO3627" s="5" t="s">
        <v>264</v>
      </c>
      <c r="CP3627" s="5" t="s">
        <v>240</v>
      </c>
      <c r="CQ3627" s="5">
        <v>0</v>
      </c>
      <c r="CR3627" s="5" t="s">
        <v>735</v>
      </c>
      <c r="CS3627" s="5" t="s">
        <v>307</v>
      </c>
      <c r="CT3627" s="5" t="s">
        <v>307</v>
      </c>
      <c r="CU3627" s="5" t="s">
        <v>260</v>
      </c>
      <c r="CV3627" s="5" t="s">
        <v>612</v>
      </c>
      <c r="CW3627" s="8">
        <f>1</f>
        <v>1</v>
      </c>
      <c r="CX3627" s="7">
        <f>1</f>
        <v>1</v>
      </c>
      <c r="CY3627" s="7">
        <f>0</f>
        <v>0</v>
      </c>
      <c r="DA3627" s="7">
        <f>1</f>
        <v>1</v>
      </c>
      <c r="DB3627" s="7" t="s">
        <v>240</v>
      </c>
      <c r="DC3627" s="5" t="s">
        <v>240</v>
      </c>
      <c r="DD3627" s="5" t="s">
        <v>240</v>
      </c>
      <c r="DE3627" s="5" t="s">
        <v>240</v>
      </c>
      <c r="DF3627" s="5" t="s">
        <v>240</v>
      </c>
      <c r="DG3627" s="7">
        <f>0</f>
        <v>0</v>
      </c>
      <c r="DI3627" s="5" t="s">
        <v>240</v>
      </c>
      <c r="DJ3627" s="5" t="s">
        <v>240</v>
      </c>
      <c r="DK3627" s="5" t="s">
        <v>240</v>
      </c>
      <c r="DL3627" s="5" t="s">
        <v>240</v>
      </c>
      <c r="DM3627" s="5" t="s">
        <v>240</v>
      </c>
      <c r="DN3627" s="5" t="s">
        <v>240</v>
      </c>
      <c r="DO3627" s="7" t="s">
        <v>240</v>
      </c>
      <c r="DP3627" s="5" t="s">
        <v>240</v>
      </c>
      <c r="DQ3627" s="5" t="s">
        <v>240</v>
      </c>
      <c r="DR3627" s="5" t="s">
        <v>731</v>
      </c>
      <c r="DS3627" s="5" t="s">
        <v>731</v>
      </c>
      <c r="DT3627" s="5" t="s">
        <v>240</v>
      </c>
      <c r="DU3627" s="5" t="s">
        <v>240</v>
      </c>
      <c r="DV3627" s="5" t="s">
        <v>3683</v>
      </c>
      <c r="DW3627" s="5" t="s">
        <v>4019</v>
      </c>
      <c r="DX3627" s="5" t="s">
        <v>240</v>
      </c>
      <c r="DY3627" s="5" t="s">
        <v>240</v>
      </c>
      <c r="DZ3627" s="5" t="s">
        <v>240</v>
      </c>
      <c r="EA3627" s="5" t="s">
        <v>240</v>
      </c>
      <c r="EB3627" s="5" t="s">
        <v>240</v>
      </c>
      <c r="EC3627" s="5" t="s">
        <v>240</v>
      </c>
      <c r="ED3627" s="5" t="s">
        <v>240</v>
      </c>
      <c r="EE3627" s="5" t="s">
        <v>240</v>
      </c>
      <c r="EF3627" s="5" t="s">
        <v>240</v>
      </c>
      <c r="EG3627" s="5" t="s">
        <v>240</v>
      </c>
      <c r="EH3627" s="5" t="s">
        <v>240</v>
      </c>
      <c r="EI3627" s="5" t="s">
        <v>240</v>
      </c>
      <c r="EJ3627" s="5" t="s">
        <v>240</v>
      </c>
      <c r="EK3627" s="5" t="s">
        <v>240</v>
      </c>
      <c r="EL3627" s="5" t="s">
        <v>240</v>
      </c>
      <c r="EM3627" s="5" t="s">
        <v>240</v>
      </c>
      <c r="EN3627" s="5" t="s">
        <v>240</v>
      </c>
      <c r="EO3627" s="5" t="s">
        <v>240</v>
      </c>
      <c r="EP3627" s="5" t="s">
        <v>240</v>
      </c>
      <c r="EQ3627" s="5" t="s">
        <v>240</v>
      </c>
      <c r="ER3627" s="5" t="s">
        <v>240</v>
      </c>
      <c r="ES3627" s="5" t="s">
        <v>240</v>
      </c>
      <c r="ET3627" s="5" t="s">
        <v>240</v>
      </c>
      <c r="EU3627" s="5" t="s">
        <v>240</v>
      </c>
      <c r="EV3627" s="5" t="s">
        <v>240</v>
      </c>
      <c r="EW3627" s="5" t="s">
        <v>240</v>
      </c>
      <c r="EX3627" s="5" t="s">
        <v>240</v>
      </c>
      <c r="EY3627" s="5" t="s">
        <v>240</v>
      </c>
      <c r="EZ3627" s="5" t="s">
        <v>240</v>
      </c>
      <c r="FA3627" s="5" t="s">
        <v>240</v>
      </c>
      <c r="FB3627" s="5" t="s">
        <v>240</v>
      </c>
      <c r="FC3627" s="5" t="s">
        <v>240</v>
      </c>
      <c r="FD3627" s="5" t="s">
        <v>240</v>
      </c>
      <c r="FE3627" s="5" t="s">
        <v>240</v>
      </c>
      <c r="FF3627" s="5" t="s">
        <v>240</v>
      </c>
      <c r="FG3627" s="5" t="s">
        <v>240</v>
      </c>
      <c r="FH3627" s="5" t="s">
        <v>240</v>
      </c>
      <c r="FI3627" s="5" t="s">
        <v>240</v>
      </c>
      <c r="FJ3627" s="5" t="s">
        <v>240</v>
      </c>
      <c r="FK3627" s="5" t="s">
        <v>240</v>
      </c>
      <c r="FL3627" s="5" t="s">
        <v>240</v>
      </c>
      <c r="FM3627" s="5" t="s">
        <v>240</v>
      </c>
      <c r="FN3627" s="5" t="s">
        <v>240</v>
      </c>
      <c r="FO3627" s="5" t="s">
        <v>240</v>
      </c>
      <c r="FP3627" s="5" t="s">
        <v>240</v>
      </c>
      <c r="FQ3627" s="5" t="s">
        <v>240</v>
      </c>
      <c r="FR3627" s="5" t="s">
        <v>240</v>
      </c>
      <c r="FS3627" s="5" t="s">
        <v>240</v>
      </c>
      <c r="FT3627" s="5" t="s">
        <v>240</v>
      </c>
      <c r="FU3627" s="5" t="s">
        <v>240</v>
      </c>
      <c r="FV3627" s="5" t="s">
        <v>240</v>
      </c>
      <c r="FW3627" s="5" t="s">
        <v>240</v>
      </c>
      <c r="FX3627" s="5" t="s">
        <v>240</v>
      </c>
      <c r="FY3627" s="5" t="s">
        <v>240</v>
      </c>
      <c r="FZ3627" s="5" t="s">
        <v>240</v>
      </c>
      <c r="GA3627" s="5" t="s">
        <v>240</v>
      </c>
      <c r="GB3627" s="5" t="s">
        <v>240</v>
      </c>
      <c r="GC3627" s="5" t="s">
        <v>240</v>
      </c>
      <c r="GD3627" s="5" t="s">
        <v>240</v>
      </c>
      <c r="GE3627" s="5" t="s">
        <v>240</v>
      </c>
      <c r="GF3627" s="5" t="s">
        <v>240</v>
      </c>
      <c r="GG3627" s="5" t="s">
        <v>240</v>
      </c>
      <c r="GH3627" s="5" t="s">
        <v>240</v>
      </c>
      <c r="GI3627" s="5" t="s">
        <v>240</v>
      </c>
      <c r="GJ3627" s="5" t="s">
        <v>240</v>
      </c>
      <c r="GK3627" s="5" t="s">
        <v>240</v>
      </c>
      <c r="GL3627" s="5" t="s">
        <v>240</v>
      </c>
      <c r="GM3627" s="5" t="s">
        <v>240</v>
      </c>
      <c r="GN3627" s="5" t="s">
        <v>240</v>
      </c>
      <c r="GO3627" s="5" t="s">
        <v>240</v>
      </c>
      <c r="GP3627" s="5" t="s">
        <v>240</v>
      </c>
      <c r="GQ3627" s="5" t="s">
        <v>240</v>
      </c>
      <c r="GR3627" s="5" t="s">
        <v>240</v>
      </c>
      <c r="GS3627" s="5" t="s">
        <v>240</v>
      </c>
      <c r="GT3627" s="5" t="s">
        <v>240</v>
      </c>
      <c r="GU3627" s="5" t="s">
        <v>240</v>
      </c>
      <c r="GV3627" s="5" t="s">
        <v>240</v>
      </c>
      <c r="GW3627" s="5" t="s">
        <v>240</v>
      </c>
      <c r="GX3627" s="5" t="s">
        <v>240</v>
      </c>
      <c r="GY3627" s="5" t="s">
        <v>240</v>
      </c>
      <c r="GZ3627" s="5" t="s">
        <v>240</v>
      </c>
      <c r="HA3627" s="5" t="s">
        <v>240</v>
      </c>
      <c r="HB3627" s="5" t="s">
        <v>240</v>
      </c>
      <c r="HC3627" s="5" t="s">
        <v>240</v>
      </c>
      <c r="HD3627" s="5" t="s">
        <v>240</v>
      </c>
      <c r="HE3627" s="5" t="s">
        <v>240</v>
      </c>
      <c r="HF3627" s="5" t="s">
        <v>240</v>
      </c>
      <c r="HG3627" s="5" t="s">
        <v>240</v>
      </c>
      <c r="HH3627" s="5" t="s">
        <v>240</v>
      </c>
      <c r="HI3627" s="5" t="s">
        <v>240</v>
      </c>
      <c r="HJ3627" s="5" t="s">
        <v>240</v>
      </c>
      <c r="HK3627" s="5" t="s">
        <v>240</v>
      </c>
      <c r="HL3627" s="5" t="s">
        <v>240</v>
      </c>
      <c r="HM3627" s="5" t="s">
        <v>240</v>
      </c>
      <c r="HN3627" s="5" t="s">
        <v>240</v>
      </c>
      <c r="HO3627" s="5" t="s">
        <v>312</v>
      </c>
      <c r="HP3627" s="5" t="s">
        <v>240</v>
      </c>
      <c r="HQ3627" s="5" t="s">
        <v>240</v>
      </c>
      <c r="HR3627" s="5" t="s">
        <v>240</v>
      </c>
      <c r="HS3627" s="5" t="s">
        <v>240</v>
      </c>
      <c r="HT3627" s="5" t="s">
        <v>240</v>
      </c>
      <c r="HU3627" s="5" t="s">
        <v>240</v>
      </c>
      <c r="HV3627" s="5" t="s">
        <v>240</v>
      </c>
      <c r="HW3627" s="5" t="s">
        <v>240</v>
      </c>
      <c r="HX3627" s="5" t="s">
        <v>240</v>
      </c>
      <c r="HY3627" s="5" t="s">
        <v>240</v>
      </c>
      <c r="HZ3627" s="5" t="s">
        <v>240</v>
      </c>
      <c r="IA3627" s="5" t="s">
        <v>240</v>
      </c>
      <c r="IB3627" s="5" t="s">
        <v>240</v>
      </c>
      <c r="IC3627" s="5" t="s">
        <v>240</v>
      </c>
      <c r="ID3627" s="5" t="s">
        <v>240</v>
      </c>
      <c r="IE3627" s="5" t="s">
        <v>240</v>
      </c>
      <c r="IF3627" s="5" t="s">
        <v>240</v>
      </c>
    </row>
    <row r="3628" spans="1:240" x14ac:dyDescent="0.4">
      <c r="A3628" s="5">
        <v>9170</v>
      </c>
      <c r="B3628" s="5">
        <v>1</v>
      </c>
      <c r="C3628" s="5">
        <v>1</v>
      </c>
      <c r="D3628" s="5" t="s">
        <v>723</v>
      </c>
      <c r="E3628" s="5" t="s">
        <v>725</v>
      </c>
      <c r="F3628" s="5" t="s">
        <v>254</v>
      </c>
      <c r="G3628" s="5" t="s">
        <v>5698</v>
      </c>
      <c r="H3628" s="6" t="s">
        <v>5697</v>
      </c>
      <c r="I3628" s="5" t="s">
        <v>5697</v>
      </c>
      <c r="J3628" s="7">
        <f>1</f>
        <v>1</v>
      </c>
      <c r="K3628" s="5" t="s">
        <v>3682</v>
      </c>
      <c r="L3628" s="7">
        <f>1</f>
        <v>1</v>
      </c>
      <c r="M3628" s="7">
        <f>1</f>
        <v>1</v>
      </c>
      <c r="N3628" s="5" t="s">
        <v>242</v>
      </c>
      <c r="O3628" s="5">
        <v>1</v>
      </c>
      <c r="P3628" s="5" t="s">
        <v>294</v>
      </c>
      <c r="Q3628" s="5" t="s">
        <v>3678</v>
      </c>
      <c r="R3628" s="5" t="s">
        <v>240</v>
      </c>
      <c r="S3628" s="5" t="s">
        <v>240</v>
      </c>
      <c r="T3628" s="5" t="s">
        <v>243</v>
      </c>
      <c r="U3628" s="5" t="s">
        <v>244</v>
      </c>
      <c r="V3628" s="5" t="s">
        <v>240</v>
      </c>
      <c r="W3628" s="5" t="s">
        <v>240</v>
      </c>
      <c r="X3628" s="5" t="s">
        <v>240</v>
      </c>
      <c r="Y3628" s="5" t="s">
        <v>240</v>
      </c>
      <c r="Z3628" s="6" t="s">
        <v>298</v>
      </c>
      <c r="AA3628" s="6" t="s">
        <v>240</v>
      </c>
      <c r="AB3628" s="6" t="s">
        <v>240</v>
      </c>
      <c r="AC3628" s="5" t="s">
        <v>240</v>
      </c>
      <c r="AD3628" s="6" t="s">
        <v>240</v>
      </c>
      <c r="AE3628" s="6" t="s">
        <v>299</v>
      </c>
      <c r="AF3628" s="5" t="s">
        <v>248</v>
      </c>
      <c r="AG3628" s="5" t="s">
        <v>249</v>
      </c>
      <c r="AH3628" s="5" t="s">
        <v>240</v>
      </c>
      <c r="AI3628" s="5" t="s">
        <v>240</v>
      </c>
      <c r="AJ3628" s="5" t="s">
        <v>240</v>
      </c>
      <c r="AK3628" s="5" t="s">
        <v>240</v>
      </c>
      <c r="AL3628" s="5" t="s">
        <v>240</v>
      </c>
      <c r="AM3628" s="5" t="s">
        <v>240</v>
      </c>
      <c r="AN3628" s="5" t="s">
        <v>240</v>
      </c>
      <c r="AO3628" s="5" t="s">
        <v>240</v>
      </c>
      <c r="AP3628" s="6" t="s">
        <v>240</v>
      </c>
      <c r="AQ3628" s="6" t="s">
        <v>240</v>
      </c>
      <c r="AR3628" s="6" t="s">
        <v>240</v>
      </c>
      <c r="AS3628" s="6" t="s">
        <v>240</v>
      </c>
      <c r="AT3628" s="5" t="s">
        <v>240</v>
      </c>
      <c r="AU3628" s="5" t="s">
        <v>729</v>
      </c>
      <c r="AV3628" s="5" t="s">
        <v>729</v>
      </c>
      <c r="AW3628" s="5" t="s">
        <v>251</v>
      </c>
      <c r="AX3628" s="5" t="s">
        <v>252</v>
      </c>
      <c r="AY3628" s="5" t="s">
        <v>253</v>
      </c>
      <c r="AZ3628" s="5" t="s">
        <v>240</v>
      </c>
      <c r="BA3628" s="5" t="s">
        <v>255</v>
      </c>
      <c r="BB3628" s="5" t="s">
        <v>731</v>
      </c>
      <c r="BD3628" s="5" t="s">
        <v>240</v>
      </c>
      <c r="BF3628" s="5" t="s">
        <v>732</v>
      </c>
      <c r="BG3628" s="6" t="s">
        <v>733</v>
      </c>
      <c r="BH3628" s="5" t="s">
        <v>734</v>
      </c>
      <c r="BI3628" s="5" t="s">
        <v>734</v>
      </c>
      <c r="BJ3628" s="5" t="s">
        <v>240</v>
      </c>
      <c r="BK3628" s="7">
        <f>1</f>
        <v>1</v>
      </c>
      <c r="BL3628" s="7">
        <f>1</f>
        <v>1</v>
      </c>
      <c r="BM3628" s="5" t="s">
        <v>258</v>
      </c>
      <c r="BN3628" s="5" t="s">
        <v>259</v>
      </c>
      <c r="BO3628" s="5" t="s">
        <v>240</v>
      </c>
      <c r="BP3628" s="5" t="s">
        <v>240</v>
      </c>
      <c r="BQ3628" s="5" t="s">
        <v>240</v>
      </c>
      <c r="BR3628" s="5" t="s">
        <v>240</v>
      </c>
      <c r="BS3628" s="5" t="s">
        <v>240</v>
      </c>
      <c r="BT3628" s="5" t="s">
        <v>240</v>
      </c>
      <c r="BU3628" s="5" t="s">
        <v>240</v>
      </c>
      <c r="BV3628" s="5" t="s">
        <v>240</v>
      </c>
      <c r="BW3628" s="6" t="s">
        <v>240</v>
      </c>
      <c r="BX3628" s="5" t="s">
        <v>240</v>
      </c>
      <c r="BY3628" s="5" t="s">
        <v>240</v>
      </c>
      <c r="BZ3628" s="5" t="s">
        <v>240</v>
      </c>
      <c r="CA3628" s="5" t="s">
        <v>259</v>
      </c>
      <c r="CB3628" s="5" t="s">
        <v>240</v>
      </c>
      <c r="CC3628" s="5" t="s">
        <v>240</v>
      </c>
      <c r="CD3628" s="5" t="s">
        <v>240</v>
      </c>
      <c r="CE3628" s="5" t="s">
        <v>240</v>
      </c>
      <c r="CF3628" s="5" t="s">
        <v>240</v>
      </c>
      <c r="CG3628" s="5" t="s">
        <v>304</v>
      </c>
      <c r="CH3628" s="5" t="s">
        <v>305</v>
      </c>
      <c r="CI3628" s="5" t="s">
        <v>240</v>
      </c>
      <c r="CK3628" s="5" t="s">
        <v>3681</v>
      </c>
      <c r="CL3628" s="6" t="s">
        <v>261</v>
      </c>
      <c r="CM3628" s="5" t="s">
        <v>262</v>
      </c>
      <c r="CN3628" s="5" t="s">
        <v>263</v>
      </c>
      <c r="CO3628" s="5" t="s">
        <v>264</v>
      </c>
      <c r="CP3628" s="5" t="s">
        <v>240</v>
      </c>
      <c r="CQ3628" s="5">
        <v>0</v>
      </c>
      <c r="CR3628" s="5" t="s">
        <v>735</v>
      </c>
      <c r="CS3628" s="5" t="s">
        <v>307</v>
      </c>
      <c r="CT3628" s="5" t="s">
        <v>307</v>
      </c>
      <c r="CU3628" s="5" t="s">
        <v>260</v>
      </c>
      <c r="CV3628" s="5" t="s">
        <v>612</v>
      </c>
      <c r="CW3628" s="8">
        <f>1</f>
        <v>1</v>
      </c>
      <c r="CX3628" s="7">
        <f>1</f>
        <v>1</v>
      </c>
      <c r="CY3628" s="7">
        <f>0</f>
        <v>0</v>
      </c>
      <c r="DA3628" s="7">
        <f>1</f>
        <v>1</v>
      </c>
      <c r="DB3628" s="7" t="s">
        <v>240</v>
      </c>
      <c r="DC3628" s="5" t="s">
        <v>240</v>
      </c>
      <c r="DD3628" s="5" t="s">
        <v>240</v>
      </c>
      <c r="DE3628" s="5" t="s">
        <v>240</v>
      </c>
      <c r="DF3628" s="5" t="s">
        <v>240</v>
      </c>
      <c r="DG3628" s="7">
        <f>0</f>
        <v>0</v>
      </c>
      <c r="DI3628" s="5" t="s">
        <v>240</v>
      </c>
      <c r="DJ3628" s="5" t="s">
        <v>240</v>
      </c>
      <c r="DK3628" s="5" t="s">
        <v>240</v>
      </c>
      <c r="DL3628" s="5" t="s">
        <v>240</v>
      </c>
      <c r="DM3628" s="5" t="s">
        <v>240</v>
      </c>
      <c r="DN3628" s="5" t="s">
        <v>240</v>
      </c>
      <c r="DO3628" s="7" t="s">
        <v>240</v>
      </c>
      <c r="DP3628" s="5" t="s">
        <v>240</v>
      </c>
      <c r="DQ3628" s="5" t="s">
        <v>240</v>
      </c>
      <c r="DR3628" s="5" t="s">
        <v>731</v>
      </c>
      <c r="DS3628" s="5" t="s">
        <v>731</v>
      </c>
      <c r="DT3628" s="5" t="s">
        <v>240</v>
      </c>
      <c r="DU3628" s="5" t="s">
        <v>240</v>
      </c>
      <c r="DV3628" s="5" t="s">
        <v>3683</v>
      </c>
      <c r="DW3628" s="5" t="s">
        <v>382</v>
      </c>
      <c r="DX3628" s="5" t="s">
        <v>240</v>
      </c>
      <c r="DY3628" s="5" t="s">
        <v>240</v>
      </c>
      <c r="DZ3628" s="5" t="s">
        <v>240</v>
      </c>
      <c r="EA3628" s="5" t="s">
        <v>240</v>
      </c>
      <c r="EB3628" s="5" t="s">
        <v>240</v>
      </c>
      <c r="EC3628" s="5" t="s">
        <v>240</v>
      </c>
      <c r="ED3628" s="5" t="s">
        <v>240</v>
      </c>
      <c r="EE3628" s="5" t="s">
        <v>240</v>
      </c>
      <c r="EF3628" s="5" t="s">
        <v>240</v>
      </c>
      <c r="EG3628" s="5" t="s">
        <v>240</v>
      </c>
      <c r="EH3628" s="5" t="s">
        <v>240</v>
      </c>
      <c r="EI3628" s="5" t="s">
        <v>240</v>
      </c>
      <c r="EJ3628" s="5" t="s">
        <v>240</v>
      </c>
      <c r="EK3628" s="5" t="s">
        <v>240</v>
      </c>
      <c r="EL3628" s="5" t="s">
        <v>240</v>
      </c>
      <c r="EM3628" s="5" t="s">
        <v>240</v>
      </c>
      <c r="EN3628" s="5" t="s">
        <v>240</v>
      </c>
      <c r="EO3628" s="5" t="s">
        <v>240</v>
      </c>
      <c r="EP3628" s="5" t="s">
        <v>240</v>
      </c>
      <c r="EQ3628" s="5" t="s">
        <v>240</v>
      </c>
      <c r="ER3628" s="5" t="s">
        <v>240</v>
      </c>
      <c r="ES3628" s="5" t="s">
        <v>240</v>
      </c>
      <c r="ET3628" s="5" t="s">
        <v>240</v>
      </c>
      <c r="EU3628" s="5" t="s">
        <v>240</v>
      </c>
      <c r="EV3628" s="5" t="s">
        <v>240</v>
      </c>
      <c r="EW3628" s="5" t="s">
        <v>240</v>
      </c>
      <c r="EX3628" s="5" t="s">
        <v>240</v>
      </c>
      <c r="EY3628" s="5" t="s">
        <v>240</v>
      </c>
      <c r="EZ3628" s="5" t="s">
        <v>240</v>
      </c>
      <c r="FA3628" s="5" t="s">
        <v>240</v>
      </c>
      <c r="FB3628" s="5" t="s">
        <v>240</v>
      </c>
      <c r="FC3628" s="5" t="s">
        <v>240</v>
      </c>
      <c r="FD3628" s="5" t="s">
        <v>240</v>
      </c>
      <c r="FE3628" s="5" t="s">
        <v>240</v>
      </c>
      <c r="FF3628" s="5" t="s">
        <v>240</v>
      </c>
      <c r="FG3628" s="5" t="s">
        <v>240</v>
      </c>
      <c r="FH3628" s="5" t="s">
        <v>240</v>
      </c>
      <c r="FI3628" s="5" t="s">
        <v>240</v>
      </c>
      <c r="FJ3628" s="5" t="s">
        <v>240</v>
      </c>
      <c r="FK3628" s="5" t="s">
        <v>240</v>
      </c>
      <c r="FL3628" s="5" t="s">
        <v>240</v>
      </c>
      <c r="FM3628" s="5" t="s">
        <v>240</v>
      </c>
      <c r="FN3628" s="5" t="s">
        <v>240</v>
      </c>
      <c r="FO3628" s="5" t="s">
        <v>240</v>
      </c>
      <c r="FP3628" s="5" t="s">
        <v>240</v>
      </c>
      <c r="FQ3628" s="5" t="s">
        <v>240</v>
      </c>
      <c r="FR3628" s="5" t="s">
        <v>240</v>
      </c>
      <c r="FS3628" s="5" t="s">
        <v>240</v>
      </c>
      <c r="FT3628" s="5" t="s">
        <v>240</v>
      </c>
      <c r="FU3628" s="5" t="s">
        <v>240</v>
      </c>
      <c r="FV3628" s="5" t="s">
        <v>240</v>
      </c>
      <c r="FW3628" s="5" t="s">
        <v>240</v>
      </c>
      <c r="FX3628" s="5" t="s">
        <v>240</v>
      </c>
      <c r="FY3628" s="5" t="s">
        <v>240</v>
      </c>
      <c r="FZ3628" s="5" t="s">
        <v>240</v>
      </c>
      <c r="GA3628" s="5" t="s">
        <v>240</v>
      </c>
      <c r="GB3628" s="5" t="s">
        <v>240</v>
      </c>
      <c r="GC3628" s="5" t="s">
        <v>240</v>
      </c>
      <c r="GD3628" s="5" t="s">
        <v>240</v>
      </c>
      <c r="GE3628" s="5" t="s">
        <v>240</v>
      </c>
      <c r="GF3628" s="5" t="s">
        <v>240</v>
      </c>
      <c r="GG3628" s="5" t="s">
        <v>240</v>
      </c>
      <c r="GH3628" s="5" t="s">
        <v>240</v>
      </c>
      <c r="GI3628" s="5" t="s">
        <v>240</v>
      </c>
      <c r="GJ3628" s="5" t="s">
        <v>240</v>
      </c>
      <c r="GK3628" s="5" t="s">
        <v>240</v>
      </c>
      <c r="GL3628" s="5" t="s">
        <v>240</v>
      </c>
      <c r="GM3628" s="5" t="s">
        <v>240</v>
      </c>
      <c r="GN3628" s="5" t="s">
        <v>240</v>
      </c>
      <c r="GO3628" s="5" t="s">
        <v>240</v>
      </c>
      <c r="GP3628" s="5" t="s">
        <v>240</v>
      </c>
      <c r="GQ3628" s="5" t="s">
        <v>240</v>
      </c>
      <c r="GR3628" s="5" t="s">
        <v>240</v>
      </c>
      <c r="GS3628" s="5" t="s">
        <v>240</v>
      </c>
      <c r="GT3628" s="5" t="s">
        <v>240</v>
      </c>
      <c r="GU3628" s="5" t="s">
        <v>240</v>
      </c>
      <c r="GV3628" s="5" t="s">
        <v>240</v>
      </c>
      <c r="GW3628" s="5" t="s">
        <v>240</v>
      </c>
      <c r="GX3628" s="5" t="s">
        <v>240</v>
      </c>
      <c r="GY3628" s="5" t="s">
        <v>240</v>
      </c>
      <c r="GZ3628" s="5" t="s">
        <v>240</v>
      </c>
      <c r="HA3628" s="5" t="s">
        <v>240</v>
      </c>
      <c r="HB3628" s="5" t="s">
        <v>240</v>
      </c>
      <c r="HC3628" s="5" t="s">
        <v>240</v>
      </c>
      <c r="HD3628" s="5" t="s">
        <v>240</v>
      </c>
      <c r="HE3628" s="5" t="s">
        <v>240</v>
      </c>
      <c r="HF3628" s="5" t="s">
        <v>240</v>
      </c>
      <c r="HG3628" s="5" t="s">
        <v>240</v>
      </c>
      <c r="HH3628" s="5" t="s">
        <v>240</v>
      </c>
      <c r="HI3628" s="5" t="s">
        <v>240</v>
      </c>
      <c r="HJ3628" s="5" t="s">
        <v>240</v>
      </c>
      <c r="HK3628" s="5" t="s">
        <v>240</v>
      </c>
      <c r="HL3628" s="5" t="s">
        <v>240</v>
      </c>
      <c r="HM3628" s="5" t="s">
        <v>240</v>
      </c>
      <c r="HN3628" s="5" t="s">
        <v>240</v>
      </c>
      <c r="HO3628" s="5" t="s">
        <v>312</v>
      </c>
      <c r="HP3628" s="5" t="s">
        <v>240</v>
      </c>
      <c r="HQ3628" s="5" t="s">
        <v>240</v>
      </c>
      <c r="HR3628" s="5" t="s">
        <v>240</v>
      </c>
      <c r="HS3628" s="5" t="s">
        <v>240</v>
      </c>
      <c r="HT3628" s="5" t="s">
        <v>240</v>
      </c>
      <c r="HU3628" s="5" t="s">
        <v>240</v>
      </c>
      <c r="HV3628" s="5" t="s">
        <v>240</v>
      </c>
      <c r="HW3628" s="5" t="s">
        <v>240</v>
      </c>
      <c r="HX3628" s="5" t="s">
        <v>240</v>
      </c>
      <c r="HY3628" s="5" t="s">
        <v>240</v>
      </c>
      <c r="HZ3628" s="5" t="s">
        <v>240</v>
      </c>
      <c r="IA3628" s="5" t="s">
        <v>240</v>
      </c>
      <c r="IB3628" s="5" t="s">
        <v>240</v>
      </c>
      <c r="IC3628" s="5" t="s">
        <v>240</v>
      </c>
      <c r="ID3628" s="5" t="s">
        <v>240</v>
      </c>
      <c r="IE3628" s="5" t="s">
        <v>240</v>
      </c>
      <c r="IF3628" s="5" t="s">
        <v>240</v>
      </c>
    </row>
    <row r="3629" spans="1:240" x14ac:dyDescent="0.4">
      <c r="A3629" s="5">
        <v>9171</v>
      </c>
      <c r="B3629" s="5">
        <v>1</v>
      </c>
      <c r="C3629" s="5">
        <v>1</v>
      </c>
      <c r="D3629" s="5" t="s">
        <v>723</v>
      </c>
      <c r="E3629" s="5" t="s">
        <v>725</v>
      </c>
      <c r="F3629" s="5" t="s">
        <v>254</v>
      </c>
      <c r="G3629" s="5" t="s">
        <v>726</v>
      </c>
      <c r="H3629" s="6" t="s">
        <v>5696</v>
      </c>
      <c r="I3629" s="5" t="s">
        <v>5695</v>
      </c>
      <c r="J3629" s="7">
        <f>1</f>
        <v>1</v>
      </c>
      <c r="K3629" s="5" t="s">
        <v>3682</v>
      </c>
      <c r="L3629" s="7">
        <f>1</f>
        <v>1</v>
      </c>
      <c r="M3629" s="7">
        <f>1</f>
        <v>1</v>
      </c>
      <c r="N3629" s="5" t="s">
        <v>242</v>
      </c>
      <c r="O3629" s="5">
        <v>1</v>
      </c>
      <c r="P3629" s="5" t="s">
        <v>294</v>
      </c>
      <c r="Q3629" s="5" t="s">
        <v>3678</v>
      </c>
      <c r="R3629" s="5" t="s">
        <v>240</v>
      </c>
      <c r="S3629" s="5" t="s">
        <v>240</v>
      </c>
      <c r="T3629" s="5" t="s">
        <v>243</v>
      </c>
      <c r="U3629" s="5" t="s">
        <v>244</v>
      </c>
      <c r="V3629" s="5" t="s">
        <v>240</v>
      </c>
      <c r="W3629" s="5" t="s">
        <v>240</v>
      </c>
      <c r="X3629" s="5" t="s">
        <v>240</v>
      </c>
      <c r="Y3629" s="5" t="s">
        <v>240</v>
      </c>
      <c r="Z3629" s="6" t="s">
        <v>298</v>
      </c>
      <c r="AA3629" s="6" t="s">
        <v>240</v>
      </c>
      <c r="AB3629" s="6" t="s">
        <v>240</v>
      </c>
      <c r="AC3629" s="5" t="s">
        <v>240</v>
      </c>
      <c r="AD3629" s="6" t="s">
        <v>240</v>
      </c>
      <c r="AE3629" s="6" t="s">
        <v>299</v>
      </c>
      <c r="AF3629" s="5" t="s">
        <v>248</v>
      </c>
      <c r="AG3629" s="5" t="s">
        <v>249</v>
      </c>
      <c r="AH3629" s="5" t="s">
        <v>240</v>
      </c>
      <c r="AI3629" s="5" t="s">
        <v>240</v>
      </c>
      <c r="AJ3629" s="5" t="s">
        <v>240</v>
      </c>
      <c r="AK3629" s="5" t="s">
        <v>240</v>
      </c>
      <c r="AL3629" s="5" t="s">
        <v>240</v>
      </c>
      <c r="AM3629" s="5" t="s">
        <v>240</v>
      </c>
      <c r="AN3629" s="5" t="s">
        <v>240</v>
      </c>
      <c r="AO3629" s="5" t="s">
        <v>240</v>
      </c>
      <c r="AP3629" s="6" t="s">
        <v>240</v>
      </c>
      <c r="AQ3629" s="6" t="s">
        <v>240</v>
      </c>
      <c r="AR3629" s="6" t="s">
        <v>240</v>
      </c>
      <c r="AS3629" s="6" t="s">
        <v>240</v>
      </c>
      <c r="AT3629" s="5" t="s">
        <v>240</v>
      </c>
      <c r="AU3629" s="5" t="s">
        <v>729</v>
      </c>
      <c r="AV3629" s="5" t="s">
        <v>729</v>
      </c>
      <c r="AW3629" s="5" t="s">
        <v>251</v>
      </c>
      <c r="AX3629" s="5" t="s">
        <v>252</v>
      </c>
      <c r="AY3629" s="5" t="s">
        <v>253</v>
      </c>
      <c r="AZ3629" s="5" t="s">
        <v>240</v>
      </c>
      <c r="BA3629" s="5" t="s">
        <v>255</v>
      </c>
      <c r="BB3629" s="5" t="s">
        <v>731</v>
      </c>
      <c r="BD3629" s="5" t="s">
        <v>240</v>
      </c>
      <c r="BF3629" s="5" t="s">
        <v>732</v>
      </c>
      <c r="BG3629" s="6" t="s">
        <v>733</v>
      </c>
      <c r="BH3629" s="5" t="s">
        <v>734</v>
      </c>
      <c r="BI3629" s="5" t="s">
        <v>734</v>
      </c>
      <c r="BJ3629" s="5" t="s">
        <v>240</v>
      </c>
      <c r="BK3629" s="7">
        <f>1</f>
        <v>1</v>
      </c>
      <c r="BL3629" s="7">
        <f>1</f>
        <v>1</v>
      </c>
      <c r="BM3629" s="5" t="s">
        <v>258</v>
      </c>
      <c r="BN3629" s="5" t="s">
        <v>259</v>
      </c>
      <c r="BO3629" s="5" t="s">
        <v>240</v>
      </c>
      <c r="BP3629" s="5" t="s">
        <v>240</v>
      </c>
      <c r="BQ3629" s="5" t="s">
        <v>240</v>
      </c>
      <c r="BR3629" s="5" t="s">
        <v>240</v>
      </c>
      <c r="BS3629" s="5" t="s">
        <v>240</v>
      </c>
      <c r="BT3629" s="5" t="s">
        <v>240</v>
      </c>
      <c r="BU3629" s="5" t="s">
        <v>240</v>
      </c>
      <c r="BV3629" s="5" t="s">
        <v>240</v>
      </c>
      <c r="BW3629" s="6" t="s">
        <v>240</v>
      </c>
      <c r="BX3629" s="5" t="s">
        <v>240</v>
      </c>
      <c r="BY3629" s="5" t="s">
        <v>240</v>
      </c>
      <c r="BZ3629" s="5" t="s">
        <v>240</v>
      </c>
      <c r="CA3629" s="5" t="s">
        <v>259</v>
      </c>
      <c r="CB3629" s="5" t="s">
        <v>240</v>
      </c>
      <c r="CC3629" s="5" t="s">
        <v>240</v>
      </c>
      <c r="CD3629" s="5" t="s">
        <v>240</v>
      </c>
      <c r="CE3629" s="5" t="s">
        <v>240</v>
      </c>
      <c r="CF3629" s="5" t="s">
        <v>240</v>
      </c>
      <c r="CG3629" s="5" t="s">
        <v>304</v>
      </c>
      <c r="CH3629" s="5" t="s">
        <v>305</v>
      </c>
      <c r="CI3629" s="5" t="s">
        <v>240</v>
      </c>
      <c r="CK3629" s="5" t="s">
        <v>3681</v>
      </c>
      <c r="CL3629" s="6" t="s">
        <v>261</v>
      </c>
      <c r="CM3629" s="5" t="s">
        <v>262</v>
      </c>
      <c r="CN3629" s="5" t="s">
        <v>263</v>
      </c>
      <c r="CO3629" s="5" t="s">
        <v>264</v>
      </c>
      <c r="CP3629" s="5" t="s">
        <v>240</v>
      </c>
      <c r="CQ3629" s="5">
        <v>0</v>
      </c>
      <c r="CR3629" s="5" t="s">
        <v>735</v>
      </c>
      <c r="CS3629" s="5" t="s">
        <v>307</v>
      </c>
      <c r="CT3629" s="5" t="s">
        <v>307</v>
      </c>
      <c r="CU3629" s="5" t="s">
        <v>260</v>
      </c>
      <c r="CV3629" s="5" t="s">
        <v>612</v>
      </c>
      <c r="CW3629" s="8">
        <f>1</f>
        <v>1</v>
      </c>
      <c r="CX3629" s="7">
        <f>1</f>
        <v>1</v>
      </c>
      <c r="CY3629" s="7">
        <f>0</f>
        <v>0</v>
      </c>
      <c r="DA3629" s="7">
        <f>1</f>
        <v>1</v>
      </c>
      <c r="DB3629" s="7" t="s">
        <v>240</v>
      </c>
      <c r="DC3629" s="5" t="s">
        <v>240</v>
      </c>
      <c r="DD3629" s="5" t="s">
        <v>240</v>
      </c>
      <c r="DE3629" s="5" t="s">
        <v>240</v>
      </c>
      <c r="DF3629" s="5" t="s">
        <v>240</v>
      </c>
      <c r="DG3629" s="7">
        <f>0</f>
        <v>0</v>
      </c>
      <c r="DI3629" s="5" t="s">
        <v>240</v>
      </c>
      <c r="DJ3629" s="5" t="s">
        <v>240</v>
      </c>
      <c r="DK3629" s="5" t="s">
        <v>240</v>
      </c>
      <c r="DL3629" s="5" t="s">
        <v>240</v>
      </c>
      <c r="DM3629" s="5" t="s">
        <v>240</v>
      </c>
      <c r="DN3629" s="5" t="s">
        <v>240</v>
      </c>
      <c r="DO3629" s="7" t="s">
        <v>240</v>
      </c>
      <c r="DP3629" s="5" t="s">
        <v>240</v>
      </c>
      <c r="DQ3629" s="5" t="s">
        <v>240</v>
      </c>
      <c r="DR3629" s="5" t="s">
        <v>731</v>
      </c>
      <c r="DS3629" s="5" t="s">
        <v>731</v>
      </c>
      <c r="DT3629" s="5" t="s">
        <v>240</v>
      </c>
      <c r="DU3629" s="5" t="s">
        <v>240</v>
      </c>
      <c r="DV3629" s="5" t="s">
        <v>3683</v>
      </c>
      <c r="DW3629" s="5" t="s">
        <v>334</v>
      </c>
      <c r="DX3629" s="5" t="s">
        <v>240</v>
      </c>
      <c r="DY3629" s="5" t="s">
        <v>240</v>
      </c>
      <c r="DZ3629" s="5" t="s">
        <v>240</v>
      </c>
      <c r="EA3629" s="5" t="s">
        <v>240</v>
      </c>
      <c r="EB3629" s="5" t="s">
        <v>240</v>
      </c>
      <c r="EC3629" s="5" t="s">
        <v>240</v>
      </c>
      <c r="ED3629" s="5" t="s">
        <v>240</v>
      </c>
      <c r="EE3629" s="5" t="s">
        <v>240</v>
      </c>
      <c r="EF3629" s="5" t="s">
        <v>240</v>
      </c>
      <c r="EG3629" s="5" t="s">
        <v>240</v>
      </c>
      <c r="EH3629" s="5" t="s">
        <v>240</v>
      </c>
      <c r="EI3629" s="5" t="s">
        <v>240</v>
      </c>
      <c r="EJ3629" s="5" t="s">
        <v>240</v>
      </c>
      <c r="EK3629" s="5" t="s">
        <v>240</v>
      </c>
      <c r="EL3629" s="5" t="s">
        <v>240</v>
      </c>
      <c r="EM3629" s="5" t="s">
        <v>240</v>
      </c>
      <c r="EN3629" s="5" t="s">
        <v>240</v>
      </c>
      <c r="EO3629" s="5" t="s">
        <v>240</v>
      </c>
      <c r="EP3629" s="5" t="s">
        <v>240</v>
      </c>
      <c r="EQ3629" s="5" t="s">
        <v>240</v>
      </c>
      <c r="ER3629" s="5" t="s">
        <v>240</v>
      </c>
      <c r="ES3629" s="5" t="s">
        <v>240</v>
      </c>
      <c r="ET3629" s="5" t="s">
        <v>240</v>
      </c>
      <c r="EU3629" s="5" t="s">
        <v>240</v>
      </c>
      <c r="EV3629" s="5" t="s">
        <v>240</v>
      </c>
      <c r="EW3629" s="5" t="s">
        <v>240</v>
      </c>
      <c r="EX3629" s="5" t="s">
        <v>240</v>
      </c>
      <c r="EY3629" s="5" t="s">
        <v>240</v>
      </c>
      <c r="EZ3629" s="5" t="s">
        <v>240</v>
      </c>
      <c r="FA3629" s="5" t="s">
        <v>240</v>
      </c>
      <c r="FB3629" s="5" t="s">
        <v>240</v>
      </c>
      <c r="FC3629" s="5" t="s">
        <v>240</v>
      </c>
      <c r="FD3629" s="5" t="s">
        <v>240</v>
      </c>
      <c r="FE3629" s="5" t="s">
        <v>240</v>
      </c>
      <c r="FF3629" s="5" t="s">
        <v>240</v>
      </c>
      <c r="FG3629" s="5" t="s">
        <v>240</v>
      </c>
      <c r="FH3629" s="5" t="s">
        <v>240</v>
      </c>
      <c r="FI3629" s="5" t="s">
        <v>240</v>
      </c>
      <c r="FJ3629" s="5" t="s">
        <v>240</v>
      </c>
      <c r="FK3629" s="5" t="s">
        <v>240</v>
      </c>
      <c r="FL3629" s="5" t="s">
        <v>240</v>
      </c>
      <c r="FM3629" s="5" t="s">
        <v>240</v>
      </c>
      <c r="FN3629" s="5" t="s">
        <v>240</v>
      </c>
      <c r="FO3629" s="5" t="s">
        <v>240</v>
      </c>
      <c r="FP3629" s="5" t="s">
        <v>240</v>
      </c>
      <c r="FQ3629" s="5" t="s">
        <v>240</v>
      </c>
      <c r="FR3629" s="5" t="s">
        <v>240</v>
      </c>
      <c r="FS3629" s="5" t="s">
        <v>240</v>
      </c>
      <c r="FT3629" s="5" t="s">
        <v>240</v>
      </c>
      <c r="FU3629" s="5" t="s">
        <v>240</v>
      </c>
      <c r="FV3629" s="5" t="s">
        <v>240</v>
      </c>
      <c r="FW3629" s="5" t="s">
        <v>240</v>
      </c>
      <c r="FX3629" s="5" t="s">
        <v>240</v>
      </c>
      <c r="FY3629" s="5" t="s">
        <v>240</v>
      </c>
      <c r="FZ3629" s="5" t="s">
        <v>240</v>
      </c>
      <c r="GA3629" s="5" t="s">
        <v>240</v>
      </c>
      <c r="GB3629" s="5" t="s">
        <v>240</v>
      </c>
      <c r="GC3629" s="5" t="s">
        <v>240</v>
      </c>
      <c r="GD3629" s="5" t="s">
        <v>240</v>
      </c>
      <c r="GE3629" s="5" t="s">
        <v>240</v>
      </c>
      <c r="GF3629" s="5" t="s">
        <v>240</v>
      </c>
      <c r="GG3629" s="5" t="s">
        <v>240</v>
      </c>
      <c r="GH3629" s="5" t="s">
        <v>240</v>
      </c>
      <c r="GI3629" s="5" t="s">
        <v>240</v>
      </c>
      <c r="GJ3629" s="5" t="s">
        <v>240</v>
      </c>
      <c r="GK3629" s="5" t="s">
        <v>240</v>
      </c>
      <c r="GL3629" s="5" t="s">
        <v>240</v>
      </c>
      <c r="GM3629" s="5" t="s">
        <v>240</v>
      </c>
      <c r="GN3629" s="5" t="s">
        <v>240</v>
      </c>
      <c r="GO3629" s="5" t="s">
        <v>240</v>
      </c>
      <c r="GP3629" s="5" t="s">
        <v>240</v>
      </c>
      <c r="GQ3629" s="5" t="s">
        <v>240</v>
      </c>
      <c r="GR3629" s="5" t="s">
        <v>240</v>
      </c>
      <c r="GS3629" s="5" t="s">
        <v>240</v>
      </c>
      <c r="GT3629" s="5" t="s">
        <v>240</v>
      </c>
      <c r="GU3629" s="5" t="s">
        <v>240</v>
      </c>
      <c r="GV3629" s="5" t="s">
        <v>240</v>
      </c>
      <c r="GW3629" s="5" t="s">
        <v>240</v>
      </c>
      <c r="GX3629" s="5" t="s">
        <v>240</v>
      </c>
      <c r="GY3629" s="5" t="s">
        <v>240</v>
      </c>
      <c r="GZ3629" s="5" t="s">
        <v>240</v>
      </c>
      <c r="HA3629" s="5" t="s">
        <v>240</v>
      </c>
      <c r="HB3629" s="5" t="s">
        <v>240</v>
      </c>
      <c r="HC3629" s="5" t="s">
        <v>240</v>
      </c>
      <c r="HD3629" s="5" t="s">
        <v>240</v>
      </c>
      <c r="HE3629" s="5" t="s">
        <v>240</v>
      </c>
      <c r="HF3629" s="5" t="s">
        <v>240</v>
      </c>
      <c r="HG3629" s="5" t="s">
        <v>240</v>
      </c>
      <c r="HH3629" s="5" t="s">
        <v>240</v>
      </c>
      <c r="HI3629" s="5" t="s">
        <v>240</v>
      </c>
      <c r="HJ3629" s="5" t="s">
        <v>240</v>
      </c>
      <c r="HK3629" s="5" t="s">
        <v>240</v>
      </c>
      <c r="HL3629" s="5" t="s">
        <v>240</v>
      </c>
      <c r="HM3629" s="5" t="s">
        <v>240</v>
      </c>
      <c r="HN3629" s="5" t="s">
        <v>240</v>
      </c>
      <c r="HO3629" s="5" t="s">
        <v>312</v>
      </c>
      <c r="HP3629" s="5" t="s">
        <v>240</v>
      </c>
      <c r="HQ3629" s="5" t="s">
        <v>240</v>
      </c>
      <c r="HR3629" s="5" t="s">
        <v>240</v>
      </c>
      <c r="HS3629" s="5" t="s">
        <v>240</v>
      </c>
      <c r="HT3629" s="5" t="s">
        <v>240</v>
      </c>
      <c r="HU3629" s="5" t="s">
        <v>240</v>
      </c>
      <c r="HV3629" s="5" t="s">
        <v>240</v>
      </c>
      <c r="HW3629" s="5" t="s">
        <v>240</v>
      </c>
      <c r="HX3629" s="5" t="s">
        <v>240</v>
      </c>
      <c r="HY3629" s="5" t="s">
        <v>240</v>
      </c>
      <c r="HZ3629" s="5" t="s">
        <v>240</v>
      </c>
      <c r="IA3629" s="5" t="s">
        <v>240</v>
      </c>
      <c r="IB3629" s="5" t="s">
        <v>240</v>
      </c>
      <c r="IC3629" s="5" t="s">
        <v>240</v>
      </c>
      <c r="ID3629" s="5" t="s">
        <v>240</v>
      </c>
      <c r="IE3629" s="5" t="s">
        <v>240</v>
      </c>
      <c r="IF3629" s="5" t="s">
        <v>240</v>
      </c>
    </row>
    <row r="3630" spans="1:240" x14ac:dyDescent="0.4">
      <c r="A3630" s="5">
        <v>9172</v>
      </c>
      <c r="B3630" s="5">
        <v>1</v>
      </c>
      <c r="C3630" s="5">
        <v>1</v>
      </c>
      <c r="D3630" s="5" t="s">
        <v>723</v>
      </c>
      <c r="E3630" s="5" t="s">
        <v>725</v>
      </c>
      <c r="F3630" s="5" t="s">
        <v>254</v>
      </c>
      <c r="G3630" s="5" t="s">
        <v>726</v>
      </c>
      <c r="H3630" s="6" t="s">
        <v>5694</v>
      </c>
      <c r="I3630" s="5" t="s">
        <v>5693</v>
      </c>
      <c r="J3630" s="7">
        <f>1</f>
        <v>1</v>
      </c>
      <c r="K3630" s="5" t="s">
        <v>3682</v>
      </c>
      <c r="L3630" s="7">
        <f>1</f>
        <v>1</v>
      </c>
      <c r="M3630" s="7">
        <f>1</f>
        <v>1</v>
      </c>
      <c r="N3630" s="5" t="s">
        <v>242</v>
      </c>
      <c r="O3630" s="5">
        <v>1</v>
      </c>
      <c r="P3630" s="5" t="s">
        <v>294</v>
      </c>
      <c r="Q3630" s="5" t="s">
        <v>3678</v>
      </c>
      <c r="R3630" s="5" t="s">
        <v>240</v>
      </c>
      <c r="S3630" s="5" t="s">
        <v>240</v>
      </c>
      <c r="T3630" s="5" t="s">
        <v>243</v>
      </c>
      <c r="U3630" s="5" t="s">
        <v>244</v>
      </c>
      <c r="V3630" s="5" t="s">
        <v>240</v>
      </c>
      <c r="W3630" s="5" t="s">
        <v>240</v>
      </c>
      <c r="X3630" s="5" t="s">
        <v>240</v>
      </c>
      <c r="Y3630" s="5" t="s">
        <v>240</v>
      </c>
      <c r="Z3630" s="6" t="s">
        <v>298</v>
      </c>
      <c r="AA3630" s="6" t="s">
        <v>240</v>
      </c>
      <c r="AB3630" s="6" t="s">
        <v>240</v>
      </c>
      <c r="AC3630" s="5" t="s">
        <v>240</v>
      </c>
      <c r="AD3630" s="6" t="s">
        <v>240</v>
      </c>
      <c r="AE3630" s="6" t="s">
        <v>299</v>
      </c>
      <c r="AF3630" s="5" t="s">
        <v>248</v>
      </c>
      <c r="AG3630" s="5" t="s">
        <v>249</v>
      </c>
      <c r="AH3630" s="5" t="s">
        <v>240</v>
      </c>
      <c r="AI3630" s="5" t="s">
        <v>240</v>
      </c>
      <c r="AJ3630" s="5" t="s">
        <v>240</v>
      </c>
      <c r="AK3630" s="5" t="s">
        <v>240</v>
      </c>
      <c r="AL3630" s="5" t="s">
        <v>240</v>
      </c>
      <c r="AM3630" s="5" t="s">
        <v>240</v>
      </c>
      <c r="AN3630" s="5" t="s">
        <v>240</v>
      </c>
      <c r="AO3630" s="5" t="s">
        <v>240</v>
      </c>
      <c r="AP3630" s="6" t="s">
        <v>240</v>
      </c>
      <c r="AQ3630" s="6" t="s">
        <v>240</v>
      </c>
      <c r="AR3630" s="6" t="s">
        <v>240</v>
      </c>
      <c r="AS3630" s="6" t="s">
        <v>240</v>
      </c>
      <c r="AT3630" s="5" t="s">
        <v>240</v>
      </c>
      <c r="AU3630" s="5" t="s">
        <v>729</v>
      </c>
      <c r="AV3630" s="5" t="s">
        <v>729</v>
      </c>
      <c r="AW3630" s="5" t="s">
        <v>251</v>
      </c>
      <c r="AX3630" s="5" t="s">
        <v>252</v>
      </c>
      <c r="AY3630" s="5" t="s">
        <v>253</v>
      </c>
      <c r="AZ3630" s="5" t="s">
        <v>240</v>
      </c>
      <c r="BA3630" s="5" t="s">
        <v>255</v>
      </c>
      <c r="BB3630" s="5" t="s">
        <v>731</v>
      </c>
      <c r="BD3630" s="5" t="s">
        <v>240</v>
      </c>
      <c r="BF3630" s="5" t="s">
        <v>732</v>
      </c>
      <c r="BG3630" s="6" t="s">
        <v>733</v>
      </c>
      <c r="BH3630" s="5" t="s">
        <v>734</v>
      </c>
      <c r="BI3630" s="5" t="s">
        <v>734</v>
      </c>
      <c r="BJ3630" s="5" t="s">
        <v>240</v>
      </c>
      <c r="BK3630" s="7">
        <f>1</f>
        <v>1</v>
      </c>
      <c r="BL3630" s="7">
        <f>1</f>
        <v>1</v>
      </c>
      <c r="BM3630" s="5" t="s">
        <v>258</v>
      </c>
      <c r="BN3630" s="5" t="s">
        <v>259</v>
      </c>
      <c r="BO3630" s="5" t="s">
        <v>240</v>
      </c>
      <c r="BP3630" s="5" t="s">
        <v>240</v>
      </c>
      <c r="BQ3630" s="5" t="s">
        <v>240</v>
      </c>
      <c r="BR3630" s="5" t="s">
        <v>240</v>
      </c>
      <c r="BS3630" s="5" t="s">
        <v>240</v>
      </c>
      <c r="BT3630" s="5" t="s">
        <v>240</v>
      </c>
      <c r="BU3630" s="5" t="s">
        <v>240</v>
      </c>
      <c r="BV3630" s="5" t="s">
        <v>240</v>
      </c>
      <c r="BW3630" s="6" t="s">
        <v>240</v>
      </c>
      <c r="BX3630" s="5" t="s">
        <v>240</v>
      </c>
      <c r="BY3630" s="5" t="s">
        <v>240</v>
      </c>
      <c r="BZ3630" s="5" t="s">
        <v>240</v>
      </c>
      <c r="CA3630" s="5" t="s">
        <v>259</v>
      </c>
      <c r="CB3630" s="5" t="s">
        <v>240</v>
      </c>
      <c r="CC3630" s="5" t="s">
        <v>240</v>
      </c>
      <c r="CD3630" s="5" t="s">
        <v>240</v>
      </c>
      <c r="CE3630" s="5" t="s">
        <v>240</v>
      </c>
      <c r="CF3630" s="5" t="s">
        <v>240</v>
      </c>
      <c r="CG3630" s="5" t="s">
        <v>304</v>
      </c>
      <c r="CH3630" s="5" t="s">
        <v>305</v>
      </c>
      <c r="CI3630" s="5" t="s">
        <v>240</v>
      </c>
      <c r="CK3630" s="5" t="s">
        <v>3681</v>
      </c>
      <c r="CL3630" s="6" t="s">
        <v>261</v>
      </c>
      <c r="CM3630" s="5" t="s">
        <v>262</v>
      </c>
      <c r="CN3630" s="5" t="s">
        <v>263</v>
      </c>
      <c r="CO3630" s="5" t="s">
        <v>264</v>
      </c>
      <c r="CP3630" s="5" t="s">
        <v>240</v>
      </c>
      <c r="CQ3630" s="5">
        <v>0</v>
      </c>
      <c r="CR3630" s="5" t="s">
        <v>735</v>
      </c>
      <c r="CS3630" s="5" t="s">
        <v>307</v>
      </c>
      <c r="CT3630" s="5" t="s">
        <v>307</v>
      </c>
      <c r="CU3630" s="5" t="s">
        <v>260</v>
      </c>
      <c r="CV3630" s="5" t="s">
        <v>612</v>
      </c>
      <c r="CW3630" s="8">
        <f>1</f>
        <v>1</v>
      </c>
      <c r="CX3630" s="7">
        <f>1</f>
        <v>1</v>
      </c>
      <c r="CY3630" s="7">
        <f>0</f>
        <v>0</v>
      </c>
      <c r="DA3630" s="7">
        <f>1</f>
        <v>1</v>
      </c>
      <c r="DB3630" s="7" t="s">
        <v>240</v>
      </c>
      <c r="DC3630" s="5" t="s">
        <v>240</v>
      </c>
      <c r="DD3630" s="5" t="s">
        <v>240</v>
      </c>
      <c r="DE3630" s="5" t="s">
        <v>240</v>
      </c>
      <c r="DF3630" s="5" t="s">
        <v>240</v>
      </c>
      <c r="DG3630" s="7">
        <f>0</f>
        <v>0</v>
      </c>
      <c r="DI3630" s="5" t="s">
        <v>240</v>
      </c>
      <c r="DJ3630" s="5" t="s">
        <v>240</v>
      </c>
      <c r="DK3630" s="5" t="s">
        <v>240</v>
      </c>
      <c r="DL3630" s="5" t="s">
        <v>240</v>
      </c>
      <c r="DM3630" s="5" t="s">
        <v>240</v>
      </c>
      <c r="DN3630" s="5" t="s">
        <v>240</v>
      </c>
      <c r="DO3630" s="7" t="s">
        <v>240</v>
      </c>
      <c r="DP3630" s="5" t="s">
        <v>240</v>
      </c>
      <c r="DQ3630" s="5" t="s">
        <v>240</v>
      </c>
      <c r="DR3630" s="5" t="s">
        <v>731</v>
      </c>
      <c r="DS3630" s="5" t="s">
        <v>731</v>
      </c>
      <c r="DT3630" s="5" t="s">
        <v>240</v>
      </c>
      <c r="DU3630" s="5" t="s">
        <v>240</v>
      </c>
      <c r="DV3630" s="5" t="s">
        <v>3683</v>
      </c>
      <c r="DW3630" s="5" t="s">
        <v>610</v>
      </c>
      <c r="DX3630" s="5" t="s">
        <v>240</v>
      </c>
      <c r="DY3630" s="5" t="s">
        <v>240</v>
      </c>
      <c r="DZ3630" s="5" t="s">
        <v>240</v>
      </c>
      <c r="EA3630" s="5" t="s">
        <v>240</v>
      </c>
      <c r="EB3630" s="5" t="s">
        <v>240</v>
      </c>
      <c r="EC3630" s="5" t="s">
        <v>240</v>
      </c>
      <c r="ED3630" s="5" t="s">
        <v>240</v>
      </c>
      <c r="EE3630" s="5" t="s">
        <v>240</v>
      </c>
      <c r="EF3630" s="5" t="s">
        <v>240</v>
      </c>
      <c r="EG3630" s="5" t="s">
        <v>240</v>
      </c>
      <c r="EH3630" s="5" t="s">
        <v>240</v>
      </c>
      <c r="EI3630" s="5" t="s">
        <v>240</v>
      </c>
      <c r="EJ3630" s="5" t="s">
        <v>240</v>
      </c>
      <c r="EK3630" s="5" t="s">
        <v>240</v>
      </c>
      <c r="EL3630" s="5" t="s">
        <v>240</v>
      </c>
      <c r="EM3630" s="5" t="s">
        <v>240</v>
      </c>
      <c r="EN3630" s="5" t="s">
        <v>240</v>
      </c>
      <c r="EO3630" s="5" t="s">
        <v>240</v>
      </c>
      <c r="EP3630" s="5" t="s">
        <v>240</v>
      </c>
      <c r="EQ3630" s="5" t="s">
        <v>240</v>
      </c>
      <c r="ER3630" s="5" t="s">
        <v>240</v>
      </c>
      <c r="ES3630" s="5" t="s">
        <v>240</v>
      </c>
      <c r="ET3630" s="5" t="s">
        <v>240</v>
      </c>
      <c r="EU3630" s="5" t="s">
        <v>240</v>
      </c>
      <c r="EV3630" s="5" t="s">
        <v>240</v>
      </c>
      <c r="EW3630" s="5" t="s">
        <v>240</v>
      </c>
      <c r="EX3630" s="5" t="s">
        <v>240</v>
      </c>
      <c r="EY3630" s="5" t="s">
        <v>240</v>
      </c>
      <c r="EZ3630" s="5" t="s">
        <v>240</v>
      </c>
      <c r="FA3630" s="5" t="s">
        <v>240</v>
      </c>
      <c r="FB3630" s="5" t="s">
        <v>240</v>
      </c>
      <c r="FC3630" s="5" t="s">
        <v>240</v>
      </c>
      <c r="FD3630" s="5" t="s">
        <v>240</v>
      </c>
      <c r="FE3630" s="5" t="s">
        <v>240</v>
      </c>
      <c r="FF3630" s="5" t="s">
        <v>240</v>
      </c>
      <c r="FG3630" s="5" t="s">
        <v>240</v>
      </c>
      <c r="FH3630" s="5" t="s">
        <v>240</v>
      </c>
      <c r="FI3630" s="5" t="s">
        <v>240</v>
      </c>
      <c r="FJ3630" s="5" t="s">
        <v>240</v>
      </c>
      <c r="FK3630" s="5" t="s">
        <v>240</v>
      </c>
      <c r="FL3630" s="5" t="s">
        <v>240</v>
      </c>
      <c r="FM3630" s="5" t="s">
        <v>240</v>
      </c>
      <c r="FN3630" s="5" t="s">
        <v>240</v>
      </c>
      <c r="FO3630" s="5" t="s">
        <v>240</v>
      </c>
      <c r="FP3630" s="5" t="s">
        <v>240</v>
      </c>
      <c r="FQ3630" s="5" t="s">
        <v>240</v>
      </c>
      <c r="FR3630" s="5" t="s">
        <v>240</v>
      </c>
      <c r="FS3630" s="5" t="s">
        <v>240</v>
      </c>
      <c r="FT3630" s="5" t="s">
        <v>240</v>
      </c>
      <c r="FU3630" s="5" t="s">
        <v>240</v>
      </c>
      <c r="FV3630" s="5" t="s">
        <v>240</v>
      </c>
      <c r="FW3630" s="5" t="s">
        <v>240</v>
      </c>
      <c r="FX3630" s="5" t="s">
        <v>240</v>
      </c>
      <c r="FY3630" s="5" t="s">
        <v>240</v>
      </c>
      <c r="FZ3630" s="5" t="s">
        <v>240</v>
      </c>
      <c r="GA3630" s="5" t="s">
        <v>240</v>
      </c>
      <c r="GB3630" s="5" t="s">
        <v>240</v>
      </c>
      <c r="GC3630" s="5" t="s">
        <v>240</v>
      </c>
      <c r="GD3630" s="5" t="s">
        <v>240</v>
      </c>
      <c r="GE3630" s="5" t="s">
        <v>240</v>
      </c>
      <c r="GF3630" s="5" t="s">
        <v>240</v>
      </c>
      <c r="GG3630" s="5" t="s">
        <v>240</v>
      </c>
      <c r="GH3630" s="5" t="s">
        <v>240</v>
      </c>
      <c r="GI3630" s="5" t="s">
        <v>240</v>
      </c>
      <c r="GJ3630" s="5" t="s">
        <v>240</v>
      </c>
      <c r="GK3630" s="5" t="s">
        <v>240</v>
      </c>
      <c r="GL3630" s="5" t="s">
        <v>240</v>
      </c>
      <c r="GM3630" s="5" t="s">
        <v>240</v>
      </c>
      <c r="GN3630" s="5" t="s">
        <v>240</v>
      </c>
      <c r="GO3630" s="5" t="s">
        <v>240</v>
      </c>
      <c r="GP3630" s="5" t="s">
        <v>240</v>
      </c>
      <c r="GQ3630" s="5" t="s">
        <v>240</v>
      </c>
      <c r="GR3630" s="5" t="s">
        <v>240</v>
      </c>
      <c r="GS3630" s="5" t="s">
        <v>240</v>
      </c>
      <c r="GT3630" s="5" t="s">
        <v>240</v>
      </c>
      <c r="GU3630" s="5" t="s">
        <v>240</v>
      </c>
      <c r="GV3630" s="5" t="s">
        <v>240</v>
      </c>
      <c r="GW3630" s="5" t="s">
        <v>240</v>
      </c>
      <c r="GX3630" s="5" t="s">
        <v>240</v>
      </c>
      <c r="GY3630" s="5" t="s">
        <v>240</v>
      </c>
      <c r="GZ3630" s="5" t="s">
        <v>240</v>
      </c>
      <c r="HA3630" s="5" t="s">
        <v>240</v>
      </c>
      <c r="HB3630" s="5" t="s">
        <v>240</v>
      </c>
      <c r="HC3630" s="5" t="s">
        <v>240</v>
      </c>
      <c r="HD3630" s="5" t="s">
        <v>240</v>
      </c>
      <c r="HE3630" s="5" t="s">
        <v>240</v>
      </c>
      <c r="HF3630" s="5" t="s">
        <v>240</v>
      </c>
      <c r="HG3630" s="5" t="s">
        <v>240</v>
      </c>
      <c r="HH3630" s="5" t="s">
        <v>240</v>
      </c>
      <c r="HI3630" s="5" t="s">
        <v>240</v>
      </c>
      <c r="HJ3630" s="5" t="s">
        <v>240</v>
      </c>
      <c r="HK3630" s="5" t="s">
        <v>240</v>
      </c>
      <c r="HL3630" s="5" t="s">
        <v>240</v>
      </c>
      <c r="HM3630" s="5" t="s">
        <v>240</v>
      </c>
      <c r="HN3630" s="5" t="s">
        <v>240</v>
      </c>
      <c r="HO3630" s="5" t="s">
        <v>312</v>
      </c>
      <c r="HP3630" s="5" t="s">
        <v>240</v>
      </c>
      <c r="HQ3630" s="5" t="s">
        <v>240</v>
      </c>
      <c r="HR3630" s="5" t="s">
        <v>240</v>
      </c>
      <c r="HS3630" s="5" t="s">
        <v>240</v>
      </c>
      <c r="HT3630" s="5" t="s">
        <v>240</v>
      </c>
      <c r="HU3630" s="5" t="s">
        <v>240</v>
      </c>
      <c r="HV3630" s="5" t="s">
        <v>240</v>
      </c>
      <c r="HW3630" s="5" t="s">
        <v>240</v>
      </c>
      <c r="HX3630" s="5" t="s">
        <v>240</v>
      </c>
      <c r="HY3630" s="5" t="s">
        <v>240</v>
      </c>
      <c r="HZ3630" s="5" t="s">
        <v>240</v>
      </c>
      <c r="IA3630" s="5" t="s">
        <v>240</v>
      </c>
      <c r="IB3630" s="5" t="s">
        <v>240</v>
      </c>
      <c r="IC3630" s="5" t="s">
        <v>240</v>
      </c>
      <c r="ID3630" s="5" t="s">
        <v>240</v>
      </c>
      <c r="IE3630" s="5" t="s">
        <v>240</v>
      </c>
      <c r="IF3630" s="5" t="s">
        <v>240</v>
      </c>
    </row>
    <row r="3631" spans="1:240" x14ac:dyDescent="0.4">
      <c r="A3631" s="5">
        <v>9173</v>
      </c>
      <c r="B3631" s="5">
        <v>1</v>
      </c>
      <c r="C3631" s="5">
        <v>1</v>
      </c>
      <c r="D3631" s="5" t="s">
        <v>723</v>
      </c>
      <c r="E3631" s="5" t="s">
        <v>725</v>
      </c>
      <c r="F3631" s="5" t="s">
        <v>254</v>
      </c>
      <c r="G3631" s="5" t="s">
        <v>6387</v>
      </c>
      <c r="H3631" s="6" t="s">
        <v>6386</v>
      </c>
      <c r="I3631" s="5" t="s">
        <v>6386</v>
      </c>
      <c r="J3631" s="7">
        <f>1</f>
        <v>1</v>
      </c>
      <c r="K3631" s="5" t="s">
        <v>3682</v>
      </c>
      <c r="L3631" s="7">
        <f>1</f>
        <v>1</v>
      </c>
      <c r="M3631" s="7">
        <f>1</f>
        <v>1</v>
      </c>
      <c r="N3631" s="5" t="s">
        <v>242</v>
      </c>
      <c r="O3631" s="5">
        <v>1</v>
      </c>
      <c r="P3631" s="5" t="s">
        <v>294</v>
      </c>
      <c r="Q3631" s="5" t="s">
        <v>3678</v>
      </c>
      <c r="R3631" s="5" t="s">
        <v>240</v>
      </c>
      <c r="S3631" s="5" t="s">
        <v>240</v>
      </c>
      <c r="T3631" s="5" t="s">
        <v>243</v>
      </c>
      <c r="U3631" s="5" t="s">
        <v>244</v>
      </c>
      <c r="V3631" s="5" t="s">
        <v>240</v>
      </c>
      <c r="W3631" s="5" t="s">
        <v>240</v>
      </c>
      <c r="X3631" s="5" t="s">
        <v>240</v>
      </c>
      <c r="Y3631" s="5" t="s">
        <v>240</v>
      </c>
      <c r="Z3631" s="6" t="s">
        <v>298</v>
      </c>
      <c r="AA3631" s="6" t="s">
        <v>240</v>
      </c>
      <c r="AB3631" s="6" t="s">
        <v>240</v>
      </c>
      <c r="AC3631" s="5" t="s">
        <v>240</v>
      </c>
      <c r="AD3631" s="6" t="s">
        <v>240</v>
      </c>
      <c r="AE3631" s="6" t="s">
        <v>299</v>
      </c>
      <c r="AF3631" s="5" t="s">
        <v>248</v>
      </c>
      <c r="AG3631" s="5" t="s">
        <v>249</v>
      </c>
      <c r="AH3631" s="5" t="s">
        <v>240</v>
      </c>
      <c r="AI3631" s="5" t="s">
        <v>240</v>
      </c>
      <c r="AJ3631" s="5" t="s">
        <v>240</v>
      </c>
      <c r="AK3631" s="5" t="s">
        <v>240</v>
      </c>
      <c r="AL3631" s="5" t="s">
        <v>240</v>
      </c>
      <c r="AM3631" s="5" t="s">
        <v>240</v>
      </c>
      <c r="AN3631" s="5" t="s">
        <v>240</v>
      </c>
      <c r="AO3631" s="5" t="s">
        <v>240</v>
      </c>
      <c r="AP3631" s="6" t="s">
        <v>240</v>
      </c>
      <c r="AQ3631" s="6" t="s">
        <v>240</v>
      </c>
      <c r="AR3631" s="6" t="s">
        <v>240</v>
      </c>
      <c r="AS3631" s="6" t="s">
        <v>240</v>
      </c>
      <c r="AT3631" s="5" t="s">
        <v>240</v>
      </c>
      <c r="AU3631" s="5" t="s">
        <v>729</v>
      </c>
      <c r="AV3631" s="5" t="s">
        <v>729</v>
      </c>
      <c r="AW3631" s="5" t="s">
        <v>251</v>
      </c>
      <c r="AX3631" s="5" t="s">
        <v>252</v>
      </c>
      <c r="AY3631" s="5" t="s">
        <v>253</v>
      </c>
      <c r="AZ3631" s="5" t="s">
        <v>240</v>
      </c>
      <c r="BA3631" s="5" t="s">
        <v>255</v>
      </c>
      <c r="BB3631" s="5" t="s">
        <v>731</v>
      </c>
      <c r="BD3631" s="5" t="s">
        <v>240</v>
      </c>
      <c r="BF3631" s="5" t="s">
        <v>732</v>
      </c>
      <c r="BG3631" s="6" t="s">
        <v>733</v>
      </c>
      <c r="BH3631" s="5" t="s">
        <v>734</v>
      </c>
      <c r="BI3631" s="5" t="s">
        <v>734</v>
      </c>
      <c r="BJ3631" s="5" t="s">
        <v>240</v>
      </c>
      <c r="BK3631" s="7">
        <f>1</f>
        <v>1</v>
      </c>
      <c r="BL3631" s="7">
        <f>1</f>
        <v>1</v>
      </c>
      <c r="BM3631" s="5" t="s">
        <v>258</v>
      </c>
      <c r="BN3631" s="5" t="s">
        <v>259</v>
      </c>
      <c r="BO3631" s="5" t="s">
        <v>240</v>
      </c>
      <c r="BP3631" s="5" t="s">
        <v>240</v>
      </c>
      <c r="BQ3631" s="5" t="s">
        <v>240</v>
      </c>
      <c r="BR3631" s="5" t="s">
        <v>240</v>
      </c>
      <c r="BS3631" s="5" t="s">
        <v>240</v>
      </c>
      <c r="BT3631" s="5" t="s">
        <v>240</v>
      </c>
      <c r="BU3631" s="5" t="s">
        <v>240</v>
      </c>
      <c r="BV3631" s="5" t="s">
        <v>240</v>
      </c>
      <c r="BW3631" s="6" t="s">
        <v>240</v>
      </c>
      <c r="BX3631" s="5" t="s">
        <v>240</v>
      </c>
      <c r="BY3631" s="5" t="s">
        <v>240</v>
      </c>
      <c r="BZ3631" s="5" t="s">
        <v>240</v>
      </c>
      <c r="CA3631" s="5" t="s">
        <v>259</v>
      </c>
      <c r="CB3631" s="5" t="s">
        <v>240</v>
      </c>
      <c r="CC3631" s="5" t="s">
        <v>240</v>
      </c>
      <c r="CD3631" s="5" t="s">
        <v>240</v>
      </c>
      <c r="CE3631" s="5" t="s">
        <v>240</v>
      </c>
      <c r="CF3631" s="5" t="s">
        <v>240</v>
      </c>
      <c r="CG3631" s="5" t="s">
        <v>304</v>
      </c>
      <c r="CH3631" s="5" t="s">
        <v>305</v>
      </c>
      <c r="CI3631" s="5" t="s">
        <v>240</v>
      </c>
      <c r="CK3631" s="5" t="s">
        <v>3681</v>
      </c>
      <c r="CL3631" s="6" t="s">
        <v>261</v>
      </c>
      <c r="CM3631" s="5" t="s">
        <v>262</v>
      </c>
      <c r="CN3631" s="5" t="s">
        <v>263</v>
      </c>
      <c r="CO3631" s="5" t="s">
        <v>264</v>
      </c>
      <c r="CP3631" s="5" t="s">
        <v>240</v>
      </c>
      <c r="CQ3631" s="5">
        <v>0</v>
      </c>
      <c r="CR3631" s="5" t="s">
        <v>735</v>
      </c>
      <c r="CS3631" s="5" t="s">
        <v>307</v>
      </c>
      <c r="CT3631" s="5" t="s">
        <v>307</v>
      </c>
      <c r="CU3631" s="5" t="s">
        <v>260</v>
      </c>
      <c r="CV3631" s="5" t="s">
        <v>612</v>
      </c>
      <c r="CW3631" s="8">
        <f>1</f>
        <v>1</v>
      </c>
      <c r="CX3631" s="7">
        <f>1</f>
        <v>1</v>
      </c>
      <c r="CY3631" s="7">
        <f>0</f>
        <v>0</v>
      </c>
      <c r="DA3631" s="7">
        <f>1</f>
        <v>1</v>
      </c>
      <c r="DB3631" s="7" t="s">
        <v>240</v>
      </c>
      <c r="DC3631" s="5" t="s">
        <v>240</v>
      </c>
      <c r="DD3631" s="5" t="s">
        <v>240</v>
      </c>
      <c r="DE3631" s="5" t="s">
        <v>240</v>
      </c>
      <c r="DF3631" s="5" t="s">
        <v>240</v>
      </c>
      <c r="DG3631" s="7">
        <f>0</f>
        <v>0</v>
      </c>
      <c r="DI3631" s="5" t="s">
        <v>240</v>
      </c>
      <c r="DJ3631" s="5" t="s">
        <v>240</v>
      </c>
      <c r="DK3631" s="5" t="s">
        <v>240</v>
      </c>
      <c r="DL3631" s="5" t="s">
        <v>240</v>
      </c>
      <c r="DM3631" s="5" t="s">
        <v>240</v>
      </c>
      <c r="DN3631" s="5" t="s">
        <v>240</v>
      </c>
      <c r="DO3631" s="7" t="s">
        <v>240</v>
      </c>
      <c r="DP3631" s="5" t="s">
        <v>240</v>
      </c>
      <c r="DQ3631" s="5" t="s">
        <v>240</v>
      </c>
      <c r="DR3631" s="5" t="s">
        <v>731</v>
      </c>
      <c r="DS3631" s="5" t="s">
        <v>731</v>
      </c>
      <c r="DT3631" s="5" t="s">
        <v>240</v>
      </c>
      <c r="DU3631" s="5" t="s">
        <v>240</v>
      </c>
      <c r="DV3631" s="5" t="s">
        <v>3683</v>
      </c>
      <c r="DW3631" s="5" t="s">
        <v>695</v>
      </c>
      <c r="DX3631" s="5" t="s">
        <v>240</v>
      </c>
      <c r="DY3631" s="5" t="s">
        <v>240</v>
      </c>
      <c r="DZ3631" s="5" t="s">
        <v>240</v>
      </c>
      <c r="EA3631" s="5" t="s">
        <v>240</v>
      </c>
      <c r="EB3631" s="5" t="s">
        <v>240</v>
      </c>
      <c r="EC3631" s="5" t="s">
        <v>240</v>
      </c>
      <c r="ED3631" s="5" t="s">
        <v>240</v>
      </c>
      <c r="EE3631" s="5" t="s">
        <v>240</v>
      </c>
      <c r="EF3631" s="5" t="s">
        <v>240</v>
      </c>
      <c r="EG3631" s="5" t="s">
        <v>240</v>
      </c>
      <c r="EH3631" s="5" t="s">
        <v>240</v>
      </c>
      <c r="EI3631" s="5" t="s">
        <v>240</v>
      </c>
      <c r="EJ3631" s="5" t="s">
        <v>240</v>
      </c>
      <c r="EK3631" s="5" t="s">
        <v>240</v>
      </c>
      <c r="EL3631" s="5" t="s">
        <v>240</v>
      </c>
      <c r="EM3631" s="5" t="s">
        <v>240</v>
      </c>
      <c r="EN3631" s="5" t="s">
        <v>240</v>
      </c>
      <c r="EO3631" s="5" t="s">
        <v>240</v>
      </c>
      <c r="EP3631" s="5" t="s">
        <v>240</v>
      </c>
      <c r="EQ3631" s="5" t="s">
        <v>240</v>
      </c>
      <c r="ER3631" s="5" t="s">
        <v>240</v>
      </c>
      <c r="ES3631" s="5" t="s">
        <v>240</v>
      </c>
      <c r="ET3631" s="5" t="s">
        <v>240</v>
      </c>
      <c r="EU3631" s="5" t="s">
        <v>240</v>
      </c>
      <c r="EV3631" s="5" t="s">
        <v>240</v>
      </c>
      <c r="EW3631" s="5" t="s">
        <v>240</v>
      </c>
      <c r="EX3631" s="5" t="s">
        <v>240</v>
      </c>
      <c r="EY3631" s="5" t="s">
        <v>240</v>
      </c>
      <c r="EZ3631" s="5" t="s">
        <v>240</v>
      </c>
      <c r="FA3631" s="5" t="s">
        <v>240</v>
      </c>
      <c r="FB3631" s="5" t="s">
        <v>240</v>
      </c>
      <c r="FC3631" s="5" t="s">
        <v>240</v>
      </c>
      <c r="FD3631" s="5" t="s">
        <v>240</v>
      </c>
      <c r="FE3631" s="5" t="s">
        <v>240</v>
      </c>
      <c r="FF3631" s="5" t="s">
        <v>240</v>
      </c>
      <c r="FG3631" s="5" t="s">
        <v>240</v>
      </c>
      <c r="FH3631" s="5" t="s">
        <v>240</v>
      </c>
      <c r="FI3631" s="5" t="s">
        <v>240</v>
      </c>
      <c r="FJ3631" s="5" t="s">
        <v>240</v>
      </c>
      <c r="FK3631" s="5" t="s">
        <v>240</v>
      </c>
      <c r="FL3631" s="5" t="s">
        <v>240</v>
      </c>
      <c r="FM3631" s="5" t="s">
        <v>240</v>
      </c>
      <c r="FN3631" s="5" t="s">
        <v>240</v>
      </c>
      <c r="FO3631" s="5" t="s">
        <v>240</v>
      </c>
      <c r="FP3631" s="5" t="s">
        <v>240</v>
      </c>
      <c r="FQ3631" s="5" t="s">
        <v>240</v>
      </c>
      <c r="FR3631" s="5" t="s">
        <v>240</v>
      </c>
      <c r="FS3631" s="5" t="s">
        <v>240</v>
      </c>
      <c r="FT3631" s="5" t="s">
        <v>240</v>
      </c>
      <c r="FU3631" s="5" t="s">
        <v>240</v>
      </c>
      <c r="FV3631" s="5" t="s">
        <v>240</v>
      </c>
      <c r="FW3631" s="5" t="s">
        <v>240</v>
      </c>
      <c r="FX3631" s="5" t="s">
        <v>240</v>
      </c>
      <c r="FY3631" s="5" t="s">
        <v>240</v>
      </c>
      <c r="FZ3631" s="5" t="s">
        <v>240</v>
      </c>
      <c r="GA3631" s="5" t="s">
        <v>240</v>
      </c>
      <c r="GB3631" s="5" t="s">
        <v>240</v>
      </c>
      <c r="GC3631" s="5" t="s">
        <v>240</v>
      </c>
      <c r="GD3631" s="5" t="s">
        <v>240</v>
      </c>
      <c r="GE3631" s="5" t="s">
        <v>240</v>
      </c>
      <c r="GF3631" s="5" t="s">
        <v>240</v>
      </c>
      <c r="GG3631" s="5" t="s">
        <v>240</v>
      </c>
      <c r="GH3631" s="5" t="s">
        <v>240</v>
      </c>
      <c r="GI3631" s="5" t="s">
        <v>240</v>
      </c>
      <c r="GJ3631" s="5" t="s">
        <v>240</v>
      </c>
      <c r="GK3631" s="5" t="s">
        <v>240</v>
      </c>
      <c r="GL3631" s="5" t="s">
        <v>240</v>
      </c>
      <c r="GM3631" s="5" t="s">
        <v>240</v>
      </c>
      <c r="GN3631" s="5" t="s">
        <v>240</v>
      </c>
      <c r="GO3631" s="5" t="s">
        <v>240</v>
      </c>
      <c r="GP3631" s="5" t="s">
        <v>240</v>
      </c>
      <c r="GQ3631" s="5" t="s">
        <v>240</v>
      </c>
      <c r="GR3631" s="5" t="s">
        <v>240</v>
      </c>
      <c r="GS3631" s="5" t="s">
        <v>240</v>
      </c>
      <c r="GT3631" s="5" t="s">
        <v>240</v>
      </c>
      <c r="GU3631" s="5" t="s">
        <v>240</v>
      </c>
      <c r="GV3631" s="5" t="s">
        <v>240</v>
      </c>
      <c r="GW3631" s="5" t="s">
        <v>240</v>
      </c>
      <c r="GX3631" s="5" t="s">
        <v>240</v>
      </c>
      <c r="GY3631" s="5" t="s">
        <v>240</v>
      </c>
      <c r="GZ3631" s="5" t="s">
        <v>240</v>
      </c>
      <c r="HA3631" s="5" t="s">
        <v>240</v>
      </c>
      <c r="HB3631" s="5" t="s">
        <v>240</v>
      </c>
      <c r="HC3631" s="5" t="s">
        <v>240</v>
      </c>
      <c r="HD3631" s="5" t="s">
        <v>240</v>
      </c>
      <c r="HE3631" s="5" t="s">
        <v>240</v>
      </c>
      <c r="HF3631" s="5" t="s">
        <v>240</v>
      </c>
      <c r="HG3631" s="5" t="s">
        <v>240</v>
      </c>
      <c r="HH3631" s="5" t="s">
        <v>240</v>
      </c>
      <c r="HI3631" s="5" t="s">
        <v>240</v>
      </c>
      <c r="HJ3631" s="5" t="s">
        <v>240</v>
      </c>
      <c r="HK3631" s="5" t="s">
        <v>240</v>
      </c>
      <c r="HL3631" s="5" t="s">
        <v>240</v>
      </c>
      <c r="HM3631" s="5" t="s">
        <v>240</v>
      </c>
      <c r="HN3631" s="5" t="s">
        <v>240</v>
      </c>
      <c r="HO3631" s="5" t="s">
        <v>312</v>
      </c>
      <c r="HP3631" s="5" t="s">
        <v>240</v>
      </c>
      <c r="HQ3631" s="5" t="s">
        <v>240</v>
      </c>
      <c r="HR3631" s="5" t="s">
        <v>240</v>
      </c>
      <c r="HS3631" s="5" t="s">
        <v>240</v>
      </c>
      <c r="HT3631" s="5" t="s">
        <v>240</v>
      </c>
      <c r="HU3631" s="5" t="s">
        <v>240</v>
      </c>
      <c r="HV3631" s="5" t="s">
        <v>240</v>
      </c>
      <c r="HW3631" s="5" t="s">
        <v>240</v>
      </c>
      <c r="HX3631" s="5" t="s">
        <v>240</v>
      </c>
      <c r="HY3631" s="5" t="s">
        <v>240</v>
      </c>
      <c r="HZ3631" s="5" t="s">
        <v>240</v>
      </c>
      <c r="IA3631" s="5" t="s">
        <v>240</v>
      </c>
      <c r="IB3631" s="5" t="s">
        <v>240</v>
      </c>
      <c r="IC3631" s="5" t="s">
        <v>240</v>
      </c>
      <c r="ID3631" s="5" t="s">
        <v>240</v>
      </c>
      <c r="IE3631" s="5" t="s">
        <v>240</v>
      </c>
      <c r="IF3631" s="5" t="s">
        <v>240</v>
      </c>
    </row>
    <row r="3632" spans="1:240" x14ac:dyDescent="0.4">
      <c r="A3632" s="5">
        <v>9174</v>
      </c>
      <c r="B3632" s="5">
        <v>1</v>
      </c>
      <c r="C3632" s="5">
        <v>1</v>
      </c>
      <c r="D3632" s="5" t="s">
        <v>723</v>
      </c>
      <c r="E3632" s="5" t="s">
        <v>725</v>
      </c>
      <c r="F3632" s="5" t="s">
        <v>254</v>
      </c>
      <c r="G3632" s="5" t="s">
        <v>5325</v>
      </c>
      <c r="H3632" s="6" t="s">
        <v>5691</v>
      </c>
      <c r="I3632" s="5" t="s">
        <v>5691</v>
      </c>
      <c r="J3632" s="7">
        <f>1</f>
        <v>1</v>
      </c>
      <c r="K3632" s="5" t="s">
        <v>3682</v>
      </c>
      <c r="L3632" s="7">
        <f>1</f>
        <v>1</v>
      </c>
      <c r="M3632" s="7">
        <f>1</f>
        <v>1</v>
      </c>
      <c r="N3632" s="5" t="s">
        <v>242</v>
      </c>
      <c r="O3632" s="5">
        <v>1</v>
      </c>
      <c r="P3632" s="5" t="s">
        <v>294</v>
      </c>
      <c r="Q3632" s="5" t="s">
        <v>3678</v>
      </c>
      <c r="R3632" s="5" t="s">
        <v>240</v>
      </c>
      <c r="S3632" s="5" t="s">
        <v>240</v>
      </c>
      <c r="T3632" s="5" t="s">
        <v>243</v>
      </c>
      <c r="U3632" s="5" t="s">
        <v>244</v>
      </c>
      <c r="V3632" s="5" t="s">
        <v>240</v>
      </c>
      <c r="W3632" s="5" t="s">
        <v>240</v>
      </c>
      <c r="X3632" s="5" t="s">
        <v>240</v>
      </c>
      <c r="Y3632" s="5" t="s">
        <v>240</v>
      </c>
      <c r="Z3632" s="6" t="s">
        <v>298</v>
      </c>
      <c r="AA3632" s="6" t="s">
        <v>240</v>
      </c>
      <c r="AB3632" s="6" t="s">
        <v>240</v>
      </c>
      <c r="AC3632" s="5" t="s">
        <v>240</v>
      </c>
      <c r="AD3632" s="6" t="s">
        <v>240</v>
      </c>
      <c r="AE3632" s="6" t="s">
        <v>299</v>
      </c>
      <c r="AF3632" s="5" t="s">
        <v>248</v>
      </c>
      <c r="AG3632" s="5" t="s">
        <v>249</v>
      </c>
      <c r="AH3632" s="5" t="s">
        <v>240</v>
      </c>
      <c r="AI3632" s="5" t="s">
        <v>240</v>
      </c>
      <c r="AJ3632" s="5" t="s">
        <v>240</v>
      </c>
      <c r="AK3632" s="5" t="s">
        <v>240</v>
      </c>
      <c r="AL3632" s="5" t="s">
        <v>240</v>
      </c>
      <c r="AM3632" s="5" t="s">
        <v>240</v>
      </c>
      <c r="AN3632" s="5" t="s">
        <v>240</v>
      </c>
      <c r="AO3632" s="5" t="s">
        <v>240</v>
      </c>
      <c r="AP3632" s="6" t="s">
        <v>240</v>
      </c>
      <c r="AQ3632" s="6" t="s">
        <v>240</v>
      </c>
      <c r="AR3632" s="6" t="s">
        <v>240</v>
      </c>
      <c r="AS3632" s="6" t="s">
        <v>240</v>
      </c>
      <c r="AT3632" s="5" t="s">
        <v>240</v>
      </c>
      <c r="AU3632" s="5" t="s">
        <v>729</v>
      </c>
      <c r="AV3632" s="5" t="s">
        <v>729</v>
      </c>
      <c r="AW3632" s="5" t="s">
        <v>251</v>
      </c>
      <c r="AX3632" s="5" t="s">
        <v>252</v>
      </c>
      <c r="AY3632" s="5" t="s">
        <v>253</v>
      </c>
      <c r="AZ3632" s="5" t="s">
        <v>240</v>
      </c>
      <c r="BA3632" s="5" t="s">
        <v>255</v>
      </c>
      <c r="BB3632" s="5" t="s">
        <v>731</v>
      </c>
      <c r="BD3632" s="5" t="s">
        <v>240</v>
      </c>
      <c r="BF3632" s="5" t="s">
        <v>732</v>
      </c>
      <c r="BG3632" s="6" t="s">
        <v>733</v>
      </c>
      <c r="BH3632" s="5" t="s">
        <v>734</v>
      </c>
      <c r="BI3632" s="5" t="s">
        <v>734</v>
      </c>
      <c r="BJ3632" s="5" t="s">
        <v>240</v>
      </c>
      <c r="BK3632" s="7">
        <f>1</f>
        <v>1</v>
      </c>
      <c r="BL3632" s="7">
        <f>1</f>
        <v>1</v>
      </c>
      <c r="BM3632" s="5" t="s">
        <v>258</v>
      </c>
      <c r="BN3632" s="5" t="s">
        <v>259</v>
      </c>
      <c r="BO3632" s="5" t="s">
        <v>240</v>
      </c>
      <c r="BP3632" s="5" t="s">
        <v>240</v>
      </c>
      <c r="BQ3632" s="5" t="s">
        <v>240</v>
      </c>
      <c r="BR3632" s="5" t="s">
        <v>240</v>
      </c>
      <c r="BS3632" s="5" t="s">
        <v>240</v>
      </c>
      <c r="BT3632" s="5" t="s">
        <v>240</v>
      </c>
      <c r="BU3632" s="5" t="s">
        <v>240</v>
      </c>
      <c r="BV3632" s="5" t="s">
        <v>240</v>
      </c>
      <c r="BW3632" s="6" t="s">
        <v>240</v>
      </c>
      <c r="BX3632" s="5" t="s">
        <v>240</v>
      </c>
      <c r="BY3632" s="5" t="s">
        <v>240</v>
      </c>
      <c r="BZ3632" s="5" t="s">
        <v>240</v>
      </c>
      <c r="CA3632" s="5" t="s">
        <v>259</v>
      </c>
      <c r="CB3632" s="5" t="s">
        <v>240</v>
      </c>
      <c r="CC3632" s="5" t="s">
        <v>240</v>
      </c>
      <c r="CD3632" s="5" t="s">
        <v>240</v>
      </c>
      <c r="CE3632" s="5" t="s">
        <v>240</v>
      </c>
      <c r="CF3632" s="5" t="s">
        <v>240</v>
      </c>
      <c r="CG3632" s="5" t="s">
        <v>304</v>
      </c>
      <c r="CH3632" s="5" t="s">
        <v>305</v>
      </c>
      <c r="CI3632" s="5" t="s">
        <v>240</v>
      </c>
      <c r="CK3632" s="5" t="s">
        <v>3681</v>
      </c>
      <c r="CL3632" s="6" t="s">
        <v>261</v>
      </c>
      <c r="CM3632" s="5" t="s">
        <v>262</v>
      </c>
      <c r="CN3632" s="5" t="s">
        <v>263</v>
      </c>
      <c r="CO3632" s="5" t="s">
        <v>264</v>
      </c>
      <c r="CP3632" s="5" t="s">
        <v>240</v>
      </c>
      <c r="CQ3632" s="5">
        <v>0</v>
      </c>
      <c r="CR3632" s="5" t="s">
        <v>735</v>
      </c>
      <c r="CS3632" s="5" t="s">
        <v>307</v>
      </c>
      <c r="CT3632" s="5" t="s">
        <v>307</v>
      </c>
      <c r="CU3632" s="5" t="s">
        <v>260</v>
      </c>
      <c r="CV3632" s="5" t="s">
        <v>612</v>
      </c>
      <c r="CW3632" s="8">
        <f>1</f>
        <v>1</v>
      </c>
      <c r="CX3632" s="7">
        <f>1</f>
        <v>1</v>
      </c>
      <c r="CY3632" s="7">
        <f>0</f>
        <v>0</v>
      </c>
      <c r="DA3632" s="7">
        <f>1</f>
        <v>1</v>
      </c>
      <c r="DB3632" s="7" t="s">
        <v>240</v>
      </c>
      <c r="DC3632" s="5" t="s">
        <v>240</v>
      </c>
      <c r="DD3632" s="5" t="s">
        <v>240</v>
      </c>
      <c r="DE3632" s="5" t="s">
        <v>240</v>
      </c>
      <c r="DF3632" s="5" t="s">
        <v>240</v>
      </c>
      <c r="DG3632" s="7">
        <f>0</f>
        <v>0</v>
      </c>
      <c r="DI3632" s="5" t="s">
        <v>240</v>
      </c>
      <c r="DJ3632" s="5" t="s">
        <v>240</v>
      </c>
      <c r="DK3632" s="5" t="s">
        <v>240</v>
      </c>
      <c r="DL3632" s="5" t="s">
        <v>240</v>
      </c>
      <c r="DM3632" s="5" t="s">
        <v>240</v>
      </c>
      <c r="DN3632" s="5" t="s">
        <v>240</v>
      </c>
      <c r="DO3632" s="7" t="s">
        <v>240</v>
      </c>
      <c r="DP3632" s="5" t="s">
        <v>240</v>
      </c>
      <c r="DQ3632" s="5" t="s">
        <v>240</v>
      </c>
      <c r="DR3632" s="5" t="s">
        <v>731</v>
      </c>
      <c r="DS3632" s="5" t="s">
        <v>731</v>
      </c>
      <c r="DT3632" s="5" t="s">
        <v>240</v>
      </c>
      <c r="DU3632" s="5" t="s">
        <v>240</v>
      </c>
      <c r="DV3632" s="5" t="s">
        <v>3683</v>
      </c>
      <c r="DW3632" s="5" t="s">
        <v>390</v>
      </c>
      <c r="DX3632" s="5" t="s">
        <v>240</v>
      </c>
      <c r="DY3632" s="5" t="s">
        <v>240</v>
      </c>
      <c r="DZ3632" s="5" t="s">
        <v>240</v>
      </c>
      <c r="EA3632" s="5" t="s">
        <v>240</v>
      </c>
      <c r="EB3632" s="5" t="s">
        <v>240</v>
      </c>
      <c r="EC3632" s="5" t="s">
        <v>240</v>
      </c>
      <c r="ED3632" s="5" t="s">
        <v>240</v>
      </c>
      <c r="EE3632" s="5" t="s">
        <v>240</v>
      </c>
      <c r="EF3632" s="5" t="s">
        <v>240</v>
      </c>
      <c r="EG3632" s="5" t="s">
        <v>240</v>
      </c>
      <c r="EH3632" s="5" t="s">
        <v>240</v>
      </c>
      <c r="EI3632" s="5" t="s">
        <v>240</v>
      </c>
      <c r="EJ3632" s="5" t="s">
        <v>240</v>
      </c>
      <c r="EK3632" s="5" t="s">
        <v>240</v>
      </c>
      <c r="EL3632" s="5" t="s">
        <v>240</v>
      </c>
      <c r="EM3632" s="5" t="s">
        <v>240</v>
      </c>
      <c r="EN3632" s="5" t="s">
        <v>240</v>
      </c>
      <c r="EO3632" s="5" t="s">
        <v>240</v>
      </c>
      <c r="EP3632" s="5" t="s">
        <v>240</v>
      </c>
      <c r="EQ3632" s="5" t="s">
        <v>240</v>
      </c>
      <c r="ER3632" s="5" t="s">
        <v>240</v>
      </c>
      <c r="ES3632" s="5" t="s">
        <v>240</v>
      </c>
      <c r="ET3632" s="5" t="s">
        <v>240</v>
      </c>
      <c r="EU3632" s="5" t="s">
        <v>240</v>
      </c>
      <c r="EV3632" s="5" t="s">
        <v>240</v>
      </c>
      <c r="EW3632" s="5" t="s">
        <v>240</v>
      </c>
      <c r="EX3632" s="5" t="s">
        <v>240</v>
      </c>
      <c r="EY3632" s="5" t="s">
        <v>240</v>
      </c>
      <c r="EZ3632" s="5" t="s">
        <v>240</v>
      </c>
      <c r="FA3632" s="5" t="s">
        <v>240</v>
      </c>
      <c r="FB3632" s="5" t="s">
        <v>240</v>
      </c>
      <c r="FC3632" s="5" t="s">
        <v>240</v>
      </c>
      <c r="FD3632" s="5" t="s">
        <v>240</v>
      </c>
      <c r="FE3632" s="5" t="s">
        <v>240</v>
      </c>
      <c r="FF3632" s="5" t="s">
        <v>240</v>
      </c>
      <c r="FG3632" s="5" t="s">
        <v>240</v>
      </c>
      <c r="FH3632" s="5" t="s">
        <v>240</v>
      </c>
      <c r="FI3632" s="5" t="s">
        <v>240</v>
      </c>
      <c r="FJ3632" s="5" t="s">
        <v>240</v>
      </c>
      <c r="FK3632" s="5" t="s">
        <v>240</v>
      </c>
      <c r="FL3632" s="5" t="s">
        <v>240</v>
      </c>
      <c r="FM3632" s="5" t="s">
        <v>240</v>
      </c>
      <c r="FN3632" s="5" t="s">
        <v>240</v>
      </c>
      <c r="FO3632" s="5" t="s">
        <v>240</v>
      </c>
      <c r="FP3632" s="5" t="s">
        <v>240</v>
      </c>
      <c r="FQ3632" s="5" t="s">
        <v>240</v>
      </c>
      <c r="FR3632" s="5" t="s">
        <v>240</v>
      </c>
      <c r="FS3632" s="5" t="s">
        <v>240</v>
      </c>
      <c r="FT3632" s="5" t="s">
        <v>240</v>
      </c>
      <c r="FU3632" s="5" t="s">
        <v>240</v>
      </c>
      <c r="FV3632" s="5" t="s">
        <v>240</v>
      </c>
      <c r="FW3632" s="5" t="s">
        <v>240</v>
      </c>
      <c r="FX3632" s="5" t="s">
        <v>240</v>
      </c>
      <c r="FY3632" s="5" t="s">
        <v>240</v>
      </c>
      <c r="FZ3632" s="5" t="s">
        <v>240</v>
      </c>
      <c r="GA3632" s="5" t="s">
        <v>240</v>
      </c>
      <c r="GB3632" s="5" t="s">
        <v>240</v>
      </c>
      <c r="GC3632" s="5" t="s">
        <v>240</v>
      </c>
      <c r="GD3632" s="5" t="s">
        <v>240</v>
      </c>
      <c r="GE3632" s="5" t="s">
        <v>240</v>
      </c>
      <c r="GF3632" s="5" t="s">
        <v>240</v>
      </c>
      <c r="GG3632" s="5" t="s">
        <v>240</v>
      </c>
      <c r="GH3632" s="5" t="s">
        <v>240</v>
      </c>
      <c r="GI3632" s="5" t="s">
        <v>240</v>
      </c>
      <c r="GJ3632" s="5" t="s">
        <v>240</v>
      </c>
      <c r="GK3632" s="5" t="s">
        <v>240</v>
      </c>
      <c r="GL3632" s="5" t="s">
        <v>240</v>
      </c>
      <c r="GM3632" s="5" t="s">
        <v>240</v>
      </c>
      <c r="GN3632" s="5" t="s">
        <v>240</v>
      </c>
      <c r="GO3632" s="5" t="s">
        <v>240</v>
      </c>
      <c r="GP3632" s="5" t="s">
        <v>240</v>
      </c>
      <c r="GQ3632" s="5" t="s">
        <v>240</v>
      </c>
      <c r="GR3632" s="5" t="s">
        <v>240</v>
      </c>
      <c r="GS3632" s="5" t="s">
        <v>240</v>
      </c>
      <c r="GT3632" s="5" t="s">
        <v>240</v>
      </c>
      <c r="GU3632" s="5" t="s">
        <v>240</v>
      </c>
      <c r="GV3632" s="5" t="s">
        <v>240</v>
      </c>
      <c r="GW3632" s="5" t="s">
        <v>240</v>
      </c>
      <c r="GX3632" s="5" t="s">
        <v>240</v>
      </c>
      <c r="GY3632" s="5" t="s">
        <v>240</v>
      </c>
      <c r="GZ3632" s="5" t="s">
        <v>240</v>
      </c>
      <c r="HA3632" s="5" t="s">
        <v>240</v>
      </c>
      <c r="HB3632" s="5" t="s">
        <v>240</v>
      </c>
      <c r="HC3632" s="5" t="s">
        <v>240</v>
      </c>
      <c r="HD3632" s="5" t="s">
        <v>240</v>
      </c>
      <c r="HE3632" s="5" t="s">
        <v>240</v>
      </c>
      <c r="HF3632" s="5" t="s">
        <v>240</v>
      </c>
      <c r="HG3632" s="5" t="s">
        <v>240</v>
      </c>
      <c r="HH3632" s="5" t="s">
        <v>240</v>
      </c>
      <c r="HI3632" s="5" t="s">
        <v>240</v>
      </c>
      <c r="HJ3632" s="5" t="s">
        <v>240</v>
      </c>
      <c r="HK3632" s="5" t="s">
        <v>240</v>
      </c>
      <c r="HL3632" s="5" t="s">
        <v>240</v>
      </c>
      <c r="HM3632" s="5" t="s">
        <v>240</v>
      </c>
      <c r="HN3632" s="5" t="s">
        <v>240</v>
      </c>
      <c r="HO3632" s="5" t="s">
        <v>312</v>
      </c>
      <c r="HP3632" s="5" t="s">
        <v>240</v>
      </c>
      <c r="HQ3632" s="5" t="s">
        <v>240</v>
      </c>
      <c r="HR3632" s="5" t="s">
        <v>240</v>
      </c>
      <c r="HS3632" s="5" t="s">
        <v>240</v>
      </c>
      <c r="HT3632" s="5" t="s">
        <v>240</v>
      </c>
      <c r="HU3632" s="5" t="s">
        <v>240</v>
      </c>
      <c r="HV3632" s="5" t="s">
        <v>240</v>
      </c>
      <c r="HW3632" s="5" t="s">
        <v>240</v>
      </c>
      <c r="HX3632" s="5" t="s">
        <v>240</v>
      </c>
      <c r="HY3632" s="5" t="s">
        <v>240</v>
      </c>
      <c r="HZ3632" s="5" t="s">
        <v>240</v>
      </c>
      <c r="IA3632" s="5" t="s">
        <v>240</v>
      </c>
      <c r="IB3632" s="5" t="s">
        <v>240</v>
      </c>
      <c r="IC3632" s="5" t="s">
        <v>240</v>
      </c>
      <c r="ID3632" s="5" t="s">
        <v>240</v>
      </c>
      <c r="IE3632" s="5" t="s">
        <v>240</v>
      </c>
      <c r="IF3632" s="5" t="s">
        <v>240</v>
      </c>
    </row>
    <row r="3633" spans="1:240" x14ac:dyDescent="0.4">
      <c r="A3633" s="5">
        <v>9175</v>
      </c>
      <c r="B3633" s="5">
        <v>1</v>
      </c>
      <c r="C3633" s="5">
        <v>1</v>
      </c>
      <c r="D3633" s="5" t="s">
        <v>723</v>
      </c>
      <c r="E3633" s="5" t="s">
        <v>725</v>
      </c>
      <c r="F3633" s="5" t="s">
        <v>254</v>
      </c>
      <c r="G3633" s="5" t="s">
        <v>5854</v>
      </c>
      <c r="H3633" s="6" t="s">
        <v>5853</v>
      </c>
      <c r="I3633" s="5" t="s">
        <v>5853</v>
      </c>
      <c r="J3633" s="7">
        <f>1</f>
        <v>1</v>
      </c>
      <c r="K3633" s="5" t="s">
        <v>3682</v>
      </c>
      <c r="L3633" s="7">
        <f>1</f>
        <v>1</v>
      </c>
      <c r="M3633" s="7">
        <f>1</f>
        <v>1</v>
      </c>
      <c r="N3633" s="5" t="s">
        <v>242</v>
      </c>
      <c r="O3633" s="5">
        <v>1</v>
      </c>
      <c r="P3633" s="5" t="s">
        <v>294</v>
      </c>
      <c r="Q3633" s="5" t="s">
        <v>3678</v>
      </c>
      <c r="R3633" s="5" t="s">
        <v>240</v>
      </c>
      <c r="S3633" s="5" t="s">
        <v>240</v>
      </c>
      <c r="T3633" s="5" t="s">
        <v>243</v>
      </c>
      <c r="U3633" s="5" t="s">
        <v>244</v>
      </c>
      <c r="V3633" s="5" t="s">
        <v>240</v>
      </c>
      <c r="W3633" s="5" t="s">
        <v>240</v>
      </c>
      <c r="X3633" s="5" t="s">
        <v>240</v>
      </c>
      <c r="Y3633" s="5" t="s">
        <v>240</v>
      </c>
      <c r="Z3633" s="6" t="s">
        <v>298</v>
      </c>
      <c r="AA3633" s="6" t="s">
        <v>240</v>
      </c>
      <c r="AB3633" s="6" t="s">
        <v>240</v>
      </c>
      <c r="AC3633" s="5" t="s">
        <v>240</v>
      </c>
      <c r="AD3633" s="6" t="s">
        <v>240</v>
      </c>
      <c r="AE3633" s="6" t="s">
        <v>299</v>
      </c>
      <c r="AF3633" s="5" t="s">
        <v>248</v>
      </c>
      <c r="AG3633" s="5" t="s">
        <v>249</v>
      </c>
      <c r="AH3633" s="5" t="s">
        <v>240</v>
      </c>
      <c r="AI3633" s="5" t="s">
        <v>240</v>
      </c>
      <c r="AJ3633" s="5" t="s">
        <v>240</v>
      </c>
      <c r="AK3633" s="5" t="s">
        <v>240</v>
      </c>
      <c r="AL3633" s="5" t="s">
        <v>240</v>
      </c>
      <c r="AM3633" s="5" t="s">
        <v>240</v>
      </c>
      <c r="AN3633" s="5" t="s">
        <v>240</v>
      </c>
      <c r="AO3633" s="5" t="s">
        <v>240</v>
      </c>
      <c r="AP3633" s="6" t="s">
        <v>240</v>
      </c>
      <c r="AQ3633" s="6" t="s">
        <v>240</v>
      </c>
      <c r="AR3633" s="6" t="s">
        <v>240</v>
      </c>
      <c r="AS3633" s="6" t="s">
        <v>240</v>
      </c>
      <c r="AT3633" s="5" t="s">
        <v>240</v>
      </c>
      <c r="AU3633" s="5" t="s">
        <v>729</v>
      </c>
      <c r="AV3633" s="5" t="s">
        <v>729</v>
      </c>
      <c r="AW3633" s="5" t="s">
        <v>251</v>
      </c>
      <c r="AX3633" s="5" t="s">
        <v>252</v>
      </c>
      <c r="AY3633" s="5" t="s">
        <v>253</v>
      </c>
      <c r="AZ3633" s="5" t="s">
        <v>240</v>
      </c>
      <c r="BA3633" s="5" t="s">
        <v>255</v>
      </c>
      <c r="BB3633" s="5" t="s">
        <v>731</v>
      </c>
      <c r="BD3633" s="5" t="s">
        <v>240</v>
      </c>
      <c r="BF3633" s="5" t="s">
        <v>732</v>
      </c>
      <c r="BG3633" s="6" t="s">
        <v>733</v>
      </c>
      <c r="BH3633" s="5" t="s">
        <v>734</v>
      </c>
      <c r="BI3633" s="5" t="s">
        <v>734</v>
      </c>
      <c r="BJ3633" s="5" t="s">
        <v>240</v>
      </c>
      <c r="BK3633" s="7">
        <f>1</f>
        <v>1</v>
      </c>
      <c r="BL3633" s="7">
        <f>1</f>
        <v>1</v>
      </c>
      <c r="BM3633" s="5" t="s">
        <v>258</v>
      </c>
      <c r="BN3633" s="5" t="s">
        <v>259</v>
      </c>
      <c r="BO3633" s="5" t="s">
        <v>240</v>
      </c>
      <c r="BP3633" s="5" t="s">
        <v>240</v>
      </c>
      <c r="BQ3633" s="5" t="s">
        <v>240</v>
      </c>
      <c r="BR3633" s="5" t="s">
        <v>240</v>
      </c>
      <c r="BS3633" s="5" t="s">
        <v>240</v>
      </c>
      <c r="BT3633" s="5" t="s">
        <v>240</v>
      </c>
      <c r="BU3633" s="5" t="s">
        <v>240</v>
      </c>
      <c r="BV3633" s="5" t="s">
        <v>240</v>
      </c>
      <c r="BW3633" s="6" t="s">
        <v>240</v>
      </c>
      <c r="BX3633" s="5" t="s">
        <v>240</v>
      </c>
      <c r="BY3633" s="5" t="s">
        <v>240</v>
      </c>
      <c r="BZ3633" s="5" t="s">
        <v>240</v>
      </c>
      <c r="CA3633" s="5" t="s">
        <v>259</v>
      </c>
      <c r="CB3633" s="5" t="s">
        <v>240</v>
      </c>
      <c r="CC3633" s="5" t="s">
        <v>240</v>
      </c>
      <c r="CD3633" s="5" t="s">
        <v>240</v>
      </c>
      <c r="CE3633" s="5" t="s">
        <v>240</v>
      </c>
      <c r="CF3633" s="5" t="s">
        <v>240</v>
      </c>
      <c r="CG3633" s="5" t="s">
        <v>304</v>
      </c>
      <c r="CH3633" s="5" t="s">
        <v>305</v>
      </c>
      <c r="CI3633" s="5" t="s">
        <v>240</v>
      </c>
      <c r="CK3633" s="5" t="s">
        <v>3681</v>
      </c>
      <c r="CL3633" s="6" t="s">
        <v>261</v>
      </c>
      <c r="CM3633" s="5" t="s">
        <v>262</v>
      </c>
      <c r="CN3633" s="5" t="s">
        <v>263</v>
      </c>
      <c r="CO3633" s="5" t="s">
        <v>264</v>
      </c>
      <c r="CP3633" s="5" t="s">
        <v>240</v>
      </c>
      <c r="CQ3633" s="5">
        <v>0</v>
      </c>
      <c r="CR3633" s="5" t="s">
        <v>735</v>
      </c>
      <c r="CS3633" s="5" t="s">
        <v>307</v>
      </c>
      <c r="CT3633" s="5" t="s">
        <v>307</v>
      </c>
      <c r="CU3633" s="5" t="s">
        <v>260</v>
      </c>
      <c r="CV3633" s="5" t="s">
        <v>612</v>
      </c>
      <c r="CW3633" s="8">
        <f>1</f>
        <v>1</v>
      </c>
      <c r="CX3633" s="7">
        <f>1</f>
        <v>1</v>
      </c>
      <c r="CY3633" s="7">
        <f>0</f>
        <v>0</v>
      </c>
      <c r="DA3633" s="7">
        <f>1</f>
        <v>1</v>
      </c>
      <c r="DB3633" s="7" t="s">
        <v>240</v>
      </c>
      <c r="DC3633" s="5" t="s">
        <v>240</v>
      </c>
      <c r="DD3633" s="5" t="s">
        <v>240</v>
      </c>
      <c r="DE3633" s="5" t="s">
        <v>240</v>
      </c>
      <c r="DF3633" s="5" t="s">
        <v>240</v>
      </c>
      <c r="DG3633" s="7">
        <f>0</f>
        <v>0</v>
      </c>
      <c r="DI3633" s="5" t="s">
        <v>240</v>
      </c>
      <c r="DJ3633" s="5" t="s">
        <v>240</v>
      </c>
      <c r="DK3633" s="5" t="s">
        <v>240</v>
      </c>
      <c r="DL3633" s="5" t="s">
        <v>240</v>
      </c>
      <c r="DM3633" s="5" t="s">
        <v>240</v>
      </c>
      <c r="DN3633" s="5" t="s">
        <v>240</v>
      </c>
      <c r="DO3633" s="7" t="s">
        <v>240</v>
      </c>
      <c r="DP3633" s="5" t="s">
        <v>240</v>
      </c>
      <c r="DQ3633" s="5" t="s">
        <v>240</v>
      </c>
      <c r="DR3633" s="5" t="s">
        <v>731</v>
      </c>
      <c r="DS3633" s="5" t="s">
        <v>731</v>
      </c>
      <c r="DT3633" s="5" t="s">
        <v>240</v>
      </c>
      <c r="DU3633" s="5" t="s">
        <v>240</v>
      </c>
      <c r="DV3633" s="5" t="s">
        <v>3683</v>
      </c>
      <c r="DW3633" s="5" t="s">
        <v>1038</v>
      </c>
      <c r="DX3633" s="5" t="s">
        <v>240</v>
      </c>
      <c r="DY3633" s="5" t="s">
        <v>240</v>
      </c>
      <c r="DZ3633" s="5" t="s">
        <v>240</v>
      </c>
      <c r="EA3633" s="5" t="s">
        <v>240</v>
      </c>
      <c r="EB3633" s="5" t="s">
        <v>240</v>
      </c>
      <c r="EC3633" s="5" t="s">
        <v>240</v>
      </c>
      <c r="ED3633" s="5" t="s">
        <v>240</v>
      </c>
      <c r="EE3633" s="5" t="s">
        <v>240</v>
      </c>
      <c r="EF3633" s="5" t="s">
        <v>240</v>
      </c>
      <c r="EG3633" s="5" t="s">
        <v>240</v>
      </c>
      <c r="EH3633" s="5" t="s">
        <v>240</v>
      </c>
      <c r="EI3633" s="5" t="s">
        <v>240</v>
      </c>
      <c r="EJ3633" s="5" t="s">
        <v>240</v>
      </c>
      <c r="EK3633" s="5" t="s">
        <v>240</v>
      </c>
      <c r="EL3633" s="5" t="s">
        <v>240</v>
      </c>
      <c r="EM3633" s="5" t="s">
        <v>240</v>
      </c>
      <c r="EN3633" s="5" t="s">
        <v>240</v>
      </c>
      <c r="EO3633" s="5" t="s">
        <v>240</v>
      </c>
      <c r="EP3633" s="5" t="s">
        <v>240</v>
      </c>
      <c r="EQ3633" s="5" t="s">
        <v>240</v>
      </c>
      <c r="ER3633" s="5" t="s">
        <v>240</v>
      </c>
      <c r="ES3633" s="5" t="s">
        <v>240</v>
      </c>
      <c r="ET3633" s="5" t="s">
        <v>240</v>
      </c>
      <c r="EU3633" s="5" t="s">
        <v>240</v>
      </c>
      <c r="EV3633" s="5" t="s">
        <v>240</v>
      </c>
      <c r="EW3633" s="5" t="s">
        <v>240</v>
      </c>
      <c r="EX3633" s="5" t="s">
        <v>240</v>
      </c>
      <c r="EY3633" s="5" t="s">
        <v>240</v>
      </c>
      <c r="EZ3633" s="5" t="s">
        <v>240</v>
      </c>
      <c r="FA3633" s="5" t="s">
        <v>240</v>
      </c>
      <c r="FB3633" s="5" t="s">
        <v>240</v>
      </c>
      <c r="FC3633" s="5" t="s">
        <v>240</v>
      </c>
      <c r="FD3633" s="5" t="s">
        <v>240</v>
      </c>
      <c r="FE3633" s="5" t="s">
        <v>240</v>
      </c>
      <c r="FF3633" s="5" t="s">
        <v>240</v>
      </c>
      <c r="FG3633" s="5" t="s">
        <v>240</v>
      </c>
      <c r="FH3633" s="5" t="s">
        <v>240</v>
      </c>
      <c r="FI3633" s="5" t="s">
        <v>240</v>
      </c>
      <c r="FJ3633" s="5" t="s">
        <v>240</v>
      </c>
      <c r="FK3633" s="5" t="s">
        <v>240</v>
      </c>
      <c r="FL3633" s="5" t="s">
        <v>240</v>
      </c>
      <c r="FM3633" s="5" t="s">
        <v>240</v>
      </c>
      <c r="FN3633" s="5" t="s">
        <v>240</v>
      </c>
      <c r="FO3633" s="5" t="s">
        <v>240</v>
      </c>
      <c r="FP3633" s="5" t="s">
        <v>240</v>
      </c>
      <c r="FQ3633" s="5" t="s">
        <v>240</v>
      </c>
      <c r="FR3633" s="5" t="s">
        <v>240</v>
      </c>
      <c r="FS3633" s="5" t="s">
        <v>240</v>
      </c>
      <c r="FT3633" s="5" t="s">
        <v>240</v>
      </c>
      <c r="FU3633" s="5" t="s">
        <v>240</v>
      </c>
      <c r="FV3633" s="5" t="s">
        <v>240</v>
      </c>
      <c r="FW3633" s="5" t="s">
        <v>240</v>
      </c>
      <c r="FX3633" s="5" t="s">
        <v>240</v>
      </c>
      <c r="FY3633" s="5" t="s">
        <v>240</v>
      </c>
      <c r="FZ3633" s="5" t="s">
        <v>240</v>
      </c>
      <c r="GA3633" s="5" t="s">
        <v>240</v>
      </c>
      <c r="GB3633" s="5" t="s">
        <v>240</v>
      </c>
      <c r="GC3633" s="5" t="s">
        <v>240</v>
      </c>
      <c r="GD3633" s="5" t="s">
        <v>240</v>
      </c>
      <c r="GE3633" s="5" t="s">
        <v>240</v>
      </c>
      <c r="GF3633" s="5" t="s">
        <v>240</v>
      </c>
      <c r="GG3633" s="5" t="s">
        <v>240</v>
      </c>
      <c r="GH3633" s="5" t="s">
        <v>240</v>
      </c>
      <c r="GI3633" s="5" t="s">
        <v>240</v>
      </c>
      <c r="GJ3633" s="5" t="s">
        <v>240</v>
      </c>
      <c r="GK3633" s="5" t="s">
        <v>240</v>
      </c>
      <c r="GL3633" s="5" t="s">
        <v>240</v>
      </c>
      <c r="GM3633" s="5" t="s">
        <v>240</v>
      </c>
      <c r="GN3633" s="5" t="s">
        <v>240</v>
      </c>
      <c r="GO3633" s="5" t="s">
        <v>240</v>
      </c>
      <c r="GP3633" s="5" t="s">
        <v>240</v>
      </c>
      <c r="GQ3633" s="5" t="s">
        <v>240</v>
      </c>
      <c r="GR3633" s="5" t="s">
        <v>240</v>
      </c>
      <c r="GS3633" s="5" t="s">
        <v>240</v>
      </c>
      <c r="GT3633" s="5" t="s">
        <v>240</v>
      </c>
      <c r="GU3633" s="5" t="s">
        <v>240</v>
      </c>
      <c r="GV3633" s="5" t="s">
        <v>240</v>
      </c>
      <c r="GW3633" s="5" t="s">
        <v>240</v>
      </c>
      <c r="GX3633" s="5" t="s">
        <v>240</v>
      </c>
      <c r="GY3633" s="5" t="s">
        <v>240</v>
      </c>
      <c r="GZ3633" s="5" t="s">
        <v>240</v>
      </c>
      <c r="HA3633" s="5" t="s">
        <v>240</v>
      </c>
      <c r="HB3633" s="5" t="s">
        <v>240</v>
      </c>
      <c r="HC3633" s="5" t="s">
        <v>240</v>
      </c>
      <c r="HD3633" s="5" t="s">
        <v>240</v>
      </c>
      <c r="HE3633" s="5" t="s">
        <v>240</v>
      </c>
      <c r="HF3633" s="5" t="s">
        <v>240</v>
      </c>
      <c r="HG3633" s="5" t="s">
        <v>240</v>
      </c>
      <c r="HH3633" s="5" t="s">
        <v>240</v>
      </c>
      <c r="HI3633" s="5" t="s">
        <v>240</v>
      </c>
      <c r="HJ3633" s="5" t="s">
        <v>240</v>
      </c>
      <c r="HK3633" s="5" t="s">
        <v>240</v>
      </c>
      <c r="HL3633" s="5" t="s">
        <v>240</v>
      </c>
      <c r="HM3633" s="5" t="s">
        <v>240</v>
      </c>
      <c r="HN3633" s="5" t="s">
        <v>240</v>
      </c>
      <c r="HO3633" s="5" t="s">
        <v>312</v>
      </c>
      <c r="HP3633" s="5" t="s">
        <v>240</v>
      </c>
      <c r="HQ3633" s="5" t="s">
        <v>240</v>
      </c>
      <c r="HR3633" s="5" t="s">
        <v>240</v>
      </c>
      <c r="HS3633" s="5" t="s">
        <v>240</v>
      </c>
      <c r="HT3633" s="5" t="s">
        <v>240</v>
      </c>
      <c r="HU3633" s="5" t="s">
        <v>240</v>
      </c>
      <c r="HV3633" s="5" t="s">
        <v>240</v>
      </c>
      <c r="HW3633" s="5" t="s">
        <v>240</v>
      </c>
      <c r="HX3633" s="5" t="s">
        <v>240</v>
      </c>
      <c r="HY3633" s="5" t="s">
        <v>240</v>
      </c>
      <c r="HZ3633" s="5" t="s">
        <v>240</v>
      </c>
      <c r="IA3633" s="5" t="s">
        <v>240</v>
      </c>
      <c r="IB3633" s="5" t="s">
        <v>240</v>
      </c>
      <c r="IC3633" s="5" t="s">
        <v>240</v>
      </c>
      <c r="ID3633" s="5" t="s">
        <v>240</v>
      </c>
      <c r="IE3633" s="5" t="s">
        <v>240</v>
      </c>
      <c r="IF3633" s="5" t="s">
        <v>240</v>
      </c>
    </row>
    <row r="3634" spans="1:240" x14ac:dyDescent="0.4">
      <c r="A3634" s="5">
        <v>9176</v>
      </c>
      <c r="B3634" s="5">
        <v>1</v>
      </c>
      <c r="C3634" s="5">
        <v>1</v>
      </c>
      <c r="D3634" s="5" t="s">
        <v>723</v>
      </c>
      <c r="E3634" s="5" t="s">
        <v>725</v>
      </c>
      <c r="F3634" s="5" t="s">
        <v>254</v>
      </c>
      <c r="G3634" s="5" t="s">
        <v>6472</v>
      </c>
      <c r="H3634" s="6" t="s">
        <v>6471</v>
      </c>
      <c r="I3634" s="5" t="s">
        <v>6471</v>
      </c>
      <c r="J3634" s="7">
        <f>1</f>
        <v>1</v>
      </c>
      <c r="K3634" s="5" t="s">
        <v>3682</v>
      </c>
      <c r="L3634" s="7">
        <f>1</f>
        <v>1</v>
      </c>
      <c r="M3634" s="7">
        <f>1</f>
        <v>1</v>
      </c>
      <c r="N3634" s="5" t="s">
        <v>242</v>
      </c>
      <c r="O3634" s="5">
        <v>1</v>
      </c>
      <c r="P3634" s="5" t="s">
        <v>294</v>
      </c>
      <c r="Q3634" s="5" t="s">
        <v>3678</v>
      </c>
      <c r="R3634" s="5" t="s">
        <v>240</v>
      </c>
      <c r="S3634" s="5" t="s">
        <v>240</v>
      </c>
      <c r="T3634" s="5" t="s">
        <v>243</v>
      </c>
      <c r="U3634" s="5" t="s">
        <v>244</v>
      </c>
      <c r="V3634" s="5" t="s">
        <v>240</v>
      </c>
      <c r="W3634" s="5" t="s">
        <v>240</v>
      </c>
      <c r="X3634" s="5" t="s">
        <v>240</v>
      </c>
      <c r="Y3634" s="5" t="s">
        <v>240</v>
      </c>
      <c r="Z3634" s="6" t="s">
        <v>298</v>
      </c>
      <c r="AA3634" s="6" t="s">
        <v>240</v>
      </c>
      <c r="AB3634" s="6" t="s">
        <v>240</v>
      </c>
      <c r="AC3634" s="5" t="s">
        <v>240</v>
      </c>
      <c r="AD3634" s="6" t="s">
        <v>240</v>
      </c>
      <c r="AE3634" s="6" t="s">
        <v>299</v>
      </c>
      <c r="AF3634" s="5" t="s">
        <v>248</v>
      </c>
      <c r="AG3634" s="5" t="s">
        <v>249</v>
      </c>
      <c r="AH3634" s="5" t="s">
        <v>240</v>
      </c>
      <c r="AI3634" s="5" t="s">
        <v>240</v>
      </c>
      <c r="AJ3634" s="5" t="s">
        <v>240</v>
      </c>
      <c r="AK3634" s="5" t="s">
        <v>240</v>
      </c>
      <c r="AL3634" s="5" t="s">
        <v>240</v>
      </c>
      <c r="AM3634" s="5" t="s">
        <v>240</v>
      </c>
      <c r="AN3634" s="5" t="s">
        <v>240</v>
      </c>
      <c r="AO3634" s="5" t="s">
        <v>240</v>
      </c>
      <c r="AP3634" s="6" t="s">
        <v>240</v>
      </c>
      <c r="AQ3634" s="6" t="s">
        <v>240</v>
      </c>
      <c r="AR3634" s="6" t="s">
        <v>240</v>
      </c>
      <c r="AS3634" s="6" t="s">
        <v>240</v>
      </c>
      <c r="AT3634" s="5" t="s">
        <v>240</v>
      </c>
      <c r="AU3634" s="5" t="s">
        <v>729</v>
      </c>
      <c r="AV3634" s="5" t="s">
        <v>729</v>
      </c>
      <c r="AW3634" s="5" t="s">
        <v>251</v>
      </c>
      <c r="AX3634" s="5" t="s">
        <v>252</v>
      </c>
      <c r="AY3634" s="5" t="s">
        <v>253</v>
      </c>
      <c r="AZ3634" s="5" t="s">
        <v>240</v>
      </c>
      <c r="BA3634" s="5" t="s">
        <v>255</v>
      </c>
      <c r="BB3634" s="5" t="s">
        <v>731</v>
      </c>
      <c r="BD3634" s="5" t="s">
        <v>240</v>
      </c>
      <c r="BF3634" s="5" t="s">
        <v>732</v>
      </c>
      <c r="BG3634" s="6" t="s">
        <v>733</v>
      </c>
      <c r="BH3634" s="5" t="s">
        <v>734</v>
      </c>
      <c r="BI3634" s="5" t="s">
        <v>734</v>
      </c>
      <c r="BJ3634" s="5" t="s">
        <v>240</v>
      </c>
      <c r="BK3634" s="7">
        <f>1</f>
        <v>1</v>
      </c>
      <c r="BL3634" s="7">
        <f>1</f>
        <v>1</v>
      </c>
      <c r="BM3634" s="5" t="s">
        <v>258</v>
      </c>
      <c r="BN3634" s="5" t="s">
        <v>259</v>
      </c>
      <c r="BO3634" s="5" t="s">
        <v>240</v>
      </c>
      <c r="BP3634" s="5" t="s">
        <v>240</v>
      </c>
      <c r="BQ3634" s="5" t="s">
        <v>240</v>
      </c>
      <c r="BR3634" s="5" t="s">
        <v>240</v>
      </c>
      <c r="BS3634" s="5" t="s">
        <v>240</v>
      </c>
      <c r="BT3634" s="5" t="s">
        <v>240</v>
      </c>
      <c r="BU3634" s="5" t="s">
        <v>240</v>
      </c>
      <c r="BV3634" s="5" t="s">
        <v>240</v>
      </c>
      <c r="BW3634" s="6" t="s">
        <v>240</v>
      </c>
      <c r="BX3634" s="5" t="s">
        <v>240</v>
      </c>
      <c r="BY3634" s="5" t="s">
        <v>240</v>
      </c>
      <c r="BZ3634" s="5" t="s">
        <v>240</v>
      </c>
      <c r="CA3634" s="5" t="s">
        <v>259</v>
      </c>
      <c r="CB3634" s="5" t="s">
        <v>240</v>
      </c>
      <c r="CC3634" s="5" t="s">
        <v>240</v>
      </c>
      <c r="CD3634" s="5" t="s">
        <v>240</v>
      </c>
      <c r="CE3634" s="5" t="s">
        <v>240</v>
      </c>
      <c r="CF3634" s="5" t="s">
        <v>240</v>
      </c>
      <c r="CG3634" s="5" t="s">
        <v>304</v>
      </c>
      <c r="CH3634" s="5" t="s">
        <v>305</v>
      </c>
      <c r="CI3634" s="5" t="s">
        <v>240</v>
      </c>
      <c r="CK3634" s="5" t="s">
        <v>3681</v>
      </c>
      <c r="CL3634" s="6" t="s">
        <v>261</v>
      </c>
      <c r="CM3634" s="5" t="s">
        <v>262</v>
      </c>
      <c r="CN3634" s="5" t="s">
        <v>263</v>
      </c>
      <c r="CO3634" s="5" t="s">
        <v>264</v>
      </c>
      <c r="CP3634" s="5" t="s">
        <v>240</v>
      </c>
      <c r="CQ3634" s="5">
        <v>0</v>
      </c>
      <c r="CR3634" s="5" t="s">
        <v>735</v>
      </c>
      <c r="CS3634" s="5" t="s">
        <v>307</v>
      </c>
      <c r="CT3634" s="5" t="s">
        <v>307</v>
      </c>
      <c r="CU3634" s="5" t="s">
        <v>260</v>
      </c>
      <c r="CV3634" s="5" t="s">
        <v>612</v>
      </c>
      <c r="CW3634" s="8">
        <f>1</f>
        <v>1</v>
      </c>
      <c r="CX3634" s="7">
        <f>1</f>
        <v>1</v>
      </c>
      <c r="CY3634" s="7">
        <f>0</f>
        <v>0</v>
      </c>
      <c r="DA3634" s="7">
        <f>1</f>
        <v>1</v>
      </c>
      <c r="DB3634" s="7" t="s">
        <v>240</v>
      </c>
      <c r="DC3634" s="5" t="s">
        <v>240</v>
      </c>
      <c r="DD3634" s="5" t="s">
        <v>240</v>
      </c>
      <c r="DE3634" s="5" t="s">
        <v>240</v>
      </c>
      <c r="DF3634" s="5" t="s">
        <v>240</v>
      </c>
      <c r="DG3634" s="7">
        <f>0</f>
        <v>0</v>
      </c>
      <c r="DI3634" s="5" t="s">
        <v>240</v>
      </c>
      <c r="DJ3634" s="5" t="s">
        <v>240</v>
      </c>
      <c r="DK3634" s="5" t="s">
        <v>240</v>
      </c>
      <c r="DL3634" s="5" t="s">
        <v>240</v>
      </c>
      <c r="DM3634" s="5" t="s">
        <v>240</v>
      </c>
      <c r="DN3634" s="5" t="s">
        <v>240</v>
      </c>
      <c r="DO3634" s="7" t="s">
        <v>240</v>
      </c>
      <c r="DP3634" s="5" t="s">
        <v>240</v>
      </c>
      <c r="DQ3634" s="5" t="s">
        <v>240</v>
      </c>
      <c r="DR3634" s="5" t="s">
        <v>731</v>
      </c>
      <c r="DS3634" s="5" t="s">
        <v>731</v>
      </c>
      <c r="DT3634" s="5" t="s">
        <v>240</v>
      </c>
      <c r="DU3634" s="5" t="s">
        <v>240</v>
      </c>
      <c r="DV3634" s="5" t="s">
        <v>3683</v>
      </c>
      <c r="DW3634" s="5" t="s">
        <v>463</v>
      </c>
      <c r="DX3634" s="5" t="s">
        <v>240</v>
      </c>
      <c r="DY3634" s="5" t="s">
        <v>240</v>
      </c>
      <c r="DZ3634" s="5" t="s">
        <v>240</v>
      </c>
      <c r="EA3634" s="5" t="s">
        <v>240</v>
      </c>
      <c r="EB3634" s="5" t="s">
        <v>240</v>
      </c>
      <c r="EC3634" s="5" t="s">
        <v>240</v>
      </c>
      <c r="ED3634" s="5" t="s">
        <v>240</v>
      </c>
      <c r="EE3634" s="5" t="s">
        <v>240</v>
      </c>
      <c r="EF3634" s="5" t="s">
        <v>240</v>
      </c>
      <c r="EG3634" s="5" t="s">
        <v>240</v>
      </c>
      <c r="EH3634" s="5" t="s">
        <v>240</v>
      </c>
      <c r="EI3634" s="5" t="s">
        <v>240</v>
      </c>
      <c r="EJ3634" s="5" t="s">
        <v>240</v>
      </c>
      <c r="EK3634" s="5" t="s">
        <v>240</v>
      </c>
      <c r="EL3634" s="5" t="s">
        <v>240</v>
      </c>
      <c r="EM3634" s="5" t="s">
        <v>240</v>
      </c>
      <c r="EN3634" s="5" t="s">
        <v>240</v>
      </c>
      <c r="EO3634" s="5" t="s">
        <v>240</v>
      </c>
      <c r="EP3634" s="5" t="s">
        <v>240</v>
      </c>
      <c r="EQ3634" s="5" t="s">
        <v>240</v>
      </c>
      <c r="ER3634" s="5" t="s">
        <v>240</v>
      </c>
      <c r="ES3634" s="5" t="s">
        <v>240</v>
      </c>
      <c r="ET3634" s="5" t="s">
        <v>240</v>
      </c>
      <c r="EU3634" s="5" t="s">
        <v>240</v>
      </c>
      <c r="EV3634" s="5" t="s">
        <v>240</v>
      </c>
      <c r="EW3634" s="5" t="s">
        <v>240</v>
      </c>
      <c r="EX3634" s="5" t="s">
        <v>240</v>
      </c>
      <c r="EY3634" s="5" t="s">
        <v>240</v>
      </c>
      <c r="EZ3634" s="5" t="s">
        <v>240</v>
      </c>
      <c r="FA3634" s="5" t="s">
        <v>240</v>
      </c>
      <c r="FB3634" s="5" t="s">
        <v>240</v>
      </c>
      <c r="FC3634" s="5" t="s">
        <v>240</v>
      </c>
      <c r="FD3634" s="5" t="s">
        <v>240</v>
      </c>
      <c r="FE3634" s="5" t="s">
        <v>240</v>
      </c>
      <c r="FF3634" s="5" t="s">
        <v>240</v>
      </c>
      <c r="FG3634" s="5" t="s">
        <v>240</v>
      </c>
      <c r="FH3634" s="5" t="s">
        <v>240</v>
      </c>
      <c r="FI3634" s="5" t="s">
        <v>240</v>
      </c>
      <c r="FJ3634" s="5" t="s">
        <v>240</v>
      </c>
      <c r="FK3634" s="5" t="s">
        <v>240</v>
      </c>
      <c r="FL3634" s="5" t="s">
        <v>240</v>
      </c>
      <c r="FM3634" s="5" t="s">
        <v>240</v>
      </c>
      <c r="FN3634" s="5" t="s">
        <v>240</v>
      </c>
      <c r="FO3634" s="5" t="s">
        <v>240</v>
      </c>
      <c r="FP3634" s="5" t="s">
        <v>240</v>
      </c>
      <c r="FQ3634" s="5" t="s">
        <v>240</v>
      </c>
      <c r="FR3634" s="5" t="s">
        <v>240</v>
      </c>
      <c r="FS3634" s="5" t="s">
        <v>240</v>
      </c>
      <c r="FT3634" s="5" t="s">
        <v>240</v>
      </c>
      <c r="FU3634" s="5" t="s">
        <v>240</v>
      </c>
      <c r="FV3634" s="5" t="s">
        <v>240</v>
      </c>
      <c r="FW3634" s="5" t="s">
        <v>240</v>
      </c>
      <c r="FX3634" s="5" t="s">
        <v>240</v>
      </c>
      <c r="FY3634" s="5" t="s">
        <v>240</v>
      </c>
      <c r="FZ3634" s="5" t="s">
        <v>240</v>
      </c>
      <c r="GA3634" s="5" t="s">
        <v>240</v>
      </c>
      <c r="GB3634" s="5" t="s">
        <v>240</v>
      </c>
      <c r="GC3634" s="5" t="s">
        <v>240</v>
      </c>
      <c r="GD3634" s="5" t="s">
        <v>240</v>
      </c>
      <c r="GE3634" s="5" t="s">
        <v>240</v>
      </c>
      <c r="GF3634" s="5" t="s">
        <v>240</v>
      </c>
      <c r="GG3634" s="5" t="s">
        <v>240</v>
      </c>
      <c r="GH3634" s="5" t="s">
        <v>240</v>
      </c>
      <c r="GI3634" s="5" t="s">
        <v>240</v>
      </c>
      <c r="GJ3634" s="5" t="s">
        <v>240</v>
      </c>
      <c r="GK3634" s="5" t="s">
        <v>240</v>
      </c>
      <c r="GL3634" s="5" t="s">
        <v>240</v>
      </c>
      <c r="GM3634" s="5" t="s">
        <v>240</v>
      </c>
      <c r="GN3634" s="5" t="s">
        <v>240</v>
      </c>
      <c r="GO3634" s="5" t="s">
        <v>240</v>
      </c>
      <c r="GP3634" s="5" t="s">
        <v>240</v>
      </c>
      <c r="GQ3634" s="5" t="s">
        <v>240</v>
      </c>
      <c r="GR3634" s="5" t="s">
        <v>240</v>
      </c>
      <c r="GS3634" s="5" t="s">
        <v>240</v>
      </c>
      <c r="GT3634" s="5" t="s">
        <v>240</v>
      </c>
      <c r="GU3634" s="5" t="s">
        <v>240</v>
      </c>
      <c r="GV3634" s="5" t="s">
        <v>240</v>
      </c>
      <c r="GW3634" s="5" t="s">
        <v>240</v>
      </c>
      <c r="GX3634" s="5" t="s">
        <v>240</v>
      </c>
      <c r="GY3634" s="5" t="s">
        <v>240</v>
      </c>
      <c r="GZ3634" s="5" t="s">
        <v>240</v>
      </c>
      <c r="HA3634" s="5" t="s">
        <v>240</v>
      </c>
      <c r="HB3634" s="5" t="s">
        <v>240</v>
      </c>
      <c r="HC3634" s="5" t="s">
        <v>240</v>
      </c>
      <c r="HD3634" s="5" t="s">
        <v>240</v>
      </c>
      <c r="HE3634" s="5" t="s">
        <v>240</v>
      </c>
      <c r="HF3634" s="5" t="s">
        <v>240</v>
      </c>
      <c r="HG3634" s="5" t="s">
        <v>240</v>
      </c>
      <c r="HH3634" s="5" t="s">
        <v>240</v>
      </c>
      <c r="HI3634" s="5" t="s">
        <v>240</v>
      </c>
      <c r="HJ3634" s="5" t="s">
        <v>240</v>
      </c>
      <c r="HK3634" s="5" t="s">
        <v>240</v>
      </c>
      <c r="HL3634" s="5" t="s">
        <v>240</v>
      </c>
      <c r="HM3634" s="5" t="s">
        <v>240</v>
      </c>
      <c r="HN3634" s="5" t="s">
        <v>240</v>
      </c>
      <c r="HO3634" s="5" t="s">
        <v>312</v>
      </c>
      <c r="HP3634" s="5" t="s">
        <v>240</v>
      </c>
      <c r="HQ3634" s="5" t="s">
        <v>240</v>
      </c>
      <c r="HR3634" s="5" t="s">
        <v>240</v>
      </c>
      <c r="HS3634" s="5" t="s">
        <v>240</v>
      </c>
      <c r="HT3634" s="5" t="s">
        <v>240</v>
      </c>
      <c r="HU3634" s="5" t="s">
        <v>240</v>
      </c>
      <c r="HV3634" s="5" t="s">
        <v>240</v>
      </c>
      <c r="HW3634" s="5" t="s">
        <v>240</v>
      </c>
      <c r="HX3634" s="5" t="s">
        <v>240</v>
      </c>
      <c r="HY3634" s="5" t="s">
        <v>240</v>
      </c>
      <c r="HZ3634" s="5" t="s">
        <v>240</v>
      </c>
      <c r="IA3634" s="5" t="s">
        <v>240</v>
      </c>
      <c r="IB3634" s="5" t="s">
        <v>240</v>
      </c>
      <c r="IC3634" s="5" t="s">
        <v>240</v>
      </c>
      <c r="ID3634" s="5" t="s">
        <v>240</v>
      </c>
      <c r="IE3634" s="5" t="s">
        <v>240</v>
      </c>
      <c r="IF3634" s="5" t="s">
        <v>240</v>
      </c>
    </row>
    <row r="3635" spans="1:240" x14ac:dyDescent="0.4">
      <c r="A3635" s="5">
        <v>9177</v>
      </c>
      <c r="B3635" s="5">
        <v>1</v>
      </c>
      <c r="C3635" s="5">
        <v>1</v>
      </c>
      <c r="D3635" s="5" t="s">
        <v>723</v>
      </c>
      <c r="E3635" s="5" t="s">
        <v>725</v>
      </c>
      <c r="F3635" s="5" t="s">
        <v>254</v>
      </c>
      <c r="G3635" s="5" t="s">
        <v>5843</v>
      </c>
      <c r="H3635" s="6" t="s">
        <v>5842</v>
      </c>
      <c r="I3635" s="5" t="s">
        <v>5842</v>
      </c>
      <c r="J3635" s="7">
        <f>1</f>
        <v>1</v>
      </c>
      <c r="K3635" s="5" t="s">
        <v>3682</v>
      </c>
      <c r="L3635" s="7">
        <f>1</f>
        <v>1</v>
      </c>
      <c r="M3635" s="7">
        <f>1</f>
        <v>1</v>
      </c>
      <c r="N3635" s="5" t="s">
        <v>242</v>
      </c>
      <c r="O3635" s="5">
        <v>1</v>
      </c>
      <c r="P3635" s="5" t="s">
        <v>294</v>
      </c>
      <c r="Q3635" s="5" t="s">
        <v>3678</v>
      </c>
      <c r="R3635" s="5" t="s">
        <v>240</v>
      </c>
      <c r="S3635" s="5" t="s">
        <v>240</v>
      </c>
      <c r="T3635" s="5" t="s">
        <v>243</v>
      </c>
      <c r="U3635" s="5" t="s">
        <v>244</v>
      </c>
      <c r="V3635" s="5" t="s">
        <v>240</v>
      </c>
      <c r="W3635" s="5" t="s">
        <v>240</v>
      </c>
      <c r="X3635" s="5" t="s">
        <v>240</v>
      </c>
      <c r="Y3635" s="5" t="s">
        <v>240</v>
      </c>
      <c r="Z3635" s="6" t="s">
        <v>298</v>
      </c>
      <c r="AA3635" s="6" t="s">
        <v>240</v>
      </c>
      <c r="AB3635" s="6" t="s">
        <v>240</v>
      </c>
      <c r="AC3635" s="5" t="s">
        <v>240</v>
      </c>
      <c r="AD3635" s="6" t="s">
        <v>240</v>
      </c>
      <c r="AE3635" s="6" t="s">
        <v>299</v>
      </c>
      <c r="AF3635" s="5" t="s">
        <v>248</v>
      </c>
      <c r="AG3635" s="5" t="s">
        <v>249</v>
      </c>
      <c r="AH3635" s="5" t="s">
        <v>240</v>
      </c>
      <c r="AI3635" s="5" t="s">
        <v>240</v>
      </c>
      <c r="AJ3635" s="5" t="s">
        <v>240</v>
      </c>
      <c r="AK3635" s="5" t="s">
        <v>240</v>
      </c>
      <c r="AL3635" s="5" t="s">
        <v>240</v>
      </c>
      <c r="AM3635" s="5" t="s">
        <v>240</v>
      </c>
      <c r="AN3635" s="5" t="s">
        <v>240</v>
      </c>
      <c r="AO3635" s="5" t="s">
        <v>240</v>
      </c>
      <c r="AP3635" s="6" t="s">
        <v>240</v>
      </c>
      <c r="AQ3635" s="6" t="s">
        <v>240</v>
      </c>
      <c r="AR3635" s="6" t="s">
        <v>240</v>
      </c>
      <c r="AS3635" s="6" t="s">
        <v>240</v>
      </c>
      <c r="AT3635" s="5" t="s">
        <v>240</v>
      </c>
      <c r="AU3635" s="5" t="s">
        <v>729</v>
      </c>
      <c r="AV3635" s="5" t="s">
        <v>729</v>
      </c>
      <c r="AW3635" s="5" t="s">
        <v>251</v>
      </c>
      <c r="AX3635" s="5" t="s">
        <v>252</v>
      </c>
      <c r="AY3635" s="5" t="s">
        <v>253</v>
      </c>
      <c r="AZ3635" s="5" t="s">
        <v>6046</v>
      </c>
      <c r="BA3635" s="5" t="s">
        <v>255</v>
      </c>
      <c r="BB3635" s="5" t="s">
        <v>731</v>
      </c>
      <c r="BD3635" s="5" t="s">
        <v>240</v>
      </c>
      <c r="BF3635" s="5" t="s">
        <v>732</v>
      </c>
      <c r="BG3635" s="6" t="s">
        <v>733</v>
      </c>
      <c r="BH3635" s="5" t="s">
        <v>734</v>
      </c>
      <c r="BI3635" s="5" t="s">
        <v>734</v>
      </c>
      <c r="BJ3635" s="5" t="s">
        <v>240</v>
      </c>
      <c r="BK3635" s="7">
        <f>1</f>
        <v>1</v>
      </c>
      <c r="BL3635" s="7">
        <f>1</f>
        <v>1</v>
      </c>
      <c r="BM3635" s="5" t="s">
        <v>258</v>
      </c>
      <c r="BN3635" s="5" t="s">
        <v>259</v>
      </c>
      <c r="BO3635" s="5" t="s">
        <v>240</v>
      </c>
      <c r="BP3635" s="5" t="s">
        <v>240</v>
      </c>
      <c r="BQ3635" s="5" t="s">
        <v>240</v>
      </c>
      <c r="BR3635" s="5" t="s">
        <v>240</v>
      </c>
      <c r="BS3635" s="5" t="s">
        <v>240</v>
      </c>
      <c r="BT3635" s="5" t="s">
        <v>240</v>
      </c>
      <c r="BU3635" s="5" t="s">
        <v>240</v>
      </c>
      <c r="BV3635" s="5" t="s">
        <v>240</v>
      </c>
      <c r="BW3635" s="6" t="s">
        <v>240</v>
      </c>
      <c r="BX3635" s="5" t="s">
        <v>240</v>
      </c>
      <c r="BY3635" s="5" t="s">
        <v>240</v>
      </c>
      <c r="BZ3635" s="5" t="s">
        <v>240</v>
      </c>
      <c r="CA3635" s="5" t="s">
        <v>259</v>
      </c>
      <c r="CB3635" s="5" t="s">
        <v>240</v>
      </c>
      <c r="CC3635" s="5" t="s">
        <v>240</v>
      </c>
      <c r="CD3635" s="5" t="s">
        <v>240</v>
      </c>
      <c r="CE3635" s="5" t="s">
        <v>240</v>
      </c>
      <c r="CF3635" s="5" t="s">
        <v>240</v>
      </c>
      <c r="CG3635" s="5" t="s">
        <v>304</v>
      </c>
      <c r="CH3635" s="5" t="s">
        <v>305</v>
      </c>
      <c r="CI3635" s="5" t="s">
        <v>260</v>
      </c>
      <c r="CK3635" s="5" t="s">
        <v>3681</v>
      </c>
      <c r="CL3635" s="6" t="s">
        <v>261</v>
      </c>
      <c r="CM3635" s="5" t="s">
        <v>262</v>
      </c>
      <c r="CN3635" s="5" t="s">
        <v>263</v>
      </c>
      <c r="CO3635" s="5" t="s">
        <v>264</v>
      </c>
      <c r="CP3635" s="5" t="s">
        <v>240</v>
      </c>
      <c r="CQ3635" s="5">
        <v>0</v>
      </c>
      <c r="CR3635" s="5" t="s">
        <v>735</v>
      </c>
      <c r="CS3635" s="5" t="s">
        <v>307</v>
      </c>
      <c r="CT3635" s="5" t="s">
        <v>307</v>
      </c>
      <c r="CU3635" s="5" t="s">
        <v>260</v>
      </c>
      <c r="CV3635" s="5" t="s">
        <v>612</v>
      </c>
      <c r="CW3635" s="8">
        <f>1</f>
        <v>1</v>
      </c>
      <c r="CX3635" s="7">
        <f>1</f>
        <v>1</v>
      </c>
      <c r="CY3635" s="7">
        <f>0</f>
        <v>0</v>
      </c>
      <c r="DA3635" s="7">
        <f>1</f>
        <v>1</v>
      </c>
      <c r="DB3635" s="7" t="s">
        <v>240</v>
      </c>
      <c r="DC3635" s="5" t="s">
        <v>240</v>
      </c>
      <c r="DD3635" s="5" t="s">
        <v>240</v>
      </c>
      <c r="DE3635" s="5" t="s">
        <v>240</v>
      </c>
      <c r="DF3635" s="5" t="s">
        <v>240</v>
      </c>
      <c r="DG3635" s="7">
        <f>0</f>
        <v>0</v>
      </c>
      <c r="DI3635" s="5" t="s">
        <v>240</v>
      </c>
      <c r="DJ3635" s="5" t="s">
        <v>240</v>
      </c>
      <c r="DK3635" s="5" t="s">
        <v>240</v>
      </c>
      <c r="DL3635" s="5" t="s">
        <v>240</v>
      </c>
      <c r="DM3635" s="5" t="s">
        <v>240</v>
      </c>
      <c r="DN3635" s="5" t="s">
        <v>240</v>
      </c>
      <c r="DO3635" s="7" t="s">
        <v>240</v>
      </c>
      <c r="DP3635" s="5" t="s">
        <v>240</v>
      </c>
      <c r="DQ3635" s="5" t="s">
        <v>248</v>
      </c>
      <c r="DR3635" s="5" t="s">
        <v>731</v>
      </c>
      <c r="DS3635" s="5" t="s">
        <v>731</v>
      </c>
      <c r="DT3635" s="5" t="s">
        <v>240</v>
      </c>
      <c r="DU3635" s="5" t="s">
        <v>240</v>
      </c>
      <c r="DV3635" s="5" t="s">
        <v>6047</v>
      </c>
      <c r="DW3635" s="5" t="s">
        <v>775</v>
      </c>
      <c r="DX3635" s="5" t="s">
        <v>240</v>
      </c>
      <c r="DY3635" s="5" t="s">
        <v>240</v>
      </c>
      <c r="DZ3635" s="5" t="s">
        <v>240</v>
      </c>
      <c r="EA3635" s="5" t="s">
        <v>240</v>
      </c>
      <c r="EB3635" s="5" t="s">
        <v>240</v>
      </c>
      <c r="EC3635" s="5" t="s">
        <v>240</v>
      </c>
      <c r="ED3635" s="5" t="s">
        <v>240</v>
      </c>
      <c r="EE3635" s="5" t="s">
        <v>240</v>
      </c>
      <c r="EF3635" s="5" t="s">
        <v>240</v>
      </c>
      <c r="EG3635" s="5" t="s">
        <v>240</v>
      </c>
      <c r="EH3635" s="5" t="s">
        <v>240</v>
      </c>
      <c r="EI3635" s="5" t="s">
        <v>240</v>
      </c>
      <c r="EJ3635" s="5" t="s">
        <v>240</v>
      </c>
      <c r="EK3635" s="5" t="s">
        <v>240</v>
      </c>
      <c r="EL3635" s="5" t="s">
        <v>240</v>
      </c>
      <c r="EM3635" s="5" t="s">
        <v>240</v>
      </c>
      <c r="EN3635" s="5" t="s">
        <v>240</v>
      </c>
      <c r="EO3635" s="5" t="s">
        <v>240</v>
      </c>
      <c r="EP3635" s="5" t="s">
        <v>240</v>
      </c>
      <c r="EQ3635" s="5" t="s">
        <v>240</v>
      </c>
      <c r="ER3635" s="5" t="s">
        <v>240</v>
      </c>
      <c r="ES3635" s="5" t="s">
        <v>240</v>
      </c>
      <c r="ET3635" s="5" t="s">
        <v>240</v>
      </c>
      <c r="EU3635" s="5" t="s">
        <v>240</v>
      </c>
      <c r="EV3635" s="5" t="s">
        <v>240</v>
      </c>
      <c r="EW3635" s="5" t="s">
        <v>240</v>
      </c>
      <c r="EX3635" s="5" t="s">
        <v>240</v>
      </c>
      <c r="EY3635" s="5" t="s">
        <v>240</v>
      </c>
      <c r="EZ3635" s="5" t="s">
        <v>240</v>
      </c>
      <c r="FA3635" s="5" t="s">
        <v>240</v>
      </c>
      <c r="FB3635" s="5" t="s">
        <v>240</v>
      </c>
      <c r="FC3635" s="5" t="s">
        <v>240</v>
      </c>
      <c r="FD3635" s="5" t="s">
        <v>240</v>
      </c>
      <c r="FE3635" s="5" t="s">
        <v>240</v>
      </c>
      <c r="FF3635" s="5" t="s">
        <v>240</v>
      </c>
      <c r="FG3635" s="5" t="s">
        <v>240</v>
      </c>
      <c r="FH3635" s="5" t="s">
        <v>240</v>
      </c>
      <c r="FI3635" s="5" t="s">
        <v>240</v>
      </c>
      <c r="FJ3635" s="5" t="s">
        <v>240</v>
      </c>
      <c r="FK3635" s="5" t="s">
        <v>240</v>
      </c>
      <c r="FL3635" s="5" t="s">
        <v>240</v>
      </c>
      <c r="FM3635" s="5" t="s">
        <v>240</v>
      </c>
      <c r="FN3635" s="5" t="s">
        <v>240</v>
      </c>
      <c r="FO3635" s="5" t="s">
        <v>240</v>
      </c>
      <c r="FP3635" s="5" t="s">
        <v>240</v>
      </c>
      <c r="FQ3635" s="5" t="s">
        <v>240</v>
      </c>
      <c r="FR3635" s="5" t="s">
        <v>240</v>
      </c>
      <c r="FS3635" s="5" t="s">
        <v>240</v>
      </c>
      <c r="FT3635" s="5" t="s">
        <v>240</v>
      </c>
      <c r="FU3635" s="5" t="s">
        <v>240</v>
      </c>
      <c r="FV3635" s="5" t="s">
        <v>240</v>
      </c>
      <c r="FW3635" s="5" t="s">
        <v>240</v>
      </c>
      <c r="FX3635" s="5" t="s">
        <v>240</v>
      </c>
      <c r="FY3635" s="5" t="s">
        <v>240</v>
      </c>
      <c r="FZ3635" s="5" t="s">
        <v>240</v>
      </c>
      <c r="GA3635" s="5" t="s">
        <v>240</v>
      </c>
      <c r="GB3635" s="5" t="s">
        <v>240</v>
      </c>
      <c r="GC3635" s="5" t="s">
        <v>240</v>
      </c>
      <c r="GD3635" s="5" t="s">
        <v>240</v>
      </c>
      <c r="GE3635" s="5" t="s">
        <v>240</v>
      </c>
      <c r="GF3635" s="5" t="s">
        <v>240</v>
      </c>
      <c r="GG3635" s="5" t="s">
        <v>240</v>
      </c>
      <c r="GH3635" s="5" t="s">
        <v>240</v>
      </c>
      <c r="GI3635" s="5" t="s">
        <v>240</v>
      </c>
      <c r="GJ3635" s="5" t="s">
        <v>240</v>
      </c>
      <c r="GK3635" s="5" t="s">
        <v>240</v>
      </c>
      <c r="GL3635" s="5" t="s">
        <v>240</v>
      </c>
      <c r="GM3635" s="5" t="s">
        <v>240</v>
      </c>
      <c r="GN3635" s="5" t="s">
        <v>240</v>
      </c>
      <c r="GO3635" s="5" t="s">
        <v>240</v>
      </c>
      <c r="GP3635" s="5" t="s">
        <v>240</v>
      </c>
      <c r="GQ3635" s="5" t="s">
        <v>240</v>
      </c>
      <c r="GR3635" s="5" t="s">
        <v>240</v>
      </c>
      <c r="GS3635" s="5" t="s">
        <v>240</v>
      </c>
      <c r="GT3635" s="5" t="s">
        <v>240</v>
      </c>
      <c r="GU3635" s="5" t="s">
        <v>240</v>
      </c>
      <c r="GV3635" s="5" t="s">
        <v>240</v>
      </c>
      <c r="GW3635" s="5" t="s">
        <v>240</v>
      </c>
      <c r="GX3635" s="5" t="s">
        <v>240</v>
      </c>
      <c r="GY3635" s="5" t="s">
        <v>240</v>
      </c>
      <c r="GZ3635" s="5" t="s">
        <v>240</v>
      </c>
      <c r="HA3635" s="5" t="s">
        <v>240</v>
      </c>
      <c r="HB3635" s="5" t="s">
        <v>240</v>
      </c>
      <c r="HC3635" s="5" t="s">
        <v>240</v>
      </c>
      <c r="HD3635" s="5" t="s">
        <v>240</v>
      </c>
      <c r="HE3635" s="5" t="s">
        <v>240</v>
      </c>
      <c r="HF3635" s="5" t="s">
        <v>240</v>
      </c>
      <c r="HG3635" s="5" t="s">
        <v>240</v>
      </c>
      <c r="HH3635" s="5" t="s">
        <v>240</v>
      </c>
      <c r="HI3635" s="5" t="s">
        <v>240</v>
      </c>
      <c r="HJ3635" s="5" t="s">
        <v>240</v>
      </c>
      <c r="HK3635" s="5" t="s">
        <v>240</v>
      </c>
      <c r="HL3635" s="5" t="s">
        <v>240</v>
      </c>
      <c r="HM3635" s="5" t="s">
        <v>240</v>
      </c>
      <c r="HN3635" s="5" t="s">
        <v>240</v>
      </c>
      <c r="HO3635" s="5" t="s">
        <v>240</v>
      </c>
      <c r="HP3635" s="5" t="s">
        <v>240</v>
      </c>
      <c r="HQ3635" s="5" t="s">
        <v>240</v>
      </c>
      <c r="HR3635" s="5" t="s">
        <v>240</v>
      </c>
      <c r="HS3635" s="5" t="s">
        <v>240</v>
      </c>
      <c r="HT3635" s="5" t="s">
        <v>240</v>
      </c>
      <c r="HU3635" s="5" t="s">
        <v>240</v>
      </c>
      <c r="HV3635" s="5" t="s">
        <v>240</v>
      </c>
      <c r="HW3635" s="5" t="s">
        <v>240</v>
      </c>
      <c r="HX3635" s="5" t="s">
        <v>240</v>
      </c>
      <c r="HY3635" s="5" t="s">
        <v>240</v>
      </c>
      <c r="HZ3635" s="5" t="s">
        <v>240</v>
      </c>
      <c r="IA3635" s="5" t="s">
        <v>240</v>
      </c>
      <c r="IB3635" s="5" t="s">
        <v>240</v>
      </c>
      <c r="IC3635" s="5" t="s">
        <v>240</v>
      </c>
      <c r="ID3635" s="5" t="s">
        <v>240</v>
      </c>
      <c r="IE3635" s="5" t="s">
        <v>240</v>
      </c>
      <c r="IF3635" s="5" t="s">
        <v>240</v>
      </c>
    </row>
    <row r="3636" spans="1:240" x14ac:dyDescent="0.4">
      <c r="A3636" s="5">
        <v>9178</v>
      </c>
      <c r="B3636" s="5">
        <v>1</v>
      </c>
      <c r="C3636" s="5">
        <v>1</v>
      </c>
      <c r="D3636" s="5" t="s">
        <v>723</v>
      </c>
      <c r="E3636" s="5" t="s">
        <v>725</v>
      </c>
      <c r="F3636" s="5" t="s">
        <v>254</v>
      </c>
      <c r="G3636" s="5" t="s">
        <v>5964</v>
      </c>
      <c r="H3636" s="6" t="s">
        <v>6455</v>
      </c>
      <c r="I3636" s="5" t="s">
        <v>6455</v>
      </c>
      <c r="J3636" s="7">
        <f>1</f>
        <v>1</v>
      </c>
      <c r="K3636" s="5" t="s">
        <v>3682</v>
      </c>
      <c r="L3636" s="7">
        <f>1</f>
        <v>1</v>
      </c>
      <c r="M3636" s="7">
        <f>1</f>
        <v>1</v>
      </c>
      <c r="N3636" s="5" t="s">
        <v>242</v>
      </c>
      <c r="O3636" s="5">
        <v>1</v>
      </c>
      <c r="P3636" s="5" t="s">
        <v>294</v>
      </c>
      <c r="Q3636" s="5" t="s">
        <v>3678</v>
      </c>
      <c r="R3636" s="5" t="s">
        <v>240</v>
      </c>
      <c r="S3636" s="5" t="s">
        <v>240</v>
      </c>
      <c r="T3636" s="5" t="s">
        <v>243</v>
      </c>
      <c r="U3636" s="5" t="s">
        <v>244</v>
      </c>
      <c r="V3636" s="5" t="s">
        <v>240</v>
      </c>
      <c r="W3636" s="5" t="s">
        <v>240</v>
      </c>
      <c r="X3636" s="5" t="s">
        <v>240</v>
      </c>
      <c r="Y3636" s="5" t="s">
        <v>240</v>
      </c>
      <c r="Z3636" s="6" t="s">
        <v>298</v>
      </c>
      <c r="AA3636" s="6" t="s">
        <v>240</v>
      </c>
      <c r="AB3636" s="6" t="s">
        <v>240</v>
      </c>
      <c r="AC3636" s="5" t="s">
        <v>240</v>
      </c>
      <c r="AD3636" s="6" t="s">
        <v>240</v>
      </c>
      <c r="AE3636" s="6" t="s">
        <v>299</v>
      </c>
      <c r="AF3636" s="5" t="s">
        <v>248</v>
      </c>
      <c r="AG3636" s="5" t="s">
        <v>249</v>
      </c>
      <c r="AH3636" s="5" t="s">
        <v>240</v>
      </c>
      <c r="AI3636" s="5" t="s">
        <v>240</v>
      </c>
      <c r="AJ3636" s="5" t="s">
        <v>240</v>
      </c>
      <c r="AK3636" s="5" t="s">
        <v>240</v>
      </c>
      <c r="AL3636" s="5" t="s">
        <v>240</v>
      </c>
      <c r="AM3636" s="5" t="s">
        <v>240</v>
      </c>
      <c r="AN3636" s="5" t="s">
        <v>240</v>
      </c>
      <c r="AO3636" s="5" t="s">
        <v>240</v>
      </c>
      <c r="AP3636" s="6" t="s">
        <v>240</v>
      </c>
      <c r="AQ3636" s="6" t="s">
        <v>240</v>
      </c>
      <c r="AR3636" s="6" t="s">
        <v>240</v>
      </c>
      <c r="AS3636" s="6" t="s">
        <v>240</v>
      </c>
      <c r="AT3636" s="5" t="s">
        <v>240</v>
      </c>
      <c r="AU3636" s="5" t="s">
        <v>729</v>
      </c>
      <c r="AV3636" s="5" t="s">
        <v>729</v>
      </c>
      <c r="AW3636" s="5" t="s">
        <v>251</v>
      </c>
      <c r="AX3636" s="5" t="s">
        <v>252</v>
      </c>
      <c r="AY3636" s="5" t="s">
        <v>253</v>
      </c>
      <c r="AZ3636" s="5" t="s">
        <v>6046</v>
      </c>
      <c r="BA3636" s="5" t="s">
        <v>255</v>
      </c>
      <c r="BB3636" s="5" t="s">
        <v>731</v>
      </c>
      <c r="BD3636" s="5" t="s">
        <v>240</v>
      </c>
      <c r="BF3636" s="5" t="s">
        <v>732</v>
      </c>
      <c r="BG3636" s="6" t="s">
        <v>733</v>
      </c>
      <c r="BH3636" s="5" t="s">
        <v>734</v>
      </c>
      <c r="BI3636" s="5" t="s">
        <v>734</v>
      </c>
      <c r="BJ3636" s="5" t="s">
        <v>240</v>
      </c>
      <c r="BK3636" s="7">
        <f>1</f>
        <v>1</v>
      </c>
      <c r="BL3636" s="7">
        <f>1</f>
        <v>1</v>
      </c>
      <c r="BM3636" s="5" t="s">
        <v>258</v>
      </c>
      <c r="BN3636" s="5" t="s">
        <v>259</v>
      </c>
      <c r="BO3636" s="5" t="s">
        <v>240</v>
      </c>
      <c r="BP3636" s="5" t="s">
        <v>240</v>
      </c>
      <c r="BQ3636" s="5" t="s">
        <v>240</v>
      </c>
      <c r="BR3636" s="5" t="s">
        <v>240</v>
      </c>
      <c r="BS3636" s="5" t="s">
        <v>240</v>
      </c>
      <c r="BT3636" s="5" t="s">
        <v>240</v>
      </c>
      <c r="BU3636" s="5" t="s">
        <v>240</v>
      </c>
      <c r="BV3636" s="5" t="s">
        <v>240</v>
      </c>
      <c r="BW3636" s="6" t="s">
        <v>240</v>
      </c>
      <c r="BX3636" s="5" t="s">
        <v>240</v>
      </c>
      <c r="BY3636" s="5" t="s">
        <v>240</v>
      </c>
      <c r="BZ3636" s="5" t="s">
        <v>240</v>
      </c>
      <c r="CA3636" s="5" t="s">
        <v>259</v>
      </c>
      <c r="CB3636" s="5" t="s">
        <v>240</v>
      </c>
      <c r="CC3636" s="5" t="s">
        <v>240</v>
      </c>
      <c r="CD3636" s="5" t="s">
        <v>240</v>
      </c>
      <c r="CE3636" s="5" t="s">
        <v>240</v>
      </c>
      <c r="CF3636" s="5" t="s">
        <v>240</v>
      </c>
      <c r="CG3636" s="5" t="s">
        <v>304</v>
      </c>
      <c r="CH3636" s="5" t="s">
        <v>305</v>
      </c>
      <c r="CI3636" s="5" t="s">
        <v>260</v>
      </c>
      <c r="CK3636" s="5" t="s">
        <v>3681</v>
      </c>
      <c r="CL3636" s="6" t="s">
        <v>261</v>
      </c>
      <c r="CM3636" s="5" t="s">
        <v>262</v>
      </c>
      <c r="CN3636" s="5" t="s">
        <v>263</v>
      </c>
      <c r="CO3636" s="5" t="s">
        <v>264</v>
      </c>
      <c r="CP3636" s="5" t="s">
        <v>240</v>
      </c>
      <c r="CQ3636" s="5">
        <v>0</v>
      </c>
      <c r="CR3636" s="5" t="s">
        <v>735</v>
      </c>
      <c r="CS3636" s="5" t="s">
        <v>307</v>
      </c>
      <c r="CT3636" s="5" t="s">
        <v>307</v>
      </c>
      <c r="CU3636" s="5" t="s">
        <v>260</v>
      </c>
      <c r="CV3636" s="5" t="s">
        <v>612</v>
      </c>
      <c r="CW3636" s="8">
        <f>1</f>
        <v>1</v>
      </c>
      <c r="CX3636" s="7">
        <f>1</f>
        <v>1</v>
      </c>
      <c r="CY3636" s="7">
        <f>0</f>
        <v>0</v>
      </c>
      <c r="DA3636" s="7">
        <f>1</f>
        <v>1</v>
      </c>
      <c r="DB3636" s="7" t="s">
        <v>240</v>
      </c>
      <c r="DC3636" s="5" t="s">
        <v>240</v>
      </c>
      <c r="DD3636" s="5" t="s">
        <v>240</v>
      </c>
      <c r="DE3636" s="5" t="s">
        <v>240</v>
      </c>
      <c r="DF3636" s="5" t="s">
        <v>240</v>
      </c>
      <c r="DG3636" s="7">
        <f>0</f>
        <v>0</v>
      </c>
      <c r="DI3636" s="5" t="s">
        <v>240</v>
      </c>
      <c r="DJ3636" s="5" t="s">
        <v>240</v>
      </c>
      <c r="DK3636" s="5" t="s">
        <v>240</v>
      </c>
      <c r="DL3636" s="5" t="s">
        <v>240</v>
      </c>
      <c r="DM3636" s="5" t="s">
        <v>240</v>
      </c>
      <c r="DN3636" s="5" t="s">
        <v>240</v>
      </c>
      <c r="DO3636" s="7" t="s">
        <v>240</v>
      </c>
      <c r="DP3636" s="5" t="s">
        <v>240</v>
      </c>
      <c r="DQ3636" s="5" t="s">
        <v>248</v>
      </c>
      <c r="DR3636" s="5" t="s">
        <v>731</v>
      </c>
      <c r="DS3636" s="5" t="s">
        <v>731</v>
      </c>
      <c r="DT3636" s="5" t="s">
        <v>240</v>
      </c>
      <c r="DU3636" s="5" t="s">
        <v>240</v>
      </c>
      <c r="DV3636" s="5" t="s">
        <v>6047</v>
      </c>
      <c r="DW3636" s="5" t="s">
        <v>958</v>
      </c>
      <c r="DX3636" s="5" t="s">
        <v>240</v>
      </c>
      <c r="DY3636" s="5" t="s">
        <v>240</v>
      </c>
      <c r="DZ3636" s="5" t="s">
        <v>240</v>
      </c>
      <c r="EA3636" s="5" t="s">
        <v>240</v>
      </c>
      <c r="EB3636" s="5" t="s">
        <v>240</v>
      </c>
      <c r="EC3636" s="5" t="s">
        <v>240</v>
      </c>
      <c r="ED3636" s="5" t="s">
        <v>240</v>
      </c>
      <c r="EE3636" s="5" t="s">
        <v>240</v>
      </c>
      <c r="EF3636" s="5" t="s">
        <v>240</v>
      </c>
      <c r="EG3636" s="5" t="s">
        <v>240</v>
      </c>
      <c r="EH3636" s="5" t="s">
        <v>240</v>
      </c>
      <c r="EI3636" s="5" t="s">
        <v>240</v>
      </c>
      <c r="EJ3636" s="5" t="s">
        <v>240</v>
      </c>
      <c r="EK3636" s="5" t="s">
        <v>240</v>
      </c>
      <c r="EL3636" s="5" t="s">
        <v>240</v>
      </c>
      <c r="EM3636" s="5" t="s">
        <v>240</v>
      </c>
      <c r="EN3636" s="5" t="s">
        <v>240</v>
      </c>
      <c r="EO3636" s="5" t="s">
        <v>240</v>
      </c>
      <c r="EP3636" s="5" t="s">
        <v>240</v>
      </c>
      <c r="EQ3636" s="5" t="s">
        <v>240</v>
      </c>
      <c r="ER3636" s="5" t="s">
        <v>240</v>
      </c>
      <c r="ES3636" s="5" t="s">
        <v>240</v>
      </c>
      <c r="ET3636" s="5" t="s">
        <v>240</v>
      </c>
      <c r="EU3636" s="5" t="s">
        <v>240</v>
      </c>
      <c r="EV3636" s="5" t="s">
        <v>240</v>
      </c>
      <c r="EW3636" s="5" t="s">
        <v>240</v>
      </c>
      <c r="EX3636" s="5" t="s">
        <v>240</v>
      </c>
      <c r="EY3636" s="5" t="s">
        <v>240</v>
      </c>
      <c r="EZ3636" s="5" t="s">
        <v>240</v>
      </c>
      <c r="FA3636" s="5" t="s">
        <v>240</v>
      </c>
      <c r="FB3636" s="5" t="s">
        <v>240</v>
      </c>
      <c r="FC3636" s="5" t="s">
        <v>240</v>
      </c>
      <c r="FD3636" s="5" t="s">
        <v>240</v>
      </c>
      <c r="FE3636" s="5" t="s">
        <v>240</v>
      </c>
      <c r="FF3636" s="5" t="s">
        <v>240</v>
      </c>
      <c r="FG3636" s="5" t="s">
        <v>240</v>
      </c>
      <c r="FH3636" s="5" t="s">
        <v>240</v>
      </c>
      <c r="FI3636" s="5" t="s">
        <v>240</v>
      </c>
      <c r="FJ3636" s="5" t="s">
        <v>240</v>
      </c>
      <c r="FK3636" s="5" t="s">
        <v>240</v>
      </c>
      <c r="FL3636" s="5" t="s">
        <v>240</v>
      </c>
      <c r="FM3636" s="5" t="s">
        <v>240</v>
      </c>
      <c r="FN3636" s="5" t="s">
        <v>240</v>
      </c>
      <c r="FO3636" s="5" t="s">
        <v>240</v>
      </c>
      <c r="FP3636" s="5" t="s">
        <v>240</v>
      </c>
      <c r="FQ3636" s="5" t="s">
        <v>240</v>
      </c>
      <c r="FR3636" s="5" t="s">
        <v>240</v>
      </c>
      <c r="FS3636" s="5" t="s">
        <v>240</v>
      </c>
      <c r="FT3636" s="5" t="s">
        <v>240</v>
      </c>
      <c r="FU3636" s="5" t="s">
        <v>240</v>
      </c>
      <c r="FV3636" s="5" t="s">
        <v>240</v>
      </c>
      <c r="FW3636" s="5" t="s">
        <v>240</v>
      </c>
      <c r="FX3636" s="5" t="s">
        <v>240</v>
      </c>
      <c r="FY3636" s="5" t="s">
        <v>240</v>
      </c>
      <c r="FZ3636" s="5" t="s">
        <v>240</v>
      </c>
      <c r="GA3636" s="5" t="s">
        <v>240</v>
      </c>
      <c r="GB3636" s="5" t="s">
        <v>240</v>
      </c>
      <c r="GC3636" s="5" t="s">
        <v>240</v>
      </c>
      <c r="GD3636" s="5" t="s">
        <v>240</v>
      </c>
      <c r="GE3636" s="5" t="s">
        <v>240</v>
      </c>
      <c r="GF3636" s="5" t="s">
        <v>240</v>
      </c>
      <c r="GG3636" s="5" t="s">
        <v>240</v>
      </c>
      <c r="GH3636" s="5" t="s">
        <v>240</v>
      </c>
      <c r="GI3636" s="5" t="s">
        <v>240</v>
      </c>
      <c r="GJ3636" s="5" t="s">
        <v>240</v>
      </c>
      <c r="GK3636" s="5" t="s">
        <v>240</v>
      </c>
      <c r="GL3636" s="5" t="s">
        <v>240</v>
      </c>
      <c r="GM3636" s="5" t="s">
        <v>240</v>
      </c>
      <c r="GN3636" s="5" t="s">
        <v>240</v>
      </c>
      <c r="GO3636" s="5" t="s">
        <v>240</v>
      </c>
      <c r="GP3636" s="5" t="s">
        <v>240</v>
      </c>
      <c r="GQ3636" s="5" t="s">
        <v>240</v>
      </c>
      <c r="GR3636" s="5" t="s">
        <v>240</v>
      </c>
      <c r="GS3636" s="5" t="s">
        <v>240</v>
      </c>
      <c r="GT3636" s="5" t="s">
        <v>240</v>
      </c>
      <c r="GU3636" s="5" t="s">
        <v>240</v>
      </c>
      <c r="GV3636" s="5" t="s">
        <v>240</v>
      </c>
      <c r="GW3636" s="5" t="s">
        <v>240</v>
      </c>
      <c r="GX3636" s="5" t="s">
        <v>240</v>
      </c>
      <c r="GY3636" s="5" t="s">
        <v>240</v>
      </c>
      <c r="GZ3636" s="5" t="s">
        <v>240</v>
      </c>
      <c r="HA3636" s="5" t="s">
        <v>240</v>
      </c>
      <c r="HB3636" s="5" t="s">
        <v>240</v>
      </c>
      <c r="HC3636" s="5" t="s">
        <v>240</v>
      </c>
      <c r="HD3636" s="5" t="s">
        <v>240</v>
      </c>
      <c r="HE3636" s="5" t="s">
        <v>240</v>
      </c>
      <c r="HF3636" s="5" t="s">
        <v>240</v>
      </c>
      <c r="HG3636" s="5" t="s">
        <v>240</v>
      </c>
      <c r="HH3636" s="5" t="s">
        <v>240</v>
      </c>
      <c r="HI3636" s="5" t="s">
        <v>240</v>
      </c>
      <c r="HJ3636" s="5" t="s">
        <v>240</v>
      </c>
      <c r="HK3636" s="5" t="s">
        <v>240</v>
      </c>
      <c r="HL3636" s="5" t="s">
        <v>240</v>
      </c>
      <c r="HM3636" s="5" t="s">
        <v>240</v>
      </c>
      <c r="HN3636" s="5" t="s">
        <v>240</v>
      </c>
      <c r="HO3636" s="5" t="s">
        <v>240</v>
      </c>
      <c r="HP3636" s="5" t="s">
        <v>240</v>
      </c>
      <c r="HQ3636" s="5" t="s">
        <v>240</v>
      </c>
      <c r="HR3636" s="5" t="s">
        <v>240</v>
      </c>
      <c r="HS3636" s="5" t="s">
        <v>240</v>
      </c>
      <c r="HT3636" s="5" t="s">
        <v>240</v>
      </c>
      <c r="HU3636" s="5" t="s">
        <v>240</v>
      </c>
      <c r="HV3636" s="5" t="s">
        <v>240</v>
      </c>
      <c r="HW3636" s="5" t="s">
        <v>240</v>
      </c>
      <c r="HX3636" s="5" t="s">
        <v>240</v>
      </c>
      <c r="HY3636" s="5" t="s">
        <v>240</v>
      </c>
      <c r="HZ3636" s="5" t="s">
        <v>240</v>
      </c>
      <c r="IA3636" s="5" t="s">
        <v>240</v>
      </c>
      <c r="IB3636" s="5" t="s">
        <v>240</v>
      </c>
      <c r="IC3636" s="5" t="s">
        <v>240</v>
      </c>
      <c r="ID3636" s="5" t="s">
        <v>240</v>
      </c>
      <c r="IE3636" s="5" t="s">
        <v>240</v>
      </c>
      <c r="IF3636" s="5" t="s">
        <v>240</v>
      </c>
    </row>
    <row r="3637" spans="1:240" x14ac:dyDescent="0.4">
      <c r="A3637" s="5">
        <v>9179</v>
      </c>
      <c r="B3637" s="5">
        <v>1</v>
      </c>
      <c r="C3637" s="5">
        <v>1</v>
      </c>
      <c r="D3637" s="5" t="s">
        <v>723</v>
      </c>
      <c r="E3637" s="5" t="s">
        <v>725</v>
      </c>
      <c r="F3637" s="5" t="s">
        <v>254</v>
      </c>
      <c r="G3637" s="5" t="s">
        <v>6411</v>
      </c>
      <c r="H3637" s="6" t="s">
        <v>6412</v>
      </c>
      <c r="I3637" s="5" t="s">
        <v>6410</v>
      </c>
      <c r="J3637" s="7">
        <f>1</f>
        <v>1</v>
      </c>
      <c r="K3637" s="5" t="s">
        <v>3682</v>
      </c>
      <c r="L3637" s="7">
        <f>1</f>
        <v>1</v>
      </c>
      <c r="M3637" s="7">
        <f>1</f>
        <v>1</v>
      </c>
      <c r="N3637" s="5" t="s">
        <v>242</v>
      </c>
      <c r="O3637" s="5">
        <v>1</v>
      </c>
      <c r="P3637" s="5" t="s">
        <v>294</v>
      </c>
      <c r="Q3637" s="5" t="s">
        <v>3678</v>
      </c>
      <c r="R3637" s="5" t="s">
        <v>240</v>
      </c>
      <c r="S3637" s="5" t="s">
        <v>240</v>
      </c>
      <c r="T3637" s="5" t="s">
        <v>243</v>
      </c>
      <c r="U3637" s="5" t="s">
        <v>244</v>
      </c>
      <c r="V3637" s="5" t="s">
        <v>240</v>
      </c>
      <c r="W3637" s="5" t="s">
        <v>240</v>
      </c>
      <c r="X3637" s="5" t="s">
        <v>240</v>
      </c>
      <c r="Y3637" s="5" t="s">
        <v>240</v>
      </c>
      <c r="Z3637" s="6" t="s">
        <v>298</v>
      </c>
      <c r="AA3637" s="6" t="s">
        <v>240</v>
      </c>
      <c r="AB3637" s="6" t="s">
        <v>240</v>
      </c>
      <c r="AC3637" s="5" t="s">
        <v>240</v>
      </c>
      <c r="AD3637" s="6" t="s">
        <v>240</v>
      </c>
      <c r="AE3637" s="6" t="s">
        <v>299</v>
      </c>
      <c r="AF3637" s="5" t="s">
        <v>248</v>
      </c>
      <c r="AG3637" s="5" t="s">
        <v>249</v>
      </c>
      <c r="AH3637" s="5" t="s">
        <v>240</v>
      </c>
      <c r="AI3637" s="5" t="s">
        <v>240</v>
      </c>
      <c r="AJ3637" s="5" t="s">
        <v>240</v>
      </c>
      <c r="AK3637" s="5" t="s">
        <v>240</v>
      </c>
      <c r="AL3637" s="5" t="s">
        <v>240</v>
      </c>
      <c r="AM3637" s="5" t="s">
        <v>240</v>
      </c>
      <c r="AN3637" s="5" t="s">
        <v>240</v>
      </c>
      <c r="AO3637" s="5" t="s">
        <v>240</v>
      </c>
      <c r="AP3637" s="6" t="s">
        <v>240</v>
      </c>
      <c r="AQ3637" s="6" t="s">
        <v>240</v>
      </c>
      <c r="AR3637" s="6" t="s">
        <v>240</v>
      </c>
      <c r="AS3637" s="6" t="s">
        <v>240</v>
      </c>
      <c r="AT3637" s="5" t="s">
        <v>240</v>
      </c>
      <c r="AU3637" s="5" t="s">
        <v>729</v>
      </c>
      <c r="AV3637" s="5" t="s">
        <v>729</v>
      </c>
      <c r="AW3637" s="5" t="s">
        <v>251</v>
      </c>
      <c r="AX3637" s="5" t="s">
        <v>252</v>
      </c>
      <c r="AY3637" s="5" t="s">
        <v>253</v>
      </c>
      <c r="AZ3637" s="5" t="s">
        <v>6046</v>
      </c>
      <c r="BA3637" s="5" t="s">
        <v>255</v>
      </c>
      <c r="BB3637" s="5" t="s">
        <v>731</v>
      </c>
      <c r="BD3637" s="5" t="s">
        <v>240</v>
      </c>
      <c r="BF3637" s="5" t="s">
        <v>732</v>
      </c>
      <c r="BG3637" s="6" t="s">
        <v>733</v>
      </c>
      <c r="BH3637" s="5" t="s">
        <v>734</v>
      </c>
      <c r="BI3637" s="5" t="s">
        <v>734</v>
      </c>
      <c r="BJ3637" s="5" t="s">
        <v>240</v>
      </c>
      <c r="BK3637" s="7">
        <f>1</f>
        <v>1</v>
      </c>
      <c r="BL3637" s="7">
        <f>1</f>
        <v>1</v>
      </c>
      <c r="BM3637" s="5" t="s">
        <v>258</v>
      </c>
      <c r="BN3637" s="5" t="s">
        <v>259</v>
      </c>
      <c r="BO3637" s="5" t="s">
        <v>240</v>
      </c>
      <c r="BP3637" s="5" t="s">
        <v>240</v>
      </c>
      <c r="BQ3637" s="5" t="s">
        <v>240</v>
      </c>
      <c r="BR3637" s="5" t="s">
        <v>240</v>
      </c>
      <c r="BS3637" s="5" t="s">
        <v>240</v>
      </c>
      <c r="BT3637" s="5" t="s">
        <v>240</v>
      </c>
      <c r="BU3637" s="5" t="s">
        <v>240</v>
      </c>
      <c r="BV3637" s="5" t="s">
        <v>240</v>
      </c>
      <c r="BW3637" s="6" t="s">
        <v>240</v>
      </c>
      <c r="BX3637" s="5" t="s">
        <v>240</v>
      </c>
      <c r="BY3637" s="5" t="s">
        <v>240</v>
      </c>
      <c r="BZ3637" s="5" t="s">
        <v>240</v>
      </c>
      <c r="CA3637" s="5" t="s">
        <v>259</v>
      </c>
      <c r="CB3637" s="5" t="s">
        <v>240</v>
      </c>
      <c r="CC3637" s="5" t="s">
        <v>240</v>
      </c>
      <c r="CD3637" s="5" t="s">
        <v>240</v>
      </c>
      <c r="CE3637" s="5" t="s">
        <v>240</v>
      </c>
      <c r="CF3637" s="5" t="s">
        <v>240</v>
      </c>
      <c r="CG3637" s="5" t="s">
        <v>304</v>
      </c>
      <c r="CH3637" s="5" t="s">
        <v>305</v>
      </c>
      <c r="CI3637" s="5" t="s">
        <v>260</v>
      </c>
      <c r="CK3637" s="5" t="s">
        <v>3681</v>
      </c>
      <c r="CL3637" s="6" t="s">
        <v>261</v>
      </c>
      <c r="CM3637" s="5" t="s">
        <v>262</v>
      </c>
      <c r="CN3637" s="5" t="s">
        <v>263</v>
      </c>
      <c r="CO3637" s="5" t="s">
        <v>264</v>
      </c>
      <c r="CP3637" s="5" t="s">
        <v>240</v>
      </c>
      <c r="CQ3637" s="5">
        <v>0</v>
      </c>
      <c r="CR3637" s="5" t="s">
        <v>735</v>
      </c>
      <c r="CS3637" s="5" t="s">
        <v>307</v>
      </c>
      <c r="CT3637" s="5" t="s">
        <v>307</v>
      </c>
      <c r="CU3637" s="5" t="s">
        <v>260</v>
      </c>
      <c r="CV3637" s="5" t="s">
        <v>612</v>
      </c>
      <c r="CW3637" s="8">
        <f>1</f>
        <v>1</v>
      </c>
      <c r="CX3637" s="7">
        <f>1</f>
        <v>1</v>
      </c>
      <c r="CY3637" s="7">
        <f>0</f>
        <v>0</v>
      </c>
      <c r="DA3637" s="7">
        <f>1</f>
        <v>1</v>
      </c>
      <c r="DB3637" s="7" t="s">
        <v>240</v>
      </c>
      <c r="DC3637" s="5" t="s">
        <v>240</v>
      </c>
      <c r="DD3637" s="5" t="s">
        <v>240</v>
      </c>
      <c r="DE3637" s="5" t="s">
        <v>240</v>
      </c>
      <c r="DF3637" s="5" t="s">
        <v>240</v>
      </c>
      <c r="DG3637" s="7">
        <f>0</f>
        <v>0</v>
      </c>
      <c r="DI3637" s="5" t="s">
        <v>240</v>
      </c>
      <c r="DJ3637" s="5" t="s">
        <v>240</v>
      </c>
      <c r="DK3637" s="5" t="s">
        <v>240</v>
      </c>
      <c r="DL3637" s="5" t="s">
        <v>240</v>
      </c>
      <c r="DM3637" s="5" t="s">
        <v>240</v>
      </c>
      <c r="DN3637" s="5" t="s">
        <v>240</v>
      </c>
      <c r="DO3637" s="7" t="s">
        <v>240</v>
      </c>
      <c r="DP3637" s="5" t="s">
        <v>240</v>
      </c>
      <c r="DQ3637" s="5" t="s">
        <v>248</v>
      </c>
      <c r="DR3637" s="5" t="s">
        <v>731</v>
      </c>
      <c r="DS3637" s="5" t="s">
        <v>731</v>
      </c>
      <c r="DT3637" s="5" t="s">
        <v>240</v>
      </c>
      <c r="DU3637" s="5" t="s">
        <v>240</v>
      </c>
      <c r="DV3637" s="5" t="s">
        <v>6047</v>
      </c>
      <c r="DW3637" s="5" t="s">
        <v>781</v>
      </c>
      <c r="DX3637" s="5" t="s">
        <v>240</v>
      </c>
      <c r="DY3637" s="5" t="s">
        <v>240</v>
      </c>
      <c r="DZ3637" s="5" t="s">
        <v>240</v>
      </c>
      <c r="EA3637" s="5" t="s">
        <v>240</v>
      </c>
      <c r="EB3637" s="5" t="s">
        <v>240</v>
      </c>
      <c r="EC3637" s="5" t="s">
        <v>240</v>
      </c>
      <c r="ED3637" s="5" t="s">
        <v>240</v>
      </c>
      <c r="EE3637" s="5" t="s">
        <v>240</v>
      </c>
      <c r="EF3637" s="5" t="s">
        <v>240</v>
      </c>
      <c r="EG3637" s="5" t="s">
        <v>240</v>
      </c>
      <c r="EH3637" s="5" t="s">
        <v>240</v>
      </c>
      <c r="EI3637" s="5" t="s">
        <v>240</v>
      </c>
      <c r="EJ3637" s="5" t="s">
        <v>240</v>
      </c>
      <c r="EK3637" s="5" t="s">
        <v>240</v>
      </c>
      <c r="EL3637" s="5" t="s">
        <v>240</v>
      </c>
      <c r="EM3637" s="5" t="s">
        <v>240</v>
      </c>
      <c r="EN3637" s="5" t="s">
        <v>240</v>
      </c>
      <c r="EO3637" s="5" t="s">
        <v>240</v>
      </c>
      <c r="EP3637" s="5" t="s">
        <v>240</v>
      </c>
      <c r="EQ3637" s="5" t="s">
        <v>240</v>
      </c>
      <c r="ER3637" s="5" t="s">
        <v>240</v>
      </c>
      <c r="ES3637" s="5" t="s">
        <v>240</v>
      </c>
      <c r="ET3637" s="5" t="s">
        <v>240</v>
      </c>
      <c r="EU3637" s="5" t="s">
        <v>240</v>
      </c>
      <c r="EV3637" s="5" t="s">
        <v>240</v>
      </c>
      <c r="EW3637" s="5" t="s">
        <v>240</v>
      </c>
      <c r="EX3637" s="5" t="s">
        <v>240</v>
      </c>
      <c r="EY3637" s="5" t="s">
        <v>240</v>
      </c>
      <c r="EZ3637" s="5" t="s">
        <v>240</v>
      </c>
      <c r="FA3637" s="5" t="s">
        <v>240</v>
      </c>
      <c r="FB3637" s="5" t="s">
        <v>240</v>
      </c>
      <c r="FC3637" s="5" t="s">
        <v>240</v>
      </c>
      <c r="FD3637" s="5" t="s">
        <v>240</v>
      </c>
      <c r="FE3637" s="5" t="s">
        <v>240</v>
      </c>
      <c r="FF3637" s="5" t="s">
        <v>240</v>
      </c>
      <c r="FG3637" s="5" t="s">
        <v>240</v>
      </c>
      <c r="FH3637" s="5" t="s">
        <v>240</v>
      </c>
      <c r="FI3637" s="5" t="s">
        <v>240</v>
      </c>
      <c r="FJ3637" s="5" t="s">
        <v>240</v>
      </c>
      <c r="FK3637" s="5" t="s">
        <v>240</v>
      </c>
      <c r="FL3637" s="5" t="s">
        <v>240</v>
      </c>
      <c r="FM3637" s="5" t="s">
        <v>240</v>
      </c>
      <c r="FN3637" s="5" t="s">
        <v>240</v>
      </c>
      <c r="FO3637" s="5" t="s">
        <v>240</v>
      </c>
      <c r="FP3637" s="5" t="s">
        <v>240</v>
      </c>
      <c r="FQ3637" s="5" t="s">
        <v>240</v>
      </c>
      <c r="FR3637" s="5" t="s">
        <v>240</v>
      </c>
      <c r="FS3637" s="5" t="s">
        <v>240</v>
      </c>
      <c r="FT3637" s="5" t="s">
        <v>240</v>
      </c>
      <c r="FU3637" s="5" t="s">
        <v>240</v>
      </c>
      <c r="FV3637" s="5" t="s">
        <v>240</v>
      </c>
      <c r="FW3637" s="5" t="s">
        <v>240</v>
      </c>
      <c r="FX3637" s="5" t="s">
        <v>240</v>
      </c>
      <c r="FY3637" s="5" t="s">
        <v>240</v>
      </c>
      <c r="FZ3637" s="5" t="s">
        <v>240</v>
      </c>
      <c r="GA3637" s="5" t="s">
        <v>240</v>
      </c>
      <c r="GB3637" s="5" t="s">
        <v>240</v>
      </c>
      <c r="GC3637" s="5" t="s">
        <v>240</v>
      </c>
      <c r="GD3637" s="5" t="s">
        <v>240</v>
      </c>
      <c r="GE3637" s="5" t="s">
        <v>240</v>
      </c>
      <c r="GF3637" s="5" t="s">
        <v>240</v>
      </c>
      <c r="GG3637" s="5" t="s">
        <v>240</v>
      </c>
      <c r="GH3637" s="5" t="s">
        <v>240</v>
      </c>
      <c r="GI3637" s="5" t="s">
        <v>240</v>
      </c>
      <c r="GJ3637" s="5" t="s">
        <v>240</v>
      </c>
      <c r="GK3637" s="5" t="s">
        <v>240</v>
      </c>
      <c r="GL3637" s="5" t="s">
        <v>240</v>
      </c>
      <c r="GM3637" s="5" t="s">
        <v>240</v>
      </c>
      <c r="GN3637" s="5" t="s">
        <v>240</v>
      </c>
      <c r="GO3637" s="5" t="s">
        <v>240</v>
      </c>
      <c r="GP3637" s="5" t="s">
        <v>240</v>
      </c>
      <c r="GQ3637" s="5" t="s">
        <v>240</v>
      </c>
      <c r="GR3637" s="5" t="s">
        <v>240</v>
      </c>
      <c r="GS3637" s="5" t="s">
        <v>240</v>
      </c>
      <c r="GT3637" s="5" t="s">
        <v>240</v>
      </c>
      <c r="GU3637" s="5" t="s">
        <v>240</v>
      </c>
      <c r="GV3637" s="5" t="s">
        <v>240</v>
      </c>
      <c r="GW3637" s="5" t="s">
        <v>240</v>
      </c>
      <c r="GX3637" s="5" t="s">
        <v>240</v>
      </c>
      <c r="GY3637" s="5" t="s">
        <v>240</v>
      </c>
      <c r="GZ3637" s="5" t="s">
        <v>240</v>
      </c>
      <c r="HA3637" s="5" t="s">
        <v>240</v>
      </c>
      <c r="HB3637" s="5" t="s">
        <v>240</v>
      </c>
      <c r="HC3637" s="5" t="s">
        <v>240</v>
      </c>
      <c r="HD3637" s="5" t="s">
        <v>240</v>
      </c>
      <c r="HE3637" s="5" t="s">
        <v>240</v>
      </c>
      <c r="HF3637" s="5" t="s">
        <v>240</v>
      </c>
      <c r="HG3637" s="5" t="s">
        <v>240</v>
      </c>
      <c r="HH3637" s="5" t="s">
        <v>240</v>
      </c>
      <c r="HI3637" s="5" t="s">
        <v>240</v>
      </c>
      <c r="HJ3637" s="5" t="s">
        <v>240</v>
      </c>
      <c r="HK3637" s="5" t="s">
        <v>240</v>
      </c>
      <c r="HL3637" s="5" t="s">
        <v>240</v>
      </c>
      <c r="HM3637" s="5" t="s">
        <v>240</v>
      </c>
      <c r="HN3637" s="5" t="s">
        <v>240</v>
      </c>
      <c r="HO3637" s="5" t="s">
        <v>240</v>
      </c>
      <c r="HP3637" s="5" t="s">
        <v>240</v>
      </c>
      <c r="HQ3637" s="5" t="s">
        <v>240</v>
      </c>
      <c r="HR3637" s="5" t="s">
        <v>240</v>
      </c>
      <c r="HS3637" s="5" t="s">
        <v>240</v>
      </c>
      <c r="HT3637" s="5" t="s">
        <v>240</v>
      </c>
      <c r="HU3637" s="5" t="s">
        <v>240</v>
      </c>
      <c r="HV3637" s="5" t="s">
        <v>240</v>
      </c>
      <c r="HW3637" s="5" t="s">
        <v>240</v>
      </c>
      <c r="HX3637" s="5" t="s">
        <v>240</v>
      </c>
      <c r="HY3637" s="5" t="s">
        <v>240</v>
      </c>
      <c r="HZ3637" s="5" t="s">
        <v>240</v>
      </c>
      <c r="IA3637" s="5" t="s">
        <v>240</v>
      </c>
      <c r="IB3637" s="5" t="s">
        <v>240</v>
      </c>
      <c r="IC3637" s="5" t="s">
        <v>240</v>
      </c>
      <c r="ID3637" s="5" t="s">
        <v>240</v>
      </c>
      <c r="IE3637" s="5" t="s">
        <v>240</v>
      </c>
      <c r="IF3637" s="5" t="s">
        <v>240</v>
      </c>
    </row>
    <row r="3638" spans="1:240" x14ac:dyDescent="0.4">
      <c r="A3638" s="5">
        <v>9180</v>
      </c>
      <c r="B3638" s="5">
        <v>1</v>
      </c>
      <c r="C3638" s="5">
        <v>1</v>
      </c>
      <c r="D3638" s="5" t="s">
        <v>723</v>
      </c>
      <c r="E3638" s="5" t="s">
        <v>725</v>
      </c>
      <c r="F3638" s="5" t="s">
        <v>254</v>
      </c>
      <c r="G3638" s="5" t="s">
        <v>726</v>
      </c>
      <c r="H3638" s="6" t="s">
        <v>6409</v>
      </c>
      <c r="I3638" s="5" t="s">
        <v>6408</v>
      </c>
      <c r="J3638" s="7">
        <f>1</f>
        <v>1</v>
      </c>
      <c r="K3638" s="5" t="s">
        <v>3682</v>
      </c>
      <c r="L3638" s="7">
        <f>1</f>
        <v>1</v>
      </c>
      <c r="M3638" s="7">
        <f>1</f>
        <v>1</v>
      </c>
      <c r="N3638" s="5" t="s">
        <v>242</v>
      </c>
      <c r="O3638" s="5">
        <v>1</v>
      </c>
      <c r="P3638" s="5" t="s">
        <v>294</v>
      </c>
      <c r="Q3638" s="5" t="s">
        <v>3678</v>
      </c>
      <c r="R3638" s="5" t="s">
        <v>240</v>
      </c>
      <c r="S3638" s="5" t="s">
        <v>240</v>
      </c>
      <c r="T3638" s="5" t="s">
        <v>243</v>
      </c>
      <c r="U3638" s="5" t="s">
        <v>244</v>
      </c>
      <c r="V3638" s="5" t="s">
        <v>240</v>
      </c>
      <c r="W3638" s="5" t="s">
        <v>240</v>
      </c>
      <c r="X3638" s="5" t="s">
        <v>240</v>
      </c>
      <c r="Y3638" s="5" t="s">
        <v>240</v>
      </c>
      <c r="Z3638" s="6" t="s">
        <v>298</v>
      </c>
      <c r="AA3638" s="6" t="s">
        <v>240</v>
      </c>
      <c r="AB3638" s="6" t="s">
        <v>240</v>
      </c>
      <c r="AC3638" s="5" t="s">
        <v>240</v>
      </c>
      <c r="AD3638" s="6" t="s">
        <v>240</v>
      </c>
      <c r="AE3638" s="6" t="s">
        <v>299</v>
      </c>
      <c r="AF3638" s="5" t="s">
        <v>248</v>
      </c>
      <c r="AG3638" s="5" t="s">
        <v>249</v>
      </c>
      <c r="AH3638" s="5" t="s">
        <v>240</v>
      </c>
      <c r="AI3638" s="5" t="s">
        <v>240</v>
      </c>
      <c r="AJ3638" s="5" t="s">
        <v>240</v>
      </c>
      <c r="AK3638" s="5" t="s">
        <v>240</v>
      </c>
      <c r="AL3638" s="5" t="s">
        <v>240</v>
      </c>
      <c r="AM3638" s="5" t="s">
        <v>240</v>
      </c>
      <c r="AN3638" s="5" t="s">
        <v>240</v>
      </c>
      <c r="AO3638" s="5" t="s">
        <v>240</v>
      </c>
      <c r="AP3638" s="6" t="s">
        <v>240</v>
      </c>
      <c r="AQ3638" s="6" t="s">
        <v>240</v>
      </c>
      <c r="AR3638" s="6" t="s">
        <v>240</v>
      </c>
      <c r="AS3638" s="6" t="s">
        <v>240</v>
      </c>
      <c r="AT3638" s="5" t="s">
        <v>240</v>
      </c>
      <c r="AU3638" s="5" t="s">
        <v>729</v>
      </c>
      <c r="AV3638" s="5" t="s">
        <v>729</v>
      </c>
      <c r="AW3638" s="5" t="s">
        <v>251</v>
      </c>
      <c r="AX3638" s="5" t="s">
        <v>252</v>
      </c>
      <c r="AY3638" s="5" t="s">
        <v>253</v>
      </c>
      <c r="AZ3638" s="5" t="s">
        <v>240</v>
      </c>
      <c r="BA3638" s="5" t="s">
        <v>255</v>
      </c>
      <c r="BB3638" s="5" t="s">
        <v>731</v>
      </c>
      <c r="BD3638" s="5" t="s">
        <v>240</v>
      </c>
      <c r="BF3638" s="5" t="s">
        <v>732</v>
      </c>
      <c r="BG3638" s="6" t="s">
        <v>733</v>
      </c>
      <c r="BH3638" s="5" t="s">
        <v>734</v>
      </c>
      <c r="BI3638" s="5" t="s">
        <v>734</v>
      </c>
      <c r="BJ3638" s="5" t="s">
        <v>240</v>
      </c>
      <c r="BK3638" s="7">
        <f>1</f>
        <v>1</v>
      </c>
      <c r="BL3638" s="7">
        <f>1</f>
        <v>1</v>
      </c>
      <c r="BM3638" s="5" t="s">
        <v>258</v>
      </c>
      <c r="BN3638" s="5" t="s">
        <v>259</v>
      </c>
      <c r="BO3638" s="5" t="s">
        <v>240</v>
      </c>
      <c r="BP3638" s="5" t="s">
        <v>240</v>
      </c>
      <c r="BQ3638" s="5" t="s">
        <v>240</v>
      </c>
      <c r="BR3638" s="5" t="s">
        <v>240</v>
      </c>
      <c r="BS3638" s="5" t="s">
        <v>240</v>
      </c>
      <c r="BT3638" s="5" t="s">
        <v>240</v>
      </c>
      <c r="BU3638" s="5" t="s">
        <v>240</v>
      </c>
      <c r="BV3638" s="5" t="s">
        <v>240</v>
      </c>
      <c r="BW3638" s="6" t="s">
        <v>240</v>
      </c>
      <c r="BX3638" s="5" t="s">
        <v>240</v>
      </c>
      <c r="BY3638" s="5" t="s">
        <v>240</v>
      </c>
      <c r="BZ3638" s="5" t="s">
        <v>240</v>
      </c>
      <c r="CA3638" s="5" t="s">
        <v>259</v>
      </c>
      <c r="CB3638" s="5" t="s">
        <v>240</v>
      </c>
      <c r="CC3638" s="5" t="s">
        <v>240</v>
      </c>
      <c r="CD3638" s="5" t="s">
        <v>240</v>
      </c>
      <c r="CE3638" s="5" t="s">
        <v>240</v>
      </c>
      <c r="CF3638" s="5" t="s">
        <v>240</v>
      </c>
      <c r="CG3638" s="5" t="s">
        <v>304</v>
      </c>
      <c r="CH3638" s="5" t="s">
        <v>305</v>
      </c>
      <c r="CI3638" s="5" t="s">
        <v>240</v>
      </c>
      <c r="CK3638" s="5" t="s">
        <v>3681</v>
      </c>
      <c r="CL3638" s="6" t="s">
        <v>261</v>
      </c>
      <c r="CM3638" s="5" t="s">
        <v>262</v>
      </c>
      <c r="CN3638" s="5" t="s">
        <v>263</v>
      </c>
      <c r="CO3638" s="5" t="s">
        <v>264</v>
      </c>
      <c r="CP3638" s="5" t="s">
        <v>240</v>
      </c>
      <c r="CQ3638" s="5">
        <v>0</v>
      </c>
      <c r="CR3638" s="5" t="s">
        <v>735</v>
      </c>
      <c r="CS3638" s="5" t="s">
        <v>307</v>
      </c>
      <c r="CT3638" s="5" t="s">
        <v>307</v>
      </c>
      <c r="CU3638" s="5" t="s">
        <v>260</v>
      </c>
      <c r="CV3638" s="5" t="s">
        <v>612</v>
      </c>
      <c r="CW3638" s="8">
        <f>1</f>
        <v>1</v>
      </c>
      <c r="CX3638" s="7">
        <f>1</f>
        <v>1</v>
      </c>
      <c r="CY3638" s="7">
        <f>0</f>
        <v>0</v>
      </c>
      <c r="DA3638" s="7">
        <f>1</f>
        <v>1</v>
      </c>
      <c r="DB3638" s="7" t="s">
        <v>240</v>
      </c>
      <c r="DC3638" s="5" t="s">
        <v>240</v>
      </c>
      <c r="DD3638" s="5" t="s">
        <v>240</v>
      </c>
      <c r="DE3638" s="5" t="s">
        <v>240</v>
      </c>
      <c r="DF3638" s="5" t="s">
        <v>240</v>
      </c>
      <c r="DG3638" s="7">
        <f>0</f>
        <v>0</v>
      </c>
      <c r="DI3638" s="5" t="s">
        <v>240</v>
      </c>
      <c r="DJ3638" s="5" t="s">
        <v>240</v>
      </c>
      <c r="DK3638" s="5" t="s">
        <v>240</v>
      </c>
      <c r="DL3638" s="5" t="s">
        <v>240</v>
      </c>
      <c r="DM3638" s="5" t="s">
        <v>240</v>
      </c>
      <c r="DN3638" s="5" t="s">
        <v>240</v>
      </c>
      <c r="DO3638" s="7" t="s">
        <v>240</v>
      </c>
      <c r="DP3638" s="5" t="s">
        <v>240</v>
      </c>
      <c r="DQ3638" s="5" t="s">
        <v>240</v>
      </c>
      <c r="DR3638" s="5" t="s">
        <v>731</v>
      </c>
      <c r="DS3638" s="5" t="s">
        <v>731</v>
      </c>
      <c r="DT3638" s="5" t="s">
        <v>240</v>
      </c>
      <c r="DU3638" s="5" t="s">
        <v>240</v>
      </c>
      <c r="DV3638" s="5" t="s">
        <v>3683</v>
      </c>
      <c r="DW3638" s="5" t="s">
        <v>506</v>
      </c>
      <c r="DX3638" s="5" t="s">
        <v>240</v>
      </c>
      <c r="DY3638" s="5" t="s">
        <v>240</v>
      </c>
      <c r="DZ3638" s="5" t="s">
        <v>240</v>
      </c>
      <c r="EA3638" s="5" t="s">
        <v>240</v>
      </c>
      <c r="EB3638" s="5" t="s">
        <v>240</v>
      </c>
      <c r="EC3638" s="5" t="s">
        <v>240</v>
      </c>
      <c r="ED3638" s="5" t="s">
        <v>240</v>
      </c>
      <c r="EE3638" s="5" t="s">
        <v>240</v>
      </c>
      <c r="EF3638" s="5" t="s">
        <v>240</v>
      </c>
      <c r="EG3638" s="5" t="s">
        <v>240</v>
      </c>
      <c r="EH3638" s="5" t="s">
        <v>240</v>
      </c>
      <c r="EI3638" s="5" t="s">
        <v>240</v>
      </c>
      <c r="EJ3638" s="5" t="s">
        <v>240</v>
      </c>
      <c r="EK3638" s="5" t="s">
        <v>240</v>
      </c>
      <c r="EL3638" s="5" t="s">
        <v>240</v>
      </c>
      <c r="EM3638" s="5" t="s">
        <v>240</v>
      </c>
      <c r="EN3638" s="5" t="s">
        <v>240</v>
      </c>
      <c r="EO3638" s="5" t="s">
        <v>240</v>
      </c>
      <c r="EP3638" s="5" t="s">
        <v>240</v>
      </c>
      <c r="EQ3638" s="5" t="s">
        <v>240</v>
      </c>
      <c r="ER3638" s="5" t="s">
        <v>240</v>
      </c>
      <c r="ES3638" s="5" t="s">
        <v>240</v>
      </c>
      <c r="ET3638" s="5" t="s">
        <v>240</v>
      </c>
      <c r="EU3638" s="5" t="s">
        <v>240</v>
      </c>
      <c r="EV3638" s="5" t="s">
        <v>240</v>
      </c>
      <c r="EW3638" s="5" t="s">
        <v>240</v>
      </c>
      <c r="EX3638" s="5" t="s">
        <v>240</v>
      </c>
      <c r="EY3638" s="5" t="s">
        <v>240</v>
      </c>
      <c r="EZ3638" s="5" t="s">
        <v>240</v>
      </c>
      <c r="FA3638" s="5" t="s">
        <v>240</v>
      </c>
      <c r="FB3638" s="5" t="s">
        <v>240</v>
      </c>
      <c r="FC3638" s="5" t="s">
        <v>240</v>
      </c>
      <c r="FD3638" s="5" t="s">
        <v>240</v>
      </c>
      <c r="FE3638" s="5" t="s">
        <v>240</v>
      </c>
      <c r="FF3638" s="5" t="s">
        <v>240</v>
      </c>
      <c r="FG3638" s="5" t="s">
        <v>240</v>
      </c>
      <c r="FH3638" s="5" t="s">
        <v>240</v>
      </c>
      <c r="FI3638" s="5" t="s">
        <v>240</v>
      </c>
      <c r="FJ3638" s="5" t="s">
        <v>240</v>
      </c>
      <c r="FK3638" s="5" t="s">
        <v>240</v>
      </c>
      <c r="FL3638" s="5" t="s">
        <v>240</v>
      </c>
      <c r="FM3638" s="5" t="s">
        <v>240</v>
      </c>
      <c r="FN3638" s="5" t="s">
        <v>240</v>
      </c>
      <c r="FO3638" s="5" t="s">
        <v>240</v>
      </c>
      <c r="FP3638" s="5" t="s">
        <v>240</v>
      </c>
      <c r="FQ3638" s="5" t="s">
        <v>240</v>
      </c>
      <c r="FR3638" s="5" t="s">
        <v>240</v>
      </c>
      <c r="FS3638" s="5" t="s">
        <v>240</v>
      </c>
      <c r="FT3638" s="5" t="s">
        <v>240</v>
      </c>
      <c r="FU3638" s="5" t="s">
        <v>240</v>
      </c>
      <c r="FV3638" s="5" t="s">
        <v>240</v>
      </c>
      <c r="FW3638" s="5" t="s">
        <v>240</v>
      </c>
      <c r="FX3638" s="5" t="s">
        <v>240</v>
      </c>
      <c r="FY3638" s="5" t="s">
        <v>240</v>
      </c>
      <c r="FZ3638" s="5" t="s">
        <v>240</v>
      </c>
      <c r="GA3638" s="5" t="s">
        <v>240</v>
      </c>
      <c r="GB3638" s="5" t="s">
        <v>240</v>
      </c>
      <c r="GC3638" s="5" t="s">
        <v>240</v>
      </c>
      <c r="GD3638" s="5" t="s">
        <v>240</v>
      </c>
      <c r="GE3638" s="5" t="s">
        <v>240</v>
      </c>
      <c r="GF3638" s="5" t="s">
        <v>240</v>
      </c>
      <c r="GG3638" s="5" t="s">
        <v>240</v>
      </c>
      <c r="GH3638" s="5" t="s">
        <v>240</v>
      </c>
      <c r="GI3638" s="5" t="s">
        <v>240</v>
      </c>
      <c r="GJ3638" s="5" t="s">
        <v>240</v>
      </c>
      <c r="GK3638" s="5" t="s">
        <v>240</v>
      </c>
      <c r="GL3638" s="5" t="s">
        <v>240</v>
      </c>
      <c r="GM3638" s="5" t="s">
        <v>240</v>
      </c>
      <c r="GN3638" s="5" t="s">
        <v>240</v>
      </c>
      <c r="GO3638" s="5" t="s">
        <v>240</v>
      </c>
      <c r="GP3638" s="5" t="s">
        <v>240</v>
      </c>
      <c r="GQ3638" s="5" t="s">
        <v>240</v>
      </c>
      <c r="GR3638" s="5" t="s">
        <v>240</v>
      </c>
      <c r="GS3638" s="5" t="s">
        <v>240</v>
      </c>
      <c r="GT3638" s="5" t="s">
        <v>240</v>
      </c>
      <c r="GU3638" s="5" t="s">
        <v>240</v>
      </c>
      <c r="GV3638" s="5" t="s">
        <v>240</v>
      </c>
      <c r="GW3638" s="5" t="s">
        <v>240</v>
      </c>
      <c r="GX3638" s="5" t="s">
        <v>240</v>
      </c>
      <c r="GY3638" s="5" t="s">
        <v>240</v>
      </c>
      <c r="GZ3638" s="5" t="s">
        <v>240</v>
      </c>
      <c r="HA3638" s="5" t="s">
        <v>240</v>
      </c>
      <c r="HB3638" s="5" t="s">
        <v>240</v>
      </c>
      <c r="HC3638" s="5" t="s">
        <v>240</v>
      </c>
      <c r="HD3638" s="5" t="s">
        <v>240</v>
      </c>
      <c r="HE3638" s="5" t="s">
        <v>240</v>
      </c>
      <c r="HF3638" s="5" t="s">
        <v>240</v>
      </c>
      <c r="HG3638" s="5" t="s">
        <v>240</v>
      </c>
      <c r="HH3638" s="5" t="s">
        <v>240</v>
      </c>
      <c r="HI3638" s="5" t="s">
        <v>240</v>
      </c>
      <c r="HJ3638" s="5" t="s">
        <v>240</v>
      </c>
      <c r="HK3638" s="5" t="s">
        <v>240</v>
      </c>
      <c r="HL3638" s="5" t="s">
        <v>240</v>
      </c>
      <c r="HM3638" s="5" t="s">
        <v>240</v>
      </c>
      <c r="HN3638" s="5" t="s">
        <v>240</v>
      </c>
      <c r="HO3638" s="5" t="s">
        <v>312</v>
      </c>
      <c r="HP3638" s="5" t="s">
        <v>240</v>
      </c>
      <c r="HQ3638" s="5" t="s">
        <v>240</v>
      </c>
      <c r="HR3638" s="5" t="s">
        <v>240</v>
      </c>
      <c r="HS3638" s="5" t="s">
        <v>240</v>
      </c>
      <c r="HT3638" s="5" t="s">
        <v>240</v>
      </c>
      <c r="HU3638" s="5" t="s">
        <v>240</v>
      </c>
      <c r="HV3638" s="5" t="s">
        <v>240</v>
      </c>
      <c r="HW3638" s="5" t="s">
        <v>240</v>
      </c>
      <c r="HX3638" s="5" t="s">
        <v>240</v>
      </c>
      <c r="HY3638" s="5" t="s">
        <v>240</v>
      </c>
      <c r="HZ3638" s="5" t="s">
        <v>240</v>
      </c>
      <c r="IA3638" s="5" t="s">
        <v>240</v>
      </c>
      <c r="IB3638" s="5" t="s">
        <v>240</v>
      </c>
      <c r="IC3638" s="5" t="s">
        <v>240</v>
      </c>
      <c r="ID3638" s="5" t="s">
        <v>240</v>
      </c>
      <c r="IE3638" s="5" t="s">
        <v>240</v>
      </c>
      <c r="IF3638" s="5" t="s">
        <v>240</v>
      </c>
    </row>
    <row r="3639" spans="1:240" x14ac:dyDescent="0.4">
      <c r="A3639" s="5">
        <v>9181</v>
      </c>
      <c r="B3639" s="5">
        <v>1</v>
      </c>
      <c r="C3639" s="5">
        <v>1</v>
      </c>
      <c r="D3639" s="5" t="s">
        <v>723</v>
      </c>
      <c r="E3639" s="5" t="s">
        <v>725</v>
      </c>
      <c r="F3639" s="5" t="s">
        <v>254</v>
      </c>
      <c r="G3639" s="5" t="s">
        <v>5325</v>
      </c>
      <c r="H3639" s="6" t="s">
        <v>6233</v>
      </c>
      <c r="I3639" s="5" t="s">
        <v>6233</v>
      </c>
      <c r="J3639" s="7">
        <f>1</f>
        <v>1</v>
      </c>
      <c r="K3639" s="5" t="s">
        <v>3682</v>
      </c>
      <c r="L3639" s="7">
        <f>1</f>
        <v>1</v>
      </c>
      <c r="M3639" s="7">
        <f>1</f>
        <v>1</v>
      </c>
      <c r="N3639" s="5" t="s">
        <v>242</v>
      </c>
      <c r="O3639" s="5">
        <v>1</v>
      </c>
      <c r="P3639" s="5" t="s">
        <v>294</v>
      </c>
      <c r="Q3639" s="5" t="s">
        <v>3678</v>
      </c>
      <c r="R3639" s="5" t="s">
        <v>240</v>
      </c>
      <c r="S3639" s="5" t="s">
        <v>240</v>
      </c>
      <c r="T3639" s="5" t="s">
        <v>243</v>
      </c>
      <c r="U3639" s="5" t="s">
        <v>244</v>
      </c>
      <c r="V3639" s="5" t="s">
        <v>240</v>
      </c>
      <c r="W3639" s="5" t="s">
        <v>240</v>
      </c>
      <c r="X3639" s="5" t="s">
        <v>240</v>
      </c>
      <c r="Y3639" s="5" t="s">
        <v>240</v>
      </c>
      <c r="Z3639" s="6" t="s">
        <v>298</v>
      </c>
      <c r="AA3639" s="6" t="s">
        <v>240</v>
      </c>
      <c r="AB3639" s="6" t="s">
        <v>240</v>
      </c>
      <c r="AC3639" s="5" t="s">
        <v>240</v>
      </c>
      <c r="AD3639" s="6" t="s">
        <v>240</v>
      </c>
      <c r="AE3639" s="6" t="s">
        <v>299</v>
      </c>
      <c r="AF3639" s="5" t="s">
        <v>248</v>
      </c>
      <c r="AG3639" s="5" t="s">
        <v>249</v>
      </c>
      <c r="AH3639" s="5" t="s">
        <v>240</v>
      </c>
      <c r="AI3639" s="5" t="s">
        <v>240</v>
      </c>
      <c r="AJ3639" s="5" t="s">
        <v>240</v>
      </c>
      <c r="AK3639" s="5" t="s">
        <v>240</v>
      </c>
      <c r="AL3639" s="5" t="s">
        <v>240</v>
      </c>
      <c r="AM3639" s="5" t="s">
        <v>240</v>
      </c>
      <c r="AN3639" s="5" t="s">
        <v>240</v>
      </c>
      <c r="AO3639" s="5" t="s">
        <v>240</v>
      </c>
      <c r="AP3639" s="6" t="s">
        <v>240</v>
      </c>
      <c r="AQ3639" s="6" t="s">
        <v>240</v>
      </c>
      <c r="AR3639" s="6" t="s">
        <v>240</v>
      </c>
      <c r="AS3639" s="6" t="s">
        <v>240</v>
      </c>
      <c r="AT3639" s="5" t="s">
        <v>240</v>
      </c>
      <c r="AU3639" s="5" t="s">
        <v>729</v>
      </c>
      <c r="AV3639" s="5" t="s">
        <v>729</v>
      </c>
      <c r="AW3639" s="5" t="s">
        <v>251</v>
      </c>
      <c r="AX3639" s="5" t="s">
        <v>252</v>
      </c>
      <c r="AY3639" s="5" t="s">
        <v>253</v>
      </c>
      <c r="AZ3639" s="5" t="s">
        <v>6046</v>
      </c>
      <c r="BA3639" s="5" t="s">
        <v>255</v>
      </c>
      <c r="BB3639" s="5" t="s">
        <v>731</v>
      </c>
      <c r="BD3639" s="5" t="s">
        <v>240</v>
      </c>
      <c r="BF3639" s="5" t="s">
        <v>732</v>
      </c>
      <c r="BG3639" s="6" t="s">
        <v>733</v>
      </c>
      <c r="BH3639" s="5" t="s">
        <v>734</v>
      </c>
      <c r="BI3639" s="5" t="s">
        <v>734</v>
      </c>
      <c r="BJ3639" s="5" t="s">
        <v>240</v>
      </c>
      <c r="BK3639" s="7">
        <f>1</f>
        <v>1</v>
      </c>
      <c r="BL3639" s="7">
        <f>1</f>
        <v>1</v>
      </c>
      <c r="BM3639" s="5" t="s">
        <v>258</v>
      </c>
      <c r="BN3639" s="5" t="s">
        <v>259</v>
      </c>
      <c r="BO3639" s="5" t="s">
        <v>240</v>
      </c>
      <c r="BP3639" s="5" t="s">
        <v>240</v>
      </c>
      <c r="BQ3639" s="5" t="s">
        <v>240</v>
      </c>
      <c r="BR3639" s="5" t="s">
        <v>240</v>
      </c>
      <c r="BS3639" s="5" t="s">
        <v>240</v>
      </c>
      <c r="BT3639" s="5" t="s">
        <v>240</v>
      </c>
      <c r="BU3639" s="5" t="s">
        <v>240</v>
      </c>
      <c r="BV3639" s="5" t="s">
        <v>240</v>
      </c>
      <c r="BW3639" s="6" t="s">
        <v>240</v>
      </c>
      <c r="BX3639" s="5" t="s">
        <v>240</v>
      </c>
      <c r="BY3639" s="5" t="s">
        <v>240</v>
      </c>
      <c r="BZ3639" s="5" t="s">
        <v>240</v>
      </c>
      <c r="CA3639" s="5" t="s">
        <v>259</v>
      </c>
      <c r="CB3639" s="5" t="s">
        <v>240</v>
      </c>
      <c r="CC3639" s="5" t="s">
        <v>240</v>
      </c>
      <c r="CD3639" s="5" t="s">
        <v>240</v>
      </c>
      <c r="CE3639" s="5" t="s">
        <v>240</v>
      </c>
      <c r="CF3639" s="5" t="s">
        <v>240</v>
      </c>
      <c r="CG3639" s="5" t="s">
        <v>304</v>
      </c>
      <c r="CH3639" s="5" t="s">
        <v>305</v>
      </c>
      <c r="CI3639" s="5" t="s">
        <v>260</v>
      </c>
      <c r="CK3639" s="5" t="s">
        <v>3681</v>
      </c>
      <c r="CL3639" s="6" t="s">
        <v>261</v>
      </c>
      <c r="CM3639" s="5" t="s">
        <v>262</v>
      </c>
      <c r="CN3639" s="5" t="s">
        <v>263</v>
      </c>
      <c r="CO3639" s="5" t="s">
        <v>264</v>
      </c>
      <c r="CP3639" s="5" t="s">
        <v>240</v>
      </c>
      <c r="CQ3639" s="5">
        <v>0</v>
      </c>
      <c r="CR3639" s="5" t="s">
        <v>735</v>
      </c>
      <c r="CS3639" s="5" t="s">
        <v>307</v>
      </c>
      <c r="CT3639" s="5" t="s">
        <v>307</v>
      </c>
      <c r="CU3639" s="5" t="s">
        <v>260</v>
      </c>
      <c r="CV3639" s="5" t="s">
        <v>612</v>
      </c>
      <c r="CW3639" s="8">
        <f>1</f>
        <v>1</v>
      </c>
      <c r="CX3639" s="7">
        <f>1</f>
        <v>1</v>
      </c>
      <c r="CY3639" s="7">
        <f>0</f>
        <v>0</v>
      </c>
      <c r="DA3639" s="7">
        <f>1</f>
        <v>1</v>
      </c>
      <c r="DB3639" s="7" t="s">
        <v>240</v>
      </c>
      <c r="DC3639" s="5" t="s">
        <v>240</v>
      </c>
      <c r="DD3639" s="5" t="s">
        <v>240</v>
      </c>
      <c r="DE3639" s="5" t="s">
        <v>240</v>
      </c>
      <c r="DF3639" s="5" t="s">
        <v>240</v>
      </c>
      <c r="DG3639" s="7">
        <f>0</f>
        <v>0</v>
      </c>
      <c r="DI3639" s="5" t="s">
        <v>240</v>
      </c>
      <c r="DJ3639" s="5" t="s">
        <v>240</v>
      </c>
      <c r="DK3639" s="5" t="s">
        <v>240</v>
      </c>
      <c r="DL3639" s="5" t="s">
        <v>240</v>
      </c>
      <c r="DM3639" s="5" t="s">
        <v>240</v>
      </c>
      <c r="DN3639" s="5" t="s">
        <v>240</v>
      </c>
      <c r="DO3639" s="7" t="s">
        <v>240</v>
      </c>
      <c r="DP3639" s="5" t="s">
        <v>240</v>
      </c>
      <c r="DQ3639" s="5" t="s">
        <v>248</v>
      </c>
      <c r="DR3639" s="5" t="s">
        <v>731</v>
      </c>
      <c r="DS3639" s="5" t="s">
        <v>731</v>
      </c>
      <c r="DT3639" s="5" t="s">
        <v>240</v>
      </c>
      <c r="DU3639" s="5" t="s">
        <v>240</v>
      </c>
      <c r="DV3639" s="5" t="s">
        <v>6047</v>
      </c>
      <c r="DW3639" s="5" t="s">
        <v>789</v>
      </c>
      <c r="DX3639" s="5" t="s">
        <v>240</v>
      </c>
      <c r="DY3639" s="5" t="s">
        <v>240</v>
      </c>
      <c r="DZ3639" s="5" t="s">
        <v>240</v>
      </c>
      <c r="EA3639" s="5" t="s">
        <v>240</v>
      </c>
      <c r="EB3639" s="5" t="s">
        <v>240</v>
      </c>
      <c r="EC3639" s="5" t="s">
        <v>240</v>
      </c>
      <c r="ED3639" s="5" t="s">
        <v>240</v>
      </c>
      <c r="EE3639" s="5" t="s">
        <v>240</v>
      </c>
      <c r="EF3639" s="5" t="s">
        <v>240</v>
      </c>
      <c r="EG3639" s="5" t="s">
        <v>240</v>
      </c>
      <c r="EH3639" s="5" t="s">
        <v>240</v>
      </c>
      <c r="EI3639" s="5" t="s">
        <v>240</v>
      </c>
      <c r="EJ3639" s="5" t="s">
        <v>240</v>
      </c>
      <c r="EK3639" s="5" t="s">
        <v>240</v>
      </c>
      <c r="EL3639" s="5" t="s">
        <v>240</v>
      </c>
      <c r="EM3639" s="5" t="s">
        <v>240</v>
      </c>
      <c r="EN3639" s="5" t="s">
        <v>240</v>
      </c>
      <c r="EO3639" s="5" t="s">
        <v>240</v>
      </c>
      <c r="EP3639" s="5" t="s">
        <v>240</v>
      </c>
      <c r="EQ3639" s="5" t="s">
        <v>240</v>
      </c>
      <c r="ER3639" s="5" t="s">
        <v>240</v>
      </c>
      <c r="ES3639" s="5" t="s">
        <v>240</v>
      </c>
      <c r="ET3639" s="5" t="s">
        <v>240</v>
      </c>
      <c r="EU3639" s="5" t="s">
        <v>240</v>
      </c>
      <c r="EV3639" s="5" t="s">
        <v>240</v>
      </c>
      <c r="EW3639" s="5" t="s">
        <v>240</v>
      </c>
      <c r="EX3639" s="5" t="s">
        <v>240</v>
      </c>
      <c r="EY3639" s="5" t="s">
        <v>240</v>
      </c>
      <c r="EZ3639" s="5" t="s">
        <v>240</v>
      </c>
      <c r="FA3639" s="5" t="s">
        <v>240</v>
      </c>
      <c r="FB3639" s="5" t="s">
        <v>240</v>
      </c>
      <c r="FC3639" s="5" t="s">
        <v>240</v>
      </c>
      <c r="FD3639" s="5" t="s">
        <v>240</v>
      </c>
      <c r="FE3639" s="5" t="s">
        <v>240</v>
      </c>
      <c r="FF3639" s="5" t="s">
        <v>240</v>
      </c>
      <c r="FG3639" s="5" t="s">
        <v>240</v>
      </c>
      <c r="FH3639" s="5" t="s">
        <v>240</v>
      </c>
      <c r="FI3639" s="5" t="s">
        <v>240</v>
      </c>
      <c r="FJ3639" s="5" t="s">
        <v>240</v>
      </c>
      <c r="FK3639" s="5" t="s">
        <v>240</v>
      </c>
      <c r="FL3639" s="5" t="s">
        <v>240</v>
      </c>
      <c r="FM3639" s="5" t="s">
        <v>240</v>
      </c>
      <c r="FN3639" s="5" t="s">
        <v>240</v>
      </c>
      <c r="FO3639" s="5" t="s">
        <v>240</v>
      </c>
      <c r="FP3639" s="5" t="s">
        <v>240</v>
      </c>
      <c r="FQ3639" s="5" t="s">
        <v>240</v>
      </c>
      <c r="FR3639" s="5" t="s">
        <v>240</v>
      </c>
      <c r="FS3639" s="5" t="s">
        <v>240</v>
      </c>
      <c r="FT3639" s="5" t="s">
        <v>240</v>
      </c>
      <c r="FU3639" s="5" t="s">
        <v>240</v>
      </c>
      <c r="FV3639" s="5" t="s">
        <v>240</v>
      </c>
      <c r="FW3639" s="5" t="s">
        <v>240</v>
      </c>
      <c r="FX3639" s="5" t="s">
        <v>240</v>
      </c>
      <c r="FY3639" s="5" t="s">
        <v>240</v>
      </c>
      <c r="FZ3639" s="5" t="s">
        <v>240</v>
      </c>
      <c r="GA3639" s="5" t="s">
        <v>240</v>
      </c>
      <c r="GB3639" s="5" t="s">
        <v>240</v>
      </c>
      <c r="GC3639" s="5" t="s">
        <v>240</v>
      </c>
      <c r="GD3639" s="5" t="s">
        <v>240</v>
      </c>
      <c r="GE3639" s="5" t="s">
        <v>240</v>
      </c>
      <c r="GF3639" s="5" t="s">
        <v>240</v>
      </c>
      <c r="GG3639" s="5" t="s">
        <v>240</v>
      </c>
      <c r="GH3639" s="5" t="s">
        <v>240</v>
      </c>
      <c r="GI3639" s="5" t="s">
        <v>240</v>
      </c>
      <c r="GJ3639" s="5" t="s">
        <v>240</v>
      </c>
      <c r="GK3639" s="5" t="s">
        <v>240</v>
      </c>
      <c r="GL3639" s="5" t="s">
        <v>240</v>
      </c>
      <c r="GM3639" s="5" t="s">
        <v>240</v>
      </c>
      <c r="GN3639" s="5" t="s">
        <v>240</v>
      </c>
      <c r="GO3639" s="5" t="s">
        <v>240</v>
      </c>
      <c r="GP3639" s="5" t="s">
        <v>240</v>
      </c>
      <c r="GQ3639" s="5" t="s">
        <v>240</v>
      </c>
      <c r="GR3639" s="5" t="s">
        <v>240</v>
      </c>
      <c r="GS3639" s="5" t="s">
        <v>240</v>
      </c>
      <c r="GT3639" s="5" t="s">
        <v>240</v>
      </c>
      <c r="GU3639" s="5" t="s">
        <v>240</v>
      </c>
      <c r="GV3639" s="5" t="s">
        <v>240</v>
      </c>
      <c r="GW3639" s="5" t="s">
        <v>240</v>
      </c>
      <c r="GX3639" s="5" t="s">
        <v>240</v>
      </c>
      <c r="GY3639" s="5" t="s">
        <v>240</v>
      </c>
      <c r="GZ3639" s="5" t="s">
        <v>240</v>
      </c>
      <c r="HA3639" s="5" t="s">
        <v>240</v>
      </c>
      <c r="HB3639" s="5" t="s">
        <v>240</v>
      </c>
      <c r="HC3639" s="5" t="s">
        <v>240</v>
      </c>
      <c r="HD3639" s="5" t="s">
        <v>240</v>
      </c>
      <c r="HE3639" s="5" t="s">
        <v>240</v>
      </c>
      <c r="HF3639" s="5" t="s">
        <v>240</v>
      </c>
      <c r="HG3639" s="5" t="s">
        <v>240</v>
      </c>
      <c r="HH3639" s="5" t="s">
        <v>240</v>
      </c>
      <c r="HI3639" s="5" t="s">
        <v>240</v>
      </c>
      <c r="HJ3639" s="5" t="s">
        <v>240</v>
      </c>
      <c r="HK3639" s="5" t="s">
        <v>240</v>
      </c>
      <c r="HL3639" s="5" t="s">
        <v>240</v>
      </c>
      <c r="HM3639" s="5" t="s">
        <v>240</v>
      </c>
      <c r="HN3639" s="5" t="s">
        <v>240</v>
      </c>
      <c r="HO3639" s="5" t="s">
        <v>240</v>
      </c>
      <c r="HP3639" s="5" t="s">
        <v>240</v>
      </c>
      <c r="HQ3639" s="5" t="s">
        <v>240</v>
      </c>
      <c r="HR3639" s="5" t="s">
        <v>240</v>
      </c>
      <c r="HS3639" s="5" t="s">
        <v>240</v>
      </c>
      <c r="HT3639" s="5" t="s">
        <v>240</v>
      </c>
      <c r="HU3639" s="5" t="s">
        <v>240</v>
      </c>
      <c r="HV3639" s="5" t="s">
        <v>240</v>
      </c>
      <c r="HW3639" s="5" t="s">
        <v>240</v>
      </c>
      <c r="HX3639" s="5" t="s">
        <v>240</v>
      </c>
      <c r="HY3639" s="5" t="s">
        <v>240</v>
      </c>
      <c r="HZ3639" s="5" t="s">
        <v>240</v>
      </c>
      <c r="IA3639" s="5" t="s">
        <v>240</v>
      </c>
      <c r="IB3639" s="5" t="s">
        <v>240</v>
      </c>
      <c r="IC3639" s="5" t="s">
        <v>240</v>
      </c>
      <c r="ID3639" s="5" t="s">
        <v>240</v>
      </c>
      <c r="IE3639" s="5" t="s">
        <v>240</v>
      </c>
      <c r="IF3639" s="5" t="s">
        <v>240</v>
      </c>
    </row>
    <row r="3640" spans="1:240" x14ac:dyDescent="0.4">
      <c r="A3640" s="5">
        <v>9182</v>
      </c>
      <c r="B3640" s="5">
        <v>1</v>
      </c>
      <c r="C3640" s="5">
        <v>1</v>
      </c>
      <c r="D3640" s="5" t="s">
        <v>723</v>
      </c>
      <c r="E3640" s="5" t="s">
        <v>725</v>
      </c>
      <c r="F3640" s="5" t="s">
        <v>254</v>
      </c>
      <c r="G3640" s="5" t="s">
        <v>726</v>
      </c>
      <c r="H3640" s="6" t="s">
        <v>6232</v>
      </c>
      <c r="I3640" s="5" t="s">
        <v>6231</v>
      </c>
      <c r="J3640" s="7">
        <f>1</f>
        <v>1</v>
      </c>
      <c r="K3640" s="5" t="s">
        <v>3682</v>
      </c>
      <c r="L3640" s="7">
        <f>1</f>
        <v>1</v>
      </c>
      <c r="M3640" s="7">
        <f>1</f>
        <v>1</v>
      </c>
      <c r="N3640" s="5" t="s">
        <v>242</v>
      </c>
      <c r="O3640" s="5">
        <v>1</v>
      </c>
      <c r="P3640" s="5" t="s">
        <v>294</v>
      </c>
      <c r="Q3640" s="5" t="s">
        <v>3678</v>
      </c>
      <c r="R3640" s="5" t="s">
        <v>240</v>
      </c>
      <c r="S3640" s="5" t="s">
        <v>240</v>
      </c>
      <c r="T3640" s="5" t="s">
        <v>243</v>
      </c>
      <c r="U3640" s="5" t="s">
        <v>244</v>
      </c>
      <c r="V3640" s="5" t="s">
        <v>240</v>
      </c>
      <c r="W3640" s="5" t="s">
        <v>240</v>
      </c>
      <c r="X3640" s="5" t="s">
        <v>240</v>
      </c>
      <c r="Y3640" s="5" t="s">
        <v>240</v>
      </c>
      <c r="Z3640" s="6" t="s">
        <v>298</v>
      </c>
      <c r="AA3640" s="6" t="s">
        <v>240</v>
      </c>
      <c r="AB3640" s="6" t="s">
        <v>240</v>
      </c>
      <c r="AC3640" s="5" t="s">
        <v>240</v>
      </c>
      <c r="AD3640" s="6" t="s">
        <v>240</v>
      </c>
      <c r="AE3640" s="6" t="s">
        <v>299</v>
      </c>
      <c r="AF3640" s="5" t="s">
        <v>248</v>
      </c>
      <c r="AG3640" s="5" t="s">
        <v>249</v>
      </c>
      <c r="AH3640" s="5" t="s">
        <v>240</v>
      </c>
      <c r="AI3640" s="5" t="s">
        <v>240</v>
      </c>
      <c r="AJ3640" s="5" t="s">
        <v>240</v>
      </c>
      <c r="AK3640" s="5" t="s">
        <v>240</v>
      </c>
      <c r="AL3640" s="5" t="s">
        <v>240</v>
      </c>
      <c r="AM3640" s="5" t="s">
        <v>240</v>
      </c>
      <c r="AN3640" s="5" t="s">
        <v>240</v>
      </c>
      <c r="AO3640" s="5" t="s">
        <v>240</v>
      </c>
      <c r="AP3640" s="6" t="s">
        <v>240</v>
      </c>
      <c r="AQ3640" s="6" t="s">
        <v>240</v>
      </c>
      <c r="AR3640" s="6" t="s">
        <v>240</v>
      </c>
      <c r="AS3640" s="6" t="s">
        <v>240</v>
      </c>
      <c r="AT3640" s="5" t="s">
        <v>240</v>
      </c>
      <c r="AU3640" s="5" t="s">
        <v>729</v>
      </c>
      <c r="AV3640" s="5" t="s">
        <v>729</v>
      </c>
      <c r="AW3640" s="5" t="s">
        <v>251</v>
      </c>
      <c r="AX3640" s="5" t="s">
        <v>252</v>
      </c>
      <c r="AY3640" s="5" t="s">
        <v>253</v>
      </c>
      <c r="AZ3640" s="5" t="s">
        <v>6046</v>
      </c>
      <c r="BA3640" s="5" t="s">
        <v>255</v>
      </c>
      <c r="BB3640" s="5" t="s">
        <v>731</v>
      </c>
      <c r="BD3640" s="5" t="s">
        <v>240</v>
      </c>
      <c r="BF3640" s="5" t="s">
        <v>732</v>
      </c>
      <c r="BG3640" s="6" t="s">
        <v>733</v>
      </c>
      <c r="BH3640" s="5" t="s">
        <v>734</v>
      </c>
      <c r="BI3640" s="5" t="s">
        <v>734</v>
      </c>
      <c r="BJ3640" s="5" t="s">
        <v>240</v>
      </c>
      <c r="BK3640" s="7">
        <f>1</f>
        <v>1</v>
      </c>
      <c r="BL3640" s="7">
        <f>1</f>
        <v>1</v>
      </c>
      <c r="BM3640" s="5" t="s">
        <v>258</v>
      </c>
      <c r="BN3640" s="5" t="s">
        <v>259</v>
      </c>
      <c r="BO3640" s="5" t="s">
        <v>240</v>
      </c>
      <c r="BP3640" s="5" t="s">
        <v>240</v>
      </c>
      <c r="BQ3640" s="5" t="s">
        <v>240</v>
      </c>
      <c r="BR3640" s="5" t="s">
        <v>240</v>
      </c>
      <c r="BS3640" s="5" t="s">
        <v>240</v>
      </c>
      <c r="BT3640" s="5" t="s">
        <v>240</v>
      </c>
      <c r="BU3640" s="5" t="s">
        <v>240</v>
      </c>
      <c r="BV3640" s="5" t="s">
        <v>240</v>
      </c>
      <c r="BW3640" s="6" t="s">
        <v>240</v>
      </c>
      <c r="BX3640" s="5" t="s">
        <v>240</v>
      </c>
      <c r="BY3640" s="5" t="s">
        <v>240</v>
      </c>
      <c r="BZ3640" s="5" t="s">
        <v>240</v>
      </c>
      <c r="CA3640" s="5" t="s">
        <v>259</v>
      </c>
      <c r="CB3640" s="5" t="s">
        <v>240</v>
      </c>
      <c r="CC3640" s="5" t="s">
        <v>240</v>
      </c>
      <c r="CD3640" s="5" t="s">
        <v>240</v>
      </c>
      <c r="CE3640" s="5" t="s">
        <v>240</v>
      </c>
      <c r="CF3640" s="5" t="s">
        <v>240</v>
      </c>
      <c r="CG3640" s="5" t="s">
        <v>304</v>
      </c>
      <c r="CH3640" s="5" t="s">
        <v>305</v>
      </c>
      <c r="CI3640" s="5" t="s">
        <v>260</v>
      </c>
      <c r="CK3640" s="5" t="s">
        <v>3681</v>
      </c>
      <c r="CL3640" s="6" t="s">
        <v>261</v>
      </c>
      <c r="CM3640" s="5" t="s">
        <v>262</v>
      </c>
      <c r="CN3640" s="5" t="s">
        <v>263</v>
      </c>
      <c r="CO3640" s="5" t="s">
        <v>264</v>
      </c>
      <c r="CP3640" s="5" t="s">
        <v>240</v>
      </c>
      <c r="CQ3640" s="5">
        <v>0</v>
      </c>
      <c r="CR3640" s="5" t="s">
        <v>735</v>
      </c>
      <c r="CS3640" s="5" t="s">
        <v>307</v>
      </c>
      <c r="CT3640" s="5" t="s">
        <v>307</v>
      </c>
      <c r="CU3640" s="5" t="s">
        <v>260</v>
      </c>
      <c r="CV3640" s="5" t="s">
        <v>612</v>
      </c>
      <c r="CW3640" s="8">
        <f>1</f>
        <v>1</v>
      </c>
      <c r="CX3640" s="7">
        <f>1</f>
        <v>1</v>
      </c>
      <c r="CY3640" s="7">
        <f>0</f>
        <v>0</v>
      </c>
      <c r="DA3640" s="7">
        <f>1</f>
        <v>1</v>
      </c>
      <c r="DB3640" s="7" t="s">
        <v>240</v>
      </c>
      <c r="DC3640" s="5" t="s">
        <v>240</v>
      </c>
      <c r="DD3640" s="5" t="s">
        <v>240</v>
      </c>
      <c r="DE3640" s="5" t="s">
        <v>240</v>
      </c>
      <c r="DF3640" s="5" t="s">
        <v>240</v>
      </c>
      <c r="DG3640" s="7">
        <f>0</f>
        <v>0</v>
      </c>
      <c r="DI3640" s="5" t="s">
        <v>240</v>
      </c>
      <c r="DJ3640" s="5" t="s">
        <v>240</v>
      </c>
      <c r="DK3640" s="5" t="s">
        <v>240</v>
      </c>
      <c r="DL3640" s="5" t="s">
        <v>240</v>
      </c>
      <c r="DM3640" s="5" t="s">
        <v>240</v>
      </c>
      <c r="DN3640" s="5" t="s">
        <v>240</v>
      </c>
      <c r="DO3640" s="7" t="s">
        <v>240</v>
      </c>
      <c r="DP3640" s="5" t="s">
        <v>240</v>
      </c>
      <c r="DQ3640" s="5" t="s">
        <v>248</v>
      </c>
      <c r="DR3640" s="5" t="s">
        <v>731</v>
      </c>
      <c r="DS3640" s="5" t="s">
        <v>731</v>
      </c>
      <c r="DT3640" s="5" t="s">
        <v>240</v>
      </c>
      <c r="DU3640" s="5" t="s">
        <v>240</v>
      </c>
      <c r="DV3640" s="5" t="s">
        <v>6047</v>
      </c>
      <c r="DW3640" s="5" t="s">
        <v>825</v>
      </c>
      <c r="DX3640" s="5" t="s">
        <v>240</v>
      </c>
      <c r="DY3640" s="5" t="s">
        <v>240</v>
      </c>
      <c r="DZ3640" s="5" t="s">
        <v>240</v>
      </c>
      <c r="EA3640" s="5" t="s">
        <v>240</v>
      </c>
      <c r="EB3640" s="5" t="s">
        <v>240</v>
      </c>
      <c r="EC3640" s="5" t="s">
        <v>240</v>
      </c>
      <c r="ED3640" s="5" t="s">
        <v>240</v>
      </c>
      <c r="EE3640" s="5" t="s">
        <v>240</v>
      </c>
      <c r="EF3640" s="5" t="s">
        <v>240</v>
      </c>
      <c r="EG3640" s="5" t="s">
        <v>240</v>
      </c>
      <c r="EH3640" s="5" t="s">
        <v>240</v>
      </c>
      <c r="EI3640" s="5" t="s">
        <v>240</v>
      </c>
      <c r="EJ3640" s="5" t="s">
        <v>240</v>
      </c>
      <c r="EK3640" s="5" t="s">
        <v>240</v>
      </c>
      <c r="EL3640" s="5" t="s">
        <v>240</v>
      </c>
      <c r="EM3640" s="5" t="s">
        <v>240</v>
      </c>
      <c r="EN3640" s="5" t="s">
        <v>240</v>
      </c>
      <c r="EO3640" s="5" t="s">
        <v>240</v>
      </c>
      <c r="EP3640" s="5" t="s">
        <v>240</v>
      </c>
      <c r="EQ3640" s="5" t="s">
        <v>240</v>
      </c>
      <c r="ER3640" s="5" t="s">
        <v>240</v>
      </c>
      <c r="ES3640" s="5" t="s">
        <v>240</v>
      </c>
      <c r="ET3640" s="5" t="s">
        <v>240</v>
      </c>
      <c r="EU3640" s="5" t="s">
        <v>240</v>
      </c>
      <c r="EV3640" s="5" t="s">
        <v>240</v>
      </c>
      <c r="EW3640" s="5" t="s">
        <v>240</v>
      </c>
      <c r="EX3640" s="5" t="s">
        <v>240</v>
      </c>
      <c r="EY3640" s="5" t="s">
        <v>240</v>
      </c>
      <c r="EZ3640" s="5" t="s">
        <v>240</v>
      </c>
      <c r="FA3640" s="5" t="s">
        <v>240</v>
      </c>
      <c r="FB3640" s="5" t="s">
        <v>240</v>
      </c>
      <c r="FC3640" s="5" t="s">
        <v>240</v>
      </c>
      <c r="FD3640" s="5" t="s">
        <v>240</v>
      </c>
      <c r="FE3640" s="5" t="s">
        <v>240</v>
      </c>
      <c r="FF3640" s="5" t="s">
        <v>240</v>
      </c>
      <c r="FG3640" s="5" t="s">
        <v>240</v>
      </c>
      <c r="FH3640" s="5" t="s">
        <v>240</v>
      </c>
      <c r="FI3640" s="5" t="s">
        <v>240</v>
      </c>
      <c r="FJ3640" s="5" t="s">
        <v>240</v>
      </c>
      <c r="FK3640" s="5" t="s">
        <v>240</v>
      </c>
      <c r="FL3640" s="5" t="s">
        <v>240</v>
      </c>
      <c r="FM3640" s="5" t="s">
        <v>240</v>
      </c>
      <c r="FN3640" s="5" t="s">
        <v>240</v>
      </c>
      <c r="FO3640" s="5" t="s">
        <v>240</v>
      </c>
      <c r="FP3640" s="5" t="s">
        <v>240</v>
      </c>
      <c r="FQ3640" s="5" t="s">
        <v>240</v>
      </c>
      <c r="FR3640" s="5" t="s">
        <v>240</v>
      </c>
      <c r="FS3640" s="5" t="s">
        <v>240</v>
      </c>
      <c r="FT3640" s="5" t="s">
        <v>240</v>
      </c>
      <c r="FU3640" s="5" t="s">
        <v>240</v>
      </c>
      <c r="FV3640" s="5" t="s">
        <v>240</v>
      </c>
      <c r="FW3640" s="5" t="s">
        <v>240</v>
      </c>
      <c r="FX3640" s="5" t="s">
        <v>240</v>
      </c>
      <c r="FY3640" s="5" t="s">
        <v>240</v>
      </c>
      <c r="FZ3640" s="5" t="s">
        <v>240</v>
      </c>
      <c r="GA3640" s="5" t="s">
        <v>240</v>
      </c>
      <c r="GB3640" s="5" t="s">
        <v>240</v>
      </c>
      <c r="GC3640" s="5" t="s">
        <v>240</v>
      </c>
      <c r="GD3640" s="5" t="s">
        <v>240</v>
      </c>
      <c r="GE3640" s="5" t="s">
        <v>240</v>
      </c>
      <c r="GF3640" s="5" t="s">
        <v>240</v>
      </c>
      <c r="GG3640" s="5" t="s">
        <v>240</v>
      </c>
      <c r="GH3640" s="5" t="s">
        <v>240</v>
      </c>
      <c r="GI3640" s="5" t="s">
        <v>240</v>
      </c>
      <c r="GJ3640" s="5" t="s">
        <v>240</v>
      </c>
      <c r="GK3640" s="5" t="s">
        <v>240</v>
      </c>
      <c r="GL3640" s="5" t="s">
        <v>240</v>
      </c>
      <c r="GM3640" s="5" t="s">
        <v>240</v>
      </c>
      <c r="GN3640" s="5" t="s">
        <v>240</v>
      </c>
      <c r="GO3640" s="5" t="s">
        <v>240</v>
      </c>
      <c r="GP3640" s="5" t="s">
        <v>240</v>
      </c>
      <c r="GQ3640" s="5" t="s">
        <v>240</v>
      </c>
      <c r="GR3640" s="5" t="s">
        <v>240</v>
      </c>
      <c r="GS3640" s="5" t="s">
        <v>240</v>
      </c>
      <c r="GT3640" s="5" t="s">
        <v>240</v>
      </c>
      <c r="GU3640" s="5" t="s">
        <v>240</v>
      </c>
      <c r="GV3640" s="5" t="s">
        <v>240</v>
      </c>
      <c r="GW3640" s="5" t="s">
        <v>240</v>
      </c>
      <c r="GX3640" s="5" t="s">
        <v>240</v>
      </c>
      <c r="GY3640" s="5" t="s">
        <v>240</v>
      </c>
      <c r="GZ3640" s="5" t="s">
        <v>240</v>
      </c>
      <c r="HA3640" s="5" t="s">
        <v>240</v>
      </c>
      <c r="HB3640" s="5" t="s">
        <v>240</v>
      </c>
      <c r="HC3640" s="5" t="s">
        <v>240</v>
      </c>
      <c r="HD3640" s="5" t="s">
        <v>240</v>
      </c>
      <c r="HE3640" s="5" t="s">
        <v>240</v>
      </c>
      <c r="HF3640" s="5" t="s">
        <v>240</v>
      </c>
      <c r="HG3640" s="5" t="s">
        <v>240</v>
      </c>
      <c r="HH3640" s="5" t="s">
        <v>240</v>
      </c>
      <c r="HI3640" s="5" t="s">
        <v>240</v>
      </c>
      <c r="HJ3640" s="5" t="s">
        <v>240</v>
      </c>
      <c r="HK3640" s="5" t="s">
        <v>240</v>
      </c>
      <c r="HL3640" s="5" t="s">
        <v>240</v>
      </c>
      <c r="HM3640" s="5" t="s">
        <v>240</v>
      </c>
      <c r="HN3640" s="5" t="s">
        <v>240</v>
      </c>
      <c r="HO3640" s="5" t="s">
        <v>240</v>
      </c>
      <c r="HP3640" s="5" t="s">
        <v>240</v>
      </c>
      <c r="HQ3640" s="5" t="s">
        <v>240</v>
      </c>
      <c r="HR3640" s="5" t="s">
        <v>240</v>
      </c>
      <c r="HS3640" s="5" t="s">
        <v>240</v>
      </c>
      <c r="HT3640" s="5" t="s">
        <v>240</v>
      </c>
      <c r="HU3640" s="5" t="s">
        <v>240</v>
      </c>
      <c r="HV3640" s="5" t="s">
        <v>240</v>
      </c>
      <c r="HW3640" s="5" t="s">
        <v>240</v>
      </c>
      <c r="HX3640" s="5" t="s">
        <v>240</v>
      </c>
      <c r="HY3640" s="5" t="s">
        <v>240</v>
      </c>
      <c r="HZ3640" s="5" t="s">
        <v>240</v>
      </c>
      <c r="IA3640" s="5" t="s">
        <v>240</v>
      </c>
      <c r="IB3640" s="5" t="s">
        <v>240</v>
      </c>
      <c r="IC3640" s="5" t="s">
        <v>240</v>
      </c>
      <c r="ID3640" s="5" t="s">
        <v>240</v>
      </c>
      <c r="IE3640" s="5" t="s">
        <v>240</v>
      </c>
      <c r="IF3640" s="5" t="s">
        <v>240</v>
      </c>
    </row>
    <row r="3641" spans="1:240" x14ac:dyDescent="0.4">
      <c r="A3641" s="5">
        <v>9183</v>
      </c>
      <c r="B3641" s="5">
        <v>1</v>
      </c>
      <c r="C3641" s="5">
        <v>1</v>
      </c>
      <c r="D3641" s="5" t="s">
        <v>723</v>
      </c>
      <c r="E3641" s="5" t="s">
        <v>725</v>
      </c>
      <c r="F3641" s="5" t="s">
        <v>254</v>
      </c>
      <c r="G3641" s="5" t="s">
        <v>726</v>
      </c>
      <c r="H3641" s="6" t="s">
        <v>6230</v>
      </c>
      <c r="I3641" s="5" t="s">
        <v>6229</v>
      </c>
      <c r="J3641" s="7">
        <f>1</f>
        <v>1</v>
      </c>
      <c r="K3641" s="5" t="s">
        <v>3682</v>
      </c>
      <c r="L3641" s="7">
        <f>1</f>
        <v>1</v>
      </c>
      <c r="M3641" s="7">
        <f>1</f>
        <v>1</v>
      </c>
      <c r="N3641" s="5" t="s">
        <v>242</v>
      </c>
      <c r="O3641" s="5">
        <v>1</v>
      </c>
      <c r="P3641" s="5" t="s">
        <v>294</v>
      </c>
      <c r="Q3641" s="5" t="s">
        <v>3678</v>
      </c>
      <c r="R3641" s="5" t="s">
        <v>240</v>
      </c>
      <c r="S3641" s="5" t="s">
        <v>240</v>
      </c>
      <c r="T3641" s="5" t="s">
        <v>243</v>
      </c>
      <c r="U3641" s="5" t="s">
        <v>244</v>
      </c>
      <c r="V3641" s="5" t="s">
        <v>240</v>
      </c>
      <c r="W3641" s="5" t="s">
        <v>240</v>
      </c>
      <c r="X3641" s="5" t="s">
        <v>240</v>
      </c>
      <c r="Y3641" s="5" t="s">
        <v>240</v>
      </c>
      <c r="Z3641" s="6" t="s">
        <v>298</v>
      </c>
      <c r="AA3641" s="6" t="s">
        <v>240</v>
      </c>
      <c r="AB3641" s="6" t="s">
        <v>240</v>
      </c>
      <c r="AC3641" s="5" t="s">
        <v>240</v>
      </c>
      <c r="AD3641" s="6" t="s">
        <v>240</v>
      </c>
      <c r="AE3641" s="6" t="s">
        <v>299</v>
      </c>
      <c r="AF3641" s="5" t="s">
        <v>248</v>
      </c>
      <c r="AG3641" s="5" t="s">
        <v>249</v>
      </c>
      <c r="AH3641" s="5" t="s">
        <v>240</v>
      </c>
      <c r="AI3641" s="5" t="s">
        <v>240</v>
      </c>
      <c r="AJ3641" s="5" t="s">
        <v>240</v>
      </c>
      <c r="AK3641" s="5" t="s">
        <v>240</v>
      </c>
      <c r="AL3641" s="5" t="s">
        <v>240</v>
      </c>
      <c r="AM3641" s="5" t="s">
        <v>240</v>
      </c>
      <c r="AN3641" s="5" t="s">
        <v>240</v>
      </c>
      <c r="AO3641" s="5" t="s">
        <v>240</v>
      </c>
      <c r="AP3641" s="6" t="s">
        <v>240</v>
      </c>
      <c r="AQ3641" s="6" t="s">
        <v>240</v>
      </c>
      <c r="AR3641" s="6" t="s">
        <v>240</v>
      </c>
      <c r="AS3641" s="6" t="s">
        <v>240</v>
      </c>
      <c r="AT3641" s="5" t="s">
        <v>240</v>
      </c>
      <c r="AU3641" s="5" t="s">
        <v>729</v>
      </c>
      <c r="AV3641" s="5" t="s">
        <v>729</v>
      </c>
      <c r="AW3641" s="5" t="s">
        <v>251</v>
      </c>
      <c r="AX3641" s="5" t="s">
        <v>252</v>
      </c>
      <c r="AY3641" s="5" t="s">
        <v>253</v>
      </c>
      <c r="AZ3641" s="5" t="s">
        <v>6046</v>
      </c>
      <c r="BA3641" s="5" t="s">
        <v>255</v>
      </c>
      <c r="BB3641" s="5" t="s">
        <v>731</v>
      </c>
      <c r="BD3641" s="5" t="s">
        <v>240</v>
      </c>
      <c r="BF3641" s="5" t="s">
        <v>732</v>
      </c>
      <c r="BG3641" s="6" t="s">
        <v>733</v>
      </c>
      <c r="BH3641" s="5" t="s">
        <v>734</v>
      </c>
      <c r="BI3641" s="5" t="s">
        <v>734</v>
      </c>
      <c r="BJ3641" s="5" t="s">
        <v>240</v>
      </c>
      <c r="BK3641" s="7">
        <f>1</f>
        <v>1</v>
      </c>
      <c r="BL3641" s="7">
        <f>1</f>
        <v>1</v>
      </c>
      <c r="BM3641" s="5" t="s">
        <v>258</v>
      </c>
      <c r="BN3641" s="5" t="s">
        <v>259</v>
      </c>
      <c r="BO3641" s="5" t="s">
        <v>240</v>
      </c>
      <c r="BP3641" s="5" t="s">
        <v>240</v>
      </c>
      <c r="BQ3641" s="5" t="s">
        <v>240</v>
      </c>
      <c r="BR3641" s="5" t="s">
        <v>240</v>
      </c>
      <c r="BS3641" s="5" t="s">
        <v>240</v>
      </c>
      <c r="BT3641" s="5" t="s">
        <v>240</v>
      </c>
      <c r="BU3641" s="5" t="s">
        <v>240</v>
      </c>
      <c r="BV3641" s="5" t="s">
        <v>240</v>
      </c>
      <c r="BW3641" s="6" t="s">
        <v>240</v>
      </c>
      <c r="BX3641" s="5" t="s">
        <v>240</v>
      </c>
      <c r="BY3641" s="5" t="s">
        <v>240</v>
      </c>
      <c r="BZ3641" s="5" t="s">
        <v>240</v>
      </c>
      <c r="CA3641" s="5" t="s">
        <v>259</v>
      </c>
      <c r="CB3641" s="5" t="s">
        <v>240</v>
      </c>
      <c r="CC3641" s="5" t="s">
        <v>240</v>
      </c>
      <c r="CD3641" s="5" t="s">
        <v>240</v>
      </c>
      <c r="CE3641" s="5" t="s">
        <v>240</v>
      </c>
      <c r="CF3641" s="5" t="s">
        <v>240</v>
      </c>
      <c r="CG3641" s="5" t="s">
        <v>304</v>
      </c>
      <c r="CH3641" s="5" t="s">
        <v>305</v>
      </c>
      <c r="CI3641" s="5" t="s">
        <v>260</v>
      </c>
      <c r="CK3641" s="5" t="s">
        <v>3681</v>
      </c>
      <c r="CL3641" s="6" t="s">
        <v>261</v>
      </c>
      <c r="CM3641" s="5" t="s">
        <v>262</v>
      </c>
      <c r="CN3641" s="5" t="s">
        <v>263</v>
      </c>
      <c r="CO3641" s="5" t="s">
        <v>264</v>
      </c>
      <c r="CP3641" s="5" t="s">
        <v>240</v>
      </c>
      <c r="CQ3641" s="5">
        <v>0</v>
      </c>
      <c r="CR3641" s="5" t="s">
        <v>735</v>
      </c>
      <c r="CS3641" s="5" t="s">
        <v>307</v>
      </c>
      <c r="CT3641" s="5" t="s">
        <v>307</v>
      </c>
      <c r="CU3641" s="5" t="s">
        <v>260</v>
      </c>
      <c r="CV3641" s="5" t="s">
        <v>612</v>
      </c>
      <c r="CW3641" s="8">
        <f>1</f>
        <v>1</v>
      </c>
      <c r="CX3641" s="7">
        <f>1</f>
        <v>1</v>
      </c>
      <c r="CY3641" s="7">
        <f>0</f>
        <v>0</v>
      </c>
      <c r="DA3641" s="7">
        <f>1</f>
        <v>1</v>
      </c>
      <c r="DB3641" s="7" t="s">
        <v>240</v>
      </c>
      <c r="DC3641" s="5" t="s">
        <v>240</v>
      </c>
      <c r="DD3641" s="5" t="s">
        <v>240</v>
      </c>
      <c r="DE3641" s="5" t="s">
        <v>240</v>
      </c>
      <c r="DF3641" s="5" t="s">
        <v>240</v>
      </c>
      <c r="DG3641" s="7">
        <f>0</f>
        <v>0</v>
      </c>
      <c r="DI3641" s="5" t="s">
        <v>240</v>
      </c>
      <c r="DJ3641" s="5" t="s">
        <v>240</v>
      </c>
      <c r="DK3641" s="5" t="s">
        <v>240</v>
      </c>
      <c r="DL3641" s="5" t="s">
        <v>240</v>
      </c>
      <c r="DM3641" s="5" t="s">
        <v>240</v>
      </c>
      <c r="DN3641" s="5" t="s">
        <v>240</v>
      </c>
      <c r="DO3641" s="7" t="s">
        <v>240</v>
      </c>
      <c r="DP3641" s="5" t="s">
        <v>240</v>
      </c>
      <c r="DQ3641" s="5" t="s">
        <v>248</v>
      </c>
      <c r="DR3641" s="5" t="s">
        <v>731</v>
      </c>
      <c r="DS3641" s="5" t="s">
        <v>731</v>
      </c>
      <c r="DT3641" s="5" t="s">
        <v>240</v>
      </c>
      <c r="DU3641" s="5" t="s">
        <v>240</v>
      </c>
      <c r="DV3641" s="5" t="s">
        <v>6047</v>
      </c>
      <c r="DW3641" s="5" t="s">
        <v>791</v>
      </c>
      <c r="DX3641" s="5" t="s">
        <v>240</v>
      </c>
      <c r="DY3641" s="5" t="s">
        <v>240</v>
      </c>
      <c r="DZ3641" s="5" t="s">
        <v>240</v>
      </c>
      <c r="EA3641" s="5" t="s">
        <v>240</v>
      </c>
      <c r="EB3641" s="5" t="s">
        <v>240</v>
      </c>
      <c r="EC3641" s="5" t="s">
        <v>240</v>
      </c>
      <c r="ED3641" s="5" t="s">
        <v>240</v>
      </c>
      <c r="EE3641" s="5" t="s">
        <v>240</v>
      </c>
      <c r="EF3641" s="5" t="s">
        <v>240</v>
      </c>
      <c r="EG3641" s="5" t="s">
        <v>240</v>
      </c>
      <c r="EH3641" s="5" t="s">
        <v>240</v>
      </c>
      <c r="EI3641" s="5" t="s">
        <v>240</v>
      </c>
      <c r="EJ3641" s="5" t="s">
        <v>240</v>
      </c>
      <c r="EK3641" s="5" t="s">
        <v>240</v>
      </c>
      <c r="EL3641" s="5" t="s">
        <v>240</v>
      </c>
      <c r="EM3641" s="5" t="s">
        <v>240</v>
      </c>
      <c r="EN3641" s="5" t="s">
        <v>240</v>
      </c>
      <c r="EO3641" s="5" t="s">
        <v>240</v>
      </c>
      <c r="EP3641" s="5" t="s">
        <v>240</v>
      </c>
      <c r="EQ3641" s="5" t="s">
        <v>240</v>
      </c>
      <c r="ER3641" s="5" t="s">
        <v>240</v>
      </c>
      <c r="ES3641" s="5" t="s">
        <v>240</v>
      </c>
      <c r="ET3641" s="5" t="s">
        <v>240</v>
      </c>
      <c r="EU3641" s="5" t="s">
        <v>240</v>
      </c>
      <c r="EV3641" s="5" t="s">
        <v>240</v>
      </c>
      <c r="EW3641" s="5" t="s">
        <v>240</v>
      </c>
      <c r="EX3641" s="5" t="s">
        <v>240</v>
      </c>
      <c r="EY3641" s="5" t="s">
        <v>240</v>
      </c>
      <c r="EZ3641" s="5" t="s">
        <v>240</v>
      </c>
      <c r="FA3641" s="5" t="s">
        <v>240</v>
      </c>
      <c r="FB3641" s="5" t="s">
        <v>240</v>
      </c>
      <c r="FC3641" s="5" t="s">
        <v>240</v>
      </c>
      <c r="FD3641" s="5" t="s">
        <v>240</v>
      </c>
      <c r="FE3641" s="5" t="s">
        <v>240</v>
      </c>
      <c r="FF3641" s="5" t="s">
        <v>240</v>
      </c>
      <c r="FG3641" s="5" t="s">
        <v>240</v>
      </c>
      <c r="FH3641" s="5" t="s">
        <v>240</v>
      </c>
      <c r="FI3641" s="5" t="s">
        <v>240</v>
      </c>
      <c r="FJ3641" s="5" t="s">
        <v>240</v>
      </c>
      <c r="FK3641" s="5" t="s">
        <v>240</v>
      </c>
      <c r="FL3641" s="5" t="s">
        <v>240</v>
      </c>
      <c r="FM3641" s="5" t="s">
        <v>240</v>
      </c>
      <c r="FN3641" s="5" t="s">
        <v>240</v>
      </c>
      <c r="FO3641" s="5" t="s">
        <v>240</v>
      </c>
      <c r="FP3641" s="5" t="s">
        <v>240</v>
      </c>
      <c r="FQ3641" s="5" t="s">
        <v>240</v>
      </c>
      <c r="FR3641" s="5" t="s">
        <v>240</v>
      </c>
      <c r="FS3641" s="5" t="s">
        <v>240</v>
      </c>
      <c r="FT3641" s="5" t="s">
        <v>240</v>
      </c>
      <c r="FU3641" s="5" t="s">
        <v>240</v>
      </c>
      <c r="FV3641" s="5" t="s">
        <v>240</v>
      </c>
      <c r="FW3641" s="5" t="s">
        <v>240</v>
      </c>
      <c r="FX3641" s="5" t="s">
        <v>240</v>
      </c>
      <c r="FY3641" s="5" t="s">
        <v>240</v>
      </c>
      <c r="FZ3641" s="5" t="s">
        <v>240</v>
      </c>
      <c r="GA3641" s="5" t="s">
        <v>240</v>
      </c>
      <c r="GB3641" s="5" t="s">
        <v>240</v>
      </c>
      <c r="GC3641" s="5" t="s">
        <v>240</v>
      </c>
      <c r="GD3641" s="5" t="s">
        <v>240</v>
      </c>
      <c r="GE3641" s="5" t="s">
        <v>240</v>
      </c>
      <c r="GF3641" s="5" t="s">
        <v>240</v>
      </c>
      <c r="GG3641" s="5" t="s">
        <v>240</v>
      </c>
      <c r="GH3641" s="5" t="s">
        <v>240</v>
      </c>
      <c r="GI3641" s="5" t="s">
        <v>240</v>
      </c>
      <c r="GJ3641" s="5" t="s">
        <v>240</v>
      </c>
      <c r="GK3641" s="5" t="s">
        <v>240</v>
      </c>
      <c r="GL3641" s="5" t="s">
        <v>240</v>
      </c>
      <c r="GM3641" s="5" t="s">
        <v>240</v>
      </c>
      <c r="GN3641" s="5" t="s">
        <v>240</v>
      </c>
      <c r="GO3641" s="5" t="s">
        <v>240</v>
      </c>
      <c r="GP3641" s="5" t="s">
        <v>240</v>
      </c>
      <c r="GQ3641" s="5" t="s">
        <v>240</v>
      </c>
      <c r="GR3641" s="5" t="s">
        <v>240</v>
      </c>
      <c r="GS3641" s="5" t="s">
        <v>240</v>
      </c>
      <c r="GT3641" s="5" t="s">
        <v>240</v>
      </c>
      <c r="GU3641" s="5" t="s">
        <v>240</v>
      </c>
      <c r="GV3641" s="5" t="s">
        <v>240</v>
      </c>
      <c r="GW3641" s="5" t="s">
        <v>240</v>
      </c>
      <c r="GX3641" s="5" t="s">
        <v>240</v>
      </c>
      <c r="GY3641" s="5" t="s">
        <v>240</v>
      </c>
      <c r="GZ3641" s="5" t="s">
        <v>240</v>
      </c>
      <c r="HA3641" s="5" t="s">
        <v>240</v>
      </c>
      <c r="HB3641" s="5" t="s">
        <v>240</v>
      </c>
      <c r="HC3641" s="5" t="s">
        <v>240</v>
      </c>
      <c r="HD3641" s="5" t="s">
        <v>240</v>
      </c>
      <c r="HE3641" s="5" t="s">
        <v>240</v>
      </c>
      <c r="HF3641" s="5" t="s">
        <v>240</v>
      </c>
      <c r="HG3641" s="5" t="s">
        <v>240</v>
      </c>
      <c r="HH3641" s="5" t="s">
        <v>240</v>
      </c>
      <c r="HI3641" s="5" t="s">
        <v>240</v>
      </c>
      <c r="HJ3641" s="5" t="s">
        <v>240</v>
      </c>
      <c r="HK3641" s="5" t="s">
        <v>240</v>
      </c>
      <c r="HL3641" s="5" t="s">
        <v>240</v>
      </c>
      <c r="HM3641" s="5" t="s">
        <v>240</v>
      </c>
      <c r="HN3641" s="5" t="s">
        <v>240</v>
      </c>
      <c r="HO3641" s="5" t="s">
        <v>240</v>
      </c>
      <c r="HP3641" s="5" t="s">
        <v>240</v>
      </c>
      <c r="HQ3641" s="5" t="s">
        <v>240</v>
      </c>
      <c r="HR3641" s="5" t="s">
        <v>240</v>
      </c>
      <c r="HS3641" s="5" t="s">
        <v>240</v>
      </c>
      <c r="HT3641" s="5" t="s">
        <v>240</v>
      </c>
      <c r="HU3641" s="5" t="s">
        <v>240</v>
      </c>
      <c r="HV3641" s="5" t="s">
        <v>240</v>
      </c>
      <c r="HW3641" s="5" t="s">
        <v>240</v>
      </c>
      <c r="HX3641" s="5" t="s">
        <v>240</v>
      </c>
      <c r="HY3641" s="5" t="s">
        <v>240</v>
      </c>
      <c r="HZ3641" s="5" t="s">
        <v>240</v>
      </c>
      <c r="IA3641" s="5" t="s">
        <v>240</v>
      </c>
      <c r="IB3641" s="5" t="s">
        <v>240</v>
      </c>
      <c r="IC3641" s="5" t="s">
        <v>240</v>
      </c>
      <c r="ID3641" s="5" t="s">
        <v>240</v>
      </c>
      <c r="IE3641" s="5" t="s">
        <v>240</v>
      </c>
      <c r="IF3641" s="5" t="s">
        <v>240</v>
      </c>
    </row>
    <row r="3642" spans="1:240" x14ac:dyDescent="0.4">
      <c r="A3642" s="5">
        <v>9184</v>
      </c>
      <c r="B3642" s="5">
        <v>1</v>
      </c>
      <c r="C3642" s="5">
        <v>1</v>
      </c>
      <c r="D3642" s="5" t="s">
        <v>723</v>
      </c>
      <c r="E3642" s="5" t="s">
        <v>725</v>
      </c>
      <c r="F3642" s="5" t="s">
        <v>254</v>
      </c>
      <c r="G3642" s="5" t="s">
        <v>726</v>
      </c>
      <c r="H3642" s="6" t="s">
        <v>6228</v>
      </c>
      <c r="I3642" s="5" t="s">
        <v>6227</v>
      </c>
      <c r="J3642" s="7">
        <f>1</f>
        <v>1</v>
      </c>
      <c r="K3642" s="5" t="s">
        <v>3682</v>
      </c>
      <c r="L3642" s="7">
        <f>1</f>
        <v>1</v>
      </c>
      <c r="M3642" s="7">
        <f>1</f>
        <v>1</v>
      </c>
      <c r="N3642" s="5" t="s">
        <v>242</v>
      </c>
      <c r="O3642" s="5">
        <v>1</v>
      </c>
      <c r="P3642" s="5" t="s">
        <v>294</v>
      </c>
      <c r="Q3642" s="5" t="s">
        <v>3678</v>
      </c>
      <c r="R3642" s="5" t="s">
        <v>240</v>
      </c>
      <c r="S3642" s="5" t="s">
        <v>240</v>
      </c>
      <c r="T3642" s="5" t="s">
        <v>243</v>
      </c>
      <c r="U3642" s="5" t="s">
        <v>244</v>
      </c>
      <c r="V3642" s="5" t="s">
        <v>240</v>
      </c>
      <c r="W3642" s="5" t="s">
        <v>240</v>
      </c>
      <c r="X3642" s="5" t="s">
        <v>240</v>
      </c>
      <c r="Y3642" s="5" t="s">
        <v>240</v>
      </c>
      <c r="Z3642" s="6" t="s">
        <v>298</v>
      </c>
      <c r="AA3642" s="6" t="s">
        <v>240</v>
      </c>
      <c r="AB3642" s="6" t="s">
        <v>240</v>
      </c>
      <c r="AC3642" s="5" t="s">
        <v>240</v>
      </c>
      <c r="AD3642" s="6" t="s">
        <v>240</v>
      </c>
      <c r="AE3642" s="6" t="s">
        <v>299</v>
      </c>
      <c r="AF3642" s="5" t="s">
        <v>248</v>
      </c>
      <c r="AG3642" s="5" t="s">
        <v>249</v>
      </c>
      <c r="AH3642" s="5" t="s">
        <v>240</v>
      </c>
      <c r="AI3642" s="5" t="s">
        <v>240</v>
      </c>
      <c r="AJ3642" s="5" t="s">
        <v>240</v>
      </c>
      <c r="AK3642" s="5" t="s">
        <v>240</v>
      </c>
      <c r="AL3642" s="5" t="s">
        <v>240</v>
      </c>
      <c r="AM3642" s="5" t="s">
        <v>240</v>
      </c>
      <c r="AN3642" s="5" t="s">
        <v>240</v>
      </c>
      <c r="AO3642" s="5" t="s">
        <v>240</v>
      </c>
      <c r="AP3642" s="6" t="s">
        <v>240</v>
      </c>
      <c r="AQ3642" s="6" t="s">
        <v>240</v>
      </c>
      <c r="AR3642" s="6" t="s">
        <v>240</v>
      </c>
      <c r="AS3642" s="6" t="s">
        <v>240</v>
      </c>
      <c r="AT3642" s="5" t="s">
        <v>240</v>
      </c>
      <c r="AU3642" s="5" t="s">
        <v>729</v>
      </c>
      <c r="AV3642" s="5" t="s">
        <v>729</v>
      </c>
      <c r="AW3642" s="5" t="s">
        <v>251</v>
      </c>
      <c r="AX3642" s="5" t="s">
        <v>252</v>
      </c>
      <c r="AY3642" s="5" t="s">
        <v>253</v>
      </c>
      <c r="AZ3642" s="5" t="s">
        <v>6046</v>
      </c>
      <c r="BA3642" s="5" t="s">
        <v>255</v>
      </c>
      <c r="BB3642" s="5" t="s">
        <v>731</v>
      </c>
      <c r="BD3642" s="5" t="s">
        <v>240</v>
      </c>
      <c r="BF3642" s="5" t="s">
        <v>732</v>
      </c>
      <c r="BG3642" s="6" t="s">
        <v>733</v>
      </c>
      <c r="BH3642" s="5" t="s">
        <v>734</v>
      </c>
      <c r="BI3642" s="5" t="s">
        <v>734</v>
      </c>
      <c r="BJ3642" s="5" t="s">
        <v>240</v>
      </c>
      <c r="BK3642" s="7">
        <f>1</f>
        <v>1</v>
      </c>
      <c r="BL3642" s="7">
        <f>1</f>
        <v>1</v>
      </c>
      <c r="BM3642" s="5" t="s">
        <v>258</v>
      </c>
      <c r="BN3642" s="5" t="s">
        <v>259</v>
      </c>
      <c r="BO3642" s="5" t="s">
        <v>240</v>
      </c>
      <c r="BP3642" s="5" t="s">
        <v>240</v>
      </c>
      <c r="BQ3642" s="5" t="s">
        <v>240</v>
      </c>
      <c r="BR3642" s="5" t="s">
        <v>240</v>
      </c>
      <c r="BS3642" s="5" t="s">
        <v>240</v>
      </c>
      <c r="BT3642" s="5" t="s">
        <v>240</v>
      </c>
      <c r="BU3642" s="5" t="s">
        <v>240</v>
      </c>
      <c r="BV3642" s="5" t="s">
        <v>240</v>
      </c>
      <c r="BW3642" s="6" t="s">
        <v>240</v>
      </c>
      <c r="BX3642" s="5" t="s">
        <v>240</v>
      </c>
      <c r="BY3642" s="5" t="s">
        <v>240</v>
      </c>
      <c r="BZ3642" s="5" t="s">
        <v>240</v>
      </c>
      <c r="CA3642" s="5" t="s">
        <v>259</v>
      </c>
      <c r="CB3642" s="5" t="s">
        <v>240</v>
      </c>
      <c r="CC3642" s="5" t="s">
        <v>240</v>
      </c>
      <c r="CD3642" s="5" t="s">
        <v>240</v>
      </c>
      <c r="CE3642" s="5" t="s">
        <v>240</v>
      </c>
      <c r="CF3642" s="5" t="s">
        <v>240</v>
      </c>
      <c r="CG3642" s="5" t="s">
        <v>304</v>
      </c>
      <c r="CH3642" s="5" t="s">
        <v>305</v>
      </c>
      <c r="CI3642" s="5" t="s">
        <v>260</v>
      </c>
      <c r="CK3642" s="5" t="s">
        <v>3681</v>
      </c>
      <c r="CL3642" s="6" t="s">
        <v>261</v>
      </c>
      <c r="CM3642" s="5" t="s">
        <v>262</v>
      </c>
      <c r="CN3642" s="5" t="s">
        <v>263</v>
      </c>
      <c r="CO3642" s="5" t="s">
        <v>264</v>
      </c>
      <c r="CP3642" s="5" t="s">
        <v>240</v>
      </c>
      <c r="CQ3642" s="5">
        <v>0</v>
      </c>
      <c r="CR3642" s="5" t="s">
        <v>735</v>
      </c>
      <c r="CS3642" s="5" t="s">
        <v>307</v>
      </c>
      <c r="CT3642" s="5" t="s">
        <v>307</v>
      </c>
      <c r="CU3642" s="5" t="s">
        <v>260</v>
      </c>
      <c r="CV3642" s="5" t="s">
        <v>612</v>
      </c>
      <c r="CW3642" s="8">
        <f>1</f>
        <v>1</v>
      </c>
      <c r="CX3642" s="7">
        <f>1</f>
        <v>1</v>
      </c>
      <c r="CY3642" s="7">
        <f>0</f>
        <v>0</v>
      </c>
      <c r="DA3642" s="7">
        <f>1</f>
        <v>1</v>
      </c>
      <c r="DB3642" s="7" t="s">
        <v>240</v>
      </c>
      <c r="DC3642" s="5" t="s">
        <v>240</v>
      </c>
      <c r="DD3642" s="5" t="s">
        <v>240</v>
      </c>
      <c r="DE3642" s="5" t="s">
        <v>240</v>
      </c>
      <c r="DF3642" s="5" t="s">
        <v>240</v>
      </c>
      <c r="DG3642" s="7">
        <f>0</f>
        <v>0</v>
      </c>
      <c r="DI3642" s="5" t="s">
        <v>240</v>
      </c>
      <c r="DJ3642" s="5" t="s">
        <v>240</v>
      </c>
      <c r="DK3642" s="5" t="s">
        <v>240</v>
      </c>
      <c r="DL3642" s="5" t="s">
        <v>240</v>
      </c>
      <c r="DM3642" s="5" t="s">
        <v>240</v>
      </c>
      <c r="DN3642" s="5" t="s">
        <v>240</v>
      </c>
      <c r="DO3642" s="7" t="s">
        <v>240</v>
      </c>
      <c r="DP3642" s="5" t="s">
        <v>240</v>
      </c>
      <c r="DQ3642" s="5" t="s">
        <v>248</v>
      </c>
      <c r="DR3642" s="5" t="s">
        <v>731</v>
      </c>
      <c r="DS3642" s="5" t="s">
        <v>731</v>
      </c>
      <c r="DT3642" s="5" t="s">
        <v>240</v>
      </c>
      <c r="DU3642" s="5" t="s">
        <v>240</v>
      </c>
      <c r="DV3642" s="5" t="s">
        <v>6047</v>
      </c>
      <c r="DW3642" s="5" t="s">
        <v>793</v>
      </c>
      <c r="DX3642" s="5" t="s">
        <v>240</v>
      </c>
      <c r="DY3642" s="5" t="s">
        <v>240</v>
      </c>
      <c r="DZ3642" s="5" t="s">
        <v>240</v>
      </c>
      <c r="EA3642" s="5" t="s">
        <v>240</v>
      </c>
      <c r="EB3642" s="5" t="s">
        <v>240</v>
      </c>
      <c r="EC3642" s="5" t="s">
        <v>240</v>
      </c>
      <c r="ED3642" s="5" t="s">
        <v>240</v>
      </c>
      <c r="EE3642" s="5" t="s">
        <v>240</v>
      </c>
      <c r="EF3642" s="5" t="s">
        <v>240</v>
      </c>
      <c r="EG3642" s="5" t="s">
        <v>240</v>
      </c>
      <c r="EH3642" s="5" t="s">
        <v>240</v>
      </c>
      <c r="EI3642" s="5" t="s">
        <v>240</v>
      </c>
      <c r="EJ3642" s="5" t="s">
        <v>240</v>
      </c>
      <c r="EK3642" s="5" t="s">
        <v>240</v>
      </c>
      <c r="EL3642" s="5" t="s">
        <v>240</v>
      </c>
      <c r="EM3642" s="5" t="s">
        <v>240</v>
      </c>
      <c r="EN3642" s="5" t="s">
        <v>240</v>
      </c>
      <c r="EO3642" s="5" t="s">
        <v>240</v>
      </c>
      <c r="EP3642" s="5" t="s">
        <v>240</v>
      </c>
      <c r="EQ3642" s="5" t="s">
        <v>240</v>
      </c>
      <c r="ER3642" s="5" t="s">
        <v>240</v>
      </c>
      <c r="ES3642" s="5" t="s">
        <v>240</v>
      </c>
      <c r="ET3642" s="5" t="s">
        <v>240</v>
      </c>
      <c r="EU3642" s="5" t="s">
        <v>240</v>
      </c>
      <c r="EV3642" s="5" t="s">
        <v>240</v>
      </c>
      <c r="EW3642" s="5" t="s">
        <v>240</v>
      </c>
      <c r="EX3642" s="5" t="s">
        <v>240</v>
      </c>
      <c r="EY3642" s="5" t="s">
        <v>240</v>
      </c>
      <c r="EZ3642" s="5" t="s">
        <v>240</v>
      </c>
      <c r="FA3642" s="5" t="s">
        <v>240</v>
      </c>
      <c r="FB3642" s="5" t="s">
        <v>240</v>
      </c>
      <c r="FC3642" s="5" t="s">
        <v>240</v>
      </c>
      <c r="FD3642" s="5" t="s">
        <v>240</v>
      </c>
      <c r="FE3642" s="5" t="s">
        <v>240</v>
      </c>
      <c r="FF3642" s="5" t="s">
        <v>240</v>
      </c>
      <c r="FG3642" s="5" t="s">
        <v>240</v>
      </c>
      <c r="FH3642" s="5" t="s">
        <v>240</v>
      </c>
      <c r="FI3642" s="5" t="s">
        <v>240</v>
      </c>
      <c r="FJ3642" s="5" t="s">
        <v>240</v>
      </c>
      <c r="FK3642" s="5" t="s">
        <v>240</v>
      </c>
      <c r="FL3642" s="5" t="s">
        <v>240</v>
      </c>
      <c r="FM3642" s="5" t="s">
        <v>240</v>
      </c>
      <c r="FN3642" s="5" t="s">
        <v>240</v>
      </c>
      <c r="FO3642" s="5" t="s">
        <v>240</v>
      </c>
      <c r="FP3642" s="5" t="s">
        <v>240</v>
      </c>
      <c r="FQ3642" s="5" t="s">
        <v>240</v>
      </c>
      <c r="FR3642" s="5" t="s">
        <v>240</v>
      </c>
      <c r="FS3642" s="5" t="s">
        <v>240</v>
      </c>
      <c r="FT3642" s="5" t="s">
        <v>240</v>
      </c>
      <c r="FU3642" s="5" t="s">
        <v>240</v>
      </c>
      <c r="FV3642" s="5" t="s">
        <v>240</v>
      </c>
      <c r="FW3642" s="5" t="s">
        <v>240</v>
      </c>
      <c r="FX3642" s="5" t="s">
        <v>240</v>
      </c>
      <c r="FY3642" s="5" t="s">
        <v>240</v>
      </c>
      <c r="FZ3642" s="5" t="s">
        <v>240</v>
      </c>
      <c r="GA3642" s="5" t="s">
        <v>240</v>
      </c>
      <c r="GB3642" s="5" t="s">
        <v>240</v>
      </c>
      <c r="GC3642" s="5" t="s">
        <v>240</v>
      </c>
      <c r="GD3642" s="5" t="s">
        <v>240</v>
      </c>
      <c r="GE3642" s="5" t="s">
        <v>240</v>
      </c>
      <c r="GF3642" s="5" t="s">
        <v>240</v>
      </c>
      <c r="GG3642" s="5" t="s">
        <v>240</v>
      </c>
      <c r="GH3642" s="5" t="s">
        <v>240</v>
      </c>
      <c r="GI3642" s="5" t="s">
        <v>240</v>
      </c>
      <c r="GJ3642" s="5" t="s">
        <v>240</v>
      </c>
      <c r="GK3642" s="5" t="s">
        <v>240</v>
      </c>
      <c r="GL3642" s="5" t="s">
        <v>240</v>
      </c>
      <c r="GM3642" s="5" t="s">
        <v>240</v>
      </c>
      <c r="GN3642" s="5" t="s">
        <v>240</v>
      </c>
      <c r="GO3642" s="5" t="s">
        <v>240</v>
      </c>
      <c r="GP3642" s="5" t="s">
        <v>240</v>
      </c>
      <c r="GQ3642" s="5" t="s">
        <v>240</v>
      </c>
      <c r="GR3642" s="5" t="s">
        <v>240</v>
      </c>
      <c r="GS3642" s="5" t="s">
        <v>240</v>
      </c>
      <c r="GT3642" s="5" t="s">
        <v>240</v>
      </c>
      <c r="GU3642" s="5" t="s">
        <v>240</v>
      </c>
      <c r="GV3642" s="5" t="s">
        <v>240</v>
      </c>
      <c r="GW3642" s="5" t="s">
        <v>240</v>
      </c>
      <c r="GX3642" s="5" t="s">
        <v>240</v>
      </c>
      <c r="GY3642" s="5" t="s">
        <v>240</v>
      </c>
      <c r="GZ3642" s="5" t="s">
        <v>240</v>
      </c>
      <c r="HA3642" s="5" t="s">
        <v>240</v>
      </c>
      <c r="HB3642" s="5" t="s">
        <v>240</v>
      </c>
      <c r="HC3642" s="5" t="s">
        <v>240</v>
      </c>
      <c r="HD3642" s="5" t="s">
        <v>240</v>
      </c>
      <c r="HE3642" s="5" t="s">
        <v>240</v>
      </c>
      <c r="HF3642" s="5" t="s">
        <v>240</v>
      </c>
      <c r="HG3642" s="5" t="s">
        <v>240</v>
      </c>
      <c r="HH3642" s="5" t="s">
        <v>240</v>
      </c>
      <c r="HI3642" s="5" t="s">
        <v>240</v>
      </c>
      <c r="HJ3642" s="5" t="s">
        <v>240</v>
      </c>
      <c r="HK3642" s="5" t="s">
        <v>240</v>
      </c>
      <c r="HL3642" s="5" t="s">
        <v>240</v>
      </c>
      <c r="HM3642" s="5" t="s">
        <v>240</v>
      </c>
      <c r="HN3642" s="5" t="s">
        <v>240</v>
      </c>
      <c r="HO3642" s="5" t="s">
        <v>240</v>
      </c>
      <c r="HP3642" s="5" t="s">
        <v>240</v>
      </c>
      <c r="HQ3642" s="5" t="s">
        <v>240</v>
      </c>
      <c r="HR3642" s="5" t="s">
        <v>240</v>
      </c>
      <c r="HS3642" s="5" t="s">
        <v>240</v>
      </c>
      <c r="HT3642" s="5" t="s">
        <v>240</v>
      </c>
      <c r="HU3642" s="5" t="s">
        <v>240</v>
      </c>
      <c r="HV3642" s="5" t="s">
        <v>240</v>
      </c>
      <c r="HW3642" s="5" t="s">
        <v>240</v>
      </c>
      <c r="HX3642" s="5" t="s">
        <v>240</v>
      </c>
      <c r="HY3642" s="5" t="s">
        <v>240</v>
      </c>
      <c r="HZ3642" s="5" t="s">
        <v>240</v>
      </c>
      <c r="IA3642" s="5" t="s">
        <v>240</v>
      </c>
      <c r="IB3642" s="5" t="s">
        <v>240</v>
      </c>
      <c r="IC3642" s="5" t="s">
        <v>240</v>
      </c>
      <c r="ID3642" s="5" t="s">
        <v>240</v>
      </c>
      <c r="IE3642" s="5" t="s">
        <v>240</v>
      </c>
      <c r="IF3642" s="5" t="s">
        <v>240</v>
      </c>
    </row>
    <row r="3643" spans="1:240" x14ac:dyDescent="0.4">
      <c r="A3643" s="5">
        <v>9185</v>
      </c>
      <c r="B3643" s="5">
        <v>1</v>
      </c>
      <c r="C3643" s="5">
        <v>1</v>
      </c>
      <c r="D3643" s="5" t="s">
        <v>723</v>
      </c>
      <c r="E3643" s="5" t="s">
        <v>725</v>
      </c>
      <c r="F3643" s="5" t="s">
        <v>254</v>
      </c>
      <c r="G3643" s="5" t="s">
        <v>726</v>
      </c>
      <c r="H3643" s="6" t="s">
        <v>6226</v>
      </c>
      <c r="I3643" s="5" t="s">
        <v>6225</v>
      </c>
      <c r="J3643" s="7">
        <f>1</f>
        <v>1</v>
      </c>
      <c r="K3643" s="5" t="s">
        <v>3682</v>
      </c>
      <c r="L3643" s="7">
        <f>1</f>
        <v>1</v>
      </c>
      <c r="M3643" s="7">
        <f>1</f>
        <v>1</v>
      </c>
      <c r="N3643" s="5" t="s">
        <v>242</v>
      </c>
      <c r="O3643" s="5">
        <v>1</v>
      </c>
      <c r="P3643" s="5" t="s">
        <v>294</v>
      </c>
      <c r="Q3643" s="5" t="s">
        <v>3678</v>
      </c>
      <c r="R3643" s="5" t="s">
        <v>240</v>
      </c>
      <c r="S3643" s="5" t="s">
        <v>240</v>
      </c>
      <c r="T3643" s="5" t="s">
        <v>243</v>
      </c>
      <c r="U3643" s="5" t="s">
        <v>244</v>
      </c>
      <c r="V3643" s="5" t="s">
        <v>240</v>
      </c>
      <c r="W3643" s="5" t="s">
        <v>240</v>
      </c>
      <c r="X3643" s="5" t="s">
        <v>240</v>
      </c>
      <c r="Y3643" s="5" t="s">
        <v>240</v>
      </c>
      <c r="Z3643" s="6" t="s">
        <v>298</v>
      </c>
      <c r="AA3643" s="6" t="s">
        <v>240</v>
      </c>
      <c r="AB3643" s="6" t="s">
        <v>240</v>
      </c>
      <c r="AC3643" s="5" t="s">
        <v>240</v>
      </c>
      <c r="AD3643" s="6" t="s">
        <v>240</v>
      </c>
      <c r="AE3643" s="6" t="s">
        <v>299</v>
      </c>
      <c r="AF3643" s="5" t="s">
        <v>248</v>
      </c>
      <c r="AG3643" s="5" t="s">
        <v>249</v>
      </c>
      <c r="AH3643" s="5" t="s">
        <v>240</v>
      </c>
      <c r="AI3643" s="5" t="s">
        <v>240</v>
      </c>
      <c r="AJ3643" s="5" t="s">
        <v>240</v>
      </c>
      <c r="AK3643" s="5" t="s">
        <v>240</v>
      </c>
      <c r="AL3643" s="5" t="s">
        <v>240</v>
      </c>
      <c r="AM3643" s="5" t="s">
        <v>240</v>
      </c>
      <c r="AN3643" s="5" t="s">
        <v>240</v>
      </c>
      <c r="AO3643" s="5" t="s">
        <v>240</v>
      </c>
      <c r="AP3643" s="6" t="s">
        <v>240</v>
      </c>
      <c r="AQ3643" s="6" t="s">
        <v>240</v>
      </c>
      <c r="AR3643" s="6" t="s">
        <v>240</v>
      </c>
      <c r="AS3643" s="6" t="s">
        <v>240</v>
      </c>
      <c r="AT3643" s="5" t="s">
        <v>240</v>
      </c>
      <c r="AU3643" s="5" t="s">
        <v>729</v>
      </c>
      <c r="AV3643" s="5" t="s">
        <v>729</v>
      </c>
      <c r="AW3643" s="5" t="s">
        <v>251</v>
      </c>
      <c r="AX3643" s="5" t="s">
        <v>252</v>
      </c>
      <c r="AY3643" s="5" t="s">
        <v>253</v>
      </c>
      <c r="AZ3643" s="5" t="s">
        <v>6046</v>
      </c>
      <c r="BA3643" s="5" t="s">
        <v>255</v>
      </c>
      <c r="BB3643" s="5" t="s">
        <v>731</v>
      </c>
      <c r="BD3643" s="5" t="s">
        <v>240</v>
      </c>
      <c r="BF3643" s="5" t="s">
        <v>732</v>
      </c>
      <c r="BG3643" s="6" t="s">
        <v>733</v>
      </c>
      <c r="BH3643" s="5" t="s">
        <v>734</v>
      </c>
      <c r="BI3643" s="5" t="s">
        <v>734</v>
      </c>
      <c r="BJ3643" s="5" t="s">
        <v>240</v>
      </c>
      <c r="BK3643" s="7">
        <f>1</f>
        <v>1</v>
      </c>
      <c r="BL3643" s="7">
        <f>1</f>
        <v>1</v>
      </c>
      <c r="BM3643" s="5" t="s">
        <v>258</v>
      </c>
      <c r="BN3643" s="5" t="s">
        <v>259</v>
      </c>
      <c r="BO3643" s="5" t="s">
        <v>240</v>
      </c>
      <c r="BP3643" s="5" t="s">
        <v>240</v>
      </c>
      <c r="BQ3643" s="5" t="s">
        <v>240</v>
      </c>
      <c r="BR3643" s="5" t="s">
        <v>240</v>
      </c>
      <c r="BS3643" s="5" t="s">
        <v>240</v>
      </c>
      <c r="BT3643" s="5" t="s">
        <v>240</v>
      </c>
      <c r="BU3643" s="5" t="s">
        <v>240</v>
      </c>
      <c r="BV3643" s="5" t="s">
        <v>240</v>
      </c>
      <c r="BW3643" s="6" t="s">
        <v>240</v>
      </c>
      <c r="BX3643" s="5" t="s">
        <v>240</v>
      </c>
      <c r="BY3643" s="5" t="s">
        <v>240</v>
      </c>
      <c r="BZ3643" s="5" t="s">
        <v>240</v>
      </c>
      <c r="CA3643" s="5" t="s">
        <v>259</v>
      </c>
      <c r="CB3643" s="5" t="s">
        <v>240</v>
      </c>
      <c r="CC3643" s="5" t="s">
        <v>240</v>
      </c>
      <c r="CD3643" s="5" t="s">
        <v>240</v>
      </c>
      <c r="CE3643" s="5" t="s">
        <v>240</v>
      </c>
      <c r="CF3643" s="5" t="s">
        <v>240</v>
      </c>
      <c r="CG3643" s="5" t="s">
        <v>304</v>
      </c>
      <c r="CH3643" s="5" t="s">
        <v>305</v>
      </c>
      <c r="CI3643" s="5" t="s">
        <v>260</v>
      </c>
      <c r="CK3643" s="5" t="s">
        <v>3681</v>
      </c>
      <c r="CL3643" s="6" t="s">
        <v>261</v>
      </c>
      <c r="CM3643" s="5" t="s">
        <v>262</v>
      </c>
      <c r="CN3643" s="5" t="s">
        <v>263</v>
      </c>
      <c r="CO3643" s="5" t="s">
        <v>264</v>
      </c>
      <c r="CP3643" s="5" t="s">
        <v>240</v>
      </c>
      <c r="CQ3643" s="5">
        <v>0</v>
      </c>
      <c r="CR3643" s="5" t="s">
        <v>735</v>
      </c>
      <c r="CS3643" s="5" t="s">
        <v>307</v>
      </c>
      <c r="CT3643" s="5" t="s">
        <v>307</v>
      </c>
      <c r="CU3643" s="5" t="s">
        <v>260</v>
      </c>
      <c r="CV3643" s="5" t="s">
        <v>612</v>
      </c>
      <c r="CW3643" s="8">
        <f>1</f>
        <v>1</v>
      </c>
      <c r="CX3643" s="7">
        <f>1</f>
        <v>1</v>
      </c>
      <c r="CY3643" s="7">
        <f>0</f>
        <v>0</v>
      </c>
      <c r="DA3643" s="7">
        <f>1</f>
        <v>1</v>
      </c>
      <c r="DB3643" s="7" t="s">
        <v>240</v>
      </c>
      <c r="DC3643" s="5" t="s">
        <v>240</v>
      </c>
      <c r="DD3643" s="5" t="s">
        <v>240</v>
      </c>
      <c r="DE3643" s="5" t="s">
        <v>240</v>
      </c>
      <c r="DF3643" s="5" t="s">
        <v>240</v>
      </c>
      <c r="DG3643" s="7">
        <f>0</f>
        <v>0</v>
      </c>
      <c r="DI3643" s="5" t="s">
        <v>240</v>
      </c>
      <c r="DJ3643" s="5" t="s">
        <v>240</v>
      </c>
      <c r="DK3643" s="5" t="s">
        <v>240</v>
      </c>
      <c r="DL3643" s="5" t="s">
        <v>240</v>
      </c>
      <c r="DM3643" s="5" t="s">
        <v>240</v>
      </c>
      <c r="DN3643" s="5" t="s">
        <v>240</v>
      </c>
      <c r="DO3643" s="7" t="s">
        <v>240</v>
      </c>
      <c r="DP3643" s="5" t="s">
        <v>240</v>
      </c>
      <c r="DQ3643" s="5" t="s">
        <v>248</v>
      </c>
      <c r="DR3643" s="5" t="s">
        <v>731</v>
      </c>
      <c r="DS3643" s="5" t="s">
        <v>731</v>
      </c>
      <c r="DT3643" s="5" t="s">
        <v>240</v>
      </c>
      <c r="DU3643" s="5" t="s">
        <v>240</v>
      </c>
      <c r="DV3643" s="5" t="s">
        <v>6047</v>
      </c>
      <c r="DW3643" s="5" t="s">
        <v>797</v>
      </c>
      <c r="DX3643" s="5" t="s">
        <v>240</v>
      </c>
      <c r="DY3643" s="5" t="s">
        <v>240</v>
      </c>
      <c r="DZ3643" s="5" t="s">
        <v>240</v>
      </c>
      <c r="EA3643" s="5" t="s">
        <v>240</v>
      </c>
      <c r="EB3643" s="5" t="s">
        <v>240</v>
      </c>
      <c r="EC3643" s="5" t="s">
        <v>240</v>
      </c>
      <c r="ED3643" s="5" t="s">
        <v>240</v>
      </c>
      <c r="EE3643" s="5" t="s">
        <v>240</v>
      </c>
      <c r="EF3643" s="5" t="s">
        <v>240</v>
      </c>
      <c r="EG3643" s="5" t="s">
        <v>240</v>
      </c>
      <c r="EH3643" s="5" t="s">
        <v>240</v>
      </c>
      <c r="EI3643" s="5" t="s">
        <v>240</v>
      </c>
      <c r="EJ3643" s="5" t="s">
        <v>240</v>
      </c>
      <c r="EK3643" s="5" t="s">
        <v>240</v>
      </c>
      <c r="EL3643" s="5" t="s">
        <v>240</v>
      </c>
      <c r="EM3643" s="5" t="s">
        <v>240</v>
      </c>
      <c r="EN3643" s="5" t="s">
        <v>240</v>
      </c>
      <c r="EO3643" s="5" t="s">
        <v>240</v>
      </c>
      <c r="EP3643" s="5" t="s">
        <v>240</v>
      </c>
      <c r="EQ3643" s="5" t="s">
        <v>240</v>
      </c>
      <c r="ER3643" s="5" t="s">
        <v>240</v>
      </c>
      <c r="ES3643" s="5" t="s">
        <v>240</v>
      </c>
      <c r="ET3643" s="5" t="s">
        <v>240</v>
      </c>
      <c r="EU3643" s="5" t="s">
        <v>240</v>
      </c>
      <c r="EV3643" s="5" t="s">
        <v>240</v>
      </c>
      <c r="EW3643" s="5" t="s">
        <v>240</v>
      </c>
      <c r="EX3643" s="5" t="s">
        <v>240</v>
      </c>
      <c r="EY3643" s="5" t="s">
        <v>240</v>
      </c>
      <c r="EZ3643" s="5" t="s">
        <v>240</v>
      </c>
      <c r="FA3643" s="5" t="s">
        <v>240</v>
      </c>
      <c r="FB3643" s="5" t="s">
        <v>240</v>
      </c>
      <c r="FC3643" s="5" t="s">
        <v>240</v>
      </c>
      <c r="FD3643" s="5" t="s">
        <v>240</v>
      </c>
      <c r="FE3643" s="5" t="s">
        <v>240</v>
      </c>
      <c r="FF3643" s="5" t="s">
        <v>240</v>
      </c>
      <c r="FG3643" s="5" t="s">
        <v>240</v>
      </c>
      <c r="FH3643" s="5" t="s">
        <v>240</v>
      </c>
      <c r="FI3643" s="5" t="s">
        <v>240</v>
      </c>
      <c r="FJ3643" s="5" t="s">
        <v>240</v>
      </c>
      <c r="FK3643" s="5" t="s">
        <v>240</v>
      </c>
      <c r="FL3643" s="5" t="s">
        <v>240</v>
      </c>
      <c r="FM3643" s="5" t="s">
        <v>240</v>
      </c>
      <c r="FN3643" s="5" t="s">
        <v>240</v>
      </c>
      <c r="FO3643" s="5" t="s">
        <v>240</v>
      </c>
      <c r="FP3643" s="5" t="s">
        <v>240</v>
      </c>
      <c r="FQ3643" s="5" t="s">
        <v>240</v>
      </c>
      <c r="FR3643" s="5" t="s">
        <v>240</v>
      </c>
      <c r="FS3643" s="5" t="s">
        <v>240</v>
      </c>
      <c r="FT3643" s="5" t="s">
        <v>240</v>
      </c>
      <c r="FU3643" s="5" t="s">
        <v>240</v>
      </c>
      <c r="FV3643" s="5" t="s">
        <v>240</v>
      </c>
      <c r="FW3643" s="5" t="s">
        <v>240</v>
      </c>
      <c r="FX3643" s="5" t="s">
        <v>240</v>
      </c>
      <c r="FY3643" s="5" t="s">
        <v>240</v>
      </c>
      <c r="FZ3643" s="5" t="s">
        <v>240</v>
      </c>
      <c r="GA3643" s="5" t="s">
        <v>240</v>
      </c>
      <c r="GB3643" s="5" t="s">
        <v>240</v>
      </c>
      <c r="GC3643" s="5" t="s">
        <v>240</v>
      </c>
      <c r="GD3643" s="5" t="s">
        <v>240</v>
      </c>
      <c r="GE3643" s="5" t="s">
        <v>240</v>
      </c>
      <c r="GF3643" s="5" t="s">
        <v>240</v>
      </c>
      <c r="GG3643" s="5" t="s">
        <v>240</v>
      </c>
      <c r="GH3643" s="5" t="s">
        <v>240</v>
      </c>
      <c r="GI3643" s="5" t="s">
        <v>240</v>
      </c>
      <c r="GJ3643" s="5" t="s">
        <v>240</v>
      </c>
      <c r="GK3643" s="5" t="s">
        <v>240</v>
      </c>
      <c r="GL3643" s="5" t="s">
        <v>240</v>
      </c>
      <c r="GM3643" s="5" t="s">
        <v>240</v>
      </c>
      <c r="GN3643" s="5" t="s">
        <v>240</v>
      </c>
      <c r="GO3643" s="5" t="s">
        <v>240</v>
      </c>
      <c r="GP3643" s="5" t="s">
        <v>240</v>
      </c>
      <c r="GQ3643" s="5" t="s">
        <v>240</v>
      </c>
      <c r="GR3643" s="5" t="s">
        <v>240</v>
      </c>
      <c r="GS3643" s="5" t="s">
        <v>240</v>
      </c>
      <c r="GT3643" s="5" t="s">
        <v>240</v>
      </c>
      <c r="GU3643" s="5" t="s">
        <v>240</v>
      </c>
      <c r="GV3643" s="5" t="s">
        <v>240</v>
      </c>
      <c r="GW3643" s="5" t="s">
        <v>240</v>
      </c>
      <c r="GX3643" s="5" t="s">
        <v>240</v>
      </c>
      <c r="GY3643" s="5" t="s">
        <v>240</v>
      </c>
      <c r="GZ3643" s="5" t="s">
        <v>240</v>
      </c>
      <c r="HA3643" s="5" t="s">
        <v>240</v>
      </c>
      <c r="HB3643" s="5" t="s">
        <v>240</v>
      </c>
      <c r="HC3643" s="5" t="s">
        <v>240</v>
      </c>
      <c r="HD3643" s="5" t="s">
        <v>240</v>
      </c>
      <c r="HE3643" s="5" t="s">
        <v>240</v>
      </c>
      <c r="HF3643" s="5" t="s">
        <v>240</v>
      </c>
      <c r="HG3643" s="5" t="s">
        <v>240</v>
      </c>
      <c r="HH3643" s="5" t="s">
        <v>240</v>
      </c>
      <c r="HI3643" s="5" t="s">
        <v>240</v>
      </c>
      <c r="HJ3643" s="5" t="s">
        <v>240</v>
      </c>
      <c r="HK3643" s="5" t="s">
        <v>240</v>
      </c>
      <c r="HL3643" s="5" t="s">
        <v>240</v>
      </c>
      <c r="HM3643" s="5" t="s">
        <v>240</v>
      </c>
      <c r="HN3643" s="5" t="s">
        <v>240</v>
      </c>
      <c r="HO3643" s="5" t="s">
        <v>240</v>
      </c>
      <c r="HP3643" s="5" t="s">
        <v>240</v>
      </c>
      <c r="HQ3643" s="5" t="s">
        <v>240</v>
      </c>
      <c r="HR3643" s="5" t="s">
        <v>240</v>
      </c>
      <c r="HS3643" s="5" t="s">
        <v>240</v>
      </c>
      <c r="HT3643" s="5" t="s">
        <v>240</v>
      </c>
      <c r="HU3643" s="5" t="s">
        <v>240</v>
      </c>
      <c r="HV3643" s="5" t="s">
        <v>240</v>
      </c>
      <c r="HW3643" s="5" t="s">
        <v>240</v>
      </c>
      <c r="HX3643" s="5" t="s">
        <v>240</v>
      </c>
      <c r="HY3643" s="5" t="s">
        <v>240</v>
      </c>
      <c r="HZ3643" s="5" t="s">
        <v>240</v>
      </c>
      <c r="IA3643" s="5" t="s">
        <v>240</v>
      </c>
      <c r="IB3643" s="5" t="s">
        <v>240</v>
      </c>
      <c r="IC3643" s="5" t="s">
        <v>240</v>
      </c>
      <c r="ID3643" s="5" t="s">
        <v>240</v>
      </c>
      <c r="IE3643" s="5" t="s">
        <v>240</v>
      </c>
      <c r="IF3643" s="5" t="s">
        <v>240</v>
      </c>
    </row>
    <row r="3644" spans="1:240" x14ac:dyDescent="0.4">
      <c r="A3644" s="5">
        <v>9186</v>
      </c>
      <c r="B3644" s="5">
        <v>1</v>
      </c>
      <c r="C3644" s="5">
        <v>1</v>
      </c>
      <c r="D3644" s="5" t="s">
        <v>723</v>
      </c>
      <c r="E3644" s="5" t="s">
        <v>725</v>
      </c>
      <c r="F3644" s="5" t="s">
        <v>254</v>
      </c>
      <c r="G3644" s="5" t="s">
        <v>6633</v>
      </c>
      <c r="H3644" s="6" t="s">
        <v>6634</v>
      </c>
      <c r="I3644" s="5" t="s">
        <v>6632</v>
      </c>
      <c r="J3644" s="7">
        <f>1</f>
        <v>1</v>
      </c>
      <c r="K3644" s="5" t="s">
        <v>3682</v>
      </c>
      <c r="L3644" s="7">
        <f>1</f>
        <v>1</v>
      </c>
      <c r="M3644" s="7">
        <f>1</f>
        <v>1</v>
      </c>
      <c r="N3644" s="5" t="s">
        <v>242</v>
      </c>
      <c r="O3644" s="5">
        <v>1</v>
      </c>
      <c r="P3644" s="5" t="s">
        <v>294</v>
      </c>
      <c r="Q3644" s="5" t="s">
        <v>3678</v>
      </c>
      <c r="R3644" s="5" t="s">
        <v>240</v>
      </c>
      <c r="S3644" s="5" t="s">
        <v>240</v>
      </c>
      <c r="T3644" s="5" t="s">
        <v>243</v>
      </c>
      <c r="U3644" s="5" t="s">
        <v>244</v>
      </c>
      <c r="V3644" s="5" t="s">
        <v>240</v>
      </c>
      <c r="W3644" s="5" t="s">
        <v>240</v>
      </c>
      <c r="X3644" s="5" t="s">
        <v>240</v>
      </c>
      <c r="Y3644" s="5" t="s">
        <v>240</v>
      </c>
      <c r="Z3644" s="6" t="s">
        <v>298</v>
      </c>
      <c r="AA3644" s="6" t="s">
        <v>240</v>
      </c>
      <c r="AB3644" s="6" t="s">
        <v>240</v>
      </c>
      <c r="AC3644" s="5" t="s">
        <v>240</v>
      </c>
      <c r="AD3644" s="6" t="s">
        <v>240</v>
      </c>
      <c r="AE3644" s="6" t="s">
        <v>299</v>
      </c>
      <c r="AF3644" s="5" t="s">
        <v>248</v>
      </c>
      <c r="AG3644" s="5" t="s">
        <v>249</v>
      </c>
      <c r="AH3644" s="5" t="s">
        <v>240</v>
      </c>
      <c r="AI3644" s="5" t="s">
        <v>240</v>
      </c>
      <c r="AJ3644" s="5" t="s">
        <v>240</v>
      </c>
      <c r="AK3644" s="5" t="s">
        <v>240</v>
      </c>
      <c r="AL3644" s="5" t="s">
        <v>240</v>
      </c>
      <c r="AM3644" s="5" t="s">
        <v>240</v>
      </c>
      <c r="AN3644" s="5" t="s">
        <v>240</v>
      </c>
      <c r="AO3644" s="5" t="s">
        <v>240</v>
      </c>
      <c r="AP3644" s="6" t="s">
        <v>240</v>
      </c>
      <c r="AQ3644" s="6" t="s">
        <v>240</v>
      </c>
      <c r="AR3644" s="6" t="s">
        <v>240</v>
      </c>
      <c r="AS3644" s="6" t="s">
        <v>240</v>
      </c>
      <c r="AT3644" s="5" t="s">
        <v>240</v>
      </c>
      <c r="AU3644" s="5" t="s">
        <v>729</v>
      </c>
      <c r="AV3644" s="5" t="s">
        <v>729</v>
      </c>
      <c r="AW3644" s="5" t="s">
        <v>251</v>
      </c>
      <c r="AX3644" s="5" t="s">
        <v>252</v>
      </c>
      <c r="AY3644" s="5" t="s">
        <v>253</v>
      </c>
      <c r="AZ3644" s="5" t="s">
        <v>6046</v>
      </c>
      <c r="BA3644" s="5" t="s">
        <v>255</v>
      </c>
      <c r="BB3644" s="5" t="s">
        <v>731</v>
      </c>
      <c r="BD3644" s="5" t="s">
        <v>240</v>
      </c>
      <c r="BF3644" s="5" t="s">
        <v>732</v>
      </c>
      <c r="BG3644" s="6" t="s">
        <v>733</v>
      </c>
      <c r="BH3644" s="5" t="s">
        <v>734</v>
      </c>
      <c r="BI3644" s="5" t="s">
        <v>734</v>
      </c>
      <c r="BJ3644" s="5" t="s">
        <v>240</v>
      </c>
      <c r="BK3644" s="7">
        <f>1</f>
        <v>1</v>
      </c>
      <c r="BL3644" s="7">
        <f>1</f>
        <v>1</v>
      </c>
      <c r="BM3644" s="5" t="s">
        <v>258</v>
      </c>
      <c r="BN3644" s="5" t="s">
        <v>259</v>
      </c>
      <c r="BO3644" s="5" t="s">
        <v>240</v>
      </c>
      <c r="BP3644" s="5" t="s">
        <v>240</v>
      </c>
      <c r="BQ3644" s="5" t="s">
        <v>240</v>
      </c>
      <c r="BR3644" s="5" t="s">
        <v>240</v>
      </c>
      <c r="BS3644" s="5" t="s">
        <v>240</v>
      </c>
      <c r="BT3644" s="5" t="s">
        <v>240</v>
      </c>
      <c r="BU3644" s="5" t="s">
        <v>240</v>
      </c>
      <c r="BV3644" s="5" t="s">
        <v>240</v>
      </c>
      <c r="BW3644" s="6" t="s">
        <v>240</v>
      </c>
      <c r="BX3644" s="5" t="s">
        <v>240</v>
      </c>
      <c r="BY3644" s="5" t="s">
        <v>240</v>
      </c>
      <c r="BZ3644" s="5" t="s">
        <v>240</v>
      </c>
      <c r="CA3644" s="5" t="s">
        <v>259</v>
      </c>
      <c r="CB3644" s="5" t="s">
        <v>240</v>
      </c>
      <c r="CC3644" s="5" t="s">
        <v>240</v>
      </c>
      <c r="CD3644" s="5" t="s">
        <v>240</v>
      </c>
      <c r="CE3644" s="5" t="s">
        <v>240</v>
      </c>
      <c r="CF3644" s="5" t="s">
        <v>240</v>
      </c>
      <c r="CG3644" s="5" t="s">
        <v>304</v>
      </c>
      <c r="CH3644" s="5" t="s">
        <v>305</v>
      </c>
      <c r="CI3644" s="5" t="s">
        <v>260</v>
      </c>
      <c r="CK3644" s="5" t="s">
        <v>3681</v>
      </c>
      <c r="CL3644" s="6" t="s">
        <v>261</v>
      </c>
      <c r="CM3644" s="5" t="s">
        <v>262</v>
      </c>
      <c r="CN3644" s="5" t="s">
        <v>263</v>
      </c>
      <c r="CO3644" s="5" t="s">
        <v>264</v>
      </c>
      <c r="CP3644" s="5" t="s">
        <v>240</v>
      </c>
      <c r="CQ3644" s="5">
        <v>0</v>
      </c>
      <c r="CR3644" s="5" t="s">
        <v>735</v>
      </c>
      <c r="CS3644" s="5" t="s">
        <v>307</v>
      </c>
      <c r="CT3644" s="5" t="s">
        <v>307</v>
      </c>
      <c r="CU3644" s="5" t="s">
        <v>260</v>
      </c>
      <c r="CV3644" s="5" t="s">
        <v>612</v>
      </c>
      <c r="CW3644" s="8">
        <f>1</f>
        <v>1</v>
      </c>
      <c r="CX3644" s="7">
        <f>1</f>
        <v>1</v>
      </c>
      <c r="CY3644" s="7">
        <f>0</f>
        <v>0</v>
      </c>
      <c r="DA3644" s="7">
        <f>1</f>
        <v>1</v>
      </c>
      <c r="DB3644" s="7" t="s">
        <v>240</v>
      </c>
      <c r="DC3644" s="5" t="s">
        <v>240</v>
      </c>
      <c r="DD3644" s="5" t="s">
        <v>240</v>
      </c>
      <c r="DE3644" s="5" t="s">
        <v>240</v>
      </c>
      <c r="DF3644" s="5" t="s">
        <v>240</v>
      </c>
      <c r="DG3644" s="7">
        <f>0</f>
        <v>0</v>
      </c>
      <c r="DI3644" s="5" t="s">
        <v>240</v>
      </c>
      <c r="DJ3644" s="5" t="s">
        <v>240</v>
      </c>
      <c r="DK3644" s="5" t="s">
        <v>240</v>
      </c>
      <c r="DL3644" s="5" t="s">
        <v>240</v>
      </c>
      <c r="DM3644" s="5" t="s">
        <v>240</v>
      </c>
      <c r="DN3644" s="5" t="s">
        <v>240</v>
      </c>
      <c r="DO3644" s="7" t="s">
        <v>240</v>
      </c>
      <c r="DP3644" s="5" t="s">
        <v>240</v>
      </c>
      <c r="DQ3644" s="5" t="s">
        <v>248</v>
      </c>
      <c r="DR3644" s="5" t="s">
        <v>731</v>
      </c>
      <c r="DS3644" s="5" t="s">
        <v>731</v>
      </c>
      <c r="DT3644" s="5" t="s">
        <v>240</v>
      </c>
      <c r="DU3644" s="5" t="s">
        <v>240</v>
      </c>
      <c r="DV3644" s="5" t="s">
        <v>6047</v>
      </c>
      <c r="DW3644" s="5" t="s">
        <v>799</v>
      </c>
      <c r="DX3644" s="5" t="s">
        <v>240</v>
      </c>
      <c r="DY3644" s="5" t="s">
        <v>240</v>
      </c>
      <c r="DZ3644" s="5" t="s">
        <v>240</v>
      </c>
      <c r="EA3644" s="5" t="s">
        <v>240</v>
      </c>
      <c r="EB3644" s="5" t="s">
        <v>240</v>
      </c>
      <c r="EC3644" s="5" t="s">
        <v>240</v>
      </c>
      <c r="ED3644" s="5" t="s">
        <v>240</v>
      </c>
      <c r="EE3644" s="5" t="s">
        <v>240</v>
      </c>
      <c r="EF3644" s="5" t="s">
        <v>240</v>
      </c>
      <c r="EG3644" s="5" t="s">
        <v>240</v>
      </c>
      <c r="EH3644" s="5" t="s">
        <v>240</v>
      </c>
      <c r="EI3644" s="5" t="s">
        <v>240</v>
      </c>
      <c r="EJ3644" s="5" t="s">
        <v>240</v>
      </c>
      <c r="EK3644" s="5" t="s">
        <v>240</v>
      </c>
      <c r="EL3644" s="5" t="s">
        <v>240</v>
      </c>
      <c r="EM3644" s="5" t="s">
        <v>240</v>
      </c>
      <c r="EN3644" s="5" t="s">
        <v>240</v>
      </c>
      <c r="EO3644" s="5" t="s">
        <v>240</v>
      </c>
      <c r="EP3644" s="5" t="s">
        <v>240</v>
      </c>
      <c r="EQ3644" s="5" t="s">
        <v>240</v>
      </c>
      <c r="ER3644" s="5" t="s">
        <v>240</v>
      </c>
      <c r="ES3644" s="5" t="s">
        <v>240</v>
      </c>
      <c r="ET3644" s="5" t="s">
        <v>240</v>
      </c>
      <c r="EU3644" s="5" t="s">
        <v>240</v>
      </c>
      <c r="EV3644" s="5" t="s">
        <v>240</v>
      </c>
      <c r="EW3644" s="5" t="s">
        <v>240</v>
      </c>
      <c r="EX3644" s="5" t="s">
        <v>240</v>
      </c>
      <c r="EY3644" s="5" t="s">
        <v>240</v>
      </c>
      <c r="EZ3644" s="5" t="s">
        <v>240</v>
      </c>
      <c r="FA3644" s="5" t="s">
        <v>240</v>
      </c>
      <c r="FB3644" s="5" t="s">
        <v>240</v>
      </c>
      <c r="FC3644" s="5" t="s">
        <v>240</v>
      </c>
      <c r="FD3644" s="5" t="s">
        <v>240</v>
      </c>
      <c r="FE3644" s="5" t="s">
        <v>240</v>
      </c>
      <c r="FF3644" s="5" t="s">
        <v>240</v>
      </c>
      <c r="FG3644" s="5" t="s">
        <v>240</v>
      </c>
      <c r="FH3644" s="5" t="s">
        <v>240</v>
      </c>
      <c r="FI3644" s="5" t="s">
        <v>240</v>
      </c>
      <c r="FJ3644" s="5" t="s">
        <v>240</v>
      </c>
      <c r="FK3644" s="5" t="s">
        <v>240</v>
      </c>
      <c r="FL3644" s="5" t="s">
        <v>240</v>
      </c>
      <c r="FM3644" s="5" t="s">
        <v>240</v>
      </c>
      <c r="FN3644" s="5" t="s">
        <v>240</v>
      </c>
      <c r="FO3644" s="5" t="s">
        <v>240</v>
      </c>
      <c r="FP3644" s="5" t="s">
        <v>240</v>
      </c>
      <c r="FQ3644" s="5" t="s">
        <v>240</v>
      </c>
      <c r="FR3644" s="5" t="s">
        <v>240</v>
      </c>
      <c r="FS3644" s="5" t="s">
        <v>240</v>
      </c>
      <c r="FT3644" s="5" t="s">
        <v>240</v>
      </c>
      <c r="FU3644" s="5" t="s">
        <v>240</v>
      </c>
      <c r="FV3644" s="5" t="s">
        <v>240</v>
      </c>
      <c r="FW3644" s="5" t="s">
        <v>240</v>
      </c>
      <c r="FX3644" s="5" t="s">
        <v>240</v>
      </c>
      <c r="FY3644" s="5" t="s">
        <v>240</v>
      </c>
      <c r="FZ3644" s="5" t="s">
        <v>240</v>
      </c>
      <c r="GA3644" s="5" t="s">
        <v>240</v>
      </c>
      <c r="GB3644" s="5" t="s">
        <v>240</v>
      </c>
      <c r="GC3644" s="5" t="s">
        <v>240</v>
      </c>
      <c r="GD3644" s="5" t="s">
        <v>240</v>
      </c>
      <c r="GE3644" s="5" t="s">
        <v>240</v>
      </c>
      <c r="GF3644" s="5" t="s">
        <v>240</v>
      </c>
      <c r="GG3644" s="5" t="s">
        <v>240</v>
      </c>
      <c r="GH3644" s="5" t="s">
        <v>240</v>
      </c>
      <c r="GI3644" s="5" t="s">
        <v>240</v>
      </c>
      <c r="GJ3644" s="5" t="s">
        <v>240</v>
      </c>
      <c r="GK3644" s="5" t="s">
        <v>240</v>
      </c>
      <c r="GL3644" s="5" t="s">
        <v>240</v>
      </c>
      <c r="GM3644" s="5" t="s">
        <v>240</v>
      </c>
      <c r="GN3644" s="5" t="s">
        <v>240</v>
      </c>
      <c r="GO3644" s="5" t="s">
        <v>240</v>
      </c>
      <c r="GP3644" s="5" t="s">
        <v>240</v>
      </c>
      <c r="GQ3644" s="5" t="s">
        <v>240</v>
      </c>
      <c r="GR3644" s="5" t="s">
        <v>240</v>
      </c>
      <c r="GS3644" s="5" t="s">
        <v>240</v>
      </c>
      <c r="GT3644" s="5" t="s">
        <v>240</v>
      </c>
      <c r="GU3644" s="5" t="s">
        <v>240</v>
      </c>
      <c r="GV3644" s="5" t="s">
        <v>240</v>
      </c>
      <c r="GW3644" s="5" t="s">
        <v>240</v>
      </c>
      <c r="GX3644" s="5" t="s">
        <v>240</v>
      </c>
      <c r="GY3644" s="5" t="s">
        <v>240</v>
      </c>
      <c r="GZ3644" s="5" t="s">
        <v>240</v>
      </c>
      <c r="HA3644" s="5" t="s">
        <v>240</v>
      </c>
      <c r="HB3644" s="5" t="s">
        <v>240</v>
      </c>
      <c r="HC3644" s="5" t="s">
        <v>240</v>
      </c>
      <c r="HD3644" s="5" t="s">
        <v>240</v>
      </c>
      <c r="HE3644" s="5" t="s">
        <v>240</v>
      </c>
      <c r="HF3644" s="5" t="s">
        <v>240</v>
      </c>
      <c r="HG3644" s="5" t="s">
        <v>240</v>
      </c>
      <c r="HH3644" s="5" t="s">
        <v>240</v>
      </c>
      <c r="HI3644" s="5" t="s">
        <v>240</v>
      </c>
      <c r="HJ3644" s="5" t="s">
        <v>240</v>
      </c>
      <c r="HK3644" s="5" t="s">
        <v>240</v>
      </c>
      <c r="HL3644" s="5" t="s">
        <v>240</v>
      </c>
      <c r="HM3644" s="5" t="s">
        <v>240</v>
      </c>
      <c r="HN3644" s="5" t="s">
        <v>240</v>
      </c>
      <c r="HO3644" s="5" t="s">
        <v>240</v>
      </c>
      <c r="HP3644" s="5" t="s">
        <v>240</v>
      </c>
      <c r="HQ3644" s="5" t="s">
        <v>240</v>
      </c>
      <c r="HR3644" s="5" t="s">
        <v>240</v>
      </c>
      <c r="HS3644" s="5" t="s">
        <v>240</v>
      </c>
      <c r="HT3644" s="5" t="s">
        <v>240</v>
      </c>
      <c r="HU3644" s="5" t="s">
        <v>240</v>
      </c>
      <c r="HV3644" s="5" t="s">
        <v>240</v>
      </c>
      <c r="HW3644" s="5" t="s">
        <v>240</v>
      </c>
      <c r="HX3644" s="5" t="s">
        <v>240</v>
      </c>
      <c r="HY3644" s="5" t="s">
        <v>240</v>
      </c>
      <c r="HZ3644" s="5" t="s">
        <v>240</v>
      </c>
      <c r="IA3644" s="5" t="s">
        <v>240</v>
      </c>
      <c r="IB3644" s="5" t="s">
        <v>240</v>
      </c>
      <c r="IC3644" s="5" t="s">
        <v>240</v>
      </c>
      <c r="ID3644" s="5" t="s">
        <v>240</v>
      </c>
      <c r="IE3644" s="5" t="s">
        <v>240</v>
      </c>
      <c r="IF3644" s="5" t="s">
        <v>240</v>
      </c>
    </row>
    <row r="3645" spans="1:240" x14ac:dyDescent="0.4">
      <c r="A3645" s="5">
        <v>9187</v>
      </c>
      <c r="B3645" s="5">
        <v>1</v>
      </c>
      <c r="C3645" s="5">
        <v>1</v>
      </c>
      <c r="D3645" s="5" t="s">
        <v>723</v>
      </c>
      <c r="E3645" s="5" t="s">
        <v>725</v>
      </c>
      <c r="F3645" s="5" t="s">
        <v>254</v>
      </c>
      <c r="G3645" s="5" t="s">
        <v>5689</v>
      </c>
      <c r="H3645" s="6" t="s">
        <v>5690</v>
      </c>
      <c r="I3645" s="5" t="s">
        <v>5688</v>
      </c>
      <c r="J3645" s="7">
        <f>1</f>
        <v>1</v>
      </c>
      <c r="K3645" s="5" t="s">
        <v>3682</v>
      </c>
      <c r="L3645" s="7">
        <f>1</f>
        <v>1</v>
      </c>
      <c r="M3645" s="7">
        <f>1</f>
        <v>1</v>
      </c>
      <c r="N3645" s="5" t="s">
        <v>242</v>
      </c>
      <c r="O3645" s="5">
        <v>1</v>
      </c>
      <c r="P3645" s="5" t="s">
        <v>294</v>
      </c>
      <c r="Q3645" s="5" t="s">
        <v>3678</v>
      </c>
      <c r="R3645" s="5" t="s">
        <v>240</v>
      </c>
      <c r="S3645" s="5" t="s">
        <v>240</v>
      </c>
      <c r="T3645" s="5" t="s">
        <v>243</v>
      </c>
      <c r="U3645" s="5" t="s">
        <v>244</v>
      </c>
      <c r="V3645" s="5" t="s">
        <v>240</v>
      </c>
      <c r="W3645" s="5" t="s">
        <v>240</v>
      </c>
      <c r="X3645" s="5" t="s">
        <v>240</v>
      </c>
      <c r="Y3645" s="5" t="s">
        <v>240</v>
      </c>
      <c r="Z3645" s="6" t="s">
        <v>298</v>
      </c>
      <c r="AA3645" s="6" t="s">
        <v>240</v>
      </c>
      <c r="AB3645" s="6" t="s">
        <v>240</v>
      </c>
      <c r="AC3645" s="5" t="s">
        <v>240</v>
      </c>
      <c r="AD3645" s="6" t="s">
        <v>240</v>
      </c>
      <c r="AE3645" s="6" t="s">
        <v>299</v>
      </c>
      <c r="AF3645" s="5" t="s">
        <v>248</v>
      </c>
      <c r="AG3645" s="5" t="s">
        <v>249</v>
      </c>
      <c r="AH3645" s="5" t="s">
        <v>240</v>
      </c>
      <c r="AI3645" s="5" t="s">
        <v>240</v>
      </c>
      <c r="AJ3645" s="5" t="s">
        <v>240</v>
      </c>
      <c r="AK3645" s="5" t="s">
        <v>240</v>
      </c>
      <c r="AL3645" s="5" t="s">
        <v>240</v>
      </c>
      <c r="AM3645" s="5" t="s">
        <v>240</v>
      </c>
      <c r="AN3645" s="5" t="s">
        <v>240</v>
      </c>
      <c r="AO3645" s="5" t="s">
        <v>240</v>
      </c>
      <c r="AP3645" s="6" t="s">
        <v>240</v>
      </c>
      <c r="AQ3645" s="6" t="s">
        <v>240</v>
      </c>
      <c r="AR3645" s="6" t="s">
        <v>240</v>
      </c>
      <c r="AS3645" s="6" t="s">
        <v>240</v>
      </c>
      <c r="AT3645" s="5" t="s">
        <v>240</v>
      </c>
      <c r="AU3645" s="5" t="s">
        <v>729</v>
      </c>
      <c r="AV3645" s="5" t="s">
        <v>729</v>
      </c>
      <c r="AW3645" s="5" t="s">
        <v>251</v>
      </c>
      <c r="AX3645" s="5" t="s">
        <v>252</v>
      </c>
      <c r="AY3645" s="5" t="s">
        <v>253</v>
      </c>
      <c r="AZ3645" s="5" t="s">
        <v>6046</v>
      </c>
      <c r="BA3645" s="5" t="s">
        <v>255</v>
      </c>
      <c r="BB3645" s="5" t="s">
        <v>731</v>
      </c>
      <c r="BD3645" s="5" t="s">
        <v>240</v>
      </c>
      <c r="BF3645" s="5" t="s">
        <v>732</v>
      </c>
      <c r="BG3645" s="6" t="s">
        <v>733</v>
      </c>
      <c r="BH3645" s="5" t="s">
        <v>734</v>
      </c>
      <c r="BI3645" s="5" t="s">
        <v>734</v>
      </c>
      <c r="BJ3645" s="5" t="s">
        <v>240</v>
      </c>
      <c r="BK3645" s="7">
        <f>1</f>
        <v>1</v>
      </c>
      <c r="BL3645" s="7">
        <f>1</f>
        <v>1</v>
      </c>
      <c r="BM3645" s="5" t="s">
        <v>258</v>
      </c>
      <c r="BN3645" s="5" t="s">
        <v>259</v>
      </c>
      <c r="BO3645" s="5" t="s">
        <v>240</v>
      </c>
      <c r="BP3645" s="5" t="s">
        <v>240</v>
      </c>
      <c r="BQ3645" s="5" t="s">
        <v>240</v>
      </c>
      <c r="BR3645" s="5" t="s">
        <v>240</v>
      </c>
      <c r="BS3645" s="5" t="s">
        <v>240</v>
      </c>
      <c r="BT3645" s="5" t="s">
        <v>240</v>
      </c>
      <c r="BU3645" s="5" t="s">
        <v>240</v>
      </c>
      <c r="BV3645" s="5" t="s">
        <v>240</v>
      </c>
      <c r="BW3645" s="6" t="s">
        <v>240</v>
      </c>
      <c r="BX3645" s="5" t="s">
        <v>240</v>
      </c>
      <c r="BY3645" s="5" t="s">
        <v>240</v>
      </c>
      <c r="BZ3645" s="5" t="s">
        <v>240</v>
      </c>
      <c r="CA3645" s="5" t="s">
        <v>259</v>
      </c>
      <c r="CB3645" s="5" t="s">
        <v>240</v>
      </c>
      <c r="CC3645" s="5" t="s">
        <v>240</v>
      </c>
      <c r="CD3645" s="5" t="s">
        <v>240</v>
      </c>
      <c r="CE3645" s="5" t="s">
        <v>240</v>
      </c>
      <c r="CF3645" s="5" t="s">
        <v>240</v>
      </c>
      <c r="CG3645" s="5" t="s">
        <v>304</v>
      </c>
      <c r="CH3645" s="5" t="s">
        <v>305</v>
      </c>
      <c r="CI3645" s="5" t="s">
        <v>260</v>
      </c>
      <c r="CK3645" s="5" t="s">
        <v>3681</v>
      </c>
      <c r="CL3645" s="6" t="s">
        <v>261</v>
      </c>
      <c r="CM3645" s="5" t="s">
        <v>262</v>
      </c>
      <c r="CN3645" s="5" t="s">
        <v>263</v>
      </c>
      <c r="CO3645" s="5" t="s">
        <v>264</v>
      </c>
      <c r="CP3645" s="5" t="s">
        <v>240</v>
      </c>
      <c r="CQ3645" s="5">
        <v>0</v>
      </c>
      <c r="CR3645" s="5" t="s">
        <v>735</v>
      </c>
      <c r="CS3645" s="5" t="s">
        <v>307</v>
      </c>
      <c r="CT3645" s="5" t="s">
        <v>307</v>
      </c>
      <c r="CU3645" s="5" t="s">
        <v>260</v>
      </c>
      <c r="CV3645" s="5" t="s">
        <v>612</v>
      </c>
      <c r="CW3645" s="8">
        <f>1</f>
        <v>1</v>
      </c>
      <c r="CX3645" s="7">
        <f>1</f>
        <v>1</v>
      </c>
      <c r="CY3645" s="7">
        <f>0</f>
        <v>0</v>
      </c>
      <c r="DA3645" s="7">
        <f>1</f>
        <v>1</v>
      </c>
      <c r="DB3645" s="7" t="s">
        <v>240</v>
      </c>
      <c r="DC3645" s="5" t="s">
        <v>240</v>
      </c>
      <c r="DD3645" s="5" t="s">
        <v>240</v>
      </c>
      <c r="DE3645" s="5" t="s">
        <v>240</v>
      </c>
      <c r="DF3645" s="5" t="s">
        <v>240</v>
      </c>
      <c r="DG3645" s="7">
        <f>0</f>
        <v>0</v>
      </c>
      <c r="DI3645" s="5" t="s">
        <v>240</v>
      </c>
      <c r="DJ3645" s="5" t="s">
        <v>240</v>
      </c>
      <c r="DK3645" s="5" t="s">
        <v>240</v>
      </c>
      <c r="DL3645" s="5" t="s">
        <v>240</v>
      </c>
      <c r="DM3645" s="5" t="s">
        <v>240</v>
      </c>
      <c r="DN3645" s="5" t="s">
        <v>240</v>
      </c>
      <c r="DO3645" s="7" t="s">
        <v>240</v>
      </c>
      <c r="DP3645" s="5" t="s">
        <v>240</v>
      </c>
      <c r="DQ3645" s="5" t="s">
        <v>248</v>
      </c>
      <c r="DR3645" s="5" t="s">
        <v>731</v>
      </c>
      <c r="DS3645" s="5" t="s">
        <v>731</v>
      </c>
      <c r="DT3645" s="5" t="s">
        <v>240</v>
      </c>
      <c r="DU3645" s="5" t="s">
        <v>240</v>
      </c>
      <c r="DV3645" s="5" t="s">
        <v>6047</v>
      </c>
      <c r="DW3645" s="5" t="s">
        <v>801</v>
      </c>
      <c r="DX3645" s="5" t="s">
        <v>240</v>
      </c>
      <c r="DY3645" s="5" t="s">
        <v>240</v>
      </c>
      <c r="DZ3645" s="5" t="s">
        <v>240</v>
      </c>
      <c r="EA3645" s="5" t="s">
        <v>240</v>
      </c>
      <c r="EB3645" s="5" t="s">
        <v>240</v>
      </c>
      <c r="EC3645" s="5" t="s">
        <v>240</v>
      </c>
      <c r="ED3645" s="5" t="s">
        <v>240</v>
      </c>
      <c r="EE3645" s="5" t="s">
        <v>240</v>
      </c>
      <c r="EF3645" s="5" t="s">
        <v>240</v>
      </c>
      <c r="EG3645" s="5" t="s">
        <v>240</v>
      </c>
      <c r="EH3645" s="5" t="s">
        <v>240</v>
      </c>
      <c r="EI3645" s="5" t="s">
        <v>240</v>
      </c>
      <c r="EJ3645" s="5" t="s">
        <v>240</v>
      </c>
      <c r="EK3645" s="5" t="s">
        <v>240</v>
      </c>
      <c r="EL3645" s="5" t="s">
        <v>240</v>
      </c>
      <c r="EM3645" s="5" t="s">
        <v>240</v>
      </c>
      <c r="EN3645" s="5" t="s">
        <v>240</v>
      </c>
      <c r="EO3645" s="5" t="s">
        <v>240</v>
      </c>
      <c r="EP3645" s="5" t="s">
        <v>240</v>
      </c>
      <c r="EQ3645" s="5" t="s">
        <v>240</v>
      </c>
      <c r="ER3645" s="5" t="s">
        <v>240</v>
      </c>
      <c r="ES3645" s="5" t="s">
        <v>240</v>
      </c>
      <c r="ET3645" s="5" t="s">
        <v>240</v>
      </c>
      <c r="EU3645" s="5" t="s">
        <v>240</v>
      </c>
      <c r="EV3645" s="5" t="s">
        <v>240</v>
      </c>
      <c r="EW3645" s="5" t="s">
        <v>240</v>
      </c>
      <c r="EX3645" s="5" t="s">
        <v>240</v>
      </c>
      <c r="EY3645" s="5" t="s">
        <v>240</v>
      </c>
      <c r="EZ3645" s="5" t="s">
        <v>240</v>
      </c>
      <c r="FA3645" s="5" t="s">
        <v>240</v>
      </c>
      <c r="FB3645" s="5" t="s">
        <v>240</v>
      </c>
      <c r="FC3645" s="5" t="s">
        <v>240</v>
      </c>
      <c r="FD3645" s="5" t="s">
        <v>240</v>
      </c>
      <c r="FE3645" s="5" t="s">
        <v>240</v>
      </c>
      <c r="FF3645" s="5" t="s">
        <v>240</v>
      </c>
      <c r="FG3645" s="5" t="s">
        <v>240</v>
      </c>
      <c r="FH3645" s="5" t="s">
        <v>240</v>
      </c>
      <c r="FI3645" s="5" t="s">
        <v>240</v>
      </c>
      <c r="FJ3645" s="5" t="s">
        <v>240</v>
      </c>
      <c r="FK3645" s="5" t="s">
        <v>240</v>
      </c>
      <c r="FL3645" s="5" t="s">
        <v>240</v>
      </c>
      <c r="FM3645" s="5" t="s">
        <v>240</v>
      </c>
      <c r="FN3645" s="5" t="s">
        <v>240</v>
      </c>
      <c r="FO3645" s="5" t="s">
        <v>240</v>
      </c>
      <c r="FP3645" s="5" t="s">
        <v>240</v>
      </c>
      <c r="FQ3645" s="5" t="s">
        <v>240</v>
      </c>
      <c r="FR3645" s="5" t="s">
        <v>240</v>
      </c>
      <c r="FS3645" s="5" t="s">
        <v>240</v>
      </c>
      <c r="FT3645" s="5" t="s">
        <v>240</v>
      </c>
      <c r="FU3645" s="5" t="s">
        <v>240</v>
      </c>
      <c r="FV3645" s="5" t="s">
        <v>240</v>
      </c>
      <c r="FW3645" s="5" t="s">
        <v>240</v>
      </c>
      <c r="FX3645" s="5" t="s">
        <v>240</v>
      </c>
      <c r="FY3645" s="5" t="s">
        <v>240</v>
      </c>
      <c r="FZ3645" s="5" t="s">
        <v>240</v>
      </c>
      <c r="GA3645" s="5" t="s">
        <v>240</v>
      </c>
      <c r="GB3645" s="5" t="s">
        <v>240</v>
      </c>
      <c r="GC3645" s="5" t="s">
        <v>240</v>
      </c>
      <c r="GD3645" s="5" t="s">
        <v>240</v>
      </c>
      <c r="GE3645" s="5" t="s">
        <v>240</v>
      </c>
      <c r="GF3645" s="5" t="s">
        <v>240</v>
      </c>
      <c r="GG3645" s="5" t="s">
        <v>240</v>
      </c>
      <c r="GH3645" s="5" t="s">
        <v>240</v>
      </c>
      <c r="GI3645" s="5" t="s">
        <v>240</v>
      </c>
      <c r="GJ3645" s="5" t="s">
        <v>240</v>
      </c>
      <c r="GK3645" s="5" t="s">
        <v>240</v>
      </c>
      <c r="GL3645" s="5" t="s">
        <v>240</v>
      </c>
      <c r="GM3645" s="5" t="s">
        <v>240</v>
      </c>
      <c r="GN3645" s="5" t="s">
        <v>240</v>
      </c>
      <c r="GO3645" s="5" t="s">
        <v>240</v>
      </c>
      <c r="GP3645" s="5" t="s">
        <v>240</v>
      </c>
      <c r="GQ3645" s="5" t="s">
        <v>240</v>
      </c>
      <c r="GR3645" s="5" t="s">
        <v>240</v>
      </c>
      <c r="GS3645" s="5" t="s">
        <v>240</v>
      </c>
      <c r="GT3645" s="5" t="s">
        <v>240</v>
      </c>
      <c r="GU3645" s="5" t="s">
        <v>240</v>
      </c>
      <c r="GV3645" s="5" t="s">
        <v>240</v>
      </c>
      <c r="GW3645" s="5" t="s">
        <v>240</v>
      </c>
      <c r="GX3645" s="5" t="s">
        <v>240</v>
      </c>
      <c r="GY3645" s="5" t="s">
        <v>240</v>
      </c>
      <c r="GZ3645" s="5" t="s">
        <v>240</v>
      </c>
      <c r="HA3645" s="5" t="s">
        <v>240</v>
      </c>
      <c r="HB3645" s="5" t="s">
        <v>240</v>
      </c>
      <c r="HC3645" s="5" t="s">
        <v>240</v>
      </c>
      <c r="HD3645" s="5" t="s">
        <v>240</v>
      </c>
      <c r="HE3645" s="5" t="s">
        <v>240</v>
      </c>
      <c r="HF3645" s="5" t="s">
        <v>240</v>
      </c>
      <c r="HG3645" s="5" t="s">
        <v>240</v>
      </c>
      <c r="HH3645" s="5" t="s">
        <v>240</v>
      </c>
      <c r="HI3645" s="5" t="s">
        <v>240</v>
      </c>
      <c r="HJ3645" s="5" t="s">
        <v>240</v>
      </c>
      <c r="HK3645" s="5" t="s">
        <v>240</v>
      </c>
      <c r="HL3645" s="5" t="s">
        <v>240</v>
      </c>
      <c r="HM3645" s="5" t="s">
        <v>240</v>
      </c>
      <c r="HN3645" s="5" t="s">
        <v>240</v>
      </c>
      <c r="HO3645" s="5" t="s">
        <v>240</v>
      </c>
      <c r="HP3645" s="5" t="s">
        <v>240</v>
      </c>
      <c r="HQ3645" s="5" t="s">
        <v>240</v>
      </c>
      <c r="HR3645" s="5" t="s">
        <v>240</v>
      </c>
      <c r="HS3645" s="5" t="s">
        <v>240</v>
      </c>
      <c r="HT3645" s="5" t="s">
        <v>240</v>
      </c>
      <c r="HU3645" s="5" t="s">
        <v>240</v>
      </c>
      <c r="HV3645" s="5" t="s">
        <v>240</v>
      </c>
      <c r="HW3645" s="5" t="s">
        <v>240</v>
      </c>
      <c r="HX3645" s="5" t="s">
        <v>240</v>
      </c>
      <c r="HY3645" s="5" t="s">
        <v>240</v>
      </c>
      <c r="HZ3645" s="5" t="s">
        <v>240</v>
      </c>
      <c r="IA3645" s="5" t="s">
        <v>240</v>
      </c>
      <c r="IB3645" s="5" t="s">
        <v>240</v>
      </c>
      <c r="IC3645" s="5" t="s">
        <v>240</v>
      </c>
      <c r="ID3645" s="5" t="s">
        <v>240</v>
      </c>
      <c r="IE3645" s="5" t="s">
        <v>240</v>
      </c>
      <c r="IF3645" s="5" t="s">
        <v>240</v>
      </c>
    </row>
    <row r="3646" spans="1:240" x14ac:dyDescent="0.4">
      <c r="A3646" s="5">
        <v>9188</v>
      </c>
      <c r="B3646" s="5">
        <v>1</v>
      </c>
      <c r="C3646" s="5">
        <v>1</v>
      </c>
      <c r="D3646" s="5" t="s">
        <v>723</v>
      </c>
      <c r="E3646" s="5" t="s">
        <v>725</v>
      </c>
      <c r="F3646" s="5" t="s">
        <v>254</v>
      </c>
      <c r="G3646" s="5" t="s">
        <v>726</v>
      </c>
      <c r="H3646" s="6" t="s">
        <v>5687</v>
      </c>
      <c r="I3646" s="5" t="s">
        <v>5686</v>
      </c>
      <c r="J3646" s="7">
        <f>1</f>
        <v>1</v>
      </c>
      <c r="K3646" s="5" t="s">
        <v>3682</v>
      </c>
      <c r="L3646" s="7">
        <f>1</f>
        <v>1</v>
      </c>
      <c r="M3646" s="7">
        <f>1</f>
        <v>1</v>
      </c>
      <c r="N3646" s="5" t="s">
        <v>242</v>
      </c>
      <c r="O3646" s="5">
        <v>1</v>
      </c>
      <c r="P3646" s="5" t="s">
        <v>294</v>
      </c>
      <c r="Q3646" s="5" t="s">
        <v>3678</v>
      </c>
      <c r="R3646" s="5" t="s">
        <v>240</v>
      </c>
      <c r="S3646" s="5" t="s">
        <v>240</v>
      </c>
      <c r="T3646" s="5" t="s">
        <v>243</v>
      </c>
      <c r="U3646" s="5" t="s">
        <v>244</v>
      </c>
      <c r="V3646" s="5" t="s">
        <v>240</v>
      </c>
      <c r="W3646" s="5" t="s">
        <v>240</v>
      </c>
      <c r="X3646" s="5" t="s">
        <v>240</v>
      </c>
      <c r="Y3646" s="5" t="s">
        <v>240</v>
      </c>
      <c r="Z3646" s="6" t="s">
        <v>298</v>
      </c>
      <c r="AA3646" s="6" t="s">
        <v>240</v>
      </c>
      <c r="AB3646" s="6" t="s">
        <v>240</v>
      </c>
      <c r="AC3646" s="5" t="s">
        <v>240</v>
      </c>
      <c r="AD3646" s="6" t="s">
        <v>240</v>
      </c>
      <c r="AE3646" s="6" t="s">
        <v>299</v>
      </c>
      <c r="AF3646" s="5" t="s">
        <v>248</v>
      </c>
      <c r="AG3646" s="5" t="s">
        <v>249</v>
      </c>
      <c r="AH3646" s="5" t="s">
        <v>240</v>
      </c>
      <c r="AI3646" s="5" t="s">
        <v>240</v>
      </c>
      <c r="AJ3646" s="5" t="s">
        <v>240</v>
      </c>
      <c r="AK3646" s="5" t="s">
        <v>240</v>
      </c>
      <c r="AL3646" s="5" t="s">
        <v>240</v>
      </c>
      <c r="AM3646" s="5" t="s">
        <v>240</v>
      </c>
      <c r="AN3646" s="5" t="s">
        <v>240</v>
      </c>
      <c r="AO3646" s="5" t="s">
        <v>240</v>
      </c>
      <c r="AP3646" s="6" t="s">
        <v>240</v>
      </c>
      <c r="AQ3646" s="6" t="s">
        <v>240</v>
      </c>
      <c r="AR3646" s="6" t="s">
        <v>240</v>
      </c>
      <c r="AS3646" s="6" t="s">
        <v>240</v>
      </c>
      <c r="AT3646" s="5" t="s">
        <v>240</v>
      </c>
      <c r="AU3646" s="5" t="s">
        <v>729</v>
      </c>
      <c r="AV3646" s="5" t="s">
        <v>729</v>
      </c>
      <c r="AW3646" s="5" t="s">
        <v>251</v>
      </c>
      <c r="AX3646" s="5" t="s">
        <v>252</v>
      </c>
      <c r="AY3646" s="5" t="s">
        <v>253</v>
      </c>
      <c r="AZ3646" s="5" t="s">
        <v>240</v>
      </c>
      <c r="BA3646" s="5" t="s">
        <v>255</v>
      </c>
      <c r="BB3646" s="5" t="s">
        <v>731</v>
      </c>
      <c r="BD3646" s="5" t="s">
        <v>240</v>
      </c>
      <c r="BF3646" s="5" t="s">
        <v>732</v>
      </c>
      <c r="BG3646" s="6" t="s">
        <v>733</v>
      </c>
      <c r="BH3646" s="5" t="s">
        <v>734</v>
      </c>
      <c r="BI3646" s="5" t="s">
        <v>734</v>
      </c>
      <c r="BJ3646" s="5" t="s">
        <v>240</v>
      </c>
      <c r="BK3646" s="7">
        <f>1</f>
        <v>1</v>
      </c>
      <c r="BL3646" s="7">
        <f>1</f>
        <v>1</v>
      </c>
      <c r="BM3646" s="5" t="s">
        <v>258</v>
      </c>
      <c r="BN3646" s="5" t="s">
        <v>259</v>
      </c>
      <c r="BO3646" s="5" t="s">
        <v>240</v>
      </c>
      <c r="BP3646" s="5" t="s">
        <v>240</v>
      </c>
      <c r="BQ3646" s="5" t="s">
        <v>240</v>
      </c>
      <c r="BR3646" s="5" t="s">
        <v>240</v>
      </c>
      <c r="BS3646" s="5" t="s">
        <v>240</v>
      </c>
      <c r="BT3646" s="5" t="s">
        <v>240</v>
      </c>
      <c r="BU3646" s="5" t="s">
        <v>240</v>
      </c>
      <c r="BV3646" s="5" t="s">
        <v>240</v>
      </c>
      <c r="BW3646" s="6" t="s">
        <v>240</v>
      </c>
      <c r="BX3646" s="5" t="s">
        <v>240</v>
      </c>
      <c r="BY3646" s="5" t="s">
        <v>240</v>
      </c>
      <c r="BZ3646" s="5" t="s">
        <v>240</v>
      </c>
      <c r="CA3646" s="5" t="s">
        <v>259</v>
      </c>
      <c r="CB3646" s="5" t="s">
        <v>240</v>
      </c>
      <c r="CC3646" s="5" t="s">
        <v>240</v>
      </c>
      <c r="CD3646" s="5" t="s">
        <v>240</v>
      </c>
      <c r="CE3646" s="5" t="s">
        <v>240</v>
      </c>
      <c r="CF3646" s="5" t="s">
        <v>240</v>
      </c>
      <c r="CG3646" s="5" t="s">
        <v>304</v>
      </c>
      <c r="CH3646" s="5" t="s">
        <v>305</v>
      </c>
      <c r="CI3646" s="5" t="s">
        <v>240</v>
      </c>
      <c r="CK3646" s="5" t="s">
        <v>3681</v>
      </c>
      <c r="CL3646" s="6" t="s">
        <v>261</v>
      </c>
      <c r="CM3646" s="5" t="s">
        <v>262</v>
      </c>
      <c r="CN3646" s="5" t="s">
        <v>263</v>
      </c>
      <c r="CO3646" s="5" t="s">
        <v>264</v>
      </c>
      <c r="CP3646" s="5" t="s">
        <v>240</v>
      </c>
      <c r="CQ3646" s="5">
        <v>0</v>
      </c>
      <c r="CR3646" s="5" t="s">
        <v>735</v>
      </c>
      <c r="CS3646" s="5" t="s">
        <v>307</v>
      </c>
      <c r="CT3646" s="5" t="s">
        <v>307</v>
      </c>
      <c r="CU3646" s="5" t="s">
        <v>260</v>
      </c>
      <c r="CV3646" s="5" t="s">
        <v>612</v>
      </c>
      <c r="CW3646" s="8">
        <f>1</f>
        <v>1</v>
      </c>
      <c r="CX3646" s="7">
        <f>1</f>
        <v>1</v>
      </c>
      <c r="CY3646" s="7">
        <f>0</f>
        <v>0</v>
      </c>
      <c r="DA3646" s="7">
        <f>1</f>
        <v>1</v>
      </c>
      <c r="DB3646" s="7" t="s">
        <v>240</v>
      </c>
      <c r="DC3646" s="5" t="s">
        <v>240</v>
      </c>
      <c r="DD3646" s="5" t="s">
        <v>240</v>
      </c>
      <c r="DE3646" s="5" t="s">
        <v>240</v>
      </c>
      <c r="DF3646" s="5" t="s">
        <v>240</v>
      </c>
      <c r="DG3646" s="7">
        <f>0</f>
        <v>0</v>
      </c>
      <c r="DI3646" s="5" t="s">
        <v>240</v>
      </c>
      <c r="DJ3646" s="5" t="s">
        <v>240</v>
      </c>
      <c r="DK3646" s="5" t="s">
        <v>240</v>
      </c>
      <c r="DL3646" s="5" t="s">
        <v>240</v>
      </c>
      <c r="DM3646" s="5" t="s">
        <v>240</v>
      </c>
      <c r="DN3646" s="5" t="s">
        <v>240</v>
      </c>
      <c r="DO3646" s="7" t="s">
        <v>240</v>
      </c>
      <c r="DP3646" s="5" t="s">
        <v>240</v>
      </c>
      <c r="DQ3646" s="5" t="s">
        <v>240</v>
      </c>
      <c r="DR3646" s="5" t="s">
        <v>731</v>
      </c>
      <c r="DS3646" s="5" t="s">
        <v>731</v>
      </c>
      <c r="DT3646" s="5" t="s">
        <v>240</v>
      </c>
      <c r="DU3646" s="5" t="s">
        <v>240</v>
      </c>
      <c r="DV3646" s="5" t="s">
        <v>3683</v>
      </c>
      <c r="DW3646" s="5" t="s">
        <v>4033</v>
      </c>
      <c r="DX3646" s="5" t="s">
        <v>240</v>
      </c>
      <c r="DY3646" s="5" t="s">
        <v>240</v>
      </c>
      <c r="DZ3646" s="5" t="s">
        <v>240</v>
      </c>
      <c r="EA3646" s="5" t="s">
        <v>240</v>
      </c>
      <c r="EB3646" s="5" t="s">
        <v>240</v>
      </c>
      <c r="EC3646" s="5" t="s">
        <v>240</v>
      </c>
      <c r="ED3646" s="5" t="s">
        <v>240</v>
      </c>
      <c r="EE3646" s="5" t="s">
        <v>240</v>
      </c>
      <c r="EF3646" s="5" t="s">
        <v>240</v>
      </c>
      <c r="EG3646" s="5" t="s">
        <v>240</v>
      </c>
      <c r="EH3646" s="5" t="s">
        <v>240</v>
      </c>
      <c r="EI3646" s="5" t="s">
        <v>240</v>
      </c>
      <c r="EJ3646" s="5" t="s">
        <v>240</v>
      </c>
      <c r="EK3646" s="5" t="s">
        <v>240</v>
      </c>
      <c r="EL3646" s="5" t="s">
        <v>240</v>
      </c>
      <c r="EM3646" s="5" t="s">
        <v>240</v>
      </c>
      <c r="EN3646" s="5" t="s">
        <v>240</v>
      </c>
      <c r="EO3646" s="5" t="s">
        <v>240</v>
      </c>
      <c r="EP3646" s="5" t="s">
        <v>240</v>
      </c>
      <c r="EQ3646" s="5" t="s">
        <v>240</v>
      </c>
      <c r="ER3646" s="5" t="s">
        <v>240</v>
      </c>
      <c r="ES3646" s="5" t="s">
        <v>240</v>
      </c>
      <c r="ET3646" s="5" t="s">
        <v>240</v>
      </c>
      <c r="EU3646" s="5" t="s">
        <v>240</v>
      </c>
      <c r="EV3646" s="5" t="s">
        <v>240</v>
      </c>
      <c r="EW3646" s="5" t="s">
        <v>240</v>
      </c>
      <c r="EX3646" s="5" t="s">
        <v>240</v>
      </c>
      <c r="EY3646" s="5" t="s">
        <v>240</v>
      </c>
      <c r="EZ3646" s="5" t="s">
        <v>240</v>
      </c>
      <c r="FA3646" s="5" t="s">
        <v>240</v>
      </c>
      <c r="FB3646" s="5" t="s">
        <v>240</v>
      </c>
      <c r="FC3646" s="5" t="s">
        <v>240</v>
      </c>
      <c r="FD3646" s="5" t="s">
        <v>240</v>
      </c>
      <c r="FE3646" s="5" t="s">
        <v>240</v>
      </c>
      <c r="FF3646" s="5" t="s">
        <v>240</v>
      </c>
      <c r="FG3646" s="5" t="s">
        <v>240</v>
      </c>
      <c r="FH3646" s="5" t="s">
        <v>240</v>
      </c>
      <c r="FI3646" s="5" t="s">
        <v>240</v>
      </c>
      <c r="FJ3646" s="5" t="s">
        <v>240</v>
      </c>
      <c r="FK3646" s="5" t="s">
        <v>240</v>
      </c>
      <c r="FL3646" s="5" t="s">
        <v>240</v>
      </c>
      <c r="FM3646" s="5" t="s">
        <v>240</v>
      </c>
      <c r="FN3646" s="5" t="s">
        <v>240</v>
      </c>
      <c r="FO3646" s="5" t="s">
        <v>240</v>
      </c>
      <c r="FP3646" s="5" t="s">
        <v>240</v>
      </c>
      <c r="FQ3646" s="5" t="s">
        <v>240</v>
      </c>
      <c r="FR3646" s="5" t="s">
        <v>240</v>
      </c>
      <c r="FS3646" s="5" t="s">
        <v>240</v>
      </c>
      <c r="FT3646" s="5" t="s">
        <v>240</v>
      </c>
      <c r="FU3646" s="5" t="s">
        <v>240</v>
      </c>
      <c r="FV3646" s="5" t="s">
        <v>240</v>
      </c>
      <c r="FW3646" s="5" t="s">
        <v>240</v>
      </c>
      <c r="FX3646" s="5" t="s">
        <v>240</v>
      </c>
      <c r="FY3646" s="5" t="s">
        <v>240</v>
      </c>
      <c r="FZ3646" s="5" t="s">
        <v>240</v>
      </c>
      <c r="GA3646" s="5" t="s">
        <v>240</v>
      </c>
      <c r="GB3646" s="5" t="s">
        <v>240</v>
      </c>
      <c r="GC3646" s="5" t="s">
        <v>240</v>
      </c>
      <c r="GD3646" s="5" t="s">
        <v>240</v>
      </c>
      <c r="GE3646" s="5" t="s">
        <v>240</v>
      </c>
      <c r="GF3646" s="5" t="s">
        <v>240</v>
      </c>
      <c r="GG3646" s="5" t="s">
        <v>240</v>
      </c>
      <c r="GH3646" s="5" t="s">
        <v>240</v>
      </c>
      <c r="GI3646" s="5" t="s">
        <v>240</v>
      </c>
      <c r="GJ3646" s="5" t="s">
        <v>240</v>
      </c>
      <c r="GK3646" s="5" t="s">
        <v>240</v>
      </c>
      <c r="GL3646" s="5" t="s">
        <v>240</v>
      </c>
      <c r="GM3646" s="5" t="s">
        <v>240</v>
      </c>
      <c r="GN3646" s="5" t="s">
        <v>240</v>
      </c>
      <c r="GO3646" s="5" t="s">
        <v>240</v>
      </c>
      <c r="GP3646" s="5" t="s">
        <v>240</v>
      </c>
      <c r="GQ3646" s="5" t="s">
        <v>240</v>
      </c>
      <c r="GR3646" s="5" t="s">
        <v>240</v>
      </c>
      <c r="GS3646" s="5" t="s">
        <v>240</v>
      </c>
      <c r="GT3646" s="5" t="s">
        <v>240</v>
      </c>
      <c r="GU3646" s="5" t="s">
        <v>240</v>
      </c>
      <c r="GV3646" s="5" t="s">
        <v>240</v>
      </c>
      <c r="GW3646" s="5" t="s">
        <v>240</v>
      </c>
      <c r="GX3646" s="5" t="s">
        <v>240</v>
      </c>
      <c r="GY3646" s="5" t="s">
        <v>240</v>
      </c>
      <c r="GZ3646" s="5" t="s">
        <v>240</v>
      </c>
      <c r="HA3646" s="5" t="s">
        <v>240</v>
      </c>
      <c r="HB3646" s="5" t="s">
        <v>240</v>
      </c>
      <c r="HC3646" s="5" t="s">
        <v>240</v>
      </c>
      <c r="HD3646" s="5" t="s">
        <v>240</v>
      </c>
      <c r="HE3646" s="5" t="s">
        <v>240</v>
      </c>
      <c r="HF3646" s="5" t="s">
        <v>240</v>
      </c>
      <c r="HG3646" s="5" t="s">
        <v>240</v>
      </c>
      <c r="HH3646" s="5" t="s">
        <v>240</v>
      </c>
      <c r="HI3646" s="5" t="s">
        <v>240</v>
      </c>
      <c r="HJ3646" s="5" t="s">
        <v>240</v>
      </c>
      <c r="HK3646" s="5" t="s">
        <v>240</v>
      </c>
      <c r="HL3646" s="5" t="s">
        <v>240</v>
      </c>
      <c r="HM3646" s="5" t="s">
        <v>240</v>
      </c>
      <c r="HN3646" s="5" t="s">
        <v>240</v>
      </c>
      <c r="HO3646" s="5" t="s">
        <v>312</v>
      </c>
      <c r="HP3646" s="5" t="s">
        <v>240</v>
      </c>
      <c r="HQ3646" s="5" t="s">
        <v>240</v>
      </c>
      <c r="HR3646" s="5" t="s">
        <v>240</v>
      </c>
      <c r="HS3646" s="5" t="s">
        <v>240</v>
      </c>
      <c r="HT3646" s="5" t="s">
        <v>240</v>
      </c>
      <c r="HU3646" s="5" t="s">
        <v>240</v>
      </c>
      <c r="HV3646" s="5" t="s">
        <v>240</v>
      </c>
      <c r="HW3646" s="5" t="s">
        <v>240</v>
      </c>
      <c r="HX3646" s="5" t="s">
        <v>240</v>
      </c>
      <c r="HY3646" s="5" t="s">
        <v>240</v>
      </c>
      <c r="HZ3646" s="5" t="s">
        <v>240</v>
      </c>
      <c r="IA3646" s="5" t="s">
        <v>240</v>
      </c>
      <c r="IB3646" s="5" t="s">
        <v>240</v>
      </c>
      <c r="IC3646" s="5" t="s">
        <v>240</v>
      </c>
      <c r="ID3646" s="5" t="s">
        <v>240</v>
      </c>
      <c r="IE3646" s="5" t="s">
        <v>240</v>
      </c>
      <c r="IF3646" s="5" t="s">
        <v>240</v>
      </c>
    </row>
    <row r="3647" spans="1:240" x14ac:dyDescent="0.4">
      <c r="A3647" s="5">
        <v>9189</v>
      </c>
      <c r="B3647" s="5">
        <v>1</v>
      </c>
      <c r="C3647" s="5">
        <v>1</v>
      </c>
      <c r="D3647" s="5" t="s">
        <v>723</v>
      </c>
      <c r="E3647" s="5" t="s">
        <v>725</v>
      </c>
      <c r="F3647" s="5" t="s">
        <v>254</v>
      </c>
      <c r="G3647" s="5" t="s">
        <v>726</v>
      </c>
      <c r="H3647" s="6" t="s">
        <v>6384</v>
      </c>
      <c r="I3647" s="5" t="s">
        <v>6383</v>
      </c>
      <c r="J3647" s="7">
        <f>1</f>
        <v>1</v>
      </c>
      <c r="K3647" s="5" t="s">
        <v>3682</v>
      </c>
      <c r="L3647" s="7">
        <f>1</f>
        <v>1</v>
      </c>
      <c r="M3647" s="7">
        <f>1</f>
        <v>1</v>
      </c>
      <c r="N3647" s="5" t="s">
        <v>242</v>
      </c>
      <c r="O3647" s="5">
        <v>1</v>
      </c>
      <c r="P3647" s="5" t="s">
        <v>294</v>
      </c>
      <c r="Q3647" s="5" t="s">
        <v>3678</v>
      </c>
      <c r="R3647" s="5" t="s">
        <v>240</v>
      </c>
      <c r="S3647" s="5" t="s">
        <v>240</v>
      </c>
      <c r="T3647" s="5" t="s">
        <v>243</v>
      </c>
      <c r="U3647" s="5" t="s">
        <v>244</v>
      </c>
      <c r="V3647" s="5" t="s">
        <v>240</v>
      </c>
      <c r="W3647" s="5" t="s">
        <v>240</v>
      </c>
      <c r="X3647" s="5" t="s">
        <v>240</v>
      </c>
      <c r="Y3647" s="5" t="s">
        <v>240</v>
      </c>
      <c r="Z3647" s="6" t="s">
        <v>298</v>
      </c>
      <c r="AA3647" s="6" t="s">
        <v>240</v>
      </c>
      <c r="AB3647" s="6" t="s">
        <v>240</v>
      </c>
      <c r="AC3647" s="5" t="s">
        <v>240</v>
      </c>
      <c r="AD3647" s="6" t="s">
        <v>240</v>
      </c>
      <c r="AE3647" s="6" t="s">
        <v>299</v>
      </c>
      <c r="AF3647" s="5" t="s">
        <v>248</v>
      </c>
      <c r="AG3647" s="5" t="s">
        <v>249</v>
      </c>
      <c r="AH3647" s="5" t="s">
        <v>240</v>
      </c>
      <c r="AI3647" s="5" t="s">
        <v>240</v>
      </c>
      <c r="AJ3647" s="5" t="s">
        <v>240</v>
      </c>
      <c r="AK3647" s="5" t="s">
        <v>240</v>
      </c>
      <c r="AL3647" s="5" t="s">
        <v>240</v>
      </c>
      <c r="AM3647" s="5" t="s">
        <v>240</v>
      </c>
      <c r="AN3647" s="5" t="s">
        <v>240</v>
      </c>
      <c r="AO3647" s="5" t="s">
        <v>240</v>
      </c>
      <c r="AP3647" s="6" t="s">
        <v>240</v>
      </c>
      <c r="AQ3647" s="6" t="s">
        <v>240</v>
      </c>
      <c r="AR3647" s="6" t="s">
        <v>240</v>
      </c>
      <c r="AS3647" s="6" t="s">
        <v>240</v>
      </c>
      <c r="AT3647" s="5" t="s">
        <v>240</v>
      </c>
      <c r="AU3647" s="5" t="s">
        <v>729</v>
      </c>
      <c r="AV3647" s="5" t="s">
        <v>729</v>
      </c>
      <c r="AW3647" s="5" t="s">
        <v>251</v>
      </c>
      <c r="AX3647" s="5" t="s">
        <v>252</v>
      </c>
      <c r="AY3647" s="5" t="s">
        <v>253</v>
      </c>
      <c r="AZ3647" s="5" t="s">
        <v>6046</v>
      </c>
      <c r="BA3647" s="5" t="s">
        <v>255</v>
      </c>
      <c r="BB3647" s="5" t="s">
        <v>731</v>
      </c>
      <c r="BD3647" s="5" t="s">
        <v>240</v>
      </c>
      <c r="BF3647" s="5" t="s">
        <v>732</v>
      </c>
      <c r="BG3647" s="6" t="s">
        <v>733</v>
      </c>
      <c r="BH3647" s="5" t="s">
        <v>734</v>
      </c>
      <c r="BI3647" s="5" t="s">
        <v>734</v>
      </c>
      <c r="BJ3647" s="5" t="s">
        <v>240</v>
      </c>
      <c r="BK3647" s="7">
        <f>1</f>
        <v>1</v>
      </c>
      <c r="BL3647" s="7">
        <f>1</f>
        <v>1</v>
      </c>
      <c r="BM3647" s="5" t="s">
        <v>258</v>
      </c>
      <c r="BN3647" s="5" t="s">
        <v>259</v>
      </c>
      <c r="BO3647" s="5" t="s">
        <v>240</v>
      </c>
      <c r="BP3647" s="5" t="s">
        <v>240</v>
      </c>
      <c r="BQ3647" s="5" t="s">
        <v>240</v>
      </c>
      <c r="BR3647" s="5" t="s">
        <v>240</v>
      </c>
      <c r="BS3647" s="5" t="s">
        <v>240</v>
      </c>
      <c r="BT3647" s="5" t="s">
        <v>240</v>
      </c>
      <c r="BU3647" s="5" t="s">
        <v>240</v>
      </c>
      <c r="BV3647" s="5" t="s">
        <v>240</v>
      </c>
      <c r="BW3647" s="6" t="s">
        <v>240</v>
      </c>
      <c r="BX3647" s="5" t="s">
        <v>240</v>
      </c>
      <c r="BY3647" s="5" t="s">
        <v>240</v>
      </c>
      <c r="BZ3647" s="5" t="s">
        <v>240</v>
      </c>
      <c r="CA3647" s="5" t="s">
        <v>259</v>
      </c>
      <c r="CB3647" s="5" t="s">
        <v>240</v>
      </c>
      <c r="CC3647" s="5" t="s">
        <v>240</v>
      </c>
      <c r="CD3647" s="5" t="s">
        <v>240</v>
      </c>
      <c r="CE3647" s="5" t="s">
        <v>240</v>
      </c>
      <c r="CF3647" s="5" t="s">
        <v>240</v>
      </c>
      <c r="CG3647" s="5" t="s">
        <v>304</v>
      </c>
      <c r="CH3647" s="5" t="s">
        <v>305</v>
      </c>
      <c r="CI3647" s="5" t="s">
        <v>260</v>
      </c>
      <c r="CK3647" s="5" t="s">
        <v>3681</v>
      </c>
      <c r="CL3647" s="6" t="s">
        <v>261</v>
      </c>
      <c r="CM3647" s="5" t="s">
        <v>262</v>
      </c>
      <c r="CN3647" s="5" t="s">
        <v>263</v>
      </c>
      <c r="CO3647" s="5" t="s">
        <v>264</v>
      </c>
      <c r="CP3647" s="5" t="s">
        <v>240</v>
      </c>
      <c r="CQ3647" s="5">
        <v>0</v>
      </c>
      <c r="CR3647" s="5" t="s">
        <v>735</v>
      </c>
      <c r="CS3647" s="5" t="s">
        <v>307</v>
      </c>
      <c r="CT3647" s="5" t="s">
        <v>307</v>
      </c>
      <c r="CU3647" s="5" t="s">
        <v>260</v>
      </c>
      <c r="CV3647" s="5" t="s">
        <v>612</v>
      </c>
      <c r="CW3647" s="8">
        <f>1</f>
        <v>1</v>
      </c>
      <c r="CX3647" s="7">
        <f>1</f>
        <v>1</v>
      </c>
      <c r="CY3647" s="7">
        <f>0</f>
        <v>0</v>
      </c>
      <c r="DA3647" s="7">
        <f>1</f>
        <v>1</v>
      </c>
      <c r="DB3647" s="7" t="s">
        <v>240</v>
      </c>
      <c r="DC3647" s="5" t="s">
        <v>240</v>
      </c>
      <c r="DD3647" s="5" t="s">
        <v>240</v>
      </c>
      <c r="DE3647" s="5" t="s">
        <v>240</v>
      </c>
      <c r="DF3647" s="5" t="s">
        <v>240</v>
      </c>
      <c r="DG3647" s="7">
        <f>0</f>
        <v>0</v>
      </c>
      <c r="DI3647" s="5" t="s">
        <v>240</v>
      </c>
      <c r="DJ3647" s="5" t="s">
        <v>240</v>
      </c>
      <c r="DK3647" s="5" t="s">
        <v>240</v>
      </c>
      <c r="DL3647" s="5" t="s">
        <v>240</v>
      </c>
      <c r="DM3647" s="5" t="s">
        <v>240</v>
      </c>
      <c r="DN3647" s="5" t="s">
        <v>240</v>
      </c>
      <c r="DO3647" s="7" t="s">
        <v>240</v>
      </c>
      <c r="DP3647" s="5" t="s">
        <v>240</v>
      </c>
      <c r="DQ3647" s="5" t="s">
        <v>248</v>
      </c>
      <c r="DR3647" s="5" t="s">
        <v>731</v>
      </c>
      <c r="DS3647" s="5" t="s">
        <v>731</v>
      </c>
      <c r="DT3647" s="5" t="s">
        <v>240</v>
      </c>
      <c r="DU3647" s="5" t="s">
        <v>240</v>
      </c>
      <c r="DV3647" s="5" t="s">
        <v>6047</v>
      </c>
      <c r="DW3647" s="5" t="s">
        <v>816</v>
      </c>
      <c r="DX3647" s="5" t="s">
        <v>240</v>
      </c>
      <c r="DY3647" s="5" t="s">
        <v>240</v>
      </c>
      <c r="DZ3647" s="5" t="s">
        <v>240</v>
      </c>
      <c r="EA3647" s="5" t="s">
        <v>240</v>
      </c>
      <c r="EB3647" s="5" t="s">
        <v>240</v>
      </c>
      <c r="EC3647" s="5" t="s">
        <v>240</v>
      </c>
      <c r="ED3647" s="5" t="s">
        <v>240</v>
      </c>
      <c r="EE3647" s="5" t="s">
        <v>240</v>
      </c>
      <c r="EF3647" s="5" t="s">
        <v>240</v>
      </c>
      <c r="EG3647" s="5" t="s">
        <v>240</v>
      </c>
      <c r="EH3647" s="5" t="s">
        <v>240</v>
      </c>
      <c r="EI3647" s="5" t="s">
        <v>240</v>
      </c>
      <c r="EJ3647" s="5" t="s">
        <v>240</v>
      </c>
      <c r="EK3647" s="5" t="s">
        <v>240</v>
      </c>
      <c r="EL3647" s="5" t="s">
        <v>240</v>
      </c>
      <c r="EM3647" s="5" t="s">
        <v>240</v>
      </c>
      <c r="EN3647" s="5" t="s">
        <v>240</v>
      </c>
      <c r="EO3647" s="5" t="s">
        <v>240</v>
      </c>
      <c r="EP3647" s="5" t="s">
        <v>240</v>
      </c>
      <c r="EQ3647" s="5" t="s">
        <v>240</v>
      </c>
      <c r="ER3647" s="5" t="s">
        <v>240</v>
      </c>
      <c r="ES3647" s="5" t="s">
        <v>240</v>
      </c>
      <c r="ET3647" s="5" t="s">
        <v>240</v>
      </c>
      <c r="EU3647" s="5" t="s">
        <v>240</v>
      </c>
      <c r="EV3647" s="5" t="s">
        <v>240</v>
      </c>
      <c r="EW3647" s="5" t="s">
        <v>240</v>
      </c>
      <c r="EX3647" s="5" t="s">
        <v>240</v>
      </c>
      <c r="EY3647" s="5" t="s">
        <v>240</v>
      </c>
      <c r="EZ3647" s="5" t="s">
        <v>240</v>
      </c>
      <c r="FA3647" s="5" t="s">
        <v>240</v>
      </c>
      <c r="FB3647" s="5" t="s">
        <v>240</v>
      </c>
      <c r="FC3647" s="5" t="s">
        <v>240</v>
      </c>
      <c r="FD3647" s="5" t="s">
        <v>240</v>
      </c>
      <c r="FE3647" s="5" t="s">
        <v>240</v>
      </c>
      <c r="FF3647" s="5" t="s">
        <v>240</v>
      </c>
      <c r="FG3647" s="5" t="s">
        <v>240</v>
      </c>
      <c r="FH3647" s="5" t="s">
        <v>240</v>
      </c>
      <c r="FI3647" s="5" t="s">
        <v>240</v>
      </c>
      <c r="FJ3647" s="5" t="s">
        <v>240</v>
      </c>
      <c r="FK3647" s="5" t="s">
        <v>240</v>
      </c>
      <c r="FL3647" s="5" t="s">
        <v>240</v>
      </c>
      <c r="FM3647" s="5" t="s">
        <v>240</v>
      </c>
      <c r="FN3647" s="5" t="s">
        <v>240</v>
      </c>
      <c r="FO3647" s="5" t="s">
        <v>240</v>
      </c>
      <c r="FP3647" s="5" t="s">
        <v>240</v>
      </c>
      <c r="FQ3647" s="5" t="s">
        <v>240</v>
      </c>
      <c r="FR3647" s="5" t="s">
        <v>240</v>
      </c>
      <c r="FS3647" s="5" t="s">
        <v>240</v>
      </c>
      <c r="FT3647" s="5" t="s">
        <v>240</v>
      </c>
      <c r="FU3647" s="5" t="s">
        <v>240</v>
      </c>
      <c r="FV3647" s="5" t="s">
        <v>240</v>
      </c>
      <c r="FW3647" s="5" t="s">
        <v>240</v>
      </c>
      <c r="FX3647" s="5" t="s">
        <v>240</v>
      </c>
      <c r="FY3647" s="5" t="s">
        <v>240</v>
      </c>
      <c r="FZ3647" s="5" t="s">
        <v>240</v>
      </c>
      <c r="GA3647" s="5" t="s">
        <v>240</v>
      </c>
      <c r="GB3647" s="5" t="s">
        <v>240</v>
      </c>
      <c r="GC3647" s="5" t="s">
        <v>240</v>
      </c>
      <c r="GD3647" s="5" t="s">
        <v>240</v>
      </c>
      <c r="GE3647" s="5" t="s">
        <v>240</v>
      </c>
      <c r="GF3647" s="5" t="s">
        <v>240</v>
      </c>
      <c r="GG3647" s="5" t="s">
        <v>240</v>
      </c>
      <c r="GH3647" s="5" t="s">
        <v>240</v>
      </c>
      <c r="GI3647" s="5" t="s">
        <v>240</v>
      </c>
      <c r="GJ3647" s="5" t="s">
        <v>240</v>
      </c>
      <c r="GK3647" s="5" t="s">
        <v>240</v>
      </c>
      <c r="GL3647" s="5" t="s">
        <v>240</v>
      </c>
      <c r="GM3647" s="5" t="s">
        <v>240</v>
      </c>
      <c r="GN3647" s="5" t="s">
        <v>240</v>
      </c>
      <c r="GO3647" s="5" t="s">
        <v>240</v>
      </c>
      <c r="GP3647" s="5" t="s">
        <v>240</v>
      </c>
      <c r="GQ3647" s="5" t="s">
        <v>240</v>
      </c>
      <c r="GR3647" s="5" t="s">
        <v>240</v>
      </c>
      <c r="GS3647" s="5" t="s">
        <v>240</v>
      </c>
      <c r="GT3647" s="5" t="s">
        <v>240</v>
      </c>
      <c r="GU3647" s="5" t="s">
        <v>240</v>
      </c>
      <c r="GV3647" s="5" t="s">
        <v>240</v>
      </c>
      <c r="GW3647" s="5" t="s">
        <v>240</v>
      </c>
      <c r="GX3647" s="5" t="s">
        <v>240</v>
      </c>
      <c r="GY3647" s="5" t="s">
        <v>240</v>
      </c>
      <c r="GZ3647" s="5" t="s">
        <v>240</v>
      </c>
      <c r="HA3647" s="5" t="s">
        <v>240</v>
      </c>
      <c r="HB3647" s="5" t="s">
        <v>240</v>
      </c>
      <c r="HC3647" s="5" t="s">
        <v>240</v>
      </c>
      <c r="HD3647" s="5" t="s">
        <v>240</v>
      </c>
      <c r="HE3647" s="5" t="s">
        <v>240</v>
      </c>
      <c r="HF3647" s="5" t="s">
        <v>240</v>
      </c>
      <c r="HG3647" s="5" t="s">
        <v>240</v>
      </c>
      <c r="HH3647" s="5" t="s">
        <v>240</v>
      </c>
      <c r="HI3647" s="5" t="s">
        <v>240</v>
      </c>
      <c r="HJ3647" s="5" t="s">
        <v>240</v>
      </c>
      <c r="HK3647" s="5" t="s">
        <v>240</v>
      </c>
      <c r="HL3647" s="5" t="s">
        <v>240</v>
      </c>
      <c r="HM3647" s="5" t="s">
        <v>240</v>
      </c>
      <c r="HN3647" s="5" t="s">
        <v>240</v>
      </c>
      <c r="HO3647" s="5" t="s">
        <v>240</v>
      </c>
      <c r="HP3647" s="5" t="s">
        <v>240</v>
      </c>
      <c r="HQ3647" s="5" t="s">
        <v>240</v>
      </c>
      <c r="HR3647" s="5" t="s">
        <v>240</v>
      </c>
      <c r="HS3647" s="5" t="s">
        <v>240</v>
      </c>
      <c r="HT3647" s="5" t="s">
        <v>240</v>
      </c>
      <c r="HU3647" s="5" t="s">
        <v>240</v>
      </c>
      <c r="HV3647" s="5" t="s">
        <v>240</v>
      </c>
      <c r="HW3647" s="5" t="s">
        <v>240</v>
      </c>
      <c r="HX3647" s="5" t="s">
        <v>240</v>
      </c>
      <c r="HY3647" s="5" t="s">
        <v>240</v>
      </c>
      <c r="HZ3647" s="5" t="s">
        <v>240</v>
      </c>
      <c r="IA3647" s="5" t="s">
        <v>240</v>
      </c>
      <c r="IB3647" s="5" t="s">
        <v>240</v>
      </c>
      <c r="IC3647" s="5" t="s">
        <v>240</v>
      </c>
      <c r="ID3647" s="5" t="s">
        <v>240</v>
      </c>
      <c r="IE3647" s="5" t="s">
        <v>240</v>
      </c>
      <c r="IF3647" s="5" t="s">
        <v>240</v>
      </c>
    </row>
    <row r="3648" spans="1:240" x14ac:dyDescent="0.4">
      <c r="A3648" s="5">
        <v>9190</v>
      </c>
      <c r="B3648" s="5">
        <v>1</v>
      </c>
      <c r="C3648" s="5">
        <v>1</v>
      </c>
      <c r="D3648" s="5" t="s">
        <v>723</v>
      </c>
      <c r="E3648" s="5" t="s">
        <v>725</v>
      </c>
      <c r="F3648" s="5" t="s">
        <v>254</v>
      </c>
      <c r="G3648" s="5" t="s">
        <v>5684</v>
      </c>
      <c r="H3648" s="6" t="s">
        <v>5683</v>
      </c>
      <c r="I3648" s="5" t="s">
        <v>5683</v>
      </c>
      <c r="J3648" s="7">
        <f>1</f>
        <v>1</v>
      </c>
      <c r="K3648" s="5" t="s">
        <v>3682</v>
      </c>
      <c r="L3648" s="7">
        <f>1</f>
        <v>1</v>
      </c>
      <c r="M3648" s="7">
        <f>1</f>
        <v>1</v>
      </c>
      <c r="N3648" s="5" t="s">
        <v>242</v>
      </c>
      <c r="O3648" s="5">
        <v>1</v>
      </c>
      <c r="P3648" s="5" t="s">
        <v>294</v>
      </c>
      <c r="Q3648" s="5" t="s">
        <v>3678</v>
      </c>
      <c r="R3648" s="5" t="s">
        <v>240</v>
      </c>
      <c r="S3648" s="5" t="s">
        <v>240</v>
      </c>
      <c r="T3648" s="5" t="s">
        <v>243</v>
      </c>
      <c r="U3648" s="5" t="s">
        <v>244</v>
      </c>
      <c r="V3648" s="5" t="s">
        <v>240</v>
      </c>
      <c r="W3648" s="5" t="s">
        <v>240</v>
      </c>
      <c r="X3648" s="5" t="s">
        <v>240</v>
      </c>
      <c r="Y3648" s="5" t="s">
        <v>240</v>
      </c>
      <c r="Z3648" s="6" t="s">
        <v>298</v>
      </c>
      <c r="AA3648" s="6" t="s">
        <v>240</v>
      </c>
      <c r="AB3648" s="6" t="s">
        <v>240</v>
      </c>
      <c r="AC3648" s="5" t="s">
        <v>240</v>
      </c>
      <c r="AD3648" s="6" t="s">
        <v>240</v>
      </c>
      <c r="AE3648" s="6" t="s">
        <v>299</v>
      </c>
      <c r="AF3648" s="5" t="s">
        <v>248</v>
      </c>
      <c r="AG3648" s="5" t="s">
        <v>249</v>
      </c>
      <c r="AH3648" s="5" t="s">
        <v>240</v>
      </c>
      <c r="AI3648" s="5" t="s">
        <v>240</v>
      </c>
      <c r="AJ3648" s="5" t="s">
        <v>240</v>
      </c>
      <c r="AK3648" s="5" t="s">
        <v>240</v>
      </c>
      <c r="AL3648" s="5" t="s">
        <v>240</v>
      </c>
      <c r="AM3648" s="5" t="s">
        <v>240</v>
      </c>
      <c r="AN3648" s="5" t="s">
        <v>240</v>
      </c>
      <c r="AO3648" s="5" t="s">
        <v>240</v>
      </c>
      <c r="AP3648" s="6" t="s">
        <v>240</v>
      </c>
      <c r="AQ3648" s="6" t="s">
        <v>240</v>
      </c>
      <c r="AR3648" s="6" t="s">
        <v>240</v>
      </c>
      <c r="AS3648" s="6" t="s">
        <v>240</v>
      </c>
      <c r="AT3648" s="5" t="s">
        <v>240</v>
      </c>
      <c r="AU3648" s="5" t="s">
        <v>729</v>
      </c>
      <c r="AV3648" s="5" t="s">
        <v>729</v>
      </c>
      <c r="AW3648" s="5" t="s">
        <v>251</v>
      </c>
      <c r="AX3648" s="5" t="s">
        <v>252</v>
      </c>
      <c r="AY3648" s="5" t="s">
        <v>253</v>
      </c>
      <c r="AZ3648" s="5" t="s">
        <v>6046</v>
      </c>
      <c r="BA3648" s="5" t="s">
        <v>255</v>
      </c>
      <c r="BB3648" s="5" t="s">
        <v>731</v>
      </c>
      <c r="BD3648" s="5" t="s">
        <v>240</v>
      </c>
      <c r="BF3648" s="5" t="s">
        <v>732</v>
      </c>
      <c r="BG3648" s="6" t="s">
        <v>733</v>
      </c>
      <c r="BH3648" s="5" t="s">
        <v>734</v>
      </c>
      <c r="BI3648" s="5" t="s">
        <v>734</v>
      </c>
      <c r="BJ3648" s="5" t="s">
        <v>240</v>
      </c>
      <c r="BK3648" s="7">
        <f>1</f>
        <v>1</v>
      </c>
      <c r="BL3648" s="7">
        <f>1</f>
        <v>1</v>
      </c>
      <c r="BM3648" s="5" t="s">
        <v>258</v>
      </c>
      <c r="BN3648" s="5" t="s">
        <v>259</v>
      </c>
      <c r="BO3648" s="5" t="s">
        <v>240</v>
      </c>
      <c r="BP3648" s="5" t="s">
        <v>240</v>
      </c>
      <c r="BQ3648" s="5" t="s">
        <v>240</v>
      </c>
      <c r="BR3648" s="5" t="s">
        <v>240</v>
      </c>
      <c r="BS3648" s="5" t="s">
        <v>240</v>
      </c>
      <c r="BT3648" s="5" t="s">
        <v>240</v>
      </c>
      <c r="BU3648" s="5" t="s">
        <v>240</v>
      </c>
      <c r="BV3648" s="5" t="s">
        <v>240</v>
      </c>
      <c r="BW3648" s="6" t="s">
        <v>240</v>
      </c>
      <c r="BX3648" s="5" t="s">
        <v>240</v>
      </c>
      <c r="BY3648" s="5" t="s">
        <v>240</v>
      </c>
      <c r="BZ3648" s="5" t="s">
        <v>240</v>
      </c>
      <c r="CA3648" s="5" t="s">
        <v>259</v>
      </c>
      <c r="CB3648" s="5" t="s">
        <v>240</v>
      </c>
      <c r="CC3648" s="5" t="s">
        <v>240</v>
      </c>
      <c r="CD3648" s="5" t="s">
        <v>240</v>
      </c>
      <c r="CE3648" s="5" t="s">
        <v>240</v>
      </c>
      <c r="CF3648" s="5" t="s">
        <v>240</v>
      </c>
      <c r="CG3648" s="5" t="s">
        <v>304</v>
      </c>
      <c r="CH3648" s="5" t="s">
        <v>305</v>
      </c>
      <c r="CI3648" s="5" t="s">
        <v>260</v>
      </c>
      <c r="CK3648" s="5" t="s">
        <v>3681</v>
      </c>
      <c r="CL3648" s="6" t="s">
        <v>261</v>
      </c>
      <c r="CM3648" s="5" t="s">
        <v>262</v>
      </c>
      <c r="CN3648" s="5" t="s">
        <v>263</v>
      </c>
      <c r="CO3648" s="5" t="s">
        <v>264</v>
      </c>
      <c r="CP3648" s="5" t="s">
        <v>240</v>
      </c>
      <c r="CQ3648" s="5">
        <v>0</v>
      </c>
      <c r="CR3648" s="5" t="s">
        <v>735</v>
      </c>
      <c r="CS3648" s="5" t="s">
        <v>307</v>
      </c>
      <c r="CT3648" s="5" t="s">
        <v>307</v>
      </c>
      <c r="CU3648" s="5" t="s">
        <v>260</v>
      </c>
      <c r="CV3648" s="5" t="s">
        <v>612</v>
      </c>
      <c r="CW3648" s="8">
        <f>1</f>
        <v>1</v>
      </c>
      <c r="CX3648" s="7">
        <f>1</f>
        <v>1</v>
      </c>
      <c r="CY3648" s="7">
        <f>0</f>
        <v>0</v>
      </c>
      <c r="DA3648" s="7">
        <f>1</f>
        <v>1</v>
      </c>
      <c r="DB3648" s="7" t="s">
        <v>240</v>
      </c>
      <c r="DC3648" s="5" t="s">
        <v>240</v>
      </c>
      <c r="DD3648" s="5" t="s">
        <v>240</v>
      </c>
      <c r="DE3648" s="5" t="s">
        <v>240</v>
      </c>
      <c r="DF3648" s="5" t="s">
        <v>240</v>
      </c>
      <c r="DG3648" s="7">
        <f>0</f>
        <v>0</v>
      </c>
      <c r="DI3648" s="5" t="s">
        <v>240</v>
      </c>
      <c r="DJ3648" s="5" t="s">
        <v>240</v>
      </c>
      <c r="DK3648" s="5" t="s">
        <v>240</v>
      </c>
      <c r="DL3648" s="5" t="s">
        <v>240</v>
      </c>
      <c r="DM3648" s="5" t="s">
        <v>240</v>
      </c>
      <c r="DN3648" s="5" t="s">
        <v>240</v>
      </c>
      <c r="DO3648" s="7" t="s">
        <v>240</v>
      </c>
      <c r="DP3648" s="5" t="s">
        <v>240</v>
      </c>
      <c r="DQ3648" s="5" t="s">
        <v>248</v>
      </c>
      <c r="DR3648" s="5" t="s">
        <v>731</v>
      </c>
      <c r="DS3648" s="5" t="s">
        <v>731</v>
      </c>
      <c r="DT3648" s="5" t="s">
        <v>240</v>
      </c>
      <c r="DU3648" s="5" t="s">
        <v>240</v>
      </c>
      <c r="DV3648" s="5" t="s">
        <v>6047</v>
      </c>
      <c r="DW3648" s="5" t="s">
        <v>691</v>
      </c>
      <c r="DX3648" s="5" t="s">
        <v>240</v>
      </c>
      <c r="DY3648" s="5" t="s">
        <v>240</v>
      </c>
      <c r="DZ3648" s="5" t="s">
        <v>240</v>
      </c>
      <c r="EA3648" s="5" t="s">
        <v>240</v>
      </c>
      <c r="EB3648" s="5" t="s">
        <v>240</v>
      </c>
      <c r="EC3648" s="5" t="s">
        <v>240</v>
      </c>
      <c r="ED3648" s="5" t="s">
        <v>240</v>
      </c>
      <c r="EE3648" s="5" t="s">
        <v>240</v>
      </c>
      <c r="EF3648" s="5" t="s">
        <v>240</v>
      </c>
      <c r="EG3648" s="5" t="s">
        <v>240</v>
      </c>
      <c r="EH3648" s="5" t="s">
        <v>240</v>
      </c>
      <c r="EI3648" s="5" t="s">
        <v>240</v>
      </c>
      <c r="EJ3648" s="5" t="s">
        <v>240</v>
      </c>
      <c r="EK3648" s="5" t="s">
        <v>240</v>
      </c>
      <c r="EL3648" s="5" t="s">
        <v>240</v>
      </c>
      <c r="EM3648" s="5" t="s">
        <v>240</v>
      </c>
      <c r="EN3648" s="5" t="s">
        <v>240</v>
      </c>
      <c r="EO3648" s="5" t="s">
        <v>240</v>
      </c>
      <c r="EP3648" s="5" t="s">
        <v>240</v>
      </c>
      <c r="EQ3648" s="5" t="s">
        <v>240</v>
      </c>
      <c r="ER3648" s="5" t="s">
        <v>240</v>
      </c>
      <c r="ES3648" s="5" t="s">
        <v>240</v>
      </c>
      <c r="ET3648" s="5" t="s">
        <v>240</v>
      </c>
      <c r="EU3648" s="5" t="s">
        <v>240</v>
      </c>
      <c r="EV3648" s="5" t="s">
        <v>240</v>
      </c>
      <c r="EW3648" s="5" t="s">
        <v>240</v>
      </c>
      <c r="EX3648" s="5" t="s">
        <v>240</v>
      </c>
      <c r="EY3648" s="5" t="s">
        <v>240</v>
      </c>
      <c r="EZ3648" s="5" t="s">
        <v>240</v>
      </c>
      <c r="FA3648" s="5" t="s">
        <v>240</v>
      </c>
      <c r="FB3648" s="5" t="s">
        <v>240</v>
      </c>
      <c r="FC3648" s="5" t="s">
        <v>240</v>
      </c>
      <c r="FD3648" s="5" t="s">
        <v>240</v>
      </c>
      <c r="FE3648" s="5" t="s">
        <v>240</v>
      </c>
      <c r="FF3648" s="5" t="s">
        <v>240</v>
      </c>
      <c r="FG3648" s="5" t="s">
        <v>240</v>
      </c>
      <c r="FH3648" s="5" t="s">
        <v>240</v>
      </c>
      <c r="FI3648" s="5" t="s">
        <v>240</v>
      </c>
      <c r="FJ3648" s="5" t="s">
        <v>240</v>
      </c>
      <c r="FK3648" s="5" t="s">
        <v>240</v>
      </c>
      <c r="FL3648" s="5" t="s">
        <v>240</v>
      </c>
      <c r="FM3648" s="5" t="s">
        <v>240</v>
      </c>
      <c r="FN3648" s="5" t="s">
        <v>240</v>
      </c>
      <c r="FO3648" s="5" t="s">
        <v>240</v>
      </c>
      <c r="FP3648" s="5" t="s">
        <v>240</v>
      </c>
      <c r="FQ3648" s="5" t="s">
        <v>240</v>
      </c>
      <c r="FR3648" s="5" t="s">
        <v>240</v>
      </c>
      <c r="FS3648" s="5" t="s">
        <v>240</v>
      </c>
      <c r="FT3648" s="5" t="s">
        <v>240</v>
      </c>
      <c r="FU3648" s="5" t="s">
        <v>240</v>
      </c>
      <c r="FV3648" s="5" t="s">
        <v>240</v>
      </c>
      <c r="FW3648" s="5" t="s">
        <v>240</v>
      </c>
      <c r="FX3648" s="5" t="s">
        <v>240</v>
      </c>
      <c r="FY3648" s="5" t="s">
        <v>240</v>
      </c>
      <c r="FZ3648" s="5" t="s">
        <v>240</v>
      </c>
      <c r="GA3648" s="5" t="s">
        <v>240</v>
      </c>
      <c r="GB3648" s="5" t="s">
        <v>240</v>
      </c>
      <c r="GC3648" s="5" t="s">
        <v>240</v>
      </c>
      <c r="GD3648" s="5" t="s">
        <v>240</v>
      </c>
      <c r="GE3648" s="5" t="s">
        <v>240</v>
      </c>
      <c r="GF3648" s="5" t="s">
        <v>240</v>
      </c>
      <c r="GG3648" s="5" t="s">
        <v>240</v>
      </c>
      <c r="GH3648" s="5" t="s">
        <v>240</v>
      </c>
      <c r="GI3648" s="5" t="s">
        <v>240</v>
      </c>
      <c r="GJ3648" s="5" t="s">
        <v>240</v>
      </c>
      <c r="GK3648" s="5" t="s">
        <v>240</v>
      </c>
      <c r="GL3648" s="5" t="s">
        <v>240</v>
      </c>
      <c r="GM3648" s="5" t="s">
        <v>240</v>
      </c>
      <c r="GN3648" s="5" t="s">
        <v>240</v>
      </c>
      <c r="GO3648" s="5" t="s">
        <v>240</v>
      </c>
      <c r="GP3648" s="5" t="s">
        <v>240</v>
      </c>
      <c r="GQ3648" s="5" t="s">
        <v>240</v>
      </c>
      <c r="GR3648" s="5" t="s">
        <v>240</v>
      </c>
      <c r="GS3648" s="5" t="s">
        <v>240</v>
      </c>
      <c r="GT3648" s="5" t="s">
        <v>240</v>
      </c>
      <c r="GU3648" s="5" t="s">
        <v>240</v>
      </c>
      <c r="GV3648" s="5" t="s">
        <v>240</v>
      </c>
      <c r="GW3648" s="5" t="s">
        <v>240</v>
      </c>
      <c r="GX3648" s="5" t="s">
        <v>240</v>
      </c>
      <c r="GY3648" s="5" t="s">
        <v>240</v>
      </c>
      <c r="GZ3648" s="5" t="s">
        <v>240</v>
      </c>
      <c r="HA3648" s="5" t="s">
        <v>240</v>
      </c>
      <c r="HB3648" s="5" t="s">
        <v>240</v>
      </c>
      <c r="HC3648" s="5" t="s">
        <v>240</v>
      </c>
      <c r="HD3648" s="5" t="s">
        <v>240</v>
      </c>
      <c r="HE3648" s="5" t="s">
        <v>240</v>
      </c>
      <c r="HF3648" s="5" t="s">
        <v>240</v>
      </c>
      <c r="HG3648" s="5" t="s">
        <v>240</v>
      </c>
      <c r="HH3648" s="5" t="s">
        <v>240</v>
      </c>
      <c r="HI3648" s="5" t="s">
        <v>240</v>
      </c>
      <c r="HJ3648" s="5" t="s">
        <v>240</v>
      </c>
      <c r="HK3648" s="5" t="s">
        <v>240</v>
      </c>
      <c r="HL3648" s="5" t="s">
        <v>240</v>
      </c>
      <c r="HM3648" s="5" t="s">
        <v>240</v>
      </c>
      <c r="HN3648" s="5" t="s">
        <v>240</v>
      </c>
      <c r="HO3648" s="5" t="s">
        <v>240</v>
      </c>
      <c r="HP3648" s="5" t="s">
        <v>240</v>
      </c>
      <c r="HQ3648" s="5" t="s">
        <v>240</v>
      </c>
      <c r="HR3648" s="5" t="s">
        <v>240</v>
      </c>
      <c r="HS3648" s="5" t="s">
        <v>240</v>
      </c>
      <c r="HT3648" s="5" t="s">
        <v>240</v>
      </c>
      <c r="HU3648" s="5" t="s">
        <v>240</v>
      </c>
      <c r="HV3648" s="5" t="s">
        <v>240</v>
      </c>
      <c r="HW3648" s="5" t="s">
        <v>240</v>
      </c>
      <c r="HX3648" s="5" t="s">
        <v>240</v>
      </c>
      <c r="HY3648" s="5" t="s">
        <v>240</v>
      </c>
      <c r="HZ3648" s="5" t="s">
        <v>240</v>
      </c>
      <c r="IA3648" s="5" t="s">
        <v>240</v>
      </c>
      <c r="IB3648" s="5" t="s">
        <v>240</v>
      </c>
      <c r="IC3648" s="5" t="s">
        <v>240</v>
      </c>
      <c r="ID3648" s="5" t="s">
        <v>240</v>
      </c>
      <c r="IE3648" s="5" t="s">
        <v>240</v>
      </c>
      <c r="IF3648" s="5" t="s">
        <v>240</v>
      </c>
    </row>
    <row r="3649" spans="1:240" x14ac:dyDescent="0.4">
      <c r="A3649" s="5">
        <v>9191</v>
      </c>
      <c r="B3649" s="5">
        <v>1</v>
      </c>
      <c r="C3649" s="5">
        <v>1</v>
      </c>
      <c r="D3649" s="5" t="s">
        <v>723</v>
      </c>
      <c r="E3649" s="5" t="s">
        <v>725</v>
      </c>
      <c r="F3649" s="5" t="s">
        <v>254</v>
      </c>
      <c r="G3649" s="5" t="s">
        <v>726</v>
      </c>
      <c r="H3649" s="6" t="s">
        <v>5682</v>
      </c>
      <c r="I3649" s="5" t="s">
        <v>5681</v>
      </c>
      <c r="J3649" s="7">
        <f>1</f>
        <v>1</v>
      </c>
      <c r="K3649" s="5" t="s">
        <v>3682</v>
      </c>
      <c r="L3649" s="7">
        <f>1</f>
        <v>1</v>
      </c>
      <c r="M3649" s="7">
        <f>1</f>
        <v>1</v>
      </c>
      <c r="N3649" s="5" t="s">
        <v>242</v>
      </c>
      <c r="O3649" s="5">
        <v>1</v>
      </c>
      <c r="P3649" s="5" t="s">
        <v>294</v>
      </c>
      <c r="Q3649" s="5" t="s">
        <v>3678</v>
      </c>
      <c r="R3649" s="5" t="s">
        <v>240</v>
      </c>
      <c r="S3649" s="5" t="s">
        <v>240</v>
      </c>
      <c r="T3649" s="5" t="s">
        <v>243</v>
      </c>
      <c r="U3649" s="5" t="s">
        <v>244</v>
      </c>
      <c r="V3649" s="5" t="s">
        <v>240</v>
      </c>
      <c r="W3649" s="5" t="s">
        <v>240</v>
      </c>
      <c r="X3649" s="5" t="s">
        <v>240</v>
      </c>
      <c r="Y3649" s="5" t="s">
        <v>240</v>
      </c>
      <c r="Z3649" s="6" t="s">
        <v>298</v>
      </c>
      <c r="AA3649" s="6" t="s">
        <v>240</v>
      </c>
      <c r="AB3649" s="6" t="s">
        <v>240</v>
      </c>
      <c r="AC3649" s="5" t="s">
        <v>240</v>
      </c>
      <c r="AD3649" s="6" t="s">
        <v>240</v>
      </c>
      <c r="AE3649" s="6" t="s">
        <v>299</v>
      </c>
      <c r="AF3649" s="5" t="s">
        <v>248</v>
      </c>
      <c r="AG3649" s="5" t="s">
        <v>249</v>
      </c>
      <c r="AH3649" s="5" t="s">
        <v>240</v>
      </c>
      <c r="AI3649" s="5" t="s">
        <v>240</v>
      </c>
      <c r="AJ3649" s="5" t="s">
        <v>240</v>
      </c>
      <c r="AK3649" s="5" t="s">
        <v>240</v>
      </c>
      <c r="AL3649" s="5" t="s">
        <v>240</v>
      </c>
      <c r="AM3649" s="5" t="s">
        <v>240</v>
      </c>
      <c r="AN3649" s="5" t="s">
        <v>240</v>
      </c>
      <c r="AO3649" s="5" t="s">
        <v>240</v>
      </c>
      <c r="AP3649" s="6" t="s">
        <v>240</v>
      </c>
      <c r="AQ3649" s="6" t="s">
        <v>240</v>
      </c>
      <c r="AR3649" s="6" t="s">
        <v>240</v>
      </c>
      <c r="AS3649" s="6" t="s">
        <v>240</v>
      </c>
      <c r="AT3649" s="5" t="s">
        <v>240</v>
      </c>
      <c r="AU3649" s="5" t="s">
        <v>729</v>
      </c>
      <c r="AV3649" s="5" t="s">
        <v>729</v>
      </c>
      <c r="AW3649" s="5" t="s">
        <v>251</v>
      </c>
      <c r="AX3649" s="5" t="s">
        <v>252</v>
      </c>
      <c r="AY3649" s="5" t="s">
        <v>253</v>
      </c>
      <c r="AZ3649" s="5" t="s">
        <v>6046</v>
      </c>
      <c r="BA3649" s="5" t="s">
        <v>255</v>
      </c>
      <c r="BB3649" s="5" t="s">
        <v>731</v>
      </c>
      <c r="BD3649" s="5" t="s">
        <v>240</v>
      </c>
      <c r="BF3649" s="5" t="s">
        <v>732</v>
      </c>
      <c r="BG3649" s="6" t="s">
        <v>733</v>
      </c>
      <c r="BH3649" s="5" t="s">
        <v>734</v>
      </c>
      <c r="BI3649" s="5" t="s">
        <v>734</v>
      </c>
      <c r="BJ3649" s="5" t="s">
        <v>240</v>
      </c>
      <c r="BK3649" s="7">
        <f>1</f>
        <v>1</v>
      </c>
      <c r="BL3649" s="7">
        <f>1</f>
        <v>1</v>
      </c>
      <c r="BM3649" s="5" t="s">
        <v>258</v>
      </c>
      <c r="BN3649" s="5" t="s">
        <v>259</v>
      </c>
      <c r="BO3649" s="5" t="s">
        <v>240</v>
      </c>
      <c r="BP3649" s="5" t="s">
        <v>240</v>
      </c>
      <c r="BQ3649" s="5" t="s">
        <v>240</v>
      </c>
      <c r="BR3649" s="5" t="s">
        <v>240</v>
      </c>
      <c r="BS3649" s="5" t="s">
        <v>240</v>
      </c>
      <c r="BT3649" s="5" t="s">
        <v>240</v>
      </c>
      <c r="BU3649" s="5" t="s">
        <v>240</v>
      </c>
      <c r="BV3649" s="5" t="s">
        <v>240</v>
      </c>
      <c r="BW3649" s="6" t="s">
        <v>240</v>
      </c>
      <c r="BX3649" s="5" t="s">
        <v>240</v>
      </c>
      <c r="BY3649" s="5" t="s">
        <v>240</v>
      </c>
      <c r="BZ3649" s="5" t="s">
        <v>240</v>
      </c>
      <c r="CA3649" s="5" t="s">
        <v>259</v>
      </c>
      <c r="CB3649" s="5" t="s">
        <v>240</v>
      </c>
      <c r="CC3649" s="5" t="s">
        <v>240</v>
      </c>
      <c r="CD3649" s="5" t="s">
        <v>240</v>
      </c>
      <c r="CE3649" s="5" t="s">
        <v>240</v>
      </c>
      <c r="CF3649" s="5" t="s">
        <v>240</v>
      </c>
      <c r="CG3649" s="5" t="s">
        <v>304</v>
      </c>
      <c r="CH3649" s="5" t="s">
        <v>305</v>
      </c>
      <c r="CI3649" s="5" t="s">
        <v>260</v>
      </c>
      <c r="CK3649" s="5" t="s">
        <v>3681</v>
      </c>
      <c r="CL3649" s="6" t="s">
        <v>261</v>
      </c>
      <c r="CM3649" s="5" t="s">
        <v>262</v>
      </c>
      <c r="CN3649" s="5" t="s">
        <v>263</v>
      </c>
      <c r="CO3649" s="5" t="s">
        <v>264</v>
      </c>
      <c r="CP3649" s="5" t="s">
        <v>240</v>
      </c>
      <c r="CQ3649" s="5">
        <v>0</v>
      </c>
      <c r="CR3649" s="5" t="s">
        <v>735</v>
      </c>
      <c r="CS3649" s="5" t="s">
        <v>307</v>
      </c>
      <c r="CT3649" s="5" t="s">
        <v>307</v>
      </c>
      <c r="CU3649" s="5" t="s">
        <v>260</v>
      </c>
      <c r="CV3649" s="5" t="s">
        <v>612</v>
      </c>
      <c r="CW3649" s="8">
        <f>1</f>
        <v>1</v>
      </c>
      <c r="CX3649" s="7">
        <f>1</f>
        <v>1</v>
      </c>
      <c r="CY3649" s="7">
        <f>0</f>
        <v>0</v>
      </c>
      <c r="DA3649" s="7">
        <f>1</f>
        <v>1</v>
      </c>
      <c r="DB3649" s="7" t="s">
        <v>240</v>
      </c>
      <c r="DC3649" s="5" t="s">
        <v>240</v>
      </c>
      <c r="DD3649" s="5" t="s">
        <v>240</v>
      </c>
      <c r="DE3649" s="5" t="s">
        <v>240</v>
      </c>
      <c r="DF3649" s="5" t="s">
        <v>240</v>
      </c>
      <c r="DG3649" s="7">
        <f>0</f>
        <v>0</v>
      </c>
      <c r="DI3649" s="5" t="s">
        <v>240</v>
      </c>
      <c r="DJ3649" s="5" t="s">
        <v>240</v>
      </c>
      <c r="DK3649" s="5" t="s">
        <v>240</v>
      </c>
      <c r="DL3649" s="5" t="s">
        <v>240</v>
      </c>
      <c r="DM3649" s="5" t="s">
        <v>240</v>
      </c>
      <c r="DN3649" s="5" t="s">
        <v>240</v>
      </c>
      <c r="DO3649" s="7" t="s">
        <v>240</v>
      </c>
      <c r="DP3649" s="5" t="s">
        <v>240</v>
      </c>
      <c r="DQ3649" s="5" t="s">
        <v>248</v>
      </c>
      <c r="DR3649" s="5" t="s">
        <v>731</v>
      </c>
      <c r="DS3649" s="5" t="s">
        <v>731</v>
      </c>
      <c r="DT3649" s="5" t="s">
        <v>240</v>
      </c>
      <c r="DU3649" s="5" t="s">
        <v>240</v>
      </c>
      <c r="DV3649" s="5" t="s">
        <v>6047</v>
      </c>
      <c r="DW3649" s="5" t="s">
        <v>795</v>
      </c>
      <c r="DX3649" s="5" t="s">
        <v>240</v>
      </c>
      <c r="DY3649" s="5" t="s">
        <v>240</v>
      </c>
      <c r="DZ3649" s="5" t="s">
        <v>240</v>
      </c>
      <c r="EA3649" s="5" t="s">
        <v>240</v>
      </c>
      <c r="EB3649" s="5" t="s">
        <v>240</v>
      </c>
      <c r="EC3649" s="5" t="s">
        <v>240</v>
      </c>
      <c r="ED3649" s="5" t="s">
        <v>240</v>
      </c>
      <c r="EE3649" s="5" t="s">
        <v>240</v>
      </c>
      <c r="EF3649" s="5" t="s">
        <v>240</v>
      </c>
      <c r="EG3649" s="5" t="s">
        <v>240</v>
      </c>
      <c r="EH3649" s="5" t="s">
        <v>240</v>
      </c>
      <c r="EI3649" s="5" t="s">
        <v>240</v>
      </c>
      <c r="EJ3649" s="5" t="s">
        <v>240</v>
      </c>
      <c r="EK3649" s="5" t="s">
        <v>240</v>
      </c>
      <c r="EL3649" s="5" t="s">
        <v>240</v>
      </c>
      <c r="EM3649" s="5" t="s">
        <v>240</v>
      </c>
      <c r="EN3649" s="5" t="s">
        <v>240</v>
      </c>
      <c r="EO3649" s="5" t="s">
        <v>240</v>
      </c>
      <c r="EP3649" s="5" t="s">
        <v>240</v>
      </c>
      <c r="EQ3649" s="5" t="s">
        <v>240</v>
      </c>
      <c r="ER3649" s="5" t="s">
        <v>240</v>
      </c>
      <c r="ES3649" s="5" t="s">
        <v>240</v>
      </c>
      <c r="ET3649" s="5" t="s">
        <v>240</v>
      </c>
      <c r="EU3649" s="5" t="s">
        <v>240</v>
      </c>
      <c r="EV3649" s="5" t="s">
        <v>240</v>
      </c>
      <c r="EW3649" s="5" t="s">
        <v>240</v>
      </c>
      <c r="EX3649" s="5" t="s">
        <v>240</v>
      </c>
      <c r="EY3649" s="5" t="s">
        <v>240</v>
      </c>
      <c r="EZ3649" s="5" t="s">
        <v>240</v>
      </c>
      <c r="FA3649" s="5" t="s">
        <v>240</v>
      </c>
      <c r="FB3649" s="5" t="s">
        <v>240</v>
      </c>
      <c r="FC3649" s="5" t="s">
        <v>240</v>
      </c>
      <c r="FD3649" s="5" t="s">
        <v>240</v>
      </c>
      <c r="FE3649" s="5" t="s">
        <v>240</v>
      </c>
      <c r="FF3649" s="5" t="s">
        <v>240</v>
      </c>
      <c r="FG3649" s="5" t="s">
        <v>240</v>
      </c>
      <c r="FH3649" s="5" t="s">
        <v>240</v>
      </c>
      <c r="FI3649" s="5" t="s">
        <v>240</v>
      </c>
      <c r="FJ3649" s="5" t="s">
        <v>240</v>
      </c>
      <c r="FK3649" s="5" t="s">
        <v>240</v>
      </c>
      <c r="FL3649" s="5" t="s">
        <v>240</v>
      </c>
      <c r="FM3649" s="5" t="s">
        <v>240</v>
      </c>
      <c r="FN3649" s="5" t="s">
        <v>240</v>
      </c>
      <c r="FO3649" s="5" t="s">
        <v>240</v>
      </c>
      <c r="FP3649" s="5" t="s">
        <v>240</v>
      </c>
      <c r="FQ3649" s="5" t="s">
        <v>240</v>
      </c>
      <c r="FR3649" s="5" t="s">
        <v>240</v>
      </c>
      <c r="FS3649" s="5" t="s">
        <v>240</v>
      </c>
      <c r="FT3649" s="5" t="s">
        <v>240</v>
      </c>
      <c r="FU3649" s="5" t="s">
        <v>240</v>
      </c>
      <c r="FV3649" s="5" t="s">
        <v>240</v>
      </c>
      <c r="FW3649" s="5" t="s">
        <v>240</v>
      </c>
      <c r="FX3649" s="5" t="s">
        <v>240</v>
      </c>
      <c r="FY3649" s="5" t="s">
        <v>240</v>
      </c>
      <c r="FZ3649" s="5" t="s">
        <v>240</v>
      </c>
      <c r="GA3649" s="5" t="s">
        <v>240</v>
      </c>
      <c r="GB3649" s="5" t="s">
        <v>240</v>
      </c>
      <c r="GC3649" s="5" t="s">
        <v>240</v>
      </c>
      <c r="GD3649" s="5" t="s">
        <v>240</v>
      </c>
      <c r="GE3649" s="5" t="s">
        <v>240</v>
      </c>
      <c r="GF3649" s="5" t="s">
        <v>240</v>
      </c>
      <c r="GG3649" s="5" t="s">
        <v>240</v>
      </c>
      <c r="GH3649" s="5" t="s">
        <v>240</v>
      </c>
      <c r="GI3649" s="5" t="s">
        <v>240</v>
      </c>
      <c r="GJ3649" s="5" t="s">
        <v>240</v>
      </c>
      <c r="GK3649" s="5" t="s">
        <v>240</v>
      </c>
      <c r="GL3649" s="5" t="s">
        <v>240</v>
      </c>
      <c r="GM3649" s="5" t="s">
        <v>240</v>
      </c>
      <c r="GN3649" s="5" t="s">
        <v>240</v>
      </c>
      <c r="GO3649" s="5" t="s">
        <v>240</v>
      </c>
      <c r="GP3649" s="5" t="s">
        <v>240</v>
      </c>
      <c r="GQ3649" s="5" t="s">
        <v>240</v>
      </c>
      <c r="GR3649" s="5" t="s">
        <v>240</v>
      </c>
      <c r="GS3649" s="5" t="s">
        <v>240</v>
      </c>
      <c r="GT3649" s="5" t="s">
        <v>240</v>
      </c>
      <c r="GU3649" s="5" t="s">
        <v>240</v>
      </c>
      <c r="GV3649" s="5" t="s">
        <v>240</v>
      </c>
      <c r="GW3649" s="5" t="s">
        <v>240</v>
      </c>
      <c r="GX3649" s="5" t="s">
        <v>240</v>
      </c>
      <c r="GY3649" s="5" t="s">
        <v>240</v>
      </c>
      <c r="GZ3649" s="5" t="s">
        <v>240</v>
      </c>
      <c r="HA3649" s="5" t="s">
        <v>240</v>
      </c>
      <c r="HB3649" s="5" t="s">
        <v>240</v>
      </c>
      <c r="HC3649" s="5" t="s">
        <v>240</v>
      </c>
      <c r="HD3649" s="5" t="s">
        <v>240</v>
      </c>
      <c r="HE3649" s="5" t="s">
        <v>240</v>
      </c>
      <c r="HF3649" s="5" t="s">
        <v>240</v>
      </c>
      <c r="HG3649" s="5" t="s">
        <v>240</v>
      </c>
      <c r="HH3649" s="5" t="s">
        <v>240</v>
      </c>
      <c r="HI3649" s="5" t="s">
        <v>240</v>
      </c>
      <c r="HJ3649" s="5" t="s">
        <v>240</v>
      </c>
      <c r="HK3649" s="5" t="s">
        <v>240</v>
      </c>
      <c r="HL3649" s="5" t="s">
        <v>240</v>
      </c>
      <c r="HM3649" s="5" t="s">
        <v>240</v>
      </c>
      <c r="HN3649" s="5" t="s">
        <v>240</v>
      </c>
      <c r="HO3649" s="5" t="s">
        <v>240</v>
      </c>
      <c r="HP3649" s="5" t="s">
        <v>240</v>
      </c>
      <c r="HQ3649" s="5" t="s">
        <v>240</v>
      </c>
      <c r="HR3649" s="5" t="s">
        <v>240</v>
      </c>
      <c r="HS3649" s="5" t="s">
        <v>240</v>
      </c>
      <c r="HT3649" s="5" t="s">
        <v>240</v>
      </c>
      <c r="HU3649" s="5" t="s">
        <v>240</v>
      </c>
      <c r="HV3649" s="5" t="s">
        <v>240</v>
      </c>
      <c r="HW3649" s="5" t="s">
        <v>240</v>
      </c>
      <c r="HX3649" s="5" t="s">
        <v>240</v>
      </c>
      <c r="HY3649" s="5" t="s">
        <v>240</v>
      </c>
      <c r="HZ3649" s="5" t="s">
        <v>240</v>
      </c>
      <c r="IA3649" s="5" t="s">
        <v>240</v>
      </c>
      <c r="IB3649" s="5" t="s">
        <v>240</v>
      </c>
      <c r="IC3649" s="5" t="s">
        <v>240</v>
      </c>
      <c r="ID3649" s="5" t="s">
        <v>240</v>
      </c>
      <c r="IE3649" s="5" t="s">
        <v>240</v>
      </c>
      <c r="IF3649" s="5" t="s">
        <v>240</v>
      </c>
    </row>
    <row r="3650" spans="1:240" x14ac:dyDescent="0.4">
      <c r="A3650" s="5">
        <v>9192</v>
      </c>
      <c r="B3650" s="5">
        <v>1</v>
      </c>
      <c r="C3650" s="5">
        <v>1</v>
      </c>
      <c r="D3650" s="5" t="s">
        <v>723</v>
      </c>
      <c r="E3650" s="5" t="s">
        <v>725</v>
      </c>
      <c r="F3650" s="5" t="s">
        <v>254</v>
      </c>
      <c r="G3650" s="5" t="s">
        <v>726</v>
      </c>
      <c r="H3650" s="6" t="s">
        <v>5680</v>
      </c>
      <c r="I3650" s="5" t="s">
        <v>5679</v>
      </c>
      <c r="J3650" s="7">
        <f>1</f>
        <v>1</v>
      </c>
      <c r="K3650" s="5" t="s">
        <v>3682</v>
      </c>
      <c r="L3650" s="7">
        <f>1</f>
        <v>1</v>
      </c>
      <c r="M3650" s="7">
        <f>1</f>
        <v>1</v>
      </c>
      <c r="N3650" s="5" t="s">
        <v>242</v>
      </c>
      <c r="O3650" s="5">
        <v>1</v>
      </c>
      <c r="P3650" s="5" t="s">
        <v>294</v>
      </c>
      <c r="Q3650" s="5" t="s">
        <v>3678</v>
      </c>
      <c r="R3650" s="5" t="s">
        <v>240</v>
      </c>
      <c r="S3650" s="5" t="s">
        <v>240</v>
      </c>
      <c r="T3650" s="5" t="s">
        <v>243</v>
      </c>
      <c r="U3650" s="5" t="s">
        <v>244</v>
      </c>
      <c r="V3650" s="5" t="s">
        <v>240</v>
      </c>
      <c r="W3650" s="5" t="s">
        <v>240</v>
      </c>
      <c r="X3650" s="5" t="s">
        <v>240</v>
      </c>
      <c r="Y3650" s="5" t="s">
        <v>240</v>
      </c>
      <c r="Z3650" s="6" t="s">
        <v>298</v>
      </c>
      <c r="AA3650" s="6" t="s">
        <v>240</v>
      </c>
      <c r="AB3650" s="6" t="s">
        <v>240</v>
      </c>
      <c r="AC3650" s="5" t="s">
        <v>240</v>
      </c>
      <c r="AD3650" s="6" t="s">
        <v>240</v>
      </c>
      <c r="AE3650" s="6" t="s">
        <v>299</v>
      </c>
      <c r="AF3650" s="5" t="s">
        <v>248</v>
      </c>
      <c r="AG3650" s="5" t="s">
        <v>249</v>
      </c>
      <c r="AH3650" s="5" t="s">
        <v>240</v>
      </c>
      <c r="AI3650" s="5" t="s">
        <v>240</v>
      </c>
      <c r="AJ3650" s="5" t="s">
        <v>240</v>
      </c>
      <c r="AK3650" s="5" t="s">
        <v>240</v>
      </c>
      <c r="AL3650" s="5" t="s">
        <v>240</v>
      </c>
      <c r="AM3650" s="5" t="s">
        <v>240</v>
      </c>
      <c r="AN3650" s="5" t="s">
        <v>240</v>
      </c>
      <c r="AO3650" s="5" t="s">
        <v>240</v>
      </c>
      <c r="AP3650" s="6" t="s">
        <v>240</v>
      </c>
      <c r="AQ3650" s="6" t="s">
        <v>240</v>
      </c>
      <c r="AR3650" s="6" t="s">
        <v>240</v>
      </c>
      <c r="AS3650" s="6" t="s">
        <v>240</v>
      </c>
      <c r="AT3650" s="5" t="s">
        <v>240</v>
      </c>
      <c r="AU3650" s="5" t="s">
        <v>729</v>
      </c>
      <c r="AV3650" s="5" t="s">
        <v>729</v>
      </c>
      <c r="AW3650" s="5" t="s">
        <v>251</v>
      </c>
      <c r="AX3650" s="5" t="s">
        <v>252</v>
      </c>
      <c r="AY3650" s="5" t="s">
        <v>253</v>
      </c>
      <c r="AZ3650" s="5" t="s">
        <v>6046</v>
      </c>
      <c r="BA3650" s="5" t="s">
        <v>255</v>
      </c>
      <c r="BB3650" s="5" t="s">
        <v>731</v>
      </c>
      <c r="BD3650" s="5" t="s">
        <v>240</v>
      </c>
      <c r="BF3650" s="5" t="s">
        <v>732</v>
      </c>
      <c r="BG3650" s="6" t="s">
        <v>733</v>
      </c>
      <c r="BH3650" s="5" t="s">
        <v>734</v>
      </c>
      <c r="BI3650" s="5" t="s">
        <v>734</v>
      </c>
      <c r="BJ3650" s="5" t="s">
        <v>240</v>
      </c>
      <c r="BK3650" s="7">
        <f>1</f>
        <v>1</v>
      </c>
      <c r="BL3650" s="7">
        <f>1</f>
        <v>1</v>
      </c>
      <c r="BM3650" s="5" t="s">
        <v>258</v>
      </c>
      <c r="BN3650" s="5" t="s">
        <v>259</v>
      </c>
      <c r="BO3650" s="5" t="s">
        <v>240</v>
      </c>
      <c r="BP3650" s="5" t="s">
        <v>240</v>
      </c>
      <c r="BQ3650" s="5" t="s">
        <v>240</v>
      </c>
      <c r="BR3650" s="5" t="s">
        <v>240</v>
      </c>
      <c r="BS3650" s="5" t="s">
        <v>240</v>
      </c>
      <c r="BT3650" s="5" t="s">
        <v>240</v>
      </c>
      <c r="BU3650" s="5" t="s">
        <v>240</v>
      </c>
      <c r="BV3650" s="5" t="s">
        <v>240</v>
      </c>
      <c r="BW3650" s="6" t="s">
        <v>240</v>
      </c>
      <c r="BX3650" s="5" t="s">
        <v>240</v>
      </c>
      <c r="BY3650" s="5" t="s">
        <v>240</v>
      </c>
      <c r="BZ3650" s="5" t="s">
        <v>240</v>
      </c>
      <c r="CA3650" s="5" t="s">
        <v>259</v>
      </c>
      <c r="CB3650" s="5" t="s">
        <v>240</v>
      </c>
      <c r="CC3650" s="5" t="s">
        <v>240</v>
      </c>
      <c r="CD3650" s="5" t="s">
        <v>240</v>
      </c>
      <c r="CE3650" s="5" t="s">
        <v>240</v>
      </c>
      <c r="CF3650" s="5" t="s">
        <v>240</v>
      </c>
      <c r="CG3650" s="5" t="s">
        <v>304</v>
      </c>
      <c r="CH3650" s="5" t="s">
        <v>305</v>
      </c>
      <c r="CI3650" s="5" t="s">
        <v>260</v>
      </c>
      <c r="CK3650" s="5" t="s">
        <v>3681</v>
      </c>
      <c r="CL3650" s="6" t="s">
        <v>261</v>
      </c>
      <c r="CM3650" s="5" t="s">
        <v>262</v>
      </c>
      <c r="CN3650" s="5" t="s">
        <v>263</v>
      </c>
      <c r="CO3650" s="5" t="s">
        <v>264</v>
      </c>
      <c r="CP3650" s="5" t="s">
        <v>240</v>
      </c>
      <c r="CQ3650" s="5">
        <v>0</v>
      </c>
      <c r="CR3650" s="5" t="s">
        <v>735</v>
      </c>
      <c r="CS3650" s="5" t="s">
        <v>307</v>
      </c>
      <c r="CT3650" s="5" t="s">
        <v>307</v>
      </c>
      <c r="CU3650" s="5" t="s">
        <v>260</v>
      </c>
      <c r="CV3650" s="5" t="s">
        <v>612</v>
      </c>
      <c r="CW3650" s="8">
        <f>1</f>
        <v>1</v>
      </c>
      <c r="CX3650" s="7">
        <f>1</f>
        <v>1</v>
      </c>
      <c r="CY3650" s="7">
        <f>0</f>
        <v>0</v>
      </c>
      <c r="DA3650" s="7">
        <f>1</f>
        <v>1</v>
      </c>
      <c r="DB3650" s="7" t="s">
        <v>240</v>
      </c>
      <c r="DC3650" s="5" t="s">
        <v>240</v>
      </c>
      <c r="DD3650" s="5" t="s">
        <v>240</v>
      </c>
      <c r="DE3650" s="5" t="s">
        <v>240</v>
      </c>
      <c r="DF3650" s="5" t="s">
        <v>240</v>
      </c>
      <c r="DG3650" s="7">
        <f>0</f>
        <v>0</v>
      </c>
      <c r="DI3650" s="5" t="s">
        <v>240</v>
      </c>
      <c r="DJ3650" s="5" t="s">
        <v>240</v>
      </c>
      <c r="DK3650" s="5" t="s">
        <v>240</v>
      </c>
      <c r="DL3650" s="5" t="s">
        <v>240</v>
      </c>
      <c r="DM3650" s="5" t="s">
        <v>240</v>
      </c>
      <c r="DN3650" s="5" t="s">
        <v>240</v>
      </c>
      <c r="DO3650" s="7" t="s">
        <v>240</v>
      </c>
      <c r="DP3650" s="5" t="s">
        <v>240</v>
      </c>
      <c r="DQ3650" s="5" t="s">
        <v>248</v>
      </c>
      <c r="DR3650" s="5" t="s">
        <v>731</v>
      </c>
      <c r="DS3650" s="5" t="s">
        <v>731</v>
      </c>
      <c r="DT3650" s="5" t="s">
        <v>240</v>
      </c>
      <c r="DU3650" s="5" t="s">
        <v>240</v>
      </c>
      <c r="DV3650" s="5" t="s">
        <v>6047</v>
      </c>
      <c r="DW3650" s="5" t="s">
        <v>820</v>
      </c>
      <c r="DX3650" s="5" t="s">
        <v>240</v>
      </c>
      <c r="DY3650" s="5" t="s">
        <v>240</v>
      </c>
      <c r="DZ3650" s="5" t="s">
        <v>240</v>
      </c>
      <c r="EA3650" s="5" t="s">
        <v>240</v>
      </c>
      <c r="EB3650" s="5" t="s">
        <v>240</v>
      </c>
      <c r="EC3650" s="5" t="s">
        <v>240</v>
      </c>
      <c r="ED3650" s="5" t="s">
        <v>240</v>
      </c>
      <c r="EE3650" s="5" t="s">
        <v>240</v>
      </c>
      <c r="EF3650" s="5" t="s">
        <v>240</v>
      </c>
      <c r="EG3650" s="5" t="s">
        <v>240</v>
      </c>
      <c r="EH3650" s="5" t="s">
        <v>240</v>
      </c>
      <c r="EI3650" s="5" t="s">
        <v>240</v>
      </c>
      <c r="EJ3650" s="5" t="s">
        <v>240</v>
      </c>
      <c r="EK3650" s="5" t="s">
        <v>240</v>
      </c>
      <c r="EL3650" s="5" t="s">
        <v>240</v>
      </c>
      <c r="EM3650" s="5" t="s">
        <v>240</v>
      </c>
      <c r="EN3650" s="5" t="s">
        <v>240</v>
      </c>
      <c r="EO3650" s="5" t="s">
        <v>240</v>
      </c>
      <c r="EP3650" s="5" t="s">
        <v>240</v>
      </c>
      <c r="EQ3650" s="5" t="s">
        <v>240</v>
      </c>
      <c r="ER3650" s="5" t="s">
        <v>240</v>
      </c>
      <c r="ES3650" s="5" t="s">
        <v>240</v>
      </c>
      <c r="ET3650" s="5" t="s">
        <v>240</v>
      </c>
      <c r="EU3650" s="5" t="s">
        <v>240</v>
      </c>
      <c r="EV3650" s="5" t="s">
        <v>240</v>
      </c>
      <c r="EW3650" s="5" t="s">
        <v>240</v>
      </c>
      <c r="EX3650" s="5" t="s">
        <v>240</v>
      </c>
      <c r="EY3650" s="5" t="s">
        <v>240</v>
      </c>
      <c r="EZ3650" s="5" t="s">
        <v>240</v>
      </c>
      <c r="FA3650" s="5" t="s">
        <v>240</v>
      </c>
      <c r="FB3650" s="5" t="s">
        <v>240</v>
      </c>
      <c r="FC3650" s="5" t="s">
        <v>240</v>
      </c>
      <c r="FD3650" s="5" t="s">
        <v>240</v>
      </c>
      <c r="FE3650" s="5" t="s">
        <v>240</v>
      </c>
      <c r="FF3650" s="5" t="s">
        <v>240</v>
      </c>
      <c r="FG3650" s="5" t="s">
        <v>240</v>
      </c>
      <c r="FH3650" s="5" t="s">
        <v>240</v>
      </c>
      <c r="FI3650" s="5" t="s">
        <v>240</v>
      </c>
      <c r="FJ3650" s="5" t="s">
        <v>240</v>
      </c>
      <c r="FK3650" s="5" t="s">
        <v>240</v>
      </c>
      <c r="FL3650" s="5" t="s">
        <v>240</v>
      </c>
      <c r="FM3650" s="5" t="s">
        <v>240</v>
      </c>
      <c r="FN3650" s="5" t="s">
        <v>240</v>
      </c>
      <c r="FO3650" s="5" t="s">
        <v>240</v>
      </c>
      <c r="FP3650" s="5" t="s">
        <v>240</v>
      </c>
      <c r="FQ3650" s="5" t="s">
        <v>240</v>
      </c>
      <c r="FR3650" s="5" t="s">
        <v>240</v>
      </c>
      <c r="FS3650" s="5" t="s">
        <v>240</v>
      </c>
      <c r="FT3650" s="5" t="s">
        <v>240</v>
      </c>
      <c r="FU3650" s="5" t="s">
        <v>240</v>
      </c>
      <c r="FV3650" s="5" t="s">
        <v>240</v>
      </c>
      <c r="FW3650" s="5" t="s">
        <v>240</v>
      </c>
      <c r="FX3650" s="5" t="s">
        <v>240</v>
      </c>
      <c r="FY3650" s="5" t="s">
        <v>240</v>
      </c>
      <c r="FZ3650" s="5" t="s">
        <v>240</v>
      </c>
      <c r="GA3650" s="5" t="s">
        <v>240</v>
      </c>
      <c r="GB3650" s="5" t="s">
        <v>240</v>
      </c>
      <c r="GC3650" s="5" t="s">
        <v>240</v>
      </c>
      <c r="GD3650" s="5" t="s">
        <v>240</v>
      </c>
      <c r="GE3650" s="5" t="s">
        <v>240</v>
      </c>
      <c r="GF3650" s="5" t="s">
        <v>240</v>
      </c>
      <c r="GG3650" s="5" t="s">
        <v>240</v>
      </c>
      <c r="GH3650" s="5" t="s">
        <v>240</v>
      </c>
      <c r="GI3650" s="5" t="s">
        <v>240</v>
      </c>
      <c r="GJ3650" s="5" t="s">
        <v>240</v>
      </c>
      <c r="GK3650" s="5" t="s">
        <v>240</v>
      </c>
      <c r="GL3650" s="5" t="s">
        <v>240</v>
      </c>
      <c r="GM3650" s="5" t="s">
        <v>240</v>
      </c>
      <c r="GN3650" s="5" t="s">
        <v>240</v>
      </c>
      <c r="GO3650" s="5" t="s">
        <v>240</v>
      </c>
      <c r="GP3650" s="5" t="s">
        <v>240</v>
      </c>
      <c r="GQ3650" s="5" t="s">
        <v>240</v>
      </c>
      <c r="GR3650" s="5" t="s">
        <v>240</v>
      </c>
      <c r="GS3650" s="5" t="s">
        <v>240</v>
      </c>
      <c r="GT3650" s="5" t="s">
        <v>240</v>
      </c>
      <c r="GU3650" s="5" t="s">
        <v>240</v>
      </c>
      <c r="GV3650" s="5" t="s">
        <v>240</v>
      </c>
      <c r="GW3650" s="5" t="s">
        <v>240</v>
      </c>
      <c r="GX3650" s="5" t="s">
        <v>240</v>
      </c>
      <c r="GY3650" s="5" t="s">
        <v>240</v>
      </c>
      <c r="GZ3650" s="5" t="s">
        <v>240</v>
      </c>
      <c r="HA3650" s="5" t="s">
        <v>240</v>
      </c>
      <c r="HB3650" s="5" t="s">
        <v>240</v>
      </c>
      <c r="HC3650" s="5" t="s">
        <v>240</v>
      </c>
      <c r="HD3650" s="5" t="s">
        <v>240</v>
      </c>
      <c r="HE3650" s="5" t="s">
        <v>240</v>
      </c>
      <c r="HF3650" s="5" t="s">
        <v>240</v>
      </c>
      <c r="HG3650" s="5" t="s">
        <v>240</v>
      </c>
      <c r="HH3650" s="5" t="s">
        <v>240</v>
      </c>
      <c r="HI3650" s="5" t="s">
        <v>240</v>
      </c>
      <c r="HJ3650" s="5" t="s">
        <v>240</v>
      </c>
      <c r="HK3650" s="5" t="s">
        <v>240</v>
      </c>
      <c r="HL3650" s="5" t="s">
        <v>240</v>
      </c>
      <c r="HM3650" s="5" t="s">
        <v>240</v>
      </c>
      <c r="HN3650" s="5" t="s">
        <v>240</v>
      </c>
      <c r="HO3650" s="5" t="s">
        <v>240</v>
      </c>
      <c r="HP3650" s="5" t="s">
        <v>240</v>
      </c>
      <c r="HQ3650" s="5" t="s">
        <v>240</v>
      </c>
      <c r="HR3650" s="5" t="s">
        <v>240</v>
      </c>
      <c r="HS3650" s="5" t="s">
        <v>240</v>
      </c>
      <c r="HT3650" s="5" t="s">
        <v>240</v>
      </c>
      <c r="HU3650" s="5" t="s">
        <v>240</v>
      </c>
      <c r="HV3650" s="5" t="s">
        <v>240</v>
      </c>
      <c r="HW3650" s="5" t="s">
        <v>240</v>
      </c>
      <c r="HX3650" s="5" t="s">
        <v>240</v>
      </c>
      <c r="HY3650" s="5" t="s">
        <v>240</v>
      </c>
      <c r="HZ3650" s="5" t="s">
        <v>240</v>
      </c>
      <c r="IA3650" s="5" t="s">
        <v>240</v>
      </c>
      <c r="IB3650" s="5" t="s">
        <v>240</v>
      </c>
      <c r="IC3650" s="5" t="s">
        <v>240</v>
      </c>
      <c r="ID3650" s="5" t="s">
        <v>240</v>
      </c>
      <c r="IE3650" s="5" t="s">
        <v>240</v>
      </c>
      <c r="IF3650" s="5" t="s">
        <v>240</v>
      </c>
    </row>
    <row r="3651" spans="1:240" x14ac:dyDescent="0.4">
      <c r="A3651" s="5">
        <v>9193</v>
      </c>
      <c r="B3651" s="5">
        <v>1</v>
      </c>
      <c r="C3651" s="5">
        <v>1</v>
      </c>
      <c r="D3651" s="5" t="s">
        <v>723</v>
      </c>
      <c r="E3651" s="5" t="s">
        <v>725</v>
      </c>
      <c r="F3651" s="5" t="s">
        <v>254</v>
      </c>
      <c r="G3651" s="5" t="s">
        <v>726</v>
      </c>
      <c r="H3651" s="6" t="s">
        <v>6381</v>
      </c>
      <c r="I3651" s="5" t="s">
        <v>6380</v>
      </c>
      <c r="J3651" s="7">
        <f>1</f>
        <v>1</v>
      </c>
      <c r="K3651" s="5" t="s">
        <v>3682</v>
      </c>
      <c r="L3651" s="7">
        <f>1</f>
        <v>1</v>
      </c>
      <c r="M3651" s="7">
        <f>1</f>
        <v>1</v>
      </c>
      <c r="N3651" s="5" t="s">
        <v>242</v>
      </c>
      <c r="O3651" s="5">
        <v>1</v>
      </c>
      <c r="P3651" s="5" t="s">
        <v>294</v>
      </c>
      <c r="Q3651" s="5" t="s">
        <v>266</v>
      </c>
      <c r="R3651" s="5" t="s">
        <v>240</v>
      </c>
      <c r="S3651" s="5" t="s">
        <v>240</v>
      </c>
      <c r="T3651" s="5" t="s">
        <v>243</v>
      </c>
      <c r="U3651" s="5" t="s">
        <v>240</v>
      </c>
      <c r="V3651" s="5" t="s">
        <v>240</v>
      </c>
      <c r="Y3651" s="5" t="s">
        <v>240</v>
      </c>
      <c r="Z3651" s="6" t="s">
        <v>6466</v>
      </c>
      <c r="AB3651" s="6" t="s">
        <v>240</v>
      </c>
      <c r="AE3651" s="6" t="s">
        <v>6467</v>
      </c>
      <c r="AF3651" s="5" t="s">
        <v>248</v>
      </c>
      <c r="AG3651" s="5" t="s">
        <v>249</v>
      </c>
      <c r="AW3651" s="5" t="s">
        <v>251</v>
      </c>
      <c r="AX3651" s="5" t="s">
        <v>240</v>
      </c>
      <c r="AY3651" s="5" t="s">
        <v>253</v>
      </c>
      <c r="AZ3651" s="5" t="s">
        <v>240</v>
      </c>
      <c r="BA3651" s="5" t="s">
        <v>255</v>
      </c>
      <c r="BB3651" s="5" t="s">
        <v>240</v>
      </c>
      <c r="BD3651" s="5" t="s">
        <v>240</v>
      </c>
      <c r="BF3651" s="5" t="s">
        <v>687</v>
      </c>
      <c r="BG3651" s="6" t="s">
        <v>6466</v>
      </c>
      <c r="BH3651" s="5" t="s">
        <v>302</v>
      </c>
      <c r="BI3651" s="5" t="s">
        <v>448</v>
      </c>
      <c r="BJ3651" s="5" t="s">
        <v>240</v>
      </c>
      <c r="BK3651" s="8">
        <f>0</f>
        <v>0</v>
      </c>
      <c r="BL3651" s="7">
        <f>0</f>
        <v>0</v>
      </c>
      <c r="BM3651" s="5" t="s">
        <v>258</v>
      </c>
      <c r="BN3651" s="5" t="s">
        <v>259</v>
      </c>
      <c r="CB3651" s="5" t="s">
        <v>240</v>
      </c>
      <c r="CC3651" s="5" t="s">
        <v>240</v>
      </c>
      <c r="CG3651" s="5" t="s">
        <v>449</v>
      </c>
      <c r="CH3651" s="5" t="s">
        <v>305</v>
      </c>
      <c r="CI3651" s="5" t="s">
        <v>240</v>
      </c>
      <c r="CL3651" s="6" t="s">
        <v>261</v>
      </c>
      <c r="CM3651" s="5" t="s">
        <v>240</v>
      </c>
      <c r="CN3651" s="5" t="s">
        <v>263</v>
      </c>
      <c r="CO3651" s="5" t="s">
        <v>240</v>
      </c>
      <c r="CP3651" s="5" t="s">
        <v>240</v>
      </c>
      <c r="CQ3651" s="5">
        <v>0</v>
      </c>
      <c r="CR3651" s="5" t="s">
        <v>306</v>
      </c>
      <c r="CS3651" s="5" t="s">
        <v>307</v>
      </c>
      <c r="CT3651" s="5" t="s">
        <v>307</v>
      </c>
      <c r="CU3651" s="5" t="s">
        <v>260</v>
      </c>
      <c r="CX3651" s="7">
        <f>604550</f>
        <v>604550</v>
      </c>
      <c r="CY3651" s="7">
        <f>0</f>
        <v>0</v>
      </c>
      <c r="DA3651" s="7">
        <f>0</f>
        <v>0</v>
      </c>
      <c r="DC3651" s="5" t="s">
        <v>450</v>
      </c>
      <c r="DD3651" s="5" t="s">
        <v>240</v>
      </c>
      <c r="DF3651" s="5" t="s">
        <v>450</v>
      </c>
      <c r="DG3651" s="7">
        <f>614</f>
        <v>614</v>
      </c>
      <c r="DI3651" s="5" t="s">
        <v>240</v>
      </c>
      <c r="DJ3651" s="5" t="s">
        <v>240</v>
      </c>
      <c r="DK3651" s="5" t="s">
        <v>240</v>
      </c>
      <c r="DL3651" s="5" t="s">
        <v>240</v>
      </c>
      <c r="DP3651" s="5" t="s">
        <v>240</v>
      </c>
      <c r="DQ3651" s="5" t="s">
        <v>240</v>
      </c>
      <c r="DR3651" s="5" t="s">
        <v>240</v>
      </c>
      <c r="DS3651" s="5" t="s">
        <v>240</v>
      </c>
      <c r="DV3651" s="5" t="s">
        <v>310</v>
      </c>
      <c r="DW3651" s="5" t="s">
        <v>2361</v>
      </c>
      <c r="HO3651" s="5" t="s">
        <v>312</v>
      </c>
    </row>
    <row r="3652" spans="1:240" x14ac:dyDescent="0.4">
      <c r="A3652" s="5">
        <v>9194</v>
      </c>
      <c r="B3652" s="5">
        <v>1</v>
      </c>
      <c r="C3652" s="5">
        <v>1</v>
      </c>
      <c r="D3652" s="5" t="s">
        <v>723</v>
      </c>
      <c r="E3652" s="5" t="s">
        <v>725</v>
      </c>
      <c r="F3652" s="5" t="s">
        <v>254</v>
      </c>
      <c r="G3652" s="5" t="s">
        <v>5676</v>
      </c>
      <c r="H3652" s="6" t="s">
        <v>5677</v>
      </c>
      <c r="I3652" s="5" t="s">
        <v>5675</v>
      </c>
      <c r="J3652" s="7">
        <f>1</f>
        <v>1</v>
      </c>
      <c r="K3652" s="5" t="s">
        <v>3682</v>
      </c>
      <c r="L3652" s="7">
        <f>1</f>
        <v>1</v>
      </c>
      <c r="M3652" s="7">
        <f>1</f>
        <v>1</v>
      </c>
      <c r="N3652" s="5" t="s">
        <v>242</v>
      </c>
      <c r="O3652" s="5">
        <v>1</v>
      </c>
      <c r="P3652" s="5" t="s">
        <v>294</v>
      </c>
      <c r="Q3652" s="5" t="s">
        <v>3678</v>
      </c>
      <c r="R3652" s="5" t="s">
        <v>240</v>
      </c>
      <c r="S3652" s="5" t="s">
        <v>240</v>
      </c>
      <c r="T3652" s="5" t="s">
        <v>243</v>
      </c>
      <c r="U3652" s="5" t="s">
        <v>244</v>
      </c>
      <c r="V3652" s="5" t="s">
        <v>240</v>
      </c>
      <c r="W3652" s="5" t="s">
        <v>240</v>
      </c>
      <c r="X3652" s="5" t="s">
        <v>240</v>
      </c>
      <c r="Y3652" s="5" t="s">
        <v>240</v>
      </c>
      <c r="Z3652" s="6" t="s">
        <v>298</v>
      </c>
      <c r="AA3652" s="6" t="s">
        <v>240</v>
      </c>
      <c r="AB3652" s="6" t="s">
        <v>240</v>
      </c>
      <c r="AC3652" s="5" t="s">
        <v>240</v>
      </c>
      <c r="AD3652" s="6" t="s">
        <v>240</v>
      </c>
      <c r="AE3652" s="6" t="s">
        <v>299</v>
      </c>
      <c r="AF3652" s="5" t="s">
        <v>248</v>
      </c>
      <c r="AG3652" s="5" t="s">
        <v>249</v>
      </c>
      <c r="AH3652" s="5" t="s">
        <v>240</v>
      </c>
      <c r="AI3652" s="5" t="s">
        <v>240</v>
      </c>
      <c r="AJ3652" s="5" t="s">
        <v>240</v>
      </c>
      <c r="AK3652" s="5" t="s">
        <v>240</v>
      </c>
      <c r="AL3652" s="5" t="s">
        <v>240</v>
      </c>
      <c r="AM3652" s="5" t="s">
        <v>240</v>
      </c>
      <c r="AN3652" s="5" t="s">
        <v>240</v>
      </c>
      <c r="AO3652" s="5" t="s">
        <v>240</v>
      </c>
      <c r="AP3652" s="6" t="s">
        <v>240</v>
      </c>
      <c r="AQ3652" s="6" t="s">
        <v>240</v>
      </c>
      <c r="AR3652" s="6" t="s">
        <v>240</v>
      </c>
      <c r="AS3652" s="6" t="s">
        <v>240</v>
      </c>
      <c r="AT3652" s="5" t="s">
        <v>240</v>
      </c>
      <c r="AU3652" s="5" t="s">
        <v>729</v>
      </c>
      <c r="AV3652" s="5" t="s">
        <v>729</v>
      </c>
      <c r="AW3652" s="5" t="s">
        <v>251</v>
      </c>
      <c r="AX3652" s="5" t="s">
        <v>252</v>
      </c>
      <c r="AY3652" s="5" t="s">
        <v>253</v>
      </c>
      <c r="AZ3652" s="5" t="s">
        <v>6046</v>
      </c>
      <c r="BA3652" s="5" t="s">
        <v>255</v>
      </c>
      <c r="BB3652" s="5" t="s">
        <v>731</v>
      </c>
      <c r="BD3652" s="5" t="s">
        <v>240</v>
      </c>
      <c r="BF3652" s="5" t="s">
        <v>732</v>
      </c>
      <c r="BG3652" s="6" t="s">
        <v>733</v>
      </c>
      <c r="BH3652" s="5" t="s">
        <v>734</v>
      </c>
      <c r="BI3652" s="5" t="s">
        <v>734</v>
      </c>
      <c r="BJ3652" s="5" t="s">
        <v>240</v>
      </c>
      <c r="BK3652" s="7">
        <f>1</f>
        <v>1</v>
      </c>
      <c r="BL3652" s="7">
        <f>1</f>
        <v>1</v>
      </c>
      <c r="BM3652" s="5" t="s">
        <v>258</v>
      </c>
      <c r="BN3652" s="5" t="s">
        <v>259</v>
      </c>
      <c r="BO3652" s="5" t="s">
        <v>240</v>
      </c>
      <c r="BP3652" s="5" t="s">
        <v>240</v>
      </c>
      <c r="BQ3652" s="5" t="s">
        <v>240</v>
      </c>
      <c r="BR3652" s="5" t="s">
        <v>240</v>
      </c>
      <c r="BS3652" s="5" t="s">
        <v>240</v>
      </c>
      <c r="BT3652" s="5" t="s">
        <v>240</v>
      </c>
      <c r="BU3652" s="5" t="s">
        <v>240</v>
      </c>
      <c r="BV3652" s="5" t="s">
        <v>240</v>
      </c>
      <c r="BW3652" s="6" t="s">
        <v>240</v>
      </c>
      <c r="BX3652" s="5" t="s">
        <v>240</v>
      </c>
      <c r="BY3652" s="5" t="s">
        <v>240</v>
      </c>
      <c r="BZ3652" s="5" t="s">
        <v>240</v>
      </c>
      <c r="CA3652" s="5" t="s">
        <v>259</v>
      </c>
      <c r="CB3652" s="5" t="s">
        <v>240</v>
      </c>
      <c r="CC3652" s="5" t="s">
        <v>240</v>
      </c>
      <c r="CD3652" s="5" t="s">
        <v>240</v>
      </c>
      <c r="CE3652" s="5" t="s">
        <v>240</v>
      </c>
      <c r="CF3652" s="5" t="s">
        <v>240</v>
      </c>
      <c r="CG3652" s="5" t="s">
        <v>304</v>
      </c>
      <c r="CH3652" s="5" t="s">
        <v>305</v>
      </c>
      <c r="CI3652" s="5" t="s">
        <v>260</v>
      </c>
      <c r="CK3652" s="5" t="s">
        <v>3681</v>
      </c>
      <c r="CL3652" s="6" t="s">
        <v>261</v>
      </c>
      <c r="CM3652" s="5" t="s">
        <v>262</v>
      </c>
      <c r="CN3652" s="5" t="s">
        <v>263</v>
      </c>
      <c r="CO3652" s="5" t="s">
        <v>264</v>
      </c>
      <c r="CP3652" s="5" t="s">
        <v>240</v>
      </c>
      <c r="CQ3652" s="5">
        <v>0</v>
      </c>
      <c r="CR3652" s="5" t="s">
        <v>735</v>
      </c>
      <c r="CS3652" s="5" t="s">
        <v>307</v>
      </c>
      <c r="CT3652" s="5" t="s">
        <v>307</v>
      </c>
      <c r="CU3652" s="5" t="s">
        <v>260</v>
      </c>
      <c r="CV3652" s="5" t="s">
        <v>612</v>
      </c>
      <c r="CW3652" s="8">
        <f>1</f>
        <v>1</v>
      </c>
      <c r="CX3652" s="7">
        <f>1</f>
        <v>1</v>
      </c>
      <c r="CY3652" s="7">
        <f>0</f>
        <v>0</v>
      </c>
      <c r="DA3652" s="7">
        <f>1</f>
        <v>1</v>
      </c>
      <c r="DB3652" s="7" t="s">
        <v>240</v>
      </c>
      <c r="DC3652" s="5" t="s">
        <v>240</v>
      </c>
      <c r="DD3652" s="5" t="s">
        <v>240</v>
      </c>
      <c r="DE3652" s="5" t="s">
        <v>240</v>
      </c>
      <c r="DF3652" s="5" t="s">
        <v>240</v>
      </c>
      <c r="DG3652" s="7">
        <f>0</f>
        <v>0</v>
      </c>
      <c r="DI3652" s="5" t="s">
        <v>240</v>
      </c>
      <c r="DJ3652" s="5" t="s">
        <v>240</v>
      </c>
      <c r="DK3652" s="5" t="s">
        <v>240</v>
      </c>
      <c r="DL3652" s="5" t="s">
        <v>240</v>
      </c>
      <c r="DM3652" s="5" t="s">
        <v>240</v>
      </c>
      <c r="DN3652" s="5" t="s">
        <v>240</v>
      </c>
      <c r="DO3652" s="7" t="s">
        <v>240</v>
      </c>
      <c r="DP3652" s="5" t="s">
        <v>240</v>
      </c>
      <c r="DQ3652" s="5" t="s">
        <v>248</v>
      </c>
      <c r="DR3652" s="5" t="s">
        <v>731</v>
      </c>
      <c r="DS3652" s="5" t="s">
        <v>731</v>
      </c>
      <c r="DT3652" s="5" t="s">
        <v>240</v>
      </c>
      <c r="DU3652" s="5" t="s">
        <v>240</v>
      </c>
      <c r="DV3652" s="5" t="s">
        <v>6047</v>
      </c>
      <c r="DW3652" s="5" t="s">
        <v>808</v>
      </c>
      <c r="DX3652" s="5" t="s">
        <v>240</v>
      </c>
      <c r="DY3652" s="5" t="s">
        <v>240</v>
      </c>
      <c r="DZ3652" s="5" t="s">
        <v>240</v>
      </c>
      <c r="EA3652" s="5" t="s">
        <v>240</v>
      </c>
      <c r="EB3652" s="5" t="s">
        <v>240</v>
      </c>
      <c r="EC3652" s="5" t="s">
        <v>240</v>
      </c>
      <c r="ED3652" s="5" t="s">
        <v>240</v>
      </c>
      <c r="EE3652" s="5" t="s">
        <v>240</v>
      </c>
      <c r="EF3652" s="5" t="s">
        <v>240</v>
      </c>
      <c r="EG3652" s="5" t="s">
        <v>240</v>
      </c>
      <c r="EH3652" s="5" t="s">
        <v>240</v>
      </c>
      <c r="EI3652" s="5" t="s">
        <v>240</v>
      </c>
      <c r="EJ3652" s="5" t="s">
        <v>240</v>
      </c>
      <c r="EK3652" s="5" t="s">
        <v>240</v>
      </c>
      <c r="EL3652" s="5" t="s">
        <v>240</v>
      </c>
      <c r="EM3652" s="5" t="s">
        <v>240</v>
      </c>
      <c r="EN3652" s="5" t="s">
        <v>240</v>
      </c>
      <c r="EO3652" s="5" t="s">
        <v>240</v>
      </c>
      <c r="EP3652" s="5" t="s">
        <v>240</v>
      </c>
      <c r="EQ3652" s="5" t="s">
        <v>240</v>
      </c>
      <c r="ER3652" s="5" t="s">
        <v>240</v>
      </c>
      <c r="ES3652" s="5" t="s">
        <v>240</v>
      </c>
      <c r="ET3652" s="5" t="s">
        <v>240</v>
      </c>
      <c r="EU3652" s="5" t="s">
        <v>240</v>
      </c>
      <c r="EV3652" s="5" t="s">
        <v>240</v>
      </c>
      <c r="EW3652" s="5" t="s">
        <v>240</v>
      </c>
      <c r="EX3652" s="5" t="s">
        <v>240</v>
      </c>
      <c r="EY3652" s="5" t="s">
        <v>240</v>
      </c>
      <c r="EZ3652" s="5" t="s">
        <v>240</v>
      </c>
      <c r="FA3652" s="5" t="s">
        <v>240</v>
      </c>
      <c r="FB3652" s="5" t="s">
        <v>240</v>
      </c>
      <c r="FC3652" s="5" t="s">
        <v>240</v>
      </c>
      <c r="FD3652" s="5" t="s">
        <v>240</v>
      </c>
      <c r="FE3652" s="5" t="s">
        <v>240</v>
      </c>
      <c r="FF3652" s="5" t="s">
        <v>240</v>
      </c>
      <c r="FG3652" s="5" t="s">
        <v>240</v>
      </c>
      <c r="FH3652" s="5" t="s">
        <v>240</v>
      </c>
      <c r="FI3652" s="5" t="s">
        <v>240</v>
      </c>
      <c r="FJ3652" s="5" t="s">
        <v>240</v>
      </c>
      <c r="FK3652" s="5" t="s">
        <v>240</v>
      </c>
      <c r="FL3652" s="5" t="s">
        <v>240</v>
      </c>
      <c r="FM3652" s="5" t="s">
        <v>240</v>
      </c>
      <c r="FN3652" s="5" t="s">
        <v>240</v>
      </c>
      <c r="FO3652" s="5" t="s">
        <v>240</v>
      </c>
      <c r="FP3652" s="5" t="s">
        <v>240</v>
      </c>
      <c r="FQ3652" s="5" t="s">
        <v>240</v>
      </c>
      <c r="FR3652" s="5" t="s">
        <v>240</v>
      </c>
      <c r="FS3652" s="5" t="s">
        <v>240</v>
      </c>
      <c r="FT3652" s="5" t="s">
        <v>240</v>
      </c>
      <c r="FU3652" s="5" t="s">
        <v>240</v>
      </c>
      <c r="FV3652" s="5" t="s">
        <v>240</v>
      </c>
      <c r="FW3652" s="5" t="s">
        <v>240</v>
      </c>
      <c r="FX3652" s="5" t="s">
        <v>240</v>
      </c>
      <c r="FY3652" s="5" t="s">
        <v>240</v>
      </c>
      <c r="FZ3652" s="5" t="s">
        <v>240</v>
      </c>
      <c r="GA3652" s="5" t="s">
        <v>240</v>
      </c>
      <c r="GB3652" s="5" t="s">
        <v>240</v>
      </c>
      <c r="GC3652" s="5" t="s">
        <v>240</v>
      </c>
      <c r="GD3652" s="5" t="s">
        <v>240</v>
      </c>
      <c r="GE3652" s="5" t="s">
        <v>240</v>
      </c>
      <c r="GF3652" s="5" t="s">
        <v>240</v>
      </c>
      <c r="GG3652" s="5" t="s">
        <v>240</v>
      </c>
      <c r="GH3652" s="5" t="s">
        <v>240</v>
      </c>
      <c r="GI3652" s="5" t="s">
        <v>240</v>
      </c>
      <c r="GJ3652" s="5" t="s">
        <v>240</v>
      </c>
      <c r="GK3652" s="5" t="s">
        <v>240</v>
      </c>
      <c r="GL3652" s="5" t="s">
        <v>240</v>
      </c>
      <c r="GM3652" s="5" t="s">
        <v>240</v>
      </c>
      <c r="GN3652" s="5" t="s">
        <v>240</v>
      </c>
      <c r="GO3652" s="5" t="s">
        <v>240</v>
      </c>
      <c r="GP3652" s="5" t="s">
        <v>240</v>
      </c>
      <c r="GQ3652" s="5" t="s">
        <v>240</v>
      </c>
      <c r="GR3652" s="5" t="s">
        <v>240</v>
      </c>
      <c r="GS3652" s="5" t="s">
        <v>240</v>
      </c>
      <c r="GT3652" s="5" t="s">
        <v>240</v>
      </c>
      <c r="GU3652" s="5" t="s">
        <v>240</v>
      </c>
      <c r="GV3652" s="5" t="s">
        <v>240</v>
      </c>
      <c r="GW3652" s="5" t="s">
        <v>240</v>
      </c>
      <c r="GX3652" s="5" t="s">
        <v>240</v>
      </c>
      <c r="GY3652" s="5" t="s">
        <v>240</v>
      </c>
      <c r="GZ3652" s="5" t="s">
        <v>240</v>
      </c>
      <c r="HA3652" s="5" t="s">
        <v>240</v>
      </c>
      <c r="HB3652" s="5" t="s">
        <v>240</v>
      </c>
      <c r="HC3652" s="5" t="s">
        <v>240</v>
      </c>
      <c r="HD3652" s="5" t="s">
        <v>240</v>
      </c>
      <c r="HE3652" s="5" t="s">
        <v>240</v>
      </c>
      <c r="HF3652" s="5" t="s">
        <v>240</v>
      </c>
      <c r="HG3652" s="5" t="s">
        <v>240</v>
      </c>
      <c r="HH3652" s="5" t="s">
        <v>240</v>
      </c>
      <c r="HI3652" s="5" t="s">
        <v>240</v>
      </c>
      <c r="HJ3652" s="5" t="s">
        <v>240</v>
      </c>
      <c r="HK3652" s="5" t="s">
        <v>240</v>
      </c>
      <c r="HL3652" s="5" t="s">
        <v>240</v>
      </c>
      <c r="HM3652" s="5" t="s">
        <v>240</v>
      </c>
      <c r="HN3652" s="5" t="s">
        <v>240</v>
      </c>
      <c r="HO3652" s="5" t="s">
        <v>240</v>
      </c>
      <c r="HP3652" s="5" t="s">
        <v>240</v>
      </c>
      <c r="HQ3652" s="5" t="s">
        <v>240</v>
      </c>
      <c r="HR3652" s="5" t="s">
        <v>240</v>
      </c>
      <c r="HS3652" s="5" t="s">
        <v>240</v>
      </c>
      <c r="HT3652" s="5" t="s">
        <v>240</v>
      </c>
      <c r="HU3652" s="5" t="s">
        <v>240</v>
      </c>
      <c r="HV3652" s="5" t="s">
        <v>240</v>
      </c>
      <c r="HW3652" s="5" t="s">
        <v>240</v>
      </c>
      <c r="HX3652" s="5" t="s">
        <v>240</v>
      </c>
      <c r="HY3652" s="5" t="s">
        <v>240</v>
      </c>
      <c r="HZ3652" s="5" t="s">
        <v>240</v>
      </c>
      <c r="IA3652" s="5" t="s">
        <v>240</v>
      </c>
      <c r="IB3652" s="5" t="s">
        <v>240</v>
      </c>
      <c r="IC3652" s="5" t="s">
        <v>240</v>
      </c>
      <c r="ID3652" s="5" t="s">
        <v>240</v>
      </c>
      <c r="IE3652" s="5" t="s">
        <v>240</v>
      </c>
      <c r="IF3652" s="5" t="s">
        <v>240</v>
      </c>
    </row>
    <row r="3653" spans="1:240" x14ac:dyDescent="0.4">
      <c r="A3653" s="5">
        <v>9195</v>
      </c>
      <c r="B3653" s="5">
        <v>1</v>
      </c>
      <c r="C3653" s="5">
        <v>1</v>
      </c>
      <c r="D3653" s="5" t="s">
        <v>723</v>
      </c>
      <c r="E3653" s="5" t="s">
        <v>725</v>
      </c>
      <c r="F3653" s="5" t="s">
        <v>254</v>
      </c>
      <c r="G3653" s="5" t="s">
        <v>726</v>
      </c>
      <c r="H3653" s="6" t="s">
        <v>6379</v>
      </c>
      <c r="I3653" s="5" t="s">
        <v>6378</v>
      </c>
      <c r="J3653" s="7">
        <f>1</f>
        <v>1</v>
      </c>
      <c r="K3653" s="5" t="s">
        <v>3682</v>
      </c>
      <c r="L3653" s="7">
        <f>1</f>
        <v>1</v>
      </c>
      <c r="M3653" s="7">
        <f>1</f>
        <v>1</v>
      </c>
      <c r="N3653" s="5" t="s">
        <v>242</v>
      </c>
      <c r="O3653" s="5">
        <v>1</v>
      </c>
      <c r="P3653" s="5" t="s">
        <v>294</v>
      </c>
      <c r="Q3653" s="5" t="s">
        <v>3678</v>
      </c>
      <c r="R3653" s="5" t="s">
        <v>240</v>
      </c>
      <c r="S3653" s="5" t="s">
        <v>240</v>
      </c>
      <c r="T3653" s="5" t="s">
        <v>243</v>
      </c>
      <c r="U3653" s="5" t="s">
        <v>244</v>
      </c>
      <c r="V3653" s="5" t="s">
        <v>240</v>
      </c>
      <c r="W3653" s="5" t="s">
        <v>240</v>
      </c>
      <c r="X3653" s="5" t="s">
        <v>240</v>
      </c>
      <c r="Y3653" s="5" t="s">
        <v>240</v>
      </c>
      <c r="Z3653" s="6" t="s">
        <v>298</v>
      </c>
      <c r="AA3653" s="6" t="s">
        <v>240</v>
      </c>
      <c r="AB3653" s="6" t="s">
        <v>240</v>
      </c>
      <c r="AC3653" s="5" t="s">
        <v>240</v>
      </c>
      <c r="AD3653" s="6" t="s">
        <v>240</v>
      </c>
      <c r="AE3653" s="6" t="s">
        <v>299</v>
      </c>
      <c r="AF3653" s="5" t="s">
        <v>248</v>
      </c>
      <c r="AG3653" s="5" t="s">
        <v>249</v>
      </c>
      <c r="AH3653" s="5" t="s">
        <v>240</v>
      </c>
      <c r="AI3653" s="5" t="s">
        <v>240</v>
      </c>
      <c r="AJ3653" s="5" t="s">
        <v>240</v>
      </c>
      <c r="AK3653" s="5" t="s">
        <v>240</v>
      </c>
      <c r="AL3653" s="5" t="s">
        <v>240</v>
      </c>
      <c r="AM3653" s="5" t="s">
        <v>240</v>
      </c>
      <c r="AN3653" s="5" t="s">
        <v>240</v>
      </c>
      <c r="AO3653" s="5" t="s">
        <v>240</v>
      </c>
      <c r="AP3653" s="6" t="s">
        <v>240</v>
      </c>
      <c r="AQ3653" s="6" t="s">
        <v>240</v>
      </c>
      <c r="AR3653" s="6" t="s">
        <v>240</v>
      </c>
      <c r="AS3653" s="6" t="s">
        <v>240</v>
      </c>
      <c r="AT3653" s="5" t="s">
        <v>240</v>
      </c>
      <c r="AU3653" s="5" t="s">
        <v>729</v>
      </c>
      <c r="AV3653" s="5" t="s">
        <v>729</v>
      </c>
      <c r="AW3653" s="5" t="s">
        <v>251</v>
      </c>
      <c r="AX3653" s="5" t="s">
        <v>252</v>
      </c>
      <c r="AY3653" s="5" t="s">
        <v>253</v>
      </c>
      <c r="AZ3653" s="5" t="s">
        <v>240</v>
      </c>
      <c r="BA3653" s="5" t="s">
        <v>255</v>
      </c>
      <c r="BB3653" s="5" t="s">
        <v>731</v>
      </c>
      <c r="BD3653" s="5" t="s">
        <v>240</v>
      </c>
      <c r="BF3653" s="5" t="s">
        <v>732</v>
      </c>
      <c r="BG3653" s="6" t="s">
        <v>733</v>
      </c>
      <c r="BH3653" s="5" t="s">
        <v>734</v>
      </c>
      <c r="BI3653" s="5" t="s">
        <v>734</v>
      </c>
      <c r="BJ3653" s="5" t="s">
        <v>240</v>
      </c>
      <c r="BK3653" s="7">
        <f>1</f>
        <v>1</v>
      </c>
      <c r="BL3653" s="7">
        <f>1</f>
        <v>1</v>
      </c>
      <c r="BM3653" s="5" t="s">
        <v>258</v>
      </c>
      <c r="BN3653" s="5" t="s">
        <v>259</v>
      </c>
      <c r="BO3653" s="5" t="s">
        <v>240</v>
      </c>
      <c r="BP3653" s="5" t="s">
        <v>240</v>
      </c>
      <c r="BQ3653" s="5" t="s">
        <v>240</v>
      </c>
      <c r="BR3653" s="5" t="s">
        <v>240</v>
      </c>
      <c r="BS3653" s="5" t="s">
        <v>240</v>
      </c>
      <c r="BT3653" s="5" t="s">
        <v>240</v>
      </c>
      <c r="BU3653" s="5" t="s">
        <v>240</v>
      </c>
      <c r="BV3653" s="5" t="s">
        <v>240</v>
      </c>
      <c r="BW3653" s="6" t="s">
        <v>240</v>
      </c>
      <c r="BX3653" s="5" t="s">
        <v>240</v>
      </c>
      <c r="BY3653" s="5" t="s">
        <v>240</v>
      </c>
      <c r="BZ3653" s="5" t="s">
        <v>240</v>
      </c>
      <c r="CA3653" s="5" t="s">
        <v>259</v>
      </c>
      <c r="CB3653" s="5" t="s">
        <v>240</v>
      </c>
      <c r="CC3653" s="5" t="s">
        <v>240</v>
      </c>
      <c r="CD3653" s="5" t="s">
        <v>240</v>
      </c>
      <c r="CE3653" s="5" t="s">
        <v>240</v>
      </c>
      <c r="CF3653" s="5" t="s">
        <v>240</v>
      </c>
      <c r="CG3653" s="5" t="s">
        <v>304</v>
      </c>
      <c r="CH3653" s="5" t="s">
        <v>305</v>
      </c>
      <c r="CI3653" s="5" t="s">
        <v>240</v>
      </c>
      <c r="CK3653" s="5" t="s">
        <v>3681</v>
      </c>
      <c r="CL3653" s="6" t="s">
        <v>261</v>
      </c>
      <c r="CM3653" s="5" t="s">
        <v>262</v>
      </c>
      <c r="CN3653" s="5" t="s">
        <v>263</v>
      </c>
      <c r="CO3653" s="5" t="s">
        <v>264</v>
      </c>
      <c r="CP3653" s="5" t="s">
        <v>240</v>
      </c>
      <c r="CQ3653" s="5">
        <v>0</v>
      </c>
      <c r="CR3653" s="5" t="s">
        <v>735</v>
      </c>
      <c r="CS3653" s="5" t="s">
        <v>307</v>
      </c>
      <c r="CT3653" s="5" t="s">
        <v>307</v>
      </c>
      <c r="CU3653" s="5" t="s">
        <v>260</v>
      </c>
      <c r="CV3653" s="5" t="s">
        <v>612</v>
      </c>
      <c r="CW3653" s="8">
        <f>1</f>
        <v>1</v>
      </c>
      <c r="CX3653" s="7">
        <f>1</f>
        <v>1</v>
      </c>
      <c r="CY3653" s="7">
        <f>0</f>
        <v>0</v>
      </c>
      <c r="DA3653" s="7">
        <f>1</f>
        <v>1</v>
      </c>
      <c r="DB3653" s="7" t="s">
        <v>240</v>
      </c>
      <c r="DC3653" s="5" t="s">
        <v>240</v>
      </c>
      <c r="DD3653" s="5" t="s">
        <v>240</v>
      </c>
      <c r="DE3653" s="5" t="s">
        <v>240</v>
      </c>
      <c r="DF3653" s="5" t="s">
        <v>240</v>
      </c>
      <c r="DG3653" s="7">
        <f>0</f>
        <v>0</v>
      </c>
      <c r="DI3653" s="5" t="s">
        <v>240</v>
      </c>
      <c r="DJ3653" s="5" t="s">
        <v>240</v>
      </c>
      <c r="DK3653" s="5" t="s">
        <v>240</v>
      </c>
      <c r="DL3653" s="5" t="s">
        <v>240</v>
      </c>
      <c r="DM3653" s="5" t="s">
        <v>240</v>
      </c>
      <c r="DN3653" s="5" t="s">
        <v>240</v>
      </c>
      <c r="DO3653" s="7" t="s">
        <v>240</v>
      </c>
      <c r="DP3653" s="5" t="s">
        <v>240</v>
      </c>
      <c r="DQ3653" s="5" t="s">
        <v>240</v>
      </c>
      <c r="DR3653" s="5" t="s">
        <v>731</v>
      </c>
      <c r="DS3653" s="5" t="s">
        <v>731</v>
      </c>
      <c r="DT3653" s="5" t="s">
        <v>240</v>
      </c>
      <c r="DU3653" s="5" t="s">
        <v>240</v>
      </c>
      <c r="DV3653" s="5" t="s">
        <v>3683</v>
      </c>
      <c r="DW3653" s="5" t="s">
        <v>4025</v>
      </c>
      <c r="DX3653" s="5" t="s">
        <v>240</v>
      </c>
      <c r="DY3653" s="5" t="s">
        <v>240</v>
      </c>
      <c r="DZ3653" s="5" t="s">
        <v>240</v>
      </c>
      <c r="EA3653" s="5" t="s">
        <v>240</v>
      </c>
      <c r="EB3653" s="5" t="s">
        <v>240</v>
      </c>
      <c r="EC3653" s="5" t="s">
        <v>240</v>
      </c>
      <c r="ED3653" s="5" t="s">
        <v>240</v>
      </c>
      <c r="EE3653" s="5" t="s">
        <v>240</v>
      </c>
      <c r="EF3653" s="5" t="s">
        <v>240</v>
      </c>
      <c r="EG3653" s="5" t="s">
        <v>240</v>
      </c>
      <c r="EH3653" s="5" t="s">
        <v>240</v>
      </c>
      <c r="EI3653" s="5" t="s">
        <v>240</v>
      </c>
      <c r="EJ3653" s="5" t="s">
        <v>240</v>
      </c>
      <c r="EK3653" s="5" t="s">
        <v>240</v>
      </c>
      <c r="EL3653" s="5" t="s">
        <v>240</v>
      </c>
      <c r="EM3653" s="5" t="s">
        <v>240</v>
      </c>
      <c r="EN3653" s="5" t="s">
        <v>240</v>
      </c>
      <c r="EO3653" s="5" t="s">
        <v>240</v>
      </c>
      <c r="EP3653" s="5" t="s">
        <v>240</v>
      </c>
      <c r="EQ3653" s="5" t="s">
        <v>240</v>
      </c>
      <c r="ER3653" s="5" t="s">
        <v>240</v>
      </c>
      <c r="ES3653" s="5" t="s">
        <v>240</v>
      </c>
      <c r="ET3653" s="5" t="s">
        <v>240</v>
      </c>
      <c r="EU3653" s="5" t="s">
        <v>240</v>
      </c>
      <c r="EV3653" s="5" t="s">
        <v>240</v>
      </c>
      <c r="EW3653" s="5" t="s">
        <v>240</v>
      </c>
      <c r="EX3653" s="5" t="s">
        <v>240</v>
      </c>
      <c r="EY3653" s="5" t="s">
        <v>240</v>
      </c>
      <c r="EZ3653" s="5" t="s">
        <v>240</v>
      </c>
      <c r="FA3653" s="5" t="s">
        <v>240</v>
      </c>
      <c r="FB3653" s="5" t="s">
        <v>240</v>
      </c>
      <c r="FC3653" s="5" t="s">
        <v>240</v>
      </c>
      <c r="FD3653" s="5" t="s">
        <v>240</v>
      </c>
      <c r="FE3653" s="5" t="s">
        <v>240</v>
      </c>
      <c r="FF3653" s="5" t="s">
        <v>240</v>
      </c>
      <c r="FG3653" s="5" t="s">
        <v>240</v>
      </c>
      <c r="FH3653" s="5" t="s">
        <v>240</v>
      </c>
      <c r="FI3653" s="5" t="s">
        <v>240</v>
      </c>
      <c r="FJ3653" s="5" t="s">
        <v>240</v>
      </c>
      <c r="FK3653" s="5" t="s">
        <v>240</v>
      </c>
      <c r="FL3653" s="5" t="s">
        <v>240</v>
      </c>
      <c r="FM3653" s="5" t="s">
        <v>240</v>
      </c>
      <c r="FN3653" s="5" t="s">
        <v>240</v>
      </c>
      <c r="FO3653" s="5" t="s">
        <v>240</v>
      </c>
      <c r="FP3653" s="5" t="s">
        <v>240</v>
      </c>
      <c r="FQ3653" s="5" t="s">
        <v>240</v>
      </c>
      <c r="FR3653" s="5" t="s">
        <v>240</v>
      </c>
      <c r="FS3653" s="5" t="s">
        <v>240</v>
      </c>
      <c r="FT3653" s="5" t="s">
        <v>240</v>
      </c>
      <c r="FU3653" s="5" t="s">
        <v>240</v>
      </c>
      <c r="FV3653" s="5" t="s">
        <v>240</v>
      </c>
      <c r="FW3653" s="5" t="s">
        <v>240</v>
      </c>
      <c r="FX3653" s="5" t="s">
        <v>240</v>
      </c>
      <c r="FY3653" s="5" t="s">
        <v>240</v>
      </c>
      <c r="FZ3653" s="5" t="s">
        <v>240</v>
      </c>
      <c r="GA3653" s="5" t="s">
        <v>240</v>
      </c>
      <c r="GB3653" s="5" t="s">
        <v>240</v>
      </c>
      <c r="GC3653" s="5" t="s">
        <v>240</v>
      </c>
      <c r="GD3653" s="5" t="s">
        <v>240</v>
      </c>
      <c r="GE3653" s="5" t="s">
        <v>240</v>
      </c>
      <c r="GF3653" s="5" t="s">
        <v>240</v>
      </c>
      <c r="GG3653" s="5" t="s">
        <v>240</v>
      </c>
      <c r="GH3653" s="5" t="s">
        <v>240</v>
      </c>
      <c r="GI3653" s="5" t="s">
        <v>240</v>
      </c>
      <c r="GJ3653" s="5" t="s">
        <v>240</v>
      </c>
      <c r="GK3653" s="5" t="s">
        <v>240</v>
      </c>
      <c r="GL3653" s="5" t="s">
        <v>240</v>
      </c>
      <c r="GM3653" s="5" t="s">
        <v>240</v>
      </c>
      <c r="GN3653" s="5" t="s">
        <v>240</v>
      </c>
      <c r="GO3653" s="5" t="s">
        <v>240</v>
      </c>
      <c r="GP3653" s="5" t="s">
        <v>240</v>
      </c>
      <c r="GQ3653" s="5" t="s">
        <v>240</v>
      </c>
      <c r="GR3653" s="5" t="s">
        <v>240</v>
      </c>
      <c r="GS3653" s="5" t="s">
        <v>240</v>
      </c>
      <c r="GT3653" s="5" t="s">
        <v>240</v>
      </c>
      <c r="GU3653" s="5" t="s">
        <v>240</v>
      </c>
      <c r="GV3653" s="5" t="s">
        <v>240</v>
      </c>
      <c r="GW3653" s="5" t="s">
        <v>240</v>
      </c>
      <c r="GX3653" s="5" t="s">
        <v>240</v>
      </c>
      <c r="GY3653" s="5" t="s">
        <v>240</v>
      </c>
      <c r="GZ3653" s="5" t="s">
        <v>240</v>
      </c>
      <c r="HA3653" s="5" t="s">
        <v>240</v>
      </c>
      <c r="HB3653" s="5" t="s">
        <v>240</v>
      </c>
      <c r="HC3653" s="5" t="s">
        <v>240</v>
      </c>
      <c r="HD3653" s="5" t="s">
        <v>240</v>
      </c>
      <c r="HE3653" s="5" t="s">
        <v>240</v>
      </c>
      <c r="HF3653" s="5" t="s">
        <v>240</v>
      </c>
      <c r="HG3653" s="5" t="s">
        <v>240</v>
      </c>
      <c r="HH3653" s="5" t="s">
        <v>240</v>
      </c>
      <c r="HI3653" s="5" t="s">
        <v>240</v>
      </c>
      <c r="HJ3653" s="5" t="s">
        <v>240</v>
      </c>
      <c r="HK3653" s="5" t="s">
        <v>240</v>
      </c>
      <c r="HL3653" s="5" t="s">
        <v>240</v>
      </c>
      <c r="HM3653" s="5" t="s">
        <v>240</v>
      </c>
      <c r="HN3653" s="5" t="s">
        <v>240</v>
      </c>
      <c r="HO3653" s="5" t="s">
        <v>312</v>
      </c>
      <c r="HP3653" s="5" t="s">
        <v>240</v>
      </c>
      <c r="HQ3653" s="5" t="s">
        <v>240</v>
      </c>
      <c r="HR3653" s="5" t="s">
        <v>240</v>
      </c>
      <c r="HS3653" s="5" t="s">
        <v>240</v>
      </c>
      <c r="HT3653" s="5" t="s">
        <v>240</v>
      </c>
      <c r="HU3653" s="5" t="s">
        <v>240</v>
      </c>
      <c r="HV3653" s="5" t="s">
        <v>240</v>
      </c>
      <c r="HW3653" s="5" t="s">
        <v>240</v>
      </c>
      <c r="HX3653" s="5" t="s">
        <v>240</v>
      </c>
      <c r="HY3653" s="5" t="s">
        <v>240</v>
      </c>
      <c r="HZ3653" s="5" t="s">
        <v>240</v>
      </c>
      <c r="IA3653" s="5" t="s">
        <v>240</v>
      </c>
      <c r="IB3653" s="5" t="s">
        <v>240</v>
      </c>
      <c r="IC3653" s="5" t="s">
        <v>240</v>
      </c>
      <c r="ID3653" s="5" t="s">
        <v>240</v>
      </c>
      <c r="IE3653" s="5" t="s">
        <v>240</v>
      </c>
      <c r="IF3653" s="5" t="s">
        <v>240</v>
      </c>
    </row>
    <row r="3654" spans="1:240" x14ac:dyDescent="0.4">
      <c r="A3654" s="5">
        <v>9196</v>
      </c>
      <c r="B3654" s="5">
        <v>1</v>
      </c>
      <c r="C3654" s="5">
        <v>1</v>
      </c>
      <c r="D3654" s="5" t="s">
        <v>723</v>
      </c>
      <c r="E3654" s="5" t="s">
        <v>725</v>
      </c>
      <c r="F3654" s="5" t="s">
        <v>254</v>
      </c>
      <c r="G3654" s="5" t="s">
        <v>726</v>
      </c>
      <c r="H3654" s="6" t="s">
        <v>5673</v>
      </c>
      <c r="I3654" s="5" t="s">
        <v>5672</v>
      </c>
      <c r="J3654" s="7">
        <f>1</f>
        <v>1</v>
      </c>
      <c r="K3654" s="5" t="s">
        <v>3682</v>
      </c>
      <c r="L3654" s="7">
        <f>1</f>
        <v>1</v>
      </c>
      <c r="M3654" s="7">
        <f>1</f>
        <v>1</v>
      </c>
      <c r="N3654" s="5" t="s">
        <v>242</v>
      </c>
      <c r="O3654" s="5">
        <v>1</v>
      </c>
      <c r="P3654" s="5" t="s">
        <v>294</v>
      </c>
      <c r="Q3654" s="5" t="s">
        <v>3678</v>
      </c>
      <c r="R3654" s="5" t="s">
        <v>240</v>
      </c>
      <c r="S3654" s="5" t="s">
        <v>240</v>
      </c>
      <c r="T3654" s="5" t="s">
        <v>243</v>
      </c>
      <c r="U3654" s="5" t="s">
        <v>244</v>
      </c>
      <c r="V3654" s="5" t="s">
        <v>240</v>
      </c>
      <c r="W3654" s="5" t="s">
        <v>240</v>
      </c>
      <c r="X3654" s="5" t="s">
        <v>240</v>
      </c>
      <c r="Y3654" s="5" t="s">
        <v>240</v>
      </c>
      <c r="Z3654" s="6" t="s">
        <v>298</v>
      </c>
      <c r="AA3654" s="6" t="s">
        <v>240</v>
      </c>
      <c r="AB3654" s="6" t="s">
        <v>240</v>
      </c>
      <c r="AC3654" s="5" t="s">
        <v>240</v>
      </c>
      <c r="AD3654" s="6" t="s">
        <v>240</v>
      </c>
      <c r="AE3654" s="6" t="s">
        <v>299</v>
      </c>
      <c r="AF3654" s="5" t="s">
        <v>248</v>
      </c>
      <c r="AG3654" s="5" t="s">
        <v>249</v>
      </c>
      <c r="AH3654" s="5" t="s">
        <v>240</v>
      </c>
      <c r="AI3654" s="5" t="s">
        <v>240</v>
      </c>
      <c r="AJ3654" s="5" t="s">
        <v>240</v>
      </c>
      <c r="AK3654" s="5" t="s">
        <v>240</v>
      </c>
      <c r="AL3654" s="5" t="s">
        <v>240</v>
      </c>
      <c r="AM3654" s="5" t="s">
        <v>240</v>
      </c>
      <c r="AN3654" s="5" t="s">
        <v>240</v>
      </c>
      <c r="AO3654" s="5" t="s">
        <v>240</v>
      </c>
      <c r="AP3654" s="6" t="s">
        <v>240</v>
      </c>
      <c r="AQ3654" s="6" t="s">
        <v>240</v>
      </c>
      <c r="AR3654" s="6" t="s">
        <v>240</v>
      </c>
      <c r="AS3654" s="6" t="s">
        <v>240</v>
      </c>
      <c r="AT3654" s="5" t="s">
        <v>240</v>
      </c>
      <c r="AU3654" s="5" t="s">
        <v>729</v>
      </c>
      <c r="AV3654" s="5" t="s">
        <v>729</v>
      </c>
      <c r="AW3654" s="5" t="s">
        <v>251</v>
      </c>
      <c r="AX3654" s="5" t="s">
        <v>252</v>
      </c>
      <c r="AY3654" s="5" t="s">
        <v>253</v>
      </c>
      <c r="AZ3654" s="5" t="s">
        <v>6046</v>
      </c>
      <c r="BA3654" s="5" t="s">
        <v>255</v>
      </c>
      <c r="BB3654" s="5" t="s">
        <v>731</v>
      </c>
      <c r="BD3654" s="5" t="s">
        <v>240</v>
      </c>
      <c r="BF3654" s="5" t="s">
        <v>732</v>
      </c>
      <c r="BG3654" s="6" t="s">
        <v>733</v>
      </c>
      <c r="BH3654" s="5" t="s">
        <v>734</v>
      </c>
      <c r="BI3654" s="5" t="s">
        <v>734</v>
      </c>
      <c r="BJ3654" s="5" t="s">
        <v>240</v>
      </c>
      <c r="BK3654" s="7">
        <f>1</f>
        <v>1</v>
      </c>
      <c r="BL3654" s="7">
        <f>1</f>
        <v>1</v>
      </c>
      <c r="BM3654" s="5" t="s">
        <v>258</v>
      </c>
      <c r="BN3654" s="5" t="s">
        <v>259</v>
      </c>
      <c r="BO3654" s="5" t="s">
        <v>240</v>
      </c>
      <c r="BP3654" s="5" t="s">
        <v>240</v>
      </c>
      <c r="BQ3654" s="5" t="s">
        <v>240</v>
      </c>
      <c r="BR3654" s="5" t="s">
        <v>240</v>
      </c>
      <c r="BS3654" s="5" t="s">
        <v>240</v>
      </c>
      <c r="BT3654" s="5" t="s">
        <v>240</v>
      </c>
      <c r="BU3654" s="5" t="s">
        <v>240</v>
      </c>
      <c r="BV3654" s="5" t="s">
        <v>240</v>
      </c>
      <c r="BW3654" s="6" t="s">
        <v>240</v>
      </c>
      <c r="BX3654" s="5" t="s">
        <v>240</v>
      </c>
      <c r="BY3654" s="5" t="s">
        <v>240</v>
      </c>
      <c r="BZ3654" s="5" t="s">
        <v>240</v>
      </c>
      <c r="CA3654" s="5" t="s">
        <v>259</v>
      </c>
      <c r="CB3654" s="5" t="s">
        <v>240</v>
      </c>
      <c r="CC3654" s="5" t="s">
        <v>240</v>
      </c>
      <c r="CD3654" s="5" t="s">
        <v>240</v>
      </c>
      <c r="CE3654" s="5" t="s">
        <v>240</v>
      </c>
      <c r="CF3654" s="5" t="s">
        <v>240</v>
      </c>
      <c r="CG3654" s="5" t="s">
        <v>304</v>
      </c>
      <c r="CH3654" s="5" t="s">
        <v>305</v>
      </c>
      <c r="CI3654" s="5" t="s">
        <v>260</v>
      </c>
      <c r="CK3654" s="5" t="s">
        <v>3681</v>
      </c>
      <c r="CL3654" s="6" t="s">
        <v>261</v>
      </c>
      <c r="CM3654" s="5" t="s">
        <v>262</v>
      </c>
      <c r="CN3654" s="5" t="s">
        <v>263</v>
      </c>
      <c r="CO3654" s="5" t="s">
        <v>264</v>
      </c>
      <c r="CP3654" s="5" t="s">
        <v>240</v>
      </c>
      <c r="CQ3654" s="5">
        <v>0</v>
      </c>
      <c r="CR3654" s="5" t="s">
        <v>735</v>
      </c>
      <c r="CS3654" s="5" t="s">
        <v>307</v>
      </c>
      <c r="CT3654" s="5" t="s">
        <v>307</v>
      </c>
      <c r="CU3654" s="5" t="s">
        <v>260</v>
      </c>
      <c r="CV3654" s="5" t="s">
        <v>612</v>
      </c>
      <c r="CW3654" s="8">
        <f>1</f>
        <v>1</v>
      </c>
      <c r="CX3654" s="7">
        <f>1</f>
        <v>1</v>
      </c>
      <c r="CY3654" s="7">
        <f>0</f>
        <v>0</v>
      </c>
      <c r="DA3654" s="7">
        <f>1</f>
        <v>1</v>
      </c>
      <c r="DB3654" s="7" t="s">
        <v>240</v>
      </c>
      <c r="DC3654" s="5" t="s">
        <v>240</v>
      </c>
      <c r="DD3654" s="5" t="s">
        <v>240</v>
      </c>
      <c r="DE3654" s="5" t="s">
        <v>240</v>
      </c>
      <c r="DF3654" s="5" t="s">
        <v>240</v>
      </c>
      <c r="DG3654" s="7">
        <f>0</f>
        <v>0</v>
      </c>
      <c r="DI3654" s="5" t="s">
        <v>240</v>
      </c>
      <c r="DJ3654" s="5" t="s">
        <v>240</v>
      </c>
      <c r="DK3654" s="5" t="s">
        <v>240</v>
      </c>
      <c r="DL3654" s="5" t="s">
        <v>240</v>
      </c>
      <c r="DM3654" s="5" t="s">
        <v>240</v>
      </c>
      <c r="DN3654" s="5" t="s">
        <v>240</v>
      </c>
      <c r="DO3654" s="7" t="s">
        <v>240</v>
      </c>
      <c r="DP3654" s="5" t="s">
        <v>240</v>
      </c>
      <c r="DQ3654" s="5" t="s">
        <v>248</v>
      </c>
      <c r="DR3654" s="5" t="s">
        <v>731</v>
      </c>
      <c r="DS3654" s="5" t="s">
        <v>731</v>
      </c>
      <c r="DT3654" s="5" t="s">
        <v>240</v>
      </c>
      <c r="DU3654" s="5" t="s">
        <v>240</v>
      </c>
      <c r="DV3654" s="5" t="s">
        <v>6047</v>
      </c>
      <c r="DW3654" s="5" t="s">
        <v>620</v>
      </c>
      <c r="DX3654" s="5" t="s">
        <v>240</v>
      </c>
      <c r="DY3654" s="5" t="s">
        <v>240</v>
      </c>
      <c r="DZ3654" s="5" t="s">
        <v>240</v>
      </c>
      <c r="EA3654" s="5" t="s">
        <v>240</v>
      </c>
      <c r="EB3654" s="5" t="s">
        <v>240</v>
      </c>
      <c r="EC3654" s="5" t="s">
        <v>240</v>
      </c>
      <c r="ED3654" s="5" t="s">
        <v>240</v>
      </c>
      <c r="EE3654" s="5" t="s">
        <v>240</v>
      </c>
      <c r="EF3654" s="5" t="s">
        <v>240</v>
      </c>
      <c r="EG3654" s="5" t="s">
        <v>240</v>
      </c>
      <c r="EH3654" s="5" t="s">
        <v>240</v>
      </c>
      <c r="EI3654" s="5" t="s">
        <v>240</v>
      </c>
      <c r="EJ3654" s="5" t="s">
        <v>240</v>
      </c>
      <c r="EK3654" s="5" t="s">
        <v>240</v>
      </c>
      <c r="EL3654" s="5" t="s">
        <v>240</v>
      </c>
      <c r="EM3654" s="5" t="s">
        <v>240</v>
      </c>
      <c r="EN3654" s="5" t="s">
        <v>240</v>
      </c>
      <c r="EO3654" s="5" t="s">
        <v>240</v>
      </c>
      <c r="EP3654" s="5" t="s">
        <v>240</v>
      </c>
      <c r="EQ3654" s="5" t="s">
        <v>240</v>
      </c>
      <c r="ER3654" s="5" t="s">
        <v>240</v>
      </c>
      <c r="ES3654" s="5" t="s">
        <v>240</v>
      </c>
      <c r="ET3654" s="5" t="s">
        <v>240</v>
      </c>
      <c r="EU3654" s="5" t="s">
        <v>240</v>
      </c>
      <c r="EV3654" s="5" t="s">
        <v>240</v>
      </c>
      <c r="EW3654" s="5" t="s">
        <v>240</v>
      </c>
      <c r="EX3654" s="5" t="s">
        <v>240</v>
      </c>
      <c r="EY3654" s="5" t="s">
        <v>240</v>
      </c>
      <c r="EZ3654" s="5" t="s">
        <v>240</v>
      </c>
      <c r="FA3654" s="5" t="s">
        <v>240</v>
      </c>
      <c r="FB3654" s="5" t="s">
        <v>240</v>
      </c>
      <c r="FC3654" s="5" t="s">
        <v>240</v>
      </c>
      <c r="FD3654" s="5" t="s">
        <v>240</v>
      </c>
      <c r="FE3654" s="5" t="s">
        <v>240</v>
      </c>
      <c r="FF3654" s="5" t="s">
        <v>240</v>
      </c>
      <c r="FG3654" s="5" t="s">
        <v>240</v>
      </c>
      <c r="FH3654" s="5" t="s">
        <v>240</v>
      </c>
      <c r="FI3654" s="5" t="s">
        <v>240</v>
      </c>
      <c r="FJ3654" s="5" t="s">
        <v>240</v>
      </c>
      <c r="FK3654" s="5" t="s">
        <v>240</v>
      </c>
      <c r="FL3654" s="5" t="s">
        <v>240</v>
      </c>
      <c r="FM3654" s="5" t="s">
        <v>240</v>
      </c>
      <c r="FN3654" s="5" t="s">
        <v>240</v>
      </c>
      <c r="FO3654" s="5" t="s">
        <v>240</v>
      </c>
      <c r="FP3654" s="5" t="s">
        <v>240</v>
      </c>
      <c r="FQ3654" s="5" t="s">
        <v>240</v>
      </c>
      <c r="FR3654" s="5" t="s">
        <v>240</v>
      </c>
      <c r="FS3654" s="5" t="s">
        <v>240</v>
      </c>
      <c r="FT3654" s="5" t="s">
        <v>240</v>
      </c>
      <c r="FU3654" s="5" t="s">
        <v>240</v>
      </c>
      <c r="FV3654" s="5" t="s">
        <v>240</v>
      </c>
      <c r="FW3654" s="5" t="s">
        <v>240</v>
      </c>
      <c r="FX3654" s="5" t="s">
        <v>240</v>
      </c>
      <c r="FY3654" s="5" t="s">
        <v>240</v>
      </c>
      <c r="FZ3654" s="5" t="s">
        <v>240</v>
      </c>
      <c r="GA3654" s="5" t="s">
        <v>240</v>
      </c>
      <c r="GB3654" s="5" t="s">
        <v>240</v>
      </c>
      <c r="GC3654" s="5" t="s">
        <v>240</v>
      </c>
      <c r="GD3654" s="5" t="s">
        <v>240</v>
      </c>
      <c r="GE3654" s="5" t="s">
        <v>240</v>
      </c>
      <c r="GF3654" s="5" t="s">
        <v>240</v>
      </c>
      <c r="GG3654" s="5" t="s">
        <v>240</v>
      </c>
      <c r="GH3654" s="5" t="s">
        <v>240</v>
      </c>
      <c r="GI3654" s="5" t="s">
        <v>240</v>
      </c>
      <c r="GJ3654" s="5" t="s">
        <v>240</v>
      </c>
      <c r="GK3654" s="5" t="s">
        <v>240</v>
      </c>
      <c r="GL3654" s="5" t="s">
        <v>240</v>
      </c>
      <c r="GM3654" s="5" t="s">
        <v>240</v>
      </c>
      <c r="GN3654" s="5" t="s">
        <v>240</v>
      </c>
      <c r="GO3654" s="5" t="s">
        <v>240</v>
      </c>
      <c r="GP3654" s="5" t="s">
        <v>240</v>
      </c>
      <c r="GQ3654" s="5" t="s">
        <v>240</v>
      </c>
      <c r="GR3654" s="5" t="s">
        <v>240</v>
      </c>
      <c r="GS3654" s="5" t="s">
        <v>240</v>
      </c>
      <c r="GT3654" s="5" t="s">
        <v>240</v>
      </c>
      <c r="GU3654" s="5" t="s">
        <v>240</v>
      </c>
      <c r="GV3654" s="5" t="s">
        <v>240</v>
      </c>
      <c r="GW3654" s="5" t="s">
        <v>240</v>
      </c>
      <c r="GX3654" s="5" t="s">
        <v>240</v>
      </c>
      <c r="GY3654" s="5" t="s">
        <v>240</v>
      </c>
      <c r="GZ3654" s="5" t="s">
        <v>240</v>
      </c>
      <c r="HA3654" s="5" t="s">
        <v>240</v>
      </c>
      <c r="HB3654" s="5" t="s">
        <v>240</v>
      </c>
      <c r="HC3654" s="5" t="s">
        <v>240</v>
      </c>
      <c r="HD3654" s="5" t="s">
        <v>240</v>
      </c>
      <c r="HE3654" s="5" t="s">
        <v>240</v>
      </c>
      <c r="HF3654" s="5" t="s">
        <v>240</v>
      </c>
      <c r="HG3654" s="5" t="s">
        <v>240</v>
      </c>
      <c r="HH3654" s="5" t="s">
        <v>240</v>
      </c>
      <c r="HI3654" s="5" t="s">
        <v>240</v>
      </c>
      <c r="HJ3654" s="5" t="s">
        <v>240</v>
      </c>
      <c r="HK3654" s="5" t="s">
        <v>240</v>
      </c>
      <c r="HL3654" s="5" t="s">
        <v>240</v>
      </c>
      <c r="HM3654" s="5" t="s">
        <v>240</v>
      </c>
      <c r="HN3654" s="5" t="s">
        <v>240</v>
      </c>
      <c r="HO3654" s="5" t="s">
        <v>240</v>
      </c>
      <c r="HP3654" s="5" t="s">
        <v>240</v>
      </c>
      <c r="HQ3654" s="5" t="s">
        <v>240</v>
      </c>
      <c r="HR3654" s="5" t="s">
        <v>240</v>
      </c>
      <c r="HS3654" s="5" t="s">
        <v>240</v>
      </c>
      <c r="HT3654" s="5" t="s">
        <v>240</v>
      </c>
      <c r="HU3654" s="5" t="s">
        <v>240</v>
      </c>
      <c r="HV3654" s="5" t="s">
        <v>240</v>
      </c>
      <c r="HW3654" s="5" t="s">
        <v>240</v>
      </c>
      <c r="HX3654" s="5" t="s">
        <v>240</v>
      </c>
      <c r="HY3654" s="5" t="s">
        <v>240</v>
      </c>
      <c r="HZ3654" s="5" t="s">
        <v>240</v>
      </c>
      <c r="IA3654" s="5" t="s">
        <v>240</v>
      </c>
      <c r="IB3654" s="5" t="s">
        <v>240</v>
      </c>
      <c r="IC3654" s="5" t="s">
        <v>240</v>
      </c>
      <c r="ID3654" s="5" t="s">
        <v>240</v>
      </c>
      <c r="IE3654" s="5" t="s">
        <v>240</v>
      </c>
      <c r="IF3654" s="5" t="s">
        <v>240</v>
      </c>
    </row>
    <row r="3655" spans="1:240" x14ac:dyDescent="0.4">
      <c r="A3655" s="5">
        <v>9197</v>
      </c>
      <c r="B3655" s="5">
        <v>1</v>
      </c>
      <c r="C3655" s="5">
        <v>1</v>
      </c>
      <c r="D3655" s="5" t="s">
        <v>723</v>
      </c>
      <c r="E3655" s="5" t="s">
        <v>725</v>
      </c>
      <c r="F3655" s="5" t="s">
        <v>254</v>
      </c>
      <c r="G3655" s="5" t="s">
        <v>726</v>
      </c>
      <c r="H3655" s="6" t="s">
        <v>6377</v>
      </c>
      <c r="I3655" s="5" t="s">
        <v>6376</v>
      </c>
      <c r="J3655" s="7">
        <f>1</f>
        <v>1</v>
      </c>
      <c r="K3655" s="5" t="s">
        <v>3682</v>
      </c>
      <c r="L3655" s="7">
        <f>1</f>
        <v>1</v>
      </c>
      <c r="M3655" s="7">
        <f>1</f>
        <v>1</v>
      </c>
      <c r="N3655" s="5" t="s">
        <v>242</v>
      </c>
      <c r="O3655" s="5">
        <v>1</v>
      </c>
      <c r="P3655" s="5" t="s">
        <v>294</v>
      </c>
      <c r="Q3655" s="5" t="s">
        <v>266</v>
      </c>
      <c r="R3655" s="5" t="s">
        <v>240</v>
      </c>
      <c r="S3655" s="5" t="s">
        <v>240</v>
      </c>
      <c r="T3655" s="5" t="s">
        <v>243</v>
      </c>
      <c r="U3655" s="5" t="s">
        <v>240</v>
      </c>
      <c r="V3655" s="5" t="s">
        <v>240</v>
      </c>
      <c r="Y3655" s="5" t="s">
        <v>240</v>
      </c>
      <c r="Z3655" s="6" t="s">
        <v>6476</v>
      </c>
      <c r="AB3655" s="6" t="s">
        <v>240</v>
      </c>
      <c r="AE3655" s="6" t="s">
        <v>1825</v>
      </c>
      <c r="AF3655" s="5" t="s">
        <v>248</v>
      </c>
      <c r="AG3655" s="5" t="s">
        <v>249</v>
      </c>
      <c r="AW3655" s="5" t="s">
        <v>251</v>
      </c>
      <c r="AX3655" s="5" t="s">
        <v>240</v>
      </c>
      <c r="AY3655" s="5" t="s">
        <v>253</v>
      </c>
      <c r="AZ3655" s="5" t="s">
        <v>240</v>
      </c>
      <c r="BA3655" s="5" t="s">
        <v>255</v>
      </c>
      <c r="BB3655" s="5" t="s">
        <v>240</v>
      </c>
      <c r="BD3655" s="5" t="s">
        <v>240</v>
      </c>
      <c r="BF3655" s="5" t="s">
        <v>687</v>
      </c>
      <c r="BG3655" s="6" t="s">
        <v>6476</v>
      </c>
      <c r="BH3655" s="5" t="s">
        <v>302</v>
      </c>
      <c r="BI3655" s="5" t="s">
        <v>448</v>
      </c>
      <c r="BJ3655" s="5" t="s">
        <v>240</v>
      </c>
      <c r="BK3655" s="8">
        <f>0</f>
        <v>0</v>
      </c>
      <c r="BL3655" s="7">
        <f>0</f>
        <v>0</v>
      </c>
      <c r="BM3655" s="5" t="s">
        <v>258</v>
      </c>
      <c r="BN3655" s="5" t="s">
        <v>259</v>
      </c>
      <c r="CB3655" s="5" t="s">
        <v>240</v>
      </c>
      <c r="CC3655" s="5" t="s">
        <v>240</v>
      </c>
      <c r="CG3655" s="5" t="s">
        <v>449</v>
      </c>
      <c r="CH3655" s="5" t="s">
        <v>305</v>
      </c>
      <c r="CI3655" s="5" t="s">
        <v>240</v>
      </c>
      <c r="CL3655" s="6" t="s">
        <v>261</v>
      </c>
      <c r="CM3655" s="5" t="s">
        <v>240</v>
      </c>
      <c r="CN3655" s="5" t="s">
        <v>263</v>
      </c>
      <c r="CO3655" s="5" t="s">
        <v>240</v>
      </c>
      <c r="CP3655" s="5" t="s">
        <v>240</v>
      </c>
      <c r="CQ3655" s="5">
        <v>0</v>
      </c>
      <c r="CR3655" s="5" t="s">
        <v>306</v>
      </c>
      <c r="CS3655" s="5" t="s">
        <v>307</v>
      </c>
      <c r="CT3655" s="5" t="s">
        <v>307</v>
      </c>
      <c r="CU3655" s="5" t="s">
        <v>260</v>
      </c>
      <c r="CX3655" s="7">
        <f>339360</f>
        <v>339360</v>
      </c>
      <c r="CY3655" s="7">
        <f>0</f>
        <v>0</v>
      </c>
      <c r="DA3655" s="7">
        <f>0</f>
        <v>0</v>
      </c>
      <c r="DC3655" s="5" t="s">
        <v>450</v>
      </c>
      <c r="DD3655" s="5" t="s">
        <v>240</v>
      </c>
      <c r="DF3655" s="5" t="s">
        <v>450</v>
      </c>
      <c r="DG3655" s="7">
        <f>169.68</f>
        <v>169.68</v>
      </c>
      <c r="DI3655" s="5" t="s">
        <v>240</v>
      </c>
      <c r="DJ3655" s="5" t="s">
        <v>240</v>
      </c>
      <c r="DK3655" s="5" t="s">
        <v>240</v>
      </c>
      <c r="DL3655" s="5" t="s">
        <v>240</v>
      </c>
      <c r="DP3655" s="5" t="s">
        <v>240</v>
      </c>
      <c r="DQ3655" s="5" t="s">
        <v>240</v>
      </c>
      <c r="DR3655" s="5" t="s">
        <v>240</v>
      </c>
      <c r="DS3655" s="5" t="s">
        <v>240</v>
      </c>
      <c r="DV3655" s="5" t="s">
        <v>310</v>
      </c>
      <c r="DW3655" s="5" t="s">
        <v>2359</v>
      </c>
      <c r="HO3655" s="5" t="s">
        <v>312</v>
      </c>
    </row>
    <row r="3656" spans="1:240" x14ac:dyDescent="0.4">
      <c r="A3656" s="5">
        <v>9198</v>
      </c>
      <c r="B3656" s="5">
        <v>1</v>
      </c>
      <c r="C3656" s="5">
        <v>1</v>
      </c>
      <c r="D3656" s="5" t="s">
        <v>723</v>
      </c>
      <c r="E3656" s="5" t="s">
        <v>725</v>
      </c>
      <c r="F3656" s="5" t="s">
        <v>254</v>
      </c>
      <c r="G3656" s="5" t="s">
        <v>726</v>
      </c>
      <c r="H3656" s="6" t="s">
        <v>5670</v>
      </c>
      <c r="I3656" s="5" t="s">
        <v>5669</v>
      </c>
      <c r="J3656" s="7">
        <f>1</f>
        <v>1</v>
      </c>
      <c r="K3656" s="5" t="s">
        <v>3682</v>
      </c>
      <c r="L3656" s="7">
        <f>1</f>
        <v>1</v>
      </c>
      <c r="M3656" s="7">
        <f>1</f>
        <v>1</v>
      </c>
      <c r="N3656" s="5" t="s">
        <v>242</v>
      </c>
      <c r="O3656" s="5">
        <v>1</v>
      </c>
      <c r="P3656" s="5" t="s">
        <v>294</v>
      </c>
      <c r="Q3656" s="5" t="s">
        <v>266</v>
      </c>
      <c r="R3656" s="5" t="s">
        <v>240</v>
      </c>
      <c r="S3656" s="5" t="s">
        <v>240</v>
      </c>
      <c r="T3656" s="5" t="s">
        <v>243</v>
      </c>
      <c r="U3656" s="5" t="s">
        <v>244</v>
      </c>
      <c r="V3656" s="5" t="s">
        <v>240</v>
      </c>
      <c r="Y3656" s="5" t="s">
        <v>240</v>
      </c>
      <c r="Z3656" s="6" t="s">
        <v>6479</v>
      </c>
      <c r="AB3656" s="6" t="s">
        <v>240</v>
      </c>
      <c r="AE3656" s="6" t="s">
        <v>299</v>
      </c>
      <c r="AF3656" s="5" t="s">
        <v>248</v>
      </c>
      <c r="AG3656" s="5" t="s">
        <v>249</v>
      </c>
      <c r="AW3656" s="5" t="s">
        <v>251</v>
      </c>
      <c r="AX3656" s="5" t="s">
        <v>240</v>
      </c>
      <c r="AY3656" s="5" t="s">
        <v>253</v>
      </c>
      <c r="AZ3656" s="5" t="s">
        <v>240</v>
      </c>
      <c r="BA3656" s="5" t="s">
        <v>255</v>
      </c>
      <c r="BB3656" s="5" t="s">
        <v>240</v>
      </c>
      <c r="BD3656" s="5" t="s">
        <v>240</v>
      </c>
      <c r="BF3656" s="5" t="s">
        <v>301</v>
      </c>
      <c r="BG3656" s="6" t="s">
        <v>6479</v>
      </c>
      <c r="BH3656" s="5" t="s">
        <v>302</v>
      </c>
      <c r="BI3656" s="5" t="s">
        <v>448</v>
      </c>
      <c r="BJ3656" s="5" t="s">
        <v>240</v>
      </c>
      <c r="BK3656" s="8">
        <f>0</f>
        <v>0</v>
      </c>
      <c r="BL3656" s="7">
        <f>0</f>
        <v>0</v>
      </c>
      <c r="BM3656" s="5" t="s">
        <v>258</v>
      </c>
      <c r="BN3656" s="5" t="s">
        <v>259</v>
      </c>
      <c r="CB3656" s="5" t="s">
        <v>240</v>
      </c>
      <c r="CC3656" s="5" t="s">
        <v>240</v>
      </c>
      <c r="CG3656" s="5" t="s">
        <v>449</v>
      </c>
      <c r="CH3656" s="5" t="s">
        <v>305</v>
      </c>
      <c r="CI3656" s="5" t="s">
        <v>240</v>
      </c>
      <c r="CL3656" s="6" t="s">
        <v>261</v>
      </c>
      <c r="CM3656" s="5" t="s">
        <v>240</v>
      </c>
      <c r="CN3656" s="5" t="s">
        <v>263</v>
      </c>
      <c r="CO3656" s="5" t="s">
        <v>240</v>
      </c>
      <c r="CP3656" s="5" t="s">
        <v>240</v>
      </c>
      <c r="CQ3656" s="5">
        <v>0</v>
      </c>
      <c r="CR3656" s="5" t="s">
        <v>306</v>
      </c>
      <c r="CS3656" s="5" t="s">
        <v>307</v>
      </c>
      <c r="CT3656" s="5" t="s">
        <v>307</v>
      </c>
      <c r="CU3656" s="5" t="s">
        <v>260</v>
      </c>
      <c r="CX3656" s="7">
        <f>343100</f>
        <v>343100</v>
      </c>
      <c r="CY3656" s="7">
        <f>0</f>
        <v>0</v>
      </c>
      <c r="DA3656" s="7">
        <f>0</f>
        <v>0</v>
      </c>
      <c r="DC3656" s="5" t="s">
        <v>450</v>
      </c>
      <c r="DD3656" s="5" t="s">
        <v>240</v>
      </c>
      <c r="DF3656" s="5" t="s">
        <v>450</v>
      </c>
      <c r="DG3656" s="7">
        <f>71.65</f>
        <v>71.650000000000006</v>
      </c>
      <c r="DI3656" s="5" t="s">
        <v>240</v>
      </c>
      <c r="DJ3656" s="5" t="s">
        <v>240</v>
      </c>
      <c r="DK3656" s="5" t="s">
        <v>240</v>
      </c>
      <c r="DL3656" s="5" t="s">
        <v>240</v>
      </c>
      <c r="DP3656" s="5" t="s">
        <v>240</v>
      </c>
      <c r="DQ3656" s="5" t="s">
        <v>240</v>
      </c>
      <c r="DR3656" s="5" t="s">
        <v>240</v>
      </c>
      <c r="DS3656" s="5" t="s">
        <v>240</v>
      </c>
      <c r="DV3656" s="5" t="s">
        <v>310</v>
      </c>
      <c r="DW3656" s="5" t="s">
        <v>2574</v>
      </c>
      <c r="HO3656" s="5" t="s">
        <v>312</v>
      </c>
    </row>
    <row r="3657" spans="1:240" x14ac:dyDescent="0.4">
      <c r="A3657" s="5">
        <v>9199</v>
      </c>
      <c r="B3657" s="5">
        <v>1</v>
      </c>
      <c r="C3657" s="5">
        <v>1</v>
      </c>
      <c r="D3657" s="5" t="s">
        <v>723</v>
      </c>
      <c r="E3657" s="5" t="s">
        <v>725</v>
      </c>
      <c r="F3657" s="5" t="s">
        <v>254</v>
      </c>
      <c r="G3657" s="5" t="s">
        <v>726</v>
      </c>
      <c r="H3657" s="6" t="s">
        <v>5668</v>
      </c>
      <c r="I3657" s="5" t="s">
        <v>5667</v>
      </c>
      <c r="J3657" s="7">
        <f>1</f>
        <v>1</v>
      </c>
      <c r="K3657" s="5" t="s">
        <v>3682</v>
      </c>
      <c r="L3657" s="7">
        <f>1</f>
        <v>1</v>
      </c>
      <c r="M3657" s="7">
        <f>1</f>
        <v>1</v>
      </c>
      <c r="N3657" s="5" t="s">
        <v>242</v>
      </c>
      <c r="O3657" s="5">
        <v>1</v>
      </c>
      <c r="P3657" s="5" t="s">
        <v>294</v>
      </c>
      <c r="Q3657" s="5" t="s">
        <v>266</v>
      </c>
      <c r="R3657" s="5" t="s">
        <v>240</v>
      </c>
      <c r="S3657" s="5" t="s">
        <v>240</v>
      </c>
      <c r="T3657" s="5" t="s">
        <v>243</v>
      </c>
      <c r="U3657" s="5" t="s">
        <v>240</v>
      </c>
      <c r="V3657" s="5" t="s">
        <v>240</v>
      </c>
      <c r="Y3657" s="5" t="s">
        <v>240</v>
      </c>
      <c r="Z3657" s="6" t="s">
        <v>6482</v>
      </c>
      <c r="AB3657" s="6" t="s">
        <v>240</v>
      </c>
      <c r="AE3657" s="6" t="s">
        <v>1825</v>
      </c>
      <c r="AF3657" s="5" t="s">
        <v>248</v>
      </c>
      <c r="AG3657" s="5" t="s">
        <v>249</v>
      </c>
      <c r="AW3657" s="5" t="s">
        <v>251</v>
      </c>
      <c r="AX3657" s="5" t="s">
        <v>240</v>
      </c>
      <c r="AY3657" s="5" t="s">
        <v>253</v>
      </c>
      <c r="AZ3657" s="5" t="s">
        <v>240</v>
      </c>
      <c r="BA3657" s="5" t="s">
        <v>255</v>
      </c>
      <c r="BB3657" s="5" t="s">
        <v>240</v>
      </c>
      <c r="BD3657" s="5" t="s">
        <v>240</v>
      </c>
      <c r="BF3657" s="5" t="s">
        <v>687</v>
      </c>
      <c r="BG3657" s="6" t="s">
        <v>6482</v>
      </c>
      <c r="BH3657" s="5" t="s">
        <v>302</v>
      </c>
      <c r="BI3657" s="5" t="s">
        <v>448</v>
      </c>
      <c r="BJ3657" s="5" t="s">
        <v>240</v>
      </c>
      <c r="BK3657" s="8">
        <f>0</f>
        <v>0</v>
      </c>
      <c r="BL3657" s="7">
        <f>0</f>
        <v>0</v>
      </c>
      <c r="BM3657" s="5" t="s">
        <v>258</v>
      </c>
      <c r="BN3657" s="5" t="s">
        <v>259</v>
      </c>
      <c r="CB3657" s="5" t="s">
        <v>240</v>
      </c>
      <c r="CC3657" s="5" t="s">
        <v>240</v>
      </c>
      <c r="CG3657" s="5" t="s">
        <v>449</v>
      </c>
      <c r="CH3657" s="5" t="s">
        <v>305</v>
      </c>
      <c r="CI3657" s="5" t="s">
        <v>240</v>
      </c>
      <c r="CL3657" s="6" t="s">
        <v>261</v>
      </c>
      <c r="CM3657" s="5" t="s">
        <v>240</v>
      </c>
      <c r="CN3657" s="5" t="s">
        <v>263</v>
      </c>
      <c r="CO3657" s="5" t="s">
        <v>240</v>
      </c>
      <c r="CP3657" s="5" t="s">
        <v>240</v>
      </c>
      <c r="CQ3657" s="5">
        <v>0</v>
      </c>
      <c r="CR3657" s="5" t="s">
        <v>306</v>
      </c>
      <c r="CS3657" s="5" t="s">
        <v>307</v>
      </c>
      <c r="CT3657" s="5" t="s">
        <v>307</v>
      </c>
      <c r="CU3657" s="5" t="s">
        <v>260</v>
      </c>
      <c r="CX3657" s="7">
        <f>1651230</f>
        <v>1651230</v>
      </c>
      <c r="CY3657" s="7">
        <f>0</f>
        <v>0</v>
      </c>
      <c r="DA3657" s="7">
        <f>0</f>
        <v>0</v>
      </c>
      <c r="DC3657" s="5" t="s">
        <v>450</v>
      </c>
      <c r="DD3657" s="5" t="s">
        <v>240</v>
      </c>
      <c r="DF3657" s="5" t="s">
        <v>450</v>
      </c>
      <c r="DG3657" s="7">
        <f>366.94</f>
        <v>366.94</v>
      </c>
      <c r="DI3657" s="5" t="s">
        <v>240</v>
      </c>
      <c r="DJ3657" s="5" t="s">
        <v>240</v>
      </c>
      <c r="DK3657" s="5" t="s">
        <v>240</v>
      </c>
      <c r="DL3657" s="5" t="s">
        <v>240</v>
      </c>
      <c r="DP3657" s="5" t="s">
        <v>240</v>
      </c>
      <c r="DQ3657" s="5" t="s">
        <v>240</v>
      </c>
      <c r="DR3657" s="5" t="s">
        <v>240</v>
      </c>
      <c r="DS3657" s="5" t="s">
        <v>240</v>
      </c>
      <c r="DV3657" s="5" t="s">
        <v>310</v>
      </c>
      <c r="DW3657" s="5" t="s">
        <v>2355</v>
      </c>
      <c r="HO3657" s="5" t="s">
        <v>312</v>
      </c>
    </row>
    <row r="3658" spans="1:240" x14ac:dyDescent="0.4">
      <c r="A3658" s="5">
        <v>9200</v>
      </c>
      <c r="B3658" s="5">
        <v>1</v>
      </c>
      <c r="C3658" s="5">
        <v>1</v>
      </c>
      <c r="D3658" s="5" t="s">
        <v>723</v>
      </c>
      <c r="E3658" s="5" t="s">
        <v>725</v>
      </c>
      <c r="F3658" s="5" t="s">
        <v>254</v>
      </c>
      <c r="G3658" s="5" t="s">
        <v>5665</v>
      </c>
      <c r="H3658" s="6" t="s">
        <v>5666</v>
      </c>
      <c r="I3658" s="5" t="s">
        <v>5664</v>
      </c>
      <c r="J3658" s="7">
        <f>1</f>
        <v>1</v>
      </c>
      <c r="K3658" s="5" t="s">
        <v>3682</v>
      </c>
      <c r="L3658" s="7">
        <f>1</f>
        <v>1</v>
      </c>
      <c r="M3658" s="7">
        <f>1</f>
        <v>1</v>
      </c>
      <c r="N3658" s="5" t="s">
        <v>242</v>
      </c>
      <c r="O3658" s="5">
        <v>1</v>
      </c>
      <c r="P3658" s="5" t="s">
        <v>294</v>
      </c>
      <c r="Q3658" s="5" t="s">
        <v>3678</v>
      </c>
      <c r="R3658" s="5" t="s">
        <v>240</v>
      </c>
      <c r="S3658" s="5" t="s">
        <v>240</v>
      </c>
      <c r="T3658" s="5" t="s">
        <v>243</v>
      </c>
      <c r="U3658" s="5" t="s">
        <v>244</v>
      </c>
      <c r="V3658" s="5" t="s">
        <v>240</v>
      </c>
      <c r="W3658" s="5" t="s">
        <v>240</v>
      </c>
      <c r="X3658" s="5" t="s">
        <v>240</v>
      </c>
      <c r="Y3658" s="5" t="s">
        <v>240</v>
      </c>
      <c r="Z3658" s="6" t="s">
        <v>298</v>
      </c>
      <c r="AA3658" s="6" t="s">
        <v>240</v>
      </c>
      <c r="AB3658" s="6" t="s">
        <v>240</v>
      </c>
      <c r="AC3658" s="5" t="s">
        <v>240</v>
      </c>
      <c r="AD3658" s="6" t="s">
        <v>240</v>
      </c>
      <c r="AE3658" s="6" t="s">
        <v>299</v>
      </c>
      <c r="AF3658" s="5" t="s">
        <v>248</v>
      </c>
      <c r="AG3658" s="5" t="s">
        <v>249</v>
      </c>
      <c r="AH3658" s="5" t="s">
        <v>240</v>
      </c>
      <c r="AI3658" s="5" t="s">
        <v>240</v>
      </c>
      <c r="AJ3658" s="5" t="s">
        <v>240</v>
      </c>
      <c r="AK3658" s="5" t="s">
        <v>240</v>
      </c>
      <c r="AL3658" s="5" t="s">
        <v>240</v>
      </c>
      <c r="AM3658" s="5" t="s">
        <v>240</v>
      </c>
      <c r="AN3658" s="5" t="s">
        <v>240</v>
      </c>
      <c r="AO3658" s="5" t="s">
        <v>240</v>
      </c>
      <c r="AP3658" s="6" t="s">
        <v>240</v>
      </c>
      <c r="AQ3658" s="6" t="s">
        <v>240</v>
      </c>
      <c r="AR3658" s="6" t="s">
        <v>240</v>
      </c>
      <c r="AS3658" s="6" t="s">
        <v>240</v>
      </c>
      <c r="AT3658" s="5" t="s">
        <v>240</v>
      </c>
      <c r="AU3658" s="5" t="s">
        <v>729</v>
      </c>
      <c r="AV3658" s="5" t="s">
        <v>729</v>
      </c>
      <c r="AW3658" s="5" t="s">
        <v>251</v>
      </c>
      <c r="AX3658" s="5" t="s">
        <v>252</v>
      </c>
      <c r="AY3658" s="5" t="s">
        <v>253</v>
      </c>
      <c r="AZ3658" s="5" t="s">
        <v>6046</v>
      </c>
      <c r="BA3658" s="5" t="s">
        <v>255</v>
      </c>
      <c r="BB3658" s="5" t="s">
        <v>731</v>
      </c>
      <c r="BD3658" s="5" t="s">
        <v>240</v>
      </c>
      <c r="BF3658" s="5" t="s">
        <v>732</v>
      </c>
      <c r="BG3658" s="6" t="s">
        <v>733</v>
      </c>
      <c r="BH3658" s="5" t="s">
        <v>734</v>
      </c>
      <c r="BI3658" s="5" t="s">
        <v>734</v>
      </c>
      <c r="BJ3658" s="5" t="s">
        <v>240</v>
      </c>
      <c r="BK3658" s="7">
        <f>1</f>
        <v>1</v>
      </c>
      <c r="BL3658" s="7">
        <f>1</f>
        <v>1</v>
      </c>
      <c r="BM3658" s="5" t="s">
        <v>258</v>
      </c>
      <c r="BN3658" s="5" t="s">
        <v>259</v>
      </c>
      <c r="BO3658" s="5" t="s">
        <v>240</v>
      </c>
      <c r="BP3658" s="5" t="s">
        <v>240</v>
      </c>
      <c r="BQ3658" s="5" t="s">
        <v>240</v>
      </c>
      <c r="BR3658" s="5" t="s">
        <v>240</v>
      </c>
      <c r="BS3658" s="5" t="s">
        <v>240</v>
      </c>
      <c r="BT3658" s="5" t="s">
        <v>240</v>
      </c>
      <c r="BU3658" s="5" t="s">
        <v>240</v>
      </c>
      <c r="BV3658" s="5" t="s">
        <v>240</v>
      </c>
      <c r="BW3658" s="6" t="s">
        <v>240</v>
      </c>
      <c r="BX3658" s="5" t="s">
        <v>240</v>
      </c>
      <c r="BY3658" s="5" t="s">
        <v>240</v>
      </c>
      <c r="BZ3658" s="5" t="s">
        <v>240</v>
      </c>
      <c r="CA3658" s="5" t="s">
        <v>259</v>
      </c>
      <c r="CB3658" s="5" t="s">
        <v>240</v>
      </c>
      <c r="CC3658" s="5" t="s">
        <v>240</v>
      </c>
      <c r="CD3658" s="5" t="s">
        <v>240</v>
      </c>
      <c r="CE3658" s="5" t="s">
        <v>240</v>
      </c>
      <c r="CF3658" s="5" t="s">
        <v>240</v>
      </c>
      <c r="CG3658" s="5" t="s">
        <v>304</v>
      </c>
      <c r="CH3658" s="5" t="s">
        <v>305</v>
      </c>
      <c r="CI3658" s="5" t="s">
        <v>260</v>
      </c>
      <c r="CK3658" s="5" t="s">
        <v>3681</v>
      </c>
      <c r="CL3658" s="6" t="s">
        <v>261</v>
      </c>
      <c r="CM3658" s="5" t="s">
        <v>262</v>
      </c>
      <c r="CN3658" s="5" t="s">
        <v>263</v>
      </c>
      <c r="CO3658" s="5" t="s">
        <v>264</v>
      </c>
      <c r="CP3658" s="5" t="s">
        <v>240</v>
      </c>
      <c r="CQ3658" s="5">
        <v>0</v>
      </c>
      <c r="CR3658" s="5" t="s">
        <v>735</v>
      </c>
      <c r="CS3658" s="5" t="s">
        <v>307</v>
      </c>
      <c r="CT3658" s="5" t="s">
        <v>307</v>
      </c>
      <c r="CU3658" s="5" t="s">
        <v>260</v>
      </c>
      <c r="CV3658" s="5" t="s">
        <v>612</v>
      </c>
      <c r="CW3658" s="8">
        <f>1</f>
        <v>1</v>
      </c>
      <c r="CX3658" s="7">
        <f>1</f>
        <v>1</v>
      </c>
      <c r="CY3658" s="7">
        <f>0</f>
        <v>0</v>
      </c>
      <c r="DA3658" s="7">
        <f>1</f>
        <v>1</v>
      </c>
      <c r="DB3658" s="7" t="s">
        <v>240</v>
      </c>
      <c r="DC3658" s="5" t="s">
        <v>240</v>
      </c>
      <c r="DD3658" s="5" t="s">
        <v>240</v>
      </c>
      <c r="DE3658" s="5" t="s">
        <v>240</v>
      </c>
      <c r="DF3658" s="5" t="s">
        <v>240</v>
      </c>
      <c r="DG3658" s="7">
        <f>0</f>
        <v>0</v>
      </c>
      <c r="DI3658" s="5" t="s">
        <v>240</v>
      </c>
      <c r="DJ3658" s="5" t="s">
        <v>240</v>
      </c>
      <c r="DK3658" s="5" t="s">
        <v>240</v>
      </c>
      <c r="DL3658" s="5" t="s">
        <v>240</v>
      </c>
      <c r="DM3658" s="5" t="s">
        <v>240</v>
      </c>
      <c r="DN3658" s="5" t="s">
        <v>240</v>
      </c>
      <c r="DO3658" s="7" t="s">
        <v>240</v>
      </c>
      <c r="DP3658" s="5" t="s">
        <v>240</v>
      </c>
      <c r="DQ3658" s="5" t="s">
        <v>248</v>
      </c>
      <c r="DR3658" s="5" t="s">
        <v>731</v>
      </c>
      <c r="DS3658" s="5" t="s">
        <v>731</v>
      </c>
      <c r="DT3658" s="5" t="s">
        <v>240</v>
      </c>
      <c r="DU3658" s="5" t="s">
        <v>240</v>
      </c>
      <c r="DV3658" s="5" t="s">
        <v>6047</v>
      </c>
      <c r="DW3658" s="5" t="s">
        <v>1260</v>
      </c>
      <c r="DX3658" s="5" t="s">
        <v>240</v>
      </c>
      <c r="DY3658" s="5" t="s">
        <v>240</v>
      </c>
      <c r="DZ3658" s="5" t="s">
        <v>240</v>
      </c>
      <c r="EA3658" s="5" t="s">
        <v>240</v>
      </c>
      <c r="EB3658" s="5" t="s">
        <v>240</v>
      </c>
      <c r="EC3658" s="5" t="s">
        <v>240</v>
      </c>
      <c r="ED3658" s="5" t="s">
        <v>240</v>
      </c>
      <c r="EE3658" s="5" t="s">
        <v>240</v>
      </c>
      <c r="EF3658" s="5" t="s">
        <v>240</v>
      </c>
      <c r="EG3658" s="5" t="s">
        <v>240</v>
      </c>
      <c r="EH3658" s="5" t="s">
        <v>240</v>
      </c>
      <c r="EI3658" s="5" t="s">
        <v>240</v>
      </c>
      <c r="EJ3658" s="5" t="s">
        <v>240</v>
      </c>
      <c r="EK3658" s="5" t="s">
        <v>240</v>
      </c>
      <c r="EL3658" s="5" t="s">
        <v>240</v>
      </c>
      <c r="EM3658" s="5" t="s">
        <v>240</v>
      </c>
      <c r="EN3658" s="5" t="s">
        <v>240</v>
      </c>
      <c r="EO3658" s="5" t="s">
        <v>240</v>
      </c>
      <c r="EP3658" s="5" t="s">
        <v>240</v>
      </c>
      <c r="EQ3658" s="5" t="s">
        <v>240</v>
      </c>
      <c r="ER3658" s="5" t="s">
        <v>240</v>
      </c>
      <c r="ES3658" s="5" t="s">
        <v>240</v>
      </c>
      <c r="ET3658" s="5" t="s">
        <v>240</v>
      </c>
      <c r="EU3658" s="5" t="s">
        <v>240</v>
      </c>
      <c r="EV3658" s="5" t="s">
        <v>240</v>
      </c>
      <c r="EW3658" s="5" t="s">
        <v>240</v>
      </c>
      <c r="EX3658" s="5" t="s">
        <v>240</v>
      </c>
      <c r="EY3658" s="5" t="s">
        <v>240</v>
      </c>
      <c r="EZ3658" s="5" t="s">
        <v>240</v>
      </c>
      <c r="FA3658" s="5" t="s">
        <v>240</v>
      </c>
      <c r="FB3658" s="5" t="s">
        <v>240</v>
      </c>
      <c r="FC3658" s="5" t="s">
        <v>240</v>
      </c>
      <c r="FD3658" s="5" t="s">
        <v>240</v>
      </c>
      <c r="FE3658" s="5" t="s">
        <v>240</v>
      </c>
      <c r="FF3658" s="5" t="s">
        <v>240</v>
      </c>
      <c r="FG3658" s="5" t="s">
        <v>240</v>
      </c>
      <c r="FH3658" s="5" t="s">
        <v>240</v>
      </c>
      <c r="FI3658" s="5" t="s">
        <v>240</v>
      </c>
      <c r="FJ3658" s="5" t="s">
        <v>240</v>
      </c>
      <c r="FK3658" s="5" t="s">
        <v>240</v>
      </c>
      <c r="FL3658" s="5" t="s">
        <v>240</v>
      </c>
      <c r="FM3658" s="5" t="s">
        <v>240</v>
      </c>
      <c r="FN3658" s="5" t="s">
        <v>240</v>
      </c>
      <c r="FO3658" s="5" t="s">
        <v>240</v>
      </c>
      <c r="FP3658" s="5" t="s">
        <v>240</v>
      </c>
      <c r="FQ3658" s="5" t="s">
        <v>240</v>
      </c>
      <c r="FR3658" s="5" t="s">
        <v>240</v>
      </c>
      <c r="FS3658" s="5" t="s">
        <v>240</v>
      </c>
      <c r="FT3658" s="5" t="s">
        <v>240</v>
      </c>
      <c r="FU3658" s="5" t="s">
        <v>240</v>
      </c>
      <c r="FV3658" s="5" t="s">
        <v>240</v>
      </c>
      <c r="FW3658" s="5" t="s">
        <v>240</v>
      </c>
      <c r="FX3658" s="5" t="s">
        <v>240</v>
      </c>
      <c r="FY3658" s="5" t="s">
        <v>240</v>
      </c>
      <c r="FZ3658" s="5" t="s">
        <v>240</v>
      </c>
      <c r="GA3658" s="5" t="s">
        <v>240</v>
      </c>
      <c r="GB3658" s="5" t="s">
        <v>240</v>
      </c>
      <c r="GC3658" s="5" t="s">
        <v>240</v>
      </c>
      <c r="GD3658" s="5" t="s">
        <v>240</v>
      </c>
      <c r="GE3658" s="5" t="s">
        <v>240</v>
      </c>
      <c r="GF3658" s="5" t="s">
        <v>240</v>
      </c>
      <c r="GG3658" s="5" t="s">
        <v>240</v>
      </c>
      <c r="GH3658" s="5" t="s">
        <v>240</v>
      </c>
      <c r="GI3658" s="5" t="s">
        <v>240</v>
      </c>
      <c r="GJ3658" s="5" t="s">
        <v>240</v>
      </c>
      <c r="GK3658" s="5" t="s">
        <v>240</v>
      </c>
      <c r="GL3658" s="5" t="s">
        <v>240</v>
      </c>
      <c r="GM3658" s="5" t="s">
        <v>240</v>
      </c>
      <c r="GN3658" s="5" t="s">
        <v>240</v>
      </c>
      <c r="GO3658" s="5" t="s">
        <v>240</v>
      </c>
      <c r="GP3658" s="5" t="s">
        <v>240</v>
      </c>
      <c r="GQ3658" s="5" t="s">
        <v>240</v>
      </c>
      <c r="GR3658" s="5" t="s">
        <v>240</v>
      </c>
      <c r="GS3658" s="5" t="s">
        <v>240</v>
      </c>
      <c r="GT3658" s="5" t="s">
        <v>240</v>
      </c>
      <c r="GU3658" s="5" t="s">
        <v>240</v>
      </c>
      <c r="GV3658" s="5" t="s">
        <v>240</v>
      </c>
      <c r="GW3658" s="5" t="s">
        <v>240</v>
      </c>
      <c r="GX3658" s="5" t="s">
        <v>240</v>
      </c>
      <c r="GY3658" s="5" t="s">
        <v>240</v>
      </c>
      <c r="GZ3658" s="5" t="s">
        <v>240</v>
      </c>
      <c r="HA3658" s="5" t="s">
        <v>240</v>
      </c>
      <c r="HB3658" s="5" t="s">
        <v>240</v>
      </c>
      <c r="HC3658" s="5" t="s">
        <v>240</v>
      </c>
      <c r="HD3658" s="5" t="s">
        <v>240</v>
      </c>
      <c r="HE3658" s="5" t="s">
        <v>240</v>
      </c>
      <c r="HF3658" s="5" t="s">
        <v>240</v>
      </c>
      <c r="HG3658" s="5" t="s">
        <v>240</v>
      </c>
      <c r="HH3658" s="5" t="s">
        <v>240</v>
      </c>
      <c r="HI3658" s="5" t="s">
        <v>240</v>
      </c>
      <c r="HJ3658" s="5" t="s">
        <v>240</v>
      </c>
      <c r="HK3658" s="5" t="s">
        <v>240</v>
      </c>
      <c r="HL3658" s="5" t="s">
        <v>240</v>
      </c>
      <c r="HM3658" s="5" t="s">
        <v>240</v>
      </c>
      <c r="HN3658" s="5" t="s">
        <v>240</v>
      </c>
      <c r="HO3658" s="5" t="s">
        <v>240</v>
      </c>
      <c r="HP3658" s="5" t="s">
        <v>240</v>
      </c>
      <c r="HQ3658" s="5" t="s">
        <v>240</v>
      </c>
      <c r="HR3658" s="5" t="s">
        <v>240</v>
      </c>
      <c r="HS3658" s="5" t="s">
        <v>240</v>
      </c>
      <c r="HT3658" s="5" t="s">
        <v>240</v>
      </c>
      <c r="HU3658" s="5" t="s">
        <v>240</v>
      </c>
      <c r="HV3658" s="5" t="s">
        <v>240</v>
      </c>
      <c r="HW3658" s="5" t="s">
        <v>240</v>
      </c>
      <c r="HX3658" s="5" t="s">
        <v>240</v>
      </c>
      <c r="HY3658" s="5" t="s">
        <v>240</v>
      </c>
      <c r="HZ3658" s="5" t="s">
        <v>240</v>
      </c>
      <c r="IA3658" s="5" t="s">
        <v>240</v>
      </c>
      <c r="IB3658" s="5" t="s">
        <v>240</v>
      </c>
      <c r="IC3658" s="5" t="s">
        <v>240</v>
      </c>
      <c r="ID3658" s="5" t="s">
        <v>240</v>
      </c>
      <c r="IE3658" s="5" t="s">
        <v>240</v>
      </c>
      <c r="IF3658" s="5" t="s">
        <v>240</v>
      </c>
    </row>
    <row r="3659" spans="1:240" x14ac:dyDescent="0.4">
      <c r="A3659" s="5">
        <v>9201</v>
      </c>
      <c r="B3659" s="5">
        <v>1</v>
      </c>
      <c r="C3659" s="5">
        <v>1</v>
      </c>
      <c r="D3659" s="5" t="s">
        <v>723</v>
      </c>
      <c r="E3659" s="5" t="s">
        <v>725</v>
      </c>
      <c r="F3659" s="5" t="s">
        <v>254</v>
      </c>
      <c r="G3659" s="5" t="s">
        <v>726</v>
      </c>
      <c r="H3659" s="6" t="s">
        <v>6374</v>
      </c>
      <c r="I3659" s="5" t="s">
        <v>6373</v>
      </c>
      <c r="J3659" s="7">
        <f>1</f>
        <v>1</v>
      </c>
      <c r="K3659" s="5" t="s">
        <v>3682</v>
      </c>
      <c r="L3659" s="7">
        <f>1</f>
        <v>1</v>
      </c>
      <c r="M3659" s="7">
        <f>1</f>
        <v>1</v>
      </c>
      <c r="N3659" s="5" t="s">
        <v>242</v>
      </c>
      <c r="O3659" s="5">
        <v>1</v>
      </c>
      <c r="P3659" s="5" t="s">
        <v>294</v>
      </c>
      <c r="Q3659" s="5" t="s">
        <v>266</v>
      </c>
      <c r="R3659" s="5" t="s">
        <v>240</v>
      </c>
      <c r="S3659" s="5" t="s">
        <v>240</v>
      </c>
      <c r="T3659" s="5" t="s">
        <v>243</v>
      </c>
      <c r="U3659" s="5" t="s">
        <v>240</v>
      </c>
      <c r="V3659" s="5" t="s">
        <v>240</v>
      </c>
      <c r="Y3659" s="5" t="s">
        <v>240</v>
      </c>
      <c r="Z3659" s="6" t="s">
        <v>5135</v>
      </c>
      <c r="AB3659" s="6" t="s">
        <v>240</v>
      </c>
      <c r="AE3659" s="6" t="s">
        <v>1825</v>
      </c>
      <c r="AF3659" s="5" t="s">
        <v>248</v>
      </c>
      <c r="AG3659" s="5" t="s">
        <v>249</v>
      </c>
      <c r="AW3659" s="5" t="s">
        <v>251</v>
      </c>
      <c r="AX3659" s="5" t="s">
        <v>240</v>
      </c>
      <c r="AY3659" s="5" t="s">
        <v>253</v>
      </c>
      <c r="AZ3659" s="5" t="s">
        <v>240</v>
      </c>
      <c r="BA3659" s="5" t="s">
        <v>255</v>
      </c>
      <c r="BB3659" s="5" t="s">
        <v>240</v>
      </c>
      <c r="BD3659" s="5" t="s">
        <v>240</v>
      </c>
      <c r="BF3659" s="5" t="s">
        <v>687</v>
      </c>
      <c r="BG3659" s="6" t="s">
        <v>5135</v>
      </c>
      <c r="BH3659" s="5" t="s">
        <v>302</v>
      </c>
      <c r="BI3659" s="5" t="s">
        <v>448</v>
      </c>
      <c r="BJ3659" s="5" t="s">
        <v>240</v>
      </c>
      <c r="BK3659" s="8">
        <f>0</f>
        <v>0</v>
      </c>
      <c r="BL3659" s="7">
        <f>0</f>
        <v>0</v>
      </c>
      <c r="BM3659" s="5" t="s">
        <v>258</v>
      </c>
      <c r="BN3659" s="5" t="s">
        <v>259</v>
      </c>
      <c r="CB3659" s="5" t="s">
        <v>240</v>
      </c>
      <c r="CC3659" s="5" t="s">
        <v>240</v>
      </c>
      <c r="CG3659" s="5" t="s">
        <v>449</v>
      </c>
      <c r="CH3659" s="5" t="s">
        <v>305</v>
      </c>
      <c r="CI3659" s="5" t="s">
        <v>240</v>
      </c>
      <c r="CL3659" s="6" t="s">
        <v>261</v>
      </c>
      <c r="CM3659" s="5" t="s">
        <v>240</v>
      </c>
      <c r="CN3659" s="5" t="s">
        <v>263</v>
      </c>
      <c r="CO3659" s="5" t="s">
        <v>240</v>
      </c>
      <c r="CP3659" s="5" t="s">
        <v>240</v>
      </c>
      <c r="CQ3659" s="5">
        <v>0</v>
      </c>
      <c r="CR3659" s="5" t="s">
        <v>306</v>
      </c>
      <c r="CS3659" s="5" t="s">
        <v>307</v>
      </c>
      <c r="CT3659" s="5" t="s">
        <v>307</v>
      </c>
      <c r="CU3659" s="5" t="s">
        <v>260</v>
      </c>
      <c r="CX3659" s="7">
        <f>334286</f>
        <v>334286</v>
      </c>
      <c r="CY3659" s="7">
        <f>0</f>
        <v>0</v>
      </c>
      <c r="DA3659" s="7">
        <f>0</f>
        <v>0</v>
      </c>
      <c r="DC3659" s="5" t="s">
        <v>450</v>
      </c>
      <c r="DD3659" s="5" t="s">
        <v>240</v>
      </c>
      <c r="DF3659" s="5" t="s">
        <v>450</v>
      </c>
      <c r="DG3659" s="7">
        <f>0</f>
        <v>0</v>
      </c>
      <c r="DI3659" s="5" t="s">
        <v>240</v>
      </c>
      <c r="DJ3659" s="5" t="s">
        <v>240</v>
      </c>
      <c r="DK3659" s="5" t="s">
        <v>240</v>
      </c>
      <c r="DL3659" s="5" t="s">
        <v>240</v>
      </c>
      <c r="DP3659" s="5" t="s">
        <v>240</v>
      </c>
      <c r="DQ3659" s="5" t="s">
        <v>240</v>
      </c>
      <c r="DR3659" s="5" t="s">
        <v>240</v>
      </c>
      <c r="DS3659" s="5" t="s">
        <v>240</v>
      </c>
      <c r="DV3659" s="5" t="s">
        <v>310</v>
      </c>
      <c r="DW3659" s="5" t="s">
        <v>2353</v>
      </c>
      <c r="HO3659" s="5" t="s">
        <v>312</v>
      </c>
    </row>
    <row r="3660" spans="1:240" x14ac:dyDescent="0.4">
      <c r="A3660" s="5">
        <v>9202</v>
      </c>
      <c r="B3660" s="5">
        <v>1</v>
      </c>
      <c r="C3660" s="5">
        <v>1</v>
      </c>
      <c r="D3660" s="5" t="s">
        <v>723</v>
      </c>
      <c r="E3660" s="5" t="s">
        <v>725</v>
      </c>
      <c r="F3660" s="5" t="s">
        <v>254</v>
      </c>
      <c r="G3660" s="5" t="s">
        <v>726</v>
      </c>
      <c r="H3660" s="6" t="s">
        <v>5662</v>
      </c>
      <c r="I3660" s="5" t="s">
        <v>5661</v>
      </c>
      <c r="J3660" s="7">
        <f>1</f>
        <v>1</v>
      </c>
      <c r="K3660" s="5" t="s">
        <v>3682</v>
      </c>
      <c r="L3660" s="7">
        <f>1</f>
        <v>1</v>
      </c>
      <c r="M3660" s="7">
        <f>1</f>
        <v>1</v>
      </c>
      <c r="N3660" s="5" t="s">
        <v>242</v>
      </c>
      <c r="O3660" s="5">
        <v>1</v>
      </c>
      <c r="P3660" s="5" t="s">
        <v>294</v>
      </c>
      <c r="Q3660" s="5" t="s">
        <v>266</v>
      </c>
      <c r="R3660" s="5" t="s">
        <v>240</v>
      </c>
      <c r="S3660" s="5" t="s">
        <v>240</v>
      </c>
      <c r="T3660" s="5" t="s">
        <v>243</v>
      </c>
      <c r="U3660" s="5" t="s">
        <v>244</v>
      </c>
      <c r="V3660" s="5" t="s">
        <v>240</v>
      </c>
      <c r="Y3660" s="5" t="s">
        <v>240</v>
      </c>
      <c r="Z3660" s="6" t="s">
        <v>6489</v>
      </c>
      <c r="AB3660" s="6" t="s">
        <v>240</v>
      </c>
      <c r="AE3660" s="6" t="s">
        <v>299</v>
      </c>
      <c r="AF3660" s="5" t="s">
        <v>248</v>
      </c>
      <c r="AG3660" s="5" t="s">
        <v>249</v>
      </c>
      <c r="AW3660" s="5" t="s">
        <v>251</v>
      </c>
      <c r="AX3660" s="5" t="s">
        <v>240</v>
      </c>
      <c r="AY3660" s="5" t="s">
        <v>253</v>
      </c>
      <c r="AZ3660" s="5" t="s">
        <v>240</v>
      </c>
      <c r="BA3660" s="5" t="s">
        <v>255</v>
      </c>
      <c r="BB3660" s="5" t="s">
        <v>240</v>
      </c>
      <c r="BD3660" s="5" t="s">
        <v>240</v>
      </c>
      <c r="BF3660" s="5" t="s">
        <v>301</v>
      </c>
      <c r="BG3660" s="6" t="s">
        <v>6489</v>
      </c>
      <c r="BH3660" s="5" t="s">
        <v>302</v>
      </c>
      <c r="BI3660" s="5" t="s">
        <v>448</v>
      </c>
      <c r="BJ3660" s="5" t="s">
        <v>240</v>
      </c>
      <c r="BK3660" s="8">
        <f>0</f>
        <v>0</v>
      </c>
      <c r="BL3660" s="7">
        <f>0</f>
        <v>0</v>
      </c>
      <c r="BM3660" s="5" t="s">
        <v>258</v>
      </c>
      <c r="BN3660" s="5" t="s">
        <v>259</v>
      </c>
      <c r="CB3660" s="5" t="s">
        <v>240</v>
      </c>
      <c r="CC3660" s="5" t="s">
        <v>240</v>
      </c>
      <c r="CG3660" s="5" t="s">
        <v>449</v>
      </c>
      <c r="CH3660" s="5" t="s">
        <v>305</v>
      </c>
      <c r="CI3660" s="5" t="s">
        <v>240</v>
      </c>
      <c r="CL3660" s="6" t="s">
        <v>261</v>
      </c>
      <c r="CM3660" s="5" t="s">
        <v>240</v>
      </c>
      <c r="CN3660" s="5" t="s">
        <v>263</v>
      </c>
      <c r="CO3660" s="5" t="s">
        <v>240</v>
      </c>
      <c r="CP3660" s="5" t="s">
        <v>240</v>
      </c>
      <c r="CQ3660" s="5">
        <v>0</v>
      </c>
      <c r="CR3660" s="5" t="s">
        <v>306</v>
      </c>
      <c r="CS3660" s="5" t="s">
        <v>307</v>
      </c>
      <c r="CT3660" s="5" t="s">
        <v>307</v>
      </c>
      <c r="CU3660" s="5" t="s">
        <v>260</v>
      </c>
      <c r="CX3660" s="7">
        <f>12842982</f>
        <v>12842982</v>
      </c>
      <c r="CY3660" s="7">
        <f>0</f>
        <v>0</v>
      </c>
      <c r="DA3660" s="7">
        <f>0</f>
        <v>0</v>
      </c>
      <c r="DC3660" s="5" t="s">
        <v>450</v>
      </c>
      <c r="DD3660" s="5" t="s">
        <v>240</v>
      </c>
      <c r="DF3660" s="5" t="s">
        <v>450</v>
      </c>
      <c r="DG3660" s="7">
        <f>1477.89</f>
        <v>1477.89</v>
      </c>
      <c r="DI3660" s="5" t="s">
        <v>240</v>
      </c>
      <c r="DJ3660" s="5" t="s">
        <v>240</v>
      </c>
      <c r="DK3660" s="5" t="s">
        <v>240</v>
      </c>
      <c r="DL3660" s="5" t="s">
        <v>240</v>
      </c>
      <c r="DP3660" s="5" t="s">
        <v>240</v>
      </c>
      <c r="DQ3660" s="5" t="s">
        <v>240</v>
      </c>
      <c r="DR3660" s="5" t="s">
        <v>240</v>
      </c>
      <c r="DS3660" s="5" t="s">
        <v>240</v>
      </c>
      <c r="DV3660" s="5" t="s">
        <v>310</v>
      </c>
      <c r="DW3660" s="5" t="s">
        <v>2570</v>
      </c>
      <c r="HO3660" s="5" t="s">
        <v>312</v>
      </c>
    </row>
    <row r="3661" spans="1:240" x14ac:dyDescent="0.4">
      <c r="A3661" s="5">
        <v>9203</v>
      </c>
      <c r="B3661" s="5">
        <v>1</v>
      </c>
      <c r="C3661" s="5">
        <v>1</v>
      </c>
      <c r="D3661" s="5" t="s">
        <v>723</v>
      </c>
      <c r="E3661" s="5" t="s">
        <v>725</v>
      </c>
      <c r="F3661" s="5" t="s">
        <v>254</v>
      </c>
      <c r="G3661" s="5" t="s">
        <v>6371</v>
      </c>
      <c r="H3661" s="6" t="s">
        <v>6372</v>
      </c>
      <c r="I3661" s="5" t="s">
        <v>6370</v>
      </c>
      <c r="J3661" s="7">
        <f>1</f>
        <v>1</v>
      </c>
      <c r="K3661" s="5" t="s">
        <v>3682</v>
      </c>
      <c r="L3661" s="7">
        <f>1</f>
        <v>1</v>
      </c>
      <c r="M3661" s="7">
        <f>1</f>
        <v>1</v>
      </c>
      <c r="N3661" s="5" t="s">
        <v>242</v>
      </c>
      <c r="O3661" s="5">
        <v>1</v>
      </c>
      <c r="P3661" s="5" t="s">
        <v>294</v>
      </c>
      <c r="Q3661" s="5" t="s">
        <v>266</v>
      </c>
      <c r="R3661" s="5" t="s">
        <v>240</v>
      </c>
      <c r="S3661" s="5" t="s">
        <v>240</v>
      </c>
      <c r="T3661" s="5" t="s">
        <v>243</v>
      </c>
      <c r="U3661" s="5" t="s">
        <v>240</v>
      </c>
      <c r="V3661" s="5" t="s">
        <v>240</v>
      </c>
      <c r="Y3661" s="5" t="s">
        <v>240</v>
      </c>
      <c r="Z3661" s="6" t="s">
        <v>6492</v>
      </c>
      <c r="AB3661" s="6" t="s">
        <v>240</v>
      </c>
      <c r="AE3661" s="6" t="s">
        <v>1825</v>
      </c>
      <c r="AF3661" s="5" t="s">
        <v>248</v>
      </c>
      <c r="AG3661" s="5" t="s">
        <v>249</v>
      </c>
      <c r="AW3661" s="5" t="s">
        <v>251</v>
      </c>
      <c r="AX3661" s="5" t="s">
        <v>240</v>
      </c>
      <c r="AY3661" s="5" t="s">
        <v>253</v>
      </c>
      <c r="AZ3661" s="5" t="s">
        <v>240</v>
      </c>
      <c r="BA3661" s="5" t="s">
        <v>255</v>
      </c>
      <c r="BB3661" s="5" t="s">
        <v>240</v>
      </c>
      <c r="BD3661" s="5" t="s">
        <v>240</v>
      </c>
      <c r="BF3661" s="5" t="s">
        <v>687</v>
      </c>
      <c r="BG3661" s="6" t="s">
        <v>6492</v>
      </c>
      <c r="BH3661" s="5" t="s">
        <v>302</v>
      </c>
      <c r="BI3661" s="5" t="s">
        <v>448</v>
      </c>
      <c r="BJ3661" s="5" t="s">
        <v>240</v>
      </c>
      <c r="BK3661" s="8">
        <f>0</f>
        <v>0</v>
      </c>
      <c r="BL3661" s="7">
        <f>0</f>
        <v>0</v>
      </c>
      <c r="BM3661" s="5" t="s">
        <v>258</v>
      </c>
      <c r="BN3661" s="5" t="s">
        <v>259</v>
      </c>
      <c r="CB3661" s="5" t="s">
        <v>240</v>
      </c>
      <c r="CC3661" s="5" t="s">
        <v>240</v>
      </c>
      <c r="CG3661" s="5" t="s">
        <v>449</v>
      </c>
      <c r="CH3661" s="5" t="s">
        <v>305</v>
      </c>
      <c r="CI3661" s="5" t="s">
        <v>240</v>
      </c>
      <c r="CL3661" s="6" t="s">
        <v>261</v>
      </c>
      <c r="CM3661" s="5" t="s">
        <v>240</v>
      </c>
      <c r="CN3661" s="5" t="s">
        <v>263</v>
      </c>
      <c r="CO3661" s="5" t="s">
        <v>240</v>
      </c>
      <c r="CP3661" s="5" t="s">
        <v>240</v>
      </c>
      <c r="CQ3661" s="5">
        <v>0</v>
      </c>
      <c r="CR3661" s="5" t="s">
        <v>306</v>
      </c>
      <c r="CS3661" s="5" t="s">
        <v>307</v>
      </c>
      <c r="CT3661" s="5" t="s">
        <v>307</v>
      </c>
      <c r="CU3661" s="5" t="s">
        <v>260</v>
      </c>
      <c r="CX3661" s="7">
        <f>1711157</f>
        <v>1711157</v>
      </c>
      <c r="CY3661" s="7">
        <f>0</f>
        <v>0</v>
      </c>
      <c r="DA3661" s="7">
        <f>0</f>
        <v>0</v>
      </c>
      <c r="DC3661" s="5" t="s">
        <v>450</v>
      </c>
      <c r="DD3661" s="5" t="s">
        <v>240</v>
      </c>
      <c r="DF3661" s="5" t="s">
        <v>450</v>
      </c>
      <c r="DG3661" s="7">
        <f>0</f>
        <v>0</v>
      </c>
      <c r="DI3661" s="5" t="s">
        <v>240</v>
      </c>
      <c r="DJ3661" s="5" t="s">
        <v>240</v>
      </c>
      <c r="DK3661" s="5" t="s">
        <v>240</v>
      </c>
      <c r="DL3661" s="5" t="s">
        <v>240</v>
      </c>
      <c r="DP3661" s="5" t="s">
        <v>240</v>
      </c>
      <c r="DQ3661" s="5" t="s">
        <v>240</v>
      </c>
      <c r="DR3661" s="5" t="s">
        <v>240</v>
      </c>
      <c r="DS3661" s="5" t="s">
        <v>240</v>
      </c>
      <c r="DV3661" s="5" t="s">
        <v>310</v>
      </c>
      <c r="DW3661" s="5" t="s">
        <v>4658</v>
      </c>
      <c r="HO3661" s="5" t="s">
        <v>312</v>
      </c>
    </row>
    <row r="3662" spans="1:240" x14ac:dyDescent="0.4">
      <c r="A3662" s="5">
        <v>9204</v>
      </c>
      <c r="B3662" s="5">
        <v>1</v>
      </c>
      <c r="C3662" s="5">
        <v>1</v>
      </c>
      <c r="D3662" s="5" t="s">
        <v>723</v>
      </c>
      <c r="E3662" s="5" t="s">
        <v>725</v>
      </c>
      <c r="F3662" s="5" t="s">
        <v>254</v>
      </c>
      <c r="G3662" s="5" t="s">
        <v>5658</v>
      </c>
      <c r="H3662" s="6" t="s">
        <v>5659</v>
      </c>
      <c r="I3662" s="5" t="s">
        <v>5657</v>
      </c>
      <c r="J3662" s="7">
        <f>1</f>
        <v>1</v>
      </c>
      <c r="K3662" s="5" t="s">
        <v>3682</v>
      </c>
      <c r="L3662" s="7">
        <f>1</f>
        <v>1</v>
      </c>
      <c r="M3662" s="7">
        <f>1</f>
        <v>1</v>
      </c>
      <c r="N3662" s="5" t="s">
        <v>242</v>
      </c>
      <c r="O3662" s="5">
        <v>1</v>
      </c>
      <c r="P3662" s="5" t="s">
        <v>294</v>
      </c>
      <c r="Q3662" s="5" t="s">
        <v>266</v>
      </c>
      <c r="R3662" s="5" t="s">
        <v>240</v>
      </c>
      <c r="S3662" s="5" t="s">
        <v>240</v>
      </c>
      <c r="T3662" s="5" t="s">
        <v>296</v>
      </c>
      <c r="U3662" s="5" t="s">
        <v>240</v>
      </c>
      <c r="V3662" s="5" t="s">
        <v>240</v>
      </c>
      <c r="Y3662" s="5" t="s">
        <v>240</v>
      </c>
      <c r="Z3662" s="6" t="s">
        <v>2104</v>
      </c>
      <c r="AB3662" s="6" t="s">
        <v>240</v>
      </c>
      <c r="AE3662" s="6" t="s">
        <v>1825</v>
      </c>
      <c r="AF3662" s="5" t="s">
        <v>248</v>
      </c>
      <c r="AG3662" s="5" t="s">
        <v>249</v>
      </c>
      <c r="AW3662" s="5" t="s">
        <v>251</v>
      </c>
      <c r="AX3662" s="5" t="s">
        <v>240</v>
      </c>
      <c r="AY3662" s="5" t="s">
        <v>253</v>
      </c>
      <c r="AZ3662" s="5" t="s">
        <v>240</v>
      </c>
      <c r="BA3662" s="5" t="s">
        <v>255</v>
      </c>
      <c r="BB3662" s="5" t="s">
        <v>240</v>
      </c>
      <c r="BD3662" s="5" t="s">
        <v>240</v>
      </c>
      <c r="BF3662" s="5" t="s">
        <v>687</v>
      </c>
      <c r="BG3662" s="6" t="s">
        <v>2104</v>
      </c>
      <c r="BH3662" s="5" t="s">
        <v>302</v>
      </c>
      <c r="BI3662" s="5" t="s">
        <v>448</v>
      </c>
      <c r="BJ3662" s="5" t="s">
        <v>240</v>
      </c>
      <c r="BK3662" s="8">
        <f>0</f>
        <v>0</v>
      </c>
      <c r="BL3662" s="7">
        <f>0</f>
        <v>0</v>
      </c>
      <c r="BM3662" s="5" t="s">
        <v>258</v>
      </c>
      <c r="BN3662" s="5" t="s">
        <v>259</v>
      </c>
      <c r="CB3662" s="5" t="s">
        <v>240</v>
      </c>
      <c r="CC3662" s="5" t="s">
        <v>240</v>
      </c>
      <c r="CG3662" s="5" t="s">
        <v>449</v>
      </c>
      <c r="CH3662" s="5" t="s">
        <v>305</v>
      </c>
      <c r="CI3662" s="5" t="s">
        <v>240</v>
      </c>
      <c r="CL3662" s="6" t="s">
        <v>261</v>
      </c>
      <c r="CM3662" s="5" t="s">
        <v>240</v>
      </c>
      <c r="CN3662" s="5" t="s">
        <v>263</v>
      </c>
      <c r="CO3662" s="5" t="s">
        <v>240</v>
      </c>
      <c r="CP3662" s="5" t="s">
        <v>240</v>
      </c>
      <c r="CQ3662" s="5">
        <v>0</v>
      </c>
      <c r="CR3662" s="5" t="s">
        <v>306</v>
      </c>
      <c r="CS3662" s="5" t="s">
        <v>307</v>
      </c>
      <c r="CT3662" s="5" t="s">
        <v>307</v>
      </c>
      <c r="CU3662" s="5" t="s">
        <v>260</v>
      </c>
      <c r="CX3662" s="7">
        <f>192918</f>
        <v>192918</v>
      </c>
      <c r="CY3662" s="7">
        <f>0</f>
        <v>0</v>
      </c>
      <c r="DA3662" s="7">
        <f>0</f>
        <v>0</v>
      </c>
      <c r="DC3662" s="5" t="s">
        <v>309</v>
      </c>
      <c r="DD3662" s="5" t="s">
        <v>240</v>
      </c>
      <c r="DF3662" s="5" t="s">
        <v>843</v>
      </c>
      <c r="DG3662" s="7">
        <f>8.14</f>
        <v>8.14</v>
      </c>
      <c r="DI3662" s="5" t="s">
        <v>240</v>
      </c>
      <c r="DJ3662" s="5" t="s">
        <v>240</v>
      </c>
      <c r="DK3662" s="5" t="s">
        <v>240</v>
      </c>
      <c r="DL3662" s="5" t="s">
        <v>240</v>
      </c>
      <c r="DP3662" s="5" t="s">
        <v>240</v>
      </c>
      <c r="DQ3662" s="5" t="s">
        <v>240</v>
      </c>
      <c r="DR3662" s="5" t="s">
        <v>240</v>
      </c>
      <c r="DS3662" s="5" t="s">
        <v>240</v>
      </c>
      <c r="DV3662" s="5" t="s">
        <v>310</v>
      </c>
      <c r="DW3662" s="5" t="s">
        <v>2350</v>
      </c>
      <c r="HO3662" s="5" t="s">
        <v>312</v>
      </c>
    </row>
    <row r="3663" spans="1:240" x14ac:dyDescent="0.4">
      <c r="A3663" s="5">
        <v>9205</v>
      </c>
      <c r="B3663" s="5">
        <v>1</v>
      </c>
      <c r="C3663" s="5">
        <v>1</v>
      </c>
      <c r="D3663" s="5" t="s">
        <v>723</v>
      </c>
      <c r="E3663" s="5" t="s">
        <v>725</v>
      </c>
      <c r="F3663" s="5" t="s">
        <v>254</v>
      </c>
      <c r="G3663" s="5" t="s">
        <v>726</v>
      </c>
      <c r="H3663" s="6" t="s">
        <v>6369</v>
      </c>
      <c r="I3663" s="5" t="s">
        <v>6368</v>
      </c>
      <c r="J3663" s="7">
        <f>1</f>
        <v>1</v>
      </c>
      <c r="K3663" s="5" t="s">
        <v>3682</v>
      </c>
      <c r="L3663" s="7">
        <f>1</f>
        <v>1</v>
      </c>
      <c r="M3663" s="7">
        <f>1</f>
        <v>1</v>
      </c>
      <c r="N3663" s="5" t="s">
        <v>242</v>
      </c>
      <c r="O3663" s="5">
        <v>1</v>
      </c>
      <c r="P3663" s="5" t="s">
        <v>294</v>
      </c>
      <c r="Q3663" s="5" t="s">
        <v>266</v>
      </c>
      <c r="R3663" s="5" t="s">
        <v>240</v>
      </c>
      <c r="S3663" s="5" t="s">
        <v>240</v>
      </c>
      <c r="T3663" s="5" t="s">
        <v>296</v>
      </c>
      <c r="U3663" s="5" t="s">
        <v>244</v>
      </c>
      <c r="V3663" s="5" t="s">
        <v>240</v>
      </c>
      <c r="Y3663" s="5" t="s">
        <v>240</v>
      </c>
      <c r="Z3663" s="6" t="s">
        <v>298</v>
      </c>
      <c r="AB3663" s="6" t="s">
        <v>240</v>
      </c>
      <c r="AE3663" s="6" t="s">
        <v>299</v>
      </c>
      <c r="AF3663" s="5" t="s">
        <v>248</v>
      </c>
      <c r="AG3663" s="5" t="s">
        <v>249</v>
      </c>
      <c r="AW3663" s="5" t="s">
        <v>251</v>
      </c>
      <c r="AX3663" s="5" t="s">
        <v>240</v>
      </c>
      <c r="AY3663" s="5" t="s">
        <v>253</v>
      </c>
      <c r="AZ3663" s="5" t="s">
        <v>240</v>
      </c>
      <c r="BA3663" s="5" t="s">
        <v>255</v>
      </c>
      <c r="BB3663" s="5" t="s">
        <v>240</v>
      </c>
      <c r="BD3663" s="5" t="s">
        <v>240</v>
      </c>
      <c r="BF3663" s="5" t="s">
        <v>301</v>
      </c>
      <c r="BG3663" s="6" t="s">
        <v>299</v>
      </c>
      <c r="BH3663" s="5" t="s">
        <v>302</v>
      </c>
      <c r="BI3663" s="5" t="s">
        <v>303</v>
      </c>
      <c r="BJ3663" s="5" t="s">
        <v>240</v>
      </c>
      <c r="BK3663" s="8">
        <f>0</f>
        <v>0</v>
      </c>
      <c r="BL3663" s="7">
        <f>0</f>
        <v>0</v>
      </c>
      <c r="BM3663" s="5" t="s">
        <v>258</v>
      </c>
      <c r="BN3663" s="5" t="s">
        <v>259</v>
      </c>
      <c r="CB3663" s="5" t="s">
        <v>240</v>
      </c>
      <c r="CC3663" s="5" t="s">
        <v>240</v>
      </c>
      <c r="CG3663" s="5" t="s">
        <v>304</v>
      </c>
      <c r="CH3663" s="5" t="s">
        <v>305</v>
      </c>
      <c r="CI3663" s="5" t="s">
        <v>240</v>
      </c>
      <c r="CL3663" s="6" t="s">
        <v>261</v>
      </c>
      <c r="CM3663" s="5" t="s">
        <v>240</v>
      </c>
      <c r="CN3663" s="5" t="s">
        <v>263</v>
      </c>
      <c r="CO3663" s="5" t="s">
        <v>240</v>
      </c>
      <c r="CP3663" s="5" t="s">
        <v>240</v>
      </c>
      <c r="CQ3663" s="5">
        <v>0</v>
      </c>
      <c r="CR3663" s="5" t="s">
        <v>306</v>
      </c>
      <c r="CS3663" s="5" t="s">
        <v>307</v>
      </c>
      <c r="CT3663" s="5" t="s">
        <v>307</v>
      </c>
      <c r="CU3663" s="5" t="s">
        <v>260</v>
      </c>
      <c r="CX3663" s="7">
        <f>1</f>
        <v>1</v>
      </c>
      <c r="CY3663" s="7">
        <f>0</f>
        <v>0</v>
      </c>
      <c r="DA3663" s="7">
        <f>0</f>
        <v>0</v>
      </c>
      <c r="DC3663" s="5" t="s">
        <v>309</v>
      </c>
      <c r="DD3663" s="5" t="s">
        <v>240</v>
      </c>
      <c r="DF3663" s="5" t="s">
        <v>309</v>
      </c>
      <c r="DG3663" s="7">
        <f>125</f>
        <v>125</v>
      </c>
      <c r="DI3663" s="5" t="s">
        <v>240</v>
      </c>
      <c r="DJ3663" s="5" t="s">
        <v>240</v>
      </c>
      <c r="DK3663" s="5" t="s">
        <v>240</v>
      </c>
      <c r="DL3663" s="5" t="s">
        <v>240</v>
      </c>
      <c r="DP3663" s="5" t="s">
        <v>240</v>
      </c>
      <c r="DQ3663" s="5" t="s">
        <v>240</v>
      </c>
      <c r="DR3663" s="5" t="s">
        <v>240</v>
      </c>
      <c r="DS3663" s="5" t="s">
        <v>240</v>
      </c>
      <c r="DV3663" s="5" t="s">
        <v>310</v>
      </c>
      <c r="DW3663" s="5" t="s">
        <v>4095</v>
      </c>
      <c r="HO3663" s="5" t="s">
        <v>312</v>
      </c>
    </row>
    <row r="3664" spans="1:240" x14ac:dyDescent="0.4">
      <c r="A3664" s="5">
        <v>9206</v>
      </c>
      <c r="B3664" s="5">
        <v>1</v>
      </c>
      <c r="C3664" s="5">
        <v>1</v>
      </c>
      <c r="D3664" s="5" t="s">
        <v>723</v>
      </c>
      <c r="E3664" s="5" t="s">
        <v>725</v>
      </c>
      <c r="F3664" s="5" t="s">
        <v>254</v>
      </c>
      <c r="G3664" s="5" t="s">
        <v>726</v>
      </c>
      <c r="H3664" s="6" t="s">
        <v>5655</v>
      </c>
      <c r="I3664" s="5" t="s">
        <v>5654</v>
      </c>
      <c r="J3664" s="7">
        <f>1</f>
        <v>1</v>
      </c>
      <c r="K3664" s="5" t="s">
        <v>3682</v>
      </c>
      <c r="L3664" s="7">
        <f>1</f>
        <v>1</v>
      </c>
      <c r="M3664" s="7">
        <f>1</f>
        <v>1</v>
      </c>
      <c r="N3664" s="5" t="s">
        <v>242</v>
      </c>
      <c r="O3664" s="5">
        <v>1</v>
      </c>
      <c r="P3664" s="5" t="s">
        <v>294</v>
      </c>
      <c r="Q3664" s="5" t="s">
        <v>266</v>
      </c>
      <c r="R3664" s="5" t="s">
        <v>240</v>
      </c>
      <c r="S3664" s="5" t="s">
        <v>240</v>
      </c>
      <c r="T3664" s="5" t="s">
        <v>243</v>
      </c>
      <c r="U3664" s="5" t="s">
        <v>244</v>
      </c>
      <c r="V3664" s="5" t="s">
        <v>240</v>
      </c>
      <c r="Y3664" s="5" t="s">
        <v>240</v>
      </c>
      <c r="Z3664" s="6" t="s">
        <v>6496</v>
      </c>
      <c r="AB3664" s="6" t="s">
        <v>240</v>
      </c>
      <c r="AE3664" s="6" t="s">
        <v>299</v>
      </c>
      <c r="AF3664" s="5" t="s">
        <v>248</v>
      </c>
      <c r="AG3664" s="5" t="s">
        <v>249</v>
      </c>
      <c r="AW3664" s="5" t="s">
        <v>251</v>
      </c>
      <c r="AX3664" s="5" t="s">
        <v>240</v>
      </c>
      <c r="AY3664" s="5" t="s">
        <v>253</v>
      </c>
      <c r="AZ3664" s="5" t="s">
        <v>240</v>
      </c>
      <c r="BA3664" s="5" t="s">
        <v>255</v>
      </c>
      <c r="BB3664" s="5" t="s">
        <v>240</v>
      </c>
      <c r="BD3664" s="5" t="s">
        <v>240</v>
      </c>
      <c r="BF3664" s="5" t="s">
        <v>301</v>
      </c>
      <c r="BG3664" s="6" t="s">
        <v>6496</v>
      </c>
      <c r="BH3664" s="5" t="s">
        <v>302</v>
      </c>
      <c r="BI3664" s="5" t="s">
        <v>448</v>
      </c>
      <c r="BJ3664" s="5" t="s">
        <v>240</v>
      </c>
      <c r="BK3664" s="8">
        <f>0</f>
        <v>0</v>
      </c>
      <c r="BL3664" s="7">
        <f>0</f>
        <v>0</v>
      </c>
      <c r="BM3664" s="5" t="s">
        <v>258</v>
      </c>
      <c r="BN3664" s="5" t="s">
        <v>259</v>
      </c>
      <c r="CB3664" s="5" t="s">
        <v>240</v>
      </c>
      <c r="CC3664" s="5" t="s">
        <v>240</v>
      </c>
      <c r="CG3664" s="5" t="s">
        <v>449</v>
      </c>
      <c r="CH3664" s="5" t="s">
        <v>305</v>
      </c>
      <c r="CI3664" s="5" t="s">
        <v>240</v>
      </c>
      <c r="CL3664" s="6" t="s">
        <v>261</v>
      </c>
      <c r="CM3664" s="5" t="s">
        <v>240</v>
      </c>
      <c r="CN3664" s="5" t="s">
        <v>263</v>
      </c>
      <c r="CO3664" s="5" t="s">
        <v>240</v>
      </c>
      <c r="CP3664" s="5" t="s">
        <v>240</v>
      </c>
      <c r="CQ3664" s="5">
        <v>0</v>
      </c>
      <c r="CR3664" s="5" t="s">
        <v>306</v>
      </c>
      <c r="CS3664" s="5" t="s">
        <v>307</v>
      </c>
      <c r="CT3664" s="5" t="s">
        <v>307</v>
      </c>
      <c r="CU3664" s="5" t="s">
        <v>260</v>
      </c>
      <c r="CX3664" s="7">
        <f>14107612</f>
        <v>14107612</v>
      </c>
      <c r="CY3664" s="7">
        <f>0</f>
        <v>0</v>
      </c>
      <c r="DA3664" s="7">
        <f>0</f>
        <v>0</v>
      </c>
      <c r="DC3664" s="5" t="s">
        <v>450</v>
      </c>
      <c r="DD3664" s="5" t="s">
        <v>240</v>
      </c>
      <c r="DF3664" s="5" t="s">
        <v>450</v>
      </c>
      <c r="DG3664" s="7">
        <f>2314.82</f>
        <v>2314.8200000000002</v>
      </c>
      <c r="DI3664" s="5" t="s">
        <v>240</v>
      </c>
      <c r="DJ3664" s="5" t="s">
        <v>240</v>
      </c>
      <c r="DK3664" s="5" t="s">
        <v>240</v>
      </c>
      <c r="DL3664" s="5" t="s">
        <v>240</v>
      </c>
      <c r="DP3664" s="5" t="s">
        <v>240</v>
      </c>
      <c r="DQ3664" s="5" t="s">
        <v>240</v>
      </c>
      <c r="DR3664" s="5" t="s">
        <v>240</v>
      </c>
      <c r="DS3664" s="5" t="s">
        <v>240</v>
      </c>
      <c r="DV3664" s="5" t="s">
        <v>310</v>
      </c>
      <c r="DW3664" s="5" t="s">
        <v>2568</v>
      </c>
      <c r="HO3664" s="5" t="s">
        <v>312</v>
      </c>
    </row>
    <row r="3665" spans="1:240" x14ac:dyDescent="0.4">
      <c r="A3665" s="5">
        <v>9207</v>
      </c>
      <c r="B3665" s="5">
        <v>1</v>
      </c>
      <c r="C3665" s="5">
        <v>1</v>
      </c>
      <c r="D3665" s="5" t="s">
        <v>723</v>
      </c>
      <c r="E3665" s="5" t="s">
        <v>725</v>
      </c>
      <c r="F3665" s="5" t="s">
        <v>254</v>
      </c>
      <c r="G3665" s="5" t="s">
        <v>726</v>
      </c>
      <c r="H3665" s="6" t="s">
        <v>5653</v>
      </c>
      <c r="I3665" s="5" t="s">
        <v>5652</v>
      </c>
      <c r="J3665" s="7">
        <f>1</f>
        <v>1</v>
      </c>
      <c r="K3665" s="5" t="s">
        <v>3682</v>
      </c>
      <c r="L3665" s="7">
        <f>1</f>
        <v>1</v>
      </c>
      <c r="M3665" s="7">
        <f>1</f>
        <v>1</v>
      </c>
      <c r="N3665" s="5" t="s">
        <v>242</v>
      </c>
      <c r="O3665" s="5">
        <v>1</v>
      </c>
      <c r="P3665" s="5" t="s">
        <v>294</v>
      </c>
      <c r="Q3665" s="5" t="s">
        <v>266</v>
      </c>
      <c r="R3665" s="5" t="s">
        <v>240</v>
      </c>
      <c r="S3665" s="5" t="s">
        <v>240</v>
      </c>
      <c r="T3665" s="5" t="s">
        <v>243</v>
      </c>
      <c r="U3665" s="5" t="s">
        <v>244</v>
      </c>
      <c r="V3665" s="5" t="s">
        <v>240</v>
      </c>
      <c r="Y3665" s="5" t="s">
        <v>240</v>
      </c>
      <c r="Z3665" s="6" t="s">
        <v>445</v>
      </c>
      <c r="AB3665" s="6" t="s">
        <v>240</v>
      </c>
      <c r="AE3665" s="6" t="s">
        <v>299</v>
      </c>
      <c r="AF3665" s="5" t="s">
        <v>248</v>
      </c>
      <c r="AG3665" s="5" t="s">
        <v>249</v>
      </c>
      <c r="AW3665" s="5" t="s">
        <v>251</v>
      </c>
      <c r="AX3665" s="5" t="s">
        <v>240</v>
      </c>
      <c r="AY3665" s="5" t="s">
        <v>253</v>
      </c>
      <c r="AZ3665" s="5" t="s">
        <v>240</v>
      </c>
      <c r="BA3665" s="5" t="s">
        <v>255</v>
      </c>
      <c r="BB3665" s="5" t="s">
        <v>240</v>
      </c>
      <c r="BD3665" s="5" t="s">
        <v>240</v>
      </c>
      <c r="BF3665" s="5" t="s">
        <v>301</v>
      </c>
      <c r="BG3665" s="6" t="s">
        <v>445</v>
      </c>
      <c r="BH3665" s="5" t="s">
        <v>302</v>
      </c>
      <c r="BI3665" s="5" t="s">
        <v>448</v>
      </c>
      <c r="BJ3665" s="5" t="s">
        <v>240</v>
      </c>
      <c r="BK3665" s="8">
        <f>0</f>
        <v>0</v>
      </c>
      <c r="BL3665" s="7">
        <f>0</f>
        <v>0</v>
      </c>
      <c r="BM3665" s="5" t="s">
        <v>258</v>
      </c>
      <c r="BN3665" s="5" t="s">
        <v>259</v>
      </c>
      <c r="CB3665" s="5" t="s">
        <v>240</v>
      </c>
      <c r="CC3665" s="5" t="s">
        <v>240</v>
      </c>
      <c r="CG3665" s="5" t="s">
        <v>449</v>
      </c>
      <c r="CH3665" s="5" t="s">
        <v>305</v>
      </c>
      <c r="CI3665" s="5" t="s">
        <v>240</v>
      </c>
      <c r="CL3665" s="6" t="s">
        <v>261</v>
      </c>
      <c r="CM3665" s="5" t="s">
        <v>240</v>
      </c>
      <c r="CN3665" s="5" t="s">
        <v>263</v>
      </c>
      <c r="CO3665" s="5" t="s">
        <v>240</v>
      </c>
      <c r="CP3665" s="5" t="s">
        <v>240</v>
      </c>
      <c r="CQ3665" s="5">
        <v>0</v>
      </c>
      <c r="CR3665" s="5" t="s">
        <v>306</v>
      </c>
      <c r="CS3665" s="5" t="s">
        <v>307</v>
      </c>
      <c r="CT3665" s="5" t="s">
        <v>307</v>
      </c>
      <c r="CU3665" s="5" t="s">
        <v>260</v>
      </c>
      <c r="CX3665" s="7">
        <f>74457</f>
        <v>74457</v>
      </c>
      <c r="CY3665" s="7">
        <f>0</f>
        <v>0</v>
      </c>
      <c r="DA3665" s="7">
        <f>0</f>
        <v>0</v>
      </c>
      <c r="DC3665" s="5" t="s">
        <v>450</v>
      </c>
      <c r="DD3665" s="5" t="s">
        <v>240</v>
      </c>
      <c r="DF3665" s="5" t="s">
        <v>450</v>
      </c>
      <c r="DG3665" s="7">
        <f>12.97</f>
        <v>12.97</v>
      </c>
      <c r="DI3665" s="5" t="s">
        <v>240</v>
      </c>
      <c r="DJ3665" s="5" t="s">
        <v>240</v>
      </c>
      <c r="DK3665" s="5" t="s">
        <v>240</v>
      </c>
      <c r="DL3665" s="5" t="s">
        <v>240</v>
      </c>
      <c r="DP3665" s="5" t="s">
        <v>240</v>
      </c>
      <c r="DQ3665" s="5" t="s">
        <v>240</v>
      </c>
      <c r="DR3665" s="5" t="s">
        <v>240</v>
      </c>
      <c r="DS3665" s="5" t="s">
        <v>240</v>
      </c>
      <c r="DV3665" s="5" t="s">
        <v>310</v>
      </c>
      <c r="DW3665" s="5" t="s">
        <v>2566</v>
      </c>
      <c r="HO3665" s="5" t="s">
        <v>312</v>
      </c>
    </row>
    <row r="3666" spans="1:240" x14ac:dyDescent="0.4">
      <c r="A3666" s="5">
        <v>9208</v>
      </c>
      <c r="B3666" s="5">
        <v>1</v>
      </c>
      <c r="C3666" s="5">
        <v>1</v>
      </c>
      <c r="D3666" s="5" t="s">
        <v>723</v>
      </c>
      <c r="E3666" s="5" t="s">
        <v>725</v>
      </c>
      <c r="F3666" s="5" t="s">
        <v>254</v>
      </c>
      <c r="G3666" s="5" t="s">
        <v>726</v>
      </c>
      <c r="H3666" s="6" t="s">
        <v>5651</v>
      </c>
      <c r="I3666" s="5" t="s">
        <v>5650</v>
      </c>
      <c r="J3666" s="7">
        <f>1</f>
        <v>1</v>
      </c>
      <c r="K3666" s="5" t="s">
        <v>3682</v>
      </c>
      <c r="L3666" s="7">
        <f>1</f>
        <v>1</v>
      </c>
      <c r="M3666" s="7">
        <f>1</f>
        <v>1</v>
      </c>
      <c r="N3666" s="5" t="s">
        <v>242</v>
      </c>
      <c r="O3666" s="5">
        <v>1</v>
      </c>
      <c r="P3666" s="5" t="s">
        <v>294</v>
      </c>
      <c r="Q3666" s="5" t="s">
        <v>266</v>
      </c>
      <c r="R3666" s="5" t="s">
        <v>240</v>
      </c>
      <c r="S3666" s="5" t="s">
        <v>240</v>
      </c>
      <c r="T3666" s="5" t="s">
        <v>243</v>
      </c>
      <c r="U3666" s="5" t="s">
        <v>240</v>
      </c>
      <c r="V3666" s="5" t="s">
        <v>240</v>
      </c>
      <c r="Y3666" s="5" t="s">
        <v>240</v>
      </c>
      <c r="Z3666" s="6" t="s">
        <v>6500</v>
      </c>
      <c r="AB3666" s="6" t="s">
        <v>240</v>
      </c>
      <c r="AE3666" s="6" t="s">
        <v>1825</v>
      </c>
      <c r="AF3666" s="5" t="s">
        <v>248</v>
      </c>
      <c r="AG3666" s="5" t="s">
        <v>249</v>
      </c>
      <c r="AW3666" s="5" t="s">
        <v>251</v>
      </c>
      <c r="AX3666" s="5" t="s">
        <v>240</v>
      </c>
      <c r="AY3666" s="5" t="s">
        <v>253</v>
      </c>
      <c r="AZ3666" s="5" t="s">
        <v>240</v>
      </c>
      <c r="BA3666" s="5" t="s">
        <v>255</v>
      </c>
      <c r="BB3666" s="5" t="s">
        <v>240</v>
      </c>
      <c r="BD3666" s="5" t="s">
        <v>240</v>
      </c>
      <c r="BF3666" s="5" t="s">
        <v>687</v>
      </c>
      <c r="BG3666" s="6" t="s">
        <v>6500</v>
      </c>
      <c r="BH3666" s="5" t="s">
        <v>302</v>
      </c>
      <c r="BI3666" s="5" t="s">
        <v>448</v>
      </c>
      <c r="BJ3666" s="5" t="s">
        <v>240</v>
      </c>
      <c r="BK3666" s="8">
        <f>0</f>
        <v>0</v>
      </c>
      <c r="BL3666" s="7">
        <f>0</f>
        <v>0</v>
      </c>
      <c r="BM3666" s="5" t="s">
        <v>258</v>
      </c>
      <c r="BN3666" s="5" t="s">
        <v>259</v>
      </c>
      <c r="CB3666" s="5" t="s">
        <v>240</v>
      </c>
      <c r="CC3666" s="5" t="s">
        <v>240</v>
      </c>
      <c r="CG3666" s="5" t="s">
        <v>449</v>
      </c>
      <c r="CH3666" s="5" t="s">
        <v>305</v>
      </c>
      <c r="CI3666" s="5" t="s">
        <v>240</v>
      </c>
      <c r="CL3666" s="6" t="s">
        <v>261</v>
      </c>
      <c r="CM3666" s="5" t="s">
        <v>240</v>
      </c>
      <c r="CN3666" s="5" t="s">
        <v>263</v>
      </c>
      <c r="CO3666" s="5" t="s">
        <v>240</v>
      </c>
      <c r="CP3666" s="5" t="s">
        <v>240</v>
      </c>
      <c r="CQ3666" s="5">
        <v>0</v>
      </c>
      <c r="CR3666" s="5" t="s">
        <v>306</v>
      </c>
      <c r="CS3666" s="5" t="s">
        <v>307</v>
      </c>
      <c r="CT3666" s="5" t="s">
        <v>307</v>
      </c>
      <c r="CU3666" s="5" t="s">
        <v>260</v>
      </c>
      <c r="CX3666" s="7">
        <f>14714815</f>
        <v>14714815</v>
      </c>
      <c r="CY3666" s="7">
        <f>0</f>
        <v>0</v>
      </c>
      <c r="DA3666" s="7">
        <f>0</f>
        <v>0</v>
      </c>
      <c r="DC3666" s="5" t="s">
        <v>450</v>
      </c>
      <c r="DD3666" s="5" t="s">
        <v>240</v>
      </c>
      <c r="DF3666" s="5" t="s">
        <v>450</v>
      </c>
      <c r="DG3666" s="7">
        <f>0</f>
        <v>0</v>
      </c>
      <c r="DI3666" s="5" t="s">
        <v>240</v>
      </c>
      <c r="DJ3666" s="5" t="s">
        <v>240</v>
      </c>
      <c r="DK3666" s="5" t="s">
        <v>240</v>
      </c>
      <c r="DL3666" s="5" t="s">
        <v>240</v>
      </c>
      <c r="DP3666" s="5" t="s">
        <v>240</v>
      </c>
      <c r="DQ3666" s="5" t="s">
        <v>240</v>
      </c>
      <c r="DR3666" s="5" t="s">
        <v>240</v>
      </c>
      <c r="DS3666" s="5" t="s">
        <v>240</v>
      </c>
      <c r="DV3666" s="5" t="s">
        <v>310</v>
      </c>
      <c r="DW3666" s="5" t="s">
        <v>2347</v>
      </c>
      <c r="HO3666" s="5" t="s">
        <v>312</v>
      </c>
    </row>
    <row r="3667" spans="1:240" x14ac:dyDescent="0.4">
      <c r="A3667" s="5">
        <v>9209</v>
      </c>
      <c r="B3667" s="5">
        <v>1</v>
      </c>
      <c r="C3667" s="5">
        <v>1</v>
      </c>
      <c r="D3667" s="5" t="s">
        <v>723</v>
      </c>
      <c r="E3667" s="5" t="s">
        <v>725</v>
      </c>
      <c r="F3667" s="5" t="s">
        <v>254</v>
      </c>
      <c r="G3667" s="5" t="s">
        <v>726</v>
      </c>
      <c r="H3667" s="6" t="s">
        <v>6366</v>
      </c>
      <c r="I3667" s="5" t="s">
        <v>6365</v>
      </c>
      <c r="J3667" s="7">
        <f>1</f>
        <v>1</v>
      </c>
      <c r="K3667" s="5" t="s">
        <v>3682</v>
      </c>
      <c r="L3667" s="7">
        <f>1</f>
        <v>1</v>
      </c>
      <c r="M3667" s="7">
        <f>1</f>
        <v>1</v>
      </c>
      <c r="N3667" s="5" t="s">
        <v>242</v>
      </c>
      <c r="O3667" s="5">
        <v>1</v>
      </c>
      <c r="P3667" s="5" t="s">
        <v>294</v>
      </c>
      <c r="Q3667" s="5" t="s">
        <v>3678</v>
      </c>
      <c r="R3667" s="5" t="s">
        <v>240</v>
      </c>
      <c r="S3667" s="5" t="s">
        <v>240</v>
      </c>
      <c r="T3667" s="5" t="s">
        <v>243</v>
      </c>
      <c r="U3667" s="5" t="s">
        <v>244</v>
      </c>
      <c r="V3667" s="5" t="s">
        <v>240</v>
      </c>
      <c r="W3667" s="5" t="s">
        <v>240</v>
      </c>
      <c r="X3667" s="5" t="s">
        <v>240</v>
      </c>
      <c r="Y3667" s="5" t="s">
        <v>240</v>
      </c>
      <c r="Z3667" s="6" t="s">
        <v>298</v>
      </c>
      <c r="AA3667" s="6" t="s">
        <v>240</v>
      </c>
      <c r="AB3667" s="6" t="s">
        <v>240</v>
      </c>
      <c r="AC3667" s="5" t="s">
        <v>240</v>
      </c>
      <c r="AD3667" s="6" t="s">
        <v>240</v>
      </c>
      <c r="AE3667" s="6" t="s">
        <v>299</v>
      </c>
      <c r="AF3667" s="5" t="s">
        <v>248</v>
      </c>
      <c r="AG3667" s="5" t="s">
        <v>249</v>
      </c>
      <c r="AH3667" s="5" t="s">
        <v>240</v>
      </c>
      <c r="AI3667" s="5" t="s">
        <v>240</v>
      </c>
      <c r="AJ3667" s="5" t="s">
        <v>240</v>
      </c>
      <c r="AK3667" s="5" t="s">
        <v>240</v>
      </c>
      <c r="AL3667" s="5" t="s">
        <v>240</v>
      </c>
      <c r="AM3667" s="5" t="s">
        <v>240</v>
      </c>
      <c r="AN3667" s="5" t="s">
        <v>240</v>
      </c>
      <c r="AO3667" s="5" t="s">
        <v>240</v>
      </c>
      <c r="AP3667" s="6" t="s">
        <v>240</v>
      </c>
      <c r="AQ3667" s="6" t="s">
        <v>240</v>
      </c>
      <c r="AR3667" s="6" t="s">
        <v>240</v>
      </c>
      <c r="AS3667" s="6" t="s">
        <v>240</v>
      </c>
      <c r="AT3667" s="5" t="s">
        <v>240</v>
      </c>
      <c r="AU3667" s="5" t="s">
        <v>729</v>
      </c>
      <c r="AV3667" s="5" t="s">
        <v>729</v>
      </c>
      <c r="AW3667" s="5" t="s">
        <v>251</v>
      </c>
      <c r="AX3667" s="5" t="s">
        <v>252</v>
      </c>
      <c r="AY3667" s="5" t="s">
        <v>253</v>
      </c>
      <c r="AZ3667" s="5" t="s">
        <v>6046</v>
      </c>
      <c r="BA3667" s="5" t="s">
        <v>255</v>
      </c>
      <c r="BB3667" s="5" t="s">
        <v>731</v>
      </c>
      <c r="BD3667" s="5" t="s">
        <v>240</v>
      </c>
      <c r="BF3667" s="5" t="s">
        <v>732</v>
      </c>
      <c r="BG3667" s="6" t="s">
        <v>733</v>
      </c>
      <c r="BH3667" s="5" t="s">
        <v>734</v>
      </c>
      <c r="BI3667" s="5" t="s">
        <v>734</v>
      </c>
      <c r="BJ3667" s="5" t="s">
        <v>240</v>
      </c>
      <c r="BK3667" s="7">
        <f>1</f>
        <v>1</v>
      </c>
      <c r="BL3667" s="7">
        <f>1</f>
        <v>1</v>
      </c>
      <c r="BM3667" s="5" t="s">
        <v>258</v>
      </c>
      <c r="BN3667" s="5" t="s">
        <v>259</v>
      </c>
      <c r="BO3667" s="5" t="s">
        <v>240</v>
      </c>
      <c r="BP3667" s="5" t="s">
        <v>240</v>
      </c>
      <c r="BQ3667" s="5" t="s">
        <v>240</v>
      </c>
      <c r="BR3667" s="5" t="s">
        <v>240</v>
      </c>
      <c r="BS3667" s="5" t="s">
        <v>240</v>
      </c>
      <c r="BT3667" s="5" t="s">
        <v>240</v>
      </c>
      <c r="BU3667" s="5" t="s">
        <v>240</v>
      </c>
      <c r="BV3667" s="5" t="s">
        <v>240</v>
      </c>
      <c r="BW3667" s="6" t="s">
        <v>240</v>
      </c>
      <c r="BX3667" s="5" t="s">
        <v>240</v>
      </c>
      <c r="BY3667" s="5" t="s">
        <v>240</v>
      </c>
      <c r="BZ3667" s="5" t="s">
        <v>240</v>
      </c>
      <c r="CA3667" s="5" t="s">
        <v>259</v>
      </c>
      <c r="CB3667" s="5" t="s">
        <v>240</v>
      </c>
      <c r="CC3667" s="5" t="s">
        <v>240</v>
      </c>
      <c r="CD3667" s="5" t="s">
        <v>240</v>
      </c>
      <c r="CE3667" s="5" t="s">
        <v>240</v>
      </c>
      <c r="CF3667" s="5" t="s">
        <v>240</v>
      </c>
      <c r="CG3667" s="5" t="s">
        <v>304</v>
      </c>
      <c r="CH3667" s="5" t="s">
        <v>305</v>
      </c>
      <c r="CI3667" s="5" t="s">
        <v>260</v>
      </c>
      <c r="CK3667" s="5" t="s">
        <v>3681</v>
      </c>
      <c r="CL3667" s="6" t="s">
        <v>261</v>
      </c>
      <c r="CM3667" s="5" t="s">
        <v>262</v>
      </c>
      <c r="CN3667" s="5" t="s">
        <v>263</v>
      </c>
      <c r="CO3667" s="5" t="s">
        <v>264</v>
      </c>
      <c r="CP3667" s="5" t="s">
        <v>240</v>
      </c>
      <c r="CQ3667" s="5">
        <v>0</v>
      </c>
      <c r="CR3667" s="5" t="s">
        <v>735</v>
      </c>
      <c r="CS3667" s="5" t="s">
        <v>307</v>
      </c>
      <c r="CT3667" s="5" t="s">
        <v>307</v>
      </c>
      <c r="CU3667" s="5" t="s">
        <v>260</v>
      </c>
      <c r="CV3667" s="5" t="s">
        <v>612</v>
      </c>
      <c r="CW3667" s="8">
        <f>1</f>
        <v>1</v>
      </c>
      <c r="CX3667" s="7">
        <f>1</f>
        <v>1</v>
      </c>
      <c r="CY3667" s="7">
        <f>0</f>
        <v>0</v>
      </c>
      <c r="DA3667" s="7">
        <f>1</f>
        <v>1</v>
      </c>
      <c r="DB3667" s="7" t="s">
        <v>240</v>
      </c>
      <c r="DC3667" s="5" t="s">
        <v>240</v>
      </c>
      <c r="DD3667" s="5" t="s">
        <v>240</v>
      </c>
      <c r="DE3667" s="5" t="s">
        <v>240</v>
      </c>
      <c r="DF3667" s="5" t="s">
        <v>240</v>
      </c>
      <c r="DG3667" s="7">
        <f>0</f>
        <v>0</v>
      </c>
      <c r="DI3667" s="5" t="s">
        <v>240</v>
      </c>
      <c r="DJ3667" s="5" t="s">
        <v>240</v>
      </c>
      <c r="DK3667" s="5" t="s">
        <v>240</v>
      </c>
      <c r="DL3667" s="5" t="s">
        <v>240</v>
      </c>
      <c r="DM3667" s="5" t="s">
        <v>240</v>
      </c>
      <c r="DN3667" s="5" t="s">
        <v>240</v>
      </c>
      <c r="DO3667" s="7" t="s">
        <v>240</v>
      </c>
      <c r="DP3667" s="5" t="s">
        <v>240</v>
      </c>
      <c r="DQ3667" s="5" t="s">
        <v>248</v>
      </c>
      <c r="DR3667" s="5" t="s">
        <v>731</v>
      </c>
      <c r="DS3667" s="5" t="s">
        <v>731</v>
      </c>
      <c r="DT3667" s="5" t="s">
        <v>240</v>
      </c>
      <c r="DU3667" s="5" t="s">
        <v>240</v>
      </c>
      <c r="DV3667" s="5" t="s">
        <v>6047</v>
      </c>
      <c r="DW3667" s="5" t="s">
        <v>787</v>
      </c>
      <c r="DX3667" s="5" t="s">
        <v>240</v>
      </c>
      <c r="DY3667" s="5" t="s">
        <v>240</v>
      </c>
      <c r="DZ3667" s="5" t="s">
        <v>240</v>
      </c>
      <c r="EA3667" s="5" t="s">
        <v>240</v>
      </c>
      <c r="EB3667" s="5" t="s">
        <v>240</v>
      </c>
      <c r="EC3667" s="5" t="s">
        <v>240</v>
      </c>
      <c r="ED3667" s="5" t="s">
        <v>240</v>
      </c>
      <c r="EE3667" s="5" t="s">
        <v>240</v>
      </c>
      <c r="EF3667" s="5" t="s">
        <v>240</v>
      </c>
      <c r="EG3667" s="5" t="s">
        <v>240</v>
      </c>
      <c r="EH3667" s="5" t="s">
        <v>240</v>
      </c>
      <c r="EI3667" s="5" t="s">
        <v>240</v>
      </c>
      <c r="EJ3667" s="5" t="s">
        <v>240</v>
      </c>
      <c r="EK3667" s="5" t="s">
        <v>240</v>
      </c>
      <c r="EL3667" s="5" t="s">
        <v>240</v>
      </c>
      <c r="EM3667" s="5" t="s">
        <v>240</v>
      </c>
      <c r="EN3667" s="5" t="s">
        <v>240</v>
      </c>
      <c r="EO3667" s="5" t="s">
        <v>240</v>
      </c>
      <c r="EP3667" s="5" t="s">
        <v>240</v>
      </c>
      <c r="EQ3667" s="5" t="s">
        <v>240</v>
      </c>
      <c r="ER3667" s="5" t="s">
        <v>240</v>
      </c>
      <c r="ES3667" s="5" t="s">
        <v>240</v>
      </c>
      <c r="ET3667" s="5" t="s">
        <v>240</v>
      </c>
      <c r="EU3667" s="5" t="s">
        <v>240</v>
      </c>
      <c r="EV3667" s="5" t="s">
        <v>240</v>
      </c>
      <c r="EW3667" s="5" t="s">
        <v>240</v>
      </c>
      <c r="EX3667" s="5" t="s">
        <v>240</v>
      </c>
      <c r="EY3667" s="5" t="s">
        <v>240</v>
      </c>
      <c r="EZ3667" s="5" t="s">
        <v>240</v>
      </c>
      <c r="FA3667" s="5" t="s">
        <v>240</v>
      </c>
      <c r="FB3667" s="5" t="s">
        <v>240</v>
      </c>
      <c r="FC3667" s="5" t="s">
        <v>240</v>
      </c>
      <c r="FD3667" s="5" t="s">
        <v>240</v>
      </c>
      <c r="FE3667" s="5" t="s">
        <v>240</v>
      </c>
      <c r="FF3667" s="5" t="s">
        <v>240</v>
      </c>
      <c r="FG3667" s="5" t="s">
        <v>240</v>
      </c>
      <c r="FH3667" s="5" t="s">
        <v>240</v>
      </c>
      <c r="FI3667" s="5" t="s">
        <v>240</v>
      </c>
      <c r="FJ3667" s="5" t="s">
        <v>240</v>
      </c>
      <c r="FK3667" s="5" t="s">
        <v>240</v>
      </c>
      <c r="FL3667" s="5" t="s">
        <v>240</v>
      </c>
      <c r="FM3667" s="5" t="s">
        <v>240</v>
      </c>
      <c r="FN3667" s="5" t="s">
        <v>240</v>
      </c>
      <c r="FO3667" s="5" t="s">
        <v>240</v>
      </c>
      <c r="FP3667" s="5" t="s">
        <v>240</v>
      </c>
      <c r="FQ3667" s="5" t="s">
        <v>240</v>
      </c>
      <c r="FR3667" s="5" t="s">
        <v>240</v>
      </c>
      <c r="FS3667" s="5" t="s">
        <v>240</v>
      </c>
      <c r="FT3667" s="5" t="s">
        <v>240</v>
      </c>
      <c r="FU3667" s="5" t="s">
        <v>240</v>
      </c>
      <c r="FV3667" s="5" t="s">
        <v>240</v>
      </c>
      <c r="FW3667" s="5" t="s">
        <v>240</v>
      </c>
      <c r="FX3667" s="5" t="s">
        <v>240</v>
      </c>
      <c r="FY3667" s="5" t="s">
        <v>240</v>
      </c>
      <c r="FZ3667" s="5" t="s">
        <v>240</v>
      </c>
      <c r="GA3667" s="5" t="s">
        <v>240</v>
      </c>
      <c r="GB3667" s="5" t="s">
        <v>240</v>
      </c>
      <c r="GC3667" s="5" t="s">
        <v>240</v>
      </c>
      <c r="GD3667" s="5" t="s">
        <v>240</v>
      </c>
      <c r="GE3667" s="5" t="s">
        <v>240</v>
      </c>
      <c r="GF3667" s="5" t="s">
        <v>240</v>
      </c>
      <c r="GG3667" s="5" t="s">
        <v>240</v>
      </c>
      <c r="GH3667" s="5" t="s">
        <v>240</v>
      </c>
      <c r="GI3667" s="5" t="s">
        <v>240</v>
      </c>
      <c r="GJ3667" s="5" t="s">
        <v>240</v>
      </c>
      <c r="GK3667" s="5" t="s">
        <v>240</v>
      </c>
      <c r="GL3667" s="5" t="s">
        <v>240</v>
      </c>
      <c r="GM3667" s="5" t="s">
        <v>240</v>
      </c>
      <c r="GN3667" s="5" t="s">
        <v>240</v>
      </c>
      <c r="GO3667" s="5" t="s">
        <v>240</v>
      </c>
      <c r="GP3667" s="5" t="s">
        <v>240</v>
      </c>
      <c r="GQ3667" s="5" t="s">
        <v>240</v>
      </c>
      <c r="GR3667" s="5" t="s">
        <v>240</v>
      </c>
      <c r="GS3667" s="5" t="s">
        <v>240</v>
      </c>
      <c r="GT3667" s="5" t="s">
        <v>240</v>
      </c>
      <c r="GU3667" s="5" t="s">
        <v>240</v>
      </c>
      <c r="GV3667" s="5" t="s">
        <v>240</v>
      </c>
      <c r="GW3667" s="5" t="s">
        <v>240</v>
      </c>
      <c r="GX3667" s="5" t="s">
        <v>240</v>
      </c>
      <c r="GY3667" s="5" t="s">
        <v>240</v>
      </c>
      <c r="GZ3667" s="5" t="s">
        <v>240</v>
      </c>
      <c r="HA3667" s="5" t="s">
        <v>240</v>
      </c>
      <c r="HB3667" s="5" t="s">
        <v>240</v>
      </c>
      <c r="HC3667" s="5" t="s">
        <v>240</v>
      </c>
      <c r="HD3667" s="5" t="s">
        <v>240</v>
      </c>
      <c r="HE3667" s="5" t="s">
        <v>240</v>
      </c>
      <c r="HF3667" s="5" t="s">
        <v>240</v>
      </c>
      <c r="HG3667" s="5" t="s">
        <v>240</v>
      </c>
      <c r="HH3667" s="5" t="s">
        <v>240</v>
      </c>
      <c r="HI3667" s="5" t="s">
        <v>240</v>
      </c>
      <c r="HJ3667" s="5" t="s">
        <v>240</v>
      </c>
      <c r="HK3667" s="5" t="s">
        <v>240</v>
      </c>
      <c r="HL3667" s="5" t="s">
        <v>240</v>
      </c>
      <c r="HM3667" s="5" t="s">
        <v>240</v>
      </c>
      <c r="HN3667" s="5" t="s">
        <v>240</v>
      </c>
      <c r="HO3667" s="5" t="s">
        <v>240</v>
      </c>
      <c r="HP3667" s="5" t="s">
        <v>240</v>
      </c>
      <c r="HQ3667" s="5" t="s">
        <v>240</v>
      </c>
      <c r="HR3667" s="5" t="s">
        <v>240</v>
      </c>
      <c r="HS3667" s="5" t="s">
        <v>240</v>
      </c>
      <c r="HT3667" s="5" t="s">
        <v>240</v>
      </c>
      <c r="HU3667" s="5" t="s">
        <v>240</v>
      </c>
      <c r="HV3667" s="5" t="s">
        <v>240</v>
      </c>
      <c r="HW3667" s="5" t="s">
        <v>240</v>
      </c>
      <c r="HX3667" s="5" t="s">
        <v>240</v>
      </c>
      <c r="HY3667" s="5" t="s">
        <v>240</v>
      </c>
      <c r="HZ3667" s="5" t="s">
        <v>240</v>
      </c>
      <c r="IA3667" s="5" t="s">
        <v>240</v>
      </c>
      <c r="IB3667" s="5" t="s">
        <v>240</v>
      </c>
      <c r="IC3667" s="5" t="s">
        <v>240</v>
      </c>
      <c r="ID3667" s="5" t="s">
        <v>240</v>
      </c>
      <c r="IE3667" s="5" t="s">
        <v>240</v>
      </c>
      <c r="IF3667" s="5" t="s">
        <v>240</v>
      </c>
    </row>
    <row r="3668" spans="1:240" x14ac:dyDescent="0.4">
      <c r="A3668" s="5">
        <v>9210</v>
      </c>
      <c r="B3668" s="5">
        <v>1</v>
      </c>
      <c r="C3668" s="5">
        <v>1</v>
      </c>
      <c r="D3668" s="5" t="s">
        <v>723</v>
      </c>
      <c r="E3668" s="5" t="s">
        <v>725</v>
      </c>
      <c r="F3668" s="5" t="s">
        <v>254</v>
      </c>
      <c r="G3668" s="5" t="s">
        <v>5647</v>
      </c>
      <c r="H3668" s="6" t="s">
        <v>5648</v>
      </c>
      <c r="I3668" s="5" t="s">
        <v>5646</v>
      </c>
      <c r="J3668" s="7">
        <f>1</f>
        <v>1</v>
      </c>
      <c r="K3668" s="5" t="s">
        <v>3682</v>
      </c>
      <c r="L3668" s="7">
        <f>1</f>
        <v>1</v>
      </c>
      <c r="M3668" s="7">
        <f>1</f>
        <v>1</v>
      </c>
      <c r="N3668" s="5" t="s">
        <v>242</v>
      </c>
      <c r="O3668" s="5">
        <v>1</v>
      </c>
      <c r="P3668" s="5" t="s">
        <v>294</v>
      </c>
      <c r="Q3668" s="5" t="s">
        <v>266</v>
      </c>
      <c r="R3668" s="5" t="s">
        <v>240</v>
      </c>
      <c r="S3668" s="5" t="s">
        <v>240</v>
      </c>
      <c r="T3668" s="5" t="s">
        <v>243</v>
      </c>
      <c r="U3668" s="5" t="s">
        <v>240</v>
      </c>
      <c r="V3668" s="5" t="s">
        <v>240</v>
      </c>
      <c r="Y3668" s="5" t="s">
        <v>240</v>
      </c>
      <c r="Z3668" s="6" t="s">
        <v>6500</v>
      </c>
      <c r="AB3668" s="6" t="s">
        <v>240</v>
      </c>
      <c r="AE3668" s="6" t="s">
        <v>299</v>
      </c>
      <c r="AF3668" s="5" t="s">
        <v>248</v>
      </c>
      <c r="AG3668" s="5" t="s">
        <v>249</v>
      </c>
      <c r="AW3668" s="5" t="s">
        <v>251</v>
      </c>
      <c r="AX3668" s="5" t="s">
        <v>240</v>
      </c>
      <c r="AY3668" s="5" t="s">
        <v>253</v>
      </c>
      <c r="AZ3668" s="5" t="s">
        <v>240</v>
      </c>
      <c r="BA3668" s="5" t="s">
        <v>255</v>
      </c>
      <c r="BB3668" s="5" t="s">
        <v>240</v>
      </c>
      <c r="BD3668" s="5" t="s">
        <v>240</v>
      </c>
      <c r="BF3668" s="5" t="s">
        <v>301</v>
      </c>
      <c r="BG3668" s="6" t="s">
        <v>6500</v>
      </c>
      <c r="BH3668" s="5" t="s">
        <v>302</v>
      </c>
      <c r="BI3668" s="5" t="s">
        <v>448</v>
      </c>
      <c r="BJ3668" s="5" t="s">
        <v>240</v>
      </c>
      <c r="BK3668" s="8">
        <f>0</f>
        <v>0</v>
      </c>
      <c r="BL3668" s="7">
        <f>0</f>
        <v>0</v>
      </c>
      <c r="BM3668" s="5" t="s">
        <v>258</v>
      </c>
      <c r="BN3668" s="5" t="s">
        <v>259</v>
      </c>
      <c r="CB3668" s="5" t="s">
        <v>240</v>
      </c>
      <c r="CC3668" s="5" t="s">
        <v>240</v>
      </c>
      <c r="CG3668" s="5" t="s">
        <v>449</v>
      </c>
      <c r="CH3668" s="5" t="s">
        <v>305</v>
      </c>
      <c r="CI3668" s="5" t="s">
        <v>240</v>
      </c>
      <c r="CL3668" s="6" t="s">
        <v>261</v>
      </c>
      <c r="CM3668" s="5" t="s">
        <v>240</v>
      </c>
      <c r="CN3668" s="5" t="s">
        <v>263</v>
      </c>
      <c r="CO3668" s="5" t="s">
        <v>240</v>
      </c>
      <c r="CP3668" s="5" t="s">
        <v>240</v>
      </c>
      <c r="CQ3668" s="5">
        <v>0</v>
      </c>
      <c r="CR3668" s="5" t="s">
        <v>306</v>
      </c>
      <c r="CS3668" s="5" t="s">
        <v>307</v>
      </c>
      <c r="CT3668" s="5" t="s">
        <v>307</v>
      </c>
      <c r="CU3668" s="5" t="s">
        <v>260</v>
      </c>
      <c r="CX3668" s="7">
        <f>1087714</f>
        <v>1087714</v>
      </c>
      <c r="CY3668" s="7">
        <f>0</f>
        <v>0</v>
      </c>
      <c r="DA3668" s="7">
        <f>0</f>
        <v>0</v>
      </c>
      <c r="DC3668" s="5" t="s">
        <v>450</v>
      </c>
      <c r="DD3668" s="5" t="s">
        <v>240</v>
      </c>
      <c r="DF3668" s="5" t="s">
        <v>450</v>
      </c>
      <c r="DG3668" s="7">
        <f>0</f>
        <v>0</v>
      </c>
      <c r="DI3668" s="5" t="s">
        <v>240</v>
      </c>
      <c r="DJ3668" s="5" t="s">
        <v>240</v>
      </c>
      <c r="DK3668" s="5" t="s">
        <v>240</v>
      </c>
      <c r="DL3668" s="5" t="s">
        <v>240</v>
      </c>
      <c r="DP3668" s="5" t="s">
        <v>240</v>
      </c>
      <c r="DQ3668" s="5" t="s">
        <v>240</v>
      </c>
      <c r="DR3668" s="5" t="s">
        <v>240</v>
      </c>
      <c r="DS3668" s="5" t="s">
        <v>240</v>
      </c>
      <c r="DV3668" s="5" t="s">
        <v>310</v>
      </c>
      <c r="DW3668" s="5" t="s">
        <v>2345</v>
      </c>
      <c r="HO3668" s="5" t="s">
        <v>312</v>
      </c>
    </row>
    <row r="3669" spans="1:240" x14ac:dyDescent="0.4">
      <c r="A3669" s="5">
        <v>9211</v>
      </c>
      <c r="B3669" s="5">
        <v>1</v>
      </c>
      <c r="C3669" s="5">
        <v>1</v>
      </c>
      <c r="D3669" s="5" t="s">
        <v>723</v>
      </c>
      <c r="E3669" s="5" t="s">
        <v>725</v>
      </c>
      <c r="F3669" s="5" t="s">
        <v>254</v>
      </c>
      <c r="G3669" s="5" t="s">
        <v>726</v>
      </c>
      <c r="H3669" s="6" t="s">
        <v>6364</v>
      </c>
      <c r="I3669" s="5" t="s">
        <v>6363</v>
      </c>
      <c r="J3669" s="7">
        <f>1</f>
        <v>1</v>
      </c>
      <c r="K3669" s="5" t="s">
        <v>3682</v>
      </c>
      <c r="L3669" s="7">
        <f>1</f>
        <v>1</v>
      </c>
      <c r="M3669" s="7">
        <f>1</f>
        <v>1</v>
      </c>
      <c r="N3669" s="5" t="s">
        <v>242</v>
      </c>
      <c r="O3669" s="5">
        <v>1</v>
      </c>
      <c r="P3669" s="5" t="s">
        <v>294</v>
      </c>
      <c r="Q3669" s="5" t="s">
        <v>266</v>
      </c>
      <c r="R3669" s="5" t="s">
        <v>240</v>
      </c>
      <c r="S3669" s="5" t="s">
        <v>240</v>
      </c>
      <c r="T3669" s="5" t="s">
        <v>243</v>
      </c>
      <c r="U3669" s="5" t="s">
        <v>240</v>
      </c>
      <c r="V3669" s="5" t="s">
        <v>240</v>
      </c>
      <c r="Y3669" s="5" t="s">
        <v>240</v>
      </c>
      <c r="Z3669" s="6" t="s">
        <v>6506</v>
      </c>
      <c r="AB3669" s="6" t="s">
        <v>240</v>
      </c>
      <c r="AE3669" s="6" t="s">
        <v>299</v>
      </c>
      <c r="AF3669" s="5" t="s">
        <v>248</v>
      </c>
      <c r="AG3669" s="5" t="s">
        <v>249</v>
      </c>
      <c r="AW3669" s="5" t="s">
        <v>251</v>
      </c>
      <c r="AX3669" s="5" t="s">
        <v>240</v>
      </c>
      <c r="AY3669" s="5" t="s">
        <v>253</v>
      </c>
      <c r="AZ3669" s="5" t="s">
        <v>240</v>
      </c>
      <c r="BA3669" s="5" t="s">
        <v>255</v>
      </c>
      <c r="BB3669" s="5" t="s">
        <v>240</v>
      </c>
      <c r="BD3669" s="5" t="s">
        <v>240</v>
      </c>
      <c r="BF3669" s="5" t="s">
        <v>301</v>
      </c>
      <c r="BG3669" s="6" t="s">
        <v>6506</v>
      </c>
      <c r="BH3669" s="5" t="s">
        <v>302</v>
      </c>
      <c r="BI3669" s="5" t="s">
        <v>448</v>
      </c>
      <c r="BJ3669" s="5" t="s">
        <v>240</v>
      </c>
      <c r="BK3669" s="8">
        <f>0</f>
        <v>0</v>
      </c>
      <c r="BL3669" s="7">
        <f>0</f>
        <v>0</v>
      </c>
      <c r="BM3669" s="5" t="s">
        <v>258</v>
      </c>
      <c r="BN3669" s="5" t="s">
        <v>259</v>
      </c>
      <c r="CB3669" s="5" t="s">
        <v>240</v>
      </c>
      <c r="CC3669" s="5" t="s">
        <v>240</v>
      </c>
      <c r="CG3669" s="5" t="s">
        <v>449</v>
      </c>
      <c r="CH3669" s="5" t="s">
        <v>305</v>
      </c>
      <c r="CI3669" s="5" t="s">
        <v>240</v>
      </c>
      <c r="CL3669" s="6" t="s">
        <v>261</v>
      </c>
      <c r="CM3669" s="5" t="s">
        <v>240</v>
      </c>
      <c r="CN3669" s="5" t="s">
        <v>263</v>
      </c>
      <c r="CO3669" s="5" t="s">
        <v>240</v>
      </c>
      <c r="CP3669" s="5" t="s">
        <v>240</v>
      </c>
      <c r="CQ3669" s="5">
        <v>0</v>
      </c>
      <c r="CR3669" s="5" t="s">
        <v>306</v>
      </c>
      <c r="CS3669" s="5" t="s">
        <v>307</v>
      </c>
      <c r="CT3669" s="5" t="s">
        <v>307</v>
      </c>
      <c r="CU3669" s="5" t="s">
        <v>260</v>
      </c>
      <c r="CX3669" s="7">
        <f>1496700</f>
        <v>1496700</v>
      </c>
      <c r="CY3669" s="7">
        <f>0</f>
        <v>0</v>
      </c>
      <c r="DA3669" s="7">
        <f>0</f>
        <v>0</v>
      </c>
      <c r="DC3669" s="5" t="s">
        <v>450</v>
      </c>
      <c r="DD3669" s="5" t="s">
        <v>240</v>
      </c>
      <c r="DF3669" s="5" t="s">
        <v>450</v>
      </c>
      <c r="DG3669" s="7">
        <f>0</f>
        <v>0</v>
      </c>
      <c r="DI3669" s="5" t="s">
        <v>240</v>
      </c>
      <c r="DJ3669" s="5" t="s">
        <v>240</v>
      </c>
      <c r="DK3669" s="5" t="s">
        <v>240</v>
      </c>
      <c r="DL3669" s="5" t="s">
        <v>240</v>
      </c>
      <c r="DP3669" s="5" t="s">
        <v>240</v>
      </c>
      <c r="DQ3669" s="5" t="s">
        <v>240</v>
      </c>
      <c r="DR3669" s="5" t="s">
        <v>240</v>
      </c>
      <c r="DS3669" s="5" t="s">
        <v>240</v>
      </c>
      <c r="DV3669" s="5" t="s">
        <v>310</v>
      </c>
      <c r="DW3669" s="5" t="s">
        <v>2338</v>
      </c>
      <c r="HO3669" s="5" t="s">
        <v>312</v>
      </c>
    </row>
    <row r="3670" spans="1:240" x14ac:dyDescent="0.4">
      <c r="A3670" s="5">
        <v>9212</v>
      </c>
      <c r="B3670" s="5">
        <v>1</v>
      </c>
      <c r="C3670" s="5">
        <v>1</v>
      </c>
      <c r="D3670" s="5" t="s">
        <v>723</v>
      </c>
      <c r="E3670" s="5" t="s">
        <v>725</v>
      </c>
      <c r="F3670" s="5" t="s">
        <v>254</v>
      </c>
      <c r="G3670" s="5" t="s">
        <v>5643</v>
      </c>
      <c r="H3670" s="6" t="s">
        <v>5644</v>
      </c>
      <c r="I3670" s="5" t="s">
        <v>5642</v>
      </c>
      <c r="J3670" s="7">
        <f>1</f>
        <v>1</v>
      </c>
      <c r="K3670" s="5" t="s">
        <v>3682</v>
      </c>
      <c r="L3670" s="7">
        <f>1</f>
        <v>1</v>
      </c>
      <c r="M3670" s="7">
        <f>1</f>
        <v>1</v>
      </c>
      <c r="N3670" s="5" t="s">
        <v>242</v>
      </c>
      <c r="O3670" s="5">
        <v>1</v>
      </c>
      <c r="P3670" s="5" t="s">
        <v>294</v>
      </c>
      <c r="Q3670" s="5" t="s">
        <v>3678</v>
      </c>
      <c r="R3670" s="5" t="s">
        <v>240</v>
      </c>
      <c r="S3670" s="5" t="s">
        <v>240</v>
      </c>
      <c r="T3670" s="5" t="s">
        <v>243</v>
      </c>
      <c r="U3670" s="5" t="s">
        <v>244</v>
      </c>
      <c r="V3670" s="5" t="s">
        <v>240</v>
      </c>
      <c r="W3670" s="5" t="s">
        <v>240</v>
      </c>
      <c r="X3670" s="5" t="s">
        <v>240</v>
      </c>
      <c r="Y3670" s="5" t="s">
        <v>240</v>
      </c>
      <c r="Z3670" s="6" t="s">
        <v>298</v>
      </c>
      <c r="AA3670" s="6" t="s">
        <v>240</v>
      </c>
      <c r="AB3670" s="6" t="s">
        <v>240</v>
      </c>
      <c r="AC3670" s="5" t="s">
        <v>240</v>
      </c>
      <c r="AD3670" s="6" t="s">
        <v>240</v>
      </c>
      <c r="AE3670" s="6" t="s">
        <v>299</v>
      </c>
      <c r="AF3670" s="5" t="s">
        <v>248</v>
      </c>
      <c r="AG3670" s="5" t="s">
        <v>249</v>
      </c>
      <c r="AH3670" s="5" t="s">
        <v>240</v>
      </c>
      <c r="AI3670" s="5" t="s">
        <v>240</v>
      </c>
      <c r="AJ3670" s="5" t="s">
        <v>240</v>
      </c>
      <c r="AK3670" s="5" t="s">
        <v>240</v>
      </c>
      <c r="AL3670" s="5" t="s">
        <v>240</v>
      </c>
      <c r="AM3670" s="5" t="s">
        <v>240</v>
      </c>
      <c r="AN3670" s="5" t="s">
        <v>240</v>
      </c>
      <c r="AO3670" s="5" t="s">
        <v>240</v>
      </c>
      <c r="AP3670" s="6" t="s">
        <v>240</v>
      </c>
      <c r="AQ3670" s="6" t="s">
        <v>240</v>
      </c>
      <c r="AR3670" s="6" t="s">
        <v>240</v>
      </c>
      <c r="AS3670" s="6" t="s">
        <v>240</v>
      </c>
      <c r="AT3670" s="5" t="s">
        <v>240</v>
      </c>
      <c r="AU3670" s="5" t="s">
        <v>729</v>
      </c>
      <c r="AV3670" s="5" t="s">
        <v>729</v>
      </c>
      <c r="AW3670" s="5" t="s">
        <v>251</v>
      </c>
      <c r="AX3670" s="5" t="s">
        <v>252</v>
      </c>
      <c r="AY3670" s="5" t="s">
        <v>253</v>
      </c>
      <c r="AZ3670" s="5" t="s">
        <v>240</v>
      </c>
      <c r="BA3670" s="5" t="s">
        <v>255</v>
      </c>
      <c r="BB3670" s="5" t="s">
        <v>731</v>
      </c>
      <c r="BD3670" s="5" t="s">
        <v>240</v>
      </c>
      <c r="BF3670" s="5" t="s">
        <v>732</v>
      </c>
      <c r="BG3670" s="6" t="s">
        <v>733</v>
      </c>
      <c r="BH3670" s="5" t="s">
        <v>734</v>
      </c>
      <c r="BI3670" s="5" t="s">
        <v>734</v>
      </c>
      <c r="BJ3670" s="5" t="s">
        <v>240</v>
      </c>
      <c r="BK3670" s="7">
        <f>1</f>
        <v>1</v>
      </c>
      <c r="BL3670" s="7">
        <f>1</f>
        <v>1</v>
      </c>
      <c r="BM3670" s="5" t="s">
        <v>258</v>
      </c>
      <c r="BN3670" s="5" t="s">
        <v>259</v>
      </c>
      <c r="BO3670" s="5" t="s">
        <v>240</v>
      </c>
      <c r="BP3670" s="5" t="s">
        <v>240</v>
      </c>
      <c r="BQ3670" s="5" t="s">
        <v>240</v>
      </c>
      <c r="BR3670" s="5" t="s">
        <v>240</v>
      </c>
      <c r="BS3670" s="5" t="s">
        <v>240</v>
      </c>
      <c r="BT3670" s="5" t="s">
        <v>240</v>
      </c>
      <c r="BU3670" s="5" t="s">
        <v>240</v>
      </c>
      <c r="BV3670" s="5" t="s">
        <v>240</v>
      </c>
      <c r="BW3670" s="6" t="s">
        <v>240</v>
      </c>
      <c r="BX3670" s="5" t="s">
        <v>240</v>
      </c>
      <c r="BY3670" s="5" t="s">
        <v>240</v>
      </c>
      <c r="BZ3670" s="5" t="s">
        <v>240</v>
      </c>
      <c r="CA3670" s="5" t="s">
        <v>259</v>
      </c>
      <c r="CB3670" s="5" t="s">
        <v>240</v>
      </c>
      <c r="CC3670" s="5" t="s">
        <v>240</v>
      </c>
      <c r="CD3670" s="5" t="s">
        <v>240</v>
      </c>
      <c r="CE3670" s="5" t="s">
        <v>240</v>
      </c>
      <c r="CF3670" s="5" t="s">
        <v>240</v>
      </c>
      <c r="CG3670" s="5" t="s">
        <v>304</v>
      </c>
      <c r="CH3670" s="5" t="s">
        <v>305</v>
      </c>
      <c r="CI3670" s="5" t="s">
        <v>240</v>
      </c>
      <c r="CK3670" s="5" t="s">
        <v>3681</v>
      </c>
      <c r="CL3670" s="6" t="s">
        <v>261</v>
      </c>
      <c r="CM3670" s="5" t="s">
        <v>262</v>
      </c>
      <c r="CN3670" s="5" t="s">
        <v>263</v>
      </c>
      <c r="CO3670" s="5" t="s">
        <v>264</v>
      </c>
      <c r="CP3670" s="5" t="s">
        <v>240</v>
      </c>
      <c r="CQ3670" s="5">
        <v>0</v>
      </c>
      <c r="CR3670" s="5" t="s">
        <v>735</v>
      </c>
      <c r="CS3670" s="5" t="s">
        <v>307</v>
      </c>
      <c r="CT3670" s="5" t="s">
        <v>307</v>
      </c>
      <c r="CU3670" s="5" t="s">
        <v>260</v>
      </c>
      <c r="CV3670" s="5" t="s">
        <v>612</v>
      </c>
      <c r="CW3670" s="8">
        <f>1</f>
        <v>1</v>
      </c>
      <c r="CX3670" s="7">
        <f>1</f>
        <v>1</v>
      </c>
      <c r="CY3670" s="7">
        <f>0</f>
        <v>0</v>
      </c>
      <c r="DA3670" s="7">
        <f>1</f>
        <v>1</v>
      </c>
      <c r="DB3670" s="7" t="s">
        <v>240</v>
      </c>
      <c r="DC3670" s="5" t="s">
        <v>240</v>
      </c>
      <c r="DD3670" s="5" t="s">
        <v>240</v>
      </c>
      <c r="DE3670" s="5" t="s">
        <v>240</v>
      </c>
      <c r="DF3670" s="5" t="s">
        <v>240</v>
      </c>
      <c r="DG3670" s="7">
        <f>0</f>
        <v>0</v>
      </c>
      <c r="DI3670" s="5" t="s">
        <v>240</v>
      </c>
      <c r="DJ3670" s="5" t="s">
        <v>240</v>
      </c>
      <c r="DK3670" s="5" t="s">
        <v>240</v>
      </c>
      <c r="DL3670" s="5" t="s">
        <v>240</v>
      </c>
      <c r="DM3670" s="5" t="s">
        <v>240</v>
      </c>
      <c r="DN3670" s="5" t="s">
        <v>240</v>
      </c>
      <c r="DO3670" s="7" t="s">
        <v>240</v>
      </c>
      <c r="DP3670" s="5" t="s">
        <v>240</v>
      </c>
      <c r="DQ3670" s="5" t="s">
        <v>240</v>
      </c>
      <c r="DR3670" s="5" t="s">
        <v>731</v>
      </c>
      <c r="DS3670" s="5" t="s">
        <v>731</v>
      </c>
      <c r="DT3670" s="5" t="s">
        <v>240</v>
      </c>
      <c r="DU3670" s="5" t="s">
        <v>240</v>
      </c>
      <c r="DV3670" s="5" t="s">
        <v>3683</v>
      </c>
      <c r="DW3670" s="5" t="s">
        <v>2055</v>
      </c>
      <c r="DX3670" s="5" t="s">
        <v>240</v>
      </c>
      <c r="DY3670" s="5" t="s">
        <v>240</v>
      </c>
      <c r="DZ3670" s="5" t="s">
        <v>240</v>
      </c>
      <c r="EA3670" s="5" t="s">
        <v>240</v>
      </c>
      <c r="EB3670" s="5" t="s">
        <v>240</v>
      </c>
      <c r="EC3670" s="5" t="s">
        <v>240</v>
      </c>
      <c r="ED3670" s="5" t="s">
        <v>240</v>
      </c>
      <c r="EE3670" s="5" t="s">
        <v>240</v>
      </c>
      <c r="EF3670" s="5" t="s">
        <v>240</v>
      </c>
      <c r="EG3670" s="5" t="s">
        <v>240</v>
      </c>
      <c r="EH3670" s="5" t="s">
        <v>240</v>
      </c>
      <c r="EI3670" s="5" t="s">
        <v>240</v>
      </c>
      <c r="EJ3670" s="5" t="s">
        <v>240</v>
      </c>
      <c r="EK3670" s="5" t="s">
        <v>240</v>
      </c>
      <c r="EL3670" s="5" t="s">
        <v>240</v>
      </c>
      <c r="EM3670" s="5" t="s">
        <v>240</v>
      </c>
      <c r="EN3670" s="5" t="s">
        <v>240</v>
      </c>
      <c r="EO3670" s="5" t="s">
        <v>240</v>
      </c>
      <c r="EP3670" s="5" t="s">
        <v>240</v>
      </c>
      <c r="EQ3670" s="5" t="s">
        <v>240</v>
      </c>
      <c r="ER3670" s="5" t="s">
        <v>240</v>
      </c>
      <c r="ES3670" s="5" t="s">
        <v>240</v>
      </c>
      <c r="ET3670" s="5" t="s">
        <v>240</v>
      </c>
      <c r="EU3670" s="5" t="s">
        <v>240</v>
      </c>
      <c r="EV3670" s="5" t="s">
        <v>240</v>
      </c>
      <c r="EW3670" s="5" t="s">
        <v>240</v>
      </c>
      <c r="EX3670" s="5" t="s">
        <v>240</v>
      </c>
      <c r="EY3670" s="5" t="s">
        <v>240</v>
      </c>
      <c r="EZ3670" s="5" t="s">
        <v>240</v>
      </c>
      <c r="FA3670" s="5" t="s">
        <v>240</v>
      </c>
      <c r="FB3670" s="5" t="s">
        <v>240</v>
      </c>
      <c r="FC3670" s="5" t="s">
        <v>240</v>
      </c>
      <c r="FD3670" s="5" t="s">
        <v>240</v>
      </c>
      <c r="FE3670" s="5" t="s">
        <v>240</v>
      </c>
      <c r="FF3670" s="5" t="s">
        <v>240</v>
      </c>
      <c r="FG3670" s="5" t="s">
        <v>240</v>
      </c>
      <c r="FH3670" s="5" t="s">
        <v>240</v>
      </c>
      <c r="FI3670" s="5" t="s">
        <v>240</v>
      </c>
      <c r="FJ3670" s="5" t="s">
        <v>240</v>
      </c>
      <c r="FK3670" s="5" t="s">
        <v>240</v>
      </c>
      <c r="FL3670" s="5" t="s">
        <v>240</v>
      </c>
      <c r="FM3670" s="5" t="s">
        <v>240</v>
      </c>
      <c r="FN3670" s="5" t="s">
        <v>240</v>
      </c>
      <c r="FO3670" s="5" t="s">
        <v>240</v>
      </c>
      <c r="FP3670" s="5" t="s">
        <v>240</v>
      </c>
      <c r="FQ3670" s="5" t="s">
        <v>240</v>
      </c>
      <c r="FR3670" s="5" t="s">
        <v>240</v>
      </c>
      <c r="FS3670" s="5" t="s">
        <v>240</v>
      </c>
      <c r="FT3670" s="5" t="s">
        <v>240</v>
      </c>
      <c r="FU3670" s="5" t="s">
        <v>240</v>
      </c>
      <c r="FV3670" s="5" t="s">
        <v>240</v>
      </c>
      <c r="FW3670" s="5" t="s">
        <v>240</v>
      </c>
      <c r="FX3670" s="5" t="s">
        <v>240</v>
      </c>
      <c r="FY3670" s="5" t="s">
        <v>240</v>
      </c>
      <c r="FZ3670" s="5" t="s">
        <v>240</v>
      </c>
      <c r="GA3670" s="5" t="s">
        <v>240</v>
      </c>
      <c r="GB3670" s="5" t="s">
        <v>240</v>
      </c>
      <c r="GC3670" s="5" t="s">
        <v>240</v>
      </c>
      <c r="GD3670" s="5" t="s">
        <v>240</v>
      </c>
      <c r="GE3670" s="5" t="s">
        <v>240</v>
      </c>
      <c r="GF3670" s="5" t="s">
        <v>240</v>
      </c>
      <c r="GG3670" s="5" t="s">
        <v>240</v>
      </c>
      <c r="GH3670" s="5" t="s">
        <v>240</v>
      </c>
      <c r="GI3670" s="5" t="s">
        <v>240</v>
      </c>
      <c r="GJ3670" s="5" t="s">
        <v>240</v>
      </c>
      <c r="GK3670" s="5" t="s">
        <v>240</v>
      </c>
      <c r="GL3670" s="5" t="s">
        <v>240</v>
      </c>
      <c r="GM3670" s="5" t="s">
        <v>240</v>
      </c>
      <c r="GN3670" s="5" t="s">
        <v>240</v>
      </c>
      <c r="GO3670" s="5" t="s">
        <v>240</v>
      </c>
      <c r="GP3670" s="5" t="s">
        <v>240</v>
      </c>
      <c r="GQ3670" s="5" t="s">
        <v>240</v>
      </c>
      <c r="GR3670" s="5" t="s">
        <v>240</v>
      </c>
      <c r="GS3670" s="5" t="s">
        <v>240</v>
      </c>
      <c r="GT3670" s="5" t="s">
        <v>240</v>
      </c>
      <c r="GU3670" s="5" t="s">
        <v>240</v>
      </c>
      <c r="GV3670" s="5" t="s">
        <v>240</v>
      </c>
      <c r="GW3670" s="5" t="s">
        <v>240</v>
      </c>
      <c r="GX3670" s="5" t="s">
        <v>240</v>
      </c>
      <c r="GY3670" s="5" t="s">
        <v>240</v>
      </c>
      <c r="GZ3670" s="5" t="s">
        <v>240</v>
      </c>
      <c r="HA3670" s="5" t="s">
        <v>240</v>
      </c>
      <c r="HB3670" s="5" t="s">
        <v>240</v>
      </c>
      <c r="HC3670" s="5" t="s">
        <v>240</v>
      </c>
      <c r="HD3670" s="5" t="s">
        <v>240</v>
      </c>
      <c r="HE3670" s="5" t="s">
        <v>240</v>
      </c>
      <c r="HF3670" s="5" t="s">
        <v>240</v>
      </c>
      <c r="HG3670" s="5" t="s">
        <v>240</v>
      </c>
      <c r="HH3670" s="5" t="s">
        <v>240</v>
      </c>
      <c r="HI3670" s="5" t="s">
        <v>240</v>
      </c>
      <c r="HJ3670" s="5" t="s">
        <v>240</v>
      </c>
      <c r="HK3670" s="5" t="s">
        <v>240</v>
      </c>
      <c r="HL3670" s="5" t="s">
        <v>240</v>
      </c>
      <c r="HM3670" s="5" t="s">
        <v>240</v>
      </c>
      <c r="HN3670" s="5" t="s">
        <v>240</v>
      </c>
      <c r="HO3670" s="5" t="s">
        <v>312</v>
      </c>
      <c r="HP3670" s="5" t="s">
        <v>240</v>
      </c>
      <c r="HQ3670" s="5" t="s">
        <v>240</v>
      </c>
      <c r="HR3670" s="5" t="s">
        <v>240</v>
      </c>
      <c r="HS3670" s="5" t="s">
        <v>240</v>
      </c>
      <c r="HT3670" s="5" t="s">
        <v>240</v>
      </c>
      <c r="HU3670" s="5" t="s">
        <v>240</v>
      </c>
      <c r="HV3670" s="5" t="s">
        <v>240</v>
      </c>
      <c r="HW3670" s="5" t="s">
        <v>240</v>
      </c>
      <c r="HX3670" s="5" t="s">
        <v>240</v>
      </c>
      <c r="HY3670" s="5" t="s">
        <v>240</v>
      </c>
      <c r="HZ3670" s="5" t="s">
        <v>240</v>
      </c>
      <c r="IA3670" s="5" t="s">
        <v>240</v>
      </c>
      <c r="IB3670" s="5" t="s">
        <v>240</v>
      </c>
      <c r="IC3670" s="5" t="s">
        <v>240</v>
      </c>
      <c r="ID3670" s="5" t="s">
        <v>240</v>
      </c>
      <c r="IE3670" s="5" t="s">
        <v>240</v>
      </c>
      <c r="IF3670" s="5" t="s">
        <v>240</v>
      </c>
    </row>
    <row r="3671" spans="1:240" x14ac:dyDescent="0.4">
      <c r="A3671" s="5">
        <v>9213</v>
      </c>
      <c r="B3671" s="5">
        <v>1</v>
      </c>
      <c r="C3671" s="5">
        <v>1</v>
      </c>
      <c r="D3671" s="5" t="s">
        <v>723</v>
      </c>
      <c r="E3671" s="5" t="s">
        <v>725</v>
      </c>
      <c r="F3671" s="5" t="s">
        <v>254</v>
      </c>
      <c r="G3671" s="5" t="s">
        <v>726</v>
      </c>
      <c r="H3671" s="6" t="s">
        <v>6362</v>
      </c>
      <c r="I3671" s="5" t="s">
        <v>6361</v>
      </c>
      <c r="J3671" s="7">
        <f>1</f>
        <v>1</v>
      </c>
      <c r="K3671" s="5" t="s">
        <v>3682</v>
      </c>
      <c r="L3671" s="7">
        <f>1</f>
        <v>1</v>
      </c>
      <c r="M3671" s="7">
        <f>1</f>
        <v>1</v>
      </c>
      <c r="N3671" s="5" t="s">
        <v>242</v>
      </c>
      <c r="O3671" s="5">
        <v>1</v>
      </c>
      <c r="P3671" s="5" t="s">
        <v>294</v>
      </c>
      <c r="Q3671" s="5" t="s">
        <v>266</v>
      </c>
      <c r="R3671" s="5" t="s">
        <v>240</v>
      </c>
      <c r="S3671" s="5" t="s">
        <v>240</v>
      </c>
      <c r="T3671" s="5" t="s">
        <v>243</v>
      </c>
      <c r="U3671" s="5" t="s">
        <v>240</v>
      </c>
      <c r="V3671" s="5" t="s">
        <v>240</v>
      </c>
      <c r="Y3671" s="5" t="s">
        <v>240</v>
      </c>
      <c r="Z3671" s="6" t="s">
        <v>6511</v>
      </c>
      <c r="AB3671" s="6" t="s">
        <v>240</v>
      </c>
      <c r="AE3671" s="6" t="s">
        <v>299</v>
      </c>
      <c r="AF3671" s="5" t="s">
        <v>248</v>
      </c>
      <c r="AG3671" s="5" t="s">
        <v>249</v>
      </c>
      <c r="AW3671" s="5" t="s">
        <v>251</v>
      </c>
      <c r="AX3671" s="5" t="s">
        <v>240</v>
      </c>
      <c r="AY3671" s="5" t="s">
        <v>253</v>
      </c>
      <c r="AZ3671" s="5" t="s">
        <v>240</v>
      </c>
      <c r="BA3671" s="5" t="s">
        <v>255</v>
      </c>
      <c r="BB3671" s="5" t="s">
        <v>240</v>
      </c>
      <c r="BD3671" s="5" t="s">
        <v>240</v>
      </c>
      <c r="BF3671" s="5" t="s">
        <v>301</v>
      </c>
      <c r="BG3671" s="6" t="s">
        <v>6511</v>
      </c>
      <c r="BH3671" s="5" t="s">
        <v>302</v>
      </c>
      <c r="BI3671" s="5" t="s">
        <v>448</v>
      </c>
      <c r="BJ3671" s="5" t="s">
        <v>240</v>
      </c>
      <c r="BK3671" s="8">
        <f>0</f>
        <v>0</v>
      </c>
      <c r="BL3671" s="7">
        <f>0</f>
        <v>0</v>
      </c>
      <c r="BM3671" s="5" t="s">
        <v>258</v>
      </c>
      <c r="BN3671" s="5" t="s">
        <v>259</v>
      </c>
      <c r="CB3671" s="5" t="s">
        <v>240</v>
      </c>
      <c r="CC3671" s="5" t="s">
        <v>240</v>
      </c>
      <c r="CG3671" s="5" t="s">
        <v>449</v>
      </c>
      <c r="CH3671" s="5" t="s">
        <v>305</v>
      </c>
      <c r="CI3671" s="5" t="s">
        <v>240</v>
      </c>
      <c r="CL3671" s="6" t="s">
        <v>261</v>
      </c>
      <c r="CM3671" s="5" t="s">
        <v>240</v>
      </c>
      <c r="CN3671" s="5" t="s">
        <v>263</v>
      </c>
      <c r="CO3671" s="5" t="s">
        <v>240</v>
      </c>
      <c r="CP3671" s="5" t="s">
        <v>240</v>
      </c>
      <c r="CQ3671" s="5">
        <v>0</v>
      </c>
      <c r="CR3671" s="5" t="s">
        <v>306</v>
      </c>
      <c r="CS3671" s="5" t="s">
        <v>307</v>
      </c>
      <c r="CT3671" s="5" t="s">
        <v>307</v>
      </c>
      <c r="CU3671" s="5" t="s">
        <v>260</v>
      </c>
      <c r="CX3671" s="7">
        <f>721630</f>
        <v>721630</v>
      </c>
      <c r="CY3671" s="7">
        <f>0</f>
        <v>0</v>
      </c>
      <c r="DA3671" s="7">
        <f>0</f>
        <v>0</v>
      </c>
      <c r="DC3671" s="5" t="s">
        <v>450</v>
      </c>
      <c r="DD3671" s="5" t="s">
        <v>240</v>
      </c>
      <c r="DF3671" s="5" t="s">
        <v>450</v>
      </c>
      <c r="DG3671" s="7">
        <f>0</f>
        <v>0</v>
      </c>
      <c r="DI3671" s="5" t="s">
        <v>240</v>
      </c>
      <c r="DJ3671" s="5" t="s">
        <v>240</v>
      </c>
      <c r="DK3671" s="5" t="s">
        <v>240</v>
      </c>
      <c r="DL3671" s="5" t="s">
        <v>240</v>
      </c>
      <c r="DP3671" s="5" t="s">
        <v>240</v>
      </c>
      <c r="DQ3671" s="5" t="s">
        <v>240</v>
      </c>
      <c r="DR3671" s="5" t="s">
        <v>240</v>
      </c>
      <c r="DS3671" s="5" t="s">
        <v>240</v>
      </c>
      <c r="DV3671" s="5" t="s">
        <v>310</v>
      </c>
      <c r="DW3671" s="5" t="s">
        <v>2336</v>
      </c>
      <c r="HO3671" s="5" t="s">
        <v>312</v>
      </c>
    </row>
    <row r="3672" spans="1:240" x14ac:dyDescent="0.4">
      <c r="A3672" s="5">
        <v>9214</v>
      </c>
      <c r="B3672" s="5">
        <v>1</v>
      </c>
      <c r="C3672" s="5">
        <v>1</v>
      </c>
      <c r="D3672" s="5" t="s">
        <v>723</v>
      </c>
      <c r="E3672" s="5" t="s">
        <v>725</v>
      </c>
      <c r="F3672" s="5" t="s">
        <v>254</v>
      </c>
      <c r="G3672" s="5" t="s">
        <v>726</v>
      </c>
      <c r="H3672" s="6" t="s">
        <v>5640</v>
      </c>
      <c r="I3672" s="5" t="s">
        <v>5639</v>
      </c>
      <c r="J3672" s="7">
        <f>1</f>
        <v>1</v>
      </c>
      <c r="K3672" s="5" t="s">
        <v>3682</v>
      </c>
      <c r="L3672" s="7">
        <f>1</f>
        <v>1</v>
      </c>
      <c r="M3672" s="7">
        <f>1</f>
        <v>1</v>
      </c>
      <c r="N3672" s="5" t="s">
        <v>242</v>
      </c>
      <c r="O3672" s="5">
        <v>1</v>
      </c>
      <c r="P3672" s="5" t="s">
        <v>294</v>
      </c>
      <c r="Q3672" s="5" t="s">
        <v>266</v>
      </c>
      <c r="R3672" s="5" t="s">
        <v>240</v>
      </c>
      <c r="S3672" s="5" t="s">
        <v>240</v>
      </c>
      <c r="T3672" s="5" t="s">
        <v>243</v>
      </c>
      <c r="U3672" s="5" t="s">
        <v>244</v>
      </c>
      <c r="V3672" s="5" t="s">
        <v>240</v>
      </c>
      <c r="Y3672" s="5" t="s">
        <v>240</v>
      </c>
      <c r="Z3672" s="6" t="s">
        <v>484</v>
      </c>
      <c r="AB3672" s="6" t="s">
        <v>240</v>
      </c>
      <c r="AE3672" s="6" t="s">
        <v>299</v>
      </c>
      <c r="AF3672" s="5" t="s">
        <v>248</v>
      </c>
      <c r="AG3672" s="5" t="s">
        <v>249</v>
      </c>
      <c r="AW3672" s="5" t="s">
        <v>251</v>
      </c>
      <c r="AX3672" s="5" t="s">
        <v>240</v>
      </c>
      <c r="AY3672" s="5" t="s">
        <v>253</v>
      </c>
      <c r="AZ3672" s="5" t="s">
        <v>240</v>
      </c>
      <c r="BA3672" s="5" t="s">
        <v>255</v>
      </c>
      <c r="BB3672" s="5" t="s">
        <v>240</v>
      </c>
      <c r="BD3672" s="5" t="s">
        <v>240</v>
      </c>
      <c r="BF3672" s="5" t="s">
        <v>301</v>
      </c>
      <c r="BG3672" s="6" t="s">
        <v>484</v>
      </c>
      <c r="BH3672" s="5" t="s">
        <v>302</v>
      </c>
      <c r="BI3672" s="5" t="s">
        <v>448</v>
      </c>
      <c r="BJ3672" s="5" t="s">
        <v>240</v>
      </c>
      <c r="BK3672" s="8">
        <f>0</f>
        <v>0</v>
      </c>
      <c r="BL3672" s="7">
        <f>0</f>
        <v>0</v>
      </c>
      <c r="BM3672" s="5" t="s">
        <v>258</v>
      </c>
      <c r="BN3672" s="5" t="s">
        <v>259</v>
      </c>
      <c r="CB3672" s="5" t="s">
        <v>240</v>
      </c>
      <c r="CC3672" s="5" t="s">
        <v>240</v>
      </c>
      <c r="CG3672" s="5" t="s">
        <v>449</v>
      </c>
      <c r="CH3672" s="5" t="s">
        <v>305</v>
      </c>
      <c r="CI3672" s="5" t="s">
        <v>240</v>
      </c>
      <c r="CL3672" s="6" t="s">
        <v>261</v>
      </c>
      <c r="CM3672" s="5" t="s">
        <v>240</v>
      </c>
      <c r="CN3672" s="5" t="s">
        <v>263</v>
      </c>
      <c r="CO3672" s="5" t="s">
        <v>240</v>
      </c>
      <c r="CP3672" s="5" t="s">
        <v>240</v>
      </c>
      <c r="CQ3672" s="5">
        <v>0</v>
      </c>
      <c r="CR3672" s="5" t="s">
        <v>306</v>
      </c>
      <c r="CS3672" s="5" t="s">
        <v>307</v>
      </c>
      <c r="CT3672" s="5" t="s">
        <v>307</v>
      </c>
      <c r="CU3672" s="5" t="s">
        <v>260</v>
      </c>
      <c r="CX3672" s="7">
        <f>2509726</f>
        <v>2509726</v>
      </c>
      <c r="CY3672" s="7">
        <f>0</f>
        <v>0</v>
      </c>
      <c r="DA3672" s="7">
        <f>0</f>
        <v>0</v>
      </c>
      <c r="DC3672" s="5" t="s">
        <v>450</v>
      </c>
      <c r="DD3672" s="5" t="s">
        <v>240</v>
      </c>
      <c r="DF3672" s="5" t="s">
        <v>450</v>
      </c>
      <c r="DG3672" s="7">
        <f>396.43</f>
        <v>396.43</v>
      </c>
      <c r="DI3672" s="5" t="s">
        <v>240</v>
      </c>
      <c r="DJ3672" s="5" t="s">
        <v>240</v>
      </c>
      <c r="DK3672" s="5" t="s">
        <v>240</v>
      </c>
      <c r="DL3672" s="5" t="s">
        <v>240</v>
      </c>
      <c r="DP3672" s="5" t="s">
        <v>240</v>
      </c>
      <c r="DQ3672" s="5" t="s">
        <v>240</v>
      </c>
      <c r="DR3672" s="5" t="s">
        <v>240</v>
      </c>
      <c r="DS3672" s="5" t="s">
        <v>240</v>
      </c>
      <c r="DV3672" s="5" t="s">
        <v>310</v>
      </c>
      <c r="DW3672" s="5" t="s">
        <v>2564</v>
      </c>
      <c r="HO3672" s="5" t="s">
        <v>312</v>
      </c>
    </row>
    <row r="3673" spans="1:240" x14ac:dyDescent="0.4">
      <c r="A3673" s="5">
        <v>9215</v>
      </c>
      <c r="B3673" s="5">
        <v>1</v>
      </c>
      <c r="C3673" s="5">
        <v>1</v>
      </c>
      <c r="D3673" s="5" t="s">
        <v>723</v>
      </c>
      <c r="E3673" s="5" t="s">
        <v>725</v>
      </c>
      <c r="F3673" s="5" t="s">
        <v>254</v>
      </c>
      <c r="G3673" s="5" t="s">
        <v>726</v>
      </c>
      <c r="H3673" s="6" t="s">
        <v>5638</v>
      </c>
      <c r="I3673" s="5" t="s">
        <v>5637</v>
      </c>
      <c r="J3673" s="7">
        <f>1</f>
        <v>1</v>
      </c>
      <c r="K3673" s="5" t="s">
        <v>3682</v>
      </c>
      <c r="L3673" s="7">
        <f>1</f>
        <v>1</v>
      </c>
      <c r="M3673" s="7">
        <f>1</f>
        <v>1</v>
      </c>
      <c r="N3673" s="5" t="s">
        <v>242</v>
      </c>
      <c r="O3673" s="5">
        <v>1</v>
      </c>
      <c r="P3673" s="5" t="s">
        <v>294</v>
      </c>
      <c r="Q3673" s="5" t="s">
        <v>266</v>
      </c>
      <c r="R3673" s="5" t="s">
        <v>240</v>
      </c>
      <c r="S3673" s="5" t="s">
        <v>240</v>
      </c>
      <c r="T3673" s="5" t="s">
        <v>243</v>
      </c>
      <c r="U3673" s="5" t="s">
        <v>240</v>
      </c>
      <c r="V3673" s="5" t="s">
        <v>240</v>
      </c>
      <c r="Y3673" s="5" t="s">
        <v>240</v>
      </c>
      <c r="Z3673" s="6" t="s">
        <v>6466</v>
      </c>
      <c r="AB3673" s="6" t="s">
        <v>240</v>
      </c>
      <c r="AE3673" s="6" t="s">
        <v>299</v>
      </c>
      <c r="AF3673" s="5" t="s">
        <v>248</v>
      </c>
      <c r="AG3673" s="5" t="s">
        <v>249</v>
      </c>
      <c r="AW3673" s="5" t="s">
        <v>251</v>
      </c>
      <c r="AX3673" s="5" t="s">
        <v>240</v>
      </c>
      <c r="AY3673" s="5" t="s">
        <v>253</v>
      </c>
      <c r="AZ3673" s="5" t="s">
        <v>240</v>
      </c>
      <c r="BA3673" s="5" t="s">
        <v>255</v>
      </c>
      <c r="BB3673" s="5" t="s">
        <v>240</v>
      </c>
      <c r="BD3673" s="5" t="s">
        <v>240</v>
      </c>
      <c r="BF3673" s="5" t="s">
        <v>301</v>
      </c>
      <c r="BG3673" s="6" t="s">
        <v>6466</v>
      </c>
      <c r="BH3673" s="5" t="s">
        <v>302</v>
      </c>
      <c r="BI3673" s="5" t="s">
        <v>448</v>
      </c>
      <c r="BJ3673" s="5" t="s">
        <v>240</v>
      </c>
      <c r="BK3673" s="8">
        <f>0</f>
        <v>0</v>
      </c>
      <c r="BL3673" s="7">
        <f>0</f>
        <v>0</v>
      </c>
      <c r="BM3673" s="5" t="s">
        <v>258</v>
      </c>
      <c r="BN3673" s="5" t="s">
        <v>259</v>
      </c>
      <c r="CB3673" s="5" t="s">
        <v>240</v>
      </c>
      <c r="CC3673" s="5" t="s">
        <v>240</v>
      </c>
      <c r="CG3673" s="5" t="s">
        <v>449</v>
      </c>
      <c r="CH3673" s="5" t="s">
        <v>305</v>
      </c>
      <c r="CI3673" s="5" t="s">
        <v>240</v>
      </c>
      <c r="CL3673" s="6" t="s">
        <v>261</v>
      </c>
      <c r="CM3673" s="5" t="s">
        <v>240</v>
      </c>
      <c r="CN3673" s="5" t="s">
        <v>263</v>
      </c>
      <c r="CO3673" s="5" t="s">
        <v>240</v>
      </c>
      <c r="CP3673" s="5" t="s">
        <v>240</v>
      </c>
      <c r="CQ3673" s="5">
        <v>0</v>
      </c>
      <c r="CR3673" s="5" t="s">
        <v>306</v>
      </c>
      <c r="CS3673" s="5" t="s">
        <v>307</v>
      </c>
      <c r="CT3673" s="5" t="s">
        <v>307</v>
      </c>
      <c r="CU3673" s="5" t="s">
        <v>260</v>
      </c>
      <c r="CX3673" s="7">
        <f>9238173</f>
        <v>9238173</v>
      </c>
      <c r="CY3673" s="7">
        <f>0</f>
        <v>0</v>
      </c>
      <c r="DA3673" s="7">
        <f>0</f>
        <v>0</v>
      </c>
      <c r="DC3673" s="5" t="s">
        <v>450</v>
      </c>
      <c r="DD3673" s="5" t="s">
        <v>240</v>
      </c>
      <c r="DF3673" s="5" t="s">
        <v>450</v>
      </c>
      <c r="DG3673" s="7">
        <f>0</f>
        <v>0</v>
      </c>
      <c r="DI3673" s="5" t="s">
        <v>240</v>
      </c>
      <c r="DJ3673" s="5" t="s">
        <v>240</v>
      </c>
      <c r="DK3673" s="5" t="s">
        <v>240</v>
      </c>
      <c r="DL3673" s="5" t="s">
        <v>240</v>
      </c>
      <c r="DP3673" s="5" t="s">
        <v>240</v>
      </c>
      <c r="DQ3673" s="5" t="s">
        <v>240</v>
      </c>
      <c r="DR3673" s="5" t="s">
        <v>240</v>
      </c>
      <c r="DS3673" s="5" t="s">
        <v>240</v>
      </c>
      <c r="DV3673" s="5" t="s">
        <v>310</v>
      </c>
      <c r="DW3673" s="5" t="s">
        <v>2334</v>
      </c>
      <c r="HO3673" s="5" t="s">
        <v>312</v>
      </c>
    </row>
    <row r="3674" spans="1:240" x14ac:dyDescent="0.4">
      <c r="A3674" s="5">
        <v>9216</v>
      </c>
      <c r="B3674" s="5">
        <v>1</v>
      </c>
      <c r="C3674" s="5">
        <v>1</v>
      </c>
      <c r="D3674" s="5" t="s">
        <v>723</v>
      </c>
      <c r="E3674" s="5" t="s">
        <v>725</v>
      </c>
      <c r="F3674" s="5" t="s">
        <v>254</v>
      </c>
      <c r="G3674" s="5" t="s">
        <v>726</v>
      </c>
      <c r="H3674" s="6" t="s">
        <v>5636</v>
      </c>
      <c r="I3674" s="5" t="s">
        <v>5635</v>
      </c>
      <c r="J3674" s="7">
        <f>1</f>
        <v>1</v>
      </c>
      <c r="K3674" s="5" t="s">
        <v>3682</v>
      </c>
      <c r="L3674" s="7">
        <f>1</f>
        <v>1</v>
      </c>
      <c r="M3674" s="7">
        <f>1</f>
        <v>1</v>
      </c>
      <c r="N3674" s="5" t="s">
        <v>242</v>
      </c>
      <c r="O3674" s="5">
        <v>1</v>
      </c>
      <c r="P3674" s="5" t="s">
        <v>294</v>
      </c>
      <c r="Q3674" s="5" t="s">
        <v>3678</v>
      </c>
      <c r="R3674" s="5" t="s">
        <v>240</v>
      </c>
      <c r="S3674" s="5" t="s">
        <v>240</v>
      </c>
      <c r="T3674" s="5" t="s">
        <v>243</v>
      </c>
      <c r="U3674" s="5" t="s">
        <v>244</v>
      </c>
      <c r="V3674" s="5" t="s">
        <v>240</v>
      </c>
      <c r="W3674" s="5" t="s">
        <v>240</v>
      </c>
      <c r="X3674" s="5" t="s">
        <v>240</v>
      </c>
      <c r="Y3674" s="5" t="s">
        <v>240</v>
      </c>
      <c r="Z3674" s="6" t="s">
        <v>298</v>
      </c>
      <c r="AA3674" s="6" t="s">
        <v>240</v>
      </c>
      <c r="AB3674" s="6" t="s">
        <v>240</v>
      </c>
      <c r="AC3674" s="5" t="s">
        <v>240</v>
      </c>
      <c r="AD3674" s="6" t="s">
        <v>240</v>
      </c>
      <c r="AE3674" s="6" t="s">
        <v>299</v>
      </c>
      <c r="AF3674" s="5" t="s">
        <v>248</v>
      </c>
      <c r="AG3674" s="5" t="s">
        <v>249</v>
      </c>
      <c r="AH3674" s="5" t="s">
        <v>240</v>
      </c>
      <c r="AI3674" s="5" t="s">
        <v>240</v>
      </c>
      <c r="AJ3674" s="5" t="s">
        <v>240</v>
      </c>
      <c r="AK3674" s="5" t="s">
        <v>240</v>
      </c>
      <c r="AL3674" s="5" t="s">
        <v>240</v>
      </c>
      <c r="AM3674" s="5" t="s">
        <v>240</v>
      </c>
      <c r="AN3674" s="5" t="s">
        <v>240</v>
      </c>
      <c r="AO3674" s="5" t="s">
        <v>240</v>
      </c>
      <c r="AP3674" s="6" t="s">
        <v>240</v>
      </c>
      <c r="AQ3674" s="6" t="s">
        <v>240</v>
      </c>
      <c r="AR3674" s="6" t="s">
        <v>240</v>
      </c>
      <c r="AS3674" s="6" t="s">
        <v>240</v>
      </c>
      <c r="AT3674" s="5" t="s">
        <v>240</v>
      </c>
      <c r="AU3674" s="5" t="s">
        <v>729</v>
      </c>
      <c r="AV3674" s="5" t="s">
        <v>729</v>
      </c>
      <c r="AW3674" s="5" t="s">
        <v>251</v>
      </c>
      <c r="AX3674" s="5" t="s">
        <v>252</v>
      </c>
      <c r="AY3674" s="5" t="s">
        <v>253</v>
      </c>
      <c r="AZ3674" s="5" t="s">
        <v>240</v>
      </c>
      <c r="BA3674" s="5" t="s">
        <v>255</v>
      </c>
      <c r="BB3674" s="5" t="s">
        <v>731</v>
      </c>
      <c r="BD3674" s="5" t="s">
        <v>240</v>
      </c>
      <c r="BF3674" s="5" t="s">
        <v>732</v>
      </c>
      <c r="BG3674" s="6" t="s">
        <v>733</v>
      </c>
      <c r="BH3674" s="5" t="s">
        <v>734</v>
      </c>
      <c r="BI3674" s="5" t="s">
        <v>734</v>
      </c>
      <c r="BJ3674" s="5" t="s">
        <v>240</v>
      </c>
      <c r="BK3674" s="7">
        <f>1</f>
        <v>1</v>
      </c>
      <c r="BL3674" s="7">
        <f>1</f>
        <v>1</v>
      </c>
      <c r="BM3674" s="5" t="s">
        <v>258</v>
      </c>
      <c r="BN3674" s="5" t="s">
        <v>259</v>
      </c>
      <c r="BO3674" s="5" t="s">
        <v>240</v>
      </c>
      <c r="BP3674" s="5" t="s">
        <v>240</v>
      </c>
      <c r="BQ3674" s="5" t="s">
        <v>240</v>
      </c>
      <c r="BR3674" s="5" t="s">
        <v>240</v>
      </c>
      <c r="BS3674" s="5" t="s">
        <v>240</v>
      </c>
      <c r="BT3674" s="5" t="s">
        <v>240</v>
      </c>
      <c r="BU3674" s="5" t="s">
        <v>240</v>
      </c>
      <c r="BV3674" s="5" t="s">
        <v>240</v>
      </c>
      <c r="BW3674" s="6" t="s">
        <v>240</v>
      </c>
      <c r="BX3674" s="5" t="s">
        <v>240</v>
      </c>
      <c r="BY3674" s="5" t="s">
        <v>240</v>
      </c>
      <c r="BZ3674" s="5" t="s">
        <v>240</v>
      </c>
      <c r="CA3674" s="5" t="s">
        <v>259</v>
      </c>
      <c r="CB3674" s="5" t="s">
        <v>240</v>
      </c>
      <c r="CC3674" s="5" t="s">
        <v>240</v>
      </c>
      <c r="CD3674" s="5" t="s">
        <v>240</v>
      </c>
      <c r="CE3674" s="5" t="s">
        <v>240</v>
      </c>
      <c r="CF3674" s="5" t="s">
        <v>240</v>
      </c>
      <c r="CG3674" s="5" t="s">
        <v>304</v>
      </c>
      <c r="CH3674" s="5" t="s">
        <v>305</v>
      </c>
      <c r="CI3674" s="5" t="s">
        <v>240</v>
      </c>
      <c r="CK3674" s="5" t="s">
        <v>3681</v>
      </c>
      <c r="CL3674" s="6" t="s">
        <v>261</v>
      </c>
      <c r="CM3674" s="5" t="s">
        <v>262</v>
      </c>
      <c r="CN3674" s="5" t="s">
        <v>263</v>
      </c>
      <c r="CO3674" s="5" t="s">
        <v>264</v>
      </c>
      <c r="CP3674" s="5" t="s">
        <v>240</v>
      </c>
      <c r="CQ3674" s="5">
        <v>0</v>
      </c>
      <c r="CR3674" s="5" t="s">
        <v>735</v>
      </c>
      <c r="CS3674" s="5" t="s">
        <v>307</v>
      </c>
      <c r="CT3674" s="5" t="s">
        <v>307</v>
      </c>
      <c r="CU3674" s="5" t="s">
        <v>260</v>
      </c>
      <c r="CV3674" s="5" t="s">
        <v>612</v>
      </c>
      <c r="CW3674" s="8">
        <f>1</f>
        <v>1</v>
      </c>
      <c r="CX3674" s="7">
        <f>1</f>
        <v>1</v>
      </c>
      <c r="CY3674" s="7">
        <f>0</f>
        <v>0</v>
      </c>
      <c r="DA3674" s="7">
        <f>1</f>
        <v>1</v>
      </c>
      <c r="DB3674" s="7" t="s">
        <v>240</v>
      </c>
      <c r="DC3674" s="5" t="s">
        <v>240</v>
      </c>
      <c r="DD3674" s="5" t="s">
        <v>240</v>
      </c>
      <c r="DE3674" s="5" t="s">
        <v>240</v>
      </c>
      <c r="DF3674" s="5" t="s">
        <v>240</v>
      </c>
      <c r="DG3674" s="7">
        <f>0</f>
        <v>0</v>
      </c>
      <c r="DI3674" s="5" t="s">
        <v>240</v>
      </c>
      <c r="DJ3674" s="5" t="s">
        <v>240</v>
      </c>
      <c r="DK3674" s="5" t="s">
        <v>240</v>
      </c>
      <c r="DL3674" s="5" t="s">
        <v>240</v>
      </c>
      <c r="DM3674" s="5" t="s">
        <v>240</v>
      </c>
      <c r="DN3674" s="5" t="s">
        <v>240</v>
      </c>
      <c r="DO3674" s="7" t="s">
        <v>240</v>
      </c>
      <c r="DP3674" s="5" t="s">
        <v>240</v>
      </c>
      <c r="DQ3674" s="5" t="s">
        <v>240</v>
      </c>
      <c r="DR3674" s="5" t="s">
        <v>731</v>
      </c>
      <c r="DS3674" s="5" t="s">
        <v>731</v>
      </c>
      <c r="DT3674" s="5" t="s">
        <v>240</v>
      </c>
      <c r="DU3674" s="5" t="s">
        <v>240</v>
      </c>
      <c r="DV3674" s="5" t="s">
        <v>3683</v>
      </c>
      <c r="DW3674" s="5" t="s">
        <v>346</v>
      </c>
      <c r="DX3674" s="5" t="s">
        <v>240</v>
      </c>
      <c r="DY3674" s="5" t="s">
        <v>240</v>
      </c>
      <c r="DZ3674" s="5" t="s">
        <v>240</v>
      </c>
      <c r="EA3674" s="5" t="s">
        <v>240</v>
      </c>
      <c r="EB3674" s="5" t="s">
        <v>240</v>
      </c>
      <c r="EC3674" s="5" t="s">
        <v>240</v>
      </c>
      <c r="ED3674" s="5" t="s">
        <v>240</v>
      </c>
      <c r="EE3674" s="5" t="s">
        <v>240</v>
      </c>
      <c r="EF3674" s="5" t="s">
        <v>240</v>
      </c>
      <c r="EG3674" s="5" t="s">
        <v>240</v>
      </c>
      <c r="EH3674" s="5" t="s">
        <v>240</v>
      </c>
      <c r="EI3674" s="5" t="s">
        <v>240</v>
      </c>
      <c r="EJ3674" s="5" t="s">
        <v>240</v>
      </c>
      <c r="EK3674" s="5" t="s">
        <v>240</v>
      </c>
      <c r="EL3674" s="5" t="s">
        <v>240</v>
      </c>
      <c r="EM3674" s="5" t="s">
        <v>240</v>
      </c>
      <c r="EN3674" s="5" t="s">
        <v>240</v>
      </c>
      <c r="EO3674" s="5" t="s">
        <v>240</v>
      </c>
      <c r="EP3674" s="5" t="s">
        <v>240</v>
      </c>
      <c r="EQ3674" s="5" t="s">
        <v>240</v>
      </c>
      <c r="ER3674" s="5" t="s">
        <v>240</v>
      </c>
      <c r="ES3674" s="5" t="s">
        <v>240</v>
      </c>
      <c r="ET3674" s="5" t="s">
        <v>240</v>
      </c>
      <c r="EU3674" s="5" t="s">
        <v>240</v>
      </c>
      <c r="EV3674" s="5" t="s">
        <v>240</v>
      </c>
      <c r="EW3674" s="5" t="s">
        <v>240</v>
      </c>
      <c r="EX3674" s="5" t="s">
        <v>240</v>
      </c>
      <c r="EY3674" s="5" t="s">
        <v>240</v>
      </c>
      <c r="EZ3674" s="5" t="s">
        <v>240</v>
      </c>
      <c r="FA3674" s="5" t="s">
        <v>240</v>
      </c>
      <c r="FB3674" s="5" t="s">
        <v>240</v>
      </c>
      <c r="FC3674" s="5" t="s">
        <v>240</v>
      </c>
      <c r="FD3674" s="5" t="s">
        <v>240</v>
      </c>
      <c r="FE3674" s="5" t="s">
        <v>240</v>
      </c>
      <c r="FF3674" s="5" t="s">
        <v>240</v>
      </c>
      <c r="FG3674" s="5" t="s">
        <v>240</v>
      </c>
      <c r="FH3674" s="5" t="s">
        <v>240</v>
      </c>
      <c r="FI3674" s="5" t="s">
        <v>240</v>
      </c>
      <c r="FJ3674" s="5" t="s">
        <v>240</v>
      </c>
      <c r="FK3674" s="5" t="s">
        <v>240</v>
      </c>
      <c r="FL3674" s="5" t="s">
        <v>240</v>
      </c>
      <c r="FM3674" s="5" t="s">
        <v>240</v>
      </c>
      <c r="FN3674" s="5" t="s">
        <v>240</v>
      </c>
      <c r="FO3674" s="5" t="s">
        <v>240</v>
      </c>
      <c r="FP3674" s="5" t="s">
        <v>240</v>
      </c>
      <c r="FQ3674" s="5" t="s">
        <v>240</v>
      </c>
      <c r="FR3674" s="5" t="s">
        <v>240</v>
      </c>
      <c r="FS3674" s="5" t="s">
        <v>240</v>
      </c>
      <c r="FT3674" s="5" t="s">
        <v>240</v>
      </c>
      <c r="FU3674" s="5" t="s">
        <v>240</v>
      </c>
      <c r="FV3674" s="5" t="s">
        <v>240</v>
      </c>
      <c r="FW3674" s="5" t="s">
        <v>240</v>
      </c>
      <c r="FX3674" s="5" t="s">
        <v>240</v>
      </c>
      <c r="FY3674" s="5" t="s">
        <v>240</v>
      </c>
      <c r="FZ3674" s="5" t="s">
        <v>240</v>
      </c>
      <c r="GA3674" s="5" t="s">
        <v>240</v>
      </c>
      <c r="GB3674" s="5" t="s">
        <v>240</v>
      </c>
      <c r="GC3674" s="5" t="s">
        <v>240</v>
      </c>
      <c r="GD3674" s="5" t="s">
        <v>240</v>
      </c>
      <c r="GE3674" s="5" t="s">
        <v>240</v>
      </c>
      <c r="GF3674" s="5" t="s">
        <v>240</v>
      </c>
      <c r="GG3674" s="5" t="s">
        <v>240</v>
      </c>
      <c r="GH3674" s="5" t="s">
        <v>240</v>
      </c>
      <c r="GI3674" s="5" t="s">
        <v>240</v>
      </c>
      <c r="GJ3674" s="5" t="s">
        <v>240</v>
      </c>
      <c r="GK3674" s="5" t="s">
        <v>240</v>
      </c>
      <c r="GL3674" s="5" t="s">
        <v>240</v>
      </c>
      <c r="GM3674" s="5" t="s">
        <v>240</v>
      </c>
      <c r="GN3674" s="5" t="s">
        <v>240</v>
      </c>
      <c r="GO3674" s="5" t="s">
        <v>240</v>
      </c>
      <c r="GP3674" s="5" t="s">
        <v>240</v>
      </c>
      <c r="GQ3674" s="5" t="s">
        <v>240</v>
      </c>
      <c r="GR3674" s="5" t="s">
        <v>240</v>
      </c>
      <c r="GS3674" s="5" t="s">
        <v>240</v>
      </c>
      <c r="GT3674" s="5" t="s">
        <v>240</v>
      </c>
      <c r="GU3674" s="5" t="s">
        <v>240</v>
      </c>
      <c r="GV3674" s="5" t="s">
        <v>240</v>
      </c>
      <c r="GW3674" s="5" t="s">
        <v>240</v>
      </c>
      <c r="GX3674" s="5" t="s">
        <v>240</v>
      </c>
      <c r="GY3674" s="5" t="s">
        <v>240</v>
      </c>
      <c r="GZ3674" s="5" t="s">
        <v>240</v>
      </c>
      <c r="HA3674" s="5" t="s">
        <v>240</v>
      </c>
      <c r="HB3674" s="5" t="s">
        <v>240</v>
      </c>
      <c r="HC3674" s="5" t="s">
        <v>240</v>
      </c>
      <c r="HD3674" s="5" t="s">
        <v>240</v>
      </c>
      <c r="HE3674" s="5" t="s">
        <v>240</v>
      </c>
      <c r="HF3674" s="5" t="s">
        <v>240</v>
      </c>
      <c r="HG3674" s="5" t="s">
        <v>240</v>
      </c>
      <c r="HH3674" s="5" t="s">
        <v>240</v>
      </c>
      <c r="HI3674" s="5" t="s">
        <v>240</v>
      </c>
      <c r="HJ3674" s="5" t="s">
        <v>240</v>
      </c>
      <c r="HK3674" s="5" t="s">
        <v>240</v>
      </c>
      <c r="HL3674" s="5" t="s">
        <v>240</v>
      </c>
      <c r="HM3674" s="5" t="s">
        <v>240</v>
      </c>
      <c r="HN3674" s="5" t="s">
        <v>240</v>
      </c>
      <c r="HO3674" s="5" t="s">
        <v>312</v>
      </c>
      <c r="HP3674" s="5" t="s">
        <v>240</v>
      </c>
      <c r="HQ3674" s="5" t="s">
        <v>240</v>
      </c>
      <c r="HR3674" s="5" t="s">
        <v>240</v>
      </c>
      <c r="HS3674" s="5" t="s">
        <v>240</v>
      </c>
      <c r="HT3674" s="5" t="s">
        <v>240</v>
      </c>
      <c r="HU3674" s="5" t="s">
        <v>240</v>
      </c>
      <c r="HV3674" s="5" t="s">
        <v>240</v>
      </c>
      <c r="HW3674" s="5" t="s">
        <v>240</v>
      </c>
      <c r="HX3674" s="5" t="s">
        <v>240</v>
      </c>
      <c r="HY3674" s="5" t="s">
        <v>240</v>
      </c>
      <c r="HZ3674" s="5" t="s">
        <v>240</v>
      </c>
      <c r="IA3674" s="5" t="s">
        <v>240</v>
      </c>
      <c r="IB3674" s="5" t="s">
        <v>240</v>
      </c>
      <c r="IC3674" s="5" t="s">
        <v>240</v>
      </c>
      <c r="ID3674" s="5" t="s">
        <v>240</v>
      </c>
      <c r="IE3674" s="5" t="s">
        <v>240</v>
      </c>
      <c r="IF3674" s="5" t="s">
        <v>240</v>
      </c>
    </row>
    <row r="3675" spans="1:240" x14ac:dyDescent="0.4">
      <c r="A3675" s="5">
        <v>9217</v>
      </c>
      <c r="B3675" s="5">
        <v>1</v>
      </c>
      <c r="C3675" s="5">
        <v>1</v>
      </c>
      <c r="D3675" s="5" t="s">
        <v>723</v>
      </c>
      <c r="E3675" s="5" t="s">
        <v>725</v>
      </c>
      <c r="F3675" s="5" t="s">
        <v>254</v>
      </c>
      <c r="G3675" s="5" t="s">
        <v>6358</v>
      </c>
      <c r="H3675" s="6" t="s">
        <v>6359</v>
      </c>
      <c r="I3675" s="5" t="s">
        <v>6357</v>
      </c>
      <c r="J3675" s="7">
        <f>1</f>
        <v>1</v>
      </c>
      <c r="K3675" s="5" t="s">
        <v>3682</v>
      </c>
      <c r="L3675" s="7">
        <f>1</f>
        <v>1</v>
      </c>
      <c r="M3675" s="7">
        <f>1</f>
        <v>1</v>
      </c>
      <c r="N3675" s="5" t="s">
        <v>242</v>
      </c>
      <c r="O3675" s="5">
        <v>1</v>
      </c>
      <c r="P3675" s="5" t="s">
        <v>294</v>
      </c>
      <c r="Q3675" s="5" t="s">
        <v>266</v>
      </c>
      <c r="R3675" s="5" t="s">
        <v>240</v>
      </c>
      <c r="S3675" s="5" t="s">
        <v>240</v>
      </c>
      <c r="T3675" s="5" t="s">
        <v>243</v>
      </c>
      <c r="U3675" s="5" t="s">
        <v>240</v>
      </c>
      <c r="V3675" s="5" t="s">
        <v>240</v>
      </c>
      <c r="Y3675" s="5" t="s">
        <v>240</v>
      </c>
      <c r="Z3675" s="6" t="s">
        <v>6482</v>
      </c>
      <c r="AB3675" s="6" t="s">
        <v>240</v>
      </c>
      <c r="AE3675" s="6" t="s">
        <v>299</v>
      </c>
      <c r="AF3675" s="5" t="s">
        <v>248</v>
      </c>
      <c r="AG3675" s="5" t="s">
        <v>249</v>
      </c>
      <c r="AW3675" s="5" t="s">
        <v>251</v>
      </c>
      <c r="AX3675" s="5" t="s">
        <v>240</v>
      </c>
      <c r="AY3675" s="5" t="s">
        <v>253</v>
      </c>
      <c r="AZ3675" s="5" t="s">
        <v>240</v>
      </c>
      <c r="BA3675" s="5" t="s">
        <v>255</v>
      </c>
      <c r="BB3675" s="5" t="s">
        <v>240</v>
      </c>
      <c r="BD3675" s="5" t="s">
        <v>240</v>
      </c>
      <c r="BF3675" s="5" t="s">
        <v>301</v>
      </c>
      <c r="BG3675" s="6" t="s">
        <v>6482</v>
      </c>
      <c r="BH3675" s="5" t="s">
        <v>302</v>
      </c>
      <c r="BI3675" s="5" t="s">
        <v>448</v>
      </c>
      <c r="BJ3675" s="5" t="s">
        <v>240</v>
      </c>
      <c r="BK3675" s="8">
        <f>0</f>
        <v>0</v>
      </c>
      <c r="BL3675" s="7">
        <f>0</f>
        <v>0</v>
      </c>
      <c r="BM3675" s="5" t="s">
        <v>258</v>
      </c>
      <c r="BN3675" s="5" t="s">
        <v>259</v>
      </c>
      <c r="CB3675" s="5" t="s">
        <v>240</v>
      </c>
      <c r="CC3675" s="5" t="s">
        <v>240</v>
      </c>
      <c r="CG3675" s="5" t="s">
        <v>449</v>
      </c>
      <c r="CH3675" s="5" t="s">
        <v>305</v>
      </c>
      <c r="CI3675" s="5" t="s">
        <v>240</v>
      </c>
      <c r="CL3675" s="6" t="s">
        <v>261</v>
      </c>
      <c r="CM3675" s="5" t="s">
        <v>240</v>
      </c>
      <c r="CN3675" s="5" t="s">
        <v>263</v>
      </c>
      <c r="CO3675" s="5" t="s">
        <v>240</v>
      </c>
      <c r="CP3675" s="5" t="s">
        <v>240</v>
      </c>
      <c r="CQ3675" s="5">
        <v>0</v>
      </c>
      <c r="CR3675" s="5" t="s">
        <v>306</v>
      </c>
      <c r="CS3675" s="5" t="s">
        <v>307</v>
      </c>
      <c r="CT3675" s="5" t="s">
        <v>307</v>
      </c>
      <c r="CU3675" s="5" t="s">
        <v>260</v>
      </c>
      <c r="CX3675" s="7">
        <f>1903083</f>
        <v>1903083</v>
      </c>
      <c r="CY3675" s="7">
        <f>0</f>
        <v>0</v>
      </c>
      <c r="DA3675" s="7">
        <f>0</f>
        <v>0</v>
      </c>
      <c r="DC3675" s="5" t="s">
        <v>450</v>
      </c>
      <c r="DD3675" s="5" t="s">
        <v>240</v>
      </c>
      <c r="DF3675" s="5" t="s">
        <v>450</v>
      </c>
      <c r="DG3675" s="7">
        <f>0</f>
        <v>0</v>
      </c>
      <c r="DI3675" s="5" t="s">
        <v>240</v>
      </c>
      <c r="DJ3675" s="5" t="s">
        <v>240</v>
      </c>
      <c r="DK3675" s="5" t="s">
        <v>240</v>
      </c>
      <c r="DL3675" s="5" t="s">
        <v>240</v>
      </c>
      <c r="DP3675" s="5" t="s">
        <v>240</v>
      </c>
      <c r="DQ3675" s="5" t="s">
        <v>240</v>
      </c>
      <c r="DR3675" s="5" t="s">
        <v>240</v>
      </c>
      <c r="DS3675" s="5" t="s">
        <v>240</v>
      </c>
      <c r="DV3675" s="5" t="s">
        <v>310</v>
      </c>
      <c r="DW3675" s="5" t="s">
        <v>2332</v>
      </c>
      <c r="HO3675" s="5" t="s">
        <v>312</v>
      </c>
    </row>
    <row r="3676" spans="1:240" x14ac:dyDescent="0.4">
      <c r="A3676" s="5">
        <v>9218</v>
      </c>
      <c r="B3676" s="5">
        <v>1</v>
      </c>
      <c r="C3676" s="5">
        <v>1</v>
      </c>
      <c r="D3676" s="5" t="s">
        <v>723</v>
      </c>
      <c r="E3676" s="5" t="s">
        <v>725</v>
      </c>
      <c r="F3676" s="5" t="s">
        <v>254</v>
      </c>
      <c r="G3676" s="5" t="s">
        <v>726</v>
      </c>
      <c r="H3676" s="6" t="s">
        <v>5633</v>
      </c>
      <c r="I3676" s="5" t="s">
        <v>5632</v>
      </c>
      <c r="J3676" s="7">
        <f>1</f>
        <v>1</v>
      </c>
      <c r="K3676" s="5" t="s">
        <v>3682</v>
      </c>
      <c r="L3676" s="7">
        <f>1</f>
        <v>1</v>
      </c>
      <c r="M3676" s="7">
        <f>1</f>
        <v>1</v>
      </c>
      <c r="N3676" s="5" t="s">
        <v>242</v>
      </c>
      <c r="O3676" s="5">
        <v>1</v>
      </c>
      <c r="P3676" s="5" t="s">
        <v>294</v>
      </c>
      <c r="Q3676" s="5" t="s">
        <v>266</v>
      </c>
      <c r="R3676" s="5" t="s">
        <v>240</v>
      </c>
      <c r="S3676" s="5" t="s">
        <v>240</v>
      </c>
      <c r="T3676" s="5" t="s">
        <v>243</v>
      </c>
      <c r="U3676" s="5" t="s">
        <v>244</v>
      </c>
      <c r="V3676" s="5" t="s">
        <v>240</v>
      </c>
      <c r="Y3676" s="5" t="s">
        <v>240</v>
      </c>
      <c r="Z3676" s="6" t="s">
        <v>1894</v>
      </c>
      <c r="AB3676" s="6" t="s">
        <v>240</v>
      </c>
      <c r="AE3676" s="6" t="s">
        <v>299</v>
      </c>
      <c r="AF3676" s="5" t="s">
        <v>248</v>
      </c>
      <c r="AG3676" s="5" t="s">
        <v>249</v>
      </c>
      <c r="AW3676" s="5" t="s">
        <v>251</v>
      </c>
      <c r="AX3676" s="5" t="s">
        <v>240</v>
      </c>
      <c r="AY3676" s="5" t="s">
        <v>253</v>
      </c>
      <c r="AZ3676" s="5" t="s">
        <v>240</v>
      </c>
      <c r="BA3676" s="5" t="s">
        <v>255</v>
      </c>
      <c r="BB3676" s="5" t="s">
        <v>240</v>
      </c>
      <c r="BD3676" s="5" t="s">
        <v>240</v>
      </c>
      <c r="BF3676" s="5" t="s">
        <v>301</v>
      </c>
      <c r="BG3676" s="6" t="s">
        <v>1894</v>
      </c>
      <c r="BH3676" s="5" t="s">
        <v>302</v>
      </c>
      <c r="BI3676" s="5" t="s">
        <v>448</v>
      </c>
      <c r="BJ3676" s="5" t="s">
        <v>240</v>
      </c>
      <c r="BK3676" s="8">
        <f>0</f>
        <v>0</v>
      </c>
      <c r="BL3676" s="7">
        <f>0</f>
        <v>0</v>
      </c>
      <c r="BM3676" s="5" t="s">
        <v>258</v>
      </c>
      <c r="BN3676" s="5" t="s">
        <v>259</v>
      </c>
      <c r="CB3676" s="5" t="s">
        <v>240</v>
      </c>
      <c r="CC3676" s="5" t="s">
        <v>240</v>
      </c>
      <c r="CG3676" s="5" t="s">
        <v>449</v>
      </c>
      <c r="CH3676" s="5" t="s">
        <v>305</v>
      </c>
      <c r="CI3676" s="5" t="s">
        <v>240</v>
      </c>
      <c r="CL3676" s="6" t="s">
        <v>261</v>
      </c>
      <c r="CM3676" s="5" t="s">
        <v>240</v>
      </c>
      <c r="CN3676" s="5" t="s">
        <v>263</v>
      </c>
      <c r="CO3676" s="5" t="s">
        <v>240</v>
      </c>
      <c r="CP3676" s="5" t="s">
        <v>240</v>
      </c>
      <c r="CQ3676" s="5">
        <v>0</v>
      </c>
      <c r="CR3676" s="5" t="s">
        <v>306</v>
      </c>
      <c r="CS3676" s="5" t="s">
        <v>307</v>
      </c>
      <c r="CT3676" s="5" t="s">
        <v>307</v>
      </c>
      <c r="CU3676" s="5" t="s">
        <v>260</v>
      </c>
      <c r="CX3676" s="7">
        <f>5165340</f>
        <v>5165340</v>
      </c>
      <c r="CY3676" s="7">
        <f>0</f>
        <v>0</v>
      </c>
      <c r="DA3676" s="7">
        <f>0</f>
        <v>0</v>
      </c>
      <c r="DC3676" s="5" t="s">
        <v>450</v>
      </c>
      <c r="DD3676" s="5" t="s">
        <v>240</v>
      </c>
      <c r="DF3676" s="5" t="s">
        <v>450</v>
      </c>
      <c r="DG3676" s="7">
        <f>451.93</f>
        <v>451.93</v>
      </c>
      <c r="DI3676" s="5" t="s">
        <v>240</v>
      </c>
      <c r="DJ3676" s="5" t="s">
        <v>240</v>
      </c>
      <c r="DK3676" s="5" t="s">
        <v>240</v>
      </c>
      <c r="DL3676" s="5" t="s">
        <v>240</v>
      </c>
      <c r="DP3676" s="5" t="s">
        <v>240</v>
      </c>
      <c r="DQ3676" s="5" t="s">
        <v>240</v>
      </c>
      <c r="DR3676" s="5" t="s">
        <v>240</v>
      </c>
      <c r="DS3676" s="5" t="s">
        <v>240</v>
      </c>
      <c r="DV3676" s="5" t="s">
        <v>310</v>
      </c>
      <c r="DW3676" s="5" t="s">
        <v>2562</v>
      </c>
      <c r="HO3676" s="5" t="s">
        <v>312</v>
      </c>
    </row>
    <row r="3677" spans="1:240" x14ac:dyDescent="0.4">
      <c r="A3677" s="5">
        <v>9219</v>
      </c>
      <c r="B3677" s="5">
        <v>1</v>
      </c>
      <c r="C3677" s="5">
        <v>1</v>
      </c>
      <c r="D3677" s="5" t="s">
        <v>723</v>
      </c>
      <c r="E3677" s="5" t="s">
        <v>725</v>
      </c>
      <c r="F3677" s="5" t="s">
        <v>254</v>
      </c>
      <c r="G3677" s="5" t="s">
        <v>726</v>
      </c>
      <c r="H3677" s="6" t="s">
        <v>5631</v>
      </c>
      <c r="I3677" s="5" t="s">
        <v>5630</v>
      </c>
      <c r="J3677" s="7">
        <f>1</f>
        <v>1</v>
      </c>
      <c r="K3677" s="5" t="s">
        <v>3682</v>
      </c>
      <c r="L3677" s="7">
        <f>1</f>
        <v>1</v>
      </c>
      <c r="M3677" s="7">
        <f>1</f>
        <v>1</v>
      </c>
      <c r="N3677" s="5" t="s">
        <v>242</v>
      </c>
      <c r="O3677" s="5">
        <v>1</v>
      </c>
      <c r="P3677" s="5" t="s">
        <v>294</v>
      </c>
      <c r="Q3677" s="5" t="s">
        <v>266</v>
      </c>
      <c r="R3677" s="5" t="s">
        <v>240</v>
      </c>
      <c r="S3677" s="5" t="s">
        <v>240</v>
      </c>
      <c r="T3677" s="5" t="s">
        <v>243</v>
      </c>
      <c r="U3677" s="5" t="s">
        <v>240</v>
      </c>
      <c r="V3677" s="5" t="s">
        <v>240</v>
      </c>
      <c r="Y3677" s="5" t="s">
        <v>240</v>
      </c>
      <c r="Z3677" s="6" t="s">
        <v>6521</v>
      </c>
      <c r="AB3677" s="6" t="s">
        <v>240</v>
      </c>
      <c r="AE3677" s="6" t="s">
        <v>299</v>
      </c>
      <c r="AF3677" s="5" t="s">
        <v>248</v>
      </c>
      <c r="AG3677" s="5" t="s">
        <v>249</v>
      </c>
      <c r="AW3677" s="5" t="s">
        <v>251</v>
      </c>
      <c r="AX3677" s="5" t="s">
        <v>240</v>
      </c>
      <c r="AY3677" s="5" t="s">
        <v>253</v>
      </c>
      <c r="AZ3677" s="5" t="s">
        <v>240</v>
      </c>
      <c r="BA3677" s="5" t="s">
        <v>255</v>
      </c>
      <c r="BB3677" s="5" t="s">
        <v>240</v>
      </c>
      <c r="BD3677" s="5" t="s">
        <v>240</v>
      </c>
      <c r="BF3677" s="5" t="s">
        <v>301</v>
      </c>
      <c r="BG3677" s="6" t="s">
        <v>6521</v>
      </c>
      <c r="BH3677" s="5" t="s">
        <v>302</v>
      </c>
      <c r="BI3677" s="5" t="s">
        <v>448</v>
      </c>
      <c r="BJ3677" s="5" t="s">
        <v>240</v>
      </c>
      <c r="BK3677" s="8">
        <f>0</f>
        <v>0</v>
      </c>
      <c r="BL3677" s="7">
        <f>0</f>
        <v>0</v>
      </c>
      <c r="BM3677" s="5" t="s">
        <v>258</v>
      </c>
      <c r="BN3677" s="5" t="s">
        <v>259</v>
      </c>
      <c r="CB3677" s="5" t="s">
        <v>240</v>
      </c>
      <c r="CC3677" s="5" t="s">
        <v>240</v>
      </c>
      <c r="CG3677" s="5" t="s">
        <v>449</v>
      </c>
      <c r="CH3677" s="5" t="s">
        <v>305</v>
      </c>
      <c r="CI3677" s="5" t="s">
        <v>240</v>
      </c>
      <c r="CL3677" s="6" t="s">
        <v>261</v>
      </c>
      <c r="CM3677" s="5" t="s">
        <v>240</v>
      </c>
      <c r="CN3677" s="5" t="s">
        <v>263</v>
      </c>
      <c r="CO3677" s="5" t="s">
        <v>240</v>
      </c>
      <c r="CP3677" s="5" t="s">
        <v>240</v>
      </c>
      <c r="CQ3677" s="5">
        <v>0</v>
      </c>
      <c r="CR3677" s="5" t="s">
        <v>306</v>
      </c>
      <c r="CS3677" s="5" t="s">
        <v>307</v>
      </c>
      <c r="CT3677" s="5" t="s">
        <v>307</v>
      </c>
      <c r="CU3677" s="5" t="s">
        <v>260</v>
      </c>
      <c r="CX3677" s="7">
        <f>3398158</f>
        <v>3398158</v>
      </c>
      <c r="CY3677" s="7">
        <f>0</f>
        <v>0</v>
      </c>
      <c r="DA3677" s="7">
        <f>0</f>
        <v>0</v>
      </c>
      <c r="DC3677" s="5" t="s">
        <v>450</v>
      </c>
      <c r="DD3677" s="5" t="s">
        <v>240</v>
      </c>
      <c r="DF3677" s="5" t="s">
        <v>450</v>
      </c>
      <c r="DG3677" s="7">
        <f>0</f>
        <v>0</v>
      </c>
      <c r="DI3677" s="5" t="s">
        <v>240</v>
      </c>
      <c r="DJ3677" s="5" t="s">
        <v>240</v>
      </c>
      <c r="DK3677" s="5" t="s">
        <v>240</v>
      </c>
      <c r="DL3677" s="5" t="s">
        <v>240</v>
      </c>
      <c r="DP3677" s="5" t="s">
        <v>240</v>
      </c>
      <c r="DQ3677" s="5" t="s">
        <v>240</v>
      </c>
      <c r="DR3677" s="5" t="s">
        <v>240</v>
      </c>
      <c r="DS3677" s="5" t="s">
        <v>240</v>
      </c>
      <c r="DV3677" s="5" t="s">
        <v>310</v>
      </c>
      <c r="DW3677" s="5" t="s">
        <v>2330</v>
      </c>
      <c r="HO3677" s="5" t="s">
        <v>312</v>
      </c>
    </row>
    <row r="3678" spans="1:240" x14ac:dyDescent="0.4">
      <c r="A3678" s="5">
        <v>9220</v>
      </c>
      <c r="B3678" s="5">
        <v>1</v>
      </c>
      <c r="C3678" s="5">
        <v>1</v>
      </c>
      <c r="D3678" s="5" t="s">
        <v>723</v>
      </c>
      <c r="E3678" s="5" t="s">
        <v>725</v>
      </c>
      <c r="F3678" s="5" t="s">
        <v>254</v>
      </c>
      <c r="G3678" s="5" t="s">
        <v>726</v>
      </c>
      <c r="H3678" s="6" t="s">
        <v>5629</v>
      </c>
      <c r="I3678" s="5" t="s">
        <v>5628</v>
      </c>
      <c r="J3678" s="7">
        <f>1</f>
        <v>1</v>
      </c>
      <c r="K3678" s="5" t="s">
        <v>3682</v>
      </c>
      <c r="L3678" s="7">
        <f>1</f>
        <v>1</v>
      </c>
      <c r="M3678" s="7">
        <f>1</f>
        <v>1</v>
      </c>
      <c r="N3678" s="5" t="s">
        <v>242</v>
      </c>
      <c r="O3678" s="5">
        <v>1</v>
      </c>
      <c r="P3678" s="5" t="s">
        <v>294</v>
      </c>
      <c r="Q3678" s="5" t="s">
        <v>266</v>
      </c>
      <c r="R3678" s="5" t="s">
        <v>240</v>
      </c>
      <c r="S3678" s="5" t="s">
        <v>240</v>
      </c>
      <c r="T3678" s="5" t="s">
        <v>243</v>
      </c>
      <c r="U3678" s="5" t="s">
        <v>240</v>
      </c>
      <c r="V3678" s="5" t="s">
        <v>240</v>
      </c>
      <c r="Y3678" s="5" t="s">
        <v>240</v>
      </c>
      <c r="Z3678" s="6" t="s">
        <v>6523</v>
      </c>
      <c r="AB3678" s="6" t="s">
        <v>240</v>
      </c>
      <c r="AE3678" s="6" t="s">
        <v>299</v>
      </c>
      <c r="AF3678" s="5" t="s">
        <v>248</v>
      </c>
      <c r="AG3678" s="5" t="s">
        <v>249</v>
      </c>
      <c r="AW3678" s="5" t="s">
        <v>251</v>
      </c>
      <c r="AX3678" s="5" t="s">
        <v>240</v>
      </c>
      <c r="AY3678" s="5" t="s">
        <v>253</v>
      </c>
      <c r="AZ3678" s="5" t="s">
        <v>240</v>
      </c>
      <c r="BA3678" s="5" t="s">
        <v>255</v>
      </c>
      <c r="BB3678" s="5" t="s">
        <v>240</v>
      </c>
      <c r="BD3678" s="5" t="s">
        <v>240</v>
      </c>
      <c r="BF3678" s="5" t="s">
        <v>301</v>
      </c>
      <c r="BG3678" s="6" t="s">
        <v>6523</v>
      </c>
      <c r="BH3678" s="5" t="s">
        <v>302</v>
      </c>
      <c r="BI3678" s="5" t="s">
        <v>448</v>
      </c>
      <c r="BJ3678" s="5" t="s">
        <v>240</v>
      </c>
      <c r="BK3678" s="8">
        <f>0</f>
        <v>0</v>
      </c>
      <c r="BL3678" s="7">
        <f>0</f>
        <v>0</v>
      </c>
      <c r="BM3678" s="5" t="s">
        <v>258</v>
      </c>
      <c r="BN3678" s="5" t="s">
        <v>259</v>
      </c>
      <c r="CB3678" s="5" t="s">
        <v>240</v>
      </c>
      <c r="CC3678" s="5" t="s">
        <v>240</v>
      </c>
      <c r="CG3678" s="5" t="s">
        <v>449</v>
      </c>
      <c r="CH3678" s="5" t="s">
        <v>305</v>
      </c>
      <c r="CI3678" s="5" t="s">
        <v>240</v>
      </c>
      <c r="CL3678" s="6" t="s">
        <v>261</v>
      </c>
      <c r="CM3678" s="5" t="s">
        <v>240</v>
      </c>
      <c r="CN3678" s="5" t="s">
        <v>263</v>
      </c>
      <c r="CO3678" s="5" t="s">
        <v>240</v>
      </c>
      <c r="CP3678" s="5" t="s">
        <v>240</v>
      </c>
      <c r="CQ3678" s="5">
        <v>0</v>
      </c>
      <c r="CR3678" s="5" t="s">
        <v>306</v>
      </c>
      <c r="CS3678" s="5" t="s">
        <v>307</v>
      </c>
      <c r="CT3678" s="5" t="s">
        <v>307</v>
      </c>
      <c r="CU3678" s="5" t="s">
        <v>260</v>
      </c>
      <c r="CX3678" s="7">
        <f>1549106</f>
        <v>1549106</v>
      </c>
      <c r="CY3678" s="7">
        <f>0</f>
        <v>0</v>
      </c>
      <c r="DA3678" s="7">
        <f>0</f>
        <v>0</v>
      </c>
      <c r="DC3678" s="5" t="s">
        <v>450</v>
      </c>
      <c r="DD3678" s="5" t="s">
        <v>240</v>
      </c>
      <c r="DF3678" s="5" t="s">
        <v>450</v>
      </c>
      <c r="DG3678" s="7">
        <f>0</f>
        <v>0</v>
      </c>
      <c r="DI3678" s="5" t="s">
        <v>240</v>
      </c>
      <c r="DJ3678" s="5" t="s">
        <v>240</v>
      </c>
      <c r="DK3678" s="5" t="s">
        <v>240</v>
      </c>
      <c r="DL3678" s="5" t="s">
        <v>240</v>
      </c>
      <c r="DP3678" s="5" t="s">
        <v>240</v>
      </c>
      <c r="DQ3678" s="5" t="s">
        <v>240</v>
      </c>
      <c r="DR3678" s="5" t="s">
        <v>240</v>
      </c>
      <c r="DS3678" s="5" t="s">
        <v>240</v>
      </c>
      <c r="DV3678" s="5" t="s">
        <v>310</v>
      </c>
      <c r="DW3678" s="5" t="s">
        <v>2326</v>
      </c>
      <c r="HO3678" s="5" t="s">
        <v>312</v>
      </c>
    </row>
    <row r="3679" spans="1:240" x14ac:dyDescent="0.4">
      <c r="A3679" s="5">
        <v>9221</v>
      </c>
      <c r="B3679" s="5">
        <v>1</v>
      </c>
      <c r="C3679" s="5">
        <v>1</v>
      </c>
      <c r="D3679" s="5" t="s">
        <v>723</v>
      </c>
      <c r="E3679" s="5" t="s">
        <v>725</v>
      </c>
      <c r="F3679" s="5" t="s">
        <v>254</v>
      </c>
      <c r="G3679" s="5" t="s">
        <v>726</v>
      </c>
      <c r="H3679" s="6" t="s">
        <v>6355</v>
      </c>
      <c r="I3679" s="5" t="s">
        <v>6354</v>
      </c>
      <c r="J3679" s="7">
        <f>1</f>
        <v>1</v>
      </c>
      <c r="K3679" s="5" t="s">
        <v>3682</v>
      </c>
      <c r="L3679" s="7">
        <f>1</f>
        <v>1</v>
      </c>
      <c r="M3679" s="7">
        <f>1</f>
        <v>1</v>
      </c>
      <c r="N3679" s="5" t="s">
        <v>242</v>
      </c>
      <c r="O3679" s="5">
        <v>1</v>
      </c>
      <c r="P3679" s="5" t="s">
        <v>294</v>
      </c>
      <c r="Q3679" s="5" t="s">
        <v>266</v>
      </c>
      <c r="R3679" s="5" t="s">
        <v>240</v>
      </c>
      <c r="S3679" s="5" t="s">
        <v>240</v>
      </c>
      <c r="T3679" s="5" t="s">
        <v>243</v>
      </c>
      <c r="U3679" s="5" t="s">
        <v>244</v>
      </c>
      <c r="V3679" s="5" t="s">
        <v>240</v>
      </c>
      <c r="Y3679" s="5" t="s">
        <v>240</v>
      </c>
      <c r="Z3679" s="6" t="s">
        <v>2667</v>
      </c>
      <c r="AB3679" s="6" t="s">
        <v>240</v>
      </c>
      <c r="AE3679" s="6" t="s">
        <v>299</v>
      </c>
      <c r="AF3679" s="5" t="s">
        <v>248</v>
      </c>
      <c r="AG3679" s="5" t="s">
        <v>249</v>
      </c>
      <c r="AW3679" s="5" t="s">
        <v>251</v>
      </c>
      <c r="AX3679" s="5" t="s">
        <v>240</v>
      </c>
      <c r="AY3679" s="5" t="s">
        <v>253</v>
      </c>
      <c r="AZ3679" s="5" t="s">
        <v>240</v>
      </c>
      <c r="BA3679" s="5" t="s">
        <v>255</v>
      </c>
      <c r="BB3679" s="5" t="s">
        <v>240</v>
      </c>
      <c r="BD3679" s="5" t="s">
        <v>240</v>
      </c>
      <c r="BF3679" s="5" t="s">
        <v>301</v>
      </c>
      <c r="BG3679" s="6" t="s">
        <v>2667</v>
      </c>
      <c r="BH3679" s="5" t="s">
        <v>302</v>
      </c>
      <c r="BI3679" s="5" t="s">
        <v>448</v>
      </c>
      <c r="BJ3679" s="5" t="s">
        <v>240</v>
      </c>
      <c r="BK3679" s="8">
        <f>0</f>
        <v>0</v>
      </c>
      <c r="BL3679" s="7">
        <f>0</f>
        <v>0</v>
      </c>
      <c r="BM3679" s="5" t="s">
        <v>258</v>
      </c>
      <c r="BN3679" s="5" t="s">
        <v>259</v>
      </c>
      <c r="CB3679" s="5" t="s">
        <v>240</v>
      </c>
      <c r="CC3679" s="5" t="s">
        <v>240</v>
      </c>
      <c r="CG3679" s="5" t="s">
        <v>449</v>
      </c>
      <c r="CH3679" s="5" t="s">
        <v>305</v>
      </c>
      <c r="CI3679" s="5" t="s">
        <v>240</v>
      </c>
      <c r="CL3679" s="6" t="s">
        <v>261</v>
      </c>
      <c r="CM3679" s="5" t="s">
        <v>240</v>
      </c>
      <c r="CN3679" s="5" t="s">
        <v>263</v>
      </c>
      <c r="CO3679" s="5" t="s">
        <v>240</v>
      </c>
      <c r="CP3679" s="5" t="s">
        <v>240</v>
      </c>
      <c r="CQ3679" s="5">
        <v>0</v>
      </c>
      <c r="CR3679" s="5" t="s">
        <v>306</v>
      </c>
      <c r="CS3679" s="5" t="s">
        <v>307</v>
      </c>
      <c r="CT3679" s="5" t="s">
        <v>307</v>
      </c>
      <c r="CU3679" s="5" t="s">
        <v>260</v>
      </c>
      <c r="CX3679" s="7">
        <f>40927658</f>
        <v>40927658</v>
      </c>
      <c r="CY3679" s="7">
        <f>0</f>
        <v>0</v>
      </c>
      <c r="DA3679" s="7">
        <f>0</f>
        <v>0</v>
      </c>
      <c r="DC3679" s="5" t="s">
        <v>450</v>
      </c>
      <c r="DD3679" s="5" t="s">
        <v>240</v>
      </c>
      <c r="DF3679" s="5" t="s">
        <v>450</v>
      </c>
      <c r="DG3679" s="7">
        <f>9277.24</f>
        <v>9277.24</v>
      </c>
      <c r="DI3679" s="5" t="s">
        <v>240</v>
      </c>
      <c r="DJ3679" s="5" t="s">
        <v>240</v>
      </c>
      <c r="DK3679" s="5" t="s">
        <v>240</v>
      </c>
      <c r="DL3679" s="5" t="s">
        <v>240</v>
      </c>
      <c r="DP3679" s="5" t="s">
        <v>240</v>
      </c>
      <c r="DQ3679" s="5" t="s">
        <v>240</v>
      </c>
      <c r="DR3679" s="5" t="s">
        <v>240</v>
      </c>
      <c r="DS3679" s="5" t="s">
        <v>240</v>
      </c>
      <c r="DV3679" s="5" t="s">
        <v>310</v>
      </c>
      <c r="DW3679" s="5" t="s">
        <v>2560</v>
      </c>
      <c r="HO3679" s="5" t="s">
        <v>312</v>
      </c>
    </row>
    <row r="3680" spans="1:240" x14ac:dyDescent="0.4">
      <c r="A3680" s="5">
        <v>9222</v>
      </c>
      <c r="B3680" s="5">
        <v>1</v>
      </c>
      <c r="C3680" s="5">
        <v>1</v>
      </c>
      <c r="D3680" s="5" t="s">
        <v>723</v>
      </c>
      <c r="E3680" s="5" t="s">
        <v>725</v>
      </c>
      <c r="F3680" s="5" t="s">
        <v>254</v>
      </c>
      <c r="G3680" s="5" t="s">
        <v>726</v>
      </c>
      <c r="H3680" s="6" t="s">
        <v>5626</v>
      </c>
      <c r="I3680" s="5" t="s">
        <v>5625</v>
      </c>
      <c r="J3680" s="7">
        <f>1</f>
        <v>1</v>
      </c>
      <c r="K3680" s="5" t="s">
        <v>3682</v>
      </c>
      <c r="L3680" s="7">
        <f>1</f>
        <v>1</v>
      </c>
      <c r="M3680" s="7">
        <f>1</f>
        <v>1</v>
      </c>
      <c r="N3680" s="5" t="s">
        <v>242</v>
      </c>
      <c r="O3680" s="5">
        <v>1</v>
      </c>
      <c r="P3680" s="5" t="s">
        <v>294</v>
      </c>
      <c r="Q3680" s="5" t="s">
        <v>266</v>
      </c>
      <c r="R3680" s="5" t="s">
        <v>240</v>
      </c>
      <c r="S3680" s="5" t="s">
        <v>240</v>
      </c>
      <c r="T3680" s="5" t="s">
        <v>243</v>
      </c>
      <c r="U3680" s="5" t="s">
        <v>244</v>
      </c>
      <c r="V3680" s="5" t="s">
        <v>240</v>
      </c>
      <c r="Y3680" s="5" t="s">
        <v>240</v>
      </c>
      <c r="Z3680" s="6" t="s">
        <v>3456</v>
      </c>
      <c r="AB3680" s="6" t="s">
        <v>240</v>
      </c>
      <c r="AE3680" s="6" t="s">
        <v>299</v>
      </c>
      <c r="AF3680" s="5" t="s">
        <v>248</v>
      </c>
      <c r="AG3680" s="5" t="s">
        <v>249</v>
      </c>
      <c r="AW3680" s="5" t="s">
        <v>251</v>
      </c>
      <c r="AX3680" s="5" t="s">
        <v>240</v>
      </c>
      <c r="AY3680" s="5" t="s">
        <v>253</v>
      </c>
      <c r="AZ3680" s="5" t="s">
        <v>240</v>
      </c>
      <c r="BA3680" s="5" t="s">
        <v>255</v>
      </c>
      <c r="BB3680" s="5" t="s">
        <v>240</v>
      </c>
      <c r="BD3680" s="5" t="s">
        <v>240</v>
      </c>
      <c r="BF3680" s="5" t="s">
        <v>301</v>
      </c>
      <c r="BG3680" s="6" t="s">
        <v>3456</v>
      </c>
      <c r="BH3680" s="5" t="s">
        <v>302</v>
      </c>
      <c r="BI3680" s="5" t="s">
        <v>448</v>
      </c>
      <c r="BJ3680" s="5" t="s">
        <v>240</v>
      </c>
      <c r="BK3680" s="8">
        <f>0</f>
        <v>0</v>
      </c>
      <c r="BL3680" s="7">
        <f>0</f>
        <v>0</v>
      </c>
      <c r="BM3680" s="5" t="s">
        <v>258</v>
      </c>
      <c r="BN3680" s="5" t="s">
        <v>259</v>
      </c>
      <c r="CB3680" s="5" t="s">
        <v>240</v>
      </c>
      <c r="CC3680" s="5" t="s">
        <v>240</v>
      </c>
      <c r="CG3680" s="5" t="s">
        <v>449</v>
      </c>
      <c r="CH3680" s="5" t="s">
        <v>305</v>
      </c>
      <c r="CI3680" s="5" t="s">
        <v>240</v>
      </c>
      <c r="CL3680" s="6" t="s">
        <v>261</v>
      </c>
      <c r="CM3680" s="5" t="s">
        <v>240</v>
      </c>
      <c r="CN3680" s="5" t="s">
        <v>263</v>
      </c>
      <c r="CO3680" s="5" t="s">
        <v>240</v>
      </c>
      <c r="CP3680" s="5" t="s">
        <v>240</v>
      </c>
      <c r="CQ3680" s="5">
        <v>0</v>
      </c>
      <c r="CR3680" s="5" t="s">
        <v>306</v>
      </c>
      <c r="CS3680" s="5" t="s">
        <v>307</v>
      </c>
      <c r="CT3680" s="5" t="s">
        <v>307</v>
      </c>
      <c r="CU3680" s="5" t="s">
        <v>260</v>
      </c>
      <c r="CX3680" s="7">
        <f>480792</f>
        <v>480792</v>
      </c>
      <c r="CY3680" s="7">
        <f>0</f>
        <v>0</v>
      </c>
      <c r="DA3680" s="7">
        <f>0</f>
        <v>0</v>
      </c>
      <c r="DC3680" s="5" t="s">
        <v>450</v>
      </c>
      <c r="DD3680" s="5" t="s">
        <v>240</v>
      </c>
      <c r="DF3680" s="5" t="s">
        <v>450</v>
      </c>
      <c r="DG3680" s="7">
        <f>21.54</f>
        <v>21.54</v>
      </c>
      <c r="DI3680" s="5" t="s">
        <v>240</v>
      </c>
      <c r="DJ3680" s="5" t="s">
        <v>240</v>
      </c>
      <c r="DK3680" s="5" t="s">
        <v>240</v>
      </c>
      <c r="DL3680" s="5" t="s">
        <v>240</v>
      </c>
      <c r="DP3680" s="5" t="s">
        <v>240</v>
      </c>
      <c r="DQ3680" s="5" t="s">
        <v>240</v>
      </c>
      <c r="DR3680" s="5" t="s">
        <v>240</v>
      </c>
      <c r="DS3680" s="5" t="s">
        <v>240</v>
      </c>
      <c r="DV3680" s="5" t="s">
        <v>310</v>
      </c>
      <c r="DW3680" s="5" t="s">
        <v>2558</v>
      </c>
      <c r="HO3680" s="5" t="s">
        <v>312</v>
      </c>
    </row>
    <row r="3681" spans="1:240" x14ac:dyDescent="0.4">
      <c r="A3681" s="5">
        <v>9223</v>
      </c>
      <c r="B3681" s="5">
        <v>1</v>
      </c>
      <c r="C3681" s="5">
        <v>1</v>
      </c>
      <c r="D3681" s="5" t="s">
        <v>723</v>
      </c>
      <c r="E3681" s="5" t="s">
        <v>725</v>
      </c>
      <c r="F3681" s="5" t="s">
        <v>254</v>
      </c>
      <c r="G3681" s="5" t="s">
        <v>5623</v>
      </c>
      <c r="H3681" s="6" t="s">
        <v>5624</v>
      </c>
      <c r="I3681" s="5" t="s">
        <v>5622</v>
      </c>
      <c r="J3681" s="7">
        <f>1</f>
        <v>1</v>
      </c>
      <c r="K3681" s="5" t="s">
        <v>3682</v>
      </c>
      <c r="L3681" s="7">
        <f>1</f>
        <v>1</v>
      </c>
      <c r="M3681" s="7">
        <f>1</f>
        <v>1</v>
      </c>
      <c r="N3681" s="5" t="s">
        <v>242</v>
      </c>
      <c r="O3681" s="5">
        <v>1</v>
      </c>
      <c r="P3681" s="5" t="s">
        <v>294</v>
      </c>
      <c r="Q3681" s="5" t="s">
        <v>266</v>
      </c>
      <c r="R3681" s="5" t="s">
        <v>240</v>
      </c>
      <c r="S3681" s="5" t="s">
        <v>240</v>
      </c>
      <c r="T3681" s="5" t="s">
        <v>243</v>
      </c>
      <c r="U3681" s="5" t="s">
        <v>240</v>
      </c>
      <c r="V3681" s="5" t="s">
        <v>240</v>
      </c>
      <c r="Y3681" s="5" t="s">
        <v>240</v>
      </c>
      <c r="Z3681" s="6" t="s">
        <v>6529</v>
      </c>
      <c r="AB3681" s="6" t="s">
        <v>240</v>
      </c>
      <c r="AE3681" s="6" t="s">
        <v>299</v>
      </c>
      <c r="AF3681" s="5" t="s">
        <v>248</v>
      </c>
      <c r="AG3681" s="5" t="s">
        <v>249</v>
      </c>
      <c r="AW3681" s="5" t="s">
        <v>251</v>
      </c>
      <c r="AX3681" s="5" t="s">
        <v>240</v>
      </c>
      <c r="AY3681" s="5" t="s">
        <v>253</v>
      </c>
      <c r="AZ3681" s="5" t="s">
        <v>240</v>
      </c>
      <c r="BA3681" s="5" t="s">
        <v>255</v>
      </c>
      <c r="BB3681" s="5" t="s">
        <v>240</v>
      </c>
      <c r="BD3681" s="5" t="s">
        <v>240</v>
      </c>
      <c r="BF3681" s="5" t="s">
        <v>301</v>
      </c>
      <c r="BG3681" s="6" t="s">
        <v>6529</v>
      </c>
      <c r="BH3681" s="5" t="s">
        <v>302</v>
      </c>
      <c r="BI3681" s="5" t="s">
        <v>448</v>
      </c>
      <c r="BJ3681" s="5" t="s">
        <v>240</v>
      </c>
      <c r="BK3681" s="8">
        <f>0</f>
        <v>0</v>
      </c>
      <c r="BL3681" s="7">
        <f>0</f>
        <v>0</v>
      </c>
      <c r="BM3681" s="5" t="s">
        <v>258</v>
      </c>
      <c r="BN3681" s="5" t="s">
        <v>259</v>
      </c>
      <c r="CB3681" s="5" t="s">
        <v>240</v>
      </c>
      <c r="CC3681" s="5" t="s">
        <v>240</v>
      </c>
      <c r="CG3681" s="5" t="s">
        <v>449</v>
      </c>
      <c r="CH3681" s="5" t="s">
        <v>305</v>
      </c>
      <c r="CI3681" s="5" t="s">
        <v>240</v>
      </c>
      <c r="CL3681" s="6" t="s">
        <v>261</v>
      </c>
      <c r="CM3681" s="5" t="s">
        <v>240</v>
      </c>
      <c r="CN3681" s="5" t="s">
        <v>263</v>
      </c>
      <c r="CO3681" s="5" t="s">
        <v>240</v>
      </c>
      <c r="CP3681" s="5" t="s">
        <v>240</v>
      </c>
      <c r="CQ3681" s="5">
        <v>0</v>
      </c>
      <c r="CR3681" s="5" t="s">
        <v>306</v>
      </c>
      <c r="CS3681" s="5" t="s">
        <v>307</v>
      </c>
      <c r="CT3681" s="5" t="s">
        <v>307</v>
      </c>
      <c r="CU3681" s="5" t="s">
        <v>260</v>
      </c>
      <c r="CX3681" s="7">
        <f>4756639</f>
        <v>4756639</v>
      </c>
      <c r="CY3681" s="7">
        <f>0</f>
        <v>0</v>
      </c>
      <c r="DA3681" s="7">
        <f>0</f>
        <v>0</v>
      </c>
      <c r="DC3681" s="5" t="s">
        <v>450</v>
      </c>
      <c r="DD3681" s="5" t="s">
        <v>240</v>
      </c>
      <c r="DF3681" s="5" t="s">
        <v>450</v>
      </c>
      <c r="DG3681" s="7">
        <f>0</f>
        <v>0</v>
      </c>
      <c r="DI3681" s="5" t="s">
        <v>240</v>
      </c>
      <c r="DJ3681" s="5" t="s">
        <v>240</v>
      </c>
      <c r="DK3681" s="5" t="s">
        <v>240</v>
      </c>
      <c r="DL3681" s="5" t="s">
        <v>240</v>
      </c>
      <c r="DP3681" s="5" t="s">
        <v>240</v>
      </c>
      <c r="DQ3681" s="5" t="s">
        <v>240</v>
      </c>
      <c r="DR3681" s="5" t="s">
        <v>240</v>
      </c>
      <c r="DS3681" s="5" t="s">
        <v>240</v>
      </c>
      <c r="DV3681" s="5" t="s">
        <v>310</v>
      </c>
      <c r="DW3681" s="5" t="s">
        <v>2324</v>
      </c>
      <c r="HO3681" s="5" t="s">
        <v>312</v>
      </c>
    </row>
    <row r="3682" spans="1:240" x14ac:dyDescent="0.4">
      <c r="A3682" s="5">
        <v>9224</v>
      </c>
      <c r="B3682" s="5">
        <v>1</v>
      </c>
      <c r="C3682" s="5">
        <v>1</v>
      </c>
      <c r="D3682" s="5" t="s">
        <v>723</v>
      </c>
      <c r="E3682" s="5" t="s">
        <v>725</v>
      </c>
      <c r="F3682" s="5" t="s">
        <v>254</v>
      </c>
      <c r="G3682" s="5" t="s">
        <v>726</v>
      </c>
      <c r="H3682" s="6" t="s">
        <v>5621</v>
      </c>
      <c r="I3682" s="5" t="s">
        <v>5620</v>
      </c>
      <c r="J3682" s="7">
        <f>1</f>
        <v>1</v>
      </c>
      <c r="K3682" s="5" t="s">
        <v>3682</v>
      </c>
      <c r="L3682" s="7">
        <f>1</f>
        <v>1</v>
      </c>
      <c r="M3682" s="7">
        <f>1</f>
        <v>1</v>
      </c>
      <c r="N3682" s="5" t="s">
        <v>242</v>
      </c>
      <c r="O3682" s="5">
        <v>1</v>
      </c>
      <c r="P3682" s="5" t="s">
        <v>294</v>
      </c>
      <c r="Q3682" s="5" t="s">
        <v>613</v>
      </c>
      <c r="R3682" s="5" t="s">
        <v>240</v>
      </c>
      <c r="S3682" s="5" t="s">
        <v>240</v>
      </c>
      <c r="T3682" s="5" t="s">
        <v>243</v>
      </c>
      <c r="U3682" s="5" t="s">
        <v>724</v>
      </c>
      <c r="V3682" s="5" t="s">
        <v>240</v>
      </c>
      <c r="W3682" s="5" t="s">
        <v>240</v>
      </c>
      <c r="X3682" s="5" t="s">
        <v>240</v>
      </c>
      <c r="Y3682" s="5" t="s">
        <v>240</v>
      </c>
      <c r="Z3682" s="6" t="s">
        <v>298</v>
      </c>
      <c r="AA3682" s="6" t="s">
        <v>240</v>
      </c>
      <c r="AB3682" s="6" t="s">
        <v>240</v>
      </c>
      <c r="AC3682" s="5" t="s">
        <v>240</v>
      </c>
      <c r="AD3682" s="6" t="s">
        <v>240</v>
      </c>
      <c r="AE3682" s="6" t="s">
        <v>299</v>
      </c>
      <c r="AF3682" s="5" t="s">
        <v>727</v>
      </c>
      <c r="AG3682" s="5" t="s">
        <v>260</v>
      </c>
      <c r="AH3682" s="5" t="s">
        <v>240</v>
      </c>
      <c r="AI3682" s="5" t="s">
        <v>240</v>
      </c>
      <c r="AJ3682" s="5" t="s">
        <v>240</v>
      </c>
      <c r="AK3682" s="5" t="s">
        <v>240</v>
      </c>
      <c r="AL3682" s="5" t="s">
        <v>240</v>
      </c>
      <c r="AM3682" s="5" t="s">
        <v>240</v>
      </c>
      <c r="AN3682" s="5" t="s">
        <v>240</v>
      </c>
      <c r="AO3682" s="5" t="s">
        <v>240</v>
      </c>
      <c r="AP3682" s="6" t="s">
        <v>240</v>
      </c>
      <c r="AQ3682" s="6" t="s">
        <v>240</v>
      </c>
      <c r="AR3682" s="6" t="s">
        <v>240</v>
      </c>
      <c r="AS3682" s="6" t="s">
        <v>240</v>
      </c>
      <c r="AT3682" s="5" t="s">
        <v>240</v>
      </c>
      <c r="AU3682" s="5" t="s">
        <v>729</v>
      </c>
      <c r="AV3682" s="5" t="s">
        <v>729</v>
      </c>
      <c r="AW3682" s="5" t="s">
        <v>251</v>
      </c>
      <c r="AX3682" s="5" t="s">
        <v>252</v>
      </c>
      <c r="AY3682" s="5" t="s">
        <v>253</v>
      </c>
      <c r="AZ3682" s="5" t="s">
        <v>240</v>
      </c>
      <c r="BA3682" s="5" t="s">
        <v>255</v>
      </c>
      <c r="BB3682" s="5" t="s">
        <v>731</v>
      </c>
      <c r="BD3682" s="5" t="s">
        <v>240</v>
      </c>
      <c r="BF3682" s="5" t="s">
        <v>732</v>
      </c>
      <c r="BG3682" s="6" t="s">
        <v>733</v>
      </c>
      <c r="BH3682" s="5" t="s">
        <v>734</v>
      </c>
      <c r="BI3682" s="5" t="s">
        <v>734</v>
      </c>
      <c r="BJ3682" s="5" t="s">
        <v>240</v>
      </c>
      <c r="BK3682" s="8">
        <f>43.3</f>
        <v>43.3</v>
      </c>
      <c r="BL3682" s="7">
        <f>0</f>
        <v>0</v>
      </c>
      <c r="BM3682" s="5" t="s">
        <v>258</v>
      </c>
      <c r="BN3682" s="5" t="s">
        <v>259</v>
      </c>
      <c r="BO3682" s="5" t="s">
        <v>240</v>
      </c>
      <c r="BP3682" s="5" t="s">
        <v>240</v>
      </c>
      <c r="BQ3682" s="5" t="s">
        <v>240</v>
      </c>
      <c r="BR3682" s="5" t="s">
        <v>240</v>
      </c>
      <c r="BS3682" s="5" t="s">
        <v>240</v>
      </c>
      <c r="BT3682" s="5" t="s">
        <v>240</v>
      </c>
      <c r="BU3682" s="5" t="s">
        <v>240</v>
      </c>
      <c r="BV3682" s="5" t="s">
        <v>240</v>
      </c>
      <c r="BW3682" s="6" t="s">
        <v>240</v>
      </c>
      <c r="BX3682" s="5" t="s">
        <v>240</v>
      </c>
      <c r="BY3682" s="5" t="s">
        <v>240</v>
      </c>
      <c r="BZ3682" s="5" t="s">
        <v>240</v>
      </c>
      <c r="CA3682" s="5" t="s">
        <v>259</v>
      </c>
      <c r="CB3682" s="5" t="s">
        <v>240</v>
      </c>
      <c r="CC3682" s="5" t="s">
        <v>240</v>
      </c>
      <c r="CD3682" s="5" t="s">
        <v>240</v>
      </c>
      <c r="CE3682" s="5" t="s">
        <v>240</v>
      </c>
      <c r="CF3682" s="5" t="s">
        <v>240</v>
      </c>
      <c r="CG3682" s="5" t="s">
        <v>617</v>
      </c>
      <c r="CH3682" s="5" t="s">
        <v>305</v>
      </c>
      <c r="CI3682" s="5" t="s">
        <v>240</v>
      </c>
      <c r="CL3682" s="6" t="s">
        <v>261</v>
      </c>
      <c r="CM3682" s="5" t="s">
        <v>262</v>
      </c>
      <c r="CN3682" s="5" t="s">
        <v>263</v>
      </c>
      <c r="CO3682" s="5" t="s">
        <v>264</v>
      </c>
      <c r="CP3682" s="5" t="s">
        <v>240</v>
      </c>
      <c r="CQ3682" s="5">
        <v>0</v>
      </c>
      <c r="CR3682" s="5" t="s">
        <v>735</v>
      </c>
      <c r="CS3682" s="5" t="s">
        <v>307</v>
      </c>
      <c r="CT3682" s="5" t="s">
        <v>307</v>
      </c>
      <c r="CU3682" s="5" t="s">
        <v>260</v>
      </c>
      <c r="CV3682" s="5" t="s">
        <v>240</v>
      </c>
      <c r="CW3682" s="8">
        <f>0</f>
        <v>0</v>
      </c>
      <c r="CX3682" s="7">
        <f>0</f>
        <v>0</v>
      </c>
      <c r="CY3682" s="7">
        <f>0</f>
        <v>0</v>
      </c>
      <c r="DA3682" s="7">
        <f>476</f>
        <v>476</v>
      </c>
      <c r="DB3682" s="7" t="s">
        <v>240</v>
      </c>
      <c r="DC3682" s="5" t="s">
        <v>240</v>
      </c>
      <c r="DD3682" s="5" t="s">
        <v>240</v>
      </c>
      <c r="DE3682" s="5" t="s">
        <v>240</v>
      </c>
      <c r="DF3682" s="5" t="s">
        <v>450</v>
      </c>
      <c r="DG3682" s="7">
        <f>0</f>
        <v>0</v>
      </c>
      <c r="DI3682" s="5" t="s">
        <v>737</v>
      </c>
      <c r="DJ3682" s="5" t="s">
        <v>240</v>
      </c>
      <c r="DK3682" s="5" t="s">
        <v>240</v>
      </c>
      <c r="DL3682" s="5" t="s">
        <v>240</v>
      </c>
      <c r="DM3682" s="5" t="s">
        <v>240</v>
      </c>
      <c r="DN3682" s="5" t="s">
        <v>240</v>
      </c>
      <c r="DO3682" s="7" t="s">
        <v>240</v>
      </c>
      <c r="DP3682" s="5" t="s">
        <v>240</v>
      </c>
      <c r="DQ3682" s="5" t="s">
        <v>240</v>
      </c>
      <c r="DR3682" s="5" t="s">
        <v>731</v>
      </c>
      <c r="DS3682" s="5" t="s">
        <v>731</v>
      </c>
      <c r="DT3682" s="5" t="s">
        <v>240</v>
      </c>
      <c r="DU3682" s="5" t="s">
        <v>240</v>
      </c>
      <c r="DV3682" s="5" t="s">
        <v>738</v>
      </c>
      <c r="DW3682" s="5" t="s">
        <v>504</v>
      </c>
      <c r="DX3682" s="5" t="s">
        <v>240</v>
      </c>
      <c r="DY3682" s="5" t="s">
        <v>240</v>
      </c>
      <c r="DZ3682" s="5" t="s">
        <v>240</v>
      </c>
      <c r="EA3682" s="5" t="s">
        <v>240</v>
      </c>
      <c r="EB3682" s="5" t="s">
        <v>240</v>
      </c>
      <c r="EC3682" s="5" t="s">
        <v>240</v>
      </c>
      <c r="ED3682" s="5" t="s">
        <v>240</v>
      </c>
      <c r="EE3682" s="5" t="s">
        <v>240</v>
      </c>
      <c r="EF3682" s="5" t="s">
        <v>240</v>
      </c>
      <c r="EG3682" s="5" t="s">
        <v>240</v>
      </c>
      <c r="EH3682" s="5" t="s">
        <v>240</v>
      </c>
      <c r="EI3682" s="5" t="s">
        <v>240</v>
      </c>
      <c r="EJ3682" s="5" t="s">
        <v>240</v>
      </c>
      <c r="EK3682" s="5" t="s">
        <v>240</v>
      </c>
      <c r="EL3682" s="5" t="s">
        <v>240</v>
      </c>
      <c r="EM3682" s="5" t="s">
        <v>240</v>
      </c>
      <c r="EN3682" s="5" t="s">
        <v>240</v>
      </c>
      <c r="EO3682" s="5" t="s">
        <v>240</v>
      </c>
      <c r="EP3682" s="5" t="s">
        <v>240</v>
      </c>
      <c r="EQ3682" s="5" t="s">
        <v>240</v>
      </c>
      <c r="ER3682" s="5" t="s">
        <v>240</v>
      </c>
      <c r="ES3682" s="5" t="s">
        <v>240</v>
      </c>
      <c r="ET3682" s="5" t="s">
        <v>240</v>
      </c>
      <c r="EU3682" s="5" t="s">
        <v>240</v>
      </c>
      <c r="EV3682" s="5" t="s">
        <v>240</v>
      </c>
      <c r="EW3682" s="5" t="s">
        <v>240</v>
      </c>
      <c r="EX3682" s="5" t="s">
        <v>240</v>
      </c>
      <c r="EY3682" s="5" t="s">
        <v>240</v>
      </c>
      <c r="EZ3682" s="5" t="s">
        <v>240</v>
      </c>
      <c r="FA3682" s="5" t="s">
        <v>240</v>
      </c>
      <c r="FB3682" s="5" t="s">
        <v>240</v>
      </c>
      <c r="FC3682" s="5" t="s">
        <v>240</v>
      </c>
      <c r="FD3682" s="5" t="s">
        <v>240</v>
      </c>
      <c r="FE3682" s="5" t="s">
        <v>240</v>
      </c>
      <c r="FF3682" s="5" t="s">
        <v>240</v>
      </c>
      <c r="FG3682" s="5" t="s">
        <v>240</v>
      </c>
      <c r="FH3682" s="5" t="s">
        <v>240</v>
      </c>
      <c r="FI3682" s="5" t="s">
        <v>240</v>
      </c>
      <c r="FJ3682" s="5" t="s">
        <v>240</v>
      </c>
      <c r="FK3682" s="5" t="s">
        <v>240</v>
      </c>
      <c r="FL3682" s="5" t="s">
        <v>240</v>
      </c>
      <c r="FM3682" s="5" t="s">
        <v>240</v>
      </c>
      <c r="FN3682" s="5" t="s">
        <v>240</v>
      </c>
      <c r="FO3682" s="5" t="s">
        <v>240</v>
      </c>
      <c r="FP3682" s="5" t="s">
        <v>240</v>
      </c>
      <c r="FQ3682" s="5" t="s">
        <v>240</v>
      </c>
      <c r="FR3682" s="5" t="s">
        <v>240</v>
      </c>
      <c r="FS3682" s="5" t="s">
        <v>240</v>
      </c>
      <c r="FT3682" s="5" t="s">
        <v>240</v>
      </c>
      <c r="FU3682" s="5" t="s">
        <v>240</v>
      </c>
      <c r="FV3682" s="5" t="s">
        <v>240</v>
      </c>
      <c r="FW3682" s="5" t="s">
        <v>240</v>
      </c>
      <c r="FX3682" s="5" t="s">
        <v>240</v>
      </c>
      <c r="FY3682" s="5" t="s">
        <v>240</v>
      </c>
      <c r="FZ3682" s="5" t="s">
        <v>240</v>
      </c>
      <c r="GA3682" s="5" t="s">
        <v>240</v>
      </c>
      <c r="GB3682" s="5" t="s">
        <v>240</v>
      </c>
      <c r="GC3682" s="5" t="s">
        <v>240</v>
      </c>
      <c r="GD3682" s="5" t="s">
        <v>240</v>
      </c>
      <c r="GE3682" s="5" t="s">
        <v>240</v>
      </c>
      <c r="GF3682" s="5" t="s">
        <v>240</v>
      </c>
      <c r="GG3682" s="5" t="s">
        <v>240</v>
      </c>
      <c r="GH3682" s="5" t="s">
        <v>240</v>
      </c>
      <c r="GI3682" s="5" t="s">
        <v>240</v>
      </c>
      <c r="GJ3682" s="5" t="s">
        <v>240</v>
      </c>
      <c r="GK3682" s="5" t="s">
        <v>240</v>
      </c>
      <c r="GL3682" s="5" t="s">
        <v>240</v>
      </c>
      <c r="GM3682" s="5" t="s">
        <v>240</v>
      </c>
      <c r="GN3682" s="5" t="s">
        <v>240</v>
      </c>
      <c r="GO3682" s="5" t="s">
        <v>240</v>
      </c>
      <c r="GP3682" s="5" t="s">
        <v>240</v>
      </c>
      <c r="GQ3682" s="5" t="s">
        <v>240</v>
      </c>
      <c r="GR3682" s="5" t="s">
        <v>240</v>
      </c>
      <c r="GS3682" s="5" t="s">
        <v>240</v>
      </c>
      <c r="GT3682" s="5" t="s">
        <v>240</v>
      </c>
      <c r="GU3682" s="5" t="s">
        <v>240</v>
      </c>
      <c r="GV3682" s="5" t="s">
        <v>240</v>
      </c>
      <c r="GW3682" s="5" t="s">
        <v>240</v>
      </c>
      <c r="GX3682" s="5" t="s">
        <v>240</v>
      </c>
      <c r="GY3682" s="5" t="s">
        <v>240</v>
      </c>
      <c r="GZ3682" s="5" t="s">
        <v>240</v>
      </c>
      <c r="HA3682" s="5" t="s">
        <v>240</v>
      </c>
      <c r="HB3682" s="5" t="s">
        <v>240</v>
      </c>
      <c r="HC3682" s="5" t="s">
        <v>240</v>
      </c>
      <c r="HD3682" s="5" t="s">
        <v>240</v>
      </c>
      <c r="HE3682" s="5" t="s">
        <v>240</v>
      </c>
      <c r="HF3682" s="5" t="s">
        <v>240</v>
      </c>
      <c r="HG3682" s="5" t="s">
        <v>240</v>
      </c>
      <c r="HH3682" s="5" t="s">
        <v>240</v>
      </c>
      <c r="HI3682" s="5" t="s">
        <v>240</v>
      </c>
      <c r="HJ3682" s="5" t="s">
        <v>240</v>
      </c>
      <c r="HK3682" s="5" t="s">
        <v>240</v>
      </c>
      <c r="HL3682" s="5" t="s">
        <v>240</v>
      </c>
      <c r="HM3682" s="5" t="s">
        <v>240</v>
      </c>
      <c r="HN3682" s="5" t="s">
        <v>240</v>
      </c>
      <c r="HO3682" s="5" t="s">
        <v>620</v>
      </c>
      <c r="HP3682" s="5" t="s">
        <v>240</v>
      </c>
      <c r="HQ3682" s="5" t="s">
        <v>240</v>
      </c>
      <c r="HR3682" s="5" t="s">
        <v>240</v>
      </c>
      <c r="HS3682" s="5" t="s">
        <v>240</v>
      </c>
      <c r="HT3682" s="5" t="s">
        <v>240</v>
      </c>
      <c r="HU3682" s="5" t="s">
        <v>240</v>
      </c>
      <c r="HV3682" s="5" t="s">
        <v>240</v>
      </c>
      <c r="HW3682" s="5" t="s">
        <v>240</v>
      </c>
      <c r="HX3682" s="5" t="s">
        <v>240</v>
      </c>
      <c r="HY3682" s="5" t="s">
        <v>240</v>
      </c>
      <c r="HZ3682" s="5" t="s">
        <v>240</v>
      </c>
      <c r="IA3682" s="5" t="s">
        <v>240</v>
      </c>
      <c r="IB3682" s="5" t="s">
        <v>240</v>
      </c>
      <c r="IC3682" s="5" t="s">
        <v>240</v>
      </c>
      <c r="ID3682" s="5" t="s">
        <v>240</v>
      </c>
      <c r="IE3682" s="5" t="s">
        <v>240</v>
      </c>
      <c r="IF3682" s="5" t="s">
        <v>240</v>
      </c>
    </row>
    <row r="3683" spans="1:240" x14ac:dyDescent="0.4">
      <c r="A3683" s="5">
        <v>9225</v>
      </c>
      <c r="B3683" s="5">
        <v>1</v>
      </c>
      <c r="C3683" s="5">
        <v>1</v>
      </c>
      <c r="D3683" s="5" t="s">
        <v>723</v>
      </c>
      <c r="E3683" s="5" t="s">
        <v>725</v>
      </c>
      <c r="F3683" s="5" t="s">
        <v>254</v>
      </c>
      <c r="G3683" s="5" t="s">
        <v>726</v>
      </c>
      <c r="H3683" s="6" t="s">
        <v>6352</v>
      </c>
      <c r="I3683" s="5" t="s">
        <v>6351</v>
      </c>
      <c r="J3683" s="7">
        <f>1</f>
        <v>1</v>
      </c>
      <c r="K3683" s="5" t="s">
        <v>3682</v>
      </c>
      <c r="L3683" s="7">
        <f>1</f>
        <v>1</v>
      </c>
      <c r="M3683" s="7">
        <f>1</f>
        <v>1</v>
      </c>
      <c r="N3683" s="5" t="s">
        <v>242</v>
      </c>
      <c r="O3683" s="5">
        <v>1</v>
      </c>
      <c r="P3683" s="5" t="s">
        <v>294</v>
      </c>
      <c r="Q3683" s="5" t="s">
        <v>266</v>
      </c>
      <c r="R3683" s="5" t="s">
        <v>240</v>
      </c>
      <c r="S3683" s="5" t="s">
        <v>240</v>
      </c>
      <c r="T3683" s="5" t="s">
        <v>243</v>
      </c>
      <c r="U3683" s="5" t="s">
        <v>240</v>
      </c>
      <c r="V3683" s="5" t="s">
        <v>240</v>
      </c>
      <c r="Y3683" s="5" t="s">
        <v>240</v>
      </c>
      <c r="Z3683" s="6" t="s">
        <v>5135</v>
      </c>
      <c r="AB3683" s="6" t="s">
        <v>240</v>
      </c>
      <c r="AE3683" s="6" t="s">
        <v>299</v>
      </c>
      <c r="AF3683" s="5" t="s">
        <v>248</v>
      </c>
      <c r="AG3683" s="5" t="s">
        <v>249</v>
      </c>
      <c r="AW3683" s="5" t="s">
        <v>251</v>
      </c>
      <c r="AX3683" s="5" t="s">
        <v>240</v>
      </c>
      <c r="AY3683" s="5" t="s">
        <v>253</v>
      </c>
      <c r="AZ3683" s="5" t="s">
        <v>240</v>
      </c>
      <c r="BA3683" s="5" t="s">
        <v>255</v>
      </c>
      <c r="BB3683" s="5" t="s">
        <v>240</v>
      </c>
      <c r="BD3683" s="5" t="s">
        <v>240</v>
      </c>
      <c r="BF3683" s="5" t="s">
        <v>301</v>
      </c>
      <c r="BG3683" s="6" t="s">
        <v>5135</v>
      </c>
      <c r="BH3683" s="5" t="s">
        <v>302</v>
      </c>
      <c r="BI3683" s="5" t="s">
        <v>448</v>
      </c>
      <c r="BJ3683" s="5" t="s">
        <v>240</v>
      </c>
      <c r="BK3683" s="8">
        <f>0</f>
        <v>0</v>
      </c>
      <c r="BL3683" s="7">
        <f>0</f>
        <v>0</v>
      </c>
      <c r="BM3683" s="5" t="s">
        <v>258</v>
      </c>
      <c r="BN3683" s="5" t="s">
        <v>259</v>
      </c>
      <c r="CB3683" s="5" t="s">
        <v>240</v>
      </c>
      <c r="CC3683" s="5" t="s">
        <v>240</v>
      </c>
      <c r="CG3683" s="5" t="s">
        <v>449</v>
      </c>
      <c r="CH3683" s="5" t="s">
        <v>305</v>
      </c>
      <c r="CI3683" s="5" t="s">
        <v>240</v>
      </c>
      <c r="CL3683" s="6" t="s">
        <v>261</v>
      </c>
      <c r="CM3683" s="5" t="s">
        <v>240</v>
      </c>
      <c r="CN3683" s="5" t="s">
        <v>263</v>
      </c>
      <c r="CO3683" s="5" t="s">
        <v>240</v>
      </c>
      <c r="CP3683" s="5" t="s">
        <v>240</v>
      </c>
      <c r="CQ3683" s="5">
        <v>0</v>
      </c>
      <c r="CR3683" s="5" t="s">
        <v>306</v>
      </c>
      <c r="CS3683" s="5" t="s">
        <v>307</v>
      </c>
      <c r="CT3683" s="5" t="s">
        <v>307</v>
      </c>
      <c r="CU3683" s="5" t="s">
        <v>260</v>
      </c>
      <c r="CX3683" s="7">
        <f>127432</f>
        <v>127432</v>
      </c>
      <c r="CY3683" s="7">
        <f>0</f>
        <v>0</v>
      </c>
      <c r="DA3683" s="7">
        <f>0</f>
        <v>0</v>
      </c>
      <c r="DC3683" s="5" t="s">
        <v>450</v>
      </c>
      <c r="DD3683" s="5" t="s">
        <v>240</v>
      </c>
      <c r="DF3683" s="5" t="s">
        <v>450</v>
      </c>
      <c r="DG3683" s="7">
        <f>0</f>
        <v>0</v>
      </c>
      <c r="DI3683" s="5" t="s">
        <v>240</v>
      </c>
      <c r="DJ3683" s="5" t="s">
        <v>240</v>
      </c>
      <c r="DK3683" s="5" t="s">
        <v>240</v>
      </c>
      <c r="DL3683" s="5" t="s">
        <v>240</v>
      </c>
      <c r="DP3683" s="5" t="s">
        <v>240</v>
      </c>
      <c r="DQ3683" s="5" t="s">
        <v>240</v>
      </c>
      <c r="DR3683" s="5" t="s">
        <v>240</v>
      </c>
      <c r="DS3683" s="5" t="s">
        <v>240</v>
      </c>
      <c r="DV3683" s="5" t="s">
        <v>310</v>
      </c>
      <c r="DW3683" s="5" t="s">
        <v>2294</v>
      </c>
      <c r="HO3683" s="5" t="s">
        <v>312</v>
      </c>
    </row>
    <row r="3684" spans="1:240" x14ac:dyDescent="0.4">
      <c r="A3684" s="5">
        <v>9226</v>
      </c>
      <c r="B3684" s="5">
        <v>1</v>
      </c>
      <c r="C3684" s="5">
        <v>1</v>
      </c>
      <c r="D3684" s="5" t="s">
        <v>723</v>
      </c>
      <c r="E3684" s="5" t="s">
        <v>725</v>
      </c>
      <c r="F3684" s="5" t="s">
        <v>254</v>
      </c>
      <c r="G3684" s="5" t="s">
        <v>5617</v>
      </c>
      <c r="H3684" s="6" t="s">
        <v>5618</v>
      </c>
      <c r="I3684" s="5" t="s">
        <v>5616</v>
      </c>
      <c r="J3684" s="7">
        <f>1</f>
        <v>1</v>
      </c>
      <c r="K3684" s="5" t="s">
        <v>3682</v>
      </c>
      <c r="L3684" s="7">
        <f>1</f>
        <v>1</v>
      </c>
      <c r="M3684" s="7">
        <f>1</f>
        <v>1</v>
      </c>
      <c r="N3684" s="5" t="s">
        <v>242</v>
      </c>
      <c r="O3684" s="5">
        <v>1</v>
      </c>
      <c r="P3684" s="5" t="s">
        <v>294</v>
      </c>
      <c r="Q3684" s="5" t="s">
        <v>266</v>
      </c>
      <c r="R3684" s="5" t="s">
        <v>240</v>
      </c>
      <c r="S3684" s="5" t="s">
        <v>240</v>
      </c>
      <c r="T3684" s="5" t="s">
        <v>243</v>
      </c>
      <c r="U3684" s="5" t="s">
        <v>240</v>
      </c>
      <c r="V3684" s="5" t="s">
        <v>240</v>
      </c>
      <c r="Y3684" s="5" t="s">
        <v>240</v>
      </c>
      <c r="Z3684" s="6" t="s">
        <v>6533</v>
      </c>
      <c r="AB3684" s="6" t="s">
        <v>240</v>
      </c>
      <c r="AE3684" s="6" t="s">
        <v>299</v>
      </c>
      <c r="AF3684" s="5" t="s">
        <v>248</v>
      </c>
      <c r="AG3684" s="5" t="s">
        <v>249</v>
      </c>
      <c r="AW3684" s="5" t="s">
        <v>251</v>
      </c>
      <c r="AX3684" s="5" t="s">
        <v>240</v>
      </c>
      <c r="AY3684" s="5" t="s">
        <v>253</v>
      </c>
      <c r="AZ3684" s="5" t="s">
        <v>240</v>
      </c>
      <c r="BA3684" s="5" t="s">
        <v>255</v>
      </c>
      <c r="BB3684" s="5" t="s">
        <v>240</v>
      </c>
      <c r="BD3684" s="5" t="s">
        <v>240</v>
      </c>
      <c r="BF3684" s="5" t="s">
        <v>301</v>
      </c>
      <c r="BG3684" s="6" t="s">
        <v>6533</v>
      </c>
      <c r="BH3684" s="5" t="s">
        <v>302</v>
      </c>
      <c r="BI3684" s="5" t="s">
        <v>448</v>
      </c>
      <c r="BJ3684" s="5" t="s">
        <v>240</v>
      </c>
      <c r="BK3684" s="8">
        <f>0</f>
        <v>0</v>
      </c>
      <c r="BL3684" s="7">
        <f>0</f>
        <v>0</v>
      </c>
      <c r="BM3684" s="5" t="s">
        <v>258</v>
      </c>
      <c r="BN3684" s="5" t="s">
        <v>259</v>
      </c>
      <c r="CB3684" s="5" t="s">
        <v>240</v>
      </c>
      <c r="CC3684" s="5" t="s">
        <v>240</v>
      </c>
      <c r="CG3684" s="5" t="s">
        <v>449</v>
      </c>
      <c r="CH3684" s="5" t="s">
        <v>305</v>
      </c>
      <c r="CI3684" s="5" t="s">
        <v>240</v>
      </c>
      <c r="CL3684" s="6" t="s">
        <v>261</v>
      </c>
      <c r="CM3684" s="5" t="s">
        <v>240</v>
      </c>
      <c r="CN3684" s="5" t="s">
        <v>263</v>
      </c>
      <c r="CO3684" s="5" t="s">
        <v>240</v>
      </c>
      <c r="CP3684" s="5" t="s">
        <v>240</v>
      </c>
      <c r="CQ3684" s="5">
        <v>0</v>
      </c>
      <c r="CR3684" s="5" t="s">
        <v>306</v>
      </c>
      <c r="CS3684" s="5" t="s">
        <v>307</v>
      </c>
      <c r="CT3684" s="5" t="s">
        <v>307</v>
      </c>
      <c r="CU3684" s="5" t="s">
        <v>260</v>
      </c>
      <c r="CX3684" s="7">
        <f>2452980</f>
        <v>2452980</v>
      </c>
      <c r="CY3684" s="7">
        <f>0</f>
        <v>0</v>
      </c>
      <c r="DA3684" s="7">
        <f>0</f>
        <v>0</v>
      </c>
      <c r="DC3684" s="5" t="s">
        <v>450</v>
      </c>
      <c r="DD3684" s="5" t="s">
        <v>240</v>
      </c>
      <c r="DF3684" s="5" t="s">
        <v>450</v>
      </c>
      <c r="DG3684" s="7">
        <f>0</f>
        <v>0</v>
      </c>
      <c r="DI3684" s="5" t="s">
        <v>240</v>
      </c>
      <c r="DJ3684" s="5" t="s">
        <v>240</v>
      </c>
      <c r="DK3684" s="5" t="s">
        <v>240</v>
      </c>
      <c r="DL3684" s="5" t="s">
        <v>240</v>
      </c>
      <c r="DP3684" s="5" t="s">
        <v>240</v>
      </c>
      <c r="DQ3684" s="5" t="s">
        <v>240</v>
      </c>
      <c r="DR3684" s="5" t="s">
        <v>240</v>
      </c>
      <c r="DS3684" s="5" t="s">
        <v>240</v>
      </c>
      <c r="DV3684" s="5" t="s">
        <v>310</v>
      </c>
      <c r="DW3684" s="5" t="s">
        <v>2304</v>
      </c>
      <c r="HO3684" s="5" t="s">
        <v>312</v>
      </c>
    </row>
    <row r="3685" spans="1:240" x14ac:dyDescent="0.4">
      <c r="A3685" s="5">
        <v>9227</v>
      </c>
      <c r="B3685" s="5">
        <v>1</v>
      </c>
      <c r="C3685" s="5">
        <v>1</v>
      </c>
      <c r="D3685" s="5" t="s">
        <v>723</v>
      </c>
      <c r="E3685" s="5" t="s">
        <v>725</v>
      </c>
      <c r="F3685" s="5" t="s">
        <v>254</v>
      </c>
      <c r="G3685" s="5" t="s">
        <v>6349</v>
      </c>
      <c r="H3685" s="6" t="s">
        <v>6350</v>
      </c>
      <c r="I3685" s="5" t="s">
        <v>6348</v>
      </c>
      <c r="J3685" s="7">
        <f>1</f>
        <v>1</v>
      </c>
      <c r="K3685" s="5" t="s">
        <v>3682</v>
      </c>
      <c r="L3685" s="7">
        <f>1</f>
        <v>1</v>
      </c>
      <c r="M3685" s="7">
        <f>1</f>
        <v>1</v>
      </c>
      <c r="N3685" s="5" t="s">
        <v>242</v>
      </c>
      <c r="O3685" s="5">
        <v>1</v>
      </c>
      <c r="P3685" s="5" t="s">
        <v>294</v>
      </c>
      <c r="Q3685" s="5" t="s">
        <v>613</v>
      </c>
      <c r="R3685" s="5" t="s">
        <v>240</v>
      </c>
      <c r="S3685" s="5" t="s">
        <v>240</v>
      </c>
      <c r="T3685" s="5" t="s">
        <v>243</v>
      </c>
      <c r="U3685" s="5" t="s">
        <v>724</v>
      </c>
      <c r="V3685" s="5" t="s">
        <v>240</v>
      </c>
      <c r="W3685" s="5" t="s">
        <v>240</v>
      </c>
      <c r="X3685" s="5" t="s">
        <v>240</v>
      </c>
      <c r="Y3685" s="5" t="s">
        <v>240</v>
      </c>
      <c r="Z3685" s="6" t="s">
        <v>298</v>
      </c>
      <c r="AA3685" s="6" t="s">
        <v>240</v>
      </c>
      <c r="AB3685" s="6" t="s">
        <v>240</v>
      </c>
      <c r="AC3685" s="5" t="s">
        <v>240</v>
      </c>
      <c r="AD3685" s="6" t="s">
        <v>240</v>
      </c>
      <c r="AE3685" s="6" t="s">
        <v>299</v>
      </c>
      <c r="AF3685" s="5" t="s">
        <v>727</v>
      </c>
      <c r="AG3685" s="5" t="s">
        <v>260</v>
      </c>
      <c r="AH3685" s="5" t="s">
        <v>240</v>
      </c>
      <c r="AI3685" s="5" t="s">
        <v>240</v>
      </c>
      <c r="AJ3685" s="5" t="s">
        <v>240</v>
      </c>
      <c r="AK3685" s="5" t="s">
        <v>240</v>
      </c>
      <c r="AL3685" s="5" t="s">
        <v>240</v>
      </c>
      <c r="AM3685" s="5" t="s">
        <v>240</v>
      </c>
      <c r="AN3685" s="5" t="s">
        <v>240</v>
      </c>
      <c r="AO3685" s="5" t="s">
        <v>240</v>
      </c>
      <c r="AP3685" s="6" t="s">
        <v>240</v>
      </c>
      <c r="AQ3685" s="6" t="s">
        <v>240</v>
      </c>
      <c r="AR3685" s="6" t="s">
        <v>240</v>
      </c>
      <c r="AS3685" s="6" t="s">
        <v>240</v>
      </c>
      <c r="AT3685" s="5" t="s">
        <v>240</v>
      </c>
      <c r="AU3685" s="5" t="s">
        <v>729</v>
      </c>
      <c r="AV3685" s="5" t="s">
        <v>729</v>
      </c>
      <c r="AW3685" s="5" t="s">
        <v>251</v>
      </c>
      <c r="AX3685" s="5" t="s">
        <v>252</v>
      </c>
      <c r="AY3685" s="5" t="s">
        <v>253</v>
      </c>
      <c r="AZ3685" s="5" t="s">
        <v>240</v>
      </c>
      <c r="BA3685" s="5" t="s">
        <v>255</v>
      </c>
      <c r="BB3685" s="5" t="s">
        <v>731</v>
      </c>
      <c r="BD3685" s="5" t="s">
        <v>240</v>
      </c>
      <c r="BF3685" s="5" t="s">
        <v>732</v>
      </c>
      <c r="BG3685" s="6" t="s">
        <v>733</v>
      </c>
      <c r="BH3685" s="5" t="s">
        <v>734</v>
      </c>
      <c r="BI3685" s="5" t="s">
        <v>734</v>
      </c>
      <c r="BJ3685" s="5" t="s">
        <v>240</v>
      </c>
      <c r="BK3685" s="8">
        <f>180</f>
        <v>180</v>
      </c>
      <c r="BL3685" s="7">
        <f>0</f>
        <v>0</v>
      </c>
      <c r="BM3685" s="5" t="s">
        <v>258</v>
      </c>
      <c r="BN3685" s="5" t="s">
        <v>259</v>
      </c>
      <c r="BO3685" s="5" t="s">
        <v>240</v>
      </c>
      <c r="BP3685" s="5" t="s">
        <v>240</v>
      </c>
      <c r="BQ3685" s="5" t="s">
        <v>240</v>
      </c>
      <c r="BR3685" s="5" t="s">
        <v>240</v>
      </c>
      <c r="BS3685" s="5" t="s">
        <v>240</v>
      </c>
      <c r="BT3685" s="5" t="s">
        <v>240</v>
      </c>
      <c r="BU3685" s="5" t="s">
        <v>240</v>
      </c>
      <c r="BV3685" s="5" t="s">
        <v>240</v>
      </c>
      <c r="BW3685" s="6" t="s">
        <v>240</v>
      </c>
      <c r="BX3685" s="5" t="s">
        <v>240</v>
      </c>
      <c r="BY3685" s="5" t="s">
        <v>240</v>
      </c>
      <c r="BZ3685" s="5" t="s">
        <v>240</v>
      </c>
      <c r="CA3685" s="5" t="s">
        <v>259</v>
      </c>
      <c r="CB3685" s="5" t="s">
        <v>240</v>
      </c>
      <c r="CC3685" s="5" t="s">
        <v>240</v>
      </c>
      <c r="CD3685" s="5" t="s">
        <v>240</v>
      </c>
      <c r="CE3685" s="5" t="s">
        <v>240</v>
      </c>
      <c r="CF3685" s="5" t="s">
        <v>240</v>
      </c>
      <c r="CG3685" s="5" t="s">
        <v>617</v>
      </c>
      <c r="CH3685" s="5" t="s">
        <v>305</v>
      </c>
      <c r="CI3685" s="5" t="s">
        <v>240</v>
      </c>
      <c r="CL3685" s="6" t="s">
        <v>261</v>
      </c>
      <c r="CM3685" s="5" t="s">
        <v>262</v>
      </c>
      <c r="CN3685" s="5" t="s">
        <v>263</v>
      </c>
      <c r="CO3685" s="5" t="s">
        <v>264</v>
      </c>
      <c r="CP3685" s="5" t="s">
        <v>240</v>
      </c>
      <c r="CQ3685" s="5">
        <v>0</v>
      </c>
      <c r="CR3685" s="5" t="s">
        <v>735</v>
      </c>
      <c r="CS3685" s="5" t="s">
        <v>307</v>
      </c>
      <c r="CT3685" s="5" t="s">
        <v>307</v>
      </c>
      <c r="CU3685" s="5" t="s">
        <v>260</v>
      </c>
      <c r="CV3685" s="5" t="s">
        <v>240</v>
      </c>
      <c r="CW3685" s="8">
        <f>0</f>
        <v>0</v>
      </c>
      <c r="CX3685" s="7">
        <f>0</f>
        <v>0</v>
      </c>
      <c r="CY3685" s="7">
        <f>0</f>
        <v>0</v>
      </c>
      <c r="DA3685" s="7">
        <f>1980</f>
        <v>1980</v>
      </c>
      <c r="DB3685" s="7" t="s">
        <v>240</v>
      </c>
      <c r="DC3685" s="5" t="s">
        <v>240</v>
      </c>
      <c r="DD3685" s="5" t="s">
        <v>240</v>
      </c>
      <c r="DE3685" s="5" t="s">
        <v>240</v>
      </c>
      <c r="DF3685" s="5" t="s">
        <v>450</v>
      </c>
      <c r="DG3685" s="7">
        <f>0</f>
        <v>0</v>
      </c>
      <c r="DI3685" s="5" t="s">
        <v>737</v>
      </c>
      <c r="DJ3685" s="5" t="s">
        <v>240</v>
      </c>
      <c r="DK3685" s="5" t="s">
        <v>240</v>
      </c>
      <c r="DL3685" s="5" t="s">
        <v>240</v>
      </c>
      <c r="DM3685" s="5" t="s">
        <v>240</v>
      </c>
      <c r="DN3685" s="5" t="s">
        <v>240</v>
      </c>
      <c r="DO3685" s="7" t="s">
        <v>240</v>
      </c>
      <c r="DP3685" s="5" t="s">
        <v>240</v>
      </c>
      <c r="DQ3685" s="5" t="s">
        <v>240</v>
      </c>
      <c r="DR3685" s="5" t="s">
        <v>731</v>
      </c>
      <c r="DS3685" s="5" t="s">
        <v>731</v>
      </c>
      <c r="DT3685" s="5" t="s">
        <v>240</v>
      </c>
      <c r="DU3685" s="5" t="s">
        <v>240</v>
      </c>
      <c r="DV3685" s="5" t="s">
        <v>738</v>
      </c>
      <c r="DW3685" s="5" t="s">
        <v>748</v>
      </c>
      <c r="DX3685" s="5" t="s">
        <v>240</v>
      </c>
      <c r="DY3685" s="5" t="s">
        <v>240</v>
      </c>
      <c r="DZ3685" s="5" t="s">
        <v>240</v>
      </c>
      <c r="EA3685" s="5" t="s">
        <v>240</v>
      </c>
      <c r="EB3685" s="5" t="s">
        <v>240</v>
      </c>
      <c r="EC3685" s="5" t="s">
        <v>240</v>
      </c>
      <c r="ED3685" s="5" t="s">
        <v>240</v>
      </c>
      <c r="EE3685" s="5" t="s">
        <v>240</v>
      </c>
      <c r="EF3685" s="5" t="s">
        <v>240</v>
      </c>
      <c r="EG3685" s="5" t="s">
        <v>240</v>
      </c>
      <c r="EH3685" s="5" t="s">
        <v>240</v>
      </c>
      <c r="EI3685" s="5" t="s">
        <v>240</v>
      </c>
      <c r="EJ3685" s="5" t="s">
        <v>240</v>
      </c>
      <c r="EK3685" s="5" t="s">
        <v>240</v>
      </c>
      <c r="EL3685" s="5" t="s">
        <v>240</v>
      </c>
      <c r="EM3685" s="5" t="s">
        <v>240</v>
      </c>
      <c r="EN3685" s="5" t="s">
        <v>240</v>
      </c>
      <c r="EO3685" s="5" t="s">
        <v>240</v>
      </c>
      <c r="EP3685" s="5" t="s">
        <v>240</v>
      </c>
      <c r="EQ3685" s="5" t="s">
        <v>240</v>
      </c>
      <c r="ER3685" s="5" t="s">
        <v>240</v>
      </c>
      <c r="ES3685" s="5" t="s">
        <v>240</v>
      </c>
      <c r="ET3685" s="5" t="s">
        <v>240</v>
      </c>
      <c r="EU3685" s="5" t="s">
        <v>240</v>
      </c>
      <c r="EV3685" s="5" t="s">
        <v>240</v>
      </c>
      <c r="EW3685" s="5" t="s">
        <v>240</v>
      </c>
      <c r="EX3685" s="5" t="s">
        <v>240</v>
      </c>
      <c r="EY3685" s="5" t="s">
        <v>240</v>
      </c>
      <c r="EZ3685" s="5" t="s">
        <v>240</v>
      </c>
      <c r="FA3685" s="5" t="s">
        <v>240</v>
      </c>
      <c r="FB3685" s="5" t="s">
        <v>240</v>
      </c>
      <c r="FC3685" s="5" t="s">
        <v>240</v>
      </c>
      <c r="FD3685" s="5" t="s">
        <v>240</v>
      </c>
      <c r="FE3685" s="5" t="s">
        <v>240</v>
      </c>
      <c r="FF3685" s="5" t="s">
        <v>240</v>
      </c>
      <c r="FG3685" s="5" t="s">
        <v>240</v>
      </c>
      <c r="FH3685" s="5" t="s">
        <v>240</v>
      </c>
      <c r="FI3685" s="5" t="s">
        <v>240</v>
      </c>
      <c r="FJ3685" s="5" t="s">
        <v>240</v>
      </c>
      <c r="FK3685" s="5" t="s">
        <v>240</v>
      </c>
      <c r="FL3685" s="5" t="s">
        <v>240</v>
      </c>
      <c r="FM3685" s="5" t="s">
        <v>240</v>
      </c>
      <c r="FN3685" s="5" t="s">
        <v>240</v>
      </c>
      <c r="FO3685" s="5" t="s">
        <v>240</v>
      </c>
      <c r="FP3685" s="5" t="s">
        <v>240</v>
      </c>
      <c r="FQ3685" s="5" t="s">
        <v>240</v>
      </c>
      <c r="FR3685" s="5" t="s">
        <v>240</v>
      </c>
      <c r="FS3685" s="5" t="s">
        <v>240</v>
      </c>
      <c r="FT3685" s="5" t="s">
        <v>240</v>
      </c>
      <c r="FU3685" s="5" t="s">
        <v>240</v>
      </c>
      <c r="FV3685" s="5" t="s">
        <v>240</v>
      </c>
      <c r="FW3685" s="5" t="s">
        <v>240</v>
      </c>
      <c r="FX3685" s="5" t="s">
        <v>240</v>
      </c>
      <c r="FY3685" s="5" t="s">
        <v>240</v>
      </c>
      <c r="FZ3685" s="5" t="s">
        <v>240</v>
      </c>
      <c r="GA3685" s="5" t="s">
        <v>240</v>
      </c>
      <c r="GB3685" s="5" t="s">
        <v>240</v>
      </c>
      <c r="GC3685" s="5" t="s">
        <v>240</v>
      </c>
      <c r="GD3685" s="5" t="s">
        <v>240</v>
      </c>
      <c r="GE3685" s="5" t="s">
        <v>240</v>
      </c>
      <c r="GF3685" s="5" t="s">
        <v>240</v>
      </c>
      <c r="GG3685" s="5" t="s">
        <v>240</v>
      </c>
      <c r="GH3685" s="5" t="s">
        <v>240</v>
      </c>
      <c r="GI3685" s="5" t="s">
        <v>240</v>
      </c>
      <c r="GJ3685" s="5" t="s">
        <v>240</v>
      </c>
      <c r="GK3685" s="5" t="s">
        <v>240</v>
      </c>
      <c r="GL3685" s="5" t="s">
        <v>240</v>
      </c>
      <c r="GM3685" s="5" t="s">
        <v>240</v>
      </c>
      <c r="GN3685" s="5" t="s">
        <v>240</v>
      </c>
      <c r="GO3685" s="5" t="s">
        <v>240</v>
      </c>
      <c r="GP3685" s="5" t="s">
        <v>240</v>
      </c>
      <c r="GQ3685" s="5" t="s">
        <v>240</v>
      </c>
      <c r="GR3685" s="5" t="s">
        <v>240</v>
      </c>
      <c r="GS3685" s="5" t="s">
        <v>240</v>
      </c>
      <c r="GT3685" s="5" t="s">
        <v>240</v>
      </c>
      <c r="GU3685" s="5" t="s">
        <v>240</v>
      </c>
      <c r="GV3685" s="5" t="s">
        <v>240</v>
      </c>
      <c r="GW3685" s="5" t="s">
        <v>240</v>
      </c>
      <c r="GX3685" s="5" t="s">
        <v>240</v>
      </c>
      <c r="GY3685" s="5" t="s">
        <v>240</v>
      </c>
      <c r="GZ3685" s="5" t="s">
        <v>240</v>
      </c>
      <c r="HA3685" s="5" t="s">
        <v>240</v>
      </c>
      <c r="HB3685" s="5" t="s">
        <v>240</v>
      </c>
      <c r="HC3685" s="5" t="s">
        <v>240</v>
      </c>
      <c r="HD3685" s="5" t="s">
        <v>240</v>
      </c>
      <c r="HE3685" s="5" t="s">
        <v>240</v>
      </c>
      <c r="HF3685" s="5" t="s">
        <v>240</v>
      </c>
      <c r="HG3685" s="5" t="s">
        <v>240</v>
      </c>
      <c r="HH3685" s="5" t="s">
        <v>240</v>
      </c>
      <c r="HI3685" s="5" t="s">
        <v>240</v>
      </c>
      <c r="HJ3685" s="5" t="s">
        <v>240</v>
      </c>
      <c r="HK3685" s="5" t="s">
        <v>240</v>
      </c>
      <c r="HL3685" s="5" t="s">
        <v>240</v>
      </c>
      <c r="HM3685" s="5" t="s">
        <v>240</v>
      </c>
      <c r="HN3685" s="5" t="s">
        <v>240</v>
      </c>
      <c r="HO3685" s="5" t="s">
        <v>312</v>
      </c>
      <c r="HP3685" s="5" t="s">
        <v>240</v>
      </c>
      <c r="HQ3685" s="5" t="s">
        <v>240</v>
      </c>
      <c r="HR3685" s="5" t="s">
        <v>240</v>
      </c>
      <c r="HS3685" s="5" t="s">
        <v>240</v>
      </c>
      <c r="HT3685" s="5" t="s">
        <v>240</v>
      </c>
      <c r="HU3685" s="5" t="s">
        <v>240</v>
      </c>
      <c r="HV3685" s="5" t="s">
        <v>240</v>
      </c>
      <c r="HW3685" s="5" t="s">
        <v>240</v>
      </c>
      <c r="HX3685" s="5" t="s">
        <v>240</v>
      </c>
      <c r="HY3685" s="5" t="s">
        <v>240</v>
      </c>
      <c r="HZ3685" s="5" t="s">
        <v>240</v>
      </c>
      <c r="IA3685" s="5" t="s">
        <v>240</v>
      </c>
      <c r="IB3685" s="5" t="s">
        <v>240</v>
      </c>
      <c r="IC3685" s="5" t="s">
        <v>240</v>
      </c>
      <c r="ID3685" s="5" t="s">
        <v>240</v>
      </c>
      <c r="IE3685" s="5" t="s">
        <v>240</v>
      </c>
      <c r="IF3685" s="5" t="s">
        <v>240</v>
      </c>
    </row>
    <row r="3686" spans="1:240" x14ac:dyDescent="0.4">
      <c r="A3686" s="5">
        <v>9228</v>
      </c>
      <c r="B3686" s="5">
        <v>1</v>
      </c>
      <c r="C3686" s="5">
        <v>1</v>
      </c>
      <c r="D3686" s="5" t="s">
        <v>723</v>
      </c>
      <c r="E3686" s="5" t="s">
        <v>725</v>
      </c>
      <c r="F3686" s="5" t="s">
        <v>254</v>
      </c>
      <c r="G3686" s="5" t="s">
        <v>5613</v>
      </c>
      <c r="H3686" s="6" t="s">
        <v>5614</v>
      </c>
      <c r="I3686" s="5" t="s">
        <v>5612</v>
      </c>
      <c r="J3686" s="7">
        <f>1</f>
        <v>1</v>
      </c>
      <c r="K3686" s="5" t="s">
        <v>3682</v>
      </c>
      <c r="L3686" s="7">
        <f>1</f>
        <v>1</v>
      </c>
      <c r="M3686" s="7">
        <f>1</f>
        <v>1</v>
      </c>
      <c r="N3686" s="5" t="s">
        <v>242</v>
      </c>
      <c r="O3686" s="5">
        <v>1</v>
      </c>
      <c r="P3686" s="5" t="s">
        <v>294</v>
      </c>
      <c r="Q3686" s="5" t="s">
        <v>266</v>
      </c>
      <c r="R3686" s="5" t="s">
        <v>240</v>
      </c>
      <c r="S3686" s="5" t="s">
        <v>240</v>
      </c>
      <c r="T3686" s="5" t="s">
        <v>243</v>
      </c>
      <c r="U3686" s="5" t="s">
        <v>240</v>
      </c>
      <c r="V3686" s="5" t="s">
        <v>240</v>
      </c>
      <c r="Y3686" s="5" t="s">
        <v>240</v>
      </c>
      <c r="Z3686" s="6" t="s">
        <v>6537</v>
      </c>
      <c r="AB3686" s="6" t="s">
        <v>240</v>
      </c>
      <c r="AE3686" s="6" t="s">
        <v>299</v>
      </c>
      <c r="AF3686" s="5" t="s">
        <v>248</v>
      </c>
      <c r="AG3686" s="5" t="s">
        <v>249</v>
      </c>
      <c r="AW3686" s="5" t="s">
        <v>251</v>
      </c>
      <c r="AX3686" s="5" t="s">
        <v>240</v>
      </c>
      <c r="AY3686" s="5" t="s">
        <v>253</v>
      </c>
      <c r="AZ3686" s="5" t="s">
        <v>240</v>
      </c>
      <c r="BA3686" s="5" t="s">
        <v>255</v>
      </c>
      <c r="BB3686" s="5" t="s">
        <v>240</v>
      </c>
      <c r="BD3686" s="5" t="s">
        <v>240</v>
      </c>
      <c r="BF3686" s="5" t="s">
        <v>301</v>
      </c>
      <c r="BG3686" s="6" t="s">
        <v>6537</v>
      </c>
      <c r="BH3686" s="5" t="s">
        <v>302</v>
      </c>
      <c r="BI3686" s="5" t="s">
        <v>448</v>
      </c>
      <c r="BJ3686" s="5" t="s">
        <v>240</v>
      </c>
      <c r="BK3686" s="8">
        <f>0</f>
        <v>0</v>
      </c>
      <c r="BL3686" s="7">
        <f>0</f>
        <v>0</v>
      </c>
      <c r="BM3686" s="5" t="s">
        <v>258</v>
      </c>
      <c r="BN3686" s="5" t="s">
        <v>259</v>
      </c>
      <c r="CB3686" s="5" t="s">
        <v>240</v>
      </c>
      <c r="CC3686" s="5" t="s">
        <v>240</v>
      </c>
      <c r="CG3686" s="5" t="s">
        <v>449</v>
      </c>
      <c r="CH3686" s="5" t="s">
        <v>305</v>
      </c>
      <c r="CI3686" s="5" t="s">
        <v>240</v>
      </c>
      <c r="CL3686" s="6" t="s">
        <v>261</v>
      </c>
      <c r="CM3686" s="5" t="s">
        <v>240</v>
      </c>
      <c r="CN3686" s="5" t="s">
        <v>263</v>
      </c>
      <c r="CO3686" s="5" t="s">
        <v>240</v>
      </c>
      <c r="CP3686" s="5" t="s">
        <v>240</v>
      </c>
      <c r="CQ3686" s="5">
        <v>0</v>
      </c>
      <c r="CR3686" s="5" t="s">
        <v>306</v>
      </c>
      <c r="CS3686" s="5" t="s">
        <v>307</v>
      </c>
      <c r="CT3686" s="5" t="s">
        <v>307</v>
      </c>
      <c r="CU3686" s="5" t="s">
        <v>260</v>
      </c>
      <c r="CX3686" s="7">
        <f>258819</f>
        <v>258819</v>
      </c>
      <c r="CY3686" s="7">
        <f>0</f>
        <v>0</v>
      </c>
      <c r="DA3686" s="7">
        <f>0</f>
        <v>0</v>
      </c>
      <c r="DC3686" s="5" t="s">
        <v>450</v>
      </c>
      <c r="DD3686" s="5" t="s">
        <v>240</v>
      </c>
      <c r="DF3686" s="5" t="s">
        <v>450</v>
      </c>
      <c r="DG3686" s="7">
        <f>0</f>
        <v>0</v>
      </c>
      <c r="DI3686" s="5" t="s">
        <v>240</v>
      </c>
      <c r="DJ3686" s="5" t="s">
        <v>240</v>
      </c>
      <c r="DK3686" s="5" t="s">
        <v>240</v>
      </c>
      <c r="DL3686" s="5" t="s">
        <v>240</v>
      </c>
      <c r="DP3686" s="5" t="s">
        <v>240</v>
      </c>
      <c r="DQ3686" s="5" t="s">
        <v>240</v>
      </c>
      <c r="DR3686" s="5" t="s">
        <v>240</v>
      </c>
      <c r="DS3686" s="5" t="s">
        <v>240</v>
      </c>
      <c r="DV3686" s="5" t="s">
        <v>310</v>
      </c>
      <c r="DW3686" s="5" t="s">
        <v>2302</v>
      </c>
      <c r="HO3686" s="5" t="s">
        <v>312</v>
      </c>
    </row>
    <row r="3687" spans="1:240" x14ac:dyDescent="0.4">
      <c r="A3687" s="5">
        <v>9229</v>
      </c>
      <c r="B3687" s="5">
        <v>1</v>
      </c>
      <c r="C3687" s="5">
        <v>1</v>
      </c>
      <c r="D3687" s="5" t="s">
        <v>723</v>
      </c>
      <c r="E3687" s="5" t="s">
        <v>725</v>
      </c>
      <c r="F3687" s="5" t="s">
        <v>254</v>
      </c>
      <c r="G3687" s="5" t="s">
        <v>6346</v>
      </c>
      <c r="H3687" s="6" t="s">
        <v>6347</v>
      </c>
      <c r="I3687" s="5" t="s">
        <v>6345</v>
      </c>
      <c r="J3687" s="7">
        <f>1</f>
        <v>1</v>
      </c>
      <c r="K3687" s="5" t="s">
        <v>3682</v>
      </c>
      <c r="L3687" s="7">
        <f>1</f>
        <v>1</v>
      </c>
      <c r="M3687" s="7">
        <f>1</f>
        <v>1</v>
      </c>
      <c r="N3687" s="5" t="s">
        <v>242</v>
      </c>
      <c r="O3687" s="5">
        <v>1</v>
      </c>
      <c r="P3687" s="5" t="s">
        <v>294</v>
      </c>
      <c r="Q3687" s="5" t="s">
        <v>266</v>
      </c>
      <c r="R3687" s="5" t="s">
        <v>240</v>
      </c>
      <c r="S3687" s="5" t="s">
        <v>240</v>
      </c>
      <c r="T3687" s="5" t="s">
        <v>243</v>
      </c>
      <c r="U3687" s="5" t="s">
        <v>244</v>
      </c>
      <c r="V3687" s="5" t="s">
        <v>240</v>
      </c>
      <c r="Y3687" s="5" t="s">
        <v>240</v>
      </c>
      <c r="Z3687" s="6" t="s">
        <v>3465</v>
      </c>
      <c r="AB3687" s="6" t="s">
        <v>240</v>
      </c>
      <c r="AE3687" s="6" t="s">
        <v>299</v>
      </c>
      <c r="AF3687" s="5" t="s">
        <v>248</v>
      </c>
      <c r="AG3687" s="5" t="s">
        <v>249</v>
      </c>
      <c r="AW3687" s="5" t="s">
        <v>251</v>
      </c>
      <c r="AX3687" s="5" t="s">
        <v>240</v>
      </c>
      <c r="AY3687" s="5" t="s">
        <v>253</v>
      </c>
      <c r="AZ3687" s="5" t="s">
        <v>240</v>
      </c>
      <c r="BA3687" s="5" t="s">
        <v>255</v>
      </c>
      <c r="BB3687" s="5" t="s">
        <v>240</v>
      </c>
      <c r="BD3687" s="5" t="s">
        <v>240</v>
      </c>
      <c r="BF3687" s="5" t="s">
        <v>301</v>
      </c>
      <c r="BG3687" s="6" t="s">
        <v>3465</v>
      </c>
      <c r="BH3687" s="5" t="s">
        <v>302</v>
      </c>
      <c r="BI3687" s="5" t="s">
        <v>448</v>
      </c>
      <c r="BJ3687" s="5" t="s">
        <v>240</v>
      </c>
      <c r="BK3687" s="8">
        <f>0</f>
        <v>0</v>
      </c>
      <c r="BL3687" s="7">
        <f>0</f>
        <v>0</v>
      </c>
      <c r="BM3687" s="5" t="s">
        <v>258</v>
      </c>
      <c r="BN3687" s="5" t="s">
        <v>259</v>
      </c>
      <c r="CB3687" s="5" t="s">
        <v>240</v>
      </c>
      <c r="CC3687" s="5" t="s">
        <v>240</v>
      </c>
      <c r="CG3687" s="5" t="s">
        <v>449</v>
      </c>
      <c r="CH3687" s="5" t="s">
        <v>305</v>
      </c>
      <c r="CI3687" s="5" t="s">
        <v>240</v>
      </c>
      <c r="CL3687" s="6" t="s">
        <v>261</v>
      </c>
      <c r="CM3687" s="5" t="s">
        <v>240</v>
      </c>
      <c r="CN3687" s="5" t="s">
        <v>263</v>
      </c>
      <c r="CO3687" s="5" t="s">
        <v>240</v>
      </c>
      <c r="CP3687" s="5" t="s">
        <v>240</v>
      </c>
      <c r="CQ3687" s="5">
        <v>0</v>
      </c>
      <c r="CR3687" s="5" t="s">
        <v>306</v>
      </c>
      <c r="CS3687" s="5" t="s">
        <v>307</v>
      </c>
      <c r="CT3687" s="5" t="s">
        <v>307</v>
      </c>
      <c r="CU3687" s="5" t="s">
        <v>260</v>
      </c>
      <c r="CX3687" s="7">
        <f>3588280</f>
        <v>3588280</v>
      </c>
      <c r="CY3687" s="7">
        <f>0</f>
        <v>0</v>
      </c>
      <c r="DA3687" s="7">
        <f>0</f>
        <v>0</v>
      </c>
      <c r="DC3687" s="5" t="s">
        <v>450</v>
      </c>
      <c r="DD3687" s="5" t="s">
        <v>240</v>
      </c>
      <c r="DF3687" s="5" t="s">
        <v>450</v>
      </c>
      <c r="DG3687" s="7">
        <f>1006.79</f>
        <v>1006.79</v>
      </c>
      <c r="DI3687" s="5" t="s">
        <v>240</v>
      </c>
      <c r="DJ3687" s="5" t="s">
        <v>240</v>
      </c>
      <c r="DK3687" s="5" t="s">
        <v>240</v>
      </c>
      <c r="DL3687" s="5" t="s">
        <v>240</v>
      </c>
      <c r="DP3687" s="5" t="s">
        <v>240</v>
      </c>
      <c r="DQ3687" s="5" t="s">
        <v>240</v>
      </c>
      <c r="DR3687" s="5" t="s">
        <v>240</v>
      </c>
      <c r="DS3687" s="5" t="s">
        <v>240</v>
      </c>
      <c r="DV3687" s="5" t="s">
        <v>310</v>
      </c>
      <c r="DW3687" s="5" t="s">
        <v>2556</v>
      </c>
      <c r="HO3687" s="5" t="s">
        <v>312</v>
      </c>
    </row>
    <row r="3688" spans="1:240" x14ac:dyDescent="0.4">
      <c r="A3688" s="5">
        <v>9230</v>
      </c>
      <c r="B3688" s="5">
        <v>1</v>
      </c>
      <c r="C3688" s="5">
        <v>1</v>
      </c>
      <c r="D3688" s="5" t="s">
        <v>723</v>
      </c>
      <c r="E3688" s="5" t="s">
        <v>725</v>
      </c>
      <c r="F3688" s="5" t="s">
        <v>254</v>
      </c>
      <c r="G3688" s="5" t="s">
        <v>726</v>
      </c>
      <c r="H3688" s="6" t="s">
        <v>5610</v>
      </c>
      <c r="I3688" s="5" t="s">
        <v>5609</v>
      </c>
      <c r="J3688" s="7">
        <f>1</f>
        <v>1</v>
      </c>
      <c r="K3688" s="5" t="s">
        <v>3682</v>
      </c>
      <c r="L3688" s="7">
        <f>1</f>
        <v>1</v>
      </c>
      <c r="M3688" s="7">
        <f>1</f>
        <v>1</v>
      </c>
      <c r="N3688" s="5" t="s">
        <v>242</v>
      </c>
      <c r="O3688" s="5">
        <v>1</v>
      </c>
      <c r="P3688" s="5" t="s">
        <v>294</v>
      </c>
      <c r="Q3688" s="5" t="s">
        <v>266</v>
      </c>
      <c r="R3688" s="5" t="s">
        <v>240</v>
      </c>
      <c r="S3688" s="5" t="s">
        <v>240</v>
      </c>
      <c r="T3688" s="5" t="s">
        <v>243</v>
      </c>
      <c r="U3688" s="5" t="s">
        <v>240</v>
      </c>
      <c r="V3688" s="5" t="s">
        <v>240</v>
      </c>
      <c r="Y3688" s="5" t="s">
        <v>240</v>
      </c>
      <c r="Z3688" s="6" t="s">
        <v>2214</v>
      </c>
      <c r="AB3688" s="6" t="s">
        <v>240</v>
      </c>
      <c r="AE3688" s="6" t="s">
        <v>299</v>
      </c>
      <c r="AF3688" s="5" t="s">
        <v>248</v>
      </c>
      <c r="AG3688" s="5" t="s">
        <v>249</v>
      </c>
      <c r="AW3688" s="5" t="s">
        <v>251</v>
      </c>
      <c r="AX3688" s="5" t="s">
        <v>240</v>
      </c>
      <c r="AY3688" s="5" t="s">
        <v>253</v>
      </c>
      <c r="AZ3688" s="5" t="s">
        <v>240</v>
      </c>
      <c r="BA3688" s="5" t="s">
        <v>255</v>
      </c>
      <c r="BB3688" s="5" t="s">
        <v>240</v>
      </c>
      <c r="BD3688" s="5" t="s">
        <v>240</v>
      </c>
      <c r="BF3688" s="5" t="s">
        <v>301</v>
      </c>
      <c r="BG3688" s="6" t="s">
        <v>2214</v>
      </c>
      <c r="BH3688" s="5" t="s">
        <v>302</v>
      </c>
      <c r="BI3688" s="5" t="s">
        <v>448</v>
      </c>
      <c r="BJ3688" s="5" t="s">
        <v>240</v>
      </c>
      <c r="BK3688" s="8">
        <f>0</f>
        <v>0</v>
      </c>
      <c r="BL3688" s="7">
        <f>0</f>
        <v>0</v>
      </c>
      <c r="BM3688" s="5" t="s">
        <v>258</v>
      </c>
      <c r="BN3688" s="5" t="s">
        <v>259</v>
      </c>
      <c r="CB3688" s="5" t="s">
        <v>240</v>
      </c>
      <c r="CC3688" s="5" t="s">
        <v>240</v>
      </c>
      <c r="CG3688" s="5" t="s">
        <v>449</v>
      </c>
      <c r="CH3688" s="5" t="s">
        <v>305</v>
      </c>
      <c r="CI3688" s="5" t="s">
        <v>240</v>
      </c>
      <c r="CL3688" s="6" t="s">
        <v>261</v>
      </c>
      <c r="CM3688" s="5" t="s">
        <v>240</v>
      </c>
      <c r="CN3688" s="5" t="s">
        <v>263</v>
      </c>
      <c r="CO3688" s="5" t="s">
        <v>240</v>
      </c>
      <c r="CP3688" s="5" t="s">
        <v>240</v>
      </c>
      <c r="CQ3688" s="5">
        <v>0</v>
      </c>
      <c r="CR3688" s="5" t="s">
        <v>306</v>
      </c>
      <c r="CS3688" s="5" t="s">
        <v>307</v>
      </c>
      <c r="CT3688" s="5" t="s">
        <v>307</v>
      </c>
      <c r="CU3688" s="5" t="s">
        <v>260</v>
      </c>
      <c r="CX3688" s="7">
        <f>215970</f>
        <v>215970</v>
      </c>
      <c r="CY3688" s="7">
        <f>0</f>
        <v>0</v>
      </c>
      <c r="DA3688" s="7">
        <f>0</f>
        <v>0</v>
      </c>
      <c r="DC3688" s="5" t="s">
        <v>450</v>
      </c>
      <c r="DD3688" s="5" t="s">
        <v>240</v>
      </c>
      <c r="DF3688" s="5" t="s">
        <v>812</v>
      </c>
      <c r="DG3688" s="7">
        <f>62.6</f>
        <v>62.6</v>
      </c>
      <c r="DH3688" s="6" t="s">
        <v>2163</v>
      </c>
      <c r="DI3688" s="5" t="s">
        <v>240</v>
      </c>
      <c r="DJ3688" s="5" t="s">
        <v>240</v>
      </c>
      <c r="DK3688" s="5" t="s">
        <v>240</v>
      </c>
      <c r="DL3688" s="5" t="s">
        <v>240</v>
      </c>
      <c r="DP3688" s="5" t="s">
        <v>240</v>
      </c>
      <c r="DQ3688" s="5" t="s">
        <v>240</v>
      </c>
      <c r="DR3688" s="5" t="s">
        <v>240</v>
      </c>
      <c r="DS3688" s="5" t="s">
        <v>240</v>
      </c>
      <c r="DV3688" s="5" t="s">
        <v>813</v>
      </c>
      <c r="DW3688" s="5" t="s">
        <v>6543</v>
      </c>
      <c r="HO3688" s="5" t="s">
        <v>312</v>
      </c>
    </row>
    <row r="3689" spans="1:240" x14ac:dyDescent="0.4">
      <c r="A3689" s="5">
        <v>9231</v>
      </c>
      <c r="B3689" s="5">
        <v>1</v>
      </c>
      <c r="C3689" s="5">
        <v>1</v>
      </c>
      <c r="D3689" s="5" t="s">
        <v>723</v>
      </c>
      <c r="E3689" s="5" t="s">
        <v>725</v>
      </c>
      <c r="F3689" s="5" t="s">
        <v>254</v>
      </c>
      <c r="G3689" s="5" t="s">
        <v>726</v>
      </c>
      <c r="H3689" s="6" t="s">
        <v>5608</v>
      </c>
      <c r="I3689" s="5" t="s">
        <v>5607</v>
      </c>
      <c r="J3689" s="7">
        <f>1</f>
        <v>1</v>
      </c>
      <c r="K3689" s="5" t="s">
        <v>3682</v>
      </c>
      <c r="L3689" s="7">
        <f>1</f>
        <v>1</v>
      </c>
      <c r="M3689" s="7">
        <f>1</f>
        <v>1</v>
      </c>
      <c r="N3689" s="5" t="s">
        <v>242</v>
      </c>
      <c r="O3689" s="5">
        <v>1</v>
      </c>
      <c r="P3689" s="5" t="s">
        <v>294</v>
      </c>
      <c r="Q3689" s="5" t="s">
        <v>613</v>
      </c>
      <c r="R3689" s="5" t="s">
        <v>240</v>
      </c>
      <c r="S3689" s="5" t="s">
        <v>240</v>
      </c>
      <c r="T3689" s="5" t="s">
        <v>243</v>
      </c>
      <c r="U3689" s="5" t="s">
        <v>724</v>
      </c>
      <c r="V3689" s="5" t="s">
        <v>240</v>
      </c>
      <c r="W3689" s="5" t="s">
        <v>240</v>
      </c>
      <c r="X3689" s="5" t="s">
        <v>240</v>
      </c>
      <c r="Y3689" s="5" t="s">
        <v>240</v>
      </c>
      <c r="Z3689" s="6" t="s">
        <v>298</v>
      </c>
      <c r="AA3689" s="6" t="s">
        <v>240</v>
      </c>
      <c r="AB3689" s="6" t="s">
        <v>240</v>
      </c>
      <c r="AC3689" s="5" t="s">
        <v>240</v>
      </c>
      <c r="AD3689" s="6" t="s">
        <v>240</v>
      </c>
      <c r="AE3689" s="6" t="s">
        <v>299</v>
      </c>
      <c r="AF3689" s="5" t="s">
        <v>727</v>
      </c>
      <c r="AG3689" s="5" t="s">
        <v>260</v>
      </c>
      <c r="AH3689" s="5" t="s">
        <v>240</v>
      </c>
      <c r="AI3689" s="5" t="s">
        <v>240</v>
      </c>
      <c r="AJ3689" s="5" t="s">
        <v>240</v>
      </c>
      <c r="AK3689" s="5" t="s">
        <v>240</v>
      </c>
      <c r="AL3689" s="5" t="s">
        <v>240</v>
      </c>
      <c r="AM3689" s="5" t="s">
        <v>240</v>
      </c>
      <c r="AN3689" s="5" t="s">
        <v>240</v>
      </c>
      <c r="AO3689" s="5" t="s">
        <v>240</v>
      </c>
      <c r="AP3689" s="6" t="s">
        <v>240</v>
      </c>
      <c r="AQ3689" s="6" t="s">
        <v>240</v>
      </c>
      <c r="AR3689" s="6" t="s">
        <v>240</v>
      </c>
      <c r="AS3689" s="6" t="s">
        <v>240</v>
      </c>
      <c r="AT3689" s="5" t="s">
        <v>240</v>
      </c>
      <c r="AU3689" s="5" t="s">
        <v>729</v>
      </c>
      <c r="AV3689" s="5" t="s">
        <v>729</v>
      </c>
      <c r="AW3689" s="5" t="s">
        <v>251</v>
      </c>
      <c r="AX3689" s="5" t="s">
        <v>252</v>
      </c>
      <c r="AY3689" s="5" t="s">
        <v>253</v>
      </c>
      <c r="AZ3689" s="5" t="s">
        <v>240</v>
      </c>
      <c r="BA3689" s="5" t="s">
        <v>255</v>
      </c>
      <c r="BB3689" s="5" t="s">
        <v>731</v>
      </c>
      <c r="BD3689" s="5" t="s">
        <v>240</v>
      </c>
      <c r="BF3689" s="5" t="s">
        <v>732</v>
      </c>
      <c r="BG3689" s="6" t="s">
        <v>733</v>
      </c>
      <c r="BH3689" s="5" t="s">
        <v>734</v>
      </c>
      <c r="BI3689" s="5" t="s">
        <v>734</v>
      </c>
      <c r="BJ3689" s="5" t="s">
        <v>240</v>
      </c>
      <c r="BK3689" s="8">
        <f>1239.66</f>
        <v>1239.6600000000001</v>
      </c>
      <c r="BL3689" s="7">
        <f>0</f>
        <v>0</v>
      </c>
      <c r="BM3689" s="5" t="s">
        <v>258</v>
      </c>
      <c r="BN3689" s="5" t="s">
        <v>259</v>
      </c>
      <c r="BO3689" s="5" t="s">
        <v>240</v>
      </c>
      <c r="BP3689" s="5" t="s">
        <v>240</v>
      </c>
      <c r="BQ3689" s="5" t="s">
        <v>240</v>
      </c>
      <c r="BR3689" s="5" t="s">
        <v>240</v>
      </c>
      <c r="BS3689" s="5" t="s">
        <v>240</v>
      </c>
      <c r="BT3689" s="5" t="s">
        <v>240</v>
      </c>
      <c r="BU3689" s="5" t="s">
        <v>240</v>
      </c>
      <c r="BV3689" s="5" t="s">
        <v>240</v>
      </c>
      <c r="BW3689" s="6" t="s">
        <v>240</v>
      </c>
      <c r="BX3689" s="5" t="s">
        <v>240</v>
      </c>
      <c r="BY3689" s="5" t="s">
        <v>240</v>
      </c>
      <c r="BZ3689" s="5" t="s">
        <v>240</v>
      </c>
      <c r="CA3689" s="5" t="s">
        <v>259</v>
      </c>
      <c r="CB3689" s="5" t="s">
        <v>240</v>
      </c>
      <c r="CC3689" s="5" t="s">
        <v>240</v>
      </c>
      <c r="CD3689" s="5" t="s">
        <v>240</v>
      </c>
      <c r="CE3689" s="5" t="s">
        <v>240</v>
      </c>
      <c r="CF3689" s="5" t="s">
        <v>240</v>
      </c>
      <c r="CG3689" s="5" t="s">
        <v>617</v>
      </c>
      <c r="CH3689" s="5" t="s">
        <v>305</v>
      </c>
      <c r="CI3689" s="5" t="s">
        <v>240</v>
      </c>
      <c r="CL3689" s="6" t="s">
        <v>261</v>
      </c>
      <c r="CM3689" s="5" t="s">
        <v>262</v>
      </c>
      <c r="CN3689" s="5" t="s">
        <v>263</v>
      </c>
      <c r="CO3689" s="5" t="s">
        <v>264</v>
      </c>
      <c r="CP3689" s="5" t="s">
        <v>240</v>
      </c>
      <c r="CQ3689" s="5">
        <v>0</v>
      </c>
      <c r="CR3689" s="5" t="s">
        <v>735</v>
      </c>
      <c r="CS3689" s="5" t="s">
        <v>307</v>
      </c>
      <c r="CT3689" s="5" t="s">
        <v>307</v>
      </c>
      <c r="CU3689" s="5" t="s">
        <v>260</v>
      </c>
      <c r="CV3689" s="5" t="s">
        <v>240</v>
      </c>
      <c r="CW3689" s="8">
        <f>0</f>
        <v>0</v>
      </c>
      <c r="CX3689" s="7">
        <f>0</f>
        <v>0</v>
      </c>
      <c r="CY3689" s="7">
        <f>0</f>
        <v>0</v>
      </c>
      <c r="DA3689" s="7">
        <f>13636</f>
        <v>13636</v>
      </c>
      <c r="DB3689" s="7" t="s">
        <v>240</v>
      </c>
      <c r="DC3689" s="5" t="s">
        <v>240</v>
      </c>
      <c r="DD3689" s="5" t="s">
        <v>240</v>
      </c>
      <c r="DE3689" s="5" t="s">
        <v>240</v>
      </c>
      <c r="DF3689" s="5" t="s">
        <v>450</v>
      </c>
      <c r="DG3689" s="7">
        <f>0</f>
        <v>0</v>
      </c>
      <c r="DI3689" s="5" t="s">
        <v>737</v>
      </c>
      <c r="DJ3689" s="5" t="s">
        <v>240</v>
      </c>
      <c r="DK3689" s="5" t="s">
        <v>240</v>
      </c>
      <c r="DL3689" s="5" t="s">
        <v>240</v>
      </c>
      <c r="DM3689" s="5" t="s">
        <v>240</v>
      </c>
      <c r="DN3689" s="5" t="s">
        <v>240</v>
      </c>
      <c r="DO3689" s="7" t="s">
        <v>240</v>
      </c>
      <c r="DP3689" s="5" t="s">
        <v>240</v>
      </c>
      <c r="DQ3689" s="5" t="s">
        <v>240</v>
      </c>
      <c r="DR3689" s="5" t="s">
        <v>731</v>
      </c>
      <c r="DS3689" s="5" t="s">
        <v>731</v>
      </c>
      <c r="DT3689" s="5" t="s">
        <v>240</v>
      </c>
      <c r="DU3689" s="5" t="s">
        <v>240</v>
      </c>
      <c r="DV3689" s="5" t="s">
        <v>738</v>
      </c>
      <c r="DW3689" s="5" t="s">
        <v>562</v>
      </c>
      <c r="DX3689" s="5" t="s">
        <v>240</v>
      </c>
      <c r="DY3689" s="5" t="s">
        <v>240</v>
      </c>
      <c r="DZ3689" s="5" t="s">
        <v>240</v>
      </c>
      <c r="EA3689" s="5" t="s">
        <v>240</v>
      </c>
      <c r="EB3689" s="5" t="s">
        <v>240</v>
      </c>
      <c r="EC3689" s="5" t="s">
        <v>240</v>
      </c>
      <c r="ED3689" s="5" t="s">
        <v>240</v>
      </c>
      <c r="EE3689" s="5" t="s">
        <v>240</v>
      </c>
      <c r="EF3689" s="5" t="s">
        <v>240</v>
      </c>
      <c r="EG3689" s="5" t="s">
        <v>240</v>
      </c>
      <c r="EH3689" s="5" t="s">
        <v>240</v>
      </c>
      <c r="EI3689" s="5" t="s">
        <v>240</v>
      </c>
      <c r="EJ3689" s="5" t="s">
        <v>240</v>
      </c>
      <c r="EK3689" s="5" t="s">
        <v>240</v>
      </c>
      <c r="EL3689" s="5" t="s">
        <v>240</v>
      </c>
      <c r="EM3689" s="5" t="s">
        <v>240</v>
      </c>
      <c r="EN3689" s="5" t="s">
        <v>240</v>
      </c>
      <c r="EO3689" s="5" t="s">
        <v>240</v>
      </c>
      <c r="EP3689" s="5" t="s">
        <v>240</v>
      </c>
      <c r="EQ3689" s="5" t="s">
        <v>240</v>
      </c>
      <c r="ER3689" s="5" t="s">
        <v>240</v>
      </c>
      <c r="ES3689" s="5" t="s">
        <v>240</v>
      </c>
      <c r="ET3689" s="5" t="s">
        <v>240</v>
      </c>
      <c r="EU3689" s="5" t="s">
        <v>240</v>
      </c>
      <c r="EV3689" s="5" t="s">
        <v>240</v>
      </c>
      <c r="EW3689" s="5" t="s">
        <v>240</v>
      </c>
      <c r="EX3689" s="5" t="s">
        <v>240</v>
      </c>
      <c r="EY3689" s="5" t="s">
        <v>240</v>
      </c>
      <c r="EZ3689" s="5" t="s">
        <v>240</v>
      </c>
      <c r="FA3689" s="5" t="s">
        <v>240</v>
      </c>
      <c r="FB3689" s="5" t="s">
        <v>240</v>
      </c>
      <c r="FC3689" s="5" t="s">
        <v>240</v>
      </c>
      <c r="FD3689" s="5" t="s">
        <v>240</v>
      </c>
      <c r="FE3689" s="5" t="s">
        <v>240</v>
      </c>
      <c r="FF3689" s="5" t="s">
        <v>240</v>
      </c>
      <c r="FG3689" s="5" t="s">
        <v>240</v>
      </c>
      <c r="FH3689" s="5" t="s">
        <v>240</v>
      </c>
      <c r="FI3689" s="5" t="s">
        <v>240</v>
      </c>
      <c r="FJ3689" s="5" t="s">
        <v>240</v>
      </c>
      <c r="FK3689" s="5" t="s">
        <v>240</v>
      </c>
      <c r="FL3689" s="5" t="s">
        <v>240</v>
      </c>
      <c r="FM3689" s="5" t="s">
        <v>240</v>
      </c>
      <c r="FN3689" s="5" t="s">
        <v>240</v>
      </c>
      <c r="FO3689" s="5" t="s">
        <v>240</v>
      </c>
      <c r="FP3689" s="5" t="s">
        <v>240</v>
      </c>
      <c r="FQ3689" s="5" t="s">
        <v>240</v>
      </c>
      <c r="FR3689" s="5" t="s">
        <v>240</v>
      </c>
      <c r="FS3689" s="5" t="s">
        <v>240</v>
      </c>
      <c r="FT3689" s="5" t="s">
        <v>240</v>
      </c>
      <c r="FU3689" s="5" t="s">
        <v>240</v>
      </c>
      <c r="FV3689" s="5" t="s">
        <v>240</v>
      </c>
      <c r="FW3689" s="5" t="s">
        <v>240</v>
      </c>
      <c r="FX3689" s="5" t="s">
        <v>240</v>
      </c>
      <c r="FY3689" s="5" t="s">
        <v>240</v>
      </c>
      <c r="FZ3689" s="5" t="s">
        <v>240</v>
      </c>
      <c r="GA3689" s="5" t="s">
        <v>240</v>
      </c>
      <c r="GB3689" s="5" t="s">
        <v>240</v>
      </c>
      <c r="GC3689" s="5" t="s">
        <v>240</v>
      </c>
      <c r="GD3689" s="5" t="s">
        <v>240</v>
      </c>
      <c r="GE3689" s="5" t="s">
        <v>240</v>
      </c>
      <c r="GF3689" s="5" t="s">
        <v>240</v>
      </c>
      <c r="GG3689" s="5" t="s">
        <v>240</v>
      </c>
      <c r="GH3689" s="5" t="s">
        <v>240</v>
      </c>
      <c r="GI3689" s="5" t="s">
        <v>240</v>
      </c>
      <c r="GJ3689" s="5" t="s">
        <v>240</v>
      </c>
      <c r="GK3689" s="5" t="s">
        <v>240</v>
      </c>
      <c r="GL3689" s="5" t="s">
        <v>240</v>
      </c>
      <c r="GM3689" s="5" t="s">
        <v>240</v>
      </c>
      <c r="GN3689" s="5" t="s">
        <v>240</v>
      </c>
      <c r="GO3689" s="5" t="s">
        <v>240</v>
      </c>
      <c r="GP3689" s="5" t="s">
        <v>240</v>
      </c>
      <c r="GQ3689" s="5" t="s">
        <v>240</v>
      </c>
      <c r="GR3689" s="5" t="s">
        <v>240</v>
      </c>
      <c r="GS3689" s="5" t="s">
        <v>240</v>
      </c>
      <c r="GT3689" s="5" t="s">
        <v>240</v>
      </c>
      <c r="GU3689" s="5" t="s">
        <v>240</v>
      </c>
      <c r="GV3689" s="5" t="s">
        <v>240</v>
      </c>
      <c r="GW3689" s="5" t="s">
        <v>240</v>
      </c>
      <c r="GX3689" s="5" t="s">
        <v>240</v>
      </c>
      <c r="GY3689" s="5" t="s">
        <v>240</v>
      </c>
      <c r="GZ3689" s="5" t="s">
        <v>240</v>
      </c>
      <c r="HA3689" s="5" t="s">
        <v>240</v>
      </c>
      <c r="HB3689" s="5" t="s">
        <v>240</v>
      </c>
      <c r="HC3689" s="5" t="s">
        <v>240</v>
      </c>
      <c r="HD3689" s="5" t="s">
        <v>240</v>
      </c>
      <c r="HE3689" s="5" t="s">
        <v>240</v>
      </c>
      <c r="HF3689" s="5" t="s">
        <v>240</v>
      </c>
      <c r="HG3689" s="5" t="s">
        <v>240</v>
      </c>
      <c r="HH3689" s="5" t="s">
        <v>240</v>
      </c>
      <c r="HI3689" s="5" t="s">
        <v>240</v>
      </c>
      <c r="HJ3689" s="5" t="s">
        <v>240</v>
      </c>
      <c r="HK3689" s="5" t="s">
        <v>240</v>
      </c>
      <c r="HL3689" s="5" t="s">
        <v>240</v>
      </c>
      <c r="HM3689" s="5" t="s">
        <v>240</v>
      </c>
      <c r="HN3689" s="5" t="s">
        <v>240</v>
      </c>
      <c r="HO3689" s="5" t="s">
        <v>620</v>
      </c>
      <c r="HP3689" s="5" t="s">
        <v>240</v>
      </c>
      <c r="HQ3689" s="5" t="s">
        <v>240</v>
      </c>
      <c r="HR3689" s="5" t="s">
        <v>240</v>
      </c>
      <c r="HS3689" s="5" t="s">
        <v>240</v>
      </c>
      <c r="HT3689" s="5" t="s">
        <v>240</v>
      </c>
      <c r="HU3689" s="5" t="s">
        <v>240</v>
      </c>
      <c r="HV3689" s="5" t="s">
        <v>240</v>
      </c>
      <c r="HW3689" s="5" t="s">
        <v>240</v>
      </c>
      <c r="HX3689" s="5" t="s">
        <v>240</v>
      </c>
      <c r="HY3689" s="5" t="s">
        <v>240</v>
      </c>
      <c r="HZ3689" s="5" t="s">
        <v>240</v>
      </c>
      <c r="IA3689" s="5" t="s">
        <v>240</v>
      </c>
      <c r="IB3689" s="5" t="s">
        <v>240</v>
      </c>
      <c r="IC3689" s="5" t="s">
        <v>240</v>
      </c>
      <c r="ID3689" s="5" t="s">
        <v>240</v>
      </c>
      <c r="IE3689" s="5" t="s">
        <v>240</v>
      </c>
      <c r="IF3689" s="5" t="s">
        <v>240</v>
      </c>
    </row>
    <row r="3690" spans="1:240" x14ac:dyDescent="0.4">
      <c r="A3690" s="5">
        <v>9232</v>
      </c>
      <c r="B3690" s="5">
        <v>1</v>
      </c>
      <c r="C3690" s="5">
        <v>1</v>
      </c>
      <c r="D3690" s="5" t="s">
        <v>723</v>
      </c>
      <c r="E3690" s="5" t="s">
        <v>725</v>
      </c>
      <c r="F3690" s="5" t="s">
        <v>254</v>
      </c>
      <c r="G3690" s="5" t="s">
        <v>726</v>
      </c>
      <c r="H3690" s="6" t="s">
        <v>5606</v>
      </c>
      <c r="I3690" s="5" t="s">
        <v>5605</v>
      </c>
      <c r="J3690" s="7">
        <f>1</f>
        <v>1</v>
      </c>
      <c r="K3690" s="5" t="s">
        <v>3682</v>
      </c>
      <c r="L3690" s="7">
        <f>1</f>
        <v>1</v>
      </c>
      <c r="M3690" s="7">
        <f>1</f>
        <v>1</v>
      </c>
      <c r="N3690" s="5" t="s">
        <v>242</v>
      </c>
      <c r="O3690" s="5">
        <v>1</v>
      </c>
      <c r="P3690" s="5" t="s">
        <v>294</v>
      </c>
      <c r="Q3690" s="5" t="s">
        <v>613</v>
      </c>
      <c r="R3690" s="5" t="s">
        <v>240</v>
      </c>
      <c r="S3690" s="5" t="s">
        <v>240</v>
      </c>
      <c r="T3690" s="5" t="s">
        <v>243</v>
      </c>
      <c r="U3690" s="5" t="s">
        <v>724</v>
      </c>
      <c r="V3690" s="5" t="s">
        <v>240</v>
      </c>
      <c r="W3690" s="5" t="s">
        <v>240</v>
      </c>
      <c r="X3690" s="5" t="s">
        <v>240</v>
      </c>
      <c r="Y3690" s="5" t="s">
        <v>240</v>
      </c>
      <c r="Z3690" s="6" t="s">
        <v>298</v>
      </c>
      <c r="AA3690" s="6" t="s">
        <v>240</v>
      </c>
      <c r="AB3690" s="6" t="s">
        <v>240</v>
      </c>
      <c r="AC3690" s="5" t="s">
        <v>240</v>
      </c>
      <c r="AD3690" s="6" t="s">
        <v>240</v>
      </c>
      <c r="AE3690" s="6" t="s">
        <v>299</v>
      </c>
      <c r="AF3690" s="5" t="s">
        <v>727</v>
      </c>
      <c r="AG3690" s="5" t="s">
        <v>260</v>
      </c>
      <c r="AH3690" s="5" t="s">
        <v>240</v>
      </c>
      <c r="AI3690" s="5" t="s">
        <v>240</v>
      </c>
      <c r="AJ3690" s="5" t="s">
        <v>240</v>
      </c>
      <c r="AK3690" s="5" t="s">
        <v>240</v>
      </c>
      <c r="AL3690" s="5" t="s">
        <v>240</v>
      </c>
      <c r="AM3690" s="5" t="s">
        <v>240</v>
      </c>
      <c r="AN3690" s="5" t="s">
        <v>240</v>
      </c>
      <c r="AO3690" s="5" t="s">
        <v>240</v>
      </c>
      <c r="AP3690" s="6" t="s">
        <v>240</v>
      </c>
      <c r="AQ3690" s="6" t="s">
        <v>240</v>
      </c>
      <c r="AR3690" s="6" t="s">
        <v>240</v>
      </c>
      <c r="AS3690" s="6" t="s">
        <v>240</v>
      </c>
      <c r="AT3690" s="5" t="s">
        <v>240</v>
      </c>
      <c r="AU3690" s="5" t="s">
        <v>729</v>
      </c>
      <c r="AV3690" s="5" t="s">
        <v>729</v>
      </c>
      <c r="AW3690" s="5" t="s">
        <v>251</v>
      </c>
      <c r="AX3690" s="5" t="s">
        <v>252</v>
      </c>
      <c r="AY3690" s="5" t="s">
        <v>253</v>
      </c>
      <c r="AZ3690" s="5" t="s">
        <v>240</v>
      </c>
      <c r="BA3690" s="5" t="s">
        <v>255</v>
      </c>
      <c r="BB3690" s="5" t="s">
        <v>731</v>
      </c>
      <c r="BD3690" s="5" t="s">
        <v>240</v>
      </c>
      <c r="BF3690" s="5" t="s">
        <v>732</v>
      </c>
      <c r="BG3690" s="6" t="s">
        <v>733</v>
      </c>
      <c r="BH3690" s="5" t="s">
        <v>734</v>
      </c>
      <c r="BI3690" s="5" t="s">
        <v>734</v>
      </c>
      <c r="BJ3690" s="5" t="s">
        <v>240</v>
      </c>
      <c r="BK3690" s="8">
        <f>26</f>
        <v>26</v>
      </c>
      <c r="BL3690" s="7">
        <f>0</f>
        <v>0</v>
      </c>
      <c r="BM3690" s="5" t="s">
        <v>258</v>
      </c>
      <c r="BN3690" s="5" t="s">
        <v>259</v>
      </c>
      <c r="BO3690" s="5" t="s">
        <v>240</v>
      </c>
      <c r="BP3690" s="5" t="s">
        <v>240</v>
      </c>
      <c r="BQ3690" s="5" t="s">
        <v>240</v>
      </c>
      <c r="BR3690" s="5" t="s">
        <v>240</v>
      </c>
      <c r="BS3690" s="5" t="s">
        <v>240</v>
      </c>
      <c r="BT3690" s="5" t="s">
        <v>240</v>
      </c>
      <c r="BU3690" s="5" t="s">
        <v>240</v>
      </c>
      <c r="BV3690" s="5" t="s">
        <v>240</v>
      </c>
      <c r="BW3690" s="6" t="s">
        <v>240</v>
      </c>
      <c r="BX3690" s="5" t="s">
        <v>240</v>
      </c>
      <c r="BY3690" s="5" t="s">
        <v>240</v>
      </c>
      <c r="BZ3690" s="5" t="s">
        <v>240</v>
      </c>
      <c r="CA3690" s="5" t="s">
        <v>259</v>
      </c>
      <c r="CB3690" s="5" t="s">
        <v>240</v>
      </c>
      <c r="CC3690" s="5" t="s">
        <v>240</v>
      </c>
      <c r="CD3690" s="5" t="s">
        <v>240</v>
      </c>
      <c r="CE3690" s="5" t="s">
        <v>240</v>
      </c>
      <c r="CF3690" s="5" t="s">
        <v>240</v>
      </c>
      <c r="CG3690" s="5" t="s">
        <v>617</v>
      </c>
      <c r="CH3690" s="5" t="s">
        <v>305</v>
      </c>
      <c r="CI3690" s="5" t="s">
        <v>240</v>
      </c>
      <c r="CL3690" s="6" t="s">
        <v>261</v>
      </c>
      <c r="CM3690" s="5" t="s">
        <v>262</v>
      </c>
      <c r="CN3690" s="5" t="s">
        <v>263</v>
      </c>
      <c r="CO3690" s="5" t="s">
        <v>264</v>
      </c>
      <c r="CP3690" s="5" t="s">
        <v>240</v>
      </c>
      <c r="CQ3690" s="5">
        <v>0</v>
      </c>
      <c r="CR3690" s="5" t="s">
        <v>735</v>
      </c>
      <c r="CS3690" s="5" t="s">
        <v>307</v>
      </c>
      <c r="CT3690" s="5" t="s">
        <v>307</v>
      </c>
      <c r="CU3690" s="5" t="s">
        <v>260</v>
      </c>
      <c r="CV3690" s="5" t="s">
        <v>240</v>
      </c>
      <c r="CW3690" s="8">
        <f>0</f>
        <v>0</v>
      </c>
      <c r="CX3690" s="7">
        <f>0</f>
        <v>0</v>
      </c>
      <c r="CY3690" s="7">
        <f>0</f>
        <v>0</v>
      </c>
      <c r="DA3690" s="7">
        <f>286</f>
        <v>286</v>
      </c>
      <c r="DB3690" s="7" t="s">
        <v>240</v>
      </c>
      <c r="DC3690" s="5" t="s">
        <v>240</v>
      </c>
      <c r="DD3690" s="5" t="s">
        <v>240</v>
      </c>
      <c r="DE3690" s="5" t="s">
        <v>240</v>
      </c>
      <c r="DF3690" s="5" t="s">
        <v>450</v>
      </c>
      <c r="DG3690" s="7">
        <f>0</f>
        <v>0</v>
      </c>
      <c r="DI3690" s="5" t="s">
        <v>737</v>
      </c>
      <c r="DJ3690" s="5" t="s">
        <v>240</v>
      </c>
      <c r="DK3690" s="5" t="s">
        <v>240</v>
      </c>
      <c r="DL3690" s="5" t="s">
        <v>240</v>
      </c>
      <c r="DM3690" s="5" t="s">
        <v>240</v>
      </c>
      <c r="DN3690" s="5" t="s">
        <v>240</v>
      </c>
      <c r="DO3690" s="7" t="s">
        <v>240</v>
      </c>
      <c r="DP3690" s="5" t="s">
        <v>240</v>
      </c>
      <c r="DQ3690" s="5" t="s">
        <v>240</v>
      </c>
      <c r="DR3690" s="5" t="s">
        <v>731</v>
      </c>
      <c r="DS3690" s="5" t="s">
        <v>731</v>
      </c>
      <c r="DT3690" s="5" t="s">
        <v>240</v>
      </c>
      <c r="DU3690" s="5" t="s">
        <v>240</v>
      </c>
      <c r="DV3690" s="5" t="s">
        <v>738</v>
      </c>
      <c r="DW3690" s="5" t="s">
        <v>695</v>
      </c>
      <c r="DX3690" s="5" t="s">
        <v>240</v>
      </c>
      <c r="DY3690" s="5" t="s">
        <v>240</v>
      </c>
      <c r="DZ3690" s="5" t="s">
        <v>240</v>
      </c>
      <c r="EA3690" s="5" t="s">
        <v>240</v>
      </c>
      <c r="EB3690" s="5" t="s">
        <v>240</v>
      </c>
      <c r="EC3690" s="5" t="s">
        <v>240</v>
      </c>
      <c r="ED3690" s="5" t="s">
        <v>240</v>
      </c>
      <c r="EE3690" s="5" t="s">
        <v>240</v>
      </c>
      <c r="EF3690" s="5" t="s">
        <v>240</v>
      </c>
      <c r="EG3690" s="5" t="s">
        <v>240</v>
      </c>
      <c r="EH3690" s="5" t="s">
        <v>240</v>
      </c>
      <c r="EI3690" s="5" t="s">
        <v>240</v>
      </c>
      <c r="EJ3690" s="5" t="s">
        <v>240</v>
      </c>
      <c r="EK3690" s="5" t="s">
        <v>240</v>
      </c>
      <c r="EL3690" s="5" t="s">
        <v>240</v>
      </c>
      <c r="EM3690" s="5" t="s">
        <v>240</v>
      </c>
      <c r="EN3690" s="5" t="s">
        <v>240</v>
      </c>
      <c r="EO3690" s="5" t="s">
        <v>240</v>
      </c>
      <c r="EP3690" s="5" t="s">
        <v>240</v>
      </c>
      <c r="EQ3690" s="5" t="s">
        <v>240</v>
      </c>
      <c r="ER3690" s="5" t="s">
        <v>240</v>
      </c>
      <c r="ES3690" s="5" t="s">
        <v>240</v>
      </c>
      <c r="ET3690" s="5" t="s">
        <v>240</v>
      </c>
      <c r="EU3690" s="5" t="s">
        <v>240</v>
      </c>
      <c r="EV3690" s="5" t="s">
        <v>240</v>
      </c>
      <c r="EW3690" s="5" t="s">
        <v>240</v>
      </c>
      <c r="EX3690" s="5" t="s">
        <v>240</v>
      </c>
      <c r="EY3690" s="5" t="s">
        <v>240</v>
      </c>
      <c r="EZ3690" s="5" t="s">
        <v>240</v>
      </c>
      <c r="FA3690" s="5" t="s">
        <v>240</v>
      </c>
      <c r="FB3690" s="5" t="s">
        <v>240</v>
      </c>
      <c r="FC3690" s="5" t="s">
        <v>240</v>
      </c>
      <c r="FD3690" s="5" t="s">
        <v>240</v>
      </c>
      <c r="FE3690" s="5" t="s">
        <v>240</v>
      </c>
      <c r="FF3690" s="5" t="s">
        <v>240</v>
      </c>
      <c r="FG3690" s="5" t="s">
        <v>240</v>
      </c>
      <c r="FH3690" s="5" t="s">
        <v>240</v>
      </c>
      <c r="FI3690" s="5" t="s">
        <v>240</v>
      </c>
      <c r="FJ3690" s="5" t="s">
        <v>240</v>
      </c>
      <c r="FK3690" s="5" t="s">
        <v>240</v>
      </c>
      <c r="FL3690" s="5" t="s">
        <v>240</v>
      </c>
      <c r="FM3690" s="5" t="s">
        <v>240</v>
      </c>
      <c r="FN3690" s="5" t="s">
        <v>240</v>
      </c>
      <c r="FO3690" s="5" t="s">
        <v>240</v>
      </c>
      <c r="FP3690" s="5" t="s">
        <v>240</v>
      </c>
      <c r="FQ3690" s="5" t="s">
        <v>240</v>
      </c>
      <c r="FR3690" s="5" t="s">
        <v>240</v>
      </c>
      <c r="FS3690" s="5" t="s">
        <v>240</v>
      </c>
      <c r="FT3690" s="5" t="s">
        <v>240</v>
      </c>
      <c r="FU3690" s="5" t="s">
        <v>240</v>
      </c>
      <c r="FV3690" s="5" t="s">
        <v>240</v>
      </c>
      <c r="FW3690" s="5" t="s">
        <v>240</v>
      </c>
      <c r="FX3690" s="5" t="s">
        <v>240</v>
      </c>
      <c r="FY3690" s="5" t="s">
        <v>240</v>
      </c>
      <c r="FZ3690" s="5" t="s">
        <v>240</v>
      </c>
      <c r="GA3690" s="5" t="s">
        <v>240</v>
      </c>
      <c r="GB3690" s="5" t="s">
        <v>240</v>
      </c>
      <c r="GC3690" s="5" t="s">
        <v>240</v>
      </c>
      <c r="GD3690" s="5" t="s">
        <v>240</v>
      </c>
      <c r="GE3690" s="5" t="s">
        <v>240</v>
      </c>
      <c r="GF3690" s="5" t="s">
        <v>240</v>
      </c>
      <c r="GG3690" s="5" t="s">
        <v>240</v>
      </c>
      <c r="GH3690" s="5" t="s">
        <v>240</v>
      </c>
      <c r="GI3690" s="5" t="s">
        <v>240</v>
      </c>
      <c r="GJ3690" s="5" t="s">
        <v>240</v>
      </c>
      <c r="GK3690" s="5" t="s">
        <v>240</v>
      </c>
      <c r="GL3690" s="5" t="s">
        <v>240</v>
      </c>
      <c r="GM3690" s="5" t="s">
        <v>240</v>
      </c>
      <c r="GN3690" s="5" t="s">
        <v>240</v>
      </c>
      <c r="GO3690" s="5" t="s">
        <v>240</v>
      </c>
      <c r="GP3690" s="5" t="s">
        <v>240</v>
      </c>
      <c r="GQ3690" s="5" t="s">
        <v>240</v>
      </c>
      <c r="GR3690" s="5" t="s">
        <v>240</v>
      </c>
      <c r="GS3690" s="5" t="s">
        <v>240</v>
      </c>
      <c r="GT3690" s="5" t="s">
        <v>240</v>
      </c>
      <c r="GU3690" s="5" t="s">
        <v>240</v>
      </c>
      <c r="GV3690" s="5" t="s">
        <v>240</v>
      </c>
      <c r="GW3690" s="5" t="s">
        <v>240</v>
      </c>
      <c r="GX3690" s="5" t="s">
        <v>240</v>
      </c>
      <c r="GY3690" s="5" t="s">
        <v>240</v>
      </c>
      <c r="GZ3690" s="5" t="s">
        <v>240</v>
      </c>
      <c r="HA3690" s="5" t="s">
        <v>240</v>
      </c>
      <c r="HB3690" s="5" t="s">
        <v>240</v>
      </c>
      <c r="HC3690" s="5" t="s">
        <v>240</v>
      </c>
      <c r="HD3690" s="5" t="s">
        <v>240</v>
      </c>
      <c r="HE3690" s="5" t="s">
        <v>240</v>
      </c>
      <c r="HF3690" s="5" t="s">
        <v>240</v>
      </c>
      <c r="HG3690" s="5" t="s">
        <v>240</v>
      </c>
      <c r="HH3690" s="5" t="s">
        <v>240</v>
      </c>
      <c r="HI3690" s="5" t="s">
        <v>240</v>
      </c>
      <c r="HJ3690" s="5" t="s">
        <v>240</v>
      </c>
      <c r="HK3690" s="5" t="s">
        <v>240</v>
      </c>
      <c r="HL3690" s="5" t="s">
        <v>240</v>
      </c>
      <c r="HM3690" s="5" t="s">
        <v>240</v>
      </c>
      <c r="HN3690" s="5" t="s">
        <v>240</v>
      </c>
      <c r="HO3690" s="5" t="s">
        <v>312</v>
      </c>
      <c r="HP3690" s="5" t="s">
        <v>240</v>
      </c>
      <c r="HQ3690" s="5" t="s">
        <v>240</v>
      </c>
      <c r="HR3690" s="5" t="s">
        <v>240</v>
      </c>
      <c r="HS3690" s="5" t="s">
        <v>240</v>
      </c>
      <c r="HT3690" s="5" t="s">
        <v>240</v>
      </c>
      <c r="HU3690" s="5" t="s">
        <v>240</v>
      </c>
      <c r="HV3690" s="5" t="s">
        <v>240</v>
      </c>
      <c r="HW3690" s="5" t="s">
        <v>240</v>
      </c>
      <c r="HX3690" s="5" t="s">
        <v>240</v>
      </c>
      <c r="HY3690" s="5" t="s">
        <v>240</v>
      </c>
      <c r="HZ3690" s="5" t="s">
        <v>240</v>
      </c>
      <c r="IA3690" s="5" t="s">
        <v>240</v>
      </c>
      <c r="IB3690" s="5" t="s">
        <v>240</v>
      </c>
      <c r="IC3690" s="5" t="s">
        <v>240</v>
      </c>
      <c r="ID3690" s="5" t="s">
        <v>240</v>
      </c>
      <c r="IE3690" s="5" t="s">
        <v>240</v>
      </c>
      <c r="IF3690" s="5" t="s">
        <v>240</v>
      </c>
    </row>
    <row r="3691" spans="1:240" x14ac:dyDescent="0.4">
      <c r="A3691" s="5">
        <v>9233</v>
      </c>
      <c r="B3691" s="5">
        <v>1</v>
      </c>
      <c r="C3691" s="5">
        <v>1</v>
      </c>
      <c r="D3691" s="5" t="s">
        <v>723</v>
      </c>
      <c r="E3691" s="5" t="s">
        <v>725</v>
      </c>
      <c r="F3691" s="5" t="s">
        <v>254</v>
      </c>
      <c r="G3691" s="5" t="s">
        <v>726</v>
      </c>
      <c r="H3691" s="6" t="s">
        <v>6343</v>
      </c>
      <c r="I3691" s="5" t="s">
        <v>6342</v>
      </c>
      <c r="J3691" s="7">
        <f>1</f>
        <v>1</v>
      </c>
      <c r="K3691" s="5" t="s">
        <v>3682</v>
      </c>
      <c r="L3691" s="7">
        <f>1</f>
        <v>1</v>
      </c>
      <c r="M3691" s="7">
        <f>1</f>
        <v>1</v>
      </c>
      <c r="N3691" s="5" t="s">
        <v>242</v>
      </c>
      <c r="O3691" s="5">
        <v>1</v>
      </c>
      <c r="P3691" s="5" t="s">
        <v>294</v>
      </c>
      <c r="Q3691" s="5" t="s">
        <v>266</v>
      </c>
      <c r="R3691" s="5" t="s">
        <v>240</v>
      </c>
      <c r="S3691" s="5" t="s">
        <v>240</v>
      </c>
      <c r="T3691" s="5" t="s">
        <v>243</v>
      </c>
      <c r="U3691" s="5" t="s">
        <v>240</v>
      </c>
      <c r="V3691" s="5" t="s">
        <v>240</v>
      </c>
      <c r="Y3691" s="5" t="s">
        <v>240</v>
      </c>
      <c r="Z3691" s="6" t="s">
        <v>6547</v>
      </c>
      <c r="AB3691" s="6" t="s">
        <v>240</v>
      </c>
      <c r="AE3691" s="6" t="s">
        <v>299</v>
      </c>
      <c r="AF3691" s="5" t="s">
        <v>248</v>
      </c>
      <c r="AG3691" s="5" t="s">
        <v>249</v>
      </c>
      <c r="AW3691" s="5" t="s">
        <v>251</v>
      </c>
      <c r="AX3691" s="5" t="s">
        <v>240</v>
      </c>
      <c r="AY3691" s="5" t="s">
        <v>253</v>
      </c>
      <c r="AZ3691" s="5" t="s">
        <v>240</v>
      </c>
      <c r="BA3691" s="5" t="s">
        <v>255</v>
      </c>
      <c r="BB3691" s="5" t="s">
        <v>240</v>
      </c>
      <c r="BD3691" s="5" t="s">
        <v>240</v>
      </c>
      <c r="BF3691" s="5" t="s">
        <v>301</v>
      </c>
      <c r="BG3691" s="6" t="s">
        <v>6547</v>
      </c>
      <c r="BH3691" s="5" t="s">
        <v>302</v>
      </c>
      <c r="BI3691" s="5" t="s">
        <v>448</v>
      </c>
      <c r="BJ3691" s="5" t="s">
        <v>240</v>
      </c>
      <c r="BK3691" s="8">
        <f>0</f>
        <v>0</v>
      </c>
      <c r="BL3691" s="7">
        <f>0</f>
        <v>0</v>
      </c>
      <c r="BM3691" s="5" t="s">
        <v>258</v>
      </c>
      <c r="BN3691" s="5" t="s">
        <v>259</v>
      </c>
      <c r="CB3691" s="5" t="s">
        <v>240</v>
      </c>
      <c r="CC3691" s="5" t="s">
        <v>240</v>
      </c>
      <c r="CG3691" s="5" t="s">
        <v>449</v>
      </c>
      <c r="CH3691" s="5" t="s">
        <v>305</v>
      </c>
      <c r="CI3691" s="5" t="s">
        <v>240</v>
      </c>
      <c r="CL3691" s="6" t="s">
        <v>261</v>
      </c>
      <c r="CM3691" s="5" t="s">
        <v>240</v>
      </c>
      <c r="CN3691" s="5" t="s">
        <v>263</v>
      </c>
      <c r="CO3691" s="5" t="s">
        <v>240</v>
      </c>
      <c r="CP3691" s="5" t="s">
        <v>240</v>
      </c>
      <c r="CQ3691" s="5">
        <v>0</v>
      </c>
      <c r="CR3691" s="5" t="s">
        <v>306</v>
      </c>
      <c r="CS3691" s="5" t="s">
        <v>307</v>
      </c>
      <c r="CT3691" s="5" t="s">
        <v>307</v>
      </c>
      <c r="CU3691" s="5" t="s">
        <v>260</v>
      </c>
      <c r="CX3691" s="7">
        <f>859937</f>
        <v>859937</v>
      </c>
      <c r="CY3691" s="7">
        <f>0</f>
        <v>0</v>
      </c>
      <c r="DA3691" s="7">
        <f>0</f>
        <v>0</v>
      </c>
      <c r="DC3691" s="5" t="s">
        <v>450</v>
      </c>
      <c r="DD3691" s="5" t="s">
        <v>240</v>
      </c>
      <c r="DF3691" s="5" t="s">
        <v>450</v>
      </c>
      <c r="DG3691" s="7">
        <f>0</f>
        <v>0</v>
      </c>
      <c r="DI3691" s="5" t="s">
        <v>240</v>
      </c>
      <c r="DJ3691" s="5" t="s">
        <v>240</v>
      </c>
      <c r="DK3691" s="5" t="s">
        <v>240</v>
      </c>
      <c r="DL3691" s="5" t="s">
        <v>240</v>
      </c>
      <c r="DP3691" s="5" t="s">
        <v>240</v>
      </c>
      <c r="DQ3691" s="5" t="s">
        <v>240</v>
      </c>
      <c r="DR3691" s="5" t="s">
        <v>240</v>
      </c>
      <c r="DS3691" s="5" t="s">
        <v>240</v>
      </c>
      <c r="DV3691" s="5" t="s">
        <v>310</v>
      </c>
      <c r="DW3691" s="5" t="s">
        <v>2300</v>
      </c>
      <c r="HO3691" s="5" t="s">
        <v>312</v>
      </c>
    </row>
    <row r="3692" spans="1:240" x14ac:dyDescent="0.4">
      <c r="A3692" s="5">
        <v>9234</v>
      </c>
      <c r="B3692" s="5">
        <v>1</v>
      </c>
      <c r="C3692" s="5">
        <v>1</v>
      </c>
      <c r="D3692" s="5" t="s">
        <v>723</v>
      </c>
      <c r="E3692" s="5" t="s">
        <v>725</v>
      </c>
      <c r="F3692" s="5" t="s">
        <v>254</v>
      </c>
      <c r="G3692" s="5" t="s">
        <v>5602</v>
      </c>
      <c r="H3692" s="6" t="s">
        <v>5603</v>
      </c>
      <c r="I3692" s="5" t="s">
        <v>5601</v>
      </c>
      <c r="J3692" s="7">
        <f>1</f>
        <v>1</v>
      </c>
      <c r="K3692" s="5" t="s">
        <v>3682</v>
      </c>
      <c r="L3692" s="7">
        <f>1</f>
        <v>1</v>
      </c>
      <c r="M3692" s="7">
        <f>1</f>
        <v>1</v>
      </c>
      <c r="N3692" s="5" t="s">
        <v>242</v>
      </c>
      <c r="O3692" s="5">
        <v>1</v>
      </c>
      <c r="P3692" s="5" t="s">
        <v>294</v>
      </c>
      <c r="Q3692" s="5" t="s">
        <v>613</v>
      </c>
      <c r="R3692" s="5" t="s">
        <v>240</v>
      </c>
      <c r="S3692" s="5" t="s">
        <v>240</v>
      </c>
      <c r="T3692" s="5" t="s">
        <v>243</v>
      </c>
      <c r="U3692" s="5" t="s">
        <v>724</v>
      </c>
      <c r="V3692" s="5" t="s">
        <v>240</v>
      </c>
      <c r="W3692" s="5" t="s">
        <v>240</v>
      </c>
      <c r="X3692" s="5" t="s">
        <v>240</v>
      </c>
      <c r="Y3692" s="5" t="s">
        <v>240</v>
      </c>
      <c r="Z3692" s="6" t="s">
        <v>298</v>
      </c>
      <c r="AA3692" s="6" t="s">
        <v>240</v>
      </c>
      <c r="AB3692" s="6" t="s">
        <v>240</v>
      </c>
      <c r="AC3692" s="5" t="s">
        <v>240</v>
      </c>
      <c r="AD3692" s="6" t="s">
        <v>240</v>
      </c>
      <c r="AE3692" s="6" t="s">
        <v>299</v>
      </c>
      <c r="AF3692" s="5" t="s">
        <v>727</v>
      </c>
      <c r="AG3692" s="5" t="s">
        <v>260</v>
      </c>
      <c r="AH3692" s="5" t="s">
        <v>240</v>
      </c>
      <c r="AI3692" s="5" t="s">
        <v>240</v>
      </c>
      <c r="AJ3692" s="5" t="s">
        <v>240</v>
      </c>
      <c r="AK3692" s="5" t="s">
        <v>240</v>
      </c>
      <c r="AL3692" s="5" t="s">
        <v>240</v>
      </c>
      <c r="AM3692" s="5" t="s">
        <v>240</v>
      </c>
      <c r="AN3692" s="5" t="s">
        <v>240</v>
      </c>
      <c r="AO3692" s="5" t="s">
        <v>240</v>
      </c>
      <c r="AP3692" s="6" t="s">
        <v>240</v>
      </c>
      <c r="AQ3692" s="6" t="s">
        <v>240</v>
      </c>
      <c r="AR3692" s="6" t="s">
        <v>240</v>
      </c>
      <c r="AS3692" s="6" t="s">
        <v>240</v>
      </c>
      <c r="AT3692" s="5" t="s">
        <v>240</v>
      </c>
      <c r="AU3692" s="5" t="s">
        <v>729</v>
      </c>
      <c r="AV3692" s="5" t="s">
        <v>729</v>
      </c>
      <c r="AW3692" s="5" t="s">
        <v>251</v>
      </c>
      <c r="AX3692" s="5" t="s">
        <v>252</v>
      </c>
      <c r="AY3692" s="5" t="s">
        <v>253</v>
      </c>
      <c r="AZ3692" s="5" t="s">
        <v>240</v>
      </c>
      <c r="BA3692" s="5" t="s">
        <v>255</v>
      </c>
      <c r="BB3692" s="5" t="s">
        <v>731</v>
      </c>
      <c r="BD3692" s="5" t="s">
        <v>240</v>
      </c>
      <c r="BF3692" s="5" t="s">
        <v>732</v>
      </c>
      <c r="BG3692" s="6" t="s">
        <v>733</v>
      </c>
      <c r="BH3692" s="5" t="s">
        <v>734</v>
      </c>
      <c r="BI3692" s="5" t="s">
        <v>734</v>
      </c>
      <c r="BJ3692" s="5" t="s">
        <v>240</v>
      </c>
      <c r="BK3692" s="8">
        <f>3693</f>
        <v>3693</v>
      </c>
      <c r="BL3692" s="7">
        <f>0</f>
        <v>0</v>
      </c>
      <c r="BM3692" s="5" t="s">
        <v>258</v>
      </c>
      <c r="BN3692" s="5" t="s">
        <v>259</v>
      </c>
      <c r="BO3692" s="5" t="s">
        <v>240</v>
      </c>
      <c r="BP3692" s="5" t="s">
        <v>240</v>
      </c>
      <c r="BQ3692" s="5" t="s">
        <v>240</v>
      </c>
      <c r="BR3692" s="5" t="s">
        <v>240</v>
      </c>
      <c r="BS3692" s="5" t="s">
        <v>240</v>
      </c>
      <c r="BT3692" s="5" t="s">
        <v>240</v>
      </c>
      <c r="BU3692" s="5" t="s">
        <v>240</v>
      </c>
      <c r="BV3692" s="5" t="s">
        <v>240</v>
      </c>
      <c r="BW3692" s="6" t="s">
        <v>240</v>
      </c>
      <c r="BX3692" s="5" t="s">
        <v>240</v>
      </c>
      <c r="BY3692" s="5" t="s">
        <v>240</v>
      </c>
      <c r="BZ3692" s="5" t="s">
        <v>240</v>
      </c>
      <c r="CA3692" s="5" t="s">
        <v>259</v>
      </c>
      <c r="CB3692" s="5" t="s">
        <v>240</v>
      </c>
      <c r="CC3692" s="5" t="s">
        <v>240</v>
      </c>
      <c r="CD3692" s="5" t="s">
        <v>240</v>
      </c>
      <c r="CE3692" s="5" t="s">
        <v>240</v>
      </c>
      <c r="CF3692" s="5" t="s">
        <v>240</v>
      </c>
      <c r="CG3692" s="5" t="s">
        <v>617</v>
      </c>
      <c r="CH3692" s="5" t="s">
        <v>305</v>
      </c>
      <c r="CI3692" s="5" t="s">
        <v>240</v>
      </c>
      <c r="CL3692" s="6" t="s">
        <v>261</v>
      </c>
      <c r="CM3692" s="5" t="s">
        <v>262</v>
      </c>
      <c r="CN3692" s="5" t="s">
        <v>263</v>
      </c>
      <c r="CO3692" s="5" t="s">
        <v>264</v>
      </c>
      <c r="CP3692" s="5" t="s">
        <v>240</v>
      </c>
      <c r="CQ3692" s="5">
        <v>0</v>
      </c>
      <c r="CR3692" s="5" t="s">
        <v>735</v>
      </c>
      <c r="CS3692" s="5" t="s">
        <v>307</v>
      </c>
      <c r="CT3692" s="5" t="s">
        <v>307</v>
      </c>
      <c r="CU3692" s="5" t="s">
        <v>260</v>
      </c>
      <c r="CV3692" s="5" t="s">
        <v>240</v>
      </c>
      <c r="CW3692" s="8">
        <f>0</f>
        <v>0</v>
      </c>
      <c r="CX3692" s="7">
        <f>0</f>
        <v>0</v>
      </c>
      <c r="CY3692" s="7">
        <f>0</f>
        <v>0</v>
      </c>
      <c r="DA3692" s="7">
        <f>40623</f>
        <v>40623</v>
      </c>
      <c r="DB3692" s="7" t="s">
        <v>240</v>
      </c>
      <c r="DC3692" s="5" t="s">
        <v>240</v>
      </c>
      <c r="DD3692" s="5" t="s">
        <v>240</v>
      </c>
      <c r="DE3692" s="5" t="s">
        <v>240</v>
      </c>
      <c r="DF3692" s="5" t="s">
        <v>450</v>
      </c>
      <c r="DG3692" s="7">
        <f>0</f>
        <v>0</v>
      </c>
      <c r="DI3692" s="5" t="s">
        <v>737</v>
      </c>
      <c r="DJ3692" s="5" t="s">
        <v>240</v>
      </c>
      <c r="DK3692" s="5" t="s">
        <v>240</v>
      </c>
      <c r="DL3692" s="5" t="s">
        <v>240</v>
      </c>
      <c r="DM3692" s="5" t="s">
        <v>240</v>
      </c>
      <c r="DN3692" s="5" t="s">
        <v>240</v>
      </c>
      <c r="DO3692" s="7" t="s">
        <v>240</v>
      </c>
      <c r="DP3692" s="5" t="s">
        <v>240</v>
      </c>
      <c r="DQ3692" s="5" t="s">
        <v>240</v>
      </c>
      <c r="DR3692" s="5" t="s">
        <v>731</v>
      </c>
      <c r="DS3692" s="5" t="s">
        <v>731</v>
      </c>
      <c r="DT3692" s="5" t="s">
        <v>240</v>
      </c>
      <c r="DU3692" s="5" t="s">
        <v>240</v>
      </c>
      <c r="DV3692" s="5" t="s">
        <v>738</v>
      </c>
      <c r="DW3692" s="5" t="s">
        <v>635</v>
      </c>
      <c r="DX3692" s="5" t="s">
        <v>240</v>
      </c>
      <c r="DY3692" s="5" t="s">
        <v>240</v>
      </c>
      <c r="DZ3692" s="5" t="s">
        <v>240</v>
      </c>
      <c r="EA3692" s="5" t="s">
        <v>240</v>
      </c>
      <c r="EB3692" s="5" t="s">
        <v>240</v>
      </c>
      <c r="EC3692" s="5" t="s">
        <v>240</v>
      </c>
      <c r="ED3692" s="5" t="s">
        <v>240</v>
      </c>
      <c r="EE3692" s="5" t="s">
        <v>240</v>
      </c>
      <c r="EF3692" s="5" t="s">
        <v>240</v>
      </c>
      <c r="EG3692" s="5" t="s">
        <v>240</v>
      </c>
      <c r="EH3692" s="5" t="s">
        <v>240</v>
      </c>
      <c r="EI3692" s="5" t="s">
        <v>240</v>
      </c>
      <c r="EJ3692" s="5" t="s">
        <v>240</v>
      </c>
      <c r="EK3692" s="5" t="s">
        <v>240</v>
      </c>
      <c r="EL3692" s="5" t="s">
        <v>240</v>
      </c>
      <c r="EM3692" s="5" t="s">
        <v>240</v>
      </c>
      <c r="EN3692" s="5" t="s">
        <v>240</v>
      </c>
      <c r="EO3692" s="5" t="s">
        <v>240</v>
      </c>
      <c r="EP3692" s="5" t="s">
        <v>240</v>
      </c>
      <c r="EQ3692" s="5" t="s">
        <v>240</v>
      </c>
      <c r="ER3692" s="5" t="s">
        <v>240</v>
      </c>
      <c r="ES3692" s="5" t="s">
        <v>240</v>
      </c>
      <c r="ET3692" s="5" t="s">
        <v>240</v>
      </c>
      <c r="EU3692" s="5" t="s">
        <v>240</v>
      </c>
      <c r="EV3692" s="5" t="s">
        <v>240</v>
      </c>
      <c r="EW3692" s="5" t="s">
        <v>240</v>
      </c>
      <c r="EX3692" s="5" t="s">
        <v>240</v>
      </c>
      <c r="EY3692" s="5" t="s">
        <v>240</v>
      </c>
      <c r="EZ3692" s="5" t="s">
        <v>240</v>
      </c>
      <c r="FA3692" s="5" t="s">
        <v>240</v>
      </c>
      <c r="FB3692" s="5" t="s">
        <v>240</v>
      </c>
      <c r="FC3692" s="5" t="s">
        <v>240</v>
      </c>
      <c r="FD3692" s="5" t="s">
        <v>240</v>
      </c>
      <c r="FE3692" s="5" t="s">
        <v>240</v>
      </c>
      <c r="FF3692" s="5" t="s">
        <v>240</v>
      </c>
      <c r="FG3692" s="5" t="s">
        <v>240</v>
      </c>
      <c r="FH3692" s="5" t="s">
        <v>240</v>
      </c>
      <c r="FI3692" s="5" t="s">
        <v>240</v>
      </c>
      <c r="FJ3692" s="5" t="s">
        <v>240</v>
      </c>
      <c r="FK3692" s="5" t="s">
        <v>240</v>
      </c>
      <c r="FL3692" s="5" t="s">
        <v>240</v>
      </c>
      <c r="FM3692" s="5" t="s">
        <v>240</v>
      </c>
      <c r="FN3692" s="5" t="s">
        <v>240</v>
      </c>
      <c r="FO3692" s="5" t="s">
        <v>240</v>
      </c>
      <c r="FP3692" s="5" t="s">
        <v>240</v>
      </c>
      <c r="FQ3692" s="5" t="s">
        <v>240</v>
      </c>
      <c r="FR3692" s="5" t="s">
        <v>240</v>
      </c>
      <c r="FS3692" s="5" t="s">
        <v>240</v>
      </c>
      <c r="FT3692" s="5" t="s">
        <v>240</v>
      </c>
      <c r="FU3692" s="5" t="s">
        <v>240</v>
      </c>
      <c r="FV3692" s="5" t="s">
        <v>240</v>
      </c>
      <c r="FW3692" s="5" t="s">
        <v>240</v>
      </c>
      <c r="FX3692" s="5" t="s">
        <v>240</v>
      </c>
      <c r="FY3692" s="5" t="s">
        <v>240</v>
      </c>
      <c r="FZ3692" s="5" t="s">
        <v>240</v>
      </c>
      <c r="GA3692" s="5" t="s">
        <v>240</v>
      </c>
      <c r="GB3692" s="5" t="s">
        <v>240</v>
      </c>
      <c r="GC3692" s="5" t="s">
        <v>240</v>
      </c>
      <c r="GD3692" s="5" t="s">
        <v>240</v>
      </c>
      <c r="GE3692" s="5" t="s">
        <v>240</v>
      </c>
      <c r="GF3692" s="5" t="s">
        <v>240</v>
      </c>
      <c r="GG3692" s="5" t="s">
        <v>240</v>
      </c>
      <c r="GH3692" s="5" t="s">
        <v>240</v>
      </c>
      <c r="GI3692" s="5" t="s">
        <v>240</v>
      </c>
      <c r="GJ3692" s="5" t="s">
        <v>240</v>
      </c>
      <c r="GK3692" s="5" t="s">
        <v>240</v>
      </c>
      <c r="GL3692" s="5" t="s">
        <v>240</v>
      </c>
      <c r="GM3692" s="5" t="s">
        <v>240</v>
      </c>
      <c r="GN3692" s="5" t="s">
        <v>240</v>
      </c>
      <c r="GO3692" s="5" t="s">
        <v>240</v>
      </c>
      <c r="GP3692" s="5" t="s">
        <v>240</v>
      </c>
      <c r="GQ3692" s="5" t="s">
        <v>240</v>
      </c>
      <c r="GR3692" s="5" t="s">
        <v>240</v>
      </c>
      <c r="GS3692" s="5" t="s">
        <v>240</v>
      </c>
      <c r="GT3692" s="5" t="s">
        <v>240</v>
      </c>
      <c r="GU3692" s="5" t="s">
        <v>240</v>
      </c>
      <c r="GV3692" s="5" t="s">
        <v>240</v>
      </c>
      <c r="GW3692" s="5" t="s">
        <v>240</v>
      </c>
      <c r="GX3692" s="5" t="s">
        <v>240</v>
      </c>
      <c r="GY3692" s="5" t="s">
        <v>240</v>
      </c>
      <c r="GZ3692" s="5" t="s">
        <v>240</v>
      </c>
      <c r="HA3692" s="5" t="s">
        <v>240</v>
      </c>
      <c r="HB3692" s="5" t="s">
        <v>240</v>
      </c>
      <c r="HC3692" s="5" t="s">
        <v>240</v>
      </c>
      <c r="HD3692" s="5" t="s">
        <v>240</v>
      </c>
      <c r="HE3692" s="5" t="s">
        <v>240</v>
      </c>
      <c r="HF3692" s="5" t="s">
        <v>240</v>
      </c>
      <c r="HG3692" s="5" t="s">
        <v>240</v>
      </c>
      <c r="HH3692" s="5" t="s">
        <v>240</v>
      </c>
      <c r="HI3692" s="5" t="s">
        <v>240</v>
      </c>
      <c r="HJ3692" s="5" t="s">
        <v>240</v>
      </c>
      <c r="HK3692" s="5" t="s">
        <v>240</v>
      </c>
      <c r="HL3692" s="5" t="s">
        <v>240</v>
      </c>
      <c r="HM3692" s="5" t="s">
        <v>240</v>
      </c>
      <c r="HN3692" s="5" t="s">
        <v>240</v>
      </c>
      <c r="HO3692" s="5" t="s">
        <v>620</v>
      </c>
      <c r="HP3692" s="5" t="s">
        <v>240</v>
      </c>
      <c r="HQ3692" s="5" t="s">
        <v>240</v>
      </c>
      <c r="HR3692" s="5" t="s">
        <v>240</v>
      </c>
      <c r="HS3692" s="5" t="s">
        <v>240</v>
      </c>
      <c r="HT3692" s="5" t="s">
        <v>240</v>
      </c>
      <c r="HU3692" s="5" t="s">
        <v>240</v>
      </c>
      <c r="HV3692" s="5" t="s">
        <v>240</v>
      </c>
      <c r="HW3692" s="5" t="s">
        <v>240</v>
      </c>
      <c r="HX3692" s="5" t="s">
        <v>240</v>
      </c>
      <c r="HY3692" s="5" t="s">
        <v>240</v>
      </c>
      <c r="HZ3692" s="5" t="s">
        <v>240</v>
      </c>
      <c r="IA3692" s="5" t="s">
        <v>240</v>
      </c>
      <c r="IB3692" s="5" t="s">
        <v>240</v>
      </c>
      <c r="IC3692" s="5" t="s">
        <v>240</v>
      </c>
      <c r="ID3692" s="5" t="s">
        <v>240</v>
      </c>
      <c r="IE3692" s="5" t="s">
        <v>240</v>
      </c>
      <c r="IF3692" s="5" t="s">
        <v>240</v>
      </c>
    </row>
    <row r="3693" spans="1:240" x14ac:dyDescent="0.4">
      <c r="A3693" s="5">
        <v>9235</v>
      </c>
      <c r="B3693" s="5">
        <v>1</v>
      </c>
      <c r="C3693" s="5">
        <v>1</v>
      </c>
      <c r="D3693" s="5" t="s">
        <v>723</v>
      </c>
      <c r="E3693" s="5" t="s">
        <v>725</v>
      </c>
      <c r="F3693" s="5" t="s">
        <v>254</v>
      </c>
      <c r="G3693" s="5" t="s">
        <v>6340</v>
      </c>
      <c r="H3693" s="6" t="s">
        <v>6341</v>
      </c>
      <c r="I3693" s="5" t="s">
        <v>6339</v>
      </c>
      <c r="J3693" s="7">
        <f>1</f>
        <v>1</v>
      </c>
      <c r="K3693" s="5" t="s">
        <v>3682</v>
      </c>
      <c r="L3693" s="7">
        <f>1</f>
        <v>1</v>
      </c>
      <c r="M3693" s="7">
        <f>1</f>
        <v>1</v>
      </c>
      <c r="N3693" s="5" t="s">
        <v>242</v>
      </c>
      <c r="O3693" s="5">
        <v>1</v>
      </c>
      <c r="P3693" s="5" t="s">
        <v>294</v>
      </c>
      <c r="Q3693" s="5" t="s">
        <v>613</v>
      </c>
      <c r="R3693" s="5" t="s">
        <v>240</v>
      </c>
      <c r="S3693" s="5" t="s">
        <v>240</v>
      </c>
      <c r="T3693" s="5" t="s">
        <v>243</v>
      </c>
      <c r="U3693" s="5" t="s">
        <v>724</v>
      </c>
      <c r="V3693" s="5" t="s">
        <v>240</v>
      </c>
      <c r="W3693" s="5" t="s">
        <v>240</v>
      </c>
      <c r="X3693" s="5" t="s">
        <v>240</v>
      </c>
      <c r="Y3693" s="5" t="s">
        <v>240</v>
      </c>
      <c r="Z3693" s="6" t="s">
        <v>298</v>
      </c>
      <c r="AA3693" s="6" t="s">
        <v>240</v>
      </c>
      <c r="AB3693" s="6" t="s">
        <v>240</v>
      </c>
      <c r="AC3693" s="5" t="s">
        <v>240</v>
      </c>
      <c r="AD3693" s="6" t="s">
        <v>240</v>
      </c>
      <c r="AE3693" s="6" t="s">
        <v>299</v>
      </c>
      <c r="AF3693" s="5" t="s">
        <v>727</v>
      </c>
      <c r="AG3693" s="5" t="s">
        <v>260</v>
      </c>
      <c r="AH3693" s="5" t="s">
        <v>240</v>
      </c>
      <c r="AI3693" s="5" t="s">
        <v>240</v>
      </c>
      <c r="AJ3693" s="5" t="s">
        <v>240</v>
      </c>
      <c r="AK3693" s="5" t="s">
        <v>240</v>
      </c>
      <c r="AL3693" s="5" t="s">
        <v>240</v>
      </c>
      <c r="AM3693" s="5" t="s">
        <v>240</v>
      </c>
      <c r="AN3693" s="5" t="s">
        <v>240</v>
      </c>
      <c r="AO3693" s="5" t="s">
        <v>240</v>
      </c>
      <c r="AP3693" s="6" t="s">
        <v>240</v>
      </c>
      <c r="AQ3693" s="6" t="s">
        <v>240</v>
      </c>
      <c r="AR3693" s="6" t="s">
        <v>240</v>
      </c>
      <c r="AS3693" s="6" t="s">
        <v>240</v>
      </c>
      <c r="AT3693" s="5" t="s">
        <v>240</v>
      </c>
      <c r="AU3693" s="5" t="s">
        <v>729</v>
      </c>
      <c r="AV3693" s="5" t="s">
        <v>729</v>
      </c>
      <c r="AW3693" s="5" t="s">
        <v>251</v>
      </c>
      <c r="AX3693" s="5" t="s">
        <v>252</v>
      </c>
      <c r="AY3693" s="5" t="s">
        <v>253</v>
      </c>
      <c r="AZ3693" s="5" t="s">
        <v>240</v>
      </c>
      <c r="BA3693" s="5" t="s">
        <v>255</v>
      </c>
      <c r="BB3693" s="5" t="s">
        <v>731</v>
      </c>
      <c r="BD3693" s="5" t="s">
        <v>240</v>
      </c>
      <c r="BF3693" s="5" t="s">
        <v>732</v>
      </c>
      <c r="BG3693" s="6" t="s">
        <v>733</v>
      </c>
      <c r="BH3693" s="5" t="s">
        <v>734</v>
      </c>
      <c r="BI3693" s="5" t="s">
        <v>734</v>
      </c>
      <c r="BJ3693" s="5" t="s">
        <v>240</v>
      </c>
      <c r="BK3693" s="8">
        <f>258</f>
        <v>258</v>
      </c>
      <c r="BL3693" s="7">
        <f>0</f>
        <v>0</v>
      </c>
      <c r="BM3693" s="5" t="s">
        <v>258</v>
      </c>
      <c r="BN3693" s="5" t="s">
        <v>259</v>
      </c>
      <c r="BO3693" s="5" t="s">
        <v>240</v>
      </c>
      <c r="BP3693" s="5" t="s">
        <v>240</v>
      </c>
      <c r="BQ3693" s="5" t="s">
        <v>240</v>
      </c>
      <c r="BR3693" s="5" t="s">
        <v>240</v>
      </c>
      <c r="BS3693" s="5" t="s">
        <v>240</v>
      </c>
      <c r="BT3693" s="5" t="s">
        <v>240</v>
      </c>
      <c r="BU3693" s="5" t="s">
        <v>240</v>
      </c>
      <c r="BV3693" s="5" t="s">
        <v>240</v>
      </c>
      <c r="BW3693" s="6" t="s">
        <v>240</v>
      </c>
      <c r="BX3693" s="5" t="s">
        <v>240</v>
      </c>
      <c r="BY3693" s="5" t="s">
        <v>240</v>
      </c>
      <c r="BZ3693" s="5" t="s">
        <v>240</v>
      </c>
      <c r="CA3693" s="5" t="s">
        <v>259</v>
      </c>
      <c r="CB3693" s="5" t="s">
        <v>240</v>
      </c>
      <c r="CC3693" s="5" t="s">
        <v>240</v>
      </c>
      <c r="CD3693" s="5" t="s">
        <v>240</v>
      </c>
      <c r="CE3693" s="5" t="s">
        <v>240</v>
      </c>
      <c r="CF3693" s="5" t="s">
        <v>240</v>
      </c>
      <c r="CG3693" s="5" t="s">
        <v>617</v>
      </c>
      <c r="CH3693" s="5" t="s">
        <v>305</v>
      </c>
      <c r="CI3693" s="5" t="s">
        <v>240</v>
      </c>
      <c r="CL3693" s="6" t="s">
        <v>261</v>
      </c>
      <c r="CM3693" s="5" t="s">
        <v>262</v>
      </c>
      <c r="CN3693" s="5" t="s">
        <v>263</v>
      </c>
      <c r="CO3693" s="5" t="s">
        <v>264</v>
      </c>
      <c r="CP3693" s="5" t="s">
        <v>240</v>
      </c>
      <c r="CQ3693" s="5">
        <v>0</v>
      </c>
      <c r="CR3693" s="5" t="s">
        <v>735</v>
      </c>
      <c r="CS3693" s="5" t="s">
        <v>307</v>
      </c>
      <c r="CT3693" s="5" t="s">
        <v>307</v>
      </c>
      <c r="CU3693" s="5" t="s">
        <v>260</v>
      </c>
      <c r="CV3693" s="5" t="s">
        <v>240</v>
      </c>
      <c r="CW3693" s="8">
        <f>0</f>
        <v>0</v>
      </c>
      <c r="CX3693" s="7">
        <f>0</f>
        <v>0</v>
      </c>
      <c r="CY3693" s="7">
        <f>0</f>
        <v>0</v>
      </c>
      <c r="DA3693" s="7">
        <f>2838</f>
        <v>2838</v>
      </c>
      <c r="DB3693" s="7" t="s">
        <v>240</v>
      </c>
      <c r="DC3693" s="5" t="s">
        <v>240</v>
      </c>
      <c r="DD3693" s="5" t="s">
        <v>240</v>
      </c>
      <c r="DE3693" s="5" t="s">
        <v>240</v>
      </c>
      <c r="DF3693" s="5" t="s">
        <v>450</v>
      </c>
      <c r="DG3693" s="7">
        <f>0</f>
        <v>0</v>
      </c>
      <c r="DI3693" s="5" t="s">
        <v>737</v>
      </c>
      <c r="DJ3693" s="5" t="s">
        <v>240</v>
      </c>
      <c r="DK3693" s="5" t="s">
        <v>240</v>
      </c>
      <c r="DL3693" s="5" t="s">
        <v>240</v>
      </c>
      <c r="DM3693" s="5" t="s">
        <v>240</v>
      </c>
      <c r="DN3693" s="5" t="s">
        <v>240</v>
      </c>
      <c r="DO3693" s="7" t="s">
        <v>240</v>
      </c>
      <c r="DP3693" s="5" t="s">
        <v>240</v>
      </c>
      <c r="DQ3693" s="5" t="s">
        <v>240</v>
      </c>
      <c r="DR3693" s="5" t="s">
        <v>731</v>
      </c>
      <c r="DS3693" s="5" t="s">
        <v>731</v>
      </c>
      <c r="DT3693" s="5" t="s">
        <v>240</v>
      </c>
      <c r="DU3693" s="5" t="s">
        <v>240</v>
      </c>
      <c r="DV3693" s="5" t="s">
        <v>738</v>
      </c>
      <c r="DW3693" s="5" t="s">
        <v>1190</v>
      </c>
      <c r="DX3693" s="5" t="s">
        <v>240</v>
      </c>
      <c r="DY3693" s="5" t="s">
        <v>240</v>
      </c>
      <c r="DZ3693" s="5" t="s">
        <v>240</v>
      </c>
      <c r="EA3693" s="5" t="s">
        <v>240</v>
      </c>
      <c r="EB3693" s="5" t="s">
        <v>240</v>
      </c>
      <c r="EC3693" s="5" t="s">
        <v>240</v>
      </c>
      <c r="ED3693" s="5" t="s">
        <v>240</v>
      </c>
      <c r="EE3693" s="5" t="s">
        <v>240</v>
      </c>
      <c r="EF3693" s="5" t="s">
        <v>240</v>
      </c>
      <c r="EG3693" s="5" t="s">
        <v>240</v>
      </c>
      <c r="EH3693" s="5" t="s">
        <v>240</v>
      </c>
      <c r="EI3693" s="5" t="s">
        <v>240</v>
      </c>
      <c r="EJ3693" s="5" t="s">
        <v>240</v>
      </c>
      <c r="EK3693" s="5" t="s">
        <v>240</v>
      </c>
      <c r="EL3693" s="5" t="s">
        <v>240</v>
      </c>
      <c r="EM3693" s="5" t="s">
        <v>240</v>
      </c>
      <c r="EN3693" s="5" t="s">
        <v>240</v>
      </c>
      <c r="EO3693" s="5" t="s">
        <v>240</v>
      </c>
      <c r="EP3693" s="5" t="s">
        <v>240</v>
      </c>
      <c r="EQ3693" s="5" t="s">
        <v>240</v>
      </c>
      <c r="ER3693" s="5" t="s">
        <v>240</v>
      </c>
      <c r="ES3693" s="5" t="s">
        <v>240</v>
      </c>
      <c r="ET3693" s="5" t="s">
        <v>240</v>
      </c>
      <c r="EU3693" s="5" t="s">
        <v>240</v>
      </c>
      <c r="EV3693" s="5" t="s">
        <v>240</v>
      </c>
      <c r="EW3693" s="5" t="s">
        <v>240</v>
      </c>
      <c r="EX3693" s="5" t="s">
        <v>240</v>
      </c>
      <c r="EY3693" s="5" t="s">
        <v>240</v>
      </c>
      <c r="EZ3693" s="5" t="s">
        <v>240</v>
      </c>
      <c r="FA3693" s="5" t="s">
        <v>240</v>
      </c>
      <c r="FB3693" s="5" t="s">
        <v>240</v>
      </c>
      <c r="FC3693" s="5" t="s">
        <v>240</v>
      </c>
      <c r="FD3693" s="5" t="s">
        <v>240</v>
      </c>
      <c r="FE3693" s="5" t="s">
        <v>240</v>
      </c>
      <c r="FF3693" s="5" t="s">
        <v>240</v>
      </c>
      <c r="FG3693" s="5" t="s">
        <v>240</v>
      </c>
      <c r="FH3693" s="5" t="s">
        <v>240</v>
      </c>
      <c r="FI3693" s="5" t="s">
        <v>240</v>
      </c>
      <c r="FJ3693" s="5" t="s">
        <v>240</v>
      </c>
      <c r="FK3693" s="5" t="s">
        <v>240</v>
      </c>
      <c r="FL3693" s="5" t="s">
        <v>240</v>
      </c>
      <c r="FM3693" s="5" t="s">
        <v>240</v>
      </c>
      <c r="FN3693" s="5" t="s">
        <v>240</v>
      </c>
      <c r="FO3693" s="5" t="s">
        <v>240</v>
      </c>
      <c r="FP3693" s="5" t="s">
        <v>240</v>
      </c>
      <c r="FQ3693" s="5" t="s">
        <v>240</v>
      </c>
      <c r="FR3693" s="5" t="s">
        <v>240</v>
      </c>
      <c r="FS3693" s="5" t="s">
        <v>240</v>
      </c>
      <c r="FT3693" s="5" t="s">
        <v>240</v>
      </c>
      <c r="FU3693" s="5" t="s">
        <v>240</v>
      </c>
      <c r="FV3693" s="5" t="s">
        <v>240</v>
      </c>
      <c r="FW3693" s="5" t="s">
        <v>240</v>
      </c>
      <c r="FX3693" s="5" t="s">
        <v>240</v>
      </c>
      <c r="FY3693" s="5" t="s">
        <v>240</v>
      </c>
      <c r="FZ3693" s="5" t="s">
        <v>240</v>
      </c>
      <c r="GA3693" s="5" t="s">
        <v>240</v>
      </c>
      <c r="GB3693" s="5" t="s">
        <v>240</v>
      </c>
      <c r="GC3693" s="5" t="s">
        <v>240</v>
      </c>
      <c r="GD3693" s="5" t="s">
        <v>240</v>
      </c>
      <c r="GE3693" s="5" t="s">
        <v>240</v>
      </c>
      <c r="GF3693" s="5" t="s">
        <v>240</v>
      </c>
      <c r="GG3693" s="5" t="s">
        <v>240</v>
      </c>
      <c r="GH3693" s="5" t="s">
        <v>240</v>
      </c>
      <c r="GI3693" s="5" t="s">
        <v>240</v>
      </c>
      <c r="GJ3693" s="5" t="s">
        <v>240</v>
      </c>
      <c r="GK3693" s="5" t="s">
        <v>240</v>
      </c>
      <c r="GL3693" s="5" t="s">
        <v>240</v>
      </c>
      <c r="GM3693" s="5" t="s">
        <v>240</v>
      </c>
      <c r="GN3693" s="5" t="s">
        <v>240</v>
      </c>
      <c r="GO3693" s="5" t="s">
        <v>240</v>
      </c>
      <c r="GP3693" s="5" t="s">
        <v>240</v>
      </c>
      <c r="GQ3693" s="5" t="s">
        <v>240</v>
      </c>
      <c r="GR3693" s="5" t="s">
        <v>240</v>
      </c>
      <c r="GS3693" s="5" t="s">
        <v>240</v>
      </c>
      <c r="GT3693" s="5" t="s">
        <v>240</v>
      </c>
      <c r="GU3693" s="5" t="s">
        <v>240</v>
      </c>
      <c r="GV3693" s="5" t="s">
        <v>240</v>
      </c>
      <c r="GW3693" s="5" t="s">
        <v>240</v>
      </c>
      <c r="GX3693" s="5" t="s">
        <v>240</v>
      </c>
      <c r="GY3693" s="5" t="s">
        <v>240</v>
      </c>
      <c r="GZ3693" s="5" t="s">
        <v>240</v>
      </c>
      <c r="HA3693" s="5" t="s">
        <v>240</v>
      </c>
      <c r="HB3693" s="5" t="s">
        <v>240</v>
      </c>
      <c r="HC3693" s="5" t="s">
        <v>240</v>
      </c>
      <c r="HD3693" s="5" t="s">
        <v>240</v>
      </c>
      <c r="HE3693" s="5" t="s">
        <v>240</v>
      </c>
      <c r="HF3693" s="5" t="s">
        <v>240</v>
      </c>
      <c r="HG3693" s="5" t="s">
        <v>240</v>
      </c>
      <c r="HH3693" s="5" t="s">
        <v>240</v>
      </c>
      <c r="HI3693" s="5" t="s">
        <v>240</v>
      </c>
      <c r="HJ3693" s="5" t="s">
        <v>240</v>
      </c>
      <c r="HK3693" s="5" t="s">
        <v>240</v>
      </c>
      <c r="HL3693" s="5" t="s">
        <v>240</v>
      </c>
      <c r="HM3693" s="5" t="s">
        <v>240</v>
      </c>
      <c r="HN3693" s="5" t="s">
        <v>240</v>
      </c>
      <c r="HO3693" s="5" t="s">
        <v>312</v>
      </c>
      <c r="HP3693" s="5" t="s">
        <v>240</v>
      </c>
      <c r="HQ3693" s="5" t="s">
        <v>240</v>
      </c>
      <c r="HR3693" s="5" t="s">
        <v>240</v>
      </c>
      <c r="HS3693" s="5" t="s">
        <v>240</v>
      </c>
      <c r="HT3693" s="5" t="s">
        <v>240</v>
      </c>
      <c r="HU3693" s="5" t="s">
        <v>240</v>
      </c>
      <c r="HV3693" s="5" t="s">
        <v>240</v>
      </c>
      <c r="HW3693" s="5" t="s">
        <v>240</v>
      </c>
      <c r="HX3693" s="5" t="s">
        <v>240</v>
      </c>
      <c r="HY3693" s="5" t="s">
        <v>240</v>
      </c>
      <c r="HZ3693" s="5" t="s">
        <v>240</v>
      </c>
      <c r="IA3693" s="5" t="s">
        <v>240</v>
      </c>
      <c r="IB3693" s="5" t="s">
        <v>240</v>
      </c>
      <c r="IC3693" s="5" t="s">
        <v>240</v>
      </c>
      <c r="ID3693" s="5" t="s">
        <v>240</v>
      </c>
      <c r="IE3693" s="5" t="s">
        <v>240</v>
      </c>
      <c r="IF3693" s="5" t="s">
        <v>240</v>
      </c>
    </row>
    <row r="3694" spans="1:240" x14ac:dyDescent="0.4">
      <c r="A3694" s="5">
        <v>9236</v>
      </c>
      <c r="B3694" s="5">
        <v>1</v>
      </c>
      <c r="C3694" s="5">
        <v>1</v>
      </c>
      <c r="D3694" s="5" t="s">
        <v>723</v>
      </c>
      <c r="E3694" s="5" t="s">
        <v>725</v>
      </c>
      <c r="F3694" s="5" t="s">
        <v>254</v>
      </c>
      <c r="G3694" s="5" t="s">
        <v>5598</v>
      </c>
      <c r="H3694" s="6" t="s">
        <v>5599</v>
      </c>
      <c r="I3694" s="5" t="s">
        <v>5597</v>
      </c>
      <c r="J3694" s="7">
        <f>1</f>
        <v>1</v>
      </c>
      <c r="K3694" s="5" t="s">
        <v>3682</v>
      </c>
      <c r="L3694" s="7">
        <f>1</f>
        <v>1</v>
      </c>
      <c r="M3694" s="7">
        <f>1</f>
        <v>1</v>
      </c>
      <c r="N3694" s="5" t="s">
        <v>242</v>
      </c>
      <c r="O3694" s="5">
        <v>1</v>
      </c>
      <c r="P3694" s="5" t="s">
        <v>294</v>
      </c>
      <c r="Q3694" s="5" t="s">
        <v>266</v>
      </c>
      <c r="R3694" s="5" t="s">
        <v>240</v>
      </c>
      <c r="S3694" s="5" t="s">
        <v>240</v>
      </c>
      <c r="T3694" s="5" t="s">
        <v>296</v>
      </c>
      <c r="U3694" s="5" t="s">
        <v>244</v>
      </c>
      <c r="V3694" s="5" t="s">
        <v>240</v>
      </c>
      <c r="Y3694" s="5" t="s">
        <v>240</v>
      </c>
      <c r="Z3694" s="6" t="s">
        <v>298</v>
      </c>
      <c r="AB3694" s="6" t="s">
        <v>240</v>
      </c>
      <c r="AE3694" s="6" t="s">
        <v>299</v>
      </c>
      <c r="AF3694" s="5" t="s">
        <v>248</v>
      </c>
      <c r="AG3694" s="5" t="s">
        <v>249</v>
      </c>
      <c r="AW3694" s="5" t="s">
        <v>251</v>
      </c>
      <c r="AX3694" s="5" t="s">
        <v>240</v>
      </c>
      <c r="AY3694" s="5" t="s">
        <v>253</v>
      </c>
      <c r="AZ3694" s="5" t="s">
        <v>240</v>
      </c>
      <c r="BA3694" s="5" t="s">
        <v>255</v>
      </c>
      <c r="BB3694" s="5" t="s">
        <v>240</v>
      </c>
      <c r="BD3694" s="5" t="s">
        <v>240</v>
      </c>
      <c r="BF3694" s="5" t="s">
        <v>301</v>
      </c>
      <c r="BG3694" s="6" t="s">
        <v>299</v>
      </c>
      <c r="BH3694" s="5" t="s">
        <v>302</v>
      </c>
      <c r="BI3694" s="5" t="s">
        <v>303</v>
      </c>
      <c r="BJ3694" s="5" t="s">
        <v>240</v>
      </c>
      <c r="BK3694" s="8">
        <f>0</f>
        <v>0</v>
      </c>
      <c r="BL3694" s="7">
        <f>0</f>
        <v>0</v>
      </c>
      <c r="BM3694" s="5" t="s">
        <v>258</v>
      </c>
      <c r="BN3694" s="5" t="s">
        <v>259</v>
      </c>
      <c r="CB3694" s="5" t="s">
        <v>240</v>
      </c>
      <c r="CC3694" s="5" t="s">
        <v>240</v>
      </c>
      <c r="CG3694" s="5" t="s">
        <v>304</v>
      </c>
      <c r="CH3694" s="5" t="s">
        <v>305</v>
      </c>
      <c r="CI3694" s="5" t="s">
        <v>240</v>
      </c>
      <c r="CL3694" s="6" t="s">
        <v>261</v>
      </c>
      <c r="CM3694" s="5" t="s">
        <v>240</v>
      </c>
      <c r="CN3694" s="5" t="s">
        <v>263</v>
      </c>
      <c r="CO3694" s="5" t="s">
        <v>240</v>
      </c>
      <c r="CP3694" s="5" t="s">
        <v>240</v>
      </c>
      <c r="CQ3694" s="5">
        <v>0</v>
      </c>
      <c r="CR3694" s="5" t="s">
        <v>306</v>
      </c>
      <c r="CS3694" s="5" t="s">
        <v>307</v>
      </c>
      <c r="CT3694" s="5" t="s">
        <v>307</v>
      </c>
      <c r="CU3694" s="5" t="s">
        <v>260</v>
      </c>
      <c r="CX3694" s="7">
        <f>1</f>
        <v>1</v>
      </c>
      <c r="CY3694" s="7">
        <f>0</f>
        <v>0</v>
      </c>
      <c r="DA3694" s="7">
        <f>0</f>
        <v>0</v>
      </c>
      <c r="DC3694" s="5" t="s">
        <v>309</v>
      </c>
      <c r="DD3694" s="5" t="s">
        <v>240</v>
      </c>
      <c r="DF3694" s="5" t="s">
        <v>309</v>
      </c>
      <c r="DG3694" s="7">
        <f>15</f>
        <v>15</v>
      </c>
      <c r="DI3694" s="5" t="s">
        <v>240</v>
      </c>
      <c r="DJ3694" s="5" t="s">
        <v>240</v>
      </c>
      <c r="DK3694" s="5" t="s">
        <v>240</v>
      </c>
      <c r="DL3694" s="5" t="s">
        <v>240</v>
      </c>
      <c r="DP3694" s="5" t="s">
        <v>240</v>
      </c>
      <c r="DQ3694" s="5" t="s">
        <v>240</v>
      </c>
      <c r="DR3694" s="5" t="s">
        <v>240</v>
      </c>
      <c r="DS3694" s="5" t="s">
        <v>240</v>
      </c>
      <c r="DV3694" s="5" t="s">
        <v>310</v>
      </c>
      <c r="DW3694" s="5" t="s">
        <v>4105</v>
      </c>
      <c r="HO3694" s="5" t="s">
        <v>312</v>
      </c>
    </row>
    <row r="3695" spans="1:240" x14ac:dyDescent="0.4">
      <c r="A3695" s="5">
        <v>9237</v>
      </c>
      <c r="B3695" s="5">
        <v>1</v>
      </c>
      <c r="C3695" s="5">
        <v>1</v>
      </c>
      <c r="D3695" s="5" t="s">
        <v>723</v>
      </c>
      <c r="E3695" s="5" t="s">
        <v>725</v>
      </c>
      <c r="F3695" s="5" t="s">
        <v>254</v>
      </c>
      <c r="G3695" s="5" t="s">
        <v>6337</v>
      </c>
      <c r="H3695" s="6" t="s">
        <v>6338</v>
      </c>
      <c r="I3695" s="5" t="s">
        <v>6336</v>
      </c>
      <c r="J3695" s="7">
        <f>1</f>
        <v>1</v>
      </c>
      <c r="K3695" s="5" t="s">
        <v>3682</v>
      </c>
      <c r="L3695" s="7">
        <f>1</f>
        <v>1</v>
      </c>
      <c r="M3695" s="7">
        <f>1</f>
        <v>1</v>
      </c>
      <c r="N3695" s="5" t="s">
        <v>242</v>
      </c>
      <c r="O3695" s="5">
        <v>1</v>
      </c>
      <c r="P3695" s="5" t="s">
        <v>294</v>
      </c>
      <c r="Q3695" s="5" t="s">
        <v>266</v>
      </c>
      <c r="R3695" s="5" t="s">
        <v>240</v>
      </c>
      <c r="S3695" s="5" t="s">
        <v>240</v>
      </c>
      <c r="T3695" s="5" t="s">
        <v>296</v>
      </c>
      <c r="U3695" s="5" t="s">
        <v>244</v>
      </c>
      <c r="V3695" s="5" t="s">
        <v>240</v>
      </c>
      <c r="Y3695" s="5" t="s">
        <v>240</v>
      </c>
      <c r="Z3695" s="6" t="s">
        <v>298</v>
      </c>
      <c r="AB3695" s="6" t="s">
        <v>240</v>
      </c>
      <c r="AE3695" s="6" t="s">
        <v>299</v>
      </c>
      <c r="AF3695" s="5" t="s">
        <v>248</v>
      </c>
      <c r="AG3695" s="5" t="s">
        <v>249</v>
      </c>
      <c r="AW3695" s="5" t="s">
        <v>251</v>
      </c>
      <c r="AX3695" s="5" t="s">
        <v>240</v>
      </c>
      <c r="AY3695" s="5" t="s">
        <v>253</v>
      </c>
      <c r="AZ3695" s="5" t="s">
        <v>240</v>
      </c>
      <c r="BA3695" s="5" t="s">
        <v>255</v>
      </c>
      <c r="BB3695" s="5" t="s">
        <v>240</v>
      </c>
      <c r="BD3695" s="5" t="s">
        <v>240</v>
      </c>
      <c r="BF3695" s="5" t="s">
        <v>301</v>
      </c>
      <c r="BG3695" s="6" t="s">
        <v>299</v>
      </c>
      <c r="BH3695" s="5" t="s">
        <v>302</v>
      </c>
      <c r="BI3695" s="5" t="s">
        <v>303</v>
      </c>
      <c r="BJ3695" s="5" t="s">
        <v>240</v>
      </c>
      <c r="BK3695" s="8">
        <f>0</f>
        <v>0</v>
      </c>
      <c r="BL3695" s="7">
        <f>0</f>
        <v>0</v>
      </c>
      <c r="BM3695" s="5" t="s">
        <v>258</v>
      </c>
      <c r="BN3695" s="5" t="s">
        <v>259</v>
      </c>
      <c r="CB3695" s="5" t="s">
        <v>240</v>
      </c>
      <c r="CC3695" s="5" t="s">
        <v>240</v>
      </c>
      <c r="CG3695" s="5" t="s">
        <v>304</v>
      </c>
      <c r="CH3695" s="5" t="s">
        <v>305</v>
      </c>
      <c r="CI3695" s="5" t="s">
        <v>240</v>
      </c>
      <c r="CL3695" s="6" t="s">
        <v>261</v>
      </c>
      <c r="CM3695" s="5" t="s">
        <v>240</v>
      </c>
      <c r="CN3695" s="5" t="s">
        <v>263</v>
      </c>
      <c r="CO3695" s="5" t="s">
        <v>240</v>
      </c>
      <c r="CP3695" s="5" t="s">
        <v>240</v>
      </c>
      <c r="CQ3695" s="5">
        <v>0</v>
      </c>
      <c r="CR3695" s="5" t="s">
        <v>306</v>
      </c>
      <c r="CS3695" s="5" t="s">
        <v>307</v>
      </c>
      <c r="CT3695" s="5" t="s">
        <v>307</v>
      </c>
      <c r="CU3695" s="5" t="s">
        <v>260</v>
      </c>
      <c r="CX3695" s="7">
        <f>1</f>
        <v>1</v>
      </c>
      <c r="CY3695" s="7">
        <f>0</f>
        <v>0</v>
      </c>
      <c r="DA3695" s="7">
        <f>0</f>
        <v>0</v>
      </c>
      <c r="DC3695" s="5" t="s">
        <v>309</v>
      </c>
      <c r="DD3695" s="5" t="s">
        <v>240</v>
      </c>
      <c r="DF3695" s="5" t="s">
        <v>309</v>
      </c>
      <c r="DG3695" s="7">
        <f>1103</f>
        <v>1103</v>
      </c>
      <c r="DI3695" s="5" t="s">
        <v>240</v>
      </c>
      <c r="DJ3695" s="5" t="s">
        <v>240</v>
      </c>
      <c r="DK3695" s="5" t="s">
        <v>240</v>
      </c>
      <c r="DL3695" s="5" t="s">
        <v>240</v>
      </c>
      <c r="DP3695" s="5" t="s">
        <v>240</v>
      </c>
      <c r="DQ3695" s="5" t="s">
        <v>240</v>
      </c>
      <c r="DR3695" s="5" t="s">
        <v>240</v>
      </c>
      <c r="DS3695" s="5" t="s">
        <v>240</v>
      </c>
      <c r="DV3695" s="5" t="s">
        <v>310</v>
      </c>
      <c r="DW3695" s="5" t="s">
        <v>4101</v>
      </c>
      <c r="HO3695" s="5" t="s">
        <v>312</v>
      </c>
    </row>
    <row r="3696" spans="1:240" x14ac:dyDescent="0.4">
      <c r="A3696" s="5">
        <v>9238</v>
      </c>
      <c r="B3696" s="5">
        <v>1</v>
      </c>
      <c r="C3696" s="5">
        <v>1</v>
      </c>
      <c r="D3696" s="5" t="s">
        <v>723</v>
      </c>
      <c r="E3696" s="5" t="s">
        <v>725</v>
      </c>
      <c r="F3696" s="5" t="s">
        <v>254</v>
      </c>
      <c r="G3696" s="5" t="s">
        <v>726</v>
      </c>
      <c r="H3696" s="6" t="s">
        <v>5595</v>
      </c>
      <c r="I3696" s="5" t="s">
        <v>5594</v>
      </c>
      <c r="J3696" s="7">
        <f>1</f>
        <v>1</v>
      </c>
      <c r="K3696" s="5" t="s">
        <v>3682</v>
      </c>
      <c r="L3696" s="7">
        <f>1</f>
        <v>1</v>
      </c>
      <c r="M3696" s="7">
        <f>1</f>
        <v>1</v>
      </c>
      <c r="N3696" s="5" t="s">
        <v>242</v>
      </c>
      <c r="O3696" s="5">
        <v>1</v>
      </c>
      <c r="P3696" s="5" t="s">
        <v>294</v>
      </c>
      <c r="Q3696" s="5" t="s">
        <v>240</v>
      </c>
      <c r="R3696" s="5" t="s">
        <v>240</v>
      </c>
      <c r="S3696" s="5" t="s">
        <v>240</v>
      </c>
      <c r="T3696" s="5" t="s">
        <v>243</v>
      </c>
      <c r="U3696" s="5" t="s">
        <v>244</v>
      </c>
      <c r="V3696" s="5" t="s">
        <v>240</v>
      </c>
      <c r="W3696" s="5" t="s">
        <v>240</v>
      </c>
      <c r="X3696" s="5" t="s">
        <v>240</v>
      </c>
      <c r="Y3696" s="5" t="s">
        <v>246</v>
      </c>
      <c r="Z3696" s="6" t="s">
        <v>3455</v>
      </c>
      <c r="AA3696" s="6" t="s">
        <v>240</v>
      </c>
      <c r="AB3696" s="6" t="s">
        <v>240</v>
      </c>
      <c r="AC3696" s="5" t="s">
        <v>240</v>
      </c>
      <c r="AD3696" s="6" t="s">
        <v>240</v>
      </c>
      <c r="AE3696" s="6" t="s">
        <v>240</v>
      </c>
      <c r="AF3696" s="5" t="s">
        <v>248</v>
      </c>
      <c r="AG3696" s="5" t="s">
        <v>249</v>
      </c>
      <c r="AH3696" s="5" t="s">
        <v>240</v>
      </c>
      <c r="AI3696" s="5" t="s">
        <v>240</v>
      </c>
      <c r="AJ3696" s="5" t="s">
        <v>240</v>
      </c>
      <c r="AK3696" s="5" t="s">
        <v>240</v>
      </c>
      <c r="AL3696" s="5" t="s">
        <v>240</v>
      </c>
      <c r="AM3696" s="5" t="s">
        <v>240</v>
      </c>
      <c r="AN3696" s="5" t="s">
        <v>240</v>
      </c>
      <c r="AO3696" s="5" t="s">
        <v>240</v>
      </c>
      <c r="AP3696" s="6" t="s">
        <v>240</v>
      </c>
      <c r="AQ3696" s="6" t="s">
        <v>240</v>
      </c>
      <c r="AR3696" s="6" t="s">
        <v>240</v>
      </c>
      <c r="AS3696" s="6" t="s">
        <v>240</v>
      </c>
      <c r="AT3696" s="5" t="s">
        <v>240</v>
      </c>
      <c r="AU3696" s="5" t="s">
        <v>240</v>
      </c>
      <c r="AV3696" s="5" t="s">
        <v>240</v>
      </c>
      <c r="AW3696" s="5" t="s">
        <v>251</v>
      </c>
      <c r="AX3696" s="5" t="s">
        <v>252</v>
      </c>
      <c r="AY3696" s="5" t="s">
        <v>253</v>
      </c>
      <c r="AZ3696" s="5" t="s">
        <v>240</v>
      </c>
      <c r="BA3696" s="5" t="s">
        <v>255</v>
      </c>
      <c r="BB3696" s="5" t="s">
        <v>240</v>
      </c>
      <c r="BC3696" s="6" t="s">
        <v>240</v>
      </c>
      <c r="BD3696" s="5" t="s">
        <v>240</v>
      </c>
      <c r="BE3696" s="5" t="s">
        <v>240</v>
      </c>
      <c r="BF3696" s="5" t="s">
        <v>256</v>
      </c>
      <c r="BG3696" s="6" t="s">
        <v>270</v>
      </c>
      <c r="BH3696" s="5" t="s">
        <v>257</v>
      </c>
      <c r="BI3696" s="5" t="s">
        <v>240</v>
      </c>
      <c r="BJ3696" s="5" t="s">
        <v>240</v>
      </c>
      <c r="BK3696" s="7">
        <f>0</f>
        <v>0</v>
      </c>
      <c r="BL3696" s="7">
        <f>1998968</f>
        <v>1998968</v>
      </c>
      <c r="BM3696" s="5" t="s">
        <v>258</v>
      </c>
      <c r="BN3696" s="5" t="s">
        <v>259</v>
      </c>
      <c r="BO3696" s="5" t="s">
        <v>240</v>
      </c>
      <c r="BP3696" s="5" t="s">
        <v>240</v>
      </c>
      <c r="BQ3696" s="5" t="s">
        <v>240</v>
      </c>
      <c r="BR3696" s="5" t="s">
        <v>240</v>
      </c>
      <c r="BS3696" s="5" t="s">
        <v>240</v>
      </c>
      <c r="BT3696" s="5" t="s">
        <v>240</v>
      </c>
      <c r="BU3696" s="5" t="s">
        <v>240</v>
      </c>
      <c r="BV3696" s="5" t="s">
        <v>240</v>
      </c>
      <c r="BW3696" s="6" t="s">
        <v>240</v>
      </c>
      <c r="BX3696" s="5" t="s">
        <v>240</v>
      </c>
      <c r="BY3696" s="5" t="s">
        <v>260</v>
      </c>
      <c r="BZ3696" s="5" t="s">
        <v>260</v>
      </c>
      <c r="CA3696" s="5" t="s">
        <v>259</v>
      </c>
      <c r="CB3696" s="5" t="s">
        <v>240</v>
      </c>
      <c r="CC3696" s="5" t="s">
        <v>240</v>
      </c>
      <c r="CD3696" s="5" t="s">
        <v>240</v>
      </c>
      <c r="CE3696" s="5" t="s">
        <v>240</v>
      </c>
      <c r="CF3696" s="5" t="s">
        <v>240</v>
      </c>
      <c r="CG3696" s="5" t="s">
        <v>240</v>
      </c>
      <c r="CH3696" s="5" t="s">
        <v>240</v>
      </c>
      <c r="CI3696" s="5" t="s">
        <v>240</v>
      </c>
      <c r="CJ3696" s="5" t="s">
        <v>240</v>
      </c>
      <c r="CK3696" s="5" t="s">
        <v>240</v>
      </c>
      <c r="CL3696" s="6" t="s">
        <v>261</v>
      </c>
      <c r="CM3696" s="5" t="s">
        <v>262</v>
      </c>
      <c r="CN3696" s="5" t="s">
        <v>293</v>
      </c>
      <c r="CO3696" s="5" t="s">
        <v>264</v>
      </c>
      <c r="CP3696" s="5" t="s">
        <v>240</v>
      </c>
      <c r="CQ3696" s="5">
        <v>0</v>
      </c>
      <c r="CR3696" s="5" t="s">
        <v>240</v>
      </c>
      <c r="CS3696" s="5" t="s">
        <v>240</v>
      </c>
      <c r="CT3696" s="5" t="s">
        <v>240</v>
      </c>
      <c r="CU3696" s="5" t="s">
        <v>260</v>
      </c>
      <c r="CV3696" s="5" t="s">
        <v>240</v>
      </c>
      <c r="CW3696" s="8">
        <f>0</f>
        <v>0</v>
      </c>
      <c r="CX3696" s="7">
        <f>0</f>
        <v>0</v>
      </c>
      <c r="CY3696" s="7">
        <f>0</f>
        <v>0</v>
      </c>
      <c r="CZ3696" s="7" t="s">
        <v>240</v>
      </c>
      <c r="DA3696" s="7" t="s">
        <v>240</v>
      </c>
      <c r="DB3696" s="7" t="s">
        <v>240</v>
      </c>
      <c r="DC3696" s="5" t="s">
        <v>240</v>
      </c>
      <c r="DD3696" s="5" t="s">
        <v>240</v>
      </c>
      <c r="DE3696" s="5" t="s">
        <v>240</v>
      </c>
      <c r="DF3696" s="5" t="s">
        <v>240</v>
      </c>
      <c r="DG3696" s="7">
        <f>0</f>
        <v>0</v>
      </c>
      <c r="DH3696" s="6" t="s">
        <v>240</v>
      </c>
      <c r="DI3696" s="5" t="s">
        <v>240</v>
      </c>
      <c r="DJ3696" s="5" t="s">
        <v>240</v>
      </c>
      <c r="DK3696" s="5" t="s">
        <v>240</v>
      </c>
      <c r="DL3696" s="5" t="s">
        <v>240</v>
      </c>
      <c r="DM3696" s="5" t="s">
        <v>240</v>
      </c>
      <c r="DN3696" s="5" t="s">
        <v>240</v>
      </c>
      <c r="DO3696" s="7" t="s">
        <v>240</v>
      </c>
      <c r="DP3696" s="5" t="s">
        <v>240</v>
      </c>
      <c r="DQ3696" s="5" t="s">
        <v>240</v>
      </c>
      <c r="DR3696" s="5" t="s">
        <v>240</v>
      </c>
      <c r="DS3696" s="5" t="s">
        <v>240</v>
      </c>
      <c r="DT3696" s="5" t="s">
        <v>240</v>
      </c>
      <c r="DU3696" s="5" t="s">
        <v>240</v>
      </c>
      <c r="DV3696" s="5" t="s">
        <v>240</v>
      </c>
      <c r="DW3696" s="5" t="s">
        <v>240</v>
      </c>
      <c r="DX3696" s="5" t="s">
        <v>240</v>
      </c>
      <c r="DY3696" s="5" t="s">
        <v>240</v>
      </c>
      <c r="DZ3696" s="5" t="s">
        <v>240</v>
      </c>
      <c r="EA3696" s="5" t="s">
        <v>240</v>
      </c>
      <c r="EB3696" s="5" t="s">
        <v>240</v>
      </c>
      <c r="EC3696" s="5" t="s">
        <v>240</v>
      </c>
      <c r="ED3696" s="5" t="s">
        <v>240</v>
      </c>
      <c r="EE3696" s="5" t="s">
        <v>240</v>
      </c>
      <c r="EF3696" s="5" t="s">
        <v>240</v>
      </c>
      <c r="EG3696" s="5" t="s">
        <v>240</v>
      </c>
      <c r="EH3696" s="5" t="s">
        <v>240</v>
      </c>
      <c r="EI3696" s="5" t="s">
        <v>240</v>
      </c>
      <c r="EJ3696" s="5" t="s">
        <v>240</v>
      </c>
      <c r="EK3696" s="5" t="s">
        <v>240</v>
      </c>
      <c r="EL3696" s="5" t="s">
        <v>240</v>
      </c>
      <c r="EM3696" s="5" t="s">
        <v>240</v>
      </c>
      <c r="EN3696" s="5" t="s">
        <v>240</v>
      </c>
      <c r="EO3696" s="5" t="s">
        <v>240</v>
      </c>
      <c r="EP3696" s="5" t="s">
        <v>240</v>
      </c>
      <c r="EQ3696" s="5" t="s">
        <v>240</v>
      </c>
      <c r="ER3696" s="5" t="s">
        <v>240</v>
      </c>
      <c r="ES3696" s="5" t="s">
        <v>240</v>
      </c>
      <c r="ET3696" s="5" t="s">
        <v>240</v>
      </c>
      <c r="EU3696" s="5" t="s">
        <v>240</v>
      </c>
      <c r="EV3696" s="5" t="s">
        <v>240</v>
      </c>
      <c r="EW3696" s="5" t="s">
        <v>240</v>
      </c>
      <c r="EX3696" s="5" t="s">
        <v>240</v>
      </c>
      <c r="EY3696" s="5" t="s">
        <v>240</v>
      </c>
      <c r="EZ3696" s="5" t="s">
        <v>240</v>
      </c>
      <c r="FA3696" s="5" t="s">
        <v>240</v>
      </c>
      <c r="FB3696" s="5" t="s">
        <v>240</v>
      </c>
      <c r="FC3696" s="5" t="s">
        <v>240</v>
      </c>
      <c r="FD3696" s="5" t="s">
        <v>240</v>
      </c>
      <c r="FE3696" s="5" t="s">
        <v>240</v>
      </c>
      <c r="FF3696" s="5" t="s">
        <v>240</v>
      </c>
      <c r="FG3696" s="5" t="s">
        <v>240</v>
      </c>
      <c r="FH3696" s="5" t="s">
        <v>240</v>
      </c>
      <c r="FI3696" s="5" t="s">
        <v>240</v>
      </c>
      <c r="FJ3696" s="5" t="s">
        <v>240</v>
      </c>
      <c r="FK3696" s="5" t="s">
        <v>240</v>
      </c>
      <c r="FL3696" s="5" t="s">
        <v>240</v>
      </c>
      <c r="FM3696" s="5" t="s">
        <v>240</v>
      </c>
      <c r="FN3696" s="5" t="s">
        <v>240</v>
      </c>
      <c r="FO3696" s="5" t="s">
        <v>240</v>
      </c>
      <c r="FP3696" s="5" t="s">
        <v>240</v>
      </c>
      <c r="FQ3696" s="5" t="s">
        <v>240</v>
      </c>
      <c r="FR3696" s="5" t="s">
        <v>240</v>
      </c>
      <c r="FS3696" s="5" t="s">
        <v>240</v>
      </c>
      <c r="FT3696" s="5" t="s">
        <v>240</v>
      </c>
      <c r="FU3696" s="5" t="s">
        <v>240</v>
      </c>
      <c r="FV3696" s="5" t="s">
        <v>240</v>
      </c>
      <c r="FW3696" s="5" t="s">
        <v>240</v>
      </c>
      <c r="FX3696" s="5" t="s">
        <v>240</v>
      </c>
      <c r="FY3696" s="5" t="s">
        <v>240</v>
      </c>
      <c r="FZ3696" s="5" t="s">
        <v>240</v>
      </c>
      <c r="GA3696" s="5" t="s">
        <v>240</v>
      </c>
      <c r="GB3696" s="5" t="s">
        <v>240</v>
      </c>
      <c r="GC3696" s="5" t="s">
        <v>240</v>
      </c>
      <c r="GD3696" s="5" t="s">
        <v>240</v>
      </c>
      <c r="GE3696" s="5" t="s">
        <v>240</v>
      </c>
      <c r="GF3696" s="5" t="s">
        <v>240</v>
      </c>
      <c r="GG3696" s="5" t="s">
        <v>240</v>
      </c>
      <c r="GH3696" s="5" t="s">
        <v>240</v>
      </c>
      <c r="GI3696" s="5" t="s">
        <v>240</v>
      </c>
      <c r="GJ3696" s="5" t="s">
        <v>240</v>
      </c>
      <c r="GK3696" s="5" t="s">
        <v>240</v>
      </c>
      <c r="GL3696" s="5" t="s">
        <v>240</v>
      </c>
      <c r="GM3696" s="5" t="s">
        <v>240</v>
      </c>
      <c r="GN3696" s="5" t="s">
        <v>240</v>
      </c>
      <c r="GO3696" s="5" t="s">
        <v>240</v>
      </c>
      <c r="GP3696" s="5" t="s">
        <v>240</v>
      </c>
      <c r="GQ3696" s="5" t="s">
        <v>240</v>
      </c>
      <c r="GR3696" s="5" t="s">
        <v>240</v>
      </c>
      <c r="GS3696" s="5" t="s">
        <v>240</v>
      </c>
      <c r="GT3696" s="5" t="s">
        <v>240</v>
      </c>
      <c r="GU3696" s="5" t="s">
        <v>240</v>
      </c>
      <c r="GV3696" s="5" t="s">
        <v>240</v>
      </c>
      <c r="GW3696" s="5" t="s">
        <v>240</v>
      </c>
      <c r="GX3696" s="5" t="s">
        <v>240</v>
      </c>
      <c r="GY3696" s="5" t="s">
        <v>240</v>
      </c>
      <c r="GZ3696" s="5" t="s">
        <v>240</v>
      </c>
      <c r="HA3696" s="5" t="s">
        <v>240</v>
      </c>
      <c r="HB3696" s="5" t="s">
        <v>240</v>
      </c>
      <c r="HC3696" s="5" t="s">
        <v>240</v>
      </c>
      <c r="HD3696" s="5" t="s">
        <v>240</v>
      </c>
      <c r="HE3696" s="5" t="s">
        <v>240</v>
      </c>
      <c r="HF3696" s="5" t="s">
        <v>240</v>
      </c>
      <c r="HG3696" s="5" t="s">
        <v>240</v>
      </c>
      <c r="HH3696" s="5" t="s">
        <v>240</v>
      </c>
      <c r="HI3696" s="5" t="s">
        <v>240</v>
      </c>
      <c r="HJ3696" s="5" t="s">
        <v>240</v>
      </c>
      <c r="HK3696" s="5" t="s">
        <v>240</v>
      </c>
      <c r="HL3696" s="5" t="s">
        <v>240</v>
      </c>
      <c r="HM3696" s="5" t="s">
        <v>240</v>
      </c>
      <c r="HN3696" s="5" t="s">
        <v>240</v>
      </c>
      <c r="HO3696" s="5" t="s">
        <v>240</v>
      </c>
      <c r="HP3696" s="5" t="s">
        <v>240</v>
      </c>
      <c r="HQ3696" s="5" t="s">
        <v>240</v>
      </c>
      <c r="HR3696" s="5" t="s">
        <v>240</v>
      </c>
      <c r="HS3696" s="5" t="s">
        <v>240</v>
      </c>
      <c r="HT3696" s="5" t="s">
        <v>240</v>
      </c>
      <c r="HU3696" s="5" t="s">
        <v>240</v>
      </c>
      <c r="HV3696" s="5" t="s">
        <v>240</v>
      </c>
      <c r="HW3696" s="5" t="s">
        <v>240</v>
      </c>
      <c r="HX3696" s="5" t="s">
        <v>240</v>
      </c>
      <c r="HY3696" s="5" t="s">
        <v>240</v>
      </c>
      <c r="HZ3696" s="5" t="s">
        <v>240</v>
      </c>
      <c r="IA3696" s="5" t="s">
        <v>240</v>
      </c>
      <c r="IB3696" s="5" t="s">
        <v>240</v>
      </c>
      <c r="IC3696" s="5" t="s">
        <v>240</v>
      </c>
      <c r="ID3696" s="5" t="s">
        <v>240</v>
      </c>
      <c r="IE3696" s="5" t="s">
        <v>240</v>
      </c>
      <c r="IF3696" s="5" t="s">
        <v>240</v>
      </c>
    </row>
    <row r="3697" spans="1:240" x14ac:dyDescent="0.4">
      <c r="A3697" s="5">
        <v>9239</v>
      </c>
      <c r="B3697" s="5">
        <v>1</v>
      </c>
      <c r="C3697" s="5">
        <v>1</v>
      </c>
      <c r="D3697" s="5" t="s">
        <v>723</v>
      </c>
      <c r="E3697" s="5" t="s">
        <v>725</v>
      </c>
      <c r="F3697" s="5" t="s">
        <v>254</v>
      </c>
      <c r="G3697" s="5" t="s">
        <v>726</v>
      </c>
      <c r="H3697" s="6" t="s">
        <v>5593</v>
      </c>
      <c r="I3697" s="5" t="s">
        <v>5592</v>
      </c>
      <c r="J3697" s="7">
        <f>1</f>
        <v>1</v>
      </c>
      <c r="K3697" s="5" t="s">
        <v>3682</v>
      </c>
      <c r="L3697" s="7">
        <f>1</f>
        <v>1</v>
      </c>
      <c r="M3697" s="7">
        <f>1</f>
        <v>1</v>
      </c>
      <c r="N3697" s="5" t="s">
        <v>242</v>
      </c>
      <c r="O3697" s="5">
        <v>1</v>
      </c>
      <c r="P3697" s="5" t="s">
        <v>294</v>
      </c>
      <c r="Q3697" s="5" t="s">
        <v>266</v>
      </c>
      <c r="R3697" s="5" t="s">
        <v>240</v>
      </c>
      <c r="S3697" s="5" t="s">
        <v>240</v>
      </c>
      <c r="T3697" s="5" t="s">
        <v>243</v>
      </c>
      <c r="U3697" s="5" t="s">
        <v>240</v>
      </c>
      <c r="V3697" s="5" t="s">
        <v>240</v>
      </c>
      <c r="Y3697" s="5" t="s">
        <v>240</v>
      </c>
      <c r="Z3697" s="6" t="s">
        <v>6554</v>
      </c>
      <c r="AB3697" s="6" t="s">
        <v>240</v>
      </c>
      <c r="AE3697" s="6" t="s">
        <v>299</v>
      </c>
      <c r="AF3697" s="5" t="s">
        <v>248</v>
      </c>
      <c r="AG3697" s="5" t="s">
        <v>249</v>
      </c>
      <c r="AW3697" s="5" t="s">
        <v>251</v>
      </c>
      <c r="AX3697" s="5" t="s">
        <v>240</v>
      </c>
      <c r="AY3697" s="5" t="s">
        <v>253</v>
      </c>
      <c r="AZ3697" s="5" t="s">
        <v>240</v>
      </c>
      <c r="BA3697" s="5" t="s">
        <v>255</v>
      </c>
      <c r="BB3697" s="5" t="s">
        <v>240</v>
      </c>
      <c r="BD3697" s="5" t="s">
        <v>240</v>
      </c>
      <c r="BF3697" s="5" t="s">
        <v>301</v>
      </c>
      <c r="BG3697" s="6" t="s">
        <v>6554</v>
      </c>
      <c r="BH3697" s="5" t="s">
        <v>302</v>
      </c>
      <c r="BI3697" s="5" t="s">
        <v>448</v>
      </c>
      <c r="BJ3697" s="5" t="s">
        <v>240</v>
      </c>
      <c r="BK3697" s="8">
        <f>0</f>
        <v>0</v>
      </c>
      <c r="BL3697" s="7">
        <f>0</f>
        <v>0</v>
      </c>
      <c r="BM3697" s="5" t="s">
        <v>258</v>
      </c>
      <c r="BN3697" s="5" t="s">
        <v>259</v>
      </c>
      <c r="CB3697" s="5" t="s">
        <v>240</v>
      </c>
      <c r="CC3697" s="5" t="s">
        <v>240</v>
      </c>
      <c r="CG3697" s="5" t="s">
        <v>449</v>
      </c>
      <c r="CH3697" s="5" t="s">
        <v>305</v>
      </c>
      <c r="CI3697" s="5" t="s">
        <v>240</v>
      </c>
      <c r="CL3697" s="6" t="s">
        <v>261</v>
      </c>
      <c r="CM3697" s="5" t="s">
        <v>240</v>
      </c>
      <c r="CN3697" s="5" t="s">
        <v>263</v>
      </c>
      <c r="CO3697" s="5" t="s">
        <v>240</v>
      </c>
      <c r="CP3697" s="5" t="s">
        <v>240</v>
      </c>
      <c r="CQ3697" s="5">
        <v>0</v>
      </c>
      <c r="CR3697" s="5" t="s">
        <v>306</v>
      </c>
      <c r="CS3697" s="5" t="s">
        <v>307</v>
      </c>
      <c r="CT3697" s="5" t="s">
        <v>307</v>
      </c>
      <c r="CU3697" s="5" t="s">
        <v>260</v>
      </c>
      <c r="CX3697" s="7">
        <f>171346</f>
        <v>171346</v>
      </c>
      <c r="CY3697" s="7">
        <f>0</f>
        <v>0</v>
      </c>
      <c r="DA3697" s="7">
        <f>0</f>
        <v>0</v>
      </c>
      <c r="DC3697" s="5" t="s">
        <v>450</v>
      </c>
      <c r="DD3697" s="5" t="s">
        <v>240</v>
      </c>
      <c r="DF3697" s="5" t="s">
        <v>450</v>
      </c>
      <c r="DG3697" s="7">
        <f>122.39</f>
        <v>122.39</v>
      </c>
      <c r="DI3697" s="5" t="s">
        <v>240</v>
      </c>
      <c r="DJ3697" s="5" t="s">
        <v>240</v>
      </c>
      <c r="DK3697" s="5" t="s">
        <v>240</v>
      </c>
      <c r="DL3697" s="5" t="s">
        <v>240</v>
      </c>
      <c r="DP3697" s="5" t="s">
        <v>240</v>
      </c>
      <c r="DQ3697" s="5" t="s">
        <v>240</v>
      </c>
      <c r="DR3697" s="5" t="s">
        <v>240</v>
      </c>
      <c r="DS3697" s="5" t="s">
        <v>240</v>
      </c>
      <c r="DV3697" s="5" t="s">
        <v>310</v>
      </c>
      <c r="DW3697" s="5" t="s">
        <v>2298</v>
      </c>
      <c r="HO3697" s="5" t="s">
        <v>312</v>
      </c>
    </row>
    <row r="3698" spans="1:240" x14ac:dyDescent="0.4">
      <c r="A3698" s="5">
        <v>9240</v>
      </c>
      <c r="B3698" s="5">
        <v>1</v>
      </c>
      <c r="C3698" s="5">
        <v>1</v>
      </c>
      <c r="D3698" s="5" t="s">
        <v>723</v>
      </c>
      <c r="E3698" s="5" t="s">
        <v>725</v>
      </c>
      <c r="F3698" s="5" t="s">
        <v>254</v>
      </c>
      <c r="G3698" s="5" t="s">
        <v>726</v>
      </c>
      <c r="H3698" s="6" t="s">
        <v>5591</v>
      </c>
      <c r="I3698" s="5" t="s">
        <v>5590</v>
      </c>
      <c r="J3698" s="7">
        <f>1</f>
        <v>1</v>
      </c>
      <c r="K3698" s="5" t="s">
        <v>3682</v>
      </c>
      <c r="L3698" s="7">
        <f>1</f>
        <v>1</v>
      </c>
      <c r="M3698" s="7">
        <f>1</f>
        <v>1</v>
      </c>
      <c r="N3698" s="5" t="s">
        <v>242</v>
      </c>
      <c r="O3698" s="5">
        <v>1</v>
      </c>
      <c r="P3698" s="5" t="s">
        <v>294</v>
      </c>
      <c r="Q3698" s="5" t="s">
        <v>266</v>
      </c>
      <c r="R3698" s="5" t="s">
        <v>240</v>
      </c>
      <c r="S3698" s="5" t="s">
        <v>240</v>
      </c>
      <c r="T3698" s="5" t="s">
        <v>243</v>
      </c>
      <c r="U3698" s="5" t="s">
        <v>244</v>
      </c>
      <c r="V3698" s="5" t="s">
        <v>240</v>
      </c>
      <c r="Y3698" s="5" t="s">
        <v>240</v>
      </c>
      <c r="Z3698" s="6" t="s">
        <v>3881</v>
      </c>
      <c r="AB3698" s="6" t="s">
        <v>240</v>
      </c>
      <c r="AE3698" s="6" t="s">
        <v>299</v>
      </c>
      <c r="AF3698" s="5" t="s">
        <v>248</v>
      </c>
      <c r="AG3698" s="5" t="s">
        <v>249</v>
      </c>
      <c r="AW3698" s="5" t="s">
        <v>251</v>
      </c>
      <c r="AX3698" s="5" t="s">
        <v>240</v>
      </c>
      <c r="AY3698" s="5" t="s">
        <v>253</v>
      </c>
      <c r="AZ3698" s="5" t="s">
        <v>240</v>
      </c>
      <c r="BA3698" s="5" t="s">
        <v>255</v>
      </c>
      <c r="BB3698" s="5" t="s">
        <v>240</v>
      </c>
      <c r="BD3698" s="5" t="s">
        <v>240</v>
      </c>
      <c r="BF3698" s="5" t="s">
        <v>447</v>
      </c>
      <c r="BG3698" s="6" t="s">
        <v>3881</v>
      </c>
      <c r="BH3698" s="5" t="s">
        <v>302</v>
      </c>
      <c r="BI3698" s="5" t="s">
        <v>448</v>
      </c>
      <c r="BJ3698" s="5" t="s">
        <v>240</v>
      </c>
      <c r="BK3698" s="8">
        <f>0</f>
        <v>0</v>
      </c>
      <c r="BL3698" s="7">
        <f>0</f>
        <v>0</v>
      </c>
      <c r="BM3698" s="5" t="s">
        <v>258</v>
      </c>
      <c r="BN3698" s="5" t="s">
        <v>259</v>
      </c>
      <c r="CB3698" s="5" t="s">
        <v>240</v>
      </c>
      <c r="CC3698" s="5" t="s">
        <v>240</v>
      </c>
      <c r="CG3698" s="5" t="s">
        <v>449</v>
      </c>
      <c r="CH3698" s="5" t="s">
        <v>305</v>
      </c>
      <c r="CI3698" s="5" t="s">
        <v>240</v>
      </c>
      <c r="CL3698" s="6" t="s">
        <v>261</v>
      </c>
      <c r="CM3698" s="5" t="s">
        <v>240</v>
      </c>
      <c r="CN3698" s="5" t="s">
        <v>263</v>
      </c>
      <c r="CO3698" s="5" t="s">
        <v>240</v>
      </c>
      <c r="CP3698" s="5" t="s">
        <v>240</v>
      </c>
      <c r="CQ3698" s="5">
        <v>0</v>
      </c>
      <c r="CR3698" s="5" t="s">
        <v>306</v>
      </c>
      <c r="CS3698" s="5" t="s">
        <v>307</v>
      </c>
      <c r="CT3698" s="5" t="s">
        <v>307</v>
      </c>
      <c r="CU3698" s="5" t="s">
        <v>260</v>
      </c>
      <c r="CX3698" s="7">
        <f>8697395</f>
        <v>8697395</v>
      </c>
      <c r="CY3698" s="7">
        <f>0</f>
        <v>0</v>
      </c>
      <c r="DA3698" s="7">
        <f>0</f>
        <v>0</v>
      </c>
      <c r="DC3698" s="5" t="s">
        <v>450</v>
      </c>
      <c r="DD3698" s="5" t="s">
        <v>240</v>
      </c>
      <c r="DF3698" s="5" t="s">
        <v>450</v>
      </c>
      <c r="DG3698" s="7">
        <f>1731.99</f>
        <v>1731.99</v>
      </c>
      <c r="DI3698" s="5" t="s">
        <v>240</v>
      </c>
      <c r="DJ3698" s="5" t="s">
        <v>240</v>
      </c>
      <c r="DK3698" s="5" t="s">
        <v>240</v>
      </c>
      <c r="DL3698" s="5" t="s">
        <v>240</v>
      </c>
      <c r="DP3698" s="5" t="s">
        <v>240</v>
      </c>
      <c r="DQ3698" s="5" t="s">
        <v>240</v>
      </c>
      <c r="DR3698" s="5" t="s">
        <v>240</v>
      </c>
      <c r="DS3698" s="5" t="s">
        <v>240</v>
      </c>
      <c r="DV3698" s="5" t="s">
        <v>310</v>
      </c>
      <c r="DW3698" s="5" t="s">
        <v>2554</v>
      </c>
      <c r="HO3698" s="5" t="s">
        <v>312</v>
      </c>
    </row>
    <row r="3699" spans="1:240" x14ac:dyDescent="0.4">
      <c r="A3699" s="5">
        <v>9241</v>
      </c>
      <c r="B3699" s="5">
        <v>1</v>
      </c>
      <c r="C3699" s="5">
        <v>1</v>
      </c>
      <c r="D3699" s="5" t="s">
        <v>723</v>
      </c>
      <c r="E3699" s="5" t="s">
        <v>725</v>
      </c>
      <c r="F3699" s="5" t="s">
        <v>254</v>
      </c>
      <c r="G3699" s="5" t="s">
        <v>6333</v>
      </c>
      <c r="H3699" s="6" t="s">
        <v>6334</v>
      </c>
      <c r="I3699" s="5" t="s">
        <v>6332</v>
      </c>
      <c r="J3699" s="7">
        <f>1</f>
        <v>1</v>
      </c>
      <c r="K3699" s="5" t="s">
        <v>3682</v>
      </c>
      <c r="L3699" s="7">
        <f>1</f>
        <v>1</v>
      </c>
      <c r="M3699" s="7">
        <f>1</f>
        <v>1</v>
      </c>
      <c r="N3699" s="5" t="s">
        <v>242</v>
      </c>
      <c r="O3699" s="5">
        <v>1</v>
      </c>
      <c r="P3699" s="5" t="s">
        <v>294</v>
      </c>
      <c r="Q3699" s="5" t="s">
        <v>613</v>
      </c>
      <c r="R3699" s="5" t="s">
        <v>240</v>
      </c>
      <c r="S3699" s="5" t="s">
        <v>240</v>
      </c>
      <c r="T3699" s="5" t="s">
        <v>243</v>
      </c>
      <c r="U3699" s="5" t="s">
        <v>724</v>
      </c>
      <c r="V3699" s="5" t="s">
        <v>240</v>
      </c>
      <c r="W3699" s="5" t="s">
        <v>240</v>
      </c>
      <c r="X3699" s="5" t="s">
        <v>240</v>
      </c>
      <c r="Y3699" s="5" t="s">
        <v>240</v>
      </c>
      <c r="Z3699" s="6" t="s">
        <v>298</v>
      </c>
      <c r="AA3699" s="6" t="s">
        <v>240</v>
      </c>
      <c r="AB3699" s="6" t="s">
        <v>240</v>
      </c>
      <c r="AC3699" s="5" t="s">
        <v>240</v>
      </c>
      <c r="AD3699" s="6" t="s">
        <v>240</v>
      </c>
      <c r="AE3699" s="6" t="s">
        <v>299</v>
      </c>
      <c r="AF3699" s="5" t="s">
        <v>727</v>
      </c>
      <c r="AG3699" s="5" t="s">
        <v>260</v>
      </c>
      <c r="AH3699" s="5" t="s">
        <v>240</v>
      </c>
      <c r="AI3699" s="5" t="s">
        <v>240</v>
      </c>
      <c r="AJ3699" s="5" t="s">
        <v>240</v>
      </c>
      <c r="AK3699" s="5" t="s">
        <v>240</v>
      </c>
      <c r="AL3699" s="5" t="s">
        <v>240</v>
      </c>
      <c r="AM3699" s="5" t="s">
        <v>240</v>
      </c>
      <c r="AN3699" s="5" t="s">
        <v>240</v>
      </c>
      <c r="AO3699" s="5" t="s">
        <v>240</v>
      </c>
      <c r="AP3699" s="6" t="s">
        <v>240</v>
      </c>
      <c r="AQ3699" s="6" t="s">
        <v>240</v>
      </c>
      <c r="AR3699" s="6" t="s">
        <v>240</v>
      </c>
      <c r="AS3699" s="6" t="s">
        <v>240</v>
      </c>
      <c r="AT3699" s="5" t="s">
        <v>240</v>
      </c>
      <c r="AU3699" s="5" t="s">
        <v>729</v>
      </c>
      <c r="AV3699" s="5" t="s">
        <v>729</v>
      </c>
      <c r="AW3699" s="5" t="s">
        <v>251</v>
      </c>
      <c r="AX3699" s="5" t="s">
        <v>252</v>
      </c>
      <c r="AY3699" s="5" t="s">
        <v>253</v>
      </c>
      <c r="AZ3699" s="5" t="s">
        <v>240</v>
      </c>
      <c r="BA3699" s="5" t="s">
        <v>255</v>
      </c>
      <c r="BB3699" s="5" t="s">
        <v>731</v>
      </c>
      <c r="BD3699" s="5" t="s">
        <v>240</v>
      </c>
      <c r="BF3699" s="5" t="s">
        <v>732</v>
      </c>
      <c r="BG3699" s="6" t="s">
        <v>733</v>
      </c>
      <c r="BH3699" s="5" t="s">
        <v>734</v>
      </c>
      <c r="BI3699" s="5" t="s">
        <v>734</v>
      </c>
      <c r="BJ3699" s="5" t="s">
        <v>240</v>
      </c>
      <c r="BK3699" s="8">
        <f>292</f>
        <v>292</v>
      </c>
      <c r="BL3699" s="7">
        <f>0</f>
        <v>0</v>
      </c>
      <c r="BM3699" s="5" t="s">
        <v>258</v>
      </c>
      <c r="BN3699" s="5" t="s">
        <v>259</v>
      </c>
      <c r="BO3699" s="5" t="s">
        <v>240</v>
      </c>
      <c r="BP3699" s="5" t="s">
        <v>240</v>
      </c>
      <c r="BQ3699" s="5" t="s">
        <v>240</v>
      </c>
      <c r="BR3699" s="5" t="s">
        <v>240</v>
      </c>
      <c r="BS3699" s="5" t="s">
        <v>240</v>
      </c>
      <c r="BT3699" s="5" t="s">
        <v>240</v>
      </c>
      <c r="BU3699" s="5" t="s">
        <v>240</v>
      </c>
      <c r="BV3699" s="5" t="s">
        <v>240</v>
      </c>
      <c r="BW3699" s="6" t="s">
        <v>240</v>
      </c>
      <c r="BX3699" s="5" t="s">
        <v>240</v>
      </c>
      <c r="BY3699" s="5" t="s">
        <v>240</v>
      </c>
      <c r="BZ3699" s="5" t="s">
        <v>240</v>
      </c>
      <c r="CA3699" s="5" t="s">
        <v>259</v>
      </c>
      <c r="CB3699" s="5" t="s">
        <v>240</v>
      </c>
      <c r="CC3699" s="5" t="s">
        <v>240</v>
      </c>
      <c r="CD3699" s="5" t="s">
        <v>240</v>
      </c>
      <c r="CE3699" s="5" t="s">
        <v>240</v>
      </c>
      <c r="CF3699" s="5" t="s">
        <v>240</v>
      </c>
      <c r="CG3699" s="5" t="s">
        <v>617</v>
      </c>
      <c r="CH3699" s="5" t="s">
        <v>305</v>
      </c>
      <c r="CI3699" s="5" t="s">
        <v>240</v>
      </c>
      <c r="CL3699" s="6" t="s">
        <v>261</v>
      </c>
      <c r="CM3699" s="5" t="s">
        <v>262</v>
      </c>
      <c r="CN3699" s="5" t="s">
        <v>263</v>
      </c>
      <c r="CO3699" s="5" t="s">
        <v>264</v>
      </c>
      <c r="CP3699" s="5" t="s">
        <v>240</v>
      </c>
      <c r="CQ3699" s="5">
        <v>0</v>
      </c>
      <c r="CR3699" s="5" t="s">
        <v>735</v>
      </c>
      <c r="CS3699" s="5" t="s">
        <v>307</v>
      </c>
      <c r="CT3699" s="5" t="s">
        <v>307</v>
      </c>
      <c r="CU3699" s="5" t="s">
        <v>260</v>
      </c>
      <c r="CV3699" s="5" t="s">
        <v>240</v>
      </c>
      <c r="CW3699" s="8">
        <f>0</f>
        <v>0</v>
      </c>
      <c r="CX3699" s="7">
        <f>0</f>
        <v>0</v>
      </c>
      <c r="CY3699" s="7">
        <f>0</f>
        <v>0</v>
      </c>
      <c r="DA3699" s="7">
        <f>3212</f>
        <v>3212</v>
      </c>
      <c r="DB3699" s="7" t="s">
        <v>240</v>
      </c>
      <c r="DC3699" s="5" t="s">
        <v>240</v>
      </c>
      <c r="DD3699" s="5" t="s">
        <v>240</v>
      </c>
      <c r="DE3699" s="5" t="s">
        <v>240</v>
      </c>
      <c r="DF3699" s="5" t="s">
        <v>450</v>
      </c>
      <c r="DG3699" s="7">
        <f>0</f>
        <v>0</v>
      </c>
      <c r="DI3699" s="5" t="s">
        <v>737</v>
      </c>
      <c r="DJ3699" s="5" t="s">
        <v>240</v>
      </c>
      <c r="DK3699" s="5" t="s">
        <v>240</v>
      </c>
      <c r="DL3699" s="5" t="s">
        <v>240</v>
      </c>
      <c r="DM3699" s="5" t="s">
        <v>240</v>
      </c>
      <c r="DN3699" s="5" t="s">
        <v>240</v>
      </c>
      <c r="DO3699" s="7" t="s">
        <v>240</v>
      </c>
      <c r="DP3699" s="5" t="s">
        <v>240</v>
      </c>
      <c r="DQ3699" s="5" t="s">
        <v>240</v>
      </c>
      <c r="DR3699" s="5" t="s">
        <v>731</v>
      </c>
      <c r="DS3699" s="5" t="s">
        <v>731</v>
      </c>
      <c r="DT3699" s="5" t="s">
        <v>240</v>
      </c>
      <c r="DU3699" s="5" t="s">
        <v>240</v>
      </c>
      <c r="DV3699" s="5" t="s">
        <v>738</v>
      </c>
      <c r="DW3699" s="5" t="s">
        <v>637</v>
      </c>
      <c r="DX3699" s="5" t="s">
        <v>240</v>
      </c>
      <c r="DY3699" s="5" t="s">
        <v>240</v>
      </c>
      <c r="DZ3699" s="5" t="s">
        <v>240</v>
      </c>
      <c r="EA3699" s="5" t="s">
        <v>240</v>
      </c>
      <c r="EB3699" s="5" t="s">
        <v>240</v>
      </c>
      <c r="EC3699" s="5" t="s">
        <v>240</v>
      </c>
      <c r="ED3699" s="5" t="s">
        <v>240</v>
      </c>
      <c r="EE3699" s="5" t="s">
        <v>240</v>
      </c>
      <c r="EF3699" s="5" t="s">
        <v>240</v>
      </c>
      <c r="EG3699" s="5" t="s">
        <v>240</v>
      </c>
      <c r="EH3699" s="5" t="s">
        <v>240</v>
      </c>
      <c r="EI3699" s="5" t="s">
        <v>240</v>
      </c>
      <c r="EJ3699" s="5" t="s">
        <v>240</v>
      </c>
      <c r="EK3699" s="5" t="s">
        <v>240</v>
      </c>
      <c r="EL3699" s="5" t="s">
        <v>240</v>
      </c>
      <c r="EM3699" s="5" t="s">
        <v>240</v>
      </c>
      <c r="EN3699" s="5" t="s">
        <v>240</v>
      </c>
      <c r="EO3699" s="5" t="s">
        <v>240</v>
      </c>
      <c r="EP3699" s="5" t="s">
        <v>240</v>
      </c>
      <c r="EQ3699" s="5" t="s">
        <v>240</v>
      </c>
      <c r="ER3699" s="5" t="s">
        <v>240</v>
      </c>
      <c r="ES3699" s="5" t="s">
        <v>240</v>
      </c>
      <c r="ET3699" s="5" t="s">
        <v>240</v>
      </c>
      <c r="EU3699" s="5" t="s">
        <v>240</v>
      </c>
      <c r="EV3699" s="5" t="s">
        <v>240</v>
      </c>
      <c r="EW3699" s="5" t="s">
        <v>240</v>
      </c>
      <c r="EX3699" s="5" t="s">
        <v>240</v>
      </c>
      <c r="EY3699" s="5" t="s">
        <v>240</v>
      </c>
      <c r="EZ3699" s="5" t="s">
        <v>240</v>
      </c>
      <c r="FA3699" s="5" t="s">
        <v>240</v>
      </c>
      <c r="FB3699" s="5" t="s">
        <v>240</v>
      </c>
      <c r="FC3699" s="5" t="s">
        <v>240</v>
      </c>
      <c r="FD3699" s="5" t="s">
        <v>240</v>
      </c>
      <c r="FE3699" s="5" t="s">
        <v>240</v>
      </c>
      <c r="FF3699" s="5" t="s">
        <v>240</v>
      </c>
      <c r="FG3699" s="5" t="s">
        <v>240</v>
      </c>
      <c r="FH3699" s="5" t="s">
        <v>240</v>
      </c>
      <c r="FI3699" s="5" t="s">
        <v>240</v>
      </c>
      <c r="FJ3699" s="5" t="s">
        <v>240</v>
      </c>
      <c r="FK3699" s="5" t="s">
        <v>240</v>
      </c>
      <c r="FL3699" s="5" t="s">
        <v>240</v>
      </c>
      <c r="FM3699" s="5" t="s">
        <v>240</v>
      </c>
      <c r="FN3699" s="5" t="s">
        <v>240</v>
      </c>
      <c r="FO3699" s="5" t="s">
        <v>240</v>
      </c>
      <c r="FP3699" s="5" t="s">
        <v>240</v>
      </c>
      <c r="FQ3699" s="5" t="s">
        <v>240</v>
      </c>
      <c r="FR3699" s="5" t="s">
        <v>240</v>
      </c>
      <c r="FS3699" s="5" t="s">
        <v>240</v>
      </c>
      <c r="FT3699" s="5" t="s">
        <v>240</v>
      </c>
      <c r="FU3699" s="5" t="s">
        <v>240</v>
      </c>
      <c r="FV3699" s="5" t="s">
        <v>240</v>
      </c>
      <c r="FW3699" s="5" t="s">
        <v>240</v>
      </c>
      <c r="FX3699" s="5" t="s">
        <v>240</v>
      </c>
      <c r="FY3699" s="5" t="s">
        <v>240</v>
      </c>
      <c r="FZ3699" s="5" t="s">
        <v>240</v>
      </c>
      <c r="GA3699" s="5" t="s">
        <v>240</v>
      </c>
      <c r="GB3699" s="5" t="s">
        <v>240</v>
      </c>
      <c r="GC3699" s="5" t="s">
        <v>240</v>
      </c>
      <c r="GD3699" s="5" t="s">
        <v>240</v>
      </c>
      <c r="GE3699" s="5" t="s">
        <v>240</v>
      </c>
      <c r="GF3699" s="5" t="s">
        <v>240</v>
      </c>
      <c r="GG3699" s="5" t="s">
        <v>240</v>
      </c>
      <c r="GH3699" s="5" t="s">
        <v>240</v>
      </c>
      <c r="GI3699" s="5" t="s">
        <v>240</v>
      </c>
      <c r="GJ3699" s="5" t="s">
        <v>240</v>
      </c>
      <c r="GK3699" s="5" t="s">
        <v>240</v>
      </c>
      <c r="GL3699" s="5" t="s">
        <v>240</v>
      </c>
      <c r="GM3699" s="5" t="s">
        <v>240</v>
      </c>
      <c r="GN3699" s="5" t="s">
        <v>240</v>
      </c>
      <c r="GO3699" s="5" t="s">
        <v>240</v>
      </c>
      <c r="GP3699" s="5" t="s">
        <v>240</v>
      </c>
      <c r="GQ3699" s="5" t="s">
        <v>240</v>
      </c>
      <c r="GR3699" s="5" t="s">
        <v>240</v>
      </c>
      <c r="GS3699" s="5" t="s">
        <v>240</v>
      </c>
      <c r="GT3699" s="5" t="s">
        <v>240</v>
      </c>
      <c r="GU3699" s="5" t="s">
        <v>240</v>
      </c>
      <c r="GV3699" s="5" t="s">
        <v>240</v>
      </c>
      <c r="GW3699" s="5" t="s">
        <v>240</v>
      </c>
      <c r="GX3699" s="5" t="s">
        <v>240</v>
      </c>
      <c r="GY3699" s="5" t="s">
        <v>240</v>
      </c>
      <c r="GZ3699" s="5" t="s">
        <v>240</v>
      </c>
      <c r="HA3699" s="5" t="s">
        <v>240</v>
      </c>
      <c r="HB3699" s="5" t="s">
        <v>240</v>
      </c>
      <c r="HC3699" s="5" t="s">
        <v>240</v>
      </c>
      <c r="HD3699" s="5" t="s">
        <v>240</v>
      </c>
      <c r="HE3699" s="5" t="s">
        <v>240</v>
      </c>
      <c r="HF3699" s="5" t="s">
        <v>240</v>
      </c>
      <c r="HG3699" s="5" t="s">
        <v>240</v>
      </c>
      <c r="HH3699" s="5" t="s">
        <v>240</v>
      </c>
      <c r="HI3699" s="5" t="s">
        <v>240</v>
      </c>
      <c r="HJ3699" s="5" t="s">
        <v>240</v>
      </c>
      <c r="HK3699" s="5" t="s">
        <v>240</v>
      </c>
      <c r="HL3699" s="5" t="s">
        <v>240</v>
      </c>
      <c r="HM3699" s="5" t="s">
        <v>240</v>
      </c>
      <c r="HN3699" s="5" t="s">
        <v>240</v>
      </c>
      <c r="HO3699" s="5" t="s">
        <v>620</v>
      </c>
      <c r="HP3699" s="5" t="s">
        <v>240</v>
      </c>
      <c r="HQ3699" s="5" t="s">
        <v>240</v>
      </c>
      <c r="HR3699" s="5" t="s">
        <v>240</v>
      </c>
      <c r="HS3699" s="5" t="s">
        <v>240</v>
      </c>
      <c r="HT3699" s="5" t="s">
        <v>240</v>
      </c>
      <c r="HU3699" s="5" t="s">
        <v>240</v>
      </c>
      <c r="HV3699" s="5" t="s">
        <v>240</v>
      </c>
      <c r="HW3699" s="5" t="s">
        <v>240</v>
      </c>
      <c r="HX3699" s="5" t="s">
        <v>240</v>
      </c>
      <c r="HY3699" s="5" t="s">
        <v>240</v>
      </c>
      <c r="HZ3699" s="5" t="s">
        <v>240</v>
      </c>
      <c r="IA3699" s="5" t="s">
        <v>240</v>
      </c>
      <c r="IB3699" s="5" t="s">
        <v>240</v>
      </c>
      <c r="IC3699" s="5" t="s">
        <v>240</v>
      </c>
      <c r="ID3699" s="5" t="s">
        <v>240</v>
      </c>
      <c r="IE3699" s="5" t="s">
        <v>240</v>
      </c>
      <c r="IF3699" s="5" t="s">
        <v>240</v>
      </c>
    </row>
    <row r="3700" spans="1:240" x14ac:dyDescent="0.4">
      <c r="A3700" s="5">
        <v>9242</v>
      </c>
      <c r="B3700" s="5">
        <v>1</v>
      </c>
      <c r="C3700" s="5">
        <v>1</v>
      </c>
      <c r="D3700" s="5" t="s">
        <v>723</v>
      </c>
      <c r="E3700" s="5" t="s">
        <v>725</v>
      </c>
      <c r="F3700" s="5" t="s">
        <v>254</v>
      </c>
      <c r="G3700" s="5" t="s">
        <v>726</v>
      </c>
      <c r="H3700" s="6" t="s">
        <v>5588</v>
      </c>
      <c r="I3700" s="5" t="s">
        <v>5587</v>
      </c>
      <c r="J3700" s="7">
        <f>1</f>
        <v>1</v>
      </c>
      <c r="K3700" s="5" t="s">
        <v>3682</v>
      </c>
      <c r="L3700" s="7">
        <f>1</f>
        <v>1</v>
      </c>
      <c r="M3700" s="7">
        <f>1</f>
        <v>1</v>
      </c>
      <c r="N3700" s="5" t="s">
        <v>242</v>
      </c>
      <c r="O3700" s="5">
        <v>1</v>
      </c>
      <c r="P3700" s="5" t="s">
        <v>294</v>
      </c>
      <c r="Q3700" s="5" t="s">
        <v>613</v>
      </c>
      <c r="R3700" s="5" t="s">
        <v>240</v>
      </c>
      <c r="S3700" s="5" t="s">
        <v>240</v>
      </c>
      <c r="T3700" s="5" t="s">
        <v>243</v>
      </c>
      <c r="U3700" s="5" t="s">
        <v>724</v>
      </c>
      <c r="V3700" s="5" t="s">
        <v>240</v>
      </c>
      <c r="W3700" s="5" t="s">
        <v>240</v>
      </c>
      <c r="X3700" s="5" t="s">
        <v>240</v>
      </c>
      <c r="Y3700" s="5" t="s">
        <v>240</v>
      </c>
      <c r="Z3700" s="6" t="s">
        <v>298</v>
      </c>
      <c r="AA3700" s="6" t="s">
        <v>240</v>
      </c>
      <c r="AB3700" s="6" t="s">
        <v>240</v>
      </c>
      <c r="AC3700" s="5" t="s">
        <v>240</v>
      </c>
      <c r="AD3700" s="6" t="s">
        <v>240</v>
      </c>
      <c r="AE3700" s="6" t="s">
        <v>299</v>
      </c>
      <c r="AF3700" s="5" t="s">
        <v>727</v>
      </c>
      <c r="AG3700" s="5" t="s">
        <v>260</v>
      </c>
      <c r="AH3700" s="5" t="s">
        <v>240</v>
      </c>
      <c r="AI3700" s="5" t="s">
        <v>240</v>
      </c>
      <c r="AJ3700" s="5" t="s">
        <v>240</v>
      </c>
      <c r="AK3700" s="5" t="s">
        <v>240</v>
      </c>
      <c r="AL3700" s="5" t="s">
        <v>240</v>
      </c>
      <c r="AM3700" s="5" t="s">
        <v>240</v>
      </c>
      <c r="AN3700" s="5" t="s">
        <v>240</v>
      </c>
      <c r="AO3700" s="5" t="s">
        <v>240</v>
      </c>
      <c r="AP3700" s="6" t="s">
        <v>240</v>
      </c>
      <c r="AQ3700" s="6" t="s">
        <v>240</v>
      </c>
      <c r="AR3700" s="6" t="s">
        <v>240</v>
      </c>
      <c r="AS3700" s="6" t="s">
        <v>240</v>
      </c>
      <c r="AT3700" s="5" t="s">
        <v>240</v>
      </c>
      <c r="AU3700" s="5" t="s">
        <v>729</v>
      </c>
      <c r="AV3700" s="5" t="s">
        <v>729</v>
      </c>
      <c r="AW3700" s="5" t="s">
        <v>251</v>
      </c>
      <c r="AX3700" s="5" t="s">
        <v>252</v>
      </c>
      <c r="AY3700" s="5" t="s">
        <v>253</v>
      </c>
      <c r="AZ3700" s="5" t="s">
        <v>240</v>
      </c>
      <c r="BA3700" s="5" t="s">
        <v>255</v>
      </c>
      <c r="BB3700" s="5" t="s">
        <v>731</v>
      </c>
      <c r="BD3700" s="5" t="s">
        <v>240</v>
      </c>
      <c r="BF3700" s="5" t="s">
        <v>732</v>
      </c>
      <c r="BG3700" s="6" t="s">
        <v>733</v>
      </c>
      <c r="BH3700" s="5" t="s">
        <v>734</v>
      </c>
      <c r="BI3700" s="5" t="s">
        <v>734</v>
      </c>
      <c r="BJ3700" s="5" t="s">
        <v>240</v>
      </c>
      <c r="BK3700" s="8">
        <f>461</f>
        <v>461</v>
      </c>
      <c r="BL3700" s="7">
        <f>0</f>
        <v>0</v>
      </c>
      <c r="BM3700" s="5" t="s">
        <v>258</v>
      </c>
      <c r="BN3700" s="5" t="s">
        <v>259</v>
      </c>
      <c r="BO3700" s="5" t="s">
        <v>240</v>
      </c>
      <c r="BP3700" s="5" t="s">
        <v>240</v>
      </c>
      <c r="BQ3700" s="5" t="s">
        <v>240</v>
      </c>
      <c r="BR3700" s="5" t="s">
        <v>240</v>
      </c>
      <c r="BS3700" s="5" t="s">
        <v>240</v>
      </c>
      <c r="BT3700" s="5" t="s">
        <v>240</v>
      </c>
      <c r="BU3700" s="5" t="s">
        <v>240</v>
      </c>
      <c r="BV3700" s="5" t="s">
        <v>240</v>
      </c>
      <c r="BW3700" s="6" t="s">
        <v>240</v>
      </c>
      <c r="BX3700" s="5" t="s">
        <v>240</v>
      </c>
      <c r="BY3700" s="5" t="s">
        <v>240</v>
      </c>
      <c r="BZ3700" s="5" t="s">
        <v>240</v>
      </c>
      <c r="CA3700" s="5" t="s">
        <v>259</v>
      </c>
      <c r="CB3700" s="5" t="s">
        <v>240</v>
      </c>
      <c r="CC3700" s="5" t="s">
        <v>240</v>
      </c>
      <c r="CD3700" s="5" t="s">
        <v>240</v>
      </c>
      <c r="CE3700" s="5" t="s">
        <v>240</v>
      </c>
      <c r="CF3700" s="5" t="s">
        <v>240</v>
      </c>
      <c r="CG3700" s="5" t="s">
        <v>617</v>
      </c>
      <c r="CH3700" s="5" t="s">
        <v>305</v>
      </c>
      <c r="CI3700" s="5" t="s">
        <v>240</v>
      </c>
      <c r="CL3700" s="6" t="s">
        <v>261</v>
      </c>
      <c r="CM3700" s="5" t="s">
        <v>262</v>
      </c>
      <c r="CN3700" s="5" t="s">
        <v>263</v>
      </c>
      <c r="CO3700" s="5" t="s">
        <v>264</v>
      </c>
      <c r="CP3700" s="5" t="s">
        <v>240</v>
      </c>
      <c r="CQ3700" s="5">
        <v>0</v>
      </c>
      <c r="CR3700" s="5" t="s">
        <v>735</v>
      </c>
      <c r="CS3700" s="5" t="s">
        <v>307</v>
      </c>
      <c r="CT3700" s="5" t="s">
        <v>307</v>
      </c>
      <c r="CU3700" s="5" t="s">
        <v>260</v>
      </c>
      <c r="CV3700" s="5" t="s">
        <v>240</v>
      </c>
      <c r="CW3700" s="8">
        <f>0</f>
        <v>0</v>
      </c>
      <c r="CX3700" s="7">
        <f>0</f>
        <v>0</v>
      </c>
      <c r="CY3700" s="7">
        <f>0</f>
        <v>0</v>
      </c>
      <c r="DA3700" s="7">
        <f>5071</f>
        <v>5071</v>
      </c>
      <c r="DB3700" s="7" t="s">
        <v>240</v>
      </c>
      <c r="DC3700" s="5" t="s">
        <v>240</v>
      </c>
      <c r="DD3700" s="5" t="s">
        <v>240</v>
      </c>
      <c r="DE3700" s="5" t="s">
        <v>240</v>
      </c>
      <c r="DF3700" s="5" t="s">
        <v>450</v>
      </c>
      <c r="DG3700" s="7">
        <f>0</f>
        <v>0</v>
      </c>
      <c r="DI3700" s="5" t="s">
        <v>737</v>
      </c>
      <c r="DJ3700" s="5" t="s">
        <v>240</v>
      </c>
      <c r="DK3700" s="5" t="s">
        <v>240</v>
      </c>
      <c r="DL3700" s="5" t="s">
        <v>240</v>
      </c>
      <c r="DM3700" s="5" t="s">
        <v>240</v>
      </c>
      <c r="DN3700" s="5" t="s">
        <v>240</v>
      </c>
      <c r="DO3700" s="7" t="s">
        <v>240</v>
      </c>
      <c r="DP3700" s="5" t="s">
        <v>240</v>
      </c>
      <c r="DQ3700" s="5" t="s">
        <v>240</v>
      </c>
      <c r="DR3700" s="5" t="s">
        <v>731</v>
      </c>
      <c r="DS3700" s="5" t="s">
        <v>731</v>
      </c>
      <c r="DT3700" s="5" t="s">
        <v>240</v>
      </c>
      <c r="DU3700" s="5" t="s">
        <v>240</v>
      </c>
      <c r="DV3700" s="5" t="s">
        <v>738</v>
      </c>
      <c r="DW3700" s="5" t="s">
        <v>1192</v>
      </c>
      <c r="DX3700" s="5" t="s">
        <v>240</v>
      </c>
      <c r="DY3700" s="5" t="s">
        <v>240</v>
      </c>
      <c r="DZ3700" s="5" t="s">
        <v>240</v>
      </c>
      <c r="EA3700" s="5" t="s">
        <v>240</v>
      </c>
      <c r="EB3700" s="5" t="s">
        <v>240</v>
      </c>
      <c r="EC3700" s="5" t="s">
        <v>240</v>
      </c>
      <c r="ED3700" s="5" t="s">
        <v>240</v>
      </c>
      <c r="EE3700" s="5" t="s">
        <v>240</v>
      </c>
      <c r="EF3700" s="5" t="s">
        <v>240</v>
      </c>
      <c r="EG3700" s="5" t="s">
        <v>240</v>
      </c>
      <c r="EH3700" s="5" t="s">
        <v>240</v>
      </c>
      <c r="EI3700" s="5" t="s">
        <v>240</v>
      </c>
      <c r="EJ3700" s="5" t="s">
        <v>240</v>
      </c>
      <c r="EK3700" s="5" t="s">
        <v>240</v>
      </c>
      <c r="EL3700" s="5" t="s">
        <v>240</v>
      </c>
      <c r="EM3700" s="5" t="s">
        <v>240</v>
      </c>
      <c r="EN3700" s="5" t="s">
        <v>240</v>
      </c>
      <c r="EO3700" s="5" t="s">
        <v>240</v>
      </c>
      <c r="EP3700" s="5" t="s">
        <v>240</v>
      </c>
      <c r="EQ3700" s="5" t="s">
        <v>240</v>
      </c>
      <c r="ER3700" s="5" t="s">
        <v>240</v>
      </c>
      <c r="ES3700" s="5" t="s">
        <v>240</v>
      </c>
      <c r="ET3700" s="5" t="s">
        <v>240</v>
      </c>
      <c r="EU3700" s="5" t="s">
        <v>240</v>
      </c>
      <c r="EV3700" s="5" t="s">
        <v>240</v>
      </c>
      <c r="EW3700" s="5" t="s">
        <v>240</v>
      </c>
      <c r="EX3700" s="5" t="s">
        <v>240</v>
      </c>
      <c r="EY3700" s="5" t="s">
        <v>240</v>
      </c>
      <c r="EZ3700" s="5" t="s">
        <v>240</v>
      </c>
      <c r="FA3700" s="5" t="s">
        <v>240</v>
      </c>
      <c r="FB3700" s="5" t="s">
        <v>240</v>
      </c>
      <c r="FC3700" s="5" t="s">
        <v>240</v>
      </c>
      <c r="FD3700" s="5" t="s">
        <v>240</v>
      </c>
      <c r="FE3700" s="5" t="s">
        <v>240</v>
      </c>
      <c r="FF3700" s="5" t="s">
        <v>240</v>
      </c>
      <c r="FG3700" s="5" t="s">
        <v>240</v>
      </c>
      <c r="FH3700" s="5" t="s">
        <v>240</v>
      </c>
      <c r="FI3700" s="5" t="s">
        <v>240</v>
      </c>
      <c r="FJ3700" s="5" t="s">
        <v>240</v>
      </c>
      <c r="FK3700" s="5" t="s">
        <v>240</v>
      </c>
      <c r="FL3700" s="5" t="s">
        <v>240</v>
      </c>
      <c r="FM3700" s="5" t="s">
        <v>240</v>
      </c>
      <c r="FN3700" s="5" t="s">
        <v>240</v>
      </c>
      <c r="FO3700" s="5" t="s">
        <v>240</v>
      </c>
      <c r="FP3700" s="5" t="s">
        <v>240</v>
      </c>
      <c r="FQ3700" s="5" t="s">
        <v>240</v>
      </c>
      <c r="FR3700" s="5" t="s">
        <v>240</v>
      </c>
      <c r="FS3700" s="5" t="s">
        <v>240</v>
      </c>
      <c r="FT3700" s="5" t="s">
        <v>240</v>
      </c>
      <c r="FU3700" s="5" t="s">
        <v>240</v>
      </c>
      <c r="FV3700" s="5" t="s">
        <v>240</v>
      </c>
      <c r="FW3700" s="5" t="s">
        <v>240</v>
      </c>
      <c r="FX3700" s="5" t="s">
        <v>240</v>
      </c>
      <c r="FY3700" s="5" t="s">
        <v>240</v>
      </c>
      <c r="FZ3700" s="5" t="s">
        <v>240</v>
      </c>
      <c r="GA3700" s="5" t="s">
        <v>240</v>
      </c>
      <c r="GB3700" s="5" t="s">
        <v>240</v>
      </c>
      <c r="GC3700" s="5" t="s">
        <v>240</v>
      </c>
      <c r="GD3700" s="5" t="s">
        <v>240</v>
      </c>
      <c r="GE3700" s="5" t="s">
        <v>240</v>
      </c>
      <c r="GF3700" s="5" t="s">
        <v>240</v>
      </c>
      <c r="GG3700" s="5" t="s">
        <v>240</v>
      </c>
      <c r="GH3700" s="5" t="s">
        <v>240</v>
      </c>
      <c r="GI3700" s="5" t="s">
        <v>240</v>
      </c>
      <c r="GJ3700" s="5" t="s">
        <v>240</v>
      </c>
      <c r="GK3700" s="5" t="s">
        <v>240</v>
      </c>
      <c r="GL3700" s="5" t="s">
        <v>240</v>
      </c>
      <c r="GM3700" s="5" t="s">
        <v>240</v>
      </c>
      <c r="GN3700" s="5" t="s">
        <v>240</v>
      </c>
      <c r="GO3700" s="5" t="s">
        <v>240</v>
      </c>
      <c r="GP3700" s="5" t="s">
        <v>240</v>
      </c>
      <c r="GQ3700" s="5" t="s">
        <v>240</v>
      </c>
      <c r="GR3700" s="5" t="s">
        <v>240</v>
      </c>
      <c r="GS3700" s="5" t="s">
        <v>240</v>
      </c>
      <c r="GT3700" s="5" t="s">
        <v>240</v>
      </c>
      <c r="GU3700" s="5" t="s">
        <v>240</v>
      </c>
      <c r="GV3700" s="5" t="s">
        <v>240</v>
      </c>
      <c r="GW3700" s="5" t="s">
        <v>240</v>
      </c>
      <c r="GX3700" s="5" t="s">
        <v>240</v>
      </c>
      <c r="GY3700" s="5" t="s">
        <v>240</v>
      </c>
      <c r="GZ3700" s="5" t="s">
        <v>240</v>
      </c>
      <c r="HA3700" s="5" t="s">
        <v>240</v>
      </c>
      <c r="HB3700" s="5" t="s">
        <v>240</v>
      </c>
      <c r="HC3700" s="5" t="s">
        <v>240</v>
      </c>
      <c r="HD3700" s="5" t="s">
        <v>240</v>
      </c>
      <c r="HE3700" s="5" t="s">
        <v>240</v>
      </c>
      <c r="HF3700" s="5" t="s">
        <v>240</v>
      </c>
      <c r="HG3700" s="5" t="s">
        <v>240</v>
      </c>
      <c r="HH3700" s="5" t="s">
        <v>240</v>
      </c>
      <c r="HI3700" s="5" t="s">
        <v>240</v>
      </c>
      <c r="HJ3700" s="5" t="s">
        <v>240</v>
      </c>
      <c r="HK3700" s="5" t="s">
        <v>240</v>
      </c>
      <c r="HL3700" s="5" t="s">
        <v>240</v>
      </c>
      <c r="HM3700" s="5" t="s">
        <v>240</v>
      </c>
      <c r="HN3700" s="5" t="s">
        <v>240</v>
      </c>
      <c r="HO3700" s="5" t="s">
        <v>312</v>
      </c>
      <c r="HP3700" s="5" t="s">
        <v>240</v>
      </c>
      <c r="HQ3700" s="5" t="s">
        <v>240</v>
      </c>
      <c r="HR3700" s="5" t="s">
        <v>240</v>
      </c>
      <c r="HS3700" s="5" t="s">
        <v>240</v>
      </c>
      <c r="HT3700" s="5" t="s">
        <v>240</v>
      </c>
      <c r="HU3700" s="5" t="s">
        <v>240</v>
      </c>
      <c r="HV3700" s="5" t="s">
        <v>240</v>
      </c>
      <c r="HW3700" s="5" t="s">
        <v>240</v>
      </c>
      <c r="HX3700" s="5" t="s">
        <v>240</v>
      </c>
      <c r="HY3700" s="5" t="s">
        <v>240</v>
      </c>
      <c r="HZ3700" s="5" t="s">
        <v>240</v>
      </c>
      <c r="IA3700" s="5" t="s">
        <v>240</v>
      </c>
      <c r="IB3700" s="5" t="s">
        <v>240</v>
      </c>
      <c r="IC3700" s="5" t="s">
        <v>240</v>
      </c>
      <c r="ID3700" s="5" t="s">
        <v>240</v>
      </c>
      <c r="IE3700" s="5" t="s">
        <v>240</v>
      </c>
      <c r="IF3700" s="5" t="s">
        <v>240</v>
      </c>
    </row>
    <row r="3701" spans="1:240" x14ac:dyDescent="0.4">
      <c r="A3701" s="5">
        <v>9243</v>
      </c>
      <c r="B3701" s="5">
        <v>1</v>
      </c>
      <c r="C3701" s="5">
        <v>1</v>
      </c>
      <c r="D3701" s="5" t="s">
        <v>723</v>
      </c>
      <c r="E3701" s="5" t="s">
        <v>725</v>
      </c>
      <c r="F3701" s="5" t="s">
        <v>254</v>
      </c>
      <c r="G3701" s="5" t="s">
        <v>5585</v>
      </c>
      <c r="H3701" s="6" t="s">
        <v>5586</v>
      </c>
      <c r="I3701" s="5" t="s">
        <v>5584</v>
      </c>
      <c r="J3701" s="7">
        <f>1</f>
        <v>1</v>
      </c>
      <c r="K3701" s="5" t="s">
        <v>3682</v>
      </c>
      <c r="L3701" s="7">
        <f>1</f>
        <v>1</v>
      </c>
      <c r="M3701" s="7">
        <f>1</f>
        <v>1</v>
      </c>
      <c r="N3701" s="5" t="s">
        <v>242</v>
      </c>
      <c r="O3701" s="5">
        <v>1</v>
      </c>
      <c r="P3701" s="5" t="s">
        <v>294</v>
      </c>
      <c r="Q3701" s="5" t="s">
        <v>613</v>
      </c>
      <c r="R3701" s="5" t="s">
        <v>240</v>
      </c>
      <c r="S3701" s="5" t="s">
        <v>240</v>
      </c>
      <c r="T3701" s="5" t="s">
        <v>243</v>
      </c>
      <c r="U3701" s="5" t="s">
        <v>724</v>
      </c>
      <c r="V3701" s="5" t="s">
        <v>240</v>
      </c>
      <c r="W3701" s="5" t="s">
        <v>240</v>
      </c>
      <c r="X3701" s="5" t="s">
        <v>240</v>
      </c>
      <c r="Y3701" s="5" t="s">
        <v>240</v>
      </c>
      <c r="Z3701" s="6" t="s">
        <v>298</v>
      </c>
      <c r="AA3701" s="6" t="s">
        <v>240</v>
      </c>
      <c r="AB3701" s="6" t="s">
        <v>240</v>
      </c>
      <c r="AC3701" s="5" t="s">
        <v>240</v>
      </c>
      <c r="AD3701" s="6" t="s">
        <v>240</v>
      </c>
      <c r="AE3701" s="6" t="s">
        <v>299</v>
      </c>
      <c r="AF3701" s="5" t="s">
        <v>727</v>
      </c>
      <c r="AG3701" s="5" t="s">
        <v>260</v>
      </c>
      <c r="AH3701" s="5" t="s">
        <v>240</v>
      </c>
      <c r="AI3701" s="5" t="s">
        <v>240</v>
      </c>
      <c r="AJ3701" s="5" t="s">
        <v>240</v>
      </c>
      <c r="AK3701" s="5" t="s">
        <v>240</v>
      </c>
      <c r="AL3701" s="5" t="s">
        <v>240</v>
      </c>
      <c r="AM3701" s="5" t="s">
        <v>240</v>
      </c>
      <c r="AN3701" s="5" t="s">
        <v>240</v>
      </c>
      <c r="AO3701" s="5" t="s">
        <v>240</v>
      </c>
      <c r="AP3701" s="6" t="s">
        <v>240</v>
      </c>
      <c r="AQ3701" s="6" t="s">
        <v>240</v>
      </c>
      <c r="AR3701" s="6" t="s">
        <v>240</v>
      </c>
      <c r="AS3701" s="6" t="s">
        <v>240</v>
      </c>
      <c r="AT3701" s="5" t="s">
        <v>240</v>
      </c>
      <c r="AU3701" s="5" t="s">
        <v>729</v>
      </c>
      <c r="AV3701" s="5" t="s">
        <v>729</v>
      </c>
      <c r="AW3701" s="5" t="s">
        <v>251</v>
      </c>
      <c r="AX3701" s="5" t="s">
        <v>252</v>
      </c>
      <c r="AY3701" s="5" t="s">
        <v>253</v>
      </c>
      <c r="AZ3701" s="5" t="s">
        <v>240</v>
      </c>
      <c r="BA3701" s="5" t="s">
        <v>255</v>
      </c>
      <c r="BB3701" s="5" t="s">
        <v>731</v>
      </c>
      <c r="BD3701" s="5" t="s">
        <v>240</v>
      </c>
      <c r="BF3701" s="5" t="s">
        <v>732</v>
      </c>
      <c r="BG3701" s="6" t="s">
        <v>733</v>
      </c>
      <c r="BH3701" s="5" t="s">
        <v>734</v>
      </c>
      <c r="BI3701" s="5" t="s">
        <v>734</v>
      </c>
      <c r="BJ3701" s="5" t="s">
        <v>240</v>
      </c>
      <c r="BK3701" s="8">
        <f>1626</f>
        <v>1626</v>
      </c>
      <c r="BL3701" s="7">
        <f>0</f>
        <v>0</v>
      </c>
      <c r="BM3701" s="5" t="s">
        <v>258</v>
      </c>
      <c r="BN3701" s="5" t="s">
        <v>259</v>
      </c>
      <c r="BO3701" s="5" t="s">
        <v>240</v>
      </c>
      <c r="BP3701" s="5" t="s">
        <v>240</v>
      </c>
      <c r="BQ3701" s="5" t="s">
        <v>240</v>
      </c>
      <c r="BR3701" s="5" t="s">
        <v>240</v>
      </c>
      <c r="BS3701" s="5" t="s">
        <v>240</v>
      </c>
      <c r="BT3701" s="5" t="s">
        <v>240</v>
      </c>
      <c r="BU3701" s="5" t="s">
        <v>240</v>
      </c>
      <c r="BV3701" s="5" t="s">
        <v>240</v>
      </c>
      <c r="BW3701" s="6" t="s">
        <v>240</v>
      </c>
      <c r="BX3701" s="5" t="s">
        <v>240</v>
      </c>
      <c r="BY3701" s="5" t="s">
        <v>240</v>
      </c>
      <c r="BZ3701" s="5" t="s">
        <v>240</v>
      </c>
      <c r="CA3701" s="5" t="s">
        <v>259</v>
      </c>
      <c r="CB3701" s="5" t="s">
        <v>240</v>
      </c>
      <c r="CC3701" s="5" t="s">
        <v>240</v>
      </c>
      <c r="CD3701" s="5" t="s">
        <v>240</v>
      </c>
      <c r="CE3701" s="5" t="s">
        <v>240</v>
      </c>
      <c r="CF3701" s="5" t="s">
        <v>240</v>
      </c>
      <c r="CG3701" s="5" t="s">
        <v>617</v>
      </c>
      <c r="CH3701" s="5" t="s">
        <v>305</v>
      </c>
      <c r="CI3701" s="5" t="s">
        <v>240</v>
      </c>
      <c r="CL3701" s="6" t="s">
        <v>261</v>
      </c>
      <c r="CM3701" s="5" t="s">
        <v>262</v>
      </c>
      <c r="CN3701" s="5" t="s">
        <v>263</v>
      </c>
      <c r="CO3701" s="5" t="s">
        <v>264</v>
      </c>
      <c r="CP3701" s="5" t="s">
        <v>240</v>
      </c>
      <c r="CQ3701" s="5">
        <v>0</v>
      </c>
      <c r="CR3701" s="5" t="s">
        <v>735</v>
      </c>
      <c r="CS3701" s="5" t="s">
        <v>307</v>
      </c>
      <c r="CT3701" s="5" t="s">
        <v>307</v>
      </c>
      <c r="CU3701" s="5" t="s">
        <v>260</v>
      </c>
      <c r="CV3701" s="5" t="s">
        <v>240</v>
      </c>
      <c r="CW3701" s="8">
        <f>0</f>
        <v>0</v>
      </c>
      <c r="CX3701" s="7">
        <f>0</f>
        <v>0</v>
      </c>
      <c r="CY3701" s="7">
        <f>0</f>
        <v>0</v>
      </c>
      <c r="DA3701" s="7">
        <f>17886</f>
        <v>17886</v>
      </c>
      <c r="DB3701" s="7" t="s">
        <v>240</v>
      </c>
      <c r="DC3701" s="5" t="s">
        <v>240</v>
      </c>
      <c r="DD3701" s="5" t="s">
        <v>240</v>
      </c>
      <c r="DE3701" s="5" t="s">
        <v>240</v>
      </c>
      <c r="DF3701" s="5" t="s">
        <v>450</v>
      </c>
      <c r="DG3701" s="7">
        <f>0</f>
        <v>0</v>
      </c>
      <c r="DI3701" s="5" t="s">
        <v>737</v>
      </c>
      <c r="DJ3701" s="5" t="s">
        <v>240</v>
      </c>
      <c r="DK3701" s="5" t="s">
        <v>240</v>
      </c>
      <c r="DL3701" s="5" t="s">
        <v>240</v>
      </c>
      <c r="DM3701" s="5" t="s">
        <v>240</v>
      </c>
      <c r="DN3701" s="5" t="s">
        <v>240</v>
      </c>
      <c r="DO3701" s="7" t="s">
        <v>240</v>
      </c>
      <c r="DP3701" s="5" t="s">
        <v>240</v>
      </c>
      <c r="DQ3701" s="5" t="s">
        <v>240</v>
      </c>
      <c r="DR3701" s="5" t="s">
        <v>731</v>
      </c>
      <c r="DS3701" s="5" t="s">
        <v>731</v>
      </c>
      <c r="DT3701" s="5" t="s">
        <v>240</v>
      </c>
      <c r="DU3701" s="5" t="s">
        <v>240</v>
      </c>
      <c r="DV3701" s="5" t="s">
        <v>738</v>
      </c>
      <c r="DW3701" s="5" t="s">
        <v>1194</v>
      </c>
      <c r="DX3701" s="5" t="s">
        <v>240</v>
      </c>
      <c r="DY3701" s="5" t="s">
        <v>240</v>
      </c>
      <c r="DZ3701" s="5" t="s">
        <v>240</v>
      </c>
      <c r="EA3701" s="5" t="s">
        <v>240</v>
      </c>
      <c r="EB3701" s="5" t="s">
        <v>240</v>
      </c>
      <c r="EC3701" s="5" t="s">
        <v>240</v>
      </c>
      <c r="ED3701" s="5" t="s">
        <v>240</v>
      </c>
      <c r="EE3701" s="5" t="s">
        <v>240</v>
      </c>
      <c r="EF3701" s="5" t="s">
        <v>240</v>
      </c>
      <c r="EG3701" s="5" t="s">
        <v>240</v>
      </c>
      <c r="EH3701" s="5" t="s">
        <v>240</v>
      </c>
      <c r="EI3701" s="5" t="s">
        <v>240</v>
      </c>
      <c r="EJ3701" s="5" t="s">
        <v>240</v>
      </c>
      <c r="EK3701" s="5" t="s">
        <v>240</v>
      </c>
      <c r="EL3701" s="5" t="s">
        <v>240</v>
      </c>
      <c r="EM3701" s="5" t="s">
        <v>240</v>
      </c>
      <c r="EN3701" s="5" t="s">
        <v>240</v>
      </c>
      <c r="EO3701" s="5" t="s">
        <v>240</v>
      </c>
      <c r="EP3701" s="5" t="s">
        <v>240</v>
      </c>
      <c r="EQ3701" s="5" t="s">
        <v>240</v>
      </c>
      <c r="ER3701" s="5" t="s">
        <v>240</v>
      </c>
      <c r="ES3701" s="5" t="s">
        <v>240</v>
      </c>
      <c r="ET3701" s="5" t="s">
        <v>240</v>
      </c>
      <c r="EU3701" s="5" t="s">
        <v>240</v>
      </c>
      <c r="EV3701" s="5" t="s">
        <v>240</v>
      </c>
      <c r="EW3701" s="5" t="s">
        <v>240</v>
      </c>
      <c r="EX3701" s="5" t="s">
        <v>240</v>
      </c>
      <c r="EY3701" s="5" t="s">
        <v>240</v>
      </c>
      <c r="EZ3701" s="5" t="s">
        <v>240</v>
      </c>
      <c r="FA3701" s="5" t="s">
        <v>240</v>
      </c>
      <c r="FB3701" s="5" t="s">
        <v>240</v>
      </c>
      <c r="FC3701" s="5" t="s">
        <v>240</v>
      </c>
      <c r="FD3701" s="5" t="s">
        <v>240</v>
      </c>
      <c r="FE3701" s="5" t="s">
        <v>240</v>
      </c>
      <c r="FF3701" s="5" t="s">
        <v>240</v>
      </c>
      <c r="FG3701" s="5" t="s">
        <v>240</v>
      </c>
      <c r="FH3701" s="5" t="s">
        <v>240</v>
      </c>
      <c r="FI3701" s="5" t="s">
        <v>240</v>
      </c>
      <c r="FJ3701" s="5" t="s">
        <v>240</v>
      </c>
      <c r="FK3701" s="5" t="s">
        <v>240</v>
      </c>
      <c r="FL3701" s="5" t="s">
        <v>240</v>
      </c>
      <c r="FM3701" s="5" t="s">
        <v>240</v>
      </c>
      <c r="FN3701" s="5" t="s">
        <v>240</v>
      </c>
      <c r="FO3701" s="5" t="s">
        <v>240</v>
      </c>
      <c r="FP3701" s="5" t="s">
        <v>240</v>
      </c>
      <c r="FQ3701" s="5" t="s">
        <v>240</v>
      </c>
      <c r="FR3701" s="5" t="s">
        <v>240</v>
      </c>
      <c r="FS3701" s="5" t="s">
        <v>240</v>
      </c>
      <c r="FT3701" s="5" t="s">
        <v>240</v>
      </c>
      <c r="FU3701" s="5" t="s">
        <v>240</v>
      </c>
      <c r="FV3701" s="5" t="s">
        <v>240</v>
      </c>
      <c r="FW3701" s="5" t="s">
        <v>240</v>
      </c>
      <c r="FX3701" s="5" t="s">
        <v>240</v>
      </c>
      <c r="FY3701" s="5" t="s">
        <v>240</v>
      </c>
      <c r="FZ3701" s="5" t="s">
        <v>240</v>
      </c>
      <c r="GA3701" s="5" t="s">
        <v>240</v>
      </c>
      <c r="GB3701" s="5" t="s">
        <v>240</v>
      </c>
      <c r="GC3701" s="5" t="s">
        <v>240</v>
      </c>
      <c r="GD3701" s="5" t="s">
        <v>240</v>
      </c>
      <c r="GE3701" s="5" t="s">
        <v>240</v>
      </c>
      <c r="GF3701" s="5" t="s">
        <v>240</v>
      </c>
      <c r="GG3701" s="5" t="s">
        <v>240</v>
      </c>
      <c r="GH3701" s="5" t="s">
        <v>240</v>
      </c>
      <c r="GI3701" s="5" t="s">
        <v>240</v>
      </c>
      <c r="GJ3701" s="5" t="s">
        <v>240</v>
      </c>
      <c r="GK3701" s="5" t="s">
        <v>240</v>
      </c>
      <c r="GL3701" s="5" t="s">
        <v>240</v>
      </c>
      <c r="GM3701" s="5" t="s">
        <v>240</v>
      </c>
      <c r="GN3701" s="5" t="s">
        <v>240</v>
      </c>
      <c r="GO3701" s="5" t="s">
        <v>240</v>
      </c>
      <c r="GP3701" s="5" t="s">
        <v>240</v>
      </c>
      <c r="GQ3701" s="5" t="s">
        <v>240</v>
      </c>
      <c r="GR3701" s="5" t="s">
        <v>240</v>
      </c>
      <c r="GS3701" s="5" t="s">
        <v>240</v>
      </c>
      <c r="GT3701" s="5" t="s">
        <v>240</v>
      </c>
      <c r="GU3701" s="5" t="s">
        <v>240</v>
      </c>
      <c r="GV3701" s="5" t="s">
        <v>240</v>
      </c>
      <c r="GW3701" s="5" t="s">
        <v>240</v>
      </c>
      <c r="GX3701" s="5" t="s">
        <v>240</v>
      </c>
      <c r="GY3701" s="5" t="s">
        <v>240</v>
      </c>
      <c r="GZ3701" s="5" t="s">
        <v>240</v>
      </c>
      <c r="HA3701" s="5" t="s">
        <v>240</v>
      </c>
      <c r="HB3701" s="5" t="s">
        <v>240</v>
      </c>
      <c r="HC3701" s="5" t="s">
        <v>240</v>
      </c>
      <c r="HD3701" s="5" t="s">
        <v>240</v>
      </c>
      <c r="HE3701" s="5" t="s">
        <v>240</v>
      </c>
      <c r="HF3701" s="5" t="s">
        <v>240</v>
      </c>
      <c r="HG3701" s="5" t="s">
        <v>240</v>
      </c>
      <c r="HH3701" s="5" t="s">
        <v>240</v>
      </c>
      <c r="HI3701" s="5" t="s">
        <v>240</v>
      </c>
      <c r="HJ3701" s="5" t="s">
        <v>240</v>
      </c>
      <c r="HK3701" s="5" t="s">
        <v>240</v>
      </c>
      <c r="HL3701" s="5" t="s">
        <v>240</v>
      </c>
      <c r="HM3701" s="5" t="s">
        <v>240</v>
      </c>
      <c r="HN3701" s="5" t="s">
        <v>240</v>
      </c>
      <c r="HO3701" s="5" t="s">
        <v>312</v>
      </c>
      <c r="HP3701" s="5" t="s">
        <v>240</v>
      </c>
      <c r="HQ3701" s="5" t="s">
        <v>240</v>
      </c>
      <c r="HR3701" s="5" t="s">
        <v>240</v>
      </c>
      <c r="HS3701" s="5" t="s">
        <v>240</v>
      </c>
      <c r="HT3701" s="5" t="s">
        <v>240</v>
      </c>
      <c r="HU3701" s="5" t="s">
        <v>240</v>
      </c>
      <c r="HV3701" s="5" t="s">
        <v>240</v>
      </c>
      <c r="HW3701" s="5" t="s">
        <v>240</v>
      </c>
      <c r="HX3701" s="5" t="s">
        <v>240</v>
      </c>
      <c r="HY3701" s="5" t="s">
        <v>240</v>
      </c>
      <c r="HZ3701" s="5" t="s">
        <v>240</v>
      </c>
      <c r="IA3701" s="5" t="s">
        <v>240</v>
      </c>
      <c r="IB3701" s="5" t="s">
        <v>240</v>
      </c>
      <c r="IC3701" s="5" t="s">
        <v>240</v>
      </c>
      <c r="ID3701" s="5" t="s">
        <v>240</v>
      </c>
      <c r="IE3701" s="5" t="s">
        <v>240</v>
      </c>
      <c r="IF3701" s="5" t="s">
        <v>240</v>
      </c>
    </row>
    <row r="3702" spans="1:240" x14ac:dyDescent="0.4">
      <c r="A3702" s="5">
        <v>9244</v>
      </c>
      <c r="B3702" s="5">
        <v>1</v>
      </c>
      <c r="C3702" s="5">
        <v>1</v>
      </c>
      <c r="D3702" s="5" t="s">
        <v>723</v>
      </c>
      <c r="E3702" s="5" t="s">
        <v>725</v>
      </c>
      <c r="F3702" s="5" t="s">
        <v>254</v>
      </c>
      <c r="G3702" s="5" t="s">
        <v>726</v>
      </c>
      <c r="H3702" s="6" t="s">
        <v>5583</v>
      </c>
      <c r="I3702" s="5" t="s">
        <v>5582</v>
      </c>
      <c r="J3702" s="7">
        <f>1</f>
        <v>1</v>
      </c>
      <c r="K3702" s="5" t="s">
        <v>3682</v>
      </c>
      <c r="L3702" s="7">
        <f>1</f>
        <v>1</v>
      </c>
      <c r="M3702" s="7">
        <f>1</f>
        <v>1</v>
      </c>
      <c r="N3702" s="5" t="s">
        <v>242</v>
      </c>
      <c r="O3702" s="5">
        <v>1</v>
      </c>
      <c r="P3702" s="5" t="s">
        <v>294</v>
      </c>
      <c r="Q3702" s="5" t="s">
        <v>613</v>
      </c>
      <c r="R3702" s="5" t="s">
        <v>240</v>
      </c>
      <c r="S3702" s="5" t="s">
        <v>240</v>
      </c>
      <c r="T3702" s="5" t="s">
        <v>243</v>
      </c>
      <c r="U3702" s="5" t="s">
        <v>724</v>
      </c>
      <c r="V3702" s="5" t="s">
        <v>240</v>
      </c>
      <c r="W3702" s="5" t="s">
        <v>240</v>
      </c>
      <c r="X3702" s="5" t="s">
        <v>240</v>
      </c>
      <c r="Y3702" s="5" t="s">
        <v>240</v>
      </c>
      <c r="Z3702" s="6" t="s">
        <v>298</v>
      </c>
      <c r="AA3702" s="6" t="s">
        <v>240</v>
      </c>
      <c r="AB3702" s="6" t="s">
        <v>240</v>
      </c>
      <c r="AC3702" s="5" t="s">
        <v>240</v>
      </c>
      <c r="AD3702" s="6" t="s">
        <v>240</v>
      </c>
      <c r="AE3702" s="6" t="s">
        <v>299</v>
      </c>
      <c r="AF3702" s="5" t="s">
        <v>727</v>
      </c>
      <c r="AG3702" s="5" t="s">
        <v>260</v>
      </c>
      <c r="AH3702" s="5" t="s">
        <v>240</v>
      </c>
      <c r="AI3702" s="5" t="s">
        <v>240</v>
      </c>
      <c r="AJ3702" s="5" t="s">
        <v>240</v>
      </c>
      <c r="AK3702" s="5" t="s">
        <v>240</v>
      </c>
      <c r="AL3702" s="5" t="s">
        <v>240</v>
      </c>
      <c r="AM3702" s="5" t="s">
        <v>240</v>
      </c>
      <c r="AN3702" s="5" t="s">
        <v>240</v>
      </c>
      <c r="AO3702" s="5" t="s">
        <v>240</v>
      </c>
      <c r="AP3702" s="6" t="s">
        <v>240</v>
      </c>
      <c r="AQ3702" s="6" t="s">
        <v>240</v>
      </c>
      <c r="AR3702" s="6" t="s">
        <v>240</v>
      </c>
      <c r="AS3702" s="6" t="s">
        <v>240</v>
      </c>
      <c r="AT3702" s="5" t="s">
        <v>240</v>
      </c>
      <c r="AU3702" s="5" t="s">
        <v>729</v>
      </c>
      <c r="AV3702" s="5" t="s">
        <v>729</v>
      </c>
      <c r="AW3702" s="5" t="s">
        <v>251</v>
      </c>
      <c r="AX3702" s="5" t="s">
        <v>252</v>
      </c>
      <c r="AY3702" s="5" t="s">
        <v>253</v>
      </c>
      <c r="AZ3702" s="5" t="s">
        <v>240</v>
      </c>
      <c r="BA3702" s="5" t="s">
        <v>255</v>
      </c>
      <c r="BB3702" s="5" t="s">
        <v>731</v>
      </c>
      <c r="BD3702" s="5" t="s">
        <v>240</v>
      </c>
      <c r="BF3702" s="5" t="s">
        <v>732</v>
      </c>
      <c r="BG3702" s="6" t="s">
        <v>733</v>
      </c>
      <c r="BH3702" s="5" t="s">
        <v>734</v>
      </c>
      <c r="BI3702" s="5" t="s">
        <v>734</v>
      </c>
      <c r="BJ3702" s="5" t="s">
        <v>240</v>
      </c>
      <c r="BK3702" s="8">
        <f>204</f>
        <v>204</v>
      </c>
      <c r="BL3702" s="7">
        <f>0</f>
        <v>0</v>
      </c>
      <c r="BM3702" s="5" t="s">
        <v>258</v>
      </c>
      <c r="BN3702" s="5" t="s">
        <v>259</v>
      </c>
      <c r="BO3702" s="5" t="s">
        <v>240</v>
      </c>
      <c r="BP3702" s="5" t="s">
        <v>240</v>
      </c>
      <c r="BQ3702" s="5" t="s">
        <v>240</v>
      </c>
      <c r="BR3702" s="5" t="s">
        <v>240</v>
      </c>
      <c r="BS3702" s="5" t="s">
        <v>240</v>
      </c>
      <c r="BT3702" s="5" t="s">
        <v>240</v>
      </c>
      <c r="BU3702" s="5" t="s">
        <v>240</v>
      </c>
      <c r="BV3702" s="5" t="s">
        <v>240</v>
      </c>
      <c r="BW3702" s="6" t="s">
        <v>240</v>
      </c>
      <c r="BX3702" s="5" t="s">
        <v>240</v>
      </c>
      <c r="BY3702" s="5" t="s">
        <v>240</v>
      </c>
      <c r="BZ3702" s="5" t="s">
        <v>240</v>
      </c>
      <c r="CA3702" s="5" t="s">
        <v>259</v>
      </c>
      <c r="CB3702" s="5" t="s">
        <v>240</v>
      </c>
      <c r="CC3702" s="5" t="s">
        <v>240</v>
      </c>
      <c r="CD3702" s="5" t="s">
        <v>240</v>
      </c>
      <c r="CE3702" s="5" t="s">
        <v>240</v>
      </c>
      <c r="CF3702" s="5" t="s">
        <v>240</v>
      </c>
      <c r="CG3702" s="5" t="s">
        <v>617</v>
      </c>
      <c r="CH3702" s="5" t="s">
        <v>305</v>
      </c>
      <c r="CI3702" s="5" t="s">
        <v>240</v>
      </c>
      <c r="CL3702" s="6" t="s">
        <v>261</v>
      </c>
      <c r="CM3702" s="5" t="s">
        <v>262</v>
      </c>
      <c r="CN3702" s="5" t="s">
        <v>263</v>
      </c>
      <c r="CO3702" s="5" t="s">
        <v>264</v>
      </c>
      <c r="CP3702" s="5" t="s">
        <v>240</v>
      </c>
      <c r="CQ3702" s="5">
        <v>0</v>
      </c>
      <c r="CR3702" s="5" t="s">
        <v>735</v>
      </c>
      <c r="CS3702" s="5" t="s">
        <v>307</v>
      </c>
      <c r="CT3702" s="5" t="s">
        <v>307</v>
      </c>
      <c r="CU3702" s="5" t="s">
        <v>260</v>
      </c>
      <c r="CV3702" s="5" t="s">
        <v>240</v>
      </c>
      <c r="CW3702" s="8">
        <f>0</f>
        <v>0</v>
      </c>
      <c r="CX3702" s="7">
        <f>0</f>
        <v>0</v>
      </c>
      <c r="CY3702" s="7">
        <f>0</f>
        <v>0</v>
      </c>
      <c r="DA3702" s="7">
        <f>2244</f>
        <v>2244</v>
      </c>
      <c r="DB3702" s="7" t="s">
        <v>240</v>
      </c>
      <c r="DC3702" s="5" t="s">
        <v>240</v>
      </c>
      <c r="DD3702" s="5" t="s">
        <v>240</v>
      </c>
      <c r="DE3702" s="5" t="s">
        <v>240</v>
      </c>
      <c r="DF3702" s="5" t="s">
        <v>450</v>
      </c>
      <c r="DG3702" s="7">
        <f>0</f>
        <v>0</v>
      </c>
      <c r="DI3702" s="5" t="s">
        <v>737</v>
      </c>
      <c r="DJ3702" s="5" t="s">
        <v>240</v>
      </c>
      <c r="DK3702" s="5" t="s">
        <v>240</v>
      </c>
      <c r="DL3702" s="5" t="s">
        <v>240</v>
      </c>
      <c r="DM3702" s="5" t="s">
        <v>240</v>
      </c>
      <c r="DN3702" s="5" t="s">
        <v>240</v>
      </c>
      <c r="DO3702" s="7" t="s">
        <v>240</v>
      </c>
      <c r="DP3702" s="5" t="s">
        <v>240</v>
      </c>
      <c r="DQ3702" s="5" t="s">
        <v>240</v>
      </c>
      <c r="DR3702" s="5" t="s">
        <v>731</v>
      </c>
      <c r="DS3702" s="5" t="s">
        <v>731</v>
      </c>
      <c r="DT3702" s="5" t="s">
        <v>240</v>
      </c>
      <c r="DU3702" s="5" t="s">
        <v>240</v>
      </c>
      <c r="DV3702" s="5" t="s">
        <v>738</v>
      </c>
      <c r="DW3702" s="5" t="s">
        <v>1196</v>
      </c>
      <c r="DX3702" s="5" t="s">
        <v>240</v>
      </c>
      <c r="DY3702" s="5" t="s">
        <v>240</v>
      </c>
      <c r="DZ3702" s="5" t="s">
        <v>240</v>
      </c>
      <c r="EA3702" s="5" t="s">
        <v>240</v>
      </c>
      <c r="EB3702" s="5" t="s">
        <v>240</v>
      </c>
      <c r="EC3702" s="5" t="s">
        <v>240</v>
      </c>
      <c r="ED3702" s="5" t="s">
        <v>240</v>
      </c>
      <c r="EE3702" s="5" t="s">
        <v>240</v>
      </c>
      <c r="EF3702" s="5" t="s">
        <v>240</v>
      </c>
      <c r="EG3702" s="5" t="s">
        <v>240</v>
      </c>
      <c r="EH3702" s="5" t="s">
        <v>240</v>
      </c>
      <c r="EI3702" s="5" t="s">
        <v>240</v>
      </c>
      <c r="EJ3702" s="5" t="s">
        <v>240</v>
      </c>
      <c r="EK3702" s="5" t="s">
        <v>240</v>
      </c>
      <c r="EL3702" s="5" t="s">
        <v>240</v>
      </c>
      <c r="EM3702" s="5" t="s">
        <v>240</v>
      </c>
      <c r="EN3702" s="5" t="s">
        <v>240</v>
      </c>
      <c r="EO3702" s="5" t="s">
        <v>240</v>
      </c>
      <c r="EP3702" s="5" t="s">
        <v>240</v>
      </c>
      <c r="EQ3702" s="5" t="s">
        <v>240</v>
      </c>
      <c r="ER3702" s="5" t="s">
        <v>240</v>
      </c>
      <c r="ES3702" s="5" t="s">
        <v>240</v>
      </c>
      <c r="ET3702" s="5" t="s">
        <v>240</v>
      </c>
      <c r="EU3702" s="5" t="s">
        <v>240</v>
      </c>
      <c r="EV3702" s="5" t="s">
        <v>240</v>
      </c>
      <c r="EW3702" s="5" t="s">
        <v>240</v>
      </c>
      <c r="EX3702" s="5" t="s">
        <v>240</v>
      </c>
      <c r="EY3702" s="5" t="s">
        <v>240</v>
      </c>
      <c r="EZ3702" s="5" t="s">
        <v>240</v>
      </c>
      <c r="FA3702" s="5" t="s">
        <v>240</v>
      </c>
      <c r="FB3702" s="5" t="s">
        <v>240</v>
      </c>
      <c r="FC3702" s="5" t="s">
        <v>240</v>
      </c>
      <c r="FD3702" s="5" t="s">
        <v>240</v>
      </c>
      <c r="FE3702" s="5" t="s">
        <v>240</v>
      </c>
      <c r="FF3702" s="5" t="s">
        <v>240</v>
      </c>
      <c r="FG3702" s="5" t="s">
        <v>240</v>
      </c>
      <c r="FH3702" s="5" t="s">
        <v>240</v>
      </c>
      <c r="FI3702" s="5" t="s">
        <v>240</v>
      </c>
      <c r="FJ3702" s="5" t="s">
        <v>240</v>
      </c>
      <c r="FK3702" s="5" t="s">
        <v>240</v>
      </c>
      <c r="FL3702" s="5" t="s">
        <v>240</v>
      </c>
      <c r="FM3702" s="5" t="s">
        <v>240</v>
      </c>
      <c r="FN3702" s="5" t="s">
        <v>240</v>
      </c>
      <c r="FO3702" s="5" t="s">
        <v>240</v>
      </c>
      <c r="FP3702" s="5" t="s">
        <v>240</v>
      </c>
      <c r="FQ3702" s="5" t="s">
        <v>240</v>
      </c>
      <c r="FR3702" s="5" t="s">
        <v>240</v>
      </c>
      <c r="FS3702" s="5" t="s">
        <v>240</v>
      </c>
      <c r="FT3702" s="5" t="s">
        <v>240</v>
      </c>
      <c r="FU3702" s="5" t="s">
        <v>240</v>
      </c>
      <c r="FV3702" s="5" t="s">
        <v>240</v>
      </c>
      <c r="FW3702" s="5" t="s">
        <v>240</v>
      </c>
      <c r="FX3702" s="5" t="s">
        <v>240</v>
      </c>
      <c r="FY3702" s="5" t="s">
        <v>240</v>
      </c>
      <c r="FZ3702" s="5" t="s">
        <v>240</v>
      </c>
      <c r="GA3702" s="5" t="s">
        <v>240</v>
      </c>
      <c r="GB3702" s="5" t="s">
        <v>240</v>
      </c>
      <c r="GC3702" s="5" t="s">
        <v>240</v>
      </c>
      <c r="GD3702" s="5" t="s">
        <v>240</v>
      </c>
      <c r="GE3702" s="5" t="s">
        <v>240</v>
      </c>
      <c r="GF3702" s="5" t="s">
        <v>240</v>
      </c>
      <c r="GG3702" s="5" t="s">
        <v>240</v>
      </c>
      <c r="GH3702" s="5" t="s">
        <v>240</v>
      </c>
      <c r="GI3702" s="5" t="s">
        <v>240</v>
      </c>
      <c r="GJ3702" s="5" t="s">
        <v>240</v>
      </c>
      <c r="GK3702" s="5" t="s">
        <v>240</v>
      </c>
      <c r="GL3702" s="5" t="s">
        <v>240</v>
      </c>
      <c r="GM3702" s="5" t="s">
        <v>240</v>
      </c>
      <c r="GN3702" s="5" t="s">
        <v>240</v>
      </c>
      <c r="GO3702" s="5" t="s">
        <v>240</v>
      </c>
      <c r="GP3702" s="5" t="s">
        <v>240</v>
      </c>
      <c r="GQ3702" s="5" t="s">
        <v>240</v>
      </c>
      <c r="GR3702" s="5" t="s">
        <v>240</v>
      </c>
      <c r="GS3702" s="5" t="s">
        <v>240</v>
      </c>
      <c r="GT3702" s="5" t="s">
        <v>240</v>
      </c>
      <c r="GU3702" s="5" t="s">
        <v>240</v>
      </c>
      <c r="GV3702" s="5" t="s">
        <v>240</v>
      </c>
      <c r="GW3702" s="5" t="s">
        <v>240</v>
      </c>
      <c r="GX3702" s="5" t="s">
        <v>240</v>
      </c>
      <c r="GY3702" s="5" t="s">
        <v>240</v>
      </c>
      <c r="GZ3702" s="5" t="s">
        <v>240</v>
      </c>
      <c r="HA3702" s="5" t="s">
        <v>240</v>
      </c>
      <c r="HB3702" s="5" t="s">
        <v>240</v>
      </c>
      <c r="HC3702" s="5" t="s">
        <v>240</v>
      </c>
      <c r="HD3702" s="5" t="s">
        <v>240</v>
      </c>
      <c r="HE3702" s="5" t="s">
        <v>240</v>
      </c>
      <c r="HF3702" s="5" t="s">
        <v>240</v>
      </c>
      <c r="HG3702" s="5" t="s">
        <v>240</v>
      </c>
      <c r="HH3702" s="5" t="s">
        <v>240</v>
      </c>
      <c r="HI3702" s="5" t="s">
        <v>240</v>
      </c>
      <c r="HJ3702" s="5" t="s">
        <v>240</v>
      </c>
      <c r="HK3702" s="5" t="s">
        <v>240</v>
      </c>
      <c r="HL3702" s="5" t="s">
        <v>240</v>
      </c>
      <c r="HM3702" s="5" t="s">
        <v>240</v>
      </c>
      <c r="HN3702" s="5" t="s">
        <v>240</v>
      </c>
      <c r="HO3702" s="5" t="s">
        <v>312</v>
      </c>
      <c r="HP3702" s="5" t="s">
        <v>240</v>
      </c>
      <c r="HQ3702" s="5" t="s">
        <v>240</v>
      </c>
      <c r="HR3702" s="5" t="s">
        <v>240</v>
      </c>
      <c r="HS3702" s="5" t="s">
        <v>240</v>
      </c>
      <c r="HT3702" s="5" t="s">
        <v>240</v>
      </c>
      <c r="HU3702" s="5" t="s">
        <v>240</v>
      </c>
      <c r="HV3702" s="5" t="s">
        <v>240</v>
      </c>
      <c r="HW3702" s="5" t="s">
        <v>240</v>
      </c>
      <c r="HX3702" s="5" t="s">
        <v>240</v>
      </c>
      <c r="HY3702" s="5" t="s">
        <v>240</v>
      </c>
      <c r="HZ3702" s="5" t="s">
        <v>240</v>
      </c>
      <c r="IA3702" s="5" t="s">
        <v>240</v>
      </c>
      <c r="IB3702" s="5" t="s">
        <v>240</v>
      </c>
      <c r="IC3702" s="5" t="s">
        <v>240</v>
      </c>
      <c r="ID3702" s="5" t="s">
        <v>240</v>
      </c>
      <c r="IE3702" s="5" t="s">
        <v>240</v>
      </c>
      <c r="IF3702" s="5" t="s">
        <v>240</v>
      </c>
    </row>
    <row r="3703" spans="1:240" x14ac:dyDescent="0.4">
      <c r="A3703" s="5">
        <v>9245</v>
      </c>
      <c r="B3703" s="5">
        <v>1</v>
      </c>
      <c r="C3703" s="5">
        <v>1</v>
      </c>
      <c r="D3703" s="5" t="s">
        <v>723</v>
      </c>
      <c r="E3703" s="5" t="s">
        <v>725</v>
      </c>
      <c r="F3703" s="5" t="s">
        <v>254</v>
      </c>
      <c r="G3703" s="5" t="s">
        <v>726</v>
      </c>
      <c r="H3703" s="6" t="s">
        <v>5581</v>
      </c>
      <c r="I3703" s="5" t="s">
        <v>5580</v>
      </c>
      <c r="J3703" s="7">
        <f>1</f>
        <v>1</v>
      </c>
      <c r="K3703" s="5" t="s">
        <v>3682</v>
      </c>
      <c r="L3703" s="7">
        <f>1</f>
        <v>1</v>
      </c>
      <c r="M3703" s="7">
        <f>1</f>
        <v>1</v>
      </c>
      <c r="N3703" s="5" t="s">
        <v>242</v>
      </c>
      <c r="O3703" s="5">
        <v>1</v>
      </c>
      <c r="P3703" s="5" t="s">
        <v>294</v>
      </c>
      <c r="Q3703" s="5" t="s">
        <v>613</v>
      </c>
      <c r="R3703" s="5" t="s">
        <v>240</v>
      </c>
      <c r="S3703" s="5" t="s">
        <v>240</v>
      </c>
      <c r="T3703" s="5" t="s">
        <v>243</v>
      </c>
      <c r="U3703" s="5" t="s">
        <v>724</v>
      </c>
      <c r="V3703" s="5" t="s">
        <v>240</v>
      </c>
      <c r="W3703" s="5" t="s">
        <v>240</v>
      </c>
      <c r="X3703" s="5" t="s">
        <v>240</v>
      </c>
      <c r="Y3703" s="5" t="s">
        <v>240</v>
      </c>
      <c r="Z3703" s="6" t="s">
        <v>298</v>
      </c>
      <c r="AA3703" s="6" t="s">
        <v>240</v>
      </c>
      <c r="AB3703" s="6" t="s">
        <v>240</v>
      </c>
      <c r="AC3703" s="5" t="s">
        <v>240</v>
      </c>
      <c r="AD3703" s="6" t="s">
        <v>240</v>
      </c>
      <c r="AE3703" s="6" t="s">
        <v>299</v>
      </c>
      <c r="AF3703" s="5" t="s">
        <v>727</v>
      </c>
      <c r="AG3703" s="5" t="s">
        <v>260</v>
      </c>
      <c r="AH3703" s="5" t="s">
        <v>240</v>
      </c>
      <c r="AI3703" s="5" t="s">
        <v>240</v>
      </c>
      <c r="AJ3703" s="5" t="s">
        <v>240</v>
      </c>
      <c r="AK3703" s="5" t="s">
        <v>240</v>
      </c>
      <c r="AL3703" s="5" t="s">
        <v>240</v>
      </c>
      <c r="AM3703" s="5" t="s">
        <v>240</v>
      </c>
      <c r="AN3703" s="5" t="s">
        <v>240</v>
      </c>
      <c r="AO3703" s="5" t="s">
        <v>240</v>
      </c>
      <c r="AP3703" s="6" t="s">
        <v>240</v>
      </c>
      <c r="AQ3703" s="6" t="s">
        <v>240</v>
      </c>
      <c r="AR3703" s="6" t="s">
        <v>240</v>
      </c>
      <c r="AS3703" s="6" t="s">
        <v>240</v>
      </c>
      <c r="AT3703" s="5" t="s">
        <v>240</v>
      </c>
      <c r="AU3703" s="5" t="s">
        <v>729</v>
      </c>
      <c r="AV3703" s="5" t="s">
        <v>729</v>
      </c>
      <c r="AW3703" s="5" t="s">
        <v>251</v>
      </c>
      <c r="AX3703" s="5" t="s">
        <v>252</v>
      </c>
      <c r="AY3703" s="5" t="s">
        <v>253</v>
      </c>
      <c r="AZ3703" s="5" t="s">
        <v>240</v>
      </c>
      <c r="BA3703" s="5" t="s">
        <v>255</v>
      </c>
      <c r="BB3703" s="5" t="s">
        <v>731</v>
      </c>
      <c r="BD3703" s="5" t="s">
        <v>240</v>
      </c>
      <c r="BF3703" s="5" t="s">
        <v>732</v>
      </c>
      <c r="BG3703" s="6" t="s">
        <v>733</v>
      </c>
      <c r="BH3703" s="5" t="s">
        <v>734</v>
      </c>
      <c r="BI3703" s="5" t="s">
        <v>734</v>
      </c>
      <c r="BJ3703" s="5" t="s">
        <v>240</v>
      </c>
      <c r="BK3703" s="8">
        <f>831</f>
        <v>831</v>
      </c>
      <c r="BL3703" s="7">
        <f>0</f>
        <v>0</v>
      </c>
      <c r="BM3703" s="5" t="s">
        <v>258</v>
      </c>
      <c r="BN3703" s="5" t="s">
        <v>259</v>
      </c>
      <c r="BO3703" s="5" t="s">
        <v>240</v>
      </c>
      <c r="BP3703" s="5" t="s">
        <v>240</v>
      </c>
      <c r="BQ3703" s="5" t="s">
        <v>240</v>
      </c>
      <c r="BR3703" s="5" t="s">
        <v>240</v>
      </c>
      <c r="BS3703" s="5" t="s">
        <v>240</v>
      </c>
      <c r="BT3703" s="5" t="s">
        <v>240</v>
      </c>
      <c r="BU3703" s="5" t="s">
        <v>240</v>
      </c>
      <c r="BV3703" s="5" t="s">
        <v>240</v>
      </c>
      <c r="BW3703" s="6" t="s">
        <v>240</v>
      </c>
      <c r="BX3703" s="5" t="s">
        <v>240</v>
      </c>
      <c r="BY3703" s="5" t="s">
        <v>240</v>
      </c>
      <c r="BZ3703" s="5" t="s">
        <v>240</v>
      </c>
      <c r="CA3703" s="5" t="s">
        <v>259</v>
      </c>
      <c r="CB3703" s="5" t="s">
        <v>240</v>
      </c>
      <c r="CC3703" s="5" t="s">
        <v>240</v>
      </c>
      <c r="CD3703" s="5" t="s">
        <v>240</v>
      </c>
      <c r="CE3703" s="5" t="s">
        <v>240</v>
      </c>
      <c r="CF3703" s="5" t="s">
        <v>240</v>
      </c>
      <c r="CG3703" s="5" t="s">
        <v>617</v>
      </c>
      <c r="CH3703" s="5" t="s">
        <v>305</v>
      </c>
      <c r="CI3703" s="5" t="s">
        <v>240</v>
      </c>
      <c r="CL3703" s="6" t="s">
        <v>261</v>
      </c>
      <c r="CM3703" s="5" t="s">
        <v>262</v>
      </c>
      <c r="CN3703" s="5" t="s">
        <v>263</v>
      </c>
      <c r="CO3703" s="5" t="s">
        <v>264</v>
      </c>
      <c r="CP3703" s="5" t="s">
        <v>240</v>
      </c>
      <c r="CQ3703" s="5">
        <v>0</v>
      </c>
      <c r="CR3703" s="5" t="s">
        <v>735</v>
      </c>
      <c r="CS3703" s="5" t="s">
        <v>307</v>
      </c>
      <c r="CT3703" s="5" t="s">
        <v>307</v>
      </c>
      <c r="CU3703" s="5" t="s">
        <v>260</v>
      </c>
      <c r="CV3703" s="5" t="s">
        <v>240</v>
      </c>
      <c r="CW3703" s="8">
        <f>0</f>
        <v>0</v>
      </c>
      <c r="CX3703" s="7">
        <f>0</f>
        <v>0</v>
      </c>
      <c r="CY3703" s="7">
        <f>0</f>
        <v>0</v>
      </c>
      <c r="DA3703" s="7">
        <f>9141</f>
        <v>9141</v>
      </c>
      <c r="DB3703" s="7" t="s">
        <v>240</v>
      </c>
      <c r="DC3703" s="5" t="s">
        <v>240</v>
      </c>
      <c r="DD3703" s="5" t="s">
        <v>240</v>
      </c>
      <c r="DE3703" s="5" t="s">
        <v>240</v>
      </c>
      <c r="DF3703" s="5" t="s">
        <v>450</v>
      </c>
      <c r="DG3703" s="7">
        <f>0</f>
        <v>0</v>
      </c>
      <c r="DI3703" s="5" t="s">
        <v>737</v>
      </c>
      <c r="DJ3703" s="5" t="s">
        <v>240</v>
      </c>
      <c r="DK3703" s="5" t="s">
        <v>240</v>
      </c>
      <c r="DL3703" s="5" t="s">
        <v>240</v>
      </c>
      <c r="DM3703" s="5" t="s">
        <v>240</v>
      </c>
      <c r="DN3703" s="5" t="s">
        <v>240</v>
      </c>
      <c r="DO3703" s="7" t="s">
        <v>240</v>
      </c>
      <c r="DP3703" s="5" t="s">
        <v>240</v>
      </c>
      <c r="DQ3703" s="5" t="s">
        <v>240</v>
      </c>
      <c r="DR3703" s="5" t="s">
        <v>731</v>
      </c>
      <c r="DS3703" s="5" t="s">
        <v>731</v>
      </c>
      <c r="DT3703" s="5" t="s">
        <v>240</v>
      </c>
      <c r="DU3703" s="5" t="s">
        <v>240</v>
      </c>
      <c r="DV3703" s="5" t="s">
        <v>738</v>
      </c>
      <c r="DW3703" s="5" t="s">
        <v>1198</v>
      </c>
      <c r="DX3703" s="5" t="s">
        <v>240</v>
      </c>
      <c r="DY3703" s="5" t="s">
        <v>240</v>
      </c>
      <c r="DZ3703" s="5" t="s">
        <v>240</v>
      </c>
      <c r="EA3703" s="5" t="s">
        <v>240</v>
      </c>
      <c r="EB3703" s="5" t="s">
        <v>240</v>
      </c>
      <c r="EC3703" s="5" t="s">
        <v>240</v>
      </c>
      <c r="ED3703" s="5" t="s">
        <v>240</v>
      </c>
      <c r="EE3703" s="5" t="s">
        <v>240</v>
      </c>
      <c r="EF3703" s="5" t="s">
        <v>240</v>
      </c>
      <c r="EG3703" s="5" t="s">
        <v>240</v>
      </c>
      <c r="EH3703" s="5" t="s">
        <v>240</v>
      </c>
      <c r="EI3703" s="5" t="s">
        <v>240</v>
      </c>
      <c r="EJ3703" s="5" t="s">
        <v>240</v>
      </c>
      <c r="EK3703" s="5" t="s">
        <v>240</v>
      </c>
      <c r="EL3703" s="5" t="s">
        <v>240</v>
      </c>
      <c r="EM3703" s="5" t="s">
        <v>240</v>
      </c>
      <c r="EN3703" s="5" t="s">
        <v>240</v>
      </c>
      <c r="EO3703" s="5" t="s">
        <v>240</v>
      </c>
      <c r="EP3703" s="5" t="s">
        <v>240</v>
      </c>
      <c r="EQ3703" s="5" t="s">
        <v>240</v>
      </c>
      <c r="ER3703" s="5" t="s">
        <v>240</v>
      </c>
      <c r="ES3703" s="5" t="s">
        <v>240</v>
      </c>
      <c r="ET3703" s="5" t="s">
        <v>240</v>
      </c>
      <c r="EU3703" s="5" t="s">
        <v>240</v>
      </c>
      <c r="EV3703" s="5" t="s">
        <v>240</v>
      </c>
      <c r="EW3703" s="5" t="s">
        <v>240</v>
      </c>
      <c r="EX3703" s="5" t="s">
        <v>240</v>
      </c>
      <c r="EY3703" s="5" t="s">
        <v>240</v>
      </c>
      <c r="EZ3703" s="5" t="s">
        <v>240</v>
      </c>
      <c r="FA3703" s="5" t="s">
        <v>240</v>
      </c>
      <c r="FB3703" s="5" t="s">
        <v>240</v>
      </c>
      <c r="FC3703" s="5" t="s">
        <v>240</v>
      </c>
      <c r="FD3703" s="5" t="s">
        <v>240</v>
      </c>
      <c r="FE3703" s="5" t="s">
        <v>240</v>
      </c>
      <c r="FF3703" s="5" t="s">
        <v>240</v>
      </c>
      <c r="FG3703" s="5" t="s">
        <v>240</v>
      </c>
      <c r="FH3703" s="5" t="s">
        <v>240</v>
      </c>
      <c r="FI3703" s="5" t="s">
        <v>240</v>
      </c>
      <c r="FJ3703" s="5" t="s">
        <v>240</v>
      </c>
      <c r="FK3703" s="5" t="s">
        <v>240</v>
      </c>
      <c r="FL3703" s="5" t="s">
        <v>240</v>
      </c>
      <c r="FM3703" s="5" t="s">
        <v>240</v>
      </c>
      <c r="FN3703" s="5" t="s">
        <v>240</v>
      </c>
      <c r="FO3703" s="5" t="s">
        <v>240</v>
      </c>
      <c r="FP3703" s="5" t="s">
        <v>240</v>
      </c>
      <c r="FQ3703" s="5" t="s">
        <v>240</v>
      </c>
      <c r="FR3703" s="5" t="s">
        <v>240</v>
      </c>
      <c r="FS3703" s="5" t="s">
        <v>240</v>
      </c>
      <c r="FT3703" s="5" t="s">
        <v>240</v>
      </c>
      <c r="FU3703" s="5" t="s">
        <v>240</v>
      </c>
      <c r="FV3703" s="5" t="s">
        <v>240</v>
      </c>
      <c r="FW3703" s="5" t="s">
        <v>240</v>
      </c>
      <c r="FX3703" s="5" t="s">
        <v>240</v>
      </c>
      <c r="FY3703" s="5" t="s">
        <v>240</v>
      </c>
      <c r="FZ3703" s="5" t="s">
        <v>240</v>
      </c>
      <c r="GA3703" s="5" t="s">
        <v>240</v>
      </c>
      <c r="GB3703" s="5" t="s">
        <v>240</v>
      </c>
      <c r="GC3703" s="5" t="s">
        <v>240</v>
      </c>
      <c r="GD3703" s="5" t="s">
        <v>240</v>
      </c>
      <c r="GE3703" s="5" t="s">
        <v>240</v>
      </c>
      <c r="GF3703" s="5" t="s">
        <v>240</v>
      </c>
      <c r="GG3703" s="5" t="s">
        <v>240</v>
      </c>
      <c r="GH3703" s="5" t="s">
        <v>240</v>
      </c>
      <c r="GI3703" s="5" t="s">
        <v>240</v>
      </c>
      <c r="GJ3703" s="5" t="s">
        <v>240</v>
      </c>
      <c r="GK3703" s="5" t="s">
        <v>240</v>
      </c>
      <c r="GL3703" s="5" t="s">
        <v>240</v>
      </c>
      <c r="GM3703" s="5" t="s">
        <v>240</v>
      </c>
      <c r="GN3703" s="5" t="s">
        <v>240</v>
      </c>
      <c r="GO3703" s="5" t="s">
        <v>240</v>
      </c>
      <c r="GP3703" s="5" t="s">
        <v>240</v>
      </c>
      <c r="GQ3703" s="5" t="s">
        <v>240</v>
      </c>
      <c r="GR3703" s="5" t="s">
        <v>240</v>
      </c>
      <c r="GS3703" s="5" t="s">
        <v>240</v>
      </c>
      <c r="GT3703" s="5" t="s">
        <v>240</v>
      </c>
      <c r="GU3703" s="5" t="s">
        <v>240</v>
      </c>
      <c r="GV3703" s="5" t="s">
        <v>240</v>
      </c>
      <c r="GW3703" s="5" t="s">
        <v>240</v>
      </c>
      <c r="GX3703" s="5" t="s">
        <v>240</v>
      </c>
      <c r="GY3703" s="5" t="s">
        <v>240</v>
      </c>
      <c r="GZ3703" s="5" t="s">
        <v>240</v>
      </c>
      <c r="HA3703" s="5" t="s">
        <v>240</v>
      </c>
      <c r="HB3703" s="5" t="s">
        <v>240</v>
      </c>
      <c r="HC3703" s="5" t="s">
        <v>240</v>
      </c>
      <c r="HD3703" s="5" t="s">
        <v>240</v>
      </c>
      <c r="HE3703" s="5" t="s">
        <v>240</v>
      </c>
      <c r="HF3703" s="5" t="s">
        <v>240</v>
      </c>
      <c r="HG3703" s="5" t="s">
        <v>240</v>
      </c>
      <c r="HH3703" s="5" t="s">
        <v>240</v>
      </c>
      <c r="HI3703" s="5" t="s">
        <v>240</v>
      </c>
      <c r="HJ3703" s="5" t="s">
        <v>240</v>
      </c>
      <c r="HK3703" s="5" t="s">
        <v>240</v>
      </c>
      <c r="HL3703" s="5" t="s">
        <v>240</v>
      </c>
      <c r="HM3703" s="5" t="s">
        <v>240</v>
      </c>
      <c r="HN3703" s="5" t="s">
        <v>240</v>
      </c>
      <c r="HO3703" s="5" t="s">
        <v>312</v>
      </c>
      <c r="HP3703" s="5" t="s">
        <v>240</v>
      </c>
      <c r="HQ3703" s="5" t="s">
        <v>240</v>
      </c>
      <c r="HR3703" s="5" t="s">
        <v>240</v>
      </c>
      <c r="HS3703" s="5" t="s">
        <v>240</v>
      </c>
      <c r="HT3703" s="5" t="s">
        <v>240</v>
      </c>
      <c r="HU3703" s="5" t="s">
        <v>240</v>
      </c>
      <c r="HV3703" s="5" t="s">
        <v>240</v>
      </c>
      <c r="HW3703" s="5" t="s">
        <v>240</v>
      </c>
      <c r="HX3703" s="5" t="s">
        <v>240</v>
      </c>
      <c r="HY3703" s="5" t="s">
        <v>240</v>
      </c>
      <c r="HZ3703" s="5" t="s">
        <v>240</v>
      </c>
      <c r="IA3703" s="5" t="s">
        <v>240</v>
      </c>
      <c r="IB3703" s="5" t="s">
        <v>240</v>
      </c>
      <c r="IC3703" s="5" t="s">
        <v>240</v>
      </c>
      <c r="ID3703" s="5" t="s">
        <v>240</v>
      </c>
      <c r="IE3703" s="5" t="s">
        <v>240</v>
      </c>
      <c r="IF3703" s="5" t="s">
        <v>240</v>
      </c>
    </row>
    <row r="3704" spans="1:240" x14ac:dyDescent="0.4">
      <c r="A3704" s="5">
        <v>9246</v>
      </c>
      <c r="B3704" s="5">
        <v>1</v>
      </c>
      <c r="C3704" s="5">
        <v>1</v>
      </c>
      <c r="D3704" s="5" t="s">
        <v>723</v>
      </c>
      <c r="E3704" s="5" t="s">
        <v>725</v>
      </c>
      <c r="F3704" s="5" t="s">
        <v>254</v>
      </c>
      <c r="G3704" s="5" t="s">
        <v>5578</v>
      </c>
      <c r="H3704" s="6" t="s">
        <v>5579</v>
      </c>
      <c r="I3704" s="5" t="s">
        <v>5577</v>
      </c>
      <c r="J3704" s="7">
        <f>1</f>
        <v>1</v>
      </c>
      <c r="K3704" s="5" t="s">
        <v>3682</v>
      </c>
      <c r="L3704" s="7">
        <f>1</f>
        <v>1</v>
      </c>
      <c r="M3704" s="7">
        <f>1</f>
        <v>1</v>
      </c>
      <c r="N3704" s="5" t="s">
        <v>242</v>
      </c>
      <c r="O3704" s="5">
        <v>1</v>
      </c>
      <c r="P3704" s="5" t="s">
        <v>294</v>
      </c>
      <c r="Q3704" s="5" t="s">
        <v>613</v>
      </c>
      <c r="R3704" s="5" t="s">
        <v>240</v>
      </c>
      <c r="S3704" s="5" t="s">
        <v>240</v>
      </c>
      <c r="T3704" s="5" t="s">
        <v>243</v>
      </c>
      <c r="U3704" s="5" t="s">
        <v>724</v>
      </c>
      <c r="V3704" s="5" t="s">
        <v>240</v>
      </c>
      <c r="W3704" s="5" t="s">
        <v>240</v>
      </c>
      <c r="X3704" s="5" t="s">
        <v>240</v>
      </c>
      <c r="Y3704" s="5" t="s">
        <v>240</v>
      </c>
      <c r="Z3704" s="6" t="s">
        <v>298</v>
      </c>
      <c r="AA3704" s="6" t="s">
        <v>240</v>
      </c>
      <c r="AB3704" s="6" t="s">
        <v>240</v>
      </c>
      <c r="AC3704" s="5" t="s">
        <v>240</v>
      </c>
      <c r="AD3704" s="6" t="s">
        <v>240</v>
      </c>
      <c r="AE3704" s="6" t="s">
        <v>299</v>
      </c>
      <c r="AF3704" s="5" t="s">
        <v>727</v>
      </c>
      <c r="AG3704" s="5" t="s">
        <v>260</v>
      </c>
      <c r="AH3704" s="5" t="s">
        <v>240</v>
      </c>
      <c r="AI3704" s="5" t="s">
        <v>240</v>
      </c>
      <c r="AJ3704" s="5" t="s">
        <v>240</v>
      </c>
      <c r="AK3704" s="5" t="s">
        <v>240</v>
      </c>
      <c r="AL3704" s="5" t="s">
        <v>240</v>
      </c>
      <c r="AM3704" s="5" t="s">
        <v>240</v>
      </c>
      <c r="AN3704" s="5" t="s">
        <v>240</v>
      </c>
      <c r="AO3704" s="5" t="s">
        <v>240</v>
      </c>
      <c r="AP3704" s="6" t="s">
        <v>240</v>
      </c>
      <c r="AQ3704" s="6" t="s">
        <v>240</v>
      </c>
      <c r="AR3704" s="6" t="s">
        <v>240</v>
      </c>
      <c r="AS3704" s="6" t="s">
        <v>240</v>
      </c>
      <c r="AT3704" s="5" t="s">
        <v>240</v>
      </c>
      <c r="AU3704" s="5" t="s">
        <v>729</v>
      </c>
      <c r="AV3704" s="5" t="s">
        <v>729</v>
      </c>
      <c r="AW3704" s="5" t="s">
        <v>251</v>
      </c>
      <c r="AX3704" s="5" t="s">
        <v>252</v>
      </c>
      <c r="AY3704" s="5" t="s">
        <v>253</v>
      </c>
      <c r="AZ3704" s="5" t="s">
        <v>240</v>
      </c>
      <c r="BA3704" s="5" t="s">
        <v>255</v>
      </c>
      <c r="BB3704" s="5" t="s">
        <v>731</v>
      </c>
      <c r="BD3704" s="5" t="s">
        <v>240</v>
      </c>
      <c r="BF3704" s="5" t="s">
        <v>732</v>
      </c>
      <c r="BG3704" s="6" t="s">
        <v>733</v>
      </c>
      <c r="BH3704" s="5" t="s">
        <v>734</v>
      </c>
      <c r="BI3704" s="5" t="s">
        <v>734</v>
      </c>
      <c r="BJ3704" s="5" t="s">
        <v>240</v>
      </c>
      <c r="BK3704" s="8">
        <f>602</f>
        <v>602</v>
      </c>
      <c r="BL3704" s="7">
        <f>0</f>
        <v>0</v>
      </c>
      <c r="BM3704" s="5" t="s">
        <v>258</v>
      </c>
      <c r="BN3704" s="5" t="s">
        <v>259</v>
      </c>
      <c r="BO3704" s="5" t="s">
        <v>240</v>
      </c>
      <c r="BP3704" s="5" t="s">
        <v>240</v>
      </c>
      <c r="BQ3704" s="5" t="s">
        <v>240</v>
      </c>
      <c r="BR3704" s="5" t="s">
        <v>240</v>
      </c>
      <c r="BS3704" s="5" t="s">
        <v>240</v>
      </c>
      <c r="BT3704" s="5" t="s">
        <v>240</v>
      </c>
      <c r="BU3704" s="5" t="s">
        <v>240</v>
      </c>
      <c r="BV3704" s="5" t="s">
        <v>240</v>
      </c>
      <c r="BW3704" s="6" t="s">
        <v>240</v>
      </c>
      <c r="BX3704" s="5" t="s">
        <v>240</v>
      </c>
      <c r="BY3704" s="5" t="s">
        <v>240</v>
      </c>
      <c r="BZ3704" s="5" t="s">
        <v>240</v>
      </c>
      <c r="CA3704" s="5" t="s">
        <v>259</v>
      </c>
      <c r="CB3704" s="5" t="s">
        <v>240</v>
      </c>
      <c r="CC3704" s="5" t="s">
        <v>240</v>
      </c>
      <c r="CD3704" s="5" t="s">
        <v>240</v>
      </c>
      <c r="CE3704" s="5" t="s">
        <v>240</v>
      </c>
      <c r="CF3704" s="5" t="s">
        <v>240</v>
      </c>
      <c r="CG3704" s="5" t="s">
        <v>617</v>
      </c>
      <c r="CH3704" s="5" t="s">
        <v>305</v>
      </c>
      <c r="CI3704" s="5" t="s">
        <v>240</v>
      </c>
      <c r="CL3704" s="6" t="s">
        <v>261</v>
      </c>
      <c r="CM3704" s="5" t="s">
        <v>262</v>
      </c>
      <c r="CN3704" s="5" t="s">
        <v>263</v>
      </c>
      <c r="CO3704" s="5" t="s">
        <v>264</v>
      </c>
      <c r="CP3704" s="5" t="s">
        <v>240</v>
      </c>
      <c r="CQ3704" s="5">
        <v>0</v>
      </c>
      <c r="CR3704" s="5" t="s">
        <v>735</v>
      </c>
      <c r="CS3704" s="5" t="s">
        <v>307</v>
      </c>
      <c r="CT3704" s="5" t="s">
        <v>307</v>
      </c>
      <c r="CU3704" s="5" t="s">
        <v>260</v>
      </c>
      <c r="CV3704" s="5" t="s">
        <v>240</v>
      </c>
      <c r="CW3704" s="8">
        <f>0</f>
        <v>0</v>
      </c>
      <c r="CX3704" s="7">
        <f>0</f>
        <v>0</v>
      </c>
      <c r="CY3704" s="7">
        <f>0</f>
        <v>0</v>
      </c>
      <c r="DA3704" s="7">
        <f>6622</f>
        <v>6622</v>
      </c>
      <c r="DB3704" s="7" t="s">
        <v>240</v>
      </c>
      <c r="DC3704" s="5" t="s">
        <v>240</v>
      </c>
      <c r="DD3704" s="5" t="s">
        <v>240</v>
      </c>
      <c r="DE3704" s="5" t="s">
        <v>240</v>
      </c>
      <c r="DF3704" s="5" t="s">
        <v>450</v>
      </c>
      <c r="DG3704" s="7">
        <f>0</f>
        <v>0</v>
      </c>
      <c r="DI3704" s="5" t="s">
        <v>737</v>
      </c>
      <c r="DJ3704" s="5" t="s">
        <v>240</v>
      </c>
      <c r="DK3704" s="5" t="s">
        <v>240</v>
      </c>
      <c r="DL3704" s="5" t="s">
        <v>240</v>
      </c>
      <c r="DM3704" s="5" t="s">
        <v>240</v>
      </c>
      <c r="DN3704" s="5" t="s">
        <v>240</v>
      </c>
      <c r="DO3704" s="7" t="s">
        <v>240</v>
      </c>
      <c r="DP3704" s="5" t="s">
        <v>240</v>
      </c>
      <c r="DQ3704" s="5" t="s">
        <v>240</v>
      </c>
      <c r="DR3704" s="5" t="s">
        <v>731</v>
      </c>
      <c r="DS3704" s="5" t="s">
        <v>731</v>
      </c>
      <c r="DT3704" s="5" t="s">
        <v>240</v>
      </c>
      <c r="DU3704" s="5" t="s">
        <v>240</v>
      </c>
      <c r="DV3704" s="5" t="s">
        <v>738</v>
      </c>
      <c r="DW3704" s="5" t="s">
        <v>532</v>
      </c>
      <c r="DX3704" s="5" t="s">
        <v>240</v>
      </c>
      <c r="DY3704" s="5" t="s">
        <v>240</v>
      </c>
      <c r="DZ3704" s="5" t="s">
        <v>240</v>
      </c>
      <c r="EA3704" s="5" t="s">
        <v>240</v>
      </c>
      <c r="EB3704" s="5" t="s">
        <v>240</v>
      </c>
      <c r="EC3704" s="5" t="s">
        <v>240</v>
      </c>
      <c r="ED3704" s="5" t="s">
        <v>240</v>
      </c>
      <c r="EE3704" s="5" t="s">
        <v>240</v>
      </c>
      <c r="EF3704" s="5" t="s">
        <v>240</v>
      </c>
      <c r="EG3704" s="5" t="s">
        <v>240</v>
      </c>
      <c r="EH3704" s="5" t="s">
        <v>240</v>
      </c>
      <c r="EI3704" s="5" t="s">
        <v>240</v>
      </c>
      <c r="EJ3704" s="5" t="s">
        <v>240</v>
      </c>
      <c r="EK3704" s="5" t="s">
        <v>240</v>
      </c>
      <c r="EL3704" s="5" t="s">
        <v>240</v>
      </c>
      <c r="EM3704" s="5" t="s">
        <v>240</v>
      </c>
      <c r="EN3704" s="5" t="s">
        <v>240</v>
      </c>
      <c r="EO3704" s="5" t="s">
        <v>240</v>
      </c>
      <c r="EP3704" s="5" t="s">
        <v>240</v>
      </c>
      <c r="EQ3704" s="5" t="s">
        <v>240</v>
      </c>
      <c r="ER3704" s="5" t="s">
        <v>240</v>
      </c>
      <c r="ES3704" s="5" t="s">
        <v>240</v>
      </c>
      <c r="ET3704" s="5" t="s">
        <v>240</v>
      </c>
      <c r="EU3704" s="5" t="s">
        <v>240</v>
      </c>
      <c r="EV3704" s="5" t="s">
        <v>240</v>
      </c>
      <c r="EW3704" s="5" t="s">
        <v>240</v>
      </c>
      <c r="EX3704" s="5" t="s">
        <v>240</v>
      </c>
      <c r="EY3704" s="5" t="s">
        <v>240</v>
      </c>
      <c r="EZ3704" s="5" t="s">
        <v>240</v>
      </c>
      <c r="FA3704" s="5" t="s">
        <v>240</v>
      </c>
      <c r="FB3704" s="5" t="s">
        <v>240</v>
      </c>
      <c r="FC3704" s="5" t="s">
        <v>240</v>
      </c>
      <c r="FD3704" s="5" t="s">
        <v>240</v>
      </c>
      <c r="FE3704" s="5" t="s">
        <v>240</v>
      </c>
      <c r="FF3704" s="5" t="s">
        <v>240</v>
      </c>
      <c r="FG3704" s="5" t="s">
        <v>240</v>
      </c>
      <c r="FH3704" s="5" t="s">
        <v>240</v>
      </c>
      <c r="FI3704" s="5" t="s">
        <v>240</v>
      </c>
      <c r="FJ3704" s="5" t="s">
        <v>240</v>
      </c>
      <c r="FK3704" s="5" t="s">
        <v>240</v>
      </c>
      <c r="FL3704" s="5" t="s">
        <v>240</v>
      </c>
      <c r="FM3704" s="5" t="s">
        <v>240</v>
      </c>
      <c r="FN3704" s="5" t="s">
        <v>240</v>
      </c>
      <c r="FO3704" s="5" t="s">
        <v>240</v>
      </c>
      <c r="FP3704" s="5" t="s">
        <v>240</v>
      </c>
      <c r="FQ3704" s="5" t="s">
        <v>240</v>
      </c>
      <c r="FR3704" s="5" t="s">
        <v>240</v>
      </c>
      <c r="FS3704" s="5" t="s">
        <v>240</v>
      </c>
      <c r="FT3704" s="5" t="s">
        <v>240</v>
      </c>
      <c r="FU3704" s="5" t="s">
        <v>240</v>
      </c>
      <c r="FV3704" s="5" t="s">
        <v>240</v>
      </c>
      <c r="FW3704" s="5" t="s">
        <v>240</v>
      </c>
      <c r="FX3704" s="5" t="s">
        <v>240</v>
      </c>
      <c r="FY3704" s="5" t="s">
        <v>240</v>
      </c>
      <c r="FZ3704" s="5" t="s">
        <v>240</v>
      </c>
      <c r="GA3704" s="5" t="s">
        <v>240</v>
      </c>
      <c r="GB3704" s="5" t="s">
        <v>240</v>
      </c>
      <c r="GC3704" s="5" t="s">
        <v>240</v>
      </c>
      <c r="GD3704" s="5" t="s">
        <v>240</v>
      </c>
      <c r="GE3704" s="5" t="s">
        <v>240</v>
      </c>
      <c r="GF3704" s="5" t="s">
        <v>240</v>
      </c>
      <c r="GG3704" s="5" t="s">
        <v>240</v>
      </c>
      <c r="GH3704" s="5" t="s">
        <v>240</v>
      </c>
      <c r="GI3704" s="5" t="s">
        <v>240</v>
      </c>
      <c r="GJ3704" s="5" t="s">
        <v>240</v>
      </c>
      <c r="GK3704" s="5" t="s">
        <v>240</v>
      </c>
      <c r="GL3704" s="5" t="s">
        <v>240</v>
      </c>
      <c r="GM3704" s="5" t="s">
        <v>240</v>
      </c>
      <c r="GN3704" s="5" t="s">
        <v>240</v>
      </c>
      <c r="GO3704" s="5" t="s">
        <v>240</v>
      </c>
      <c r="GP3704" s="5" t="s">
        <v>240</v>
      </c>
      <c r="GQ3704" s="5" t="s">
        <v>240</v>
      </c>
      <c r="GR3704" s="5" t="s">
        <v>240</v>
      </c>
      <c r="GS3704" s="5" t="s">
        <v>240</v>
      </c>
      <c r="GT3704" s="5" t="s">
        <v>240</v>
      </c>
      <c r="GU3704" s="5" t="s">
        <v>240</v>
      </c>
      <c r="GV3704" s="5" t="s">
        <v>240</v>
      </c>
      <c r="GW3704" s="5" t="s">
        <v>240</v>
      </c>
      <c r="GX3704" s="5" t="s">
        <v>240</v>
      </c>
      <c r="GY3704" s="5" t="s">
        <v>240</v>
      </c>
      <c r="GZ3704" s="5" t="s">
        <v>240</v>
      </c>
      <c r="HA3704" s="5" t="s">
        <v>240</v>
      </c>
      <c r="HB3704" s="5" t="s">
        <v>240</v>
      </c>
      <c r="HC3704" s="5" t="s">
        <v>240</v>
      </c>
      <c r="HD3704" s="5" t="s">
        <v>240</v>
      </c>
      <c r="HE3704" s="5" t="s">
        <v>240</v>
      </c>
      <c r="HF3704" s="5" t="s">
        <v>240</v>
      </c>
      <c r="HG3704" s="5" t="s">
        <v>240</v>
      </c>
      <c r="HH3704" s="5" t="s">
        <v>240</v>
      </c>
      <c r="HI3704" s="5" t="s">
        <v>240</v>
      </c>
      <c r="HJ3704" s="5" t="s">
        <v>240</v>
      </c>
      <c r="HK3704" s="5" t="s">
        <v>240</v>
      </c>
      <c r="HL3704" s="5" t="s">
        <v>240</v>
      </c>
      <c r="HM3704" s="5" t="s">
        <v>240</v>
      </c>
      <c r="HN3704" s="5" t="s">
        <v>240</v>
      </c>
      <c r="HO3704" s="5" t="s">
        <v>620</v>
      </c>
      <c r="HP3704" s="5" t="s">
        <v>240</v>
      </c>
      <c r="HQ3704" s="5" t="s">
        <v>240</v>
      </c>
      <c r="HR3704" s="5" t="s">
        <v>240</v>
      </c>
      <c r="HS3704" s="5" t="s">
        <v>240</v>
      </c>
      <c r="HT3704" s="5" t="s">
        <v>240</v>
      </c>
      <c r="HU3704" s="5" t="s">
        <v>240</v>
      </c>
      <c r="HV3704" s="5" t="s">
        <v>240</v>
      </c>
      <c r="HW3704" s="5" t="s">
        <v>240</v>
      </c>
      <c r="HX3704" s="5" t="s">
        <v>240</v>
      </c>
      <c r="HY3704" s="5" t="s">
        <v>240</v>
      </c>
      <c r="HZ3704" s="5" t="s">
        <v>240</v>
      </c>
      <c r="IA3704" s="5" t="s">
        <v>240</v>
      </c>
      <c r="IB3704" s="5" t="s">
        <v>240</v>
      </c>
      <c r="IC3704" s="5" t="s">
        <v>240</v>
      </c>
      <c r="ID3704" s="5" t="s">
        <v>240</v>
      </c>
      <c r="IE3704" s="5" t="s">
        <v>240</v>
      </c>
      <c r="IF3704" s="5" t="s">
        <v>240</v>
      </c>
    </row>
    <row r="3705" spans="1:240" x14ac:dyDescent="0.4">
      <c r="A3705" s="5">
        <v>9247</v>
      </c>
      <c r="B3705" s="5">
        <v>1</v>
      </c>
      <c r="C3705" s="5">
        <v>1</v>
      </c>
      <c r="D3705" s="5" t="s">
        <v>723</v>
      </c>
      <c r="E3705" s="5" t="s">
        <v>725</v>
      </c>
      <c r="F3705" s="5" t="s">
        <v>254</v>
      </c>
      <c r="G3705" s="5" t="s">
        <v>726</v>
      </c>
      <c r="H3705" s="6" t="s">
        <v>5576</v>
      </c>
      <c r="I3705" s="5" t="s">
        <v>5575</v>
      </c>
      <c r="J3705" s="7">
        <f>1</f>
        <v>1</v>
      </c>
      <c r="K3705" s="5" t="s">
        <v>3682</v>
      </c>
      <c r="L3705" s="7">
        <f>1</f>
        <v>1</v>
      </c>
      <c r="M3705" s="7">
        <f>1</f>
        <v>1</v>
      </c>
      <c r="N3705" s="5" t="s">
        <v>242</v>
      </c>
      <c r="O3705" s="5">
        <v>1</v>
      </c>
      <c r="P3705" s="5" t="s">
        <v>294</v>
      </c>
      <c r="Q3705" s="5" t="s">
        <v>266</v>
      </c>
      <c r="R3705" s="5" t="s">
        <v>240</v>
      </c>
      <c r="S3705" s="5" t="s">
        <v>240</v>
      </c>
      <c r="T3705" s="5" t="s">
        <v>243</v>
      </c>
      <c r="U3705" s="5" t="s">
        <v>244</v>
      </c>
      <c r="V3705" s="5" t="s">
        <v>240</v>
      </c>
      <c r="Y3705" s="5" t="s">
        <v>240</v>
      </c>
      <c r="Z3705" s="6" t="s">
        <v>3903</v>
      </c>
      <c r="AB3705" s="6" t="s">
        <v>240</v>
      </c>
      <c r="AE3705" s="6" t="s">
        <v>299</v>
      </c>
      <c r="AF3705" s="5" t="s">
        <v>248</v>
      </c>
      <c r="AG3705" s="5" t="s">
        <v>249</v>
      </c>
      <c r="AW3705" s="5" t="s">
        <v>251</v>
      </c>
      <c r="AX3705" s="5" t="s">
        <v>240</v>
      </c>
      <c r="AY3705" s="5" t="s">
        <v>253</v>
      </c>
      <c r="AZ3705" s="5" t="s">
        <v>240</v>
      </c>
      <c r="BA3705" s="5" t="s">
        <v>255</v>
      </c>
      <c r="BB3705" s="5" t="s">
        <v>240</v>
      </c>
      <c r="BD3705" s="5" t="s">
        <v>240</v>
      </c>
      <c r="BF3705" s="5" t="s">
        <v>447</v>
      </c>
      <c r="BG3705" s="6" t="s">
        <v>3903</v>
      </c>
      <c r="BH3705" s="5" t="s">
        <v>302</v>
      </c>
      <c r="BI3705" s="5" t="s">
        <v>448</v>
      </c>
      <c r="BJ3705" s="5" t="s">
        <v>240</v>
      </c>
      <c r="BK3705" s="8">
        <f>0</f>
        <v>0</v>
      </c>
      <c r="BL3705" s="7">
        <f>0</f>
        <v>0</v>
      </c>
      <c r="BM3705" s="5" t="s">
        <v>258</v>
      </c>
      <c r="BN3705" s="5" t="s">
        <v>259</v>
      </c>
      <c r="CB3705" s="5" t="s">
        <v>240</v>
      </c>
      <c r="CC3705" s="5" t="s">
        <v>240</v>
      </c>
      <c r="CG3705" s="5" t="s">
        <v>449</v>
      </c>
      <c r="CH3705" s="5" t="s">
        <v>305</v>
      </c>
      <c r="CI3705" s="5" t="s">
        <v>240</v>
      </c>
      <c r="CL3705" s="6" t="s">
        <v>261</v>
      </c>
      <c r="CM3705" s="5" t="s">
        <v>240</v>
      </c>
      <c r="CN3705" s="5" t="s">
        <v>263</v>
      </c>
      <c r="CO3705" s="5" t="s">
        <v>240</v>
      </c>
      <c r="CP3705" s="5" t="s">
        <v>240</v>
      </c>
      <c r="CQ3705" s="5">
        <v>0</v>
      </c>
      <c r="CR3705" s="5" t="s">
        <v>306</v>
      </c>
      <c r="CS3705" s="5" t="s">
        <v>307</v>
      </c>
      <c r="CT3705" s="5" t="s">
        <v>307</v>
      </c>
      <c r="CU3705" s="5" t="s">
        <v>260</v>
      </c>
      <c r="CX3705" s="7">
        <f>2695824</f>
        <v>2695824</v>
      </c>
      <c r="CY3705" s="7">
        <f>0</f>
        <v>0</v>
      </c>
      <c r="DA3705" s="7">
        <f>0</f>
        <v>0</v>
      </c>
      <c r="DC3705" s="5" t="s">
        <v>450</v>
      </c>
      <c r="DD3705" s="5" t="s">
        <v>240</v>
      </c>
      <c r="DF3705" s="5" t="s">
        <v>450</v>
      </c>
      <c r="DG3705" s="7">
        <f>28.54</f>
        <v>28.54</v>
      </c>
      <c r="DI3705" s="5" t="s">
        <v>240</v>
      </c>
      <c r="DJ3705" s="5" t="s">
        <v>240</v>
      </c>
      <c r="DK3705" s="5" t="s">
        <v>240</v>
      </c>
      <c r="DL3705" s="5" t="s">
        <v>240</v>
      </c>
      <c r="DP3705" s="5" t="s">
        <v>240</v>
      </c>
      <c r="DQ3705" s="5" t="s">
        <v>240</v>
      </c>
      <c r="DR3705" s="5" t="s">
        <v>240</v>
      </c>
      <c r="DS3705" s="5" t="s">
        <v>240</v>
      </c>
      <c r="DV3705" s="5" t="s">
        <v>310</v>
      </c>
      <c r="DW3705" s="5" t="s">
        <v>2552</v>
      </c>
      <c r="HO3705" s="5" t="s">
        <v>312</v>
      </c>
    </row>
    <row r="3706" spans="1:240" x14ac:dyDescent="0.4">
      <c r="A3706" s="5">
        <v>9248</v>
      </c>
      <c r="B3706" s="5">
        <v>1</v>
      </c>
      <c r="C3706" s="5">
        <v>1</v>
      </c>
      <c r="D3706" s="5" t="s">
        <v>723</v>
      </c>
      <c r="E3706" s="5" t="s">
        <v>725</v>
      </c>
      <c r="F3706" s="5" t="s">
        <v>254</v>
      </c>
      <c r="G3706" s="5" t="s">
        <v>726</v>
      </c>
      <c r="H3706" s="6" t="s">
        <v>5574</v>
      </c>
      <c r="I3706" s="5" t="s">
        <v>5573</v>
      </c>
      <c r="J3706" s="7">
        <f>1</f>
        <v>1</v>
      </c>
      <c r="K3706" s="5" t="s">
        <v>3682</v>
      </c>
      <c r="L3706" s="7">
        <f>1</f>
        <v>1</v>
      </c>
      <c r="M3706" s="7">
        <f>1</f>
        <v>1</v>
      </c>
      <c r="N3706" s="5" t="s">
        <v>242</v>
      </c>
      <c r="O3706" s="5">
        <v>1</v>
      </c>
      <c r="P3706" s="5" t="s">
        <v>294</v>
      </c>
      <c r="Q3706" s="5" t="s">
        <v>613</v>
      </c>
      <c r="R3706" s="5" t="s">
        <v>240</v>
      </c>
      <c r="S3706" s="5" t="s">
        <v>240</v>
      </c>
      <c r="T3706" s="5" t="s">
        <v>243</v>
      </c>
      <c r="U3706" s="5" t="s">
        <v>724</v>
      </c>
      <c r="V3706" s="5" t="s">
        <v>240</v>
      </c>
      <c r="W3706" s="5" t="s">
        <v>240</v>
      </c>
      <c r="X3706" s="5" t="s">
        <v>240</v>
      </c>
      <c r="Y3706" s="5" t="s">
        <v>240</v>
      </c>
      <c r="Z3706" s="6" t="s">
        <v>298</v>
      </c>
      <c r="AA3706" s="6" t="s">
        <v>240</v>
      </c>
      <c r="AB3706" s="6" t="s">
        <v>240</v>
      </c>
      <c r="AC3706" s="5" t="s">
        <v>240</v>
      </c>
      <c r="AD3706" s="6" t="s">
        <v>240</v>
      </c>
      <c r="AE3706" s="6" t="s">
        <v>299</v>
      </c>
      <c r="AF3706" s="5" t="s">
        <v>727</v>
      </c>
      <c r="AG3706" s="5" t="s">
        <v>260</v>
      </c>
      <c r="AH3706" s="5" t="s">
        <v>240</v>
      </c>
      <c r="AI3706" s="5" t="s">
        <v>240</v>
      </c>
      <c r="AJ3706" s="5" t="s">
        <v>240</v>
      </c>
      <c r="AK3706" s="5" t="s">
        <v>240</v>
      </c>
      <c r="AL3706" s="5" t="s">
        <v>240</v>
      </c>
      <c r="AM3706" s="5" t="s">
        <v>240</v>
      </c>
      <c r="AN3706" s="5" t="s">
        <v>240</v>
      </c>
      <c r="AO3706" s="5" t="s">
        <v>240</v>
      </c>
      <c r="AP3706" s="6" t="s">
        <v>240</v>
      </c>
      <c r="AQ3706" s="6" t="s">
        <v>240</v>
      </c>
      <c r="AR3706" s="6" t="s">
        <v>240</v>
      </c>
      <c r="AS3706" s="6" t="s">
        <v>240</v>
      </c>
      <c r="AT3706" s="5" t="s">
        <v>240</v>
      </c>
      <c r="AU3706" s="5" t="s">
        <v>729</v>
      </c>
      <c r="AV3706" s="5" t="s">
        <v>729</v>
      </c>
      <c r="AW3706" s="5" t="s">
        <v>251</v>
      </c>
      <c r="AX3706" s="5" t="s">
        <v>252</v>
      </c>
      <c r="AY3706" s="5" t="s">
        <v>253</v>
      </c>
      <c r="AZ3706" s="5" t="s">
        <v>240</v>
      </c>
      <c r="BA3706" s="5" t="s">
        <v>255</v>
      </c>
      <c r="BB3706" s="5" t="s">
        <v>731</v>
      </c>
      <c r="BD3706" s="5" t="s">
        <v>240</v>
      </c>
      <c r="BF3706" s="5" t="s">
        <v>732</v>
      </c>
      <c r="BG3706" s="6" t="s">
        <v>733</v>
      </c>
      <c r="BH3706" s="5" t="s">
        <v>734</v>
      </c>
      <c r="BI3706" s="5" t="s">
        <v>734</v>
      </c>
      <c r="BJ3706" s="5" t="s">
        <v>240</v>
      </c>
      <c r="BK3706" s="8">
        <f>181.81</f>
        <v>181.81</v>
      </c>
      <c r="BL3706" s="7">
        <f>0</f>
        <v>0</v>
      </c>
      <c r="BM3706" s="5" t="s">
        <v>258</v>
      </c>
      <c r="BN3706" s="5" t="s">
        <v>259</v>
      </c>
      <c r="BO3706" s="5" t="s">
        <v>240</v>
      </c>
      <c r="BP3706" s="5" t="s">
        <v>240</v>
      </c>
      <c r="BQ3706" s="5" t="s">
        <v>240</v>
      </c>
      <c r="BR3706" s="5" t="s">
        <v>240</v>
      </c>
      <c r="BS3706" s="5" t="s">
        <v>240</v>
      </c>
      <c r="BT3706" s="5" t="s">
        <v>240</v>
      </c>
      <c r="BU3706" s="5" t="s">
        <v>240</v>
      </c>
      <c r="BV3706" s="5" t="s">
        <v>240</v>
      </c>
      <c r="BW3706" s="6" t="s">
        <v>240</v>
      </c>
      <c r="BX3706" s="5" t="s">
        <v>240</v>
      </c>
      <c r="BY3706" s="5" t="s">
        <v>240</v>
      </c>
      <c r="BZ3706" s="5" t="s">
        <v>240</v>
      </c>
      <c r="CA3706" s="5" t="s">
        <v>259</v>
      </c>
      <c r="CB3706" s="5" t="s">
        <v>240</v>
      </c>
      <c r="CC3706" s="5" t="s">
        <v>240</v>
      </c>
      <c r="CD3706" s="5" t="s">
        <v>240</v>
      </c>
      <c r="CE3706" s="5" t="s">
        <v>240</v>
      </c>
      <c r="CF3706" s="5" t="s">
        <v>240</v>
      </c>
      <c r="CG3706" s="5" t="s">
        <v>617</v>
      </c>
      <c r="CH3706" s="5" t="s">
        <v>305</v>
      </c>
      <c r="CI3706" s="5" t="s">
        <v>240</v>
      </c>
      <c r="CL3706" s="6" t="s">
        <v>261</v>
      </c>
      <c r="CM3706" s="5" t="s">
        <v>262</v>
      </c>
      <c r="CN3706" s="5" t="s">
        <v>263</v>
      </c>
      <c r="CO3706" s="5" t="s">
        <v>264</v>
      </c>
      <c r="CP3706" s="5" t="s">
        <v>240</v>
      </c>
      <c r="CQ3706" s="5">
        <v>0</v>
      </c>
      <c r="CR3706" s="5" t="s">
        <v>735</v>
      </c>
      <c r="CS3706" s="5" t="s">
        <v>307</v>
      </c>
      <c r="CT3706" s="5" t="s">
        <v>307</v>
      </c>
      <c r="CU3706" s="5" t="s">
        <v>260</v>
      </c>
      <c r="CV3706" s="5" t="s">
        <v>240</v>
      </c>
      <c r="CW3706" s="8">
        <f>0</f>
        <v>0</v>
      </c>
      <c r="CX3706" s="7">
        <f>0</f>
        <v>0</v>
      </c>
      <c r="CY3706" s="7">
        <f>0</f>
        <v>0</v>
      </c>
      <c r="DA3706" s="7">
        <f>1999</f>
        <v>1999</v>
      </c>
      <c r="DB3706" s="7" t="s">
        <v>240</v>
      </c>
      <c r="DC3706" s="5" t="s">
        <v>240</v>
      </c>
      <c r="DD3706" s="5" t="s">
        <v>240</v>
      </c>
      <c r="DE3706" s="5" t="s">
        <v>240</v>
      </c>
      <c r="DF3706" s="5" t="s">
        <v>450</v>
      </c>
      <c r="DG3706" s="7">
        <f>0</f>
        <v>0</v>
      </c>
      <c r="DI3706" s="5" t="s">
        <v>737</v>
      </c>
      <c r="DJ3706" s="5" t="s">
        <v>240</v>
      </c>
      <c r="DK3706" s="5" t="s">
        <v>240</v>
      </c>
      <c r="DL3706" s="5" t="s">
        <v>240</v>
      </c>
      <c r="DM3706" s="5" t="s">
        <v>240</v>
      </c>
      <c r="DN3706" s="5" t="s">
        <v>240</v>
      </c>
      <c r="DO3706" s="7" t="s">
        <v>240</v>
      </c>
      <c r="DP3706" s="5" t="s">
        <v>240</v>
      </c>
      <c r="DQ3706" s="5" t="s">
        <v>240</v>
      </c>
      <c r="DR3706" s="5" t="s">
        <v>731</v>
      </c>
      <c r="DS3706" s="5" t="s">
        <v>731</v>
      </c>
      <c r="DT3706" s="5" t="s">
        <v>240</v>
      </c>
      <c r="DU3706" s="5" t="s">
        <v>240</v>
      </c>
      <c r="DV3706" s="5" t="s">
        <v>738</v>
      </c>
      <c r="DW3706" s="5" t="s">
        <v>641</v>
      </c>
      <c r="DX3706" s="5" t="s">
        <v>240</v>
      </c>
      <c r="DY3706" s="5" t="s">
        <v>240</v>
      </c>
      <c r="DZ3706" s="5" t="s">
        <v>240</v>
      </c>
      <c r="EA3706" s="5" t="s">
        <v>240</v>
      </c>
      <c r="EB3706" s="5" t="s">
        <v>240</v>
      </c>
      <c r="EC3706" s="5" t="s">
        <v>240</v>
      </c>
      <c r="ED3706" s="5" t="s">
        <v>240</v>
      </c>
      <c r="EE3706" s="5" t="s">
        <v>240</v>
      </c>
      <c r="EF3706" s="5" t="s">
        <v>240</v>
      </c>
      <c r="EG3706" s="5" t="s">
        <v>240</v>
      </c>
      <c r="EH3706" s="5" t="s">
        <v>240</v>
      </c>
      <c r="EI3706" s="5" t="s">
        <v>240</v>
      </c>
      <c r="EJ3706" s="5" t="s">
        <v>240</v>
      </c>
      <c r="EK3706" s="5" t="s">
        <v>240</v>
      </c>
      <c r="EL3706" s="5" t="s">
        <v>240</v>
      </c>
      <c r="EM3706" s="5" t="s">
        <v>240</v>
      </c>
      <c r="EN3706" s="5" t="s">
        <v>240</v>
      </c>
      <c r="EO3706" s="5" t="s">
        <v>240</v>
      </c>
      <c r="EP3706" s="5" t="s">
        <v>240</v>
      </c>
      <c r="EQ3706" s="5" t="s">
        <v>240</v>
      </c>
      <c r="ER3706" s="5" t="s">
        <v>240</v>
      </c>
      <c r="ES3706" s="5" t="s">
        <v>240</v>
      </c>
      <c r="ET3706" s="5" t="s">
        <v>240</v>
      </c>
      <c r="EU3706" s="5" t="s">
        <v>240</v>
      </c>
      <c r="EV3706" s="5" t="s">
        <v>240</v>
      </c>
      <c r="EW3706" s="5" t="s">
        <v>240</v>
      </c>
      <c r="EX3706" s="5" t="s">
        <v>240</v>
      </c>
      <c r="EY3706" s="5" t="s">
        <v>240</v>
      </c>
      <c r="EZ3706" s="5" t="s">
        <v>240</v>
      </c>
      <c r="FA3706" s="5" t="s">
        <v>240</v>
      </c>
      <c r="FB3706" s="5" t="s">
        <v>240</v>
      </c>
      <c r="FC3706" s="5" t="s">
        <v>240</v>
      </c>
      <c r="FD3706" s="5" t="s">
        <v>240</v>
      </c>
      <c r="FE3706" s="5" t="s">
        <v>240</v>
      </c>
      <c r="FF3706" s="5" t="s">
        <v>240</v>
      </c>
      <c r="FG3706" s="5" t="s">
        <v>240</v>
      </c>
      <c r="FH3706" s="5" t="s">
        <v>240</v>
      </c>
      <c r="FI3706" s="5" t="s">
        <v>240</v>
      </c>
      <c r="FJ3706" s="5" t="s">
        <v>240</v>
      </c>
      <c r="FK3706" s="5" t="s">
        <v>240</v>
      </c>
      <c r="FL3706" s="5" t="s">
        <v>240</v>
      </c>
      <c r="FM3706" s="5" t="s">
        <v>240</v>
      </c>
      <c r="FN3706" s="5" t="s">
        <v>240</v>
      </c>
      <c r="FO3706" s="5" t="s">
        <v>240</v>
      </c>
      <c r="FP3706" s="5" t="s">
        <v>240</v>
      </c>
      <c r="FQ3706" s="5" t="s">
        <v>240</v>
      </c>
      <c r="FR3706" s="5" t="s">
        <v>240</v>
      </c>
      <c r="FS3706" s="5" t="s">
        <v>240</v>
      </c>
      <c r="FT3706" s="5" t="s">
        <v>240</v>
      </c>
      <c r="FU3706" s="5" t="s">
        <v>240</v>
      </c>
      <c r="FV3706" s="5" t="s">
        <v>240</v>
      </c>
      <c r="FW3706" s="5" t="s">
        <v>240</v>
      </c>
      <c r="FX3706" s="5" t="s">
        <v>240</v>
      </c>
      <c r="FY3706" s="5" t="s">
        <v>240</v>
      </c>
      <c r="FZ3706" s="5" t="s">
        <v>240</v>
      </c>
      <c r="GA3706" s="5" t="s">
        <v>240</v>
      </c>
      <c r="GB3706" s="5" t="s">
        <v>240</v>
      </c>
      <c r="GC3706" s="5" t="s">
        <v>240</v>
      </c>
      <c r="GD3706" s="5" t="s">
        <v>240</v>
      </c>
      <c r="GE3706" s="5" t="s">
        <v>240</v>
      </c>
      <c r="GF3706" s="5" t="s">
        <v>240</v>
      </c>
      <c r="GG3706" s="5" t="s">
        <v>240</v>
      </c>
      <c r="GH3706" s="5" t="s">
        <v>240</v>
      </c>
      <c r="GI3706" s="5" t="s">
        <v>240</v>
      </c>
      <c r="GJ3706" s="5" t="s">
        <v>240</v>
      </c>
      <c r="GK3706" s="5" t="s">
        <v>240</v>
      </c>
      <c r="GL3706" s="5" t="s">
        <v>240</v>
      </c>
      <c r="GM3706" s="5" t="s">
        <v>240</v>
      </c>
      <c r="GN3706" s="5" t="s">
        <v>240</v>
      </c>
      <c r="GO3706" s="5" t="s">
        <v>240</v>
      </c>
      <c r="GP3706" s="5" t="s">
        <v>240</v>
      </c>
      <c r="GQ3706" s="5" t="s">
        <v>240</v>
      </c>
      <c r="GR3706" s="5" t="s">
        <v>240</v>
      </c>
      <c r="GS3706" s="5" t="s">
        <v>240</v>
      </c>
      <c r="GT3706" s="5" t="s">
        <v>240</v>
      </c>
      <c r="GU3706" s="5" t="s">
        <v>240</v>
      </c>
      <c r="GV3706" s="5" t="s">
        <v>240</v>
      </c>
      <c r="GW3706" s="5" t="s">
        <v>240</v>
      </c>
      <c r="GX3706" s="5" t="s">
        <v>240</v>
      </c>
      <c r="GY3706" s="5" t="s">
        <v>240</v>
      </c>
      <c r="GZ3706" s="5" t="s">
        <v>240</v>
      </c>
      <c r="HA3706" s="5" t="s">
        <v>240</v>
      </c>
      <c r="HB3706" s="5" t="s">
        <v>240</v>
      </c>
      <c r="HC3706" s="5" t="s">
        <v>240</v>
      </c>
      <c r="HD3706" s="5" t="s">
        <v>240</v>
      </c>
      <c r="HE3706" s="5" t="s">
        <v>240</v>
      </c>
      <c r="HF3706" s="5" t="s">
        <v>240</v>
      </c>
      <c r="HG3706" s="5" t="s">
        <v>240</v>
      </c>
      <c r="HH3706" s="5" t="s">
        <v>240</v>
      </c>
      <c r="HI3706" s="5" t="s">
        <v>240</v>
      </c>
      <c r="HJ3706" s="5" t="s">
        <v>240</v>
      </c>
      <c r="HK3706" s="5" t="s">
        <v>240</v>
      </c>
      <c r="HL3706" s="5" t="s">
        <v>240</v>
      </c>
      <c r="HM3706" s="5" t="s">
        <v>240</v>
      </c>
      <c r="HN3706" s="5" t="s">
        <v>240</v>
      </c>
      <c r="HO3706" s="5" t="s">
        <v>620</v>
      </c>
      <c r="HP3706" s="5" t="s">
        <v>240</v>
      </c>
      <c r="HQ3706" s="5" t="s">
        <v>240</v>
      </c>
      <c r="HR3706" s="5" t="s">
        <v>240</v>
      </c>
      <c r="HS3706" s="5" t="s">
        <v>240</v>
      </c>
      <c r="HT3706" s="5" t="s">
        <v>240</v>
      </c>
      <c r="HU3706" s="5" t="s">
        <v>240</v>
      </c>
      <c r="HV3706" s="5" t="s">
        <v>240</v>
      </c>
      <c r="HW3706" s="5" t="s">
        <v>240</v>
      </c>
      <c r="HX3706" s="5" t="s">
        <v>240</v>
      </c>
      <c r="HY3706" s="5" t="s">
        <v>240</v>
      </c>
      <c r="HZ3706" s="5" t="s">
        <v>240</v>
      </c>
      <c r="IA3706" s="5" t="s">
        <v>240</v>
      </c>
      <c r="IB3706" s="5" t="s">
        <v>240</v>
      </c>
      <c r="IC3706" s="5" t="s">
        <v>240</v>
      </c>
      <c r="ID3706" s="5" t="s">
        <v>240</v>
      </c>
      <c r="IE3706" s="5" t="s">
        <v>240</v>
      </c>
      <c r="IF3706" s="5" t="s">
        <v>240</v>
      </c>
    </row>
    <row r="3707" spans="1:240" x14ac:dyDescent="0.4">
      <c r="A3707" s="5">
        <v>9249</v>
      </c>
      <c r="B3707" s="5">
        <v>1</v>
      </c>
      <c r="C3707" s="5">
        <v>1</v>
      </c>
      <c r="D3707" s="5" t="s">
        <v>723</v>
      </c>
      <c r="E3707" s="5" t="s">
        <v>725</v>
      </c>
      <c r="F3707" s="5" t="s">
        <v>254</v>
      </c>
      <c r="G3707" s="5" t="s">
        <v>726</v>
      </c>
      <c r="H3707" s="6" t="s">
        <v>5572</v>
      </c>
      <c r="I3707" s="5" t="s">
        <v>5571</v>
      </c>
      <c r="J3707" s="7">
        <f>1</f>
        <v>1</v>
      </c>
      <c r="K3707" s="5" t="s">
        <v>3682</v>
      </c>
      <c r="L3707" s="7">
        <f>1</f>
        <v>1</v>
      </c>
      <c r="M3707" s="7">
        <f>1</f>
        <v>1</v>
      </c>
      <c r="N3707" s="5" t="s">
        <v>242</v>
      </c>
      <c r="O3707" s="5">
        <v>1</v>
      </c>
      <c r="P3707" s="5" t="s">
        <v>294</v>
      </c>
      <c r="Q3707" s="5" t="s">
        <v>613</v>
      </c>
      <c r="R3707" s="5" t="s">
        <v>240</v>
      </c>
      <c r="S3707" s="5" t="s">
        <v>240</v>
      </c>
      <c r="T3707" s="5" t="s">
        <v>243</v>
      </c>
      <c r="U3707" s="5" t="s">
        <v>724</v>
      </c>
      <c r="V3707" s="5" t="s">
        <v>240</v>
      </c>
      <c r="W3707" s="5" t="s">
        <v>240</v>
      </c>
      <c r="X3707" s="5" t="s">
        <v>240</v>
      </c>
      <c r="Y3707" s="5" t="s">
        <v>240</v>
      </c>
      <c r="Z3707" s="6" t="s">
        <v>298</v>
      </c>
      <c r="AA3707" s="6" t="s">
        <v>240</v>
      </c>
      <c r="AB3707" s="6" t="s">
        <v>240</v>
      </c>
      <c r="AC3707" s="5" t="s">
        <v>240</v>
      </c>
      <c r="AD3707" s="6" t="s">
        <v>240</v>
      </c>
      <c r="AE3707" s="6" t="s">
        <v>299</v>
      </c>
      <c r="AF3707" s="5" t="s">
        <v>727</v>
      </c>
      <c r="AG3707" s="5" t="s">
        <v>260</v>
      </c>
      <c r="AH3707" s="5" t="s">
        <v>240</v>
      </c>
      <c r="AI3707" s="5" t="s">
        <v>240</v>
      </c>
      <c r="AJ3707" s="5" t="s">
        <v>240</v>
      </c>
      <c r="AK3707" s="5" t="s">
        <v>240</v>
      </c>
      <c r="AL3707" s="5" t="s">
        <v>240</v>
      </c>
      <c r="AM3707" s="5" t="s">
        <v>240</v>
      </c>
      <c r="AN3707" s="5" t="s">
        <v>240</v>
      </c>
      <c r="AO3707" s="5" t="s">
        <v>240</v>
      </c>
      <c r="AP3707" s="6" t="s">
        <v>240</v>
      </c>
      <c r="AQ3707" s="6" t="s">
        <v>240</v>
      </c>
      <c r="AR3707" s="6" t="s">
        <v>240</v>
      </c>
      <c r="AS3707" s="6" t="s">
        <v>240</v>
      </c>
      <c r="AT3707" s="5" t="s">
        <v>240</v>
      </c>
      <c r="AU3707" s="5" t="s">
        <v>729</v>
      </c>
      <c r="AV3707" s="5" t="s">
        <v>729</v>
      </c>
      <c r="AW3707" s="5" t="s">
        <v>251</v>
      </c>
      <c r="AX3707" s="5" t="s">
        <v>252</v>
      </c>
      <c r="AY3707" s="5" t="s">
        <v>253</v>
      </c>
      <c r="AZ3707" s="5" t="s">
        <v>240</v>
      </c>
      <c r="BA3707" s="5" t="s">
        <v>255</v>
      </c>
      <c r="BB3707" s="5" t="s">
        <v>731</v>
      </c>
      <c r="BD3707" s="5" t="s">
        <v>240</v>
      </c>
      <c r="BF3707" s="5" t="s">
        <v>732</v>
      </c>
      <c r="BG3707" s="6" t="s">
        <v>733</v>
      </c>
      <c r="BH3707" s="5" t="s">
        <v>734</v>
      </c>
      <c r="BI3707" s="5" t="s">
        <v>734</v>
      </c>
      <c r="BJ3707" s="5" t="s">
        <v>240</v>
      </c>
      <c r="BK3707" s="8">
        <f>805</f>
        <v>805</v>
      </c>
      <c r="BL3707" s="7">
        <f>0</f>
        <v>0</v>
      </c>
      <c r="BM3707" s="5" t="s">
        <v>258</v>
      </c>
      <c r="BN3707" s="5" t="s">
        <v>259</v>
      </c>
      <c r="BO3707" s="5" t="s">
        <v>240</v>
      </c>
      <c r="BP3707" s="5" t="s">
        <v>240</v>
      </c>
      <c r="BQ3707" s="5" t="s">
        <v>240</v>
      </c>
      <c r="BR3707" s="5" t="s">
        <v>240</v>
      </c>
      <c r="BS3707" s="5" t="s">
        <v>240</v>
      </c>
      <c r="BT3707" s="5" t="s">
        <v>240</v>
      </c>
      <c r="BU3707" s="5" t="s">
        <v>240</v>
      </c>
      <c r="BV3707" s="5" t="s">
        <v>240</v>
      </c>
      <c r="BW3707" s="6" t="s">
        <v>240</v>
      </c>
      <c r="BX3707" s="5" t="s">
        <v>240</v>
      </c>
      <c r="BY3707" s="5" t="s">
        <v>240</v>
      </c>
      <c r="BZ3707" s="5" t="s">
        <v>240</v>
      </c>
      <c r="CA3707" s="5" t="s">
        <v>259</v>
      </c>
      <c r="CB3707" s="5" t="s">
        <v>240</v>
      </c>
      <c r="CC3707" s="5" t="s">
        <v>240</v>
      </c>
      <c r="CD3707" s="5" t="s">
        <v>240</v>
      </c>
      <c r="CE3707" s="5" t="s">
        <v>240</v>
      </c>
      <c r="CF3707" s="5" t="s">
        <v>240</v>
      </c>
      <c r="CG3707" s="5" t="s">
        <v>617</v>
      </c>
      <c r="CH3707" s="5" t="s">
        <v>305</v>
      </c>
      <c r="CI3707" s="5" t="s">
        <v>240</v>
      </c>
      <c r="CL3707" s="6" t="s">
        <v>261</v>
      </c>
      <c r="CM3707" s="5" t="s">
        <v>262</v>
      </c>
      <c r="CN3707" s="5" t="s">
        <v>263</v>
      </c>
      <c r="CO3707" s="5" t="s">
        <v>264</v>
      </c>
      <c r="CP3707" s="5" t="s">
        <v>240</v>
      </c>
      <c r="CQ3707" s="5">
        <v>0</v>
      </c>
      <c r="CR3707" s="5" t="s">
        <v>735</v>
      </c>
      <c r="CS3707" s="5" t="s">
        <v>307</v>
      </c>
      <c r="CT3707" s="5" t="s">
        <v>307</v>
      </c>
      <c r="CU3707" s="5" t="s">
        <v>260</v>
      </c>
      <c r="CV3707" s="5" t="s">
        <v>240</v>
      </c>
      <c r="CW3707" s="8">
        <f>0</f>
        <v>0</v>
      </c>
      <c r="CX3707" s="7">
        <f>0</f>
        <v>0</v>
      </c>
      <c r="CY3707" s="7">
        <f>0</f>
        <v>0</v>
      </c>
      <c r="DA3707" s="7">
        <f>8855</f>
        <v>8855</v>
      </c>
      <c r="DB3707" s="7" t="s">
        <v>240</v>
      </c>
      <c r="DC3707" s="5" t="s">
        <v>240</v>
      </c>
      <c r="DD3707" s="5" t="s">
        <v>240</v>
      </c>
      <c r="DE3707" s="5" t="s">
        <v>240</v>
      </c>
      <c r="DF3707" s="5" t="s">
        <v>450</v>
      </c>
      <c r="DG3707" s="7">
        <f>0</f>
        <v>0</v>
      </c>
      <c r="DI3707" s="5" t="s">
        <v>737</v>
      </c>
      <c r="DJ3707" s="5" t="s">
        <v>240</v>
      </c>
      <c r="DK3707" s="5" t="s">
        <v>240</v>
      </c>
      <c r="DL3707" s="5" t="s">
        <v>240</v>
      </c>
      <c r="DM3707" s="5" t="s">
        <v>240</v>
      </c>
      <c r="DN3707" s="5" t="s">
        <v>240</v>
      </c>
      <c r="DO3707" s="7" t="s">
        <v>240</v>
      </c>
      <c r="DP3707" s="5" t="s">
        <v>240</v>
      </c>
      <c r="DQ3707" s="5" t="s">
        <v>240</v>
      </c>
      <c r="DR3707" s="5" t="s">
        <v>731</v>
      </c>
      <c r="DS3707" s="5" t="s">
        <v>731</v>
      </c>
      <c r="DT3707" s="5" t="s">
        <v>240</v>
      </c>
      <c r="DU3707" s="5" t="s">
        <v>240</v>
      </c>
      <c r="DV3707" s="5" t="s">
        <v>738</v>
      </c>
      <c r="DW3707" s="5" t="s">
        <v>691</v>
      </c>
      <c r="DX3707" s="5" t="s">
        <v>240</v>
      </c>
      <c r="DY3707" s="5" t="s">
        <v>240</v>
      </c>
      <c r="DZ3707" s="5" t="s">
        <v>240</v>
      </c>
      <c r="EA3707" s="5" t="s">
        <v>240</v>
      </c>
      <c r="EB3707" s="5" t="s">
        <v>240</v>
      </c>
      <c r="EC3707" s="5" t="s">
        <v>240</v>
      </c>
      <c r="ED3707" s="5" t="s">
        <v>240</v>
      </c>
      <c r="EE3707" s="5" t="s">
        <v>240</v>
      </c>
      <c r="EF3707" s="5" t="s">
        <v>240</v>
      </c>
      <c r="EG3707" s="5" t="s">
        <v>240</v>
      </c>
      <c r="EH3707" s="5" t="s">
        <v>240</v>
      </c>
      <c r="EI3707" s="5" t="s">
        <v>240</v>
      </c>
      <c r="EJ3707" s="5" t="s">
        <v>240</v>
      </c>
      <c r="EK3707" s="5" t="s">
        <v>240</v>
      </c>
      <c r="EL3707" s="5" t="s">
        <v>240</v>
      </c>
      <c r="EM3707" s="5" t="s">
        <v>240</v>
      </c>
      <c r="EN3707" s="5" t="s">
        <v>240</v>
      </c>
      <c r="EO3707" s="5" t="s">
        <v>240</v>
      </c>
      <c r="EP3707" s="5" t="s">
        <v>240</v>
      </c>
      <c r="EQ3707" s="5" t="s">
        <v>240</v>
      </c>
      <c r="ER3707" s="5" t="s">
        <v>240</v>
      </c>
      <c r="ES3707" s="5" t="s">
        <v>240</v>
      </c>
      <c r="ET3707" s="5" t="s">
        <v>240</v>
      </c>
      <c r="EU3707" s="5" t="s">
        <v>240</v>
      </c>
      <c r="EV3707" s="5" t="s">
        <v>240</v>
      </c>
      <c r="EW3707" s="5" t="s">
        <v>240</v>
      </c>
      <c r="EX3707" s="5" t="s">
        <v>240</v>
      </c>
      <c r="EY3707" s="5" t="s">
        <v>240</v>
      </c>
      <c r="EZ3707" s="5" t="s">
        <v>240</v>
      </c>
      <c r="FA3707" s="5" t="s">
        <v>240</v>
      </c>
      <c r="FB3707" s="5" t="s">
        <v>240</v>
      </c>
      <c r="FC3707" s="5" t="s">
        <v>240</v>
      </c>
      <c r="FD3707" s="5" t="s">
        <v>240</v>
      </c>
      <c r="FE3707" s="5" t="s">
        <v>240</v>
      </c>
      <c r="FF3707" s="5" t="s">
        <v>240</v>
      </c>
      <c r="FG3707" s="5" t="s">
        <v>240</v>
      </c>
      <c r="FH3707" s="5" t="s">
        <v>240</v>
      </c>
      <c r="FI3707" s="5" t="s">
        <v>240</v>
      </c>
      <c r="FJ3707" s="5" t="s">
        <v>240</v>
      </c>
      <c r="FK3707" s="5" t="s">
        <v>240</v>
      </c>
      <c r="FL3707" s="5" t="s">
        <v>240</v>
      </c>
      <c r="FM3707" s="5" t="s">
        <v>240</v>
      </c>
      <c r="FN3707" s="5" t="s">
        <v>240</v>
      </c>
      <c r="FO3707" s="5" t="s">
        <v>240</v>
      </c>
      <c r="FP3707" s="5" t="s">
        <v>240</v>
      </c>
      <c r="FQ3707" s="5" t="s">
        <v>240</v>
      </c>
      <c r="FR3707" s="5" t="s">
        <v>240</v>
      </c>
      <c r="FS3707" s="5" t="s">
        <v>240</v>
      </c>
      <c r="FT3707" s="5" t="s">
        <v>240</v>
      </c>
      <c r="FU3707" s="5" t="s">
        <v>240</v>
      </c>
      <c r="FV3707" s="5" t="s">
        <v>240</v>
      </c>
      <c r="FW3707" s="5" t="s">
        <v>240</v>
      </c>
      <c r="FX3707" s="5" t="s">
        <v>240</v>
      </c>
      <c r="FY3707" s="5" t="s">
        <v>240</v>
      </c>
      <c r="FZ3707" s="5" t="s">
        <v>240</v>
      </c>
      <c r="GA3707" s="5" t="s">
        <v>240</v>
      </c>
      <c r="GB3707" s="5" t="s">
        <v>240</v>
      </c>
      <c r="GC3707" s="5" t="s">
        <v>240</v>
      </c>
      <c r="GD3707" s="5" t="s">
        <v>240</v>
      </c>
      <c r="GE3707" s="5" t="s">
        <v>240</v>
      </c>
      <c r="GF3707" s="5" t="s">
        <v>240</v>
      </c>
      <c r="GG3707" s="5" t="s">
        <v>240</v>
      </c>
      <c r="GH3707" s="5" t="s">
        <v>240</v>
      </c>
      <c r="GI3707" s="5" t="s">
        <v>240</v>
      </c>
      <c r="GJ3707" s="5" t="s">
        <v>240</v>
      </c>
      <c r="GK3707" s="5" t="s">
        <v>240</v>
      </c>
      <c r="GL3707" s="5" t="s">
        <v>240</v>
      </c>
      <c r="GM3707" s="5" t="s">
        <v>240</v>
      </c>
      <c r="GN3707" s="5" t="s">
        <v>240</v>
      </c>
      <c r="GO3707" s="5" t="s">
        <v>240</v>
      </c>
      <c r="GP3707" s="5" t="s">
        <v>240</v>
      </c>
      <c r="GQ3707" s="5" t="s">
        <v>240</v>
      </c>
      <c r="GR3707" s="5" t="s">
        <v>240</v>
      </c>
      <c r="GS3707" s="5" t="s">
        <v>240</v>
      </c>
      <c r="GT3707" s="5" t="s">
        <v>240</v>
      </c>
      <c r="GU3707" s="5" t="s">
        <v>240</v>
      </c>
      <c r="GV3707" s="5" t="s">
        <v>240</v>
      </c>
      <c r="GW3707" s="5" t="s">
        <v>240</v>
      </c>
      <c r="GX3707" s="5" t="s">
        <v>240</v>
      </c>
      <c r="GY3707" s="5" t="s">
        <v>240</v>
      </c>
      <c r="GZ3707" s="5" t="s">
        <v>240</v>
      </c>
      <c r="HA3707" s="5" t="s">
        <v>240</v>
      </c>
      <c r="HB3707" s="5" t="s">
        <v>240</v>
      </c>
      <c r="HC3707" s="5" t="s">
        <v>240</v>
      </c>
      <c r="HD3707" s="5" t="s">
        <v>240</v>
      </c>
      <c r="HE3707" s="5" t="s">
        <v>240</v>
      </c>
      <c r="HF3707" s="5" t="s">
        <v>240</v>
      </c>
      <c r="HG3707" s="5" t="s">
        <v>240</v>
      </c>
      <c r="HH3707" s="5" t="s">
        <v>240</v>
      </c>
      <c r="HI3707" s="5" t="s">
        <v>240</v>
      </c>
      <c r="HJ3707" s="5" t="s">
        <v>240</v>
      </c>
      <c r="HK3707" s="5" t="s">
        <v>240</v>
      </c>
      <c r="HL3707" s="5" t="s">
        <v>240</v>
      </c>
      <c r="HM3707" s="5" t="s">
        <v>240</v>
      </c>
      <c r="HN3707" s="5" t="s">
        <v>240</v>
      </c>
      <c r="HO3707" s="5" t="s">
        <v>312</v>
      </c>
      <c r="HP3707" s="5" t="s">
        <v>240</v>
      </c>
      <c r="HQ3707" s="5" t="s">
        <v>240</v>
      </c>
      <c r="HR3707" s="5" t="s">
        <v>240</v>
      </c>
      <c r="HS3707" s="5" t="s">
        <v>240</v>
      </c>
      <c r="HT3707" s="5" t="s">
        <v>240</v>
      </c>
      <c r="HU3707" s="5" t="s">
        <v>240</v>
      </c>
      <c r="HV3707" s="5" t="s">
        <v>240</v>
      </c>
      <c r="HW3707" s="5" t="s">
        <v>240</v>
      </c>
      <c r="HX3707" s="5" t="s">
        <v>240</v>
      </c>
      <c r="HY3707" s="5" t="s">
        <v>240</v>
      </c>
      <c r="HZ3707" s="5" t="s">
        <v>240</v>
      </c>
      <c r="IA3707" s="5" t="s">
        <v>240</v>
      </c>
      <c r="IB3707" s="5" t="s">
        <v>240</v>
      </c>
      <c r="IC3707" s="5" t="s">
        <v>240</v>
      </c>
      <c r="ID3707" s="5" t="s">
        <v>240</v>
      </c>
      <c r="IE3707" s="5" t="s">
        <v>240</v>
      </c>
      <c r="IF3707" s="5" t="s">
        <v>240</v>
      </c>
    </row>
    <row r="3708" spans="1:240" x14ac:dyDescent="0.4">
      <c r="A3708" s="5">
        <v>9250</v>
      </c>
      <c r="B3708" s="5">
        <v>1</v>
      </c>
      <c r="C3708" s="5">
        <v>1</v>
      </c>
      <c r="D3708" s="5" t="s">
        <v>723</v>
      </c>
      <c r="E3708" s="5" t="s">
        <v>725</v>
      </c>
      <c r="F3708" s="5" t="s">
        <v>254</v>
      </c>
      <c r="G3708" s="5" t="s">
        <v>726</v>
      </c>
      <c r="H3708" s="6" t="s">
        <v>5570</v>
      </c>
      <c r="I3708" s="5" t="s">
        <v>5569</v>
      </c>
      <c r="J3708" s="7">
        <f>1</f>
        <v>1</v>
      </c>
      <c r="K3708" s="5" t="s">
        <v>3682</v>
      </c>
      <c r="L3708" s="7">
        <f>1</f>
        <v>1</v>
      </c>
      <c r="M3708" s="7">
        <f>1</f>
        <v>1</v>
      </c>
      <c r="N3708" s="5" t="s">
        <v>242</v>
      </c>
      <c r="O3708" s="5">
        <v>1</v>
      </c>
      <c r="P3708" s="5" t="s">
        <v>294</v>
      </c>
      <c r="Q3708" s="5" t="s">
        <v>613</v>
      </c>
      <c r="R3708" s="5" t="s">
        <v>240</v>
      </c>
      <c r="S3708" s="5" t="s">
        <v>240</v>
      </c>
      <c r="T3708" s="5" t="s">
        <v>243</v>
      </c>
      <c r="U3708" s="5" t="s">
        <v>724</v>
      </c>
      <c r="V3708" s="5" t="s">
        <v>240</v>
      </c>
      <c r="W3708" s="5" t="s">
        <v>240</v>
      </c>
      <c r="X3708" s="5" t="s">
        <v>240</v>
      </c>
      <c r="Y3708" s="5" t="s">
        <v>240</v>
      </c>
      <c r="Z3708" s="6" t="s">
        <v>298</v>
      </c>
      <c r="AA3708" s="6" t="s">
        <v>240</v>
      </c>
      <c r="AB3708" s="6" t="s">
        <v>240</v>
      </c>
      <c r="AC3708" s="5" t="s">
        <v>240</v>
      </c>
      <c r="AD3708" s="6" t="s">
        <v>240</v>
      </c>
      <c r="AE3708" s="6" t="s">
        <v>299</v>
      </c>
      <c r="AF3708" s="5" t="s">
        <v>727</v>
      </c>
      <c r="AG3708" s="5" t="s">
        <v>260</v>
      </c>
      <c r="AH3708" s="5" t="s">
        <v>240</v>
      </c>
      <c r="AI3708" s="5" t="s">
        <v>240</v>
      </c>
      <c r="AJ3708" s="5" t="s">
        <v>240</v>
      </c>
      <c r="AK3708" s="5" t="s">
        <v>240</v>
      </c>
      <c r="AL3708" s="5" t="s">
        <v>240</v>
      </c>
      <c r="AM3708" s="5" t="s">
        <v>240</v>
      </c>
      <c r="AN3708" s="5" t="s">
        <v>240</v>
      </c>
      <c r="AO3708" s="5" t="s">
        <v>240</v>
      </c>
      <c r="AP3708" s="6" t="s">
        <v>240</v>
      </c>
      <c r="AQ3708" s="6" t="s">
        <v>240</v>
      </c>
      <c r="AR3708" s="6" t="s">
        <v>240</v>
      </c>
      <c r="AS3708" s="6" t="s">
        <v>240</v>
      </c>
      <c r="AT3708" s="5" t="s">
        <v>240</v>
      </c>
      <c r="AU3708" s="5" t="s">
        <v>729</v>
      </c>
      <c r="AV3708" s="5" t="s">
        <v>729</v>
      </c>
      <c r="AW3708" s="5" t="s">
        <v>251</v>
      </c>
      <c r="AX3708" s="5" t="s">
        <v>252</v>
      </c>
      <c r="AY3708" s="5" t="s">
        <v>253</v>
      </c>
      <c r="AZ3708" s="5" t="s">
        <v>240</v>
      </c>
      <c r="BA3708" s="5" t="s">
        <v>255</v>
      </c>
      <c r="BB3708" s="5" t="s">
        <v>731</v>
      </c>
      <c r="BD3708" s="5" t="s">
        <v>240</v>
      </c>
      <c r="BF3708" s="5" t="s">
        <v>732</v>
      </c>
      <c r="BG3708" s="6" t="s">
        <v>733</v>
      </c>
      <c r="BH3708" s="5" t="s">
        <v>734</v>
      </c>
      <c r="BI3708" s="5" t="s">
        <v>734</v>
      </c>
      <c r="BJ3708" s="5" t="s">
        <v>240</v>
      </c>
      <c r="BK3708" s="8">
        <f>133</f>
        <v>133</v>
      </c>
      <c r="BL3708" s="7">
        <f>0</f>
        <v>0</v>
      </c>
      <c r="BM3708" s="5" t="s">
        <v>258</v>
      </c>
      <c r="BN3708" s="5" t="s">
        <v>259</v>
      </c>
      <c r="BO3708" s="5" t="s">
        <v>240</v>
      </c>
      <c r="BP3708" s="5" t="s">
        <v>240</v>
      </c>
      <c r="BQ3708" s="5" t="s">
        <v>240</v>
      </c>
      <c r="BR3708" s="5" t="s">
        <v>240</v>
      </c>
      <c r="BS3708" s="5" t="s">
        <v>240</v>
      </c>
      <c r="BT3708" s="5" t="s">
        <v>240</v>
      </c>
      <c r="BU3708" s="5" t="s">
        <v>240</v>
      </c>
      <c r="BV3708" s="5" t="s">
        <v>240</v>
      </c>
      <c r="BW3708" s="6" t="s">
        <v>240</v>
      </c>
      <c r="BX3708" s="5" t="s">
        <v>240</v>
      </c>
      <c r="BY3708" s="5" t="s">
        <v>240</v>
      </c>
      <c r="BZ3708" s="5" t="s">
        <v>240</v>
      </c>
      <c r="CA3708" s="5" t="s">
        <v>259</v>
      </c>
      <c r="CB3708" s="5" t="s">
        <v>240</v>
      </c>
      <c r="CC3708" s="5" t="s">
        <v>240</v>
      </c>
      <c r="CD3708" s="5" t="s">
        <v>240</v>
      </c>
      <c r="CE3708" s="5" t="s">
        <v>240</v>
      </c>
      <c r="CF3708" s="5" t="s">
        <v>240</v>
      </c>
      <c r="CG3708" s="5" t="s">
        <v>617</v>
      </c>
      <c r="CH3708" s="5" t="s">
        <v>305</v>
      </c>
      <c r="CI3708" s="5" t="s">
        <v>240</v>
      </c>
      <c r="CL3708" s="6" t="s">
        <v>261</v>
      </c>
      <c r="CM3708" s="5" t="s">
        <v>262</v>
      </c>
      <c r="CN3708" s="5" t="s">
        <v>263</v>
      </c>
      <c r="CO3708" s="5" t="s">
        <v>264</v>
      </c>
      <c r="CP3708" s="5" t="s">
        <v>240</v>
      </c>
      <c r="CQ3708" s="5">
        <v>0</v>
      </c>
      <c r="CR3708" s="5" t="s">
        <v>735</v>
      </c>
      <c r="CS3708" s="5" t="s">
        <v>307</v>
      </c>
      <c r="CT3708" s="5" t="s">
        <v>307</v>
      </c>
      <c r="CU3708" s="5" t="s">
        <v>260</v>
      </c>
      <c r="CV3708" s="5" t="s">
        <v>240</v>
      </c>
      <c r="CW3708" s="8">
        <f>0</f>
        <v>0</v>
      </c>
      <c r="CX3708" s="7">
        <f>0</f>
        <v>0</v>
      </c>
      <c r="CY3708" s="7">
        <f>0</f>
        <v>0</v>
      </c>
      <c r="DA3708" s="7">
        <f>1463</f>
        <v>1463</v>
      </c>
      <c r="DB3708" s="7" t="s">
        <v>240</v>
      </c>
      <c r="DC3708" s="5" t="s">
        <v>240</v>
      </c>
      <c r="DD3708" s="5" t="s">
        <v>240</v>
      </c>
      <c r="DE3708" s="5" t="s">
        <v>240</v>
      </c>
      <c r="DF3708" s="5" t="s">
        <v>450</v>
      </c>
      <c r="DG3708" s="7">
        <f>0</f>
        <v>0</v>
      </c>
      <c r="DI3708" s="5" t="s">
        <v>737</v>
      </c>
      <c r="DJ3708" s="5" t="s">
        <v>240</v>
      </c>
      <c r="DK3708" s="5" t="s">
        <v>240</v>
      </c>
      <c r="DL3708" s="5" t="s">
        <v>240</v>
      </c>
      <c r="DM3708" s="5" t="s">
        <v>240</v>
      </c>
      <c r="DN3708" s="5" t="s">
        <v>240</v>
      </c>
      <c r="DO3708" s="7" t="s">
        <v>240</v>
      </c>
      <c r="DP3708" s="5" t="s">
        <v>240</v>
      </c>
      <c r="DQ3708" s="5" t="s">
        <v>240</v>
      </c>
      <c r="DR3708" s="5" t="s">
        <v>731</v>
      </c>
      <c r="DS3708" s="5" t="s">
        <v>731</v>
      </c>
      <c r="DT3708" s="5" t="s">
        <v>240</v>
      </c>
      <c r="DU3708" s="5" t="s">
        <v>240</v>
      </c>
      <c r="DV3708" s="5" t="s">
        <v>738</v>
      </c>
      <c r="DW3708" s="5" t="s">
        <v>804</v>
      </c>
      <c r="DX3708" s="5" t="s">
        <v>240</v>
      </c>
      <c r="DY3708" s="5" t="s">
        <v>240</v>
      </c>
      <c r="DZ3708" s="5" t="s">
        <v>240</v>
      </c>
      <c r="EA3708" s="5" t="s">
        <v>240</v>
      </c>
      <c r="EB3708" s="5" t="s">
        <v>240</v>
      </c>
      <c r="EC3708" s="5" t="s">
        <v>240</v>
      </c>
      <c r="ED3708" s="5" t="s">
        <v>240</v>
      </c>
      <c r="EE3708" s="5" t="s">
        <v>240</v>
      </c>
      <c r="EF3708" s="5" t="s">
        <v>240</v>
      </c>
      <c r="EG3708" s="5" t="s">
        <v>240</v>
      </c>
      <c r="EH3708" s="5" t="s">
        <v>240</v>
      </c>
      <c r="EI3708" s="5" t="s">
        <v>240</v>
      </c>
      <c r="EJ3708" s="5" t="s">
        <v>240</v>
      </c>
      <c r="EK3708" s="5" t="s">
        <v>240</v>
      </c>
      <c r="EL3708" s="5" t="s">
        <v>240</v>
      </c>
      <c r="EM3708" s="5" t="s">
        <v>240</v>
      </c>
      <c r="EN3708" s="5" t="s">
        <v>240</v>
      </c>
      <c r="EO3708" s="5" t="s">
        <v>240</v>
      </c>
      <c r="EP3708" s="5" t="s">
        <v>240</v>
      </c>
      <c r="EQ3708" s="5" t="s">
        <v>240</v>
      </c>
      <c r="ER3708" s="5" t="s">
        <v>240</v>
      </c>
      <c r="ES3708" s="5" t="s">
        <v>240</v>
      </c>
      <c r="ET3708" s="5" t="s">
        <v>240</v>
      </c>
      <c r="EU3708" s="5" t="s">
        <v>240</v>
      </c>
      <c r="EV3708" s="5" t="s">
        <v>240</v>
      </c>
      <c r="EW3708" s="5" t="s">
        <v>240</v>
      </c>
      <c r="EX3708" s="5" t="s">
        <v>240</v>
      </c>
      <c r="EY3708" s="5" t="s">
        <v>240</v>
      </c>
      <c r="EZ3708" s="5" t="s">
        <v>240</v>
      </c>
      <c r="FA3708" s="5" t="s">
        <v>240</v>
      </c>
      <c r="FB3708" s="5" t="s">
        <v>240</v>
      </c>
      <c r="FC3708" s="5" t="s">
        <v>240</v>
      </c>
      <c r="FD3708" s="5" t="s">
        <v>240</v>
      </c>
      <c r="FE3708" s="5" t="s">
        <v>240</v>
      </c>
      <c r="FF3708" s="5" t="s">
        <v>240</v>
      </c>
      <c r="FG3708" s="5" t="s">
        <v>240</v>
      </c>
      <c r="FH3708" s="5" t="s">
        <v>240</v>
      </c>
      <c r="FI3708" s="5" t="s">
        <v>240</v>
      </c>
      <c r="FJ3708" s="5" t="s">
        <v>240</v>
      </c>
      <c r="FK3708" s="5" t="s">
        <v>240</v>
      </c>
      <c r="FL3708" s="5" t="s">
        <v>240</v>
      </c>
      <c r="FM3708" s="5" t="s">
        <v>240</v>
      </c>
      <c r="FN3708" s="5" t="s">
        <v>240</v>
      </c>
      <c r="FO3708" s="5" t="s">
        <v>240</v>
      </c>
      <c r="FP3708" s="5" t="s">
        <v>240</v>
      </c>
      <c r="FQ3708" s="5" t="s">
        <v>240</v>
      </c>
      <c r="FR3708" s="5" t="s">
        <v>240</v>
      </c>
      <c r="FS3708" s="5" t="s">
        <v>240</v>
      </c>
      <c r="FT3708" s="5" t="s">
        <v>240</v>
      </c>
      <c r="FU3708" s="5" t="s">
        <v>240</v>
      </c>
      <c r="FV3708" s="5" t="s">
        <v>240</v>
      </c>
      <c r="FW3708" s="5" t="s">
        <v>240</v>
      </c>
      <c r="FX3708" s="5" t="s">
        <v>240</v>
      </c>
      <c r="FY3708" s="5" t="s">
        <v>240</v>
      </c>
      <c r="FZ3708" s="5" t="s">
        <v>240</v>
      </c>
      <c r="GA3708" s="5" t="s">
        <v>240</v>
      </c>
      <c r="GB3708" s="5" t="s">
        <v>240</v>
      </c>
      <c r="GC3708" s="5" t="s">
        <v>240</v>
      </c>
      <c r="GD3708" s="5" t="s">
        <v>240</v>
      </c>
      <c r="GE3708" s="5" t="s">
        <v>240</v>
      </c>
      <c r="GF3708" s="5" t="s">
        <v>240</v>
      </c>
      <c r="GG3708" s="5" t="s">
        <v>240</v>
      </c>
      <c r="GH3708" s="5" t="s">
        <v>240</v>
      </c>
      <c r="GI3708" s="5" t="s">
        <v>240</v>
      </c>
      <c r="GJ3708" s="5" t="s">
        <v>240</v>
      </c>
      <c r="GK3708" s="5" t="s">
        <v>240</v>
      </c>
      <c r="GL3708" s="5" t="s">
        <v>240</v>
      </c>
      <c r="GM3708" s="5" t="s">
        <v>240</v>
      </c>
      <c r="GN3708" s="5" t="s">
        <v>240</v>
      </c>
      <c r="GO3708" s="5" t="s">
        <v>240</v>
      </c>
      <c r="GP3708" s="5" t="s">
        <v>240</v>
      </c>
      <c r="GQ3708" s="5" t="s">
        <v>240</v>
      </c>
      <c r="GR3708" s="5" t="s">
        <v>240</v>
      </c>
      <c r="GS3708" s="5" t="s">
        <v>240</v>
      </c>
      <c r="GT3708" s="5" t="s">
        <v>240</v>
      </c>
      <c r="GU3708" s="5" t="s">
        <v>240</v>
      </c>
      <c r="GV3708" s="5" t="s">
        <v>240</v>
      </c>
      <c r="GW3708" s="5" t="s">
        <v>240</v>
      </c>
      <c r="GX3708" s="5" t="s">
        <v>240</v>
      </c>
      <c r="GY3708" s="5" t="s">
        <v>240</v>
      </c>
      <c r="GZ3708" s="5" t="s">
        <v>240</v>
      </c>
      <c r="HA3708" s="5" t="s">
        <v>240</v>
      </c>
      <c r="HB3708" s="5" t="s">
        <v>240</v>
      </c>
      <c r="HC3708" s="5" t="s">
        <v>240</v>
      </c>
      <c r="HD3708" s="5" t="s">
        <v>240</v>
      </c>
      <c r="HE3708" s="5" t="s">
        <v>240</v>
      </c>
      <c r="HF3708" s="5" t="s">
        <v>240</v>
      </c>
      <c r="HG3708" s="5" t="s">
        <v>240</v>
      </c>
      <c r="HH3708" s="5" t="s">
        <v>240</v>
      </c>
      <c r="HI3708" s="5" t="s">
        <v>240</v>
      </c>
      <c r="HJ3708" s="5" t="s">
        <v>240</v>
      </c>
      <c r="HK3708" s="5" t="s">
        <v>240</v>
      </c>
      <c r="HL3708" s="5" t="s">
        <v>240</v>
      </c>
      <c r="HM3708" s="5" t="s">
        <v>240</v>
      </c>
      <c r="HN3708" s="5" t="s">
        <v>240</v>
      </c>
      <c r="HO3708" s="5" t="s">
        <v>312</v>
      </c>
      <c r="HP3708" s="5" t="s">
        <v>240</v>
      </c>
      <c r="HQ3708" s="5" t="s">
        <v>240</v>
      </c>
      <c r="HR3708" s="5" t="s">
        <v>240</v>
      </c>
      <c r="HS3708" s="5" t="s">
        <v>240</v>
      </c>
      <c r="HT3708" s="5" t="s">
        <v>240</v>
      </c>
      <c r="HU3708" s="5" t="s">
        <v>240</v>
      </c>
      <c r="HV3708" s="5" t="s">
        <v>240</v>
      </c>
      <c r="HW3708" s="5" t="s">
        <v>240</v>
      </c>
      <c r="HX3708" s="5" t="s">
        <v>240</v>
      </c>
      <c r="HY3708" s="5" t="s">
        <v>240</v>
      </c>
      <c r="HZ3708" s="5" t="s">
        <v>240</v>
      </c>
      <c r="IA3708" s="5" t="s">
        <v>240</v>
      </c>
      <c r="IB3708" s="5" t="s">
        <v>240</v>
      </c>
      <c r="IC3708" s="5" t="s">
        <v>240</v>
      </c>
      <c r="ID3708" s="5" t="s">
        <v>240</v>
      </c>
      <c r="IE3708" s="5" t="s">
        <v>240</v>
      </c>
      <c r="IF3708" s="5" t="s">
        <v>240</v>
      </c>
    </row>
    <row r="3709" spans="1:240" x14ac:dyDescent="0.4">
      <c r="A3709" s="5">
        <v>9251</v>
      </c>
      <c r="B3709" s="5">
        <v>1</v>
      </c>
      <c r="C3709" s="5">
        <v>1</v>
      </c>
      <c r="D3709" s="5" t="s">
        <v>723</v>
      </c>
      <c r="E3709" s="5" t="s">
        <v>725</v>
      </c>
      <c r="F3709" s="5" t="s">
        <v>254</v>
      </c>
      <c r="G3709" s="5" t="s">
        <v>726</v>
      </c>
      <c r="H3709" s="6" t="s">
        <v>5568</v>
      </c>
      <c r="I3709" s="5" t="s">
        <v>5567</v>
      </c>
      <c r="J3709" s="7">
        <f>1</f>
        <v>1</v>
      </c>
      <c r="K3709" s="5" t="s">
        <v>3682</v>
      </c>
      <c r="L3709" s="7">
        <f>1</f>
        <v>1</v>
      </c>
      <c r="M3709" s="7">
        <f>1</f>
        <v>1</v>
      </c>
      <c r="N3709" s="5" t="s">
        <v>242</v>
      </c>
      <c r="O3709" s="5">
        <v>1</v>
      </c>
      <c r="P3709" s="5" t="s">
        <v>294</v>
      </c>
      <c r="Q3709" s="5" t="s">
        <v>266</v>
      </c>
      <c r="R3709" s="5" t="s">
        <v>240</v>
      </c>
      <c r="S3709" s="5" t="s">
        <v>240</v>
      </c>
      <c r="T3709" s="5" t="s">
        <v>243</v>
      </c>
      <c r="U3709" s="5" t="s">
        <v>244</v>
      </c>
      <c r="V3709" s="5" t="s">
        <v>240</v>
      </c>
      <c r="Y3709" s="5" t="s">
        <v>240</v>
      </c>
      <c r="Z3709" s="6" t="s">
        <v>3903</v>
      </c>
      <c r="AB3709" s="6" t="s">
        <v>240</v>
      </c>
      <c r="AE3709" s="6" t="s">
        <v>299</v>
      </c>
      <c r="AF3709" s="5" t="s">
        <v>248</v>
      </c>
      <c r="AG3709" s="5" t="s">
        <v>249</v>
      </c>
      <c r="AW3709" s="5" t="s">
        <v>251</v>
      </c>
      <c r="AX3709" s="5" t="s">
        <v>240</v>
      </c>
      <c r="AY3709" s="5" t="s">
        <v>253</v>
      </c>
      <c r="AZ3709" s="5" t="s">
        <v>240</v>
      </c>
      <c r="BA3709" s="5" t="s">
        <v>255</v>
      </c>
      <c r="BB3709" s="5" t="s">
        <v>240</v>
      </c>
      <c r="BD3709" s="5" t="s">
        <v>240</v>
      </c>
      <c r="BF3709" s="5" t="s">
        <v>447</v>
      </c>
      <c r="BG3709" s="6" t="s">
        <v>3903</v>
      </c>
      <c r="BH3709" s="5" t="s">
        <v>302</v>
      </c>
      <c r="BI3709" s="5" t="s">
        <v>448</v>
      </c>
      <c r="BJ3709" s="5" t="s">
        <v>240</v>
      </c>
      <c r="BK3709" s="8">
        <f>0</f>
        <v>0</v>
      </c>
      <c r="BL3709" s="7">
        <f>0</f>
        <v>0</v>
      </c>
      <c r="BM3709" s="5" t="s">
        <v>258</v>
      </c>
      <c r="BN3709" s="5" t="s">
        <v>259</v>
      </c>
      <c r="CB3709" s="5" t="s">
        <v>240</v>
      </c>
      <c r="CC3709" s="5" t="s">
        <v>240</v>
      </c>
      <c r="CG3709" s="5" t="s">
        <v>449</v>
      </c>
      <c r="CH3709" s="5" t="s">
        <v>305</v>
      </c>
      <c r="CI3709" s="5" t="s">
        <v>240</v>
      </c>
      <c r="CL3709" s="6" t="s">
        <v>261</v>
      </c>
      <c r="CM3709" s="5" t="s">
        <v>240</v>
      </c>
      <c r="CN3709" s="5" t="s">
        <v>263</v>
      </c>
      <c r="CO3709" s="5" t="s">
        <v>240</v>
      </c>
      <c r="CP3709" s="5" t="s">
        <v>240</v>
      </c>
      <c r="CQ3709" s="5">
        <v>0</v>
      </c>
      <c r="CR3709" s="5" t="s">
        <v>306</v>
      </c>
      <c r="CS3709" s="5" t="s">
        <v>307</v>
      </c>
      <c r="CT3709" s="5" t="s">
        <v>307</v>
      </c>
      <c r="CU3709" s="5" t="s">
        <v>260</v>
      </c>
      <c r="CX3709" s="7">
        <f>4027379</f>
        <v>4027379</v>
      </c>
      <c r="CY3709" s="7">
        <f>0</f>
        <v>0</v>
      </c>
      <c r="DA3709" s="7">
        <f>0</f>
        <v>0</v>
      </c>
      <c r="DC3709" s="5" t="s">
        <v>450</v>
      </c>
      <c r="DD3709" s="5" t="s">
        <v>240</v>
      </c>
      <c r="DF3709" s="5" t="s">
        <v>450</v>
      </c>
      <c r="DG3709" s="7">
        <f>51.74</f>
        <v>51.74</v>
      </c>
      <c r="DI3709" s="5" t="s">
        <v>240</v>
      </c>
      <c r="DJ3709" s="5" t="s">
        <v>240</v>
      </c>
      <c r="DK3709" s="5" t="s">
        <v>240</v>
      </c>
      <c r="DL3709" s="5" t="s">
        <v>240</v>
      </c>
      <c r="DP3709" s="5" t="s">
        <v>240</v>
      </c>
      <c r="DQ3709" s="5" t="s">
        <v>240</v>
      </c>
      <c r="DR3709" s="5" t="s">
        <v>240</v>
      </c>
      <c r="DS3709" s="5" t="s">
        <v>240</v>
      </c>
      <c r="DV3709" s="5" t="s">
        <v>310</v>
      </c>
      <c r="DW3709" s="5" t="s">
        <v>2550</v>
      </c>
      <c r="HO3709" s="5" t="s">
        <v>312</v>
      </c>
    </row>
    <row r="3710" spans="1:240" x14ac:dyDescent="0.4">
      <c r="A3710" s="5">
        <v>9252</v>
      </c>
      <c r="B3710" s="5">
        <v>1</v>
      </c>
      <c r="C3710" s="5">
        <v>1</v>
      </c>
      <c r="D3710" s="5" t="s">
        <v>723</v>
      </c>
      <c r="E3710" s="5" t="s">
        <v>725</v>
      </c>
      <c r="F3710" s="5" t="s">
        <v>254</v>
      </c>
      <c r="G3710" s="5" t="s">
        <v>726</v>
      </c>
      <c r="H3710" s="6" t="s">
        <v>5566</v>
      </c>
      <c r="I3710" s="5" t="s">
        <v>5565</v>
      </c>
      <c r="J3710" s="7">
        <f>1</f>
        <v>1</v>
      </c>
      <c r="K3710" s="5" t="s">
        <v>3682</v>
      </c>
      <c r="L3710" s="7">
        <f>1</f>
        <v>1</v>
      </c>
      <c r="M3710" s="7">
        <f>1</f>
        <v>1</v>
      </c>
      <c r="N3710" s="5" t="s">
        <v>242</v>
      </c>
      <c r="O3710" s="5">
        <v>1</v>
      </c>
      <c r="P3710" s="5" t="s">
        <v>294</v>
      </c>
      <c r="Q3710" s="5" t="s">
        <v>613</v>
      </c>
      <c r="R3710" s="5" t="s">
        <v>240</v>
      </c>
      <c r="S3710" s="5" t="s">
        <v>240</v>
      </c>
      <c r="T3710" s="5" t="s">
        <v>243</v>
      </c>
      <c r="U3710" s="5" t="s">
        <v>724</v>
      </c>
      <c r="V3710" s="5" t="s">
        <v>240</v>
      </c>
      <c r="W3710" s="5" t="s">
        <v>240</v>
      </c>
      <c r="X3710" s="5" t="s">
        <v>240</v>
      </c>
      <c r="Y3710" s="5" t="s">
        <v>240</v>
      </c>
      <c r="Z3710" s="6" t="s">
        <v>298</v>
      </c>
      <c r="AA3710" s="6" t="s">
        <v>240</v>
      </c>
      <c r="AB3710" s="6" t="s">
        <v>240</v>
      </c>
      <c r="AC3710" s="5" t="s">
        <v>240</v>
      </c>
      <c r="AD3710" s="6" t="s">
        <v>240</v>
      </c>
      <c r="AE3710" s="6" t="s">
        <v>299</v>
      </c>
      <c r="AF3710" s="5" t="s">
        <v>727</v>
      </c>
      <c r="AG3710" s="5" t="s">
        <v>260</v>
      </c>
      <c r="AH3710" s="5" t="s">
        <v>240</v>
      </c>
      <c r="AI3710" s="5" t="s">
        <v>240</v>
      </c>
      <c r="AJ3710" s="5" t="s">
        <v>240</v>
      </c>
      <c r="AK3710" s="5" t="s">
        <v>240</v>
      </c>
      <c r="AL3710" s="5" t="s">
        <v>240</v>
      </c>
      <c r="AM3710" s="5" t="s">
        <v>240</v>
      </c>
      <c r="AN3710" s="5" t="s">
        <v>240</v>
      </c>
      <c r="AO3710" s="5" t="s">
        <v>240</v>
      </c>
      <c r="AP3710" s="6" t="s">
        <v>240</v>
      </c>
      <c r="AQ3710" s="6" t="s">
        <v>240</v>
      </c>
      <c r="AR3710" s="6" t="s">
        <v>240</v>
      </c>
      <c r="AS3710" s="6" t="s">
        <v>240</v>
      </c>
      <c r="AT3710" s="5" t="s">
        <v>240</v>
      </c>
      <c r="AU3710" s="5" t="s">
        <v>729</v>
      </c>
      <c r="AV3710" s="5" t="s">
        <v>729</v>
      </c>
      <c r="AW3710" s="5" t="s">
        <v>251</v>
      </c>
      <c r="AX3710" s="5" t="s">
        <v>252</v>
      </c>
      <c r="AY3710" s="5" t="s">
        <v>253</v>
      </c>
      <c r="AZ3710" s="5" t="s">
        <v>240</v>
      </c>
      <c r="BA3710" s="5" t="s">
        <v>255</v>
      </c>
      <c r="BB3710" s="5" t="s">
        <v>731</v>
      </c>
      <c r="BD3710" s="5" t="s">
        <v>240</v>
      </c>
      <c r="BF3710" s="5" t="s">
        <v>732</v>
      </c>
      <c r="BG3710" s="6" t="s">
        <v>733</v>
      </c>
      <c r="BH3710" s="5" t="s">
        <v>734</v>
      </c>
      <c r="BI3710" s="5" t="s">
        <v>734</v>
      </c>
      <c r="BJ3710" s="5" t="s">
        <v>240</v>
      </c>
      <c r="BK3710" s="8">
        <f>151</f>
        <v>151</v>
      </c>
      <c r="BL3710" s="7">
        <f>0</f>
        <v>0</v>
      </c>
      <c r="BM3710" s="5" t="s">
        <v>258</v>
      </c>
      <c r="BN3710" s="5" t="s">
        <v>259</v>
      </c>
      <c r="BO3710" s="5" t="s">
        <v>240</v>
      </c>
      <c r="BP3710" s="5" t="s">
        <v>240</v>
      </c>
      <c r="BQ3710" s="5" t="s">
        <v>240</v>
      </c>
      <c r="BR3710" s="5" t="s">
        <v>240</v>
      </c>
      <c r="BS3710" s="5" t="s">
        <v>240</v>
      </c>
      <c r="BT3710" s="5" t="s">
        <v>240</v>
      </c>
      <c r="BU3710" s="5" t="s">
        <v>240</v>
      </c>
      <c r="BV3710" s="5" t="s">
        <v>240</v>
      </c>
      <c r="BW3710" s="6" t="s">
        <v>240</v>
      </c>
      <c r="BX3710" s="5" t="s">
        <v>240</v>
      </c>
      <c r="BY3710" s="5" t="s">
        <v>240</v>
      </c>
      <c r="BZ3710" s="5" t="s">
        <v>240</v>
      </c>
      <c r="CA3710" s="5" t="s">
        <v>259</v>
      </c>
      <c r="CB3710" s="5" t="s">
        <v>240</v>
      </c>
      <c r="CC3710" s="5" t="s">
        <v>240</v>
      </c>
      <c r="CD3710" s="5" t="s">
        <v>240</v>
      </c>
      <c r="CE3710" s="5" t="s">
        <v>240</v>
      </c>
      <c r="CF3710" s="5" t="s">
        <v>240</v>
      </c>
      <c r="CG3710" s="5" t="s">
        <v>617</v>
      </c>
      <c r="CH3710" s="5" t="s">
        <v>305</v>
      </c>
      <c r="CI3710" s="5" t="s">
        <v>240</v>
      </c>
      <c r="CL3710" s="6" t="s">
        <v>261</v>
      </c>
      <c r="CM3710" s="5" t="s">
        <v>262</v>
      </c>
      <c r="CN3710" s="5" t="s">
        <v>263</v>
      </c>
      <c r="CO3710" s="5" t="s">
        <v>264</v>
      </c>
      <c r="CP3710" s="5" t="s">
        <v>240</v>
      </c>
      <c r="CQ3710" s="5">
        <v>0</v>
      </c>
      <c r="CR3710" s="5" t="s">
        <v>735</v>
      </c>
      <c r="CS3710" s="5" t="s">
        <v>307</v>
      </c>
      <c r="CT3710" s="5" t="s">
        <v>307</v>
      </c>
      <c r="CU3710" s="5" t="s">
        <v>260</v>
      </c>
      <c r="CV3710" s="5" t="s">
        <v>240</v>
      </c>
      <c r="CW3710" s="8">
        <f>0</f>
        <v>0</v>
      </c>
      <c r="CX3710" s="7">
        <f>0</f>
        <v>0</v>
      </c>
      <c r="CY3710" s="7">
        <f>0</f>
        <v>0</v>
      </c>
      <c r="DA3710" s="7">
        <f>1661</f>
        <v>1661</v>
      </c>
      <c r="DB3710" s="7" t="s">
        <v>240</v>
      </c>
      <c r="DC3710" s="5" t="s">
        <v>240</v>
      </c>
      <c r="DD3710" s="5" t="s">
        <v>240</v>
      </c>
      <c r="DE3710" s="5" t="s">
        <v>240</v>
      </c>
      <c r="DF3710" s="5" t="s">
        <v>450</v>
      </c>
      <c r="DG3710" s="7">
        <f>0</f>
        <v>0</v>
      </c>
      <c r="DI3710" s="5" t="s">
        <v>737</v>
      </c>
      <c r="DJ3710" s="5" t="s">
        <v>240</v>
      </c>
      <c r="DK3710" s="5" t="s">
        <v>240</v>
      </c>
      <c r="DL3710" s="5" t="s">
        <v>240</v>
      </c>
      <c r="DM3710" s="5" t="s">
        <v>240</v>
      </c>
      <c r="DN3710" s="5" t="s">
        <v>240</v>
      </c>
      <c r="DO3710" s="7" t="s">
        <v>240</v>
      </c>
      <c r="DP3710" s="5" t="s">
        <v>240</v>
      </c>
      <c r="DQ3710" s="5" t="s">
        <v>240</v>
      </c>
      <c r="DR3710" s="5" t="s">
        <v>731</v>
      </c>
      <c r="DS3710" s="5" t="s">
        <v>731</v>
      </c>
      <c r="DT3710" s="5" t="s">
        <v>240</v>
      </c>
      <c r="DU3710" s="5" t="s">
        <v>240</v>
      </c>
      <c r="DV3710" s="5" t="s">
        <v>738</v>
      </c>
      <c r="DW3710" s="5" t="s">
        <v>1202</v>
      </c>
      <c r="DX3710" s="5" t="s">
        <v>240</v>
      </c>
      <c r="DY3710" s="5" t="s">
        <v>240</v>
      </c>
      <c r="DZ3710" s="5" t="s">
        <v>240</v>
      </c>
      <c r="EA3710" s="5" t="s">
        <v>240</v>
      </c>
      <c r="EB3710" s="5" t="s">
        <v>240</v>
      </c>
      <c r="EC3710" s="5" t="s">
        <v>240</v>
      </c>
      <c r="ED3710" s="5" t="s">
        <v>240</v>
      </c>
      <c r="EE3710" s="5" t="s">
        <v>240</v>
      </c>
      <c r="EF3710" s="5" t="s">
        <v>240</v>
      </c>
      <c r="EG3710" s="5" t="s">
        <v>240</v>
      </c>
      <c r="EH3710" s="5" t="s">
        <v>240</v>
      </c>
      <c r="EI3710" s="5" t="s">
        <v>240</v>
      </c>
      <c r="EJ3710" s="5" t="s">
        <v>240</v>
      </c>
      <c r="EK3710" s="5" t="s">
        <v>240</v>
      </c>
      <c r="EL3710" s="5" t="s">
        <v>240</v>
      </c>
      <c r="EM3710" s="5" t="s">
        <v>240</v>
      </c>
      <c r="EN3710" s="5" t="s">
        <v>240</v>
      </c>
      <c r="EO3710" s="5" t="s">
        <v>240</v>
      </c>
      <c r="EP3710" s="5" t="s">
        <v>240</v>
      </c>
      <c r="EQ3710" s="5" t="s">
        <v>240</v>
      </c>
      <c r="ER3710" s="5" t="s">
        <v>240</v>
      </c>
      <c r="ES3710" s="5" t="s">
        <v>240</v>
      </c>
      <c r="ET3710" s="5" t="s">
        <v>240</v>
      </c>
      <c r="EU3710" s="5" t="s">
        <v>240</v>
      </c>
      <c r="EV3710" s="5" t="s">
        <v>240</v>
      </c>
      <c r="EW3710" s="5" t="s">
        <v>240</v>
      </c>
      <c r="EX3710" s="5" t="s">
        <v>240</v>
      </c>
      <c r="EY3710" s="5" t="s">
        <v>240</v>
      </c>
      <c r="EZ3710" s="5" t="s">
        <v>240</v>
      </c>
      <c r="FA3710" s="5" t="s">
        <v>240</v>
      </c>
      <c r="FB3710" s="5" t="s">
        <v>240</v>
      </c>
      <c r="FC3710" s="5" t="s">
        <v>240</v>
      </c>
      <c r="FD3710" s="5" t="s">
        <v>240</v>
      </c>
      <c r="FE3710" s="5" t="s">
        <v>240</v>
      </c>
      <c r="FF3710" s="5" t="s">
        <v>240</v>
      </c>
      <c r="FG3710" s="5" t="s">
        <v>240</v>
      </c>
      <c r="FH3710" s="5" t="s">
        <v>240</v>
      </c>
      <c r="FI3710" s="5" t="s">
        <v>240</v>
      </c>
      <c r="FJ3710" s="5" t="s">
        <v>240</v>
      </c>
      <c r="FK3710" s="5" t="s">
        <v>240</v>
      </c>
      <c r="FL3710" s="5" t="s">
        <v>240</v>
      </c>
      <c r="FM3710" s="5" t="s">
        <v>240</v>
      </c>
      <c r="FN3710" s="5" t="s">
        <v>240</v>
      </c>
      <c r="FO3710" s="5" t="s">
        <v>240</v>
      </c>
      <c r="FP3710" s="5" t="s">
        <v>240</v>
      </c>
      <c r="FQ3710" s="5" t="s">
        <v>240</v>
      </c>
      <c r="FR3710" s="5" t="s">
        <v>240</v>
      </c>
      <c r="FS3710" s="5" t="s">
        <v>240</v>
      </c>
      <c r="FT3710" s="5" t="s">
        <v>240</v>
      </c>
      <c r="FU3710" s="5" t="s">
        <v>240</v>
      </c>
      <c r="FV3710" s="5" t="s">
        <v>240</v>
      </c>
      <c r="FW3710" s="5" t="s">
        <v>240</v>
      </c>
      <c r="FX3710" s="5" t="s">
        <v>240</v>
      </c>
      <c r="FY3710" s="5" t="s">
        <v>240</v>
      </c>
      <c r="FZ3710" s="5" t="s">
        <v>240</v>
      </c>
      <c r="GA3710" s="5" t="s">
        <v>240</v>
      </c>
      <c r="GB3710" s="5" t="s">
        <v>240</v>
      </c>
      <c r="GC3710" s="5" t="s">
        <v>240</v>
      </c>
      <c r="GD3710" s="5" t="s">
        <v>240</v>
      </c>
      <c r="GE3710" s="5" t="s">
        <v>240</v>
      </c>
      <c r="GF3710" s="5" t="s">
        <v>240</v>
      </c>
      <c r="GG3710" s="5" t="s">
        <v>240</v>
      </c>
      <c r="GH3710" s="5" t="s">
        <v>240</v>
      </c>
      <c r="GI3710" s="5" t="s">
        <v>240</v>
      </c>
      <c r="GJ3710" s="5" t="s">
        <v>240</v>
      </c>
      <c r="GK3710" s="5" t="s">
        <v>240</v>
      </c>
      <c r="GL3710" s="5" t="s">
        <v>240</v>
      </c>
      <c r="GM3710" s="5" t="s">
        <v>240</v>
      </c>
      <c r="GN3710" s="5" t="s">
        <v>240</v>
      </c>
      <c r="GO3710" s="5" t="s">
        <v>240</v>
      </c>
      <c r="GP3710" s="5" t="s">
        <v>240</v>
      </c>
      <c r="GQ3710" s="5" t="s">
        <v>240</v>
      </c>
      <c r="GR3710" s="5" t="s">
        <v>240</v>
      </c>
      <c r="GS3710" s="5" t="s">
        <v>240</v>
      </c>
      <c r="GT3710" s="5" t="s">
        <v>240</v>
      </c>
      <c r="GU3710" s="5" t="s">
        <v>240</v>
      </c>
      <c r="GV3710" s="5" t="s">
        <v>240</v>
      </c>
      <c r="GW3710" s="5" t="s">
        <v>240</v>
      </c>
      <c r="GX3710" s="5" t="s">
        <v>240</v>
      </c>
      <c r="GY3710" s="5" t="s">
        <v>240</v>
      </c>
      <c r="GZ3710" s="5" t="s">
        <v>240</v>
      </c>
      <c r="HA3710" s="5" t="s">
        <v>240</v>
      </c>
      <c r="HB3710" s="5" t="s">
        <v>240</v>
      </c>
      <c r="HC3710" s="5" t="s">
        <v>240</v>
      </c>
      <c r="HD3710" s="5" t="s">
        <v>240</v>
      </c>
      <c r="HE3710" s="5" t="s">
        <v>240</v>
      </c>
      <c r="HF3710" s="5" t="s">
        <v>240</v>
      </c>
      <c r="HG3710" s="5" t="s">
        <v>240</v>
      </c>
      <c r="HH3710" s="5" t="s">
        <v>240</v>
      </c>
      <c r="HI3710" s="5" t="s">
        <v>240</v>
      </c>
      <c r="HJ3710" s="5" t="s">
        <v>240</v>
      </c>
      <c r="HK3710" s="5" t="s">
        <v>240</v>
      </c>
      <c r="HL3710" s="5" t="s">
        <v>240</v>
      </c>
      <c r="HM3710" s="5" t="s">
        <v>240</v>
      </c>
      <c r="HN3710" s="5" t="s">
        <v>240</v>
      </c>
      <c r="HO3710" s="5" t="s">
        <v>312</v>
      </c>
      <c r="HP3710" s="5" t="s">
        <v>240</v>
      </c>
      <c r="HQ3710" s="5" t="s">
        <v>240</v>
      </c>
      <c r="HR3710" s="5" t="s">
        <v>240</v>
      </c>
      <c r="HS3710" s="5" t="s">
        <v>240</v>
      </c>
      <c r="HT3710" s="5" t="s">
        <v>240</v>
      </c>
      <c r="HU3710" s="5" t="s">
        <v>240</v>
      </c>
      <c r="HV3710" s="5" t="s">
        <v>240</v>
      </c>
      <c r="HW3710" s="5" t="s">
        <v>240</v>
      </c>
      <c r="HX3710" s="5" t="s">
        <v>240</v>
      </c>
      <c r="HY3710" s="5" t="s">
        <v>240</v>
      </c>
      <c r="HZ3710" s="5" t="s">
        <v>240</v>
      </c>
      <c r="IA3710" s="5" t="s">
        <v>240</v>
      </c>
      <c r="IB3710" s="5" t="s">
        <v>240</v>
      </c>
      <c r="IC3710" s="5" t="s">
        <v>240</v>
      </c>
      <c r="ID3710" s="5" t="s">
        <v>240</v>
      </c>
      <c r="IE3710" s="5" t="s">
        <v>240</v>
      </c>
      <c r="IF3710" s="5" t="s">
        <v>240</v>
      </c>
    </row>
    <row r="3711" spans="1:240" x14ac:dyDescent="0.4">
      <c r="A3711" s="5">
        <v>9253</v>
      </c>
      <c r="B3711" s="5">
        <v>1</v>
      </c>
      <c r="C3711" s="5">
        <v>1</v>
      </c>
      <c r="D3711" s="5" t="s">
        <v>723</v>
      </c>
      <c r="E3711" s="5" t="s">
        <v>725</v>
      </c>
      <c r="F3711" s="5" t="s">
        <v>254</v>
      </c>
      <c r="G3711" s="5" t="s">
        <v>726</v>
      </c>
      <c r="H3711" s="6" t="s">
        <v>5564</v>
      </c>
      <c r="I3711" s="5" t="s">
        <v>5563</v>
      </c>
      <c r="J3711" s="7">
        <f>1</f>
        <v>1</v>
      </c>
      <c r="K3711" s="5" t="s">
        <v>3682</v>
      </c>
      <c r="L3711" s="7">
        <f>1</f>
        <v>1</v>
      </c>
      <c r="M3711" s="7">
        <f>1</f>
        <v>1</v>
      </c>
      <c r="N3711" s="5" t="s">
        <v>242</v>
      </c>
      <c r="O3711" s="5">
        <v>1</v>
      </c>
      <c r="P3711" s="5" t="s">
        <v>294</v>
      </c>
      <c r="Q3711" s="5" t="s">
        <v>613</v>
      </c>
      <c r="R3711" s="5" t="s">
        <v>240</v>
      </c>
      <c r="S3711" s="5" t="s">
        <v>240</v>
      </c>
      <c r="T3711" s="5" t="s">
        <v>243</v>
      </c>
      <c r="U3711" s="5" t="s">
        <v>724</v>
      </c>
      <c r="V3711" s="5" t="s">
        <v>240</v>
      </c>
      <c r="W3711" s="5" t="s">
        <v>240</v>
      </c>
      <c r="X3711" s="5" t="s">
        <v>240</v>
      </c>
      <c r="Y3711" s="5" t="s">
        <v>240</v>
      </c>
      <c r="Z3711" s="6" t="s">
        <v>298</v>
      </c>
      <c r="AA3711" s="6" t="s">
        <v>240</v>
      </c>
      <c r="AB3711" s="6" t="s">
        <v>240</v>
      </c>
      <c r="AC3711" s="5" t="s">
        <v>240</v>
      </c>
      <c r="AD3711" s="6" t="s">
        <v>240</v>
      </c>
      <c r="AE3711" s="6" t="s">
        <v>299</v>
      </c>
      <c r="AF3711" s="5" t="s">
        <v>727</v>
      </c>
      <c r="AG3711" s="5" t="s">
        <v>260</v>
      </c>
      <c r="AH3711" s="5" t="s">
        <v>240</v>
      </c>
      <c r="AI3711" s="5" t="s">
        <v>240</v>
      </c>
      <c r="AJ3711" s="5" t="s">
        <v>240</v>
      </c>
      <c r="AK3711" s="5" t="s">
        <v>240</v>
      </c>
      <c r="AL3711" s="5" t="s">
        <v>240</v>
      </c>
      <c r="AM3711" s="5" t="s">
        <v>240</v>
      </c>
      <c r="AN3711" s="5" t="s">
        <v>240</v>
      </c>
      <c r="AO3711" s="5" t="s">
        <v>240</v>
      </c>
      <c r="AP3711" s="6" t="s">
        <v>240</v>
      </c>
      <c r="AQ3711" s="6" t="s">
        <v>240</v>
      </c>
      <c r="AR3711" s="6" t="s">
        <v>240</v>
      </c>
      <c r="AS3711" s="6" t="s">
        <v>240</v>
      </c>
      <c r="AT3711" s="5" t="s">
        <v>240</v>
      </c>
      <c r="AU3711" s="5" t="s">
        <v>729</v>
      </c>
      <c r="AV3711" s="5" t="s">
        <v>729</v>
      </c>
      <c r="AW3711" s="5" t="s">
        <v>251</v>
      </c>
      <c r="AX3711" s="5" t="s">
        <v>252</v>
      </c>
      <c r="AY3711" s="5" t="s">
        <v>253</v>
      </c>
      <c r="AZ3711" s="5" t="s">
        <v>240</v>
      </c>
      <c r="BA3711" s="5" t="s">
        <v>255</v>
      </c>
      <c r="BB3711" s="5" t="s">
        <v>731</v>
      </c>
      <c r="BD3711" s="5" t="s">
        <v>240</v>
      </c>
      <c r="BF3711" s="5" t="s">
        <v>732</v>
      </c>
      <c r="BG3711" s="6" t="s">
        <v>733</v>
      </c>
      <c r="BH3711" s="5" t="s">
        <v>734</v>
      </c>
      <c r="BI3711" s="5" t="s">
        <v>734</v>
      </c>
      <c r="BJ3711" s="5" t="s">
        <v>240</v>
      </c>
      <c r="BK3711" s="8">
        <f>993</f>
        <v>993</v>
      </c>
      <c r="BL3711" s="7">
        <f>0</f>
        <v>0</v>
      </c>
      <c r="BM3711" s="5" t="s">
        <v>258</v>
      </c>
      <c r="BN3711" s="5" t="s">
        <v>259</v>
      </c>
      <c r="BO3711" s="5" t="s">
        <v>240</v>
      </c>
      <c r="BP3711" s="5" t="s">
        <v>240</v>
      </c>
      <c r="BQ3711" s="5" t="s">
        <v>240</v>
      </c>
      <c r="BR3711" s="5" t="s">
        <v>240</v>
      </c>
      <c r="BS3711" s="5" t="s">
        <v>240</v>
      </c>
      <c r="BT3711" s="5" t="s">
        <v>240</v>
      </c>
      <c r="BU3711" s="5" t="s">
        <v>240</v>
      </c>
      <c r="BV3711" s="5" t="s">
        <v>240</v>
      </c>
      <c r="BW3711" s="6" t="s">
        <v>240</v>
      </c>
      <c r="BX3711" s="5" t="s">
        <v>240</v>
      </c>
      <c r="BY3711" s="5" t="s">
        <v>240</v>
      </c>
      <c r="BZ3711" s="5" t="s">
        <v>240</v>
      </c>
      <c r="CA3711" s="5" t="s">
        <v>259</v>
      </c>
      <c r="CB3711" s="5" t="s">
        <v>240</v>
      </c>
      <c r="CC3711" s="5" t="s">
        <v>240</v>
      </c>
      <c r="CD3711" s="5" t="s">
        <v>240</v>
      </c>
      <c r="CE3711" s="5" t="s">
        <v>240</v>
      </c>
      <c r="CF3711" s="5" t="s">
        <v>240</v>
      </c>
      <c r="CG3711" s="5" t="s">
        <v>617</v>
      </c>
      <c r="CH3711" s="5" t="s">
        <v>305</v>
      </c>
      <c r="CI3711" s="5" t="s">
        <v>240</v>
      </c>
      <c r="CL3711" s="6" t="s">
        <v>261</v>
      </c>
      <c r="CM3711" s="5" t="s">
        <v>262</v>
      </c>
      <c r="CN3711" s="5" t="s">
        <v>263</v>
      </c>
      <c r="CO3711" s="5" t="s">
        <v>264</v>
      </c>
      <c r="CP3711" s="5" t="s">
        <v>240</v>
      </c>
      <c r="CQ3711" s="5">
        <v>0</v>
      </c>
      <c r="CR3711" s="5" t="s">
        <v>735</v>
      </c>
      <c r="CS3711" s="5" t="s">
        <v>307</v>
      </c>
      <c r="CT3711" s="5" t="s">
        <v>307</v>
      </c>
      <c r="CU3711" s="5" t="s">
        <v>260</v>
      </c>
      <c r="CV3711" s="5" t="s">
        <v>240</v>
      </c>
      <c r="CW3711" s="8">
        <f>0</f>
        <v>0</v>
      </c>
      <c r="CX3711" s="7">
        <f>0</f>
        <v>0</v>
      </c>
      <c r="CY3711" s="7">
        <f>0</f>
        <v>0</v>
      </c>
      <c r="DA3711" s="7">
        <f>10923</f>
        <v>10923</v>
      </c>
      <c r="DB3711" s="7" t="s">
        <v>240</v>
      </c>
      <c r="DC3711" s="5" t="s">
        <v>240</v>
      </c>
      <c r="DD3711" s="5" t="s">
        <v>240</v>
      </c>
      <c r="DE3711" s="5" t="s">
        <v>240</v>
      </c>
      <c r="DF3711" s="5" t="s">
        <v>450</v>
      </c>
      <c r="DG3711" s="7">
        <f>0</f>
        <v>0</v>
      </c>
      <c r="DI3711" s="5" t="s">
        <v>737</v>
      </c>
      <c r="DJ3711" s="5" t="s">
        <v>240</v>
      </c>
      <c r="DK3711" s="5" t="s">
        <v>240</v>
      </c>
      <c r="DL3711" s="5" t="s">
        <v>240</v>
      </c>
      <c r="DM3711" s="5" t="s">
        <v>240</v>
      </c>
      <c r="DN3711" s="5" t="s">
        <v>240</v>
      </c>
      <c r="DO3711" s="7" t="s">
        <v>240</v>
      </c>
      <c r="DP3711" s="5" t="s">
        <v>240</v>
      </c>
      <c r="DQ3711" s="5" t="s">
        <v>240</v>
      </c>
      <c r="DR3711" s="5" t="s">
        <v>731</v>
      </c>
      <c r="DS3711" s="5" t="s">
        <v>731</v>
      </c>
      <c r="DT3711" s="5" t="s">
        <v>240</v>
      </c>
      <c r="DU3711" s="5" t="s">
        <v>240</v>
      </c>
      <c r="DV3711" s="5" t="s">
        <v>738</v>
      </c>
      <c r="DW3711" s="5" t="s">
        <v>754</v>
      </c>
      <c r="DX3711" s="5" t="s">
        <v>240</v>
      </c>
      <c r="DY3711" s="5" t="s">
        <v>240</v>
      </c>
      <c r="DZ3711" s="5" t="s">
        <v>240</v>
      </c>
      <c r="EA3711" s="5" t="s">
        <v>240</v>
      </c>
      <c r="EB3711" s="5" t="s">
        <v>240</v>
      </c>
      <c r="EC3711" s="5" t="s">
        <v>240</v>
      </c>
      <c r="ED3711" s="5" t="s">
        <v>240</v>
      </c>
      <c r="EE3711" s="5" t="s">
        <v>240</v>
      </c>
      <c r="EF3711" s="5" t="s">
        <v>240</v>
      </c>
      <c r="EG3711" s="5" t="s">
        <v>240</v>
      </c>
      <c r="EH3711" s="5" t="s">
        <v>240</v>
      </c>
      <c r="EI3711" s="5" t="s">
        <v>240</v>
      </c>
      <c r="EJ3711" s="5" t="s">
        <v>240</v>
      </c>
      <c r="EK3711" s="5" t="s">
        <v>240</v>
      </c>
      <c r="EL3711" s="5" t="s">
        <v>240</v>
      </c>
      <c r="EM3711" s="5" t="s">
        <v>240</v>
      </c>
      <c r="EN3711" s="5" t="s">
        <v>240</v>
      </c>
      <c r="EO3711" s="5" t="s">
        <v>240</v>
      </c>
      <c r="EP3711" s="5" t="s">
        <v>240</v>
      </c>
      <c r="EQ3711" s="5" t="s">
        <v>240</v>
      </c>
      <c r="ER3711" s="5" t="s">
        <v>240</v>
      </c>
      <c r="ES3711" s="5" t="s">
        <v>240</v>
      </c>
      <c r="ET3711" s="5" t="s">
        <v>240</v>
      </c>
      <c r="EU3711" s="5" t="s">
        <v>240</v>
      </c>
      <c r="EV3711" s="5" t="s">
        <v>240</v>
      </c>
      <c r="EW3711" s="5" t="s">
        <v>240</v>
      </c>
      <c r="EX3711" s="5" t="s">
        <v>240</v>
      </c>
      <c r="EY3711" s="5" t="s">
        <v>240</v>
      </c>
      <c r="EZ3711" s="5" t="s">
        <v>240</v>
      </c>
      <c r="FA3711" s="5" t="s">
        <v>240</v>
      </c>
      <c r="FB3711" s="5" t="s">
        <v>240</v>
      </c>
      <c r="FC3711" s="5" t="s">
        <v>240</v>
      </c>
      <c r="FD3711" s="5" t="s">
        <v>240</v>
      </c>
      <c r="FE3711" s="5" t="s">
        <v>240</v>
      </c>
      <c r="FF3711" s="5" t="s">
        <v>240</v>
      </c>
      <c r="FG3711" s="5" t="s">
        <v>240</v>
      </c>
      <c r="FH3711" s="5" t="s">
        <v>240</v>
      </c>
      <c r="FI3711" s="5" t="s">
        <v>240</v>
      </c>
      <c r="FJ3711" s="5" t="s">
        <v>240</v>
      </c>
      <c r="FK3711" s="5" t="s">
        <v>240</v>
      </c>
      <c r="FL3711" s="5" t="s">
        <v>240</v>
      </c>
      <c r="FM3711" s="5" t="s">
        <v>240</v>
      </c>
      <c r="FN3711" s="5" t="s">
        <v>240</v>
      </c>
      <c r="FO3711" s="5" t="s">
        <v>240</v>
      </c>
      <c r="FP3711" s="5" t="s">
        <v>240</v>
      </c>
      <c r="FQ3711" s="5" t="s">
        <v>240</v>
      </c>
      <c r="FR3711" s="5" t="s">
        <v>240</v>
      </c>
      <c r="FS3711" s="5" t="s">
        <v>240</v>
      </c>
      <c r="FT3711" s="5" t="s">
        <v>240</v>
      </c>
      <c r="FU3711" s="5" t="s">
        <v>240</v>
      </c>
      <c r="FV3711" s="5" t="s">
        <v>240</v>
      </c>
      <c r="FW3711" s="5" t="s">
        <v>240</v>
      </c>
      <c r="FX3711" s="5" t="s">
        <v>240</v>
      </c>
      <c r="FY3711" s="5" t="s">
        <v>240</v>
      </c>
      <c r="FZ3711" s="5" t="s">
        <v>240</v>
      </c>
      <c r="GA3711" s="5" t="s">
        <v>240</v>
      </c>
      <c r="GB3711" s="5" t="s">
        <v>240</v>
      </c>
      <c r="GC3711" s="5" t="s">
        <v>240</v>
      </c>
      <c r="GD3711" s="5" t="s">
        <v>240</v>
      </c>
      <c r="GE3711" s="5" t="s">
        <v>240</v>
      </c>
      <c r="GF3711" s="5" t="s">
        <v>240</v>
      </c>
      <c r="GG3711" s="5" t="s">
        <v>240</v>
      </c>
      <c r="GH3711" s="5" t="s">
        <v>240</v>
      </c>
      <c r="GI3711" s="5" t="s">
        <v>240</v>
      </c>
      <c r="GJ3711" s="5" t="s">
        <v>240</v>
      </c>
      <c r="GK3711" s="5" t="s">
        <v>240</v>
      </c>
      <c r="GL3711" s="5" t="s">
        <v>240</v>
      </c>
      <c r="GM3711" s="5" t="s">
        <v>240</v>
      </c>
      <c r="GN3711" s="5" t="s">
        <v>240</v>
      </c>
      <c r="GO3711" s="5" t="s">
        <v>240</v>
      </c>
      <c r="GP3711" s="5" t="s">
        <v>240</v>
      </c>
      <c r="GQ3711" s="5" t="s">
        <v>240</v>
      </c>
      <c r="GR3711" s="5" t="s">
        <v>240</v>
      </c>
      <c r="GS3711" s="5" t="s">
        <v>240</v>
      </c>
      <c r="GT3711" s="5" t="s">
        <v>240</v>
      </c>
      <c r="GU3711" s="5" t="s">
        <v>240</v>
      </c>
      <c r="GV3711" s="5" t="s">
        <v>240</v>
      </c>
      <c r="GW3711" s="5" t="s">
        <v>240</v>
      </c>
      <c r="GX3711" s="5" t="s">
        <v>240</v>
      </c>
      <c r="GY3711" s="5" t="s">
        <v>240</v>
      </c>
      <c r="GZ3711" s="5" t="s">
        <v>240</v>
      </c>
      <c r="HA3711" s="5" t="s">
        <v>240</v>
      </c>
      <c r="HB3711" s="5" t="s">
        <v>240</v>
      </c>
      <c r="HC3711" s="5" t="s">
        <v>240</v>
      </c>
      <c r="HD3711" s="5" t="s">
        <v>240</v>
      </c>
      <c r="HE3711" s="5" t="s">
        <v>240</v>
      </c>
      <c r="HF3711" s="5" t="s">
        <v>240</v>
      </c>
      <c r="HG3711" s="5" t="s">
        <v>240</v>
      </c>
      <c r="HH3711" s="5" t="s">
        <v>240</v>
      </c>
      <c r="HI3711" s="5" t="s">
        <v>240</v>
      </c>
      <c r="HJ3711" s="5" t="s">
        <v>240</v>
      </c>
      <c r="HK3711" s="5" t="s">
        <v>240</v>
      </c>
      <c r="HL3711" s="5" t="s">
        <v>240</v>
      </c>
      <c r="HM3711" s="5" t="s">
        <v>240</v>
      </c>
      <c r="HN3711" s="5" t="s">
        <v>240</v>
      </c>
      <c r="HO3711" s="5" t="s">
        <v>312</v>
      </c>
      <c r="HP3711" s="5" t="s">
        <v>240</v>
      </c>
      <c r="HQ3711" s="5" t="s">
        <v>240</v>
      </c>
      <c r="HR3711" s="5" t="s">
        <v>240</v>
      </c>
      <c r="HS3711" s="5" t="s">
        <v>240</v>
      </c>
      <c r="HT3711" s="5" t="s">
        <v>240</v>
      </c>
      <c r="HU3711" s="5" t="s">
        <v>240</v>
      </c>
      <c r="HV3711" s="5" t="s">
        <v>240</v>
      </c>
      <c r="HW3711" s="5" t="s">
        <v>240</v>
      </c>
      <c r="HX3711" s="5" t="s">
        <v>240</v>
      </c>
      <c r="HY3711" s="5" t="s">
        <v>240</v>
      </c>
      <c r="HZ3711" s="5" t="s">
        <v>240</v>
      </c>
      <c r="IA3711" s="5" t="s">
        <v>240</v>
      </c>
      <c r="IB3711" s="5" t="s">
        <v>240</v>
      </c>
      <c r="IC3711" s="5" t="s">
        <v>240</v>
      </c>
      <c r="ID3711" s="5" t="s">
        <v>240</v>
      </c>
      <c r="IE3711" s="5" t="s">
        <v>240</v>
      </c>
      <c r="IF3711" s="5" t="s">
        <v>240</v>
      </c>
    </row>
    <row r="3712" spans="1:240" x14ac:dyDescent="0.4">
      <c r="A3712" s="5">
        <v>9254</v>
      </c>
      <c r="B3712" s="5">
        <v>1</v>
      </c>
      <c r="C3712" s="5">
        <v>1</v>
      </c>
      <c r="D3712" s="5" t="s">
        <v>723</v>
      </c>
      <c r="E3712" s="5" t="s">
        <v>725</v>
      </c>
      <c r="F3712" s="5" t="s">
        <v>254</v>
      </c>
      <c r="G3712" s="5" t="s">
        <v>726</v>
      </c>
      <c r="H3712" s="6" t="s">
        <v>5562</v>
      </c>
      <c r="I3712" s="5" t="s">
        <v>5561</v>
      </c>
      <c r="J3712" s="7">
        <f>1</f>
        <v>1</v>
      </c>
      <c r="K3712" s="5" t="s">
        <v>3682</v>
      </c>
      <c r="L3712" s="7">
        <f>1</f>
        <v>1</v>
      </c>
      <c r="M3712" s="7">
        <f>1</f>
        <v>1</v>
      </c>
      <c r="N3712" s="5" t="s">
        <v>242</v>
      </c>
      <c r="O3712" s="5">
        <v>1</v>
      </c>
      <c r="P3712" s="5" t="s">
        <v>294</v>
      </c>
      <c r="Q3712" s="5" t="s">
        <v>266</v>
      </c>
      <c r="R3712" s="5" t="s">
        <v>240</v>
      </c>
      <c r="S3712" s="5" t="s">
        <v>240</v>
      </c>
      <c r="T3712" s="5" t="s">
        <v>243</v>
      </c>
      <c r="U3712" s="5" t="s">
        <v>244</v>
      </c>
      <c r="V3712" s="5" t="s">
        <v>240</v>
      </c>
      <c r="Y3712" s="5" t="s">
        <v>240</v>
      </c>
      <c r="Z3712" s="6" t="s">
        <v>3465</v>
      </c>
      <c r="AB3712" s="6" t="s">
        <v>240</v>
      </c>
      <c r="AE3712" s="6" t="s">
        <v>299</v>
      </c>
      <c r="AF3712" s="5" t="s">
        <v>248</v>
      </c>
      <c r="AG3712" s="5" t="s">
        <v>249</v>
      </c>
      <c r="AW3712" s="5" t="s">
        <v>251</v>
      </c>
      <c r="AX3712" s="5" t="s">
        <v>240</v>
      </c>
      <c r="AY3712" s="5" t="s">
        <v>253</v>
      </c>
      <c r="AZ3712" s="5" t="s">
        <v>240</v>
      </c>
      <c r="BA3712" s="5" t="s">
        <v>255</v>
      </c>
      <c r="BB3712" s="5" t="s">
        <v>240</v>
      </c>
      <c r="BD3712" s="5" t="s">
        <v>240</v>
      </c>
      <c r="BF3712" s="5" t="s">
        <v>447</v>
      </c>
      <c r="BG3712" s="6" t="s">
        <v>3465</v>
      </c>
      <c r="BH3712" s="5" t="s">
        <v>302</v>
      </c>
      <c r="BI3712" s="5" t="s">
        <v>448</v>
      </c>
      <c r="BJ3712" s="5" t="s">
        <v>240</v>
      </c>
      <c r="BK3712" s="8">
        <f>0</f>
        <v>0</v>
      </c>
      <c r="BL3712" s="7">
        <f>0</f>
        <v>0</v>
      </c>
      <c r="BM3712" s="5" t="s">
        <v>258</v>
      </c>
      <c r="BN3712" s="5" t="s">
        <v>259</v>
      </c>
      <c r="CB3712" s="5" t="s">
        <v>240</v>
      </c>
      <c r="CC3712" s="5" t="s">
        <v>240</v>
      </c>
      <c r="CG3712" s="5" t="s">
        <v>449</v>
      </c>
      <c r="CH3712" s="5" t="s">
        <v>305</v>
      </c>
      <c r="CI3712" s="5" t="s">
        <v>240</v>
      </c>
      <c r="CL3712" s="6" t="s">
        <v>261</v>
      </c>
      <c r="CM3712" s="5" t="s">
        <v>240</v>
      </c>
      <c r="CN3712" s="5" t="s">
        <v>263</v>
      </c>
      <c r="CO3712" s="5" t="s">
        <v>240</v>
      </c>
      <c r="CP3712" s="5" t="s">
        <v>240</v>
      </c>
      <c r="CQ3712" s="5">
        <v>0</v>
      </c>
      <c r="CR3712" s="5" t="s">
        <v>306</v>
      </c>
      <c r="CS3712" s="5" t="s">
        <v>307</v>
      </c>
      <c r="CT3712" s="5" t="s">
        <v>307</v>
      </c>
      <c r="CU3712" s="5" t="s">
        <v>260</v>
      </c>
      <c r="CX3712" s="7">
        <f>6141695</f>
        <v>6141695</v>
      </c>
      <c r="CY3712" s="7">
        <f>0</f>
        <v>0</v>
      </c>
      <c r="DA3712" s="7">
        <f>0</f>
        <v>0</v>
      </c>
      <c r="DC3712" s="5" t="s">
        <v>450</v>
      </c>
      <c r="DD3712" s="5" t="s">
        <v>240</v>
      </c>
      <c r="DF3712" s="5" t="s">
        <v>450</v>
      </c>
      <c r="DG3712" s="7">
        <f>308.53</f>
        <v>308.52999999999997</v>
      </c>
      <c r="DI3712" s="5" t="s">
        <v>240</v>
      </c>
      <c r="DJ3712" s="5" t="s">
        <v>240</v>
      </c>
      <c r="DK3712" s="5" t="s">
        <v>240</v>
      </c>
      <c r="DL3712" s="5" t="s">
        <v>240</v>
      </c>
      <c r="DP3712" s="5" t="s">
        <v>240</v>
      </c>
      <c r="DQ3712" s="5" t="s">
        <v>240</v>
      </c>
      <c r="DR3712" s="5" t="s">
        <v>240</v>
      </c>
      <c r="DS3712" s="5" t="s">
        <v>240</v>
      </c>
      <c r="DV3712" s="5" t="s">
        <v>310</v>
      </c>
      <c r="DW3712" s="5" t="s">
        <v>2548</v>
      </c>
      <c r="HO3712" s="5" t="s">
        <v>312</v>
      </c>
    </row>
    <row r="3713" spans="1:240" x14ac:dyDescent="0.4">
      <c r="A3713" s="5">
        <v>9255</v>
      </c>
      <c r="B3713" s="5">
        <v>1</v>
      </c>
      <c r="C3713" s="5">
        <v>1</v>
      </c>
      <c r="D3713" s="5" t="s">
        <v>723</v>
      </c>
      <c r="E3713" s="5" t="s">
        <v>725</v>
      </c>
      <c r="F3713" s="5" t="s">
        <v>254</v>
      </c>
      <c r="G3713" s="5" t="s">
        <v>726</v>
      </c>
      <c r="H3713" s="6" t="s">
        <v>5560</v>
      </c>
      <c r="I3713" s="5" t="s">
        <v>5559</v>
      </c>
      <c r="J3713" s="7">
        <f>1</f>
        <v>1</v>
      </c>
      <c r="K3713" s="5" t="s">
        <v>3682</v>
      </c>
      <c r="L3713" s="7">
        <f>1</f>
        <v>1</v>
      </c>
      <c r="M3713" s="7">
        <f>1</f>
        <v>1</v>
      </c>
      <c r="N3713" s="5" t="s">
        <v>242</v>
      </c>
      <c r="O3713" s="5">
        <v>1</v>
      </c>
      <c r="P3713" s="5" t="s">
        <v>294</v>
      </c>
      <c r="Q3713" s="5" t="s">
        <v>266</v>
      </c>
      <c r="R3713" s="5" t="s">
        <v>240</v>
      </c>
      <c r="S3713" s="5" t="s">
        <v>240</v>
      </c>
      <c r="T3713" s="5" t="s">
        <v>243</v>
      </c>
      <c r="U3713" s="5" t="s">
        <v>244</v>
      </c>
      <c r="V3713" s="5" t="s">
        <v>240</v>
      </c>
      <c r="Y3713" s="5" t="s">
        <v>240</v>
      </c>
      <c r="Z3713" s="6" t="s">
        <v>1855</v>
      </c>
      <c r="AB3713" s="6" t="s">
        <v>240</v>
      </c>
      <c r="AE3713" s="6" t="s">
        <v>299</v>
      </c>
      <c r="AF3713" s="5" t="s">
        <v>248</v>
      </c>
      <c r="AG3713" s="5" t="s">
        <v>249</v>
      </c>
      <c r="AW3713" s="5" t="s">
        <v>251</v>
      </c>
      <c r="AX3713" s="5" t="s">
        <v>240</v>
      </c>
      <c r="AY3713" s="5" t="s">
        <v>253</v>
      </c>
      <c r="AZ3713" s="5" t="s">
        <v>240</v>
      </c>
      <c r="BA3713" s="5" t="s">
        <v>255</v>
      </c>
      <c r="BB3713" s="5" t="s">
        <v>240</v>
      </c>
      <c r="BD3713" s="5" t="s">
        <v>240</v>
      </c>
      <c r="BF3713" s="5" t="s">
        <v>447</v>
      </c>
      <c r="BG3713" s="6" t="s">
        <v>1855</v>
      </c>
      <c r="BH3713" s="5" t="s">
        <v>302</v>
      </c>
      <c r="BI3713" s="5" t="s">
        <v>448</v>
      </c>
      <c r="BJ3713" s="5" t="s">
        <v>240</v>
      </c>
      <c r="BK3713" s="8">
        <f>0</f>
        <v>0</v>
      </c>
      <c r="BL3713" s="7">
        <f>0</f>
        <v>0</v>
      </c>
      <c r="BM3713" s="5" t="s">
        <v>258</v>
      </c>
      <c r="BN3713" s="5" t="s">
        <v>259</v>
      </c>
      <c r="CB3713" s="5" t="s">
        <v>240</v>
      </c>
      <c r="CC3713" s="5" t="s">
        <v>240</v>
      </c>
      <c r="CG3713" s="5" t="s">
        <v>449</v>
      </c>
      <c r="CH3713" s="5" t="s">
        <v>305</v>
      </c>
      <c r="CI3713" s="5" t="s">
        <v>240</v>
      </c>
      <c r="CL3713" s="6" t="s">
        <v>261</v>
      </c>
      <c r="CM3713" s="5" t="s">
        <v>240</v>
      </c>
      <c r="CN3713" s="5" t="s">
        <v>263</v>
      </c>
      <c r="CO3713" s="5" t="s">
        <v>240</v>
      </c>
      <c r="CP3713" s="5" t="s">
        <v>240</v>
      </c>
      <c r="CQ3713" s="5">
        <v>0</v>
      </c>
      <c r="CR3713" s="5" t="s">
        <v>306</v>
      </c>
      <c r="CS3713" s="5" t="s">
        <v>307</v>
      </c>
      <c r="CT3713" s="5" t="s">
        <v>307</v>
      </c>
      <c r="CU3713" s="5" t="s">
        <v>260</v>
      </c>
      <c r="CX3713" s="7">
        <f>767187</f>
        <v>767187</v>
      </c>
      <c r="CY3713" s="7">
        <f>0</f>
        <v>0</v>
      </c>
      <c r="DA3713" s="7">
        <f>0</f>
        <v>0</v>
      </c>
      <c r="DC3713" s="5" t="s">
        <v>450</v>
      </c>
      <c r="DD3713" s="5" t="s">
        <v>240</v>
      </c>
      <c r="DF3713" s="5" t="s">
        <v>450</v>
      </c>
      <c r="DG3713" s="7">
        <f>79.01</f>
        <v>79.010000000000005</v>
      </c>
      <c r="DI3713" s="5" t="s">
        <v>240</v>
      </c>
      <c r="DJ3713" s="5" t="s">
        <v>240</v>
      </c>
      <c r="DK3713" s="5" t="s">
        <v>240</v>
      </c>
      <c r="DL3713" s="5" t="s">
        <v>240</v>
      </c>
      <c r="DP3713" s="5" t="s">
        <v>240</v>
      </c>
      <c r="DQ3713" s="5" t="s">
        <v>240</v>
      </c>
      <c r="DR3713" s="5" t="s">
        <v>240</v>
      </c>
      <c r="DS3713" s="5" t="s">
        <v>240</v>
      </c>
      <c r="DV3713" s="5" t="s">
        <v>310</v>
      </c>
      <c r="DW3713" s="5" t="s">
        <v>2546</v>
      </c>
      <c r="HO3713" s="5" t="s">
        <v>312</v>
      </c>
    </row>
    <row r="3714" spans="1:240" x14ac:dyDescent="0.4">
      <c r="A3714" s="5">
        <v>9256</v>
      </c>
      <c r="B3714" s="5">
        <v>1</v>
      </c>
      <c r="C3714" s="5">
        <v>1</v>
      </c>
      <c r="D3714" s="5" t="s">
        <v>723</v>
      </c>
      <c r="E3714" s="5" t="s">
        <v>725</v>
      </c>
      <c r="F3714" s="5" t="s">
        <v>254</v>
      </c>
      <c r="G3714" s="5" t="s">
        <v>726</v>
      </c>
      <c r="H3714" s="6" t="s">
        <v>5558</v>
      </c>
      <c r="I3714" s="5" t="s">
        <v>5557</v>
      </c>
      <c r="J3714" s="7">
        <f>1</f>
        <v>1</v>
      </c>
      <c r="K3714" s="5" t="s">
        <v>3682</v>
      </c>
      <c r="L3714" s="7">
        <f>1</f>
        <v>1</v>
      </c>
      <c r="M3714" s="7">
        <f>1</f>
        <v>1</v>
      </c>
      <c r="N3714" s="5" t="s">
        <v>242</v>
      </c>
      <c r="O3714" s="5">
        <v>1</v>
      </c>
      <c r="P3714" s="5" t="s">
        <v>294</v>
      </c>
      <c r="Q3714" s="5" t="s">
        <v>613</v>
      </c>
      <c r="R3714" s="5" t="s">
        <v>240</v>
      </c>
      <c r="S3714" s="5" t="s">
        <v>240</v>
      </c>
      <c r="T3714" s="5" t="s">
        <v>243</v>
      </c>
      <c r="U3714" s="5" t="s">
        <v>724</v>
      </c>
      <c r="V3714" s="5" t="s">
        <v>240</v>
      </c>
      <c r="W3714" s="5" t="s">
        <v>240</v>
      </c>
      <c r="X3714" s="5" t="s">
        <v>240</v>
      </c>
      <c r="Y3714" s="5" t="s">
        <v>240</v>
      </c>
      <c r="Z3714" s="6" t="s">
        <v>298</v>
      </c>
      <c r="AA3714" s="6" t="s">
        <v>240</v>
      </c>
      <c r="AB3714" s="6" t="s">
        <v>240</v>
      </c>
      <c r="AC3714" s="5" t="s">
        <v>240</v>
      </c>
      <c r="AD3714" s="6" t="s">
        <v>240</v>
      </c>
      <c r="AE3714" s="6" t="s">
        <v>299</v>
      </c>
      <c r="AF3714" s="5" t="s">
        <v>727</v>
      </c>
      <c r="AG3714" s="5" t="s">
        <v>260</v>
      </c>
      <c r="AH3714" s="5" t="s">
        <v>240</v>
      </c>
      <c r="AI3714" s="5" t="s">
        <v>240</v>
      </c>
      <c r="AJ3714" s="5" t="s">
        <v>240</v>
      </c>
      <c r="AK3714" s="5" t="s">
        <v>240</v>
      </c>
      <c r="AL3714" s="5" t="s">
        <v>240</v>
      </c>
      <c r="AM3714" s="5" t="s">
        <v>240</v>
      </c>
      <c r="AN3714" s="5" t="s">
        <v>240</v>
      </c>
      <c r="AO3714" s="5" t="s">
        <v>240</v>
      </c>
      <c r="AP3714" s="6" t="s">
        <v>240</v>
      </c>
      <c r="AQ3714" s="6" t="s">
        <v>240</v>
      </c>
      <c r="AR3714" s="6" t="s">
        <v>240</v>
      </c>
      <c r="AS3714" s="6" t="s">
        <v>240</v>
      </c>
      <c r="AT3714" s="5" t="s">
        <v>240</v>
      </c>
      <c r="AU3714" s="5" t="s">
        <v>729</v>
      </c>
      <c r="AV3714" s="5" t="s">
        <v>729</v>
      </c>
      <c r="AW3714" s="5" t="s">
        <v>251</v>
      </c>
      <c r="AX3714" s="5" t="s">
        <v>252</v>
      </c>
      <c r="AY3714" s="5" t="s">
        <v>253</v>
      </c>
      <c r="AZ3714" s="5" t="s">
        <v>240</v>
      </c>
      <c r="BA3714" s="5" t="s">
        <v>255</v>
      </c>
      <c r="BB3714" s="5" t="s">
        <v>731</v>
      </c>
      <c r="BD3714" s="5" t="s">
        <v>240</v>
      </c>
      <c r="BF3714" s="5" t="s">
        <v>732</v>
      </c>
      <c r="BG3714" s="6" t="s">
        <v>733</v>
      </c>
      <c r="BH3714" s="5" t="s">
        <v>734</v>
      </c>
      <c r="BI3714" s="5" t="s">
        <v>734</v>
      </c>
      <c r="BJ3714" s="5" t="s">
        <v>240</v>
      </c>
      <c r="BK3714" s="8">
        <f>305</f>
        <v>305</v>
      </c>
      <c r="BL3714" s="7">
        <f>0</f>
        <v>0</v>
      </c>
      <c r="BM3714" s="5" t="s">
        <v>258</v>
      </c>
      <c r="BN3714" s="5" t="s">
        <v>259</v>
      </c>
      <c r="BO3714" s="5" t="s">
        <v>240</v>
      </c>
      <c r="BP3714" s="5" t="s">
        <v>240</v>
      </c>
      <c r="BQ3714" s="5" t="s">
        <v>240</v>
      </c>
      <c r="BR3714" s="5" t="s">
        <v>240</v>
      </c>
      <c r="BS3714" s="5" t="s">
        <v>240</v>
      </c>
      <c r="BT3714" s="5" t="s">
        <v>240</v>
      </c>
      <c r="BU3714" s="5" t="s">
        <v>240</v>
      </c>
      <c r="BV3714" s="5" t="s">
        <v>240</v>
      </c>
      <c r="BW3714" s="6" t="s">
        <v>240</v>
      </c>
      <c r="BX3714" s="5" t="s">
        <v>240</v>
      </c>
      <c r="BY3714" s="5" t="s">
        <v>240</v>
      </c>
      <c r="BZ3714" s="5" t="s">
        <v>240</v>
      </c>
      <c r="CA3714" s="5" t="s">
        <v>259</v>
      </c>
      <c r="CB3714" s="5" t="s">
        <v>240</v>
      </c>
      <c r="CC3714" s="5" t="s">
        <v>240</v>
      </c>
      <c r="CD3714" s="5" t="s">
        <v>240</v>
      </c>
      <c r="CE3714" s="5" t="s">
        <v>240</v>
      </c>
      <c r="CF3714" s="5" t="s">
        <v>240</v>
      </c>
      <c r="CG3714" s="5" t="s">
        <v>617</v>
      </c>
      <c r="CH3714" s="5" t="s">
        <v>305</v>
      </c>
      <c r="CI3714" s="5" t="s">
        <v>240</v>
      </c>
      <c r="CL3714" s="6" t="s">
        <v>261</v>
      </c>
      <c r="CM3714" s="5" t="s">
        <v>262</v>
      </c>
      <c r="CN3714" s="5" t="s">
        <v>263</v>
      </c>
      <c r="CO3714" s="5" t="s">
        <v>264</v>
      </c>
      <c r="CP3714" s="5" t="s">
        <v>240</v>
      </c>
      <c r="CQ3714" s="5">
        <v>0</v>
      </c>
      <c r="CR3714" s="5" t="s">
        <v>735</v>
      </c>
      <c r="CS3714" s="5" t="s">
        <v>307</v>
      </c>
      <c r="CT3714" s="5" t="s">
        <v>307</v>
      </c>
      <c r="CU3714" s="5" t="s">
        <v>260</v>
      </c>
      <c r="CV3714" s="5" t="s">
        <v>240</v>
      </c>
      <c r="CW3714" s="8">
        <f>0</f>
        <v>0</v>
      </c>
      <c r="CX3714" s="7">
        <f>0</f>
        <v>0</v>
      </c>
      <c r="CY3714" s="7">
        <f>0</f>
        <v>0</v>
      </c>
      <c r="DA3714" s="7">
        <f>3355</f>
        <v>3355</v>
      </c>
      <c r="DB3714" s="7" t="s">
        <v>240</v>
      </c>
      <c r="DC3714" s="5" t="s">
        <v>240</v>
      </c>
      <c r="DD3714" s="5" t="s">
        <v>240</v>
      </c>
      <c r="DE3714" s="5" t="s">
        <v>240</v>
      </c>
      <c r="DF3714" s="5" t="s">
        <v>450</v>
      </c>
      <c r="DG3714" s="7">
        <f>0</f>
        <v>0</v>
      </c>
      <c r="DI3714" s="5" t="s">
        <v>737</v>
      </c>
      <c r="DJ3714" s="5" t="s">
        <v>240</v>
      </c>
      <c r="DK3714" s="5" t="s">
        <v>240</v>
      </c>
      <c r="DL3714" s="5" t="s">
        <v>240</v>
      </c>
      <c r="DM3714" s="5" t="s">
        <v>240</v>
      </c>
      <c r="DN3714" s="5" t="s">
        <v>240</v>
      </c>
      <c r="DO3714" s="7" t="s">
        <v>240</v>
      </c>
      <c r="DP3714" s="5" t="s">
        <v>240</v>
      </c>
      <c r="DQ3714" s="5" t="s">
        <v>240</v>
      </c>
      <c r="DR3714" s="5" t="s">
        <v>731</v>
      </c>
      <c r="DS3714" s="5" t="s">
        <v>731</v>
      </c>
      <c r="DT3714" s="5" t="s">
        <v>240</v>
      </c>
      <c r="DU3714" s="5" t="s">
        <v>240</v>
      </c>
      <c r="DV3714" s="5" t="s">
        <v>738</v>
      </c>
      <c r="DW3714" s="5" t="s">
        <v>1204</v>
      </c>
      <c r="DX3714" s="5" t="s">
        <v>240</v>
      </c>
      <c r="DY3714" s="5" t="s">
        <v>240</v>
      </c>
      <c r="DZ3714" s="5" t="s">
        <v>240</v>
      </c>
      <c r="EA3714" s="5" t="s">
        <v>240</v>
      </c>
      <c r="EB3714" s="5" t="s">
        <v>240</v>
      </c>
      <c r="EC3714" s="5" t="s">
        <v>240</v>
      </c>
      <c r="ED3714" s="5" t="s">
        <v>240</v>
      </c>
      <c r="EE3714" s="5" t="s">
        <v>240</v>
      </c>
      <c r="EF3714" s="5" t="s">
        <v>240</v>
      </c>
      <c r="EG3714" s="5" t="s">
        <v>240</v>
      </c>
      <c r="EH3714" s="5" t="s">
        <v>240</v>
      </c>
      <c r="EI3714" s="5" t="s">
        <v>240</v>
      </c>
      <c r="EJ3714" s="5" t="s">
        <v>240</v>
      </c>
      <c r="EK3714" s="5" t="s">
        <v>240</v>
      </c>
      <c r="EL3714" s="5" t="s">
        <v>240</v>
      </c>
      <c r="EM3714" s="5" t="s">
        <v>240</v>
      </c>
      <c r="EN3714" s="5" t="s">
        <v>240</v>
      </c>
      <c r="EO3714" s="5" t="s">
        <v>240</v>
      </c>
      <c r="EP3714" s="5" t="s">
        <v>240</v>
      </c>
      <c r="EQ3714" s="5" t="s">
        <v>240</v>
      </c>
      <c r="ER3714" s="5" t="s">
        <v>240</v>
      </c>
      <c r="ES3714" s="5" t="s">
        <v>240</v>
      </c>
      <c r="ET3714" s="5" t="s">
        <v>240</v>
      </c>
      <c r="EU3714" s="5" t="s">
        <v>240</v>
      </c>
      <c r="EV3714" s="5" t="s">
        <v>240</v>
      </c>
      <c r="EW3714" s="5" t="s">
        <v>240</v>
      </c>
      <c r="EX3714" s="5" t="s">
        <v>240</v>
      </c>
      <c r="EY3714" s="5" t="s">
        <v>240</v>
      </c>
      <c r="EZ3714" s="5" t="s">
        <v>240</v>
      </c>
      <c r="FA3714" s="5" t="s">
        <v>240</v>
      </c>
      <c r="FB3714" s="5" t="s">
        <v>240</v>
      </c>
      <c r="FC3714" s="5" t="s">
        <v>240</v>
      </c>
      <c r="FD3714" s="5" t="s">
        <v>240</v>
      </c>
      <c r="FE3714" s="5" t="s">
        <v>240</v>
      </c>
      <c r="FF3714" s="5" t="s">
        <v>240</v>
      </c>
      <c r="FG3714" s="5" t="s">
        <v>240</v>
      </c>
      <c r="FH3714" s="5" t="s">
        <v>240</v>
      </c>
      <c r="FI3714" s="5" t="s">
        <v>240</v>
      </c>
      <c r="FJ3714" s="5" t="s">
        <v>240</v>
      </c>
      <c r="FK3714" s="5" t="s">
        <v>240</v>
      </c>
      <c r="FL3714" s="5" t="s">
        <v>240</v>
      </c>
      <c r="FM3714" s="5" t="s">
        <v>240</v>
      </c>
      <c r="FN3714" s="5" t="s">
        <v>240</v>
      </c>
      <c r="FO3714" s="5" t="s">
        <v>240</v>
      </c>
      <c r="FP3714" s="5" t="s">
        <v>240</v>
      </c>
      <c r="FQ3714" s="5" t="s">
        <v>240</v>
      </c>
      <c r="FR3714" s="5" t="s">
        <v>240</v>
      </c>
      <c r="FS3714" s="5" t="s">
        <v>240</v>
      </c>
      <c r="FT3714" s="5" t="s">
        <v>240</v>
      </c>
      <c r="FU3714" s="5" t="s">
        <v>240</v>
      </c>
      <c r="FV3714" s="5" t="s">
        <v>240</v>
      </c>
      <c r="FW3714" s="5" t="s">
        <v>240</v>
      </c>
      <c r="FX3714" s="5" t="s">
        <v>240</v>
      </c>
      <c r="FY3714" s="5" t="s">
        <v>240</v>
      </c>
      <c r="FZ3714" s="5" t="s">
        <v>240</v>
      </c>
      <c r="GA3714" s="5" t="s">
        <v>240</v>
      </c>
      <c r="GB3714" s="5" t="s">
        <v>240</v>
      </c>
      <c r="GC3714" s="5" t="s">
        <v>240</v>
      </c>
      <c r="GD3714" s="5" t="s">
        <v>240</v>
      </c>
      <c r="GE3714" s="5" t="s">
        <v>240</v>
      </c>
      <c r="GF3714" s="5" t="s">
        <v>240</v>
      </c>
      <c r="GG3714" s="5" t="s">
        <v>240</v>
      </c>
      <c r="GH3714" s="5" t="s">
        <v>240</v>
      </c>
      <c r="GI3714" s="5" t="s">
        <v>240</v>
      </c>
      <c r="GJ3714" s="5" t="s">
        <v>240</v>
      </c>
      <c r="GK3714" s="5" t="s">
        <v>240</v>
      </c>
      <c r="GL3714" s="5" t="s">
        <v>240</v>
      </c>
      <c r="GM3714" s="5" t="s">
        <v>240</v>
      </c>
      <c r="GN3714" s="5" t="s">
        <v>240</v>
      </c>
      <c r="GO3714" s="5" t="s">
        <v>240</v>
      </c>
      <c r="GP3714" s="5" t="s">
        <v>240</v>
      </c>
      <c r="GQ3714" s="5" t="s">
        <v>240</v>
      </c>
      <c r="GR3714" s="5" t="s">
        <v>240</v>
      </c>
      <c r="GS3714" s="5" t="s">
        <v>240</v>
      </c>
      <c r="GT3714" s="5" t="s">
        <v>240</v>
      </c>
      <c r="GU3714" s="5" t="s">
        <v>240</v>
      </c>
      <c r="GV3714" s="5" t="s">
        <v>240</v>
      </c>
      <c r="GW3714" s="5" t="s">
        <v>240</v>
      </c>
      <c r="GX3714" s="5" t="s">
        <v>240</v>
      </c>
      <c r="GY3714" s="5" t="s">
        <v>240</v>
      </c>
      <c r="GZ3714" s="5" t="s">
        <v>240</v>
      </c>
      <c r="HA3714" s="5" t="s">
        <v>240</v>
      </c>
      <c r="HB3714" s="5" t="s">
        <v>240</v>
      </c>
      <c r="HC3714" s="5" t="s">
        <v>240</v>
      </c>
      <c r="HD3714" s="5" t="s">
        <v>240</v>
      </c>
      <c r="HE3714" s="5" t="s">
        <v>240</v>
      </c>
      <c r="HF3714" s="5" t="s">
        <v>240</v>
      </c>
      <c r="HG3714" s="5" t="s">
        <v>240</v>
      </c>
      <c r="HH3714" s="5" t="s">
        <v>240</v>
      </c>
      <c r="HI3714" s="5" t="s">
        <v>240</v>
      </c>
      <c r="HJ3714" s="5" t="s">
        <v>240</v>
      </c>
      <c r="HK3714" s="5" t="s">
        <v>240</v>
      </c>
      <c r="HL3714" s="5" t="s">
        <v>240</v>
      </c>
      <c r="HM3714" s="5" t="s">
        <v>240</v>
      </c>
      <c r="HN3714" s="5" t="s">
        <v>240</v>
      </c>
      <c r="HO3714" s="5" t="s">
        <v>312</v>
      </c>
      <c r="HP3714" s="5" t="s">
        <v>240</v>
      </c>
      <c r="HQ3714" s="5" t="s">
        <v>240</v>
      </c>
      <c r="HR3714" s="5" t="s">
        <v>240</v>
      </c>
      <c r="HS3714" s="5" t="s">
        <v>240</v>
      </c>
      <c r="HT3714" s="5" t="s">
        <v>240</v>
      </c>
      <c r="HU3714" s="5" t="s">
        <v>240</v>
      </c>
      <c r="HV3714" s="5" t="s">
        <v>240</v>
      </c>
      <c r="HW3714" s="5" t="s">
        <v>240</v>
      </c>
      <c r="HX3714" s="5" t="s">
        <v>240</v>
      </c>
      <c r="HY3714" s="5" t="s">
        <v>240</v>
      </c>
      <c r="HZ3714" s="5" t="s">
        <v>240</v>
      </c>
      <c r="IA3714" s="5" t="s">
        <v>240</v>
      </c>
      <c r="IB3714" s="5" t="s">
        <v>240</v>
      </c>
      <c r="IC3714" s="5" t="s">
        <v>240</v>
      </c>
      <c r="ID3714" s="5" t="s">
        <v>240</v>
      </c>
      <c r="IE3714" s="5" t="s">
        <v>240</v>
      </c>
      <c r="IF3714" s="5" t="s">
        <v>240</v>
      </c>
    </row>
    <row r="3715" spans="1:240" x14ac:dyDescent="0.4">
      <c r="A3715" s="5">
        <v>9257</v>
      </c>
      <c r="B3715" s="5">
        <v>1</v>
      </c>
      <c r="C3715" s="5">
        <v>1</v>
      </c>
      <c r="D3715" s="5" t="s">
        <v>723</v>
      </c>
      <c r="E3715" s="5" t="s">
        <v>725</v>
      </c>
      <c r="F3715" s="5" t="s">
        <v>254</v>
      </c>
      <c r="G3715" s="5" t="s">
        <v>6323</v>
      </c>
      <c r="H3715" s="6" t="s">
        <v>6324</v>
      </c>
      <c r="I3715" s="5" t="s">
        <v>6322</v>
      </c>
      <c r="J3715" s="7">
        <f>1</f>
        <v>1</v>
      </c>
      <c r="K3715" s="5" t="s">
        <v>3682</v>
      </c>
      <c r="L3715" s="7">
        <f>1</f>
        <v>1</v>
      </c>
      <c r="M3715" s="7">
        <f>1</f>
        <v>1</v>
      </c>
      <c r="N3715" s="5" t="s">
        <v>242</v>
      </c>
      <c r="O3715" s="5">
        <v>1</v>
      </c>
      <c r="P3715" s="5" t="s">
        <v>294</v>
      </c>
      <c r="Q3715" s="5" t="s">
        <v>613</v>
      </c>
      <c r="R3715" s="5" t="s">
        <v>240</v>
      </c>
      <c r="S3715" s="5" t="s">
        <v>240</v>
      </c>
      <c r="T3715" s="5" t="s">
        <v>243</v>
      </c>
      <c r="U3715" s="5" t="s">
        <v>724</v>
      </c>
      <c r="V3715" s="5" t="s">
        <v>240</v>
      </c>
      <c r="W3715" s="5" t="s">
        <v>240</v>
      </c>
      <c r="X3715" s="5" t="s">
        <v>240</v>
      </c>
      <c r="Y3715" s="5" t="s">
        <v>240</v>
      </c>
      <c r="Z3715" s="6" t="s">
        <v>298</v>
      </c>
      <c r="AA3715" s="6" t="s">
        <v>240</v>
      </c>
      <c r="AB3715" s="6" t="s">
        <v>240</v>
      </c>
      <c r="AC3715" s="5" t="s">
        <v>240</v>
      </c>
      <c r="AD3715" s="6" t="s">
        <v>240</v>
      </c>
      <c r="AE3715" s="6" t="s">
        <v>299</v>
      </c>
      <c r="AF3715" s="5" t="s">
        <v>727</v>
      </c>
      <c r="AG3715" s="5" t="s">
        <v>260</v>
      </c>
      <c r="AH3715" s="5" t="s">
        <v>240</v>
      </c>
      <c r="AI3715" s="5" t="s">
        <v>240</v>
      </c>
      <c r="AJ3715" s="5" t="s">
        <v>240</v>
      </c>
      <c r="AK3715" s="5" t="s">
        <v>240</v>
      </c>
      <c r="AL3715" s="5" t="s">
        <v>240</v>
      </c>
      <c r="AM3715" s="5" t="s">
        <v>240</v>
      </c>
      <c r="AN3715" s="5" t="s">
        <v>240</v>
      </c>
      <c r="AO3715" s="5" t="s">
        <v>240</v>
      </c>
      <c r="AP3715" s="6" t="s">
        <v>240</v>
      </c>
      <c r="AQ3715" s="6" t="s">
        <v>240</v>
      </c>
      <c r="AR3715" s="6" t="s">
        <v>240</v>
      </c>
      <c r="AS3715" s="6" t="s">
        <v>240</v>
      </c>
      <c r="AT3715" s="5" t="s">
        <v>240</v>
      </c>
      <c r="AU3715" s="5" t="s">
        <v>729</v>
      </c>
      <c r="AV3715" s="5" t="s">
        <v>729</v>
      </c>
      <c r="AW3715" s="5" t="s">
        <v>251</v>
      </c>
      <c r="AX3715" s="5" t="s">
        <v>252</v>
      </c>
      <c r="AY3715" s="5" t="s">
        <v>253</v>
      </c>
      <c r="AZ3715" s="5" t="s">
        <v>240</v>
      </c>
      <c r="BA3715" s="5" t="s">
        <v>255</v>
      </c>
      <c r="BB3715" s="5" t="s">
        <v>731</v>
      </c>
      <c r="BD3715" s="5" t="s">
        <v>240</v>
      </c>
      <c r="BF3715" s="5" t="s">
        <v>732</v>
      </c>
      <c r="BG3715" s="6" t="s">
        <v>733</v>
      </c>
      <c r="BH3715" s="5" t="s">
        <v>734</v>
      </c>
      <c r="BI3715" s="5" t="s">
        <v>734</v>
      </c>
      <c r="BJ3715" s="5" t="s">
        <v>240</v>
      </c>
      <c r="BK3715" s="8">
        <f>277.68</f>
        <v>277.68</v>
      </c>
      <c r="BL3715" s="7">
        <f>0</f>
        <v>0</v>
      </c>
      <c r="BM3715" s="5" t="s">
        <v>258</v>
      </c>
      <c r="BN3715" s="5" t="s">
        <v>259</v>
      </c>
      <c r="BO3715" s="5" t="s">
        <v>240</v>
      </c>
      <c r="BP3715" s="5" t="s">
        <v>240</v>
      </c>
      <c r="BQ3715" s="5" t="s">
        <v>240</v>
      </c>
      <c r="BR3715" s="5" t="s">
        <v>240</v>
      </c>
      <c r="BS3715" s="5" t="s">
        <v>240</v>
      </c>
      <c r="BT3715" s="5" t="s">
        <v>240</v>
      </c>
      <c r="BU3715" s="5" t="s">
        <v>240</v>
      </c>
      <c r="BV3715" s="5" t="s">
        <v>240</v>
      </c>
      <c r="BW3715" s="6" t="s">
        <v>240</v>
      </c>
      <c r="BX3715" s="5" t="s">
        <v>240</v>
      </c>
      <c r="BY3715" s="5" t="s">
        <v>240</v>
      </c>
      <c r="BZ3715" s="5" t="s">
        <v>240</v>
      </c>
      <c r="CA3715" s="5" t="s">
        <v>259</v>
      </c>
      <c r="CB3715" s="5" t="s">
        <v>240</v>
      </c>
      <c r="CC3715" s="5" t="s">
        <v>240</v>
      </c>
      <c r="CD3715" s="5" t="s">
        <v>240</v>
      </c>
      <c r="CE3715" s="5" t="s">
        <v>240</v>
      </c>
      <c r="CF3715" s="5" t="s">
        <v>240</v>
      </c>
      <c r="CG3715" s="5" t="s">
        <v>617</v>
      </c>
      <c r="CH3715" s="5" t="s">
        <v>305</v>
      </c>
      <c r="CI3715" s="5" t="s">
        <v>240</v>
      </c>
      <c r="CL3715" s="6" t="s">
        <v>261</v>
      </c>
      <c r="CM3715" s="5" t="s">
        <v>262</v>
      </c>
      <c r="CN3715" s="5" t="s">
        <v>263</v>
      </c>
      <c r="CO3715" s="5" t="s">
        <v>264</v>
      </c>
      <c r="CP3715" s="5" t="s">
        <v>240</v>
      </c>
      <c r="CQ3715" s="5">
        <v>0</v>
      </c>
      <c r="CR3715" s="5" t="s">
        <v>735</v>
      </c>
      <c r="CS3715" s="5" t="s">
        <v>307</v>
      </c>
      <c r="CT3715" s="5" t="s">
        <v>307</v>
      </c>
      <c r="CU3715" s="5" t="s">
        <v>260</v>
      </c>
      <c r="CV3715" s="5" t="s">
        <v>240</v>
      </c>
      <c r="CW3715" s="8">
        <f>0</f>
        <v>0</v>
      </c>
      <c r="CX3715" s="7">
        <f>0</f>
        <v>0</v>
      </c>
      <c r="CY3715" s="7">
        <f>0</f>
        <v>0</v>
      </c>
      <c r="DA3715" s="7">
        <f>3054</f>
        <v>3054</v>
      </c>
      <c r="DB3715" s="7" t="s">
        <v>240</v>
      </c>
      <c r="DC3715" s="5" t="s">
        <v>240</v>
      </c>
      <c r="DD3715" s="5" t="s">
        <v>240</v>
      </c>
      <c r="DE3715" s="5" t="s">
        <v>240</v>
      </c>
      <c r="DF3715" s="5" t="s">
        <v>450</v>
      </c>
      <c r="DG3715" s="7">
        <f>0</f>
        <v>0</v>
      </c>
      <c r="DI3715" s="5" t="s">
        <v>737</v>
      </c>
      <c r="DJ3715" s="5" t="s">
        <v>240</v>
      </c>
      <c r="DK3715" s="5" t="s">
        <v>240</v>
      </c>
      <c r="DL3715" s="5" t="s">
        <v>240</v>
      </c>
      <c r="DM3715" s="5" t="s">
        <v>240</v>
      </c>
      <c r="DN3715" s="5" t="s">
        <v>240</v>
      </c>
      <c r="DO3715" s="7" t="s">
        <v>240</v>
      </c>
      <c r="DP3715" s="5" t="s">
        <v>240</v>
      </c>
      <c r="DQ3715" s="5" t="s">
        <v>240</v>
      </c>
      <c r="DR3715" s="5" t="s">
        <v>731</v>
      </c>
      <c r="DS3715" s="5" t="s">
        <v>731</v>
      </c>
      <c r="DT3715" s="5" t="s">
        <v>240</v>
      </c>
      <c r="DU3715" s="5" t="s">
        <v>240</v>
      </c>
      <c r="DV3715" s="5" t="s">
        <v>738</v>
      </c>
      <c r="DW3715" s="5" t="s">
        <v>568</v>
      </c>
      <c r="DX3715" s="5" t="s">
        <v>240</v>
      </c>
      <c r="DY3715" s="5" t="s">
        <v>240</v>
      </c>
      <c r="DZ3715" s="5" t="s">
        <v>240</v>
      </c>
      <c r="EA3715" s="5" t="s">
        <v>240</v>
      </c>
      <c r="EB3715" s="5" t="s">
        <v>240</v>
      </c>
      <c r="EC3715" s="5" t="s">
        <v>240</v>
      </c>
      <c r="ED3715" s="5" t="s">
        <v>240</v>
      </c>
      <c r="EE3715" s="5" t="s">
        <v>240</v>
      </c>
      <c r="EF3715" s="5" t="s">
        <v>240</v>
      </c>
      <c r="EG3715" s="5" t="s">
        <v>240</v>
      </c>
      <c r="EH3715" s="5" t="s">
        <v>240</v>
      </c>
      <c r="EI3715" s="5" t="s">
        <v>240</v>
      </c>
      <c r="EJ3715" s="5" t="s">
        <v>240</v>
      </c>
      <c r="EK3715" s="5" t="s">
        <v>240</v>
      </c>
      <c r="EL3715" s="5" t="s">
        <v>240</v>
      </c>
      <c r="EM3715" s="5" t="s">
        <v>240</v>
      </c>
      <c r="EN3715" s="5" t="s">
        <v>240</v>
      </c>
      <c r="EO3715" s="5" t="s">
        <v>240</v>
      </c>
      <c r="EP3715" s="5" t="s">
        <v>240</v>
      </c>
      <c r="EQ3715" s="5" t="s">
        <v>240</v>
      </c>
      <c r="ER3715" s="5" t="s">
        <v>240</v>
      </c>
      <c r="ES3715" s="5" t="s">
        <v>240</v>
      </c>
      <c r="ET3715" s="5" t="s">
        <v>240</v>
      </c>
      <c r="EU3715" s="5" t="s">
        <v>240</v>
      </c>
      <c r="EV3715" s="5" t="s">
        <v>240</v>
      </c>
      <c r="EW3715" s="5" t="s">
        <v>240</v>
      </c>
      <c r="EX3715" s="5" t="s">
        <v>240</v>
      </c>
      <c r="EY3715" s="5" t="s">
        <v>240</v>
      </c>
      <c r="EZ3715" s="5" t="s">
        <v>240</v>
      </c>
      <c r="FA3715" s="5" t="s">
        <v>240</v>
      </c>
      <c r="FB3715" s="5" t="s">
        <v>240</v>
      </c>
      <c r="FC3715" s="5" t="s">
        <v>240</v>
      </c>
      <c r="FD3715" s="5" t="s">
        <v>240</v>
      </c>
      <c r="FE3715" s="5" t="s">
        <v>240</v>
      </c>
      <c r="FF3715" s="5" t="s">
        <v>240</v>
      </c>
      <c r="FG3715" s="5" t="s">
        <v>240</v>
      </c>
      <c r="FH3715" s="5" t="s">
        <v>240</v>
      </c>
      <c r="FI3715" s="5" t="s">
        <v>240</v>
      </c>
      <c r="FJ3715" s="5" t="s">
        <v>240</v>
      </c>
      <c r="FK3715" s="5" t="s">
        <v>240</v>
      </c>
      <c r="FL3715" s="5" t="s">
        <v>240</v>
      </c>
      <c r="FM3715" s="5" t="s">
        <v>240</v>
      </c>
      <c r="FN3715" s="5" t="s">
        <v>240</v>
      </c>
      <c r="FO3715" s="5" t="s">
        <v>240</v>
      </c>
      <c r="FP3715" s="5" t="s">
        <v>240</v>
      </c>
      <c r="FQ3715" s="5" t="s">
        <v>240</v>
      </c>
      <c r="FR3715" s="5" t="s">
        <v>240</v>
      </c>
      <c r="FS3715" s="5" t="s">
        <v>240</v>
      </c>
      <c r="FT3715" s="5" t="s">
        <v>240</v>
      </c>
      <c r="FU3715" s="5" t="s">
        <v>240</v>
      </c>
      <c r="FV3715" s="5" t="s">
        <v>240</v>
      </c>
      <c r="FW3715" s="5" t="s">
        <v>240</v>
      </c>
      <c r="FX3715" s="5" t="s">
        <v>240</v>
      </c>
      <c r="FY3715" s="5" t="s">
        <v>240</v>
      </c>
      <c r="FZ3715" s="5" t="s">
        <v>240</v>
      </c>
      <c r="GA3715" s="5" t="s">
        <v>240</v>
      </c>
      <c r="GB3715" s="5" t="s">
        <v>240</v>
      </c>
      <c r="GC3715" s="5" t="s">
        <v>240</v>
      </c>
      <c r="GD3715" s="5" t="s">
        <v>240</v>
      </c>
      <c r="GE3715" s="5" t="s">
        <v>240</v>
      </c>
      <c r="GF3715" s="5" t="s">
        <v>240</v>
      </c>
      <c r="GG3715" s="5" t="s">
        <v>240</v>
      </c>
      <c r="GH3715" s="5" t="s">
        <v>240</v>
      </c>
      <c r="GI3715" s="5" t="s">
        <v>240</v>
      </c>
      <c r="GJ3715" s="5" t="s">
        <v>240</v>
      </c>
      <c r="GK3715" s="5" t="s">
        <v>240</v>
      </c>
      <c r="GL3715" s="5" t="s">
        <v>240</v>
      </c>
      <c r="GM3715" s="5" t="s">
        <v>240</v>
      </c>
      <c r="GN3715" s="5" t="s">
        <v>240</v>
      </c>
      <c r="GO3715" s="5" t="s">
        <v>240</v>
      </c>
      <c r="GP3715" s="5" t="s">
        <v>240</v>
      </c>
      <c r="GQ3715" s="5" t="s">
        <v>240</v>
      </c>
      <c r="GR3715" s="5" t="s">
        <v>240</v>
      </c>
      <c r="GS3715" s="5" t="s">
        <v>240</v>
      </c>
      <c r="GT3715" s="5" t="s">
        <v>240</v>
      </c>
      <c r="GU3715" s="5" t="s">
        <v>240</v>
      </c>
      <c r="GV3715" s="5" t="s">
        <v>240</v>
      </c>
      <c r="GW3715" s="5" t="s">
        <v>240</v>
      </c>
      <c r="GX3715" s="5" t="s">
        <v>240</v>
      </c>
      <c r="GY3715" s="5" t="s">
        <v>240</v>
      </c>
      <c r="GZ3715" s="5" t="s">
        <v>240</v>
      </c>
      <c r="HA3715" s="5" t="s">
        <v>240</v>
      </c>
      <c r="HB3715" s="5" t="s">
        <v>240</v>
      </c>
      <c r="HC3715" s="5" t="s">
        <v>240</v>
      </c>
      <c r="HD3715" s="5" t="s">
        <v>240</v>
      </c>
      <c r="HE3715" s="5" t="s">
        <v>240</v>
      </c>
      <c r="HF3715" s="5" t="s">
        <v>240</v>
      </c>
      <c r="HG3715" s="5" t="s">
        <v>240</v>
      </c>
      <c r="HH3715" s="5" t="s">
        <v>240</v>
      </c>
      <c r="HI3715" s="5" t="s">
        <v>240</v>
      </c>
      <c r="HJ3715" s="5" t="s">
        <v>240</v>
      </c>
      <c r="HK3715" s="5" t="s">
        <v>240</v>
      </c>
      <c r="HL3715" s="5" t="s">
        <v>240</v>
      </c>
      <c r="HM3715" s="5" t="s">
        <v>240</v>
      </c>
      <c r="HN3715" s="5" t="s">
        <v>240</v>
      </c>
      <c r="HO3715" s="5" t="s">
        <v>620</v>
      </c>
      <c r="HP3715" s="5" t="s">
        <v>240</v>
      </c>
      <c r="HQ3715" s="5" t="s">
        <v>240</v>
      </c>
      <c r="HR3715" s="5" t="s">
        <v>240</v>
      </c>
      <c r="HS3715" s="5" t="s">
        <v>240</v>
      </c>
      <c r="HT3715" s="5" t="s">
        <v>240</v>
      </c>
      <c r="HU3715" s="5" t="s">
        <v>240</v>
      </c>
      <c r="HV3715" s="5" t="s">
        <v>240</v>
      </c>
      <c r="HW3715" s="5" t="s">
        <v>240</v>
      </c>
      <c r="HX3715" s="5" t="s">
        <v>240</v>
      </c>
      <c r="HY3715" s="5" t="s">
        <v>240</v>
      </c>
      <c r="HZ3715" s="5" t="s">
        <v>240</v>
      </c>
      <c r="IA3715" s="5" t="s">
        <v>240</v>
      </c>
      <c r="IB3715" s="5" t="s">
        <v>240</v>
      </c>
      <c r="IC3715" s="5" t="s">
        <v>240</v>
      </c>
      <c r="ID3715" s="5" t="s">
        <v>240</v>
      </c>
      <c r="IE3715" s="5" t="s">
        <v>240</v>
      </c>
      <c r="IF3715" s="5" t="s">
        <v>240</v>
      </c>
    </row>
    <row r="3716" spans="1:240" x14ac:dyDescent="0.4">
      <c r="A3716" s="5">
        <v>9258</v>
      </c>
      <c r="B3716" s="5">
        <v>1</v>
      </c>
      <c r="C3716" s="5">
        <v>1</v>
      </c>
      <c r="D3716" s="5" t="s">
        <v>723</v>
      </c>
      <c r="E3716" s="5" t="s">
        <v>725</v>
      </c>
      <c r="F3716" s="5" t="s">
        <v>254</v>
      </c>
      <c r="G3716" s="5" t="s">
        <v>726</v>
      </c>
      <c r="H3716" s="6" t="s">
        <v>5555</v>
      </c>
      <c r="I3716" s="5" t="s">
        <v>5554</v>
      </c>
      <c r="J3716" s="7">
        <f>1</f>
        <v>1</v>
      </c>
      <c r="K3716" s="5" t="s">
        <v>3682</v>
      </c>
      <c r="L3716" s="7">
        <f>1</f>
        <v>1</v>
      </c>
      <c r="M3716" s="7">
        <f>1</f>
        <v>1</v>
      </c>
      <c r="N3716" s="5" t="s">
        <v>242</v>
      </c>
      <c r="O3716" s="5">
        <v>1</v>
      </c>
      <c r="P3716" s="5" t="s">
        <v>294</v>
      </c>
      <c r="Q3716" s="5" t="s">
        <v>613</v>
      </c>
      <c r="R3716" s="5" t="s">
        <v>240</v>
      </c>
      <c r="S3716" s="5" t="s">
        <v>240</v>
      </c>
      <c r="T3716" s="5" t="s">
        <v>243</v>
      </c>
      <c r="U3716" s="5" t="s">
        <v>724</v>
      </c>
      <c r="V3716" s="5" t="s">
        <v>240</v>
      </c>
      <c r="W3716" s="5" t="s">
        <v>240</v>
      </c>
      <c r="X3716" s="5" t="s">
        <v>240</v>
      </c>
      <c r="Y3716" s="5" t="s">
        <v>240</v>
      </c>
      <c r="Z3716" s="6" t="s">
        <v>298</v>
      </c>
      <c r="AA3716" s="6" t="s">
        <v>240</v>
      </c>
      <c r="AB3716" s="6" t="s">
        <v>240</v>
      </c>
      <c r="AC3716" s="5" t="s">
        <v>240</v>
      </c>
      <c r="AD3716" s="6" t="s">
        <v>240</v>
      </c>
      <c r="AE3716" s="6" t="s">
        <v>299</v>
      </c>
      <c r="AF3716" s="5" t="s">
        <v>727</v>
      </c>
      <c r="AG3716" s="5" t="s">
        <v>260</v>
      </c>
      <c r="AH3716" s="5" t="s">
        <v>240</v>
      </c>
      <c r="AI3716" s="5" t="s">
        <v>240</v>
      </c>
      <c r="AJ3716" s="5" t="s">
        <v>240</v>
      </c>
      <c r="AK3716" s="5" t="s">
        <v>240</v>
      </c>
      <c r="AL3716" s="5" t="s">
        <v>240</v>
      </c>
      <c r="AM3716" s="5" t="s">
        <v>240</v>
      </c>
      <c r="AN3716" s="5" t="s">
        <v>240</v>
      </c>
      <c r="AO3716" s="5" t="s">
        <v>240</v>
      </c>
      <c r="AP3716" s="6" t="s">
        <v>240</v>
      </c>
      <c r="AQ3716" s="6" t="s">
        <v>240</v>
      </c>
      <c r="AR3716" s="6" t="s">
        <v>240</v>
      </c>
      <c r="AS3716" s="6" t="s">
        <v>240</v>
      </c>
      <c r="AT3716" s="5" t="s">
        <v>240</v>
      </c>
      <c r="AU3716" s="5" t="s">
        <v>729</v>
      </c>
      <c r="AV3716" s="5" t="s">
        <v>729</v>
      </c>
      <c r="AW3716" s="5" t="s">
        <v>251</v>
      </c>
      <c r="AX3716" s="5" t="s">
        <v>252</v>
      </c>
      <c r="AY3716" s="5" t="s">
        <v>253</v>
      </c>
      <c r="AZ3716" s="5" t="s">
        <v>240</v>
      </c>
      <c r="BA3716" s="5" t="s">
        <v>255</v>
      </c>
      <c r="BB3716" s="5" t="s">
        <v>731</v>
      </c>
      <c r="BD3716" s="5" t="s">
        <v>240</v>
      </c>
      <c r="BF3716" s="5" t="s">
        <v>732</v>
      </c>
      <c r="BG3716" s="6" t="s">
        <v>733</v>
      </c>
      <c r="BH3716" s="5" t="s">
        <v>734</v>
      </c>
      <c r="BI3716" s="5" t="s">
        <v>734</v>
      </c>
      <c r="BJ3716" s="5" t="s">
        <v>240</v>
      </c>
      <c r="BK3716" s="8">
        <f>185.12</f>
        <v>185.12</v>
      </c>
      <c r="BL3716" s="7">
        <f>0</f>
        <v>0</v>
      </c>
      <c r="BM3716" s="5" t="s">
        <v>258</v>
      </c>
      <c r="BN3716" s="5" t="s">
        <v>259</v>
      </c>
      <c r="BO3716" s="5" t="s">
        <v>240</v>
      </c>
      <c r="BP3716" s="5" t="s">
        <v>240</v>
      </c>
      <c r="BQ3716" s="5" t="s">
        <v>240</v>
      </c>
      <c r="BR3716" s="5" t="s">
        <v>240</v>
      </c>
      <c r="BS3716" s="5" t="s">
        <v>240</v>
      </c>
      <c r="BT3716" s="5" t="s">
        <v>240</v>
      </c>
      <c r="BU3716" s="5" t="s">
        <v>240</v>
      </c>
      <c r="BV3716" s="5" t="s">
        <v>240</v>
      </c>
      <c r="BW3716" s="6" t="s">
        <v>240</v>
      </c>
      <c r="BX3716" s="5" t="s">
        <v>240</v>
      </c>
      <c r="BY3716" s="5" t="s">
        <v>240</v>
      </c>
      <c r="BZ3716" s="5" t="s">
        <v>240</v>
      </c>
      <c r="CA3716" s="5" t="s">
        <v>259</v>
      </c>
      <c r="CB3716" s="5" t="s">
        <v>240</v>
      </c>
      <c r="CC3716" s="5" t="s">
        <v>240</v>
      </c>
      <c r="CD3716" s="5" t="s">
        <v>240</v>
      </c>
      <c r="CE3716" s="5" t="s">
        <v>240</v>
      </c>
      <c r="CF3716" s="5" t="s">
        <v>240</v>
      </c>
      <c r="CG3716" s="5" t="s">
        <v>617</v>
      </c>
      <c r="CH3716" s="5" t="s">
        <v>305</v>
      </c>
      <c r="CI3716" s="5" t="s">
        <v>240</v>
      </c>
      <c r="CL3716" s="6" t="s">
        <v>261</v>
      </c>
      <c r="CM3716" s="5" t="s">
        <v>262</v>
      </c>
      <c r="CN3716" s="5" t="s">
        <v>263</v>
      </c>
      <c r="CO3716" s="5" t="s">
        <v>264</v>
      </c>
      <c r="CP3716" s="5" t="s">
        <v>240</v>
      </c>
      <c r="CQ3716" s="5">
        <v>0</v>
      </c>
      <c r="CR3716" s="5" t="s">
        <v>735</v>
      </c>
      <c r="CS3716" s="5" t="s">
        <v>307</v>
      </c>
      <c r="CT3716" s="5" t="s">
        <v>307</v>
      </c>
      <c r="CU3716" s="5" t="s">
        <v>260</v>
      </c>
      <c r="CV3716" s="5" t="s">
        <v>240</v>
      </c>
      <c r="CW3716" s="8">
        <f>0</f>
        <v>0</v>
      </c>
      <c r="CX3716" s="7">
        <f>0</f>
        <v>0</v>
      </c>
      <c r="CY3716" s="7">
        <f>0</f>
        <v>0</v>
      </c>
      <c r="DA3716" s="7">
        <f>2036</f>
        <v>2036</v>
      </c>
      <c r="DB3716" s="7" t="s">
        <v>240</v>
      </c>
      <c r="DC3716" s="5" t="s">
        <v>240</v>
      </c>
      <c r="DD3716" s="5" t="s">
        <v>240</v>
      </c>
      <c r="DE3716" s="5" t="s">
        <v>240</v>
      </c>
      <c r="DF3716" s="5" t="s">
        <v>450</v>
      </c>
      <c r="DG3716" s="7">
        <f>0</f>
        <v>0</v>
      </c>
      <c r="DI3716" s="5" t="s">
        <v>737</v>
      </c>
      <c r="DJ3716" s="5" t="s">
        <v>240</v>
      </c>
      <c r="DK3716" s="5" t="s">
        <v>240</v>
      </c>
      <c r="DL3716" s="5" t="s">
        <v>240</v>
      </c>
      <c r="DM3716" s="5" t="s">
        <v>240</v>
      </c>
      <c r="DN3716" s="5" t="s">
        <v>240</v>
      </c>
      <c r="DO3716" s="7" t="s">
        <v>240</v>
      </c>
      <c r="DP3716" s="5" t="s">
        <v>240</v>
      </c>
      <c r="DQ3716" s="5" t="s">
        <v>240</v>
      </c>
      <c r="DR3716" s="5" t="s">
        <v>731</v>
      </c>
      <c r="DS3716" s="5" t="s">
        <v>731</v>
      </c>
      <c r="DT3716" s="5" t="s">
        <v>240</v>
      </c>
      <c r="DU3716" s="5" t="s">
        <v>240</v>
      </c>
      <c r="DV3716" s="5" t="s">
        <v>738</v>
      </c>
      <c r="DW3716" s="5" t="s">
        <v>645</v>
      </c>
      <c r="DX3716" s="5" t="s">
        <v>240</v>
      </c>
      <c r="DY3716" s="5" t="s">
        <v>240</v>
      </c>
      <c r="DZ3716" s="5" t="s">
        <v>240</v>
      </c>
      <c r="EA3716" s="5" t="s">
        <v>240</v>
      </c>
      <c r="EB3716" s="5" t="s">
        <v>240</v>
      </c>
      <c r="EC3716" s="5" t="s">
        <v>240</v>
      </c>
      <c r="ED3716" s="5" t="s">
        <v>240</v>
      </c>
      <c r="EE3716" s="5" t="s">
        <v>240</v>
      </c>
      <c r="EF3716" s="5" t="s">
        <v>240</v>
      </c>
      <c r="EG3716" s="5" t="s">
        <v>240</v>
      </c>
      <c r="EH3716" s="5" t="s">
        <v>240</v>
      </c>
      <c r="EI3716" s="5" t="s">
        <v>240</v>
      </c>
      <c r="EJ3716" s="5" t="s">
        <v>240</v>
      </c>
      <c r="EK3716" s="5" t="s">
        <v>240</v>
      </c>
      <c r="EL3716" s="5" t="s">
        <v>240</v>
      </c>
      <c r="EM3716" s="5" t="s">
        <v>240</v>
      </c>
      <c r="EN3716" s="5" t="s">
        <v>240</v>
      </c>
      <c r="EO3716" s="5" t="s">
        <v>240</v>
      </c>
      <c r="EP3716" s="5" t="s">
        <v>240</v>
      </c>
      <c r="EQ3716" s="5" t="s">
        <v>240</v>
      </c>
      <c r="ER3716" s="5" t="s">
        <v>240</v>
      </c>
      <c r="ES3716" s="5" t="s">
        <v>240</v>
      </c>
      <c r="ET3716" s="5" t="s">
        <v>240</v>
      </c>
      <c r="EU3716" s="5" t="s">
        <v>240</v>
      </c>
      <c r="EV3716" s="5" t="s">
        <v>240</v>
      </c>
      <c r="EW3716" s="5" t="s">
        <v>240</v>
      </c>
      <c r="EX3716" s="5" t="s">
        <v>240</v>
      </c>
      <c r="EY3716" s="5" t="s">
        <v>240</v>
      </c>
      <c r="EZ3716" s="5" t="s">
        <v>240</v>
      </c>
      <c r="FA3716" s="5" t="s">
        <v>240</v>
      </c>
      <c r="FB3716" s="5" t="s">
        <v>240</v>
      </c>
      <c r="FC3716" s="5" t="s">
        <v>240</v>
      </c>
      <c r="FD3716" s="5" t="s">
        <v>240</v>
      </c>
      <c r="FE3716" s="5" t="s">
        <v>240</v>
      </c>
      <c r="FF3716" s="5" t="s">
        <v>240</v>
      </c>
      <c r="FG3716" s="5" t="s">
        <v>240</v>
      </c>
      <c r="FH3716" s="5" t="s">
        <v>240</v>
      </c>
      <c r="FI3716" s="5" t="s">
        <v>240</v>
      </c>
      <c r="FJ3716" s="5" t="s">
        <v>240</v>
      </c>
      <c r="FK3716" s="5" t="s">
        <v>240</v>
      </c>
      <c r="FL3716" s="5" t="s">
        <v>240</v>
      </c>
      <c r="FM3716" s="5" t="s">
        <v>240</v>
      </c>
      <c r="FN3716" s="5" t="s">
        <v>240</v>
      </c>
      <c r="FO3716" s="5" t="s">
        <v>240</v>
      </c>
      <c r="FP3716" s="5" t="s">
        <v>240</v>
      </c>
      <c r="FQ3716" s="5" t="s">
        <v>240</v>
      </c>
      <c r="FR3716" s="5" t="s">
        <v>240</v>
      </c>
      <c r="FS3716" s="5" t="s">
        <v>240</v>
      </c>
      <c r="FT3716" s="5" t="s">
        <v>240</v>
      </c>
      <c r="FU3716" s="5" t="s">
        <v>240</v>
      </c>
      <c r="FV3716" s="5" t="s">
        <v>240</v>
      </c>
      <c r="FW3716" s="5" t="s">
        <v>240</v>
      </c>
      <c r="FX3716" s="5" t="s">
        <v>240</v>
      </c>
      <c r="FY3716" s="5" t="s">
        <v>240</v>
      </c>
      <c r="FZ3716" s="5" t="s">
        <v>240</v>
      </c>
      <c r="GA3716" s="5" t="s">
        <v>240</v>
      </c>
      <c r="GB3716" s="5" t="s">
        <v>240</v>
      </c>
      <c r="GC3716" s="5" t="s">
        <v>240</v>
      </c>
      <c r="GD3716" s="5" t="s">
        <v>240</v>
      </c>
      <c r="GE3716" s="5" t="s">
        <v>240</v>
      </c>
      <c r="GF3716" s="5" t="s">
        <v>240</v>
      </c>
      <c r="GG3716" s="5" t="s">
        <v>240</v>
      </c>
      <c r="GH3716" s="5" t="s">
        <v>240</v>
      </c>
      <c r="GI3716" s="5" t="s">
        <v>240</v>
      </c>
      <c r="GJ3716" s="5" t="s">
        <v>240</v>
      </c>
      <c r="GK3716" s="5" t="s">
        <v>240</v>
      </c>
      <c r="GL3716" s="5" t="s">
        <v>240</v>
      </c>
      <c r="GM3716" s="5" t="s">
        <v>240</v>
      </c>
      <c r="GN3716" s="5" t="s">
        <v>240</v>
      </c>
      <c r="GO3716" s="5" t="s">
        <v>240</v>
      </c>
      <c r="GP3716" s="5" t="s">
        <v>240</v>
      </c>
      <c r="GQ3716" s="5" t="s">
        <v>240</v>
      </c>
      <c r="GR3716" s="5" t="s">
        <v>240</v>
      </c>
      <c r="GS3716" s="5" t="s">
        <v>240</v>
      </c>
      <c r="GT3716" s="5" t="s">
        <v>240</v>
      </c>
      <c r="GU3716" s="5" t="s">
        <v>240</v>
      </c>
      <c r="GV3716" s="5" t="s">
        <v>240</v>
      </c>
      <c r="GW3716" s="5" t="s">
        <v>240</v>
      </c>
      <c r="GX3716" s="5" t="s">
        <v>240</v>
      </c>
      <c r="GY3716" s="5" t="s">
        <v>240</v>
      </c>
      <c r="GZ3716" s="5" t="s">
        <v>240</v>
      </c>
      <c r="HA3716" s="5" t="s">
        <v>240</v>
      </c>
      <c r="HB3716" s="5" t="s">
        <v>240</v>
      </c>
      <c r="HC3716" s="5" t="s">
        <v>240</v>
      </c>
      <c r="HD3716" s="5" t="s">
        <v>240</v>
      </c>
      <c r="HE3716" s="5" t="s">
        <v>240</v>
      </c>
      <c r="HF3716" s="5" t="s">
        <v>240</v>
      </c>
      <c r="HG3716" s="5" t="s">
        <v>240</v>
      </c>
      <c r="HH3716" s="5" t="s">
        <v>240</v>
      </c>
      <c r="HI3716" s="5" t="s">
        <v>240</v>
      </c>
      <c r="HJ3716" s="5" t="s">
        <v>240</v>
      </c>
      <c r="HK3716" s="5" t="s">
        <v>240</v>
      </c>
      <c r="HL3716" s="5" t="s">
        <v>240</v>
      </c>
      <c r="HM3716" s="5" t="s">
        <v>240</v>
      </c>
      <c r="HN3716" s="5" t="s">
        <v>240</v>
      </c>
      <c r="HO3716" s="5" t="s">
        <v>620</v>
      </c>
      <c r="HP3716" s="5" t="s">
        <v>240</v>
      </c>
      <c r="HQ3716" s="5" t="s">
        <v>240</v>
      </c>
      <c r="HR3716" s="5" t="s">
        <v>240</v>
      </c>
      <c r="HS3716" s="5" t="s">
        <v>240</v>
      </c>
      <c r="HT3716" s="5" t="s">
        <v>240</v>
      </c>
      <c r="HU3716" s="5" t="s">
        <v>240</v>
      </c>
      <c r="HV3716" s="5" t="s">
        <v>240</v>
      </c>
      <c r="HW3716" s="5" t="s">
        <v>240</v>
      </c>
      <c r="HX3716" s="5" t="s">
        <v>240</v>
      </c>
      <c r="HY3716" s="5" t="s">
        <v>240</v>
      </c>
      <c r="HZ3716" s="5" t="s">
        <v>240</v>
      </c>
      <c r="IA3716" s="5" t="s">
        <v>240</v>
      </c>
      <c r="IB3716" s="5" t="s">
        <v>240</v>
      </c>
      <c r="IC3716" s="5" t="s">
        <v>240</v>
      </c>
      <c r="ID3716" s="5" t="s">
        <v>240</v>
      </c>
      <c r="IE3716" s="5" t="s">
        <v>240</v>
      </c>
      <c r="IF3716" s="5" t="s">
        <v>240</v>
      </c>
    </row>
    <row r="3717" spans="1:240" x14ac:dyDescent="0.4">
      <c r="A3717" s="5">
        <v>9259</v>
      </c>
      <c r="B3717" s="5">
        <v>1</v>
      </c>
      <c r="C3717" s="5">
        <v>1</v>
      </c>
      <c r="D3717" s="5" t="s">
        <v>723</v>
      </c>
      <c r="E3717" s="5" t="s">
        <v>725</v>
      </c>
      <c r="F3717" s="5" t="s">
        <v>254</v>
      </c>
      <c r="G3717" s="5" t="s">
        <v>6320</v>
      </c>
      <c r="H3717" s="6" t="s">
        <v>6321</v>
      </c>
      <c r="I3717" s="5" t="s">
        <v>6319</v>
      </c>
      <c r="J3717" s="7">
        <f>1</f>
        <v>1</v>
      </c>
      <c r="K3717" s="5" t="s">
        <v>3682</v>
      </c>
      <c r="L3717" s="7">
        <f>1</f>
        <v>1</v>
      </c>
      <c r="M3717" s="7">
        <f>1</f>
        <v>1</v>
      </c>
      <c r="N3717" s="5" t="s">
        <v>242</v>
      </c>
      <c r="O3717" s="5">
        <v>1</v>
      </c>
      <c r="P3717" s="5" t="s">
        <v>294</v>
      </c>
      <c r="Q3717" s="5" t="s">
        <v>613</v>
      </c>
      <c r="R3717" s="5" t="s">
        <v>240</v>
      </c>
      <c r="S3717" s="5" t="s">
        <v>240</v>
      </c>
      <c r="T3717" s="5" t="s">
        <v>243</v>
      </c>
      <c r="U3717" s="5" t="s">
        <v>724</v>
      </c>
      <c r="V3717" s="5" t="s">
        <v>240</v>
      </c>
      <c r="W3717" s="5" t="s">
        <v>240</v>
      </c>
      <c r="X3717" s="5" t="s">
        <v>240</v>
      </c>
      <c r="Y3717" s="5" t="s">
        <v>240</v>
      </c>
      <c r="Z3717" s="6" t="s">
        <v>298</v>
      </c>
      <c r="AA3717" s="6" t="s">
        <v>240</v>
      </c>
      <c r="AB3717" s="6" t="s">
        <v>240</v>
      </c>
      <c r="AC3717" s="5" t="s">
        <v>240</v>
      </c>
      <c r="AD3717" s="6" t="s">
        <v>240</v>
      </c>
      <c r="AE3717" s="6" t="s">
        <v>299</v>
      </c>
      <c r="AF3717" s="5" t="s">
        <v>727</v>
      </c>
      <c r="AG3717" s="5" t="s">
        <v>260</v>
      </c>
      <c r="AH3717" s="5" t="s">
        <v>240</v>
      </c>
      <c r="AI3717" s="5" t="s">
        <v>240</v>
      </c>
      <c r="AJ3717" s="5" t="s">
        <v>240</v>
      </c>
      <c r="AK3717" s="5" t="s">
        <v>240</v>
      </c>
      <c r="AL3717" s="5" t="s">
        <v>240</v>
      </c>
      <c r="AM3717" s="5" t="s">
        <v>240</v>
      </c>
      <c r="AN3717" s="5" t="s">
        <v>240</v>
      </c>
      <c r="AO3717" s="5" t="s">
        <v>240</v>
      </c>
      <c r="AP3717" s="6" t="s">
        <v>240</v>
      </c>
      <c r="AQ3717" s="6" t="s">
        <v>240</v>
      </c>
      <c r="AR3717" s="6" t="s">
        <v>240</v>
      </c>
      <c r="AS3717" s="6" t="s">
        <v>240</v>
      </c>
      <c r="AT3717" s="5" t="s">
        <v>240</v>
      </c>
      <c r="AU3717" s="5" t="s">
        <v>729</v>
      </c>
      <c r="AV3717" s="5" t="s">
        <v>729</v>
      </c>
      <c r="AW3717" s="5" t="s">
        <v>251</v>
      </c>
      <c r="AX3717" s="5" t="s">
        <v>252</v>
      </c>
      <c r="AY3717" s="5" t="s">
        <v>253</v>
      </c>
      <c r="AZ3717" s="5" t="s">
        <v>240</v>
      </c>
      <c r="BA3717" s="5" t="s">
        <v>255</v>
      </c>
      <c r="BB3717" s="5" t="s">
        <v>731</v>
      </c>
      <c r="BD3717" s="5" t="s">
        <v>240</v>
      </c>
      <c r="BF3717" s="5" t="s">
        <v>732</v>
      </c>
      <c r="BG3717" s="6" t="s">
        <v>733</v>
      </c>
      <c r="BH3717" s="5" t="s">
        <v>734</v>
      </c>
      <c r="BI3717" s="5" t="s">
        <v>734</v>
      </c>
      <c r="BJ3717" s="5" t="s">
        <v>240</v>
      </c>
      <c r="BK3717" s="8">
        <f>325</f>
        <v>325</v>
      </c>
      <c r="BL3717" s="7">
        <f>0</f>
        <v>0</v>
      </c>
      <c r="BM3717" s="5" t="s">
        <v>258</v>
      </c>
      <c r="BN3717" s="5" t="s">
        <v>259</v>
      </c>
      <c r="BO3717" s="5" t="s">
        <v>240</v>
      </c>
      <c r="BP3717" s="5" t="s">
        <v>240</v>
      </c>
      <c r="BQ3717" s="5" t="s">
        <v>240</v>
      </c>
      <c r="BR3717" s="5" t="s">
        <v>240</v>
      </c>
      <c r="BS3717" s="5" t="s">
        <v>240</v>
      </c>
      <c r="BT3717" s="5" t="s">
        <v>240</v>
      </c>
      <c r="BU3717" s="5" t="s">
        <v>240</v>
      </c>
      <c r="BV3717" s="5" t="s">
        <v>240</v>
      </c>
      <c r="BW3717" s="6" t="s">
        <v>240</v>
      </c>
      <c r="BX3717" s="5" t="s">
        <v>240</v>
      </c>
      <c r="BY3717" s="5" t="s">
        <v>240</v>
      </c>
      <c r="BZ3717" s="5" t="s">
        <v>240</v>
      </c>
      <c r="CA3717" s="5" t="s">
        <v>259</v>
      </c>
      <c r="CB3717" s="5" t="s">
        <v>240</v>
      </c>
      <c r="CC3717" s="5" t="s">
        <v>240</v>
      </c>
      <c r="CD3717" s="5" t="s">
        <v>240</v>
      </c>
      <c r="CE3717" s="5" t="s">
        <v>240</v>
      </c>
      <c r="CF3717" s="5" t="s">
        <v>240</v>
      </c>
      <c r="CG3717" s="5" t="s">
        <v>617</v>
      </c>
      <c r="CH3717" s="5" t="s">
        <v>305</v>
      </c>
      <c r="CI3717" s="5" t="s">
        <v>240</v>
      </c>
      <c r="CL3717" s="6" t="s">
        <v>261</v>
      </c>
      <c r="CM3717" s="5" t="s">
        <v>262</v>
      </c>
      <c r="CN3717" s="5" t="s">
        <v>263</v>
      </c>
      <c r="CO3717" s="5" t="s">
        <v>264</v>
      </c>
      <c r="CP3717" s="5" t="s">
        <v>240</v>
      </c>
      <c r="CQ3717" s="5">
        <v>0</v>
      </c>
      <c r="CR3717" s="5" t="s">
        <v>735</v>
      </c>
      <c r="CS3717" s="5" t="s">
        <v>307</v>
      </c>
      <c r="CT3717" s="5" t="s">
        <v>307</v>
      </c>
      <c r="CU3717" s="5" t="s">
        <v>260</v>
      </c>
      <c r="CV3717" s="5" t="s">
        <v>240</v>
      </c>
      <c r="CW3717" s="8">
        <f>0</f>
        <v>0</v>
      </c>
      <c r="CX3717" s="7">
        <f>0</f>
        <v>0</v>
      </c>
      <c r="CY3717" s="7">
        <f>0</f>
        <v>0</v>
      </c>
      <c r="DA3717" s="7">
        <f>3575</f>
        <v>3575</v>
      </c>
      <c r="DB3717" s="7" t="s">
        <v>240</v>
      </c>
      <c r="DC3717" s="5" t="s">
        <v>240</v>
      </c>
      <c r="DD3717" s="5" t="s">
        <v>240</v>
      </c>
      <c r="DE3717" s="5" t="s">
        <v>240</v>
      </c>
      <c r="DF3717" s="5" t="s">
        <v>450</v>
      </c>
      <c r="DG3717" s="7">
        <f>0</f>
        <v>0</v>
      </c>
      <c r="DI3717" s="5" t="s">
        <v>737</v>
      </c>
      <c r="DJ3717" s="5" t="s">
        <v>240</v>
      </c>
      <c r="DK3717" s="5" t="s">
        <v>240</v>
      </c>
      <c r="DL3717" s="5" t="s">
        <v>240</v>
      </c>
      <c r="DM3717" s="5" t="s">
        <v>240</v>
      </c>
      <c r="DN3717" s="5" t="s">
        <v>240</v>
      </c>
      <c r="DO3717" s="7" t="s">
        <v>240</v>
      </c>
      <c r="DP3717" s="5" t="s">
        <v>240</v>
      </c>
      <c r="DQ3717" s="5" t="s">
        <v>240</v>
      </c>
      <c r="DR3717" s="5" t="s">
        <v>731</v>
      </c>
      <c r="DS3717" s="5" t="s">
        <v>731</v>
      </c>
      <c r="DT3717" s="5" t="s">
        <v>240</v>
      </c>
      <c r="DU3717" s="5" t="s">
        <v>240</v>
      </c>
      <c r="DV3717" s="5" t="s">
        <v>738</v>
      </c>
      <c r="DW3717" s="5" t="s">
        <v>1126</v>
      </c>
      <c r="DX3717" s="5" t="s">
        <v>240</v>
      </c>
      <c r="DY3717" s="5" t="s">
        <v>240</v>
      </c>
      <c r="DZ3717" s="5" t="s">
        <v>240</v>
      </c>
      <c r="EA3717" s="5" t="s">
        <v>240</v>
      </c>
      <c r="EB3717" s="5" t="s">
        <v>240</v>
      </c>
      <c r="EC3717" s="5" t="s">
        <v>240</v>
      </c>
      <c r="ED3717" s="5" t="s">
        <v>240</v>
      </c>
      <c r="EE3717" s="5" t="s">
        <v>240</v>
      </c>
      <c r="EF3717" s="5" t="s">
        <v>240</v>
      </c>
      <c r="EG3717" s="5" t="s">
        <v>240</v>
      </c>
      <c r="EH3717" s="5" t="s">
        <v>240</v>
      </c>
      <c r="EI3717" s="5" t="s">
        <v>240</v>
      </c>
      <c r="EJ3717" s="5" t="s">
        <v>240</v>
      </c>
      <c r="EK3717" s="5" t="s">
        <v>240</v>
      </c>
      <c r="EL3717" s="5" t="s">
        <v>240</v>
      </c>
      <c r="EM3717" s="5" t="s">
        <v>240</v>
      </c>
      <c r="EN3717" s="5" t="s">
        <v>240</v>
      </c>
      <c r="EO3717" s="5" t="s">
        <v>240</v>
      </c>
      <c r="EP3717" s="5" t="s">
        <v>240</v>
      </c>
      <c r="EQ3717" s="5" t="s">
        <v>240</v>
      </c>
      <c r="ER3717" s="5" t="s">
        <v>240</v>
      </c>
      <c r="ES3717" s="5" t="s">
        <v>240</v>
      </c>
      <c r="ET3717" s="5" t="s">
        <v>240</v>
      </c>
      <c r="EU3717" s="5" t="s">
        <v>240</v>
      </c>
      <c r="EV3717" s="5" t="s">
        <v>240</v>
      </c>
      <c r="EW3717" s="5" t="s">
        <v>240</v>
      </c>
      <c r="EX3717" s="5" t="s">
        <v>240</v>
      </c>
      <c r="EY3717" s="5" t="s">
        <v>240</v>
      </c>
      <c r="EZ3717" s="5" t="s">
        <v>240</v>
      </c>
      <c r="FA3717" s="5" t="s">
        <v>240</v>
      </c>
      <c r="FB3717" s="5" t="s">
        <v>240</v>
      </c>
      <c r="FC3717" s="5" t="s">
        <v>240</v>
      </c>
      <c r="FD3717" s="5" t="s">
        <v>240</v>
      </c>
      <c r="FE3717" s="5" t="s">
        <v>240</v>
      </c>
      <c r="FF3717" s="5" t="s">
        <v>240</v>
      </c>
      <c r="FG3717" s="5" t="s">
        <v>240</v>
      </c>
      <c r="FH3717" s="5" t="s">
        <v>240</v>
      </c>
      <c r="FI3717" s="5" t="s">
        <v>240</v>
      </c>
      <c r="FJ3717" s="5" t="s">
        <v>240</v>
      </c>
      <c r="FK3717" s="5" t="s">
        <v>240</v>
      </c>
      <c r="FL3717" s="5" t="s">
        <v>240</v>
      </c>
      <c r="FM3717" s="5" t="s">
        <v>240</v>
      </c>
      <c r="FN3717" s="5" t="s">
        <v>240</v>
      </c>
      <c r="FO3717" s="5" t="s">
        <v>240</v>
      </c>
      <c r="FP3717" s="5" t="s">
        <v>240</v>
      </c>
      <c r="FQ3717" s="5" t="s">
        <v>240</v>
      </c>
      <c r="FR3717" s="5" t="s">
        <v>240</v>
      </c>
      <c r="FS3717" s="5" t="s">
        <v>240</v>
      </c>
      <c r="FT3717" s="5" t="s">
        <v>240</v>
      </c>
      <c r="FU3717" s="5" t="s">
        <v>240</v>
      </c>
      <c r="FV3717" s="5" t="s">
        <v>240</v>
      </c>
      <c r="FW3717" s="5" t="s">
        <v>240</v>
      </c>
      <c r="FX3717" s="5" t="s">
        <v>240</v>
      </c>
      <c r="FY3717" s="5" t="s">
        <v>240</v>
      </c>
      <c r="FZ3717" s="5" t="s">
        <v>240</v>
      </c>
      <c r="GA3717" s="5" t="s">
        <v>240</v>
      </c>
      <c r="GB3717" s="5" t="s">
        <v>240</v>
      </c>
      <c r="GC3717" s="5" t="s">
        <v>240</v>
      </c>
      <c r="GD3717" s="5" t="s">
        <v>240</v>
      </c>
      <c r="GE3717" s="5" t="s">
        <v>240</v>
      </c>
      <c r="GF3717" s="5" t="s">
        <v>240</v>
      </c>
      <c r="GG3717" s="5" t="s">
        <v>240</v>
      </c>
      <c r="GH3717" s="5" t="s">
        <v>240</v>
      </c>
      <c r="GI3717" s="5" t="s">
        <v>240</v>
      </c>
      <c r="GJ3717" s="5" t="s">
        <v>240</v>
      </c>
      <c r="GK3717" s="5" t="s">
        <v>240</v>
      </c>
      <c r="GL3717" s="5" t="s">
        <v>240</v>
      </c>
      <c r="GM3717" s="5" t="s">
        <v>240</v>
      </c>
      <c r="GN3717" s="5" t="s">
        <v>240</v>
      </c>
      <c r="GO3717" s="5" t="s">
        <v>240</v>
      </c>
      <c r="GP3717" s="5" t="s">
        <v>240</v>
      </c>
      <c r="GQ3717" s="5" t="s">
        <v>240</v>
      </c>
      <c r="GR3717" s="5" t="s">
        <v>240</v>
      </c>
      <c r="GS3717" s="5" t="s">
        <v>240</v>
      </c>
      <c r="GT3717" s="5" t="s">
        <v>240</v>
      </c>
      <c r="GU3717" s="5" t="s">
        <v>240</v>
      </c>
      <c r="GV3717" s="5" t="s">
        <v>240</v>
      </c>
      <c r="GW3717" s="5" t="s">
        <v>240</v>
      </c>
      <c r="GX3717" s="5" t="s">
        <v>240</v>
      </c>
      <c r="GY3717" s="5" t="s">
        <v>240</v>
      </c>
      <c r="GZ3717" s="5" t="s">
        <v>240</v>
      </c>
      <c r="HA3717" s="5" t="s">
        <v>240</v>
      </c>
      <c r="HB3717" s="5" t="s">
        <v>240</v>
      </c>
      <c r="HC3717" s="5" t="s">
        <v>240</v>
      </c>
      <c r="HD3717" s="5" t="s">
        <v>240</v>
      </c>
      <c r="HE3717" s="5" t="s">
        <v>240</v>
      </c>
      <c r="HF3717" s="5" t="s">
        <v>240</v>
      </c>
      <c r="HG3717" s="5" t="s">
        <v>240</v>
      </c>
      <c r="HH3717" s="5" t="s">
        <v>240</v>
      </c>
      <c r="HI3717" s="5" t="s">
        <v>240</v>
      </c>
      <c r="HJ3717" s="5" t="s">
        <v>240</v>
      </c>
      <c r="HK3717" s="5" t="s">
        <v>240</v>
      </c>
      <c r="HL3717" s="5" t="s">
        <v>240</v>
      </c>
      <c r="HM3717" s="5" t="s">
        <v>240</v>
      </c>
      <c r="HN3717" s="5" t="s">
        <v>240</v>
      </c>
      <c r="HO3717" s="5" t="s">
        <v>312</v>
      </c>
      <c r="HP3717" s="5" t="s">
        <v>240</v>
      </c>
      <c r="HQ3717" s="5" t="s">
        <v>240</v>
      </c>
      <c r="HR3717" s="5" t="s">
        <v>240</v>
      </c>
      <c r="HS3717" s="5" t="s">
        <v>240</v>
      </c>
      <c r="HT3717" s="5" t="s">
        <v>240</v>
      </c>
      <c r="HU3717" s="5" t="s">
        <v>240</v>
      </c>
      <c r="HV3717" s="5" t="s">
        <v>240</v>
      </c>
      <c r="HW3717" s="5" t="s">
        <v>240</v>
      </c>
      <c r="HX3717" s="5" t="s">
        <v>240</v>
      </c>
      <c r="HY3717" s="5" t="s">
        <v>240</v>
      </c>
      <c r="HZ3717" s="5" t="s">
        <v>240</v>
      </c>
      <c r="IA3717" s="5" t="s">
        <v>240</v>
      </c>
      <c r="IB3717" s="5" t="s">
        <v>240</v>
      </c>
      <c r="IC3717" s="5" t="s">
        <v>240</v>
      </c>
      <c r="ID3717" s="5" t="s">
        <v>240</v>
      </c>
      <c r="IE3717" s="5" t="s">
        <v>240</v>
      </c>
      <c r="IF3717" s="5" t="s">
        <v>240</v>
      </c>
    </row>
    <row r="3718" spans="1:240" x14ac:dyDescent="0.4">
      <c r="A3718" s="5">
        <v>9260</v>
      </c>
      <c r="B3718" s="5">
        <v>1</v>
      </c>
      <c r="C3718" s="5">
        <v>1</v>
      </c>
      <c r="D3718" s="5" t="s">
        <v>723</v>
      </c>
      <c r="E3718" s="5" t="s">
        <v>725</v>
      </c>
      <c r="F3718" s="5" t="s">
        <v>254</v>
      </c>
      <c r="G3718" s="5" t="s">
        <v>5551</v>
      </c>
      <c r="H3718" s="6" t="s">
        <v>5552</v>
      </c>
      <c r="I3718" s="5" t="s">
        <v>5550</v>
      </c>
      <c r="J3718" s="7">
        <f>1</f>
        <v>1</v>
      </c>
      <c r="K3718" s="5" t="s">
        <v>3682</v>
      </c>
      <c r="L3718" s="7">
        <f>1</f>
        <v>1</v>
      </c>
      <c r="M3718" s="7">
        <f>1</f>
        <v>1</v>
      </c>
      <c r="N3718" s="5" t="s">
        <v>242</v>
      </c>
      <c r="O3718" s="5">
        <v>1</v>
      </c>
      <c r="P3718" s="5" t="s">
        <v>294</v>
      </c>
      <c r="Q3718" s="5" t="s">
        <v>613</v>
      </c>
      <c r="R3718" s="5" t="s">
        <v>240</v>
      </c>
      <c r="S3718" s="5" t="s">
        <v>240</v>
      </c>
      <c r="T3718" s="5" t="s">
        <v>243</v>
      </c>
      <c r="U3718" s="5" t="s">
        <v>724</v>
      </c>
      <c r="V3718" s="5" t="s">
        <v>240</v>
      </c>
      <c r="W3718" s="5" t="s">
        <v>240</v>
      </c>
      <c r="X3718" s="5" t="s">
        <v>240</v>
      </c>
      <c r="Y3718" s="5" t="s">
        <v>240</v>
      </c>
      <c r="Z3718" s="6" t="s">
        <v>298</v>
      </c>
      <c r="AA3718" s="6" t="s">
        <v>240</v>
      </c>
      <c r="AB3718" s="6" t="s">
        <v>240</v>
      </c>
      <c r="AC3718" s="5" t="s">
        <v>240</v>
      </c>
      <c r="AD3718" s="6" t="s">
        <v>240</v>
      </c>
      <c r="AE3718" s="6" t="s">
        <v>299</v>
      </c>
      <c r="AF3718" s="5" t="s">
        <v>727</v>
      </c>
      <c r="AG3718" s="5" t="s">
        <v>260</v>
      </c>
      <c r="AH3718" s="5" t="s">
        <v>240</v>
      </c>
      <c r="AI3718" s="5" t="s">
        <v>240</v>
      </c>
      <c r="AJ3718" s="5" t="s">
        <v>240</v>
      </c>
      <c r="AK3718" s="5" t="s">
        <v>240</v>
      </c>
      <c r="AL3718" s="5" t="s">
        <v>240</v>
      </c>
      <c r="AM3718" s="5" t="s">
        <v>240</v>
      </c>
      <c r="AN3718" s="5" t="s">
        <v>240</v>
      </c>
      <c r="AO3718" s="5" t="s">
        <v>240</v>
      </c>
      <c r="AP3718" s="6" t="s">
        <v>240</v>
      </c>
      <c r="AQ3718" s="6" t="s">
        <v>240</v>
      </c>
      <c r="AR3718" s="6" t="s">
        <v>240</v>
      </c>
      <c r="AS3718" s="6" t="s">
        <v>240</v>
      </c>
      <c r="AT3718" s="5" t="s">
        <v>240</v>
      </c>
      <c r="AU3718" s="5" t="s">
        <v>729</v>
      </c>
      <c r="AV3718" s="5" t="s">
        <v>729</v>
      </c>
      <c r="AW3718" s="5" t="s">
        <v>251</v>
      </c>
      <c r="AX3718" s="5" t="s">
        <v>252</v>
      </c>
      <c r="AY3718" s="5" t="s">
        <v>253</v>
      </c>
      <c r="AZ3718" s="5" t="s">
        <v>240</v>
      </c>
      <c r="BA3718" s="5" t="s">
        <v>255</v>
      </c>
      <c r="BB3718" s="5" t="s">
        <v>731</v>
      </c>
      <c r="BD3718" s="5" t="s">
        <v>240</v>
      </c>
      <c r="BF3718" s="5" t="s">
        <v>732</v>
      </c>
      <c r="BG3718" s="6" t="s">
        <v>733</v>
      </c>
      <c r="BH3718" s="5" t="s">
        <v>734</v>
      </c>
      <c r="BI3718" s="5" t="s">
        <v>734</v>
      </c>
      <c r="BJ3718" s="5" t="s">
        <v>240</v>
      </c>
      <c r="BK3718" s="8">
        <f>831</f>
        <v>831</v>
      </c>
      <c r="BL3718" s="7">
        <f>0</f>
        <v>0</v>
      </c>
      <c r="BM3718" s="5" t="s">
        <v>258</v>
      </c>
      <c r="BN3718" s="5" t="s">
        <v>259</v>
      </c>
      <c r="BO3718" s="5" t="s">
        <v>240</v>
      </c>
      <c r="BP3718" s="5" t="s">
        <v>240</v>
      </c>
      <c r="BQ3718" s="5" t="s">
        <v>240</v>
      </c>
      <c r="BR3718" s="5" t="s">
        <v>240</v>
      </c>
      <c r="BS3718" s="5" t="s">
        <v>240</v>
      </c>
      <c r="BT3718" s="5" t="s">
        <v>240</v>
      </c>
      <c r="BU3718" s="5" t="s">
        <v>240</v>
      </c>
      <c r="BV3718" s="5" t="s">
        <v>240</v>
      </c>
      <c r="BW3718" s="6" t="s">
        <v>240</v>
      </c>
      <c r="BX3718" s="5" t="s">
        <v>240</v>
      </c>
      <c r="BY3718" s="5" t="s">
        <v>240</v>
      </c>
      <c r="BZ3718" s="5" t="s">
        <v>240</v>
      </c>
      <c r="CA3718" s="5" t="s">
        <v>259</v>
      </c>
      <c r="CB3718" s="5" t="s">
        <v>240</v>
      </c>
      <c r="CC3718" s="5" t="s">
        <v>240</v>
      </c>
      <c r="CD3718" s="5" t="s">
        <v>240</v>
      </c>
      <c r="CE3718" s="5" t="s">
        <v>240</v>
      </c>
      <c r="CF3718" s="5" t="s">
        <v>240</v>
      </c>
      <c r="CG3718" s="5" t="s">
        <v>617</v>
      </c>
      <c r="CH3718" s="5" t="s">
        <v>305</v>
      </c>
      <c r="CI3718" s="5" t="s">
        <v>240</v>
      </c>
      <c r="CL3718" s="6" t="s">
        <v>261</v>
      </c>
      <c r="CM3718" s="5" t="s">
        <v>262</v>
      </c>
      <c r="CN3718" s="5" t="s">
        <v>263</v>
      </c>
      <c r="CO3718" s="5" t="s">
        <v>264</v>
      </c>
      <c r="CP3718" s="5" t="s">
        <v>240</v>
      </c>
      <c r="CQ3718" s="5">
        <v>0</v>
      </c>
      <c r="CR3718" s="5" t="s">
        <v>735</v>
      </c>
      <c r="CS3718" s="5" t="s">
        <v>307</v>
      </c>
      <c r="CT3718" s="5" t="s">
        <v>307</v>
      </c>
      <c r="CU3718" s="5" t="s">
        <v>260</v>
      </c>
      <c r="CV3718" s="5" t="s">
        <v>240</v>
      </c>
      <c r="CW3718" s="8">
        <f>0</f>
        <v>0</v>
      </c>
      <c r="CX3718" s="7">
        <f>0</f>
        <v>0</v>
      </c>
      <c r="CY3718" s="7">
        <f>0</f>
        <v>0</v>
      </c>
      <c r="DA3718" s="7">
        <f>9141</f>
        <v>9141</v>
      </c>
      <c r="DB3718" s="7" t="s">
        <v>240</v>
      </c>
      <c r="DC3718" s="5" t="s">
        <v>240</v>
      </c>
      <c r="DD3718" s="5" t="s">
        <v>240</v>
      </c>
      <c r="DE3718" s="5" t="s">
        <v>240</v>
      </c>
      <c r="DF3718" s="5" t="s">
        <v>450</v>
      </c>
      <c r="DG3718" s="7">
        <f>0</f>
        <v>0</v>
      </c>
      <c r="DI3718" s="5" t="s">
        <v>737</v>
      </c>
      <c r="DJ3718" s="5" t="s">
        <v>240</v>
      </c>
      <c r="DK3718" s="5" t="s">
        <v>240</v>
      </c>
      <c r="DL3718" s="5" t="s">
        <v>240</v>
      </c>
      <c r="DM3718" s="5" t="s">
        <v>240</v>
      </c>
      <c r="DN3718" s="5" t="s">
        <v>240</v>
      </c>
      <c r="DO3718" s="7" t="s">
        <v>240</v>
      </c>
      <c r="DP3718" s="5" t="s">
        <v>240</v>
      </c>
      <c r="DQ3718" s="5" t="s">
        <v>240</v>
      </c>
      <c r="DR3718" s="5" t="s">
        <v>731</v>
      </c>
      <c r="DS3718" s="5" t="s">
        <v>731</v>
      </c>
      <c r="DT3718" s="5" t="s">
        <v>240</v>
      </c>
      <c r="DU3718" s="5" t="s">
        <v>240</v>
      </c>
      <c r="DV3718" s="5" t="s">
        <v>738</v>
      </c>
      <c r="DW3718" s="5" t="s">
        <v>1124</v>
      </c>
      <c r="DX3718" s="5" t="s">
        <v>240</v>
      </c>
      <c r="DY3718" s="5" t="s">
        <v>240</v>
      </c>
      <c r="DZ3718" s="5" t="s">
        <v>240</v>
      </c>
      <c r="EA3718" s="5" t="s">
        <v>240</v>
      </c>
      <c r="EB3718" s="5" t="s">
        <v>240</v>
      </c>
      <c r="EC3718" s="5" t="s">
        <v>240</v>
      </c>
      <c r="ED3718" s="5" t="s">
        <v>240</v>
      </c>
      <c r="EE3718" s="5" t="s">
        <v>240</v>
      </c>
      <c r="EF3718" s="5" t="s">
        <v>240</v>
      </c>
      <c r="EG3718" s="5" t="s">
        <v>240</v>
      </c>
      <c r="EH3718" s="5" t="s">
        <v>240</v>
      </c>
      <c r="EI3718" s="5" t="s">
        <v>240</v>
      </c>
      <c r="EJ3718" s="5" t="s">
        <v>240</v>
      </c>
      <c r="EK3718" s="5" t="s">
        <v>240</v>
      </c>
      <c r="EL3718" s="5" t="s">
        <v>240</v>
      </c>
      <c r="EM3718" s="5" t="s">
        <v>240</v>
      </c>
      <c r="EN3718" s="5" t="s">
        <v>240</v>
      </c>
      <c r="EO3718" s="5" t="s">
        <v>240</v>
      </c>
      <c r="EP3718" s="5" t="s">
        <v>240</v>
      </c>
      <c r="EQ3718" s="5" t="s">
        <v>240</v>
      </c>
      <c r="ER3718" s="5" t="s">
        <v>240</v>
      </c>
      <c r="ES3718" s="5" t="s">
        <v>240</v>
      </c>
      <c r="ET3718" s="5" t="s">
        <v>240</v>
      </c>
      <c r="EU3718" s="5" t="s">
        <v>240</v>
      </c>
      <c r="EV3718" s="5" t="s">
        <v>240</v>
      </c>
      <c r="EW3718" s="5" t="s">
        <v>240</v>
      </c>
      <c r="EX3718" s="5" t="s">
        <v>240</v>
      </c>
      <c r="EY3718" s="5" t="s">
        <v>240</v>
      </c>
      <c r="EZ3718" s="5" t="s">
        <v>240</v>
      </c>
      <c r="FA3718" s="5" t="s">
        <v>240</v>
      </c>
      <c r="FB3718" s="5" t="s">
        <v>240</v>
      </c>
      <c r="FC3718" s="5" t="s">
        <v>240</v>
      </c>
      <c r="FD3718" s="5" t="s">
        <v>240</v>
      </c>
      <c r="FE3718" s="5" t="s">
        <v>240</v>
      </c>
      <c r="FF3718" s="5" t="s">
        <v>240</v>
      </c>
      <c r="FG3718" s="5" t="s">
        <v>240</v>
      </c>
      <c r="FH3718" s="5" t="s">
        <v>240</v>
      </c>
      <c r="FI3718" s="5" t="s">
        <v>240</v>
      </c>
      <c r="FJ3718" s="5" t="s">
        <v>240</v>
      </c>
      <c r="FK3718" s="5" t="s">
        <v>240</v>
      </c>
      <c r="FL3718" s="5" t="s">
        <v>240</v>
      </c>
      <c r="FM3718" s="5" t="s">
        <v>240</v>
      </c>
      <c r="FN3718" s="5" t="s">
        <v>240</v>
      </c>
      <c r="FO3718" s="5" t="s">
        <v>240</v>
      </c>
      <c r="FP3718" s="5" t="s">
        <v>240</v>
      </c>
      <c r="FQ3718" s="5" t="s">
        <v>240</v>
      </c>
      <c r="FR3718" s="5" t="s">
        <v>240</v>
      </c>
      <c r="FS3718" s="5" t="s">
        <v>240</v>
      </c>
      <c r="FT3718" s="5" t="s">
        <v>240</v>
      </c>
      <c r="FU3718" s="5" t="s">
        <v>240</v>
      </c>
      <c r="FV3718" s="5" t="s">
        <v>240</v>
      </c>
      <c r="FW3718" s="5" t="s">
        <v>240</v>
      </c>
      <c r="FX3718" s="5" t="s">
        <v>240</v>
      </c>
      <c r="FY3718" s="5" t="s">
        <v>240</v>
      </c>
      <c r="FZ3718" s="5" t="s">
        <v>240</v>
      </c>
      <c r="GA3718" s="5" t="s">
        <v>240</v>
      </c>
      <c r="GB3718" s="5" t="s">
        <v>240</v>
      </c>
      <c r="GC3718" s="5" t="s">
        <v>240</v>
      </c>
      <c r="GD3718" s="5" t="s">
        <v>240</v>
      </c>
      <c r="GE3718" s="5" t="s">
        <v>240</v>
      </c>
      <c r="GF3718" s="5" t="s">
        <v>240</v>
      </c>
      <c r="GG3718" s="5" t="s">
        <v>240</v>
      </c>
      <c r="GH3718" s="5" t="s">
        <v>240</v>
      </c>
      <c r="GI3718" s="5" t="s">
        <v>240</v>
      </c>
      <c r="GJ3718" s="5" t="s">
        <v>240</v>
      </c>
      <c r="GK3718" s="5" t="s">
        <v>240</v>
      </c>
      <c r="GL3718" s="5" t="s">
        <v>240</v>
      </c>
      <c r="GM3718" s="5" t="s">
        <v>240</v>
      </c>
      <c r="GN3718" s="5" t="s">
        <v>240</v>
      </c>
      <c r="GO3718" s="5" t="s">
        <v>240</v>
      </c>
      <c r="GP3718" s="5" t="s">
        <v>240</v>
      </c>
      <c r="GQ3718" s="5" t="s">
        <v>240</v>
      </c>
      <c r="GR3718" s="5" t="s">
        <v>240</v>
      </c>
      <c r="GS3718" s="5" t="s">
        <v>240</v>
      </c>
      <c r="GT3718" s="5" t="s">
        <v>240</v>
      </c>
      <c r="GU3718" s="5" t="s">
        <v>240</v>
      </c>
      <c r="GV3718" s="5" t="s">
        <v>240</v>
      </c>
      <c r="GW3718" s="5" t="s">
        <v>240</v>
      </c>
      <c r="GX3718" s="5" t="s">
        <v>240</v>
      </c>
      <c r="GY3718" s="5" t="s">
        <v>240</v>
      </c>
      <c r="GZ3718" s="5" t="s">
        <v>240</v>
      </c>
      <c r="HA3718" s="5" t="s">
        <v>240</v>
      </c>
      <c r="HB3718" s="5" t="s">
        <v>240</v>
      </c>
      <c r="HC3718" s="5" t="s">
        <v>240</v>
      </c>
      <c r="HD3718" s="5" t="s">
        <v>240</v>
      </c>
      <c r="HE3718" s="5" t="s">
        <v>240</v>
      </c>
      <c r="HF3718" s="5" t="s">
        <v>240</v>
      </c>
      <c r="HG3718" s="5" t="s">
        <v>240</v>
      </c>
      <c r="HH3718" s="5" t="s">
        <v>240</v>
      </c>
      <c r="HI3718" s="5" t="s">
        <v>240</v>
      </c>
      <c r="HJ3718" s="5" t="s">
        <v>240</v>
      </c>
      <c r="HK3718" s="5" t="s">
        <v>240</v>
      </c>
      <c r="HL3718" s="5" t="s">
        <v>240</v>
      </c>
      <c r="HM3718" s="5" t="s">
        <v>240</v>
      </c>
      <c r="HN3718" s="5" t="s">
        <v>240</v>
      </c>
      <c r="HO3718" s="5" t="s">
        <v>312</v>
      </c>
      <c r="HP3718" s="5" t="s">
        <v>240</v>
      </c>
      <c r="HQ3718" s="5" t="s">
        <v>240</v>
      </c>
      <c r="HR3718" s="5" t="s">
        <v>240</v>
      </c>
      <c r="HS3718" s="5" t="s">
        <v>240</v>
      </c>
      <c r="HT3718" s="5" t="s">
        <v>240</v>
      </c>
      <c r="HU3718" s="5" t="s">
        <v>240</v>
      </c>
      <c r="HV3718" s="5" t="s">
        <v>240</v>
      </c>
      <c r="HW3718" s="5" t="s">
        <v>240</v>
      </c>
      <c r="HX3718" s="5" t="s">
        <v>240</v>
      </c>
      <c r="HY3718" s="5" t="s">
        <v>240</v>
      </c>
      <c r="HZ3718" s="5" t="s">
        <v>240</v>
      </c>
      <c r="IA3718" s="5" t="s">
        <v>240</v>
      </c>
      <c r="IB3718" s="5" t="s">
        <v>240</v>
      </c>
      <c r="IC3718" s="5" t="s">
        <v>240</v>
      </c>
      <c r="ID3718" s="5" t="s">
        <v>240</v>
      </c>
      <c r="IE3718" s="5" t="s">
        <v>240</v>
      </c>
      <c r="IF3718" s="5" t="s">
        <v>240</v>
      </c>
    </row>
    <row r="3719" spans="1:240" x14ac:dyDescent="0.4">
      <c r="A3719" s="5">
        <v>9261</v>
      </c>
      <c r="B3719" s="5">
        <v>1</v>
      </c>
      <c r="C3719" s="5">
        <v>1</v>
      </c>
      <c r="D3719" s="5" t="s">
        <v>723</v>
      </c>
      <c r="E3719" s="5" t="s">
        <v>725</v>
      </c>
      <c r="F3719" s="5" t="s">
        <v>254</v>
      </c>
      <c r="G3719" s="5" t="s">
        <v>726</v>
      </c>
      <c r="H3719" s="6" t="s">
        <v>5549</v>
      </c>
      <c r="I3719" s="5" t="s">
        <v>5548</v>
      </c>
      <c r="J3719" s="7">
        <f>1</f>
        <v>1</v>
      </c>
      <c r="K3719" s="5" t="s">
        <v>3682</v>
      </c>
      <c r="L3719" s="7">
        <f>1</f>
        <v>1</v>
      </c>
      <c r="M3719" s="7">
        <f>1</f>
        <v>1</v>
      </c>
      <c r="N3719" s="5" t="s">
        <v>242</v>
      </c>
      <c r="O3719" s="5">
        <v>1</v>
      </c>
      <c r="P3719" s="5" t="s">
        <v>294</v>
      </c>
      <c r="Q3719" s="5" t="s">
        <v>613</v>
      </c>
      <c r="R3719" s="5" t="s">
        <v>240</v>
      </c>
      <c r="S3719" s="5" t="s">
        <v>240</v>
      </c>
      <c r="T3719" s="5" t="s">
        <v>243</v>
      </c>
      <c r="U3719" s="5" t="s">
        <v>724</v>
      </c>
      <c r="V3719" s="5" t="s">
        <v>240</v>
      </c>
      <c r="W3719" s="5" t="s">
        <v>240</v>
      </c>
      <c r="X3719" s="5" t="s">
        <v>240</v>
      </c>
      <c r="Y3719" s="5" t="s">
        <v>240</v>
      </c>
      <c r="Z3719" s="6" t="s">
        <v>298</v>
      </c>
      <c r="AA3719" s="6" t="s">
        <v>240</v>
      </c>
      <c r="AB3719" s="6" t="s">
        <v>240</v>
      </c>
      <c r="AC3719" s="5" t="s">
        <v>240</v>
      </c>
      <c r="AD3719" s="6" t="s">
        <v>240</v>
      </c>
      <c r="AE3719" s="6" t="s">
        <v>299</v>
      </c>
      <c r="AF3719" s="5" t="s">
        <v>727</v>
      </c>
      <c r="AG3719" s="5" t="s">
        <v>260</v>
      </c>
      <c r="AH3719" s="5" t="s">
        <v>240</v>
      </c>
      <c r="AI3719" s="5" t="s">
        <v>240</v>
      </c>
      <c r="AJ3719" s="5" t="s">
        <v>240</v>
      </c>
      <c r="AK3719" s="5" t="s">
        <v>240</v>
      </c>
      <c r="AL3719" s="5" t="s">
        <v>240</v>
      </c>
      <c r="AM3719" s="5" t="s">
        <v>240</v>
      </c>
      <c r="AN3719" s="5" t="s">
        <v>240</v>
      </c>
      <c r="AO3719" s="5" t="s">
        <v>240</v>
      </c>
      <c r="AP3719" s="6" t="s">
        <v>240</v>
      </c>
      <c r="AQ3719" s="6" t="s">
        <v>240</v>
      </c>
      <c r="AR3719" s="6" t="s">
        <v>240</v>
      </c>
      <c r="AS3719" s="6" t="s">
        <v>240</v>
      </c>
      <c r="AT3719" s="5" t="s">
        <v>240</v>
      </c>
      <c r="AU3719" s="5" t="s">
        <v>729</v>
      </c>
      <c r="AV3719" s="5" t="s">
        <v>729</v>
      </c>
      <c r="AW3719" s="5" t="s">
        <v>251</v>
      </c>
      <c r="AX3719" s="5" t="s">
        <v>252</v>
      </c>
      <c r="AY3719" s="5" t="s">
        <v>253</v>
      </c>
      <c r="AZ3719" s="5" t="s">
        <v>240</v>
      </c>
      <c r="BA3719" s="5" t="s">
        <v>255</v>
      </c>
      <c r="BB3719" s="5" t="s">
        <v>731</v>
      </c>
      <c r="BD3719" s="5" t="s">
        <v>240</v>
      </c>
      <c r="BF3719" s="5" t="s">
        <v>732</v>
      </c>
      <c r="BG3719" s="6" t="s">
        <v>733</v>
      </c>
      <c r="BH3719" s="5" t="s">
        <v>734</v>
      </c>
      <c r="BI3719" s="5" t="s">
        <v>734</v>
      </c>
      <c r="BJ3719" s="5" t="s">
        <v>240</v>
      </c>
      <c r="BK3719" s="8">
        <f>430</f>
        <v>430</v>
      </c>
      <c r="BL3719" s="7">
        <f>0</f>
        <v>0</v>
      </c>
      <c r="BM3719" s="5" t="s">
        <v>258</v>
      </c>
      <c r="BN3719" s="5" t="s">
        <v>259</v>
      </c>
      <c r="BO3719" s="5" t="s">
        <v>240</v>
      </c>
      <c r="BP3719" s="5" t="s">
        <v>240</v>
      </c>
      <c r="BQ3719" s="5" t="s">
        <v>240</v>
      </c>
      <c r="BR3719" s="5" t="s">
        <v>240</v>
      </c>
      <c r="BS3719" s="5" t="s">
        <v>240</v>
      </c>
      <c r="BT3719" s="5" t="s">
        <v>240</v>
      </c>
      <c r="BU3719" s="5" t="s">
        <v>240</v>
      </c>
      <c r="BV3719" s="5" t="s">
        <v>240</v>
      </c>
      <c r="BW3719" s="6" t="s">
        <v>240</v>
      </c>
      <c r="BX3719" s="5" t="s">
        <v>240</v>
      </c>
      <c r="BY3719" s="5" t="s">
        <v>240</v>
      </c>
      <c r="BZ3719" s="5" t="s">
        <v>240</v>
      </c>
      <c r="CA3719" s="5" t="s">
        <v>259</v>
      </c>
      <c r="CB3719" s="5" t="s">
        <v>240</v>
      </c>
      <c r="CC3719" s="5" t="s">
        <v>240</v>
      </c>
      <c r="CD3719" s="5" t="s">
        <v>240</v>
      </c>
      <c r="CE3719" s="5" t="s">
        <v>240</v>
      </c>
      <c r="CF3719" s="5" t="s">
        <v>240</v>
      </c>
      <c r="CG3719" s="5" t="s">
        <v>617</v>
      </c>
      <c r="CH3719" s="5" t="s">
        <v>305</v>
      </c>
      <c r="CI3719" s="5" t="s">
        <v>240</v>
      </c>
      <c r="CL3719" s="6" t="s">
        <v>261</v>
      </c>
      <c r="CM3719" s="5" t="s">
        <v>262</v>
      </c>
      <c r="CN3719" s="5" t="s">
        <v>263</v>
      </c>
      <c r="CO3719" s="5" t="s">
        <v>264</v>
      </c>
      <c r="CP3719" s="5" t="s">
        <v>240</v>
      </c>
      <c r="CQ3719" s="5">
        <v>0</v>
      </c>
      <c r="CR3719" s="5" t="s">
        <v>735</v>
      </c>
      <c r="CS3719" s="5" t="s">
        <v>307</v>
      </c>
      <c r="CT3719" s="5" t="s">
        <v>307</v>
      </c>
      <c r="CU3719" s="5" t="s">
        <v>260</v>
      </c>
      <c r="CV3719" s="5" t="s">
        <v>240</v>
      </c>
      <c r="CW3719" s="8">
        <f>0</f>
        <v>0</v>
      </c>
      <c r="CX3719" s="7">
        <f>0</f>
        <v>0</v>
      </c>
      <c r="CY3719" s="7">
        <f>0</f>
        <v>0</v>
      </c>
      <c r="DA3719" s="7">
        <f>4730</f>
        <v>4730</v>
      </c>
      <c r="DB3719" s="7" t="s">
        <v>240</v>
      </c>
      <c r="DC3719" s="5" t="s">
        <v>240</v>
      </c>
      <c r="DD3719" s="5" t="s">
        <v>240</v>
      </c>
      <c r="DE3719" s="5" t="s">
        <v>240</v>
      </c>
      <c r="DF3719" s="5" t="s">
        <v>450</v>
      </c>
      <c r="DG3719" s="7">
        <f>0</f>
        <v>0</v>
      </c>
      <c r="DI3719" s="5" t="s">
        <v>737</v>
      </c>
      <c r="DJ3719" s="5" t="s">
        <v>240</v>
      </c>
      <c r="DK3719" s="5" t="s">
        <v>240</v>
      </c>
      <c r="DL3719" s="5" t="s">
        <v>240</v>
      </c>
      <c r="DM3719" s="5" t="s">
        <v>240</v>
      </c>
      <c r="DN3719" s="5" t="s">
        <v>240</v>
      </c>
      <c r="DO3719" s="7" t="s">
        <v>240</v>
      </c>
      <c r="DP3719" s="5" t="s">
        <v>240</v>
      </c>
      <c r="DQ3719" s="5" t="s">
        <v>240</v>
      </c>
      <c r="DR3719" s="5" t="s">
        <v>731</v>
      </c>
      <c r="DS3719" s="5" t="s">
        <v>731</v>
      </c>
      <c r="DT3719" s="5" t="s">
        <v>240</v>
      </c>
      <c r="DU3719" s="5" t="s">
        <v>240</v>
      </c>
      <c r="DV3719" s="5" t="s">
        <v>738</v>
      </c>
      <c r="DW3719" s="5" t="s">
        <v>1122</v>
      </c>
      <c r="DX3719" s="5" t="s">
        <v>240</v>
      </c>
      <c r="DY3719" s="5" t="s">
        <v>240</v>
      </c>
      <c r="DZ3719" s="5" t="s">
        <v>240</v>
      </c>
      <c r="EA3719" s="5" t="s">
        <v>240</v>
      </c>
      <c r="EB3719" s="5" t="s">
        <v>240</v>
      </c>
      <c r="EC3719" s="5" t="s">
        <v>240</v>
      </c>
      <c r="ED3719" s="5" t="s">
        <v>240</v>
      </c>
      <c r="EE3719" s="5" t="s">
        <v>240</v>
      </c>
      <c r="EF3719" s="5" t="s">
        <v>240</v>
      </c>
      <c r="EG3719" s="5" t="s">
        <v>240</v>
      </c>
      <c r="EH3719" s="5" t="s">
        <v>240</v>
      </c>
      <c r="EI3719" s="5" t="s">
        <v>240</v>
      </c>
      <c r="EJ3719" s="5" t="s">
        <v>240</v>
      </c>
      <c r="EK3719" s="5" t="s">
        <v>240</v>
      </c>
      <c r="EL3719" s="5" t="s">
        <v>240</v>
      </c>
      <c r="EM3719" s="5" t="s">
        <v>240</v>
      </c>
      <c r="EN3719" s="5" t="s">
        <v>240</v>
      </c>
      <c r="EO3719" s="5" t="s">
        <v>240</v>
      </c>
      <c r="EP3719" s="5" t="s">
        <v>240</v>
      </c>
      <c r="EQ3719" s="5" t="s">
        <v>240</v>
      </c>
      <c r="ER3719" s="5" t="s">
        <v>240</v>
      </c>
      <c r="ES3719" s="5" t="s">
        <v>240</v>
      </c>
      <c r="ET3719" s="5" t="s">
        <v>240</v>
      </c>
      <c r="EU3719" s="5" t="s">
        <v>240</v>
      </c>
      <c r="EV3719" s="5" t="s">
        <v>240</v>
      </c>
      <c r="EW3719" s="5" t="s">
        <v>240</v>
      </c>
      <c r="EX3719" s="5" t="s">
        <v>240</v>
      </c>
      <c r="EY3719" s="5" t="s">
        <v>240</v>
      </c>
      <c r="EZ3719" s="5" t="s">
        <v>240</v>
      </c>
      <c r="FA3719" s="5" t="s">
        <v>240</v>
      </c>
      <c r="FB3719" s="5" t="s">
        <v>240</v>
      </c>
      <c r="FC3719" s="5" t="s">
        <v>240</v>
      </c>
      <c r="FD3719" s="5" t="s">
        <v>240</v>
      </c>
      <c r="FE3719" s="5" t="s">
        <v>240</v>
      </c>
      <c r="FF3719" s="5" t="s">
        <v>240</v>
      </c>
      <c r="FG3719" s="5" t="s">
        <v>240</v>
      </c>
      <c r="FH3719" s="5" t="s">
        <v>240</v>
      </c>
      <c r="FI3719" s="5" t="s">
        <v>240</v>
      </c>
      <c r="FJ3719" s="5" t="s">
        <v>240</v>
      </c>
      <c r="FK3719" s="5" t="s">
        <v>240</v>
      </c>
      <c r="FL3719" s="5" t="s">
        <v>240</v>
      </c>
      <c r="FM3719" s="5" t="s">
        <v>240</v>
      </c>
      <c r="FN3719" s="5" t="s">
        <v>240</v>
      </c>
      <c r="FO3719" s="5" t="s">
        <v>240</v>
      </c>
      <c r="FP3719" s="5" t="s">
        <v>240</v>
      </c>
      <c r="FQ3719" s="5" t="s">
        <v>240</v>
      </c>
      <c r="FR3719" s="5" t="s">
        <v>240</v>
      </c>
      <c r="FS3719" s="5" t="s">
        <v>240</v>
      </c>
      <c r="FT3719" s="5" t="s">
        <v>240</v>
      </c>
      <c r="FU3719" s="5" t="s">
        <v>240</v>
      </c>
      <c r="FV3719" s="5" t="s">
        <v>240</v>
      </c>
      <c r="FW3719" s="5" t="s">
        <v>240</v>
      </c>
      <c r="FX3719" s="5" t="s">
        <v>240</v>
      </c>
      <c r="FY3719" s="5" t="s">
        <v>240</v>
      </c>
      <c r="FZ3719" s="5" t="s">
        <v>240</v>
      </c>
      <c r="GA3719" s="5" t="s">
        <v>240</v>
      </c>
      <c r="GB3719" s="5" t="s">
        <v>240</v>
      </c>
      <c r="GC3719" s="5" t="s">
        <v>240</v>
      </c>
      <c r="GD3719" s="5" t="s">
        <v>240</v>
      </c>
      <c r="GE3719" s="5" t="s">
        <v>240</v>
      </c>
      <c r="GF3719" s="5" t="s">
        <v>240</v>
      </c>
      <c r="GG3719" s="5" t="s">
        <v>240</v>
      </c>
      <c r="GH3719" s="5" t="s">
        <v>240</v>
      </c>
      <c r="GI3719" s="5" t="s">
        <v>240</v>
      </c>
      <c r="GJ3719" s="5" t="s">
        <v>240</v>
      </c>
      <c r="GK3719" s="5" t="s">
        <v>240</v>
      </c>
      <c r="GL3719" s="5" t="s">
        <v>240</v>
      </c>
      <c r="GM3719" s="5" t="s">
        <v>240</v>
      </c>
      <c r="GN3719" s="5" t="s">
        <v>240</v>
      </c>
      <c r="GO3719" s="5" t="s">
        <v>240</v>
      </c>
      <c r="GP3719" s="5" t="s">
        <v>240</v>
      </c>
      <c r="GQ3719" s="5" t="s">
        <v>240</v>
      </c>
      <c r="GR3719" s="5" t="s">
        <v>240</v>
      </c>
      <c r="GS3719" s="5" t="s">
        <v>240</v>
      </c>
      <c r="GT3719" s="5" t="s">
        <v>240</v>
      </c>
      <c r="GU3719" s="5" t="s">
        <v>240</v>
      </c>
      <c r="GV3719" s="5" t="s">
        <v>240</v>
      </c>
      <c r="GW3719" s="5" t="s">
        <v>240</v>
      </c>
      <c r="GX3719" s="5" t="s">
        <v>240</v>
      </c>
      <c r="GY3719" s="5" t="s">
        <v>240</v>
      </c>
      <c r="GZ3719" s="5" t="s">
        <v>240</v>
      </c>
      <c r="HA3719" s="5" t="s">
        <v>240</v>
      </c>
      <c r="HB3719" s="5" t="s">
        <v>240</v>
      </c>
      <c r="HC3719" s="5" t="s">
        <v>240</v>
      </c>
      <c r="HD3719" s="5" t="s">
        <v>240</v>
      </c>
      <c r="HE3719" s="5" t="s">
        <v>240</v>
      </c>
      <c r="HF3719" s="5" t="s">
        <v>240</v>
      </c>
      <c r="HG3719" s="5" t="s">
        <v>240</v>
      </c>
      <c r="HH3719" s="5" t="s">
        <v>240</v>
      </c>
      <c r="HI3719" s="5" t="s">
        <v>240</v>
      </c>
      <c r="HJ3719" s="5" t="s">
        <v>240</v>
      </c>
      <c r="HK3719" s="5" t="s">
        <v>240</v>
      </c>
      <c r="HL3719" s="5" t="s">
        <v>240</v>
      </c>
      <c r="HM3719" s="5" t="s">
        <v>240</v>
      </c>
      <c r="HN3719" s="5" t="s">
        <v>240</v>
      </c>
      <c r="HO3719" s="5" t="s">
        <v>312</v>
      </c>
      <c r="HP3719" s="5" t="s">
        <v>240</v>
      </c>
      <c r="HQ3719" s="5" t="s">
        <v>240</v>
      </c>
      <c r="HR3719" s="5" t="s">
        <v>240</v>
      </c>
      <c r="HS3719" s="5" t="s">
        <v>240</v>
      </c>
      <c r="HT3719" s="5" t="s">
        <v>240</v>
      </c>
      <c r="HU3719" s="5" t="s">
        <v>240</v>
      </c>
      <c r="HV3719" s="5" t="s">
        <v>240</v>
      </c>
      <c r="HW3719" s="5" t="s">
        <v>240</v>
      </c>
      <c r="HX3719" s="5" t="s">
        <v>240</v>
      </c>
      <c r="HY3719" s="5" t="s">
        <v>240</v>
      </c>
      <c r="HZ3719" s="5" t="s">
        <v>240</v>
      </c>
      <c r="IA3719" s="5" t="s">
        <v>240</v>
      </c>
      <c r="IB3719" s="5" t="s">
        <v>240</v>
      </c>
      <c r="IC3719" s="5" t="s">
        <v>240</v>
      </c>
      <c r="ID3719" s="5" t="s">
        <v>240</v>
      </c>
      <c r="IE3719" s="5" t="s">
        <v>240</v>
      </c>
      <c r="IF3719" s="5" t="s">
        <v>240</v>
      </c>
    </row>
    <row r="3720" spans="1:240" x14ac:dyDescent="0.4">
      <c r="A3720" s="5">
        <v>9262</v>
      </c>
      <c r="B3720" s="5">
        <v>1</v>
      </c>
      <c r="C3720" s="5">
        <v>1</v>
      </c>
      <c r="D3720" s="5" t="s">
        <v>723</v>
      </c>
      <c r="E3720" s="5" t="s">
        <v>725</v>
      </c>
      <c r="F3720" s="5" t="s">
        <v>254</v>
      </c>
      <c r="G3720" s="5" t="s">
        <v>5546</v>
      </c>
      <c r="H3720" s="6" t="s">
        <v>5547</v>
      </c>
      <c r="I3720" s="5" t="s">
        <v>5545</v>
      </c>
      <c r="J3720" s="7">
        <f>1</f>
        <v>1</v>
      </c>
      <c r="K3720" s="5" t="s">
        <v>3682</v>
      </c>
      <c r="L3720" s="7">
        <f>1</f>
        <v>1</v>
      </c>
      <c r="M3720" s="7">
        <f>1</f>
        <v>1</v>
      </c>
      <c r="N3720" s="5" t="s">
        <v>242</v>
      </c>
      <c r="O3720" s="5">
        <v>1</v>
      </c>
      <c r="P3720" s="5" t="s">
        <v>294</v>
      </c>
      <c r="Q3720" s="5" t="s">
        <v>266</v>
      </c>
      <c r="R3720" s="5" t="s">
        <v>240</v>
      </c>
      <c r="S3720" s="5" t="s">
        <v>240</v>
      </c>
      <c r="T3720" s="5" t="s">
        <v>243</v>
      </c>
      <c r="U3720" s="5" t="s">
        <v>244</v>
      </c>
      <c r="V3720" s="5" t="s">
        <v>240</v>
      </c>
      <c r="Y3720" s="5" t="s">
        <v>240</v>
      </c>
      <c r="Z3720" s="6" t="s">
        <v>5054</v>
      </c>
      <c r="AB3720" s="6" t="s">
        <v>240</v>
      </c>
      <c r="AE3720" s="6" t="s">
        <v>299</v>
      </c>
      <c r="AF3720" s="5" t="s">
        <v>248</v>
      </c>
      <c r="AG3720" s="5" t="s">
        <v>249</v>
      </c>
      <c r="AW3720" s="5" t="s">
        <v>251</v>
      </c>
      <c r="AX3720" s="5" t="s">
        <v>240</v>
      </c>
      <c r="AY3720" s="5" t="s">
        <v>253</v>
      </c>
      <c r="AZ3720" s="5" t="s">
        <v>240</v>
      </c>
      <c r="BA3720" s="5" t="s">
        <v>255</v>
      </c>
      <c r="BB3720" s="5" t="s">
        <v>240</v>
      </c>
      <c r="BD3720" s="5" t="s">
        <v>240</v>
      </c>
      <c r="BF3720" s="5" t="s">
        <v>447</v>
      </c>
      <c r="BG3720" s="6" t="s">
        <v>5054</v>
      </c>
      <c r="BH3720" s="5" t="s">
        <v>302</v>
      </c>
      <c r="BI3720" s="5" t="s">
        <v>448</v>
      </c>
      <c r="BJ3720" s="5" t="s">
        <v>240</v>
      </c>
      <c r="BK3720" s="8">
        <f>0</f>
        <v>0</v>
      </c>
      <c r="BL3720" s="7">
        <f>0</f>
        <v>0</v>
      </c>
      <c r="BM3720" s="5" t="s">
        <v>258</v>
      </c>
      <c r="BN3720" s="5" t="s">
        <v>259</v>
      </c>
      <c r="CB3720" s="5" t="s">
        <v>240</v>
      </c>
      <c r="CC3720" s="5" t="s">
        <v>240</v>
      </c>
      <c r="CG3720" s="5" t="s">
        <v>449</v>
      </c>
      <c r="CH3720" s="5" t="s">
        <v>305</v>
      </c>
      <c r="CI3720" s="5" t="s">
        <v>240</v>
      </c>
      <c r="CL3720" s="6" t="s">
        <v>261</v>
      </c>
      <c r="CM3720" s="5" t="s">
        <v>240</v>
      </c>
      <c r="CN3720" s="5" t="s">
        <v>263</v>
      </c>
      <c r="CO3720" s="5" t="s">
        <v>240</v>
      </c>
      <c r="CP3720" s="5" t="s">
        <v>240</v>
      </c>
      <c r="CQ3720" s="5">
        <v>0</v>
      </c>
      <c r="CR3720" s="5" t="s">
        <v>306</v>
      </c>
      <c r="CS3720" s="5" t="s">
        <v>307</v>
      </c>
      <c r="CT3720" s="5" t="s">
        <v>307</v>
      </c>
      <c r="CU3720" s="5" t="s">
        <v>260</v>
      </c>
      <c r="CX3720" s="7">
        <f>18365538</f>
        <v>18365538</v>
      </c>
      <c r="CY3720" s="7">
        <f>0</f>
        <v>0</v>
      </c>
      <c r="DA3720" s="7">
        <f>0</f>
        <v>0</v>
      </c>
      <c r="DC3720" s="5" t="s">
        <v>450</v>
      </c>
      <c r="DD3720" s="5" t="s">
        <v>240</v>
      </c>
      <c r="DF3720" s="5" t="s">
        <v>450</v>
      </c>
      <c r="DG3720" s="7">
        <f>938.78</f>
        <v>938.78</v>
      </c>
      <c r="DI3720" s="5" t="s">
        <v>240</v>
      </c>
      <c r="DJ3720" s="5" t="s">
        <v>240</v>
      </c>
      <c r="DK3720" s="5" t="s">
        <v>240</v>
      </c>
      <c r="DL3720" s="5" t="s">
        <v>240</v>
      </c>
      <c r="DP3720" s="5" t="s">
        <v>240</v>
      </c>
      <c r="DQ3720" s="5" t="s">
        <v>240</v>
      </c>
      <c r="DR3720" s="5" t="s">
        <v>240</v>
      </c>
      <c r="DS3720" s="5" t="s">
        <v>240</v>
      </c>
      <c r="DV3720" s="5" t="s">
        <v>310</v>
      </c>
      <c r="DW3720" s="5" t="s">
        <v>2544</v>
      </c>
      <c r="HO3720" s="5" t="s">
        <v>312</v>
      </c>
    </row>
    <row r="3721" spans="1:240" x14ac:dyDescent="0.4">
      <c r="A3721" s="5">
        <v>9263</v>
      </c>
      <c r="B3721" s="5">
        <v>1</v>
      </c>
      <c r="C3721" s="5">
        <v>1</v>
      </c>
      <c r="D3721" s="5" t="s">
        <v>723</v>
      </c>
      <c r="E3721" s="5" t="s">
        <v>725</v>
      </c>
      <c r="F3721" s="5" t="s">
        <v>254</v>
      </c>
      <c r="G3721" s="5" t="s">
        <v>726</v>
      </c>
      <c r="H3721" s="6" t="s">
        <v>5544</v>
      </c>
      <c r="I3721" s="5" t="s">
        <v>5543</v>
      </c>
      <c r="J3721" s="7">
        <f>1</f>
        <v>1</v>
      </c>
      <c r="K3721" s="5" t="s">
        <v>3682</v>
      </c>
      <c r="L3721" s="7">
        <f>1</f>
        <v>1</v>
      </c>
      <c r="M3721" s="7">
        <f>1</f>
        <v>1</v>
      </c>
      <c r="N3721" s="5" t="s">
        <v>242</v>
      </c>
      <c r="O3721" s="5">
        <v>1</v>
      </c>
      <c r="P3721" s="5" t="s">
        <v>294</v>
      </c>
      <c r="Q3721" s="5" t="s">
        <v>613</v>
      </c>
      <c r="R3721" s="5" t="s">
        <v>240</v>
      </c>
      <c r="S3721" s="5" t="s">
        <v>240</v>
      </c>
      <c r="T3721" s="5" t="s">
        <v>243</v>
      </c>
      <c r="U3721" s="5" t="s">
        <v>244</v>
      </c>
      <c r="V3721" s="5" t="s">
        <v>240</v>
      </c>
      <c r="Y3721" s="5" t="s">
        <v>240</v>
      </c>
      <c r="Z3721" s="6" t="s">
        <v>298</v>
      </c>
      <c r="AB3721" s="6" t="s">
        <v>240</v>
      </c>
      <c r="AE3721" s="6" t="s">
        <v>299</v>
      </c>
      <c r="AF3721" s="5" t="s">
        <v>248</v>
      </c>
      <c r="AG3721" s="5" t="s">
        <v>249</v>
      </c>
      <c r="AW3721" s="5" t="s">
        <v>251</v>
      </c>
      <c r="AX3721" s="5" t="s">
        <v>240</v>
      </c>
      <c r="AY3721" s="5" t="s">
        <v>253</v>
      </c>
      <c r="AZ3721" s="5" t="s">
        <v>240</v>
      </c>
      <c r="BA3721" s="5" t="s">
        <v>255</v>
      </c>
      <c r="BB3721" s="5" t="s">
        <v>240</v>
      </c>
      <c r="BD3721" s="5" t="s">
        <v>240</v>
      </c>
      <c r="BF3721" s="5" t="s">
        <v>301</v>
      </c>
      <c r="BG3721" s="6" t="s">
        <v>299</v>
      </c>
      <c r="BH3721" s="5" t="s">
        <v>302</v>
      </c>
      <c r="BI3721" s="5" t="s">
        <v>6587</v>
      </c>
      <c r="BJ3721" s="5" t="s">
        <v>240</v>
      </c>
      <c r="BK3721" s="8">
        <f>0</f>
        <v>0</v>
      </c>
      <c r="BL3721" s="7">
        <f>0</f>
        <v>0</v>
      </c>
      <c r="BM3721" s="5" t="s">
        <v>258</v>
      </c>
      <c r="BN3721" s="5" t="s">
        <v>259</v>
      </c>
      <c r="CB3721" s="5" t="s">
        <v>240</v>
      </c>
      <c r="CC3721" s="5" t="s">
        <v>240</v>
      </c>
      <c r="CG3721" s="5" t="s">
        <v>617</v>
      </c>
      <c r="CH3721" s="5" t="s">
        <v>305</v>
      </c>
      <c r="CI3721" s="5" t="s">
        <v>240</v>
      </c>
      <c r="CL3721" s="6" t="s">
        <v>261</v>
      </c>
      <c r="CM3721" s="5" t="s">
        <v>240</v>
      </c>
      <c r="CN3721" s="5" t="s">
        <v>263</v>
      </c>
      <c r="CO3721" s="5" t="s">
        <v>240</v>
      </c>
      <c r="CP3721" s="5" t="s">
        <v>240</v>
      </c>
      <c r="CQ3721" s="5">
        <v>0</v>
      </c>
      <c r="CR3721" s="5" t="s">
        <v>306</v>
      </c>
      <c r="CS3721" s="5" t="s">
        <v>307</v>
      </c>
      <c r="CT3721" s="5" t="s">
        <v>307</v>
      </c>
      <c r="CU3721" s="5" t="s">
        <v>260</v>
      </c>
      <c r="CX3721" s="7">
        <f>272445</f>
        <v>272445</v>
      </c>
      <c r="CY3721" s="7">
        <f>0</f>
        <v>0</v>
      </c>
      <c r="DA3721" s="7">
        <f>0</f>
        <v>0</v>
      </c>
      <c r="DC3721" s="5" t="s">
        <v>689</v>
      </c>
      <c r="DD3721" s="5" t="s">
        <v>240</v>
      </c>
      <c r="DF3721" s="5" t="s">
        <v>450</v>
      </c>
      <c r="DG3721" s="7">
        <f>0</f>
        <v>0</v>
      </c>
      <c r="DI3721" s="5" t="s">
        <v>618</v>
      </c>
      <c r="DJ3721" s="5" t="s">
        <v>240</v>
      </c>
      <c r="DK3721" s="5" t="s">
        <v>240</v>
      </c>
      <c r="DL3721" s="5" t="s">
        <v>240</v>
      </c>
      <c r="DP3721" s="5" t="s">
        <v>240</v>
      </c>
      <c r="DQ3721" s="5" t="s">
        <v>240</v>
      </c>
      <c r="DR3721" s="5" t="s">
        <v>240</v>
      </c>
      <c r="DS3721" s="5" t="s">
        <v>240</v>
      </c>
      <c r="DV3721" s="5" t="s">
        <v>6588</v>
      </c>
      <c r="DW3721" s="5" t="s">
        <v>820</v>
      </c>
      <c r="HO3721" s="5" t="s">
        <v>620</v>
      </c>
    </row>
    <row r="3722" spans="1:240" x14ac:dyDescent="0.4">
      <c r="A3722" s="5">
        <v>9264</v>
      </c>
      <c r="B3722" s="5">
        <v>1</v>
      </c>
      <c r="C3722" s="5">
        <v>1</v>
      </c>
      <c r="D3722" s="5" t="s">
        <v>723</v>
      </c>
      <c r="E3722" s="5" t="s">
        <v>725</v>
      </c>
      <c r="F3722" s="5" t="s">
        <v>254</v>
      </c>
      <c r="G3722" s="5" t="s">
        <v>5541</v>
      </c>
      <c r="H3722" s="6" t="s">
        <v>5542</v>
      </c>
      <c r="I3722" s="5" t="s">
        <v>5540</v>
      </c>
      <c r="J3722" s="7">
        <f>1</f>
        <v>1</v>
      </c>
      <c r="K3722" s="5" t="s">
        <v>3682</v>
      </c>
      <c r="L3722" s="7">
        <f>1</f>
        <v>1</v>
      </c>
      <c r="M3722" s="7">
        <f>1</f>
        <v>1</v>
      </c>
      <c r="N3722" s="5" t="s">
        <v>242</v>
      </c>
      <c r="O3722" s="5">
        <v>1</v>
      </c>
      <c r="P3722" s="5" t="s">
        <v>294</v>
      </c>
      <c r="Q3722" s="5" t="s">
        <v>613</v>
      </c>
      <c r="R3722" s="5" t="s">
        <v>240</v>
      </c>
      <c r="S3722" s="5" t="s">
        <v>240</v>
      </c>
      <c r="T3722" s="5" t="s">
        <v>243</v>
      </c>
      <c r="U3722" s="5" t="s">
        <v>724</v>
      </c>
      <c r="V3722" s="5" t="s">
        <v>240</v>
      </c>
      <c r="W3722" s="5" t="s">
        <v>240</v>
      </c>
      <c r="X3722" s="5" t="s">
        <v>240</v>
      </c>
      <c r="Y3722" s="5" t="s">
        <v>240</v>
      </c>
      <c r="Z3722" s="6" t="s">
        <v>298</v>
      </c>
      <c r="AA3722" s="6" t="s">
        <v>240</v>
      </c>
      <c r="AB3722" s="6" t="s">
        <v>240</v>
      </c>
      <c r="AC3722" s="5" t="s">
        <v>240</v>
      </c>
      <c r="AD3722" s="6" t="s">
        <v>240</v>
      </c>
      <c r="AE3722" s="6" t="s">
        <v>299</v>
      </c>
      <c r="AF3722" s="5" t="s">
        <v>727</v>
      </c>
      <c r="AG3722" s="5" t="s">
        <v>260</v>
      </c>
      <c r="AH3722" s="5" t="s">
        <v>240</v>
      </c>
      <c r="AI3722" s="5" t="s">
        <v>240</v>
      </c>
      <c r="AJ3722" s="5" t="s">
        <v>240</v>
      </c>
      <c r="AK3722" s="5" t="s">
        <v>240</v>
      </c>
      <c r="AL3722" s="5" t="s">
        <v>240</v>
      </c>
      <c r="AM3722" s="5" t="s">
        <v>240</v>
      </c>
      <c r="AN3722" s="5" t="s">
        <v>240</v>
      </c>
      <c r="AO3722" s="5" t="s">
        <v>240</v>
      </c>
      <c r="AP3722" s="6" t="s">
        <v>240</v>
      </c>
      <c r="AQ3722" s="6" t="s">
        <v>240</v>
      </c>
      <c r="AR3722" s="6" t="s">
        <v>240</v>
      </c>
      <c r="AS3722" s="6" t="s">
        <v>240</v>
      </c>
      <c r="AT3722" s="5" t="s">
        <v>240</v>
      </c>
      <c r="AU3722" s="5" t="s">
        <v>729</v>
      </c>
      <c r="AV3722" s="5" t="s">
        <v>729</v>
      </c>
      <c r="AW3722" s="5" t="s">
        <v>251</v>
      </c>
      <c r="AX3722" s="5" t="s">
        <v>252</v>
      </c>
      <c r="AY3722" s="5" t="s">
        <v>253</v>
      </c>
      <c r="AZ3722" s="5" t="s">
        <v>240</v>
      </c>
      <c r="BA3722" s="5" t="s">
        <v>255</v>
      </c>
      <c r="BB3722" s="5" t="s">
        <v>731</v>
      </c>
      <c r="BD3722" s="5" t="s">
        <v>240</v>
      </c>
      <c r="BF3722" s="5" t="s">
        <v>732</v>
      </c>
      <c r="BG3722" s="6" t="s">
        <v>733</v>
      </c>
      <c r="BH3722" s="5" t="s">
        <v>734</v>
      </c>
      <c r="BI3722" s="5" t="s">
        <v>734</v>
      </c>
      <c r="BJ3722" s="5" t="s">
        <v>240</v>
      </c>
      <c r="BK3722" s="8">
        <f>1026</f>
        <v>1026</v>
      </c>
      <c r="BL3722" s="7">
        <f>0</f>
        <v>0</v>
      </c>
      <c r="BM3722" s="5" t="s">
        <v>258</v>
      </c>
      <c r="BN3722" s="5" t="s">
        <v>259</v>
      </c>
      <c r="BO3722" s="5" t="s">
        <v>240</v>
      </c>
      <c r="BP3722" s="5" t="s">
        <v>240</v>
      </c>
      <c r="BQ3722" s="5" t="s">
        <v>240</v>
      </c>
      <c r="BR3722" s="5" t="s">
        <v>240</v>
      </c>
      <c r="BS3722" s="5" t="s">
        <v>240</v>
      </c>
      <c r="BT3722" s="5" t="s">
        <v>240</v>
      </c>
      <c r="BU3722" s="5" t="s">
        <v>240</v>
      </c>
      <c r="BV3722" s="5" t="s">
        <v>240</v>
      </c>
      <c r="BW3722" s="6" t="s">
        <v>240</v>
      </c>
      <c r="BX3722" s="5" t="s">
        <v>240</v>
      </c>
      <c r="BY3722" s="5" t="s">
        <v>240</v>
      </c>
      <c r="BZ3722" s="5" t="s">
        <v>240</v>
      </c>
      <c r="CA3722" s="5" t="s">
        <v>259</v>
      </c>
      <c r="CB3722" s="5" t="s">
        <v>240</v>
      </c>
      <c r="CC3722" s="5" t="s">
        <v>240</v>
      </c>
      <c r="CD3722" s="5" t="s">
        <v>240</v>
      </c>
      <c r="CE3722" s="5" t="s">
        <v>240</v>
      </c>
      <c r="CF3722" s="5" t="s">
        <v>240</v>
      </c>
      <c r="CG3722" s="5" t="s">
        <v>617</v>
      </c>
      <c r="CH3722" s="5" t="s">
        <v>305</v>
      </c>
      <c r="CI3722" s="5" t="s">
        <v>240</v>
      </c>
      <c r="CL3722" s="6" t="s">
        <v>261</v>
      </c>
      <c r="CM3722" s="5" t="s">
        <v>262</v>
      </c>
      <c r="CN3722" s="5" t="s">
        <v>263</v>
      </c>
      <c r="CO3722" s="5" t="s">
        <v>264</v>
      </c>
      <c r="CP3722" s="5" t="s">
        <v>240</v>
      </c>
      <c r="CQ3722" s="5">
        <v>0</v>
      </c>
      <c r="CR3722" s="5" t="s">
        <v>735</v>
      </c>
      <c r="CS3722" s="5" t="s">
        <v>307</v>
      </c>
      <c r="CT3722" s="5" t="s">
        <v>307</v>
      </c>
      <c r="CU3722" s="5" t="s">
        <v>260</v>
      </c>
      <c r="CV3722" s="5" t="s">
        <v>240</v>
      </c>
      <c r="CW3722" s="8">
        <f>0</f>
        <v>0</v>
      </c>
      <c r="CX3722" s="7">
        <f>0</f>
        <v>0</v>
      </c>
      <c r="CY3722" s="7">
        <f>0</f>
        <v>0</v>
      </c>
      <c r="DA3722" s="7">
        <f>11286</f>
        <v>11286</v>
      </c>
      <c r="DB3722" s="7" t="s">
        <v>240</v>
      </c>
      <c r="DC3722" s="5" t="s">
        <v>240</v>
      </c>
      <c r="DD3722" s="5" t="s">
        <v>240</v>
      </c>
      <c r="DE3722" s="5" t="s">
        <v>240</v>
      </c>
      <c r="DF3722" s="5" t="s">
        <v>450</v>
      </c>
      <c r="DG3722" s="7">
        <f>0</f>
        <v>0</v>
      </c>
      <c r="DI3722" s="5" t="s">
        <v>737</v>
      </c>
      <c r="DJ3722" s="5" t="s">
        <v>240</v>
      </c>
      <c r="DK3722" s="5" t="s">
        <v>240</v>
      </c>
      <c r="DL3722" s="5" t="s">
        <v>240</v>
      </c>
      <c r="DM3722" s="5" t="s">
        <v>240</v>
      </c>
      <c r="DN3722" s="5" t="s">
        <v>240</v>
      </c>
      <c r="DO3722" s="7" t="s">
        <v>240</v>
      </c>
      <c r="DP3722" s="5" t="s">
        <v>240</v>
      </c>
      <c r="DQ3722" s="5" t="s">
        <v>240</v>
      </c>
      <c r="DR3722" s="5" t="s">
        <v>731</v>
      </c>
      <c r="DS3722" s="5" t="s">
        <v>731</v>
      </c>
      <c r="DT3722" s="5" t="s">
        <v>240</v>
      </c>
      <c r="DU3722" s="5" t="s">
        <v>240</v>
      </c>
      <c r="DV3722" s="5" t="s">
        <v>738</v>
      </c>
      <c r="DW3722" s="5" t="s">
        <v>534</v>
      </c>
      <c r="DX3722" s="5" t="s">
        <v>240</v>
      </c>
      <c r="DY3722" s="5" t="s">
        <v>240</v>
      </c>
      <c r="DZ3722" s="5" t="s">
        <v>240</v>
      </c>
      <c r="EA3722" s="5" t="s">
        <v>240</v>
      </c>
      <c r="EB3722" s="5" t="s">
        <v>240</v>
      </c>
      <c r="EC3722" s="5" t="s">
        <v>240</v>
      </c>
      <c r="ED3722" s="5" t="s">
        <v>240</v>
      </c>
      <c r="EE3722" s="5" t="s">
        <v>240</v>
      </c>
      <c r="EF3722" s="5" t="s">
        <v>240</v>
      </c>
      <c r="EG3722" s="5" t="s">
        <v>240</v>
      </c>
      <c r="EH3722" s="5" t="s">
        <v>240</v>
      </c>
      <c r="EI3722" s="5" t="s">
        <v>240</v>
      </c>
      <c r="EJ3722" s="5" t="s">
        <v>240</v>
      </c>
      <c r="EK3722" s="5" t="s">
        <v>240</v>
      </c>
      <c r="EL3722" s="5" t="s">
        <v>240</v>
      </c>
      <c r="EM3722" s="5" t="s">
        <v>240</v>
      </c>
      <c r="EN3722" s="5" t="s">
        <v>240</v>
      </c>
      <c r="EO3722" s="5" t="s">
        <v>240</v>
      </c>
      <c r="EP3722" s="5" t="s">
        <v>240</v>
      </c>
      <c r="EQ3722" s="5" t="s">
        <v>240</v>
      </c>
      <c r="ER3722" s="5" t="s">
        <v>240</v>
      </c>
      <c r="ES3722" s="5" t="s">
        <v>240</v>
      </c>
      <c r="ET3722" s="5" t="s">
        <v>240</v>
      </c>
      <c r="EU3722" s="5" t="s">
        <v>240</v>
      </c>
      <c r="EV3722" s="5" t="s">
        <v>240</v>
      </c>
      <c r="EW3722" s="5" t="s">
        <v>240</v>
      </c>
      <c r="EX3722" s="5" t="s">
        <v>240</v>
      </c>
      <c r="EY3722" s="5" t="s">
        <v>240</v>
      </c>
      <c r="EZ3722" s="5" t="s">
        <v>240</v>
      </c>
      <c r="FA3722" s="5" t="s">
        <v>240</v>
      </c>
      <c r="FB3722" s="5" t="s">
        <v>240</v>
      </c>
      <c r="FC3722" s="5" t="s">
        <v>240</v>
      </c>
      <c r="FD3722" s="5" t="s">
        <v>240</v>
      </c>
      <c r="FE3722" s="5" t="s">
        <v>240</v>
      </c>
      <c r="FF3722" s="5" t="s">
        <v>240</v>
      </c>
      <c r="FG3722" s="5" t="s">
        <v>240</v>
      </c>
      <c r="FH3722" s="5" t="s">
        <v>240</v>
      </c>
      <c r="FI3722" s="5" t="s">
        <v>240</v>
      </c>
      <c r="FJ3722" s="5" t="s">
        <v>240</v>
      </c>
      <c r="FK3722" s="5" t="s">
        <v>240</v>
      </c>
      <c r="FL3722" s="5" t="s">
        <v>240</v>
      </c>
      <c r="FM3722" s="5" t="s">
        <v>240</v>
      </c>
      <c r="FN3722" s="5" t="s">
        <v>240</v>
      </c>
      <c r="FO3722" s="5" t="s">
        <v>240</v>
      </c>
      <c r="FP3722" s="5" t="s">
        <v>240</v>
      </c>
      <c r="FQ3722" s="5" t="s">
        <v>240</v>
      </c>
      <c r="FR3722" s="5" t="s">
        <v>240</v>
      </c>
      <c r="FS3722" s="5" t="s">
        <v>240</v>
      </c>
      <c r="FT3722" s="5" t="s">
        <v>240</v>
      </c>
      <c r="FU3722" s="5" t="s">
        <v>240</v>
      </c>
      <c r="FV3722" s="5" t="s">
        <v>240</v>
      </c>
      <c r="FW3722" s="5" t="s">
        <v>240</v>
      </c>
      <c r="FX3722" s="5" t="s">
        <v>240</v>
      </c>
      <c r="FY3722" s="5" t="s">
        <v>240</v>
      </c>
      <c r="FZ3722" s="5" t="s">
        <v>240</v>
      </c>
      <c r="GA3722" s="5" t="s">
        <v>240</v>
      </c>
      <c r="GB3722" s="5" t="s">
        <v>240</v>
      </c>
      <c r="GC3722" s="5" t="s">
        <v>240</v>
      </c>
      <c r="GD3722" s="5" t="s">
        <v>240</v>
      </c>
      <c r="GE3722" s="5" t="s">
        <v>240</v>
      </c>
      <c r="GF3722" s="5" t="s">
        <v>240</v>
      </c>
      <c r="GG3722" s="5" t="s">
        <v>240</v>
      </c>
      <c r="GH3722" s="5" t="s">
        <v>240</v>
      </c>
      <c r="GI3722" s="5" t="s">
        <v>240</v>
      </c>
      <c r="GJ3722" s="5" t="s">
        <v>240</v>
      </c>
      <c r="GK3722" s="5" t="s">
        <v>240</v>
      </c>
      <c r="GL3722" s="5" t="s">
        <v>240</v>
      </c>
      <c r="GM3722" s="5" t="s">
        <v>240</v>
      </c>
      <c r="GN3722" s="5" t="s">
        <v>240</v>
      </c>
      <c r="GO3722" s="5" t="s">
        <v>240</v>
      </c>
      <c r="GP3722" s="5" t="s">
        <v>240</v>
      </c>
      <c r="GQ3722" s="5" t="s">
        <v>240</v>
      </c>
      <c r="GR3722" s="5" t="s">
        <v>240</v>
      </c>
      <c r="GS3722" s="5" t="s">
        <v>240</v>
      </c>
      <c r="GT3722" s="5" t="s">
        <v>240</v>
      </c>
      <c r="GU3722" s="5" t="s">
        <v>240</v>
      </c>
      <c r="GV3722" s="5" t="s">
        <v>240</v>
      </c>
      <c r="GW3722" s="5" t="s">
        <v>240</v>
      </c>
      <c r="GX3722" s="5" t="s">
        <v>240</v>
      </c>
      <c r="GY3722" s="5" t="s">
        <v>240</v>
      </c>
      <c r="GZ3722" s="5" t="s">
        <v>240</v>
      </c>
      <c r="HA3722" s="5" t="s">
        <v>240</v>
      </c>
      <c r="HB3722" s="5" t="s">
        <v>240</v>
      </c>
      <c r="HC3722" s="5" t="s">
        <v>240</v>
      </c>
      <c r="HD3722" s="5" t="s">
        <v>240</v>
      </c>
      <c r="HE3722" s="5" t="s">
        <v>240</v>
      </c>
      <c r="HF3722" s="5" t="s">
        <v>240</v>
      </c>
      <c r="HG3722" s="5" t="s">
        <v>240</v>
      </c>
      <c r="HH3722" s="5" t="s">
        <v>240</v>
      </c>
      <c r="HI3722" s="5" t="s">
        <v>240</v>
      </c>
      <c r="HJ3722" s="5" t="s">
        <v>240</v>
      </c>
      <c r="HK3722" s="5" t="s">
        <v>240</v>
      </c>
      <c r="HL3722" s="5" t="s">
        <v>240</v>
      </c>
      <c r="HM3722" s="5" t="s">
        <v>240</v>
      </c>
      <c r="HN3722" s="5" t="s">
        <v>240</v>
      </c>
      <c r="HO3722" s="5" t="s">
        <v>620</v>
      </c>
      <c r="HP3722" s="5" t="s">
        <v>240</v>
      </c>
      <c r="HQ3722" s="5" t="s">
        <v>240</v>
      </c>
      <c r="HR3722" s="5" t="s">
        <v>240</v>
      </c>
      <c r="HS3722" s="5" t="s">
        <v>240</v>
      </c>
      <c r="HT3722" s="5" t="s">
        <v>240</v>
      </c>
      <c r="HU3722" s="5" t="s">
        <v>240</v>
      </c>
      <c r="HV3722" s="5" t="s">
        <v>240</v>
      </c>
      <c r="HW3722" s="5" t="s">
        <v>240</v>
      </c>
      <c r="HX3722" s="5" t="s">
        <v>240</v>
      </c>
      <c r="HY3722" s="5" t="s">
        <v>240</v>
      </c>
      <c r="HZ3722" s="5" t="s">
        <v>240</v>
      </c>
      <c r="IA3722" s="5" t="s">
        <v>240</v>
      </c>
      <c r="IB3722" s="5" t="s">
        <v>240</v>
      </c>
      <c r="IC3722" s="5" t="s">
        <v>240</v>
      </c>
      <c r="ID3722" s="5" t="s">
        <v>240</v>
      </c>
      <c r="IE3722" s="5" t="s">
        <v>240</v>
      </c>
      <c r="IF3722" s="5" t="s">
        <v>240</v>
      </c>
    </row>
    <row r="3723" spans="1:240" x14ac:dyDescent="0.4">
      <c r="A3723" s="5">
        <v>9265</v>
      </c>
      <c r="B3723" s="5">
        <v>1</v>
      </c>
      <c r="C3723" s="5">
        <v>1</v>
      </c>
      <c r="D3723" s="5" t="s">
        <v>723</v>
      </c>
      <c r="E3723" s="5" t="s">
        <v>725</v>
      </c>
      <c r="F3723" s="5" t="s">
        <v>254</v>
      </c>
      <c r="G3723" s="5" t="s">
        <v>726</v>
      </c>
      <c r="H3723" s="6" t="s">
        <v>6316</v>
      </c>
      <c r="I3723" s="5" t="s">
        <v>6315</v>
      </c>
      <c r="J3723" s="7">
        <f>1</f>
        <v>1</v>
      </c>
      <c r="K3723" s="5" t="s">
        <v>3682</v>
      </c>
      <c r="L3723" s="7">
        <f>1</f>
        <v>1</v>
      </c>
      <c r="M3723" s="7">
        <f>1</f>
        <v>1</v>
      </c>
      <c r="N3723" s="5" t="s">
        <v>242</v>
      </c>
      <c r="O3723" s="5">
        <v>1</v>
      </c>
      <c r="P3723" s="5" t="s">
        <v>294</v>
      </c>
      <c r="Q3723" s="5" t="s">
        <v>613</v>
      </c>
      <c r="R3723" s="5" t="s">
        <v>240</v>
      </c>
      <c r="S3723" s="5" t="s">
        <v>240</v>
      </c>
      <c r="T3723" s="5" t="s">
        <v>296</v>
      </c>
      <c r="U3723" s="5" t="s">
        <v>244</v>
      </c>
      <c r="V3723" s="5" t="s">
        <v>240</v>
      </c>
      <c r="Y3723" s="5" t="s">
        <v>240</v>
      </c>
      <c r="Z3723" s="6" t="s">
        <v>298</v>
      </c>
      <c r="AB3723" s="6" t="s">
        <v>240</v>
      </c>
      <c r="AE3723" s="6" t="s">
        <v>299</v>
      </c>
      <c r="AF3723" s="5" t="s">
        <v>248</v>
      </c>
      <c r="AG3723" s="5" t="s">
        <v>249</v>
      </c>
      <c r="AW3723" s="5" t="s">
        <v>251</v>
      </c>
      <c r="AX3723" s="5" t="s">
        <v>240</v>
      </c>
      <c r="AY3723" s="5" t="s">
        <v>253</v>
      </c>
      <c r="AZ3723" s="5" t="s">
        <v>240</v>
      </c>
      <c r="BA3723" s="5" t="s">
        <v>255</v>
      </c>
      <c r="BB3723" s="5" t="s">
        <v>240</v>
      </c>
      <c r="BD3723" s="5" t="s">
        <v>240</v>
      </c>
      <c r="BF3723" s="5" t="s">
        <v>301</v>
      </c>
      <c r="BG3723" s="6" t="s">
        <v>299</v>
      </c>
      <c r="BH3723" s="5" t="s">
        <v>302</v>
      </c>
      <c r="BI3723" s="5" t="s">
        <v>6587</v>
      </c>
      <c r="BJ3723" s="5" t="s">
        <v>240</v>
      </c>
      <c r="BK3723" s="8">
        <f>0</f>
        <v>0</v>
      </c>
      <c r="BL3723" s="7">
        <f>0</f>
        <v>0</v>
      </c>
      <c r="BM3723" s="5" t="s">
        <v>258</v>
      </c>
      <c r="BN3723" s="5" t="s">
        <v>259</v>
      </c>
      <c r="CB3723" s="5" t="s">
        <v>240</v>
      </c>
      <c r="CC3723" s="5" t="s">
        <v>240</v>
      </c>
      <c r="CG3723" s="5" t="s">
        <v>617</v>
      </c>
      <c r="CH3723" s="5" t="s">
        <v>305</v>
      </c>
      <c r="CI3723" s="5" t="s">
        <v>240</v>
      </c>
      <c r="CL3723" s="6" t="s">
        <v>261</v>
      </c>
      <c r="CM3723" s="5" t="s">
        <v>240</v>
      </c>
      <c r="CN3723" s="5" t="s">
        <v>263</v>
      </c>
      <c r="CO3723" s="5" t="s">
        <v>240</v>
      </c>
      <c r="CP3723" s="5" t="s">
        <v>240</v>
      </c>
      <c r="CQ3723" s="5">
        <v>0</v>
      </c>
      <c r="CR3723" s="5" t="s">
        <v>306</v>
      </c>
      <c r="CS3723" s="5" t="s">
        <v>307</v>
      </c>
      <c r="CT3723" s="5" t="s">
        <v>307</v>
      </c>
      <c r="CU3723" s="5" t="s">
        <v>260</v>
      </c>
      <c r="CX3723" s="7">
        <f>56350</f>
        <v>56350</v>
      </c>
      <c r="CY3723" s="7">
        <f>0</f>
        <v>0</v>
      </c>
      <c r="DA3723" s="7">
        <f>0</f>
        <v>0</v>
      </c>
      <c r="DC3723" s="5" t="s">
        <v>309</v>
      </c>
      <c r="DD3723" s="5" t="s">
        <v>240</v>
      </c>
      <c r="DF3723" s="5" t="s">
        <v>450</v>
      </c>
      <c r="DG3723" s="7">
        <f>0</f>
        <v>0</v>
      </c>
      <c r="DI3723" s="5" t="s">
        <v>450</v>
      </c>
      <c r="DJ3723" s="5" t="s">
        <v>240</v>
      </c>
      <c r="DK3723" s="5" t="s">
        <v>240</v>
      </c>
      <c r="DL3723" s="5" t="s">
        <v>240</v>
      </c>
      <c r="DP3723" s="5" t="s">
        <v>240</v>
      </c>
      <c r="DQ3723" s="5" t="s">
        <v>240</v>
      </c>
      <c r="DR3723" s="5" t="s">
        <v>240</v>
      </c>
      <c r="DS3723" s="5" t="s">
        <v>240</v>
      </c>
      <c r="DV3723" s="5" t="s">
        <v>6591</v>
      </c>
      <c r="DW3723" s="5" t="s">
        <v>620</v>
      </c>
      <c r="HO3723" s="5" t="s">
        <v>620</v>
      </c>
    </row>
    <row r="3724" spans="1:240" x14ac:dyDescent="0.4">
      <c r="A3724" s="5">
        <v>9266</v>
      </c>
      <c r="B3724" s="5">
        <v>1</v>
      </c>
      <c r="C3724" s="5">
        <v>1</v>
      </c>
      <c r="D3724" s="5" t="s">
        <v>723</v>
      </c>
      <c r="E3724" s="5" t="s">
        <v>725</v>
      </c>
      <c r="F3724" s="5" t="s">
        <v>254</v>
      </c>
      <c r="G3724" s="5" t="s">
        <v>726</v>
      </c>
      <c r="H3724" s="6" t="s">
        <v>5538</v>
      </c>
      <c r="I3724" s="5" t="s">
        <v>5537</v>
      </c>
      <c r="J3724" s="7">
        <f>1</f>
        <v>1</v>
      </c>
      <c r="K3724" s="5" t="s">
        <v>3682</v>
      </c>
      <c r="L3724" s="7">
        <f>1</f>
        <v>1</v>
      </c>
      <c r="M3724" s="7">
        <f>1</f>
        <v>1</v>
      </c>
      <c r="N3724" s="5" t="s">
        <v>242</v>
      </c>
      <c r="O3724" s="5">
        <v>1</v>
      </c>
      <c r="P3724" s="5" t="s">
        <v>294</v>
      </c>
      <c r="Q3724" s="5" t="s">
        <v>266</v>
      </c>
      <c r="R3724" s="5" t="s">
        <v>240</v>
      </c>
      <c r="S3724" s="5" t="s">
        <v>240</v>
      </c>
      <c r="T3724" s="5" t="s">
        <v>243</v>
      </c>
      <c r="U3724" s="5" t="s">
        <v>244</v>
      </c>
      <c r="V3724" s="5" t="s">
        <v>240</v>
      </c>
      <c r="Y3724" s="5" t="s">
        <v>240</v>
      </c>
      <c r="Z3724" s="6" t="s">
        <v>1594</v>
      </c>
      <c r="AB3724" s="6" t="s">
        <v>240</v>
      </c>
      <c r="AE3724" s="6" t="s">
        <v>299</v>
      </c>
      <c r="AF3724" s="5" t="s">
        <v>248</v>
      </c>
      <c r="AG3724" s="5" t="s">
        <v>249</v>
      </c>
      <c r="AW3724" s="5" t="s">
        <v>251</v>
      </c>
      <c r="AX3724" s="5" t="s">
        <v>240</v>
      </c>
      <c r="AY3724" s="5" t="s">
        <v>253</v>
      </c>
      <c r="AZ3724" s="5" t="s">
        <v>240</v>
      </c>
      <c r="BA3724" s="5" t="s">
        <v>255</v>
      </c>
      <c r="BB3724" s="5" t="s">
        <v>240</v>
      </c>
      <c r="BD3724" s="5" t="s">
        <v>240</v>
      </c>
      <c r="BF3724" s="5" t="s">
        <v>447</v>
      </c>
      <c r="BG3724" s="6" t="s">
        <v>1594</v>
      </c>
      <c r="BH3724" s="5" t="s">
        <v>302</v>
      </c>
      <c r="BI3724" s="5" t="s">
        <v>448</v>
      </c>
      <c r="BJ3724" s="5" t="s">
        <v>240</v>
      </c>
      <c r="BK3724" s="8">
        <f>0</f>
        <v>0</v>
      </c>
      <c r="BL3724" s="7">
        <f>0</f>
        <v>0</v>
      </c>
      <c r="BM3724" s="5" t="s">
        <v>258</v>
      </c>
      <c r="BN3724" s="5" t="s">
        <v>259</v>
      </c>
      <c r="CB3724" s="5" t="s">
        <v>240</v>
      </c>
      <c r="CC3724" s="5" t="s">
        <v>240</v>
      </c>
      <c r="CG3724" s="5" t="s">
        <v>449</v>
      </c>
      <c r="CH3724" s="5" t="s">
        <v>305</v>
      </c>
      <c r="CI3724" s="5" t="s">
        <v>240</v>
      </c>
      <c r="CL3724" s="6" t="s">
        <v>261</v>
      </c>
      <c r="CM3724" s="5" t="s">
        <v>240</v>
      </c>
      <c r="CN3724" s="5" t="s">
        <v>263</v>
      </c>
      <c r="CO3724" s="5" t="s">
        <v>240</v>
      </c>
      <c r="CP3724" s="5" t="s">
        <v>240</v>
      </c>
      <c r="CQ3724" s="5">
        <v>0</v>
      </c>
      <c r="CR3724" s="5" t="s">
        <v>306</v>
      </c>
      <c r="CS3724" s="5" t="s">
        <v>307</v>
      </c>
      <c r="CT3724" s="5" t="s">
        <v>307</v>
      </c>
      <c r="CU3724" s="5" t="s">
        <v>260</v>
      </c>
      <c r="CX3724" s="7">
        <f>173726</f>
        <v>173726</v>
      </c>
      <c r="CY3724" s="7">
        <f>0</f>
        <v>0</v>
      </c>
      <c r="DA3724" s="7">
        <f>0</f>
        <v>0</v>
      </c>
      <c r="DC3724" s="5" t="s">
        <v>450</v>
      </c>
      <c r="DD3724" s="5" t="s">
        <v>240</v>
      </c>
      <c r="DF3724" s="5" t="s">
        <v>450</v>
      </c>
      <c r="DG3724" s="7">
        <f>124.09</f>
        <v>124.09</v>
      </c>
      <c r="DI3724" s="5" t="s">
        <v>240</v>
      </c>
      <c r="DJ3724" s="5" t="s">
        <v>240</v>
      </c>
      <c r="DK3724" s="5" t="s">
        <v>240</v>
      </c>
      <c r="DL3724" s="5" t="s">
        <v>240</v>
      </c>
      <c r="DP3724" s="5" t="s">
        <v>240</v>
      </c>
      <c r="DQ3724" s="5" t="s">
        <v>240</v>
      </c>
      <c r="DR3724" s="5" t="s">
        <v>240</v>
      </c>
      <c r="DS3724" s="5" t="s">
        <v>240</v>
      </c>
      <c r="DV3724" s="5" t="s">
        <v>310</v>
      </c>
      <c r="DW3724" s="5" t="s">
        <v>2542</v>
      </c>
      <c r="HO3724" s="5" t="s">
        <v>312</v>
      </c>
    </row>
    <row r="3725" spans="1:240" x14ac:dyDescent="0.4">
      <c r="A3725" s="5">
        <v>9267</v>
      </c>
      <c r="B3725" s="5">
        <v>1</v>
      </c>
      <c r="C3725" s="5">
        <v>1</v>
      </c>
      <c r="D3725" s="5" t="s">
        <v>723</v>
      </c>
      <c r="E3725" s="5" t="s">
        <v>725</v>
      </c>
      <c r="F3725" s="5" t="s">
        <v>254</v>
      </c>
      <c r="G3725" s="5" t="s">
        <v>5535</v>
      </c>
      <c r="H3725" s="6" t="s">
        <v>5536</v>
      </c>
      <c r="I3725" s="5" t="s">
        <v>5534</v>
      </c>
      <c r="J3725" s="7">
        <f>1</f>
        <v>1</v>
      </c>
      <c r="K3725" s="5" t="s">
        <v>3682</v>
      </c>
      <c r="L3725" s="7">
        <f>1</f>
        <v>1</v>
      </c>
      <c r="M3725" s="7">
        <f>1</f>
        <v>1</v>
      </c>
      <c r="N3725" s="5" t="s">
        <v>242</v>
      </c>
      <c r="O3725" s="5">
        <v>1</v>
      </c>
      <c r="P3725" s="5" t="s">
        <v>294</v>
      </c>
      <c r="Q3725" s="5" t="s">
        <v>613</v>
      </c>
      <c r="R3725" s="5" t="s">
        <v>240</v>
      </c>
      <c r="S3725" s="5" t="s">
        <v>240</v>
      </c>
      <c r="T3725" s="5" t="s">
        <v>296</v>
      </c>
      <c r="U3725" s="5" t="s">
        <v>244</v>
      </c>
      <c r="V3725" s="5" t="s">
        <v>240</v>
      </c>
      <c r="Y3725" s="5" t="s">
        <v>240</v>
      </c>
      <c r="Z3725" s="6" t="s">
        <v>298</v>
      </c>
      <c r="AB3725" s="6" t="s">
        <v>240</v>
      </c>
      <c r="AE3725" s="6" t="s">
        <v>299</v>
      </c>
      <c r="AF3725" s="5" t="s">
        <v>248</v>
      </c>
      <c r="AG3725" s="5" t="s">
        <v>249</v>
      </c>
      <c r="AW3725" s="5" t="s">
        <v>251</v>
      </c>
      <c r="AX3725" s="5" t="s">
        <v>240</v>
      </c>
      <c r="AY3725" s="5" t="s">
        <v>253</v>
      </c>
      <c r="AZ3725" s="5" t="s">
        <v>240</v>
      </c>
      <c r="BA3725" s="5" t="s">
        <v>255</v>
      </c>
      <c r="BB3725" s="5" t="s">
        <v>240</v>
      </c>
      <c r="BD3725" s="5" t="s">
        <v>240</v>
      </c>
      <c r="BF3725" s="5" t="s">
        <v>301</v>
      </c>
      <c r="BG3725" s="6" t="s">
        <v>299</v>
      </c>
      <c r="BH3725" s="5" t="s">
        <v>302</v>
      </c>
      <c r="BI3725" s="5" t="s">
        <v>6587</v>
      </c>
      <c r="BJ3725" s="5" t="s">
        <v>240</v>
      </c>
      <c r="BK3725" s="8">
        <f>0</f>
        <v>0</v>
      </c>
      <c r="BL3725" s="7">
        <f>0</f>
        <v>0</v>
      </c>
      <c r="BM3725" s="5" t="s">
        <v>258</v>
      </c>
      <c r="BN3725" s="5" t="s">
        <v>259</v>
      </c>
      <c r="CB3725" s="5" t="s">
        <v>240</v>
      </c>
      <c r="CC3725" s="5" t="s">
        <v>240</v>
      </c>
      <c r="CG3725" s="5" t="s">
        <v>617</v>
      </c>
      <c r="CH3725" s="5" t="s">
        <v>305</v>
      </c>
      <c r="CI3725" s="5" t="s">
        <v>240</v>
      </c>
      <c r="CL3725" s="6" t="s">
        <v>261</v>
      </c>
      <c r="CM3725" s="5" t="s">
        <v>240</v>
      </c>
      <c r="CN3725" s="5" t="s">
        <v>263</v>
      </c>
      <c r="CO3725" s="5" t="s">
        <v>240</v>
      </c>
      <c r="CP3725" s="5" t="s">
        <v>240</v>
      </c>
      <c r="CQ3725" s="5">
        <v>0</v>
      </c>
      <c r="CR3725" s="5" t="s">
        <v>306</v>
      </c>
      <c r="CS3725" s="5" t="s">
        <v>307</v>
      </c>
      <c r="CT3725" s="5" t="s">
        <v>307</v>
      </c>
      <c r="CU3725" s="5" t="s">
        <v>260</v>
      </c>
      <c r="CX3725" s="7">
        <f>52920</f>
        <v>52920</v>
      </c>
      <c r="CY3725" s="7">
        <f>0</f>
        <v>0</v>
      </c>
      <c r="DA3725" s="7">
        <f>0</f>
        <v>0</v>
      </c>
      <c r="DC3725" s="5" t="s">
        <v>309</v>
      </c>
      <c r="DD3725" s="5" t="s">
        <v>240</v>
      </c>
      <c r="DF3725" s="5" t="s">
        <v>450</v>
      </c>
      <c r="DG3725" s="7">
        <f>0</f>
        <v>0</v>
      </c>
      <c r="DI3725" s="5" t="s">
        <v>450</v>
      </c>
      <c r="DJ3725" s="5" t="s">
        <v>240</v>
      </c>
      <c r="DK3725" s="5" t="s">
        <v>240</v>
      </c>
      <c r="DL3725" s="5" t="s">
        <v>240</v>
      </c>
      <c r="DP3725" s="5" t="s">
        <v>240</v>
      </c>
      <c r="DQ3725" s="5" t="s">
        <v>240</v>
      </c>
      <c r="DR3725" s="5" t="s">
        <v>240</v>
      </c>
      <c r="DS3725" s="5" t="s">
        <v>240</v>
      </c>
      <c r="DV3725" s="5" t="s">
        <v>6591</v>
      </c>
      <c r="DW3725" s="5" t="s">
        <v>621</v>
      </c>
      <c r="HO3725" s="5" t="s">
        <v>620</v>
      </c>
    </row>
    <row r="3726" spans="1:240" x14ac:dyDescent="0.4">
      <c r="A3726" s="5">
        <v>9268</v>
      </c>
      <c r="B3726" s="5">
        <v>1</v>
      </c>
      <c r="C3726" s="5">
        <v>1</v>
      </c>
      <c r="D3726" s="5" t="s">
        <v>723</v>
      </c>
      <c r="E3726" s="5" t="s">
        <v>725</v>
      </c>
      <c r="F3726" s="5" t="s">
        <v>254</v>
      </c>
      <c r="G3726" s="5" t="s">
        <v>5532</v>
      </c>
      <c r="H3726" s="6" t="s">
        <v>5533</v>
      </c>
      <c r="I3726" s="5" t="s">
        <v>5531</v>
      </c>
      <c r="J3726" s="7">
        <f>1</f>
        <v>1</v>
      </c>
      <c r="K3726" s="5" t="s">
        <v>3682</v>
      </c>
      <c r="L3726" s="7">
        <f>1</f>
        <v>1</v>
      </c>
      <c r="M3726" s="7">
        <f>1</f>
        <v>1</v>
      </c>
      <c r="N3726" s="5" t="s">
        <v>242</v>
      </c>
      <c r="O3726" s="5">
        <v>1</v>
      </c>
      <c r="P3726" s="5" t="s">
        <v>294</v>
      </c>
      <c r="Q3726" s="5" t="s">
        <v>613</v>
      </c>
      <c r="R3726" s="5" t="s">
        <v>240</v>
      </c>
      <c r="S3726" s="5" t="s">
        <v>240</v>
      </c>
      <c r="T3726" s="5" t="s">
        <v>243</v>
      </c>
      <c r="U3726" s="5" t="s">
        <v>244</v>
      </c>
      <c r="V3726" s="5" t="s">
        <v>240</v>
      </c>
      <c r="Y3726" s="5" t="s">
        <v>240</v>
      </c>
      <c r="Z3726" s="6" t="s">
        <v>298</v>
      </c>
      <c r="AB3726" s="6" t="s">
        <v>240</v>
      </c>
      <c r="AE3726" s="6" t="s">
        <v>299</v>
      </c>
      <c r="AF3726" s="5" t="s">
        <v>248</v>
      </c>
      <c r="AG3726" s="5" t="s">
        <v>249</v>
      </c>
      <c r="AW3726" s="5" t="s">
        <v>251</v>
      </c>
      <c r="AX3726" s="5" t="s">
        <v>240</v>
      </c>
      <c r="AY3726" s="5" t="s">
        <v>253</v>
      </c>
      <c r="AZ3726" s="5" t="s">
        <v>240</v>
      </c>
      <c r="BA3726" s="5" t="s">
        <v>255</v>
      </c>
      <c r="BB3726" s="5" t="s">
        <v>240</v>
      </c>
      <c r="BD3726" s="5" t="s">
        <v>240</v>
      </c>
      <c r="BF3726" s="5" t="s">
        <v>301</v>
      </c>
      <c r="BG3726" s="6" t="s">
        <v>299</v>
      </c>
      <c r="BH3726" s="5" t="s">
        <v>302</v>
      </c>
      <c r="BI3726" s="5" t="s">
        <v>6587</v>
      </c>
      <c r="BJ3726" s="5" t="s">
        <v>240</v>
      </c>
      <c r="BK3726" s="8">
        <f>0</f>
        <v>0</v>
      </c>
      <c r="BL3726" s="7">
        <f>0</f>
        <v>0</v>
      </c>
      <c r="BM3726" s="5" t="s">
        <v>258</v>
      </c>
      <c r="BN3726" s="5" t="s">
        <v>259</v>
      </c>
      <c r="CB3726" s="5" t="s">
        <v>240</v>
      </c>
      <c r="CC3726" s="5" t="s">
        <v>240</v>
      </c>
      <c r="CG3726" s="5" t="s">
        <v>617</v>
      </c>
      <c r="CH3726" s="5" t="s">
        <v>305</v>
      </c>
      <c r="CI3726" s="5" t="s">
        <v>240</v>
      </c>
      <c r="CL3726" s="6" t="s">
        <v>261</v>
      </c>
      <c r="CM3726" s="5" t="s">
        <v>240</v>
      </c>
      <c r="CN3726" s="5" t="s">
        <v>263</v>
      </c>
      <c r="CO3726" s="5" t="s">
        <v>240</v>
      </c>
      <c r="CP3726" s="5" t="s">
        <v>240</v>
      </c>
      <c r="CQ3726" s="5">
        <v>0</v>
      </c>
      <c r="CR3726" s="5" t="s">
        <v>306</v>
      </c>
      <c r="CS3726" s="5" t="s">
        <v>307</v>
      </c>
      <c r="CT3726" s="5" t="s">
        <v>307</v>
      </c>
      <c r="CU3726" s="5" t="s">
        <v>260</v>
      </c>
      <c r="CX3726" s="7">
        <f>183845</f>
        <v>183845</v>
      </c>
      <c r="CY3726" s="7">
        <f>0</f>
        <v>0</v>
      </c>
      <c r="DA3726" s="7">
        <f>0</f>
        <v>0</v>
      </c>
      <c r="DC3726" s="5" t="s">
        <v>689</v>
      </c>
      <c r="DD3726" s="5" t="s">
        <v>240</v>
      </c>
      <c r="DF3726" s="5" t="s">
        <v>450</v>
      </c>
      <c r="DG3726" s="7">
        <f>0</f>
        <v>0</v>
      </c>
      <c r="DI3726" s="5" t="s">
        <v>618</v>
      </c>
      <c r="DJ3726" s="5" t="s">
        <v>240</v>
      </c>
      <c r="DK3726" s="5" t="s">
        <v>240</v>
      </c>
      <c r="DL3726" s="5" t="s">
        <v>240</v>
      </c>
      <c r="DP3726" s="5" t="s">
        <v>240</v>
      </c>
      <c r="DQ3726" s="5" t="s">
        <v>240</v>
      </c>
      <c r="DR3726" s="5" t="s">
        <v>240</v>
      </c>
      <c r="DS3726" s="5" t="s">
        <v>240</v>
      </c>
      <c r="DV3726" s="5" t="s">
        <v>6588</v>
      </c>
      <c r="DW3726" s="5" t="s">
        <v>620</v>
      </c>
      <c r="HO3726" s="5" t="s">
        <v>620</v>
      </c>
    </row>
    <row r="3727" spans="1:240" x14ac:dyDescent="0.4">
      <c r="A3727" s="5">
        <v>9269</v>
      </c>
      <c r="B3727" s="5">
        <v>1</v>
      </c>
      <c r="C3727" s="5">
        <v>1</v>
      </c>
      <c r="D3727" s="5" t="s">
        <v>723</v>
      </c>
      <c r="E3727" s="5" t="s">
        <v>725</v>
      </c>
      <c r="F3727" s="5" t="s">
        <v>254</v>
      </c>
      <c r="G3727" s="5" t="s">
        <v>5529</v>
      </c>
      <c r="H3727" s="6" t="s">
        <v>5530</v>
      </c>
      <c r="I3727" s="5" t="s">
        <v>5528</v>
      </c>
      <c r="J3727" s="7">
        <f>1</f>
        <v>1</v>
      </c>
      <c r="K3727" s="5" t="s">
        <v>3682</v>
      </c>
      <c r="L3727" s="7">
        <f>1</f>
        <v>1</v>
      </c>
      <c r="M3727" s="7">
        <f>1</f>
        <v>1</v>
      </c>
      <c r="N3727" s="5" t="s">
        <v>242</v>
      </c>
      <c r="O3727" s="5">
        <v>1</v>
      </c>
      <c r="P3727" s="5" t="s">
        <v>294</v>
      </c>
      <c r="Q3727" s="5" t="s">
        <v>266</v>
      </c>
      <c r="R3727" s="5" t="s">
        <v>240</v>
      </c>
      <c r="S3727" s="5" t="s">
        <v>240</v>
      </c>
      <c r="T3727" s="5" t="s">
        <v>296</v>
      </c>
      <c r="U3727" s="5" t="s">
        <v>244</v>
      </c>
      <c r="V3727" s="5" t="s">
        <v>240</v>
      </c>
      <c r="Y3727" s="5" t="s">
        <v>240</v>
      </c>
      <c r="Z3727" s="6" t="s">
        <v>298</v>
      </c>
      <c r="AB3727" s="6" t="s">
        <v>240</v>
      </c>
      <c r="AE3727" s="6" t="s">
        <v>299</v>
      </c>
      <c r="AF3727" s="5" t="s">
        <v>248</v>
      </c>
      <c r="AG3727" s="5" t="s">
        <v>249</v>
      </c>
      <c r="AW3727" s="5" t="s">
        <v>251</v>
      </c>
      <c r="AX3727" s="5" t="s">
        <v>240</v>
      </c>
      <c r="AY3727" s="5" t="s">
        <v>253</v>
      </c>
      <c r="AZ3727" s="5" t="s">
        <v>240</v>
      </c>
      <c r="BA3727" s="5" t="s">
        <v>255</v>
      </c>
      <c r="BB3727" s="5" t="s">
        <v>240</v>
      </c>
      <c r="BD3727" s="5" t="s">
        <v>240</v>
      </c>
      <c r="BF3727" s="5" t="s">
        <v>301</v>
      </c>
      <c r="BG3727" s="6" t="s">
        <v>299</v>
      </c>
      <c r="BH3727" s="5" t="s">
        <v>302</v>
      </c>
      <c r="BI3727" s="5" t="s">
        <v>303</v>
      </c>
      <c r="BJ3727" s="5" t="s">
        <v>240</v>
      </c>
      <c r="BK3727" s="8">
        <f>0</f>
        <v>0</v>
      </c>
      <c r="BL3727" s="7">
        <f>0</f>
        <v>0</v>
      </c>
      <c r="BM3727" s="5" t="s">
        <v>258</v>
      </c>
      <c r="BN3727" s="5" t="s">
        <v>259</v>
      </c>
      <c r="CB3727" s="5" t="s">
        <v>240</v>
      </c>
      <c r="CC3727" s="5" t="s">
        <v>240</v>
      </c>
      <c r="CG3727" s="5" t="s">
        <v>304</v>
      </c>
      <c r="CH3727" s="5" t="s">
        <v>305</v>
      </c>
      <c r="CI3727" s="5" t="s">
        <v>240</v>
      </c>
      <c r="CL3727" s="6" t="s">
        <v>261</v>
      </c>
      <c r="CM3727" s="5" t="s">
        <v>240</v>
      </c>
      <c r="CN3727" s="5" t="s">
        <v>263</v>
      </c>
      <c r="CO3727" s="5" t="s">
        <v>240</v>
      </c>
      <c r="CP3727" s="5" t="s">
        <v>240</v>
      </c>
      <c r="CQ3727" s="5">
        <v>0</v>
      </c>
      <c r="CR3727" s="5" t="s">
        <v>306</v>
      </c>
      <c r="CS3727" s="5" t="s">
        <v>307</v>
      </c>
      <c r="CT3727" s="5" t="s">
        <v>307</v>
      </c>
      <c r="CU3727" s="5" t="s">
        <v>260</v>
      </c>
      <c r="CX3727" s="7">
        <f>1</f>
        <v>1</v>
      </c>
      <c r="CY3727" s="7">
        <f>0</f>
        <v>0</v>
      </c>
      <c r="DA3727" s="7">
        <f>0</f>
        <v>0</v>
      </c>
      <c r="DC3727" s="5" t="s">
        <v>309</v>
      </c>
      <c r="DD3727" s="5" t="s">
        <v>240</v>
      </c>
      <c r="DF3727" s="5" t="s">
        <v>309</v>
      </c>
      <c r="DG3727" s="7">
        <f>3180</f>
        <v>3180</v>
      </c>
      <c r="DI3727" s="5" t="s">
        <v>240</v>
      </c>
      <c r="DJ3727" s="5" t="s">
        <v>240</v>
      </c>
      <c r="DK3727" s="5" t="s">
        <v>240</v>
      </c>
      <c r="DL3727" s="5" t="s">
        <v>240</v>
      </c>
      <c r="DP3727" s="5" t="s">
        <v>240</v>
      </c>
      <c r="DQ3727" s="5" t="s">
        <v>240</v>
      </c>
      <c r="DR3727" s="5" t="s">
        <v>240</v>
      </c>
      <c r="DS3727" s="5" t="s">
        <v>240</v>
      </c>
      <c r="DV3727" s="5" t="s">
        <v>310</v>
      </c>
      <c r="DW3727" s="5" t="s">
        <v>3872</v>
      </c>
      <c r="HO3727" s="5" t="s">
        <v>312</v>
      </c>
    </row>
    <row r="3728" spans="1:240" x14ac:dyDescent="0.4">
      <c r="A3728" s="5">
        <v>9270</v>
      </c>
      <c r="B3728" s="5">
        <v>1</v>
      </c>
      <c r="C3728" s="5">
        <v>1</v>
      </c>
      <c r="D3728" s="5" t="s">
        <v>723</v>
      </c>
      <c r="E3728" s="5" t="s">
        <v>725</v>
      </c>
      <c r="F3728" s="5" t="s">
        <v>254</v>
      </c>
      <c r="G3728" s="5" t="s">
        <v>5526</v>
      </c>
      <c r="H3728" s="6" t="s">
        <v>5527</v>
      </c>
      <c r="I3728" s="5" t="s">
        <v>5525</v>
      </c>
      <c r="J3728" s="7">
        <f>1</f>
        <v>1</v>
      </c>
      <c r="K3728" s="5" t="s">
        <v>3682</v>
      </c>
      <c r="L3728" s="7">
        <f>1</f>
        <v>1</v>
      </c>
      <c r="M3728" s="7">
        <f>1</f>
        <v>1</v>
      </c>
      <c r="N3728" s="5" t="s">
        <v>242</v>
      </c>
      <c r="O3728" s="5">
        <v>1</v>
      </c>
      <c r="P3728" s="5" t="s">
        <v>294</v>
      </c>
      <c r="Q3728" s="5" t="s">
        <v>266</v>
      </c>
      <c r="R3728" s="5" t="s">
        <v>240</v>
      </c>
      <c r="S3728" s="5" t="s">
        <v>240</v>
      </c>
      <c r="T3728" s="5" t="s">
        <v>243</v>
      </c>
      <c r="U3728" s="5" t="s">
        <v>244</v>
      </c>
      <c r="V3728" s="5" t="s">
        <v>240</v>
      </c>
      <c r="Y3728" s="5" t="s">
        <v>240</v>
      </c>
      <c r="Z3728" s="6" t="s">
        <v>5054</v>
      </c>
      <c r="AB3728" s="6" t="s">
        <v>240</v>
      </c>
      <c r="AE3728" s="6" t="s">
        <v>299</v>
      </c>
      <c r="AF3728" s="5" t="s">
        <v>248</v>
      </c>
      <c r="AG3728" s="5" t="s">
        <v>249</v>
      </c>
      <c r="AW3728" s="5" t="s">
        <v>251</v>
      </c>
      <c r="AX3728" s="5" t="s">
        <v>240</v>
      </c>
      <c r="AY3728" s="5" t="s">
        <v>253</v>
      </c>
      <c r="AZ3728" s="5" t="s">
        <v>240</v>
      </c>
      <c r="BA3728" s="5" t="s">
        <v>255</v>
      </c>
      <c r="BB3728" s="5" t="s">
        <v>240</v>
      </c>
      <c r="BD3728" s="5" t="s">
        <v>240</v>
      </c>
      <c r="BF3728" s="5" t="s">
        <v>447</v>
      </c>
      <c r="BG3728" s="6" t="s">
        <v>5054</v>
      </c>
      <c r="BH3728" s="5" t="s">
        <v>302</v>
      </c>
      <c r="BI3728" s="5" t="s">
        <v>448</v>
      </c>
      <c r="BJ3728" s="5" t="s">
        <v>240</v>
      </c>
      <c r="BK3728" s="8">
        <f>0</f>
        <v>0</v>
      </c>
      <c r="BL3728" s="7">
        <f>0</f>
        <v>0</v>
      </c>
      <c r="BM3728" s="5" t="s">
        <v>258</v>
      </c>
      <c r="BN3728" s="5" t="s">
        <v>259</v>
      </c>
      <c r="CB3728" s="5" t="s">
        <v>240</v>
      </c>
      <c r="CC3728" s="5" t="s">
        <v>240</v>
      </c>
      <c r="CG3728" s="5" t="s">
        <v>449</v>
      </c>
      <c r="CH3728" s="5" t="s">
        <v>305</v>
      </c>
      <c r="CI3728" s="5" t="s">
        <v>240</v>
      </c>
      <c r="CL3728" s="6" t="s">
        <v>261</v>
      </c>
      <c r="CM3728" s="5" t="s">
        <v>240</v>
      </c>
      <c r="CN3728" s="5" t="s">
        <v>263</v>
      </c>
      <c r="CO3728" s="5" t="s">
        <v>240</v>
      </c>
      <c r="CP3728" s="5" t="s">
        <v>240</v>
      </c>
      <c r="CQ3728" s="5">
        <v>0</v>
      </c>
      <c r="CR3728" s="5" t="s">
        <v>306</v>
      </c>
      <c r="CS3728" s="5" t="s">
        <v>307</v>
      </c>
      <c r="CT3728" s="5" t="s">
        <v>307</v>
      </c>
      <c r="CU3728" s="5" t="s">
        <v>260</v>
      </c>
      <c r="CX3728" s="7">
        <f>16096259</f>
        <v>16096259</v>
      </c>
      <c r="CY3728" s="7">
        <f>0</f>
        <v>0</v>
      </c>
      <c r="DA3728" s="7">
        <f>0</f>
        <v>0</v>
      </c>
      <c r="DC3728" s="5" t="s">
        <v>450</v>
      </c>
      <c r="DD3728" s="5" t="s">
        <v>240</v>
      </c>
      <c r="DF3728" s="5" t="s">
        <v>450</v>
      </c>
      <c r="DG3728" s="7">
        <f>2323.21</f>
        <v>2323.21</v>
      </c>
      <c r="DI3728" s="5" t="s">
        <v>240</v>
      </c>
      <c r="DJ3728" s="5" t="s">
        <v>240</v>
      </c>
      <c r="DK3728" s="5" t="s">
        <v>240</v>
      </c>
      <c r="DL3728" s="5" t="s">
        <v>240</v>
      </c>
      <c r="DP3728" s="5" t="s">
        <v>240</v>
      </c>
      <c r="DQ3728" s="5" t="s">
        <v>240</v>
      </c>
      <c r="DR3728" s="5" t="s">
        <v>240</v>
      </c>
      <c r="DS3728" s="5" t="s">
        <v>240</v>
      </c>
      <c r="DV3728" s="5" t="s">
        <v>310</v>
      </c>
      <c r="DW3728" s="5" t="s">
        <v>2540</v>
      </c>
      <c r="HO3728" s="5" t="s">
        <v>312</v>
      </c>
    </row>
    <row r="3729" spans="1:240" x14ac:dyDescent="0.4">
      <c r="A3729" s="5">
        <v>9271</v>
      </c>
      <c r="B3729" s="5">
        <v>1</v>
      </c>
      <c r="C3729" s="5">
        <v>1</v>
      </c>
      <c r="D3729" s="5" t="s">
        <v>723</v>
      </c>
      <c r="E3729" s="5" t="s">
        <v>725</v>
      </c>
      <c r="F3729" s="5" t="s">
        <v>254</v>
      </c>
      <c r="G3729" s="5" t="s">
        <v>5523</v>
      </c>
      <c r="H3729" s="6" t="s">
        <v>5524</v>
      </c>
      <c r="I3729" s="5" t="s">
        <v>5522</v>
      </c>
      <c r="J3729" s="7">
        <f>1</f>
        <v>1</v>
      </c>
      <c r="K3729" s="5" t="s">
        <v>3682</v>
      </c>
      <c r="L3729" s="7">
        <f>1</f>
        <v>1</v>
      </c>
      <c r="M3729" s="7">
        <f>1</f>
        <v>1</v>
      </c>
      <c r="N3729" s="5" t="s">
        <v>242</v>
      </c>
      <c r="O3729" s="5">
        <v>1</v>
      </c>
      <c r="P3729" s="5" t="s">
        <v>294</v>
      </c>
      <c r="Q3729" s="5" t="s">
        <v>266</v>
      </c>
      <c r="R3729" s="5" t="s">
        <v>240</v>
      </c>
      <c r="S3729" s="5" t="s">
        <v>240</v>
      </c>
      <c r="T3729" s="5" t="s">
        <v>243</v>
      </c>
      <c r="U3729" s="5" t="s">
        <v>240</v>
      </c>
      <c r="V3729" s="5" t="s">
        <v>240</v>
      </c>
      <c r="Y3729" s="5" t="s">
        <v>240</v>
      </c>
      <c r="Z3729" s="6" t="s">
        <v>1594</v>
      </c>
      <c r="AB3729" s="6" t="s">
        <v>240</v>
      </c>
      <c r="AE3729" s="6" t="s">
        <v>299</v>
      </c>
      <c r="AF3729" s="5" t="s">
        <v>248</v>
      </c>
      <c r="AG3729" s="5" t="s">
        <v>260</v>
      </c>
      <c r="AW3729" s="5" t="s">
        <v>251</v>
      </c>
      <c r="AX3729" s="5" t="s">
        <v>240</v>
      </c>
      <c r="AY3729" s="5" t="s">
        <v>253</v>
      </c>
      <c r="AZ3729" s="5" t="s">
        <v>240</v>
      </c>
      <c r="BA3729" s="5" t="s">
        <v>255</v>
      </c>
      <c r="BB3729" s="5" t="s">
        <v>240</v>
      </c>
      <c r="BD3729" s="5" t="s">
        <v>240</v>
      </c>
      <c r="BF3729" s="5" t="s">
        <v>447</v>
      </c>
      <c r="BG3729" s="6" t="s">
        <v>1594</v>
      </c>
      <c r="BH3729" s="5" t="s">
        <v>302</v>
      </c>
      <c r="BI3729" s="5" t="s">
        <v>448</v>
      </c>
      <c r="BJ3729" s="5" t="s">
        <v>240</v>
      </c>
      <c r="BK3729" s="8">
        <f>0</f>
        <v>0</v>
      </c>
      <c r="BL3729" s="7">
        <f>0</f>
        <v>0</v>
      </c>
      <c r="BM3729" s="5" t="s">
        <v>258</v>
      </c>
      <c r="BN3729" s="5" t="s">
        <v>259</v>
      </c>
      <c r="CB3729" s="5" t="s">
        <v>240</v>
      </c>
      <c r="CC3729" s="5" t="s">
        <v>240</v>
      </c>
      <c r="CG3729" s="5" t="s">
        <v>449</v>
      </c>
      <c r="CH3729" s="5" t="s">
        <v>305</v>
      </c>
      <c r="CI3729" s="5" t="s">
        <v>240</v>
      </c>
      <c r="CL3729" s="6" t="s">
        <v>261</v>
      </c>
      <c r="CM3729" s="5" t="s">
        <v>240</v>
      </c>
      <c r="CN3729" s="5" t="s">
        <v>263</v>
      </c>
      <c r="CO3729" s="5" t="s">
        <v>240</v>
      </c>
      <c r="CP3729" s="5" t="s">
        <v>240</v>
      </c>
      <c r="CQ3729" s="5">
        <v>0</v>
      </c>
      <c r="CR3729" s="5" t="s">
        <v>306</v>
      </c>
      <c r="CS3729" s="5" t="s">
        <v>307</v>
      </c>
      <c r="CT3729" s="5" t="s">
        <v>307</v>
      </c>
      <c r="CU3729" s="5" t="s">
        <v>260</v>
      </c>
      <c r="CX3729" s="7">
        <f>5031548</f>
        <v>5031548</v>
      </c>
      <c r="CY3729" s="7">
        <f>0</f>
        <v>0</v>
      </c>
      <c r="DA3729" s="7">
        <f>0</f>
        <v>0</v>
      </c>
      <c r="DC3729" s="5" t="s">
        <v>450</v>
      </c>
      <c r="DD3729" s="5" t="s">
        <v>240</v>
      </c>
      <c r="DF3729" s="5" t="s">
        <v>450</v>
      </c>
      <c r="DG3729" s="7">
        <f>0</f>
        <v>0</v>
      </c>
      <c r="DI3729" s="5" t="s">
        <v>240</v>
      </c>
      <c r="DJ3729" s="5" t="s">
        <v>240</v>
      </c>
      <c r="DK3729" s="5" t="s">
        <v>240</v>
      </c>
      <c r="DL3729" s="5" t="s">
        <v>240</v>
      </c>
      <c r="DP3729" s="5" t="s">
        <v>240</v>
      </c>
      <c r="DQ3729" s="5" t="s">
        <v>240</v>
      </c>
      <c r="DR3729" s="5" t="s">
        <v>240</v>
      </c>
      <c r="DS3729" s="5" t="s">
        <v>240</v>
      </c>
      <c r="DV3729" s="5" t="s">
        <v>310</v>
      </c>
      <c r="DW3729" s="5" t="s">
        <v>2538</v>
      </c>
      <c r="HO3729" s="5" t="s">
        <v>312</v>
      </c>
    </row>
    <row r="3730" spans="1:240" x14ac:dyDescent="0.4">
      <c r="A3730" s="5">
        <v>9272</v>
      </c>
      <c r="B3730" s="5">
        <v>1</v>
      </c>
      <c r="C3730" s="5">
        <v>1</v>
      </c>
      <c r="D3730" s="5" t="s">
        <v>723</v>
      </c>
      <c r="E3730" s="5" t="s">
        <v>725</v>
      </c>
      <c r="F3730" s="5" t="s">
        <v>254</v>
      </c>
      <c r="G3730" s="5" t="s">
        <v>726</v>
      </c>
      <c r="H3730" s="6" t="s">
        <v>5521</v>
      </c>
      <c r="I3730" s="5" t="s">
        <v>5520</v>
      </c>
      <c r="J3730" s="7">
        <f>1</f>
        <v>1</v>
      </c>
      <c r="K3730" s="5" t="s">
        <v>3682</v>
      </c>
      <c r="L3730" s="7">
        <f>1</f>
        <v>1</v>
      </c>
      <c r="M3730" s="7">
        <f>1</f>
        <v>1</v>
      </c>
      <c r="N3730" s="5" t="s">
        <v>242</v>
      </c>
      <c r="O3730" s="5">
        <v>1</v>
      </c>
      <c r="P3730" s="5" t="s">
        <v>294</v>
      </c>
      <c r="Q3730" s="5" t="s">
        <v>613</v>
      </c>
      <c r="R3730" s="5" t="s">
        <v>240</v>
      </c>
      <c r="S3730" s="5" t="s">
        <v>240</v>
      </c>
      <c r="T3730" s="5" t="s">
        <v>243</v>
      </c>
      <c r="U3730" s="5" t="s">
        <v>244</v>
      </c>
      <c r="V3730" s="5" t="s">
        <v>240</v>
      </c>
      <c r="Y3730" s="5" t="s">
        <v>240</v>
      </c>
      <c r="Z3730" s="6" t="s">
        <v>298</v>
      </c>
      <c r="AB3730" s="6" t="s">
        <v>240</v>
      </c>
      <c r="AE3730" s="6" t="s">
        <v>299</v>
      </c>
      <c r="AF3730" s="5" t="s">
        <v>248</v>
      </c>
      <c r="AG3730" s="5" t="s">
        <v>249</v>
      </c>
      <c r="AW3730" s="5" t="s">
        <v>251</v>
      </c>
      <c r="AX3730" s="5" t="s">
        <v>240</v>
      </c>
      <c r="AY3730" s="5" t="s">
        <v>253</v>
      </c>
      <c r="AZ3730" s="5" t="s">
        <v>240</v>
      </c>
      <c r="BA3730" s="5" t="s">
        <v>255</v>
      </c>
      <c r="BB3730" s="5" t="s">
        <v>240</v>
      </c>
      <c r="BD3730" s="5" t="s">
        <v>240</v>
      </c>
      <c r="BF3730" s="5" t="s">
        <v>301</v>
      </c>
      <c r="BG3730" s="6" t="s">
        <v>299</v>
      </c>
      <c r="BH3730" s="5" t="s">
        <v>302</v>
      </c>
      <c r="BI3730" s="5" t="s">
        <v>6587</v>
      </c>
      <c r="BJ3730" s="5" t="s">
        <v>240</v>
      </c>
      <c r="BK3730" s="8">
        <f>0</f>
        <v>0</v>
      </c>
      <c r="BL3730" s="7">
        <f>0</f>
        <v>0</v>
      </c>
      <c r="BM3730" s="5" t="s">
        <v>258</v>
      </c>
      <c r="BN3730" s="5" t="s">
        <v>259</v>
      </c>
      <c r="CB3730" s="5" t="s">
        <v>240</v>
      </c>
      <c r="CC3730" s="5" t="s">
        <v>240</v>
      </c>
      <c r="CG3730" s="5" t="s">
        <v>617</v>
      </c>
      <c r="CH3730" s="5" t="s">
        <v>305</v>
      </c>
      <c r="CI3730" s="5" t="s">
        <v>240</v>
      </c>
      <c r="CL3730" s="6" t="s">
        <v>261</v>
      </c>
      <c r="CM3730" s="5" t="s">
        <v>240</v>
      </c>
      <c r="CN3730" s="5" t="s">
        <v>263</v>
      </c>
      <c r="CO3730" s="5" t="s">
        <v>240</v>
      </c>
      <c r="CP3730" s="5" t="s">
        <v>240</v>
      </c>
      <c r="CQ3730" s="5">
        <v>0</v>
      </c>
      <c r="CR3730" s="5" t="s">
        <v>306</v>
      </c>
      <c r="CS3730" s="5" t="s">
        <v>307</v>
      </c>
      <c r="CT3730" s="5" t="s">
        <v>307</v>
      </c>
      <c r="CU3730" s="5" t="s">
        <v>260</v>
      </c>
      <c r="CX3730" s="7">
        <f>25368395</f>
        <v>25368395</v>
      </c>
      <c r="CY3730" s="7">
        <f>0</f>
        <v>0</v>
      </c>
      <c r="DA3730" s="7">
        <f>0</f>
        <v>0</v>
      </c>
      <c r="DC3730" s="5" t="s">
        <v>689</v>
      </c>
      <c r="DD3730" s="5" t="s">
        <v>240</v>
      </c>
      <c r="DF3730" s="5" t="s">
        <v>450</v>
      </c>
      <c r="DG3730" s="7">
        <f>0</f>
        <v>0</v>
      </c>
      <c r="DI3730" s="5" t="s">
        <v>618</v>
      </c>
      <c r="DJ3730" s="5" t="s">
        <v>240</v>
      </c>
      <c r="DK3730" s="5" t="s">
        <v>240</v>
      </c>
      <c r="DL3730" s="5" t="s">
        <v>240</v>
      </c>
      <c r="DP3730" s="5" t="s">
        <v>240</v>
      </c>
      <c r="DQ3730" s="5" t="s">
        <v>240</v>
      </c>
      <c r="DR3730" s="5" t="s">
        <v>240</v>
      </c>
      <c r="DS3730" s="5" t="s">
        <v>240</v>
      </c>
      <c r="DV3730" s="5" t="s">
        <v>6591</v>
      </c>
      <c r="DW3730" s="5" t="s">
        <v>312</v>
      </c>
      <c r="HO3730" s="5" t="s">
        <v>620</v>
      </c>
    </row>
    <row r="3731" spans="1:240" x14ac:dyDescent="0.4">
      <c r="A3731" s="5">
        <v>9273</v>
      </c>
      <c r="B3731" s="5">
        <v>1</v>
      </c>
      <c r="C3731" s="5">
        <v>1</v>
      </c>
      <c r="D3731" s="5" t="s">
        <v>723</v>
      </c>
      <c r="E3731" s="5" t="s">
        <v>725</v>
      </c>
      <c r="F3731" s="5" t="s">
        <v>254</v>
      </c>
      <c r="G3731" s="5" t="s">
        <v>6310</v>
      </c>
      <c r="H3731" s="6" t="s">
        <v>6311</v>
      </c>
      <c r="I3731" s="5" t="s">
        <v>6309</v>
      </c>
      <c r="J3731" s="7">
        <f>1</f>
        <v>1</v>
      </c>
      <c r="K3731" s="5" t="s">
        <v>3682</v>
      </c>
      <c r="L3731" s="7">
        <f>1</f>
        <v>1</v>
      </c>
      <c r="M3731" s="7">
        <f>1</f>
        <v>1</v>
      </c>
      <c r="N3731" s="5" t="s">
        <v>242</v>
      </c>
      <c r="O3731" s="5">
        <v>1</v>
      </c>
      <c r="P3731" s="5" t="s">
        <v>294</v>
      </c>
      <c r="Q3731" s="5" t="s">
        <v>613</v>
      </c>
      <c r="R3731" s="5" t="s">
        <v>240</v>
      </c>
      <c r="S3731" s="5" t="s">
        <v>240</v>
      </c>
      <c r="T3731" s="5" t="s">
        <v>243</v>
      </c>
      <c r="U3731" s="5" t="s">
        <v>724</v>
      </c>
      <c r="V3731" s="5" t="s">
        <v>240</v>
      </c>
      <c r="W3731" s="5" t="s">
        <v>240</v>
      </c>
      <c r="X3731" s="5" t="s">
        <v>240</v>
      </c>
      <c r="Y3731" s="5" t="s">
        <v>240</v>
      </c>
      <c r="Z3731" s="6" t="s">
        <v>298</v>
      </c>
      <c r="AA3731" s="6" t="s">
        <v>240</v>
      </c>
      <c r="AB3731" s="6" t="s">
        <v>240</v>
      </c>
      <c r="AC3731" s="5" t="s">
        <v>240</v>
      </c>
      <c r="AD3731" s="6" t="s">
        <v>240</v>
      </c>
      <c r="AE3731" s="6" t="s">
        <v>299</v>
      </c>
      <c r="AF3731" s="5" t="s">
        <v>727</v>
      </c>
      <c r="AG3731" s="5" t="s">
        <v>260</v>
      </c>
      <c r="AH3731" s="5" t="s">
        <v>240</v>
      </c>
      <c r="AI3731" s="5" t="s">
        <v>240</v>
      </c>
      <c r="AJ3731" s="5" t="s">
        <v>240</v>
      </c>
      <c r="AK3731" s="5" t="s">
        <v>240</v>
      </c>
      <c r="AL3731" s="5" t="s">
        <v>240</v>
      </c>
      <c r="AM3731" s="5" t="s">
        <v>240</v>
      </c>
      <c r="AN3731" s="5" t="s">
        <v>240</v>
      </c>
      <c r="AO3731" s="5" t="s">
        <v>240</v>
      </c>
      <c r="AP3731" s="6" t="s">
        <v>240</v>
      </c>
      <c r="AQ3731" s="6" t="s">
        <v>240</v>
      </c>
      <c r="AR3731" s="6" t="s">
        <v>240</v>
      </c>
      <c r="AS3731" s="6" t="s">
        <v>240</v>
      </c>
      <c r="AT3731" s="5" t="s">
        <v>240</v>
      </c>
      <c r="AU3731" s="5" t="s">
        <v>729</v>
      </c>
      <c r="AV3731" s="5" t="s">
        <v>729</v>
      </c>
      <c r="AW3731" s="5" t="s">
        <v>251</v>
      </c>
      <c r="AX3731" s="5" t="s">
        <v>252</v>
      </c>
      <c r="AY3731" s="5" t="s">
        <v>253</v>
      </c>
      <c r="AZ3731" s="5" t="s">
        <v>240</v>
      </c>
      <c r="BA3731" s="5" t="s">
        <v>255</v>
      </c>
      <c r="BB3731" s="5" t="s">
        <v>731</v>
      </c>
      <c r="BD3731" s="5" t="s">
        <v>240</v>
      </c>
      <c r="BF3731" s="5" t="s">
        <v>732</v>
      </c>
      <c r="BG3731" s="6" t="s">
        <v>733</v>
      </c>
      <c r="BH3731" s="5" t="s">
        <v>734</v>
      </c>
      <c r="BI3731" s="5" t="s">
        <v>734</v>
      </c>
      <c r="BJ3731" s="5" t="s">
        <v>240</v>
      </c>
      <c r="BK3731" s="8">
        <f>421</f>
        <v>421</v>
      </c>
      <c r="BL3731" s="7">
        <f>0</f>
        <v>0</v>
      </c>
      <c r="BM3731" s="5" t="s">
        <v>258</v>
      </c>
      <c r="BN3731" s="5" t="s">
        <v>259</v>
      </c>
      <c r="BO3731" s="5" t="s">
        <v>240</v>
      </c>
      <c r="BP3731" s="5" t="s">
        <v>240</v>
      </c>
      <c r="BQ3731" s="5" t="s">
        <v>240</v>
      </c>
      <c r="BR3731" s="5" t="s">
        <v>240</v>
      </c>
      <c r="BS3731" s="5" t="s">
        <v>240</v>
      </c>
      <c r="BT3731" s="5" t="s">
        <v>240</v>
      </c>
      <c r="BU3731" s="5" t="s">
        <v>240</v>
      </c>
      <c r="BV3731" s="5" t="s">
        <v>240</v>
      </c>
      <c r="BW3731" s="6" t="s">
        <v>240</v>
      </c>
      <c r="BX3731" s="5" t="s">
        <v>240</v>
      </c>
      <c r="BY3731" s="5" t="s">
        <v>240</v>
      </c>
      <c r="BZ3731" s="5" t="s">
        <v>240</v>
      </c>
      <c r="CA3731" s="5" t="s">
        <v>259</v>
      </c>
      <c r="CB3731" s="5" t="s">
        <v>240</v>
      </c>
      <c r="CC3731" s="5" t="s">
        <v>240</v>
      </c>
      <c r="CD3731" s="5" t="s">
        <v>240</v>
      </c>
      <c r="CE3731" s="5" t="s">
        <v>240</v>
      </c>
      <c r="CF3731" s="5" t="s">
        <v>240</v>
      </c>
      <c r="CG3731" s="5" t="s">
        <v>617</v>
      </c>
      <c r="CH3731" s="5" t="s">
        <v>305</v>
      </c>
      <c r="CI3731" s="5" t="s">
        <v>240</v>
      </c>
      <c r="CL3731" s="6" t="s">
        <v>261</v>
      </c>
      <c r="CM3731" s="5" t="s">
        <v>262</v>
      </c>
      <c r="CN3731" s="5" t="s">
        <v>263</v>
      </c>
      <c r="CO3731" s="5" t="s">
        <v>264</v>
      </c>
      <c r="CP3731" s="5" t="s">
        <v>240</v>
      </c>
      <c r="CQ3731" s="5">
        <v>0</v>
      </c>
      <c r="CR3731" s="5" t="s">
        <v>735</v>
      </c>
      <c r="CS3731" s="5" t="s">
        <v>307</v>
      </c>
      <c r="CT3731" s="5" t="s">
        <v>307</v>
      </c>
      <c r="CU3731" s="5" t="s">
        <v>260</v>
      </c>
      <c r="CV3731" s="5" t="s">
        <v>240</v>
      </c>
      <c r="CW3731" s="8">
        <f>0</f>
        <v>0</v>
      </c>
      <c r="CX3731" s="7">
        <f>0</f>
        <v>0</v>
      </c>
      <c r="CY3731" s="7">
        <f>0</f>
        <v>0</v>
      </c>
      <c r="DA3731" s="7">
        <f>4631</f>
        <v>4631</v>
      </c>
      <c r="DB3731" s="7" t="s">
        <v>240</v>
      </c>
      <c r="DC3731" s="5" t="s">
        <v>240</v>
      </c>
      <c r="DD3731" s="5" t="s">
        <v>240</v>
      </c>
      <c r="DE3731" s="5" t="s">
        <v>240</v>
      </c>
      <c r="DF3731" s="5" t="s">
        <v>450</v>
      </c>
      <c r="DG3731" s="7">
        <f>0</f>
        <v>0</v>
      </c>
      <c r="DI3731" s="5" t="s">
        <v>737</v>
      </c>
      <c r="DJ3731" s="5" t="s">
        <v>240</v>
      </c>
      <c r="DK3731" s="5" t="s">
        <v>240</v>
      </c>
      <c r="DL3731" s="5" t="s">
        <v>240</v>
      </c>
      <c r="DM3731" s="5" t="s">
        <v>240</v>
      </c>
      <c r="DN3731" s="5" t="s">
        <v>240</v>
      </c>
      <c r="DO3731" s="7" t="s">
        <v>240</v>
      </c>
      <c r="DP3731" s="5" t="s">
        <v>240</v>
      </c>
      <c r="DQ3731" s="5" t="s">
        <v>240</v>
      </c>
      <c r="DR3731" s="5" t="s">
        <v>731</v>
      </c>
      <c r="DS3731" s="5" t="s">
        <v>731</v>
      </c>
      <c r="DT3731" s="5" t="s">
        <v>240</v>
      </c>
      <c r="DU3731" s="5" t="s">
        <v>240</v>
      </c>
      <c r="DV3731" s="5" t="s">
        <v>738</v>
      </c>
      <c r="DW3731" s="5" t="s">
        <v>572</v>
      </c>
      <c r="DX3731" s="5" t="s">
        <v>240</v>
      </c>
      <c r="DY3731" s="5" t="s">
        <v>240</v>
      </c>
      <c r="DZ3731" s="5" t="s">
        <v>240</v>
      </c>
      <c r="EA3731" s="5" t="s">
        <v>240</v>
      </c>
      <c r="EB3731" s="5" t="s">
        <v>240</v>
      </c>
      <c r="EC3731" s="5" t="s">
        <v>240</v>
      </c>
      <c r="ED3731" s="5" t="s">
        <v>240</v>
      </c>
      <c r="EE3731" s="5" t="s">
        <v>240</v>
      </c>
      <c r="EF3731" s="5" t="s">
        <v>240</v>
      </c>
      <c r="EG3731" s="5" t="s">
        <v>240</v>
      </c>
      <c r="EH3731" s="5" t="s">
        <v>240</v>
      </c>
      <c r="EI3731" s="5" t="s">
        <v>240</v>
      </c>
      <c r="EJ3731" s="5" t="s">
        <v>240</v>
      </c>
      <c r="EK3731" s="5" t="s">
        <v>240</v>
      </c>
      <c r="EL3731" s="5" t="s">
        <v>240</v>
      </c>
      <c r="EM3731" s="5" t="s">
        <v>240</v>
      </c>
      <c r="EN3731" s="5" t="s">
        <v>240</v>
      </c>
      <c r="EO3731" s="5" t="s">
        <v>240</v>
      </c>
      <c r="EP3731" s="5" t="s">
        <v>240</v>
      </c>
      <c r="EQ3731" s="5" t="s">
        <v>240</v>
      </c>
      <c r="ER3731" s="5" t="s">
        <v>240</v>
      </c>
      <c r="ES3731" s="5" t="s">
        <v>240</v>
      </c>
      <c r="ET3731" s="5" t="s">
        <v>240</v>
      </c>
      <c r="EU3731" s="5" t="s">
        <v>240</v>
      </c>
      <c r="EV3731" s="5" t="s">
        <v>240</v>
      </c>
      <c r="EW3731" s="5" t="s">
        <v>240</v>
      </c>
      <c r="EX3731" s="5" t="s">
        <v>240</v>
      </c>
      <c r="EY3731" s="5" t="s">
        <v>240</v>
      </c>
      <c r="EZ3731" s="5" t="s">
        <v>240</v>
      </c>
      <c r="FA3731" s="5" t="s">
        <v>240</v>
      </c>
      <c r="FB3731" s="5" t="s">
        <v>240</v>
      </c>
      <c r="FC3731" s="5" t="s">
        <v>240</v>
      </c>
      <c r="FD3731" s="5" t="s">
        <v>240</v>
      </c>
      <c r="FE3731" s="5" t="s">
        <v>240</v>
      </c>
      <c r="FF3731" s="5" t="s">
        <v>240</v>
      </c>
      <c r="FG3731" s="5" t="s">
        <v>240</v>
      </c>
      <c r="FH3731" s="5" t="s">
        <v>240</v>
      </c>
      <c r="FI3731" s="5" t="s">
        <v>240</v>
      </c>
      <c r="FJ3731" s="5" t="s">
        <v>240</v>
      </c>
      <c r="FK3731" s="5" t="s">
        <v>240</v>
      </c>
      <c r="FL3731" s="5" t="s">
        <v>240</v>
      </c>
      <c r="FM3731" s="5" t="s">
        <v>240</v>
      </c>
      <c r="FN3731" s="5" t="s">
        <v>240</v>
      </c>
      <c r="FO3731" s="5" t="s">
        <v>240</v>
      </c>
      <c r="FP3731" s="5" t="s">
        <v>240</v>
      </c>
      <c r="FQ3731" s="5" t="s">
        <v>240</v>
      </c>
      <c r="FR3731" s="5" t="s">
        <v>240</v>
      </c>
      <c r="FS3731" s="5" t="s">
        <v>240</v>
      </c>
      <c r="FT3731" s="5" t="s">
        <v>240</v>
      </c>
      <c r="FU3731" s="5" t="s">
        <v>240</v>
      </c>
      <c r="FV3731" s="5" t="s">
        <v>240</v>
      </c>
      <c r="FW3731" s="5" t="s">
        <v>240</v>
      </c>
      <c r="FX3731" s="5" t="s">
        <v>240</v>
      </c>
      <c r="FY3731" s="5" t="s">
        <v>240</v>
      </c>
      <c r="FZ3731" s="5" t="s">
        <v>240</v>
      </c>
      <c r="GA3731" s="5" t="s">
        <v>240</v>
      </c>
      <c r="GB3731" s="5" t="s">
        <v>240</v>
      </c>
      <c r="GC3731" s="5" t="s">
        <v>240</v>
      </c>
      <c r="GD3731" s="5" t="s">
        <v>240</v>
      </c>
      <c r="GE3731" s="5" t="s">
        <v>240</v>
      </c>
      <c r="GF3731" s="5" t="s">
        <v>240</v>
      </c>
      <c r="GG3731" s="5" t="s">
        <v>240</v>
      </c>
      <c r="GH3731" s="5" t="s">
        <v>240</v>
      </c>
      <c r="GI3731" s="5" t="s">
        <v>240</v>
      </c>
      <c r="GJ3731" s="5" t="s">
        <v>240</v>
      </c>
      <c r="GK3731" s="5" t="s">
        <v>240</v>
      </c>
      <c r="GL3731" s="5" t="s">
        <v>240</v>
      </c>
      <c r="GM3731" s="5" t="s">
        <v>240</v>
      </c>
      <c r="GN3731" s="5" t="s">
        <v>240</v>
      </c>
      <c r="GO3731" s="5" t="s">
        <v>240</v>
      </c>
      <c r="GP3731" s="5" t="s">
        <v>240</v>
      </c>
      <c r="GQ3731" s="5" t="s">
        <v>240</v>
      </c>
      <c r="GR3731" s="5" t="s">
        <v>240</v>
      </c>
      <c r="GS3731" s="5" t="s">
        <v>240</v>
      </c>
      <c r="GT3731" s="5" t="s">
        <v>240</v>
      </c>
      <c r="GU3731" s="5" t="s">
        <v>240</v>
      </c>
      <c r="GV3731" s="5" t="s">
        <v>240</v>
      </c>
      <c r="GW3731" s="5" t="s">
        <v>240</v>
      </c>
      <c r="GX3731" s="5" t="s">
        <v>240</v>
      </c>
      <c r="GY3731" s="5" t="s">
        <v>240</v>
      </c>
      <c r="GZ3731" s="5" t="s">
        <v>240</v>
      </c>
      <c r="HA3731" s="5" t="s">
        <v>240</v>
      </c>
      <c r="HB3731" s="5" t="s">
        <v>240</v>
      </c>
      <c r="HC3731" s="5" t="s">
        <v>240</v>
      </c>
      <c r="HD3731" s="5" t="s">
        <v>240</v>
      </c>
      <c r="HE3731" s="5" t="s">
        <v>240</v>
      </c>
      <c r="HF3731" s="5" t="s">
        <v>240</v>
      </c>
      <c r="HG3731" s="5" t="s">
        <v>240</v>
      </c>
      <c r="HH3731" s="5" t="s">
        <v>240</v>
      </c>
      <c r="HI3731" s="5" t="s">
        <v>240</v>
      </c>
      <c r="HJ3731" s="5" t="s">
        <v>240</v>
      </c>
      <c r="HK3731" s="5" t="s">
        <v>240</v>
      </c>
      <c r="HL3731" s="5" t="s">
        <v>240</v>
      </c>
      <c r="HM3731" s="5" t="s">
        <v>240</v>
      </c>
      <c r="HN3731" s="5" t="s">
        <v>240</v>
      </c>
      <c r="HO3731" s="5" t="s">
        <v>620</v>
      </c>
      <c r="HP3731" s="5" t="s">
        <v>240</v>
      </c>
      <c r="HQ3731" s="5" t="s">
        <v>240</v>
      </c>
      <c r="HR3731" s="5" t="s">
        <v>240</v>
      </c>
      <c r="HS3731" s="5" t="s">
        <v>240</v>
      </c>
      <c r="HT3731" s="5" t="s">
        <v>240</v>
      </c>
      <c r="HU3731" s="5" t="s">
        <v>240</v>
      </c>
      <c r="HV3731" s="5" t="s">
        <v>240</v>
      </c>
      <c r="HW3731" s="5" t="s">
        <v>240</v>
      </c>
      <c r="HX3731" s="5" t="s">
        <v>240</v>
      </c>
      <c r="HY3731" s="5" t="s">
        <v>240</v>
      </c>
      <c r="HZ3731" s="5" t="s">
        <v>240</v>
      </c>
      <c r="IA3731" s="5" t="s">
        <v>240</v>
      </c>
      <c r="IB3731" s="5" t="s">
        <v>240</v>
      </c>
      <c r="IC3731" s="5" t="s">
        <v>240</v>
      </c>
      <c r="ID3731" s="5" t="s">
        <v>240</v>
      </c>
      <c r="IE3731" s="5" t="s">
        <v>240</v>
      </c>
      <c r="IF3731" s="5" t="s">
        <v>240</v>
      </c>
    </row>
    <row r="3732" spans="1:240" x14ac:dyDescent="0.4">
      <c r="A3732" s="5">
        <v>9274</v>
      </c>
      <c r="B3732" s="5">
        <v>1</v>
      </c>
      <c r="C3732" s="5">
        <v>1</v>
      </c>
      <c r="D3732" s="5" t="s">
        <v>723</v>
      </c>
      <c r="E3732" s="5" t="s">
        <v>725</v>
      </c>
      <c r="F3732" s="5" t="s">
        <v>254</v>
      </c>
      <c r="G3732" s="5" t="s">
        <v>5517</v>
      </c>
      <c r="H3732" s="6" t="s">
        <v>5518</v>
      </c>
      <c r="I3732" s="5" t="s">
        <v>5516</v>
      </c>
      <c r="J3732" s="7">
        <f>1</f>
        <v>1</v>
      </c>
      <c r="K3732" s="5" t="s">
        <v>3682</v>
      </c>
      <c r="L3732" s="7">
        <f>1</f>
        <v>1</v>
      </c>
      <c r="M3732" s="7">
        <f>1</f>
        <v>1</v>
      </c>
      <c r="N3732" s="5" t="s">
        <v>242</v>
      </c>
      <c r="O3732" s="5">
        <v>1</v>
      </c>
      <c r="P3732" s="5" t="s">
        <v>294</v>
      </c>
      <c r="Q3732" s="5" t="s">
        <v>613</v>
      </c>
      <c r="R3732" s="5" t="s">
        <v>240</v>
      </c>
      <c r="S3732" s="5" t="s">
        <v>240</v>
      </c>
      <c r="T3732" s="5" t="s">
        <v>243</v>
      </c>
      <c r="U3732" s="5" t="s">
        <v>244</v>
      </c>
      <c r="V3732" s="5" t="s">
        <v>240</v>
      </c>
      <c r="Y3732" s="5" t="s">
        <v>240</v>
      </c>
      <c r="Z3732" s="6" t="s">
        <v>298</v>
      </c>
      <c r="AB3732" s="6" t="s">
        <v>240</v>
      </c>
      <c r="AE3732" s="6" t="s">
        <v>299</v>
      </c>
      <c r="AF3732" s="5" t="s">
        <v>248</v>
      </c>
      <c r="AG3732" s="5" t="s">
        <v>249</v>
      </c>
      <c r="AW3732" s="5" t="s">
        <v>251</v>
      </c>
      <c r="AX3732" s="5" t="s">
        <v>240</v>
      </c>
      <c r="AY3732" s="5" t="s">
        <v>253</v>
      </c>
      <c r="AZ3732" s="5" t="s">
        <v>240</v>
      </c>
      <c r="BA3732" s="5" t="s">
        <v>255</v>
      </c>
      <c r="BB3732" s="5" t="s">
        <v>240</v>
      </c>
      <c r="BD3732" s="5" t="s">
        <v>240</v>
      </c>
      <c r="BF3732" s="5" t="s">
        <v>301</v>
      </c>
      <c r="BG3732" s="6" t="s">
        <v>299</v>
      </c>
      <c r="BH3732" s="5" t="s">
        <v>302</v>
      </c>
      <c r="BI3732" s="5" t="s">
        <v>6587</v>
      </c>
      <c r="BJ3732" s="5" t="s">
        <v>240</v>
      </c>
      <c r="BK3732" s="8">
        <f>0</f>
        <v>0</v>
      </c>
      <c r="BL3732" s="7">
        <f>0</f>
        <v>0</v>
      </c>
      <c r="BM3732" s="5" t="s">
        <v>258</v>
      </c>
      <c r="BN3732" s="5" t="s">
        <v>259</v>
      </c>
      <c r="CB3732" s="5" t="s">
        <v>240</v>
      </c>
      <c r="CC3732" s="5" t="s">
        <v>240</v>
      </c>
      <c r="CG3732" s="5" t="s">
        <v>617</v>
      </c>
      <c r="CH3732" s="5" t="s">
        <v>305</v>
      </c>
      <c r="CI3732" s="5" t="s">
        <v>240</v>
      </c>
      <c r="CL3732" s="6" t="s">
        <v>261</v>
      </c>
      <c r="CM3732" s="5" t="s">
        <v>240</v>
      </c>
      <c r="CN3732" s="5" t="s">
        <v>263</v>
      </c>
      <c r="CO3732" s="5" t="s">
        <v>240</v>
      </c>
      <c r="CP3732" s="5" t="s">
        <v>240</v>
      </c>
      <c r="CQ3732" s="5">
        <v>0</v>
      </c>
      <c r="CR3732" s="5" t="s">
        <v>306</v>
      </c>
      <c r="CS3732" s="5" t="s">
        <v>307</v>
      </c>
      <c r="CT3732" s="5" t="s">
        <v>307</v>
      </c>
      <c r="CU3732" s="5" t="s">
        <v>260</v>
      </c>
      <c r="CX3732" s="7">
        <f>18546</f>
        <v>18546</v>
      </c>
      <c r="CY3732" s="7">
        <f>0</f>
        <v>0</v>
      </c>
      <c r="DA3732" s="7">
        <f>0</f>
        <v>0</v>
      </c>
      <c r="DC3732" s="5" t="s">
        <v>450</v>
      </c>
      <c r="DD3732" s="5" t="s">
        <v>240</v>
      </c>
      <c r="DF3732" s="5" t="s">
        <v>450</v>
      </c>
      <c r="DG3732" s="7">
        <f>0</f>
        <v>0</v>
      </c>
      <c r="DI3732" s="5" t="s">
        <v>737</v>
      </c>
      <c r="DJ3732" s="5" t="s">
        <v>240</v>
      </c>
      <c r="DK3732" s="5" t="s">
        <v>240</v>
      </c>
      <c r="DL3732" s="5" t="s">
        <v>240</v>
      </c>
      <c r="DP3732" s="5" t="s">
        <v>240</v>
      </c>
      <c r="DQ3732" s="5" t="s">
        <v>240</v>
      </c>
      <c r="DR3732" s="5" t="s">
        <v>240</v>
      </c>
      <c r="DS3732" s="5" t="s">
        <v>240</v>
      </c>
      <c r="DV3732" s="5" t="s">
        <v>6588</v>
      </c>
      <c r="DW3732" s="5" t="s">
        <v>1260</v>
      </c>
      <c r="HO3732" s="5" t="s">
        <v>620</v>
      </c>
    </row>
    <row r="3733" spans="1:240" x14ac:dyDescent="0.4">
      <c r="A3733" s="5">
        <v>9275</v>
      </c>
      <c r="B3733" s="5">
        <v>1</v>
      </c>
      <c r="C3733" s="5">
        <v>1</v>
      </c>
      <c r="D3733" s="5" t="s">
        <v>723</v>
      </c>
      <c r="E3733" s="5" t="s">
        <v>725</v>
      </c>
      <c r="F3733" s="5" t="s">
        <v>254</v>
      </c>
      <c r="G3733" s="5" t="s">
        <v>5514</v>
      </c>
      <c r="H3733" s="6" t="s">
        <v>5515</v>
      </c>
      <c r="I3733" s="5" t="s">
        <v>5513</v>
      </c>
      <c r="J3733" s="7">
        <f>1</f>
        <v>1</v>
      </c>
      <c r="K3733" s="5" t="s">
        <v>3682</v>
      </c>
      <c r="L3733" s="7">
        <f>1</f>
        <v>1</v>
      </c>
      <c r="M3733" s="7">
        <f>1</f>
        <v>1</v>
      </c>
      <c r="N3733" s="5" t="s">
        <v>242</v>
      </c>
      <c r="O3733" s="5">
        <v>1</v>
      </c>
      <c r="P3733" s="5" t="s">
        <v>294</v>
      </c>
      <c r="Q3733" s="5" t="s">
        <v>613</v>
      </c>
      <c r="R3733" s="5" t="s">
        <v>240</v>
      </c>
      <c r="S3733" s="5" t="s">
        <v>240</v>
      </c>
      <c r="T3733" s="5" t="s">
        <v>243</v>
      </c>
      <c r="U3733" s="5" t="s">
        <v>244</v>
      </c>
      <c r="V3733" s="5" t="s">
        <v>240</v>
      </c>
      <c r="Y3733" s="5" t="s">
        <v>240</v>
      </c>
      <c r="Z3733" s="6" t="s">
        <v>298</v>
      </c>
      <c r="AB3733" s="6" t="s">
        <v>240</v>
      </c>
      <c r="AE3733" s="6" t="s">
        <v>299</v>
      </c>
      <c r="AF3733" s="5" t="s">
        <v>248</v>
      </c>
      <c r="AG3733" s="5" t="s">
        <v>249</v>
      </c>
      <c r="AW3733" s="5" t="s">
        <v>251</v>
      </c>
      <c r="AX3733" s="5" t="s">
        <v>240</v>
      </c>
      <c r="AY3733" s="5" t="s">
        <v>253</v>
      </c>
      <c r="AZ3733" s="5" t="s">
        <v>240</v>
      </c>
      <c r="BA3733" s="5" t="s">
        <v>255</v>
      </c>
      <c r="BB3733" s="5" t="s">
        <v>240</v>
      </c>
      <c r="BD3733" s="5" t="s">
        <v>240</v>
      </c>
      <c r="BF3733" s="5" t="s">
        <v>301</v>
      </c>
      <c r="BG3733" s="6" t="s">
        <v>299</v>
      </c>
      <c r="BH3733" s="5" t="s">
        <v>302</v>
      </c>
      <c r="BI3733" s="5" t="s">
        <v>6587</v>
      </c>
      <c r="BJ3733" s="5" t="s">
        <v>240</v>
      </c>
      <c r="BK3733" s="8">
        <f>0</f>
        <v>0</v>
      </c>
      <c r="BL3733" s="7">
        <f>0</f>
        <v>0</v>
      </c>
      <c r="BM3733" s="5" t="s">
        <v>258</v>
      </c>
      <c r="BN3733" s="5" t="s">
        <v>259</v>
      </c>
      <c r="CB3733" s="5" t="s">
        <v>240</v>
      </c>
      <c r="CC3733" s="5" t="s">
        <v>240</v>
      </c>
      <c r="CG3733" s="5" t="s">
        <v>617</v>
      </c>
      <c r="CH3733" s="5" t="s">
        <v>305</v>
      </c>
      <c r="CI3733" s="5" t="s">
        <v>240</v>
      </c>
      <c r="CL3733" s="6" t="s">
        <v>261</v>
      </c>
      <c r="CM3733" s="5" t="s">
        <v>240</v>
      </c>
      <c r="CN3733" s="5" t="s">
        <v>263</v>
      </c>
      <c r="CO3733" s="5" t="s">
        <v>240</v>
      </c>
      <c r="CP3733" s="5" t="s">
        <v>240</v>
      </c>
      <c r="CQ3733" s="5">
        <v>0</v>
      </c>
      <c r="CR3733" s="5" t="s">
        <v>306</v>
      </c>
      <c r="CS3733" s="5" t="s">
        <v>307</v>
      </c>
      <c r="CT3733" s="5" t="s">
        <v>307</v>
      </c>
      <c r="CU3733" s="5" t="s">
        <v>260</v>
      </c>
      <c r="CX3733" s="7">
        <f>967955</f>
        <v>967955</v>
      </c>
      <c r="CY3733" s="7">
        <f>0</f>
        <v>0</v>
      </c>
      <c r="DA3733" s="7">
        <f>0</f>
        <v>0</v>
      </c>
      <c r="DC3733" s="5" t="s">
        <v>689</v>
      </c>
      <c r="DD3733" s="5" t="s">
        <v>240</v>
      </c>
      <c r="DF3733" s="5" t="s">
        <v>450</v>
      </c>
      <c r="DG3733" s="7">
        <f>0</f>
        <v>0</v>
      </c>
      <c r="DI3733" s="5" t="s">
        <v>618</v>
      </c>
      <c r="DJ3733" s="5" t="s">
        <v>240</v>
      </c>
      <c r="DK3733" s="5" t="s">
        <v>240</v>
      </c>
      <c r="DL3733" s="5" t="s">
        <v>240</v>
      </c>
      <c r="DP3733" s="5" t="s">
        <v>240</v>
      </c>
      <c r="DQ3733" s="5" t="s">
        <v>240</v>
      </c>
      <c r="DR3733" s="5" t="s">
        <v>240</v>
      </c>
      <c r="DS3733" s="5" t="s">
        <v>240</v>
      </c>
      <c r="DV3733" s="5" t="s">
        <v>6588</v>
      </c>
      <c r="DW3733" s="5" t="s">
        <v>816</v>
      </c>
      <c r="HO3733" s="5" t="s">
        <v>620</v>
      </c>
    </row>
    <row r="3734" spans="1:240" x14ac:dyDescent="0.4">
      <c r="A3734" s="5">
        <v>9276</v>
      </c>
      <c r="B3734" s="5">
        <v>1</v>
      </c>
      <c r="C3734" s="5">
        <v>1</v>
      </c>
      <c r="D3734" s="5" t="s">
        <v>723</v>
      </c>
      <c r="E3734" s="5" t="s">
        <v>725</v>
      </c>
      <c r="F3734" s="5" t="s">
        <v>254</v>
      </c>
      <c r="G3734" s="5" t="s">
        <v>5511</v>
      </c>
      <c r="H3734" s="6" t="s">
        <v>5512</v>
      </c>
      <c r="I3734" s="5" t="s">
        <v>5510</v>
      </c>
      <c r="J3734" s="7">
        <f>1</f>
        <v>1</v>
      </c>
      <c r="K3734" s="5" t="s">
        <v>3682</v>
      </c>
      <c r="L3734" s="7">
        <f>1</f>
        <v>1</v>
      </c>
      <c r="M3734" s="7">
        <f>1</f>
        <v>1</v>
      </c>
      <c r="N3734" s="5" t="s">
        <v>242</v>
      </c>
      <c r="O3734" s="5">
        <v>1</v>
      </c>
      <c r="P3734" s="5" t="s">
        <v>294</v>
      </c>
      <c r="Q3734" s="5" t="s">
        <v>613</v>
      </c>
      <c r="R3734" s="5" t="s">
        <v>240</v>
      </c>
      <c r="S3734" s="5" t="s">
        <v>240</v>
      </c>
      <c r="T3734" s="5" t="s">
        <v>243</v>
      </c>
      <c r="U3734" s="5" t="s">
        <v>724</v>
      </c>
      <c r="V3734" s="5" t="s">
        <v>240</v>
      </c>
      <c r="W3734" s="5" t="s">
        <v>240</v>
      </c>
      <c r="X3734" s="5" t="s">
        <v>240</v>
      </c>
      <c r="Y3734" s="5" t="s">
        <v>240</v>
      </c>
      <c r="Z3734" s="6" t="s">
        <v>298</v>
      </c>
      <c r="AA3734" s="6" t="s">
        <v>240</v>
      </c>
      <c r="AB3734" s="6" t="s">
        <v>240</v>
      </c>
      <c r="AC3734" s="5" t="s">
        <v>240</v>
      </c>
      <c r="AD3734" s="6" t="s">
        <v>240</v>
      </c>
      <c r="AE3734" s="6" t="s">
        <v>299</v>
      </c>
      <c r="AF3734" s="5" t="s">
        <v>727</v>
      </c>
      <c r="AG3734" s="5" t="s">
        <v>260</v>
      </c>
      <c r="AH3734" s="5" t="s">
        <v>240</v>
      </c>
      <c r="AI3734" s="5" t="s">
        <v>240</v>
      </c>
      <c r="AJ3734" s="5" t="s">
        <v>240</v>
      </c>
      <c r="AK3734" s="5" t="s">
        <v>240</v>
      </c>
      <c r="AL3734" s="5" t="s">
        <v>240</v>
      </c>
      <c r="AM3734" s="5" t="s">
        <v>240</v>
      </c>
      <c r="AN3734" s="5" t="s">
        <v>240</v>
      </c>
      <c r="AO3734" s="5" t="s">
        <v>240</v>
      </c>
      <c r="AP3734" s="6" t="s">
        <v>240</v>
      </c>
      <c r="AQ3734" s="6" t="s">
        <v>240</v>
      </c>
      <c r="AR3734" s="6" t="s">
        <v>240</v>
      </c>
      <c r="AS3734" s="6" t="s">
        <v>240</v>
      </c>
      <c r="AT3734" s="5" t="s">
        <v>240</v>
      </c>
      <c r="AU3734" s="5" t="s">
        <v>729</v>
      </c>
      <c r="AV3734" s="5" t="s">
        <v>729</v>
      </c>
      <c r="AW3734" s="5" t="s">
        <v>251</v>
      </c>
      <c r="AX3734" s="5" t="s">
        <v>252</v>
      </c>
      <c r="AY3734" s="5" t="s">
        <v>253</v>
      </c>
      <c r="AZ3734" s="5" t="s">
        <v>240</v>
      </c>
      <c r="BA3734" s="5" t="s">
        <v>255</v>
      </c>
      <c r="BB3734" s="5" t="s">
        <v>731</v>
      </c>
      <c r="BD3734" s="5" t="s">
        <v>240</v>
      </c>
      <c r="BF3734" s="5" t="s">
        <v>732</v>
      </c>
      <c r="BG3734" s="6" t="s">
        <v>733</v>
      </c>
      <c r="BH3734" s="5" t="s">
        <v>734</v>
      </c>
      <c r="BI3734" s="5" t="s">
        <v>734</v>
      </c>
      <c r="BJ3734" s="5" t="s">
        <v>240</v>
      </c>
      <c r="BK3734" s="8">
        <f>80</f>
        <v>80</v>
      </c>
      <c r="BL3734" s="7">
        <f>0</f>
        <v>0</v>
      </c>
      <c r="BM3734" s="5" t="s">
        <v>258</v>
      </c>
      <c r="BN3734" s="5" t="s">
        <v>259</v>
      </c>
      <c r="BO3734" s="5" t="s">
        <v>240</v>
      </c>
      <c r="BP3734" s="5" t="s">
        <v>240</v>
      </c>
      <c r="BQ3734" s="5" t="s">
        <v>240</v>
      </c>
      <c r="BR3734" s="5" t="s">
        <v>240</v>
      </c>
      <c r="BS3734" s="5" t="s">
        <v>240</v>
      </c>
      <c r="BT3734" s="5" t="s">
        <v>240</v>
      </c>
      <c r="BU3734" s="5" t="s">
        <v>240</v>
      </c>
      <c r="BV3734" s="5" t="s">
        <v>240</v>
      </c>
      <c r="BW3734" s="6" t="s">
        <v>240</v>
      </c>
      <c r="BX3734" s="5" t="s">
        <v>240</v>
      </c>
      <c r="BY3734" s="5" t="s">
        <v>240</v>
      </c>
      <c r="BZ3734" s="5" t="s">
        <v>240</v>
      </c>
      <c r="CA3734" s="5" t="s">
        <v>259</v>
      </c>
      <c r="CB3734" s="5" t="s">
        <v>240</v>
      </c>
      <c r="CC3734" s="5" t="s">
        <v>240</v>
      </c>
      <c r="CD3734" s="5" t="s">
        <v>240</v>
      </c>
      <c r="CE3734" s="5" t="s">
        <v>240</v>
      </c>
      <c r="CF3734" s="5" t="s">
        <v>240</v>
      </c>
      <c r="CG3734" s="5" t="s">
        <v>617</v>
      </c>
      <c r="CH3734" s="5" t="s">
        <v>305</v>
      </c>
      <c r="CI3734" s="5" t="s">
        <v>240</v>
      </c>
      <c r="CL3734" s="6" t="s">
        <v>261</v>
      </c>
      <c r="CM3734" s="5" t="s">
        <v>262</v>
      </c>
      <c r="CN3734" s="5" t="s">
        <v>263</v>
      </c>
      <c r="CO3734" s="5" t="s">
        <v>264</v>
      </c>
      <c r="CP3734" s="5" t="s">
        <v>240</v>
      </c>
      <c r="CQ3734" s="5">
        <v>0</v>
      </c>
      <c r="CR3734" s="5" t="s">
        <v>735</v>
      </c>
      <c r="CS3734" s="5" t="s">
        <v>307</v>
      </c>
      <c r="CT3734" s="5" t="s">
        <v>307</v>
      </c>
      <c r="CU3734" s="5" t="s">
        <v>260</v>
      </c>
      <c r="CV3734" s="5" t="s">
        <v>240</v>
      </c>
      <c r="CW3734" s="8">
        <f>0</f>
        <v>0</v>
      </c>
      <c r="CX3734" s="7">
        <f>0</f>
        <v>0</v>
      </c>
      <c r="CY3734" s="7">
        <f>0</f>
        <v>0</v>
      </c>
      <c r="DA3734" s="7">
        <f>880</f>
        <v>880</v>
      </c>
      <c r="DB3734" s="7" t="s">
        <v>240</v>
      </c>
      <c r="DC3734" s="5" t="s">
        <v>240</v>
      </c>
      <c r="DD3734" s="5" t="s">
        <v>240</v>
      </c>
      <c r="DE3734" s="5" t="s">
        <v>240</v>
      </c>
      <c r="DF3734" s="5" t="s">
        <v>450</v>
      </c>
      <c r="DG3734" s="7">
        <f>0</f>
        <v>0</v>
      </c>
      <c r="DI3734" s="5" t="s">
        <v>737</v>
      </c>
      <c r="DJ3734" s="5" t="s">
        <v>240</v>
      </c>
      <c r="DK3734" s="5" t="s">
        <v>240</v>
      </c>
      <c r="DL3734" s="5" t="s">
        <v>240</v>
      </c>
      <c r="DM3734" s="5" t="s">
        <v>240</v>
      </c>
      <c r="DN3734" s="5" t="s">
        <v>240</v>
      </c>
      <c r="DO3734" s="7" t="s">
        <v>240</v>
      </c>
      <c r="DP3734" s="5" t="s">
        <v>240</v>
      </c>
      <c r="DQ3734" s="5" t="s">
        <v>240</v>
      </c>
      <c r="DR3734" s="5" t="s">
        <v>731</v>
      </c>
      <c r="DS3734" s="5" t="s">
        <v>731</v>
      </c>
      <c r="DT3734" s="5" t="s">
        <v>240</v>
      </c>
      <c r="DU3734" s="5" t="s">
        <v>240</v>
      </c>
      <c r="DV3734" s="5" t="s">
        <v>738</v>
      </c>
      <c r="DW3734" s="5" t="s">
        <v>654</v>
      </c>
      <c r="DX3734" s="5" t="s">
        <v>240</v>
      </c>
      <c r="DY3734" s="5" t="s">
        <v>240</v>
      </c>
      <c r="DZ3734" s="5" t="s">
        <v>240</v>
      </c>
      <c r="EA3734" s="5" t="s">
        <v>240</v>
      </c>
      <c r="EB3734" s="5" t="s">
        <v>240</v>
      </c>
      <c r="EC3734" s="5" t="s">
        <v>240</v>
      </c>
      <c r="ED3734" s="5" t="s">
        <v>240</v>
      </c>
      <c r="EE3734" s="5" t="s">
        <v>240</v>
      </c>
      <c r="EF3734" s="5" t="s">
        <v>240</v>
      </c>
      <c r="EG3734" s="5" t="s">
        <v>240</v>
      </c>
      <c r="EH3734" s="5" t="s">
        <v>240</v>
      </c>
      <c r="EI3734" s="5" t="s">
        <v>240</v>
      </c>
      <c r="EJ3734" s="5" t="s">
        <v>240</v>
      </c>
      <c r="EK3734" s="5" t="s">
        <v>240</v>
      </c>
      <c r="EL3734" s="5" t="s">
        <v>240</v>
      </c>
      <c r="EM3734" s="5" t="s">
        <v>240</v>
      </c>
      <c r="EN3734" s="5" t="s">
        <v>240</v>
      </c>
      <c r="EO3734" s="5" t="s">
        <v>240</v>
      </c>
      <c r="EP3734" s="5" t="s">
        <v>240</v>
      </c>
      <c r="EQ3734" s="5" t="s">
        <v>240</v>
      </c>
      <c r="ER3734" s="5" t="s">
        <v>240</v>
      </c>
      <c r="ES3734" s="5" t="s">
        <v>240</v>
      </c>
      <c r="ET3734" s="5" t="s">
        <v>240</v>
      </c>
      <c r="EU3734" s="5" t="s">
        <v>240</v>
      </c>
      <c r="EV3734" s="5" t="s">
        <v>240</v>
      </c>
      <c r="EW3734" s="5" t="s">
        <v>240</v>
      </c>
      <c r="EX3734" s="5" t="s">
        <v>240</v>
      </c>
      <c r="EY3734" s="5" t="s">
        <v>240</v>
      </c>
      <c r="EZ3734" s="5" t="s">
        <v>240</v>
      </c>
      <c r="FA3734" s="5" t="s">
        <v>240</v>
      </c>
      <c r="FB3734" s="5" t="s">
        <v>240</v>
      </c>
      <c r="FC3734" s="5" t="s">
        <v>240</v>
      </c>
      <c r="FD3734" s="5" t="s">
        <v>240</v>
      </c>
      <c r="FE3734" s="5" t="s">
        <v>240</v>
      </c>
      <c r="FF3734" s="5" t="s">
        <v>240</v>
      </c>
      <c r="FG3734" s="5" t="s">
        <v>240</v>
      </c>
      <c r="FH3734" s="5" t="s">
        <v>240</v>
      </c>
      <c r="FI3734" s="5" t="s">
        <v>240</v>
      </c>
      <c r="FJ3734" s="5" t="s">
        <v>240</v>
      </c>
      <c r="FK3734" s="5" t="s">
        <v>240</v>
      </c>
      <c r="FL3734" s="5" t="s">
        <v>240</v>
      </c>
      <c r="FM3734" s="5" t="s">
        <v>240</v>
      </c>
      <c r="FN3734" s="5" t="s">
        <v>240</v>
      </c>
      <c r="FO3734" s="5" t="s">
        <v>240</v>
      </c>
      <c r="FP3734" s="5" t="s">
        <v>240</v>
      </c>
      <c r="FQ3734" s="5" t="s">
        <v>240</v>
      </c>
      <c r="FR3734" s="5" t="s">
        <v>240</v>
      </c>
      <c r="FS3734" s="5" t="s">
        <v>240</v>
      </c>
      <c r="FT3734" s="5" t="s">
        <v>240</v>
      </c>
      <c r="FU3734" s="5" t="s">
        <v>240</v>
      </c>
      <c r="FV3734" s="5" t="s">
        <v>240</v>
      </c>
      <c r="FW3734" s="5" t="s">
        <v>240</v>
      </c>
      <c r="FX3734" s="5" t="s">
        <v>240</v>
      </c>
      <c r="FY3734" s="5" t="s">
        <v>240</v>
      </c>
      <c r="FZ3734" s="5" t="s">
        <v>240</v>
      </c>
      <c r="GA3734" s="5" t="s">
        <v>240</v>
      </c>
      <c r="GB3734" s="5" t="s">
        <v>240</v>
      </c>
      <c r="GC3734" s="5" t="s">
        <v>240</v>
      </c>
      <c r="GD3734" s="5" t="s">
        <v>240</v>
      </c>
      <c r="GE3734" s="5" t="s">
        <v>240</v>
      </c>
      <c r="GF3734" s="5" t="s">
        <v>240</v>
      </c>
      <c r="GG3734" s="5" t="s">
        <v>240</v>
      </c>
      <c r="GH3734" s="5" t="s">
        <v>240</v>
      </c>
      <c r="GI3734" s="5" t="s">
        <v>240</v>
      </c>
      <c r="GJ3734" s="5" t="s">
        <v>240</v>
      </c>
      <c r="GK3734" s="5" t="s">
        <v>240</v>
      </c>
      <c r="GL3734" s="5" t="s">
        <v>240</v>
      </c>
      <c r="GM3734" s="5" t="s">
        <v>240</v>
      </c>
      <c r="GN3734" s="5" t="s">
        <v>240</v>
      </c>
      <c r="GO3734" s="5" t="s">
        <v>240</v>
      </c>
      <c r="GP3734" s="5" t="s">
        <v>240</v>
      </c>
      <c r="GQ3734" s="5" t="s">
        <v>240</v>
      </c>
      <c r="GR3734" s="5" t="s">
        <v>240</v>
      </c>
      <c r="GS3734" s="5" t="s">
        <v>240</v>
      </c>
      <c r="GT3734" s="5" t="s">
        <v>240</v>
      </c>
      <c r="GU3734" s="5" t="s">
        <v>240</v>
      </c>
      <c r="GV3734" s="5" t="s">
        <v>240</v>
      </c>
      <c r="GW3734" s="5" t="s">
        <v>240</v>
      </c>
      <c r="GX3734" s="5" t="s">
        <v>240</v>
      </c>
      <c r="GY3734" s="5" t="s">
        <v>240</v>
      </c>
      <c r="GZ3734" s="5" t="s">
        <v>240</v>
      </c>
      <c r="HA3734" s="5" t="s">
        <v>240</v>
      </c>
      <c r="HB3734" s="5" t="s">
        <v>240</v>
      </c>
      <c r="HC3734" s="5" t="s">
        <v>240</v>
      </c>
      <c r="HD3734" s="5" t="s">
        <v>240</v>
      </c>
      <c r="HE3734" s="5" t="s">
        <v>240</v>
      </c>
      <c r="HF3734" s="5" t="s">
        <v>240</v>
      </c>
      <c r="HG3734" s="5" t="s">
        <v>240</v>
      </c>
      <c r="HH3734" s="5" t="s">
        <v>240</v>
      </c>
      <c r="HI3734" s="5" t="s">
        <v>240</v>
      </c>
      <c r="HJ3734" s="5" t="s">
        <v>240</v>
      </c>
      <c r="HK3734" s="5" t="s">
        <v>240</v>
      </c>
      <c r="HL3734" s="5" t="s">
        <v>240</v>
      </c>
      <c r="HM3734" s="5" t="s">
        <v>240</v>
      </c>
      <c r="HN3734" s="5" t="s">
        <v>240</v>
      </c>
      <c r="HO3734" s="5" t="s">
        <v>620</v>
      </c>
      <c r="HP3734" s="5" t="s">
        <v>240</v>
      </c>
      <c r="HQ3734" s="5" t="s">
        <v>240</v>
      </c>
      <c r="HR3734" s="5" t="s">
        <v>240</v>
      </c>
      <c r="HS3734" s="5" t="s">
        <v>240</v>
      </c>
      <c r="HT3734" s="5" t="s">
        <v>240</v>
      </c>
      <c r="HU3734" s="5" t="s">
        <v>240</v>
      </c>
      <c r="HV3734" s="5" t="s">
        <v>240</v>
      </c>
      <c r="HW3734" s="5" t="s">
        <v>240</v>
      </c>
      <c r="HX3734" s="5" t="s">
        <v>240</v>
      </c>
      <c r="HY3734" s="5" t="s">
        <v>240</v>
      </c>
      <c r="HZ3734" s="5" t="s">
        <v>240</v>
      </c>
      <c r="IA3734" s="5" t="s">
        <v>240</v>
      </c>
      <c r="IB3734" s="5" t="s">
        <v>240</v>
      </c>
      <c r="IC3734" s="5" t="s">
        <v>240</v>
      </c>
      <c r="ID3734" s="5" t="s">
        <v>240</v>
      </c>
      <c r="IE3734" s="5" t="s">
        <v>240</v>
      </c>
      <c r="IF3734" s="5" t="s">
        <v>240</v>
      </c>
    </row>
    <row r="3735" spans="1:240" x14ac:dyDescent="0.4">
      <c r="A3735" s="5">
        <v>9277</v>
      </c>
      <c r="B3735" s="5">
        <v>1</v>
      </c>
      <c r="C3735" s="5">
        <v>1</v>
      </c>
      <c r="D3735" s="5" t="s">
        <v>723</v>
      </c>
      <c r="E3735" s="5" t="s">
        <v>725</v>
      </c>
      <c r="F3735" s="5" t="s">
        <v>254</v>
      </c>
      <c r="G3735" s="5" t="s">
        <v>726</v>
      </c>
      <c r="H3735" s="6" t="s">
        <v>5509</v>
      </c>
      <c r="I3735" s="5" t="s">
        <v>5508</v>
      </c>
      <c r="J3735" s="7">
        <f>1</f>
        <v>1</v>
      </c>
      <c r="K3735" s="5" t="s">
        <v>3682</v>
      </c>
      <c r="L3735" s="7">
        <f>1</f>
        <v>1</v>
      </c>
      <c r="M3735" s="7">
        <f>1</f>
        <v>1</v>
      </c>
      <c r="N3735" s="5" t="s">
        <v>242</v>
      </c>
      <c r="O3735" s="5">
        <v>1</v>
      </c>
      <c r="P3735" s="5" t="s">
        <v>294</v>
      </c>
      <c r="Q3735" s="5" t="s">
        <v>266</v>
      </c>
      <c r="R3735" s="5" t="s">
        <v>240</v>
      </c>
      <c r="S3735" s="5" t="s">
        <v>240</v>
      </c>
      <c r="T3735" s="5" t="s">
        <v>243</v>
      </c>
      <c r="U3735" s="5" t="s">
        <v>240</v>
      </c>
      <c r="V3735" s="5" t="s">
        <v>240</v>
      </c>
      <c r="Y3735" s="5" t="s">
        <v>240</v>
      </c>
      <c r="Z3735" s="6" t="s">
        <v>747</v>
      </c>
      <c r="AB3735" s="6" t="s">
        <v>240</v>
      </c>
      <c r="AE3735" s="6" t="s">
        <v>444</v>
      </c>
      <c r="AF3735" s="5" t="s">
        <v>248</v>
      </c>
      <c r="AG3735" s="5" t="s">
        <v>249</v>
      </c>
      <c r="AW3735" s="5" t="s">
        <v>251</v>
      </c>
      <c r="AX3735" s="5" t="s">
        <v>240</v>
      </c>
      <c r="AY3735" s="5" t="s">
        <v>253</v>
      </c>
      <c r="AZ3735" s="5" t="s">
        <v>240</v>
      </c>
      <c r="BA3735" s="5" t="s">
        <v>255</v>
      </c>
      <c r="BB3735" s="5" t="s">
        <v>240</v>
      </c>
      <c r="BD3735" s="5" t="s">
        <v>240</v>
      </c>
      <c r="BF3735" s="5" t="s">
        <v>687</v>
      </c>
      <c r="BG3735" s="6" t="s">
        <v>747</v>
      </c>
      <c r="BH3735" s="5" t="s">
        <v>302</v>
      </c>
      <c r="BI3735" s="5" t="s">
        <v>6608</v>
      </c>
      <c r="BJ3735" s="5" t="s">
        <v>240</v>
      </c>
      <c r="BK3735" s="8">
        <f>0</f>
        <v>0</v>
      </c>
      <c r="BL3735" s="7">
        <f>0</f>
        <v>0</v>
      </c>
      <c r="BM3735" s="5" t="s">
        <v>258</v>
      </c>
      <c r="BN3735" s="5" t="s">
        <v>259</v>
      </c>
      <c r="CB3735" s="5" t="s">
        <v>240</v>
      </c>
      <c r="CC3735" s="5" t="s">
        <v>240</v>
      </c>
      <c r="CG3735" s="5" t="s">
        <v>617</v>
      </c>
      <c r="CH3735" s="5" t="s">
        <v>305</v>
      </c>
      <c r="CI3735" s="5" t="s">
        <v>240</v>
      </c>
      <c r="CL3735" s="6" t="s">
        <v>261</v>
      </c>
      <c r="CM3735" s="5" t="s">
        <v>240</v>
      </c>
      <c r="CN3735" s="5" t="s">
        <v>263</v>
      </c>
      <c r="CO3735" s="5" t="s">
        <v>240</v>
      </c>
      <c r="CP3735" s="5" t="s">
        <v>240</v>
      </c>
      <c r="CQ3735" s="5">
        <v>0</v>
      </c>
      <c r="CR3735" s="5" t="s">
        <v>306</v>
      </c>
      <c r="CS3735" s="5" t="s">
        <v>307</v>
      </c>
      <c r="CT3735" s="5" t="s">
        <v>307</v>
      </c>
      <c r="CU3735" s="5" t="s">
        <v>260</v>
      </c>
      <c r="CX3735" s="7">
        <f>4612103</f>
        <v>4612103</v>
      </c>
      <c r="CY3735" s="7">
        <f>0</f>
        <v>0</v>
      </c>
      <c r="DA3735" s="7">
        <f>0</f>
        <v>0</v>
      </c>
      <c r="DC3735" s="5" t="s">
        <v>450</v>
      </c>
      <c r="DD3735" s="5" t="s">
        <v>240</v>
      </c>
      <c r="DF3735" s="5" t="s">
        <v>450</v>
      </c>
      <c r="DG3735" s="7">
        <f>0</f>
        <v>0</v>
      </c>
      <c r="DI3735" s="5" t="s">
        <v>240</v>
      </c>
      <c r="DJ3735" s="5" t="s">
        <v>240</v>
      </c>
      <c r="DK3735" s="5" t="s">
        <v>240</v>
      </c>
      <c r="DL3735" s="5" t="s">
        <v>240</v>
      </c>
      <c r="DP3735" s="5" t="s">
        <v>240</v>
      </c>
      <c r="DQ3735" s="5" t="s">
        <v>240</v>
      </c>
      <c r="DR3735" s="5" t="s">
        <v>240</v>
      </c>
      <c r="DS3735" s="5" t="s">
        <v>240</v>
      </c>
      <c r="DV3735" s="5" t="s">
        <v>310</v>
      </c>
      <c r="DW3735" s="5" t="s">
        <v>2444</v>
      </c>
      <c r="HO3735" s="5" t="s">
        <v>312</v>
      </c>
    </row>
    <row r="3736" spans="1:240" x14ac:dyDescent="0.4">
      <c r="A3736" s="5">
        <v>9278</v>
      </c>
      <c r="B3736" s="5">
        <v>1</v>
      </c>
      <c r="C3736" s="5">
        <v>1</v>
      </c>
      <c r="D3736" s="5" t="s">
        <v>723</v>
      </c>
      <c r="E3736" s="5" t="s">
        <v>725</v>
      </c>
      <c r="F3736" s="5" t="s">
        <v>254</v>
      </c>
      <c r="G3736" s="5" t="s">
        <v>726</v>
      </c>
      <c r="H3736" s="6" t="s">
        <v>5507</v>
      </c>
      <c r="I3736" s="5" t="s">
        <v>5506</v>
      </c>
      <c r="J3736" s="7">
        <f>1</f>
        <v>1</v>
      </c>
      <c r="K3736" s="5" t="s">
        <v>3682</v>
      </c>
      <c r="L3736" s="7">
        <f>1</f>
        <v>1</v>
      </c>
      <c r="M3736" s="7">
        <f>1</f>
        <v>1</v>
      </c>
      <c r="N3736" s="5" t="s">
        <v>242</v>
      </c>
      <c r="O3736" s="5">
        <v>1</v>
      </c>
      <c r="P3736" s="5" t="s">
        <v>294</v>
      </c>
      <c r="Q3736" s="5" t="s">
        <v>266</v>
      </c>
      <c r="R3736" s="5" t="s">
        <v>240</v>
      </c>
      <c r="S3736" s="5" t="s">
        <v>240</v>
      </c>
      <c r="T3736" s="5" t="s">
        <v>243</v>
      </c>
      <c r="U3736" s="5" t="s">
        <v>240</v>
      </c>
      <c r="V3736" s="5" t="s">
        <v>240</v>
      </c>
      <c r="Y3736" s="5" t="s">
        <v>240</v>
      </c>
      <c r="Z3736" s="6" t="s">
        <v>747</v>
      </c>
      <c r="AB3736" s="6" t="s">
        <v>240</v>
      </c>
      <c r="AE3736" s="6" t="s">
        <v>6610</v>
      </c>
      <c r="AF3736" s="5" t="s">
        <v>248</v>
      </c>
      <c r="AG3736" s="5" t="s">
        <v>249</v>
      </c>
      <c r="AW3736" s="5" t="s">
        <v>251</v>
      </c>
      <c r="AX3736" s="5" t="s">
        <v>240</v>
      </c>
      <c r="AY3736" s="5" t="s">
        <v>253</v>
      </c>
      <c r="AZ3736" s="5" t="s">
        <v>240</v>
      </c>
      <c r="BA3736" s="5" t="s">
        <v>255</v>
      </c>
      <c r="BB3736" s="5" t="s">
        <v>240</v>
      </c>
      <c r="BD3736" s="5" t="s">
        <v>240</v>
      </c>
      <c r="BF3736" s="5" t="s">
        <v>687</v>
      </c>
      <c r="BG3736" s="6" t="s">
        <v>747</v>
      </c>
      <c r="BH3736" s="5" t="s">
        <v>302</v>
      </c>
      <c r="BI3736" s="5" t="s">
        <v>6608</v>
      </c>
      <c r="BJ3736" s="5" t="s">
        <v>240</v>
      </c>
      <c r="BK3736" s="8">
        <f>0</f>
        <v>0</v>
      </c>
      <c r="BL3736" s="7">
        <f>0</f>
        <v>0</v>
      </c>
      <c r="BM3736" s="5" t="s">
        <v>258</v>
      </c>
      <c r="BN3736" s="5" t="s">
        <v>259</v>
      </c>
      <c r="CB3736" s="5" t="s">
        <v>240</v>
      </c>
      <c r="CC3736" s="5" t="s">
        <v>240</v>
      </c>
      <c r="CG3736" s="5" t="s">
        <v>617</v>
      </c>
      <c r="CH3736" s="5" t="s">
        <v>305</v>
      </c>
      <c r="CI3736" s="5" t="s">
        <v>240</v>
      </c>
      <c r="CL3736" s="6" t="s">
        <v>261</v>
      </c>
      <c r="CM3736" s="5" t="s">
        <v>240</v>
      </c>
      <c r="CN3736" s="5" t="s">
        <v>263</v>
      </c>
      <c r="CO3736" s="5" t="s">
        <v>240</v>
      </c>
      <c r="CP3736" s="5" t="s">
        <v>240</v>
      </c>
      <c r="CQ3736" s="5">
        <v>0</v>
      </c>
      <c r="CR3736" s="5" t="s">
        <v>306</v>
      </c>
      <c r="CS3736" s="5" t="s">
        <v>307</v>
      </c>
      <c r="CT3736" s="5" t="s">
        <v>307</v>
      </c>
      <c r="CU3736" s="5" t="s">
        <v>260</v>
      </c>
      <c r="CX3736" s="7">
        <f>7451274</f>
        <v>7451274</v>
      </c>
      <c r="CY3736" s="7">
        <f>0</f>
        <v>0</v>
      </c>
      <c r="DA3736" s="7">
        <f>0</f>
        <v>0</v>
      </c>
      <c r="DC3736" s="5" t="s">
        <v>450</v>
      </c>
      <c r="DD3736" s="5" t="s">
        <v>240</v>
      </c>
      <c r="DF3736" s="5" t="s">
        <v>450</v>
      </c>
      <c r="DG3736" s="7">
        <f>0</f>
        <v>0</v>
      </c>
      <c r="DI3736" s="5" t="s">
        <v>240</v>
      </c>
      <c r="DJ3736" s="5" t="s">
        <v>240</v>
      </c>
      <c r="DK3736" s="5" t="s">
        <v>240</v>
      </c>
      <c r="DL3736" s="5" t="s">
        <v>240</v>
      </c>
      <c r="DP3736" s="5" t="s">
        <v>240</v>
      </c>
      <c r="DQ3736" s="5" t="s">
        <v>240</v>
      </c>
      <c r="DR3736" s="5" t="s">
        <v>240</v>
      </c>
      <c r="DS3736" s="5" t="s">
        <v>240</v>
      </c>
      <c r="DV3736" s="5" t="s">
        <v>310</v>
      </c>
      <c r="DW3736" s="5" t="s">
        <v>2442</v>
      </c>
      <c r="HO3736" s="5" t="s">
        <v>312</v>
      </c>
    </row>
    <row r="3737" spans="1:240" x14ac:dyDescent="0.4">
      <c r="A3737" s="5">
        <v>9279</v>
      </c>
      <c r="B3737" s="5">
        <v>1</v>
      </c>
      <c r="C3737" s="5">
        <v>1</v>
      </c>
      <c r="D3737" s="5" t="s">
        <v>723</v>
      </c>
      <c r="E3737" s="5" t="s">
        <v>725</v>
      </c>
      <c r="F3737" s="5" t="s">
        <v>254</v>
      </c>
      <c r="G3737" s="5" t="s">
        <v>726</v>
      </c>
      <c r="H3737" s="6" t="s">
        <v>5505</v>
      </c>
      <c r="I3737" s="5" t="s">
        <v>5504</v>
      </c>
      <c r="J3737" s="7">
        <f>1</f>
        <v>1</v>
      </c>
      <c r="K3737" s="5" t="s">
        <v>3682</v>
      </c>
      <c r="L3737" s="7">
        <f>1</f>
        <v>1</v>
      </c>
      <c r="M3737" s="7">
        <f>1</f>
        <v>1</v>
      </c>
      <c r="N3737" s="5" t="s">
        <v>242</v>
      </c>
      <c r="O3737" s="5">
        <v>1</v>
      </c>
      <c r="P3737" s="5" t="s">
        <v>294</v>
      </c>
      <c r="Q3737" s="5" t="s">
        <v>266</v>
      </c>
      <c r="R3737" s="5" t="s">
        <v>240</v>
      </c>
      <c r="S3737" s="5" t="s">
        <v>240</v>
      </c>
      <c r="T3737" s="5" t="s">
        <v>243</v>
      </c>
      <c r="U3737" s="5" t="s">
        <v>240</v>
      </c>
      <c r="V3737" s="5" t="s">
        <v>240</v>
      </c>
      <c r="Y3737" s="5" t="s">
        <v>240</v>
      </c>
      <c r="Z3737" s="6" t="s">
        <v>747</v>
      </c>
      <c r="AB3737" s="6" t="s">
        <v>240</v>
      </c>
      <c r="AE3737" s="6" t="s">
        <v>747</v>
      </c>
      <c r="AF3737" s="5" t="s">
        <v>248</v>
      </c>
      <c r="AG3737" s="5" t="s">
        <v>249</v>
      </c>
      <c r="AW3737" s="5" t="s">
        <v>251</v>
      </c>
      <c r="AX3737" s="5" t="s">
        <v>240</v>
      </c>
      <c r="AY3737" s="5" t="s">
        <v>253</v>
      </c>
      <c r="AZ3737" s="5" t="s">
        <v>240</v>
      </c>
      <c r="BA3737" s="5" t="s">
        <v>255</v>
      </c>
      <c r="BB3737" s="5" t="s">
        <v>240</v>
      </c>
      <c r="BD3737" s="5" t="s">
        <v>240</v>
      </c>
      <c r="BF3737" s="5" t="s">
        <v>687</v>
      </c>
      <c r="BG3737" s="6" t="s">
        <v>747</v>
      </c>
      <c r="BH3737" s="5" t="s">
        <v>302</v>
      </c>
      <c r="BI3737" s="5" t="s">
        <v>6608</v>
      </c>
      <c r="BJ3737" s="5" t="s">
        <v>240</v>
      </c>
      <c r="BK3737" s="8">
        <f>0</f>
        <v>0</v>
      </c>
      <c r="BL3737" s="7">
        <f>0</f>
        <v>0</v>
      </c>
      <c r="BM3737" s="5" t="s">
        <v>258</v>
      </c>
      <c r="BN3737" s="5" t="s">
        <v>259</v>
      </c>
      <c r="CB3737" s="5" t="s">
        <v>240</v>
      </c>
      <c r="CC3737" s="5" t="s">
        <v>240</v>
      </c>
      <c r="CG3737" s="5" t="s">
        <v>617</v>
      </c>
      <c r="CH3737" s="5" t="s">
        <v>305</v>
      </c>
      <c r="CI3737" s="5" t="s">
        <v>240</v>
      </c>
      <c r="CL3737" s="6" t="s">
        <v>261</v>
      </c>
      <c r="CM3737" s="5" t="s">
        <v>240</v>
      </c>
      <c r="CN3737" s="5" t="s">
        <v>263</v>
      </c>
      <c r="CO3737" s="5" t="s">
        <v>240</v>
      </c>
      <c r="CP3737" s="5" t="s">
        <v>240</v>
      </c>
      <c r="CQ3737" s="5">
        <v>0</v>
      </c>
      <c r="CR3737" s="5" t="s">
        <v>306</v>
      </c>
      <c r="CS3737" s="5" t="s">
        <v>307</v>
      </c>
      <c r="CT3737" s="5" t="s">
        <v>307</v>
      </c>
      <c r="CU3737" s="5" t="s">
        <v>260</v>
      </c>
      <c r="CX3737" s="7">
        <f>1165424</f>
        <v>1165424</v>
      </c>
      <c r="CY3737" s="7">
        <f>0</f>
        <v>0</v>
      </c>
      <c r="DA3737" s="7">
        <f>0</f>
        <v>0</v>
      </c>
      <c r="DC3737" s="5" t="s">
        <v>450</v>
      </c>
      <c r="DD3737" s="5" t="s">
        <v>240</v>
      </c>
      <c r="DF3737" s="5" t="s">
        <v>450</v>
      </c>
      <c r="DG3737" s="7">
        <f>0</f>
        <v>0</v>
      </c>
      <c r="DI3737" s="5" t="s">
        <v>240</v>
      </c>
      <c r="DJ3737" s="5" t="s">
        <v>240</v>
      </c>
      <c r="DK3737" s="5" t="s">
        <v>240</v>
      </c>
      <c r="DL3737" s="5" t="s">
        <v>240</v>
      </c>
      <c r="DP3737" s="5" t="s">
        <v>240</v>
      </c>
      <c r="DQ3737" s="5" t="s">
        <v>240</v>
      </c>
      <c r="DR3737" s="5" t="s">
        <v>240</v>
      </c>
      <c r="DS3737" s="5" t="s">
        <v>240</v>
      </c>
      <c r="DV3737" s="5" t="s">
        <v>310</v>
      </c>
      <c r="DW3737" s="5" t="s">
        <v>2440</v>
      </c>
      <c r="HO3737" s="5" t="s">
        <v>312</v>
      </c>
    </row>
    <row r="3738" spans="1:240" x14ac:dyDescent="0.4">
      <c r="A3738" s="5">
        <v>9280</v>
      </c>
      <c r="B3738" s="5">
        <v>1</v>
      </c>
      <c r="C3738" s="5">
        <v>1</v>
      </c>
      <c r="D3738" s="5" t="s">
        <v>723</v>
      </c>
      <c r="E3738" s="5" t="s">
        <v>725</v>
      </c>
      <c r="F3738" s="5" t="s">
        <v>254</v>
      </c>
      <c r="G3738" s="5" t="s">
        <v>726</v>
      </c>
      <c r="H3738" s="6" t="s">
        <v>5503</v>
      </c>
      <c r="I3738" s="5" t="s">
        <v>5502</v>
      </c>
      <c r="J3738" s="7">
        <f>1</f>
        <v>1</v>
      </c>
      <c r="K3738" s="5" t="s">
        <v>3682</v>
      </c>
      <c r="L3738" s="7">
        <f>1</f>
        <v>1</v>
      </c>
      <c r="M3738" s="7">
        <f>1</f>
        <v>1</v>
      </c>
      <c r="N3738" s="5" t="s">
        <v>242</v>
      </c>
      <c r="O3738" s="5">
        <v>1</v>
      </c>
      <c r="P3738" s="5" t="s">
        <v>294</v>
      </c>
      <c r="Q3738" s="5" t="s">
        <v>613</v>
      </c>
      <c r="R3738" s="5" t="s">
        <v>240</v>
      </c>
      <c r="S3738" s="5" t="s">
        <v>240</v>
      </c>
      <c r="T3738" s="5" t="s">
        <v>243</v>
      </c>
      <c r="U3738" s="5" t="s">
        <v>724</v>
      </c>
      <c r="V3738" s="5" t="s">
        <v>240</v>
      </c>
      <c r="W3738" s="5" t="s">
        <v>240</v>
      </c>
      <c r="X3738" s="5" t="s">
        <v>240</v>
      </c>
      <c r="Y3738" s="5" t="s">
        <v>240</v>
      </c>
      <c r="Z3738" s="6" t="s">
        <v>298</v>
      </c>
      <c r="AA3738" s="6" t="s">
        <v>240</v>
      </c>
      <c r="AB3738" s="6" t="s">
        <v>240</v>
      </c>
      <c r="AC3738" s="5" t="s">
        <v>240</v>
      </c>
      <c r="AD3738" s="6" t="s">
        <v>240</v>
      </c>
      <c r="AE3738" s="6" t="s">
        <v>299</v>
      </c>
      <c r="AF3738" s="5" t="s">
        <v>727</v>
      </c>
      <c r="AG3738" s="5" t="s">
        <v>260</v>
      </c>
      <c r="AH3738" s="5" t="s">
        <v>240</v>
      </c>
      <c r="AI3738" s="5" t="s">
        <v>240</v>
      </c>
      <c r="AJ3738" s="5" t="s">
        <v>240</v>
      </c>
      <c r="AK3738" s="5" t="s">
        <v>240</v>
      </c>
      <c r="AL3738" s="5" t="s">
        <v>240</v>
      </c>
      <c r="AM3738" s="5" t="s">
        <v>240</v>
      </c>
      <c r="AN3738" s="5" t="s">
        <v>240</v>
      </c>
      <c r="AO3738" s="5" t="s">
        <v>240</v>
      </c>
      <c r="AP3738" s="6" t="s">
        <v>240</v>
      </c>
      <c r="AQ3738" s="6" t="s">
        <v>240</v>
      </c>
      <c r="AR3738" s="6" t="s">
        <v>240</v>
      </c>
      <c r="AS3738" s="6" t="s">
        <v>240</v>
      </c>
      <c r="AT3738" s="5" t="s">
        <v>240</v>
      </c>
      <c r="AU3738" s="5" t="s">
        <v>729</v>
      </c>
      <c r="AV3738" s="5" t="s">
        <v>729</v>
      </c>
      <c r="AW3738" s="5" t="s">
        <v>251</v>
      </c>
      <c r="AX3738" s="5" t="s">
        <v>252</v>
      </c>
      <c r="AY3738" s="5" t="s">
        <v>253</v>
      </c>
      <c r="AZ3738" s="5" t="s">
        <v>240</v>
      </c>
      <c r="BA3738" s="5" t="s">
        <v>255</v>
      </c>
      <c r="BB3738" s="5" t="s">
        <v>731</v>
      </c>
      <c r="BD3738" s="5" t="s">
        <v>240</v>
      </c>
      <c r="BF3738" s="5" t="s">
        <v>732</v>
      </c>
      <c r="BG3738" s="6" t="s">
        <v>733</v>
      </c>
      <c r="BH3738" s="5" t="s">
        <v>734</v>
      </c>
      <c r="BI3738" s="5" t="s">
        <v>734</v>
      </c>
      <c r="BJ3738" s="5" t="s">
        <v>240</v>
      </c>
      <c r="BK3738" s="8">
        <f>1122</f>
        <v>1122</v>
      </c>
      <c r="BL3738" s="7">
        <f>0</f>
        <v>0</v>
      </c>
      <c r="BM3738" s="5" t="s">
        <v>258</v>
      </c>
      <c r="BN3738" s="5" t="s">
        <v>259</v>
      </c>
      <c r="BO3738" s="5" t="s">
        <v>240</v>
      </c>
      <c r="BP3738" s="5" t="s">
        <v>240</v>
      </c>
      <c r="BQ3738" s="5" t="s">
        <v>240</v>
      </c>
      <c r="BR3738" s="5" t="s">
        <v>240</v>
      </c>
      <c r="BS3738" s="5" t="s">
        <v>240</v>
      </c>
      <c r="BT3738" s="5" t="s">
        <v>240</v>
      </c>
      <c r="BU3738" s="5" t="s">
        <v>240</v>
      </c>
      <c r="BV3738" s="5" t="s">
        <v>240</v>
      </c>
      <c r="BW3738" s="6" t="s">
        <v>240</v>
      </c>
      <c r="BX3738" s="5" t="s">
        <v>240</v>
      </c>
      <c r="BY3738" s="5" t="s">
        <v>240</v>
      </c>
      <c r="BZ3738" s="5" t="s">
        <v>240</v>
      </c>
      <c r="CA3738" s="5" t="s">
        <v>259</v>
      </c>
      <c r="CB3738" s="5" t="s">
        <v>240</v>
      </c>
      <c r="CC3738" s="5" t="s">
        <v>240</v>
      </c>
      <c r="CD3738" s="5" t="s">
        <v>240</v>
      </c>
      <c r="CE3738" s="5" t="s">
        <v>240</v>
      </c>
      <c r="CF3738" s="5" t="s">
        <v>240</v>
      </c>
      <c r="CG3738" s="5" t="s">
        <v>617</v>
      </c>
      <c r="CH3738" s="5" t="s">
        <v>305</v>
      </c>
      <c r="CI3738" s="5" t="s">
        <v>240</v>
      </c>
      <c r="CL3738" s="6" t="s">
        <v>261</v>
      </c>
      <c r="CM3738" s="5" t="s">
        <v>262</v>
      </c>
      <c r="CN3738" s="5" t="s">
        <v>263</v>
      </c>
      <c r="CO3738" s="5" t="s">
        <v>264</v>
      </c>
      <c r="CP3738" s="5" t="s">
        <v>240</v>
      </c>
      <c r="CQ3738" s="5">
        <v>0</v>
      </c>
      <c r="CR3738" s="5" t="s">
        <v>735</v>
      </c>
      <c r="CS3738" s="5" t="s">
        <v>307</v>
      </c>
      <c r="CT3738" s="5" t="s">
        <v>307</v>
      </c>
      <c r="CU3738" s="5" t="s">
        <v>260</v>
      </c>
      <c r="CV3738" s="5" t="s">
        <v>240</v>
      </c>
      <c r="CW3738" s="8">
        <f>0</f>
        <v>0</v>
      </c>
      <c r="CX3738" s="7">
        <f>0</f>
        <v>0</v>
      </c>
      <c r="CY3738" s="7">
        <f>0</f>
        <v>0</v>
      </c>
      <c r="DA3738" s="7">
        <f>12342</f>
        <v>12342</v>
      </c>
      <c r="DB3738" s="7" t="s">
        <v>240</v>
      </c>
      <c r="DC3738" s="5" t="s">
        <v>240</v>
      </c>
      <c r="DD3738" s="5" t="s">
        <v>240</v>
      </c>
      <c r="DE3738" s="5" t="s">
        <v>240</v>
      </c>
      <c r="DF3738" s="5" t="s">
        <v>450</v>
      </c>
      <c r="DG3738" s="7">
        <f>0</f>
        <v>0</v>
      </c>
      <c r="DI3738" s="5" t="s">
        <v>737</v>
      </c>
      <c r="DJ3738" s="5" t="s">
        <v>240</v>
      </c>
      <c r="DK3738" s="5" t="s">
        <v>240</v>
      </c>
      <c r="DL3738" s="5" t="s">
        <v>240</v>
      </c>
      <c r="DM3738" s="5" t="s">
        <v>240</v>
      </c>
      <c r="DN3738" s="5" t="s">
        <v>240</v>
      </c>
      <c r="DO3738" s="7" t="s">
        <v>240</v>
      </c>
      <c r="DP3738" s="5" t="s">
        <v>240</v>
      </c>
      <c r="DQ3738" s="5" t="s">
        <v>240</v>
      </c>
      <c r="DR3738" s="5" t="s">
        <v>731</v>
      </c>
      <c r="DS3738" s="5" t="s">
        <v>731</v>
      </c>
      <c r="DT3738" s="5" t="s">
        <v>240</v>
      </c>
      <c r="DU3738" s="5" t="s">
        <v>240</v>
      </c>
      <c r="DV3738" s="5" t="s">
        <v>738</v>
      </c>
      <c r="DW3738" s="5" t="s">
        <v>816</v>
      </c>
      <c r="DX3738" s="5" t="s">
        <v>240</v>
      </c>
      <c r="DY3738" s="5" t="s">
        <v>240</v>
      </c>
      <c r="DZ3738" s="5" t="s">
        <v>240</v>
      </c>
      <c r="EA3738" s="5" t="s">
        <v>240</v>
      </c>
      <c r="EB3738" s="5" t="s">
        <v>240</v>
      </c>
      <c r="EC3738" s="5" t="s">
        <v>240</v>
      </c>
      <c r="ED3738" s="5" t="s">
        <v>240</v>
      </c>
      <c r="EE3738" s="5" t="s">
        <v>240</v>
      </c>
      <c r="EF3738" s="5" t="s">
        <v>240</v>
      </c>
      <c r="EG3738" s="5" t="s">
        <v>240</v>
      </c>
      <c r="EH3738" s="5" t="s">
        <v>240</v>
      </c>
      <c r="EI3738" s="5" t="s">
        <v>240</v>
      </c>
      <c r="EJ3738" s="5" t="s">
        <v>240</v>
      </c>
      <c r="EK3738" s="5" t="s">
        <v>240</v>
      </c>
      <c r="EL3738" s="5" t="s">
        <v>240</v>
      </c>
      <c r="EM3738" s="5" t="s">
        <v>240</v>
      </c>
      <c r="EN3738" s="5" t="s">
        <v>240</v>
      </c>
      <c r="EO3738" s="5" t="s">
        <v>240</v>
      </c>
      <c r="EP3738" s="5" t="s">
        <v>240</v>
      </c>
      <c r="EQ3738" s="5" t="s">
        <v>240</v>
      </c>
      <c r="ER3738" s="5" t="s">
        <v>240</v>
      </c>
      <c r="ES3738" s="5" t="s">
        <v>240</v>
      </c>
      <c r="ET3738" s="5" t="s">
        <v>240</v>
      </c>
      <c r="EU3738" s="5" t="s">
        <v>240</v>
      </c>
      <c r="EV3738" s="5" t="s">
        <v>240</v>
      </c>
      <c r="EW3738" s="5" t="s">
        <v>240</v>
      </c>
      <c r="EX3738" s="5" t="s">
        <v>240</v>
      </c>
      <c r="EY3738" s="5" t="s">
        <v>240</v>
      </c>
      <c r="EZ3738" s="5" t="s">
        <v>240</v>
      </c>
      <c r="FA3738" s="5" t="s">
        <v>240</v>
      </c>
      <c r="FB3738" s="5" t="s">
        <v>240</v>
      </c>
      <c r="FC3738" s="5" t="s">
        <v>240</v>
      </c>
      <c r="FD3738" s="5" t="s">
        <v>240</v>
      </c>
      <c r="FE3738" s="5" t="s">
        <v>240</v>
      </c>
      <c r="FF3738" s="5" t="s">
        <v>240</v>
      </c>
      <c r="FG3738" s="5" t="s">
        <v>240</v>
      </c>
      <c r="FH3738" s="5" t="s">
        <v>240</v>
      </c>
      <c r="FI3738" s="5" t="s">
        <v>240</v>
      </c>
      <c r="FJ3738" s="5" t="s">
        <v>240</v>
      </c>
      <c r="FK3738" s="5" t="s">
        <v>240</v>
      </c>
      <c r="FL3738" s="5" t="s">
        <v>240</v>
      </c>
      <c r="FM3738" s="5" t="s">
        <v>240</v>
      </c>
      <c r="FN3738" s="5" t="s">
        <v>240</v>
      </c>
      <c r="FO3738" s="5" t="s">
        <v>240</v>
      </c>
      <c r="FP3738" s="5" t="s">
        <v>240</v>
      </c>
      <c r="FQ3738" s="5" t="s">
        <v>240</v>
      </c>
      <c r="FR3738" s="5" t="s">
        <v>240</v>
      </c>
      <c r="FS3738" s="5" t="s">
        <v>240</v>
      </c>
      <c r="FT3738" s="5" t="s">
        <v>240</v>
      </c>
      <c r="FU3738" s="5" t="s">
        <v>240</v>
      </c>
      <c r="FV3738" s="5" t="s">
        <v>240</v>
      </c>
      <c r="FW3738" s="5" t="s">
        <v>240</v>
      </c>
      <c r="FX3738" s="5" t="s">
        <v>240</v>
      </c>
      <c r="FY3738" s="5" t="s">
        <v>240</v>
      </c>
      <c r="FZ3738" s="5" t="s">
        <v>240</v>
      </c>
      <c r="GA3738" s="5" t="s">
        <v>240</v>
      </c>
      <c r="GB3738" s="5" t="s">
        <v>240</v>
      </c>
      <c r="GC3738" s="5" t="s">
        <v>240</v>
      </c>
      <c r="GD3738" s="5" t="s">
        <v>240</v>
      </c>
      <c r="GE3738" s="5" t="s">
        <v>240</v>
      </c>
      <c r="GF3738" s="5" t="s">
        <v>240</v>
      </c>
      <c r="GG3738" s="5" t="s">
        <v>240</v>
      </c>
      <c r="GH3738" s="5" t="s">
        <v>240</v>
      </c>
      <c r="GI3738" s="5" t="s">
        <v>240</v>
      </c>
      <c r="GJ3738" s="5" t="s">
        <v>240</v>
      </c>
      <c r="GK3738" s="5" t="s">
        <v>240</v>
      </c>
      <c r="GL3738" s="5" t="s">
        <v>240</v>
      </c>
      <c r="GM3738" s="5" t="s">
        <v>240</v>
      </c>
      <c r="GN3738" s="5" t="s">
        <v>240</v>
      </c>
      <c r="GO3738" s="5" t="s">
        <v>240</v>
      </c>
      <c r="GP3738" s="5" t="s">
        <v>240</v>
      </c>
      <c r="GQ3738" s="5" t="s">
        <v>240</v>
      </c>
      <c r="GR3738" s="5" t="s">
        <v>240</v>
      </c>
      <c r="GS3738" s="5" t="s">
        <v>240</v>
      </c>
      <c r="GT3738" s="5" t="s">
        <v>240</v>
      </c>
      <c r="GU3738" s="5" t="s">
        <v>240</v>
      </c>
      <c r="GV3738" s="5" t="s">
        <v>240</v>
      </c>
      <c r="GW3738" s="5" t="s">
        <v>240</v>
      </c>
      <c r="GX3738" s="5" t="s">
        <v>240</v>
      </c>
      <c r="GY3738" s="5" t="s">
        <v>240</v>
      </c>
      <c r="GZ3738" s="5" t="s">
        <v>240</v>
      </c>
      <c r="HA3738" s="5" t="s">
        <v>240</v>
      </c>
      <c r="HB3738" s="5" t="s">
        <v>240</v>
      </c>
      <c r="HC3738" s="5" t="s">
        <v>240</v>
      </c>
      <c r="HD3738" s="5" t="s">
        <v>240</v>
      </c>
      <c r="HE3738" s="5" t="s">
        <v>240</v>
      </c>
      <c r="HF3738" s="5" t="s">
        <v>240</v>
      </c>
      <c r="HG3738" s="5" t="s">
        <v>240</v>
      </c>
      <c r="HH3738" s="5" t="s">
        <v>240</v>
      </c>
      <c r="HI3738" s="5" t="s">
        <v>240</v>
      </c>
      <c r="HJ3738" s="5" t="s">
        <v>240</v>
      </c>
      <c r="HK3738" s="5" t="s">
        <v>240</v>
      </c>
      <c r="HL3738" s="5" t="s">
        <v>240</v>
      </c>
      <c r="HM3738" s="5" t="s">
        <v>240</v>
      </c>
      <c r="HN3738" s="5" t="s">
        <v>240</v>
      </c>
      <c r="HO3738" s="5" t="s">
        <v>312</v>
      </c>
      <c r="HP3738" s="5" t="s">
        <v>240</v>
      </c>
      <c r="HQ3738" s="5" t="s">
        <v>240</v>
      </c>
      <c r="HR3738" s="5" t="s">
        <v>240</v>
      </c>
      <c r="HS3738" s="5" t="s">
        <v>240</v>
      </c>
      <c r="HT3738" s="5" t="s">
        <v>240</v>
      </c>
      <c r="HU3738" s="5" t="s">
        <v>240</v>
      </c>
      <c r="HV3738" s="5" t="s">
        <v>240</v>
      </c>
      <c r="HW3738" s="5" t="s">
        <v>240</v>
      </c>
      <c r="HX3738" s="5" t="s">
        <v>240</v>
      </c>
      <c r="HY3738" s="5" t="s">
        <v>240</v>
      </c>
      <c r="HZ3738" s="5" t="s">
        <v>240</v>
      </c>
      <c r="IA3738" s="5" t="s">
        <v>240</v>
      </c>
      <c r="IB3738" s="5" t="s">
        <v>240</v>
      </c>
      <c r="IC3738" s="5" t="s">
        <v>240</v>
      </c>
      <c r="ID3738" s="5" t="s">
        <v>240</v>
      </c>
      <c r="IE3738" s="5" t="s">
        <v>240</v>
      </c>
      <c r="IF3738" s="5" t="s">
        <v>240</v>
      </c>
    </row>
    <row r="3739" spans="1:240" x14ac:dyDescent="0.4">
      <c r="A3739" s="5">
        <v>9281</v>
      </c>
      <c r="B3739" s="5">
        <v>1</v>
      </c>
      <c r="C3739" s="5">
        <v>1</v>
      </c>
      <c r="D3739" s="5" t="s">
        <v>723</v>
      </c>
      <c r="E3739" s="5" t="s">
        <v>725</v>
      </c>
      <c r="F3739" s="5" t="s">
        <v>254</v>
      </c>
      <c r="G3739" s="5" t="s">
        <v>726</v>
      </c>
      <c r="H3739" s="6" t="s">
        <v>5501</v>
      </c>
      <c r="I3739" s="5" t="s">
        <v>5500</v>
      </c>
      <c r="J3739" s="7">
        <f>1</f>
        <v>1</v>
      </c>
      <c r="K3739" s="5" t="s">
        <v>3682</v>
      </c>
      <c r="L3739" s="7">
        <f>1</f>
        <v>1</v>
      </c>
      <c r="M3739" s="7">
        <f>1</f>
        <v>1</v>
      </c>
      <c r="N3739" s="5" t="s">
        <v>242</v>
      </c>
      <c r="O3739" s="5">
        <v>1</v>
      </c>
      <c r="P3739" s="5" t="s">
        <v>294</v>
      </c>
      <c r="Q3739" s="5" t="s">
        <v>266</v>
      </c>
      <c r="R3739" s="5" t="s">
        <v>240</v>
      </c>
      <c r="S3739" s="5" t="s">
        <v>240</v>
      </c>
      <c r="T3739" s="5" t="s">
        <v>243</v>
      </c>
      <c r="U3739" s="5" t="s">
        <v>240</v>
      </c>
      <c r="V3739" s="5" t="s">
        <v>240</v>
      </c>
      <c r="Y3739" s="5" t="s">
        <v>240</v>
      </c>
      <c r="Z3739" s="6" t="s">
        <v>6467</v>
      </c>
      <c r="AB3739" s="6" t="s">
        <v>240</v>
      </c>
      <c r="AE3739" s="6" t="s">
        <v>3455</v>
      </c>
      <c r="AF3739" s="5" t="s">
        <v>248</v>
      </c>
      <c r="AG3739" s="5" t="s">
        <v>249</v>
      </c>
      <c r="AW3739" s="5" t="s">
        <v>251</v>
      </c>
      <c r="AX3739" s="5" t="s">
        <v>240</v>
      </c>
      <c r="AY3739" s="5" t="s">
        <v>253</v>
      </c>
      <c r="AZ3739" s="5" t="s">
        <v>240</v>
      </c>
      <c r="BA3739" s="5" t="s">
        <v>255</v>
      </c>
      <c r="BB3739" s="5" t="s">
        <v>240</v>
      </c>
      <c r="BD3739" s="5" t="s">
        <v>240</v>
      </c>
      <c r="BF3739" s="5" t="s">
        <v>687</v>
      </c>
      <c r="BG3739" s="6" t="s">
        <v>3455</v>
      </c>
      <c r="BH3739" s="5" t="s">
        <v>302</v>
      </c>
      <c r="BI3739" s="5" t="s">
        <v>6608</v>
      </c>
      <c r="BJ3739" s="5" t="s">
        <v>240</v>
      </c>
      <c r="BK3739" s="8">
        <f>0</f>
        <v>0</v>
      </c>
      <c r="BL3739" s="7">
        <f>0</f>
        <v>0</v>
      </c>
      <c r="BM3739" s="5" t="s">
        <v>258</v>
      </c>
      <c r="BN3739" s="5" t="s">
        <v>259</v>
      </c>
      <c r="CB3739" s="5" t="s">
        <v>240</v>
      </c>
      <c r="CC3739" s="5" t="s">
        <v>240</v>
      </c>
      <c r="CG3739" s="5" t="s">
        <v>449</v>
      </c>
      <c r="CH3739" s="5" t="s">
        <v>305</v>
      </c>
      <c r="CI3739" s="5" t="s">
        <v>240</v>
      </c>
      <c r="CL3739" s="6" t="s">
        <v>261</v>
      </c>
      <c r="CM3739" s="5" t="s">
        <v>240</v>
      </c>
      <c r="CN3739" s="5" t="s">
        <v>263</v>
      </c>
      <c r="CO3739" s="5" t="s">
        <v>240</v>
      </c>
      <c r="CP3739" s="5" t="s">
        <v>240</v>
      </c>
      <c r="CQ3739" s="5">
        <v>0</v>
      </c>
      <c r="CR3739" s="5" t="s">
        <v>306</v>
      </c>
      <c r="CS3739" s="5" t="s">
        <v>307</v>
      </c>
      <c r="CT3739" s="5" t="s">
        <v>307</v>
      </c>
      <c r="CU3739" s="5" t="s">
        <v>260</v>
      </c>
      <c r="CX3739" s="7">
        <f>5923800</f>
        <v>5923800</v>
      </c>
      <c r="CY3739" s="7">
        <f>0</f>
        <v>0</v>
      </c>
      <c r="DA3739" s="7">
        <f>0</f>
        <v>0</v>
      </c>
      <c r="DC3739" s="5" t="s">
        <v>450</v>
      </c>
      <c r="DD3739" s="5" t="s">
        <v>240</v>
      </c>
      <c r="DF3739" s="5" t="s">
        <v>450</v>
      </c>
      <c r="DG3739" s="7">
        <f>0</f>
        <v>0</v>
      </c>
      <c r="DI3739" s="5" t="s">
        <v>240</v>
      </c>
      <c r="DJ3739" s="5" t="s">
        <v>240</v>
      </c>
      <c r="DK3739" s="5" t="s">
        <v>240</v>
      </c>
      <c r="DL3739" s="5" t="s">
        <v>240</v>
      </c>
      <c r="DP3739" s="5" t="s">
        <v>240</v>
      </c>
      <c r="DQ3739" s="5" t="s">
        <v>240</v>
      </c>
      <c r="DR3739" s="5" t="s">
        <v>240</v>
      </c>
      <c r="DS3739" s="5" t="s">
        <v>240</v>
      </c>
      <c r="DV3739" s="5" t="s">
        <v>310</v>
      </c>
      <c r="DW3739" s="5" t="s">
        <v>2436</v>
      </c>
      <c r="HO3739" s="5" t="s">
        <v>312</v>
      </c>
    </row>
    <row r="3740" spans="1:240" x14ac:dyDescent="0.4">
      <c r="A3740" s="5">
        <v>9282</v>
      </c>
      <c r="B3740" s="5">
        <v>1</v>
      </c>
      <c r="C3740" s="5">
        <v>1</v>
      </c>
      <c r="D3740" s="5" t="s">
        <v>723</v>
      </c>
      <c r="E3740" s="5" t="s">
        <v>725</v>
      </c>
      <c r="F3740" s="5" t="s">
        <v>254</v>
      </c>
      <c r="G3740" s="5" t="s">
        <v>726</v>
      </c>
      <c r="H3740" s="6" t="s">
        <v>5499</v>
      </c>
      <c r="I3740" s="5" t="s">
        <v>5498</v>
      </c>
      <c r="J3740" s="7">
        <f>1</f>
        <v>1</v>
      </c>
      <c r="K3740" s="5" t="s">
        <v>3682</v>
      </c>
      <c r="L3740" s="7">
        <f>1</f>
        <v>1</v>
      </c>
      <c r="M3740" s="7">
        <f>1</f>
        <v>1</v>
      </c>
      <c r="N3740" s="5" t="s">
        <v>242</v>
      </c>
      <c r="O3740" s="5">
        <v>1</v>
      </c>
      <c r="P3740" s="5" t="s">
        <v>294</v>
      </c>
      <c r="Q3740" s="5" t="s">
        <v>613</v>
      </c>
      <c r="R3740" s="5" t="s">
        <v>240</v>
      </c>
      <c r="S3740" s="5" t="s">
        <v>240</v>
      </c>
      <c r="T3740" s="5" t="s">
        <v>243</v>
      </c>
      <c r="U3740" s="5" t="s">
        <v>724</v>
      </c>
      <c r="V3740" s="5" t="s">
        <v>240</v>
      </c>
      <c r="W3740" s="5" t="s">
        <v>240</v>
      </c>
      <c r="X3740" s="5" t="s">
        <v>240</v>
      </c>
      <c r="Y3740" s="5" t="s">
        <v>240</v>
      </c>
      <c r="Z3740" s="6" t="s">
        <v>298</v>
      </c>
      <c r="AA3740" s="6" t="s">
        <v>240</v>
      </c>
      <c r="AB3740" s="6" t="s">
        <v>240</v>
      </c>
      <c r="AC3740" s="5" t="s">
        <v>240</v>
      </c>
      <c r="AD3740" s="6" t="s">
        <v>240</v>
      </c>
      <c r="AE3740" s="6" t="s">
        <v>299</v>
      </c>
      <c r="AF3740" s="5" t="s">
        <v>727</v>
      </c>
      <c r="AG3740" s="5" t="s">
        <v>260</v>
      </c>
      <c r="AH3740" s="5" t="s">
        <v>240</v>
      </c>
      <c r="AI3740" s="5" t="s">
        <v>240</v>
      </c>
      <c r="AJ3740" s="5" t="s">
        <v>240</v>
      </c>
      <c r="AK3740" s="5" t="s">
        <v>240</v>
      </c>
      <c r="AL3740" s="5" t="s">
        <v>240</v>
      </c>
      <c r="AM3740" s="5" t="s">
        <v>240</v>
      </c>
      <c r="AN3740" s="5" t="s">
        <v>240</v>
      </c>
      <c r="AO3740" s="5" t="s">
        <v>240</v>
      </c>
      <c r="AP3740" s="6" t="s">
        <v>240</v>
      </c>
      <c r="AQ3740" s="6" t="s">
        <v>240</v>
      </c>
      <c r="AR3740" s="6" t="s">
        <v>240</v>
      </c>
      <c r="AS3740" s="6" t="s">
        <v>240</v>
      </c>
      <c r="AT3740" s="5" t="s">
        <v>240</v>
      </c>
      <c r="AU3740" s="5" t="s">
        <v>729</v>
      </c>
      <c r="AV3740" s="5" t="s">
        <v>729</v>
      </c>
      <c r="AW3740" s="5" t="s">
        <v>251</v>
      </c>
      <c r="AX3740" s="5" t="s">
        <v>252</v>
      </c>
      <c r="AY3740" s="5" t="s">
        <v>253</v>
      </c>
      <c r="AZ3740" s="5" t="s">
        <v>240</v>
      </c>
      <c r="BA3740" s="5" t="s">
        <v>255</v>
      </c>
      <c r="BB3740" s="5" t="s">
        <v>731</v>
      </c>
      <c r="BD3740" s="5" t="s">
        <v>240</v>
      </c>
      <c r="BF3740" s="5" t="s">
        <v>732</v>
      </c>
      <c r="BG3740" s="6" t="s">
        <v>733</v>
      </c>
      <c r="BH3740" s="5" t="s">
        <v>734</v>
      </c>
      <c r="BI3740" s="5" t="s">
        <v>734</v>
      </c>
      <c r="BJ3740" s="5" t="s">
        <v>240</v>
      </c>
      <c r="BK3740" s="8">
        <f>328.8</f>
        <v>328.8</v>
      </c>
      <c r="BL3740" s="7">
        <f>0</f>
        <v>0</v>
      </c>
      <c r="BM3740" s="5" t="s">
        <v>258</v>
      </c>
      <c r="BN3740" s="5" t="s">
        <v>259</v>
      </c>
      <c r="BO3740" s="5" t="s">
        <v>240</v>
      </c>
      <c r="BP3740" s="5" t="s">
        <v>240</v>
      </c>
      <c r="BQ3740" s="5" t="s">
        <v>240</v>
      </c>
      <c r="BR3740" s="5" t="s">
        <v>240</v>
      </c>
      <c r="BS3740" s="5" t="s">
        <v>240</v>
      </c>
      <c r="BT3740" s="5" t="s">
        <v>240</v>
      </c>
      <c r="BU3740" s="5" t="s">
        <v>240</v>
      </c>
      <c r="BV3740" s="5" t="s">
        <v>240</v>
      </c>
      <c r="BW3740" s="6" t="s">
        <v>240</v>
      </c>
      <c r="BX3740" s="5" t="s">
        <v>240</v>
      </c>
      <c r="BY3740" s="5" t="s">
        <v>240</v>
      </c>
      <c r="BZ3740" s="5" t="s">
        <v>240</v>
      </c>
      <c r="CA3740" s="5" t="s">
        <v>259</v>
      </c>
      <c r="CB3740" s="5" t="s">
        <v>240</v>
      </c>
      <c r="CC3740" s="5" t="s">
        <v>240</v>
      </c>
      <c r="CD3740" s="5" t="s">
        <v>240</v>
      </c>
      <c r="CE3740" s="5" t="s">
        <v>240</v>
      </c>
      <c r="CF3740" s="5" t="s">
        <v>240</v>
      </c>
      <c r="CG3740" s="5" t="s">
        <v>617</v>
      </c>
      <c r="CH3740" s="5" t="s">
        <v>305</v>
      </c>
      <c r="CI3740" s="5" t="s">
        <v>240</v>
      </c>
      <c r="CL3740" s="6" t="s">
        <v>261</v>
      </c>
      <c r="CM3740" s="5" t="s">
        <v>262</v>
      </c>
      <c r="CN3740" s="5" t="s">
        <v>263</v>
      </c>
      <c r="CO3740" s="5" t="s">
        <v>264</v>
      </c>
      <c r="CP3740" s="5" t="s">
        <v>240</v>
      </c>
      <c r="CQ3740" s="5">
        <v>0</v>
      </c>
      <c r="CR3740" s="5" t="s">
        <v>735</v>
      </c>
      <c r="CS3740" s="5" t="s">
        <v>307</v>
      </c>
      <c r="CT3740" s="5" t="s">
        <v>307</v>
      </c>
      <c r="CU3740" s="5" t="s">
        <v>260</v>
      </c>
      <c r="CV3740" s="5" t="s">
        <v>240</v>
      </c>
      <c r="CW3740" s="8">
        <f>0</f>
        <v>0</v>
      </c>
      <c r="CX3740" s="7">
        <f>0</f>
        <v>0</v>
      </c>
      <c r="CY3740" s="7">
        <f>0</f>
        <v>0</v>
      </c>
      <c r="DA3740" s="7">
        <f>3616</f>
        <v>3616</v>
      </c>
      <c r="DB3740" s="7" t="s">
        <v>240</v>
      </c>
      <c r="DC3740" s="5" t="s">
        <v>240</v>
      </c>
      <c r="DD3740" s="5" t="s">
        <v>240</v>
      </c>
      <c r="DE3740" s="5" t="s">
        <v>240</v>
      </c>
      <c r="DF3740" s="5" t="s">
        <v>450</v>
      </c>
      <c r="DG3740" s="7">
        <f>0</f>
        <v>0</v>
      </c>
      <c r="DI3740" s="5" t="s">
        <v>737</v>
      </c>
      <c r="DJ3740" s="5" t="s">
        <v>240</v>
      </c>
      <c r="DK3740" s="5" t="s">
        <v>240</v>
      </c>
      <c r="DL3740" s="5" t="s">
        <v>240</v>
      </c>
      <c r="DM3740" s="5" t="s">
        <v>240</v>
      </c>
      <c r="DN3740" s="5" t="s">
        <v>240</v>
      </c>
      <c r="DO3740" s="7" t="s">
        <v>240</v>
      </c>
      <c r="DP3740" s="5" t="s">
        <v>240</v>
      </c>
      <c r="DQ3740" s="5" t="s">
        <v>240</v>
      </c>
      <c r="DR3740" s="5" t="s">
        <v>731</v>
      </c>
      <c r="DS3740" s="5" t="s">
        <v>731</v>
      </c>
      <c r="DT3740" s="5" t="s">
        <v>240</v>
      </c>
      <c r="DU3740" s="5" t="s">
        <v>240</v>
      </c>
      <c r="DV3740" s="5" t="s">
        <v>738</v>
      </c>
      <c r="DW3740" s="5" t="s">
        <v>594</v>
      </c>
      <c r="DX3740" s="5" t="s">
        <v>240</v>
      </c>
      <c r="DY3740" s="5" t="s">
        <v>240</v>
      </c>
      <c r="DZ3740" s="5" t="s">
        <v>240</v>
      </c>
      <c r="EA3740" s="5" t="s">
        <v>240</v>
      </c>
      <c r="EB3740" s="5" t="s">
        <v>240</v>
      </c>
      <c r="EC3740" s="5" t="s">
        <v>240</v>
      </c>
      <c r="ED3740" s="5" t="s">
        <v>240</v>
      </c>
      <c r="EE3740" s="5" t="s">
        <v>240</v>
      </c>
      <c r="EF3740" s="5" t="s">
        <v>240</v>
      </c>
      <c r="EG3740" s="5" t="s">
        <v>240</v>
      </c>
      <c r="EH3740" s="5" t="s">
        <v>240</v>
      </c>
      <c r="EI3740" s="5" t="s">
        <v>240</v>
      </c>
      <c r="EJ3740" s="5" t="s">
        <v>240</v>
      </c>
      <c r="EK3740" s="5" t="s">
        <v>240</v>
      </c>
      <c r="EL3740" s="5" t="s">
        <v>240</v>
      </c>
      <c r="EM3740" s="5" t="s">
        <v>240</v>
      </c>
      <c r="EN3740" s="5" t="s">
        <v>240</v>
      </c>
      <c r="EO3740" s="5" t="s">
        <v>240</v>
      </c>
      <c r="EP3740" s="5" t="s">
        <v>240</v>
      </c>
      <c r="EQ3740" s="5" t="s">
        <v>240</v>
      </c>
      <c r="ER3740" s="5" t="s">
        <v>240</v>
      </c>
      <c r="ES3740" s="5" t="s">
        <v>240</v>
      </c>
      <c r="ET3740" s="5" t="s">
        <v>240</v>
      </c>
      <c r="EU3740" s="5" t="s">
        <v>240</v>
      </c>
      <c r="EV3740" s="5" t="s">
        <v>240</v>
      </c>
      <c r="EW3740" s="5" t="s">
        <v>240</v>
      </c>
      <c r="EX3740" s="5" t="s">
        <v>240</v>
      </c>
      <c r="EY3740" s="5" t="s">
        <v>240</v>
      </c>
      <c r="EZ3740" s="5" t="s">
        <v>240</v>
      </c>
      <c r="FA3740" s="5" t="s">
        <v>240</v>
      </c>
      <c r="FB3740" s="5" t="s">
        <v>240</v>
      </c>
      <c r="FC3740" s="5" t="s">
        <v>240</v>
      </c>
      <c r="FD3740" s="5" t="s">
        <v>240</v>
      </c>
      <c r="FE3740" s="5" t="s">
        <v>240</v>
      </c>
      <c r="FF3740" s="5" t="s">
        <v>240</v>
      </c>
      <c r="FG3740" s="5" t="s">
        <v>240</v>
      </c>
      <c r="FH3740" s="5" t="s">
        <v>240</v>
      </c>
      <c r="FI3740" s="5" t="s">
        <v>240</v>
      </c>
      <c r="FJ3740" s="5" t="s">
        <v>240</v>
      </c>
      <c r="FK3740" s="5" t="s">
        <v>240</v>
      </c>
      <c r="FL3740" s="5" t="s">
        <v>240</v>
      </c>
      <c r="FM3740" s="5" t="s">
        <v>240</v>
      </c>
      <c r="FN3740" s="5" t="s">
        <v>240</v>
      </c>
      <c r="FO3740" s="5" t="s">
        <v>240</v>
      </c>
      <c r="FP3740" s="5" t="s">
        <v>240</v>
      </c>
      <c r="FQ3740" s="5" t="s">
        <v>240</v>
      </c>
      <c r="FR3740" s="5" t="s">
        <v>240</v>
      </c>
      <c r="FS3740" s="5" t="s">
        <v>240</v>
      </c>
      <c r="FT3740" s="5" t="s">
        <v>240</v>
      </c>
      <c r="FU3740" s="5" t="s">
        <v>240</v>
      </c>
      <c r="FV3740" s="5" t="s">
        <v>240</v>
      </c>
      <c r="FW3740" s="5" t="s">
        <v>240</v>
      </c>
      <c r="FX3740" s="5" t="s">
        <v>240</v>
      </c>
      <c r="FY3740" s="5" t="s">
        <v>240</v>
      </c>
      <c r="FZ3740" s="5" t="s">
        <v>240</v>
      </c>
      <c r="GA3740" s="5" t="s">
        <v>240</v>
      </c>
      <c r="GB3740" s="5" t="s">
        <v>240</v>
      </c>
      <c r="GC3740" s="5" t="s">
        <v>240</v>
      </c>
      <c r="GD3740" s="5" t="s">
        <v>240</v>
      </c>
      <c r="GE3740" s="5" t="s">
        <v>240</v>
      </c>
      <c r="GF3740" s="5" t="s">
        <v>240</v>
      </c>
      <c r="GG3740" s="5" t="s">
        <v>240</v>
      </c>
      <c r="GH3740" s="5" t="s">
        <v>240</v>
      </c>
      <c r="GI3740" s="5" t="s">
        <v>240</v>
      </c>
      <c r="GJ3740" s="5" t="s">
        <v>240</v>
      </c>
      <c r="GK3740" s="5" t="s">
        <v>240</v>
      </c>
      <c r="GL3740" s="5" t="s">
        <v>240</v>
      </c>
      <c r="GM3740" s="5" t="s">
        <v>240</v>
      </c>
      <c r="GN3740" s="5" t="s">
        <v>240</v>
      </c>
      <c r="GO3740" s="5" t="s">
        <v>240</v>
      </c>
      <c r="GP3740" s="5" t="s">
        <v>240</v>
      </c>
      <c r="GQ3740" s="5" t="s">
        <v>240</v>
      </c>
      <c r="GR3740" s="5" t="s">
        <v>240</v>
      </c>
      <c r="GS3740" s="5" t="s">
        <v>240</v>
      </c>
      <c r="GT3740" s="5" t="s">
        <v>240</v>
      </c>
      <c r="GU3740" s="5" t="s">
        <v>240</v>
      </c>
      <c r="GV3740" s="5" t="s">
        <v>240</v>
      </c>
      <c r="GW3740" s="5" t="s">
        <v>240</v>
      </c>
      <c r="GX3740" s="5" t="s">
        <v>240</v>
      </c>
      <c r="GY3740" s="5" t="s">
        <v>240</v>
      </c>
      <c r="GZ3740" s="5" t="s">
        <v>240</v>
      </c>
      <c r="HA3740" s="5" t="s">
        <v>240</v>
      </c>
      <c r="HB3740" s="5" t="s">
        <v>240</v>
      </c>
      <c r="HC3740" s="5" t="s">
        <v>240</v>
      </c>
      <c r="HD3740" s="5" t="s">
        <v>240</v>
      </c>
      <c r="HE3740" s="5" t="s">
        <v>240</v>
      </c>
      <c r="HF3740" s="5" t="s">
        <v>240</v>
      </c>
      <c r="HG3740" s="5" t="s">
        <v>240</v>
      </c>
      <c r="HH3740" s="5" t="s">
        <v>240</v>
      </c>
      <c r="HI3740" s="5" t="s">
        <v>240</v>
      </c>
      <c r="HJ3740" s="5" t="s">
        <v>240</v>
      </c>
      <c r="HK3740" s="5" t="s">
        <v>240</v>
      </c>
      <c r="HL3740" s="5" t="s">
        <v>240</v>
      </c>
      <c r="HM3740" s="5" t="s">
        <v>240</v>
      </c>
      <c r="HN3740" s="5" t="s">
        <v>240</v>
      </c>
      <c r="HO3740" s="5" t="s">
        <v>620</v>
      </c>
      <c r="HP3740" s="5" t="s">
        <v>240</v>
      </c>
      <c r="HQ3740" s="5" t="s">
        <v>240</v>
      </c>
      <c r="HR3740" s="5" t="s">
        <v>240</v>
      </c>
      <c r="HS3740" s="5" t="s">
        <v>240</v>
      </c>
      <c r="HT3740" s="5" t="s">
        <v>240</v>
      </c>
      <c r="HU3740" s="5" t="s">
        <v>240</v>
      </c>
      <c r="HV3740" s="5" t="s">
        <v>240</v>
      </c>
      <c r="HW3740" s="5" t="s">
        <v>240</v>
      </c>
      <c r="HX3740" s="5" t="s">
        <v>240</v>
      </c>
      <c r="HY3740" s="5" t="s">
        <v>240</v>
      </c>
      <c r="HZ3740" s="5" t="s">
        <v>240</v>
      </c>
      <c r="IA3740" s="5" t="s">
        <v>240</v>
      </c>
      <c r="IB3740" s="5" t="s">
        <v>240</v>
      </c>
      <c r="IC3740" s="5" t="s">
        <v>240</v>
      </c>
      <c r="ID3740" s="5" t="s">
        <v>240</v>
      </c>
      <c r="IE3740" s="5" t="s">
        <v>240</v>
      </c>
      <c r="IF3740" s="5" t="s">
        <v>240</v>
      </c>
    </row>
    <row r="3741" spans="1:240" x14ac:dyDescent="0.4">
      <c r="A3741" s="5">
        <v>9283</v>
      </c>
      <c r="B3741" s="5">
        <v>1</v>
      </c>
      <c r="C3741" s="5">
        <v>1</v>
      </c>
      <c r="D3741" s="5" t="s">
        <v>723</v>
      </c>
      <c r="E3741" s="5" t="s">
        <v>725</v>
      </c>
      <c r="F3741" s="5" t="s">
        <v>254</v>
      </c>
      <c r="G3741" s="5" t="s">
        <v>5496</v>
      </c>
      <c r="H3741" s="6" t="s">
        <v>5497</v>
      </c>
      <c r="I3741" s="5" t="s">
        <v>5495</v>
      </c>
      <c r="J3741" s="7">
        <f>1</f>
        <v>1</v>
      </c>
      <c r="K3741" s="5" t="s">
        <v>3682</v>
      </c>
      <c r="L3741" s="7">
        <f>1</f>
        <v>1</v>
      </c>
      <c r="M3741" s="7">
        <f>1</f>
        <v>1</v>
      </c>
      <c r="N3741" s="5" t="s">
        <v>242</v>
      </c>
      <c r="O3741" s="5">
        <v>1</v>
      </c>
      <c r="P3741" s="5" t="s">
        <v>294</v>
      </c>
      <c r="Q3741" s="5" t="s">
        <v>266</v>
      </c>
      <c r="R3741" s="5" t="s">
        <v>240</v>
      </c>
      <c r="S3741" s="5" t="s">
        <v>240</v>
      </c>
      <c r="T3741" s="5" t="s">
        <v>243</v>
      </c>
      <c r="U3741" s="5" t="s">
        <v>240</v>
      </c>
      <c r="V3741" s="5" t="s">
        <v>240</v>
      </c>
      <c r="Y3741" s="5" t="s">
        <v>240</v>
      </c>
      <c r="Z3741" s="6" t="s">
        <v>6616</v>
      </c>
      <c r="AB3741" s="6" t="s">
        <v>240</v>
      </c>
      <c r="AE3741" s="6" t="s">
        <v>299</v>
      </c>
      <c r="AF3741" s="5" t="s">
        <v>248</v>
      </c>
      <c r="AG3741" s="5" t="s">
        <v>249</v>
      </c>
      <c r="AW3741" s="5" t="s">
        <v>251</v>
      </c>
      <c r="AX3741" s="5" t="s">
        <v>240</v>
      </c>
      <c r="AY3741" s="5" t="s">
        <v>253</v>
      </c>
      <c r="AZ3741" s="5" t="s">
        <v>240</v>
      </c>
      <c r="BA3741" s="5" t="s">
        <v>255</v>
      </c>
      <c r="BB3741" s="5" t="s">
        <v>240</v>
      </c>
      <c r="BD3741" s="5" t="s">
        <v>240</v>
      </c>
      <c r="BF3741" s="5" t="s">
        <v>301</v>
      </c>
      <c r="BG3741" s="6" t="s">
        <v>6616</v>
      </c>
      <c r="BH3741" s="5" t="s">
        <v>302</v>
      </c>
      <c r="BI3741" s="5" t="s">
        <v>6608</v>
      </c>
      <c r="BJ3741" s="5" t="s">
        <v>240</v>
      </c>
      <c r="BK3741" s="8">
        <f>0</f>
        <v>0</v>
      </c>
      <c r="BL3741" s="7">
        <f>0</f>
        <v>0</v>
      </c>
      <c r="BM3741" s="5" t="s">
        <v>258</v>
      </c>
      <c r="BN3741" s="5" t="s">
        <v>259</v>
      </c>
      <c r="CB3741" s="5" t="s">
        <v>240</v>
      </c>
      <c r="CC3741" s="5" t="s">
        <v>240</v>
      </c>
      <c r="CG3741" s="5" t="s">
        <v>449</v>
      </c>
      <c r="CH3741" s="5" t="s">
        <v>305</v>
      </c>
      <c r="CI3741" s="5" t="s">
        <v>240</v>
      </c>
      <c r="CL3741" s="6" t="s">
        <v>261</v>
      </c>
      <c r="CM3741" s="5" t="s">
        <v>240</v>
      </c>
      <c r="CN3741" s="5" t="s">
        <v>263</v>
      </c>
      <c r="CO3741" s="5" t="s">
        <v>240</v>
      </c>
      <c r="CP3741" s="5" t="s">
        <v>240</v>
      </c>
      <c r="CQ3741" s="5">
        <v>0</v>
      </c>
      <c r="CR3741" s="5" t="s">
        <v>306</v>
      </c>
      <c r="CS3741" s="5" t="s">
        <v>307</v>
      </c>
      <c r="CT3741" s="5" t="s">
        <v>307</v>
      </c>
      <c r="CU3741" s="5" t="s">
        <v>260</v>
      </c>
      <c r="CX3741" s="7">
        <f>5001480</f>
        <v>5001480</v>
      </c>
      <c r="CY3741" s="7">
        <f>0</f>
        <v>0</v>
      </c>
      <c r="DA3741" s="7">
        <f>0</f>
        <v>0</v>
      </c>
      <c r="DC3741" s="5" t="s">
        <v>450</v>
      </c>
      <c r="DD3741" s="5" t="s">
        <v>240</v>
      </c>
      <c r="DF3741" s="5" t="s">
        <v>450</v>
      </c>
      <c r="DG3741" s="7">
        <f>0</f>
        <v>0</v>
      </c>
      <c r="DI3741" s="5" t="s">
        <v>240</v>
      </c>
      <c r="DJ3741" s="5" t="s">
        <v>240</v>
      </c>
      <c r="DK3741" s="5" t="s">
        <v>240</v>
      </c>
      <c r="DL3741" s="5" t="s">
        <v>240</v>
      </c>
      <c r="DP3741" s="5" t="s">
        <v>240</v>
      </c>
      <c r="DQ3741" s="5" t="s">
        <v>240</v>
      </c>
      <c r="DR3741" s="5" t="s">
        <v>240</v>
      </c>
      <c r="DS3741" s="5" t="s">
        <v>240</v>
      </c>
      <c r="DV3741" s="5" t="s">
        <v>310</v>
      </c>
      <c r="DW3741" s="5" t="s">
        <v>2343</v>
      </c>
      <c r="HO3741" s="5" t="s">
        <v>312</v>
      </c>
    </row>
    <row r="3742" spans="1:240" x14ac:dyDescent="0.4">
      <c r="A3742" s="5">
        <v>9284</v>
      </c>
      <c r="B3742" s="5">
        <v>1</v>
      </c>
      <c r="C3742" s="5">
        <v>1</v>
      </c>
      <c r="D3742" s="5" t="s">
        <v>723</v>
      </c>
      <c r="E3742" s="5" t="s">
        <v>725</v>
      </c>
      <c r="F3742" s="5" t="s">
        <v>254</v>
      </c>
      <c r="G3742" s="5" t="s">
        <v>5493</v>
      </c>
      <c r="H3742" s="6" t="s">
        <v>5494</v>
      </c>
      <c r="I3742" s="5" t="s">
        <v>5492</v>
      </c>
      <c r="J3742" s="7">
        <f>1</f>
        <v>1</v>
      </c>
      <c r="K3742" s="5" t="s">
        <v>3682</v>
      </c>
      <c r="L3742" s="7">
        <f>1</f>
        <v>1</v>
      </c>
      <c r="M3742" s="7">
        <f>1</f>
        <v>1</v>
      </c>
      <c r="N3742" s="5" t="s">
        <v>242</v>
      </c>
      <c r="O3742" s="5">
        <v>1</v>
      </c>
      <c r="P3742" s="5" t="s">
        <v>294</v>
      </c>
      <c r="Q3742" s="5" t="s">
        <v>613</v>
      </c>
      <c r="R3742" s="5" t="s">
        <v>240</v>
      </c>
      <c r="S3742" s="5" t="s">
        <v>240</v>
      </c>
      <c r="T3742" s="5" t="s">
        <v>243</v>
      </c>
      <c r="U3742" s="5" t="s">
        <v>724</v>
      </c>
      <c r="V3742" s="5" t="s">
        <v>240</v>
      </c>
      <c r="W3742" s="5" t="s">
        <v>240</v>
      </c>
      <c r="X3742" s="5" t="s">
        <v>240</v>
      </c>
      <c r="Y3742" s="5" t="s">
        <v>240</v>
      </c>
      <c r="Z3742" s="6" t="s">
        <v>298</v>
      </c>
      <c r="AA3742" s="6" t="s">
        <v>240</v>
      </c>
      <c r="AB3742" s="6" t="s">
        <v>240</v>
      </c>
      <c r="AC3742" s="5" t="s">
        <v>240</v>
      </c>
      <c r="AD3742" s="6" t="s">
        <v>240</v>
      </c>
      <c r="AE3742" s="6" t="s">
        <v>299</v>
      </c>
      <c r="AF3742" s="5" t="s">
        <v>727</v>
      </c>
      <c r="AG3742" s="5" t="s">
        <v>260</v>
      </c>
      <c r="AH3742" s="5" t="s">
        <v>240</v>
      </c>
      <c r="AI3742" s="5" t="s">
        <v>240</v>
      </c>
      <c r="AJ3742" s="5" t="s">
        <v>240</v>
      </c>
      <c r="AK3742" s="5" t="s">
        <v>240</v>
      </c>
      <c r="AL3742" s="5" t="s">
        <v>240</v>
      </c>
      <c r="AM3742" s="5" t="s">
        <v>240</v>
      </c>
      <c r="AN3742" s="5" t="s">
        <v>240</v>
      </c>
      <c r="AO3742" s="5" t="s">
        <v>240</v>
      </c>
      <c r="AP3742" s="6" t="s">
        <v>240</v>
      </c>
      <c r="AQ3742" s="6" t="s">
        <v>240</v>
      </c>
      <c r="AR3742" s="6" t="s">
        <v>240</v>
      </c>
      <c r="AS3742" s="6" t="s">
        <v>240</v>
      </c>
      <c r="AT3742" s="5" t="s">
        <v>240</v>
      </c>
      <c r="AU3742" s="5" t="s">
        <v>729</v>
      </c>
      <c r="AV3742" s="5" t="s">
        <v>729</v>
      </c>
      <c r="AW3742" s="5" t="s">
        <v>251</v>
      </c>
      <c r="AX3742" s="5" t="s">
        <v>252</v>
      </c>
      <c r="AY3742" s="5" t="s">
        <v>253</v>
      </c>
      <c r="AZ3742" s="5" t="s">
        <v>240</v>
      </c>
      <c r="BA3742" s="5" t="s">
        <v>255</v>
      </c>
      <c r="BB3742" s="5" t="s">
        <v>731</v>
      </c>
      <c r="BD3742" s="5" t="s">
        <v>240</v>
      </c>
      <c r="BF3742" s="5" t="s">
        <v>732</v>
      </c>
      <c r="BG3742" s="6" t="s">
        <v>733</v>
      </c>
      <c r="BH3742" s="5" t="s">
        <v>734</v>
      </c>
      <c r="BI3742" s="5" t="s">
        <v>734</v>
      </c>
      <c r="BJ3742" s="5" t="s">
        <v>240</v>
      </c>
      <c r="BK3742" s="8">
        <f>1224</f>
        <v>1224</v>
      </c>
      <c r="BL3742" s="7">
        <f>0</f>
        <v>0</v>
      </c>
      <c r="BM3742" s="5" t="s">
        <v>258</v>
      </c>
      <c r="BN3742" s="5" t="s">
        <v>259</v>
      </c>
      <c r="BO3742" s="5" t="s">
        <v>240</v>
      </c>
      <c r="BP3742" s="5" t="s">
        <v>240</v>
      </c>
      <c r="BQ3742" s="5" t="s">
        <v>240</v>
      </c>
      <c r="BR3742" s="5" t="s">
        <v>240</v>
      </c>
      <c r="BS3742" s="5" t="s">
        <v>240</v>
      </c>
      <c r="BT3742" s="5" t="s">
        <v>240</v>
      </c>
      <c r="BU3742" s="5" t="s">
        <v>240</v>
      </c>
      <c r="BV3742" s="5" t="s">
        <v>240</v>
      </c>
      <c r="BW3742" s="6" t="s">
        <v>240</v>
      </c>
      <c r="BX3742" s="5" t="s">
        <v>240</v>
      </c>
      <c r="BY3742" s="5" t="s">
        <v>240</v>
      </c>
      <c r="BZ3742" s="5" t="s">
        <v>240</v>
      </c>
      <c r="CA3742" s="5" t="s">
        <v>259</v>
      </c>
      <c r="CB3742" s="5" t="s">
        <v>240</v>
      </c>
      <c r="CC3742" s="5" t="s">
        <v>240</v>
      </c>
      <c r="CD3742" s="5" t="s">
        <v>240</v>
      </c>
      <c r="CE3742" s="5" t="s">
        <v>240</v>
      </c>
      <c r="CF3742" s="5" t="s">
        <v>240</v>
      </c>
      <c r="CG3742" s="5" t="s">
        <v>617</v>
      </c>
      <c r="CH3742" s="5" t="s">
        <v>305</v>
      </c>
      <c r="CI3742" s="5" t="s">
        <v>240</v>
      </c>
      <c r="CL3742" s="6" t="s">
        <v>261</v>
      </c>
      <c r="CM3742" s="5" t="s">
        <v>262</v>
      </c>
      <c r="CN3742" s="5" t="s">
        <v>263</v>
      </c>
      <c r="CO3742" s="5" t="s">
        <v>264</v>
      </c>
      <c r="CP3742" s="5" t="s">
        <v>240</v>
      </c>
      <c r="CQ3742" s="5">
        <v>0</v>
      </c>
      <c r="CR3742" s="5" t="s">
        <v>735</v>
      </c>
      <c r="CS3742" s="5" t="s">
        <v>307</v>
      </c>
      <c r="CT3742" s="5" t="s">
        <v>307</v>
      </c>
      <c r="CU3742" s="5" t="s">
        <v>260</v>
      </c>
      <c r="CV3742" s="5" t="s">
        <v>240</v>
      </c>
      <c r="CW3742" s="8">
        <f>0</f>
        <v>0</v>
      </c>
      <c r="CX3742" s="7">
        <f>0</f>
        <v>0</v>
      </c>
      <c r="CY3742" s="7">
        <f>0</f>
        <v>0</v>
      </c>
      <c r="DA3742" s="7">
        <f>13464</f>
        <v>13464</v>
      </c>
      <c r="DB3742" s="7" t="s">
        <v>240</v>
      </c>
      <c r="DC3742" s="5" t="s">
        <v>240</v>
      </c>
      <c r="DD3742" s="5" t="s">
        <v>240</v>
      </c>
      <c r="DE3742" s="5" t="s">
        <v>240</v>
      </c>
      <c r="DF3742" s="5" t="s">
        <v>450</v>
      </c>
      <c r="DG3742" s="7">
        <f>0</f>
        <v>0</v>
      </c>
      <c r="DI3742" s="5" t="s">
        <v>737</v>
      </c>
      <c r="DJ3742" s="5" t="s">
        <v>240</v>
      </c>
      <c r="DK3742" s="5" t="s">
        <v>240</v>
      </c>
      <c r="DL3742" s="5" t="s">
        <v>240</v>
      </c>
      <c r="DM3742" s="5" t="s">
        <v>240</v>
      </c>
      <c r="DN3742" s="5" t="s">
        <v>240</v>
      </c>
      <c r="DO3742" s="7" t="s">
        <v>240</v>
      </c>
      <c r="DP3742" s="5" t="s">
        <v>240</v>
      </c>
      <c r="DQ3742" s="5" t="s">
        <v>240</v>
      </c>
      <c r="DR3742" s="5" t="s">
        <v>731</v>
      </c>
      <c r="DS3742" s="5" t="s">
        <v>731</v>
      </c>
      <c r="DT3742" s="5" t="s">
        <v>240</v>
      </c>
      <c r="DU3742" s="5" t="s">
        <v>240</v>
      </c>
      <c r="DV3742" s="5" t="s">
        <v>738</v>
      </c>
      <c r="DW3742" s="5" t="s">
        <v>799</v>
      </c>
      <c r="DX3742" s="5" t="s">
        <v>240</v>
      </c>
      <c r="DY3742" s="5" t="s">
        <v>240</v>
      </c>
      <c r="DZ3742" s="5" t="s">
        <v>240</v>
      </c>
      <c r="EA3742" s="5" t="s">
        <v>240</v>
      </c>
      <c r="EB3742" s="5" t="s">
        <v>240</v>
      </c>
      <c r="EC3742" s="5" t="s">
        <v>240</v>
      </c>
      <c r="ED3742" s="5" t="s">
        <v>240</v>
      </c>
      <c r="EE3742" s="5" t="s">
        <v>240</v>
      </c>
      <c r="EF3742" s="5" t="s">
        <v>240</v>
      </c>
      <c r="EG3742" s="5" t="s">
        <v>240</v>
      </c>
      <c r="EH3742" s="5" t="s">
        <v>240</v>
      </c>
      <c r="EI3742" s="5" t="s">
        <v>240</v>
      </c>
      <c r="EJ3742" s="5" t="s">
        <v>240</v>
      </c>
      <c r="EK3742" s="5" t="s">
        <v>240</v>
      </c>
      <c r="EL3742" s="5" t="s">
        <v>240</v>
      </c>
      <c r="EM3742" s="5" t="s">
        <v>240</v>
      </c>
      <c r="EN3742" s="5" t="s">
        <v>240</v>
      </c>
      <c r="EO3742" s="5" t="s">
        <v>240</v>
      </c>
      <c r="EP3742" s="5" t="s">
        <v>240</v>
      </c>
      <c r="EQ3742" s="5" t="s">
        <v>240</v>
      </c>
      <c r="ER3742" s="5" t="s">
        <v>240</v>
      </c>
      <c r="ES3742" s="5" t="s">
        <v>240</v>
      </c>
      <c r="ET3742" s="5" t="s">
        <v>240</v>
      </c>
      <c r="EU3742" s="5" t="s">
        <v>240</v>
      </c>
      <c r="EV3742" s="5" t="s">
        <v>240</v>
      </c>
      <c r="EW3742" s="5" t="s">
        <v>240</v>
      </c>
      <c r="EX3742" s="5" t="s">
        <v>240</v>
      </c>
      <c r="EY3742" s="5" t="s">
        <v>240</v>
      </c>
      <c r="EZ3742" s="5" t="s">
        <v>240</v>
      </c>
      <c r="FA3742" s="5" t="s">
        <v>240</v>
      </c>
      <c r="FB3742" s="5" t="s">
        <v>240</v>
      </c>
      <c r="FC3742" s="5" t="s">
        <v>240</v>
      </c>
      <c r="FD3742" s="5" t="s">
        <v>240</v>
      </c>
      <c r="FE3742" s="5" t="s">
        <v>240</v>
      </c>
      <c r="FF3742" s="5" t="s">
        <v>240</v>
      </c>
      <c r="FG3742" s="5" t="s">
        <v>240</v>
      </c>
      <c r="FH3742" s="5" t="s">
        <v>240</v>
      </c>
      <c r="FI3742" s="5" t="s">
        <v>240</v>
      </c>
      <c r="FJ3742" s="5" t="s">
        <v>240</v>
      </c>
      <c r="FK3742" s="5" t="s">
        <v>240</v>
      </c>
      <c r="FL3742" s="5" t="s">
        <v>240</v>
      </c>
      <c r="FM3742" s="5" t="s">
        <v>240</v>
      </c>
      <c r="FN3742" s="5" t="s">
        <v>240</v>
      </c>
      <c r="FO3742" s="5" t="s">
        <v>240</v>
      </c>
      <c r="FP3742" s="5" t="s">
        <v>240</v>
      </c>
      <c r="FQ3742" s="5" t="s">
        <v>240</v>
      </c>
      <c r="FR3742" s="5" t="s">
        <v>240</v>
      </c>
      <c r="FS3742" s="5" t="s">
        <v>240</v>
      </c>
      <c r="FT3742" s="5" t="s">
        <v>240</v>
      </c>
      <c r="FU3742" s="5" t="s">
        <v>240</v>
      </c>
      <c r="FV3742" s="5" t="s">
        <v>240</v>
      </c>
      <c r="FW3742" s="5" t="s">
        <v>240</v>
      </c>
      <c r="FX3742" s="5" t="s">
        <v>240</v>
      </c>
      <c r="FY3742" s="5" t="s">
        <v>240</v>
      </c>
      <c r="FZ3742" s="5" t="s">
        <v>240</v>
      </c>
      <c r="GA3742" s="5" t="s">
        <v>240</v>
      </c>
      <c r="GB3742" s="5" t="s">
        <v>240</v>
      </c>
      <c r="GC3742" s="5" t="s">
        <v>240</v>
      </c>
      <c r="GD3742" s="5" t="s">
        <v>240</v>
      </c>
      <c r="GE3742" s="5" t="s">
        <v>240</v>
      </c>
      <c r="GF3742" s="5" t="s">
        <v>240</v>
      </c>
      <c r="GG3742" s="5" t="s">
        <v>240</v>
      </c>
      <c r="GH3742" s="5" t="s">
        <v>240</v>
      </c>
      <c r="GI3742" s="5" t="s">
        <v>240</v>
      </c>
      <c r="GJ3742" s="5" t="s">
        <v>240</v>
      </c>
      <c r="GK3742" s="5" t="s">
        <v>240</v>
      </c>
      <c r="GL3742" s="5" t="s">
        <v>240</v>
      </c>
      <c r="GM3742" s="5" t="s">
        <v>240</v>
      </c>
      <c r="GN3742" s="5" t="s">
        <v>240</v>
      </c>
      <c r="GO3742" s="5" t="s">
        <v>240</v>
      </c>
      <c r="GP3742" s="5" t="s">
        <v>240</v>
      </c>
      <c r="GQ3742" s="5" t="s">
        <v>240</v>
      </c>
      <c r="GR3742" s="5" t="s">
        <v>240</v>
      </c>
      <c r="GS3742" s="5" t="s">
        <v>240</v>
      </c>
      <c r="GT3742" s="5" t="s">
        <v>240</v>
      </c>
      <c r="GU3742" s="5" t="s">
        <v>240</v>
      </c>
      <c r="GV3742" s="5" t="s">
        <v>240</v>
      </c>
      <c r="GW3742" s="5" t="s">
        <v>240</v>
      </c>
      <c r="GX3742" s="5" t="s">
        <v>240</v>
      </c>
      <c r="GY3742" s="5" t="s">
        <v>240</v>
      </c>
      <c r="GZ3742" s="5" t="s">
        <v>240</v>
      </c>
      <c r="HA3742" s="5" t="s">
        <v>240</v>
      </c>
      <c r="HB3742" s="5" t="s">
        <v>240</v>
      </c>
      <c r="HC3742" s="5" t="s">
        <v>240</v>
      </c>
      <c r="HD3742" s="5" t="s">
        <v>240</v>
      </c>
      <c r="HE3742" s="5" t="s">
        <v>240</v>
      </c>
      <c r="HF3742" s="5" t="s">
        <v>240</v>
      </c>
      <c r="HG3742" s="5" t="s">
        <v>240</v>
      </c>
      <c r="HH3742" s="5" t="s">
        <v>240</v>
      </c>
      <c r="HI3742" s="5" t="s">
        <v>240</v>
      </c>
      <c r="HJ3742" s="5" t="s">
        <v>240</v>
      </c>
      <c r="HK3742" s="5" t="s">
        <v>240</v>
      </c>
      <c r="HL3742" s="5" t="s">
        <v>240</v>
      </c>
      <c r="HM3742" s="5" t="s">
        <v>240</v>
      </c>
      <c r="HN3742" s="5" t="s">
        <v>240</v>
      </c>
      <c r="HO3742" s="5" t="s">
        <v>312</v>
      </c>
      <c r="HP3742" s="5" t="s">
        <v>240</v>
      </c>
      <c r="HQ3742" s="5" t="s">
        <v>240</v>
      </c>
      <c r="HR3742" s="5" t="s">
        <v>240</v>
      </c>
      <c r="HS3742" s="5" t="s">
        <v>240</v>
      </c>
      <c r="HT3742" s="5" t="s">
        <v>240</v>
      </c>
      <c r="HU3742" s="5" t="s">
        <v>240</v>
      </c>
      <c r="HV3742" s="5" t="s">
        <v>240</v>
      </c>
      <c r="HW3742" s="5" t="s">
        <v>240</v>
      </c>
      <c r="HX3742" s="5" t="s">
        <v>240</v>
      </c>
      <c r="HY3742" s="5" t="s">
        <v>240</v>
      </c>
      <c r="HZ3742" s="5" t="s">
        <v>240</v>
      </c>
      <c r="IA3742" s="5" t="s">
        <v>240</v>
      </c>
      <c r="IB3742" s="5" t="s">
        <v>240</v>
      </c>
      <c r="IC3742" s="5" t="s">
        <v>240</v>
      </c>
      <c r="ID3742" s="5" t="s">
        <v>240</v>
      </c>
      <c r="IE3742" s="5" t="s">
        <v>240</v>
      </c>
      <c r="IF3742" s="5" t="s">
        <v>240</v>
      </c>
    </row>
    <row r="3743" spans="1:240" x14ac:dyDescent="0.4">
      <c r="A3743" s="5">
        <v>9285</v>
      </c>
      <c r="B3743" s="5">
        <v>1</v>
      </c>
      <c r="C3743" s="5">
        <v>1</v>
      </c>
      <c r="D3743" s="5" t="s">
        <v>723</v>
      </c>
      <c r="E3743" s="5" t="s">
        <v>725</v>
      </c>
      <c r="F3743" s="5" t="s">
        <v>254</v>
      </c>
      <c r="G3743" s="5" t="s">
        <v>5490</v>
      </c>
      <c r="H3743" s="6" t="s">
        <v>5491</v>
      </c>
      <c r="I3743" s="5" t="s">
        <v>5489</v>
      </c>
      <c r="J3743" s="7">
        <f>1</f>
        <v>1</v>
      </c>
      <c r="K3743" s="5" t="s">
        <v>3682</v>
      </c>
      <c r="L3743" s="7">
        <f>1</f>
        <v>1</v>
      </c>
      <c r="M3743" s="7">
        <f>1</f>
        <v>1</v>
      </c>
      <c r="N3743" s="5" t="s">
        <v>242</v>
      </c>
      <c r="O3743" s="5">
        <v>1</v>
      </c>
      <c r="P3743" s="5" t="s">
        <v>294</v>
      </c>
      <c r="Q3743" s="5" t="s">
        <v>266</v>
      </c>
      <c r="R3743" s="5" t="s">
        <v>240</v>
      </c>
      <c r="S3743" s="5" t="s">
        <v>240</v>
      </c>
      <c r="T3743" s="5" t="s">
        <v>243</v>
      </c>
      <c r="U3743" s="5" t="s">
        <v>240</v>
      </c>
      <c r="V3743" s="5" t="s">
        <v>240</v>
      </c>
      <c r="Y3743" s="5" t="s">
        <v>240</v>
      </c>
      <c r="Z3743" s="6" t="s">
        <v>6080</v>
      </c>
      <c r="AB3743" s="6" t="s">
        <v>240</v>
      </c>
      <c r="AE3743" s="6" t="s">
        <v>6619</v>
      </c>
      <c r="AF3743" s="5" t="s">
        <v>248</v>
      </c>
      <c r="AG3743" s="5" t="s">
        <v>249</v>
      </c>
      <c r="AW3743" s="5" t="s">
        <v>251</v>
      </c>
      <c r="AX3743" s="5" t="s">
        <v>240</v>
      </c>
      <c r="AY3743" s="5" t="s">
        <v>253</v>
      </c>
      <c r="AZ3743" s="5" t="s">
        <v>240</v>
      </c>
      <c r="BA3743" s="5" t="s">
        <v>255</v>
      </c>
      <c r="BB3743" s="5" t="s">
        <v>240</v>
      </c>
      <c r="BD3743" s="5" t="s">
        <v>240</v>
      </c>
      <c r="BF3743" s="5" t="s">
        <v>687</v>
      </c>
      <c r="BG3743" s="6" t="s">
        <v>6080</v>
      </c>
      <c r="BH3743" s="5" t="s">
        <v>302</v>
      </c>
      <c r="BI3743" s="5" t="s">
        <v>6608</v>
      </c>
      <c r="BJ3743" s="5" t="s">
        <v>240</v>
      </c>
      <c r="BK3743" s="8">
        <f>0</f>
        <v>0</v>
      </c>
      <c r="BL3743" s="7">
        <f>0</f>
        <v>0</v>
      </c>
      <c r="BM3743" s="5" t="s">
        <v>258</v>
      </c>
      <c r="BN3743" s="5" t="s">
        <v>259</v>
      </c>
      <c r="CB3743" s="5" t="s">
        <v>240</v>
      </c>
      <c r="CC3743" s="5" t="s">
        <v>240</v>
      </c>
      <c r="CG3743" s="5" t="s">
        <v>449</v>
      </c>
      <c r="CH3743" s="5" t="s">
        <v>305</v>
      </c>
      <c r="CI3743" s="5" t="s">
        <v>240</v>
      </c>
      <c r="CL3743" s="6" t="s">
        <v>261</v>
      </c>
      <c r="CM3743" s="5" t="s">
        <v>240</v>
      </c>
      <c r="CN3743" s="5" t="s">
        <v>263</v>
      </c>
      <c r="CO3743" s="5" t="s">
        <v>240</v>
      </c>
      <c r="CP3743" s="5" t="s">
        <v>240</v>
      </c>
      <c r="CQ3743" s="5">
        <v>0</v>
      </c>
      <c r="CR3743" s="5" t="s">
        <v>306</v>
      </c>
      <c r="CS3743" s="5" t="s">
        <v>307</v>
      </c>
      <c r="CT3743" s="5" t="s">
        <v>307</v>
      </c>
      <c r="CU3743" s="5" t="s">
        <v>260</v>
      </c>
      <c r="CX3743" s="7">
        <f>6496200</f>
        <v>6496200</v>
      </c>
      <c r="CY3743" s="7">
        <f>0</f>
        <v>0</v>
      </c>
      <c r="DA3743" s="7">
        <f>0</f>
        <v>0</v>
      </c>
      <c r="DC3743" s="5" t="s">
        <v>450</v>
      </c>
      <c r="DD3743" s="5" t="s">
        <v>240</v>
      </c>
      <c r="DF3743" s="5" t="s">
        <v>450</v>
      </c>
      <c r="DG3743" s="7">
        <f>0</f>
        <v>0</v>
      </c>
      <c r="DI3743" s="5" t="s">
        <v>240</v>
      </c>
      <c r="DJ3743" s="5" t="s">
        <v>240</v>
      </c>
      <c r="DK3743" s="5" t="s">
        <v>240</v>
      </c>
      <c r="DL3743" s="5" t="s">
        <v>240</v>
      </c>
      <c r="DP3743" s="5" t="s">
        <v>240</v>
      </c>
      <c r="DQ3743" s="5" t="s">
        <v>240</v>
      </c>
      <c r="DR3743" s="5" t="s">
        <v>240</v>
      </c>
      <c r="DS3743" s="5" t="s">
        <v>240</v>
      </c>
      <c r="DV3743" s="5" t="s">
        <v>310</v>
      </c>
      <c r="DW3743" s="5" t="s">
        <v>2418</v>
      </c>
      <c r="HO3743" s="5" t="s">
        <v>312</v>
      </c>
    </row>
    <row r="3744" spans="1:240" x14ac:dyDescent="0.4">
      <c r="A3744" s="5">
        <v>9286</v>
      </c>
      <c r="B3744" s="5">
        <v>1</v>
      </c>
      <c r="C3744" s="5">
        <v>1</v>
      </c>
      <c r="D3744" s="5" t="s">
        <v>723</v>
      </c>
      <c r="E3744" s="5" t="s">
        <v>725</v>
      </c>
      <c r="F3744" s="5" t="s">
        <v>254</v>
      </c>
      <c r="G3744" s="5" t="s">
        <v>726</v>
      </c>
      <c r="H3744" s="6" t="s">
        <v>5488</v>
      </c>
      <c r="I3744" s="5" t="s">
        <v>5487</v>
      </c>
      <c r="J3744" s="7">
        <f>1</f>
        <v>1</v>
      </c>
      <c r="K3744" s="5" t="s">
        <v>3682</v>
      </c>
      <c r="L3744" s="7">
        <f>1</f>
        <v>1</v>
      </c>
      <c r="M3744" s="7">
        <f>1</f>
        <v>1</v>
      </c>
      <c r="N3744" s="5" t="s">
        <v>242</v>
      </c>
      <c r="O3744" s="5">
        <v>1</v>
      </c>
      <c r="P3744" s="5" t="s">
        <v>294</v>
      </c>
      <c r="Q3744" s="5" t="s">
        <v>266</v>
      </c>
      <c r="R3744" s="5" t="s">
        <v>240</v>
      </c>
      <c r="S3744" s="5" t="s">
        <v>240</v>
      </c>
      <c r="T3744" s="5" t="s">
        <v>243</v>
      </c>
      <c r="U3744" s="5" t="s">
        <v>240</v>
      </c>
      <c r="V3744" s="5" t="s">
        <v>240</v>
      </c>
      <c r="Y3744" s="5" t="s">
        <v>240</v>
      </c>
      <c r="Z3744" s="6" t="s">
        <v>1825</v>
      </c>
      <c r="AB3744" s="6" t="s">
        <v>240</v>
      </c>
      <c r="AE3744" s="6" t="s">
        <v>6621</v>
      </c>
      <c r="AF3744" s="5" t="s">
        <v>248</v>
      </c>
      <c r="AG3744" s="5" t="s">
        <v>260</v>
      </c>
      <c r="AW3744" s="5" t="s">
        <v>251</v>
      </c>
      <c r="AX3744" s="5" t="s">
        <v>240</v>
      </c>
      <c r="AY3744" s="5" t="s">
        <v>253</v>
      </c>
      <c r="AZ3744" s="5" t="s">
        <v>240</v>
      </c>
      <c r="BA3744" s="5" t="s">
        <v>255</v>
      </c>
      <c r="BB3744" s="5" t="s">
        <v>240</v>
      </c>
      <c r="BD3744" s="5" t="s">
        <v>240</v>
      </c>
      <c r="BF3744" s="5" t="s">
        <v>687</v>
      </c>
      <c r="BG3744" s="6" t="s">
        <v>6621</v>
      </c>
      <c r="BH3744" s="5" t="s">
        <v>302</v>
      </c>
      <c r="BI3744" s="5" t="s">
        <v>6608</v>
      </c>
      <c r="BJ3744" s="5" t="s">
        <v>240</v>
      </c>
      <c r="BK3744" s="8">
        <f>0</f>
        <v>0</v>
      </c>
      <c r="BL3744" s="7">
        <f>0</f>
        <v>0</v>
      </c>
      <c r="BM3744" s="5" t="s">
        <v>258</v>
      </c>
      <c r="BN3744" s="5" t="s">
        <v>259</v>
      </c>
      <c r="CB3744" s="5" t="s">
        <v>240</v>
      </c>
      <c r="CC3744" s="5" t="s">
        <v>240</v>
      </c>
      <c r="CG3744" s="5" t="s">
        <v>449</v>
      </c>
      <c r="CH3744" s="5" t="s">
        <v>305</v>
      </c>
      <c r="CI3744" s="5" t="s">
        <v>240</v>
      </c>
      <c r="CL3744" s="6" t="s">
        <v>261</v>
      </c>
      <c r="CM3744" s="5" t="s">
        <v>240</v>
      </c>
      <c r="CN3744" s="5" t="s">
        <v>263</v>
      </c>
      <c r="CO3744" s="5" t="s">
        <v>240</v>
      </c>
      <c r="CP3744" s="5" t="s">
        <v>240</v>
      </c>
      <c r="CQ3744" s="5">
        <v>0</v>
      </c>
      <c r="CR3744" s="5" t="s">
        <v>306</v>
      </c>
      <c r="CS3744" s="5" t="s">
        <v>307</v>
      </c>
      <c r="CT3744" s="5" t="s">
        <v>307</v>
      </c>
      <c r="CU3744" s="5" t="s">
        <v>260</v>
      </c>
      <c r="CX3744" s="7">
        <f>2391271</f>
        <v>2391271</v>
      </c>
      <c r="CY3744" s="7">
        <f>0</f>
        <v>0</v>
      </c>
      <c r="DA3744" s="7">
        <f>0</f>
        <v>0</v>
      </c>
      <c r="DC3744" s="5" t="s">
        <v>450</v>
      </c>
      <c r="DD3744" s="5" t="s">
        <v>240</v>
      </c>
      <c r="DF3744" s="5" t="s">
        <v>450</v>
      </c>
      <c r="DG3744" s="7">
        <f>191.55</f>
        <v>191.55</v>
      </c>
      <c r="DI3744" s="5" t="s">
        <v>240</v>
      </c>
      <c r="DJ3744" s="5" t="s">
        <v>240</v>
      </c>
      <c r="DK3744" s="5" t="s">
        <v>240</v>
      </c>
      <c r="DL3744" s="5" t="s">
        <v>240</v>
      </c>
      <c r="DP3744" s="5" t="s">
        <v>240</v>
      </c>
      <c r="DQ3744" s="5" t="s">
        <v>240</v>
      </c>
      <c r="DR3744" s="5" t="s">
        <v>240</v>
      </c>
      <c r="DS3744" s="5" t="s">
        <v>240</v>
      </c>
      <c r="DV3744" s="5" t="s">
        <v>310</v>
      </c>
      <c r="DW3744" s="5" t="s">
        <v>2430</v>
      </c>
      <c r="HO3744" s="5" t="s">
        <v>312</v>
      </c>
    </row>
    <row r="3745" spans="1:240" x14ac:dyDescent="0.4">
      <c r="A3745" s="5">
        <v>9287</v>
      </c>
      <c r="B3745" s="5">
        <v>1</v>
      </c>
      <c r="C3745" s="5">
        <v>1</v>
      </c>
      <c r="D3745" s="5" t="s">
        <v>723</v>
      </c>
      <c r="E3745" s="5" t="s">
        <v>725</v>
      </c>
      <c r="F3745" s="5" t="s">
        <v>254</v>
      </c>
      <c r="G3745" s="5" t="s">
        <v>726</v>
      </c>
      <c r="H3745" s="6" t="s">
        <v>5486</v>
      </c>
      <c r="I3745" s="5" t="s">
        <v>5485</v>
      </c>
      <c r="J3745" s="7">
        <f>1</f>
        <v>1</v>
      </c>
      <c r="K3745" s="5" t="s">
        <v>3682</v>
      </c>
      <c r="L3745" s="7">
        <f>1</f>
        <v>1</v>
      </c>
      <c r="M3745" s="7">
        <f>1</f>
        <v>1</v>
      </c>
      <c r="N3745" s="5" t="s">
        <v>242</v>
      </c>
      <c r="O3745" s="5">
        <v>1</v>
      </c>
      <c r="P3745" s="5" t="s">
        <v>294</v>
      </c>
      <c r="Q3745" s="5" t="s">
        <v>266</v>
      </c>
      <c r="R3745" s="5" t="s">
        <v>240</v>
      </c>
      <c r="S3745" s="5" t="s">
        <v>240</v>
      </c>
      <c r="T3745" s="5" t="s">
        <v>243</v>
      </c>
      <c r="U3745" s="5" t="s">
        <v>240</v>
      </c>
      <c r="V3745" s="5" t="s">
        <v>240</v>
      </c>
      <c r="Y3745" s="5" t="s">
        <v>240</v>
      </c>
      <c r="Z3745" s="6" t="s">
        <v>1825</v>
      </c>
      <c r="AB3745" s="6" t="s">
        <v>240</v>
      </c>
      <c r="AE3745" s="6" t="s">
        <v>5280</v>
      </c>
      <c r="AF3745" s="5" t="s">
        <v>248</v>
      </c>
      <c r="AG3745" s="5" t="s">
        <v>260</v>
      </c>
      <c r="AW3745" s="5" t="s">
        <v>251</v>
      </c>
      <c r="AX3745" s="5" t="s">
        <v>240</v>
      </c>
      <c r="AY3745" s="5" t="s">
        <v>253</v>
      </c>
      <c r="AZ3745" s="5" t="s">
        <v>240</v>
      </c>
      <c r="BA3745" s="5" t="s">
        <v>255</v>
      </c>
      <c r="BB3745" s="5" t="s">
        <v>240</v>
      </c>
      <c r="BD3745" s="5" t="s">
        <v>240</v>
      </c>
      <c r="BF3745" s="5" t="s">
        <v>687</v>
      </c>
      <c r="BG3745" s="6" t="s">
        <v>5280</v>
      </c>
      <c r="BH3745" s="5" t="s">
        <v>302</v>
      </c>
      <c r="BI3745" s="5" t="s">
        <v>6608</v>
      </c>
      <c r="BJ3745" s="5" t="s">
        <v>240</v>
      </c>
      <c r="BK3745" s="8">
        <f>0</f>
        <v>0</v>
      </c>
      <c r="BL3745" s="7">
        <f>0</f>
        <v>0</v>
      </c>
      <c r="BM3745" s="5" t="s">
        <v>258</v>
      </c>
      <c r="BN3745" s="5" t="s">
        <v>259</v>
      </c>
      <c r="CB3745" s="5" t="s">
        <v>240</v>
      </c>
      <c r="CC3745" s="5" t="s">
        <v>240</v>
      </c>
      <c r="CG3745" s="5" t="s">
        <v>449</v>
      </c>
      <c r="CH3745" s="5" t="s">
        <v>305</v>
      </c>
      <c r="CI3745" s="5" t="s">
        <v>240</v>
      </c>
      <c r="CL3745" s="6" t="s">
        <v>261</v>
      </c>
      <c r="CM3745" s="5" t="s">
        <v>240</v>
      </c>
      <c r="CN3745" s="5" t="s">
        <v>263</v>
      </c>
      <c r="CO3745" s="5" t="s">
        <v>240</v>
      </c>
      <c r="CP3745" s="5" t="s">
        <v>240</v>
      </c>
      <c r="CQ3745" s="5">
        <v>0</v>
      </c>
      <c r="CR3745" s="5" t="s">
        <v>306</v>
      </c>
      <c r="CS3745" s="5" t="s">
        <v>307</v>
      </c>
      <c r="CT3745" s="5" t="s">
        <v>307</v>
      </c>
      <c r="CU3745" s="5" t="s">
        <v>260</v>
      </c>
      <c r="CX3745" s="7">
        <f>5779779</f>
        <v>5779779</v>
      </c>
      <c r="CY3745" s="7">
        <f>0</f>
        <v>0</v>
      </c>
      <c r="DA3745" s="7">
        <f>0</f>
        <v>0</v>
      </c>
      <c r="DC3745" s="5" t="s">
        <v>450</v>
      </c>
      <c r="DD3745" s="5" t="s">
        <v>240</v>
      </c>
      <c r="DF3745" s="5" t="s">
        <v>450</v>
      </c>
      <c r="DG3745" s="7">
        <f>138.38</f>
        <v>138.38</v>
      </c>
      <c r="DI3745" s="5" t="s">
        <v>240</v>
      </c>
      <c r="DJ3745" s="5" t="s">
        <v>240</v>
      </c>
      <c r="DK3745" s="5" t="s">
        <v>240</v>
      </c>
      <c r="DL3745" s="5" t="s">
        <v>240</v>
      </c>
      <c r="DP3745" s="5" t="s">
        <v>240</v>
      </c>
      <c r="DQ3745" s="5" t="s">
        <v>240</v>
      </c>
      <c r="DR3745" s="5" t="s">
        <v>240</v>
      </c>
      <c r="DS3745" s="5" t="s">
        <v>240</v>
      </c>
      <c r="DV3745" s="5" t="s">
        <v>310</v>
      </c>
      <c r="DW3745" s="5" t="s">
        <v>2432</v>
      </c>
      <c r="HO3745" s="5" t="s">
        <v>312</v>
      </c>
    </row>
    <row r="3746" spans="1:240" x14ac:dyDescent="0.4">
      <c r="A3746" s="5">
        <v>9288</v>
      </c>
      <c r="B3746" s="5">
        <v>1</v>
      </c>
      <c r="C3746" s="5">
        <v>1</v>
      </c>
      <c r="D3746" s="5" t="s">
        <v>723</v>
      </c>
      <c r="E3746" s="5" t="s">
        <v>725</v>
      </c>
      <c r="F3746" s="5" t="s">
        <v>254</v>
      </c>
      <c r="G3746" s="5" t="s">
        <v>726</v>
      </c>
      <c r="H3746" s="6" t="s">
        <v>5484</v>
      </c>
      <c r="I3746" s="5" t="s">
        <v>5483</v>
      </c>
      <c r="J3746" s="7">
        <f>1</f>
        <v>1</v>
      </c>
      <c r="K3746" s="5" t="s">
        <v>3682</v>
      </c>
      <c r="L3746" s="7">
        <f>1</f>
        <v>1</v>
      </c>
      <c r="M3746" s="7">
        <f>1</f>
        <v>1</v>
      </c>
      <c r="N3746" s="5" t="s">
        <v>242</v>
      </c>
      <c r="O3746" s="5">
        <v>1</v>
      </c>
      <c r="P3746" s="5" t="s">
        <v>294</v>
      </c>
      <c r="Q3746" s="5" t="s">
        <v>613</v>
      </c>
      <c r="R3746" s="5" t="s">
        <v>240</v>
      </c>
      <c r="S3746" s="5" t="s">
        <v>240</v>
      </c>
      <c r="T3746" s="5" t="s">
        <v>243</v>
      </c>
      <c r="U3746" s="5" t="s">
        <v>724</v>
      </c>
      <c r="V3746" s="5" t="s">
        <v>240</v>
      </c>
      <c r="W3746" s="5" t="s">
        <v>240</v>
      </c>
      <c r="X3746" s="5" t="s">
        <v>240</v>
      </c>
      <c r="Y3746" s="5" t="s">
        <v>240</v>
      </c>
      <c r="Z3746" s="6" t="s">
        <v>298</v>
      </c>
      <c r="AA3746" s="6" t="s">
        <v>240</v>
      </c>
      <c r="AB3746" s="6" t="s">
        <v>240</v>
      </c>
      <c r="AC3746" s="5" t="s">
        <v>240</v>
      </c>
      <c r="AD3746" s="6" t="s">
        <v>240</v>
      </c>
      <c r="AE3746" s="6" t="s">
        <v>299</v>
      </c>
      <c r="AF3746" s="5" t="s">
        <v>727</v>
      </c>
      <c r="AG3746" s="5" t="s">
        <v>260</v>
      </c>
      <c r="AH3746" s="5" t="s">
        <v>240</v>
      </c>
      <c r="AI3746" s="5" t="s">
        <v>240</v>
      </c>
      <c r="AJ3746" s="5" t="s">
        <v>240</v>
      </c>
      <c r="AK3746" s="5" t="s">
        <v>240</v>
      </c>
      <c r="AL3746" s="5" t="s">
        <v>240</v>
      </c>
      <c r="AM3746" s="5" t="s">
        <v>240</v>
      </c>
      <c r="AN3746" s="5" t="s">
        <v>240</v>
      </c>
      <c r="AO3746" s="5" t="s">
        <v>240</v>
      </c>
      <c r="AP3746" s="6" t="s">
        <v>240</v>
      </c>
      <c r="AQ3746" s="6" t="s">
        <v>240</v>
      </c>
      <c r="AR3746" s="6" t="s">
        <v>240</v>
      </c>
      <c r="AS3746" s="6" t="s">
        <v>240</v>
      </c>
      <c r="AT3746" s="5" t="s">
        <v>240</v>
      </c>
      <c r="AU3746" s="5" t="s">
        <v>729</v>
      </c>
      <c r="AV3746" s="5" t="s">
        <v>729</v>
      </c>
      <c r="AW3746" s="5" t="s">
        <v>251</v>
      </c>
      <c r="AX3746" s="5" t="s">
        <v>252</v>
      </c>
      <c r="AY3746" s="5" t="s">
        <v>253</v>
      </c>
      <c r="AZ3746" s="5" t="s">
        <v>240</v>
      </c>
      <c r="BA3746" s="5" t="s">
        <v>255</v>
      </c>
      <c r="BB3746" s="5" t="s">
        <v>731</v>
      </c>
      <c r="BD3746" s="5" t="s">
        <v>240</v>
      </c>
      <c r="BF3746" s="5" t="s">
        <v>732</v>
      </c>
      <c r="BG3746" s="6" t="s">
        <v>733</v>
      </c>
      <c r="BH3746" s="5" t="s">
        <v>734</v>
      </c>
      <c r="BI3746" s="5" t="s">
        <v>734</v>
      </c>
      <c r="BJ3746" s="5" t="s">
        <v>240</v>
      </c>
      <c r="BK3746" s="8">
        <f>365</f>
        <v>365</v>
      </c>
      <c r="BL3746" s="7">
        <f>0</f>
        <v>0</v>
      </c>
      <c r="BM3746" s="5" t="s">
        <v>258</v>
      </c>
      <c r="BN3746" s="5" t="s">
        <v>259</v>
      </c>
      <c r="BO3746" s="5" t="s">
        <v>240</v>
      </c>
      <c r="BP3746" s="5" t="s">
        <v>240</v>
      </c>
      <c r="BQ3746" s="5" t="s">
        <v>240</v>
      </c>
      <c r="BR3746" s="5" t="s">
        <v>240</v>
      </c>
      <c r="BS3746" s="5" t="s">
        <v>240</v>
      </c>
      <c r="BT3746" s="5" t="s">
        <v>240</v>
      </c>
      <c r="BU3746" s="5" t="s">
        <v>240</v>
      </c>
      <c r="BV3746" s="5" t="s">
        <v>240</v>
      </c>
      <c r="BW3746" s="6" t="s">
        <v>240</v>
      </c>
      <c r="BX3746" s="5" t="s">
        <v>240</v>
      </c>
      <c r="BY3746" s="5" t="s">
        <v>240</v>
      </c>
      <c r="BZ3746" s="5" t="s">
        <v>240</v>
      </c>
      <c r="CA3746" s="5" t="s">
        <v>259</v>
      </c>
      <c r="CB3746" s="5" t="s">
        <v>240</v>
      </c>
      <c r="CC3746" s="5" t="s">
        <v>240</v>
      </c>
      <c r="CD3746" s="5" t="s">
        <v>240</v>
      </c>
      <c r="CE3746" s="5" t="s">
        <v>240</v>
      </c>
      <c r="CF3746" s="5" t="s">
        <v>240</v>
      </c>
      <c r="CG3746" s="5" t="s">
        <v>617</v>
      </c>
      <c r="CH3746" s="5" t="s">
        <v>305</v>
      </c>
      <c r="CI3746" s="5" t="s">
        <v>240</v>
      </c>
      <c r="CL3746" s="6" t="s">
        <v>261</v>
      </c>
      <c r="CM3746" s="5" t="s">
        <v>262</v>
      </c>
      <c r="CN3746" s="5" t="s">
        <v>263</v>
      </c>
      <c r="CO3746" s="5" t="s">
        <v>264</v>
      </c>
      <c r="CP3746" s="5" t="s">
        <v>240</v>
      </c>
      <c r="CQ3746" s="5">
        <v>0</v>
      </c>
      <c r="CR3746" s="5" t="s">
        <v>735</v>
      </c>
      <c r="CS3746" s="5" t="s">
        <v>307</v>
      </c>
      <c r="CT3746" s="5" t="s">
        <v>307</v>
      </c>
      <c r="CU3746" s="5" t="s">
        <v>260</v>
      </c>
      <c r="CV3746" s="5" t="s">
        <v>240</v>
      </c>
      <c r="CW3746" s="8">
        <f>0</f>
        <v>0</v>
      </c>
      <c r="CX3746" s="7">
        <f>0</f>
        <v>0</v>
      </c>
      <c r="CY3746" s="7">
        <f>0</f>
        <v>0</v>
      </c>
      <c r="DA3746" s="7">
        <f>4015</f>
        <v>4015</v>
      </c>
      <c r="DB3746" s="7" t="s">
        <v>240</v>
      </c>
      <c r="DC3746" s="5" t="s">
        <v>240</v>
      </c>
      <c r="DD3746" s="5" t="s">
        <v>240</v>
      </c>
      <c r="DE3746" s="5" t="s">
        <v>240</v>
      </c>
      <c r="DF3746" s="5" t="s">
        <v>450</v>
      </c>
      <c r="DG3746" s="7">
        <f>0</f>
        <v>0</v>
      </c>
      <c r="DI3746" s="5" t="s">
        <v>737</v>
      </c>
      <c r="DJ3746" s="5" t="s">
        <v>240</v>
      </c>
      <c r="DK3746" s="5" t="s">
        <v>240</v>
      </c>
      <c r="DL3746" s="5" t="s">
        <v>240</v>
      </c>
      <c r="DM3746" s="5" t="s">
        <v>240</v>
      </c>
      <c r="DN3746" s="5" t="s">
        <v>240</v>
      </c>
      <c r="DO3746" s="7" t="s">
        <v>240</v>
      </c>
      <c r="DP3746" s="5" t="s">
        <v>240</v>
      </c>
      <c r="DQ3746" s="5" t="s">
        <v>240</v>
      </c>
      <c r="DR3746" s="5" t="s">
        <v>731</v>
      </c>
      <c r="DS3746" s="5" t="s">
        <v>731</v>
      </c>
      <c r="DT3746" s="5" t="s">
        <v>240</v>
      </c>
      <c r="DU3746" s="5" t="s">
        <v>240</v>
      </c>
      <c r="DV3746" s="5" t="s">
        <v>738</v>
      </c>
      <c r="DW3746" s="5" t="s">
        <v>787</v>
      </c>
      <c r="DX3746" s="5" t="s">
        <v>240</v>
      </c>
      <c r="DY3746" s="5" t="s">
        <v>240</v>
      </c>
      <c r="DZ3746" s="5" t="s">
        <v>240</v>
      </c>
      <c r="EA3746" s="5" t="s">
        <v>240</v>
      </c>
      <c r="EB3746" s="5" t="s">
        <v>240</v>
      </c>
      <c r="EC3746" s="5" t="s">
        <v>240</v>
      </c>
      <c r="ED3746" s="5" t="s">
        <v>240</v>
      </c>
      <c r="EE3746" s="5" t="s">
        <v>240</v>
      </c>
      <c r="EF3746" s="5" t="s">
        <v>240</v>
      </c>
      <c r="EG3746" s="5" t="s">
        <v>240</v>
      </c>
      <c r="EH3746" s="5" t="s">
        <v>240</v>
      </c>
      <c r="EI3746" s="5" t="s">
        <v>240</v>
      </c>
      <c r="EJ3746" s="5" t="s">
        <v>240</v>
      </c>
      <c r="EK3746" s="5" t="s">
        <v>240</v>
      </c>
      <c r="EL3746" s="5" t="s">
        <v>240</v>
      </c>
      <c r="EM3746" s="5" t="s">
        <v>240</v>
      </c>
      <c r="EN3746" s="5" t="s">
        <v>240</v>
      </c>
      <c r="EO3746" s="5" t="s">
        <v>240</v>
      </c>
      <c r="EP3746" s="5" t="s">
        <v>240</v>
      </c>
      <c r="EQ3746" s="5" t="s">
        <v>240</v>
      </c>
      <c r="ER3746" s="5" t="s">
        <v>240</v>
      </c>
      <c r="ES3746" s="5" t="s">
        <v>240</v>
      </c>
      <c r="ET3746" s="5" t="s">
        <v>240</v>
      </c>
      <c r="EU3746" s="5" t="s">
        <v>240</v>
      </c>
      <c r="EV3746" s="5" t="s">
        <v>240</v>
      </c>
      <c r="EW3746" s="5" t="s">
        <v>240</v>
      </c>
      <c r="EX3746" s="5" t="s">
        <v>240</v>
      </c>
      <c r="EY3746" s="5" t="s">
        <v>240</v>
      </c>
      <c r="EZ3746" s="5" t="s">
        <v>240</v>
      </c>
      <c r="FA3746" s="5" t="s">
        <v>240</v>
      </c>
      <c r="FB3746" s="5" t="s">
        <v>240</v>
      </c>
      <c r="FC3746" s="5" t="s">
        <v>240</v>
      </c>
      <c r="FD3746" s="5" t="s">
        <v>240</v>
      </c>
      <c r="FE3746" s="5" t="s">
        <v>240</v>
      </c>
      <c r="FF3746" s="5" t="s">
        <v>240</v>
      </c>
      <c r="FG3746" s="5" t="s">
        <v>240</v>
      </c>
      <c r="FH3746" s="5" t="s">
        <v>240</v>
      </c>
      <c r="FI3746" s="5" t="s">
        <v>240</v>
      </c>
      <c r="FJ3746" s="5" t="s">
        <v>240</v>
      </c>
      <c r="FK3746" s="5" t="s">
        <v>240</v>
      </c>
      <c r="FL3746" s="5" t="s">
        <v>240</v>
      </c>
      <c r="FM3746" s="5" t="s">
        <v>240</v>
      </c>
      <c r="FN3746" s="5" t="s">
        <v>240</v>
      </c>
      <c r="FO3746" s="5" t="s">
        <v>240</v>
      </c>
      <c r="FP3746" s="5" t="s">
        <v>240</v>
      </c>
      <c r="FQ3746" s="5" t="s">
        <v>240</v>
      </c>
      <c r="FR3746" s="5" t="s">
        <v>240</v>
      </c>
      <c r="FS3746" s="5" t="s">
        <v>240</v>
      </c>
      <c r="FT3746" s="5" t="s">
        <v>240</v>
      </c>
      <c r="FU3746" s="5" t="s">
        <v>240</v>
      </c>
      <c r="FV3746" s="5" t="s">
        <v>240</v>
      </c>
      <c r="FW3746" s="5" t="s">
        <v>240</v>
      </c>
      <c r="FX3746" s="5" t="s">
        <v>240</v>
      </c>
      <c r="FY3746" s="5" t="s">
        <v>240</v>
      </c>
      <c r="FZ3746" s="5" t="s">
        <v>240</v>
      </c>
      <c r="GA3746" s="5" t="s">
        <v>240</v>
      </c>
      <c r="GB3746" s="5" t="s">
        <v>240</v>
      </c>
      <c r="GC3746" s="5" t="s">
        <v>240</v>
      </c>
      <c r="GD3746" s="5" t="s">
        <v>240</v>
      </c>
      <c r="GE3746" s="5" t="s">
        <v>240</v>
      </c>
      <c r="GF3746" s="5" t="s">
        <v>240</v>
      </c>
      <c r="GG3746" s="5" t="s">
        <v>240</v>
      </c>
      <c r="GH3746" s="5" t="s">
        <v>240</v>
      </c>
      <c r="GI3746" s="5" t="s">
        <v>240</v>
      </c>
      <c r="GJ3746" s="5" t="s">
        <v>240</v>
      </c>
      <c r="GK3746" s="5" t="s">
        <v>240</v>
      </c>
      <c r="GL3746" s="5" t="s">
        <v>240</v>
      </c>
      <c r="GM3746" s="5" t="s">
        <v>240</v>
      </c>
      <c r="GN3746" s="5" t="s">
        <v>240</v>
      </c>
      <c r="GO3746" s="5" t="s">
        <v>240</v>
      </c>
      <c r="GP3746" s="5" t="s">
        <v>240</v>
      </c>
      <c r="GQ3746" s="5" t="s">
        <v>240</v>
      </c>
      <c r="GR3746" s="5" t="s">
        <v>240</v>
      </c>
      <c r="GS3746" s="5" t="s">
        <v>240</v>
      </c>
      <c r="GT3746" s="5" t="s">
        <v>240</v>
      </c>
      <c r="GU3746" s="5" t="s">
        <v>240</v>
      </c>
      <c r="GV3746" s="5" t="s">
        <v>240</v>
      </c>
      <c r="GW3746" s="5" t="s">
        <v>240</v>
      </c>
      <c r="GX3746" s="5" t="s">
        <v>240</v>
      </c>
      <c r="GY3746" s="5" t="s">
        <v>240</v>
      </c>
      <c r="GZ3746" s="5" t="s">
        <v>240</v>
      </c>
      <c r="HA3746" s="5" t="s">
        <v>240</v>
      </c>
      <c r="HB3746" s="5" t="s">
        <v>240</v>
      </c>
      <c r="HC3746" s="5" t="s">
        <v>240</v>
      </c>
      <c r="HD3746" s="5" t="s">
        <v>240</v>
      </c>
      <c r="HE3746" s="5" t="s">
        <v>240</v>
      </c>
      <c r="HF3746" s="5" t="s">
        <v>240</v>
      </c>
      <c r="HG3746" s="5" t="s">
        <v>240</v>
      </c>
      <c r="HH3746" s="5" t="s">
        <v>240</v>
      </c>
      <c r="HI3746" s="5" t="s">
        <v>240</v>
      </c>
      <c r="HJ3746" s="5" t="s">
        <v>240</v>
      </c>
      <c r="HK3746" s="5" t="s">
        <v>240</v>
      </c>
      <c r="HL3746" s="5" t="s">
        <v>240</v>
      </c>
      <c r="HM3746" s="5" t="s">
        <v>240</v>
      </c>
      <c r="HN3746" s="5" t="s">
        <v>240</v>
      </c>
      <c r="HO3746" s="5" t="s">
        <v>312</v>
      </c>
      <c r="HP3746" s="5" t="s">
        <v>240</v>
      </c>
      <c r="HQ3746" s="5" t="s">
        <v>240</v>
      </c>
      <c r="HR3746" s="5" t="s">
        <v>240</v>
      </c>
      <c r="HS3746" s="5" t="s">
        <v>240</v>
      </c>
      <c r="HT3746" s="5" t="s">
        <v>240</v>
      </c>
      <c r="HU3746" s="5" t="s">
        <v>240</v>
      </c>
      <c r="HV3746" s="5" t="s">
        <v>240</v>
      </c>
      <c r="HW3746" s="5" t="s">
        <v>240</v>
      </c>
      <c r="HX3746" s="5" t="s">
        <v>240</v>
      </c>
      <c r="HY3746" s="5" t="s">
        <v>240</v>
      </c>
      <c r="HZ3746" s="5" t="s">
        <v>240</v>
      </c>
      <c r="IA3746" s="5" t="s">
        <v>240</v>
      </c>
      <c r="IB3746" s="5" t="s">
        <v>240</v>
      </c>
      <c r="IC3746" s="5" t="s">
        <v>240</v>
      </c>
      <c r="ID3746" s="5" t="s">
        <v>240</v>
      </c>
      <c r="IE3746" s="5" t="s">
        <v>240</v>
      </c>
      <c r="IF3746" s="5" t="s">
        <v>240</v>
      </c>
    </row>
    <row r="3747" spans="1:240" x14ac:dyDescent="0.4">
      <c r="A3747" s="5">
        <v>9289</v>
      </c>
      <c r="B3747" s="5">
        <v>1</v>
      </c>
      <c r="C3747" s="5">
        <v>1</v>
      </c>
      <c r="D3747" s="5" t="s">
        <v>723</v>
      </c>
      <c r="E3747" s="5" t="s">
        <v>725</v>
      </c>
      <c r="F3747" s="5" t="s">
        <v>254</v>
      </c>
      <c r="G3747" s="5" t="s">
        <v>6300</v>
      </c>
      <c r="H3747" s="6" t="s">
        <v>6301</v>
      </c>
      <c r="I3747" s="5" t="s">
        <v>6299</v>
      </c>
      <c r="J3747" s="7">
        <f>1</f>
        <v>1</v>
      </c>
      <c r="K3747" s="5" t="s">
        <v>3682</v>
      </c>
      <c r="L3747" s="7">
        <f>1</f>
        <v>1</v>
      </c>
      <c r="M3747" s="7">
        <f>1</f>
        <v>1</v>
      </c>
      <c r="N3747" s="5" t="s">
        <v>242</v>
      </c>
      <c r="O3747" s="5">
        <v>1</v>
      </c>
      <c r="P3747" s="5" t="s">
        <v>294</v>
      </c>
      <c r="Q3747" s="5" t="s">
        <v>266</v>
      </c>
      <c r="R3747" s="5" t="s">
        <v>240</v>
      </c>
      <c r="S3747" s="5" t="s">
        <v>240</v>
      </c>
      <c r="T3747" s="5" t="s">
        <v>243</v>
      </c>
      <c r="U3747" s="5" t="s">
        <v>240</v>
      </c>
      <c r="V3747" s="5" t="s">
        <v>240</v>
      </c>
      <c r="Y3747" s="5" t="s">
        <v>240</v>
      </c>
      <c r="Z3747" s="6" t="s">
        <v>6629</v>
      </c>
      <c r="AB3747" s="6" t="s">
        <v>240</v>
      </c>
      <c r="AE3747" s="6" t="s">
        <v>299</v>
      </c>
      <c r="AF3747" s="5" t="s">
        <v>248</v>
      </c>
      <c r="AG3747" s="5" t="s">
        <v>249</v>
      </c>
      <c r="AW3747" s="5" t="s">
        <v>251</v>
      </c>
      <c r="AX3747" s="5" t="s">
        <v>240</v>
      </c>
      <c r="AY3747" s="5" t="s">
        <v>253</v>
      </c>
      <c r="AZ3747" s="5" t="s">
        <v>240</v>
      </c>
      <c r="BA3747" s="5" t="s">
        <v>255</v>
      </c>
      <c r="BB3747" s="5" t="s">
        <v>240</v>
      </c>
      <c r="BD3747" s="5" t="s">
        <v>240</v>
      </c>
      <c r="BF3747" s="5" t="s">
        <v>301</v>
      </c>
      <c r="BG3747" s="6" t="s">
        <v>6629</v>
      </c>
      <c r="BH3747" s="5" t="s">
        <v>302</v>
      </c>
      <c r="BI3747" s="5" t="s">
        <v>6608</v>
      </c>
      <c r="BJ3747" s="5" t="s">
        <v>240</v>
      </c>
      <c r="BK3747" s="8">
        <f>0</f>
        <v>0</v>
      </c>
      <c r="BL3747" s="7">
        <f>0</f>
        <v>0</v>
      </c>
      <c r="BM3747" s="5" t="s">
        <v>258</v>
      </c>
      <c r="BN3747" s="5" t="s">
        <v>259</v>
      </c>
      <c r="CB3747" s="5" t="s">
        <v>240</v>
      </c>
      <c r="CC3747" s="5" t="s">
        <v>240</v>
      </c>
      <c r="CG3747" s="5" t="s">
        <v>449</v>
      </c>
      <c r="CH3747" s="5" t="s">
        <v>305</v>
      </c>
      <c r="CI3747" s="5" t="s">
        <v>240</v>
      </c>
      <c r="CL3747" s="6" t="s">
        <v>261</v>
      </c>
      <c r="CM3747" s="5" t="s">
        <v>240</v>
      </c>
      <c r="CN3747" s="5" t="s">
        <v>263</v>
      </c>
      <c r="CO3747" s="5" t="s">
        <v>240</v>
      </c>
      <c r="CP3747" s="5" t="s">
        <v>240</v>
      </c>
      <c r="CQ3747" s="5">
        <v>0</v>
      </c>
      <c r="CR3747" s="5" t="s">
        <v>306</v>
      </c>
      <c r="CS3747" s="5" t="s">
        <v>307</v>
      </c>
      <c r="CT3747" s="5" t="s">
        <v>307</v>
      </c>
      <c r="CU3747" s="5" t="s">
        <v>260</v>
      </c>
      <c r="CX3747" s="7">
        <f>2076374</f>
        <v>2076374</v>
      </c>
      <c r="CY3747" s="7">
        <f>0</f>
        <v>0</v>
      </c>
      <c r="DA3747" s="7">
        <f>0</f>
        <v>0</v>
      </c>
      <c r="DC3747" s="5" t="s">
        <v>450</v>
      </c>
      <c r="DD3747" s="5" t="s">
        <v>240</v>
      </c>
      <c r="DF3747" s="5" t="s">
        <v>450</v>
      </c>
      <c r="DG3747" s="7">
        <f>0</f>
        <v>0</v>
      </c>
      <c r="DI3747" s="5" t="s">
        <v>240</v>
      </c>
      <c r="DJ3747" s="5" t="s">
        <v>240</v>
      </c>
      <c r="DK3747" s="5" t="s">
        <v>240</v>
      </c>
      <c r="DL3747" s="5" t="s">
        <v>240</v>
      </c>
      <c r="DP3747" s="5" t="s">
        <v>240</v>
      </c>
      <c r="DQ3747" s="5" t="s">
        <v>240</v>
      </c>
      <c r="DR3747" s="5" t="s">
        <v>240</v>
      </c>
      <c r="DS3747" s="5" t="s">
        <v>240</v>
      </c>
      <c r="DV3747" s="5" t="s">
        <v>310</v>
      </c>
      <c r="DW3747" s="5" t="s">
        <v>2310</v>
      </c>
      <c r="HO3747" s="5" t="s">
        <v>312</v>
      </c>
    </row>
    <row r="3748" spans="1:240" x14ac:dyDescent="0.4">
      <c r="A3748" s="5">
        <v>9290</v>
      </c>
      <c r="B3748" s="5">
        <v>1</v>
      </c>
      <c r="C3748" s="5">
        <v>1</v>
      </c>
      <c r="D3748" s="5" t="s">
        <v>723</v>
      </c>
      <c r="E3748" s="5" t="s">
        <v>725</v>
      </c>
      <c r="F3748" s="5" t="s">
        <v>254</v>
      </c>
      <c r="G3748" s="5" t="s">
        <v>726</v>
      </c>
      <c r="H3748" s="6" t="s">
        <v>5481</v>
      </c>
      <c r="I3748" s="5" t="s">
        <v>5480</v>
      </c>
      <c r="J3748" s="7">
        <f>1</f>
        <v>1</v>
      </c>
      <c r="K3748" s="5" t="s">
        <v>3682</v>
      </c>
      <c r="L3748" s="7">
        <f>1</f>
        <v>1</v>
      </c>
      <c r="M3748" s="7">
        <f>1</f>
        <v>1</v>
      </c>
      <c r="N3748" s="5" t="s">
        <v>242</v>
      </c>
      <c r="O3748" s="5">
        <v>1</v>
      </c>
      <c r="P3748" s="5" t="s">
        <v>294</v>
      </c>
      <c r="Q3748" s="5" t="s">
        <v>613</v>
      </c>
      <c r="R3748" s="5" t="s">
        <v>240</v>
      </c>
      <c r="S3748" s="5" t="s">
        <v>240</v>
      </c>
      <c r="T3748" s="5" t="s">
        <v>243</v>
      </c>
      <c r="U3748" s="5" t="s">
        <v>724</v>
      </c>
      <c r="V3748" s="5" t="s">
        <v>240</v>
      </c>
      <c r="W3748" s="5" t="s">
        <v>240</v>
      </c>
      <c r="X3748" s="5" t="s">
        <v>240</v>
      </c>
      <c r="Y3748" s="5" t="s">
        <v>240</v>
      </c>
      <c r="Z3748" s="6" t="s">
        <v>298</v>
      </c>
      <c r="AA3748" s="6" t="s">
        <v>240</v>
      </c>
      <c r="AB3748" s="6" t="s">
        <v>240</v>
      </c>
      <c r="AC3748" s="5" t="s">
        <v>240</v>
      </c>
      <c r="AD3748" s="6" t="s">
        <v>240</v>
      </c>
      <c r="AE3748" s="6" t="s">
        <v>299</v>
      </c>
      <c r="AF3748" s="5" t="s">
        <v>727</v>
      </c>
      <c r="AG3748" s="5" t="s">
        <v>260</v>
      </c>
      <c r="AH3748" s="5" t="s">
        <v>240</v>
      </c>
      <c r="AI3748" s="5" t="s">
        <v>240</v>
      </c>
      <c r="AJ3748" s="5" t="s">
        <v>240</v>
      </c>
      <c r="AK3748" s="5" t="s">
        <v>240</v>
      </c>
      <c r="AL3748" s="5" t="s">
        <v>240</v>
      </c>
      <c r="AM3748" s="5" t="s">
        <v>240</v>
      </c>
      <c r="AN3748" s="5" t="s">
        <v>240</v>
      </c>
      <c r="AO3748" s="5" t="s">
        <v>240</v>
      </c>
      <c r="AP3748" s="6" t="s">
        <v>240</v>
      </c>
      <c r="AQ3748" s="6" t="s">
        <v>240</v>
      </c>
      <c r="AR3748" s="6" t="s">
        <v>240</v>
      </c>
      <c r="AS3748" s="6" t="s">
        <v>240</v>
      </c>
      <c r="AT3748" s="5" t="s">
        <v>240</v>
      </c>
      <c r="AU3748" s="5" t="s">
        <v>729</v>
      </c>
      <c r="AV3748" s="5" t="s">
        <v>729</v>
      </c>
      <c r="AW3748" s="5" t="s">
        <v>251</v>
      </c>
      <c r="AX3748" s="5" t="s">
        <v>252</v>
      </c>
      <c r="AY3748" s="5" t="s">
        <v>253</v>
      </c>
      <c r="AZ3748" s="5" t="s">
        <v>240</v>
      </c>
      <c r="BA3748" s="5" t="s">
        <v>255</v>
      </c>
      <c r="BB3748" s="5" t="s">
        <v>731</v>
      </c>
      <c r="BD3748" s="5" t="s">
        <v>240</v>
      </c>
      <c r="BF3748" s="5" t="s">
        <v>732</v>
      </c>
      <c r="BG3748" s="6" t="s">
        <v>733</v>
      </c>
      <c r="BH3748" s="5" t="s">
        <v>734</v>
      </c>
      <c r="BI3748" s="5" t="s">
        <v>734</v>
      </c>
      <c r="BJ3748" s="5" t="s">
        <v>240</v>
      </c>
      <c r="BK3748" s="8">
        <f>771</f>
        <v>771</v>
      </c>
      <c r="BL3748" s="7">
        <f>0</f>
        <v>0</v>
      </c>
      <c r="BM3748" s="5" t="s">
        <v>258</v>
      </c>
      <c r="BN3748" s="5" t="s">
        <v>259</v>
      </c>
      <c r="BO3748" s="5" t="s">
        <v>240</v>
      </c>
      <c r="BP3748" s="5" t="s">
        <v>240</v>
      </c>
      <c r="BQ3748" s="5" t="s">
        <v>240</v>
      </c>
      <c r="BR3748" s="5" t="s">
        <v>240</v>
      </c>
      <c r="BS3748" s="5" t="s">
        <v>240</v>
      </c>
      <c r="BT3748" s="5" t="s">
        <v>240</v>
      </c>
      <c r="BU3748" s="5" t="s">
        <v>240</v>
      </c>
      <c r="BV3748" s="5" t="s">
        <v>240</v>
      </c>
      <c r="BW3748" s="6" t="s">
        <v>240</v>
      </c>
      <c r="BX3748" s="5" t="s">
        <v>240</v>
      </c>
      <c r="BY3748" s="5" t="s">
        <v>240</v>
      </c>
      <c r="BZ3748" s="5" t="s">
        <v>240</v>
      </c>
      <c r="CA3748" s="5" t="s">
        <v>259</v>
      </c>
      <c r="CB3748" s="5" t="s">
        <v>240</v>
      </c>
      <c r="CC3748" s="5" t="s">
        <v>240</v>
      </c>
      <c r="CD3748" s="5" t="s">
        <v>240</v>
      </c>
      <c r="CE3748" s="5" t="s">
        <v>240</v>
      </c>
      <c r="CF3748" s="5" t="s">
        <v>240</v>
      </c>
      <c r="CG3748" s="5" t="s">
        <v>617</v>
      </c>
      <c r="CH3748" s="5" t="s">
        <v>305</v>
      </c>
      <c r="CI3748" s="5" t="s">
        <v>240</v>
      </c>
      <c r="CL3748" s="6" t="s">
        <v>261</v>
      </c>
      <c r="CM3748" s="5" t="s">
        <v>262</v>
      </c>
      <c r="CN3748" s="5" t="s">
        <v>263</v>
      </c>
      <c r="CO3748" s="5" t="s">
        <v>264</v>
      </c>
      <c r="CP3748" s="5" t="s">
        <v>240</v>
      </c>
      <c r="CQ3748" s="5">
        <v>0</v>
      </c>
      <c r="CR3748" s="5" t="s">
        <v>735</v>
      </c>
      <c r="CS3748" s="5" t="s">
        <v>307</v>
      </c>
      <c r="CT3748" s="5" t="s">
        <v>307</v>
      </c>
      <c r="CU3748" s="5" t="s">
        <v>260</v>
      </c>
      <c r="CV3748" s="5" t="s">
        <v>240</v>
      </c>
      <c r="CW3748" s="8">
        <f>0</f>
        <v>0</v>
      </c>
      <c r="CX3748" s="7">
        <f>0</f>
        <v>0</v>
      </c>
      <c r="CY3748" s="7">
        <f>0</f>
        <v>0</v>
      </c>
      <c r="DA3748" s="7">
        <f>8481</f>
        <v>8481</v>
      </c>
      <c r="DB3748" s="7" t="s">
        <v>240</v>
      </c>
      <c r="DC3748" s="5" t="s">
        <v>240</v>
      </c>
      <c r="DD3748" s="5" t="s">
        <v>240</v>
      </c>
      <c r="DE3748" s="5" t="s">
        <v>240</v>
      </c>
      <c r="DF3748" s="5" t="s">
        <v>450</v>
      </c>
      <c r="DG3748" s="7">
        <f>0</f>
        <v>0</v>
      </c>
      <c r="DI3748" s="5" t="s">
        <v>737</v>
      </c>
      <c r="DJ3748" s="5" t="s">
        <v>240</v>
      </c>
      <c r="DK3748" s="5" t="s">
        <v>240</v>
      </c>
      <c r="DL3748" s="5" t="s">
        <v>240</v>
      </c>
      <c r="DM3748" s="5" t="s">
        <v>240</v>
      </c>
      <c r="DN3748" s="5" t="s">
        <v>240</v>
      </c>
      <c r="DO3748" s="7" t="s">
        <v>240</v>
      </c>
      <c r="DP3748" s="5" t="s">
        <v>240</v>
      </c>
      <c r="DQ3748" s="5" t="s">
        <v>240</v>
      </c>
      <c r="DR3748" s="5" t="s">
        <v>731</v>
      </c>
      <c r="DS3748" s="5" t="s">
        <v>731</v>
      </c>
      <c r="DT3748" s="5" t="s">
        <v>240</v>
      </c>
      <c r="DU3748" s="5" t="s">
        <v>240</v>
      </c>
      <c r="DV3748" s="5" t="s">
        <v>738</v>
      </c>
      <c r="DW3748" s="5" t="s">
        <v>783</v>
      </c>
      <c r="DX3748" s="5" t="s">
        <v>240</v>
      </c>
      <c r="DY3748" s="5" t="s">
        <v>240</v>
      </c>
      <c r="DZ3748" s="5" t="s">
        <v>240</v>
      </c>
      <c r="EA3748" s="5" t="s">
        <v>240</v>
      </c>
      <c r="EB3748" s="5" t="s">
        <v>240</v>
      </c>
      <c r="EC3748" s="5" t="s">
        <v>240</v>
      </c>
      <c r="ED3748" s="5" t="s">
        <v>240</v>
      </c>
      <c r="EE3748" s="5" t="s">
        <v>240</v>
      </c>
      <c r="EF3748" s="5" t="s">
        <v>240</v>
      </c>
      <c r="EG3748" s="5" t="s">
        <v>240</v>
      </c>
      <c r="EH3748" s="5" t="s">
        <v>240</v>
      </c>
      <c r="EI3748" s="5" t="s">
        <v>240</v>
      </c>
      <c r="EJ3748" s="5" t="s">
        <v>240</v>
      </c>
      <c r="EK3748" s="5" t="s">
        <v>240</v>
      </c>
      <c r="EL3748" s="5" t="s">
        <v>240</v>
      </c>
      <c r="EM3748" s="5" t="s">
        <v>240</v>
      </c>
      <c r="EN3748" s="5" t="s">
        <v>240</v>
      </c>
      <c r="EO3748" s="5" t="s">
        <v>240</v>
      </c>
      <c r="EP3748" s="5" t="s">
        <v>240</v>
      </c>
      <c r="EQ3748" s="5" t="s">
        <v>240</v>
      </c>
      <c r="ER3748" s="5" t="s">
        <v>240</v>
      </c>
      <c r="ES3748" s="5" t="s">
        <v>240</v>
      </c>
      <c r="ET3748" s="5" t="s">
        <v>240</v>
      </c>
      <c r="EU3748" s="5" t="s">
        <v>240</v>
      </c>
      <c r="EV3748" s="5" t="s">
        <v>240</v>
      </c>
      <c r="EW3748" s="5" t="s">
        <v>240</v>
      </c>
      <c r="EX3748" s="5" t="s">
        <v>240</v>
      </c>
      <c r="EY3748" s="5" t="s">
        <v>240</v>
      </c>
      <c r="EZ3748" s="5" t="s">
        <v>240</v>
      </c>
      <c r="FA3748" s="5" t="s">
        <v>240</v>
      </c>
      <c r="FB3748" s="5" t="s">
        <v>240</v>
      </c>
      <c r="FC3748" s="5" t="s">
        <v>240</v>
      </c>
      <c r="FD3748" s="5" t="s">
        <v>240</v>
      </c>
      <c r="FE3748" s="5" t="s">
        <v>240</v>
      </c>
      <c r="FF3748" s="5" t="s">
        <v>240</v>
      </c>
      <c r="FG3748" s="5" t="s">
        <v>240</v>
      </c>
      <c r="FH3748" s="5" t="s">
        <v>240</v>
      </c>
      <c r="FI3748" s="5" t="s">
        <v>240</v>
      </c>
      <c r="FJ3748" s="5" t="s">
        <v>240</v>
      </c>
      <c r="FK3748" s="5" t="s">
        <v>240</v>
      </c>
      <c r="FL3748" s="5" t="s">
        <v>240</v>
      </c>
      <c r="FM3748" s="5" t="s">
        <v>240</v>
      </c>
      <c r="FN3748" s="5" t="s">
        <v>240</v>
      </c>
      <c r="FO3748" s="5" t="s">
        <v>240</v>
      </c>
      <c r="FP3748" s="5" t="s">
        <v>240</v>
      </c>
      <c r="FQ3748" s="5" t="s">
        <v>240</v>
      </c>
      <c r="FR3748" s="5" t="s">
        <v>240</v>
      </c>
      <c r="FS3748" s="5" t="s">
        <v>240</v>
      </c>
      <c r="FT3748" s="5" t="s">
        <v>240</v>
      </c>
      <c r="FU3748" s="5" t="s">
        <v>240</v>
      </c>
      <c r="FV3748" s="5" t="s">
        <v>240</v>
      </c>
      <c r="FW3748" s="5" t="s">
        <v>240</v>
      </c>
      <c r="FX3748" s="5" t="s">
        <v>240</v>
      </c>
      <c r="FY3748" s="5" t="s">
        <v>240</v>
      </c>
      <c r="FZ3748" s="5" t="s">
        <v>240</v>
      </c>
      <c r="GA3748" s="5" t="s">
        <v>240</v>
      </c>
      <c r="GB3748" s="5" t="s">
        <v>240</v>
      </c>
      <c r="GC3748" s="5" t="s">
        <v>240</v>
      </c>
      <c r="GD3748" s="5" t="s">
        <v>240</v>
      </c>
      <c r="GE3748" s="5" t="s">
        <v>240</v>
      </c>
      <c r="GF3748" s="5" t="s">
        <v>240</v>
      </c>
      <c r="GG3748" s="5" t="s">
        <v>240</v>
      </c>
      <c r="GH3748" s="5" t="s">
        <v>240</v>
      </c>
      <c r="GI3748" s="5" t="s">
        <v>240</v>
      </c>
      <c r="GJ3748" s="5" t="s">
        <v>240</v>
      </c>
      <c r="GK3748" s="5" t="s">
        <v>240</v>
      </c>
      <c r="GL3748" s="5" t="s">
        <v>240</v>
      </c>
      <c r="GM3748" s="5" t="s">
        <v>240</v>
      </c>
      <c r="GN3748" s="5" t="s">
        <v>240</v>
      </c>
      <c r="GO3748" s="5" t="s">
        <v>240</v>
      </c>
      <c r="GP3748" s="5" t="s">
        <v>240</v>
      </c>
      <c r="GQ3748" s="5" t="s">
        <v>240</v>
      </c>
      <c r="GR3748" s="5" t="s">
        <v>240</v>
      </c>
      <c r="GS3748" s="5" t="s">
        <v>240</v>
      </c>
      <c r="GT3748" s="5" t="s">
        <v>240</v>
      </c>
      <c r="GU3748" s="5" t="s">
        <v>240</v>
      </c>
      <c r="GV3748" s="5" t="s">
        <v>240</v>
      </c>
      <c r="GW3748" s="5" t="s">
        <v>240</v>
      </c>
      <c r="GX3748" s="5" t="s">
        <v>240</v>
      </c>
      <c r="GY3748" s="5" t="s">
        <v>240</v>
      </c>
      <c r="GZ3748" s="5" t="s">
        <v>240</v>
      </c>
      <c r="HA3748" s="5" t="s">
        <v>240</v>
      </c>
      <c r="HB3748" s="5" t="s">
        <v>240</v>
      </c>
      <c r="HC3748" s="5" t="s">
        <v>240</v>
      </c>
      <c r="HD3748" s="5" t="s">
        <v>240</v>
      </c>
      <c r="HE3748" s="5" t="s">
        <v>240</v>
      </c>
      <c r="HF3748" s="5" t="s">
        <v>240</v>
      </c>
      <c r="HG3748" s="5" t="s">
        <v>240</v>
      </c>
      <c r="HH3748" s="5" t="s">
        <v>240</v>
      </c>
      <c r="HI3748" s="5" t="s">
        <v>240</v>
      </c>
      <c r="HJ3748" s="5" t="s">
        <v>240</v>
      </c>
      <c r="HK3748" s="5" t="s">
        <v>240</v>
      </c>
      <c r="HL3748" s="5" t="s">
        <v>240</v>
      </c>
      <c r="HM3748" s="5" t="s">
        <v>240</v>
      </c>
      <c r="HN3748" s="5" t="s">
        <v>240</v>
      </c>
      <c r="HO3748" s="5" t="s">
        <v>312</v>
      </c>
      <c r="HP3748" s="5" t="s">
        <v>240</v>
      </c>
      <c r="HQ3748" s="5" t="s">
        <v>240</v>
      </c>
      <c r="HR3748" s="5" t="s">
        <v>240</v>
      </c>
      <c r="HS3748" s="5" t="s">
        <v>240</v>
      </c>
      <c r="HT3748" s="5" t="s">
        <v>240</v>
      </c>
      <c r="HU3748" s="5" t="s">
        <v>240</v>
      </c>
      <c r="HV3748" s="5" t="s">
        <v>240</v>
      </c>
      <c r="HW3748" s="5" t="s">
        <v>240</v>
      </c>
      <c r="HX3748" s="5" t="s">
        <v>240</v>
      </c>
      <c r="HY3748" s="5" t="s">
        <v>240</v>
      </c>
      <c r="HZ3748" s="5" t="s">
        <v>240</v>
      </c>
      <c r="IA3748" s="5" t="s">
        <v>240</v>
      </c>
      <c r="IB3748" s="5" t="s">
        <v>240</v>
      </c>
      <c r="IC3748" s="5" t="s">
        <v>240</v>
      </c>
      <c r="ID3748" s="5" t="s">
        <v>240</v>
      </c>
      <c r="IE3748" s="5" t="s">
        <v>240</v>
      </c>
      <c r="IF3748" s="5" t="s">
        <v>240</v>
      </c>
    </row>
    <row r="3749" spans="1:240" x14ac:dyDescent="0.4">
      <c r="A3749" s="5">
        <v>9291</v>
      </c>
      <c r="B3749" s="5">
        <v>1</v>
      </c>
      <c r="C3749" s="5">
        <v>1</v>
      </c>
      <c r="D3749" s="5" t="s">
        <v>723</v>
      </c>
      <c r="E3749" s="5" t="s">
        <v>725</v>
      </c>
      <c r="F3749" s="5" t="s">
        <v>254</v>
      </c>
      <c r="G3749" s="5" t="s">
        <v>5478</v>
      </c>
      <c r="H3749" s="6" t="s">
        <v>5479</v>
      </c>
      <c r="I3749" s="5" t="s">
        <v>5477</v>
      </c>
      <c r="J3749" s="7">
        <f>1</f>
        <v>1</v>
      </c>
      <c r="K3749" s="5" t="s">
        <v>3682</v>
      </c>
      <c r="L3749" s="7">
        <f>1</f>
        <v>1</v>
      </c>
      <c r="M3749" s="7">
        <f>1</f>
        <v>1</v>
      </c>
      <c r="N3749" s="5" t="s">
        <v>242</v>
      </c>
      <c r="O3749" s="5">
        <v>1</v>
      </c>
      <c r="P3749" s="5" t="s">
        <v>294</v>
      </c>
      <c r="Q3749" s="5" t="s">
        <v>613</v>
      </c>
      <c r="R3749" s="5" t="s">
        <v>240</v>
      </c>
      <c r="S3749" s="5" t="s">
        <v>240</v>
      </c>
      <c r="T3749" s="5" t="s">
        <v>243</v>
      </c>
      <c r="U3749" s="5" t="s">
        <v>724</v>
      </c>
      <c r="V3749" s="5" t="s">
        <v>240</v>
      </c>
      <c r="W3749" s="5" t="s">
        <v>240</v>
      </c>
      <c r="X3749" s="5" t="s">
        <v>240</v>
      </c>
      <c r="Y3749" s="5" t="s">
        <v>240</v>
      </c>
      <c r="Z3749" s="6" t="s">
        <v>298</v>
      </c>
      <c r="AA3749" s="6" t="s">
        <v>240</v>
      </c>
      <c r="AB3749" s="6" t="s">
        <v>240</v>
      </c>
      <c r="AC3749" s="5" t="s">
        <v>240</v>
      </c>
      <c r="AD3749" s="6" t="s">
        <v>240</v>
      </c>
      <c r="AE3749" s="6" t="s">
        <v>299</v>
      </c>
      <c r="AF3749" s="5" t="s">
        <v>727</v>
      </c>
      <c r="AG3749" s="5" t="s">
        <v>260</v>
      </c>
      <c r="AH3749" s="5" t="s">
        <v>240</v>
      </c>
      <c r="AI3749" s="5" t="s">
        <v>240</v>
      </c>
      <c r="AJ3749" s="5" t="s">
        <v>240</v>
      </c>
      <c r="AK3749" s="5" t="s">
        <v>240</v>
      </c>
      <c r="AL3749" s="5" t="s">
        <v>240</v>
      </c>
      <c r="AM3749" s="5" t="s">
        <v>240</v>
      </c>
      <c r="AN3749" s="5" t="s">
        <v>240</v>
      </c>
      <c r="AO3749" s="5" t="s">
        <v>240</v>
      </c>
      <c r="AP3749" s="6" t="s">
        <v>240</v>
      </c>
      <c r="AQ3749" s="6" t="s">
        <v>240</v>
      </c>
      <c r="AR3749" s="6" t="s">
        <v>240</v>
      </c>
      <c r="AS3749" s="6" t="s">
        <v>240</v>
      </c>
      <c r="AT3749" s="5" t="s">
        <v>240</v>
      </c>
      <c r="AU3749" s="5" t="s">
        <v>729</v>
      </c>
      <c r="AV3749" s="5" t="s">
        <v>729</v>
      </c>
      <c r="AW3749" s="5" t="s">
        <v>251</v>
      </c>
      <c r="AX3749" s="5" t="s">
        <v>252</v>
      </c>
      <c r="AY3749" s="5" t="s">
        <v>253</v>
      </c>
      <c r="AZ3749" s="5" t="s">
        <v>240</v>
      </c>
      <c r="BA3749" s="5" t="s">
        <v>255</v>
      </c>
      <c r="BB3749" s="5" t="s">
        <v>731</v>
      </c>
      <c r="BD3749" s="5" t="s">
        <v>240</v>
      </c>
      <c r="BF3749" s="5" t="s">
        <v>732</v>
      </c>
      <c r="BG3749" s="6" t="s">
        <v>733</v>
      </c>
      <c r="BH3749" s="5" t="s">
        <v>734</v>
      </c>
      <c r="BI3749" s="5" t="s">
        <v>734</v>
      </c>
      <c r="BJ3749" s="5" t="s">
        <v>240</v>
      </c>
      <c r="BK3749" s="8">
        <f>498</f>
        <v>498</v>
      </c>
      <c r="BL3749" s="7">
        <f>0</f>
        <v>0</v>
      </c>
      <c r="BM3749" s="5" t="s">
        <v>258</v>
      </c>
      <c r="BN3749" s="5" t="s">
        <v>259</v>
      </c>
      <c r="BO3749" s="5" t="s">
        <v>240</v>
      </c>
      <c r="BP3749" s="5" t="s">
        <v>240</v>
      </c>
      <c r="BQ3749" s="5" t="s">
        <v>240</v>
      </c>
      <c r="BR3749" s="5" t="s">
        <v>240</v>
      </c>
      <c r="BS3749" s="5" t="s">
        <v>240</v>
      </c>
      <c r="BT3749" s="5" t="s">
        <v>240</v>
      </c>
      <c r="BU3749" s="5" t="s">
        <v>240</v>
      </c>
      <c r="BV3749" s="5" t="s">
        <v>240</v>
      </c>
      <c r="BW3749" s="6" t="s">
        <v>240</v>
      </c>
      <c r="BX3749" s="5" t="s">
        <v>240</v>
      </c>
      <c r="BY3749" s="5" t="s">
        <v>240</v>
      </c>
      <c r="BZ3749" s="5" t="s">
        <v>240</v>
      </c>
      <c r="CA3749" s="5" t="s">
        <v>259</v>
      </c>
      <c r="CB3749" s="5" t="s">
        <v>240</v>
      </c>
      <c r="CC3749" s="5" t="s">
        <v>240</v>
      </c>
      <c r="CD3749" s="5" t="s">
        <v>240</v>
      </c>
      <c r="CE3749" s="5" t="s">
        <v>240</v>
      </c>
      <c r="CF3749" s="5" t="s">
        <v>240</v>
      </c>
      <c r="CG3749" s="5" t="s">
        <v>617</v>
      </c>
      <c r="CH3749" s="5" t="s">
        <v>305</v>
      </c>
      <c r="CI3749" s="5" t="s">
        <v>240</v>
      </c>
      <c r="CL3749" s="6" t="s">
        <v>261</v>
      </c>
      <c r="CM3749" s="5" t="s">
        <v>262</v>
      </c>
      <c r="CN3749" s="5" t="s">
        <v>263</v>
      </c>
      <c r="CO3749" s="5" t="s">
        <v>264</v>
      </c>
      <c r="CP3749" s="5" t="s">
        <v>240</v>
      </c>
      <c r="CQ3749" s="5">
        <v>0</v>
      </c>
      <c r="CR3749" s="5" t="s">
        <v>735</v>
      </c>
      <c r="CS3749" s="5" t="s">
        <v>307</v>
      </c>
      <c r="CT3749" s="5" t="s">
        <v>307</v>
      </c>
      <c r="CU3749" s="5" t="s">
        <v>260</v>
      </c>
      <c r="CV3749" s="5" t="s">
        <v>240</v>
      </c>
      <c r="CW3749" s="8">
        <f>0</f>
        <v>0</v>
      </c>
      <c r="CX3749" s="7">
        <f>0</f>
        <v>0</v>
      </c>
      <c r="CY3749" s="7">
        <f>0</f>
        <v>0</v>
      </c>
      <c r="DA3749" s="7">
        <f>5478</f>
        <v>5478</v>
      </c>
      <c r="DB3749" s="7" t="s">
        <v>240</v>
      </c>
      <c r="DC3749" s="5" t="s">
        <v>240</v>
      </c>
      <c r="DD3749" s="5" t="s">
        <v>240</v>
      </c>
      <c r="DE3749" s="5" t="s">
        <v>240</v>
      </c>
      <c r="DF3749" s="5" t="s">
        <v>450</v>
      </c>
      <c r="DG3749" s="7">
        <f>0</f>
        <v>0</v>
      </c>
      <c r="DI3749" s="5" t="s">
        <v>737</v>
      </c>
      <c r="DJ3749" s="5" t="s">
        <v>240</v>
      </c>
      <c r="DK3749" s="5" t="s">
        <v>240</v>
      </c>
      <c r="DL3749" s="5" t="s">
        <v>240</v>
      </c>
      <c r="DM3749" s="5" t="s">
        <v>240</v>
      </c>
      <c r="DN3749" s="5" t="s">
        <v>240</v>
      </c>
      <c r="DO3749" s="7" t="s">
        <v>240</v>
      </c>
      <c r="DP3749" s="5" t="s">
        <v>240</v>
      </c>
      <c r="DQ3749" s="5" t="s">
        <v>240</v>
      </c>
      <c r="DR3749" s="5" t="s">
        <v>731</v>
      </c>
      <c r="DS3749" s="5" t="s">
        <v>731</v>
      </c>
      <c r="DT3749" s="5" t="s">
        <v>240</v>
      </c>
      <c r="DU3749" s="5" t="s">
        <v>240</v>
      </c>
      <c r="DV3749" s="5" t="s">
        <v>738</v>
      </c>
      <c r="DW3749" s="5" t="s">
        <v>779</v>
      </c>
      <c r="DX3749" s="5" t="s">
        <v>240</v>
      </c>
      <c r="DY3749" s="5" t="s">
        <v>240</v>
      </c>
      <c r="DZ3749" s="5" t="s">
        <v>240</v>
      </c>
      <c r="EA3749" s="5" t="s">
        <v>240</v>
      </c>
      <c r="EB3749" s="5" t="s">
        <v>240</v>
      </c>
      <c r="EC3749" s="5" t="s">
        <v>240</v>
      </c>
      <c r="ED3749" s="5" t="s">
        <v>240</v>
      </c>
      <c r="EE3749" s="5" t="s">
        <v>240</v>
      </c>
      <c r="EF3749" s="5" t="s">
        <v>240</v>
      </c>
      <c r="EG3749" s="5" t="s">
        <v>240</v>
      </c>
      <c r="EH3749" s="5" t="s">
        <v>240</v>
      </c>
      <c r="EI3749" s="5" t="s">
        <v>240</v>
      </c>
      <c r="EJ3749" s="5" t="s">
        <v>240</v>
      </c>
      <c r="EK3749" s="5" t="s">
        <v>240</v>
      </c>
      <c r="EL3749" s="5" t="s">
        <v>240</v>
      </c>
      <c r="EM3749" s="5" t="s">
        <v>240</v>
      </c>
      <c r="EN3749" s="5" t="s">
        <v>240</v>
      </c>
      <c r="EO3749" s="5" t="s">
        <v>240</v>
      </c>
      <c r="EP3749" s="5" t="s">
        <v>240</v>
      </c>
      <c r="EQ3749" s="5" t="s">
        <v>240</v>
      </c>
      <c r="ER3749" s="5" t="s">
        <v>240</v>
      </c>
      <c r="ES3749" s="5" t="s">
        <v>240</v>
      </c>
      <c r="ET3749" s="5" t="s">
        <v>240</v>
      </c>
      <c r="EU3749" s="5" t="s">
        <v>240</v>
      </c>
      <c r="EV3749" s="5" t="s">
        <v>240</v>
      </c>
      <c r="EW3749" s="5" t="s">
        <v>240</v>
      </c>
      <c r="EX3749" s="5" t="s">
        <v>240</v>
      </c>
      <c r="EY3749" s="5" t="s">
        <v>240</v>
      </c>
      <c r="EZ3749" s="5" t="s">
        <v>240</v>
      </c>
      <c r="FA3749" s="5" t="s">
        <v>240</v>
      </c>
      <c r="FB3749" s="5" t="s">
        <v>240</v>
      </c>
      <c r="FC3749" s="5" t="s">
        <v>240</v>
      </c>
      <c r="FD3749" s="5" t="s">
        <v>240</v>
      </c>
      <c r="FE3749" s="5" t="s">
        <v>240</v>
      </c>
      <c r="FF3749" s="5" t="s">
        <v>240</v>
      </c>
      <c r="FG3749" s="5" t="s">
        <v>240</v>
      </c>
      <c r="FH3749" s="5" t="s">
        <v>240</v>
      </c>
      <c r="FI3749" s="5" t="s">
        <v>240</v>
      </c>
      <c r="FJ3749" s="5" t="s">
        <v>240</v>
      </c>
      <c r="FK3749" s="5" t="s">
        <v>240</v>
      </c>
      <c r="FL3749" s="5" t="s">
        <v>240</v>
      </c>
      <c r="FM3749" s="5" t="s">
        <v>240</v>
      </c>
      <c r="FN3749" s="5" t="s">
        <v>240</v>
      </c>
      <c r="FO3749" s="5" t="s">
        <v>240</v>
      </c>
      <c r="FP3749" s="5" t="s">
        <v>240</v>
      </c>
      <c r="FQ3749" s="5" t="s">
        <v>240</v>
      </c>
      <c r="FR3749" s="5" t="s">
        <v>240</v>
      </c>
      <c r="FS3749" s="5" t="s">
        <v>240</v>
      </c>
      <c r="FT3749" s="5" t="s">
        <v>240</v>
      </c>
      <c r="FU3749" s="5" t="s">
        <v>240</v>
      </c>
      <c r="FV3749" s="5" t="s">
        <v>240</v>
      </c>
      <c r="FW3749" s="5" t="s">
        <v>240</v>
      </c>
      <c r="FX3749" s="5" t="s">
        <v>240</v>
      </c>
      <c r="FY3749" s="5" t="s">
        <v>240</v>
      </c>
      <c r="FZ3749" s="5" t="s">
        <v>240</v>
      </c>
      <c r="GA3749" s="5" t="s">
        <v>240</v>
      </c>
      <c r="GB3749" s="5" t="s">
        <v>240</v>
      </c>
      <c r="GC3749" s="5" t="s">
        <v>240</v>
      </c>
      <c r="GD3749" s="5" t="s">
        <v>240</v>
      </c>
      <c r="GE3749" s="5" t="s">
        <v>240</v>
      </c>
      <c r="GF3749" s="5" t="s">
        <v>240</v>
      </c>
      <c r="GG3749" s="5" t="s">
        <v>240</v>
      </c>
      <c r="GH3749" s="5" t="s">
        <v>240</v>
      </c>
      <c r="GI3749" s="5" t="s">
        <v>240</v>
      </c>
      <c r="GJ3749" s="5" t="s">
        <v>240</v>
      </c>
      <c r="GK3749" s="5" t="s">
        <v>240</v>
      </c>
      <c r="GL3749" s="5" t="s">
        <v>240</v>
      </c>
      <c r="GM3749" s="5" t="s">
        <v>240</v>
      </c>
      <c r="GN3749" s="5" t="s">
        <v>240</v>
      </c>
      <c r="GO3749" s="5" t="s">
        <v>240</v>
      </c>
      <c r="GP3749" s="5" t="s">
        <v>240</v>
      </c>
      <c r="GQ3749" s="5" t="s">
        <v>240</v>
      </c>
      <c r="GR3749" s="5" t="s">
        <v>240</v>
      </c>
      <c r="GS3749" s="5" t="s">
        <v>240</v>
      </c>
      <c r="GT3749" s="5" t="s">
        <v>240</v>
      </c>
      <c r="GU3749" s="5" t="s">
        <v>240</v>
      </c>
      <c r="GV3749" s="5" t="s">
        <v>240</v>
      </c>
      <c r="GW3749" s="5" t="s">
        <v>240</v>
      </c>
      <c r="GX3749" s="5" t="s">
        <v>240</v>
      </c>
      <c r="GY3749" s="5" t="s">
        <v>240</v>
      </c>
      <c r="GZ3749" s="5" t="s">
        <v>240</v>
      </c>
      <c r="HA3749" s="5" t="s">
        <v>240</v>
      </c>
      <c r="HB3749" s="5" t="s">
        <v>240</v>
      </c>
      <c r="HC3749" s="5" t="s">
        <v>240</v>
      </c>
      <c r="HD3749" s="5" t="s">
        <v>240</v>
      </c>
      <c r="HE3749" s="5" t="s">
        <v>240</v>
      </c>
      <c r="HF3749" s="5" t="s">
        <v>240</v>
      </c>
      <c r="HG3749" s="5" t="s">
        <v>240</v>
      </c>
      <c r="HH3749" s="5" t="s">
        <v>240</v>
      </c>
      <c r="HI3749" s="5" t="s">
        <v>240</v>
      </c>
      <c r="HJ3749" s="5" t="s">
        <v>240</v>
      </c>
      <c r="HK3749" s="5" t="s">
        <v>240</v>
      </c>
      <c r="HL3749" s="5" t="s">
        <v>240</v>
      </c>
      <c r="HM3749" s="5" t="s">
        <v>240</v>
      </c>
      <c r="HN3749" s="5" t="s">
        <v>240</v>
      </c>
      <c r="HO3749" s="5" t="s">
        <v>312</v>
      </c>
      <c r="HP3749" s="5" t="s">
        <v>240</v>
      </c>
      <c r="HQ3749" s="5" t="s">
        <v>240</v>
      </c>
      <c r="HR3749" s="5" t="s">
        <v>240</v>
      </c>
      <c r="HS3749" s="5" t="s">
        <v>240</v>
      </c>
      <c r="HT3749" s="5" t="s">
        <v>240</v>
      </c>
      <c r="HU3749" s="5" t="s">
        <v>240</v>
      </c>
      <c r="HV3749" s="5" t="s">
        <v>240</v>
      </c>
      <c r="HW3749" s="5" t="s">
        <v>240</v>
      </c>
      <c r="HX3749" s="5" t="s">
        <v>240</v>
      </c>
      <c r="HY3749" s="5" t="s">
        <v>240</v>
      </c>
      <c r="HZ3749" s="5" t="s">
        <v>240</v>
      </c>
      <c r="IA3749" s="5" t="s">
        <v>240</v>
      </c>
      <c r="IB3749" s="5" t="s">
        <v>240</v>
      </c>
      <c r="IC3749" s="5" t="s">
        <v>240</v>
      </c>
      <c r="ID3749" s="5" t="s">
        <v>240</v>
      </c>
      <c r="IE3749" s="5" t="s">
        <v>240</v>
      </c>
      <c r="IF3749" s="5" t="s">
        <v>240</v>
      </c>
    </row>
    <row r="3750" spans="1:240" x14ac:dyDescent="0.4">
      <c r="A3750" s="5">
        <v>9292</v>
      </c>
      <c r="B3750" s="5">
        <v>1</v>
      </c>
      <c r="C3750" s="5">
        <v>1</v>
      </c>
      <c r="D3750" s="5" t="s">
        <v>723</v>
      </c>
      <c r="E3750" s="5" t="s">
        <v>725</v>
      </c>
      <c r="F3750" s="5" t="s">
        <v>254</v>
      </c>
      <c r="G3750" s="5" t="s">
        <v>5475</v>
      </c>
      <c r="H3750" s="6" t="s">
        <v>5476</v>
      </c>
      <c r="I3750" s="5" t="s">
        <v>5474</v>
      </c>
      <c r="J3750" s="7">
        <f>1</f>
        <v>1</v>
      </c>
      <c r="K3750" s="5" t="s">
        <v>3682</v>
      </c>
      <c r="L3750" s="7">
        <f>1</f>
        <v>1</v>
      </c>
      <c r="M3750" s="7">
        <f>1</f>
        <v>1</v>
      </c>
      <c r="N3750" s="5" t="s">
        <v>242</v>
      </c>
      <c r="O3750" s="5">
        <v>1</v>
      </c>
      <c r="P3750" s="5" t="s">
        <v>294</v>
      </c>
      <c r="Q3750" s="5" t="s">
        <v>3678</v>
      </c>
      <c r="R3750" s="5" t="s">
        <v>240</v>
      </c>
      <c r="S3750" s="5" t="s">
        <v>240</v>
      </c>
      <c r="T3750" s="5" t="s">
        <v>243</v>
      </c>
      <c r="U3750" s="5" t="s">
        <v>244</v>
      </c>
      <c r="V3750" s="5" t="s">
        <v>240</v>
      </c>
      <c r="W3750" s="5" t="s">
        <v>240</v>
      </c>
      <c r="X3750" s="5" t="s">
        <v>240</v>
      </c>
      <c r="Y3750" s="5" t="s">
        <v>240</v>
      </c>
      <c r="Z3750" s="6" t="s">
        <v>298</v>
      </c>
      <c r="AA3750" s="6" t="s">
        <v>240</v>
      </c>
      <c r="AB3750" s="6" t="s">
        <v>240</v>
      </c>
      <c r="AC3750" s="5" t="s">
        <v>240</v>
      </c>
      <c r="AD3750" s="6" t="s">
        <v>240</v>
      </c>
      <c r="AE3750" s="6" t="s">
        <v>299</v>
      </c>
      <c r="AF3750" s="5" t="s">
        <v>248</v>
      </c>
      <c r="AG3750" s="5" t="s">
        <v>249</v>
      </c>
      <c r="AH3750" s="5" t="s">
        <v>240</v>
      </c>
      <c r="AI3750" s="5" t="s">
        <v>240</v>
      </c>
      <c r="AJ3750" s="5" t="s">
        <v>240</v>
      </c>
      <c r="AK3750" s="5" t="s">
        <v>240</v>
      </c>
      <c r="AL3750" s="5" t="s">
        <v>240</v>
      </c>
      <c r="AM3750" s="5" t="s">
        <v>240</v>
      </c>
      <c r="AN3750" s="5" t="s">
        <v>240</v>
      </c>
      <c r="AO3750" s="5" t="s">
        <v>240</v>
      </c>
      <c r="AP3750" s="6" t="s">
        <v>240</v>
      </c>
      <c r="AQ3750" s="6" t="s">
        <v>240</v>
      </c>
      <c r="AR3750" s="6" t="s">
        <v>240</v>
      </c>
      <c r="AS3750" s="6" t="s">
        <v>240</v>
      </c>
      <c r="AT3750" s="5" t="s">
        <v>240</v>
      </c>
      <c r="AU3750" s="5" t="s">
        <v>729</v>
      </c>
      <c r="AV3750" s="5" t="s">
        <v>729</v>
      </c>
      <c r="AW3750" s="5" t="s">
        <v>251</v>
      </c>
      <c r="AX3750" s="5" t="s">
        <v>252</v>
      </c>
      <c r="AY3750" s="5" t="s">
        <v>253</v>
      </c>
      <c r="AZ3750" s="5" t="s">
        <v>240</v>
      </c>
      <c r="BA3750" s="5" t="s">
        <v>255</v>
      </c>
      <c r="BB3750" s="5" t="s">
        <v>731</v>
      </c>
      <c r="BD3750" s="5" t="s">
        <v>240</v>
      </c>
      <c r="BF3750" s="5" t="s">
        <v>732</v>
      </c>
      <c r="BG3750" s="6" t="s">
        <v>733</v>
      </c>
      <c r="BH3750" s="5" t="s">
        <v>734</v>
      </c>
      <c r="BI3750" s="5" t="s">
        <v>734</v>
      </c>
      <c r="BJ3750" s="5" t="s">
        <v>240</v>
      </c>
      <c r="BK3750" s="7">
        <f>1</f>
        <v>1</v>
      </c>
      <c r="BL3750" s="7">
        <f>1</f>
        <v>1</v>
      </c>
      <c r="BM3750" s="5" t="s">
        <v>258</v>
      </c>
      <c r="BN3750" s="5" t="s">
        <v>259</v>
      </c>
      <c r="BO3750" s="5" t="s">
        <v>240</v>
      </c>
      <c r="BP3750" s="5" t="s">
        <v>240</v>
      </c>
      <c r="BQ3750" s="5" t="s">
        <v>240</v>
      </c>
      <c r="BR3750" s="5" t="s">
        <v>240</v>
      </c>
      <c r="BS3750" s="5" t="s">
        <v>240</v>
      </c>
      <c r="BT3750" s="5" t="s">
        <v>240</v>
      </c>
      <c r="BU3750" s="5" t="s">
        <v>240</v>
      </c>
      <c r="BV3750" s="5" t="s">
        <v>240</v>
      </c>
      <c r="BW3750" s="6" t="s">
        <v>240</v>
      </c>
      <c r="BX3750" s="5" t="s">
        <v>240</v>
      </c>
      <c r="BY3750" s="5" t="s">
        <v>240</v>
      </c>
      <c r="BZ3750" s="5" t="s">
        <v>240</v>
      </c>
      <c r="CA3750" s="5" t="s">
        <v>259</v>
      </c>
      <c r="CB3750" s="5" t="s">
        <v>240</v>
      </c>
      <c r="CC3750" s="5" t="s">
        <v>240</v>
      </c>
      <c r="CD3750" s="5" t="s">
        <v>240</v>
      </c>
      <c r="CE3750" s="5" t="s">
        <v>240</v>
      </c>
      <c r="CF3750" s="5" t="s">
        <v>240</v>
      </c>
      <c r="CG3750" s="5" t="s">
        <v>304</v>
      </c>
      <c r="CH3750" s="5" t="s">
        <v>305</v>
      </c>
      <c r="CI3750" s="5" t="s">
        <v>240</v>
      </c>
      <c r="CK3750" s="5" t="s">
        <v>3681</v>
      </c>
      <c r="CL3750" s="6" t="s">
        <v>261</v>
      </c>
      <c r="CM3750" s="5" t="s">
        <v>262</v>
      </c>
      <c r="CN3750" s="5" t="s">
        <v>263</v>
      </c>
      <c r="CO3750" s="5" t="s">
        <v>264</v>
      </c>
      <c r="CP3750" s="5" t="s">
        <v>240</v>
      </c>
      <c r="CQ3750" s="5">
        <v>0</v>
      </c>
      <c r="CR3750" s="5" t="s">
        <v>735</v>
      </c>
      <c r="CS3750" s="5" t="s">
        <v>307</v>
      </c>
      <c r="CT3750" s="5" t="s">
        <v>307</v>
      </c>
      <c r="CU3750" s="5" t="s">
        <v>260</v>
      </c>
      <c r="CV3750" s="5" t="s">
        <v>612</v>
      </c>
      <c r="CW3750" s="8">
        <f>1</f>
        <v>1</v>
      </c>
      <c r="CX3750" s="7">
        <f>1</f>
        <v>1</v>
      </c>
      <c r="CY3750" s="7">
        <f>0</f>
        <v>0</v>
      </c>
      <c r="DA3750" s="7">
        <f>1</f>
        <v>1</v>
      </c>
      <c r="DB3750" s="7" t="s">
        <v>240</v>
      </c>
      <c r="DC3750" s="5" t="s">
        <v>240</v>
      </c>
      <c r="DD3750" s="5" t="s">
        <v>240</v>
      </c>
      <c r="DE3750" s="5" t="s">
        <v>240</v>
      </c>
      <c r="DF3750" s="5" t="s">
        <v>240</v>
      </c>
      <c r="DG3750" s="7">
        <f>0</f>
        <v>0</v>
      </c>
      <c r="DI3750" s="5" t="s">
        <v>240</v>
      </c>
      <c r="DJ3750" s="5" t="s">
        <v>240</v>
      </c>
      <c r="DK3750" s="5" t="s">
        <v>240</v>
      </c>
      <c r="DL3750" s="5" t="s">
        <v>240</v>
      </c>
      <c r="DM3750" s="5" t="s">
        <v>240</v>
      </c>
      <c r="DN3750" s="5" t="s">
        <v>240</v>
      </c>
      <c r="DO3750" s="7" t="s">
        <v>240</v>
      </c>
      <c r="DP3750" s="5" t="s">
        <v>240</v>
      </c>
      <c r="DQ3750" s="5" t="s">
        <v>240</v>
      </c>
      <c r="DR3750" s="5" t="s">
        <v>731</v>
      </c>
      <c r="DS3750" s="5" t="s">
        <v>731</v>
      </c>
      <c r="DT3750" s="5" t="s">
        <v>240</v>
      </c>
      <c r="DU3750" s="5" t="s">
        <v>240</v>
      </c>
      <c r="DV3750" s="5" t="s">
        <v>3683</v>
      </c>
      <c r="DW3750" s="5" t="s">
        <v>691</v>
      </c>
      <c r="DX3750" s="5" t="s">
        <v>240</v>
      </c>
      <c r="DY3750" s="5" t="s">
        <v>240</v>
      </c>
      <c r="DZ3750" s="5" t="s">
        <v>240</v>
      </c>
      <c r="EA3750" s="5" t="s">
        <v>240</v>
      </c>
      <c r="EB3750" s="5" t="s">
        <v>240</v>
      </c>
      <c r="EC3750" s="5" t="s">
        <v>240</v>
      </c>
      <c r="ED3750" s="5" t="s">
        <v>240</v>
      </c>
      <c r="EE3750" s="5" t="s">
        <v>240</v>
      </c>
      <c r="EF3750" s="5" t="s">
        <v>240</v>
      </c>
      <c r="EG3750" s="5" t="s">
        <v>240</v>
      </c>
      <c r="EH3750" s="5" t="s">
        <v>240</v>
      </c>
      <c r="EI3750" s="5" t="s">
        <v>240</v>
      </c>
      <c r="EJ3750" s="5" t="s">
        <v>240</v>
      </c>
      <c r="EK3750" s="5" t="s">
        <v>240</v>
      </c>
      <c r="EL3750" s="5" t="s">
        <v>240</v>
      </c>
      <c r="EM3750" s="5" t="s">
        <v>240</v>
      </c>
      <c r="EN3750" s="5" t="s">
        <v>240</v>
      </c>
      <c r="EO3750" s="5" t="s">
        <v>240</v>
      </c>
      <c r="EP3750" s="5" t="s">
        <v>240</v>
      </c>
      <c r="EQ3750" s="5" t="s">
        <v>240</v>
      </c>
      <c r="ER3750" s="5" t="s">
        <v>240</v>
      </c>
      <c r="ES3750" s="5" t="s">
        <v>240</v>
      </c>
      <c r="ET3750" s="5" t="s">
        <v>240</v>
      </c>
      <c r="EU3750" s="5" t="s">
        <v>240</v>
      </c>
      <c r="EV3750" s="5" t="s">
        <v>240</v>
      </c>
      <c r="EW3750" s="5" t="s">
        <v>240</v>
      </c>
      <c r="EX3750" s="5" t="s">
        <v>240</v>
      </c>
      <c r="EY3750" s="5" t="s">
        <v>240</v>
      </c>
      <c r="EZ3750" s="5" t="s">
        <v>240</v>
      </c>
      <c r="FA3750" s="5" t="s">
        <v>240</v>
      </c>
      <c r="FB3750" s="5" t="s">
        <v>240</v>
      </c>
      <c r="FC3750" s="5" t="s">
        <v>240</v>
      </c>
      <c r="FD3750" s="5" t="s">
        <v>240</v>
      </c>
      <c r="FE3750" s="5" t="s">
        <v>240</v>
      </c>
      <c r="FF3750" s="5" t="s">
        <v>240</v>
      </c>
      <c r="FG3750" s="5" t="s">
        <v>240</v>
      </c>
      <c r="FH3750" s="5" t="s">
        <v>240</v>
      </c>
      <c r="FI3750" s="5" t="s">
        <v>240</v>
      </c>
      <c r="FJ3750" s="5" t="s">
        <v>240</v>
      </c>
      <c r="FK3750" s="5" t="s">
        <v>240</v>
      </c>
      <c r="FL3750" s="5" t="s">
        <v>240</v>
      </c>
      <c r="FM3750" s="5" t="s">
        <v>240</v>
      </c>
      <c r="FN3750" s="5" t="s">
        <v>240</v>
      </c>
      <c r="FO3750" s="5" t="s">
        <v>240</v>
      </c>
      <c r="FP3750" s="5" t="s">
        <v>240</v>
      </c>
      <c r="FQ3750" s="5" t="s">
        <v>240</v>
      </c>
      <c r="FR3750" s="5" t="s">
        <v>240</v>
      </c>
      <c r="FS3750" s="5" t="s">
        <v>240</v>
      </c>
      <c r="FT3750" s="5" t="s">
        <v>240</v>
      </c>
      <c r="FU3750" s="5" t="s">
        <v>240</v>
      </c>
      <c r="FV3750" s="5" t="s">
        <v>240</v>
      </c>
      <c r="FW3750" s="5" t="s">
        <v>240</v>
      </c>
      <c r="FX3750" s="5" t="s">
        <v>240</v>
      </c>
      <c r="FY3750" s="5" t="s">
        <v>240</v>
      </c>
      <c r="FZ3750" s="5" t="s">
        <v>240</v>
      </c>
      <c r="GA3750" s="5" t="s">
        <v>240</v>
      </c>
      <c r="GB3750" s="5" t="s">
        <v>240</v>
      </c>
      <c r="GC3750" s="5" t="s">
        <v>240</v>
      </c>
      <c r="GD3750" s="5" t="s">
        <v>240</v>
      </c>
      <c r="GE3750" s="5" t="s">
        <v>240</v>
      </c>
      <c r="GF3750" s="5" t="s">
        <v>240</v>
      </c>
      <c r="GG3750" s="5" t="s">
        <v>240</v>
      </c>
      <c r="GH3750" s="5" t="s">
        <v>240</v>
      </c>
      <c r="GI3750" s="5" t="s">
        <v>240</v>
      </c>
      <c r="GJ3750" s="5" t="s">
        <v>240</v>
      </c>
      <c r="GK3750" s="5" t="s">
        <v>240</v>
      </c>
      <c r="GL3750" s="5" t="s">
        <v>240</v>
      </c>
      <c r="GM3750" s="5" t="s">
        <v>240</v>
      </c>
      <c r="GN3750" s="5" t="s">
        <v>240</v>
      </c>
      <c r="GO3750" s="5" t="s">
        <v>240</v>
      </c>
      <c r="GP3750" s="5" t="s">
        <v>240</v>
      </c>
      <c r="GQ3750" s="5" t="s">
        <v>240</v>
      </c>
      <c r="GR3750" s="5" t="s">
        <v>240</v>
      </c>
      <c r="GS3750" s="5" t="s">
        <v>240</v>
      </c>
      <c r="GT3750" s="5" t="s">
        <v>240</v>
      </c>
      <c r="GU3750" s="5" t="s">
        <v>240</v>
      </c>
      <c r="GV3750" s="5" t="s">
        <v>240</v>
      </c>
      <c r="GW3750" s="5" t="s">
        <v>240</v>
      </c>
      <c r="GX3750" s="5" t="s">
        <v>240</v>
      </c>
      <c r="GY3750" s="5" t="s">
        <v>240</v>
      </c>
      <c r="GZ3750" s="5" t="s">
        <v>240</v>
      </c>
      <c r="HA3750" s="5" t="s">
        <v>240</v>
      </c>
      <c r="HB3750" s="5" t="s">
        <v>240</v>
      </c>
      <c r="HC3750" s="5" t="s">
        <v>240</v>
      </c>
      <c r="HD3750" s="5" t="s">
        <v>240</v>
      </c>
      <c r="HE3750" s="5" t="s">
        <v>240</v>
      </c>
      <c r="HF3750" s="5" t="s">
        <v>240</v>
      </c>
      <c r="HG3750" s="5" t="s">
        <v>240</v>
      </c>
      <c r="HH3750" s="5" t="s">
        <v>240</v>
      </c>
      <c r="HI3750" s="5" t="s">
        <v>240</v>
      </c>
      <c r="HJ3750" s="5" t="s">
        <v>240</v>
      </c>
      <c r="HK3750" s="5" t="s">
        <v>240</v>
      </c>
      <c r="HL3750" s="5" t="s">
        <v>240</v>
      </c>
      <c r="HM3750" s="5" t="s">
        <v>240</v>
      </c>
      <c r="HN3750" s="5" t="s">
        <v>240</v>
      </c>
      <c r="HO3750" s="5" t="s">
        <v>312</v>
      </c>
      <c r="HP3750" s="5" t="s">
        <v>240</v>
      </c>
      <c r="HQ3750" s="5" t="s">
        <v>240</v>
      </c>
      <c r="HR3750" s="5" t="s">
        <v>240</v>
      </c>
      <c r="HS3750" s="5" t="s">
        <v>240</v>
      </c>
      <c r="HT3750" s="5" t="s">
        <v>240</v>
      </c>
      <c r="HU3750" s="5" t="s">
        <v>240</v>
      </c>
      <c r="HV3750" s="5" t="s">
        <v>240</v>
      </c>
      <c r="HW3750" s="5" t="s">
        <v>240</v>
      </c>
      <c r="HX3750" s="5" t="s">
        <v>240</v>
      </c>
      <c r="HY3750" s="5" t="s">
        <v>240</v>
      </c>
      <c r="HZ3750" s="5" t="s">
        <v>240</v>
      </c>
      <c r="IA3750" s="5" t="s">
        <v>240</v>
      </c>
      <c r="IB3750" s="5" t="s">
        <v>240</v>
      </c>
      <c r="IC3750" s="5" t="s">
        <v>240</v>
      </c>
      <c r="ID3750" s="5" t="s">
        <v>240</v>
      </c>
      <c r="IE3750" s="5" t="s">
        <v>240</v>
      </c>
      <c r="IF3750" s="5" t="s">
        <v>240</v>
      </c>
    </row>
    <row r="3751" spans="1:240" x14ac:dyDescent="0.4">
      <c r="A3751" s="5">
        <v>9293</v>
      </c>
      <c r="B3751" s="5">
        <v>1</v>
      </c>
      <c r="C3751" s="5">
        <v>1</v>
      </c>
      <c r="D3751" s="5" t="s">
        <v>723</v>
      </c>
      <c r="E3751" s="5" t="s">
        <v>725</v>
      </c>
      <c r="F3751" s="5" t="s">
        <v>254</v>
      </c>
      <c r="G3751" s="5" t="s">
        <v>726</v>
      </c>
      <c r="H3751" s="6" t="s">
        <v>5473</v>
      </c>
      <c r="I3751" s="5" t="s">
        <v>5472</v>
      </c>
      <c r="J3751" s="7">
        <f>1</f>
        <v>1</v>
      </c>
      <c r="K3751" s="5" t="s">
        <v>3682</v>
      </c>
      <c r="L3751" s="7">
        <f>1</f>
        <v>1</v>
      </c>
      <c r="M3751" s="7">
        <f>1</f>
        <v>1</v>
      </c>
      <c r="N3751" s="5" t="s">
        <v>242</v>
      </c>
      <c r="O3751" s="5">
        <v>1</v>
      </c>
      <c r="P3751" s="5" t="s">
        <v>294</v>
      </c>
      <c r="Q3751" s="5" t="s">
        <v>266</v>
      </c>
      <c r="R3751" s="5" t="s">
        <v>240</v>
      </c>
      <c r="S3751" s="5" t="s">
        <v>240</v>
      </c>
      <c r="T3751" s="5" t="s">
        <v>243</v>
      </c>
      <c r="U3751" s="5" t="s">
        <v>240</v>
      </c>
      <c r="V3751" s="5" t="s">
        <v>240</v>
      </c>
      <c r="Y3751" s="5" t="s">
        <v>240</v>
      </c>
      <c r="Z3751" s="6" t="s">
        <v>6636</v>
      </c>
      <c r="AB3751" s="6" t="s">
        <v>240</v>
      </c>
      <c r="AE3751" s="6" t="s">
        <v>299</v>
      </c>
      <c r="AF3751" s="5" t="s">
        <v>248</v>
      </c>
      <c r="AG3751" s="5" t="s">
        <v>249</v>
      </c>
      <c r="AW3751" s="5" t="s">
        <v>251</v>
      </c>
      <c r="AX3751" s="5" t="s">
        <v>240</v>
      </c>
      <c r="AY3751" s="5" t="s">
        <v>253</v>
      </c>
      <c r="AZ3751" s="5" t="s">
        <v>240</v>
      </c>
      <c r="BA3751" s="5" t="s">
        <v>255</v>
      </c>
      <c r="BB3751" s="5" t="s">
        <v>240</v>
      </c>
      <c r="BD3751" s="5" t="s">
        <v>240</v>
      </c>
      <c r="BF3751" s="5" t="s">
        <v>301</v>
      </c>
      <c r="BG3751" s="6" t="s">
        <v>6636</v>
      </c>
      <c r="BH3751" s="5" t="s">
        <v>302</v>
      </c>
      <c r="BI3751" s="5" t="s">
        <v>6608</v>
      </c>
      <c r="BJ3751" s="5" t="s">
        <v>240</v>
      </c>
      <c r="BK3751" s="8">
        <f>0</f>
        <v>0</v>
      </c>
      <c r="BL3751" s="7">
        <f>0</f>
        <v>0</v>
      </c>
      <c r="BM3751" s="5" t="s">
        <v>258</v>
      </c>
      <c r="BN3751" s="5" t="s">
        <v>259</v>
      </c>
      <c r="CB3751" s="5" t="s">
        <v>240</v>
      </c>
      <c r="CC3751" s="5" t="s">
        <v>240</v>
      </c>
      <c r="CG3751" s="5" t="s">
        <v>449</v>
      </c>
      <c r="CH3751" s="5" t="s">
        <v>305</v>
      </c>
      <c r="CI3751" s="5" t="s">
        <v>240</v>
      </c>
      <c r="CL3751" s="6" t="s">
        <v>261</v>
      </c>
      <c r="CM3751" s="5" t="s">
        <v>240</v>
      </c>
      <c r="CN3751" s="5" t="s">
        <v>263</v>
      </c>
      <c r="CO3751" s="5" t="s">
        <v>240</v>
      </c>
      <c r="CP3751" s="5" t="s">
        <v>240</v>
      </c>
      <c r="CQ3751" s="5">
        <v>0</v>
      </c>
      <c r="CR3751" s="5" t="s">
        <v>306</v>
      </c>
      <c r="CS3751" s="5" t="s">
        <v>307</v>
      </c>
      <c r="CT3751" s="5" t="s">
        <v>307</v>
      </c>
      <c r="CU3751" s="5" t="s">
        <v>260</v>
      </c>
      <c r="CX3751" s="7">
        <f>396000</f>
        <v>396000</v>
      </c>
      <c r="CY3751" s="7">
        <f>0</f>
        <v>0</v>
      </c>
      <c r="DA3751" s="7">
        <f>0</f>
        <v>0</v>
      </c>
      <c r="DC3751" s="5" t="s">
        <v>450</v>
      </c>
      <c r="DD3751" s="5" t="s">
        <v>240</v>
      </c>
      <c r="DF3751" s="5" t="s">
        <v>450</v>
      </c>
      <c r="DG3751" s="7">
        <f>0</f>
        <v>0</v>
      </c>
      <c r="DI3751" s="5" t="s">
        <v>240</v>
      </c>
      <c r="DJ3751" s="5" t="s">
        <v>240</v>
      </c>
      <c r="DK3751" s="5" t="s">
        <v>240</v>
      </c>
      <c r="DL3751" s="5" t="s">
        <v>240</v>
      </c>
      <c r="DP3751" s="5" t="s">
        <v>240</v>
      </c>
      <c r="DQ3751" s="5" t="s">
        <v>240</v>
      </c>
      <c r="DR3751" s="5" t="s">
        <v>240</v>
      </c>
      <c r="DS3751" s="5" t="s">
        <v>240</v>
      </c>
      <c r="DV3751" s="5" t="s">
        <v>310</v>
      </c>
      <c r="DW3751" s="5" t="s">
        <v>2320</v>
      </c>
      <c r="HO3751" s="5" t="s">
        <v>312</v>
      </c>
    </row>
    <row r="3752" spans="1:240" x14ac:dyDescent="0.4">
      <c r="A3752" s="5">
        <v>9294</v>
      </c>
      <c r="B3752" s="5">
        <v>1</v>
      </c>
      <c r="C3752" s="5">
        <v>1</v>
      </c>
      <c r="D3752" s="5" t="s">
        <v>723</v>
      </c>
      <c r="E3752" s="5" t="s">
        <v>725</v>
      </c>
      <c r="F3752" s="5" t="s">
        <v>254</v>
      </c>
      <c r="G3752" s="5" t="s">
        <v>5470</v>
      </c>
      <c r="H3752" s="6" t="s">
        <v>5471</v>
      </c>
      <c r="I3752" s="5" t="s">
        <v>5469</v>
      </c>
      <c r="J3752" s="7">
        <f>1</f>
        <v>1</v>
      </c>
      <c r="K3752" s="5" t="s">
        <v>3682</v>
      </c>
      <c r="L3752" s="7">
        <f>1</f>
        <v>1</v>
      </c>
      <c r="M3752" s="7">
        <f>1</f>
        <v>1</v>
      </c>
      <c r="N3752" s="5" t="s">
        <v>242</v>
      </c>
      <c r="O3752" s="5">
        <v>1</v>
      </c>
      <c r="P3752" s="5" t="s">
        <v>294</v>
      </c>
      <c r="Q3752" s="5" t="s">
        <v>266</v>
      </c>
      <c r="R3752" s="5" t="s">
        <v>240</v>
      </c>
      <c r="S3752" s="5" t="s">
        <v>240</v>
      </c>
      <c r="T3752" s="5" t="s">
        <v>243</v>
      </c>
      <c r="U3752" s="5" t="s">
        <v>240</v>
      </c>
      <c r="V3752" s="5" t="s">
        <v>240</v>
      </c>
      <c r="Y3752" s="5" t="s">
        <v>240</v>
      </c>
      <c r="Z3752" s="6" t="s">
        <v>6162</v>
      </c>
      <c r="AB3752" s="6" t="s">
        <v>240</v>
      </c>
      <c r="AE3752" s="6" t="s">
        <v>6638</v>
      </c>
      <c r="AF3752" s="5" t="s">
        <v>248</v>
      </c>
      <c r="AG3752" s="5" t="s">
        <v>260</v>
      </c>
      <c r="AW3752" s="5" t="s">
        <v>251</v>
      </c>
      <c r="AX3752" s="5" t="s">
        <v>240</v>
      </c>
      <c r="AY3752" s="5" t="s">
        <v>253</v>
      </c>
      <c r="AZ3752" s="5" t="s">
        <v>240</v>
      </c>
      <c r="BA3752" s="5" t="s">
        <v>255</v>
      </c>
      <c r="BB3752" s="5" t="s">
        <v>240</v>
      </c>
      <c r="BD3752" s="5" t="s">
        <v>240</v>
      </c>
      <c r="BF3752" s="5" t="s">
        <v>687</v>
      </c>
      <c r="BG3752" s="6" t="s">
        <v>6638</v>
      </c>
      <c r="BH3752" s="5" t="s">
        <v>302</v>
      </c>
      <c r="BI3752" s="5" t="s">
        <v>6608</v>
      </c>
      <c r="BJ3752" s="5" t="s">
        <v>240</v>
      </c>
      <c r="BK3752" s="8">
        <f>0</f>
        <v>0</v>
      </c>
      <c r="BL3752" s="7">
        <f>0</f>
        <v>0</v>
      </c>
      <c r="BM3752" s="5" t="s">
        <v>258</v>
      </c>
      <c r="BN3752" s="5" t="s">
        <v>259</v>
      </c>
      <c r="CB3752" s="5" t="s">
        <v>240</v>
      </c>
      <c r="CC3752" s="5" t="s">
        <v>240</v>
      </c>
      <c r="CG3752" s="5" t="s">
        <v>449</v>
      </c>
      <c r="CH3752" s="5" t="s">
        <v>305</v>
      </c>
      <c r="CI3752" s="5" t="s">
        <v>240</v>
      </c>
      <c r="CL3752" s="6" t="s">
        <v>261</v>
      </c>
      <c r="CM3752" s="5" t="s">
        <v>240</v>
      </c>
      <c r="CN3752" s="5" t="s">
        <v>263</v>
      </c>
      <c r="CO3752" s="5" t="s">
        <v>240</v>
      </c>
      <c r="CP3752" s="5" t="s">
        <v>240</v>
      </c>
      <c r="CQ3752" s="5">
        <v>0</v>
      </c>
      <c r="CR3752" s="5" t="s">
        <v>306</v>
      </c>
      <c r="CS3752" s="5" t="s">
        <v>307</v>
      </c>
      <c r="CT3752" s="5" t="s">
        <v>307</v>
      </c>
      <c r="CU3752" s="5" t="s">
        <v>260</v>
      </c>
      <c r="CX3752" s="7">
        <f>452749</f>
        <v>452749</v>
      </c>
      <c r="CY3752" s="7">
        <f>0</f>
        <v>0</v>
      </c>
      <c r="DA3752" s="7">
        <f>0</f>
        <v>0</v>
      </c>
      <c r="DC3752" s="5" t="s">
        <v>450</v>
      </c>
      <c r="DD3752" s="5" t="s">
        <v>240</v>
      </c>
      <c r="DF3752" s="5" t="s">
        <v>450</v>
      </c>
      <c r="DG3752" s="7">
        <f>104.93</f>
        <v>104.93</v>
      </c>
      <c r="DI3752" s="5" t="s">
        <v>240</v>
      </c>
      <c r="DJ3752" s="5" t="s">
        <v>240</v>
      </c>
      <c r="DK3752" s="5" t="s">
        <v>240</v>
      </c>
      <c r="DL3752" s="5" t="s">
        <v>240</v>
      </c>
      <c r="DP3752" s="5" t="s">
        <v>240</v>
      </c>
      <c r="DQ3752" s="5" t="s">
        <v>240</v>
      </c>
      <c r="DR3752" s="5" t="s">
        <v>240</v>
      </c>
      <c r="DS3752" s="5" t="s">
        <v>240</v>
      </c>
      <c r="DV3752" s="5" t="s">
        <v>310</v>
      </c>
      <c r="DW3752" s="5" t="s">
        <v>2450</v>
      </c>
      <c r="HO3752" s="5" t="s">
        <v>312</v>
      </c>
    </row>
    <row r="3753" spans="1:240" x14ac:dyDescent="0.4">
      <c r="A3753" s="5">
        <v>9295</v>
      </c>
      <c r="B3753" s="5">
        <v>1</v>
      </c>
      <c r="C3753" s="5">
        <v>1</v>
      </c>
      <c r="D3753" s="5" t="s">
        <v>723</v>
      </c>
      <c r="E3753" s="5" t="s">
        <v>725</v>
      </c>
      <c r="F3753" s="5" t="s">
        <v>254</v>
      </c>
      <c r="G3753" s="5" t="s">
        <v>726</v>
      </c>
      <c r="H3753" s="6" t="s">
        <v>5468</v>
      </c>
      <c r="I3753" s="5" t="s">
        <v>5467</v>
      </c>
      <c r="J3753" s="7">
        <f>1</f>
        <v>1</v>
      </c>
      <c r="K3753" s="5" t="s">
        <v>3682</v>
      </c>
      <c r="L3753" s="7">
        <f>1</f>
        <v>1</v>
      </c>
      <c r="M3753" s="7">
        <f>1</f>
        <v>1</v>
      </c>
      <c r="N3753" s="5" t="s">
        <v>242</v>
      </c>
      <c r="O3753" s="5">
        <v>1</v>
      </c>
      <c r="P3753" s="5" t="s">
        <v>294</v>
      </c>
      <c r="Q3753" s="5" t="s">
        <v>266</v>
      </c>
      <c r="R3753" s="5" t="s">
        <v>240</v>
      </c>
      <c r="S3753" s="5" t="s">
        <v>240</v>
      </c>
      <c r="T3753" s="5" t="s">
        <v>243</v>
      </c>
      <c r="U3753" s="5" t="s">
        <v>240</v>
      </c>
      <c r="V3753" s="5" t="s">
        <v>240</v>
      </c>
      <c r="Y3753" s="5" t="s">
        <v>240</v>
      </c>
      <c r="Z3753" s="6" t="s">
        <v>275</v>
      </c>
      <c r="AB3753" s="6" t="s">
        <v>240</v>
      </c>
      <c r="AE3753" s="6" t="s">
        <v>6638</v>
      </c>
      <c r="AF3753" s="5" t="s">
        <v>248</v>
      </c>
      <c r="AG3753" s="5" t="s">
        <v>260</v>
      </c>
      <c r="AW3753" s="5" t="s">
        <v>251</v>
      </c>
      <c r="AX3753" s="5" t="s">
        <v>240</v>
      </c>
      <c r="AY3753" s="5" t="s">
        <v>253</v>
      </c>
      <c r="AZ3753" s="5" t="s">
        <v>240</v>
      </c>
      <c r="BA3753" s="5" t="s">
        <v>255</v>
      </c>
      <c r="BB3753" s="5" t="s">
        <v>240</v>
      </c>
      <c r="BD3753" s="5" t="s">
        <v>240</v>
      </c>
      <c r="BF3753" s="5" t="s">
        <v>687</v>
      </c>
      <c r="BG3753" s="6" t="s">
        <v>275</v>
      </c>
      <c r="BH3753" s="5" t="s">
        <v>302</v>
      </c>
      <c r="BI3753" s="5" t="s">
        <v>6608</v>
      </c>
      <c r="BJ3753" s="5" t="s">
        <v>240</v>
      </c>
      <c r="BK3753" s="8">
        <f>0</f>
        <v>0</v>
      </c>
      <c r="BL3753" s="7">
        <f>0</f>
        <v>0</v>
      </c>
      <c r="BM3753" s="5" t="s">
        <v>258</v>
      </c>
      <c r="BN3753" s="5" t="s">
        <v>259</v>
      </c>
      <c r="CB3753" s="5" t="s">
        <v>240</v>
      </c>
      <c r="CC3753" s="5" t="s">
        <v>240</v>
      </c>
      <c r="CG3753" s="5" t="s">
        <v>449</v>
      </c>
      <c r="CH3753" s="5" t="s">
        <v>305</v>
      </c>
      <c r="CI3753" s="5" t="s">
        <v>240</v>
      </c>
      <c r="CL3753" s="6" t="s">
        <v>261</v>
      </c>
      <c r="CM3753" s="5" t="s">
        <v>240</v>
      </c>
      <c r="CN3753" s="5" t="s">
        <v>263</v>
      </c>
      <c r="CO3753" s="5" t="s">
        <v>240</v>
      </c>
      <c r="CP3753" s="5" t="s">
        <v>240</v>
      </c>
      <c r="CQ3753" s="5">
        <v>0</v>
      </c>
      <c r="CR3753" s="5" t="s">
        <v>306</v>
      </c>
      <c r="CS3753" s="5" t="s">
        <v>307</v>
      </c>
      <c r="CT3753" s="5" t="s">
        <v>307</v>
      </c>
      <c r="CU3753" s="5" t="s">
        <v>260</v>
      </c>
      <c r="CX3753" s="7">
        <f>579363</f>
        <v>579363</v>
      </c>
      <c r="CY3753" s="7">
        <f>0</f>
        <v>0</v>
      </c>
      <c r="DA3753" s="7">
        <f>0</f>
        <v>0</v>
      </c>
      <c r="DC3753" s="5" t="s">
        <v>450</v>
      </c>
      <c r="DD3753" s="5" t="s">
        <v>240</v>
      </c>
      <c r="DF3753" s="5" t="s">
        <v>450</v>
      </c>
      <c r="DG3753" s="7">
        <f>197.32</f>
        <v>197.32</v>
      </c>
      <c r="DI3753" s="5" t="s">
        <v>240</v>
      </c>
      <c r="DJ3753" s="5" t="s">
        <v>240</v>
      </c>
      <c r="DK3753" s="5" t="s">
        <v>240</v>
      </c>
      <c r="DL3753" s="5" t="s">
        <v>240</v>
      </c>
      <c r="DP3753" s="5" t="s">
        <v>240</v>
      </c>
      <c r="DQ3753" s="5" t="s">
        <v>240</v>
      </c>
      <c r="DR3753" s="5" t="s">
        <v>240</v>
      </c>
      <c r="DS3753" s="5" t="s">
        <v>240</v>
      </c>
      <c r="DV3753" s="5" t="s">
        <v>310</v>
      </c>
      <c r="DW3753" s="5" t="s">
        <v>2448</v>
      </c>
      <c r="HO3753" s="5" t="s">
        <v>312</v>
      </c>
    </row>
    <row r="3754" spans="1:240" x14ac:dyDescent="0.4">
      <c r="A3754" s="5">
        <v>9296</v>
      </c>
      <c r="B3754" s="5">
        <v>1</v>
      </c>
      <c r="C3754" s="5">
        <v>1</v>
      </c>
      <c r="D3754" s="5" t="s">
        <v>723</v>
      </c>
      <c r="E3754" s="5" t="s">
        <v>725</v>
      </c>
      <c r="F3754" s="5" t="s">
        <v>254</v>
      </c>
      <c r="G3754" s="5" t="s">
        <v>5465</v>
      </c>
      <c r="H3754" s="6" t="s">
        <v>5466</v>
      </c>
      <c r="I3754" s="5" t="s">
        <v>5464</v>
      </c>
      <c r="J3754" s="7">
        <f>1</f>
        <v>1</v>
      </c>
      <c r="K3754" s="5" t="s">
        <v>3682</v>
      </c>
      <c r="L3754" s="7">
        <f>1</f>
        <v>1</v>
      </c>
      <c r="M3754" s="7">
        <f>1</f>
        <v>1</v>
      </c>
      <c r="N3754" s="5" t="s">
        <v>242</v>
      </c>
      <c r="O3754" s="5">
        <v>1</v>
      </c>
      <c r="P3754" s="5" t="s">
        <v>294</v>
      </c>
      <c r="Q3754" s="5" t="s">
        <v>613</v>
      </c>
      <c r="R3754" s="5" t="s">
        <v>240</v>
      </c>
      <c r="S3754" s="5" t="s">
        <v>240</v>
      </c>
      <c r="T3754" s="5" t="s">
        <v>243</v>
      </c>
      <c r="U3754" s="5" t="s">
        <v>724</v>
      </c>
      <c r="V3754" s="5" t="s">
        <v>240</v>
      </c>
      <c r="W3754" s="5" t="s">
        <v>240</v>
      </c>
      <c r="X3754" s="5" t="s">
        <v>240</v>
      </c>
      <c r="Y3754" s="5" t="s">
        <v>240</v>
      </c>
      <c r="Z3754" s="6" t="s">
        <v>298</v>
      </c>
      <c r="AA3754" s="6" t="s">
        <v>240</v>
      </c>
      <c r="AB3754" s="6" t="s">
        <v>240</v>
      </c>
      <c r="AC3754" s="5" t="s">
        <v>240</v>
      </c>
      <c r="AD3754" s="6" t="s">
        <v>240</v>
      </c>
      <c r="AE3754" s="6" t="s">
        <v>299</v>
      </c>
      <c r="AF3754" s="5" t="s">
        <v>727</v>
      </c>
      <c r="AG3754" s="5" t="s">
        <v>260</v>
      </c>
      <c r="AH3754" s="5" t="s">
        <v>240</v>
      </c>
      <c r="AI3754" s="5" t="s">
        <v>240</v>
      </c>
      <c r="AJ3754" s="5" t="s">
        <v>240</v>
      </c>
      <c r="AK3754" s="5" t="s">
        <v>240</v>
      </c>
      <c r="AL3754" s="5" t="s">
        <v>240</v>
      </c>
      <c r="AM3754" s="5" t="s">
        <v>240</v>
      </c>
      <c r="AN3754" s="5" t="s">
        <v>240</v>
      </c>
      <c r="AO3754" s="5" t="s">
        <v>240</v>
      </c>
      <c r="AP3754" s="6" t="s">
        <v>240</v>
      </c>
      <c r="AQ3754" s="6" t="s">
        <v>240</v>
      </c>
      <c r="AR3754" s="6" t="s">
        <v>240</v>
      </c>
      <c r="AS3754" s="6" t="s">
        <v>240</v>
      </c>
      <c r="AT3754" s="5" t="s">
        <v>240</v>
      </c>
      <c r="AU3754" s="5" t="s">
        <v>729</v>
      </c>
      <c r="AV3754" s="5" t="s">
        <v>729</v>
      </c>
      <c r="AW3754" s="5" t="s">
        <v>251</v>
      </c>
      <c r="AX3754" s="5" t="s">
        <v>252</v>
      </c>
      <c r="AY3754" s="5" t="s">
        <v>253</v>
      </c>
      <c r="AZ3754" s="5" t="s">
        <v>240</v>
      </c>
      <c r="BA3754" s="5" t="s">
        <v>255</v>
      </c>
      <c r="BB3754" s="5" t="s">
        <v>731</v>
      </c>
      <c r="BD3754" s="5" t="s">
        <v>240</v>
      </c>
      <c r="BF3754" s="5" t="s">
        <v>732</v>
      </c>
      <c r="BG3754" s="6" t="s">
        <v>733</v>
      </c>
      <c r="BH3754" s="5" t="s">
        <v>734</v>
      </c>
      <c r="BI3754" s="5" t="s">
        <v>734</v>
      </c>
      <c r="BJ3754" s="5" t="s">
        <v>240</v>
      </c>
      <c r="BK3754" s="8">
        <f>585</f>
        <v>585</v>
      </c>
      <c r="BL3754" s="7">
        <f>0</f>
        <v>0</v>
      </c>
      <c r="BM3754" s="5" t="s">
        <v>258</v>
      </c>
      <c r="BN3754" s="5" t="s">
        <v>259</v>
      </c>
      <c r="BO3754" s="5" t="s">
        <v>240</v>
      </c>
      <c r="BP3754" s="5" t="s">
        <v>240</v>
      </c>
      <c r="BQ3754" s="5" t="s">
        <v>240</v>
      </c>
      <c r="BR3754" s="5" t="s">
        <v>240</v>
      </c>
      <c r="BS3754" s="5" t="s">
        <v>240</v>
      </c>
      <c r="BT3754" s="5" t="s">
        <v>240</v>
      </c>
      <c r="BU3754" s="5" t="s">
        <v>240</v>
      </c>
      <c r="BV3754" s="5" t="s">
        <v>240</v>
      </c>
      <c r="BW3754" s="6" t="s">
        <v>240</v>
      </c>
      <c r="BX3754" s="5" t="s">
        <v>240</v>
      </c>
      <c r="BY3754" s="5" t="s">
        <v>240</v>
      </c>
      <c r="BZ3754" s="5" t="s">
        <v>240</v>
      </c>
      <c r="CA3754" s="5" t="s">
        <v>259</v>
      </c>
      <c r="CB3754" s="5" t="s">
        <v>240</v>
      </c>
      <c r="CC3754" s="5" t="s">
        <v>240</v>
      </c>
      <c r="CD3754" s="5" t="s">
        <v>240</v>
      </c>
      <c r="CE3754" s="5" t="s">
        <v>240</v>
      </c>
      <c r="CF3754" s="5" t="s">
        <v>240</v>
      </c>
      <c r="CG3754" s="5" t="s">
        <v>617</v>
      </c>
      <c r="CH3754" s="5" t="s">
        <v>305</v>
      </c>
      <c r="CI3754" s="5" t="s">
        <v>240</v>
      </c>
      <c r="CL3754" s="6" t="s">
        <v>261</v>
      </c>
      <c r="CM3754" s="5" t="s">
        <v>262</v>
      </c>
      <c r="CN3754" s="5" t="s">
        <v>263</v>
      </c>
      <c r="CO3754" s="5" t="s">
        <v>264</v>
      </c>
      <c r="CP3754" s="5" t="s">
        <v>240</v>
      </c>
      <c r="CQ3754" s="5">
        <v>0</v>
      </c>
      <c r="CR3754" s="5" t="s">
        <v>735</v>
      </c>
      <c r="CS3754" s="5" t="s">
        <v>307</v>
      </c>
      <c r="CT3754" s="5" t="s">
        <v>307</v>
      </c>
      <c r="CU3754" s="5" t="s">
        <v>260</v>
      </c>
      <c r="CV3754" s="5" t="s">
        <v>240</v>
      </c>
      <c r="CW3754" s="8">
        <f>0</f>
        <v>0</v>
      </c>
      <c r="CX3754" s="7">
        <f>0</f>
        <v>0</v>
      </c>
      <c r="CY3754" s="7">
        <f>0</f>
        <v>0</v>
      </c>
      <c r="DA3754" s="7">
        <f>6435</f>
        <v>6435</v>
      </c>
      <c r="DB3754" s="7" t="s">
        <v>240</v>
      </c>
      <c r="DC3754" s="5" t="s">
        <v>240</v>
      </c>
      <c r="DD3754" s="5" t="s">
        <v>240</v>
      </c>
      <c r="DE3754" s="5" t="s">
        <v>240</v>
      </c>
      <c r="DF3754" s="5" t="s">
        <v>450</v>
      </c>
      <c r="DG3754" s="7">
        <f>0</f>
        <v>0</v>
      </c>
      <c r="DI3754" s="5" t="s">
        <v>737</v>
      </c>
      <c r="DJ3754" s="5" t="s">
        <v>240</v>
      </c>
      <c r="DK3754" s="5" t="s">
        <v>240</v>
      </c>
      <c r="DL3754" s="5" t="s">
        <v>240</v>
      </c>
      <c r="DM3754" s="5" t="s">
        <v>240</v>
      </c>
      <c r="DN3754" s="5" t="s">
        <v>240</v>
      </c>
      <c r="DO3754" s="7" t="s">
        <v>240</v>
      </c>
      <c r="DP3754" s="5" t="s">
        <v>240</v>
      </c>
      <c r="DQ3754" s="5" t="s">
        <v>240</v>
      </c>
      <c r="DR3754" s="5" t="s">
        <v>731</v>
      </c>
      <c r="DS3754" s="5" t="s">
        <v>731</v>
      </c>
      <c r="DT3754" s="5" t="s">
        <v>240</v>
      </c>
      <c r="DU3754" s="5" t="s">
        <v>240</v>
      </c>
      <c r="DV3754" s="5" t="s">
        <v>738</v>
      </c>
      <c r="DW3754" s="5" t="s">
        <v>769</v>
      </c>
      <c r="DX3754" s="5" t="s">
        <v>240</v>
      </c>
      <c r="DY3754" s="5" t="s">
        <v>240</v>
      </c>
      <c r="DZ3754" s="5" t="s">
        <v>240</v>
      </c>
      <c r="EA3754" s="5" t="s">
        <v>240</v>
      </c>
      <c r="EB3754" s="5" t="s">
        <v>240</v>
      </c>
      <c r="EC3754" s="5" t="s">
        <v>240</v>
      </c>
      <c r="ED3754" s="5" t="s">
        <v>240</v>
      </c>
      <c r="EE3754" s="5" t="s">
        <v>240</v>
      </c>
      <c r="EF3754" s="5" t="s">
        <v>240</v>
      </c>
      <c r="EG3754" s="5" t="s">
        <v>240</v>
      </c>
      <c r="EH3754" s="5" t="s">
        <v>240</v>
      </c>
      <c r="EI3754" s="5" t="s">
        <v>240</v>
      </c>
      <c r="EJ3754" s="5" t="s">
        <v>240</v>
      </c>
      <c r="EK3754" s="5" t="s">
        <v>240</v>
      </c>
      <c r="EL3754" s="5" t="s">
        <v>240</v>
      </c>
      <c r="EM3754" s="5" t="s">
        <v>240</v>
      </c>
      <c r="EN3754" s="5" t="s">
        <v>240</v>
      </c>
      <c r="EO3754" s="5" t="s">
        <v>240</v>
      </c>
      <c r="EP3754" s="5" t="s">
        <v>240</v>
      </c>
      <c r="EQ3754" s="5" t="s">
        <v>240</v>
      </c>
      <c r="ER3754" s="5" t="s">
        <v>240</v>
      </c>
      <c r="ES3754" s="5" t="s">
        <v>240</v>
      </c>
      <c r="ET3754" s="5" t="s">
        <v>240</v>
      </c>
      <c r="EU3754" s="5" t="s">
        <v>240</v>
      </c>
      <c r="EV3754" s="5" t="s">
        <v>240</v>
      </c>
      <c r="EW3754" s="5" t="s">
        <v>240</v>
      </c>
      <c r="EX3754" s="5" t="s">
        <v>240</v>
      </c>
      <c r="EY3754" s="5" t="s">
        <v>240</v>
      </c>
      <c r="EZ3754" s="5" t="s">
        <v>240</v>
      </c>
      <c r="FA3754" s="5" t="s">
        <v>240</v>
      </c>
      <c r="FB3754" s="5" t="s">
        <v>240</v>
      </c>
      <c r="FC3754" s="5" t="s">
        <v>240</v>
      </c>
      <c r="FD3754" s="5" t="s">
        <v>240</v>
      </c>
      <c r="FE3754" s="5" t="s">
        <v>240</v>
      </c>
      <c r="FF3754" s="5" t="s">
        <v>240</v>
      </c>
      <c r="FG3754" s="5" t="s">
        <v>240</v>
      </c>
      <c r="FH3754" s="5" t="s">
        <v>240</v>
      </c>
      <c r="FI3754" s="5" t="s">
        <v>240</v>
      </c>
      <c r="FJ3754" s="5" t="s">
        <v>240</v>
      </c>
      <c r="FK3754" s="5" t="s">
        <v>240</v>
      </c>
      <c r="FL3754" s="5" t="s">
        <v>240</v>
      </c>
      <c r="FM3754" s="5" t="s">
        <v>240</v>
      </c>
      <c r="FN3754" s="5" t="s">
        <v>240</v>
      </c>
      <c r="FO3754" s="5" t="s">
        <v>240</v>
      </c>
      <c r="FP3754" s="5" t="s">
        <v>240</v>
      </c>
      <c r="FQ3754" s="5" t="s">
        <v>240</v>
      </c>
      <c r="FR3754" s="5" t="s">
        <v>240</v>
      </c>
      <c r="FS3754" s="5" t="s">
        <v>240</v>
      </c>
      <c r="FT3754" s="5" t="s">
        <v>240</v>
      </c>
      <c r="FU3754" s="5" t="s">
        <v>240</v>
      </c>
      <c r="FV3754" s="5" t="s">
        <v>240</v>
      </c>
      <c r="FW3754" s="5" t="s">
        <v>240</v>
      </c>
      <c r="FX3754" s="5" t="s">
        <v>240</v>
      </c>
      <c r="FY3754" s="5" t="s">
        <v>240</v>
      </c>
      <c r="FZ3754" s="5" t="s">
        <v>240</v>
      </c>
      <c r="GA3754" s="5" t="s">
        <v>240</v>
      </c>
      <c r="GB3754" s="5" t="s">
        <v>240</v>
      </c>
      <c r="GC3754" s="5" t="s">
        <v>240</v>
      </c>
      <c r="GD3754" s="5" t="s">
        <v>240</v>
      </c>
      <c r="GE3754" s="5" t="s">
        <v>240</v>
      </c>
      <c r="GF3754" s="5" t="s">
        <v>240</v>
      </c>
      <c r="GG3754" s="5" t="s">
        <v>240</v>
      </c>
      <c r="GH3754" s="5" t="s">
        <v>240</v>
      </c>
      <c r="GI3754" s="5" t="s">
        <v>240</v>
      </c>
      <c r="GJ3754" s="5" t="s">
        <v>240</v>
      </c>
      <c r="GK3754" s="5" t="s">
        <v>240</v>
      </c>
      <c r="GL3754" s="5" t="s">
        <v>240</v>
      </c>
      <c r="GM3754" s="5" t="s">
        <v>240</v>
      </c>
      <c r="GN3754" s="5" t="s">
        <v>240</v>
      </c>
      <c r="GO3754" s="5" t="s">
        <v>240</v>
      </c>
      <c r="GP3754" s="5" t="s">
        <v>240</v>
      </c>
      <c r="GQ3754" s="5" t="s">
        <v>240</v>
      </c>
      <c r="GR3754" s="5" t="s">
        <v>240</v>
      </c>
      <c r="GS3754" s="5" t="s">
        <v>240</v>
      </c>
      <c r="GT3754" s="5" t="s">
        <v>240</v>
      </c>
      <c r="GU3754" s="5" t="s">
        <v>240</v>
      </c>
      <c r="GV3754" s="5" t="s">
        <v>240</v>
      </c>
      <c r="GW3754" s="5" t="s">
        <v>240</v>
      </c>
      <c r="GX3754" s="5" t="s">
        <v>240</v>
      </c>
      <c r="GY3754" s="5" t="s">
        <v>240</v>
      </c>
      <c r="GZ3754" s="5" t="s">
        <v>240</v>
      </c>
      <c r="HA3754" s="5" t="s">
        <v>240</v>
      </c>
      <c r="HB3754" s="5" t="s">
        <v>240</v>
      </c>
      <c r="HC3754" s="5" t="s">
        <v>240</v>
      </c>
      <c r="HD3754" s="5" t="s">
        <v>240</v>
      </c>
      <c r="HE3754" s="5" t="s">
        <v>240</v>
      </c>
      <c r="HF3754" s="5" t="s">
        <v>240</v>
      </c>
      <c r="HG3754" s="5" t="s">
        <v>240</v>
      </c>
      <c r="HH3754" s="5" t="s">
        <v>240</v>
      </c>
      <c r="HI3754" s="5" t="s">
        <v>240</v>
      </c>
      <c r="HJ3754" s="5" t="s">
        <v>240</v>
      </c>
      <c r="HK3754" s="5" t="s">
        <v>240</v>
      </c>
      <c r="HL3754" s="5" t="s">
        <v>240</v>
      </c>
      <c r="HM3754" s="5" t="s">
        <v>240</v>
      </c>
      <c r="HN3754" s="5" t="s">
        <v>240</v>
      </c>
      <c r="HO3754" s="5" t="s">
        <v>312</v>
      </c>
      <c r="HP3754" s="5" t="s">
        <v>240</v>
      </c>
      <c r="HQ3754" s="5" t="s">
        <v>240</v>
      </c>
      <c r="HR3754" s="5" t="s">
        <v>240</v>
      </c>
      <c r="HS3754" s="5" t="s">
        <v>240</v>
      </c>
      <c r="HT3754" s="5" t="s">
        <v>240</v>
      </c>
      <c r="HU3754" s="5" t="s">
        <v>240</v>
      </c>
      <c r="HV3754" s="5" t="s">
        <v>240</v>
      </c>
      <c r="HW3754" s="5" t="s">
        <v>240</v>
      </c>
      <c r="HX3754" s="5" t="s">
        <v>240</v>
      </c>
      <c r="HY3754" s="5" t="s">
        <v>240</v>
      </c>
      <c r="HZ3754" s="5" t="s">
        <v>240</v>
      </c>
      <c r="IA3754" s="5" t="s">
        <v>240</v>
      </c>
      <c r="IB3754" s="5" t="s">
        <v>240</v>
      </c>
      <c r="IC3754" s="5" t="s">
        <v>240</v>
      </c>
      <c r="ID3754" s="5" t="s">
        <v>240</v>
      </c>
      <c r="IE3754" s="5" t="s">
        <v>240</v>
      </c>
      <c r="IF3754" s="5" t="s">
        <v>240</v>
      </c>
    </row>
    <row r="3755" spans="1:240" x14ac:dyDescent="0.4">
      <c r="A3755" s="5">
        <v>9297</v>
      </c>
      <c r="B3755" s="5">
        <v>1</v>
      </c>
      <c r="C3755" s="5">
        <v>1</v>
      </c>
      <c r="D3755" s="5" t="s">
        <v>723</v>
      </c>
      <c r="E3755" s="5" t="s">
        <v>725</v>
      </c>
      <c r="F3755" s="5" t="s">
        <v>254</v>
      </c>
      <c r="G3755" s="5" t="s">
        <v>726</v>
      </c>
      <c r="H3755" s="6" t="s">
        <v>6294</v>
      </c>
      <c r="I3755" s="5" t="s">
        <v>6293</v>
      </c>
      <c r="J3755" s="7">
        <f>1</f>
        <v>1</v>
      </c>
      <c r="K3755" s="5" t="s">
        <v>3682</v>
      </c>
      <c r="L3755" s="7">
        <f>1</f>
        <v>1</v>
      </c>
      <c r="M3755" s="7">
        <f>1</f>
        <v>1</v>
      </c>
      <c r="N3755" s="5" t="s">
        <v>242</v>
      </c>
      <c r="O3755" s="5">
        <v>1</v>
      </c>
      <c r="P3755" s="5" t="s">
        <v>294</v>
      </c>
      <c r="Q3755" s="5" t="s">
        <v>266</v>
      </c>
      <c r="R3755" s="5" t="s">
        <v>240</v>
      </c>
      <c r="S3755" s="5" t="s">
        <v>240</v>
      </c>
      <c r="T3755" s="5" t="s">
        <v>243</v>
      </c>
      <c r="U3755" s="5" t="s">
        <v>240</v>
      </c>
      <c r="V3755" s="5" t="s">
        <v>240</v>
      </c>
      <c r="Y3755" s="5" t="s">
        <v>240</v>
      </c>
      <c r="Z3755" s="6" t="s">
        <v>1825</v>
      </c>
      <c r="AB3755" s="6" t="s">
        <v>240</v>
      </c>
      <c r="AE3755" s="6" t="s">
        <v>747</v>
      </c>
      <c r="AF3755" s="5" t="s">
        <v>248</v>
      </c>
      <c r="AG3755" s="5" t="s">
        <v>260</v>
      </c>
      <c r="AW3755" s="5" t="s">
        <v>251</v>
      </c>
      <c r="AX3755" s="5" t="s">
        <v>240</v>
      </c>
      <c r="AY3755" s="5" t="s">
        <v>253</v>
      </c>
      <c r="AZ3755" s="5" t="s">
        <v>240</v>
      </c>
      <c r="BA3755" s="5" t="s">
        <v>255</v>
      </c>
      <c r="BB3755" s="5" t="s">
        <v>240</v>
      </c>
      <c r="BD3755" s="5" t="s">
        <v>240</v>
      </c>
      <c r="BF3755" s="5" t="s">
        <v>687</v>
      </c>
      <c r="BG3755" s="6" t="s">
        <v>747</v>
      </c>
      <c r="BH3755" s="5" t="s">
        <v>302</v>
      </c>
      <c r="BI3755" s="5" t="s">
        <v>6608</v>
      </c>
      <c r="BJ3755" s="5" t="s">
        <v>240</v>
      </c>
      <c r="BK3755" s="8">
        <f>0</f>
        <v>0</v>
      </c>
      <c r="BL3755" s="7">
        <f>0</f>
        <v>0</v>
      </c>
      <c r="BM3755" s="5" t="s">
        <v>258</v>
      </c>
      <c r="BN3755" s="5" t="s">
        <v>259</v>
      </c>
      <c r="CB3755" s="5" t="s">
        <v>240</v>
      </c>
      <c r="CC3755" s="5" t="s">
        <v>240</v>
      </c>
      <c r="CG3755" s="5" t="s">
        <v>449</v>
      </c>
      <c r="CH3755" s="5" t="s">
        <v>305</v>
      </c>
      <c r="CI3755" s="5" t="s">
        <v>240</v>
      </c>
      <c r="CL3755" s="6" t="s">
        <v>261</v>
      </c>
      <c r="CM3755" s="5" t="s">
        <v>240</v>
      </c>
      <c r="CN3755" s="5" t="s">
        <v>263</v>
      </c>
      <c r="CO3755" s="5" t="s">
        <v>240</v>
      </c>
      <c r="CP3755" s="5" t="s">
        <v>240</v>
      </c>
      <c r="CQ3755" s="5">
        <v>0</v>
      </c>
      <c r="CR3755" s="5" t="s">
        <v>306</v>
      </c>
      <c r="CS3755" s="5" t="s">
        <v>307</v>
      </c>
      <c r="CT3755" s="5" t="s">
        <v>307</v>
      </c>
      <c r="CU3755" s="5" t="s">
        <v>260</v>
      </c>
      <c r="CX3755" s="7">
        <f>6472800</f>
        <v>6472800</v>
      </c>
      <c r="CY3755" s="7">
        <f>0</f>
        <v>0</v>
      </c>
      <c r="DA3755" s="7">
        <f>0</f>
        <v>0</v>
      </c>
      <c r="DC3755" s="5" t="s">
        <v>450</v>
      </c>
      <c r="DD3755" s="5" t="s">
        <v>240</v>
      </c>
      <c r="DF3755" s="5" t="s">
        <v>450</v>
      </c>
      <c r="DG3755" s="7">
        <f>790.11</f>
        <v>790.11</v>
      </c>
      <c r="DI3755" s="5" t="s">
        <v>240</v>
      </c>
      <c r="DJ3755" s="5" t="s">
        <v>240</v>
      </c>
      <c r="DK3755" s="5" t="s">
        <v>240</v>
      </c>
      <c r="DL3755" s="5" t="s">
        <v>240</v>
      </c>
      <c r="DP3755" s="5" t="s">
        <v>240</v>
      </c>
      <c r="DQ3755" s="5" t="s">
        <v>240</v>
      </c>
      <c r="DR3755" s="5" t="s">
        <v>240</v>
      </c>
      <c r="DS3755" s="5" t="s">
        <v>240</v>
      </c>
      <c r="DV3755" s="5" t="s">
        <v>310</v>
      </c>
      <c r="DW3755" s="5" t="s">
        <v>2428</v>
      </c>
      <c r="HO3755" s="5" t="s">
        <v>312</v>
      </c>
    </row>
    <row r="3756" spans="1:240" x14ac:dyDescent="0.4">
      <c r="A3756" s="5">
        <v>9298</v>
      </c>
      <c r="B3756" s="5">
        <v>1</v>
      </c>
      <c r="C3756" s="5">
        <v>1</v>
      </c>
      <c r="D3756" s="5" t="s">
        <v>723</v>
      </c>
      <c r="E3756" s="5" t="s">
        <v>725</v>
      </c>
      <c r="F3756" s="5" t="s">
        <v>254</v>
      </c>
      <c r="G3756" s="5" t="s">
        <v>5461</v>
      </c>
      <c r="H3756" s="6" t="s">
        <v>5462</v>
      </c>
      <c r="I3756" s="5" t="s">
        <v>5460</v>
      </c>
      <c r="J3756" s="7">
        <f>1</f>
        <v>1</v>
      </c>
      <c r="K3756" s="5" t="s">
        <v>3682</v>
      </c>
      <c r="L3756" s="7">
        <f>1</f>
        <v>1</v>
      </c>
      <c r="M3756" s="7">
        <f>1</f>
        <v>1</v>
      </c>
      <c r="N3756" s="5" t="s">
        <v>242</v>
      </c>
      <c r="O3756" s="5">
        <v>1</v>
      </c>
      <c r="P3756" s="5" t="s">
        <v>294</v>
      </c>
      <c r="Q3756" s="5" t="s">
        <v>613</v>
      </c>
      <c r="R3756" s="5" t="s">
        <v>240</v>
      </c>
      <c r="S3756" s="5" t="s">
        <v>240</v>
      </c>
      <c r="T3756" s="5" t="s">
        <v>243</v>
      </c>
      <c r="U3756" s="5" t="s">
        <v>724</v>
      </c>
      <c r="V3756" s="5" t="s">
        <v>240</v>
      </c>
      <c r="W3756" s="5" t="s">
        <v>240</v>
      </c>
      <c r="X3756" s="5" t="s">
        <v>240</v>
      </c>
      <c r="Y3756" s="5" t="s">
        <v>240</v>
      </c>
      <c r="Z3756" s="6" t="s">
        <v>298</v>
      </c>
      <c r="AA3756" s="6" t="s">
        <v>240</v>
      </c>
      <c r="AB3756" s="6" t="s">
        <v>240</v>
      </c>
      <c r="AC3756" s="5" t="s">
        <v>240</v>
      </c>
      <c r="AD3756" s="6" t="s">
        <v>240</v>
      </c>
      <c r="AE3756" s="6" t="s">
        <v>299</v>
      </c>
      <c r="AF3756" s="5" t="s">
        <v>727</v>
      </c>
      <c r="AG3756" s="5" t="s">
        <v>260</v>
      </c>
      <c r="AH3756" s="5" t="s">
        <v>240</v>
      </c>
      <c r="AI3756" s="5" t="s">
        <v>240</v>
      </c>
      <c r="AJ3756" s="5" t="s">
        <v>240</v>
      </c>
      <c r="AK3756" s="5" t="s">
        <v>240</v>
      </c>
      <c r="AL3756" s="5" t="s">
        <v>240</v>
      </c>
      <c r="AM3756" s="5" t="s">
        <v>240</v>
      </c>
      <c r="AN3756" s="5" t="s">
        <v>240</v>
      </c>
      <c r="AO3756" s="5" t="s">
        <v>240</v>
      </c>
      <c r="AP3756" s="6" t="s">
        <v>240</v>
      </c>
      <c r="AQ3756" s="6" t="s">
        <v>240</v>
      </c>
      <c r="AR3756" s="6" t="s">
        <v>240</v>
      </c>
      <c r="AS3756" s="6" t="s">
        <v>240</v>
      </c>
      <c r="AT3756" s="5" t="s">
        <v>240</v>
      </c>
      <c r="AU3756" s="5" t="s">
        <v>729</v>
      </c>
      <c r="AV3756" s="5" t="s">
        <v>729</v>
      </c>
      <c r="AW3756" s="5" t="s">
        <v>251</v>
      </c>
      <c r="AX3756" s="5" t="s">
        <v>252</v>
      </c>
      <c r="AY3756" s="5" t="s">
        <v>253</v>
      </c>
      <c r="AZ3756" s="5" t="s">
        <v>240</v>
      </c>
      <c r="BA3756" s="5" t="s">
        <v>255</v>
      </c>
      <c r="BB3756" s="5" t="s">
        <v>731</v>
      </c>
      <c r="BD3756" s="5" t="s">
        <v>240</v>
      </c>
      <c r="BF3756" s="5" t="s">
        <v>732</v>
      </c>
      <c r="BG3756" s="6" t="s">
        <v>733</v>
      </c>
      <c r="BH3756" s="5" t="s">
        <v>734</v>
      </c>
      <c r="BI3756" s="5" t="s">
        <v>734</v>
      </c>
      <c r="BJ3756" s="5" t="s">
        <v>240</v>
      </c>
      <c r="BK3756" s="8">
        <f>163</f>
        <v>163</v>
      </c>
      <c r="BL3756" s="7">
        <f>0</f>
        <v>0</v>
      </c>
      <c r="BM3756" s="5" t="s">
        <v>258</v>
      </c>
      <c r="BN3756" s="5" t="s">
        <v>259</v>
      </c>
      <c r="BO3756" s="5" t="s">
        <v>240</v>
      </c>
      <c r="BP3756" s="5" t="s">
        <v>240</v>
      </c>
      <c r="BQ3756" s="5" t="s">
        <v>240</v>
      </c>
      <c r="BR3756" s="5" t="s">
        <v>240</v>
      </c>
      <c r="BS3756" s="5" t="s">
        <v>240</v>
      </c>
      <c r="BT3756" s="5" t="s">
        <v>240</v>
      </c>
      <c r="BU3756" s="5" t="s">
        <v>240</v>
      </c>
      <c r="BV3756" s="5" t="s">
        <v>240</v>
      </c>
      <c r="BW3756" s="6" t="s">
        <v>240</v>
      </c>
      <c r="BX3756" s="5" t="s">
        <v>240</v>
      </c>
      <c r="BY3756" s="5" t="s">
        <v>240</v>
      </c>
      <c r="BZ3756" s="5" t="s">
        <v>240</v>
      </c>
      <c r="CA3756" s="5" t="s">
        <v>259</v>
      </c>
      <c r="CB3756" s="5" t="s">
        <v>240</v>
      </c>
      <c r="CC3756" s="5" t="s">
        <v>240</v>
      </c>
      <c r="CD3756" s="5" t="s">
        <v>240</v>
      </c>
      <c r="CE3756" s="5" t="s">
        <v>240</v>
      </c>
      <c r="CF3756" s="5" t="s">
        <v>240</v>
      </c>
      <c r="CG3756" s="5" t="s">
        <v>617</v>
      </c>
      <c r="CH3756" s="5" t="s">
        <v>305</v>
      </c>
      <c r="CI3756" s="5" t="s">
        <v>240</v>
      </c>
      <c r="CL3756" s="6" t="s">
        <v>261</v>
      </c>
      <c r="CM3756" s="5" t="s">
        <v>262</v>
      </c>
      <c r="CN3756" s="5" t="s">
        <v>263</v>
      </c>
      <c r="CO3756" s="5" t="s">
        <v>264</v>
      </c>
      <c r="CP3756" s="5" t="s">
        <v>240</v>
      </c>
      <c r="CQ3756" s="5">
        <v>0</v>
      </c>
      <c r="CR3756" s="5" t="s">
        <v>735</v>
      </c>
      <c r="CS3756" s="5" t="s">
        <v>307</v>
      </c>
      <c r="CT3756" s="5" t="s">
        <v>307</v>
      </c>
      <c r="CU3756" s="5" t="s">
        <v>260</v>
      </c>
      <c r="CV3756" s="5" t="s">
        <v>240</v>
      </c>
      <c r="CW3756" s="8">
        <f>0</f>
        <v>0</v>
      </c>
      <c r="CX3756" s="7">
        <f>0</f>
        <v>0</v>
      </c>
      <c r="CY3756" s="7">
        <f>0</f>
        <v>0</v>
      </c>
      <c r="DA3756" s="7">
        <f>1793</f>
        <v>1793</v>
      </c>
      <c r="DB3756" s="7" t="s">
        <v>240</v>
      </c>
      <c r="DC3756" s="5" t="s">
        <v>240</v>
      </c>
      <c r="DD3756" s="5" t="s">
        <v>240</v>
      </c>
      <c r="DE3756" s="5" t="s">
        <v>240</v>
      </c>
      <c r="DF3756" s="5" t="s">
        <v>450</v>
      </c>
      <c r="DG3756" s="7">
        <f>0</f>
        <v>0</v>
      </c>
      <c r="DI3756" s="5" t="s">
        <v>737</v>
      </c>
      <c r="DJ3756" s="5" t="s">
        <v>240</v>
      </c>
      <c r="DK3756" s="5" t="s">
        <v>240</v>
      </c>
      <c r="DL3756" s="5" t="s">
        <v>240</v>
      </c>
      <c r="DM3756" s="5" t="s">
        <v>240</v>
      </c>
      <c r="DN3756" s="5" t="s">
        <v>240</v>
      </c>
      <c r="DO3756" s="7" t="s">
        <v>240</v>
      </c>
      <c r="DP3756" s="5" t="s">
        <v>240</v>
      </c>
      <c r="DQ3756" s="5" t="s">
        <v>240</v>
      </c>
      <c r="DR3756" s="5" t="s">
        <v>731</v>
      </c>
      <c r="DS3756" s="5" t="s">
        <v>731</v>
      </c>
      <c r="DT3756" s="5" t="s">
        <v>240</v>
      </c>
      <c r="DU3756" s="5" t="s">
        <v>240</v>
      </c>
      <c r="DV3756" s="5" t="s">
        <v>738</v>
      </c>
      <c r="DW3756" s="5" t="s">
        <v>765</v>
      </c>
      <c r="DX3756" s="5" t="s">
        <v>240</v>
      </c>
      <c r="DY3756" s="5" t="s">
        <v>240</v>
      </c>
      <c r="DZ3756" s="5" t="s">
        <v>240</v>
      </c>
      <c r="EA3756" s="5" t="s">
        <v>240</v>
      </c>
      <c r="EB3756" s="5" t="s">
        <v>240</v>
      </c>
      <c r="EC3756" s="5" t="s">
        <v>240</v>
      </c>
      <c r="ED3756" s="5" t="s">
        <v>240</v>
      </c>
      <c r="EE3756" s="5" t="s">
        <v>240</v>
      </c>
      <c r="EF3756" s="5" t="s">
        <v>240</v>
      </c>
      <c r="EG3756" s="5" t="s">
        <v>240</v>
      </c>
      <c r="EH3756" s="5" t="s">
        <v>240</v>
      </c>
      <c r="EI3756" s="5" t="s">
        <v>240</v>
      </c>
      <c r="EJ3756" s="5" t="s">
        <v>240</v>
      </c>
      <c r="EK3756" s="5" t="s">
        <v>240</v>
      </c>
      <c r="EL3756" s="5" t="s">
        <v>240</v>
      </c>
      <c r="EM3756" s="5" t="s">
        <v>240</v>
      </c>
      <c r="EN3756" s="5" t="s">
        <v>240</v>
      </c>
      <c r="EO3756" s="5" t="s">
        <v>240</v>
      </c>
      <c r="EP3756" s="5" t="s">
        <v>240</v>
      </c>
      <c r="EQ3756" s="5" t="s">
        <v>240</v>
      </c>
      <c r="ER3756" s="5" t="s">
        <v>240</v>
      </c>
      <c r="ES3756" s="5" t="s">
        <v>240</v>
      </c>
      <c r="ET3756" s="5" t="s">
        <v>240</v>
      </c>
      <c r="EU3756" s="5" t="s">
        <v>240</v>
      </c>
      <c r="EV3756" s="5" t="s">
        <v>240</v>
      </c>
      <c r="EW3756" s="5" t="s">
        <v>240</v>
      </c>
      <c r="EX3756" s="5" t="s">
        <v>240</v>
      </c>
      <c r="EY3756" s="5" t="s">
        <v>240</v>
      </c>
      <c r="EZ3756" s="5" t="s">
        <v>240</v>
      </c>
      <c r="FA3756" s="5" t="s">
        <v>240</v>
      </c>
      <c r="FB3756" s="5" t="s">
        <v>240</v>
      </c>
      <c r="FC3756" s="5" t="s">
        <v>240</v>
      </c>
      <c r="FD3756" s="5" t="s">
        <v>240</v>
      </c>
      <c r="FE3756" s="5" t="s">
        <v>240</v>
      </c>
      <c r="FF3756" s="5" t="s">
        <v>240</v>
      </c>
      <c r="FG3756" s="5" t="s">
        <v>240</v>
      </c>
      <c r="FH3756" s="5" t="s">
        <v>240</v>
      </c>
      <c r="FI3756" s="5" t="s">
        <v>240</v>
      </c>
      <c r="FJ3756" s="5" t="s">
        <v>240</v>
      </c>
      <c r="FK3756" s="5" t="s">
        <v>240</v>
      </c>
      <c r="FL3756" s="5" t="s">
        <v>240</v>
      </c>
      <c r="FM3756" s="5" t="s">
        <v>240</v>
      </c>
      <c r="FN3756" s="5" t="s">
        <v>240</v>
      </c>
      <c r="FO3756" s="5" t="s">
        <v>240</v>
      </c>
      <c r="FP3756" s="5" t="s">
        <v>240</v>
      </c>
      <c r="FQ3756" s="5" t="s">
        <v>240</v>
      </c>
      <c r="FR3756" s="5" t="s">
        <v>240</v>
      </c>
      <c r="FS3756" s="5" t="s">
        <v>240</v>
      </c>
      <c r="FT3756" s="5" t="s">
        <v>240</v>
      </c>
      <c r="FU3756" s="5" t="s">
        <v>240</v>
      </c>
      <c r="FV3756" s="5" t="s">
        <v>240</v>
      </c>
      <c r="FW3756" s="5" t="s">
        <v>240</v>
      </c>
      <c r="FX3756" s="5" t="s">
        <v>240</v>
      </c>
      <c r="FY3756" s="5" t="s">
        <v>240</v>
      </c>
      <c r="FZ3756" s="5" t="s">
        <v>240</v>
      </c>
      <c r="GA3756" s="5" t="s">
        <v>240</v>
      </c>
      <c r="GB3756" s="5" t="s">
        <v>240</v>
      </c>
      <c r="GC3756" s="5" t="s">
        <v>240</v>
      </c>
      <c r="GD3756" s="5" t="s">
        <v>240</v>
      </c>
      <c r="GE3756" s="5" t="s">
        <v>240</v>
      </c>
      <c r="GF3756" s="5" t="s">
        <v>240</v>
      </c>
      <c r="GG3756" s="5" t="s">
        <v>240</v>
      </c>
      <c r="GH3756" s="5" t="s">
        <v>240</v>
      </c>
      <c r="GI3756" s="5" t="s">
        <v>240</v>
      </c>
      <c r="GJ3756" s="5" t="s">
        <v>240</v>
      </c>
      <c r="GK3756" s="5" t="s">
        <v>240</v>
      </c>
      <c r="GL3756" s="5" t="s">
        <v>240</v>
      </c>
      <c r="GM3756" s="5" t="s">
        <v>240</v>
      </c>
      <c r="GN3756" s="5" t="s">
        <v>240</v>
      </c>
      <c r="GO3756" s="5" t="s">
        <v>240</v>
      </c>
      <c r="GP3756" s="5" t="s">
        <v>240</v>
      </c>
      <c r="GQ3756" s="5" t="s">
        <v>240</v>
      </c>
      <c r="GR3756" s="5" t="s">
        <v>240</v>
      </c>
      <c r="GS3756" s="5" t="s">
        <v>240</v>
      </c>
      <c r="GT3756" s="5" t="s">
        <v>240</v>
      </c>
      <c r="GU3756" s="5" t="s">
        <v>240</v>
      </c>
      <c r="GV3756" s="5" t="s">
        <v>240</v>
      </c>
      <c r="GW3756" s="5" t="s">
        <v>240</v>
      </c>
      <c r="GX3756" s="5" t="s">
        <v>240</v>
      </c>
      <c r="GY3756" s="5" t="s">
        <v>240</v>
      </c>
      <c r="GZ3756" s="5" t="s">
        <v>240</v>
      </c>
      <c r="HA3756" s="5" t="s">
        <v>240</v>
      </c>
      <c r="HB3756" s="5" t="s">
        <v>240</v>
      </c>
      <c r="HC3756" s="5" t="s">
        <v>240</v>
      </c>
      <c r="HD3756" s="5" t="s">
        <v>240</v>
      </c>
      <c r="HE3756" s="5" t="s">
        <v>240</v>
      </c>
      <c r="HF3756" s="5" t="s">
        <v>240</v>
      </c>
      <c r="HG3756" s="5" t="s">
        <v>240</v>
      </c>
      <c r="HH3756" s="5" t="s">
        <v>240</v>
      </c>
      <c r="HI3756" s="5" t="s">
        <v>240</v>
      </c>
      <c r="HJ3756" s="5" t="s">
        <v>240</v>
      </c>
      <c r="HK3756" s="5" t="s">
        <v>240</v>
      </c>
      <c r="HL3756" s="5" t="s">
        <v>240</v>
      </c>
      <c r="HM3756" s="5" t="s">
        <v>240</v>
      </c>
      <c r="HN3756" s="5" t="s">
        <v>240</v>
      </c>
      <c r="HO3756" s="5" t="s">
        <v>312</v>
      </c>
      <c r="HP3756" s="5" t="s">
        <v>240</v>
      </c>
      <c r="HQ3756" s="5" t="s">
        <v>240</v>
      </c>
      <c r="HR3756" s="5" t="s">
        <v>240</v>
      </c>
      <c r="HS3756" s="5" t="s">
        <v>240</v>
      </c>
      <c r="HT3756" s="5" t="s">
        <v>240</v>
      </c>
      <c r="HU3756" s="5" t="s">
        <v>240</v>
      </c>
      <c r="HV3756" s="5" t="s">
        <v>240</v>
      </c>
      <c r="HW3756" s="5" t="s">
        <v>240</v>
      </c>
      <c r="HX3756" s="5" t="s">
        <v>240</v>
      </c>
      <c r="HY3756" s="5" t="s">
        <v>240</v>
      </c>
      <c r="HZ3756" s="5" t="s">
        <v>240</v>
      </c>
      <c r="IA3756" s="5" t="s">
        <v>240</v>
      </c>
      <c r="IB3756" s="5" t="s">
        <v>240</v>
      </c>
      <c r="IC3756" s="5" t="s">
        <v>240</v>
      </c>
      <c r="ID3756" s="5" t="s">
        <v>240</v>
      </c>
      <c r="IE3756" s="5" t="s">
        <v>240</v>
      </c>
      <c r="IF3756" s="5" t="s">
        <v>240</v>
      </c>
    </row>
    <row r="3757" spans="1:240" x14ac:dyDescent="0.4">
      <c r="A3757" s="5">
        <v>9299</v>
      </c>
      <c r="B3757" s="5">
        <v>1</v>
      </c>
      <c r="C3757" s="5">
        <v>1</v>
      </c>
      <c r="D3757" s="5" t="s">
        <v>723</v>
      </c>
      <c r="E3757" s="5" t="s">
        <v>725</v>
      </c>
      <c r="F3757" s="5" t="s">
        <v>254</v>
      </c>
      <c r="G3757" s="5" t="s">
        <v>726</v>
      </c>
      <c r="H3757" s="6" t="s">
        <v>5459</v>
      </c>
      <c r="I3757" s="5" t="s">
        <v>5458</v>
      </c>
      <c r="J3757" s="7">
        <f>1</f>
        <v>1</v>
      </c>
      <c r="K3757" s="5" t="s">
        <v>3682</v>
      </c>
      <c r="L3757" s="7">
        <f>1</f>
        <v>1</v>
      </c>
      <c r="M3757" s="7">
        <f>1</f>
        <v>1</v>
      </c>
      <c r="N3757" s="5" t="s">
        <v>242</v>
      </c>
      <c r="O3757" s="5">
        <v>1</v>
      </c>
      <c r="P3757" s="5" t="s">
        <v>294</v>
      </c>
      <c r="Q3757" s="5" t="s">
        <v>613</v>
      </c>
      <c r="R3757" s="5" t="s">
        <v>240</v>
      </c>
      <c r="S3757" s="5" t="s">
        <v>240</v>
      </c>
      <c r="T3757" s="5" t="s">
        <v>243</v>
      </c>
      <c r="U3757" s="5" t="s">
        <v>724</v>
      </c>
      <c r="V3757" s="5" t="s">
        <v>240</v>
      </c>
      <c r="W3757" s="5" t="s">
        <v>240</v>
      </c>
      <c r="X3757" s="5" t="s">
        <v>240</v>
      </c>
      <c r="Y3757" s="5" t="s">
        <v>240</v>
      </c>
      <c r="Z3757" s="6" t="s">
        <v>298</v>
      </c>
      <c r="AA3757" s="6" t="s">
        <v>240</v>
      </c>
      <c r="AB3757" s="6" t="s">
        <v>240</v>
      </c>
      <c r="AC3757" s="5" t="s">
        <v>240</v>
      </c>
      <c r="AD3757" s="6" t="s">
        <v>240</v>
      </c>
      <c r="AE3757" s="6" t="s">
        <v>299</v>
      </c>
      <c r="AF3757" s="5" t="s">
        <v>727</v>
      </c>
      <c r="AG3757" s="5" t="s">
        <v>260</v>
      </c>
      <c r="AH3757" s="5" t="s">
        <v>240</v>
      </c>
      <c r="AI3757" s="5" t="s">
        <v>240</v>
      </c>
      <c r="AJ3757" s="5" t="s">
        <v>240</v>
      </c>
      <c r="AK3757" s="5" t="s">
        <v>240</v>
      </c>
      <c r="AL3757" s="5" t="s">
        <v>240</v>
      </c>
      <c r="AM3757" s="5" t="s">
        <v>240</v>
      </c>
      <c r="AN3757" s="5" t="s">
        <v>240</v>
      </c>
      <c r="AO3757" s="5" t="s">
        <v>240</v>
      </c>
      <c r="AP3757" s="6" t="s">
        <v>240</v>
      </c>
      <c r="AQ3757" s="6" t="s">
        <v>240</v>
      </c>
      <c r="AR3757" s="6" t="s">
        <v>240</v>
      </c>
      <c r="AS3757" s="6" t="s">
        <v>240</v>
      </c>
      <c r="AT3757" s="5" t="s">
        <v>240</v>
      </c>
      <c r="AU3757" s="5" t="s">
        <v>729</v>
      </c>
      <c r="AV3757" s="5" t="s">
        <v>729</v>
      </c>
      <c r="AW3757" s="5" t="s">
        <v>251</v>
      </c>
      <c r="AX3757" s="5" t="s">
        <v>252</v>
      </c>
      <c r="AY3757" s="5" t="s">
        <v>253</v>
      </c>
      <c r="AZ3757" s="5" t="s">
        <v>240</v>
      </c>
      <c r="BA3757" s="5" t="s">
        <v>255</v>
      </c>
      <c r="BB3757" s="5" t="s">
        <v>731</v>
      </c>
      <c r="BD3757" s="5" t="s">
        <v>240</v>
      </c>
      <c r="BF3757" s="5" t="s">
        <v>732</v>
      </c>
      <c r="BG3757" s="6" t="s">
        <v>733</v>
      </c>
      <c r="BH3757" s="5" t="s">
        <v>734</v>
      </c>
      <c r="BI3757" s="5" t="s">
        <v>734</v>
      </c>
      <c r="BJ3757" s="5" t="s">
        <v>240</v>
      </c>
      <c r="BK3757" s="8">
        <f>252</f>
        <v>252</v>
      </c>
      <c r="BL3757" s="7">
        <f>0</f>
        <v>0</v>
      </c>
      <c r="BM3757" s="5" t="s">
        <v>258</v>
      </c>
      <c r="BN3757" s="5" t="s">
        <v>259</v>
      </c>
      <c r="BO3757" s="5" t="s">
        <v>240</v>
      </c>
      <c r="BP3757" s="5" t="s">
        <v>240</v>
      </c>
      <c r="BQ3757" s="5" t="s">
        <v>240</v>
      </c>
      <c r="BR3757" s="5" t="s">
        <v>240</v>
      </c>
      <c r="BS3757" s="5" t="s">
        <v>240</v>
      </c>
      <c r="BT3757" s="5" t="s">
        <v>240</v>
      </c>
      <c r="BU3757" s="5" t="s">
        <v>240</v>
      </c>
      <c r="BV3757" s="5" t="s">
        <v>240</v>
      </c>
      <c r="BW3757" s="6" t="s">
        <v>240</v>
      </c>
      <c r="BX3757" s="5" t="s">
        <v>240</v>
      </c>
      <c r="BY3757" s="5" t="s">
        <v>240</v>
      </c>
      <c r="BZ3757" s="5" t="s">
        <v>240</v>
      </c>
      <c r="CA3757" s="5" t="s">
        <v>259</v>
      </c>
      <c r="CB3757" s="5" t="s">
        <v>240</v>
      </c>
      <c r="CC3757" s="5" t="s">
        <v>240</v>
      </c>
      <c r="CD3757" s="5" t="s">
        <v>240</v>
      </c>
      <c r="CE3757" s="5" t="s">
        <v>240</v>
      </c>
      <c r="CF3757" s="5" t="s">
        <v>240</v>
      </c>
      <c r="CG3757" s="5" t="s">
        <v>617</v>
      </c>
      <c r="CH3757" s="5" t="s">
        <v>305</v>
      </c>
      <c r="CI3757" s="5" t="s">
        <v>240</v>
      </c>
      <c r="CL3757" s="6" t="s">
        <v>261</v>
      </c>
      <c r="CM3757" s="5" t="s">
        <v>262</v>
      </c>
      <c r="CN3757" s="5" t="s">
        <v>263</v>
      </c>
      <c r="CO3757" s="5" t="s">
        <v>264</v>
      </c>
      <c r="CP3757" s="5" t="s">
        <v>240</v>
      </c>
      <c r="CQ3757" s="5">
        <v>0</v>
      </c>
      <c r="CR3757" s="5" t="s">
        <v>735</v>
      </c>
      <c r="CS3757" s="5" t="s">
        <v>307</v>
      </c>
      <c r="CT3757" s="5" t="s">
        <v>307</v>
      </c>
      <c r="CU3757" s="5" t="s">
        <v>260</v>
      </c>
      <c r="CV3757" s="5" t="s">
        <v>240</v>
      </c>
      <c r="CW3757" s="8">
        <f>0</f>
        <v>0</v>
      </c>
      <c r="CX3757" s="7">
        <f>0</f>
        <v>0</v>
      </c>
      <c r="CY3757" s="7">
        <f>0</f>
        <v>0</v>
      </c>
      <c r="DA3757" s="7">
        <f>2772</f>
        <v>2772</v>
      </c>
      <c r="DB3757" s="7" t="s">
        <v>240</v>
      </c>
      <c r="DC3757" s="5" t="s">
        <v>240</v>
      </c>
      <c r="DD3757" s="5" t="s">
        <v>240</v>
      </c>
      <c r="DE3757" s="5" t="s">
        <v>240</v>
      </c>
      <c r="DF3757" s="5" t="s">
        <v>450</v>
      </c>
      <c r="DG3757" s="7">
        <f>0</f>
        <v>0</v>
      </c>
      <c r="DI3757" s="5" t="s">
        <v>737</v>
      </c>
      <c r="DJ3757" s="5" t="s">
        <v>240</v>
      </c>
      <c r="DK3757" s="5" t="s">
        <v>240</v>
      </c>
      <c r="DL3757" s="5" t="s">
        <v>240</v>
      </c>
      <c r="DM3757" s="5" t="s">
        <v>240</v>
      </c>
      <c r="DN3757" s="5" t="s">
        <v>240</v>
      </c>
      <c r="DO3757" s="7" t="s">
        <v>240</v>
      </c>
      <c r="DP3757" s="5" t="s">
        <v>240</v>
      </c>
      <c r="DQ3757" s="5" t="s">
        <v>240</v>
      </c>
      <c r="DR3757" s="5" t="s">
        <v>731</v>
      </c>
      <c r="DS3757" s="5" t="s">
        <v>731</v>
      </c>
      <c r="DT3757" s="5" t="s">
        <v>240</v>
      </c>
      <c r="DU3757" s="5" t="s">
        <v>240</v>
      </c>
      <c r="DV3757" s="5" t="s">
        <v>738</v>
      </c>
      <c r="DW3757" s="5" t="s">
        <v>760</v>
      </c>
      <c r="DX3757" s="5" t="s">
        <v>240</v>
      </c>
      <c r="DY3757" s="5" t="s">
        <v>240</v>
      </c>
      <c r="DZ3757" s="5" t="s">
        <v>240</v>
      </c>
      <c r="EA3757" s="5" t="s">
        <v>240</v>
      </c>
      <c r="EB3757" s="5" t="s">
        <v>240</v>
      </c>
      <c r="EC3757" s="5" t="s">
        <v>240</v>
      </c>
      <c r="ED3757" s="5" t="s">
        <v>240</v>
      </c>
      <c r="EE3757" s="5" t="s">
        <v>240</v>
      </c>
      <c r="EF3757" s="5" t="s">
        <v>240</v>
      </c>
      <c r="EG3757" s="5" t="s">
        <v>240</v>
      </c>
      <c r="EH3757" s="5" t="s">
        <v>240</v>
      </c>
      <c r="EI3757" s="5" t="s">
        <v>240</v>
      </c>
      <c r="EJ3757" s="5" t="s">
        <v>240</v>
      </c>
      <c r="EK3757" s="5" t="s">
        <v>240</v>
      </c>
      <c r="EL3757" s="5" t="s">
        <v>240</v>
      </c>
      <c r="EM3757" s="5" t="s">
        <v>240</v>
      </c>
      <c r="EN3757" s="5" t="s">
        <v>240</v>
      </c>
      <c r="EO3757" s="5" t="s">
        <v>240</v>
      </c>
      <c r="EP3757" s="5" t="s">
        <v>240</v>
      </c>
      <c r="EQ3757" s="5" t="s">
        <v>240</v>
      </c>
      <c r="ER3757" s="5" t="s">
        <v>240</v>
      </c>
      <c r="ES3757" s="5" t="s">
        <v>240</v>
      </c>
      <c r="ET3757" s="5" t="s">
        <v>240</v>
      </c>
      <c r="EU3757" s="5" t="s">
        <v>240</v>
      </c>
      <c r="EV3757" s="5" t="s">
        <v>240</v>
      </c>
      <c r="EW3757" s="5" t="s">
        <v>240</v>
      </c>
      <c r="EX3757" s="5" t="s">
        <v>240</v>
      </c>
      <c r="EY3757" s="5" t="s">
        <v>240</v>
      </c>
      <c r="EZ3757" s="5" t="s">
        <v>240</v>
      </c>
      <c r="FA3757" s="5" t="s">
        <v>240</v>
      </c>
      <c r="FB3757" s="5" t="s">
        <v>240</v>
      </c>
      <c r="FC3757" s="5" t="s">
        <v>240</v>
      </c>
      <c r="FD3757" s="5" t="s">
        <v>240</v>
      </c>
      <c r="FE3757" s="5" t="s">
        <v>240</v>
      </c>
      <c r="FF3757" s="5" t="s">
        <v>240</v>
      </c>
      <c r="FG3757" s="5" t="s">
        <v>240</v>
      </c>
      <c r="FH3757" s="5" t="s">
        <v>240</v>
      </c>
      <c r="FI3757" s="5" t="s">
        <v>240</v>
      </c>
      <c r="FJ3757" s="5" t="s">
        <v>240</v>
      </c>
      <c r="FK3757" s="5" t="s">
        <v>240</v>
      </c>
      <c r="FL3757" s="5" t="s">
        <v>240</v>
      </c>
      <c r="FM3757" s="5" t="s">
        <v>240</v>
      </c>
      <c r="FN3757" s="5" t="s">
        <v>240</v>
      </c>
      <c r="FO3757" s="5" t="s">
        <v>240</v>
      </c>
      <c r="FP3757" s="5" t="s">
        <v>240</v>
      </c>
      <c r="FQ3757" s="5" t="s">
        <v>240</v>
      </c>
      <c r="FR3757" s="5" t="s">
        <v>240</v>
      </c>
      <c r="FS3757" s="5" t="s">
        <v>240</v>
      </c>
      <c r="FT3757" s="5" t="s">
        <v>240</v>
      </c>
      <c r="FU3757" s="5" t="s">
        <v>240</v>
      </c>
      <c r="FV3757" s="5" t="s">
        <v>240</v>
      </c>
      <c r="FW3757" s="5" t="s">
        <v>240</v>
      </c>
      <c r="FX3757" s="5" t="s">
        <v>240</v>
      </c>
      <c r="FY3757" s="5" t="s">
        <v>240</v>
      </c>
      <c r="FZ3757" s="5" t="s">
        <v>240</v>
      </c>
      <c r="GA3757" s="5" t="s">
        <v>240</v>
      </c>
      <c r="GB3757" s="5" t="s">
        <v>240</v>
      </c>
      <c r="GC3757" s="5" t="s">
        <v>240</v>
      </c>
      <c r="GD3757" s="5" t="s">
        <v>240</v>
      </c>
      <c r="GE3757" s="5" t="s">
        <v>240</v>
      </c>
      <c r="GF3757" s="5" t="s">
        <v>240</v>
      </c>
      <c r="GG3757" s="5" t="s">
        <v>240</v>
      </c>
      <c r="GH3757" s="5" t="s">
        <v>240</v>
      </c>
      <c r="GI3757" s="5" t="s">
        <v>240</v>
      </c>
      <c r="GJ3757" s="5" t="s">
        <v>240</v>
      </c>
      <c r="GK3757" s="5" t="s">
        <v>240</v>
      </c>
      <c r="GL3757" s="5" t="s">
        <v>240</v>
      </c>
      <c r="GM3757" s="5" t="s">
        <v>240</v>
      </c>
      <c r="GN3757" s="5" t="s">
        <v>240</v>
      </c>
      <c r="GO3757" s="5" t="s">
        <v>240</v>
      </c>
      <c r="GP3757" s="5" t="s">
        <v>240</v>
      </c>
      <c r="GQ3757" s="5" t="s">
        <v>240</v>
      </c>
      <c r="GR3757" s="5" t="s">
        <v>240</v>
      </c>
      <c r="GS3757" s="5" t="s">
        <v>240</v>
      </c>
      <c r="GT3757" s="5" t="s">
        <v>240</v>
      </c>
      <c r="GU3757" s="5" t="s">
        <v>240</v>
      </c>
      <c r="GV3757" s="5" t="s">
        <v>240</v>
      </c>
      <c r="GW3757" s="5" t="s">
        <v>240</v>
      </c>
      <c r="GX3757" s="5" t="s">
        <v>240</v>
      </c>
      <c r="GY3757" s="5" t="s">
        <v>240</v>
      </c>
      <c r="GZ3757" s="5" t="s">
        <v>240</v>
      </c>
      <c r="HA3757" s="5" t="s">
        <v>240</v>
      </c>
      <c r="HB3757" s="5" t="s">
        <v>240</v>
      </c>
      <c r="HC3757" s="5" t="s">
        <v>240</v>
      </c>
      <c r="HD3757" s="5" t="s">
        <v>240</v>
      </c>
      <c r="HE3757" s="5" t="s">
        <v>240</v>
      </c>
      <c r="HF3757" s="5" t="s">
        <v>240</v>
      </c>
      <c r="HG3757" s="5" t="s">
        <v>240</v>
      </c>
      <c r="HH3757" s="5" t="s">
        <v>240</v>
      </c>
      <c r="HI3757" s="5" t="s">
        <v>240</v>
      </c>
      <c r="HJ3757" s="5" t="s">
        <v>240</v>
      </c>
      <c r="HK3757" s="5" t="s">
        <v>240</v>
      </c>
      <c r="HL3757" s="5" t="s">
        <v>240</v>
      </c>
      <c r="HM3757" s="5" t="s">
        <v>240</v>
      </c>
      <c r="HN3757" s="5" t="s">
        <v>240</v>
      </c>
      <c r="HO3757" s="5" t="s">
        <v>312</v>
      </c>
      <c r="HP3757" s="5" t="s">
        <v>240</v>
      </c>
      <c r="HQ3757" s="5" t="s">
        <v>240</v>
      </c>
      <c r="HR3757" s="5" t="s">
        <v>240</v>
      </c>
      <c r="HS3757" s="5" t="s">
        <v>240</v>
      </c>
      <c r="HT3757" s="5" t="s">
        <v>240</v>
      </c>
      <c r="HU3757" s="5" t="s">
        <v>240</v>
      </c>
      <c r="HV3757" s="5" t="s">
        <v>240</v>
      </c>
      <c r="HW3757" s="5" t="s">
        <v>240</v>
      </c>
      <c r="HX3757" s="5" t="s">
        <v>240</v>
      </c>
      <c r="HY3757" s="5" t="s">
        <v>240</v>
      </c>
      <c r="HZ3757" s="5" t="s">
        <v>240</v>
      </c>
      <c r="IA3757" s="5" t="s">
        <v>240</v>
      </c>
      <c r="IB3757" s="5" t="s">
        <v>240</v>
      </c>
      <c r="IC3757" s="5" t="s">
        <v>240</v>
      </c>
      <c r="ID3757" s="5" t="s">
        <v>240</v>
      </c>
      <c r="IE3757" s="5" t="s">
        <v>240</v>
      </c>
      <c r="IF3757" s="5" t="s">
        <v>240</v>
      </c>
    </row>
    <row r="3758" spans="1:240" x14ac:dyDescent="0.4">
      <c r="A3758" s="5">
        <v>9300</v>
      </c>
      <c r="B3758" s="5">
        <v>1</v>
      </c>
      <c r="C3758" s="5">
        <v>1</v>
      </c>
      <c r="D3758" s="5" t="s">
        <v>723</v>
      </c>
      <c r="E3758" s="5" t="s">
        <v>725</v>
      </c>
      <c r="F3758" s="5" t="s">
        <v>254</v>
      </c>
      <c r="G3758" s="5" t="s">
        <v>726</v>
      </c>
      <c r="H3758" s="6" t="s">
        <v>5457</v>
      </c>
      <c r="I3758" s="5" t="s">
        <v>5456</v>
      </c>
      <c r="J3758" s="7">
        <f>1</f>
        <v>1</v>
      </c>
      <c r="K3758" s="5" t="s">
        <v>3682</v>
      </c>
      <c r="L3758" s="7">
        <f>1</f>
        <v>1</v>
      </c>
      <c r="M3758" s="7">
        <f>1</f>
        <v>1</v>
      </c>
      <c r="N3758" s="5" t="s">
        <v>242</v>
      </c>
      <c r="O3758" s="5">
        <v>1</v>
      </c>
      <c r="P3758" s="5" t="s">
        <v>294</v>
      </c>
      <c r="Q3758" s="5" t="s">
        <v>613</v>
      </c>
      <c r="R3758" s="5" t="s">
        <v>240</v>
      </c>
      <c r="S3758" s="5" t="s">
        <v>240</v>
      </c>
      <c r="T3758" s="5" t="s">
        <v>243</v>
      </c>
      <c r="U3758" s="5" t="s">
        <v>724</v>
      </c>
      <c r="V3758" s="5" t="s">
        <v>240</v>
      </c>
      <c r="W3758" s="5" t="s">
        <v>240</v>
      </c>
      <c r="X3758" s="5" t="s">
        <v>240</v>
      </c>
      <c r="Y3758" s="5" t="s">
        <v>240</v>
      </c>
      <c r="Z3758" s="6" t="s">
        <v>298</v>
      </c>
      <c r="AA3758" s="6" t="s">
        <v>240</v>
      </c>
      <c r="AB3758" s="6" t="s">
        <v>240</v>
      </c>
      <c r="AC3758" s="5" t="s">
        <v>240</v>
      </c>
      <c r="AD3758" s="6" t="s">
        <v>240</v>
      </c>
      <c r="AE3758" s="6" t="s">
        <v>299</v>
      </c>
      <c r="AF3758" s="5" t="s">
        <v>727</v>
      </c>
      <c r="AG3758" s="5" t="s">
        <v>260</v>
      </c>
      <c r="AH3758" s="5" t="s">
        <v>240</v>
      </c>
      <c r="AI3758" s="5" t="s">
        <v>240</v>
      </c>
      <c r="AJ3758" s="5" t="s">
        <v>240</v>
      </c>
      <c r="AK3758" s="5" t="s">
        <v>240</v>
      </c>
      <c r="AL3758" s="5" t="s">
        <v>240</v>
      </c>
      <c r="AM3758" s="5" t="s">
        <v>240</v>
      </c>
      <c r="AN3758" s="5" t="s">
        <v>240</v>
      </c>
      <c r="AO3758" s="5" t="s">
        <v>240</v>
      </c>
      <c r="AP3758" s="6" t="s">
        <v>240</v>
      </c>
      <c r="AQ3758" s="6" t="s">
        <v>240</v>
      </c>
      <c r="AR3758" s="6" t="s">
        <v>240</v>
      </c>
      <c r="AS3758" s="6" t="s">
        <v>240</v>
      </c>
      <c r="AT3758" s="5" t="s">
        <v>240</v>
      </c>
      <c r="AU3758" s="5" t="s">
        <v>729</v>
      </c>
      <c r="AV3758" s="5" t="s">
        <v>729</v>
      </c>
      <c r="AW3758" s="5" t="s">
        <v>251</v>
      </c>
      <c r="AX3758" s="5" t="s">
        <v>252</v>
      </c>
      <c r="AY3758" s="5" t="s">
        <v>253</v>
      </c>
      <c r="AZ3758" s="5" t="s">
        <v>240</v>
      </c>
      <c r="BA3758" s="5" t="s">
        <v>255</v>
      </c>
      <c r="BB3758" s="5" t="s">
        <v>731</v>
      </c>
      <c r="BD3758" s="5" t="s">
        <v>240</v>
      </c>
      <c r="BF3758" s="5" t="s">
        <v>732</v>
      </c>
      <c r="BG3758" s="6" t="s">
        <v>733</v>
      </c>
      <c r="BH3758" s="5" t="s">
        <v>734</v>
      </c>
      <c r="BI3758" s="5" t="s">
        <v>734</v>
      </c>
      <c r="BJ3758" s="5" t="s">
        <v>240</v>
      </c>
      <c r="BK3758" s="8">
        <f>952</f>
        <v>952</v>
      </c>
      <c r="BL3758" s="7">
        <f>0</f>
        <v>0</v>
      </c>
      <c r="BM3758" s="5" t="s">
        <v>258</v>
      </c>
      <c r="BN3758" s="5" t="s">
        <v>259</v>
      </c>
      <c r="BO3758" s="5" t="s">
        <v>240</v>
      </c>
      <c r="BP3758" s="5" t="s">
        <v>240</v>
      </c>
      <c r="BQ3758" s="5" t="s">
        <v>240</v>
      </c>
      <c r="BR3758" s="5" t="s">
        <v>240</v>
      </c>
      <c r="BS3758" s="5" t="s">
        <v>240</v>
      </c>
      <c r="BT3758" s="5" t="s">
        <v>240</v>
      </c>
      <c r="BU3758" s="5" t="s">
        <v>240</v>
      </c>
      <c r="BV3758" s="5" t="s">
        <v>240</v>
      </c>
      <c r="BW3758" s="6" t="s">
        <v>240</v>
      </c>
      <c r="BX3758" s="5" t="s">
        <v>240</v>
      </c>
      <c r="BY3758" s="5" t="s">
        <v>240</v>
      </c>
      <c r="BZ3758" s="5" t="s">
        <v>240</v>
      </c>
      <c r="CA3758" s="5" t="s">
        <v>259</v>
      </c>
      <c r="CB3758" s="5" t="s">
        <v>240</v>
      </c>
      <c r="CC3758" s="5" t="s">
        <v>240</v>
      </c>
      <c r="CD3758" s="5" t="s">
        <v>240</v>
      </c>
      <c r="CE3758" s="5" t="s">
        <v>240</v>
      </c>
      <c r="CF3758" s="5" t="s">
        <v>240</v>
      </c>
      <c r="CG3758" s="5" t="s">
        <v>617</v>
      </c>
      <c r="CH3758" s="5" t="s">
        <v>305</v>
      </c>
      <c r="CI3758" s="5" t="s">
        <v>240</v>
      </c>
      <c r="CL3758" s="6" t="s">
        <v>261</v>
      </c>
      <c r="CM3758" s="5" t="s">
        <v>262</v>
      </c>
      <c r="CN3758" s="5" t="s">
        <v>263</v>
      </c>
      <c r="CO3758" s="5" t="s">
        <v>264</v>
      </c>
      <c r="CP3758" s="5" t="s">
        <v>240</v>
      </c>
      <c r="CQ3758" s="5">
        <v>0</v>
      </c>
      <c r="CR3758" s="5" t="s">
        <v>735</v>
      </c>
      <c r="CS3758" s="5" t="s">
        <v>307</v>
      </c>
      <c r="CT3758" s="5" t="s">
        <v>307</v>
      </c>
      <c r="CU3758" s="5" t="s">
        <v>260</v>
      </c>
      <c r="CV3758" s="5" t="s">
        <v>240</v>
      </c>
      <c r="CW3758" s="8">
        <f>0</f>
        <v>0</v>
      </c>
      <c r="CX3758" s="7">
        <f>0</f>
        <v>0</v>
      </c>
      <c r="CY3758" s="7">
        <f>0</f>
        <v>0</v>
      </c>
      <c r="DA3758" s="7">
        <f>10472</f>
        <v>10472</v>
      </c>
      <c r="DB3758" s="7" t="s">
        <v>240</v>
      </c>
      <c r="DC3758" s="5" t="s">
        <v>240</v>
      </c>
      <c r="DD3758" s="5" t="s">
        <v>240</v>
      </c>
      <c r="DE3758" s="5" t="s">
        <v>240</v>
      </c>
      <c r="DF3758" s="5" t="s">
        <v>450</v>
      </c>
      <c r="DG3758" s="7">
        <f>0</f>
        <v>0</v>
      </c>
      <c r="DI3758" s="5" t="s">
        <v>737</v>
      </c>
      <c r="DJ3758" s="5" t="s">
        <v>240</v>
      </c>
      <c r="DK3758" s="5" t="s">
        <v>240</v>
      </c>
      <c r="DL3758" s="5" t="s">
        <v>240</v>
      </c>
      <c r="DM3758" s="5" t="s">
        <v>240</v>
      </c>
      <c r="DN3758" s="5" t="s">
        <v>240</v>
      </c>
      <c r="DO3758" s="7" t="s">
        <v>240</v>
      </c>
      <c r="DP3758" s="5" t="s">
        <v>240</v>
      </c>
      <c r="DQ3758" s="5" t="s">
        <v>240</v>
      </c>
      <c r="DR3758" s="5" t="s">
        <v>731</v>
      </c>
      <c r="DS3758" s="5" t="s">
        <v>731</v>
      </c>
      <c r="DT3758" s="5" t="s">
        <v>240</v>
      </c>
      <c r="DU3758" s="5" t="s">
        <v>240</v>
      </c>
      <c r="DV3758" s="5" t="s">
        <v>738</v>
      </c>
      <c r="DW3758" s="5" t="s">
        <v>758</v>
      </c>
      <c r="DX3758" s="5" t="s">
        <v>240</v>
      </c>
      <c r="DY3758" s="5" t="s">
        <v>240</v>
      </c>
      <c r="DZ3758" s="5" t="s">
        <v>240</v>
      </c>
      <c r="EA3758" s="5" t="s">
        <v>240</v>
      </c>
      <c r="EB3758" s="5" t="s">
        <v>240</v>
      </c>
      <c r="EC3758" s="5" t="s">
        <v>240</v>
      </c>
      <c r="ED3758" s="5" t="s">
        <v>240</v>
      </c>
      <c r="EE3758" s="5" t="s">
        <v>240</v>
      </c>
      <c r="EF3758" s="5" t="s">
        <v>240</v>
      </c>
      <c r="EG3758" s="5" t="s">
        <v>240</v>
      </c>
      <c r="EH3758" s="5" t="s">
        <v>240</v>
      </c>
      <c r="EI3758" s="5" t="s">
        <v>240</v>
      </c>
      <c r="EJ3758" s="5" t="s">
        <v>240</v>
      </c>
      <c r="EK3758" s="5" t="s">
        <v>240</v>
      </c>
      <c r="EL3758" s="5" t="s">
        <v>240</v>
      </c>
      <c r="EM3758" s="5" t="s">
        <v>240</v>
      </c>
      <c r="EN3758" s="5" t="s">
        <v>240</v>
      </c>
      <c r="EO3758" s="5" t="s">
        <v>240</v>
      </c>
      <c r="EP3758" s="5" t="s">
        <v>240</v>
      </c>
      <c r="EQ3758" s="5" t="s">
        <v>240</v>
      </c>
      <c r="ER3758" s="5" t="s">
        <v>240</v>
      </c>
      <c r="ES3758" s="5" t="s">
        <v>240</v>
      </c>
      <c r="ET3758" s="5" t="s">
        <v>240</v>
      </c>
      <c r="EU3758" s="5" t="s">
        <v>240</v>
      </c>
      <c r="EV3758" s="5" t="s">
        <v>240</v>
      </c>
      <c r="EW3758" s="5" t="s">
        <v>240</v>
      </c>
      <c r="EX3758" s="5" t="s">
        <v>240</v>
      </c>
      <c r="EY3758" s="5" t="s">
        <v>240</v>
      </c>
      <c r="EZ3758" s="5" t="s">
        <v>240</v>
      </c>
      <c r="FA3758" s="5" t="s">
        <v>240</v>
      </c>
      <c r="FB3758" s="5" t="s">
        <v>240</v>
      </c>
      <c r="FC3758" s="5" t="s">
        <v>240</v>
      </c>
      <c r="FD3758" s="5" t="s">
        <v>240</v>
      </c>
      <c r="FE3758" s="5" t="s">
        <v>240</v>
      </c>
      <c r="FF3758" s="5" t="s">
        <v>240</v>
      </c>
      <c r="FG3758" s="5" t="s">
        <v>240</v>
      </c>
      <c r="FH3758" s="5" t="s">
        <v>240</v>
      </c>
      <c r="FI3758" s="5" t="s">
        <v>240</v>
      </c>
      <c r="FJ3758" s="5" t="s">
        <v>240</v>
      </c>
      <c r="FK3758" s="5" t="s">
        <v>240</v>
      </c>
      <c r="FL3758" s="5" t="s">
        <v>240</v>
      </c>
      <c r="FM3758" s="5" t="s">
        <v>240</v>
      </c>
      <c r="FN3758" s="5" t="s">
        <v>240</v>
      </c>
      <c r="FO3758" s="5" t="s">
        <v>240</v>
      </c>
      <c r="FP3758" s="5" t="s">
        <v>240</v>
      </c>
      <c r="FQ3758" s="5" t="s">
        <v>240</v>
      </c>
      <c r="FR3758" s="5" t="s">
        <v>240</v>
      </c>
      <c r="FS3758" s="5" t="s">
        <v>240</v>
      </c>
      <c r="FT3758" s="5" t="s">
        <v>240</v>
      </c>
      <c r="FU3758" s="5" t="s">
        <v>240</v>
      </c>
      <c r="FV3758" s="5" t="s">
        <v>240</v>
      </c>
      <c r="FW3758" s="5" t="s">
        <v>240</v>
      </c>
      <c r="FX3758" s="5" t="s">
        <v>240</v>
      </c>
      <c r="FY3758" s="5" t="s">
        <v>240</v>
      </c>
      <c r="FZ3758" s="5" t="s">
        <v>240</v>
      </c>
      <c r="GA3758" s="5" t="s">
        <v>240</v>
      </c>
      <c r="GB3758" s="5" t="s">
        <v>240</v>
      </c>
      <c r="GC3758" s="5" t="s">
        <v>240</v>
      </c>
      <c r="GD3758" s="5" t="s">
        <v>240</v>
      </c>
      <c r="GE3758" s="5" t="s">
        <v>240</v>
      </c>
      <c r="GF3758" s="5" t="s">
        <v>240</v>
      </c>
      <c r="GG3758" s="5" t="s">
        <v>240</v>
      </c>
      <c r="GH3758" s="5" t="s">
        <v>240</v>
      </c>
      <c r="GI3758" s="5" t="s">
        <v>240</v>
      </c>
      <c r="GJ3758" s="5" t="s">
        <v>240</v>
      </c>
      <c r="GK3758" s="5" t="s">
        <v>240</v>
      </c>
      <c r="GL3758" s="5" t="s">
        <v>240</v>
      </c>
      <c r="GM3758" s="5" t="s">
        <v>240</v>
      </c>
      <c r="GN3758" s="5" t="s">
        <v>240</v>
      </c>
      <c r="GO3758" s="5" t="s">
        <v>240</v>
      </c>
      <c r="GP3758" s="5" t="s">
        <v>240</v>
      </c>
      <c r="GQ3758" s="5" t="s">
        <v>240</v>
      </c>
      <c r="GR3758" s="5" t="s">
        <v>240</v>
      </c>
      <c r="GS3758" s="5" t="s">
        <v>240</v>
      </c>
      <c r="GT3758" s="5" t="s">
        <v>240</v>
      </c>
      <c r="GU3758" s="5" t="s">
        <v>240</v>
      </c>
      <c r="GV3758" s="5" t="s">
        <v>240</v>
      </c>
      <c r="GW3758" s="5" t="s">
        <v>240</v>
      </c>
      <c r="GX3758" s="5" t="s">
        <v>240</v>
      </c>
      <c r="GY3758" s="5" t="s">
        <v>240</v>
      </c>
      <c r="GZ3758" s="5" t="s">
        <v>240</v>
      </c>
      <c r="HA3758" s="5" t="s">
        <v>240</v>
      </c>
      <c r="HB3758" s="5" t="s">
        <v>240</v>
      </c>
      <c r="HC3758" s="5" t="s">
        <v>240</v>
      </c>
      <c r="HD3758" s="5" t="s">
        <v>240</v>
      </c>
      <c r="HE3758" s="5" t="s">
        <v>240</v>
      </c>
      <c r="HF3758" s="5" t="s">
        <v>240</v>
      </c>
      <c r="HG3758" s="5" t="s">
        <v>240</v>
      </c>
      <c r="HH3758" s="5" t="s">
        <v>240</v>
      </c>
      <c r="HI3758" s="5" t="s">
        <v>240</v>
      </c>
      <c r="HJ3758" s="5" t="s">
        <v>240</v>
      </c>
      <c r="HK3758" s="5" t="s">
        <v>240</v>
      </c>
      <c r="HL3758" s="5" t="s">
        <v>240</v>
      </c>
      <c r="HM3758" s="5" t="s">
        <v>240</v>
      </c>
      <c r="HN3758" s="5" t="s">
        <v>240</v>
      </c>
      <c r="HO3758" s="5" t="s">
        <v>312</v>
      </c>
      <c r="HP3758" s="5" t="s">
        <v>240</v>
      </c>
      <c r="HQ3758" s="5" t="s">
        <v>240</v>
      </c>
      <c r="HR3758" s="5" t="s">
        <v>240</v>
      </c>
      <c r="HS3758" s="5" t="s">
        <v>240</v>
      </c>
      <c r="HT3758" s="5" t="s">
        <v>240</v>
      </c>
      <c r="HU3758" s="5" t="s">
        <v>240</v>
      </c>
      <c r="HV3758" s="5" t="s">
        <v>240</v>
      </c>
      <c r="HW3758" s="5" t="s">
        <v>240</v>
      </c>
      <c r="HX3758" s="5" t="s">
        <v>240</v>
      </c>
      <c r="HY3758" s="5" t="s">
        <v>240</v>
      </c>
      <c r="HZ3758" s="5" t="s">
        <v>240</v>
      </c>
      <c r="IA3758" s="5" t="s">
        <v>240</v>
      </c>
      <c r="IB3758" s="5" t="s">
        <v>240</v>
      </c>
      <c r="IC3758" s="5" t="s">
        <v>240</v>
      </c>
      <c r="ID3758" s="5" t="s">
        <v>240</v>
      </c>
      <c r="IE3758" s="5" t="s">
        <v>240</v>
      </c>
      <c r="IF3758" s="5" t="s">
        <v>240</v>
      </c>
    </row>
    <row r="3759" spans="1:240" x14ac:dyDescent="0.4">
      <c r="A3759" s="5">
        <v>9301</v>
      </c>
      <c r="B3759" s="5">
        <v>1</v>
      </c>
      <c r="C3759" s="5">
        <v>1</v>
      </c>
      <c r="D3759" s="5" t="s">
        <v>723</v>
      </c>
      <c r="E3759" s="5" t="s">
        <v>725</v>
      </c>
      <c r="F3759" s="5" t="s">
        <v>254</v>
      </c>
      <c r="G3759" s="5" t="s">
        <v>726</v>
      </c>
      <c r="H3759" s="6" t="s">
        <v>5455</v>
      </c>
      <c r="I3759" s="5" t="s">
        <v>5454</v>
      </c>
      <c r="J3759" s="7">
        <f>1</f>
        <v>1</v>
      </c>
      <c r="K3759" s="5" t="s">
        <v>3682</v>
      </c>
      <c r="L3759" s="7">
        <f>1</f>
        <v>1</v>
      </c>
      <c r="M3759" s="7">
        <f>1</f>
        <v>1</v>
      </c>
      <c r="N3759" s="5" t="s">
        <v>242</v>
      </c>
      <c r="O3759" s="5">
        <v>1</v>
      </c>
      <c r="P3759" s="5" t="s">
        <v>294</v>
      </c>
      <c r="Q3759" s="5" t="s">
        <v>613</v>
      </c>
      <c r="R3759" s="5" t="s">
        <v>240</v>
      </c>
      <c r="S3759" s="5" t="s">
        <v>240</v>
      </c>
      <c r="T3759" s="5" t="s">
        <v>243</v>
      </c>
      <c r="U3759" s="5" t="s">
        <v>724</v>
      </c>
      <c r="V3759" s="5" t="s">
        <v>240</v>
      </c>
      <c r="W3759" s="5" t="s">
        <v>240</v>
      </c>
      <c r="X3759" s="5" t="s">
        <v>240</v>
      </c>
      <c r="Y3759" s="5" t="s">
        <v>240</v>
      </c>
      <c r="Z3759" s="6" t="s">
        <v>298</v>
      </c>
      <c r="AA3759" s="6" t="s">
        <v>240</v>
      </c>
      <c r="AB3759" s="6" t="s">
        <v>240</v>
      </c>
      <c r="AC3759" s="5" t="s">
        <v>240</v>
      </c>
      <c r="AD3759" s="6" t="s">
        <v>240</v>
      </c>
      <c r="AE3759" s="6" t="s">
        <v>299</v>
      </c>
      <c r="AF3759" s="5" t="s">
        <v>727</v>
      </c>
      <c r="AG3759" s="5" t="s">
        <v>260</v>
      </c>
      <c r="AH3759" s="5" t="s">
        <v>240</v>
      </c>
      <c r="AI3759" s="5" t="s">
        <v>240</v>
      </c>
      <c r="AJ3759" s="5" t="s">
        <v>240</v>
      </c>
      <c r="AK3759" s="5" t="s">
        <v>240</v>
      </c>
      <c r="AL3759" s="5" t="s">
        <v>240</v>
      </c>
      <c r="AM3759" s="5" t="s">
        <v>240</v>
      </c>
      <c r="AN3759" s="5" t="s">
        <v>240</v>
      </c>
      <c r="AO3759" s="5" t="s">
        <v>240</v>
      </c>
      <c r="AP3759" s="6" t="s">
        <v>240</v>
      </c>
      <c r="AQ3759" s="6" t="s">
        <v>240</v>
      </c>
      <c r="AR3759" s="6" t="s">
        <v>240</v>
      </c>
      <c r="AS3759" s="6" t="s">
        <v>240</v>
      </c>
      <c r="AT3759" s="5" t="s">
        <v>240</v>
      </c>
      <c r="AU3759" s="5" t="s">
        <v>729</v>
      </c>
      <c r="AV3759" s="5" t="s">
        <v>729</v>
      </c>
      <c r="AW3759" s="5" t="s">
        <v>251</v>
      </c>
      <c r="AX3759" s="5" t="s">
        <v>252</v>
      </c>
      <c r="AY3759" s="5" t="s">
        <v>253</v>
      </c>
      <c r="AZ3759" s="5" t="s">
        <v>240</v>
      </c>
      <c r="BA3759" s="5" t="s">
        <v>255</v>
      </c>
      <c r="BB3759" s="5" t="s">
        <v>731</v>
      </c>
      <c r="BD3759" s="5" t="s">
        <v>240</v>
      </c>
      <c r="BF3759" s="5" t="s">
        <v>732</v>
      </c>
      <c r="BG3759" s="6" t="s">
        <v>733</v>
      </c>
      <c r="BH3759" s="5" t="s">
        <v>734</v>
      </c>
      <c r="BI3759" s="5" t="s">
        <v>734</v>
      </c>
      <c r="BJ3759" s="5" t="s">
        <v>240</v>
      </c>
      <c r="BK3759" s="8">
        <f>522</f>
        <v>522</v>
      </c>
      <c r="BL3759" s="7">
        <f>0</f>
        <v>0</v>
      </c>
      <c r="BM3759" s="5" t="s">
        <v>258</v>
      </c>
      <c r="BN3759" s="5" t="s">
        <v>259</v>
      </c>
      <c r="BO3759" s="5" t="s">
        <v>240</v>
      </c>
      <c r="BP3759" s="5" t="s">
        <v>240</v>
      </c>
      <c r="BQ3759" s="5" t="s">
        <v>240</v>
      </c>
      <c r="BR3759" s="5" t="s">
        <v>240</v>
      </c>
      <c r="BS3759" s="5" t="s">
        <v>240</v>
      </c>
      <c r="BT3759" s="5" t="s">
        <v>240</v>
      </c>
      <c r="BU3759" s="5" t="s">
        <v>240</v>
      </c>
      <c r="BV3759" s="5" t="s">
        <v>240</v>
      </c>
      <c r="BW3759" s="6" t="s">
        <v>240</v>
      </c>
      <c r="BX3759" s="5" t="s">
        <v>240</v>
      </c>
      <c r="BY3759" s="5" t="s">
        <v>240</v>
      </c>
      <c r="BZ3759" s="5" t="s">
        <v>240</v>
      </c>
      <c r="CA3759" s="5" t="s">
        <v>259</v>
      </c>
      <c r="CB3759" s="5" t="s">
        <v>240</v>
      </c>
      <c r="CC3759" s="5" t="s">
        <v>240</v>
      </c>
      <c r="CD3759" s="5" t="s">
        <v>240</v>
      </c>
      <c r="CE3759" s="5" t="s">
        <v>240</v>
      </c>
      <c r="CF3759" s="5" t="s">
        <v>240</v>
      </c>
      <c r="CG3759" s="5" t="s">
        <v>617</v>
      </c>
      <c r="CH3759" s="5" t="s">
        <v>305</v>
      </c>
      <c r="CI3759" s="5" t="s">
        <v>240</v>
      </c>
      <c r="CL3759" s="6" t="s">
        <v>261</v>
      </c>
      <c r="CM3759" s="5" t="s">
        <v>262</v>
      </c>
      <c r="CN3759" s="5" t="s">
        <v>263</v>
      </c>
      <c r="CO3759" s="5" t="s">
        <v>264</v>
      </c>
      <c r="CP3759" s="5" t="s">
        <v>240</v>
      </c>
      <c r="CQ3759" s="5">
        <v>0</v>
      </c>
      <c r="CR3759" s="5" t="s">
        <v>735</v>
      </c>
      <c r="CS3759" s="5" t="s">
        <v>307</v>
      </c>
      <c r="CT3759" s="5" t="s">
        <v>307</v>
      </c>
      <c r="CU3759" s="5" t="s">
        <v>260</v>
      </c>
      <c r="CV3759" s="5" t="s">
        <v>240</v>
      </c>
      <c r="CW3759" s="8">
        <f>0</f>
        <v>0</v>
      </c>
      <c r="CX3759" s="7">
        <f>0</f>
        <v>0</v>
      </c>
      <c r="CY3759" s="7">
        <f>0</f>
        <v>0</v>
      </c>
      <c r="DA3759" s="7">
        <f>5742</f>
        <v>5742</v>
      </c>
      <c r="DB3759" s="7" t="s">
        <v>240</v>
      </c>
      <c r="DC3759" s="5" t="s">
        <v>240</v>
      </c>
      <c r="DD3759" s="5" t="s">
        <v>240</v>
      </c>
      <c r="DE3759" s="5" t="s">
        <v>240</v>
      </c>
      <c r="DF3759" s="5" t="s">
        <v>450</v>
      </c>
      <c r="DG3759" s="7">
        <f>0</f>
        <v>0</v>
      </c>
      <c r="DI3759" s="5" t="s">
        <v>737</v>
      </c>
      <c r="DJ3759" s="5" t="s">
        <v>240</v>
      </c>
      <c r="DK3759" s="5" t="s">
        <v>240</v>
      </c>
      <c r="DL3759" s="5" t="s">
        <v>240</v>
      </c>
      <c r="DM3759" s="5" t="s">
        <v>240</v>
      </c>
      <c r="DN3759" s="5" t="s">
        <v>240</v>
      </c>
      <c r="DO3759" s="7" t="s">
        <v>240</v>
      </c>
      <c r="DP3759" s="5" t="s">
        <v>240</v>
      </c>
      <c r="DQ3759" s="5" t="s">
        <v>240</v>
      </c>
      <c r="DR3759" s="5" t="s">
        <v>731</v>
      </c>
      <c r="DS3759" s="5" t="s">
        <v>731</v>
      </c>
      <c r="DT3759" s="5" t="s">
        <v>240</v>
      </c>
      <c r="DU3759" s="5" t="s">
        <v>240</v>
      </c>
      <c r="DV3759" s="5" t="s">
        <v>738</v>
      </c>
      <c r="DW3759" s="5" t="s">
        <v>756</v>
      </c>
      <c r="DX3759" s="5" t="s">
        <v>240</v>
      </c>
      <c r="DY3759" s="5" t="s">
        <v>240</v>
      </c>
      <c r="DZ3759" s="5" t="s">
        <v>240</v>
      </c>
      <c r="EA3759" s="5" t="s">
        <v>240</v>
      </c>
      <c r="EB3759" s="5" t="s">
        <v>240</v>
      </c>
      <c r="EC3759" s="5" t="s">
        <v>240</v>
      </c>
      <c r="ED3759" s="5" t="s">
        <v>240</v>
      </c>
      <c r="EE3759" s="5" t="s">
        <v>240</v>
      </c>
      <c r="EF3759" s="5" t="s">
        <v>240</v>
      </c>
      <c r="EG3759" s="5" t="s">
        <v>240</v>
      </c>
      <c r="EH3759" s="5" t="s">
        <v>240</v>
      </c>
      <c r="EI3759" s="5" t="s">
        <v>240</v>
      </c>
      <c r="EJ3759" s="5" t="s">
        <v>240</v>
      </c>
      <c r="EK3759" s="5" t="s">
        <v>240</v>
      </c>
      <c r="EL3759" s="5" t="s">
        <v>240</v>
      </c>
      <c r="EM3759" s="5" t="s">
        <v>240</v>
      </c>
      <c r="EN3759" s="5" t="s">
        <v>240</v>
      </c>
      <c r="EO3759" s="5" t="s">
        <v>240</v>
      </c>
      <c r="EP3759" s="5" t="s">
        <v>240</v>
      </c>
      <c r="EQ3759" s="5" t="s">
        <v>240</v>
      </c>
      <c r="ER3759" s="5" t="s">
        <v>240</v>
      </c>
      <c r="ES3759" s="5" t="s">
        <v>240</v>
      </c>
      <c r="ET3759" s="5" t="s">
        <v>240</v>
      </c>
      <c r="EU3759" s="5" t="s">
        <v>240</v>
      </c>
      <c r="EV3759" s="5" t="s">
        <v>240</v>
      </c>
      <c r="EW3759" s="5" t="s">
        <v>240</v>
      </c>
      <c r="EX3759" s="5" t="s">
        <v>240</v>
      </c>
      <c r="EY3759" s="5" t="s">
        <v>240</v>
      </c>
      <c r="EZ3759" s="5" t="s">
        <v>240</v>
      </c>
      <c r="FA3759" s="5" t="s">
        <v>240</v>
      </c>
      <c r="FB3759" s="5" t="s">
        <v>240</v>
      </c>
      <c r="FC3759" s="5" t="s">
        <v>240</v>
      </c>
      <c r="FD3759" s="5" t="s">
        <v>240</v>
      </c>
      <c r="FE3759" s="5" t="s">
        <v>240</v>
      </c>
      <c r="FF3759" s="5" t="s">
        <v>240</v>
      </c>
      <c r="FG3759" s="5" t="s">
        <v>240</v>
      </c>
      <c r="FH3759" s="5" t="s">
        <v>240</v>
      </c>
      <c r="FI3759" s="5" t="s">
        <v>240</v>
      </c>
      <c r="FJ3759" s="5" t="s">
        <v>240</v>
      </c>
      <c r="FK3759" s="5" t="s">
        <v>240</v>
      </c>
      <c r="FL3759" s="5" t="s">
        <v>240</v>
      </c>
      <c r="FM3759" s="5" t="s">
        <v>240</v>
      </c>
      <c r="FN3759" s="5" t="s">
        <v>240</v>
      </c>
      <c r="FO3759" s="5" t="s">
        <v>240</v>
      </c>
      <c r="FP3759" s="5" t="s">
        <v>240</v>
      </c>
      <c r="FQ3759" s="5" t="s">
        <v>240</v>
      </c>
      <c r="FR3759" s="5" t="s">
        <v>240</v>
      </c>
      <c r="FS3759" s="5" t="s">
        <v>240</v>
      </c>
      <c r="FT3759" s="5" t="s">
        <v>240</v>
      </c>
      <c r="FU3759" s="5" t="s">
        <v>240</v>
      </c>
      <c r="FV3759" s="5" t="s">
        <v>240</v>
      </c>
      <c r="FW3759" s="5" t="s">
        <v>240</v>
      </c>
      <c r="FX3759" s="5" t="s">
        <v>240</v>
      </c>
      <c r="FY3759" s="5" t="s">
        <v>240</v>
      </c>
      <c r="FZ3759" s="5" t="s">
        <v>240</v>
      </c>
      <c r="GA3759" s="5" t="s">
        <v>240</v>
      </c>
      <c r="GB3759" s="5" t="s">
        <v>240</v>
      </c>
      <c r="GC3759" s="5" t="s">
        <v>240</v>
      </c>
      <c r="GD3759" s="5" t="s">
        <v>240</v>
      </c>
      <c r="GE3759" s="5" t="s">
        <v>240</v>
      </c>
      <c r="GF3759" s="5" t="s">
        <v>240</v>
      </c>
      <c r="GG3759" s="5" t="s">
        <v>240</v>
      </c>
      <c r="GH3759" s="5" t="s">
        <v>240</v>
      </c>
      <c r="GI3759" s="5" t="s">
        <v>240</v>
      </c>
      <c r="GJ3759" s="5" t="s">
        <v>240</v>
      </c>
      <c r="GK3759" s="5" t="s">
        <v>240</v>
      </c>
      <c r="GL3759" s="5" t="s">
        <v>240</v>
      </c>
      <c r="GM3759" s="5" t="s">
        <v>240</v>
      </c>
      <c r="GN3759" s="5" t="s">
        <v>240</v>
      </c>
      <c r="GO3759" s="5" t="s">
        <v>240</v>
      </c>
      <c r="GP3759" s="5" t="s">
        <v>240</v>
      </c>
      <c r="GQ3759" s="5" t="s">
        <v>240</v>
      </c>
      <c r="GR3759" s="5" t="s">
        <v>240</v>
      </c>
      <c r="GS3759" s="5" t="s">
        <v>240</v>
      </c>
      <c r="GT3759" s="5" t="s">
        <v>240</v>
      </c>
      <c r="GU3759" s="5" t="s">
        <v>240</v>
      </c>
      <c r="GV3759" s="5" t="s">
        <v>240</v>
      </c>
      <c r="GW3759" s="5" t="s">
        <v>240</v>
      </c>
      <c r="GX3759" s="5" t="s">
        <v>240</v>
      </c>
      <c r="GY3759" s="5" t="s">
        <v>240</v>
      </c>
      <c r="GZ3759" s="5" t="s">
        <v>240</v>
      </c>
      <c r="HA3759" s="5" t="s">
        <v>240</v>
      </c>
      <c r="HB3759" s="5" t="s">
        <v>240</v>
      </c>
      <c r="HC3759" s="5" t="s">
        <v>240</v>
      </c>
      <c r="HD3759" s="5" t="s">
        <v>240</v>
      </c>
      <c r="HE3759" s="5" t="s">
        <v>240</v>
      </c>
      <c r="HF3759" s="5" t="s">
        <v>240</v>
      </c>
      <c r="HG3759" s="5" t="s">
        <v>240</v>
      </c>
      <c r="HH3759" s="5" t="s">
        <v>240</v>
      </c>
      <c r="HI3759" s="5" t="s">
        <v>240</v>
      </c>
      <c r="HJ3759" s="5" t="s">
        <v>240</v>
      </c>
      <c r="HK3759" s="5" t="s">
        <v>240</v>
      </c>
      <c r="HL3759" s="5" t="s">
        <v>240</v>
      </c>
      <c r="HM3759" s="5" t="s">
        <v>240</v>
      </c>
      <c r="HN3759" s="5" t="s">
        <v>240</v>
      </c>
      <c r="HO3759" s="5" t="s">
        <v>312</v>
      </c>
      <c r="HP3759" s="5" t="s">
        <v>240</v>
      </c>
      <c r="HQ3759" s="5" t="s">
        <v>240</v>
      </c>
      <c r="HR3759" s="5" t="s">
        <v>240</v>
      </c>
      <c r="HS3759" s="5" t="s">
        <v>240</v>
      </c>
      <c r="HT3759" s="5" t="s">
        <v>240</v>
      </c>
      <c r="HU3759" s="5" t="s">
        <v>240</v>
      </c>
      <c r="HV3759" s="5" t="s">
        <v>240</v>
      </c>
      <c r="HW3759" s="5" t="s">
        <v>240</v>
      </c>
      <c r="HX3759" s="5" t="s">
        <v>240</v>
      </c>
      <c r="HY3759" s="5" t="s">
        <v>240</v>
      </c>
      <c r="HZ3759" s="5" t="s">
        <v>240</v>
      </c>
      <c r="IA3759" s="5" t="s">
        <v>240</v>
      </c>
      <c r="IB3759" s="5" t="s">
        <v>240</v>
      </c>
      <c r="IC3759" s="5" t="s">
        <v>240</v>
      </c>
      <c r="ID3759" s="5" t="s">
        <v>240</v>
      </c>
      <c r="IE3759" s="5" t="s">
        <v>240</v>
      </c>
      <c r="IF3759" s="5" t="s">
        <v>240</v>
      </c>
    </row>
    <row r="3760" spans="1:240" x14ac:dyDescent="0.4">
      <c r="A3760" s="5">
        <v>9302</v>
      </c>
      <c r="B3760" s="5">
        <v>1</v>
      </c>
      <c r="C3760" s="5">
        <v>1</v>
      </c>
      <c r="D3760" s="5" t="s">
        <v>723</v>
      </c>
      <c r="E3760" s="5" t="s">
        <v>725</v>
      </c>
      <c r="F3760" s="5" t="s">
        <v>254</v>
      </c>
      <c r="G3760" s="5" t="s">
        <v>5452</v>
      </c>
      <c r="H3760" s="6" t="s">
        <v>5453</v>
      </c>
      <c r="I3760" s="5" t="s">
        <v>5451</v>
      </c>
      <c r="J3760" s="7">
        <f>1</f>
        <v>1</v>
      </c>
      <c r="K3760" s="5" t="s">
        <v>3682</v>
      </c>
      <c r="L3760" s="7">
        <f>1</f>
        <v>1</v>
      </c>
      <c r="M3760" s="7">
        <f>1</f>
        <v>1</v>
      </c>
      <c r="N3760" s="5" t="s">
        <v>242</v>
      </c>
      <c r="O3760" s="5">
        <v>1</v>
      </c>
      <c r="P3760" s="5" t="s">
        <v>294</v>
      </c>
      <c r="Q3760" s="5" t="s">
        <v>613</v>
      </c>
      <c r="R3760" s="5" t="s">
        <v>240</v>
      </c>
      <c r="S3760" s="5" t="s">
        <v>240</v>
      </c>
      <c r="T3760" s="5" t="s">
        <v>243</v>
      </c>
      <c r="U3760" s="5" t="s">
        <v>724</v>
      </c>
      <c r="V3760" s="5" t="s">
        <v>240</v>
      </c>
      <c r="W3760" s="5" t="s">
        <v>240</v>
      </c>
      <c r="X3760" s="5" t="s">
        <v>240</v>
      </c>
      <c r="Y3760" s="5" t="s">
        <v>240</v>
      </c>
      <c r="Z3760" s="6" t="s">
        <v>298</v>
      </c>
      <c r="AA3760" s="6" t="s">
        <v>240</v>
      </c>
      <c r="AB3760" s="6" t="s">
        <v>240</v>
      </c>
      <c r="AC3760" s="5" t="s">
        <v>240</v>
      </c>
      <c r="AD3760" s="6" t="s">
        <v>240</v>
      </c>
      <c r="AE3760" s="6" t="s">
        <v>299</v>
      </c>
      <c r="AF3760" s="5" t="s">
        <v>727</v>
      </c>
      <c r="AG3760" s="5" t="s">
        <v>260</v>
      </c>
      <c r="AH3760" s="5" t="s">
        <v>240</v>
      </c>
      <c r="AI3760" s="5" t="s">
        <v>240</v>
      </c>
      <c r="AJ3760" s="5" t="s">
        <v>240</v>
      </c>
      <c r="AK3760" s="5" t="s">
        <v>240</v>
      </c>
      <c r="AL3760" s="5" t="s">
        <v>240</v>
      </c>
      <c r="AM3760" s="5" t="s">
        <v>240</v>
      </c>
      <c r="AN3760" s="5" t="s">
        <v>240</v>
      </c>
      <c r="AO3760" s="5" t="s">
        <v>240</v>
      </c>
      <c r="AP3760" s="6" t="s">
        <v>240</v>
      </c>
      <c r="AQ3760" s="6" t="s">
        <v>240</v>
      </c>
      <c r="AR3760" s="6" t="s">
        <v>240</v>
      </c>
      <c r="AS3760" s="6" t="s">
        <v>240</v>
      </c>
      <c r="AT3760" s="5" t="s">
        <v>240</v>
      </c>
      <c r="AU3760" s="5" t="s">
        <v>729</v>
      </c>
      <c r="AV3760" s="5" t="s">
        <v>729</v>
      </c>
      <c r="AW3760" s="5" t="s">
        <v>251</v>
      </c>
      <c r="AX3760" s="5" t="s">
        <v>252</v>
      </c>
      <c r="AY3760" s="5" t="s">
        <v>253</v>
      </c>
      <c r="AZ3760" s="5" t="s">
        <v>240</v>
      </c>
      <c r="BA3760" s="5" t="s">
        <v>255</v>
      </c>
      <c r="BB3760" s="5" t="s">
        <v>731</v>
      </c>
      <c r="BD3760" s="5" t="s">
        <v>240</v>
      </c>
      <c r="BF3760" s="5" t="s">
        <v>732</v>
      </c>
      <c r="BG3760" s="6" t="s">
        <v>733</v>
      </c>
      <c r="BH3760" s="5" t="s">
        <v>734</v>
      </c>
      <c r="BI3760" s="5" t="s">
        <v>734</v>
      </c>
      <c r="BJ3760" s="5" t="s">
        <v>240</v>
      </c>
      <c r="BK3760" s="8">
        <f>936</f>
        <v>936</v>
      </c>
      <c r="BL3760" s="7">
        <f>0</f>
        <v>0</v>
      </c>
      <c r="BM3760" s="5" t="s">
        <v>258</v>
      </c>
      <c r="BN3760" s="5" t="s">
        <v>259</v>
      </c>
      <c r="BO3760" s="5" t="s">
        <v>240</v>
      </c>
      <c r="BP3760" s="5" t="s">
        <v>240</v>
      </c>
      <c r="BQ3760" s="5" t="s">
        <v>240</v>
      </c>
      <c r="BR3760" s="5" t="s">
        <v>240</v>
      </c>
      <c r="BS3760" s="5" t="s">
        <v>240</v>
      </c>
      <c r="BT3760" s="5" t="s">
        <v>240</v>
      </c>
      <c r="BU3760" s="5" t="s">
        <v>240</v>
      </c>
      <c r="BV3760" s="5" t="s">
        <v>240</v>
      </c>
      <c r="BW3760" s="6" t="s">
        <v>240</v>
      </c>
      <c r="BX3760" s="5" t="s">
        <v>240</v>
      </c>
      <c r="BY3760" s="5" t="s">
        <v>240</v>
      </c>
      <c r="BZ3760" s="5" t="s">
        <v>240</v>
      </c>
      <c r="CA3760" s="5" t="s">
        <v>259</v>
      </c>
      <c r="CB3760" s="5" t="s">
        <v>240</v>
      </c>
      <c r="CC3760" s="5" t="s">
        <v>240</v>
      </c>
      <c r="CD3760" s="5" t="s">
        <v>240</v>
      </c>
      <c r="CE3760" s="5" t="s">
        <v>240</v>
      </c>
      <c r="CF3760" s="5" t="s">
        <v>240</v>
      </c>
      <c r="CG3760" s="5" t="s">
        <v>617</v>
      </c>
      <c r="CH3760" s="5" t="s">
        <v>305</v>
      </c>
      <c r="CI3760" s="5" t="s">
        <v>240</v>
      </c>
      <c r="CL3760" s="6" t="s">
        <v>261</v>
      </c>
      <c r="CM3760" s="5" t="s">
        <v>262</v>
      </c>
      <c r="CN3760" s="5" t="s">
        <v>263</v>
      </c>
      <c r="CO3760" s="5" t="s">
        <v>264</v>
      </c>
      <c r="CP3760" s="5" t="s">
        <v>240</v>
      </c>
      <c r="CQ3760" s="5">
        <v>0</v>
      </c>
      <c r="CR3760" s="5" t="s">
        <v>735</v>
      </c>
      <c r="CS3760" s="5" t="s">
        <v>307</v>
      </c>
      <c r="CT3760" s="5" t="s">
        <v>307</v>
      </c>
      <c r="CU3760" s="5" t="s">
        <v>260</v>
      </c>
      <c r="CV3760" s="5" t="s">
        <v>240</v>
      </c>
      <c r="CW3760" s="8">
        <f>0</f>
        <v>0</v>
      </c>
      <c r="CX3760" s="7">
        <f>0</f>
        <v>0</v>
      </c>
      <c r="CY3760" s="7">
        <f>0</f>
        <v>0</v>
      </c>
      <c r="DA3760" s="7">
        <f>10296</f>
        <v>10296</v>
      </c>
      <c r="DB3760" s="7" t="s">
        <v>240</v>
      </c>
      <c r="DC3760" s="5" t="s">
        <v>240</v>
      </c>
      <c r="DD3760" s="5" t="s">
        <v>240</v>
      </c>
      <c r="DE3760" s="5" t="s">
        <v>240</v>
      </c>
      <c r="DF3760" s="5" t="s">
        <v>450</v>
      </c>
      <c r="DG3760" s="7">
        <f>0</f>
        <v>0</v>
      </c>
      <c r="DI3760" s="5" t="s">
        <v>737</v>
      </c>
      <c r="DJ3760" s="5" t="s">
        <v>240</v>
      </c>
      <c r="DK3760" s="5" t="s">
        <v>240</v>
      </c>
      <c r="DL3760" s="5" t="s">
        <v>240</v>
      </c>
      <c r="DM3760" s="5" t="s">
        <v>240</v>
      </c>
      <c r="DN3760" s="5" t="s">
        <v>240</v>
      </c>
      <c r="DO3760" s="7" t="s">
        <v>240</v>
      </c>
      <c r="DP3760" s="5" t="s">
        <v>240</v>
      </c>
      <c r="DQ3760" s="5" t="s">
        <v>240</v>
      </c>
      <c r="DR3760" s="5" t="s">
        <v>731</v>
      </c>
      <c r="DS3760" s="5" t="s">
        <v>731</v>
      </c>
      <c r="DT3760" s="5" t="s">
        <v>240</v>
      </c>
      <c r="DU3760" s="5" t="s">
        <v>240</v>
      </c>
      <c r="DV3760" s="5" t="s">
        <v>738</v>
      </c>
      <c r="DW3760" s="5" t="s">
        <v>674</v>
      </c>
      <c r="DX3760" s="5" t="s">
        <v>240</v>
      </c>
      <c r="DY3760" s="5" t="s">
        <v>240</v>
      </c>
      <c r="DZ3760" s="5" t="s">
        <v>240</v>
      </c>
      <c r="EA3760" s="5" t="s">
        <v>240</v>
      </c>
      <c r="EB3760" s="5" t="s">
        <v>240</v>
      </c>
      <c r="EC3760" s="5" t="s">
        <v>240</v>
      </c>
      <c r="ED3760" s="5" t="s">
        <v>240</v>
      </c>
      <c r="EE3760" s="5" t="s">
        <v>240</v>
      </c>
      <c r="EF3760" s="5" t="s">
        <v>240</v>
      </c>
      <c r="EG3760" s="5" t="s">
        <v>240</v>
      </c>
      <c r="EH3760" s="5" t="s">
        <v>240</v>
      </c>
      <c r="EI3760" s="5" t="s">
        <v>240</v>
      </c>
      <c r="EJ3760" s="5" t="s">
        <v>240</v>
      </c>
      <c r="EK3760" s="5" t="s">
        <v>240</v>
      </c>
      <c r="EL3760" s="5" t="s">
        <v>240</v>
      </c>
      <c r="EM3760" s="5" t="s">
        <v>240</v>
      </c>
      <c r="EN3760" s="5" t="s">
        <v>240</v>
      </c>
      <c r="EO3760" s="5" t="s">
        <v>240</v>
      </c>
      <c r="EP3760" s="5" t="s">
        <v>240</v>
      </c>
      <c r="EQ3760" s="5" t="s">
        <v>240</v>
      </c>
      <c r="ER3760" s="5" t="s">
        <v>240</v>
      </c>
      <c r="ES3760" s="5" t="s">
        <v>240</v>
      </c>
      <c r="ET3760" s="5" t="s">
        <v>240</v>
      </c>
      <c r="EU3760" s="5" t="s">
        <v>240</v>
      </c>
      <c r="EV3760" s="5" t="s">
        <v>240</v>
      </c>
      <c r="EW3760" s="5" t="s">
        <v>240</v>
      </c>
      <c r="EX3760" s="5" t="s">
        <v>240</v>
      </c>
      <c r="EY3760" s="5" t="s">
        <v>240</v>
      </c>
      <c r="EZ3760" s="5" t="s">
        <v>240</v>
      </c>
      <c r="FA3760" s="5" t="s">
        <v>240</v>
      </c>
      <c r="FB3760" s="5" t="s">
        <v>240</v>
      </c>
      <c r="FC3760" s="5" t="s">
        <v>240</v>
      </c>
      <c r="FD3760" s="5" t="s">
        <v>240</v>
      </c>
      <c r="FE3760" s="5" t="s">
        <v>240</v>
      </c>
      <c r="FF3760" s="5" t="s">
        <v>240</v>
      </c>
      <c r="FG3760" s="5" t="s">
        <v>240</v>
      </c>
      <c r="FH3760" s="5" t="s">
        <v>240</v>
      </c>
      <c r="FI3760" s="5" t="s">
        <v>240</v>
      </c>
      <c r="FJ3760" s="5" t="s">
        <v>240</v>
      </c>
      <c r="FK3760" s="5" t="s">
        <v>240</v>
      </c>
      <c r="FL3760" s="5" t="s">
        <v>240</v>
      </c>
      <c r="FM3760" s="5" t="s">
        <v>240</v>
      </c>
      <c r="FN3760" s="5" t="s">
        <v>240</v>
      </c>
      <c r="FO3760" s="5" t="s">
        <v>240</v>
      </c>
      <c r="FP3760" s="5" t="s">
        <v>240</v>
      </c>
      <c r="FQ3760" s="5" t="s">
        <v>240</v>
      </c>
      <c r="FR3760" s="5" t="s">
        <v>240</v>
      </c>
      <c r="FS3760" s="5" t="s">
        <v>240</v>
      </c>
      <c r="FT3760" s="5" t="s">
        <v>240</v>
      </c>
      <c r="FU3760" s="5" t="s">
        <v>240</v>
      </c>
      <c r="FV3760" s="5" t="s">
        <v>240</v>
      </c>
      <c r="FW3760" s="5" t="s">
        <v>240</v>
      </c>
      <c r="FX3760" s="5" t="s">
        <v>240</v>
      </c>
      <c r="FY3760" s="5" t="s">
        <v>240</v>
      </c>
      <c r="FZ3760" s="5" t="s">
        <v>240</v>
      </c>
      <c r="GA3760" s="5" t="s">
        <v>240</v>
      </c>
      <c r="GB3760" s="5" t="s">
        <v>240</v>
      </c>
      <c r="GC3760" s="5" t="s">
        <v>240</v>
      </c>
      <c r="GD3760" s="5" t="s">
        <v>240</v>
      </c>
      <c r="GE3760" s="5" t="s">
        <v>240</v>
      </c>
      <c r="GF3760" s="5" t="s">
        <v>240</v>
      </c>
      <c r="GG3760" s="5" t="s">
        <v>240</v>
      </c>
      <c r="GH3760" s="5" t="s">
        <v>240</v>
      </c>
      <c r="GI3760" s="5" t="s">
        <v>240</v>
      </c>
      <c r="GJ3760" s="5" t="s">
        <v>240</v>
      </c>
      <c r="GK3760" s="5" t="s">
        <v>240</v>
      </c>
      <c r="GL3760" s="5" t="s">
        <v>240</v>
      </c>
      <c r="GM3760" s="5" t="s">
        <v>240</v>
      </c>
      <c r="GN3760" s="5" t="s">
        <v>240</v>
      </c>
      <c r="GO3760" s="5" t="s">
        <v>240</v>
      </c>
      <c r="GP3760" s="5" t="s">
        <v>240</v>
      </c>
      <c r="GQ3760" s="5" t="s">
        <v>240</v>
      </c>
      <c r="GR3760" s="5" t="s">
        <v>240</v>
      </c>
      <c r="GS3760" s="5" t="s">
        <v>240</v>
      </c>
      <c r="GT3760" s="5" t="s">
        <v>240</v>
      </c>
      <c r="GU3760" s="5" t="s">
        <v>240</v>
      </c>
      <c r="GV3760" s="5" t="s">
        <v>240</v>
      </c>
      <c r="GW3760" s="5" t="s">
        <v>240</v>
      </c>
      <c r="GX3760" s="5" t="s">
        <v>240</v>
      </c>
      <c r="GY3760" s="5" t="s">
        <v>240</v>
      </c>
      <c r="GZ3760" s="5" t="s">
        <v>240</v>
      </c>
      <c r="HA3760" s="5" t="s">
        <v>240</v>
      </c>
      <c r="HB3760" s="5" t="s">
        <v>240</v>
      </c>
      <c r="HC3760" s="5" t="s">
        <v>240</v>
      </c>
      <c r="HD3760" s="5" t="s">
        <v>240</v>
      </c>
      <c r="HE3760" s="5" t="s">
        <v>240</v>
      </c>
      <c r="HF3760" s="5" t="s">
        <v>240</v>
      </c>
      <c r="HG3760" s="5" t="s">
        <v>240</v>
      </c>
      <c r="HH3760" s="5" t="s">
        <v>240</v>
      </c>
      <c r="HI3760" s="5" t="s">
        <v>240</v>
      </c>
      <c r="HJ3760" s="5" t="s">
        <v>240</v>
      </c>
      <c r="HK3760" s="5" t="s">
        <v>240</v>
      </c>
      <c r="HL3760" s="5" t="s">
        <v>240</v>
      </c>
      <c r="HM3760" s="5" t="s">
        <v>240</v>
      </c>
      <c r="HN3760" s="5" t="s">
        <v>240</v>
      </c>
      <c r="HO3760" s="5" t="s">
        <v>620</v>
      </c>
      <c r="HP3760" s="5" t="s">
        <v>240</v>
      </c>
      <c r="HQ3760" s="5" t="s">
        <v>240</v>
      </c>
      <c r="HR3760" s="5" t="s">
        <v>240</v>
      </c>
      <c r="HS3760" s="5" t="s">
        <v>240</v>
      </c>
      <c r="HT3760" s="5" t="s">
        <v>240</v>
      </c>
      <c r="HU3760" s="5" t="s">
        <v>240</v>
      </c>
      <c r="HV3760" s="5" t="s">
        <v>240</v>
      </c>
      <c r="HW3760" s="5" t="s">
        <v>240</v>
      </c>
      <c r="HX3760" s="5" t="s">
        <v>240</v>
      </c>
      <c r="HY3760" s="5" t="s">
        <v>240</v>
      </c>
      <c r="HZ3760" s="5" t="s">
        <v>240</v>
      </c>
      <c r="IA3760" s="5" t="s">
        <v>240</v>
      </c>
      <c r="IB3760" s="5" t="s">
        <v>240</v>
      </c>
      <c r="IC3760" s="5" t="s">
        <v>240</v>
      </c>
      <c r="ID3760" s="5" t="s">
        <v>240</v>
      </c>
      <c r="IE3760" s="5" t="s">
        <v>240</v>
      </c>
      <c r="IF3760" s="5" t="s">
        <v>240</v>
      </c>
    </row>
    <row r="3761" spans="1:240" x14ac:dyDescent="0.4">
      <c r="A3761" s="5">
        <v>9303</v>
      </c>
      <c r="B3761" s="5">
        <v>1</v>
      </c>
      <c r="C3761" s="5">
        <v>1</v>
      </c>
      <c r="D3761" s="5" t="s">
        <v>723</v>
      </c>
      <c r="E3761" s="5" t="s">
        <v>725</v>
      </c>
      <c r="F3761" s="5" t="s">
        <v>254</v>
      </c>
      <c r="G3761" s="5" t="s">
        <v>5449</v>
      </c>
      <c r="H3761" s="6" t="s">
        <v>5450</v>
      </c>
      <c r="I3761" s="5" t="s">
        <v>5448</v>
      </c>
      <c r="J3761" s="7">
        <f>1</f>
        <v>1</v>
      </c>
      <c r="K3761" s="5" t="s">
        <v>3682</v>
      </c>
      <c r="L3761" s="7">
        <f>1</f>
        <v>1</v>
      </c>
      <c r="M3761" s="7">
        <f>1</f>
        <v>1</v>
      </c>
      <c r="N3761" s="5" t="s">
        <v>242</v>
      </c>
      <c r="O3761" s="5">
        <v>1</v>
      </c>
      <c r="P3761" s="5" t="s">
        <v>294</v>
      </c>
      <c r="Q3761" s="5" t="s">
        <v>613</v>
      </c>
      <c r="R3761" s="5" t="s">
        <v>240</v>
      </c>
      <c r="S3761" s="5" t="s">
        <v>240</v>
      </c>
      <c r="T3761" s="5" t="s">
        <v>243</v>
      </c>
      <c r="U3761" s="5" t="s">
        <v>724</v>
      </c>
      <c r="V3761" s="5" t="s">
        <v>240</v>
      </c>
      <c r="W3761" s="5" t="s">
        <v>240</v>
      </c>
      <c r="X3761" s="5" t="s">
        <v>240</v>
      </c>
      <c r="Y3761" s="5" t="s">
        <v>240</v>
      </c>
      <c r="Z3761" s="6" t="s">
        <v>298</v>
      </c>
      <c r="AA3761" s="6" t="s">
        <v>240</v>
      </c>
      <c r="AB3761" s="6" t="s">
        <v>240</v>
      </c>
      <c r="AC3761" s="5" t="s">
        <v>240</v>
      </c>
      <c r="AD3761" s="6" t="s">
        <v>240</v>
      </c>
      <c r="AE3761" s="6" t="s">
        <v>299</v>
      </c>
      <c r="AF3761" s="5" t="s">
        <v>727</v>
      </c>
      <c r="AG3761" s="5" t="s">
        <v>260</v>
      </c>
      <c r="AH3761" s="5" t="s">
        <v>240</v>
      </c>
      <c r="AI3761" s="5" t="s">
        <v>240</v>
      </c>
      <c r="AJ3761" s="5" t="s">
        <v>240</v>
      </c>
      <c r="AK3761" s="5" t="s">
        <v>240</v>
      </c>
      <c r="AL3761" s="5" t="s">
        <v>240</v>
      </c>
      <c r="AM3761" s="5" t="s">
        <v>240</v>
      </c>
      <c r="AN3761" s="5" t="s">
        <v>240</v>
      </c>
      <c r="AO3761" s="5" t="s">
        <v>240</v>
      </c>
      <c r="AP3761" s="6" t="s">
        <v>240</v>
      </c>
      <c r="AQ3761" s="6" t="s">
        <v>240</v>
      </c>
      <c r="AR3761" s="6" t="s">
        <v>240</v>
      </c>
      <c r="AS3761" s="6" t="s">
        <v>240</v>
      </c>
      <c r="AT3761" s="5" t="s">
        <v>240</v>
      </c>
      <c r="AU3761" s="5" t="s">
        <v>729</v>
      </c>
      <c r="AV3761" s="5" t="s">
        <v>729</v>
      </c>
      <c r="AW3761" s="5" t="s">
        <v>251</v>
      </c>
      <c r="AX3761" s="5" t="s">
        <v>252</v>
      </c>
      <c r="AY3761" s="5" t="s">
        <v>253</v>
      </c>
      <c r="AZ3761" s="5" t="s">
        <v>240</v>
      </c>
      <c r="BA3761" s="5" t="s">
        <v>255</v>
      </c>
      <c r="BB3761" s="5" t="s">
        <v>731</v>
      </c>
      <c r="BD3761" s="5" t="s">
        <v>240</v>
      </c>
      <c r="BF3761" s="5" t="s">
        <v>732</v>
      </c>
      <c r="BG3761" s="6" t="s">
        <v>733</v>
      </c>
      <c r="BH3761" s="5" t="s">
        <v>734</v>
      </c>
      <c r="BI3761" s="5" t="s">
        <v>734</v>
      </c>
      <c r="BJ3761" s="5" t="s">
        <v>240</v>
      </c>
      <c r="BK3761" s="8">
        <f>347</f>
        <v>347</v>
      </c>
      <c r="BL3761" s="7">
        <f>0</f>
        <v>0</v>
      </c>
      <c r="BM3761" s="5" t="s">
        <v>258</v>
      </c>
      <c r="BN3761" s="5" t="s">
        <v>259</v>
      </c>
      <c r="BO3761" s="5" t="s">
        <v>240</v>
      </c>
      <c r="BP3761" s="5" t="s">
        <v>240</v>
      </c>
      <c r="BQ3761" s="5" t="s">
        <v>240</v>
      </c>
      <c r="BR3761" s="5" t="s">
        <v>240</v>
      </c>
      <c r="BS3761" s="5" t="s">
        <v>240</v>
      </c>
      <c r="BT3761" s="5" t="s">
        <v>240</v>
      </c>
      <c r="BU3761" s="5" t="s">
        <v>240</v>
      </c>
      <c r="BV3761" s="5" t="s">
        <v>240</v>
      </c>
      <c r="BW3761" s="6" t="s">
        <v>240</v>
      </c>
      <c r="BX3761" s="5" t="s">
        <v>240</v>
      </c>
      <c r="BY3761" s="5" t="s">
        <v>240</v>
      </c>
      <c r="BZ3761" s="5" t="s">
        <v>240</v>
      </c>
      <c r="CA3761" s="5" t="s">
        <v>259</v>
      </c>
      <c r="CB3761" s="5" t="s">
        <v>240</v>
      </c>
      <c r="CC3761" s="5" t="s">
        <v>240</v>
      </c>
      <c r="CD3761" s="5" t="s">
        <v>240</v>
      </c>
      <c r="CE3761" s="5" t="s">
        <v>240</v>
      </c>
      <c r="CF3761" s="5" t="s">
        <v>240</v>
      </c>
      <c r="CG3761" s="5" t="s">
        <v>617</v>
      </c>
      <c r="CH3761" s="5" t="s">
        <v>305</v>
      </c>
      <c r="CI3761" s="5" t="s">
        <v>240</v>
      </c>
      <c r="CL3761" s="6" t="s">
        <v>261</v>
      </c>
      <c r="CM3761" s="5" t="s">
        <v>262</v>
      </c>
      <c r="CN3761" s="5" t="s">
        <v>263</v>
      </c>
      <c r="CO3761" s="5" t="s">
        <v>264</v>
      </c>
      <c r="CP3761" s="5" t="s">
        <v>240</v>
      </c>
      <c r="CQ3761" s="5">
        <v>0</v>
      </c>
      <c r="CR3761" s="5" t="s">
        <v>735</v>
      </c>
      <c r="CS3761" s="5" t="s">
        <v>307</v>
      </c>
      <c r="CT3761" s="5" t="s">
        <v>307</v>
      </c>
      <c r="CU3761" s="5" t="s">
        <v>260</v>
      </c>
      <c r="CV3761" s="5" t="s">
        <v>240</v>
      </c>
      <c r="CW3761" s="8">
        <f>0</f>
        <v>0</v>
      </c>
      <c r="CX3761" s="7">
        <f>0</f>
        <v>0</v>
      </c>
      <c r="CY3761" s="7">
        <f>0</f>
        <v>0</v>
      </c>
      <c r="DA3761" s="7">
        <f>3817</f>
        <v>3817</v>
      </c>
      <c r="DB3761" s="7" t="s">
        <v>240</v>
      </c>
      <c r="DC3761" s="5" t="s">
        <v>240</v>
      </c>
      <c r="DD3761" s="5" t="s">
        <v>240</v>
      </c>
      <c r="DE3761" s="5" t="s">
        <v>240</v>
      </c>
      <c r="DF3761" s="5" t="s">
        <v>450</v>
      </c>
      <c r="DG3761" s="7">
        <f>0</f>
        <v>0</v>
      </c>
      <c r="DI3761" s="5" t="s">
        <v>737</v>
      </c>
      <c r="DJ3761" s="5" t="s">
        <v>240</v>
      </c>
      <c r="DK3761" s="5" t="s">
        <v>240</v>
      </c>
      <c r="DL3761" s="5" t="s">
        <v>240</v>
      </c>
      <c r="DM3761" s="5" t="s">
        <v>240</v>
      </c>
      <c r="DN3761" s="5" t="s">
        <v>240</v>
      </c>
      <c r="DO3761" s="7" t="s">
        <v>240</v>
      </c>
      <c r="DP3761" s="5" t="s">
        <v>240</v>
      </c>
      <c r="DQ3761" s="5" t="s">
        <v>240</v>
      </c>
      <c r="DR3761" s="5" t="s">
        <v>731</v>
      </c>
      <c r="DS3761" s="5" t="s">
        <v>731</v>
      </c>
      <c r="DT3761" s="5" t="s">
        <v>240</v>
      </c>
      <c r="DU3761" s="5" t="s">
        <v>240</v>
      </c>
      <c r="DV3761" s="5" t="s">
        <v>738</v>
      </c>
      <c r="DW3761" s="5" t="s">
        <v>1364</v>
      </c>
      <c r="DX3761" s="5" t="s">
        <v>240</v>
      </c>
      <c r="DY3761" s="5" t="s">
        <v>240</v>
      </c>
      <c r="DZ3761" s="5" t="s">
        <v>240</v>
      </c>
      <c r="EA3761" s="5" t="s">
        <v>240</v>
      </c>
      <c r="EB3761" s="5" t="s">
        <v>240</v>
      </c>
      <c r="EC3761" s="5" t="s">
        <v>240</v>
      </c>
      <c r="ED3761" s="5" t="s">
        <v>240</v>
      </c>
      <c r="EE3761" s="5" t="s">
        <v>240</v>
      </c>
      <c r="EF3761" s="5" t="s">
        <v>240</v>
      </c>
      <c r="EG3761" s="5" t="s">
        <v>240</v>
      </c>
      <c r="EH3761" s="5" t="s">
        <v>240</v>
      </c>
      <c r="EI3761" s="5" t="s">
        <v>240</v>
      </c>
      <c r="EJ3761" s="5" t="s">
        <v>240</v>
      </c>
      <c r="EK3761" s="5" t="s">
        <v>240</v>
      </c>
      <c r="EL3761" s="5" t="s">
        <v>240</v>
      </c>
      <c r="EM3761" s="5" t="s">
        <v>240</v>
      </c>
      <c r="EN3761" s="5" t="s">
        <v>240</v>
      </c>
      <c r="EO3761" s="5" t="s">
        <v>240</v>
      </c>
      <c r="EP3761" s="5" t="s">
        <v>240</v>
      </c>
      <c r="EQ3761" s="5" t="s">
        <v>240</v>
      </c>
      <c r="ER3761" s="5" t="s">
        <v>240</v>
      </c>
      <c r="ES3761" s="5" t="s">
        <v>240</v>
      </c>
      <c r="ET3761" s="5" t="s">
        <v>240</v>
      </c>
      <c r="EU3761" s="5" t="s">
        <v>240</v>
      </c>
      <c r="EV3761" s="5" t="s">
        <v>240</v>
      </c>
      <c r="EW3761" s="5" t="s">
        <v>240</v>
      </c>
      <c r="EX3761" s="5" t="s">
        <v>240</v>
      </c>
      <c r="EY3761" s="5" t="s">
        <v>240</v>
      </c>
      <c r="EZ3761" s="5" t="s">
        <v>240</v>
      </c>
      <c r="FA3761" s="5" t="s">
        <v>240</v>
      </c>
      <c r="FB3761" s="5" t="s">
        <v>240</v>
      </c>
      <c r="FC3761" s="5" t="s">
        <v>240</v>
      </c>
      <c r="FD3761" s="5" t="s">
        <v>240</v>
      </c>
      <c r="FE3761" s="5" t="s">
        <v>240</v>
      </c>
      <c r="FF3761" s="5" t="s">
        <v>240</v>
      </c>
      <c r="FG3761" s="5" t="s">
        <v>240</v>
      </c>
      <c r="FH3761" s="5" t="s">
        <v>240</v>
      </c>
      <c r="FI3761" s="5" t="s">
        <v>240</v>
      </c>
      <c r="FJ3761" s="5" t="s">
        <v>240</v>
      </c>
      <c r="FK3761" s="5" t="s">
        <v>240</v>
      </c>
      <c r="FL3761" s="5" t="s">
        <v>240</v>
      </c>
      <c r="FM3761" s="5" t="s">
        <v>240</v>
      </c>
      <c r="FN3761" s="5" t="s">
        <v>240</v>
      </c>
      <c r="FO3761" s="5" t="s">
        <v>240</v>
      </c>
      <c r="FP3761" s="5" t="s">
        <v>240</v>
      </c>
      <c r="FQ3761" s="5" t="s">
        <v>240</v>
      </c>
      <c r="FR3761" s="5" t="s">
        <v>240</v>
      </c>
      <c r="FS3761" s="5" t="s">
        <v>240</v>
      </c>
      <c r="FT3761" s="5" t="s">
        <v>240</v>
      </c>
      <c r="FU3761" s="5" t="s">
        <v>240</v>
      </c>
      <c r="FV3761" s="5" t="s">
        <v>240</v>
      </c>
      <c r="FW3761" s="5" t="s">
        <v>240</v>
      </c>
      <c r="FX3761" s="5" t="s">
        <v>240</v>
      </c>
      <c r="FY3761" s="5" t="s">
        <v>240</v>
      </c>
      <c r="FZ3761" s="5" t="s">
        <v>240</v>
      </c>
      <c r="GA3761" s="5" t="s">
        <v>240</v>
      </c>
      <c r="GB3761" s="5" t="s">
        <v>240</v>
      </c>
      <c r="GC3761" s="5" t="s">
        <v>240</v>
      </c>
      <c r="GD3761" s="5" t="s">
        <v>240</v>
      </c>
      <c r="GE3761" s="5" t="s">
        <v>240</v>
      </c>
      <c r="GF3761" s="5" t="s">
        <v>240</v>
      </c>
      <c r="GG3761" s="5" t="s">
        <v>240</v>
      </c>
      <c r="GH3761" s="5" t="s">
        <v>240</v>
      </c>
      <c r="GI3761" s="5" t="s">
        <v>240</v>
      </c>
      <c r="GJ3761" s="5" t="s">
        <v>240</v>
      </c>
      <c r="GK3761" s="5" t="s">
        <v>240</v>
      </c>
      <c r="GL3761" s="5" t="s">
        <v>240</v>
      </c>
      <c r="GM3761" s="5" t="s">
        <v>240</v>
      </c>
      <c r="GN3761" s="5" t="s">
        <v>240</v>
      </c>
      <c r="GO3761" s="5" t="s">
        <v>240</v>
      </c>
      <c r="GP3761" s="5" t="s">
        <v>240</v>
      </c>
      <c r="GQ3761" s="5" t="s">
        <v>240</v>
      </c>
      <c r="GR3761" s="5" t="s">
        <v>240</v>
      </c>
      <c r="GS3761" s="5" t="s">
        <v>240</v>
      </c>
      <c r="GT3761" s="5" t="s">
        <v>240</v>
      </c>
      <c r="GU3761" s="5" t="s">
        <v>240</v>
      </c>
      <c r="GV3761" s="5" t="s">
        <v>240</v>
      </c>
      <c r="GW3761" s="5" t="s">
        <v>240</v>
      </c>
      <c r="GX3761" s="5" t="s">
        <v>240</v>
      </c>
      <c r="GY3761" s="5" t="s">
        <v>240</v>
      </c>
      <c r="GZ3761" s="5" t="s">
        <v>240</v>
      </c>
      <c r="HA3761" s="5" t="s">
        <v>240</v>
      </c>
      <c r="HB3761" s="5" t="s">
        <v>240</v>
      </c>
      <c r="HC3761" s="5" t="s">
        <v>240</v>
      </c>
      <c r="HD3761" s="5" t="s">
        <v>240</v>
      </c>
      <c r="HE3761" s="5" t="s">
        <v>240</v>
      </c>
      <c r="HF3761" s="5" t="s">
        <v>240</v>
      </c>
      <c r="HG3761" s="5" t="s">
        <v>240</v>
      </c>
      <c r="HH3761" s="5" t="s">
        <v>240</v>
      </c>
      <c r="HI3761" s="5" t="s">
        <v>240</v>
      </c>
      <c r="HJ3761" s="5" t="s">
        <v>240</v>
      </c>
      <c r="HK3761" s="5" t="s">
        <v>240</v>
      </c>
      <c r="HL3761" s="5" t="s">
        <v>240</v>
      </c>
      <c r="HM3761" s="5" t="s">
        <v>240</v>
      </c>
      <c r="HN3761" s="5" t="s">
        <v>240</v>
      </c>
      <c r="HO3761" s="5" t="s">
        <v>312</v>
      </c>
      <c r="HP3761" s="5" t="s">
        <v>240</v>
      </c>
      <c r="HQ3761" s="5" t="s">
        <v>240</v>
      </c>
      <c r="HR3761" s="5" t="s">
        <v>240</v>
      </c>
      <c r="HS3761" s="5" t="s">
        <v>240</v>
      </c>
      <c r="HT3761" s="5" t="s">
        <v>240</v>
      </c>
      <c r="HU3761" s="5" t="s">
        <v>240</v>
      </c>
      <c r="HV3761" s="5" t="s">
        <v>240</v>
      </c>
      <c r="HW3761" s="5" t="s">
        <v>240</v>
      </c>
      <c r="HX3761" s="5" t="s">
        <v>240</v>
      </c>
      <c r="HY3761" s="5" t="s">
        <v>240</v>
      </c>
      <c r="HZ3761" s="5" t="s">
        <v>240</v>
      </c>
      <c r="IA3761" s="5" t="s">
        <v>240</v>
      </c>
      <c r="IB3761" s="5" t="s">
        <v>240</v>
      </c>
      <c r="IC3761" s="5" t="s">
        <v>240</v>
      </c>
      <c r="ID3761" s="5" t="s">
        <v>240</v>
      </c>
      <c r="IE3761" s="5" t="s">
        <v>240</v>
      </c>
      <c r="IF3761" s="5" t="s">
        <v>240</v>
      </c>
    </row>
    <row r="3762" spans="1:240" x14ac:dyDescent="0.4">
      <c r="A3762" s="5">
        <v>9304</v>
      </c>
      <c r="B3762" s="5">
        <v>1</v>
      </c>
      <c r="C3762" s="5">
        <v>1</v>
      </c>
      <c r="D3762" s="5" t="s">
        <v>723</v>
      </c>
      <c r="E3762" s="5" t="s">
        <v>725</v>
      </c>
      <c r="F3762" s="5" t="s">
        <v>254</v>
      </c>
      <c r="G3762" s="5" t="s">
        <v>5446</v>
      </c>
      <c r="H3762" s="6" t="s">
        <v>5447</v>
      </c>
      <c r="I3762" s="5" t="s">
        <v>5445</v>
      </c>
      <c r="J3762" s="7">
        <f>1</f>
        <v>1</v>
      </c>
      <c r="K3762" s="5" t="s">
        <v>3682</v>
      </c>
      <c r="L3762" s="7">
        <f>1</f>
        <v>1</v>
      </c>
      <c r="M3762" s="7">
        <f>1</f>
        <v>1</v>
      </c>
      <c r="N3762" s="5" t="s">
        <v>242</v>
      </c>
      <c r="O3762" s="5">
        <v>1</v>
      </c>
      <c r="P3762" s="5" t="s">
        <v>294</v>
      </c>
      <c r="Q3762" s="5" t="s">
        <v>613</v>
      </c>
      <c r="R3762" s="5" t="s">
        <v>240</v>
      </c>
      <c r="S3762" s="5" t="s">
        <v>240</v>
      </c>
      <c r="T3762" s="5" t="s">
        <v>243</v>
      </c>
      <c r="U3762" s="5" t="s">
        <v>724</v>
      </c>
      <c r="V3762" s="5" t="s">
        <v>240</v>
      </c>
      <c r="W3762" s="5" t="s">
        <v>240</v>
      </c>
      <c r="X3762" s="5" t="s">
        <v>240</v>
      </c>
      <c r="Y3762" s="5" t="s">
        <v>240</v>
      </c>
      <c r="Z3762" s="6" t="s">
        <v>298</v>
      </c>
      <c r="AA3762" s="6" t="s">
        <v>240</v>
      </c>
      <c r="AB3762" s="6" t="s">
        <v>240</v>
      </c>
      <c r="AC3762" s="5" t="s">
        <v>240</v>
      </c>
      <c r="AD3762" s="6" t="s">
        <v>240</v>
      </c>
      <c r="AE3762" s="6" t="s">
        <v>299</v>
      </c>
      <c r="AF3762" s="5" t="s">
        <v>727</v>
      </c>
      <c r="AG3762" s="5" t="s">
        <v>260</v>
      </c>
      <c r="AH3762" s="5" t="s">
        <v>240</v>
      </c>
      <c r="AI3762" s="5" t="s">
        <v>240</v>
      </c>
      <c r="AJ3762" s="5" t="s">
        <v>240</v>
      </c>
      <c r="AK3762" s="5" t="s">
        <v>240</v>
      </c>
      <c r="AL3762" s="5" t="s">
        <v>240</v>
      </c>
      <c r="AM3762" s="5" t="s">
        <v>240</v>
      </c>
      <c r="AN3762" s="5" t="s">
        <v>240</v>
      </c>
      <c r="AO3762" s="5" t="s">
        <v>240</v>
      </c>
      <c r="AP3762" s="6" t="s">
        <v>240</v>
      </c>
      <c r="AQ3762" s="6" t="s">
        <v>240</v>
      </c>
      <c r="AR3762" s="6" t="s">
        <v>240</v>
      </c>
      <c r="AS3762" s="6" t="s">
        <v>240</v>
      </c>
      <c r="AT3762" s="5" t="s">
        <v>240</v>
      </c>
      <c r="AU3762" s="5" t="s">
        <v>729</v>
      </c>
      <c r="AV3762" s="5" t="s">
        <v>729</v>
      </c>
      <c r="AW3762" s="5" t="s">
        <v>251</v>
      </c>
      <c r="AX3762" s="5" t="s">
        <v>252</v>
      </c>
      <c r="AY3762" s="5" t="s">
        <v>253</v>
      </c>
      <c r="AZ3762" s="5" t="s">
        <v>240</v>
      </c>
      <c r="BA3762" s="5" t="s">
        <v>255</v>
      </c>
      <c r="BB3762" s="5" t="s">
        <v>731</v>
      </c>
      <c r="BD3762" s="5" t="s">
        <v>240</v>
      </c>
      <c r="BF3762" s="5" t="s">
        <v>732</v>
      </c>
      <c r="BG3762" s="6" t="s">
        <v>733</v>
      </c>
      <c r="BH3762" s="5" t="s">
        <v>734</v>
      </c>
      <c r="BI3762" s="5" t="s">
        <v>734</v>
      </c>
      <c r="BJ3762" s="5" t="s">
        <v>240</v>
      </c>
      <c r="BK3762" s="8">
        <f>305</f>
        <v>305</v>
      </c>
      <c r="BL3762" s="7">
        <f>0</f>
        <v>0</v>
      </c>
      <c r="BM3762" s="5" t="s">
        <v>258</v>
      </c>
      <c r="BN3762" s="5" t="s">
        <v>259</v>
      </c>
      <c r="BO3762" s="5" t="s">
        <v>240</v>
      </c>
      <c r="BP3762" s="5" t="s">
        <v>240</v>
      </c>
      <c r="BQ3762" s="5" t="s">
        <v>240</v>
      </c>
      <c r="BR3762" s="5" t="s">
        <v>240</v>
      </c>
      <c r="BS3762" s="5" t="s">
        <v>240</v>
      </c>
      <c r="BT3762" s="5" t="s">
        <v>240</v>
      </c>
      <c r="BU3762" s="5" t="s">
        <v>240</v>
      </c>
      <c r="BV3762" s="5" t="s">
        <v>240</v>
      </c>
      <c r="BW3762" s="6" t="s">
        <v>240</v>
      </c>
      <c r="BX3762" s="5" t="s">
        <v>240</v>
      </c>
      <c r="BY3762" s="5" t="s">
        <v>240</v>
      </c>
      <c r="BZ3762" s="5" t="s">
        <v>240</v>
      </c>
      <c r="CA3762" s="5" t="s">
        <v>259</v>
      </c>
      <c r="CB3762" s="5" t="s">
        <v>240</v>
      </c>
      <c r="CC3762" s="5" t="s">
        <v>240</v>
      </c>
      <c r="CD3762" s="5" t="s">
        <v>240</v>
      </c>
      <c r="CE3762" s="5" t="s">
        <v>240</v>
      </c>
      <c r="CF3762" s="5" t="s">
        <v>240</v>
      </c>
      <c r="CG3762" s="5" t="s">
        <v>617</v>
      </c>
      <c r="CH3762" s="5" t="s">
        <v>305</v>
      </c>
      <c r="CI3762" s="5" t="s">
        <v>240</v>
      </c>
      <c r="CL3762" s="6" t="s">
        <v>261</v>
      </c>
      <c r="CM3762" s="5" t="s">
        <v>262</v>
      </c>
      <c r="CN3762" s="5" t="s">
        <v>263</v>
      </c>
      <c r="CO3762" s="5" t="s">
        <v>264</v>
      </c>
      <c r="CP3762" s="5" t="s">
        <v>240</v>
      </c>
      <c r="CQ3762" s="5">
        <v>0</v>
      </c>
      <c r="CR3762" s="5" t="s">
        <v>735</v>
      </c>
      <c r="CS3762" s="5" t="s">
        <v>307</v>
      </c>
      <c r="CT3762" s="5" t="s">
        <v>307</v>
      </c>
      <c r="CU3762" s="5" t="s">
        <v>260</v>
      </c>
      <c r="CV3762" s="5" t="s">
        <v>240</v>
      </c>
      <c r="CW3762" s="8">
        <f>0</f>
        <v>0</v>
      </c>
      <c r="CX3762" s="7">
        <f>0</f>
        <v>0</v>
      </c>
      <c r="CY3762" s="7">
        <f>0</f>
        <v>0</v>
      </c>
      <c r="DA3762" s="7">
        <f>3355</f>
        <v>3355</v>
      </c>
      <c r="DB3762" s="7" t="s">
        <v>240</v>
      </c>
      <c r="DC3762" s="5" t="s">
        <v>240</v>
      </c>
      <c r="DD3762" s="5" t="s">
        <v>240</v>
      </c>
      <c r="DE3762" s="5" t="s">
        <v>240</v>
      </c>
      <c r="DF3762" s="5" t="s">
        <v>450</v>
      </c>
      <c r="DG3762" s="7">
        <f>0</f>
        <v>0</v>
      </c>
      <c r="DH3762" s="6" t="s">
        <v>774</v>
      </c>
      <c r="DI3762" s="5" t="s">
        <v>737</v>
      </c>
      <c r="DJ3762" s="5" t="s">
        <v>240</v>
      </c>
      <c r="DK3762" s="5" t="s">
        <v>240</v>
      </c>
      <c r="DL3762" s="5" t="s">
        <v>240</v>
      </c>
      <c r="DM3762" s="5" t="s">
        <v>240</v>
      </c>
      <c r="DN3762" s="5" t="s">
        <v>240</v>
      </c>
      <c r="DO3762" s="7" t="s">
        <v>240</v>
      </c>
      <c r="DP3762" s="5" t="s">
        <v>240</v>
      </c>
      <c r="DQ3762" s="5" t="s">
        <v>240</v>
      </c>
      <c r="DR3762" s="5" t="s">
        <v>731</v>
      </c>
      <c r="DS3762" s="5" t="s">
        <v>731</v>
      </c>
      <c r="DT3762" s="5" t="s">
        <v>240</v>
      </c>
      <c r="DU3762" s="5" t="s">
        <v>240</v>
      </c>
      <c r="DV3762" s="5" t="s">
        <v>738</v>
      </c>
      <c r="DW3762" s="5" t="s">
        <v>672</v>
      </c>
      <c r="DX3762" s="5" t="s">
        <v>240</v>
      </c>
      <c r="DY3762" s="5" t="s">
        <v>240</v>
      </c>
      <c r="DZ3762" s="5" t="s">
        <v>240</v>
      </c>
      <c r="EA3762" s="5" t="s">
        <v>240</v>
      </c>
      <c r="EB3762" s="5" t="s">
        <v>240</v>
      </c>
      <c r="EC3762" s="5" t="s">
        <v>240</v>
      </c>
      <c r="ED3762" s="5" t="s">
        <v>240</v>
      </c>
      <c r="EE3762" s="5" t="s">
        <v>240</v>
      </c>
      <c r="EF3762" s="5" t="s">
        <v>240</v>
      </c>
      <c r="EG3762" s="5" t="s">
        <v>240</v>
      </c>
      <c r="EH3762" s="5" t="s">
        <v>240</v>
      </c>
      <c r="EI3762" s="5" t="s">
        <v>240</v>
      </c>
      <c r="EJ3762" s="5" t="s">
        <v>240</v>
      </c>
      <c r="EK3762" s="5" t="s">
        <v>240</v>
      </c>
      <c r="EL3762" s="5" t="s">
        <v>240</v>
      </c>
      <c r="EM3762" s="5" t="s">
        <v>240</v>
      </c>
      <c r="EN3762" s="5" t="s">
        <v>240</v>
      </c>
      <c r="EO3762" s="5" t="s">
        <v>240</v>
      </c>
      <c r="EP3762" s="5" t="s">
        <v>240</v>
      </c>
      <c r="EQ3762" s="5" t="s">
        <v>240</v>
      </c>
      <c r="ER3762" s="5" t="s">
        <v>240</v>
      </c>
      <c r="ES3762" s="5" t="s">
        <v>240</v>
      </c>
      <c r="ET3762" s="5" t="s">
        <v>240</v>
      </c>
      <c r="EU3762" s="5" t="s">
        <v>240</v>
      </c>
      <c r="EV3762" s="5" t="s">
        <v>240</v>
      </c>
      <c r="EW3762" s="5" t="s">
        <v>240</v>
      </c>
      <c r="EX3762" s="5" t="s">
        <v>240</v>
      </c>
      <c r="EY3762" s="5" t="s">
        <v>240</v>
      </c>
      <c r="EZ3762" s="5" t="s">
        <v>240</v>
      </c>
      <c r="FA3762" s="5" t="s">
        <v>240</v>
      </c>
      <c r="FB3762" s="5" t="s">
        <v>240</v>
      </c>
      <c r="FC3762" s="5" t="s">
        <v>240</v>
      </c>
      <c r="FD3762" s="5" t="s">
        <v>240</v>
      </c>
      <c r="FE3762" s="5" t="s">
        <v>240</v>
      </c>
      <c r="FF3762" s="5" t="s">
        <v>240</v>
      </c>
      <c r="FG3762" s="5" t="s">
        <v>240</v>
      </c>
      <c r="FH3762" s="5" t="s">
        <v>240</v>
      </c>
      <c r="FI3762" s="5" t="s">
        <v>240</v>
      </c>
      <c r="FJ3762" s="5" t="s">
        <v>240</v>
      </c>
      <c r="FK3762" s="5" t="s">
        <v>240</v>
      </c>
      <c r="FL3762" s="5" t="s">
        <v>240</v>
      </c>
      <c r="FM3762" s="5" t="s">
        <v>240</v>
      </c>
      <c r="FN3762" s="5" t="s">
        <v>240</v>
      </c>
      <c r="FO3762" s="5" t="s">
        <v>240</v>
      </c>
      <c r="FP3762" s="5" t="s">
        <v>240</v>
      </c>
      <c r="FQ3762" s="5" t="s">
        <v>240</v>
      </c>
      <c r="FR3762" s="5" t="s">
        <v>240</v>
      </c>
      <c r="FS3762" s="5" t="s">
        <v>240</v>
      </c>
      <c r="FT3762" s="5" t="s">
        <v>240</v>
      </c>
      <c r="FU3762" s="5" t="s">
        <v>240</v>
      </c>
      <c r="FV3762" s="5" t="s">
        <v>240</v>
      </c>
      <c r="FW3762" s="5" t="s">
        <v>240</v>
      </c>
      <c r="FX3762" s="5" t="s">
        <v>240</v>
      </c>
      <c r="FY3762" s="5" t="s">
        <v>240</v>
      </c>
      <c r="FZ3762" s="5" t="s">
        <v>240</v>
      </c>
      <c r="GA3762" s="5" t="s">
        <v>240</v>
      </c>
      <c r="GB3762" s="5" t="s">
        <v>240</v>
      </c>
      <c r="GC3762" s="5" t="s">
        <v>240</v>
      </c>
      <c r="GD3762" s="5" t="s">
        <v>240</v>
      </c>
      <c r="GE3762" s="5" t="s">
        <v>240</v>
      </c>
      <c r="GF3762" s="5" t="s">
        <v>240</v>
      </c>
      <c r="GG3762" s="5" t="s">
        <v>240</v>
      </c>
      <c r="GH3762" s="5" t="s">
        <v>240</v>
      </c>
      <c r="GI3762" s="5" t="s">
        <v>240</v>
      </c>
      <c r="GJ3762" s="5" t="s">
        <v>240</v>
      </c>
      <c r="GK3762" s="5" t="s">
        <v>240</v>
      </c>
      <c r="GL3762" s="5" t="s">
        <v>240</v>
      </c>
      <c r="GM3762" s="5" t="s">
        <v>240</v>
      </c>
      <c r="GN3762" s="5" t="s">
        <v>240</v>
      </c>
      <c r="GO3762" s="5" t="s">
        <v>240</v>
      </c>
      <c r="GP3762" s="5" t="s">
        <v>240</v>
      </c>
      <c r="GQ3762" s="5" t="s">
        <v>240</v>
      </c>
      <c r="GR3762" s="5" t="s">
        <v>240</v>
      </c>
      <c r="GS3762" s="5" t="s">
        <v>240</v>
      </c>
      <c r="GT3762" s="5" t="s">
        <v>240</v>
      </c>
      <c r="GU3762" s="5" t="s">
        <v>240</v>
      </c>
      <c r="GV3762" s="5" t="s">
        <v>240</v>
      </c>
      <c r="GW3762" s="5" t="s">
        <v>240</v>
      </c>
      <c r="GX3762" s="5" t="s">
        <v>240</v>
      </c>
      <c r="GY3762" s="5" t="s">
        <v>240</v>
      </c>
      <c r="GZ3762" s="5" t="s">
        <v>240</v>
      </c>
      <c r="HA3762" s="5" t="s">
        <v>240</v>
      </c>
      <c r="HB3762" s="5" t="s">
        <v>240</v>
      </c>
      <c r="HC3762" s="5" t="s">
        <v>240</v>
      </c>
      <c r="HD3762" s="5" t="s">
        <v>240</v>
      </c>
      <c r="HE3762" s="5" t="s">
        <v>240</v>
      </c>
      <c r="HF3762" s="5" t="s">
        <v>240</v>
      </c>
      <c r="HG3762" s="5" t="s">
        <v>240</v>
      </c>
      <c r="HH3762" s="5" t="s">
        <v>240</v>
      </c>
      <c r="HI3762" s="5" t="s">
        <v>240</v>
      </c>
      <c r="HJ3762" s="5" t="s">
        <v>240</v>
      </c>
      <c r="HK3762" s="5" t="s">
        <v>240</v>
      </c>
      <c r="HL3762" s="5" t="s">
        <v>240</v>
      </c>
      <c r="HM3762" s="5" t="s">
        <v>240</v>
      </c>
      <c r="HN3762" s="5" t="s">
        <v>240</v>
      </c>
      <c r="HO3762" s="5" t="s">
        <v>620</v>
      </c>
      <c r="HP3762" s="5" t="s">
        <v>240</v>
      </c>
      <c r="HQ3762" s="5" t="s">
        <v>240</v>
      </c>
      <c r="HR3762" s="5" t="s">
        <v>240</v>
      </c>
      <c r="HS3762" s="5" t="s">
        <v>240</v>
      </c>
      <c r="HT3762" s="5" t="s">
        <v>240</v>
      </c>
      <c r="HU3762" s="5" t="s">
        <v>240</v>
      </c>
      <c r="HV3762" s="5" t="s">
        <v>240</v>
      </c>
      <c r="HW3762" s="5" t="s">
        <v>240</v>
      </c>
      <c r="HX3762" s="5" t="s">
        <v>240</v>
      </c>
      <c r="HY3762" s="5" t="s">
        <v>240</v>
      </c>
      <c r="HZ3762" s="5" t="s">
        <v>240</v>
      </c>
      <c r="IA3762" s="5" t="s">
        <v>240</v>
      </c>
      <c r="IB3762" s="5" t="s">
        <v>240</v>
      </c>
      <c r="IC3762" s="5" t="s">
        <v>240</v>
      </c>
      <c r="ID3762" s="5" t="s">
        <v>240</v>
      </c>
      <c r="IE3762" s="5" t="s">
        <v>240</v>
      </c>
      <c r="IF3762" s="5" t="s">
        <v>240</v>
      </c>
    </row>
    <row r="3763" spans="1:240" x14ac:dyDescent="0.4">
      <c r="A3763" s="5">
        <v>9305</v>
      </c>
      <c r="B3763" s="5">
        <v>1</v>
      </c>
      <c r="C3763" s="5">
        <v>1</v>
      </c>
      <c r="D3763" s="5" t="s">
        <v>723</v>
      </c>
      <c r="E3763" s="5" t="s">
        <v>725</v>
      </c>
      <c r="F3763" s="5" t="s">
        <v>254</v>
      </c>
      <c r="G3763" s="5" t="s">
        <v>6288</v>
      </c>
      <c r="H3763" s="6" t="s">
        <v>6289</v>
      </c>
      <c r="I3763" s="5" t="s">
        <v>6287</v>
      </c>
      <c r="J3763" s="7">
        <f>1</f>
        <v>1</v>
      </c>
      <c r="K3763" s="5" t="s">
        <v>3682</v>
      </c>
      <c r="L3763" s="7">
        <f>1</f>
        <v>1</v>
      </c>
      <c r="M3763" s="7">
        <f>1</f>
        <v>1</v>
      </c>
      <c r="N3763" s="5" t="s">
        <v>242</v>
      </c>
      <c r="O3763" s="5">
        <v>1</v>
      </c>
      <c r="P3763" s="5" t="s">
        <v>294</v>
      </c>
      <c r="Q3763" s="5" t="s">
        <v>613</v>
      </c>
      <c r="R3763" s="5" t="s">
        <v>240</v>
      </c>
      <c r="S3763" s="5" t="s">
        <v>240</v>
      </c>
      <c r="T3763" s="5" t="s">
        <v>243</v>
      </c>
      <c r="U3763" s="5" t="s">
        <v>244</v>
      </c>
      <c r="V3763" s="5" t="s">
        <v>240</v>
      </c>
      <c r="Y3763" s="5" t="s">
        <v>240</v>
      </c>
      <c r="Z3763" s="6" t="s">
        <v>298</v>
      </c>
      <c r="AB3763" s="6" t="s">
        <v>240</v>
      </c>
      <c r="AE3763" s="6" t="s">
        <v>299</v>
      </c>
      <c r="AF3763" s="5" t="s">
        <v>248</v>
      </c>
      <c r="AG3763" s="5" t="s">
        <v>249</v>
      </c>
      <c r="AW3763" s="5" t="s">
        <v>251</v>
      </c>
      <c r="AX3763" s="5" t="s">
        <v>240</v>
      </c>
      <c r="AY3763" s="5" t="s">
        <v>253</v>
      </c>
      <c r="AZ3763" s="5" t="s">
        <v>240</v>
      </c>
      <c r="BA3763" s="5" t="s">
        <v>255</v>
      </c>
      <c r="BB3763" s="5" t="s">
        <v>240</v>
      </c>
      <c r="BD3763" s="5" t="s">
        <v>240</v>
      </c>
      <c r="BF3763" s="5" t="s">
        <v>301</v>
      </c>
      <c r="BG3763" s="6" t="s">
        <v>299</v>
      </c>
      <c r="BH3763" s="5" t="s">
        <v>302</v>
      </c>
      <c r="BI3763" s="5" t="s">
        <v>6587</v>
      </c>
      <c r="BJ3763" s="5" t="s">
        <v>240</v>
      </c>
      <c r="BK3763" s="8">
        <f>0</f>
        <v>0</v>
      </c>
      <c r="BL3763" s="7">
        <f>0</f>
        <v>0</v>
      </c>
      <c r="BM3763" s="5" t="s">
        <v>258</v>
      </c>
      <c r="BN3763" s="5" t="s">
        <v>259</v>
      </c>
      <c r="CB3763" s="5" t="s">
        <v>240</v>
      </c>
      <c r="CC3763" s="5" t="s">
        <v>240</v>
      </c>
      <c r="CG3763" s="5" t="s">
        <v>617</v>
      </c>
      <c r="CH3763" s="5" t="s">
        <v>305</v>
      </c>
      <c r="CI3763" s="5" t="s">
        <v>240</v>
      </c>
      <c r="CL3763" s="6" t="s">
        <v>261</v>
      </c>
      <c r="CM3763" s="5" t="s">
        <v>240</v>
      </c>
      <c r="CN3763" s="5" t="s">
        <v>263</v>
      </c>
      <c r="CO3763" s="5" t="s">
        <v>240</v>
      </c>
      <c r="CP3763" s="5" t="s">
        <v>240</v>
      </c>
      <c r="CQ3763" s="5">
        <v>0</v>
      </c>
      <c r="CR3763" s="5" t="s">
        <v>306</v>
      </c>
      <c r="CS3763" s="5" t="s">
        <v>307</v>
      </c>
      <c r="CT3763" s="5" t="s">
        <v>307</v>
      </c>
      <c r="CU3763" s="5" t="s">
        <v>260</v>
      </c>
      <c r="CX3763" s="7">
        <f>7054774</f>
        <v>7054774</v>
      </c>
      <c r="CY3763" s="7">
        <f>0</f>
        <v>0</v>
      </c>
      <c r="DA3763" s="7">
        <f>0</f>
        <v>0</v>
      </c>
      <c r="DC3763" s="5" t="s">
        <v>689</v>
      </c>
      <c r="DD3763" s="5" t="s">
        <v>240</v>
      </c>
      <c r="DF3763" s="5" t="s">
        <v>450</v>
      </c>
      <c r="DG3763" s="7">
        <f>0</f>
        <v>0</v>
      </c>
      <c r="DI3763" s="5" t="s">
        <v>618</v>
      </c>
      <c r="DJ3763" s="5" t="s">
        <v>240</v>
      </c>
      <c r="DK3763" s="5" t="s">
        <v>240</v>
      </c>
      <c r="DL3763" s="5" t="s">
        <v>240</v>
      </c>
      <c r="DP3763" s="5" t="s">
        <v>240</v>
      </c>
      <c r="DQ3763" s="5" t="s">
        <v>240</v>
      </c>
      <c r="DR3763" s="5" t="s">
        <v>240</v>
      </c>
      <c r="DS3763" s="5" t="s">
        <v>240</v>
      </c>
      <c r="DV3763" s="5" t="s">
        <v>6591</v>
      </c>
      <c r="DW3763" s="5" t="s">
        <v>797</v>
      </c>
      <c r="HO3763" s="5" t="s">
        <v>691</v>
      </c>
    </row>
    <row r="3764" spans="1:240" x14ac:dyDescent="0.4">
      <c r="A3764" s="5">
        <v>9306</v>
      </c>
      <c r="B3764" s="5">
        <v>1</v>
      </c>
      <c r="C3764" s="5">
        <v>1</v>
      </c>
      <c r="D3764" s="5" t="s">
        <v>723</v>
      </c>
      <c r="E3764" s="5" t="s">
        <v>725</v>
      </c>
      <c r="F3764" s="5" t="s">
        <v>254</v>
      </c>
      <c r="G3764" s="5" t="s">
        <v>726</v>
      </c>
      <c r="H3764" s="6" t="s">
        <v>5443</v>
      </c>
      <c r="I3764" s="5" t="s">
        <v>5442</v>
      </c>
      <c r="J3764" s="7">
        <f>1</f>
        <v>1</v>
      </c>
      <c r="K3764" s="5" t="s">
        <v>3682</v>
      </c>
      <c r="L3764" s="7">
        <f>1</f>
        <v>1</v>
      </c>
      <c r="M3764" s="7">
        <f>1</f>
        <v>1</v>
      </c>
      <c r="N3764" s="5" t="s">
        <v>242</v>
      </c>
      <c r="O3764" s="5">
        <v>1</v>
      </c>
      <c r="P3764" s="5" t="s">
        <v>294</v>
      </c>
      <c r="Q3764" s="5" t="s">
        <v>613</v>
      </c>
      <c r="R3764" s="5" t="s">
        <v>240</v>
      </c>
      <c r="S3764" s="5" t="s">
        <v>240</v>
      </c>
      <c r="T3764" s="5" t="s">
        <v>243</v>
      </c>
      <c r="U3764" s="5" t="s">
        <v>724</v>
      </c>
      <c r="V3764" s="5" t="s">
        <v>240</v>
      </c>
      <c r="W3764" s="5" t="s">
        <v>240</v>
      </c>
      <c r="X3764" s="5" t="s">
        <v>240</v>
      </c>
      <c r="Y3764" s="5" t="s">
        <v>240</v>
      </c>
      <c r="Z3764" s="6" t="s">
        <v>298</v>
      </c>
      <c r="AA3764" s="6" t="s">
        <v>240</v>
      </c>
      <c r="AB3764" s="6" t="s">
        <v>240</v>
      </c>
      <c r="AC3764" s="5" t="s">
        <v>240</v>
      </c>
      <c r="AD3764" s="6" t="s">
        <v>240</v>
      </c>
      <c r="AE3764" s="6" t="s">
        <v>299</v>
      </c>
      <c r="AF3764" s="5" t="s">
        <v>727</v>
      </c>
      <c r="AG3764" s="5" t="s">
        <v>260</v>
      </c>
      <c r="AH3764" s="5" t="s">
        <v>240</v>
      </c>
      <c r="AI3764" s="5" t="s">
        <v>240</v>
      </c>
      <c r="AJ3764" s="5" t="s">
        <v>240</v>
      </c>
      <c r="AK3764" s="5" t="s">
        <v>240</v>
      </c>
      <c r="AL3764" s="5" t="s">
        <v>240</v>
      </c>
      <c r="AM3764" s="5" t="s">
        <v>240</v>
      </c>
      <c r="AN3764" s="5" t="s">
        <v>240</v>
      </c>
      <c r="AO3764" s="5" t="s">
        <v>240</v>
      </c>
      <c r="AP3764" s="6" t="s">
        <v>240</v>
      </c>
      <c r="AQ3764" s="6" t="s">
        <v>240</v>
      </c>
      <c r="AR3764" s="6" t="s">
        <v>240</v>
      </c>
      <c r="AS3764" s="6" t="s">
        <v>240</v>
      </c>
      <c r="AT3764" s="5" t="s">
        <v>240</v>
      </c>
      <c r="AU3764" s="5" t="s">
        <v>729</v>
      </c>
      <c r="AV3764" s="5" t="s">
        <v>729</v>
      </c>
      <c r="AW3764" s="5" t="s">
        <v>251</v>
      </c>
      <c r="AX3764" s="5" t="s">
        <v>252</v>
      </c>
      <c r="AY3764" s="5" t="s">
        <v>253</v>
      </c>
      <c r="AZ3764" s="5" t="s">
        <v>240</v>
      </c>
      <c r="BA3764" s="5" t="s">
        <v>255</v>
      </c>
      <c r="BB3764" s="5" t="s">
        <v>731</v>
      </c>
      <c r="BD3764" s="5" t="s">
        <v>240</v>
      </c>
      <c r="BF3764" s="5" t="s">
        <v>732</v>
      </c>
      <c r="BG3764" s="6" t="s">
        <v>733</v>
      </c>
      <c r="BH3764" s="5" t="s">
        <v>734</v>
      </c>
      <c r="BI3764" s="5" t="s">
        <v>734</v>
      </c>
      <c r="BJ3764" s="5" t="s">
        <v>240</v>
      </c>
      <c r="BK3764" s="8">
        <f>60</f>
        <v>60</v>
      </c>
      <c r="BL3764" s="7">
        <f>0</f>
        <v>0</v>
      </c>
      <c r="BM3764" s="5" t="s">
        <v>258</v>
      </c>
      <c r="BN3764" s="5" t="s">
        <v>259</v>
      </c>
      <c r="BO3764" s="5" t="s">
        <v>240</v>
      </c>
      <c r="BP3764" s="5" t="s">
        <v>240</v>
      </c>
      <c r="BQ3764" s="5" t="s">
        <v>240</v>
      </c>
      <c r="BR3764" s="5" t="s">
        <v>240</v>
      </c>
      <c r="BS3764" s="5" t="s">
        <v>240</v>
      </c>
      <c r="BT3764" s="5" t="s">
        <v>240</v>
      </c>
      <c r="BU3764" s="5" t="s">
        <v>240</v>
      </c>
      <c r="BV3764" s="5" t="s">
        <v>240</v>
      </c>
      <c r="BW3764" s="6" t="s">
        <v>240</v>
      </c>
      <c r="BX3764" s="5" t="s">
        <v>240</v>
      </c>
      <c r="BY3764" s="5" t="s">
        <v>240</v>
      </c>
      <c r="BZ3764" s="5" t="s">
        <v>240</v>
      </c>
      <c r="CA3764" s="5" t="s">
        <v>259</v>
      </c>
      <c r="CB3764" s="5" t="s">
        <v>240</v>
      </c>
      <c r="CC3764" s="5" t="s">
        <v>240</v>
      </c>
      <c r="CD3764" s="5" t="s">
        <v>240</v>
      </c>
      <c r="CE3764" s="5" t="s">
        <v>240</v>
      </c>
      <c r="CF3764" s="5" t="s">
        <v>240</v>
      </c>
      <c r="CG3764" s="5" t="s">
        <v>617</v>
      </c>
      <c r="CH3764" s="5" t="s">
        <v>305</v>
      </c>
      <c r="CI3764" s="5" t="s">
        <v>240</v>
      </c>
      <c r="CL3764" s="6" t="s">
        <v>261</v>
      </c>
      <c r="CM3764" s="5" t="s">
        <v>262</v>
      </c>
      <c r="CN3764" s="5" t="s">
        <v>263</v>
      </c>
      <c r="CO3764" s="5" t="s">
        <v>264</v>
      </c>
      <c r="CP3764" s="5" t="s">
        <v>240</v>
      </c>
      <c r="CQ3764" s="5">
        <v>0</v>
      </c>
      <c r="CR3764" s="5" t="s">
        <v>735</v>
      </c>
      <c r="CS3764" s="5" t="s">
        <v>307</v>
      </c>
      <c r="CT3764" s="5" t="s">
        <v>307</v>
      </c>
      <c r="CU3764" s="5" t="s">
        <v>260</v>
      </c>
      <c r="CV3764" s="5" t="s">
        <v>240</v>
      </c>
      <c r="CW3764" s="8">
        <f>0</f>
        <v>0</v>
      </c>
      <c r="CX3764" s="7">
        <f>0</f>
        <v>0</v>
      </c>
      <c r="CY3764" s="7">
        <f>0</f>
        <v>0</v>
      </c>
      <c r="DA3764" s="7">
        <f>660</f>
        <v>660</v>
      </c>
      <c r="DB3764" s="7" t="s">
        <v>240</v>
      </c>
      <c r="DC3764" s="5" t="s">
        <v>240</v>
      </c>
      <c r="DD3764" s="5" t="s">
        <v>240</v>
      </c>
      <c r="DE3764" s="5" t="s">
        <v>240</v>
      </c>
      <c r="DF3764" s="5" t="s">
        <v>450</v>
      </c>
      <c r="DG3764" s="7">
        <f>0</f>
        <v>0</v>
      </c>
      <c r="DI3764" s="5" t="s">
        <v>737</v>
      </c>
      <c r="DJ3764" s="5" t="s">
        <v>240</v>
      </c>
      <c r="DK3764" s="5" t="s">
        <v>240</v>
      </c>
      <c r="DL3764" s="5" t="s">
        <v>240</v>
      </c>
      <c r="DM3764" s="5" t="s">
        <v>240</v>
      </c>
      <c r="DN3764" s="5" t="s">
        <v>240</v>
      </c>
      <c r="DO3764" s="7" t="s">
        <v>240</v>
      </c>
      <c r="DP3764" s="5" t="s">
        <v>240</v>
      </c>
      <c r="DQ3764" s="5" t="s">
        <v>240</v>
      </c>
      <c r="DR3764" s="5" t="s">
        <v>731</v>
      </c>
      <c r="DS3764" s="5" t="s">
        <v>731</v>
      </c>
      <c r="DT3764" s="5" t="s">
        <v>240</v>
      </c>
      <c r="DU3764" s="5" t="s">
        <v>240</v>
      </c>
      <c r="DV3764" s="5" t="s">
        <v>738</v>
      </c>
      <c r="DW3764" s="5" t="s">
        <v>670</v>
      </c>
      <c r="DX3764" s="5" t="s">
        <v>240</v>
      </c>
      <c r="DY3764" s="5" t="s">
        <v>240</v>
      </c>
      <c r="DZ3764" s="5" t="s">
        <v>240</v>
      </c>
      <c r="EA3764" s="5" t="s">
        <v>240</v>
      </c>
      <c r="EB3764" s="5" t="s">
        <v>240</v>
      </c>
      <c r="EC3764" s="5" t="s">
        <v>240</v>
      </c>
      <c r="ED3764" s="5" t="s">
        <v>240</v>
      </c>
      <c r="EE3764" s="5" t="s">
        <v>240</v>
      </c>
      <c r="EF3764" s="5" t="s">
        <v>240</v>
      </c>
      <c r="EG3764" s="5" t="s">
        <v>240</v>
      </c>
      <c r="EH3764" s="5" t="s">
        <v>240</v>
      </c>
      <c r="EI3764" s="5" t="s">
        <v>240</v>
      </c>
      <c r="EJ3764" s="5" t="s">
        <v>240</v>
      </c>
      <c r="EK3764" s="5" t="s">
        <v>240</v>
      </c>
      <c r="EL3764" s="5" t="s">
        <v>240</v>
      </c>
      <c r="EM3764" s="5" t="s">
        <v>240</v>
      </c>
      <c r="EN3764" s="5" t="s">
        <v>240</v>
      </c>
      <c r="EO3764" s="5" t="s">
        <v>240</v>
      </c>
      <c r="EP3764" s="5" t="s">
        <v>240</v>
      </c>
      <c r="EQ3764" s="5" t="s">
        <v>240</v>
      </c>
      <c r="ER3764" s="5" t="s">
        <v>240</v>
      </c>
      <c r="ES3764" s="5" t="s">
        <v>240</v>
      </c>
      <c r="ET3764" s="5" t="s">
        <v>240</v>
      </c>
      <c r="EU3764" s="5" t="s">
        <v>240</v>
      </c>
      <c r="EV3764" s="5" t="s">
        <v>240</v>
      </c>
      <c r="EW3764" s="5" t="s">
        <v>240</v>
      </c>
      <c r="EX3764" s="5" t="s">
        <v>240</v>
      </c>
      <c r="EY3764" s="5" t="s">
        <v>240</v>
      </c>
      <c r="EZ3764" s="5" t="s">
        <v>240</v>
      </c>
      <c r="FA3764" s="5" t="s">
        <v>240</v>
      </c>
      <c r="FB3764" s="5" t="s">
        <v>240</v>
      </c>
      <c r="FC3764" s="5" t="s">
        <v>240</v>
      </c>
      <c r="FD3764" s="5" t="s">
        <v>240</v>
      </c>
      <c r="FE3764" s="5" t="s">
        <v>240</v>
      </c>
      <c r="FF3764" s="5" t="s">
        <v>240</v>
      </c>
      <c r="FG3764" s="5" t="s">
        <v>240</v>
      </c>
      <c r="FH3764" s="5" t="s">
        <v>240</v>
      </c>
      <c r="FI3764" s="5" t="s">
        <v>240</v>
      </c>
      <c r="FJ3764" s="5" t="s">
        <v>240</v>
      </c>
      <c r="FK3764" s="5" t="s">
        <v>240</v>
      </c>
      <c r="FL3764" s="5" t="s">
        <v>240</v>
      </c>
      <c r="FM3764" s="5" t="s">
        <v>240</v>
      </c>
      <c r="FN3764" s="5" t="s">
        <v>240</v>
      </c>
      <c r="FO3764" s="5" t="s">
        <v>240</v>
      </c>
      <c r="FP3764" s="5" t="s">
        <v>240</v>
      </c>
      <c r="FQ3764" s="5" t="s">
        <v>240</v>
      </c>
      <c r="FR3764" s="5" t="s">
        <v>240</v>
      </c>
      <c r="FS3764" s="5" t="s">
        <v>240</v>
      </c>
      <c r="FT3764" s="5" t="s">
        <v>240</v>
      </c>
      <c r="FU3764" s="5" t="s">
        <v>240</v>
      </c>
      <c r="FV3764" s="5" t="s">
        <v>240</v>
      </c>
      <c r="FW3764" s="5" t="s">
        <v>240</v>
      </c>
      <c r="FX3764" s="5" t="s">
        <v>240</v>
      </c>
      <c r="FY3764" s="5" t="s">
        <v>240</v>
      </c>
      <c r="FZ3764" s="5" t="s">
        <v>240</v>
      </c>
      <c r="GA3764" s="5" t="s">
        <v>240</v>
      </c>
      <c r="GB3764" s="5" t="s">
        <v>240</v>
      </c>
      <c r="GC3764" s="5" t="s">
        <v>240</v>
      </c>
      <c r="GD3764" s="5" t="s">
        <v>240</v>
      </c>
      <c r="GE3764" s="5" t="s">
        <v>240</v>
      </c>
      <c r="GF3764" s="5" t="s">
        <v>240</v>
      </c>
      <c r="GG3764" s="5" t="s">
        <v>240</v>
      </c>
      <c r="GH3764" s="5" t="s">
        <v>240</v>
      </c>
      <c r="GI3764" s="5" t="s">
        <v>240</v>
      </c>
      <c r="GJ3764" s="5" t="s">
        <v>240</v>
      </c>
      <c r="GK3764" s="5" t="s">
        <v>240</v>
      </c>
      <c r="GL3764" s="5" t="s">
        <v>240</v>
      </c>
      <c r="GM3764" s="5" t="s">
        <v>240</v>
      </c>
      <c r="GN3764" s="5" t="s">
        <v>240</v>
      </c>
      <c r="GO3764" s="5" t="s">
        <v>240</v>
      </c>
      <c r="GP3764" s="5" t="s">
        <v>240</v>
      </c>
      <c r="GQ3764" s="5" t="s">
        <v>240</v>
      </c>
      <c r="GR3764" s="5" t="s">
        <v>240</v>
      </c>
      <c r="GS3764" s="5" t="s">
        <v>240</v>
      </c>
      <c r="GT3764" s="5" t="s">
        <v>240</v>
      </c>
      <c r="GU3764" s="5" t="s">
        <v>240</v>
      </c>
      <c r="GV3764" s="5" t="s">
        <v>240</v>
      </c>
      <c r="GW3764" s="5" t="s">
        <v>240</v>
      </c>
      <c r="GX3764" s="5" t="s">
        <v>240</v>
      </c>
      <c r="GY3764" s="5" t="s">
        <v>240</v>
      </c>
      <c r="GZ3764" s="5" t="s">
        <v>240</v>
      </c>
      <c r="HA3764" s="5" t="s">
        <v>240</v>
      </c>
      <c r="HB3764" s="5" t="s">
        <v>240</v>
      </c>
      <c r="HC3764" s="5" t="s">
        <v>240</v>
      </c>
      <c r="HD3764" s="5" t="s">
        <v>240</v>
      </c>
      <c r="HE3764" s="5" t="s">
        <v>240</v>
      </c>
      <c r="HF3764" s="5" t="s">
        <v>240</v>
      </c>
      <c r="HG3764" s="5" t="s">
        <v>240</v>
      </c>
      <c r="HH3764" s="5" t="s">
        <v>240</v>
      </c>
      <c r="HI3764" s="5" t="s">
        <v>240</v>
      </c>
      <c r="HJ3764" s="5" t="s">
        <v>240</v>
      </c>
      <c r="HK3764" s="5" t="s">
        <v>240</v>
      </c>
      <c r="HL3764" s="5" t="s">
        <v>240</v>
      </c>
      <c r="HM3764" s="5" t="s">
        <v>240</v>
      </c>
      <c r="HN3764" s="5" t="s">
        <v>240</v>
      </c>
      <c r="HO3764" s="5" t="s">
        <v>620</v>
      </c>
      <c r="HP3764" s="5" t="s">
        <v>240</v>
      </c>
      <c r="HQ3764" s="5" t="s">
        <v>240</v>
      </c>
      <c r="HR3764" s="5" t="s">
        <v>240</v>
      </c>
      <c r="HS3764" s="5" t="s">
        <v>240</v>
      </c>
      <c r="HT3764" s="5" t="s">
        <v>240</v>
      </c>
      <c r="HU3764" s="5" t="s">
        <v>240</v>
      </c>
      <c r="HV3764" s="5" t="s">
        <v>240</v>
      </c>
      <c r="HW3764" s="5" t="s">
        <v>240</v>
      </c>
      <c r="HX3764" s="5" t="s">
        <v>240</v>
      </c>
      <c r="HY3764" s="5" t="s">
        <v>240</v>
      </c>
      <c r="HZ3764" s="5" t="s">
        <v>240</v>
      </c>
      <c r="IA3764" s="5" t="s">
        <v>240</v>
      </c>
      <c r="IB3764" s="5" t="s">
        <v>240</v>
      </c>
      <c r="IC3764" s="5" t="s">
        <v>240</v>
      </c>
      <c r="ID3764" s="5" t="s">
        <v>240</v>
      </c>
      <c r="IE3764" s="5" t="s">
        <v>240</v>
      </c>
      <c r="IF3764" s="5" t="s">
        <v>240</v>
      </c>
    </row>
    <row r="3765" spans="1:240" x14ac:dyDescent="0.4">
      <c r="A3765" s="5">
        <v>9307</v>
      </c>
      <c r="B3765" s="5">
        <v>1</v>
      </c>
      <c r="C3765" s="5">
        <v>1</v>
      </c>
      <c r="D3765" s="5" t="s">
        <v>723</v>
      </c>
      <c r="E3765" s="5" t="s">
        <v>725</v>
      </c>
      <c r="F3765" s="5" t="s">
        <v>254</v>
      </c>
      <c r="G3765" s="5" t="s">
        <v>5440</v>
      </c>
      <c r="H3765" s="6" t="s">
        <v>5441</v>
      </c>
      <c r="I3765" s="5" t="s">
        <v>5439</v>
      </c>
      <c r="J3765" s="7">
        <f>1</f>
        <v>1</v>
      </c>
      <c r="K3765" s="5" t="s">
        <v>3682</v>
      </c>
      <c r="L3765" s="7">
        <f>1</f>
        <v>1</v>
      </c>
      <c r="M3765" s="7">
        <f>1</f>
        <v>1</v>
      </c>
      <c r="N3765" s="5" t="s">
        <v>242</v>
      </c>
      <c r="O3765" s="5">
        <v>1</v>
      </c>
      <c r="P3765" s="5" t="s">
        <v>294</v>
      </c>
      <c r="Q3765" s="5" t="s">
        <v>613</v>
      </c>
      <c r="R3765" s="5" t="s">
        <v>240</v>
      </c>
      <c r="S3765" s="5" t="s">
        <v>240</v>
      </c>
      <c r="T3765" s="5" t="s">
        <v>243</v>
      </c>
      <c r="U3765" s="5" t="s">
        <v>724</v>
      </c>
      <c r="V3765" s="5" t="s">
        <v>240</v>
      </c>
      <c r="W3765" s="5" t="s">
        <v>240</v>
      </c>
      <c r="X3765" s="5" t="s">
        <v>240</v>
      </c>
      <c r="Y3765" s="5" t="s">
        <v>240</v>
      </c>
      <c r="Z3765" s="6" t="s">
        <v>298</v>
      </c>
      <c r="AA3765" s="6" t="s">
        <v>240</v>
      </c>
      <c r="AB3765" s="6" t="s">
        <v>240</v>
      </c>
      <c r="AC3765" s="5" t="s">
        <v>240</v>
      </c>
      <c r="AD3765" s="6" t="s">
        <v>240</v>
      </c>
      <c r="AE3765" s="6" t="s">
        <v>299</v>
      </c>
      <c r="AF3765" s="5" t="s">
        <v>727</v>
      </c>
      <c r="AG3765" s="5" t="s">
        <v>260</v>
      </c>
      <c r="AH3765" s="5" t="s">
        <v>240</v>
      </c>
      <c r="AI3765" s="5" t="s">
        <v>240</v>
      </c>
      <c r="AJ3765" s="5" t="s">
        <v>240</v>
      </c>
      <c r="AK3765" s="5" t="s">
        <v>240</v>
      </c>
      <c r="AL3765" s="5" t="s">
        <v>240</v>
      </c>
      <c r="AM3765" s="5" t="s">
        <v>240</v>
      </c>
      <c r="AN3765" s="5" t="s">
        <v>240</v>
      </c>
      <c r="AO3765" s="5" t="s">
        <v>240</v>
      </c>
      <c r="AP3765" s="6" t="s">
        <v>240</v>
      </c>
      <c r="AQ3765" s="6" t="s">
        <v>240</v>
      </c>
      <c r="AR3765" s="6" t="s">
        <v>240</v>
      </c>
      <c r="AS3765" s="6" t="s">
        <v>240</v>
      </c>
      <c r="AT3765" s="5" t="s">
        <v>240</v>
      </c>
      <c r="AU3765" s="5" t="s">
        <v>729</v>
      </c>
      <c r="AV3765" s="5" t="s">
        <v>729</v>
      </c>
      <c r="AW3765" s="5" t="s">
        <v>251</v>
      </c>
      <c r="AX3765" s="5" t="s">
        <v>252</v>
      </c>
      <c r="AY3765" s="5" t="s">
        <v>253</v>
      </c>
      <c r="AZ3765" s="5" t="s">
        <v>240</v>
      </c>
      <c r="BA3765" s="5" t="s">
        <v>255</v>
      </c>
      <c r="BB3765" s="5" t="s">
        <v>731</v>
      </c>
      <c r="BD3765" s="5" t="s">
        <v>240</v>
      </c>
      <c r="BF3765" s="5" t="s">
        <v>732</v>
      </c>
      <c r="BG3765" s="6" t="s">
        <v>733</v>
      </c>
      <c r="BH3765" s="5" t="s">
        <v>734</v>
      </c>
      <c r="BI3765" s="5" t="s">
        <v>734</v>
      </c>
      <c r="BJ3765" s="5" t="s">
        <v>240</v>
      </c>
      <c r="BK3765" s="8">
        <f>548</f>
        <v>548</v>
      </c>
      <c r="BL3765" s="7">
        <f>0</f>
        <v>0</v>
      </c>
      <c r="BM3765" s="5" t="s">
        <v>258</v>
      </c>
      <c r="BN3765" s="5" t="s">
        <v>259</v>
      </c>
      <c r="BO3765" s="5" t="s">
        <v>240</v>
      </c>
      <c r="BP3765" s="5" t="s">
        <v>240</v>
      </c>
      <c r="BQ3765" s="5" t="s">
        <v>240</v>
      </c>
      <c r="BR3765" s="5" t="s">
        <v>240</v>
      </c>
      <c r="BS3765" s="5" t="s">
        <v>240</v>
      </c>
      <c r="BT3765" s="5" t="s">
        <v>240</v>
      </c>
      <c r="BU3765" s="5" t="s">
        <v>240</v>
      </c>
      <c r="BV3765" s="5" t="s">
        <v>240</v>
      </c>
      <c r="BW3765" s="6" t="s">
        <v>240</v>
      </c>
      <c r="BX3765" s="5" t="s">
        <v>240</v>
      </c>
      <c r="BY3765" s="5" t="s">
        <v>240</v>
      </c>
      <c r="BZ3765" s="5" t="s">
        <v>240</v>
      </c>
      <c r="CA3765" s="5" t="s">
        <v>259</v>
      </c>
      <c r="CB3765" s="5" t="s">
        <v>240</v>
      </c>
      <c r="CC3765" s="5" t="s">
        <v>240</v>
      </c>
      <c r="CD3765" s="5" t="s">
        <v>240</v>
      </c>
      <c r="CE3765" s="5" t="s">
        <v>240</v>
      </c>
      <c r="CF3765" s="5" t="s">
        <v>240</v>
      </c>
      <c r="CG3765" s="5" t="s">
        <v>617</v>
      </c>
      <c r="CH3765" s="5" t="s">
        <v>305</v>
      </c>
      <c r="CI3765" s="5" t="s">
        <v>240</v>
      </c>
      <c r="CL3765" s="6" t="s">
        <v>261</v>
      </c>
      <c r="CM3765" s="5" t="s">
        <v>262</v>
      </c>
      <c r="CN3765" s="5" t="s">
        <v>263</v>
      </c>
      <c r="CO3765" s="5" t="s">
        <v>264</v>
      </c>
      <c r="CP3765" s="5" t="s">
        <v>240</v>
      </c>
      <c r="CQ3765" s="5">
        <v>0</v>
      </c>
      <c r="CR3765" s="5" t="s">
        <v>735</v>
      </c>
      <c r="CS3765" s="5" t="s">
        <v>307</v>
      </c>
      <c r="CT3765" s="5" t="s">
        <v>307</v>
      </c>
      <c r="CU3765" s="5" t="s">
        <v>260</v>
      </c>
      <c r="CV3765" s="5" t="s">
        <v>240</v>
      </c>
      <c r="CW3765" s="8">
        <f>0</f>
        <v>0</v>
      </c>
      <c r="CX3765" s="7">
        <f>0</f>
        <v>0</v>
      </c>
      <c r="CY3765" s="7">
        <f>0</f>
        <v>0</v>
      </c>
      <c r="DA3765" s="7">
        <f>6028</f>
        <v>6028</v>
      </c>
      <c r="DB3765" s="7" t="s">
        <v>240</v>
      </c>
      <c r="DC3765" s="5" t="s">
        <v>240</v>
      </c>
      <c r="DD3765" s="5" t="s">
        <v>240</v>
      </c>
      <c r="DE3765" s="5" t="s">
        <v>240</v>
      </c>
      <c r="DF3765" s="5" t="s">
        <v>450</v>
      </c>
      <c r="DG3765" s="7">
        <f>0</f>
        <v>0</v>
      </c>
      <c r="DI3765" s="5" t="s">
        <v>737</v>
      </c>
      <c r="DJ3765" s="5" t="s">
        <v>240</v>
      </c>
      <c r="DK3765" s="5" t="s">
        <v>240</v>
      </c>
      <c r="DL3765" s="5" t="s">
        <v>240</v>
      </c>
      <c r="DM3765" s="5" t="s">
        <v>240</v>
      </c>
      <c r="DN3765" s="5" t="s">
        <v>240</v>
      </c>
      <c r="DO3765" s="7" t="s">
        <v>240</v>
      </c>
      <c r="DP3765" s="5" t="s">
        <v>240</v>
      </c>
      <c r="DQ3765" s="5" t="s">
        <v>240</v>
      </c>
      <c r="DR3765" s="5" t="s">
        <v>731</v>
      </c>
      <c r="DS3765" s="5" t="s">
        <v>731</v>
      </c>
      <c r="DT3765" s="5" t="s">
        <v>240</v>
      </c>
      <c r="DU3765" s="5" t="s">
        <v>240</v>
      </c>
      <c r="DV3765" s="5" t="s">
        <v>738</v>
      </c>
      <c r="DW3765" s="5" t="s">
        <v>715</v>
      </c>
      <c r="DX3765" s="5" t="s">
        <v>240</v>
      </c>
      <c r="DY3765" s="5" t="s">
        <v>240</v>
      </c>
      <c r="DZ3765" s="5" t="s">
        <v>240</v>
      </c>
      <c r="EA3765" s="5" t="s">
        <v>240</v>
      </c>
      <c r="EB3765" s="5" t="s">
        <v>240</v>
      </c>
      <c r="EC3765" s="5" t="s">
        <v>240</v>
      </c>
      <c r="ED3765" s="5" t="s">
        <v>240</v>
      </c>
      <c r="EE3765" s="5" t="s">
        <v>240</v>
      </c>
      <c r="EF3765" s="5" t="s">
        <v>240</v>
      </c>
      <c r="EG3765" s="5" t="s">
        <v>240</v>
      </c>
      <c r="EH3765" s="5" t="s">
        <v>240</v>
      </c>
      <c r="EI3765" s="5" t="s">
        <v>240</v>
      </c>
      <c r="EJ3765" s="5" t="s">
        <v>240</v>
      </c>
      <c r="EK3765" s="5" t="s">
        <v>240</v>
      </c>
      <c r="EL3765" s="5" t="s">
        <v>240</v>
      </c>
      <c r="EM3765" s="5" t="s">
        <v>240</v>
      </c>
      <c r="EN3765" s="5" t="s">
        <v>240</v>
      </c>
      <c r="EO3765" s="5" t="s">
        <v>240</v>
      </c>
      <c r="EP3765" s="5" t="s">
        <v>240</v>
      </c>
      <c r="EQ3765" s="5" t="s">
        <v>240</v>
      </c>
      <c r="ER3765" s="5" t="s">
        <v>240</v>
      </c>
      <c r="ES3765" s="5" t="s">
        <v>240</v>
      </c>
      <c r="ET3765" s="5" t="s">
        <v>240</v>
      </c>
      <c r="EU3765" s="5" t="s">
        <v>240</v>
      </c>
      <c r="EV3765" s="5" t="s">
        <v>240</v>
      </c>
      <c r="EW3765" s="5" t="s">
        <v>240</v>
      </c>
      <c r="EX3765" s="5" t="s">
        <v>240</v>
      </c>
      <c r="EY3765" s="5" t="s">
        <v>240</v>
      </c>
      <c r="EZ3765" s="5" t="s">
        <v>240</v>
      </c>
      <c r="FA3765" s="5" t="s">
        <v>240</v>
      </c>
      <c r="FB3765" s="5" t="s">
        <v>240</v>
      </c>
      <c r="FC3765" s="5" t="s">
        <v>240</v>
      </c>
      <c r="FD3765" s="5" t="s">
        <v>240</v>
      </c>
      <c r="FE3765" s="5" t="s">
        <v>240</v>
      </c>
      <c r="FF3765" s="5" t="s">
        <v>240</v>
      </c>
      <c r="FG3765" s="5" t="s">
        <v>240</v>
      </c>
      <c r="FH3765" s="5" t="s">
        <v>240</v>
      </c>
      <c r="FI3765" s="5" t="s">
        <v>240</v>
      </c>
      <c r="FJ3765" s="5" t="s">
        <v>240</v>
      </c>
      <c r="FK3765" s="5" t="s">
        <v>240</v>
      </c>
      <c r="FL3765" s="5" t="s">
        <v>240</v>
      </c>
      <c r="FM3765" s="5" t="s">
        <v>240</v>
      </c>
      <c r="FN3765" s="5" t="s">
        <v>240</v>
      </c>
      <c r="FO3765" s="5" t="s">
        <v>240</v>
      </c>
      <c r="FP3765" s="5" t="s">
        <v>240</v>
      </c>
      <c r="FQ3765" s="5" t="s">
        <v>240</v>
      </c>
      <c r="FR3765" s="5" t="s">
        <v>240</v>
      </c>
      <c r="FS3765" s="5" t="s">
        <v>240</v>
      </c>
      <c r="FT3765" s="5" t="s">
        <v>240</v>
      </c>
      <c r="FU3765" s="5" t="s">
        <v>240</v>
      </c>
      <c r="FV3765" s="5" t="s">
        <v>240</v>
      </c>
      <c r="FW3765" s="5" t="s">
        <v>240</v>
      </c>
      <c r="FX3765" s="5" t="s">
        <v>240</v>
      </c>
      <c r="FY3765" s="5" t="s">
        <v>240</v>
      </c>
      <c r="FZ3765" s="5" t="s">
        <v>240</v>
      </c>
      <c r="GA3765" s="5" t="s">
        <v>240</v>
      </c>
      <c r="GB3765" s="5" t="s">
        <v>240</v>
      </c>
      <c r="GC3765" s="5" t="s">
        <v>240</v>
      </c>
      <c r="GD3765" s="5" t="s">
        <v>240</v>
      </c>
      <c r="GE3765" s="5" t="s">
        <v>240</v>
      </c>
      <c r="GF3765" s="5" t="s">
        <v>240</v>
      </c>
      <c r="GG3765" s="5" t="s">
        <v>240</v>
      </c>
      <c r="GH3765" s="5" t="s">
        <v>240</v>
      </c>
      <c r="GI3765" s="5" t="s">
        <v>240</v>
      </c>
      <c r="GJ3765" s="5" t="s">
        <v>240</v>
      </c>
      <c r="GK3765" s="5" t="s">
        <v>240</v>
      </c>
      <c r="GL3765" s="5" t="s">
        <v>240</v>
      </c>
      <c r="GM3765" s="5" t="s">
        <v>240</v>
      </c>
      <c r="GN3765" s="5" t="s">
        <v>240</v>
      </c>
      <c r="GO3765" s="5" t="s">
        <v>240</v>
      </c>
      <c r="GP3765" s="5" t="s">
        <v>240</v>
      </c>
      <c r="GQ3765" s="5" t="s">
        <v>240</v>
      </c>
      <c r="GR3765" s="5" t="s">
        <v>240</v>
      </c>
      <c r="GS3765" s="5" t="s">
        <v>240</v>
      </c>
      <c r="GT3765" s="5" t="s">
        <v>240</v>
      </c>
      <c r="GU3765" s="5" t="s">
        <v>240</v>
      </c>
      <c r="GV3765" s="5" t="s">
        <v>240</v>
      </c>
      <c r="GW3765" s="5" t="s">
        <v>240</v>
      </c>
      <c r="GX3765" s="5" t="s">
        <v>240</v>
      </c>
      <c r="GY3765" s="5" t="s">
        <v>240</v>
      </c>
      <c r="GZ3765" s="5" t="s">
        <v>240</v>
      </c>
      <c r="HA3765" s="5" t="s">
        <v>240</v>
      </c>
      <c r="HB3765" s="5" t="s">
        <v>240</v>
      </c>
      <c r="HC3765" s="5" t="s">
        <v>240</v>
      </c>
      <c r="HD3765" s="5" t="s">
        <v>240</v>
      </c>
      <c r="HE3765" s="5" t="s">
        <v>240</v>
      </c>
      <c r="HF3765" s="5" t="s">
        <v>240</v>
      </c>
      <c r="HG3765" s="5" t="s">
        <v>240</v>
      </c>
      <c r="HH3765" s="5" t="s">
        <v>240</v>
      </c>
      <c r="HI3765" s="5" t="s">
        <v>240</v>
      </c>
      <c r="HJ3765" s="5" t="s">
        <v>240</v>
      </c>
      <c r="HK3765" s="5" t="s">
        <v>240</v>
      </c>
      <c r="HL3765" s="5" t="s">
        <v>240</v>
      </c>
      <c r="HM3765" s="5" t="s">
        <v>240</v>
      </c>
      <c r="HN3765" s="5" t="s">
        <v>240</v>
      </c>
      <c r="HO3765" s="5" t="s">
        <v>312</v>
      </c>
      <c r="HP3765" s="5" t="s">
        <v>240</v>
      </c>
      <c r="HQ3765" s="5" t="s">
        <v>240</v>
      </c>
      <c r="HR3765" s="5" t="s">
        <v>240</v>
      </c>
      <c r="HS3765" s="5" t="s">
        <v>240</v>
      </c>
      <c r="HT3765" s="5" t="s">
        <v>240</v>
      </c>
      <c r="HU3765" s="5" t="s">
        <v>240</v>
      </c>
      <c r="HV3765" s="5" t="s">
        <v>240</v>
      </c>
      <c r="HW3765" s="5" t="s">
        <v>240</v>
      </c>
      <c r="HX3765" s="5" t="s">
        <v>240</v>
      </c>
      <c r="HY3765" s="5" t="s">
        <v>240</v>
      </c>
      <c r="HZ3765" s="5" t="s">
        <v>240</v>
      </c>
      <c r="IA3765" s="5" t="s">
        <v>240</v>
      </c>
      <c r="IB3765" s="5" t="s">
        <v>240</v>
      </c>
      <c r="IC3765" s="5" t="s">
        <v>240</v>
      </c>
      <c r="ID3765" s="5" t="s">
        <v>240</v>
      </c>
      <c r="IE3765" s="5" t="s">
        <v>240</v>
      </c>
      <c r="IF3765" s="5" t="s">
        <v>240</v>
      </c>
    </row>
    <row r="3766" spans="1:240" x14ac:dyDescent="0.4">
      <c r="A3766" s="5">
        <v>9308</v>
      </c>
      <c r="B3766" s="5">
        <v>1</v>
      </c>
      <c r="C3766" s="5">
        <v>1</v>
      </c>
      <c r="D3766" s="5" t="s">
        <v>723</v>
      </c>
      <c r="E3766" s="5" t="s">
        <v>725</v>
      </c>
      <c r="F3766" s="5" t="s">
        <v>254</v>
      </c>
      <c r="G3766" s="5" t="s">
        <v>726</v>
      </c>
      <c r="H3766" s="6" t="s">
        <v>5438</v>
      </c>
      <c r="I3766" s="5" t="s">
        <v>5437</v>
      </c>
      <c r="J3766" s="7">
        <f>1</f>
        <v>1</v>
      </c>
      <c r="K3766" s="5" t="s">
        <v>3682</v>
      </c>
      <c r="L3766" s="7">
        <f>1</f>
        <v>1</v>
      </c>
      <c r="M3766" s="7">
        <f>1</f>
        <v>1</v>
      </c>
      <c r="N3766" s="5" t="s">
        <v>242</v>
      </c>
      <c r="O3766" s="5">
        <v>1</v>
      </c>
      <c r="P3766" s="5" t="s">
        <v>294</v>
      </c>
      <c r="Q3766" s="5" t="s">
        <v>613</v>
      </c>
      <c r="R3766" s="5" t="s">
        <v>240</v>
      </c>
      <c r="S3766" s="5" t="s">
        <v>240</v>
      </c>
      <c r="T3766" s="5" t="s">
        <v>243</v>
      </c>
      <c r="U3766" s="5" t="s">
        <v>724</v>
      </c>
      <c r="V3766" s="5" t="s">
        <v>240</v>
      </c>
      <c r="W3766" s="5" t="s">
        <v>240</v>
      </c>
      <c r="X3766" s="5" t="s">
        <v>240</v>
      </c>
      <c r="Y3766" s="5" t="s">
        <v>240</v>
      </c>
      <c r="Z3766" s="6" t="s">
        <v>298</v>
      </c>
      <c r="AA3766" s="6" t="s">
        <v>240</v>
      </c>
      <c r="AB3766" s="6" t="s">
        <v>240</v>
      </c>
      <c r="AC3766" s="5" t="s">
        <v>240</v>
      </c>
      <c r="AD3766" s="6" t="s">
        <v>240</v>
      </c>
      <c r="AE3766" s="6" t="s">
        <v>299</v>
      </c>
      <c r="AF3766" s="5" t="s">
        <v>727</v>
      </c>
      <c r="AG3766" s="5" t="s">
        <v>260</v>
      </c>
      <c r="AH3766" s="5" t="s">
        <v>240</v>
      </c>
      <c r="AI3766" s="5" t="s">
        <v>240</v>
      </c>
      <c r="AJ3766" s="5" t="s">
        <v>240</v>
      </c>
      <c r="AK3766" s="5" t="s">
        <v>240</v>
      </c>
      <c r="AL3766" s="5" t="s">
        <v>240</v>
      </c>
      <c r="AM3766" s="5" t="s">
        <v>240</v>
      </c>
      <c r="AN3766" s="5" t="s">
        <v>240</v>
      </c>
      <c r="AO3766" s="5" t="s">
        <v>240</v>
      </c>
      <c r="AP3766" s="6" t="s">
        <v>240</v>
      </c>
      <c r="AQ3766" s="6" t="s">
        <v>240</v>
      </c>
      <c r="AR3766" s="6" t="s">
        <v>240</v>
      </c>
      <c r="AS3766" s="6" t="s">
        <v>240</v>
      </c>
      <c r="AT3766" s="5" t="s">
        <v>240</v>
      </c>
      <c r="AU3766" s="5" t="s">
        <v>729</v>
      </c>
      <c r="AV3766" s="5" t="s">
        <v>729</v>
      </c>
      <c r="AW3766" s="5" t="s">
        <v>251</v>
      </c>
      <c r="AX3766" s="5" t="s">
        <v>252</v>
      </c>
      <c r="AY3766" s="5" t="s">
        <v>253</v>
      </c>
      <c r="AZ3766" s="5" t="s">
        <v>240</v>
      </c>
      <c r="BA3766" s="5" t="s">
        <v>255</v>
      </c>
      <c r="BB3766" s="5" t="s">
        <v>731</v>
      </c>
      <c r="BD3766" s="5" t="s">
        <v>240</v>
      </c>
      <c r="BF3766" s="5" t="s">
        <v>732</v>
      </c>
      <c r="BG3766" s="6" t="s">
        <v>733</v>
      </c>
      <c r="BH3766" s="5" t="s">
        <v>734</v>
      </c>
      <c r="BI3766" s="5" t="s">
        <v>734</v>
      </c>
      <c r="BJ3766" s="5" t="s">
        <v>240</v>
      </c>
      <c r="BK3766" s="8">
        <f>632</f>
        <v>632</v>
      </c>
      <c r="BL3766" s="7">
        <f>0</f>
        <v>0</v>
      </c>
      <c r="BM3766" s="5" t="s">
        <v>258</v>
      </c>
      <c r="BN3766" s="5" t="s">
        <v>259</v>
      </c>
      <c r="BO3766" s="5" t="s">
        <v>240</v>
      </c>
      <c r="BP3766" s="5" t="s">
        <v>240</v>
      </c>
      <c r="BQ3766" s="5" t="s">
        <v>240</v>
      </c>
      <c r="BR3766" s="5" t="s">
        <v>240</v>
      </c>
      <c r="BS3766" s="5" t="s">
        <v>240</v>
      </c>
      <c r="BT3766" s="5" t="s">
        <v>240</v>
      </c>
      <c r="BU3766" s="5" t="s">
        <v>240</v>
      </c>
      <c r="BV3766" s="5" t="s">
        <v>240</v>
      </c>
      <c r="BW3766" s="6" t="s">
        <v>240</v>
      </c>
      <c r="BX3766" s="5" t="s">
        <v>240</v>
      </c>
      <c r="BY3766" s="5" t="s">
        <v>240</v>
      </c>
      <c r="BZ3766" s="5" t="s">
        <v>240</v>
      </c>
      <c r="CA3766" s="5" t="s">
        <v>259</v>
      </c>
      <c r="CB3766" s="5" t="s">
        <v>240</v>
      </c>
      <c r="CC3766" s="5" t="s">
        <v>240</v>
      </c>
      <c r="CD3766" s="5" t="s">
        <v>240</v>
      </c>
      <c r="CE3766" s="5" t="s">
        <v>240</v>
      </c>
      <c r="CF3766" s="5" t="s">
        <v>240</v>
      </c>
      <c r="CG3766" s="5" t="s">
        <v>617</v>
      </c>
      <c r="CH3766" s="5" t="s">
        <v>305</v>
      </c>
      <c r="CI3766" s="5" t="s">
        <v>240</v>
      </c>
      <c r="CL3766" s="6" t="s">
        <v>261</v>
      </c>
      <c r="CM3766" s="5" t="s">
        <v>262</v>
      </c>
      <c r="CN3766" s="5" t="s">
        <v>263</v>
      </c>
      <c r="CO3766" s="5" t="s">
        <v>264</v>
      </c>
      <c r="CP3766" s="5" t="s">
        <v>240</v>
      </c>
      <c r="CQ3766" s="5">
        <v>0</v>
      </c>
      <c r="CR3766" s="5" t="s">
        <v>735</v>
      </c>
      <c r="CS3766" s="5" t="s">
        <v>307</v>
      </c>
      <c r="CT3766" s="5" t="s">
        <v>307</v>
      </c>
      <c r="CU3766" s="5" t="s">
        <v>260</v>
      </c>
      <c r="CV3766" s="5" t="s">
        <v>240</v>
      </c>
      <c r="CW3766" s="8">
        <f>0</f>
        <v>0</v>
      </c>
      <c r="CX3766" s="7">
        <f>0</f>
        <v>0</v>
      </c>
      <c r="CY3766" s="7">
        <f>0</f>
        <v>0</v>
      </c>
      <c r="DA3766" s="7">
        <f>6952</f>
        <v>6952</v>
      </c>
      <c r="DB3766" s="7" t="s">
        <v>240</v>
      </c>
      <c r="DC3766" s="5" t="s">
        <v>240</v>
      </c>
      <c r="DD3766" s="5" t="s">
        <v>240</v>
      </c>
      <c r="DE3766" s="5" t="s">
        <v>240</v>
      </c>
      <c r="DF3766" s="5" t="s">
        <v>450</v>
      </c>
      <c r="DG3766" s="7">
        <f>0</f>
        <v>0</v>
      </c>
      <c r="DI3766" s="5" t="s">
        <v>737</v>
      </c>
      <c r="DJ3766" s="5" t="s">
        <v>240</v>
      </c>
      <c r="DK3766" s="5" t="s">
        <v>240</v>
      </c>
      <c r="DL3766" s="5" t="s">
        <v>240</v>
      </c>
      <c r="DM3766" s="5" t="s">
        <v>240</v>
      </c>
      <c r="DN3766" s="5" t="s">
        <v>240</v>
      </c>
      <c r="DO3766" s="7" t="s">
        <v>240</v>
      </c>
      <c r="DP3766" s="5" t="s">
        <v>240</v>
      </c>
      <c r="DQ3766" s="5" t="s">
        <v>240</v>
      </c>
      <c r="DR3766" s="5" t="s">
        <v>731</v>
      </c>
      <c r="DS3766" s="5" t="s">
        <v>731</v>
      </c>
      <c r="DT3766" s="5" t="s">
        <v>240</v>
      </c>
      <c r="DU3766" s="5" t="s">
        <v>240</v>
      </c>
      <c r="DV3766" s="5" t="s">
        <v>738</v>
      </c>
      <c r="DW3766" s="5" t="s">
        <v>713</v>
      </c>
      <c r="DX3766" s="5" t="s">
        <v>240</v>
      </c>
      <c r="DY3766" s="5" t="s">
        <v>240</v>
      </c>
      <c r="DZ3766" s="5" t="s">
        <v>240</v>
      </c>
      <c r="EA3766" s="5" t="s">
        <v>240</v>
      </c>
      <c r="EB3766" s="5" t="s">
        <v>240</v>
      </c>
      <c r="EC3766" s="5" t="s">
        <v>240</v>
      </c>
      <c r="ED3766" s="5" t="s">
        <v>240</v>
      </c>
      <c r="EE3766" s="5" t="s">
        <v>240</v>
      </c>
      <c r="EF3766" s="5" t="s">
        <v>240</v>
      </c>
      <c r="EG3766" s="5" t="s">
        <v>240</v>
      </c>
      <c r="EH3766" s="5" t="s">
        <v>240</v>
      </c>
      <c r="EI3766" s="5" t="s">
        <v>240</v>
      </c>
      <c r="EJ3766" s="5" t="s">
        <v>240</v>
      </c>
      <c r="EK3766" s="5" t="s">
        <v>240</v>
      </c>
      <c r="EL3766" s="5" t="s">
        <v>240</v>
      </c>
      <c r="EM3766" s="5" t="s">
        <v>240</v>
      </c>
      <c r="EN3766" s="5" t="s">
        <v>240</v>
      </c>
      <c r="EO3766" s="5" t="s">
        <v>240</v>
      </c>
      <c r="EP3766" s="5" t="s">
        <v>240</v>
      </c>
      <c r="EQ3766" s="5" t="s">
        <v>240</v>
      </c>
      <c r="ER3766" s="5" t="s">
        <v>240</v>
      </c>
      <c r="ES3766" s="5" t="s">
        <v>240</v>
      </c>
      <c r="ET3766" s="5" t="s">
        <v>240</v>
      </c>
      <c r="EU3766" s="5" t="s">
        <v>240</v>
      </c>
      <c r="EV3766" s="5" t="s">
        <v>240</v>
      </c>
      <c r="EW3766" s="5" t="s">
        <v>240</v>
      </c>
      <c r="EX3766" s="5" t="s">
        <v>240</v>
      </c>
      <c r="EY3766" s="5" t="s">
        <v>240</v>
      </c>
      <c r="EZ3766" s="5" t="s">
        <v>240</v>
      </c>
      <c r="FA3766" s="5" t="s">
        <v>240</v>
      </c>
      <c r="FB3766" s="5" t="s">
        <v>240</v>
      </c>
      <c r="FC3766" s="5" t="s">
        <v>240</v>
      </c>
      <c r="FD3766" s="5" t="s">
        <v>240</v>
      </c>
      <c r="FE3766" s="5" t="s">
        <v>240</v>
      </c>
      <c r="FF3766" s="5" t="s">
        <v>240</v>
      </c>
      <c r="FG3766" s="5" t="s">
        <v>240</v>
      </c>
      <c r="FH3766" s="5" t="s">
        <v>240</v>
      </c>
      <c r="FI3766" s="5" t="s">
        <v>240</v>
      </c>
      <c r="FJ3766" s="5" t="s">
        <v>240</v>
      </c>
      <c r="FK3766" s="5" t="s">
        <v>240</v>
      </c>
      <c r="FL3766" s="5" t="s">
        <v>240</v>
      </c>
      <c r="FM3766" s="5" t="s">
        <v>240</v>
      </c>
      <c r="FN3766" s="5" t="s">
        <v>240</v>
      </c>
      <c r="FO3766" s="5" t="s">
        <v>240</v>
      </c>
      <c r="FP3766" s="5" t="s">
        <v>240</v>
      </c>
      <c r="FQ3766" s="5" t="s">
        <v>240</v>
      </c>
      <c r="FR3766" s="5" t="s">
        <v>240</v>
      </c>
      <c r="FS3766" s="5" t="s">
        <v>240</v>
      </c>
      <c r="FT3766" s="5" t="s">
        <v>240</v>
      </c>
      <c r="FU3766" s="5" t="s">
        <v>240</v>
      </c>
      <c r="FV3766" s="5" t="s">
        <v>240</v>
      </c>
      <c r="FW3766" s="5" t="s">
        <v>240</v>
      </c>
      <c r="FX3766" s="5" t="s">
        <v>240</v>
      </c>
      <c r="FY3766" s="5" t="s">
        <v>240</v>
      </c>
      <c r="FZ3766" s="5" t="s">
        <v>240</v>
      </c>
      <c r="GA3766" s="5" t="s">
        <v>240</v>
      </c>
      <c r="GB3766" s="5" t="s">
        <v>240</v>
      </c>
      <c r="GC3766" s="5" t="s">
        <v>240</v>
      </c>
      <c r="GD3766" s="5" t="s">
        <v>240</v>
      </c>
      <c r="GE3766" s="5" t="s">
        <v>240</v>
      </c>
      <c r="GF3766" s="5" t="s">
        <v>240</v>
      </c>
      <c r="GG3766" s="5" t="s">
        <v>240</v>
      </c>
      <c r="GH3766" s="5" t="s">
        <v>240</v>
      </c>
      <c r="GI3766" s="5" t="s">
        <v>240</v>
      </c>
      <c r="GJ3766" s="5" t="s">
        <v>240</v>
      </c>
      <c r="GK3766" s="5" t="s">
        <v>240</v>
      </c>
      <c r="GL3766" s="5" t="s">
        <v>240</v>
      </c>
      <c r="GM3766" s="5" t="s">
        <v>240</v>
      </c>
      <c r="GN3766" s="5" t="s">
        <v>240</v>
      </c>
      <c r="GO3766" s="5" t="s">
        <v>240</v>
      </c>
      <c r="GP3766" s="5" t="s">
        <v>240</v>
      </c>
      <c r="GQ3766" s="5" t="s">
        <v>240</v>
      </c>
      <c r="GR3766" s="5" t="s">
        <v>240</v>
      </c>
      <c r="GS3766" s="5" t="s">
        <v>240</v>
      </c>
      <c r="GT3766" s="5" t="s">
        <v>240</v>
      </c>
      <c r="GU3766" s="5" t="s">
        <v>240</v>
      </c>
      <c r="GV3766" s="5" t="s">
        <v>240</v>
      </c>
      <c r="GW3766" s="5" t="s">
        <v>240</v>
      </c>
      <c r="GX3766" s="5" t="s">
        <v>240</v>
      </c>
      <c r="GY3766" s="5" t="s">
        <v>240</v>
      </c>
      <c r="GZ3766" s="5" t="s">
        <v>240</v>
      </c>
      <c r="HA3766" s="5" t="s">
        <v>240</v>
      </c>
      <c r="HB3766" s="5" t="s">
        <v>240</v>
      </c>
      <c r="HC3766" s="5" t="s">
        <v>240</v>
      </c>
      <c r="HD3766" s="5" t="s">
        <v>240</v>
      </c>
      <c r="HE3766" s="5" t="s">
        <v>240</v>
      </c>
      <c r="HF3766" s="5" t="s">
        <v>240</v>
      </c>
      <c r="HG3766" s="5" t="s">
        <v>240</v>
      </c>
      <c r="HH3766" s="5" t="s">
        <v>240</v>
      </c>
      <c r="HI3766" s="5" t="s">
        <v>240</v>
      </c>
      <c r="HJ3766" s="5" t="s">
        <v>240</v>
      </c>
      <c r="HK3766" s="5" t="s">
        <v>240</v>
      </c>
      <c r="HL3766" s="5" t="s">
        <v>240</v>
      </c>
      <c r="HM3766" s="5" t="s">
        <v>240</v>
      </c>
      <c r="HN3766" s="5" t="s">
        <v>240</v>
      </c>
      <c r="HO3766" s="5" t="s">
        <v>312</v>
      </c>
      <c r="HP3766" s="5" t="s">
        <v>240</v>
      </c>
      <c r="HQ3766" s="5" t="s">
        <v>240</v>
      </c>
      <c r="HR3766" s="5" t="s">
        <v>240</v>
      </c>
      <c r="HS3766" s="5" t="s">
        <v>240</v>
      </c>
      <c r="HT3766" s="5" t="s">
        <v>240</v>
      </c>
      <c r="HU3766" s="5" t="s">
        <v>240</v>
      </c>
      <c r="HV3766" s="5" t="s">
        <v>240</v>
      </c>
      <c r="HW3766" s="5" t="s">
        <v>240</v>
      </c>
      <c r="HX3766" s="5" t="s">
        <v>240</v>
      </c>
      <c r="HY3766" s="5" t="s">
        <v>240</v>
      </c>
      <c r="HZ3766" s="5" t="s">
        <v>240</v>
      </c>
      <c r="IA3766" s="5" t="s">
        <v>240</v>
      </c>
      <c r="IB3766" s="5" t="s">
        <v>240</v>
      </c>
      <c r="IC3766" s="5" t="s">
        <v>240</v>
      </c>
      <c r="ID3766" s="5" t="s">
        <v>240</v>
      </c>
      <c r="IE3766" s="5" t="s">
        <v>240</v>
      </c>
      <c r="IF3766" s="5" t="s">
        <v>240</v>
      </c>
    </row>
    <row r="3767" spans="1:240" x14ac:dyDescent="0.4">
      <c r="A3767" s="5">
        <v>9309</v>
      </c>
      <c r="B3767" s="5">
        <v>1</v>
      </c>
      <c r="C3767" s="5">
        <v>1</v>
      </c>
      <c r="D3767" s="5" t="s">
        <v>723</v>
      </c>
      <c r="E3767" s="5" t="s">
        <v>725</v>
      </c>
      <c r="F3767" s="5" t="s">
        <v>254</v>
      </c>
      <c r="G3767" s="5" t="s">
        <v>726</v>
      </c>
      <c r="H3767" s="6" t="s">
        <v>5436</v>
      </c>
      <c r="I3767" s="5" t="s">
        <v>5435</v>
      </c>
      <c r="J3767" s="7">
        <f>1</f>
        <v>1</v>
      </c>
      <c r="K3767" s="5" t="s">
        <v>3682</v>
      </c>
      <c r="L3767" s="7">
        <f>1</f>
        <v>1</v>
      </c>
      <c r="M3767" s="7">
        <f>1</f>
        <v>1</v>
      </c>
      <c r="N3767" s="5" t="s">
        <v>242</v>
      </c>
      <c r="O3767" s="5">
        <v>1</v>
      </c>
      <c r="P3767" s="5" t="s">
        <v>294</v>
      </c>
      <c r="Q3767" s="5" t="s">
        <v>613</v>
      </c>
      <c r="R3767" s="5" t="s">
        <v>240</v>
      </c>
      <c r="S3767" s="5" t="s">
        <v>240</v>
      </c>
      <c r="T3767" s="5" t="s">
        <v>243</v>
      </c>
      <c r="U3767" s="5" t="s">
        <v>244</v>
      </c>
      <c r="V3767" s="5" t="s">
        <v>240</v>
      </c>
      <c r="Y3767" s="5" t="s">
        <v>240</v>
      </c>
      <c r="Z3767" s="6" t="s">
        <v>298</v>
      </c>
      <c r="AB3767" s="6" t="s">
        <v>240</v>
      </c>
      <c r="AE3767" s="6" t="s">
        <v>299</v>
      </c>
      <c r="AF3767" s="5" t="s">
        <v>248</v>
      </c>
      <c r="AG3767" s="5" t="s">
        <v>249</v>
      </c>
      <c r="AW3767" s="5" t="s">
        <v>251</v>
      </c>
      <c r="AX3767" s="5" t="s">
        <v>240</v>
      </c>
      <c r="AY3767" s="5" t="s">
        <v>253</v>
      </c>
      <c r="AZ3767" s="5" t="s">
        <v>240</v>
      </c>
      <c r="BA3767" s="5" t="s">
        <v>255</v>
      </c>
      <c r="BB3767" s="5" t="s">
        <v>240</v>
      </c>
      <c r="BD3767" s="5" t="s">
        <v>842</v>
      </c>
      <c r="BF3767" s="5" t="s">
        <v>301</v>
      </c>
      <c r="BG3767" s="6" t="s">
        <v>299</v>
      </c>
      <c r="BH3767" s="5" t="s">
        <v>302</v>
      </c>
      <c r="BI3767" s="5" t="s">
        <v>6587</v>
      </c>
      <c r="BJ3767" s="5" t="s">
        <v>240</v>
      </c>
      <c r="BK3767" s="8">
        <f>0</f>
        <v>0</v>
      </c>
      <c r="BL3767" s="7">
        <f>0</f>
        <v>0</v>
      </c>
      <c r="BM3767" s="5" t="s">
        <v>258</v>
      </c>
      <c r="BN3767" s="5" t="s">
        <v>259</v>
      </c>
      <c r="CB3767" s="5" t="s">
        <v>240</v>
      </c>
      <c r="CC3767" s="5" t="s">
        <v>240</v>
      </c>
      <c r="CG3767" s="5" t="s">
        <v>617</v>
      </c>
      <c r="CH3767" s="5" t="s">
        <v>305</v>
      </c>
      <c r="CI3767" s="5" t="s">
        <v>240</v>
      </c>
      <c r="CL3767" s="6" t="s">
        <v>261</v>
      </c>
      <c r="CM3767" s="5" t="s">
        <v>240</v>
      </c>
      <c r="CN3767" s="5" t="s">
        <v>263</v>
      </c>
      <c r="CO3767" s="5" t="s">
        <v>240</v>
      </c>
      <c r="CP3767" s="5" t="s">
        <v>240</v>
      </c>
      <c r="CQ3767" s="5">
        <v>0</v>
      </c>
      <c r="CR3767" s="5" t="s">
        <v>306</v>
      </c>
      <c r="CS3767" s="5" t="s">
        <v>307</v>
      </c>
      <c r="CT3767" s="5" t="s">
        <v>307</v>
      </c>
      <c r="CU3767" s="5" t="s">
        <v>260</v>
      </c>
      <c r="CX3767" s="7">
        <f>44121</f>
        <v>44121</v>
      </c>
      <c r="CY3767" s="7">
        <f>0</f>
        <v>0</v>
      </c>
      <c r="DA3767" s="7">
        <f>0</f>
        <v>0</v>
      </c>
      <c r="DC3767" s="5" t="s">
        <v>450</v>
      </c>
      <c r="DD3767" s="5" t="s">
        <v>240</v>
      </c>
      <c r="DF3767" s="5" t="s">
        <v>450</v>
      </c>
      <c r="DG3767" s="7">
        <f>0</f>
        <v>0</v>
      </c>
      <c r="DI3767" s="5" t="s">
        <v>737</v>
      </c>
      <c r="DJ3767" s="5" t="s">
        <v>240</v>
      </c>
      <c r="DK3767" s="5" t="s">
        <v>240</v>
      </c>
      <c r="DL3767" s="5" t="s">
        <v>240</v>
      </c>
      <c r="DP3767" s="5" t="s">
        <v>240</v>
      </c>
      <c r="DQ3767" s="5" t="s">
        <v>240</v>
      </c>
      <c r="DR3767" s="5" t="s">
        <v>240</v>
      </c>
      <c r="DS3767" s="5" t="s">
        <v>240</v>
      </c>
      <c r="DV3767" s="5" t="s">
        <v>6588</v>
      </c>
      <c r="DW3767" s="5" t="s">
        <v>818</v>
      </c>
      <c r="HO3767" s="5" t="s">
        <v>620</v>
      </c>
    </row>
    <row r="3768" spans="1:240" x14ac:dyDescent="0.4">
      <c r="A3768" s="5">
        <v>9310</v>
      </c>
      <c r="B3768" s="5">
        <v>1</v>
      </c>
      <c r="C3768" s="5">
        <v>1</v>
      </c>
      <c r="D3768" s="5" t="s">
        <v>723</v>
      </c>
      <c r="E3768" s="5" t="s">
        <v>725</v>
      </c>
      <c r="F3768" s="5" t="s">
        <v>254</v>
      </c>
      <c r="G3768" s="5" t="s">
        <v>726</v>
      </c>
      <c r="H3768" s="6" t="s">
        <v>5434</v>
      </c>
      <c r="I3768" s="5" t="s">
        <v>5433</v>
      </c>
      <c r="J3768" s="7">
        <f>1</f>
        <v>1</v>
      </c>
      <c r="K3768" s="5" t="s">
        <v>3682</v>
      </c>
      <c r="L3768" s="7">
        <f>1</f>
        <v>1</v>
      </c>
      <c r="M3768" s="7">
        <f>1</f>
        <v>1</v>
      </c>
      <c r="N3768" s="5" t="s">
        <v>242</v>
      </c>
      <c r="O3768" s="5">
        <v>1</v>
      </c>
      <c r="P3768" s="5" t="s">
        <v>294</v>
      </c>
      <c r="Q3768" s="5" t="s">
        <v>613</v>
      </c>
      <c r="R3768" s="5" t="s">
        <v>240</v>
      </c>
      <c r="S3768" s="5" t="s">
        <v>240</v>
      </c>
      <c r="T3768" s="5" t="s">
        <v>243</v>
      </c>
      <c r="U3768" s="5" t="s">
        <v>244</v>
      </c>
      <c r="V3768" s="5" t="s">
        <v>240</v>
      </c>
      <c r="Y3768" s="5" t="s">
        <v>240</v>
      </c>
      <c r="Z3768" s="6" t="s">
        <v>298</v>
      </c>
      <c r="AB3768" s="6" t="s">
        <v>240</v>
      </c>
      <c r="AE3768" s="6" t="s">
        <v>299</v>
      </c>
      <c r="AF3768" s="5" t="s">
        <v>248</v>
      </c>
      <c r="AG3768" s="5" t="s">
        <v>249</v>
      </c>
      <c r="AW3768" s="5" t="s">
        <v>251</v>
      </c>
      <c r="AX3768" s="5" t="s">
        <v>240</v>
      </c>
      <c r="AY3768" s="5" t="s">
        <v>253</v>
      </c>
      <c r="AZ3768" s="5" t="s">
        <v>240</v>
      </c>
      <c r="BA3768" s="5" t="s">
        <v>255</v>
      </c>
      <c r="BB3768" s="5" t="s">
        <v>240</v>
      </c>
      <c r="BD3768" s="5" t="s">
        <v>240</v>
      </c>
      <c r="BF3768" s="5" t="s">
        <v>301</v>
      </c>
      <c r="BG3768" s="6" t="s">
        <v>299</v>
      </c>
      <c r="BH3768" s="5" t="s">
        <v>302</v>
      </c>
      <c r="BI3768" s="5" t="s">
        <v>6587</v>
      </c>
      <c r="BJ3768" s="5" t="s">
        <v>240</v>
      </c>
      <c r="BK3768" s="8">
        <f>0</f>
        <v>0</v>
      </c>
      <c r="BL3768" s="7">
        <f>0</f>
        <v>0</v>
      </c>
      <c r="BM3768" s="5" t="s">
        <v>258</v>
      </c>
      <c r="BN3768" s="5" t="s">
        <v>259</v>
      </c>
      <c r="CB3768" s="5" t="s">
        <v>240</v>
      </c>
      <c r="CC3768" s="5" t="s">
        <v>240</v>
      </c>
      <c r="CG3768" s="5" t="s">
        <v>617</v>
      </c>
      <c r="CH3768" s="5" t="s">
        <v>305</v>
      </c>
      <c r="CI3768" s="5" t="s">
        <v>240</v>
      </c>
      <c r="CL3768" s="6" t="s">
        <v>261</v>
      </c>
      <c r="CM3768" s="5" t="s">
        <v>240</v>
      </c>
      <c r="CN3768" s="5" t="s">
        <v>263</v>
      </c>
      <c r="CO3768" s="5" t="s">
        <v>240</v>
      </c>
      <c r="CP3768" s="5" t="s">
        <v>240</v>
      </c>
      <c r="CQ3768" s="5">
        <v>0</v>
      </c>
      <c r="CR3768" s="5" t="s">
        <v>306</v>
      </c>
      <c r="CS3768" s="5" t="s">
        <v>307</v>
      </c>
      <c r="CT3768" s="5" t="s">
        <v>307</v>
      </c>
      <c r="CU3768" s="5" t="s">
        <v>260</v>
      </c>
      <c r="CX3768" s="7">
        <f>372120</f>
        <v>372120</v>
      </c>
      <c r="CY3768" s="7">
        <f>0</f>
        <v>0</v>
      </c>
      <c r="DA3768" s="7">
        <f>0</f>
        <v>0</v>
      </c>
      <c r="DC3768" s="5" t="s">
        <v>689</v>
      </c>
      <c r="DD3768" s="5" t="s">
        <v>240</v>
      </c>
      <c r="DF3768" s="5" t="s">
        <v>450</v>
      </c>
      <c r="DG3768" s="7">
        <f>0</f>
        <v>0</v>
      </c>
      <c r="DI3768" s="5" t="s">
        <v>618</v>
      </c>
      <c r="DJ3768" s="5" t="s">
        <v>240</v>
      </c>
      <c r="DK3768" s="5" t="s">
        <v>240</v>
      </c>
      <c r="DL3768" s="5" t="s">
        <v>240</v>
      </c>
      <c r="DP3768" s="5" t="s">
        <v>240</v>
      </c>
      <c r="DQ3768" s="5" t="s">
        <v>240</v>
      </c>
      <c r="DR3768" s="5" t="s">
        <v>240</v>
      </c>
      <c r="DS3768" s="5" t="s">
        <v>240</v>
      </c>
      <c r="DV3768" s="5" t="s">
        <v>6588</v>
      </c>
      <c r="DW3768" s="5" t="s">
        <v>691</v>
      </c>
      <c r="HO3768" s="5" t="s">
        <v>620</v>
      </c>
    </row>
    <row r="3769" spans="1:240" x14ac:dyDescent="0.4">
      <c r="A3769" s="5">
        <v>9311</v>
      </c>
      <c r="B3769" s="5">
        <v>1</v>
      </c>
      <c r="C3769" s="5">
        <v>1</v>
      </c>
      <c r="D3769" s="5" t="s">
        <v>723</v>
      </c>
      <c r="E3769" s="5" t="s">
        <v>725</v>
      </c>
      <c r="F3769" s="5" t="s">
        <v>254</v>
      </c>
      <c r="G3769" s="5" t="s">
        <v>5431</v>
      </c>
      <c r="H3769" s="6" t="s">
        <v>5432</v>
      </c>
      <c r="I3769" s="5" t="s">
        <v>5430</v>
      </c>
      <c r="J3769" s="7">
        <f>1</f>
        <v>1</v>
      </c>
      <c r="K3769" s="5" t="s">
        <v>3682</v>
      </c>
      <c r="L3769" s="7">
        <f>1</f>
        <v>1</v>
      </c>
      <c r="M3769" s="7">
        <f>1</f>
        <v>1</v>
      </c>
      <c r="N3769" s="5" t="s">
        <v>242</v>
      </c>
      <c r="O3769" s="5">
        <v>1</v>
      </c>
      <c r="P3769" s="5" t="s">
        <v>294</v>
      </c>
      <c r="Q3769" s="5" t="s">
        <v>613</v>
      </c>
      <c r="R3769" s="5" t="s">
        <v>240</v>
      </c>
      <c r="S3769" s="5" t="s">
        <v>240</v>
      </c>
      <c r="T3769" s="5" t="s">
        <v>243</v>
      </c>
      <c r="U3769" s="5" t="s">
        <v>244</v>
      </c>
      <c r="V3769" s="5" t="s">
        <v>240</v>
      </c>
      <c r="Y3769" s="5" t="s">
        <v>240</v>
      </c>
      <c r="Z3769" s="6" t="s">
        <v>298</v>
      </c>
      <c r="AB3769" s="6" t="s">
        <v>240</v>
      </c>
      <c r="AE3769" s="6" t="s">
        <v>299</v>
      </c>
      <c r="AF3769" s="5" t="s">
        <v>248</v>
      </c>
      <c r="AG3769" s="5" t="s">
        <v>249</v>
      </c>
      <c r="AW3769" s="5" t="s">
        <v>251</v>
      </c>
      <c r="AX3769" s="5" t="s">
        <v>240</v>
      </c>
      <c r="AY3769" s="5" t="s">
        <v>253</v>
      </c>
      <c r="AZ3769" s="5" t="s">
        <v>240</v>
      </c>
      <c r="BA3769" s="5" t="s">
        <v>255</v>
      </c>
      <c r="BB3769" s="5" t="s">
        <v>240</v>
      </c>
      <c r="BD3769" s="5" t="s">
        <v>240</v>
      </c>
      <c r="BF3769" s="5" t="s">
        <v>301</v>
      </c>
      <c r="BG3769" s="6" t="s">
        <v>299</v>
      </c>
      <c r="BH3769" s="5" t="s">
        <v>302</v>
      </c>
      <c r="BI3769" s="5" t="s">
        <v>6587</v>
      </c>
      <c r="BJ3769" s="5" t="s">
        <v>240</v>
      </c>
      <c r="BK3769" s="8">
        <f>0</f>
        <v>0</v>
      </c>
      <c r="BL3769" s="7">
        <f>0</f>
        <v>0</v>
      </c>
      <c r="BM3769" s="5" t="s">
        <v>258</v>
      </c>
      <c r="BN3769" s="5" t="s">
        <v>259</v>
      </c>
      <c r="CB3769" s="5" t="s">
        <v>240</v>
      </c>
      <c r="CC3769" s="5" t="s">
        <v>240</v>
      </c>
      <c r="CG3769" s="5" t="s">
        <v>617</v>
      </c>
      <c r="CH3769" s="5" t="s">
        <v>305</v>
      </c>
      <c r="CI3769" s="5" t="s">
        <v>240</v>
      </c>
      <c r="CL3769" s="6" t="s">
        <v>261</v>
      </c>
      <c r="CM3769" s="5" t="s">
        <v>240</v>
      </c>
      <c r="CN3769" s="5" t="s">
        <v>263</v>
      </c>
      <c r="CO3769" s="5" t="s">
        <v>240</v>
      </c>
      <c r="CP3769" s="5" t="s">
        <v>240</v>
      </c>
      <c r="CQ3769" s="5">
        <v>0</v>
      </c>
      <c r="CR3769" s="5" t="s">
        <v>306</v>
      </c>
      <c r="CS3769" s="5" t="s">
        <v>307</v>
      </c>
      <c r="CT3769" s="5" t="s">
        <v>307</v>
      </c>
      <c r="CU3769" s="5" t="s">
        <v>260</v>
      </c>
      <c r="CX3769" s="7">
        <f>239220</f>
        <v>239220</v>
      </c>
      <c r="CY3769" s="7">
        <f>0</f>
        <v>0</v>
      </c>
      <c r="DA3769" s="7">
        <f>0</f>
        <v>0</v>
      </c>
      <c r="DC3769" s="5" t="s">
        <v>689</v>
      </c>
      <c r="DD3769" s="5" t="s">
        <v>240</v>
      </c>
      <c r="DF3769" s="5" t="s">
        <v>450</v>
      </c>
      <c r="DG3769" s="7">
        <f>0</f>
        <v>0</v>
      </c>
      <c r="DI3769" s="5" t="s">
        <v>618</v>
      </c>
      <c r="DJ3769" s="5" t="s">
        <v>240</v>
      </c>
      <c r="DK3769" s="5" t="s">
        <v>240</v>
      </c>
      <c r="DL3769" s="5" t="s">
        <v>240</v>
      </c>
      <c r="DP3769" s="5" t="s">
        <v>240</v>
      </c>
      <c r="DQ3769" s="5" t="s">
        <v>240</v>
      </c>
      <c r="DR3769" s="5" t="s">
        <v>240</v>
      </c>
      <c r="DS3769" s="5" t="s">
        <v>240</v>
      </c>
      <c r="DV3769" s="5" t="s">
        <v>6591</v>
      </c>
      <c r="DW3769" s="5" t="s">
        <v>799</v>
      </c>
      <c r="HO3769" s="5" t="s">
        <v>620</v>
      </c>
    </row>
    <row r="3770" spans="1:240" x14ac:dyDescent="0.4">
      <c r="A3770" s="5">
        <v>9312</v>
      </c>
      <c r="B3770" s="5">
        <v>1</v>
      </c>
      <c r="C3770" s="5">
        <v>1</v>
      </c>
      <c r="D3770" s="5" t="s">
        <v>723</v>
      </c>
      <c r="E3770" s="5" t="s">
        <v>725</v>
      </c>
      <c r="F3770" s="5" t="s">
        <v>254</v>
      </c>
      <c r="G3770" s="5" t="s">
        <v>5428</v>
      </c>
      <c r="H3770" s="6" t="s">
        <v>5429</v>
      </c>
      <c r="I3770" s="5" t="s">
        <v>5427</v>
      </c>
      <c r="J3770" s="7">
        <f>1</f>
        <v>1</v>
      </c>
      <c r="K3770" s="5" t="s">
        <v>3682</v>
      </c>
      <c r="L3770" s="7">
        <f>1</f>
        <v>1</v>
      </c>
      <c r="M3770" s="7">
        <f>1</f>
        <v>1</v>
      </c>
      <c r="N3770" s="5" t="s">
        <v>242</v>
      </c>
      <c r="O3770" s="5">
        <v>1</v>
      </c>
      <c r="P3770" s="5" t="s">
        <v>294</v>
      </c>
      <c r="Q3770" s="5" t="s">
        <v>613</v>
      </c>
      <c r="R3770" s="5" t="s">
        <v>240</v>
      </c>
      <c r="S3770" s="5" t="s">
        <v>240</v>
      </c>
      <c r="T3770" s="5" t="s">
        <v>243</v>
      </c>
      <c r="U3770" s="5" t="s">
        <v>724</v>
      </c>
      <c r="V3770" s="5" t="s">
        <v>240</v>
      </c>
      <c r="W3770" s="5" t="s">
        <v>240</v>
      </c>
      <c r="X3770" s="5" t="s">
        <v>240</v>
      </c>
      <c r="Y3770" s="5" t="s">
        <v>240</v>
      </c>
      <c r="Z3770" s="6" t="s">
        <v>298</v>
      </c>
      <c r="AA3770" s="6" t="s">
        <v>240</v>
      </c>
      <c r="AB3770" s="6" t="s">
        <v>240</v>
      </c>
      <c r="AC3770" s="5" t="s">
        <v>240</v>
      </c>
      <c r="AD3770" s="6" t="s">
        <v>240</v>
      </c>
      <c r="AE3770" s="6" t="s">
        <v>299</v>
      </c>
      <c r="AF3770" s="5" t="s">
        <v>727</v>
      </c>
      <c r="AG3770" s="5" t="s">
        <v>260</v>
      </c>
      <c r="AH3770" s="5" t="s">
        <v>240</v>
      </c>
      <c r="AI3770" s="5" t="s">
        <v>240</v>
      </c>
      <c r="AJ3770" s="5" t="s">
        <v>240</v>
      </c>
      <c r="AK3770" s="5" t="s">
        <v>240</v>
      </c>
      <c r="AL3770" s="5" t="s">
        <v>240</v>
      </c>
      <c r="AM3770" s="5" t="s">
        <v>240</v>
      </c>
      <c r="AN3770" s="5" t="s">
        <v>240</v>
      </c>
      <c r="AO3770" s="5" t="s">
        <v>240</v>
      </c>
      <c r="AP3770" s="6" t="s">
        <v>240</v>
      </c>
      <c r="AQ3770" s="6" t="s">
        <v>240</v>
      </c>
      <c r="AR3770" s="6" t="s">
        <v>240</v>
      </c>
      <c r="AS3770" s="6" t="s">
        <v>240</v>
      </c>
      <c r="AT3770" s="5" t="s">
        <v>240</v>
      </c>
      <c r="AU3770" s="5" t="s">
        <v>729</v>
      </c>
      <c r="AV3770" s="5" t="s">
        <v>729</v>
      </c>
      <c r="AW3770" s="5" t="s">
        <v>251</v>
      </c>
      <c r="AX3770" s="5" t="s">
        <v>252</v>
      </c>
      <c r="AY3770" s="5" t="s">
        <v>253</v>
      </c>
      <c r="AZ3770" s="5" t="s">
        <v>240</v>
      </c>
      <c r="BA3770" s="5" t="s">
        <v>255</v>
      </c>
      <c r="BB3770" s="5" t="s">
        <v>731</v>
      </c>
      <c r="BD3770" s="5" t="s">
        <v>240</v>
      </c>
      <c r="BF3770" s="5" t="s">
        <v>732</v>
      </c>
      <c r="BG3770" s="6" t="s">
        <v>733</v>
      </c>
      <c r="BH3770" s="5" t="s">
        <v>734</v>
      </c>
      <c r="BI3770" s="5" t="s">
        <v>734</v>
      </c>
      <c r="BJ3770" s="5" t="s">
        <v>240</v>
      </c>
      <c r="BK3770" s="8">
        <f>409</f>
        <v>409</v>
      </c>
      <c r="BL3770" s="7">
        <f>0</f>
        <v>0</v>
      </c>
      <c r="BM3770" s="5" t="s">
        <v>258</v>
      </c>
      <c r="BN3770" s="5" t="s">
        <v>259</v>
      </c>
      <c r="BO3770" s="5" t="s">
        <v>240</v>
      </c>
      <c r="BP3770" s="5" t="s">
        <v>240</v>
      </c>
      <c r="BQ3770" s="5" t="s">
        <v>240</v>
      </c>
      <c r="BR3770" s="5" t="s">
        <v>240</v>
      </c>
      <c r="BS3770" s="5" t="s">
        <v>240</v>
      </c>
      <c r="BT3770" s="5" t="s">
        <v>240</v>
      </c>
      <c r="BU3770" s="5" t="s">
        <v>240</v>
      </c>
      <c r="BV3770" s="5" t="s">
        <v>240</v>
      </c>
      <c r="BW3770" s="6" t="s">
        <v>240</v>
      </c>
      <c r="BX3770" s="5" t="s">
        <v>240</v>
      </c>
      <c r="BY3770" s="5" t="s">
        <v>240</v>
      </c>
      <c r="BZ3770" s="5" t="s">
        <v>240</v>
      </c>
      <c r="CA3770" s="5" t="s">
        <v>259</v>
      </c>
      <c r="CB3770" s="5" t="s">
        <v>240</v>
      </c>
      <c r="CC3770" s="5" t="s">
        <v>240</v>
      </c>
      <c r="CD3770" s="5" t="s">
        <v>240</v>
      </c>
      <c r="CE3770" s="5" t="s">
        <v>240</v>
      </c>
      <c r="CF3770" s="5" t="s">
        <v>240</v>
      </c>
      <c r="CG3770" s="5" t="s">
        <v>617</v>
      </c>
      <c r="CH3770" s="5" t="s">
        <v>305</v>
      </c>
      <c r="CI3770" s="5" t="s">
        <v>240</v>
      </c>
      <c r="CL3770" s="6" t="s">
        <v>261</v>
      </c>
      <c r="CM3770" s="5" t="s">
        <v>262</v>
      </c>
      <c r="CN3770" s="5" t="s">
        <v>263</v>
      </c>
      <c r="CO3770" s="5" t="s">
        <v>264</v>
      </c>
      <c r="CP3770" s="5" t="s">
        <v>240</v>
      </c>
      <c r="CQ3770" s="5">
        <v>0</v>
      </c>
      <c r="CR3770" s="5" t="s">
        <v>735</v>
      </c>
      <c r="CS3770" s="5" t="s">
        <v>307</v>
      </c>
      <c r="CT3770" s="5" t="s">
        <v>307</v>
      </c>
      <c r="CU3770" s="5" t="s">
        <v>260</v>
      </c>
      <c r="CV3770" s="5" t="s">
        <v>240</v>
      </c>
      <c r="CW3770" s="8">
        <f>0</f>
        <v>0</v>
      </c>
      <c r="CX3770" s="7">
        <f>0</f>
        <v>0</v>
      </c>
      <c r="CY3770" s="7">
        <f>0</f>
        <v>0</v>
      </c>
      <c r="DA3770" s="7">
        <f>4499</f>
        <v>4499</v>
      </c>
      <c r="DB3770" s="7" t="s">
        <v>240</v>
      </c>
      <c r="DC3770" s="5" t="s">
        <v>240</v>
      </c>
      <c r="DD3770" s="5" t="s">
        <v>240</v>
      </c>
      <c r="DE3770" s="5" t="s">
        <v>240</v>
      </c>
      <c r="DF3770" s="5" t="s">
        <v>450</v>
      </c>
      <c r="DG3770" s="7">
        <f>0</f>
        <v>0</v>
      </c>
      <c r="DI3770" s="5" t="s">
        <v>737</v>
      </c>
      <c r="DJ3770" s="5" t="s">
        <v>240</v>
      </c>
      <c r="DK3770" s="5" t="s">
        <v>240</v>
      </c>
      <c r="DL3770" s="5" t="s">
        <v>240</v>
      </c>
      <c r="DM3770" s="5" t="s">
        <v>240</v>
      </c>
      <c r="DN3770" s="5" t="s">
        <v>240</v>
      </c>
      <c r="DO3770" s="7" t="s">
        <v>240</v>
      </c>
      <c r="DP3770" s="5" t="s">
        <v>240</v>
      </c>
      <c r="DQ3770" s="5" t="s">
        <v>240</v>
      </c>
      <c r="DR3770" s="5" t="s">
        <v>731</v>
      </c>
      <c r="DS3770" s="5" t="s">
        <v>731</v>
      </c>
      <c r="DT3770" s="5" t="s">
        <v>240</v>
      </c>
      <c r="DU3770" s="5" t="s">
        <v>240</v>
      </c>
      <c r="DV3770" s="5" t="s">
        <v>738</v>
      </c>
      <c r="DW3770" s="5" t="s">
        <v>1206</v>
      </c>
      <c r="DX3770" s="5" t="s">
        <v>240</v>
      </c>
      <c r="DY3770" s="5" t="s">
        <v>240</v>
      </c>
      <c r="DZ3770" s="5" t="s">
        <v>240</v>
      </c>
      <c r="EA3770" s="5" t="s">
        <v>240</v>
      </c>
      <c r="EB3770" s="5" t="s">
        <v>240</v>
      </c>
      <c r="EC3770" s="5" t="s">
        <v>240</v>
      </c>
      <c r="ED3770" s="5" t="s">
        <v>240</v>
      </c>
      <c r="EE3770" s="5" t="s">
        <v>240</v>
      </c>
      <c r="EF3770" s="5" t="s">
        <v>240</v>
      </c>
      <c r="EG3770" s="5" t="s">
        <v>240</v>
      </c>
      <c r="EH3770" s="5" t="s">
        <v>240</v>
      </c>
      <c r="EI3770" s="5" t="s">
        <v>240</v>
      </c>
      <c r="EJ3770" s="5" t="s">
        <v>240</v>
      </c>
      <c r="EK3770" s="5" t="s">
        <v>240</v>
      </c>
      <c r="EL3770" s="5" t="s">
        <v>240</v>
      </c>
      <c r="EM3770" s="5" t="s">
        <v>240</v>
      </c>
      <c r="EN3770" s="5" t="s">
        <v>240</v>
      </c>
      <c r="EO3770" s="5" t="s">
        <v>240</v>
      </c>
      <c r="EP3770" s="5" t="s">
        <v>240</v>
      </c>
      <c r="EQ3770" s="5" t="s">
        <v>240</v>
      </c>
      <c r="ER3770" s="5" t="s">
        <v>240</v>
      </c>
      <c r="ES3770" s="5" t="s">
        <v>240</v>
      </c>
      <c r="ET3770" s="5" t="s">
        <v>240</v>
      </c>
      <c r="EU3770" s="5" t="s">
        <v>240</v>
      </c>
      <c r="EV3770" s="5" t="s">
        <v>240</v>
      </c>
      <c r="EW3770" s="5" t="s">
        <v>240</v>
      </c>
      <c r="EX3770" s="5" t="s">
        <v>240</v>
      </c>
      <c r="EY3770" s="5" t="s">
        <v>240</v>
      </c>
      <c r="EZ3770" s="5" t="s">
        <v>240</v>
      </c>
      <c r="FA3770" s="5" t="s">
        <v>240</v>
      </c>
      <c r="FB3770" s="5" t="s">
        <v>240</v>
      </c>
      <c r="FC3770" s="5" t="s">
        <v>240</v>
      </c>
      <c r="FD3770" s="5" t="s">
        <v>240</v>
      </c>
      <c r="FE3770" s="5" t="s">
        <v>240</v>
      </c>
      <c r="FF3770" s="5" t="s">
        <v>240</v>
      </c>
      <c r="FG3770" s="5" t="s">
        <v>240</v>
      </c>
      <c r="FH3770" s="5" t="s">
        <v>240</v>
      </c>
      <c r="FI3770" s="5" t="s">
        <v>240</v>
      </c>
      <c r="FJ3770" s="5" t="s">
        <v>240</v>
      </c>
      <c r="FK3770" s="5" t="s">
        <v>240</v>
      </c>
      <c r="FL3770" s="5" t="s">
        <v>240</v>
      </c>
      <c r="FM3770" s="5" t="s">
        <v>240</v>
      </c>
      <c r="FN3770" s="5" t="s">
        <v>240</v>
      </c>
      <c r="FO3770" s="5" t="s">
        <v>240</v>
      </c>
      <c r="FP3770" s="5" t="s">
        <v>240</v>
      </c>
      <c r="FQ3770" s="5" t="s">
        <v>240</v>
      </c>
      <c r="FR3770" s="5" t="s">
        <v>240</v>
      </c>
      <c r="FS3770" s="5" t="s">
        <v>240</v>
      </c>
      <c r="FT3770" s="5" t="s">
        <v>240</v>
      </c>
      <c r="FU3770" s="5" t="s">
        <v>240</v>
      </c>
      <c r="FV3770" s="5" t="s">
        <v>240</v>
      </c>
      <c r="FW3770" s="5" t="s">
        <v>240</v>
      </c>
      <c r="FX3770" s="5" t="s">
        <v>240</v>
      </c>
      <c r="FY3770" s="5" t="s">
        <v>240</v>
      </c>
      <c r="FZ3770" s="5" t="s">
        <v>240</v>
      </c>
      <c r="GA3770" s="5" t="s">
        <v>240</v>
      </c>
      <c r="GB3770" s="5" t="s">
        <v>240</v>
      </c>
      <c r="GC3770" s="5" t="s">
        <v>240</v>
      </c>
      <c r="GD3770" s="5" t="s">
        <v>240</v>
      </c>
      <c r="GE3770" s="5" t="s">
        <v>240</v>
      </c>
      <c r="GF3770" s="5" t="s">
        <v>240</v>
      </c>
      <c r="GG3770" s="5" t="s">
        <v>240</v>
      </c>
      <c r="GH3770" s="5" t="s">
        <v>240</v>
      </c>
      <c r="GI3770" s="5" t="s">
        <v>240</v>
      </c>
      <c r="GJ3770" s="5" t="s">
        <v>240</v>
      </c>
      <c r="GK3770" s="5" t="s">
        <v>240</v>
      </c>
      <c r="GL3770" s="5" t="s">
        <v>240</v>
      </c>
      <c r="GM3770" s="5" t="s">
        <v>240</v>
      </c>
      <c r="GN3770" s="5" t="s">
        <v>240</v>
      </c>
      <c r="GO3770" s="5" t="s">
        <v>240</v>
      </c>
      <c r="GP3770" s="5" t="s">
        <v>240</v>
      </c>
      <c r="GQ3770" s="5" t="s">
        <v>240</v>
      </c>
      <c r="GR3770" s="5" t="s">
        <v>240</v>
      </c>
      <c r="GS3770" s="5" t="s">
        <v>240</v>
      </c>
      <c r="GT3770" s="5" t="s">
        <v>240</v>
      </c>
      <c r="GU3770" s="5" t="s">
        <v>240</v>
      </c>
      <c r="GV3770" s="5" t="s">
        <v>240</v>
      </c>
      <c r="GW3770" s="5" t="s">
        <v>240</v>
      </c>
      <c r="GX3770" s="5" t="s">
        <v>240</v>
      </c>
      <c r="GY3770" s="5" t="s">
        <v>240</v>
      </c>
      <c r="GZ3770" s="5" t="s">
        <v>240</v>
      </c>
      <c r="HA3770" s="5" t="s">
        <v>240</v>
      </c>
      <c r="HB3770" s="5" t="s">
        <v>240</v>
      </c>
      <c r="HC3770" s="5" t="s">
        <v>240</v>
      </c>
      <c r="HD3770" s="5" t="s">
        <v>240</v>
      </c>
      <c r="HE3770" s="5" t="s">
        <v>240</v>
      </c>
      <c r="HF3770" s="5" t="s">
        <v>240</v>
      </c>
      <c r="HG3770" s="5" t="s">
        <v>240</v>
      </c>
      <c r="HH3770" s="5" t="s">
        <v>240</v>
      </c>
      <c r="HI3770" s="5" t="s">
        <v>240</v>
      </c>
      <c r="HJ3770" s="5" t="s">
        <v>240</v>
      </c>
      <c r="HK3770" s="5" t="s">
        <v>240</v>
      </c>
      <c r="HL3770" s="5" t="s">
        <v>240</v>
      </c>
      <c r="HM3770" s="5" t="s">
        <v>240</v>
      </c>
      <c r="HN3770" s="5" t="s">
        <v>240</v>
      </c>
      <c r="HO3770" s="5" t="s">
        <v>312</v>
      </c>
      <c r="HP3770" s="5" t="s">
        <v>240</v>
      </c>
      <c r="HQ3770" s="5" t="s">
        <v>240</v>
      </c>
      <c r="HR3770" s="5" t="s">
        <v>240</v>
      </c>
      <c r="HS3770" s="5" t="s">
        <v>240</v>
      </c>
      <c r="HT3770" s="5" t="s">
        <v>240</v>
      </c>
      <c r="HU3770" s="5" t="s">
        <v>240</v>
      </c>
      <c r="HV3770" s="5" t="s">
        <v>240</v>
      </c>
      <c r="HW3770" s="5" t="s">
        <v>240</v>
      </c>
      <c r="HX3770" s="5" t="s">
        <v>240</v>
      </c>
      <c r="HY3770" s="5" t="s">
        <v>240</v>
      </c>
      <c r="HZ3770" s="5" t="s">
        <v>240</v>
      </c>
      <c r="IA3770" s="5" t="s">
        <v>240</v>
      </c>
      <c r="IB3770" s="5" t="s">
        <v>240</v>
      </c>
      <c r="IC3770" s="5" t="s">
        <v>240</v>
      </c>
      <c r="ID3770" s="5" t="s">
        <v>240</v>
      </c>
      <c r="IE3770" s="5" t="s">
        <v>240</v>
      </c>
      <c r="IF3770" s="5" t="s">
        <v>240</v>
      </c>
    </row>
    <row r="3771" spans="1:240" x14ac:dyDescent="0.4">
      <c r="A3771" s="5">
        <v>9313</v>
      </c>
      <c r="B3771" s="5">
        <v>1</v>
      </c>
      <c r="C3771" s="5">
        <v>1</v>
      </c>
      <c r="D3771" s="5" t="s">
        <v>723</v>
      </c>
      <c r="E3771" s="5" t="s">
        <v>725</v>
      </c>
      <c r="F3771" s="5" t="s">
        <v>254</v>
      </c>
      <c r="G3771" s="5" t="s">
        <v>726</v>
      </c>
      <c r="H3771" s="6" t="s">
        <v>5426</v>
      </c>
      <c r="I3771" s="5" t="s">
        <v>5425</v>
      </c>
      <c r="J3771" s="7">
        <f>1</f>
        <v>1</v>
      </c>
      <c r="K3771" s="5" t="s">
        <v>3682</v>
      </c>
      <c r="L3771" s="7">
        <f>1</f>
        <v>1</v>
      </c>
      <c r="M3771" s="7">
        <f>1</f>
        <v>1</v>
      </c>
      <c r="N3771" s="5" t="s">
        <v>242</v>
      </c>
      <c r="O3771" s="5">
        <v>1</v>
      </c>
      <c r="P3771" s="5" t="s">
        <v>294</v>
      </c>
      <c r="Q3771" s="5" t="s">
        <v>613</v>
      </c>
      <c r="R3771" s="5" t="s">
        <v>240</v>
      </c>
      <c r="S3771" s="5" t="s">
        <v>240</v>
      </c>
      <c r="T3771" s="5" t="s">
        <v>296</v>
      </c>
      <c r="U3771" s="5" t="s">
        <v>244</v>
      </c>
      <c r="V3771" s="5" t="s">
        <v>240</v>
      </c>
      <c r="Y3771" s="5" t="s">
        <v>240</v>
      </c>
      <c r="Z3771" s="6" t="s">
        <v>298</v>
      </c>
      <c r="AB3771" s="6" t="s">
        <v>240</v>
      </c>
      <c r="AE3771" s="6" t="s">
        <v>299</v>
      </c>
      <c r="AF3771" s="5" t="s">
        <v>248</v>
      </c>
      <c r="AG3771" s="5" t="s">
        <v>249</v>
      </c>
      <c r="AW3771" s="5" t="s">
        <v>251</v>
      </c>
      <c r="AX3771" s="5" t="s">
        <v>240</v>
      </c>
      <c r="AY3771" s="5" t="s">
        <v>253</v>
      </c>
      <c r="AZ3771" s="5" t="s">
        <v>240</v>
      </c>
      <c r="BA3771" s="5" t="s">
        <v>255</v>
      </c>
      <c r="BB3771" s="5" t="s">
        <v>240</v>
      </c>
      <c r="BD3771" s="5" t="s">
        <v>240</v>
      </c>
      <c r="BF3771" s="5" t="s">
        <v>301</v>
      </c>
      <c r="BG3771" s="6" t="s">
        <v>299</v>
      </c>
      <c r="BH3771" s="5" t="s">
        <v>302</v>
      </c>
      <c r="BI3771" s="5" t="s">
        <v>6587</v>
      </c>
      <c r="BJ3771" s="5" t="s">
        <v>240</v>
      </c>
      <c r="BK3771" s="8">
        <f>0</f>
        <v>0</v>
      </c>
      <c r="BL3771" s="7">
        <f>0</f>
        <v>0</v>
      </c>
      <c r="BM3771" s="5" t="s">
        <v>258</v>
      </c>
      <c r="BN3771" s="5" t="s">
        <v>259</v>
      </c>
      <c r="CB3771" s="5" t="s">
        <v>240</v>
      </c>
      <c r="CC3771" s="5" t="s">
        <v>240</v>
      </c>
      <c r="CG3771" s="5" t="s">
        <v>617</v>
      </c>
      <c r="CH3771" s="5" t="s">
        <v>305</v>
      </c>
      <c r="CI3771" s="5" t="s">
        <v>240</v>
      </c>
      <c r="CL3771" s="6" t="s">
        <v>261</v>
      </c>
      <c r="CM3771" s="5" t="s">
        <v>240</v>
      </c>
      <c r="CN3771" s="5" t="s">
        <v>263</v>
      </c>
      <c r="CO3771" s="5" t="s">
        <v>240</v>
      </c>
      <c r="CP3771" s="5" t="s">
        <v>240</v>
      </c>
      <c r="CQ3771" s="5">
        <v>0</v>
      </c>
      <c r="CR3771" s="5" t="s">
        <v>306</v>
      </c>
      <c r="CS3771" s="5" t="s">
        <v>307</v>
      </c>
      <c r="CT3771" s="5" t="s">
        <v>307</v>
      </c>
      <c r="CU3771" s="5" t="s">
        <v>260</v>
      </c>
      <c r="CX3771" s="7">
        <f>134750</f>
        <v>134750</v>
      </c>
      <c r="CY3771" s="7">
        <f>0</f>
        <v>0</v>
      </c>
      <c r="DA3771" s="7">
        <f>0</f>
        <v>0</v>
      </c>
      <c r="DC3771" s="5" t="s">
        <v>309</v>
      </c>
      <c r="DD3771" s="5" t="s">
        <v>240</v>
      </c>
      <c r="DF3771" s="5" t="s">
        <v>450</v>
      </c>
      <c r="DG3771" s="7">
        <f>0</f>
        <v>0</v>
      </c>
      <c r="DI3771" s="5" t="s">
        <v>450</v>
      </c>
      <c r="DJ3771" s="5" t="s">
        <v>240</v>
      </c>
      <c r="DK3771" s="5" t="s">
        <v>240</v>
      </c>
      <c r="DL3771" s="5" t="s">
        <v>240</v>
      </c>
      <c r="DP3771" s="5" t="s">
        <v>240</v>
      </c>
      <c r="DQ3771" s="5" t="s">
        <v>240</v>
      </c>
      <c r="DR3771" s="5" t="s">
        <v>240</v>
      </c>
      <c r="DS3771" s="5" t="s">
        <v>240</v>
      </c>
      <c r="DV3771" s="5" t="s">
        <v>6591</v>
      </c>
      <c r="DW3771" s="5" t="s">
        <v>691</v>
      </c>
      <c r="HO3771" s="5" t="s">
        <v>620</v>
      </c>
    </row>
    <row r="3772" spans="1:240" x14ac:dyDescent="0.4">
      <c r="A3772" s="5">
        <v>9314</v>
      </c>
      <c r="B3772" s="5">
        <v>1</v>
      </c>
      <c r="C3772" s="5">
        <v>1</v>
      </c>
      <c r="D3772" s="5" t="s">
        <v>723</v>
      </c>
      <c r="E3772" s="5" t="s">
        <v>725</v>
      </c>
      <c r="F3772" s="5" t="s">
        <v>254</v>
      </c>
      <c r="G3772" s="5" t="s">
        <v>726</v>
      </c>
      <c r="H3772" s="6" t="s">
        <v>5424</v>
      </c>
      <c r="I3772" s="5" t="s">
        <v>5423</v>
      </c>
      <c r="J3772" s="7">
        <f>1</f>
        <v>1</v>
      </c>
      <c r="K3772" s="5" t="s">
        <v>3682</v>
      </c>
      <c r="L3772" s="7">
        <f>1</f>
        <v>1</v>
      </c>
      <c r="M3772" s="7">
        <f>1</f>
        <v>1</v>
      </c>
      <c r="N3772" s="5" t="s">
        <v>242</v>
      </c>
      <c r="O3772" s="5">
        <v>1</v>
      </c>
      <c r="P3772" s="5" t="s">
        <v>294</v>
      </c>
      <c r="Q3772" s="5" t="s">
        <v>613</v>
      </c>
      <c r="R3772" s="5" t="s">
        <v>240</v>
      </c>
      <c r="S3772" s="5" t="s">
        <v>240</v>
      </c>
      <c r="T3772" s="5" t="s">
        <v>243</v>
      </c>
      <c r="U3772" s="5" t="s">
        <v>724</v>
      </c>
      <c r="V3772" s="5" t="s">
        <v>240</v>
      </c>
      <c r="W3772" s="5" t="s">
        <v>240</v>
      </c>
      <c r="X3772" s="5" t="s">
        <v>240</v>
      </c>
      <c r="Y3772" s="5" t="s">
        <v>240</v>
      </c>
      <c r="Z3772" s="6" t="s">
        <v>298</v>
      </c>
      <c r="AA3772" s="6" t="s">
        <v>240</v>
      </c>
      <c r="AB3772" s="6" t="s">
        <v>240</v>
      </c>
      <c r="AC3772" s="5" t="s">
        <v>240</v>
      </c>
      <c r="AD3772" s="6" t="s">
        <v>240</v>
      </c>
      <c r="AE3772" s="6" t="s">
        <v>299</v>
      </c>
      <c r="AF3772" s="5" t="s">
        <v>727</v>
      </c>
      <c r="AG3772" s="5" t="s">
        <v>260</v>
      </c>
      <c r="AH3772" s="5" t="s">
        <v>240</v>
      </c>
      <c r="AI3772" s="5" t="s">
        <v>240</v>
      </c>
      <c r="AJ3772" s="5" t="s">
        <v>240</v>
      </c>
      <c r="AK3772" s="5" t="s">
        <v>240</v>
      </c>
      <c r="AL3772" s="5" t="s">
        <v>240</v>
      </c>
      <c r="AM3772" s="5" t="s">
        <v>240</v>
      </c>
      <c r="AN3772" s="5" t="s">
        <v>240</v>
      </c>
      <c r="AO3772" s="5" t="s">
        <v>240</v>
      </c>
      <c r="AP3772" s="6" t="s">
        <v>240</v>
      </c>
      <c r="AQ3772" s="6" t="s">
        <v>240</v>
      </c>
      <c r="AR3772" s="6" t="s">
        <v>240</v>
      </c>
      <c r="AS3772" s="6" t="s">
        <v>240</v>
      </c>
      <c r="AT3772" s="5" t="s">
        <v>240</v>
      </c>
      <c r="AU3772" s="5" t="s">
        <v>729</v>
      </c>
      <c r="AV3772" s="5" t="s">
        <v>729</v>
      </c>
      <c r="AW3772" s="5" t="s">
        <v>251</v>
      </c>
      <c r="AX3772" s="5" t="s">
        <v>252</v>
      </c>
      <c r="AY3772" s="5" t="s">
        <v>253</v>
      </c>
      <c r="AZ3772" s="5" t="s">
        <v>240</v>
      </c>
      <c r="BA3772" s="5" t="s">
        <v>255</v>
      </c>
      <c r="BB3772" s="5" t="s">
        <v>731</v>
      </c>
      <c r="BD3772" s="5" t="s">
        <v>240</v>
      </c>
      <c r="BF3772" s="5" t="s">
        <v>732</v>
      </c>
      <c r="BG3772" s="6" t="s">
        <v>733</v>
      </c>
      <c r="BH3772" s="5" t="s">
        <v>734</v>
      </c>
      <c r="BI3772" s="5" t="s">
        <v>734</v>
      </c>
      <c r="BJ3772" s="5" t="s">
        <v>240</v>
      </c>
      <c r="BK3772" s="8">
        <f>434</f>
        <v>434</v>
      </c>
      <c r="BL3772" s="7">
        <f>0</f>
        <v>0</v>
      </c>
      <c r="BM3772" s="5" t="s">
        <v>258</v>
      </c>
      <c r="BN3772" s="5" t="s">
        <v>259</v>
      </c>
      <c r="BO3772" s="5" t="s">
        <v>240</v>
      </c>
      <c r="BP3772" s="5" t="s">
        <v>240</v>
      </c>
      <c r="BQ3772" s="5" t="s">
        <v>240</v>
      </c>
      <c r="BR3772" s="5" t="s">
        <v>240</v>
      </c>
      <c r="BS3772" s="5" t="s">
        <v>240</v>
      </c>
      <c r="BT3772" s="5" t="s">
        <v>240</v>
      </c>
      <c r="BU3772" s="5" t="s">
        <v>240</v>
      </c>
      <c r="BV3772" s="5" t="s">
        <v>240</v>
      </c>
      <c r="BW3772" s="6" t="s">
        <v>240</v>
      </c>
      <c r="BX3772" s="5" t="s">
        <v>240</v>
      </c>
      <c r="BY3772" s="5" t="s">
        <v>240</v>
      </c>
      <c r="BZ3772" s="5" t="s">
        <v>240</v>
      </c>
      <c r="CA3772" s="5" t="s">
        <v>259</v>
      </c>
      <c r="CB3772" s="5" t="s">
        <v>240</v>
      </c>
      <c r="CC3772" s="5" t="s">
        <v>240</v>
      </c>
      <c r="CD3772" s="5" t="s">
        <v>240</v>
      </c>
      <c r="CE3772" s="5" t="s">
        <v>240</v>
      </c>
      <c r="CF3772" s="5" t="s">
        <v>240</v>
      </c>
      <c r="CG3772" s="5" t="s">
        <v>617</v>
      </c>
      <c r="CH3772" s="5" t="s">
        <v>305</v>
      </c>
      <c r="CI3772" s="5" t="s">
        <v>240</v>
      </c>
      <c r="CL3772" s="6" t="s">
        <v>261</v>
      </c>
      <c r="CM3772" s="5" t="s">
        <v>262</v>
      </c>
      <c r="CN3772" s="5" t="s">
        <v>263</v>
      </c>
      <c r="CO3772" s="5" t="s">
        <v>264</v>
      </c>
      <c r="CP3772" s="5" t="s">
        <v>240</v>
      </c>
      <c r="CQ3772" s="5">
        <v>0</v>
      </c>
      <c r="CR3772" s="5" t="s">
        <v>735</v>
      </c>
      <c r="CS3772" s="5" t="s">
        <v>307</v>
      </c>
      <c r="CT3772" s="5" t="s">
        <v>307</v>
      </c>
      <c r="CU3772" s="5" t="s">
        <v>260</v>
      </c>
      <c r="CV3772" s="5" t="s">
        <v>240</v>
      </c>
      <c r="CW3772" s="8">
        <f>0</f>
        <v>0</v>
      </c>
      <c r="CX3772" s="7">
        <f>0</f>
        <v>0</v>
      </c>
      <c r="CY3772" s="7">
        <f>0</f>
        <v>0</v>
      </c>
      <c r="DA3772" s="7">
        <f>4774</f>
        <v>4774</v>
      </c>
      <c r="DB3772" s="7" t="s">
        <v>240</v>
      </c>
      <c r="DC3772" s="5" t="s">
        <v>240</v>
      </c>
      <c r="DD3772" s="5" t="s">
        <v>240</v>
      </c>
      <c r="DE3772" s="5" t="s">
        <v>240</v>
      </c>
      <c r="DF3772" s="5" t="s">
        <v>450</v>
      </c>
      <c r="DG3772" s="7">
        <f>0</f>
        <v>0</v>
      </c>
      <c r="DI3772" s="5" t="s">
        <v>737</v>
      </c>
      <c r="DJ3772" s="5" t="s">
        <v>240</v>
      </c>
      <c r="DK3772" s="5" t="s">
        <v>240</v>
      </c>
      <c r="DL3772" s="5" t="s">
        <v>240</v>
      </c>
      <c r="DM3772" s="5" t="s">
        <v>240</v>
      </c>
      <c r="DN3772" s="5" t="s">
        <v>240</v>
      </c>
      <c r="DO3772" s="7" t="s">
        <v>240</v>
      </c>
      <c r="DP3772" s="5" t="s">
        <v>240</v>
      </c>
      <c r="DQ3772" s="5" t="s">
        <v>240</v>
      </c>
      <c r="DR3772" s="5" t="s">
        <v>731</v>
      </c>
      <c r="DS3772" s="5" t="s">
        <v>731</v>
      </c>
      <c r="DT3772" s="5" t="s">
        <v>240</v>
      </c>
      <c r="DU3772" s="5" t="s">
        <v>240</v>
      </c>
      <c r="DV3772" s="5" t="s">
        <v>738</v>
      </c>
      <c r="DW3772" s="5" t="s">
        <v>701</v>
      </c>
      <c r="DX3772" s="5" t="s">
        <v>240</v>
      </c>
      <c r="DY3772" s="5" t="s">
        <v>240</v>
      </c>
      <c r="DZ3772" s="5" t="s">
        <v>240</v>
      </c>
      <c r="EA3772" s="5" t="s">
        <v>240</v>
      </c>
      <c r="EB3772" s="5" t="s">
        <v>240</v>
      </c>
      <c r="EC3772" s="5" t="s">
        <v>240</v>
      </c>
      <c r="ED3772" s="5" t="s">
        <v>240</v>
      </c>
      <c r="EE3772" s="5" t="s">
        <v>240</v>
      </c>
      <c r="EF3772" s="5" t="s">
        <v>240</v>
      </c>
      <c r="EG3772" s="5" t="s">
        <v>240</v>
      </c>
      <c r="EH3772" s="5" t="s">
        <v>240</v>
      </c>
      <c r="EI3772" s="5" t="s">
        <v>240</v>
      </c>
      <c r="EJ3772" s="5" t="s">
        <v>240</v>
      </c>
      <c r="EK3772" s="5" t="s">
        <v>240</v>
      </c>
      <c r="EL3772" s="5" t="s">
        <v>240</v>
      </c>
      <c r="EM3772" s="5" t="s">
        <v>240</v>
      </c>
      <c r="EN3772" s="5" t="s">
        <v>240</v>
      </c>
      <c r="EO3772" s="5" t="s">
        <v>240</v>
      </c>
      <c r="EP3772" s="5" t="s">
        <v>240</v>
      </c>
      <c r="EQ3772" s="5" t="s">
        <v>240</v>
      </c>
      <c r="ER3772" s="5" t="s">
        <v>240</v>
      </c>
      <c r="ES3772" s="5" t="s">
        <v>240</v>
      </c>
      <c r="ET3772" s="5" t="s">
        <v>240</v>
      </c>
      <c r="EU3772" s="5" t="s">
        <v>240</v>
      </c>
      <c r="EV3772" s="5" t="s">
        <v>240</v>
      </c>
      <c r="EW3772" s="5" t="s">
        <v>240</v>
      </c>
      <c r="EX3772" s="5" t="s">
        <v>240</v>
      </c>
      <c r="EY3772" s="5" t="s">
        <v>240</v>
      </c>
      <c r="EZ3772" s="5" t="s">
        <v>240</v>
      </c>
      <c r="FA3772" s="5" t="s">
        <v>240</v>
      </c>
      <c r="FB3772" s="5" t="s">
        <v>240</v>
      </c>
      <c r="FC3772" s="5" t="s">
        <v>240</v>
      </c>
      <c r="FD3772" s="5" t="s">
        <v>240</v>
      </c>
      <c r="FE3772" s="5" t="s">
        <v>240</v>
      </c>
      <c r="FF3772" s="5" t="s">
        <v>240</v>
      </c>
      <c r="FG3772" s="5" t="s">
        <v>240</v>
      </c>
      <c r="FH3772" s="5" t="s">
        <v>240</v>
      </c>
      <c r="FI3772" s="5" t="s">
        <v>240</v>
      </c>
      <c r="FJ3772" s="5" t="s">
        <v>240</v>
      </c>
      <c r="FK3772" s="5" t="s">
        <v>240</v>
      </c>
      <c r="FL3772" s="5" t="s">
        <v>240</v>
      </c>
      <c r="FM3772" s="5" t="s">
        <v>240</v>
      </c>
      <c r="FN3772" s="5" t="s">
        <v>240</v>
      </c>
      <c r="FO3772" s="5" t="s">
        <v>240</v>
      </c>
      <c r="FP3772" s="5" t="s">
        <v>240</v>
      </c>
      <c r="FQ3772" s="5" t="s">
        <v>240</v>
      </c>
      <c r="FR3772" s="5" t="s">
        <v>240</v>
      </c>
      <c r="FS3772" s="5" t="s">
        <v>240</v>
      </c>
      <c r="FT3772" s="5" t="s">
        <v>240</v>
      </c>
      <c r="FU3772" s="5" t="s">
        <v>240</v>
      </c>
      <c r="FV3772" s="5" t="s">
        <v>240</v>
      </c>
      <c r="FW3772" s="5" t="s">
        <v>240</v>
      </c>
      <c r="FX3772" s="5" t="s">
        <v>240</v>
      </c>
      <c r="FY3772" s="5" t="s">
        <v>240</v>
      </c>
      <c r="FZ3772" s="5" t="s">
        <v>240</v>
      </c>
      <c r="GA3772" s="5" t="s">
        <v>240</v>
      </c>
      <c r="GB3772" s="5" t="s">
        <v>240</v>
      </c>
      <c r="GC3772" s="5" t="s">
        <v>240</v>
      </c>
      <c r="GD3772" s="5" t="s">
        <v>240</v>
      </c>
      <c r="GE3772" s="5" t="s">
        <v>240</v>
      </c>
      <c r="GF3772" s="5" t="s">
        <v>240</v>
      </c>
      <c r="GG3772" s="5" t="s">
        <v>240</v>
      </c>
      <c r="GH3772" s="5" t="s">
        <v>240</v>
      </c>
      <c r="GI3772" s="5" t="s">
        <v>240</v>
      </c>
      <c r="GJ3772" s="5" t="s">
        <v>240</v>
      </c>
      <c r="GK3772" s="5" t="s">
        <v>240</v>
      </c>
      <c r="GL3772" s="5" t="s">
        <v>240</v>
      </c>
      <c r="GM3772" s="5" t="s">
        <v>240</v>
      </c>
      <c r="GN3772" s="5" t="s">
        <v>240</v>
      </c>
      <c r="GO3772" s="5" t="s">
        <v>240</v>
      </c>
      <c r="GP3772" s="5" t="s">
        <v>240</v>
      </c>
      <c r="GQ3772" s="5" t="s">
        <v>240</v>
      </c>
      <c r="GR3772" s="5" t="s">
        <v>240</v>
      </c>
      <c r="GS3772" s="5" t="s">
        <v>240</v>
      </c>
      <c r="GT3772" s="5" t="s">
        <v>240</v>
      </c>
      <c r="GU3772" s="5" t="s">
        <v>240</v>
      </c>
      <c r="GV3772" s="5" t="s">
        <v>240</v>
      </c>
      <c r="GW3772" s="5" t="s">
        <v>240</v>
      </c>
      <c r="GX3772" s="5" t="s">
        <v>240</v>
      </c>
      <c r="GY3772" s="5" t="s">
        <v>240</v>
      </c>
      <c r="GZ3772" s="5" t="s">
        <v>240</v>
      </c>
      <c r="HA3772" s="5" t="s">
        <v>240</v>
      </c>
      <c r="HB3772" s="5" t="s">
        <v>240</v>
      </c>
      <c r="HC3772" s="5" t="s">
        <v>240</v>
      </c>
      <c r="HD3772" s="5" t="s">
        <v>240</v>
      </c>
      <c r="HE3772" s="5" t="s">
        <v>240</v>
      </c>
      <c r="HF3772" s="5" t="s">
        <v>240</v>
      </c>
      <c r="HG3772" s="5" t="s">
        <v>240</v>
      </c>
      <c r="HH3772" s="5" t="s">
        <v>240</v>
      </c>
      <c r="HI3772" s="5" t="s">
        <v>240</v>
      </c>
      <c r="HJ3772" s="5" t="s">
        <v>240</v>
      </c>
      <c r="HK3772" s="5" t="s">
        <v>240</v>
      </c>
      <c r="HL3772" s="5" t="s">
        <v>240</v>
      </c>
      <c r="HM3772" s="5" t="s">
        <v>240</v>
      </c>
      <c r="HN3772" s="5" t="s">
        <v>240</v>
      </c>
      <c r="HO3772" s="5" t="s">
        <v>312</v>
      </c>
      <c r="HP3772" s="5" t="s">
        <v>240</v>
      </c>
      <c r="HQ3772" s="5" t="s">
        <v>240</v>
      </c>
      <c r="HR3772" s="5" t="s">
        <v>240</v>
      </c>
      <c r="HS3772" s="5" t="s">
        <v>240</v>
      </c>
      <c r="HT3772" s="5" t="s">
        <v>240</v>
      </c>
      <c r="HU3772" s="5" t="s">
        <v>240</v>
      </c>
      <c r="HV3772" s="5" t="s">
        <v>240</v>
      </c>
      <c r="HW3772" s="5" t="s">
        <v>240</v>
      </c>
      <c r="HX3772" s="5" t="s">
        <v>240</v>
      </c>
      <c r="HY3772" s="5" t="s">
        <v>240</v>
      </c>
      <c r="HZ3772" s="5" t="s">
        <v>240</v>
      </c>
      <c r="IA3772" s="5" t="s">
        <v>240</v>
      </c>
      <c r="IB3772" s="5" t="s">
        <v>240</v>
      </c>
      <c r="IC3772" s="5" t="s">
        <v>240</v>
      </c>
      <c r="ID3772" s="5" t="s">
        <v>240</v>
      </c>
      <c r="IE3772" s="5" t="s">
        <v>240</v>
      </c>
      <c r="IF3772" s="5" t="s">
        <v>240</v>
      </c>
    </row>
    <row r="3773" spans="1:240" x14ac:dyDescent="0.4">
      <c r="A3773" s="5">
        <v>9315</v>
      </c>
      <c r="B3773" s="5">
        <v>1</v>
      </c>
      <c r="C3773" s="5">
        <v>1</v>
      </c>
      <c r="D3773" s="5" t="s">
        <v>723</v>
      </c>
      <c r="E3773" s="5" t="s">
        <v>725</v>
      </c>
      <c r="F3773" s="5" t="s">
        <v>254</v>
      </c>
      <c r="G3773" s="5" t="s">
        <v>726</v>
      </c>
      <c r="H3773" s="6" t="s">
        <v>5422</v>
      </c>
      <c r="I3773" s="5" t="s">
        <v>5421</v>
      </c>
      <c r="J3773" s="7">
        <f>1</f>
        <v>1</v>
      </c>
      <c r="K3773" s="5" t="s">
        <v>3682</v>
      </c>
      <c r="L3773" s="7">
        <f>1</f>
        <v>1</v>
      </c>
      <c r="M3773" s="7">
        <f>1</f>
        <v>1</v>
      </c>
      <c r="N3773" s="5" t="s">
        <v>242</v>
      </c>
      <c r="O3773" s="5">
        <v>1</v>
      </c>
      <c r="P3773" s="5" t="s">
        <v>294</v>
      </c>
      <c r="Q3773" s="5" t="s">
        <v>613</v>
      </c>
      <c r="R3773" s="5" t="s">
        <v>240</v>
      </c>
      <c r="S3773" s="5" t="s">
        <v>240</v>
      </c>
      <c r="T3773" s="5" t="s">
        <v>243</v>
      </c>
      <c r="U3773" s="5" t="s">
        <v>244</v>
      </c>
      <c r="V3773" s="5" t="s">
        <v>240</v>
      </c>
      <c r="Y3773" s="5" t="s">
        <v>240</v>
      </c>
      <c r="Z3773" s="6" t="s">
        <v>298</v>
      </c>
      <c r="AB3773" s="6" t="s">
        <v>240</v>
      </c>
      <c r="AE3773" s="6" t="s">
        <v>299</v>
      </c>
      <c r="AF3773" s="5" t="s">
        <v>248</v>
      </c>
      <c r="AG3773" s="5" t="s">
        <v>249</v>
      </c>
      <c r="AW3773" s="5" t="s">
        <v>251</v>
      </c>
      <c r="AX3773" s="5" t="s">
        <v>240</v>
      </c>
      <c r="AY3773" s="5" t="s">
        <v>253</v>
      </c>
      <c r="AZ3773" s="5" t="s">
        <v>240</v>
      </c>
      <c r="BA3773" s="5" t="s">
        <v>255</v>
      </c>
      <c r="BB3773" s="5" t="s">
        <v>240</v>
      </c>
      <c r="BD3773" s="5" t="s">
        <v>240</v>
      </c>
      <c r="BF3773" s="5" t="s">
        <v>301</v>
      </c>
      <c r="BG3773" s="6" t="s">
        <v>299</v>
      </c>
      <c r="BH3773" s="5" t="s">
        <v>302</v>
      </c>
      <c r="BI3773" s="5" t="s">
        <v>6587</v>
      </c>
      <c r="BJ3773" s="5" t="s">
        <v>240</v>
      </c>
      <c r="BK3773" s="8">
        <f>0</f>
        <v>0</v>
      </c>
      <c r="BL3773" s="7">
        <f>0</f>
        <v>0</v>
      </c>
      <c r="BM3773" s="5" t="s">
        <v>258</v>
      </c>
      <c r="BN3773" s="5" t="s">
        <v>259</v>
      </c>
      <c r="CB3773" s="5" t="s">
        <v>240</v>
      </c>
      <c r="CC3773" s="5" t="s">
        <v>240</v>
      </c>
      <c r="CG3773" s="5" t="s">
        <v>617</v>
      </c>
      <c r="CH3773" s="5" t="s">
        <v>305</v>
      </c>
      <c r="CI3773" s="5" t="s">
        <v>240</v>
      </c>
      <c r="CL3773" s="6" t="s">
        <v>261</v>
      </c>
      <c r="CM3773" s="5" t="s">
        <v>240</v>
      </c>
      <c r="CN3773" s="5" t="s">
        <v>263</v>
      </c>
      <c r="CO3773" s="5" t="s">
        <v>240</v>
      </c>
      <c r="CP3773" s="5" t="s">
        <v>240</v>
      </c>
      <c r="CQ3773" s="5">
        <v>0</v>
      </c>
      <c r="CR3773" s="5" t="s">
        <v>306</v>
      </c>
      <c r="CS3773" s="5" t="s">
        <v>307</v>
      </c>
      <c r="CT3773" s="5" t="s">
        <v>307</v>
      </c>
      <c r="CU3773" s="5" t="s">
        <v>260</v>
      </c>
      <c r="CX3773" s="7">
        <f>2979175</f>
        <v>2979175</v>
      </c>
      <c r="CY3773" s="7">
        <f>0</f>
        <v>0</v>
      </c>
      <c r="DA3773" s="7">
        <f>0</f>
        <v>0</v>
      </c>
      <c r="DC3773" s="5" t="s">
        <v>689</v>
      </c>
      <c r="DD3773" s="5" t="s">
        <v>240</v>
      </c>
      <c r="DF3773" s="5" t="s">
        <v>450</v>
      </c>
      <c r="DG3773" s="7">
        <f>0</f>
        <v>0</v>
      </c>
      <c r="DI3773" s="5" t="s">
        <v>618</v>
      </c>
      <c r="DJ3773" s="5" t="s">
        <v>240</v>
      </c>
      <c r="DK3773" s="5" t="s">
        <v>240</v>
      </c>
      <c r="DL3773" s="5" t="s">
        <v>240</v>
      </c>
      <c r="DP3773" s="5" t="s">
        <v>240</v>
      </c>
      <c r="DQ3773" s="5" t="s">
        <v>240</v>
      </c>
      <c r="DR3773" s="5" t="s">
        <v>240</v>
      </c>
      <c r="DS3773" s="5" t="s">
        <v>240</v>
      </c>
      <c r="DV3773" s="5" t="s">
        <v>6588</v>
      </c>
      <c r="DW3773" s="5" t="s">
        <v>621</v>
      </c>
      <c r="HO3773" s="5" t="s">
        <v>620</v>
      </c>
    </row>
    <row r="3774" spans="1:240" x14ac:dyDescent="0.4">
      <c r="A3774" s="5">
        <v>9316</v>
      </c>
      <c r="B3774" s="5">
        <v>1</v>
      </c>
      <c r="C3774" s="5">
        <v>1</v>
      </c>
      <c r="D3774" s="5" t="s">
        <v>723</v>
      </c>
      <c r="E3774" s="5" t="s">
        <v>725</v>
      </c>
      <c r="F3774" s="5" t="s">
        <v>254</v>
      </c>
      <c r="G3774" s="5" t="s">
        <v>726</v>
      </c>
      <c r="H3774" s="6" t="s">
        <v>5420</v>
      </c>
      <c r="I3774" s="5" t="s">
        <v>5419</v>
      </c>
      <c r="J3774" s="7">
        <f>1</f>
        <v>1</v>
      </c>
      <c r="K3774" s="5" t="s">
        <v>3682</v>
      </c>
      <c r="L3774" s="7">
        <f>1</f>
        <v>1</v>
      </c>
      <c r="M3774" s="7">
        <f>1</f>
        <v>1</v>
      </c>
      <c r="N3774" s="5" t="s">
        <v>242</v>
      </c>
      <c r="O3774" s="5">
        <v>1</v>
      </c>
      <c r="P3774" s="5" t="s">
        <v>294</v>
      </c>
      <c r="Q3774" s="5" t="s">
        <v>613</v>
      </c>
      <c r="R3774" s="5" t="s">
        <v>240</v>
      </c>
      <c r="S3774" s="5" t="s">
        <v>240</v>
      </c>
      <c r="T3774" s="5" t="s">
        <v>243</v>
      </c>
      <c r="U3774" s="5" t="s">
        <v>724</v>
      </c>
      <c r="V3774" s="5" t="s">
        <v>240</v>
      </c>
      <c r="W3774" s="5" t="s">
        <v>240</v>
      </c>
      <c r="X3774" s="5" t="s">
        <v>240</v>
      </c>
      <c r="Y3774" s="5" t="s">
        <v>240</v>
      </c>
      <c r="Z3774" s="6" t="s">
        <v>298</v>
      </c>
      <c r="AA3774" s="6" t="s">
        <v>240</v>
      </c>
      <c r="AB3774" s="6" t="s">
        <v>240</v>
      </c>
      <c r="AC3774" s="5" t="s">
        <v>240</v>
      </c>
      <c r="AD3774" s="6" t="s">
        <v>240</v>
      </c>
      <c r="AE3774" s="6" t="s">
        <v>299</v>
      </c>
      <c r="AF3774" s="5" t="s">
        <v>727</v>
      </c>
      <c r="AG3774" s="5" t="s">
        <v>260</v>
      </c>
      <c r="AH3774" s="5" t="s">
        <v>240</v>
      </c>
      <c r="AI3774" s="5" t="s">
        <v>240</v>
      </c>
      <c r="AJ3774" s="5" t="s">
        <v>240</v>
      </c>
      <c r="AK3774" s="5" t="s">
        <v>240</v>
      </c>
      <c r="AL3774" s="5" t="s">
        <v>240</v>
      </c>
      <c r="AM3774" s="5" t="s">
        <v>240</v>
      </c>
      <c r="AN3774" s="5" t="s">
        <v>240</v>
      </c>
      <c r="AO3774" s="5" t="s">
        <v>240</v>
      </c>
      <c r="AP3774" s="6" t="s">
        <v>240</v>
      </c>
      <c r="AQ3774" s="6" t="s">
        <v>240</v>
      </c>
      <c r="AR3774" s="6" t="s">
        <v>240</v>
      </c>
      <c r="AS3774" s="6" t="s">
        <v>240</v>
      </c>
      <c r="AT3774" s="5" t="s">
        <v>240</v>
      </c>
      <c r="AU3774" s="5" t="s">
        <v>729</v>
      </c>
      <c r="AV3774" s="5" t="s">
        <v>729</v>
      </c>
      <c r="AW3774" s="5" t="s">
        <v>251</v>
      </c>
      <c r="AX3774" s="5" t="s">
        <v>252</v>
      </c>
      <c r="AY3774" s="5" t="s">
        <v>253</v>
      </c>
      <c r="AZ3774" s="5" t="s">
        <v>240</v>
      </c>
      <c r="BA3774" s="5" t="s">
        <v>255</v>
      </c>
      <c r="BB3774" s="5" t="s">
        <v>731</v>
      </c>
      <c r="BD3774" s="5" t="s">
        <v>240</v>
      </c>
      <c r="BF3774" s="5" t="s">
        <v>732</v>
      </c>
      <c r="BG3774" s="6" t="s">
        <v>733</v>
      </c>
      <c r="BH3774" s="5" t="s">
        <v>734</v>
      </c>
      <c r="BI3774" s="5" t="s">
        <v>734</v>
      </c>
      <c r="BJ3774" s="5" t="s">
        <v>240</v>
      </c>
      <c r="BK3774" s="8">
        <f>57</f>
        <v>57</v>
      </c>
      <c r="BL3774" s="7">
        <f>0</f>
        <v>0</v>
      </c>
      <c r="BM3774" s="5" t="s">
        <v>258</v>
      </c>
      <c r="BN3774" s="5" t="s">
        <v>259</v>
      </c>
      <c r="BO3774" s="5" t="s">
        <v>240</v>
      </c>
      <c r="BP3774" s="5" t="s">
        <v>240</v>
      </c>
      <c r="BQ3774" s="5" t="s">
        <v>240</v>
      </c>
      <c r="BR3774" s="5" t="s">
        <v>240</v>
      </c>
      <c r="BS3774" s="5" t="s">
        <v>240</v>
      </c>
      <c r="BT3774" s="5" t="s">
        <v>240</v>
      </c>
      <c r="BU3774" s="5" t="s">
        <v>240</v>
      </c>
      <c r="BV3774" s="5" t="s">
        <v>240</v>
      </c>
      <c r="BW3774" s="6" t="s">
        <v>240</v>
      </c>
      <c r="BX3774" s="5" t="s">
        <v>240</v>
      </c>
      <c r="BY3774" s="5" t="s">
        <v>240</v>
      </c>
      <c r="BZ3774" s="5" t="s">
        <v>240</v>
      </c>
      <c r="CA3774" s="5" t="s">
        <v>259</v>
      </c>
      <c r="CB3774" s="5" t="s">
        <v>240</v>
      </c>
      <c r="CC3774" s="5" t="s">
        <v>240</v>
      </c>
      <c r="CD3774" s="5" t="s">
        <v>240</v>
      </c>
      <c r="CE3774" s="5" t="s">
        <v>240</v>
      </c>
      <c r="CF3774" s="5" t="s">
        <v>240</v>
      </c>
      <c r="CG3774" s="5" t="s">
        <v>617</v>
      </c>
      <c r="CH3774" s="5" t="s">
        <v>305</v>
      </c>
      <c r="CI3774" s="5" t="s">
        <v>240</v>
      </c>
      <c r="CL3774" s="6" t="s">
        <v>261</v>
      </c>
      <c r="CM3774" s="5" t="s">
        <v>262</v>
      </c>
      <c r="CN3774" s="5" t="s">
        <v>263</v>
      </c>
      <c r="CO3774" s="5" t="s">
        <v>264</v>
      </c>
      <c r="CP3774" s="5" t="s">
        <v>240</v>
      </c>
      <c r="CQ3774" s="5">
        <v>0</v>
      </c>
      <c r="CR3774" s="5" t="s">
        <v>735</v>
      </c>
      <c r="CS3774" s="5" t="s">
        <v>307</v>
      </c>
      <c r="CT3774" s="5" t="s">
        <v>307</v>
      </c>
      <c r="CU3774" s="5" t="s">
        <v>260</v>
      </c>
      <c r="CV3774" s="5" t="s">
        <v>240</v>
      </c>
      <c r="CW3774" s="8">
        <f>0</f>
        <v>0</v>
      </c>
      <c r="CX3774" s="7">
        <f>0</f>
        <v>0</v>
      </c>
      <c r="CY3774" s="7">
        <f>0</f>
        <v>0</v>
      </c>
      <c r="DA3774" s="7">
        <f>627</f>
        <v>627</v>
      </c>
      <c r="DB3774" s="7" t="s">
        <v>240</v>
      </c>
      <c r="DC3774" s="5" t="s">
        <v>240</v>
      </c>
      <c r="DD3774" s="5" t="s">
        <v>240</v>
      </c>
      <c r="DE3774" s="5" t="s">
        <v>240</v>
      </c>
      <c r="DF3774" s="5" t="s">
        <v>450</v>
      </c>
      <c r="DG3774" s="7">
        <f>0</f>
        <v>0</v>
      </c>
      <c r="DH3774" s="6" t="s">
        <v>6280</v>
      </c>
      <c r="DI3774" s="5" t="s">
        <v>737</v>
      </c>
      <c r="DJ3774" s="5" t="s">
        <v>240</v>
      </c>
      <c r="DK3774" s="5" t="s">
        <v>240</v>
      </c>
      <c r="DL3774" s="5" t="s">
        <v>240</v>
      </c>
      <c r="DM3774" s="5" t="s">
        <v>240</v>
      </c>
      <c r="DN3774" s="5" t="s">
        <v>240</v>
      </c>
      <c r="DO3774" s="7" t="s">
        <v>240</v>
      </c>
      <c r="DP3774" s="5" t="s">
        <v>240</v>
      </c>
      <c r="DQ3774" s="5" t="s">
        <v>240</v>
      </c>
      <c r="DR3774" s="5" t="s">
        <v>731</v>
      </c>
      <c r="DS3774" s="5" t="s">
        <v>731</v>
      </c>
      <c r="DT3774" s="5" t="s">
        <v>240</v>
      </c>
      <c r="DU3774" s="5" t="s">
        <v>240</v>
      </c>
      <c r="DV3774" s="5" t="s">
        <v>738</v>
      </c>
      <c r="DW3774" s="5" t="s">
        <v>660</v>
      </c>
      <c r="DX3774" s="5" t="s">
        <v>240</v>
      </c>
      <c r="DY3774" s="5" t="s">
        <v>240</v>
      </c>
      <c r="DZ3774" s="5" t="s">
        <v>240</v>
      </c>
      <c r="EA3774" s="5" t="s">
        <v>240</v>
      </c>
      <c r="EB3774" s="5" t="s">
        <v>240</v>
      </c>
      <c r="EC3774" s="5" t="s">
        <v>240</v>
      </c>
      <c r="ED3774" s="5" t="s">
        <v>240</v>
      </c>
      <c r="EE3774" s="5" t="s">
        <v>240</v>
      </c>
      <c r="EF3774" s="5" t="s">
        <v>240</v>
      </c>
      <c r="EG3774" s="5" t="s">
        <v>240</v>
      </c>
      <c r="EH3774" s="5" t="s">
        <v>240</v>
      </c>
      <c r="EI3774" s="5" t="s">
        <v>240</v>
      </c>
      <c r="EJ3774" s="5" t="s">
        <v>240</v>
      </c>
      <c r="EK3774" s="5" t="s">
        <v>240</v>
      </c>
      <c r="EL3774" s="5" t="s">
        <v>240</v>
      </c>
      <c r="EM3774" s="5" t="s">
        <v>240</v>
      </c>
      <c r="EN3774" s="5" t="s">
        <v>240</v>
      </c>
      <c r="EO3774" s="5" t="s">
        <v>240</v>
      </c>
      <c r="EP3774" s="5" t="s">
        <v>240</v>
      </c>
      <c r="EQ3774" s="5" t="s">
        <v>240</v>
      </c>
      <c r="ER3774" s="5" t="s">
        <v>240</v>
      </c>
      <c r="ES3774" s="5" t="s">
        <v>240</v>
      </c>
      <c r="ET3774" s="5" t="s">
        <v>240</v>
      </c>
      <c r="EU3774" s="5" t="s">
        <v>240</v>
      </c>
      <c r="EV3774" s="5" t="s">
        <v>240</v>
      </c>
      <c r="EW3774" s="5" t="s">
        <v>240</v>
      </c>
      <c r="EX3774" s="5" t="s">
        <v>240</v>
      </c>
      <c r="EY3774" s="5" t="s">
        <v>240</v>
      </c>
      <c r="EZ3774" s="5" t="s">
        <v>240</v>
      </c>
      <c r="FA3774" s="5" t="s">
        <v>240</v>
      </c>
      <c r="FB3774" s="5" t="s">
        <v>240</v>
      </c>
      <c r="FC3774" s="5" t="s">
        <v>240</v>
      </c>
      <c r="FD3774" s="5" t="s">
        <v>240</v>
      </c>
      <c r="FE3774" s="5" t="s">
        <v>240</v>
      </c>
      <c r="FF3774" s="5" t="s">
        <v>240</v>
      </c>
      <c r="FG3774" s="5" t="s">
        <v>240</v>
      </c>
      <c r="FH3774" s="5" t="s">
        <v>240</v>
      </c>
      <c r="FI3774" s="5" t="s">
        <v>240</v>
      </c>
      <c r="FJ3774" s="5" t="s">
        <v>240</v>
      </c>
      <c r="FK3774" s="5" t="s">
        <v>240</v>
      </c>
      <c r="FL3774" s="5" t="s">
        <v>240</v>
      </c>
      <c r="FM3774" s="5" t="s">
        <v>240</v>
      </c>
      <c r="FN3774" s="5" t="s">
        <v>240</v>
      </c>
      <c r="FO3774" s="5" t="s">
        <v>240</v>
      </c>
      <c r="FP3774" s="5" t="s">
        <v>240</v>
      </c>
      <c r="FQ3774" s="5" t="s">
        <v>240</v>
      </c>
      <c r="FR3774" s="5" t="s">
        <v>240</v>
      </c>
      <c r="FS3774" s="5" t="s">
        <v>240</v>
      </c>
      <c r="FT3774" s="5" t="s">
        <v>240</v>
      </c>
      <c r="FU3774" s="5" t="s">
        <v>240</v>
      </c>
      <c r="FV3774" s="5" t="s">
        <v>240</v>
      </c>
      <c r="FW3774" s="5" t="s">
        <v>240</v>
      </c>
      <c r="FX3774" s="5" t="s">
        <v>240</v>
      </c>
      <c r="FY3774" s="5" t="s">
        <v>240</v>
      </c>
      <c r="FZ3774" s="5" t="s">
        <v>240</v>
      </c>
      <c r="GA3774" s="5" t="s">
        <v>240</v>
      </c>
      <c r="GB3774" s="5" t="s">
        <v>240</v>
      </c>
      <c r="GC3774" s="5" t="s">
        <v>240</v>
      </c>
      <c r="GD3774" s="5" t="s">
        <v>240</v>
      </c>
      <c r="GE3774" s="5" t="s">
        <v>240</v>
      </c>
      <c r="GF3774" s="5" t="s">
        <v>240</v>
      </c>
      <c r="GG3774" s="5" t="s">
        <v>240</v>
      </c>
      <c r="GH3774" s="5" t="s">
        <v>240</v>
      </c>
      <c r="GI3774" s="5" t="s">
        <v>240</v>
      </c>
      <c r="GJ3774" s="5" t="s">
        <v>240</v>
      </c>
      <c r="GK3774" s="5" t="s">
        <v>240</v>
      </c>
      <c r="GL3774" s="5" t="s">
        <v>240</v>
      </c>
      <c r="GM3774" s="5" t="s">
        <v>240</v>
      </c>
      <c r="GN3774" s="5" t="s">
        <v>240</v>
      </c>
      <c r="GO3774" s="5" t="s">
        <v>240</v>
      </c>
      <c r="GP3774" s="5" t="s">
        <v>240</v>
      </c>
      <c r="GQ3774" s="5" t="s">
        <v>240</v>
      </c>
      <c r="GR3774" s="5" t="s">
        <v>240</v>
      </c>
      <c r="GS3774" s="5" t="s">
        <v>240</v>
      </c>
      <c r="GT3774" s="5" t="s">
        <v>240</v>
      </c>
      <c r="GU3774" s="5" t="s">
        <v>240</v>
      </c>
      <c r="GV3774" s="5" t="s">
        <v>240</v>
      </c>
      <c r="GW3774" s="5" t="s">
        <v>240</v>
      </c>
      <c r="GX3774" s="5" t="s">
        <v>240</v>
      </c>
      <c r="GY3774" s="5" t="s">
        <v>240</v>
      </c>
      <c r="GZ3774" s="5" t="s">
        <v>240</v>
      </c>
      <c r="HA3774" s="5" t="s">
        <v>240</v>
      </c>
      <c r="HB3774" s="5" t="s">
        <v>240</v>
      </c>
      <c r="HC3774" s="5" t="s">
        <v>240</v>
      </c>
      <c r="HD3774" s="5" t="s">
        <v>240</v>
      </c>
      <c r="HE3774" s="5" t="s">
        <v>240</v>
      </c>
      <c r="HF3774" s="5" t="s">
        <v>240</v>
      </c>
      <c r="HG3774" s="5" t="s">
        <v>240</v>
      </c>
      <c r="HH3774" s="5" t="s">
        <v>240</v>
      </c>
      <c r="HI3774" s="5" t="s">
        <v>240</v>
      </c>
      <c r="HJ3774" s="5" t="s">
        <v>240</v>
      </c>
      <c r="HK3774" s="5" t="s">
        <v>240</v>
      </c>
      <c r="HL3774" s="5" t="s">
        <v>240</v>
      </c>
      <c r="HM3774" s="5" t="s">
        <v>240</v>
      </c>
      <c r="HN3774" s="5" t="s">
        <v>240</v>
      </c>
      <c r="HO3774" s="5" t="s">
        <v>620</v>
      </c>
      <c r="HP3774" s="5" t="s">
        <v>240</v>
      </c>
      <c r="HQ3774" s="5" t="s">
        <v>240</v>
      </c>
      <c r="HR3774" s="5" t="s">
        <v>240</v>
      </c>
      <c r="HS3774" s="5" t="s">
        <v>240</v>
      </c>
      <c r="HT3774" s="5" t="s">
        <v>240</v>
      </c>
      <c r="HU3774" s="5" t="s">
        <v>240</v>
      </c>
      <c r="HV3774" s="5" t="s">
        <v>240</v>
      </c>
      <c r="HW3774" s="5" t="s">
        <v>240</v>
      </c>
      <c r="HX3774" s="5" t="s">
        <v>240</v>
      </c>
      <c r="HY3774" s="5" t="s">
        <v>240</v>
      </c>
      <c r="HZ3774" s="5" t="s">
        <v>240</v>
      </c>
      <c r="IA3774" s="5" t="s">
        <v>240</v>
      </c>
      <c r="IB3774" s="5" t="s">
        <v>240</v>
      </c>
      <c r="IC3774" s="5" t="s">
        <v>240</v>
      </c>
      <c r="ID3774" s="5" t="s">
        <v>240</v>
      </c>
      <c r="IE3774" s="5" t="s">
        <v>240</v>
      </c>
      <c r="IF3774" s="5" t="s">
        <v>240</v>
      </c>
    </row>
    <row r="3775" spans="1:240" x14ac:dyDescent="0.4">
      <c r="A3775" s="5">
        <v>9317</v>
      </c>
      <c r="B3775" s="5">
        <v>1</v>
      </c>
      <c r="C3775" s="5">
        <v>1</v>
      </c>
      <c r="D3775" s="5" t="s">
        <v>723</v>
      </c>
      <c r="E3775" s="5" t="s">
        <v>725</v>
      </c>
      <c r="F3775" s="5" t="s">
        <v>254</v>
      </c>
      <c r="G3775" s="5" t="s">
        <v>726</v>
      </c>
      <c r="H3775" s="6" t="s">
        <v>5418</v>
      </c>
      <c r="I3775" s="5" t="s">
        <v>5417</v>
      </c>
      <c r="J3775" s="7">
        <f>1</f>
        <v>1</v>
      </c>
      <c r="K3775" s="5" t="s">
        <v>3682</v>
      </c>
      <c r="L3775" s="7">
        <f>1</f>
        <v>1</v>
      </c>
      <c r="M3775" s="7">
        <f>1</f>
        <v>1</v>
      </c>
      <c r="N3775" s="5" t="s">
        <v>242</v>
      </c>
      <c r="O3775" s="5">
        <v>1</v>
      </c>
      <c r="P3775" s="5" t="s">
        <v>294</v>
      </c>
      <c r="Q3775" s="5" t="s">
        <v>613</v>
      </c>
      <c r="R3775" s="5" t="s">
        <v>240</v>
      </c>
      <c r="S3775" s="5" t="s">
        <v>240</v>
      </c>
      <c r="T3775" s="5" t="s">
        <v>243</v>
      </c>
      <c r="U3775" s="5" t="s">
        <v>244</v>
      </c>
      <c r="V3775" s="5" t="s">
        <v>240</v>
      </c>
      <c r="Y3775" s="5" t="s">
        <v>240</v>
      </c>
      <c r="Z3775" s="6" t="s">
        <v>298</v>
      </c>
      <c r="AB3775" s="6" t="s">
        <v>240</v>
      </c>
      <c r="AE3775" s="6" t="s">
        <v>299</v>
      </c>
      <c r="AF3775" s="5" t="s">
        <v>248</v>
      </c>
      <c r="AG3775" s="5" t="s">
        <v>249</v>
      </c>
      <c r="AW3775" s="5" t="s">
        <v>251</v>
      </c>
      <c r="AX3775" s="5" t="s">
        <v>240</v>
      </c>
      <c r="AY3775" s="5" t="s">
        <v>253</v>
      </c>
      <c r="AZ3775" s="5" t="s">
        <v>240</v>
      </c>
      <c r="BA3775" s="5" t="s">
        <v>255</v>
      </c>
      <c r="BB3775" s="5" t="s">
        <v>240</v>
      </c>
      <c r="BD3775" s="5" t="s">
        <v>240</v>
      </c>
      <c r="BF3775" s="5" t="s">
        <v>301</v>
      </c>
      <c r="BG3775" s="6" t="s">
        <v>299</v>
      </c>
      <c r="BH3775" s="5" t="s">
        <v>302</v>
      </c>
      <c r="BI3775" s="5" t="s">
        <v>6587</v>
      </c>
      <c r="BJ3775" s="5" t="s">
        <v>240</v>
      </c>
      <c r="BK3775" s="8">
        <f>0</f>
        <v>0</v>
      </c>
      <c r="BL3775" s="7">
        <f>0</f>
        <v>0</v>
      </c>
      <c r="BM3775" s="5" t="s">
        <v>258</v>
      </c>
      <c r="BN3775" s="5" t="s">
        <v>259</v>
      </c>
      <c r="CB3775" s="5" t="s">
        <v>240</v>
      </c>
      <c r="CC3775" s="5" t="s">
        <v>240</v>
      </c>
      <c r="CG3775" s="5" t="s">
        <v>617</v>
      </c>
      <c r="CH3775" s="5" t="s">
        <v>305</v>
      </c>
      <c r="CI3775" s="5" t="s">
        <v>240</v>
      </c>
      <c r="CL3775" s="6" t="s">
        <v>261</v>
      </c>
      <c r="CM3775" s="5" t="s">
        <v>240</v>
      </c>
      <c r="CN3775" s="5" t="s">
        <v>263</v>
      </c>
      <c r="CO3775" s="5" t="s">
        <v>240</v>
      </c>
      <c r="CP3775" s="5" t="s">
        <v>240</v>
      </c>
      <c r="CQ3775" s="5">
        <v>0</v>
      </c>
      <c r="CR3775" s="5" t="s">
        <v>306</v>
      </c>
      <c r="CS3775" s="5" t="s">
        <v>307</v>
      </c>
      <c r="CT3775" s="5" t="s">
        <v>307</v>
      </c>
      <c r="CU3775" s="5" t="s">
        <v>260</v>
      </c>
      <c r="CX3775" s="7">
        <f>50945</f>
        <v>50945</v>
      </c>
      <c r="CY3775" s="7">
        <f>0</f>
        <v>0</v>
      </c>
      <c r="DA3775" s="7">
        <f>0</f>
        <v>0</v>
      </c>
      <c r="DC3775" s="5" t="s">
        <v>689</v>
      </c>
      <c r="DD3775" s="5" t="s">
        <v>240</v>
      </c>
      <c r="DF3775" s="5" t="s">
        <v>450</v>
      </c>
      <c r="DG3775" s="7">
        <f>0</f>
        <v>0</v>
      </c>
      <c r="DI3775" s="5" t="s">
        <v>618</v>
      </c>
      <c r="DJ3775" s="5" t="s">
        <v>240</v>
      </c>
      <c r="DK3775" s="5" t="s">
        <v>240</v>
      </c>
      <c r="DL3775" s="5" t="s">
        <v>240</v>
      </c>
      <c r="DP3775" s="5" t="s">
        <v>240</v>
      </c>
      <c r="DQ3775" s="5" t="s">
        <v>240</v>
      </c>
      <c r="DR3775" s="5" t="s">
        <v>240</v>
      </c>
      <c r="DS3775" s="5" t="s">
        <v>240</v>
      </c>
      <c r="DV3775" s="5" t="s">
        <v>6591</v>
      </c>
      <c r="DW3775" s="5" t="s">
        <v>816</v>
      </c>
      <c r="HO3775" s="5" t="s">
        <v>620</v>
      </c>
    </row>
    <row r="3776" spans="1:240" x14ac:dyDescent="0.4">
      <c r="A3776" s="5">
        <v>9318</v>
      </c>
      <c r="B3776" s="5">
        <v>1</v>
      </c>
      <c r="C3776" s="5">
        <v>1</v>
      </c>
      <c r="D3776" s="5" t="s">
        <v>723</v>
      </c>
      <c r="E3776" s="5" t="s">
        <v>725</v>
      </c>
      <c r="F3776" s="5" t="s">
        <v>254</v>
      </c>
      <c r="G3776" s="5" t="s">
        <v>726</v>
      </c>
      <c r="H3776" s="6" t="s">
        <v>5416</v>
      </c>
      <c r="I3776" s="5" t="s">
        <v>5415</v>
      </c>
      <c r="J3776" s="7">
        <f>1</f>
        <v>1</v>
      </c>
      <c r="K3776" s="5" t="s">
        <v>3682</v>
      </c>
      <c r="L3776" s="7">
        <f>1</f>
        <v>1</v>
      </c>
      <c r="M3776" s="7">
        <f>1</f>
        <v>1</v>
      </c>
      <c r="N3776" s="5" t="s">
        <v>242</v>
      </c>
      <c r="O3776" s="5">
        <v>1</v>
      </c>
      <c r="P3776" s="5" t="s">
        <v>294</v>
      </c>
      <c r="Q3776" s="5" t="s">
        <v>613</v>
      </c>
      <c r="R3776" s="5" t="s">
        <v>240</v>
      </c>
      <c r="S3776" s="5" t="s">
        <v>240</v>
      </c>
      <c r="T3776" s="5" t="s">
        <v>296</v>
      </c>
      <c r="U3776" s="5" t="s">
        <v>244</v>
      </c>
      <c r="V3776" s="5" t="s">
        <v>240</v>
      </c>
      <c r="Y3776" s="5" t="s">
        <v>240</v>
      </c>
      <c r="Z3776" s="6" t="s">
        <v>298</v>
      </c>
      <c r="AB3776" s="6" t="s">
        <v>240</v>
      </c>
      <c r="AE3776" s="6" t="s">
        <v>299</v>
      </c>
      <c r="AF3776" s="5" t="s">
        <v>248</v>
      </c>
      <c r="AG3776" s="5" t="s">
        <v>249</v>
      </c>
      <c r="AW3776" s="5" t="s">
        <v>251</v>
      </c>
      <c r="AX3776" s="5" t="s">
        <v>240</v>
      </c>
      <c r="AY3776" s="5" t="s">
        <v>253</v>
      </c>
      <c r="AZ3776" s="5" t="s">
        <v>240</v>
      </c>
      <c r="BA3776" s="5" t="s">
        <v>255</v>
      </c>
      <c r="BB3776" s="5" t="s">
        <v>240</v>
      </c>
      <c r="BD3776" s="5" t="s">
        <v>240</v>
      </c>
      <c r="BF3776" s="5" t="s">
        <v>301</v>
      </c>
      <c r="BG3776" s="6" t="s">
        <v>299</v>
      </c>
      <c r="BH3776" s="5" t="s">
        <v>302</v>
      </c>
      <c r="BI3776" s="5" t="s">
        <v>6587</v>
      </c>
      <c r="BJ3776" s="5" t="s">
        <v>240</v>
      </c>
      <c r="BK3776" s="8">
        <f>0</f>
        <v>0</v>
      </c>
      <c r="BL3776" s="7">
        <f>0</f>
        <v>0</v>
      </c>
      <c r="BM3776" s="5" t="s">
        <v>258</v>
      </c>
      <c r="BN3776" s="5" t="s">
        <v>259</v>
      </c>
      <c r="CB3776" s="5" t="s">
        <v>240</v>
      </c>
      <c r="CC3776" s="5" t="s">
        <v>240</v>
      </c>
      <c r="CG3776" s="5" t="s">
        <v>617</v>
      </c>
      <c r="CH3776" s="5" t="s">
        <v>305</v>
      </c>
      <c r="CI3776" s="5" t="s">
        <v>240</v>
      </c>
      <c r="CL3776" s="6" t="s">
        <v>261</v>
      </c>
      <c r="CM3776" s="5" t="s">
        <v>240</v>
      </c>
      <c r="CN3776" s="5" t="s">
        <v>263</v>
      </c>
      <c r="CO3776" s="5" t="s">
        <v>240</v>
      </c>
      <c r="CP3776" s="5" t="s">
        <v>240</v>
      </c>
      <c r="CQ3776" s="5">
        <v>0</v>
      </c>
      <c r="CR3776" s="5" t="s">
        <v>306</v>
      </c>
      <c r="CS3776" s="5" t="s">
        <v>307</v>
      </c>
      <c r="CT3776" s="5" t="s">
        <v>307</v>
      </c>
      <c r="CU3776" s="5" t="s">
        <v>260</v>
      </c>
      <c r="CX3776" s="7">
        <f>56350</f>
        <v>56350</v>
      </c>
      <c r="CY3776" s="7">
        <f>0</f>
        <v>0</v>
      </c>
      <c r="DA3776" s="7">
        <f>0</f>
        <v>0</v>
      </c>
      <c r="DC3776" s="5" t="s">
        <v>309</v>
      </c>
      <c r="DD3776" s="5" t="s">
        <v>240</v>
      </c>
      <c r="DF3776" s="5" t="s">
        <v>450</v>
      </c>
      <c r="DG3776" s="7">
        <f>0</f>
        <v>0</v>
      </c>
      <c r="DI3776" s="5" t="s">
        <v>450</v>
      </c>
      <c r="DJ3776" s="5" t="s">
        <v>240</v>
      </c>
      <c r="DK3776" s="5" t="s">
        <v>240</v>
      </c>
      <c r="DL3776" s="5" t="s">
        <v>240</v>
      </c>
      <c r="DP3776" s="5" t="s">
        <v>240</v>
      </c>
      <c r="DQ3776" s="5" t="s">
        <v>240</v>
      </c>
      <c r="DR3776" s="5" t="s">
        <v>240</v>
      </c>
      <c r="DS3776" s="5" t="s">
        <v>240</v>
      </c>
      <c r="DV3776" s="5" t="s">
        <v>6591</v>
      </c>
      <c r="DW3776" s="5" t="s">
        <v>818</v>
      </c>
      <c r="HO3776" s="5" t="s">
        <v>620</v>
      </c>
    </row>
    <row r="3777" spans="1:240" x14ac:dyDescent="0.4">
      <c r="A3777" s="5">
        <v>9319</v>
      </c>
      <c r="B3777" s="5">
        <v>1</v>
      </c>
      <c r="C3777" s="5">
        <v>1</v>
      </c>
      <c r="D3777" s="5" t="s">
        <v>723</v>
      </c>
      <c r="E3777" s="5" t="s">
        <v>725</v>
      </c>
      <c r="F3777" s="5" t="s">
        <v>254</v>
      </c>
      <c r="G3777" s="5" t="s">
        <v>5413</v>
      </c>
      <c r="H3777" s="6" t="s">
        <v>5414</v>
      </c>
      <c r="I3777" s="5" t="s">
        <v>5412</v>
      </c>
      <c r="J3777" s="7">
        <f>1</f>
        <v>1</v>
      </c>
      <c r="K3777" s="5" t="s">
        <v>3682</v>
      </c>
      <c r="L3777" s="7">
        <f>1</f>
        <v>1</v>
      </c>
      <c r="M3777" s="7">
        <f>1</f>
        <v>1</v>
      </c>
      <c r="N3777" s="5" t="s">
        <v>242</v>
      </c>
      <c r="O3777" s="5">
        <v>1</v>
      </c>
      <c r="P3777" s="5" t="s">
        <v>294</v>
      </c>
      <c r="Q3777" s="5" t="s">
        <v>613</v>
      </c>
      <c r="R3777" s="5" t="s">
        <v>240</v>
      </c>
      <c r="S3777" s="5" t="s">
        <v>240</v>
      </c>
      <c r="T3777" s="5" t="s">
        <v>243</v>
      </c>
      <c r="U3777" s="5" t="s">
        <v>244</v>
      </c>
      <c r="V3777" s="5" t="s">
        <v>240</v>
      </c>
      <c r="Y3777" s="5" t="s">
        <v>240</v>
      </c>
      <c r="Z3777" s="6" t="s">
        <v>298</v>
      </c>
      <c r="AB3777" s="6" t="s">
        <v>240</v>
      </c>
      <c r="AE3777" s="6" t="s">
        <v>299</v>
      </c>
      <c r="AF3777" s="5" t="s">
        <v>248</v>
      </c>
      <c r="AG3777" s="5" t="s">
        <v>249</v>
      </c>
      <c r="AW3777" s="5" t="s">
        <v>251</v>
      </c>
      <c r="AX3777" s="5" t="s">
        <v>240</v>
      </c>
      <c r="AY3777" s="5" t="s">
        <v>253</v>
      </c>
      <c r="AZ3777" s="5" t="s">
        <v>240</v>
      </c>
      <c r="BA3777" s="5" t="s">
        <v>255</v>
      </c>
      <c r="BB3777" s="5" t="s">
        <v>240</v>
      </c>
      <c r="BD3777" s="5" t="s">
        <v>240</v>
      </c>
      <c r="BF3777" s="5" t="s">
        <v>301</v>
      </c>
      <c r="BG3777" s="6" t="s">
        <v>299</v>
      </c>
      <c r="BH3777" s="5" t="s">
        <v>302</v>
      </c>
      <c r="BI3777" s="5" t="s">
        <v>6587</v>
      </c>
      <c r="BJ3777" s="5" t="s">
        <v>240</v>
      </c>
      <c r="BK3777" s="8">
        <f>0</f>
        <v>0</v>
      </c>
      <c r="BL3777" s="7">
        <f>0</f>
        <v>0</v>
      </c>
      <c r="BM3777" s="5" t="s">
        <v>258</v>
      </c>
      <c r="BN3777" s="5" t="s">
        <v>259</v>
      </c>
      <c r="CB3777" s="5" t="s">
        <v>240</v>
      </c>
      <c r="CC3777" s="5" t="s">
        <v>240</v>
      </c>
      <c r="CG3777" s="5" t="s">
        <v>617</v>
      </c>
      <c r="CH3777" s="5" t="s">
        <v>305</v>
      </c>
      <c r="CI3777" s="5" t="s">
        <v>240</v>
      </c>
      <c r="CL3777" s="6" t="s">
        <v>261</v>
      </c>
      <c r="CM3777" s="5" t="s">
        <v>240</v>
      </c>
      <c r="CN3777" s="5" t="s">
        <v>263</v>
      </c>
      <c r="CO3777" s="5" t="s">
        <v>240</v>
      </c>
      <c r="CP3777" s="5" t="s">
        <v>240</v>
      </c>
      <c r="CQ3777" s="5">
        <v>0</v>
      </c>
      <c r="CR3777" s="5" t="s">
        <v>306</v>
      </c>
      <c r="CS3777" s="5" t="s">
        <v>307</v>
      </c>
      <c r="CT3777" s="5" t="s">
        <v>307</v>
      </c>
      <c r="CU3777" s="5" t="s">
        <v>260</v>
      </c>
      <c r="CX3777" s="7">
        <f>12251165</f>
        <v>12251165</v>
      </c>
      <c r="CY3777" s="7">
        <f>0</f>
        <v>0</v>
      </c>
      <c r="DA3777" s="7">
        <f>0</f>
        <v>0</v>
      </c>
      <c r="DC3777" s="5" t="s">
        <v>689</v>
      </c>
      <c r="DD3777" s="5" t="s">
        <v>240</v>
      </c>
      <c r="DF3777" s="5" t="s">
        <v>450</v>
      </c>
      <c r="DG3777" s="7">
        <f>0</f>
        <v>0</v>
      </c>
      <c r="DI3777" s="5" t="s">
        <v>618</v>
      </c>
      <c r="DJ3777" s="5" t="s">
        <v>240</v>
      </c>
      <c r="DK3777" s="5" t="s">
        <v>240</v>
      </c>
      <c r="DL3777" s="5" t="s">
        <v>240</v>
      </c>
      <c r="DP3777" s="5" t="s">
        <v>240</v>
      </c>
      <c r="DQ3777" s="5" t="s">
        <v>240</v>
      </c>
      <c r="DR3777" s="5" t="s">
        <v>240</v>
      </c>
      <c r="DS3777" s="5" t="s">
        <v>240</v>
      </c>
      <c r="DV3777" s="5" t="s">
        <v>6591</v>
      </c>
      <c r="DW3777" s="5" t="s">
        <v>820</v>
      </c>
      <c r="HO3777" s="5" t="s">
        <v>620</v>
      </c>
    </row>
    <row r="3778" spans="1:240" x14ac:dyDescent="0.4">
      <c r="A3778" s="5">
        <v>9320</v>
      </c>
      <c r="B3778" s="5">
        <v>1</v>
      </c>
      <c r="C3778" s="5">
        <v>1</v>
      </c>
      <c r="D3778" s="5" t="s">
        <v>723</v>
      </c>
      <c r="E3778" s="5" t="s">
        <v>725</v>
      </c>
      <c r="F3778" s="5" t="s">
        <v>254</v>
      </c>
      <c r="G3778" s="5" t="s">
        <v>726</v>
      </c>
      <c r="H3778" s="6" t="s">
        <v>5411</v>
      </c>
      <c r="I3778" s="5" t="s">
        <v>5410</v>
      </c>
      <c r="J3778" s="7">
        <f>1</f>
        <v>1</v>
      </c>
      <c r="K3778" s="5" t="s">
        <v>3682</v>
      </c>
      <c r="L3778" s="7">
        <f>1</f>
        <v>1</v>
      </c>
      <c r="M3778" s="7">
        <f>1</f>
        <v>1</v>
      </c>
      <c r="N3778" s="5" t="s">
        <v>242</v>
      </c>
      <c r="O3778" s="5">
        <v>1</v>
      </c>
      <c r="P3778" s="5" t="s">
        <v>294</v>
      </c>
      <c r="Q3778" s="5" t="s">
        <v>266</v>
      </c>
      <c r="R3778" s="5" t="s">
        <v>240</v>
      </c>
      <c r="S3778" s="5" t="s">
        <v>240</v>
      </c>
      <c r="T3778" s="5" t="s">
        <v>243</v>
      </c>
      <c r="U3778" s="5" t="s">
        <v>240</v>
      </c>
      <c r="V3778" s="5" t="s">
        <v>240</v>
      </c>
      <c r="Y3778" s="5" t="s">
        <v>240</v>
      </c>
      <c r="Z3778" s="6" t="s">
        <v>5102</v>
      </c>
      <c r="AB3778" s="6" t="s">
        <v>240</v>
      </c>
      <c r="AE3778" s="6" t="s">
        <v>299</v>
      </c>
      <c r="AF3778" s="5" t="s">
        <v>248</v>
      </c>
      <c r="AG3778" s="5" t="s">
        <v>260</v>
      </c>
      <c r="AW3778" s="5" t="s">
        <v>251</v>
      </c>
      <c r="AX3778" s="5" t="s">
        <v>240</v>
      </c>
      <c r="AY3778" s="5" t="s">
        <v>253</v>
      </c>
      <c r="AZ3778" s="5" t="s">
        <v>240</v>
      </c>
      <c r="BA3778" s="5" t="s">
        <v>255</v>
      </c>
      <c r="BB3778" s="5" t="s">
        <v>240</v>
      </c>
      <c r="BD3778" s="5" t="s">
        <v>240</v>
      </c>
      <c r="BF3778" s="5" t="s">
        <v>447</v>
      </c>
      <c r="BG3778" s="6" t="s">
        <v>5102</v>
      </c>
      <c r="BH3778" s="5" t="s">
        <v>302</v>
      </c>
      <c r="BI3778" s="5" t="s">
        <v>448</v>
      </c>
      <c r="BJ3778" s="5" t="s">
        <v>240</v>
      </c>
      <c r="BK3778" s="8">
        <f>0</f>
        <v>0</v>
      </c>
      <c r="BL3778" s="7">
        <f>0</f>
        <v>0</v>
      </c>
      <c r="BM3778" s="5" t="s">
        <v>258</v>
      </c>
      <c r="BN3778" s="5" t="s">
        <v>259</v>
      </c>
      <c r="CB3778" s="5" t="s">
        <v>240</v>
      </c>
      <c r="CC3778" s="5" t="s">
        <v>240</v>
      </c>
      <c r="CG3778" s="5" t="s">
        <v>449</v>
      </c>
      <c r="CH3778" s="5" t="s">
        <v>305</v>
      </c>
      <c r="CI3778" s="5" t="s">
        <v>240</v>
      </c>
      <c r="CL3778" s="6" t="s">
        <v>261</v>
      </c>
      <c r="CM3778" s="5" t="s">
        <v>240</v>
      </c>
      <c r="CN3778" s="5" t="s">
        <v>263</v>
      </c>
      <c r="CO3778" s="5" t="s">
        <v>240</v>
      </c>
      <c r="CP3778" s="5" t="s">
        <v>240</v>
      </c>
      <c r="CQ3778" s="5">
        <v>0</v>
      </c>
      <c r="CR3778" s="5" t="s">
        <v>306</v>
      </c>
      <c r="CS3778" s="5" t="s">
        <v>307</v>
      </c>
      <c r="CT3778" s="5" t="s">
        <v>307</v>
      </c>
      <c r="CU3778" s="5" t="s">
        <v>260</v>
      </c>
      <c r="CX3778" s="7">
        <f>1155657</f>
        <v>1155657</v>
      </c>
      <c r="CY3778" s="7">
        <f>0</f>
        <v>0</v>
      </c>
      <c r="DA3778" s="7">
        <f>0</f>
        <v>0</v>
      </c>
      <c r="DC3778" s="5" t="s">
        <v>450</v>
      </c>
      <c r="DD3778" s="5" t="s">
        <v>240</v>
      </c>
      <c r="DF3778" s="5" t="s">
        <v>450</v>
      </c>
      <c r="DG3778" s="7">
        <f>0</f>
        <v>0</v>
      </c>
      <c r="DI3778" s="5" t="s">
        <v>240</v>
      </c>
      <c r="DJ3778" s="5" t="s">
        <v>240</v>
      </c>
      <c r="DK3778" s="5" t="s">
        <v>240</v>
      </c>
      <c r="DL3778" s="5" t="s">
        <v>240</v>
      </c>
      <c r="DP3778" s="5" t="s">
        <v>240</v>
      </c>
      <c r="DQ3778" s="5" t="s">
        <v>240</v>
      </c>
      <c r="DR3778" s="5" t="s">
        <v>240</v>
      </c>
      <c r="DS3778" s="5" t="s">
        <v>240</v>
      </c>
      <c r="DV3778" s="5" t="s">
        <v>310</v>
      </c>
      <c r="DW3778" s="5" t="s">
        <v>2536</v>
      </c>
      <c r="HO3778" s="5" t="s">
        <v>312</v>
      </c>
    </row>
    <row r="3779" spans="1:240" x14ac:dyDescent="0.4">
      <c r="A3779" s="5">
        <v>9321</v>
      </c>
      <c r="B3779" s="5">
        <v>1</v>
      </c>
      <c r="C3779" s="5">
        <v>1</v>
      </c>
      <c r="D3779" s="5" t="s">
        <v>723</v>
      </c>
      <c r="E3779" s="5" t="s">
        <v>725</v>
      </c>
      <c r="F3779" s="5" t="s">
        <v>254</v>
      </c>
      <c r="G3779" s="5" t="s">
        <v>726</v>
      </c>
      <c r="H3779" s="6" t="s">
        <v>6277</v>
      </c>
      <c r="I3779" s="5" t="s">
        <v>6276</v>
      </c>
      <c r="J3779" s="7">
        <f>1</f>
        <v>1</v>
      </c>
      <c r="K3779" s="5" t="s">
        <v>3682</v>
      </c>
      <c r="L3779" s="7">
        <f>1</f>
        <v>1</v>
      </c>
      <c r="M3779" s="7">
        <f>1</f>
        <v>1</v>
      </c>
      <c r="N3779" s="5" t="s">
        <v>242</v>
      </c>
      <c r="O3779" s="5">
        <v>1</v>
      </c>
      <c r="P3779" s="5" t="s">
        <v>294</v>
      </c>
      <c r="Q3779" s="5" t="s">
        <v>613</v>
      </c>
      <c r="R3779" s="5" t="s">
        <v>240</v>
      </c>
      <c r="S3779" s="5" t="s">
        <v>240</v>
      </c>
      <c r="T3779" s="5" t="s">
        <v>243</v>
      </c>
      <c r="U3779" s="5" t="s">
        <v>244</v>
      </c>
      <c r="V3779" s="5" t="s">
        <v>240</v>
      </c>
      <c r="Y3779" s="5" t="s">
        <v>240</v>
      </c>
      <c r="Z3779" s="6" t="s">
        <v>298</v>
      </c>
      <c r="AB3779" s="6" t="s">
        <v>240</v>
      </c>
      <c r="AE3779" s="6" t="s">
        <v>299</v>
      </c>
      <c r="AF3779" s="5" t="s">
        <v>248</v>
      </c>
      <c r="AG3779" s="5" t="s">
        <v>249</v>
      </c>
      <c r="AW3779" s="5" t="s">
        <v>251</v>
      </c>
      <c r="AX3779" s="5" t="s">
        <v>240</v>
      </c>
      <c r="AY3779" s="5" t="s">
        <v>253</v>
      </c>
      <c r="AZ3779" s="5" t="s">
        <v>240</v>
      </c>
      <c r="BA3779" s="5" t="s">
        <v>255</v>
      </c>
      <c r="BB3779" s="5" t="s">
        <v>240</v>
      </c>
      <c r="BD3779" s="5" t="s">
        <v>240</v>
      </c>
      <c r="BF3779" s="5" t="s">
        <v>301</v>
      </c>
      <c r="BG3779" s="6" t="s">
        <v>299</v>
      </c>
      <c r="BH3779" s="5" t="s">
        <v>302</v>
      </c>
      <c r="BI3779" s="5" t="s">
        <v>6587</v>
      </c>
      <c r="BJ3779" s="5" t="s">
        <v>240</v>
      </c>
      <c r="BK3779" s="8">
        <f>0</f>
        <v>0</v>
      </c>
      <c r="BL3779" s="7">
        <f>0</f>
        <v>0</v>
      </c>
      <c r="BM3779" s="5" t="s">
        <v>258</v>
      </c>
      <c r="BN3779" s="5" t="s">
        <v>259</v>
      </c>
      <c r="CB3779" s="5" t="s">
        <v>240</v>
      </c>
      <c r="CC3779" s="5" t="s">
        <v>240</v>
      </c>
      <c r="CG3779" s="5" t="s">
        <v>617</v>
      </c>
      <c r="CH3779" s="5" t="s">
        <v>305</v>
      </c>
      <c r="CI3779" s="5" t="s">
        <v>240</v>
      </c>
      <c r="CL3779" s="6" t="s">
        <v>261</v>
      </c>
      <c r="CM3779" s="5" t="s">
        <v>240</v>
      </c>
      <c r="CN3779" s="5" t="s">
        <v>263</v>
      </c>
      <c r="CO3779" s="5" t="s">
        <v>240</v>
      </c>
      <c r="CP3779" s="5" t="s">
        <v>240</v>
      </c>
      <c r="CQ3779" s="5">
        <v>0</v>
      </c>
      <c r="CR3779" s="5" t="s">
        <v>306</v>
      </c>
      <c r="CS3779" s="5" t="s">
        <v>307</v>
      </c>
      <c r="CT3779" s="5" t="s">
        <v>307</v>
      </c>
      <c r="CU3779" s="5" t="s">
        <v>260</v>
      </c>
      <c r="CX3779" s="7">
        <f>301240</f>
        <v>301240</v>
      </c>
      <c r="CY3779" s="7">
        <f>0</f>
        <v>0</v>
      </c>
      <c r="DA3779" s="7">
        <f>0</f>
        <v>0</v>
      </c>
      <c r="DC3779" s="5" t="s">
        <v>689</v>
      </c>
      <c r="DD3779" s="5" t="s">
        <v>240</v>
      </c>
      <c r="DF3779" s="5" t="s">
        <v>450</v>
      </c>
      <c r="DG3779" s="7">
        <f>0</f>
        <v>0</v>
      </c>
      <c r="DI3779" s="5" t="s">
        <v>618</v>
      </c>
      <c r="DJ3779" s="5" t="s">
        <v>240</v>
      </c>
      <c r="DK3779" s="5" t="s">
        <v>240</v>
      </c>
      <c r="DL3779" s="5" t="s">
        <v>240</v>
      </c>
      <c r="DP3779" s="5" t="s">
        <v>240</v>
      </c>
      <c r="DQ3779" s="5" t="s">
        <v>240</v>
      </c>
      <c r="DR3779" s="5" t="s">
        <v>240</v>
      </c>
      <c r="DS3779" s="5" t="s">
        <v>240</v>
      </c>
      <c r="DV3779" s="5" t="s">
        <v>6591</v>
      </c>
      <c r="DW3779" s="5" t="s">
        <v>801</v>
      </c>
      <c r="HO3779" s="5" t="s">
        <v>620</v>
      </c>
    </row>
    <row r="3780" spans="1:240" x14ac:dyDescent="0.4">
      <c r="A3780" s="5">
        <v>9322</v>
      </c>
      <c r="B3780" s="5">
        <v>1</v>
      </c>
      <c r="C3780" s="5">
        <v>1</v>
      </c>
      <c r="D3780" s="5" t="s">
        <v>723</v>
      </c>
      <c r="E3780" s="5" t="s">
        <v>725</v>
      </c>
      <c r="F3780" s="5" t="s">
        <v>254</v>
      </c>
      <c r="G3780" s="5" t="s">
        <v>5407</v>
      </c>
      <c r="H3780" s="6" t="s">
        <v>5408</v>
      </c>
      <c r="I3780" s="5" t="s">
        <v>5406</v>
      </c>
      <c r="J3780" s="7">
        <f>1</f>
        <v>1</v>
      </c>
      <c r="K3780" s="5" t="s">
        <v>3682</v>
      </c>
      <c r="L3780" s="7">
        <f>1</f>
        <v>1</v>
      </c>
      <c r="M3780" s="7">
        <f>1</f>
        <v>1</v>
      </c>
      <c r="N3780" s="5" t="s">
        <v>242</v>
      </c>
      <c r="O3780" s="5">
        <v>1</v>
      </c>
      <c r="P3780" s="5" t="s">
        <v>294</v>
      </c>
      <c r="Q3780" s="5" t="s">
        <v>613</v>
      </c>
      <c r="R3780" s="5" t="s">
        <v>240</v>
      </c>
      <c r="S3780" s="5" t="s">
        <v>240</v>
      </c>
      <c r="T3780" s="5" t="s">
        <v>243</v>
      </c>
      <c r="U3780" s="5" t="s">
        <v>724</v>
      </c>
      <c r="V3780" s="5" t="s">
        <v>240</v>
      </c>
      <c r="W3780" s="5" t="s">
        <v>240</v>
      </c>
      <c r="X3780" s="5" t="s">
        <v>240</v>
      </c>
      <c r="Y3780" s="5" t="s">
        <v>240</v>
      </c>
      <c r="Z3780" s="6" t="s">
        <v>298</v>
      </c>
      <c r="AA3780" s="6" t="s">
        <v>240</v>
      </c>
      <c r="AB3780" s="6" t="s">
        <v>240</v>
      </c>
      <c r="AC3780" s="5" t="s">
        <v>240</v>
      </c>
      <c r="AD3780" s="6" t="s">
        <v>240</v>
      </c>
      <c r="AE3780" s="6" t="s">
        <v>299</v>
      </c>
      <c r="AF3780" s="5" t="s">
        <v>727</v>
      </c>
      <c r="AG3780" s="5" t="s">
        <v>260</v>
      </c>
      <c r="AH3780" s="5" t="s">
        <v>240</v>
      </c>
      <c r="AI3780" s="5" t="s">
        <v>240</v>
      </c>
      <c r="AJ3780" s="5" t="s">
        <v>240</v>
      </c>
      <c r="AK3780" s="5" t="s">
        <v>240</v>
      </c>
      <c r="AL3780" s="5" t="s">
        <v>240</v>
      </c>
      <c r="AM3780" s="5" t="s">
        <v>240</v>
      </c>
      <c r="AN3780" s="5" t="s">
        <v>240</v>
      </c>
      <c r="AO3780" s="5" t="s">
        <v>240</v>
      </c>
      <c r="AP3780" s="6" t="s">
        <v>240</v>
      </c>
      <c r="AQ3780" s="6" t="s">
        <v>240</v>
      </c>
      <c r="AR3780" s="6" t="s">
        <v>240</v>
      </c>
      <c r="AS3780" s="6" t="s">
        <v>240</v>
      </c>
      <c r="AT3780" s="5" t="s">
        <v>240</v>
      </c>
      <c r="AU3780" s="5" t="s">
        <v>729</v>
      </c>
      <c r="AV3780" s="5" t="s">
        <v>729</v>
      </c>
      <c r="AW3780" s="5" t="s">
        <v>251</v>
      </c>
      <c r="AX3780" s="5" t="s">
        <v>252</v>
      </c>
      <c r="AY3780" s="5" t="s">
        <v>253</v>
      </c>
      <c r="AZ3780" s="5" t="s">
        <v>240</v>
      </c>
      <c r="BA3780" s="5" t="s">
        <v>255</v>
      </c>
      <c r="BB3780" s="5" t="s">
        <v>731</v>
      </c>
      <c r="BD3780" s="5" t="s">
        <v>240</v>
      </c>
      <c r="BF3780" s="5" t="s">
        <v>732</v>
      </c>
      <c r="BG3780" s="6" t="s">
        <v>733</v>
      </c>
      <c r="BH3780" s="5" t="s">
        <v>734</v>
      </c>
      <c r="BI3780" s="5" t="s">
        <v>734</v>
      </c>
      <c r="BJ3780" s="5" t="s">
        <v>240</v>
      </c>
      <c r="BK3780" s="8">
        <f>948</f>
        <v>948</v>
      </c>
      <c r="BL3780" s="7">
        <f>0</f>
        <v>0</v>
      </c>
      <c r="BM3780" s="5" t="s">
        <v>258</v>
      </c>
      <c r="BN3780" s="5" t="s">
        <v>259</v>
      </c>
      <c r="BO3780" s="5" t="s">
        <v>240</v>
      </c>
      <c r="BP3780" s="5" t="s">
        <v>240</v>
      </c>
      <c r="BQ3780" s="5" t="s">
        <v>240</v>
      </c>
      <c r="BR3780" s="5" t="s">
        <v>240</v>
      </c>
      <c r="BS3780" s="5" t="s">
        <v>240</v>
      </c>
      <c r="BT3780" s="5" t="s">
        <v>240</v>
      </c>
      <c r="BU3780" s="5" t="s">
        <v>240</v>
      </c>
      <c r="BV3780" s="5" t="s">
        <v>240</v>
      </c>
      <c r="BW3780" s="6" t="s">
        <v>240</v>
      </c>
      <c r="BX3780" s="5" t="s">
        <v>240</v>
      </c>
      <c r="BY3780" s="5" t="s">
        <v>240</v>
      </c>
      <c r="BZ3780" s="5" t="s">
        <v>240</v>
      </c>
      <c r="CA3780" s="5" t="s">
        <v>259</v>
      </c>
      <c r="CB3780" s="5" t="s">
        <v>240</v>
      </c>
      <c r="CC3780" s="5" t="s">
        <v>240</v>
      </c>
      <c r="CD3780" s="5" t="s">
        <v>240</v>
      </c>
      <c r="CE3780" s="5" t="s">
        <v>240</v>
      </c>
      <c r="CF3780" s="5" t="s">
        <v>240</v>
      </c>
      <c r="CG3780" s="5" t="s">
        <v>617</v>
      </c>
      <c r="CH3780" s="5" t="s">
        <v>305</v>
      </c>
      <c r="CI3780" s="5" t="s">
        <v>240</v>
      </c>
      <c r="CL3780" s="6" t="s">
        <v>261</v>
      </c>
      <c r="CM3780" s="5" t="s">
        <v>262</v>
      </c>
      <c r="CN3780" s="5" t="s">
        <v>263</v>
      </c>
      <c r="CO3780" s="5" t="s">
        <v>264</v>
      </c>
      <c r="CP3780" s="5" t="s">
        <v>240</v>
      </c>
      <c r="CQ3780" s="5">
        <v>0</v>
      </c>
      <c r="CR3780" s="5" t="s">
        <v>735</v>
      </c>
      <c r="CS3780" s="5" t="s">
        <v>307</v>
      </c>
      <c r="CT3780" s="5" t="s">
        <v>307</v>
      </c>
      <c r="CU3780" s="5" t="s">
        <v>260</v>
      </c>
      <c r="CV3780" s="5" t="s">
        <v>240</v>
      </c>
      <c r="CW3780" s="8">
        <f>0</f>
        <v>0</v>
      </c>
      <c r="CX3780" s="7">
        <f>0</f>
        <v>0</v>
      </c>
      <c r="CY3780" s="7">
        <f>0</f>
        <v>0</v>
      </c>
      <c r="DA3780" s="7">
        <f>10428</f>
        <v>10428</v>
      </c>
      <c r="DB3780" s="7" t="s">
        <v>240</v>
      </c>
      <c r="DC3780" s="5" t="s">
        <v>240</v>
      </c>
      <c r="DD3780" s="5" t="s">
        <v>240</v>
      </c>
      <c r="DE3780" s="5" t="s">
        <v>240</v>
      </c>
      <c r="DF3780" s="5" t="s">
        <v>450</v>
      </c>
      <c r="DG3780" s="7">
        <f>0</f>
        <v>0</v>
      </c>
      <c r="DI3780" s="5" t="s">
        <v>737</v>
      </c>
      <c r="DJ3780" s="5" t="s">
        <v>240</v>
      </c>
      <c r="DK3780" s="5" t="s">
        <v>240</v>
      </c>
      <c r="DL3780" s="5" t="s">
        <v>240</v>
      </c>
      <c r="DM3780" s="5" t="s">
        <v>240</v>
      </c>
      <c r="DN3780" s="5" t="s">
        <v>240</v>
      </c>
      <c r="DO3780" s="7" t="s">
        <v>240</v>
      </c>
      <c r="DP3780" s="5" t="s">
        <v>240</v>
      </c>
      <c r="DQ3780" s="5" t="s">
        <v>240</v>
      </c>
      <c r="DR3780" s="5" t="s">
        <v>731</v>
      </c>
      <c r="DS3780" s="5" t="s">
        <v>731</v>
      </c>
      <c r="DT3780" s="5" t="s">
        <v>240</v>
      </c>
      <c r="DU3780" s="5" t="s">
        <v>240</v>
      </c>
      <c r="DV3780" s="5" t="s">
        <v>738</v>
      </c>
      <c r="DW3780" s="5" t="s">
        <v>574</v>
      </c>
      <c r="DX3780" s="5" t="s">
        <v>240</v>
      </c>
      <c r="DY3780" s="5" t="s">
        <v>240</v>
      </c>
      <c r="DZ3780" s="5" t="s">
        <v>240</v>
      </c>
      <c r="EA3780" s="5" t="s">
        <v>240</v>
      </c>
      <c r="EB3780" s="5" t="s">
        <v>240</v>
      </c>
      <c r="EC3780" s="5" t="s">
        <v>240</v>
      </c>
      <c r="ED3780" s="5" t="s">
        <v>240</v>
      </c>
      <c r="EE3780" s="5" t="s">
        <v>240</v>
      </c>
      <c r="EF3780" s="5" t="s">
        <v>240</v>
      </c>
      <c r="EG3780" s="5" t="s">
        <v>240</v>
      </c>
      <c r="EH3780" s="5" t="s">
        <v>240</v>
      </c>
      <c r="EI3780" s="5" t="s">
        <v>240</v>
      </c>
      <c r="EJ3780" s="5" t="s">
        <v>240</v>
      </c>
      <c r="EK3780" s="5" t="s">
        <v>240</v>
      </c>
      <c r="EL3780" s="5" t="s">
        <v>240</v>
      </c>
      <c r="EM3780" s="5" t="s">
        <v>240</v>
      </c>
      <c r="EN3780" s="5" t="s">
        <v>240</v>
      </c>
      <c r="EO3780" s="5" t="s">
        <v>240</v>
      </c>
      <c r="EP3780" s="5" t="s">
        <v>240</v>
      </c>
      <c r="EQ3780" s="5" t="s">
        <v>240</v>
      </c>
      <c r="ER3780" s="5" t="s">
        <v>240</v>
      </c>
      <c r="ES3780" s="5" t="s">
        <v>240</v>
      </c>
      <c r="ET3780" s="5" t="s">
        <v>240</v>
      </c>
      <c r="EU3780" s="5" t="s">
        <v>240</v>
      </c>
      <c r="EV3780" s="5" t="s">
        <v>240</v>
      </c>
      <c r="EW3780" s="5" t="s">
        <v>240</v>
      </c>
      <c r="EX3780" s="5" t="s">
        <v>240</v>
      </c>
      <c r="EY3780" s="5" t="s">
        <v>240</v>
      </c>
      <c r="EZ3780" s="5" t="s">
        <v>240</v>
      </c>
      <c r="FA3780" s="5" t="s">
        <v>240</v>
      </c>
      <c r="FB3780" s="5" t="s">
        <v>240</v>
      </c>
      <c r="FC3780" s="5" t="s">
        <v>240</v>
      </c>
      <c r="FD3780" s="5" t="s">
        <v>240</v>
      </c>
      <c r="FE3780" s="5" t="s">
        <v>240</v>
      </c>
      <c r="FF3780" s="5" t="s">
        <v>240</v>
      </c>
      <c r="FG3780" s="5" t="s">
        <v>240</v>
      </c>
      <c r="FH3780" s="5" t="s">
        <v>240</v>
      </c>
      <c r="FI3780" s="5" t="s">
        <v>240</v>
      </c>
      <c r="FJ3780" s="5" t="s">
        <v>240</v>
      </c>
      <c r="FK3780" s="5" t="s">
        <v>240</v>
      </c>
      <c r="FL3780" s="5" t="s">
        <v>240</v>
      </c>
      <c r="FM3780" s="5" t="s">
        <v>240</v>
      </c>
      <c r="FN3780" s="5" t="s">
        <v>240</v>
      </c>
      <c r="FO3780" s="5" t="s">
        <v>240</v>
      </c>
      <c r="FP3780" s="5" t="s">
        <v>240</v>
      </c>
      <c r="FQ3780" s="5" t="s">
        <v>240</v>
      </c>
      <c r="FR3780" s="5" t="s">
        <v>240</v>
      </c>
      <c r="FS3780" s="5" t="s">
        <v>240</v>
      </c>
      <c r="FT3780" s="5" t="s">
        <v>240</v>
      </c>
      <c r="FU3780" s="5" t="s">
        <v>240</v>
      </c>
      <c r="FV3780" s="5" t="s">
        <v>240</v>
      </c>
      <c r="FW3780" s="5" t="s">
        <v>240</v>
      </c>
      <c r="FX3780" s="5" t="s">
        <v>240</v>
      </c>
      <c r="FY3780" s="5" t="s">
        <v>240</v>
      </c>
      <c r="FZ3780" s="5" t="s">
        <v>240</v>
      </c>
      <c r="GA3780" s="5" t="s">
        <v>240</v>
      </c>
      <c r="GB3780" s="5" t="s">
        <v>240</v>
      </c>
      <c r="GC3780" s="5" t="s">
        <v>240</v>
      </c>
      <c r="GD3780" s="5" t="s">
        <v>240</v>
      </c>
      <c r="GE3780" s="5" t="s">
        <v>240</v>
      </c>
      <c r="GF3780" s="5" t="s">
        <v>240</v>
      </c>
      <c r="GG3780" s="5" t="s">
        <v>240</v>
      </c>
      <c r="GH3780" s="5" t="s">
        <v>240</v>
      </c>
      <c r="GI3780" s="5" t="s">
        <v>240</v>
      </c>
      <c r="GJ3780" s="5" t="s">
        <v>240</v>
      </c>
      <c r="GK3780" s="5" t="s">
        <v>240</v>
      </c>
      <c r="GL3780" s="5" t="s">
        <v>240</v>
      </c>
      <c r="GM3780" s="5" t="s">
        <v>240</v>
      </c>
      <c r="GN3780" s="5" t="s">
        <v>240</v>
      </c>
      <c r="GO3780" s="5" t="s">
        <v>240</v>
      </c>
      <c r="GP3780" s="5" t="s">
        <v>240</v>
      </c>
      <c r="GQ3780" s="5" t="s">
        <v>240</v>
      </c>
      <c r="GR3780" s="5" t="s">
        <v>240</v>
      </c>
      <c r="GS3780" s="5" t="s">
        <v>240</v>
      </c>
      <c r="GT3780" s="5" t="s">
        <v>240</v>
      </c>
      <c r="GU3780" s="5" t="s">
        <v>240</v>
      </c>
      <c r="GV3780" s="5" t="s">
        <v>240</v>
      </c>
      <c r="GW3780" s="5" t="s">
        <v>240</v>
      </c>
      <c r="GX3780" s="5" t="s">
        <v>240</v>
      </c>
      <c r="GY3780" s="5" t="s">
        <v>240</v>
      </c>
      <c r="GZ3780" s="5" t="s">
        <v>240</v>
      </c>
      <c r="HA3780" s="5" t="s">
        <v>240</v>
      </c>
      <c r="HB3780" s="5" t="s">
        <v>240</v>
      </c>
      <c r="HC3780" s="5" t="s">
        <v>240</v>
      </c>
      <c r="HD3780" s="5" t="s">
        <v>240</v>
      </c>
      <c r="HE3780" s="5" t="s">
        <v>240</v>
      </c>
      <c r="HF3780" s="5" t="s">
        <v>240</v>
      </c>
      <c r="HG3780" s="5" t="s">
        <v>240</v>
      </c>
      <c r="HH3780" s="5" t="s">
        <v>240</v>
      </c>
      <c r="HI3780" s="5" t="s">
        <v>240</v>
      </c>
      <c r="HJ3780" s="5" t="s">
        <v>240</v>
      </c>
      <c r="HK3780" s="5" t="s">
        <v>240</v>
      </c>
      <c r="HL3780" s="5" t="s">
        <v>240</v>
      </c>
      <c r="HM3780" s="5" t="s">
        <v>240</v>
      </c>
      <c r="HN3780" s="5" t="s">
        <v>240</v>
      </c>
      <c r="HO3780" s="5" t="s">
        <v>620</v>
      </c>
      <c r="HP3780" s="5" t="s">
        <v>240</v>
      </c>
      <c r="HQ3780" s="5" t="s">
        <v>240</v>
      </c>
      <c r="HR3780" s="5" t="s">
        <v>240</v>
      </c>
      <c r="HS3780" s="5" t="s">
        <v>240</v>
      </c>
      <c r="HT3780" s="5" t="s">
        <v>240</v>
      </c>
      <c r="HU3780" s="5" t="s">
        <v>240</v>
      </c>
      <c r="HV3780" s="5" t="s">
        <v>240</v>
      </c>
      <c r="HW3780" s="5" t="s">
        <v>240</v>
      </c>
      <c r="HX3780" s="5" t="s">
        <v>240</v>
      </c>
      <c r="HY3780" s="5" t="s">
        <v>240</v>
      </c>
      <c r="HZ3780" s="5" t="s">
        <v>240</v>
      </c>
      <c r="IA3780" s="5" t="s">
        <v>240</v>
      </c>
      <c r="IB3780" s="5" t="s">
        <v>240</v>
      </c>
      <c r="IC3780" s="5" t="s">
        <v>240</v>
      </c>
      <c r="ID3780" s="5" t="s">
        <v>240</v>
      </c>
      <c r="IE3780" s="5" t="s">
        <v>240</v>
      </c>
      <c r="IF3780" s="5" t="s">
        <v>240</v>
      </c>
    </row>
    <row r="3781" spans="1:240" x14ac:dyDescent="0.4">
      <c r="A3781" s="5">
        <v>9323</v>
      </c>
      <c r="B3781" s="5">
        <v>1</v>
      </c>
      <c r="C3781" s="5">
        <v>1</v>
      </c>
      <c r="D3781" s="5" t="s">
        <v>723</v>
      </c>
      <c r="E3781" s="5" t="s">
        <v>725</v>
      </c>
      <c r="F3781" s="5" t="s">
        <v>254</v>
      </c>
      <c r="G3781" s="5" t="s">
        <v>726</v>
      </c>
      <c r="H3781" s="6" t="s">
        <v>5405</v>
      </c>
      <c r="I3781" s="5" t="s">
        <v>5404</v>
      </c>
      <c r="J3781" s="7">
        <f>1</f>
        <v>1</v>
      </c>
      <c r="K3781" s="5" t="s">
        <v>3682</v>
      </c>
      <c r="L3781" s="7">
        <f>1</f>
        <v>1</v>
      </c>
      <c r="M3781" s="7">
        <f>1</f>
        <v>1</v>
      </c>
      <c r="N3781" s="5" t="s">
        <v>242</v>
      </c>
      <c r="O3781" s="5">
        <v>1</v>
      </c>
      <c r="P3781" s="5" t="s">
        <v>294</v>
      </c>
      <c r="Q3781" s="5" t="s">
        <v>613</v>
      </c>
      <c r="R3781" s="5" t="s">
        <v>240</v>
      </c>
      <c r="S3781" s="5" t="s">
        <v>240</v>
      </c>
      <c r="T3781" s="5" t="s">
        <v>296</v>
      </c>
      <c r="U3781" s="5" t="s">
        <v>244</v>
      </c>
      <c r="V3781" s="5" t="s">
        <v>240</v>
      </c>
      <c r="Y3781" s="5" t="s">
        <v>240</v>
      </c>
      <c r="Z3781" s="6" t="s">
        <v>298</v>
      </c>
      <c r="AB3781" s="6" t="s">
        <v>240</v>
      </c>
      <c r="AE3781" s="6" t="s">
        <v>299</v>
      </c>
      <c r="AF3781" s="5" t="s">
        <v>248</v>
      </c>
      <c r="AG3781" s="5" t="s">
        <v>249</v>
      </c>
      <c r="AW3781" s="5" t="s">
        <v>251</v>
      </c>
      <c r="AX3781" s="5" t="s">
        <v>240</v>
      </c>
      <c r="AY3781" s="5" t="s">
        <v>253</v>
      </c>
      <c r="AZ3781" s="5" t="s">
        <v>240</v>
      </c>
      <c r="BA3781" s="5" t="s">
        <v>255</v>
      </c>
      <c r="BB3781" s="5" t="s">
        <v>240</v>
      </c>
      <c r="BD3781" s="5" t="s">
        <v>240</v>
      </c>
      <c r="BF3781" s="5" t="s">
        <v>301</v>
      </c>
      <c r="BG3781" s="6" t="s">
        <v>299</v>
      </c>
      <c r="BH3781" s="5" t="s">
        <v>302</v>
      </c>
      <c r="BI3781" s="5" t="s">
        <v>6587</v>
      </c>
      <c r="BJ3781" s="5" t="s">
        <v>240</v>
      </c>
      <c r="BK3781" s="8">
        <f>0</f>
        <v>0</v>
      </c>
      <c r="BL3781" s="7">
        <f>0</f>
        <v>0</v>
      </c>
      <c r="BM3781" s="5" t="s">
        <v>258</v>
      </c>
      <c r="BN3781" s="5" t="s">
        <v>259</v>
      </c>
      <c r="CB3781" s="5" t="s">
        <v>240</v>
      </c>
      <c r="CC3781" s="5" t="s">
        <v>240</v>
      </c>
      <c r="CG3781" s="5" t="s">
        <v>617</v>
      </c>
      <c r="CH3781" s="5" t="s">
        <v>305</v>
      </c>
      <c r="CI3781" s="5" t="s">
        <v>240</v>
      </c>
      <c r="CL3781" s="6" t="s">
        <v>261</v>
      </c>
      <c r="CM3781" s="5" t="s">
        <v>240</v>
      </c>
      <c r="CN3781" s="5" t="s">
        <v>263</v>
      </c>
      <c r="CO3781" s="5" t="s">
        <v>240</v>
      </c>
      <c r="CP3781" s="5" t="s">
        <v>240</v>
      </c>
      <c r="CQ3781" s="5">
        <v>0</v>
      </c>
      <c r="CR3781" s="5" t="s">
        <v>306</v>
      </c>
      <c r="CS3781" s="5" t="s">
        <v>307</v>
      </c>
      <c r="CT3781" s="5" t="s">
        <v>307</v>
      </c>
      <c r="CU3781" s="5" t="s">
        <v>260</v>
      </c>
      <c r="CX3781" s="7">
        <f>7350</f>
        <v>7350</v>
      </c>
      <c r="CY3781" s="7">
        <f>0</f>
        <v>0</v>
      </c>
      <c r="DA3781" s="7">
        <f>0</f>
        <v>0</v>
      </c>
      <c r="DC3781" s="5" t="s">
        <v>309</v>
      </c>
      <c r="DD3781" s="5" t="s">
        <v>240</v>
      </c>
      <c r="DF3781" s="5" t="s">
        <v>450</v>
      </c>
      <c r="DG3781" s="7">
        <f>0</f>
        <v>0</v>
      </c>
      <c r="DI3781" s="5" t="s">
        <v>450</v>
      </c>
      <c r="DJ3781" s="5" t="s">
        <v>240</v>
      </c>
      <c r="DK3781" s="5" t="s">
        <v>240</v>
      </c>
      <c r="DL3781" s="5" t="s">
        <v>240</v>
      </c>
      <c r="DP3781" s="5" t="s">
        <v>240</v>
      </c>
      <c r="DQ3781" s="5" t="s">
        <v>240</v>
      </c>
      <c r="DR3781" s="5" t="s">
        <v>240</v>
      </c>
      <c r="DS3781" s="5" t="s">
        <v>240</v>
      </c>
      <c r="DV3781" s="5" t="s">
        <v>6591</v>
      </c>
      <c r="DW3781" s="5" t="s">
        <v>804</v>
      </c>
      <c r="HO3781" s="5" t="s">
        <v>620</v>
      </c>
    </row>
    <row r="3782" spans="1:240" x14ac:dyDescent="0.4">
      <c r="A3782" s="5">
        <v>9324</v>
      </c>
      <c r="B3782" s="5">
        <v>1</v>
      </c>
      <c r="C3782" s="5">
        <v>1</v>
      </c>
      <c r="D3782" s="5" t="s">
        <v>723</v>
      </c>
      <c r="E3782" s="5" t="s">
        <v>725</v>
      </c>
      <c r="F3782" s="5" t="s">
        <v>254</v>
      </c>
      <c r="G3782" s="5" t="s">
        <v>726</v>
      </c>
      <c r="H3782" s="6" t="s">
        <v>5403</v>
      </c>
      <c r="I3782" s="5" t="s">
        <v>5402</v>
      </c>
      <c r="J3782" s="7">
        <f>1</f>
        <v>1</v>
      </c>
      <c r="K3782" s="5" t="s">
        <v>3682</v>
      </c>
      <c r="L3782" s="7">
        <f>1</f>
        <v>1</v>
      </c>
      <c r="M3782" s="7">
        <f>1</f>
        <v>1</v>
      </c>
      <c r="N3782" s="5" t="s">
        <v>242</v>
      </c>
      <c r="O3782" s="5">
        <v>1</v>
      </c>
      <c r="P3782" s="5" t="s">
        <v>294</v>
      </c>
      <c r="Q3782" s="5" t="s">
        <v>266</v>
      </c>
      <c r="R3782" s="5" t="s">
        <v>240</v>
      </c>
      <c r="S3782" s="5" t="s">
        <v>240</v>
      </c>
      <c r="T3782" s="5" t="s">
        <v>243</v>
      </c>
      <c r="U3782" s="5" t="s">
        <v>240</v>
      </c>
      <c r="V3782" s="5" t="s">
        <v>240</v>
      </c>
      <c r="Y3782" s="5" t="s">
        <v>240</v>
      </c>
      <c r="Z3782" s="6" t="s">
        <v>5102</v>
      </c>
      <c r="AB3782" s="6" t="s">
        <v>240</v>
      </c>
      <c r="AE3782" s="6" t="s">
        <v>299</v>
      </c>
      <c r="AF3782" s="5" t="s">
        <v>248</v>
      </c>
      <c r="AG3782" s="5" t="s">
        <v>249</v>
      </c>
      <c r="AW3782" s="5" t="s">
        <v>251</v>
      </c>
      <c r="AX3782" s="5" t="s">
        <v>240</v>
      </c>
      <c r="AY3782" s="5" t="s">
        <v>253</v>
      </c>
      <c r="AZ3782" s="5" t="s">
        <v>240</v>
      </c>
      <c r="BA3782" s="5" t="s">
        <v>255</v>
      </c>
      <c r="BB3782" s="5" t="s">
        <v>240</v>
      </c>
      <c r="BD3782" s="5" t="s">
        <v>240</v>
      </c>
      <c r="BF3782" s="5" t="s">
        <v>447</v>
      </c>
      <c r="BG3782" s="6" t="s">
        <v>5102</v>
      </c>
      <c r="BH3782" s="5" t="s">
        <v>302</v>
      </c>
      <c r="BI3782" s="5" t="s">
        <v>448</v>
      </c>
      <c r="BJ3782" s="5" t="s">
        <v>240</v>
      </c>
      <c r="BK3782" s="8">
        <f>0</f>
        <v>0</v>
      </c>
      <c r="BL3782" s="7">
        <f>0</f>
        <v>0</v>
      </c>
      <c r="BM3782" s="5" t="s">
        <v>258</v>
      </c>
      <c r="BN3782" s="5" t="s">
        <v>259</v>
      </c>
      <c r="CB3782" s="5" t="s">
        <v>240</v>
      </c>
      <c r="CC3782" s="5" t="s">
        <v>240</v>
      </c>
      <c r="CG3782" s="5" t="s">
        <v>449</v>
      </c>
      <c r="CH3782" s="5" t="s">
        <v>305</v>
      </c>
      <c r="CI3782" s="5" t="s">
        <v>240</v>
      </c>
      <c r="CL3782" s="6" t="s">
        <v>261</v>
      </c>
      <c r="CM3782" s="5" t="s">
        <v>240</v>
      </c>
      <c r="CN3782" s="5" t="s">
        <v>263</v>
      </c>
      <c r="CO3782" s="5" t="s">
        <v>240</v>
      </c>
      <c r="CP3782" s="5" t="s">
        <v>240</v>
      </c>
      <c r="CQ3782" s="5">
        <v>0</v>
      </c>
      <c r="CR3782" s="5" t="s">
        <v>306</v>
      </c>
      <c r="CS3782" s="5" t="s">
        <v>307</v>
      </c>
      <c r="CT3782" s="5" t="s">
        <v>307</v>
      </c>
      <c r="CU3782" s="5" t="s">
        <v>260</v>
      </c>
      <c r="CX3782" s="7">
        <f>317534</f>
        <v>317534</v>
      </c>
      <c r="CY3782" s="7">
        <f>0</f>
        <v>0</v>
      </c>
      <c r="DA3782" s="7">
        <f>0</f>
        <v>0</v>
      </c>
      <c r="DC3782" s="5" t="s">
        <v>450</v>
      </c>
      <c r="DD3782" s="5" t="s">
        <v>240</v>
      </c>
      <c r="DF3782" s="5" t="s">
        <v>450</v>
      </c>
      <c r="DG3782" s="7">
        <f>0</f>
        <v>0</v>
      </c>
      <c r="DI3782" s="5" t="s">
        <v>240</v>
      </c>
      <c r="DJ3782" s="5" t="s">
        <v>240</v>
      </c>
      <c r="DK3782" s="5" t="s">
        <v>240</v>
      </c>
      <c r="DL3782" s="5" t="s">
        <v>240</v>
      </c>
      <c r="DP3782" s="5" t="s">
        <v>240</v>
      </c>
      <c r="DQ3782" s="5" t="s">
        <v>240</v>
      </c>
      <c r="DR3782" s="5" t="s">
        <v>240</v>
      </c>
      <c r="DS3782" s="5" t="s">
        <v>240</v>
      </c>
      <c r="DV3782" s="5" t="s">
        <v>310</v>
      </c>
      <c r="DW3782" s="5" t="s">
        <v>2534</v>
      </c>
      <c r="HO3782" s="5" t="s">
        <v>312</v>
      </c>
    </row>
    <row r="3783" spans="1:240" x14ac:dyDescent="0.4">
      <c r="A3783" s="5">
        <v>9325</v>
      </c>
      <c r="B3783" s="5">
        <v>1</v>
      </c>
      <c r="C3783" s="5">
        <v>1</v>
      </c>
      <c r="D3783" s="5" t="s">
        <v>723</v>
      </c>
      <c r="E3783" s="5" t="s">
        <v>725</v>
      </c>
      <c r="F3783" s="5" t="s">
        <v>254</v>
      </c>
      <c r="G3783" s="5" t="s">
        <v>726</v>
      </c>
      <c r="H3783" s="6" t="s">
        <v>6274</v>
      </c>
      <c r="I3783" s="5" t="s">
        <v>6273</v>
      </c>
      <c r="J3783" s="7">
        <f>1</f>
        <v>1</v>
      </c>
      <c r="K3783" s="5" t="s">
        <v>3682</v>
      </c>
      <c r="L3783" s="7">
        <f>1</f>
        <v>1</v>
      </c>
      <c r="M3783" s="7">
        <f>1</f>
        <v>1</v>
      </c>
      <c r="N3783" s="5" t="s">
        <v>242</v>
      </c>
      <c r="O3783" s="5">
        <v>1</v>
      </c>
      <c r="P3783" s="5" t="s">
        <v>294</v>
      </c>
      <c r="Q3783" s="5" t="s">
        <v>266</v>
      </c>
      <c r="R3783" s="5" t="s">
        <v>240</v>
      </c>
      <c r="S3783" s="5" t="s">
        <v>240</v>
      </c>
      <c r="T3783" s="5" t="s">
        <v>243</v>
      </c>
      <c r="U3783" s="5" t="s">
        <v>240</v>
      </c>
      <c r="V3783" s="5" t="s">
        <v>240</v>
      </c>
      <c r="Y3783" s="5" t="s">
        <v>240</v>
      </c>
      <c r="Z3783" s="6" t="s">
        <v>5283</v>
      </c>
      <c r="AB3783" s="6" t="s">
        <v>240</v>
      </c>
      <c r="AE3783" s="6" t="s">
        <v>299</v>
      </c>
      <c r="AF3783" s="5" t="s">
        <v>248</v>
      </c>
      <c r="AG3783" s="5" t="s">
        <v>260</v>
      </c>
      <c r="AW3783" s="5" t="s">
        <v>251</v>
      </c>
      <c r="AX3783" s="5" t="s">
        <v>240</v>
      </c>
      <c r="AY3783" s="5" t="s">
        <v>253</v>
      </c>
      <c r="AZ3783" s="5" t="s">
        <v>240</v>
      </c>
      <c r="BA3783" s="5" t="s">
        <v>255</v>
      </c>
      <c r="BB3783" s="5" t="s">
        <v>240</v>
      </c>
      <c r="BD3783" s="5" t="s">
        <v>240</v>
      </c>
      <c r="BF3783" s="5" t="s">
        <v>447</v>
      </c>
      <c r="BG3783" s="6" t="s">
        <v>5283</v>
      </c>
      <c r="BH3783" s="5" t="s">
        <v>302</v>
      </c>
      <c r="BI3783" s="5" t="s">
        <v>448</v>
      </c>
      <c r="BJ3783" s="5" t="s">
        <v>240</v>
      </c>
      <c r="BK3783" s="8">
        <f>0</f>
        <v>0</v>
      </c>
      <c r="BL3783" s="7">
        <f>0</f>
        <v>0</v>
      </c>
      <c r="BM3783" s="5" t="s">
        <v>258</v>
      </c>
      <c r="BN3783" s="5" t="s">
        <v>259</v>
      </c>
      <c r="CB3783" s="5" t="s">
        <v>240</v>
      </c>
      <c r="CC3783" s="5" t="s">
        <v>240</v>
      </c>
      <c r="CG3783" s="5" t="s">
        <v>449</v>
      </c>
      <c r="CH3783" s="5" t="s">
        <v>305</v>
      </c>
      <c r="CI3783" s="5" t="s">
        <v>240</v>
      </c>
      <c r="CL3783" s="6" t="s">
        <v>261</v>
      </c>
      <c r="CM3783" s="5" t="s">
        <v>240</v>
      </c>
      <c r="CN3783" s="5" t="s">
        <v>263</v>
      </c>
      <c r="CO3783" s="5" t="s">
        <v>240</v>
      </c>
      <c r="CP3783" s="5" t="s">
        <v>240</v>
      </c>
      <c r="CQ3783" s="5">
        <v>0</v>
      </c>
      <c r="CR3783" s="5" t="s">
        <v>306</v>
      </c>
      <c r="CS3783" s="5" t="s">
        <v>307</v>
      </c>
      <c r="CT3783" s="5" t="s">
        <v>307</v>
      </c>
      <c r="CU3783" s="5" t="s">
        <v>260</v>
      </c>
      <c r="CX3783" s="7">
        <f>891766</f>
        <v>891766</v>
      </c>
      <c r="CY3783" s="7">
        <f>0</f>
        <v>0</v>
      </c>
      <c r="DA3783" s="7">
        <f>0</f>
        <v>0</v>
      </c>
      <c r="DC3783" s="5" t="s">
        <v>450</v>
      </c>
      <c r="DD3783" s="5" t="s">
        <v>240</v>
      </c>
      <c r="DF3783" s="5" t="s">
        <v>450</v>
      </c>
      <c r="DG3783" s="7">
        <f>470.93</f>
        <v>470.93</v>
      </c>
      <c r="DI3783" s="5" t="s">
        <v>240</v>
      </c>
      <c r="DJ3783" s="5" t="s">
        <v>240</v>
      </c>
      <c r="DK3783" s="5" t="s">
        <v>240</v>
      </c>
      <c r="DL3783" s="5" t="s">
        <v>240</v>
      </c>
      <c r="DP3783" s="5" t="s">
        <v>240</v>
      </c>
      <c r="DQ3783" s="5" t="s">
        <v>240</v>
      </c>
      <c r="DR3783" s="5" t="s">
        <v>240</v>
      </c>
      <c r="DS3783" s="5" t="s">
        <v>240</v>
      </c>
      <c r="DV3783" s="5" t="s">
        <v>310</v>
      </c>
      <c r="DW3783" s="5" t="s">
        <v>2532</v>
      </c>
      <c r="HO3783" s="5" t="s">
        <v>312</v>
      </c>
    </row>
    <row r="3784" spans="1:240" x14ac:dyDescent="0.4">
      <c r="A3784" s="5">
        <v>9326</v>
      </c>
      <c r="B3784" s="5">
        <v>1</v>
      </c>
      <c r="C3784" s="5">
        <v>1</v>
      </c>
      <c r="D3784" s="5" t="s">
        <v>723</v>
      </c>
      <c r="E3784" s="5" t="s">
        <v>725</v>
      </c>
      <c r="F3784" s="5" t="s">
        <v>254</v>
      </c>
      <c r="G3784" s="5" t="s">
        <v>726</v>
      </c>
      <c r="H3784" s="6" t="s">
        <v>5400</v>
      </c>
      <c r="I3784" s="5" t="s">
        <v>5399</v>
      </c>
      <c r="J3784" s="7">
        <f>1</f>
        <v>1</v>
      </c>
      <c r="K3784" s="5" t="s">
        <v>3682</v>
      </c>
      <c r="L3784" s="7">
        <f>1</f>
        <v>1</v>
      </c>
      <c r="M3784" s="7">
        <f>1</f>
        <v>1</v>
      </c>
      <c r="N3784" s="5" t="s">
        <v>242</v>
      </c>
      <c r="O3784" s="5">
        <v>1</v>
      </c>
      <c r="P3784" s="5" t="s">
        <v>294</v>
      </c>
      <c r="Q3784" s="5" t="s">
        <v>266</v>
      </c>
      <c r="R3784" s="5" t="s">
        <v>240</v>
      </c>
      <c r="S3784" s="5" t="s">
        <v>240</v>
      </c>
      <c r="T3784" s="5" t="s">
        <v>243</v>
      </c>
      <c r="U3784" s="5" t="s">
        <v>240</v>
      </c>
      <c r="V3784" s="5" t="s">
        <v>240</v>
      </c>
      <c r="Y3784" s="5" t="s">
        <v>240</v>
      </c>
      <c r="Z3784" s="6" t="s">
        <v>5275</v>
      </c>
      <c r="AB3784" s="6" t="s">
        <v>240</v>
      </c>
      <c r="AE3784" s="6" t="s">
        <v>299</v>
      </c>
      <c r="AF3784" s="5" t="s">
        <v>248</v>
      </c>
      <c r="AG3784" s="5" t="s">
        <v>260</v>
      </c>
      <c r="AW3784" s="5" t="s">
        <v>251</v>
      </c>
      <c r="AX3784" s="5" t="s">
        <v>240</v>
      </c>
      <c r="AY3784" s="5" t="s">
        <v>253</v>
      </c>
      <c r="AZ3784" s="5" t="s">
        <v>240</v>
      </c>
      <c r="BA3784" s="5" t="s">
        <v>255</v>
      </c>
      <c r="BB3784" s="5" t="s">
        <v>240</v>
      </c>
      <c r="BD3784" s="5" t="s">
        <v>240</v>
      </c>
      <c r="BF3784" s="5" t="s">
        <v>447</v>
      </c>
      <c r="BG3784" s="6" t="s">
        <v>5275</v>
      </c>
      <c r="BH3784" s="5" t="s">
        <v>302</v>
      </c>
      <c r="BI3784" s="5" t="s">
        <v>448</v>
      </c>
      <c r="BJ3784" s="5" t="s">
        <v>240</v>
      </c>
      <c r="BK3784" s="8">
        <f>0</f>
        <v>0</v>
      </c>
      <c r="BL3784" s="7">
        <f>0</f>
        <v>0</v>
      </c>
      <c r="BM3784" s="5" t="s">
        <v>258</v>
      </c>
      <c r="BN3784" s="5" t="s">
        <v>259</v>
      </c>
      <c r="CB3784" s="5" t="s">
        <v>240</v>
      </c>
      <c r="CC3784" s="5" t="s">
        <v>240</v>
      </c>
      <c r="CG3784" s="5" t="s">
        <v>449</v>
      </c>
      <c r="CH3784" s="5" t="s">
        <v>305</v>
      </c>
      <c r="CI3784" s="5" t="s">
        <v>240</v>
      </c>
      <c r="CL3784" s="6" t="s">
        <v>261</v>
      </c>
      <c r="CM3784" s="5" t="s">
        <v>240</v>
      </c>
      <c r="CN3784" s="5" t="s">
        <v>263</v>
      </c>
      <c r="CO3784" s="5" t="s">
        <v>240</v>
      </c>
      <c r="CP3784" s="5" t="s">
        <v>240</v>
      </c>
      <c r="CQ3784" s="5">
        <v>0</v>
      </c>
      <c r="CR3784" s="5" t="s">
        <v>306</v>
      </c>
      <c r="CS3784" s="5" t="s">
        <v>307</v>
      </c>
      <c r="CT3784" s="5" t="s">
        <v>307</v>
      </c>
      <c r="CU3784" s="5" t="s">
        <v>260</v>
      </c>
      <c r="CX3784" s="7">
        <f>971421</f>
        <v>971421</v>
      </c>
      <c r="CY3784" s="7">
        <f>0</f>
        <v>0</v>
      </c>
      <c r="DA3784" s="7">
        <f>0</f>
        <v>0</v>
      </c>
      <c r="DC3784" s="5" t="s">
        <v>450</v>
      </c>
      <c r="DD3784" s="5" t="s">
        <v>240</v>
      </c>
      <c r="DF3784" s="5" t="s">
        <v>450</v>
      </c>
      <c r="DG3784" s="7">
        <f>0</f>
        <v>0</v>
      </c>
      <c r="DI3784" s="5" t="s">
        <v>240</v>
      </c>
      <c r="DJ3784" s="5" t="s">
        <v>240</v>
      </c>
      <c r="DK3784" s="5" t="s">
        <v>240</v>
      </c>
      <c r="DL3784" s="5" t="s">
        <v>240</v>
      </c>
      <c r="DP3784" s="5" t="s">
        <v>240</v>
      </c>
      <c r="DQ3784" s="5" t="s">
        <v>240</v>
      </c>
      <c r="DR3784" s="5" t="s">
        <v>240</v>
      </c>
      <c r="DS3784" s="5" t="s">
        <v>240</v>
      </c>
      <c r="DV3784" s="5" t="s">
        <v>310</v>
      </c>
      <c r="DW3784" s="5" t="s">
        <v>2530</v>
      </c>
      <c r="HO3784" s="5" t="s">
        <v>312</v>
      </c>
    </row>
    <row r="3785" spans="1:240" x14ac:dyDescent="0.4">
      <c r="A3785" s="5">
        <v>9327</v>
      </c>
      <c r="B3785" s="5">
        <v>1</v>
      </c>
      <c r="C3785" s="5">
        <v>1</v>
      </c>
      <c r="D3785" s="5" t="s">
        <v>723</v>
      </c>
      <c r="E3785" s="5" t="s">
        <v>725</v>
      </c>
      <c r="F3785" s="5" t="s">
        <v>254</v>
      </c>
      <c r="G3785" s="5" t="s">
        <v>5966</v>
      </c>
      <c r="H3785" s="6" t="s">
        <v>5965</v>
      </c>
      <c r="I3785" s="5" t="s">
        <v>5965</v>
      </c>
      <c r="J3785" s="7">
        <f>1</f>
        <v>1</v>
      </c>
      <c r="K3785" s="5" t="s">
        <v>3682</v>
      </c>
      <c r="L3785" s="7">
        <f>1</f>
        <v>1</v>
      </c>
      <c r="M3785" s="7">
        <f>1</f>
        <v>1</v>
      </c>
      <c r="N3785" s="5" t="s">
        <v>242</v>
      </c>
      <c r="O3785" s="5">
        <v>1</v>
      </c>
      <c r="P3785" s="5" t="s">
        <v>294</v>
      </c>
      <c r="Q3785" s="5" t="s">
        <v>613</v>
      </c>
      <c r="R3785" s="5" t="s">
        <v>240</v>
      </c>
      <c r="S3785" s="5" t="s">
        <v>240</v>
      </c>
      <c r="T3785" s="5" t="s">
        <v>243</v>
      </c>
      <c r="U3785" s="5" t="s">
        <v>244</v>
      </c>
      <c r="V3785" s="5" t="s">
        <v>240</v>
      </c>
      <c r="Y3785" s="5" t="s">
        <v>240</v>
      </c>
      <c r="Z3785" s="6" t="s">
        <v>298</v>
      </c>
      <c r="AB3785" s="6" t="s">
        <v>240</v>
      </c>
      <c r="AE3785" s="6" t="s">
        <v>299</v>
      </c>
      <c r="AF3785" s="5" t="s">
        <v>248</v>
      </c>
      <c r="AG3785" s="5" t="s">
        <v>249</v>
      </c>
      <c r="AW3785" s="5" t="s">
        <v>251</v>
      </c>
      <c r="AX3785" s="5" t="s">
        <v>240</v>
      </c>
      <c r="AY3785" s="5" t="s">
        <v>253</v>
      </c>
      <c r="AZ3785" s="5" t="s">
        <v>240</v>
      </c>
      <c r="BA3785" s="5" t="s">
        <v>255</v>
      </c>
      <c r="BB3785" s="5" t="s">
        <v>240</v>
      </c>
      <c r="BD3785" s="5" t="s">
        <v>240</v>
      </c>
      <c r="BF3785" s="5" t="s">
        <v>301</v>
      </c>
      <c r="BG3785" s="6" t="s">
        <v>299</v>
      </c>
      <c r="BH3785" s="5" t="s">
        <v>302</v>
      </c>
      <c r="BI3785" s="5" t="s">
        <v>6587</v>
      </c>
      <c r="BJ3785" s="5" t="s">
        <v>240</v>
      </c>
      <c r="BK3785" s="8">
        <f>0</f>
        <v>0</v>
      </c>
      <c r="BL3785" s="7">
        <f>0</f>
        <v>0</v>
      </c>
      <c r="BM3785" s="5" t="s">
        <v>258</v>
      </c>
      <c r="BN3785" s="5" t="s">
        <v>259</v>
      </c>
      <c r="CB3785" s="5" t="s">
        <v>240</v>
      </c>
      <c r="CC3785" s="5" t="s">
        <v>240</v>
      </c>
      <c r="CG3785" s="5" t="s">
        <v>617</v>
      </c>
      <c r="CH3785" s="5" t="s">
        <v>305</v>
      </c>
      <c r="CI3785" s="5" t="s">
        <v>240</v>
      </c>
      <c r="CL3785" s="6" t="s">
        <v>261</v>
      </c>
      <c r="CM3785" s="5" t="s">
        <v>240</v>
      </c>
      <c r="CN3785" s="5" t="s">
        <v>263</v>
      </c>
      <c r="CO3785" s="5" t="s">
        <v>240</v>
      </c>
      <c r="CP3785" s="5" t="s">
        <v>240</v>
      </c>
      <c r="CQ3785" s="5">
        <v>0</v>
      </c>
      <c r="CR3785" s="5" t="s">
        <v>306</v>
      </c>
      <c r="CS3785" s="5" t="s">
        <v>307</v>
      </c>
      <c r="CT3785" s="5" t="s">
        <v>307</v>
      </c>
      <c r="CU3785" s="5" t="s">
        <v>260</v>
      </c>
      <c r="CX3785" s="7">
        <f>8383775</f>
        <v>8383775</v>
      </c>
      <c r="CY3785" s="7">
        <f>0</f>
        <v>0</v>
      </c>
      <c r="DA3785" s="7">
        <f>0</f>
        <v>0</v>
      </c>
      <c r="DC3785" s="5" t="s">
        <v>689</v>
      </c>
      <c r="DD3785" s="5" t="s">
        <v>240</v>
      </c>
      <c r="DF3785" s="5" t="s">
        <v>450</v>
      </c>
      <c r="DG3785" s="7">
        <f>0</f>
        <v>0</v>
      </c>
      <c r="DI3785" s="5" t="s">
        <v>618</v>
      </c>
      <c r="DJ3785" s="5" t="s">
        <v>240</v>
      </c>
      <c r="DK3785" s="5" t="s">
        <v>240</v>
      </c>
      <c r="DL3785" s="5" t="s">
        <v>240</v>
      </c>
      <c r="DP3785" s="5" t="s">
        <v>240</v>
      </c>
      <c r="DQ3785" s="5" t="s">
        <v>240</v>
      </c>
      <c r="DR3785" s="5" t="s">
        <v>240</v>
      </c>
      <c r="DS3785" s="5" t="s">
        <v>240</v>
      </c>
      <c r="DV3785" s="5" t="s">
        <v>6591</v>
      </c>
      <c r="DW3785" s="5" t="s">
        <v>1260</v>
      </c>
      <c r="HO3785" s="5" t="s">
        <v>620</v>
      </c>
    </row>
    <row r="3786" spans="1:240" x14ac:dyDescent="0.4">
      <c r="A3786" s="5">
        <v>9328</v>
      </c>
      <c r="B3786" s="5">
        <v>1</v>
      </c>
      <c r="C3786" s="5">
        <v>1</v>
      </c>
      <c r="D3786" s="5" t="s">
        <v>723</v>
      </c>
      <c r="E3786" s="5" t="s">
        <v>725</v>
      </c>
      <c r="F3786" s="5" t="s">
        <v>254</v>
      </c>
      <c r="G3786" s="5" t="s">
        <v>5397</v>
      </c>
      <c r="H3786" s="6" t="s">
        <v>5398</v>
      </c>
      <c r="I3786" s="5" t="s">
        <v>5396</v>
      </c>
      <c r="J3786" s="7">
        <f>1</f>
        <v>1</v>
      </c>
      <c r="K3786" s="5" t="s">
        <v>3682</v>
      </c>
      <c r="L3786" s="7">
        <f>1</f>
        <v>1</v>
      </c>
      <c r="M3786" s="7">
        <f>1</f>
        <v>1</v>
      </c>
      <c r="N3786" s="5" t="s">
        <v>242</v>
      </c>
      <c r="O3786" s="5">
        <v>1</v>
      </c>
      <c r="P3786" s="5" t="s">
        <v>294</v>
      </c>
      <c r="Q3786" s="5" t="s">
        <v>613</v>
      </c>
      <c r="R3786" s="5" t="s">
        <v>240</v>
      </c>
      <c r="S3786" s="5" t="s">
        <v>240</v>
      </c>
      <c r="T3786" s="5" t="s">
        <v>243</v>
      </c>
      <c r="U3786" s="5" t="s">
        <v>244</v>
      </c>
      <c r="V3786" s="5" t="s">
        <v>240</v>
      </c>
      <c r="Y3786" s="5" t="s">
        <v>240</v>
      </c>
      <c r="Z3786" s="6" t="s">
        <v>298</v>
      </c>
      <c r="AB3786" s="6" t="s">
        <v>240</v>
      </c>
      <c r="AE3786" s="6" t="s">
        <v>299</v>
      </c>
      <c r="AF3786" s="5" t="s">
        <v>248</v>
      </c>
      <c r="AG3786" s="5" t="s">
        <v>249</v>
      </c>
      <c r="AW3786" s="5" t="s">
        <v>251</v>
      </c>
      <c r="AX3786" s="5" t="s">
        <v>240</v>
      </c>
      <c r="AY3786" s="5" t="s">
        <v>253</v>
      </c>
      <c r="AZ3786" s="5" t="s">
        <v>240</v>
      </c>
      <c r="BA3786" s="5" t="s">
        <v>255</v>
      </c>
      <c r="BB3786" s="5" t="s">
        <v>240</v>
      </c>
      <c r="BD3786" s="5" t="s">
        <v>240</v>
      </c>
      <c r="BF3786" s="5" t="s">
        <v>301</v>
      </c>
      <c r="BG3786" s="6" t="s">
        <v>299</v>
      </c>
      <c r="BH3786" s="5" t="s">
        <v>302</v>
      </c>
      <c r="BI3786" s="5" t="s">
        <v>6587</v>
      </c>
      <c r="BJ3786" s="5" t="s">
        <v>240</v>
      </c>
      <c r="BK3786" s="8">
        <f>0</f>
        <v>0</v>
      </c>
      <c r="BL3786" s="7">
        <f>0</f>
        <v>0</v>
      </c>
      <c r="BM3786" s="5" t="s">
        <v>258</v>
      </c>
      <c r="BN3786" s="5" t="s">
        <v>259</v>
      </c>
      <c r="CB3786" s="5" t="s">
        <v>240</v>
      </c>
      <c r="CC3786" s="5" t="s">
        <v>240</v>
      </c>
      <c r="CG3786" s="5" t="s">
        <v>617</v>
      </c>
      <c r="CH3786" s="5" t="s">
        <v>305</v>
      </c>
      <c r="CI3786" s="5" t="s">
        <v>240</v>
      </c>
      <c r="CL3786" s="6" t="s">
        <v>261</v>
      </c>
      <c r="CM3786" s="5" t="s">
        <v>240</v>
      </c>
      <c r="CN3786" s="5" t="s">
        <v>263</v>
      </c>
      <c r="CO3786" s="5" t="s">
        <v>240</v>
      </c>
      <c r="CP3786" s="5" t="s">
        <v>240</v>
      </c>
      <c r="CQ3786" s="5">
        <v>0</v>
      </c>
      <c r="CR3786" s="5" t="s">
        <v>306</v>
      </c>
      <c r="CS3786" s="5" t="s">
        <v>307</v>
      </c>
      <c r="CT3786" s="5" t="s">
        <v>307</v>
      </c>
      <c r="CU3786" s="5" t="s">
        <v>260</v>
      </c>
      <c r="CX3786" s="7">
        <f>113808915</f>
        <v>113808915</v>
      </c>
      <c r="CY3786" s="7">
        <f>0</f>
        <v>0</v>
      </c>
      <c r="DA3786" s="7">
        <f>0</f>
        <v>0</v>
      </c>
      <c r="DC3786" s="5" t="s">
        <v>689</v>
      </c>
      <c r="DD3786" s="5" t="s">
        <v>240</v>
      </c>
      <c r="DF3786" s="5" t="s">
        <v>450</v>
      </c>
      <c r="DG3786" s="7">
        <f>0</f>
        <v>0</v>
      </c>
      <c r="DI3786" s="5" t="s">
        <v>618</v>
      </c>
      <c r="DJ3786" s="5" t="s">
        <v>240</v>
      </c>
      <c r="DK3786" s="5" t="s">
        <v>240</v>
      </c>
      <c r="DL3786" s="5" t="s">
        <v>240</v>
      </c>
      <c r="DP3786" s="5" t="s">
        <v>240</v>
      </c>
      <c r="DQ3786" s="5" t="s">
        <v>240</v>
      </c>
      <c r="DR3786" s="5" t="s">
        <v>240</v>
      </c>
      <c r="DS3786" s="5" t="s">
        <v>240</v>
      </c>
      <c r="DV3786" s="5" t="s">
        <v>6588</v>
      </c>
      <c r="DW3786" s="5" t="s">
        <v>312</v>
      </c>
      <c r="HO3786" s="5" t="s">
        <v>620</v>
      </c>
    </row>
    <row r="3787" spans="1:240" x14ac:dyDescent="0.4">
      <c r="A3787" s="5">
        <v>9329</v>
      </c>
      <c r="B3787" s="5">
        <v>1</v>
      </c>
      <c r="C3787" s="5">
        <v>1</v>
      </c>
      <c r="D3787" s="5" t="s">
        <v>723</v>
      </c>
      <c r="E3787" s="5" t="s">
        <v>725</v>
      </c>
      <c r="F3787" s="5" t="s">
        <v>254</v>
      </c>
      <c r="G3787" s="5" t="s">
        <v>726</v>
      </c>
      <c r="H3787" s="6" t="s">
        <v>5395</v>
      </c>
      <c r="I3787" s="5" t="s">
        <v>5394</v>
      </c>
      <c r="J3787" s="7">
        <f>1</f>
        <v>1</v>
      </c>
      <c r="K3787" s="5" t="s">
        <v>3682</v>
      </c>
      <c r="L3787" s="7">
        <f>1</f>
        <v>1</v>
      </c>
      <c r="M3787" s="7">
        <f>1</f>
        <v>1</v>
      </c>
      <c r="N3787" s="5" t="s">
        <v>242</v>
      </c>
      <c r="O3787" s="5">
        <v>1</v>
      </c>
      <c r="P3787" s="5" t="s">
        <v>294</v>
      </c>
      <c r="Q3787" s="5" t="s">
        <v>266</v>
      </c>
      <c r="R3787" s="5" t="s">
        <v>240</v>
      </c>
      <c r="S3787" s="5" t="s">
        <v>240</v>
      </c>
      <c r="T3787" s="5" t="s">
        <v>243</v>
      </c>
      <c r="U3787" s="5" t="s">
        <v>240</v>
      </c>
      <c r="V3787" s="5" t="s">
        <v>240</v>
      </c>
      <c r="Y3787" s="5" t="s">
        <v>240</v>
      </c>
      <c r="Z3787" s="6" t="s">
        <v>5121</v>
      </c>
      <c r="AB3787" s="6" t="s">
        <v>240</v>
      </c>
      <c r="AE3787" s="6" t="s">
        <v>299</v>
      </c>
      <c r="AF3787" s="5" t="s">
        <v>248</v>
      </c>
      <c r="AG3787" s="5" t="s">
        <v>260</v>
      </c>
      <c r="AW3787" s="5" t="s">
        <v>251</v>
      </c>
      <c r="AX3787" s="5" t="s">
        <v>240</v>
      </c>
      <c r="AY3787" s="5" t="s">
        <v>253</v>
      </c>
      <c r="AZ3787" s="5" t="s">
        <v>240</v>
      </c>
      <c r="BA3787" s="5" t="s">
        <v>255</v>
      </c>
      <c r="BB3787" s="5" t="s">
        <v>240</v>
      </c>
      <c r="BD3787" s="5" t="s">
        <v>240</v>
      </c>
      <c r="BF3787" s="5" t="s">
        <v>447</v>
      </c>
      <c r="BG3787" s="6" t="s">
        <v>5121</v>
      </c>
      <c r="BH3787" s="5" t="s">
        <v>302</v>
      </c>
      <c r="BI3787" s="5" t="s">
        <v>448</v>
      </c>
      <c r="BJ3787" s="5" t="s">
        <v>240</v>
      </c>
      <c r="BK3787" s="8">
        <f>0</f>
        <v>0</v>
      </c>
      <c r="BL3787" s="7">
        <f>0</f>
        <v>0</v>
      </c>
      <c r="BM3787" s="5" t="s">
        <v>258</v>
      </c>
      <c r="BN3787" s="5" t="s">
        <v>259</v>
      </c>
      <c r="CB3787" s="5" t="s">
        <v>240</v>
      </c>
      <c r="CC3787" s="5" t="s">
        <v>240</v>
      </c>
      <c r="CG3787" s="5" t="s">
        <v>449</v>
      </c>
      <c r="CH3787" s="5" t="s">
        <v>305</v>
      </c>
      <c r="CI3787" s="5" t="s">
        <v>240</v>
      </c>
      <c r="CL3787" s="6" t="s">
        <v>261</v>
      </c>
      <c r="CM3787" s="5" t="s">
        <v>240</v>
      </c>
      <c r="CN3787" s="5" t="s">
        <v>263</v>
      </c>
      <c r="CO3787" s="5" t="s">
        <v>240</v>
      </c>
      <c r="CP3787" s="5" t="s">
        <v>240</v>
      </c>
      <c r="CQ3787" s="5">
        <v>0</v>
      </c>
      <c r="CR3787" s="5" t="s">
        <v>306</v>
      </c>
      <c r="CS3787" s="5" t="s">
        <v>307</v>
      </c>
      <c r="CT3787" s="5" t="s">
        <v>307</v>
      </c>
      <c r="CU3787" s="5" t="s">
        <v>260</v>
      </c>
      <c r="CX3787" s="7">
        <f>20170</f>
        <v>20170</v>
      </c>
      <c r="CY3787" s="7">
        <f>0</f>
        <v>0</v>
      </c>
      <c r="DA3787" s="7">
        <f>0</f>
        <v>0</v>
      </c>
      <c r="DC3787" s="5" t="s">
        <v>450</v>
      </c>
      <c r="DD3787" s="5" t="s">
        <v>240</v>
      </c>
      <c r="DF3787" s="5" t="s">
        <v>450</v>
      </c>
      <c r="DG3787" s="7">
        <f>23.73</f>
        <v>23.73</v>
      </c>
      <c r="DI3787" s="5" t="s">
        <v>240</v>
      </c>
      <c r="DJ3787" s="5" t="s">
        <v>240</v>
      </c>
      <c r="DK3787" s="5" t="s">
        <v>240</v>
      </c>
      <c r="DL3787" s="5" t="s">
        <v>240</v>
      </c>
      <c r="DP3787" s="5" t="s">
        <v>240</v>
      </c>
      <c r="DQ3787" s="5" t="s">
        <v>240</v>
      </c>
      <c r="DR3787" s="5" t="s">
        <v>240</v>
      </c>
      <c r="DS3787" s="5" t="s">
        <v>240</v>
      </c>
      <c r="DV3787" s="5" t="s">
        <v>310</v>
      </c>
      <c r="DW3787" s="5" t="s">
        <v>2528</v>
      </c>
      <c r="HO3787" s="5" t="s">
        <v>312</v>
      </c>
    </row>
    <row r="3788" spans="1:240" x14ac:dyDescent="0.4">
      <c r="A3788" s="5">
        <v>9330</v>
      </c>
      <c r="B3788" s="5">
        <v>1</v>
      </c>
      <c r="C3788" s="5">
        <v>1</v>
      </c>
      <c r="D3788" s="5" t="s">
        <v>723</v>
      </c>
      <c r="E3788" s="5" t="s">
        <v>725</v>
      </c>
      <c r="F3788" s="5" t="s">
        <v>254</v>
      </c>
      <c r="G3788" s="5" t="s">
        <v>726</v>
      </c>
      <c r="H3788" s="6" t="s">
        <v>6271</v>
      </c>
      <c r="I3788" s="5" t="s">
        <v>6270</v>
      </c>
      <c r="J3788" s="7">
        <f>1</f>
        <v>1</v>
      </c>
      <c r="K3788" s="5" t="s">
        <v>3682</v>
      </c>
      <c r="L3788" s="7">
        <f>1</f>
        <v>1</v>
      </c>
      <c r="M3788" s="7">
        <f>1</f>
        <v>1</v>
      </c>
      <c r="N3788" s="5" t="s">
        <v>242</v>
      </c>
      <c r="O3788" s="5">
        <v>1</v>
      </c>
      <c r="P3788" s="5" t="s">
        <v>294</v>
      </c>
      <c r="Q3788" s="5" t="s">
        <v>613</v>
      </c>
      <c r="R3788" s="5" t="s">
        <v>240</v>
      </c>
      <c r="S3788" s="5" t="s">
        <v>240</v>
      </c>
      <c r="T3788" s="5" t="s">
        <v>296</v>
      </c>
      <c r="U3788" s="5" t="s">
        <v>244</v>
      </c>
      <c r="V3788" s="5" t="s">
        <v>240</v>
      </c>
      <c r="Y3788" s="5" t="s">
        <v>240</v>
      </c>
      <c r="Z3788" s="6" t="s">
        <v>298</v>
      </c>
      <c r="AB3788" s="6" t="s">
        <v>240</v>
      </c>
      <c r="AE3788" s="6" t="s">
        <v>299</v>
      </c>
      <c r="AF3788" s="5" t="s">
        <v>248</v>
      </c>
      <c r="AG3788" s="5" t="s">
        <v>249</v>
      </c>
      <c r="AW3788" s="5" t="s">
        <v>251</v>
      </c>
      <c r="AX3788" s="5" t="s">
        <v>240</v>
      </c>
      <c r="AY3788" s="5" t="s">
        <v>253</v>
      </c>
      <c r="AZ3788" s="5" t="s">
        <v>240</v>
      </c>
      <c r="BA3788" s="5" t="s">
        <v>255</v>
      </c>
      <c r="BB3788" s="5" t="s">
        <v>240</v>
      </c>
      <c r="BD3788" s="5" t="s">
        <v>240</v>
      </c>
      <c r="BF3788" s="5" t="s">
        <v>301</v>
      </c>
      <c r="BG3788" s="6" t="s">
        <v>299</v>
      </c>
      <c r="BH3788" s="5" t="s">
        <v>302</v>
      </c>
      <c r="BI3788" s="5" t="s">
        <v>6587</v>
      </c>
      <c r="BJ3788" s="5" t="s">
        <v>240</v>
      </c>
      <c r="BK3788" s="8">
        <f>0</f>
        <v>0</v>
      </c>
      <c r="BL3788" s="7">
        <f>0</f>
        <v>0</v>
      </c>
      <c r="BM3788" s="5" t="s">
        <v>258</v>
      </c>
      <c r="BN3788" s="5" t="s">
        <v>259</v>
      </c>
      <c r="CB3788" s="5" t="s">
        <v>240</v>
      </c>
      <c r="CC3788" s="5" t="s">
        <v>240</v>
      </c>
      <c r="CG3788" s="5" t="s">
        <v>617</v>
      </c>
      <c r="CH3788" s="5" t="s">
        <v>305</v>
      </c>
      <c r="CI3788" s="5" t="s">
        <v>240</v>
      </c>
      <c r="CL3788" s="6" t="s">
        <v>261</v>
      </c>
      <c r="CM3788" s="5" t="s">
        <v>240</v>
      </c>
      <c r="CN3788" s="5" t="s">
        <v>263</v>
      </c>
      <c r="CO3788" s="5" t="s">
        <v>240</v>
      </c>
      <c r="CP3788" s="5" t="s">
        <v>240</v>
      </c>
      <c r="CQ3788" s="5">
        <v>0</v>
      </c>
      <c r="CR3788" s="5" t="s">
        <v>306</v>
      </c>
      <c r="CS3788" s="5" t="s">
        <v>307</v>
      </c>
      <c r="CT3788" s="5" t="s">
        <v>307</v>
      </c>
      <c r="CU3788" s="5" t="s">
        <v>260</v>
      </c>
      <c r="CX3788" s="7">
        <f>6860</f>
        <v>6860</v>
      </c>
      <c r="CY3788" s="7">
        <f>0</f>
        <v>0</v>
      </c>
      <c r="DA3788" s="7">
        <f>0</f>
        <v>0</v>
      </c>
      <c r="DC3788" s="5" t="s">
        <v>309</v>
      </c>
      <c r="DD3788" s="5" t="s">
        <v>240</v>
      </c>
      <c r="DF3788" s="5" t="s">
        <v>450</v>
      </c>
      <c r="DG3788" s="7">
        <f>0</f>
        <v>0</v>
      </c>
      <c r="DI3788" s="5" t="s">
        <v>450</v>
      </c>
      <c r="DJ3788" s="5" t="s">
        <v>240</v>
      </c>
      <c r="DK3788" s="5" t="s">
        <v>240</v>
      </c>
      <c r="DL3788" s="5" t="s">
        <v>240</v>
      </c>
      <c r="DP3788" s="5" t="s">
        <v>240</v>
      </c>
      <c r="DQ3788" s="5" t="s">
        <v>240</v>
      </c>
      <c r="DR3788" s="5" t="s">
        <v>240</v>
      </c>
      <c r="DS3788" s="5" t="s">
        <v>240</v>
      </c>
      <c r="DV3788" s="5" t="s">
        <v>6591</v>
      </c>
      <c r="DW3788" s="5" t="s">
        <v>808</v>
      </c>
      <c r="HO3788" s="5" t="s">
        <v>620</v>
      </c>
    </row>
    <row r="3789" spans="1:240" x14ac:dyDescent="0.4">
      <c r="A3789" s="5">
        <v>9331</v>
      </c>
      <c r="B3789" s="5">
        <v>1</v>
      </c>
      <c r="C3789" s="5">
        <v>1</v>
      </c>
      <c r="D3789" s="5" t="s">
        <v>723</v>
      </c>
      <c r="E3789" s="5" t="s">
        <v>725</v>
      </c>
      <c r="F3789" s="5" t="s">
        <v>254</v>
      </c>
      <c r="G3789" s="5" t="s">
        <v>5325</v>
      </c>
      <c r="H3789" s="6" t="s">
        <v>5392</v>
      </c>
      <c r="I3789" s="5" t="s">
        <v>5392</v>
      </c>
      <c r="J3789" s="7">
        <f>1</f>
        <v>1</v>
      </c>
      <c r="K3789" s="5" t="s">
        <v>3682</v>
      </c>
      <c r="L3789" s="7">
        <f>1</f>
        <v>1</v>
      </c>
      <c r="M3789" s="7">
        <f>1</f>
        <v>1</v>
      </c>
      <c r="N3789" s="5" t="s">
        <v>242</v>
      </c>
      <c r="O3789" s="5">
        <v>1</v>
      </c>
      <c r="P3789" s="5" t="s">
        <v>294</v>
      </c>
      <c r="Q3789" s="5" t="s">
        <v>266</v>
      </c>
      <c r="R3789" s="5" t="s">
        <v>240</v>
      </c>
      <c r="S3789" s="5" t="s">
        <v>240</v>
      </c>
      <c r="T3789" s="5" t="s">
        <v>243</v>
      </c>
      <c r="U3789" s="5" t="s">
        <v>240</v>
      </c>
      <c r="V3789" s="5" t="s">
        <v>240</v>
      </c>
      <c r="Y3789" s="5" t="s">
        <v>240</v>
      </c>
      <c r="Z3789" s="6" t="s">
        <v>6638</v>
      </c>
      <c r="AB3789" s="6" t="s">
        <v>240</v>
      </c>
      <c r="AE3789" s="6" t="s">
        <v>299</v>
      </c>
      <c r="AF3789" s="5" t="s">
        <v>248</v>
      </c>
      <c r="AG3789" s="5" t="s">
        <v>260</v>
      </c>
      <c r="AW3789" s="5" t="s">
        <v>251</v>
      </c>
      <c r="AX3789" s="5" t="s">
        <v>240</v>
      </c>
      <c r="AY3789" s="5" t="s">
        <v>253</v>
      </c>
      <c r="AZ3789" s="5" t="s">
        <v>240</v>
      </c>
      <c r="BA3789" s="5" t="s">
        <v>255</v>
      </c>
      <c r="BB3789" s="5" t="s">
        <v>240</v>
      </c>
      <c r="BD3789" s="5" t="s">
        <v>240</v>
      </c>
      <c r="BF3789" s="5" t="s">
        <v>447</v>
      </c>
      <c r="BG3789" s="6" t="s">
        <v>6638</v>
      </c>
      <c r="BH3789" s="5" t="s">
        <v>302</v>
      </c>
      <c r="BI3789" s="5" t="s">
        <v>448</v>
      </c>
      <c r="BJ3789" s="5" t="s">
        <v>240</v>
      </c>
      <c r="BK3789" s="8">
        <f>0</f>
        <v>0</v>
      </c>
      <c r="BL3789" s="7">
        <f>0</f>
        <v>0</v>
      </c>
      <c r="BM3789" s="5" t="s">
        <v>258</v>
      </c>
      <c r="BN3789" s="5" t="s">
        <v>259</v>
      </c>
      <c r="CB3789" s="5" t="s">
        <v>240</v>
      </c>
      <c r="CC3789" s="5" t="s">
        <v>240</v>
      </c>
      <c r="CG3789" s="5" t="s">
        <v>449</v>
      </c>
      <c r="CH3789" s="5" t="s">
        <v>305</v>
      </c>
      <c r="CI3789" s="5" t="s">
        <v>240</v>
      </c>
      <c r="CL3789" s="6" t="s">
        <v>261</v>
      </c>
      <c r="CM3789" s="5" t="s">
        <v>240</v>
      </c>
      <c r="CN3789" s="5" t="s">
        <v>263</v>
      </c>
      <c r="CO3789" s="5" t="s">
        <v>240</v>
      </c>
      <c r="CP3789" s="5" t="s">
        <v>240</v>
      </c>
      <c r="CQ3789" s="5">
        <v>0</v>
      </c>
      <c r="CR3789" s="5" t="s">
        <v>306</v>
      </c>
      <c r="CS3789" s="5" t="s">
        <v>307</v>
      </c>
      <c r="CT3789" s="5" t="s">
        <v>307</v>
      </c>
      <c r="CU3789" s="5" t="s">
        <v>260</v>
      </c>
      <c r="CX3789" s="7">
        <f>1226856</f>
        <v>1226856</v>
      </c>
      <c r="CY3789" s="7">
        <f>0</f>
        <v>0</v>
      </c>
      <c r="DA3789" s="7">
        <f>0</f>
        <v>0</v>
      </c>
      <c r="DC3789" s="5" t="s">
        <v>450</v>
      </c>
      <c r="DD3789" s="5" t="s">
        <v>240</v>
      </c>
      <c r="DF3789" s="5" t="s">
        <v>450</v>
      </c>
      <c r="DG3789" s="7">
        <f>0</f>
        <v>0</v>
      </c>
      <c r="DI3789" s="5" t="s">
        <v>240</v>
      </c>
      <c r="DJ3789" s="5" t="s">
        <v>240</v>
      </c>
      <c r="DK3789" s="5" t="s">
        <v>240</v>
      </c>
      <c r="DL3789" s="5" t="s">
        <v>240</v>
      </c>
      <c r="DP3789" s="5" t="s">
        <v>240</v>
      </c>
      <c r="DQ3789" s="5" t="s">
        <v>240</v>
      </c>
      <c r="DR3789" s="5" t="s">
        <v>240</v>
      </c>
      <c r="DS3789" s="5" t="s">
        <v>240</v>
      </c>
      <c r="DV3789" s="5" t="s">
        <v>310</v>
      </c>
      <c r="DW3789" s="5" t="s">
        <v>2526</v>
      </c>
      <c r="HO3789" s="5" t="s">
        <v>312</v>
      </c>
    </row>
    <row r="3790" spans="1:240" x14ac:dyDescent="0.4">
      <c r="A3790" s="5">
        <v>9332</v>
      </c>
      <c r="B3790" s="5">
        <v>1</v>
      </c>
      <c r="C3790" s="5">
        <v>1</v>
      </c>
      <c r="D3790" s="5" t="s">
        <v>723</v>
      </c>
      <c r="E3790" s="5" t="s">
        <v>725</v>
      </c>
      <c r="F3790" s="5" t="s">
        <v>254</v>
      </c>
      <c r="G3790" s="5" t="s">
        <v>726</v>
      </c>
      <c r="H3790" s="6" t="s">
        <v>5391</v>
      </c>
      <c r="I3790" s="5" t="s">
        <v>5390</v>
      </c>
      <c r="J3790" s="7">
        <f>1</f>
        <v>1</v>
      </c>
      <c r="K3790" s="5" t="s">
        <v>3682</v>
      </c>
      <c r="L3790" s="7">
        <f>1</f>
        <v>1</v>
      </c>
      <c r="M3790" s="7">
        <f>1</f>
        <v>1</v>
      </c>
      <c r="N3790" s="5" t="s">
        <v>242</v>
      </c>
      <c r="O3790" s="5">
        <v>1</v>
      </c>
      <c r="P3790" s="5" t="s">
        <v>294</v>
      </c>
      <c r="Q3790" s="5" t="s">
        <v>266</v>
      </c>
      <c r="R3790" s="5" t="s">
        <v>240</v>
      </c>
      <c r="S3790" s="5" t="s">
        <v>240</v>
      </c>
      <c r="T3790" s="5" t="s">
        <v>296</v>
      </c>
      <c r="U3790" s="5" t="s">
        <v>244</v>
      </c>
      <c r="V3790" s="5" t="s">
        <v>240</v>
      </c>
      <c r="Y3790" s="5" t="s">
        <v>240</v>
      </c>
      <c r="Z3790" s="6" t="s">
        <v>298</v>
      </c>
      <c r="AB3790" s="6" t="s">
        <v>240</v>
      </c>
      <c r="AE3790" s="6" t="s">
        <v>299</v>
      </c>
      <c r="AF3790" s="5" t="s">
        <v>248</v>
      </c>
      <c r="AG3790" s="5" t="s">
        <v>249</v>
      </c>
      <c r="AW3790" s="5" t="s">
        <v>251</v>
      </c>
      <c r="AX3790" s="5" t="s">
        <v>240</v>
      </c>
      <c r="AY3790" s="5" t="s">
        <v>253</v>
      </c>
      <c r="AZ3790" s="5" t="s">
        <v>240</v>
      </c>
      <c r="BA3790" s="5" t="s">
        <v>255</v>
      </c>
      <c r="BB3790" s="5" t="s">
        <v>240</v>
      </c>
      <c r="BD3790" s="5" t="s">
        <v>240</v>
      </c>
      <c r="BF3790" s="5" t="s">
        <v>301</v>
      </c>
      <c r="BG3790" s="6" t="s">
        <v>299</v>
      </c>
      <c r="BH3790" s="5" t="s">
        <v>302</v>
      </c>
      <c r="BI3790" s="5" t="s">
        <v>303</v>
      </c>
      <c r="BJ3790" s="5" t="s">
        <v>240</v>
      </c>
      <c r="BK3790" s="8">
        <f>0</f>
        <v>0</v>
      </c>
      <c r="BL3790" s="7">
        <f>0</f>
        <v>0</v>
      </c>
      <c r="BM3790" s="5" t="s">
        <v>258</v>
      </c>
      <c r="BN3790" s="5" t="s">
        <v>259</v>
      </c>
      <c r="CB3790" s="5" t="s">
        <v>240</v>
      </c>
      <c r="CC3790" s="5" t="s">
        <v>240</v>
      </c>
      <c r="CG3790" s="5" t="s">
        <v>304</v>
      </c>
      <c r="CH3790" s="5" t="s">
        <v>305</v>
      </c>
      <c r="CI3790" s="5" t="s">
        <v>240</v>
      </c>
      <c r="CL3790" s="6" t="s">
        <v>261</v>
      </c>
      <c r="CM3790" s="5" t="s">
        <v>240</v>
      </c>
      <c r="CN3790" s="5" t="s">
        <v>263</v>
      </c>
      <c r="CO3790" s="5" t="s">
        <v>240</v>
      </c>
      <c r="CP3790" s="5" t="s">
        <v>240</v>
      </c>
      <c r="CQ3790" s="5">
        <v>0</v>
      </c>
      <c r="CR3790" s="5" t="s">
        <v>306</v>
      </c>
      <c r="CS3790" s="5" t="s">
        <v>307</v>
      </c>
      <c r="CT3790" s="5" t="s">
        <v>307</v>
      </c>
      <c r="CU3790" s="5" t="s">
        <v>260</v>
      </c>
      <c r="CX3790" s="7">
        <f>1</f>
        <v>1</v>
      </c>
      <c r="CY3790" s="7">
        <f>0</f>
        <v>0</v>
      </c>
      <c r="DA3790" s="7">
        <f>0</f>
        <v>0</v>
      </c>
      <c r="DC3790" s="5" t="s">
        <v>309</v>
      </c>
      <c r="DD3790" s="5" t="s">
        <v>240</v>
      </c>
      <c r="DF3790" s="5" t="s">
        <v>309</v>
      </c>
      <c r="DG3790" s="7">
        <f>664</f>
        <v>664</v>
      </c>
      <c r="DI3790" s="5" t="s">
        <v>240</v>
      </c>
      <c r="DJ3790" s="5" t="s">
        <v>240</v>
      </c>
      <c r="DK3790" s="5" t="s">
        <v>240</v>
      </c>
      <c r="DL3790" s="5" t="s">
        <v>240</v>
      </c>
      <c r="DP3790" s="5" t="s">
        <v>240</v>
      </c>
      <c r="DQ3790" s="5" t="s">
        <v>240</v>
      </c>
      <c r="DR3790" s="5" t="s">
        <v>240</v>
      </c>
      <c r="DS3790" s="5" t="s">
        <v>240</v>
      </c>
      <c r="DV3790" s="5" t="s">
        <v>310</v>
      </c>
      <c r="DW3790" s="5" t="s">
        <v>4103</v>
      </c>
      <c r="HO3790" s="5" t="s">
        <v>312</v>
      </c>
    </row>
    <row r="3791" spans="1:240" x14ac:dyDescent="0.4">
      <c r="A3791" s="5">
        <v>9333</v>
      </c>
      <c r="B3791" s="5">
        <v>1</v>
      </c>
      <c r="C3791" s="5">
        <v>1</v>
      </c>
      <c r="D3791" s="5" t="s">
        <v>723</v>
      </c>
      <c r="E3791" s="5" t="s">
        <v>725</v>
      </c>
      <c r="F3791" s="5" t="s">
        <v>254</v>
      </c>
      <c r="G3791" s="5" t="s">
        <v>726</v>
      </c>
      <c r="H3791" s="6" t="s">
        <v>5389</v>
      </c>
      <c r="I3791" s="5" t="s">
        <v>5388</v>
      </c>
      <c r="J3791" s="7">
        <f>1</f>
        <v>1</v>
      </c>
      <c r="K3791" s="5" t="s">
        <v>3682</v>
      </c>
      <c r="L3791" s="7">
        <f>1</f>
        <v>1</v>
      </c>
      <c r="M3791" s="7">
        <f>1</f>
        <v>1</v>
      </c>
      <c r="N3791" s="5" t="s">
        <v>242</v>
      </c>
      <c r="O3791" s="5">
        <v>1</v>
      </c>
      <c r="P3791" s="5" t="s">
        <v>294</v>
      </c>
      <c r="Q3791" s="5" t="s">
        <v>266</v>
      </c>
      <c r="R3791" s="5" t="s">
        <v>240</v>
      </c>
      <c r="S3791" s="5" t="s">
        <v>240</v>
      </c>
      <c r="T3791" s="5" t="s">
        <v>243</v>
      </c>
      <c r="U3791" s="5" t="s">
        <v>240</v>
      </c>
      <c r="V3791" s="5" t="s">
        <v>240</v>
      </c>
      <c r="Y3791" s="5" t="s">
        <v>240</v>
      </c>
      <c r="Z3791" s="6" t="s">
        <v>6638</v>
      </c>
      <c r="AB3791" s="6" t="s">
        <v>240</v>
      </c>
      <c r="AE3791" s="6" t="s">
        <v>299</v>
      </c>
      <c r="AF3791" s="5" t="s">
        <v>248</v>
      </c>
      <c r="AG3791" s="5" t="s">
        <v>260</v>
      </c>
      <c r="AW3791" s="5" t="s">
        <v>251</v>
      </c>
      <c r="AX3791" s="5" t="s">
        <v>240</v>
      </c>
      <c r="AY3791" s="5" t="s">
        <v>253</v>
      </c>
      <c r="AZ3791" s="5" t="s">
        <v>240</v>
      </c>
      <c r="BA3791" s="5" t="s">
        <v>255</v>
      </c>
      <c r="BB3791" s="5" t="s">
        <v>240</v>
      </c>
      <c r="BD3791" s="5" t="s">
        <v>240</v>
      </c>
      <c r="BF3791" s="5" t="s">
        <v>447</v>
      </c>
      <c r="BG3791" s="6" t="s">
        <v>6638</v>
      </c>
      <c r="BH3791" s="5" t="s">
        <v>302</v>
      </c>
      <c r="BI3791" s="5" t="s">
        <v>448</v>
      </c>
      <c r="BJ3791" s="5" t="s">
        <v>240</v>
      </c>
      <c r="BK3791" s="8">
        <f>0</f>
        <v>0</v>
      </c>
      <c r="BL3791" s="7">
        <f>0</f>
        <v>0</v>
      </c>
      <c r="BM3791" s="5" t="s">
        <v>258</v>
      </c>
      <c r="BN3791" s="5" t="s">
        <v>259</v>
      </c>
      <c r="CB3791" s="5" t="s">
        <v>240</v>
      </c>
      <c r="CC3791" s="5" t="s">
        <v>240</v>
      </c>
      <c r="CG3791" s="5" t="s">
        <v>449</v>
      </c>
      <c r="CH3791" s="5" t="s">
        <v>305</v>
      </c>
      <c r="CI3791" s="5" t="s">
        <v>240</v>
      </c>
      <c r="CL3791" s="6" t="s">
        <v>261</v>
      </c>
      <c r="CM3791" s="5" t="s">
        <v>240</v>
      </c>
      <c r="CN3791" s="5" t="s">
        <v>263</v>
      </c>
      <c r="CO3791" s="5" t="s">
        <v>240</v>
      </c>
      <c r="CP3791" s="5" t="s">
        <v>240</v>
      </c>
      <c r="CQ3791" s="5">
        <v>0</v>
      </c>
      <c r="CR3791" s="5" t="s">
        <v>306</v>
      </c>
      <c r="CS3791" s="5" t="s">
        <v>307</v>
      </c>
      <c r="CT3791" s="5" t="s">
        <v>307</v>
      </c>
      <c r="CU3791" s="5" t="s">
        <v>260</v>
      </c>
      <c r="CX3791" s="7">
        <f>2857939</f>
        <v>2857939</v>
      </c>
      <c r="CY3791" s="7">
        <f>0</f>
        <v>0</v>
      </c>
      <c r="DA3791" s="7">
        <f>0</f>
        <v>0</v>
      </c>
      <c r="DC3791" s="5" t="s">
        <v>450</v>
      </c>
      <c r="DD3791" s="5" t="s">
        <v>240</v>
      </c>
      <c r="DF3791" s="5" t="s">
        <v>450</v>
      </c>
      <c r="DG3791" s="7">
        <f>1463.1</f>
        <v>1463.1</v>
      </c>
      <c r="DI3791" s="5" t="s">
        <v>240</v>
      </c>
      <c r="DJ3791" s="5" t="s">
        <v>240</v>
      </c>
      <c r="DK3791" s="5" t="s">
        <v>240</v>
      </c>
      <c r="DL3791" s="5" t="s">
        <v>240</v>
      </c>
      <c r="DP3791" s="5" t="s">
        <v>240</v>
      </c>
      <c r="DQ3791" s="5" t="s">
        <v>240</v>
      </c>
      <c r="DR3791" s="5" t="s">
        <v>240</v>
      </c>
      <c r="DS3791" s="5" t="s">
        <v>240</v>
      </c>
      <c r="DV3791" s="5" t="s">
        <v>310</v>
      </c>
      <c r="DW3791" s="5" t="s">
        <v>2524</v>
      </c>
      <c r="HO3791" s="5" t="s">
        <v>312</v>
      </c>
    </row>
    <row r="3792" spans="1:240" x14ac:dyDescent="0.4">
      <c r="A3792" s="5">
        <v>9334</v>
      </c>
      <c r="B3792" s="5">
        <v>1</v>
      </c>
      <c r="C3792" s="5">
        <v>1</v>
      </c>
      <c r="D3792" s="5" t="s">
        <v>723</v>
      </c>
      <c r="E3792" s="5" t="s">
        <v>725</v>
      </c>
      <c r="F3792" s="5" t="s">
        <v>254</v>
      </c>
      <c r="G3792" s="5" t="s">
        <v>5325</v>
      </c>
      <c r="H3792" s="6" t="s">
        <v>5387</v>
      </c>
      <c r="I3792" s="5" t="s">
        <v>5387</v>
      </c>
      <c r="J3792" s="7">
        <f>1</f>
        <v>1</v>
      </c>
      <c r="K3792" s="5" t="s">
        <v>3682</v>
      </c>
      <c r="L3792" s="7">
        <f>1</f>
        <v>1</v>
      </c>
      <c r="M3792" s="7">
        <f>1</f>
        <v>1</v>
      </c>
      <c r="N3792" s="5" t="s">
        <v>242</v>
      </c>
      <c r="O3792" s="5">
        <v>1</v>
      </c>
      <c r="P3792" s="5" t="s">
        <v>294</v>
      </c>
      <c r="Q3792" s="5" t="s">
        <v>266</v>
      </c>
      <c r="R3792" s="5" t="s">
        <v>240</v>
      </c>
      <c r="S3792" s="5" t="s">
        <v>240</v>
      </c>
      <c r="T3792" s="5" t="s">
        <v>243</v>
      </c>
      <c r="U3792" s="5" t="s">
        <v>240</v>
      </c>
      <c r="V3792" s="5" t="s">
        <v>240</v>
      </c>
      <c r="Y3792" s="5" t="s">
        <v>240</v>
      </c>
      <c r="Z3792" s="6" t="s">
        <v>6610</v>
      </c>
      <c r="AB3792" s="6" t="s">
        <v>240</v>
      </c>
      <c r="AE3792" s="6" t="s">
        <v>299</v>
      </c>
      <c r="AF3792" s="5" t="s">
        <v>248</v>
      </c>
      <c r="AG3792" s="5" t="s">
        <v>260</v>
      </c>
      <c r="AW3792" s="5" t="s">
        <v>251</v>
      </c>
      <c r="AX3792" s="5" t="s">
        <v>240</v>
      </c>
      <c r="AY3792" s="5" t="s">
        <v>253</v>
      </c>
      <c r="AZ3792" s="5" t="s">
        <v>240</v>
      </c>
      <c r="BA3792" s="5" t="s">
        <v>255</v>
      </c>
      <c r="BB3792" s="5" t="s">
        <v>240</v>
      </c>
      <c r="BD3792" s="5" t="s">
        <v>240</v>
      </c>
      <c r="BF3792" s="5" t="s">
        <v>447</v>
      </c>
      <c r="BG3792" s="6" t="s">
        <v>6610</v>
      </c>
      <c r="BH3792" s="5" t="s">
        <v>302</v>
      </c>
      <c r="BI3792" s="5" t="s">
        <v>448</v>
      </c>
      <c r="BJ3792" s="5" t="s">
        <v>240</v>
      </c>
      <c r="BK3792" s="8">
        <f>0</f>
        <v>0</v>
      </c>
      <c r="BL3792" s="7">
        <f>0</f>
        <v>0</v>
      </c>
      <c r="BM3792" s="5" t="s">
        <v>258</v>
      </c>
      <c r="BN3792" s="5" t="s">
        <v>259</v>
      </c>
      <c r="CB3792" s="5" t="s">
        <v>240</v>
      </c>
      <c r="CC3792" s="5" t="s">
        <v>240</v>
      </c>
      <c r="CG3792" s="5" t="s">
        <v>449</v>
      </c>
      <c r="CH3792" s="5" t="s">
        <v>305</v>
      </c>
      <c r="CI3792" s="5" t="s">
        <v>240</v>
      </c>
      <c r="CL3792" s="6" t="s">
        <v>261</v>
      </c>
      <c r="CM3792" s="5" t="s">
        <v>240</v>
      </c>
      <c r="CN3792" s="5" t="s">
        <v>263</v>
      </c>
      <c r="CO3792" s="5" t="s">
        <v>240</v>
      </c>
      <c r="CP3792" s="5" t="s">
        <v>240</v>
      </c>
      <c r="CQ3792" s="5">
        <v>0</v>
      </c>
      <c r="CR3792" s="5" t="s">
        <v>306</v>
      </c>
      <c r="CS3792" s="5" t="s">
        <v>307</v>
      </c>
      <c r="CT3792" s="5" t="s">
        <v>307</v>
      </c>
      <c r="CU3792" s="5" t="s">
        <v>260</v>
      </c>
      <c r="CX3792" s="7">
        <f>852617</f>
        <v>852617</v>
      </c>
      <c r="CY3792" s="7">
        <f>0</f>
        <v>0</v>
      </c>
      <c r="DA3792" s="7">
        <f>0</f>
        <v>0</v>
      </c>
      <c r="DC3792" s="5" t="s">
        <v>450</v>
      </c>
      <c r="DD3792" s="5" t="s">
        <v>240</v>
      </c>
      <c r="DF3792" s="5" t="s">
        <v>450</v>
      </c>
      <c r="DG3792" s="7">
        <f>0</f>
        <v>0</v>
      </c>
      <c r="DI3792" s="5" t="s">
        <v>240</v>
      </c>
      <c r="DJ3792" s="5" t="s">
        <v>240</v>
      </c>
      <c r="DK3792" s="5" t="s">
        <v>240</v>
      </c>
      <c r="DL3792" s="5" t="s">
        <v>240</v>
      </c>
      <c r="DP3792" s="5" t="s">
        <v>240</v>
      </c>
      <c r="DQ3792" s="5" t="s">
        <v>240</v>
      </c>
      <c r="DR3792" s="5" t="s">
        <v>240</v>
      </c>
      <c r="DS3792" s="5" t="s">
        <v>240</v>
      </c>
      <c r="DV3792" s="5" t="s">
        <v>310</v>
      </c>
      <c r="DW3792" s="5" t="s">
        <v>2522</v>
      </c>
      <c r="HO3792" s="5" t="s">
        <v>312</v>
      </c>
    </row>
    <row r="3793" spans="1:240" x14ac:dyDescent="0.4">
      <c r="A3793" s="5">
        <v>9335</v>
      </c>
      <c r="B3793" s="5">
        <v>1</v>
      </c>
      <c r="C3793" s="5">
        <v>1</v>
      </c>
      <c r="D3793" s="5" t="s">
        <v>723</v>
      </c>
      <c r="E3793" s="5" t="s">
        <v>725</v>
      </c>
      <c r="F3793" s="5" t="s">
        <v>254</v>
      </c>
      <c r="G3793" s="5" t="s">
        <v>5386</v>
      </c>
      <c r="H3793" s="6" t="s">
        <v>5385</v>
      </c>
      <c r="I3793" s="5" t="s">
        <v>5385</v>
      </c>
      <c r="J3793" s="7">
        <f>1</f>
        <v>1</v>
      </c>
      <c r="K3793" s="5" t="s">
        <v>3682</v>
      </c>
      <c r="L3793" s="7">
        <f>1</f>
        <v>1</v>
      </c>
      <c r="M3793" s="7">
        <f>1</f>
        <v>1</v>
      </c>
      <c r="N3793" s="5" t="s">
        <v>242</v>
      </c>
      <c r="O3793" s="5">
        <v>1</v>
      </c>
      <c r="P3793" s="5" t="s">
        <v>294</v>
      </c>
      <c r="Q3793" s="5" t="s">
        <v>613</v>
      </c>
      <c r="R3793" s="5" t="s">
        <v>240</v>
      </c>
      <c r="S3793" s="5" t="s">
        <v>240</v>
      </c>
      <c r="T3793" s="5" t="s">
        <v>243</v>
      </c>
      <c r="U3793" s="5" t="s">
        <v>244</v>
      </c>
      <c r="V3793" s="5" t="s">
        <v>240</v>
      </c>
      <c r="Y3793" s="5" t="s">
        <v>240</v>
      </c>
      <c r="Z3793" s="6" t="s">
        <v>298</v>
      </c>
      <c r="AB3793" s="6" t="s">
        <v>240</v>
      </c>
      <c r="AE3793" s="6" t="s">
        <v>299</v>
      </c>
      <c r="AF3793" s="5" t="s">
        <v>248</v>
      </c>
      <c r="AG3793" s="5" t="s">
        <v>249</v>
      </c>
      <c r="AW3793" s="5" t="s">
        <v>251</v>
      </c>
      <c r="AX3793" s="5" t="s">
        <v>240</v>
      </c>
      <c r="AY3793" s="5" t="s">
        <v>253</v>
      </c>
      <c r="AZ3793" s="5" t="s">
        <v>240</v>
      </c>
      <c r="BA3793" s="5" t="s">
        <v>255</v>
      </c>
      <c r="BB3793" s="5" t="s">
        <v>240</v>
      </c>
      <c r="BD3793" s="5" t="s">
        <v>240</v>
      </c>
      <c r="BF3793" s="5" t="s">
        <v>301</v>
      </c>
      <c r="BG3793" s="6" t="s">
        <v>299</v>
      </c>
      <c r="BH3793" s="5" t="s">
        <v>302</v>
      </c>
      <c r="BI3793" s="5" t="s">
        <v>6587</v>
      </c>
      <c r="BJ3793" s="5" t="s">
        <v>240</v>
      </c>
      <c r="BK3793" s="8">
        <f>0</f>
        <v>0</v>
      </c>
      <c r="BL3793" s="7">
        <f>0</f>
        <v>0</v>
      </c>
      <c r="BM3793" s="5" t="s">
        <v>258</v>
      </c>
      <c r="BN3793" s="5" t="s">
        <v>259</v>
      </c>
      <c r="CB3793" s="5" t="s">
        <v>240</v>
      </c>
      <c r="CC3793" s="5" t="s">
        <v>240</v>
      </c>
      <c r="CG3793" s="5" t="s">
        <v>617</v>
      </c>
      <c r="CH3793" s="5" t="s">
        <v>305</v>
      </c>
      <c r="CI3793" s="5" t="s">
        <v>240</v>
      </c>
      <c r="CL3793" s="6" t="s">
        <v>261</v>
      </c>
      <c r="CM3793" s="5" t="s">
        <v>240</v>
      </c>
      <c r="CN3793" s="5" t="s">
        <v>263</v>
      </c>
      <c r="CO3793" s="5" t="s">
        <v>240</v>
      </c>
      <c r="CP3793" s="5" t="s">
        <v>240</v>
      </c>
      <c r="CQ3793" s="5">
        <v>0</v>
      </c>
      <c r="CR3793" s="5" t="s">
        <v>306</v>
      </c>
      <c r="CS3793" s="5" t="s">
        <v>307</v>
      </c>
      <c r="CT3793" s="5" t="s">
        <v>307</v>
      </c>
      <c r="CU3793" s="5" t="s">
        <v>260</v>
      </c>
      <c r="CX3793" s="7">
        <f>156385645</f>
        <v>156385645</v>
      </c>
      <c r="CY3793" s="7">
        <f>0</f>
        <v>0</v>
      </c>
      <c r="DA3793" s="7">
        <f>0</f>
        <v>0</v>
      </c>
      <c r="DC3793" s="5" t="s">
        <v>689</v>
      </c>
      <c r="DD3793" s="5" t="s">
        <v>240</v>
      </c>
      <c r="DF3793" s="5" t="s">
        <v>450</v>
      </c>
      <c r="DG3793" s="7">
        <f>0</f>
        <v>0</v>
      </c>
      <c r="DI3793" s="5" t="s">
        <v>618</v>
      </c>
      <c r="DJ3793" s="5" t="s">
        <v>240</v>
      </c>
      <c r="DK3793" s="5" t="s">
        <v>240</v>
      </c>
      <c r="DL3793" s="5" t="s">
        <v>240</v>
      </c>
      <c r="DP3793" s="5" t="s">
        <v>240</v>
      </c>
      <c r="DQ3793" s="5" t="s">
        <v>240</v>
      </c>
      <c r="DR3793" s="5" t="s">
        <v>240</v>
      </c>
      <c r="DS3793" s="5" t="s">
        <v>240</v>
      </c>
      <c r="DV3793" s="5" t="s">
        <v>6591</v>
      </c>
      <c r="DW3793" s="5" t="s">
        <v>795</v>
      </c>
      <c r="HO3793" s="5" t="s">
        <v>691</v>
      </c>
    </row>
    <row r="3794" spans="1:240" x14ac:dyDescent="0.4">
      <c r="A3794" s="5">
        <v>9336</v>
      </c>
      <c r="B3794" s="5">
        <v>1</v>
      </c>
      <c r="C3794" s="5">
        <v>1</v>
      </c>
      <c r="D3794" s="5" t="s">
        <v>723</v>
      </c>
      <c r="E3794" s="5" t="s">
        <v>725</v>
      </c>
      <c r="F3794" s="5" t="s">
        <v>254</v>
      </c>
      <c r="G3794" s="5" t="s">
        <v>5964</v>
      </c>
      <c r="H3794" s="6" t="s">
        <v>5963</v>
      </c>
      <c r="I3794" s="5" t="s">
        <v>5963</v>
      </c>
      <c r="J3794" s="7">
        <f>1</f>
        <v>1</v>
      </c>
      <c r="K3794" s="5" t="s">
        <v>3682</v>
      </c>
      <c r="L3794" s="7">
        <f>1</f>
        <v>1</v>
      </c>
      <c r="M3794" s="7">
        <f>1</f>
        <v>1</v>
      </c>
      <c r="N3794" s="5" t="s">
        <v>242</v>
      </c>
      <c r="O3794" s="5">
        <v>1</v>
      </c>
      <c r="P3794" s="5" t="s">
        <v>294</v>
      </c>
      <c r="Q3794" s="5" t="s">
        <v>266</v>
      </c>
      <c r="R3794" s="5" t="s">
        <v>240</v>
      </c>
      <c r="S3794" s="5" t="s">
        <v>240</v>
      </c>
      <c r="T3794" s="5" t="s">
        <v>243</v>
      </c>
      <c r="U3794" s="5" t="s">
        <v>244</v>
      </c>
      <c r="V3794" s="5" t="s">
        <v>240</v>
      </c>
      <c r="Y3794" s="5" t="s">
        <v>240</v>
      </c>
      <c r="Z3794" s="6" t="s">
        <v>2202</v>
      </c>
      <c r="AB3794" s="6" t="s">
        <v>240</v>
      </c>
      <c r="AE3794" s="6" t="s">
        <v>299</v>
      </c>
      <c r="AF3794" s="5" t="s">
        <v>248</v>
      </c>
      <c r="AG3794" s="5" t="s">
        <v>249</v>
      </c>
      <c r="AW3794" s="5" t="s">
        <v>251</v>
      </c>
      <c r="AX3794" s="5" t="s">
        <v>240</v>
      </c>
      <c r="AY3794" s="5" t="s">
        <v>253</v>
      </c>
      <c r="AZ3794" s="5" t="s">
        <v>240</v>
      </c>
      <c r="BA3794" s="5" t="s">
        <v>255</v>
      </c>
      <c r="BB3794" s="5" t="s">
        <v>240</v>
      </c>
      <c r="BD3794" s="5" t="s">
        <v>240</v>
      </c>
      <c r="BF3794" s="5" t="s">
        <v>301</v>
      </c>
      <c r="BG3794" s="6" t="s">
        <v>2202</v>
      </c>
      <c r="BH3794" s="5" t="s">
        <v>302</v>
      </c>
      <c r="BI3794" s="5" t="s">
        <v>6587</v>
      </c>
      <c r="BJ3794" s="5" t="s">
        <v>240</v>
      </c>
      <c r="BK3794" s="8">
        <f>0</f>
        <v>0</v>
      </c>
      <c r="BL3794" s="7">
        <f>0</f>
        <v>0</v>
      </c>
      <c r="BM3794" s="5" t="s">
        <v>258</v>
      </c>
      <c r="BN3794" s="5" t="s">
        <v>259</v>
      </c>
      <c r="CB3794" s="5" t="s">
        <v>240</v>
      </c>
      <c r="CC3794" s="5" t="s">
        <v>240</v>
      </c>
      <c r="CG3794" s="5" t="s">
        <v>449</v>
      </c>
      <c r="CH3794" s="5" t="s">
        <v>305</v>
      </c>
      <c r="CI3794" s="5" t="s">
        <v>240</v>
      </c>
      <c r="CL3794" s="6" t="s">
        <v>261</v>
      </c>
      <c r="CM3794" s="5" t="s">
        <v>240</v>
      </c>
      <c r="CN3794" s="5" t="s">
        <v>263</v>
      </c>
      <c r="CO3794" s="5" t="s">
        <v>240</v>
      </c>
      <c r="CP3794" s="5" t="s">
        <v>240</v>
      </c>
      <c r="CQ3794" s="5">
        <v>0</v>
      </c>
      <c r="CR3794" s="5" t="s">
        <v>306</v>
      </c>
      <c r="CS3794" s="5" t="s">
        <v>307</v>
      </c>
      <c r="CT3794" s="5" t="s">
        <v>307</v>
      </c>
      <c r="CU3794" s="5" t="s">
        <v>260</v>
      </c>
      <c r="CX3794" s="7">
        <f>5172335</f>
        <v>5172335</v>
      </c>
      <c r="CY3794" s="7">
        <f>0</f>
        <v>0</v>
      </c>
      <c r="DA3794" s="7">
        <f>0</f>
        <v>0</v>
      </c>
      <c r="DC3794" s="5" t="s">
        <v>450</v>
      </c>
      <c r="DD3794" s="5" t="s">
        <v>240</v>
      </c>
      <c r="DF3794" s="5" t="s">
        <v>450</v>
      </c>
      <c r="DG3794" s="7">
        <f>564.51</f>
        <v>564.51</v>
      </c>
      <c r="DH3794" s="6" t="s">
        <v>6692</v>
      </c>
      <c r="DI3794" s="5" t="s">
        <v>240</v>
      </c>
      <c r="DJ3794" s="5" t="s">
        <v>240</v>
      </c>
      <c r="DK3794" s="5" t="s">
        <v>240</v>
      </c>
      <c r="DL3794" s="5" t="s">
        <v>240</v>
      </c>
      <c r="DP3794" s="5" t="s">
        <v>240</v>
      </c>
      <c r="DQ3794" s="5" t="s">
        <v>240</v>
      </c>
      <c r="DR3794" s="5" t="s">
        <v>240</v>
      </c>
      <c r="DS3794" s="5" t="s">
        <v>240</v>
      </c>
      <c r="DV3794" s="5" t="s">
        <v>6693</v>
      </c>
      <c r="DW3794" s="5" t="s">
        <v>620</v>
      </c>
      <c r="HO3794" s="5" t="s">
        <v>620</v>
      </c>
    </row>
    <row r="3795" spans="1:240" x14ac:dyDescent="0.4">
      <c r="A3795" s="5">
        <v>9337</v>
      </c>
      <c r="B3795" s="5">
        <v>1</v>
      </c>
      <c r="C3795" s="5">
        <v>1</v>
      </c>
      <c r="D3795" s="5" t="s">
        <v>723</v>
      </c>
      <c r="E3795" s="5" t="s">
        <v>725</v>
      </c>
      <c r="F3795" s="5" t="s">
        <v>254</v>
      </c>
      <c r="G3795" s="5" t="s">
        <v>5962</v>
      </c>
      <c r="H3795" s="6" t="s">
        <v>5961</v>
      </c>
      <c r="I3795" s="5" t="s">
        <v>5961</v>
      </c>
      <c r="J3795" s="7">
        <f>1</f>
        <v>1</v>
      </c>
      <c r="K3795" s="5" t="s">
        <v>3682</v>
      </c>
      <c r="L3795" s="7">
        <f>1</f>
        <v>1</v>
      </c>
      <c r="M3795" s="7">
        <f>1</f>
        <v>1</v>
      </c>
      <c r="N3795" s="5" t="s">
        <v>242</v>
      </c>
      <c r="O3795" s="5">
        <v>1</v>
      </c>
      <c r="P3795" s="5" t="s">
        <v>294</v>
      </c>
      <c r="Q3795" s="5" t="s">
        <v>613</v>
      </c>
      <c r="R3795" s="5" t="s">
        <v>240</v>
      </c>
      <c r="S3795" s="5" t="s">
        <v>240</v>
      </c>
      <c r="T3795" s="5" t="s">
        <v>243</v>
      </c>
      <c r="U3795" s="5" t="s">
        <v>244</v>
      </c>
      <c r="V3795" s="5" t="s">
        <v>240</v>
      </c>
      <c r="Y3795" s="5" t="s">
        <v>240</v>
      </c>
      <c r="Z3795" s="6" t="s">
        <v>298</v>
      </c>
      <c r="AB3795" s="6" t="s">
        <v>240</v>
      </c>
      <c r="AE3795" s="6" t="s">
        <v>299</v>
      </c>
      <c r="AF3795" s="5" t="s">
        <v>248</v>
      </c>
      <c r="AG3795" s="5" t="s">
        <v>249</v>
      </c>
      <c r="AW3795" s="5" t="s">
        <v>251</v>
      </c>
      <c r="AX3795" s="5" t="s">
        <v>240</v>
      </c>
      <c r="AY3795" s="5" t="s">
        <v>253</v>
      </c>
      <c r="AZ3795" s="5" t="s">
        <v>240</v>
      </c>
      <c r="BA3795" s="5" t="s">
        <v>255</v>
      </c>
      <c r="BB3795" s="5" t="s">
        <v>240</v>
      </c>
      <c r="BD3795" s="5" t="s">
        <v>240</v>
      </c>
      <c r="BF3795" s="5" t="s">
        <v>687</v>
      </c>
      <c r="BG3795" s="6" t="s">
        <v>1825</v>
      </c>
      <c r="BH3795" s="5" t="s">
        <v>302</v>
      </c>
      <c r="BI3795" s="5" t="s">
        <v>6587</v>
      </c>
      <c r="BJ3795" s="5" t="s">
        <v>240</v>
      </c>
      <c r="BK3795" s="8">
        <f>0</f>
        <v>0</v>
      </c>
      <c r="BL3795" s="7">
        <f>0</f>
        <v>0</v>
      </c>
      <c r="BM3795" s="5" t="s">
        <v>258</v>
      </c>
      <c r="BN3795" s="5" t="s">
        <v>259</v>
      </c>
      <c r="CB3795" s="5" t="s">
        <v>240</v>
      </c>
      <c r="CC3795" s="5" t="s">
        <v>240</v>
      </c>
      <c r="CG3795" s="5" t="s">
        <v>617</v>
      </c>
      <c r="CH3795" s="5" t="s">
        <v>305</v>
      </c>
      <c r="CI3795" s="5" t="s">
        <v>240</v>
      </c>
      <c r="CL3795" s="6" t="s">
        <v>261</v>
      </c>
      <c r="CM3795" s="5" t="s">
        <v>240</v>
      </c>
      <c r="CN3795" s="5" t="s">
        <v>263</v>
      </c>
      <c r="CO3795" s="5" t="s">
        <v>240</v>
      </c>
      <c r="CP3795" s="5" t="s">
        <v>240</v>
      </c>
      <c r="CQ3795" s="5">
        <v>0</v>
      </c>
      <c r="CR3795" s="5" t="s">
        <v>306</v>
      </c>
      <c r="CS3795" s="5" t="s">
        <v>307</v>
      </c>
      <c r="CT3795" s="5" t="s">
        <v>307</v>
      </c>
      <c r="CU3795" s="5" t="s">
        <v>260</v>
      </c>
      <c r="CX3795" s="7">
        <f>974600</f>
        <v>974600</v>
      </c>
      <c r="CY3795" s="7">
        <f>0</f>
        <v>0</v>
      </c>
      <c r="DA3795" s="7">
        <f>0</f>
        <v>0</v>
      </c>
      <c r="DC3795" s="5" t="s">
        <v>689</v>
      </c>
      <c r="DD3795" s="5" t="s">
        <v>240</v>
      </c>
      <c r="DF3795" s="5" t="s">
        <v>450</v>
      </c>
      <c r="DG3795" s="7">
        <f>0</f>
        <v>0</v>
      </c>
      <c r="DI3795" s="5" t="s">
        <v>618</v>
      </c>
      <c r="DJ3795" s="5" t="s">
        <v>240</v>
      </c>
      <c r="DK3795" s="5" t="s">
        <v>240</v>
      </c>
      <c r="DL3795" s="5" t="s">
        <v>240</v>
      </c>
      <c r="DP3795" s="5" t="s">
        <v>240</v>
      </c>
      <c r="DQ3795" s="5" t="s">
        <v>240</v>
      </c>
      <c r="DR3795" s="5" t="s">
        <v>240</v>
      </c>
      <c r="DS3795" s="5" t="s">
        <v>240</v>
      </c>
      <c r="DV3795" s="5" t="s">
        <v>6695</v>
      </c>
      <c r="DW3795" s="5" t="s">
        <v>312</v>
      </c>
      <c r="HO3795" s="5" t="s">
        <v>620</v>
      </c>
    </row>
    <row r="3796" spans="1:240" x14ac:dyDescent="0.4">
      <c r="A3796" s="5">
        <v>9338</v>
      </c>
      <c r="B3796" s="5">
        <v>1</v>
      </c>
      <c r="C3796" s="5">
        <v>1</v>
      </c>
      <c r="D3796" s="5" t="s">
        <v>723</v>
      </c>
      <c r="E3796" s="5" t="s">
        <v>725</v>
      </c>
      <c r="F3796" s="5" t="s">
        <v>254</v>
      </c>
      <c r="G3796" s="5" t="s">
        <v>5960</v>
      </c>
      <c r="H3796" s="6" t="s">
        <v>5959</v>
      </c>
      <c r="I3796" s="5" t="s">
        <v>5959</v>
      </c>
      <c r="J3796" s="7">
        <f>1</f>
        <v>1</v>
      </c>
      <c r="K3796" s="5" t="s">
        <v>3682</v>
      </c>
      <c r="L3796" s="7">
        <f>1</f>
        <v>1</v>
      </c>
      <c r="M3796" s="7">
        <f>1</f>
        <v>1</v>
      </c>
      <c r="N3796" s="5" t="s">
        <v>242</v>
      </c>
      <c r="O3796" s="5">
        <v>1</v>
      </c>
      <c r="P3796" s="5" t="s">
        <v>294</v>
      </c>
      <c r="Q3796" s="5" t="s">
        <v>266</v>
      </c>
      <c r="R3796" s="5" t="s">
        <v>240</v>
      </c>
      <c r="S3796" s="5" t="s">
        <v>240</v>
      </c>
      <c r="T3796" s="5" t="s">
        <v>243</v>
      </c>
      <c r="U3796" s="5" t="s">
        <v>240</v>
      </c>
      <c r="V3796" s="5" t="s">
        <v>240</v>
      </c>
      <c r="Y3796" s="5" t="s">
        <v>240</v>
      </c>
      <c r="Z3796" s="6" t="s">
        <v>444</v>
      </c>
      <c r="AB3796" s="6" t="s">
        <v>240</v>
      </c>
      <c r="AE3796" s="6" t="s">
        <v>299</v>
      </c>
      <c r="AF3796" s="5" t="s">
        <v>248</v>
      </c>
      <c r="AG3796" s="5" t="s">
        <v>260</v>
      </c>
      <c r="AW3796" s="5" t="s">
        <v>251</v>
      </c>
      <c r="AX3796" s="5" t="s">
        <v>240</v>
      </c>
      <c r="AY3796" s="5" t="s">
        <v>253</v>
      </c>
      <c r="AZ3796" s="5" t="s">
        <v>240</v>
      </c>
      <c r="BA3796" s="5" t="s">
        <v>255</v>
      </c>
      <c r="BB3796" s="5" t="s">
        <v>240</v>
      </c>
      <c r="BD3796" s="5" t="s">
        <v>240</v>
      </c>
      <c r="BF3796" s="5" t="s">
        <v>447</v>
      </c>
      <c r="BG3796" s="6" t="s">
        <v>444</v>
      </c>
      <c r="BH3796" s="5" t="s">
        <v>302</v>
      </c>
      <c r="BI3796" s="5" t="s">
        <v>448</v>
      </c>
      <c r="BJ3796" s="5" t="s">
        <v>240</v>
      </c>
      <c r="BK3796" s="8">
        <f>0</f>
        <v>0</v>
      </c>
      <c r="BL3796" s="7">
        <f>0</f>
        <v>0</v>
      </c>
      <c r="BM3796" s="5" t="s">
        <v>258</v>
      </c>
      <c r="BN3796" s="5" t="s">
        <v>259</v>
      </c>
      <c r="CB3796" s="5" t="s">
        <v>240</v>
      </c>
      <c r="CC3796" s="5" t="s">
        <v>240</v>
      </c>
      <c r="CG3796" s="5" t="s">
        <v>449</v>
      </c>
      <c r="CH3796" s="5" t="s">
        <v>305</v>
      </c>
      <c r="CI3796" s="5" t="s">
        <v>240</v>
      </c>
      <c r="CL3796" s="6" t="s">
        <v>261</v>
      </c>
      <c r="CM3796" s="5" t="s">
        <v>240</v>
      </c>
      <c r="CN3796" s="5" t="s">
        <v>263</v>
      </c>
      <c r="CO3796" s="5" t="s">
        <v>240</v>
      </c>
      <c r="CP3796" s="5" t="s">
        <v>240</v>
      </c>
      <c r="CQ3796" s="5">
        <v>0</v>
      </c>
      <c r="CR3796" s="5" t="s">
        <v>306</v>
      </c>
      <c r="CS3796" s="5" t="s">
        <v>307</v>
      </c>
      <c r="CT3796" s="5" t="s">
        <v>307</v>
      </c>
      <c r="CU3796" s="5" t="s">
        <v>260</v>
      </c>
      <c r="CX3796" s="7">
        <f>3083040</f>
        <v>3083040</v>
      </c>
      <c r="CY3796" s="7">
        <f>0</f>
        <v>0</v>
      </c>
      <c r="DA3796" s="7">
        <f>0</f>
        <v>0</v>
      </c>
      <c r="DC3796" s="5" t="s">
        <v>450</v>
      </c>
      <c r="DD3796" s="5" t="s">
        <v>240</v>
      </c>
      <c r="DF3796" s="5" t="s">
        <v>450</v>
      </c>
      <c r="DG3796" s="7">
        <f>377.72</f>
        <v>377.72</v>
      </c>
      <c r="DI3796" s="5" t="s">
        <v>240</v>
      </c>
      <c r="DJ3796" s="5" t="s">
        <v>240</v>
      </c>
      <c r="DK3796" s="5" t="s">
        <v>240</v>
      </c>
      <c r="DL3796" s="5" t="s">
        <v>240</v>
      </c>
      <c r="DP3796" s="5" t="s">
        <v>240</v>
      </c>
      <c r="DQ3796" s="5" t="s">
        <v>240</v>
      </c>
      <c r="DR3796" s="5" t="s">
        <v>240</v>
      </c>
      <c r="DS3796" s="5" t="s">
        <v>240</v>
      </c>
      <c r="DV3796" s="5" t="s">
        <v>310</v>
      </c>
      <c r="DW3796" s="5" t="s">
        <v>2520</v>
      </c>
      <c r="HO3796" s="5" t="s">
        <v>312</v>
      </c>
    </row>
    <row r="3797" spans="1:240" x14ac:dyDescent="0.4">
      <c r="A3797" s="5">
        <v>9339</v>
      </c>
      <c r="B3797" s="5">
        <v>1</v>
      </c>
      <c r="C3797" s="5">
        <v>1</v>
      </c>
      <c r="D3797" s="5" t="s">
        <v>723</v>
      </c>
      <c r="E3797" s="5" t="s">
        <v>725</v>
      </c>
      <c r="F3797" s="5" t="s">
        <v>254</v>
      </c>
      <c r="G3797" s="5" t="s">
        <v>6069</v>
      </c>
      <c r="H3797" s="6" t="s">
        <v>6068</v>
      </c>
      <c r="I3797" s="5" t="s">
        <v>6068</v>
      </c>
      <c r="J3797" s="7">
        <f>1</f>
        <v>1</v>
      </c>
      <c r="K3797" s="5" t="s">
        <v>3682</v>
      </c>
      <c r="L3797" s="7">
        <f>1</f>
        <v>1</v>
      </c>
      <c r="M3797" s="7">
        <f>1</f>
        <v>1</v>
      </c>
      <c r="N3797" s="5" t="s">
        <v>242</v>
      </c>
      <c r="O3797" s="5">
        <v>1</v>
      </c>
      <c r="P3797" s="5" t="s">
        <v>294</v>
      </c>
      <c r="Q3797" s="5" t="s">
        <v>613</v>
      </c>
      <c r="R3797" s="5" t="s">
        <v>240</v>
      </c>
      <c r="S3797" s="5" t="s">
        <v>240</v>
      </c>
      <c r="T3797" s="5" t="s">
        <v>243</v>
      </c>
      <c r="U3797" s="5" t="s">
        <v>724</v>
      </c>
      <c r="V3797" s="5" t="s">
        <v>240</v>
      </c>
      <c r="W3797" s="5" t="s">
        <v>240</v>
      </c>
      <c r="X3797" s="5" t="s">
        <v>240</v>
      </c>
      <c r="Y3797" s="5" t="s">
        <v>240</v>
      </c>
      <c r="Z3797" s="6" t="s">
        <v>298</v>
      </c>
      <c r="AA3797" s="6" t="s">
        <v>240</v>
      </c>
      <c r="AB3797" s="6" t="s">
        <v>240</v>
      </c>
      <c r="AC3797" s="5" t="s">
        <v>240</v>
      </c>
      <c r="AD3797" s="6" t="s">
        <v>240</v>
      </c>
      <c r="AE3797" s="6" t="s">
        <v>299</v>
      </c>
      <c r="AF3797" s="5" t="s">
        <v>727</v>
      </c>
      <c r="AG3797" s="5" t="s">
        <v>260</v>
      </c>
      <c r="AH3797" s="5" t="s">
        <v>240</v>
      </c>
      <c r="AI3797" s="5" t="s">
        <v>240</v>
      </c>
      <c r="AJ3797" s="5" t="s">
        <v>240</v>
      </c>
      <c r="AK3797" s="5" t="s">
        <v>240</v>
      </c>
      <c r="AL3797" s="5" t="s">
        <v>240</v>
      </c>
      <c r="AM3797" s="5" t="s">
        <v>240</v>
      </c>
      <c r="AN3797" s="5" t="s">
        <v>240</v>
      </c>
      <c r="AO3797" s="5" t="s">
        <v>240</v>
      </c>
      <c r="AP3797" s="6" t="s">
        <v>240</v>
      </c>
      <c r="AQ3797" s="6" t="s">
        <v>240</v>
      </c>
      <c r="AR3797" s="6" t="s">
        <v>240</v>
      </c>
      <c r="AS3797" s="6" t="s">
        <v>240</v>
      </c>
      <c r="AT3797" s="5" t="s">
        <v>240</v>
      </c>
      <c r="AU3797" s="5" t="s">
        <v>729</v>
      </c>
      <c r="AV3797" s="5" t="s">
        <v>729</v>
      </c>
      <c r="AW3797" s="5" t="s">
        <v>251</v>
      </c>
      <c r="AX3797" s="5" t="s">
        <v>252</v>
      </c>
      <c r="AY3797" s="5" t="s">
        <v>253</v>
      </c>
      <c r="AZ3797" s="5" t="s">
        <v>240</v>
      </c>
      <c r="BA3797" s="5" t="s">
        <v>255</v>
      </c>
      <c r="BB3797" s="5" t="s">
        <v>731</v>
      </c>
      <c r="BD3797" s="5" t="s">
        <v>240</v>
      </c>
      <c r="BF3797" s="5" t="s">
        <v>732</v>
      </c>
      <c r="BG3797" s="6" t="s">
        <v>733</v>
      </c>
      <c r="BH3797" s="5" t="s">
        <v>734</v>
      </c>
      <c r="BI3797" s="5" t="s">
        <v>734</v>
      </c>
      <c r="BJ3797" s="5" t="s">
        <v>240</v>
      </c>
      <c r="BK3797" s="8">
        <f>1614</f>
        <v>1614</v>
      </c>
      <c r="BL3797" s="7">
        <f>0</f>
        <v>0</v>
      </c>
      <c r="BM3797" s="5" t="s">
        <v>258</v>
      </c>
      <c r="BN3797" s="5" t="s">
        <v>259</v>
      </c>
      <c r="BO3797" s="5" t="s">
        <v>240</v>
      </c>
      <c r="BP3797" s="5" t="s">
        <v>240</v>
      </c>
      <c r="BQ3797" s="5" t="s">
        <v>240</v>
      </c>
      <c r="BR3797" s="5" t="s">
        <v>240</v>
      </c>
      <c r="BS3797" s="5" t="s">
        <v>240</v>
      </c>
      <c r="BT3797" s="5" t="s">
        <v>240</v>
      </c>
      <c r="BU3797" s="5" t="s">
        <v>240</v>
      </c>
      <c r="BV3797" s="5" t="s">
        <v>240</v>
      </c>
      <c r="BW3797" s="6" t="s">
        <v>240</v>
      </c>
      <c r="BX3797" s="5" t="s">
        <v>240</v>
      </c>
      <c r="BY3797" s="5" t="s">
        <v>240</v>
      </c>
      <c r="BZ3797" s="5" t="s">
        <v>240</v>
      </c>
      <c r="CA3797" s="5" t="s">
        <v>259</v>
      </c>
      <c r="CB3797" s="5" t="s">
        <v>240</v>
      </c>
      <c r="CC3797" s="5" t="s">
        <v>240</v>
      </c>
      <c r="CD3797" s="5" t="s">
        <v>240</v>
      </c>
      <c r="CE3797" s="5" t="s">
        <v>240</v>
      </c>
      <c r="CF3797" s="5" t="s">
        <v>240</v>
      </c>
      <c r="CG3797" s="5" t="s">
        <v>617</v>
      </c>
      <c r="CH3797" s="5" t="s">
        <v>305</v>
      </c>
      <c r="CI3797" s="5" t="s">
        <v>240</v>
      </c>
      <c r="CL3797" s="6" t="s">
        <v>261</v>
      </c>
      <c r="CM3797" s="5" t="s">
        <v>262</v>
      </c>
      <c r="CN3797" s="5" t="s">
        <v>263</v>
      </c>
      <c r="CO3797" s="5" t="s">
        <v>264</v>
      </c>
      <c r="CP3797" s="5" t="s">
        <v>240</v>
      </c>
      <c r="CQ3797" s="5">
        <v>0</v>
      </c>
      <c r="CR3797" s="5" t="s">
        <v>735</v>
      </c>
      <c r="CS3797" s="5" t="s">
        <v>307</v>
      </c>
      <c r="CT3797" s="5" t="s">
        <v>307</v>
      </c>
      <c r="CU3797" s="5" t="s">
        <v>260</v>
      </c>
      <c r="CV3797" s="5" t="s">
        <v>240</v>
      </c>
      <c r="CW3797" s="8">
        <f>0</f>
        <v>0</v>
      </c>
      <c r="CX3797" s="7">
        <f>0</f>
        <v>0</v>
      </c>
      <c r="CY3797" s="7">
        <f>0</f>
        <v>0</v>
      </c>
      <c r="DA3797" s="7">
        <f>17754</f>
        <v>17754</v>
      </c>
      <c r="DB3797" s="7" t="s">
        <v>240</v>
      </c>
      <c r="DC3797" s="5" t="s">
        <v>240</v>
      </c>
      <c r="DD3797" s="5" t="s">
        <v>240</v>
      </c>
      <c r="DE3797" s="5" t="s">
        <v>240</v>
      </c>
      <c r="DF3797" s="5" t="s">
        <v>450</v>
      </c>
      <c r="DG3797" s="7">
        <f>0</f>
        <v>0</v>
      </c>
      <c r="DI3797" s="5" t="s">
        <v>737</v>
      </c>
      <c r="DJ3797" s="5" t="s">
        <v>240</v>
      </c>
      <c r="DK3797" s="5" t="s">
        <v>240</v>
      </c>
      <c r="DL3797" s="5" t="s">
        <v>240</v>
      </c>
      <c r="DM3797" s="5" t="s">
        <v>240</v>
      </c>
      <c r="DN3797" s="5" t="s">
        <v>240</v>
      </c>
      <c r="DO3797" s="7" t="s">
        <v>240</v>
      </c>
      <c r="DP3797" s="5" t="s">
        <v>240</v>
      </c>
      <c r="DQ3797" s="5" t="s">
        <v>240</v>
      </c>
      <c r="DR3797" s="5" t="s">
        <v>731</v>
      </c>
      <c r="DS3797" s="5" t="s">
        <v>731</v>
      </c>
      <c r="DT3797" s="5" t="s">
        <v>240</v>
      </c>
      <c r="DU3797" s="5" t="s">
        <v>240</v>
      </c>
      <c r="DV3797" s="5" t="s">
        <v>738</v>
      </c>
      <c r="DW3797" s="5" t="s">
        <v>582</v>
      </c>
      <c r="DX3797" s="5" t="s">
        <v>240</v>
      </c>
      <c r="DY3797" s="5" t="s">
        <v>240</v>
      </c>
      <c r="DZ3797" s="5" t="s">
        <v>240</v>
      </c>
      <c r="EA3797" s="5" t="s">
        <v>240</v>
      </c>
      <c r="EB3797" s="5" t="s">
        <v>240</v>
      </c>
      <c r="EC3797" s="5" t="s">
        <v>240</v>
      </c>
      <c r="ED3797" s="5" t="s">
        <v>240</v>
      </c>
      <c r="EE3797" s="5" t="s">
        <v>240</v>
      </c>
      <c r="EF3797" s="5" t="s">
        <v>240</v>
      </c>
      <c r="EG3797" s="5" t="s">
        <v>240</v>
      </c>
      <c r="EH3797" s="5" t="s">
        <v>240</v>
      </c>
      <c r="EI3797" s="5" t="s">
        <v>240</v>
      </c>
      <c r="EJ3797" s="5" t="s">
        <v>240</v>
      </c>
      <c r="EK3797" s="5" t="s">
        <v>240</v>
      </c>
      <c r="EL3797" s="5" t="s">
        <v>240</v>
      </c>
      <c r="EM3797" s="5" t="s">
        <v>240</v>
      </c>
      <c r="EN3797" s="5" t="s">
        <v>240</v>
      </c>
      <c r="EO3797" s="5" t="s">
        <v>240</v>
      </c>
      <c r="EP3797" s="5" t="s">
        <v>240</v>
      </c>
      <c r="EQ3797" s="5" t="s">
        <v>240</v>
      </c>
      <c r="ER3797" s="5" t="s">
        <v>240</v>
      </c>
      <c r="ES3797" s="5" t="s">
        <v>240</v>
      </c>
      <c r="ET3797" s="5" t="s">
        <v>240</v>
      </c>
      <c r="EU3797" s="5" t="s">
        <v>240</v>
      </c>
      <c r="EV3797" s="5" t="s">
        <v>240</v>
      </c>
      <c r="EW3797" s="5" t="s">
        <v>240</v>
      </c>
      <c r="EX3797" s="5" t="s">
        <v>240</v>
      </c>
      <c r="EY3797" s="5" t="s">
        <v>240</v>
      </c>
      <c r="EZ3797" s="5" t="s">
        <v>240</v>
      </c>
      <c r="FA3797" s="5" t="s">
        <v>240</v>
      </c>
      <c r="FB3797" s="5" t="s">
        <v>240</v>
      </c>
      <c r="FC3797" s="5" t="s">
        <v>240</v>
      </c>
      <c r="FD3797" s="5" t="s">
        <v>240</v>
      </c>
      <c r="FE3797" s="5" t="s">
        <v>240</v>
      </c>
      <c r="FF3797" s="5" t="s">
        <v>240</v>
      </c>
      <c r="FG3797" s="5" t="s">
        <v>240</v>
      </c>
      <c r="FH3797" s="5" t="s">
        <v>240</v>
      </c>
      <c r="FI3797" s="5" t="s">
        <v>240</v>
      </c>
      <c r="FJ3797" s="5" t="s">
        <v>240</v>
      </c>
      <c r="FK3797" s="5" t="s">
        <v>240</v>
      </c>
      <c r="FL3797" s="5" t="s">
        <v>240</v>
      </c>
      <c r="FM3797" s="5" t="s">
        <v>240</v>
      </c>
      <c r="FN3797" s="5" t="s">
        <v>240</v>
      </c>
      <c r="FO3797" s="5" t="s">
        <v>240</v>
      </c>
      <c r="FP3797" s="5" t="s">
        <v>240</v>
      </c>
      <c r="FQ3797" s="5" t="s">
        <v>240</v>
      </c>
      <c r="FR3797" s="5" t="s">
        <v>240</v>
      </c>
      <c r="FS3797" s="5" t="s">
        <v>240</v>
      </c>
      <c r="FT3797" s="5" t="s">
        <v>240</v>
      </c>
      <c r="FU3797" s="5" t="s">
        <v>240</v>
      </c>
      <c r="FV3797" s="5" t="s">
        <v>240</v>
      </c>
      <c r="FW3797" s="5" t="s">
        <v>240</v>
      </c>
      <c r="FX3797" s="5" t="s">
        <v>240</v>
      </c>
      <c r="FY3797" s="5" t="s">
        <v>240</v>
      </c>
      <c r="FZ3797" s="5" t="s">
        <v>240</v>
      </c>
      <c r="GA3797" s="5" t="s">
        <v>240</v>
      </c>
      <c r="GB3797" s="5" t="s">
        <v>240</v>
      </c>
      <c r="GC3797" s="5" t="s">
        <v>240</v>
      </c>
      <c r="GD3797" s="5" t="s">
        <v>240</v>
      </c>
      <c r="GE3797" s="5" t="s">
        <v>240</v>
      </c>
      <c r="GF3797" s="5" t="s">
        <v>240</v>
      </c>
      <c r="GG3797" s="5" t="s">
        <v>240</v>
      </c>
      <c r="GH3797" s="5" t="s">
        <v>240</v>
      </c>
      <c r="GI3797" s="5" t="s">
        <v>240</v>
      </c>
      <c r="GJ3797" s="5" t="s">
        <v>240</v>
      </c>
      <c r="GK3797" s="5" t="s">
        <v>240</v>
      </c>
      <c r="GL3797" s="5" t="s">
        <v>240</v>
      </c>
      <c r="GM3797" s="5" t="s">
        <v>240</v>
      </c>
      <c r="GN3797" s="5" t="s">
        <v>240</v>
      </c>
      <c r="GO3797" s="5" t="s">
        <v>240</v>
      </c>
      <c r="GP3797" s="5" t="s">
        <v>240</v>
      </c>
      <c r="GQ3797" s="5" t="s">
        <v>240</v>
      </c>
      <c r="GR3797" s="5" t="s">
        <v>240</v>
      </c>
      <c r="GS3797" s="5" t="s">
        <v>240</v>
      </c>
      <c r="GT3797" s="5" t="s">
        <v>240</v>
      </c>
      <c r="GU3797" s="5" t="s">
        <v>240</v>
      </c>
      <c r="GV3797" s="5" t="s">
        <v>240</v>
      </c>
      <c r="GW3797" s="5" t="s">
        <v>240</v>
      </c>
      <c r="GX3797" s="5" t="s">
        <v>240</v>
      </c>
      <c r="GY3797" s="5" t="s">
        <v>240</v>
      </c>
      <c r="GZ3797" s="5" t="s">
        <v>240</v>
      </c>
      <c r="HA3797" s="5" t="s">
        <v>240</v>
      </c>
      <c r="HB3797" s="5" t="s">
        <v>240</v>
      </c>
      <c r="HC3797" s="5" t="s">
        <v>240</v>
      </c>
      <c r="HD3797" s="5" t="s">
        <v>240</v>
      </c>
      <c r="HE3797" s="5" t="s">
        <v>240</v>
      </c>
      <c r="HF3797" s="5" t="s">
        <v>240</v>
      </c>
      <c r="HG3797" s="5" t="s">
        <v>240</v>
      </c>
      <c r="HH3797" s="5" t="s">
        <v>240</v>
      </c>
      <c r="HI3797" s="5" t="s">
        <v>240</v>
      </c>
      <c r="HJ3797" s="5" t="s">
        <v>240</v>
      </c>
      <c r="HK3797" s="5" t="s">
        <v>240</v>
      </c>
      <c r="HL3797" s="5" t="s">
        <v>240</v>
      </c>
      <c r="HM3797" s="5" t="s">
        <v>240</v>
      </c>
      <c r="HN3797" s="5" t="s">
        <v>240</v>
      </c>
      <c r="HO3797" s="5" t="s">
        <v>620</v>
      </c>
      <c r="HP3797" s="5" t="s">
        <v>240</v>
      </c>
      <c r="HQ3797" s="5" t="s">
        <v>240</v>
      </c>
      <c r="HR3797" s="5" t="s">
        <v>240</v>
      </c>
      <c r="HS3797" s="5" t="s">
        <v>240</v>
      </c>
      <c r="HT3797" s="5" t="s">
        <v>240</v>
      </c>
      <c r="HU3797" s="5" t="s">
        <v>240</v>
      </c>
      <c r="HV3797" s="5" t="s">
        <v>240</v>
      </c>
      <c r="HW3797" s="5" t="s">
        <v>240</v>
      </c>
      <c r="HX3797" s="5" t="s">
        <v>240</v>
      </c>
      <c r="HY3797" s="5" t="s">
        <v>240</v>
      </c>
      <c r="HZ3797" s="5" t="s">
        <v>240</v>
      </c>
      <c r="IA3797" s="5" t="s">
        <v>240</v>
      </c>
      <c r="IB3797" s="5" t="s">
        <v>240</v>
      </c>
      <c r="IC3797" s="5" t="s">
        <v>240</v>
      </c>
      <c r="ID3797" s="5" t="s">
        <v>240</v>
      </c>
      <c r="IE3797" s="5" t="s">
        <v>240</v>
      </c>
      <c r="IF3797" s="5" t="s">
        <v>240</v>
      </c>
    </row>
    <row r="3798" spans="1:240" x14ac:dyDescent="0.4">
      <c r="A3798" s="5">
        <v>9340</v>
      </c>
      <c r="B3798" s="5">
        <v>1</v>
      </c>
      <c r="C3798" s="5">
        <v>1</v>
      </c>
      <c r="D3798" s="5" t="s">
        <v>723</v>
      </c>
      <c r="E3798" s="5" t="s">
        <v>725</v>
      </c>
      <c r="F3798" s="5" t="s">
        <v>254</v>
      </c>
      <c r="G3798" s="5" t="s">
        <v>726</v>
      </c>
      <c r="H3798" s="6" t="s">
        <v>5384</v>
      </c>
      <c r="I3798" s="5" t="s">
        <v>5383</v>
      </c>
      <c r="J3798" s="7">
        <f>1</f>
        <v>1</v>
      </c>
      <c r="K3798" s="5" t="s">
        <v>3682</v>
      </c>
      <c r="L3798" s="7">
        <f>1</f>
        <v>1</v>
      </c>
      <c r="M3798" s="7">
        <f>1</f>
        <v>1</v>
      </c>
      <c r="N3798" s="5" t="s">
        <v>242</v>
      </c>
      <c r="O3798" s="5">
        <v>1</v>
      </c>
      <c r="P3798" s="5" t="s">
        <v>294</v>
      </c>
      <c r="Q3798" s="5" t="s">
        <v>266</v>
      </c>
      <c r="R3798" s="5" t="s">
        <v>240</v>
      </c>
      <c r="S3798" s="5" t="s">
        <v>240</v>
      </c>
      <c r="T3798" s="5" t="s">
        <v>243</v>
      </c>
      <c r="U3798" s="5" t="s">
        <v>240</v>
      </c>
      <c r="V3798" s="5" t="s">
        <v>240</v>
      </c>
      <c r="Y3798" s="5" t="s">
        <v>240</v>
      </c>
      <c r="Z3798" s="6" t="s">
        <v>6610</v>
      </c>
      <c r="AB3798" s="6" t="s">
        <v>240</v>
      </c>
      <c r="AE3798" s="6" t="s">
        <v>299</v>
      </c>
      <c r="AF3798" s="5" t="s">
        <v>248</v>
      </c>
      <c r="AG3798" s="5" t="s">
        <v>260</v>
      </c>
      <c r="AW3798" s="5" t="s">
        <v>251</v>
      </c>
      <c r="AX3798" s="5" t="s">
        <v>240</v>
      </c>
      <c r="AY3798" s="5" t="s">
        <v>253</v>
      </c>
      <c r="AZ3798" s="5" t="s">
        <v>240</v>
      </c>
      <c r="BA3798" s="5" t="s">
        <v>255</v>
      </c>
      <c r="BB3798" s="5" t="s">
        <v>240</v>
      </c>
      <c r="BD3798" s="5" t="s">
        <v>240</v>
      </c>
      <c r="BF3798" s="5" t="s">
        <v>447</v>
      </c>
      <c r="BG3798" s="6" t="s">
        <v>6610</v>
      </c>
      <c r="BH3798" s="5" t="s">
        <v>302</v>
      </c>
      <c r="BI3798" s="5" t="s">
        <v>448</v>
      </c>
      <c r="BJ3798" s="5" t="s">
        <v>240</v>
      </c>
      <c r="BK3798" s="8">
        <f>0</f>
        <v>0</v>
      </c>
      <c r="BL3798" s="7">
        <f>0</f>
        <v>0</v>
      </c>
      <c r="BM3798" s="5" t="s">
        <v>258</v>
      </c>
      <c r="BN3798" s="5" t="s">
        <v>259</v>
      </c>
      <c r="CB3798" s="5" t="s">
        <v>240</v>
      </c>
      <c r="CC3798" s="5" t="s">
        <v>240</v>
      </c>
      <c r="CG3798" s="5" t="s">
        <v>449</v>
      </c>
      <c r="CH3798" s="5" t="s">
        <v>305</v>
      </c>
      <c r="CI3798" s="5" t="s">
        <v>240</v>
      </c>
      <c r="CL3798" s="6" t="s">
        <v>261</v>
      </c>
      <c r="CM3798" s="5" t="s">
        <v>240</v>
      </c>
      <c r="CN3798" s="5" t="s">
        <v>263</v>
      </c>
      <c r="CO3798" s="5" t="s">
        <v>240</v>
      </c>
      <c r="CP3798" s="5" t="s">
        <v>240</v>
      </c>
      <c r="CQ3798" s="5">
        <v>0</v>
      </c>
      <c r="CR3798" s="5" t="s">
        <v>306</v>
      </c>
      <c r="CS3798" s="5" t="s">
        <v>307</v>
      </c>
      <c r="CT3798" s="5" t="s">
        <v>307</v>
      </c>
      <c r="CU3798" s="5" t="s">
        <v>260</v>
      </c>
      <c r="CX3798" s="7">
        <f>356999</f>
        <v>356999</v>
      </c>
      <c r="CY3798" s="7">
        <f>0</f>
        <v>0</v>
      </c>
      <c r="DA3798" s="7">
        <f>0</f>
        <v>0</v>
      </c>
      <c r="DC3798" s="5" t="s">
        <v>450</v>
      </c>
      <c r="DD3798" s="5" t="s">
        <v>240</v>
      </c>
      <c r="DF3798" s="5" t="s">
        <v>450</v>
      </c>
      <c r="DG3798" s="7">
        <f>0</f>
        <v>0</v>
      </c>
      <c r="DI3798" s="5" t="s">
        <v>240</v>
      </c>
      <c r="DJ3798" s="5" t="s">
        <v>240</v>
      </c>
      <c r="DK3798" s="5" t="s">
        <v>240</v>
      </c>
      <c r="DL3798" s="5" t="s">
        <v>240</v>
      </c>
      <c r="DP3798" s="5" t="s">
        <v>240</v>
      </c>
      <c r="DQ3798" s="5" t="s">
        <v>240</v>
      </c>
      <c r="DR3798" s="5" t="s">
        <v>240</v>
      </c>
      <c r="DS3798" s="5" t="s">
        <v>240</v>
      </c>
      <c r="DV3798" s="5" t="s">
        <v>310</v>
      </c>
      <c r="DW3798" s="5" t="s">
        <v>2518</v>
      </c>
      <c r="HO3798" s="5" t="s">
        <v>312</v>
      </c>
    </row>
    <row r="3799" spans="1:240" x14ac:dyDescent="0.4">
      <c r="A3799" s="5">
        <v>9341</v>
      </c>
      <c r="B3799" s="5">
        <v>1</v>
      </c>
      <c r="C3799" s="5">
        <v>1</v>
      </c>
      <c r="D3799" s="5" t="s">
        <v>723</v>
      </c>
      <c r="E3799" s="5" t="s">
        <v>725</v>
      </c>
      <c r="F3799" s="5" t="s">
        <v>254</v>
      </c>
      <c r="G3799" s="5" t="s">
        <v>5381</v>
      </c>
      <c r="H3799" s="6" t="s">
        <v>5382</v>
      </c>
      <c r="I3799" s="5" t="s">
        <v>5380</v>
      </c>
      <c r="J3799" s="7">
        <f>1</f>
        <v>1</v>
      </c>
      <c r="K3799" s="5" t="s">
        <v>3682</v>
      </c>
      <c r="L3799" s="7">
        <f>1</f>
        <v>1</v>
      </c>
      <c r="M3799" s="7">
        <f>1</f>
        <v>1</v>
      </c>
      <c r="N3799" s="5" t="s">
        <v>242</v>
      </c>
      <c r="O3799" s="5">
        <v>1</v>
      </c>
      <c r="P3799" s="5" t="s">
        <v>294</v>
      </c>
      <c r="Q3799" s="5" t="s">
        <v>266</v>
      </c>
      <c r="R3799" s="5" t="s">
        <v>240</v>
      </c>
      <c r="S3799" s="5" t="s">
        <v>240</v>
      </c>
      <c r="T3799" s="5" t="s">
        <v>243</v>
      </c>
      <c r="U3799" s="5" t="s">
        <v>240</v>
      </c>
      <c r="V3799" s="5" t="s">
        <v>240</v>
      </c>
      <c r="Y3799" s="5" t="s">
        <v>240</v>
      </c>
      <c r="Z3799" s="6" t="s">
        <v>747</v>
      </c>
      <c r="AB3799" s="6" t="s">
        <v>240</v>
      </c>
      <c r="AE3799" s="6" t="s">
        <v>299</v>
      </c>
      <c r="AF3799" s="5" t="s">
        <v>248</v>
      </c>
      <c r="AG3799" s="5" t="s">
        <v>260</v>
      </c>
      <c r="AW3799" s="5" t="s">
        <v>251</v>
      </c>
      <c r="AX3799" s="5" t="s">
        <v>240</v>
      </c>
      <c r="AY3799" s="5" t="s">
        <v>253</v>
      </c>
      <c r="AZ3799" s="5" t="s">
        <v>240</v>
      </c>
      <c r="BA3799" s="5" t="s">
        <v>255</v>
      </c>
      <c r="BB3799" s="5" t="s">
        <v>240</v>
      </c>
      <c r="BD3799" s="5" t="s">
        <v>240</v>
      </c>
      <c r="BF3799" s="5" t="s">
        <v>447</v>
      </c>
      <c r="BG3799" s="6" t="s">
        <v>747</v>
      </c>
      <c r="BH3799" s="5" t="s">
        <v>302</v>
      </c>
      <c r="BI3799" s="5" t="s">
        <v>448</v>
      </c>
      <c r="BJ3799" s="5" t="s">
        <v>240</v>
      </c>
      <c r="BK3799" s="8">
        <f>0</f>
        <v>0</v>
      </c>
      <c r="BL3799" s="7">
        <f>0</f>
        <v>0</v>
      </c>
      <c r="BM3799" s="5" t="s">
        <v>258</v>
      </c>
      <c r="BN3799" s="5" t="s">
        <v>259</v>
      </c>
      <c r="CB3799" s="5" t="s">
        <v>240</v>
      </c>
      <c r="CC3799" s="5" t="s">
        <v>240</v>
      </c>
      <c r="CG3799" s="5" t="s">
        <v>449</v>
      </c>
      <c r="CH3799" s="5" t="s">
        <v>305</v>
      </c>
      <c r="CI3799" s="5" t="s">
        <v>240</v>
      </c>
      <c r="CL3799" s="6" t="s">
        <v>261</v>
      </c>
      <c r="CM3799" s="5" t="s">
        <v>240</v>
      </c>
      <c r="CN3799" s="5" t="s">
        <v>263</v>
      </c>
      <c r="CO3799" s="5" t="s">
        <v>240</v>
      </c>
      <c r="CP3799" s="5" t="s">
        <v>240</v>
      </c>
      <c r="CQ3799" s="5">
        <v>0</v>
      </c>
      <c r="CR3799" s="5" t="s">
        <v>306</v>
      </c>
      <c r="CS3799" s="5" t="s">
        <v>307</v>
      </c>
      <c r="CT3799" s="5" t="s">
        <v>307</v>
      </c>
      <c r="CU3799" s="5" t="s">
        <v>260</v>
      </c>
      <c r="CX3799" s="7">
        <f>6404139</f>
        <v>6404139</v>
      </c>
      <c r="CY3799" s="7">
        <f>0</f>
        <v>0</v>
      </c>
      <c r="DA3799" s="7">
        <f>0</f>
        <v>0</v>
      </c>
      <c r="DC3799" s="5" t="s">
        <v>450</v>
      </c>
      <c r="DD3799" s="5" t="s">
        <v>240</v>
      </c>
      <c r="DF3799" s="5" t="s">
        <v>450</v>
      </c>
      <c r="DG3799" s="7">
        <f>1274.15</f>
        <v>1274.1500000000001</v>
      </c>
      <c r="DI3799" s="5" t="s">
        <v>240</v>
      </c>
      <c r="DJ3799" s="5" t="s">
        <v>240</v>
      </c>
      <c r="DK3799" s="5" t="s">
        <v>240</v>
      </c>
      <c r="DL3799" s="5" t="s">
        <v>240</v>
      </c>
      <c r="DP3799" s="5" t="s">
        <v>240</v>
      </c>
      <c r="DQ3799" s="5" t="s">
        <v>240</v>
      </c>
      <c r="DR3799" s="5" t="s">
        <v>240</v>
      </c>
      <c r="DS3799" s="5" t="s">
        <v>240</v>
      </c>
      <c r="DV3799" s="5" t="s">
        <v>310</v>
      </c>
      <c r="DW3799" s="5" t="s">
        <v>2516</v>
      </c>
      <c r="HO3799" s="5" t="s">
        <v>312</v>
      </c>
    </row>
    <row r="3800" spans="1:240" x14ac:dyDescent="0.4">
      <c r="A3800" s="5">
        <v>9342</v>
      </c>
      <c r="B3800" s="5">
        <v>1</v>
      </c>
      <c r="C3800" s="5">
        <v>1</v>
      </c>
      <c r="D3800" s="5" t="s">
        <v>723</v>
      </c>
      <c r="E3800" s="5" t="s">
        <v>725</v>
      </c>
      <c r="F3800" s="5" t="s">
        <v>254</v>
      </c>
      <c r="G3800" s="5" t="s">
        <v>726</v>
      </c>
      <c r="H3800" s="6" t="s">
        <v>6266</v>
      </c>
      <c r="I3800" s="5" t="s">
        <v>6265</v>
      </c>
      <c r="J3800" s="7">
        <f>1</f>
        <v>1</v>
      </c>
      <c r="K3800" s="5" t="s">
        <v>3682</v>
      </c>
      <c r="L3800" s="7">
        <f>1</f>
        <v>1</v>
      </c>
      <c r="M3800" s="7">
        <f>1</f>
        <v>1</v>
      </c>
      <c r="N3800" s="5" t="s">
        <v>242</v>
      </c>
      <c r="O3800" s="5">
        <v>1</v>
      </c>
      <c r="P3800" s="5" t="s">
        <v>294</v>
      </c>
      <c r="Q3800" s="5" t="s">
        <v>266</v>
      </c>
      <c r="R3800" s="5" t="s">
        <v>240</v>
      </c>
      <c r="S3800" s="5" t="s">
        <v>240</v>
      </c>
      <c r="T3800" s="5" t="s">
        <v>243</v>
      </c>
      <c r="U3800" s="5" t="s">
        <v>240</v>
      </c>
      <c r="V3800" s="5" t="s">
        <v>240</v>
      </c>
      <c r="Y3800" s="5" t="s">
        <v>240</v>
      </c>
      <c r="Z3800" s="6" t="s">
        <v>2666</v>
      </c>
      <c r="AB3800" s="6" t="s">
        <v>240</v>
      </c>
      <c r="AE3800" s="6" t="s">
        <v>299</v>
      </c>
      <c r="AF3800" s="5" t="s">
        <v>248</v>
      </c>
      <c r="AG3800" s="5" t="s">
        <v>260</v>
      </c>
      <c r="AW3800" s="5" t="s">
        <v>251</v>
      </c>
      <c r="AX3800" s="5" t="s">
        <v>240</v>
      </c>
      <c r="AY3800" s="5" t="s">
        <v>253</v>
      </c>
      <c r="AZ3800" s="5" t="s">
        <v>240</v>
      </c>
      <c r="BA3800" s="5" t="s">
        <v>255</v>
      </c>
      <c r="BB3800" s="5" t="s">
        <v>240</v>
      </c>
      <c r="BD3800" s="5" t="s">
        <v>240</v>
      </c>
      <c r="BF3800" s="5" t="s">
        <v>447</v>
      </c>
      <c r="BG3800" s="6" t="s">
        <v>2666</v>
      </c>
      <c r="BH3800" s="5" t="s">
        <v>302</v>
      </c>
      <c r="BI3800" s="5" t="s">
        <v>448</v>
      </c>
      <c r="BJ3800" s="5" t="s">
        <v>240</v>
      </c>
      <c r="BK3800" s="8">
        <f>0</f>
        <v>0</v>
      </c>
      <c r="BL3800" s="7">
        <f>0</f>
        <v>0</v>
      </c>
      <c r="BM3800" s="5" t="s">
        <v>258</v>
      </c>
      <c r="BN3800" s="5" t="s">
        <v>259</v>
      </c>
      <c r="CB3800" s="5" t="s">
        <v>240</v>
      </c>
      <c r="CC3800" s="5" t="s">
        <v>240</v>
      </c>
      <c r="CG3800" s="5" t="s">
        <v>449</v>
      </c>
      <c r="CH3800" s="5" t="s">
        <v>305</v>
      </c>
      <c r="CI3800" s="5" t="s">
        <v>240</v>
      </c>
      <c r="CL3800" s="6" t="s">
        <v>261</v>
      </c>
      <c r="CM3800" s="5" t="s">
        <v>240</v>
      </c>
      <c r="CN3800" s="5" t="s">
        <v>263</v>
      </c>
      <c r="CO3800" s="5" t="s">
        <v>240</v>
      </c>
      <c r="CP3800" s="5" t="s">
        <v>240</v>
      </c>
      <c r="CQ3800" s="5">
        <v>0</v>
      </c>
      <c r="CR3800" s="5" t="s">
        <v>306</v>
      </c>
      <c r="CS3800" s="5" t="s">
        <v>307</v>
      </c>
      <c r="CT3800" s="5" t="s">
        <v>307</v>
      </c>
      <c r="CU3800" s="5" t="s">
        <v>260</v>
      </c>
      <c r="CX3800" s="7">
        <f>3766520</f>
        <v>3766520</v>
      </c>
      <c r="CY3800" s="7">
        <f>0</f>
        <v>0</v>
      </c>
      <c r="DA3800" s="7">
        <f>0</f>
        <v>0</v>
      </c>
      <c r="DC3800" s="5" t="s">
        <v>450</v>
      </c>
      <c r="DD3800" s="5" t="s">
        <v>240</v>
      </c>
      <c r="DF3800" s="5" t="s">
        <v>450</v>
      </c>
      <c r="DG3800" s="7">
        <f>0</f>
        <v>0</v>
      </c>
      <c r="DI3800" s="5" t="s">
        <v>240</v>
      </c>
      <c r="DJ3800" s="5" t="s">
        <v>240</v>
      </c>
      <c r="DK3800" s="5" t="s">
        <v>240</v>
      </c>
      <c r="DL3800" s="5" t="s">
        <v>240</v>
      </c>
      <c r="DP3800" s="5" t="s">
        <v>240</v>
      </c>
      <c r="DQ3800" s="5" t="s">
        <v>240</v>
      </c>
      <c r="DR3800" s="5" t="s">
        <v>240</v>
      </c>
      <c r="DS3800" s="5" t="s">
        <v>240</v>
      </c>
      <c r="DV3800" s="5" t="s">
        <v>310</v>
      </c>
      <c r="DW3800" s="5" t="s">
        <v>2512</v>
      </c>
      <c r="HO3800" s="5" t="s">
        <v>312</v>
      </c>
    </row>
    <row r="3801" spans="1:240" x14ac:dyDescent="0.4">
      <c r="A3801" s="5">
        <v>9343</v>
      </c>
      <c r="B3801" s="5">
        <v>1</v>
      </c>
      <c r="C3801" s="5">
        <v>1</v>
      </c>
      <c r="D3801" s="5" t="s">
        <v>723</v>
      </c>
      <c r="E3801" s="5" t="s">
        <v>725</v>
      </c>
      <c r="F3801" s="5" t="s">
        <v>254</v>
      </c>
      <c r="G3801" s="5" t="s">
        <v>5377</v>
      </c>
      <c r="H3801" s="6" t="s">
        <v>5378</v>
      </c>
      <c r="I3801" s="5" t="s">
        <v>5376</v>
      </c>
      <c r="J3801" s="7">
        <f>1</f>
        <v>1</v>
      </c>
      <c r="K3801" s="5" t="s">
        <v>3682</v>
      </c>
      <c r="L3801" s="7">
        <f>1</f>
        <v>1</v>
      </c>
      <c r="M3801" s="7">
        <f>1</f>
        <v>1</v>
      </c>
      <c r="N3801" s="5" t="s">
        <v>242</v>
      </c>
      <c r="O3801" s="5">
        <v>1</v>
      </c>
      <c r="P3801" s="5" t="s">
        <v>294</v>
      </c>
      <c r="Q3801" s="5" t="s">
        <v>266</v>
      </c>
      <c r="R3801" s="5" t="s">
        <v>240</v>
      </c>
      <c r="S3801" s="5" t="s">
        <v>240</v>
      </c>
      <c r="T3801" s="5" t="s">
        <v>243</v>
      </c>
      <c r="U3801" s="5" t="s">
        <v>240</v>
      </c>
      <c r="V3801" s="5" t="s">
        <v>240</v>
      </c>
      <c r="Y3801" s="5" t="s">
        <v>240</v>
      </c>
      <c r="Z3801" s="6" t="s">
        <v>6704</v>
      </c>
      <c r="AB3801" s="6" t="s">
        <v>240</v>
      </c>
      <c r="AE3801" s="6" t="s">
        <v>299</v>
      </c>
      <c r="AF3801" s="5" t="s">
        <v>248</v>
      </c>
      <c r="AG3801" s="5" t="s">
        <v>249</v>
      </c>
      <c r="AW3801" s="5" t="s">
        <v>251</v>
      </c>
      <c r="AX3801" s="5" t="s">
        <v>240</v>
      </c>
      <c r="AY3801" s="5" t="s">
        <v>253</v>
      </c>
      <c r="AZ3801" s="5" t="s">
        <v>240</v>
      </c>
      <c r="BA3801" s="5" t="s">
        <v>255</v>
      </c>
      <c r="BB3801" s="5" t="s">
        <v>240</v>
      </c>
      <c r="BD3801" s="5" t="s">
        <v>240</v>
      </c>
      <c r="BF3801" s="5" t="s">
        <v>301</v>
      </c>
      <c r="BG3801" s="6" t="s">
        <v>6704</v>
      </c>
      <c r="BH3801" s="5" t="s">
        <v>302</v>
      </c>
      <c r="BI3801" s="5" t="s">
        <v>6608</v>
      </c>
      <c r="BJ3801" s="5" t="s">
        <v>240</v>
      </c>
      <c r="BK3801" s="8">
        <f>0</f>
        <v>0</v>
      </c>
      <c r="BL3801" s="7">
        <f>0</f>
        <v>0</v>
      </c>
      <c r="BM3801" s="5" t="s">
        <v>258</v>
      </c>
      <c r="BN3801" s="5" t="s">
        <v>259</v>
      </c>
      <c r="CB3801" s="5" t="s">
        <v>240</v>
      </c>
      <c r="CC3801" s="5" t="s">
        <v>240</v>
      </c>
      <c r="CG3801" s="5" t="s">
        <v>449</v>
      </c>
      <c r="CH3801" s="5" t="s">
        <v>305</v>
      </c>
      <c r="CI3801" s="5" t="s">
        <v>240</v>
      </c>
      <c r="CL3801" s="6" t="s">
        <v>261</v>
      </c>
      <c r="CM3801" s="5" t="s">
        <v>240</v>
      </c>
      <c r="CN3801" s="5" t="s">
        <v>263</v>
      </c>
      <c r="CO3801" s="5" t="s">
        <v>240</v>
      </c>
      <c r="CP3801" s="5" t="s">
        <v>240</v>
      </c>
      <c r="CQ3801" s="5">
        <v>0</v>
      </c>
      <c r="CR3801" s="5" t="s">
        <v>306</v>
      </c>
      <c r="CS3801" s="5" t="s">
        <v>307</v>
      </c>
      <c r="CT3801" s="5" t="s">
        <v>307</v>
      </c>
      <c r="CU3801" s="5" t="s">
        <v>260</v>
      </c>
      <c r="CX3801" s="7">
        <f>1988800</f>
        <v>1988800</v>
      </c>
      <c r="CY3801" s="7">
        <f>0</f>
        <v>0</v>
      </c>
      <c r="DA3801" s="7">
        <f>0</f>
        <v>0</v>
      </c>
      <c r="DC3801" s="5" t="s">
        <v>450</v>
      </c>
      <c r="DD3801" s="5" t="s">
        <v>240</v>
      </c>
      <c r="DF3801" s="5" t="s">
        <v>450</v>
      </c>
      <c r="DG3801" s="7">
        <f>0</f>
        <v>0</v>
      </c>
      <c r="DI3801" s="5" t="s">
        <v>240</v>
      </c>
      <c r="DJ3801" s="5" t="s">
        <v>240</v>
      </c>
      <c r="DK3801" s="5" t="s">
        <v>240</v>
      </c>
      <c r="DL3801" s="5" t="s">
        <v>240</v>
      </c>
      <c r="DP3801" s="5" t="s">
        <v>240</v>
      </c>
      <c r="DQ3801" s="5" t="s">
        <v>240</v>
      </c>
      <c r="DR3801" s="5" t="s">
        <v>240</v>
      </c>
      <c r="DS3801" s="5" t="s">
        <v>240</v>
      </c>
      <c r="DV3801" s="5" t="s">
        <v>310</v>
      </c>
      <c r="DW3801" s="5" t="s">
        <v>2306</v>
      </c>
      <c r="HO3801" s="5" t="s">
        <v>312</v>
      </c>
    </row>
    <row r="3802" spans="1:240" x14ac:dyDescent="0.4">
      <c r="A3802" s="5">
        <v>9344</v>
      </c>
      <c r="B3802" s="5">
        <v>1</v>
      </c>
      <c r="C3802" s="5">
        <v>1</v>
      </c>
      <c r="D3802" s="5" t="s">
        <v>723</v>
      </c>
      <c r="E3802" s="5" t="s">
        <v>725</v>
      </c>
      <c r="F3802" s="5" t="s">
        <v>254</v>
      </c>
      <c r="G3802" s="5" t="s">
        <v>6263</v>
      </c>
      <c r="H3802" s="6" t="s">
        <v>6264</v>
      </c>
      <c r="I3802" s="5" t="s">
        <v>6262</v>
      </c>
      <c r="J3802" s="7">
        <f>1</f>
        <v>1</v>
      </c>
      <c r="K3802" s="5" t="s">
        <v>3682</v>
      </c>
      <c r="L3802" s="7">
        <f>1</f>
        <v>1</v>
      </c>
      <c r="M3802" s="7">
        <f>1</f>
        <v>1</v>
      </c>
      <c r="N3802" s="5" t="s">
        <v>242</v>
      </c>
      <c r="O3802" s="5">
        <v>1</v>
      </c>
      <c r="P3802" s="5" t="s">
        <v>294</v>
      </c>
      <c r="Q3802" s="5" t="s">
        <v>266</v>
      </c>
      <c r="R3802" s="5" t="s">
        <v>240</v>
      </c>
      <c r="S3802" s="5" t="s">
        <v>240</v>
      </c>
      <c r="T3802" s="5" t="s">
        <v>243</v>
      </c>
      <c r="U3802" s="5" t="s">
        <v>240</v>
      </c>
      <c r="V3802" s="5" t="s">
        <v>240</v>
      </c>
      <c r="Y3802" s="5" t="s">
        <v>240</v>
      </c>
      <c r="Z3802" s="6" t="s">
        <v>1825</v>
      </c>
      <c r="AB3802" s="6" t="s">
        <v>240</v>
      </c>
      <c r="AE3802" s="6" t="s">
        <v>6706</v>
      </c>
      <c r="AF3802" s="5" t="s">
        <v>248</v>
      </c>
      <c r="AG3802" s="5" t="s">
        <v>249</v>
      </c>
      <c r="AW3802" s="5" t="s">
        <v>251</v>
      </c>
      <c r="AX3802" s="5" t="s">
        <v>240</v>
      </c>
      <c r="AY3802" s="5" t="s">
        <v>253</v>
      </c>
      <c r="AZ3802" s="5" t="s">
        <v>240</v>
      </c>
      <c r="BA3802" s="5" t="s">
        <v>255</v>
      </c>
      <c r="BB3802" s="5" t="s">
        <v>240</v>
      </c>
      <c r="BD3802" s="5" t="s">
        <v>240</v>
      </c>
      <c r="BF3802" s="5" t="s">
        <v>687</v>
      </c>
      <c r="BG3802" s="6" t="s">
        <v>6706</v>
      </c>
      <c r="BH3802" s="5" t="s">
        <v>302</v>
      </c>
      <c r="BI3802" s="5" t="s">
        <v>6608</v>
      </c>
      <c r="BJ3802" s="5" t="s">
        <v>240</v>
      </c>
      <c r="BK3802" s="8">
        <f>0</f>
        <v>0</v>
      </c>
      <c r="BL3802" s="7">
        <f>0</f>
        <v>0</v>
      </c>
      <c r="BM3802" s="5" t="s">
        <v>258</v>
      </c>
      <c r="BN3802" s="5" t="s">
        <v>259</v>
      </c>
      <c r="CB3802" s="5" t="s">
        <v>240</v>
      </c>
      <c r="CC3802" s="5" t="s">
        <v>240</v>
      </c>
      <c r="CG3802" s="5" t="s">
        <v>449</v>
      </c>
      <c r="CH3802" s="5" t="s">
        <v>305</v>
      </c>
      <c r="CI3802" s="5" t="s">
        <v>240</v>
      </c>
      <c r="CL3802" s="6" t="s">
        <v>261</v>
      </c>
      <c r="CM3802" s="5" t="s">
        <v>240</v>
      </c>
      <c r="CN3802" s="5" t="s">
        <v>263</v>
      </c>
      <c r="CO3802" s="5" t="s">
        <v>240</v>
      </c>
      <c r="CP3802" s="5" t="s">
        <v>240</v>
      </c>
      <c r="CQ3802" s="5">
        <v>0</v>
      </c>
      <c r="CR3802" s="5" t="s">
        <v>306</v>
      </c>
      <c r="CS3802" s="5" t="s">
        <v>307</v>
      </c>
      <c r="CT3802" s="5" t="s">
        <v>307</v>
      </c>
      <c r="CU3802" s="5" t="s">
        <v>260</v>
      </c>
      <c r="CX3802" s="7">
        <f>31391230</f>
        <v>31391230</v>
      </c>
      <c r="CY3802" s="7">
        <f>0</f>
        <v>0</v>
      </c>
      <c r="DA3802" s="7">
        <f>0</f>
        <v>0</v>
      </c>
      <c r="DC3802" s="5" t="s">
        <v>450</v>
      </c>
      <c r="DD3802" s="5" t="s">
        <v>240</v>
      </c>
      <c r="DF3802" s="5" t="s">
        <v>450</v>
      </c>
      <c r="DG3802" s="7">
        <f>0</f>
        <v>0</v>
      </c>
      <c r="DI3802" s="5" t="s">
        <v>240</v>
      </c>
      <c r="DJ3802" s="5" t="s">
        <v>240</v>
      </c>
      <c r="DK3802" s="5" t="s">
        <v>240</v>
      </c>
      <c r="DL3802" s="5" t="s">
        <v>240</v>
      </c>
      <c r="DP3802" s="5" t="s">
        <v>240</v>
      </c>
      <c r="DQ3802" s="5" t="s">
        <v>240</v>
      </c>
      <c r="DR3802" s="5" t="s">
        <v>240</v>
      </c>
      <c r="DS3802" s="5" t="s">
        <v>240</v>
      </c>
      <c r="DV3802" s="5" t="s">
        <v>310</v>
      </c>
      <c r="DW3802" s="5" t="s">
        <v>2426</v>
      </c>
      <c r="HO3802" s="5" t="s">
        <v>312</v>
      </c>
    </row>
    <row r="3803" spans="1:240" x14ac:dyDescent="0.4">
      <c r="A3803" s="5">
        <v>9345</v>
      </c>
      <c r="B3803" s="5">
        <v>1</v>
      </c>
      <c r="C3803" s="5">
        <v>1</v>
      </c>
      <c r="D3803" s="5" t="s">
        <v>723</v>
      </c>
      <c r="E3803" s="5" t="s">
        <v>725</v>
      </c>
      <c r="F3803" s="5" t="s">
        <v>254</v>
      </c>
      <c r="G3803" s="5" t="s">
        <v>5373</v>
      </c>
      <c r="H3803" s="6" t="s">
        <v>5374</v>
      </c>
      <c r="I3803" s="5" t="s">
        <v>5372</v>
      </c>
      <c r="J3803" s="7">
        <f>1</f>
        <v>1</v>
      </c>
      <c r="K3803" s="5" t="s">
        <v>3682</v>
      </c>
      <c r="L3803" s="7">
        <f>1</f>
        <v>1</v>
      </c>
      <c r="M3803" s="7">
        <f>1</f>
        <v>1</v>
      </c>
      <c r="N3803" s="5" t="s">
        <v>242</v>
      </c>
      <c r="O3803" s="5">
        <v>1</v>
      </c>
      <c r="P3803" s="5" t="s">
        <v>294</v>
      </c>
      <c r="Q3803" s="5" t="s">
        <v>266</v>
      </c>
      <c r="R3803" s="5" t="s">
        <v>240</v>
      </c>
      <c r="S3803" s="5" t="s">
        <v>240</v>
      </c>
      <c r="T3803" s="5" t="s">
        <v>243</v>
      </c>
      <c r="U3803" s="5" t="s">
        <v>240</v>
      </c>
      <c r="V3803" s="5" t="s">
        <v>240</v>
      </c>
      <c r="Y3803" s="5" t="s">
        <v>240</v>
      </c>
      <c r="Z3803" s="6" t="s">
        <v>3455</v>
      </c>
      <c r="AB3803" s="6" t="s">
        <v>240</v>
      </c>
      <c r="AE3803" s="6" t="s">
        <v>299</v>
      </c>
      <c r="AF3803" s="5" t="s">
        <v>248</v>
      </c>
      <c r="AG3803" s="5" t="s">
        <v>260</v>
      </c>
      <c r="AW3803" s="5" t="s">
        <v>251</v>
      </c>
      <c r="AX3803" s="5" t="s">
        <v>240</v>
      </c>
      <c r="AY3803" s="5" t="s">
        <v>253</v>
      </c>
      <c r="AZ3803" s="5" t="s">
        <v>240</v>
      </c>
      <c r="BA3803" s="5" t="s">
        <v>255</v>
      </c>
      <c r="BB3803" s="5" t="s">
        <v>240</v>
      </c>
      <c r="BD3803" s="5" t="s">
        <v>240</v>
      </c>
      <c r="BF3803" s="5" t="s">
        <v>447</v>
      </c>
      <c r="BG3803" s="6" t="s">
        <v>3455</v>
      </c>
      <c r="BH3803" s="5" t="s">
        <v>302</v>
      </c>
      <c r="BI3803" s="5" t="s">
        <v>448</v>
      </c>
      <c r="BJ3803" s="5" t="s">
        <v>240</v>
      </c>
      <c r="BK3803" s="8">
        <f>0</f>
        <v>0</v>
      </c>
      <c r="BL3803" s="7">
        <f>0</f>
        <v>0</v>
      </c>
      <c r="BM3803" s="5" t="s">
        <v>258</v>
      </c>
      <c r="BN3803" s="5" t="s">
        <v>259</v>
      </c>
      <c r="CB3803" s="5" t="s">
        <v>240</v>
      </c>
      <c r="CC3803" s="5" t="s">
        <v>240</v>
      </c>
      <c r="CG3803" s="5" t="s">
        <v>449</v>
      </c>
      <c r="CH3803" s="5" t="s">
        <v>305</v>
      </c>
      <c r="CI3803" s="5" t="s">
        <v>240</v>
      </c>
      <c r="CL3803" s="6" t="s">
        <v>261</v>
      </c>
      <c r="CM3803" s="5" t="s">
        <v>240</v>
      </c>
      <c r="CN3803" s="5" t="s">
        <v>263</v>
      </c>
      <c r="CO3803" s="5" t="s">
        <v>240</v>
      </c>
      <c r="CP3803" s="5" t="s">
        <v>240</v>
      </c>
      <c r="CQ3803" s="5">
        <v>0</v>
      </c>
      <c r="CR3803" s="5" t="s">
        <v>306</v>
      </c>
      <c r="CS3803" s="5" t="s">
        <v>307</v>
      </c>
      <c r="CT3803" s="5" t="s">
        <v>307</v>
      </c>
      <c r="CU3803" s="5" t="s">
        <v>260</v>
      </c>
      <c r="CX3803" s="7">
        <f>2335793</f>
        <v>2335793</v>
      </c>
      <c r="CY3803" s="7">
        <f>0</f>
        <v>0</v>
      </c>
      <c r="DA3803" s="7">
        <f>0</f>
        <v>0</v>
      </c>
      <c r="DC3803" s="5" t="s">
        <v>450</v>
      </c>
      <c r="DD3803" s="5" t="s">
        <v>240</v>
      </c>
      <c r="DF3803" s="5" t="s">
        <v>450</v>
      </c>
      <c r="DG3803" s="7">
        <f>1299.25</f>
        <v>1299.25</v>
      </c>
      <c r="DI3803" s="5" t="s">
        <v>240</v>
      </c>
      <c r="DJ3803" s="5" t="s">
        <v>240</v>
      </c>
      <c r="DK3803" s="5" t="s">
        <v>240</v>
      </c>
      <c r="DL3803" s="5" t="s">
        <v>240</v>
      </c>
      <c r="DP3803" s="5" t="s">
        <v>240</v>
      </c>
      <c r="DQ3803" s="5" t="s">
        <v>240</v>
      </c>
      <c r="DR3803" s="5" t="s">
        <v>240</v>
      </c>
      <c r="DS3803" s="5" t="s">
        <v>240</v>
      </c>
      <c r="DV3803" s="5" t="s">
        <v>310</v>
      </c>
      <c r="DW3803" s="5" t="s">
        <v>2510</v>
      </c>
      <c r="HO3803" s="5" t="s">
        <v>312</v>
      </c>
    </row>
    <row r="3804" spans="1:240" x14ac:dyDescent="0.4">
      <c r="A3804" s="5">
        <v>9346</v>
      </c>
      <c r="B3804" s="5">
        <v>1</v>
      </c>
      <c r="C3804" s="5">
        <v>1</v>
      </c>
      <c r="D3804" s="5" t="s">
        <v>723</v>
      </c>
      <c r="E3804" s="5" t="s">
        <v>725</v>
      </c>
      <c r="F3804" s="5" t="s">
        <v>254</v>
      </c>
      <c r="G3804" s="5" t="s">
        <v>726</v>
      </c>
      <c r="H3804" s="6" t="s">
        <v>6261</v>
      </c>
      <c r="I3804" s="5" t="s">
        <v>6260</v>
      </c>
      <c r="J3804" s="7">
        <f>1</f>
        <v>1</v>
      </c>
      <c r="K3804" s="5" t="s">
        <v>3682</v>
      </c>
      <c r="L3804" s="7">
        <f>1</f>
        <v>1</v>
      </c>
      <c r="M3804" s="7">
        <f>1</f>
        <v>1</v>
      </c>
      <c r="N3804" s="5" t="s">
        <v>242</v>
      </c>
      <c r="O3804" s="5">
        <v>1</v>
      </c>
      <c r="P3804" s="5" t="s">
        <v>294</v>
      </c>
      <c r="Q3804" s="5" t="s">
        <v>266</v>
      </c>
      <c r="R3804" s="5" t="s">
        <v>240</v>
      </c>
      <c r="S3804" s="5" t="s">
        <v>240</v>
      </c>
      <c r="T3804" s="5" t="s">
        <v>243</v>
      </c>
      <c r="U3804" s="5" t="s">
        <v>240</v>
      </c>
      <c r="V3804" s="5" t="s">
        <v>240</v>
      </c>
      <c r="Y3804" s="5" t="s">
        <v>240</v>
      </c>
      <c r="Z3804" s="6" t="s">
        <v>275</v>
      </c>
      <c r="AB3804" s="6" t="s">
        <v>240</v>
      </c>
      <c r="AE3804" s="6" t="s">
        <v>6610</v>
      </c>
      <c r="AF3804" s="5" t="s">
        <v>248</v>
      </c>
      <c r="AG3804" s="5" t="s">
        <v>260</v>
      </c>
      <c r="AW3804" s="5" t="s">
        <v>251</v>
      </c>
      <c r="AX3804" s="5" t="s">
        <v>240</v>
      </c>
      <c r="AY3804" s="5" t="s">
        <v>253</v>
      </c>
      <c r="AZ3804" s="5" t="s">
        <v>240</v>
      </c>
      <c r="BA3804" s="5" t="s">
        <v>255</v>
      </c>
      <c r="BB3804" s="5" t="s">
        <v>240</v>
      </c>
      <c r="BD3804" s="5" t="s">
        <v>240</v>
      </c>
      <c r="BF3804" s="5" t="s">
        <v>687</v>
      </c>
      <c r="BG3804" s="6" t="s">
        <v>275</v>
      </c>
      <c r="BH3804" s="5" t="s">
        <v>302</v>
      </c>
      <c r="BI3804" s="5" t="s">
        <v>6608</v>
      </c>
      <c r="BJ3804" s="5" t="s">
        <v>240</v>
      </c>
      <c r="BK3804" s="8">
        <f>0</f>
        <v>0</v>
      </c>
      <c r="BL3804" s="7">
        <f>0</f>
        <v>0</v>
      </c>
      <c r="BM3804" s="5" t="s">
        <v>258</v>
      </c>
      <c r="BN3804" s="5" t="s">
        <v>259</v>
      </c>
      <c r="CB3804" s="5" t="s">
        <v>240</v>
      </c>
      <c r="CC3804" s="5" t="s">
        <v>240</v>
      </c>
      <c r="CG3804" s="5" t="s">
        <v>449</v>
      </c>
      <c r="CH3804" s="5" t="s">
        <v>305</v>
      </c>
      <c r="CI3804" s="5" t="s">
        <v>240</v>
      </c>
      <c r="CL3804" s="6" t="s">
        <v>261</v>
      </c>
      <c r="CM3804" s="5" t="s">
        <v>240</v>
      </c>
      <c r="CN3804" s="5" t="s">
        <v>263</v>
      </c>
      <c r="CO3804" s="5" t="s">
        <v>240</v>
      </c>
      <c r="CP3804" s="5" t="s">
        <v>240</v>
      </c>
      <c r="CQ3804" s="5">
        <v>0</v>
      </c>
      <c r="CR3804" s="5" t="s">
        <v>306</v>
      </c>
      <c r="CS3804" s="5" t="s">
        <v>307</v>
      </c>
      <c r="CT3804" s="5" t="s">
        <v>307</v>
      </c>
      <c r="CU3804" s="5" t="s">
        <v>260</v>
      </c>
      <c r="CX3804" s="7">
        <f>3699005</f>
        <v>3699005</v>
      </c>
      <c r="CY3804" s="7">
        <f>0</f>
        <v>0</v>
      </c>
      <c r="DA3804" s="7">
        <f>0</f>
        <v>0</v>
      </c>
      <c r="DC3804" s="5" t="s">
        <v>450</v>
      </c>
      <c r="DD3804" s="5" t="s">
        <v>240</v>
      </c>
      <c r="DF3804" s="5" t="s">
        <v>450</v>
      </c>
      <c r="DG3804" s="7">
        <f>0</f>
        <v>0</v>
      </c>
      <c r="DI3804" s="5" t="s">
        <v>240</v>
      </c>
      <c r="DJ3804" s="5" t="s">
        <v>240</v>
      </c>
      <c r="DK3804" s="5" t="s">
        <v>240</v>
      </c>
      <c r="DL3804" s="5" t="s">
        <v>240</v>
      </c>
      <c r="DP3804" s="5" t="s">
        <v>240</v>
      </c>
      <c r="DQ3804" s="5" t="s">
        <v>240</v>
      </c>
      <c r="DR3804" s="5" t="s">
        <v>240</v>
      </c>
      <c r="DS3804" s="5" t="s">
        <v>240</v>
      </c>
      <c r="DV3804" s="5" t="s">
        <v>310</v>
      </c>
      <c r="DW3804" s="5" t="s">
        <v>2446</v>
      </c>
      <c r="HO3804" s="5" t="s">
        <v>312</v>
      </c>
    </row>
    <row r="3805" spans="1:240" x14ac:dyDescent="0.4">
      <c r="A3805" s="5">
        <v>9347</v>
      </c>
      <c r="B3805" s="5">
        <v>1</v>
      </c>
      <c r="C3805" s="5">
        <v>1</v>
      </c>
      <c r="D3805" s="5" t="s">
        <v>723</v>
      </c>
      <c r="E3805" s="5" t="s">
        <v>725</v>
      </c>
      <c r="F3805" s="5" t="s">
        <v>254</v>
      </c>
      <c r="G3805" s="5" t="s">
        <v>5369</v>
      </c>
      <c r="H3805" s="6" t="s">
        <v>5370</v>
      </c>
      <c r="I3805" s="5" t="s">
        <v>5368</v>
      </c>
      <c r="J3805" s="7">
        <f>1</f>
        <v>1</v>
      </c>
      <c r="K3805" s="5" t="s">
        <v>3682</v>
      </c>
      <c r="L3805" s="7">
        <f>1</f>
        <v>1</v>
      </c>
      <c r="M3805" s="7">
        <f>1</f>
        <v>1</v>
      </c>
      <c r="N3805" s="5" t="s">
        <v>242</v>
      </c>
      <c r="O3805" s="5">
        <v>1</v>
      </c>
      <c r="P3805" s="5" t="s">
        <v>294</v>
      </c>
      <c r="Q3805" s="5" t="s">
        <v>266</v>
      </c>
      <c r="R3805" s="5" t="s">
        <v>240</v>
      </c>
      <c r="S3805" s="5" t="s">
        <v>240</v>
      </c>
      <c r="T3805" s="5" t="s">
        <v>243</v>
      </c>
      <c r="U3805" s="5" t="s">
        <v>240</v>
      </c>
      <c r="V3805" s="5" t="s">
        <v>240</v>
      </c>
      <c r="Y3805" s="5" t="s">
        <v>240</v>
      </c>
      <c r="Z3805" s="6" t="s">
        <v>5280</v>
      </c>
      <c r="AB3805" s="6" t="s">
        <v>240</v>
      </c>
      <c r="AE3805" s="6" t="s">
        <v>6136</v>
      </c>
      <c r="AF3805" s="5" t="s">
        <v>248</v>
      </c>
      <c r="AG3805" s="5" t="s">
        <v>260</v>
      </c>
      <c r="AW3805" s="5" t="s">
        <v>251</v>
      </c>
      <c r="AX3805" s="5" t="s">
        <v>240</v>
      </c>
      <c r="AY3805" s="5" t="s">
        <v>253</v>
      </c>
      <c r="AZ3805" s="5" t="s">
        <v>240</v>
      </c>
      <c r="BA3805" s="5" t="s">
        <v>255</v>
      </c>
      <c r="BB3805" s="5" t="s">
        <v>240</v>
      </c>
      <c r="BD3805" s="5" t="s">
        <v>240</v>
      </c>
      <c r="BF3805" s="5" t="s">
        <v>447</v>
      </c>
      <c r="BG3805" s="6" t="s">
        <v>5280</v>
      </c>
      <c r="BH3805" s="5" t="s">
        <v>302</v>
      </c>
      <c r="BI3805" s="5" t="s">
        <v>448</v>
      </c>
      <c r="BJ3805" s="5" t="s">
        <v>240</v>
      </c>
      <c r="BK3805" s="8">
        <f>0</f>
        <v>0</v>
      </c>
      <c r="BL3805" s="7">
        <f>0</f>
        <v>0</v>
      </c>
      <c r="BM3805" s="5" t="s">
        <v>258</v>
      </c>
      <c r="BN3805" s="5" t="s">
        <v>259</v>
      </c>
      <c r="CB3805" s="5" t="s">
        <v>240</v>
      </c>
      <c r="CC3805" s="5" t="s">
        <v>240</v>
      </c>
      <c r="CG3805" s="5" t="s">
        <v>449</v>
      </c>
      <c r="CH3805" s="5" t="s">
        <v>305</v>
      </c>
      <c r="CI3805" s="5" t="s">
        <v>240</v>
      </c>
      <c r="CL3805" s="6" t="s">
        <v>261</v>
      </c>
      <c r="CM3805" s="5" t="s">
        <v>240</v>
      </c>
      <c r="CN3805" s="5" t="s">
        <v>263</v>
      </c>
      <c r="CO3805" s="5" t="s">
        <v>240</v>
      </c>
      <c r="CP3805" s="5" t="s">
        <v>240</v>
      </c>
      <c r="CQ3805" s="5">
        <v>0</v>
      </c>
      <c r="CR3805" s="5" t="s">
        <v>306</v>
      </c>
      <c r="CS3805" s="5" t="s">
        <v>307</v>
      </c>
      <c r="CT3805" s="5" t="s">
        <v>307</v>
      </c>
      <c r="CU3805" s="5" t="s">
        <v>260</v>
      </c>
      <c r="CX3805" s="7">
        <f>10638425</f>
        <v>10638425</v>
      </c>
      <c r="CY3805" s="7">
        <f>0</f>
        <v>0</v>
      </c>
      <c r="DA3805" s="7">
        <f>0</f>
        <v>0</v>
      </c>
      <c r="DC3805" s="5" t="s">
        <v>450</v>
      </c>
      <c r="DD3805" s="5" t="s">
        <v>240</v>
      </c>
      <c r="DF3805" s="5" t="s">
        <v>450</v>
      </c>
      <c r="DG3805" s="7">
        <f>0</f>
        <v>0</v>
      </c>
      <c r="DI3805" s="5" t="s">
        <v>240</v>
      </c>
      <c r="DJ3805" s="5" t="s">
        <v>240</v>
      </c>
      <c r="DK3805" s="5" t="s">
        <v>240</v>
      </c>
      <c r="DL3805" s="5" t="s">
        <v>240</v>
      </c>
      <c r="DP3805" s="5" t="s">
        <v>240</v>
      </c>
      <c r="DQ3805" s="5" t="s">
        <v>240</v>
      </c>
      <c r="DR3805" s="5" t="s">
        <v>240</v>
      </c>
      <c r="DS3805" s="5" t="s">
        <v>240</v>
      </c>
      <c r="DV3805" s="5" t="s">
        <v>310</v>
      </c>
      <c r="DW3805" s="5" t="s">
        <v>2508</v>
      </c>
      <c r="HO3805" s="5" t="s">
        <v>312</v>
      </c>
    </row>
    <row r="3806" spans="1:240" x14ac:dyDescent="0.4">
      <c r="A3806" s="5">
        <v>9348</v>
      </c>
      <c r="B3806" s="5">
        <v>1</v>
      </c>
      <c r="C3806" s="5">
        <v>1</v>
      </c>
      <c r="D3806" s="5" t="s">
        <v>723</v>
      </c>
      <c r="E3806" s="5" t="s">
        <v>725</v>
      </c>
      <c r="F3806" s="5" t="s">
        <v>254</v>
      </c>
      <c r="G3806" s="5" t="s">
        <v>726</v>
      </c>
      <c r="H3806" s="6" t="s">
        <v>5367</v>
      </c>
      <c r="I3806" s="5" t="s">
        <v>5366</v>
      </c>
      <c r="J3806" s="7">
        <f>1</f>
        <v>1</v>
      </c>
      <c r="K3806" s="5" t="s">
        <v>3682</v>
      </c>
      <c r="L3806" s="7">
        <f>1</f>
        <v>1</v>
      </c>
      <c r="M3806" s="7">
        <f>1</f>
        <v>1</v>
      </c>
      <c r="N3806" s="5" t="s">
        <v>242</v>
      </c>
      <c r="O3806" s="5">
        <v>1</v>
      </c>
      <c r="P3806" s="5" t="s">
        <v>294</v>
      </c>
      <c r="Q3806" s="5" t="s">
        <v>266</v>
      </c>
      <c r="R3806" s="5" t="s">
        <v>240</v>
      </c>
      <c r="S3806" s="5" t="s">
        <v>240</v>
      </c>
      <c r="T3806" s="5" t="s">
        <v>243</v>
      </c>
      <c r="U3806" s="5" t="s">
        <v>240</v>
      </c>
      <c r="V3806" s="5" t="s">
        <v>240</v>
      </c>
      <c r="Y3806" s="5" t="s">
        <v>240</v>
      </c>
      <c r="Z3806" s="6" t="s">
        <v>5280</v>
      </c>
      <c r="AB3806" s="6" t="s">
        <v>240</v>
      </c>
      <c r="AE3806" s="6" t="s">
        <v>6153</v>
      </c>
      <c r="AF3806" s="5" t="s">
        <v>248</v>
      </c>
      <c r="AG3806" s="5" t="s">
        <v>260</v>
      </c>
      <c r="AW3806" s="5" t="s">
        <v>251</v>
      </c>
      <c r="AX3806" s="5" t="s">
        <v>240</v>
      </c>
      <c r="AY3806" s="5" t="s">
        <v>253</v>
      </c>
      <c r="AZ3806" s="5" t="s">
        <v>240</v>
      </c>
      <c r="BA3806" s="5" t="s">
        <v>255</v>
      </c>
      <c r="BB3806" s="5" t="s">
        <v>240</v>
      </c>
      <c r="BD3806" s="5" t="s">
        <v>240</v>
      </c>
      <c r="BF3806" s="5" t="s">
        <v>447</v>
      </c>
      <c r="BG3806" s="6" t="s">
        <v>5280</v>
      </c>
      <c r="BH3806" s="5" t="s">
        <v>302</v>
      </c>
      <c r="BI3806" s="5" t="s">
        <v>448</v>
      </c>
      <c r="BJ3806" s="5" t="s">
        <v>240</v>
      </c>
      <c r="BK3806" s="8">
        <f>0</f>
        <v>0</v>
      </c>
      <c r="BL3806" s="7">
        <f>0</f>
        <v>0</v>
      </c>
      <c r="BM3806" s="5" t="s">
        <v>258</v>
      </c>
      <c r="BN3806" s="5" t="s">
        <v>259</v>
      </c>
      <c r="CB3806" s="5" t="s">
        <v>240</v>
      </c>
      <c r="CC3806" s="5" t="s">
        <v>240</v>
      </c>
      <c r="CG3806" s="5" t="s">
        <v>449</v>
      </c>
      <c r="CH3806" s="5" t="s">
        <v>305</v>
      </c>
      <c r="CI3806" s="5" t="s">
        <v>240</v>
      </c>
      <c r="CL3806" s="6" t="s">
        <v>261</v>
      </c>
      <c r="CM3806" s="5" t="s">
        <v>240</v>
      </c>
      <c r="CN3806" s="5" t="s">
        <v>263</v>
      </c>
      <c r="CO3806" s="5" t="s">
        <v>240</v>
      </c>
      <c r="CP3806" s="5" t="s">
        <v>240</v>
      </c>
      <c r="CQ3806" s="5">
        <v>0</v>
      </c>
      <c r="CR3806" s="5" t="s">
        <v>306</v>
      </c>
      <c r="CS3806" s="5" t="s">
        <v>307</v>
      </c>
      <c r="CT3806" s="5" t="s">
        <v>307</v>
      </c>
      <c r="CU3806" s="5" t="s">
        <v>260</v>
      </c>
      <c r="CX3806" s="7">
        <f>3066216</f>
        <v>3066216</v>
      </c>
      <c r="CY3806" s="7">
        <f>0</f>
        <v>0</v>
      </c>
      <c r="DA3806" s="7">
        <f>0</f>
        <v>0</v>
      </c>
      <c r="DC3806" s="5" t="s">
        <v>450</v>
      </c>
      <c r="DD3806" s="5" t="s">
        <v>240</v>
      </c>
      <c r="DF3806" s="5" t="s">
        <v>450</v>
      </c>
      <c r="DG3806" s="7">
        <f>3429.41</f>
        <v>3429.41</v>
      </c>
      <c r="DI3806" s="5" t="s">
        <v>240</v>
      </c>
      <c r="DJ3806" s="5" t="s">
        <v>240</v>
      </c>
      <c r="DK3806" s="5" t="s">
        <v>240</v>
      </c>
      <c r="DL3806" s="5" t="s">
        <v>240</v>
      </c>
      <c r="DP3806" s="5" t="s">
        <v>240</v>
      </c>
      <c r="DQ3806" s="5" t="s">
        <v>240</v>
      </c>
      <c r="DR3806" s="5" t="s">
        <v>240</v>
      </c>
      <c r="DS3806" s="5" t="s">
        <v>240</v>
      </c>
      <c r="DV3806" s="5" t="s">
        <v>310</v>
      </c>
      <c r="DW3806" s="5" t="s">
        <v>2506</v>
      </c>
      <c r="HO3806" s="5" t="s">
        <v>312</v>
      </c>
    </row>
    <row r="3807" spans="1:240" x14ac:dyDescent="0.4">
      <c r="A3807" s="5">
        <v>9349</v>
      </c>
      <c r="B3807" s="5">
        <v>1</v>
      </c>
      <c r="C3807" s="5">
        <v>1</v>
      </c>
      <c r="D3807" s="5" t="s">
        <v>723</v>
      </c>
      <c r="E3807" s="5" t="s">
        <v>725</v>
      </c>
      <c r="F3807" s="5" t="s">
        <v>254</v>
      </c>
      <c r="G3807" s="5" t="s">
        <v>726</v>
      </c>
      <c r="H3807" s="6" t="s">
        <v>5365</v>
      </c>
      <c r="I3807" s="5" t="s">
        <v>5364</v>
      </c>
      <c r="J3807" s="7">
        <f>1</f>
        <v>1</v>
      </c>
      <c r="K3807" s="5" t="s">
        <v>3682</v>
      </c>
      <c r="L3807" s="7">
        <f>1</f>
        <v>1</v>
      </c>
      <c r="M3807" s="7">
        <f>1</f>
        <v>1</v>
      </c>
      <c r="N3807" s="5" t="s">
        <v>242</v>
      </c>
      <c r="O3807" s="5">
        <v>1</v>
      </c>
      <c r="P3807" s="5" t="s">
        <v>294</v>
      </c>
      <c r="Q3807" s="5" t="s">
        <v>266</v>
      </c>
      <c r="R3807" s="5" t="s">
        <v>240</v>
      </c>
      <c r="S3807" s="5" t="s">
        <v>240</v>
      </c>
      <c r="T3807" s="5" t="s">
        <v>243</v>
      </c>
      <c r="U3807" s="5" t="s">
        <v>240</v>
      </c>
      <c r="V3807" s="5" t="s">
        <v>240</v>
      </c>
      <c r="Y3807" s="5" t="s">
        <v>240</v>
      </c>
      <c r="Z3807" s="6" t="s">
        <v>6621</v>
      </c>
      <c r="AB3807" s="6" t="s">
        <v>240</v>
      </c>
      <c r="AE3807" s="6" t="s">
        <v>3903</v>
      </c>
      <c r="AF3807" s="5" t="s">
        <v>248</v>
      </c>
      <c r="AG3807" s="5" t="s">
        <v>260</v>
      </c>
      <c r="AW3807" s="5" t="s">
        <v>251</v>
      </c>
      <c r="AX3807" s="5" t="s">
        <v>240</v>
      </c>
      <c r="AY3807" s="5" t="s">
        <v>253</v>
      </c>
      <c r="AZ3807" s="5" t="s">
        <v>240</v>
      </c>
      <c r="BA3807" s="5" t="s">
        <v>255</v>
      </c>
      <c r="BB3807" s="5" t="s">
        <v>240</v>
      </c>
      <c r="BD3807" s="5" t="s">
        <v>240</v>
      </c>
      <c r="BF3807" s="5" t="s">
        <v>447</v>
      </c>
      <c r="BG3807" s="6" t="s">
        <v>6621</v>
      </c>
      <c r="BH3807" s="5" t="s">
        <v>302</v>
      </c>
      <c r="BI3807" s="5" t="s">
        <v>448</v>
      </c>
      <c r="BJ3807" s="5" t="s">
        <v>240</v>
      </c>
      <c r="BK3807" s="8">
        <f>0</f>
        <v>0</v>
      </c>
      <c r="BL3807" s="7">
        <f>0</f>
        <v>0</v>
      </c>
      <c r="BM3807" s="5" t="s">
        <v>258</v>
      </c>
      <c r="BN3807" s="5" t="s">
        <v>259</v>
      </c>
      <c r="CB3807" s="5" t="s">
        <v>240</v>
      </c>
      <c r="CC3807" s="5" t="s">
        <v>240</v>
      </c>
      <c r="CG3807" s="5" t="s">
        <v>449</v>
      </c>
      <c r="CH3807" s="5" t="s">
        <v>305</v>
      </c>
      <c r="CI3807" s="5" t="s">
        <v>240</v>
      </c>
      <c r="CL3807" s="6" t="s">
        <v>261</v>
      </c>
      <c r="CM3807" s="5" t="s">
        <v>240</v>
      </c>
      <c r="CN3807" s="5" t="s">
        <v>263</v>
      </c>
      <c r="CO3807" s="5" t="s">
        <v>240</v>
      </c>
      <c r="CP3807" s="5" t="s">
        <v>240</v>
      </c>
      <c r="CQ3807" s="5">
        <v>0</v>
      </c>
      <c r="CR3807" s="5" t="s">
        <v>306</v>
      </c>
      <c r="CS3807" s="5" t="s">
        <v>307</v>
      </c>
      <c r="CT3807" s="5" t="s">
        <v>307</v>
      </c>
      <c r="CU3807" s="5" t="s">
        <v>260</v>
      </c>
      <c r="CX3807" s="7">
        <f>237851</f>
        <v>237851</v>
      </c>
      <c r="CY3807" s="7">
        <f>0</f>
        <v>0</v>
      </c>
      <c r="DA3807" s="7">
        <f>0</f>
        <v>0</v>
      </c>
      <c r="DC3807" s="5" t="s">
        <v>450</v>
      </c>
      <c r="DD3807" s="5" t="s">
        <v>240</v>
      </c>
      <c r="DF3807" s="5" t="s">
        <v>450</v>
      </c>
      <c r="DG3807" s="7">
        <f>0</f>
        <v>0</v>
      </c>
      <c r="DI3807" s="5" t="s">
        <v>240</v>
      </c>
      <c r="DJ3807" s="5" t="s">
        <v>240</v>
      </c>
      <c r="DK3807" s="5" t="s">
        <v>240</v>
      </c>
      <c r="DL3807" s="5" t="s">
        <v>240</v>
      </c>
      <c r="DP3807" s="5" t="s">
        <v>240</v>
      </c>
      <c r="DQ3807" s="5" t="s">
        <v>240</v>
      </c>
      <c r="DR3807" s="5" t="s">
        <v>240</v>
      </c>
      <c r="DS3807" s="5" t="s">
        <v>240</v>
      </c>
      <c r="DV3807" s="5" t="s">
        <v>310</v>
      </c>
      <c r="DW3807" s="5" t="s">
        <v>2504</v>
      </c>
      <c r="HO3807" s="5" t="s">
        <v>312</v>
      </c>
    </row>
    <row r="3808" spans="1:240" x14ac:dyDescent="0.4">
      <c r="A3808" s="5">
        <v>9350</v>
      </c>
      <c r="B3808" s="5">
        <v>1</v>
      </c>
      <c r="C3808" s="5">
        <v>1</v>
      </c>
      <c r="D3808" s="5" t="s">
        <v>723</v>
      </c>
      <c r="E3808" s="5" t="s">
        <v>725</v>
      </c>
      <c r="F3808" s="5" t="s">
        <v>254</v>
      </c>
      <c r="G3808" s="5" t="s">
        <v>6257</v>
      </c>
      <c r="H3808" s="6" t="s">
        <v>6258</v>
      </c>
      <c r="I3808" s="5" t="s">
        <v>6256</v>
      </c>
      <c r="J3808" s="7">
        <f>1</f>
        <v>1</v>
      </c>
      <c r="K3808" s="5" t="s">
        <v>3682</v>
      </c>
      <c r="L3808" s="7">
        <f>1</f>
        <v>1</v>
      </c>
      <c r="M3808" s="7">
        <f>1</f>
        <v>1</v>
      </c>
      <c r="N3808" s="5" t="s">
        <v>242</v>
      </c>
      <c r="O3808" s="5">
        <v>1</v>
      </c>
      <c r="P3808" s="5" t="s">
        <v>294</v>
      </c>
      <c r="Q3808" s="5" t="s">
        <v>266</v>
      </c>
      <c r="R3808" s="5" t="s">
        <v>240</v>
      </c>
      <c r="S3808" s="5" t="s">
        <v>240</v>
      </c>
      <c r="T3808" s="5" t="s">
        <v>243</v>
      </c>
      <c r="U3808" s="5" t="s">
        <v>240</v>
      </c>
      <c r="V3808" s="5" t="s">
        <v>240</v>
      </c>
      <c r="Y3808" s="5" t="s">
        <v>240</v>
      </c>
      <c r="Z3808" s="6" t="s">
        <v>6629</v>
      </c>
      <c r="AB3808" s="6" t="s">
        <v>240</v>
      </c>
      <c r="AE3808" s="6" t="s">
        <v>299</v>
      </c>
      <c r="AF3808" s="5" t="s">
        <v>248</v>
      </c>
      <c r="AG3808" s="5" t="s">
        <v>249</v>
      </c>
      <c r="AW3808" s="5" t="s">
        <v>251</v>
      </c>
      <c r="AX3808" s="5" t="s">
        <v>240</v>
      </c>
      <c r="AY3808" s="5" t="s">
        <v>253</v>
      </c>
      <c r="AZ3808" s="5" t="s">
        <v>240</v>
      </c>
      <c r="BA3808" s="5" t="s">
        <v>255</v>
      </c>
      <c r="BB3808" s="5" t="s">
        <v>240</v>
      </c>
      <c r="BD3808" s="5" t="s">
        <v>240</v>
      </c>
      <c r="BF3808" s="5" t="s">
        <v>301</v>
      </c>
      <c r="BG3808" s="6" t="s">
        <v>6629</v>
      </c>
      <c r="BH3808" s="5" t="s">
        <v>302</v>
      </c>
      <c r="BI3808" s="5" t="s">
        <v>6608</v>
      </c>
      <c r="BJ3808" s="5" t="s">
        <v>240</v>
      </c>
      <c r="BK3808" s="8">
        <f>0</f>
        <v>0</v>
      </c>
      <c r="BL3808" s="7">
        <f>0</f>
        <v>0</v>
      </c>
      <c r="BM3808" s="5" t="s">
        <v>258</v>
      </c>
      <c r="BN3808" s="5" t="s">
        <v>259</v>
      </c>
      <c r="CB3808" s="5" t="s">
        <v>240</v>
      </c>
      <c r="CC3808" s="5" t="s">
        <v>240</v>
      </c>
      <c r="CG3808" s="5" t="s">
        <v>449</v>
      </c>
      <c r="CH3808" s="5" t="s">
        <v>305</v>
      </c>
      <c r="CI3808" s="5" t="s">
        <v>240</v>
      </c>
      <c r="CL3808" s="6" t="s">
        <v>261</v>
      </c>
      <c r="CM3808" s="5" t="s">
        <v>240</v>
      </c>
      <c r="CN3808" s="5" t="s">
        <v>263</v>
      </c>
      <c r="CO3808" s="5" t="s">
        <v>240</v>
      </c>
      <c r="CP3808" s="5" t="s">
        <v>240</v>
      </c>
      <c r="CQ3808" s="5">
        <v>0</v>
      </c>
      <c r="CR3808" s="5" t="s">
        <v>306</v>
      </c>
      <c r="CS3808" s="5" t="s">
        <v>307</v>
      </c>
      <c r="CT3808" s="5" t="s">
        <v>307</v>
      </c>
      <c r="CU3808" s="5" t="s">
        <v>260</v>
      </c>
      <c r="CX3808" s="7">
        <f>9558000</f>
        <v>9558000</v>
      </c>
      <c r="CY3808" s="7">
        <f>0</f>
        <v>0</v>
      </c>
      <c r="DA3808" s="7">
        <f>0</f>
        <v>0</v>
      </c>
      <c r="DC3808" s="5" t="s">
        <v>450</v>
      </c>
      <c r="DD3808" s="5" t="s">
        <v>240</v>
      </c>
      <c r="DF3808" s="5" t="s">
        <v>450</v>
      </c>
      <c r="DG3808" s="7">
        <f>0</f>
        <v>0</v>
      </c>
      <c r="DI3808" s="5" t="s">
        <v>240</v>
      </c>
      <c r="DJ3808" s="5" t="s">
        <v>240</v>
      </c>
      <c r="DK3808" s="5" t="s">
        <v>240</v>
      </c>
      <c r="DL3808" s="5" t="s">
        <v>240</v>
      </c>
      <c r="DP3808" s="5" t="s">
        <v>240</v>
      </c>
      <c r="DQ3808" s="5" t="s">
        <v>240</v>
      </c>
      <c r="DR3808" s="5" t="s">
        <v>240</v>
      </c>
      <c r="DS3808" s="5" t="s">
        <v>240</v>
      </c>
      <c r="DV3808" s="5" t="s">
        <v>310</v>
      </c>
      <c r="DW3808" s="5" t="s">
        <v>2314</v>
      </c>
      <c r="HO3808" s="5" t="s">
        <v>312</v>
      </c>
    </row>
    <row r="3809" spans="1:240" x14ac:dyDescent="0.4">
      <c r="A3809" s="5">
        <v>9351</v>
      </c>
      <c r="B3809" s="5">
        <v>1</v>
      </c>
      <c r="C3809" s="5">
        <v>1</v>
      </c>
      <c r="D3809" s="5" t="s">
        <v>723</v>
      </c>
      <c r="E3809" s="5" t="s">
        <v>725</v>
      </c>
      <c r="F3809" s="5" t="s">
        <v>254</v>
      </c>
      <c r="G3809" s="5" t="s">
        <v>726</v>
      </c>
      <c r="H3809" s="6" t="s">
        <v>5362</v>
      </c>
      <c r="I3809" s="5" t="s">
        <v>5361</v>
      </c>
      <c r="J3809" s="7">
        <f>1</f>
        <v>1</v>
      </c>
      <c r="K3809" s="5" t="s">
        <v>3682</v>
      </c>
      <c r="L3809" s="7">
        <f>1</f>
        <v>1</v>
      </c>
      <c r="M3809" s="7">
        <f>1</f>
        <v>1</v>
      </c>
      <c r="N3809" s="5" t="s">
        <v>242</v>
      </c>
      <c r="O3809" s="5">
        <v>1</v>
      </c>
      <c r="P3809" s="5" t="s">
        <v>294</v>
      </c>
      <c r="Q3809" s="5" t="s">
        <v>266</v>
      </c>
      <c r="R3809" s="5" t="s">
        <v>240</v>
      </c>
      <c r="S3809" s="5" t="s">
        <v>240</v>
      </c>
      <c r="T3809" s="5" t="s">
        <v>243</v>
      </c>
      <c r="U3809" s="5" t="s">
        <v>240</v>
      </c>
      <c r="V3809" s="5" t="s">
        <v>240</v>
      </c>
      <c r="Y3809" s="5" t="s">
        <v>240</v>
      </c>
      <c r="Z3809" s="6" t="s">
        <v>747</v>
      </c>
      <c r="AB3809" s="6" t="s">
        <v>240</v>
      </c>
      <c r="AE3809" s="6" t="s">
        <v>299</v>
      </c>
      <c r="AF3809" s="5" t="s">
        <v>248</v>
      </c>
      <c r="AG3809" s="5" t="s">
        <v>249</v>
      </c>
      <c r="AW3809" s="5" t="s">
        <v>251</v>
      </c>
      <c r="AX3809" s="5" t="s">
        <v>240</v>
      </c>
      <c r="AY3809" s="5" t="s">
        <v>253</v>
      </c>
      <c r="AZ3809" s="5" t="s">
        <v>240</v>
      </c>
      <c r="BA3809" s="5" t="s">
        <v>255</v>
      </c>
      <c r="BB3809" s="5" t="s">
        <v>240</v>
      </c>
      <c r="BD3809" s="5" t="s">
        <v>240</v>
      </c>
      <c r="BF3809" s="5" t="s">
        <v>301</v>
      </c>
      <c r="BG3809" s="6" t="s">
        <v>747</v>
      </c>
      <c r="BH3809" s="5" t="s">
        <v>302</v>
      </c>
      <c r="BI3809" s="5" t="s">
        <v>6608</v>
      </c>
      <c r="BJ3809" s="5" t="s">
        <v>240</v>
      </c>
      <c r="BK3809" s="8">
        <f>0</f>
        <v>0</v>
      </c>
      <c r="BL3809" s="7">
        <f>0</f>
        <v>0</v>
      </c>
      <c r="BM3809" s="5" t="s">
        <v>258</v>
      </c>
      <c r="BN3809" s="5" t="s">
        <v>259</v>
      </c>
      <c r="CB3809" s="5" t="s">
        <v>240</v>
      </c>
      <c r="CC3809" s="5" t="s">
        <v>240</v>
      </c>
      <c r="CG3809" s="5" t="s">
        <v>617</v>
      </c>
      <c r="CH3809" s="5" t="s">
        <v>305</v>
      </c>
      <c r="CI3809" s="5" t="s">
        <v>240</v>
      </c>
      <c r="CL3809" s="6" t="s">
        <v>261</v>
      </c>
      <c r="CM3809" s="5" t="s">
        <v>240</v>
      </c>
      <c r="CN3809" s="5" t="s">
        <v>263</v>
      </c>
      <c r="CO3809" s="5" t="s">
        <v>240</v>
      </c>
      <c r="CP3809" s="5" t="s">
        <v>240</v>
      </c>
      <c r="CQ3809" s="5">
        <v>0</v>
      </c>
      <c r="CR3809" s="5" t="s">
        <v>306</v>
      </c>
      <c r="CS3809" s="5" t="s">
        <v>307</v>
      </c>
      <c r="CT3809" s="5" t="s">
        <v>307</v>
      </c>
      <c r="CU3809" s="5" t="s">
        <v>260</v>
      </c>
      <c r="CX3809" s="7">
        <f>1880399</f>
        <v>1880399</v>
      </c>
      <c r="CY3809" s="7">
        <f>0</f>
        <v>0</v>
      </c>
      <c r="DA3809" s="7">
        <f>0</f>
        <v>0</v>
      </c>
      <c r="DC3809" s="5" t="s">
        <v>450</v>
      </c>
      <c r="DD3809" s="5" t="s">
        <v>240</v>
      </c>
      <c r="DF3809" s="5" t="s">
        <v>450</v>
      </c>
      <c r="DG3809" s="7">
        <f>0</f>
        <v>0</v>
      </c>
      <c r="DI3809" s="5" t="s">
        <v>240</v>
      </c>
      <c r="DJ3809" s="5" t="s">
        <v>240</v>
      </c>
      <c r="DK3809" s="5" t="s">
        <v>240</v>
      </c>
      <c r="DL3809" s="5" t="s">
        <v>240</v>
      </c>
      <c r="DP3809" s="5" t="s">
        <v>240</v>
      </c>
      <c r="DQ3809" s="5" t="s">
        <v>240</v>
      </c>
      <c r="DR3809" s="5" t="s">
        <v>240</v>
      </c>
      <c r="DS3809" s="5" t="s">
        <v>240</v>
      </c>
      <c r="DV3809" s="5" t="s">
        <v>6130</v>
      </c>
      <c r="DW3809" s="5" t="s">
        <v>620</v>
      </c>
      <c r="HO3809" s="5" t="s">
        <v>312</v>
      </c>
    </row>
    <row r="3810" spans="1:240" x14ac:dyDescent="0.4">
      <c r="A3810" s="5">
        <v>9352</v>
      </c>
      <c r="B3810" s="5">
        <v>1</v>
      </c>
      <c r="C3810" s="5">
        <v>1</v>
      </c>
      <c r="D3810" s="5" t="s">
        <v>723</v>
      </c>
      <c r="E3810" s="5" t="s">
        <v>725</v>
      </c>
      <c r="F3810" s="5" t="s">
        <v>254</v>
      </c>
      <c r="G3810" s="5" t="s">
        <v>726</v>
      </c>
      <c r="H3810" s="6" t="s">
        <v>5360</v>
      </c>
      <c r="I3810" s="5" t="s">
        <v>5359</v>
      </c>
      <c r="J3810" s="7">
        <f>1</f>
        <v>1</v>
      </c>
      <c r="K3810" s="5" t="s">
        <v>3682</v>
      </c>
      <c r="L3810" s="7">
        <f>1</f>
        <v>1</v>
      </c>
      <c r="M3810" s="7">
        <f>1</f>
        <v>1</v>
      </c>
      <c r="N3810" s="5" t="s">
        <v>242</v>
      </c>
      <c r="O3810" s="5">
        <v>1</v>
      </c>
      <c r="P3810" s="5" t="s">
        <v>294</v>
      </c>
      <c r="Q3810" s="5" t="s">
        <v>266</v>
      </c>
      <c r="R3810" s="5" t="s">
        <v>240</v>
      </c>
      <c r="S3810" s="5" t="s">
        <v>240</v>
      </c>
      <c r="T3810" s="5" t="s">
        <v>243</v>
      </c>
      <c r="U3810" s="5" t="s">
        <v>240</v>
      </c>
      <c r="V3810" s="5" t="s">
        <v>240</v>
      </c>
      <c r="Y3810" s="5" t="s">
        <v>240</v>
      </c>
      <c r="Z3810" s="6" t="s">
        <v>6629</v>
      </c>
      <c r="AB3810" s="6" t="s">
        <v>240</v>
      </c>
      <c r="AE3810" s="6" t="s">
        <v>299</v>
      </c>
      <c r="AF3810" s="5" t="s">
        <v>248</v>
      </c>
      <c r="AG3810" s="5" t="s">
        <v>249</v>
      </c>
      <c r="AW3810" s="5" t="s">
        <v>251</v>
      </c>
      <c r="AX3810" s="5" t="s">
        <v>240</v>
      </c>
      <c r="AY3810" s="5" t="s">
        <v>253</v>
      </c>
      <c r="AZ3810" s="5" t="s">
        <v>240</v>
      </c>
      <c r="BA3810" s="5" t="s">
        <v>255</v>
      </c>
      <c r="BB3810" s="5" t="s">
        <v>240</v>
      </c>
      <c r="BD3810" s="5" t="s">
        <v>240</v>
      </c>
      <c r="BF3810" s="5" t="s">
        <v>301</v>
      </c>
      <c r="BG3810" s="6" t="s">
        <v>6629</v>
      </c>
      <c r="BH3810" s="5" t="s">
        <v>302</v>
      </c>
      <c r="BI3810" s="5" t="s">
        <v>6608</v>
      </c>
      <c r="BJ3810" s="5" t="s">
        <v>240</v>
      </c>
      <c r="BK3810" s="8">
        <f>0</f>
        <v>0</v>
      </c>
      <c r="BL3810" s="7">
        <f>0</f>
        <v>0</v>
      </c>
      <c r="BM3810" s="5" t="s">
        <v>258</v>
      </c>
      <c r="BN3810" s="5" t="s">
        <v>259</v>
      </c>
      <c r="CB3810" s="5" t="s">
        <v>240</v>
      </c>
      <c r="CC3810" s="5" t="s">
        <v>240</v>
      </c>
      <c r="CG3810" s="5" t="s">
        <v>449</v>
      </c>
      <c r="CH3810" s="5" t="s">
        <v>305</v>
      </c>
      <c r="CI3810" s="5" t="s">
        <v>240</v>
      </c>
      <c r="CL3810" s="6" t="s">
        <v>261</v>
      </c>
      <c r="CM3810" s="5" t="s">
        <v>240</v>
      </c>
      <c r="CN3810" s="5" t="s">
        <v>263</v>
      </c>
      <c r="CO3810" s="5" t="s">
        <v>240</v>
      </c>
      <c r="CP3810" s="5" t="s">
        <v>240</v>
      </c>
      <c r="CQ3810" s="5">
        <v>0</v>
      </c>
      <c r="CR3810" s="5" t="s">
        <v>306</v>
      </c>
      <c r="CS3810" s="5" t="s">
        <v>307</v>
      </c>
      <c r="CT3810" s="5" t="s">
        <v>307</v>
      </c>
      <c r="CU3810" s="5" t="s">
        <v>260</v>
      </c>
      <c r="CX3810" s="7">
        <f>3157808</f>
        <v>3157808</v>
      </c>
      <c r="CY3810" s="7">
        <f>0</f>
        <v>0</v>
      </c>
      <c r="DA3810" s="7">
        <f>0</f>
        <v>0</v>
      </c>
      <c r="DC3810" s="5" t="s">
        <v>450</v>
      </c>
      <c r="DD3810" s="5" t="s">
        <v>240</v>
      </c>
      <c r="DF3810" s="5" t="s">
        <v>450</v>
      </c>
      <c r="DG3810" s="7">
        <f>0</f>
        <v>0</v>
      </c>
      <c r="DI3810" s="5" t="s">
        <v>240</v>
      </c>
      <c r="DJ3810" s="5" t="s">
        <v>240</v>
      </c>
      <c r="DK3810" s="5" t="s">
        <v>240</v>
      </c>
      <c r="DL3810" s="5" t="s">
        <v>240</v>
      </c>
      <c r="DP3810" s="5" t="s">
        <v>240</v>
      </c>
      <c r="DQ3810" s="5" t="s">
        <v>240</v>
      </c>
      <c r="DR3810" s="5" t="s">
        <v>240</v>
      </c>
      <c r="DS3810" s="5" t="s">
        <v>240</v>
      </c>
      <c r="DV3810" s="5" t="s">
        <v>310</v>
      </c>
      <c r="DW3810" s="5" t="s">
        <v>2312</v>
      </c>
      <c r="HO3810" s="5" t="s">
        <v>312</v>
      </c>
    </row>
    <row r="3811" spans="1:240" x14ac:dyDescent="0.4">
      <c r="A3811" s="5">
        <v>9353</v>
      </c>
      <c r="B3811" s="5">
        <v>1</v>
      </c>
      <c r="C3811" s="5">
        <v>1</v>
      </c>
      <c r="D3811" s="5" t="s">
        <v>723</v>
      </c>
      <c r="E3811" s="5" t="s">
        <v>725</v>
      </c>
      <c r="F3811" s="5" t="s">
        <v>254</v>
      </c>
      <c r="G3811" s="5" t="s">
        <v>726</v>
      </c>
      <c r="H3811" s="6" t="s">
        <v>5358</v>
      </c>
      <c r="I3811" s="5" t="s">
        <v>5357</v>
      </c>
      <c r="J3811" s="7">
        <f>1</f>
        <v>1</v>
      </c>
      <c r="K3811" s="5" t="s">
        <v>3682</v>
      </c>
      <c r="L3811" s="7">
        <f>1</f>
        <v>1</v>
      </c>
      <c r="M3811" s="7">
        <f>1</f>
        <v>1</v>
      </c>
      <c r="N3811" s="5" t="s">
        <v>242</v>
      </c>
      <c r="O3811" s="5">
        <v>1</v>
      </c>
      <c r="P3811" s="5" t="s">
        <v>294</v>
      </c>
      <c r="Q3811" s="5" t="s">
        <v>266</v>
      </c>
      <c r="R3811" s="5" t="s">
        <v>240</v>
      </c>
      <c r="S3811" s="5" t="s">
        <v>240</v>
      </c>
      <c r="T3811" s="5" t="s">
        <v>243</v>
      </c>
      <c r="U3811" s="5" t="s">
        <v>240</v>
      </c>
      <c r="V3811" s="5" t="s">
        <v>240</v>
      </c>
      <c r="Y3811" s="5" t="s">
        <v>240</v>
      </c>
      <c r="Z3811" s="6" t="s">
        <v>747</v>
      </c>
      <c r="AB3811" s="6" t="s">
        <v>240</v>
      </c>
      <c r="AE3811" s="6" t="s">
        <v>6170</v>
      </c>
      <c r="AF3811" s="5" t="s">
        <v>248</v>
      </c>
      <c r="AG3811" s="5" t="s">
        <v>260</v>
      </c>
      <c r="AW3811" s="5" t="s">
        <v>251</v>
      </c>
      <c r="AX3811" s="5" t="s">
        <v>240</v>
      </c>
      <c r="AY3811" s="5" t="s">
        <v>253</v>
      </c>
      <c r="AZ3811" s="5" t="s">
        <v>240</v>
      </c>
      <c r="BA3811" s="5" t="s">
        <v>255</v>
      </c>
      <c r="BB3811" s="5" t="s">
        <v>240</v>
      </c>
      <c r="BD3811" s="5" t="s">
        <v>240</v>
      </c>
      <c r="BF3811" s="5" t="s">
        <v>447</v>
      </c>
      <c r="BG3811" s="6" t="s">
        <v>747</v>
      </c>
      <c r="BH3811" s="5" t="s">
        <v>302</v>
      </c>
      <c r="BI3811" s="5" t="s">
        <v>448</v>
      </c>
      <c r="BJ3811" s="5" t="s">
        <v>240</v>
      </c>
      <c r="BK3811" s="8">
        <f>0</f>
        <v>0</v>
      </c>
      <c r="BL3811" s="7">
        <f>0</f>
        <v>0</v>
      </c>
      <c r="BM3811" s="5" t="s">
        <v>258</v>
      </c>
      <c r="BN3811" s="5" t="s">
        <v>259</v>
      </c>
      <c r="CB3811" s="5" t="s">
        <v>240</v>
      </c>
      <c r="CC3811" s="5" t="s">
        <v>240</v>
      </c>
      <c r="CG3811" s="5" t="s">
        <v>449</v>
      </c>
      <c r="CH3811" s="5" t="s">
        <v>305</v>
      </c>
      <c r="CI3811" s="5" t="s">
        <v>240</v>
      </c>
      <c r="CL3811" s="6" t="s">
        <v>261</v>
      </c>
      <c r="CM3811" s="5" t="s">
        <v>240</v>
      </c>
      <c r="CN3811" s="5" t="s">
        <v>263</v>
      </c>
      <c r="CO3811" s="5" t="s">
        <v>240</v>
      </c>
      <c r="CP3811" s="5" t="s">
        <v>240</v>
      </c>
      <c r="CQ3811" s="5">
        <v>0</v>
      </c>
      <c r="CR3811" s="5" t="s">
        <v>306</v>
      </c>
      <c r="CS3811" s="5" t="s">
        <v>307</v>
      </c>
      <c r="CT3811" s="5" t="s">
        <v>307</v>
      </c>
      <c r="CU3811" s="5" t="s">
        <v>260</v>
      </c>
      <c r="CX3811" s="7">
        <f>61251983</f>
        <v>61251983</v>
      </c>
      <c r="CY3811" s="7">
        <f>0</f>
        <v>0</v>
      </c>
      <c r="DA3811" s="7">
        <f>0</f>
        <v>0</v>
      </c>
      <c r="DC3811" s="5" t="s">
        <v>450</v>
      </c>
      <c r="DD3811" s="5" t="s">
        <v>240</v>
      </c>
      <c r="DF3811" s="5" t="s">
        <v>450</v>
      </c>
      <c r="DG3811" s="7">
        <f>0</f>
        <v>0</v>
      </c>
      <c r="DI3811" s="5" t="s">
        <v>240</v>
      </c>
      <c r="DJ3811" s="5" t="s">
        <v>240</v>
      </c>
      <c r="DK3811" s="5" t="s">
        <v>240</v>
      </c>
      <c r="DL3811" s="5" t="s">
        <v>240</v>
      </c>
      <c r="DP3811" s="5" t="s">
        <v>240</v>
      </c>
      <c r="DQ3811" s="5" t="s">
        <v>240</v>
      </c>
      <c r="DR3811" s="5" t="s">
        <v>240</v>
      </c>
      <c r="DS3811" s="5" t="s">
        <v>240</v>
      </c>
      <c r="DV3811" s="5" t="s">
        <v>310</v>
      </c>
      <c r="DW3811" s="5" t="s">
        <v>2498</v>
      </c>
      <c r="HO3811" s="5" t="s">
        <v>312</v>
      </c>
    </row>
    <row r="3812" spans="1:240" x14ac:dyDescent="0.4">
      <c r="A3812" s="5">
        <v>9354</v>
      </c>
      <c r="B3812" s="5">
        <v>1</v>
      </c>
      <c r="C3812" s="5">
        <v>1</v>
      </c>
      <c r="D3812" s="5" t="s">
        <v>723</v>
      </c>
      <c r="E3812" s="5" t="s">
        <v>725</v>
      </c>
      <c r="F3812" s="5" t="s">
        <v>254</v>
      </c>
      <c r="G3812" s="5" t="s">
        <v>6253</v>
      </c>
      <c r="H3812" s="6" t="s">
        <v>6254</v>
      </c>
      <c r="I3812" s="5" t="s">
        <v>6252</v>
      </c>
      <c r="J3812" s="7">
        <f>1</f>
        <v>1</v>
      </c>
      <c r="K3812" s="5" t="s">
        <v>3682</v>
      </c>
      <c r="L3812" s="7">
        <f>1</f>
        <v>1</v>
      </c>
      <c r="M3812" s="7">
        <f>1</f>
        <v>1</v>
      </c>
      <c r="N3812" s="5" t="s">
        <v>242</v>
      </c>
      <c r="O3812" s="5">
        <v>1</v>
      </c>
      <c r="P3812" s="5" t="s">
        <v>294</v>
      </c>
      <c r="Q3812" s="5" t="s">
        <v>266</v>
      </c>
      <c r="R3812" s="5" t="s">
        <v>240</v>
      </c>
      <c r="S3812" s="5" t="s">
        <v>240</v>
      </c>
      <c r="T3812" s="5" t="s">
        <v>243</v>
      </c>
      <c r="U3812" s="5" t="s">
        <v>240</v>
      </c>
      <c r="V3812" s="5" t="s">
        <v>240</v>
      </c>
      <c r="Y3812" s="5" t="s">
        <v>240</v>
      </c>
      <c r="Z3812" s="6" t="s">
        <v>1825</v>
      </c>
      <c r="AB3812" s="6" t="s">
        <v>240</v>
      </c>
      <c r="AE3812" s="6" t="s">
        <v>6720</v>
      </c>
      <c r="AF3812" s="5" t="s">
        <v>248</v>
      </c>
      <c r="AG3812" s="5" t="s">
        <v>249</v>
      </c>
      <c r="AW3812" s="5" t="s">
        <v>251</v>
      </c>
      <c r="AX3812" s="5" t="s">
        <v>240</v>
      </c>
      <c r="AY3812" s="5" t="s">
        <v>253</v>
      </c>
      <c r="AZ3812" s="5" t="s">
        <v>240</v>
      </c>
      <c r="BA3812" s="5" t="s">
        <v>255</v>
      </c>
      <c r="BB3812" s="5" t="s">
        <v>240</v>
      </c>
      <c r="BD3812" s="5" t="s">
        <v>240</v>
      </c>
      <c r="BF3812" s="5" t="s">
        <v>687</v>
      </c>
      <c r="BG3812" s="6" t="s">
        <v>6720</v>
      </c>
      <c r="BH3812" s="5" t="s">
        <v>302</v>
      </c>
      <c r="BI3812" s="5" t="s">
        <v>6608</v>
      </c>
      <c r="BJ3812" s="5" t="s">
        <v>240</v>
      </c>
      <c r="BK3812" s="8">
        <f>0</f>
        <v>0</v>
      </c>
      <c r="BL3812" s="7">
        <f>0</f>
        <v>0</v>
      </c>
      <c r="BM3812" s="5" t="s">
        <v>258</v>
      </c>
      <c r="BN3812" s="5" t="s">
        <v>259</v>
      </c>
      <c r="CB3812" s="5" t="s">
        <v>240</v>
      </c>
      <c r="CC3812" s="5" t="s">
        <v>240</v>
      </c>
      <c r="CG3812" s="5" t="s">
        <v>449</v>
      </c>
      <c r="CH3812" s="5" t="s">
        <v>305</v>
      </c>
      <c r="CI3812" s="5" t="s">
        <v>240</v>
      </c>
      <c r="CL3812" s="6" t="s">
        <v>261</v>
      </c>
      <c r="CM3812" s="5" t="s">
        <v>240</v>
      </c>
      <c r="CN3812" s="5" t="s">
        <v>263</v>
      </c>
      <c r="CO3812" s="5" t="s">
        <v>240</v>
      </c>
      <c r="CP3812" s="5" t="s">
        <v>240</v>
      </c>
      <c r="CQ3812" s="5">
        <v>0</v>
      </c>
      <c r="CR3812" s="5" t="s">
        <v>306</v>
      </c>
      <c r="CS3812" s="5" t="s">
        <v>307</v>
      </c>
      <c r="CT3812" s="5" t="s">
        <v>307</v>
      </c>
      <c r="CU3812" s="5" t="s">
        <v>260</v>
      </c>
      <c r="CX3812" s="7">
        <f>162833</f>
        <v>162833</v>
      </c>
      <c r="CY3812" s="7">
        <f>0</f>
        <v>0</v>
      </c>
      <c r="DA3812" s="7">
        <f>0</f>
        <v>0</v>
      </c>
      <c r="DC3812" s="5" t="s">
        <v>450</v>
      </c>
      <c r="DD3812" s="5" t="s">
        <v>240</v>
      </c>
      <c r="DF3812" s="5" t="s">
        <v>450</v>
      </c>
      <c r="DG3812" s="7">
        <f>0.98</f>
        <v>0.98</v>
      </c>
      <c r="DI3812" s="5" t="s">
        <v>240</v>
      </c>
      <c r="DJ3812" s="5" t="s">
        <v>240</v>
      </c>
      <c r="DK3812" s="5" t="s">
        <v>240</v>
      </c>
      <c r="DL3812" s="5" t="s">
        <v>240</v>
      </c>
      <c r="DP3812" s="5" t="s">
        <v>240</v>
      </c>
      <c r="DQ3812" s="5" t="s">
        <v>240</v>
      </c>
      <c r="DR3812" s="5" t="s">
        <v>240</v>
      </c>
      <c r="DS3812" s="5" t="s">
        <v>240</v>
      </c>
      <c r="DV3812" s="5" t="s">
        <v>310</v>
      </c>
      <c r="DW3812" s="5" t="s">
        <v>2424</v>
      </c>
      <c r="HO3812" s="5" t="s">
        <v>312</v>
      </c>
    </row>
    <row r="3813" spans="1:240" x14ac:dyDescent="0.4">
      <c r="A3813" s="5">
        <v>9355</v>
      </c>
      <c r="B3813" s="5">
        <v>1</v>
      </c>
      <c r="C3813" s="5">
        <v>1</v>
      </c>
      <c r="D3813" s="5" t="s">
        <v>723</v>
      </c>
      <c r="E3813" s="5" t="s">
        <v>725</v>
      </c>
      <c r="F3813" s="5" t="s">
        <v>254</v>
      </c>
      <c r="G3813" s="5" t="s">
        <v>726</v>
      </c>
      <c r="H3813" s="6" t="s">
        <v>5355</v>
      </c>
      <c r="I3813" s="5" t="s">
        <v>5354</v>
      </c>
      <c r="J3813" s="7">
        <f>1</f>
        <v>1</v>
      </c>
      <c r="K3813" s="5" t="s">
        <v>3682</v>
      </c>
      <c r="L3813" s="7">
        <f>1</f>
        <v>1</v>
      </c>
      <c r="M3813" s="7">
        <f>1</f>
        <v>1</v>
      </c>
      <c r="N3813" s="5" t="s">
        <v>242</v>
      </c>
      <c r="O3813" s="5">
        <v>1</v>
      </c>
      <c r="P3813" s="5" t="s">
        <v>294</v>
      </c>
      <c r="Q3813" s="5" t="s">
        <v>266</v>
      </c>
      <c r="R3813" s="5" t="s">
        <v>240</v>
      </c>
      <c r="S3813" s="5" t="s">
        <v>240</v>
      </c>
      <c r="T3813" s="5" t="s">
        <v>243</v>
      </c>
      <c r="U3813" s="5" t="s">
        <v>240</v>
      </c>
      <c r="V3813" s="5" t="s">
        <v>240</v>
      </c>
      <c r="Y3813" s="5" t="s">
        <v>240</v>
      </c>
      <c r="Z3813" s="6" t="s">
        <v>6706</v>
      </c>
      <c r="AB3813" s="6" t="s">
        <v>240</v>
      </c>
      <c r="AE3813" s="6" t="s">
        <v>6479</v>
      </c>
      <c r="AF3813" s="5" t="s">
        <v>248</v>
      </c>
      <c r="AG3813" s="5" t="s">
        <v>260</v>
      </c>
      <c r="AW3813" s="5" t="s">
        <v>251</v>
      </c>
      <c r="AX3813" s="5" t="s">
        <v>240</v>
      </c>
      <c r="AY3813" s="5" t="s">
        <v>253</v>
      </c>
      <c r="AZ3813" s="5" t="s">
        <v>240</v>
      </c>
      <c r="BA3813" s="5" t="s">
        <v>255</v>
      </c>
      <c r="BB3813" s="5" t="s">
        <v>240</v>
      </c>
      <c r="BD3813" s="5" t="s">
        <v>240</v>
      </c>
      <c r="BF3813" s="5" t="s">
        <v>447</v>
      </c>
      <c r="BG3813" s="6" t="s">
        <v>6706</v>
      </c>
      <c r="BH3813" s="5" t="s">
        <v>302</v>
      </c>
      <c r="BI3813" s="5" t="s">
        <v>448</v>
      </c>
      <c r="BJ3813" s="5" t="s">
        <v>240</v>
      </c>
      <c r="BK3813" s="8">
        <f>0</f>
        <v>0</v>
      </c>
      <c r="BL3813" s="7">
        <f>0</f>
        <v>0</v>
      </c>
      <c r="BM3813" s="5" t="s">
        <v>258</v>
      </c>
      <c r="BN3813" s="5" t="s">
        <v>259</v>
      </c>
      <c r="CB3813" s="5" t="s">
        <v>240</v>
      </c>
      <c r="CC3813" s="5" t="s">
        <v>240</v>
      </c>
      <c r="CG3813" s="5" t="s">
        <v>449</v>
      </c>
      <c r="CH3813" s="5" t="s">
        <v>305</v>
      </c>
      <c r="CI3813" s="5" t="s">
        <v>240</v>
      </c>
      <c r="CL3813" s="6" t="s">
        <v>261</v>
      </c>
      <c r="CM3813" s="5" t="s">
        <v>240</v>
      </c>
      <c r="CN3813" s="5" t="s">
        <v>263</v>
      </c>
      <c r="CO3813" s="5" t="s">
        <v>240</v>
      </c>
      <c r="CP3813" s="5" t="s">
        <v>240</v>
      </c>
      <c r="CQ3813" s="5">
        <v>0</v>
      </c>
      <c r="CR3813" s="5" t="s">
        <v>306</v>
      </c>
      <c r="CS3813" s="5" t="s">
        <v>307</v>
      </c>
      <c r="CT3813" s="5" t="s">
        <v>307</v>
      </c>
      <c r="CU3813" s="5" t="s">
        <v>260</v>
      </c>
      <c r="CX3813" s="7">
        <f>1719192</f>
        <v>1719192</v>
      </c>
      <c r="CY3813" s="7">
        <f>0</f>
        <v>0</v>
      </c>
      <c r="DA3813" s="7">
        <f>0</f>
        <v>0</v>
      </c>
      <c r="DC3813" s="5" t="s">
        <v>450</v>
      </c>
      <c r="DD3813" s="5" t="s">
        <v>240</v>
      </c>
      <c r="DF3813" s="5" t="s">
        <v>450</v>
      </c>
      <c r="DG3813" s="7">
        <f>1154.23</f>
        <v>1154.23</v>
      </c>
      <c r="DI3813" s="5" t="s">
        <v>240</v>
      </c>
      <c r="DJ3813" s="5" t="s">
        <v>240</v>
      </c>
      <c r="DK3813" s="5" t="s">
        <v>240</v>
      </c>
      <c r="DL3813" s="5" t="s">
        <v>240</v>
      </c>
      <c r="DP3813" s="5" t="s">
        <v>240</v>
      </c>
      <c r="DQ3813" s="5" t="s">
        <v>240</v>
      </c>
      <c r="DR3813" s="5" t="s">
        <v>240</v>
      </c>
      <c r="DS3813" s="5" t="s">
        <v>240</v>
      </c>
      <c r="DV3813" s="5" t="s">
        <v>310</v>
      </c>
      <c r="DW3813" s="5" t="s">
        <v>2496</v>
      </c>
      <c r="HO3813" s="5" t="s">
        <v>312</v>
      </c>
    </row>
    <row r="3814" spans="1:240" x14ac:dyDescent="0.4">
      <c r="A3814" s="5">
        <v>9356</v>
      </c>
      <c r="B3814" s="5">
        <v>1</v>
      </c>
      <c r="C3814" s="5">
        <v>1</v>
      </c>
      <c r="D3814" s="5" t="s">
        <v>723</v>
      </c>
      <c r="E3814" s="5" t="s">
        <v>725</v>
      </c>
      <c r="F3814" s="5" t="s">
        <v>254</v>
      </c>
      <c r="G3814" s="5" t="s">
        <v>726</v>
      </c>
      <c r="H3814" s="6" t="s">
        <v>5353</v>
      </c>
      <c r="I3814" s="5" t="s">
        <v>5352</v>
      </c>
      <c r="J3814" s="7">
        <f>1</f>
        <v>1</v>
      </c>
      <c r="K3814" s="5" t="s">
        <v>3682</v>
      </c>
      <c r="L3814" s="7">
        <f>1</f>
        <v>1</v>
      </c>
      <c r="M3814" s="7">
        <f>1</f>
        <v>1</v>
      </c>
      <c r="N3814" s="5" t="s">
        <v>242</v>
      </c>
      <c r="O3814" s="5">
        <v>1</v>
      </c>
      <c r="P3814" s="5" t="s">
        <v>294</v>
      </c>
      <c r="Q3814" s="5" t="s">
        <v>266</v>
      </c>
      <c r="R3814" s="5" t="s">
        <v>240</v>
      </c>
      <c r="S3814" s="5" t="s">
        <v>240</v>
      </c>
      <c r="T3814" s="5" t="s">
        <v>243</v>
      </c>
      <c r="U3814" s="5" t="s">
        <v>240</v>
      </c>
      <c r="V3814" s="5" t="s">
        <v>240</v>
      </c>
      <c r="Y3814" s="5" t="s">
        <v>240</v>
      </c>
      <c r="Z3814" s="6" t="s">
        <v>6720</v>
      </c>
      <c r="AB3814" s="6" t="s">
        <v>240</v>
      </c>
      <c r="AE3814" s="6" t="s">
        <v>2202</v>
      </c>
      <c r="AF3814" s="5" t="s">
        <v>248</v>
      </c>
      <c r="AG3814" s="5" t="s">
        <v>260</v>
      </c>
      <c r="AW3814" s="5" t="s">
        <v>251</v>
      </c>
      <c r="AX3814" s="5" t="s">
        <v>240</v>
      </c>
      <c r="AY3814" s="5" t="s">
        <v>253</v>
      </c>
      <c r="AZ3814" s="5" t="s">
        <v>240</v>
      </c>
      <c r="BA3814" s="5" t="s">
        <v>255</v>
      </c>
      <c r="BB3814" s="5" t="s">
        <v>240</v>
      </c>
      <c r="BD3814" s="5" t="s">
        <v>240</v>
      </c>
      <c r="BF3814" s="5" t="s">
        <v>447</v>
      </c>
      <c r="BG3814" s="6" t="s">
        <v>6720</v>
      </c>
      <c r="BH3814" s="5" t="s">
        <v>302</v>
      </c>
      <c r="BI3814" s="5" t="s">
        <v>448</v>
      </c>
      <c r="BJ3814" s="5" t="s">
        <v>240</v>
      </c>
      <c r="BK3814" s="8">
        <f>0</f>
        <v>0</v>
      </c>
      <c r="BL3814" s="7">
        <f>0</f>
        <v>0</v>
      </c>
      <c r="BM3814" s="5" t="s">
        <v>258</v>
      </c>
      <c r="BN3814" s="5" t="s">
        <v>259</v>
      </c>
      <c r="CB3814" s="5" t="s">
        <v>240</v>
      </c>
      <c r="CC3814" s="5" t="s">
        <v>240</v>
      </c>
      <c r="CG3814" s="5" t="s">
        <v>449</v>
      </c>
      <c r="CH3814" s="5" t="s">
        <v>305</v>
      </c>
      <c r="CI3814" s="5" t="s">
        <v>240</v>
      </c>
      <c r="CL3814" s="6" t="s">
        <v>261</v>
      </c>
      <c r="CM3814" s="5" t="s">
        <v>240</v>
      </c>
      <c r="CN3814" s="5" t="s">
        <v>263</v>
      </c>
      <c r="CO3814" s="5" t="s">
        <v>240</v>
      </c>
      <c r="CP3814" s="5" t="s">
        <v>240</v>
      </c>
      <c r="CQ3814" s="5">
        <v>0</v>
      </c>
      <c r="CR3814" s="5" t="s">
        <v>306</v>
      </c>
      <c r="CS3814" s="5" t="s">
        <v>307</v>
      </c>
      <c r="CT3814" s="5" t="s">
        <v>307</v>
      </c>
      <c r="CU3814" s="5" t="s">
        <v>260</v>
      </c>
      <c r="CX3814" s="7">
        <f>19354681</f>
        <v>19354681</v>
      </c>
      <c r="CY3814" s="7">
        <f>0</f>
        <v>0</v>
      </c>
      <c r="DA3814" s="7">
        <f>0</f>
        <v>0</v>
      </c>
      <c r="DC3814" s="5" t="s">
        <v>450</v>
      </c>
      <c r="DD3814" s="5" t="s">
        <v>240</v>
      </c>
      <c r="DF3814" s="5" t="s">
        <v>450</v>
      </c>
      <c r="DG3814" s="7">
        <f>0</f>
        <v>0</v>
      </c>
      <c r="DI3814" s="5" t="s">
        <v>240</v>
      </c>
      <c r="DJ3814" s="5" t="s">
        <v>240</v>
      </c>
      <c r="DK3814" s="5" t="s">
        <v>240</v>
      </c>
      <c r="DL3814" s="5" t="s">
        <v>240</v>
      </c>
      <c r="DP3814" s="5" t="s">
        <v>240</v>
      </c>
      <c r="DQ3814" s="5" t="s">
        <v>240</v>
      </c>
      <c r="DR3814" s="5" t="s">
        <v>240</v>
      </c>
      <c r="DS3814" s="5" t="s">
        <v>240</v>
      </c>
      <c r="DV3814" s="5" t="s">
        <v>310</v>
      </c>
      <c r="DW3814" s="5" t="s">
        <v>2494</v>
      </c>
      <c r="HO3814" s="5" t="s">
        <v>312</v>
      </c>
    </row>
    <row r="3815" spans="1:240" x14ac:dyDescent="0.4">
      <c r="A3815" s="5">
        <v>9357</v>
      </c>
      <c r="B3815" s="5">
        <v>1</v>
      </c>
      <c r="C3815" s="5">
        <v>1</v>
      </c>
      <c r="D3815" s="5" t="s">
        <v>723</v>
      </c>
      <c r="E3815" s="5" t="s">
        <v>725</v>
      </c>
      <c r="F3815" s="5" t="s">
        <v>254</v>
      </c>
      <c r="G3815" s="5" t="s">
        <v>5350</v>
      </c>
      <c r="H3815" s="6" t="s">
        <v>5351</v>
      </c>
      <c r="I3815" s="5" t="s">
        <v>5349</v>
      </c>
      <c r="J3815" s="7">
        <f>1</f>
        <v>1</v>
      </c>
      <c r="K3815" s="5" t="s">
        <v>3682</v>
      </c>
      <c r="L3815" s="7">
        <f>1</f>
        <v>1</v>
      </c>
      <c r="M3815" s="7">
        <f>1</f>
        <v>1</v>
      </c>
      <c r="N3815" s="5" t="s">
        <v>242</v>
      </c>
      <c r="O3815" s="5">
        <v>1</v>
      </c>
      <c r="P3815" s="5" t="s">
        <v>294</v>
      </c>
      <c r="Q3815" s="5" t="s">
        <v>266</v>
      </c>
      <c r="R3815" s="5" t="s">
        <v>240</v>
      </c>
      <c r="S3815" s="5" t="s">
        <v>240</v>
      </c>
      <c r="T3815" s="5" t="s">
        <v>243</v>
      </c>
      <c r="U3815" s="5" t="s">
        <v>240</v>
      </c>
      <c r="V3815" s="5" t="s">
        <v>240</v>
      </c>
      <c r="Y3815" s="5" t="s">
        <v>240</v>
      </c>
      <c r="Z3815" s="6" t="s">
        <v>5283</v>
      </c>
      <c r="AB3815" s="6" t="s">
        <v>240</v>
      </c>
      <c r="AE3815" s="6" t="s">
        <v>2202</v>
      </c>
      <c r="AF3815" s="5" t="s">
        <v>248</v>
      </c>
      <c r="AG3815" s="5" t="s">
        <v>260</v>
      </c>
      <c r="AW3815" s="5" t="s">
        <v>251</v>
      </c>
      <c r="AX3815" s="5" t="s">
        <v>240</v>
      </c>
      <c r="AY3815" s="5" t="s">
        <v>253</v>
      </c>
      <c r="AZ3815" s="5" t="s">
        <v>240</v>
      </c>
      <c r="BA3815" s="5" t="s">
        <v>255</v>
      </c>
      <c r="BB3815" s="5" t="s">
        <v>240</v>
      </c>
      <c r="BD3815" s="5" t="s">
        <v>240</v>
      </c>
      <c r="BF3815" s="5" t="s">
        <v>687</v>
      </c>
      <c r="BG3815" s="6" t="s">
        <v>5283</v>
      </c>
      <c r="BH3815" s="5" t="s">
        <v>302</v>
      </c>
      <c r="BI3815" s="5" t="s">
        <v>448</v>
      </c>
      <c r="BJ3815" s="5" t="s">
        <v>240</v>
      </c>
      <c r="BK3815" s="8">
        <f>0</f>
        <v>0</v>
      </c>
      <c r="BL3815" s="7">
        <f>0</f>
        <v>0</v>
      </c>
      <c r="BM3815" s="5" t="s">
        <v>258</v>
      </c>
      <c r="BN3815" s="5" t="s">
        <v>259</v>
      </c>
      <c r="CB3815" s="5" t="s">
        <v>240</v>
      </c>
      <c r="CC3815" s="5" t="s">
        <v>240</v>
      </c>
      <c r="CG3815" s="5" t="s">
        <v>449</v>
      </c>
      <c r="CH3815" s="5" t="s">
        <v>305</v>
      </c>
      <c r="CI3815" s="5" t="s">
        <v>240</v>
      </c>
      <c r="CL3815" s="6" t="s">
        <v>261</v>
      </c>
      <c r="CM3815" s="5" t="s">
        <v>240</v>
      </c>
      <c r="CN3815" s="5" t="s">
        <v>263</v>
      </c>
      <c r="CO3815" s="5" t="s">
        <v>240</v>
      </c>
      <c r="CP3815" s="5" t="s">
        <v>240</v>
      </c>
      <c r="CQ3815" s="5">
        <v>0</v>
      </c>
      <c r="CR3815" s="5" t="s">
        <v>306</v>
      </c>
      <c r="CS3815" s="5" t="s">
        <v>307</v>
      </c>
      <c r="CT3815" s="5" t="s">
        <v>307</v>
      </c>
      <c r="CU3815" s="5" t="s">
        <v>260</v>
      </c>
      <c r="CX3815" s="7">
        <f>2597302</f>
        <v>2597302</v>
      </c>
      <c r="CY3815" s="7">
        <f>0</f>
        <v>0</v>
      </c>
      <c r="DA3815" s="7">
        <f>0</f>
        <v>0</v>
      </c>
      <c r="DC3815" s="5" t="s">
        <v>450</v>
      </c>
      <c r="DD3815" s="5" t="s">
        <v>240</v>
      </c>
      <c r="DF3815" s="5" t="s">
        <v>450</v>
      </c>
      <c r="DG3815" s="7">
        <f>1040.9</f>
        <v>1040.9000000000001</v>
      </c>
      <c r="DI3815" s="5" t="s">
        <v>240</v>
      </c>
      <c r="DJ3815" s="5" t="s">
        <v>240</v>
      </c>
      <c r="DK3815" s="5" t="s">
        <v>240</v>
      </c>
      <c r="DL3815" s="5" t="s">
        <v>240</v>
      </c>
      <c r="DP3815" s="5" t="s">
        <v>240</v>
      </c>
      <c r="DQ3815" s="5" t="s">
        <v>240</v>
      </c>
      <c r="DR3815" s="5" t="s">
        <v>240</v>
      </c>
      <c r="DS3815" s="5" t="s">
        <v>240</v>
      </c>
      <c r="DV3815" s="5" t="s">
        <v>310</v>
      </c>
      <c r="DW3815" s="5" t="s">
        <v>2492</v>
      </c>
      <c r="HO3815" s="5" t="s">
        <v>312</v>
      </c>
    </row>
    <row r="3816" spans="1:240" x14ac:dyDescent="0.4">
      <c r="A3816" s="5">
        <v>9358</v>
      </c>
      <c r="B3816" s="5">
        <v>1</v>
      </c>
      <c r="C3816" s="5">
        <v>1</v>
      </c>
      <c r="D3816" s="5" t="s">
        <v>723</v>
      </c>
      <c r="E3816" s="5" t="s">
        <v>725</v>
      </c>
      <c r="F3816" s="5" t="s">
        <v>254</v>
      </c>
      <c r="G3816" s="5" t="s">
        <v>6249</v>
      </c>
      <c r="H3816" s="6" t="s">
        <v>6250</v>
      </c>
      <c r="I3816" s="5" t="s">
        <v>6248</v>
      </c>
      <c r="J3816" s="7">
        <f>1</f>
        <v>1</v>
      </c>
      <c r="K3816" s="5" t="s">
        <v>3682</v>
      </c>
      <c r="L3816" s="7">
        <f>1</f>
        <v>1</v>
      </c>
      <c r="M3816" s="7">
        <f>1</f>
        <v>1</v>
      </c>
      <c r="N3816" s="5" t="s">
        <v>242</v>
      </c>
      <c r="O3816" s="5">
        <v>1</v>
      </c>
      <c r="P3816" s="5" t="s">
        <v>294</v>
      </c>
      <c r="Q3816" s="5" t="s">
        <v>266</v>
      </c>
      <c r="R3816" s="5" t="s">
        <v>240</v>
      </c>
      <c r="S3816" s="5" t="s">
        <v>240</v>
      </c>
      <c r="T3816" s="5" t="s">
        <v>243</v>
      </c>
      <c r="U3816" s="5" t="s">
        <v>240</v>
      </c>
      <c r="V3816" s="5" t="s">
        <v>240</v>
      </c>
      <c r="Y3816" s="5" t="s">
        <v>240</v>
      </c>
      <c r="Z3816" s="6" t="s">
        <v>6728</v>
      </c>
      <c r="AB3816" s="6" t="s">
        <v>240</v>
      </c>
      <c r="AE3816" s="6" t="s">
        <v>299</v>
      </c>
      <c r="AF3816" s="5" t="s">
        <v>248</v>
      </c>
      <c r="AG3816" s="5" t="s">
        <v>249</v>
      </c>
      <c r="AW3816" s="5" t="s">
        <v>251</v>
      </c>
      <c r="AX3816" s="5" t="s">
        <v>240</v>
      </c>
      <c r="AY3816" s="5" t="s">
        <v>253</v>
      </c>
      <c r="AZ3816" s="5" t="s">
        <v>240</v>
      </c>
      <c r="BA3816" s="5" t="s">
        <v>255</v>
      </c>
      <c r="BB3816" s="5" t="s">
        <v>240</v>
      </c>
      <c r="BD3816" s="5" t="s">
        <v>240</v>
      </c>
      <c r="BF3816" s="5" t="s">
        <v>301</v>
      </c>
      <c r="BG3816" s="6" t="s">
        <v>6728</v>
      </c>
      <c r="BH3816" s="5" t="s">
        <v>302</v>
      </c>
      <c r="BI3816" s="5" t="s">
        <v>6608</v>
      </c>
      <c r="BJ3816" s="5" t="s">
        <v>240</v>
      </c>
      <c r="BK3816" s="8">
        <f>0</f>
        <v>0</v>
      </c>
      <c r="BL3816" s="7">
        <f>0</f>
        <v>0</v>
      </c>
      <c r="BM3816" s="5" t="s">
        <v>258</v>
      </c>
      <c r="BN3816" s="5" t="s">
        <v>259</v>
      </c>
      <c r="CB3816" s="5" t="s">
        <v>240</v>
      </c>
      <c r="CC3816" s="5" t="s">
        <v>240</v>
      </c>
      <c r="CG3816" s="5" t="s">
        <v>449</v>
      </c>
      <c r="CH3816" s="5" t="s">
        <v>305</v>
      </c>
      <c r="CI3816" s="5" t="s">
        <v>240</v>
      </c>
      <c r="CL3816" s="6" t="s">
        <v>261</v>
      </c>
      <c r="CM3816" s="5" t="s">
        <v>240</v>
      </c>
      <c r="CN3816" s="5" t="s">
        <v>263</v>
      </c>
      <c r="CO3816" s="5" t="s">
        <v>240</v>
      </c>
      <c r="CP3816" s="5" t="s">
        <v>240</v>
      </c>
      <c r="CQ3816" s="5">
        <v>0</v>
      </c>
      <c r="CR3816" s="5" t="s">
        <v>306</v>
      </c>
      <c r="CS3816" s="5" t="s">
        <v>307</v>
      </c>
      <c r="CT3816" s="5" t="s">
        <v>307</v>
      </c>
      <c r="CU3816" s="5" t="s">
        <v>260</v>
      </c>
      <c r="CX3816" s="7">
        <f>1436400</f>
        <v>1436400</v>
      </c>
      <c r="CY3816" s="7">
        <f>0</f>
        <v>0</v>
      </c>
      <c r="DA3816" s="7">
        <f>0</f>
        <v>0</v>
      </c>
      <c r="DC3816" s="5" t="s">
        <v>450</v>
      </c>
      <c r="DD3816" s="5" t="s">
        <v>240</v>
      </c>
      <c r="DF3816" s="5" t="s">
        <v>450</v>
      </c>
      <c r="DG3816" s="7">
        <f>0</f>
        <v>0</v>
      </c>
      <c r="DI3816" s="5" t="s">
        <v>240</v>
      </c>
      <c r="DJ3816" s="5" t="s">
        <v>240</v>
      </c>
      <c r="DK3816" s="5" t="s">
        <v>240</v>
      </c>
      <c r="DL3816" s="5" t="s">
        <v>240</v>
      </c>
      <c r="DP3816" s="5" t="s">
        <v>240</v>
      </c>
      <c r="DQ3816" s="5" t="s">
        <v>240</v>
      </c>
      <c r="DR3816" s="5" t="s">
        <v>240</v>
      </c>
      <c r="DS3816" s="5" t="s">
        <v>240</v>
      </c>
      <c r="DV3816" s="5" t="s">
        <v>310</v>
      </c>
      <c r="DW3816" s="5" t="s">
        <v>2328</v>
      </c>
      <c r="HO3816" s="5" t="s">
        <v>312</v>
      </c>
    </row>
    <row r="3817" spans="1:240" x14ac:dyDescent="0.4">
      <c r="A3817" s="5">
        <v>9359</v>
      </c>
      <c r="B3817" s="5">
        <v>1</v>
      </c>
      <c r="C3817" s="5">
        <v>1</v>
      </c>
      <c r="D3817" s="5" t="s">
        <v>723</v>
      </c>
      <c r="E3817" s="5" t="s">
        <v>725</v>
      </c>
      <c r="F3817" s="5" t="s">
        <v>254</v>
      </c>
      <c r="G3817" s="5" t="s">
        <v>726</v>
      </c>
      <c r="H3817" s="6" t="s">
        <v>5347</v>
      </c>
      <c r="I3817" s="5" t="s">
        <v>5346</v>
      </c>
      <c r="J3817" s="7">
        <f>1</f>
        <v>1</v>
      </c>
      <c r="K3817" s="5" t="s">
        <v>3682</v>
      </c>
      <c r="L3817" s="7">
        <f>1</f>
        <v>1</v>
      </c>
      <c r="M3817" s="7">
        <f>1</f>
        <v>1</v>
      </c>
      <c r="N3817" s="5" t="s">
        <v>242</v>
      </c>
      <c r="O3817" s="5">
        <v>1</v>
      </c>
      <c r="P3817" s="5" t="s">
        <v>294</v>
      </c>
      <c r="Q3817" s="5" t="s">
        <v>266</v>
      </c>
      <c r="R3817" s="5" t="s">
        <v>240</v>
      </c>
      <c r="S3817" s="5" t="s">
        <v>240</v>
      </c>
      <c r="T3817" s="5" t="s">
        <v>243</v>
      </c>
      <c r="U3817" s="5" t="s">
        <v>240</v>
      </c>
      <c r="V3817" s="5" t="s">
        <v>240</v>
      </c>
      <c r="Y3817" s="5" t="s">
        <v>240</v>
      </c>
      <c r="Z3817" s="6" t="s">
        <v>4616</v>
      </c>
      <c r="AB3817" s="6" t="s">
        <v>240</v>
      </c>
      <c r="AE3817" s="6" t="s">
        <v>299</v>
      </c>
      <c r="AF3817" s="5" t="s">
        <v>248</v>
      </c>
      <c r="AG3817" s="5" t="s">
        <v>260</v>
      </c>
      <c r="AW3817" s="5" t="s">
        <v>251</v>
      </c>
      <c r="AX3817" s="5" t="s">
        <v>240</v>
      </c>
      <c r="AY3817" s="5" t="s">
        <v>253</v>
      </c>
      <c r="AZ3817" s="5" t="s">
        <v>240</v>
      </c>
      <c r="BA3817" s="5" t="s">
        <v>255</v>
      </c>
      <c r="BB3817" s="5" t="s">
        <v>240</v>
      </c>
      <c r="BD3817" s="5" t="s">
        <v>240</v>
      </c>
      <c r="BF3817" s="5" t="s">
        <v>301</v>
      </c>
      <c r="BG3817" s="6" t="s">
        <v>4616</v>
      </c>
      <c r="BH3817" s="5" t="s">
        <v>302</v>
      </c>
      <c r="BI3817" s="5" t="s">
        <v>6608</v>
      </c>
      <c r="BJ3817" s="5" t="s">
        <v>240</v>
      </c>
      <c r="BK3817" s="8">
        <f>0</f>
        <v>0</v>
      </c>
      <c r="BL3817" s="7">
        <f>0</f>
        <v>0</v>
      </c>
      <c r="BM3817" s="5" t="s">
        <v>258</v>
      </c>
      <c r="BN3817" s="5" t="s">
        <v>259</v>
      </c>
      <c r="CB3817" s="5" t="s">
        <v>240</v>
      </c>
      <c r="CC3817" s="5" t="s">
        <v>240</v>
      </c>
      <c r="CG3817" s="5" t="s">
        <v>449</v>
      </c>
      <c r="CH3817" s="5" t="s">
        <v>305</v>
      </c>
      <c r="CI3817" s="5" t="s">
        <v>240</v>
      </c>
      <c r="CL3817" s="6" t="s">
        <v>261</v>
      </c>
      <c r="CM3817" s="5" t="s">
        <v>240</v>
      </c>
      <c r="CN3817" s="5" t="s">
        <v>263</v>
      </c>
      <c r="CO3817" s="5" t="s">
        <v>240</v>
      </c>
      <c r="CP3817" s="5" t="s">
        <v>240</v>
      </c>
      <c r="CQ3817" s="5">
        <v>0</v>
      </c>
      <c r="CR3817" s="5" t="s">
        <v>306</v>
      </c>
      <c r="CS3817" s="5" t="s">
        <v>307</v>
      </c>
      <c r="CT3817" s="5" t="s">
        <v>307</v>
      </c>
      <c r="CU3817" s="5" t="s">
        <v>260</v>
      </c>
      <c r="CX3817" s="7">
        <f>8321705</f>
        <v>8321705</v>
      </c>
      <c r="CY3817" s="7">
        <f>0</f>
        <v>0</v>
      </c>
      <c r="DA3817" s="7">
        <f>0</f>
        <v>0</v>
      </c>
      <c r="DC3817" s="5" t="s">
        <v>450</v>
      </c>
      <c r="DD3817" s="5" t="s">
        <v>240</v>
      </c>
      <c r="DF3817" s="5" t="s">
        <v>450</v>
      </c>
      <c r="DG3817" s="7">
        <f>0</f>
        <v>0</v>
      </c>
      <c r="DI3817" s="5" t="s">
        <v>240</v>
      </c>
      <c r="DJ3817" s="5" t="s">
        <v>240</v>
      </c>
      <c r="DK3817" s="5" t="s">
        <v>240</v>
      </c>
      <c r="DL3817" s="5" t="s">
        <v>240</v>
      </c>
      <c r="DP3817" s="5" t="s">
        <v>240</v>
      </c>
      <c r="DQ3817" s="5" t="s">
        <v>240</v>
      </c>
      <c r="DR3817" s="5" t="s">
        <v>240</v>
      </c>
      <c r="DS3817" s="5" t="s">
        <v>240</v>
      </c>
      <c r="DV3817" s="5" t="s">
        <v>6693</v>
      </c>
      <c r="DW3817" s="5" t="s">
        <v>312</v>
      </c>
      <c r="HO3817" s="5" t="s">
        <v>312</v>
      </c>
    </row>
    <row r="3818" spans="1:240" x14ac:dyDescent="0.4">
      <c r="A3818" s="5">
        <v>9360</v>
      </c>
      <c r="B3818" s="5">
        <v>1</v>
      </c>
      <c r="C3818" s="5">
        <v>1</v>
      </c>
      <c r="D3818" s="5" t="s">
        <v>723</v>
      </c>
      <c r="E3818" s="5" t="s">
        <v>725</v>
      </c>
      <c r="F3818" s="5" t="s">
        <v>254</v>
      </c>
      <c r="G3818" s="5" t="s">
        <v>726</v>
      </c>
      <c r="H3818" s="6" t="s">
        <v>5345</v>
      </c>
      <c r="I3818" s="5" t="s">
        <v>5344</v>
      </c>
      <c r="J3818" s="7">
        <f>1</f>
        <v>1</v>
      </c>
      <c r="K3818" s="5" t="s">
        <v>3682</v>
      </c>
      <c r="L3818" s="7">
        <f>1</f>
        <v>1</v>
      </c>
      <c r="M3818" s="7">
        <f>1</f>
        <v>1</v>
      </c>
      <c r="N3818" s="5" t="s">
        <v>242</v>
      </c>
      <c r="O3818" s="5">
        <v>1</v>
      </c>
      <c r="P3818" s="5" t="s">
        <v>294</v>
      </c>
      <c r="Q3818" s="5" t="s">
        <v>266</v>
      </c>
      <c r="R3818" s="5" t="s">
        <v>240</v>
      </c>
      <c r="S3818" s="5" t="s">
        <v>240</v>
      </c>
      <c r="T3818" s="5" t="s">
        <v>243</v>
      </c>
      <c r="U3818" s="5" t="s">
        <v>240</v>
      </c>
      <c r="V3818" s="5" t="s">
        <v>240</v>
      </c>
      <c r="Y3818" s="5" t="s">
        <v>240</v>
      </c>
      <c r="Z3818" s="6" t="s">
        <v>5139</v>
      </c>
      <c r="AB3818" s="6" t="s">
        <v>240</v>
      </c>
      <c r="AE3818" s="6" t="s">
        <v>6489</v>
      </c>
      <c r="AF3818" s="5" t="s">
        <v>248</v>
      </c>
      <c r="AG3818" s="5" t="s">
        <v>260</v>
      </c>
      <c r="AW3818" s="5" t="s">
        <v>251</v>
      </c>
      <c r="AX3818" s="5" t="s">
        <v>240</v>
      </c>
      <c r="AY3818" s="5" t="s">
        <v>253</v>
      </c>
      <c r="AZ3818" s="5" t="s">
        <v>240</v>
      </c>
      <c r="BA3818" s="5" t="s">
        <v>255</v>
      </c>
      <c r="BB3818" s="5" t="s">
        <v>240</v>
      </c>
      <c r="BD3818" s="5" t="s">
        <v>240</v>
      </c>
      <c r="BF3818" s="5" t="s">
        <v>447</v>
      </c>
      <c r="BG3818" s="6" t="s">
        <v>5139</v>
      </c>
      <c r="BH3818" s="5" t="s">
        <v>302</v>
      </c>
      <c r="BI3818" s="5" t="s">
        <v>448</v>
      </c>
      <c r="BJ3818" s="5" t="s">
        <v>240</v>
      </c>
      <c r="BK3818" s="8">
        <f>0</f>
        <v>0</v>
      </c>
      <c r="BL3818" s="7">
        <f>0</f>
        <v>0</v>
      </c>
      <c r="BM3818" s="5" t="s">
        <v>258</v>
      </c>
      <c r="BN3818" s="5" t="s">
        <v>259</v>
      </c>
      <c r="CB3818" s="5" t="s">
        <v>240</v>
      </c>
      <c r="CC3818" s="5" t="s">
        <v>240</v>
      </c>
      <c r="CG3818" s="5" t="s">
        <v>449</v>
      </c>
      <c r="CH3818" s="5" t="s">
        <v>305</v>
      </c>
      <c r="CI3818" s="5" t="s">
        <v>240</v>
      </c>
      <c r="CL3818" s="6" t="s">
        <v>261</v>
      </c>
      <c r="CM3818" s="5" t="s">
        <v>240</v>
      </c>
      <c r="CN3818" s="5" t="s">
        <v>263</v>
      </c>
      <c r="CO3818" s="5" t="s">
        <v>240</v>
      </c>
      <c r="CP3818" s="5" t="s">
        <v>240</v>
      </c>
      <c r="CQ3818" s="5">
        <v>0</v>
      </c>
      <c r="CR3818" s="5" t="s">
        <v>306</v>
      </c>
      <c r="CS3818" s="5" t="s">
        <v>307</v>
      </c>
      <c r="CT3818" s="5" t="s">
        <v>307</v>
      </c>
      <c r="CU3818" s="5" t="s">
        <v>260</v>
      </c>
      <c r="CX3818" s="7">
        <f>1552440</f>
        <v>1552440</v>
      </c>
      <c r="CY3818" s="7">
        <f>0</f>
        <v>0</v>
      </c>
      <c r="DA3818" s="7">
        <f>0</f>
        <v>0</v>
      </c>
      <c r="DC3818" s="5" t="s">
        <v>450</v>
      </c>
      <c r="DD3818" s="5" t="s">
        <v>240</v>
      </c>
      <c r="DF3818" s="5" t="s">
        <v>450</v>
      </c>
      <c r="DG3818" s="7">
        <f>0</f>
        <v>0</v>
      </c>
      <c r="DI3818" s="5" t="s">
        <v>240</v>
      </c>
      <c r="DJ3818" s="5" t="s">
        <v>240</v>
      </c>
      <c r="DK3818" s="5" t="s">
        <v>240</v>
      </c>
      <c r="DL3818" s="5" t="s">
        <v>240</v>
      </c>
      <c r="DP3818" s="5" t="s">
        <v>240</v>
      </c>
      <c r="DQ3818" s="5" t="s">
        <v>240</v>
      </c>
      <c r="DR3818" s="5" t="s">
        <v>240</v>
      </c>
      <c r="DS3818" s="5" t="s">
        <v>240</v>
      </c>
      <c r="DV3818" s="5" t="s">
        <v>310</v>
      </c>
      <c r="DW3818" s="5" t="s">
        <v>2490</v>
      </c>
      <c r="HO3818" s="5" t="s">
        <v>312</v>
      </c>
    </row>
    <row r="3819" spans="1:240" x14ac:dyDescent="0.4">
      <c r="A3819" s="5">
        <v>9361</v>
      </c>
      <c r="B3819" s="5">
        <v>1</v>
      </c>
      <c r="C3819" s="5">
        <v>1</v>
      </c>
      <c r="D3819" s="5" t="s">
        <v>723</v>
      </c>
      <c r="E3819" s="5" t="s">
        <v>725</v>
      </c>
      <c r="F3819" s="5" t="s">
        <v>254</v>
      </c>
      <c r="G3819" s="5" t="s">
        <v>726</v>
      </c>
      <c r="H3819" s="6" t="s">
        <v>5343</v>
      </c>
      <c r="I3819" s="5" t="s">
        <v>5342</v>
      </c>
      <c r="J3819" s="7">
        <f>1</f>
        <v>1</v>
      </c>
      <c r="K3819" s="5" t="s">
        <v>3682</v>
      </c>
      <c r="L3819" s="7">
        <f>1</f>
        <v>1</v>
      </c>
      <c r="M3819" s="7">
        <f>1</f>
        <v>1</v>
      </c>
      <c r="N3819" s="5" t="s">
        <v>242</v>
      </c>
      <c r="O3819" s="5">
        <v>1</v>
      </c>
      <c r="P3819" s="5" t="s">
        <v>294</v>
      </c>
      <c r="Q3819" s="5" t="s">
        <v>266</v>
      </c>
      <c r="R3819" s="5" t="s">
        <v>240</v>
      </c>
      <c r="S3819" s="5" t="s">
        <v>240</v>
      </c>
      <c r="T3819" s="5" t="s">
        <v>243</v>
      </c>
      <c r="U3819" s="5" t="s">
        <v>240</v>
      </c>
      <c r="V3819" s="5" t="s">
        <v>240</v>
      </c>
      <c r="Y3819" s="5" t="s">
        <v>240</v>
      </c>
      <c r="Z3819" s="6" t="s">
        <v>6184</v>
      </c>
      <c r="AB3819" s="6" t="s">
        <v>240</v>
      </c>
      <c r="AE3819" s="6" t="s">
        <v>2666</v>
      </c>
      <c r="AF3819" s="5" t="s">
        <v>248</v>
      </c>
      <c r="AG3819" s="5" t="s">
        <v>249</v>
      </c>
      <c r="AW3819" s="5" t="s">
        <v>251</v>
      </c>
      <c r="AX3819" s="5" t="s">
        <v>240</v>
      </c>
      <c r="AY3819" s="5" t="s">
        <v>253</v>
      </c>
      <c r="AZ3819" s="5" t="s">
        <v>240</v>
      </c>
      <c r="BA3819" s="5" t="s">
        <v>255</v>
      </c>
      <c r="BB3819" s="5" t="s">
        <v>240</v>
      </c>
      <c r="BD3819" s="5" t="s">
        <v>240</v>
      </c>
      <c r="BF3819" s="5" t="s">
        <v>687</v>
      </c>
      <c r="BG3819" s="6" t="s">
        <v>2666</v>
      </c>
      <c r="BH3819" s="5" t="s">
        <v>302</v>
      </c>
      <c r="BI3819" s="5" t="s">
        <v>6608</v>
      </c>
      <c r="BJ3819" s="5" t="s">
        <v>240</v>
      </c>
      <c r="BK3819" s="8">
        <f>0</f>
        <v>0</v>
      </c>
      <c r="BL3819" s="7">
        <f>0</f>
        <v>0</v>
      </c>
      <c r="BM3819" s="5" t="s">
        <v>258</v>
      </c>
      <c r="BN3819" s="5" t="s">
        <v>259</v>
      </c>
      <c r="CB3819" s="5" t="s">
        <v>240</v>
      </c>
      <c r="CC3819" s="5" t="s">
        <v>240</v>
      </c>
      <c r="CG3819" s="5" t="s">
        <v>449</v>
      </c>
      <c r="CH3819" s="5" t="s">
        <v>305</v>
      </c>
      <c r="CI3819" s="5" t="s">
        <v>240</v>
      </c>
      <c r="CL3819" s="6" t="s">
        <v>261</v>
      </c>
      <c r="CM3819" s="5" t="s">
        <v>240</v>
      </c>
      <c r="CN3819" s="5" t="s">
        <v>263</v>
      </c>
      <c r="CO3819" s="5" t="s">
        <v>240</v>
      </c>
      <c r="CP3819" s="5" t="s">
        <v>240</v>
      </c>
      <c r="CQ3819" s="5">
        <v>0</v>
      </c>
      <c r="CR3819" s="5" t="s">
        <v>306</v>
      </c>
      <c r="CS3819" s="5" t="s">
        <v>307</v>
      </c>
      <c r="CT3819" s="5" t="s">
        <v>307</v>
      </c>
      <c r="CU3819" s="5" t="s">
        <v>260</v>
      </c>
      <c r="CX3819" s="7">
        <f>2278800</f>
        <v>2278800</v>
      </c>
      <c r="CY3819" s="7">
        <f>0</f>
        <v>0</v>
      </c>
      <c r="DA3819" s="7">
        <f>0</f>
        <v>0</v>
      </c>
      <c r="DC3819" s="5" t="s">
        <v>450</v>
      </c>
      <c r="DD3819" s="5" t="s">
        <v>240</v>
      </c>
      <c r="DF3819" s="5" t="s">
        <v>450</v>
      </c>
      <c r="DG3819" s="7">
        <f>0</f>
        <v>0</v>
      </c>
      <c r="DI3819" s="5" t="s">
        <v>240</v>
      </c>
      <c r="DJ3819" s="5" t="s">
        <v>240</v>
      </c>
      <c r="DK3819" s="5" t="s">
        <v>240</v>
      </c>
      <c r="DL3819" s="5" t="s">
        <v>240</v>
      </c>
      <c r="DP3819" s="5" t="s">
        <v>240</v>
      </c>
      <c r="DQ3819" s="5" t="s">
        <v>240</v>
      </c>
      <c r="DR3819" s="5" t="s">
        <v>240</v>
      </c>
      <c r="DS3819" s="5" t="s">
        <v>240</v>
      </c>
      <c r="DV3819" s="5" t="s">
        <v>310</v>
      </c>
      <c r="DW3819" s="5" t="s">
        <v>2438</v>
      </c>
      <c r="HO3819" s="5" t="s">
        <v>312</v>
      </c>
    </row>
    <row r="3820" spans="1:240" x14ac:dyDescent="0.4">
      <c r="A3820" s="5">
        <v>9362</v>
      </c>
      <c r="B3820" s="5">
        <v>1</v>
      </c>
      <c r="C3820" s="5">
        <v>1</v>
      </c>
      <c r="D3820" s="5" t="s">
        <v>723</v>
      </c>
      <c r="E3820" s="5" t="s">
        <v>725</v>
      </c>
      <c r="F3820" s="5" t="s">
        <v>254</v>
      </c>
      <c r="G3820" s="5" t="s">
        <v>726</v>
      </c>
      <c r="H3820" s="6" t="s">
        <v>6246</v>
      </c>
      <c r="I3820" s="5" t="s">
        <v>6245</v>
      </c>
      <c r="J3820" s="7">
        <f>1</f>
        <v>1</v>
      </c>
      <c r="K3820" s="5" t="s">
        <v>3682</v>
      </c>
      <c r="L3820" s="7">
        <f>1</f>
        <v>1</v>
      </c>
      <c r="M3820" s="7">
        <f>1</f>
        <v>1</v>
      </c>
      <c r="N3820" s="5" t="s">
        <v>242</v>
      </c>
      <c r="O3820" s="5">
        <v>1</v>
      </c>
      <c r="P3820" s="5" t="s">
        <v>294</v>
      </c>
      <c r="Q3820" s="5" t="s">
        <v>266</v>
      </c>
      <c r="R3820" s="5" t="s">
        <v>240</v>
      </c>
      <c r="S3820" s="5" t="s">
        <v>240</v>
      </c>
      <c r="T3820" s="5" t="s">
        <v>243</v>
      </c>
      <c r="U3820" s="5" t="s">
        <v>240</v>
      </c>
      <c r="V3820" s="5" t="s">
        <v>240</v>
      </c>
      <c r="Y3820" s="5" t="s">
        <v>240</v>
      </c>
      <c r="Z3820" s="6" t="s">
        <v>6619</v>
      </c>
      <c r="AB3820" s="6" t="s">
        <v>240</v>
      </c>
      <c r="AE3820" s="6" t="s">
        <v>6496</v>
      </c>
      <c r="AF3820" s="5" t="s">
        <v>248</v>
      </c>
      <c r="AG3820" s="5" t="s">
        <v>260</v>
      </c>
      <c r="AW3820" s="5" t="s">
        <v>251</v>
      </c>
      <c r="AX3820" s="5" t="s">
        <v>240</v>
      </c>
      <c r="AY3820" s="5" t="s">
        <v>253</v>
      </c>
      <c r="AZ3820" s="5" t="s">
        <v>240</v>
      </c>
      <c r="BA3820" s="5" t="s">
        <v>255</v>
      </c>
      <c r="BB3820" s="5" t="s">
        <v>240</v>
      </c>
      <c r="BD3820" s="5" t="s">
        <v>240</v>
      </c>
      <c r="BF3820" s="5" t="s">
        <v>447</v>
      </c>
      <c r="BG3820" s="6" t="s">
        <v>6619</v>
      </c>
      <c r="BH3820" s="5" t="s">
        <v>302</v>
      </c>
      <c r="BI3820" s="5" t="s">
        <v>448</v>
      </c>
      <c r="BJ3820" s="5" t="s">
        <v>240</v>
      </c>
      <c r="BK3820" s="8">
        <f>0</f>
        <v>0</v>
      </c>
      <c r="BL3820" s="7">
        <f>0</f>
        <v>0</v>
      </c>
      <c r="BM3820" s="5" t="s">
        <v>258</v>
      </c>
      <c r="BN3820" s="5" t="s">
        <v>259</v>
      </c>
      <c r="CB3820" s="5" t="s">
        <v>240</v>
      </c>
      <c r="CC3820" s="5" t="s">
        <v>240</v>
      </c>
      <c r="CG3820" s="5" t="s">
        <v>449</v>
      </c>
      <c r="CH3820" s="5" t="s">
        <v>305</v>
      </c>
      <c r="CI3820" s="5" t="s">
        <v>240</v>
      </c>
      <c r="CL3820" s="6" t="s">
        <v>261</v>
      </c>
      <c r="CM3820" s="5" t="s">
        <v>240</v>
      </c>
      <c r="CN3820" s="5" t="s">
        <v>263</v>
      </c>
      <c r="CO3820" s="5" t="s">
        <v>240</v>
      </c>
      <c r="CP3820" s="5" t="s">
        <v>240</v>
      </c>
      <c r="CQ3820" s="5">
        <v>0</v>
      </c>
      <c r="CR3820" s="5" t="s">
        <v>306</v>
      </c>
      <c r="CS3820" s="5" t="s">
        <v>307</v>
      </c>
      <c r="CT3820" s="5" t="s">
        <v>307</v>
      </c>
      <c r="CU3820" s="5" t="s">
        <v>260</v>
      </c>
      <c r="CX3820" s="7">
        <f>315452</f>
        <v>315452</v>
      </c>
      <c r="CY3820" s="7">
        <f>0</f>
        <v>0</v>
      </c>
      <c r="DA3820" s="7">
        <f>0</f>
        <v>0</v>
      </c>
      <c r="DC3820" s="5" t="s">
        <v>450</v>
      </c>
      <c r="DD3820" s="5" t="s">
        <v>240</v>
      </c>
      <c r="DF3820" s="5" t="s">
        <v>450</v>
      </c>
      <c r="DG3820" s="7">
        <f>96.89</f>
        <v>96.89</v>
      </c>
      <c r="DI3820" s="5" t="s">
        <v>240</v>
      </c>
      <c r="DJ3820" s="5" t="s">
        <v>240</v>
      </c>
      <c r="DK3820" s="5" t="s">
        <v>240</v>
      </c>
      <c r="DL3820" s="5" t="s">
        <v>240</v>
      </c>
      <c r="DP3820" s="5" t="s">
        <v>240</v>
      </c>
      <c r="DQ3820" s="5" t="s">
        <v>240</v>
      </c>
      <c r="DR3820" s="5" t="s">
        <v>240</v>
      </c>
      <c r="DS3820" s="5" t="s">
        <v>240</v>
      </c>
      <c r="DV3820" s="5" t="s">
        <v>310</v>
      </c>
      <c r="DW3820" s="5" t="s">
        <v>2488</v>
      </c>
      <c r="HO3820" s="5" t="s">
        <v>312</v>
      </c>
    </row>
    <row r="3821" spans="1:240" x14ac:dyDescent="0.4">
      <c r="A3821" s="5">
        <v>9363</v>
      </c>
      <c r="B3821" s="5">
        <v>1</v>
      </c>
      <c r="C3821" s="5">
        <v>1</v>
      </c>
      <c r="D3821" s="5" t="s">
        <v>723</v>
      </c>
      <c r="E3821" s="5" t="s">
        <v>725</v>
      </c>
      <c r="F3821" s="5" t="s">
        <v>254</v>
      </c>
      <c r="G3821" s="5" t="s">
        <v>726</v>
      </c>
      <c r="H3821" s="6" t="s">
        <v>5340</v>
      </c>
      <c r="I3821" s="5" t="s">
        <v>5339</v>
      </c>
      <c r="J3821" s="7">
        <f>1</f>
        <v>1</v>
      </c>
      <c r="K3821" s="5" t="s">
        <v>3682</v>
      </c>
      <c r="L3821" s="7">
        <f>1</f>
        <v>1</v>
      </c>
      <c r="M3821" s="7">
        <f>1</f>
        <v>1</v>
      </c>
      <c r="N3821" s="5" t="s">
        <v>242</v>
      </c>
      <c r="O3821" s="5">
        <v>1</v>
      </c>
      <c r="P3821" s="5" t="s">
        <v>294</v>
      </c>
      <c r="Q3821" s="5" t="s">
        <v>613</v>
      </c>
      <c r="T3821" s="5" t="s">
        <v>243</v>
      </c>
      <c r="U3821" s="5" t="s">
        <v>244</v>
      </c>
      <c r="V3821" s="5" t="s">
        <v>240</v>
      </c>
      <c r="Y3821" s="5" t="s">
        <v>240</v>
      </c>
      <c r="Z3821" s="6" t="s">
        <v>298</v>
      </c>
      <c r="AA3821" s="6" t="s">
        <v>240</v>
      </c>
      <c r="AB3821" s="6" t="s">
        <v>240</v>
      </c>
      <c r="AC3821" s="5" t="s">
        <v>240</v>
      </c>
      <c r="AD3821" s="6" t="s">
        <v>240</v>
      </c>
      <c r="AE3821" s="6" t="s">
        <v>299</v>
      </c>
      <c r="AF3821" s="5" t="s">
        <v>248</v>
      </c>
      <c r="AG3821" s="5" t="s">
        <v>249</v>
      </c>
      <c r="AM3821" s="5" t="s">
        <v>240</v>
      </c>
      <c r="AN3821" s="5" t="s">
        <v>240</v>
      </c>
      <c r="AO3821" s="5" t="s">
        <v>240</v>
      </c>
      <c r="AP3821" s="6" t="s">
        <v>240</v>
      </c>
      <c r="AQ3821" s="6" t="s">
        <v>240</v>
      </c>
      <c r="AW3821" s="5" t="s">
        <v>251</v>
      </c>
      <c r="AX3821" s="5" t="s">
        <v>252</v>
      </c>
      <c r="AY3821" s="5" t="s">
        <v>253</v>
      </c>
      <c r="AZ3821" s="5" t="s">
        <v>6046</v>
      </c>
      <c r="BA3821" s="5" t="s">
        <v>255</v>
      </c>
      <c r="BB3821" s="5" t="s">
        <v>731</v>
      </c>
      <c r="BD3821" s="5" t="s">
        <v>686</v>
      </c>
      <c r="BF3821" s="5" t="s">
        <v>301</v>
      </c>
      <c r="BG3821" s="6" t="s">
        <v>733</v>
      </c>
      <c r="BH3821" s="5" t="s">
        <v>302</v>
      </c>
      <c r="BI3821" s="5" t="s">
        <v>303</v>
      </c>
      <c r="BJ3821" s="5" t="s">
        <v>240</v>
      </c>
      <c r="BK3821" s="8">
        <f>0</f>
        <v>0</v>
      </c>
      <c r="BL3821" s="7">
        <f>0</f>
        <v>0</v>
      </c>
      <c r="BM3821" s="5" t="s">
        <v>258</v>
      </c>
      <c r="BN3821" s="5" t="s">
        <v>259</v>
      </c>
      <c r="BW3821" s="6" t="s">
        <v>240</v>
      </c>
      <c r="BX3821" s="5" t="s">
        <v>240</v>
      </c>
      <c r="BY3821" s="5" t="s">
        <v>240</v>
      </c>
      <c r="BZ3821" s="5" t="s">
        <v>240</v>
      </c>
      <c r="CB3821" s="5" t="s">
        <v>240</v>
      </c>
      <c r="CC3821" s="5" t="s">
        <v>240</v>
      </c>
      <c r="CG3821" s="5" t="s">
        <v>617</v>
      </c>
      <c r="CH3821" s="5" t="s">
        <v>305</v>
      </c>
      <c r="CI3821" s="5" t="s">
        <v>260</v>
      </c>
      <c r="CK3821" s="5" t="s">
        <v>240</v>
      </c>
      <c r="CL3821" s="6" t="s">
        <v>261</v>
      </c>
      <c r="CM3821" s="5" t="s">
        <v>240</v>
      </c>
      <c r="CN3821" s="5" t="s">
        <v>263</v>
      </c>
      <c r="CO3821" s="5" t="s">
        <v>240</v>
      </c>
      <c r="CP3821" s="5" t="s">
        <v>240</v>
      </c>
      <c r="CQ3821" s="5">
        <v>0</v>
      </c>
      <c r="CR3821" s="5" t="s">
        <v>735</v>
      </c>
      <c r="CS3821" s="5" t="s">
        <v>307</v>
      </c>
      <c r="CT3821" s="5" t="s">
        <v>307</v>
      </c>
      <c r="CU3821" s="5" t="s">
        <v>260</v>
      </c>
      <c r="CV3821" s="5" t="s">
        <v>240</v>
      </c>
      <c r="CW3821" s="8" t="s">
        <v>240</v>
      </c>
      <c r="CX3821" s="7">
        <f>13075145</f>
        <v>13075145</v>
      </c>
      <c r="CY3821" s="7">
        <f>0</f>
        <v>0</v>
      </c>
      <c r="CZ3821" s="7" t="s">
        <v>240</v>
      </c>
      <c r="DA3821" s="7">
        <f>0</f>
        <v>0</v>
      </c>
      <c r="DB3821" s="7" t="s">
        <v>240</v>
      </c>
      <c r="DC3821" s="5" t="s">
        <v>689</v>
      </c>
      <c r="DD3821" s="5" t="s">
        <v>240</v>
      </c>
      <c r="DF3821" s="5" t="s">
        <v>689</v>
      </c>
      <c r="DG3821" s="7">
        <f>5903</f>
        <v>5903</v>
      </c>
      <c r="DH3821" s="6" t="s">
        <v>240</v>
      </c>
      <c r="DI3821" s="5" t="s">
        <v>618</v>
      </c>
      <c r="DJ3821" s="5" t="s">
        <v>240</v>
      </c>
      <c r="DK3821" s="5" t="s">
        <v>240</v>
      </c>
      <c r="DL3821" s="5" t="s">
        <v>240</v>
      </c>
      <c r="DM3821" s="5" t="s">
        <v>240</v>
      </c>
      <c r="DN3821" s="5" t="s">
        <v>240</v>
      </c>
      <c r="DO3821" s="7" t="s">
        <v>240</v>
      </c>
      <c r="DP3821" s="5" t="s">
        <v>240</v>
      </c>
      <c r="DQ3821" s="5" t="s">
        <v>248</v>
      </c>
      <c r="DR3821" s="5" t="s">
        <v>731</v>
      </c>
      <c r="DS3821" s="5" t="s">
        <v>731</v>
      </c>
      <c r="DT3821" s="5" t="s">
        <v>240</v>
      </c>
      <c r="DU3821" s="5" t="s">
        <v>240</v>
      </c>
      <c r="DV3821" s="5" t="s">
        <v>6737</v>
      </c>
      <c r="DW3821" s="5" t="s">
        <v>312</v>
      </c>
    </row>
    <row r="3822" spans="1:240" x14ac:dyDescent="0.4">
      <c r="A3822" s="5">
        <v>9364</v>
      </c>
      <c r="B3822" s="5">
        <v>1</v>
      </c>
      <c r="C3822" s="5">
        <v>1</v>
      </c>
      <c r="D3822" s="5" t="s">
        <v>723</v>
      </c>
      <c r="E3822" s="5" t="s">
        <v>725</v>
      </c>
      <c r="F3822" s="5" t="s">
        <v>254</v>
      </c>
      <c r="G3822" s="5" t="s">
        <v>726</v>
      </c>
      <c r="H3822" s="6" t="s">
        <v>5338</v>
      </c>
      <c r="I3822" s="5" t="s">
        <v>5337</v>
      </c>
      <c r="J3822" s="7">
        <f>1</f>
        <v>1</v>
      </c>
      <c r="K3822" s="5" t="s">
        <v>3682</v>
      </c>
      <c r="L3822" s="7">
        <f>1</f>
        <v>1</v>
      </c>
      <c r="M3822" s="7">
        <f>1</f>
        <v>1</v>
      </c>
      <c r="N3822" s="5" t="s">
        <v>242</v>
      </c>
      <c r="O3822" s="5">
        <v>1</v>
      </c>
      <c r="P3822" s="5" t="s">
        <v>294</v>
      </c>
      <c r="Q3822" s="5" t="s">
        <v>2097</v>
      </c>
      <c r="T3822" s="5" t="s">
        <v>296</v>
      </c>
      <c r="U3822" s="5" t="s">
        <v>244</v>
      </c>
      <c r="V3822" s="5" t="s">
        <v>240</v>
      </c>
      <c r="Y3822" s="5" t="s">
        <v>246</v>
      </c>
      <c r="Z3822" s="6" t="s">
        <v>6739</v>
      </c>
      <c r="AA3822" s="6" t="s">
        <v>240</v>
      </c>
      <c r="AB3822" s="6" t="s">
        <v>240</v>
      </c>
      <c r="AC3822" s="5" t="s">
        <v>240</v>
      </c>
      <c r="AD3822" s="6" t="s">
        <v>240</v>
      </c>
      <c r="AE3822" s="6" t="s">
        <v>6740</v>
      </c>
      <c r="AF3822" s="5" t="s">
        <v>248</v>
      </c>
      <c r="AG3822" s="5" t="s">
        <v>249</v>
      </c>
      <c r="AM3822" s="5" t="s">
        <v>240</v>
      </c>
      <c r="AN3822" s="5" t="s">
        <v>240</v>
      </c>
      <c r="AO3822" s="5" t="s">
        <v>240</v>
      </c>
      <c r="AP3822" s="6" t="s">
        <v>240</v>
      </c>
      <c r="AQ3822" s="6" t="s">
        <v>240</v>
      </c>
      <c r="AR3822" s="6" t="s">
        <v>240</v>
      </c>
      <c r="AU3822" s="5" t="s">
        <v>729</v>
      </c>
      <c r="AV3822" s="5" t="s">
        <v>729</v>
      </c>
      <c r="AW3822" s="5" t="s">
        <v>251</v>
      </c>
      <c r="AX3822" s="5" t="s">
        <v>252</v>
      </c>
      <c r="AY3822" s="5" t="s">
        <v>253</v>
      </c>
      <c r="AZ3822" s="5" t="s">
        <v>6046</v>
      </c>
      <c r="BA3822" s="5" t="s">
        <v>255</v>
      </c>
      <c r="BB3822" s="5" t="s">
        <v>731</v>
      </c>
      <c r="BD3822" s="5" t="s">
        <v>842</v>
      </c>
      <c r="BF3822" s="5" t="s">
        <v>256</v>
      </c>
      <c r="BG3822" s="6" t="s">
        <v>287</v>
      </c>
      <c r="BH3822" s="5" t="s">
        <v>6742</v>
      </c>
      <c r="BI3822" s="5" t="s">
        <v>6743</v>
      </c>
      <c r="BJ3822" s="5" t="s">
        <v>240</v>
      </c>
      <c r="BK3822" s="7">
        <f>0</f>
        <v>0</v>
      </c>
      <c r="BL3822" s="7">
        <f>433000</f>
        <v>433000</v>
      </c>
      <c r="BM3822" s="5" t="s">
        <v>258</v>
      </c>
      <c r="BN3822" s="5" t="s">
        <v>259</v>
      </c>
      <c r="BO3822" s="5" t="s">
        <v>6744</v>
      </c>
      <c r="BP3822" s="5" t="s">
        <v>6745</v>
      </c>
      <c r="BQ3822" s="5" t="s">
        <v>6746</v>
      </c>
      <c r="BR3822" s="5" t="s">
        <v>240</v>
      </c>
      <c r="BS3822" s="5" t="s">
        <v>258</v>
      </c>
      <c r="BT3822" s="5" t="s">
        <v>6747</v>
      </c>
      <c r="BU3822" s="5" t="s">
        <v>6747</v>
      </c>
      <c r="BW3822" s="6" t="s">
        <v>6748</v>
      </c>
      <c r="BX3822" s="5" t="s">
        <v>258</v>
      </c>
      <c r="BY3822" s="5" t="s">
        <v>240</v>
      </c>
      <c r="BZ3822" s="5" t="s">
        <v>240</v>
      </c>
      <c r="CA3822" s="5" t="s">
        <v>259</v>
      </c>
      <c r="CB3822" s="5" t="s">
        <v>240</v>
      </c>
      <c r="CC3822" s="5" t="s">
        <v>240</v>
      </c>
      <c r="CG3822" s="5" t="s">
        <v>240</v>
      </c>
      <c r="CH3822" s="5" t="s">
        <v>240</v>
      </c>
      <c r="CI3822" s="5" t="s">
        <v>260</v>
      </c>
      <c r="CK3822" s="5" t="s">
        <v>240</v>
      </c>
      <c r="CL3822" s="6" t="s">
        <v>261</v>
      </c>
      <c r="CM3822" s="5" t="s">
        <v>262</v>
      </c>
      <c r="CN3822" s="5" t="s">
        <v>263</v>
      </c>
      <c r="CO3822" s="5" t="s">
        <v>264</v>
      </c>
      <c r="CP3822" s="5" t="s">
        <v>240</v>
      </c>
      <c r="CQ3822" s="5">
        <v>0</v>
      </c>
      <c r="CR3822" s="5" t="s">
        <v>735</v>
      </c>
      <c r="CS3822" s="5" t="s">
        <v>307</v>
      </c>
      <c r="CT3822" s="5" t="s">
        <v>307</v>
      </c>
      <c r="CU3822" s="5" t="s">
        <v>260</v>
      </c>
      <c r="CV3822" s="5" t="s">
        <v>240</v>
      </c>
      <c r="CW3822" s="8">
        <f>5265120</f>
        <v>5265120</v>
      </c>
      <c r="CX3822" s="7">
        <f>5265120</f>
        <v>5265120</v>
      </c>
      <c r="CY3822" s="7">
        <f>0</f>
        <v>0</v>
      </c>
      <c r="CZ3822" s="7">
        <f>0</f>
        <v>0</v>
      </c>
      <c r="DA3822" s="7">
        <f>5265120</f>
        <v>5265120</v>
      </c>
      <c r="DB3822" s="7" t="s">
        <v>240</v>
      </c>
      <c r="DC3822" s="5" t="s">
        <v>240</v>
      </c>
      <c r="DD3822" s="5" t="s">
        <v>240</v>
      </c>
      <c r="DF3822" s="5" t="s">
        <v>240</v>
      </c>
      <c r="DG3822" s="7">
        <f>0</f>
        <v>0</v>
      </c>
      <c r="DH3822" s="6" t="s">
        <v>240</v>
      </c>
      <c r="DI3822" s="5" t="s">
        <v>240</v>
      </c>
      <c r="DJ3822" s="5" t="s">
        <v>240</v>
      </c>
      <c r="DK3822" s="5" t="s">
        <v>240</v>
      </c>
      <c r="DL3822" s="5" t="s">
        <v>240</v>
      </c>
      <c r="DM3822" s="5" t="s">
        <v>240</v>
      </c>
      <c r="DN3822" s="5" t="s">
        <v>240</v>
      </c>
      <c r="DO3822" s="7" t="s">
        <v>240</v>
      </c>
      <c r="DP3822" s="5" t="s">
        <v>240</v>
      </c>
      <c r="DQ3822" s="5" t="s">
        <v>248</v>
      </c>
      <c r="DR3822" s="5" t="s">
        <v>731</v>
      </c>
      <c r="DS3822" s="5" t="s">
        <v>731</v>
      </c>
      <c r="DT3822" s="5" t="s">
        <v>240</v>
      </c>
      <c r="DU3822" s="5" t="s">
        <v>240</v>
      </c>
      <c r="HR3822" s="5" t="s">
        <v>240</v>
      </c>
      <c r="HS3822" s="5" t="s">
        <v>240</v>
      </c>
      <c r="HT3822" s="5" t="s">
        <v>240</v>
      </c>
      <c r="HU3822" s="5" t="s">
        <v>240</v>
      </c>
      <c r="HV3822" s="5" t="s">
        <v>240</v>
      </c>
      <c r="HW3822" s="5" t="s">
        <v>240</v>
      </c>
      <c r="HX3822" s="5" t="s">
        <v>240</v>
      </c>
      <c r="HY3822" s="5" t="s">
        <v>240</v>
      </c>
      <c r="HZ3822" s="5" t="s">
        <v>240</v>
      </c>
      <c r="IA3822" s="5" t="s">
        <v>240</v>
      </c>
      <c r="IB3822" s="5" t="s">
        <v>240</v>
      </c>
      <c r="IC3822" s="5" t="s">
        <v>240</v>
      </c>
      <c r="ID3822" s="5" t="s">
        <v>240</v>
      </c>
      <c r="IE3822" s="5" t="s">
        <v>240</v>
      </c>
      <c r="IF3822" s="5" t="s">
        <v>240</v>
      </c>
    </row>
    <row r="3823" spans="1:240" x14ac:dyDescent="0.4">
      <c r="A3823" s="5">
        <v>9365</v>
      </c>
      <c r="B3823" s="5">
        <v>1</v>
      </c>
      <c r="C3823" s="5">
        <v>1</v>
      </c>
      <c r="D3823" s="5" t="s">
        <v>723</v>
      </c>
      <c r="E3823" s="5" t="s">
        <v>725</v>
      </c>
      <c r="F3823" s="5" t="s">
        <v>254</v>
      </c>
      <c r="G3823" s="5" t="s">
        <v>726</v>
      </c>
      <c r="H3823" s="6" t="s">
        <v>5336</v>
      </c>
      <c r="I3823" s="5" t="s">
        <v>5335</v>
      </c>
      <c r="J3823" s="7">
        <f>1</f>
        <v>1</v>
      </c>
      <c r="K3823" s="5" t="s">
        <v>3682</v>
      </c>
      <c r="L3823" s="7">
        <f>1</f>
        <v>1</v>
      </c>
      <c r="M3823" s="7">
        <f>1</f>
        <v>1</v>
      </c>
      <c r="N3823" s="5" t="s">
        <v>242</v>
      </c>
      <c r="O3823" s="5">
        <v>1</v>
      </c>
      <c r="P3823" s="5" t="s">
        <v>294</v>
      </c>
      <c r="Q3823" s="5" t="s">
        <v>613</v>
      </c>
      <c r="T3823" s="5" t="s">
        <v>243</v>
      </c>
      <c r="U3823" s="5" t="s">
        <v>244</v>
      </c>
      <c r="V3823" s="5" t="s">
        <v>240</v>
      </c>
      <c r="Y3823" s="5" t="s">
        <v>245</v>
      </c>
      <c r="Z3823" s="6" t="s">
        <v>6752</v>
      </c>
      <c r="AA3823" s="6" t="s">
        <v>240</v>
      </c>
      <c r="AB3823" s="6" t="s">
        <v>240</v>
      </c>
      <c r="AC3823" s="5" t="s">
        <v>240</v>
      </c>
      <c r="AD3823" s="6" t="s">
        <v>240</v>
      </c>
      <c r="AE3823" s="6" t="s">
        <v>6752</v>
      </c>
      <c r="AF3823" s="5" t="s">
        <v>248</v>
      </c>
      <c r="AG3823" s="5" t="s">
        <v>249</v>
      </c>
      <c r="AM3823" s="5" t="s">
        <v>240</v>
      </c>
      <c r="AN3823" s="5" t="s">
        <v>240</v>
      </c>
      <c r="AO3823" s="5" t="s">
        <v>240</v>
      </c>
      <c r="AP3823" s="6" t="s">
        <v>240</v>
      </c>
      <c r="AQ3823" s="6" t="s">
        <v>240</v>
      </c>
      <c r="AR3823" s="6" t="s">
        <v>240</v>
      </c>
      <c r="AU3823" s="5" t="s">
        <v>729</v>
      </c>
      <c r="AV3823" s="5" t="s">
        <v>729</v>
      </c>
      <c r="AW3823" s="5" t="s">
        <v>251</v>
      </c>
      <c r="AX3823" s="5" t="s">
        <v>252</v>
      </c>
      <c r="AY3823" s="5" t="s">
        <v>253</v>
      </c>
      <c r="AZ3823" s="5" t="s">
        <v>6046</v>
      </c>
      <c r="BA3823" s="5" t="s">
        <v>255</v>
      </c>
      <c r="BB3823" s="5" t="s">
        <v>731</v>
      </c>
      <c r="BD3823" s="5" t="s">
        <v>240</v>
      </c>
      <c r="BF3823" s="5" t="s">
        <v>256</v>
      </c>
      <c r="BG3823" s="6" t="s">
        <v>6752</v>
      </c>
      <c r="BH3823" s="5" t="s">
        <v>6742</v>
      </c>
      <c r="BI3823" s="5" t="s">
        <v>6743</v>
      </c>
      <c r="BJ3823" s="5" t="s">
        <v>240</v>
      </c>
      <c r="BK3823" s="7">
        <f>0</f>
        <v>0</v>
      </c>
      <c r="BL3823" s="7">
        <f>148420</f>
        <v>148420</v>
      </c>
      <c r="BM3823" s="5" t="s">
        <v>258</v>
      </c>
      <c r="BN3823" s="5" t="s">
        <v>259</v>
      </c>
      <c r="BO3823" s="5" t="s">
        <v>6744</v>
      </c>
      <c r="BP3823" s="5" t="s">
        <v>6745</v>
      </c>
      <c r="BQ3823" s="5" t="s">
        <v>6745</v>
      </c>
      <c r="BR3823" s="5" t="s">
        <v>240</v>
      </c>
      <c r="BS3823" s="5" t="s">
        <v>258</v>
      </c>
      <c r="BT3823" s="5" t="s">
        <v>6747</v>
      </c>
      <c r="BU3823" s="5" t="s">
        <v>6747</v>
      </c>
      <c r="BW3823" s="6" t="s">
        <v>6755</v>
      </c>
      <c r="BX3823" s="5" t="s">
        <v>258</v>
      </c>
      <c r="BY3823" s="5" t="s">
        <v>240</v>
      </c>
      <c r="BZ3823" s="5" t="s">
        <v>240</v>
      </c>
      <c r="CA3823" s="5" t="s">
        <v>259</v>
      </c>
      <c r="CB3823" s="5" t="s">
        <v>240</v>
      </c>
      <c r="CC3823" s="5" t="s">
        <v>240</v>
      </c>
      <c r="CG3823" s="5" t="s">
        <v>240</v>
      </c>
      <c r="CH3823" s="5" t="s">
        <v>240</v>
      </c>
      <c r="CI3823" s="5" t="s">
        <v>260</v>
      </c>
      <c r="CK3823" s="5" t="s">
        <v>240</v>
      </c>
      <c r="CL3823" s="6" t="s">
        <v>261</v>
      </c>
      <c r="CM3823" s="5" t="s">
        <v>262</v>
      </c>
      <c r="CN3823" s="5" t="s">
        <v>263</v>
      </c>
      <c r="CO3823" s="5" t="s">
        <v>264</v>
      </c>
      <c r="CP3823" s="5" t="s">
        <v>240</v>
      </c>
      <c r="CQ3823" s="5">
        <v>0</v>
      </c>
      <c r="CR3823" s="5" t="s">
        <v>735</v>
      </c>
      <c r="CS3823" s="5" t="s">
        <v>307</v>
      </c>
      <c r="CT3823" s="5" t="s">
        <v>307</v>
      </c>
      <c r="CU3823" s="5" t="s">
        <v>260</v>
      </c>
      <c r="CV3823" s="5" t="s">
        <v>240</v>
      </c>
      <c r="CW3823" s="8">
        <f>148420</f>
        <v>148420</v>
      </c>
      <c r="CX3823" s="7">
        <f>148420</f>
        <v>148420</v>
      </c>
      <c r="CY3823" s="7">
        <f>0</f>
        <v>0</v>
      </c>
      <c r="CZ3823" s="7">
        <f>0</f>
        <v>0</v>
      </c>
      <c r="DA3823" s="7">
        <f>148420</f>
        <v>148420</v>
      </c>
      <c r="DB3823" s="7" t="s">
        <v>240</v>
      </c>
      <c r="DC3823" s="5" t="s">
        <v>240</v>
      </c>
      <c r="DD3823" s="5" t="s">
        <v>240</v>
      </c>
      <c r="DF3823" s="5" t="s">
        <v>240</v>
      </c>
      <c r="DG3823" s="7">
        <f>0</f>
        <v>0</v>
      </c>
      <c r="DH3823" s="6" t="s">
        <v>240</v>
      </c>
      <c r="DI3823" s="5" t="s">
        <v>240</v>
      </c>
      <c r="DJ3823" s="5" t="s">
        <v>240</v>
      </c>
      <c r="DK3823" s="5" t="s">
        <v>240</v>
      </c>
      <c r="DL3823" s="5" t="s">
        <v>240</v>
      </c>
      <c r="DM3823" s="5" t="s">
        <v>240</v>
      </c>
      <c r="DN3823" s="5" t="s">
        <v>240</v>
      </c>
      <c r="DO3823" s="7" t="s">
        <v>240</v>
      </c>
      <c r="DP3823" s="5" t="s">
        <v>240</v>
      </c>
      <c r="DQ3823" s="5" t="s">
        <v>248</v>
      </c>
      <c r="DR3823" s="5" t="s">
        <v>731</v>
      </c>
      <c r="DS3823" s="5" t="s">
        <v>731</v>
      </c>
      <c r="DT3823" s="5" t="s">
        <v>240</v>
      </c>
      <c r="DU3823" s="5" t="s">
        <v>240</v>
      </c>
      <c r="HR3823" s="5" t="s">
        <v>240</v>
      </c>
      <c r="HS3823" s="5" t="s">
        <v>240</v>
      </c>
      <c r="HT3823" s="5" t="s">
        <v>240</v>
      </c>
      <c r="HU3823" s="5" t="s">
        <v>240</v>
      </c>
      <c r="HV3823" s="5" t="s">
        <v>240</v>
      </c>
      <c r="HW3823" s="5" t="s">
        <v>240</v>
      </c>
      <c r="HX3823" s="5" t="s">
        <v>240</v>
      </c>
      <c r="HY3823" s="5" t="s">
        <v>240</v>
      </c>
      <c r="HZ3823" s="5" t="s">
        <v>240</v>
      </c>
      <c r="IA3823" s="5" t="s">
        <v>240</v>
      </c>
      <c r="IB3823" s="5" t="s">
        <v>240</v>
      </c>
      <c r="IC3823" s="5" t="s">
        <v>240</v>
      </c>
      <c r="ID3823" s="5" t="s">
        <v>240</v>
      </c>
      <c r="IE3823" s="5" t="s">
        <v>240</v>
      </c>
      <c r="IF3823" s="5" t="s">
        <v>240</v>
      </c>
    </row>
    <row r="3824" spans="1:240" x14ac:dyDescent="0.4">
      <c r="A3824" s="5">
        <v>9366</v>
      </c>
      <c r="B3824" s="5">
        <v>1</v>
      </c>
      <c r="C3824" s="5">
        <v>1</v>
      </c>
      <c r="D3824" s="5" t="s">
        <v>723</v>
      </c>
      <c r="E3824" s="5" t="s">
        <v>725</v>
      </c>
      <c r="F3824" s="5" t="s">
        <v>254</v>
      </c>
      <c r="G3824" s="5" t="s">
        <v>6242</v>
      </c>
      <c r="H3824" s="6" t="s">
        <v>6243</v>
      </c>
      <c r="I3824" s="5" t="s">
        <v>6241</v>
      </c>
      <c r="J3824" s="7">
        <f>1</f>
        <v>1</v>
      </c>
      <c r="K3824" s="5" t="s">
        <v>3682</v>
      </c>
      <c r="L3824" s="7">
        <f>1</f>
        <v>1</v>
      </c>
      <c r="M3824" s="7">
        <f>1</f>
        <v>1</v>
      </c>
      <c r="N3824" s="5" t="s">
        <v>242</v>
      </c>
      <c r="O3824" s="5">
        <v>1</v>
      </c>
      <c r="P3824" s="5" t="s">
        <v>294</v>
      </c>
      <c r="Q3824" s="5" t="s">
        <v>3678</v>
      </c>
      <c r="T3824" s="5" t="s">
        <v>243</v>
      </c>
      <c r="U3824" s="5" t="s">
        <v>244</v>
      </c>
      <c r="V3824" s="5" t="s">
        <v>240</v>
      </c>
      <c r="Y3824" s="5" t="s">
        <v>240</v>
      </c>
      <c r="Z3824" s="6" t="s">
        <v>298</v>
      </c>
      <c r="AA3824" s="6" t="s">
        <v>240</v>
      </c>
      <c r="AB3824" s="6" t="s">
        <v>240</v>
      </c>
      <c r="AC3824" s="5" t="s">
        <v>240</v>
      </c>
      <c r="AD3824" s="6" t="s">
        <v>240</v>
      </c>
      <c r="AE3824" s="6" t="s">
        <v>299</v>
      </c>
      <c r="AF3824" s="5" t="s">
        <v>248</v>
      </c>
      <c r="AG3824" s="5" t="s">
        <v>249</v>
      </c>
      <c r="AM3824" s="5" t="s">
        <v>240</v>
      </c>
      <c r="AN3824" s="5" t="s">
        <v>240</v>
      </c>
      <c r="AO3824" s="5" t="s">
        <v>240</v>
      </c>
      <c r="AP3824" s="6" t="s">
        <v>240</v>
      </c>
      <c r="AQ3824" s="6" t="s">
        <v>240</v>
      </c>
      <c r="AR3824" s="6" t="s">
        <v>240</v>
      </c>
      <c r="AU3824" s="5" t="s">
        <v>729</v>
      </c>
      <c r="AV3824" s="5" t="s">
        <v>729</v>
      </c>
      <c r="AW3824" s="5" t="s">
        <v>251</v>
      </c>
      <c r="AX3824" s="5" t="s">
        <v>252</v>
      </c>
      <c r="AY3824" s="5" t="s">
        <v>253</v>
      </c>
      <c r="AZ3824" s="5" t="s">
        <v>6046</v>
      </c>
      <c r="BA3824" s="5" t="s">
        <v>255</v>
      </c>
      <c r="BB3824" s="5" t="s">
        <v>731</v>
      </c>
      <c r="BD3824" s="5" t="s">
        <v>240</v>
      </c>
      <c r="BF3824" s="5" t="s">
        <v>732</v>
      </c>
      <c r="BG3824" s="6" t="s">
        <v>733</v>
      </c>
      <c r="BH3824" s="5" t="s">
        <v>734</v>
      </c>
      <c r="BI3824" s="5" t="s">
        <v>734</v>
      </c>
      <c r="BJ3824" s="5" t="s">
        <v>240</v>
      </c>
      <c r="BK3824" s="7">
        <f>1</f>
        <v>1</v>
      </c>
      <c r="BL3824" s="7">
        <f>1</f>
        <v>1</v>
      </c>
      <c r="BM3824" s="5" t="s">
        <v>258</v>
      </c>
      <c r="BN3824" s="5" t="s">
        <v>259</v>
      </c>
      <c r="BO3824" s="5" t="s">
        <v>240</v>
      </c>
      <c r="BP3824" s="5" t="s">
        <v>240</v>
      </c>
      <c r="BQ3824" s="5" t="s">
        <v>240</v>
      </c>
      <c r="BR3824" s="5" t="s">
        <v>240</v>
      </c>
      <c r="BW3824" s="6" t="s">
        <v>240</v>
      </c>
      <c r="BX3824" s="5" t="s">
        <v>240</v>
      </c>
      <c r="BY3824" s="5" t="s">
        <v>240</v>
      </c>
      <c r="BZ3824" s="5" t="s">
        <v>240</v>
      </c>
      <c r="CA3824" s="5" t="s">
        <v>259</v>
      </c>
      <c r="CB3824" s="5" t="s">
        <v>240</v>
      </c>
      <c r="CC3824" s="5" t="s">
        <v>240</v>
      </c>
      <c r="CG3824" s="5" t="s">
        <v>304</v>
      </c>
      <c r="CH3824" s="5" t="s">
        <v>305</v>
      </c>
      <c r="CI3824" s="5" t="s">
        <v>260</v>
      </c>
      <c r="CK3824" s="5" t="s">
        <v>3681</v>
      </c>
      <c r="CL3824" s="6" t="s">
        <v>261</v>
      </c>
      <c r="CM3824" s="5" t="s">
        <v>262</v>
      </c>
      <c r="CN3824" s="5" t="s">
        <v>263</v>
      </c>
      <c r="CO3824" s="5" t="s">
        <v>264</v>
      </c>
      <c r="CP3824" s="5" t="s">
        <v>240</v>
      </c>
      <c r="CQ3824" s="5">
        <v>0</v>
      </c>
      <c r="CR3824" s="5" t="s">
        <v>735</v>
      </c>
      <c r="CS3824" s="5" t="s">
        <v>307</v>
      </c>
      <c r="CT3824" s="5" t="s">
        <v>307</v>
      </c>
      <c r="CU3824" s="5" t="s">
        <v>260</v>
      </c>
      <c r="CV3824" s="5" t="s">
        <v>612</v>
      </c>
      <c r="CW3824" s="8">
        <f>1</f>
        <v>1</v>
      </c>
      <c r="CX3824" s="7">
        <f>1</f>
        <v>1</v>
      </c>
      <c r="CY3824" s="7">
        <f>0</f>
        <v>0</v>
      </c>
      <c r="CZ3824" s="7" t="s">
        <v>240</v>
      </c>
      <c r="DA3824" s="7">
        <f>1</f>
        <v>1</v>
      </c>
      <c r="DB3824" s="7" t="s">
        <v>240</v>
      </c>
      <c r="DC3824" s="5" t="s">
        <v>240</v>
      </c>
      <c r="DD3824" s="5" t="s">
        <v>240</v>
      </c>
      <c r="DF3824" s="5" t="s">
        <v>240</v>
      </c>
      <c r="DG3824" s="7">
        <f>0</f>
        <v>0</v>
      </c>
      <c r="DH3824" s="6" t="s">
        <v>240</v>
      </c>
      <c r="DI3824" s="5" t="s">
        <v>240</v>
      </c>
      <c r="DJ3824" s="5" t="s">
        <v>240</v>
      </c>
      <c r="DK3824" s="5" t="s">
        <v>240</v>
      </c>
      <c r="DL3824" s="5" t="s">
        <v>240</v>
      </c>
      <c r="DM3824" s="5" t="s">
        <v>240</v>
      </c>
      <c r="DN3824" s="5" t="s">
        <v>240</v>
      </c>
      <c r="DO3824" s="7" t="s">
        <v>240</v>
      </c>
      <c r="DP3824" s="5" t="s">
        <v>240</v>
      </c>
      <c r="DQ3824" s="5" t="s">
        <v>248</v>
      </c>
      <c r="DR3824" s="5" t="s">
        <v>731</v>
      </c>
      <c r="DS3824" s="5" t="s">
        <v>731</v>
      </c>
      <c r="DT3824" s="5" t="s">
        <v>240</v>
      </c>
      <c r="DU3824" s="5" t="s">
        <v>240</v>
      </c>
      <c r="DV3824" s="5" t="s">
        <v>5063</v>
      </c>
      <c r="DW3824" s="5" t="s">
        <v>1260</v>
      </c>
      <c r="HR3824" s="5" t="s">
        <v>240</v>
      </c>
      <c r="HS3824" s="5" t="s">
        <v>240</v>
      </c>
      <c r="HT3824" s="5" t="s">
        <v>240</v>
      </c>
      <c r="HU3824" s="5" t="s">
        <v>240</v>
      </c>
      <c r="HV3824" s="5" t="s">
        <v>240</v>
      </c>
      <c r="HW3824" s="5" t="s">
        <v>240</v>
      </c>
      <c r="HX3824" s="5" t="s">
        <v>240</v>
      </c>
      <c r="HY3824" s="5" t="s">
        <v>240</v>
      </c>
      <c r="HZ3824" s="5" t="s">
        <v>240</v>
      </c>
      <c r="IA3824" s="5" t="s">
        <v>240</v>
      </c>
      <c r="IB3824" s="5" t="s">
        <v>240</v>
      </c>
      <c r="IC3824" s="5" t="s">
        <v>240</v>
      </c>
      <c r="ID3824" s="5" t="s">
        <v>240</v>
      </c>
      <c r="IE3824" s="5" t="s">
        <v>240</v>
      </c>
      <c r="IF3824" s="5" t="s">
        <v>240</v>
      </c>
    </row>
    <row r="3825" spans="1:240" x14ac:dyDescent="0.4">
      <c r="A3825" s="5">
        <v>9367</v>
      </c>
      <c r="B3825" s="5">
        <v>1</v>
      </c>
      <c r="C3825" s="5">
        <v>1</v>
      </c>
      <c r="D3825" s="5" t="s">
        <v>723</v>
      </c>
      <c r="E3825" s="5" t="s">
        <v>725</v>
      </c>
      <c r="F3825" s="5" t="s">
        <v>254</v>
      </c>
      <c r="G3825" s="5" t="s">
        <v>726</v>
      </c>
      <c r="H3825" s="6" t="s">
        <v>5333</v>
      </c>
      <c r="I3825" s="5" t="s">
        <v>5332</v>
      </c>
      <c r="J3825" s="7">
        <f>1</f>
        <v>1</v>
      </c>
      <c r="K3825" s="5" t="s">
        <v>3682</v>
      </c>
      <c r="L3825" s="7">
        <f>1</f>
        <v>1</v>
      </c>
      <c r="M3825" s="7">
        <f>1</f>
        <v>1</v>
      </c>
      <c r="N3825" s="5" t="s">
        <v>242</v>
      </c>
      <c r="O3825" s="5">
        <v>1</v>
      </c>
      <c r="P3825" s="5" t="s">
        <v>294</v>
      </c>
      <c r="Q3825" s="5" t="s">
        <v>240</v>
      </c>
      <c r="T3825" s="5" t="s">
        <v>240</v>
      </c>
      <c r="U3825" s="5" t="s">
        <v>240</v>
      </c>
      <c r="V3825" s="5" t="s">
        <v>240</v>
      </c>
      <c r="Y3825" s="5" t="s">
        <v>246</v>
      </c>
      <c r="Z3825" s="6" t="s">
        <v>6760</v>
      </c>
      <c r="AA3825" s="6" t="s">
        <v>240</v>
      </c>
      <c r="AB3825" s="6" t="s">
        <v>240</v>
      </c>
      <c r="AC3825" s="5" t="s">
        <v>240</v>
      </c>
      <c r="AD3825" s="6" t="s">
        <v>240</v>
      </c>
      <c r="AE3825" s="6" t="s">
        <v>6760</v>
      </c>
      <c r="AF3825" s="5" t="s">
        <v>248</v>
      </c>
      <c r="AG3825" s="5" t="s">
        <v>240</v>
      </c>
      <c r="AM3825" s="5" t="s">
        <v>240</v>
      </c>
      <c r="AN3825" s="5" t="s">
        <v>240</v>
      </c>
      <c r="AO3825" s="5" t="s">
        <v>240</v>
      </c>
      <c r="AP3825" s="6" t="s">
        <v>240</v>
      </c>
      <c r="AQ3825" s="6" t="s">
        <v>240</v>
      </c>
      <c r="AR3825" s="6" t="s">
        <v>240</v>
      </c>
      <c r="AU3825" s="5" t="s">
        <v>729</v>
      </c>
      <c r="AV3825" s="5" t="s">
        <v>729</v>
      </c>
      <c r="AW3825" s="5" t="s">
        <v>251</v>
      </c>
      <c r="AX3825" s="5" t="s">
        <v>252</v>
      </c>
      <c r="AY3825" s="5" t="s">
        <v>253</v>
      </c>
      <c r="AZ3825" s="5" t="s">
        <v>240</v>
      </c>
      <c r="BA3825" s="5" t="s">
        <v>255</v>
      </c>
      <c r="BB3825" s="5" t="s">
        <v>731</v>
      </c>
      <c r="BD3825" s="5" t="s">
        <v>240</v>
      </c>
      <c r="BF3825" s="5" t="s">
        <v>6763</v>
      </c>
      <c r="BG3825" s="6" t="s">
        <v>6764</v>
      </c>
      <c r="BH3825" s="5" t="s">
        <v>6742</v>
      </c>
      <c r="BI3825" s="5" t="s">
        <v>6743</v>
      </c>
      <c r="BJ3825" s="5" t="s">
        <v>240</v>
      </c>
      <c r="BK3825" s="8">
        <f>0</f>
        <v>0</v>
      </c>
      <c r="BL3825" s="7">
        <f>108000</f>
        <v>108000</v>
      </c>
      <c r="BM3825" s="5" t="s">
        <v>258</v>
      </c>
      <c r="BN3825" s="5" t="s">
        <v>259</v>
      </c>
      <c r="BO3825" s="5" t="s">
        <v>6744</v>
      </c>
      <c r="BP3825" s="5" t="s">
        <v>6745</v>
      </c>
      <c r="BQ3825" s="5" t="s">
        <v>6746</v>
      </c>
      <c r="BR3825" s="5" t="s">
        <v>240</v>
      </c>
      <c r="BS3825" s="5" t="s">
        <v>258</v>
      </c>
      <c r="BT3825" s="5" t="s">
        <v>6747</v>
      </c>
      <c r="BU3825" s="5" t="s">
        <v>6747</v>
      </c>
      <c r="BW3825" s="6" t="s">
        <v>6765</v>
      </c>
      <c r="BX3825" s="5" t="s">
        <v>258</v>
      </c>
      <c r="BY3825" s="5" t="s">
        <v>240</v>
      </c>
      <c r="BZ3825" s="5" t="s">
        <v>240</v>
      </c>
      <c r="CA3825" s="5" t="s">
        <v>259</v>
      </c>
      <c r="CB3825" s="5" t="s">
        <v>240</v>
      </c>
      <c r="CC3825" s="5" t="s">
        <v>240</v>
      </c>
      <c r="CG3825" s="5" t="s">
        <v>240</v>
      </c>
      <c r="CH3825" s="5" t="s">
        <v>240</v>
      </c>
      <c r="CI3825" s="5" t="s">
        <v>260</v>
      </c>
      <c r="CK3825" s="5" t="s">
        <v>240</v>
      </c>
      <c r="CL3825" s="6" t="s">
        <v>261</v>
      </c>
      <c r="CM3825" s="5" t="s">
        <v>262</v>
      </c>
      <c r="CN3825" s="5" t="s">
        <v>293</v>
      </c>
      <c r="CO3825" s="5" t="s">
        <v>264</v>
      </c>
      <c r="CP3825" s="5" t="s">
        <v>240</v>
      </c>
      <c r="CQ3825" s="5">
        <v>0</v>
      </c>
      <c r="CR3825" s="5" t="s">
        <v>240</v>
      </c>
      <c r="CS3825" s="5" t="s">
        <v>240</v>
      </c>
      <c r="CT3825" s="5" t="s">
        <v>240</v>
      </c>
      <c r="CU3825" s="5" t="s">
        <v>260</v>
      </c>
      <c r="CV3825" s="5" t="s">
        <v>240</v>
      </c>
      <c r="CW3825" s="8">
        <f>2859</f>
        <v>2859</v>
      </c>
      <c r="CX3825" s="7">
        <f>1071518</f>
        <v>1071518</v>
      </c>
      <c r="CY3825" s="7">
        <f>0</f>
        <v>0</v>
      </c>
      <c r="CZ3825" s="7">
        <f>0</f>
        <v>0</v>
      </c>
      <c r="DA3825" s="7">
        <f>1071518</f>
        <v>1071518</v>
      </c>
      <c r="DB3825" s="7" t="s">
        <v>240</v>
      </c>
      <c r="DC3825" s="5" t="s">
        <v>240</v>
      </c>
      <c r="DD3825" s="5" t="s">
        <v>240</v>
      </c>
      <c r="DF3825" s="5" t="s">
        <v>240</v>
      </c>
      <c r="DG3825" s="7">
        <f>0</f>
        <v>0</v>
      </c>
      <c r="DH3825" s="6" t="s">
        <v>240</v>
      </c>
      <c r="DI3825" s="5" t="s">
        <v>240</v>
      </c>
      <c r="DJ3825" s="5" t="s">
        <v>240</v>
      </c>
      <c r="DK3825" s="5" t="s">
        <v>240</v>
      </c>
      <c r="DL3825" s="5" t="s">
        <v>240</v>
      </c>
      <c r="DM3825" s="5" t="s">
        <v>240</v>
      </c>
      <c r="DN3825" s="5" t="s">
        <v>240</v>
      </c>
      <c r="DO3825" s="7" t="s">
        <v>240</v>
      </c>
      <c r="DP3825" s="5" t="s">
        <v>240</v>
      </c>
      <c r="DQ3825" s="5" t="s">
        <v>248</v>
      </c>
      <c r="DR3825" s="5" t="s">
        <v>731</v>
      </c>
      <c r="DS3825" s="5" t="s">
        <v>731</v>
      </c>
      <c r="DT3825" s="5" t="s">
        <v>240</v>
      </c>
      <c r="DU3825" s="5" t="s">
        <v>240</v>
      </c>
      <c r="GN3825" s="5" t="s">
        <v>6766</v>
      </c>
      <c r="HR3825" s="5" t="s">
        <v>240</v>
      </c>
      <c r="HS3825" s="5" t="s">
        <v>240</v>
      </c>
      <c r="HT3825" s="5" t="s">
        <v>240</v>
      </c>
      <c r="HU3825" s="5" t="s">
        <v>240</v>
      </c>
      <c r="HV3825" s="5" t="s">
        <v>240</v>
      </c>
      <c r="HW3825" s="5" t="s">
        <v>240</v>
      </c>
      <c r="HX3825" s="5" t="s">
        <v>240</v>
      </c>
      <c r="HY3825" s="5" t="s">
        <v>240</v>
      </c>
      <c r="HZ3825" s="5" t="s">
        <v>240</v>
      </c>
      <c r="IA3825" s="5" t="s">
        <v>240</v>
      </c>
      <c r="IB3825" s="5" t="s">
        <v>240</v>
      </c>
      <c r="IC3825" s="5" t="s">
        <v>240</v>
      </c>
      <c r="ID3825" s="5" t="s">
        <v>240</v>
      </c>
      <c r="IE3825" s="5" t="s">
        <v>240</v>
      </c>
      <c r="IF3825" s="5" t="s">
        <v>240</v>
      </c>
    </row>
    <row r="3826" spans="1:240" x14ac:dyDescent="0.4">
      <c r="A3826" s="5">
        <v>9368</v>
      </c>
      <c r="B3826" s="5">
        <v>1</v>
      </c>
      <c r="C3826" s="5">
        <v>1</v>
      </c>
      <c r="D3826" s="5" t="s">
        <v>723</v>
      </c>
      <c r="E3826" s="5" t="s">
        <v>725</v>
      </c>
      <c r="F3826" s="5" t="s">
        <v>254</v>
      </c>
      <c r="G3826" s="5" t="s">
        <v>726</v>
      </c>
      <c r="H3826" s="6" t="s">
        <v>5331</v>
      </c>
      <c r="I3826" s="5" t="s">
        <v>5330</v>
      </c>
      <c r="J3826" s="7">
        <f>1</f>
        <v>1</v>
      </c>
      <c r="K3826" s="5" t="s">
        <v>3682</v>
      </c>
      <c r="L3826" s="7">
        <f>1</f>
        <v>1</v>
      </c>
      <c r="M3826" s="7">
        <f>1</f>
        <v>1</v>
      </c>
      <c r="N3826" s="5" t="s">
        <v>242</v>
      </c>
      <c r="O3826" s="5">
        <v>1</v>
      </c>
      <c r="P3826" s="5" t="s">
        <v>294</v>
      </c>
      <c r="Q3826" s="5" t="s">
        <v>3678</v>
      </c>
      <c r="T3826" s="5" t="s">
        <v>243</v>
      </c>
      <c r="U3826" s="5" t="s">
        <v>244</v>
      </c>
      <c r="V3826" s="5" t="s">
        <v>240</v>
      </c>
      <c r="Y3826" s="5" t="s">
        <v>240</v>
      </c>
      <c r="Z3826" s="6" t="s">
        <v>298</v>
      </c>
      <c r="AA3826" s="6" t="s">
        <v>240</v>
      </c>
      <c r="AB3826" s="6" t="s">
        <v>240</v>
      </c>
      <c r="AC3826" s="5" t="s">
        <v>240</v>
      </c>
      <c r="AD3826" s="6" t="s">
        <v>240</v>
      </c>
      <c r="AE3826" s="6" t="s">
        <v>299</v>
      </c>
      <c r="AF3826" s="5" t="s">
        <v>248</v>
      </c>
      <c r="AG3826" s="5" t="s">
        <v>249</v>
      </c>
      <c r="AM3826" s="5" t="s">
        <v>240</v>
      </c>
      <c r="AN3826" s="5" t="s">
        <v>240</v>
      </c>
      <c r="AO3826" s="5" t="s">
        <v>240</v>
      </c>
      <c r="AP3826" s="6" t="s">
        <v>240</v>
      </c>
      <c r="AQ3826" s="6" t="s">
        <v>240</v>
      </c>
      <c r="AR3826" s="6" t="s">
        <v>240</v>
      </c>
      <c r="AU3826" s="5" t="s">
        <v>729</v>
      </c>
      <c r="AV3826" s="5" t="s">
        <v>729</v>
      </c>
      <c r="AW3826" s="5" t="s">
        <v>251</v>
      </c>
      <c r="AX3826" s="5" t="s">
        <v>252</v>
      </c>
      <c r="AY3826" s="5" t="s">
        <v>253</v>
      </c>
      <c r="AZ3826" s="5" t="s">
        <v>6046</v>
      </c>
      <c r="BA3826" s="5" t="s">
        <v>255</v>
      </c>
      <c r="BB3826" s="5" t="s">
        <v>731</v>
      </c>
      <c r="BD3826" s="5" t="s">
        <v>240</v>
      </c>
      <c r="BF3826" s="5" t="s">
        <v>732</v>
      </c>
      <c r="BG3826" s="6" t="s">
        <v>733</v>
      </c>
      <c r="BH3826" s="5" t="s">
        <v>734</v>
      </c>
      <c r="BI3826" s="5" t="s">
        <v>734</v>
      </c>
      <c r="BJ3826" s="5" t="s">
        <v>240</v>
      </c>
      <c r="BK3826" s="7">
        <f>1</f>
        <v>1</v>
      </c>
      <c r="BL3826" s="7">
        <f>1</f>
        <v>1</v>
      </c>
      <c r="BM3826" s="5" t="s">
        <v>258</v>
      </c>
      <c r="BN3826" s="5" t="s">
        <v>259</v>
      </c>
      <c r="BO3826" s="5" t="s">
        <v>240</v>
      </c>
      <c r="BP3826" s="5" t="s">
        <v>240</v>
      </c>
      <c r="BQ3826" s="5" t="s">
        <v>240</v>
      </c>
      <c r="BR3826" s="5" t="s">
        <v>240</v>
      </c>
      <c r="BW3826" s="6" t="s">
        <v>240</v>
      </c>
      <c r="BX3826" s="5" t="s">
        <v>240</v>
      </c>
      <c r="BY3826" s="5" t="s">
        <v>240</v>
      </c>
      <c r="BZ3826" s="5" t="s">
        <v>240</v>
      </c>
      <c r="CA3826" s="5" t="s">
        <v>259</v>
      </c>
      <c r="CB3826" s="5" t="s">
        <v>240</v>
      </c>
      <c r="CC3826" s="5" t="s">
        <v>240</v>
      </c>
      <c r="CG3826" s="5" t="s">
        <v>304</v>
      </c>
      <c r="CH3826" s="5" t="s">
        <v>305</v>
      </c>
      <c r="CI3826" s="5" t="s">
        <v>260</v>
      </c>
      <c r="CK3826" s="5" t="s">
        <v>3681</v>
      </c>
      <c r="CL3826" s="6" t="s">
        <v>261</v>
      </c>
      <c r="CM3826" s="5" t="s">
        <v>262</v>
      </c>
      <c r="CN3826" s="5" t="s">
        <v>263</v>
      </c>
      <c r="CO3826" s="5" t="s">
        <v>264</v>
      </c>
      <c r="CP3826" s="5" t="s">
        <v>240</v>
      </c>
      <c r="CQ3826" s="5">
        <v>0</v>
      </c>
      <c r="CR3826" s="5" t="s">
        <v>735</v>
      </c>
      <c r="CS3826" s="5" t="s">
        <v>307</v>
      </c>
      <c r="CT3826" s="5" t="s">
        <v>307</v>
      </c>
      <c r="CU3826" s="5" t="s">
        <v>260</v>
      </c>
      <c r="CV3826" s="5" t="s">
        <v>612</v>
      </c>
      <c r="CW3826" s="8">
        <f>1</f>
        <v>1</v>
      </c>
      <c r="CX3826" s="7">
        <f>1</f>
        <v>1</v>
      </c>
      <c r="CY3826" s="7">
        <f>0</f>
        <v>0</v>
      </c>
      <c r="CZ3826" s="7" t="s">
        <v>240</v>
      </c>
      <c r="DA3826" s="7">
        <f>1</f>
        <v>1</v>
      </c>
      <c r="DB3826" s="7" t="s">
        <v>240</v>
      </c>
      <c r="DC3826" s="5" t="s">
        <v>240</v>
      </c>
      <c r="DD3826" s="5" t="s">
        <v>240</v>
      </c>
      <c r="DF3826" s="5" t="s">
        <v>240</v>
      </c>
      <c r="DG3826" s="7">
        <f>0</f>
        <v>0</v>
      </c>
      <c r="DH3826" s="6" t="s">
        <v>240</v>
      </c>
      <c r="DI3826" s="5" t="s">
        <v>240</v>
      </c>
      <c r="DJ3826" s="5" t="s">
        <v>240</v>
      </c>
      <c r="DK3826" s="5" t="s">
        <v>240</v>
      </c>
      <c r="DL3826" s="5" t="s">
        <v>240</v>
      </c>
      <c r="DM3826" s="5" t="s">
        <v>240</v>
      </c>
      <c r="DN3826" s="5" t="s">
        <v>240</v>
      </c>
      <c r="DO3826" s="7" t="s">
        <v>240</v>
      </c>
      <c r="DP3826" s="5" t="s">
        <v>240</v>
      </c>
      <c r="DQ3826" s="5" t="s">
        <v>248</v>
      </c>
      <c r="DR3826" s="5" t="s">
        <v>731</v>
      </c>
      <c r="DS3826" s="5" t="s">
        <v>731</v>
      </c>
      <c r="DT3826" s="5" t="s">
        <v>240</v>
      </c>
      <c r="DU3826" s="5" t="s">
        <v>240</v>
      </c>
      <c r="DV3826" s="5" t="s">
        <v>5063</v>
      </c>
      <c r="DW3826" s="5" t="s">
        <v>620</v>
      </c>
      <c r="HR3826" s="5" t="s">
        <v>240</v>
      </c>
      <c r="HS3826" s="5" t="s">
        <v>240</v>
      </c>
      <c r="HT3826" s="5" t="s">
        <v>240</v>
      </c>
      <c r="HU3826" s="5" t="s">
        <v>240</v>
      </c>
      <c r="HV3826" s="5" t="s">
        <v>240</v>
      </c>
      <c r="HW3826" s="5" t="s">
        <v>240</v>
      </c>
      <c r="HX3826" s="5" t="s">
        <v>240</v>
      </c>
      <c r="HY3826" s="5" t="s">
        <v>240</v>
      </c>
      <c r="HZ3826" s="5" t="s">
        <v>240</v>
      </c>
      <c r="IA3826" s="5" t="s">
        <v>240</v>
      </c>
      <c r="IB3826" s="5" t="s">
        <v>240</v>
      </c>
      <c r="IC3826" s="5" t="s">
        <v>240</v>
      </c>
      <c r="ID3826" s="5" t="s">
        <v>240</v>
      </c>
      <c r="IE3826" s="5" t="s">
        <v>240</v>
      </c>
      <c r="IF3826" s="5" t="s">
        <v>240</v>
      </c>
    </row>
    <row r="3827" spans="1:240" x14ac:dyDescent="0.4">
      <c r="A3827" s="5">
        <v>9369</v>
      </c>
      <c r="B3827" s="5">
        <v>1</v>
      </c>
      <c r="C3827" s="5">
        <v>1</v>
      </c>
      <c r="D3827" s="5" t="s">
        <v>723</v>
      </c>
      <c r="E3827" s="5" t="s">
        <v>725</v>
      </c>
      <c r="F3827" s="5" t="s">
        <v>254</v>
      </c>
      <c r="G3827" s="5" t="s">
        <v>5328</v>
      </c>
      <c r="H3827" s="6" t="s">
        <v>5329</v>
      </c>
      <c r="I3827" s="5" t="s">
        <v>5327</v>
      </c>
      <c r="J3827" s="7">
        <f>1</f>
        <v>1</v>
      </c>
      <c r="K3827" s="5" t="s">
        <v>3682</v>
      </c>
      <c r="L3827" s="7">
        <f>1</f>
        <v>1</v>
      </c>
      <c r="M3827" s="7">
        <f>1</f>
        <v>1</v>
      </c>
      <c r="N3827" s="5" t="s">
        <v>242</v>
      </c>
      <c r="O3827" s="5">
        <v>1</v>
      </c>
      <c r="P3827" s="5" t="s">
        <v>294</v>
      </c>
      <c r="Q3827" s="5" t="s">
        <v>3678</v>
      </c>
      <c r="T3827" s="5" t="s">
        <v>243</v>
      </c>
      <c r="U3827" s="5" t="s">
        <v>244</v>
      </c>
      <c r="V3827" s="5" t="s">
        <v>240</v>
      </c>
      <c r="Y3827" s="5" t="s">
        <v>240</v>
      </c>
      <c r="Z3827" s="6" t="s">
        <v>298</v>
      </c>
      <c r="AA3827" s="6" t="s">
        <v>240</v>
      </c>
      <c r="AB3827" s="6" t="s">
        <v>240</v>
      </c>
      <c r="AC3827" s="5" t="s">
        <v>240</v>
      </c>
      <c r="AD3827" s="6" t="s">
        <v>240</v>
      </c>
      <c r="AE3827" s="6" t="s">
        <v>6769</v>
      </c>
      <c r="AF3827" s="5" t="s">
        <v>248</v>
      </c>
      <c r="AG3827" s="5" t="s">
        <v>249</v>
      </c>
      <c r="AM3827" s="5" t="s">
        <v>240</v>
      </c>
      <c r="AN3827" s="5" t="s">
        <v>240</v>
      </c>
      <c r="AO3827" s="5" t="s">
        <v>240</v>
      </c>
      <c r="AP3827" s="6" t="s">
        <v>240</v>
      </c>
      <c r="AQ3827" s="6" t="s">
        <v>240</v>
      </c>
      <c r="AR3827" s="6" t="s">
        <v>240</v>
      </c>
      <c r="AU3827" s="5" t="s">
        <v>729</v>
      </c>
      <c r="AV3827" s="5" t="s">
        <v>729</v>
      </c>
      <c r="AW3827" s="5" t="s">
        <v>251</v>
      </c>
      <c r="AX3827" s="5" t="s">
        <v>252</v>
      </c>
      <c r="AY3827" s="5" t="s">
        <v>253</v>
      </c>
      <c r="AZ3827" s="5" t="s">
        <v>6046</v>
      </c>
      <c r="BA3827" s="5" t="s">
        <v>255</v>
      </c>
      <c r="BB3827" s="5" t="s">
        <v>731</v>
      </c>
      <c r="BD3827" s="5" t="s">
        <v>3167</v>
      </c>
      <c r="BF3827" s="5" t="s">
        <v>732</v>
      </c>
      <c r="BG3827" s="6" t="s">
        <v>733</v>
      </c>
      <c r="BH3827" s="5" t="s">
        <v>734</v>
      </c>
      <c r="BI3827" s="5" t="s">
        <v>734</v>
      </c>
      <c r="BJ3827" s="5" t="s">
        <v>240</v>
      </c>
      <c r="BK3827" s="8">
        <f>952</f>
        <v>952</v>
      </c>
      <c r="BL3827" s="7">
        <f>39032</f>
        <v>39032</v>
      </c>
      <c r="BM3827" s="5" t="s">
        <v>258</v>
      </c>
      <c r="BN3827" s="5" t="s">
        <v>259</v>
      </c>
      <c r="BO3827" s="5" t="s">
        <v>240</v>
      </c>
      <c r="BP3827" s="5" t="s">
        <v>240</v>
      </c>
      <c r="BQ3827" s="5" t="s">
        <v>240</v>
      </c>
      <c r="BR3827" s="5" t="s">
        <v>240</v>
      </c>
      <c r="BW3827" s="6" t="s">
        <v>240</v>
      </c>
      <c r="BX3827" s="5" t="s">
        <v>240</v>
      </c>
      <c r="BY3827" s="5" t="s">
        <v>240</v>
      </c>
      <c r="BZ3827" s="5" t="s">
        <v>240</v>
      </c>
      <c r="CA3827" s="5" t="s">
        <v>259</v>
      </c>
      <c r="CB3827" s="5" t="s">
        <v>240</v>
      </c>
      <c r="CC3827" s="5" t="s">
        <v>240</v>
      </c>
      <c r="CG3827" s="5" t="s">
        <v>240</v>
      </c>
      <c r="CH3827" s="5" t="s">
        <v>240</v>
      </c>
      <c r="CI3827" s="5" t="s">
        <v>260</v>
      </c>
      <c r="CK3827" s="5" t="s">
        <v>240</v>
      </c>
      <c r="CL3827" s="6" t="s">
        <v>261</v>
      </c>
      <c r="CM3827" s="5" t="s">
        <v>262</v>
      </c>
      <c r="CN3827" s="5" t="s">
        <v>263</v>
      </c>
      <c r="CO3827" s="5" t="s">
        <v>264</v>
      </c>
      <c r="CP3827" s="5" t="s">
        <v>240</v>
      </c>
      <c r="CQ3827" s="5">
        <v>0</v>
      </c>
      <c r="CR3827" s="5" t="s">
        <v>735</v>
      </c>
      <c r="CS3827" s="5" t="s">
        <v>307</v>
      </c>
      <c r="CT3827" s="5" t="s">
        <v>307</v>
      </c>
      <c r="CU3827" s="5" t="s">
        <v>260</v>
      </c>
      <c r="CV3827" s="5" t="s">
        <v>240</v>
      </c>
      <c r="CW3827" s="8">
        <f>41</f>
        <v>41</v>
      </c>
      <c r="CX3827" s="7">
        <f>39032</f>
        <v>39032</v>
      </c>
      <c r="CY3827" s="7">
        <f>0</f>
        <v>0</v>
      </c>
      <c r="CZ3827" s="7">
        <f>0</f>
        <v>0</v>
      </c>
      <c r="DA3827" s="7">
        <f>39032</f>
        <v>39032</v>
      </c>
      <c r="DB3827" s="7" t="s">
        <v>240</v>
      </c>
      <c r="DC3827" s="5" t="s">
        <v>240</v>
      </c>
      <c r="DD3827" s="5" t="s">
        <v>240</v>
      </c>
      <c r="DF3827" s="5" t="s">
        <v>618</v>
      </c>
      <c r="DG3827" s="7">
        <f>952</f>
        <v>952</v>
      </c>
      <c r="DH3827" s="6" t="s">
        <v>240</v>
      </c>
      <c r="DI3827" s="5" t="s">
        <v>618</v>
      </c>
      <c r="DJ3827" s="5" t="s">
        <v>240</v>
      </c>
      <c r="DK3827" s="5" t="s">
        <v>240</v>
      </c>
      <c r="DL3827" s="5" t="s">
        <v>240</v>
      </c>
      <c r="DM3827" s="5" t="s">
        <v>240</v>
      </c>
      <c r="DN3827" s="5" t="s">
        <v>240</v>
      </c>
      <c r="DO3827" s="7" t="s">
        <v>240</v>
      </c>
      <c r="DP3827" s="5" t="s">
        <v>240</v>
      </c>
      <c r="DQ3827" s="5" t="s">
        <v>248</v>
      </c>
      <c r="DR3827" s="5" t="s">
        <v>731</v>
      </c>
      <c r="DS3827" s="5" t="s">
        <v>731</v>
      </c>
      <c r="DT3827" s="5" t="s">
        <v>240</v>
      </c>
      <c r="DU3827" s="5" t="s">
        <v>240</v>
      </c>
      <c r="HR3827" s="5" t="s">
        <v>240</v>
      </c>
      <c r="HS3827" s="5" t="s">
        <v>240</v>
      </c>
      <c r="HT3827" s="5" t="s">
        <v>240</v>
      </c>
      <c r="HU3827" s="5" t="s">
        <v>240</v>
      </c>
      <c r="HV3827" s="5" t="s">
        <v>240</v>
      </c>
      <c r="HW3827" s="5" t="s">
        <v>240</v>
      </c>
      <c r="HX3827" s="5" t="s">
        <v>240</v>
      </c>
      <c r="HY3827" s="5" t="s">
        <v>240</v>
      </c>
      <c r="HZ3827" s="5" t="s">
        <v>240</v>
      </c>
      <c r="IA3827" s="5" t="s">
        <v>240</v>
      </c>
      <c r="IB3827" s="5" t="s">
        <v>240</v>
      </c>
      <c r="IC3827" s="5" t="s">
        <v>240</v>
      </c>
      <c r="ID3827" s="5" t="s">
        <v>240</v>
      </c>
      <c r="IE3827" s="5" t="s">
        <v>240</v>
      </c>
      <c r="IF3827" s="5" t="s">
        <v>240</v>
      </c>
    </row>
    <row r="3828" spans="1:240" x14ac:dyDescent="0.4">
      <c r="A3828" s="5">
        <v>9370</v>
      </c>
      <c r="B3828" s="5">
        <v>1</v>
      </c>
      <c r="C3828" s="5">
        <v>1</v>
      </c>
      <c r="D3828" s="5" t="s">
        <v>723</v>
      </c>
      <c r="E3828" s="5" t="s">
        <v>725</v>
      </c>
      <c r="F3828" s="5" t="s">
        <v>254</v>
      </c>
      <c r="G3828" s="5" t="s">
        <v>5325</v>
      </c>
      <c r="H3828" s="6" t="s">
        <v>5326</v>
      </c>
      <c r="I3828" s="5" t="s">
        <v>5326</v>
      </c>
      <c r="J3828" s="7">
        <f>1</f>
        <v>1</v>
      </c>
      <c r="K3828" s="5" t="s">
        <v>3682</v>
      </c>
      <c r="L3828" s="7">
        <f>1</f>
        <v>1</v>
      </c>
      <c r="M3828" s="7">
        <f>1</f>
        <v>1</v>
      </c>
      <c r="N3828" s="5" t="s">
        <v>242</v>
      </c>
      <c r="O3828" s="5">
        <v>1</v>
      </c>
      <c r="P3828" s="5" t="s">
        <v>294</v>
      </c>
      <c r="Q3828" s="5" t="s">
        <v>2097</v>
      </c>
      <c r="T3828" s="5" t="s">
        <v>296</v>
      </c>
      <c r="U3828" s="5" t="s">
        <v>244</v>
      </c>
      <c r="V3828" s="5" t="s">
        <v>240</v>
      </c>
      <c r="Y3828" s="5" t="s">
        <v>246</v>
      </c>
      <c r="Z3828" s="6" t="s">
        <v>6773</v>
      </c>
      <c r="AA3828" s="6" t="s">
        <v>240</v>
      </c>
      <c r="AB3828" s="6" t="s">
        <v>240</v>
      </c>
      <c r="AC3828" s="5" t="s">
        <v>240</v>
      </c>
      <c r="AD3828" s="6" t="s">
        <v>240</v>
      </c>
      <c r="AE3828" s="6" t="s">
        <v>6773</v>
      </c>
      <c r="AF3828" s="5" t="s">
        <v>248</v>
      </c>
      <c r="AG3828" s="5" t="s">
        <v>249</v>
      </c>
      <c r="AM3828" s="5" t="s">
        <v>240</v>
      </c>
      <c r="AN3828" s="5" t="s">
        <v>240</v>
      </c>
      <c r="AO3828" s="5" t="s">
        <v>240</v>
      </c>
      <c r="AP3828" s="6" t="s">
        <v>240</v>
      </c>
      <c r="AQ3828" s="6" t="s">
        <v>240</v>
      </c>
      <c r="AR3828" s="6" t="s">
        <v>240</v>
      </c>
      <c r="AU3828" s="5" t="s">
        <v>729</v>
      </c>
      <c r="AV3828" s="5" t="s">
        <v>729</v>
      </c>
      <c r="AW3828" s="5" t="s">
        <v>251</v>
      </c>
      <c r="AX3828" s="5" t="s">
        <v>252</v>
      </c>
      <c r="AY3828" s="5" t="s">
        <v>253</v>
      </c>
      <c r="AZ3828" s="5" t="s">
        <v>6046</v>
      </c>
      <c r="BA3828" s="5" t="s">
        <v>255</v>
      </c>
      <c r="BB3828" s="5" t="s">
        <v>731</v>
      </c>
      <c r="BD3828" s="5" t="s">
        <v>240</v>
      </c>
      <c r="BF3828" s="5" t="s">
        <v>732</v>
      </c>
      <c r="BG3828" s="6" t="s">
        <v>6776</v>
      </c>
      <c r="BH3828" s="5" t="s">
        <v>6742</v>
      </c>
      <c r="BI3828" s="5" t="s">
        <v>6743</v>
      </c>
      <c r="BJ3828" s="5" t="s">
        <v>240</v>
      </c>
      <c r="BK3828" s="8">
        <f>0</f>
        <v>0</v>
      </c>
      <c r="BL3828" s="7">
        <f>167000</f>
        <v>167000</v>
      </c>
      <c r="BM3828" s="5" t="s">
        <v>258</v>
      </c>
      <c r="BN3828" s="5" t="s">
        <v>259</v>
      </c>
      <c r="BO3828" s="5" t="s">
        <v>6744</v>
      </c>
      <c r="BP3828" s="5" t="s">
        <v>6745</v>
      </c>
      <c r="BQ3828" s="5" t="s">
        <v>6746</v>
      </c>
      <c r="BR3828" s="5" t="s">
        <v>240</v>
      </c>
      <c r="BS3828" s="5" t="s">
        <v>258</v>
      </c>
      <c r="BT3828" s="5" t="s">
        <v>6747</v>
      </c>
      <c r="BU3828" s="5" t="s">
        <v>6747</v>
      </c>
      <c r="BW3828" s="6" t="s">
        <v>6777</v>
      </c>
      <c r="BX3828" s="5" t="s">
        <v>258</v>
      </c>
      <c r="BY3828" s="5" t="s">
        <v>240</v>
      </c>
      <c r="BZ3828" s="5" t="s">
        <v>240</v>
      </c>
      <c r="CA3828" s="5" t="s">
        <v>259</v>
      </c>
      <c r="CB3828" s="5" t="s">
        <v>240</v>
      </c>
      <c r="CC3828" s="5" t="s">
        <v>240</v>
      </c>
      <c r="CG3828" s="5" t="s">
        <v>240</v>
      </c>
      <c r="CH3828" s="5" t="s">
        <v>240</v>
      </c>
      <c r="CI3828" s="5" t="s">
        <v>260</v>
      </c>
      <c r="CK3828" s="5" t="s">
        <v>240</v>
      </c>
      <c r="CL3828" s="6" t="s">
        <v>261</v>
      </c>
      <c r="CM3828" s="5" t="s">
        <v>262</v>
      </c>
      <c r="CN3828" s="5" t="s">
        <v>263</v>
      </c>
      <c r="CO3828" s="5" t="s">
        <v>264</v>
      </c>
      <c r="CP3828" s="5" t="s">
        <v>240</v>
      </c>
      <c r="CQ3828" s="5">
        <v>0</v>
      </c>
      <c r="CR3828" s="5" t="s">
        <v>735</v>
      </c>
      <c r="CS3828" s="5" t="s">
        <v>307</v>
      </c>
      <c r="CT3828" s="5" t="s">
        <v>307</v>
      </c>
      <c r="CU3828" s="5" t="s">
        <v>260</v>
      </c>
      <c r="CV3828" s="5" t="s">
        <v>240</v>
      </c>
      <c r="CW3828" s="8">
        <f>2000</f>
        <v>2000</v>
      </c>
      <c r="CX3828" s="7">
        <f>2139060</f>
        <v>2139060</v>
      </c>
      <c r="CY3828" s="7">
        <f>0</f>
        <v>0</v>
      </c>
      <c r="CZ3828" s="7">
        <f>0</f>
        <v>0</v>
      </c>
      <c r="DA3828" s="7">
        <f>2139060</f>
        <v>2139060</v>
      </c>
      <c r="DB3828" s="7" t="s">
        <v>240</v>
      </c>
      <c r="DC3828" s="5" t="s">
        <v>240</v>
      </c>
      <c r="DD3828" s="5" t="s">
        <v>240</v>
      </c>
      <c r="DF3828" s="5" t="s">
        <v>240</v>
      </c>
      <c r="DG3828" s="7">
        <f>0</f>
        <v>0</v>
      </c>
      <c r="DH3828" s="6" t="s">
        <v>240</v>
      </c>
      <c r="DI3828" s="5" t="s">
        <v>240</v>
      </c>
      <c r="DJ3828" s="5" t="s">
        <v>240</v>
      </c>
      <c r="DK3828" s="5" t="s">
        <v>240</v>
      </c>
      <c r="DL3828" s="5" t="s">
        <v>240</v>
      </c>
      <c r="DM3828" s="5" t="s">
        <v>240</v>
      </c>
      <c r="DN3828" s="5" t="s">
        <v>240</v>
      </c>
      <c r="DO3828" s="7" t="s">
        <v>240</v>
      </c>
      <c r="DP3828" s="5" t="s">
        <v>240</v>
      </c>
      <c r="DQ3828" s="5" t="s">
        <v>248</v>
      </c>
      <c r="DR3828" s="5" t="s">
        <v>731</v>
      </c>
      <c r="DS3828" s="5" t="s">
        <v>731</v>
      </c>
      <c r="DT3828" s="5" t="s">
        <v>240</v>
      </c>
      <c r="DU3828" s="5" t="s">
        <v>240</v>
      </c>
      <c r="HR3828" s="5" t="s">
        <v>240</v>
      </c>
      <c r="HS3828" s="5" t="s">
        <v>240</v>
      </c>
      <c r="HT3828" s="5" t="s">
        <v>240</v>
      </c>
      <c r="HU3828" s="5" t="s">
        <v>240</v>
      </c>
      <c r="HV3828" s="5" t="s">
        <v>240</v>
      </c>
      <c r="HW3828" s="5" t="s">
        <v>240</v>
      </c>
      <c r="HX3828" s="5" t="s">
        <v>240</v>
      </c>
      <c r="HY3828" s="5" t="s">
        <v>240</v>
      </c>
      <c r="HZ3828" s="5" t="s">
        <v>240</v>
      </c>
      <c r="IA3828" s="5" t="s">
        <v>240</v>
      </c>
      <c r="IB3828" s="5" t="s">
        <v>240</v>
      </c>
      <c r="IC3828" s="5" t="s">
        <v>240</v>
      </c>
      <c r="ID3828" s="5" t="s">
        <v>240</v>
      </c>
      <c r="IE3828" s="5" t="s">
        <v>240</v>
      </c>
      <c r="IF3828" s="5" t="s">
        <v>240</v>
      </c>
    </row>
    <row r="3829" spans="1:240" x14ac:dyDescent="0.4">
      <c r="A3829" s="5">
        <v>9371</v>
      </c>
      <c r="B3829" s="5">
        <v>1</v>
      </c>
      <c r="C3829" s="5">
        <v>1</v>
      </c>
      <c r="D3829" s="5" t="s">
        <v>723</v>
      </c>
      <c r="E3829" s="5" t="s">
        <v>725</v>
      </c>
      <c r="F3829" s="5" t="s">
        <v>254</v>
      </c>
      <c r="G3829" s="5" t="s">
        <v>5325</v>
      </c>
      <c r="H3829" s="6" t="s">
        <v>5324</v>
      </c>
      <c r="I3829" s="5" t="s">
        <v>5324</v>
      </c>
      <c r="J3829" s="7">
        <f>1</f>
        <v>1</v>
      </c>
      <c r="K3829" s="5" t="s">
        <v>3682</v>
      </c>
      <c r="L3829" s="7">
        <f>1</f>
        <v>1</v>
      </c>
      <c r="M3829" s="7">
        <f>1</f>
        <v>1</v>
      </c>
      <c r="N3829" s="5" t="s">
        <v>242</v>
      </c>
      <c r="O3829" s="5">
        <v>1</v>
      </c>
      <c r="P3829" s="5" t="s">
        <v>294</v>
      </c>
      <c r="Q3829" s="5" t="s">
        <v>613</v>
      </c>
      <c r="T3829" s="5" t="s">
        <v>243</v>
      </c>
      <c r="U3829" s="5" t="s">
        <v>244</v>
      </c>
      <c r="V3829" s="5" t="s">
        <v>240</v>
      </c>
      <c r="Y3829" s="5" t="s">
        <v>240</v>
      </c>
      <c r="Z3829" s="6" t="s">
        <v>298</v>
      </c>
      <c r="AA3829" s="6" t="s">
        <v>240</v>
      </c>
      <c r="AB3829" s="6" t="s">
        <v>240</v>
      </c>
      <c r="AC3829" s="5" t="s">
        <v>240</v>
      </c>
      <c r="AD3829" s="6" t="s">
        <v>240</v>
      </c>
      <c r="AE3829" s="6" t="s">
        <v>299</v>
      </c>
      <c r="AF3829" s="5" t="s">
        <v>248</v>
      </c>
      <c r="AG3829" s="5" t="s">
        <v>249</v>
      </c>
      <c r="AM3829" s="5" t="s">
        <v>240</v>
      </c>
      <c r="AN3829" s="5" t="s">
        <v>240</v>
      </c>
      <c r="AO3829" s="5" t="s">
        <v>240</v>
      </c>
      <c r="AP3829" s="6" t="s">
        <v>240</v>
      </c>
      <c r="AQ3829" s="6" t="s">
        <v>240</v>
      </c>
      <c r="AW3829" s="5" t="s">
        <v>251</v>
      </c>
      <c r="AX3829" s="5" t="s">
        <v>252</v>
      </c>
      <c r="AY3829" s="5" t="s">
        <v>253</v>
      </c>
      <c r="AZ3829" s="5" t="s">
        <v>6046</v>
      </c>
      <c r="BA3829" s="5" t="s">
        <v>255</v>
      </c>
      <c r="BB3829" s="5" t="s">
        <v>731</v>
      </c>
      <c r="BD3829" s="5" t="s">
        <v>686</v>
      </c>
      <c r="BF3829" s="5" t="s">
        <v>301</v>
      </c>
      <c r="BG3829" s="6" t="s">
        <v>733</v>
      </c>
      <c r="BH3829" s="5" t="s">
        <v>302</v>
      </c>
      <c r="BI3829" s="5" t="s">
        <v>303</v>
      </c>
      <c r="BJ3829" s="5" t="s">
        <v>240</v>
      </c>
      <c r="BK3829" s="8">
        <f>0</f>
        <v>0</v>
      </c>
      <c r="BL3829" s="7">
        <f>0</f>
        <v>0</v>
      </c>
      <c r="BM3829" s="5" t="s">
        <v>258</v>
      </c>
      <c r="BN3829" s="5" t="s">
        <v>259</v>
      </c>
      <c r="BW3829" s="6" t="s">
        <v>240</v>
      </c>
      <c r="BX3829" s="5" t="s">
        <v>240</v>
      </c>
      <c r="BY3829" s="5" t="s">
        <v>240</v>
      </c>
      <c r="BZ3829" s="5" t="s">
        <v>240</v>
      </c>
      <c r="CB3829" s="5" t="s">
        <v>240</v>
      </c>
      <c r="CC3829" s="5" t="s">
        <v>240</v>
      </c>
      <c r="CG3829" s="5" t="s">
        <v>617</v>
      </c>
      <c r="CH3829" s="5" t="s">
        <v>305</v>
      </c>
      <c r="CI3829" s="5" t="s">
        <v>260</v>
      </c>
      <c r="CK3829" s="5" t="s">
        <v>240</v>
      </c>
      <c r="CL3829" s="6" t="s">
        <v>261</v>
      </c>
      <c r="CM3829" s="5" t="s">
        <v>240</v>
      </c>
      <c r="CN3829" s="5" t="s">
        <v>263</v>
      </c>
      <c r="CO3829" s="5" t="s">
        <v>240</v>
      </c>
      <c r="CP3829" s="5" t="s">
        <v>240</v>
      </c>
      <c r="CQ3829" s="5">
        <v>0</v>
      </c>
      <c r="CR3829" s="5" t="s">
        <v>735</v>
      </c>
      <c r="CS3829" s="5" t="s">
        <v>307</v>
      </c>
      <c r="CT3829" s="5" t="s">
        <v>307</v>
      </c>
      <c r="CU3829" s="5" t="s">
        <v>260</v>
      </c>
      <c r="CV3829" s="5" t="s">
        <v>240</v>
      </c>
      <c r="CW3829" s="8" t="s">
        <v>240</v>
      </c>
      <c r="CX3829" s="7">
        <f>7174385</f>
        <v>7174385</v>
      </c>
      <c r="CY3829" s="7">
        <f>0</f>
        <v>0</v>
      </c>
      <c r="CZ3829" s="7" t="s">
        <v>240</v>
      </c>
      <c r="DA3829" s="7">
        <f>0</f>
        <v>0</v>
      </c>
      <c r="DB3829" s="7" t="s">
        <v>240</v>
      </c>
      <c r="DC3829" s="5" t="s">
        <v>689</v>
      </c>
      <c r="DD3829" s="5" t="s">
        <v>240</v>
      </c>
      <c r="DF3829" s="5" t="s">
        <v>450</v>
      </c>
      <c r="DG3829" s="7">
        <f>0</f>
        <v>0</v>
      </c>
      <c r="DH3829" s="6" t="s">
        <v>240</v>
      </c>
      <c r="DI3829" s="5" t="s">
        <v>618</v>
      </c>
      <c r="DJ3829" s="5" t="s">
        <v>240</v>
      </c>
      <c r="DK3829" s="5" t="s">
        <v>240</v>
      </c>
      <c r="DL3829" s="5" t="s">
        <v>240</v>
      </c>
      <c r="DM3829" s="5" t="s">
        <v>240</v>
      </c>
      <c r="DN3829" s="5" t="s">
        <v>240</v>
      </c>
      <c r="DO3829" s="7" t="s">
        <v>240</v>
      </c>
      <c r="DP3829" s="5" t="s">
        <v>240</v>
      </c>
      <c r="DQ3829" s="5" t="s">
        <v>248</v>
      </c>
      <c r="DR3829" s="5" t="s">
        <v>731</v>
      </c>
      <c r="DS3829" s="5" t="s">
        <v>731</v>
      </c>
      <c r="DT3829" s="5" t="s">
        <v>240</v>
      </c>
      <c r="DU3829" s="5" t="s">
        <v>240</v>
      </c>
      <c r="DV3829" s="5" t="s">
        <v>6781</v>
      </c>
      <c r="DW3829" s="5" t="s">
        <v>312</v>
      </c>
    </row>
    <row r="3830" spans="1:240" x14ac:dyDescent="0.4">
      <c r="A3830" s="5">
        <v>9372</v>
      </c>
      <c r="B3830" s="5">
        <v>1</v>
      </c>
      <c r="C3830" s="5">
        <v>1</v>
      </c>
      <c r="D3830" s="5" t="s">
        <v>723</v>
      </c>
      <c r="E3830" s="5" t="s">
        <v>725</v>
      </c>
      <c r="F3830" s="5" t="s">
        <v>254</v>
      </c>
      <c r="G3830" s="5" t="s">
        <v>5957</v>
      </c>
      <c r="H3830" s="6" t="s">
        <v>5956</v>
      </c>
      <c r="I3830" s="5" t="s">
        <v>5956</v>
      </c>
      <c r="J3830" s="7">
        <f>1</f>
        <v>1</v>
      </c>
      <c r="K3830" s="5" t="s">
        <v>3682</v>
      </c>
      <c r="L3830" s="7">
        <f>1</f>
        <v>1</v>
      </c>
      <c r="M3830" s="7">
        <f>1</f>
        <v>1</v>
      </c>
      <c r="N3830" s="5" t="s">
        <v>242</v>
      </c>
      <c r="O3830" s="5">
        <v>1</v>
      </c>
      <c r="P3830" s="5" t="s">
        <v>294</v>
      </c>
      <c r="Q3830" s="5" t="s">
        <v>240</v>
      </c>
      <c r="T3830" s="5" t="s">
        <v>240</v>
      </c>
      <c r="U3830" s="5" t="s">
        <v>240</v>
      </c>
      <c r="V3830" s="5" t="s">
        <v>240</v>
      </c>
      <c r="Y3830" s="5" t="s">
        <v>246</v>
      </c>
      <c r="Z3830" s="6" t="s">
        <v>6783</v>
      </c>
      <c r="AA3830" s="6" t="s">
        <v>240</v>
      </c>
      <c r="AB3830" s="6" t="s">
        <v>240</v>
      </c>
      <c r="AC3830" s="5" t="s">
        <v>240</v>
      </c>
      <c r="AD3830" s="6" t="s">
        <v>240</v>
      </c>
      <c r="AE3830" s="6" t="s">
        <v>6783</v>
      </c>
      <c r="AF3830" s="5" t="s">
        <v>248</v>
      </c>
      <c r="AG3830" s="5" t="s">
        <v>240</v>
      </c>
      <c r="AM3830" s="5" t="s">
        <v>240</v>
      </c>
      <c r="AN3830" s="5" t="s">
        <v>240</v>
      </c>
      <c r="AO3830" s="5" t="s">
        <v>240</v>
      </c>
      <c r="AP3830" s="6" t="s">
        <v>240</v>
      </c>
      <c r="AQ3830" s="6" t="s">
        <v>240</v>
      </c>
      <c r="AR3830" s="6" t="s">
        <v>240</v>
      </c>
      <c r="AU3830" s="5" t="s">
        <v>729</v>
      </c>
      <c r="AV3830" s="5" t="s">
        <v>729</v>
      </c>
      <c r="AW3830" s="5" t="s">
        <v>251</v>
      </c>
      <c r="AX3830" s="5" t="s">
        <v>252</v>
      </c>
      <c r="AY3830" s="5" t="s">
        <v>253</v>
      </c>
      <c r="AZ3830" s="5" t="s">
        <v>240</v>
      </c>
      <c r="BA3830" s="5" t="s">
        <v>255</v>
      </c>
      <c r="BB3830" s="5" t="s">
        <v>731</v>
      </c>
      <c r="BD3830" s="5" t="s">
        <v>240</v>
      </c>
      <c r="BF3830" s="5" t="s">
        <v>6763</v>
      </c>
      <c r="BG3830" s="6" t="s">
        <v>6784</v>
      </c>
      <c r="BH3830" s="5" t="s">
        <v>6742</v>
      </c>
      <c r="BI3830" s="5" t="s">
        <v>6743</v>
      </c>
      <c r="BJ3830" s="5" t="s">
        <v>240</v>
      </c>
      <c r="BK3830" s="7">
        <f>0</f>
        <v>0</v>
      </c>
      <c r="BL3830" s="7">
        <f>576400</f>
        <v>576400</v>
      </c>
      <c r="BM3830" s="5" t="s">
        <v>258</v>
      </c>
      <c r="BN3830" s="5" t="s">
        <v>259</v>
      </c>
      <c r="BO3830" s="5" t="s">
        <v>6744</v>
      </c>
      <c r="BP3830" s="5" t="s">
        <v>6745</v>
      </c>
      <c r="BQ3830" s="5" t="s">
        <v>6746</v>
      </c>
      <c r="BR3830" s="5" t="s">
        <v>240</v>
      </c>
      <c r="BS3830" s="5" t="s">
        <v>258</v>
      </c>
      <c r="BT3830" s="5" t="s">
        <v>6747</v>
      </c>
      <c r="BU3830" s="5" t="s">
        <v>6747</v>
      </c>
      <c r="BW3830" s="6" t="s">
        <v>6785</v>
      </c>
      <c r="BX3830" s="5" t="s">
        <v>258</v>
      </c>
      <c r="BY3830" s="5" t="s">
        <v>240</v>
      </c>
      <c r="BZ3830" s="5" t="s">
        <v>240</v>
      </c>
      <c r="CA3830" s="5" t="s">
        <v>259</v>
      </c>
      <c r="CB3830" s="5" t="s">
        <v>240</v>
      </c>
      <c r="CC3830" s="5" t="s">
        <v>240</v>
      </c>
      <c r="CG3830" s="5" t="s">
        <v>240</v>
      </c>
      <c r="CH3830" s="5" t="s">
        <v>240</v>
      </c>
      <c r="CI3830" s="5" t="s">
        <v>260</v>
      </c>
      <c r="CK3830" s="5" t="s">
        <v>240</v>
      </c>
      <c r="CL3830" s="6" t="s">
        <v>261</v>
      </c>
      <c r="CM3830" s="5" t="s">
        <v>262</v>
      </c>
      <c r="CN3830" s="5" t="s">
        <v>293</v>
      </c>
      <c r="CO3830" s="5" t="s">
        <v>264</v>
      </c>
      <c r="CP3830" s="5" t="s">
        <v>240</v>
      </c>
      <c r="CQ3830" s="5">
        <v>0</v>
      </c>
      <c r="CR3830" s="5" t="s">
        <v>240</v>
      </c>
      <c r="CS3830" s="5" t="s">
        <v>240</v>
      </c>
      <c r="CT3830" s="5" t="s">
        <v>240</v>
      </c>
      <c r="CU3830" s="5" t="s">
        <v>260</v>
      </c>
      <c r="CV3830" s="5" t="s">
        <v>240</v>
      </c>
      <c r="CW3830" s="8">
        <f>576400</f>
        <v>576400</v>
      </c>
      <c r="CX3830" s="7">
        <f>576400</f>
        <v>576400</v>
      </c>
      <c r="CY3830" s="7">
        <f>0</f>
        <v>0</v>
      </c>
      <c r="CZ3830" s="7">
        <f>0</f>
        <v>0</v>
      </c>
      <c r="DA3830" s="7">
        <f>576400</f>
        <v>576400</v>
      </c>
      <c r="DB3830" s="7" t="s">
        <v>240</v>
      </c>
      <c r="DC3830" s="5" t="s">
        <v>240</v>
      </c>
      <c r="DD3830" s="5" t="s">
        <v>240</v>
      </c>
      <c r="DF3830" s="5" t="s">
        <v>240</v>
      </c>
      <c r="DG3830" s="7">
        <f>0</f>
        <v>0</v>
      </c>
      <c r="DH3830" s="6" t="s">
        <v>240</v>
      </c>
      <c r="DI3830" s="5" t="s">
        <v>240</v>
      </c>
      <c r="DJ3830" s="5" t="s">
        <v>240</v>
      </c>
      <c r="DK3830" s="5" t="s">
        <v>240</v>
      </c>
      <c r="DL3830" s="5" t="s">
        <v>240</v>
      </c>
      <c r="DM3830" s="5" t="s">
        <v>240</v>
      </c>
      <c r="DN3830" s="5" t="s">
        <v>240</v>
      </c>
      <c r="DO3830" s="7" t="s">
        <v>240</v>
      </c>
      <c r="DP3830" s="5" t="s">
        <v>240</v>
      </c>
      <c r="DQ3830" s="5" t="s">
        <v>248</v>
      </c>
      <c r="DR3830" s="5" t="s">
        <v>731</v>
      </c>
      <c r="DS3830" s="5" t="s">
        <v>731</v>
      </c>
      <c r="DT3830" s="5" t="s">
        <v>240</v>
      </c>
      <c r="DU3830" s="5" t="s">
        <v>240</v>
      </c>
      <c r="GN3830" s="5" t="s">
        <v>6786</v>
      </c>
      <c r="HR3830" s="5" t="s">
        <v>240</v>
      </c>
      <c r="HS3830" s="5" t="s">
        <v>240</v>
      </c>
      <c r="HT3830" s="5" t="s">
        <v>240</v>
      </c>
      <c r="HU3830" s="5" t="s">
        <v>240</v>
      </c>
      <c r="HV3830" s="5" t="s">
        <v>240</v>
      </c>
      <c r="HW3830" s="5" t="s">
        <v>240</v>
      </c>
      <c r="HX3830" s="5" t="s">
        <v>240</v>
      </c>
      <c r="HY3830" s="5" t="s">
        <v>240</v>
      </c>
      <c r="HZ3830" s="5" t="s">
        <v>240</v>
      </c>
      <c r="IA3830" s="5" t="s">
        <v>240</v>
      </c>
      <c r="IB3830" s="5" t="s">
        <v>240</v>
      </c>
      <c r="IC3830" s="5" t="s">
        <v>240</v>
      </c>
      <c r="ID3830" s="5" t="s">
        <v>240</v>
      </c>
      <c r="IE3830" s="5" t="s">
        <v>240</v>
      </c>
      <c r="IF3830" s="5" t="s">
        <v>240</v>
      </c>
    </row>
    <row r="3831" spans="1:240" x14ac:dyDescent="0.4">
      <c r="A3831" s="5">
        <v>9373</v>
      </c>
      <c r="B3831" s="5">
        <v>1</v>
      </c>
      <c r="C3831" s="5">
        <v>1</v>
      </c>
      <c r="D3831" s="5" t="s">
        <v>723</v>
      </c>
      <c r="E3831" s="5" t="s">
        <v>725</v>
      </c>
      <c r="F3831" s="5" t="s">
        <v>254</v>
      </c>
      <c r="G3831" s="5" t="s">
        <v>5953</v>
      </c>
      <c r="H3831" s="6" t="s">
        <v>5952</v>
      </c>
      <c r="I3831" s="5" t="s">
        <v>5952</v>
      </c>
      <c r="J3831" s="7">
        <f>1</f>
        <v>1</v>
      </c>
      <c r="K3831" s="5" t="s">
        <v>3682</v>
      </c>
      <c r="L3831" s="7">
        <f>1</f>
        <v>1</v>
      </c>
      <c r="M3831" s="7">
        <f>1</f>
        <v>1</v>
      </c>
      <c r="N3831" s="5" t="s">
        <v>242</v>
      </c>
      <c r="O3831" s="5">
        <v>1</v>
      </c>
      <c r="P3831" s="5" t="s">
        <v>294</v>
      </c>
      <c r="Q3831" s="5" t="s">
        <v>240</v>
      </c>
      <c r="T3831" s="5" t="s">
        <v>240</v>
      </c>
      <c r="U3831" s="5" t="s">
        <v>240</v>
      </c>
      <c r="V3831" s="5" t="s">
        <v>240</v>
      </c>
      <c r="Y3831" s="5" t="s">
        <v>246</v>
      </c>
      <c r="Z3831" s="6" t="s">
        <v>6788</v>
      </c>
      <c r="AA3831" s="6" t="s">
        <v>240</v>
      </c>
      <c r="AB3831" s="6" t="s">
        <v>240</v>
      </c>
      <c r="AC3831" s="5" t="s">
        <v>240</v>
      </c>
      <c r="AD3831" s="6" t="s">
        <v>240</v>
      </c>
      <c r="AE3831" s="6" t="s">
        <v>6788</v>
      </c>
      <c r="AF3831" s="5" t="s">
        <v>248</v>
      </c>
      <c r="AG3831" s="5" t="s">
        <v>240</v>
      </c>
      <c r="AM3831" s="5" t="s">
        <v>240</v>
      </c>
      <c r="AN3831" s="5" t="s">
        <v>240</v>
      </c>
      <c r="AO3831" s="5" t="s">
        <v>240</v>
      </c>
      <c r="AP3831" s="6" t="s">
        <v>240</v>
      </c>
      <c r="AQ3831" s="6" t="s">
        <v>240</v>
      </c>
      <c r="AR3831" s="6" t="s">
        <v>240</v>
      </c>
      <c r="AU3831" s="5" t="s">
        <v>729</v>
      </c>
      <c r="AV3831" s="5" t="s">
        <v>729</v>
      </c>
      <c r="AW3831" s="5" t="s">
        <v>251</v>
      </c>
      <c r="AX3831" s="5" t="s">
        <v>252</v>
      </c>
      <c r="AY3831" s="5" t="s">
        <v>253</v>
      </c>
      <c r="AZ3831" s="5" t="s">
        <v>240</v>
      </c>
      <c r="BA3831" s="5" t="s">
        <v>255</v>
      </c>
      <c r="BB3831" s="5" t="s">
        <v>731</v>
      </c>
      <c r="BD3831" s="5" t="s">
        <v>240</v>
      </c>
      <c r="BF3831" s="5" t="s">
        <v>6763</v>
      </c>
      <c r="BG3831" s="6" t="s">
        <v>6789</v>
      </c>
      <c r="BH3831" s="5" t="s">
        <v>6742</v>
      </c>
      <c r="BI3831" s="5" t="s">
        <v>6743</v>
      </c>
      <c r="BJ3831" s="5" t="s">
        <v>240</v>
      </c>
      <c r="BK3831" s="7">
        <f>0</f>
        <v>0</v>
      </c>
      <c r="BL3831" s="7">
        <f>1246300</f>
        <v>1246300</v>
      </c>
      <c r="BM3831" s="5" t="s">
        <v>258</v>
      </c>
      <c r="BN3831" s="5" t="s">
        <v>259</v>
      </c>
      <c r="BO3831" s="5" t="s">
        <v>6744</v>
      </c>
      <c r="BP3831" s="5" t="s">
        <v>6745</v>
      </c>
      <c r="BQ3831" s="5" t="s">
        <v>6746</v>
      </c>
      <c r="BR3831" s="5" t="s">
        <v>240</v>
      </c>
      <c r="BS3831" s="5" t="s">
        <v>258</v>
      </c>
      <c r="BT3831" s="5" t="s">
        <v>6747</v>
      </c>
      <c r="BU3831" s="5" t="s">
        <v>6747</v>
      </c>
      <c r="BW3831" s="6" t="s">
        <v>6790</v>
      </c>
      <c r="BX3831" s="5" t="s">
        <v>258</v>
      </c>
      <c r="BY3831" s="5" t="s">
        <v>240</v>
      </c>
      <c r="BZ3831" s="5" t="s">
        <v>240</v>
      </c>
      <c r="CA3831" s="5" t="s">
        <v>259</v>
      </c>
      <c r="CB3831" s="5" t="s">
        <v>240</v>
      </c>
      <c r="CC3831" s="5" t="s">
        <v>240</v>
      </c>
      <c r="CG3831" s="5" t="s">
        <v>240</v>
      </c>
      <c r="CH3831" s="5" t="s">
        <v>240</v>
      </c>
      <c r="CI3831" s="5" t="s">
        <v>260</v>
      </c>
      <c r="CK3831" s="5" t="s">
        <v>240</v>
      </c>
      <c r="CL3831" s="6" t="s">
        <v>261</v>
      </c>
      <c r="CM3831" s="5" t="s">
        <v>262</v>
      </c>
      <c r="CN3831" s="5" t="s">
        <v>293</v>
      </c>
      <c r="CO3831" s="5" t="s">
        <v>264</v>
      </c>
      <c r="CP3831" s="5" t="s">
        <v>240</v>
      </c>
      <c r="CQ3831" s="5">
        <v>0</v>
      </c>
      <c r="CR3831" s="5" t="s">
        <v>240</v>
      </c>
      <c r="CS3831" s="5" t="s">
        <v>240</v>
      </c>
      <c r="CT3831" s="5" t="s">
        <v>240</v>
      </c>
      <c r="CU3831" s="5" t="s">
        <v>260</v>
      </c>
      <c r="CV3831" s="5" t="s">
        <v>240</v>
      </c>
      <c r="CW3831" s="8">
        <f>1246300</f>
        <v>1246300</v>
      </c>
      <c r="CX3831" s="7">
        <f>1246300</f>
        <v>1246300</v>
      </c>
      <c r="CY3831" s="7">
        <f>0</f>
        <v>0</v>
      </c>
      <c r="CZ3831" s="7">
        <f>0</f>
        <v>0</v>
      </c>
      <c r="DA3831" s="7">
        <f>1246300</f>
        <v>1246300</v>
      </c>
      <c r="DB3831" s="7" t="s">
        <v>240</v>
      </c>
      <c r="DC3831" s="5" t="s">
        <v>240</v>
      </c>
      <c r="DD3831" s="5" t="s">
        <v>240</v>
      </c>
      <c r="DF3831" s="5" t="s">
        <v>240</v>
      </c>
      <c r="DG3831" s="7">
        <f>0</f>
        <v>0</v>
      </c>
      <c r="DH3831" s="6" t="s">
        <v>240</v>
      </c>
      <c r="DI3831" s="5" t="s">
        <v>240</v>
      </c>
      <c r="DJ3831" s="5" t="s">
        <v>240</v>
      </c>
      <c r="DK3831" s="5" t="s">
        <v>240</v>
      </c>
      <c r="DL3831" s="5" t="s">
        <v>240</v>
      </c>
      <c r="DM3831" s="5" t="s">
        <v>240</v>
      </c>
      <c r="DN3831" s="5" t="s">
        <v>240</v>
      </c>
      <c r="DO3831" s="7" t="s">
        <v>240</v>
      </c>
      <c r="DP3831" s="5" t="s">
        <v>240</v>
      </c>
      <c r="DQ3831" s="5" t="s">
        <v>248</v>
      </c>
      <c r="DR3831" s="5" t="s">
        <v>731</v>
      </c>
      <c r="DS3831" s="5" t="s">
        <v>731</v>
      </c>
      <c r="DT3831" s="5" t="s">
        <v>240</v>
      </c>
      <c r="DU3831" s="5" t="s">
        <v>240</v>
      </c>
      <c r="GN3831" s="5" t="s">
        <v>6791</v>
      </c>
      <c r="HR3831" s="5" t="s">
        <v>240</v>
      </c>
      <c r="HS3831" s="5" t="s">
        <v>240</v>
      </c>
      <c r="HT3831" s="5" t="s">
        <v>240</v>
      </c>
      <c r="HU3831" s="5" t="s">
        <v>240</v>
      </c>
      <c r="HV3831" s="5" t="s">
        <v>240</v>
      </c>
      <c r="HW3831" s="5" t="s">
        <v>240</v>
      </c>
      <c r="HX3831" s="5" t="s">
        <v>240</v>
      </c>
      <c r="HY3831" s="5" t="s">
        <v>240</v>
      </c>
      <c r="HZ3831" s="5" t="s">
        <v>240</v>
      </c>
      <c r="IA3831" s="5" t="s">
        <v>240</v>
      </c>
      <c r="IB3831" s="5" t="s">
        <v>240</v>
      </c>
      <c r="IC3831" s="5" t="s">
        <v>240</v>
      </c>
      <c r="ID3831" s="5" t="s">
        <v>240</v>
      </c>
      <c r="IE3831" s="5" t="s">
        <v>240</v>
      </c>
      <c r="IF3831" s="5" t="s">
        <v>240</v>
      </c>
    </row>
    <row r="3832" spans="1:240" x14ac:dyDescent="0.4">
      <c r="A3832" s="5">
        <v>9374</v>
      </c>
      <c r="B3832" s="5">
        <v>1</v>
      </c>
      <c r="C3832" s="5">
        <v>1</v>
      </c>
      <c r="D3832" s="5" t="s">
        <v>723</v>
      </c>
      <c r="E3832" s="5" t="s">
        <v>725</v>
      </c>
      <c r="F3832" s="5" t="s">
        <v>254</v>
      </c>
      <c r="G3832" s="5" t="s">
        <v>5950</v>
      </c>
      <c r="H3832" s="6" t="s">
        <v>5949</v>
      </c>
      <c r="I3832" s="5" t="s">
        <v>5949</v>
      </c>
      <c r="J3832" s="7">
        <f>1</f>
        <v>1</v>
      </c>
      <c r="K3832" s="5" t="s">
        <v>3682</v>
      </c>
      <c r="L3832" s="7">
        <f>1</f>
        <v>1</v>
      </c>
      <c r="M3832" s="7">
        <f>1</f>
        <v>1</v>
      </c>
      <c r="N3832" s="5" t="s">
        <v>242</v>
      </c>
      <c r="O3832" s="5">
        <v>1</v>
      </c>
      <c r="P3832" s="5" t="s">
        <v>294</v>
      </c>
      <c r="Q3832" s="5" t="s">
        <v>613</v>
      </c>
      <c r="T3832" s="5" t="s">
        <v>243</v>
      </c>
      <c r="U3832" s="5" t="s">
        <v>244</v>
      </c>
      <c r="V3832" s="5" t="s">
        <v>240</v>
      </c>
      <c r="Y3832" s="5" t="s">
        <v>240</v>
      </c>
      <c r="Z3832" s="6" t="s">
        <v>298</v>
      </c>
      <c r="AA3832" s="6" t="s">
        <v>240</v>
      </c>
      <c r="AB3832" s="6" t="s">
        <v>240</v>
      </c>
      <c r="AC3832" s="5" t="s">
        <v>240</v>
      </c>
      <c r="AD3832" s="6" t="s">
        <v>240</v>
      </c>
      <c r="AE3832" s="6" t="s">
        <v>299</v>
      </c>
      <c r="AF3832" s="5" t="s">
        <v>248</v>
      </c>
      <c r="AG3832" s="5" t="s">
        <v>249</v>
      </c>
      <c r="AM3832" s="5" t="s">
        <v>240</v>
      </c>
      <c r="AN3832" s="5" t="s">
        <v>240</v>
      </c>
      <c r="AO3832" s="5" t="s">
        <v>240</v>
      </c>
      <c r="AP3832" s="6" t="s">
        <v>240</v>
      </c>
      <c r="AQ3832" s="6" t="s">
        <v>240</v>
      </c>
      <c r="AW3832" s="5" t="s">
        <v>251</v>
      </c>
      <c r="AX3832" s="5" t="s">
        <v>252</v>
      </c>
      <c r="AY3832" s="5" t="s">
        <v>253</v>
      </c>
      <c r="AZ3832" s="5" t="s">
        <v>6046</v>
      </c>
      <c r="BA3832" s="5" t="s">
        <v>255</v>
      </c>
      <c r="BB3832" s="5" t="s">
        <v>731</v>
      </c>
      <c r="BD3832" s="5" t="s">
        <v>686</v>
      </c>
      <c r="BF3832" s="5" t="s">
        <v>301</v>
      </c>
      <c r="BG3832" s="6" t="s">
        <v>733</v>
      </c>
      <c r="BH3832" s="5" t="s">
        <v>302</v>
      </c>
      <c r="BI3832" s="5" t="s">
        <v>303</v>
      </c>
      <c r="BJ3832" s="5" t="s">
        <v>240</v>
      </c>
      <c r="BK3832" s="8">
        <f>0</f>
        <v>0</v>
      </c>
      <c r="BL3832" s="7">
        <f>0</f>
        <v>0</v>
      </c>
      <c r="BM3832" s="5" t="s">
        <v>258</v>
      </c>
      <c r="BN3832" s="5" t="s">
        <v>259</v>
      </c>
      <c r="BW3832" s="6" t="s">
        <v>240</v>
      </c>
      <c r="BX3832" s="5" t="s">
        <v>240</v>
      </c>
      <c r="BY3832" s="5" t="s">
        <v>240</v>
      </c>
      <c r="BZ3832" s="5" t="s">
        <v>240</v>
      </c>
      <c r="CB3832" s="5" t="s">
        <v>240</v>
      </c>
      <c r="CC3832" s="5" t="s">
        <v>240</v>
      </c>
      <c r="CG3832" s="5" t="s">
        <v>617</v>
      </c>
      <c r="CH3832" s="5" t="s">
        <v>305</v>
      </c>
      <c r="CI3832" s="5" t="s">
        <v>260</v>
      </c>
      <c r="CK3832" s="5" t="s">
        <v>240</v>
      </c>
      <c r="CL3832" s="6" t="s">
        <v>261</v>
      </c>
      <c r="CM3832" s="5" t="s">
        <v>240</v>
      </c>
      <c r="CN3832" s="5" t="s">
        <v>263</v>
      </c>
      <c r="CO3832" s="5" t="s">
        <v>240</v>
      </c>
      <c r="CP3832" s="5" t="s">
        <v>240</v>
      </c>
      <c r="CQ3832" s="5">
        <v>0</v>
      </c>
      <c r="CR3832" s="5" t="s">
        <v>735</v>
      </c>
      <c r="CS3832" s="5" t="s">
        <v>307</v>
      </c>
      <c r="CT3832" s="5" t="s">
        <v>307</v>
      </c>
      <c r="CU3832" s="5" t="s">
        <v>260</v>
      </c>
      <c r="CV3832" s="5" t="s">
        <v>240</v>
      </c>
      <c r="CW3832" s="8" t="s">
        <v>240</v>
      </c>
      <c r="CX3832" s="7">
        <f>2436500</f>
        <v>2436500</v>
      </c>
      <c r="CY3832" s="7">
        <f>0</f>
        <v>0</v>
      </c>
      <c r="CZ3832" s="7" t="s">
        <v>240</v>
      </c>
      <c r="DA3832" s="7">
        <f>0</f>
        <v>0</v>
      </c>
      <c r="DB3832" s="7" t="s">
        <v>240</v>
      </c>
      <c r="DC3832" s="5" t="s">
        <v>689</v>
      </c>
      <c r="DD3832" s="5" t="s">
        <v>240</v>
      </c>
      <c r="DF3832" s="5" t="s">
        <v>689</v>
      </c>
      <c r="DG3832" s="7">
        <f>1100</f>
        <v>1100</v>
      </c>
      <c r="DH3832" s="6" t="s">
        <v>6795</v>
      </c>
      <c r="DI3832" s="5" t="s">
        <v>618</v>
      </c>
      <c r="DJ3832" s="5" t="s">
        <v>240</v>
      </c>
      <c r="DK3832" s="5" t="s">
        <v>240</v>
      </c>
      <c r="DL3832" s="5" t="s">
        <v>240</v>
      </c>
      <c r="DM3832" s="5" t="s">
        <v>240</v>
      </c>
      <c r="DN3832" s="5" t="s">
        <v>240</v>
      </c>
      <c r="DO3832" s="7" t="s">
        <v>240</v>
      </c>
      <c r="DP3832" s="5" t="s">
        <v>240</v>
      </c>
      <c r="DQ3832" s="5" t="s">
        <v>248</v>
      </c>
      <c r="DR3832" s="5" t="s">
        <v>731</v>
      </c>
      <c r="DS3832" s="5" t="s">
        <v>731</v>
      </c>
      <c r="DT3832" s="5" t="s">
        <v>240</v>
      </c>
      <c r="DU3832" s="5" t="s">
        <v>240</v>
      </c>
      <c r="DV3832" s="5" t="s">
        <v>6796</v>
      </c>
      <c r="DW3832" s="5" t="s">
        <v>312</v>
      </c>
    </row>
    <row r="3833" spans="1:240" x14ac:dyDescent="0.4">
      <c r="A3833" s="5">
        <v>9375</v>
      </c>
      <c r="B3833" s="5">
        <v>1</v>
      </c>
      <c r="C3833" s="5">
        <v>1</v>
      </c>
      <c r="D3833" s="5" t="s">
        <v>723</v>
      </c>
      <c r="E3833" s="5" t="s">
        <v>725</v>
      </c>
      <c r="F3833" s="5" t="s">
        <v>254</v>
      </c>
      <c r="G3833" s="5" t="s">
        <v>5946</v>
      </c>
      <c r="H3833" s="6" t="s">
        <v>5945</v>
      </c>
      <c r="I3833" s="5" t="s">
        <v>5945</v>
      </c>
      <c r="J3833" s="7">
        <f>1</f>
        <v>1</v>
      </c>
      <c r="K3833" s="5" t="s">
        <v>3682</v>
      </c>
      <c r="L3833" s="7">
        <f>1</f>
        <v>1</v>
      </c>
      <c r="M3833" s="7">
        <f>1</f>
        <v>1</v>
      </c>
      <c r="N3833" s="5" t="s">
        <v>242</v>
      </c>
      <c r="O3833" s="5">
        <v>1</v>
      </c>
      <c r="P3833" s="5" t="s">
        <v>294</v>
      </c>
      <c r="Q3833" s="5" t="s">
        <v>613</v>
      </c>
      <c r="T3833" s="5" t="s">
        <v>296</v>
      </c>
      <c r="U3833" s="5" t="s">
        <v>244</v>
      </c>
      <c r="V3833" s="5" t="s">
        <v>240</v>
      </c>
      <c r="Y3833" s="5" t="s">
        <v>240</v>
      </c>
      <c r="Z3833" s="6" t="s">
        <v>6798</v>
      </c>
      <c r="AA3833" s="6" t="s">
        <v>240</v>
      </c>
      <c r="AB3833" s="6" t="s">
        <v>240</v>
      </c>
      <c r="AC3833" s="5" t="s">
        <v>240</v>
      </c>
      <c r="AD3833" s="6" t="s">
        <v>240</v>
      </c>
      <c r="AE3833" s="6" t="s">
        <v>240</v>
      </c>
      <c r="AF3833" s="5" t="s">
        <v>727</v>
      </c>
      <c r="AG3833" s="5" t="s">
        <v>249</v>
      </c>
      <c r="AM3833" s="5" t="s">
        <v>240</v>
      </c>
      <c r="AN3833" s="5" t="s">
        <v>240</v>
      </c>
      <c r="AO3833" s="5" t="s">
        <v>240</v>
      </c>
      <c r="AP3833" s="6" t="s">
        <v>240</v>
      </c>
      <c r="AQ3833" s="6" t="s">
        <v>240</v>
      </c>
      <c r="AR3833" s="6" t="s">
        <v>240</v>
      </c>
      <c r="AU3833" s="5" t="s">
        <v>729</v>
      </c>
      <c r="AV3833" s="5" t="s">
        <v>729</v>
      </c>
      <c r="AW3833" s="5" t="s">
        <v>251</v>
      </c>
      <c r="AX3833" s="5" t="s">
        <v>252</v>
      </c>
      <c r="AY3833" s="5" t="s">
        <v>253</v>
      </c>
      <c r="AZ3833" s="5" t="s">
        <v>6046</v>
      </c>
      <c r="BA3833" s="5" t="s">
        <v>255</v>
      </c>
      <c r="BB3833" s="5" t="s">
        <v>731</v>
      </c>
      <c r="BD3833" s="5" t="s">
        <v>240</v>
      </c>
      <c r="BF3833" s="5" t="s">
        <v>732</v>
      </c>
      <c r="BG3833" s="6" t="s">
        <v>6798</v>
      </c>
      <c r="BH3833" s="5" t="s">
        <v>6799</v>
      </c>
      <c r="BI3833" s="5" t="s">
        <v>6799</v>
      </c>
      <c r="BJ3833" s="5" t="s">
        <v>240</v>
      </c>
      <c r="BK3833" s="8">
        <f>7.56</f>
        <v>7.56</v>
      </c>
      <c r="BL3833" s="7">
        <f>0</f>
        <v>0</v>
      </c>
      <c r="BM3833" s="5" t="s">
        <v>258</v>
      </c>
      <c r="BN3833" s="5" t="s">
        <v>259</v>
      </c>
      <c r="BO3833" s="5" t="s">
        <v>240</v>
      </c>
      <c r="BP3833" s="5" t="s">
        <v>240</v>
      </c>
      <c r="BQ3833" s="5" t="s">
        <v>240</v>
      </c>
      <c r="BR3833" s="5" t="s">
        <v>240</v>
      </c>
      <c r="BW3833" s="6" t="s">
        <v>240</v>
      </c>
      <c r="BX3833" s="5" t="s">
        <v>240</v>
      </c>
      <c r="BY3833" s="5" t="s">
        <v>240</v>
      </c>
      <c r="BZ3833" s="5" t="s">
        <v>240</v>
      </c>
      <c r="CA3833" s="5" t="s">
        <v>259</v>
      </c>
      <c r="CB3833" s="5" t="s">
        <v>240</v>
      </c>
      <c r="CC3833" s="5" t="s">
        <v>240</v>
      </c>
      <c r="CG3833" s="5" t="s">
        <v>240</v>
      </c>
      <c r="CH3833" s="5" t="s">
        <v>240</v>
      </c>
      <c r="CI3833" s="5" t="s">
        <v>260</v>
      </c>
      <c r="CK3833" s="5" t="s">
        <v>240</v>
      </c>
      <c r="CL3833" s="6" t="s">
        <v>261</v>
      </c>
      <c r="CM3833" s="5" t="s">
        <v>262</v>
      </c>
      <c r="CN3833" s="5" t="s">
        <v>293</v>
      </c>
      <c r="CO3833" s="5" t="s">
        <v>264</v>
      </c>
      <c r="CP3833" s="5" t="s">
        <v>240</v>
      </c>
      <c r="CQ3833" s="5">
        <v>0</v>
      </c>
      <c r="CR3833" s="5" t="s">
        <v>735</v>
      </c>
      <c r="CS3833" s="5" t="s">
        <v>307</v>
      </c>
      <c r="CT3833" s="5" t="s">
        <v>307</v>
      </c>
      <c r="CU3833" s="5" t="s">
        <v>260</v>
      </c>
      <c r="CV3833" s="5" t="s">
        <v>240</v>
      </c>
      <c r="CW3833" s="8">
        <f>0</f>
        <v>0</v>
      </c>
      <c r="CX3833" s="7">
        <f>0</f>
        <v>0</v>
      </c>
      <c r="CY3833" s="7">
        <f>0</f>
        <v>0</v>
      </c>
      <c r="CZ3833" s="7">
        <f>0</f>
        <v>0</v>
      </c>
      <c r="DA3833" s="7">
        <f>0</f>
        <v>0</v>
      </c>
      <c r="DB3833" s="7" t="s">
        <v>240</v>
      </c>
      <c r="DC3833" s="5" t="s">
        <v>240</v>
      </c>
      <c r="DD3833" s="5" t="s">
        <v>240</v>
      </c>
      <c r="DF3833" s="5" t="s">
        <v>240</v>
      </c>
      <c r="DG3833" s="7">
        <f>0</f>
        <v>0</v>
      </c>
      <c r="DH3833" s="6" t="s">
        <v>240</v>
      </c>
      <c r="DI3833" s="5" t="s">
        <v>240</v>
      </c>
      <c r="DJ3833" s="5" t="s">
        <v>240</v>
      </c>
      <c r="DK3833" s="5" t="s">
        <v>240</v>
      </c>
      <c r="DL3833" s="5" t="s">
        <v>240</v>
      </c>
      <c r="DM3833" s="5" t="s">
        <v>240</v>
      </c>
      <c r="DN3833" s="5" t="s">
        <v>240</v>
      </c>
      <c r="DO3833" s="7" t="s">
        <v>240</v>
      </c>
      <c r="DP3833" s="5" t="s">
        <v>240</v>
      </c>
      <c r="DQ3833" s="5" t="s">
        <v>248</v>
      </c>
      <c r="DR3833" s="5" t="s">
        <v>731</v>
      </c>
      <c r="DS3833" s="5" t="s">
        <v>731</v>
      </c>
      <c r="DT3833" s="5" t="s">
        <v>240</v>
      </c>
      <c r="DU3833" s="5" t="s">
        <v>240</v>
      </c>
      <c r="HR3833" s="5" t="s">
        <v>240</v>
      </c>
      <c r="HS3833" s="5" t="s">
        <v>240</v>
      </c>
      <c r="HT3833" s="5" t="s">
        <v>240</v>
      </c>
      <c r="HU3833" s="5" t="s">
        <v>240</v>
      </c>
      <c r="HV3833" s="5" t="s">
        <v>240</v>
      </c>
      <c r="HW3833" s="5" t="s">
        <v>240</v>
      </c>
      <c r="HX3833" s="5" t="s">
        <v>240</v>
      </c>
      <c r="HY3833" s="5" t="s">
        <v>240</v>
      </c>
      <c r="HZ3833" s="5" t="s">
        <v>240</v>
      </c>
      <c r="IA3833" s="5" t="s">
        <v>240</v>
      </c>
      <c r="IB3833" s="5" t="s">
        <v>240</v>
      </c>
      <c r="IC3833" s="5" t="s">
        <v>240</v>
      </c>
      <c r="ID3833" s="5" t="s">
        <v>240</v>
      </c>
      <c r="IE3833" s="5" t="s">
        <v>240</v>
      </c>
      <c r="IF3833" s="5" t="s">
        <v>240</v>
      </c>
    </row>
    <row r="3834" spans="1:240" x14ac:dyDescent="0.4">
      <c r="A3834" s="5">
        <v>9376</v>
      </c>
      <c r="B3834" s="5">
        <v>1</v>
      </c>
      <c r="C3834" s="5">
        <v>1</v>
      </c>
      <c r="D3834" s="5" t="s">
        <v>723</v>
      </c>
      <c r="E3834" s="5" t="s">
        <v>725</v>
      </c>
      <c r="F3834" s="5" t="s">
        <v>254</v>
      </c>
      <c r="G3834" s="5" t="s">
        <v>5939</v>
      </c>
      <c r="H3834" s="6" t="s">
        <v>5938</v>
      </c>
      <c r="I3834" s="5" t="s">
        <v>5938</v>
      </c>
      <c r="J3834" s="7">
        <f>1</f>
        <v>1</v>
      </c>
      <c r="K3834" s="5" t="s">
        <v>3682</v>
      </c>
      <c r="L3834" s="7">
        <f>1</f>
        <v>1</v>
      </c>
      <c r="M3834" s="7">
        <f>1</f>
        <v>1</v>
      </c>
      <c r="N3834" s="5" t="s">
        <v>242</v>
      </c>
      <c r="O3834" s="5">
        <v>1</v>
      </c>
      <c r="P3834" s="5" t="s">
        <v>294</v>
      </c>
      <c r="Q3834" s="5" t="s">
        <v>613</v>
      </c>
      <c r="T3834" s="5" t="s">
        <v>243</v>
      </c>
      <c r="U3834" s="5" t="s">
        <v>244</v>
      </c>
      <c r="V3834" s="5" t="s">
        <v>240</v>
      </c>
      <c r="Y3834" s="5" t="s">
        <v>240</v>
      </c>
      <c r="Z3834" s="6" t="s">
        <v>298</v>
      </c>
      <c r="AA3834" s="6" t="s">
        <v>240</v>
      </c>
      <c r="AB3834" s="6" t="s">
        <v>240</v>
      </c>
      <c r="AC3834" s="5" t="s">
        <v>240</v>
      </c>
      <c r="AD3834" s="6" t="s">
        <v>240</v>
      </c>
      <c r="AE3834" s="6" t="s">
        <v>6769</v>
      </c>
      <c r="AF3834" s="5" t="s">
        <v>248</v>
      </c>
      <c r="AG3834" s="5" t="s">
        <v>249</v>
      </c>
      <c r="AM3834" s="5" t="s">
        <v>240</v>
      </c>
      <c r="AN3834" s="5" t="s">
        <v>240</v>
      </c>
      <c r="AO3834" s="5" t="s">
        <v>240</v>
      </c>
      <c r="AP3834" s="6" t="s">
        <v>240</v>
      </c>
      <c r="AQ3834" s="6" t="s">
        <v>240</v>
      </c>
      <c r="AR3834" s="6" t="s">
        <v>240</v>
      </c>
      <c r="AU3834" s="5" t="s">
        <v>729</v>
      </c>
      <c r="AV3834" s="5" t="s">
        <v>729</v>
      </c>
      <c r="AW3834" s="5" t="s">
        <v>251</v>
      </c>
      <c r="AX3834" s="5" t="s">
        <v>252</v>
      </c>
      <c r="AY3834" s="5" t="s">
        <v>253</v>
      </c>
      <c r="AZ3834" s="5" t="s">
        <v>6046</v>
      </c>
      <c r="BA3834" s="5" t="s">
        <v>255</v>
      </c>
      <c r="BB3834" s="5" t="s">
        <v>731</v>
      </c>
      <c r="BD3834" s="5" t="s">
        <v>3167</v>
      </c>
      <c r="BF3834" s="5" t="s">
        <v>732</v>
      </c>
      <c r="BG3834" s="6" t="s">
        <v>733</v>
      </c>
      <c r="BH3834" s="5" t="s">
        <v>734</v>
      </c>
      <c r="BI3834" s="5" t="s">
        <v>734</v>
      </c>
      <c r="BJ3834" s="5" t="s">
        <v>240</v>
      </c>
      <c r="BK3834" s="8">
        <f>208</f>
        <v>208</v>
      </c>
      <c r="BL3834" s="7">
        <f>460720</f>
        <v>460720</v>
      </c>
      <c r="BM3834" s="5" t="s">
        <v>258</v>
      </c>
      <c r="BN3834" s="5" t="s">
        <v>259</v>
      </c>
      <c r="BO3834" s="5" t="s">
        <v>240</v>
      </c>
      <c r="BP3834" s="5" t="s">
        <v>240</v>
      </c>
      <c r="BQ3834" s="5" t="s">
        <v>240</v>
      </c>
      <c r="BR3834" s="5" t="s">
        <v>240</v>
      </c>
      <c r="BW3834" s="6" t="s">
        <v>240</v>
      </c>
      <c r="BX3834" s="5" t="s">
        <v>240</v>
      </c>
      <c r="BY3834" s="5" t="s">
        <v>240</v>
      </c>
      <c r="BZ3834" s="5" t="s">
        <v>240</v>
      </c>
      <c r="CA3834" s="5" t="s">
        <v>259</v>
      </c>
      <c r="CB3834" s="5" t="s">
        <v>240</v>
      </c>
      <c r="CC3834" s="5" t="s">
        <v>240</v>
      </c>
      <c r="CG3834" s="5" t="s">
        <v>240</v>
      </c>
      <c r="CH3834" s="5" t="s">
        <v>240</v>
      </c>
      <c r="CI3834" s="5" t="s">
        <v>260</v>
      </c>
      <c r="CK3834" s="5" t="s">
        <v>240</v>
      </c>
      <c r="CL3834" s="6" t="s">
        <v>261</v>
      </c>
      <c r="CM3834" s="5" t="s">
        <v>262</v>
      </c>
      <c r="CN3834" s="5" t="s">
        <v>263</v>
      </c>
      <c r="CO3834" s="5" t="s">
        <v>264</v>
      </c>
      <c r="CP3834" s="5" t="s">
        <v>240</v>
      </c>
      <c r="CQ3834" s="5">
        <v>0</v>
      </c>
      <c r="CR3834" s="5" t="s">
        <v>735</v>
      </c>
      <c r="CS3834" s="5" t="s">
        <v>307</v>
      </c>
      <c r="CT3834" s="5" t="s">
        <v>307</v>
      </c>
      <c r="CU3834" s="5" t="s">
        <v>260</v>
      </c>
      <c r="CV3834" s="5" t="s">
        <v>240</v>
      </c>
      <c r="CW3834" s="8">
        <f>2215</f>
        <v>2215</v>
      </c>
      <c r="CX3834" s="7">
        <f>460720</f>
        <v>460720</v>
      </c>
      <c r="CY3834" s="7">
        <f>0</f>
        <v>0</v>
      </c>
      <c r="CZ3834" s="7">
        <f>0</f>
        <v>0</v>
      </c>
      <c r="DA3834" s="7">
        <f>460720</f>
        <v>460720</v>
      </c>
      <c r="DB3834" s="7" t="s">
        <v>240</v>
      </c>
      <c r="DC3834" s="5" t="s">
        <v>240</v>
      </c>
      <c r="DD3834" s="5" t="s">
        <v>240</v>
      </c>
      <c r="DF3834" s="5" t="s">
        <v>240</v>
      </c>
      <c r="DG3834" s="7">
        <f>0</f>
        <v>0</v>
      </c>
      <c r="DH3834" s="6" t="s">
        <v>240</v>
      </c>
      <c r="DI3834" s="5" t="s">
        <v>240</v>
      </c>
      <c r="DJ3834" s="5" t="s">
        <v>240</v>
      </c>
      <c r="DK3834" s="5" t="s">
        <v>240</v>
      </c>
      <c r="DL3834" s="5" t="s">
        <v>240</v>
      </c>
      <c r="DM3834" s="5" t="s">
        <v>240</v>
      </c>
      <c r="DN3834" s="5" t="s">
        <v>240</v>
      </c>
      <c r="DO3834" s="7" t="s">
        <v>240</v>
      </c>
      <c r="DP3834" s="5" t="s">
        <v>240</v>
      </c>
      <c r="DQ3834" s="5" t="s">
        <v>248</v>
      </c>
      <c r="DR3834" s="5" t="s">
        <v>731</v>
      </c>
      <c r="DS3834" s="5" t="s">
        <v>731</v>
      </c>
      <c r="DT3834" s="5" t="s">
        <v>240</v>
      </c>
      <c r="DU3834" s="5" t="s">
        <v>240</v>
      </c>
      <c r="HR3834" s="5" t="s">
        <v>240</v>
      </c>
      <c r="HS3834" s="5" t="s">
        <v>240</v>
      </c>
      <c r="HT3834" s="5" t="s">
        <v>240</v>
      </c>
      <c r="HU3834" s="5" t="s">
        <v>240</v>
      </c>
      <c r="HV3834" s="5" t="s">
        <v>240</v>
      </c>
      <c r="HW3834" s="5" t="s">
        <v>240</v>
      </c>
      <c r="HX3834" s="5" t="s">
        <v>240</v>
      </c>
      <c r="HY3834" s="5" t="s">
        <v>240</v>
      </c>
      <c r="HZ3834" s="5" t="s">
        <v>240</v>
      </c>
      <c r="IA3834" s="5" t="s">
        <v>240</v>
      </c>
      <c r="IB3834" s="5" t="s">
        <v>240</v>
      </c>
      <c r="IC3834" s="5" t="s">
        <v>240</v>
      </c>
      <c r="ID3834" s="5" t="s">
        <v>240</v>
      </c>
      <c r="IE3834" s="5" t="s">
        <v>240</v>
      </c>
      <c r="IF3834" s="5" t="s">
        <v>240</v>
      </c>
    </row>
    <row r="3835" spans="1:240" x14ac:dyDescent="0.4">
      <c r="A3835" s="5">
        <v>9377</v>
      </c>
      <c r="B3835" s="5">
        <v>1</v>
      </c>
      <c r="C3835" s="5">
        <v>1</v>
      </c>
      <c r="D3835" s="5" t="s">
        <v>723</v>
      </c>
      <c r="E3835" s="5" t="s">
        <v>725</v>
      </c>
      <c r="F3835" s="5" t="s">
        <v>254</v>
      </c>
      <c r="G3835" s="5" t="s">
        <v>726</v>
      </c>
      <c r="H3835" s="6" t="s">
        <v>5323</v>
      </c>
      <c r="I3835" s="5" t="s">
        <v>5322</v>
      </c>
      <c r="J3835" s="7">
        <f>1</f>
        <v>1</v>
      </c>
      <c r="K3835" s="5" t="s">
        <v>3682</v>
      </c>
      <c r="L3835" s="7">
        <f>1</f>
        <v>1</v>
      </c>
      <c r="M3835" s="7">
        <f>1</f>
        <v>1</v>
      </c>
      <c r="N3835" s="5" t="s">
        <v>242</v>
      </c>
      <c r="O3835" s="5">
        <v>1</v>
      </c>
      <c r="P3835" s="5" t="s">
        <v>294</v>
      </c>
      <c r="Q3835" s="5" t="s">
        <v>2097</v>
      </c>
      <c r="T3835" s="5" t="s">
        <v>296</v>
      </c>
      <c r="U3835" s="5" t="s">
        <v>244</v>
      </c>
      <c r="V3835" s="5" t="s">
        <v>240</v>
      </c>
      <c r="Y3835" s="5" t="s">
        <v>246</v>
      </c>
      <c r="Z3835" s="6" t="s">
        <v>6803</v>
      </c>
      <c r="AA3835" s="6" t="s">
        <v>240</v>
      </c>
      <c r="AB3835" s="6" t="s">
        <v>240</v>
      </c>
      <c r="AC3835" s="5" t="s">
        <v>240</v>
      </c>
      <c r="AD3835" s="6" t="s">
        <v>240</v>
      </c>
      <c r="AE3835" s="6" t="s">
        <v>6803</v>
      </c>
      <c r="AF3835" s="5" t="s">
        <v>248</v>
      </c>
      <c r="AG3835" s="5" t="s">
        <v>249</v>
      </c>
      <c r="AM3835" s="5" t="s">
        <v>240</v>
      </c>
      <c r="AN3835" s="5" t="s">
        <v>240</v>
      </c>
      <c r="AO3835" s="5" t="s">
        <v>240</v>
      </c>
      <c r="AP3835" s="6" t="s">
        <v>240</v>
      </c>
      <c r="AQ3835" s="6" t="s">
        <v>240</v>
      </c>
      <c r="AR3835" s="6" t="s">
        <v>240</v>
      </c>
      <c r="AU3835" s="5" t="s">
        <v>729</v>
      </c>
      <c r="AV3835" s="5" t="s">
        <v>729</v>
      </c>
      <c r="AW3835" s="5" t="s">
        <v>251</v>
      </c>
      <c r="AX3835" s="5" t="s">
        <v>252</v>
      </c>
      <c r="AY3835" s="5" t="s">
        <v>253</v>
      </c>
      <c r="AZ3835" s="5" t="s">
        <v>6046</v>
      </c>
      <c r="BA3835" s="5" t="s">
        <v>255</v>
      </c>
      <c r="BB3835" s="5" t="s">
        <v>731</v>
      </c>
      <c r="BD3835" s="5" t="s">
        <v>240</v>
      </c>
      <c r="BF3835" s="5" t="s">
        <v>732</v>
      </c>
      <c r="BG3835" s="6" t="s">
        <v>6804</v>
      </c>
      <c r="BH3835" s="5" t="s">
        <v>6742</v>
      </c>
      <c r="BI3835" s="5" t="s">
        <v>6743</v>
      </c>
      <c r="BJ3835" s="5" t="s">
        <v>240</v>
      </c>
      <c r="BK3835" s="7">
        <f>0</f>
        <v>0</v>
      </c>
      <c r="BL3835" s="7">
        <f>319000</f>
        <v>319000</v>
      </c>
      <c r="BM3835" s="5" t="s">
        <v>258</v>
      </c>
      <c r="BN3835" s="5" t="s">
        <v>259</v>
      </c>
      <c r="BO3835" s="5" t="s">
        <v>6744</v>
      </c>
      <c r="BP3835" s="5" t="s">
        <v>6745</v>
      </c>
      <c r="BQ3835" s="5" t="s">
        <v>6746</v>
      </c>
      <c r="BR3835" s="5" t="s">
        <v>240</v>
      </c>
      <c r="BS3835" s="5" t="s">
        <v>258</v>
      </c>
      <c r="BT3835" s="5" t="s">
        <v>6747</v>
      </c>
      <c r="BU3835" s="5" t="s">
        <v>6747</v>
      </c>
      <c r="BW3835" s="6" t="s">
        <v>6805</v>
      </c>
      <c r="BX3835" s="5" t="s">
        <v>258</v>
      </c>
      <c r="BY3835" s="5" t="s">
        <v>240</v>
      </c>
      <c r="BZ3835" s="5" t="s">
        <v>240</v>
      </c>
      <c r="CA3835" s="5" t="s">
        <v>259</v>
      </c>
      <c r="CB3835" s="5" t="s">
        <v>240</v>
      </c>
      <c r="CC3835" s="5" t="s">
        <v>240</v>
      </c>
      <c r="CG3835" s="5" t="s">
        <v>240</v>
      </c>
      <c r="CH3835" s="5" t="s">
        <v>240</v>
      </c>
      <c r="CI3835" s="5" t="s">
        <v>260</v>
      </c>
      <c r="CK3835" s="5" t="s">
        <v>240</v>
      </c>
      <c r="CL3835" s="6" t="s">
        <v>261</v>
      </c>
      <c r="CM3835" s="5" t="s">
        <v>262</v>
      </c>
      <c r="CN3835" s="5" t="s">
        <v>263</v>
      </c>
      <c r="CO3835" s="5" t="s">
        <v>264</v>
      </c>
      <c r="CP3835" s="5" t="s">
        <v>240</v>
      </c>
      <c r="CQ3835" s="5">
        <v>0</v>
      </c>
      <c r="CR3835" s="5" t="s">
        <v>735</v>
      </c>
      <c r="CS3835" s="5" t="s">
        <v>307</v>
      </c>
      <c r="CT3835" s="5" t="s">
        <v>307</v>
      </c>
      <c r="CU3835" s="5" t="s">
        <v>260</v>
      </c>
      <c r="CV3835" s="5" t="s">
        <v>240</v>
      </c>
      <c r="CW3835" s="8">
        <f>1061163</f>
        <v>1061163</v>
      </c>
      <c r="CX3835" s="7">
        <f>1061163</f>
        <v>1061163</v>
      </c>
      <c r="CY3835" s="7">
        <f>0</f>
        <v>0</v>
      </c>
      <c r="CZ3835" s="7">
        <f>0</f>
        <v>0</v>
      </c>
      <c r="DA3835" s="7">
        <f>1061163</f>
        <v>1061163</v>
      </c>
      <c r="DB3835" s="7" t="s">
        <v>240</v>
      </c>
      <c r="DC3835" s="5" t="s">
        <v>240</v>
      </c>
      <c r="DD3835" s="5" t="s">
        <v>240</v>
      </c>
      <c r="DF3835" s="5" t="s">
        <v>240</v>
      </c>
      <c r="DG3835" s="7">
        <f>0</f>
        <v>0</v>
      </c>
      <c r="DH3835" s="6" t="s">
        <v>240</v>
      </c>
      <c r="DI3835" s="5" t="s">
        <v>240</v>
      </c>
      <c r="DJ3835" s="5" t="s">
        <v>240</v>
      </c>
      <c r="DK3835" s="5" t="s">
        <v>240</v>
      </c>
      <c r="DL3835" s="5" t="s">
        <v>240</v>
      </c>
      <c r="DM3835" s="5" t="s">
        <v>240</v>
      </c>
      <c r="DN3835" s="5" t="s">
        <v>240</v>
      </c>
      <c r="DO3835" s="7" t="s">
        <v>240</v>
      </c>
      <c r="DP3835" s="5" t="s">
        <v>240</v>
      </c>
      <c r="DQ3835" s="5" t="s">
        <v>248</v>
      </c>
      <c r="DR3835" s="5" t="s">
        <v>731</v>
      </c>
      <c r="DS3835" s="5" t="s">
        <v>731</v>
      </c>
      <c r="DT3835" s="5" t="s">
        <v>240</v>
      </c>
      <c r="DU3835" s="5" t="s">
        <v>240</v>
      </c>
      <c r="HR3835" s="5" t="s">
        <v>240</v>
      </c>
      <c r="HS3835" s="5" t="s">
        <v>240</v>
      </c>
      <c r="HT3835" s="5" t="s">
        <v>240</v>
      </c>
      <c r="HU3835" s="5" t="s">
        <v>240</v>
      </c>
      <c r="HV3835" s="5" t="s">
        <v>240</v>
      </c>
      <c r="HW3835" s="5" t="s">
        <v>240</v>
      </c>
      <c r="HX3835" s="5" t="s">
        <v>240</v>
      </c>
      <c r="HY3835" s="5" t="s">
        <v>240</v>
      </c>
      <c r="HZ3835" s="5" t="s">
        <v>240</v>
      </c>
      <c r="IA3835" s="5" t="s">
        <v>240</v>
      </c>
      <c r="IB3835" s="5" t="s">
        <v>240</v>
      </c>
      <c r="IC3835" s="5" t="s">
        <v>240</v>
      </c>
      <c r="ID3835" s="5" t="s">
        <v>240</v>
      </c>
      <c r="IE3835" s="5" t="s">
        <v>240</v>
      </c>
      <c r="IF3835" s="5" t="s">
        <v>240</v>
      </c>
    </row>
    <row r="3836" spans="1:240" x14ac:dyDescent="0.4">
      <c r="A3836" s="5">
        <v>9378</v>
      </c>
      <c r="B3836" s="5">
        <v>1</v>
      </c>
      <c r="C3836" s="5">
        <v>1</v>
      </c>
      <c r="D3836" s="5" t="s">
        <v>723</v>
      </c>
      <c r="E3836" s="5" t="s">
        <v>725</v>
      </c>
      <c r="F3836" s="5" t="s">
        <v>254</v>
      </c>
      <c r="G3836" s="5" t="s">
        <v>726</v>
      </c>
      <c r="H3836" s="6" t="s">
        <v>5321</v>
      </c>
      <c r="I3836" s="5" t="s">
        <v>5320</v>
      </c>
      <c r="J3836" s="7">
        <f>1</f>
        <v>1</v>
      </c>
      <c r="K3836" s="5" t="s">
        <v>3682</v>
      </c>
      <c r="L3836" s="7">
        <f>1</f>
        <v>1</v>
      </c>
      <c r="M3836" s="7">
        <f>1</f>
        <v>1</v>
      </c>
      <c r="N3836" s="5" t="s">
        <v>242</v>
      </c>
      <c r="O3836" s="5">
        <v>1</v>
      </c>
      <c r="P3836" s="5" t="s">
        <v>294</v>
      </c>
      <c r="Q3836" s="5" t="s">
        <v>613</v>
      </c>
      <c r="T3836" s="5" t="s">
        <v>243</v>
      </c>
      <c r="U3836" s="5" t="s">
        <v>244</v>
      </c>
      <c r="V3836" s="5" t="s">
        <v>240</v>
      </c>
      <c r="Y3836" s="5" t="s">
        <v>1325</v>
      </c>
      <c r="Z3836" s="6" t="s">
        <v>6808</v>
      </c>
      <c r="AA3836" s="6" t="s">
        <v>240</v>
      </c>
      <c r="AB3836" s="6" t="s">
        <v>240</v>
      </c>
      <c r="AC3836" s="5" t="s">
        <v>240</v>
      </c>
      <c r="AD3836" s="6" t="s">
        <v>240</v>
      </c>
      <c r="AE3836" s="6" t="s">
        <v>6808</v>
      </c>
      <c r="AF3836" s="5" t="s">
        <v>248</v>
      </c>
      <c r="AG3836" s="5" t="s">
        <v>249</v>
      </c>
      <c r="AM3836" s="5" t="s">
        <v>240</v>
      </c>
      <c r="AN3836" s="5" t="s">
        <v>240</v>
      </c>
      <c r="AO3836" s="5" t="s">
        <v>240</v>
      </c>
      <c r="AP3836" s="6" t="s">
        <v>240</v>
      </c>
      <c r="AQ3836" s="6" t="s">
        <v>240</v>
      </c>
      <c r="AR3836" s="6" t="s">
        <v>240</v>
      </c>
      <c r="AU3836" s="5" t="s">
        <v>729</v>
      </c>
      <c r="AV3836" s="5" t="s">
        <v>729</v>
      </c>
      <c r="AW3836" s="5" t="s">
        <v>251</v>
      </c>
      <c r="AX3836" s="5" t="s">
        <v>252</v>
      </c>
      <c r="AY3836" s="5" t="s">
        <v>253</v>
      </c>
      <c r="AZ3836" s="5" t="s">
        <v>6046</v>
      </c>
      <c r="BA3836" s="5" t="s">
        <v>255</v>
      </c>
      <c r="BB3836" s="5" t="s">
        <v>731</v>
      </c>
      <c r="BD3836" s="5" t="s">
        <v>842</v>
      </c>
      <c r="BF3836" s="5" t="s">
        <v>732</v>
      </c>
      <c r="BG3836" s="6" t="s">
        <v>6808</v>
      </c>
      <c r="BH3836" s="5" t="s">
        <v>6742</v>
      </c>
      <c r="BI3836" s="5" t="s">
        <v>6743</v>
      </c>
      <c r="BJ3836" s="5" t="s">
        <v>240</v>
      </c>
      <c r="BK3836" s="8">
        <f>0</f>
        <v>0</v>
      </c>
      <c r="BL3836" s="7">
        <f>6468474</f>
        <v>6468474</v>
      </c>
      <c r="BM3836" s="5" t="s">
        <v>258</v>
      </c>
      <c r="BN3836" s="5" t="s">
        <v>259</v>
      </c>
      <c r="BO3836" s="5" t="s">
        <v>6811</v>
      </c>
      <c r="BP3836" s="5" t="s">
        <v>6745</v>
      </c>
      <c r="BQ3836" s="5" t="s">
        <v>6745</v>
      </c>
      <c r="BR3836" s="5" t="s">
        <v>240</v>
      </c>
      <c r="BS3836" s="5" t="s">
        <v>6812</v>
      </c>
      <c r="BT3836" s="5" t="s">
        <v>6747</v>
      </c>
      <c r="BU3836" s="5" t="s">
        <v>6747</v>
      </c>
      <c r="BW3836" s="6" t="s">
        <v>6813</v>
      </c>
      <c r="BX3836" s="5" t="s">
        <v>258</v>
      </c>
      <c r="BY3836" s="5" t="s">
        <v>240</v>
      </c>
      <c r="BZ3836" s="5" t="s">
        <v>240</v>
      </c>
      <c r="CA3836" s="5" t="s">
        <v>259</v>
      </c>
      <c r="CB3836" s="5" t="s">
        <v>240</v>
      </c>
      <c r="CC3836" s="5" t="s">
        <v>240</v>
      </c>
      <c r="CG3836" s="5" t="s">
        <v>240</v>
      </c>
      <c r="CH3836" s="5" t="s">
        <v>240</v>
      </c>
      <c r="CI3836" s="5" t="s">
        <v>260</v>
      </c>
      <c r="CK3836" s="5" t="s">
        <v>240</v>
      </c>
      <c r="CL3836" s="6" t="s">
        <v>261</v>
      </c>
      <c r="CM3836" s="5" t="s">
        <v>262</v>
      </c>
      <c r="CN3836" s="5" t="s">
        <v>263</v>
      </c>
      <c r="CO3836" s="5" t="s">
        <v>264</v>
      </c>
      <c r="CP3836" s="5" t="s">
        <v>240</v>
      </c>
      <c r="CQ3836" s="5">
        <v>0</v>
      </c>
      <c r="CR3836" s="5" t="s">
        <v>735</v>
      </c>
      <c r="CS3836" s="5" t="s">
        <v>307</v>
      </c>
      <c r="CT3836" s="5" t="s">
        <v>307</v>
      </c>
      <c r="CU3836" s="5" t="s">
        <v>260</v>
      </c>
      <c r="CV3836" s="5" t="s">
        <v>240</v>
      </c>
      <c r="CW3836" s="8">
        <f>32697</f>
        <v>32697</v>
      </c>
      <c r="CX3836" s="7">
        <f>6468474</f>
        <v>6468474</v>
      </c>
      <c r="CY3836" s="7">
        <f>0</f>
        <v>0</v>
      </c>
      <c r="CZ3836" s="7">
        <f>0</f>
        <v>0</v>
      </c>
      <c r="DA3836" s="7">
        <f>6468474</f>
        <v>6468474</v>
      </c>
      <c r="DB3836" s="7" t="s">
        <v>240</v>
      </c>
      <c r="DC3836" s="5" t="s">
        <v>240</v>
      </c>
      <c r="DD3836" s="5" t="s">
        <v>240</v>
      </c>
      <c r="DF3836" s="5" t="s">
        <v>843</v>
      </c>
      <c r="DG3836" s="7">
        <f>197.83</f>
        <v>197.83</v>
      </c>
      <c r="DH3836" s="6" t="s">
        <v>6808</v>
      </c>
      <c r="DI3836" s="5" t="s">
        <v>843</v>
      </c>
      <c r="DJ3836" s="5" t="s">
        <v>240</v>
      </c>
      <c r="DK3836" s="5" t="s">
        <v>240</v>
      </c>
      <c r="DL3836" s="5" t="s">
        <v>240</v>
      </c>
      <c r="DM3836" s="5" t="s">
        <v>240</v>
      </c>
      <c r="DN3836" s="5" t="s">
        <v>240</v>
      </c>
      <c r="DO3836" s="7" t="s">
        <v>240</v>
      </c>
      <c r="DP3836" s="5" t="s">
        <v>240</v>
      </c>
      <c r="DQ3836" s="5" t="s">
        <v>248</v>
      </c>
      <c r="DR3836" s="5" t="s">
        <v>731</v>
      </c>
      <c r="DS3836" s="5" t="s">
        <v>731</v>
      </c>
      <c r="DT3836" s="5" t="s">
        <v>240</v>
      </c>
      <c r="DU3836" s="5" t="s">
        <v>240</v>
      </c>
      <c r="HR3836" s="5" t="s">
        <v>240</v>
      </c>
      <c r="HS3836" s="5" t="s">
        <v>240</v>
      </c>
      <c r="HT3836" s="5" t="s">
        <v>240</v>
      </c>
      <c r="HU3836" s="5" t="s">
        <v>240</v>
      </c>
      <c r="HV3836" s="5" t="s">
        <v>240</v>
      </c>
      <c r="HW3836" s="5" t="s">
        <v>240</v>
      </c>
      <c r="HX3836" s="5" t="s">
        <v>240</v>
      </c>
      <c r="HY3836" s="5" t="s">
        <v>240</v>
      </c>
      <c r="HZ3836" s="5" t="s">
        <v>240</v>
      </c>
      <c r="IA3836" s="5" t="s">
        <v>240</v>
      </c>
      <c r="IB3836" s="5" t="s">
        <v>240</v>
      </c>
      <c r="IC3836" s="5" t="s">
        <v>240</v>
      </c>
      <c r="ID3836" s="5" t="s">
        <v>240</v>
      </c>
      <c r="IE3836" s="5" t="s">
        <v>240</v>
      </c>
      <c r="IF3836" s="5" t="s">
        <v>240</v>
      </c>
    </row>
    <row r="3837" spans="1:240" x14ac:dyDescent="0.4">
      <c r="A3837" s="5">
        <v>9379</v>
      </c>
      <c r="B3837" s="5">
        <v>1</v>
      </c>
      <c r="C3837" s="5">
        <v>1</v>
      </c>
      <c r="D3837" s="5" t="s">
        <v>723</v>
      </c>
      <c r="E3837" s="5" t="s">
        <v>725</v>
      </c>
      <c r="F3837" s="5" t="s">
        <v>254</v>
      </c>
      <c r="G3837" s="5" t="s">
        <v>726</v>
      </c>
      <c r="H3837" s="6" t="s">
        <v>6237</v>
      </c>
      <c r="I3837" s="5" t="s">
        <v>6236</v>
      </c>
      <c r="J3837" s="7">
        <f>1</f>
        <v>1</v>
      </c>
      <c r="K3837" s="5" t="s">
        <v>3682</v>
      </c>
      <c r="L3837" s="7">
        <f>1</f>
        <v>1</v>
      </c>
      <c r="M3837" s="7">
        <f>1</f>
        <v>1</v>
      </c>
      <c r="N3837" s="5" t="s">
        <v>242</v>
      </c>
      <c r="O3837" s="5">
        <v>1</v>
      </c>
      <c r="P3837" s="5" t="s">
        <v>294</v>
      </c>
      <c r="Q3837" s="5" t="s">
        <v>3678</v>
      </c>
      <c r="T3837" s="5" t="s">
        <v>243</v>
      </c>
      <c r="U3837" s="5" t="s">
        <v>244</v>
      </c>
      <c r="V3837" s="5" t="s">
        <v>240</v>
      </c>
      <c r="Y3837" s="5" t="s">
        <v>240</v>
      </c>
      <c r="Z3837" s="6" t="s">
        <v>298</v>
      </c>
      <c r="AA3837" s="6" t="s">
        <v>240</v>
      </c>
      <c r="AB3837" s="6" t="s">
        <v>240</v>
      </c>
      <c r="AC3837" s="5" t="s">
        <v>240</v>
      </c>
      <c r="AD3837" s="6" t="s">
        <v>240</v>
      </c>
      <c r="AE3837" s="6" t="s">
        <v>299</v>
      </c>
      <c r="AF3837" s="5" t="s">
        <v>248</v>
      </c>
      <c r="AG3837" s="5" t="s">
        <v>249</v>
      </c>
      <c r="AM3837" s="5" t="s">
        <v>240</v>
      </c>
      <c r="AN3837" s="5" t="s">
        <v>240</v>
      </c>
      <c r="AO3837" s="5" t="s">
        <v>240</v>
      </c>
      <c r="AP3837" s="6" t="s">
        <v>240</v>
      </c>
      <c r="AQ3837" s="6" t="s">
        <v>240</v>
      </c>
      <c r="AR3837" s="6" t="s">
        <v>240</v>
      </c>
      <c r="AU3837" s="5" t="s">
        <v>729</v>
      </c>
      <c r="AV3837" s="5" t="s">
        <v>729</v>
      </c>
      <c r="AW3837" s="5" t="s">
        <v>251</v>
      </c>
      <c r="AX3837" s="5" t="s">
        <v>252</v>
      </c>
      <c r="AY3837" s="5" t="s">
        <v>253</v>
      </c>
      <c r="AZ3837" s="5" t="s">
        <v>6046</v>
      </c>
      <c r="BA3837" s="5" t="s">
        <v>255</v>
      </c>
      <c r="BB3837" s="5" t="s">
        <v>731</v>
      </c>
      <c r="BD3837" s="5" t="s">
        <v>240</v>
      </c>
      <c r="BF3837" s="5" t="s">
        <v>732</v>
      </c>
      <c r="BG3837" s="6" t="s">
        <v>733</v>
      </c>
      <c r="BH3837" s="5" t="s">
        <v>734</v>
      </c>
      <c r="BI3837" s="5" t="s">
        <v>734</v>
      </c>
      <c r="BJ3837" s="5" t="s">
        <v>240</v>
      </c>
      <c r="BK3837" s="7">
        <f>1</f>
        <v>1</v>
      </c>
      <c r="BL3837" s="7">
        <f>1</f>
        <v>1</v>
      </c>
      <c r="BM3837" s="5" t="s">
        <v>258</v>
      </c>
      <c r="BN3837" s="5" t="s">
        <v>259</v>
      </c>
      <c r="BO3837" s="5" t="s">
        <v>240</v>
      </c>
      <c r="BP3837" s="5" t="s">
        <v>240</v>
      </c>
      <c r="BQ3837" s="5" t="s">
        <v>240</v>
      </c>
      <c r="BR3837" s="5" t="s">
        <v>240</v>
      </c>
      <c r="BW3837" s="6" t="s">
        <v>240</v>
      </c>
      <c r="BX3837" s="5" t="s">
        <v>240</v>
      </c>
      <c r="BY3837" s="5" t="s">
        <v>240</v>
      </c>
      <c r="BZ3837" s="5" t="s">
        <v>240</v>
      </c>
      <c r="CA3837" s="5" t="s">
        <v>259</v>
      </c>
      <c r="CB3837" s="5" t="s">
        <v>240</v>
      </c>
      <c r="CC3837" s="5" t="s">
        <v>240</v>
      </c>
      <c r="CG3837" s="5" t="s">
        <v>304</v>
      </c>
      <c r="CH3837" s="5" t="s">
        <v>305</v>
      </c>
      <c r="CI3837" s="5" t="s">
        <v>260</v>
      </c>
      <c r="CK3837" s="5" t="s">
        <v>3681</v>
      </c>
      <c r="CL3837" s="6" t="s">
        <v>261</v>
      </c>
      <c r="CM3837" s="5" t="s">
        <v>262</v>
      </c>
      <c r="CN3837" s="5" t="s">
        <v>263</v>
      </c>
      <c r="CO3837" s="5" t="s">
        <v>264</v>
      </c>
      <c r="CP3837" s="5" t="s">
        <v>240</v>
      </c>
      <c r="CQ3837" s="5">
        <v>0</v>
      </c>
      <c r="CR3837" s="5" t="s">
        <v>735</v>
      </c>
      <c r="CS3837" s="5" t="s">
        <v>307</v>
      </c>
      <c r="CT3837" s="5" t="s">
        <v>307</v>
      </c>
      <c r="CU3837" s="5" t="s">
        <v>260</v>
      </c>
      <c r="CV3837" s="5" t="s">
        <v>612</v>
      </c>
      <c r="CW3837" s="8">
        <f>1</f>
        <v>1</v>
      </c>
      <c r="CX3837" s="7">
        <f>1</f>
        <v>1</v>
      </c>
      <c r="CY3837" s="7">
        <f>0</f>
        <v>0</v>
      </c>
      <c r="CZ3837" s="7" t="s">
        <v>240</v>
      </c>
      <c r="DA3837" s="7">
        <f>1</f>
        <v>1</v>
      </c>
      <c r="DB3837" s="7" t="s">
        <v>240</v>
      </c>
      <c r="DC3837" s="5" t="s">
        <v>240</v>
      </c>
      <c r="DD3837" s="5" t="s">
        <v>240</v>
      </c>
      <c r="DF3837" s="5" t="s">
        <v>240</v>
      </c>
      <c r="DG3837" s="7">
        <f>0</f>
        <v>0</v>
      </c>
      <c r="DH3837" s="6" t="s">
        <v>240</v>
      </c>
      <c r="DI3837" s="5" t="s">
        <v>240</v>
      </c>
      <c r="DJ3837" s="5" t="s">
        <v>240</v>
      </c>
      <c r="DK3837" s="5" t="s">
        <v>240</v>
      </c>
      <c r="DL3837" s="5" t="s">
        <v>240</v>
      </c>
      <c r="DM3837" s="5" t="s">
        <v>240</v>
      </c>
      <c r="DN3837" s="5" t="s">
        <v>240</v>
      </c>
      <c r="DO3837" s="7" t="s">
        <v>240</v>
      </c>
      <c r="DP3837" s="5" t="s">
        <v>240</v>
      </c>
      <c r="DQ3837" s="5" t="s">
        <v>248</v>
      </c>
      <c r="DR3837" s="5" t="s">
        <v>731</v>
      </c>
      <c r="DS3837" s="5" t="s">
        <v>731</v>
      </c>
      <c r="DT3837" s="5" t="s">
        <v>240</v>
      </c>
      <c r="DU3837" s="5" t="s">
        <v>240</v>
      </c>
      <c r="DV3837" s="5" t="s">
        <v>5063</v>
      </c>
      <c r="DW3837" s="5" t="s">
        <v>808</v>
      </c>
      <c r="HR3837" s="5" t="s">
        <v>240</v>
      </c>
      <c r="HS3837" s="5" t="s">
        <v>240</v>
      </c>
      <c r="HT3837" s="5" t="s">
        <v>240</v>
      </c>
      <c r="HU3837" s="5" t="s">
        <v>240</v>
      </c>
      <c r="HV3837" s="5" t="s">
        <v>240</v>
      </c>
      <c r="HW3837" s="5" t="s">
        <v>240</v>
      </c>
      <c r="HX3837" s="5" t="s">
        <v>240</v>
      </c>
      <c r="HY3837" s="5" t="s">
        <v>240</v>
      </c>
      <c r="HZ3837" s="5" t="s">
        <v>240</v>
      </c>
      <c r="IA3837" s="5" t="s">
        <v>240</v>
      </c>
      <c r="IB3837" s="5" t="s">
        <v>240</v>
      </c>
      <c r="IC3837" s="5" t="s">
        <v>240</v>
      </c>
      <c r="ID3837" s="5" t="s">
        <v>240</v>
      </c>
      <c r="IE3837" s="5" t="s">
        <v>240</v>
      </c>
      <c r="IF3837" s="5" t="s">
        <v>240</v>
      </c>
    </row>
    <row r="3838" spans="1:240" x14ac:dyDescent="0.4">
      <c r="A3838" s="5">
        <v>9380</v>
      </c>
      <c r="B3838" s="5">
        <v>1</v>
      </c>
      <c r="C3838" s="5">
        <v>1</v>
      </c>
      <c r="D3838" s="5" t="s">
        <v>723</v>
      </c>
      <c r="E3838" s="5" t="s">
        <v>725</v>
      </c>
      <c r="F3838" s="5" t="s">
        <v>254</v>
      </c>
      <c r="G3838" s="5" t="s">
        <v>726</v>
      </c>
      <c r="H3838" s="6" t="s">
        <v>5318</v>
      </c>
      <c r="I3838" s="5" t="s">
        <v>5317</v>
      </c>
      <c r="J3838" s="7">
        <f>1</f>
        <v>1</v>
      </c>
      <c r="K3838" s="5" t="s">
        <v>3682</v>
      </c>
      <c r="L3838" s="7">
        <f>1</f>
        <v>1</v>
      </c>
      <c r="M3838" s="7">
        <f>1</f>
        <v>1</v>
      </c>
      <c r="N3838" s="5" t="s">
        <v>242</v>
      </c>
      <c r="O3838" s="5">
        <v>1</v>
      </c>
      <c r="P3838" s="5" t="s">
        <v>294</v>
      </c>
      <c r="Q3838" s="5" t="s">
        <v>240</v>
      </c>
      <c r="T3838" s="5" t="s">
        <v>296</v>
      </c>
      <c r="U3838" s="5" t="s">
        <v>244</v>
      </c>
      <c r="V3838" s="5" t="s">
        <v>240</v>
      </c>
      <c r="Y3838" s="5" t="s">
        <v>240</v>
      </c>
      <c r="Z3838" s="6" t="s">
        <v>6818</v>
      </c>
      <c r="AA3838" s="6" t="s">
        <v>240</v>
      </c>
      <c r="AB3838" s="6" t="s">
        <v>240</v>
      </c>
      <c r="AC3838" s="5" t="s">
        <v>240</v>
      </c>
      <c r="AD3838" s="6" t="s">
        <v>240</v>
      </c>
      <c r="AE3838" s="6" t="s">
        <v>240</v>
      </c>
      <c r="AF3838" s="5" t="s">
        <v>248</v>
      </c>
      <c r="AG3838" s="5" t="s">
        <v>249</v>
      </c>
      <c r="AM3838" s="5" t="s">
        <v>240</v>
      </c>
      <c r="AN3838" s="5" t="s">
        <v>240</v>
      </c>
      <c r="AO3838" s="5" t="s">
        <v>240</v>
      </c>
      <c r="AP3838" s="6" t="s">
        <v>240</v>
      </c>
      <c r="AQ3838" s="6" t="s">
        <v>240</v>
      </c>
      <c r="AR3838" s="6" t="s">
        <v>240</v>
      </c>
      <c r="AU3838" s="5" t="s">
        <v>729</v>
      </c>
      <c r="AV3838" s="5" t="s">
        <v>729</v>
      </c>
      <c r="AW3838" s="5" t="s">
        <v>251</v>
      </c>
      <c r="AX3838" s="5" t="s">
        <v>252</v>
      </c>
      <c r="AY3838" s="5" t="s">
        <v>253</v>
      </c>
      <c r="AZ3838" s="5" t="s">
        <v>6046</v>
      </c>
      <c r="BA3838" s="5" t="s">
        <v>255</v>
      </c>
      <c r="BB3838" s="5" t="s">
        <v>731</v>
      </c>
      <c r="BD3838" s="5" t="s">
        <v>842</v>
      </c>
      <c r="BF3838" s="5" t="s">
        <v>256</v>
      </c>
      <c r="BG3838" s="6" t="s">
        <v>6818</v>
      </c>
      <c r="BH3838" s="5" t="s">
        <v>734</v>
      </c>
      <c r="BI3838" s="5" t="s">
        <v>734</v>
      </c>
      <c r="BJ3838" s="5" t="s">
        <v>240</v>
      </c>
      <c r="BK3838" s="8">
        <f>79</f>
        <v>79</v>
      </c>
      <c r="BL3838" s="7">
        <f>1</f>
        <v>1</v>
      </c>
      <c r="BM3838" s="5" t="s">
        <v>258</v>
      </c>
      <c r="BN3838" s="5" t="s">
        <v>259</v>
      </c>
      <c r="BO3838" s="5" t="s">
        <v>240</v>
      </c>
      <c r="BP3838" s="5" t="s">
        <v>240</v>
      </c>
      <c r="BQ3838" s="5" t="s">
        <v>240</v>
      </c>
      <c r="BR3838" s="5" t="s">
        <v>240</v>
      </c>
      <c r="BW3838" s="6" t="s">
        <v>240</v>
      </c>
      <c r="BX3838" s="5" t="s">
        <v>240</v>
      </c>
      <c r="BY3838" s="5" t="s">
        <v>240</v>
      </c>
      <c r="BZ3838" s="5" t="s">
        <v>240</v>
      </c>
      <c r="CA3838" s="5" t="s">
        <v>259</v>
      </c>
      <c r="CB3838" s="5" t="s">
        <v>240</v>
      </c>
      <c r="CC3838" s="5" t="s">
        <v>240</v>
      </c>
      <c r="CG3838" s="5" t="s">
        <v>240</v>
      </c>
      <c r="CH3838" s="5" t="s">
        <v>240</v>
      </c>
      <c r="CI3838" s="5" t="s">
        <v>260</v>
      </c>
      <c r="CK3838" s="5" t="s">
        <v>240</v>
      </c>
      <c r="CL3838" s="6" t="s">
        <v>261</v>
      </c>
      <c r="CM3838" s="5" t="s">
        <v>262</v>
      </c>
      <c r="CN3838" s="5" t="s">
        <v>263</v>
      </c>
      <c r="CO3838" s="5" t="s">
        <v>264</v>
      </c>
      <c r="CP3838" s="5" t="s">
        <v>240</v>
      </c>
      <c r="CQ3838" s="5">
        <v>0</v>
      </c>
      <c r="CR3838" s="5" t="s">
        <v>735</v>
      </c>
      <c r="CS3838" s="5" t="s">
        <v>307</v>
      </c>
      <c r="CT3838" s="5" t="s">
        <v>307</v>
      </c>
      <c r="CU3838" s="5" t="s">
        <v>260</v>
      </c>
      <c r="CV3838" s="5" t="s">
        <v>240</v>
      </c>
      <c r="CW3838" s="8">
        <f>0</f>
        <v>0</v>
      </c>
      <c r="CX3838" s="7">
        <f>1</f>
        <v>1</v>
      </c>
      <c r="CY3838" s="7">
        <f>0</f>
        <v>0</v>
      </c>
      <c r="CZ3838" s="7">
        <f>0</f>
        <v>0</v>
      </c>
      <c r="DA3838" s="7">
        <f>1</f>
        <v>1</v>
      </c>
      <c r="DB3838" s="7" t="s">
        <v>240</v>
      </c>
      <c r="DC3838" s="5" t="s">
        <v>240</v>
      </c>
      <c r="DD3838" s="5" t="s">
        <v>240</v>
      </c>
      <c r="DF3838" s="5" t="s">
        <v>240</v>
      </c>
      <c r="DG3838" s="7">
        <f>0</f>
        <v>0</v>
      </c>
      <c r="DH3838" s="6" t="s">
        <v>240</v>
      </c>
      <c r="DI3838" s="5" t="s">
        <v>240</v>
      </c>
      <c r="DJ3838" s="5" t="s">
        <v>240</v>
      </c>
      <c r="DK3838" s="5" t="s">
        <v>240</v>
      </c>
      <c r="DL3838" s="5" t="s">
        <v>240</v>
      </c>
      <c r="DM3838" s="5" t="s">
        <v>240</v>
      </c>
      <c r="DN3838" s="5" t="s">
        <v>240</v>
      </c>
      <c r="DO3838" s="7" t="s">
        <v>240</v>
      </c>
      <c r="DP3838" s="5" t="s">
        <v>240</v>
      </c>
      <c r="DQ3838" s="5" t="s">
        <v>248</v>
      </c>
      <c r="DR3838" s="5" t="s">
        <v>731</v>
      </c>
      <c r="DS3838" s="5" t="s">
        <v>731</v>
      </c>
      <c r="DT3838" s="5" t="s">
        <v>240</v>
      </c>
      <c r="DU3838" s="5" t="s">
        <v>240</v>
      </c>
      <c r="HR3838" s="5" t="s">
        <v>240</v>
      </c>
      <c r="HS3838" s="5" t="s">
        <v>240</v>
      </c>
      <c r="HT3838" s="5" t="s">
        <v>240</v>
      </c>
      <c r="HU3838" s="5" t="s">
        <v>240</v>
      </c>
      <c r="HV3838" s="5" t="s">
        <v>240</v>
      </c>
      <c r="HW3838" s="5" t="s">
        <v>240</v>
      </c>
      <c r="HX3838" s="5" t="s">
        <v>240</v>
      </c>
      <c r="HY3838" s="5" t="s">
        <v>240</v>
      </c>
      <c r="HZ3838" s="5" t="s">
        <v>240</v>
      </c>
      <c r="IA3838" s="5" t="s">
        <v>240</v>
      </c>
      <c r="IB3838" s="5" t="s">
        <v>240</v>
      </c>
      <c r="IC3838" s="5" t="s">
        <v>240</v>
      </c>
      <c r="ID3838" s="5" t="s">
        <v>240</v>
      </c>
      <c r="IE3838" s="5" t="s">
        <v>240</v>
      </c>
      <c r="IF3838" s="5" t="s">
        <v>240</v>
      </c>
    </row>
    <row r="3839" spans="1:240" x14ac:dyDescent="0.4">
      <c r="A3839" s="5">
        <v>9381</v>
      </c>
      <c r="B3839" s="5">
        <v>1</v>
      </c>
      <c r="C3839" s="5">
        <v>1</v>
      </c>
      <c r="D3839" s="5" t="s">
        <v>723</v>
      </c>
      <c r="E3839" s="5" t="s">
        <v>725</v>
      </c>
      <c r="F3839" s="5" t="s">
        <v>254</v>
      </c>
      <c r="G3839" s="5" t="s">
        <v>726</v>
      </c>
      <c r="H3839" s="6" t="s">
        <v>5316</v>
      </c>
      <c r="I3839" s="5" t="s">
        <v>5315</v>
      </c>
      <c r="J3839" s="7">
        <f>1</f>
        <v>1</v>
      </c>
      <c r="K3839" s="5" t="s">
        <v>3682</v>
      </c>
      <c r="L3839" s="7">
        <f>1</f>
        <v>1</v>
      </c>
      <c r="M3839" s="7">
        <f>1</f>
        <v>1</v>
      </c>
      <c r="N3839" s="5" t="s">
        <v>242</v>
      </c>
      <c r="O3839" s="5">
        <v>1</v>
      </c>
      <c r="P3839" s="5" t="s">
        <v>294</v>
      </c>
      <c r="Q3839" s="5" t="s">
        <v>240</v>
      </c>
      <c r="T3839" s="5" t="s">
        <v>243</v>
      </c>
      <c r="U3839" s="5" t="s">
        <v>240</v>
      </c>
      <c r="V3839" s="5" t="s">
        <v>240</v>
      </c>
      <c r="Y3839" s="5" t="s">
        <v>245</v>
      </c>
      <c r="Z3839" s="6" t="s">
        <v>6821</v>
      </c>
      <c r="AA3839" s="6" t="s">
        <v>240</v>
      </c>
      <c r="AB3839" s="6" t="s">
        <v>240</v>
      </c>
      <c r="AC3839" s="5" t="s">
        <v>240</v>
      </c>
      <c r="AD3839" s="6" t="s">
        <v>240</v>
      </c>
      <c r="AE3839" s="6" t="s">
        <v>6821</v>
      </c>
      <c r="AF3839" s="5" t="s">
        <v>248</v>
      </c>
      <c r="AG3839" s="5" t="s">
        <v>240</v>
      </c>
      <c r="AM3839" s="5" t="s">
        <v>240</v>
      </c>
      <c r="AN3839" s="5" t="s">
        <v>240</v>
      </c>
      <c r="AO3839" s="5" t="s">
        <v>240</v>
      </c>
      <c r="AP3839" s="6" t="s">
        <v>240</v>
      </c>
      <c r="AQ3839" s="6" t="s">
        <v>240</v>
      </c>
      <c r="AR3839" s="6" t="s">
        <v>240</v>
      </c>
      <c r="AU3839" s="5" t="s">
        <v>729</v>
      </c>
      <c r="AV3839" s="5" t="s">
        <v>729</v>
      </c>
      <c r="AW3839" s="5" t="s">
        <v>251</v>
      </c>
      <c r="AX3839" s="5" t="s">
        <v>252</v>
      </c>
      <c r="AY3839" s="5" t="s">
        <v>253</v>
      </c>
      <c r="AZ3839" s="5" t="s">
        <v>240</v>
      </c>
      <c r="BA3839" s="5" t="s">
        <v>255</v>
      </c>
      <c r="BB3839" s="5" t="s">
        <v>731</v>
      </c>
      <c r="BD3839" s="5" t="s">
        <v>240</v>
      </c>
      <c r="BF3839" s="5" t="s">
        <v>6763</v>
      </c>
      <c r="BG3839" s="6" t="s">
        <v>6823</v>
      </c>
      <c r="BH3839" s="5" t="s">
        <v>6742</v>
      </c>
      <c r="BI3839" s="5" t="s">
        <v>6743</v>
      </c>
      <c r="BJ3839" s="5" t="s">
        <v>240</v>
      </c>
      <c r="BK3839" s="7">
        <f>0</f>
        <v>0</v>
      </c>
      <c r="BL3839" s="7">
        <f>498203</f>
        <v>498203</v>
      </c>
      <c r="BM3839" s="5" t="s">
        <v>258</v>
      </c>
      <c r="BN3839" s="5" t="s">
        <v>259</v>
      </c>
      <c r="BO3839" s="5" t="s">
        <v>6744</v>
      </c>
      <c r="BP3839" s="5" t="s">
        <v>6745</v>
      </c>
      <c r="BQ3839" s="5" t="s">
        <v>6745</v>
      </c>
      <c r="BR3839" s="5" t="s">
        <v>240</v>
      </c>
      <c r="BS3839" s="5" t="s">
        <v>258</v>
      </c>
      <c r="BT3839" s="5" t="s">
        <v>6747</v>
      </c>
      <c r="BU3839" s="5" t="s">
        <v>6747</v>
      </c>
      <c r="BW3839" s="6" t="s">
        <v>6824</v>
      </c>
      <c r="BX3839" s="5" t="s">
        <v>258</v>
      </c>
      <c r="BY3839" s="5" t="s">
        <v>240</v>
      </c>
      <c r="BZ3839" s="5" t="s">
        <v>240</v>
      </c>
      <c r="CA3839" s="5" t="s">
        <v>259</v>
      </c>
      <c r="CB3839" s="5" t="s">
        <v>240</v>
      </c>
      <c r="CC3839" s="5" t="s">
        <v>240</v>
      </c>
      <c r="CG3839" s="5" t="s">
        <v>240</v>
      </c>
      <c r="CH3839" s="5" t="s">
        <v>240</v>
      </c>
      <c r="CI3839" s="5" t="s">
        <v>260</v>
      </c>
      <c r="CK3839" s="5" t="s">
        <v>240</v>
      </c>
      <c r="CL3839" s="6" t="s">
        <v>261</v>
      </c>
      <c r="CM3839" s="5" t="s">
        <v>262</v>
      </c>
      <c r="CN3839" s="5" t="s">
        <v>293</v>
      </c>
      <c r="CO3839" s="5" t="s">
        <v>264</v>
      </c>
      <c r="CP3839" s="5" t="s">
        <v>240</v>
      </c>
      <c r="CQ3839" s="5">
        <v>0</v>
      </c>
      <c r="CR3839" s="5" t="s">
        <v>240</v>
      </c>
      <c r="CS3839" s="5" t="s">
        <v>240</v>
      </c>
      <c r="CT3839" s="5" t="s">
        <v>240</v>
      </c>
      <c r="CU3839" s="5" t="s">
        <v>260</v>
      </c>
      <c r="CV3839" s="5" t="s">
        <v>240</v>
      </c>
      <c r="CW3839" s="8">
        <f>0</f>
        <v>0</v>
      </c>
      <c r="CX3839" s="7">
        <f>498203</f>
        <v>498203</v>
      </c>
      <c r="CY3839" s="7">
        <f>0</f>
        <v>0</v>
      </c>
      <c r="CZ3839" s="7">
        <f>0</f>
        <v>0</v>
      </c>
      <c r="DA3839" s="7">
        <f>498203</f>
        <v>498203</v>
      </c>
      <c r="DB3839" s="7" t="s">
        <v>240</v>
      </c>
      <c r="DC3839" s="5" t="s">
        <v>240</v>
      </c>
      <c r="DD3839" s="5" t="s">
        <v>240</v>
      </c>
      <c r="DF3839" s="5" t="s">
        <v>240</v>
      </c>
      <c r="DG3839" s="7">
        <f>0</f>
        <v>0</v>
      </c>
      <c r="DH3839" s="6" t="s">
        <v>240</v>
      </c>
      <c r="DI3839" s="5" t="s">
        <v>240</v>
      </c>
      <c r="DJ3839" s="5" t="s">
        <v>240</v>
      </c>
      <c r="DK3839" s="5" t="s">
        <v>240</v>
      </c>
      <c r="DL3839" s="5" t="s">
        <v>240</v>
      </c>
      <c r="DM3839" s="5" t="s">
        <v>240</v>
      </c>
      <c r="DN3839" s="5" t="s">
        <v>240</v>
      </c>
      <c r="DO3839" s="7" t="s">
        <v>240</v>
      </c>
      <c r="DP3839" s="5" t="s">
        <v>240</v>
      </c>
      <c r="DQ3839" s="5" t="s">
        <v>248</v>
      </c>
      <c r="DR3839" s="5" t="s">
        <v>731</v>
      </c>
      <c r="DS3839" s="5" t="s">
        <v>731</v>
      </c>
      <c r="DT3839" s="5" t="s">
        <v>240</v>
      </c>
      <c r="DU3839" s="5" t="s">
        <v>240</v>
      </c>
      <c r="HR3839" s="5" t="s">
        <v>240</v>
      </c>
      <c r="HS3839" s="5" t="s">
        <v>240</v>
      </c>
      <c r="HT3839" s="5" t="s">
        <v>240</v>
      </c>
      <c r="HU3839" s="5" t="s">
        <v>240</v>
      </c>
      <c r="HV3839" s="5" t="s">
        <v>240</v>
      </c>
      <c r="HW3839" s="5" t="s">
        <v>240</v>
      </c>
      <c r="HX3839" s="5" t="s">
        <v>240</v>
      </c>
      <c r="HY3839" s="5" t="s">
        <v>240</v>
      </c>
      <c r="HZ3839" s="5" t="s">
        <v>240</v>
      </c>
      <c r="IA3839" s="5" t="s">
        <v>240</v>
      </c>
      <c r="IB3839" s="5" t="s">
        <v>240</v>
      </c>
      <c r="IC3839" s="5" t="s">
        <v>240</v>
      </c>
      <c r="ID3839" s="5" t="s">
        <v>240</v>
      </c>
      <c r="IE3839" s="5" t="s">
        <v>240</v>
      </c>
      <c r="IF3839" s="5" t="s">
        <v>240</v>
      </c>
    </row>
    <row r="3840" spans="1:240" x14ac:dyDescent="0.4">
      <c r="A3840" s="5">
        <v>9382</v>
      </c>
      <c r="B3840" s="5">
        <v>1</v>
      </c>
      <c r="C3840" s="5">
        <v>1</v>
      </c>
      <c r="D3840" s="5" t="s">
        <v>723</v>
      </c>
      <c r="E3840" s="5" t="s">
        <v>725</v>
      </c>
      <c r="F3840" s="5" t="s">
        <v>254</v>
      </c>
      <c r="G3840" s="5" t="s">
        <v>726</v>
      </c>
      <c r="H3840" s="6" t="s">
        <v>5314</v>
      </c>
      <c r="I3840" s="5" t="s">
        <v>5313</v>
      </c>
      <c r="J3840" s="7">
        <f>1</f>
        <v>1</v>
      </c>
      <c r="K3840" s="5" t="s">
        <v>3682</v>
      </c>
      <c r="L3840" s="7">
        <f>1</f>
        <v>1</v>
      </c>
      <c r="M3840" s="7">
        <f>1</f>
        <v>1</v>
      </c>
      <c r="N3840" s="5" t="s">
        <v>242</v>
      </c>
      <c r="O3840" s="5">
        <v>1</v>
      </c>
      <c r="P3840" s="5" t="s">
        <v>294</v>
      </c>
      <c r="Q3840" s="5" t="s">
        <v>613</v>
      </c>
      <c r="T3840" s="5" t="s">
        <v>243</v>
      </c>
      <c r="U3840" s="5" t="s">
        <v>244</v>
      </c>
      <c r="V3840" s="5" t="s">
        <v>240</v>
      </c>
      <c r="Y3840" s="5" t="s">
        <v>240</v>
      </c>
      <c r="Z3840" s="6" t="s">
        <v>298</v>
      </c>
      <c r="AA3840" s="6" t="s">
        <v>240</v>
      </c>
      <c r="AB3840" s="6" t="s">
        <v>240</v>
      </c>
      <c r="AC3840" s="5" t="s">
        <v>240</v>
      </c>
      <c r="AD3840" s="6" t="s">
        <v>240</v>
      </c>
      <c r="AE3840" s="6" t="s">
        <v>299</v>
      </c>
      <c r="AF3840" s="5" t="s">
        <v>248</v>
      </c>
      <c r="AG3840" s="5" t="s">
        <v>249</v>
      </c>
      <c r="AM3840" s="5" t="s">
        <v>240</v>
      </c>
      <c r="AN3840" s="5" t="s">
        <v>240</v>
      </c>
      <c r="AO3840" s="5" t="s">
        <v>240</v>
      </c>
      <c r="AP3840" s="6" t="s">
        <v>240</v>
      </c>
      <c r="AQ3840" s="6" t="s">
        <v>240</v>
      </c>
      <c r="AW3840" s="5" t="s">
        <v>251</v>
      </c>
      <c r="AX3840" s="5" t="s">
        <v>252</v>
      </c>
      <c r="AY3840" s="5" t="s">
        <v>253</v>
      </c>
      <c r="AZ3840" s="5" t="s">
        <v>6046</v>
      </c>
      <c r="BA3840" s="5" t="s">
        <v>255</v>
      </c>
      <c r="BB3840" s="5" t="s">
        <v>731</v>
      </c>
      <c r="BD3840" s="5" t="s">
        <v>686</v>
      </c>
      <c r="BF3840" s="5" t="s">
        <v>301</v>
      </c>
      <c r="BG3840" s="6" t="s">
        <v>733</v>
      </c>
      <c r="BH3840" s="5" t="s">
        <v>302</v>
      </c>
      <c r="BI3840" s="5" t="s">
        <v>303</v>
      </c>
      <c r="BJ3840" s="5" t="s">
        <v>240</v>
      </c>
      <c r="BK3840" s="8">
        <f>0</f>
        <v>0</v>
      </c>
      <c r="BL3840" s="7">
        <f>0</f>
        <v>0</v>
      </c>
      <c r="BM3840" s="5" t="s">
        <v>258</v>
      </c>
      <c r="BN3840" s="5" t="s">
        <v>259</v>
      </c>
      <c r="BW3840" s="6" t="s">
        <v>240</v>
      </c>
      <c r="BX3840" s="5" t="s">
        <v>240</v>
      </c>
      <c r="BY3840" s="5" t="s">
        <v>240</v>
      </c>
      <c r="BZ3840" s="5" t="s">
        <v>240</v>
      </c>
      <c r="CB3840" s="5" t="s">
        <v>240</v>
      </c>
      <c r="CC3840" s="5" t="s">
        <v>240</v>
      </c>
      <c r="CG3840" s="5" t="s">
        <v>617</v>
      </c>
      <c r="CH3840" s="5" t="s">
        <v>305</v>
      </c>
      <c r="CI3840" s="5" t="s">
        <v>260</v>
      </c>
      <c r="CK3840" s="5" t="s">
        <v>240</v>
      </c>
      <c r="CL3840" s="6" t="s">
        <v>261</v>
      </c>
      <c r="CM3840" s="5" t="s">
        <v>240</v>
      </c>
      <c r="CN3840" s="5" t="s">
        <v>263</v>
      </c>
      <c r="CO3840" s="5" t="s">
        <v>240</v>
      </c>
      <c r="CP3840" s="5" t="s">
        <v>240</v>
      </c>
      <c r="CQ3840" s="5">
        <v>0</v>
      </c>
      <c r="CR3840" s="5" t="s">
        <v>735</v>
      </c>
      <c r="CS3840" s="5" t="s">
        <v>307</v>
      </c>
      <c r="CT3840" s="5" t="s">
        <v>307</v>
      </c>
      <c r="CU3840" s="5" t="s">
        <v>260</v>
      </c>
      <c r="CV3840" s="5" t="s">
        <v>240</v>
      </c>
      <c r="CW3840" s="8" t="s">
        <v>240</v>
      </c>
      <c r="CX3840" s="7">
        <f>1966920</f>
        <v>1966920</v>
      </c>
      <c r="CY3840" s="7">
        <f>0</f>
        <v>0</v>
      </c>
      <c r="CZ3840" s="7" t="s">
        <v>240</v>
      </c>
      <c r="DA3840" s="7">
        <f>0</f>
        <v>0</v>
      </c>
      <c r="DB3840" s="7" t="s">
        <v>240</v>
      </c>
      <c r="DC3840" s="5" t="s">
        <v>689</v>
      </c>
      <c r="DD3840" s="5" t="s">
        <v>240</v>
      </c>
      <c r="DF3840" s="5" t="s">
        <v>689</v>
      </c>
      <c r="DG3840" s="7">
        <f>888</f>
        <v>888</v>
      </c>
      <c r="DH3840" s="6" t="s">
        <v>240</v>
      </c>
      <c r="DI3840" s="5" t="s">
        <v>618</v>
      </c>
      <c r="DJ3840" s="5" t="s">
        <v>240</v>
      </c>
      <c r="DK3840" s="5" t="s">
        <v>240</v>
      </c>
      <c r="DL3840" s="5" t="s">
        <v>240</v>
      </c>
      <c r="DM3840" s="5" t="s">
        <v>240</v>
      </c>
      <c r="DN3840" s="5" t="s">
        <v>240</v>
      </c>
      <c r="DO3840" s="7" t="s">
        <v>240</v>
      </c>
      <c r="DP3840" s="5" t="s">
        <v>240</v>
      </c>
      <c r="DQ3840" s="5" t="s">
        <v>248</v>
      </c>
      <c r="DR3840" s="5" t="s">
        <v>731</v>
      </c>
      <c r="DS3840" s="5" t="s">
        <v>731</v>
      </c>
      <c r="DT3840" s="5" t="s">
        <v>240</v>
      </c>
      <c r="DU3840" s="5" t="s">
        <v>240</v>
      </c>
      <c r="DV3840" s="5" t="s">
        <v>6828</v>
      </c>
      <c r="DW3840" s="5" t="s">
        <v>621</v>
      </c>
    </row>
    <row r="3841" spans="1:240" x14ac:dyDescent="0.4">
      <c r="A3841" s="5">
        <v>9383</v>
      </c>
      <c r="B3841" s="5">
        <v>1</v>
      </c>
      <c r="C3841" s="5">
        <v>1</v>
      </c>
      <c r="D3841" s="5" t="s">
        <v>723</v>
      </c>
      <c r="E3841" s="5" t="s">
        <v>725</v>
      </c>
      <c r="F3841" s="5" t="s">
        <v>254</v>
      </c>
      <c r="G3841" s="5" t="s">
        <v>726</v>
      </c>
      <c r="H3841" s="6" t="s">
        <v>5312</v>
      </c>
      <c r="I3841" s="5" t="s">
        <v>5311</v>
      </c>
      <c r="J3841" s="7">
        <f>1</f>
        <v>1</v>
      </c>
      <c r="K3841" s="5" t="s">
        <v>3682</v>
      </c>
      <c r="L3841" s="7">
        <f>1</f>
        <v>1</v>
      </c>
      <c r="M3841" s="7">
        <f>1</f>
        <v>1</v>
      </c>
      <c r="N3841" s="5" t="s">
        <v>242</v>
      </c>
      <c r="O3841" s="5">
        <v>1</v>
      </c>
      <c r="P3841" s="5" t="s">
        <v>294</v>
      </c>
      <c r="Q3841" s="5" t="s">
        <v>266</v>
      </c>
      <c r="T3841" s="5" t="s">
        <v>243</v>
      </c>
      <c r="U3841" s="5" t="s">
        <v>244</v>
      </c>
      <c r="V3841" s="5" t="s">
        <v>240</v>
      </c>
      <c r="Y3841" s="5" t="s">
        <v>240</v>
      </c>
      <c r="Z3841" s="6" t="s">
        <v>2212</v>
      </c>
      <c r="AA3841" s="6" t="s">
        <v>240</v>
      </c>
      <c r="AB3841" s="6" t="s">
        <v>240</v>
      </c>
      <c r="AD3841" s="6" t="s">
        <v>240</v>
      </c>
      <c r="AE3841" s="6" t="s">
        <v>299</v>
      </c>
      <c r="AF3841" s="5" t="s">
        <v>248</v>
      </c>
      <c r="AG3841" s="5" t="s">
        <v>249</v>
      </c>
      <c r="AM3841" s="5" t="s">
        <v>240</v>
      </c>
      <c r="AN3841" s="5" t="s">
        <v>240</v>
      </c>
      <c r="AO3841" s="5" t="s">
        <v>240</v>
      </c>
      <c r="AP3841" s="6" t="s">
        <v>240</v>
      </c>
      <c r="AQ3841" s="6" t="s">
        <v>240</v>
      </c>
      <c r="AR3841" s="6" t="s">
        <v>240</v>
      </c>
      <c r="AU3841" s="5" t="s">
        <v>729</v>
      </c>
      <c r="AV3841" s="5" t="s">
        <v>729</v>
      </c>
      <c r="AW3841" s="5" t="s">
        <v>251</v>
      </c>
      <c r="AX3841" s="5" t="s">
        <v>6831</v>
      </c>
      <c r="AY3841" s="5" t="s">
        <v>253</v>
      </c>
      <c r="AZ3841" s="5" t="s">
        <v>240</v>
      </c>
      <c r="BA3841" s="5" t="s">
        <v>255</v>
      </c>
      <c r="BB3841" s="5" t="s">
        <v>240</v>
      </c>
      <c r="BD3841" s="5" t="s">
        <v>240</v>
      </c>
      <c r="BF3841" s="5" t="s">
        <v>256</v>
      </c>
      <c r="BG3841" s="6" t="s">
        <v>270</v>
      </c>
      <c r="BH3841" s="5" t="s">
        <v>6832</v>
      </c>
      <c r="BI3841" s="5" t="s">
        <v>6833</v>
      </c>
      <c r="BJ3841" s="5" t="s">
        <v>240</v>
      </c>
      <c r="BK3841" s="8">
        <f>-35</f>
        <v>-35</v>
      </c>
      <c r="BL3841" s="7">
        <f>0</f>
        <v>0</v>
      </c>
      <c r="BM3841" s="5" t="s">
        <v>258</v>
      </c>
      <c r="BN3841" s="5" t="s">
        <v>259</v>
      </c>
      <c r="BO3841" s="5" t="s">
        <v>240</v>
      </c>
      <c r="BP3841" s="5" t="s">
        <v>240</v>
      </c>
      <c r="BQ3841" s="5" t="s">
        <v>240</v>
      </c>
      <c r="BR3841" s="5" t="s">
        <v>240</v>
      </c>
      <c r="CA3841" s="5" t="s">
        <v>259</v>
      </c>
      <c r="CB3841" s="5" t="s">
        <v>240</v>
      </c>
      <c r="CC3841" s="5" t="s">
        <v>240</v>
      </c>
      <c r="CG3841" s="5" t="s">
        <v>617</v>
      </c>
      <c r="CH3841" s="5" t="s">
        <v>305</v>
      </c>
      <c r="CI3841" s="5" t="s">
        <v>240</v>
      </c>
      <c r="CL3841" s="6" t="s">
        <v>261</v>
      </c>
      <c r="CM3841" s="5" t="s">
        <v>262</v>
      </c>
      <c r="CN3841" s="5" t="s">
        <v>293</v>
      </c>
      <c r="CO3841" s="5" t="s">
        <v>264</v>
      </c>
      <c r="CP3841" s="5" t="s">
        <v>240</v>
      </c>
      <c r="CQ3841" s="5">
        <v>0</v>
      </c>
      <c r="CR3841" s="5" t="s">
        <v>306</v>
      </c>
      <c r="CS3841" s="5" t="s">
        <v>307</v>
      </c>
      <c r="CT3841" s="5" t="s">
        <v>307</v>
      </c>
      <c r="CU3841" s="5" t="s">
        <v>260</v>
      </c>
      <c r="CW3841" s="8">
        <f>0</f>
        <v>0</v>
      </c>
      <c r="CX3841" s="7">
        <f>224999</f>
        <v>224999</v>
      </c>
      <c r="CY3841" s="7">
        <f>0</f>
        <v>0</v>
      </c>
      <c r="DA3841" s="7">
        <f>224999</f>
        <v>224999</v>
      </c>
      <c r="DC3841" s="5" t="s">
        <v>240</v>
      </c>
      <c r="DD3841" s="5" t="s">
        <v>240</v>
      </c>
      <c r="DF3841" s="5" t="s">
        <v>1674</v>
      </c>
      <c r="DG3841" s="7">
        <f>0</f>
        <v>0</v>
      </c>
      <c r="DI3841" s="5" t="s">
        <v>240</v>
      </c>
      <c r="DJ3841" s="5" t="s">
        <v>240</v>
      </c>
      <c r="DK3841" s="5" t="s">
        <v>240</v>
      </c>
      <c r="DL3841" s="5" t="s">
        <v>240</v>
      </c>
      <c r="DM3841" s="5" t="s">
        <v>240</v>
      </c>
      <c r="DP3841" s="5" t="s">
        <v>240</v>
      </c>
      <c r="DQ3841" s="5" t="s">
        <v>240</v>
      </c>
      <c r="DR3841" s="5" t="s">
        <v>240</v>
      </c>
      <c r="DS3841" s="5" t="s">
        <v>240</v>
      </c>
      <c r="DV3841" s="5" t="s">
        <v>6834</v>
      </c>
      <c r="DW3841" s="5" t="s">
        <v>312</v>
      </c>
      <c r="HO3841" s="5" t="s">
        <v>312</v>
      </c>
      <c r="HR3841" s="5" t="s">
        <v>240</v>
      </c>
      <c r="HS3841" s="5" t="s">
        <v>240</v>
      </c>
      <c r="HT3841" s="5" t="s">
        <v>240</v>
      </c>
      <c r="HU3841" s="5" t="s">
        <v>240</v>
      </c>
      <c r="HV3841" s="5" t="s">
        <v>240</v>
      </c>
      <c r="HW3841" s="5" t="s">
        <v>240</v>
      </c>
      <c r="HX3841" s="5" t="s">
        <v>240</v>
      </c>
      <c r="HY3841" s="5" t="s">
        <v>240</v>
      </c>
      <c r="HZ3841" s="5" t="s">
        <v>240</v>
      </c>
      <c r="IA3841" s="5" t="s">
        <v>240</v>
      </c>
      <c r="IB3841" s="5" t="s">
        <v>240</v>
      </c>
      <c r="IC3841" s="5" t="s">
        <v>240</v>
      </c>
      <c r="ID3841" s="5" t="s">
        <v>240</v>
      </c>
      <c r="IE3841" s="5" t="s">
        <v>240</v>
      </c>
      <c r="IF3841" s="5" t="s">
        <v>240</v>
      </c>
    </row>
    <row r="3842" spans="1:240" x14ac:dyDescent="0.4">
      <c r="A3842" s="5">
        <v>9384</v>
      </c>
      <c r="B3842" s="5">
        <v>1</v>
      </c>
      <c r="C3842" s="5">
        <v>1</v>
      </c>
      <c r="D3842" s="5" t="s">
        <v>723</v>
      </c>
      <c r="E3842" s="5" t="s">
        <v>725</v>
      </c>
      <c r="F3842" s="5" t="s">
        <v>254</v>
      </c>
      <c r="G3842" s="5" t="s">
        <v>726</v>
      </c>
      <c r="H3842" s="6" t="s">
        <v>5310</v>
      </c>
      <c r="I3842" s="5" t="s">
        <v>5309</v>
      </c>
      <c r="J3842" s="7">
        <f>1</f>
        <v>1</v>
      </c>
      <c r="K3842" s="5" t="s">
        <v>3682</v>
      </c>
      <c r="L3842" s="7">
        <f>1</f>
        <v>1</v>
      </c>
      <c r="M3842" s="7">
        <f>1</f>
        <v>1</v>
      </c>
      <c r="N3842" s="5" t="s">
        <v>242</v>
      </c>
      <c r="O3842" s="5">
        <v>1</v>
      </c>
      <c r="P3842" s="5" t="s">
        <v>294</v>
      </c>
      <c r="Q3842" s="5" t="s">
        <v>613</v>
      </c>
      <c r="T3842" s="5" t="s">
        <v>243</v>
      </c>
      <c r="U3842" s="5" t="s">
        <v>244</v>
      </c>
      <c r="V3842" s="5" t="s">
        <v>240</v>
      </c>
      <c r="Y3842" s="5" t="s">
        <v>240</v>
      </c>
      <c r="Z3842" s="6" t="s">
        <v>298</v>
      </c>
      <c r="AA3842" s="6" t="s">
        <v>240</v>
      </c>
      <c r="AB3842" s="6" t="s">
        <v>240</v>
      </c>
      <c r="AC3842" s="5" t="s">
        <v>240</v>
      </c>
      <c r="AD3842" s="6" t="s">
        <v>240</v>
      </c>
      <c r="AE3842" s="6" t="s">
        <v>299</v>
      </c>
      <c r="AF3842" s="5" t="s">
        <v>248</v>
      </c>
      <c r="AG3842" s="5" t="s">
        <v>249</v>
      </c>
      <c r="AM3842" s="5" t="s">
        <v>240</v>
      </c>
      <c r="AN3842" s="5" t="s">
        <v>240</v>
      </c>
      <c r="AO3842" s="5" t="s">
        <v>240</v>
      </c>
      <c r="AP3842" s="6" t="s">
        <v>240</v>
      </c>
      <c r="AQ3842" s="6" t="s">
        <v>240</v>
      </c>
      <c r="AW3842" s="5" t="s">
        <v>251</v>
      </c>
      <c r="AX3842" s="5" t="s">
        <v>252</v>
      </c>
      <c r="AY3842" s="5" t="s">
        <v>253</v>
      </c>
      <c r="AZ3842" s="5" t="s">
        <v>6046</v>
      </c>
      <c r="BA3842" s="5" t="s">
        <v>255</v>
      </c>
      <c r="BB3842" s="5" t="s">
        <v>731</v>
      </c>
      <c r="BD3842" s="5" t="s">
        <v>686</v>
      </c>
      <c r="BF3842" s="5" t="s">
        <v>301</v>
      </c>
      <c r="BG3842" s="6" t="s">
        <v>733</v>
      </c>
      <c r="BH3842" s="5" t="s">
        <v>302</v>
      </c>
      <c r="BI3842" s="5" t="s">
        <v>6838</v>
      </c>
      <c r="BJ3842" s="5" t="s">
        <v>240</v>
      </c>
      <c r="BK3842" s="8">
        <f>0</f>
        <v>0</v>
      </c>
      <c r="BL3842" s="7">
        <f>0</f>
        <v>0</v>
      </c>
      <c r="BM3842" s="5" t="s">
        <v>258</v>
      </c>
      <c r="BN3842" s="5" t="s">
        <v>259</v>
      </c>
      <c r="BW3842" s="6" t="s">
        <v>240</v>
      </c>
      <c r="BX3842" s="5" t="s">
        <v>240</v>
      </c>
      <c r="BY3842" s="5" t="s">
        <v>240</v>
      </c>
      <c r="BZ3842" s="5" t="s">
        <v>240</v>
      </c>
      <c r="CB3842" s="5" t="s">
        <v>240</v>
      </c>
      <c r="CC3842" s="5" t="s">
        <v>240</v>
      </c>
      <c r="CG3842" s="5" t="s">
        <v>617</v>
      </c>
      <c r="CH3842" s="5" t="s">
        <v>305</v>
      </c>
      <c r="CI3842" s="5" t="s">
        <v>260</v>
      </c>
      <c r="CK3842" s="5" t="s">
        <v>240</v>
      </c>
      <c r="CL3842" s="6" t="s">
        <v>261</v>
      </c>
      <c r="CM3842" s="5" t="s">
        <v>240</v>
      </c>
      <c r="CN3842" s="5" t="s">
        <v>263</v>
      </c>
      <c r="CO3842" s="5" t="s">
        <v>240</v>
      </c>
      <c r="CP3842" s="5" t="s">
        <v>240</v>
      </c>
      <c r="CQ3842" s="5">
        <v>0</v>
      </c>
      <c r="CR3842" s="5" t="s">
        <v>735</v>
      </c>
      <c r="CS3842" s="5" t="s">
        <v>307</v>
      </c>
      <c r="CT3842" s="5" t="s">
        <v>307</v>
      </c>
      <c r="CU3842" s="5" t="s">
        <v>260</v>
      </c>
      <c r="CV3842" s="5" t="s">
        <v>240</v>
      </c>
      <c r="CW3842" s="8" t="s">
        <v>240</v>
      </c>
      <c r="CX3842" s="7">
        <f>46858545</f>
        <v>46858545</v>
      </c>
      <c r="CY3842" s="7">
        <f>0</f>
        <v>0</v>
      </c>
      <c r="CZ3842" s="7" t="s">
        <v>240</v>
      </c>
      <c r="DA3842" s="7">
        <f>0</f>
        <v>0</v>
      </c>
      <c r="DB3842" s="7" t="s">
        <v>240</v>
      </c>
      <c r="DC3842" s="5" t="s">
        <v>450</v>
      </c>
      <c r="DD3842" s="5" t="s">
        <v>240</v>
      </c>
      <c r="DF3842" s="5" t="s">
        <v>450</v>
      </c>
      <c r="DG3842" s="7">
        <f>0</f>
        <v>0</v>
      </c>
      <c r="DH3842" s="6" t="s">
        <v>240</v>
      </c>
      <c r="DI3842" s="5" t="s">
        <v>618</v>
      </c>
      <c r="DJ3842" s="5" t="s">
        <v>240</v>
      </c>
      <c r="DK3842" s="5" t="s">
        <v>240</v>
      </c>
      <c r="DL3842" s="5" t="s">
        <v>240</v>
      </c>
      <c r="DM3842" s="5" t="s">
        <v>240</v>
      </c>
      <c r="DN3842" s="5" t="s">
        <v>240</v>
      </c>
      <c r="DO3842" s="7" t="s">
        <v>240</v>
      </c>
      <c r="DP3842" s="5" t="s">
        <v>240</v>
      </c>
      <c r="DQ3842" s="5" t="s">
        <v>248</v>
      </c>
      <c r="DR3842" s="5" t="s">
        <v>731</v>
      </c>
      <c r="DS3842" s="5" t="s">
        <v>731</v>
      </c>
      <c r="DT3842" s="5" t="s">
        <v>240</v>
      </c>
      <c r="DU3842" s="5" t="s">
        <v>240</v>
      </c>
      <c r="DV3842" s="5" t="s">
        <v>6839</v>
      </c>
      <c r="DW3842" s="5" t="s">
        <v>312</v>
      </c>
    </row>
    <row r="3843" spans="1:240" x14ac:dyDescent="0.4">
      <c r="A3843" s="5">
        <v>9385</v>
      </c>
      <c r="B3843" s="5">
        <v>1</v>
      </c>
      <c r="C3843" s="5">
        <v>1</v>
      </c>
      <c r="D3843" s="5" t="s">
        <v>723</v>
      </c>
      <c r="E3843" s="5" t="s">
        <v>725</v>
      </c>
      <c r="F3843" s="5" t="s">
        <v>254</v>
      </c>
      <c r="G3843" s="5" t="s">
        <v>726</v>
      </c>
      <c r="H3843" s="6" t="s">
        <v>5308</v>
      </c>
      <c r="I3843" s="5" t="s">
        <v>5307</v>
      </c>
      <c r="J3843" s="7">
        <f>1</f>
        <v>1</v>
      </c>
      <c r="K3843" s="5" t="s">
        <v>3682</v>
      </c>
      <c r="L3843" s="7">
        <f>1</f>
        <v>1</v>
      </c>
      <c r="M3843" s="7">
        <f>1</f>
        <v>1</v>
      </c>
      <c r="N3843" s="5" t="s">
        <v>242</v>
      </c>
      <c r="O3843" s="5">
        <v>1</v>
      </c>
      <c r="P3843" s="5" t="s">
        <v>294</v>
      </c>
      <c r="Q3843" s="5" t="s">
        <v>613</v>
      </c>
      <c r="T3843" s="5" t="s">
        <v>243</v>
      </c>
      <c r="U3843" s="5" t="s">
        <v>244</v>
      </c>
      <c r="V3843" s="5" t="s">
        <v>240</v>
      </c>
      <c r="Y3843" s="5" t="s">
        <v>240</v>
      </c>
      <c r="Z3843" s="6" t="s">
        <v>298</v>
      </c>
      <c r="AA3843" s="6" t="s">
        <v>240</v>
      </c>
      <c r="AB3843" s="6" t="s">
        <v>240</v>
      </c>
      <c r="AC3843" s="5" t="s">
        <v>240</v>
      </c>
      <c r="AD3843" s="6" t="s">
        <v>240</v>
      </c>
      <c r="AE3843" s="6" t="s">
        <v>299</v>
      </c>
      <c r="AF3843" s="5" t="s">
        <v>248</v>
      </c>
      <c r="AG3843" s="5" t="s">
        <v>249</v>
      </c>
      <c r="AM3843" s="5" t="s">
        <v>240</v>
      </c>
      <c r="AN3843" s="5" t="s">
        <v>240</v>
      </c>
      <c r="AO3843" s="5" t="s">
        <v>240</v>
      </c>
      <c r="AP3843" s="6" t="s">
        <v>240</v>
      </c>
      <c r="AQ3843" s="6" t="s">
        <v>240</v>
      </c>
      <c r="AW3843" s="5" t="s">
        <v>251</v>
      </c>
      <c r="AX3843" s="5" t="s">
        <v>252</v>
      </c>
      <c r="AY3843" s="5" t="s">
        <v>253</v>
      </c>
      <c r="AZ3843" s="5" t="s">
        <v>6046</v>
      </c>
      <c r="BA3843" s="5" t="s">
        <v>255</v>
      </c>
      <c r="BB3843" s="5" t="s">
        <v>731</v>
      </c>
      <c r="BD3843" s="5" t="s">
        <v>686</v>
      </c>
      <c r="BF3843" s="5" t="s">
        <v>301</v>
      </c>
      <c r="BG3843" s="6" t="s">
        <v>733</v>
      </c>
      <c r="BH3843" s="5" t="s">
        <v>302</v>
      </c>
      <c r="BI3843" s="5" t="s">
        <v>303</v>
      </c>
      <c r="BJ3843" s="5" t="s">
        <v>240</v>
      </c>
      <c r="BK3843" s="8">
        <f>0</f>
        <v>0</v>
      </c>
      <c r="BL3843" s="7">
        <f>0</f>
        <v>0</v>
      </c>
      <c r="BM3843" s="5" t="s">
        <v>258</v>
      </c>
      <c r="BN3843" s="5" t="s">
        <v>259</v>
      </c>
      <c r="BW3843" s="6" t="s">
        <v>240</v>
      </c>
      <c r="BX3843" s="5" t="s">
        <v>240</v>
      </c>
      <c r="BY3843" s="5" t="s">
        <v>240</v>
      </c>
      <c r="BZ3843" s="5" t="s">
        <v>240</v>
      </c>
      <c r="CB3843" s="5" t="s">
        <v>240</v>
      </c>
      <c r="CC3843" s="5" t="s">
        <v>240</v>
      </c>
      <c r="CG3843" s="5" t="s">
        <v>617</v>
      </c>
      <c r="CH3843" s="5" t="s">
        <v>305</v>
      </c>
      <c r="CI3843" s="5" t="s">
        <v>260</v>
      </c>
      <c r="CK3843" s="5" t="s">
        <v>240</v>
      </c>
      <c r="CL3843" s="6" t="s">
        <v>261</v>
      </c>
      <c r="CM3843" s="5" t="s">
        <v>240</v>
      </c>
      <c r="CN3843" s="5" t="s">
        <v>263</v>
      </c>
      <c r="CO3843" s="5" t="s">
        <v>240</v>
      </c>
      <c r="CP3843" s="5" t="s">
        <v>240</v>
      </c>
      <c r="CQ3843" s="5">
        <v>0</v>
      </c>
      <c r="CR3843" s="5" t="s">
        <v>735</v>
      </c>
      <c r="CS3843" s="5" t="s">
        <v>307</v>
      </c>
      <c r="CT3843" s="5" t="s">
        <v>307</v>
      </c>
      <c r="CU3843" s="5" t="s">
        <v>260</v>
      </c>
      <c r="CV3843" s="5" t="s">
        <v>240</v>
      </c>
      <c r="CW3843" s="8" t="s">
        <v>240</v>
      </c>
      <c r="CX3843" s="7">
        <f>31010</f>
        <v>31010</v>
      </c>
      <c r="CY3843" s="7">
        <f>0</f>
        <v>0</v>
      </c>
      <c r="CZ3843" s="7" t="s">
        <v>240</v>
      </c>
      <c r="DA3843" s="7">
        <f>0</f>
        <v>0</v>
      </c>
      <c r="DB3843" s="7" t="s">
        <v>240</v>
      </c>
      <c r="DC3843" s="5" t="s">
        <v>450</v>
      </c>
      <c r="DD3843" s="5" t="s">
        <v>240</v>
      </c>
      <c r="DF3843" s="5" t="s">
        <v>450</v>
      </c>
      <c r="DG3843" s="7">
        <f>0</f>
        <v>0</v>
      </c>
      <c r="DH3843" s="6" t="s">
        <v>240</v>
      </c>
      <c r="DI3843" s="5" t="s">
        <v>618</v>
      </c>
      <c r="DJ3843" s="5" t="s">
        <v>240</v>
      </c>
      <c r="DK3843" s="5" t="s">
        <v>240</v>
      </c>
      <c r="DL3843" s="5" t="s">
        <v>240</v>
      </c>
      <c r="DM3843" s="5" t="s">
        <v>240</v>
      </c>
      <c r="DN3843" s="5" t="s">
        <v>240</v>
      </c>
      <c r="DO3843" s="7" t="s">
        <v>240</v>
      </c>
      <c r="DP3843" s="5" t="s">
        <v>240</v>
      </c>
      <c r="DQ3843" s="5" t="s">
        <v>248</v>
      </c>
      <c r="DR3843" s="5" t="s">
        <v>731</v>
      </c>
      <c r="DS3843" s="5" t="s">
        <v>731</v>
      </c>
      <c r="DT3843" s="5" t="s">
        <v>240</v>
      </c>
      <c r="DU3843" s="5" t="s">
        <v>240</v>
      </c>
      <c r="DV3843" s="5" t="s">
        <v>6839</v>
      </c>
      <c r="DW3843" s="5" t="s">
        <v>825</v>
      </c>
    </row>
    <row r="3844" spans="1:240" x14ac:dyDescent="0.4">
      <c r="A3844" s="5">
        <v>9386</v>
      </c>
      <c r="B3844" s="5">
        <v>1</v>
      </c>
      <c r="C3844" s="5">
        <v>1</v>
      </c>
      <c r="D3844" s="5" t="s">
        <v>723</v>
      </c>
      <c r="E3844" s="5" t="s">
        <v>725</v>
      </c>
      <c r="F3844" s="5" t="s">
        <v>254</v>
      </c>
      <c r="G3844" s="5" t="s">
        <v>5305</v>
      </c>
      <c r="H3844" s="6" t="s">
        <v>5306</v>
      </c>
      <c r="I3844" s="5" t="s">
        <v>5304</v>
      </c>
      <c r="J3844" s="7">
        <f>1</f>
        <v>1</v>
      </c>
      <c r="K3844" s="5" t="s">
        <v>3682</v>
      </c>
      <c r="L3844" s="7">
        <f>1</f>
        <v>1</v>
      </c>
      <c r="M3844" s="7">
        <f>1</f>
        <v>1</v>
      </c>
      <c r="N3844" s="5" t="s">
        <v>242</v>
      </c>
      <c r="O3844" s="5">
        <v>1</v>
      </c>
      <c r="P3844" s="5" t="s">
        <v>294</v>
      </c>
      <c r="Q3844" s="5" t="s">
        <v>613</v>
      </c>
      <c r="T3844" s="5" t="s">
        <v>296</v>
      </c>
      <c r="U3844" s="5" t="s">
        <v>244</v>
      </c>
      <c r="V3844" s="5" t="s">
        <v>240</v>
      </c>
      <c r="Y3844" s="5" t="s">
        <v>240</v>
      </c>
      <c r="Z3844" s="6" t="s">
        <v>6842</v>
      </c>
      <c r="AA3844" s="6" t="s">
        <v>240</v>
      </c>
      <c r="AB3844" s="6" t="s">
        <v>240</v>
      </c>
      <c r="AC3844" s="5" t="s">
        <v>240</v>
      </c>
      <c r="AD3844" s="6" t="s">
        <v>240</v>
      </c>
      <c r="AE3844" s="6" t="s">
        <v>240</v>
      </c>
      <c r="AF3844" s="5" t="s">
        <v>727</v>
      </c>
      <c r="AG3844" s="5" t="s">
        <v>249</v>
      </c>
      <c r="AM3844" s="5" t="s">
        <v>240</v>
      </c>
      <c r="AN3844" s="5" t="s">
        <v>240</v>
      </c>
      <c r="AO3844" s="5" t="s">
        <v>240</v>
      </c>
      <c r="AP3844" s="6" t="s">
        <v>240</v>
      </c>
      <c r="AQ3844" s="6" t="s">
        <v>240</v>
      </c>
      <c r="AR3844" s="6" t="s">
        <v>240</v>
      </c>
      <c r="AU3844" s="5" t="s">
        <v>729</v>
      </c>
      <c r="AV3844" s="5" t="s">
        <v>729</v>
      </c>
      <c r="AW3844" s="5" t="s">
        <v>251</v>
      </c>
      <c r="AX3844" s="5" t="s">
        <v>252</v>
      </c>
      <c r="AY3844" s="5" t="s">
        <v>253</v>
      </c>
      <c r="AZ3844" s="5" t="s">
        <v>6046</v>
      </c>
      <c r="BA3844" s="5" t="s">
        <v>255</v>
      </c>
      <c r="BB3844" s="5" t="s">
        <v>731</v>
      </c>
      <c r="BD3844" s="5" t="s">
        <v>240</v>
      </c>
      <c r="BF3844" s="5" t="s">
        <v>732</v>
      </c>
      <c r="BG3844" s="6" t="s">
        <v>6842</v>
      </c>
      <c r="BH3844" s="5" t="s">
        <v>6799</v>
      </c>
      <c r="BI3844" s="5" t="s">
        <v>6799</v>
      </c>
      <c r="BJ3844" s="5" t="s">
        <v>240</v>
      </c>
      <c r="BK3844" s="8">
        <f>1.43</f>
        <v>1.43</v>
      </c>
      <c r="BL3844" s="7">
        <f>0</f>
        <v>0</v>
      </c>
      <c r="BM3844" s="5" t="s">
        <v>258</v>
      </c>
      <c r="BN3844" s="5" t="s">
        <v>259</v>
      </c>
      <c r="BO3844" s="5" t="s">
        <v>240</v>
      </c>
      <c r="BP3844" s="5" t="s">
        <v>240</v>
      </c>
      <c r="BQ3844" s="5" t="s">
        <v>240</v>
      </c>
      <c r="BR3844" s="5" t="s">
        <v>240</v>
      </c>
      <c r="BW3844" s="6" t="s">
        <v>240</v>
      </c>
      <c r="BX3844" s="5" t="s">
        <v>240</v>
      </c>
      <c r="BY3844" s="5" t="s">
        <v>240</v>
      </c>
      <c r="BZ3844" s="5" t="s">
        <v>240</v>
      </c>
      <c r="CA3844" s="5" t="s">
        <v>259</v>
      </c>
      <c r="CB3844" s="5" t="s">
        <v>240</v>
      </c>
      <c r="CC3844" s="5" t="s">
        <v>240</v>
      </c>
      <c r="CG3844" s="5" t="s">
        <v>240</v>
      </c>
      <c r="CH3844" s="5" t="s">
        <v>240</v>
      </c>
      <c r="CI3844" s="5" t="s">
        <v>260</v>
      </c>
      <c r="CK3844" s="5" t="s">
        <v>240</v>
      </c>
      <c r="CL3844" s="6" t="s">
        <v>261</v>
      </c>
      <c r="CM3844" s="5" t="s">
        <v>262</v>
      </c>
      <c r="CN3844" s="5" t="s">
        <v>293</v>
      </c>
      <c r="CO3844" s="5" t="s">
        <v>264</v>
      </c>
      <c r="CP3844" s="5" t="s">
        <v>240</v>
      </c>
      <c r="CQ3844" s="5">
        <v>0</v>
      </c>
      <c r="CR3844" s="5" t="s">
        <v>735</v>
      </c>
      <c r="CS3844" s="5" t="s">
        <v>307</v>
      </c>
      <c r="CT3844" s="5" t="s">
        <v>307</v>
      </c>
      <c r="CU3844" s="5" t="s">
        <v>260</v>
      </c>
      <c r="CV3844" s="5" t="s">
        <v>240</v>
      </c>
      <c r="CW3844" s="8">
        <f>0</f>
        <v>0</v>
      </c>
      <c r="CX3844" s="7">
        <f>0</f>
        <v>0</v>
      </c>
      <c r="CY3844" s="7">
        <f>0</f>
        <v>0</v>
      </c>
      <c r="CZ3844" s="7">
        <f>0</f>
        <v>0</v>
      </c>
      <c r="DA3844" s="7">
        <f>0</f>
        <v>0</v>
      </c>
      <c r="DB3844" s="7" t="s">
        <v>240</v>
      </c>
      <c r="DC3844" s="5" t="s">
        <v>240</v>
      </c>
      <c r="DD3844" s="5" t="s">
        <v>240</v>
      </c>
      <c r="DF3844" s="5" t="s">
        <v>240</v>
      </c>
      <c r="DG3844" s="7">
        <f>0</f>
        <v>0</v>
      </c>
      <c r="DH3844" s="6" t="s">
        <v>240</v>
      </c>
      <c r="DI3844" s="5" t="s">
        <v>240</v>
      </c>
      <c r="DJ3844" s="5" t="s">
        <v>240</v>
      </c>
      <c r="DK3844" s="5" t="s">
        <v>240</v>
      </c>
      <c r="DL3844" s="5" t="s">
        <v>240</v>
      </c>
      <c r="DM3844" s="5" t="s">
        <v>240</v>
      </c>
      <c r="DN3844" s="5" t="s">
        <v>240</v>
      </c>
      <c r="DO3844" s="7" t="s">
        <v>240</v>
      </c>
      <c r="DP3844" s="5" t="s">
        <v>240</v>
      </c>
      <c r="DQ3844" s="5" t="s">
        <v>248</v>
      </c>
      <c r="DR3844" s="5" t="s">
        <v>731</v>
      </c>
      <c r="DS3844" s="5" t="s">
        <v>731</v>
      </c>
      <c r="DT3844" s="5" t="s">
        <v>240</v>
      </c>
      <c r="DU3844" s="5" t="s">
        <v>240</v>
      </c>
      <c r="HR3844" s="5" t="s">
        <v>240</v>
      </c>
      <c r="HS3844" s="5" t="s">
        <v>240</v>
      </c>
      <c r="HT3844" s="5" t="s">
        <v>240</v>
      </c>
      <c r="HU3844" s="5" t="s">
        <v>240</v>
      </c>
      <c r="HV3844" s="5" t="s">
        <v>240</v>
      </c>
      <c r="HW3844" s="5" t="s">
        <v>240</v>
      </c>
      <c r="HX3844" s="5" t="s">
        <v>240</v>
      </c>
      <c r="HY3844" s="5" t="s">
        <v>240</v>
      </c>
      <c r="HZ3844" s="5" t="s">
        <v>240</v>
      </c>
      <c r="IA3844" s="5" t="s">
        <v>240</v>
      </c>
      <c r="IB3844" s="5" t="s">
        <v>240</v>
      </c>
      <c r="IC3844" s="5" t="s">
        <v>240</v>
      </c>
      <c r="ID3844" s="5" t="s">
        <v>240</v>
      </c>
      <c r="IE3844" s="5" t="s">
        <v>240</v>
      </c>
      <c r="IF3844" s="5" t="s">
        <v>240</v>
      </c>
    </row>
    <row r="3845" spans="1:240" x14ac:dyDescent="0.4">
      <c r="A3845" s="5">
        <v>9387</v>
      </c>
      <c r="B3845" s="5">
        <v>1</v>
      </c>
      <c r="C3845" s="5">
        <v>1</v>
      </c>
      <c r="D3845" s="5" t="s">
        <v>723</v>
      </c>
      <c r="E3845" s="5" t="s">
        <v>725</v>
      </c>
      <c r="F3845" s="5" t="s">
        <v>254</v>
      </c>
      <c r="G3845" s="5" t="s">
        <v>726</v>
      </c>
      <c r="H3845" s="6" t="s">
        <v>5303</v>
      </c>
      <c r="I3845" s="5" t="s">
        <v>5302</v>
      </c>
      <c r="J3845" s="7">
        <f>1</f>
        <v>1</v>
      </c>
      <c r="K3845" s="5" t="s">
        <v>3682</v>
      </c>
      <c r="L3845" s="7">
        <f>1</f>
        <v>1</v>
      </c>
      <c r="M3845" s="7">
        <f>1</f>
        <v>1</v>
      </c>
      <c r="N3845" s="5" t="s">
        <v>242</v>
      </c>
      <c r="O3845" s="5">
        <v>1</v>
      </c>
      <c r="P3845" s="5" t="s">
        <v>294</v>
      </c>
      <c r="Q3845" s="5" t="s">
        <v>2097</v>
      </c>
      <c r="T3845" s="5" t="s">
        <v>296</v>
      </c>
      <c r="U3845" s="5" t="s">
        <v>244</v>
      </c>
      <c r="V3845" s="5" t="s">
        <v>240</v>
      </c>
      <c r="Y3845" s="5" t="s">
        <v>246</v>
      </c>
      <c r="Z3845" s="6" t="s">
        <v>6844</v>
      </c>
      <c r="AA3845" s="6" t="s">
        <v>240</v>
      </c>
      <c r="AB3845" s="6" t="s">
        <v>240</v>
      </c>
      <c r="AC3845" s="5" t="s">
        <v>240</v>
      </c>
      <c r="AD3845" s="6" t="s">
        <v>240</v>
      </c>
      <c r="AE3845" s="6" t="s">
        <v>6844</v>
      </c>
      <c r="AF3845" s="5" t="s">
        <v>248</v>
      </c>
      <c r="AG3845" s="5" t="s">
        <v>249</v>
      </c>
      <c r="AM3845" s="5" t="s">
        <v>240</v>
      </c>
      <c r="AN3845" s="5" t="s">
        <v>240</v>
      </c>
      <c r="AO3845" s="5" t="s">
        <v>240</v>
      </c>
      <c r="AP3845" s="6" t="s">
        <v>240</v>
      </c>
      <c r="AQ3845" s="6" t="s">
        <v>240</v>
      </c>
      <c r="AR3845" s="6" t="s">
        <v>240</v>
      </c>
      <c r="AU3845" s="5" t="s">
        <v>729</v>
      </c>
      <c r="AV3845" s="5" t="s">
        <v>729</v>
      </c>
      <c r="AW3845" s="5" t="s">
        <v>251</v>
      </c>
      <c r="AX3845" s="5" t="s">
        <v>252</v>
      </c>
      <c r="AY3845" s="5" t="s">
        <v>253</v>
      </c>
      <c r="AZ3845" s="5" t="s">
        <v>6046</v>
      </c>
      <c r="BA3845" s="5" t="s">
        <v>255</v>
      </c>
      <c r="BB3845" s="5" t="s">
        <v>731</v>
      </c>
      <c r="BD3845" s="5" t="s">
        <v>240</v>
      </c>
      <c r="BF3845" s="5" t="s">
        <v>732</v>
      </c>
      <c r="BG3845" s="6" t="s">
        <v>6846</v>
      </c>
      <c r="BH3845" s="5" t="s">
        <v>6742</v>
      </c>
      <c r="BI3845" s="5" t="s">
        <v>6743</v>
      </c>
      <c r="BJ3845" s="5" t="s">
        <v>240</v>
      </c>
      <c r="BK3845" s="8">
        <f>0</f>
        <v>0</v>
      </c>
      <c r="BL3845" s="7">
        <f>79123</f>
        <v>79123</v>
      </c>
      <c r="BM3845" s="5" t="s">
        <v>258</v>
      </c>
      <c r="BN3845" s="5" t="s">
        <v>259</v>
      </c>
      <c r="BO3845" s="5" t="s">
        <v>801</v>
      </c>
      <c r="BP3845" s="5" t="s">
        <v>6745</v>
      </c>
      <c r="BQ3845" s="5" t="s">
        <v>259</v>
      </c>
      <c r="BR3845" s="5" t="s">
        <v>240</v>
      </c>
      <c r="BS3845" s="5" t="s">
        <v>6847</v>
      </c>
      <c r="BT3845" s="5" t="s">
        <v>6747</v>
      </c>
      <c r="BU3845" s="5" t="s">
        <v>6747</v>
      </c>
      <c r="BW3845" s="6" t="s">
        <v>6848</v>
      </c>
      <c r="BX3845" s="5" t="s">
        <v>258</v>
      </c>
      <c r="BY3845" s="5" t="s">
        <v>240</v>
      </c>
      <c r="BZ3845" s="5" t="s">
        <v>240</v>
      </c>
      <c r="CA3845" s="5" t="s">
        <v>259</v>
      </c>
      <c r="CB3845" s="5" t="s">
        <v>240</v>
      </c>
      <c r="CC3845" s="5" t="s">
        <v>240</v>
      </c>
      <c r="CG3845" s="5" t="s">
        <v>240</v>
      </c>
      <c r="CH3845" s="5" t="s">
        <v>240</v>
      </c>
      <c r="CI3845" s="5" t="s">
        <v>260</v>
      </c>
      <c r="CK3845" s="5" t="s">
        <v>240</v>
      </c>
      <c r="CL3845" s="6" t="s">
        <v>261</v>
      </c>
      <c r="CM3845" s="5" t="s">
        <v>262</v>
      </c>
      <c r="CN3845" s="5" t="s">
        <v>263</v>
      </c>
      <c r="CO3845" s="5" t="s">
        <v>264</v>
      </c>
      <c r="CP3845" s="5" t="s">
        <v>240</v>
      </c>
      <c r="CQ3845" s="5">
        <v>0</v>
      </c>
      <c r="CR3845" s="5" t="s">
        <v>735</v>
      </c>
      <c r="CS3845" s="5" t="s">
        <v>307</v>
      </c>
      <c r="CT3845" s="5" t="s">
        <v>307</v>
      </c>
      <c r="CU3845" s="5" t="s">
        <v>260</v>
      </c>
      <c r="CV3845" s="5" t="s">
        <v>240</v>
      </c>
      <c r="CW3845" s="8">
        <f>450</f>
        <v>450</v>
      </c>
      <c r="CX3845" s="7">
        <f>155623</f>
        <v>155623</v>
      </c>
      <c r="CY3845" s="7">
        <f>0</f>
        <v>0</v>
      </c>
      <c r="CZ3845" s="7">
        <f>0</f>
        <v>0</v>
      </c>
      <c r="DA3845" s="7">
        <f>155623</f>
        <v>155623</v>
      </c>
      <c r="DB3845" s="7" t="s">
        <v>240</v>
      </c>
      <c r="DC3845" s="5" t="s">
        <v>240</v>
      </c>
      <c r="DD3845" s="5" t="s">
        <v>240</v>
      </c>
      <c r="DF3845" s="5" t="s">
        <v>240</v>
      </c>
      <c r="DG3845" s="7">
        <f>0</f>
        <v>0</v>
      </c>
      <c r="DH3845" s="6" t="s">
        <v>240</v>
      </c>
      <c r="DI3845" s="5" t="s">
        <v>240</v>
      </c>
      <c r="DJ3845" s="5" t="s">
        <v>240</v>
      </c>
      <c r="DK3845" s="5" t="s">
        <v>240</v>
      </c>
      <c r="DL3845" s="5" t="s">
        <v>240</v>
      </c>
      <c r="DM3845" s="5" t="s">
        <v>240</v>
      </c>
      <c r="DN3845" s="5" t="s">
        <v>240</v>
      </c>
      <c r="DO3845" s="7" t="s">
        <v>240</v>
      </c>
      <c r="DP3845" s="5" t="s">
        <v>240</v>
      </c>
      <c r="DQ3845" s="5" t="s">
        <v>248</v>
      </c>
      <c r="DR3845" s="5" t="s">
        <v>731</v>
      </c>
      <c r="DS3845" s="5" t="s">
        <v>731</v>
      </c>
      <c r="DT3845" s="5" t="s">
        <v>240</v>
      </c>
      <c r="DU3845" s="5" t="s">
        <v>240</v>
      </c>
      <c r="HR3845" s="5" t="s">
        <v>240</v>
      </c>
      <c r="HS3845" s="5" t="s">
        <v>240</v>
      </c>
      <c r="HT3845" s="5" t="s">
        <v>240</v>
      </c>
      <c r="HU3845" s="5" t="s">
        <v>240</v>
      </c>
      <c r="HV3845" s="5" t="s">
        <v>240</v>
      </c>
      <c r="HW3845" s="5" t="s">
        <v>240</v>
      </c>
      <c r="HX3845" s="5" t="s">
        <v>240</v>
      </c>
      <c r="HY3845" s="5" t="s">
        <v>240</v>
      </c>
      <c r="HZ3845" s="5" t="s">
        <v>240</v>
      </c>
      <c r="IA3845" s="5" t="s">
        <v>240</v>
      </c>
      <c r="IB3845" s="5" t="s">
        <v>240</v>
      </c>
      <c r="IC3845" s="5" t="s">
        <v>240</v>
      </c>
      <c r="ID3845" s="5" t="s">
        <v>240</v>
      </c>
      <c r="IE3845" s="5" t="s">
        <v>240</v>
      </c>
      <c r="IF3845" s="5" t="s">
        <v>240</v>
      </c>
    </row>
    <row r="3846" spans="1:240" x14ac:dyDescent="0.4">
      <c r="A3846" s="5">
        <v>9388</v>
      </c>
      <c r="B3846" s="5">
        <v>1</v>
      </c>
      <c r="C3846" s="5">
        <v>1</v>
      </c>
      <c r="D3846" s="5" t="s">
        <v>723</v>
      </c>
      <c r="E3846" s="5" t="s">
        <v>725</v>
      </c>
      <c r="F3846" s="5" t="s">
        <v>254</v>
      </c>
      <c r="G3846" s="5" t="s">
        <v>726</v>
      </c>
      <c r="H3846" s="6" t="s">
        <v>3680</v>
      </c>
      <c r="I3846" s="5" t="s">
        <v>3679</v>
      </c>
      <c r="J3846" s="7">
        <f>1</f>
        <v>1</v>
      </c>
      <c r="K3846" s="5" t="s">
        <v>3682</v>
      </c>
      <c r="L3846" s="7">
        <f>1</f>
        <v>1</v>
      </c>
      <c r="M3846" s="7">
        <f>1</f>
        <v>1</v>
      </c>
      <c r="N3846" s="5" t="s">
        <v>242</v>
      </c>
      <c r="O3846" s="5">
        <v>1</v>
      </c>
      <c r="P3846" s="5" t="s">
        <v>294</v>
      </c>
      <c r="Q3846" s="5" t="s">
        <v>3678</v>
      </c>
      <c r="T3846" s="5" t="s">
        <v>243</v>
      </c>
      <c r="U3846" s="5" t="s">
        <v>244</v>
      </c>
      <c r="V3846" s="5" t="s">
        <v>240</v>
      </c>
      <c r="Y3846" s="5" t="s">
        <v>240</v>
      </c>
      <c r="Z3846" s="6" t="s">
        <v>298</v>
      </c>
      <c r="AA3846" s="6" t="s">
        <v>240</v>
      </c>
      <c r="AB3846" s="6" t="s">
        <v>240</v>
      </c>
      <c r="AC3846" s="5" t="s">
        <v>240</v>
      </c>
      <c r="AD3846" s="6" t="s">
        <v>240</v>
      </c>
      <c r="AE3846" s="6" t="s">
        <v>299</v>
      </c>
      <c r="AF3846" s="5" t="s">
        <v>248</v>
      </c>
      <c r="AG3846" s="5" t="s">
        <v>249</v>
      </c>
      <c r="AM3846" s="5" t="s">
        <v>240</v>
      </c>
      <c r="AN3846" s="5" t="s">
        <v>240</v>
      </c>
      <c r="AO3846" s="5" t="s">
        <v>240</v>
      </c>
      <c r="AP3846" s="6" t="s">
        <v>240</v>
      </c>
      <c r="AQ3846" s="6" t="s">
        <v>240</v>
      </c>
      <c r="AR3846" s="6" t="s">
        <v>240</v>
      </c>
      <c r="AU3846" s="5" t="s">
        <v>729</v>
      </c>
      <c r="AV3846" s="5" t="s">
        <v>729</v>
      </c>
      <c r="AW3846" s="5" t="s">
        <v>251</v>
      </c>
      <c r="AX3846" s="5" t="s">
        <v>252</v>
      </c>
      <c r="AY3846" s="5" t="s">
        <v>253</v>
      </c>
      <c r="AZ3846" s="5" t="s">
        <v>6046</v>
      </c>
      <c r="BA3846" s="5" t="s">
        <v>255</v>
      </c>
      <c r="BB3846" s="5" t="s">
        <v>731</v>
      </c>
      <c r="BD3846" s="5" t="s">
        <v>240</v>
      </c>
      <c r="BF3846" s="5" t="s">
        <v>732</v>
      </c>
      <c r="BG3846" s="6" t="s">
        <v>733</v>
      </c>
      <c r="BH3846" s="5" t="s">
        <v>734</v>
      </c>
      <c r="BI3846" s="5" t="s">
        <v>734</v>
      </c>
      <c r="BJ3846" s="5" t="s">
        <v>240</v>
      </c>
      <c r="BK3846" s="7">
        <f>1</f>
        <v>1</v>
      </c>
      <c r="BL3846" s="7">
        <f>1</f>
        <v>1</v>
      </c>
      <c r="BM3846" s="5" t="s">
        <v>258</v>
      </c>
      <c r="BN3846" s="5" t="s">
        <v>259</v>
      </c>
      <c r="BO3846" s="5" t="s">
        <v>240</v>
      </c>
      <c r="BP3846" s="5" t="s">
        <v>240</v>
      </c>
      <c r="BQ3846" s="5" t="s">
        <v>240</v>
      </c>
      <c r="BR3846" s="5" t="s">
        <v>240</v>
      </c>
      <c r="BW3846" s="6" t="s">
        <v>240</v>
      </c>
      <c r="BX3846" s="5" t="s">
        <v>240</v>
      </c>
      <c r="BY3846" s="5" t="s">
        <v>240</v>
      </c>
      <c r="BZ3846" s="5" t="s">
        <v>240</v>
      </c>
      <c r="CA3846" s="5" t="s">
        <v>259</v>
      </c>
      <c r="CB3846" s="5" t="s">
        <v>240</v>
      </c>
      <c r="CC3846" s="5" t="s">
        <v>240</v>
      </c>
      <c r="CG3846" s="5" t="s">
        <v>304</v>
      </c>
      <c r="CH3846" s="5" t="s">
        <v>305</v>
      </c>
      <c r="CI3846" s="5" t="s">
        <v>260</v>
      </c>
      <c r="CK3846" s="5" t="s">
        <v>3681</v>
      </c>
      <c r="CL3846" s="6" t="s">
        <v>261</v>
      </c>
      <c r="CM3846" s="5" t="s">
        <v>262</v>
      </c>
      <c r="CN3846" s="5" t="s">
        <v>263</v>
      </c>
      <c r="CO3846" s="5" t="s">
        <v>264</v>
      </c>
      <c r="CP3846" s="5" t="s">
        <v>240</v>
      </c>
      <c r="CQ3846" s="5">
        <v>0</v>
      </c>
      <c r="CR3846" s="5" t="s">
        <v>735</v>
      </c>
      <c r="CS3846" s="5" t="s">
        <v>307</v>
      </c>
      <c r="CT3846" s="5" t="s">
        <v>307</v>
      </c>
      <c r="CU3846" s="5" t="s">
        <v>260</v>
      </c>
      <c r="CV3846" s="5" t="s">
        <v>612</v>
      </c>
      <c r="CW3846" s="8">
        <f>1</f>
        <v>1</v>
      </c>
      <c r="CX3846" s="7">
        <f>1</f>
        <v>1</v>
      </c>
      <c r="CY3846" s="7">
        <f>0</f>
        <v>0</v>
      </c>
      <c r="CZ3846" s="7" t="s">
        <v>240</v>
      </c>
      <c r="DA3846" s="7">
        <f>1</f>
        <v>1</v>
      </c>
      <c r="DB3846" s="7" t="s">
        <v>240</v>
      </c>
      <c r="DC3846" s="5" t="s">
        <v>240</v>
      </c>
      <c r="DD3846" s="5" t="s">
        <v>240</v>
      </c>
      <c r="DF3846" s="5" t="s">
        <v>240</v>
      </c>
      <c r="DG3846" s="7">
        <f>0</f>
        <v>0</v>
      </c>
      <c r="DH3846" s="6" t="s">
        <v>240</v>
      </c>
      <c r="DI3846" s="5" t="s">
        <v>240</v>
      </c>
      <c r="DJ3846" s="5" t="s">
        <v>240</v>
      </c>
      <c r="DK3846" s="5" t="s">
        <v>240</v>
      </c>
      <c r="DL3846" s="5" t="s">
        <v>240</v>
      </c>
      <c r="DM3846" s="5" t="s">
        <v>240</v>
      </c>
      <c r="DN3846" s="5" t="s">
        <v>240</v>
      </c>
      <c r="DO3846" s="7" t="s">
        <v>240</v>
      </c>
      <c r="DP3846" s="5" t="s">
        <v>240</v>
      </c>
      <c r="DQ3846" s="5" t="s">
        <v>248</v>
      </c>
      <c r="DR3846" s="5" t="s">
        <v>731</v>
      </c>
      <c r="DS3846" s="5" t="s">
        <v>731</v>
      </c>
      <c r="DT3846" s="5" t="s">
        <v>240</v>
      </c>
      <c r="DU3846" s="5" t="s">
        <v>240</v>
      </c>
      <c r="DV3846" s="5" t="s">
        <v>5063</v>
      </c>
      <c r="DW3846" s="5" t="s">
        <v>621</v>
      </c>
      <c r="HR3846" s="5" t="s">
        <v>240</v>
      </c>
      <c r="HS3846" s="5" t="s">
        <v>240</v>
      </c>
      <c r="HT3846" s="5" t="s">
        <v>240</v>
      </c>
      <c r="HU3846" s="5" t="s">
        <v>240</v>
      </c>
      <c r="HV3846" s="5" t="s">
        <v>240</v>
      </c>
      <c r="HW3846" s="5" t="s">
        <v>240</v>
      </c>
      <c r="HX3846" s="5" t="s">
        <v>240</v>
      </c>
      <c r="HY3846" s="5" t="s">
        <v>240</v>
      </c>
      <c r="HZ3846" s="5" t="s">
        <v>240</v>
      </c>
      <c r="IA3846" s="5" t="s">
        <v>240</v>
      </c>
      <c r="IB3846" s="5" t="s">
        <v>240</v>
      </c>
      <c r="IC3846" s="5" t="s">
        <v>240</v>
      </c>
      <c r="ID3846" s="5" t="s">
        <v>240</v>
      </c>
      <c r="IE3846" s="5" t="s">
        <v>240</v>
      </c>
      <c r="IF3846" s="5" t="s">
        <v>240</v>
      </c>
    </row>
    <row r="3847" spans="1:240" x14ac:dyDescent="0.4">
      <c r="A3847" s="5">
        <v>9389</v>
      </c>
      <c r="B3847" s="5">
        <v>1</v>
      </c>
      <c r="C3847" s="5">
        <v>1</v>
      </c>
      <c r="D3847" s="5" t="s">
        <v>723</v>
      </c>
      <c r="E3847" s="5" t="s">
        <v>725</v>
      </c>
      <c r="F3847" s="5" t="s">
        <v>254</v>
      </c>
      <c r="G3847" s="5" t="s">
        <v>726</v>
      </c>
      <c r="H3847" s="6" t="s">
        <v>3857</v>
      </c>
      <c r="I3847" s="5" t="s">
        <v>3856</v>
      </c>
      <c r="J3847" s="7">
        <f>1</f>
        <v>1</v>
      </c>
      <c r="K3847" s="5" t="s">
        <v>3682</v>
      </c>
      <c r="L3847" s="7">
        <f>1</f>
        <v>1</v>
      </c>
      <c r="M3847" s="7">
        <f>1</f>
        <v>1</v>
      </c>
      <c r="N3847" s="5" t="s">
        <v>242</v>
      </c>
      <c r="O3847" s="5">
        <v>1</v>
      </c>
      <c r="P3847" s="5" t="s">
        <v>294</v>
      </c>
      <c r="Q3847" s="5" t="s">
        <v>2097</v>
      </c>
      <c r="T3847" s="5" t="s">
        <v>296</v>
      </c>
      <c r="U3847" s="5" t="s">
        <v>244</v>
      </c>
      <c r="V3847" s="5" t="s">
        <v>240</v>
      </c>
      <c r="Y3847" s="5" t="s">
        <v>246</v>
      </c>
      <c r="Z3847" s="6" t="s">
        <v>6852</v>
      </c>
      <c r="AA3847" s="6" t="s">
        <v>240</v>
      </c>
      <c r="AB3847" s="6" t="s">
        <v>240</v>
      </c>
      <c r="AC3847" s="5" t="s">
        <v>240</v>
      </c>
      <c r="AD3847" s="6" t="s">
        <v>240</v>
      </c>
      <c r="AE3847" s="6" t="s">
        <v>6852</v>
      </c>
      <c r="AF3847" s="5" t="s">
        <v>248</v>
      </c>
      <c r="AG3847" s="5" t="s">
        <v>249</v>
      </c>
      <c r="AM3847" s="5" t="s">
        <v>240</v>
      </c>
      <c r="AN3847" s="5" t="s">
        <v>240</v>
      </c>
      <c r="AO3847" s="5" t="s">
        <v>240</v>
      </c>
      <c r="AP3847" s="6" t="s">
        <v>240</v>
      </c>
      <c r="AQ3847" s="6" t="s">
        <v>240</v>
      </c>
      <c r="AR3847" s="6" t="s">
        <v>240</v>
      </c>
      <c r="AU3847" s="5" t="s">
        <v>729</v>
      </c>
      <c r="AV3847" s="5" t="s">
        <v>729</v>
      </c>
      <c r="AW3847" s="5" t="s">
        <v>251</v>
      </c>
      <c r="AX3847" s="5" t="s">
        <v>252</v>
      </c>
      <c r="AY3847" s="5" t="s">
        <v>253</v>
      </c>
      <c r="AZ3847" s="5" t="s">
        <v>6046</v>
      </c>
      <c r="BA3847" s="5" t="s">
        <v>255</v>
      </c>
      <c r="BB3847" s="5" t="s">
        <v>731</v>
      </c>
      <c r="BD3847" s="5" t="s">
        <v>240</v>
      </c>
      <c r="BF3847" s="5" t="s">
        <v>732</v>
      </c>
      <c r="BG3847" s="6" t="s">
        <v>6804</v>
      </c>
      <c r="BH3847" s="5" t="s">
        <v>6742</v>
      </c>
      <c r="BI3847" s="5" t="s">
        <v>6743</v>
      </c>
      <c r="BJ3847" s="5" t="s">
        <v>240</v>
      </c>
      <c r="BK3847" s="8">
        <f>0</f>
        <v>0</v>
      </c>
      <c r="BL3847" s="7">
        <f>131459</f>
        <v>131459</v>
      </c>
      <c r="BM3847" s="5" t="s">
        <v>258</v>
      </c>
      <c r="BN3847" s="5" t="s">
        <v>259</v>
      </c>
      <c r="BO3847" s="5" t="s">
        <v>6744</v>
      </c>
      <c r="BP3847" s="5" t="s">
        <v>6745</v>
      </c>
      <c r="BQ3847" s="5" t="s">
        <v>6746</v>
      </c>
      <c r="BR3847" s="5" t="s">
        <v>240</v>
      </c>
      <c r="BS3847" s="5" t="s">
        <v>258</v>
      </c>
      <c r="BT3847" s="5" t="s">
        <v>6747</v>
      </c>
      <c r="BU3847" s="5" t="s">
        <v>6747</v>
      </c>
      <c r="BW3847" s="6" t="s">
        <v>6853</v>
      </c>
      <c r="BX3847" s="5" t="s">
        <v>258</v>
      </c>
      <c r="BY3847" s="5" t="s">
        <v>240</v>
      </c>
      <c r="BZ3847" s="5" t="s">
        <v>240</v>
      </c>
      <c r="CA3847" s="5" t="s">
        <v>259</v>
      </c>
      <c r="CB3847" s="5" t="s">
        <v>240</v>
      </c>
      <c r="CC3847" s="5" t="s">
        <v>240</v>
      </c>
      <c r="CG3847" s="5" t="s">
        <v>240</v>
      </c>
      <c r="CH3847" s="5" t="s">
        <v>240</v>
      </c>
      <c r="CI3847" s="5" t="s">
        <v>260</v>
      </c>
      <c r="CK3847" s="5" t="s">
        <v>240</v>
      </c>
      <c r="CL3847" s="6" t="s">
        <v>261</v>
      </c>
      <c r="CM3847" s="5" t="s">
        <v>262</v>
      </c>
      <c r="CN3847" s="5" t="s">
        <v>263</v>
      </c>
      <c r="CO3847" s="5" t="s">
        <v>264</v>
      </c>
      <c r="CP3847" s="5" t="s">
        <v>240</v>
      </c>
      <c r="CQ3847" s="5">
        <v>0</v>
      </c>
      <c r="CR3847" s="5" t="s">
        <v>735</v>
      </c>
      <c r="CS3847" s="5" t="s">
        <v>307</v>
      </c>
      <c r="CT3847" s="5" t="s">
        <v>307</v>
      </c>
      <c r="CU3847" s="5" t="s">
        <v>260</v>
      </c>
      <c r="CV3847" s="5" t="s">
        <v>240</v>
      </c>
      <c r="CW3847" s="8">
        <f>4700</f>
        <v>4700</v>
      </c>
      <c r="CX3847" s="7">
        <f>131459</f>
        <v>131459</v>
      </c>
      <c r="CY3847" s="7">
        <f>0</f>
        <v>0</v>
      </c>
      <c r="CZ3847" s="7">
        <f>0</f>
        <v>0</v>
      </c>
      <c r="DA3847" s="7">
        <f>131459</f>
        <v>131459</v>
      </c>
      <c r="DB3847" s="7" t="s">
        <v>240</v>
      </c>
      <c r="DC3847" s="5" t="s">
        <v>240</v>
      </c>
      <c r="DD3847" s="5" t="s">
        <v>240</v>
      </c>
      <c r="DF3847" s="5" t="s">
        <v>240</v>
      </c>
      <c r="DG3847" s="7">
        <f>0</f>
        <v>0</v>
      </c>
      <c r="DH3847" s="6" t="s">
        <v>240</v>
      </c>
      <c r="DI3847" s="5" t="s">
        <v>240</v>
      </c>
      <c r="DJ3847" s="5" t="s">
        <v>240</v>
      </c>
      <c r="DK3847" s="5" t="s">
        <v>240</v>
      </c>
      <c r="DL3847" s="5" t="s">
        <v>240</v>
      </c>
      <c r="DM3847" s="5" t="s">
        <v>240</v>
      </c>
      <c r="DN3847" s="5" t="s">
        <v>240</v>
      </c>
      <c r="DO3847" s="7" t="s">
        <v>240</v>
      </c>
      <c r="DP3847" s="5" t="s">
        <v>240</v>
      </c>
      <c r="DQ3847" s="5" t="s">
        <v>248</v>
      </c>
      <c r="DR3847" s="5" t="s">
        <v>731</v>
      </c>
      <c r="DS3847" s="5" t="s">
        <v>731</v>
      </c>
      <c r="DT3847" s="5" t="s">
        <v>240</v>
      </c>
      <c r="DU3847" s="5" t="s">
        <v>240</v>
      </c>
      <c r="HR3847" s="5" t="s">
        <v>240</v>
      </c>
      <c r="HS3847" s="5" t="s">
        <v>240</v>
      </c>
      <c r="HT3847" s="5" t="s">
        <v>240</v>
      </c>
      <c r="HU3847" s="5" t="s">
        <v>240</v>
      </c>
      <c r="HV3847" s="5" t="s">
        <v>240</v>
      </c>
      <c r="HW3847" s="5" t="s">
        <v>240</v>
      </c>
      <c r="HX3847" s="5" t="s">
        <v>240</v>
      </c>
      <c r="HY3847" s="5" t="s">
        <v>240</v>
      </c>
      <c r="HZ3847" s="5" t="s">
        <v>240</v>
      </c>
      <c r="IA3847" s="5" t="s">
        <v>240</v>
      </c>
      <c r="IB3847" s="5" t="s">
        <v>240</v>
      </c>
      <c r="IC3847" s="5" t="s">
        <v>240</v>
      </c>
      <c r="ID3847" s="5" t="s">
        <v>240</v>
      </c>
      <c r="IE3847" s="5" t="s">
        <v>240</v>
      </c>
      <c r="IF3847" s="5" t="s">
        <v>240</v>
      </c>
    </row>
    <row r="3848" spans="1:240" x14ac:dyDescent="0.4">
      <c r="A3848" s="5">
        <v>9390</v>
      </c>
      <c r="B3848" s="5">
        <v>1</v>
      </c>
      <c r="C3848" s="5">
        <v>1</v>
      </c>
      <c r="D3848" s="5" t="s">
        <v>723</v>
      </c>
      <c r="E3848" s="5" t="s">
        <v>725</v>
      </c>
      <c r="F3848" s="5" t="s">
        <v>254</v>
      </c>
      <c r="G3848" s="5" t="s">
        <v>726</v>
      </c>
      <c r="H3848" s="6" t="s">
        <v>3871</v>
      </c>
      <c r="I3848" s="5" t="s">
        <v>3870</v>
      </c>
      <c r="J3848" s="7">
        <f>1</f>
        <v>1</v>
      </c>
      <c r="K3848" s="5" t="s">
        <v>3682</v>
      </c>
      <c r="L3848" s="7">
        <f>1</f>
        <v>1</v>
      </c>
      <c r="M3848" s="7">
        <f>1</f>
        <v>1</v>
      </c>
      <c r="N3848" s="5" t="s">
        <v>242</v>
      </c>
      <c r="O3848" s="5">
        <v>1</v>
      </c>
      <c r="P3848" s="5" t="s">
        <v>294</v>
      </c>
      <c r="Q3848" s="5" t="s">
        <v>613</v>
      </c>
      <c r="T3848" s="5" t="s">
        <v>243</v>
      </c>
      <c r="U3848" s="5" t="s">
        <v>244</v>
      </c>
      <c r="V3848" s="5" t="s">
        <v>240</v>
      </c>
      <c r="Y3848" s="5" t="s">
        <v>245</v>
      </c>
      <c r="Z3848" s="6" t="s">
        <v>6855</v>
      </c>
      <c r="AA3848" s="6" t="s">
        <v>240</v>
      </c>
      <c r="AB3848" s="6" t="s">
        <v>240</v>
      </c>
      <c r="AC3848" s="5" t="s">
        <v>240</v>
      </c>
      <c r="AD3848" s="6" t="s">
        <v>240</v>
      </c>
      <c r="AE3848" s="6" t="s">
        <v>6855</v>
      </c>
      <c r="AF3848" s="5" t="s">
        <v>248</v>
      </c>
      <c r="AG3848" s="5" t="s">
        <v>249</v>
      </c>
      <c r="AM3848" s="5" t="s">
        <v>240</v>
      </c>
      <c r="AN3848" s="5" t="s">
        <v>240</v>
      </c>
      <c r="AO3848" s="5" t="s">
        <v>240</v>
      </c>
      <c r="AP3848" s="6" t="s">
        <v>240</v>
      </c>
      <c r="AQ3848" s="6" t="s">
        <v>240</v>
      </c>
      <c r="AR3848" s="6" t="s">
        <v>240</v>
      </c>
      <c r="AU3848" s="5" t="s">
        <v>729</v>
      </c>
      <c r="AV3848" s="5" t="s">
        <v>729</v>
      </c>
      <c r="AW3848" s="5" t="s">
        <v>251</v>
      </c>
      <c r="AX3848" s="5" t="s">
        <v>252</v>
      </c>
      <c r="AY3848" s="5" t="s">
        <v>253</v>
      </c>
      <c r="AZ3848" s="5" t="s">
        <v>6046</v>
      </c>
      <c r="BA3848" s="5" t="s">
        <v>255</v>
      </c>
      <c r="BB3848" s="5" t="s">
        <v>731</v>
      </c>
      <c r="BD3848" s="5" t="s">
        <v>240</v>
      </c>
      <c r="BF3848" s="5" t="s">
        <v>256</v>
      </c>
      <c r="BG3848" s="6" t="s">
        <v>6855</v>
      </c>
      <c r="BH3848" s="5" t="s">
        <v>6742</v>
      </c>
      <c r="BI3848" s="5" t="s">
        <v>6743</v>
      </c>
      <c r="BJ3848" s="5" t="s">
        <v>240</v>
      </c>
      <c r="BK3848" s="7">
        <f>0</f>
        <v>0</v>
      </c>
      <c r="BL3848" s="7">
        <f>150000</f>
        <v>150000</v>
      </c>
      <c r="BM3848" s="5" t="s">
        <v>258</v>
      </c>
      <c r="BN3848" s="5" t="s">
        <v>259</v>
      </c>
      <c r="BO3848" s="5" t="s">
        <v>6744</v>
      </c>
      <c r="BP3848" s="5" t="s">
        <v>6745</v>
      </c>
      <c r="BQ3848" s="5" t="s">
        <v>6745</v>
      </c>
      <c r="BR3848" s="5" t="s">
        <v>240</v>
      </c>
      <c r="BS3848" s="5" t="s">
        <v>258</v>
      </c>
      <c r="BT3848" s="5" t="s">
        <v>6747</v>
      </c>
      <c r="BU3848" s="5" t="s">
        <v>6747</v>
      </c>
      <c r="BW3848" s="6" t="s">
        <v>6858</v>
      </c>
      <c r="BX3848" s="5" t="s">
        <v>6812</v>
      </c>
      <c r="BY3848" s="5" t="s">
        <v>240</v>
      </c>
      <c r="BZ3848" s="5" t="s">
        <v>240</v>
      </c>
      <c r="CA3848" s="5" t="s">
        <v>259</v>
      </c>
      <c r="CB3848" s="5" t="s">
        <v>240</v>
      </c>
      <c r="CC3848" s="5" t="s">
        <v>240</v>
      </c>
      <c r="CG3848" s="5" t="s">
        <v>240</v>
      </c>
      <c r="CH3848" s="5" t="s">
        <v>240</v>
      </c>
      <c r="CI3848" s="5" t="s">
        <v>260</v>
      </c>
      <c r="CK3848" s="5" t="s">
        <v>240</v>
      </c>
      <c r="CL3848" s="6" t="s">
        <v>261</v>
      </c>
      <c r="CM3848" s="5" t="s">
        <v>262</v>
      </c>
      <c r="CN3848" s="5" t="s">
        <v>263</v>
      </c>
      <c r="CO3848" s="5" t="s">
        <v>264</v>
      </c>
      <c r="CP3848" s="5" t="s">
        <v>240</v>
      </c>
      <c r="CQ3848" s="5">
        <v>0</v>
      </c>
      <c r="CR3848" s="5" t="s">
        <v>735</v>
      </c>
      <c r="CS3848" s="5" t="s">
        <v>307</v>
      </c>
      <c r="CT3848" s="5" t="s">
        <v>307</v>
      </c>
      <c r="CU3848" s="5" t="s">
        <v>260</v>
      </c>
      <c r="CV3848" s="5" t="s">
        <v>240</v>
      </c>
      <c r="CW3848" s="8">
        <f>150000</f>
        <v>150000</v>
      </c>
      <c r="CX3848" s="7">
        <f>150000</f>
        <v>150000</v>
      </c>
      <c r="CY3848" s="7">
        <f>0</f>
        <v>0</v>
      </c>
      <c r="CZ3848" s="7">
        <f>0</f>
        <v>0</v>
      </c>
      <c r="DA3848" s="7">
        <f>150000</f>
        <v>150000</v>
      </c>
      <c r="DB3848" s="7" t="s">
        <v>240</v>
      </c>
      <c r="DC3848" s="5" t="s">
        <v>240</v>
      </c>
      <c r="DD3848" s="5" t="s">
        <v>240</v>
      </c>
      <c r="DF3848" s="5" t="s">
        <v>240</v>
      </c>
      <c r="DG3848" s="7">
        <f>0</f>
        <v>0</v>
      </c>
      <c r="DH3848" s="6" t="s">
        <v>240</v>
      </c>
      <c r="DI3848" s="5" t="s">
        <v>240</v>
      </c>
      <c r="DJ3848" s="5" t="s">
        <v>240</v>
      </c>
      <c r="DK3848" s="5" t="s">
        <v>240</v>
      </c>
      <c r="DL3848" s="5" t="s">
        <v>240</v>
      </c>
      <c r="DM3848" s="5" t="s">
        <v>240</v>
      </c>
      <c r="DN3848" s="5" t="s">
        <v>240</v>
      </c>
      <c r="DO3848" s="7" t="s">
        <v>240</v>
      </c>
      <c r="DP3848" s="5" t="s">
        <v>240</v>
      </c>
      <c r="DQ3848" s="5" t="s">
        <v>248</v>
      </c>
      <c r="DR3848" s="5" t="s">
        <v>731</v>
      </c>
      <c r="DS3848" s="5" t="s">
        <v>731</v>
      </c>
      <c r="DT3848" s="5" t="s">
        <v>240</v>
      </c>
      <c r="DU3848" s="5" t="s">
        <v>240</v>
      </c>
      <c r="HR3848" s="5" t="s">
        <v>240</v>
      </c>
      <c r="HS3848" s="5" t="s">
        <v>240</v>
      </c>
      <c r="HT3848" s="5" t="s">
        <v>240</v>
      </c>
      <c r="HU3848" s="5" t="s">
        <v>240</v>
      </c>
      <c r="HV3848" s="5" t="s">
        <v>240</v>
      </c>
      <c r="HW3848" s="5" t="s">
        <v>240</v>
      </c>
      <c r="HX3848" s="5" t="s">
        <v>240</v>
      </c>
      <c r="HY3848" s="5" t="s">
        <v>240</v>
      </c>
      <c r="HZ3848" s="5" t="s">
        <v>240</v>
      </c>
      <c r="IA3848" s="5" t="s">
        <v>240</v>
      </c>
      <c r="IB3848" s="5" t="s">
        <v>240</v>
      </c>
      <c r="IC3848" s="5" t="s">
        <v>240</v>
      </c>
      <c r="ID3848" s="5" t="s">
        <v>240</v>
      </c>
      <c r="IE3848" s="5" t="s">
        <v>240</v>
      </c>
      <c r="IF3848" s="5" t="s">
        <v>240</v>
      </c>
    </row>
    <row r="3849" spans="1:240" x14ac:dyDescent="0.4">
      <c r="A3849" s="5">
        <v>9391</v>
      </c>
      <c r="B3849" s="5">
        <v>1</v>
      </c>
      <c r="C3849" s="5">
        <v>1</v>
      </c>
      <c r="D3849" s="5" t="s">
        <v>723</v>
      </c>
      <c r="E3849" s="5" t="s">
        <v>725</v>
      </c>
      <c r="F3849" s="5" t="s">
        <v>254</v>
      </c>
      <c r="G3849" s="5" t="s">
        <v>726</v>
      </c>
      <c r="H3849" s="6" t="s">
        <v>3884</v>
      </c>
      <c r="I3849" s="5" t="s">
        <v>3883</v>
      </c>
      <c r="J3849" s="7">
        <f>1</f>
        <v>1</v>
      </c>
      <c r="K3849" s="5" t="s">
        <v>3682</v>
      </c>
      <c r="L3849" s="7">
        <f>1</f>
        <v>1</v>
      </c>
      <c r="M3849" s="7">
        <f>1</f>
        <v>1</v>
      </c>
      <c r="N3849" s="5" t="s">
        <v>242</v>
      </c>
      <c r="O3849" s="5">
        <v>1</v>
      </c>
      <c r="P3849" s="5" t="s">
        <v>294</v>
      </c>
      <c r="Q3849" s="5" t="s">
        <v>613</v>
      </c>
      <c r="T3849" s="5" t="s">
        <v>243</v>
      </c>
      <c r="U3849" s="5" t="s">
        <v>244</v>
      </c>
      <c r="V3849" s="5" t="s">
        <v>240</v>
      </c>
      <c r="Y3849" s="5" t="s">
        <v>240</v>
      </c>
      <c r="Z3849" s="6" t="s">
        <v>298</v>
      </c>
      <c r="AA3849" s="6" t="s">
        <v>240</v>
      </c>
      <c r="AB3849" s="6" t="s">
        <v>240</v>
      </c>
      <c r="AC3849" s="5" t="s">
        <v>240</v>
      </c>
      <c r="AD3849" s="6" t="s">
        <v>240</v>
      </c>
      <c r="AE3849" s="6" t="s">
        <v>299</v>
      </c>
      <c r="AF3849" s="5" t="s">
        <v>248</v>
      </c>
      <c r="AG3849" s="5" t="s">
        <v>249</v>
      </c>
      <c r="AM3849" s="5" t="s">
        <v>240</v>
      </c>
      <c r="AN3849" s="5" t="s">
        <v>240</v>
      </c>
      <c r="AO3849" s="5" t="s">
        <v>240</v>
      </c>
      <c r="AP3849" s="6" t="s">
        <v>240</v>
      </c>
      <c r="AQ3849" s="6" t="s">
        <v>240</v>
      </c>
      <c r="AW3849" s="5" t="s">
        <v>251</v>
      </c>
      <c r="AX3849" s="5" t="s">
        <v>252</v>
      </c>
      <c r="AY3849" s="5" t="s">
        <v>253</v>
      </c>
      <c r="AZ3849" s="5" t="s">
        <v>6046</v>
      </c>
      <c r="BA3849" s="5" t="s">
        <v>255</v>
      </c>
      <c r="BB3849" s="5" t="s">
        <v>731</v>
      </c>
      <c r="BD3849" s="5" t="s">
        <v>686</v>
      </c>
      <c r="BF3849" s="5" t="s">
        <v>301</v>
      </c>
      <c r="BG3849" s="6" t="s">
        <v>733</v>
      </c>
      <c r="BH3849" s="5" t="s">
        <v>302</v>
      </c>
      <c r="BI3849" s="5" t="s">
        <v>303</v>
      </c>
      <c r="BJ3849" s="5" t="s">
        <v>240</v>
      </c>
      <c r="BK3849" s="8">
        <f>0</f>
        <v>0</v>
      </c>
      <c r="BL3849" s="7">
        <f>0</f>
        <v>0</v>
      </c>
      <c r="BM3849" s="5" t="s">
        <v>258</v>
      </c>
      <c r="BN3849" s="5" t="s">
        <v>259</v>
      </c>
      <c r="BW3849" s="6" t="s">
        <v>240</v>
      </c>
      <c r="BX3849" s="5" t="s">
        <v>240</v>
      </c>
      <c r="BY3849" s="5" t="s">
        <v>240</v>
      </c>
      <c r="BZ3849" s="5" t="s">
        <v>240</v>
      </c>
      <c r="CB3849" s="5" t="s">
        <v>240</v>
      </c>
      <c r="CC3849" s="5" t="s">
        <v>240</v>
      </c>
      <c r="CG3849" s="5" t="s">
        <v>617</v>
      </c>
      <c r="CH3849" s="5" t="s">
        <v>305</v>
      </c>
      <c r="CI3849" s="5" t="s">
        <v>260</v>
      </c>
      <c r="CK3849" s="5" t="s">
        <v>240</v>
      </c>
      <c r="CL3849" s="6" t="s">
        <v>261</v>
      </c>
      <c r="CM3849" s="5" t="s">
        <v>240</v>
      </c>
      <c r="CN3849" s="5" t="s">
        <v>263</v>
      </c>
      <c r="CO3849" s="5" t="s">
        <v>240</v>
      </c>
      <c r="CP3849" s="5" t="s">
        <v>240</v>
      </c>
      <c r="CQ3849" s="5">
        <v>0</v>
      </c>
      <c r="CR3849" s="5" t="s">
        <v>735</v>
      </c>
      <c r="CS3849" s="5" t="s">
        <v>307</v>
      </c>
      <c r="CT3849" s="5" t="s">
        <v>307</v>
      </c>
      <c r="CU3849" s="5" t="s">
        <v>260</v>
      </c>
      <c r="CV3849" s="5" t="s">
        <v>240</v>
      </c>
      <c r="CW3849" s="8" t="s">
        <v>240</v>
      </c>
      <c r="CX3849" s="7">
        <f>928085</f>
        <v>928085</v>
      </c>
      <c r="CY3849" s="7">
        <f>0</f>
        <v>0</v>
      </c>
      <c r="CZ3849" s="7" t="s">
        <v>240</v>
      </c>
      <c r="DA3849" s="7">
        <f>0</f>
        <v>0</v>
      </c>
      <c r="DB3849" s="7" t="s">
        <v>240</v>
      </c>
      <c r="DC3849" s="5" t="s">
        <v>450</v>
      </c>
      <c r="DD3849" s="5" t="s">
        <v>240</v>
      </c>
      <c r="DF3849" s="5" t="s">
        <v>450</v>
      </c>
      <c r="DG3849" s="7">
        <f>0</f>
        <v>0</v>
      </c>
      <c r="DH3849" s="6" t="s">
        <v>240</v>
      </c>
      <c r="DI3849" s="5" t="s">
        <v>618</v>
      </c>
      <c r="DJ3849" s="5" t="s">
        <v>240</v>
      </c>
      <c r="DK3849" s="5" t="s">
        <v>240</v>
      </c>
      <c r="DL3849" s="5" t="s">
        <v>240</v>
      </c>
      <c r="DM3849" s="5" t="s">
        <v>240</v>
      </c>
      <c r="DN3849" s="5" t="s">
        <v>240</v>
      </c>
      <c r="DO3849" s="7" t="s">
        <v>240</v>
      </c>
      <c r="DP3849" s="5" t="s">
        <v>240</v>
      </c>
      <c r="DQ3849" s="5" t="s">
        <v>248</v>
      </c>
      <c r="DR3849" s="5" t="s">
        <v>731</v>
      </c>
      <c r="DS3849" s="5" t="s">
        <v>731</v>
      </c>
      <c r="DT3849" s="5" t="s">
        <v>240</v>
      </c>
      <c r="DU3849" s="5" t="s">
        <v>240</v>
      </c>
      <c r="DV3849" s="5" t="s">
        <v>6839</v>
      </c>
      <c r="DW3849" s="5" t="s">
        <v>816</v>
      </c>
    </row>
    <row r="3850" spans="1:240" x14ac:dyDescent="0.4">
      <c r="A3850" s="5">
        <v>9392</v>
      </c>
      <c r="B3850" s="5">
        <v>1</v>
      </c>
      <c r="C3850" s="5">
        <v>1</v>
      </c>
      <c r="D3850" s="5" t="s">
        <v>723</v>
      </c>
      <c r="E3850" s="5" t="s">
        <v>725</v>
      </c>
      <c r="F3850" s="5" t="s">
        <v>254</v>
      </c>
      <c r="G3850" s="5" t="s">
        <v>726</v>
      </c>
      <c r="H3850" s="6" t="s">
        <v>3894</v>
      </c>
      <c r="I3850" s="5" t="s">
        <v>3893</v>
      </c>
      <c r="J3850" s="7">
        <f>1</f>
        <v>1</v>
      </c>
      <c r="K3850" s="5" t="s">
        <v>3682</v>
      </c>
      <c r="L3850" s="7">
        <f>1</f>
        <v>1</v>
      </c>
      <c r="M3850" s="7">
        <f>1</f>
        <v>1</v>
      </c>
      <c r="N3850" s="5" t="s">
        <v>242</v>
      </c>
      <c r="O3850" s="5">
        <v>1</v>
      </c>
      <c r="P3850" s="5" t="s">
        <v>294</v>
      </c>
      <c r="Q3850" s="5" t="s">
        <v>613</v>
      </c>
      <c r="T3850" s="5" t="s">
        <v>243</v>
      </c>
      <c r="U3850" s="5" t="s">
        <v>244</v>
      </c>
      <c r="V3850" s="5" t="s">
        <v>240</v>
      </c>
      <c r="Y3850" s="5" t="s">
        <v>240</v>
      </c>
      <c r="Z3850" s="6" t="s">
        <v>298</v>
      </c>
      <c r="AA3850" s="6" t="s">
        <v>240</v>
      </c>
      <c r="AB3850" s="6" t="s">
        <v>240</v>
      </c>
      <c r="AC3850" s="5" t="s">
        <v>240</v>
      </c>
      <c r="AD3850" s="6" t="s">
        <v>240</v>
      </c>
      <c r="AE3850" s="6" t="s">
        <v>299</v>
      </c>
      <c r="AF3850" s="5" t="s">
        <v>248</v>
      </c>
      <c r="AG3850" s="5" t="s">
        <v>249</v>
      </c>
      <c r="AM3850" s="5" t="s">
        <v>240</v>
      </c>
      <c r="AN3850" s="5" t="s">
        <v>240</v>
      </c>
      <c r="AO3850" s="5" t="s">
        <v>240</v>
      </c>
      <c r="AP3850" s="6" t="s">
        <v>240</v>
      </c>
      <c r="AQ3850" s="6" t="s">
        <v>240</v>
      </c>
      <c r="AW3850" s="5" t="s">
        <v>251</v>
      </c>
      <c r="AX3850" s="5" t="s">
        <v>252</v>
      </c>
      <c r="AY3850" s="5" t="s">
        <v>253</v>
      </c>
      <c r="AZ3850" s="5" t="s">
        <v>6046</v>
      </c>
      <c r="BA3850" s="5" t="s">
        <v>255</v>
      </c>
      <c r="BB3850" s="5" t="s">
        <v>731</v>
      </c>
      <c r="BD3850" s="5" t="s">
        <v>686</v>
      </c>
      <c r="BF3850" s="5" t="s">
        <v>301</v>
      </c>
      <c r="BG3850" s="6" t="s">
        <v>733</v>
      </c>
      <c r="BH3850" s="5" t="s">
        <v>302</v>
      </c>
      <c r="BI3850" s="5" t="s">
        <v>303</v>
      </c>
      <c r="BJ3850" s="5" t="s">
        <v>240</v>
      </c>
      <c r="BK3850" s="8">
        <f>0</f>
        <v>0</v>
      </c>
      <c r="BL3850" s="7">
        <f>0</f>
        <v>0</v>
      </c>
      <c r="BM3850" s="5" t="s">
        <v>258</v>
      </c>
      <c r="BN3850" s="5" t="s">
        <v>259</v>
      </c>
      <c r="BW3850" s="6" t="s">
        <v>240</v>
      </c>
      <c r="BX3850" s="5" t="s">
        <v>240</v>
      </c>
      <c r="BY3850" s="5" t="s">
        <v>240</v>
      </c>
      <c r="BZ3850" s="5" t="s">
        <v>240</v>
      </c>
      <c r="CB3850" s="5" t="s">
        <v>240</v>
      </c>
      <c r="CC3850" s="5" t="s">
        <v>240</v>
      </c>
      <c r="CG3850" s="5" t="s">
        <v>617</v>
      </c>
      <c r="CH3850" s="5" t="s">
        <v>305</v>
      </c>
      <c r="CI3850" s="5" t="s">
        <v>260</v>
      </c>
      <c r="CK3850" s="5" t="s">
        <v>240</v>
      </c>
      <c r="CL3850" s="6" t="s">
        <v>261</v>
      </c>
      <c r="CM3850" s="5" t="s">
        <v>240</v>
      </c>
      <c r="CN3850" s="5" t="s">
        <v>263</v>
      </c>
      <c r="CO3850" s="5" t="s">
        <v>240</v>
      </c>
      <c r="CP3850" s="5" t="s">
        <v>240</v>
      </c>
      <c r="CQ3850" s="5">
        <v>0</v>
      </c>
      <c r="CR3850" s="5" t="s">
        <v>735</v>
      </c>
      <c r="CS3850" s="5" t="s">
        <v>307</v>
      </c>
      <c r="CT3850" s="5" t="s">
        <v>307</v>
      </c>
      <c r="CU3850" s="5" t="s">
        <v>260</v>
      </c>
      <c r="CV3850" s="5" t="s">
        <v>240</v>
      </c>
      <c r="CW3850" s="8" t="s">
        <v>240</v>
      </c>
      <c r="CX3850" s="7">
        <f>1813592</f>
        <v>1813592</v>
      </c>
      <c r="CY3850" s="7">
        <f>0</f>
        <v>0</v>
      </c>
      <c r="CZ3850" s="7" t="s">
        <v>240</v>
      </c>
      <c r="DA3850" s="7">
        <f>0</f>
        <v>0</v>
      </c>
      <c r="DB3850" s="7" t="s">
        <v>240</v>
      </c>
      <c r="DC3850" s="5" t="s">
        <v>843</v>
      </c>
      <c r="DD3850" s="5" t="s">
        <v>240</v>
      </c>
      <c r="DF3850" s="5" t="s">
        <v>450</v>
      </c>
      <c r="DG3850" s="7">
        <f>0</f>
        <v>0</v>
      </c>
      <c r="DH3850" s="6" t="s">
        <v>240</v>
      </c>
      <c r="DI3850" s="5" t="s">
        <v>843</v>
      </c>
      <c r="DJ3850" s="5" t="s">
        <v>240</v>
      </c>
      <c r="DK3850" s="5" t="s">
        <v>240</v>
      </c>
      <c r="DL3850" s="5" t="s">
        <v>240</v>
      </c>
      <c r="DM3850" s="5" t="s">
        <v>240</v>
      </c>
      <c r="DN3850" s="5" t="s">
        <v>240</v>
      </c>
      <c r="DO3850" s="7" t="s">
        <v>240</v>
      </c>
      <c r="DP3850" s="5" t="s">
        <v>240</v>
      </c>
      <c r="DQ3850" s="5" t="s">
        <v>248</v>
      </c>
      <c r="DR3850" s="5" t="s">
        <v>731</v>
      </c>
      <c r="DS3850" s="5" t="s">
        <v>731</v>
      </c>
      <c r="DT3850" s="5" t="s">
        <v>240</v>
      </c>
      <c r="DU3850" s="5" t="s">
        <v>240</v>
      </c>
      <c r="DV3850" s="5" t="s">
        <v>6839</v>
      </c>
      <c r="DW3850" s="5" t="s">
        <v>818</v>
      </c>
    </row>
    <row r="3851" spans="1:240" x14ac:dyDescent="0.4">
      <c r="A3851" s="5">
        <v>9393</v>
      </c>
      <c r="B3851" s="5">
        <v>1</v>
      </c>
      <c r="C3851" s="5">
        <v>1</v>
      </c>
      <c r="D3851" s="5" t="s">
        <v>723</v>
      </c>
      <c r="E3851" s="5" t="s">
        <v>725</v>
      </c>
      <c r="F3851" s="5" t="s">
        <v>254</v>
      </c>
      <c r="G3851" s="5" t="s">
        <v>3906</v>
      </c>
      <c r="H3851" s="6" t="s">
        <v>3907</v>
      </c>
      <c r="I3851" s="5" t="s">
        <v>3905</v>
      </c>
      <c r="J3851" s="7">
        <f>1</f>
        <v>1</v>
      </c>
      <c r="K3851" s="5" t="s">
        <v>3682</v>
      </c>
      <c r="L3851" s="7">
        <f>1</f>
        <v>1</v>
      </c>
      <c r="M3851" s="7">
        <f>1</f>
        <v>1</v>
      </c>
      <c r="N3851" s="5" t="s">
        <v>242</v>
      </c>
      <c r="O3851" s="5">
        <v>1</v>
      </c>
      <c r="P3851" s="5" t="s">
        <v>294</v>
      </c>
      <c r="Q3851" s="5" t="s">
        <v>240</v>
      </c>
      <c r="T3851" s="5" t="s">
        <v>240</v>
      </c>
      <c r="U3851" s="5" t="s">
        <v>240</v>
      </c>
      <c r="V3851" s="5" t="s">
        <v>240</v>
      </c>
      <c r="Y3851" s="5" t="s">
        <v>246</v>
      </c>
      <c r="Z3851" s="6" t="s">
        <v>6862</v>
      </c>
      <c r="AA3851" s="6" t="s">
        <v>240</v>
      </c>
      <c r="AB3851" s="6" t="s">
        <v>240</v>
      </c>
      <c r="AC3851" s="5" t="s">
        <v>240</v>
      </c>
      <c r="AD3851" s="6" t="s">
        <v>240</v>
      </c>
      <c r="AE3851" s="6" t="s">
        <v>6862</v>
      </c>
      <c r="AF3851" s="5" t="s">
        <v>248</v>
      </c>
      <c r="AG3851" s="5" t="s">
        <v>240</v>
      </c>
      <c r="AM3851" s="5" t="s">
        <v>240</v>
      </c>
      <c r="AN3851" s="5" t="s">
        <v>240</v>
      </c>
      <c r="AO3851" s="5" t="s">
        <v>240</v>
      </c>
      <c r="AP3851" s="6" t="s">
        <v>240</v>
      </c>
      <c r="AQ3851" s="6" t="s">
        <v>240</v>
      </c>
      <c r="AR3851" s="6" t="s">
        <v>240</v>
      </c>
      <c r="AU3851" s="5" t="s">
        <v>729</v>
      </c>
      <c r="AV3851" s="5" t="s">
        <v>729</v>
      </c>
      <c r="AW3851" s="5" t="s">
        <v>251</v>
      </c>
      <c r="AX3851" s="5" t="s">
        <v>252</v>
      </c>
      <c r="AY3851" s="5" t="s">
        <v>253</v>
      </c>
      <c r="AZ3851" s="5" t="s">
        <v>240</v>
      </c>
      <c r="BA3851" s="5" t="s">
        <v>255</v>
      </c>
      <c r="BB3851" s="5" t="s">
        <v>731</v>
      </c>
      <c r="BD3851" s="5" t="s">
        <v>240</v>
      </c>
      <c r="BF3851" s="5" t="s">
        <v>6763</v>
      </c>
      <c r="BG3851" s="6" t="s">
        <v>6863</v>
      </c>
      <c r="BH3851" s="5" t="s">
        <v>6742</v>
      </c>
      <c r="BI3851" s="5" t="s">
        <v>6743</v>
      </c>
      <c r="BJ3851" s="5" t="s">
        <v>240</v>
      </c>
      <c r="BK3851" s="7">
        <f>0</f>
        <v>0</v>
      </c>
      <c r="BL3851" s="7">
        <f>364000</f>
        <v>364000</v>
      </c>
      <c r="BM3851" s="5" t="s">
        <v>258</v>
      </c>
      <c r="BN3851" s="5" t="s">
        <v>259</v>
      </c>
      <c r="BO3851" s="5" t="s">
        <v>6744</v>
      </c>
      <c r="BP3851" s="5" t="s">
        <v>6745</v>
      </c>
      <c r="BQ3851" s="5" t="s">
        <v>6746</v>
      </c>
      <c r="BR3851" s="5" t="s">
        <v>240</v>
      </c>
      <c r="BS3851" s="5" t="s">
        <v>258</v>
      </c>
      <c r="BT3851" s="5" t="s">
        <v>6747</v>
      </c>
      <c r="BU3851" s="5" t="s">
        <v>6747</v>
      </c>
      <c r="BW3851" s="6" t="s">
        <v>6864</v>
      </c>
      <c r="BX3851" s="5" t="s">
        <v>258</v>
      </c>
      <c r="BY3851" s="5" t="s">
        <v>240</v>
      </c>
      <c r="BZ3851" s="5" t="s">
        <v>240</v>
      </c>
      <c r="CA3851" s="5" t="s">
        <v>259</v>
      </c>
      <c r="CB3851" s="5" t="s">
        <v>240</v>
      </c>
      <c r="CC3851" s="5" t="s">
        <v>240</v>
      </c>
      <c r="CG3851" s="5" t="s">
        <v>240</v>
      </c>
      <c r="CH3851" s="5" t="s">
        <v>240</v>
      </c>
      <c r="CI3851" s="5" t="s">
        <v>260</v>
      </c>
      <c r="CK3851" s="5" t="s">
        <v>240</v>
      </c>
      <c r="CL3851" s="6" t="s">
        <v>261</v>
      </c>
      <c r="CM3851" s="5" t="s">
        <v>262</v>
      </c>
      <c r="CN3851" s="5" t="s">
        <v>293</v>
      </c>
      <c r="CO3851" s="5" t="s">
        <v>264</v>
      </c>
      <c r="CP3851" s="5" t="s">
        <v>240</v>
      </c>
      <c r="CQ3851" s="5">
        <v>0</v>
      </c>
      <c r="CR3851" s="5" t="s">
        <v>240</v>
      </c>
      <c r="CS3851" s="5" t="s">
        <v>240</v>
      </c>
      <c r="CT3851" s="5" t="s">
        <v>240</v>
      </c>
      <c r="CU3851" s="5" t="s">
        <v>260</v>
      </c>
      <c r="CV3851" s="5" t="s">
        <v>240</v>
      </c>
      <c r="CW3851" s="8">
        <f>364000</f>
        <v>364000</v>
      </c>
      <c r="CX3851" s="7">
        <f>364000</f>
        <v>364000</v>
      </c>
      <c r="CY3851" s="7">
        <f>0</f>
        <v>0</v>
      </c>
      <c r="CZ3851" s="7">
        <f>0</f>
        <v>0</v>
      </c>
      <c r="DA3851" s="7">
        <f>364000</f>
        <v>364000</v>
      </c>
      <c r="DB3851" s="7" t="s">
        <v>240</v>
      </c>
      <c r="DC3851" s="5" t="s">
        <v>240</v>
      </c>
      <c r="DD3851" s="5" t="s">
        <v>240</v>
      </c>
      <c r="DF3851" s="5" t="s">
        <v>240</v>
      </c>
      <c r="DG3851" s="7">
        <f>0</f>
        <v>0</v>
      </c>
      <c r="DH3851" s="6" t="s">
        <v>240</v>
      </c>
      <c r="DI3851" s="5" t="s">
        <v>240</v>
      </c>
      <c r="DJ3851" s="5" t="s">
        <v>240</v>
      </c>
      <c r="DK3851" s="5" t="s">
        <v>240</v>
      </c>
      <c r="DL3851" s="5" t="s">
        <v>240</v>
      </c>
      <c r="DM3851" s="5" t="s">
        <v>240</v>
      </c>
      <c r="DN3851" s="5" t="s">
        <v>240</v>
      </c>
      <c r="DO3851" s="7" t="s">
        <v>240</v>
      </c>
      <c r="DP3851" s="5" t="s">
        <v>240</v>
      </c>
      <c r="DQ3851" s="5" t="s">
        <v>248</v>
      </c>
      <c r="DR3851" s="5" t="s">
        <v>731</v>
      </c>
      <c r="DS3851" s="5" t="s">
        <v>731</v>
      </c>
      <c r="DT3851" s="5" t="s">
        <v>240</v>
      </c>
      <c r="DU3851" s="5" t="s">
        <v>240</v>
      </c>
      <c r="GN3851" s="5" t="s">
        <v>6865</v>
      </c>
      <c r="HR3851" s="5" t="s">
        <v>240</v>
      </c>
      <c r="HS3851" s="5" t="s">
        <v>240</v>
      </c>
      <c r="HT3851" s="5" t="s">
        <v>240</v>
      </c>
      <c r="HU3851" s="5" t="s">
        <v>240</v>
      </c>
      <c r="HV3851" s="5" t="s">
        <v>240</v>
      </c>
      <c r="HW3851" s="5" t="s">
        <v>240</v>
      </c>
      <c r="HX3851" s="5" t="s">
        <v>240</v>
      </c>
      <c r="HY3851" s="5" t="s">
        <v>240</v>
      </c>
      <c r="HZ3851" s="5" t="s">
        <v>240</v>
      </c>
      <c r="IA3851" s="5" t="s">
        <v>240</v>
      </c>
      <c r="IB3851" s="5" t="s">
        <v>240</v>
      </c>
      <c r="IC3851" s="5" t="s">
        <v>240</v>
      </c>
      <c r="ID3851" s="5" t="s">
        <v>240</v>
      </c>
      <c r="IE3851" s="5" t="s">
        <v>240</v>
      </c>
      <c r="IF3851" s="5" t="s">
        <v>240</v>
      </c>
    </row>
    <row r="3852" spans="1:240" x14ac:dyDescent="0.4">
      <c r="A3852" s="5">
        <v>9394</v>
      </c>
      <c r="B3852" s="5">
        <v>1</v>
      </c>
      <c r="C3852" s="5">
        <v>1</v>
      </c>
      <c r="D3852" s="5" t="s">
        <v>723</v>
      </c>
      <c r="E3852" s="5" t="s">
        <v>725</v>
      </c>
      <c r="F3852" s="5" t="s">
        <v>254</v>
      </c>
      <c r="G3852" s="5" t="s">
        <v>726</v>
      </c>
      <c r="H3852" s="6" t="s">
        <v>3915</v>
      </c>
      <c r="I3852" s="5" t="s">
        <v>3914</v>
      </c>
      <c r="J3852" s="7">
        <f>1</f>
        <v>1</v>
      </c>
      <c r="K3852" s="5" t="s">
        <v>3682</v>
      </c>
      <c r="L3852" s="7">
        <f>1</f>
        <v>1</v>
      </c>
      <c r="M3852" s="7">
        <f>1</f>
        <v>1</v>
      </c>
      <c r="N3852" s="5" t="s">
        <v>242</v>
      </c>
      <c r="O3852" s="5">
        <v>1</v>
      </c>
      <c r="P3852" s="5" t="s">
        <v>294</v>
      </c>
      <c r="Q3852" s="5" t="s">
        <v>240</v>
      </c>
      <c r="T3852" s="5" t="s">
        <v>240</v>
      </c>
      <c r="U3852" s="5" t="s">
        <v>240</v>
      </c>
      <c r="V3852" s="5" t="s">
        <v>240</v>
      </c>
      <c r="Y3852" s="5" t="s">
        <v>246</v>
      </c>
      <c r="Z3852" s="6" t="s">
        <v>6867</v>
      </c>
      <c r="AA3852" s="6" t="s">
        <v>240</v>
      </c>
      <c r="AB3852" s="6" t="s">
        <v>240</v>
      </c>
      <c r="AC3852" s="5" t="s">
        <v>240</v>
      </c>
      <c r="AD3852" s="6" t="s">
        <v>240</v>
      </c>
      <c r="AE3852" s="6" t="s">
        <v>6867</v>
      </c>
      <c r="AF3852" s="5" t="s">
        <v>248</v>
      </c>
      <c r="AG3852" s="5" t="s">
        <v>240</v>
      </c>
      <c r="AM3852" s="5" t="s">
        <v>240</v>
      </c>
      <c r="AN3852" s="5" t="s">
        <v>240</v>
      </c>
      <c r="AO3852" s="5" t="s">
        <v>240</v>
      </c>
      <c r="AP3852" s="6" t="s">
        <v>240</v>
      </c>
      <c r="AQ3852" s="6" t="s">
        <v>240</v>
      </c>
      <c r="AR3852" s="6" t="s">
        <v>240</v>
      </c>
      <c r="AU3852" s="5" t="s">
        <v>729</v>
      </c>
      <c r="AV3852" s="5" t="s">
        <v>729</v>
      </c>
      <c r="AW3852" s="5" t="s">
        <v>251</v>
      </c>
      <c r="AX3852" s="5" t="s">
        <v>252</v>
      </c>
      <c r="AY3852" s="5" t="s">
        <v>253</v>
      </c>
      <c r="AZ3852" s="5" t="s">
        <v>240</v>
      </c>
      <c r="BA3852" s="5" t="s">
        <v>255</v>
      </c>
      <c r="BB3852" s="5" t="s">
        <v>731</v>
      </c>
      <c r="BD3852" s="5" t="s">
        <v>240</v>
      </c>
      <c r="BF3852" s="5" t="s">
        <v>6763</v>
      </c>
      <c r="BG3852" s="6" t="s">
        <v>6863</v>
      </c>
      <c r="BH3852" s="5" t="s">
        <v>6742</v>
      </c>
      <c r="BI3852" s="5" t="s">
        <v>6743</v>
      </c>
      <c r="BJ3852" s="5" t="s">
        <v>240</v>
      </c>
      <c r="BK3852" s="8">
        <f>0</f>
        <v>0</v>
      </c>
      <c r="BL3852" s="7">
        <f>37975</f>
        <v>37975</v>
      </c>
      <c r="BM3852" s="5" t="s">
        <v>258</v>
      </c>
      <c r="BN3852" s="5" t="s">
        <v>259</v>
      </c>
      <c r="BO3852" s="5" t="s">
        <v>6744</v>
      </c>
      <c r="BP3852" s="5" t="s">
        <v>6745</v>
      </c>
      <c r="BQ3852" s="5" t="s">
        <v>6746</v>
      </c>
      <c r="BR3852" s="5" t="s">
        <v>240</v>
      </c>
      <c r="BS3852" s="5" t="s">
        <v>258</v>
      </c>
      <c r="BT3852" s="5" t="s">
        <v>6747</v>
      </c>
      <c r="BU3852" s="5" t="s">
        <v>6747</v>
      </c>
      <c r="BW3852" s="6" t="s">
        <v>6868</v>
      </c>
      <c r="BX3852" s="5" t="s">
        <v>258</v>
      </c>
      <c r="BY3852" s="5" t="s">
        <v>240</v>
      </c>
      <c r="BZ3852" s="5" t="s">
        <v>240</v>
      </c>
      <c r="CA3852" s="5" t="s">
        <v>259</v>
      </c>
      <c r="CB3852" s="5" t="s">
        <v>240</v>
      </c>
      <c r="CC3852" s="5" t="s">
        <v>240</v>
      </c>
      <c r="CG3852" s="5" t="s">
        <v>240</v>
      </c>
      <c r="CH3852" s="5" t="s">
        <v>240</v>
      </c>
      <c r="CI3852" s="5" t="s">
        <v>260</v>
      </c>
      <c r="CK3852" s="5" t="s">
        <v>240</v>
      </c>
      <c r="CL3852" s="6" t="s">
        <v>261</v>
      </c>
      <c r="CM3852" s="5" t="s">
        <v>262</v>
      </c>
      <c r="CN3852" s="5" t="s">
        <v>293</v>
      </c>
      <c r="CO3852" s="5" t="s">
        <v>264</v>
      </c>
      <c r="CP3852" s="5" t="s">
        <v>240</v>
      </c>
      <c r="CQ3852" s="5">
        <v>0</v>
      </c>
      <c r="CR3852" s="5" t="s">
        <v>240</v>
      </c>
      <c r="CS3852" s="5" t="s">
        <v>240</v>
      </c>
      <c r="CT3852" s="5" t="s">
        <v>240</v>
      </c>
      <c r="CU3852" s="5" t="s">
        <v>260</v>
      </c>
      <c r="CV3852" s="5" t="s">
        <v>240</v>
      </c>
      <c r="CW3852" s="8">
        <f>3500</f>
        <v>3500</v>
      </c>
      <c r="CX3852" s="7">
        <f>37975</f>
        <v>37975</v>
      </c>
      <c r="CY3852" s="7">
        <f>0</f>
        <v>0</v>
      </c>
      <c r="CZ3852" s="7">
        <f>0</f>
        <v>0</v>
      </c>
      <c r="DA3852" s="7">
        <f>37975</f>
        <v>37975</v>
      </c>
      <c r="DB3852" s="7" t="s">
        <v>240</v>
      </c>
      <c r="DC3852" s="5" t="s">
        <v>240</v>
      </c>
      <c r="DD3852" s="5" t="s">
        <v>240</v>
      </c>
      <c r="DF3852" s="5" t="s">
        <v>240</v>
      </c>
      <c r="DG3852" s="7">
        <f>0</f>
        <v>0</v>
      </c>
      <c r="DH3852" s="6" t="s">
        <v>240</v>
      </c>
      <c r="DI3852" s="5" t="s">
        <v>240</v>
      </c>
      <c r="DJ3852" s="5" t="s">
        <v>240</v>
      </c>
      <c r="DK3852" s="5" t="s">
        <v>240</v>
      </c>
      <c r="DL3852" s="5" t="s">
        <v>240</v>
      </c>
      <c r="DM3852" s="5" t="s">
        <v>240</v>
      </c>
      <c r="DN3852" s="5" t="s">
        <v>240</v>
      </c>
      <c r="DO3852" s="7" t="s">
        <v>240</v>
      </c>
      <c r="DP3852" s="5" t="s">
        <v>240</v>
      </c>
      <c r="DQ3852" s="5" t="s">
        <v>248</v>
      </c>
      <c r="DR3852" s="5" t="s">
        <v>731</v>
      </c>
      <c r="DS3852" s="5" t="s">
        <v>731</v>
      </c>
      <c r="DT3852" s="5" t="s">
        <v>240</v>
      </c>
      <c r="DU3852" s="5" t="s">
        <v>240</v>
      </c>
      <c r="GN3852" s="5" t="s">
        <v>6869</v>
      </c>
      <c r="HR3852" s="5" t="s">
        <v>240</v>
      </c>
      <c r="HS3852" s="5" t="s">
        <v>240</v>
      </c>
      <c r="HT3852" s="5" t="s">
        <v>240</v>
      </c>
      <c r="HU3852" s="5" t="s">
        <v>240</v>
      </c>
      <c r="HV3852" s="5" t="s">
        <v>240</v>
      </c>
      <c r="HW3852" s="5" t="s">
        <v>240</v>
      </c>
      <c r="HX3852" s="5" t="s">
        <v>240</v>
      </c>
      <c r="HY3852" s="5" t="s">
        <v>240</v>
      </c>
      <c r="HZ3852" s="5" t="s">
        <v>240</v>
      </c>
      <c r="IA3852" s="5" t="s">
        <v>240</v>
      </c>
      <c r="IB3852" s="5" t="s">
        <v>240</v>
      </c>
      <c r="IC3852" s="5" t="s">
        <v>240</v>
      </c>
      <c r="ID3852" s="5" t="s">
        <v>240</v>
      </c>
      <c r="IE3852" s="5" t="s">
        <v>240</v>
      </c>
      <c r="IF3852" s="5" t="s">
        <v>240</v>
      </c>
    </row>
    <row r="3853" spans="1:240" x14ac:dyDescent="0.4">
      <c r="A3853" s="5">
        <v>9395</v>
      </c>
      <c r="B3853" s="5">
        <v>1</v>
      </c>
      <c r="C3853" s="5">
        <v>1</v>
      </c>
      <c r="D3853" s="5" t="s">
        <v>723</v>
      </c>
      <c r="E3853" s="5" t="s">
        <v>725</v>
      </c>
      <c r="F3853" s="5" t="s">
        <v>254</v>
      </c>
      <c r="G3853" s="5" t="s">
        <v>3929</v>
      </c>
      <c r="H3853" s="6" t="s">
        <v>3930</v>
      </c>
      <c r="I3853" s="5" t="s">
        <v>3928</v>
      </c>
      <c r="J3853" s="7">
        <f>1</f>
        <v>1</v>
      </c>
      <c r="K3853" s="5" t="s">
        <v>3682</v>
      </c>
      <c r="L3853" s="7">
        <f>1</f>
        <v>1</v>
      </c>
      <c r="M3853" s="7">
        <f>1</f>
        <v>1</v>
      </c>
      <c r="N3853" s="5" t="s">
        <v>242</v>
      </c>
      <c r="O3853" s="5">
        <v>1</v>
      </c>
      <c r="P3853" s="5" t="s">
        <v>294</v>
      </c>
      <c r="Q3853" s="5" t="s">
        <v>240</v>
      </c>
      <c r="T3853" s="5" t="s">
        <v>240</v>
      </c>
      <c r="U3853" s="5" t="s">
        <v>240</v>
      </c>
      <c r="V3853" s="5" t="s">
        <v>240</v>
      </c>
      <c r="Y3853" s="5" t="s">
        <v>246</v>
      </c>
      <c r="Z3853" s="6" t="s">
        <v>6871</v>
      </c>
      <c r="AA3853" s="6" t="s">
        <v>240</v>
      </c>
      <c r="AB3853" s="6" t="s">
        <v>240</v>
      </c>
      <c r="AC3853" s="5" t="s">
        <v>240</v>
      </c>
      <c r="AD3853" s="6" t="s">
        <v>240</v>
      </c>
      <c r="AE3853" s="6" t="s">
        <v>6871</v>
      </c>
      <c r="AF3853" s="5" t="s">
        <v>248</v>
      </c>
      <c r="AG3853" s="5" t="s">
        <v>240</v>
      </c>
      <c r="AM3853" s="5" t="s">
        <v>240</v>
      </c>
      <c r="AN3853" s="5" t="s">
        <v>240</v>
      </c>
      <c r="AO3853" s="5" t="s">
        <v>240</v>
      </c>
      <c r="AP3853" s="6" t="s">
        <v>240</v>
      </c>
      <c r="AQ3853" s="6" t="s">
        <v>240</v>
      </c>
      <c r="AR3853" s="6" t="s">
        <v>240</v>
      </c>
      <c r="AU3853" s="5" t="s">
        <v>729</v>
      </c>
      <c r="AV3853" s="5" t="s">
        <v>729</v>
      </c>
      <c r="AW3853" s="5" t="s">
        <v>251</v>
      </c>
      <c r="AX3853" s="5" t="s">
        <v>252</v>
      </c>
      <c r="AY3853" s="5" t="s">
        <v>253</v>
      </c>
      <c r="AZ3853" s="5" t="s">
        <v>240</v>
      </c>
      <c r="BA3853" s="5" t="s">
        <v>255</v>
      </c>
      <c r="BB3853" s="5" t="s">
        <v>731</v>
      </c>
      <c r="BD3853" s="5" t="s">
        <v>240</v>
      </c>
      <c r="BF3853" s="5" t="s">
        <v>6763</v>
      </c>
      <c r="BG3853" s="6" t="s">
        <v>6873</v>
      </c>
      <c r="BH3853" s="5" t="s">
        <v>6742</v>
      </c>
      <c r="BI3853" s="5" t="s">
        <v>6743</v>
      </c>
      <c r="BJ3853" s="5" t="s">
        <v>240</v>
      </c>
      <c r="BK3853" s="7">
        <f>0</f>
        <v>0</v>
      </c>
      <c r="BL3853" s="7">
        <f>96000</f>
        <v>96000</v>
      </c>
      <c r="BM3853" s="5" t="s">
        <v>258</v>
      </c>
      <c r="BN3853" s="5" t="s">
        <v>259</v>
      </c>
      <c r="BO3853" s="5" t="s">
        <v>6744</v>
      </c>
      <c r="BP3853" s="5" t="s">
        <v>6745</v>
      </c>
      <c r="BQ3853" s="5" t="s">
        <v>6746</v>
      </c>
      <c r="BR3853" s="5" t="s">
        <v>240</v>
      </c>
      <c r="BS3853" s="5" t="s">
        <v>258</v>
      </c>
      <c r="BT3853" s="5" t="s">
        <v>6747</v>
      </c>
      <c r="BU3853" s="5" t="s">
        <v>6747</v>
      </c>
      <c r="BW3853" s="6" t="s">
        <v>6874</v>
      </c>
      <c r="BX3853" s="5" t="s">
        <v>258</v>
      </c>
      <c r="BY3853" s="5" t="s">
        <v>240</v>
      </c>
      <c r="BZ3853" s="5" t="s">
        <v>240</v>
      </c>
      <c r="CA3853" s="5" t="s">
        <v>259</v>
      </c>
      <c r="CB3853" s="5" t="s">
        <v>240</v>
      </c>
      <c r="CC3853" s="5" t="s">
        <v>240</v>
      </c>
      <c r="CG3853" s="5" t="s">
        <v>240</v>
      </c>
      <c r="CH3853" s="5" t="s">
        <v>240</v>
      </c>
      <c r="CI3853" s="5" t="s">
        <v>260</v>
      </c>
      <c r="CK3853" s="5" t="s">
        <v>240</v>
      </c>
      <c r="CL3853" s="6" t="s">
        <v>261</v>
      </c>
      <c r="CM3853" s="5" t="s">
        <v>262</v>
      </c>
      <c r="CN3853" s="5" t="s">
        <v>293</v>
      </c>
      <c r="CO3853" s="5" t="s">
        <v>264</v>
      </c>
      <c r="CP3853" s="5" t="s">
        <v>240</v>
      </c>
      <c r="CQ3853" s="5">
        <v>0</v>
      </c>
      <c r="CR3853" s="5" t="s">
        <v>240</v>
      </c>
      <c r="CS3853" s="5" t="s">
        <v>240</v>
      </c>
      <c r="CT3853" s="5" t="s">
        <v>240</v>
      </c>
      <c r="CU3853" s="5" t="s">
        <v>260</v>
      </c>
      <c r="CV3853" s="5" t="s">
        <v>240</v>
      </c>
      <c r="CW3853" s="8">
        <f>17114564</f>
        <v>17114564</v>
      </c>
      <c r="CX3853" s="7">
        <f>17114564</f>
        <v>17114564</v>
      </c>
      <c r="CY3853" s="7">
        <f>0</f>
        <v>0</v>
      </c>
      <c r="CZ3853" s="7">
        <f>0</f>
        <v>0</v>
      </c>
      <c r="DA3853" s="7">
        <f>17114564</f>
        <v>17114564</v>
      </c>
      <c r="DB3853" s="7" t="s">
        <v>240</v>
      </c>
      <c r="DC3853" s="5" t="s">
        <v>240</v>
      </c>
      <c r="DD3853" s="5" t="s">
        <v>240</v>
      </c>
      <c r="DF3853" s="5" t="s">
        <v>240</v>
      </c>
      <c r="DG3853" s="7">
        <f>0</f>
        <v>0</v>
      </c>
      <c r="DH3853" s="6" t="s">
        <v>240</v>
      </c>
      <c r="DI3853" s="5" t="s">
        <v>240</v>
      </c>
      <c r="DJ3853" s="5" t="s">
        <v>240</v>
      </c>
      <c r="DK3853" s="5" t="s">
        <v>240</v>
      </c>
      <c r="DL3853" s="5" t="s">
        <v>240</v>
      </c>
      <c r="DM3853" s="5" t="s">
        <v>240</v>
      </c>
      <c r="DN3853" s="5" t="s">
        <v>240</v>
      </c>
      <c r="DO3853" s="7" t="s">
        <v>240</v>
      </c>
      <c r="DP3853" s="5" t="s">
        <v>240</v>
      </c>
      <c r="DQ3853" s="5" t="s">
        <v>248</v>
      </c>
      <c r="DR3853" s="5" t="s">
        <v>731</v>
      </c>
      <c r="DS3853" s="5" t="s">
        <v>731</v>
      </c>
      <c r="DT3853" s="5" t="s">
        <v>240</v>
      </c>
      <c r="DU3853" s="5" t="s">
        <v>240</v>
      </c>
      <c r="GN3853" s="5" t="s">
        <v>6875</v>
      </c>
      <c r="HR3853" s="5" t="s">
        <v>240</v>
      </c>
      <c r="HS3853" s="5" t="s">
        <v>240</v>
      </c>
      <c r="HT3853" s="5" t="s">
        <v>240</v>
      </c>
      <c r="HU3853" s="5" t="s">
        <v>240</v>
      </c>
      <c r="HV3853" s="5" t="s">
        <v>240</v>
      </c>
      <c r="HW3853" s="5" t="s">
        <v>240</v>
      </c>
      <c r="HX3853" s="5" t="s">
        <v>240</v>
      </c>
      <c r="HY3853" s="5" t="s">
        <v>240</v>
      </c>
      <c r="HZ3853" s="5" t="s">
        <v>240</v>
      </c>
      <c r="IA3853" s="5" t="s">
        <v>240</v>
      </c>
      <c r="IB3853" s="5" t="s">
        <v>240</v>
      </c>
      <c r="IC3853" s="5" t="s">
        <v>240</v>
      </c>
      <c r="ID3853" s="5" t="s">
        <v>240</v>
      </c>
      <c r="IE3853" s="5" t="s">
        <v>240</v>
      </c>
      <c r="IF3853" s="5" t="s">
        <v>240</v>
      </c>
    </row>
    <row r="3854" spans="1:240" x14ac:dyDescent="0.4">
      <c r="A3854" s="5">
        <v>9396</v>
      </c>
      <c r="B3854" s="5">
        <v>1</v>
      </c>
      <c r="C3854" s="5">
        <v>1</v>
      </c>
      <c r="D3854" s="5" t="s">
        <v>723</v>
      </c>
      <c r="E3854" s="5" t="s">
        <v>725</v>
      </c>
      <c r="F3854" s="5" t="s">
        <v>254</v>
      </c>
      <c r="G3854" s="5" t="s">
        <v>3932</v>
      </c>
      <c r="H3854" s="6" t="s">
        <v>3933</v>
      </c>
      <c r="I3854" s="5" t="s">
        <v>3931</v>
      </c>
      <c r="J3854" s="7">
        <f>1</f>
        <v>1</v>
      </c>
      <c r="K3854" s="5" t="s">
        <v>3682</v>
      </c>
      <c r="L3854" s="7">
        <f>1</f>
        <v>1</v>
      </c>
      <c r="M3854" s="7">
        <f>1</f>
        <v>1</v>
      </c>
      <c r="N3854" s="5" t="s">
        <v>242</v>
      </c>
      <c r="O3854" s="5">
        <v>1</v>
      </c>
      <c r="P3854" s="5" t="s">
        <v>294</v>
      </c>
      <c r="Q3854" s="5" t="s">
        <v>613</v>
      </c>
      <c r="T3854" s="5" t="s">
        <v>243</v>
      </c>
      <c r="U3854" s="5" t="s">
        <v>244</v>
      </c>
      <c r="V3854" s="5" t="s">
        <v>240</v>
      </c>
      <c r="Y3854" s="5" t="s">
        <v>240</v>
      </c>
      <c r="Z3854" s="6" t="s">
        <v>298</v>
      </c>
      <c r="AA3854" s="6" t="s">
        <v>240</v>
      </c>
      <c r="AB3854" s="6" t="s">
        <v>240</v>
      </c>
      <c r="AC3854" s="5" t="s">
        <v>240</v>
      </c>
      <c r="AD3854" s="6" t="s">
        <v>240</v>
      </c>
      <c r="AE3854" s="6" t="s">
        <v>299</v>
      </c>
      <c r="AF3854" s="5" t="s">
        <v>248</v>
      </c>
      <c r="AG3854" s="5" t="s">
        <v>249</v>
      </c>
      <c r="AM3854" s="5" t="s">
        <v>240</v>
      </c>
      <c r="AN3854" s="5" t="s">
        <v>240</v>
      </c>
      <c r="AO3854" s="5" t="s">
        <v>240</v>
      </c>
      <c r="AP3854" s="6" t="s">
        <v>240</v>
      </c>
      <c r="AQ3854" s="6" t="s">
        <v>240</v>
      </c>
      <c r="AW3854" s="5" t="s">
        <v>251</v>
      </c>
      <c r="AX3854" s="5" t="s">
        <v>252</v>
      </c>
      <c r="AY3854" s="5" t="s">
        <v>253</v>
      </c>
      <c r="AZ3854" s="5" t="s">
        <v>6046</v>
      </c>
      <c r="BA3854" s="5" t="s">
        <v>255</v>
      </c>
      <c r="BB3854" s="5" t="s">
        <v>731</v>
      </c>
      <c r="BD3854" s="5" t="s">
        <v>686</v>
      </c>
      <c r="BF3854" s="5" t="s">
        <v>301</v>
      </c>
      <c r="BG3854" s="6" t="s">
        <v>733</v>
      </c>
      <c r="BH3854" s="5" t="s">
        <v>302</v>
      </c>
      <c r="BI3854" s="5" t="s">
        <v>303</v>
      </c>
      <c r="BJ3854" s="5" t="s">
        <v>240</v>
      </c>
      <c r="BK3854" s="8">
        <f>0</f>
        <v>0</v>
      </c>
      <c r="BL3854" s="7">
        <f>0</f>
        <v>0</v>
      </c>
      <c r="BM3854" s="5" t="s">
        <v>258</v>
      </c>
      <c r="BN3854" s="5" t="s">
        <v>259</v>
      </c>
      <c r="BW3854" s="6" t="s">
        <v>240</v>
      </c>
      <c r="BX3854" s="5" t="s">
        <v>240</v>
      </c>
      <c r="BY3854" s="5" t="s">
        <v>240</v>
      </c>
      <c r="BZ3854" s="5" t="s">
        <v>240</v>
      </c>
      <c r="CB3854" s="5" t="s">
        <v>240</v>
      </c>
      <c r="CC3854" s="5" t="s">
        <v>240</v>
      </c>
      <c r="CG3854" s="5" t="s">
        <v>617</v>
      </c>
      <c r="CH3854" s="5" t="s">
        <v>305</v>
      </c>
      <c r="CI3854" s="5" t="s">
        <v>260</v>
      </c>
      <c r="CK3854" s="5" t="s">
        <v>240</v>
      </c>
      <c r="CL3854" s="6" t="s">
        <v>261</v>
      </c>
      <c r="CM3854" s="5" t="s">
        <v>240</v>
      </c>
      <c r="CN3854" s="5" t="s">
        <v>263</v>
      </c>
      <c r="CO3854" s="5" t="s">
        <v>240</v>
      </c>
      <c r="CP3854" s="5" t="s">
        <v>240</v>
      </c>
      <c r="CQ3854" s="5">
        <v>0</v>
      </c>
      <c r="CR3854" s="5" t="s">
        <v>735</v>
      </c>
      <c r="CS3854" s="5" t="s">
        <v>307</v>
      </c>
      <c r="CT3854" s="5" t="s">
        <v>307</v>
      </c>
      <c r="CU3854" s="5" t="s">
        <v>260</v>
      </c>
      <c r="CV3854" s="5" t="s">
        <v>240</v>
      </c>
      <c r="CW3854" s="8" t="s">
        <v>240</v>
      </c>
      <c r="CX3854" s="7">
        <f>15256920</f>
        <v>15256920</v>
      </c>
      <c r="CY3854" s="7">
        <f>0</f>
        <v>0</v>
      </c>
      <c r="CZ3854" s="7" t="s">
        <v>240</v>
      </c>
      <c r="DA3854" s="7">
        <f>0</f>
        <v>0</v>
      </c>
      <c r="DB3854" s="7" t="s">
        <v>240</v>
      </c>
      <c r="DC3854" s="5" t="s">
        <v>689</v>
      </c>
      <c r="DD3854" s="5" t="s">
        <v>240</v>
      </c>
      <c r="DF3854" s="5" t="s">
        <v>450</v>
      </c>
      <c r="DG3854" s="7">
        <f>0</f>
        <v>0</v>
      </c>
      <c r="DH3854" s="6" t="s">
        <v>240</v>
      </c>
      <c r="DI3854" s="5" t="s">
        <v>618</v>
      </c>
      <c r="DJ3854" s="5" t="s">
        <v>240</v>
      </c>
      <c r="DK3854" s="5" t="s">
        <v>240</v>
      </c>
      <c r="DL3854" s="5" t="s">
        <v>240</v>
      </c>
      <c r="DM3854" s="5" t="s">
        <v>240</v>
      </c>
      <c r="DN3854" s="5" t="s">
        <v>240</v>
      </c>
      <c r="DO3854" s="7" t="s">
        <v>240</v>
      </c>
      <c r="DP3854" s="5" t="s">
        <v>240</v>
      </c>
      <c r="DQ3854" s="5" t="s">
        <v>248</v>
      </c>
      <c r="DR3854" s="5" t="s">
        <v>731</v>
      </c>
      <c r="DS3854" s="5" t="s">
        <v>731</v>
      </c>
      <c r="DT3854" s="5" t="s">
        <v>240</v>
      </c>
      <c r="DU3854" s="5" t="s">
        <v>240</v>
      </c>
      <c r="DV3854" s="5" t="s">
        <v>6879</v>
      </c>
      <c r="DW3854" s="5" t="s">
        <v>820</v>
      </c>
    </row>
    <row r="3855" spans="1:240" x14ac:dyDescent="0.4">
      <c r="A3855" s="5">
        <v>9397</v>
      </c>
      <c r="B3855" s="5">
        <v>1</v>
      </c>
      <c r="C3855" s="5">
        <v>1</v>
      </c>
      <c r="D3855" s="5" t="s">
        <v>723</v>
      </c>
      <c r="E3855" s="5" t="s">
        <v>725</v>
      </c>
      <c r="F3855" s="5" t="s">
        <v>254</v>
      </c>
      <c r="G3855" s="5" t="s">
        <v>3951</v>
      </c>
      <c r="H3855" s="6" t="s">
        <v>3952</v>
      </c>
      <c r="I3855" s="5" t="s">
        <v>3950</v>
      </c>
      <c r="J3855" s="7">
        <f>1</f>
        <v>1</v>
      </c>
      <c r="K3855" s="5" t="s">
        <v>3682</v>
      </c>
      <c r="L3855" s="7">
        <f>1</f>
        <v>1</v>
      </c>
      <c r="M3855" s="7">
        <f>1</f>
        <v>1</v>
      </c>
      <c r="N3855" s="5" t="s">
        <v>242</v>
      </c>
      <c r="O3855" s="5">
        <v>1</v>
      </c>
      <c r="P3855" s="5" t="s">
        <v>294</v>
      </c>
      <c r="Q3855" s="5" t="s">
        <v>240</v>
      </c>
      <c r="T3855" s="5" t="s">
        <v>296</v>
      </c>
      <c r="U3855" s="5" t="s">
        <v>244</v>
      </c>
      <c r="V3855" s="5" t="s">
        <v>240</v>
      </c>
      <c r="Y3855" s="5" t="s">
        <v>240</v>
      </c>
      <c r="Z3855" s="6" t="s">
        <v>6882</v>
      </c>
      <c r="AA3855" s="6" t="s">
        <v>240</v>
      </c>
      <c r="AB3855" s="6" t="s">
        <v>240</v>
      </c>
      <c r="AC3855" s="5" t="s">
        <v>240</v>
      </c>
      <c r="AD3855" s="6" t="s">
        <v>240</v>
      </c>
      <c r="AE3855" s="6" t="s">
        <v>240</v>
      </c>
      <c r="AF3855" s="5" t="s">
        <v>248</v>
      </c>
      <c r="AG3855" s="5" t="s">
        <v>249</v>
      </c>
      <c r="AM3855" s="5" t="s">
        <v>240</v>
      </c>
      <c r="AN3855" s="5" t="s">
        <v>240</v>
      </c>
      <c r="AO3855" s="5" t="s">
        <v>240</v>
      </c>
      <c r="AP3855" s="6" t="s">
        <v>240</v>
      </c>
      <c r="AQ3855" s="6" t="s">
        <v>240</v>
      </c>
      <c r="AR3855" s="6" t="s">
        <v>240</v>
      </c>
      <c r="AU3855" s="5" t="s">
        <v>729</v>
      </c>
      <c r="AV3855" s="5" t="s">
        <v>729</v>
      </c>
      <c r="AW3855" s="5" t="s">
        <v>251</v>
      </c>
      <c r="AX3855" s="5" t="s">
        <v>252</v>
      </c>
      <c r="AY3855" s="5" t="s">
        <v>253</v>
      </c>
      <c r="AZ3855" s="5" t="s">
        <v>6046</v>
      </c>
      <c r="BA3855" s="5" t="s">
        <v>255</v>
      </c>
      <c r="BB3855" s="5" t="s">
        <v>731</v>
      </c>
      <c r="BD3855" s="5" t="s">
        <v>842</v>
      </c>
      <c r="BF3855" s="5" t="s">
        <v>256</v>
      </c>
      <c r="BG3855" s="6" t="s">
        <v>6882</v>
      </c>
      <c r="BH3855" s="5" t="s">
        <v>6799</v>
      </c>
      <c r="BI3855" s="5" t="s">
        <v>6799</v>
      </c>
      <c r="BJ3855" s="5" t="s">
        <v>240</v>
      </c>
      <c r="BK3855" s="8">
        <f>5.39</f>
        <v>5.39</v>
      </c>
      <c r="BL3855" s="7">
        <f>1</f>
        <v>1</v>
      </c>
      <c r="BM3855" s="5" t="s">
        <v>258</v>
      </c>
      <c r="BN3855" s="5" t="s">
        <v>259</v>
      </c>
      <c r="BO3855" s="5" t="s">
        <v>240</v>
      </c>
      <c r="BP3855" s="5" t="s">
        <v>240</v>
      </c>
      <c r="BQ3855" s="5" t="s">
        <v>240</v>
      </c>
      <c r="BR3855" s="5" t="s">
        <v>240</v>
      </c>
      <c r="BW3855" s="6" t="s">
        <v>240</v>
      </c>
      <c r="BX3855" s="5" t="s">
        <v>240</v>
      </c>
      <c r="BY3855" s="5" t="s">
        <v>240</v>
      </c>
      <c r="BZ3855" s="5" t="s">
        <v>240</v>
      </c>
      <c r="CA3855" s="5" t="s">
        <v>259</v>
      </c>
      <c r="CB3855" s="5" t="s">
        <v>240</v>
      </c>
      <c r="CC3855" s="5" t="s">
        <v>240</v>
      </c>
      <c r="CG3855" s="5" t="s">
        <v>240</v>
      </c>
      <c r="CH3855" s="5" t="s">
        <v>240</v>
      </c>
      <c r="CI3855" s="5" t="s">
        <v>260</v>
      </c>
      <c r="CK3855" s="5" t="s">
        <v>240</v>
      </c>
      <c r="CL3855" s="6" t="s">
        <v>261</v>
      </c>
      <c r="CM3855" s="5" t="s">
        <v>262</v>
      </c>
      <c r="CN3855" s="5" t="s">
        <v>263</v>
      </c>
      <c r="CO3855" s="5" t="s">
        <v>264</v>
      </c>
      <c r="CP3855" s="5" t="s">
        <v>240</v>
      </c>
      <c r="CQ3855" s="5">
        <v>0</v>
      </c>
      <c r="CR3855" s="5" t="s">
        <v>735</v>
      </c>
      <c r="CS3855" s="5" t="s">
        <v>307</v>
      </c>
      <c r="CT3855" s="5" t="s">
        <v>307</v>
      </c>
      <c r="CU3855" s="5" t="s">
        <v>260</v>
      </c>
      <c r="CV3855" s="5" t="s">
        <v>240</v>
      </c>
      <c r="CW3855" s="8">
        <f>0</f>
        <v>0</v>
      </c>
      <c r="CX3855" s="7">
        <f>1</f>
        <v>1</v>
      </c>
      <c r="CY3855" s="7">
        <f>0</f>
        <v>0</v>
      </c>
      <c r="CZ3855" s="7">
        <f>0</f>
        <v>0</v>
      </c>
      <c r="DA3855" s="7">
        <f>1</f>
        <v>1</v>
      </c>
      <c r="DB3855" s="7" t="s">
        <v>240</v>
      </c>
      <c r="DC3855" s="5" t="s">
        <v>240</v>
      </c>
      <c r="DD3855" s="5" t="s">
        <v>240</v>
      </c>
      <c r="DF3855" s="5" t="s">
        <v>240</v>
      </c>
      <c r="DG3855" s="7">
        <f>0</f>
        <v>0</v>
      </c>
      <c r="DH3855" s="6" t="s">
        <v>240</v>
      </c>
      <c r="DI3855" s="5" t="s">
        <v>240</v>
      </c>
      <c r="DJ3855" s="5" t="s">
        <v>240</v>
      </c>
      <c r="DK3855" s="5" t="s">
        <v>240</v>
      </c>
      <c r="DL3855" s="5" t="s">
        <v>240</v>
      </c>
      <c r="DM3855" s="5" t="s">
        <v>240</v>
      </c>
      <c r="DN3855" s="5" t="s">
        <v>240</v>
      </c>
      <c r="DO3855" s="7" t="s">
        <v>240</v>
      </c>
      <c r="DP3855" s="5" t="s">
        <v>240</v>
      </c>
      <c r="DQ3855" s="5" t="s">
        <v>248</v>
      </c>
      <c r="DR3855" s="5" t="s">
        <v>731</v>
      </c>
      <c r="DS3855" s="5" t="s">
        <v>731</v>
      </c>
      <c r="DT3855" s="5" t="s">
        <v>240</v>
      </c>
      <c r="DU3855" s="5" t="s">
        <v>240</v>
      </c>
      <c r="HR3855" s="5" t="s">
        <v>240</v>
      </c>
      <c r="HS3855" s="5" t="s">
        <v>240</v>
      </c>
      <c r="HT3855" s="5" t="s">
        <v>240</v>
      </c>
      <c r="HU3855" s="5" t="s">
        <v>240</v>
      </c>
      <c r="HV3855" s="5" t="s">
        <v>240</v>
      </c>
      <c r="HW3855" s="5" t="s">
        <v>240</v>
      </c>
      <c r="HX3855" s="5" t="s">
        <v>240</v>
      </c>
      <c r="HY3855" s="5" t="s">
        <v>240</v>
      </c>
      <c r="HZ3855" s="5" t="s">
        <v>240</v>
      </c>
      <c r="IA3855" s="5" t="s">
        <v>240</v>
      </c>
      <c r="IB3855" s="5" t="s">
        <v>240</v>
      </c>
      <c r="IC3855" s="5" t="s">
        <v>240</v>
      </c>
      <c r="ID3855" s="5" t="s">
        <v>240</v>
      </c>
      <c r="IE3855" s="5" t="s">
        <v>240</v>
      </c>
      <c r="IF3855" s="5" t="s">
        <v>240</v>
      </c>
    </row>
    <row r="3856" spans="1:240" x14ac:dyDescent="0.4">
      <c r="A3856" s="5">
        <v>9398</v>
      </c>
      <c r="B3856" s="5">
        <v>1</v>
      </c>
      <c r="C3856" s="5">
        <v>1</v>
      </c>
      <c r="D3856" s="5" t="s">
        <v>723</v>
      </c>
      <c r="E3856" s="5" t="s">
        <v>725</v>
      </c>
      <c r="F3856" s="5" t="s">
        <v>254</v>
      </c>
      <c r="G3856" s="5" t="s">
        <v>726</v>
      </c>
      <c r="H3856" s="6" t="s">
        <v>3964</v>
      </c>
      <c r="I3856" s="5" t="s">
        <v>3963</v>
      </c>
      <c r="J3856" s="7">
        <f>1</f>
        <v>1</v>
      </c>
      <c r="K3856" s="5" t="s">
        <v>3682</v>
      </c>
      <c r="L3856" s="7">
        <f>1</f>
        <v>1</v>
      </c>
      <c r="M3856" s="7">
        <f>1</f>
        <v>1</v>
      </c>
      <c r="N3856" s="5" t="s">
        <v>242</v>
      </c>
      <c r="O3856" s="5">
        <v>1</v>
      </c>
      <c r="P3856" s="5" t="s">
        <v>294</v>
      </c>
      <c r="Q3856" s="5" t="s">
        <v>613</v>
      </c>
      <c r="T3856" s="5" t="s">
        <v>243</v>
      </c>
      <c r="U3856" s="5" t="s">
        <v>244</v>
      </c>
      <c r="V3856" s="5" t="s">
        <v>240</v>
      </c>
      <c r="Y3856" s="5" t="s">
        <v>245</v>
      </c>
      <c r="Z3856" s="6" t="s">
        <v>6884</v>
      </c>
      <c r="AA3856" s="6" t="s">
        <v>240</v>
      </c>
      <c r="AB3856" s="6" t="s">
        <v>240</v>
      </c>
      <c r="AC3856" s="5" t="s">
        <v>240</v>
      </c>
      <c r="AD3856" s="6" t="s">
        <v>240</v>
      </c>
      <c r="AE3856" s="6" t="s">
        <v>6884</v>
      </c>
      <c r="AF3856" s="5" t="s">
        <v>248</v>
      </c>
      <c r="AG3856" s="5" t="s">
        <v>249</v>
      </c>
      <c r="AM3856" s="5" t="s">
        <v>240</v>
      </c>
      <c r="AN3856" s="5" t="s">
        <v>240</v>
      </c>
      <c r="AO3856" s="5" t="s">
        <v>240</v>
      </c>
      <c r="AP3856" s="6" t="s">
        <v>240</v>
      </c>
      <c r="AQ3856" s="6" t="s">
        <v>240</v>
      </c>
      <c r="AR3856" s="6" t="s">
        <v>240</v>
      </c>
      <c r="AU3856" s="5" t="s">
        <v>729</v>
      </c>
      <c r="AV3856" s="5" t="s">
        <v>729</v>
      </c>
      <c r="AW3856" s="5" t="s">
        <v>251</v>
      </c>
      <c r="AX3856" s="5" t="s">
        <v>252</v>
      </c>
      <c r="AY3856" s="5" t="s">
        <v>253</v>
      </c>
      <c r="AZ3856" s="5" t="s">
        <v>6046</v>
      </c>
      <c r="BA3856" s="5" t="s">
        <v>255</v>
      </c>
      <c r="BB3856" s="5" t="s">
        <v>731</v>
      </c>
      <c r="BD3856" s="5" t="s">
        <v>240</v>
      </c>
      <c r="BF3856" s="5" t="s">
        <v>256</v>
      </c>
      <c r="BG3856" s="6" t="s">
        <v>6884</v>
      </c>
      <c r="BH3856" s="5" t="s">
        <v>6742</v>
      </c>
      <c r="BI3856" s="5" t="s">
        <v>6743</v>
      </c>
      <c r="BJ3856" s="5" t="s">
        <v>240</v>
      </c>
      <c r="BK3856" s="7">
        <f>0</f>
        <v>0</v>
      </c>
      <c r="BL3856" s="7">
        <f>499400</f>
        <v>499400</v>
      </c>
      <c r="BM3856" s="5" t="s">
        <v>258</v>
      </c>
      <c r="BN3856" s="5" t="s">
        <v>259</v>
      </c>
      <c r="BO3856" s="5" t="s">
        <v>6744</v>
      </c>
      <c r="BP3856" s="5" t="s">
        <v>6745</v>
      </c>
      <c r="BQ3856" s="5" t="s">
        <v>6745</v>
      </c>
      <c r="BR3856" s="5" t="s">
        <v>240</v>
      </c>
      <c r="BS3856" s="5" t="s">
        <v>258</v>
      </c>
      <c r="BT3856" s="5" t="s">
        <v>6747</v>
      </c>
      <c r="BU3856" s="5" t="s">
        <v>6747</v>
      </c>
      <c r="BW3856" s="6" t="s">
        <v>6887</v>
      </c>
      <c r="BX3856" s="5" t="s">
        <v>258</v>
      </c>
      <c r="BY3856" s="5" t="s">
        <v>240</v>
      </c>
      <c r="BZ3856" s="5" t="s">
        <v>240</v>
      </c>
      <c r="CA3856" s="5" t="s">
        <v>259</v>
      </c>
      <c r="CB3856" s="5" t="s">
        <v>240</v>
      </c>
      <c r="CC3856" s="5" t="s">
        <v>240</v>
      </c>
      <c r="CG3856" s="5" t="s">
        <v>240</v>
      </c>
      <c r="CH3856" s="5" t="s">
        <v>240</v>
      </c>
      <c r="CI3856" s="5" t="s">
        <v>260</v>
      </c>
      <c r="CK3856" s="5" t="s">
        <v>240</v>
      </c>
      <c r="CL3856" s="6" t="s">
        <v>261</v>
      </c>
      <c r="CM3856" s="5" t="s">
        <v>262</v>
      </c>
      <c r="CN3856" s="5" t="s">
        <v>263</v>
      </c>
      <c r="CO3856" s="5" t="s">
        <v>264</v>
      </c>
      <c r="CP3856" s="5" t="s">
        <v>240</v>
      </c>
      <c r="CQ3856" s="5">
        <v>0</v>
      </c>
      <c r="CR3856" s="5" t="s">
        <v>735</v>
      </c>
      <c r="CS3856" s="5" t="s">
        <v>307</v>
      </c>
      <c r="CT3856" s="5" t="s">
        <v>307</v>
      </c>
      <c r="CU3856" s="5" t="s">
        <v>260</v>
      </c>
      <c r="CV3856" s="5" t="s">
        <v>240</v>
      </c>
      <c r="CW3856" s="8">
        <f>499400</f>
        <v>499400</v>
      </c>
      <c r="CX3856" s="7">
        <f>499400</f>
        <v>499400</v>
      </c>
      <c r="CY3856" s="7">
        <f>0</f>
        <v>0</v>
      </c>
      <c r="CZ3856" s="7">
        <f>0</f>
        <v>0</v>
      </c>
      <c r="DA3856" s="7">
        <f>499400</f>
        <v>499400</v>
      </c>
      <c r="DB3856" s="7" t="s">
        <v>240</v>
      </c>
      <c r="DC3856" s="5" t="s">
        <v>240</v>
      </c>
      <c r="DD3856" s="5" t="s">
        <v>240</v>
      </c>
      <c r="DF3856" s="5" t="s">
        <v>240</v>
      </c>
      <c r="DG3856" s="7">
        <f>0</f>
        <v>0</v>
      </c>
      <c r="DH3856" s="6" t="s">
        <v>240</v>
      </c>
      <c r="DI3856" s="5" t="s">
        <v>240</v>
      </c>
      <c r="DJ3856" s="5" t="s">
        <v>240</v>
      </c>
      <c r="DK3856" s="5" t="s">
        <v>240</v>
      </c>
      <c r="DL3856" s="5" t="s">
        <v>240</v>
      </c>
      <c r="DM3856" s="5" t="s">
        <v>240</v>
      </c>
      <c r="DN3856" s="5" t="s">
        <v>240</v>
      </c>
      <c r="DO3856" s="7" t="s">
        <v>240</v>
      </c>
      <c r="DP3856" s="5" t="s">
        <v>240</v>
      </c>
      <c r="DQ3856" s="5" t="s">
        <v>248</v>
      </c>
      <c r="DR3856" s="5" t="s">
        <v>731</v>
      </c>
      <c r="DS3856" s="5" t="s">
        <v>731</v>
      </c>
      <c r="DT3856" s="5" t="s">
        <v>240</v>
      </c>
      <c r="DU3856" s="5" t="s">
        <v>240</v>
      </c>
      <c r="HR3856" s="5" t="s">
        <v>240</v>
      </c>
      <c r="HS3856" s="5" t="s">
        <v>240</v>
      </c>
      <c r="HT3856" s="5" t="s">
        <v>240</v>
      </c>
      <c r="HU3856" s="5" t="s">
        <v>240</v>
      </c>
      <c r="HV3856" s="5" t="s">
        <v>240</v>
      </c>
      <c r="HW3856" s="5" t="s">
        <v>240</v>
      </c>
      <c r="HX3856" s="5" t="s">
        <v>240</v>
      </c>
      <c r="HY3856" s="5" t="s">
        <v>240</v>
      </c>
      <c r="HZ3856" s="5" t="s">
        <v>240</v>
      </c>
      <c r="IA3856" s="5" t="s">
        <v>240</v>
      </c>
      <c r="IB3856" s="5" t="s">
        <v>240</v>
      </c>
      <c r="IC3856" s="5" t="s">
        <v>240</v>
      </c>
      <c r="ID3856" s="5" t="s">
        <v>240</v>
      </c>
      <c r="IE3856" s="5" t="s">
        <v>240</v>
      </c>
      <c r="IF3856" s="5" t="s">
        <v>240</v>
      </c>
    </row>
    <row r="3857" spans="1:240" x14ac:dyDescent="0.4">
      <c r="A3857" s="5">
        <v>9399</v>
      </c>
      <c r="B3857" s="5">
        <v>1</v>
      </c>
      <c r="C3857" s="5">
        <v>1</v>
      </c>
      <c r="D3857" s="5" t="s">
        <v>723</v>
      </c>
      <c r="E3857" s="5" t="s">
        <v>725</v>
      </c>
      <c r="F3857" s="5" t="s">
        <v>254</v>
      </c>
      <c r="G3857" s="5" t="s">
        <v>726</v>
      </c>
      <c r="H3857" s="6" t="s">
        <v>4076</v>
      </c>
      <c r="I3857" s="5" t="s">
        <v>4075</v>
      </c>
      <c r="J3857" s="7">
        <f>1</f>
        <v>1</v>
      </c>
      <c r="K3857" s="5" t="s">
        <v>3682</v>
      </c>
      <c r="L3857" s="7">
        <f>1</f>
        <v>1</v>
      </c>
      <c r="M3857" s="7">
        <f>1</f>
        <v>1</v>
      </c>
      <c r="N3857" s="5" t="s">
        <v>242</v>
      </c>
      <c r="O3857" s="5">
        <v>1</v>
      </c>
      <c r="P3857" s="5" t="s">
        <v>294</v>
      </c>
      <c r="Q3857" s="5" t="s">
        <v>3678</v>
      </c>
      <c r="T3857" s="5" t="s">
        <v>243</v>
      </c>
      <c r="U3857" s="5" t="s">
        <v>244</v>
      </c>
      <c r="V3857" s="5" t="s">
        <v>240</v>
      </c>
      <c r="Y3857" s="5" t="s">
        <v>240</v>
      </c>
      <c r="Z3857" s="6" t="s">
        <v>298</v>
      </c>
      <c r="AA3857" s="6" t="s">
        <v>240</v>
      </c>
      <c r="AB3857" s="6" t="s">
        <v>240</v>
      </c>
      <c r="AC3857" s="5" t="s">
        <v>240</v>
      </c>
      <c r="AD3857" s="6" t="s">
        <v>240</v>
      </c>
      <c r="AE3857" s="6" t="s">
        <v>299</v>
      </c>
      <c r="AF3857" s="5" t="s">
        <v>248</v>
      </c>
      <c r="AG3857" s="5" t="s">
        <v>249</v>
      </c>
      <c r="AM3857" s="5" t="s">
        <v>240</v>
      </c>
      <c r="AN3857" s="5" t="s">
        <v>240</v>
      </c>
      <c r="AO3857" s="5" t="s">
        <v>240</v>
      </c>
      <c r="AP3857" s="6" t="s">
        <v>240</v>
      </c>
      <c r="AQ3857" s="6" t="s">
        <v>240</v>
      </c>
      <c r="AR3857" s="6" t="s">
        <v>240</v>
      </c>
      <c r="AU3857" s="5" t="s">
        <v>729</v>
      </c>
      <c r="AV3857" s="5" t="s">
        <v>729</v>
      </c>
      <c r="AW3857" s="5" t="s">
        <v>251</v>
      </c>
      <c r="AX3857" s="5" t="s">
        <v>252</v>
      </c>
      <c r="AY3857" s="5" t="s">
        <v>253</v>
      </c>
      <c r="AZ3857" s="5" t="s">
        <v>6046</v>
      </c>
      <c r="BA3857" s="5" t="s">
        <v>255</v>
      </c>
      <c r="BB3857" s="5" t="s">
        <v>731</v>
      </c>
      <c r="BD3857" s="5" t="s">
        <v>240</v>
      </c>
      <c r="BF3857" s="5" t="s">
        <v>732</v>
      </c>
      <c r="BG3857" s="6" t="s">
        <v>733</v>
      </c>
      <c r="BH3857" s="5" t="s">
        <v>734</v>
      </c>
      <c r="BI3857" s="5" t="s">
        <v>734</v>
      </c>
      <c r="BJ3857" s="5" t="s">
        <v>240</v>
      </c>
      <c r="BK3857" s="7">
        <f>1</f>
        <v>1</v>
      </c>
      <c r="BL3857" s="7">
        <f>1</f>
        <v>1</v>
      </c>
      <c r="BM3857" s="5" t="s">
        <v>258</v>
      </c>
      <c r="BN3857" s="5" t="s">
        <v>259</v>
      </c>
      <c r="BO3857" s="5" t="s">
        <v>240</v>
      </c>
      <c r="BP3857" s="5" t="s">
        <v>240</v>
      </c>
      <c r="BQ3857" s="5" t="s">
        <v>240</v>
      </c>
      <c r="BR3857" s="5" t="s">
        <v>240</v>
      </c>
      <c r="BW3857" s="6" t="s">
        <v>240</v>
      </c>
      <c r="BX3857" s="5" t="s">
        <v>240</v>
      </c>
      <c r="BY3857" s="5" t="s">
        <v>240</v>
      </c>
      <c r="BZ3857" s="5" t="s">
        <v>240</v>
      </c>
      <c r="CA3857" s="5" t="s">
        <v>259</v>
      </c>
      <c r="CB3857" s="5" t="s">
        <v>240</v>
      </c>
      <c r="CC3857" s="5" t="s">
        <v>240</v>
      </c>
      <c r="CG3857" s="5" t="s">
        <v>304</v>
      </c>
      <c r="CH3857" s="5" t="s">
        <v>305</v>
      </c>
      <c r="CI3857" s="5" t="s">
        <v>260</v>
      </c>
      <c r="CK3857" s="5" t="s">
        <v>3681</v>
      </c>
      <c r="CL3857" s="6" t="s">
        <v>261</v>
      </c>
      <c r="CM3857" s="5" t="s">
        <v>262</v>
      </c>
      <c r="CN3857" s="5" t="s">
        <v>263</v>
      </c>
      <c r="CO3857" s="5" t="s">
        <v>264</v>
      </c>
      <c r="CP3857" s="5" t="s">
        <v>240</v>
      </c>
      <c r="CQ3857" s="5">
        <v>0</v>
      </c>
      <c r="CR3857" s="5" t="s">
        <v>735</v>
      </c>
      <c r="CS3857" s="5" t="s">
        <v>307</v>
      </c>
      <c r="CT3857" s="5" t="s">
        <v>307</v>
      </c>
      <c r="CU3857" s="5" t="s">
        <v>260</v>
      </c>
      <c r="CV3857" s="5" t="s">
        <v>612</v>
      </c>
      <c r="CW3857" s="8">
        <f>1</f>
        <v>1</v>
      </c>
      <c r="CX3857" s="7">
        <f>1</f>
        <v>1</v>
      </c>
      <c r="CY3857" s="7">
        <f>0</f>
        <v>0</v>
      </c>
      <c r="CZ3857" s="7" t="s">
        <v>240</v>
      </c>
      <c r="DA3857" s="7">
        <f>1</f>
        <v>1</v>
      </c>
      <c r="DB3857" s="7" t="s">
        <v>240</v>
      </c>
      <c r="DC3857" s="5" t="s">
        <v>240</v>
      </c>
      <c r="DD3857" s="5" t="s">
        <v>240</v>
      </c>
      <c r="DF3857" s="5" t="s">
        <v>240</v>
      </c>
      <c r="DG3857" s="7">
        <f>0</f>
        <v>0</v>
      </c>
      <c r="DH3857" s="6" t="s">
        <v>240</v>
      </c>
      <c r="DI3857" s="5" t="s">
        <v>240</v>
      </c>
      <c r="DJ3857" s="5" t="s">
        <v>240</v>
      </c>
      <c r="DK3857" s="5" t="s">
        <v>240</v>
      </c>
      <c r="DL3857" s="5" t="s">
        <v>240</v>
      </c>
      <c r="DM3857" s="5" t="s">
        <v>240</v>
      </c>
      <c r="DN3857" s="5" t="s">
        <v>240</v>
      </c>
      <c r="DO3857" s="7" t="s">
        <v>240</v>
      </c>
      <c r="DP3857" s="5" t="s">
        <v>240</v>
      </c>
      <c r="DQ3857" s="5" t="s">
        <v>248</v>
      </c>
      <c r="DR3857" s="5" t="s">
        <v>731</v>
      </c>
      <c r="DS3857" s="5" t="s">
        <v>731</v>
      </c>
      <c r="DT3857" s="5" t="s">
        <v>240</v>
      </c>
      <c r="DU3857" s="5" t="s">
        <v>240</v>
      </c>
      <c r="DV3857" s="5" t="s">
        <v>5063</v>
      </c>
      <c r="DW3857" s="5" t="s">
        <v>804</v>
      </c>
      <c r="HR3857" s="5" t="s">
        <v>240</v>
      </c>
      <c r="HS3857" s="5" t="s">
        <v>240</v>
      </c>
      <c r="HT3857" s="5" t="s">
        <v>240</v>
      </c>
      <c r="HU3857" s="5" t="s">
        <v>240</v>
      </c>
      <c r="HV3857" s="5" t="s">
        <v>240</v>
      </c>
      <c r="HW3857" s="5" t="s">
        <v>240</v>
      </c>
      <c r="HX3857" s="5" t="s">
        <v>240</v>
      </c>
      <c r="HY3857" s="5" t="s">
        <v>240</v>
      </c>
      <c r="HZ3857" s="5" t="s">
        <v>240</v>
      </c>
      <c r="IA3857" s="5" t="s">
        <v>240</v>
      </c>
      <c r="IB3857" s="5" t="s">
        <v>240</v>
      </c>
      <c r="IC3857" s="5" t="s">
        <v>240</v>
      </c>
      <c r="ID3857" s="5" t="s">
        <v>240</v>
      </c>
      <c r="IE3857" s="5" t="s">
        <v>240</v>
      </c>
      <c r="IF3857" s="5" t="s">
        <v>240</v>
      </c>
    </row>
    <row r="3858" spans="1:240" x14ac:dyDescent="0.4">
      <c r="A3858" s="5">
        <v>9400</v>
      </c>
      <c r="B3858" s="5">
        <v>1</v>
      </c>
      <c r="C3858" s="5">
        <v>1</v>
      </c>
      <c r="D3858" s="5" t="s">
        <v>723</v>
      </c>
      <c r="E3858" s="5" t="s">
        <v>725</v>
      </c>
      <c r="F3858" s="5" t="s">
        <v>254</v>
      </c>
      <c r="G3858" s="5" t="s">
        <v>5046</v>
      </c>
      <c r="H3858" s="6" t="s">
        <v>5047</v>
      </c>
      <c r="I3858" s="5" t="s">
        <v>5045</v>
      </c>
      <c r="J3858" s="7">
        <f>1</f>
        <v>1</v>
      </c>
      <c r="K3858" s="5" t="s">
        <v>3682</v>
      </c>
      <c r="L3858" s="7">
        <f>1</f>
        <v>1</v>
      </c>
      <c r="M3858" s="7">
        <f>1</f>
        <v>1</v>
      </c>
      <c r="N3858" s="5" t="s">
        <v>242</v>
      </c>
      <c r="O3858" s="5">
        <v>1</v>
      </c>
      <c r="P3858" s="5" t="s">
        <v>294</v>
      </c>
      <c r="Q3858" s="5" t="s">
        <v>613</v>
      </c>
      <c r="T3858" s="5" t="s">
        <v>243</v>
      </c>
      <c r="U3858" s="5" t="s">
        <v>244</v>
      </c>
      <c r="V3858" s="5" t="s">
        <v>240</v>
      </c>
      <c r="Y3858" s="5" t="s">
        <v>240</v>
      </c>
      <c r="Z3858" s="6" t="s">
        <v>6890</v>
      </c>
      <c r="AA3858" s="6" t="s">
        <v>240</v>
      </c>
      <c r="AB3858" s="6" t="s">
        <v>240</v>
      </c>
      <c r="AC3858" s="5" t="s">
        <v>240</v>
      </c>
      <c r="AD3858" s="6" t="s">
        <v>240</v>
      </c>
      <c r="AE3858" s="6" t="s">
        <v>6769</v>
      </c>
      <c r="AF3858" s="5" t="s">
        <v>248</v>
      </c>
      <c r="AG3858" s="5" t="s">
        <v>249</v>
      </c>
      <c r="AM3858" s="5" t="s">
        <v>240</v>
      </c>
      <c r="AN3858" s="5" t="s">
        <v>240</v>
      </c>
      <c r="AO3858" s="5" t="s">
        <v>240</v>
      </c>
      <c r="AP3858" s="6" t="s">
        <v>240</v>
      </c>
      <c r="AQ3858" s="6" t="s">
        <v>240</v>
      </c>
      <c r="AR3858" s="6" t="s">
        <v>240</v>
      </c>
      <c r="AU3858" s="5" t="s">
        <v>729</v>
      </c>
      <c r="AV3858" s="5" t="s">
        <v>729</v>
      </c>
      <c r="AW3858" s="5" t="s">
        <v>251</v>
      </c>
      <c r="AX3858" s="5" t="s">
        <v>252</v>
      </c>
      <c r="AY3858" s="5" t="s">
        <v>253</v>
      </c>
      <c r="AZ3858" s="5" t="s">
        <v>6046</v>
      </c>
      <c r="BA3858" s="5" t="s">
        <v>255</v>
      </c>
      <c r="BB3858" s="5" t="s">
        <v>731</v>
      </c>
      <c r="BD3858" s="5" t="s">
        <v>842</v>
      </c>
      <c r="BF3858" s="5" t="s">
        <v>732</v>
      </c>
      <c r="BG3858" s="6" t="s">
        <v>733</v>
      </c>
      <c r="BH3858" s="5" t="s">
        <v>734</v>
      </c>
      <c r="BI3858" s="5" t="s">
        <v>734</v>
      </c>
      <c r="BJ3858" s="5" t="s">
        <v>240</v>
      </c>
      <c r="BK3858" s="8">
        <f>4769</f>
        <v>4769</v>
      </c>
      <c r="BL3858" s="7">
        <f>1</f>
        <v>1</v>
      </c>
      <c r="BM3858" s="5" t="s">
        <v>258</v>
      </c>
      <c r="BN3858" s="5" t="s">
        <v>259</v>
      </c>
      <c r="BO3858" s="5" t="s">
        <v>240</v>
      </c>
      <c r="BP3858" s="5" t="s">
        <v>240</v>
      </c>
      <c r="BQ3858" s="5" t="s">
        <v>240</v>
      </c>
      <c r="BR3858" s="5" t="s">
        <v>240</v>
      </c>
      <c r="BW3858" s="6" t="s">
        <v>240</v>
      </c>
      <c r="BX3858" s="5" t="s">
        <v>240</v>
      </c>
      <c r="BY3858" s="5" t="s">
        <v>240</v>
      </c>
      <c r="BZ3858" s="5" t="s">
        <v>240</v>
      </c>
      <c r="CA3858" s="5" t="s">
        <v>259</v>
      </c>
      <c r="CB3858" s="5" t="s">
        <v>240</v>
      </c>
      <c r="CC3858" s="5" t="s">
        <v>240</v>
      </c>
      <c r="CG3858" s="5" t="s">
        <v>240</v>
      </c>
      <c r="CH3858" s="5" t="s">
        <v>240</v>
      </c>
      <c r="CI3858" s="5" t="s">
        <v>260</v>
      </c>
      <c r="CK3858" s="5" t="s">
        <v>240</v>
      </c>
      <c r="CL3858" s="6" t="s">
        <v>261</v>
      </c>
      <c r="CM3858" s="5" t="s">
        <v>262</v>
      </c>
      <c r="CN3858" s="5" t="s">
        <v>263</v>
      </c>
      <c r="CO3858" s="5" t="s">
        <v>264</v>
      </c>
      <c r="CP3858" s="5" t="s">
        <v>240</v>
      </c>
      <c r="CQ3858" s="5">
        <v>0</v>
      </c>
      <c r="CR3858" s="5" t="s">
        <v>735</v>
      </c>
      <c r="CS3858" s="5" t="s">
        <v>307</v>
      </c>
      <c r="CT3858" s="5" t="s">
        <v>307</v>
      </c>
      <c r="CU3858" s="5" t="s">
        <v>260</v>
      </c>
      <c r="CV3858" s="5" t="s">
        <v>240</v>
      </c>
      <c r="CW3858" s="8">
        <f>0</f>
        <v>0</v>
      </c>
      <c r="CX3858" s="7">
        <f>1</f>
        <v>1</v>
      </c>
      <c r="CY3858" s="7">
        <f>0</f>
        <v>0</v>
      </c>
      <c r="CZ3858" s="7">
        <f>0</f>
        <v>0</v>
      </c>
      <c r="DA3858" s="7">
        <f>1</f>
        <v>1</v>
      </c>
      <c r="DB3858" s="7" t="s">
        <v>240</v>
      </c>
      <c r="DC3858" s="5" t="s">
        <v>240</v>
      </c>
      <c r="DD3858" s="5" t="s">
        <v>240</v>
      </c>
      <c r="DF3858" s="5" t="s">
        <v>240</v>
      </c>
      <c r="DG3858" s="7">
        <f>0</f>
        <v>0</v>
      </c>
      <c r="DH3858" s="6" t="s">
        <v>240</v>
      </c>
      <c r="DI3858" s="5" t="s">
        <v>240</v>
      </c>
      <c r="DJ3858" s="5" t="s">
        <v>240</v>
      </c>
      <c r="DK3858" s="5" t="s">
        <v>240</v>
      </c>
      <c r="DL3858" s="5" t="s">
        <v>240</v>
      </c>
      <c r="DM3858" s="5" t="s">
        <v>240</v>
      </c>
      <c r="DN3858" s="5" t="s">
        <v>240</v>
      </c>
      <c r="DO3858" s="7" t="s">
        <v>240</v>
      </c>
      <c r="DP3858" s="5" t="s">
        <v>240</v>
      </c>
      <c r="DQ3858" s="5" t="s">
        <v>248</v>
      </c>
      <c r="DR3858" s="5" t="s">
        <v>731</v>
      </c>
      <c r="DS3858" s="5" t="s">
        <v>731</v>
      </c>
      <c r="DT3858" s="5" t="s">
        <v>240</v>
      </c>
      <c r="DU3858" s="5" t="s">
        <v>240</v>
      </c>
      <c r="HR3858" s="5" t="s">
        <v>240</v>
      </c>
      <c r="HS3858" s="5" t="s">
        <v>240</v>
      </c>
      <c r="HT3858" s="5" t="s">
        <v>240</v>
      </c>
      <c r="HU3858" s="5" t="s">
        <v>240</v>
      </c>
      <c r="HV3858" s="5" t="s">
        <v>240</v>
      </c>
      <c r="HW3858" s="5" t="s">
        <v>240</v>
      </c>
      <c r="HX3858" s="5" t="s">
        <v>240</v>
      </c>
      <c r="HY3858" s="5" t="s">
        <v>240</v>
      </c>
      <c r="HZ3858" s="5" t="s">
        <v>240</v>
      </c>
      <c r="IA3858" s="5" t="s">
        <v>240</v>
      </c>
      <c r="IB3858" s="5" t="s">
        <v>240</v>
      </c>
      <c r="IC3858" s="5" t="s">
        <v>240</v>
      </c>
      <c r="ID3858" s="5" t="s">
        <v>240</v>
      </c>
      <c r="IE3858" s="5" t="s">
        <v>240</v>
      </c>
      <c r="IF3858" s="5" t="s">
        <v>240</v>
      </c>
    </row>
    <row r="3859" spans="1:240" x14ac:dyDescent="0.4">
      <c r="A3859" s="5">
        <v>9401</v>
      </c>
      <c r="B3859" s="5">
        <v>1</v>
      </c>
      <c r="C3859" s="5">
        <v>1</v>
      </c>
      <c r="D3859" s="5" t="s">
        <v>723</v>
      </c>
      <c r="E3859" s="5" t="s">
        <v>725</v>
      </c>
      <c r="F3859" s="5" t="s">
        <v>254</v>
      </c>
      <c r="G3859" s="5" t="s">
        <v>5056</v>
      </c>
      <c r="H3859" s="6" t="s">
        <v>5057</v>
      </c>
      <c r="I3859" s="5" t="s">
        <v>5055</v>
      </c>
      <c r="J3859" s="7">
        <f>1</f>
        <v>1</v>
      </c>
      <c r="K3859" s="5" t="s">
        <v>3682</v>
      </c>
      <c r="L3859" s="7">
        <f>1</f>
        <v>1</v>
      </c>
      <c r="M3859" s="7">
        <f>1</f>
        <v>1</v>
      </c>
      <c r="N3859" s="5" t="s">
        <v>242</v>
      </c>
      <c r="O3859" s="5">
        <v>1</v>
      </c>
      <c r="P3859" s="5" t="s">
        <v>294</v>
      </c>
      <c r="Q3859" s="5" t="s">
        <v>240</v>
      </c>
      <c r="T3859" s="5" t="s">
        <v>240</v>
      </c>
      <c r="U3859" s="5" t="s">
        <v>240</v>
      </c>
      <c r="V3859" s="5" t="s">
        <v>240</v>
      </c>
      <c r="Y3859" s="5" t="s">
        <v>240</v>
      </c>
      <c r="Z3859" s="6" t="s">
        <v>6893</v>
      </c>
      <c r="AA3859" s="6" t="s">
        <v>240</v>
      </c>
      <c r="AB3859" s="6" t="s">
        <v>240</v>
      </c>
      <c r="AC3859" s="5" t="s">
        <v>240</v>
      </c>
      <c r="AD3859" s="6" t="s">
        <v>240</v>
      </c>
      <c r="AE3859" s="6" t="s">
        <v>240</v>
      </c>
      <c r="AF3859" s="5" t="s">
        <v>248</v>
      </c>
      <c r="AG3859" s="5" t="s">
        <v>240</v>
      </c>
      <c r="AM3859" s="5" t="s">
        <v>240</v>
      </c>
      <c r="AN3859" s="5" t="s">
        <v>240</v>
      </c>
      <c r="AO3859" s="5" t="s">
        <v>240</v>
      </c>
      <c r="AP3859" s="6" t="s">
        <v>240</v>
      </c>
      <c r="AQ3859" s="6" t="s">
        <v>240</v>
      </c>
      <c r="AR3859" s="6" t="s">
        <v>240</v>
      </c>
      <c r="AT3859" s="5" t="s">
        <v>6894</v>
      </c>
      <c r="AU3859" s="5" t="s">
        <v>240</v>
      </c>
      <c r="AV3859" s="5" t="s">
        <v>240</v>
      </c>
      <c r="AW3859" s="5" t="s">
        <v>251</v>
      </c>
      <c r="AX3859" s="5" t="s">
        <v>252</v>
      </c>
      <c r="AY3859" s="5" t="s">
        <v>253</v>
      </c>
      <c r="AZ3859" s="5" t="s">
        <v>240</v>
      </c>
      <c r="BA3859" s="5" t="s">
        <v>6895</v>
      </c>
      <c r="BB3859" s="5" t="s">
        <v>731</v>
      </c>
      <c r="BD3859" s="5" t="s">
        <v>240</v>
      </c>
      <c r="BF3859" s="5" t="s">
        <v>6763</v>
      </c>
      <c r="BG3859" s="6" t="s">
        <v>6893</v>
      </c>
      <c r="BH3859" s="5" t="s">
        <v>734</v>
      </c>
      <c r="BI3859" s="5" t="s">
        <v>734</v>
      </c>
      <c r="BJ3859" s="5" t="s">
        <v>240</v>
      </c>
      <c r="BK3859" s="7">
        <f>0</f>
        <v>0</v>
      </c>
      <c r="BL3859" s="7">
        <f>251920</f>
        <v>251920</v>
      </c>
      <c r="BM3859" s="5" t="s">
        <v>258</v>
      </c>
      <c r="BN3859" s="5" t="s">
        <v>259</v>
      </c>
      <c r="BO3859" s="5" t="s">
        <v>240</v>
      </c>
      <c r="BP3859" s="5" t="s">
        <v>240</v>
      </c>
      <c r="BQ3859" s="5" t="s">
        <v>240</v>
      </c>
      <c r="BR3859" s="5" t="s">
        <v>240</v>
      </c>
      <c r="BW3859" s="6" t="s">
        <v>240</v>
      </c>
      <c r="BX3859" s="5" t="s">
        <v>240</v>
      </c>
      <c r="BY3859" s="5" t="s">
        <v>240</v>
      </c>
      <c r="BZ3859" s="5" t="s">
        <v>240</v>
      </c>
      <c r="CA3859" s="5" t="s">
        <v>259</v>
      </c>
      <c r="CB3859" s="5" t="s">
        <v>240</v>
      </c>
      <c r="CC3859" s="5" t="s">
        <v>240</v>
      </c>
      <c r="CG3859" s="5" t="s">
        <v>240</v>
      </c>
      <c r="CH3859" s="5" t="s">
        <v>240</v>
      </c>
      <c r="CI3859" s="5" t="s">
        <v>260</v>
      </c>
      <c r="CK3859" s="5" t="s">
        <v>240</v>
      </c>
      <c r="CL3859" s="6" t="s">
        <v>261</v>
      </c>
      <c r="CM3859" s="5" t="s">
        <v>262</v>
      </c>
      <c r="CN3859" s="5" t="s">
        <v>293</v>
      </c>
      <c r="CO3859" s="5" t="s">
        <v>264</v>
      </c>
      <c r="CP3859" s="5" t="s">
        <v>240</v>
      </c>
      <c r="CQ3859" s="5">
        <v>0</v>
      </c>
      <c r="CR3859" s="5" t="s">
        <v>240</v>
      </c>
      <c r="CS3859" s="5" t="s">
        <v>240</v>
      </c>
      <c r="CT3859" s="5" t="s">
        <v>240</v>
      </c>
      <c r="CU3859" s="5" t="s">
        <v>260</v>
      </c>
      <c r="CV3859" s="5" t="s">
        <v>240</v>
      </c>
      <c r="CW3859" s="8">
        <f>0</f>
        <v>0</v>
      </c>
      <c r="CX3859" s="7">
        <f>251920</f>
        <v>251920</v>
      </c>
      <c r="CY3859" s="7">
        <f>0</f>
        <v>0</v>
      </c>
      <c r="CZ3859" s="7">
        <f>0</f>
        <v>0</v>
      </c>
      <c r="DA3859" s="7">
        <f>251920</f>
        <v>251920</v>
      </c>
      <c r="DB3859" s="7" t="s">
        <v>240</v>
      </c>
      <c r="DC3859" s="5" t="s">
        <v>240</v>
      </c>
      <c r="DD3859" s="5" t="s">
        <v>240</v>
      </c>
      <c r="DF3859" s="5" t="s">
        <v>240</v>
      </c>
      <c r="DG3859" s="7">
        <f>0</f>
        <v>0</v>
      </c>
      <c r="DH3859" s="6" t="s">
        <v>240</v>
      </c>
      <c r="DI3859" s="5" t="s">
        <v>240</v>
      </c>
      <c r="DJ3859" s="5" t="s">
        <v>240</v>
      </c>
      <c r="DK3859" s="5" t="s">
        <v>240</v>
      </c>
      <c r="DL3859" s="5" t="s">
        <v>240</v>
      </c>
      <c r="DM3859" s="5" t="s">
        <v>240</v>
      </c>
      <c r="DN3859" s="5" t="s">
        <v>240</v>
      </c>
      <c r="DO3859" s="7" t="s">
        <v>240</v>
      </c>
      <c r="DP3859" s="5" t="s">
        <v>240</v>
      </c>
      <c r="DQ3859" s="5" t="s">
        <v>248</v>
      </c>
      <c r="DR3859" s="5" t="s">
        <v>731</v>
      </c>
      <c r="DS3859" s="5" t="s">
        <v>731</v>
      </c>
      <c r="DT3859" s="5" t="s">
        <v>240</v>
      </c>
      <c r="DU3859" s="5" t="s">
        <v>240</v>
      </c>
      <c r="GN3859" s="5" t="s">
        <v>6896</v>
      </c>
      <c r="HR3859" s="5" t="s">
        <v>240</v>
      </c>
      <c r="HS3859" s="5" t="s">
        <v>240</v>
      </c>
      <c r="HT3859" s="5" t="s">
        <v>240</v>
      </c>
      <c r="HU3859" s="5" t="s">
        <v>240</v>
      </c>
      <c r="HV3859" s="5" t="s">
        <v>240</v>
      </c>
      <c r="HW3859" s="5" t="s">
        <v>240</v>
      </c>
      <c r="HX3859" s="5" t="s">
        <v>240</v>
      </c>
      <c r="HY3859" s="5" t="s">
        <v>240</v>
      </c>
      <c r="HZ3859" s="5" t="s">
        <v>240</v>
      </c>
      <c r="IA3859" s="5" t="s">
        <v>240</v>
      </c>
      <c r="IB3859" s="5" t="s">
        <v>240</v>
      </c>
      <c r="IC3859" s="5" t="s">
        <v>240</v>
      </c>
      <c r="ID3859" s="5" t="s">
        <v>240</v>
      </c>
      <c r="IE3859" s="5" t="s">
        <v>240</v>
      </c>
      <c r="IF3859" s="5" t="s">
        <v>240</v>
      </c>
    </row>
    <row r="3860" spans="1:240" x14ac:dyDescent="0.4">
      <c r="A3860" s="5">
        <v>9402</v>
      </c>
      <c r="B3860" s="5">
        <v>1</v>
      </c>
      <c r="C3860" s="5">
        <v>1</v>
      </c>
      <c r="D3860" s="5" t="s">
        <v>723</v>
      </c>
      <c r="E3860" s="5" t="s">
        <v>725</v>
      </c>
      <c r="F3860" s="5" t="s">
        <v>254</v>
      </c>
      <c r="G3860" s="5" t="s">
        <v>5065</v>
      </c>
      <c r="H3860" s="6" t="s">
        <v>5066</v>
      </c>
      <c r="I3860" s="5" t="s">
        <v>5064</v>
      </c>
      <c r="J3860" s="7">
        <f>1</f>
        <v>1</v>
      </c>
      <c r="K3860" s="5" t="s">
        <v>3682</v>
      </c>
      <c r="L3860" s="7">
        <f>1</f>
        <v>1</v>
      </c>
      <c r="M3860" s="7">
        <f>1</f>
        <v>1</v>
      </c>
      <c r="N3860" s="5" t="s">
        <v>242</v>
      </c>
      <c r="O3860" s="5">
        <v>1</v>
      </c>
      <c r="P3860" s="5" t="s">
        <v>294</v>
      </c>
      <c r="Q3860" s="5" t="s">
        <v>613</v>
      </c>
      <c r="T3860" s="5" t="s">
        <v>243</v>
      </c>
      <c r="U3860" s="5" t="s">
        <v>724</v>
      </c>
      <c r="V3860" s="5" t="s">
        <v>240</v>
      </c>
      <c r="Y3860" s="5" t="s">
        <v>5060</v>
      </c>
      <c r="Z3860" s="6" t="s">
        <v>2736</v>
      </c>
      <c r="AA3860" s="6" t="s">
        <v>240</v>
      </c>
      <c r="AB3860" s="6" t="s">
        <v>240</v>
      </c>
      <c r="AC3860" s="5" t="s">
        <v>240</v>
      </c>
      <c r="AD3860" s="6" t="s">
        <v>240</v>
      </c>
      <c r="AE3860" s="6" t="s">
        <v>6898</v>
      </c>
      <c r="AF3860" s="5" t="s">
        <v>248</v>
      </c>
      <c r="AG3860" s="5" t="s">
        <v>249</v>
      </c>
      <c r="AM3860" s="5" t="s">
        <v>240</v>
      </c>
      <c r="AN3860" s="5" t="s">
        <v>240</v>
      </c>
      <c r="AO3860" s="5" t="s">
        <v>240</v>
      </c>
      <c r="AP3860" s="6" t="s">
        <v>240</v>
      </c>
      <c r="AQ3860" s="6" t="s">
        <v>240</v>
      </c>
      <c r="AR3860" s="6" t="s">
        <v>240</v>
      </c>
      <c r="AU3860" s="5" t="s">
        <v>729</v>
      </c>
      <c r="AV3860" s="5" t="s">
        <v>729</v>
      </c>
      <c r="AW3860" s="5" t="s">
        <v>251</v>
      </c>
      <c r="AX3860" s="5" t="s">
        <v>252</v>
      </c>
      <c r="AY3860" s="5" t="s">
        <v>253</v>
      </c>
      <c r="AZ3860" s="5" t="s">
        <v>6046</v>
      </c>
      <c r="BA3860" s="5" t="s">
        <v>255</v>
      </c>
      <c r="BB3860" s="5" t="s">
        <v>731</v>
      </c>
      <c r="BD3860" s="5" t="s">
        <v>3167</v>
      </c>
      <c r="BF3860" s="5" t="s">
        <v>732</v>
      </c>
      <c r="BG3860" s="6" t="s">
        <v>6901</v>
      </c>
      <c r="BH3860" s="5" t="s">
        <v>734</v>
      </c>
      <c r="BI3860" s="5" t="s">
        <v>734</v>
      </c>
      <c r="BJ3860" s="5" t="s">
        <v>240</v>
      </c>
      <c r="BK3860" s="8">
        <f>236</f>
        <v>236</v>
      </c>
      <c r="BL3860" s="7">
        <f>1517143</f>
        <v>1517143</v>
      </c>
      <c r="BM3860" s="5" t="s">
        <v>258</v>
      </c>
      <c r="BN3860" s="5" t="s">
        <v>259</v>
      </c>
      <c r="BO3860" s="5" t="s">
        <v>240</v>
      </c>
      <c r="BP3860" s="5" t="s">
        <v>240</v>
      </c>
      <c r="BQ3860" s="5" t="s">
        <v>240</v>
      </c>
      <c r="BR3860" s="5" t="s">
        <v>240</v>
      </c>
      <c r="BW3860" s="6" t="s">
        <v>240</v>
      </c>
      <c r="BX3860" s="5" t="s">
        <v>240</v>
      </c>
      <c r="BY3860" s="5" t="s">
        <v>240</v>
      </c>
      <c r="BZ3860" s="5" t="s">
        <v>240</v>
      </c>
      <c r="CA3860" s="5" t="s">
        <v>259</v>
      </c>
      <c r="CB3860" s="5" t="s">
        <v>240</v>
      </c>
      <c r="CC3860" s="5" t="s">
        <v>240</v>
      </c>
      <c r="CG3860" s="5" t="s">
        <v>617</v>
      </c>
      <c r="CH3860" s="5" t="s">
        <v>305</v>
      </c>
      <c r="CI3860" s="5" t="s">
        <v>260</v>
      </c>
      <c r="CK3860" s="5" t="s">
        <v>240</v>
      </c>
      <c r="CL3860" s="6" t="s">
        <v>261</v>
      </c>
      <c r="CM3860" s="5" t="s">
        <v>262</v>
      </c>
      <c r="CN3860" s="5" t="s">
        <v>263</v>
      </c>
      <c r="CO3860" s="5" t="s">
        <v>264</v>
      </c>
      <c r="CP3860" s="5" t="s">
        <v>240</v>
      </c>
      <c r="CQ3860" s="5">
        <v>0</v>
      </c>
      <c r="CR3860" s="5" t="s">
        <v>735</v>
      </c>
      <c r="CS3860" s="5" t="s">
        <v>307</v>
      </c>
      <c r="CT3860" s="5" t="s">
        <v>307</v>
      </c>
      <c r="CU3860" s="5" t="s">
        <v>260</v>
      </c>
      <c r="CV3860" s="5" t="s">
        <v>240</v>
      </c>
      <c r="CW3860" s="8">
        <f>6429</f>
        <v>6429</v>
      </c>
      <c r="CX3860" s="7">
        <f>1517143</f>
        <v>1517143</v>
      </c>
      <c r="CY3860" s="7">
        <f>0</f>
        <v>0</v>
      </c>
      <c r="CZ3860" s="7">
        <f>0</f>
        <v>0</v>
      </c>
      <c r="DA3860" s="7">
        <f>1517143</f>
        <v>1517143</v>
      </c>
      <c r="DB3860" s="7" t="s">
        <v>240</v>
      </c>
      <c r="DC3860" s="5" t="s">
        <v>240</v>
      </c>
      <c r="DD3860" s="5" t="s">
        <v>240</v>
      </c>
      <c r="DF3860" s="5" t="s">
        <v>689</v>
      </c>
      <c r="DG3860" s="7">
        <f>236</f>
        <v>236</v>
      </c>
      <c r="DH3860" s="6" t="s">
        <v>6901</v>
      </c>
      <c r="DI3860" s="5" t="s">
        <v>618</v>
      </c>
      <c r="DJ3860" s="5" t="s">
        <v>240</v>
      </c>
      <c r="DK3860" s="5" t="s">
        <v>240</v>
      </c>
      <c r="DL3860" s="5" t="s">
        <v>240</v>
      </c>
      <c r="DM3860" s="5" t="s">
        <v>240</v>
      </c>
      <c r="DN3860" s="5" t="s">
        <v>240</v>
      </c>
      <c r="DO3860" s="7" t="s">
        <v>240</v>
      </c>
      <c r="DP3860" s="5" t="s">
        <v>240</v>
      </c>
      <c r="DQ3860" s="5" t="s">
        <v>248</v>
      </c>
      <c r="DR3860" s="5" t="s">
        <v>731</v>
      </c>
      <c r="DS3860" s="5" t="s">
        <v>731</v>
      </c>
      <c r="DT3860" s="5" t="s">
        <v>240</v>
      </c>
      <c r="DU3860" s="5" t="s">
        <v>240</v>
      </c>
      <c r="HR3860" s="5" t="s">
        <v>240</v>
      </c>
      <c r="HS3860" s="5" t="s">
        <v>240</v>
      </c>
      <c r="HT3860" s="5" t="s">
        <v>240</v>
      </c>
      <c r="HU3860" s="5" t="s">
        <v>240</v>
      </c>
      <c r="HV3860" s="5" t="s">
        <v>240</v>
      </c>
      <c r="HW3860" s="5" t="s">
        <v>240</v>
      </c>
      <c r="HX3860" s="5" t="s">
        <v>240</v>
      </c>
      <c r="HY3860" s="5" t="s">
        <v>240</v>
      </c>
      <c r="HZ3860" s="5" t="s">
        <v>240</v>
      </c>
      <c r="IA3860" s="5" t="s">
        <v>240</v>
      </c>
      <c r="IB3860" s="5" t="s">
        <v>240</v>
      </c>
      <c r="IC3860" s="5" t="s">
        <v>240</v>
      </c>
      <c r="ID3860" s="5" t="s">
        <v>240</v>
      </c>
      <c r="IE3860" s="5" t="s">
        <v>240</v>
      </c>
      <c r="IF3860" s="5" t="s">
        <v>240</v>
      </c>
    </row>
    <row r="3861" spans="1:240" x14ac:dyDescent="0.4">
      <c r="A3861" s="5">
        <v>9403</v>
      </c>
      <c r="B3861" s="5">
        <v>1</v>
      </c>
      <c r="C3861" s="5">
        <v>1</v>
      </c>
      <c r="D3861" s="5" t="s">
        <v>723</v>
      </c>
      <c r="E3861" s="5" t="s">
        <v>725</v>
      </c>
      <c r="F3861" s="5" t="s">
        <v>254</v>
      </c>
      <c r="G3861" s="5" t="s">
        <v>726</v>
      </c>
      <c r="H3861" s="6" t="s">
        <v>5076</v>
      </c>
      <c r="I3861" s="5" t="s">
        <v>5075</v>
      </c>
      <c r="J3861" s="7">
        <f>1</f>
        <v>1</v>
      </c>
      <c r="K3861" s="5" t="s">
        <v>3682</v>
      </c>
      <c r="L3861" s="7">
        <f>1</f>
        <v>1</v>
      </c>
      <c r="M3861" s="7">
        <f>1</f>
        <v>1</v>
      </c>
      <c r="N3861" s="5" t="s">
        <v>242</v>
      </c>
      <c r="O3861" s="5">
        <v>1</v>
      </c>
      <c r="P3861" s="5" t="s">
        <v>294</v>
      </c>
      <c r="Q3861" s="5" t="s">
        <v>240</v>
      </c>
      <c r="T3861" s="5" t="s">
        <v>296</v>
      </c>
      <c r="U3861" s="5" t="s">
        <v>244</v>
      </c>
      <c r="V3861" s="5" t="s">
        <v>240</v>
      </c>
      <c r="Y3861" s="5" t="s">
        <v>240</v>
      </c>
      <c r="Z3861" s="6" t="s">
        <v>6903</v>
      </c>
      <c r="AA3861" s="6" t="s">
        <v>240</v>
      </c>
      <c r="AB3861" s="6" t="s">
        <v>240</v>
      </c>
      <c r="AC3861" s="5" t="s">
        <v>240</v>
      </c>
      <c r="AD3861" s="6" t="s">
        <v>240</v>
      </c>
      <c r="AE3861" s="6" t="s">
        <v>240</v>
      </c>
      <c r="AF3861" s="5" t="s">
        <v>248</v>
      </c>
      <c r="AG3861" s="5" t="s">
        <v>249</v>
      </c>
      <c r="AM3861" s="5" t="s">
        <v>240</v>
      </c>
      <c r="AN3861" s="5" t="s">
        <v>240</v>
      </c>
      <c r="AO3861" s="5" t="s">
        <v>240</v>
      </c>
      <c r="AP3861" s="6" t="s">
        <v>240</v>
      </c>
      <c r="AQ3861" s="6" t="s">
        <v>240</v>
      </c>
      <c r="AR3861" s="6" t="s">
        <v>240</v>
      </c>
      <c r="AU3861" s="5" t="s">
        <v>729</v>
      </c>
      <c r="AV3861" s="5" t="s">
        <v>729</v>
      </c>
      <c r="AW3861" s="5" t="s">
        <v>251</v>
      </c>
      <c r="AX3861" s="5" t="s">
        <v>252</v>
      </c>
      <c r="AY3861" s="5" t="s">
        <v>253</v>
      </c>
      <c r="AZ3861" s="5" t="s">
        <v>6046</v>
      </c>
      <c r="BA3861" s="5" t="s">
        <v>255</v>
      </c>
      <c r="BB3861" s="5" t="s">
        <v>731</v>
      </c>
      <c r="BD3861" s="5" t="s">
        <v>842</v>
      </c>
      <c r="BF3861" s="5" t="s">
        <v>256</v>
      </c>
      <c r="BG3861" s="6" t="s">
        <v>6903</v>
      </c>
      <c r="BH3861" s="5" t="s">
        <v>6799</v>
      </c>
      <c r="BI3861" s="5" t="s">
        <v>6799</v>
      </c>
      <c r="BJ3861" s="5" t="s">
        <v>240</v>
      </c>
      <c r="BK3861" s="8">
        <f>25</f>
        <v>25</v>
      </c>
      <c r="BL3861" s="7">
        <f>1</f>
        <v>1</v>
      </c>
      <c r="BM3861" s="5" t="s">
        <v>258</v>
      </c>
      <c r="BN3861" s="5" t="s">
        <v>259</v>
      </c>
      <c r="BO3861" s="5" t="s">
        <v>240</v>
      </c>
      <c r="BP3861" s="5" t="s">
        <v>240</v>
      </c>
      <c r="BQ3861" s="5" t="s">
        <v>240</v>
      </c>
      <c r="BR3861" s="5" t="s">
        <v>240</v>
      </c>
      <c r="BW3861" s="6" t="s">
        <v>240</v>
      </c>
      <c r="BX3861" s="5" t="s">
        <v>240</v>
      </c>
      <c r="BY3861" s="5" t="s">
        <v>240</v>
      </c>
      <c r="BZ3861" s="5" t="s">
        <v>240</v>
      </c>
      <c r="CA3861" s="5" t="s">
        <v>259</v>
      </c>
      <c r="CB3861" s="5" t="s">
        <v>240</v>
      </c>
      <c r="CC3861" s="5" t="s">
        <v>240</v>
      </c>
      <c r="CG3861" s="5" t="s">
        <v>240</v>
      </c>
      <c r="CH3861" s="5" t="s">
        <v>240</v>
      </c>
      <c r="CI3861" s="5" t="s">
        <v>260</v>
      </c>
      <c r="CK3861" s="5" t="s">
        <v>240</v>
      </c>
      <c r="CL3861" s="6" t="s">
        <v>261</v>
      </c>
      <c r="CM3861" s="5" t="s">
        <v>262</v>
      </c>
      <c r="CN3861" s="5" t="s">
        <v>263</v>
      </c>
      <c r="CO3861" s="5" t="s">
        <v>264</v>
      </c>
      <c r="CP3861" s="5" t="s">
        <v>240</v>
      </c>
      <c r="CQ3861" s="5">
        <v>0</v>
      </c>
      <c r="CR3861" s="5" t="s">
        <v>735</v>
      </c>
      <c r="CS3861" s="5" t="s">
        <v>307</v>
      </c>
      <c r="CT3861" s="5" t="s">
        <v>307</v>
      </c>
      <c r="CU3861" s="5" t="s">
        <v>260</v>
      </c>
      <c r="CV3861" s="5" t="s">
        <v>240</v>
      </c>
      <c r="CW3861" s="8">
        <f>0</f>
        <v>0</v>
      </c>
      <c r="CX3861" s="7">
        <f>1</f>
        <v>1</v>
      </c>
      <c r="CY3861" s="7">
        <f>0</f>
        <v>0</v>
      </c>
      <c r="CZ3861" s="7">
        <f>0</f>
        <v>0</v>
      </c>
      <c r="DA3861" s="7">
        <f>1</f>
        <v>1</v>
      </c>
      <c r="DB3861" s="7" t="s">
        <v>240</v>
      </c>
      <c r="DC3861" s="5" t="s">
        <v>240</v>
      </c>
      <c r="DD3861" s="5" t="s">
        <v>240</v>
      </c>
      <c r="DF3861" s="5" t="s">
        <v>240</v>
      </c>
      <c r="DG3861" s="7">
        <f>0</f>
        <v>0</v>
      </c>
      <c r="DH3861" s="6" t="s">
        <v>240</v>
      </c>
      <c r="DI3861" s="5" t="s">
        <v>240</v>
      </c>
      <c r="DJ3861" s="5" t="s">
        <v>240</v>
      </c>
      <c r="DK3861" s="5" t="s">
        <v>240</v>
      </c>
      <c r="DL3861" s="5" t="s">
        <v>240</v>
      </c>
      <c r="DM3861" s="5" t="s">
        <v>240</v>
      </c>
      <c r="DN3861" s="5" t="s">
        <v>240</v>
      </c>
      <c r="DO3861" s="7" t="s">
        <v>240</v>
      </c>
      <c r="DP3861" s="5" t="s">
        <v>240</v>
      </c>
      <c r="DQ3861" s="5" t="s">
        <v>248</v>
      </c>
      <c r="DR3861" s="5" t="s">
        <v>731</v>
      </c>
      <c r="DS3861" s="5" t="s">
        <v>731</v>
      </c>
      <c r="DT3861" s="5" t="s">
        <v>240</v>
      </c>
      <c r="DU3861" s="5" t="s">
        <v>240</v>
      </c>
      <c r="HR3861" s="5" t="s">
        <v>240</v>
      </c>
      <c r="HS3861" s="5" t="s">
        <v>240</v>
      </c>
      <c r="HT3861" s="5" t="s">
        <v>240</v>
      </c>
      <c r="HU3861" s="5" t="s">
        <v>240</v>
      </c>
      <c r="HV3861" s="5" t="s">
        <v>240</v>
      </c>
      <c r="HW3861" s="5" t="s">
        <v>240</v>
      </c>
      <c r="HX3861" s="5" t="s">
        <v>240</v>
      </c>
      <c r="HY3861" s="5" t="s">
        <v>240</v>
      </c>
      <c r="HZ3861" s="5" t="s">
        <v>240</v>
      </c>
      <c r="IA3861" s="5" t="s">
        <v>240</v>
      </c>
      <c r="IB3861" s="5" t="s">
        <v>240</v>
      </c>
      <c r="IC3861" s="5" t="s">
        <v>240</v>
      </c>
      <c r="ID3861" s="5" t="s">
        <v>240</v>
      </c>
      <c r="IE3861" s="5" t="s">
        <v>240</v>
      </c>
      <c r="IF3861" s="5" t="s">
        <v>240</v>
      </c>
    </row>
    <row r="3862" spans="1:240" x14ac:dyDescent="0.4">
      <c r="A3862" s="5">
        <v>9404</v>
      </c>
      <c r="B3862" s="5">
        <v>1</v>
      </c>
      <c r="C3862" s="5">
        <v>1</v>
      </c>
      <c r="D3862" s="5" t="s">
        <v>723</v>
      </c>
      <c r="E3862" s="5" t="s">
        <v>725</v>
      </c>
      <c r="F3862" s="5" t="s">
        <v>254</v>
      </c>
      <c r="G3862" s="5" t="s">
        <v>726</v>
      </c>
      <c r="H3862" s="6" t="s">
        <v>5083</v>
      </c>
      <c r="I3862" s="5" t="s">
        <v>5082</v>
      </c>
      <c r="J3862" s="7">
        <f>1</f>
        <v>1</v>
      </c>
      <c r="K3862" s="5" t="s">
        <v>3682</v>
      </c>
      <c r="L3862" s="7">
        <f>1</f>
        <v>1</v>
      </c>
      <c r="M3862" s="7">
        <f>1</f>
        <v>1</v>
      </c>
      <c r="N3862" s="5" t="s">
        <v>242</v>
      </c>
      <c r="O3862" s="5">
        <v>1</v>
      </c>
      <c r="P3862" s="5" t="s">
        <v>294</v>
      </c>
      <c r="Q3862" s="5" t="s">
        <v>613</v>
      </c>
      <c r="T3862" s="5" t="s">
        <v>243</v>
      </c>
      <c r="U3862" s="5" t="s">
        <v>244</v>
      </c>
      <c r="V3862" s="5" t="s">
        <v>240</v>
      </c>
      <c r="Y3862" s="5" t="s">
        <v>240</v>
      </c>
      <c r="Z3862" s="6" t="s">
        <v>298</v>
      </c>
      <c r="AA3862" s="6" t="s">
        <v>240</v>
      </c>
      <c r="AB3862" s="6" t="s">
        <v>240</v>
      </c>
      <c r="AC3862" s="5" t="s">
        <v>240</v>
      </c>
      <c r="AD3862" s="6" t="s">
        <v>240</v>
      </c>
      <c r="AE3862" s="6" t="s">
        <v>299</v>
      </c>
      <c r="AF3862" s="5" t="s">
        <v>248</v>
      </c>
      <c r="AG3862" s="5" t="s">
        <v>249</v>
      </c>
      <c r="AM3862" s="5" t="s">
        <v>240</v>
      </c>
      <c r="AN3862" s="5" t="s">
        <v>240</v>
      </c>
      <c r="AO3862" s="5" t="s">
        <v>240</v>
      </c>
      <c r="AP3862" s="6" t="s">
        <v>240</v>
      </c>
      <c r="AQ3862" s="6" t="s">
        <v>240</v>
      </c>
      <c r="AW3862" s="5" t="s">
        <v>251</v>
      </c>
      <c r="AX3862" s="5" t="s">
        <v>252</v>
      </c>
      <c r="AY3862" s="5" t="s">
        <v>253</v>
      </c>
      <c r="AZ3862" s="5" t="s">
        <v>6046</v>
      </c>
      <c r="BA3862" s="5" t="s">
        <v>255</v>
      </c>
      <c r="BB3862" s="5" t="s">
        <v>731</v>
      </c>
      <c r="BD3862" s="5" t="s">
        <v>686</v>
      </c>
      <c r="BF3862" s="5" t="s">
        <v>301</v>
      </c>
      <c r="BG3862" s="6" t="s">
        <v>733</v>
      </c>
      <c r="BH3862" s="5" t="s">
        <v>302</v>
      </c>
      <c r="BI3862" s="5" t="s">
        <v>303</v>
      </c>
      <c r="BJ3862" s="5" t="s">
        <v>240</v>
      </c>
      <c r="BK3862" s="8">
        <f>0</f>
        <v>0</v>
      </c>
      <c r="BL3862" s="7">
        <f>0</f>
        <v>0</v>
      </c>
      <c r="BM3862" s="5" t="s">
        <v>258</v>
      </c>
      <c r="BN3862" s="5" t="s">
        <v>259</v>
      </c>
      <c r="BW3862" s="6" t="s">
        <v>240</v>
      </c>
      <c r="BX3862" s="5" t="s">
        <v>240</v>
      </c>
      <c r="BY3862" s="5" t="s">
        <v>240</v>
      </c>
      <c r="BZ3862" s="5" t="s">
        <v>240</v>
      </c>
      <c r="CB3862" s="5" t="s">
        <v>240</v>
      </c>
      <c r="CC3862" s="5" t="s">
        <v>240</v>
      </c>
      <c r="CG3862" s="5" t="s">
        <v>617</v>
      </c>
      <c r="CH3862" s="5" t="s">
        <v>305</v>
      </c>
      <c r="CI3862" s="5" t="s">
        <v>260</v>
      </c>
      <c r="CK3862" s="5" t="s">
        <v>240</v>
      </c>
      <c r="CL3862" s="6" t="s">
        <v>261</v>
      </c>
      <c r="CM3862" s="5" t="s">
        <v>240</v>
      </c>
      <c r="CN3862" s="5" t="s">
        <v>263</v>
      </c>
      <c r="CO3862" s="5" t="s">
        <v>240</v>
      </c>
      <c r="CP3862" s="5" t="s">
        <v>240</v>
      </c>
      <c r="CQ3862" s="5">
        <v>0</v>
      </c>
      <c r="CR3862" s="5" t="s">
        <v>735</v>
      </c>
      <c r="CS3862" s="5" t="s">
        <v>307</v>
      </c>
      <c r="CT3862" s="5" t="s">
        <v>307</v>
      </c>
      <c r="CU3862" s="5" t="s">
        <v>260</v>
      </c>
      <c r="CV3862" s="5" t="s">
        <v>240</v>
      </c>
      <c r="CW3862" s="8" t="s">
        <v>240</v>
      </c>
      <c r="CX3862" s="7">
        <f>677790</f>
        <v>677790</v>
      </c>
      <c r="CY3862" s="7">
        <f>0</f>
        <v>0</v>
      </c>
      <c r="CZ3862" s="7" t="s">
        <v>240</v>
      </c>
      <c r="DA3862" s="7">
        <f>0</f>
        <v>0</v>
      </c>
      <c r="DB3862" s="7" t="s">
        <v>240</v>
      </c>
      <c r="DC3862" s="5" t="s">
        <v>689</v>
      </c>
      <c r="DD3862" s="5" t="s">
        <v>240</v>
      </c>
      <c r="DF3862" s="5" t="s">
        <v>689</v>
      </c>
      <c r="DG3862" s="7">
        <f>306</f>
        <v>306</v>
      </c>
      <c r="DH3862" s="6" t="s">
        <v>6905</v>
      </c>
      <c r="DI3862" s="5" t="s">
        <v>618</v>
      </c>
      <c r="DJ3862" s="5" t="s">
        <v>240</v>
      </c>
      <c r="DK3862" s="5" t="s">
        <v>240</v>
      </c>
      <c r="DL3862" s="5" t="s">
        <v>240</v>
      </c>
      <c r="DM3862" s="5" t="s">
        <v>240</v>
      </c>
      <c r="DN3862" s="5" t="s">
        <v>240</v>
      </c>
      <c r="DO3862" s="7" t="s">
        <v>240</v>
      </c>
      <c r="DP3862" s="5" t="s">
        <v>240</v>
      </c>
      <c r="DQ3862" s="5" t="s">
        <v>248</v>
      </c>
      <c r="DR3862" s="5" t="s">
        <v>731</v>
      </c>
      <c r="DS3862" s="5" t="s">
        <v>731</v>
      </c>
      <c r="DT3862" s="5" t="s">
        <v>240</v>
      </c>
      <c r="DU3862" s="5" t="s">
        <v>240</v>
      </c>
      <c r="DV3862" s="5" t="s">
        <v>1570</v>
      </c>
      <c r="DW3862" s="5" t="s">
        <v>312</v>
      </c>
    </row>
    <row r="3863" spans="1:240" x14ac:dyDescent="0.4">
      <c r="A3863" s="5">
        <v>9405</v>
      </c>
      <c r="B3863" s="5">
        <v>1</v>
      </c>
      <c r="C3863" s="5">
        <v>1</v>
      </c>
      <c r="D3863" s="5" t="s">
        <v>723</v>
      </c>
      <c r="E3863" s="5" t="s">
        <v>725</v>
      </c>
      <c r="F3863" s="5" t="s">
        <v>254</v>
      </c>
      <c r="G3863" s="5" t="s">
        <v>726</v>
      </c>
      <c r="H3863" s="6" t="s">
        <v>5089</v>
      </c>
      <c r="I3863" s="5" t="s">
        <v>5088</v>
      </c>
      <c r="J3863" s="7">
        <f>1</f>
        <v>1</v>
      </c>
      <c r="K3863" s="5" t="s">
        <v>3682</v>
      </c>
      <c r="L3863" s="7">
        <f>1</f>
        <v>1</v>
      </c>
      <c r="M3863" s="7">
        <f>1</f>
        <v>1</v>
      </c>
      <c r="N3863" s="5" t="s">
        <v>242</v>
      </c>
      <c r="O3863" s="5">
        <v>1</v>
      </c>
      <c r="P3863" s="5" t="s">
        <v>294</v>
      </c>
      <c r="Q3863" s="5" t="s">
        <v>240</v>
      </c>
      <c r="T3863" s="5" t="s">
        <v>240</v>
      </c>
      <c r="U3863" s="5" t="s">
        <v>240</v>
      </c>
      <c r="V3863" s="5" t="s">
        <v>240</v>
      </c>
      <c r="Y3863" s="5" t="s">
        <v>240</v>
      </c>
      <c r="Z3863" s="6" t="s">
        <v>6893</v>
      </c>
      <c r="AA3863" s="6" t="s">
        <v>240</v>
      </c>
      <c r="AB3863" s="6" t="s">
        <v>240</v>
      </c>
      <c r="AC3863" s="5" t="s">
        <v>240</v>
      </c>
      <c r="AD3863" s="6" t="s">
        <v>240</v>
      </c>
      <c r="AE3863" s="6" t="s">
        <v>240</v>
      </c>
      <c r="AF3863" s="5" t="s">
        <v>248</v>
      </c>
      <c r="AG3863" s="5" t="s">
        <v>240</v>
      </c>
      <c r="AM3863" s="5" t="s">
        <v>240</v>
      </c>
      <c r="AN3863" s="5" t="s">
        <v>240</v>
      </c>
      <c r="AO3863" s="5" t="s">
        <v>240</v>
      </c>
      <c r="AP3863" s="6" t="s">
        <v>240</v>
      </c>
      <c r="AQ3863" s="6" t="s">
        <v>240</v>
      </c>
      <c r="AR3863" s="6" t="s">
        <v>240</v>
      </c>
      <c r="AT3863" s="5" t="s">
        <v>6907</v>
      </c>
      <c r="AU3863" s="5" t="s">
        <v>240</v>
      </c>
      <c r="AV3863" s="5" t="s">
        <v>240</v>
      </c>
      <c r="AW3863" s="5" t="s">
        <v>251</v>
      </c>
      <c r="AX3863" s="5" t="s">
        <v>252</v>
      </c>
      <c r="AY3863" s="5" t="s">
        <v>253</v>
      </c>
      <c r="AZ3863" s="5" t="s">
        <v>240</v>
      </c>
      <c r="BA3863" s="5" t="s">
        <v>6895</v>
      </c>
      <c r="BB3863" s="5" t="s">
        <v>731</v>
      </c>
      <c r="BD3863" s="5" t="s">
        <v>240</v>
      </c>
      <c r="BF3863" s="5" t="s">
        <v>6763</v>
      </c>
      <c r="BG3863" s="6" t="s">
        <v>6893</v>
      </c>
      <c r="BH3863" s="5" t="s">
        <v>734</v>
      </c>
      <c r="BI3863" s="5" t="s">
        <v>734</v>
      </c>
      <c r="BJ3863" s="5" t="s">
        <v>240</v>
      </c>
      <c r="BK3863" s="7">
        <f>1</f>
        <v>1</v>
      </c>
      <c r="BL3863" s="7">
        <f>847432</f>
        <v>847432</v>
      </c>
      <c r="BM3863" s="5" t="s">
        <v>258</v>
      </c>
      <c r="BN3863" s="5" t="s">
        <v>259</v>
      </c>
      <c r="BO3863" s="5" t="s">
        <v>240</v>
      </c>
      <c r="BP3863" s="5" t="s">
        <v>240</v>
      </c>
      <c r="BQ3863" s="5" t="s">
        <v>240</v>
      </c>
      <c r="BR3863" s="5" t="s">
        <v>240</v>
      </c>
      <c r="BW3863" s="6" t="s">
        <v>240</v>
      </c>
      <c r="BX3863" s="5" t="s">
        <v>240</v>
      </c>
      <c r="BY3863" s="5" t="s">
        <v>240</v>
      </c>
      <c r="BZ3863" s="5" t="s">
        <v>240</v>
      </c>
      <c r="CA3863" s="5" t="s">
        <v>259</v>
      </c>
      <c r="CB3863" s="5" t="s">
        <v>240</v>
      </c>
      <c r="CC3863" s="5" t="s">
        <v>240</v>
      </c>
      <c r="CG3863" s="5" t="s">
        <v>240</v>
      </c>
      <c r="CH3863" s="5" t="s">
        <v>240</v>
      </c>
      <c r="CI3863" s="5" t="s">
        <v>260</v>
      </c>
      <c r="CK3863" s="5" t="s">
        <v>240</v>
      </c>
      <c r="CL3863" s="6" t="s">
        <v>261</v>
      </c>
      <c r="CM3863" s="5" t="s">
        <v>262</v>
      </c>
      <c r="CN3863" s="5" t="s">
        <v>293</v>
      </c>
      <c r="CO3863" s="5" t="s">
        <v>264</v>
      </c>
      <c r="CP3863" s="5" t="s">
        <v>240</v>
      </c>
      <c r="CQ3863" s="5">
        <v>0</v>
      </c>
      <c r="CR3863" s="5" t="s">
        <v>240</v>
      </c>
      <c r="CS3863" s="5" t="s">
        <v>240</v>
      </c>
      <c r="CT3863" s="5" t="s">
        <v>240</v>
      </c>
      <c r="CU3863" s="5" t="s">
        <v>260</v>
      </c>
      <c r="CV3863" s="5" t="s">
        <v>240</v>
      </c>
      <c r="CW3863" s="8">
        <f>0</f>
        <v>0</v>
      </c>
      <c r="CX3863" s="7">
        <f>847432</f>
        <v>847432</v>
      </c>
      <c r="CY3863" s="7">
        <f>0</f>
        <v>0</v>
      </c>
      <c r="CZ3863" s="7">
        <f>0</f>
        <v>0</v>
      </c>
      <c r="DA3863" s="7">
        <f>847432</f>
        <v>847432</v>
      </c>
      <c r="DB3863" s="7" t="s">
        <v>240</v>
      </c>
      <c r="DC3863" s="5" t="s">
        <v>240</v>
      </c>
      <c r="DD3863" s="5" t="s">
        <v>240</v>
      </c>
      <c r="DF3863" s="5" t="s">
        <v>240</v>
      </c>
      <c r="DG3863" s="7">
        <f>0</f>
        <v>0</v>
      </c>
      <c r="DH3863" s="6" t="s">
        <v>240</v>
      </c>
      <c r="DI3863" s="5" t="s">
        <v>240</v>
      </c>
      <c r="DJ3863" s="5" t="s">
        <v>240</v>
      </c>
      <c r="DK3863" s="5" t="s">
        <v>240</v>
      </c>
      <c r="DL3863" s="5" t="s">
        <v>240</v>
      </c>
      <c r="DM3863" s="5" t="s">
        <v>240</v>
      </c>
      <c r="DN3863" s="5" t="s">
        <v>240</v>
      </c>
      <c r="DO3863" s="7" t="s">
        <v>240</v>
      </c>
      <c r="DP3863" s="5" t="s">
        <v>240</v>
      </c>
      <c r="DQ3863" s="5" t="s">
        <v>248</v>
      </c>
      <c r="DR3863" s="5" t="s">
        <v>731</v>
      </c>
      <c r="DS3863" s="5" t="s">
        <v>731</v>
      </c>
      <c r="DT3863" s="5" t="s">
        <v>240</v>
      </c>
      <c r="DU3863" s="5" t="s">
        <v>240</v>
      </c>
      <c r="GN3863" s="5" t="s">
        <v>6908</v>
      </c>
      <c r="HR3863" s="5" t="s">
        <v>240</v>
      </c>
      <c r="HS3863" s="5" t="s">
        <v>240</v>
      </c>
      <c r="HT3863" s="5" t="s">
        <v>240</v>
      </c>
      <c r="HU3863" s="5" t="s">
        <v>240</v>
      </c>
      <c r="HV3863" s="5" t="s">
        <v>240</v>
      </c>
      <c r="HW3863" s="5" t="s">
        <v>240</v>
      </c>
      <c r="HX3863" s="5" t="s">
        <v>240</v>
      </c>
      <c r="HY3863" s="5" t="s">
        <v>240</v>
      </c>
      <c r="HZ3863" s="5" t="s">
        <v>240</v>
      </c>
      <c r="IA3863" s="5" t="s">
        <v>240</v>
      </c>
      <c r="IB3863" s="5" t="s">
        <v>240</v>
      </c>
      <c r="IC3863" s="5" t="s">
        <v>240</v>
      </c>
      <c r="ID3863" s="5" t="s">
        <v>240</v>
      </c>
      <c r="IE3863" s="5" t="s">
        <v>240</v>
      </c>
      <c r="IF3863" s="5" t="s">
        <v>240</v>
      </c>
    </row>
    <row r="3864" spans="1:240" x14ac:dyDescent="0.4">
      <c r="A3864" s="5">
        <v>9406</v>
      </c>
      <c r="B3864" s="5">
        <v>1</v>
      </c>
      <c r="C3864" s="5">
        <v>1</v>
      </c>
      <c r="D3864" s="5" t="s">
        <v>723</v>
      </c>
      <c r="E3864" s="5" t="s">
        <v>725</v>
      </c>
      <c r="F3864" s="5" t="s">
        <v>254</v>
      </c>
      <c r="G3864" s="5" t="s">
        <v>726</v>
      </c>
      <c r="H3864" s="6" t="s">
        <v>5096</v>
      </c>
      <c r="I3864" s="5" t="s">
        <v>5095</v>
      </c>
      <c r="J3864" s="7">
        <f>1</f>
        <v>1</v>
      </c>
      <c r="K3864" s="5" t="s">
        <v>3682</v>
      </c>
      <c r="L3864" s="7">
        <f>1</f>
        <v>1</v>
      </c>
      <c r="M3864" s="7">
        <f>1</f>
        <v>1</v>
      </c>
      <c r="N3864" s="5" t="s">
        <v>242</v>
      </c>
      <c r="O3864" s="5">
        <v>1</v>
      </c>
      <c r="P3864" s="5" t="s">
        <v>294</v>
      </c>
      <c r="Q3864" s="5" t="s">
        <v>240</v>
      </c>
      <c r="T3864" s="5" t="s">
        <v>240</v>
      </c>
      <c r="U3864" s="5" t="s">
        <v>240</v>
      </c>
      <c r="V3864" s="5" t="s">
        <v>240</v>
      </c>
      <c r="Y3864" s="5" t="s">
        <v>240</v>
      </c>
      <c r="Z3864" s="6" t="s">
        <v>6893</v>
      </c>
      <c r="AA3864" s="6" t="s">
        <v>240</v>
      </c>
      <c r="AB3864" s="6" t="s">
        <v>240</v>
      </c>
      <c r="AC3864" s="5" t="s">
        <v>240</v>
      </c>
      <c r="AD3864" s="6" t="s">
        <v>240</v>
      </c>
      <c r="AE3864" s="6" t="s">
        <v>240</v>
      </c>
      <c r="AF3864" s="5" t="s">
        <v>248</v>
      </c>
      <c r="AG3864" s="5" t="s">
        <v>240</v>
      </c>
      <c r="AM3864" s="5" t="s">
        <v>240</v>
      </c>
      <c r="AN3864" s="5" t="s">
        <v>240</v>
      </c>
      <c r="AO3864" s="5" t="s">
        <v>240</v>
      </c>
      <c r="AP3864" s="6" t="s">
        <v>240</v>
      </c>
      <c r="AQ3864" s="6" t="s">
        <v>240</v>
      </c>
      <c r="AR3864" s="6" t="s">
        <v>240</v>
      </c>
      <c r="AT3864" s="5" t="s">
        <v>6911</v>
      </c>
      <c r="AU3864" s="5" t="s">
        <v>240</v>
      </c>
      <c r="AV3864" s="5" t="s">
        <v>240</v>
      </c>
      <c r="AW3864" s="5" t="s">
        <v>251</v>
      </c>
      <c r="AX3864" s="5" t="s">
        <v>252</v>
      </c>
      <c r="AY3864" s="5" t="s">
        <v>253</v>
      </c>
      <c r="AZ3864" s="5" t="s">
        <v>240</v>
      </c>
      <c r="BA3864" s="5" t="s">
        <v>6895</v>
      </c>
      <c r="BB3864" s="5" t="s">
        <v>731</v>
      </c>
      <c r="BD3864" s="5" t="s">
        <v>240</v>
      </c>
      <c r="BF3864" s="5" t="s">
        <v>6763</v>
      </c>
      <c r="BG3864" s="6" t="s">
        <v>6893</v>
      </c>
      <c r="BH3864" s="5" t="s">
        <v>734</v>
      </c>
      <c r="BI3864" s="5" t="s">
        <v>734</v>
      </c>
      <c r="BJ3864" s="5" t="s">
        <v>240</v>
      </c>
      <c r="BK3864" s="7">
        <f>0</f>
        <v>0</v>
      </c>
      <c r="BL3864" s="7">
        <f>7891459</f>
        <v>7891459</v>
      </c>
      <c r="BM3864" s="5" t="s">
        <v>258</v>
      </c>
      <c r="BN3864" s="5" t="s">
        <v>259</v>
      </c>
      <c r="BO3864" s="5" t="s">
        <v>240</v>
      </c>
      <c r="BP3864" s="5" t="s">
        <v>240</v>
      </c>
      <c r="BQ3864" s="5" t="s">
        <v>240</v>
      </c>
      <c r="BR3864" s="5" t="s">
        <v>240</v>
      </c>
      <c r="BW3864" s="6" t="s">
        <v>240</v>
      </c>
      <c r="BX3864" s="5" t="s">
        <v>240</v>
      </c>
      <c r="BY3864" s="5" t="s">
        <v>240</v>
      </c>
      <c r="BZ3864" s="5" t="s">
        <v>240</v>
      </c>
      <c r="CA3864" s="5" t="s">
        <v>259</v>
      </c>
      <c r="CB3864" s="5" t="s">
        <v>240</v>
      </c>
      <c r="CC3864" s="5" t="s">
        <v>240</v>
      </c>
      <c r="CG3864" s="5" t="s">
        <v>240</v>
      </c>
      <c r="CH3864" s="5" t="s">
        <v>240</v>
      </c>
      <c r="CI3864" s="5" t="s">
        <v>260</v>
      </c>
      <c r="CK3864" s="5" t="s">
        <v>240</v>
      </c>
      <c r="CL3864" s="6" t="s">
        <v>261</v>
      </c>
      <c r="CM3864" s="5" t="s">
        <v>262</v>
      </c>
      <c r="CN3864" s="5" t="s">
        <v>293</v>
      </c>
      <c r="CO3864" s="5" t="s">
        <v>264</v>
      </c>
      <c r="CP3864" s="5" t="s">
        <v>240</v>
      </c>
      <c r="CQ3864" s="5">
        <v>0</v>
      </c>
      <c r="CR3864" s="5" t="s">
        <v>240</v>
      </c>
      <c r="CS3864" s="5" t="s">
        <v>240</v>
      </c>
      <c r="CT3864" s="5" t="s">
        <v>240</v>
      </c>
      <c r="CU3864" s="5" t="s">
        <v>260</v>
      </c>
      <c r="CV3864" s="5" t="s">
        <v>240</v>
      </c>
      <c r="CW3864" s="8">
        <f>0</f>
        <v>0</v>
      </c>
      <c r="CX3864" s="7">
        <f>7891459</f>
        <v>7891459</v>
      </c>
      <c r="CY3864" s="7">
        <f>0</f>
        <v>0</v>
      </c>
      <c r="CZ3864" s="7">
        <f>0</f>
        <v>0</v>
      </c>
      <c r="DA3864" s="7">
        <f>7891459</f>
        <v>7891459</v>
      </c>
      <c r="DB3864" s="7" t="s">
        <v>240</v>
      </c>
      <c r="DC3864" s="5" t="s">
        <v>240</v>
      </c>
      <c r="DD3864" s="5" t="s">
        <v>240</v>
      </c>
      <c r="DF3864" s="5" t="s">
        <v>240</v>
      </c>
      <c r="DG3864" s="7">
        <f>0</f>
        <v>0</v>
      </c>
      <c r="DH3864" s="6" t="s">
        <v>240</v>
      </c>
      <c r="DI3864" s="5" t="s">
        <v>240</v>
      </c>
      <c r="DJ3864" s="5" t="s">
        <v>240</v>
      </c>
      <c r="DK3864" s="5" t="s">
        <v>240</v>
      </c>
      <c r="DL3864" s="5" t="s">
        <v>240</v>
      </c>
      <c r="DM3864" s="5" t="s">
        <v>240</v>
      </c>
      <c r="DN3864" s="5" t="s">
        <v>240</v>
      </c>
      <c r="DO3864" s="7" t="s">
        <v>240</v>
      </c>
      <c r="DP3864" s="5" t="s">
        <v>240</v>
      </c>
      <c r="DQ3864" s="5" t="s">
        <v>248</v>
      </c>
      <c r="DR3864" s="5" t="s">
        <v>731</v>
      </c>
      <c r="DS3864" s="5" t="s">
        <v>731</v>
      </c>
      <c r="DT3864" s="5" t="s">
        <v>240</v>
      </c>
      <c r="DU3864" s="5" t="s">
        <v>240</v>
      </c>
      <c r="GN3864" s="5" t="s">
        <v>6912</v>
      </c>
      <c r="HR3864" s="5" t="s">
        <v>240</v>
      </c>
      <c r="HS3864" s="5" t="s">
        <v>240</v>
      </c>
      <c r="HT3864" s="5" t="s">
        <v>240</v>
      </c>
      <c r="HU3864" s="5" t="s">
        <v>240</v>
      </c>
      <c r="HV3864" s="5" t="s">
        <v>240</v>
      </c>
      <c r="HW3864" s="5" t="s">
        <v>240</v>
      </c>
      <c r="HX3864" s="5" t="s">
        <v>240</v>
      </c>
      <c r="HY3864" s="5" t="s">
        <v>240</v>
      </c>
      <c r="HZ3864" s="5" t="s">
        <v>240</v>
      </c>
      <c r="IA3864" s="5" t="s">
        <v>240</v>
      </c>
      <c r="IB3864" s="5" t="s">
        <v>240</v>
      </c>
      <c r="IC3864" s="5" t="s">
        <v>240</v>
      </c>
      <c r="ID3864" s="5" t="s">
        <v>240</v>
      </c>
      <c r="IE3864" s="5" t="s">
        <v>240</v>
      </c>
      <c r="IF3864" s="5" t="s">
        <v>240</v>
      </c>
    </row>
    <row r="3865" spans="1:240" x14ac:dyDescent="0.4">
      <c r="A3865" s="5">
        <v>9407</v>
      </c>
      <c r="B3865" s="5">
        <v>1</v>
      </c>
      <c r="C3865" s="5">
        <v>1</v>
      </c>
      <c r="D3865" s="5" t="s">
        <v>723</v>
      </c>
      <c r="E3865" s="5" t="s">
        <v>725</v>
      </c>
      <c r="F3865" s="5" t="s">
        <v>254</v>
      </c>
      <c r="G3865" s="5" t="s">
        <v>5105</v>
      </c>
      <c r="H3865" s="6" t="s">
        <v>5106</v>
      </c>
      <c r="I3865" s="5" t="s">
        <v>5104</v>
      </c>
      <c r="J3865" s="7">
        <f>1</f>
        <v>1</v>
      </c>
      <c r="K3865" s="5" t="s">
        <v>3682</v>
      </c>
      <c r="L3865" s="7">
        <f>1</f>
        <v>1</v>
      </c>
      <c r="M3865" s="7">
        <f>1</f>
        <v>1</v>
      </c>
      <c r="N3865" s="5" t="s">
        <v>242</v>
      </c>
      <c r="O3865" s="5">
        <v>1</v>
      </c>
      <c r="P3865" s="5" t="s">
        <v>294</v>
      </c>
      <c r="Q3865" s="5" t="s">
        <v>613</v>
      </c>
      <c r="T3865" s="5" t="s">
        <v>243</v>
      </c>
      <c r="U3865" s="5" t="s">
        <v>244</v>
      </c>
      <c r="V3865" s="5" t="s">
        <v>240</v>
      </c>
      <c r="Y3865" s="5" t="s">
        <v>240</v>
      </c>
      <c r="Z3865" s="6" t="s">
        <v>298</v>
      </c>
      <c r="AA3865" s="6" t="s">
        <v>240</v>
      </c>
      <c r="AB3865" s="6" t="s">
        <v>240</v>
      </c>
      <c r="AC3865" s="5" t="s">
        <v>240</v>
      </c>
      <c r="AD3865" s="6" t="s">
        <v>240</v>
      </c>
      <c r="AE3865" s="6" t="s">
        <v>299</v>
      </c>
      <c r="AF3865" s="5" t="s">
        <v>248</v>
      </c>
      <c r="AG3865" s="5" t="s">
        <v>249</v>
      </c>
      <c r="AM3865" s="5" t="s">
        <v>240</v>
      </c>
      <c r="AN3865" s="5" t="s">
        <v>240</v>
      </c>
      <c r="AO3865" s="5" t="s">
        <v>240</v>
      </c>
      <c r="AP3865" s="6" t="s">
        <v>240</v>
      </c>
      <c r="AQ3865" s="6" t="s">
        <v>240</v>
      </c>
      <c r="AW3865" s="5" t="s">
        <v>251</v>
      </c>
      <c r="AX3865" s="5" t="s">
        <v>252</v>
      </c>
      <c r="AY3865" s="5" t="s">
        <v>253</v>
      </c>
      <c r="AZ3865" s="5" t="s">
        <v>6046</v>
      </c>
      <c r="BA3865" s="5" t="s">
        <v>255</v>
      </c>
      <c r="BB3865" s="5" t="s">
        <v>731</v>
      </c>
      <c r="BD3865" s="5" t="s">
        <v>686</v>
      </c>
      <c r="BF3865" s="5" t="s">
        <v>301</v>
      </c>
      <c r="BG3865" s="6" t="s">
        <v>733</v>
      </c>
      <c r="BH3865" s="5" t="s">
        <v>302</v>
      </c>
      <c r="BI3865" s="5" t="s">
        <v>303</v>
      </c>
      <c r="BJ3865" s="5" t="s">
        <v>240</v>
      </c>
      <c r="BK3865" s="8">
        <f>0</f>
        <v>0</v>
      </c>
      <c r="BL3865" s="7">
        <f>0</f>
        <v>0</v>
      </c>
      <c r="BM3865" s="5" t="s">
        <v>258</v>
      </c>
      <c r="BN3865" s="5" t="s">
        <v>259</v>
      </c>
      <c r="BW3865" s="6" t="s">
        <v>240</v>
      </c>
      <c r="BX3865" s="5" t="s">
        <v>240</v>
      </c>
      <c r="BY3865" s="5" t="s">
        <v>240</v>
      </c>
      <c r="BZ3865" s="5" t="s">
        <v>240</v>
      </c>
      <c r="CB3865" s="5" t="s">
        <v>240</v>
      </c>
      <c r="CC3865" s="5" t="s">
        <v>240</v>
      </c>
      <c r="CG3865" s="5" t="s">
        <v>617</v>
      </c>
      <c r="CH3865" s="5" t="s">
        <v>305</v>
      </c>
      <c r="CI3865" s="5" t="s">
        <v>260</v>
      </c>
      <c r="CK3865" s="5" t="s">
        <v>240</v>
      </c>
      <c r="CL3865" s="6" t="s">
        <v>261</v>
      </c>
      <c r="CM3865" s="5" t="s">
        <v>240</v>
      </c>
      <c r="CN3865" s="5" t="s">
        <v>263</v>
      </c>
      <c r="CO3865" s="5" t="s">
        <v>240</v>
      </c>
      <c r="CP3865" s="5" t="s">
        <v>240</v>
      </c>
      <c r="CQ3865" s="5">
        <v>0</v>
      </c>
      <c r="CR3865" s="5" t="s">
        <v>735</v>
      </c>
      <c r="CS3865" s="5" t="s">
        <v>307</v>
      </c>
      <c r="CT3865" s="5" t="s">
        <v>307</v>
      </c>
      <c r="CU3865" s="5" t="s">
        <v>260</v>
      </c>
      <c r="CV3865" s="5" t="s">
        <v>240</v>
      </c>
      <c r="CW3865" s="8" t="s">
        <v>240</v>
      </c>
      <c r="CX3865" s="7">
        <f>14087400</f>
        <v>14087400</v>
      </c>
      <c r="CY3865" s="7">
        <f>0</f>
        <v>0</v>
      </c>
      <c r="CZ3865" s="7" t="s">
        <v>240</v>
      </c>
      <c r="DA3865" s="7">
        <f>0</f>
        <v>0</v>
      </c>
      <c r="DB3865" s="7" t="s">
        <v>240</v>
      </c>
      <c r="DC3865" s="5" t="s">
        <v>689</v>
      </c>
      <c r="DD3865" s="5" t="s">
        <v>240</v>
      </c>
      <c r="DF3865" s="5" t="s">
        <v>689</v>
      </c>
      <c r="DG3865" s="7">
        <f>6360</f>
        <v>6360</v>
      </c>
      <c r="DH3865" s="6" t="s">
        <v>240</v>
      </c>
      <c r="DI3865" s="5" t="s">
        <v>618</v>
      </c>
      <c r="DJ3865" s="5" t="s">
        <v>240</v>
      </c>
      <c r="DK3865" s="5" t="s">
        <v>240</v>
      </c>
      <c r="DL3865" s="5" t="s">
        <v>240</v>
      </c>
      <c r="DM3865" s="5" t="s">
        <v>240</v>
      </c>
      <c r="DN3865" s="5" t="s">
        <v>240</v>
      </c>
      <c r="DO3865" s="7" t="s">
        <v>240</v>
      </c>
      <c r="DP3865" s="5" t="s">
        <v>240</v>
      </c>
      <c r="DQ3865" s="5" t="s">
        <v>248</v>
      </c>
      <c r="DR3865" s="5" t="s">
        <v>731</v>
      </c>
      <c r="DS3865" s="5" t="s">
        <v>731</v>
      </c>
      <c r="DT3865" s="5" t="s">
        <v>240</v>
      </c>
      <c r="DU3865" s="5" t="s">
        <v>240</v>
      </c>
      <c r="DV3865" s="5" t="s">
        <v>6828</v>
      </c>
      <c r="DW3865" s="5" t="s">
        <v>312</v>
      </c>
    </row>
    <row r="3866" spans="1:240" x14ac:dyDescent="0.4">
      <c r="A3866" s="5">
        <v>9408</v>
      </c>
      <c r="B3866" s="5">
        <v>1</v>
      </c>
      <c r="C3866" s="5">
        <v>1</v>
      </c>
      <c r="D3866" s="5" t="s">
        <v>723</v>
      </c>
      <c r="E3866" s="5" t="s">
        <v>725</v>
      </c>
      <c r="F3866" s="5" t="s">
        <v>254</v>
      </c>
      <c r="G3866" s="5" t="s">
        <v>5113</v>
      </c>
      <c r="H3866" s="6" t="s">
        <v>5114</v>
      </c>
      <c r="I3866" s="5" t="s">
        <v>5112</v>
      </c>
      <c r="J3866" s="7">
        <f>1</f>
        <v>1</v>
      </c>
      <c r="K3866" s="5" t="s">
        <v>3682</v>
      </c>
      <c r="L3866" s="7">
        <f>1</f>
        <v>1</v>
      </c>
      <c r="M3866" s="7">
        <f>1</f>
        <v>1</v>
      </c>
      <c r="N3866" s="5" t="s">
        <v>242</v>
      </c>
      <c r="O3866" s="5">
        <v>1</v>
      </c>
      <c r="P3866" s="5" t="s">
        <v>294</v>
      </c>
      <c r="Q3866" s="5" t="s">
        <v>2097</v>
      </c>
      <c r="T3866" s="5" t="s">
        <v>296</v>
      </c>
      <c r="U3866" s="5" t="s">
        <v>244</v>
      </c>
      <c r="V3866" s="5" t="s">
        <v>240</v>
      </c>
      <c r="Y3866" s="5" t="s">
        <v>246</v>
      </c>
      <c r="Z3866" s="6" t="s">
        <v>6915</v>
      </c>
      <c r="AA3866" s="6" t="s">
        <v>240</v>
      </c>
      <c r="AB3866" s="6" t="s">
        <v>240</v>
      </c>
      <c r="AC3866" s="5" t="s">
        <v>240</v>
      </c>
      <c r="AD3866" s="6" t="s">
        <v>240</v>
      </c>
      <c r="AE3866" s="6" t="s">
        <v>240</v>
      </c>
      <c r="AF3866" s="5" t="s">
        <v>248</v>
      </c>
      <c r="AG3866" s="5" t="s">
        <v>249</v>
      </c>
      <c r="AM3866" s="5" t="s">
        <v>240</v>
      </c>
      <c r="AN3866" s="5" t="s">
        <v>240</v>
      </c>
      <c r="AO3866" s="5" t="s">
        <v>240</v>
      </c>
      <c r="AP3866" s="6" t="s">
        <v>240</v>
      </c>
      <c r="AQ3866" s="6" t="s">
        <v>240</v>
      </c>
      <c r="AR3866" s="6" t="s">
        <v>240</v>
      </c>
      <c r="AU3866" s="5" t="s">
        <v>729</v>
      </c>
      <c r="AV3866" s="5" t="s">
        <v>729</v>
      </c>
      <c r="AW3866" s="5" t="s">
        <v>251</v>
      </c>
      <c r="AX3866" s="5" t="s">
        <v>252</v>
      </c>
      <c r="AY3866" s="5" t="s">
        <v>253</v>
      </c>
      <c r="AZ3866" s="5" t="s">
        <v>6046</v>
      </c>
      <c r="BA3866" s="5" t="s">
        <v>255</v>
      </c>
      <c r="BB3866" s="5" t="s">
        <v>731</v>
      </c>
      <c r="BD3866" s="5" t="s">
        <v>842</v>
      </c>
      <c r="BF3866" s="5" t="s">
        <v>256</v>
      </c>
      <c r="BG3866" s="6" t="s">
        <v>287</v>
      </c>
      <c r="BH3866" s="5" t="s">
        <v>6742</v>
      </c>
      <c r="BI3866" s="5" t="s">
        <v>302</v>
      </c>
      <c r="BJ3866" s="5" t="s">
        <v>240</v>
      </c>
      <c r="BK3866" s="8">
        <f>0</f>
        <v>0</v>
      </c>
      <c r="BL3866" s="7">
        <f>429000</f>
        <v>429000</v>
      </c>
      <c r="BM3866" s="5" t="s">
        <v>258</v>
      </c>
      <c r="BN3866" s="5" t="s">
        <v>259</v>
      </c>
      <c r="BO3866" s="5" t="s">
        <v>801</v>
      </c>
      <c r="BP3866" s="5" t="s">
        <v>6745</v>
      </c>
      <c r="BQ3866" s="5" t="s">
        <v>259</v>
      </c>
      <c r="BR3866" s="5" t="s">
        <v>240</v>
      </c>
      <c r="BW3866" s="6" t="s">
        <v>6917</v>
      </c>
      <c r="BX3866" s="5" t="s">
        <v>258</v>
      </c>
      <c r="BY3866" s="5" t="s">
        <v>240</v>
      </c>
      <c r="BZ3866" s="5" t="s">
        <v>240</v>
      </c>
      <c r="CA3866" s="5" t="s">
        <v>259</v>
      </c>
      <c r="CB3866" s="5" t="s">
        <v>240</v>
      </c>
      <c r="CC3866" s="5" t="s">
        <v>240</v>
      </c>
      <c r="CG3866" s="5" t="s">
        <v>240</v>
      </c>
      <c r="CH3866" s="5" t="s">
        <v>240</v>
      </c>
      <c r="CI3866" s="5" t="s">
        <v>260</v>
      </c>
      <c r="CK3866" s="5" t="s">
        <v>240</v>
      </c>
      <c r="CL3866" s="6" t="s">
        <v>261</v>
      </c>
      <c r="CM3866" s="5" t="s">
        <v>262</v>
      </c>
      <c r="CN3866" s="5" t="s">
        <v>263</v>
      </c>
      <c r="CO3866" s="5" t="s">
        <v>264</v>
      </c>
      <c r="CP3866" s="5" t="s">
        <v>240</v>
      </c>
      <c r="CQ3866" s="5">
        <v>0</v>
      </c>
      <c r="CR3866" s="5" t="s">
        <v>735</v>
      </c>
      <c r="CS3866" s="5" t="s">
        <v>307</v>
      </c>
      <c r="CT3866" s="5" t="s">
        <v>307</v>
      </c>
      <c r="CU3866" s="5" t="s">
        <v>260</v>
      </c>
      <c r="CV3866" s="5" t="s">
        <v>240</v>
      </c>
      <c r="CW3866" s="8">
        <f>1124</f>
        <v>1124</v>
      </c>
      <c r="CX3866" s="7">
        <f>2503000</f>
        <v>2503000</v>
      </c>
      <c r="CY3866" s="7">
        <f>0</f>
        <v>0</v>
      </c>
      <c r="CZ3866" s="7">
        <f>0</f>
        <v>0</v>
      </c>
      <c r="DA3866" s="7">
        <f>2503000</f>
        <v>2503000</v>
      </c>
      <c r="DB3866" s="7" t="s">
        <v>240</v>
      </c>
      <c r="DC3866" s="5" t="s">
        <v>240</v>
      </c>
      <c r="DD3866" s="5" t="s">
        <v>240</v>
      </c>
      <c r="DF3866" s="5" t="s">
        <v>240</v>
      </c>
      <c r="DG3866" s="7">
        <f>0</f>
        <v>0</v>
      </c>
      <c r="DH3866" s="6" t="s">
        <v>240</v>
      </c>
      <c r="DI3866" s="5" t="s">
        <v>240</v>
      </c>
      <c r="DJ3866" s="5" t="s">
        <v>240</v>
      </c>
      <c r="DK3866" s="5" t="s">
        <v>240</v>
      </c>
      <c r="DL3866" s="5" t="s">
        <v>240</v>
      </c>
      <c r="DM3866" s="5" t="s">
        <v>240</v>
      </c>
      <c r="DN3866" s="5" t="s">
        <v>240</v>
      </c>
      <c r="DO3866" s="7" t="s">
        <v>240</v>
      </c>
      <c r="DP3866" s="5" t="s">
        <v>240</v>
      </c>
      <c r="DQ3866" s="5" t="s">
        <v>248</v>
      </c>
      <c r="DR3866" s="5" t="s">
        <v>731</v>
      </c>
      <c r="DS3866" s="5" t="s">
        <v>731</v>
      </c>
      <c r="DT3866" s="5" t="s">
        <v>240</v>
      </c>
      <c r="DU3866" s="5" t="s">
        <v>240</v>
      </c>
      <c r="HR3866" s="5" t="s">
        <v>240</v>
      </c>
      <c r="HS3866" s="5" t="s">
        <v>240</v>
      </c>
      <c r="HT3866" s="5" t="s">
        <v>240</v>
      </c>
      <c r="HU3866" s="5" t="s">
        <v>240</v>
      </c>
      <c r="HV3866" s="5" t="s">
        <v>240</v>
      </c>
      <c r="HW3866" s="5" t="s">
        <v>240</v>
      </c>
      <c r="HX3866" s="5" t="s">
        <v>240</v>
      </c>
      <c r="HY3866" s="5" t="s">
        <v>240</v>
      </c>
      <c r="HZ3866" s="5" t="s">
        <v>240</v>
      </c>
      <c r="IA3866" s="5" t="s">
        <v>240</v>
      </c>
      <c r="IB3866" s="5" t="s">
        <v>240</v>
      </c>
      <c r="IC3866" s="5" t="s">
        <v>240</v>
      </c>
      <c r="ID3866" s="5" t="s">
        <v>240</v>
      </c>
      <c r="IE3866" s="5" t="s">
        <v>240</v>
      </c>
      <c r="IF3866" s="5" t="s">
        <v>240</v>
      </c>
    </row>
    <row r="3867" spans="1:240" x14ac:dyDescent="0.4">
      <c r="A3867" s="5">
        <v>9409</v>
      </c>
      <c r="B3867" s="5">
        <v>1</v>
      </c>
      <c r="C3867" s="5">
        <v>1</v>
      </c>
      <c r="D3867" s="5" t="s">
        <v>723</v>
      </c>
      <c r="E3867" s="5" t="s">
        <v>725</v>
      </c>
      <c r="F3867" s="5" t="s">
        <v>254</v>
      </c>
      <c r="G3867" s="5" t="s">
        <v>726</v>
      </c>
      <c r="H3867" s="6" t="s">
        <v>5124</v>
      </c>
      <c r="I3867" s="5" t="s">
        <v>5123</v>
      </c>
      <c r="J3867" s="7">
        <f>1</f>
        <v>1</v>
      </c>
      <c r="K3867" s="5" t="s">
        <v>3682</v>
      </c>
      <c r="L3867" s="7">
        <f>1</f>
        <v>1</v>
      </c>
      <c r="M3867" s="7">
        <f>1</f>
        <v>1</v>
      </c>
      <c r="N3867" s="5" t="s">
        <v>242</v>
      </c>
      <c r="O3867" s="5">
        <v>1</v>
      </c>
      <c r="P3867" s="5" t="s">
        <v>294</v>
      </c>
      <c r="Q3867" s="5" t="s">
        <v>240</v>
      </c>
      <c r="T3867" s="5" t="s">
        <v>240</v>
      </c>
      <c r="U3867" s="5" t="s">
        <v>240</v>
      </c>
      <c r="V3867" s="5" t="s">
        <v>240</v>
      </c>
      <c r="Y3867" s="5" t="s">
        <v>245</v>
      </c>
      <c r="Z3867" s="6" t="s">
        <v>6919</v>
      </c>
      <c r="AA3867" s="6" t="s">
        <v>240</v>
      </c>
      <c r="AB3867" s="6" t="s">
        <v>240</v>
      </c>
      <c r="AC3867" s="5" t="s">
        <v>240</v>
      </c>
      <c r="AD3867" s="6" t="s">
        <v>240</v>
      </c>
      <c r="AE3867" s="6" t="s">
        <v>6919</v>
      </c>
      <c r="AF3867" s="5" t="s">
        <v>248</v>
      </c>
      <c r="AG3867" s="5" t="s">
        <v>240</v>
      </c>
      <c r="AM3867" s="5" t="s">
        <v>240</v>
      </c>
      <c r="AN3867" s="5" t="s">
        <v>240</v>
      </c>
      <c r="AO3867" s="5" t="s">
        <v>240</v>
      </c>
      <c r="AP3867" s="6" t="s">
        <v>240</v>
      </c>
      <c r="AQ3867" s="6" t="s">
        <v>240</v>
      </c>
      <c r="AR3867" s="6" t="s">
        <v>240</v>
      </c>
      <c r="AU3867" s="5" t="s">
        <v>729</v>
      </c>
      <c r="AV3867" s="5" t="s">
        <v>729</v>
      </c>
      <c r="AW3867" s="5" t="s">
        <v>251</v>
      </c>
      <c r="AX3867" s="5" t="s">
        <v>252</v>
      </c>
      <c r="AY3867" s="5" t="s">
        <v>253</v>
      </c>
      <c r="AZ3867" s="5" t="s">
        <v>240</v>
      </c>
      <c r="BA3867" s="5" t="s">
        <v>255</v>
      </c>
      <c r="BB3867" s="5" t="s">
        <v>731</v>
      </c>
      <c r="BD3867" s="5" t="s">
        <v>240</v>
      </c>
      <c r="BF3867" s="5" t="s">
        <v>6763</v>
      </c>
      <c r="BG3867" s="6" t="s">
        <v>6921</v>
      </c>
      <c r="BH3867" s="5" t="s">
        <v>6742</v>
      </c>
      <c r="BI3867" s="5" t="s">
        <v>6743</v>
      </c>
      <c r="BJ3867" s="5" t="s">
        <v>240</v>
      </c>
      <c r="BK3867" s="7">
        <f>0</f>
        <v>0</v>
      </c>
      <c r="BL3867" s="7">
        <f>239000</f>
        <v>239000</v>
      </c>
      <c r="BM3867" s="5" t="s">
        <v>258</v>
      </c>
      <c r="BN3867" s="5" t="s">
        <v>259</v>
      </c>
      <c r="BO3867" s="5" t="s">
        <v>6744</v>
      </c>
      <c r="BP3867" s="5" t="s">
        <v>6745</v>
      </c>
      <c r="BQ3867" s="5" t="s">
        <v>6745</v>
      </c>
      <c r="BR3867" s="5" t="s">
        <v>240</v>
      </c>
      <c r="BS3867" s="5" t="s">
        <v>258</v>
      </c>
      <c r="BT3867" s="5" t="s">
        <v>6747</v>
      </c>
      <c r="BU3867" s="5" t="s">
        <v>6747</v>
      </c>
      <c r="BW3867" s="6" t="s">
        <v>6922</v>
      </c>
      <c r="BX3867" s="5" t="s">
        <v>258</v>
      </c>
      <c r="BY3867" s="5" t="s">
        <v>240</v>
      </c>
      <c r="BZ3867" s="5" t="s">
        <v>240</v>
      </c>
      <c r="CA3867" s="5" t="s">
        <v>259</v>
      </c>
      <c r="CB3867" s="5" t="s">
        <v>240</v>
      </c>
      <c r="CC3867" s="5" t="s">
        <v>240</v>
      </c>
      <c r="CG3867" s="5" t="s">
        <v>240</v>
      </c>
      <c r="CH3867" s="5" t="s">
        <v>240</v>
      </c>
      <c r="CI3867" s="5" t="s">
        <v>260</v>
      </c>
      <c r="CK3867" s="5" t="s">
        <v>240</v>
      </c>
      <c r="CL3867" s="6" t="s">
        <v>261</v>
      </c>
      <c r="CM3867" s="5" t="s">
        <v>262</v>
      </c>
      <c r="CN3867" s="5" t="s">
        <v>293</v>
      </c>
      <c r="CO3867" s="5" t="s">
        <v>264</v>
      </c>
      <c r="CP3867" s="5" t="s">
        <v>240</v>
      </c>
      <c r="CQ3867" s="5">
        <v>0</v>
      </c>
      <c r="CR3867" s="5" t="s">
        <v>240</v>
      </c>
      <c r="CS3867" s="5" t="s">
        <v>240</v>
      </c>
      <c r="CT3867" s="5" t="s">
        <v>240</v>
      </c>
      <c r="CU3867" s="5" t="s">
        <v>260</v>
      </c>
      <c r="CV3867" s="5" t="s">
        <v>240</v>
      </c>
      <c r="CW3867" s="8">
        <f>0</f>
        <v>0</v>
      </c>
      <c r="CX3867" s="7">
        <f>239000</f>
        <v>239000</v>
      </c>
      <c r="CY3867" s="7">
        <f>0</f>
        <v>0</v>
      </c>
      <c r="CZ3867" s="7">
        <f>0</f>
        <v>0</v>
      </c>
      <c r="DA3867" s="7">
        <f>239000</f>
        <v>239000</v>
      </c>
      <c r="DB3867" s="7" t="s">
        <v>240</v>
      </c>
      <c r="DC3867" s="5" t="s">
        <v>240</v>
      </c>
      <c r="DD3867" s="5" t="s">
        <v>240</v>
      </c>
      <c r="DF3867" s="5" t="s">
        <v>240</v>
      </c>
      <c r="DG3867" s="7">
        <f>0</f>
        <v>0</v>
      </c>
      <c r="DH3867" s="6" t="s">
        <v>240</v>
      </c>
      <c r="DI3867" s="5" t="s">
        <v>240</v>
      </c>
      <c r="DJ3867" s="5" t="s">
        <v>240</v>
      </c>
      <c r="DK3867" s="5" t="s">
        <v>240</v>
      </c>
      <c r="DL3867" s="5" t="s">
        <v>240</v>
      </c>
      <c r="DM3867" s="5" t="s">
        <v>240</v>
      </c>
      <c r="DN3867" s="5" t="s">
        <v>240</v>
      </c>
      <c r="DO3867" s="7" t="s">
        <v>240</v>
      </c>
      <c r="DP3867" s="5" t="s">
        <v>240</v>
      </c>
      <c r="DQ3867" s="5" t="s">
        <v>248</v>
      </c>
      <c r="DR3867" s="5" t="s">
        <v>731</v>
      </c>
      <c r="DS3867" s="5" t="s">
        <v>731</v>
      </c>
      <c r="DT3867" s="5" t="s">
        <v>240</v>
      </c>
      <c r="DU3867" s="5" t="s">
        <v>240</v>
      </c>
      <c r="GN3867" s="5" t="s">
        <v>6923</v>
      </c>
      <c r="HR3867" s="5" t="s">
        <v>240</v>
      </c>
      <c r="HS3867" s="5" t="s">
        <v>240</v>
      </c>
      <c r="HT3867" s="5" t="s">
        <v>240</v>
      </c>
      <c r="HU3867" s="5" t="s">
        <v>240</v>
      </c>
      <c r="HV3867" s="5" t="s">
        <v>240</v>
      </c>
      <c r="HW3867" s="5" t="s">
        <v>240</v>
      </c>
      <c r="HX3867" s="5" t="s">
        <v>240</v>
      </c>
      <c r="HY3867" s="5" t="s">
        <v>240</v>
      </c>
      <c r="HZ3867" s="5" t="s">
        <v>240</v>
      </c>
      <c r="IA3867" s="5" t="s">
        <v>240</v>
      </c>
      <c r="IB3867" s="5" t="s">
        <v>240</v>
      </c>
      <c r="IC3867" s="5" t="s">
        <v>240</v>
      </c>
      <c r="ID3867" s="5" t="s">
        <v>240</v>
      </c>
      <c r="IE3867" s="5" t="s">
        <v>240</v>
      </c>
      <c r="IF3867" s="5" t="s">
        <v>240</v>
      </c>
    </row>
    <row r="3868" spans="1:240" x14ac:dyDescent="0.4">
      <c r="A3868" s="5">
        <v>9410</v>
      </c>
      <c r="B3868" s="5">
        <v>1</v>
      </c>
      <c r="C3868" s="5">
        <v>1</v>
      </c>
      <c r="D3868" s="5" t="s">
        <v>723</v>
      </c>
      <c r="E3868" s="5" t="s">
        <v>725</v>
      </c>
      <c r="F3868" s="5" t="s">
        <v>254</v>
      </c>
      <c r="G3868" s="5" t="s">
        <v>726</v>
      </c>
      <c r="H3868" s="6" t="s">
        <v>5130</v>
      </c>
      <c r="I3868" s="5" t="s">
        <v>5129</v>
      </c>
      <c r="J3868" s="7">
        <f>1</f>
        <v>1</v>
      </c>
      <c r="K3868" s="5" t="s">
        <v>3682</v>
      </c>
      <c r="L3868" s="7">
        <f>1</f>
        <v>1</v>
      </c>
      <c r="M3868" s="7">
        <f>1</f>
        <v>1</v>
      </c>
      <c r="N3868" s="5" t="s">
        <v>242</v>
      </c>
      <c r="O3868" s="5">
        <v>1</v>
      </c>
      <c r="P3868" s="5" t="s">
        <v>294</v>
      </c>
      <c r="Q3868" s="5" t="s">
        <v>613</v>
      </c>
      <c r="T3868" s="5" t="s">
        <v>243</v>
      </c>
      <c r="U3868" s="5" t="s">
        <v>244</v>
      </c>
      <c r="V3868" s="5" t="s">
        <v>240</v>
      </c>
      <c r="Y3868" s="5" t="s">
        <v>240</v>
      </c>
      <c r="Z3868" s="6" t="s">
        <v>298</v>
      </c>
      <c r="AA3868" s="6" t="s">
        <v>240</v>
      </c>
      <c r="AB3868" s="6" t="s">
        <v>240</v>
      </c>
      <c r="AC3868" s="5" t="s">
        <v>240</v>
      </c>
      <c r="AD3868" s="6" t="s">
        <v>240</v>
      </c>
      <c r="AE3868" s="6" t="s">
        <v>299</v>
      </c>
      <c r="AF3868" s="5" t="s">
        <v>248</v>
      </c>
      <c r="AG3868" s="5" t="s">
        <v>249</v>
      </c>
      <c r="AM3868" s="5" t="s">
        <v>240</v>
      </c>
      <c r="AN3868" s="5" t="s">
        <v>240</v>
      </c>
      <c r="AO3868" s="5" t="s">
        <v>240</v>
      </c>
      <c r="AP3868" s="6" t="s">
        <v>240</v>
      </c>
      <c r="AQ3868" s="6" t="s">
        <v>240</v>
      </c>
      <c r="AW3868" s="5" t="s">
        <v>251</v>
      </c>
      <c r="AX3868" s="5" t="s">
        <v>252</v>
      </c>
      <c r="AY3868" s="5" t="s">
        <v>253</v>
      </c>
      <c r="AZ3868" s="5" t="s">
        <v>6046</v>
      </c>
      <c r="BA3868" s="5" t="s">
        <v>255</v>
      </c>
      <c r="BB3868" s="5" t="s">
        <v>731</v>
      </c>
      <c r="BD3868" s="5" t="s">
        <v>686</v>
      </c>
      <c r="BF3868" s="5" t="s">
        <v>301</v>
      </c>
      <c r="BG3868" s="6" t="s">
        <v>733</v>
      </c>
      <c r="BH3868" s="5" t="s">
        <v>302</v>
      </c>
      <c r="BI3868" s="5" t="s">
        <v>303</v>
      </c>
      <c r="BJ3868" s="5" t="s">
        <v>240</v>
      </c>
      <c r="BK3868" s="8">
        <f>0</f>
        <v>0</v>
      </c>
      <c r="BL3868" s="7">
        <f>0</f>
        <v>0</v>
      </c>
      <c r="BM3868" s="5" t="s">
        <v>258</v>
      </c>
      <c r="BN3868" s="5" t="s">
        <v>259</v>
      </c>
      <c r="BW3868" s="6" t="s">
        <v>240</v>
      </c>
      <c r="BX3868" s="5" t="s">
        <v>240</v>
      </c>
      <c r="BY3868" s="5" t="s">
        <v>240</v>
      </c>
      <c r="BZ3868" s="5" t="s">
        <v>240</v>
      </c>
      <c r="CB3868" s="5" t="s">
        <v>240</v>
      </c>
      <c r="CC3868" s="5" t="s">
        <v>240</v>
      </c>
      <c r="CG3868" s="5" t="s">
        <v>617</v>
      </c>
      <c r="CH3868" s="5" t="s">
        <v>305</v>
      </c>
      <c r="CI3868" s="5" t="s">
        <v>260</v>
      </c>
      <c r="CK3868" s="5" t="s">
        <v>240</v>
      </c>
      <c r="CL3868" s="6" t="s">
        <v>261</v>
      </c>
      <c r="CM3868" s="5" t="s">
        <v>240</v>
      </c>
      <c r="CN3868" s="5" t="s">
        <v>263</v>
      </c>
      <c r="CO3868" s="5" t="s">
        <v>240</v>
      </c>
      <c r="CP3868" s="5" t="s">
        <v>240</v>
      </c>
      <c r="CQ3868" s="5">
        <v>0</v>
      </c>
      <c r="CR3868" s="5" t="s">
        <v>735</v>
      </c>
      <c r="CS3868" s="5" t="s">
        <v>307</v>
      </c>
      <c r="CT3868" s="5" t="s">
        <v>307</v>
      </c>
      <c r="CU3868" s="5" t="s">
        <v>260</v>
      </c>
      <c r="CV3868" s="5" t="s">
        <v>240</v>
      </c>
      <c r="CW3868" s="8" t="s">
        <v>240</v>
      </c>
      <c r="CX3868" s="7">
        <f>7134515</f>
        <v>7134515</v>
      </c>
      <c r="CY3868" s="7">
        <f>0</f>
        <v>0</v>
      </c>
      <c r="CZ3868" s="7" t="s">
        <v>240</v>
      </c>
      <c r="DA3868" s="7">
        <f>0</f>
        <v>0</v>
      </c>
      <c r="DB3868" s="7" t="s">
        <v>240</v>
      </c>
      <c r="DC3868" s="5" t="s">
        <v>689</v>
      </c>
      <c r="DD3868" s="5" t="s">
        <v>240</v>
      </c>
      <c r="DF3868" s="5" t="s">
        <v>689</v>
      </c>
      <c r="DG3868" s="7">
        <f>3221</f>
        <v>3221</v>
      </c>
      <c r="DH3868" s="6" t="s">
        <v>6925</v>
      </c>
      <c r="DI3868" s="5" t="s">
        <v>618</v>
      </c>
      <c r="DJ3868" s="5" t="s">
        <v>240</v>
      </c>
      <c r="DK3868" s="5" t="s">
        <v>240</v>
      </c>
      <c r="DL3868" s="5" t="s">
        <v>240</v>
      </c>
      <c r="DM3868" s="5" t="s">
        <v>240</v>
      </c>
      <c r="DN3868" s="5" t="s">
        <v>240</v>
      </c>
      <c r="DO3868" s="7" t="s">
        <v>240</v>
      </c>
      <c r="DP3868" s="5" t="s">
        <v>240</v>
      </c>
      <c r="DQ3868" s="5" t="s">
        <v>248</v>
      </c>
      <c r="DR3868" s="5" t="s">
        <v>731</v>
      </c>
      <c r="DS3868" s="5" t="s">
        <v>731</v>
      </c>
      <c r="DT3868" s="5" t="s">
        <v>240</v>
      </c>
      <c r="DU3868" s="5" t="s">
        <v>240</v>
      </c>
      <c r="DV3868" s="5" t="s">
        <v>6796</v>
      </c>
      <c r="DW3868" s="5" t="s">
        <v>621</v>
      </c>
    </row>
    <row r="3869" spans="1:240" x14ac:dyDescent="0.4">
      <c r="A3869" s="5">
        <v>9411</v>
      </c>
      <c r="B3869" s="5">
        <v>1</v>
      </c>
      <c r="C3869" s="5">
        <v>1</v>
      </c>
      <c r="D3869" s="5" t="s">
        <v>723</v>
      </c>
      <c r="E3869" s="5" t="s">
        <v>725</v>
      </c>
      <c r="F3869" s="5" t="s">
        <v>254</v>
      </c>
      <c r="G3869" s="5" t="s">
        <v>726</v>
      </c>
      <c r="H3869" s="6" t="s">
        <v>5142</v>
      </c>
      <c r="I3869" s="5" t="s">
        <v>5141</v>
      </c>
      <c r="J3869" s="7">
        <f>1</f>
        <v>1</v>
      </c>
      <c r="K3869" s="5" t="s">
        <v>3682</v>
      </c>
      <c r="L3869" s="7">
        <f>1</f>
        <v>1</v>
      </c>
      <c r="M3869" s="7">
        <f>1</f>
        <v>1</v>
      </c>
      <c r="N3869" s="5" t="s">
        <v>242</v>
      </c>
      <c r="O3869" s="5">
        <v>1</v>
      </c>
      <c r="P3869" s="5" t="s">
        <v>294</v>
      </c>
      <c r="Q3869" s="5" t="s">
        <v>2097</v>
      </c>
      <c r="T3869" s="5" t="s">
        <v>296</v>
      </c>
      <c r="U3869" s="5" t="s">
        <v>244</v>
      </c>
      <c r="V3869" s="5" t="s">
        <v>240</v>
      </c>
      <c r="Y3869" s="5" t="s">
        <v>246</v>
      </c>
      <c r="Z3869" s="6" t="s">
        <v>6927</v>
      </c>
      <c r="AA3869" s="6" t="s">
        <v>240</v>
      </c>
      <c r="AB3869" s="6" t="s">
        <v>240</v>
      </c>
      <c r="AC3869" s="5" t="s">
        <v>240</v>
      </c>
      <c r="AD3869" s="6" t="s">
        <v>240</v>
      </c>
      <c r="AE3869" s="6" t="s">
        <v>6740</v>
      </c>
      <c r="AF3869" s="5" t="s">
        <v>248</v>
      </c>
      <c r="AG3869" s="5" t="s">
        <v>249</v>
      </c>
      <c r="AM3869" s="5" t="s">
        <v>240</v>
      </c>
      <c r="AN3869" s="5" t="s">
        <v>240</v>
      </c>
      <c r="AO3869" s="5" t="s">
        <v>240</v>
      </c>
      <c r="AP3869" s="6" t="s">
        <v>240</v>
      </c>
      <c r="AQ3869" s="6" t="s">
        <v>240</v>
      </c>
      <c r="AR3869" s="6" t="s">
        <v>240</v>
      </c>
      <c r="AU3869" s="5" t="s">
        <v>729</v>
      </c>
      <c r="AV3869" s="5" t="s">
        <v>729</v>
      </c>
      <c r="AW3869" s="5" t="s">
        <v>251</v>
      </c>
      <c r="AX3869" s="5" t="s">
        <v>252</v>
      </c>
      <c r="AY3869" s="5" t="s">
        <v>253</v>
      </c>
      <c r="AZ3869" s="5" t="s">
        <v>6046</v>
      </c>
      <c r="BA3869" s="5" t="s">
        <v>255</v>
      </c>
      <c r="BB3869" s="5" t="s">
        <v>731</v>
      </c>
      <c r="BD3869" s="5" t="s">
        <v>842</v>
      </c>
      <c r="BF3869" s="5" t="s">
        <v>256</v>
      </c>
      <c r="BG3869" s="6" t="s">
        <v>6929</v>
      </c>
      <c r="BH3869" s="5" t="s">
        <v>6742</v>
      </c>
      <c r="BI3869" s="5" t="s">
        <v>6743</v>
      </c>
      <c r="BJ3869" s="5" t="s">
        <v>240</v>
      </c>
      <c r="BK3869" s="7">
        <f>0</f>
        <v>0</v>
      </c>
      <c r="BL3869" s="7">
        <f>375578</f>
        <v>375578</v>
      </c>
      <c r="BM3869" s="5" t="s">
        <v>258</v>
      </c>
      <c r="BN3869" s="5" t="s">
        <v>259</v>
      </c>
      <c r="BO3869" s="5" t="s">
        <v>6744</v>
      </c>
      <c r="BP3869" s="5" t="s">
        <v>6745</v>
      </c>
      <c r="BQ3869" s="5" t="s">
        <v>6746</v>
      </c>
      <c r="BR3869" s="5" t="s">
        <v>240</v>
      </c>
      <c r="BS3869" s="5" t="s">
        <v>258</v>
      </c>
      <c r="BT3869" s="5" t="s">
        <v>6747</v>
      </c>
      <c r="BU3869" s="5" t="s">
        <v>6747</v>
      </c>
      <c r="BW3869" s="6" t="s">
        <v>6930</v>
      </c>
      <c r="BX3869" s="5" t="s">
        <v>258</v>
      </c>
      <c r="BY3869" s="5" t="s">
        <v>240</v>
      </c>
      <c r="BZ3869" s="5" t="s">
        <v>240</v>
      </c>
      <c r="CA3869" s="5" t="s">
        <v>259</v>
      </c>
      <c r="CB3869" s="5" t="s">
        <v>240</v>
      </c>
      <c r="CC3869" s="5" t="s">
        <v>240</v>
      </c>
      <c r="CG3869" s="5" t="s">
        <v>240</v>
      </c>
      <c r="CH3869" s="5" t="s">
        <v>240</v>
      </c>
      <c r="CI3869" s="5" t="s">
        <v>260</v>
      </c>
      <c r="CK3869" s="5" t="s">
        <v>240</v>
      </c>
      <c r="CL3869" s="6" t="s">
        <v>261</v>
      </c>
      <c r="CM3869" s="5" t="s">
        <v>262</v>
      </c>
      <c r="CN3869" s="5" t="s">
        <v>263</v>
      </c>
      <c r="CO3869" s="5" t="s">
        <v>264</v>
      </c>
      <c r="CP3869" s="5" t="s">
        <v>240</v>
      </c>
      <c r="CQ3869" s="5">
        <v>0</v>
      </c>
      <c r="CR3869" s="5" t="s">
        <v>735</v>
      </c>
      <c r="CS3869" s="5" t="s">
        <v>307</v>
      </c>
      <c r="CT3869" s="5" t="s">
        <v>307</v>
      </c>
      <c r="CU3869" s="5" t="s">
        <v>260</v>
      </c>
      <c r="CV3869" s="5" t="s">
        <v>240</v>
      </c>
      <c r="CW3869" s="8">
        <f>375578</f>
        <v>375578</v>
      </c>
      <c r="CX3869" s="7">
        <f>375578</f>
        <v>375578</v>
      </c>
      <c r="CY3869" s="7">
        <f>0</f>
        <v>0</v>
      </c>
      <c r="CZ3869" s="7">
        <f>0</f>
        <v>0</v>
      </c>
      <c r="DA3869" s="7">
        <f>375578</f>
        <v>375578</v>
      </c>
      <c r="DB3869" s="7" t="s">
        <v>240</v>
      </c>
      <c r="DC3869" s="5" t="s">
        <v>240</v>
      </c>
      <c r="DD3869" s="5" t="s">
        <v>240</v>
      </c>
      <c r="DF3869" s="5" t="s">
        <v>240</v>
      </c>
      <c r="DG3869" s="7">
        <f>0</f>
        <v>0</v>
      </c>
      <c r="DH3869" s="6" t="s">
        <v>240</v>
      </c>
      <c r="DI3869" s="5" t="s">
        <v>240</v>
      </c>
      <c r="DJ3869" s="5" t="s">
        <v>240</v>
      </c>
      <c r="DK3869" s="5" t="s">
        <v>240</v>
      </c>
      <c r="DL3869" s="5" t="s">
        <v>240</v>
      </c>
      <c r="DM3869" s="5" t="s">
        <v>240</v>
      </c>
      <c r="DN3869" s="5" t="s">
        <v>240</v>
      </c>
      <c r="DO3869" s="7" t="s">
        <v>240</v>
      </c>
      <c r="DP3869" s="5" t="s">
        <v>240</v>
      </c>
      <c r="DQ3869" s="5" t="s">
        <v>248</v>
      </c>
      <c r="DR3869" s="5" t="s">
        <v>731</v>
      </c>
      <c r="DS3869" s="5" t="s">
        <v>731</v>
      </c>
      <c r="DT3869" s="5" t="s">
        <v>240</v>
      </c>
      <c r="DU3869" s="5" t="s">
        <v>240</v>
      </c>
      <c r="HR3869" s="5" t="s">
        <v>240</v>
      </c>
      <c r="HS3869" s="5" t="s">
        <v>240</v>
      </c>
      <c r="HT3869" s="5" t="s">
        <v>240</v>
      </c>
      <c r="HU3869" s="5" t="s">
        <v>240</v>
      </c>
      <c r="HV3869" s="5" t="s">
        <v>240</v>
      </c>
      <c r="HW3869" s="5" t="s">
        <v>240</v>
      </c>
      <c r="HX3869" s="5" t="s">
        <v>240</v>
      </c>
      <c r="HY3869" s="5" t="s">
        <v>240</v>
      </c>
      <c r="HZ3869" s="5" t="s">
        <v>240</v>
      </c>
      <c r="IA3869" s="5" t="s">
        <v>240</v>
      </c>
      <c r="IB3869" s="5" t="s">
        <v>240</v>
      </c>
      <c r="IC3869" s="5" t="s">
        <v>240</v>
      </c>
      <c r="ID3869" s="5" t="s">
        <v>240</v>
      </c>
      <c r="IE3869" s="5" t="s">
        <v>240</v>
      </c>
      <c r="IF3869" s="5" t="s">
        <v>240</v>
      </c>
    </row>
    <row r="3870" spans="1:240" x14ac:dyDescent="0.4">
      <c r="A3870" s="5">
        <v>9412</v>
      </c>
      <c r="B3870" s="5">
        <v>1</v>
      </c>
      <c r="C3870" s="5">
        <v>1</v>
      </c>
      <c r="D3870" s="5" t="s">
        <v>723</v>
      </c>
      <c r="E3870" s="5" t="s">
        <v>725</v>
      </c>
      <c r="F3870" s="5" t="s">
        <v>254</v>
      </c>
      <c r="G3870" s="5" t="s">
        <v>726</v>
      </c>
      <c r="H3870" s="6" t="s">
        <v>5144</v>
      </c>
      <c r="I3870" s="5" t="s">
        <v>5143</v>
      </c>
      <c r="J3870" s="7">
        <f>1</f>
        <v>1</v>
      </c>
      <c r="K3870" s="5" t="s">
        <v>3682</v>
      </c>
      <c r="L3870" s="7">
        <f>1</f>
        <v>1</v>
      </c>
      <c r="M3870" s="7">
        <f>1</f>
        <v>1</v>
      </c>
      <c r="N3870" s="5" t="s">
        <v>242</v>
      </c>
      <c r="O3870" s="5">
        <v>1</v>
      </c>
      <c r="P3870" s="5" t="s">
        <v>294</v>
      </c>
      <c r="Q3870" s="5" t="s">
        <v>2097</v>
      </c>
      <c r="T3870" s="5" t="s">
        <v>296</v>
      </c>
      <c r="U3870" s="5" t="s">
        <v>244</v>
      </c>
      <c r="V3870" s="5" t="s">
        <v>240</v>
      </c>
      <c r="Y3870" s="5" t="s">
        <v>246</v>
      </c>
      <c r="Z3870" s="6" t="s">
        <v>6932</v>
      </c>
      <c r="AA3870" s="6" t="s">
        <v>240</v>
      </c>
      <c r="AB3870" s="6" t="s">
        <v>240</v>
      </c>
      <c r="AC3870" s="5" t="s">
        <v>240</v>
      </c>
      <c r="AD3870" s="6" t="s">
        <v>240</v>
      </c>
      <c r="AE3870" s="6" t="s">
        <v>6932</v>
      </c>
      <c r="AF3870" s="5" t="s">
        <v>248</v>
      </c>
      <c r="AG3870" s="5" t="s">
        <v>249</v>
      </c>
      <c r="AM3870" s="5" t="s">
        <v>240</v>
      </c>
      <c r="AN3870" s="5" t="s">
        <v>240</v>
      </c>
      <c r="AO3870" s="5" t="s">
        <v>240</v>
      </c>
      <c r="AP3870" s="6" t="s">
        <v>240</v>
      </c>
      <c r="AQ3870" s="6" t="s">
        <v>240</v>
      </c>
      <c r="AR3870" s="6" t="s">
        <v>240</v>
      </c>
      <c r="AU3870" s="5" t="s">
        <v>729</v>
      </c>
      <c r="AV3870" s="5" t="s">
        <v>729</v>
      </c>
      <c r="AW3870" s="5" t="s">
        <v>251</v>
      </c>
      <c r="AX3870" s="5" t="s">
        <v>252</v>
      </c>
      <c r="AY3870" s="5" t="s">
        <v>253</v>
      </c>
      <c r="AZ3870" s="5" t="s">
        <v>6046</v>
      </c>
      <c r="BA3870" s="5" t="s">
        <v>255</v>
      </c>
      <c r="BB3870" s="5" t="s">
        <v>731</v>
      </c>
      <c r="BD3870" s="5" t="s">
        <v>240</v>
      </c>
      <c r="BF3870" s="5" t="s">
        <v>732</v>
      </c>
      <c r="BG3870" s="6" t="s">
        <v>6933</v>
      </c>
      <c r="BH3870" s="5" t="s">
        <v>6742</v>
      </c>
      <c r="BI3870" s="5" t="s">
        <v>6743</v>
      </c>
      <c r="BJ3870" s="5" t="s">
        <v>240</v>
      </c>
      <c r="BK3870" s="7">
        <f>0</f>
        <v>0</v>
      </c>
      <c r="BL3870" s="7">
        <f>789409</f>
        <v>789409</v>
      </c>
      <c r="BM3870" s="5" t="s">
        <v>258</v>
      </c>
      <c r="BN3870" s="5" t="s">
        <v>259</v>
      </c>
      <c r="BO3870" s="5" t="s">
        <v>6744</v>
      </c>
      <c r="BP3870" s="5" t="s">
        <v>6745</v>
      </c>
      <c r="BQ3870" s="5" t="s">
        <v>6746</v>
      </c>
      <c r="BR3870" s="5" t="s">
        <v>240</v>
      </c>
      <c r="BS3870" s="5" t="s">
        <v>258</v>
      </c>
      <c r="BT3870" s="5" t="s">
        <v>6747</v>
      </c>
      <c r="BU3870" s="5" t="s">
        <v>6747</v>
      </c>
      <c r="BW3870" s="6" t="s">
        <v>6934</v>
      </c>
      <c r="BX3870" s="5" t="s">
        <v>258</v>
      </c>
      <c r="BY3870" s="5" t="s">
        <v>240</v>
      </c>
      <c r="BZ3870" s="5" t="s">
        <v>240</v>
      </c>
      <c r="CA3870" s="5" t="s">
        <v>259</v>
      </c>
      <c r="CB3870" s="5" t="s">
        <v>240</v>
      </c>
      <c r="CC3870" s="5" t="s">
        <v>240</v>
      </c>
      <c r="CG3870" s="5" t="s">
        <v>240</v>
      </c>
      <c r="CH3870" s="5" t="s">
        <v>240</v>
      </c>
      <c r="CI3870" s="5" t="s">
        <v>260</v>
      </c>
      <c r="CK3870" s="5" t="s">
        <v>240</v>
      </c>
      <c r="CL3870" s="6" t="s">
        <v>261</v>
      </c>
      <c r="CM3870" s="5" t="s">
        <v>262</v>
      </c>
      <c r="CN3870" s="5" t="s">
        <v>263</v>
      </c>
      <c r="CO3870" s="5" t="s">
        <v>264</v>
      </c>
      <c r="CP3870" s="5" t="s">
        <v>240</v>
      </c>
      <c r="CQ3870" s="5">
        <v>0</v>
      </c>
      <c r="CR3870" s="5" t="s">
        <v>735</v>
      </c>
      <c r="CS3870" s="5" t="s">
        <v>307</v>
      </c>
      <c r="CT3870" s="5" t="s">
        <v>307</v>
      </c>
      <c r="CU3870" s="5" t="s">
        <v>260</v>
      </c>
      <c r="CV3870" s="5" t="s">
        <v>240</v>
      </c>
      <c r="CW3870" s="8">
        <f>1270383</f>
        <v>1270383</v>
      </c>
      <c r="CX3870" s="7">
        <f>1270383</f>
        <v>1270383</v>
      </c>
      <c r="CY3870" s="7">
        <f>0</f>
        <v>0</v>
      </c>
      <c r="CZ3870" s="7">
        <f>0</f>
        <v>0</v>
      </c>
      <c r="DA3870" s="7">
        <f>1270383</f>
        <v>1270383</v>
      </c>
      <c r="DB3870" s="7" t="s">
        <v>240</v>
      </c>
      <c r="DC3870" s="5" t="s">
        <v>240</v>
      </c>
      <c r="DD3870" s="5" t="s">
        <v>240</v>
      </c>
      <c r="DF3870" s="5" t="s">
        <v>240</v>
      </c>
      <c r="DG3870" s="7">
        <f>0</f>
        <v>0</v>
      </c>
      <c r="DH3870" s="6" t="s">
        <v>240</v>
      </c>
      <c r="DI3870" s="5" t="s">
        <v>240</v>
      </c>
      <c r="DJ3870" s="5" t="s">
        <v>240</v>
      </c>
      <c r="DK3870" s="5" t="s">
        <v>240</v>
      </c>
      <c r="DL3870" s="5" t="s">
        <v>240</v>
      </c>
      <c r="DM3870" s="5" t="s">
        <v>240</v>
      </c>
      <c r="DN3870" s="5" t="s">
        <v>240</v>
      </c>
      <c r="DO3870" s="7" t="s">
        <v>240</v>
      </c>
      <c r="DP3870" s="5" t="s">
        <v>240</v>
      </c>
      <c r="DQ3870" s="5" t="s">
        <v>248</v>
      </c>
      <c r="DR3870" s="5" t="s">
        <v>731</v>
      </c>
      <c r="DS3870" s="5" t="s">
        <v>731</v>
      </c>
      <c r="DT3870" s="5" t="s">
        <v>240</v>
      </c>
      <c r="DU3870" s="5" t="s">
        <v>240</v>
      </c>
      <c r="HR3870" s="5" t="s">
        <v>240</v>
      </c>
      <c r="HS3870" s="5" t="s">
        <v>240</v>
      </c>
      <c r="HT3870" s="5" t="s">
        <v>240</v>
      </c>
      <c r="HU3870" s="5" t="s">
        <v>240</v>
      </c>
      <c r="HV3870" s="5" t="s">
        <v>240</v>
      </c>
      <c r="HW3870" s="5" t="s">
        <v>240</v>
      </c>
      <c r="HX3870" s="5" t="s">
        <v>240</v>
      </c>
      <c r="HY3870" s="5" t="s">
        <v>240</v>
      </c>
      <c r="HZ3870" s="5" t="s">
        <v>240</v>
      </c>
      <c r="IA3870" s="5" t="s">
        <v>240</v>
      </c>
      <c r="IB3870" s="5" t="s">
        <v>240</v>
      </c>
      <c r="IC3870" s="5" t="s">
        <v>240</v>
      </c>
      <c r="ID3870" s="5" t="s">
        <v>240</v>
      </c>
      <c r="IE3870" s="5" t="s">
        <v>240</v>
      </c>
      <c r="IF3870" s="5" t="s">
        <v>240</v>
      </c>
    </row>
    <row r="3871" spans="1:240" x14ac:dyDescent="0.4">
      <c r="A3871" s="5">
        <v>9413</v>
      </c>
      <c r="B3871" s="5">
        <v>1</v>
      </c>
      <c r="C3871" s="5">
        <v>1</v>
      </c>
      <c r="D3871" s="5" t="s">
        <v>723</v>
      </c>
      <c r="E3871" s="5" t="s">
        <v>725</v>
      </c>
      <c r="F3871" s="5" t="s">
        <v>254</v>
      </c>
      <c r="G3871" s="5" t="s">
        <v>726</v>
      </c>
      <c r="H3871" s="6" t="s">
        <v>5152</v>
      </c>
      <c r="I3871" s="5" t="s">
        <v>5151</v>
      </c>
      <c r="J3871" s="7">
        <f>1</f>
        <v>1</v>
      </c>
      <c r="K3871" s="5" t="s">
        <v>3682</v>
      </c>
      <c r="L3871" s="7">
        <f>1</f>
        <v>1</v>
      </c>
      <c r="M3871" s="7">
        <f>1</f>
        <v>1</v>
      </c>
      <c r="N3871" s="5" t="s">
        <v>242</v>
      </c>
      <c r="O3871" s="5">
        <v>1</v>
      </c>
      <c r="P3871" s="5" t="s">
        <v>294</v>
      </c>
      <c r="Q3871" s="5" t="s">
        <v>240</v>
      </c>
      <c r="T3871" s="5" t="s">
        <v>240</v>
      </c>
      <c r="U3871" s="5" t="s">
        <v>240</v>
      </c>
      <c r="V3871" s="5" t="s">
        <v>240</v>
      </c>
      <c r="Y3871" s="5" t="s">
        <v>246</v>
      </c>
      <c r="Z3871" s="6" t="s">
        <v>6936</v>
      </c>
      <c r="AA3871" s="6" t="s">
        <v>240</v>
      </c>
      <c r="AB3871" s="6" t="s">
        <v>240</v>
      </c>
      <c r="AC3871" s="5" t="s">
        <v>240</v>
      </c>
      <c r="AD3871" s="6" t="s">
        <v>240</v>
      </c>
      <c r="AE3871" s="6" t="s">
        <v>6921</v>
      </c>
      <c r="AF3871" s="5" t="s">
        <v>248</v>
      </c>
      <c r="AG3871" s="5" t="s">
        <v>240</v>
      </c>
      <c r="AM3871" s="5" t="s">
        <v>240</v>
      </c>
      <c r="AN3871" s="5" t="s">
        <v>240</v>
      </c>
      <c r="AO3871" s="5" t="s">
        <v>240</v>
      </c>
      <c r="AP3871" s="6" t="s">
        <v>240</v>
      </c>
      <c r="AQ3871" s="6" t="s">
        <v>240</v>
      </c>
      <c r="AR3871" s="6" t="s">
        <v>240</v>
      </c>
      <c r="AU3871" s="5" t="s">
        <v>729</v>
      </c>
      <c r="AV3871" s="5" t="s">
        <v>729</v>
      </c>
      <c r="AW3871" s="5" t="s">
        <v>251</v>
      </c>
      <c r="AX3871" s="5" t="s">
        <v>252</v>
      </c>
      <c r="AY3871" s="5" t="s">
        <v>253</v>
      </c>
      <c r="AZ3871" s="5" t="s">
        <v>240</v>
      </c>
      <c r="BA3871" s="5" t="s">
        <v>255</v>
      </c>
      <c r="BB3871" s="5" t="s">
        <v>731</v>
      </c>
      <c r="BD3871" s="5" t="s">
        <v>240</v>
      </c>
      <c r="BF3871" s="5" t="s">
        <v>6763</v>
      </c>
      <c r="BG3871" s="6" t="s">
        <v>6937</v>
      </c>
      <c r="BH3871" s="5" t="s">
        <v>6742</v>
      </c>
      <c r="BI3871" s="5" t="s">
        <v>6743</v>
      </c>
      <c r="BJ3871" s="5" t="s">
        <v>240</v>
      </c>
      <c r="BK3871" s="7">
        <f>0</f>
        <v>0</v>
      </c>
      <c r="BL3871" s="7">
        <f>487000</f>
        <v>487000</v>
      </c>
      <c r="BM3871" s="5" t="s">
        <v>258</v>
      </c>
      <c r="BN3871" s="5" t="s">
        <v>259</v>
      </c>
      <c r="BO3871" s="5" t="s">
        <v>6744</v>
      </c>
      <c r="BP3871" s="5" t="s">
        <v>6745</v>
      </c>
      <c r="BQ3871" s="5" t="s">
        <v>6746</v>
      </c>
      <c r="BR3871" s="5" t="s">
        <v>240</v>
      </c>
      <c r="BS3871" s="5" t="s">
        <v>258</v>
      </c>
      <c r="BT3871" s="5" t="s">
        <v>6747</v>
      </c>
      <c r="BU3871" s="5" t="s">
        <v>6747</v>
      </c>
      <c r="BW3871" s="6" t="s">
        <v>6938</v>
      </c>
      <c r="BX3871" s="5" t="s">
        <v>258</v>
      </c>
      <c r="BY3871" s="5" t="s">
        <v>240</v>
      </c>
      <c r="BZ3871" s="5" t="s">
        <v>240</v>
      </c>
      <c r="CA3871" s="5" t="s">
        <v>259</v>
      </c>
      <c r="CB3871" s="5" t="s">
        <v>240</v>
      </c>
      <c r="CC3871" s="5" t="s">
        <v>240</v>
      </c>
      <c r="CG3871" s="5" t="s">
        <v>240</v>
      </c>
      <c r="CH3871" s="5" t="s">
        <v>240</v>
      </c>
      <c r="CI3871" s="5" t="s">
        <v>260</v>
      </c>
      <c r="CK3871" s="5" t="s">
        <v>240</v>
      </c>
      <c r="CL3871" s="6" t="s">
        <v>261</v>
      </c>
      <c r="CM3871" s="5" t="s">
        <v>262</v>
      </c>
      <c r="CN3871" s="5" t="s">
        <v>293</v>
      </c>
      <c r="CO3871" s="5" t="s">
        <v>264</v>
      </c>
      <c r="CP3871" s="5" t="s">
        <v>240</v>
      </c>
      <c r="CQ3871" s="5">
        <v>0</v>
      </c>
      <c r="CR3871" s="5" t="s">
        <v>240</v>
      </c>
      <c r="CS3871" s="5" t="s">
        <v>240</v>
      </c>
      <c r="CT3871" s="5" t="s">
        <v>240</v>
      </c>
      <c r="CU3871" s="5" t="s">
        <v>260</v>
      </c>
      <c r="CV3871" s="5" t="s">
        <v>240</v>
      </c>
      <c r="CW3871" s="8">
        <f>1620044</f>
        <v>1620044</v>
      </c>
      <c r="CX3871" s="7">
        <f>1620044</f>
        <v>1620044</v>
      </c>
      <c r="CY3871" s="7">
        <f>0</f>
        <v>0</v>
      </c>
      <c r="CZ3871" s="7">
        <f>0</f>
        <v>0</v>
      </c>
      <c r="DA3871" s="7">
        <f>1620044</f>
        <v>1620044</v>
      </c>
      <c r="DB3871" s="7" t="s">
        <v>240</v>
      </c>
      <c r="DC3871" s="5" t="s">
        <v>240</v>
      </c>
      <c r="DD3871" s="5" t="s">
        <v>240</v>
      </c>
      <c r="DF3871" s="5" t="s">
        <v>240</v>
      </c>
      <c r="DG3871" s="7">
        <f>0</f>
        <v>0</v>
      </c>
      <c r="DH3871" s="6" t="s">
        <v>240</v>
      </c>
      <c r="DI3871" s="5" t="s">
        <v>240</v>
      </c>
      <c r="DJ3871" s="5" t="s">
        <v>240</v>
      </c>
      <c r="DK3871" s="5" t="s">
        <v>240</v>
      </c>
      <c r="DL3871" s="5" t="s">
        <v>240</v>
      </c>
      <c r="DM3871" s="5" t="s">
        <v>240</v>
      </c>
      <c r="DN3871" s="5" t="s">
        <v>240</v>
      </c>
      <c r="DO3871" s="7" t="s">
        <v>240</v>
      </c>
      <c r="DP3871" s="5" t="s">
        <v>240</v>
      </c>
      <c r="DQ3871" s="5" t="s">
        <v>248</v>
      </c>
      <c r="DR3871" s="5" t="s">
        <v>731</v>
      </c>
      <c r="DS3871" s="5" t="s">
        <v>731</v>
      </c>
      <c r="DT3871" s="5" t="s">
        <v>240</v>
      </c>
      <c r="DU3871" s="5" t="s">
        <v>240</v>
      </c>
      <c r="GN3871" s="5" t="s">
        <v>6939</v>
      </c>
      <c r="HR3871" s="5" t="s">
        <v>240</v>
      </c>
      <c r="HS3871" s="5" t="s">
        <v>240</v>
      </c>
      <c r="HT3871" s="5" t="s">
        <v>240</v>
      </c>
      <c r="HU3871" s="5" t="s">
        <v>240</v>
      </c>
      <c r="HV3871" s="5" t="s">
        <v>240</v>
      </c>
      <c r="HW3871" s="5" t="s">
        <v>240</v>
      </c>
      <c r="HX3871" s="5" t="s">
        <v>240</v>
      </c>
      <c r="HY3871" s="5" t="s">
        <v>240</v>
      </c>
      <c r="HZ3871" s="5" t="s">
        <v>240</v>
      </c>
      <c r="IA3871" s="5" t="s">
        <v>240</v>
      </c>
      <c r="IB3871" s="5" t="s">
        <v>240</v>
      </c>
      <c r="IC3871" s="5" t="s">
        <v>240</v>
      </c>
      <c r="ID3871" s="5" t="s">
        <v>240</v>
      </c>
      <c r="IE3871" s="5" t="s">
        <v>240</v>
      </c>
      <c r="IF3871" s="5" t="s">
        <v>240</v>
      </c>
    </row>
    <row r="3872" spans="1:240" x14ac:dyDescent="0.4">
      <c r="A3872" s="5">
        <v>9414</v>
      </c>
      <c r="B3872" s="5">
        <v>1</v>
      </c>
      <c r="C3872" s="5">
        <v>1</v>
      </c>
      <c r="D3872" s="5" t="s">
        <v>723</v>
      </c>
      <c r="E3872" s="5" t="s">
        <v>725</v>
      </c>
      <c r="F3872" s="5" t="s">
        <v>254</v>
      </c>
      <c r="G3872" s="5" t="s">
        <v>726</v>
      </c>
      <c r="H3872" s="6" t="s">
        <v>5157</v>
      </c>
      <c r="I3872" s="5" t="s">
        <v>5156</v>
      </c>
      <c r="J3872" s="7">
        <f>1</f>
        <v>1</v>
      </c>
      <c r="K3872" s="5" t="s">
        <v>3682</v>
      </c>
      <c r="L3872" s="7">
        <f>1</f>
        <v>1</v>
      </c>
      <c r="M3872" s="7">
        <f>1</f>
        <v>1</v>
      </c>
      <c r="N3872" s="5" t="s">
        <v>242</v>
      </c>
      <c r="O3872" s="5">
        <v>1</v>
      </c>
      <c r="P3872" s="5" t="s">
        <v>294</v>
      </c>
      <c r="Q3872" s="5" t="s">
        <v>613</v>
      </c>
      <c r="T3872" s="5" t="s">
        <v>243</v>
      </c>
      <c r="U3872" s="5" t="s">
        <v>244</v>
      </c>
      <c r="V3872" s="5" t="s">
        <v>240</v>
      </c>
      <c r="Y3872" s="5" t="s">
        <v>5060</v>
      </c>
      <c r="Z3872" s="6" t="s">
        <v>6846</v>
      </c>
      <c r="AA3872" s="6" t="s">
        <v>240</v>
      </c>
      <c r="AB3872" s="6" t="s">
        <v>6846</v>
      </c>
      <c r="AC3872" s="5" t="s">
        <v>240</v>
      </c>
      <c r="AD3872" s="6" t="s">
        <v>240</v>
      </c>
      <c r="AE3872" s="6" t="s">
        <v>240</v>
      </c>
      <c r="AF3872" s="5" t="s">
        <v>248</v>
      </c>
      <c r="AG3872" s="5" t="s">
        <v>249</v>
      </c>
      <c r="AM3872" s="5" t="s">
        <v>240</v>
      </c>
      <c r="AN3872" s="5" t="s">
        <v>240</v>
      </c>
      <c r="AO3872" s="5" t="s">
        <v>240</v>
      </c>
      <c r="AP3872" s="6" t="s">
        <v>240</v>
      </c>
      <c r="AQ3872" s="6" t="s">
        <v>240</v>
      </c>
      <c r="AR3872" s="6" t="s">
        <v>240</v>
      </c>
      <c r="AU3872" s="5" t="s">
        <v>729</v>
      </c>
      <c r="AV3872" s="5" t="s">
        <v>729</v>
      </c>
      <c r="AW3872" s="5" t="s">
        <v>251</v>
      </c>
      <c r="AX3872" s="5" t="s">
        <v>252</v>
      </c>
      <c r="AY3872" s="5" t="s">
        <v>253</v>
      </c>
      <c r="AZ3872" s="5" t="s">
        <v>6046</v>
      </c>
      <c r="BA3872" s="5" t="s">
        <v>255</v>
      </c>
      <c r="BB3872" s="5" t="s">
        <v>731</v>
      </c>
      <c r="BD3872" s="5" t="s">
        <v>686</v>
      </c>
      <c r="BF3872" s="5" t="s">
        <v>732</v>
      </c>
      <c r="BG3872" s="6" t="s">
        <v>6846</v>
      </c>
      <c r="BH3872" s="5" t="s">
        <v>6799</v>
      </c>
      <c r="BI3872" s="5" t="s">
        <v>6799</v>
      </c>
      <c r="BJ3872" s="5" t="s">
        <v>240</v>
      </c>
      <c r="BK3872" s="8">
        <f>7.48</f>
        <v>7.48</v>
      </c>
      <c r="BL3872" s="7">
        <f>12021</f>
        <v>12021</v>
      </c>
      <c r="BM3872" s="5" t="s">
        <v>258</v>
      </c>
      <c r="BN3872" s="5" t="s">
        <v>259</v>
      </c>
      <c r="BO3872" s="5" t="s">
        <v>240</v>
      </c>
      <c r="BP3872" s="5" t="s">
        <v>240</v>
      </c>
      <c r="BQ3872" s="5" t="s">
        <v>240</v>
      </c>
      <c r="BR3872" s="5" t="s">
        <v>240</v>
      </c>
      <c r="BW3872" s="6" t="s">
        <v>240</v>
      </c>
      <c r="BX3872" s="5" t="s">
        <v>240</v>
      </c>
      <c r="BY3872" s="5" t="s">
        <v>240</v>
      </c>
      <c r="BZ3872" s="5" t="s">
        <v>240</v>
      </c>
      <c r="CA3872" s="5" t="s">
        <v>259</v>
      </c>
      <c r="CB3872" s="5" t="s">
        <v>240</v>
      </c>
      <c r="CC3872" s="5" t="s">
        <v>240</v>
      </c>
      <c r="CG3872" s="5" t="s">
        <v>240</v>
      </c>
      <c r="CH3872" s="5" t="s">
        <v>240</v>
      </c>
      <c r="CI3872" s="5" t="s">
        <v>260</v>
      </c>
      <c r="CJ3872" s="5" t="s">
        <v>6943</v>
      </c>
      <c r="CK3872" s="5" t="s">
        <v>240</v>
      </c>
      <c r="CL3872" s="6" t="s">
        <v>261</v>
      </c>
      <c r="CM3872" s="5" t="s">
        <v>262</v>
      </c>
      <c r="CN3872" s="5" t="s">
        <v>263</v>
      </c>
      <c r="CO3872" s="5" t="s">
        <v>264</v>
      </c>
      <c r="CP3872" s="5" t="s">
        <v>240</v>
      </c>
      <c r="CQ3872" s="5">
        <v>0</v>
      </c>
      <c r="CR3872" s="5" t="s">
        <v>735</v>
      </c>
      <c r="CS3872" s="5" t="s">
        <v>307</v>
      </c>
      <c r="CT3872" s="5" t="s">
        <v>307</v>
      </c>
      <c r="CU3872" s="5" t="s">
        <v>260</v>
      </c>
      <c r="CV3872" s="5" t="s">
        <v>240</v>
      </c>
      <c r="CW3872" s="8">
        <f>1607</f>
        <v>1607</v>
      </c>
      <c r="CX3872" s="7">
        <f>12021</f>
        <v>12021</v>
      </c>
      <c r="CY3872" s="7">
        <f>0</f>
        <v>0</v>
      </c>
      <c r="CZ3872" s="7">
        <f>0</f>
        <v>0</v>
      </c>
      <c r="DA3872" s="7">
        <f>12021</f>
        <v>12021</v>
      </c>
      <c r="DB3872" s="7" t="s">
        <v>240</v>
      </c>
      <c r="DC3872" s="5" t="s">
        <v>240</v>
      </c>
      <c r="DD3872" s="5" t="s">
        <v>240</v>
      </c>
      <c r="DF3872" s="5" t="s">
        <v>812</v>
      </c>
      <c r="DG3872" s="7">
        <f>7.48</f>
        <v>7.48</v>
      </c>
      <c r="DH3872" s="6" t="s">
        <v>6846</v>
      </c>
      <c r="DI3872" s="5" t="s">
        <v>812</v>
      </c>
      <c r="DJ3872" s="5" t="s">
        <v>240</v>
      </c>
      <c r="DK3872" s="5" t="s">
        <v>240</v>
      </c>
      <c r="DL3872" s="5" t="s">
        <v>240</v>
      </c>
      <c r="DM3872" s="5" t="s">
        <v>240</v>
      </c>
      <c r="DN3872" s="5" t="s">
        <v>240</v>
      </c>
      <c r="DO3872" s="7" t="s">
        <v>240</v>
      </c>
      <c r="DP3872" s="5" t="s">
        <v>240</v>
      </c>
      <c r="DQ3872" s="5" t="s">
        <v>248</v>
      </c>
      <c r="DR3872" s="5" t="s">
        <v>731</v>
      </c>
      <c r="DS3872" s="5" t="s">
        <v>731</v>
      </c>
      <c r="DT3872" s="5" t="s">
        <v>240</v>
      </c>
      <c r="DU3872" s="5" t="s">
        <v>240</v>
      </c>
      <c r="HR3872" s="5" t="s">
        <v>240</v>
      </c>
      <c r="HS3872" s="5" t="s">
        <v>240</v>
      </c>
      <c r="HT3872" s="5" t="s">
        <v>240</v>
      </c>
      <c r="HU3872" s="5" t="s">
        <v>240</v>
      </c>
      <c r="HV3872" s="5" t="s">
        <v>240</v>
      </c>
      <c r="HW3872" s="5" t="s">
        <v>240</v>
      </c>
      <c r="HX3872" s="5" t="s">
        <v>240</v>
      </c>
      <c r="HY3872" s="5" t="s">
        <v>240</v>
      </c>
      <c r="HZ3872" s="5" t="s">
        <v>240</v>
      </c>
      <c r="IA3872" s="5" t="s">
        <v>240</v>
      </c>
      <c r="IB3872" s="5" t="s">
        <v>240</v>
      </c>
      <c r="IC3872" s="5" t="s">
        <v>240</v>
      </c>
      <c r="ID3872" s="5" t="s">
        <v>240</v>
      </c>
      <c r="IE3872" s="5" t="s">
        <v>240</v>
      </c>
      <c r="IF3872" s="5" t="s">
        <v>240</v>
      </c>
    </row>
    <row r="3873" spans="1:240" x14ac:dyDescent="0.4">
      <c r="A3873" s="5">
        <v>9415</v>
      </c>
      <c r="B3873" s="5">
        <v>1</v>
      </c>
      <c r="C3873" s="5">
        <v>1</v>
      </c>
      <c r="D3873" s="5" t="s">
        <v>723</v>
      </c>
      <c r="E3873" s="5" t="s">
        <v>725</v>
      </c>
      <c r="F3873" s="5" t="s">
        <v>254</v>
      </c>
      <c r="G3873" s="5" t="s">
        <v>5165</v>
      </c>
      <c r="H3873" s="6" t="s">
        <v>5166</v>
      </c>
      <c r="I3873" s="5" t="s">
        <v>5164</v>
      </c>
      <c r="J3873" s="7">
        <f>1</f>
        <v>1</v>
      </c>
      <c r="K3873" s="5" t="s">
        <v>3682</v>
      </c>
      <c r="L3873" s="7">
        <f>1</f>
        <v>1</v>
      </c>
      <c r="M3873" s="7">
        <f>1</f>
        <v>1</v>
      </c>
      <c r="N3873" s="5" t="s">
        <v>242</v>
      </c>
      <c r="O3873" s="5">
        <v>1</v>
      </c>
      <c r="P3873" s="5" t="s">
        <v>294</v>
      </c>
      <c r="Q3873" s="5" t="s">
        <v>613</v>
      </c>
      <c r="T3873" s="5" t="s">
        <v>243</v>
      </c>
      <c r="U3873" s="5" t="s">
        <v>244</v>
      </c>
      <c r="V3873" s="5" t="s">
        <v>240</v>
      </c>
      <c r="Y3873" s="5" t="s">
        <v>240</v>
      </c>
      <c r="Z3873" s="6" t="s">
        <v>298</v>
      </c>
      <c r="AA3873" s="6" t="s">
        <v>240</v>
      </c>
      <c r="AB3873" s="6" t="s">
        <v>240</v>
      </c>
      <c r="AC3873" s="5" t="s">
        <v>240</v>
      </c>
      <c r="AD3873" s="6" t="s">
        <v>240</v>
      </c>
      <c r="AE3873" s="6" t="s">
        <v>299</v>
      </c>
      <c r="AF3873" s="5" t="s">
        <v>248</v>
      </c>
      <c r="AG3873" s="5" t="s">
        <v>249</v>
      </c>
      <c r="AM3873" s="5" t="s">
        <v>240</v>
      </c>
      <c r="AN3873" s="5" t="s">
        <v>240</v>
      </c>
      <c r="AO3873" s="5" t="s">
        <v>240</v>
      </c>
      <c r="AP3873" s="6" t="s">
        <v>240</v>
      </c>
      <c r="AQ3873" s="6" t="s">
        <v>240</v>
      </c>
      <c r="AW3873" s="5" t="s">
        <v>251</v>
      </c>
      <c r="AX3873" s="5" t="s">
        <v>252</v>
      </c>
      <c r="AY3873" s="5" t="s">
        <v>253</v>
      </c>
      <c r="AZ3873" s="5" t="s">
        <v>6046</v>
      </c>
      <c r="BA3873" s="5" t="s">
        <v>255</v>
      </c>
      <c r="BB3873" s="5" t="s">
        <v>731</v>
      </c>
      <c r="BD3873" s="5" t="s">
        <v>686</v>
      </c>
      <c r="BF3873" s="5" t="s">
        <v>301</v>
      </c>
      <c r="BG3873" s="6" t="s">
        <v>733</v>
      </c>
      <c r="BH3873" s="5" t="s">
        <v>302</v>
      </c>
      <c r="BI3873" s="5" t="s">
        <v>303</v>
      </c>
      <c r="BJ3873" s="5" t="s">
        <v>240</v>
      </c>
      <c r="BK3873" s="8">
        <f>0</f>
        <v>0</v>
      </c>
      <c r="BL3873" s="7">
        <f>0</f>
        <v>0</v>
      </c>
      <c r="BM3873" s="5" t="s">
        <v>258</v>
      </c>
      <c r="BN3873" s="5" t="s">
        <v>259</v>
      </c>
      <c r="BW3873" s="6" t="s">
        <v>240</v>
      </c>
      <c r="BX3873" s="5" t="s">
        <v>240</v>
      </c>
      <c r="BY3873" s="5" t="s">
        <v>240</v>
      </c>
      <c r="BZ3873" s="5" t="s">
        <v>240</v>
      </c>
      <c r="CB3873" s="5" t="s">
        <v>240</v>
      </c>
      <c r="CC3873" s="5" t="s">
        <v>240</v>
      </c>
      <c r="CG3873" s="5" t="s">
        <v>617</v>
      </c>
      <c r="CH3873" s="5" t="s">
        <v>305</v>
      </c>
      <c r="CI3873" s="5" t="s">
        <v>260</v>
      </c>
      <c r="CK3873" s="5" t="s">
        <v>240</v>
      </c>
      <c r="CL3873" s="6" t="s">
        <v>261</v>
      </c>
      <c r="CM3873" s="5" t="s">
        <v>240</v>
      </c>
      <c r="CN3873" s="5" t="s">
        <v>263</v>
      </c>
      <c r="CO3873" s="5" t="s">
        <v>240</v>
      </c>
      <c r="CP3873" s="5" t="s">
        <v>240</v>
      </c>
      <c r="CQ3873" s="5">
        <v>0</v>
      </c>
      <c r="CR3873" s="5" t="s">
        <v>735</v>
      </c>
      <c r="CS3873" s="5" t="s">
        <v>307</v>
      </c>
      <c r="CT3873" s="5" t="s">
        <v>307</v>
      </c>
      <c r="CU3873" s="5" t="s">
        <v>260</v>
      </c>
      <c r="CV3873" s="5" t="s">
        <v>240</v>
      </c>
      <c r="CW3873" s="8" t="s">
        <v>240</v>
      </c>
      <c r="CX3873" s="7">
        <f>6543110</f>
        <v>6543110</v>
      </c>
      <c r="CY3873" s="7">
        <f>0</f>
        <v>0</v>
      </c>
      <c r="CZ3873" s="7" t="s">
        <v>240</v>
      </c>
      <c r="DA3873" s="7">
        <f>0</f>
        <v>0</v>
      </c>
      <c r="DB3873" s="7" t="s">
        <v>240</v>
      </c>
      <c r="DC3873" s="5" t="s">
        <v>450</v>
      </c>
      <c r="DD3873" s="5" t="s">
        <v>240</v>
      </c>
      <c r="DF3873" s="5" t="s">
        <v>450</v>
      </c>
      <c r="DG3873" s="7">
        <f>0</f>
        <v>0</v>
      </c>
      <c r="DH3873" s="6" t="s">
        <v>240</v>
      </c>
      <c r="DI3873" s="5" t="s">
        <v>618</v>
      </c>
      <c r="DJ3873" s="5" t="s">
        <v>240</v>
      </c>
      <c r="DK3873" s="5" t="s">
        <v>240</v>
      </c>
      <c r="DL3873" s="5" t="s">
        <v>240</v>
      </c>
      <c r="DM3873" s="5" t="s">
        <v>240</v>
      </c>
      <c r="DN3873" s="5" t="s">
        <v>240</v>
      </c>
      <c r="DO3873" s="7" t="s">
        <v>240</v>
      </c>
      <c r="DP3873" s="5" t="s">
        <v>240</v>
      </c>
      <c r="DQ3873" s="5" t="s">
        <v>248</v>
      </c>
      <c r="DR3873" s="5" t="s">
        <v>731</v>
      </c>
      <c r="DS3873" s="5" t="s">
        <v>731</v>
      </c>
      <c r="DT3873" s="5" t="s">
        <v>240</v>
      </c>
      <c r="DU3873" s="5" t="s">
        <v>240</v>
      </c>
      <c r="DV3873" s="5" t="s">
        <v>6839</v>
      </c>
      <c r="DW3873" s="5" t="s">
        <v>795</v>
      </c>
    </row>
    <row r="3874" spans="1:240" x14ac:dyDescent="0.4">
      <c r="A3874" s="5">
        <v>9416</v>
      </c>
      <c r="B3874" s="5">
        <v>1</v>
      </c>
      <c r="C3874" s="5">
        <v>1</v>
      </c>
      <c r="D3874" s="5" t="s">
        <v>723</v>
      </c>
      <c r="E3874" s="5" t="s">
        <v>725</v>
      </c>
      <c r="F3874" s="5" t="s">
        <v>254</v>
      </c>
      <c r="G3874" s="5" t="s">
        <v>726</v>
      </c>
      <c r="H3874" s="6" t="s">
        <v>5173</v>
      </c>
      <c r="I3874" s="5" t="s">
        <v>5172</v>
      </c>
      <c r="J3874" s="7">
        <f>1</f>
        <v>1</v>
      </c>
      <c r="K3874" s="5" t="s">
        <v>3682</v>
      </c>
      <c r="L3874" s="7">
        <f>1</f>
        <v>1</v>
      </c>
      <c r="M3874" s="7">
        <f>1</f>
        <v>1</v>
      </c>
      <c r="N3874" s="5" t="s">
        <v>242</v>
      </c>
      <c r="O3874" s="5">
        <v>1</v>
      </c>
      <c r="P3874" s="5" t="s">
        <v>294</v>
      </c>
      <c r="Q3874" s="5" t="s">
        <v>613</v>
      </c>
      <c r="T3874" s="5" t="s">
        <v>243</v>
      </c>
      <c r="U3874" s="5" t="s">
        <v>244</v>
      </c>
      <c r="V3874" s="5" t="s">
        <v>240</v>
      </c>
      <c r="Y3874" s="5" t="s">
        <v>240</v>
      </c>
      <c r="Z3874" s="6" t="s">
        <v>298</v>
      </c>
      <c r="AA3874" s="6" t="s">
        <v>240</v>
      </c>
      <c r="AB3874" s="6" t="s">
        <v>240</v>
      </c>
      <c r="AD3874" s="6" t="s">
        <v>240</v>
      </c>
      <c r="AE3874" s="6" t="s">
        <v>299</v>
      </c>
      <c r="AF3874" s="5" t="s">
        <v>248</v>
      </c>
      <c r="AG3874" s="5" t="s">
        <v>249</v>
      </c>
      <c r="AR3874" s="6" t="s">
        <v>240</v>
      </c>
      <c r="AU3874" s="5" t="s">
        <v>729</v>
      </c>
      <c r="AV3874" s="5" t="s">
        <v>729</v>
      </c>
      <c r="AW3874" s="5" t="s">
        <v>251</v>
      </c>
      <c r="AX3874" s="5" t="s">
        <v>6831</v>
      </c>
      <c r="AY3874" s="5" t="s">
        <v>253</v>
      </c>
      <c r="AZ3874" s="5" t="s">
        <v>240</v>
      </c>
      <c r="BA3874" s="5" t="s">
        <v>255</v>
      </c>
      <c r="BB3874" s="5" t="s">
        <v>240</v>
      </c>
      <c r="BD3874" s="5" t="s">
        <v>686</v>
      </c>
      <c r="BF3874" s="5" t="s">
        <v>732</v>
      </c>
      <c r="BG3874" s="6" t="s">
        <v>733</v>
      </c>
      <c r="BH3874" s="5" t="s">
        <v>6945</v>
      </c>
      <c r="BI3874" s="5" t="s">
        <v>303</v>
      </c>
      <c r="BJ3874" s="5" t="s">
        <v>240</v>
      </c>
      <c r="BK3874" s="8">
        <f>-3079</f>
        <v>-3079</v>
      </c>
      <c r="BL3874" s="7">
        <f>0</f>
        <v>0</v>
      </c>
      <c r="BM3874" s="5" t="s">
        <v>258</v>
      </c>
      <c r="BN3874" s="5" t="s">
        <v>259</v>
      </c>
      <c r="BO3874" s="5" t="s">
        <v>240</v>
      </c>
      <c r="BP3874" s="5" t="s">
        <v>240</v>
      </c>
      <c r="BQ3874" s="5" t="s">
        <v>240</v>
      </c>
      <c r="BR3874" s="5" t="s">
        <v>240</v>
      </c>
      <c r="CA3874" s="5" t="s">
        <v>259</v>
      </c>
      <c r="CB3874" s="5" t="s">
        <v>240</v>
      </c>
      <c r="CC3874" s="5" t="s">
        <v>240</v>
      </c>
      <c r="CG3874" s="5" t="s">
        <v>617</v>
      </c>
      <c r="CH3874" s="5" t="s">
        <v>305</v>
      </c>
      <c r="CI3874" s="5" t="s">
        <v>240</v>
      </c>
      <c r="CL3874" s="6" t="s">
        <v>261</v>
      </c>
      <c r="CM3874" s="5" t="s">
        <v>262</v>
      </c>
      <c r="CN3874" s="5" t="s">
        <v>293</v>
      </c>
      <c r="CO3874" s="5" t="s">
        <v>264</v>
      </c>
      <c r="CP3874" s="5" t="s">
        <v>240</v>
      </c>
      <c r="CQ3874" s="5">
        <v>0</v>
      </c>
      <c r="CR3874" s="5" t="s">
        <v>306</v>
      </c>
      <c r="CS3874" s="5" t="s">
        <v>307</v>
      </c>
      <c r="CT3874" s="5" t="s">
        <v>307</v>
      </c>
      <c r="CU3874" s="5" t="s">
        <v>260</v>
      </c>
      <c r="CW3874" s="8">
        <f>0</f>
        <v>0</v>
      </c>
      <c r="CX3874" s="7">
        <f>5633498</f>
        <v>5633498</v>
      </c>
      <c r="CY3874" s="7">
        <f>0</f>
        <v>0</v>
      </c>
      <c r="DA3874" s="7">
        <f>5633498</f>
        <v>5633498</v>
      </c>
      <c r="DC3874" s="5" t="s">
        <v>240</v>
      </c>
      <c r="DD3874" s="5" t="s">
        <v>240</v>
      </c>
      <c r="DF3874" s="5" t="s">
        <v>689</v>
      </c>
      <c r="DG3874" s="7">
        <f>0</f>
        <v>0</v>
      </c>
      <c r="DI3874" s="5" t="s">
        <v>618</v>
      </c>
      <c r="DJ3874" s="5" t="s">
        <v>240</v>
      </c>
      <c r="DK3874" s="5" t="s">
        <v>240</v>
      </c>
      <c r="DL3874" s="5" t="s">
        <v>240</v>
      </c>
      <c r="DM3874" s="5" t="s">
        <v>240</v>
      </c>
      <c r="DP3874" s="5" t="s">
        <v>240</v>
      </c>
      <c r="DQ3874" s="5" t="s">
        <v>240</v>
      </c>
      <c r="DR3874" s="5" t="s">
        <v>240</v>
      </c>
      <c r="DS3874" s="5" t="s">
        <v>240</v>
      </c>
      <c r="DV3874" s="5" t="s">
        <v>619</v>
      </c>
      <c r="DW3874" s="5" t="s">
        <v>312</v>
      </c>
      <c r="HO3874" s="5" t="s">
        <v>312</v>
      </c>
      <c r="HR3874" s="5" t="s">
        <v>240</v>
      </c>
      <c r="HS3874" s="5" t="s">
        <v>240</v>
      </c>
      <c r="HT3874" s="5" t="s">
        <v>240</v>
      </c>
      <c r="HU3874" s="5" t="s">
        <v>240</v>
      </c>
      <c r="HV3874" s="5" t="s">
        <v>240</v>
      </c>
      <c r="HW3874" s="5" t="s">
        <v>240</v>
      </c>
      <c r="HX3874" s="5" t="s">
        <v>240</v>
      </c>
      <c r="HY3874" s="5" t="s">
        <v>240</v>
      </c>
      <c r="HZ3874" s="5" t="s">
        <v>240</v>
      </c>
      <c r="IA3874" s="5" t="s">
        <v>240</v>
      </c>
      <c r="IB3874" s="5" t="s">
        <v>240</v>
      </c>
      <c r="IC3874" s="5" t="s">
        <v>240</v>
      </c>
      <c r="ID3874" s="5" t="s">
        <v>240</v>
      </c>
      <c r="IE3874" s="5" t="s">
        <v>240</v>
      </c>
      <c r="IF3874" s="5" t="s">
        <v>240</v>
      </c>
    </row>
    <row r="3875" spans="1:240" x14ac:dyDescent="0.4">
      <c r="A3875" s="5">
        <v>9417</v>
      </c>
      <c r="B3875" s="5">
        <v>1</v>
      </c>
      <c r="C3875" s="5">
        <v>1</v>
      </c>
      <c r="D3875" s="5" t="s">
        <v>723</v>
      </c>
      <c r="E3875" s="5" t="s">
        <v>725</v>
      </c>
      <c r="F3875" s="5" t="s">
        <v>254</v>
      </c>
      <c r="G3875" s="5" t="s">
        <v>5182</v>
      </c>
      <c r="H3875" s="6" t="s">
        <v>5183</v>
      </c>
      <c r="I3875" s="5" t="s">
        <v>5181</v>
      </c>
      <c r="J3875" s="7">
        <f>1</f>
        <v>1</v>
      </c>
      <c r="K3875" s="5" t="s">
        <v>3682</v>
      </c>
      <c r="L3875" s="7">
        <f>1</f>
        <v>1</v>
      </c>
      <c r="M3875" s="7">
        <f>1</f>
        <v>1</v>
      </c>
      <c r="N3875" s="5" t="s">
        <v>242</v>
      </c>
      <c r="O3875" s="5">
        <v>1</v>
      </c>
      <c r="P3875" s="5" t="s">
        <v>294</v>
      </c>
      <c r="Q3875" s="5" t="s">
        <v>2097</v>
      </c>
      <c r="T3875" s="5" t="s">
        <v>296</v>
      </c>
      <c r="U3875" s="5" t="s">
        <v>244</v>
      </c>
      <c r="V3875" s="5" t="s">
        <v>240</v>
      </c>
      <c r="Y3875" s="5" t="s">
        <v>246</v>
      </c>
      <c r="Z3875" s="6" t="s">
        <v>6947</v>
      </c>
      <c r="AA3875" s="6" t="s">
        <v>240</v>
      </c>
      <c r="AB3875" s="6" t="s">
        <v>240</v>
      </c>
      <c r="AC3875" s="5" t="s">
        <v>240</v>
      </c>
      <c r="AD3875" s="6" t="s">
        <v>240</v>
      </c>
      <c r="AE3875" s="6" t="s">
        <v>6947</v>
      </c>
      <c r="AF3875" s="5" t="s">
        <v>248</v>
      </c>
      <c r="AG3875" s="5" t="s">
        <v>249</v>
      </c>
      <c r="AM3875" s="5" t="s">
        <v>240</v>
      </c>
      <c r="AN3875" s="5" t="s">
        <v>240</v>
      </c>
      <c r="AO3875" s="5" t="s">
        <v>240</v>
      </c>
      <c r="AP3875" s="6" t="s">
        <v>240</v>
      </c>
      <c r="AQ3875" s="6" t="s">
        <v>240</v>
      </c>
      <c r="AR3875" s="6" t="s">
        <v>240</v>
      </c>
      <c r="AU3875" s="5" t="s">
        <v>729</v>
      </c>
      <c r="AV3875" s="5" t="s">
        <v>729</v>
      </c>
      <c r="AW3875" s="5" t="s">
        <v>251</v>
      </c>
      <c r="AX3875" s="5" t="s">
        <v>252</v>
      </c>
      <c r="AY3875" s="5" t="s">
        <v>253</v>
      </c>
      <c r="AZ3875" s="5" t="s">
        <v>6046</v>
      </c>
      <c r="BA3875" s="5" t="s">
        <v>255</v>
      </c>
      <c r="BB3875" s="5" t="s">
        <v>731</v>
      </c>
      <c r="BD3875" s="5" t="s">
        <v>240</v>
      </c>
      <c r="BF3875" s="5" t="s">
        <v>732</v>
      </c>
      <c r="BG3875" s="6" t="s">
        <v>6804</v>
      </c>
      <c r="BH3875" s="5" t="s">
        <v>6742</v>
      </c>
      <c r="BI3875" s="5" t="s">
        <v>6743</v>
      </c>
      <c r="BJ3875" s="5" t="s">
        <v>240</v>
      </c>
      <c r="BK3875" s="7">
        <f>0</f>
        <v>0</v>
      </c>
      <c r="BL3875" s="7">
        <f>179800</f>
        <v>179800</v>
      </c>
      <c r="BM3875" s="5" t="s">
        <v>258</v>
      </c>
      <c r="BN3875" s="5" t="s">
        <v>259</v>
      </c>
      <c r="BO3875" s="5" t="s">
        <v>6744</v>
      </c>
      <c r="BP3875" s="5" t="s">
        <v>6745</v>
      </c>
      <c r="BQ3875" s="5" t="s">
        <v>6746</v>
      </c>
      <c r="BR3875" s="5" t="s">
        <v>240</v>
      </c>
      <c r="BS3875" s="5" t="s">
        <v>258</v>
      </c>
      <c r="BT3875" s="5" t="s">
        <v>6747</v>
      </c>
      <c r="BU3875" s="5" t="s">
        <v>6747</v>
      </c>
      <c r="BW3875" s="6" t="s">
        <v>6949</v>
      </c>
      <c r="BX3875" s="5" t="s">
        <v>258</v>
      </c>
      <c r="BY3875" s="5" t="s">
        <v>240</v>
      </c>
      <c r="BZ3875" s="5" t="s">
        <v>240</v>
      </c>
      <c r="CA3875" s="5" t="s">
        <v>259</v>
      </c>
      <c r="CB3875" s="5" t="s">
        <v>240</v>
      </c>
      <c r="CC3875" s="5" t="s">
        <v>240</v>
      </c>
      <c r="CG3875" s="5" t="s">
        <v>240</v>
      </c>
      <c r="CH3875" s="5" t="s">
        <v>240</v>
      </c>
      <c r="CI3875" s="5" t="s">
        <v>260</v>
      </c>
      <c r="CK3875" s="5" t="s">
        <v>240</v>
      </c>
      <c r="CL3875" s="6" t="s">
        <v>261</v>
      </c>
      <c r="CM3875" s="5" t="s">
        <v>262</v>
      </c>
      <c r="CN3875" s="5" t="s">
        <v>263</v>
      </c>
      <c r="CO3875" s="5" t="s">
        <v>264</v>
      </c>
      <c r="CP3875" s="5" t="s">
        <v>240</v>
      </c>
      <c r="CQ3875" s="5">
        <v>0</v>
      </c>
      <c r="CR3875" s="5" t="s">
        <v>735</v>
      </c>
      <c r="CS3875" s="5" t="s">
        <v>307</v>
      </c>
      <c r="CT3875" s="5" t="s">
        <v>307</v>
      </c>
      <c r="CU3875" s="5" t="s">
        <v>260</v>
      </c>
      <c r="CV3875" s="5" t="s">
        <v>240</v>
      </c>
      <c r="CW3875" s="8">
        <f>308606</f>
        <v>308606</v>
      </c>
      <c r="CX3875" s="7">
        <f>308606</f>
        <v>308606</v>
      </c>
      <c r="CY3875" s="7">
        <f>0</f>
        <v>0</v>
      </c>
      <c r="CZ3875" s="7">
        <f>0</f>
        <v>0</v>
      </c>
      <c r="DA3875" s="7">
        <f>308606</f>
        <v>308606</v>
      </c>
      <c r="DB3875" s="7" t="s">
        <v>240</v>
      </c>
      <c r="DC3875" s="5" t="s">
        <v>240</v>
      </c>
      <c r="DD3875" s="5" t="s">
        <v>240</v>
      </c>
      <c r="DF3875" s="5" t="s">
        <v>240</v>
      </c>
      <c r="DG3875" s="7">
        <f>0</f>
        <v>0</v>
      </c>
      <c r="DH3875" s="6" t="s">
        <v>240</v>
      </c>
      <c r="DI3875" s="5" t="s">
        <v>240</v>
      </c>
      <c r="DJ3875" s="5" t="s">
        <v>240</v>
      </c>
      <c r="DK3875" s="5" t="s">
        <v>240</v>
      </c>
      <c r="DL3875" s="5" t="s">
        <v>240</v>
      </c>
      <c r="DM3875" s="5" t="s">
        <v>240</v>
      </c>
      <c r="DN3875" s="5" t="s">
        <v>240</v>
      </c>
      <c r="DO3875" s="7" t="s">
        <v>240</v>
      </c>
      <c r="DP3875" s="5" t="s">
        <v>240</v>
      </c>
      <c r="DQ3875" s="5" t="s">
        <v>248</v>
      </c>
      <c r="DR3875" s="5" t="s">
        <v>731</v>
      </c>
      <c r="DS3875" s="5" t="s">
        <v>731</v>
      </c>
      <c r="DT3875" s="5" t="s">
        <v>240</v>
      </c>
      <c r="DU3875" s="5" t="s">
        <v>240</v>
      </c>
      <c r="HR3875" s="5" t="s">
        <v>240</v>
      </c>
      <c r="HS3875" s="5" t="s">
        <v>240</v>
      </c>
      <c r="HT3875" s="5" t="s">
        <v>240</v>
      </c>
      <c r="HU3875" s="5" t="s">
        <v>240</v>
      </c>
      <c r="HV3875" s="5" t="s">
        <v>240</v>
      </c>
      <c r="HW3875" s="5" t="s">
        <v>240</v>
      </c>
      <c r="HX3875" s="5" t="s">
        <v>240</v>
      </c>
      <c r="HY3875" s="5" t="s">
        <v>240</v>
      </c>
      <c r="HZ3875" s="5" t="s">
        <v>240</v>
      </c>
      <c r="IA3875" s="5" t="s">
        <v>240</v>
      </c>
      <c r="IB3875" s="5" t="s">
        <v>240</v>
      </c>
      <c r="IC3875" s="5" t="s">
        <v>240</v>
      </c>
      <c r="ID3875" s="5" t="s">
        <v>240</v>
      </c>
      <c r="IE3875" s="5" t="s">
        <v>240</v>
      </c>
      <c r="IF3875" s="5" t="s">
        <v>240</v>
      </c>
    </row>
    <row r="3876" spans="1:240" x14ac:dyDescent="0.4">
      <c r="A3876" s="5">
        <v>9418</v>
      </c>
      <c r="B3876" s="5">
        <v>1</v>
      </c>
      <c r="C3876" s="5">
        <v>1</v>
      </c>
      <c r="D3876" s="5" t="s">
        <v>723</v>
      </c>
      <c r="E3876" s="5" t="s">
        <v>725</v>
      </c>
      <c r="F3876" s="5" t="s">
        <v>254</v>
      </c>
      <c r="G3876" s="5" t="s">
        <v>726</v>
      </c>
      <c r="H3876" s="6" t="s">
        <v>5189</v>
      </c>
      <c r="I3876" s="5" t="s">
        <v>5188</v>
      </c>
      <c r="J3876" s="7">
        <f>1</f>
        <v>1</v>
      </c>
      <c r="K3876" s="5" t="s">
        <v>3682</v>
      </c>
      <c r="L3876" s="7">
        <f>1</f>
        <v>1</v>
      </c>
      <c r="M3876" s="7">
        <f>1</f>
        <v>1</v>
      </c>
      <c r="N3876" s="5" t="s">
        <v>242</v>
      </c>
      <c r="O3876" s="5">
        <v>1</v>
      </c>
      <c r="P3876" s="5" t="s">
        <v>294</v>
      </c>
      <c r="Q3876" s="5" t="s">
        <v>2097</v>
      </c>
      <c r="T3876" s="5" t="s">
        <v>296</v>
      </c>
      <c r="U3876" s="5" t="s">
        <v>244</v>
      </c>
      <c r="V3876" s="5" t="s">
        <v>240</v>
      </c>
      <c r="Y3876" s="5" t="s">
        <v>246</v>
      </c>
      <c r="Z3876" s="6" t="s">
        <v>6951</v>
      </c>
      <c r="AA3876" s="6" t="s">
        <v>240</v>
      </c>
      <c r="AB3876" s="6" t="s">
        <v>240</v>
      </c>
      <c r="AC3876" s="5" t="s">
        <v>240</v>
      </c>
      <c r="AD3876" s="6" t="s">
        <v>240</v>
      </c>
      <c r="AE3876" s="6" t="s">
        <v>6951</v>
      </c>
      <c r="AF3876" s="5" t="s">
        <v>248</v>
      </c>
      <c r="AG3876" s="5" t="s">
        <v>249</v>
      </c>
      <c r="AM3876" s="5" t="s">
        <v>240</v>
      </c>
      <c r="AN3876" s="5" t="s">
        <v>240</v>
      </c>
      <c r="AO3876" s="5" t="s">
        <v>240</v>
      </c>
      <c r="AP3876" s="6" t="s">
        <v>240</v>
      </c>
      <c r="AQ3876" s="6" t="s">
        <v>240</v>
      </c>
      <c r="AR3876" s="6" t="s">
        <v>240</v>
      </c>
      <c r="AU3876" s="5" t="s">
        <v>729</v>
      </c>
      <c r="AV3876" s="5" t="s">
        <v>729</v>
      </c>
      <c r="AW3876" s="5" t="s">
        <v>251</v>
      </c>
      <c r="AX3876" s="5" t="s">
        <v>252</v>
      </c>
      <c r="AY3876" s="5" t="s">
        <v>253</v>
      </c>
      <c r="AZ3876" s="5" t="s">
        <v>6046</v>
      </c>
      <c r="BA3876" s="5" t="s">
        <v>255</v>
      </c>
      <c r="BB3876" s="5" t="s">
        <v>731</v>
      </c>
      <c r="BD3876" s="5" t="s">
        <v>240</v>
      </c>
      <c r="BF3876" s="5" t="s">
        <v>732</v>
      </c>
      <c r="BG3876" s="6" t="s">
        <v>6952</v>
      </c>
      <c r="BH3876" s="5" t="s">
        <v>6742</v>
      </c>
      <c r="BI3876" s="5" t="s">
        <v>6743</v>
      </c>
      <c r="BJ3876" s="5" t="s">
        <v>240</v>
      </c>
      <c r="BK3876" s="7">
        <f>0</f>
        <v>0</v>
      </c>
      <c r="BL3876" s="7">
        <f>159750</f>
        <v>159750</v>
      </c>
      <c r="BM3876" s="5" t="s">
        <v>258</v>
      </c>
      <c r="BN3876" s="5" t="s">
        <v>259</v>
      </c>
      <c r="BO3876" s="5" t="s">
        <v>6744</v>
      </c>
      <c r="BP3876" s="5" t="s">
        <v>6745</v>
      </c>
      <c r="BQ3876" s="5" t="s">
        <v>6746</v>
      </c>
      <c r="BR3876" s="5" t="s">
        <v>240</v>
      </c>
      <c r="BS3876" s="5" t="s">
        <v>258</v>
      </c>
      <c r="BT3876" s="5" t="s">
        <v>6747</v>
      </c>
      <c r="BU3876" s="5" t="s">
        <v>6747</v>
      </c>
      <c r="BW3876" s="6" t="s">
        <v>6953</v>
      </c>
      <c r="BX3876" s="5" t="s">
        <v>258</v>
      </c>
      <c r="BY3876" s="5" t="s">
        <v>240</v>
      </c>
      <c r="BZ3876" s="5" t="s">
        <v>240</v>
      </c>
      <c r="CA3876" s="5" t="s">
        <v>259</v>
      </c>
      <c r="CB3876" s="5" t="s">
        <v>240</v>
      </c>
      <c r="CC3876" s="5" t="s">
        <v>240</v>
      </c>
      <c r="CG3876" s="5" t="s">
        <v>240</v>
      </c>
      <c r="CH3876" s="5" t="s">
        <v>240</v>
      </c>
      <c r="CI3876" s="5" t="s">
        <v>260</v>
      </c>
      <c r="CK3876" s="5" t="s">
        <v>240</v>
      </c>
      <c r="CL3876" s="6" t="s">
        <v>261</v>
      </c>
      <c r="CM3876" s="5" t="s">
        <v>262</v>
      </c>
      <c r="CN3876" s="5" t="s">
        <v>263</v>
      </c>
      <c r="CO3876" s="5" t="s">
        <v>264</v>
      </c>
      <c r="CP3876" s="5" t="s">
        <v>240</v>
      </c>
      <c r="CQ3876" s="5">
        <v>0</v>
      </c>
      <c r="CR3876" s="5" t="s">
        <v>735</v>
      </c>
      <c r="CS3876" s="5" t="s">
        <v>307</v>
      </c>
      <c r="CT3876" s="5" t="s">
        <v>307</v>
      </c>
      <c r="CU3876" s="5" t="s">
        <v>260</v>
      </c>
      <c r="CV3876" s="5" t="s">
        <v>240</v>
      </c>
      <c r="CW3876" s="8">
        <f>0</f>
        <v>0</v>
      </c>
      <c r="CX3876" s="7">
        <f>159750</f>
        <v>159750</v>
      </c>
      <c r="CY3876" s="7">
        <f>0</f>
        <v>0</v>
      </c>
      <c r="CZ3876" s="7">
        <f>0</f>
        <v>0</v>
      </c>
      <c r="DA3876" s="7">
        <f>159750</f>
        <v>159750</v>
      </c>
      <c r="DB3876" s="7" t="s">
        <v>240</v>
      </c>
      <c r="DC3876" s="5" t="s">
        <v>240</v>
      </c>
      <c r="DD3876" s="5" t="s">
        <v>240</v>
      </c>
      <c r="DF3876" s="5" t="s">
        <v>240</v>
      </c>
      <c r="DG3876" s="7">
        <f>0</f>
        <v>0</v>
      </c>
      <c r="DH3876" s="6" t="s">
        <v>240</v>
      </c>
      <c r="DI3876" s="5" t="s">
        <v>240</v>
      </c>
      <c r="DJ3876" s="5" t="s">
        <v>240</v>
      </c>
      <c r="DK3876" s="5" t="s">
        <v>240</v>
      </c>
      <c r="DL3876" s="5" t="s">
        <v>240</v>
      </c>
      <c r="DM3876" s="5" t="s">
        <v>240</v>
      </c>
      <c r="DN3876" s="5" t="s">
        <v>240</v>
      </c>
      <c r="DO3876" s="7" t="s">
        <v>240</v>
      </c>
      <c r="DP3876" s="5" t="s">
        <v>240</v>
      </c>
      <c r="DQ3876" s="5" t="s">
        <v>248</v>
      </c>
      <c r="DR3876" s="5" t="s">
        <v>731</v>
      </c>
      <c r="DS3876" s="5" t="s">
        <v>731</v>
      </c>
      <c r="DT3876" s="5" t="s">
        <v>240</v>
      </c>
      <c r="DU3876" s="5" t="s">
        <v>240</v>
      </c>
      <c r="HR3876" s="5" t="s">
        <v>240</v>
      </c>
      <c r="HS3876" s="5" t="s">
        <v>240</v>
      </c>
      <c r="HT3876" s="5" t="s">
        <v>240</v>
      </c>
      <c r="HU3876" s="5" t="s">
        <v>240</v>
      </c>
      <c r="HV3876" s="5" t="s">
        <v>240</v>
      </c>
      <c r="HW3876" s="5" t="s">
        <v>240</v>
      </c>
      <c r="HX3876" s="5" t="s">
        <v>240</v>
      </c>
      <c r="HY3876" s="5" t="s">
        <v>240</v>
      </c>
      <c r="HZ3876" s="5" t="s">
        <v>240</v>
      </c>
      <c r="IA3876" s="5" t="s">
        <v>240</v>
      </c>
      <c r="IB3876" s="5" t="s">
        <v>240</v>
      </c>
      <c r="IC3876" s="5" t="s">
        <v>240</v>
      </c>
      <c r="ID3876" s="5" t="s">
        <v>240</v>
      </c>
      <c r="IE3876" s="5" t="s">
        <v>240</v>
      </c>
      <c r="IF3876" s="5" t="s">
        <v>240</v>
      </c>
    </row>
    <row r="3877" spans="1:240" x14ac:dyDescent="0.4">
      <c r="A3877" s="5">
        <v>9419</v>
      </c>
      <c r="B3877" s="5">
        <v>1</v>
      </c>
      <c r="C3877" s="5">
        <v>1</v>
      </c>
      <c r="D3877" s="5" t="s">
        <v>723</v>
      </c>
      <c r="E3877" s="5" t="s">
        <v>725</v>
      </c>
      <c r="F3877" s="5" t="s">
        <v>254</v>
      </c>
      <c r="G3877" s="5" t="s">
        <v>5200</v>
      </c>
      <c r="H3877" s="6" t="s">
        <v>5201</v>
      </c>
      <c r="I3877" s="5" t="s">
        <v>5199</v>
      </c>
      <c r="J3877" s="7">
        <f>1</f>
        <v>1</v>
      </c>
      <c r="K3877" s="5" t="s">
        <v>3682</v>
      </c>
      <c r="L3877" s="7">
        <f>1</f>
        <v>1</v>
      </c>
      <c r="M3877" s="7">
        <f>1</f>
        <v>1</v>
      </c>
      <c r="N3877" s="5" t="s">
        <v>242</v>
      </c>
      <c r="O3877" s="5">
        <v>1</v>
      </c>
      <c r="P3877" s="5" t="s">
        <v>294</v>
      </c>
      <c r="Q3877" s="5" t="s">
        <v>613</v>
      </c>
      <c r="T3877" s="5" t="s">
        <v>243</v>
      </c>
      <c r="U3877" s="5" t="s">
        <v>244</v>
      </c>
      <c r="V3877" s="5" t="s">
        <v>240</v>
      </c>
      <c r="Y3877" s="5" t="s">
        <v>240</v>
      </c>
      <c r="Z3877" s="6" t="s">
        <v>298</v>
      </c>
      <c r="AA3877" s="6" t="s">
        <v>240</v>
      </c>
      <c r="AB3877" s="6" t="s">
        <v>240</v>
      </c>
      <c r="AC3877" s="5" t="s">
        <v>240</v>
      </c>
      <c r="AD3877" s="6" t="s">
        <v>240</v>
      </c>
      <c r="AE3877" s="6" t="s">
        <v>299</v>
      </c>
      <c r="AF3877" s="5" t="s">
        <v>248</v>
      </c>
      <c r="AG3877" s="5" t="s">
        <v>249</v>
      </c>
      <c r="AM3877" s="5" t="s">
        <v>240</v>
      </c>
      <c r="AN3877" s="5" t="s">
        <v>240</v>
      </c>
      <c r="AO3877" s="5" t="s">
        <v>240</v>
      </c>
      <c r="AP3877" s="6" t="s">
        <v>240</v>
      </c>
      <c r="AQ3877" s="6" t="s">
        <v>240</v>
      </c>
      <c r="AW3877" s="5" t="s">
        <v>251</v>
      </c>
      <c r="AX3877" s="5" t="s">
        <v>252</v>
      </c>
      <c r="AY3877" s="5" t="s">
        <v>253</v>
      </c>
      <c r="AZ3877" s="5" t="s">
        <v>6046</v>
      </c>
      <c r="BA3877" s="5" t="s">
        <v>255</v>
      </c>
      <c r="BB3877" s="5" t="s">
        <v>731</v>
      </c>
      <c r="BD3877" s="5" t="s">
        <v>686</v>
      </c>
      <c r="BF3877" s="5" t="s">
        <v>301</v>
      </c>
      <c r="BG3877" s="6" t="s">
        <v>733</v>
      </c>
      <c r="BH3877" s="5" t="s">
        <v>302</v>
      </c>
      <c r="BI3877" s="5" t="s">
        <v>303</v>
      </c>
      <c r="BJ3877" s="5" t="s">
        <v>240</v>
      </c>
      <c r="BK3877" s="8">
        <f>0</f>
        <v>0</v>
      </c>
      <c r="BL3877" s="7">
        <f>0</f>
        <v>0</v>
      </c>
      <c r="BM3877" s="5" t="s">
        <v>258</v>
      </c>
      <c r="BN3877" s="5" t="s">
        <v>259</v>
      </c>
      <c r="BW3877" s="6" t="s">
        <v>240</v>
      </c>
      <c r="BX3877" s="5" t="s">
        <v>240</v>
      </c>
      <c r="BY3877" s="5" t="s">
        <v>240</v>
      </c>
      <c r="BZ3877" s="5" t="s">
        <v>240</v>
      </c>
      <c r="CB3877" s="5" t="s">
        <v>240</v>
      </c>
      <c r="CC3877" s="5" t="s">
        <v>240</v>
      </c>
      <c r="CG3877" s="5" t="s">
        <v>617</v>
      </c>
      <c r="CH3877" s="5" t="s">
        <v>305</v>
      </c>
      <c r="CI3877" s="5" t="s">
        <v>260</v>
      </c>
      <c r="CK3877" s="5" t="s">
        <v>240</v>
      </c>
      <c r="CL3877" s="6" t="s">
        <v>261</v>
      </c>
      <c r="CM3877" s="5" t="s">
        <v>240</v>
      </c>
      <c r="CN3877" s="5" t="s">
        <v>263</v>
      </c>
      <c r="CO3877" s="5" t="s">
        <v>240</v>
      </c>
      <c r="CP3877" s="5" t="s">
        <v>240</v>
      </c>
      <c r="CQ3877" s="5">
        <v>0</v>
      </c>
      <c r="CR3877" s="5" t="s">
        <v>735</v>
      </c>
      <c r="CS3877" s="5" t="s">
        <v>307</v>
      </c>
      <c r="CT3877" s="5" t="s">
        <v>307</v>
      </c>
      <c r="CU3877" s="5" t="s">
        <v>260</v>
      </c>
      <c r="CV3877" s="5" t="s">
        <v>240</v>
      </c>
      <c r="CW3877" s="8" t="s">
        <v>240</v>
      </c>
      <c r="CX3877" s="7">
        <f>848345</f>
        <v>848345</v>
      </c>
      <c r="CY3877" s="7">
        <f>0</f>
        <v>0</v>
      </c>
      <c r="CZ3877" s="7" t="s">
        <v>240</v>
      </c>
      <c r="DA3877" s="7">
        <f>0</f>
        <v>0</v>
      </c>
      <c r="DB3877" s="7" t="s">
        <v>240</v>
      </c>
      <c r="DC3877" s="5" t="s">
        <v>450</v>
      </c>
      <c r="DD3877" s="5" t="s">
        <v>240</v>
      </c>
      <c r="DF3877" s="5" t="s">
        <v>450</v>
      </c>
      <c r="DG3877" s="7">
        <f>0</f>
        <v>0</v>
      </c>
      <c r="DH3877" s="6" t="s">
        <v>240</v>
      </c>
      <c r="DI3877" s="5" t="s">
        <v>618</v>
      </c>
      <c r="DJ3877" s="5" t="s">
        <v>240</v>
      </c>
      <c r="DK3877" s="5" t="s">
        <v>240</v>
      </c>
      <c r="DL3877" s="5" t="s">
        <v>240</v>
      </c>
      <c r="DM3877" s="5" t="s">
        <v>240</v>
      </c>
      <c r="DN3877" s="5" t="s">
        <v>240</v>
      </c>
      <c r="DO3877" s="7" t="s">
        <v>240</v>
      </c>
      <c r="DP3877" s="5" t="s">
        <v>240</v>
      </c>
      <c r="DQ3877" s="5" t="s">
        <v>248</v>
      </c>
      <c r="DR3877" s="5" t="s">
        <v>731</v>
      </c>
      <c r="DS3877" s="5" t="s">
        <v>731</v>
      </c>
      <c r="DT3877" s="5" t="s">
        <v>240</v>
      </c>
      <c r="DU3877" s="5" t="s">
        <v>240</v>
      </c>
      <c r="DV3877" s="5" t="s">
        <v>6839</v>
      </c>
      <c r="DW3877" s="5" t="s">
        <v>793</v>
      </c>
    </row>
    <row r="3878" spans="1:240" x14ac:dyDescent="0.4">
      <c r="A3878" s="5">
        <v>9420</v>
      </c>
      <c r="B3878" s="5">
        <v>1</v>
      </c>
      <c r="C3878" s="5">
        <v>1</v>
      </c>
      <c r="D3878" s="5" t="s">
        <v>723</v>
      </c>
      <c r="E3878" s="5" t="s">
        <v>725</v>
      </c>
      <c r="F3878" s="5" t="s">
        <v>254</v>
      </c>
      <c r="G3878" s="5" t="s">
        <v>726</v>
      </c>
      <c r="H3878" s="6" t="s">
        <v>5997</v>
      </c>
      <c r="I3878" s="5" t="s">
        <v>5996</v>
      </c>
      <c r="J3878" s="7">
        <f>1</f>
        <v>1</v>
      </c>
      <c r="K3878" s="5" t="s">
        <v>3682</v>
      </c>
      <c r="L3878" s="7">
        <f>1</f>
        <v>1</v>
      </c>
      <c r="M3878" s="7">
        <f>1</f>
        <v>1</v>
      </c>
      <c r="N3878" s="5" t="s">
        <v>242</v>
      </c>
      <c r="O3878" s="5">
        <v>1</v>
      </c>
      <c r="P3878" s="5" t="s">
        <v>294</v>
      </c>
      <c r="Q3878" s="5" t="s">
        <v>613</v>
      </c>
      <c r="T3878" s="5" t="s">
        <v>243</v>
      </c>
      <c r="U3878" s="5" t="s">
        <v>244</v>
      </c>
      <c r="V3878" s="5" t="s">
        <v>240</v>
      </c>
      <c r="Y3878" s="5" t="s">
        <v>240</v>
      </c>
      <c r="Z3878" s="6" t="s">
        <v>298</v>
      </c>
      <c r="AA3878" s="6" t="s">
        <v>240</v>
      </c>
      <c r="AB3878" s="6" t="s">
        <v>240</v>
      </c>
      <c r="AC3878" s="5" t="s">
        <v>240</v>
      </c>
      <c r="AD3878" s="6" t="s">
        <v>240</v>
      </c>
      <c r="AE3878" s="6" t="s">
        <v>299</v>
      </c>
      <c r="AF3878" s="5" t="s">
        <v>248</v>
      </c>
      <c r="AG3878" s="5" t="s">
        <v>249</v>
      </c>
      <c r="AM3878" s="5" t="s">
        <v>240</v>
      </c>
      <c r="AN3878" s="5" t="s">
        <v>240</v>
      </c>
      <c r="AO3878" s="5" t="s">
        <v>240</v>
      </c>
      <c r="AP3878" s="6" t="s">
        <v>240</v>
      </c>
      <c r="AQ3878" s="6" t="s">
        <v>240</v>
      </c>
      <c r="AW3878" s="5" t="s">
        <v>251</v>
      </c>
      <c r="AX3878" s="5" t="s">
        <v>252</v>
      </c>
      <c r="AY3878" s="5" t="s">
        <v>253</v>
      </c>
      <c r="AZ3878" s="5" t="s">
        <v>6046</v>
      </c>
      <c r="BA3878" s="5" t="s">
        <v>255</v>
      </c>
      <c r="BB3878" s="5" t="s">
        <v>731</v>
      </c>
      <c r="BD3878" s="5" t="s">
        <v>686</v>
      </c>
      <c r="BF3878" s="5" t="s">
        <v>301</v>
      </c>
      <c r="BG3878" s="6" t="s">
        <v>733</v>
      </c>
      <c r="BH3878" s="5" t="s">
        <v>302</v>
      </c>
      <c r="BI3878" s="5" t="s">
        <v>303</v>
      </c>
      <c r="BJ3878" s="5" t="s">
        <v>240</v>
      </c>
      <c r="BK3878" s="8">
        <f>0</f>
        <v>0</v>
      </c>
      <c r="BL3878" s="7">
        <f>0</f>
        <v>0</v>
      </c>
      <c r="BM3878" s="5" t="s">
        <v>258</v>
      </c>
      <c r="BN3878" s="5" t="s">
        <v>259</v>
      </c>
      <c r="BW3878" s="6" t="s">
        <v>240</v>
      </c>
      <c r="BX3878" s="5" t="s">
        <v>240</v>
      </c>
      <c r="BY3878" s="5" t="s">
        <v>240</v>
      </c>
      <c r="BZ3878" s="5" t="s">
        <v>240</v>
      </c>
      <c r="CB3878" s="5" t="s">
        <v>240</v>
      </c>
      <c r="CC3878" s="5" t="s">
        <v>240</v>
      </c>
      <c r="CG3878" s="5" t="s">
        <v>617</v>
      </c>
      <c r="CH3878" s="5" t="s">
        <v>305</v>
      </c>
      <c r="CI3878" s="5" t="s">
        <v>260</v>
      </c>
      <c r="CK3878" s="5" t="s">
        <v>240</v>
      </c>
      <c r="CL3878" s="6" t="s">
        <v>261</v>
      </c>
      <c r="CM3878" s="5" t="s">
        <v>240</v>
      </c>
      <c r="CN3878" s="5" t="s">
        <v>263</v>
      </c>
      <c r="CO3878" s="5" t="s">
        <v>240</v>
      </c>
      <c r="CP3878" s="5" t="s">
        <v>240</v>
      </c>
      <c r="CQ3878" s="5">
        <v>0</v>
      </c>
      <c r="CR3878" s="5" t="s">
        <v>735</v>
      </c>
      <c r="CS3878" s="5" t="s">
        <v>307</v>
      </c>
      <c r="CT3878" s="5" t="s">
        <v>307</v>
      </c>
      <c r="CU3878" s="5" t="s">
        <v>260</v>
      </c>
      <c r="CV3878" s="5" t="s">
        <v>240</v>
      </c>
      <c r="CW3878" s="8" t="s">
        <v>240</v>
      </c>
      <c r="CX3878" s="7">
        <f>310100</f>
        <v>310100</v>
      </c>
      <c r="CY3878" s="7">
        <f>0</f>
        <v>0</v>
      </c>
      <c r="CZ3878" s="7" t="s">
        <v>240</v>
      </c>
      <c r="DA3878" s="7">
        <f>0</f>
        <v>0</v>
      </c>
      <c r="DB3878" s="7" t="s">
        <v>240</v>
      </c>
      <c r="DC3878" s="5" t="s">
        <v>618</v>
      </c>
      <c r="DD3878" s="5" t="s">
        <v>240</v>
      </c>
      <c r="DF3878" s="5" t="s">
        <v>450</v>
      </c>
      <c r="DG3878" s="7">
        <f>0</f>
        <v>0</v>
      </c>
      <c r="DH3878" s="6" t="s">
        <v>240</v>
      </c>
      <c r="DI3878" s="5" t="s">
        <v>618</v>
      </c>
      <c r="DJ3878" s="5" t="s">
        <v>240</v>
      </c>
      <c r="DK3878" s="5" t="s">
        <v>240</v>
      </c>
      <c r="DL3878" s="5" t="s">
        <v>240</v>
      </c>
      <c r="DM3878" s="5" t="s">
        <v>240</v>
      </c>
      <c r="DN3878" s="5" t="s">
        <v>240</v>
      </c>
      <c r="DO3878" s="7" t="s">
        <v>240</v>
      </c>
      <c r="DP3878" s="5" t="s">
        <v>240</v>
      </c>
      <c r="DQ3878" s="5" t="s">
        <v>248</v>
      </c>
      <c r="DR3878" s="5" t="s">
        <v>731</v>
      </c>
      <c r="DS3878" s="5" t="s">
        <v>731</v>
      </c>
      <c r="DT3878" s="5" t="s">
        <v>240</v>
      </c>
      <c r="DU3878" s="5" t="s">
        <v>240</v>
      </c>
      <c r="DV3878" s="5" t="s">
        <v>6839</v>
      </c>
      <c r="DW3878" s="5" t="s">
        <v>1260</v>
      </c>
    </row>
    <row r="3879" spans="1:240" x14ac:dyDescent="0.4">
      <c r="A3879" s="5">
        <v>9421</v>
      </c>
      <c r="B3879" s="5">
        <v>1</v>
      </c>
      <c r="C3879" s="5">
        <v>1</v>
      </c>
      <c r="D3879" s="5" t="s">
        <v>723</v>
      </c>
      <c r="E3879" s="5" t="s">
        <v>725</v>
      </c>
      <c r="F3879" s="5" t="s">
        <v>254</v>
      </c>
      <c r="G3879" s="5" t="s">
        <v>6003</v>
      </c>
      <c r="H3879" s="6" t="s">
        <v>6004</v>
      </c>
      <c r="I3879" s="5" t="s">
        <v>6002</v>
      </c>
      <c r="J3879" s="7">
        <f>1</f>
        <v>1</v>
      </c>
      <c r="K3879" s="5" t="s">
        <v>3682</v>
      </c>
      <c r="L3879" s="7">
        <f>1</f>
        <v>1</v>
      </c>
      <c r="M3879" s="7">
        <f>1</f>
        <v>1</v>
      </c>
      <c r="N3879" s="5" t="s">
        <v>242</v>
      </c>
      <c r="O3879" s="5">
        <v>1</v>
      </c>
      <c r="P3879" s="5" t="s">
        <v>294</v>
      </c>
      <c r="Q3879" s="5" t="s">
        <v>613</v>
      </c>
      <c r="T3879" s="5" t="s">
        <v>243</v>
      </c>
      <c r="U3879" s="5" t="s">
        <v>244</v>
      </c>
      <c r="V3879" s="5" t="s">
        <v>240</v>
      </c>
      <c r="Y3879" s="5" t="s">
        <v>5060</v>
      </c>
      <c r="Z3879" s="6" t="s">
        <v>6956</v>
      </c>
      <c r="AA3879" s="6" t="s">
        <v>240</v>
      </c>
      <c r="AB3879" s="6" t="s">
        <v>240</v>
      </c>
      <c r="AC3879" s="5" t="s">
        <v>240</v>
      </c>
      <c r="AD3879" s="6" t="s">
        <v>240</v>
      </c>
      <c r="AE3879" s="6" t="s">
        <v>240</v>
      </c>
      <c r="AF3879" s="5" t="s">
        <v>248</v>
      </c>
      <c r="AG3879" s="5" t="s">
        <v>249</v>
      </c>
      <c r="AM3879" s="5" t="s">
        <v>240</v>
      </c>
      <c r="AN3879" s="5" t="s">
        <v>240</v>
      </c>
      <c r="AO3879" s="5" t="s">
        <v>240</v>
      </c>
      <c r="AP3879" s="6" t="s">
        <v>240</v>
      </c>
      <c r="AQ3879" s="6" t="s">
        <v>240</v>
      </c>
      <c r="AR3879" s="6" t="s">
        <v>240</v>
      </c>
      <c r="AU3879" s="5" t="s">
        <v>729</v>
      </c>
      <c r="AV3879" s="5" t="s">
        <v>729</v>
      </c>
      <c r="AW3879" s="5" t="s">
        <v>251</v>
      </c>
      <c r="AX3879" s="5" t="s">
        <v>252</v>
      </c>
      <c r="AY3879" s="5" t="s">
        <v>253</v>
      </c>
      <c r="AZ3879" s="5" t="s">
        <v>6046</v>
      </c>
      <c r="BA3879" s="5" t="s">
        <v>255</v>
      </c>
      <c r="BB3879" s="5" t="s">
        <v>731</v>
      </c>
      <c r="BD3879" s="5" t="s">
        <v>686</v>
      </c>
      <c r="BF3879" s="5" t="s">
        <v>732</v>
      </c>
      <c r="BG3879" s="6" t="s">
        <v>6956</v>
      </c>
      <c r="BH3879" s="5" t="s">
        <v>6799</v>
      </c>
      <c r="BI3879" s="5" t="s">
        <v>6799</v>
      </c>
      <c r="BJ3879" s="5" t="s">
        <v>240</v>
      </c>
      <c r="BK3879" s="8">
        <f>20</f>
        <v>20</v>
      </c>
      <c r="BL3879" s="7">
        <f>32143</f>
        <v>32143</v>
      </c>
      <c r="BM3879" s="5" t="s">
        <v>258</v>
      </c>
      <c r="BN3879" s="5" t="s">
        <v>259</v>
      </c>
      <c r="BO3879" s="5" t="s">
        <v>240</v>
      </c>
      <c r="BP3879" s="5" t="s">
        <v>240</v>
      </c>
      <c r="BQ3879" s="5" t="s">
        <v>240</v>
      </c>
      <c r="BR3879" s="5" t="s">
        <v>240</v>
      </c>
      <c r="BW3879" s="6" t="s">
        <v>240</v>
      </c>
      <c r="BX3879" s="5" t="s">
        <v>240</v>
      </c>
      <c r="BY3879" s="5" t="s">
        <v>240</v>
      </c>
      <c r="BZ3879" s="5" t="s">
        <v>240</v>
      </c>
      <c r="CA3879" s="5" t="s">
        <v>259</v>
      </c>
      <c r="CB3879" s="5" t="s">
        <v>240</v>
      </c>
      <c r="CC3879" s="5" t="s">
        <v>240</v>
      </c>
      <c r="CG3879" s="5" t="s">
        <v>240</v>
      </c>
      <c r="CH3879" s="5" t="s">
        <v>240</v>
      </c>
      <c r="CI3879" s="5" t="s">
        <v>260</v>
      </c>
      <c r="CJ3879" s="5" t="s">
        <v>6943</v>
      </c>
      <c r="CK3879" s="5" t="s">
        <v>240</v>
      </c>
      <c r="CL3879" s="6" t="s">
        <v>261</v>
      </c>
      <c r="CM3879" s="5" t="s">
        <v>262</v>
      </c>
      <c r="CN3879" s="5" t="s">
        <v>263</v>
      </c>
      <c r="CO3879" s="5" t="s">
        <v>264</v>
      </c>
      <c r="CP3879" s="5" t="s">
        <v>240</v>
      </c>
      <c r="CQ3879" s="5">
        <v>0</v>
      </c>
      <c r="CR3879" s="5" t="s">
        <v>735</v>
      </c>
      <c r="CS3879" s="5" t="s">
        <v>307</v>
      </c>
      <c r="CT3879" s="5" t="s">
        <v>307</v>
      </c>
      <c r="CU3879" s="5" t="s">
        <v>260</v>
      </c>
      <c r="CV3879" s="5" t="s">
        <v>240</v>
      </c>
      <c r="CW3879" s="8">
        <f>1607</f>
        <v>1607</v>
      </c>
      <c r="CX3879" s="7">
        <f>32143</f>
        <v>32143</v>
      </c>
      <c r="CY3879" s="7">
        <f>0</f>
        <v>0</v>
      </c>
      <c r="CZ3879" s="7">
        <f>0</f>
        <v>0</v>
      </c>
      <c r="DA3879" s="7">
        <f>32143</f>
        <v>32143</v>
      </c>
      <c r="DB3879" s="7" t="s">
        <v>240</v>
      </c>
      <c r="DC3879" s="5" t="s">
        <v>240</v>
      </c>
      <c r="DD3879" s="5" t="s">
        <v>240</v>
      </c>
      <c r="DF3879" s="5" t="s">
        <v>812</v>
      </c>
      <c r="DG3879" s="7">
        <f>20</f>
        <v>20</v>
      </c>
      <c r="DH3879" s="6" t="s">
        <v>6956</v>
      </c>
      <c r="DI3879" s="5" t="s">
        <v>812</v>
      </c>
      <c r="DJ3879" s="5" t="s">
        <v>240</v>
      </c>
      <c r="DK3879" s="5" t="s">
        <v>240</v>
      </c>
      <c r="DL3879" s="5" t="s">
        <v>240</v>
      </c>
      <c r="DM3879" s="5" t="s">
        <v>240</v>
      </c>
      <c r="DN3879" s="5" t="s">
        <v>240</v>
      </c>
      <c r="DO3879" s="7" t="s">
        <v>240</v>
      </c>
      <c r="DP3879" s="5" t="s">
        <v>240</v>
      </c>
      <c r="DQ3879" s="5" t="s">
        <v>248</v>
      </c>
      <c r="DR3879" s="5" t="s">
        <v>731</v>
      </c>
      <c r="DS3879" s="5" t="s">
        <v>731</v>
      </c>
      <c r="DT3879" s="5" t="s">
        <v>240</v>
      </c>
      <c r="DU3879" s="5" t="s">
        <v>240</v>
      </c>
      <c r="HR3879" s="5" t="s">
        <v>240</v>
      </c>
      <c r="HS3879" s="5" t="s">
        <v>240</v>
      </c>
      <c r="HT3879" s="5" t="s">
        <v>240</v>
      </c>
      <c r="HU3879" s="5" t="s">
        <v>240</v>
      </c>
      <c r="HV3879" s="5" t="s">
        <v>240</v>
      </c>
      <c r="HW3879" s="5" t="s">
        <v>240</v>
      </c>
      <c r="HX3879" s="5" t="s">
        <v>240</v>
      </c>
      <c r="HY3879" s="5" t="s">
        <v>240</v>
      </c>
      <c r="HZ3879" s="5" t="s">
        <v>240</v>
      </c>
      <c r="IA3879" s="5" t="s">
        <v>240</v>
      </c>
      <c r="IB3879" s="5" t="s">
        <v>240</v>
      </c>
      <c r="IC3879" s="5" t="s">
        <v>240</v>
      </c>
      <c r="ID3879" s="5" t="s">
        <v>240</v>
      </c>
      <c r="IE3879" s="5" t="s">
        <v>240</v>
      </c>
      <c r="IF3879" s="5" t="s">
        <v>240</v>
      </c>
    </row>
    <row r="3880" spans="1:240" x14ac:dyDescent="0.4">
      <c r="A3880" s="5">
        <v>9422</v>
      </c>
      <c r="B3880" s="5">
        <v>1</v>
      </c>
      <c r="C3880" s="5">
        <v>1</v>
      </c>
      <c r="D3880" s="5" t="s">
        <v>723</v>
      </c>
      <c r="E3880" s="5" t="s">
        <v>725</v>
      </c>
      <c r="F3880" s="5" t="s">
        <v>254</v>
      </c>
      <c r="G3880" s="5" t="s">
        <v>726</v>
      </c>
      <c r="H3880" s="6" t="s">
        <v>6011</v>
      </c>
      <c r="I3880" s="5" t="s">
        <v>6010</v>
      </c>
      <c r="J3880" s="7">
        <f>1</f>
        <v>1</v>
      </c>
      <c r="K3880" s="5" t="s">
        <v>3682</v>
      </c>
      <c r="L3880" s="7">
        <f>1</f>
        <v>1</v>
      </c>
      <c r="M3880" s="7">
        <f>1</f>
        <v>1</v>
      </c>
      <c r="N3880" s="5" t="s">
        <v>242</v>
      </c>
      <c r="O3880" s="5">
        <v>1</v>
      </c>
      <c r="P3880" s="5" t="s">
        <v>294</v>
      </c>
      <c r="Q3880" s="5" t="s">
        <v>613</v>
      </c>
      <c r="T3880" s="5" t="s">
        <v>243</v>
      </c>
      <c r="U3880" s="5" t="s">
        <v>244</v>
      </c>
      <c r="V3880" s="5" t="s">
        <v>240</v>
      </c>
      <c r="Y3880" s="5" t="s">
        <v>240</v>
      </c>
      <c r="Z3880" s="6" t="s">
        <v>298</v>
      </c>
      <c r="AA3880" s="6" t="s">
        <v>240</v>
      </c>
      <c r="AB3880" s="6" t="s">
        <v>240</v>
      </c>
      <c r="AC3880" s="5" t="s">
        <v>240</v>
      </c>
      <c r="AD3880" s="6" t="s">
        <v>240</v>
      </c>
      <c r="AE3880" s="6" t="s">
        <v>299</v>
      </c>
      <c r="AF3880" s="5" t="s">
        <v>248</v>
      </c>
      <c r="AG3880" s="5" t="s">
        <v>249</v>
      </c>
      <c r="AM3880" s="5" t="s">
        <v>240</v>
      </c>
      <c r="AN3880" s="5" t="s">
        <v>240</v>
      </c>
      <c r="AO3880" s="5" t="s">
        <v>240</v>
      </c>
      <c r="AP3880" s="6" t="s">
        <v>240</v>
      </c>
      <c r="AQ3880" s="6" t="s">
        <v>240</v>
      </c>
      <c r="AW3880" s="5" t="s">
        <v>251</v>
      </c>
      <c r="AX3880" s="5" t="s">
        <v>252</v>
      </c>
      <c r="AY3880" s="5" t="s">
        <v>253</v>
      </c>
      <c r="AZ3880" s="5" t="s">
        <v>6046</v>
      </c>
      <c r="BA3880" s="5" t="s">
        <v>255</v>
      </c>
      <c r="BB3880" s="5" t="s">
        <v>731</v>
      </c>
      <c r="BD3880" s="5" t="s">
        <v>686</v>
      </c>
      <c r="BF3880" s="5" t="s">
        <v>301</v>
      </c>
      <c r="BG3880" s="6" t="s">
        <v>733</v>
      </c>
      <c r="BH3880" s="5" t="s">
        <v>302</v>
      </c>
      <c r="BI3880" s="5" t="s">
        <v>303</v>
      </c>
      <c r="BJ3880" s="5" t="s">
        <v>240</v>
      </c>
      <c r="BK3880" s="8">
        <f>0</f>
        <v>0</v>
      </c>
      <c r="BL3880" s="7">
        <f>0</f>
        <v>0</v>
      </c>
      <c r="BM3880" s="5" t="s">
        <v>258</v>
      </c>
      <c r="BN3880" s="5" t="s">
        <v>259</v>
      </c>
      <c r="BW3880" s="6" t="s">
        <v>240</v>
      </c>
      <c r="BX3880" s="5" t="s">
        <v>240</v>
      </c>
      <c r="BY3880" s="5" t="s">
        <v>240</v>
      </c>
      <c r="BZ3880" s="5" t="s">
        <v>240</v>
      </c>
      <c r="CB3880" s="5" t="s">
        <v>240</v>
      </c>
      <c r="CC3880" s="5" t="s">
        <v>240</v>
      </c>
      <c r="CG3880" s="5" t="s">
        <v>617</v>
      </c>
      <c r="CH3880" s="5" t="s">
        <v>305</v>
      </c>
      <c r="CI3880" s="5" t="s">
        <v>260</v>
      </c>
      <c r="CK3880" s="5" t="s">
        <v>240</v>
      </c>
      <c r="CL3880" s="6" t="s">
        <v>261</v>
      </c>
      <c r="CM3880" s="5" t="s">
        <v>240</v>
      </c>
      <c r="CN3880" s="5" t="s">
        <v>263</v>
      </c>
      <c r="CO3880" s="5" t="s">
        <v>240</v>
      </c>
      <c r="CP3880" s="5" t="s">
        <v>240</v>
      </c>
      <c r="CQ3880" s="5">
        <v>0</v>
      </c>
      <c r="CR3880" s="5" t="s">
        <v>735</v>
      </c>
      <c r="CS3880" s="5" t="s">
        <v>307</v>
      </c>
      <c r="CT3880" s="5" t="s">
        <v>307</v>
      </c>
      <c r="CU3880" s="5" t="s">
        <v>260</v>
      </c>
      <c r="CV3880" s="5" t="s">
        <v>240</v>
      </c>
      <c r="CW3880" s="8" t="s">
        <v>240</v>
      </c>
      <c r="CX3880" s="7">
        <f>58039645</f>
        <v>58039645</v>
      </c>
      <c r="CY3880" s="7">
        <f>0</f>
        <v>0</v>
      </c>
      <c r="CZ3880" s="7" t="s">
        <v>240</v>
      </c>
      <c r="DA3880" s="7">
        <f>0</f>
        <v>0</v>
      </c>
      <c r="DB3880" s="7" t="s">
        <v>240</v>
      </c>
      <c r="DC3880" s="5" t="s">
        <v>689</v>
      </c>
      <c r="DD3880" s="5" t="s">
        <v>240</v>
      </c>
      <c r="DF3880" s="5" t="s">
        <v>689</v>
      </c>
      <c r="DG3880" s="7">
        <f>26203</f>
        <v>26203</v>
      </c>
      <c r="DH3880" s="6" t="s">
        <v>240</v>
      </c>
      <c r="DI3880" s="5" t="s">
        <v>618</v>
      </c>
      <c r="DJ3880" s="5" t="s">
        <v>240</v>
      </c>
      <c r="DK3880" s="5" t="s">
        <v>240</v>
      </c>
      <c r="DL3880" s="5" t="s">
        <v>240</v>
      </c>
      <c r="DM3880" s="5" t="s">
        <v>240</v>
      </c>
      <c r="DN3880" s="5" t="s">
        <v>240</v>
      </c>
      <c r="DO3880" s="7" t="s">
        <v>240</v>
      </c>
      <c r="DP3880" s="5" t="s">
        <v>240</v>
      </c>
      <c r="DQ3880" s="5" t="s">
        <v>248</v>
      </c>
      <c r="DR3880" s="5" t="s">
        <v>731</v>
      </c>
      <c r="DS3880" s="5" t="s">
        <v>731</v>
      </c>
      <c r="DT3880" s="5" t="s">
        <v>240</v>
      </c>
      <c r="DU3880" s="5" t="s">
        <v>240</v>
      </c>
      <c r="DV3880" s="5" t="s">
        <v>6961</v>
      </c>
      <c r="DW3880" s="5" t="s">
        <v>312</v>
      </c>
    </row>
    <row r="3881" spans="1:240" x14ac:dyDescent="0.4">
      <c r="A3881" s="5">
        <v>9423</v>
      </c>
      <c r="B3881" s="5">
        <v>1</v>
      </c>
      <c r="C3881" s="5">
        <v>1</v>
      </c>
      <c r="D3881" s="5" t="s">
        <v>723</v>
      </c>
      <c r="E3881" s="5" t="s">
        <v>725</v>
      </c>
      <c r="F3881" s="5" t="s">
        <v>254</v>
      </c>
      <c r="G3881" s="5" t="s">
        <v>6015</v>
      </c>
      <c r="H3881" s="6" t="s">
        <v>6016</v>
      </c>
      <c r="I3881" s="5" t="s">
        <v>6014</v>
      </c>
      <c r="J3881" s="7">
        <f>1</f>
        <v>1</v>
      </c>
      <c r="K3881" s="5" t="s">
        <v>3682</v>
      </c>
      <c r="L3881" s="7">
        <f>1</f>
        <v>1</v>
      </c>
      <c r="M3881" s="7">
        <f>1</f>
        <v>1</v>
      </c>
      <c r="N3881" s="5" t="s">
        <v>242</v>
      </c>
      <c r="O3881" s="5">
        <v>1</v>
      </c>
      <c r="P3881" s="5" t="s">
        <v>294</v>
      </c>
      <c r="Q3881" s="5" t="s">
        <v>3678</v>
      </c>
      <c r="T3881" s="5" t="s">
        <v>243</v>
      </c>
      <c r="U3881" s="5" t="s">
        <v>244</v>
      </c>
      <c r="V3881" s="5" t="s">
        <v>240</v>
      </c>
      <c r="Y3881" s="5" t="s">
        <v>240</v>
      </c>
      <c r="Z3881" s="6" t="s">
        <v>298</v>
      </c>
      <c r="AA3881" s="6" t="s">
        <v>240</v>
      </c>
      <c r="AB3881" s="6" t="s">
        <v>240</v>
      </c>
      <c r="AC3881" s="5" t="s">
        <v>240</v>
      </c>
      <c r="AD3881" s="6" t="s">
        <v>240</v>
      </c>
      <c r="AE3881" s="6" t="s">
        <v>299</v>
      </c>
      <c r="AF3881" s="5" t="s">
        <v>248</v>
      </c>
      <c r="AG3881" s="5" t="s">
        <v>249</v>
      </c>
      <c r="AM3881" s="5" t="s">
        <v>240</v>
      </c>
      <c r="AN3881" s="5" t="s">
        <v>240</v>
      </c>
      <c r="AO3881" s="5" t="s">
        <v>240</v>
      </c>
      <c r="AP3881" s="6" t="s">
        <v>240</v>
      </c>
      <c r="AQ3881" s="6" t="s">
        <v>240</v>
      </c>
      <c r="AR3881" s="6" t="s">
        <v>240</v>
      </c>
      <c r="AU3881" s="5" t="s">
        <v>729</v>
      </c>
      <c r="AV3881" s="5" t="s">
        <v>729</v>
      </c>
      <c r="AW3881" s="5" t="s">
        <v>251</v>
      </c>
      <c r="AX3881" s="5" t="s">
        <v>252</v>
      </c>
      <c r="AY3881" s="5" t="s">
        <v>253</v>
      </c>
      <c r="AZ3881" s="5" t="s">
        <v>6046</v>
      </c>
      <c r="BA3881" s="5" t="s">
        <v>255</v>
      </c>
      <c r="BB3881" s="5" t="s">
        <v>731</v>
      </c>
      <c r="BD3881" s="5" t="s">
        <v>240</v>
      </c>
      <c r="BF3881" s="5" t="s">
        <v>732</v>
      </c>
      <c r="BG3881" s="6" t="s">
        <v>733</v>
      </c>
      <c r="BH3881" s="5" t="s">
        <v>734</v>
      </c>
      <c r="BI3881" s="5" t="s">
        <v>734</v>
      </c>
      <c r="BJ3881" s="5" t="s">
        <v>240</v>
      </c>
      <c r="BK3881" s="7">
        <f>1</f>
        <v>1</v>
      </c>
      <c r="BL3881" s="7">
        <f>1</f>
        <v>1</v>
      </c>
      <c r="BM3881" s="5" t="s">
        <v>258</v>
      </c>
      <c r="BN3881" s="5" t="s">
        <v>259</v>
      </c>
      <c r="BO3881" s="5" t="s">
        <v>240</v>
      </c>
      <c r="BP3881" s="5" t="s">
        <v>240</v>
      </c>
      <c r="BQ3881" s="5" t="s">
        <v>240</v>
      </c>
      <c r="BR3881" s="5" t="s">
        <v>240</v>
      </c>
      <c r="BW3881" s="6" t="s">
        <v>240</v>
      </c>
      <c r="BX3881" s="5" t="s">
        <v>240</v>
      </c>
      <c r="BY3881" s="5" t="s">
        <v>240</v>
      </c>
      <c r="BZ3881" s="5" t="s">
        <v>240</v>
      </c>
      <c r="CA3881" s="5" t="s">
        <v>259</v>
      </c>
      <c r="CB3881" s="5" t="s">
        <v>240</v>
      </c>
      <c r="CC3881" s="5" t="s">
        <v>240</v>
      </c>
      <c r="CG3881" s="5" t="s">
        <v>304</v>
      </c>
      <c r="CH3881" s="5" t="s">
        <v>305</v>
      </c>
      <c r="CI3881" s="5" t="s">
        <v>260</v>
      </c>
      <c r="CK3881" s="5" t="s">
        <v>3681</v>
      </c>
      <c r="CL3881" s="6" t="s">
        <v>261</v>
      </c>
      <c r="CM3881" s="5" t="s">
        <v>262</v>
      </c>
      <c r="CN3881" s="5" t="s">
        <v>263</v>
      </c>
      <c r="CO3881" s="5" t="s">
        <v>264</v>
      </c>
      <c r="CP3881" s="5" t="s">
        <v>240</v>
      </c>
      <c r="CQ3881" s="5">
        <v>0</v>
      </c>
      <c r="CR3881" s="5" t="s">
        <v>735</v>
      </c>
      <c r="CS3881" s="5" t="s">
        <v>307</v>
      </c>
      <c r="CT3881" s="5" t="s">
        <v>307</v>
      </c>
      <c r="CU3881" s="5" t="s">
        <v>260</v>
      </c>
      <c r="CV3881" s="5" t="s">
        <v>612</v>
      </c>
      <c r="CW3881" s="8">
        <f>1</f>
        <v>1</v>
      </c>
      <c r="CX3881" s="7">
        <f>1</f>
        <v>1</v>
      </c>
      <c r="CY3881" s="7">
        <f>0</f>
        <v>0</v>
      </c>
      <c r="CZ3881" s="7" t="s">
        <v>240</v>
      </c>
      <c r="DA3881" s="7">
        <f>1</f>
        <v>1</v>
      </c>
      <c r="DB3881" s="7" t="s">
        <v>240</v>
      </c>
      <c r="DC3881" s="5" t="s">
        <v>240</v>
      </c>
      <c r="DD3881" s="5" t="s">
        <v>240</v>
      </c>
      <c r="DF3881" s="5" t="s">
        <v>240</v>
      </c>
      <c r="DG3881" s="7">
        <f>0</f>
        <v>0</v>
      </c>
      <c r="DH3881" s="6" t="s">
        <v>240</v>
      </c>
      <c r="DI3881" s="5" t="s">
        <v>240</v>
      </c>
      <c r="DJ3881" s="5" t="s">
        <v>240</v>
      </c>
      <c r="DK3881" s="5" t="s">
        <v>240</v>
      </c>
      <c r="DL3881" s="5" t="s">
        <v>240</v>
      </c>
      <c r="DM3881" s="5" t="s">
        <v>240</v>
      </c>
      <c r="DN3881" s="5" t="s">
        <v>240</v>
      </c>
      <c r="DO3881" s="7" t="s">
        <v>240</v>
      </c>
      <c r="DP3881" s="5" t="s">
        <v>240</v>
      </c>
      <c r="DQ3881" s="5" t="s">
        <v>248</v>
      </c>
      <c r="DR3881" s="5" t="s">
        <v>731</v>
      </c>
      <c r="DS3881" s="5" t="s">
        <v>731</v>
      </c>
      <c r="DT3881" s="5" t="s">
        <v>240</v>
      </c>
      <c r="DU3881" s="5" t="s">
        <v>240</v>
      </c>
      <c r="DV3881" s="5" t="s">
        <v>5063</v>
      </c>
      <c r="DW3881" s="5" t="s">
        <v>820</v>
      </c>
      <c r="HR3881" s="5" t="s">
        <v>240</v>
      </c>
      <c r="HS3881" s="5" t="s">
        <v>240</v>
      </c>
      <c r="HT3881" s="5" t="s">
        <v>240</v>
      </c>
      <c r="HU3881" s="5" t="s">
        <v>240</v>
      </c>
      <c r="HV3881" s="5" t="s">
        <v>240</v>
      </c>
      <c r="HW3881" s="5" t="s">
        <v>240</v>
      </c>
      <c r="HX3881" s="5" t="s">
        <v>240</v>
      </c>
      <c r="HY3881" s="5" t="s">
        <v>240</v>
      </c>
      <c r="HZ3881" s="5" t="s">
        <v>240</v>
      </c>
      <c r="IA3881" s="5" t="s">
        <v>240</v>
      </c>
      <c r="IB3881" s="5" t="s">
        <v>240</v>
      </c>
      <c r="IC3881" s="5" t="s">
        <v>240</v>
      </c>
      <c r="ID3881" s="5" t="s">
        <v>240</v>
      </c>
      <c r="IE3881" s="5" t="s">
        <v>240</v>
      </c>
      <c r="IF3881" s="5" t="s">
        <v>240</v>
      </c>
    </row>
    <row r="3882" spans="1:240" x14ac:dyDescent="0.4">
      <c r="A3882" s="5">
        <v>9424</v>
      </c>
      <c r="B3882" s="5">
        <v>1</v>
      </c>
      <c r="C3882" s="5">
        <v>1</v>
      </c>
      <c r="D3882" s="5" t="s">
        <v>723</v>
      </c>
      <c r="E3882" s="5" t="s">
        <v>725</v>
      </c>
      <c r="F3882" s="5" t="s">
        <v>254</v>
      </c>
      <c r="G3882" s="5" t="s">
        <v>726</v>
      </c>
      <c r="H3882" s="6" t="s">
        <v>6019</v>
      </c>
      <c r="I3882" s="5" t="s">
        <v>6018</v>
      </c>
      <c r="J3882" s="7">
        <f>1</f>
        <v>1</v>
      </c>
      <c r="K3882" s="5" t="s">
        <v>3682</v>
      </c>
      <c r="L3882" s="7">
        <f>1</f>
        <v>1</v>
      </c>
      <c r="M3882" s="7">
        <f>1</f>
        <v>1</v>
      </c>
      <c r="N3882" s="5" t="s">
        <v>242</v>
      </c>
      <c r="O3882" s="5">
        <v>1</v>
      </c>
      <c r="P3882" s="5" t="s">
        <v>294</v>
      </c>
      <c r="Q3882" s="5" t="s">
        <v>2097</v>
      </c>
      <c r="T3882" s="5" t="s">
        <v>296</v>
      </c>
      <c r="U3882" s="5" t="s">
        <v>244</v>
      </c>
      <c r="V3882" s="5" t="s">
        <v>240</v>
      </c>
      <c r="Y3882" s="5" t="s">
        <v>246</v>
      </c>
      <c r="Z3882" s="6" t="s">
        <v>6965</v>
      </c>
      <c r="AA3882" s="6" t="s">
        <v>240</v>
      </c>
      <c r="AB3882" s="6" t="s">
        <v>240</v>
      </c>
      <c r="AC3882" s="5" t="s">
        <v>240</v>
      </c>
      <c r="AD3882" s="6" t="s">
        <v>240</v>
      </c>
      <c r="AE3882" s="6" t="s">
        <v>6965</v>
      </c>
      <c r="AF3882" s="5" t="s">
        <v>248</v>
      </c>
      <c r="AG3882" s="5" t="s">
        <v>249</v>
      </c>
      <c r="AM3882" s="5" t="s">
        <v>240</v>
      </c>
      <c r="AN3882" s="5" t="s">
        <v>240</v>
      </c>
      <c r="AO3882" s="5" t="s">
        <v>240</v>
      </c>
      <c r="AP3882" s="6" t="s">
        <v>240</v>
      </c>
      <c r="AQ3882" s="6" t="s">
        <v>240</v>
      </c>
      <c r="AR3882" s="6" t="s">
        <v>240</v>
      </c>
      <c r="AU3882" s="5" t="s">
        <v>729</v>
      </c>
      <c r="AV3882" s="5" t="s">
        <v>729</v>
      </c>
      <c r="AW3882" s="5" t="s">
        <v>251</v>
      </c>
      <c r="AX3882" s="5" t="s">
        <v>252</v>
      </c>
      <c r="AY3882" s="5" t="s">
        <v>253</v>
      </c>
      <c r="AZ3882" s="5" t="s">
        <v>6046</v>
      </c>
      <c r="BA3882" s="5" t="s">
        <v>255</v>
      </c>
      <c r="BB3882" s="5" t="s">
        <v>731</v>
      </c>
      <c r="BD3882" s="5" t="s">
        <v>240</v>
      </c>
      <c r="BF3882" s="5" t="s">
        <v>732</v>
      </c>
      <c r="BG3882" s="6" t="s">
        <v>6967</v>
      </c>
      <c r="BH3882" s="5" t="s">
        <v>6742</v>
      </c>
      <c r="BI3882" s="5" t="s">
        <v>6743</v>
      </c>
      <c r="BJ3882" s="5" t="s">
        <v>240</v>
      </c>
      <c r="BK3882" s="8">
        <f>0</f>
        <v>0</v>
      </c>
      <c r="BL3882" s="7">
        <f>40040</f>
        <v>40040</v>
      </c>
      <c r="BM3882" s="5" t="s">
        <v>258</v>
      </c>
      <c r="BN3882" s="5" t="s">
        <v>259</v>
      </c>
      <c r="BO3882" s="5" t="s">
        <v>6744</v>
      </c>
      <c r="BP3882" s="5" t="s">
        <v>6745</v>
      </c>
      <c r="BQ3882" s="5" t="s">
        <v>6746</v>
      </c>
      <c r="BR3882" s="5" t="s">
        <v>240</v>
      </c>
      <c r="BS3882" s="5" t="s">
        <v>258</v>
      </c>
      <c r="BT3882" s="5" t="s">
        <v>6747</v>
      </c>
      <c r="BU3882" s="5" t="s">
        <v>6747</v>
      </c>
      <c r="BW3882" s="6" t="s">
        <v>6968</v>
      </c>
      <c r="BX3882" s="5" t="s">
        <v>258</v>
      </c>
      <c r="BY3882" s="5" t="s">
        <v>240</v>
      </c>
      <c r="BZ3882" s="5" t="s">
        <v>240</v>
      </c>
      <c r="CA3882" s="5" t="s">
        <v>259</v>
      </c>
      <c r="CB3882" s="5" t="s">
        <v>240</v>
      </c>
      <c r="CC3882" s="5" t="s">
        <v>240</v>
      </c>
      <c r="CG3882" s="5" t="s">
        <v>240</v>
      </c>
      <c r="CH3882" s="5" t="s">
        <v>240</v>
      </c>
      <c r="CI3882" s="5" t="s">
        <v>260</v>
      </c>
      <c r="CK3882" s="5" t="s">
        <v>240</v>
      </c>
      <c r="CL3882" s="6" t="s">
        <v>261</v>
      </c>
      <c r="CM3882" s="5" t="s">
        <v>262</v>
      </c>
      <c r="CN3882" s="5" t="s">
        <v>263</v>
      </c>
      <c r="CO3882" s="5" t="s">
        <v>264</v>
      </c>
      <c r="CP3882" s="5" t="s">
        <v>240</v>
      </c>
      <c r="CQ3882" s="5">
        <v>0</v>
      </c>
      <c r="CR3882" s="5" t="s">
        <v>735</v>
      </c>
      <c r="CS3882" s="5" t="s">
        <v>307</v>
      </c>
      <c r="CT3882" s="5" t="s">
        <v>307</v>
      </c>
      <c r="CU3882" s="5" t="s">
        <v>260</v>
      </c>
      <c r="CV3882" s="5" t="s">
        <v>240</v>
      </c>
      <c r="CW3882" s="8">
        <f>0</f>
        <v>0</v>
      </c>
      <c r="CX3882" s="7">
        <f>40040</f>
        <v>40040</v>
      </c>
      <c r="CY3882" s="7">
        <f>0</f>
        <v>0</v>
      </c>
      <c r="CZ3882" s="7">
        <f>0</f>
        <v>0</v>
      </c>
      <c r="DA3882" s="7">
        <f>40040</f>
        <v>40040</v>
      </c>
      <c r="DB3882" s="7" t="s">
        <v>240</v>
      </c>
      <c r="DC3882" s="5" t="s">
        <v>240</v>
      </c>
      <c r="DD3882" s="5" t="s">
        <v>240</v>
      </c>
      <c r="DF3882" s="5" t="s">
        <v>240</v>
      </c>
      <c r="DG3882" s="7">
        <f>0</f>
        <v>0</v>
      </c>
      <c r="DH3882" s="6" t="s">
        <v>240</v>
      </c>
      <c r="DI3882" s="5" t="s">
        <v>240</v>
      </c>
      <c r="DJ3882" s="5" t="s">
        <v>240</v>
      </c>
      <c r="DK3882" s="5" t="s">
        <v>240</v>
      </c>
      <c r="DL3882" s="5" t="s">
        <v>240</v>
      </c>
      <c r="DM3882" s="5" t="s">
        <v>240</v>
      </c>
      <c r="DN3882" s="5" t="s">
        <v>240</v>
      </c>
      <c r="DO3882" s="7" t="s">
        <v>240</v>
      </c>
      <c r="DP3882" s="5" t="s">
        <v>240</v>
      </c>
      <c r="DQ3882" s="5" t="s">
        <v>248</v>
      </c>
      <c r="DR3882" s="5" t="s">
        <v>731</v>
      </c>
      <c r="DS3882" s="5" t="s">
        <v>731</v>
      </c>
      <c r="DT3882" s="5" t="s">
        <v>240</v>
      </c>
      <c r="DU3882" s="5" t="s">
        <v>240</v>
      </c>
      <c r="HR3882" s="5" t="s">
        <v>240</v>
      </c>
      <c r="HS3882" s="5" t="s">
        <v>240</v>
      </c>
      <c r="HT3882" s="5" t="s">
        <v>240</v>
      </c>
      <c r="HU3882" s="5" t="s">
        <v>240</v>
      </c>
      <c r="HV3882" s="5" t="s">
        <v>240</v>
      </c>
      <c r="HW3882" s="5" t="s">
        <v>240</v>
      </c>
      <c r="HX3882" s="5" t="s">
        <v>240</v>
      </c>
      <c r="HY3882" s="5" t="s">
        <v>240</v>
      </c>
      <c r="HZ3882" s="5" t="s">
        <v>240</v>
      </c>
      <c r="IA3882" s="5" t="s">
        <v>240</v>
      </c>
      <c r="IB3882" s="5" t="s">
        <v>240</v>
      </c>
      <c r="IC3882" s="5" t="s">
        <v>240</v>
      </c>
      <c r="ID3882" s="5" t="s">
        <v>240</v>
      </c>
      <c r="IE3882" s="5" t="s">
        <v>240</v>
      </c>
      <c r="IF3882" s="5" t="s">
        <v>240</v>
      </c>
    </row>
    <row r="3883" spans="1:240" x14ac:dyDescent="0.4">
      <c r="A3883" s="5">
        <v>9425</v>
      </c>
      <c r="B3883" s="5">
        <v>1</v>
      </c>
      <c r="C3883" s="5">
        <v>1</v>
      </c>
      <c r="D3883" s="5" t="s">
        <v>723</v>
      </c>
      <c r="E3883" s="5" t="s">
        <v>725</v>
      </c>
      <c r="F3883" s="5" t="s">
        <v>254</v>
      </c>
      <c r="G3883" s="5" t="s">
        <v>726</v>
      </c>
      <c r="H3883" s="6" t="s">
        <v>6023</v>
      </c>
      <c r="I3883" s="5" t="s">
        <v>6022</v>
      </c>
      <c r="J3883" s="7">
        <f>1</f>
        <v>1</v>
      </c>
      <c r="K3883" s="5" t="s">
        <v>3682</v>
      </c>
      <c r="L3883" s="7">
        <f>1</f>
        <v>1</v>
      </c>
      <c r="M3883" s="7">
        <f>1</f>
        <v>1</v>
      </c>
      <c r="N3883" s="5" t="s">
        <v>242</v>
      </c>
      <c r="O3883" s="5">
        <v>1</v>
      </c>
      <c r="P3883" s="5" t="s">
        <v>294</v>
      </c>
      <c r="Q3883" s="5" t="s">
        <v>613</v>
      </c>
      <c r="T3883" s="5" t="s">
        <v>243</v>
      </c>
      <c r="U3883" s="5" t="s">
        <v>244</v>
      </c>
      <c r="V3883" s="5" t="s">
        <v>240</v>
      </c>
      <c r="Y3883" s="5" t="s">
        <v>240</v>
      </c>
      <c r="Z3883" s="6" t="s">
        <v>298</v>
      </c>
      <c r="AA3883" s="6" t="s">
        <v>240</v>
      </c>
      <c r="AB3883" s="6" t="s">
        <v>240</v>
      </c>
      <c r="AC3883" s="5" t="s">
        <v>240</v>
      </c>
      <c r="AD3883" s="6" t="s">
        <v>240</v>
      </c>
      <c r="AE3883" s="6" t="s">
        <v>299</v>
      </c>
      <c r="AF3883" s="5" t="s">
        <v>248</v>
      </c>
      <c r="AG3883" s="5" t="s">
        <v>249</v>
      </c>
      <c r="AM3883" s="5" t="s">
        <v>240</v>
      </c>
      <c r="AN3883" s="5" t="s">
        <v>240</v>
      </c>
      <c r="AO3883" s="5" t="s">
        <v>240</v>
      </c>
      <c r="AP3883" s="6" t="s">
        <v>240</v>
      </c>
      <c r="AQ3883" s="6" t="s">
        <v>240</v>
      </c>
      <c r="AW3883" s="5" t="s">
        <v>251</v>
      </c>
      <c r="AX3883" s="5" t="s">
        <v>252</v>
      </c>
      <c r="AY3883" s="5" t="s">
        <v>253</v>
      </c>
      <c r="AZ3883" s="5" t="s">
        <v>6046</v>
      </c>
      <c r="BA3883" s="5" t="s">
        <v>255</v>
      </c>
      <c r="BB3883" s="5" t="s">
        <v>731</v>
      </c>
      <c r="BD3883" s="5" t="s">
        <v>686</v>
      </c>
      <c r="BF3883" s="5" t="s">
        <v>301</v>
      </c>
      <c r="BG3883" s="6" t="s">
        <v>733</v>
      </c>
      <c r="BH3883" s="5" t="s">
        <v>302</v>
      </c>
      <c r="BI3883" s="5" t="s">
        <v>303</v>
      </c>
      <c r="BJ3883" s="5" t="s">
        <v>240</v>
      </c>
      <c r="BK3883" s="8">
        <f>0</f>
        <v>0</v>
      </c>
      <c r="BL3883" s="7">
        <f>0</f>
        <v>0</v>
      </c>
      <c r="BM3883" s="5" t="s">
        <v>258</v>
      </c>
      <c r="BN3883" s="5" t="s">
        <v>259</v>
      </c>
      <c r="BW3883" s="6" t="s">
        <v>240</v>
      </c>
      <c r="BX3883" s="5" t="s">
        <v>240</v>
      </c>
      <c r="BY3883" s="5" t="s">
        <v>240</v>
      </c>
      <c r="BZ3883" s="5" t="s">
        <v>240</v>
      </c>
      <c r="CB3883" s="5" t="s">
        <v>240</v>
      </c>
      <c r="CC3883" s="5" t="s">
        <v>240</v>
      </c>
      <c r="CG3883" s="5" t="s">
        <v>617</v>
      </c>
      <c r="CH3883" s="5" t="s">
        <v>305</v>
      </c>
      <c r="CI3883" s="5" t="s">
        <v>260</v>
      </c>
      <c r="CK3883" s="5" t="s">
        <v>240</v>
      </c>
      <c r="CL3883" s="6" t="s">
        <v>261</v>
      </c>
      <c r="CM3883" s="5" t="s">
        <v>240</v>
      </c>
      <c r="CN3883" s="5" t="s">
        <v>263</v>
      </c>
      <c r="CO3883" s="5" t="s">
        <v>240</v>
      </c>
      <c r="CP3883" s="5" t="s">
        <v>240</v>
      </c>
      <c r="CQ3883" s="5">
        <v>0</v>
      </c>
      <c r="CR3883" s="5" t="s">
        <v>735</v>
      </c>
      <c r="CS3883" s="5" t="s">
        <v>307</v>
      </c>
      <c r="CT3883" s="5" t="s">
        <v>307</v>
      </c>
      <c r="CU3883" s="5" t="s">
        <v>260</v>
      </c>
      <c r="CV3883" s="5" t="s">
        <v>240</v>
      </c>
      <c r="CW3883" s="8" t="s">
        <v>240</v>
      </c>
      <c r="CX3883" s="7">
        <f>759745</f>
        <v>759745</v>
      </c>
      <c r="CY3883" s="7">
        <f>0</f>
        <v>0</v>
      </c>
      <c r="CZ3883" s="7" t="s">
        <v>240</v>
      </c>
      <c r="DA3883" s="7">
        <f>0</f>
        <v>0</v>
      </c>
      <c r="DB3883" s="7" t="s">
        <v>240</v>
      </c>
      <c r="DC3883" s="5" t="s">
        <v>689</v>
      </c>
      <c r="DD3883" s="5" t="s">
        <v>240</v>
      </c>
      <c r="DF3883" s="5" t="s">
        <v>689</v>
      </c>
      <c r="DG3883" s="7">
        <f>343</f>
        <v>343</v>
      </c>
      <c r="DH3883" s="6" t="s">
        <v>6905</v>
      </c>
      <c r="DI3883" s="5" t="s">
        <v>618</v>
      </c>
      <c r="DJ3883" s="5" t="s">
        <v>240</v>
      </c>
      <c r="DK3883" s="5" t="s">
        <v>240</v>
      </c>
      <c r="DL3883" s="5" t="s">
        <v>240</v>
      </c>
      <c r="DM3883" s="5" t="s">
        <v>240</v>
      </c>
      <c r="DN3883" s="5" t="s">
        <v>240</v>
      </c>
      <c r="DO3883" s="7" t="s">
        <v>240</v>
      </c>
      <c r="DP3883" s="5" t="s">
        <v>240</v>
      </c>
      <c r="DQ3883" s="5" t="s">
        <v>248</v>
      </c>
      <c r="DR3883" s="5" t="s">
        <v>731</v>
      </c>
      <c r="DS3883" s="5" t="s">
        <v>731</v>
      </c>
      <c r="DT3883" s="5" t="s">
        <v>240</v>
      </c>
      <c r="DU3883" s="5" t="s">
        <v>240</v>
      </c>
      <c r="DV3883" s="5" t="s">
        <v>1570</v>
      </c>
      <c r="DW3883" s="5" t="s">
        <v>621</v>
      </c>
    </row>
    <row r="3884" spans="1:240" x14ac:dyDescent="0.4">
      <c r="A3884" s="5">
        <v>9426</v>
      </c>
      <c r="B3884" s="5">
        <v>1</v>
      </c>
      <c r="C3884" s="5">
        <v>1</v>
      </c>
      <c r="D3884" s="5" t="s">
        <v>723</v>
      </c>
      <c r="E3884" s="5" t="s">
        <v>725</v>
      </c>
      <c r="F3884" s="5" t="s">
        <v>254</v>
      </c>
      <c r="G3884" s="5" t="s">
        <v>726</v>
      </c>
      <c r="H3884" s="6" t="s">
        <v>6025</v>
      </c>
      <c r="I3884" s="5" t="s">
        <v>6024</v>
      </c>
      <c r="J3884" s="7">
        <f>1</f>
        <v>1</v>
      </c>
      <c r="K3884" s="5" t="s">
        <v>3682</v>
      </c>
      <c r="L3884" s="7">
        <f>1</f>
        <v>1</v>
      </c>
      <c r="M3884" s="7">
        <f>1</f>
        <v>1</v>
      </c>
      <c r="N3884" s="5" t="s">
        <v>242</v>
      </c>
      <c r="O3884" s="5">
        <v>1</v>
      </c>
      <c r="P3884" s="5" t="s">
        <v>294</v>
      </c>
      <c r="Q3884" s="5" t="s">
        <v>613</v>
      </c>
      <c r="T3884" s="5" t="s">
        <v>243</v>
      </c>
      <c r="U3884" s="5" t="s">
        <v>244</v>
      </c>
      <c r="V3884" s="5" t="s">
        <v>240</v>
      </c>
      <c r="Y3884" s="5" t="s">
        <v>240</v>
      </c>
      <c r="Z3884" s="6" t="s">
        <v>298</v>
      </c>
      <c r="AA3884" s="6" t="s">
        <v>240</v>
      </c>
      <c r="AB3884" s="6" t="s">
        <v>240</v>
      </c>
      <c r="AC3884" s="5" t="s">
        <v>240</v>
      </c>
      <c r="AD3884" s="6" t="s">
        <v>240</v>
      </c>
      <c r="AE3884" s="6" t="s">
        <v>299</v>
      </c>
      <c r="AF3884" s="5" t="s">
        <v>248</v>
      </c>
      <c r="AG3884" s="5" t="s">
        <v>652</v>
      </c>
      <c r="AM3884" s="5" t="s">
        <v>240</v>
      </c>
      <c r="AN3884" s="5" t="s">
        <v>240</v>
      </c>
      <c r="AO3884" s="5" t="s">
        <v>240</v>
      </c>
      <c r="AP3884" s="6" t="s">
        <v>240</v>
      </c>
      <c r="AQ3884" s="6" t="s">
        <v>240</v>
      </c>
      <c r="AR3884" s="6" t="s">
        <v>240</v>
      </c>
      <c r="AU3884" s="5" t="s">
        <v>729</v>
      </c>
      <c r="AV3884" s="5" t="s">
        <v>729</v>
      </c>
      <c r="AW3884" s="5" t="s">
        <v>251</v>
      </c>
      <c r="AX3884" s="5" t="s">
        <v>6831</v>
      </c>
      <c r="AY3884" s="5" t="s">
        <v>253</v>
      </c>
      <c r="AZ3884" s="5" t="s">
        <v>6046</v>
      </c>
      <c r="BA3884" s="5" t="s">
        <v>255</v>
      </c>
      <c r="BB3884" s="5" t="s">
        <v>731</v>
      </c>
      <c r="BD3884" s="5" t="s">
        <v>686</v>
      </c>
      <c r="BF3884" s="5" t="s">
        <v>732</v>
      </c>
      <c r="BG3884" s="6" t="s">
        <v>733</v>
      </c>
      <c r="BH3884" s="5" t="s">
        <v>302</v>
      </c>
      <c r="BI3884" s="5" t="s">
        <v>6971</v>
      </c>
      <c r="BJ3884" s="5" t="s">
        <v>240</v>
      </c>
      <c r="BK3884" s="8">
        <f>8.76</f>
        <v>8.76</v>
      </c>
      <c r="BL3884" s="7">
        <f>0</f>
        <v>0</v>
      </c>
      <c r="BM3884" s="5" t="s">
        <v>258</v>
      </c>
      <c r="BN3884" s="5" t="s">
        <v>259</v>
      </c>
      <c r="BO3884" s="5" t="s">
        <v>240</v>
      </c>
      <c r="BP3884" s="5" t="s">
        <v>240</v>
      </c>
      <c r="BQ3884" s="5" t="s">
        <v>240</v>
      </c>
      <c r="BR3884" s="5" t="s">
        <v>240</v>
      </c>
      <c r="BW3884" s="6" t="s">
        <v>240</v>
      </c>
      <c r="BX3884" s="5" t="s">
        <v>240</v>
      </c>
      <c r="BY3884" s="5" t="s">
        <v>240</v>
      </c>
      <c r="BZ3884" s="5" t="s">
        <v>240</v>
      </c>
      <c r="CA3884" s="5" t="s">
        <v>259</v>
      </c>
      <c r="CB3884" s="5" t="s">
        <v>240</v>
      </c>
      <c r="CC3884" s="5" t="s">
        <v>240</v>
      </c>
      <c r="CG3884" s="5" t="s">
        <v>617</v>
      </c>
      <c r="CH3884" s="5" t="s">
        <v>305</v>
      </c>
      <c r="CI3884" s="5" t="s">
        <v>260</v>
      </c>
      <c r="CK3884" s="5" t="s">
        <v>240</v>
      </c>
      <c r="CL3884" s="6" t="s">
        <v>261</v>
      </c>
      <c r="CM3884" s="5" t="s">
        <v>262</v>
      </c>
      <c r="CN3884" s="5" t="s">
        <v>293</v>
      </c>
      <c r="CO3884" s="5" t="s">
        <v>264</v>
      </c>
      <c r="CP3884" s="5" t="s">
        <v>240</v>
      </c>
      <c r="CQ3884" s="5">
        <v>0</v>
      </c>
      <c r="CR3884" s="5" t="s">
        <v>735</v>
      </c>
      <c r="CS3884" s="5" t="s">
        <v>307</v>
      </c>
      <c r="CT3884" s="5" t="s">
        <v>307</v>
      </c>
      <c r="CU3884" s="5" t="s">
        <v>260</v>
      </c>
      <c r="CV3884" s="5" t="s">
        <v>240</v>
      </c>
      <c r="CW3884" s="8">
        <f>0</f>
        <v>0</v>
      </c>
      <c r="CX3884" s="7">
        <f>34257189</f>
        <v>34257189</v>
      </c>
      <c r="CY3884" s="7">
        <f>0</f>
        <v>0</v>
      </c>
      <c r="CZ3884" s="7" t="s">
        <v>240</v>
      </c>
      <c r="DA3884" s="7">
        <f>34200880</f>
        <v>34200880</v>
      </c>
      <c r="DB3884" s="7" t="s">
        <v>240</v>
      </c>
      <c r="DC3884" s="5" t="s">
        <v>240</v>
      </c>
      <c r="DD3884" s="5" t="s">
        <v>240</v>
      </c>
      <c r="DF3884" s="5" t="s">
        <v>450</v>
      </c>
      <c r="DG3884" s="7">
        <f>0</f>
        <v>0</v>
      </c>
      <c r="DH3884" s="6" t="s">
        <v>240</v>
      </c>
      <c r="DI3884" s="5" t="s">
        <v>618</v>
      </c>
      <c r="DJ3884" s="5" t="s">
        <v>240</v>
      </c>
      <c r="DK3884" s="5" t="s">
        <v>240</v>
      </c>
      <c r="DL3884" s="5" t="s">
        <v>240</v>
      </c>
      <c r="DM3884" s="5" t="s">
        <v>240</v>
      </c>
      <c r="DN3884" s="5" t="s">
        <v>240</v>
      </c>
      <c r="DO3884" s="7" t="s">
        <v>240</v>
      </c>
      <c r="DP3884" s="5" t="s">
        <v>240</v>
      </c>
      <c r="DQ3884" s="5" t="s">
        <v>248</v>
      </c>
      <c r="DR3884" s="5" t="s">
        <v>731</v>
      </c>
      <c r="DS3884" s="5" t="s">
        <v>731</v>
      </c>
      <c r="DT3884" s="5" t="s">
        <v>240</v>
      </c>
      <c r="DU3884" s="5" t="s">
        <v>240</v>
      </c>
      <c r="DV3884" s="5" t="s">
        <v>6591</v>
      </c>
      <c r="DW3884" s="5" t="s">
        <v>793</v>
      </c>
      <c r="HR3884" s="5" t="s">
        <v>240</v>
      </c>
      <c r="HS3884" s="5" t="s">
        <v>240</v>
      </c>
      <c r="HT3884" s="5" t="s">
        <v>240</v>
      </c>
      <c r="HU3884" s="5" t="s">
        <v>240</v>
      </c>
      <c r="HV3884" s="5" t="s">
        <v>240</v>
      </c>
      <c r="HW3884" s="5" t="s">
        <v>240</v>
      </c>
      <c r="HX3884" s="5" t="s">
        <v>240</v>
      </c>
      <c r="HY3884" s="5" t="s">
        <v>240</v>
      </c>
      <c r="HZ3884" s="5" t="s">
        <v>240</v>
      </c>
      <c r="IA3884" s="5" t="s">
        <v>240</v>
      </c>
      <c r="IB3884" s="5" t="s">
        <v>240</v>
      </c>
      <c r="IC3884" s="5" t="s">
        <v>240</v>
      </c>
      <c r="ID3884" s="5" t="s">
        <v>240</v>
      </c>
      <c r="IE3884" s="5" t="s">
        <v>240</v>
      </c>
      <c r="IF3884" s="5" t="s">
        <v>240</v>
      </c>
    </row>
    <row r="3885" spans="1:240" x14ac:dyDescent="0.4">
      <c r="A3885" s="5">
        <v>9427</v>
      </c>
      <c r="B3885" s="5">
        <v>1</v>
      </c>
      <c r="C3885" s="5">
        <v>1</v>
      </c>
      <c r="D3885" s="5" t="s">
        <v>723</v>
      </c>
      <c r="E3885" s="5" t="s">
        <v>725</v>
      </c>
      <c r="F3885" s="5" t="s">
        <v>254</v>
      </c>
      <c r="G3885" s="5" t="s">
        <v>6032</v>
      </c>
      <c r="H3885" s="6" t="s">
        <v>6033</v>
      </c>
      <c r="I3885" s="5" t="s">
        <v>6031</v>
      </c>
      <c r="J3885" s="7">
        <f>1</f>
        <v>1</v>
      </c>
      <c r="K3885" s="5" t="s">
        <v>3682</v>
      </c>
      <c r="L3885" s="7">
        <f>1</f>
        <v>1</v>
      </c>
      <c r="M3885" s="7">
        <f>1</f>
        <v>1</v>
      </c>
      <c r="N3885" s="5" t="s">
        <v>242</v>
      </c>
      <c r="O3885" s="5">
        <v>1</v>
      </c>
      <c r="P3885" s="5" t="s">
        <v>294</v>
      </c>
      <c r="Q3885" s="5" t="s">
        <v>613</v>
      </c>
      <c r="T3885" s="5" t="s">
        <v>243</v>
      </c>
      <c r="U3885" s="5" t="s">
        <v>244</v>
      </c>
      <c r="V3885" s="5" t="s">
        <v>240</v>
      </c>
      <c r="Y3885" s="5" t="s">
        <v>240</v>
      </c>
      <c r="Z3885" s="6" t="s">
        <v>298</v>
      </c>
      <c r="AA3885" s="6" t="s">
        <v>240</v>
      </c>
      <c r="AB3885" s="6" t="s">
        <v>240</v>
      </c>
      <c r="AC3885" s="5" t="s">
        <v>240</v>
      </c>
      <c r="AD3885" s="6" t="s">
        <v>240</v>
      </c>
      <c r="AE3885" s="6" t="s">
        <v>299</v>
      </c>
      <c r="AF3885" s="5" t="s">
        <v>248</v>
      </c>
      <c r="AG3885" s="5" t="s">
        <v>249</v>
      </c>
      <c r="AM3885" s="5" t="s">
        <v>240</v>
      </c>
      <c r="AN3885" s="5" t="s">
        <v>240</v>
      </c>
      <c r="AO3885" s="5" t="s">
        <v>240</v>
      </c>
      <c r="AP3885" s="6" t="s">
        <v>240</v>
      </c>
      <c r="AQ3885" s="6" t="s">
        <v>240</v>
      </c>
      <c r="AR3885" s="6" t="s">
        <v>240</v>
      </c>
      <c r="AU3885" s="5" t="s">
        <v>729</v>
      </c>
      <c r="AV3885" s="5" t="s">
        <v>729</v>
      </c>
      <c r="AW3885" s="5" t="s">
        <v>251</v>
      </c>
      <c r="AX3885" s="5" t="s">
        <v>6831</v>
      </c>
      <c r="AY3885" s="5" t="s">
        <v>253</v>
      </c>
      <c r="AZ3885" s="5" t="s">
        <v>240</v>
      </c>
      <c r="BA3885" s="5" t="s">
        <v>255</v>
      </c>
      <c r="BB3885" s="5" t="s">
        <v>731</v>
      </c>
      <c r="BD3885" s="5" t="s">
        <v>240</v>
      </c>
      <c r="BF3885" s="5" t="s">
        <v>256</v>
      </c>
      <c r="BG3885" s="6" t="s">
        <v>270</v>
      </c>
      <c r="BH3885" s="5" t="s">
        <v>302</v>
      </c>
      <c r="BI3885" s="5" t="s">
        <v>303</v>
      </c>
      <c r="BJ3885" s="5" t="s">
        <v>240</v>
      </c>
      <c r="BK3885" s="8">
        <f>0</f>
        <v>0</v>
      </c>
      <c r="BL3885" s="7">
        <f>0</f>
        <v>0</v>
      </c>
      <c r="BM3885" s="5" t="s">
        <v>258</v>
      </c>
      <c r="BN3885" s="5" t="s">
        <v>259</v>
      </c>
      <c r="BO3885" s="5" t="s">
        <v>240</v>
      </c>
      <c r="BP3885" s="5" t="s">
        <v>240</v>
      </c>
      <c r="BQ3885" s="5" t="s">
        <v>240</v>
      </c>
      <c r="BR3885" s="5" t="s">
        <v>240</v>
      </c>
      <c r="BW3885" s="6" t="s">
        <v>240</v>
      </c>
      <c r="BX3885" s="5" t="s">
        <v>240</v>
      </c>
      <c r="BY3885" s="5" t="s">
        <v>240</v>
      </c>
      <c r="BZ3885" s="5" t="s">
        <v>240</v>
      </c>
      <c r="CA3885" s="5" t="s">
        <v>259</v>
      </c>
      <c r="CB3885" s="5" t="s">
        <v>240</v>
      </c>
      <c r="CC3885" s="5" t="s">
        <v>240</v>
      </c>
      <c r="CG3885" s="5" t="s">
        <v>617</v>
      </c>
      <c r="CH3885" s="5" t="s">
        <v>305</v>
      </c>
      <c r="CI3885" s="5" t="s">
        <v>260</v>
      </c>
      <c r="CK3885" s="5" t="s">
        <v>240</v>
      </c>
      <c r="CL3885" s="6" t="s">
        <v>261</v>
      </c>
      <c r="CM3885" s="5" t="s">
        <v>262</v>
      </c>
      <c r="CN3885" s="5" t="s">
        <v>263</v>
      </c>
      <c r="CO3885" s="5" t="s">
        <v>264</v>
      </c>
      <c r="CP3885" s="5" t="s">
        <v>240</v>
      </c>
      <c r="CQ3885" s="5">
        <v>0</v>
      </c>
      <c r="CR3885" s="5" t="s">
        <v>306</v>
      </c>
      <c r="CS3885" s="5" t="s">
        <v>307</v>
      </c>
      <c r="CT3885" s="5" t="s">
        <v>307</v>
      </c>
      <c r="CU3885" s="5" t="s">
        <v>260</v>
      </c>
      <c r="CV3885" s="5" t="s">
        <v>240</v>
      </c>
      <c r="CW3885" s="8">
        <f>0</f>
        <v>0</v>
      </c>
      <c r="CX3885" s="7">
        <f>1898803</f>
        <v>1898803</v>
      </c>
      <c r="CY3885" s="7">
        <f>0</f>
        <v>0</v>
      </c>
      <c r="CZ3885" s="7" t="s">
        <v>240</v>
      </c>
      <c r="DA3885" s="7">
        <f>1898803</f>
        <v>1898803</v>
      </c>
      <c r="DB3885" s="7" t="s">
        <v>240</v>
      </c>
      <c r="DC3885" s="5" t="s">
        <v>240</v>
      </c>
      <c r="DD3885" s="5" t="s">
        <v>240</v>
      </c>
      <c r="DF3885" s="5" t="s">
        <v>450</v>
      </c>
      <c r="DG3885" s="7">
        <f>0</f>
        <v>0</v>
      </c>
      <c r="DH3885" s="6" t="s">
        <v>240</v>
      </c>
      <c r="DI3885" s="5" t="s">
        <v>843</v>
      </c>
      <c r="DJ3885" s="5" t="s">
        <v>240</v>
      </c>
      <c r="DK3885" s="5" t="s">
        <v>240</v>
      </c>
      <c r="DL3885" s="5" t="s">
        <v>240</v>
      </c>
      <c r="DM3885" s="5" t="s">
        <v>240</v>
      </c>
      <c r="DN3885" s="5" t="s">
        <v>240</v>
      </c>
      <c r="DO3885" s="7" t="s">
        <v>240</v>
      </c>
      <c r="DP3885" s="5" t="s">
        <v>240</v>
      </c>
      <c r="DQ3885" s="5" t="s">
        <v>248</v>
      </c>
      <c r="DR3885" s="5" t="s">
        <v>731</v>
      </c>
      <c r="DS3885" s="5" t="s">
        <v>731</v>
      </c>
      <c r="DT3885" s="5" t="s">
        <v>240</v>
      </c>
      <c r="DU3885" s="5" t="s">
        <v>240</v>
      </c>
      <c r="DV3885" s="5" t="s">
        <v>6839</v>
      </c>
      <c r="DW3885" s="5" t="s">
        <v>820</v>
      </c>
      <c r="HR3885" s="5" t="s">
        <v>240</v>
      </c>
      <c r="HS3885" s="5" t="s">
        <v>240</v>
      </c>
      <c r="HT3885" s="5" t="s">
        <v>240</v>
      </c>
      <c r="HU3885" s="5" t="s">
        <v>240</v>
      </c>
      <c r="HV3885" s="5" t="s">
        <v>240</v>
      </c>
      <c r="HW3885" s="5" t="s">
        <v>240</v>
      </c>
      <c r="HX3885" s="5" t="s">
        <v>240</v>
      </c>
      <c r="HY3885" s="5" t="s">
        <v>240</v>
      </c>
      <c r="HZ3885" s="5" t="s">
        <v>240</v>
      </c>
      <c r="IA3885" s="5" t="s">
        <v>240</v>
      </c>
      <c r="IB3885" s="5" t="s">
        <v>240</v>
      </c>
      <c r="IC3885" s="5" t="s">
        <v>240</v>
      </c>
      <c r="ID3885" s="5" t="s">
        <v>240</v>
      </c>
      <c r="IE3885" s="5" t="s">
        <v>240</v>
      </c>
      <c r="IF3885" s="5" t="s">
        <v>240</v>
      </c>
    </row>
    <row r="3886" spans="1:240" x14ac:dyDescent="0.4">
      <c r="A3886" s="5">
        <v>9428</v>
      </c>
      <c r="B3886" s="5">
        <v>1</v>
      </c>
      <c r="C3886" s="5">
        <v>1</v>
      </c>
      <c r="D3886" s="5" t="s">
        <v>723</v>
      </c>
      <c r="E3886" s="5" t="s">
        <v>725</v>
      </c>
      <c r="F3886" s="5" t="s">
        <v>254</v>
      </c>
      <c r="G3886" s="5" t="s">
        <v>726</v>
      </c>
      <c r="H3886" s="6" t="s">
        <v>6035</v>
      </c>
      <c r="I3886" s="5" t="s">
        <v>6034</v>
      </c>
      <c r="J3886" s="7">
        <f>1</f>
        <v>1</v>
      </c>
      <c r="K3886" s="5" t="s">
        <v>3682</v>
      </c>
      <c r="L3886" s="7">
        <f>1</f>
        <v>1</v>
      </c>
      <c r="M3886" s="7">
        <f>1</f>
        <v>1</v>
      </c>
      <c r="N3886" s="5" t="s">
        <v>242</v>
      </c>
      <c r="O3886" s="5">
        <v>1</v>
      </c>
      <c r="P3886" s="5" t="s">
        <v>294</v>
      </c>
      <c r="Q3886" s="5" t="s">
        <v>240</v>
      </c>
      <c r="T3886" s="5" t="s">
        <v>240</v>
      </c>
      <c r="U3886" s="5" t="s">
        <v>240</v>
      </c>
      <c r="V3886" s="5" t="s">
        <v>240</v>
      </c>
      <c r="Y3886" s="5" t="s">
        <v>240</v>
      </c>
      <c r="Z3886" s="6" t="s">
        <v>6893</v>
      </c>
      <c r="AA3886" s="6" t="s">
        <v>240</v>
      </c>
      <c r="AB3886" s="6" t="s">
        <v>240</v>
      </c>
      <c r="AC3886" s="5" t="s">
        <v>240</v>
      </c>
      <c r="AD3886" s="6" t="s">
        <v>240</v>
      </c>
      <c r="AE3886" s="6" t="s">
        <v>240</v>
      </c>
      <c r="AF3886" s="5" t="s">
        <v>248</v>
      </c>
      <c r="AG3886" s="5" t="s">
        <v>240</v>
      </c>
      <c r="AM3886" s="5" t="s">
        <v>240</v>
      </c>
      <c r="AN3886" s="5" t="s">
        <v>240</v>
      </c>
      <c r="AO3886" s="5" t="s">
        <v>240</v>
      </c>
      <c r="AP3886" s="6" t="s">
        <v>240</v>
      </c>
      <c r="AQ3886" s="6" t="s">
        <v>240</v>
      </c>
      <c r="AR3886" s="6" t="s">
        <v>240</v>
      </c>
      <c r="AT3886" s="5" t="s">
        <v>6894</v>
      </c>
      <c r="AU3886" s="5" t="s">
        <v>240</v>
      </c>
      <c r="AV3886" s="5" t="s">
        <v>240</v>
      </c>
      <c r="AW3886" s="5" t="s">
        <v>251</v>
      </c>
      <c r="AX3886" s="5" t="s">
        <v>252</v>
      </c>
      <c r="AY3886" s="5" t="s">
        <v>253</v>
      </c>
      <c r="AZ3886" s="5" t="s">
        <v>240</v>
      </c>
      <c r="BA3886" s="5" t="s">
        <v>6895</v>
      </c>
      <c r="BB3886" s="5" t="s">
        <v>731</v>
      </c>
      <c r="BD3886" s="5" t="s">
        <v>240</v>
      </c>
      <c r="BF3886" s="5" t="s">
        <v>6763</v>
      </c>
      <c r="BG3886" s="6" t="s">
        <v>6893</v>
      </c>
      <c r="BH3886" s="5" t="s">
        <v>734</v>
      </c>
      <c r="BI3886" s="5" t="s">
        <v>734</v>
      </c>
      <c r="BJ3886" s="5" t="s">
        <v>240</v>
      </c>
      <c r="BK3886" s="7">
        <f>0</f>
        <v>0</v>
      </c>
      <c r="BL3886" s="7">
        <f>251920</f>
        <v>251920</v>
      </c>
      <c r="BM3886" s="5" t="s">
        <v>258</v>
      </c>
      <c r="BN3886" s="5" t="s">
        <v>259</v>
      </c>
      <c r="BO3886" s="5" t="s">
        <v>240</v>
      </c>
      <c r="BP3886" s="5" t="s">
        <v>240</v>
      </c>
      <c r="BQ3886" s="5" t="s">
        <v>240</v>
      </c>
      <c r="BR3886" s="5" t="s">
        <v>240</v>
      </c>
      <c r="BW3886" s="6" t="s">
        <v>240</v>
      </c>
      <c r="BX3886" s="5" t="s">
        <v>240</v>
      </c>
      <c r="BY3886" s="5" t="s">
        <v>240</v>
      </c>
      <c r="BZ3886" s="5" t="s">
        <v>240</v>
      </c>
      <c r="CA3886" s="5" t="s">
        <v>259</v>
      </c>
      <c r="CB3886" s="5" t="s">
        <v>240</v>
      </c>
      <c r="CC3886" s="5" t="s">
        <v>240</v>
      </c>
      <c r="CG3886" s="5" t="s">
        <v>240</v>
      </c>
      <c r="CH3886" s="5" t="s">
        <v>240</v>
      </c>
      <c r="CI3886" s="5" t="s">
        <v>260</v>
      </c>
      <c r="CK3886" s="5" t="s">
        <v>240</v>
      </c>
      <c r="CL3886" s="6" t="s">
        <v>261</v>
      </c>
      <c r="CM3886" s="5" t="s">
        <v>262</v>
      </c>
      <c r="CN3886" s="5" t="s">
        <v>293</v>
      </c>
      <c r="CO3886" s="5" t="s">
        <v>264</v>
      </c>
      <c r="CP3886" s="5" t="s">
        <v>240</v>
      </c>
      <c r="CQ3886" s="5">
        <v>0</v>
      </c>
      <c r="CR3886" s="5" t="s">
        <v>240</v>
      </c>
      <c r="CS3886" s="5" t="s">
        <v>240</v>
      </c>
      <c r="CT3886" s="5" t="s">
        <v>240</v>
      </c>
      <c r="CU3886" s="5" t="s">
        <v>260</v>
      </c>
      <c r="CV3886" s="5" t="s">
        <v>240</v>
      </c>
      <c r="CW3886" s="8">
        <f>0</f>
        <v>0</v>
      </c>
      <c r="CX3886" s="7">
        <f>251920</f>
        <v>251920</v>
      </c>
      <c r="CY3886" s="7">
        <f>0</f>
        <v>0</v>
      </c>
      <c r="CZ3886" s="7">
        <f>0</f>
        <v>0</v>
      </c>
      <c r="DA3886" s="7">
        <f>251920</f>
        <v>251920</v>
      </c>
      <c r="DB3886" s="7" t="s">
        <v>240</v>
      </c>
      <c r="DC3886" s="5" t="s">
        <v>240</v>
      </c>
      <c r="DD3886" s="5" t="s">
        <v>240</v>
      </c>
      <c r="DF3886" s="5" t="s">
        <v>240</v>
      </c>
      <c r="DG3886" s="7">
        <f>0</f>
        <v>0</v>
      </c>
      <c r="DH3886" s="6" t="s">
        <v>240</v>
      </c>
      <c r="DI3886" s="5" t="s">
        <v>240</v>
      </c>
      <c r="DJ3886" s="5" t="s">
        <v>240</v>
      </c>
      <c r="DK3886" s="5" t="s">
        <v>240</v>
      </c>
      <c r="DL3886" s="5" t="s">
        <v>240</v>
      </c>
      <c r="DM3886" s="5" t="s">
        <v>240</v>
      </c>
      <c r="DN3886" s="5" t="s">
        <v>240</v>
      </c>
      <c r="DO3886" s="7" t="s">
        <v>240</v>
      </c>
      <c r="DP3886" s="5" t="s">
        <v>240</v>
      </c>
      <c r="DQ3886" s="5" t="s">
        <v>248</v>
      </c>
      <c r="DR3886" s="5" t="s">
        <v>731</v>
      </c>
      <c r="DS3886" s="5" t="s">
        <v>731</v>
      </c>
      <c r="DT3886" s="5" t="s">
        <v>240</v>
      </c>
      <c r="DU3886" s="5" t="s">
        <v>240</v>
      </c>
      <c r="GN3886" s="5" t="s">
        <v>6974</v>
      </c>
      <c r="HR3886" s="5" t="s">
        <v>240</v>
      </c>
      <c r="HS3886" s="5" t="s">
        <v>240</v>
      </c>
      <c r="HT3886" s="5" t="s">
        <v>240</v>
      </c>
      <c r="HU3886" s="5" t="s">
        <v>240</v>
      </c>
      <c r="HV3886" s="5" t="s">
        <v>240</v>
      </c>
      <c r="HW3886" s="5" t="s">
        <v>240</v>
      </c>
      <c r="HX3886" s="5" t="s">
        <v>240</v>
      </c>
      <c r="HY3886" s="5" t="s">
        <v>240</v>
      </c>
      <c r="HZ3886" s="5" t="s">
        <v>240</v>
      </c>
      <c r="IA3886" s="5" t="s">
        <v>240</v>
      </c>
      <c r="IB3886" s="5" t="s">
        <v>240</v>
      </c>
      <c r="IC3886" s="5" t="s">
        <v>240</v>
      </c>
      <c r="ID3886" s="5" t="s">
        <v>240</v>
      </c>
      <c r="IE3886" s="5" t="s">
        <v>240</v>
      </c>
      <c r="IF3886" s="5" t="s">
        <v>240</v>
      </c>
    </row>
    <row r="3887" spans="1:240" x14ac:dyDescent="0.4">
      <c r="A3887" s="5">
        <v>9429</v>
      </c>
      <c r="B3887" s="5">
        <v>1</v>
      </c>
      <c r="C3887" s="5">
        <v>1</v>
      </c>
      <c r="D3887" s="5" t="s">
        <v>723</v>
      </c>
      <c r="E3887" s="5" t="s">
        <v>725</v>
      </c>
      <c r="F3887" s="5" t="s">
        <v>254</v>
      </c>
      <c r="G3887" s="5" t="s">
        <v>726</v>
      </c>
      <c r="H3887" s="6" t="s">
        <v>6041</v>
      </c>
      <c r="I3887" s="5" t="s">
        <v>6040</v>
      </c>
      <c r="J3887" s="7">
        <f>1</f>
        <v>1</v>
      </c>
      <c r="K3887" s="5" t="s">
        <v>3682</v>
      </c>
      <c r="L3887" s="7">
        <f>1</f>
        <v>1</v>
      </c>
      <c r="M3887" s="7">
        <f>1</f>
        <v>1</v>
      </c>
      <c r="N3887" s="5" t="s">
        <v>242</v>
      </c>
      <c r="O3887" s="5">
        <v>1</v>
      </c>
      <c r="P3887" s="5" t="s">
        <v>294</v>
      </c>
      <c r="Q3887" s="5" t="s">
        <v>240</v>
      </c>
      <c r="T3887" s="5" t="s">
        <v>240</v>
      </c>
      <c r="U3887" s="5" t="s">
        <v>240</v>
      </c>
      <c r="V3887" s="5" t="s">
        <v>240</v>
      </c>
      <c r="Y3887" s="5" t="s">
        <v>246</v>
      </c>
      <c r="Z3887" s="6" t="s">
        <v>6976</v>
      </c>
      <c r="AA3887" s="6" t="s">
        <v>240</v>
      </c>
      <c r="AB3887" s="6" t="s">
        <v>240</v>
      </c>
      <c r="AC3887" s="5" t="s">
        <v>240</v>
      </c>
      <c r="AD3887" s="6" t="s">
        <v>240</v>
      </c>
      <c r="AE3887" s="6" t="s">
        <v>6976</v>
      </c>
      <c r="AF3887" s="5" t="s">
        <v>248</v>
      </c>
      <c r="AG3887" s="5" t="s">
        <v>240</v>
      </c>
      <c r="AM3887" s="5" t="s">
        <v>240</v>
      </c>
      <c r="AN3887" s="5" t="s">
        <v>240</v>
      </c>
      <c r="AO3887" s="5" t="s">
        <v>240</v>
      </c>
      <c r="AP3887" s="6" t="s">
        <v>240</v>
      </c>
      <c r="AQ3887" s="6" t="s">
        <v>240</v>
      </c>
      <c r="AR3887" s="6" t="s">
        <v>240</v>
      </c>
      <c r="AU3887" s="5" t="s">
        <v>729</v>
      </c>
      <c r="AV3887" s="5" t="s">
        <v>729</v>
      </c>
      <c r="AW3887" s="5" t="s">
        <v>251</v>
      </c>
      <c r="AX3887" s="5" t="s">
        <v>252</v>
      </c>
      <c r="AY3887" s="5" t="s">
        <v>253</v>
      </c>
      <c r="AZ3887" s="5" t="s">
        <v>240</v>
      </c>
      <c r="BA3887" s="5" t="s">
        <v>255</v>
      </c>
      <c r="BB3887" s="5" t="s">
        <v>731</v>
      </c>
      <c r="BD3887" s="5" t="s">
        <v>240</v>
      </c>
      <c r="BF3887" s="5" t="s">
        <v>6763</v>
      </c>
      <c r="BG3887" s="6" t="s">
        <v>6977</v>
      </c>
      <c r="BH3887" s="5" t="s">
        <v>6742</v>
      </c>
      <c r="BI3887" s="5" t="s">
        <v>6743</v>
      </c>
      <c r="BJ3887" s="5" t="s">
        <v>240</v>
      </c>
      <c r="BK3887" s="8">
        <f>0</f>
        <v>0</v>
      </c>
      <c r="BL3887" s="7">
        <f>69683</f>
        <v>69683</v>
      </c>
      <c r="BM3887" s="5" t="s">
        <v>258</v>
      </c>
      <c r="BN3887" s="5" t="s">
        <v>259</v>
      </c>
      <c r="BO3887" s="5" t="s">
        <v>6744</v>
      </c>
      <c r="BP3887" s="5" t="s">
        <v>6745</v>
      </c>
      <c r="BQ3887" s="5" t="s">
        <v>6746</v>
      </c>
      <c r="BR3887" s="5" t="s">
        <v>240</v>
      </c>
      <c r="BS3887" s="5" t="s">
        <v>258</v>
      </c>
      <c r="BT3887" s="5" t="s">
        <v>6747</v>
      </c>
      <c r="BU3887" s="5" t="s">
        <v>6747</v>
      </c>
      <c r="BW3887" s="6" t="s">
        <v>6978</v>
      </c>
      <c r="BX3887" s="5" t="s">
        <v>258</v>
      </c>
      <c r="BY3887" s="5" t="s">
        <v>240</v>
      </c>
      <c r="BZ3887" s="5" t="s">
        <v>240</v>
      </c>
      <c r="CA3887" s="5" t="s">
        <v>259</v>
      </c>
      <c r="CB3887" s="5" t="s">
        <v>240</v>
      </c>
      <c r="CC3887" s="5" t="s">
        <v>240</v>
      </c>
      <c r="CG3887" s="5" t="s">
        <v>240</v>
      </c>
      <c r="CH3887" s="5" t="s">
        <v>240</v>
      </c>
      <c r="CI3887" s="5" t="s">
        <v>260</v>
      </c>
      <c r="CK3887" s="5" t="s">
        <v>240</v>
      </c>
      <c r="CL3887" s="6" t="s">
        <v>261</v>
      </c>
      <c r="CM3887" s="5" t="s">
        <v>262</v>
      </c>
      <c r="CN3887" s="5" t="s">
        <v>293</v>
      </c>
      <c r="CO3887" s="5" t="s">
        <v>264</v>
      </c>
      <c r="CP3887" s="5" t="s">
        <v>240</v>
      </c>
      <c r="CQ3887" s="5">
        <v>0</v>
      </c>
      <c r="CR3887" s="5" t="s">
        <v>240</v>
      </c>
      <c r="CS3887" s="5" t="s">
        <v>240</v>
      </c>
      <c r="CT3887" s="5" t="s">
        <v>240</v>
      </c>
      <c r="CU3887" s="5" t="s">
        <v>260</v>
      </c>
      <c r="CV3887" s="5" t="s">
        <v>240</v>
      </c>
      <c r="CW3887" s="8">
        <f>1800</f>
        <v>1800</v>
      </c>
      <c r="CX3887" s="7">
        <f>7662573</f>
        <v>7662573</v>
      </c>
      <c r="CY3887" s="7">
        <f>0</f>
        <v>0</v>
      </c>
      <c r="CZ3887" s="7">
        <f>0</f>
        <v>0</v>
      </c>
      <c r="DA3887" s="7">
        <f>7662573</f>
        <v>7662573</v>
      </c>
      <c r="DB3887" s="7" t="s">
        <v>240</v>
      </c>
      <c r="DC3887" s="5" t="s">
        <v>240</v>
      </c>
      <c r="DD3887" s="5" t="s">
        <v>240</v>
      </c>
      <c r="DF3887" s="5" t="s">
        <v>240</v>
      </c>
      <c r="DG3887" s="7">
        <f>0</f>
        <v>0</v>
      </c>
      <c r="DH3887" s="6" t="s">
        <v>240</v>
      </c>
      <c r="DI3887" s="5" t="s">
        <v>240</v>
      </c>
      <c r="DJ3887" s="5" t="s">
        <v>240</v>
      </c>
      <c r="DK3887" s="5" t="s">
        <v>240</v>
      </c>
      <c r="DL3887" s="5" t="s">
        <v>240</v>
      </c>
      <c r="DM3887" s="5" t="s">
        <v>240</v>
      </c>
      <c r="DN3887" s="5" t="s">
        <v>240</v>
      </c>
      <c r="DO3887" s="7" t="s">
        <v>240</v>
      </c>
      <c r="DP3887" s="5" t="s">
        <v>240</v>
      </c>
      <c r="DQ3887" s="5" t="s">
        <v>248</v>
      </c>
      <c r="DR3887" s="5" t="s">
        <v>731</v>
      </c>
      <c r="DS3887" s="5" t="s">
        <v>731</v>
      </c>
      <c r="DT3887" s="5" t="s">
        <v>240</v>
      </c>
      <c r="DU3887" s="5" t="s">
        <v>240</v>
      </c>
      <c r="GN3887" s="5" t="s">
        <v>6979</v>
      </c>
      <c r="HR3887" s="5" t="s">
        <v>240</v>
      </c>
      <c r="HS3887" s="5" t="s">
        <v>240</v>
      </c>
      <c r="HT3887" s="5" t="s">
        <v>240</v>
      </c>
      <c r="HU3887" s="5" t="s">
        <v>240</v>
      </c>
      <c r="HV3887" s="5" t="s">
        <v>240</v>
      </c>
      <c r="HW3887" s="5" t="s">
        <v>240</v>
      </c>
      <c r="HX3887" s="5" t="s">
        <v>240</v>
      </c>
      <c r="HY3887" s="5" t="s">
        <v>240</v>
      </c>
      <c r="HZ3887" s="5" t="s">
        <v>240</v>
      </c>
      <c r="IA3887" s="5" t="s">
        <v>240</v>
      </c>
      <c r="IB3887" s="5" t="s">
        <v>240</v>
      </c>
      <c r="IC3887" s="5" t="s">
        <v>240</v>
      </c>
      <c r="ID3887" s="5" t="s">
        <v>240</v>
      </c>
      <c r="IE3887" s="5" t="s">
        <v>240</v>
      </c>
      <c r="IF3887" s="5" t="s">
        <v>240</v>
      </c>
    </row>
    <row r="3888" spans="1:240" x14ac:dyDescent="0.4">
      <c r="A3888" s="5">
        <v>9430</v>
      </c>
      <c r="B3888" s="5">
        <v>1</v>
      </c>
      <c r="C3888" s="5">
        <v>1</v>
      </c>
      <c r="D3888" s="5" t="s">
        <v>723</v>
      </c>
      <c r="E3888" s="5" t="s">
        <v>725</v>
      </c>
      <c r="F3888" s="5" t="s">
        <v>254</v>
      </c>
      <c r="G3888" s="5" t="s">
        <v>6044</v>
      </c>
      <c r="H3888" s="6" t="s">
        <v>6045</v>
      </c>
      <c r="I3888" s="5" t="s">
        <v>6043</v>
      </c>
      <c r="J3888" s="7">
        <f>1</f>
        <v>1</v>
      </c>
      <c r="K3888" s="5" t="s">
        <v>3682</v>
      </c>
      <c r="L3888" s="7">
        <f>1</f>
        <v>1</v>
      </c>
      <c r="M3888" s="7">
        <f>1</f>
        <v>1</v>
      </c>
      <c r="N3888" s="5" t="s">
        <v>242</v>
      </c>
      <c r="O3888" s="5">
        <v>1</v>
      </c>
      <c r="P3888" s="5" t="s">
        <v>294</v>
      </c>
      <c r="Q3888" s="5" t="s">
        <v>613</v>
      </c>
      <c r="T3888" s="5" t="s">
        <v>243</v>
      </c>
      <c r="U3888" s="5" t="s">
        <v>244</v>
      </c>
      <c r="V3888" s="5" t="s">
        <v>240</v>
      </c>
      <c r="Y3888" s="5" t="s">
        <v>240</v>
      </c>
      <c r="Z3888" s="6" t="s">
        <v>298</v>
      </c>
      <c r="AA3888" s="6" t="s">
        <v>240</v>
      </c>
      <c r="AB3888" s="6" t="s">
        <v>240</v>
      </c>
      <c r="AC3888" s="5" t="s">
        <v>240</v>
      </c>
      <c r="AD3888" s="6" t="s">
        <v>240</v>
      </c>
      <c r="AE3888" s="6" t="s">
        <v>299</v>
      </c>
      <c r="AF3888" s="5" t="s">
        <v>248</v>
      </c>
      <c r="AG3888" s="5" t="s">
        <v>249</v>
      </c>
      <c r="AM3888" s="5" t="s">
        <v>240</v>
      </c>
      <c r="AN3888" s="5" t="s">
        <v>240</v>
      </c>
      <c r="AO3888" s="5" t="s">
        <v>240</v>
      </c>
      <c r="AP3888" s="6" t="s">
        <v>240</v>
      </c>
      <c r="AQ3888" s="6" t="s">
        <v>240</v>
      </c>
      <c r="AW3888" s="5" t="s">
        <v>251</v>
      </c>
      <c r="AX3888" s="5" t="s">
        <v>252</v>
      </c>
      <c r="AY3888" s="5" t="s">
        <v>253</v>
      </c>
      <c r="AZ3888" s="5" t="s">
        <v>6046</v>
      </c>
      <c r="BA3888" s="5" t="s">
        <v>255</v>
      </c>
      <c r="BB3888" s="5" t="s">
        <v>731</v>
      </c>
      <c r="BD3888" s="5" t="s">
        <v>686</v>
      </c>
      <c r="BF3888" s="5" t="s">
        <v>301</v>
      </c>
      <c r="BG3888" s="6" t="s">
        <v>733</v>
      </c>
      <c r="BH3888" s="5" t="s">
        <v>302</v>
      </c>
      <c r="BI3888" s="5" t="s">
        <v>303</v>
      </c>
      <c r="BJ3888" s="5" t="s">
        <v>240</v>
      </c>
      <c r="BK3888" s="8">
        <f>0</f>
        <v>0</v>
      </c>
      <c r="BL3888" s="7">
        <f>0</f>
        <v>0</v>
      </c>
      <c r="BM3888" s="5" t="s">
        <v>258</v>
      </c>
      <c r="BN3888" s="5" t="s">
        <v>259</v>
      </c>
      <c r="BW3888" s="6" t="s">
        <v>240</v>
      </c>
      <c r="BX3888" s="5" t="s">
        <v>240</v>
      </c>
      <c r="BY3888" s="5" t="s">
        <v>240</v>
      </c>
      <c r="BZ3888" s="5" t="s">
        <v>240</v>
      </c>
      <c r="CB3888" s="5" t="s">
        <v>240</v>
      </c>
      <c r="CC3888" s="5" t="s">
        <v>240</v>
      </c>
      <c r="CG3888" s="5" t="s">
        <v>617</v>
      </c>
      <c r="CH3888" s="5" t="s">
        <v>305</v>
      </c>
      <c r="CI3888" s="5" t="s">
        <v>260</v>
      </c>
      <c r="CK3888" s="5" t="s">
        <v>240</v>
      </c>
      <c r="CL3888" s="6" t="s">
        <v>261</v>
      </c>
      <c r="CM3888" s="5" t="s">
        <v>240</v>
      </c>
      <c r="CN3888" s="5" t="s">
        <v>263</v>
      </c>
      <c r="CO3888" s="5" t="s">
        <v>240</v>
      </c>
      <c r="CP3888" s="5" t="s">
        <v>240</v>
      </c>
      <c r="CQ3888" s="5">
        <v>0</v>
      </c>
      <c r="CR3888" s="5" t="s">
        <v>735</v>
      </c>
      <c r="CS3888" s="5" t="s">
        <v>307</v>
      </c>
      <c r="CT3888" s="5" t="s">
        <v>307</v>
      </c>
      <c r="CU3888" s="5" t="s">
        <v>260</v>
      </c>
      <c r="CV3888" s="5" t="s">
        <v>240</v>
      </c>
      <c r="CW3888" s="8" t="s">
        <v>240</v>
      </c>
      <c r="CX3888" s="7">
        <f>4558881</f>
        <v>4558881</v>
      </c>
      <c r="CY3888" s="7">
        <f>0</f>
        <v>0</v>
      </c>
      <c r="CZ3888" s="7" t="s">
        <v>240</v>
      </c>
      <c r="DA3888" s="7">
        <f>0</f>
        <v>0</v>
      </c>
      <c r="DB3888" s="7" t="s">
        <v>240</v>
      </c>
      <c r="DC3888" s="5" t="s">
        <v>843</v>
      </c>
      <c r="DD3888" s="5" t="s">
        <v>240</v>
      </c>
      <c r="DF3888" s="5" t="s">
        <v>450</v>
      </c>
      <c r="DG3888" s="7">
        <f>0</f>
        <v>0</v>
      </c>
      <c r="DH3888" s="6" t="s">
        <v>240</v>
      </c>
      <c r="DI3888" s="5" t="s">
        <v>843</v>
      </c>
      <c r="DJ3888" s="5" t="s">
        <v>240</v>
      </c>
      <c r="DK3888" s="5" t="s">
        <v>240</v>
      </c>
      <c r="DL3888" s="5" t="s">
        <v>240</v>
      </c>
      <c r="DM3888" s="5" t="s">
        <v>240</v>
      </c>
      <c r="DN3888" s="5" t="s">
        <v>240</v>
      </c>
      <c r="DO3888" s="7" t="s">
        <v>240</v>
      </c>
      <c r="DP3888" s="5" t="s">
        <v>240</v>
      </c>
      <c r="DQ3888" s="5" t="s">
        <v>248</v>
      </c>
      <c r="DR3888" s="5" t="s">
        <v>731</v>
      </c>
      <c r="DS3888" s="5" t="s">
        <v>731</v>
      </c>
      <c r="DT3888" s="5" t="s">
        <v>240</v>
      </c>
      <c r="DU3888" s="5" t="s">
        <v>240</v>
      </c>
      <c r="DV3888" s="5" t="s">
        <v>6839</v>
      </c>
      <c r="DW3888" s="5" t="s">
        <v>799</v>
      </c>
    </row>
    <row r="3889" spans="1:240" x14ac:dyDescent="0.4">
      <c r="A3889" s="5">
        <v>9431</v>
      </c>
      <c r="B3889" s="5">
        <v>1</v>
      </c>
      <c r="C3889" s="5">
        <v>1</v>
      </c>
      <c r="D3889" s="5" t="s">
        <v>723</v>
      </c>
      <c r="E3889" s="5" t="s">
        <v>725</v>
      </c>
      <c r="F3889" s="5" t="s">
        <v>254</v>
      </c>
      <c r="G3889" s="5" t="s">
        <v>6044</v>
      </c>
      <c r="H3889" s="6" t="s">
        <v>6051</v>
      </c>
      <c r="I3889" s="5" t="s">
        <v>6050</v>
      </c>
      <c r="J3889" s="7">
        <f>1</f>
        <v>1</v>
      </c>
      <c r="K3889" s="5" t="s">
        <v>3682</v>
      </c>
      <c r="L3889" s="7">
        <f>1</f>
        <v>1</v>
      </c>
      <c r="M3889" s="7">
        <f>1</f>
        <v>1</v>
      </c>
      <c r="N3889" s="5" t="s">
        <v>242</v>
      </c>
      <c r="O3889" s="5">
        <v>1</v>
      </c>
      <c r="P3889" s="5" t="s">
        <v>294</v>
      </c>
      <c r="Q3889" s="5" t="s">
        <v>240</v>
      </c>
      <c r="T3889" s="5" t="s">
        <v>243</v>
      </c>
      <c r="U3889" s="5" t="s">
        <v>240</v>
      </c>
      <c r="V3889" s="5" t="s">
        <v>240</v>
      </c>
      <c r="Y3889" s="5" t="s">
        <v>245</v>
      </c>
      <c r="Z3889" s="6" t="s">
        <v>6821</v>
      </c>
      <c r="AA3889" s="6" t="s">
        <v>240</v>
      </c>
      <c r="AB3889" s="6" t="s">
        <v>240</v>
      </c>
      <c r="AC3889" s="5" t="s">
        <v>240</v>
      </c>
      <c r="AD3889" s="6" t="s">
        <v>240</v>
      </c>
      <c r="AE3889" s="6" t="s">
        <v>6821</v>
      </c>
      <c r="AF3889" s="5" t="s">
        <v>248</v>
      </c>
      <c r="AG3889" s="5" t="s">
        <v>240</v>
      </c>
      <c r="AM3889" s="5" t="s">
        <v>240</v>
      </c>
      <c r="AN3889" s="5" t="s">
        <v>240</v>
      </c>
      <c r="AO3889" s="5" t="s">
        <v>240</v>
      </c>
      <c r="AP3889" s="6" t="s">
        <v>240</v>
      </c>
      <c r="AQ3889" s="6" t="s">
        <v>240</v>
      </c>
      <c r="AR3889" s="6" t="s">
        <v>240</v>
      </c>
      <c r="AU3889" s="5" t="s">
        <v>729</v>
      </c>
      <c r="AV3889" s="5" t="s">
        <v>729</v>
      </c>
      <c r="AW3889" s="5" t="s">
        <v>251</v>
      </c>
      <c r="AX3889" s="5" t="s">
        <v>252</v>
      </c>
      <c r="AY3889" s="5" t="s">
        <v>253</v>
      </c>
      <c r="AZ3889" s="5" t="s">
        <v>240</v>
      </c>
      <c r="BA3889" s="5" t="s">
        <v>255</v>
      </c>
      <c r="BB3889" s="5" t="s">
        <v>731</v>
      </c>
      <c r="BD3889" s="5" t="s">
        <v>240</v>
      </c>
      <c r="BF3889" s="5" t="s">
        <v>6763</v>
      </c>
      <c r="BG3889" s="6" t="s">
        <v>6823</v>
      </c>
      <c r="BH3889" s="5" t="s">
        <v>6742</v>
      </c>
      <c r="BI3889" s="5" t="s">
        <v>6743</v>
      </c>
      <c r="BJ3889" s="5" t="s">
        <v>240</v>
      </c>
      <c r="BK3889" s="7">
        <f>0</f>
        <v>0</v>
      </c>
      <c r="BL3889" s="7">
        <f>418000</f>
        <v>418000</v>
      </c>
      <c r="BM3889" s="5" t="s">
        <v>258</v>
      </c>
      <c r="BN3889" s="5" t="s">
        <v>259</v>
      </c>
      <c r="BO3889" s="5" t="s">
        <v>6744</v>
      </c>
      <c r="BP3889" s="5" t="s">
        <v>6745</v>
      </c>
      <c r="BQ3889" s="5" t="s">
        <v>6745</v>
      </c>
      <c r="BR3889" s="5" t="s">
        <v>240</v>
      </c>
      <c r="BS3889" s="5" t="s">
        <v>258</v>
      </c>
      <c r="BT3889" s="5" t="s">
        <v>6747</v>
      </c>
      <c r="BU3889" s="5" t="s">
        <v>6747</v>
      </c>
      <c r="BW3889" s="6" t="s">
        <v>6983</v>
      </c>
      <c r="BX3889" s="5" t="s">
        <v>258</v>
      </c>
      <c r="BY3889" s="5" t="s">
        <v>240</v>
      </c>
      <c r="BZ3889" s="5" t="s">
        <v>240</v>
      </c>
      <c r="CA3889" s="5" t="s">
        <v>259</v>
      </c>
      <c r="CB3889" s="5" t="s">
        <v>240</v>
      </c>
      <c r="CC3889" s="5" t="s">
        <v>240</v>
      </c>
      <c r="CG3889" s="5" t="s">
        <v>240</v>
      </c>
      <c r="CH3889" s="5" t="s">
        <v>240</v>
      </c>
      <c r="CI3889" s="5" t="s">
        <v>260</v>
      </c>
      <c r="CK3889" s="5" t="s">
        <v>240</v>
      </c>
      <c r="CL3889" s="6" t="s">
        <v>261</v>
      </c>
      <c r="CM3889" s="5" t="s">
        <v>262</v>
      </c>
      <c r="CN3889" s="5" t="s">
        <v>293</v>
      </c>
      <c r="CO3889" s="5" t="s">
        <v>264</v>
      </c>
      <c r="CP3889" s="5" t="s">
        <v>240</v>
      </c>
      <c r="CQ3889" s="5">
        <v>0</v>
      </c>
      <c r="CR3889" s="5" t="s">
        <v>240</v>
      </c>
      <c r="CS3889" s="5" t="s">
        <v>240</v>
      </c>
      <c r="CT3889" s="5" t="s">
        <v>240</v>
      </c>
      <c r="CU3889" s="5" t="s">
        <v>260</v>
      </c>
      <c r="CV3889" s="5" t="s">
        <v>240</v>
      </c>
      <c r="CW3889" s="8">
        <f>0</f>
        <v>0</v>
      </c>
      <c r="CX3889" s="7">
        <f>418000</f>
        <v>418000</v>
      </c>
      <c r="CY3889" s="7">
        <f>0</f>
        <v>0</v>
      </c>
      <c r="CZ3889" s="7">
        <f>0</f>
        <v>0</v>
      </c>
      <c r="DA3889" s="7">
        <f>418000</f>
        <v>418000</v>
      </c>
      <c r="DB3889" s="7" t="s">
        <v>240</v>
      </c>
      <c r="DC3889" s="5" t="s">
        <v>240</v>
      </c>
      <c r="DD3889" s="5" t="s">
        <v>240</v>
      </c>
      <c r="DF3889" s="5" t="s">
        <v>240</v>
      </c>
      <c r="DG3889" s="7">
        <f>0</f>
        <v>0</v>
      </c>
      <c r="DH3889" s="6" t="s">
        <v>240</v>
      </c>
      <c r="DI3889" s="5" t="s">
        <v>240</v>
      </c>
      <c r="DJ3889" s="5" t="s">
        <v>240</v>
      </c>
      <c r="DK3889" s="5" t="s">
        <v>240</v>
      </c>
      <c r="DL3889" s="5" t="s">
        <v>240</v>
      </c>
      <c r="DM3889" s="5" t="s">
        <v>240</v>
      </c>
      <c r="DN3889" s="5" t="s">
        <v>240</v>
      </c>
      <c r="DO3889" s="7" t="s">
        <v>240</v>
      </c>
      <c r="DP3889" s="5" t="s">
        <v>240</v>
      </c>
      <c r="DQ3889" s="5" t="s">
        <v>248</v>
      </c>
      <c r="DR3889" s="5" t="s">
        <v>731</v>
      </c>
      <c r="DS3889" s="5" t="s">
        <v>731</v>
      </c>
      <c r="DT3889" s="5" t="s">
        <v>240</v>
      </c>
      <c r="DU3889" s="5" t="s">
        <v>240</v>
      </c>
      <c r="HR3889" s="5" t="s">
        <v>240</v>
      </c>
      <c r="HS3889" s="5" t="s">
        <v>240</v>
      </c>
      <c r="HT3889" s="5" t="s">
        <v>240</v>
      </c>
      <c r="HU3889" s="5" t="s">
        <v>240</v>
      </c>
      <c r="HV3889" s="5" t="s">
        <v>240</v>
      </c>
      <c r="HW3889" s="5" t="s">
        <v>240</v>
      </c>
      <c r="HX3889" s="5" t="s">
        <v>240</v>
      </c>
      <c r="HY3889" s="5" t="s">
        <v>240</v>
      </c>
      <c r="HZ3889" s="5" t="s">
        <v>240</v>
      </c>
      <c r="IA3889" s="5" t="s">
        <v>240</v>
      </c>
      <c r="IB3889" s="5" t="s">
        <v>240</v>
      </c>
      <c r="IC3889" s="5" t="s">
        <v>240</v>
      </c>
      <c r="ID3889" s="5" t="s">
        <v>240</v>
      </c>
      <c r="IE3889" s="5" t="s">
        <v>240</v>
      </c>
      <c r="IF3889" s="5" t="s">
        <v>240</v>
      </c>
    </row>
    <row r="3890" spans="1:240" x14ac:dyDescent="0.4">
      <c r="A3890" s="5">
        <v>9432</v>
      </c>
      <c r="B3890" s="5">
        <v>1</v>
      </c>
      <c r="C3890" s="5">
        <v>1</v>
      </c>
      <c r="D3890" s="5" t="s">
        <v>723</v>
      </c>
      <c r="E3890" s="5" t="s">
        <v>725</v>
      </c>
      <c r="F3890" s="5" t="s">
        <v>254</v>
      </c>
      <c r="G3890" s="5" t="s">
        <v>6044</v>
      </c>
      <c r="H3890" s="6" t="s">
        <v>6054</v>
      </c>
      <c r="I3890" s="5" t="s">
        <v>6053</v>
      </c>
      <c r="J3890" s="7">
        <f>1</f>
        <v>1</v>
      </c>
      <c r="K3890" s="5" t="s">
        <v>3682</v>
      </c>
      <c r="L3890" s="7">
        <f>1</f>
        <v>1</v>
      </c>
      <c r="M3890" s="7">
        <f>1</f>
        <v>1</v>
      </c>
      <c r="N3890" s="5" t="s">
        <v>242</v>
      </c>
      <c r="O3890" s="5">
        <v>1</v>
      </c>
      <c r="P3890" s="5" t="s">
        <v>294</v>
      </c>
      <c r="Q3890" s="5" t="s">
        <v>240</v>
      </c>
      <c r="T3890" s="5" t="s">
        <v>240</v>
      </c>
      <c r="U3890" s="5" t="s">
        <v>240</v>
      </c>
      <c r="V3890" s="5" t="s">
        <v>240</v>
      </c>
      <c r="Y3890" s="5" t="s">
        <v>246</v>
      </c>
      <c r="Z3890" s="6" t="s">
        <v>6985</v>
      </c>
      <c r="AA3890" s="6" t="s">
        <v>240</v>
      </c>
      <c r="AB3890" s="6" t="s">
        <v>240</v>
      </c>
      <c r="AC3890" s="5" t="s">
        <v>240</v>
      </c>
      <c r="AD3890" s="6" t="s">
        <v>240</v>
      </c>
      <c r="AE3890" s="6" t="s">
        <v>6985</v>
      </c>
      <c r="AF3890" s="5" t="s">
        <v>248</v>
      </c>
      <c r="AG3890" s="5" t="s">
        <v>240</v>
      </c>
      <c r="AM3890" s="5" t="s">
        <v>240</v>
      </c>
      <c r="AN3890" s="5" t="s">
        <v>240</v>
      </c>
      <c r="AO3890" s="5" t="s">
        <v>240</v>
      </c>
      <c r="AP3890" s="6" t="s">
        <v>240</v>
      </c>
      <c r="AQ3890" s="6" t="s">
        <v>240</v>
      </c>
      <c r="AR3890" s="6" t="s">
        <v>240</v>
      </c>
      <c r="AU3890" s="5" t="s">
        <v>729</v>
      </c>
      <c r="AV3890" s="5" t="s">
        <v>729</v>
      </c>
      <c r="AW3890" s="5" t="s">
        <v>251</v>
      </c>
      <c r="AX3890" s="5" t="s">
        <v>252</v>
      </c>
      <c r="AY3890" s="5" t="s">
        <v>253</v>
      </c>
      <c r="AZ3890" s="5" t="s">
        <v>240</v>
      </c>
      <c r="BA3890" s="5" t="s">
        <v>255</v>
      </c>
      <c r="BB3890" s="5" t="s">
        <v>731</v>
      </c>
      <c r="BD3890" s="5" t="s">
        <v>240</v>
      </c>
      <c r="BF3890" s="5" t="s">
        <v>6763</v>
      </c>
      <c r="BG3890" s="6" t="s">
        <v>6985</v>
      </c>
      <c r="BH3890" s="5" t="s">
        <v>6743</v>
      </c>
      <c r="BI3890" s="5" t="s">
        <v>6743</v>
      </c>
      <c r="BJ3890" s="5" t="s">
        <v>240</v>
      </c>
      <c r="BK3890" s="8">
        <f>1670.88</f>
        <v>1670.88</v>
      </c>
      <c r="BL3890" s="7">
        <f>0</f>
        <v>0</v>
      </c>
      <c r="BM3890" s="5" t="s">
        <v>258</v>
      </c>
      <c r="BN3890" s="5" t="s">
        <v>259</v>
      </c>
      <c r="BO3890" s="5" t="s">
        <v>6744</v>
      </c>
      <c r="BP3890" s="5" t="s">
        <v>6745</v>
      </c>
      <c r="BQ3890" s="5" t="s">
        <v>6746</v>
      </c>
      <c r="BR3890" s="5" t="s">
        <v>240</v>
      </c>
      <c r="BS3890" s="5" t="s">
        <v>258</v>
      </c>
      <c r="BT3890" s="5" t="s">
        <v>6747</v>
      </c>
      <c r="BU3890" s="5" t="s">
        <v>6747</v>
      </c>
      <c r="BW3890" s="6" t="s">
        <v>6987</v>
      </c>
      <c r="BX3890" s="5" t="s">
        <v>258</v>
      </c>
      <c r="BY3890" s="5" t="s">
        <v>240</v>
      </c>
      <c r="BZ3890" s="5" t="s">
        <v>240</v>
      </c>
      <c r="CA3890" s="5" t="s">
        <v>259</v>
      </c>
      <c r="CB3890" s="5" t="s">
        <v>240</v>
      </c>
      <c r="CC3890" s="5" t="s">
        <v>240</v>
      </c>
      <c r="CG3890" s="5" t="s">
        <v>240</v>
      </c>
      <c r="CH3890" s="5" t="s">
        <v>240</v>
      </c>
      <c r="CI3890" s="5" t="s">
        <v>260</v>
      </c>
      <c r="CK3890" s="5" t="s">
        <v>240</v>
      </c>
      <c r="CL3890" s="6" t="s">
        <v>261</v>
      </c>
      <c r="CM3890" s="5" t="s">
        <v>262</v>
      </c>
      <c r="CN3890" s="5" t="s">
        <v>293</v>
      </c>
      <c r="CO3890" s="5" t="s">
        <v>264</v>
      </c>
      <c r="CP3890" s="5" t="s">
        <v>240</v>
      </c>
      <c r="CQ3890" s="5">
        <v>0</v>
      </c>
      <c r="CR3890" s="5" t="s">
        <v>240</v>
      </c>
      <c r="CS3890" s="5" t="s">
        <v>240</v>
      </c>
      <c r="CT3890" s="5" t="s">
        <v>240</v>
      </c>
      <c r="CU3890" s="5" t="s">
        <v>260</v>
      </c>
      <c r="CV3890" s="5" t="s">
        <v>240</v>
      </c>
      <c r="CW3890" s="8">
        <f>1925</f>
        <v>1925</v>
      </c>
      <c r="CX3890" s="7">
        <f>3216460</f>
        <v>3216460</v>
      </c>
      <c r="CY3890" s="7">
        <f>0</f>
        <v>0</v>
      </c>
      <c r="CZ3890" s="7">
        <f>0</f>
        <v>0</v>
      </c>
      <c r="DA3890" s="7">
        <f>3216460</f>
        <v>3216460</v>
      </c>
      <c r="DB3890" s="7" t="s">
        <v>240</v>
      </c>
      <c r="DC3890" s="5" t="s">
        <v>240</v>
      </c>
      <c r="DD3890" s="5" t="s">
        <v>240</v>
      </c>
      <c r="DF3890" s="5" t="s">
        <v>240</v>
      </c>
      <c r="DG3890" s="7">
        <f>0</f>
        <v>0</v>
      </c>
      <c r="DH3890" s="6" t="s">
        <v>240</v>
      </c>
      <c r="DI3890" s="5" t="s">
        <v>240</v>
      </c>
      <c r="DJ3890" s="5" t="s">
        <v>240</v>
      </c>
      <c r="DK3890" s="5" t="s">
        <v>240</v>
      </c>
      <c r="DL3890" s="5" t="s">
        <v>240</v>
      </c>
      <c r="DM3890" s="5" t="s">
        <v>240</v>
      </c>
      <c r="DN3890" s="5" t="s">
        <v>240</v>
      </c>
      <c r="DO3890" s="7" t="s">
        <v>240</v>
      </c>
      <c r="DP3890" s="5" t="s">
        <v>240</v>
      </c>
      <c r="DQ3890" s="5" t="s">
        <v>248</v>
      </c>
      <c r="DR3890" s="5" t="s">
        <v>731</v>
      </c>
      <c r="DS3890" s="5" t="s">
        <v>731</v>
      </c>
      <c r="DT3890" s="5" t="s">
        <v>240</v>
      </c>
      <c r="DU3890" s="5" t="s">
        <v>240</v>
      </c>
      <c r="GN3890" s="5" t="s">
        <v>6988</v>
      </c>
      <c r="HR3890" s="5" t="s">
        <v>240</v>
      </c>
      <c r="HS3890" s="5" t="s">
        <v>240</v>
      </c>
      <c r="HT3890" s="5" t="s">
        <v>240</v>
      </c>
      <c r="HU3890" s="5" t="s">
        <v>240</v>
      </c>
      <c r="HV3890" s="5" t="s">
        <v>240</v>
      </c>
      <c r="HW3890" s="5" t="s">
        <v>240</v>
      </c>
      <c r="HX3890" s="5" t="s">
        <v>240</v>
      </c>
      <c r="HY3890" s="5" t="s">
        <v>240</v>
      </c>
      <c r="HZ3890" s="5" t="s">
        <v>240</v>
      </c>
      <c r="IA3890" s="5" t="s">
        <v>240</v>
      </c>
      <c r="IB3890" s="5" t="s">
        <v>240</v>
      </c>
      <c r="IC3890" s="5" t="s">
        <v>240</v>
      </c>
      <c r="ID3890" s="5" t="s">
        <v>240</v>
      </c>
      <c r="IE3890" s="5" t="s">
        <v>240</v>
      </c>
      <c r="IF3890" s="5" t="s">
        <v>240</v>
      </c>
    </row>
    <row r="3891" spans="1:240" x14ac:dyDescent="0.4">
      <c r="A3891" s="5">
        <v>9433</v>
      </c>
      <c r="B3891" s="5">
        <v>1</v>
      </c>
      <c r="C3891" s="5">
        <v>1</v>
      </c>
      <c r="D3891" s="5" t="s">
        <v>723</v>
      </c>
      <c r="E3891" s="5" t="s">
        <v>725</v>
      </c>
      <c r="F3891" s="5" t="s">
        <v>254</v>
      </c>
      <c r="G3891" s="5" t="s">
        <v>6044</v>
      </c>
      <c r="H3891" s="6" t="s">
        <v>6058</v>
      </c>
      <c r="I3891" s="5" t="s">
        <v>6057</v>
      </c>
      <c r="J3891" s="7">
        <f>1</f>
        <v>1</v>
      </c>
      <c r="K3891" s="5" t="s">
        <v>3682</v>
      </c>
      <c r="L3891" s="7">
        <f>1</f>
        <v>1</v>
      </c>
      <c r="M3891" s="7">
        <f>1</f>
        <v>1</v>
      </c>
      <c r="N3891" s="5" t="s">
        <v>242</v>
      </c>
      <c r="O3891" s="5">
        <v>1</v>
      </c>
      <c r="P3891" s="5" t="s">
        <v>294</v>
      </c>
      <c r="Q3891" s="5" t="s">
        <v>2097</v>
      </c>
      <c r="T3891" s="5" t="s">
        <v>296</v>
      </c>
      <c r="U3891" s="5" t="s">
        <v>244</v>
      </c>
      <c r="V3891" s="5" t="s">
        <v>240</v>
      </c>
      <c r="Y3891" s="5" t="s">
        <v>246</v>
      </c>
      <c r="Z3891" s="6" t="s">
        <v>6990</v>
      </c>
      <c r="AA3891" s="6" t="s">
        <v>240</v>
      </c>
      <c r="AB3891" s="6" t="s">
        <v>240</v>
      </c>
      <c r="AC3891" s="5" t="s">
        <v>240</v>
      </c>
      <c r="AD3891" s="6" t="s">
        <v>240</v>
      </c>
      <c r="AE3891" s="6" t="s">
        <v>6740</v>
      </c>
      <c r="AF3891" s="5" t="s">
        <v>248</v>
      </c>
      <c r="AG3891" s="5" t="s">
        <v>249</v>
      </c>
      <c r="AM3891" s="5" t="s">
        <v>240</v>
      </c>
      <c r="AN3891" s="5" t="s">
        <v>240</v>
      </c>
      <c r="AO3891" s="5" t="s">
        <v>240</v>
      </c>
      <c r="AP3891" s="6" t="s">
        <v>240</v>
      </c>
      <c r="AQ3891" s="6" t="s">
        <v>240</v>
      </c>
      <c r="AR3891" s="6" t="s">
        <v>240</v>
      </c>
      <c r="AU3891" s="5" t="s">
        <v>729</v>
      </c>
      <c r="AV3891" s="5" t="s">
        <v>729</v>
      </c>
      <c r="AW3891" s="5" t="s">
        <v>251</v>
      </c>
      <c r="AX3891" s="5" t="s">
        <v>252</v>
      </c>
      <c r="AY3891" s="5" t="s">
        <v>253</v>
      </c>
      <c r="AZ3891" s="5" t="s">
        <v>6046</v>
      </c>
      <c r="BA3891" s="5" t="s">
        <v>255</v>
      </c>
      <c r="BB3891" s="5" t="s">
        <v>731</v>
      </c>
      <c r="BD3891" s="5" t="s">
        <v>842</v>
      </c>
      <c r="BF3891" s="5" t="s">
        <v>256</v>
      </c>
      <c r="BG3891" s="6" t="s">
        <v>6915</v>
      </c>
      <c r="BH3891" s="5" t="s">
        <v>6742</v>
      </c>
      <c r="BI3891" s="5" t="s">
        <v>6743</v>
      </c>
      <c r="BJ3891" s="5" t="s">
        <v>240</v>
      </c>
      <c r="BK3891" s="7">
        <f>0</f>
        <v>0</v>
      </c>
      <c r="BL3891" s="7">
        <f>298144</f>
        <v>298144</v>
      </c>
      <c r="BM3891" s="5" t="s">
        <v>258</v>
      </c>
      <c r="BN3891" s="5" t="s">
        <v>259</v>
      </c>
      <c r="BO3891" s="5" t="s">
        <v>6744</v>
      </c>
      <c r="BP3891" s="5" t="s">
        <v>6745</v>
      </c>
      <c r="BQ3891" s="5" t="s">
        <v>6746</v>
      </c>
      <c r="BR3891" s="5" t="s">
        <v>240</v>
      </c>
      <c r="BS3891" s="5" t="s">
        <v>258</v>
      </c>
      <c r="BT3891" s="5" t="s">
        <v>6747</v>
      </c>
      <c r="BU3891" s="5" t="s">
        <v>6747</v>
      </c>
      <c r="BW3891" s="6" t="s">
        <v>6991</v>
      </c>
      <c r="BX3891" s="5" t="s">
        <v>258</v>
      </c>
      <c r="BY3891" s="5" t="s">
        <v>240</v>
      </c>
      <c r="BZ3891" s="5" t="s">
        <v>240</v>
      </c>
      <c r="CA3891" s="5" t="s">
        <v>259</v>
      </c>
      <c r="CB3891" s="5" t="s">
        <v>240</v>
      </c>
      <c r="CC3891" s="5" t="s">
        <v>240</v>
      </c>
      <c r="CG3891" s="5" t="s">
        <v>240</v>
      </c>
      <c r="CH3891" s="5" t="s">
        <v>240</v>
      </c>
      <c r="CI3891" s="5" t="s">
        <v>260</v>
      </c>
      <c r="CK3891" s="5" t="s">
        <v>240</v>
      </c>
      <c r="CL3891" s="6" t="s">
        <v>261</v>
      </c>
      <c r="CM3891" s="5" t="s">
        <v>262</v>
      </c>
      <c r="CN3891" s="5" t="s">
        <v>263</v>
      </c>
      <c r="CO3891" s="5" t="s">
        <v>264</v>
      </c>
      <c r="CP3891" s="5" t="s">
        <v>240</v>
      </c>
      <c r="CQ3891" s="5">
        <v>0</v>
      </c>
      <c r="CR3891" s="5" t="s">
        <v>735</v>
      </c>
      <c r="CS3891" s="5" t="s">
        <v>307</v>
      </c>
      <c r="CT3891" s="5" t="s">
        <v>307</v>
      </c>
      <c r="CU3891" s="5" t="s">
        <v>260</v>
      </c>
      <c r="CV3891" s="5" t="s">
        <v>240</v>
      </c>
      <c r="CW3891" s="8">
        <f>450301</f>
        <v>450301</v>
      </c>
      <c r="CX3891" s="7">
        <f>450301</f>
        <v>450301</v>
      </c>
      <c r="CY3891" s="7">
        <f>0</f>
        <v>0</v>
      </c>
      <c r="CZ3891" s="7">
        <f>0</f>
        <v>0</v>
      </c>
      <c r="DA3891" s="7">
        <f>450301</f>
        <v>450301</v>
      </c>
      <c r="DB3891" s="7" t="s">
        <v>240</v>
      </c>
      <c r="DC3891" s="5" t="s">
        <v>240</v>
      </c>
      <c r="DD3891" s="5" t="s">
        <v>240</v>
      </c>
      <c r="DF3891" s="5" t="s">
        <v>240</v>
      </c>
      <c r="DG3891" s="7">
        <f>0</f>
        <v>0</v>
      </c>
      <c r="DH3891" s="6" t="s">
        <v>240</v>
      </c>
      <c r="DI3891" s="5" t="s">
        <v>240</v>
      </c>
      <c r="DJ3891" s="5" t="s">
        <v>240</v>
      </c>
      <c r="DK3891" s="5" t="s">
        <v>240</v>
      </c>
      <c r="DL3891" s="5" t="s">
        <v>240</v>
      </c>
      <c r="DM3891" s="5" t="s">
        <v>240</v>
      </c>
      <c r="DN3891" s="5" t="s">
        <v>240</v>
      </c>
      <c r="DO3891" s="7" t="s">
        <v>240</v>
      </c>
      <c r="DP3891" s="5" t="s">
        <v>240</v>
      </c>
      <c r="DQ3891" s="5" t="s">
        <v>248</v>
      </c>
      <c r="DR3891" s="5" t="s">
        <v>731</v>
      </c>
      <c r="DS3891" s="5" t="s">
        <v>731</v>
      </c>
      <c r="DT3891" s="5" t="s">
        <v>240</v>
      </c>
      <c r="DU3891" s="5" t="s">
        <v>240</v>
      </c>
      <c r="HR3891" s="5" t="s">
        <v>240</v>
      </c>
      <c r="HS3891" s="5" t="s">
        <v>240</v>
      </c>
      <c r="HT3891" s="5" t="s">
        <v>240</v>
      </c>
      <c r="HU3891" s="5" t="s">
        <v>240</v>
      </c>
      <c r="HV3891" s="5" t="s">
        <v>240</v>
      </c>
      <c r="HW3891" s="5" t="s">
        <v>240</v>
      </c>
      <c r="HX3891" s="5" t="s">
        <v>240</v>
      </c>
      <c r="HY3891" s="5" t="s">
        <v>240</v>
      </c>
      <c r="HZ3891" s="5" t="s">
        <v>240</v>
      </c>
      <c r="IA3891" s="5" t="s">
        <v>240</v>
      </c>
      <c r="IB3891" s="5" t="s">
        <v>240</v>
      </c>
      <c r="IC3891" s="5" t="s">
        <v>240</v>
      </c>
      <c r="ID3891" s="5" t="s">
        <v>240</v>
      </c>
      <c r="IE3891" s="5" t="s">
        <v>240</v>
      </c>
      <c r="IF3891" s="5" t="s">
        <v>240</v>
      </c>
    </row>
    <row r="3892" spans="1:240" x14ac:dyDescent="0.4">
      <c r="A3892" s="5">
        <v>9434</v>
      </c>
      <c r="B3892" s="5">
        <v>1</v>
      </c>
      <c r="C3892" s="5">
        <v>1</v>
      </c>
      <c r="D3892" s="5" t="s">
        <v>723</v>
      </c>
      <c r="E3892" s="5" t="s">
        <v>725</v>
      </c>
      <c r="F3892" s="5" t="s">
        <v>254</v>
      </c>
      <c r="G3892" s="5" t="s">
        <v>6044</v>
      </c>
      <c r="H3892" s="6" t="s">
        <v>6060</v>
      </c>
      <c r="I3892" s="5" t="s">
        <v>6059</v>
      </c>
      <c r="J3892" s="7">
        <f>1</f>
        <v>1</v>
      </c>
      <c r="K3892" s="5" t="s">
        <v>3682</v>
      </c>
      <c r="L3892" s="7">
        <f>1</f>
        <v>1</v>
      </c>
      <c r="M3892" s="7">
        <f>1</f>
        <v>1</v>
      </c>
      <c r="N3892" s="5" t="s">
        <v>242</v>
      </c>
      <c r="O3892" s="5">
        <v>1</v>
      </c>
      <c r="P3892" s="5" t="s">
        <v>294</v>
      </c>
      <c r="Q3892" s="5" t="s">
        <v>3678</v>
      </c>
      <c r="T3892" s="5" t="s">
        <v>243</v>
      </c>
      <c r="U3892" s="5" t="s">
        <v>244</v>
      </c>
      <c r="V3892" s="5" t="s">
        <v>240</v>
      </c>
      <c r="Y3892" s="5" t="s">
        <v>240</v>
      </c>
      <c r="Z3892" s="6" t="s">
        <v>298</v>
      </c>
      <c r="AA3892" s="6" t="s">
        <v>240</v>
      </c>
      <c r="AB3892" s="6" t="s">
        <v>240</v>
      </c>
      <c r="AC3892" s="5" t="s">
        <v>240</v>
      </c>
      <c r="AD3892" s="6" t="s">
        <v>240</v>
      </c>
      <c r="AE3892" s="6" t="s">
        <v>299</v>
      </c>
      <c r="AF3892" s="5" t="s">
        <v>248</v>
      </c>
      <c r="AG3892" s="5" t="s">
        <v>249</v>
      </c>
      <c r="AM3892" s="5" t="s">
        <v>240</v>
      </c>
      <c r="AN3892" s="5" t="s">
        <v>240</v>
      </c>
      <c r="AO3892" s="5" t="s">
        <v>240</v>
      </c>
      <c r="AP3892" s="6" t="s">
        <v>240</v>
      </c>
      <c r="AQ3892" s="6" t="s">
        <v>240</v>
      </c>
      <c r="AR3892" s="6" t="s">
        <v>240</v>
      </c>
      <c r="AU3892" s="5" t="s">
        <v>729</v>
      </c>
      <c r="AV3892" s="5" t="s">
        <v>729</v>
      </c>
      <c r="AW3892" s="5" t="s">
        <v>251</v>
      </c>
      <c r="AX3892" s="5" t="s">
        <v>252</v>
      </c>
      <c r="AY3892" s="5" t="s">
        <v>253</v>
      </c>
      <c r="AZ3892" s="5" t="s">
        <v>6046</v>
      </c>
      <c r="BA3892" s="5" t="s">
        <v>255</v>
      </c>
      <c r="BB3892" s="5" t="s">
        <v>731</v>
      </c>
      <c r="BD3892" s="5" t="s">
        <v>240</v>
      </c>
      <c r="BF3892" s="5" t="s">
        <v>732</v>
      </c>
      <c r="BG3892" s="6" t="s">
        <v>733</v>
      </c>
      <c r="BH3892" s="5" t="s">
        <v>734</v>
      </c>
      <c r="BI3892" s="5" t="s">
        <v>734</v>
      </c>
      <c r="BJ3892" s="5" t="s">
        <v>240</v>
      </c>
      <c r="BK3892" s="7">
        <f>1</f>
        <v>1</v>
      </c>
      <c r="BL3892" s="7">
        <f>1</f>
        <v>1</v>
      </c>
      <c r="BM3892" s="5" t="s">
        <v>258</v>
      </c>
      <c r="BN3892" s="5" t="s">
        <v>259</v>
      </c>
      <c r="BO3892" s="5" t="s">
        <v>240</v>
      </c>
      <c r="BP3892" s="5" t="s">
        <v>240</v>
      </c>
      <c r="BQ3892" s="5" t="s">
        <v>240</v>
      </c>
      <c r="BR3892" s="5" t="s">
        <v>240</v>
      </c>
      <c r="BW3892" s="6" t="s">
        <v>240</v>
      </c>
      <c r="BX3892" s="5" t="s">
        <v>240</v>
      </c>
      <c r="BY3892" s="5" t="s">
        <v>240</v>
      </c>
      <c r="BZ3892" s="5" t="s">
        <v>240</v>
      </c>
      <c r="CA3892" s="5" t="s">
        <v>259</v>
      </c>
      <c r="CB3892" s="5" t="s">
        <v>240</v>
      </c>
      <c r="CC3892" s="5" t="s">
        <v>240</v>
      </c>
      <c r="CG3892" s="5" t="s">
        <v>304</v>
      </c>
      <c r="CH3892" s="5" t="s">
        <v>305</v>
      </c>
      <c r="CI3892" s="5" t="s">
        <v>260</v>
      </c>
      <c r="CK3892" s="5" t="s">
        <v>3681</v>
      </c>
      <c r="CL3892" s="6" t="s">
        <v>261</v>
      </c>
      <c r="CM3892" s="5" t="s">
        <v>262</v>
      </c>
      <c r="CN3892" s="5" t="s">
        <v>263</v>
      </c>
      <c r="CO3892" s="5" t="s">
        <v>264</v>
      </c>
      <c r="CP3892" s="5" t="s">
        <v>240</v>
      </c>
      <c r="CQ3892" s="5">
        <v>0</v>
      </c>
      <c r="CR3892" s="5" t="s">
        <v>735</v>
      </c>
      <c r="CS3892" s="5" t="s">
        <v>307</v>
      </c>
      <c r="CT3892" s="5" t="s">
        <v>307</v>
      </c>
      <c r="CU3892" s="5" t="s">
        <v>260</v>
      </c>
      <c r="CV3892" s="5" t="s">
        <v>612</v>
      </c>
      <c r="CW3892" s="8">
        <f>1</f>
        <v>1</v>
      </c>
      <c r="CX3892" s="7">
        <f>1</f>
        <v>1</v>
      </c>
      <c r="CY3892" s="7">
        <f>0</f>
        <v>0</v>
      </c>
      <c r="CZ3892" s="7" t="s">
        <v>240</v>
      </c>
      <c r="DA3892" s="7">
        <f>1</f>
        <v>1</v>
      </c>
      <c r="DB3892" s="7" t="s">
        <v>240</v>
      </c>
      <c r="DC3892" s="5" t="s">
        <v>240</v>
      </c>
      <c r="DD3892" s="5" t="s">
        <v>240</v>
      </c>
      <c r="DF3892" s="5" t="s">
        <v>240</v>
      </c>
      <c r="DG3892" s="7">
        <f>0</f>
        <v>0</v>
      </c>
      <c r="DH3892" s="6" t="s">
        <v>240</v>
      </c>
      <c r="DI3892" s="5" t="s">
        <v>240</v>
      </c>
      <c r="DJ3892" s="5" t="s">
        <v>240</v>
      </c>
      <c r="DK3892" s="5" t="s">
        <v>240</v>
      </c>
      <c r="DL3892" s="5" t="s">
        <v>240</v>
      </c>
      <c r="DM3892" s="5" t="s">
        <v>240</v>
      </c>
      <c r="DN3892" s="5" t="s">
        <v>240</v>
      </c>
      <c r="DO3892" s="7" t="s">
        <v>240</v>
      </c>
      <c r="DP3892" s="5" t="s">
        <v>240</v>
      </c>
      <c r="DQ3892" s="5" t="s">
        <v>248</v>
      </c>
      <c r="DR3892" s="5" t="s">
        <v>731</v>
      </c>
      <c r="DS3892" s="5" t="s">
        <v>731</v>
      </c>
      <c r="DT3892" s="5" t="s">
        <v>240</v>
      </c>
      <c r="DU3892" s="5" t="s">
        <v>240</v>
      </c>
      <c r="DV3892" s="5" t="s">
        <v>5063</v>
      </c>
      <c r="DW3892" s="5" t="s">
        <v>816</v>
      </c>
      <c r="HR3892" s="5" t="s">
        <v>240</v>
      </c>
      <c r="HS3892" s="5" t="s">
        <v>240</v>
      </c>
      <c r="HT3892" s="5" t="s">
        <v>240</v>
      </c>
      <c r="HU3892" s="5" t="s">
        <v>240</v>
      </c>
      <c r="HV3892" s="5" t="s">
        <v>240</v>
      </c>
      <c r="HW3892" s="5" t="s">
        <v>240</v>
      </c>
      <c r="HX3892" s="5" t="s">
        <v>240</v>
      </c>
      <c r="HY3892" s="5" t="s">
        <v>240</v>
      </c>
      <c r="HZ3892" s="5" t="s">
        <v>240</v>
      </c>
      <c r="IA3892" s="5" t="s">
        <v>240</v>
      </c>
      <c r="IB3892" s="5" t="s">
        <v>240</v>
      </c>
      <c r="IC3892" s="5" t="s">
        <v>240</v>
      </c>
      <c r="ID3892" s="5" t="s">
        <v>240</v>
      </c>
      <c r="IE3892" s="5" t="s">
        <v>240</v>
      </c>
      <c r="IF3892" s="5" t="s">
        <v>240</v>
      </c>
    </row>
    <row r="3893" spans="1:240" x14ac:dyDescent="0.4">
      <c r="A3893" s="5">
        <v>9435</v>
      </c>
      <c r="B3893" s="5">
        <v>1</v>
      </c>
      <c r="C3893" s="5">
        <v>1</v>
      </c>
      <c r="D3893" s="5" t="s">
        <v>723</v>
      </c>
      <c r="E3893" s="5" t="s">
        <v>725</v>
      </c>
      <c r="F3893" s="5" t="s">
        <v>254</v>
      </c>
      <c r="G3893" s="5" t="s">
        <v>6044</v>
      </c>
      <c r="H3893" s="6" t="s">
        <v>6067</v>
      </c>
      <c r="I3893" s="5" t="s">
        <v>6066</v>
      </c>
      <c r="J3893" s="7">
        <f>1</f>
        <v>1</v>
      </c>
      <c r="K3893" s="5" t="s">
        <v>3682</v>
      </c>
      <c r="L3893" s="7">
        <f>1</f>
        <v>1</v>
      </c>
      <c r="M3893" s="7">
        <f>1</f>
        <v>1</v>
      </c>
      <c r="N3893" s="5" t="s">
        <v>242</v>
      </c>
      <c r="O3893" s="5">
        <v>1</v>
      </c>
      <c r="P3893" s="5" t="s">
        <v>294</v>
      </c>
      <c r="Q3893" s="5" t="s">
        <v>240</v>
      </c>
      <c r="T3893" s="5" t="s">
        <v>243</v>
      </c>
      <c r="U3893" s="5" t="s">
        <v>244</v>
      </c>
      <c r="V3893" s="5" t="s">
        <v>240</v>
      </c>
      <c r="Y3893" s="5" t="s">
        <v>245</v>
      </c>
      <c r="Z3893" s="6" t="s">
        <v>6995</v>
      </c>
      <c r="AA3893" s="6" t="s">
        <v>240</v>
      </c>
      <c r="AB3893" s="6" t="s">
        <v>240</v>
      </c>
      <c r="AC3893" s="5" t="s">
        <v>240</v>
      </c>
      <c r="AD3893" s="6" t="s">
        <v>240</v>
      </c>
      <c r="AE3893" s="6" t="s">
        <v>6995</v>
      </c>
      <c r="AF3893" s="5" t="s">
        <v>248</v>
      </c>
      <c r="AG3893" s="5" t="s">
        <v>249</v>
      </c>
      <c r="AM3893" s="5" t="s">
        <v>240</v>
      </c>
      <c r="AN3893" s="5" t="s">
        <v>240</v>
      </c>
      <c r="AO3893" s="5" t="s">
        <v>240</v>
      </c>
      <c r="AP3893" s="6" t="s">
        <v>240</v>
      </c>
      <c r="AQ3893" s="6" t="s">
        <v>240</v>
      </c>
      <c r="AR3893" s="6" t="s">
        <v>240</v>
      </c>
      <c r="AU3893" s="5" t="s">
        <v>729</v>
      </c>
      <c r="AV3893" s="5" t="s">
        <v>729</v>
      </c>
      <c r="AW3893" s="5" t="s">
        <v>251</v>
      </c>
      <c r="AX3893" s="5" t="s">
        <v>252</v>
      </c>
      <c r="AY3893" s="5" t="s">
        <v>253</v>
      </c>
      <c r="AZ3893" s="5" t="s">
        <v>6046</v>
      </c>
      <c r="BA3893" s="5" t="s">
        <v>255</v>
      </c>
      <c r="BB3893" s="5" t="s">
        <v>731</v>
      </c>
      <c r="BD3893" s="5" t="s">
        <v>240</v>
      </c>
      <c r="BF3893" s="5" t="s">
        <v>732</v>
      </c>
      <c r="BG3893" s="6" t="s">
        <v>6995</v>
      </c>
      <c r="BH3893" s="5" t="s">
        <v>6742</v>
      </c>
      <c r="BI3893" s="5" t="s">
        <v>6743</v>
      </c>
      <c r="BJ3893" s="5" t="s">
        <v>240</v>
      </c>
      <c r="BK3893" s="7">
        <f>0</f>
        <v>0</v>
      </c>
      <c r="BL3893" s="7">
        <f>199276</f>
        <v>199276</v>
      </c>
      <c r="BM3893" s="5" t="s">
        <v>258</v>
      </c>
      <c r="BN3893" s="5" t="s">
        <v>259</v>
      </c>
      <c r="BO3893" s="5" t="s">
        <v>6744</v>
      </c>
      <c r="BP3893" s="5" t="s">
        <v>6745</v>
      </c>
      <c r="BQ3893" s="5" t="s">
        <v>6745</v>
      </c>
      <c r="BR3893" s="5" t="s">
        <v>240</v>
      </c>
      <c r="BS3893" s="5" t="s">
        <v>258</v>
      </c>
      <c r="BT3893" s="5" t="s">
        <v>6747</v>
      </c>
      <c r="BU3893" s="5" t="s">
        <v>6747</v>
      </c>
      <c r="BW3893" s="6" t="s">
        <v>6998</v>
      </c>
      <c r="BX3893" s="5" t="s">
        <v>258</v>
      </c>
      <c r="BY3893" s="5" t="s">
        <v>240</v>
      </c>
      <c r="BZ3893" s="5" t="s">
        <v>240</v>
      </c>
      <c r="CA3893" s="5" t="s">
        <v>259</v>
      </c>
      <c r="CB3893" s="5" t="s">
        <v>240</v>
      </c>
      <c r="CC3893" s="5" t="s">
        <v>240</v>
      </c>
      <c r="CG3893" s="5" t="s">
        <v>240</v>
      </c>
      <c r="CH3893" s="5" t="s">
        <v>240</v>
      </c>
      <c r="CI3893" s="5" t="s">
        <v>260</v>
      </c>
      <c r="CK3893" s="5" t="s">
        <v>240</v>
      </c>
      <c r="CL3893" s="6" t="s">
        <v>261</v>
      </c>
      <c r="CM3893" s="5" t="s">
        <v>262</v>
      </c>
      <c r="CN3893" s="5" t="s">
        <v>263</v>
      </c>
      <c r="CO3893" s="5" t="s">
        <v>264</v>
      </c>
      <c r="CP3893" s="5" t="s">
        <v>240</v>
      </c>
      <c r="CQ3893" s="5">
        <v>0</v>
      </c>
      <c r="CR3893" s="5" t="s">
        <v>735</v>
      </c>
      <c r="CS3893" s="5" t="s">
        <v>307</v>
      </c>
      <c r="CT3893" s="5" t="s">
        <v>307</v>
      </c>
      <c r="CU3893" s="5" t="s">
        <v>260</v>
      </c>
      <c r="CV3893" s="5" t="s">
        <v>240</v>
      </c>
      <c r="CW3893" s="8">
        <f>0</f>
        <v>0</v>
      </c>
      <c r="CX3893" s="7">
        <f>199276</f>
        <v>199276</v>
      </c>
      <c r="CY3893" s="7">
        <f>0</f>
        <v>0</v>
      </c>
      <c r="CZ3893" s="7">
        <f>0</f>
        <v>0</v>
      </c>
      <c r="DA3893" s="7">
        <f>199276</f>
        <v>199276</v>
      </c>
      <c r="DB3893" s="7" t="s">
        <v>240</v>
      </c>
      <c r="DC3893" s="5" t="s">
        <v>240</v>
      </c>
      <c r="DD3893" s="5" t="s">
        <v>240</v>
      </c>
      <c r="DF3893" s="5" t="s">
        <v>240</v>
      </c>
      <c r="DG3893" s="7">
        <f>0</f>
        <v>0</v>
      </c>
      <c r="DH3893" s="6" t="s">
        <v>240</v>
      </c>
      <c r="DI3893" s="5" t="s">
        <v>240</v>
      </c>
      <c r="DJ3893" s="5" t="s">
        <v>240</v>
      </c>
      <c r="DK3893" s="5" t="s">
        <v>240</v>
      </c>
      <c r="DL3893" s="5" t="s">
        <v>240</v>
      </c>
      <c r="DM3893" s="5" t="s">
        <v>240</v>
      </c>
      <c r="DN3893" s="5" t="s">
        <v>240</v>
      </c>
      <c r="DO3893" s="7" t="s">
        <v>240</v>
      </c>
      <c r="DP3893" s="5" t="s">
        <v>240</v>
      </c>
      <c r="DQ3893" s="5" t="s">
        <v>248</v>
      </c>
      <c r="DR3893" s="5" t="s">
        <v>731</v>
      </c>
      <c r="DS3893" s="5" t="s">
        <v>731</v>
      </c>
      <c r="DT3893" s="5" t="s">
        <v>240</v>
      </c>
      <c r="DU3893" s="5" t="s">
        <v>240</v>
      </c>
      <c r="HR3893" s="5" t="s">
        <v>240</v>
      </c>
      <c r="HS3893" s="5" t="s">
        <v>240</v>
      </c>
      <c r="HT3893" s="5" t="s">
        <v>240</v>
      </c>
      <c r="HU3893" s="5" t="s">
        <v>240</v>
      </c>
      <c r="HV3893" s="5" t="s">
        <v>240</v>
      </c>
      <c r="HW3893" s="5" t="s">
        <v>240</v>
      </c>
      <c r="HX3893" s="5" t="s">
        <v>240</v>
      </c>
      <c r="HY3893" s="5" t="s">
        <v>240</v>
      </c>
      <c r="HZ3893" s="5" t="s">
        <v>240</v>
      </c>
      <c r="IA3893" s="5" t="s">
        <v>240</v>
      </c>
      <c r="IB3893" s="5" t="s">
        <v>240</v>
      </c>
      <c r="IC3893" s="5" t="s">
        <v>240</v>
      </c>
      <c r="ID3893" s="5" t="s">
        <v>240</v>
      </c>
      <c r="IE3893" s="5" t="s">
        <v>240</v>
      </c>
      <c r="IF3893" s="5" t="s">
        <v>240</v>
      </c>
    </row>
    <row r="3894" spans="1:240" x14ac:dyDescent="0.4">
      <c r="A3894" s="5">
        <v>9436</v>
      </c>
      <c r="B3894" s="5">
        <v>1</v>
      </c>
      <c r="C3894" s="5">
        <v>1</v>
      </c>
      <c r="D3894" s="5" t="s">
        <v>723</v>
      </c>
      <c r="E3894" s="5" t="s">
        <v>725</v>
      </c>
      <c r="F3894" s="5" t="s">
        <v>254</v>
      </c>
      <c r="G3894" s="5" t="s">
        <v>6044</v>
      </c>
      <c r="H3894" s="6" t="s">
        <v>6071</v>
      </c>
      <c r="I3894" s="5" t="s">
        <v>6070</v>
      </c>
      <c r="J3894" s="7">
        <f>1</f>
        <v>1</v>
      </c>
      <c r="K3894" s="5" t="s">
        <v>3682</v>
      </c>
      <c r="L3894" s="7">
        <f>1</f>
        <v>1</v>
      </c>
      <c r="M3894" s="7">
        <f>1</f>
        <v>1</v>
      </c>
      <c r="N3894" s="5" t="s">
        <v>242</v>
      </c>
      <c r="O3894" s="5">
        <v>1</v>
      </c>
      <c r="P3894" s="5" t="s">
        <v>294</v>
      </c>
      <c r="Q3894" s="5" t="s">
        <v>2097</v>
      </c>
      <c r="T3894" s="5" t="s">
        <v>296</v>
      </c>
      <c r="U3894" s="5" t="s">
        <v>244</v>
      </c>
      <c r="V3894" s="5" t="s">
        <v>240</v>
      </c>
      <c r="Y3894" s="5" t="s">
        <v>5060</v>
      </c>
      <c r="Z3894" s="6" t="s">
        <v>6915</v>
      </c>
      <c r="AA3894" s="6" t="s">
        <v>240</v>
      </c>
      <c r="AB3894" s="6" t="s">
        <v>240</v>
      </c>
      <c r="AC3894" s="5" t="s">
        <v>240</v>
      </c>
      <c r="AD3894" s="6" t="s">
        <v>240</v>
      </c>
      <c r="AE3894" s="6" t="s">
        <v>7000</v>
      </c>
      <c r="AF3894" s="5" t="s">
        <v>248</v>
      </c>
      <c r="AG3894" s="5" t="s">
        <v>249</v>
      </c>
      <c r="AM3894" s="5" t="s">
        <v>240</v>
      </c>
      <c r="AN3894" s="5" t="s">
        <v>240</v>
      </c>
      <c r="AO3894" s="5" t="s">
        <v>240</v>
      </c>
      <c r="AP3894" s="6" t="s">
        <v>240</v>
      </c>
      <c r="AQ3894" s="6" t="s">
        <v>240</v>
      </c>
      <c r="AR3894" s="6" t="s">
        <v>240</v>
      </c>
      <c r="AU3894" s="5" t="s">
        <v>729</v>
      </c>
      <c r="AV3894" s="5" t="s">
        <v>729</v>
      </c>
      <c r="AW3894" s="5" t="s">
        <v>251</v>
      </c>
      <c r="AX3894" s="5" t="s">
        <v>252</v>
      </c>
      <c r="AY3894" s="5" t="s">
        <v>253</v>
      </c>
      <c r="AZ3894" s="5" t="s">
        <v>6046</v>
      </c>
      <c r="BA3894" s="5" t="s">
        <v>255</v>
      </c>
      <c r="BB3894" s="5" t="s">
        <v>731</v>
      </c>
      <c r="BD3894" s="5" t="s">
        <v>240</v>
      </c>
      <c r="BF3894" s="5" t="s">
        <v>256</v>
      </c>
      <c r="BG3894" s="6" t="s">
        <v>6915</v>
      </c>
      <c r="BH3894" s="5" t="s">
        <v>6743</v>
      </c>
      <c r="BI3894" s="5" t="s">
        <v>6743</v>
      </c>
      <c r="BJ3894" s="5" t="s">
        <v>240</v>
      </c>
      <c r="BK3894" s="7">
        <f>1</f>
        <v>1</v>
      </c>
      <c r="BL3894" s="7">
        <f>0</f>
        <v>0</v>
      </c>
      <c r="BM3894" s="5" t="s">
        <v>258</v>
      </c>
      <c r="BN3894" s="5" t="s">
        <v>259</v>
      </c>
      <c r="BO3894" s="5" t="s">
        <v>801</v>
      </c>
      <c r="BP3894" s="5" t="s">
        <v>6745</v>
      </c>
      <c r="BQ3894" s="5" t="s">
        <v>259</v>
      </c>
      <c r="BR3894" s="5" t="s">
        <v>240</v>
      </c>
      <c r="BS3894" s="5" t="s">
        <v>7002</v>
      </c>
      <c r="BT3894" s="5" t="s">
        <v>6747</v>
      </c>
      <c r="BU3894" s="5" t="s">
        <v>6747</v>
      </c>
      <c r="BW3894" s="6" t="s">
        <v>7003</v>
      </c>
      <c r="BX3894" s="5" t="s">
        <v>258</v>
      </c>
      <c r="BY3894" s="5" t="s">
        <v>240</v>
      </c>
      <c r="BZ3894" s="5" t="s">
        <v>240</v>
      </c>
      <c r="CA3894" s="5" t="s">
        <v>259</v>
      </c>
      <c r="CB3894" s="5" t="s">
        <v>240</v>
      </c>
      <c r="CC3894" s="5" t="s">
        <v>240</v>
      </c>
      <c r="CG3894" s="5" t="s">
        <v>240</v>
      </c>
      <c r="CH3894" s="5" t="s">
        <v>240</v>
      </c>
      <c r="CI3894" s="5" t="s">
        <v>260</v>
      </c>
      <c r="CK3894" s="5" t="s">
        <v>240</v>
      </c>
      <c r="CL3894" s="6" t="s">
        <v>261</v>
      </c>
      <c r="CM3894" s="5" t="s">
        <v>262</v>
      </c>
      <c r="CN3894" s="5" t="s">
        <v>263</v>
      </c>
      <c r="CO3894" s="5" t="s">
        <v>264</v>
      </c>
      <c r="CP3894" s="5" t="s">
        <v>240</v>
      </c>
      <c r="CQ3894" s="5">
        <v>0</v>
      </c>
      <c r="CR3894" s="5" t="s">
        <v>735</v>
      </c>
      <c r="CS3894" s="5" t="s">
        <v>307</v>
      </c>
      <c r="CT3894" s="5" t="s">
        <v>307</v>
      </c>
      <c r="CU3894" s="5" t="s">
        <v>260</v>
      </c>
      <c r="CV3894" s="5" t="s">
        <v>240</v>
      </c>
      <c r="CW3894" s="8">
        <f>778149</f>
        <v>778149</v>
      </c>
      <c r="CX3894" s="7">
        <f>778149</f>
        <v>778149</v>
      </c>
      <c r="CY3894" s="7">
        <f>0</f>
        <v>0</v>
      </c>
      <c r="CZ3894" s="7">
        <f>0</f>
        <v>0</v>
      </c>
      <c r="DA3894" s="7">
        <f>778149</f>
        <v>778149</v>
      </c>
      <c r="DB3894" s="7" t="s">
        <v>240</v>
      </c>
      <c r="DC3894" s="5" t="s">
        <v>240</v>
      </c>
      <c r="DD3894" s="5" t="s">
        <v>240</v>
      </c>
      <c r="DF3894" s="5" t="s">
        <v>240</v>
      </c>
      <c r="DG3894" s="7">
        <f>0</f>
        <v>0</v>
      </c>
      <c r="DH3894" s="6" t="s">
        <v>240</v>
      </c>
      <c r="DI3894" s="5" t="s">
        <v>240</v>
      </c>
      <c r="DJ3894" s="5" t="s">
        <v>240</v>
      </c>
      <c r="DK3894" s="5" t="s">
        <v>240</v>
      </c>
      <c r="DL3894" s="5" t="s">
        <v>240</v>
      </c>
      <c r="DM3894" s="5" t="s">
        <v>240</v>
      </c>
      <c r="DN3894" s="5" t="s">
        <v>240</v>
      </c>
      <c r="DO3894" s="7" t="s">
        <v>240</v>
      </c>
      <c r="DP3894" s="5" t="s">
        <v>240</v>
      </c>
      <c r="DQ3894" s="5" t="s">
        <v>248</v>
      </c>
      <c r="DR3894" s="5" t="s">
        <v>731</v>
      </c>
      <c r="DS3894" s="5" t="s">
        <v>731</v>
      </c>
      <c r="DT3894" s="5" t="s">
        <v>240</v>
      </c>
      <c r="DU3894" s="5" t="s">
        <v>240</v>
      </c>
      <c r="HR3894" s="5" t="s">
        <v>240</v>
      </c>
      <c r="HS3894" s="5" t="s">
        <v>240</v>
      </c>
      <c r="HT3894" s="5" t="s">
        <v>240</v>
      </c>
      <c r="HU3894" s="5" t="s">
        <v>240</v>
      </c>
      <c r="HV3894" s="5" t="s">
        <v>240</v>
      </c>
      <c r="HW3894" s="5" t="s">
        <v>240</v>
      </c>
      <c r="HX3894" s="5" t="s">
        <v>240</v>
      </c>
      <c r="HY3894" s="5" t="s">
        <v>240</v>
      </c>
      <c r="HZ3894" s="5" t="s">
        <v>240</v>
      </c>
      <c r="IA3894" s="5" t="s">
        <v>240</v>
      </c>
      <c r="IB3894" s="5" t="s">
        <v>240</v>
      </c>
      <c r="IC3894" s="5" t="s">
        <v>240</v>
      </c>
      <c r="ID3894" s="5" t="s">
        <v>240</v>
      </c>
      <c r="IE3894" s="5" t="s">
        <v>240</v>
      </c>
      <c r="IF3894" s="5" t="s">
        <v>240</v>
      </c>
    </row>
    <row r="3895" spans="1:240" x14ac:dyDescent="0.4">
      <c r="A3895" s="5">
        <v>9437</v>
      </c>
      <c r="B3895" s="5">
        <v>1</v>
      </c>
      <c r="C3895" s="5">
        <v>1</v>
      </c>
      <c r="D3895" s="5" t="s">
        <v>723</v>
      </c>
      <c r="E3895" s="5" t="s">
        <v>725</v>
      </c>
      <c r="F3895" s="5" t="s">
        <v>254</v>
      </c>
      <c r="G3895" s="5" t="s">
        <v>6073</v>
      </c>
      <c r="H3895" s="6" t="s">
        <v>6074</v>
      </c>
      <c r="I3895" s="5" t="s">
        <v>6072</v>
      </c>
      <c r="J3895" s="7">
        <f>1</f>
        <v>1</v>
      </c>
      <c r="K3895" s="5" t="s">
        <v>3682</v>
      </c>
      <c r="L3895" s="7">
        <f>1</f>
        <v>1</v>
      </c>
      <c r="M3895" s="7">
        <f>1</f>
        <v>1</v>
      </c>
      <c r="N3895" s="5" t="s">
        <v>242</v>
      </c>
      <c r="O3895" s="5">
        <v>1</v>
      </c>
      <c r="P3895" s="5" t="s">
        <v>294</v>
      </c>
      <c r="Q3895" s="5" t="s">
        <v>613</v>
      </c>
      <c r="T3895" s="5" t="s">
        <v>243</v>
      </c>
      <c r="U3895" s="5" t="s">
        <v>244</v>
      </c>
      <c r="V3895" s="5" t="s">
        <v>240</v>
      </c>
      <c r="Y3895" s="5" t="s">
        <v>240</v>
      </c>
      <c r="Z3895" s="6" t="s">
        <v>298</v>
      </c>
      <c r="AA3895" s="6" t="s">
        <v>240</v>
      </c>
      <c r="AB3895" s="6" t="s">
        <v>240</v>
      </c>
      <c r="AC3895" s="5" t="s">
        <v>240</v>
      </c>
      <c r="AD3895" s="6" t="s">
        <v>240</v>
      </c>
      <c r="AE3895" s="6" t="s">
        <v>299</v>
      </c>
      <c r="AF3895" s="5" t="s">
        <v>248</v>
      </c>
      <c r="AG3895" s="5" t="s">
        <v>249</v>
      </c>
      <c r="AM3895" s="5" t="s">
        <v>240</v>
      </c>
      <c r="AN3895" s="5" t="s">
        <v>240</v>
      </c>
      <c r="AO3895" s="5" t="s">
        <v>240</v>
      </c>
      <c r="AP3895" s="6" t="s">
        <v>240</v>
      </c>
      <c r="AQ3895" s="6" t="s">
        <v>240</v>
      </c>
      <c r="AW3895" s="5" t="s">
        <v>251</v>
      </c>
      <c r="AX3895" s="5" t="s">
        <v>252</v>
      </c>
      <c r="AY3895" s="5" t="s">
        <v>253</v>
      </c>
      <c r="AZ3895" s="5" t="s">
        <v>6046</v>
      </c>
      <c r="BA3895" s="5" t="s">
        <v>255</v>
      </c>
      <c r="BB3895" s="5" t="s">
        <v>731</v>
      </c>
      <c r="BD3895" s="5" t="s">
        <v>686</v>
      </c>
      <c r="BF3895" s="5" t="s">
        <v>301</v>
      </c>
      <c r="BG3895" s="6" t="s">
        <v>733</v>
      </c>
      <c r="BH3895" s="5" t="s">
        <v>302</v>
      </c>
      <c r="BI3895" s="5" t="s">
        <v>303</v>
      </c>
      <c r="BJ3895" s="5" t="s">
        <v>240</v>
      </c>
      <c r="BK3895" s="8">
        <f>0</f>
        <v>0</v>
      </c>
      <c r="BL3895" s="7">
        <f>0</f>
        <v>0</v>
      </c>
      <c r="BM3895" s="5" t="s">
        <v>258</v>
      </c>
      <c r="BN3895" s="5" t="s">
        <v>259</v>
      </c>
      <c r="BW3895" s="6" t="s">
        <v>240</v>
      </c>
      <c r="BX3895" s="5" t="s">
        <v>240</v>
      </c>
      <c r="BY3895" s="5" t="s">
        <v>240</v>
      </c>
      <c r="BZ3895" s="5" t="s">
        <v>240</v>
      </c>
      <c r="CB3895" s="5" t="s">
        <v>240</v>
      </c>
      <c r="CC3895" s="5" t="s">
        <v>240</v>
      </c>
      <c r="CG3895" s="5" t="s">
        <v>617</v>
      </c>
      <c r="CH3895" s="5" t="s">
        <v>305</v>
      </c>
      <c r="CI3895" s="5" t="s">
        <v>260</v>
      </c>
      <c r="CK3895" s="5" t="s">
        <v>240</v>
      </c>
      <c r="CL3895" s="6" t="s">
        <v>261</v>
      </c>
      <c r="CM3895" s="5" t="s">
        <v>240</v>
      </c>
      <c r="CN3895" s="5" t="s">
        <v>263</v>
      </c>
      <c r="CO3895" s="5" t="s">
        <v>240</v>
      </c>
      <c r="CP3895" s="5" t="s">
        <v>240</v>
      </c>
      <c r="CQ3895" s="5">
        <v>0</v>
      </c>
      <c r="CR3895" s="5" t="s">
        <v>735</v>
      </c>
      <c r="CS3895" s="5" t="s">
        <v>307</v>
      </c>
      <c r="CT3895" s="5" t="s">
        <v>307</v>
      </c>
      <c r="CU3895" s="5" t="s">
        <v>260</v>
      </c>
      <c r="CV3895" s="5" t="s">
        <v>240</v>
      </c>
      <c r="CW3895" s="8" t="s">
        <v>240</v>
      </c>
      <c r="CX3895" s="7">
        <f>5526425</f>
        <v>5526425</v>
      </c>
      <c r="CY3895" s="7">
        <f>0</f>
        <v>0</v>
      </c>
      <c r="CZ3895" s="7" t="s">
        <v>240</v>
      </c>
      <c r="DA3895" s="7">
        <f>0</f>
        <v>0</v>
      </c>
      <c r="DB3895" s="7" t="s">
        <v>240</v>
      </c>
      <c r="DC3895" s="5" t="s">
        <v>450</v>
      </c>
      <c r="DD3895" s="5" t="s">
        <v>240</v>
      </c>
      <c r="DF3895" s="5" t="s">
        <v>450</v>
      </c>
      <c r="DG3895" s="7">
        <f>0</f>
        <v>0</v>
      </c>
      <c r="DH3895" s="6" t="s">
        <v>240</v>
      </c>
      <c r="DI3895" s="5" t="s">
        <v>618</v>
      </c>
      <c r="DJ3895" s="5" t="s">
        <v>240</v>
      </c>
      <c r="DK3895" s="5" t="s">
        <v>240</v>
      </c>
      <c r="DL3895" s="5" t="s">
        <v>240</v>
      </c>
      <c r="DM3895" s="5" t="s">
        <v>240</v>
      </c>
      <c r="DN3895" s="5" t="s">
        <v>240</v>
      </c>
      <c r="DO3895" s="7" t="s">
        <v>240</v>
      </c>
      <c r="DP3895" s="5" t="s">
        <v>240</v>
      </c>
      <c r="DQ3895" s="5" t="s">
        <v>248</v>
      </c>
      <c r="DR3895" s="5" t="s">
        <v>731</v>
      </c>
      <c r="DS3895" s="5" t="s">
        <v>731</v>
      </c>
      <c r="DT3895" s="5" t="s">
        <v>240</v>
      </c>
      <c r="DU3895" s="5" t="s">
        <v>240</v>
      </c>
      <c r="DV3895" s="5" t="s">
        <v>6839</v>
      </c>
      <c r="DW3895" s="5" t="s">
        <v>621</v>
      </c>
    </row>
    <row r="3896" spans="1:240" x14ac:dyDescent="0.4">
      <c r="A3896" s="5">
        <v>9438</v>
      </c>
      <c r="B3896" s="5">
        <v>1</v>
      </c>
      <c r="C3896" s="5">
        <v>1</v>
      </c>
      <c r="D3896" s="5" t="s">
        <v>723</v>
      </c>
      <c r="E3896" s="5" t="s">
        <v>725</v>
      </c>
      <c r="F3896" s="5" t="s">
        <v>254</v>
      </c>
      <c r="G3896" s="5" t="s">
        <v>6044</v>
      </c>
      <c r="H3896" s="6" t="s">
        <v>6078</v>
      </c>
      <c r="I3896" s="5" t="s">
        <v>6077</v>
      </c>
      <c r="J3896" s="7">
        <f>1</f>
        <v>1</v>
      </c>
      <c r="K3896" s="5" t="s">
        <v>3682</v>
      </c>
      <c r="L3896" s="7">
        <f>1</f>
        <v>1</v>
      </c>
      <c r="M3896" s="7">
        <f>1</f>
        <v>1</v>
      </c>
      <c r="N3896" s="5" t="s">
        <v>242</v>
      </c>
      <c r="O3896" s="5">
        <v>1</v>
      </c>
      <c r="P3896" s="5" t="s">
        <v>294</v>
      </c>
      <c r="Q3896" s="5" t="s">
        <v>2097</v>
      </c>
      <c r="T3896" s="5" t="s">
        <v>296</v>
      </c>
      <c r="U3896" s="5" t="s">
        <v>244</v>
      </c>
      <c r="V3896" s="5" t="s">
        <v>240</v>
      </c>
      <c r="Y3896" s="5" t="s">
        <v>246</v>
      </c>
      <c r="Z3896" s="6" t="s">
        <v>6990</v>
      </c>
      <c r="AA3896" s="6" t="s">
        <v>240</v>
      </c>
      <c r="AB3896" s="6" t="s">
        <v>240</v>
      </c>
      <c r="AC3896" s="5" t="s">
        <v>240</v>
      </c>
      <c r="AD3896" s="6" t="s">
        <v>240</v>
      </c>
      <c r="AE3896" s="6" t="s">
        <v>6740</v>
      </c>
      <c r="AF3896" s="5" t="s">
        <v>248</v>
      </c>
      <c r="AG3896" s="5" t="s">
        <v>249</v>
      </c>
      <c r="AM3896" s="5" t="s">
        <v>240</v>
      </c>
      <c r="AN3896" s="5" t="s">
        <v>240</v>
      </c>
      <c r="AO3896" s="5" t="s">
        <v>240</v>
      </c>
      <c r="AP3896" s="6" t="s">
        <v>240</v>
      </c>
      <c r="AQ3896" s="6" t="s">
        <v>240</v>
      </c>
      <c r="AR3896" s="6" t="s">
        <v>240</v>
      </c>
      <c r="AU3896" s="5" t="s">
        <v>729</v>
      </c>
      <c r="AV3896" s="5" t="s">
        <v>729</v>
      </c>
      <c r="AW3896" s="5" t="s">
        <v>251</v>
      </c>
      <c r="AX3896" s="5" t="s">
        <v>252</v>
      </c>
      <c r="AY3896" s="5" t="s">
        <v>253</v>
      </c>
      <c r="AZ3896" s="5" t="s">
        <v>6046</v>
      </c>
      <c r="BA3896" s="5" t="s">
        <v>255</v>
      </c>
      <c r="BB3896" s="5" t="s">
        <v>731</v>
      </c>
      <c r="BD3896" s="5" t="s">
        <v>842</v>
      </c>
      <c r="BF3896" s="5" t="s">
        <v>256</v>
      </c>
      <c r="BG3896" s="6" t="s">
        <v>6915</v>
      </c>
      <c r="BH3896" s="5" t="s">
        <v>6742</v>
      </c>
      <c r="BI3896" s="5" t="s">
        <v>6743</v>
      </c>
      <c r="BJ3896" s="5" t="s">
        <v>240</v>
      </c>
      <c r="BK3896" s="7">
        <f>0</f>
        <v>0</v>
      </c>
      <c r="BL3896" s="7">
        <f>556454</f>
        <v>556454</v>
      </c>
      <c r="BM3896" s="5" t="s">
        <v>258</v>
      </c>
      <c r="BN3896" s="5" t="s">
        <v>259</v>
      </c>
      <c r="BO3896" s="5" t="s">
        <v>6744</v>
      </c>
      <c r="BP3896" s="5" t="s">
        <v>6745</v>
      </c>
      <c r="BQ3896" s="5" t="s">
        <v>6746</v>
      </c>
      <c r="BR3896" s="5" t="s">
        <v>240</v>
      </c>
      <c r="BS3896" s="5" t="s">
        <v>258</v>
      </c>
      <c r="BT3896" s="5" t="s">
        <v>6747</v>
      </c>
      <c r="BU3896" s="5" t="s">
        <v>6747</v>
      </c>
      <c r="BW3896" s="6" t="s">
        <v>7007</v>
      </c>
      <c r="BX3896" s="5" t="s">
        <v>258</v>
      </c>
      <c r="BY3896" s="5" t="s">
        <v>240</v>
      </c>
      <c r="BZ3896" s="5" t="s">
        <v>240</v>
      </c>
      <c r="CA3896" s="5" t="s">
        <v>259</v>
      </c>
      <c r="CB3896" s="5" t="s">
        <v>240</v>
      </c>
      <c r="CC3896" s="5" t="s">
        <v>240</v>
      </c>
      <c r="CG3896" s="5" t="s">
        <v>240</v>
      </c>
      <c r="CH3896" s="5" t="s">
        <v>240</v>
      </c>
      <c r="CI3896" s="5" t="s">
        <v>260</v>
      </c>
      <c r="CK3896" s="5" t="s">
        <v>240</v>
      </c>
      <c r="CL3896" s="6" t="s">
        <v>261</v>
      </c>
      <c r="CM3896" s="5" t="s">
        <v>262</v>
      </c>
      <c r="CN3896" s="5" t="s">
        <v>263</v>
      </c>
      <c r="CO3896" s="5" t="s">
        <v>264</v>
      </c>
      <c r="CP3896" s="5" t="s">
        <v>240</v>
      </c>
      <c r="CQ3896" s="5">
        <v>0</v>
      </c>
      <c r="CR3896" s="5" t="s">
        <v>735</v>
      </c>
      <c r="CS3896" s="5" t="s">
        <v>307</v>
      </c>
      <c r="CT3896" s="5" t="s">
        <v>307</v>
      </c>
      <c r="CU3896" s="5" t="s">
        <v>260</v>
      </c>
      <c r="CV3896" s="5" t="s">
        <v>240</v>
      </c>
      <c r="CW3896" s="8">
        <f>556454</f>
        <v>556454</v>
      </c>
      <c r="CX3896" s="7">
        <f>556454</f>
        <v>556454</v>
      </c>
      <c r="CY3896" s="7">
        <f>0</f>
        <v>0</v>
      </c>
      <c r="CZ3896" s="7">
        <f>0</f>
        <v>0</v>
      </c>
      <c r="DA3896" s="7">
        <f>556454</f>
        <v>556454</v>
      </c>
      <c r="DB3896" s="7" t="s">
        <v>240</v>
      </c>
      <c r="DC3896" s="5" t="s">
        <v>240</v>
      </c>
      <c r="DD3896" s="5" t="s">
        <v>240</v>
      </c>
      <c r="DF3896" s="5" t="s">
        <v>240</v>
      </c>
      <c r="DG3896" s="7">
        <f>0</f>
        <v>0</v>
      </c>
      <c r="DH3896" s="6" t="s">
        <v>240</v>
      </c>
      <c r="DI3896" s="5" t="s">
        <v>240</v>
      </c>
      <c r="DJ3896" s="5" t="s">
        <v>240</v>
      </c>
      <c r="DK3896" s="5" t="s">
        <v>240</v>
      </c>
      <c r="DL3896" s="5" t="s">
        <v>240</v>
      </c>
      <c r="DM3896" s="5" t="s">
        <v>240</v>
      </c>
      <c r="DN3896" s="5" t="s">
        <v>240</v>
      </c>
      <c r="DO3896" s="7" t="s">
        <v>240</v>
      </c>
      <c r="DP3896" s="5" t="s">
        <v>240</v>
      </c>
      <c r="DQ3896" s="5" t="s">
        <v>248</v>
      </c>
      <c r="DR3896" s="5" t="s">
        <v>731</v>
      </c>
      <c r="DS3896" s="5" t="s">
        <v>731</v>
      </c>
      <c r="DT3896" s="5" t="s">
        <v>240</v>
      </c>
      <c r="DU3896" s="5" t="s">
        <v>240</v>
      </c>
      <c r="HR3896" s="5" t="s">
        <v>240</v>
      </c>
      <c r="HS3896" s="5" t="s">
        <v>240</v>
      </c>
      <c r="HT3896" s="5" t="s">
        <v>240</v>
      </c>
      <c r="HU3896" s="5" t="s">
        <v>240</v>
      </c>
      <c r="HV3896" s="5" t="s">
        <v>240</v>
      </c>
      <c r="HW3896" s="5" t="s">
        <v>240</v>
      </c>
      <c r="HX3896" s="5" t="s">
        <v>240</v>
      </c>
      <c r="HY3896" s="5" t="s">
        <v>240</v>
      </c>
      <c r="HZ3896" s="5" t="s">
        <v>240</v>
      </c>
      <c r="IA3896" s="5" t="s">
        <v>240</v>
      </c>
      <c r="IB3896" s="5" t="s">
        <v>240</v>
      </c>
      <c r="IC3896" s="5" t="s">
        <v>240</v>
      </c>
      <c r="ID3896" s="5" t="s">
        <v>240</v>
      </c>
      <c r="IE3896" s="5" t="s">
        <v>240</v>
      </c>
      <c r="IF3896" s="5" t="s">
        <v>240</v>
      </c>
    </row>
    <row r="3897" spans="1:240" x14ac:dyDescent="0.4">
      <c r="A3897" s="5">
        <v>9439</v>
      </c>
      <c r="B3897" s="5">
        <v>1</v>
      </c>
      <c r="C3897" s="5">
        <v>1</v>
      </c>
      <c r="D3897" s="5" t="s">
        <v>723</v>
      </c>
      <c r="E3897" s="5" t="s">
        <v>725</v>
      </c>
      <c r="F3897" s="5" t="s">
        <v>254</v>
      </c>
      <c r="G3897" s="5" t="s">
        <v>6044</v>
      </c>
      <c r="H3897" s="6" t="s">
        <v>6082</v>
      </c>
      <c r="I3897" s="5" t="s">
        <v>6081</v>
      </c>
      <c r="J3897" s="7">
        <f>1</f>
        <v>1</v>
      </c>
      <c r="K3897" s="5" t="s">
        <v>3682</v>
      </c>
      <c r="L3897" s="7">
        <f>1</f>
        <v>1</v>
      </c>
      <c r="M3897" s="7">
        <f>1</f>
        <v>1</v>
      </c>
      <c r="N3897" s="5" t="s">
        <v>242</v>
      </c>
      <c r="O3897" s="5">
        <v>1</v>
      </c>
      <c r="P3897" s="5" t="s">
        <v>294</v>
      </c>
      <c r="Q3897" s="5" t="s">
        <v>3678</v>
      </c>
      <c r="T3897" s="5" t="s">
        <v>243</v>
      </c>
      <c r="U3897" s="5" t="s">
        <v>244</v>
      </c>
      <c r="V3897" s="5" t="s">
        <v>240</v>
      </c>
      <c r="Y3897" s="5" t="s">
        <v>240</v>
      </c>
      <c r="Z3897" s="6" t="s">
        <v>298</v>
      </c>
      <c r="AA3897" s="6" t="s">
        <v>240</v>
      </c>
      <c r="AB3897" s="6" t="s">
        <v>240</v>
      </c>
      <c r="AC3897" s="5" t="s">
        <v>240</v>
      </c>
      <c r="AD3897" s="6" t="s">
        <v>240</v>
      </c>
      <c r="AE3897" s="6" t="s">
        <v>6769</v>
      </c>
      <c r="AF3897" s="5" t="s">
        <v>248</v>
      </c>
      <c r="AG3897" s="5" t="s">
        <v>249</v>
      </c>
      <c r="AM3897" s="5" t="s">
        <v>240</v>
      </c>
      <c r="AN3897" s="5" t="s">
        <v>240</v>
      </c>
      <c r="AO3897" s="5" t="s">
        <v>240</v>
      </c>
      <c r="AP3897" s="6" t="s">
        <v>240</v>
      </c>
      <c r="AQ3897" s="6" t="s">
        <v>240</v>
      </c>
      <c r="AR3897" s="6" t="s">
        <v>240</v>
      </c>
      <c r="AU3897" s="5" t="s">
        <v>729</v>
      </c>
      <c r="AV3897" s="5" t="s">
        <v>729</v>
      </c>
      <c r="AW3897" s="5" t="s">
        <v>251</v>
      </c>
      <c r="AX3897" s="5" t="s">
        <v>252</v>
      </c>
      <c r="AY3897" s="5" t="s">
        <v>253</v>
      </c>
      <c r="AZ3897" s="5" t="s">
        <v>6046</v>
      </c>
      <c r="BA3897" s="5" t="s">
        <v>255</v>
      </c>
      <c r="BB3897" s="5" t="s">
        <v>731</v>
      </c>
      <c r="BD3897" s="5" t="s">
        <v>842</v>
      </c>
      <c r="BF3897" s="5" t="s">
        <v>732</v>
      </c>
      <c r="BG3897" s="6" t="s">
        <v>733</v>
      </c>
      <c r="BH3897" s="5" t="s">
        <v>734</v>
      </c>
      <c r="BI3897" s="5" t="s">
        <v>734</v>
      </c>
      <c r="BJ3897" s="5" t="s">
        <v>240</v>
      </c>
      <c r="BK3897" s="8">
        <f>1452</f>
        <v>1452</v>
      </c>
      <c r="BL3897" s="7">
        <f>15972</f>
        <v>15972</v>
      </c>
      <c r="BM3897" s="5" t="s">
        <v>258</v>
      </c>
      <c r="BN3897" s="5" t="s">
        <v>259</v>
      </c>
      <c r="BO3897" s="5" t="s">
        <v>240</v>
      </c>
      <c r="BP3897" s="5" t="s">
        <v>240</v>
      </c>
      <c r="BQ3897" s="5" t="s">
        <v>240</v>
      </c>
      <c r="BR3897" s="5" t="s">
        <v>240</v>
      </c>
      <c r="BW3897" s="6" t="s">
        <v>240</v>
      </c>
      <c r="BX3897" s="5" t="s">
        <v>240</v>
      </c>
      <c r="BY3897" s="5" t="s">
        <v>240</v>
      </c>
      <c r="BZ3897" s="5" t="s">
        <v>240</v>
      </c>
      <c r="CA3897" s="5" t="s">
        <v>259</v>
      </c>
      <c r="CB3897" s="5" t="s">
        <v>240</v>
      </c>
      <c r="CC3897" s="5" t="s">
        <v>240</v>
      </c>
      <c r="CG3897" s="5" t="s">
        <v>240</v>
      </c>
      <c r="CH3897" s="5" t="s">
        <v>240</v>
      </c>
      <c r="CI3897" s="5" t="s">
        <v>260</v>
      </c>
      <c r="CK3897" s="5" t="s">
        <v>240</v>
      </c>
      <c r="CL3897" s="6" t="s">
        <v>261</v>
      </c>
      <c r="CM3897" s="5" t="s">
        <v>262</v>
      </c>
      <c r="CN3897" s="5" t="s">
        <v>263</v>
      </c>
      <c r="CO3897" s="5" t="s">
        <v>264</v>
      </c>
      <c r="CP3897" s="5" t="s">
        <v>240</v>
      </c>
      <c r="CQ3897" s="5">
        <v>0</v>
      </c>
      <c r="CR3897" s="5" t="s">
        <v>735</v>
      </c>
      <c r="CS3897" s="5" t="s">
        <v>307</v>
      </c>
      <c r="CT3897" s="5" t="s">
        <v>307</v>
      </c>
      <c r="CU3897" s="5" t="s">
        <v>260</v>
      </c>
      <c r="CV3897" s="5" t="s">
        <v>240</v>
      </c>
      <c r="CW3897" s="8">
        <f>11</f>
        <v>11</v>
      </c>
      <c r="CX3897" s="7">
        <f>15972</f>
        <v>15972</v>
      </c>
      <c r="CY3897" s="7">
        <f>0</f>
        <v>0</v>
      </c>
      <c r="CZ3897" s="7">
        <f>0</f>
        <v>0</v>
      </c>
      <c r="DA3897" s="7">
        <f>15972</f>
        <v>15972</v>
      </c>
      <c r="DB3897" s="7" t="s">
        <v>240</v>
      </c>
      <c r="DC3897" s="5" t="s">
        <v>240</v>
      </c>
      <c r="DD3897" s="5" t="s">
        <v>240</v>
      </c>
      <c r="DF3897" s="5" t="s">
        <v>240</v>
      </c>
      <c r="DG3897" s="7">
        <f>0</f>
        <v>0</v>
      </c>
      <c r="DH3897" s="6" t="s">
        <v>240</v>
      </c>
      <c r="DI3897" s="5" t="s">
        <v>240</v>
      </c>
      <c r="DJ3897" s="5" t="s">
        <v>240</v>
      </c>
      <c r="DK3897" s="5" t="s">
        <v>240</v>
      </c>
      <c r="DL3897" s="5" t="s">
        <v>240</v>
      </c>
      <c r="DM3897" s="5" t="s">
        <v>240</v>
      </c>
      <c r="DN3897" s="5" t="s">
        <v>240</v>
      </c>
      <c r="DO3897" s="7" t="s">
        <v>240</v>
      </c>
      <c r="DP3897" s="5" t="s">
        <v>240</v>
      </c>
      <c r="DQ3897" s="5" t="s">
        <v>248</v>
      </c>
      <c r="DR3897" s="5" t="s">
        <v>731</v>
      </c>
      <c r="DS3897" s="5" t="s">
        <v>731</v>
      </c>
      <c r="DT3897" s="5" t="s">
        <v>240</v>
      </c>
      <c r="DU3897" s="5" t="s">
        <v>240</v>
      </c>
      <c r="HR3897" s="5" t="s">
        <v>240</v>
      </c>
      <c r="HS3897" s="5" t="s">
        <v>240</v>
      </c>
      <c r="HT3897" s="5" t="s">
        <v>240</v>
      </c>
      <c r="HU3897" s="5" t="s">
        <v>240</v>
      </c>
      <c r="HV3897" s="5" t="s">
        <v>240</v>
      </c>
      <c r="HW3897" s="5" t="s">
        <v>240</v>
      </c>
      <c r="HX3897" s="5" t="s">
        <v>240</v>
      </c>
      <c r="HY3897" s="5" t="s">
        <v>240</v>
      </c>
      <c r="HZ3897" s="5" t="s">
        <v>240</v>
      </c>
      <c r="IA3897" s="5" t="s">
        <v>240</v>
      </c>
      <c r="IB3897" s="5" t="s">
        <v>240</v>
      </c>
      <c r="IC3897" s="5" t="s">
        <v>240</v>
      </c>
      <c r="ID3897" s="5" t="s">
        <v>240</v>
      </c>
      <c r="IE3897" s="5" t="s">
        <v>240</v>
      </c>
      <c r="IF3897" s="5" t="s">
        <v>240</v>
      </c>
    </row>
    <row r="3898" spans="1:240" x14ac:dyDescent="0.4">
      <c r="A3898" s="5">
        <v>9440</v>
      </c>
      <c r="B3898" s="5">
        <v>1</v>
      </c>
      <c r="C3898" s="5">
        <v>1</v>
      </c>
      <c r="D3898" s="5" t="s">
        <v>723</v>
      </c>
      <c r="E3898" s="5" t="s">
        <v>725</v>
      </c>
      <c r="F3898" s="5" t="s">
        <v>254</v>
      </c>
      <c r="G3898" s="5" t="s">
        <v>6086</v>
      </c>
      <c r="H3898" s="6" t="s">
        <v>6087</v>
      </c>
      <c r="I3898" s="5" t="s">
        <v>6085</v>
      </c>
      <c r="J3898" s="7">
        <f>1</f>
        <v>1</v>
      </c>
      <c r="K3898" s="5" t="s">
        <v>3682</v>
      </c>
      <c r="L3898" s="7">
        <f>1</f>
        <v>1</v>
      </c>
      <c r="M3898" s="7">
        <f>1</f>
        <v>1</v>
      </c>
      <c r="N3898" s="5" t="s">
        <v>242</v>
      </c>
      <c r="O3898" s="5">
        <v>1</v>
      </c>
      <c r="P3898" s="5" t="s">
        <v>294</v>
      </c>
      <c r="Q3898" s="5" t="s">
        <v>613</v>
      </c>
      <c r="T3898" s="5" t="s">
        <v>243</v>
      </c>
      <c r="U3898" s="5" t="s">
        <v>244</v>
      </c>
      <c r="V3898" s="5" t="s">
        <v>240</v>
      </c>
      <c r="Y3898" s="5" t="s">
        <v>5060</v>
      </c>
      <c r="Z3898" s="6" t="s">
        <v>7009</v>
      </c>
      <c r="AA3898" s="6" t="s">
        <v>240</v>
      </c>
      <c r="AB3898" s="6" t="s">
        <v>240</v>
      </c>
      <c r="AC3898" s="5" t="s">
        <v>240</v>
      </c>
      <c r="AD3898" s="6" t="s">
        <v>240</v>
      </c>
      <c r="AE3898" s="6" t="s">
        <v>7010</v>
      </c>
      <c r="AF3898" s="5" t="s">
        <v>248</v>
      </c>
      <c r="AG3898" s="5" t="s">
        <v>249</v>
      </c>
      <c r="AM3898" s="5" t="s">
        <v>240</v>
      </c>
      <c r="AN3898" s="5" t="s">
        <v>240</v>
      </c>
      <c r="AO3898" s="5" t="s">
        <v>240</v>
      </c>
      <c r="AP3898" s="6" t="s">
        <v>240</v>
      </c>
      <c r="AQ3898" s="6" t="s">
        <v>240</v>
      </c>
      <c r="AR3898" s="6" t="s">
        <v>240</v>
      </c>
      <c r="AU3898" s="5" t="s">
        <v>729</v>
      </c>
      <c r="AV3898" s="5" t="s">
        <v>729</v>
      </c>
      <c r="AW3898" s="5" t="s">
        <v>251</v>
      </c>
      <c r="AX3898" s="5" t="s">
        <v>252</v>
      </c>
      <c r="AY3898" s="5" t="s">
        <v>253</v>
      </c>
      <c r="AZ3898" s="5" t="s">
        <v>6046</v>
      </c>
      <c r="BA3898" s="5" t="s">
        <v>255</v>
      </c>
      <c r="BB3898" s="5" t="s">
        <v>731</v>
      </c>
      <c r="BD3898" s="5" t="s">
        <v>842</v>
      </c>
      <c r="BF3898" s="5" t="s">
        <v>256</v>
      </c>
      <c r="BG3898" s="6" t="s">
        <v>7009</v>
      </c>
      <c r="BH3898" s="5" t="s">
        <v>734</v>
      </c>
      <c r="BI3898" s="5" t="s">
        <v>734</v>
      </c>
      <c r="BJ3898" s="5" t="s">
        <v>240</v>
      </c>
      <c r="BK3898" s="8">
        <f>273</f>
        <v>273</v>
      </c>
      <c r="BL3898" s="7">
        <f>331422</f>
        <v>331422</v>
      </c>
      <c r="BM3898" s="5" t="s">
        <v>258</v>
      </c>
      <c r="BN3898" s="5" t="s">
        <v>259</v>
      </c>
      <c r="BO3898" s="5" t="s">
        <v>240</v>
      </c>
      <c r="BP3898" s="5" t="s">
        <v>240</v>
      </c>
      <c r="BQ3898" s="5" t="s">
        <v>240</v>
      </c>
      <c r="BR3898" s="5" t="s">
        <v>240</v>
      </c>
      <c r="BW3898" s="6" t="s">
        <v>240</v>
      </c>
      <c r="BX3898" s="5" t="s">
        <v>240</v>
      </c>
      <c r="BY3898" s="5" t="s">
        <v>240</v>
      </c>
      <c r="BZ3898" s="5" t="s">
        <v>240</v>
      </c>
      <c r="CA3898" s="5" t="s">
        <v>259</v>
      </c>
      <c r="CB3898" s="5" t="s">
        <v>240</v>
      </c>
      <c r="CC3898" s="5" t="s">
        <v>240</v>
      </c>
      <c r="CG3898" s="5" t="s">
        <v>240</v>
      </c>
      <c r="CH3898" s="5" t="s">
        <v>240</v>
      </c>
      <c r="CI3898" s="5" t="s">
        <v>260</v>
      </c>
      <c r="CK3898" s="5" t="s">
        <v>240</v>
      </c>
      <c r="CL3898" s="6" t="s">
        <v>261</v>
      </c>
      <c r="CM3898" s="5" t="s">
        <v>262</v>
      </c>
      <c r="CN3898" s="5" t="s">
        <v>263</v>
      </c>
      <c r="CO3898" s="5" t="s">
        <v>264</v>
      </c>
      <c r="CP3898" s="5" t="s">
        <v>240</v>
      </c>
      <c r="CQ3898" s="5">
        <v>0</v>
      </c>
      <c r="CR3898" s="5" t="s">
        <v>735</v>
      </c>
      <c r="CS3898" s="5" t="s">
        <v>307</v>
      </c>
      <c r="CT3898" s="5" t="s">
        <v>307</v>
      </c>
      <c r="CU3898" s="5" t="s">
        <v>260</v>
      </c>
      <c r="CV3898" s="5" t="s">
        <v>240</v>
      </c>
      <c r="CW3898" s="8">
        <f>1214</f>
        <v>1214</v>
      </c>
      <c r="CX3898" s="7">
        <f>331422</f>
        <v>331422</v>
      </c>
      <c r="CY3898" s="7">
        <f>0</f>
        <v>0</v>
      </c>
      <c r="CZ3898" s="7">
        <f>0</f>
        <v>0</v>
      </c>
      <c r="DA3898" s="7">
        <f>331422</f>
        <v>331422</v>
      </c>
      <c r="DB3898" s="7" t="s">
        <v>240</v>
      </c>
      <c r="DC3898" s="5" t="s">
        <v>240</v>
      </c>
      <c r="DD3898" s="5" t="s">
        <v>240</v>
      </c>
      <c r="DF3898" s="5" t="s">
        <v>240</v>
      </c>
      <c r="DG3898" s="7">
        <f>0</f>
        <v>0</v>
      </c>
      <c r="DH3898" s="6" t="s">
        <v>240</v>
      </c>
      <c r="DI3898" s="5" t="s">
        <v>240</v>
      </c>
      <c r="DJ3898" s="5" t="s">
        <v>240</v>
      </c>
      <c r="DK3898" s="5" t="s">
        <v>240</v>
      </c>
      <c r="DL3898" s="5" t="s">
        <v>240</v>
      </c>
      <c r="DM3898" s="5" t="s">
        <v>240</v>
      </c>
      <c r="DN3898" s="5" t="s">
        <v>240</v>
      </c>
      <c r="DO3898" s="7" t="s">
        <v>240</v>
      </c>
      <c r="DP3898" s="5" t="s">
        <v>240</v>
      </c>
      <c r="DQ3898" s="5" t="s">
        <v>248</v>
      </c>
      <c r="DR3898" s="5" t="s">
        <v>731</v>
      </c>
      <c r="DS3898" s="5" t="s">
        <v>731</v>
      </c>
      <c r="DT3898" s="5" t="s">
        <v>240</v>
      </c>
      <c r="DU3898" s="5" t="s">
        <v>240</v>
      </c>
      <c r="HR3898" s="5" t="s">
        <v>240</v>
      </c>
      <c r="HS3898" s="5" t="s">
        <v>240</v>
      </c>
      <c r="HT3898" s="5" t="s">
        <v>240</v>
      </c>
      <c r="HU3898" s="5" t="s">
        <v>240</v>
      </c>
      <c r="HV3898" s="5" t="s">
        <v>240</v>
      </c>
      <c r="HW3898" s="5" t="s">
        <v>240</v>
      </c>
      <c r="HX3898" s="5" t="s">
        <v>240</v>
      </c>
      <c r="HY3898" s="5" t="s">
        <v>240</v>
      </c>
      <c r="HZ3898" s="5" t="s">
        <v>240</v>
      </c>
      <c r="IA3898" s="5" t="s">
        <v>240</v>
      </c>
      <c r="IB3898" s="5" t="s">
        <v>240</v>
      </c>
      <c r="IC3898" s="5" t="s">
        <v>240</v>
      </c>
      <c r="ID3898" s="5" t="s">
        <v>240</v>
      </c>
      <c r="IE3898" s="5" t="s">
        <v>240</v>
      </c>
      <c r="IF3898" s="5" t="s">
        <v>240</v>
      </c>
    </row>
    <row r="3899" spans="1:240" x14ac:dyDescent="0.4">
      <c r="A3899" s="5">
        <v>9441</v>
      </c>
      <c r="B3899" s="5">
        <v>1</v>
      </c>
      <c r="C3899" s="5">
        <v>1</v>
      </c>
      <c r="D3899" s="5" t="s">
        <v>723</v>
      </c>
      <c r="E3899" s="5" t="s">
        <v>725</v>
      </c>
      <c r="F3899" s="5" t="s">
        <v>254</v>
      </c>
      <c r="G3899" s="5" t="s">
        <v>6044</v>
      </c>
      <c r="H3899" s="6" t="s">
        <v>6091</v>
      </c>
      <c r="I3899" s="5" t="s">
        <v>6090</v>
      </c>
      <c r="J3899" s="7">
        <f>1</f>
        <v>1</v>
      </c>
      <c r="K3899" s="5" t="s">
        <v>3682</v>
      </c>
      <c r="L3899" s="7">
        <f>1</f>
        <v>1</v>
      </c>
      <c r="M3899" s="7">
        <f>1</f>
        <v>1</v>
      </c>
      <c r="N3899" s="5" t="s">
        <v>242</v>
      </c>
      <c r="O3899" s="5">
        <v>1</v>
      </c>
      <c r="P3899" s="5" t="s">
        <v>294</v>
      </c>
      <c r="Q3899" s="5" t="s">
        <v>613</v>
      </c>
      <c r="T3899" s="5" t="s">
        <v>243</v>
      </c>
      <c r="U3899" s="5" t="s">
        <v>244</v>
      </c>
      <c r="V3899" s="5" t="s">
        <v>240</v>
      </c>
      <c r="Y3899" s="5" t="s">
        <v>240</v>
      </c>
      <c r="Z3899" s="6" t="s">
        <v>298</v>
      </c>
      <c r="AA3899" s="6" t="s">
        <v>240</v>
      </c>
      <c r="AB3899" s="6" t="s">
        <v>240</v>
      </c>
      <c r="AC3899" s="5" t="s">
        <v>240</v>
      </c>
      <c r="AD3899" s="6" t="s">
        <v>240</v>
      </c>
      <c r="AE3899" s="6" t="s">
        <v>299</v>
      </c>
      <c r="AF3899" s="5" t="s">
        <v>248</v>
      </c>
      <c r="AG3899" s="5" t="s">
        <v>249</v>
      </c>
      <c r="AM3899" s="5" t="s">
        <v>240</v>
      </c>
      <c r="AN3899" s="5" t="s">
        <v>240</v>
      </c>
      <c r="AO3899" s="5" t="s">
        <v>240</v>
      </c>
      <c r="AP3899" s="6" t="s">
        <v>240</v>
      </c>
      <c r="AQ3899" s="6" t="s">
        <v>240</v>
      </c>
      <c r="AR3899" s="6" t="s">
        <v>240</v>
      </c>
      <c r="AU3899" s="5" t="s">
        <v>729</v>
      </c>
      <c r="AV3899" s="5" t="s">
        <v>729</v>
      </c>
      <c r="AW3899" s="5" t="s">
        <v>251</v>
      </c>
      <c r="AX3899" s="5" t="s">
        <v>6831</v>
      </c>
      <c r="AY3899" s="5" t="s">
        <v>253</v>
      </c>
      <c r="AZ3899" s="5" t="s">
        <v>6046</v>
      </c>
      <c r="BA3899" s="5" t="s">
        <v>255</v>
      </c>
      <c r="BB3899" s="5" t="s">
        <v>731</v>
      </c>
      <c r="BD3899" s="5" t="s">
        <v>686</v>
      </c>
      <c r="BF3899" s="5" t="s">
        <v>256</v>
      </c>
      <c r="BG3899" s="6" t="s">
        <v>281</v>
      </c>
      <c r="BH3899" s="5" t="s">
        <v>7016</v>
      </c>
      <c r="BI3899" s="5" t="s">
        <v>302</v>
      </c>
      <c r="BJ3899" s="5" t="s">
        <v>240</v>
      </c>
      <c r="BK3899" s="8">
        <f>-1285.76</f>
        <v>-1285.76</v>
      </c>
      <c r="BL3899" s="7">
        <f>-40955</f>
        <v>-40955</v>
      </c>
      <c r="BM3899" s="5" t="s">
        <v>258</v>
      </c>
      <c r="BN3899" s="5" t="s">
        <v>259</v>
      </c>
      <c r="BO3899" s="5" t="s">
        <v>240</v>
      </c>
      <c r="BP3899" s="5" t="s">
        <v>240</v>
      </c>
      <c r="BQ3899" s="5" t="s">
        <v>240</v>
      </c>
      <c r="BR3899" s="5" t="s">
        <v>240</v>
      </c>
      <c r="BW3899" s="6" t="s">
        <v>240</v>
      </c>
      <c r="BX3899" s="5" t="s">
        <v>240</v>
      </c>
      <c r="BY3899" s="5" t="s">
        <v>240</v>
      </c>
      <c r="BZ3899" s="5" t="s">
        <v>240</v>
      </c>
      <c r="CA3899" s="5" t="s">
        <v>259</v>
      </c>
      <c r="CB3899" s="5" t="s">
        <v>240</v>
      </c>
      <c r="CC3899" s="5" t="s">
        <v>240</v>
      </c>
      <c r="CG3899" s="5" t="s">
        <v>617</v>
      </c>
      <c r="CH3899" s="5" t="s">
        <v>305</v>
      </c>
      <c r="CI3899" s="5" t="s">
        <v>260</v>
      </c>
      <c r="CK3899" s="5" t="s">
        <v>240</v>
      </c>
      <c r="CL3899" s="6" t="s">
        <v>261</v>
      </c>
      <c r="CM3899" s="5" t="s">
        <v>262</v>
      </c>
      <c r="CN3899" s="5" t="s">
        <v>263</v>
      </c>
      <c r="CO3899" s="5" t="s">
        <v>264</v>
      </c>
      <c r="CP3899" s="5" t="s">
        <v>240</v>
      </c>
      <c r="CQ3899" s="5">
        <v>0</v>
      </c>
      <c r="CR3899" s="5" t="s">
        <v>306</v>
      </c>
      <c r="CS3899" s="5" t="s">
        <v>307</v>
      </c>
      <c r="CT3899" s="5" t="s">
        <v>307</v>
      </c>
      <c r="CU3899" s="5" t="s">
        <v>260</v>
      </c>
      <c r="CV3899" s="5" t="s">
        <v>240</v>
      </c>
      <c r="CW3899" s="8">
        <f>0</f>
        <v>0</v>
      </c>
      <c r="CX3899" s="7">
        <f>2888913</f>
        <v>2888913</v>
      </c>
      <c r="CY3899" s="7">
        <f>0</f>
        <v>0</v>
      </c>
      <c r="CZ3899" s="7" t="s">
        <v>240</v>
      </c>
      <c r="DA3899" s="7">
        <f>2888913</f>
        <v>2888913</v>
      </c>
      <c r="DB3899" s="7" t="s">
        <v>240</v>
      </c>
      <c r="DC3899" s="5" t="s">
        <v>240</v>
      </c>
      <c r="DD3899" s="5" t="s">
        <v>240</v>
      </c>
      <c r="DF3899" s="5" t="s">
        <v>450</v>
      </c>
      <c r="DG3899" s="7">
        <f>0</f>
        <v>0</v>
      </c>
      <c r="DH3899" s="6" t="s">
        <v>240</v>
      </c>
      <c r="DI3899" s="5" t="s">
        <v>618</v>
      </c>
      <c r="DJ3899" s="5" t="s">
        <v>240</v>
      </c>
      <c r="DK3899" s="5" t="s">
        <v>240</v>
      </c>
      <c r="DL3899" s="5" t="s">
        <v>240</v>
      </c>
      <c r="DM3899" s="5" t="s">
        <v>240</v>
      </c>
      <c r="DN3899" s="5" t="s">
        <v>240</v>
      </c>
      <c r="DO3899" s="7" t="s">
        <v>240</v>
      </c>
      <c r="DP3899" s="5" t="s">
        <v>240</v>
      </c>
      <c r="DQ3899" s="5" t="s">
        <v>248</v>
      </c>
      <c r="DR3899" s="5" t="s">
        <v>731</v>
      </c>
      <c r="DS3899" s="5" t="s">
        <v>731</v>
      </c>
      <c r="DT3899" s="5" t="s">
        <v>240</v>
      </c>
      <c r="DU3899" s="5" t="s">
        <v>240</v>
      </c>
      <c r="DV3899" s="5" t="s">
        <v>7017</v>
      </c>
      <c r="DW3899" s="5" t="s">
        <v>312</v>
      </c>
      <c r="HO3899" s="5" t="s">
        <v>691</v>
      </c>
      <c r="HR3899" s="5" t="s">
        <v>240</v>
      </c>
      <c r="HS3899" s="5" t="s">
        <v>240</v>
      </c>
      <c r="HT3899" s="5" t="s">
        <v>240</v>
      </c>
      <c r="HU3899" s="5" t="s">
        <v>240</v>
      </c>
      <c r="HV3899" s="5" t="s">
        <v>240</v>
      </c>
      <c r="HW3899" s="5" t="s">
        <v>240</v>
      </c>
      <c r="HX3899" s="5" t="s">
        <v>240</v>
      </c>
      <c r="HY3899" s="5" t="s">
        <v>240</v>
      </c>
      <c r="HZ3899" s="5" t="s">
        <v>240</v>
      </c>
      <c r="IA3899" s="5" t="s">
        <v>240</v>
      </c>
      <c r="IB3899" s="5" t="s">
        <v>240</v>
      </c>
      <c r="IC3899" s="5" t="s">
        <v>240</v>
      </c>
      <c r="ID3899" s="5" t="s">
        <v>240</v>
      </c>
      <c r="IE3899" s="5" t="s">
        <v>240</v>
      </c>
      <c r="IF3899" s="5" t="s">
        <v>240</v>
      </c>
    </row>
    <row r="3900" spans="1:240" x14ac:dyDescent="0.4">
      <c r="A3900" s="5">
        <v>9442</v>
      </c>
      <c r="B3900" s="5">
        <v>1</v>
      </c>
      <c r="C3900" s="5">
        <v>1</v>
      </c>
      <c r="D3900" s="5" t="s">
        <v>723</v>
      </c>
      <c r="E3900" s="5" t="s">
        <v>725</v>
      </c>
      <c r="F3900" s="5" t="s">
        <v>254</v>
      </c>
      <c r="G3900" s="5" t="s">
        <v>6044</v>
      </c>
      <c r="H3900" s="6" t="s">
        <v>6093</v>
      </c>
      <c r="I3900" s="5" t="s">
        <v>6092</v>
      </c>
      <c r="J3900" s="7">
        <f>1</f>
        <v>1</v>
      </c>
      <c r="K3900" s="5" t="s">
        <v>3682</v>
      </c>
      <c r="L3900" s="7">
        <f>1</f>
        <v>1</v>
      </c>
      <c r="M3900" s="7">
        <f>1</f>
        <v>1</v>
      </c>
      <c r="N3900" s="5" t="s">
        <v>242</v>
      </c>
      <c r="O3900" s="5">
        <v>1</v>
      </c>
      <c r="P3900" s="5" t="s">
        <v>294</v>
      </c>
      <c r="Q3900" s="5" t="s">
        <v>240</v>
      </c>
      <c r="T3900" s="5" t="s">
        <v>243</v>
      </c>
      <c r="U3900" s="5" t="s">
        <v>240</v>
      </c>
      <c r="V3900" s="5" t="s">
        <v>240</v>
      </c>
      <c r="Y3900" s="5" t="s">
        <v>245</v>
      </c>
      <c r="Z3900" s="6" t="s">
        <v>6821</v>
      </c>
      <c r="AA3900" s="6" t="s">
        <v>240</v>
      </c>
      <c r="AB3900" s="6" t="s">
        <v>240</v>
      </c>
      <c r="AC3900" s="5" t="s">
        <v>240</v>
      </c>
      <c r="AD3900" s="6" t="s">
        <v>240</v>
      </c>
      <c r="AE3900" s="6" t="s">
        <v>6821</v>
      </c>
      <c r="AF3900" s="5" t="s">
        <v>248</v>
      </c>
      <c r="AG3900" s="5" t="s">
        <v>240</v>
      </c>
      <c r="AM3900" s="5" t="s">
        <v>240</v>
      </c>
      <c r="AN3900" s="5" t="s">
        <v>240</v>
      </c>
      <c r="AO3900" s="5" t="s">
        <v>240</v>
      </c>
      <c r="AP3900" s="6" t="s">
        <v>240</v>
      </c>
      <c r="AQ3900" s="6" t="s">
        <v>240</v>
      </c>
      <c r="AR3900" s="6" t="s">
        <v>240</v>
      </c>
      <c r="AU3900" s="5" t="s">
        <v>729</v>
      </c>
      <c r="AV3900" s="5" t="s">
        <v>729</v>
      </c>
      <c r="AW3900" s="5" t="s">
        <v>251</v>
      </c>
      <c r="AX3900" s="5" t="s">
        <v>252</v>
      </c>
      <c r="AY3900" s="5" t="s">
        <v>253</v>
      </c>
      <c r="AZ3900" s="5" t="s">
        <v>240</v>
      </c>
      <c r="BA3900" s="5" t="s">
        <v>255</v>
      </c>
      <c r="BB3900" s="5" t="s">
        <v>731</v>
      </c>
      <c r="BD3900" s="5" t="s">
        <v>240</v>
      </c>
      <c r="BF3900" s="5" t="s">
        <v>6763</v>
      </c>
      <c r="BG3900" s="6" t="s">
        <v>6823</v>
      </c>
      <c r="BH3900" s="5" t="s">
        <v>6742</v>
      </c>
      <c r="BI3900" s="5" t="s">
        <v>6743</v>
      </c>
      <c r="BJ3900" s="5" t="s">
        <v>240</v>
      </c>
      <c r="BK3900" s="7">
        <f>0</f>
        <v>0</v>
      </c>
      <c r="BL3900" s="7">
        <f>176000</f>
        <v>176000</v>
      </c>
      <c r="BM3900" s="5" t="s">
        <v>258</v>
      </c>
      <c r="BN3900" s="5" t="s">
        <v>259</v>
      </c>
      <c r="BO3900" s="5" t="s">
        <v>6744</v>
      </c>
      <c r="BP3900" s="5" t="s">
        <v>6745</v>
      </c>
      <c r="BQ3900" s="5" t="s">
        <v>6745</v>
      </c>
      <c r="BR3900" s="5" t="s">
        <v>240</v>
      </c>
      <c r="BS3900" s="5" t="s">
        <v>258</v>
      </c>
      <c r="BT3900" s="5" t="s">
        <v>6747</v>
      </c>
      <c r="BU3900" s="5" t="s">
        <v>6747</v>
      </c>
      <c r="BW3900" s="6" t="s">
        <v>7020</v>
      </c>
      <c r="BX3900" s="5" t="s">
        <v>258</v>
      </c>
      <c r="BY3900" s="5" t="s">
        <v>240</v>
      </c>
      <c r="BZ3900" s="5" t="s">
        <v>240</v>
      </c>
      <c r="CA3900" s="5" t="s">
        <v>259</v>
      </c>
      <c r="CB3900" s="5" t="s">
        <v>240</v>
      </c>
      <c r="CC3900" s="5" t="s">
        <v>240</v>
      </c>
      <c r="CG3900" s="5" t="s">
        <v>240</v>
      </c>
      <c r="CH3900" s="5" t="s">
        <v>240</v>
      </c>
      <c r="CI3900" s="5" t="s">
        <v>260</v>
      </c>
      <c r="CK3900" s="5" t="s">
        <v>240</v>
      </c>
      <c r="CL3900" s="6" t="s">
        <v>261</v>
      </c>
      <c r="CM3900" s="5" t="s">
        <v>262</v>
      </c>
      <c r="CN3900" s="5" t="s">
        <v>293</v>
      </c>
      <c r="CO3900" s="5" t="s">
        <v>264</v>
      </c>
      <c r="CP3900" s="5" t="s">
        <v>240</v>
      </c>
      <c r="CQ3900" s="5">
        <v>0</v>
      </c>
      <c r="CR3900" s="5" t="s">
        <v>240</v>
      </c>
      <c r="CS3900" s="5" t="s">
        <v>240</v>
      </c>
      <c r="CT3900" s="5" t="s">
        <v>240</v>
      </c>
      <c r="CU3900" s="5" t="s">
        <v>260</v>
      </c>
      <c r="CV3900" s="5" t="s">
        <v>240</v>
      </c>
      <c r="CW3900" s="8">
        <f>0</f>
        <v>0</v>
      </c>
      <c r="CX3900" s="7">
        <f>176000</f>
        <v>176000</v>
      </c>
      <c r="CY3900" s="7">
        <f>0</f>
        <v>0</v>
      </c>
      <c r="CZ3900" s="7">
        <f>0</f>
        <v>0</v>
      </c>
      <c r="DA3900" s="7">
        <f>176000</f>
        <v>176000</v>
      </c>
      <c r="DB3900" s="7" t="s">
        <v>240</v>
      </c>
      <c r="DC3900" s="5" t="s">
        <v>240</v>
      </c>
      <c r="DD3900" s="5" t="s">
        <v>240</v>
      </c>
      <c r="DF3900" s="5" t="s">
        <v>240</v>
      </c>
      <c r="DG3900" s="7">
        <f>0</f>
        <v>0</v>
      </c>
      <c r="DH3900" s="6" t="s">
        <v>240</v>
      </c>
      <c r="DI3900" s="5" t="s">
        <v>240</v>
      </c>
      <c r="DJ3900" s="5" t="s">
        <v>240</v>
      </c>
      <c r="DK3900" s="5" t="s">
        <v>240</v>
      </c>
      <c r="DL3900" s="5" t="s">
        <v>240</v>
      </c>
      <c r="DM3900" s="5" t="s">
        <v>240</v>
      </c>
      <c r="DN3900" s="5" t="s">
        <v>240</v>
      </c>
      <c r="DO3900" s="7" t="s">
        <v>240</v>
      </c>
      <c r="DP3900" s="5" t="s">
        <v>240</v>
      </c>
      <c r="DQ3900" s="5" t="s">
        <v>248</v>
      </c>
      <c r="DR3900" s="5" t="s">
        <v>731</v>
      </c>
      <c r="DS3900" s="5" t="s">
        <v>731</v>
      </c>
      <c r="DT3900" s="5" t="s">
        <v>240</v>
      </c>
      <c r="DU3900" s="5" t="s">
        <v>240</v>
      </c>
      <c r="HR3900" s="5" t="s">
        <v>240</v>
      </c>
      <c r="HS3900" s="5" t="s">
        <v>240</v>
      </c>
      <c r="HT3900" s="5" t="s">
        <v>240</v>
      </c>
      <c r="HU3900" s="5" t="s">
        <v>240</v>
      </c>
      <c r="HV3900" s="5" t="s">
        <v>240</v>
      </c>
      <c r="HW3900" s="5" t="s">
        <v>240</v>
      </c>
      <c r="HX3900" s="5" t="s">
        <v>240</v>
      </c>
      <c r="HY3900" s="5" t="s">
        <v>240</v>
      </c>
      <c r="HZ3900" s="5" t="s">
        <v>240</v>
      </c>
      <c r="IA3900" s="5" t="s">
        <v>240</v>
      </c>
      <c r="IB3900" s="5" t="s">
        <v>240</v>
      </c>
      <c r="IC3900" s="5" t="s">
        <v>240</v>
      </c>
      <c r="ID3900" s="5" t="s">
        <v>240</v>
      </c>
      <c r="IE3900" s="5" t="s">
        <v>240</v>
      </c>
      <c r="IF3900" s="5" t="s">
        <v>240</v>
      </c>
    </row>
    <row r="3901" spans="1:240" x14ac:dyDescent="0.4">
      <c r="A3901" s="5">
        <v>9443</v>
      </c>
      <c r="B3901" s="5">
        <v>1</v>
      </c>
      <c r="C3901" s="5">
        <v>1</v>
      </c>
      <c r="D3901" s="5" t="s">
        <v>723</v>
      </c>
      <c r="E3901" s="5" t="s">
        <v>725</v>
      </c>
      <c r="F3901" s="5" t="s">
        <v>254</v>
      </c>
      <c r="G3901" s="5" t="s">
        <v>6044</v>
      </c>
      <c r="H3901" s="6" t="s">
        <v>6106</v>
      </c>
      <c r="I3901" s="5" t="s">
        <v>6105</v>
      </c>
      <c r="J3901" s="7">
        <f>1</f>
        <v>1</v>
      </c>
      <c r="K3901" s="5" t="s">
        <v>3682</v>
      </c>
      <c r="L3901" s="7">
        <f>1</f>
        <v>1</v>
      </c>
      <c r="M3901" s="7">
        <f>1</f>
        <v>1</v>
      </c>
      <c r="N3901" s="5" t="s">
        <v>242</v>
      </c>
      <c r="O3901" s="5">
        <v>1</v>
      </c>
      <c r="P3901" s="5" t="s">
        <v>294</v>
      </c>
      <c r="Q3901" s="5" t="s">
        <v>613</v>
      </c>
      <c r="T3901" s="5" t="s">
        <v>243</v>
      </c>
      <c r="U3901" s="5" t="s">
        <v>244</v>
      </c>
      <c r="V3901" s="5" t="s">
        <v>240</v>
      </c>
      <c r="Y3901" s="5" t="s">
        <v>240</v>
      </c>
      <c r="Z3901" s="6" t="s">
        <v>298</v>
      </c>
      <c r="AA3901" s="6" t="s">
        <v>240</v>
      </c>
      <c r="AB3901" s="6" t="s">
        <v>240</v>
      </c>
      <c r="AC3901" s="5" t="s">
        <v>240</v>
      </c>
      <c r="AD3901" s="6" t="s">
        <v>240</v>
      </c>
      <c r="AE3901" s="6" t="s">
        <v>299</v>
      </c>
      <c r="AF3901" s="5" t="s">
        <v>248</v>
      </c>
      <c r="AG3901" s="5" t="s">
        <v>249</v>
      </c>
      <c r="AM3901" s="5" t="s">
        <v>240</v>
      </c>
      <c r="AN3901" s="5" t="s">
        <v>240</v>
      </c>
      <c r="AO3901" s="5" t="s">
        <v>240</v>
      </c>
      <c r="AP3901" s="6" t="s">
        <v>240</v>
      </c>
      <c r="AQ3901" s="6" t="s">
        <v>240</v>
      </c>
      <c r="AW3901" s="5" t="s">
        <v>251</v>
      </c>
      <c r="AX3901" s="5" t="s">
        <v>252</v>
      </c>
      <c r="AY3901" s="5" t="s">
        <v>253</v>
      </c>
      <c r="AZ3901" s="5" t="s">
        <v>6046</v>
      </c>
      <c r="BA3901" s="5" t="s">
        <v>255</v>
      </c>
      <c r="BB3901" s="5" t="s">
        <v>731</v>
      </c>
      <c r="BD3901" s="5" t="s">
        <v>686</v>
      </c>
      <c r="BF3901" s="5" t="s">
        <v>301</v>
      </c>
      <c r="BG3901" s="6" t="s">
        <v>733</v>
      </c>
      <c r="BH3901" s="5" t="s">
        <v>302</v>
      </c>
      <c r="BI3901" s="5" t="s">
        <v>303</v>
      </c>
      <c r="BJ3901" s="5" t="s">
        <v>240</v>
      </c>
      <c r="BK3901" s="8">
        <f>0</f>
        <v>0</v>
      </c>
      <c r="BL3901" s="7">
        <f>0</f>
        <v>0</v>
      </c>
      <c r="BM3901" s="5" t="s">
        <v>258</v>
      </c>
      <c r="BN3901" s="5" t="s">
        <v>259</v>
      </c>
      <c r="BW3901" s="6" t="s">
        <v>240</v>
      </c>
      <c r="BX3901" s="5" t="s">
        <v>240</v>
      </c>
      <c r="BY3901" s="5" t="s">
        <v>240</v>
      </c>
      <c r="BZ3901" s="5" t="s">
        <v>240</v>
      </c>
      <c r="CB3901" s="5" t="s">
        <v>240</v>
      </c>
      <c r="CC3901" s="5" t="s">
        <v>240</v>
      </c>
      <c r="CG3901" s="5" t="s">
        <v>617</v>
      </c>
      <c r="CH3901" s="5" t="s">
        <v>305</v>
      </c>
      <c r="CI3901" s="5" t="s">
        <v>260</v>
      </c>
      <c r="CK3901" s="5" t="s">
        <v>240</v>
      </c>
      <c r="CL3901" s="6" t="s">
        <v>261</v>
      </c>
      <c r="CM3901" s="5" t="s">
        <v>240</v>
      </c>
      <c r="CN3901" s="5" t="s">
        <v>263</v>
      </c>
      <c r="CO3901" s="5" t="s">
        <v>240</v>
      </c>
      <c r="CP3901" s="5" t="s">
        <v>240</v>
      </c>
      <c r="CQ3901" s="5">
        <v>0</v>
      </c>
      <c r="CR3901" s="5" t="s">
        <v>735</v>
      </c>
      <c r="CS3901" s="5" t="s">
        <v>307</v>
      </c>
      <c r="CT3901" s="5" t="s">
        <v>307</v>
      </c>
      <c r="CU3901" s="5" t="s">
        <v>260</v>
      </c>
      <c r="CV3901" s="5" t="s">
        <v>240</v>
      </c>
      <c r="CW3901" s="8" t="s">
        <v>240</v>
      </c>
      <c r="CX3901" s="7">
        <f>1351150</f>
        <v>1351150</v>
      </c>
      <c r="CY3901" s="7">
        <f>0</f>
        <v>0</v>
      </c>
      <c r="CZ3901" s="7" t="s">
        <v>240</v>
      </c>
      <c r="DA3901" s="7">
        <f>0</f>
        <v>0</v>
      </c>
      <c r="DB3901" s="7" t="s">
        <v>240</v>
      </c>
      <c r="DC3901" s="5" t="s">
        <v>618</v>
      </c>
      <c r="DD3901" s="5" t="s">
        <v>240</v>
      </c>
      <c r="DF3901" s="5" t="s">
        <v>450</v>
      </c>
      <c r="DG3901" s="7">
        <f>0</f>
        <v>0</v>
      </c>
      <c r="DH3901" s="6" t="s">
        <v>240</v>
      </c>
      <c r="DI3901" s="5" t="s">
        <v>618</v>
      </c>
      <c r="DJ3901" s="5" t="s">
        <v>240</v>
      </c>
      <c r="DK3901" s="5" t="s">
        <v>240</v>
      </c>
      <c r="DL3901" s="5" t="s">
        <v>240</v>
      </c>
      <c r="DM3901" s="5" t="s">
        <v>240</v>
      </c>
      <c r="DN3901" s="5" t="s">
        <v>240</v>
      </c>
      <c r="DO3901" s="7" t="s">
        <v>240</v>
      </c>
      <c r="DP3901" s="5" t="s">
        <v>240</v>
      </c>
      <c r="DQ3901" s="5" t="s">
        <v>248</v>
      </c>
      <c r="DR3901" s="5" t="s">
        <v>731</v>
      </c>
      <c r="DS3901" s="5" t="s">
        <v>731</v>
      </c>
      <c r="DT3901" s="5" t="s">
        <v>240</v>
      </c>
      <c r="DU3901" s="5" t="s">
        <v>240</v>
      </c>
      <c r="DV3901" s="5" t="s">
        <v>6839</v>
      </c>
      <c r="DW3901" s="5" t="s">
        <v>808</v>
      </c>
    </row>
    <row r="3902" spans="1:240" x14ac:dyDescent="0.4">
      <c r="A3902" s="5">
        <v>9444</v>
      </c>
      <c r="B3902" s="5">
        <v>1</v>
      </c>
      <c r="C3902" s="5">
        <v>1</v>
      </c>
      <c r="D3902" s="5" t="s">
        <v>723</v>
      </c>
      <c r="E3902" s="5" t="s">
        <v>725</v>
      </c>
      <c r="F3902" s="5" t="s">
        <v>254</v>
      </c>
      <c r="G3902" s="5" t="s">
        <v>6044</v>
      </c>
      <c r="H3902" s="6" t="s">
        <v>6110</v>
      </c>
      <c r="I3902" s="5" t="s">
        <v>6109</v>
      </c>
      <c r="J3902" s="7">
        <f>1</f>
        <v>1</v>
      </c>
      <c r="K3902" s="5" t="s">
        <v>3682</v>
      </c>
      <c r="L3902" s="7">
        <f>1</f>
        <v>1</v>
      </c>
      <c r="M3902" s="7">
        <f>1</f>
        <v>1</v>
      </c>
      <c r="N3902" s="5" t="s">
        <v>242</v>
      </c>
      <c r="O3902" s="5">
        <v>1</v>
      </c>
      <c r="P3902" s="5" t="s">
        <v>294</v>
      </c>
      <c r="Q3902" s="5" t="s">
        <v>613</v>
      </c>
      <c r="T3902" s="5" t="s">
        <v>243</v>
      </c>
      <c r="U3902" s="5" t="s">
        <v>244</v>
      </c>
      <c r="V3902" s="5" t="s">
        <v>240</v>
      </c>
      <c r="Y3902" s="5" t="s">
        <v>240</v>
      </c>
      <c r="Z3902" s="6" t="s">
        <v>298</v>
      </c>
      <c r="AA3902" s="6" t="s">
        <v>240</v>
      </c>
      <c r="AB3902" s="6" t="s">
        <v>240</v>
      </c>
      <c r="AC3902" s="5" t="s">
        <v>240</v>
      </c>
      <c r="AD3902" s="6" t="s">
        <v>240</v>
      </c>
      <c r="AE3902" s="6" t="s">
        <v>299</v>
      </c>
      <c r="AF3902" s="5" t="s">
        <v>248</v>
      </c>
      <c r="AG3902" s="5" t="s">
        <v>249</v>
      </c>
      <c r="AM3902" s="5" t="s">
        <v>240</v>
      </c>
      <c r="AN3902" s="5" t="s">
        <v>240</v>
      </c>
      <c r="AO3902" s="5" t="s">
        <v>240</v>
      </c>
      <c r="AP3902" s="6" t="s">
        <v>240</v>
      </c>
      <c r="AQ3902" s="6" t="s">
        <v>240</v>
      </c>
      <c r="AW3902" s="5" t="s">
        <v>251</v>
      </c>
      <c r="AX3902" s="5" t="s">
        <v>252</v>
      </c>
      <c r="AY3902" s="5" t="s">
        <v>253</v>
      </c>
      <c r="AZ3902" s="5" t="s">
        <v>6046</v>
      </c>
      <c r="BA3902" s="5" t="s">
        <v>255</v>
      </c>
      <c r="BB3902" s="5" t="s">
        <v>731</v>
      </c>
      <c r="BD3902" s="5" t="s">
        <v>686</v>
      </c>
      <c r="BF3902" s="5" t="s">
        <v>301</v>
      </c>
      <c r="BG3902" s="6" t="s">
        <v>733</v>
      </c>
      <c r="BH3902" s="5" t="s">
        <v>302</v>
      </c>
      <c r="BI3902" s="5" t="s">
        <v>303</v>
      </c>
      <c r="BJ3902" s="5" t="s">
        <v>240</v>
      </c>
      <c r="BK3902" s="8">
        <f>0</f>
        <v>0</v>
      </c>
      <c r="BL3902" s="7">
        <f>0</f>
        <v>0</v>
      </c>
      <c r="BM3902" s="5" t="s">
        <v>258</v>
      </c>
      <c r="BN3902" s="5" t="s">
        <v>259</v>
      </c>
      <c r="BW3902" s="6" t="s">
        <v>240</v>
      </c>
      <c r="BX3902" s="5" t="s">
        <v>240</v>
      </c>
      <c r="BY3902" s="5" t="s">
        <v>240</v>
      </c>
      <c r="BZ3902" s="5" t="s">
        <v>240</v>
      </c>
      <c r="CB3902" s="5" t="s">
        <v>240</v>
      </c>
      <c r="CC3902" s="5" t="s">
        <v>240</v>
      </c>
      <c r="CG3902" s="5" t="s">
        <v>617</v>
      </c>
      <c r="CH3902" s="5" t="s">
        <v>305</v>
      </c>
      <c r="CI3902" s="5" t="s">
        <v>260</v>
      </c>
      <c r="CK3902" s="5" t="s">
        <v>240</v>
      </c>
      <c r="CL3902" s="6" t="s">
        <v>261</v>
      </c>
      <c r="CM3902" s="5" t="s">
        <v>240</v>
      </c>
      <c r="CN3902" s="5" t="s">
        <v>263</v>
      </c>
      <c r="CO3902" s="5" t="s">
        <v>240</v>
      </c>
      <c r="CP3902" s="5" t="s">
        <v>240</v>
      </c>
      <c r="CQ3902" s="5">
        <v>0</v>
      </c>
      <c r="CR3902" s="5" t="s">
        <v>735</v>
      </c>
      <c r="CS3902" s="5" t="s">
        <v>307</v>
      </c>
      <c r="CT3902" s="5" t="s">
        <v>307</v>
      </c>
      <c r="CU3902" s="5" t="s">
        <v>260</v>
      </c>
      <c r="CV3902" s="5" t="s">
        <v>240</v>
      </c>
      <c r="CW3902" s="8" t="s">
        <v>240</v>
      </c>
      <c r="CX3902" s="7">
        <f>29426275</f>
        <v>29426275</v>
      </c>
      <c r="CY3902" s="7">
        <f>0</f>
        <v>0</v>
      </c>
      <c r="CZ3902" s="7" t="s">
        <v>240</v>
      </c>
      <c r="DA3902" s="7">
        <f>0</f>
        <v>0</v>
      </c>
      <c r="DB3902" s="7" t="s">
        <v>240</v>
      </c>
      <c r="DC3902" s="5" t="s">
        <v>689</v>
      </c>
      <c r="DD3902" s="5" t="s">
        <v>240</v>
      </c>
      <c r="DF3902" s="5" t="s">
        <v>450</v>
      </c>
      <c r="DG3902" s="7">
        <f>0</f>
        <v>0</v>
      </c>
      <c r="DH3902" s="6" t="s">
        <v>240</v>
      </c>
      <c r="DI3902" s="5" t="s">
        <v>618</v>
      </c>
      <c r="DJ3902" s="5" t="s">
        <v>240</v>
      </c>
      <c r="DK3902" s="5" t="s">
        <v>240</v>
      </c>
      <c r="DL3902" s="5" t="s">
        <v>240</v>
      </c>
      <c r="DM3902" s="5" t="s">
        <v>240</v>
      </c>
      <c r="DN3902" s="5" t="s">
        <v>240</v>
      </c>
      <c r="DO3902" s="7" t="s">
        <v>240</v>
      </c>
      <c r="DP3902" s="5" t="s">
        <v>240</v>
      </c>
      <c r="DQ3902" s="5" t="s">
        <v>248</v>
      </c>
      <c r="DR3902" s="5" t="s">
        <v>731</v>
      </c>
      <c r="DS3902" s="5" t="s">
        <v>731</v>
      </c>
      <c r="DT3902" s="5" t="s">
        <v>240</v>
      </c>
      <c r="DU3902" s="5" t="s">
        <v>240</v>
      </c>
      <c r="DV3902" s="5" t="s">
        <v>6879</v>
      </c>
      <c r="DW3902" s="5" t="s">
        <v>621</v>
      </c>
    </row>
    <row r="3903" spans="1:240" x14ac:dyDescent="0.4">
      <c r="A3903" s="5">
        <v>9445</v>
      </c>
      <c r="B3903" s="5">
        <v>1</v>
      </c>
      <c r="C3903" s="5">
        <v>1</v>
      </c>
      <c r="D3903" s="5" t="s">
        <v>723</v>
      </c>
      <c r="E3903" s="5" t="s">
        <v>725</v>
      </c>
      <c r="F3903" s="5" t="s">
        <v>254</v>
      </c>
      <c r="G3903" s="5" t="s">
        <v>6044</v>
      </c>
      <c r="H3903" s="6" t="s">
        <v>6112</v>
      </c>
      <c r="I3903" s="5" t="s">
        <v>6111</v>
      </c>
      <c r="J3903" s="7">
        <f>1</f>
        <v>1</v>
      </c>
      <c r="K3903" s="5" t="s">
        <v>3682</v>
      </c>
      <c r="L3903" s="7">
        <f>1</f>
        <v>1</v>
      </c>
      <c r="M3903" s="7">
        <f>1</f>
        <v>1</v>
      </c>
      <c r="N3903" s="5" t="s">
        <v>242</v>
      </c>
      <c r="O3903" s="5">
        <v>1</v>
      </c>
      <c r="P3903" s="5" t="s">
        <v>294</v>
      </c>
      <c r="Q3903" s="5" t="s">
        <v>2097</v>
      </c>
      <c r="T3903" s="5" t="s">
        <v>296</v>
      </c>
      <c r="U3903" s="5" t="s">
        <v>244</v>
      </c>
      <c r="V3903" s="5" t="s">
        <v>240</v>
      </c>
      <c r="Y3903" s="5" t="s">
        <v>246</v>
      </c>
      <c r="Z3903" s="6" t="s">
        <v>7024</v>
      </c>
      <c r="AA3903" s="6" t="s">
        <v>240</v>
      </c>
      <c r="AB3903" s="6" t="s">
        <v>240</v>
      </c>
      <c r="AC3903" s="5" t="s">
        <v>240</v>
      </c>
      <c r="AD3903" s="6" t="s">
        <v>240</v>
      </c>
      <c r="AE3903" s="6" t="s">
        <v>7024</v>
      </c>
      <c r="AF3903" s="5" t="s">
        <v>248</v>
      </c>
      <c r="AG3903" s="5" t="s">
        <v>249</v>
      </c>
      <c r="AM3903" s="5" t="s">
        <v>240</v>
      </c>
      <c r="AN3903" s="5" t="s">
        <v>240</v>
      </c>
      <c r="AO3903" s="5" t="s">
        <v>240</v>
      </c>
      <c r="AP3903" s="6" t="s">
        <v>240</v>
      </c>
      <c r="AQ3903" s="6" t="s">
        <v>240</v>
      </c>
      <c r="AR3903" s="6" t="s">
        <v>240</v>
      </c>
      <c r="AU3903" s="5" t="s">
        <v>729</v>
      </c>
      <c r="AV3903" s="5" t="s">
        <v>729</v>
      </c>
      <c r="AW3903" s="5" t="s">
        <v>251</v>
      </c>
      <c r="AX3903" s="5" t="s">
        <v>252</v>
      </c>
      <c r="AY3903" s="5" t="s">
        <v>253</v>
      </c>
      <c r="AZ3903" s="5" t="s">
        <v>6046</v>
      </c>
      <c r="BA3903" s="5" t="s">
        <v>255</v>
      </c>
      <c r="BB3903" s="5" t="s">
        <v>731</v>
      </c>
      <c r="BD3903" s="5" t="s">
        <v>240</v>
      </c>
      <c r="BF3903" s="5" t="s">
        <v>732</v>
      </c>
      <c r="BG3903" s="6" t="s">
        <v>7027</v>
      </c>
      <c r="BH3903" s="5" t="s">
        <v>6742</v>
      </c>
      <c r="BI3903" s="5" t="s">
        <v>6743</v>
      </c>
      <c r="BJ3903" s="5" t="s">
        <v>240</v>
      </c>
      <c r="BK3903" s="7">
        <f>0</f>
        <v>0</v>
      </c>
      <c r="BL3903" s="7">
        <f>40385</f>
        <v>40385</v>
      </c>
      <c r="BM3903" s="5" t="s">
        <v>258</v>
      </c>
      <c r="BN3903" s="5" t="s">
        <v>259</v>
      </c>
      <c r="BO3903" s="5" t="s">
        <v>6744</v>
      </c>
      <c r="BP3903" s="5" t="s">
        <v>6745</v>
      </c>
      <c r="BQ3903" s="5" t="s">
        <v>6746</v>
      </c>
      <c r="BR3903" s="5" t="s">
        <v>240</v>
      </c>
      <c r="BS3903" s="5" t="s">
        <v>258</v>
      </c>
      <c r="BT3903" s="5" t="s">
        <v>6747</v>
      </c>
      <c r="BU3903" s="5" t="s">
        <v>6747</v>
      </c>
      <c r="BW3903" s="6" t="s">
        <v>7028</v>
      </c>
      <c r="BX3903" s="5" t="s">
        <v>258</v>
      </c>
      <c r="BY3903" s="5" t="s">
        <v>240</v>
      </c>
      <c r="BZ3903" s="5" t="s">
        <v>240</v>
      </c>
      <c r="CA3903" s="5" t="s">
        <v>259</v>
      </c>
      <c r="CB3903" s="5" t="s">
        <v>240</v>
      </c>
      <c r="CC3903" s="5" t="s">
        <v>240</v>
      </c>
      <c r="CG3903" s="5" t="s">
        <v>240</v>
      </c>
      <c r="CH3903" s="5" t="s">
        <v>240</v>
      </c>
      <c r="CI3903" s="5" t="s">
        <v>260</v>
      </c>
      <c r="CK3903" s="5" t="s">
        <v>240</v>
      </c>
      <c r="CL3903" s="6" t="s">
        <v>261</v>
      </c>
      <c r="CM3903" s="5" t="s">
        <v>262</v>
      </c>
      <c r="CN3903" s="5" t="s">
        <v>263</v>
      </c>
      <c r="CO3903" s="5" t="s">
        <v>264</v>
      </c>
      <c r="CP3903" s="5" t="s">
        <v>240</v>
      </c>
      <c r="CQ3903" s="5">
        <v>0</v>
      </c>
      <c r="CR3903" s="5" t="s">
        <v>735</v>
      </c>
      <c r="CS3903" s="5" t="s">
        <v>307</v>
      </c>
      <c r="CT3903" s="5" t="s">
        <v>307</v>
      </c>
      <c r="CU3903" s="5" t="s">
        <v>260</v>
      </c>
      <c r="CV3903" s="5" t="s">
        <v>240</v>
      </c>
      <c r="CW3903" s="8">
        <f>133257</f>
        <v>133257</v>
      </c>
      <c r="CX3903" s="7">
        <f>133257</f>
        <v>133257</v>
      </c>
      <c r="CY3903" s="7">
        <f>0</f>
        <v>0</v>
      </c>
      <c r="CZ3903" s="7">
        <f>0</f>
        <v>0</v>
      </c>
      <c r="DA3903" s="7">
        <f>133257</f>
        <v>133257</v>
      </c>
      <c r="DB3903" s="7" t="s">
        <v>240</v>
      </c>
      <c r="DC3903" s="5" t="s">
        <v>240</v>
      </c>
      <c r="DD3903" s="5" t="s">
        <v>240</v>
      </c>
      <c r="DF3903" s="5" t="s">
        <v>240</v>
      </c>
      <c r="DG3903" s="7">
        <f>0</f>
        <v>0</v>
      </c>
      <c r="DH3903" s="6" t="s">
        <v>240</v>
      </c>
      <c r="DI3903" s="5" t="s">
        <v>240</v>
      </c>
      <c r="DJ3903" s="5" t="s">
        <v>240</v>
      </c>
      <c r="DK3903" s="5" t="s">
        <v>240</v>
      </c>
      <c r="DL3903" s="5" t="s">
        <v>240</v>
      </c>
      <c r="DM3903" s="5" t="s">
        <v>240</v>
      </c>
      <c r="DN3903" s="5" t="s">
        <v>240</v>
      </c>
      <c r="DO3903" s="7" t="s">
        <v>240</v>
      </c>
      <c r="DP3903" s="5" t="s">
        <v>240</v>
      </c>
      <c r="DQ3903" s="5" t="s">
        <v>248</v>
      </c>
      <c r="DR3903" s="5" t="s">
        <v>731</v>
      </c>
      <c r="DS3903" s="5" t="s">
        <v>731</v>
      </c>
      <c r="DT3903" s="5" t="s">
        <v>240</v>
      </c>
      <c r="DU3903" s="5" t="s">
        <v>240</v>
      </c>
      <c r="HR3903" s="5" t="s">
        <v>240</v>
      </c>
      <c r="HS3903" s="5" t="s">
        <v>240</v>
      </c>
      <c r="HT3903" s="5" t="s">
        <v>240</v>
      </c>
      <c r="HU3903" s="5" t="s">
        <v>240</v>
      </c>
      <c r="HV3903" s="5" t="s">
        <v>240</v>
      </c>
      <c r="HW3903" s="5" t="s">
        <v>240</v>
      </c>
      <c r="HX3903" s="5" t="s">
        <v>240</v>
      </c>
      <c r="HY3903" s="5" t="s">
        <v>240</v>
      </c>
      <c r="HZ3903" s="5" t="s">
        <v>240</v>
      </c>
      <c r="IA3903" s="5" t="s">
        <v>240</v>
      </c>
      <c r="IB3903" s="5" t="s">
        <v>240</v>
      </c>
      <c r="IC3903" s="5" t="s">
        <v>240</v>
      </c>
      <c r="ID3903" s="5" t="s">
        <v>240</v>
      </c>
      <c r="IE3903" s="5" t="s">
        <v>240</v>
      </c>
      <c r="IF3903" s="5" t="s">
        <v>240</v>
      </c>
    </row>
    <row r="3904" spans="1:240" x14ac:dyDescent="0.4">
      <c r="A3904" s="5">
        <v>9446</v>
      </c>
      <c r="B3904" s="5">
        <v>1</v>
      </c>
      <c r="C3904" s="5">
        <v>1</v>
      </c>
      <c r="D3904" s="5" t="s">
        <v>723</v>
      </c>
      <c r="E3904" s="5" t="s">
        <v>725</v>
      </c>
      <c r="F3904" s="5" t="s">
        <v>254</v>
      </c>
      <c r="G3904" s="5" t="s">
        <v>6044</v>
      </c>
      <c r="H3904" s="6" t="s">
        <v>6116</v>
      </c>
      <c r="I3904" s="5" t="s">
        <v>6115</v>
      </c>
      <c r="J3904" s="7">
        <f>1</f>
        <v>1</v>
      </c>
      <c r="K3904" s="5" t="s">
        <v>3682</v>
      </c>
      <c r="L3904" s="7">
        <f>1</f>
        <v>1</v>
      </c>
      <c r="M3904" s="7">
        <f>1</f>
        <v>1</v>
      </c>
      <c r="N3904" s="5" t="s">
        <v>242</v>
      </c>
      <c r="O3904" s="5">
        <v>1</v>
      </c>
      <c r="P3904" s="5" t="s">
        <v>294</v>
      </c>
      <c r="Q3904" s="5" t="s">
        <v>2097</v>
      </c>
      <c r="T3904" s="5" t="s">
        <v>296</v>
      </c>
      <c r="U3904" s="5" t="s">
        <v>244</v>
      </c>
      <c r="V3904" s="5" t="s">
        <v>240</v>
      </c>
      <c r="Y3904" s="5" t="s">
        <v>246</v>
      </c>
      <c r="Z3904" s="6" t="s">
        <v>7030</v>
      </c>
      <c r="AA3904" s="6" t="s">
        <v>240</v>
      </c>
      <c r="AB3904" s="6" t="s">
        <v>240</v>
      </c>
      <c r="AC3904" s="5" t="s">
        <v>240</v>
      </c>
      <c r="AD3904" s="6" t="s">
        <v>240</v>
      </c>
      <c r="AE3904" s="6" t="s">
        <v>7031</v>
      </c>
      <c r="AF3904" s="5" t="s">
        <v>248</v>
      </c>
      <c r="AG3904" s="5" t="s">
        <v>249</v>
      </c>
      <c r="AM3904" s="5" t="s">
        <v>240</v>
      </c>
      <c r="AN3904" s="5" t="s">
        <v>240</v>
      </c>
      <c r="AO3904" s="5" t="s">
        <v>240</v>
      </c>
      <c r="AP3904" s="6" t="s">
        <v>240</v>
      </c>
      <c r="AQ3904" s="6" t="s">
        <v>240</v>
      </c>
      <c r="AR3904" s="6" t="s">
        <v>240</v>
      </c>
      <c r="AU3904" s="5" t="s">
        <v>729</v>
      </c>
      <c r="AV3904" s="5" t="s">
        <v>729</v>
      </c>
      <c r="AW3904" s="5" t="s">
        <v>251</v>
      </c>
      <c r="AX3904" s="5" t="s">
        <v>252</v>
      </c>
      <c r="AY3904" s="5" t="s">
        <v>253</v>
      </c>
      <c r="AZ3904" s="5" t="s">
        <v>6046</v>
      </c>
      <c r="BA3904" s="5" t="s">
        <v>255</v>
      </c>
      <c r="BB3904" s="5" t="s">
        <v>731</v>
      </c>
      <c r="BD3904" s="5" t="s">
        <v>842</v>
      </c>
      <c r="BF3904" s="5" t="s">
        <v>256</v>
      </c>
      <c r="BG3904" s="6" t="s">
        <v>287</v>
      </c>
      <c r="BH3904" s="5" t="s">
        <v>6742</v>
      </c>
      <c r="BI3904" s="5" t="s">
        <v>6743</v>
      </c>
      <c r="BJ3904" s="5" t="s">
        <v>240</v>
      </c>
      <c r="BK3904" s="8">
        <f>0</f>
        <v>0</v>
      </c>
      <c r="BL3904" s="7">
        <f>136000</f>
        <v>136000</v>
      </c>
      <c r="BM3904" s="5" t="s">
        <v>258</v>
      </c>
      <c r="BN3904" s="5" t="s">
        <v>259</v>
      </c>
      <c r="BO3904" s="5" t="s">
        <v>6744</v>
      </c>
      <c r="BP3904" s="5" t="s">
        <v>6745</v>
      </c>
      <c r="BQ3904" s="5" t="s">
        <v>6746</v>
      </c>
      <c r="BR3904" s="5" t="s">
        <v>240</v>
      </c>
      <c r="BW3904" s="6" t="s">
        <v>7032</v>
      </c>
      <c r="BX3904" s="5" t="s">
        <v>258</v>
      </c>
      <c r="BY3904" s="5" t="s">
        <v>240</v>
      </c>
      <c r="BZ3904" s="5" t="s">
        <v>240</v>
      </c>
      <c r="CA3904" s="5" t="s">
        <v>259</v>
      </c>
      <c r="CB3904" s="5" t="s">
        <v>240</v>
      </c>
      <c r="CC3904" s="5" t="s">
        <v>240</v>
      </c>
      <c r="CG3904" s="5" t="s">
        <v>240</v>
      </c>
      <c r="CH3904" s="5" t="s">
        <v>240</v>
      </c>
      <c r="CI3904" s="5" t="s">
        <v>260</v>
      </c>
      <c r="CK3904" s="5" t="s">
        <v>240</v>
      </c>
      <c r="CL3904" s="6" t="s">
        <v>261</v>
      </c>
      <c r="CM3904" s="5" t="s">
        <v>262</v>
      </c>
      <c r="CN3904" s="5" t="s">
        <v>263</v>
      </c>
      <c r="CO3904" s="5" t="s">
        <v>264</v>
      </c>
      <c r="CP3904" s="5" t="s">
        <v>240</v>
      </c>
      <c r="CQ3904" s="5">
        <v>0</v>
      </c>
      <c r="CR3904" s="5" t="s">
        <v>735</v>
      </c>
      <c r="CS3904" s="5" t="s">
        <v>307</v>
      </c>
      <c r="CT3904" s="5" t="s">
        <v>307</v>
      </c>
      <c r="CU3904" s="5" t="s">
        <v>260</v>
      </c>
      <c r="CV3904" s="5" t="s">
        <v>240</v>
      </c>
      <c r="CW3904" s="8">
        <f>0</f>
        <v>0</v>
      </c>
      <c r="CX3904" s="7">
        <f>2740417</f>
        <v>2740417</v>
      </c>
      <c r="CY3904" s="7">
        <f>0</f>
        <v>0</v>
      </c>
      <c r="CZ3904" s="7">
        <f>0</f>
        <v>0</v>
      </c>
      <c r="DA3904" s="7">
        <f>2740417</f>
        <v>2740417</v>
      </c>
      <c r="DB3904" s="7" t="s">
        <v>240</v>
      </c>
      <c r="DC3904" s="5" t="s">
        <v>240</v>
      </c>
      <c r="DD3904" s="5" t="s">
        <v>240</v>
      </c>
      <c r="DF3904" s="5" t="s">
        <v>240</v>
      </c>
      <c r="DG3904" s="7">
        <f>0</f>
        <v>0</v>
      </c>
      <c r="DH3904" s="6" t="s">
        <v>240</v>
      </c>
      <c r="DI3904" s="5" t="s">
        <v>240</v>
      </c>
      <c r="DJ3904" s="5" t="s">
        <v>240</v>
      </c>
      <c r="DK3904" s="5" t="s">
        <v>240</v>
      </c>
      <c r="DL3904" s="5" t="s">
        <v>240</v>
      </c>
      <c r="DM3904" s="5" t="s">
        <v>240</v>
      </c>
      <c r="DN3904" s="5" t="s">
        <v>240</v>
      </c>
      <c r="DO3904" s="7" t="s">
        <v>240</v>
      </c>
      <c r="DP3904" s="5" t="s">
        <v>240</v>
      </c>
      <c r="DQ3904" s="5" t="s">
        <v>248</v>
      </c>
      <c r="DR3904" s="5" t="s">
        <v>731</v>
      </c>
      <c r="DS3904" s="5" t="s">
        <v>731</v>
      </c>
      <c r="DT3904" s="5" t="s">
        <v>240</v>
      </c>
      <c r="DU3904" s="5" t="s">
        <v>240</v>
      </c>
      <c r="HR3904" s="5" t="s">
        <v>240</v>
      </c>
      <c r="HS3904" s="5" t="s">
        <v>240</v>
      </c>
      <c r="HT3904" s="5" t="s">
        <v>240</v>
      </c>
      <c r="HU3904" s="5" t="s">
        <v>240</v>
      </c>
      <c r="HV3904" s="5" t="s">
        <v>240</v>
      </c>
      <c r="HW3904" s="5" t="s">
        <v>240</v>
      </c>
      <c r="HX3904" s="5" t="s">
        <v>240</v>
      </c>
      <c r="HY3904" s="5" t="s">
        <v>240</v>
      </c>
      <c r="HZ3904" s="5" t="s">
        <v>240</v>
      </c>
      <c r="IA3904" s="5" t="s">
        <v>240</v>
      </c>
      <c r="IB3904" s="5" t="s">
        <v>240</v>
      </c>
      <c r="IC3904" s="5" t="s">
        <v>240</v>
      </c>
      <c r="ID3904" s="5" t="s">
        <v>240</v>
      </c>
      <c r="IE3904" s="5" t="s">
        <v>240</v>
      </c>
      <c r="IF3904" s="5" t="s">
        <v>240</v>
      </c>
    </row>
    <row r="3905" spans="1:240" x14ac:dyDescent="0.4">
      <c r="A3905" s="5">
        <v>9447</v>
      </c>
      <c r="B3905" s="5">
        <v>1</v>
      </c>
      <c r="C3905" s="5">
        <v>1</v>
      </c>
      <c r="D3905" s="5" t="s">
        <v>723</v>
      </c>
      <c r="E3905" s="5" t="s">
        <v>725</v>
      </c>
      <c r="F3905" s="5" t="s">
        <v>254</v>
      </c>
      <c r="G3905" s="5" t="s">
        <v>6120</v>
      </c>
      <c r="H3905" s="6" t="s">
        <v>6121</v>
      </c>
      <c r="I3905" s="5" t="s">
        <v>6119</v>
      </c>
      <c r="J3905" s="7">
        <f>1</f>
        <v>1</v>
      </c>
      <c r="K3905" s="5" t="s">
        <v>3682</v>
      </c>
      <c r="L3905" s="7">
        <f>1</f>
        <v>1</v>
      </c>
      <c r="M3905" s="7">
        <f>1</f>
        <v>1</v>
      </c>
      <c r="N3905" s="5" t="s">
        <v>242</v>
      </c>
      <c r="O3905" s="5">
        <v>1</v>
      </c>
      <c r="P3905" s="5" t="s">
        <v>294</v>
      </c>
      <c r="Q3905" s="5" t="s">
        <v>240</v>
      </c>
      <c r="T3905" s="5" t="s">
        <v>240</v>
      </c>
      <c r="U3905" s="5" t="s">
        <v>240</v>
      </c>
      <c r="V3905" s="5" t="s">
        <v>240</v>
      </c>
      <c r="Y3905" s="5" t="s">
        <v>246</v>
      </c>
      <c r="Z3905" s="6" t="s">
        <v>7034</v>
      </c>
      <c r="AA3905" s="6" t="s">
        <v>240</v>
      </c>
      <c r="AB3905" s="6" t="s">
        <v>240</v>
      </c>
      <c r="AC3905" s="5" t="s">
        <v>240</v>
      </c>
      <c r="AD3905" s="6" t="s">
        <v>240</v>
      </c>
      <c r="AE3905" s="6" t="s">
        <v>7034</v>
      </c>
      <c r="AF3905" s="5" t="s">
        <v>248</v>
      </c>
      <c r="AG3905" s="5" t="s">
        <v>240</v>
      </c>
      <c r="AM3905" s="5" t="s">
        <v>240</v>
      </c>
      <c r="AN3905" s="5" t="s">
        <v>240</v>
      </c>
      <c r="AO3905" s="5" t="s">
        <v>240</v>
      </c>
      <c r="AP3905" s="6" t="s">
        <v>240</v>
      </c>
      <c r="AQ3905" s="6" t="s">
        <v>240</v>
      </c>
      <c r="AR3905" s="6" t="s">
        <v>240</v>
      </c>
      <c r="AU3905" s="5" t="s">
        <v>729</v>
      </c>
      <c r="AV3905" s="5" t="s">
        <v>729</v>
      </c>
      <c r="AW3905" s="5" t="s">
        <v>251</v>
      </c>
      <c r="AX3905" s="5" t="s">
        <v>252</v>
      </c>
      <c r="AY3905" s="5" t="s">
        <v>253</v>
      </c>
      <c r="AZ3905" s="5" t="s">
        <v>240</v>
      </c>
      <c r="BA3905" s="5" t="s">
        <v>255</v>
      </c>
      <c r="BB3905" s="5" t="s">
        <v>731</v>
      </c>
      <c r="BD3905" s="5" t="s">
        <v>240</v>
      </c>
      <c r="BF3905" s="5" t="s">
        <v>6763</v>
      </c>
      <c r="BG3905" s="6" t="s">
        <v>7036</v>
      </c>
      <c r="BH3905" s="5" t="s">
        <v>6742</v>
      </c>
      <c r="BI3905" s="5" t="s">
        <v>6743</v>
      </c>
      <c r="BJ3905" s="5" t="s">
        <v>240</v>
      </c>
      <c r="BK3905" s="8">
        <f>0</f>
        <v>0</v>
      </c>
      <c r="BL3905" s="7">
        <f>146000</f>
        <v>146000</v>
      </c>
      <c r="BM3905" s="5" t="s">
        <v>258</v>
      </c>
      <c r="BN3905" s="5" t="s">
        <v>259</v>
      </c>
      <c r="BO3905" s="5" t="s">
        <v>6744</v>
      </c>
      <c r="BP3905" s="5" t="s">
        <v>6745</v>
      </c>
      <c r="BQ3905" s="5" t="s">
        <v>6746</v>
      </c>
      <c r="BR3905" s="5" t="s">
        <v>240</v>
      </c>
      <c r="BS3905" s="5" t="s">
        <v>258</v>
      </c>
      <c r="BT3905" s="5" t="s">
        <v>6747</v>
      </c>
      <c r="BU3905" s="5" t="s">
        <v>6747</v>
      </c>
      <c r="BW3905" s="6" t="s">
        <v>7037</v>
      </c>
      <c r="BX3905" s="5" t="s">
        <v>258</v>
      </c>
      <c r="BY3905" s="5" t="s">
        <v>240</v>
      </c>
      <c r="BZ3905" s="5" t="s">
        <v>240</v>
      </c>
      <c r="CA3905" s="5" t="s">
        <v>259</v>
      </c>
      <c r="CB3905" s="5" t="s">
        <v>240</v>
      </c>
      <c r="CC3905" s="5" t="s">
        <v>240</v>
      </c>
      <c r="CG3905" s="5" t="s">
        <v>240</v>
      </c>
      <c r="CH3905" s="5" t="s">
        <v>240</v>
      </c>
      <c r="CI3905" s="5" t="s">
        <v>260</v>
      </c>
      <c r="CK3905" s="5" t="s">
        <v>240</v>
      </c>
      <c r="CL3905" s="6" t="s">
        <v>261</v>
      </c>
      <c r="CM3905" s="5" t="s">
        <v>262</v>
      </c>
      <c r="CN3905" s="5" t="s">
        <v>293</v>
      </c>
      <c r="CO3905" s="5" t="s">
        <v>264</v>
      </c>
      <c r="CP3905" s="5" t="s">
        <v>240</v>
      </c>
      <c r="CQ3905" s="5">
        <v>0</v>
      </c>
      <c r="CR3905" s="5" t="s">
        <v>240</v>
      </c>
      <c r="CS3905" s="5" t="s">
        <v>240</v>
      </c>
      <c r="CT3905" s="5" t="s">
        <v>240</v>
      </c>
      <c r="CU3905" s="5" t="s">
        <v>260</v>
      </c>
      <c r="CV3905" s="5" t="s">
        <v>240</v>
      </c>
      <c r="CW3905" s="8">
        <f>1986</f>
        <v>1986</v>
      </c>
      <c r="CX3905" s="7">
        <f>1234526</f>
        <v>1234526</v>
      </c>
      <c r="CY3905" s="7">
        <f>0</f>
        <v>0</v>
      </c>
      <c r="CZ3905" s="7">
        <f>0</f>
        <v>0</v>
      </c>
      <c r="DA3905" s="7">
        <f>1234526</f>
        <v>1234526</v>
      </c>
      <c r="DB3905" s="7" t="s">
        <v>240</v>
      </c>
      <c r="DC3905" s="5" t="s">
        <v>240</v>
      </c>
      <c r="DD3905" s="5" t="s">
        <v>240</v>
      </c>
      <c r="DF3905" s="5" t="s">
        <v>240</v>
      </c>
      <c r="DG3905" s="7">
        <f>0</f>
        <v>0</v>
      </c>
      <c r="DH3905" s="6" t="s">
        <v>240</v>
      </c>
      <c r="DI3905" s="5" t="s">
        <v>240</v>
      </c>
      <c r="DJ3905" s="5" t="s">
        <v>240</v>
      </c>
      <c r="DK3905" s="5" t="s">
        <v>240</v>
      </c>
      <c r="DL3905" s="5" t="s">
        <v>240</v>
      </c>
      <c r="DM3905" s="5" t="s">
        <v>240</v>
      </c>
      <c r="DN3905" s="5" t="s">
        <v>240</v>
      </c>
      <c r="DO3905" s="7" t="s">
        <v>240</v>
      </c>
      <c r="DP3905" s="5" t="s">
        <v>240</v>
      </c>
      <c r="DQ3905" s="5" t="s">
        <v>248</v>
      </c>
      <c r="DR3905" s="5" t="s">
        <v>731</v>
      </c>
      <c r="DS3905" s="5" t="s">
        <v>731</v>
      </c>
      <c r="DT3905" s="5" t="s">
        <v>240</v>
      </c>
      <c r="DU3905" s="5" t="s">
        <v>240</v>
      </c>
      <c r="GN3905" s="5" t="s">
        <v>7038</v>
      </c>
      <c r="HR3905" s="5" t="s">
        <v>240</v>
      </c>
      <c r="HS3905" s="5" t="s">
        <v>240</v>
      </c>
      <c r="HT3905" s="5" t="s">
        <v>240</v>
      </c>
      <c r="HU3905" s="5" t="s">
        <v>240</v>
      </c>
      <c r="HV3905" s="5" t="s">
        <v>240</v>
      </c>
      <c r="HW3905" s="5" t="s">
        <v>240</v>
      </c>
      <c r="HX3905" s="5" t="s">
        <v>240</v>
      </c>
      <c r="HY3905" s="5" t="s">
        <v>240</v>
      </c>
      <c r="HZ3905" s="5" t="s">
        <v>240</v>
      </c>
      <c r="IA3905" s="5" t="s">
        <v>240</v>
      </c>
      <c r="IB3905" s="5" t="s">
        <v>240</v>
      </c>
      <c r="IC3905" s="5" t="s">
        <v>240</v>
      </c>
      <c r="ID3905" s="5" t="s">
        <v>240</v>
      </c>
      <c r="IE3905" s="5" t="s">
        <v>240</v>
      </c>
      <c r="IF3905" s="5" t="s">
        <v>240</v>
      </c>
    </row>
    <row r="3906" spans="1:240" x14ac:dyDescent="0.4">
      <c r="A3906" s="5">
        <v>9448</v>
      </c>
      <c r="B3906" s="5">
        <v>1</v>
      </c>
      <c r="C3906" s="5">
        <v>1</v>
      </c>
      <c r="D3906" s="5" t="s">
        <v>723</v>
      </c>
      <c r="E3906" s="5" t="s">
        <v>725</v>
      </c>
      <c r="F3906" s="5" t="s">
        <v>254</v>
      </c>
      <c r="G3906" s="5" t="s">
        <v>6044</v>
      </c>
      <c r="H3906" s="6" t="s">
        <v>6125</v>
      </c>
      <c r="I3906" s="5" t="s">
        <v>6124</v>
      </c>
      <c r="J3906" s="7">
        <f>1</f>
        <v>1</v>
      </c>
      <c r="K3906" s="5" t="s">
        <v>3682</v>
      </c>
      <c r="L3906" s="7">
        <f>1</f>
        <v>1</v>
      </c>
      <c r="M3906" s="7">
        <f>1</f>
        <v>1</v>
      </c>
      <c r="N3906" s="5" t="s">
        <v>242</v>
      </c>
      <c r="O3906" s="5">
        <v>1</v>
      </c>
      <c r="P3906" s="5" t="s">
        <v>294</v>
      </c>
      <c r="Q3906" s="5" t="s">
        <v>613</v>
      </c>
      <c r="T3906" s="5" t="s">
        <v>243</v>
      </c>
      <c r="U3906" s="5" t="s">
        <v>244</v>
      </c>
      <c r="V3906" s="5" t="s">
        <v>240</v>
      </c>
      <c r="Y3906" s="5" t="s">
        <v>240</v>
      </c>
      <c r="Z3906" s="6" t="s">
        <v>298</v>
      </c>
      <c r="AA3906" s="6" t="s">
        <v>240</v>
      </c>
      <c r="AB3906" s="6" t="s">
        <v>240</v>
      </c>
      <c r="AC3906" s="5" t="s">
        <v>240</v>
      </c>
      <c r="AD3906" s="6" t="s">
        <v>240</v>
      </c>
      <c r="AE3906" s="6" t="s">
        <v>299</v>
      </c>
      <c r="AF3906" s="5" t="s">
        <v>248</v>
      </c>
      <c r="AG3906" s="5" t="s">
        <v>249</v>
      </c>
      <c r="AM3906" s="5" t="s">
        <v>240</v>
      </c>
      <c r="AN3906" s="5" t="s">
        <v>240</v>
      </c>
      <c r="AO3906" s="5" t="s">
        <v>240</v>
      </c>
      <c r="AP3906" s="6" t="s">
        <v>240</v>
      </c>
      <c r="AQ3906" s="6" t="s">
        <v>240</v>
      </c>
      <c r="AW3906" s="5" t="s">
        <v>251</v>
      </c>
      <c r="AX3906" s="5" t="s">
        <v>252</v>
      </c>
      <c r="AY3906" s="5" t="s">
        <v>253</v>
      </c>
      <c r="AZ3906" s="5" t="s">
        <v>6046</v>
      </c>
      <c r="BA3906" s="5" t="s">
        <v>255</v>
      </c>
      <c r="BB3906" s="5" t="s">
        <v>731</v>
      </c>
      <c r="BD3906" s="5" t="s">
        <v>686</v>
      </c>
      <c r="BF3906" s="5" t="s">
        <v>301</v>
      </c>
      <c r="BG3906" s="6" t="s">
        <v>733</v>
      </c>
      <c r="BH3906" s="5" t="s">
        <v>302</v>
      </c>
      <c r="BI3906" s="5" t="s">
        <v>303</v>
      </c>
      <c r="BJ3906" s="5" t="s">
        <v>240</v>
      </c>
      <c r="BK3906" s="8">
        <f>0</f>
        <v>0</v>
      </c>
      <c r="BL3906" s="7">
        <f>0</f>
        <v>0</v>
      </c>
      <c r="BM3906" s="5" t="s">
        <v>258</v>
      </c>
      <c r="BN3906" s="5" t="s">
        <v>259</v>
      </c>
      <c r="BW3906" s="6" t="s">
        <v>240</v>
      </c>
      <c r="BX3906" s="5" t="s">
        <v>240</v>
      </c>
      <c r="BY3906" s="5" t="s">
        <v>240</v>
      </c>
      <c r="BZ3906" s="5" t="s">
        <v>240</v>
      </c>
      <c r="CB3906" s="5" t="s">
        <v>240</v>
      </c>
      <c r="CC3906" s="5" t="s">
        <v>240</v>
      </c>
      <c r="CG3906" s="5" t="s">
        <v>617</v>
      </c>
      <c r="CH3906" s="5" t="s">
        <v>305</v>
      </c>
      <c r="CI3906" s="5" t="s">
        <v>260</v>
      </c>
      <c r="CK3906" s="5" t="s">
        <v>240</v>
      </c>
      <c r="CL3906" s="6" t="s">
        <v>261</v>
      </c>
      <c r="CM3906" s="5" t="s">
        <v>240</v>
      </c>
      <c r="CN3906" s="5" t="s">
        <v>263</v>
      </c>
      <c r="CO3906" s="5" t="s">
        <v>240</v>
      </c>
      <c r="CP3906" s="5" t="s">
        <v>240</v>
      </c>
      <c r="CQ3906" s="5">
        <v>0</v>
      </c>
      <c r="CR3906" s="5" t="s">
        <v>735</v>
      </c>
      <c r="CS3906" s="5" t="s">
        <v>307</v>
      </c>
      <c r="CT3906" s="5" t="s">
        <v>307</v>
      </c>
      <c r="CU3906" s="5" t="s">
        <v>260</v>
      </c>
      <c r="CV3906" s="5" t="s">
        <v>240</v>
      </c>
      <c r="CW3906" s="8" t="s">
        <v>240</v>
      </c>
      <c r="CX3906" s="7">
        <f>1098640</f>
        <v>1098640</v>
      </c>
      <c r="CY3906" s="7">
        <f>0</f>
        <v>0</v>
      </c>
      <c r="CZ3906" s="7" t="s">
        <v>240</v>
      </c>
      <c r="DA3906" s="7">
        <f>0</f>
        <v>0</v>
      </c>
      <c r="DB3906" s="7" t="s">
        <v>240</v>
      </c>
      <c r="DC3906" s="5" t="s">
        <v>689</v>
      </c>
      <c r="DD3906" s="5" t="s">
        <v>240</v>
      </c>
      <c r="DF3906" s="5" t="s">
        <v>689</v>
      </c>
      <c r="DG3906" s="7">
        <f>496</f>
        <v>496</v>
      </c>
      <c r="DH3906" s="6" t="s">
        <v>6905</v>
      </c>
      <c r="DI3906" s="5" t="s">
        <v>618</v>
      </c>
      <c r="DJ3906" s="5" t="s">
        <v>240</v>
      </c>
      <c r="DK3906" s="5" t="s">
        <v>240</v>
      </c>
      <c r="DL3906" s="5" t="s">
        <v>240</v>
      </c>
      <c r="DM3906" s="5" t="s">
        <v>240</v>
      </c>
      <c r="DN3906" s="5" t="s">
        <v>240</v>
      </c>
      <c r="DO3906" s="7" t="s">
        <v>240</v>
      </c>
      <c r="DP3906" s="5" t="s">
        <v>240</v>
      </c>
      <c r="DQ3906" s="5" t="s">
        <v>248</v>
      </c>
      <c r="DR3906" s="5" t="s">
        <v>731</v>
      </c>
      <c r="DS3906" s="5" t="s">
        <v>731</v>
      </c>
      <c r="DT3906" s="5" t="s">
        <v>240</v>
      </c>
      <c r="DU3906" s="5" t="s">
        <v>240</v>
      </c>
      <c r="DV3906" s="5" t="s">
        <v>1570</v>
      </c>
      <c r="DW3906" s="5" t="s">
        <v>620</v>
      </c>
    </row>
    <row r="3907" spans="1:240" x14ac:dyDescent="0.4">
      <c r="A3907" s="5">
        <v>9449</v>
      </c>
      <c r="B3907" s="5">
        <v>1</v>
      </c>
      <c r="C3907" s="5">
        <v>1</v>
      </c>
      <c r="D3907" s="5" t="s">
        <v>723</v>
      </c>
      <c r="E3907" s="5" t="s">
        <v>725</v>
      </c>
      <c r="F3907" s="5" t="s">
        <v>254</v>
      </c>
      <c r="G3907" s="5" t="s">
        <v>6044</v>
      </c>
      <c r="H3907" s="6" t="s">
        <v>6132</v>
      </c>
      <c r="I3907" s="5" t="s">
        <v>6131</v>
      </c>
      <c r="J3907" s="7">
        <f>1</f>
        <v>1</v>
      </c>
      <c r="K3907" s="5" t="s">
        <v>3682</v>
      </c>
      <c r="L3907" s="7">
        <f>1</f>
        <v>1</v>
      </c>
      <c r="M3907" s="7">
        <f>1</f>
        <v>1</v>
      </c>
      <c r="N3907" s="5" t="s">
        <v>242</v>
      </c>
      <c r="O3907" s="5">
        <v>1</v>
      </c>
      <c r="P3907" s="5" t="s">
        <v>294</v>
      </c>
      <c r="Q3907" s="5" t="s">
        <v>240</v>
      </c>
      <c r="T3907" s="5" t="s">
        <v>240</v>
      </c>
      <c r="U3907" s="5" t="s">
        <v>240</v>
      </c>
      <c r="V3907" s="5" t="s">
        <v>240</v>
      </c>
      <c r="Y3907" s="5" t="s">
        <v>245</v>
      </c>
      <c r="Z3907" s="6" t="s">
        <v>7041</v>
      </c>
      <c r="AA3907" s="6" t="s">
        <v>240</v>
      </c>
      <c r="AB3907" s="6" t="s">
        <v>240</v>
      </c>
      <c r="AC3907" s="5" t="s">
        <v>240</v>
      </c>
      <c r="AD3907" s="6" t="s">
        <v>240</v>
      </c>
      <c r="AE3907" s="6" t="s">
        <v>240</v>
      </c>
      <c r="AF3907" s="5" t="s">
        <v>248</v>
      </c>
      <c r="AG3907" s="5" t="s">
        <v>240</v>
      </c>
      <c r="AM3907" s="5" t="s">
        <v>240</v>
      </c>
      <c r="AN3907" s="5" t="s">
        <v>240</v>
      </c>
      <c r="AO3907" s="5" t="s">
        <v>240</v>
      </c>
      <c r="AP3907" s="6" t="s">
        <v>240</v>
      </c>
      <c r="AQ3907" s="6" t="s">
        <v>240</v>
      </c>
      <c r="AR3907" s="6" t="s">
        <v>240</v>
      </c>
      <c r="AU3907" s="5" t="s">
        <v>729</v>
      </c>
      <c r="AV3907" s="5" t="s">
        <v>729</v>
      </c>
      <c r="AW3907" s="5" t="s">
        <v>251</v>
      </c>
      <c r="AX3907" s="5" t="s">
        <v>252</v>
      </c>
      <c r="AY3907" s="5" t="s">
        <v>253</v>
      </c>
      <c r="AZ3907" s="5" t="s">
        <v>240</v>
      </c>
      <c r="BA3907" s="5" t="s">
        <v>255</v>
      </c>
      <c r="BB3907" s="5" t="s">
        <v>731</v>
      </c>
      <c r="BD3907" s="5" t="s">
        <v>240</v>
      </c>
      <c r="BF3907" s="5" t="s">
        <v>6763</v>
      </c>
      <c r="BG3907" s="6" t="s">
        <v>6873</v>
      </c>
      <c r="BH3907" s="5" t="s">
        <v>6742</v>
      </c>
      <c r="BI3907" s="5" t="s">
        <v>6743</v>
      </c>
      <c r="BJ3907" s="5" t="s">
        <v>240</v>
      </c>
      <c r="BK3907" s="8">
        <f>0</f>
        <v>0</v>
      </c>
      <c r="BL3907" s="7">
        <f>220300</f>
        <v>220300</v>
      </c>
      <c r="BM3907" s="5" t="s">
        <v>258</v>
      </c>
      <c r="BN3907" s="5" t="s">
        <v>259</v>
      </c>
      <c r="BO3907" s="5" t="s">
        <v>6744</v>
      </c>
      <c r="BP3907" s="5" t="s">
        <v>6745</v>
      </c>
      <c r="BQ3907" s="5" t="s">
        <v>6745</v>
      </c>
      <c r="BR3907" s="5" t="s">
        <v>240</v>
      </c>
      <c r="BS3907" s="5" t="s">
        <v>258</v>
      </c>
      <c r="BT3907" s="5" t="s">
        <v>6747</v>
      </c>
      <c r="BU3907" s="5" t="s">
        <v>6747</v>
      </c>
      <c r="BW3907" s="6" t="s">
        <v>7043</v>
      </c>
      <c r="BX3907" s="5" t="s">
        <v>258</v>
      </c>
      <c r="BY3907" s="5" t="s">
        <v>240</v>
      </c>
      <c r="BZ3907" s="5" t="s">
        <v>240</v>
      </c>
      <c r="CA3907" s="5" t="s">
        <v>259</v>
      </c>
      <c r="CB3907" s="5" t="s">
        <v>240</v>
      </c>
      <c r="CC3907" s="5" t="s">
        <v>240</v>
      </c>
      <c r="CG3907" s="5" t="s">
        <v>240</v>
      </c>
      <c r="CH3907" s="5" t="s">
        <v>240</v>
      </c>
      <c r="CI3907" s="5" t="s">
        <v>260</v>
      </c>
      <c r="CK3907" s="5" t="s">
        <v>240</v>
      </c>
      <c r="CL3907" s="6" t="s">
        <v>261</v>
      </c>
      <c r="CM3907" s="5" t="s">
        <v>262</v>
      </c>
      <c r="CN3907" s="5" t="s">
        <v>293</v>
      </c>
      <c r="CO3907" s="5" t="s">
        <v>264</v>
      </c>
      <c r="CP3907" s="5" t="s">
        <v>240</v>
      </c>
      <c r="CQ3907" s="5">
        <v>0</v>
      </c>
      <c r="CR3907" s="5" t="s">
        <v>240</v>
      </c>
      <c r="CS3907" s="5" t="s">
        <v>240</v>
      </c>
      <c r="CT3907" s="5" t="s">
        <v>240</v>
      </c>
      <c r="CU3907" s="5" t="s">
        <v>260</v>
      </c>
      <c r="CV3907" s="5" t="s">
        <v>240</v>
      </c>
      <c r="CW3907" s="8">
        <f>4000</f>
        <v>4000</v>
      </c>
      <c r="CX3907" s="7">
        <f>440600</f>
        <v>440600</v>
      </c>
      <c r="CY3907" s="7">
        <f>0</f>
        <v>0</v>
      </c>
      <c r="CZ3907" s="7">
        <f>0</f>
        <v>0</v>
      </c>
      <c r="DA3907" s="7">
        <f>220300</f>
        <v>220300</v>
      </c>
      <c r="DB3907" s="7" t="s">
        <v>240</v>
      </c>
      <c r="DC3907" s="5" t="s">
        <v>240</v>
      </c>
      <c r="DD3907" s="5" t="s">
        <v>240</v>
      </c>
      <c r="DF3907" s="5" t="s">
        <v>240</v>
      </c>
      <c r="DG3907" s="7">
        <f>0</f>
        <v>0</v>
      </c>
      <c r="DH3907" s="6" t="s">
        <v>240</v>
      </c>
      <c r="DI3907" s="5" t="s">
        <v>240</v>
      </c>
      <c r="DJ3907" s="5" t="s">
        <v>240</v>
      </c>
      <c r="DK3907" s="5" t="s">
        <v>240</v>
      </c>
      <c r="DL3907" s="5" t="s">
        <v>240</v>
      </c>
      <c r="DM3907" s="5" t="s">
        <v>240</v>
      </c>
      <c r="DN3907" s="5" t="s">
        <v>240</v>
      </c>
      <c r="DO3907" s="7" t="s">
        <v>240</v>
      </c>
      <c r="DP3907" s="5" t="s">
        <v>240</v>
      </c>
      <c r="DQ3907" s="5" t="s">
        <v>248</v>
      </c>
      <c r="DR3907" s="5" t="s">
        <v>731</v>
      </c>
      <c r="DS3907" s="5" t="s">
        <v>731</v>
      </c>
      <c r="DT3907" s="5" t="s">
        <v>240</v>
      </c>
      <c r="DU3907" s="5" t="s">
        <v>240</v>
      </c>
      <c r="GN3907" s="5" t="s">
        <v>7044</v>
      </c>
      <c r="HR3907" s="5" t="s">
        <v>240</v>
      </c>
      <c r="HS3907" s="5" t="s">
        <v>240</v>
      </c>
      <c r="HT3907" s="5" t="s">
        <v>240</v>
      </c>
      <c r="HU3907" s="5" t="s">
        <v>240</v>
      </c>
      <c r="HV3907" s="5" t="s">
        <v>240</v>
      </c>
      <c r="HW3907" s="5" t="s">
        <v>240</v>
      </c>
      <c r="HX3907" s="5" t="s">
        <v>240</v>
      </c>
      <c r="HY3907" s="5" t="s">
        <v>240</v>
      </c>
      <c r="HZ3907" s="5" t="s">
        <v>240</v>
      </c>
      <c r="IA3907" s="5" t="s">
        <v>240</v>
      </c>
      <c r="IB3907" s="5" t="s">
        <v>240</v>
      </c>
      <c r="IC3907" s="5" t="s">
        <v>240</v>
      </c>
      <c r="ID3907" s="5" t="s">
        <v>240</v>
      </c>
      <c r="IE3907" s="5" t="s">
        <v>240</v>
      </c>
      <c r="IF3907" s="5" t="s">
        <v>240</v>
      </c>
    </row>
    <row r="3908" spans="1:240" x14ac:dyDescent="0.4">
      <c r="A3908" s="5">
        <v>9450</v>
      </c>
      <c r="B3908" s="5">
        <v>1</v>
      </c>
      <c r="C3908" s="5">
        <v>1</v>
      </c>
      <c r="D3908" s="5" t="s">
        <v>723</v>
      </c>
      <c r="E3908" s="5" t="s">
        <v>725</v>
      </c>
      <c r="F3908" s="5" t="s">
        <v>254</v>
      </c>
      <c r="G3908" s="5" t="s">
        <v>6044</v>
      </c>
      <c r="H3908" s="6" t="s">
        <v>6134</v>
      </c>
      <c r="I3908" s="5" t="s">
        <v>6133</v>
      </c>
      <c r="J3908" s="7">
        <f>1</f>
        <v>1</v>
      </c>
      <c r="K3908" s="5" t="s">
        <v>3682</v>
      </c>
      <c r="L3908" s="7">
        <f>1</f>
        <v>1</v>
      </c>
      <c r="M3908" s="7">
        <f>1</f>
        <v>1</v>
      </c>
      <c r="N3908" s="5" t="s">
        <v>242</v>
      </c>
      <c r="O3908" s="5">
        <v>1</v>
      </c>
      <c r="P3908" s="5" t="s">
        <v>294</v>
      </c>
      <c r="Q3908" s="5" t="s">
        <v>3678</v>
      </c>
      <c r="T3908" s="5" t="s">
        <v>243</v>
      </c>
      <c r="U3908" s="5" t="s">
        <v>244</v>
      </c>
      <c r="V3908" s="5" t="s">
        <v>240</v>
      </c>
      <c r="Y3908" s="5" t="s">
        <v>240</v>
      </c>
      <c r="Z3908" s="6" t="s">
        <v>298</v>
      </c>
      <c r="AA3908" s="6" t="s">
        <v>240</v>
      </c>
      <c r="AB3908" s="6" t="s">
        <v>240</v>
      </c>
      <c r="AC3908" s="5" t="s">
        <v>240</v>
      </c>
      <c r="AD3908" s="6" t="s">
        <v>240</v>
      </c>
      <c r="AE3908" s="6" t="s">
        <v>6769</v>
      </c>
      <c r="AF3908" s="5" t="s">
        <v>248</v>
      </c>
      <c r="AG3908" s="5" t="s">
        <v>249</v>
      </c>
      <c r="AM3908" s="5" t="s">
        <v>240</v>
      </c>
      <c r="AN3908" s="5" t="s">
        <v>240</v>
      </c>
      <c r="AO3908" s="5" t="s">
        <v>240</v>
      </c>
      <c r="AP3908" s="6" t="s">
        <v>240</v>
      </c>
      <c r="AQ3908" s="6" t="s">
        <v>240</v>
      </c>
      <c r="AR3908" s="6" t="s">
        <v>240</v>
      </c>
      <c r="AU3908" s="5" t="s">
        <v>729</v>
      </c>
      <c r="AV3908" s="5" t="s">
        <v>729</v>
      </c>
      <c r="AW3908" s="5" t="s">
        <v>251</v>
      </c>
      <c r="AX3908" s="5" t="s">
        <v>252</v>
      </c>
      <c r="AY3908" s="5" t="s">
        <v>253</v>
      </c>
      <c r="AZ3908" s="5" t="s">
        <v>6046</v>
      </c>
      <c r="BA3908" s="5" t="s">
        <v>255</v>
      </c>
      <c r="BB3908" s="5" t="s">
        <v>731</v>
      </c>
      <c r="BD3908" s="5" t="s">
        <v>842</v>
      </c>
      <c r="BF3908" s="5" t="s">
        <v>732</v>
      </c>
      <c r="BG3908" s="6" t="s">
        <v>733</v>
      </c>
      <c r="BH3908" s="5" t="s">
        <v>734</v>
      </c>
      <c r="BI3908" s="5" t="s">
        <v>734</v>
      </c>
      <c r="BJ3908" s="5" t="s">
        <v>240</v>
      </c>
      <c r="BK3908" s="8">
        <f>4783</f>
        <v>4783</v>
      </c>
      <c r="BL3908" s="7">
        <f>52613</f>
        <v>52613</v>
      </c>
      <c r="BM3908" s="5" t="s">
        <v>258</v>
      </c>
      <c r="BN3908" s="5" t="s">
        <v>259</v>
      </c>
      <c r="BO3908" s="5" t="s">
        <v>240</v>
      </c>
      <c r="BP3908" s="5" t="s">
        <v>240</v>
      </c>
      <c r="BQ3908" s="5" t="s">
        <v>240</v>
      </c>
      <c r="BR3908" s="5" t="s">
        <v>240</v>
      </c>
      <c r="BW3908" s="6" t="s">
        <v>240</v>
      </c>
      <c r="BX3908" s="5" t="s">
        <v>240</v>
      </c>
      <c r="BY3908" s="5" t="s">
        <v>240</v>
      </c>
      <c r="BZ3908" s="5" t="s">
        <v>240</v>
      </c>
      <c r="CA3908" s="5" t="s">
        <v>259</v>
      </c>
      <c r="CB3908" s="5" t="s">
        <v>240</v>
      </c>
      <c r="CC3908" s="5" t="s">
        <v>240</v>
      </c>
      <c r="CG3908" s="5" t="s">
        <v>240</v>
      </c>
      <c r="CH3908" s="5" t="s">
        <v>240</v>
      </c>
      <c r="CI3908" s="5" t="s">
        <v>260</v>
      </c>
      <c r="CK3908" s="5" t="s">
        <v>240</v>
      </c>
      <c r="CL3908" s="6" t="s">
        <v>261</v>
      </c>
      <c r="CM3908" s="5" t="s">
        <v>262</v>
      </c>
      <c r="CN3908" s="5" t="s">
        <v>263</v>
      </c>
      <c r="CO3908" s="5" t="s">
        <v>264</v>
      </c>
      <c r="CP3908" s="5" t="s">
        <v>240</v>
      </c>
      <c r="CQ3908" s="5">
        <v>0</v>
      </c>
      <c r="CR3908" s="5" t="s">
        <v>735</v>
      </c>
      <c r="CS3908" s="5" t="s">
        <v>307</v>
      </c>
      <c r="CT3908" s="5" t="s">
        <v>307</v>
      </c>
      <c r="CU3908" s="5" t="s">
        <v>260</v>
      </c>
      <c r="CV3908" s="5" t="s">
        <v>240</v>
      </c>
      <c r="CW3908" s="8">
        <f>11</f>
        <v>11</v>
      </c>
      <c r="CX3908" s="7">
        <f>52613</f>
        <v>52613</v>
      </c>
      <c r="CY3908" s="7">
        <f>0</f>
        <v>0</v>
      </c>
      <c r="CZ3908" s="7">
        <f>0</f>
        <v>0</v>
      </c>
      <c r="DA3908" s="7">
        <f>52613</f>
        <v>52613</v>
      </c>
      <c r="DB3908" s="7" t="s">
        <v>240</v>
      </c>
      <c r="DC3908" s="5" t="s">
        <v>240</v>
      </c>
      <c r="DD3908" s="5" t="s">
        <v>240</v>
      </c>
      <c r="DF3908" s="5" t="s">
        <v>240</v>
      </c>
      <c r="DG3908" s="7">
        <f>0</f>
        <v>0</v>
      </c>
      <c r="DH3908" s="6" t="s">
        <v>240</v>
      </c>
      <c r="DI3908" s="5" t="s">
        <v>240</v>
      </c>
      <c r="DJ3908" s="5" t="s">
        <v>240</v>
      </c>
      <c r="DK3908" s="5" t="s">
        <v>240</v>
      </c>
      <c r="DL3908" s="5" t="s">
        <v>240</v>
      </c>
      <c r="DM3908" s="5" t="s">
        <v>240</v>
      </c>
      <c r="DN3908" s="5" t="s">
        <v>240</v>
      </c>
      <c r="DO3908" s="7" t="s">
        <v>240</v>
      </c>
      <c r="DP3908" s="5" t="s">
        <v>240</v>
      </c>
      <c r="DQ3908" s="5" t="s">
        <v>248</v>
      </c>
      <c r="DR3908" s="5" t="s">
        <v>731</v>
      </c>
      <c r="DS3908" s="5" t="s">
        <v>731</v>
      </c>
      <c r="DT3908" s="5" t="s">
        <v>240</v>
      </c>
      <c r="DU3908" s="5" t="s">
        <v>240</v>
      </c>
      <c r="HR3908" s="5" t="s">
        <v>240</v>
      </c>
      <c r="HS3908" s="5" t="s">
        <v>240</v>
      </c>
      <c r="HT3908" s="5" t="s">
        <v>240</v>
      </c>
      <c r="HU3908" s="5" t="s">
        <v>240</v>
      </c>
      <c r="HV3908" s="5" t="s">
        <v>240</v>
      </c>
      <c r="HW3908" s="5" t="s">
        <v>240</v>
      </c>
      <c r="HX3908" s="5" t="s">
        <v>240</v>
      </c>
      <c r="HY3908" s="5" t="s">
        <v>240</v>
      </c>
      <c r="HZ3908" s="5" t="s">
        <v>240</v>
      </c>
      <c r="IA3908" s="5" t="s">
        <v>240</v>
      </c>
      <c r="IB3908" s="5" t="s">
        <v>240</v>
      </c>
      <c r="IC3908" s="5" t="s">
        <v>240</v>
      </c>
      <c r="ID3908" s="5" t="s">
        <v>240</v>
      </c>
      <c r="IE3908" s="5" t="s">
        <v>240</v>
      </c>
      <c r="IF3908" s="5" t="s">
        <v>240</v>
      </c>
    </row>
    <row r="3909" spans="1:240" x14ac:dyDescent="0.4">
      <c r="A3909" s="5">
        <v>9451</v>
      </c>
      <c r="B3909" s="5">
        <v>1</v>
      </c>
      <c r="C3909" s="5">
        <v>1</v>
      </c>
      <c r="D3909" s="5" t="s">
        <v>723</v>
      </c>
      <c r="E3909" s="5" t="s">
        <v>725</v>
      </c>
      <c r="F3909" s="5" t="s">
        <v>254</v>
      </c>
      <c r="G3909" s="5" t="s">
        <v>6044</v>
      </c>
      <c r="H3909" s="6" t="s">
        <v>6141</v>
      </c>
      <c r="I3909" s="5" t="s">
        <v>6140</v>
      </c>
      <c r="J3909" s="7">
        <f>1</f>
        <v>1</v>
      </c>
      <c r="K3909" s="5" t="s">
        <v>3682</v>
      </c>
      <c r="L3909" s="7">
        <f>1</f>
        <v>1</v>
      </c>
      <c r="M3909" s="7">
        <f>1</f>
        <v>1</v>
      </c>
      <c r="N3909" s="5" t="s">
        <v>242</v>
      </c>
      <c r="O3909" s="5">
        <v>1</v>
      </c>
      <c r="P3909" s="5" t="s">
        <v>294</v>
      </c>
      <c r="Q3909" s="5" t="s">
        <v>613</v>
      </c>
      <c r="T3909" s="5" t="s">
        <v>243</v>
      </c>
      <c r="U3909" s="5" t="s">
        <v>244</v>
      </c>
      <c r="V3909" s="5" t="s">
        <v>240</v>
      </c>
      <c r="Y3909" s="5" t="s">
        <v>245</v>
      </c>
      <c r="Z3909" s="6" t="s">
        <v>7047</v>
      </c>
      <c r="AA3909" s="6" t="s">
        <v>240</v>
      </c>
      <c r="AB3909" s="6" t="s">
        <v>240</v>
      </c>
      <c r="AC3909" s="5" t="s">
        <v>240</v>
      </c>
      <c r="AD3909" s="6" t="s">
        <v>240</v>
      </c>
      <c r="AE3909" s="6" t="s">
        <v>7047</v>
      </c>
      <c r="AF3909" s="5" t="s">
        <v>248</v>
      </c>
      <c r="AG3909" s="5" t="s">
        <v>249</v>
      </c>
      <c r="AM3909" s="5" t="s">
        <v>240</v>
      </c>
      <c r="AN3909" s="5" t="s">
        <v>240</v>
      </c>
      <c r="AO3909" s="5" t="s">
        <v>240</v>
      </c>
      <c r="AP3909" s="6" t="s">
        <v>240</v>
      </c>
      <c r="AQ3909" s="6" t="s">
        <v>240</v>
      </c>
      <c r="AR3909" s="6" t="s">
        <v>240</v>
      </c>
      <c r="AU3909" s="5" t="s">
        <v>729</v>
      </c>
      <c r="AV3909" s="5" t="s">
        <v>729</v>
      </c>
      <c r="AW3909" s="5" t="s">
        <v>251</v>
      </c>
      <c r="AX3909" s="5" t="s">
        <v>252</v>
      </c>
      <c r="AY3909" s="5" t="s">
        <v>253</v>
      </c>
      <c r="AZ3909" s="5" t="s">
        <v>6046</v>
      </c>
      <c r="BA3909" s="5" t="s">
        <v>255</v>
      </c>
      <c r="BB3909" s="5" t="s">
        <v>731</v>
      </c>
      <c r="BD3909" s="5" t="s">
        <v>240</v>
      </c>
      <c r="BF3909" s="5" t="s">
        <v>732</v>
      </c>
      <c r="BG3909" s="6" t="s">
        <v>7047</v>
      </c>
      <c r="BH3909" s="5" t="s">
        <v>6742</v>
      </c>
      <c r="BI3909" s="5" t="s">
        <v>6743</v>
      </c>
      <c r="BJ3909" s="5" t="s">
        <v>240</v>
      </c>
      <c r="BK3909" s="8">
        <f>0</f>
        <v>0</v>
      </c>
      <c r="BL3909" s="7">
        <f>74306</f>
        <v>74306</v>
      </c>
      <c r="BM3909" s="5" t="s">
        <v>258</v>
      </c>
      <c r="BN3909" s="5" t="s">
        <v>259</v>
      </c>
      <c r="BO3909" s="5" t="s">
        <v>6744</v>
      </c>
      <c r="BP3909" s="5" t="s">
        <v>6745</v>
      </c>
      <c r="BQ3909" s="5" t="s">
        <v>6745</v>
      </c>
      <c r="BR3909" s="5" t="s">
        <v>240</v>
      </c>
      <c r="BS3909" s="5" t="s">
        <v>258</v>
      </c>
      <c r="BT3909" s="5" t="s">
        <v>6747</v>
      </c>
      <c r="BU3909" s="5" t="s">
        <v>6747</v>
      </c>
      <c r="BW3909" s="6" t="s">
        <v>7049</v>
      </c>
      <c r="BX3909" s="5" t="s">
        <v>258</v>
      </c>
      <c r="BY3909" s="5" t="s">
        <v>240</v>
      </c>
      <c r="BZ3909" s="5" t="s">
        <v>240</v>
      </c>
      <c r="CA3909" s="5" t="s">
        <v>259</v>
      </c>
      <c r="CB3909" s="5" t="s">
        <v>240</v>
      </c>
      <c r="CC3909" s="5" t="s">
        <v>240</v>
      </c>
      <c r="CG3909" s="5" t="s">
        <v>240</v>
      </c>
      <c r="CH3909" s="5" t="s">
        <v>240</v>
      </c>
      <c r="CI3909" s="5" t="s">
        <v>260</v>
      </c>
      <c r="CK3909" s="5" t="s">
        <v>240</v>
      </c>
      <c r="CL3909" s="6" t="s">
        <v>261</v>
      </c>
      <c r="CM3909" s="5" t="s">
        <v>262</v>
      </c>
      <c r="CN3909" s="5" t="s">
        <v>293</v>
      </c>
      <c r="CO3909" s="5" t="s">
        <v>264</v>
      </c>
      <c r="CP3909" s="5" t="s">
        <v>240</v>
      </c>
      <c r="CQ3909" s="5">
        <v>0</v>
      </c>
      <c r="CR3909" s="5" t="s">
        <v>735</v>
      </c>
      <c r="CS3909" s="5" t="s">
        <v>307</v>
      </c>
      <c r="CT3909" s="5" t="s">
        <v>307</v>
      </c>
      <c r="CU3909" s="5" t="s">
        <v>260</v>
      </c>
      <c r="CV3909" s="5" t="s">
        <v>240</v>
      </c>
      <c r="CW3909" s="8">
        <f>1607</f>
        <v>1607</v>
      </c>
      <c r="CX3909" s="7">
        <f>74306</f>
        <v>74306</v>
      </c>
      <c r="CY3909" s="7">
        <f>0</f>
        <v>0</v>
      </c>
      <c r="CZ3909" s="7">
        <f>0</f>
        <v>0</v>
      </c>
      <c r="DA3909" s="7">
        <f>74306</f>
        <v>74306</v>
      </c>
      <c r="DB3909" s="7" t="s">
        <v>240</v>
      </c>
      <c r="DC3909" s="5" t="s">
        <v>240</v>
      </c>
      <c r="DD3909" s="5" t="s">
        <v>240</v>
      </c>
      <c r="DF3909" s="5" t="s">
        <v>240</v>
      </c>
      <c r="DG3909" s="7">
        <f>0</f>
        <v>0</v>
      </c>
      <c r="DH3909" s="6" t="s">
        <v>240</v>
      </c>
      <c r="DI3909" s="5" t="s">
        <v>240</v>
      </c>
      <c r="DJ3909" s="5" t="s">
        <v>240</v>
      </c>
      <c r="DK3909" s="5" t="s">
        <v>240</v>
      </c>
      <c r="DL3909" s="5" t="s">
        <v>240</v>
      </c>
      <c r="DM3909" s="5" t="s">
        <v>240</v>
      </c>
      <c r="DN3909" s="5" t="s">
        <v>240</v>
      </c>
      <c r="DO3909" s="7" t="s">
        <v>240</v>
      </c>
      <c r="DP3909" s="5" t="s">
        <v>240</v>
      </c>
      <c r="DQ3909" s="5" t="s">
        <v>248</v>
      </c>
      <c r="DR3909" s="5" t="s">
        <v>731</v>
      </c>
      <c r="DS3909" s="5" t="s">
        <v>731</v>
      </c>
      <c r="DT3909" s="5" t="s">
        <v>240</v>
      </c>
      <c r="DU3909" s="5" t="s">
        <v>240</v>
      </c>
      <c r="HR3909" s="5" t="s">
        <v>240</v>
      </c>
      <c r="HS3909" s="5" t="s">
        <v>240</v>
      </c>
      <c r="HT3909" s="5" t="s">
        <v>240</v>
      </c>
      <c r="HU3909" s="5" t="s">
        <v>240</v>
      </c>
      <c r="HV3909" s="5" t="s">
        <v>240</v>
      </c>
      <c r="HW3909" s="5" t="s">
        <v>240</v>
      </c>
      <c r="HX3909" s="5" t="s">
        <v>240</v>
      </c>
      <c r="HY3909" s="5" t="s">
        <v>240</v>
      </c>
      <c r="HZ3909" s="5" t="s">
        <v>240</v>
      </c>
      <c r="IA3909" s="5" t="s">
        <v>240</v>
      </c>
      <c r="IB3909" s="5" t="s">
        <v>240</v>
      </c>
      <c r="IC3909" s="5" t="s">
        <v>240</v>
      </c>
      <c r="ID3909" s="5" t="s">
        <v>240</v>
      </c>
      <c r="IE3909" s="5" t="s">
        <v>240</v>
      </c>
      <c r="IF3909" s="5" t="s">
        <v>240</v>
      </c>
    </row>
    <row r="3910" spans="1:240" x14ac:dyDescent="0.4">
      <c r="A3910" s="5">
        <v>9452</v>
      </c>
      <c r="B3910" s="5">
        <v>1</v>
      </c>
      <c r="C3910" s="5">
        <v>1</v>
      </c>
      <c r="D3910" s="5" t="s">
        <v>723</v>
      </c>
      <c r="E3910" s="5" t="s">
        <v>725</v>
      </c>
      <c r="F3910" s="5" t="s">
        <v>254</v>
      </c>
      <c r="G3910" s="5" t="s">
        <v>6044</v>
      </c>
      <c r="H3910" s="6" t="s">
        <v>6145</v>
      </c>
      <c r="I3910" s="5" t="s">
        <v>6144</v>
      </c>
      <c r="J3910" s="7">
        <f>1</f>
        <v>1</v>
      </c>
      <c r="K3910" s="5" t="s">
        <v>3682</v>
      </c>
      <c r="L3910" s="7">
        <f>1</f>
        <v>1</v>
      </c>
      <c r="M3910" s="7">
        <f>1</f>
        <v>1</v>
      </c>
      <c r="N3910" s="5" t="s">
        <v>242</v>
      </c>
      <c r="O3910" s="5">
        <v>1</v>
      </c>
      <c r="P3910" s="5" t="s">
        <v>294</v>
      </c>
      <c r="Q3910" s="5" t="s">
        <v>613</v>
      </c>
      <c r="T3910" s="5" t="s">
        <v>243</v>
      </c>
      <c r="U3910" s="5" t="s">
        <v>244</v>
      </c>
      <c r="V3910" s="5" t="s">
        <v>240</v>
      </c>
      <c r="Y3910" s="5" t="s">
        <v>240</v>
      </c>
      <c r="Z3910" s="6" t="s">
        <v>7050</v>
      </c>
      <c r="AA3910" s="6" t="s">
        <v>240</v>
      </c>
      <c r="AB3910" s="6" t="s">
        <v>240</v>
      </c>
      <c r="AC3910" s="5" t="s">
        <v>240</v>
      </c>
      <c r="AD3910" s="6" t="s">
        <v>240</v>
      </c>
      <c r="AE3910" s="6" t="s">
        <v>299</v>
      </c>
      <c r="AF3910" s="5" t="s">
        <v>248</v>
      </c>
      <c r="AG3910" s="5" t="s">
        <v>249</v>
      </c>
      <c r="AM3910" s="5" t="s">
        <v>240</v>
      </c>
      <c r="AN3910" s="5" t="s">
        <v>240</v>
      </c>
      <c r="AO3910" s="5" t="s">
        <v>240</v>
      </c>
      <c r="AP3910" s="6" t="s">
        <v>240</v>
      </c>
      <c r="AQ3910" s="6" t="s">
        <v>240</v>
      </c>
      <c r="AW3910" s="5" t="s">
        <v>251</v>
      </c>
      <c r="AX3910" s="5" t="s">
        <v>252</v>
      </c>
      <c r="AY3910" s="5" t="s">
        <v>253</v>
      </c>
      <c r="AZ3910" s="5" t="s">
        <v>6046</v>
      </c>
      <c r="BA3910" s="5" t="s">
        <v>255</v>
      </c>
      <c r="BB3910" s="5" t="s">
        <v>731</v>
      </c>
      <c r="BD3910" s="5" t="s">
        <v>686</v>
      </c>
      <c r="BF3910" s="5" t="s">
        <v>301</v>
      </c>
      <c r="BG3910" s="6" t="s">
        <v>733</v>
      </c>
      <c r="BH3910" s="5" t="s">
        <v>302</v>
      </c>
      <c r="BI3910" s="5" t="s">
        <v>303</v>
      </c>
      <c r="BJ3910" s="5" t="s">
        <v>240</v>
      </c>
      <c r="BK3910" s="8">
        <f>0</f>
        <v>0</v>
      </c>
      <c r="BL3910" s="7">
        <f>0</f>
        <v>0</v>
      </c>
      <c r="BM3910" s="5" t="s">
        <v>258</v>
      </c>
      <c r="BN3910" s="5" t="s">
        <v>259</v>
      </c>
      <c r="BW3910" s="6" t="s">
        <v>240</v>
      </c>
      <c r="BX3910" s="5" t="s">
        <v>240</v>
      </c>
      <c r="BY3910" s="5" t="s">
        <v>240</v>
      </c>
      <c r="BZ3910" s="5" t="s">
        <v>240</v>
      </c>
      <c r="CB3910" s="5" t="s">
        <v>240</v>
      </c>
      <c r="CC3910" s="5" t="s">
        <v>240</v>
      </c>
      <c r="CG3910" s="5" t="s">
        <v>449</v>
      </c>
      <c r="CH3910" s="5" t="s">
        <v>305</v>
      </c>
      <c r="CI3910" s="5" t="s">
        <v>260</v>
      </c>
      <c r="CK3910" s="5" t="s">
        <v>240</v>
      </c>
      <c r="CL3910" s="6" t="s">
        <v>261</v>
      </c>
      <c r="CM3910" s="5" t="s">
        <v>240</v>
      </c>
      <c r="CN3910" s="5" t="s">
        <v>263</v>
      </c>
      <c r="CO3910" s="5" t="s">
        <v>240</v>
      </c>
      <c r="CP3910" s="5" t="s">
        <v>240</v>
      </c>
      <c r="CQ3910" s="5">
        <v>0</v>
      </c>
      <c r="CR3910" s="5" t="s">
        <v>735</v>
      </c>
      <c r="CS3910" s="5" t="s">
        <v>307</v>
      </c>
      <c r="CT3910" s="5" t="s">
        <v>307</v>
      </c>
      <c r="CU3910" s="5" t="s">
        <v>260</v>
      </c>
      <c r="CV3910" s="5" t="s">
        <v>240</v>
      </c>
      <c r="CW3910" s="8" t="s">
        <v>240</v>
      </c>
      <c r="CX3910" s="7">
        <f>1975166</f>
        <v>1975166</v>
      </c>
      <c r="CY3910" s="7">
        <f>0</f>
        <v>0</v>
      </c>
      <c r="CZ3910" s="7" t="s">
        <v>240</v>
      </c>
      <c r="DA3910" s="7">
        <f>0</f>
        <v>0</v>
      </c>
      <c r="DB3910" s="7" t="s">
        <v>240</v>
      </c>
      <c r="DC3910" s="5" t="s">
        <v>618</v>
      </c>
      <c r="DD3910" s="5" t="s">
        <v>240</v>
      </c>
      <c r="DF3910" s="5" t="s">
        <v>618</v>
      </c>
      <c r="DG3910" s="7">
        <f>419</f>
        <v>419</v>
      </c>
      <c r="DH3910" s="6" t="s">
        <v>240</v>
      </c>
      <c r="DI3910" s="5" t="s">
        <v>618</v>
      </c>
      <c r="DJ3910" s="5" t="s">
        <v>240</v>
      </c>
      <c r="DK3910" s="5" t="s">
        <v>240</v>
      </c>
      <c r="DL3910" s="5" t="s">
        <v>240</v>
      </c>
      <c r="DM3910" s="5" t="s">
        <v>240</v>
      </c>
      <c r="DN3910" s="5" t="s">
        <v>240</v>
      </c>
      <c r="DO3910" s="7" t="s">
        <v>240</v>
      </c>
      <c r="DP3910" s="5" t="s">
        <v>240</v>
      </c>
      <c r="DQ3910" s="5" t="s">
        <v>248</v>
      </c>
      <c r="DR3910" s="5" t="s">
        <v>731</v>
      </c>
      <c r="DS3910" s="5" t="s">
        <v>731</v>
      </c>
      <c r="DT3910" s="5" t="s">
        <v>240</v>
      </c>
      <c r="DU3910" s="5" t="s">
        <v>240</v>
      </c>
      <c r="DV3910" s="5" t="s">
        <v>6839</v>
      </c>
      <c r="DW3910" s="5" t="s">
        <v>789</v>
      </c>
    </row>
    <row r="3911" spans="1:240" x14ac:dyDescent="0.4">
      <c r="A3911" s="5">
        <v>9453</v>
      </c>
      <c r="B3911" s="5">
        <v>1</v>
      </c>
      <c r="C3911" s="5">
        <v>1</v>
      </c>
      <c r="D3911" s="5" t="s">
        <v>723</v>
      </c>
      <c r="E3911" s="5" t="s">
        <v>725</v>
      </c>
      <c r="F3911" s="5" t="s">
        <v>254</v>
      </c>
      <c r="G3911" s="5" t="s">
        <v>6044</v>
      </c>
      <c r="H3911" s="6" t="s">
        <v>6149</v>
      </c>
      <c r="I3911" s="5" t="s">
        <v>6148</v>
      </c>
      <c r="J3911" s="7">
        <f>1</f>
        <v>1</v>
      </c>
      <c r="K3911" s="5" t="s">
        <v>3682</v>
      </c>
      <c r="L3911" s="7">
        <f>1</f>
        <v>1</v>
      </c>
      <c r="M3911" s="7">
        <f>1</f>
        <v>1</v>
      </c>
      <c r="N3911" s="5" t="s">
        <v>242</v>
      </c>
      <c r="O3911" s="5">
        <v>1</v>
      </c>
      <c r="P3911" s="5" t="s">
        <v>294</v>
      </c>
      <c r="Q3911" s="5" t="s">
        <v>613</v>
      </c>
      <c r="T3911" s="5" t="s">
        <v>243</v>
      </c>
      <c r="U3911" s="5" t="s">
        <v>244</v>
      </c>
      <c r="V3911" s="5" t="s">
        <v>240</v>
      </c>
      <c r="Y3911" s="5" t="s">
        <v>240</v>
      </c>
      <c r="Z3911" s="6" t="s">
        <v>298</v>
      </c>
      <c r="AA3911" s="6" t="s">
        <v>240</v>
      </c>
      <c r="AB3911" s="6" t="s">
        <v>240</v>
      </c>
      <c r="AC3911" s="5" t="s">
        <v>240</v>
      </c>
      <c r="AD3911" s="6" t="s">
        <v>240</v>
      </c>
      <c r="AE3911" s="6" t="s">
        <v>299</v>
      </c>
      <c r="AF3911" s="5" t="s">
        <v>248</v>
      </c>
      <c r="AG3911" s="5" t="s">
        <v>249</v>
      </c>
      <c r="AM3911" s="5" t="s">
        <v>240</v>
      </c>
      <c r="AN3911" s="5" t="s">
        <v>240</v>
      </c>
      <c r="AO3911" s="5" t="s">
        <v>240</v>
      </c>
      <c r="AP3911" s="6" t="s">
        <v>240</v>
      </c>
      <c r="AQ3911" s="6" t="s">
        <v>240</v>
      </c>
      <c r="AW3911" s="5" t="s">
        <v>251</v>
      </c>
      <c r="AX3911" s="5" t="s">
        <v>252</v>
      </c>
      <c r="AY3911" s="5" t="s">
        <v>253</v>
      </c>
      <c r="AZ3911" s="5" t="s">
        <v>6046</v>
      </c>
      <c r="BA3911" s="5" t="s">
        <v>255</v>
      </c>
      <c r="BB3911" s="5" t="s">
        <v>731</v>
      </c>
      <c r="BD3911" s="5" t="s">
        <v>686</v>
      </c>
      <c r="BF3911" s="5" t="s">
        <v>301</v>
      </c>
      <c r="BG3911" s="6" t="s">
        <v>733</v>
      </c>
      <c r="BH3911" s="5" t="s">
        <v>302</v>
      </c>
      <c r="BI3911" s="5" t="s">
        <v>5264</v>
      </c>
      <c r="BJ3911" s="5" t="s">
        <v>240</v>
      </c>
      <c r="BK3911" s="8">
        <f>0</f>
        <v>0</v>
      </c>
      <c r="BL3911" s="7">
        <f>0</f>
        <v>0</v>
      </c>
      <c r="BM3911" s="5" t="s">
        <v>258</v>
      </c>
      <c r="BN3911" s="5" t="s">
        <v>259</v>
      </c>
      <c r="BW3911" s="6" t="s">
        <v>240</v>
      </c>
      <c r="BX3911" s="5" t="s">
        <v>240</v>
      </c>
      <c r="BY3911" s="5" t="s">
        <v>240</v>
      </c>
      <c r="BZ3911" s="5" t="s">
        <v>240</v>
      </c>
      <c r="CB3911" s="5" t="s">
        <v>240</v>
      </c>
      <c r="CC3911" s="5" t="s">
        <v>240</v>
      </c>
      <c r="CG3911" s="5" t="s">
        <v>617</v>
      </c>
      <c r="CH3911" s="5" t="s">
        <v>305</v>
      </c>
      <c r="CI3911" s="5" t="s">
        <v>260</v>
      </c>
      <c r="CK3911" s="5" t="s">
        <v>240</v>
      </c>
      <c r="CL3911" s="6" t="s">
        <v>261</v>
      </c>
      <c r="CM3911" s="5" t="s">
        <v>240</v>
      </c>
      <c r="CN3911" s="5" t="s">
        <v>263</v>
      </c>
      <c r="CO3911" s="5" t="s">
        <v>240</v>
      </c>
      <c r="CP3911" s="5" t="s">
        <v>240</v>
      </c>
      <c r="CQ3911" s="5">
        <v>0</v>
      </c>
      <c r="CR3911" s="5" t="s">
        <v>735</v>
      </c>
      <c r="CS3911" s="5" t="s">
        <v>307</v>
      </c>
      <c r="CT3911" s="5" t="s">
        <v>307</v>
      </c>
      <c r="CU3911" s="5" t="s">
        <v>260</v>
      </c>
      <c r="CV3911" s="5" t="s">
        <v>240</v>
      </c>
      <c r="CW3911" s="8" t="s">
        <v>240</v>
      </c>
      <c r="CX3911" s="7">
        <f>46662652</f>
        <v>46662652</v>
      </c>
      <c r="CY3911" s="7">
        <f>0</f>
        <v>0</v>
      </c>
      <c r="CZ3911" s="7" t="s">
        <v>240</v>
      </c>
      <c r="DA3911" s="7">
        <f>0</f>
        <v>0</v>
      </c>
      <c r="DB3911" s="7" t="s">
        <v>240</v>
      </c>
      <c r="DC3911" s="5" t="s">
        <v>450</v>
      </c>
      <c r="DD3911" s="5" t="s">
        <v>240</v>
      </c>
      <c r="DF3911" s="5" t="s">
        <v>450</v>
      </c>
      <c r="DG3911" s="7">
        <f>0</f>
        <v>0</v>
      </c>
      <c r="DH3911" s="6" t="s">
        <v>240</v>
      </c>
      <c r="DI3911" s="5" t="s">
        <v>618</v>
      </c>
      <c r="DJ3911" s="5" t="s">
        <v>240</v>
      </c>
      <c r="DK3911" s="5" t="s">
        <v>240</v>
      </c>
      <c r="DL3911" s="5" t="s">
        <v>240</v>
      </c>
      <c r="DM3911" s="5" t="s">
        <v>240</v>
      </c>
      <c r="DN3911" s="5" t="s">
        <v>240</v>
      </c>
      <c r="DO3911" s="7" t="s">
        <v>240</v>
      </c>
      <c r="DP3911" s="5" t="s">
        <v>240</v>
      </c>
      <c r="DQ3911" s="5" t="s">
        <v>248</v>
      </c>
      <c r="DR3911" s="5" t="s">
        <v>731</v>
      </c>
      <c r="DS3911" s="5" t="s">
        <v>731</v>
      </c>
      <c r="DT3911" s="5" t="s">
        <v>240</v>
      </c>
      <c r="DU3911" s="5" t="s">
        <v>240</v>
      </c>
      <c r="DV3911" s="5" t="s">
        <v>6839</v>
      </c>
      <c r="DW3911" s="5" t="s">
        <v>801</v>
      </c>
    </row>
    <row r="3912" spans="1:240" x14ac:dyDescent="0.4">
      <c r="A3912" s="5">
        <v>9454</v>
      </c>
      <c r="B3912" s="5">
        <v>1</v>
      </c>
      <c r="C3912" s="5">
        <v>1</v>
      </c>
      <c r="D3912" s="5" t="s">
        <v>723</v>
      </c>
      <c r="E3912" s="5" t="s">
        <v>725</v>
      </c>
      <c r="F3912" s="5" t="s">
        <v>254</v>
      </c>
      <c r="G3912" s="5" t="s">
        <v>6044</v>
      </c>
      <c r="H3912" s="6" t="s">
        <v>6151</v>
      </c>
      <c r="I3912" s="5" t="s">
        <v>6150</v>
      </c>
      <c r="J3912" s="7">
        <f>1</f>
        <v>1</v>
      </c>
      <c r="K3912" s="5" t="s">
        <v>3682</v>
      </c>
      <c r="L3912" s="7">
        <f>1</f>
        <v>1</v>
      </c>
      <c r="M3912" s="7">
        <f>1</f>
        <v>1</v>
      </c>
      <c r="N3912" s="5" t="s">
        <v>242</v>
      </c>
      <c r="O3912" s="5">
        <v>1</v>
      </c>
      <c r="P3912" s="5" t="s">
        <v>294</v>
      </c>
      <c r="Q3912" s="5" t="s">
        <v>613</v>
      </c>
      <c r="T3912" s="5" t="s">
        <v>243</v>
      </c>
      <c r="U3912" s="5" t="s">
        <v>244</v>
      </c>
      <c r="V3912" s="5" t="s">
        <v>240</v>
      </c>
      <c r="Y3912" s="5" t="s">
        <v>240</v>
      </c>
      <c r="Z3912" s="6" t="s">
        <v>298</v>
      </c>
      <c r="AA3912" s="6" t="s">
        <v>240</v>
      </c>
      <c r="AB3912" s="6" t="s">
        <v>240</v>
      </c>
      <c r="AC3912" s="5" t="s">
        <v>240</v>
      </c>
      <c r="AD3912" s="6" t="s">
        <v>240</v>
      </c>
      <c r="AE3912" s="6" t="s">
        <v>299</v>
      </c>
      <c r="AF3912" s="5" t="s">
        <v>248</v>
      </c>
      <c r="AG3912" s="5" t="s">
        <v>249</v>
      </c>
      <c r="AM3912" s="5" t="s">
        <v>240</v>
      </c>
      <c r="AN3912" s="5" t="s">
        <v>240</v>
      </c>
      <c r="AO3912" s="5" t="s">
        <v>240</v>
      </c>
      <c r="AP3912" s="6" t="s">
        <v>240</v>
      </c>
      <c r="AQ3912" s="6" t="s">
        <v>240</v>
      </c>
      <c r="AW3912" s="5" t="s">
        <v>251</v>
      </c>
      <c r="AX3912" s="5" t="s">
        <v>252</v>
      </c>
      <c r="AY3912" s="5" t="s">
        <v>253</v>
      </c>
      <c r="AZ3912" s="5" t="s">
        <v>6046</v>
      </c>
      <c r="BA3912" s="5" t="s">
        <v>255</v>
      </c>
      <c r="BB3912" s="5" t="s">
        <v>731</v>
      </c>
      <c r="BD3912" s="5" t="s">
        <v>686</v>
      </c>
      <c r="BF3912" s="5" t="s">
        <v>301</v>
      </c>
      <c r="BG3912" s="6" t="s">
        <v>733</v>
      </c>
      <c r="BH3912" s="5" t="s">
        <v>302</v>
      </c>
      <c r="BI3912" s="5" t="s">
        <v>303</v>
      </c>
      <c r="BJ3912" s="5" t="s">
        <v>240</v>
      </c>
      <c r="BK3912" s="8">
        <f>0</f>
        <v>0</v>
      </c>
      <c r="BL3912" s="7">
        <f>0</f>
        <v>0</v>
      </c>
      <c r="BM3912" s="5" t="s">
        <v>258</v>
      </c>
      <c r="BN3912" s="5" t="s">
        <v>259</v>
      </c>
      <c r="BW3912" s="6" t="s">
        <v>240</v>
      </c>
      <c r="BX3912" s="5" t="s">
        <v>240</v>
      </c>
      <c r="BY3912" s="5" t="s">
        <v>240</v>
      </c>
      <c r="BZ3912" s="5" t="s">
        <v>240</v>
      </c>
      <c r="CB3912" s="5" t="s">
        <v>240</v>
      </c>
      <c r="CC3912" s="5" t="s">
        <v>240</v>
      </c>
      <c r="CG3912" s="5" t="s">
        <v>617</v>
      </c>
      <c r="CH3912" s="5" t="s">
        <v>305</v>
      </c>
      <c r="CI3912" s="5" t="s">
        <v>260</v>
      </c>
      <c r="CK3912" s="5" t="s">
        <v>240</v>
      </c>
      <c r="CL3912" s="6" t="s">
        <v>261</v>
      </c>
      <c r="CM3912" s="5" t="s">
        <v>240</v>
      </c>
      <c r="CN3912" s="5" t="s">
        <v>263</v>
      </c>
      <c r="CO3912" s="5" t="s">
        <v>240</v>
      </c>
      <c r="CP3912" s="5" t="s">
        <v>240</v>
      </c>
      <c r="CQ3912" s="5">
        <v>0</v>
      </c>
      <c r="CR3912" s="5" t="s">
        <v>735</v>
      </c>
      <c r="CS3912" s="5" t="s">
        <v>307</v>
      </c>
      <c r="CT3912" s="5" t="s">
        <v>307</v>
      </c>
      <c r="CU3912" s="5" t="s">
        <v>260</v>
      </c>
      <c r="CV3912" s="5" t="s">
        <v>240</v>
      </c>
      <c r="CW3912" s="8" t="s">
        <v>240</v>
      </c>
      <c r="CX3912" s="7">
        <f>97174265</f>
        <v>97174265</v>
      </c>
      <c r="CY3912" s="7">
        <f>0</f>
        <v>0</v>
      </c>
      <c r="CZ3912" s="7" t="s">
        <v>240</v>
      </c>
      <c r="DA3912" s="7">
        <f>0</f>
        <v>0</v>
      </c>
      <c r="DB3912" s="7" t="s">
        <v>240</v>
      </c>
      <c r="DC3912" s="5" t="s">
        <v>450</v>
      </c>
      <c r="DD3912" s="5" t="s">
        <v>240</v>
      </c>
      <c r="DF3912" s="5" t="s">
        <v>450</v>
      </c>
      <c r="DG3912" s="7">
        <f>0</f>
        <v>0</v>
      </c>
      <c r="DH3912" s="6" t="s">
        <v>240</v>
      </c>
      <c r="DI3912" s="5" t="s">
        <v>618</v>
      </c>
      <c r="DJ3912" s="5" t="s">
        <v>240</v>
      </c>
      <c r="DK3912" s="5" t="s">
        <v>240</v>
      </c>
      <c r="DL3912" s="5" t="s">
        <v>240</v>
      </c>
      <c r="DM3912" s="5" t="s">
        <v>240</v>
      </c>
      <c r="DN3912" s="5" t="s">
        <v>240</v>
      </c>
      <c r="DO3912" s="7" t="s">
        <v>240</v>
      </c>
      <c r="DP3912" s="5" t="s">
        <v>240</v>
      </c>
      <c r="DQ3912" s="5" t="s">
        <v>248</v>
      </c>
      <c r="DR3912" s="5" t="s">
        <v>731</v>
      </c>
      <c r="DS3912" s="5" t="s">
        <v>731</v>
      </c>
      <c r="DT3912" s="5" t="s">
        <v>240</v>
      </c>
      <c r="DU3912" s="5" t="s">
        <v>240</v>
      </c>
      <c r="DV3912" s="5" t="s">
        <v>6839</v>
      </c>
      <c r="DW3912" s="5" t="s">
        <v>691</v>
      </c>
    </row>
    <row r="3913" spans="1:240" x14ac:dyDescent="0.4">
      <c r="A3913" s="5">
        <v>9455</v>
      </c>
      <c r="B3913" s="5">
        <v>1</v>
      </c>
      <c r="C3913" s="5">
        <v>1</v>
      </c>
      <c r="D3913" s="5" t="s">
        <v>723</v>
      </c>
      <c r="E3913" s="5" t="s">
        <v>725</v>
      </c>
      <c r="F3913" s="5" t="s">
        <v>254</v>
      </c>
      <c r="G3913" s="5" t="s">
        <v>6044</v>
      </c>
      <c r="H3913" s="6" t="s">
        <v>6157</v>
      </c>
      <c r="I3913" s="5" t="s">
        <v>6156</v>
      </c>
      <c r="J3913" s="7">
        <f>1</f>
        <v>1</v>
      </c>
      <c r="K3913" s="5" t="s">
        <v>3682</v>
      </c>
      <c r="L3913" s="7">
        <f>1</f>
        <v>1</v>
      </c>
      <c r="M3913" s="7">
        <f>1</f>
        <v>1</v>
      </c>
      <c r="N3913" s="5" t="s">
        <v>242</v>
      </c>
      <c r="O3913" s="5">
        <v>1</v>
      </c>
      <c r="P3913" s="5" t="s">
        <v>294</v>
      </c>
      <c r="Q3913" s="5" t="s">
        <v>613</v>
      </c>
      <c r="T3913" s="5" t="s">
        <v>243</v>
      </c>
      <c r="U3913" s="5" t="s">
        <v>244</v>
      </c>
      <c r="V3913" s="5" t="s">
        <v>240</v>
      </c>
      <c r="Y3913" s="5" t="s">
        <v>245</v>
      </c>
      <c r="Z3913" s="6" t="s">
        <v>7055</v>
      </c>
      <c r="AA3913" s="6" t="s">
        <v>240</v>
      </c>
      <c r="AB3913" s="6" t="s">
        <v>240</v>
      </c>
      <c r="AC3913" s="5" t="s">
        <v>240</v>
      </c>
      <c r="AD3913" s="6" t="s">
        <v>240</v>
      </c>
      <c r="AE3913" s="6" t="s">
        <v>7055</v>
      </c>
      <c r="AF3913" s="5" t="s">
        <v>248</v>
      </c>
      <c r="AG3913" s="5" t="s">
        <v>249</v>
      </c>
      <c r="AM3913" s="5" t="s">
        <v>240</v>
      </c>
      <c r="AN3913" s="5" t="s">
        <v>240</v>
      </c>
      <c r="AO3913" s="5" t="s">
        <v>240</v>
      </c>
      <c r="AP3913" s="6" t="s">
        <v>240</v>
      </c>
      <c r="AQ3913" s="6" t="s">
        <v>240</v>
      </c>
      <c r="AR3913" s="6" t="s">
        <v>240</v>
      </c>
      <c r="AU3913" s="5" t="s">
        <v>729</v>
      </c>
      <c r="AV3913" s="5" t="s">
        <v>729</v>
      </c>
      <c r="AW3913" s="5" t="s">
        <v>251</v>
      </c>
      <c r="AX3913" s="5" t="s">
        <v>252</v>
      </c>
      <c r="AY3913" s="5" t="s">
        <v>253</v>
      </c>
      <c r="AZ3913" s="5" t="s">
        <v>6046</v>
      </c>
      <c r="BA3913" s="5" t="s">
        <v>255</v>
      </c>
      <c r="BB3913" s="5" t="s">
        <v>731</v>
      </c>
      <c r="BD3913" s="5" t="s">
        <v>240</v>
      </c>
      <c r="BF3913" s="5" t="s">
        <v>732</v>
      </c>
      <c r="BG3913" s="6" t="s">
        <v>7055</v>
      </c>
      <c r="BH3913" s="5" t="s">
        <v>6742</v>
      </c>
      <c r="BI3913" s="5" t="s">
        <v>6743</v>
      </c>
      <c r="BJ3913" s="5" t="s">
        <v>240</v>
      </c>
      <c r="BK3913" s="7">
        <f>0</f>
        <v>0</v>
      </c>
      <c r="BL3913" s="7">
        <f>330000</f>
        <v>330000</v>
      </c>
      <c r="BM3913" s="5" t="s">
        <v>258</v>
      </c>
      <c r="BN3913" s="5" t="s">
        <v>259</v>
      </c>
      <c r="BO3913" s="5" t="s">
        <v>6744</v>
      </c>
      <c r="BP3913" s="5" t="s">
        <v>6745</v>
      </c>
      <c r="BQ3913" s="5" t="s">
        <v>6745</v>
      </c>
      <c r="BR3913" s="5" t="s">
        <v>240</v>
      </c>
      <c r="BS3913" s="5" t="s">
        <v>258</v>
      </c>
      <c r="BT3913" s="5" t="s">
        <v>6747</v>
      </c>
      <c r="BU3913" s="5" t="s">
        <v>6747</v>
      </c>
      <c r="BW3913" s="6" t="s">
        <v>7057</v>
      </c>
      <c r="BX3913" s="5" t="s">
        <v>258</v>
      </c>
      <c r="BY3913" s="5" t="s">
        <v>240</v>
      </c>
      <c r="BZ3913" s="5" t="s">
        <v>240</v>
      </c>
      <c r="CA3913" s="5" t="s">
        <v>259</v>
      </c>
      <c r="CB3913" s="5" t="s">
        <v>240</v>
      </c>
      <c r="CC3913" s="5" t="s">
        <v>240</v>
      </c>
      <c r="CG3913" s="5" t="s">
        <v>240</v>
      </c>
      <c r="CH3913" s="5" t="s">
        <v>240</v>
      </c>
      <c r="CI3913" s="5" t="s">
        <v>260</v>
      </c>
      <c r="CK3913" s="5" t="s">
        <v>240</v>
      </c>
      <c r="CL3913" s="6" t="s">
        <v>261</v>
      </c>
      <c r="CM3913" s="5" t="s">
        <v>262</v>
      </c>
      <c r="CN3913" s="5" t="s">
        <v>293</v>
      </c>
      <c r="CO3913" s="5" t="s">
        <v>264</v>
      </c>
      <c r="CP3913" s="5" t="s">
        <v>240</v>
      </c>
      <c r="CQ3913" s="5">
        <v>0</v>
      </c>
      <c r="CR3913" s="5" t="s">
        <v>735</v>
      </c>
      <c r="CS3913" s="5" t="s">
        <v>307</v>
      </c>
      <c r="CT3913" s="5" t="s">
        <v>307</v>
      </c>
      <c r="CU3913" s="5" t="s">
        <v>260</v>
      </c>
      <c r="CV3913" s="5" t="s">
        <v>240</v>
      </c>
      <c r="CW3913" s="8">
        <f>0</f>
        <v>0</v>
      </c>
      <c r="CX3913" s="7">
        <f>330000</f>
        <v>330000</v>
      </c>
      <c r="CY3913" s="7">
        <f>0</f>
        <v>0</v>
      </c>
      <c r="CZ3913" s="7">
        <f>0</f>
        <v>0</v>
      </c>
      <c r="DA3913" s="7">
        <f>0</f>
        <v>0</v>
      </c>
      <c r="DB3913" s="7" t="s">
        <v>240</v>
      </c>
      <c r="DC3913" s="5" t="s">
        <v>240</v>
      </c>
      <c r="DD3913" s="5" t="s">
        <v>240</v>
      </c>
      <c r="DF3913" s="5" t="s">
        <v>240</v>
      </c>
      <c r="DG3913" s="7">
        <f>0</f>
        <v>0</v>
      </c>
      <c r="DH3913" s="6" t="s">
        <v>240</v>
      </c>
      <c r="DI3913" s="5" t="s">
        <v>240</v>
      </c>
      <c r="DJ3913" s="5" t="s">
        <v>240</v>
      </c>
      <c r="DK3913" s="5" t="s">
        <v>240</v>
      </c>
      <c r="DL3913" s="5" t="s">
        <v>240</v>
      </c>
      <c r="DM3913" s="5" t="s">
        <v>240</v>
      </c>
      <c r="DN3913" s="5" t="s">
        <v>240</v>
      </c>
      <c r="DO3913" s="7" t="s">
        <v>240</v>
      </c>
      <c r="DP3913" s="5" t="s">
        <v>240</v>
      </c>
      <c r="DQ3913" s="5" t="s">
        <v>248</v>
      </c>
      <c r="DR3913" s="5" t="s">
        <v>731</v>
      </c>
      <c r="DS3913" s="5" t="s">
        <v>731</v>
      </c>
      <c r="DT3913" s="5" t="s">
        <v>240</v>
      </c>
      <c r="DU3913" s="5" t="s">
        <v>240</v>
      </c>
      <c r="HR3913" s="5" t="s">
        <v>240</v>
      </c>
      <c r="HS3913" s="5" t="s">
        <v>240</v>
      </c>
      <c r="HT3913" s="5" t="s">
        <v>240</v>
      </c>
      <c r="HU3913" s="5" t="s">
        <v>240</v>
      </c>
      <c r="HV3913" s="5" t="s">
        <v>240</v>
      </c>
      <c r="HW3913" s="5" t="s">
        <v>240</v>
      </c>
      <c r="HX3913" s="5" t="s">
        <v>240</v>
      </c>
      <c r="HY3913" s="5" t="s">
        <v>240</v>
      </c>
      <c r="HZ3913" s="5" t="s">
        <v>240</v>
      </c>
      <c r="IA3913" s="5" t="s">
        <v>240</v>
      </c>
      <c r="IB3913" s="5" t="s">
        <v>240</v>
      </c>
      <c r="IC3913" s="5" t="s">
        <v>240</v>
      </c>
      <c r="ID3913" s="5" t="s">
        <v>240</v>
      </c>
      <c r="IE3913" s="5" t="s">
        <v>240</v>
      </c>
      <c r="IF3913" s="5" t="s">
        <v>240</v>
      </c>
    </row>
    <row r="3914" spans="1:240" x14ac:dyDescent="0.4">
      <c r="A3914" s="5">
        <v>9456</v>
      </c>
      <c r="B3914" s="5">
        <v>1</v>
      </c>
      <c r="C3914" s="5">
        <v>1</v>
      </c>
      <c r="D3914" s="5" t="s">
        <v>723</v>
      </c>
      <c r="E3914" s="5" t="s">
        <v>725</v>
      </c>
      <c r="F3914" s="5" t="s">
        <v>254</v>
      </c>
      <c r="G3914" s="5" t="s">
        <v>6044</v>
      </c>
      <c r="H3914" s="6" t="s">
        <v>6159</v>
      </c>
      <c r="I3914" s="5" t="s">
        <v>6158</v>
      </c>
      <c r="J3914" s="7">
        <f>1</f>
        <v>1</v>
      </c>
      <c r="K3914" s="5" t="s">
        <v>3682</v>
      </c>
      <c r="L3914" s="7">
        <f>1</f>
        <v>1</v>
      </c>
      <c r="M3914" s="7">
        <f>1</f>
        <v>1</v>
      </c>
      <c r="N3914" s="5" t="s">
        <v>242</v>
      </c>
      <c r="O3914" s="5">
        <v>1</v>
      </c>
      <c r="P3914" s="5" t="s">
        <v>294</v>
      </c>
      <c r="Q3914" s="5" t="s">
        <v>2097</v>
      </c>
      <c r="T3914" s="5" t="s">
        <v>296</v>
      </c>
      <c r="U3914" s="5" t="s">
        <v>244</v>
      </c>
      <c r="V3914" s="5" t="s">
        <v>240</v>
      </c>
      <c r="Y3914" s="5" t="s">
        <v>246</v>
      </c>
      <c r="Z3914" s="6" t="s">
        <v>7059</v>
      </c>
      <c r="AA3914" s="6" t="s">
        <v>240</v>
      </c>
      <c r="AB3914" s="6" t="s">
        <v>240</v>
      </c>
      <c r="AC3914" s="5" t="s">
        <v>240</v>
      </c>
      <c r="AD3914" s="6" t="s">
        <v>240</v>
      </c>
      <c r="AE3914" s="6" t="s">
        <v>7059</v>
      </c>
      <c r="AF3914" s="5" t="s">
        <v>248</v>
      </c>
      <c r="AG3914" s="5" t="s">
        <v>249</v>
      </c>
      <c r="AM3914" s="5" t="s">
        <v>240</v>
      </c>
      <c r="AN3914" s="5" t="s">
        <v>240</v>
      </c>
      <c r="AO3914" s="5" t="s">
        <v>240</v>
      </c>
      <c r="AP3914" s="6" t="s">
        <v>240</v>
      </c>
      <c r="AQ3914" s="6" t="s">
        <v>240</v>
      </c>
      <c r="AR3914" s="6" t="s">
        <v>240</v>
      </c>
      <c r="AU3914" s="5" t="s">
        <v>729</v>
      </c>
      <c r="AV3914" s="5" t="s">
        <v>729</v>
      </c>
      <c r="AW3914" s="5" t="s">
        <v>251</v>
      </c>
      <c r="AX3914" s="5" t="s">
        <v>252</v>
      </c>
      <c r="AY3914" s="5" t="s">
        <v>253</v>
      </c>
      <c r="AZ3914" s="5" t="s">
        <v>6046</v>
      </c>
      <c r="BA3914" s="5" t="s">
        <v>255</v>
      </c>
      <c r="BB3914" s="5" t="s">
        <v>731</v>
      </c>
      <c r="BD3914" s="5" t="s">
        <v>240</v>
      </c>
      <c r="BF3914" s="5" t="s">
        <v>732</v>
      </c>
      <c r="BG3914" s="6" t="s">
        <v>7060</v>
      </c>
      <c r="BH3914" s="5" t="s">
        <v>6742</v>
      </c>
      <c r="BI3914" s="5" t="s">
        <v>6743</v>
      </c>
      <c r="BJ3914" s="5" t="s">
        <v>240</v>
      </c>
      <c r="BK3914" s="8">
        <f>0</f>
        <v>0</v>
      </c>
      <c r="BL3914" s="7">
        <f>91000</f>
        <v>91000</v>
      </c>
      <c r="BM3914" s="5" t="s">
        <v>258</v>
      </c>
      <c r="BN3914" s="5" t="s">
        <v>259</v>
      </c>
      <c r="BO3914" s="5" t="s">
        <v>6744</v>
      </c>
      <c r="BP3914" s="5" t="s">
        <v>6745</v>
      </c>
      <c r="BQ3914" s="5" t="s">
        <v>6746</v>
      </c>
      <c r="BR3914" s="5" t="s">
        <v>240</v>
      </c>
      <c r="BS3914" s="5" t="s">
        <v>258</v>
      </c>
      <c r="BT3914" s="5" t="s">
        <v>6747</v>
      </c>
      <c r="BU3914" s="5" t="s">
        <v>6747</v>
      </c>
      <c r="BW3914" s="6" t="s">
        <v>7061</v>
      </c>
      <c r="BX3914" s="5" t="s">
        <v>258</v>
      </c>
      <c r="BY3914" s="5" t="s">
        <v>240</v>
      </c>
      <c r="BZ3914" s="5" t="s">
        <v>240</v>
      </c>
      <c r="CA3914" s="5" t="s">
        <v>259</v>
      </c>
      <c r="CB3914" s="5" t="s">
        <v>240</v>
      </c>
      <c r="CC3914" s="5" t="s">
        <v>240</v>
      </c>
      <c r="CG3914" s="5" t="s">
        <v>240</v>
      </c>
      <c r="CH3914" s="5" t="s">
        <v>240</v>
      </c>
      <c r="CI3914" s="5" t="s">
        <v>260</v>
      </c>
      <c r="CK3914" s="5" t="s">
        <v>240</v>
      </c>
      <c r="CL3914" s="6" t="s">
        <v>261</v>
      </c>
      <c r="CM3914" s="5" t="s">
        <v>262</v>
      </c>
      <c r="CN3914" s="5" t="s">
        <v>263</v>
      </c>
      <c r="CO3914" s="5" t="s">
        <v>264</v>
      </c>
      <c r="CP3914" s="5" t="s">
        <v>240</v>
      </c>
      <c r="CQ3914" s="5">
        <v>0</v>
      </c>
      <c r="CR3914" s="5" t="s">
        <v>735</v>
      </c>
      <c r="CS3914" s="5" t="s">
        <v>307</v>
      </c>
      <c r="CT3914" s="5" t="s">
        <v>307</v>
      </c>
      <c r="CU3914" s="5" t="s">
        <v>260</v>
      </c>
      <c r="CV3914" s="5" t="s">
        <v>240</v>
      </c>
      <c r="CW3914" s="8">
        <f>2000</f>
        <v>2000</v>
      </c>
      <c r="CX3914" s="7">
        <f>1218460</f>
        <v>1218460</v>
      </c>
      <c r="CY3914" s="7">
        <f>0</f>
        <v>0</v>
      </c>
      <c r="CZ3914" s="7">
        <f>0</f>
        <v>0</v>
      </c>
      <c r="DA3914" s="7">
        <f>1218460</f>
        <v>1218460</v>
      </c>
      <c r="DB3914" s="7" t="s">
        <v>240</v>
      </c>
      <c r="DC3914" s="5" t="s">
        <v>240</v>
      </c>
      <c r="DD3914" s="5" t="s">
        <v>240</v>
      </c>
      <c r="DF3914" s="5" t="s">
        <v>240</v>
      </c>
      <c r="DG3914" s="7">
        <f>0</f>
        <v>0</v>
      </c>
      <c r="DH3914" s="6" t="s">
        <v>240</v>
      </c>
      <c r="DI3914" s="5" t="s">
        <v>240</v>
      </c>
      <c r="DJ3914" s="5" t="s">
        <v>240</v>
      </c>
      <c r="DK3914" s="5" t="s">
        <v>240</v>
      </c>
      <c r="DL3914" s="5" t="s">
        <v>240</v>
      </c>
      <c r="DM3914" s="5" t="s">
        <v>240</v>
      </c>
      <c r="DN3914" s="5" t="s">
        <v>240</v>
      </c>
      <c r="DO3914" s="7" t="s">
        <v>240</v>
      </c>
      <c r="DP3914" s="5" t="s">
        <v>240</v>
      </c>
      <c r="DQ3914" s="5" t="s">
        <v>248</v>
      </c>
      <c r="DR3914" s="5" t="s">
        <v>731</v>
      </c>
      <c r="DS3914" s="5" t="s">
        <v>731</v>
      </c>
      <c r="DT3914" s="5" t="s">
        <v>240</v>
      </c>
      <c r="DU3914" s="5" t="s">
        <v>240</v>
      </c>
      <c r="HR3914" s="5" t="s">
        <v>240</v>
      </c>
      <c r="HS3914" s="5" t="s">
        <v>240</v>
      </c>
      <c r="HT3914" s="5" t="s">
        <v>240</v>
      </c>
      <c r="HU3914" s="5" t="s">
        <v>240</v>
      </c>
      <c r="HV3914" s="5" t="s">
        <v>240</v>
      </c>
      <c r="HW3914" s="5" t="s">
        <v>240</v>
      </c>
      <c r="HX3914" s="5" t="s">
        <v>240</v>
      </c>
      <c r="HY3914" s="5" t="s">
        <v>240</v>
      </c>
      <c r="HZ3914" s="5" t="s">
        <v>240</v>
      </c>
      <c r="IA3914" s="5" t="s">
        <v>240</v>
      </c>
      <c r="IB3914" s="5" t="s">
        <v>240</v>
      </c>
      <c r="IC3914" s="5" t="s">
        <v>240</v>
      </c>
      <c r="ID3914" s="5" t="s">
        <v>240</v>
      </c>
      <c r="IE3914" s="5" t="s">
        <v>240</v>
      </c>
      <c r="IF3914" s="5" t="s">
        <v>240</v>
      </c>
    </row>
    <row r="3915" spans="1:240" x14ac:dyDescent="0.4">
      <c r="A3915" s="5">
        <v>9457</v>
      </c>
      <c r="B3915" s="5">
        <v>1</v>
      </c>
      <c r="C3915" s="5">
        <v>1</v>
      </c>
      <c r="D3915" s="5" t="s">
        <v>723</v>
      </c>
      <c r="E3915" s="5" t="s">
        <v>725</v>
      </c>
      <c r="F3915" s="5" t="s">
        <v>254</v>
      </c>
      <c r="G3915" s="5" t="s">
        <v>6044</v>
      </c>
      <c r="H3915" s="6" t="s">
        <v>6164</v>
      </c>
      <c r="I3915" s="5" t="s">
        <v>6163</v>
      </c>
      <c r="J3915" s="7">
        <f>1</f>
        <v>1</v>
      </c>
      <c r="K3915" s="5" t="s">
        <v>3682</v>
      </c>
      <c r="L3915" s="7">
        <f>1</f>
        <v>1</v>
      </c>
      <c r="M3915" s="7">
        <f>1</f>
        <v>1</v>
      </c>
      <c r="N3915" s="5" t="s">
        <v>242</v>
      </c>
      <c r="O3915" s="5">
        <v>1</v>
      </c>
      <c r="P3915" s="5" t="s">
        <v>294</v>
      </c>
      <c r="Q3915" s="5" t="s">
        <v>240</v>
      </c>
      <c r="T3915" s="5" t="s">
        <v>296</v>
      </c>
      <c r="U3915" s="5" t="s">
        <v>244</v>
      </c>
      <c r="V3915" s="5" t="s">
        <v>240</v>
      </c>
      <c r="Y3915" s="5" t="s">
        <v>240</v>
      </c>
      <c r="Z3915" s="6" t="s">
        <v>7063</v>
      </c>
      <c r="AA3915" s="6" t="s">
        <v>240</v>
      </c>
      <c r="AB3915" s="6" t="s">
        <v>240</v>
      </c>
      <c r="AC3915" s="5" t="s">
        <v>240</v>
      </c>
      <c r="AD3915" s="6" t="s">
        <v>240</v>
      </c>
      <c r="AE3915" s="6" t="s">
        <v>240</v>
      </c>
      <c r="AF3915" s="5" t="s">
        <v>248</v>
      </c>
      <c r="AG3915" s="5" t="s">
        <v>249</v>
      </c>
      <c r="AM3915" s="5" t="s">
        <v>240</v>
      </c>
      <c r="AN3915" s="5" t="s">
        <v>240</v>
      </c>
      <c r="AO3915" s="5" t="s">
        <v>240</v>
      </c>
      <c r="AP3915" s="6" t="s">
        <v>240</v>
      </c>
      <c r="AQ3915" s="6" t="s">
        <v>240</v>
      </c>
      <c r="AR3915" s="6" t="s">
        <v>240</v>
      </c>
      <c r="AU3915" s="5" t="s">
        <v>729</v>
      </c>
      <c r="AV3915" s="5" t="s">
        <v>729</v>
      </c>
      <c r="AW3915" s="5" t="s">
        <v>251</v>
      </c>
      <c r="AX3915" s="5" t="s">
        <v>252</v>
      </c>
      <c r="AY3915" s="5" t="s">
        <v>253</v>
      </c>
      <c r="AZ3915" s="5" t="s">
        <v>6046</v>
      </c>
      <c r="BA3915" s="5" t="s">
        <v>255</v>
      </c>
      <c r="BB3915" s="5" t="s">
        <v>731</v>
      </c>
      <c r="BD3915" s="5" t="s">
        <v>842</v>
      </c>
      <c r="BF3915" s="5" t="s">
        <v>256</v>
      </c>
      <c r="BG3915" s="6" t="s">
        <v>7063</v>
      </c>
      <c r="BH3915" s="5" t="s">
        <v>6799</v>
      </c>
      <c r="BI3915" s="5" t="s">
        <v>6799</v>
      </c>
      <c r="BJ3915" s="5" t="s">
        <v>240</v>
      </c>
      <c r="BK3915" s="8">
        <f>13</f>
        <v>13</v>
      </c>
      <c r="BL3915" s="7">
        <f>1</f>
        <v>1</v>
      </c>
      <c r="BM3915" s="5" t="s">
        <v>258</v>
      </c>
      <c r="BN3915" s="5" t="s">
        <v>259</v>
      </c>
      <c r="BO3915" s="5" t="s">
        <v>240</v>
      </c>
      <c r="BP3915" s="5" t="s">
        <v>240</v>
      </c>
      <c r="BQ3915" s="5" t="s">
        <v>240</v>
      </c>
      <c r="BR3915" s="5" t="s">
        <v>240</v>
      </c>
      <c r="BW3915" s="6" t="s">
        <v>240</v>
      </c>
      <c r="BX3915" s="5" t="s">
        <v>240</v>
      </c>
      <c r="BY3915" s="5" t="s">
        <v>240</v>
      </c>
      <c r="BZ3915" s="5" t="s">
        <v>240</v>
      </c>
      <c r="CA3915" s="5" t="s">
        <v>259</v>
      </c>
      <c r="CB3915" s="5" t="s">
        <v>240</v>
      </c>
      <c r="CC3915" s="5" t="s">
        <v>240</v>
      </c>
      <c r="CG3915" s="5" t="s">
        <v>240</v>
      </c>
      <c r="CH3915" s="5" t="s">
        <v>240</v>
      </c>
      <c r="CI3915" s="5" t="s">
        <v>260</v>
      </c>
      <c r="CK3915" s="5" t="s">
        <v>240</v>
      </c>
      <c r="CL3915" s="6" t="s">
        <v>261</v>
      </c>
      <c r="CM3915" s="5" t="s">
        <v>262</v>
      </c>
      <c r="CN3915" s="5" t="s">
        <v>263</v>
      </c>
      <c r="CO3915" s="5" t="s">
        <v>264</v>
      </c>
      <c r="CP3915" s="5" t="s">
        <v>240</v>
      </c>
      <c r="CQ3915" s="5">
        <v>0</v>
      </c>
      <c r="CR3915" s="5" t="s">
        <v>735</v>
      </c>
      <c r="CS3915" s="5" t="s">
        <v>307</v>
      </c>
      <c r="CT3915" s="5" t="s">
        <v>307</v>
      </c>
      <c r="CU3915" s="5" t="s">
        <v>260</v>
      </c>
      <c r="CV3915" s="5" t="s">
        <v>240</v>
      </c>
      <c r="CW3915" s="8">
        <f>0</f>
        <v>0</v>
      </c>
      <c r="CX3915" s="7">
        <f>1</f>
        <v>1</v>
      </c>
      <c r="CY3915" s="7">
        <f>0</f>
        <v>0</v>
      </c>
      <c r="CZ3915" s="7">
        <f>0</f>
        <v>0</v>
      </c>
      <c r="DA3915" s="7">
        <f>1</f>
        <v>1</v>
      </c>
      <c r="DB3915" s="7" t="s">
        <v>240</v>
      </c>
      <c r="DC3915" s="5" t="s">
        <v>240</v>
      </c>
      <c r="DD3915" s="5" t="s">
        <v>240</v>
      </c>
      <c r="DF3915" s="5" t="s">
        <v>240</v>
      </c>
      <c r="DG3915" s="7">
        <f>0</f>
        <v>0</v>
      </c>
      <c r="DH3915" s="6" t="s">
        <v>240</v>
      </c>
      <c r="DI3915" s="5" t="s">
        <v>240</v>
      </c>
      <c r="DJ3915" s="5" t="s">
        <v>240</v>
      </c>
      <c r="DK3915" s="5" t="s">
        <v>240</v>
      </c>
      <c r="DL3915" s="5" t="s">
        <v>240</v>
      </c>
      <c r="DM3915" s="5" t="s">
        <v>240</v>
      </c>
      <c r="DN3915" s="5" t="s">
        <v>240</v>
      </c>
      <c r="DO3915" s="7" t="s">
        <v>240</v>
      </c>
      <c r="DP3915" s="5" t="s">
        <v>240</v>
      </c>
      <c r="DQ3915" s="5" t="s">
        <v>248</v>
      </c>
      <c r="DR3915" s="5" t="s">
        <v>731</v>
      </c>
      <c r="DS3915" s="5" t="s">
        <v>731</v>
      </c>
      <c r="DT3915" s="5" t="s">
        <v>240</v>
      </c>
      <c r="DU3915" s="5" t="s">
        <v>240</v>
      </c>
      <c r="HR3915" s="5" t="s">
        <v>240</v>
      </c>
      <c r="HS3915" s="5" t="s">
        <v>240</v>
      </c>
      <c r="HT3915" s="5" t="s">
        <v>240</v>
      </c>
      <c r="HU3915" s="5" t="s">
        <v>240</v>
      </c>
      <c r="HV3915" s="5" t="s">
        <v>240</v>
      </c>
      <c r="HW3915" s="5" t="s">
        <v>240</v>
      </c>
      <c r="HX3915" s="5" t="s">
        <v>240</v>
      </c>
      <c r="HY3915" s="5" t="s">
        <v>240</v>
      </c>
      <c r="HZ3915" s="5" t="s">
        <v>240</v>
      </c>
      <c r="IA3915" s="5" t="s">
        <v>240</v>
      </c>
      <c r="IB3915" s="5" t="s">
        <v>240</v>
      </c>
      <c r="IC3915" s="5" t="s">
        <v>240</v>
      </c>
      <c r="ID3915" s="5" t="s">
        <v>240</v>
      </c>
      <c r="IE3915" s="5" t="s">
        <v>240</v>
      </c>
      <c r="IF3915" s="5" t="s">
        <v>240</v>
      </c>
    </row>
    <row r="3916" spans="1:240" x14ac:dyDescent="0.4">
      <c r="A3916" s="5">
        <v>9458</v>
      </c>
      <c r="B3916" s="5">
        <v>1</v>
      </c>
      <c r="C3916" s="5">
        <v>1</v>
      </c>
      <c r="D3916" s="5" t="s">
        <v>723</v>
      </c>
      <c r="E3916" s="5" t="s">
        <v>725</v>
      </c>
      <c r="F3916" s="5" t="s">
        <v>254</v>
      </c>
      <c r="G3916" s="5" t="s">
        <v>6044</v>
      </c>
      <c r="H3916" s="6" t="s">
        <v>6166</v>
      </c>
      <c r="I3916" s="5" t="s">
        <v>6165</v>
      </c>
      <c r="J3916" s="7">
        <f>1</f>
        <v>1</v>
      </c>
      <c r="K3916" s="5" t="s">
        <v>3682</v>
      </c>
      <c r="L3916" s="7">
        <f>1</f>
        <v>1</v>
      </c>
      <c r="M3916" s="7">
        <f>1</f>
        <v>1</v>
      </c>
      <c r="N3916" s="5" t="s">
        <v>242</v>
      </c>
      <c r="O3916" s="5">
        <v>1</v>
      </c>
      <c r="P3916" s="5" t="s">
        <v>294</v>
      </c>
      <c r="Q3916" s="5" t="s">
        <v>240</v>
      </c>
      <c r="T3916" s="5" t="s">
        <v>240</v>
      </c>
      <c r="U3916" s="5" t="s">
        <v>240</v>
      </c>
      <c r="V3916" s="5" t="s">
        <v>240</v>
      </c>
      <c r="Y3916" s="5" t="s">
        <v>245</v>
      </c>
      <c r="Z3916" s="6" t="s">
        <v>7065</v>
      </c>
      <c r="AA3916" s="6" t="s">
        <v>240</v>
      </c>
      <c r="AB3916" s="6" t="s">
        <v>240</v>
      </c>
      <c r="AC3916" s="5" t="s">
        <v>240</v>
      </c>
      <c r="AD3916" s="6" t="s">
        <v>240</v>
      </c>
      <c r="AE3916" s="6" t="s">
        <v>7065</v>
      </c>
      <c r="AF3916" s="5" t="s">
        <v>248</v>
      </c>
      <c r="AG3916" s="5" t="s">
        <v>240</v>
      </c>
      <c r="AM3916" s="5" t="s">
        <v>240</v>
      </c>
      <c r="AN3916" s="5" t="s">
        <v>240</v>
      </c>
      <c r="AO3916" s="5" t="s">
        <v>240</v>
      </c>
      <c r="AP3916" s="6" t="s">
        <v>240</v>
      </c>
      <c r="AQ3916" s="6" t="s">
        <v>240</v>
      </c>
      <c r="AR3916" s="6" t="s">
        <v>240</v>
      </c>
      <c r="AU3916" s="5" t="s">
        <v>729</v>
      </c>
      <c r="AV3916" s="5" t="s">
        <v>729</v>
      </c>
      <c r="AW3916" s="5" t="s">
        <v>251</v>
      </c>
      <c r="AX3916" s="5" t="s">
        <v>252</v>
      </c>
      <c r="AY3916" s="5" t="s">
        <v>253</v>
      </c>
      <c r="AZ3916" s="5" t="s">
        <v>240</v>
      </c>
      <c r="BA3916" s="5" t="s">
        <v>255</v>
      </c>
      <c r="BB3916" s="5" t="s">
        <v>731</v>
      </c>
      <c r="BD3916" s="5" t="s">
        <v>240</v>
      </c>
      <c r="BF3916" s="5" t="s">
        <v>6763</v>
      </c>
      <c r="BG3916" s="6" t="s">
        <v>7067</v>
      </c>
      <c r="BH3916" s="5" t="s">
        <v>6742</v>
      </c>
      <c r="BI3916" s="5" t="s">
        <v>6743</v>
      </c>
      <c r="BJ3916" s="5" t="s">
        <v>240</v>
      </c>
      <c r="BK3916" s="7">
        <f>0</f>
        <v>0</v>
      </c>
      <c r="BL3916" s="7">
        <f>726000</f>
        <v>726000</v>
      </c>
      <c r="BM3916" s="5" t="s">
        <v>258</v>
      </c>
      <c r="BN3916" s="5" t="s">
        <v>259</v>
      </c>
      <c r="BO3916" s="5" t="s">
        <v>6744</v>
      </c>
      <c r="BP3916" s="5" t="s">
        <v>6745</v>
      </c>
      <c r="BQ3916" s="5" t="s">
        <v>6745</v>
      </c>
      <c r="BR3916" s="5" t="s">
        <v>240</v>
      </c>
      <c r="BS3916" s="5" t="s">
        <v>258</v>
      </c>
      <c r="BT3916" s="5" t="s">
        <v>6747</v>
      </c>
      <c r="BU3916" s="5" t="s">
        <v>6747</v>
      </c>
      <c r="BW3916" s="6" t="s">
        <v>7068</v>
      </c>
      <c r="BX3916" s="5" t="s">
        <v>258</v>
      </c>
      <c r="BY3916" s="5" t="s">
        <v>240</v>
      </c>
      <c r="BZ3916" s="5" t="s">
        <v>240</v>
      </c>
      <c r="CA3916" s="5" t="s">
        <v>259</v>
      </c>
      <c r="CB3916" s="5" t="s">
        <v>240</v>
      </c>
      <c r="CC3916" s="5" t="s">
        <v>240</v>
      </c>
      <c r="CG3916" s="5" t="s">
        <v>240</v>
      </c>
      <c r="CH3916" s="5" t="s">
        <v>240</v>
      </c>
      <c r="CI3916" s="5" t="s">
        <v>260</v>
      </c>
      <c r="CK3916" s="5" t="s">
        <v>240</v>
      </c>
      <c r="CL3916" s="6" t="s">
        <v>261</v>
      </c>
      <c r="CM3916" s="5" t="s">
        <v>262</v>
      </c>
      <c r="CN3916" s="5" t="s">
        <v>293</v>
      </c>
      <c r="CO3916" s="5" t="s">
        <v>264</v>
      </c>
      <c r="CP3916" s="5" t="s">
        <v>240</v>
      </c>
      <c r="CQ3916" s="5">
        <v>0</v>
      </c>
      <c r="CR3916" s="5" t="s">
        <v>240</v>
      </c>
      <c r="CS3916" s="5" t="s">
        <v>240</v>
      </c>
      <c r="CT3916" s="5" t="s">
        <v>240</v>
      </c>
      <c r="CU3916" s="5" t="s">
        <v>260</v>
      </c>
      <c r="CV3916" s="5" t="s">
        <v>240</v>
      </c>
      <c r="CW3916" s="8">
        <f>0</f>
        <v>0</v>
      </c>
      <c r="CX3916" s="7">
        <f>726000</f>
        <v>726000</v>
      </c>
      <c r="CY3916" s="7">
        <f>0</f>
        <v>0</v>
      </c>
      <c r="CZ3916" s="7">
        <f>0</f>
        <v>0</v>
      </c>
      <c r="DA3916" s="7">
        <f>726000</f>
        <v>726000</v>
      </c>
      <c r="DB3916" s="7" t="s">
        <v>240</v>
      </c>
      <c r="DC3916" s="5" t="s">
        <v>240</v>
      </c>
      <c r="DD3916" s="5" t="s">
        <v>240</v>
      </c>
      <c r="DF3916" s="5" t="s">
        <v>240</v>
      </c>
      <c r="DG3916" s="7">
        <f>0</f>
        <v>0</v>
      </c>
      <c r="DH3916" s="6" t="s">
        <v>240</v>
      </c>
      <c r="DI3916" s="5" t="s">
        <v>240</v>
      </c>
      <c r="DJ3916" s="5" t="s">
        <v>240</v>
      </c>
      <c r="DK3916" s="5" t="s">
        <v>240</v>
      </c>
      <c r="DL3916" s="5" t="s">
        <v>240</v>
      </c>
      <c r="DM3916" s="5" t="s">
        <v>240</v>
      </c>
      <c r="DN3916" s="5" t="s">
        <v>240</v>
      </c>
      <c r="DO3916" s="7" t="s">
        <v>240</v>
      </c>
      <c r="DP3916" s="5" t="s">
        <v>240</v>
      </c>
      <c r="DQ3916" s="5" t="s">
        <v>248</v>
      </c>
      <c r="DR3916" s="5" t="s">
        <v>731</v>
      </c>
      <c r="DS3916" s="5" t="s">
        <v>731</v>
      </c>
      <c r="DT3916" s="5" t="s">
        <v>240</v>
      </c>
      <c r="DU3916" s="5" t="s">
        <v>240</v>
      </c>
      <c r="GN3916" s="5" t="s">
        <v>7069</v>
      </c>
      <c r="HR3916" s="5" t="s">
        <v>240</v>
      </c>
      <c r="HS3916" s="5" t="s">
        <v>240</v>
      </c>
      <c r="HT3916" s="5" t="s">
        <v>240</v>
      </c>
      <c r="HU3916" s="5" t="s">
        <v>240</v>
      </c>
      <c r="HV3916" s="5" t="s">
        <v>240</v>
      </c>
      <c r="HW3916" s="5" t="s">
        <v>240</v>
      </c>
      <c r="HX3916" s="5" t="s">
        <v>240</v>
      </c>
      <c r="HY3916" s="5" t="s">
        <v>240</v>
      </c>
      <c r="HZ3916" s="5" t="s">
        <v>240</v>
      </c>
      <c r="IA3916" s="5" t="s">
        <v>240</v>
      </c>
      <c r="IB3916" s="5" t="s">
        <v>240</v>
      </c>
      <c r="IC3916" s="5" t="s">
        <v>240</v>
      </c>
      <c r="ID3916" s="5" t="s">
        <v>240</v>
      </c>
      <c r="IE3916" s="5" t="s">
        <v>240</v>
      </c>
      <c r="IF3916" s="5" t="s">
        <v>240</v>
      </c>
    </row>
    <row r="3917" spans="1:240" x14ac:dyDescent="0.4">
      <c r="A3917" s="5">
        <v>9459</v>
      </c>
      <c r="B3917" s="5">
        <v>1</v>
      </c>
      <c r="C3917" s="5">
        <v>1</v>
      </c>
      <c r="D3917" s="5" t="s">
        <v>723</v>
      </c>
      <c r="E3917" s="5" t="s">
        <v>725</v>
      </c>
      <c r="F3917" s="5" t="s">
        <v>254</v>
      </c>
      <c r="G3917" s="5" t="s">
        <v>6044</v>
      </c>
      <c r="H3917" s="6" t="s">
        <v>6176</v>
      </c>
      <c r="I3917" s="5" t="s">
        <v>6175</v>
      </c>
      <c r="J3917" s="7">
        <f>1</f>
        <v>1</v>
      </c>
      <c r="K3917" s="5" t="s">
        <v>3682</v>
      </c>
      <c r="L3917" s="7">
        <f>1</f>
        <v>1</v>
      </c>
      <c r="M3917" s="7">
        <f>1</f>
        <v>1</v>
      </c>
      <c r="N3917" s="5" t="s">
        <v>242</v>
      </c>
      <c r="O3917" s="5">
        <v>1</v>
      </c>
      <c r="P3917" s="5" t="s">
        <v>294</v>
      </c>
      <c r="Q3917" s="5" t="s">
        <v>613</v>
      </c>
      <c r="T3917" s="5" t="s">
        <v>243</v>
      </c>
      <c r="U3917" s="5" t="s">
        <v>244</v>
      </c>
      <c r="V3917" s="5" t="s">
        <v>240</v>
      </c>
      <c r="Y3917" s="5" t="s">
        <v>240</v>
      </c>
      <c r="Z3917" s="6" t="s">
        <v>298</v>
      </c>
      <c r="AA3917" s="6" t="s">
        <v>240</v>
      </c>
      <c r="AB3917" s="6" t="s">
        <v>240</v>
      </c>
      <c r="AC3917" s="5" t="s">
        <v>240</v>
      </c>
      <c r="AD3917" s="6" t="s">
        <v>240</v>
      </c>
      <c r="AE3917" s="6" t="s">
        <v>299</v>
      </c>
      <c r="AF3917" s="5" t="s">
        <v>248</v>
      </c>
      <c r="AG3917" s="5" t="s">
        <v>249</v>
      </c>
      <c r="AM3917" s="5" t="s">
        <v>240</v>
      </c>
      <c r="AN3917" s="5" t="s">
        <v>240</v>
      </c>
      <c r="AO3917" s="5" t="s">
        <v>240</v>
      </c>
      <c r="AP3917" s="6" t="s">
        <v>240</v>
      </c>
      <c r="AQ3917" s="6" t="s">
        <v>240</v>
      </c>
      <c r="AW3917" s="5" t="s">
        <v>251</v>
      </c>
      <c r="AX3917" s="5" t="s">
        <v>252</v>
      </c>
      <c r="AY3917" s="5" t="s">
        <v>253</v>
      </c>
      <c r="AZ3917" s="5" t="s">
        <v>6046</v>
      </c>
      <c r="BA3917" s="5" t="s">
        <v>255</v>
      </c>
      <c r="BB3917" s="5" t="s">
        <v>731</v>
      </c>
      <c r="BD3917" s="5" t="s">
        <v>686</v>
      </c>
      <c r="BF3917" s="5" t="s">
        <v>301</v>
      </c>
      <c r="BG3917" s="6" t="s">
        <v>733</v>
      </c>
      <c r="BH3917" s="5" t="s">
        <v>302</v>
      </c>
      <c r="BI3917" s="5" t="s">
        <v>303</v>
      </c>
      <c r="BJ3917" s="5" t="s">
        <v>240</v>
      </c>
      <c r="BK3917" s="8">
        <f>0</f>
        <v>0</v>
      </c>
      <c r="BL3917" s="7">
        <f>0</f>
        <v>0</v>
      </c>
      <c r="BM3917" s="5" t="s">
        <v>258</v>
      </c>
      <c r="BN3917" s="5" t="s">
        <v>259</v>
      </c>
      <c r="BW3917" s="6" t="s">
        <v>240</v>
      </c>
      <c r="BX3917" s="5" t="s">
        <v>240</v>
      </c>
      <c r="BY3917" s="5" t="s">
        <v>240</v>
      </c>
      <c r="BZ3917" s="5" t="s">
        <v>240</v>
      </c>
      <c r="CB3917" s="5" t="s">
        <v>240</v>
      </c>
      <c r="CC3917" s="5" t="s">
        <v>240</v>
      </c>
      <c r="CG3917" s="5" t="s">
        <v>617</v>
      </c>
      <c r="CH3917" s="5" t="s">
        <v>305</v>
      </c>
      <c r="CI3917" s="5" t="s">
        <v>260</v>
      </c>
      <c r="CK3917" s="5" t="s">
        <v>240</v>
      </c>
      <c r="CL3917" s="6" t="s">
        <v>261</v>
      </c>
      <c r="CM3917" s="5" t="s">
        <v>240</v>
      </c>
      <c r="CN3917" s="5" t="s">
        <v>263</v>
      </c>
      <c r="CO3917" s="5" t="s">
        <v>240</v>
      </c>
      <c r="CP3917" s="5" t="s">
        <v>240</v>
      </c>
      <c r="CQ3917" s="5">
        <v>0</v>
      </c>
      <c r="CR3917" s="5" t="s">
        <v>735</v>
      </c>
      <c r="CS3917" s="5" t="s">
        <v>307</v>
      </c>
      <c r="CT3917" s="5" t="s">
        <v>307</v>
      </c>
      <c r="CU3917" s="5" t="s">
        <v>260</v>
      </c>
      <c r="CV3917" s="5" t="s">
        <v>240</v>
      </c>
      <c r="CW3917" s="8" t="s">
        <v>240</v>
      </c>
      <c r="CX3917" s="7">
        <f>12062890</f>
        <v>12062890</v>
      </c>
      <c r="CY3917" s="7">
        <f>0</f>
        <v>0</v>
      </c>
      <c r="CZ3917" s="7" t="s">
        <v>240</v>
      </c>
      <c r="DA3917" s="7">
        <f>0</f>
        <v>0</v>
      </c>
      <c r="DB3917" s="7" t="s">
        <v>240</v>
      </c>
      <c r="DC3917" s="5" t="s">
        <v>689</v>
      </c>
      <c r="DD3917" s="5" t="s">
        <v>240</v>
      </c>
      <c r="DF3917" s="5" t="s">
        <v>450</v>
      </c>
      <c r="DG3917" s="7">
        <f>0</f>
        <v>0</v>
      </c>
      <c r="DH3917" s="6" t="s">
        <v>240</v>
      </c>
      <c r="DI3917" s="5" t="s">
        <v>618</v>
      </c>
      <c r="DJ3917" s="5" t="s">
        <v>240</v>
      </c>
      <c r="DK3917" s="5" t="s">
        <v>240</v>
      </c>
      <c r="DL3917" s="5" t="s">
        <v>240</v>
      </c>
      <c r="DM3917" s="5" t="s">
        <v>240</v>
      </c>
      <c r="DN3917" s="5" t="s">
        <v>240</v>
      </c>
      <c r="DO3917" s="7" t="s">
        <v>240</v>
      </c>
      <c r="DP3917" s="5" t="s">
        <v>240</v>
      </c>
      <c r="DQ3917" s="5" t="s">
        <v>248</v>
      </c>
      <c r="DR3917" s="5" t="s">
        <v>731</v>
      </c>
      <c r="DS3917" s="5" t="s">
        <v>731</v>
      </c>
      <c r="DT3917" s="5" t="s">
        <v>240</v>
      </c>
      <c r="DU3917" s="5" t="s">
        <v>240</v>
      </c>
      <c r="DV3917" s="5" t="s">
        <v>6879</v>
      </c>
      <c r="DW3917" s="5" t="s">
        <v>620</v>
      </c>
    </row>
    <row r="3918" spans="1:240" x14ac:dyDescent="0.4">
      <c r="A3918" s="5">
        <v>9460</v>
      </c>
      <c r="B3918" s="5">
        <v>1</v>
      </c>
      <c r="C3918" s="5">
        <v>1</v>
      </c>
      <c r="D3918" s="5" t="s">
        <v>723</v>
      </c>
      <c r="E3918" s="5" t="s">
        <v>725</v>
      </c>
      <c r="F3918" s="5" t="s">
        <v>254</v>
      </c>
      <c r="G3918" s="5" t="s">
        <v>6180</v>
      </c>
      <c r="H3918" s="6" t="s">
        <v>6181</v>
      </c>
      <c r="I3918" s="5" t="s">
        <v>6179</v>
      </c>
      <c r="J3918" s="7">
        <f>1</f>
        <v>1</v>
      </c>
      <c r="K3918" s="5" t="s">
        <v>3682</v>
      </c>
      <c r="L3918" s="7">
        <f>1</f>
        <v>1</v>
      </c>
      <c r="M3918" s="7">
        <f>1</f>
        <v>1</v>
      </c>
      <c r="N3918" s="5" t="s">
        <v>242</v>
      </c>
      <c r="O3918" s="5">
        <v>1</v>
      </c>
      <c r="P3918" s="5" t="s">
        <v>294</v>
      </c>
      <c r="Q3918" s="5" t="s">
        <v>613</v>
      </c>
      <c r="T3918" s="5" t="s">
        <v>243</v>
      </c>
      <c r="U3918" s="5" t="s">
        <v>244</v>
      </c>
      <c r="V3918" s="5" t="s">
        <v>240</v>
      </c>
      <c r="Y3918" s="5" t="s">
        <v>245</v>
      </c>
      <c r="Z3918" s="6" t="s">
        <v>7072</v>
      </c>
      <c r="AA3918" s="6" t="s">
        <v>240</v>
      </c>
      <c r="AB3918" s="6" t="s">
        <v>240</v>
      </c>
      <c r="AC3918" s="5" t="s">
        <v>240</v>
      </c>
      <c r="AD3918" s="6" t="s">
        <v>240</v>
      </c>
      <c r="AE3918" s="6" t="s">
        <v>7072</v>
      </c>
      <c r="AF3918" s="5" t="s">
        <v>248</v>
      </c>
      <c r="AG3918" s="5" t="s">
        <v>249</v>
      </c>
      <c r="AM3918" s="5" t="s">
        <v>240</v>
      </c>
      <c r="AN3918" s="5" t="s">
        <v>240</v>
      </c>
      <c r="AO3918" s="5" t="s">
        <v>240</v>
      </c>
      <c r="AP3918" s="6" t="s">
        <v>240</v>
      </c>
      <c r="AQ3918" s="6" t="s">
        <v>240</v>
      </c>
      <c r="AR3918" s="6" t="s">
        <v>240</v>
      </c>
      <c r="AU3918" s="5" t="s">
        <v>729</v>
      </c>
      <c r="AV3918" s="5" t="s">
        <v>729</v>
      </c>
      <c r="AW3918" s="5" t="s">
        <v>251</v>
      </c>
      <c r="AX3918" s="5" t="s">
        <v>252</v>
      </c>
      <c r="AY3918" s="5" t="s">
        <v>253</v>
      </c>
      <c r="AZ3918" s="5" t="s">
        <v>6046</v>
      </c>
      <c r="BA3918" s="5" t="s">
        <v>255</v>
      </c>
      <c r="BB3918" s="5" t="s">
        <v>731</v>
      </c>
      <c r="BD3918" s="5" t="s">
        <v>240</v>
      </c>
      <c r="BF3918" s="5" t="s">
        <v>256</v>
      </c>
      <c r="BG3918" s="6" t="s">
        <v>7072</v>
      </c>
      <c r="BH3918" s="5" t="s">
        <v>6742</v>
      </c>
      <c r="BI3918" s="5" t="s">
        <v>6743</v>
      </c>
      <c r="BJ3918" s="5" t="s">
        <v>240</v>
      </c>
      <c r="BK3918" s="7">
        <f>0</f>
        <v>0</v>
      </c>
      <c r="BL3918" s="7">
        <f>199900</f>
        <v>199900</v>
      </c>
      <c r="BM3918" s="5" t="s">
        <v>258</v>
      </c>
      <c r="BN3918" s="5" t="s">
        <v>259</v>
      </c>
      <c r="BO3918" s="5" t="s">
        <v>6744</v>
      </c>
      <c r="BP3918" s="5" t="s">
        <v>6745</v>
      </c>
      <c r="BQ3918" s="5" t="s">
        <v>6745</v>
      </c>
      <c r="BR3918" s="5" t="s">
        <v>240</v>
      </c>
      <c r="BS3918" s="5" t="s">
        <v>258</v>
      </c>
      <c r="BT3918" s="5" t="s">
        <v>6747</v>
      </c>
      <c r="BU3918" s="5" t="s">
        <v>6747</v>
      </c>
      <c r="BW3918" s="6" t="s">
        <v>7075</v>
      </c>
      <c r="BX3918" s="5" t="s">
        <v>258</v>
      </c>
      <c r="BY3918" s="5" t="s">
        <v>240</v>
      </c>
      <c r="BZ3918" s="5" t="s">
        <v>240</v>
      </c>
      <c r="CA3918" s="5" t="s">
        <v>259</v>
      </c>
      <c r="CB3918" s="5" t="s">
        <v>240</v>
      </c>
      <c r="CC3918" s="5" t="s">
        <v>240</v>
      </c>
      <c r="CG3918" s="5" t="s">
        <v>240</v>
      </c>
      <c r="CH3918" s="5" t="s">
        <v>240</v>
      </c>
      <c r="CI3918" s="5" t="s">
        <v>260</v>
      </c>
      <c r="CK3918" s="5" t="s">
        <v>240</v>
      </c>
      <c r="CL3918" s="6" t="s">
        <v>261</v>
      </c>
      <c r="CM3918" s="5" t="s">
        <v>262</v>
      </c>
      <c r="CN3918" s="5" t="s">
        <v>263</v>
      </c>
      <c r="CO3918" s="5" t="s">
        <v>264</v>
      </c>
      <c r="CP3918" s="5" t="s">
        <v>240</v>
      </c>
      <c r="CQ3918" s="5">
        <v>0</v>
      </c>
      <c r="CR3918" s="5" t="s">
        <v>735</v>
      </c>
      <c r="CS3918" s="5" t="s">
        <v>307</v>
      </c>
      <c r="CT3918" s="5" t="s">
        <v>307</v>
      </c>
      <c r="CU3918" s="5" t="s">
        <v>260</v>
      </c>
      <c r="CV3918" s="5" t="s">
        <v>240</v>
      </c>
      <c r="CW3918" s="8">
        <f>199900</f>
        <v>199900</v>
      </c>
      <c r="CX3918" s="7">
        <f>199900</f>
        <v>199900</v>
      </c>
      <c r="CY3918" s="7">
        <f>0</f>
        <v>0</v>
      </c>
      <c r="CZ3918" s="7">
        <f>0</f>
        <v>0</v>
      </c>
      <c r="DA3918" s="7">
        <f>199900</f>
        <v>199900</v>
      </c>
      <c r="DB3918" s="7" t="s">
        <v>240</v>
      </c>
      <c r="DC3918" s="5" t="s">
        <v>240</v>
      </c>
      <c r="DD3918" s="5" t="s">
        <v>240</v>
      </c>
      <c r="DF3918" s="5" t="s">
        <v>240</v>
      </c>
      <c r="DG3918" s="7">
        <f>0</f>
        <v>0</v>
      </c>
      <c r="DH3918" s="6" t="s">
        <v>240</v>
      </c>
      <c r="DI3918" s="5" t="s">
        <v>240</v>
      </c>
      <c r="DJ3918" s="5" t="s">
        <v>240</v>
      </c>
      <c r="DK3918" s="5" t="s">
        <v>240</v>
      </c>
      <c r="DL3918" s="5" t="s">
        <v>240</v>
      </c>
      <c r="DM3918" s="5" t="s">
        <v>240</v>
      </c>
      <c r="DN3918" s="5" t="s">
        <v>240</v>
      </c>
      <c r="DO3918" s="7" t="s">
        <v>240</v>
      </c>
      <c r="DP3918" s="5" t="s">
        <v>240</v>
      </c>
      <c r="DQ3918" s="5" t="s">
        <v>248</v>
      </c>
      <c r="DR3918" s="5" t="s">
        <v>731</v>
      </c>
      <c r="DS3918" s="5" t="s">
        <v>731</v>
      </c>
      <c r="DT3918" s="5" t="s">
        <v>240</v>
      </c>
      <c r="DU3918" s="5" t="s">
        <v>240</v>
      </c>
      <c r="HR3918" s="5" t="s">
        <v>240</v>
      </c>
      <c r="HS3918" s="5" t="s">
        <v>240</v>
      </c>
      <c r="HT3918" s="5" t="s">
        <v>240</v>
      </c>
      <c r="HU3918" s="5" t="s">
        <v>240</v>
      </c>
      <c r="HV3918" s="5" t="s">
        <v>240</v>
      </c>
      <c r="HW3918" s="5" t="s">
        <v>240</v>
      </c>
      <c r="HX3918" s="5" t="s">
        <v>240</v>
      </c>
      <c r="HY3918" s="5" t="s">
        <v>240</v>
      </c>
      <c r="HZ3918" s="5" t="s">
        <v>240</v>
      </c>
      <c r="IA3918" s="5" t="s">
        <v>240</v>
      </c>
      <c r="IB3918" s="5" t="s">
        <v>240</v>
      </c>
      <c r="IC3918" s="5" t="s">
        <v>240</v>
      </c>
      <c r="ID3918" s="5" t="s">
        <v>240</v>
      </c>
      <c r="IE3918" s="5" t="s">
        <v>240</v>
      </c>
      <c r="IF3918" s="5" t="s">
        <v>240</v>
      </c>
    </row>
    <row r="3919" spans="1:240" x14ac:dyDescent="0.4">
      <c r="A3919" s="5">
        <v>9461</v>
      </c>
      <c r="B3919" s="5">
        <v>1</v>
      </c>
      <c r="C3919" s="5">
        <v>1</v>
      </c>
      <c r="D3919" s="5" t="s">
        <v>723</v>
      </c>
      <c r="E3919" s="5" t="s">
        <v>725</v>
      </c>
      <c r="F3919" s="5" t="s">
        <v>254</v>
      </c>
      <c r="G3919" s="5" t="s">
        <v>6044</v>
      </c>
      <c r="H3919" s="6" t="s">
        <v>6462</v>
      </c>
      <c r="I3919" s="5" t="s">
        <v>6461</v>
      </c>
      <c r="J3919" s="7">
        <f>1</f>
        <v>1</v>
      </c>
      <c r="K3919" s="5" t="s">
        <v>3682</v>
      </c>
      <c r="L3919" s="7">
        <f>1</f>
        <v>1</v>
      </c>
      <c r="M3919" s="7">
        <f>1</f>
        <v>1</v>
      </c>
      <c r="N3919" s="5" t="s">
        <v>242</v>
      </c>
      <c r="O3919" s="5">
        <v>1</v>
      </c>
      <c r="P3919" s="5" t="s">
        <v>294</v>
      </c>
      <c r="Q3919" s="5" t="s">
        <v>3678</v>
      </c>
      <c r="T3919" s="5" t="s">
        <v>243</v>
      </c>
      <c r="U3919" s="5" t="s">
        <v>244</v>
      </c>
      <c r="V3919" s="5" t="s">
        <v>240</v>
      </c>
      <c r="Y3919" s="5" t="s">
        <v>240</v>
      </c>
      <c r="Z3919" s="6" t="s">
        <v>298</v>
      </c>
      <c r="AA3919" s="6" t="s">
        <v>240</v>
      </c>
      <c r="AB3919" s="6" t="s">
        <v>240</v>
      </c>
      <c r="AC3919" s="5" t="s">
        <v>240</v>
      </c>
      <c r="AD3919" s="6" t="s">
        <v>240</v>
      </c>
      <c r="AE3919" s="6" t="s">
        <v>6769</v>
      </c>
      <c r="AF3919" s="5" t="s">
        <v>248</v>
      </c>
      <c r="AG3919" s="5" t="s">
        <v>249</v>
      </c>
      <c r="AM3919" s="5" t="s">
        <v>240</v>
      </c>
      <c r="AN3919" s="5" t="s">
        <v>240</v>
      </c>
      <c r="AO3919" s="5" t="s">
        <v>240</v>
      </c>
      <c r="AP3919" s="6" t="s">
        <v>240</v>
      </c>
      <c r="AQ3919" s="6" t="s">
        <v>240</v>
      </c>
      <c r="AR3919" s="6" t="s">
        <v>240</v>
      </c>
      <c r="AU3919" s="5" t="s">
        <v>729</v>
      </c>
      <c r="AV3919" s="5" t="s">
        <v>729</v>
      </c>
      <c r="AW3919" s="5" t="s">
        <v>251</v>
      </c>
      <c r="AX3919" s="5" t="s">
        <v>252</v>
      </c>
      <c r="AY3919" s="5" t="s">
        <v>253</v>
      </c>
      <c r="AZ3919" s="5" t="s">
        <v>6046</v>
      </c>
      <c r="BA3919" s="5" t="s">
        <v>255</v>
      </c>
      <c r="BB3919" s="5" t="s">
        <v>731</v>
      </c>
      <c r="BD3919" s="5" t="s">
        <v>842</v>
      </c>
      <c r="BF3919" s="5" t="s">
        <v>732</v>
      </c>
      <c r="BG3919" s="6" t="s">
        <v>733</v>
      </c>
      <c r="BH3919" s="5" t="s">
        <v>734</v>
      </c>
      <c r="BI3919" s="5" t="s">
        <v>734</v>
      </c>
      <c r="BJ3919" s="5" t="s">
        <v>240</v>
      </c>
      <c r="BK3919" s="7">
        <f>1</f>
        <v>1</v>
      </c>
      <c r="BL3919" s="7">
        <f>1</f>
        <v>1</v>
      </c>
      <c r="BM3919" s="5" t="s">
        <v>258</v>
      </c>
      <c r="BN3919" s="5" t="s">
        <v>259</v>
      </c>
      <c r="BO3919" s="5" t="s">
        <v>240</v>
      </c>
      <c r="BP3919" s="5" t="s">
        <v>240</v>
      </c>
      <c r="BQ3919" s="5" t="s">
        <v>240</v>
      </c>
      <c r="BR3919" s="5" t="s">
        <v>240</v>
      </c>
      <c r="BW3919" s="6" t="s">
        <v>240</v>
      </c>
      <c r="BX3919" s="5" t="s">
        <v>240</v>
      </c>
      <c r="BY3919" s="5" t="s">
        <v>240</v>
      </c>
      <c r="BZ3919" s="5" t="s">
        <v>240</v>
      </c>
      <c r="CA3919" s="5" t="s">
        <v>259</v>
      </c>
      <c r="CB3919" s="5" t="s">
        <v>240</v>
      </c>
      <c r="CC3919" s="5" t="s">
        <v>240</v>
      </c>
      <c r="CG3919" s="5" t="s">
        <v>240</v>
      </c>
      <c r="CH3919" s="5" t="s">
        <v>240</v>
      </c>
      <c r="CI3919" s="5" t="s">
        <v>260</v>
      </c>
      <c r="CK3919" s="5" t="s">
        <v>240</v>
      </c>
      <c r="CL3919" s="6" t="s">
        <v>261</v>
      </c>
      <c r="CM3919" s="5" t="s">
        <v>262</v>
      </c>
      <c r="CN3919" s="5" t="s">
        <v>263</v>
      </c>
      <c r="CO3919" s="5" t="s">
        <v>264</v>
      </c>
      <c r="CP3919" s="5" t="s">
        <v>240</v>
      </c>
      <c r="CQ3919" s="5">
        <v>0</v>
      </c>
      <c r="CR3919" s="5" t="s">
        <v>735</v>
      </c>
      <c r="CS3919" s="5" t="s">
        <v>307</v>
      </c>
      <c r="CT3919" s="5" t="s">
        <v>307</v>
      </c>
      <c r="CU3919" s="5" t="s">
        <v>260</v>
      </c>
      <c r="CV3919" s="5" t="s">
        <v>240</v>
      </c>
      <c r="CW3919" s="8">
        <f>1</f>
        <v>1</v>
      </c>
      <c r="CX3919" s="7">
        <f>1</f>
        <v>1</v>
      </c>
      <c r="CY3919" s="7">
        <f>0</f>
        <v>0</v>
      </c>
      <c r="CZ3919" s="7">
        <f>0</f>
        <v>0</v>
      </c>
      <c r="DA3919" s="7">
        <f>1</f>
        <v>1</v>
      </c>
      <c r="DB3919" s="7" t="s">
        <v>240</v>
      </c>
      <c r="DC3919" s="5" t="s">
        <v>240</v>
      </c>
      <c r="DD3919" s="5" t="s">
        <v>240</v>
      </c>
      <c r="DF3919" s="5" t="s">
        <v>240</v>
      </c>
      <c r="DG3919" s="7">
        <f>0</f>
        <v>0</v>
      </c>
      <c r="DH3919" s="6" t="s">
        <v>240</v>
      </c>
      <c r="DI3919" s="5" t="s">
        <v>240</v>
      </c>
      <c r="DJ3919" s="5" t="s">
        <v>240</v>
      </c>
      <c r="DK3919" s="5" t="s">
        <v>240</v>
      </c>
      <c r="DL3919" s="5" t="s">
        <v>240</v>
      </c>
      <c r="DM3919" s="5" t="s">
        <v>240</v>
      </c>
      <c r="DN3919" s="5" t="s">
        <v>240</v>
      </c>
      <c r="DO3919" s="7" t="s">
        <v>240</v>
      </c>
      <c r="DP3919" s="5" t="s">
        <v>240</v>
      </c>
      <c r="DQ3919" s="5" t="s">
        <v>248</v>
      </c>
      <c r="DR3919" s="5" t="s">
        <v>731</v>
      </c>
      <c r="DS3919" s="5" t="s">
        <v>731</v>
      </c>
      <c r="DT3919" s="5" t="s">
        <v>240</v>
      </c>
      <c r="DU3919" s="5" t="s">
        <v>240</v>
      </c>
      <c r="HR3919" s="5" t="s">
        <v>240</v>
      </c>
      <c r="HS3919" s="5" t="s">
        <v>240</v>
      </c>
      <c r="HT3919" s="5" t="s">
        <v>240</v>
      </c>
      <c r="HU3919" s="5" t="s">
        <v>240</v>
      </c>
      <c r="HV3919" s="5" t="s">
        <v>240</v>
      </c>
      <c r="HW3919" s="5" t="s">
        <v>240</v>
      </c>
      <c r="HX3919" s="5" t="s">
        <v>240</v>
      </c>
      <c r="HY3919" s="5" t="s">
        <v>240</v>
      </c>
      <c r="HZ3919" s="5" t="s">
        <v>240</v>
      </c>
      <c r="IA3919" s="5" t="s">
        <v>240</v>
      </c>
      <c r="IB3919" s="5" t="s">
        <v>240</v>
      </c>
      <c r="IC3919" s="5" t="s">
        <v>240</v>
      </c>
      <c r="ID3919" s="5" t="s">
        <v>240</v>
      </c>
      <c r="IE3919" s="5" t="s">
        <v>240</v>
      </c>
      <c r="IF3919" s="5" t="s">
        <v>240</v>
      </c>
    </row>
    <row r="3920" spans="1:240" x14ac:dyDescent="0.4">
      <c r="A3920" s="5">
        <v>9462</v>
      </c>
      <c r="B3920" s="5">
        <v>1</v>
      </c>
      <c r="C3920" s="5">
        <v>1</v>
      </c>
      <c r="D3920" s="5" t="s">
        <v>723</v>
      </c>
      <c r="E3920" s="5" t="s">
        <v>725</v>
      </c>
      <c r="F3920" s="5" t="s">
        <v>254</v>
      </c>
      <c r="G3920" s="5" t="s">
        <v>6044</v>
      </c>
      <c r="H3920" s="6" t="s">
        <v>6464</v>
      </c>
      <c r="I3920" s="5" t="s">
        <v>6463</v>
      </c>
      <c r="J3920" s="7">
        <f>1</f>
        <v>1</v>
      </c>
      <c r="K3920" s="5" t="s">
        <v>3682</v>
      </c>
      <c r="L3920" s="7">
        <f>1</f>
        <v>1</v>
      </c>
      <c r="M3920" s="7">
        <f>1</f>
        <v>1</v>
      </c>
      <c r="N3920" s="5" t="s">
        <v>242</v>
      </c>
      <c r="O3920" s="5">
        <v>1</v>
      </c>
      <c r="P3920" s="5" t="s">
        <v>294</v>
      </c>
      <c r="Q3920" s="5" t="s">
        <v>2097</v>
      </c>
      <c r="T3920" s="5" t="s">
        <v>296</v>
      </c>
      <c r="U3920" s="5" t="s">
        <v>244</v>
      </c>
      <c r="V3920" s="5" t="s">
        <v>240</v>
      </c>
      <c r="Y3920" s="5" t="s">
        <v>246</v>
      </c>
      <c r="Z3920" s="6" t="s">
        <v>7078</v>
      </c>
      <c r="AA3920" s="6" t="s">
        <v>240</v>
      </c>
      <c r="AB3920" s="6" t="s">
        <v>240</v>
      </c>
      <c r="AC3920" s="5" t="s">
        <v>240</v>
      </c>
      <c r="AD3920" s="6" t="s">
        <v>240</v>
      </c>
      <c r="AE3920" s="6" t="s">
        <v>240</v>
      </c>
      <c r="AF3920" s="5" t="s">
        <v>248</v>
      </c>
      <c r="AG3920" s="5" t="s">
        <v>249</v>
      </c>
      <c r="AM3920" s="5" t="s">
        <v>240</v>
      </c>
      <c r="AN3920" s="5" t="s">
        <v>240</v>
      </c>
      <c r="AO3920" s="5" t="s">
        <v>240</v>
      </c>
      <c r="AP3920" s="6" t="s">
        <v>240</v>
      </c>
      <c r="AQ3920" s="6" t="s">
        <v>240</v>
      </c>
      <c r="AR3920" s="6" t="s">
        <v>240</v>
      </c>
      <c r="AU3920" s="5" t="s">
        <v>729</v>
      </c>
      <c r="AV3920" s="5" t="s">
        <v>729</v>
      </c>
      <c r="AW3920" s="5" t="s">
        <v>251</v>
      </c>
      <c r="AX3920" s="5" t="s">
        <v>252</v>
      </c>
      <c r="AY3920" s="5" t="s">
        <v>253</v>
      </c>
      <c r="AZ3920" s="5" t="s">
        <v>6046</v>
      </c>
      <c r="BA3920" s="5" t="s">
        <v>255</v>
      </c>
      <c r="BB3920" s="5" t="s">
        <v>731</v>
      </c>
      <c r="BD3920" s="5" t="s">
        <v>842</v>
      </c>
      <c r="BF3920" s="5" t="s">
        <v>256</v>
      </c>
      <c r="BG3920" s="6" t="s">
        <v>7080</v>
      </c>
      <c r="BH3920" s="5" t="s">
        <v>6742</v>
      </c>
      <c r="BI3920" s="5" t="s">
        <v>6743</v>
      </c>
      <c r="BJ3920" s="5" t="s">
        <v>240</v>
      </c>
      <c r="BK3920" s="8">
        <f>0</f>
        <v>0</v>
      </c>
      <c r="BL3920" s="7">
        <f>104877</f>
        <v>104877</v>
      </c>
      <c r="BM3920" s="5" t="s">
        <v>258</v>
      </c>
      <c r="BN3920" s="5" t="s">
        <v>259</v>
      </c>
      <c r="BO3920" s="5" t="s">
        <v>6744</v>
      </c>
      <c r="BP3920" s="5" t="s">
        <v>6745</v>
      </c>
      <c r="BQ3920" s="5" t="s">
        <v>6746</v>
      </c>
      <c r="BR3920" s="5" t="s">
        <v>240</v>
      </c>
      <c r="BW3920" s="6" t="s">
        <v>7081</v>
      </c>
      <c r="BX3920" s="5" t="s">
        <v>258</v>
      </c>
      <c r="BY3920" s="5" t="s">
        <v>240</v>
      </c>
      <c r="BZ3920" s="5" t="s">
        <v>240</v>
      </c>
      <c r="CA3920" s="5" t="s">
        <v>259</v>
      </c>
      <c r="CB3920" s="5" t="s">
        <v>240</v>
      </c>
      <c r="CC3920" s="5" t="s">
        <v>240</v>
      </c>
      <c r="CG3920" s="5" t="s">
        <v>240</v>
      </c>
      <c r="CH3920" s="5" t="s">
        <v>240</v>
      </c>
      <c r="CI3920" s="5" t="s">
        <v>260</v>
      </c>
      <c r="CK3920" s="5" t="s">
        <v>240</v>
      </c>
      <c r="CL3920" s="6" t="s">
        <v>261</v>
      </c>
      <c r="CM3920" s="5" t="s">
        <v>262</v>
      </c>
      <c r="CN3920" s="5" t="s">
        <v>263</v>
      </c>
      <c r="CO3920" s="5" t="s">
        <v>264</v>
      </c>
      <c r="CP3920" s="5" t="s">
        <v>240</v>
      </c>
      <c r="CQ3920" s="5">
        <v>0</v>
      </c>
      <c r="CR3920" s="5" t="s">
        <v>735</v>
      </c>
      <c r="CS3920" s="5" t="s">
        <v>307</v>
      </c>
      <c r="CT3920" s="5" t="s">
        <v>307</v>
      </c>
      <c r="CU3920" s="5" t="s">
        <v>260</v>
      </c>
      <c r="CV3920" s="5" t="s">
        <v>240</v>
      </c>
      <c r="CW3920" s="8">
        <f>0</f>
        <v>0</v>
      </c>
      <c r="CX3920" s="7">
        <f>441635</f>
        <v>441635</v>
      </c>
      <c r="CY3920" s="7">
        <f>0</f>
        <v>0</v>
      </c>
      <c r="CZ3920" s="7">
        <f>0</f>
        <v>0</v>
      </c>
      <c r="DA3920" s="7">
        <f>441635</f>
        <v>441635</v>
      </c>
      <c r="DB3920" s="7" t="s">
        <v>240</v>
      </c>
      <c r="DC3920" s="5" t="s">
        <v>240</v>
      </c>
      <c r="DD3920" s="5" t="s">
        <v>240</v>
      </c>
      <c r="DF3920" s="5" t="s">
        <v>240</v>
      </c>
      <c r="DG3920" s="7">
        <f>0</f>
        <v>0</v>
      </c>
      <c r="DH3920" s="6" t="s">
        <v>240</v>
      </c>
      <c r="DI3920" s="5" t="s">
        <v>240</v>
      </c>
      <c r="DJ3920" s="5" t="s">
        <v>240</v>
      </c>
      <c r="DK3920" s="5" t="s">
        <v>240</v>
      </c>
      <c r="DL3920" s="5" t="s">
        <v>240</v>
      </c>
      <c r="DM3920" s="5" t="s">
        <v>240</v>
      </c>
      <c r="DN3920" s="5" t="s">
        <v>240</v>
      </c>
      <c r="DO3920" s="7" t="s">
        <v>240</v>
      </c>
      <c r="DP3920" s="5" t="s">
        <v>240</v>
      </c>
      <c r="DQ3920" s="5" t="s">
        <v>248</v>
      </c>
      <c r="DR3920" s="5" t="s">
        <v>731</v>
      </c>
      <c r="DS3920" s="5" t="s">
        <v>731</v>
      </c>
      <c r="DT3920" s="5" t="s">
        <v>240</v>
      </c>
      <c r="DU3920" s="5" t="s">
        <v>240</v>
      </c>
      <c r="HR3920" s="5" t="s">
        <v>240</v>
      </c>
      <c r="HS3920" s="5" t="s">
        <v>240</v>
      </c>
      <c r="HT3920" s="5" t="s">
        <v>240</v>
      </c>
      <c r="HU3920" s="5" t="s">
        <v>240</v>
      </c>
      <c r="HV3920" s="5" t="s">
        <v>240</v>
      </c>
      <c r="HW3920" s="5" t="s">
        <v>240</v>
      </c>
      <c r="HX3920" s="5" t="s">
        <v>240</v>
      </c>
      <c r="HY3920" s="5" t="s">
        <v>240</v>
      </c>
      <c r="HZ3920" s="5" t="s">
        <v>240</v>
      </c>
      <c r="IA3920" s="5" t="s">
        <v>240</v>
      </c>
      <c r="IB3920" s="5" t="s">
        <v>240</v>
      </c>
      <c r="IC3920" s="5" t="s">
        <v>240</v>
      </c>
      <c r="ID3920" s="5" t="s">
        <v>240</v>
      </c>
      <c r="IE3920" s="5" t="s">
        <v>240</v>
      </c>
      <c r="IF3920" s="5" t="s">
        <v>240</v>
      </c>
    </row>
    <row r="3921" spans="1:240" x14ac:dyDescent="0.4">
      <c r="A3921" s="5">
        <v>9463</v>
      </c>
      <c r="B3921" s="5">
        <v>1</v>
      </c>
      <c r="C3921" s="5">
        <v>1</v>
      </c>
      <c r="D3921" s="5" t="s">
        <v>723</v>
      </c>
      <c r="E3921" s="5" t="s">
        <v>725</v>
      </c>
      <c r="F3921" s="5" t="s">
        <v>254</v>
      </c>
      <c r="G3921" s="5" t="s">
        <v>6044</v>
      </c>
      <c r="H3921" s="6" t="s">
        <v>6470</v>
      </c>
      <c r="I3921" s="5" t="s">
        <v>6469</v>
      </c>
      <c r="J3921" s="7">
        <f>1</f>
        <v>1</v>
      </c>
      <c r="K3921" s="5" t="s">
        <v>3682</v>
      </c>
      <c r="L3921" s="7">
        <f>1</f>
        <v>1</v>
      </c>
      <c r="M3921" s="7">
        <f>1</f>
        <v>1</v>
      </c>
      <c r="N3921" s="5" t="s">
        <v>242</v>
      </c>
      <c r="O3921" s="5">
        <v>1</v>
      </c>
      <c r="P3921" s="5" t="s">
        <v>294</v>
      </c>
      <c r="Q3921" s="5" t="s">
        <v>613</v>
      </c>
      <c r="T3921" s="5" t="s">
        <v>296</v>
      </c>
      <c r="U3921" s="5" t="s">
        <v>244</v>
      </c>
      <c r="V3921" s="5" t="s">
        <v>240</v>
      </c>
      <c r="Y3921" s="5" t="s">
        <v>245</v>
      </c>
      <c r="Z3921" s="6" t="s">
        <v>7084</v>
      </c>
      <c r="AA3921" s="6" t="s">
        <v>240</v>
      </c>
      <c r="AB3921" s="6" t="s">
        <v>240</v>
      </c>
      <c r="AC3921" s="5" t="s">
        <v>240</v>
      </c>
      <c r="AD3921" s="6" t="s">
        <v>240</v>
      </c>
      <c r="AE3921" s="6" t="s">
        <v>7085</v>
      </c>
      <c r="AF3921" s="5" t="s">
        <v>248</v>
      </c>
      <c r="AG3921" s="5" t="s">
        <v>249</v>
      </c>
      <c r="AM3921" s="5" t="s">
        <v>240</v>
      </c>
      <c r="AN3921" s="5" t="s">
        <v>240</v>
      </c>
      <c r="AO3921" s="5" t="s">
        <v>240</v>
      </c>
      <c r="AP3921" s="6" t="s">
        <v>240</v>
      </c>
      <c r="AQ3921" s="6" t="s">
        <v>240</v>
      </c>
      <c r="AR3921" s="6" t="s">
        <v>240</v>
      </c>
      <c r="AU3921" s="5" t="s">
        <v>729</v>
      </c>
      <c r="AV3921" s="5" t="s">
        <v>729</v>
      </c>
      <c r="AW3921" s="5" t="s">
        <v>251</v>
      </c>
      <c r="AX3921" s="5" t="s">
        <v>252</v>
      </c>
      <c r="AY3921" s="5" t="s">
        <v>253</v>
      </c>
      <c r="AZ3921" s="5" t="s">
        <v>6046</v>
      </c>
      <c r="BA3921" s="5" t="s">
        <v>255</v>
      </c>
      <c r="BB3921" s="5" t="s">
        <v>731</v>
      </c>
      <c r="BD3921" s="5" t="s">
        <v>7087</v>
      </c>
      <c r="BF3921" s="5" t="s">
        <v>256</v>
      </c>
      <c r="BG3921" s="6" t="s">
        <v>7088</v>
      </c>
      <c r="BH3921" s="5" t="s">
        <v>6742</v>
      </c>
      <c r="BI3921" s="5" t="s">
        <v>6743</v>
      </c>
      <c r="BJ3921" s="5" t="s">
        <v>240</v>
      </c>
      <c r="BK3921" s="8">
        <f>0</f>
        <v>0</v>
      </c>
      <c r="BL3921" s="7">
        <f>1429</f>
        <v>1429</v>
      </c>
      <c r="BM3921" s="5" t="s">
        <v>258</v>
      </c>
      <c r="BN3921" s="5" t="s">
        <v>259</v>
      </c>
      <c r="BO3921" s="5" t="s">
        <v>6744</v>
      </c>
      <c r="BP3921" s="5" t="s">
        <v>6745</v>
      </c>
      <c r="BQ3921" s="5" t="s">
        <v>6745</v>
      </c>
      <c r="BR3921" s="5" t="s">
        <v>240</v>
      </c>
      <c r="BW3921" s="6" t="s">
        <v>7089</v>
      </c>
      <c r="BX3921" s="5" t="s">
        <v>258</v>
      </c>
      <c r="BY3921" s="5" t="s">
        <v>240</v>
      </c>
      <c r="BZ3921" s="5" t="s">
        <v>240</v>
      </c>
      <c r="CA3921" s="5" t="s">
        <v>259</v>
      </c>
      <c r="CB3921" s="5" t="s">
        <v>240</v>
      </c>
      <c r="CC3921" s="5" t="s">
        <v>240</v>
      </c>
      <c r="CG3921" s="5" t="s">
        <v>240</v>
      </c>
      <c r="CH3921" s="5" t="s">
        <v>240</v>
      </c>
      <c r="CI3921" s="5" t="s">
        <v>260</v>
      </c>
      <c r="CK3921" s="5" t="s">
        <v>240</v>
      </c>
      <c r="CL3921" s="6" t="s">
        <v>261</v>
      </c>
      <c r="CM3921" s="5" t="s">
        <v>262</v>
      </c>
      <c r="CN3921" s="5" t="s">
        <v>263</v>
      </c>
      <c r="CO3921" s="5" t="s">
        <v>264</v>
      </c>
      <c r="CP3921" s="5" t="s">
        <v>240</v>
      </c>
      <c r="CQ3921" s="5">
        <v>0</v>
      </c>
      <c r="CR3921" s="5" t="s">
        <v>735</v>
      </c>
      <c r="CS3921" s="5" t="s">
        <v>307</v>
      </c>
      <c r="CT3921" s="5" t="s">
        <v>307</v>
      </c>
      <c r="CU3921" s="5" t="s">
        <v>260</v>
      </c>
      <c r="CV3921" s="5" t="s">
        <v>240</v>
      </c>
      <c r="CW3921" s="8">
        <f>128060</f>
        <v>128060</v>
      </c>
      <c r="CX3921" s="7">
        <f>197212</f>
        <v>197212</v>
      </c>
      <c r="CY3921" s="7">
        <f>0</f>
        <v>0</v>
      </c>
      <c r="CZ3921" s="7">
        <f>0</f>
        <v>0</v>
      </c>
      <c r="DA3921" s="7">
        <f>197212</f>
        <v>197212</v>
      </c>
      <c r="DB3921" s="7" t="s">
        <v>240</v>
      </c>
      <c r="DC3921" s="5" t="s">
        <v>240</v>
      </c>
      <c r="DD3921" s="5" t="s">
        <v>240</v>
      </c>
      <c r="DF3921" s="5" t="s">
        <v>240</v>
      </c>
      <c r="DG3921" s="7">
        <f>0</f>
        <v>0</v>
      </c>
      <c r="DH3921" s="6" t="s">
        <v>240</v>
      </c>
      <c r="DI3921" s="5" t="s">
        <v>240</v>
      </c>
      <c r="DJ3921" s="5" t="s">
        <v>240</v>
      </c>
      <c r="DK3921" s="5" t="s">
        <v>240</v>
      </c>
      <c r="DL3921" s="5" t="s">
        <v>240</v>
      </c>
      <c r="DM3921" s="5" t="s">
        <v>240</v>
      </c>
      <c r="DN3921" s="5" t="s">
        <v>240</v>
      </c>
      <c r="DO3921" s="7" t="s">
        <v>240</v>
      </c>
      <c r="DP3921" s="5" t="s">
        <v>240</v>
      </c>
      <c r="DQ3921" s="5" t="s">
        <v>248</v>
      </c>
      <c r="DR3921" s="5" t="s">
        <v>731</v>
      </c>
      <c r="DS3921" s="5" t="s">
        <v>731</v>
      </c>
      <c r="DT3921" s="5" t="s">
        <v>240</v>
      </c>
      <c r="DU3921" s="5" t="s">
        <v>240</v>
      </c>
      <c r="HR3921" s="5" t="s">
        <v>240</v>
      </c>
      <c r="HS3921" s="5" t="s">
        <v>240</v>
      </c>
      <c r="HT3921" s="5" t="s">
        <v>240</v>
      </c>
      <c r="HU3921" s="5" t="s">
        <v>240</v>
      </c>
      <c r="HV3921" s="5" t="s">
        <v>240</v>
      </c>
      <c r="HW3921" s="5" t="s">
        <v>240</v>
      </c>
      <c r="HX3921" s="5" t="s">
        <v>240</v>
      </c>
      <c r="HY3921" s="5" t="s">
        <v>240</v>
      </c>
      <c r="HZ3921" s="5" t="s">
        <v>240</v>
      </c>
      <c r="IA3921" s="5" t="s">
        <v>240</v>
      </c>
      <c r="IB3921" s="5" t="s">
        <v>240</v>
      </c>
      <c r="IC3921" s="5" t="s">
        <v>240</v>
      </c>
      <c r="ID3921" s="5" t="s">
        <v>240</v>
      </c>
      <c r="IE3921" s="5" t="s">
        <v>240</v>
      </c>
      <c r="IF3921" s="5" t="s">
        <v>240</v>
      </c>
    </row>
    <row r="3922" spans="1:240" x14ac:dyDescent="0.4">
      <c r="A3922" s="5">
        <v>9464</v>
      </c>
      <c r="B3922" s="5">
        <v>1</v>
      </c>
      <c r="C3922" s="5">
        <v>1</v>
      </c>
      <c r="D3922" s="5" t="s">
        <v>723</v>
      </c>
      <c r="E3922" s="5" t="s">
        <v>725</v>
      </c>
      <c r="F3922" s="5" t="s">
        <v>254</v>
      </c>
      <c r="G3922" s="5" t="s">
        <v>6044</v>
      </c>
      <c r="H3922" s="6" t="s">
        <v>6474</v>
      </c>
      <c r="I3922" s="5" t="s">
        <v>6473</v>
      </c>
      <c r="J3922" s="7">
        <f>1</f>
        <v>1</v>
      </c>
      <c r="K3922" s="5" t="s">
        <v>3682</v>
      </c>
      <c r="L3922" s="7">
        <f>1</f>
        <v>1</v>
      </c>
      <c r="M3922" s="7">
        <f>1</f>
        <v>1</v>
      </c>
      <c r="N3922" s="5" t="s">
        <v>242</v>
      </c>
      <c r="O3922" s="5">
        <v>1</v>
      </c>
      <c r="P3922" s="5" t="s">
        <v>294</v>
      </c>
      <c r="Q3922" s="5" t="s">
        <v>240</v>
      </c>
      <c r="T3922" s="5" t="s">
        <v>240</v>
      </c>
      <c r="U3922" s="5" t="s">
        <v>240</v>
      </c>
      <c r="V3922" s="5" t="s">
        <v>240</v>
      </c>
      <c r="Y3922" s="5" t="s">
        <v>246</v>
      </c>
      <c r="Z3922" s="6" t="s">
        <v>7091</v>
      </c>
      <c r="AA3922" s="6" t="s">
        <v>240</v>
      </c>
      <c r="AB3922" s="6" t="s">
        <v>240</v>
      </c>
      <c r="AC3922" s="5" t="s">
        <v>240</v>
      </c>
      <c r="AD3922" s="6" t="s">
        <v>240</v>
      </c>
      <c r="AE3922" s="6" t="s">
        <v>7091</v>
      </c>
      <c r="AF3922" s="5" t="s">
        <v>248</v>
      </c>
      <c r="AG3922" s="5" t="s">
        <v>240</v>
      </c>
      <c r="AM3922" s="5" t="s">
        <v>240</v>
      </c>
      <c r="AN3922" s="5" t="s">
        <v>240</v>
      </c>
      <c r="AO3922" s="5" t="s">
        <v>240</v>
      </c>
      <c r="AP3922" s="6" t="s">
        <v>240</v>
      </c>
      <c r="AQ3922" s="6" t="s">
        <v>240</v>
      </c>
      <c r="AR3922" s="6" t="s">
        <v>240</v>
      </c>
      <c r="AU3922" s="5" t="s">
        <v>729</v>
      </c>
      <c r="AV3922" s="5" t="s">
        <v>729</v>
      </c>
      <c r="AW3922" s="5" t="s">
        <v>251</v>
      </c>
      <c r="AX3922" s="5" t="s">
        <v>252</v>
      </c>
      <c r="AY3922" s="5" t="s">
        <v>253</v>
      </c>
      <c r="AZ3922" s="5" t="s">
        <v>240</v>
      </c>
      <c r="BA3922" s="5" t="s">
        <v>255</v>
      </c>
      <c r="BB3922" s="5" t="s">
        <v>731</v>
      </c>
      <c r="BD3922" s="5" t="s">
        <v>240</v>
      </c>
      <c r="BF3922" s="5" t="s">
        <v>6763</v>
      </c>
      <c r="BG3922" s="6" t="s">
        <v>6937</v>
      </c>
      <c r="BH3922" s="5" t="s">
        <v>6742</v>
      </c>
      <c r="BI3922" s="5" t="s">
        <v>6743</v>
      </c>
      <c r="BJ3922" s="5" t="s">
        <v>240</v>
      </c>
      <c r="BK3922" s="8">
        <f>0</f>
        <v>0</v>
      </c>
      <c r="BL3922" s="7">
        <f>413000</f>
        <v>413000</v>
      </c>
      <c r="BM3922" s="5" t="s">
        <v>258</v>
      </c>
      <c r="BN3922" s="5" t="s">
        <v>259</v>
      </c>
      <c r="BO3922" s="5" t="s">
        <v>6744</v>
      </c>
      <c r="BP3922" s="5" t="s">
        <v>6745</v>
      </c>
      <c r="BQ3922" s="5" t="s">
        <v>6746</v>
      </c>
      <c r="BR3922" s="5" t="s">
        <v>240</v>
      </c>
      <c r="BS3922" s="5" t="s">
        <v>258</v>
      </c>
      <c r="BT3922" s="5" t="s">
        <v>6747</v>
      </c>
      <c r="BU3922" s="5" t="s">
        <v>6747</v>
      </c>
      <c r="BW3922" s="6" t="s">
        <v>7092</v>
      </c>
      <c r="BX3922" s="5" t="s">
        <v>258</v>
      </c>
      <c r="BY3922" s="5" t="s">
        <v>240</v>
      </c>
      <c r="BZ3922" s="5" t="s">
        <v>240</v>
      </c>
      <c r="CA3922" s="5" t="s">
        <v>259</v>
      </c>
      <c r="CB3922" s="5" t="s">
        <v>240</v>
      </c>
      <c r="CC3922" s="5" t="s">
        <v>240</v>
      </c>
      <c r="CG3922" s="5" t="s">
        <v>240</v>
      </c>
      <c r="CH3922" s="5" t="s">
        <v>240</v>
      </c>
      <c r="CI3922" s="5" t="s">
        <v>260</v>
      </c>
      <c r="CK3922" s="5" t="s">
        <v>240</v>
      </c>
      <c r="CL3922" s="6" t="s">
        <v>261</v>
      </c>
      <c r="CM3922" s="5" t="s">
        <v>262</v>
      </c>
      <c r="CN3922" s="5" t="s">
        <v>293</v>
      </c>
      <c r="CO3922" s="5" t="s">
        <v>264</v>
      </c>
      <c r="CP3922" s="5" t="s">
        <v>240</v>
      </c>
      <c r="CQ3922" s="5">
        <v>0</v>
      </c>
      <c r="CR3922" s="5" t="s">
        <v>240</v>
      </c>
      <c r="CS3922" s="5" t="s">
        <v>240</v>
      </c>
      <c r="CT3922" s="5" t="s">
        <v>240</v>
      </c>
      <c r="CU3922" s="5" t="s">
        <v>260</v>
      </c>
      <c r="CV3922" s="5" t="s">
        <v>240</v>
      </c>
      <c r="CW3922" s="8">
        <f>13100</f>
        <v>13100</v>
      </c>
      <c r="CX3922" s="7">
        <f>1376548</f>
        <v>1376548</v>
      </c>
      <c r="CY3922" s="7">
        <f>0</f>
        <v>0</v>
      </c>
      <c r="CZ3922" s="7">
        <f>0</f>
        <v>0</v>
      </c>
      <c r="DA3922" s="7">
        <f>1376548</f>
        <v>1376548</v>
      </c>
      <c r="DB3922" s="7" t="s">
        <v>240</v>
      </c>
      <c r="DC3922" s="5" t="s">
        <v>240</v>
      </c>
      <c r="DD3922" s="5" t="s">
        <v>240</v>
      </c>
      <c r="DF3922" s="5" t="s">
        <v>240</v>
      </c>
      <c r="DG3922" s="7">
        <f>0</f>
        <v>0</v>
      </c>
      <c r="DH3922" s="6" t="s">
        <v>240</v>
      </c>
      <c r="DI3922" s="5" t="s">
        <v>240</v>
      </c>
      <c r="DJ3922" s="5" t="s">
        <v>240</v>
      </c>
      <c r="DK3922" s="5" t="s">
        <v>240</v>
      </c>
      <c r="DL3922" s="5" t="s">
        <v>240</v>
      </c>
      <c r="DM3922" s="5" t="s">
        <v>240</v>
      </c>
      <c r="DN3922" s="5" t="s">
        <v>240</v>
      </c>
      <c r="DO3922" s="7" t="s">
        <v>240</v>
      </c>
      <c r="DP3922" s="5" t="s">
        <v>240</v>
      </c>
      <c r="DQ3922" s="5" t="s">
        <v>248</v>
      </c>
      <c r="DR3922" s="5" t="s">
        <v>731</v>
      </c>
      <c r="DS3922" s="5" t="s">
        <v>731</v>
      </c>
      <c r="DT3922" s="5" t="s">
        <v>240</v>
      </c>
      <c r="DU3922" s="5" t="s">
        <v>240</v>
      </c>
      <c r="GN3922" s="5" t="s">
        <v>7093</v>
      </c>
      <c r="HR3922" s="5" t="s">
        <v>240</v>
      </c>
      <c r="HS3922" s="5" t="s">
        <v>240</v>
      </c>
      <c r="HT3922" s="5" t="s">
        <v>240</v>
      </c>
      <c r="HU3922" s="5" t="s">
        <v>240</v>
      </c>
      <c r="HV3922" s="5" t="s">
        <v>240</v>
      </c>
      <c r="HW3922" s="5" t="s">
        <v>240</v>
      </c>
      <c r="HX3922" s="5" t="s">
        <v>240</v>
      </c>
      <c r="HY3922" s="5" t="s">
        <v>240</v>
      </c>
      <c r="HZ3922" s="5" t="s">
        <v>240</v>
      </c>
      <c r="IA3922" s="5" t="s">
        <v>240</v>
      </c>
      <c r="IB3922" s="5" t="s">
        <v>240</v>
      </c>
      <c r="IC3922" s="5" t="s">
        <v>240</v>
      </c>
      <c r="ID3922" s="5" t="s">
        <v>240</v>
      </c>
      <c r="IE3922" s="5" t="s">
        <v>240</v>
      </c>
      <c r="IF3922" s="5" t="s">
        <v>240</v>
      </c>
    </row>
    <row r="3923" spans="1:240" x14ac:dyDescent="0.4">
      <c r="A3923" s="5">
        <v>9465</v>
      </c>
      <c r="B3923" s="5">
        <v>1</v>
      </c>
      <c r="C3923" s="5">
        <v>1</v>
      </c>
      <c r="D3923" s="5" t="s">
        <v>723</v>
      </c>
      <c r="E3923" s="5" t="s">
        <v>725</v>
      </c>
      <c r="F3923" s="5" t="s">
        <v>254</v>
      </c>
      <c r="G3923" s="5" t="s">
        <v>6044</v>
      </c>
      <c r="H3923" s="6" t="s">
        <v>6460</v>
      </c>
      <c r="I3923" s="5" t="s">
        <v>6459</v>
      </c>
      <c r="J3923" s="7">
        <f>1</f>
        <v>1</v>
      </c>
      <c r="K3923" s="5" t="s">
        <v>3682</v>
      </c>
      <c r="L3923" s="7">
        <f>1</f>
        <v>1</v>
      </c>
      <c r="M3923" s="7">
        <f>1</f>
        <v>1</v>
      </c>
      <c r="N3923" s="5" t="s">
        <v>242</v>
      </c>
      <c r="O3923" s="5">
        <v>1</v>
      </c>
      <c r="P3923" s="5" t="s">
        <v>294</v>
      </c>
      <c r="Q3923" s="5" t="s">
        <v>2097</v>
      </c>
      <c r="T3923" s="5" t="s">
        <v>296</v>
      </c>
      <c r="U3923" s="5" t="s">
        <v>244</v>
      </c>
      <c r="V3923" s="5" t="s">
        <v>240</v>
      </c>
      <c r="Y3923" s="5" t="s">
        <v>246</v>
      </c>
      <c r="Z3923" s="6" t="s">
        <v>7095</v>
      </c>
      <c r="AA3923" s="6" t="s">
        <v>240</v>
      </c>
      <c r="AB3923" s="6" t="s">
        <v>240</v>
      </c>
      <c r="AC3923" s="5" t="s">
        <v>240</v>
      </c>
      <c r="AD3923" s="6" t="s">
        <v>240</v>
      </c>
      <c r="AE3923" s="6" t="s">
        <v>7031</v>
      </c>
      <c r="AF3923" s="5" t="s">
        <v>248</v>
      </c>
      <c r="AG3923" s="5" t="s">
        <v>249</v>
      </c>
      <c r="AM3923" s="5" t="s">
        <v>240</v>
      </c>
      <c r="AN3923" s="5" t="s">
        <v>240</v>
      </c>
      <c r="AO3923" s="5" t="s">
        <v>240</v>
      </c>
      <c r="AP3923" s="6" t="s">
        <v>240</v>
      </c>
      <c r="AQ3923" s="6" t="s">
        <v>240</v>
      </c>
      <c r="AR3923" s="6" t="s">
        <v>240</v>
      </c>
      <c r="AU3923" s="5" t="s">
        <v>729</v>
      </c>
      <c r="AV3923" s="5" t="s">
        <v>729</v>
      </c>
      <c r="AW3923" s="5" t="s">
        <v>251</v>
      </c>
      <c r="AX3923" s="5" t="s">
        <v>252</v>
      </c>
      <c r="AY3923" s="5" t="s">
        <v>253</v>
      </c>
      <c r="AZ3923" s="5" t="s">
        <v>6046</v>
      </c>
      <c r="BA3923" s="5" t="s">
        <v>255</v>
      </c>
      <c r="BB3923" s="5" t="s">
        <v>731</v>
      </c>
      <c r="BD3923" s="5" t="s">
        <v>842</v>
      </c>
      <c r="BF3923" s="5" t="s">
        <v>256</v>
      </c>
      <c r="BG3923" s="6" t="s">
        <v>7097</v>
      </c>
      <c r="BH3923" s="5" t="s">
        <v>6742</v>
      </c>
      <c r="BI3923" s="5" t="s">
        <v>6743</v>
      </c>
      <c r="BJ3923" s="5" t="s">
        <v>240</v>
      </c>
      <c r="BK3923" s="8">
        <f>0</f>
        <v>0</v>
      </c>
      <c r="BL3923" s="7">
        <f>343000</f>
        <v>343000</v>
      </c>
      <c r="BM3923" s="5" t="s">
        <v>258</v>
      </c>
      <c r="BN3923" s="5" t="s">
        <v>259</v>
      </c>
      <c r="BO3923" s="5" t="s">
        <v>6744</v>
      </c>
      <c r="BP3923" s="5" t="s">
        <v>6745</v>
      </c>
      <c r="BQ3923" s="5" t="s">
        <v>6746</v>
      </c>
      <c r="BR3923" s="5" t="s">
        <v>240</v>
      </c>
      <c r="BW3923" s="6" t="s">
        <v>7098</v>
      </c>
      <c r="BX3923" s="5" t="s">
        <v>258</v>
      </c>
      <c r="BY3923" s="5" t="s">
        <v>240</v>
      </c>
      <c r="BZ3923" s="5" t="s">
        <v>240</v>
      </c>
      <c r="CA3923" s="5" t="s">
        <v>259</v>
      </c>
      <c r="CB3923" s="5" t="s">
        <v>240</v>
      </c>
      <c r="CC3923" s="5" t="s">
        <v>240</v>
      </c>
      <c r="CG3923" s="5" t="s">
        <v>240</v>
      </c>
      <c r="CH3923" s="5" t="s">
        <v>240</v>
      </c>
      <c r="CI3923" s="5" t="s">
        <v>260</v>
      </c>
      <c r="CK3923" s="5" t="s">
        <v>240</v>
      </c>
      <c r="CL3923" s="6" t="s">
        <v>261</v>
      </c>
      <c r="CM3923" s="5" t="s">
        <v>262</v>
      </c>
      <c r="CN3923" s="5" t="s">
        <v>263</v>
      </c>
      <c r="CO3923" s="5" t="s">
        <v>264</v>
      </c>
      <c r="CP3923" s="5" t="s">
        <v>240</v>
      </c>
      <c r="CQ3923" s="5">
        <v>0</v>
      </c>
      <c r="CR3923" s="5" t="s">
        <v>735</v>
      </c>
      <c r="CS3923" s="5" t="s">
        <v>307</v>
      </c>
      <c r="CT3923" s="5" t="s">
        <v>307</v>
      </c>
      <c r="CU3923" s="5" t="s">
        <v>260</v>
      </c>
      <c r="CV3923" s="5" t="s">
        <v>240</v>
      </c>
      <c r="CW3923" s="8">
        <f>13500</f>
        <v>13500</v>
      </c>
      <c r="CX3923" s="7">
        <f>1141020</f>
        <v>1141020</v>
      </c>
      <c r="CY3923" s="7">
        <f>0</f>
        <v>0</v>
      </c>
      <c r="CZ3923" s="7">
        <f>0</f>
        <v>0</v>
      </c>
      <c r="DA3923" s="7">
        <f>1141020</f>
        <v>1141020</v>
      </c>
      <c r="DB3923" s="7" t="s">
        <v>240</v>
      </c>
      <c r="DC3923" s="5" t="s">
        <v>240</v>
      </c>
      <c r="DD3923" s="5" t="s">
        <v>240</v>
      </c>
      <c r="DF3923" s="5" t="s">
        <v>240</v>
      </c>
      <c r="DG3923" s="7">
        <f>0</f>
        <v>0</v>
      </c>
      <c r="DH3923" s="6" t="s">
        <v>240</v>
      </c>
      <c r="DI3923" s="5" t="s">
        <v>240</v>
      </c>
      <c r="DJ3923" s="5" t="s">
        <v>240</v>
      </c>
      <c r="DK3923" s="5" t="s">
        <v>240</v>
      </c>
      <c r="DL3923" s="5" t="s">
        <v>240</v>
      </c>
      <c r="DM3923" s="5" t="s">
        <v>240</v>
      </c>
      <c r="DN3923" s="5" t="s">
        <v>240</v>
      </c>
      <c r="DO3923" s="7" t="s">
        <v>240</v>
      </c>
      <c r="DP3923" s="5" t="s">
        <v>240</v>
      </c>
      <c r="DQ3923" s="5" t="s">
        <v>248</v>
      </c>
      <c r="DR3923" s="5" t="s">
        <v>731</v>
      </c>
      <c r="DS3923" s="5" t="s">
        <v>731</v>
      </c>
      <c r="DT3923" s="5" t="s">
        <v>240</v>
      </c>
      <c r="DU3923" s="5" t="s">
        <v>240</v>
      </c>
      <c r="HR3923" s="5" t="s">
        <v>240</v>
      </c>
      <c r="HS3923" s="5" t="s">
        <v>240</v>
      </c>
      <c r="HT3923" s="5" t="s">
        <v>240</v>
      </c>
      <c r="HU3923" s="5" t="s">
        <v>240</v>
      </c>
      <c r="HV3923" s="5" t="s">
        <v>240</v>
      </c>
      <c r="HW3923" s="5" t="s">
        <v>240</v>
      </c>
      <c r="HX3923" s="5" t="s">
        <v>240</v>
      </c>
      <c r="HY3923" s="5" t="s">
        <v>240</v>
      </c>
      <c r="HZ3923" s="5" t="s">
        <v>240</v>
      </c>
      <c r="IA3923" s="5" t="s">
        <v>240</v>
      </c>
      <c r="IB3923" s="5" t="s">
        <v>240</v>
      </c>
      <c r="IC3923" s="5" t="s">
        <v>240</v>
      </c>
      <c r="ID3923" s="5" t="s">
        <v>240</v>
      </c>
      <c r="IE3923" s="5" t="s">
        <v>240</v>
      </c>
      <c r="IF3923" s="5" t="s">
        <v>240</v>
      </c>
    </row>
    <row r="3924" spans="1:240" x14ac:dyDescent="0.4">
      <c r="A3924" s="5">
        <v>9466</v>
      </c>
      <c r="B3924" s="5">
        <v>1</v>
      </c>
      <c r="C3924" s="5">
        <v>1</v>
      </c>
      <c r="D3924" s="5" t="s">
        <v>723</v>
      </c>
      <c r="E3924" s="5" t="s">
        <v>725</v>
      </c>
      <c r="F3924" s="5" t="s">
        <v>254</v>
      </c>
      <c r="G3924" s="5" t="s">
        <v>6457</v>
      </c>
      <c r="H3924" s="6" t="s">
        <v>6458</v>
      </c>
      <c r="I3924" s="5" t="s">
        <v>6456</v>
      </c>
      <c r="J3924" s="7">
        <f>1</f>
        <v>1</v>
      </c>
      <c r="K3924" s="5" t="s">
        <v>3682</v>
      </c>
      <c r="L3924" s="7">
        <f>1</f>
        <v>1</v>
      </c>
      <c r="M3924" s="7">
        <f>1</f>
        <v>1</v>
      </c>
      <c r="N3924" s="5" t="s">
        <v>242</v>
      </c>
      <c r="O3924" s="5">
        <v>1</v>
      </c>
      <c r="P3924" s="5" t="s">
        <v>294</v>
      </c>
      <c r="Q3924" s="5" t="s">
        <v>2097</v>
      </c>
      <c r="T3924" s="5" t="s">
        <v>296</v>
      </c>
      <c r="U3924" s="5" t="s">
        <v>244</v>
      </c>
      <c r="V3924" s="5" t="s">
        <v>240</v>
      </c>
      <c r="Y3924" s="5" t="s">
        <v>246</v>
      </c>
      <c r="Z3924" s="6" t="s">
        <v>7100</v>
      </c>
      <c r="AA3924" s="6" t="s">
        <v>240</v>
      </c>
      <c r="AB3924" s="6" t="s">
        <v>240</v>
      </c>
      <c r="AC3924" s="5" t="s">
        <v>240</v>
      </c>
      <c r="AD3924" s="6" t="s">
        <v>240</v>
      </c>
      <c r="AE3924" s="6" t="s">
        <v>7031</v>
      </c>
      <c r="AF3924" s="5" t="s">
        <v>248</v>
      </c>
      <c r="AG3924" s="5" t="s">
        <v>249</v>
      </c>
      <c r="AM3924" s="5" t="s">
        <v>240</v>
      </c>
      <c r="AN3924" s="5" t="s">
        <v>240</v>
      </c>
      <c r="AO3924" s="5" t="s">
        <v>240</v>
      </c>
      <c r="AP3924" s="6" t="s">
        <v>240</v>
      </c>
      <c r="AQ3924" s="6" t="s">
        <v>240</v>
      </c>
      <c r="AR3924" s="6" t="s">
        <v>240</v>
      </c>
      <c r="AU3924" s="5" t="s">
        <v>729</v>
      </c>
      <c r="AV3924" s="5" t="s">
        <v>729</v>
      </c>
      <c r="AW3924" s="5" t="s">
        <v>251</v>
      </c>
      <c r="AX3924" s="5" t="s">
        <v>252</v>
      </c>
      <c r="AY3924" s="5" t="s">
        <v>253</v>
      </c>
      <c r="AZ3924" s="5" t="s">
        <v>6046</v>
      </c>
      <c r="BA3924" s="5" t="s">
        <v>255</v>
      </c>
      <c r="BB3924" s="5" t="s">
        <v>731</v>
      </c>
      <c r="BD3924" s="5" t="s">
        <v>842</v>
      </c>
      <c r="BF3924" s="5" t="s">
        <v>256</v>
      </c>
      <c r="BG3924" s="6" t="s">
        <v>7102</v>
      </c>
      <c r="BH3924" s="5" t="s">
        <v>6742</v>
      </c>
      <c r="BI3924" s="5" t="s">
        <v>6743</v>
      </c>
      <c r="BJ3924" s="5" t="s">
        <v>240</v>
      </c>
      <c r="BK3924" s="8">
        <f>0</f>
        <v>0</v>
      </c>
      <c r="BL3924" s="7">
        <f>217190</f>
        <v>217190</v>
      </c>
      <c r="BM3924" s="5" t="s">
        <v>258</v>
      </c>
      <c r="BN3924" s="5" t="s">
        <v>259</v>
      </c>
      <c r="BO3924" s="5" t="s">
        <v>6744</v>
      </c>
      <c r="BP3924" s="5" t="s">
        <v>6745</v>
      </c>
      <c r="BQ3924" s="5" t="s">
        <v>6746</v>
      </c>
      <c r="BR3924" s="5" t="s">
        <v>240</v>
      </c>
      <c r="BW3924" s="6" t="s">
        <v>7103</v>
      </c>
      <c r="BX3924" s="5" t="s">
        <v>258</v>
      </c>
      <c r="BY3924" s="5" t="s">
        <v>240</v>
      </c>
      <c r="BZ3924" s="5" t="s">
        <v>240</v>
      </c>
      <c r="CA3924" s="5" t="s">
        <v>259</v>
      </c>
      <c r="CB3924" s="5" t="s">
        <v>240</v>
      </c>
      <c r="CC3924" s="5" t="s">
        <v>240</v>
      </c>
      <c r="CG3924" s="5" t="s">
        <v>240</v>
      </c>
      <c r="CH3924" s="5" t="s">
        <v>240</v>
      </c>
      <c r="CI3924" s="5" t="s">
        <v>260</v>
      </c>
      <c r="CK3924" s="5" t="s">
        <v>240</v>
      </c>
      <c r="CL3924" s="6" t="s">
        <v>261</v>
      </c>
      <c r="CM3924" s="5" t="s">
        <v>262</v>
      </c>
      <c r="CN3924" s="5" t="s">
        <v>263</v>
      </c>
      <c r="CO3924" s="5" t="s">
        <v>264</v>
      </c>
      <c r="CP3924" s="5" t="s">
        <v>240</v>
      </c>
      <c r="CQ3924" s="5">
        <v>0</v>
      </c>
      <c r="CR3924" s="5" t="s">
        <v>735</v>
      </c>
      <c r="CS3924" s="5" t="s">
        <v>307</v>
      </c>
      <c r="CT3924" s="5" t="s">
        <v>307</v>
      </c>
      <c r="CU3924" s="5" t="s">
        <v>260</v>
      </c>
      <c r="CV3924" s="5" t="s">
        <v>240</v>
      </c>
      <c r="CW3924" s="8">
        <f>370</f>
        <v>370</v>
      </c>
      <c r="CX3924" s="7">
        <f>683760</f>
        <v>683760</v>
      </c>
      <c r="CY3924" s="7">
        <f>0</f>
        <v>0</v>
      </c>
      <c r="CZ3924" s="7">
        <f>0</f>
        <v>0</v>
      </c>
      <c r="DA3924" s="7">
        <f>683760</f>
        <v>683760</v>
      </c>
      <c r="DB3924" s="7" t="s">
        <v>240</v>
      </c>
      <c r="DC3924" s="5" t="s">
        <v>240</v>
      </c>
      <c r="DD3924" s="5" t="s">
        <v>240</v>
      </c>
      <c r="DF3924" s="5" t="s">
        <v>240</v>
      </c>
      <c r="DG3924" s="7">
        <f>0</f>
        <v>0</v>
      </c>
      <c r="DH3924" s="6" t="s">
        <v>240</v>
      </c>
      <c r="DI3924" s="5" t="s">
        <v>240</v>
      </c>
      <c r="DJ3924" s="5" t="s">
        <v>240</v>
      </c>
      <c r="DK3924" s="5" t="s">
        <v>240</v>
      </c>
      <c r="DL3924" s="5" t="s">
        <v>240</v>
      </c>
      <c r="DM3924" s="5" t="s">
        <v>240</v>
      </c>
      <c r="DN3924" s="5" t="s">
        <v>240</v>
      </c>
      <c r="DO3924" s="7" t="s">
        <v>240</v>
      </c>
      <c r="DP3924" s="5" t="s">
        <v>240</v>
      </c>
      <c r="DQ3924" s="5" t="s">
        <v>248</v>
      </c>
      <c r="DR3924" s="5" t="s">
        <v>731</v>
      </c>
      <c r="DS3924" s="5" t="s">
        <v>731</v>
      </c>
      <c r="DT3924" s="5" t="s">
        <v>240</v>
      </c>
      <c r="DU3924" s="5" t="s">
        <v>240</v>
      </c>
      <c r="HR3924" s="5" t="s">
        <v>240</v>
      </c>
      <c r="HS3924" s="5" t="s">
        <v>240</v>
      </c>
      <c r="HT3924" s="5" t="s">
        <v>240</v>
      </c>
      <c r="HU3924" s="5" t="s">
        <v>240</v>
      </c>
      <c r="HV3924" s="5" t="s">
        <v>240</v>
      </c>
      <c r="HW3924" s="5" t="s">
        <v>240</v>
      </c>
      <c r="HX3924" s="5" t="s">
        <v>240</v>
      </c>
      <c r="HY3924" s="5" t="s">
        <v>240</v>
      </c>
      <c r="HZ3924" s="5" t="s">
        <v>240</v>
      </c>
      <c r="IA3924" s="5" t="s">
        <v>240</v>
      </c>
      <c r="IB3924" s="5" t="s">
        <v>240</v>
      </c>
      <c r="IC3924" s="5" t="s">
        <v>240</v>
      </c>
      <c r="ID3924" s="5" t="s">
        <v>240</v>
      </c>
      <c r="IE3924" s="5" t="s">
        <v>240</v>
      </c>
      <c r="IF3924" s="5" t="s">
        <v>240</v>
      </c>
    </row>
    <row r="3925" spans="1:240" x14ac:dyDescent="0.4">
      <c r="A3925" s="5">
        <v>9467</v>
      </c>
      <c r="B3925" s="5">
        <v>1</v>
      </c>
      <c r="C3925" s="5">
        <v>1</v>
      </c>
      <c r="D3925" s="5" t="s">
        <v>723</v>
      </c>
      <c r="E3925" s="5" t="s">
        <v>725</v>
      </c>
      <c r="F3925" s="5" t="s">
        <v>254</v>
      </c>
      <c r="G3925" s="5" t="s">
        <v>6044</v>
      </c>
      <c r="H3925" s="6" t="s">
        <v>6485</v>
      </c>
      <c r="I3925" s="5" t="s">
        <v>6484</v>
      </c>
      <c r="J3925" s="7">
        <f>1</f>
        <v>1</v>
      </c>
      <c r="K3925" s="5" t="s">
        <v>3682</v>
      </c>
      <c r="L3925" s="7">
        <f>1</f>
        <v>1</v>
      </c>
      <c r="M3925" s="7">
        <f>1</f>
        <v>1</v>
      </c>
      <c r="N3925" s="5" t="s">
        <v>242</v>
      </c>
      <c r="O3925" s="5">
        <v>1</v>
      </c>
      <c r="P3925" s="5" t="s">
        <v>294</v>
      </c>
      <c r="Q3925" s="5" t="s">
        <v>240</v>
      </c>
      <c r="T3925" s="5" t="s">
        <v>240</v>
      </c>
      <c r="U3925" s="5" t="s">
        <v>240</v>
      </c>
      <c r="V3925" s="5" t="s">
        <v>240</v>
      </c>
      <c r="Y3925" s="5" t="s">
        <v>240</v>
      </c>
      <c r="Z3925" s="6" t="s">
        <v>6893</v>
      </c>
      <c r="AA3925" s="6" t="s">
        <v>240</v>
      </c>
      <c r="AB3925" s="6" t="s">
        <v>240</v>
      </c>
      <c r="AC3925" s="5" t="s">
        <v>240</v>
      </c>
      <c r="AD3925" s="6" t="s">
        <v>240</v>
      </c>
      <c r="AE3925" s="6" t="s">
        <v>240</v>
      </c>
      <c r="AF3925" s="5" t="s">
        <v>248</v>
      </c>
      <c r="AG3925" s="5" t="s">
        <v>240</v>
      </c>
      <c r="AM3925" s="5" t="s">
        <v>240</v>
      </c>
      <c r="AN3925" s="5" t="s">
        <v>240</v>
      </c>
      <c r="AO3925" s="5" t="s">
        <v>240</v>
      </c>
      <c r="AP3925" s="6" t="s">
        <v>240</v>
      </c>
      <c r="AQ3925" s="6" t="s">
        <v>240</v>
      </c>
      <c r="AR3925" s="6" t="s">
        <v>240</v>
      </c>
      <c r="AT3925" s="5" t="s">
        <v>6911</v>
      </c>
      <c r="AU3925" s="5" t="s">
        <v>240</v>
      </c>
      <c r="AV3925" s="5" t="s">
        <v>240</v>
      </c>
      <c r="AW3925" s="5" t="s">
        <v>251</v>
      </c>
      <c r="AX3925" s="5" t="s">
        <v>252</v>
      </c>
      <c r="AY3925" s="5" t="s">
        <v>253</v>
      </c>
      <c r="AZ3925" s="5" t="s">
        <v>240</v>
      </c>
      <c r="BA3925" s="5" t="s">
        <v>6895</v>
      </c>
      <c r="BB3925" s="5" t="s">
        <v>731</v>
      </c>
      <c r="BD3925" s="5" t="s">
        <v>240</v>
      </c>
      <c r="BF3925" s="5" t="s">
        <v>6763</v>
      </c>
      <c r="BG3925" s="6" t="s">
        <v>6893</v>
      </c>
      <c r="BH3925" s="5" t="s">
        <v>734</v>
      </c>
      <c r="BI3925" s="5" t="s">
        <v>734</v>
      </c>
      <c r="BJ3925" s="5" t="s">
        <v>240</v>
      </c>
      <c r="BK3925" s="7">
        <f>0</f>
        <v>0</v>
      </c>
      <c r="BL3925" s="7">
        <f>7891459</f>
        <v>7891459</v>
      </c>
      <c r="BM3925" s="5" t="s">
        <v>258</v>
      </c>
      <c r="BN3925" s="5" t="s">
        <v>259</v>
      </c>
      <c r="BO3925" s="5" t="s">
        <v>240</v>
      </c>
      <c r="BP3925" s="5" t="s">
        <v>240</v>
      </c>
      <c r="BQ3925" s="5" t="s">
        <v>240</v>
      </c>
      <c r="BR3925" s="5" t="s">
        <v>240</v>
      </c>
      <c r="BW3925" s="6" t="s">
        <v>240</v>
      </c>
      <c r="BX3925" s="5" t="s">
        <v>240</v>
      </c>
      <c r="BY3925" s="5" t="s">
        <v>240</v>
      </c>
      <c r="BZ3925" s="5" t="s">
        <v>240</v>
      </c>
      <c r="CA3925" s="5" t="s">
        <v>259</v>
      </c>
      <c r="CB3925" s="5" t="s">
        <v>240</v>
      </c>
      <c r="CC3925" s="5" t="s">
        <v>240</v>
      </c>
      <c r="CG3925" s="5" t="s">
        <v>240</v>
      </c>
      <c r="CH3925" s="5" t="s">
        <v>240</v>
      </c>
      <c r="CI3925" s="5" t="s">
        <v>260</v>
      </c>
      <c r="CK3925" s="5" t="s">
        <v>240</v>
      </c>
      <c r="CL3925" s="6" t="s">
        <v>261</v>
      </c>
      <c r="CM3925" s="5" t="s">
        <v>262</v>
      </c>
      <c r="CN3925" s="5" t="s">
        <v>293</v>
      </c>
      <c r="CO3925" s="5" t="s">
        <v>264</v>
      </c>
      <c r="CP3925" s="5" t="s">
        <v>240</v>
      </c>
      <c r="CQ3925" s="5">
        <v>0</v>
      </c>
      <c r="CR3925" s="5" t="s">
        <v>240</v>
      </c>
      <c r="CS3925" s="5" t="s">
        <v>240</v>
      </c>
      <c r="CT3925" s="5" t="s">
        <v>240</v>
      </c>
      <c r="CU3925" s="5" t="s">
        <v>260</v>
      </c>
      <c r="CV3925" s="5" t="s">
        <v>240</v>
      </c>
      <c r="CW3925" s="8">
        <f>0</f>
        <v>0</v>
      </c>
      <c r="CX3925" s="7">
        <f>7891459</f>
        <v>7891459</v>
      </c>
      <c r="CY3925" s="7">
        <f>0</f>
        <v>0</v>
      </c>
      <c r="CZ3925" s="7">
        <f>0</f>
        <v>0</v>
      </c>
      <c r="DA3925" s="7">
        <f>7891459</f>
        <v>7891459</v>
      </c>
      <c r="DB3925" s="7" t="s">
        <v>240</v>
      </c>
      <c r="DC3925" s="5" t="s">
        <v>240</v>
      </c>
      <c r="DD3925" s="5" t="s">
        <v>240</v>
      </c>
      <c r="DF3925" s="5" t="s">
        <v>240</v>
      </c>
      <c r="DG3925" s="7">
        <f>0</f>
        <v>0</v>
      </c>
      <c r="DH3925" s="6" t="s">
        <v>240</v>
      </c>
      <c r="DI3925" s="5" t="s">
        <v>240</v>
      </c>
      <c r="DJ3925" s="5" t="s">
        <v>240</v>
      </c>
      <c r="DK3925" s="5" t="s">
        <v>240</v>
      </c>
      <c r="DL3925" s="5" t="s">
        <v>240</v>
      </c>
      <c r="DM3925" s="5" t="s">
        <v>240</v>
      </c>
      <c r="DN3925" s="5" t="s">
        <v>240</v>
      </c>
      <c r="DO3925" s="7" t="s">
        <v>240</v>
      </c>
      <c r="DP3925" s="5" t="s">
        <v>240</v>
      </c>
      <c r="DQ3925" s="5" t="s">
        <v>248</v>
      </c>
      <c r="DR3925" s="5" t="s">
        <v>731</v>
      </c>
      <c r="DS3925" s="5" t="s">
        <v>731</v>
      </c>
      <c r="DT3925" s="5" t="s">
        <v>240</v>
      </c>
      <c r="DU3925" s="5" t="s">
        <v>240</v>
      </c>
      <c r="GN3925" s="5" t="s">
        <v>7104</v>
      </c>
      <c r="HR3925" s="5" t="s">
        <v>240</v>
      </c>
      <c r="HS3925" s="5" t="s">
        <v>240</v>
      </c>
      <c r="HT3925" s="5" t="s">
        <v>240</v>
      </c>
      <c r="HU3925" s="5" t="s">
        <v>240</v>
      </c>
      <c r="HV3925" s="5" t="s">
        <v>240</v>
      </c>
      <c r="HW3925" s="5" t="s">
        <v>240</v>
      </c>
      <c r="HX3925" s="5" t="s">
        <v>240</v>
      </c>
      <c r="HY3925" s="5" t="s">
        <v>240</v>
      </c>
      <c r="HZ3925" s="5" t="s">
        <v>240</v>
      </c>
      <c r="IA3925" s="5" t="s">
        <v>240</v>
      </c>
      <c r="IB3925" s="5" t="s">
        <v>240</v>
      </c>
      <c r="IC3925" s="5" t="s">
        <v>240</v>
      </c>
      <c r="ID3925" s="5" t="s">
        <v>240</v>
      </c>
      <c r="IE3925" s="5" t="s">
        <v>240</v>
      </c>
      <c r="IF3925" s="5" t="s">
        <v>240</v>
      </c>
    </row>
    <row r="3926" spans="1:240" x14ac:dyDescent="0.4">
      <c r="A3926" s="5">
        <v>9468</v>
      </c>
      <c r="B3926" s="5">
        <v>1</v>
      </c>
      <c r="C3926" s="5">
        <v>1</v>
      </c>
      <c r="D3926" s="5" t="s">
        <v>723</v>
      </c>
      <c r="E3926" s="5" t="s">
        <v>725</v>
      </c>
      <c r="F3926" s="5" t="s">
        <v>254</v>
      </c>
      <c r="G3926" s="5" t="s">
        <v>6044</v>
      </c>
      <c r="H3926" s="6" t="s">
        <v>6454</v>
      </c>
      <c r="I3926" s="5" t="s">
        <v>6453</v>
      </c>
      <c r="J3926" s="7">
        <f>1</f>
        <v>1</v>
      </c>
      <c r="K3926" s="5" t="s">
        <v>3682</v>
      </c>
      <c r="L3926" s="7">
        <f>1</f>
        <v>1</v>
      </c>
      <c r="M3926" s="7">
        <f>1</f>
        <v>1</v>
      </c>
      <c r="N3926" s="5" t="s">
        <v>242</v>
      </c>
      <c r="O3926" s="5">
        <v>1</v>
      </c>
      <c r="P3926" s="5" t="s">
        <v>294</v>
      </c>
      <c r="Q3926" s="5" t="s">
        <v>240</v>
      </c>
      <c r="T3926" s="5" t="s">
        <v>296</v>
      </c>
      <c r="U3926" s="5" t="s">
        <v>244</v>
      </c>
      <c r="V3926" s="5" t="s">
        <v>240</v>
      </c>
      <c r="Y3926" s="5" t="s">
        <v>240</v>
      </c>
      <c r="Z3926" s="6" t="s">
        <v>7106</v>
      </c>
      <c r="AA3926" s="6" t="s">
        <v>240</v>
      </c>
      <c r="AB3926" s="6" t="s">
        <v>240</v>
      </c>
      <c r="AC3926" s="5" t="s">
        <v>240</v>
      </c>
      <c r="AD3926" s="6" t="s">
        <v>240</v>
      </c>
      <c r="AE3926" s="6" t="s">
        <v>240</v>
      </c>
      <c r="AF3926" s="5" t="s">
        <v>248</v>
      </c>
      <c r="AG3926" s="5" t="s">
        <v>249</v>
      </c>
      <c r="AM3926" s="5" t="s">
        <v>240</v>
      </c>
      <c r="AN3926" s="5" t="s">
        <v>240</v>
      </c>
      <c r="AO3926" s="5" t="s">
        <v>240</v>
      </c>
      <c r="AP3926" s="6" t="s">
        <v>240</v>
      </c>
      <c r="AQ3926" s="6" t="s">
        <v>240</v>
      </c>
      <c r="AR3926" s="6" t="s">
        <v>240</v>
      </c>
      <c r="AU3926" s="5" t="s">
        <v>729</v>
      </c>
      <c r="AV3926" s="5" t="s">
        <v>729</v>
      </c>
      <c r="AW3926" s="5" t="s">
        <v>251</v>
      </c>
      <c r="AX3926" s="5" t="s">
        <v>252</v>
      </c>
      <c r="AY3926" s="5" t="s">
        <v>253</v>
      </c>
      <c r="AZ3926" s="5" t="s">
        <v>6046</v>
      </c>
      <c r="BA3926" s="5" t="s">
        <v>255</v>
      </c>
      <c r="BB3926" s="5" t="s">
        <v>731</v>
      </c>
      <c r="BD3926" s="5" t="s">
        <v>842</v>
      </c>
      <c r="BF3926" s="5" t="s">
        <v>256</v>
      </c>
      <c r="BG3926" s="6" t="s">
        <v>7106</v>
      </c>
      <c r="BH3926" s="5" t="s">
        <v>6799</v>
      </c>
      <c r="BI3926" s="5" t="s">
        <v>6799</v>
      </c>
      <c r="BJ3926" s="5" t="s">
        <v>240</v>
      </c>
      <c r="BK3926" s="8">
        <f>2.76</f>
        <v>2.76</v>
      </c>
      <c r="BL3926" s="7">
        <f>1</f>
        <v>1</v>
      </c>
      <c r="BM3926" s="5" t="s">
        <v>258</v>
      </c>
      <c r="BN3926" s="5" t="s">
        <v>259</v>
      </c>
      <c r="BO3926" s="5" t="s">
        <v>240</v>
      </c>
      <c r="BP3926" s="5" t="s">
        <v>240</v>
      </c>
      <c r="BQ3926" s="5" t="s">
        <v>240</v>
      </c>
      <c r="BR3926" s="5" t="s">
        <v>240</v>
      </c>
      <c r="BW3926" s="6" t="s">
        <v>240</v>
      </c>
      <c r="BX3926" s="5" t="s">
        <v>240</v>
      </c>
      <c r="BY3926" s="5" t="s">
        <v>240</v>
      </c>
      <c r="BZ3926" s="5" t="s">
        <v>240</v>
      </c>
      <c r="CA3926" s="5" t="s">
        <v>259</v>
      </c>
      <c r="CB3926" s="5" t="s">
        <v>240</v>
      </c>
      <c r="CC3926" s="5" t="s">
        <v>240</v>
      </c>
      <c r="CG3926" s="5" t="s">
        <v>240</v>
      </c>
      <c r="CH3926" s="5" t="s">
        <v>240</v>
      </c>
      <c r="CI3926" s="5" t="s">
        <v>260</v>
      </c>
      <c r="CK3926" s="5" t="s">
        <v>240</v>
      </c>
      <c r="CL3926" s="6" t="s">
        <v>261</v>
      </c>
      <c r="CM3926" s="5" t="s">
        <v>262</v>
      </c>
      <c r="CN3926" s="5" t="s">
        <v>263</v>
      </c>
      <c r="CO3926" s="5" t="s">
        <v>264</v>
      </c>
      <c r="CP3926" s="5" t="s">
        <v>240</v>
      </c>
      <c r="CQ3926" s="5">
        <v>0</v>
      </c>
      <c r="CR3926" s="5" t="s">
        <v>735</v>
      </c>
      <c r="CS3926" s="5" t="s">
        <v>307</v>
      </c>
      <c r="CT3926" s="5" t="s">
        <v>307</v>
      </c>
      <c r="CU3926" s="5" t="s">
        <v>260</v>
      </c>
      <c r="CV3926" s="5" t="s">
        <v>240</v>
      </c>
      <c r="CW3926" s="8">
        <f>0</f>
        <v>0</v>
      </c>
      <c r="CX3926" s="7">
        <f>1</f>
        <v>1</v>
      </c>
      <c r="CY3926" s="7">
        <f>0</f>
        <v>0</v>
      </c>
      <c r="CZ3926" s="7">
        <f>0</f>
        <v>0</v>
      </c>
      <c r="DA3926" s="7">
        <f>1</f>
        <v>1</v>
      </c>
      <c r="DB3926" s="7" t="s">
        <v>240</v>
      </c>
      <c r="DC3926" s="5" t="s">
        <v>240</v>
      </c>
      <c r="DD3926" s="5" t="s">
        <v>240</v>
      </c>
      <c r="DF3926" s="5" t="s">
        <v>240</v>
      </c>
      <c r="DG3926" s="7">
        <f>0</f>
        <v>0</v>
      </c>
      <c r="DH3926" s="6" t="s">
        <v>240</v>
      </c>
      <c r="DI3926" s="5" t="s">
        <v>240</v>
      </c>
      <c r="DJ3926" s="5" t="s">
        <v>240</v>
      </c>
      <c r="DK3926" s="5" t="s">
        <v>240</v>
      </c>
      <c r="DL3926" s="5" t="s">
        <v>240</v>
      </c>
      <c r="DM3926" s="5" t="s">
        <v>240</v>
      </c>
      <c r="DN3926" s="5" t="s">
        <v>240</v>
      </c>
      <c r="DO3926" s="7" t="s">
        <v>240</v>
      </c>
      <c r="DP3926" s="5" t="s">
        <v>240</v>
      </c>
      <c r="DQ3926" s="5" t="s">
        <v>248</v>
      </c>
      <c r="DR3926" s="5" t="s">
        <v>731</v>
      </c>
      <c r="DS3926" s="5" t="s">
        <v>731</v>
      </c>
      <c r="DT3926" s="5" t="s">
        <v>240</v>
      </c>
      <c r="DU3926" s="5" t="s">
        <v>240</v>
      </c>
      <c r="HR3926" s="5" t="s">
        <v>240</v>
      </c>
      <c r="HS3926" s="5" t="s">
        <v>240</v>
      </c>
      <c r="HT3926" s="5" t="s">
        <v>240</v>
      </c>
      <c r="HU3926" s="5" t="s">
        <v>240</v>
      </c>
      <c r="HV3926" s="5" t="s">
        <v>240</v>
      </c>
      <c r="HW3926" s="5" t="s">
        <v>240</v>
      </c>
      <c r="HX3926" s="5" t="s">
        <v>240</v>
      </c>
      <c r="HY3926" s="5" t="s">
        <v>240</v>
      </c>
      <c r="HZ3926" s="5" t="s">
        <v>240</v>
      </c>
      <c r="IA3926" s="5" t="s">
        <v>240</v>
      </c>
      <c r="IB3926" s="5" t="s">
        <v>240</v>
      </c>
      <c r="IC3926" s="5" t="s">
        <v>240</v>
      </c>
      <c r="ID3926" s="5" t="s">
        <v>240</v>
      </c>
      <c r="IE3926" s="5" t="s">
        <v>240</v>
      </c>
      <c r="IF3926" s="5" t="s">
        <v>240</v>
      </c>
    </row>
    <row r="3927" spans="1:240" x14ac:dyDescent="0.4">
      <c r="A3927" s="5">
        <v>9469</v>
      </c>
      <c r="B3927" s="5">
        <v>1</v>
      </c>
      <c r="C3927" s="5">
        <v>1</v>
      </c>
      <c r="D3927" s="5" t="s">
        <v>723</v>
      </c>
      <c r="E3927" s="5" t="s">
        <v>725</v>
      </c>
      <c r="F3927" s="5" t="s">
        <v>254</v>
      </c>
      <c r="G3927" s="5" t="s">
        <v>6044</v>
      </c>
      <c r="H3927" s="6" t="s">
        <v>6452</v>
      </c>
      <c r="I3927" s="5" t="s">
        <v>6451</v>
      </c>
      <c r="J3927" s="7">
        <f>1</f>
        <v>1</v>
      </c>
      <c r="K3927" s="5" t="s">
        <v>3682</v>
      </c>
      <c r="L3927" s="7">
        <f>1</f>
        <v>1</v>
      </c>
      <c r="M3927" s="7">
        <f>1</f>
        <v>1</v>
      </c>
      <c r="N3927" s="5" t="s">
        <v>242</v>
      </c>
      <c r="O3927" s="5">
        <v>1</v>
      </c>
      <c r="P3927" s="5" t="s">
        <v>294</v>
      </c>
      <c r="Q3927" s="5" t="s">
        <v>240</v>
      </c>
      <c r="T3927" s="5" t="s">
        <v>296</v>
      </c>
      <c r="U3927" s="5" t="s">
        <v>244</v>
      </c>
      <c r="V3927" s="5" t="s">
        <v>240</v>
      </c>
      <c r="Y3927" s="5" t="s">
        <v>240</v>
      </c>
      <c r="Z3927" s="6" t="s">
        <v>6818</v>
      </c>
      <c r="AA3927" s="6" t="s">
        <v>240</v>
      </c>
      <c r="AB3927" s="6" t="s">
        <v>240</v>
      </c>
      <c r="AC3927" s="5" t="s">
        <v>240</v>
      </c>
      <c r="AD3927" s="6" t="s">
        <v>240</v>
      </c>
      <c r="AE3927" s="6" t="s">
        <v>240</v>
      </c>
      <c r="AF3927" s="5" t="s">
        <v>248</v>
      </c>
      <c r="AG3927" s="5" t="s">
        <v>249</v>
      </c>
      <c r="AM3927" s="5" t="s">
        <v>240</v>
      </c>
      <c r="AN3927" s="5" t="s">
        <v>240</v>
      </c>
      <c r="AO3927" s="5" t="s">
        <v>240</v>
      </c>
      <c r="AP3927" s="6" t="s">
        <v>240</v>
      </c>
      <c r="AQ3927" s="6" t="s">
        <v>240</v>
      </c>
      <c r="AR3927" s="6" t="s">
        <v>240</v>
      </c>
      <c r="AU3927" s="5" t="s">
        <v>729</v>
      </c>
      <c r="AV3927" s="5" t="s">
        <v>729</v>
      </c>
      <c r="AW3927" s="5" t="s">
        <v>251</v>
      </c>
      <c r="AX3927" s="5" t="s">
        <v>252</v>
      </c>
      <c r="AY3927" s="5" t="s">
        <v>253</v>
      </c>
      <c r="AZ3927" s="5" t="s">
        <v>6046</v>
      </c>
      <c r="BA3927" s="5" t="s">
        <v>255</v>
      </c>
      <c r="BB3927" s="5" t="s">
        <v>731</v>
      </c>
      <c r="BD3927" s="5" t="s">
        <v>842</v>
      </c>
      <c r="BF3927" s="5" t="s">
        <v>256</v>
      </c>
      <c r="BG3927" s="6" t="s">
        <v>6818</v>
      </c>
      <c r="BH3927" s="5" t="s">
        <v>734</v>
      </c>
      <c r="BI3927" s="5" t="s">
        <v>734</v>
      </c>
      <c r="BJ3927" s="5" t="s">
        <v>240</v>
      </c>
      <c r="BK3927" s="8">
        <f>31</f>
        <v>31</v>
      </c>
      <c r="BL3927" s="7">
        <f>1</f>
        <v>1</v>
      </c>
      <c r="BM3927" s="5" t="s">
        <v>258</v>
      </c>
      <c r="BN3927" s="5" t="s">
        <v>259</v>
      </c>
      <c r="BO3927" s="5" t="s">
        <v>240</v>
      </c>
      <c r="BP3927" s="5" t="s">
        <v>240</v>
      </c>
      <c r="BQ3927" s="5" t="s">
        <v>240</v>
      </c>
      <c r="BR3927" s="5" t="s">
        <v>240</v>
      </c>
      <c r="BW3927" s="6" t="s">
        <v>240</v>
      </c>
      <c r="BX3927" s="5" t="s">
        <v>240</v>
      </c>
      <c r="BY3927" s="5" t="s">
        <v>240</v>
      </c>
      <c r="BZ3927" s="5" t="s">
        <v>240</v>
      </c>
      <c r="CA3927" s="5" t="s">
        <v>259</v>
      </c>
      <c r="CB3927" s="5" t="s">
        <v>240</v>
      </c>
      <c r="CC3927" s="5" t="s">
        <v>240</v>
      </c>
      <c r="CG3927" s="5" t="s">
        <v>240</v>
      </c>
      <c r="CH3927" s="5" t="s">
        <v>240</v>
      </c>
      <c r="CI3927" s="5" t="s">
        <v>260</v>
      </c>
      <c r="CK3927" s="5" t="s">
        <v>240</v>
      </c>
      <c r="CL3927" s="6" t="s">
        <v>261</v>
      </c>
      <c r="CM3927" s="5" t="s">
        <v>262</v>
      </c>
      <c r="CN3927" s="5" t="s">
        <v>263</v>
      </c>
      <c r="CO3927" s="5" t="s">
        <v>264</v>
      </c>
      <c r="CP3927" s="5" t="s">
        <v>240</v>
      </c>
      <c r="CQ3927" s="5">
        <v>0</v>
      </c>
      <c r="CR3927" s="5" t="s">
        <v>735</v>
      </c>
      <c r="CS3927" s="5" t="s">
        <v>307</v>
      </c>
      <c r="CT3927" s="5" t="s">
        <v>307</v>
      </c>
      <c r="CU3927" s="5" t="s">
        <v>260</v>
      </c>
      <c r="CV3927" s="5" t="s">
        <v>240</v>
      </c>
      <c r="CW3927" s="8">
        <f>0</f>
        <v>0</v>
      </c>
      <c r="CX3927" s="7">
        <f>1</f>
        <v>1</v>
      </c>
      <c r="CY3927" s="7">
        <f>0</f>
        <v>0</v>
      </c>
      <c r="CZ3927" s="7">
        <f>0</f>
        <v>0</v>
      </c>
      <c r="DA3927" s="7">
        <f>1</f>
        <v>1</v>
      </c>
      <c r="DB3927" s="7" t="s">
        <v>240</v>
      </c>
      <c r="DC3927" s="5" t="s">
        <v>240</v>
      </c>
      <c r="DD3927" s="5" t="s">
        <v>240</v>
      </c>
      <c r="DF3927" s="5" t="s">
        <v>240</v>
      </c>
      <c r="DG3927" s="7">
        <f>0</f>
        <v>0</v>
      </c>
      <c r="DH3927" s="6" t="s">
        <v>240</v>
      </c>
      <c r="DI3927" s="5" t="s">
        <v>240</v>
      </c>
      <c r="DJ3927" s="5" t="s">
        <v>240</v>
      </c>
      <c r="DK3927" s="5" t="s">
        <v>240</v>
      </c>
      <c r="DL3927" s="5" t="s">
        <v>240</v>
      </c>
      <c r="DM3927" s="5" t="s">
        <v>240</v>
      </c>
      <c r="DN3927" s="5" t="s">
        <v>240</v>
      </c>
      <c r="DO3927" s="7" t="s">
        <v>240</v>
      </c>
      <c r="DP3927" s="5" t="s">
        <v>240</v>
      </c>
      <c r="DQ3927" s="5" t="s">
        <v>248</v>
      </c>
      <c r="DR3927" s="5" t="s">
        <v>731</v>
      </c>
      <c r="DS3927" s="5" t="s">
        <v>731</v>
      </c>
      <c r="DT3927" s="5" t="s">
        <v>240</v>
      </c>
      <c r="DU3927" s="5" t="s">
        <v>240</v>
      </c>
      <c r="HR3927" s="5" t="s">
        <v>240</v>
      </c>
      <c r="HS3927" s="5" t="s">
        <v>240</v>
      </c>
      <c r="HT3927" s="5" t="s">
        <v>240</v>
      </c>
      <c r="HU3927" s="5" t="s">
        <v>240</v>
      </c>
      <c r="HV3927" s="5" t="s">
        <v>240</v>
      </c>
      <c r="HW3927" s="5" t="s">
        <v>240</v>
      </c>
      <c r="HX3927" s="5" t="s">
        <v>240</v>
      </c>
      <c r="HY3927" s="5" t="s">
        <v>240</v>
      </c>
      <c r="HZ3927" s="5" t="s">
        <v>240</v>
      </c>
      <c r="IA3927" s="5" t="s">
        <v>240</v>
      </c>
      <c r="IB3927" s="5" t="s">
        <v>240</v>
      </c>
      <c r="IC3927" s="5" t="s">
        <v>240</v>
      </c>
      <c r="ID3927" s="5" t="s">
        <v>240</v>
      </c>
      <c r="IE3927" s="5" t="s">
        <v>240</v>
      </c>
      <c r="IF3927" s="5" t="s">
        <v>240</v>
      </c>
    </row>
    <row r="3928" spans="1:240" x14ac:dyDescent="0.4">
      <c r="A3928" s="5">
        <v>9470</v>
      </c>
      <c r="B3928" s="5">
        <v>1</v>
      </c>
      <c r="C3928" s="5">
        <v>1</v>
      </c>
      <c r="D3928" s="5" t="s">
        <v>723</v>
      </c>
      <c r="E3928" s="5" t="s">
        <v>725</v>
      </c>
      <c r="F3928" s="5" t="s">
        <v>254</v>
      </c>
      <c r="G3928" s="5" t="s">
        <v>6044</v>
      </c>
      <c r="H3928" s="6" t="s">
        <v>6450</v>
      </c>
      <c r="I3928" s="5" t="s">
        <v>6449</v>
      </c>
      <c r="J3928" s="7">
        <f>1</f>
        <v>1</v>
      </c>
      <c r="K3928" s="5" t="s">
        <v>3682</v>
      </c>
      <c r="L3928" s="7">
        <f>1</f>
        <v>1</v>
      </c>
      <c r="M3928" s="7">
        <f>1</f>
        <v>1</v>
      </c>
      <c r="N3928" s="5" t="s">
        <v>242</v>
      </c>
      <c r="O3928" s="5">
        <v>1</v>
      </c>
      <c r="P3928" s="5" t="s">
        <v>294</v>
      </c>
      <c r="Q3928" s="5" t="s">
        <v>3678</v>
      </c>
      <c r="T3928" s="5" t="s">
        <v>243</v>
      </c>
      <c r="U3928" s="5" t="s">
        <v>244</v>
      </c>
      <c r="V3928" s="5" t="s">
        <v>240</v>
      </c>
      <c r="Y3928" s="5" t="s">
        <v>240</v>
      </c>
      <c r="Z3928" s="6" t="s">
        <v>298</v>
      </c>
      <c r="AA3928" s="6" t="s">
        <v>240</v>
      </c>
      <c r="AB3928" s="6" t="s">
        <v>240</v>
      </c>
      <c r="AC3928" s="5" t="s">
        <v>240</v>
      </c>
      <c r="AD3928" s="6" t="s">
        <v>240</v>
      </c>
      <c r="AE3928" s="6" t="s">
        <v>299</v>
      </c>
      <c r="AF3928" s="5" t="s">
        <v>248</v>
      </c>
      <c r="AG3928" s="5" t="s">
        <v>249</v>
      </c>
      <c r="AM3928" s="5" t="s">
        <v>240</v>
      </c>
      <c r="AN3928" s="5" t="s">
        <v>240</v>
      </c>
      <c r="AO3928" s="5" t="s">
        <v>240</v>
      </c>
      <c r="AP3928" s="6" t="s">
        <v>240</v>
      </c>
      <c r="AQ3928" s="6" t="s">
        <v>240</v>
      </c>
      <c r="AR3928" s="6" t="s">
        <v>240</v>
      </c>
      <c r="AU3928" s="5" t="s">
        <v>729</v>
      </c>
      <c r="AV3928" s="5" t="s">
        <v>729</v>
      </c>
      <c r="AW3928" s="5" t="s">
        <v>251</v>
      </c>
      <c r="AX3928" s="5" t="s">
        <v>252</v>
      </c>
      <c r="AY3928" s="5" t="s">
        <v>253</v>
      </c>
      <c r="AZ3928" s="5" t="s">
        <v>6046</v>
      </c>
      <c r="BA3928" s="5" t="s">
        <v>255</v>
      </c>
      <c r="BB3928" s="5" t="s">
        <v>731</v>
      </c>
      <c r="BD3928" s="5" t="s">
        <v>240</v>
      </c>
      <c r="BF3928" s="5" t="s">
        <v>732</v>
      </c>
      <c r="BG3928" s="6" t="s">
        <v>733</v>
      </c>
      <c r="BH3928" s="5" t="s">
        <v>734</v>
      </c>
      <c r="BI3928" s="5" t="s">
        <v>734</v>
      </c>
      <c r="BJ3928" s="5" t="s">
        <v>240</v>
      </c>
      <c r="BK3928" s="7">
        <f>1</f>
        <v>1</v>
      </c>
      <c r="BL3928" s="7">
        <f>1</f>
        <v>1</v>
      </c>
      <c r="BM3928" s="5" t="s">
        <v>258</v>
      </c>
      <c r="BN3928" s="5" t="s">
        <v>259</v>
      </c>
      <c r="BO3928" s="5" t="s">
        <v>240</v>
      </c>
      <c r="BP3928" s="5" t="s">
        <v>240</v>
      </c>
      <c r="BQ3928" s="5" t="s">
        <v>240</v>
      </c>
      <c r="BR3928" s="5" t="s">
        <v>240</v>
      </c>
      <c r="BW3928" s="6" t="s">
        <v>240</v>
      </c>
      <c r="BX3928" s="5" t="s">
        <v>240</v>
      </c>
      <c r="BY3928" s="5" t="s">
        <v>240</v>
      </c>
      <c r="BZ3928" s="5" t="s">
        <v>240</v>
      </c>
      <c r="CA3928" s="5" t="s">
        <v>259</v>
      </c>
      <c r="CB3928" s="5" t="s">
        <v>240</v>
      </c>
      <c r="CC3928" s="5" t="s">
        <v>240</v>
      </c>
      <c r="CG3928" s="5" t="s">
        <v>304</v>
      </c>
      <c r="CH3928" s="5" t="s">
        <v>305</v>
      </c>
      <c r="CI3928" s="5" t="s">
        <v>260</v>
      </c>
      <c r="CK3928" s="5" t="s">
        <v>3681</v>
      </c>
      <c r="CL3928" s="6" t="s">
        <v>261</v>
      </c>
      <c r="CM3928" s="5" t="s">
        <v>262</v>
      </c>
      <c r="CN3928" s="5" t="s">
        <v>263</v>
      </c>
      <c r="CO3928" s="5" t="s">
        <v>264</v>
      </c>
      <c r="CP3928" s="5" t="s">
        <v>240</v>
      </c>
      <c r="CQ3928" s="5">
        <v>0</v>
      </c>
      <c r="CR3928" s="5" t="s">
        <v>735</v>
      </c>
      <c r="CS3928" s="5" t="s">
        <v>307</v>
      </c>
      <c r="CT3928" s="5" t="s">
        <v>307</v>
      </c>
      <c r="CU3928" s="5" t="s">
        <v>260</v>
      </c>
      <c r="CV3928" s="5" t="s">
        <v>612</v>
      </c>
      <c r="CW3928" s="8">
        <f>1</f>
        <v>1</v>
      </c>
      <c r="CX3928" s="7">
        <f>1</f>
        <v>1</v>
      </c>
      <c r="CY3928" s="7">
        <f>0</f>
        <v>0</v>
      </c>
      <c r="CZ3928" s="7" t="s">
        <v>240</v>
      </c>
      <c r="DA3928" s="7">
        <f>1</f>
        <v>1</v>
      </c>
      <c r="DB3928" s="7" t="s">
        <v>240</v>
      </c>
      <c r="DC3928" s="5" t="s">
        <v>240</v>
      </c>
      <c r="DD3928" s="5" t="s">
        <v>240</v>
      </c>
      <c r="DF3928" s="5" t="s">
        <v>240</v>
      </c>
      <c r="DG3928" s="7">
        <f>0</f>
        <v>0</v>
      </c>
      <c r="DH3928" s="6" t="s">
        <v>240</v>
      </c>
      <c r="DI3928" s="5" t="s">
        <v>240</v>
      </c>
      <c r="DJ3928" s="5" t="s">
        <v>240</v>
      </c>
      <c r="DK3928" s="5" t="s">
        <v>240</v>
      </c>
      <c r="DL3928" s="5" t="s">
        <v>240</v>
      </c>
      <c r="DM3928" s="5" t="s">
        <v>240</v>
      </c>
      <c r="DN3928" s="5" t="s">
        <v>240</v>
      </c>
      <c r="DO3928" s="7" t="s">
        <v>240</v>
      </c>
      <c r="DP3928" s="5" t="s">
        <v>240</v>
      </c>
      <c r="DQ3928" s="5" t="s">
        <v>248</v>
      </c>
      <c r="DR3928" s="5" t="s">
        <v>731</v>
      </c>
      <c r="DS3928" s="5" t="s">
        <v>731</v>
      </c>
      <c r="DT3928" s="5" t="s">
        <v>240</v>
      </c>
      <c r="DU3928" s="5" t="s">
        <v>240</v>
      </c>
      <c r="DV3928" s="5" t="s">
        <v>5063</v>
      </c>
      <c r="DW3928" s="5" t="s">
        <v>312</v>
      </c>
      <c r="HO3928" s="5" t="s">
        <v>312</v>
      </c>
      <c r="HR3928" s="5" t="s">
        <v>240</v>
      </c>
      <c r="HS3928" s="5" t="s">
        <v>240</v>
      </c>
      <c r="HT3928" s="5" t="s">
        <v>240</v>
      </c>
      <c r="HU3928" s="5" t="s">
        <v>240</v>
      </c>
      <c r="HV3928" s="5" t="s">
        <v>240</v>
      </c>
      <c r="HW3928" s="5" t="s">
        <v>240</v>
      </c>
      <c r="HX3928" s="5" t="s">
        <v>240</v>
      </c>
      <c r="HY3928" s="5" t="s">
        <v>240</v>
      </c>
      <c r="HZ3928" s="5" t="s">
        <v>240</v>
      </c>
      <c r="IA3928" s="5" t="s">
        <v>240</v>
      </c>
      <c r="IB3928" s="5" t="s">
        <v>240</v>
      </c>
      <c r="IC3928" s="5" t="s">
        <v>240</v>
      </c>
      <c r="ID3928" s="5" t="s">
        <v>240</v>
      </c>
      <c r="IE3928" s="5" t="s">
        <v>240</v>
      </c>
      <c r="IF3928" s="5" t="s">
        <v>240</v>
      </c>
    </row>
    <row r="3929" spans="1:240" x14ac:dyDescent="0.4">
      <c r="A3929" s="5">
        <v>9471</v>
      </c>
      <c r="B3929" s="5">
        <v>1</v>
      </c>
      <c r="C3929" s="5">
        <v>1</v>
      </c>
      <c r="D3929" s="5" t="s">
        <v>723</v>
      </c>
      <c r="E3929" s="5" t="s">
        <v>725</v>
      </c>
      <c r="F3929" s="5" t="s">
        <v>254</v>
      </c>
      <c r="G3929" s="5" t="s">
        <v>6044</v>
      </c>
      <c r="H3929" s="6" t="s">
        <v>6448</v>
      </c>
      <c r="I3929" s="5" t="s">
        <v>6447</v>
      </c>
      <c r="J3929" s="7">
        <f>1</f>
        <v>1</v>
      </c>
      <c r="K3929" s="5" t="s">
        <v>3682</v>
      </c>
      <c r="L3929" s="7">
        <f>1</f>
        <v>1</v>
      </c>
      <c r="M3929" s="7">
        <f>1</f>
        <v>1</v>
      </c>
      <c r="N3929" s="5" t="s">
        <v>242</v>
      </c>
      <c r="O3929" s="5">
        <v>1</v>
      </c>
      <c r="P3929" s="5" t="s">
        <v>294</v>
      </c>
      <c r="Q3929" s="5" t="s">
        <v>613</v>
      </c>
      <c r="T3929" s="5" t="s">
        <v>243</v>
      </c>
      <c r="U3929" s="5" t="s">
        <v>244</v>
      </c>
      <c r="V3929" s="5" t="s">
        <v>240</v>
      </c>
      <c r="Y3929" s="5" t="s">
        <v>240</v>
      </c>
      <c r="Z3929" s="6" t="s">
        <v>7112</v>
      </c>
      <c r="AA3929" s="6" t="s">
        <v>240</v>
      </c>
      <c r="AB3929" s="6" t="s">
        <v>240</v>
      </c>
      <c r="AC3929" s="5" t="s">
        <v>240</v>
      </c>
      <c r="AD3929" s="6" t="s">
        <v>240</v>
      </c>
      <c r="AE3929" s="6" t="s">
        <v>299</v>
      </c>
      <c r="AF3929" s="5" t="s">
        <v>727</v>
      </c>
      <c r="AG3929" s="5" t="s">
        <v>249</v>
      </c>
      <c r="AM3929" s="5" t="s">
        <v>240</v>
      </c>
      <c r="AN3929" s="5" t="s">
        <v>240</v>
      </c>
      <c r="AO3929" s="5" t="s">
        <v>240</v>
      </c>
      <c r="AP3929" s="6" t="s">
        <v>240</v>
      </c>
      <c r="AQ3929" s="6" t="s">
        <v>240</v>
      </c>
      <c r="AR3929" s="6" t="s">
        <v>240</v>
      </c>
      <c r="AU3929" s="5" t="s">
        <v>729</v>
      </c>
      <c r="AV3929" s="5" t="s">
        <v>729</v>
      </c>
      <c r="AW3929" s="5" t="s">
        <v>251</v>
      </c>
      <c r="AX3929" s="5" t="s">
        <v>252</v>
      </c>
      <c r="AY3929" s="5" t="s">
        <v>253</v>
      </c>
      <c r="AZ3929" s="5" t="s">
        <v>6046</v>
      </c>
      <c r="BA3929" s="5" t="s">
        <v>255</v>
      </c>
      <c r="BB3929" s="5" t="s">
        <v>731</v>
      </c>
      <c r="BD3929" s="5" t="s">
        <v>686</v>
      </c>
      <c r="BF3929" s="5" t="s">
        <v>256</v>
      </c>
      <c r="BG3929" s="6" t="s">
        <v>7115</v>
      </c>
      <c r="BH3929" s="5" t="s">
        <v>7016</v>
      </c>
      <c r="BI3929" s="5" t="s">
        <v>7116</v>
      </c>
      <c r="BJ3929" s="5" t="s">
        <v>240</v>
      </c>
      <c r="BK3929" s="8">
        <f>0</f>
        <v>0</v>
      </c>
      <c r="BL3929" s="7">
        <f>-11181214</f>
        <v>-11181214</v>
      </c>
      <c r="BM3929" s="5" t="s">
        <v>258</v>
      </c>
      <c r="BN3929" s="5" t="s">
        <v>259</v>
      </c>
      <c r="BO3929" s="5" t="s">
        <v>240</v>
      </c>
      <c r="BP3929" s="5" t="s">
        <v>240</v>
      </c>
      <c r="BQ3929" s="5" t="s">
        <v>240</v>
      </c>
      <c r="BR3929" s="5" t="s">
        <v>240</v>
      </c>
      <c r="BW3929" s="6" t="s">
        <v>240</v>
      </c>
      <c r="BX3929" s="5" t="s">
        <v>240</v>
      </c>
      <c r="BY3929" s="5" t="s">
        <v>7117</v>
      </c>
      <c r="BZ3929" s="5" t="s">
        <v>312</v>
      </c>
      <c r="CA3929" s="5" t="s">
        <v>259</v>
      </c>
      <c r="CB3929" s="5" t="s">
        <v>240</v>
      </c>
      <c r="CC3929" s="5" t="s">
        <v>240</v>
      </c>
      <c r="CG3929" s="5" t="s">
        <v>617</v>
      </c>
      <c r="CH3929" s="5" t="s">
        <v>305</v>
      </c>
      <c r="CI3929" s="5" t="s">
        <v>260</v>
      </c>
      <c r="CK3929" s="5" t="s">
        <v>240</v>
      </c>
      <c r="CL3929" s="6" t="s">
        <v>261</v>
      </c>
      <c r="CM3929" s="5" t="s">
        <v>262</v>
      </c>
      <c r="CN3929" s="5" t="s">
        <v>263</v>
      </c>
      <c r="CO3929" s="5" t="s">
        <v>264</v>
      </c>
      <c r="CP3929" s="5" t="s">
        <v>240</v>
      </c>
      <c r="CQ3929" s="5">
        <v>0</v>
      </c>
      <c r="CR3929" s="5" t="s">
        <v>306</v>
      </c>
      <c r="CS3929" s="5" t="s">
        <v>307</v>
      </c>
      <c r="CT3929" s="5" t="s">
        <v>307</v>
      </c>
      <c r="CU3929" s="5" t="s">
        <v>260</v>
      </c>
      <c r="CV3929" s="5" t="s">
        <v>240</v>
      </c>
      <c r="CW3929" s="8">
        <f>6429</f>
        <v>6429</v>
      </c>
      <c r="CX3929" s="7">
        <f>11181214</f>
        <v>11181214</v>
      </c>
      <c r="CY3929" s="7">
        <f>0</f>
        <v>0</v>
      </c>
      <c r="CZ3929" s="7" t="s">
        <v>240</v>
      </c>
      <c r="DA3929" s="7">
        <f>11181214</f>
        <v>11181214</v>
      </c>
      <c r="DB3929" s="7" t="s">
        <v>240</v>
      </c>
      <c r="DC3929" s="5" t="s">
        <v>240</v>
      </c>
      <c r="DD3929" s="5" t="s">
        <v>240</v>
      </c>
      <c r="DF3929" s="5" t="s">
        <v>843</v>
      </c>
      <c r="DG3929" s="7">
        <f>0</f>
        <v>0</v>
      </c>
      <c r="DH3929" s="6" t="s">
        <v>6901</v>
      </c>
      <c r="DI3929" s="5" t="s">
        <v>843</v>
      </c>
      <c r="DJ3929" s="5" t="s">
        <v>240</v>
      </c>
      <c r="DK3929" s="5" t="s">
        <v>240</v>
      </c>
      <c r="DL3929" s="5" t="s">
        <v>240</v>
      </c>
      <c r="DM3929" s="5" t="s">
        <v>240</v>
      </c>
      <c r="DN3929" s="5" t="s">
        <v>240</v>
      </c>
      <c r="DO3929" s="7" t="s">
        <v>240</v>
      </c>
      <c r="DP3929" s="5" t="s">
        <v>240</v>
      </c>
      <c r="DQ3929" s="5" t="s">
        <v>248</v>
      </c>
      <c r="DR3929" s="5" t="s">
        <v>731</v>
      </c>
      <c r="DS3929" s="5" t="s">
        <v>731</v>
      </c>
      <c r="DT3929" s="5" t="s">
        <v>240</v>
      </c>
      <c r="DU3929" s="5" t="s">
        <v>240</v>
      </c>
      <c r="DV3929" s="5" t="s">
        <v>7118</v>
      </c>
      <c r="DW3929" s="5" t="s">
        <v>312</v>
      </c>
      <c r="HR3929" s="5" t="s">
        <v>240</v>
      </c>
      <c r="HS3929" s="5" t="s">
        <v>240</v>
      </c>
      <c r="HT3929" s="5" t="s">
        <v>240</v>
      </c>
      <c r="HU3929" s="5" t="s">
        <v>240</v>
      </c>
      <c r="HV3929" s="5" t="s">
        <v>240</v>
      </c>
      <c r="HW3929" s="5" t="s">
        <v>240</v>
      </c>
      <c r="HX3929" s="5" t="s">
        <v>240</v>
      </c>
      <c r="HY3929" s="5" t="s">
        <v>240</v>
      </c>
      <c r="HZ3929" s="5" t="s">
        <v>240</v>
      </c>
      <c r="IA3929" s="5" t="s">
        <v>240</v>
      </c>
      <c r="IB3929" s="5" t="s">
        <v>240</v>
      </c>
      <c r="IC3929" s="5" t="s">
        <v>240</v>
      </c>
      <c r="ID3929" s="5" t="s">
        <v>240</v>
      </c>
      <c r="IE3929" s="5" t="s">
        <v>240</v>
      </c>
      <c r="IF3929" s="5" t="s">
        <v>240</v>
      </c>
    </row>
    <row r="3930" spans="1:240" x14ac:dyDescent="0.4">
      <c r="A3930" s="5">
        <v>9472</v>
      </c>
      <c r="B3930" s="5">
        <v>1</v>
      </c>
      <c r="C3930" s="5">
        <v>1</v>
      </c>
      <c r="D3930" s="5" t="s">
        <v>723</v>
      </c>
      <c r="E3930" s="5" t="s">
        <v>725</v>
      </c>
      <c r="F3930" s="5" t="s">
        <v>254</v>
      </c>
      <c r="G3930" s="5" t="s">
        <v>6044</v>
      </c>
      <c r="H3930" s="6" t="s">
        <v>6446</v>
      </c>
      <c r="I3930" s="5" t="s">
        <v>6445</v>
      </c>
      <c r="J3930" s="7">
        <f>1</f>
        <v>1</v>
      </c>
      <c r="K3930" s="5" t="s">
        <v>3682</v>
      </c>
      <c r="L3930" s="7">
        <f>1</f>
        <v>1</v>
      </c>
      <c r="M3930" s="7">
        <f>1</f>
        <v>1</v>
      </c>
      <c r="N3930" s="5" t="s">
        <v>242</v>
      </c>
      <c r="O3930" s="5">
        <v>1</v>
      </c>
      <c r="P3930" s="5" t="s">
        <v>294</v>
      </c>
      <c r="Q3930" s="5" t="s">
        <v>613</v>
      </c>
      <c r="T3930" s="5" t="s">
        <v>243</v>
      </c>
      <c r="U3930" s="5" t="s">
        <v>244</v>
      </c>
      <c r="V3930" s="5" t="s">
        <v>240</v>
      </c>
      <c r="Y3930" s="5" t="s">
        <v>240</v>
      </c>
      <c r="Z3930" s="6" t="s">
        <v>298</v>
      </c>
      <c r="AA3930" s="6" t="s">
        <v>240</v>
      </c>
      <c r="AB3930" s="6" t="s">
        <v>240</v>
      </c>
      <c r="AC3930" s="5" t="s">
        <v>240</v>
      </c>
      <c r="AD3930" s="6" t="s">
        <v>240</v>
      </c>
      <c r="AE3930" s="6" t="s">
        <v>299</v>
      </c>
      <c r="AF3930" s="5" t="s">
        <v>248</v>
      </c>
      <c r="AG3930" s="5" t="s">
        <v>249</v>
      </c>
      <c r="AM3930" s="5" t="s">
        <v>240</v>
      </c>
      <c r="AN3930" s="5" t="s">
        <v>240</v>
      </c>
      <c r="AO3930" s="5" t="s">
        <v>240</v>
      </c>
      <c r="AP3930" s="6" t="s">
        <v>240</v>
      </c>
      <c r="AQ3930" s="6" t="s">
        <v>240</v>
      </c>
      <c r="AW3930" s="5" t="s">
        <v>251</v>
      </c>
      <c r="AX3930" s="5" t="s">
        <v>252</v>
      </c>
      <c r="AY3930" s="5" t="s">
        <v>253</v>
      </c>
      <c r="AZ3930" s="5" t="s">
        <v>6046</v>
      </c>
      <c r="BA3930" s="5" t="s">
        <v>255</v>
      </c>
      <c r="BB3930" s="5" t="s">
        <v>731</v>
      </c>
      <c r="BD3930" s="5" t="s">
        <v>686</v>
      </c>
      <c r="BF3930" s="5" t="s">
        <v>301</v>
      </c>
      <c r="BG3930" s="6" t="s">
        <v>733</v>
      </c>
      <c r="BH3930" s="5" t="s">
        <v>302</v>
      </c>
      <c r="BI3930" s="5" t="s">
        <v>303</v>
      </c>
      <c r="BJ3930" s="5" t="s">
        <v>240</v>
      </c>
      <c r="BK3930" s="8">
        <f>0</f>
        <v>0</v>
      </c>
      <c r="BL3930" s="7">
        <f>0</f>
        <v>0</v>
      </c>
      <c r="BM3930" s="5" t="s">
        <v>258</v>
      </c>
      <c r="BN3930" s="5" t="s">
        <v>259</v>
      </c>
      <c r="BW3930" s="6" t="s">
        <v>240</v>
      </c>
      <c r="BX3930" s="5" t="s">
        <v>240</v>
      </c>
      <c r="BY3930" s="5" t="s">
        <v>240</v>
      </c>
      <c r="BZ3930" s="5" t="s">
        <v>240</v>
      </c>
      <c r="CB3930" s="5" t="s">
        <v>240</v>
      </c>
      <c r="CC3930" s="5" t="s">
        <v>240</v>
      </c>
      <c r="CG3930" s="5" t="s">
        <v>617</v>
      </c>
      <c r="CH3930" s="5" t="s">
        <v>305</v>
      </c>
      <c r="CI3930" s="5" t="s">
        <v>260</v>
      </c>
      <c r="CK3930" s="5" t="s">
        <v>240</v>
      </c>
      <c r="CL3930" s="6" t="s">
        <v>261</v>
      </c>
      <c r="CM3930" s="5" t="s">
        <v>240</v>
      </c>
      <c r="CN3930" s="5" t="s">
        <v>263</v>
      </c>
      <c r="CO3930" s="5" t="s">
        <v>240</v>
      </c>
      <c r="CP3930" s="5" t="s">
        <v>240</v>
      </c>
      <c r="CQ3930" s="5">
        <v>0</v>
      </c>
      <c r="CR3930" s="5" t="s">
        <v>735</v>
      </c>
      <c r="CS3930" s="5" t="s">
        <v>307</v>
      </c>
      <c r="CT3930" s="5" t="s">
        <v>307</v>
      </c>
      <c r="CU3930" s="5" t="s">
        <v>260</v>
      </c>
      <c r="CV3930" s="5" t="s">
        <v>240</v>
      </c>
      <c r="CW3930" s="8" t="s">
        <v>240</v>
      </c>
      <c r="CX3930" s="7">
        <f>212640</f>
        <v>212640</v>
      </c>
      <c r="CY3930" s="7">
        <f>0</f>
        <v>0</v>
      </c>
      <c r="CZ3930" s="7" t="s">
        <v>240</v>
      </c>
      <c r="DA3930" s="7">
        <f>0</f>
        <v>0</v>
      </c>
      <c r="DB3930" s="7" t="s">
        <v>240</v>
      </c>
      <c r="DC3930" s="5" t="s">
        <v>689</v>
      </c>
      <c r="DD3930" s="5" t="s">
        <v>240</v>
      </c>
      <c r="DF3930" s="5" t="s">
        <v>689</v>
      </c>
      <c r="DG3930" s="7">
        <f>96</f>
        <v>96</v>
      </c>
      <c r="DH3930" s="6" t="s">
        <v>6905</v>
      </c>
      <c r="DI3930" s="5" t="s">
        <v>618</v>
      </c>
      <c r="DJ3930" s="5" t="s">
        <v>240</v>
      </c>
      <c r="DK3930" s="5" t="s">
        <v>240</v>
      </c>
      <c r="DL3930" s="5" t="s">
        <v>240</v>
      </c>
      <c r="DM3930" s="5" t="s">
        <v>240</v>
      </c>
      <c r="DN3930" s="5" t="s">
        <v>240</v>
      </c>
      <c r="DO3930" s="7" t="s">
        <v>240</v>
      </c>
      <c r="DP3930" s="5" t="s">
        <v>240</v>
      </c>
      <c r="DQ3930" s="5" t="s">
        <v>248</v>
      </c>
      <c r="DR3930" s="5" t="s">
        <v>731</v>
      </c>
      <c r="DS3930" s="5" t="s">
        <v>731</v>
      </c>
      <c r="DT3930" s="5" t="s">
        <v>240</v>
      </c>
      <c r="DU3930" s="5" t="s">
        <v>240</v>
      </c>
      <c r="DV3930" s="5" t="s">
        <v>1570</v>
      </c>
      <c r="DW3930" s="5" t="s">
        <v>691</v>
      </c>
    </row>
    <row r="3931" spans="1:240" x14ac:dyDescent="0.4">
      <c r="A3931" s="5">
        <v>9473</v>
      </c>
      <c r="B3931" s="5">
        <v>1</v>
      </c>
      <c r="C3931" s="5">
        <v>1</v>
      </c>
      <c r="D3931" s="5" t="s">
        <v>723</v>
      </c>
      <c r="E3931" s="5" t="s">
        <v>725</v>
      </c>
      <c r="F3931" s="5" t="s">
        <v>254</v>
      </c>
      <c r="G3931" s="5" t="s">
        <v>6044</v>
      </c>
      <c r="H3931" s="6" t="s">
        <v>6444</v>
      </c>
      <c r="I3931" s="5" t="s">
        <v>6443</v>
      </c>
      <c r="J3931" s="7">
        <f>1</f>
        <v>1</v>
      </c>
      <c r="K3931" s="5" t="s">
        <v>3682</v>
      </c>
      <c r="L3931" s="7">
        <f>1</f>
        <v>1</v>
      </c>
      <c r="M3931" s="7">
        <f>1</f>
        <v>1</v>
      </c>
      <c r="N3931" s="5" t="s">
        <v>242</v>
      </c>
      <c r="O3931" s="5">
        <v>1</v>
      </c>
      <c r="P3931" s="5" t="s">
        <v>294</v>
      </c>
      <c r="Q3931" s="5" t="s">
        <v>240</v>
      </c>
      <c r="T3931" s="5" t="s">
        <v>240</v>
      </c>
      <c r="U3931" s="5" t="s">
        <v>240</v>
      </c>
      <c r="V3931" s="5" t="s">
        <v>240</v>
      </c>
      <c r="Y3931" s="5" t="s">
        <v>246</v>
      </c>
      <c r="Z3931" s="6" t="s">
        <v>6977</v>
      </c>
      <c r="AA3931" s="6" t="s">
        <v>240</v>
      </c>
      <c r="AB3931" s="6" t="s">
        <v>240</v>
      </c>
      <c r="AC3931" s="5" t="s">
        <v>240</v>
      </c>
      <c r="AD3931" s="6" t="s">
        <v>240</v>
      </c>
      <c r="AE3931" s="6" t="s">
        <v>6977</v>
      </c>
      <c r="AF3931" s="5" t="s">
        <v>248</v>
      </c>
      <c r="AG3931" s="5" t="s">
        <v>240</v>
      </c>
      <c r="AM3931" s="5" t="s">
        <v>240</v>
      </c>
      <c r="AN3931" s="5" t="s">
        <v>240</v>
      </c>
      <c r="AO3931" s="5" t="s">
        <v>240</v>
      </c>
      <c r="AP3931" s="6" t="s">
        <v>240</v>
      </c>
      <c r="AQ3931" s="6" t="s">
        <v>240</v>
      </c>
      <c r="AR3931" s="6" t="s">
        <v>240</v>
      </c>
      <c r="AU3931" s="5" t="s">
        <v>729</v>
      </c>
      <c r="AV3931" s="5" t="s">
        <v>729</v>
      </c>
      <c r="AW3931" s="5" t="s">
        <v>251</v>
      </c>
      <c r="AX3931" s="5" t="s">
        <v>252</v>
      </c>
      <c r="AY3931" s="5" t="s">
        <v>253</v>
      </c>
      <c r="AZ3931" s="5" t="s">
        <v>240</v>
      </c>
      <c r="BA3931" s="5" t="s">
        <v>255</v>
      </c>
      <c r="BB3931" s="5" t="s">
        <v>731</v>
      </c>
      <c r="BD3931" s="5" t="s">
        <v>240</v>
      </c>
      <c r="BF3931" s="5" t="s">
        <v>6763</v>
      </c>
      <c r="BG3931" s="6" t="s">
        <v>7121</v>
      </c>
      <c r="BH3931" s="5" t="s">
        <v>6742</v>
      </c>
      <c r="BI3931" s="5" t="s">
        <v>6743</v>
      </c>
      <c r="BJ3931" s="5" t="s">
        <v>240</v>
      </c>
      <c r="BK3931" s="7">
        <f>0</f>
        <v>0</v>
      </c>
      <c r="BL3931" s="7">
        <f>326269</f>
        <v>326269</v>
      </c>
      <c r="BM3931" s="5" t="s">
        <v>258</v>
      </c>
      <c r="BN3931" s="5" t="s">
        <v>259</v>
      </c>
      <c r="BO3931" s="5" t="s">
        <v>6744</v>
      </c>
      <c r="BP3931" s="5" t="s">
        <v>6745</v>
      </c>
      <c r="BQ3931" s="5" t="s">
        <v>6746</v>
      </c>
      <c r="BR3931" s="5" t="s">
        <v>240</v>
      </c>
      <c r="BS3931" s="5" t="s">
        <v>258</v>
      </c>
      <c r="BT3931" s="5" t="s">
        <v>6747</v>
      </c>
      <c r="BU3931" s="5" t="s">
        <v>6747</v>
      </c>
      <c r="BW3931" s="6" t="s">
        <v>7122</v>
      </c>
      <c r="BX3931" s="5" t="s">
        <v>258</v>
      </c>
      <c r="BY3931" s="5" t="s">
        <v>240</v>
      </c>
      <c r="BZ3931" s="5" t="s">
        <v>240</v>
      </c>
      <c r="CA3931" s="5" t="s">
        <v>259</v>
      </c>
      <c r="CB3931" s="5" t="s">
        <v>240</v>
      </c>
      <c r="CC3931" s="5" t="s">
        <v>240</v>
      </c>
      <c r="CG3931" s="5" t="s">
        <v>240</v>
      </c>
      <c r="CH3931" s="5" t="s">
        <v>240</v>
      </c>
      <c r="CI3931" s="5" t="s">
        <v>260</v>
      </c>
      <c r="CK3931" s="5" t="s">
        <v>240</v>
      </c>
      <c r="CL3931" s="6" t="s">
        <v>261</v>
      </c>
      <c r="CM3931" s="5" t="s">
        <v>262</v>
      </c>
      <c r="CN3931" s="5" t="s">
        <v>293</v>
      </c>
      <c r="CO3931" s="5" t="s">
        <v>264</v>
      </c>
      <c r="CP3931" s="5" t="s">
        <v>240</v>
      </c>
      <c r="CQ3931" s="5">
        <v>0</v>
      </c>
      <c r="CR3931" s="5" t="s">
        <v>240</v>
      </c>
      <c r="CS3931" s="5" t="s">
        <v>240</v>
      </c>
      <c r="CT3931" s="5" t="s">
        <v>240</v>
      </c>
      <c r="CU3931" s="5" t="s">
        <v>260</v>
      </c>
      <c r="CV3931" s="5" t="s">
        <v>240</v>
      </c>
      <c r="CW3931" s="8">
        <f>29278612</f>
        <v>29278612</v>
      </c>
      <c r="CX3931" s="7">
        <f>29278612</f>
        <v>29278612</v>
      </c>
      <c r="CY3931" s="7">
        <f>0</f>
        <v>0</v>
      </c>
      <c r="CZ3931" s="7">
        <f>0</f>
        <v>0</v>
      </c>
      <c r="DA3931" s="7">
        <f>29278612</f>
        <v>29278612</v>
      </c>
      <c r="DB3931" s="7" t="s">
        <v>240</v>
      </c>
      <c r="DC3931" s="5" t="s">
        <v>240</v>
      </c>
      <c r="DD3931" s="5" t="s">
        <v>240</v>
      </c>
      <c r="DF3931" s="5" t="s">
        <v>240</v>
      </c>
      <c r="DG3931" s="7">
        <f>0</f>
        <v>0</v>
      </c>
      <c r="DH3931" s="6" t="s">
        <v>240</v>
      </c>
      <c r="DI3931" s="5" t="s">
        <v>240</v>
      </c>
      <c r="DJ3931" s="5" t="s">
        <v>240</v>
      </c>
      <c r="DK3931" s="5" t="s">
        <v>240</v>
      </c>
      <c r="DL3931" s="5" t="s">
        <v>240</v>
      </c>
      <c r="DM3931" s="5" t="s">
        <v>240</v>
      </c>
      <c r="DN3931" s="5" t="s">
        <v>240</v>
      </c>
      <c r="DO3931" s="7" t="s">
        <v>240</v>
      </c>
      <c r="DP3931" s="5" t="s">
        <v>240</v>
      </c>
      <c r="DQ3931" s="5" t="s">
        <v>248</v>
      </c>
      <c r="DR3931" s="5" t="s">
        <v>731</v>
      </c>
      <c r="DS3931" s="5" t="s">
        <v>731</v>
      </c>
      <c r="DT3931" s="5" t="s">
        <v>240</v>
      </c>
      <c r="DU3931" s="5" t="s">
        <v>240</v>
      </c>
      <c r="GN3931" s="5" t="s">
        <v>7123</v>
      </c>
      <c r="HR3931" s="5" t="s">
        <v>240</v>
      </c>
      <c r="HS3931" s="5" t="s">
        <v>240</v>
      </c>
      <c r="HT3931" s="5" t="s">
        <v>240</v>
      </c>
      <c r="HU3931" s="5" t="s">
        <v>240</v>
      </c>
      <c r="HV3931" s="5" t="s">
        <v>240</v>
      </c>
      <c r="HW3931" s="5" t="s">
        <v>240</v>
      </c>
      <c r="HX3931" s="5" t="s">
        <v>240</v>
      </c>
      <c r="HY3931" s="5" t="s">
        <v>240</v>
      </c>
      <c r="HZ3931" s="5" t="s">
        <v>240</v>
      </c>
      <c r="IA3931" s="5" t="s">
        <v>240</v>
      </c>
      <c r="IB3931" s="5" t="s">
        <v>240</v>
      </c>
      <c r="IC3931" s="5" t="s">
        <v>240</v>
      </c>
      <c r="ID3931" s="5" t="s">
        <v>240</v>
      </c>
      <c r="IE3931" s="5" t="s">
        <v>240</v>
      </c>
      <c r="IF3931" s="5" t="s">
        <v>240</v>
      </c>
    </row>
    <row r="3932" spans="1:240" x14ac:dyDescent="0.4">
      <c r="A3932" s="5">
        <v>9474</v>
      </c>
      <c r="B3932" s="5">
        <v>1</v>
      </c>
      <c r="C3932" s="5">
        <v>1</v>
      </c>
      <c r="D3932" s="5" t="s">
        <v>723</v>
      </c>
      <c r="E3932" s="5" t="s">
        <v>725</v>
      </c>
      <c r="F3932" s="5" t="s">
        <v>254</v>
      </c>
      <c r="G3932" s="5" t="s">
        <v>6044</v>
      </c>
      <c r="H3932" s="6" t="s">
        <v>6442</v>
      </c>
      <c r="I3932" s="5" t="s">
        <v>6441</v>
      </c>
      <c r="J3932" s="7">
        <f>1</f>
        <v>1</v>
      </c>
      <c r="K3932" s="5" t="s">
        <v>3682</v>
      </c>
      <c r="L3932" s="7">
        <f>1</f>
        <v>1</v>
      </c>
      <c r="M3932" s="7">
        <f>1</f>
        <v>1</v>
      </c>
      <c r="N3932" s="5" t="s">
        <v>242</v>
      </c>
      <c r="O3932" s="5">
        <v>1</v>
      </c>
      <c r="P3932" s="5" t="s">
        <v>294</v>
      </c>
      <c r="Q3932" s="5" t="s">
        <v>613</v>
      </c>
      <c r="T3932" s="5" t="s">
        <v>243</v>
      </c>
      <c r="U3932" s="5" t="s">
        <v>244</v>
      </c>
      <c r="V3932" s="5" t="s">
        <v>240</v>
      </c>
      <c r="Y3932" s="5" t="s">
        <v>240</v>
      </c>
      <c r="Z3932" s="6" t="s">
        <v>298</v>
      </c>
      <c r="AA3932" s="6" t="s">
        <v>240</v>
      </c>
      <c r="AB3932" s="6" t="s">
        <v>240</v>
      </c>
      <c r="AC3932" s="5" t="s">
        <v>240</v>
      </c>
      <c r="AD3932" s="6" t="s">
        <v>240</v>
      </c>
      <c r="AE3932" s="6" t="s">
        <v>299</v>
      </c>
      <c r="AF3932" s="5" t="s">
        <v>248</v>
      </c>
      <c r="AG3932" s="5" t="s">
        <v>249</v>
      </c>
      <c r="AM3932" s="5" t="s">
        <v>240</v>
      </c>
      <c r="AN3932" s="5" t="s">
        <v>240</v>
      </c>
      <c r="AO3932" s="5" t="s">
        <v>240</v>
      </c>
      <c r="AP3932" s="6" t="s">
        <v>240</v>
      </c>
      <c r="AQ3932" s="6" t="s">
        <v>240</v>
      </c>
      <c r="AW3932" s="5" t="s">
        <v>251</v>
      </c>
      <c r="AX3932" s="5" t="s">
        <v>252</v>
      </c>
      <c r="AY3932" s="5" t="s">
        <v>253</v>
      </c>
      <c r="AZ3932" s="5" t="s">
        <v>6046</v>
      </c>
      <c r="BA3932" s="5" t="s">
        <v>255</v>
      </c>
      <c r="BB3932" s="5" t="s">
        <v>731</v>
      </c>
      <c r="BD3932" s="5" t="s">
        <v>686</v>
      </c>
      <c r="BF3932" s="5" t="s">
        <v>301</v>
      </c>
      <c r="BG3932" s="6" t="s">
        <v>733</v>
      </c>
      <c r="BH3932" s="5" t="s">
        <v>302</v>
      </c>
      <c r="BI3932" s="5" t="s">
        <v>303</v>
      </c>
      <c r="BJ3932" s="5" t="s">
        <v>240</v>
      </c>
      <c r="BK3932" s="8">
        <f>0</f>
        <v>0</v>
      </c>
      <c r="BL3932" s="7">
        <f>0</f>
        <v>0</v>
      </c>
      <c r="BM3932" s="5" t="s">
        <v>258</v>
      </c>
      <c r="BN3932" s="5" t="s">
        <v>259</v>
      </c>
      <c r="BW3932" s="6" t="s">
        <v>240</v>
      </c>
      <c r="BX3932" s="5" t="s">
        <v>240</v>
      </c>
      <c r="BY3932" s="5" t="s">
        <v>240</v>
      </c>
      <c r="BZ3932" s="5" t="s">
        <v>240</v>
      </c>
      <c r="CB3932" s="5" t="s">
        <v>240</v>
      </c>
      <c r="CC3932" s="5" t="s">
        <v>240</v>
      </c>
      <c r="CG3932" s="5" t="s">
        <v>617</v>
      </c>
      <c r="CH3932" s="5" t="s">
        <v>305</v>
      </c>
      <c r="CI3932" s="5" t="s">
        <v>260</v>
      </c>
      <c r="CK3932" s="5" t="s">
        <v>240</v>
      </c>
      <c r="CL3932" s="6" t="s">
        <v>261</v>
      </c>
      <c r="CM3932" s="5" t="s">
        <v>240</v>
      </c>
      <c r="CN3932" s="5" t="s">
        <v>263</v>
      </c>
      <c r="CO3932" s="5" t="s">
        <v>240</v>
      </c>
      <c r="CP3932" s="5" t="s">
        <v>240</v>
      </c>
      <c r="CQ3932" s="5">
        <v>0</v>
      </c>
      <c r="CR3932" s="5" t="s">
        <v>735</v>
      </c>
      <c r="CS3932" s="5" t="s">
        <v>307</v>
      </c>
      <c r="CT3932" s="5" t="s">
        <v>307</v>
      </c>
      <c r="CU3932" s="5" t="s">
        <v>260</v>
      </c>
      <c r="CV3932" s="5" t="s">
        <v>240</v>
      </c>
      <c r="CW3932" s="8" t="s">
        <v>240</v>
      </c>
      <c r="CX3932" s="7">
        <f>3459830</f>
        <v>3459830</v>
      </c>
      <c r="CY3932" s="7">
        <f>0</f>
        <v>0</v>
      </c>
      <c r="CZ3932" s="7" t="s">
        <v>240</v>
      </c>
      <c r="DA3932" s="7">
        <f>0</f>
        <v>0</v>
      </c>
      <c r="DB3932" s="7" t="s">
        <v>240</v>
      </c>
      <c r="DC3932" s="5" t="s">
        <v>689</v>
      </c>
      <c r="DD3932" s="5" t="s">
        <v>240</v>
      </c>
      <c r="DF3932" s="5" t="s">
        <v>450</v>
      </c>
      <c r="DG3932" s="7">
        <f>0</f>
        <v>0</v>
      </c>
      <c r="DH3932" s="6" t="s">
        <v>240</v>
      </c>
      <c r="DI3932" s="5" t="s">
        <v>618</v>
      </c>
      <c r="DJ3932" s="5" t="s">
        <v>240</v>
      </c>
      <c r="DK3932" s="5" t="s">
        <v>240</v>
      </c>
      <c r="DL3932" s="5" t="s">
        <v>240</v>
      </c>
      <c r="DM3932" s="5" t="s">
        <v>240</v>
      </c>
      <c r="DN3932" s="5" t="s">
        <v>240</v>
      </c>
      <c r="DO3932" s="7" t="s">
        <v>240</v>
      </c>
      <c r="DP3932" s="5" t="s">
        <v>240</v>
      </c>
      <c r="DQ3932" s="5" t="s">
        <v>248</v>
      </c>
      <c r="DR3932" s="5" t="s">
        <v>731</v>
      </c>
      <c r="DS3932" s="5" t="s">
        <v>731</v>
      </c>
      <c r="DT3932" s="5" t="s">
        <v>240</v>
      </c>
      <c r="DU3932" s="5" t="s">
        <v>240</v>
      </c>
      <c r="DV3932" s="5" t="s">
        <v>6879</v>
      </c>
      <c r="DW3932" s="5" t="s">
        <v>691</v>
      </c>
    </row>
    <row r="3933" spans="1:240" x14ac:dyDescent="0.4">
      <c r="A3933" s="5">
        <v>9475</v>
      </c>
      <c r="B3933" s="5">
        <v>1</v>
      </c>
      <c r="C3933" s="5">
        <v>1</v>
      </c>
      <c r="D3933" s="5" t="s">
        <v>723</v>
      </c>
      <c r="E3933" s="5" t="s">
        <v>725</v>
      </c>
      <c r="F3933" s="5" t="s">
        <v>254</v>
      </c>
      <c r="G3933" s="5" t="s">
        <v>6044</v>
      </c>
      <c r="H3933" s="6" t="s">
        <v>6503</v>
      </c>
      <c r="I3933" s="5" t="s">
        <v>6502</v>
      </c>
      <c r="J3933" s="7">
        <f>1</f>
        <v>1</v>
      </c>
      <c r="K3933" s="5" t="s">
        <v>3682</v>
      </c>
      <c r="L3933" s="7">
        <f>1</f>
        <v>1</v>
      </c>
      <c r="M3933" s="7">
        <f>1</f>
        <v>1</v>
      </c>
      <c r="N3933" s="5" t="s">
        <v>242</v>
      </c>
      <c r="O3933" s="5">
        <v>1</v>
      </c>
      <c r="P3933" s="5" t="s">
        <v>294</v>
      </c>
      <c r="Q3933" s="5" t="s">
        <v>3678</v>
      </c>
      <c r="T3933" s="5" t="s">
        <v>243</v>
      </c>
      <c r="U3933" s="5" t="s">
        <v>244</v>
      </c>
      <c r="V3933" s="5" t="s">
        <v>240</v>
      </c>
      <c r="Y3933" s="5" t="s">
        <v>240</v>
      </c>
      <c r="Z3933" s="6" t="s">
        <v>298</v>
      </c>
      <c r="AA3933" s="6" t="s">
        <v>240</v>
      </c>
      <c r="AB3933" s="6" t="s">
        <v>240</v>
      </c>
      <c r="AC3933" s="5" t="s">
        <v>240</v>
      </c>
      <c r="AD3933" s="6" t="s">
        <v>240</v>
      </c>
      <c r="AE3933" s="6" t="s">
        <v>299</v>
      </c>
      <c r="AF3933" s="5" t="s">
        <v>248</v>
      </c>
      <c r="AG3933" s="5" t="s">
        <v>249</v>
      </c>
      <c r="AM3933" s="5" t="s">
        <v>240</v>
      </c>
      <c r="AN3933" s="5" t="s">
        <v>240</v>
      </c>
      <c r="AO3933" s="5" t="s">
        <v>240</v>
      </c>
      <c r="AP3933" s="6" t="s">
        <v>240</v>
      </c>
      <c r="AQ3933" s="6" t="s">
        <v>240</v>
      </c>
      <c r="AR3933" s="6" t="s">
        <v>240</v>
      </c>
      <c r="AU3933" s="5" t="s">
        <v>729</v>
      </c>
      <c r="AV3933" s="5" t="s">
        <v>729</v>
      </c>
      <c r="AW3933" s="5" t="s">
        <v>251</v>
      </c>
      <c r="AX3933" s="5" t="s">
        <v>252</v>
      </c>
      <c r="AY3933" s="5" t="s">
        <v>253</v>
      </c>
      <c r="AZ3933" s="5" t="s">
        <v>6046</v>
      </c>
      <c r="BA3933" s="5" t="s">
        <v>255</v>
      </c>
      <c r="BB3933" s="5" t="s">
        <v>731</v>
      </c>
      <c r="BD3933" s="5" t="s">
        <v>240</v>
      </c>
      <c r="BF3933" s="5" t="s">
        <v>732</v>
      </c>
      <c r="BG3933" s="6" t="s">
        <v>733</v>
      </c>
      <c r="BH3933" s="5" t="s">
        <v>734</v>
      </c>
      <c r="BI3933" s="5" t="s">
        <v>734</v>
      </c>
      <c r="BJ3933" s="5" t="s">
        <v>240</v>
      </c>
      <c r="BK3933" s="7">
        <f>1</f>
        <v>1</v>
      </c>
      <c r="BL3933" s="7">
        <f>1</f>
        <v>1</v>
      </c>
      <c r="BM3933" s="5" t="s">
        <v>258</v>
      </c>
      <c r="BN3933" s="5" t="s">
        <v>259</v>
      </c>
      <c r="BO3933" s="5" t="s">
        <v>240</v>
      </c>
      <c r="BP3933" s="5" t="s">
        <v>240</v>
      </c>
      <c r="BQ3933" s="5" t="s">
        <v>240</v>
      </c>
      <c r="BR3933" s="5" t="s">
        <v>240</v>
      </c>
      <c r="BW3933" s="6" t="s">
        <v>240</v>
      </c>
      <c r="BX3933" s="5" t="s">
        <v>240</v>
      </c>
      <c r="BY3933" s="5" t="s">
        <v>240</v>
      </c>
      <c r="BZ3933" s="5" t="s">
        <v>240</v>
      </c>
      <c r="CA3933" s="5" t="s">
        <v>259</v>
      </c>
      <c r="CB3933" s="5" t="s">
        <v>240</v>
      </c>
      <c r="CC3933" s="5" t="s">
        <v>240</v>
      </c>
      <c r="CG3933" s="5" t="s">
        <v>304</v>
      </c>
      <c r="CH3933" s="5" t="s">
        <v>305</v>
      </c>
      <c r="CI3933" s="5" t="s">
        <v>260</v>
      </c>
      <c r="CK3933" s="5" t="s">
        <v>3681</v>
      </c>
      <c r="CL3933" s="6" t="s">
        <v>261</v>
      </c>
      <c r="CM3933" s="5" t="s">
        <v>262</v>
      </c>
      <c r="CN3933" s="5" t="s">
        <v>263</v>
      </c>
      <c r="CO3933" s="5" t="s">
        <v>264</v>
      </c>
      <c r="CP3933" s="5" t="s">
        <v>240</v>
      </c>
      <c r="CQ3933" s="5">
        <v>0</v>
      </c>
      <c r="CR3933" s="5" t="s">
        <v>735</v>
      </c>
      <c r="CS3933" s="5" t="s">
        <v>307</v>
      </c>
      <c r="CT3933" s="5" t="s">
        <v>307</v>
      </c>
      <c r="CU3933" s="5" t="s">
        <v>260</v>
      </c>
      <c r="CV3933" s="5" t="s">
        <v>612</v>
      </c>
      <c r="CW3933" s="8">
        <f>1</f>
        <v>1</v>
      </c>
      <c r="CX3933" s="7">
        <f>1</f>
        <v>1</v>
      </c>
      <c r="CY3933" s="7">
        <f>0</f>
        <v>0</v>
      </c>
      <c r="CZ3933" s="7" t="s">
        <v>240</v>
      </c>
      <c r="DA3933" s="7">
        <f>1</f>
        <v>1</v>
      </c>
      <c r="DB3933" s="7" t="s">
        <v>240</v>
      </c>
      <c r="DC3933" s="5" t="s">
        <v>240</v>
      </c>
      <c r="DD3933" s="5" t="s">
        <v>240</v>
      </c>
      <c r="DF3933" s="5" t="s">
        <v>240</v>
      </c>
      <c r="DG3933" s="7">
        <f>0</f>
        <v>0</v>
      </c>
      <c r="DH3933" s="6" t="s">
        <v>240</v>
      </c>
      <c r="DI3933" s="5" t="s">
        <v>240</v>
      </c>
      <c r="DJ3933" s="5" t="s">
        <v>240</v>
      </c>
      <c r="DK3933" s="5" t="s">
        <v>240</v>
      </c>
      <c r="DL3933" s="5" t="s">
        <v>240</v>
      </c>
      <c r="DM3933" s="5" t="s">
        <v>240</v>
      </c>
      <c r="DN3933" s="5" t="s">
        <v>240</v>
      </c>
      <c r="DO3933" s="7" t="s">
        <v>240</v>
      </c>
      <c r="DP3933" s="5" t="s">
        <v>240</v>
      </c>
      <c r="DQ3933" s="5" t="s">
        <v>248</v>
      </c>
      <c r="DR3933" s="5" t="s">
        <v>731</v>
      </c>
      <c r="DS3933" s="5" t="s">
        <v>731</v>
      </c>
      <c r="DT3933" s="5" t="s">
        <v>240</v>
      </c>
      <c r="DU3933" s="5" t="s">
        <v>240</v>
      </c>
      <c r="DV3933" s="5" t="s">
        <v>5063</v>
      </c>
      <c r="DW3933" s="5" t="s">
        <v>691</v>
      </c>
      <c r="HR3933" s="5" t="s">
        <v>240</v>
      </c>
      <c r="HS3933" s="5" t="s">
        <v>240</v>
      </c>
      <c r="HT3933" s="5" t="s">
        <v>240</v>
      </c>
      <c r="HU3933" s="5" t="s">
        <v>240</v>
      </c>
      <c r="HV3933" s="5" t="s">
        <v>240</v>
      </c>
      <c r="HW3933" s="5" t="s">
        <v>240</v>
      </c>
      <c r="HX3933" s="5" t="s">
        <v>240</v>
      </c>
      <c r="HY3933" s="5" t="s">
        <v>240</v>
      </c>
      <c r="HZ3933" s="5" t="s">
        <v>240</v>
      </c>
      <c r="IA3933" s="5" t="s">
        <v>240</v>
      </c>
      <c r="IB3933" s="5" t="s">
        <v>240</v>
      </c>
      <c r="IC3933" s="5" t="s">
        <v>240</v>
      </c>
      <c r="ID3933" s="5" t="s">
        <v>240</v>
      </c>
      <c r="IE3933" s="5" t="s">
        <v>240</v>
      </c>
      <c r="IF3933" s="5" t="s">
        <v>240</v>
      </c>
    </row>
    <row r="3934" spans="1:240" x14ac:dyDescent="0.4">
      <c r="A3934" s="5">
        <v>9476</v>
      </c>
      <c r="B3934" s="5">
        <v>1</v>
      </c>
      <c r="C3934" s="5">
        <v>1</v>
      </c>
      <c r="D3934" s="5" t="s">
        <v>723</v>
      </c>
      <c r="E3934" s="5" t="s">
        <v>725</v>
      </c>
      <c r="F3934" s="5" t="s">
        <v>254</v>
      </c>
      <c r="G3934" s="5" t="s">
        <v>6044</v>
      </c>
      <c r="H3934" s="6" t="s">
        <v>6438</v>
      </c>
      <c r="I3934" s="5" t="s">
        <v>6437</v>
      </c>
      <c r="J3934" s="7">
        <f>1</f>
        <v>1</v>
      </c>
      <c r="K3934" s="5" t="s">
        <v>3682</v>
      </c>
      <c r="L3934" s="7">
        <f>1</f>
        <v>1</v>
      </c>
      <c r="M3934" s="7">
        <f>1</f>
        <v>1</v>
      </c>
      <c r="N3934" s="5" t="s">
        <v>242</v>
      </c>
      <c r="O3934" s="5">
        <v>1</v>
      </c>
      <c r="P3934" s="5" t="s">
        <v>294</v>
      </c>
      <c r="Q3934" s="5" t="s">
        <v>240</v>
      </c>
      <c r="T3934" s="5" t="s">
        <v>296</v>
      </c>
      <c r="U3934" s="5" t="s">
        <v>244</v>
      </c>
      <c r="V3934" s="5" t="s">
        <v>240</v>
      </c>
      <c r="Y3934" s="5" t="s">
        <v>240</v>
      </c>
      <c r="Z3934" s="6" t="s">
        <v>7128</v>
      </c>
      <c r="AA3934" s="6" t="s">
        <v>240</v>
      </c>
      <c r="AB3934" s="6" t="s">
        <v>240</v>
      </c>
      <c r="AC3934" s="5" t="s">
        <v>240</v>
      </c>
      <c r="AD3934" s="6" t="s">
        <v>240</v>
      </c>
      <c r="AE3934" s="6" t="s">
        <v>240</v>
      </c>
      <c r="AF3934" s="5" t="s">
        <v>248</v>
      </c>
      <c r="AG3934" s="5" t="s">
        <v>249</v>
      </c>
      <c r="AM3934" s="5" t="s">
        <v>240</v>
      </c>
      <c r="AN3934" s="5" t="s">
        <v>240</v>
      </c>
      <c r="AO3934" s="5" t="s">
        <v>240</v>
      </c>
      <c r="AP3934" s="6" t="s">
        <v>240</v>
      </c>
      <c r="AQ3934" s="6" t="s">
        <v>240</v>
      </c>
      <c r="AR3934" s="6" t="s">
        <v>240</v>
      </c>
      <c r="AU3934" s="5" t="s">
        <v>729</v>
      </c>
      <c r="AV3934" s="5" t="s">
        <v>729</v>
      </c>
      <c r="AW3934" s="5" t="s">
        <v>251</v>
      </c>
      <c r="AX3934" s="5" t="s">
        <v>252</v>
      </c>
      <c r="AY3934" s="5" t="s">
        <v>253</v>
      </c>
      <c r="AZ3934" s="5" t="s">
        <v>6046</v>
      </c>
      <c r="BA3934" s="5" t="s">
        <v>255</v>
      </c>
      <c r="BB3934" s="5" t="s">
        <v>731</v>
      </c>
      <c r="BD3934" s="5" t="s">
        <v>842</v>
      </c>
      <c r="BF3934" s="5" t="s">
        <v>256</v>
      </c>
      <c r="BG3934" s="6" t="s">
        <v>7128</v>
      </c>
      <c r="BH3934" s="5" t="s">
        <v>734</v>
      </c>
      <c r="BI3934" s="5" t="s">
        <v>734</v>
      </c>
      <c r="BJ3934" s="5" t="s">
        <v>240</v>
      </c>
      <c r="BK3934" s="8">
        <f>256</f>
        <v>256</v>
      </c>
      <c r="BL3934" s="7">
        <f>1</f>
        <v>1</v>
      </c>
      <c r="BM3934" s="5" t="s">
        <v>258</v>
      </c>
      <c r="BN3934" s="5" t="s">
        <v>259</v>
      </c>
      <c r="BO3934" s="5" t="s">
        <v>240</v>
      </c>
      <c r="BP3934" s="5" t="s">
        <v>240</v>
      </c>
      <c r="BQ3934" s="5" t="s">
        <v>240</v>
      </c>
      <c r="BR3934" s="5" t="s">
        <v>240</v>
      </c>
      <c r="BW3934" s="6" t="s">
        <v>240</v>
      </c>
      <c r="BX3934" s="5" t="s">
        <v>240</v>
      </c>
      <c r="BY3934" s="5" t="s">
        <v>240</v>
      </c>
      <c r="BZ3934" s="5" t="s">
        <v>240</v>
      </c>
      <c r="CA3934" s="5" t="s">
        <v>259</v>
      </c>
      <c r="CB3934" s="5" t="s">
        <v>240</v>
      </c>
      <c r="CC3934" s="5" t="s">
        <v>240</v>
      </c>
      <c r="CG3934" s="5" t="s">
        <v>240</v>
      </c>
      <c r="CH3934" s="5" t="s">
        <v>240</v>
      </c>
      <c r="CI3934" s="5" t="s">
        <v>260</v>
      </c>
      <c r="CK3934" s="5" t="s">
        <v>240</v>
      </c>
      <c r="CL3934" s="6" t="s">
        <v>261</v>
      </c>
      <c r="CM3934" s="5" t="s">
        <v>262</v>
      </c>
      <c r="CN3934" s="5" t="s">
        <v>263</v>
      </c>
      <c r="CO3934" s="5" t="s">
        <v>264</v>
      </c>
      <c r="CP3934" s="5" t="s">
        <v>240</v>
      </c>
      <c r="CQ3934" s="5">
        <v>0</v>
      </c>
      <c r="CR3934" s="5" t="s">
        <v>735</v>
      </c>
      <c r="CS3934" s="5" t="s">
        <v>307</v>
      </c>
      <c r="CT3934" s="5" t="s">
        <v>307</v>
      </c>
      <c r="CU3934" s="5" t="s">
        <v>260</v>
      </c>
      <c r="CV3934" s="5" t="s">
        <v>240</v>
      </c>
      <c r="CW3934" s="8">
        <f>0</f>
        <v>0</v>
      </c>
      <c r="CX3934" s="7">
        <f>1</f>
        <v>1</v>
      </c>
      <c r="CY3934" s="7">
        <f>0</f>
        <v>0</v>
      </c>
      <c r="CZ3934" s="7">
        <f>0</f>
        <v>0</v>
      </c>
      <c r="DA3934" s="7">
        <f>1</f>
        <v>1</v>
      </c>
      <c r="DB3934" s="7" t="s">
        <v>240</v>
      </c>
      <c r="DC3934" s="5" t="s">
        <v>240</v>
      </c>
      <c r="DD3934" s="5" t="s">
        <v>240</v>
      </c>
      <c r="DF3934" s="5" t="s">
        <v>240</v>
      </c>
      <c r="DG3934" s="7">
        <f>0</f>
        <v>0</v>
      </c>
      <c r="DH3934" s="6" t="s">
        <v>240</v>
      </c>
      <c r="DI3934" s="5" t="s">
        <v>240</v>
      </c>
      <c r="DJ3934" s="5" t="s">
        <v>240</v>
      </c>
      <c r="DK3934" s="5" t="s">
        <v>240</v>
      </c>
      <c r="DL3934" s="5" t="s">
        <v>240</v>
      </c>
      <c r="DM3934" s="5" t="s">
        <v>240</v>
      </c>
      <c r="DN3934" s="5" t="s">
        <v>240</v>
      </c>
      <c r="DO3934" s="7" t="s">
        <v>240</v>
      </c>
      <c r="DP3934" s="5" t="s">
        <v>240</v>
      </c>
      <c r="DQ3934" s="5" t="s">
        <v>248</v>
      </c>
      <c r="DR3934" s="5" t="s">
        <v>731</v>
      </c>
      <c r="DS3934" s="5" t="s">
        <v>731</v>
      </c>
      <c r="DT3934" s="5" t="s">
        <v>240</v>
      </c>
      <c r="DU3934" s="5" t="s">
        <v>240</v>
      </c>
      <c r="HR3934" s="5" t="s">
        <v>240</v>
      </c>
      <c r="HS3934" s="5" t="s">
        <v>240</v>
      </c>
      <c r="HT3934" s="5" t="s">
        <v>240</v>
      </c>
      <c r="HU3934" s="5" t="s">
        <v>240</v>
      </c>
      <c r="HV3934" s="5" t="s">
        <v>240</v>
      </c>
      <c r="HW3934" s="5" t="s">
        <v>240</v>
      </c>
      <c r="HX3934" s="5" t="s">
        <v>240</v>
      </c>
      <c r="HY3934" s="5" t="s">
        <v>240</v>
      </c>
      <c r="HZ3934" s="5" t="s">
        <v>240</v>
      </c>
      <c r="IA3934" s="5" t="s">
        <v>240</v>
      </c>
      <c r="IB3934" s="5" t="s">
        <v>240</v>
      </c>
      <c r="IC3934" s="5" t="s">
        <v>240</v>
      </c>
      <c r="ID3934" s="5" t="s">
        <v>240</v>
      </c>
      <c r="IE3934" s="5" t="s">
        <v>240</v>
      </c>
      <c r="IF3934" s="5" t="s">
        <v>240</v>
      </c>
    </row>
    <row r="3935" spans="1:240" x14ac:dyDescent="0.4">
      <c r="A3935" s="5">
        <v>9477</v>
      </c>
      <c r="B3935" s="5">
        <v>1</v>
      </c>
      <c r="C3935" s="5">
        <v>1</v>
      </c>
      <c r="D3935" s="5" t="s">
        <v>723</v>
      </c>
      <c r="E3935" s="5" t="s">
        <v>725</v>
      </c>
      <c r="F3935" s="5" t="s">
        <v>254</v>
      </c>
      <c r="G3935" s="5" t="s">
        <v>6044</v>
      </c>
      <c r="H3935" s="6" t="s">
        <v>6436</v>
      </c>
      <c r="I3935" s="5" t="s">
        <v>6435</v>
      </c>
      <c r="J3935" s="7">
        <f>1</f>
        <v>1</v>
      </c>
      <c r="K3935" s="5" t="s">
        <v>3682</v>
      </c>
      <c r="L3935" s="7">
        <f>1</f>
        <v>1</v>
      </c>
      <c r="M3935" s="7">
        <f>1</f>
        <v>1</v>
      </c>
      <c r="N3935" s="5" t="s">
        <v>242</v>
      </c>
      <c r="O3935" s="5">
        <v>1</v>
      </c>
      <c r="P3935" s="5" t="s">
        <v>294</v>
      </c>
      <c r="Q3935" s="5" t="s">
        <v>613</v>
      </c>
      <c r="T3935" s="5" t="s">
        <v>243</v>
      </c>
      <c r="U3935" s="5" t="s">
        <v>244</v>
      </c>
      <c r="V3935" s="5" t="s">
        <v>240</v>
      </c>
      <c r="Y3935" s="5" t="s">
        <v>240</v>
      </c>
      <c r="Z3935" s="6" t="s">
        <v>298</v>
      </c>
      <c r="AA3935" s="6" t="s">
        <v>240</v>
      </c>
      <c r="AB3935" s="6" t="s">
        <v>240</v>
      </c>
      <c r="AC3935" s="5" t="s">
        <v>240</v>
      </c>
      <c r="AD3935" s="6" t="s">
        <v>240</v>
      </c>
      <c r="AE3935" s="6" t="s">
        <v>299</v>
      </c>
      <c r="AF3935" s="5" t="s">
        <v>248</v>
      </c>
      <c r="AG3935" s="5" t="s">
        <v>249</v>
      </c>
      <c r="AM3935" s="5" t="s">
        <v>240</v>
      </c>
      <c r="AN3935" s="5" t="s">
        <v>240</v>
      </c>
      <c r="AO3935" s="5" t="s">
        <v>240</v>
      </c>
      <c r="AP3935" s="6" t="s">
        <v>240</v>
      </c>
      <c r="AQ3935" s="6" t="s">
        <v>240</v>
      </c>
      <c r="AW3935" s="5" t="s">
        <v>251</v>
      </c>
      <c r="AX3935" s="5" t="s">
        <v>252</v>
      </c>
      <c r="AY3935" s="5" t="s">
        <v>253</v>
      </c>
      <c r="AZ3935" s="5" t="s">
        <v>6046</v>
      </c>
      <c r="BA3935" s="5" t="s">
        <v>255</v>
      </c>
      <c r="BB3935" s="5" t="s">
        <v>731</v>
      </c>
      <c r="BD3935" s="5" t="s">
        <v>686</v>
      </c>
      <c r="BF3935" s="5" t="s">
        <v>301</v>
      </c>
      <c r="BG3935" s="6" t="s">
        <v>733</v>
      </c>
      <c r="BH3935" s="5" t="s">
        <v>302</v>
      </c>
      <c r="BI3935" s="5" t="s">
        <v>303</v>
      </c>
      <c r="BJ3935" s="5" t="s">
        <v>240</v>
      </c>
      <c r="BK3935" s="8">
        <f>0</f>
        <v>0</v>
      </c>
      <c r="BL3935" s="7">
        <f>0</f>
        <v>0</v>
      </c>
      <c r="BM3935" s="5" t="s">
        <v>258</v>
      </c>
      <c r="BN3935" s="5" t="s">
        <v>259</v>
      </c>
      <c r="BW3935" s="6" t="s">
        <v>240</v>
      </c>
      <c r="BX3935" s="5" t="s">
        <v>240</v>
      </c>
      <c r="BY3935" s="5" t="s">
        <v>240</v>
      </c>
      <c r="BZ3935" s="5" t="s">
        <v>240</v>
      </c>
      <c r="CB3935" s="5" t="s">
        <v>240</v>
      </c>
      <c r="CC3935" s="5" t="s">
        <v>240</v>
      </c>
      <c r="CG3935" s="5" t="s">
        <v>617</v>
      </c>
      <c r="CH3935" s="5" t="s">
        <v>305</v>
      </c>
      <c r="CI3935" s="5" t="s">
        <v>260</v>
      </c>
      <c r="CK3935" s="5" t="s">
        <v>240</v>
      </c>
      <c r="CL3935" s="6" t="s">
        <v>261</v>
      </c>
      <c r="CM3935" s="5" t="s">
        <v>240</v>
      </c>
      <c r="CN3935" s="5" t="s">
        <v>263</v>
      </c>
      <c r="CO3935" s="5" t="s">
        <v>240</v>
      </c>
      <c r="CP3935" s="5" t="s">
        <v>240</v>
      </c>
      <c r="CQ3935" s="5">
        <v>0</v>
      </c>
      <c r="CR3935" s="5" t="s">
        <v>735</v>
      </c>
      <c r="CS3935" s="5" t="s">
        <v>307</v>
      </c>
      <c r="CT3935" s="5" t="s">
        <v>307</v>
      </c>
      <c r="CU3935" s="5" t="s">
        <v>260</v>
      </c>
      <c r="CV3935" s="5" t="s">
        <v>240</v>
      </c>
      <c r="CW3935" s="8" t="s">
        <v>240</v>
      </c>
      <c r="CX3935" s="7">
        <f>29607905</f>
        <v>29607905</v>
      </c>
      <c r="CY3935" s="7">
        <f>0</f>
        <v>0</v>
      </c>
      <c r="CZ3935" s="7" t="s">
        <v>240</v>
      </c>
      <c r="DA3935" s="7">
        <f>0</f>
        <v>0</v>
      </c>
      <c r="DB3935" s="7" t="s">
        <v>240</v>
      </c>
      <c r="DC3935" s="5" t="s">
        <v>689</v>
      </c>
      <c r="DD3935" s="5" t="s">
        <v>240</v>
      </c>
      <c r="DF3935" s="5" t="s">
        <v>450</v>
      </c>
      <c r="DG3935" s="7">
        <f>0</f>
        <v>0</v>
      </c>
      <c r="DH3935" s="6" t="s">
        <v>240</v>
      </c>
      <c r="DI3935" s="5" t="s">
        <v>618</v>
      </c>
      <c r="DJ3935" s="5" t="s">
        <v>240</v>
      </c>
      <c r="DK3935" s="5" t="s">
        <v>240</v>
      </c>
      <c r="DL3935" s="5" t="s">
        <v>240</v>
      </c>
      <c r="DM3935" s="5" t="s">
        <v>240</v>
      </c>
      <c r="DN3935" s="5" t="s">
        <v>240</v>
      </c>
      <c r="DO3935" s="7" t="s">
        <v>240</v>
      </c>
      <c r="DP3935" s="5" t="s">
        <v>240</v>
      </c>
      <c r="DQ3935" s="5" t="s">
        <v>248</v>
      </c>
      <c r="DR3935" s="5" t="s">
        <v>731</v>
      </c>
      <c r="DS3935" s="5" t="s">
        <v>731</v>
      </c>
      <c r="DT3935" s="5" t="s">
        <v>240</v>
      </c>
      <c r="DU3935" s="5" t="s">
        <v>240</v>
      </c>
      <c r="DV3935" s="5" t="s">
        <v>6879</v>
      </c>
      <c r="DW3935" s="5" t="s">
        <v>818</v>
      </c>
    </row>
    <row r="3936" spans="1:240" x14ac:dyDescent="0.4">
      <c r="A3936" s="5">
        <v>9478</v>
      </c>
      <c r="B3936" s="5">
        <v>1</v>
      </c>
      <c r="C3936" s="5">
        <v>1</v>
      </c>
      <c r="D3936" s="5" t="s">
        <v>723</v>
      </c>
      <c r="E3936" s="5" t="s">
        <v>725</v>
      </c>
      <c r="F3936" s="5" t="s">
        <v>254</v>
      </c>
      <c r="G3936" s="5" t="s">
        <v>6044</v>
      </c>
      <c r="H3936" s="6" t="s">
        <v>6434</v>
      </c>
      <c r="I3936" s="5" t="s">
        <v>6433</v>
      </c>
      <c r="J3936" s="7">
        <f>1</f>
        <v>1</v>
      </c>
      <c r="K3936" s="5" t="s">
        <v>3682</v>
      </c>
      <c r="L3936" s="7">
        <f>1</f>
        <v>1</v>
      </c>
      <c r="M3936" s="7">
        <f>1</f>
        <v>1</v>
      </c>
      <c r="N3936" s="5" t="s">
        <v>242</v>
      </c>
      <c r="O3936" s="5">
        <v>1</v>
      </c>
      <c r="P3936" s="5" t="s">
        <v>294</v>
      </c>
      <c r="Q3936" s="5" t="s">
        <v>240</v>
      </c>
      <c r="T3936" s="5" t="s">
        <v>240</v>
      </c>
      <c r="U3936" s="5" t="s">
        <v>240</v>
      </c>
      <c r="V3936" s="5" t="s">
        <v>240</v>
      </c>
      <c r="Y3936" s="5" t="s">
        <v>245</v>
      </c>
      <c r="Z3936" s="6" t="s">
        <v>7132</v>
      </c>
      <c r="AA3936" s="6" t="s">
        <v>240</v>
      </c>
      <c r="AB3936" s="6" t="s">
        <v>240</v>
      </c>
      <c r="AC3936" s="5" t="s">
        <v>240</v>
      </c>
      <c r="AD3936" s="6" t="s">
        <v>240</v>
      </c>
      <c r="AE3936" s="6" t="s">
        <v>7132</v>
      </c>
      <c r="AF3936" s="5" t="s">
        <v>248</v>
      </c>
      <c r="AG3936" s="5" t="s">
        <v>240</v>
      </c>
      <c r="AM3936" s="5" t="s">
        <v>240</v>
      </c>
      <c r="AN3936" s="5" t="s">
        <v>240</v>
      </c>
      <c r="AO3936" s="5" t="s">
        <v>240</v>
      </c>
      <c r="AP3936" s="6" t="s">
        <v>240</v>
      </c>
      <c r="AQ3936" s="6" t="s">
        <v>240</v>
      </c>
      <c r="AR3936" s="6" t="s">
        <v>240</v>
      </c>
      <c r="AU3936" s="5" t="s">
        <v>729</v>
      </c>
      <c r="AV3936" s="5" t="s">
        <v>729</v>
      </c>
      <c r="AW3936" s="5" t="s">
        <v>251</v>
      </c>
      <c r="AX3936" s="5" t="s">
        <v>252</v>
      </c>
      <c r="AY3936" s="5" t="s">
        <v>253</v>
      </c>
      <c r="AZ3936" s="5" t="s">
        <v>240</v>
      </c>
      <c r="BA3936" s="5" t="s">
        <v>255</v>
      </c>
      <c r="BB3936" s="5" t="s">
        <v>731</v>
      </c>
      <c r="BD3936" s="5" t="s">
        <v>240</v>
      </c>
      <c r="BF3936" s="5" t="s">
        <v>6763</v>
      </c>
      <c r="BG3936" s="6" t="s">
        <v>7134</v>
      </c>
      <c r="BH3936" s="5" t="s">
        <v>6742</v>
      </c>
      <c r="BI3936" s="5" t="s">
        <v>6743</v>
      </c>
      <c r="BJ3936" s="5" t="s">
        <v>240</v>
      </c>
      <c r="BK3936" s="7">
        <f>0</f>
        <v>0</v>
      </c>
      <c r="BL3936" s="7">
        <f>199276</f>
        <v>199276</v>
      </c>
      <c r="BM3936" s="5" t="s">
        <v>258</v>
      </c>
      <c r="BN3936" s="5" t="s">
        <v>259</v>
      </c>
      <c r="BO3936" s="5" t="s">
        <v>6744</v>
      </c>
      <c r="BP3936" s="5" t="s">
        <v>6745</v>
      </c>
      <c r="BQ3936" s="5" t="s">
        <v>6745</v>
      </c>
      <c r="BR3936" s="5" t="s">
        <v>240</v>
      </c>
      <c r="BS3936" s="5" t="s">
        <v>258</v>
      </c>
      <c r="BT3936" s="5" t="s">
        <v>6747</v>
      </c>
      <c r="BU3936" s="5" t="s">
        <v>6747</v>
      </c>
      <c r="BW3936" s="6" t="s">
        <v>7135</v>
      </c>
      <c r="BX3936" s="5" t="s">
        <v>258</v>
      </c>
      <c r="BY3936" s="5" t="s">
        <v>240</v>
      </c>
      <c r="BZ3936" s="5" t="s">
        <v>240</v>
      </c>
      <c r="CA3936" s="5" t="s">
        <v>259</v>
      </c>
      <c r="CB3936" s="5" t="s">
        <v>240</v>
      </c>
      <c r="CC3936" s="5" t="s">
        <v>240</v>
      </c>
      <c r="CG3936" s="5" t="s">
        <v>240</v>
      </c>
      <c r="CH3936" s="5" t="s">
        <v>240</v>
      </c>
      <c r="CI3936" s="5" t="s">
        <v>260</v>
      </c>
      <c r="CK3936" s="5" t="s">
        <v>240</v>
      </c>
      <c r="CL3936" s="6" t="s">
        <v>261</v>
      </c>
      <c r="CM3936" s="5" t="s">
        <v>262</v>
      </c>
      <c r="CN3936" s="5" t="s">
        <v>293</v>
      </c>
      <c r="CO3936" s="5" t="s">
        <v>264</v>
      </c>
      <c r="CP3936" s="5" t="s">
        <v>240</v>
      </c>
      <c r="CQ3936" s="5">
        <v>0</v>
      </c>
      <c r="CR3936" s="5" t="s">
        <v>240</v>
      </c>
      <c r="CS3936" s="5" t="s">
        <v>240</v>
      </c>
      <c r="CT3936" s="5" t="s">
        <v>240</v>
      </c>
      <c r="CU3936" s="5" t="s">
        <v>260</v>
      </c>
      <c r="CV3936" s="5" t="s">
        <v>240</v>
      </c>
      <c r="CW3936" s="8">
        <f>0</f>
        <v>0</v>
      </c>
      <c r="CX3936" s="7">
        <f>199276</f>
        <v>199276</v>
      </c>
      <c r="CY3936" s="7">
        <f>0</f>
        <v>0</v>
      </c>
      <c r="CZ3936" s="7">
        <f>0</f>
        <v>0</v>
      </c>
      <c r="DA3936" s="7">
        <f>199276</f>
        <v>199276</v>
      </c>
      <c r="DB3936" s="7" t="s">
        <v>240</v>
      </c>
      <c r="DC3936" s="5" t="s">
        <v>240</v>
      </c>
      <c r="DD3936" s="5" t="s">
        <v>240</v>
      </c>
      <c r="DF3936" s="5" t="s">
        <v>240</v>
      </c>
      <c r="DG3936" s="7">
        <f>0</f>
        <v>0</v>
      </c>
      <c r="DH3936" s="6" t="s">
        <v>240</v>
      </c>
      <c r="DI3936" s="5" t="s">
        <v>240</v>
      </c>
      <c r="DJ3936" s="5" t="s">
        <v>240</v>
      </c>
      <c r="DK3936" s="5" t="s">
        <v>240</v>
      </c>
      <c r="DL3936" s="5" t="s">
        <v>240</v>
      </c>
      <c r="DM3936" s="5" t="s">
        <v>240</v>
      </c>
      <c r="DN3936" s="5" t="s">
        <v>240</v>
      </c>
      <c r="DO3936" s="7" t="s">
        <v>240</v>
      </c>
      <c r="DP3936" s="5" t="s">
        <v>240</v>
      </c>
      <c r="DQ3936" s="5" t="s">
        <v>248</v>
      </c>
      <c r="DR3936" s="5" t="s">
        <v>731</v>
      </c>
      <c r="DS3936" s="5" t="s">
        <v>731</v>
      </c>
      <c r="DT3936" s="5" t="s">
        <v>240</v>
      </c>
      <c r="DU3936" s="5" t="s">
        <v>240</v>
      </c>
      <c r="GN3936" s="5" t="s">
        <v>7136</v>
      </c>
      <c r="HR3936" s="5" t="s">
        <v>240</v>
      </c>
      <c r="HS3936" s="5" t="s">
        <v>240</v>
      </c>
      <c r="HT3936" s="5" t="s">
        <v>240</v>
      </c>
      <c r="HU3936" s="5" t="s">
        <v>240</v>
      </c>
      <c r="HV3936" s="5" t="s">
        <v>240</v>
      </c>
      <c r="HW3936" s="5" t="s">
        <v>240</v>
      </c>
      <c r="HX3936" s="5" t="s">
        <v>240</v>
      </c>
      <c r="HY3936" s="5" t="s">
        <v>240</v>
      </c>
      <c r="HZ3936" s="5" t="s">
        <v>240</v>
      </c>
      <c r="IA3936" s="5" t="s">
        <v>240</v>
      </c>
      <c r="IB3936" s="5" t="s">
        <v>240</v>
      </c>
      <c r="IC3936" s="5" t="s">
        <v>240</v>
      </c>
      <c r="ID3936" s="5" t="s">
        <v>240</v>
      </c>
      <c r="IE3936" s="5" t="s">
        <v>240</v>
      </c>
      <c r="IF3936" s="5" t="s">
        <v>240</v>
      </c>
    </row>
    <row r="3937" spans="1:240" x14ac:dyDescent="0.4">
      <c r="A3937" s="5">
        <v>9479</v>
      </c>
      <c r="B3937" s="5">
        <v>1</v>
      </c>
      <c r="C3937" s="5">
        <v>1</v>
      </c>
      <c r="D3937" s="5" t="s">
        <v>723</v>
      </c>
      <c r="E3937" s="5" t="s">
        <v>1270</v>
      </c>
      <c r="F3937" s="5" t="s">
        <v>730</v>
      </c>
      <c r="G3937" s="5" t="s">
        <v>6770</v>
      </c>
      <c r="H3937" s="6" t="s">
        <v>6771</v>
      </c>
      <c r="I3937" s="5" t="s">
        <v>722</v>
      </c>
      <c r="J3937" s="8">
        <f>952</f>
        <v>952</v>
      </c>
      <c r="K3937" s="5" t="s">
        <v>308</v>
      </c>
      <c r="L3937" s="7">
        <f>39032</f>
        <v>39032</v>
      </c>
      <c r="M3937" s="7">
        <f>39032</f>
        <v>39032</v>
      </c>
      <c r="N3937" s="5" t="s">
        <v>242</v>
      </c>
      <c r="O3937" s="5">
        <v>1</v>
      </c>
      <c r="P3937" s="5" t="s">
        <v>294</v>
      </c>
      <c r="Q3937" s="5" t="s">
        <v>613</v>
      </c>
      <c r="T3937" s="5" t="s">
        <v>243</v>
      </c>
      <c r="U3937" s="5" t="s">
        <v>244</v>
      </c>
      <c r="V3937" s="5" t="s">
        <v>240</v>
      </c>
      <c r="Y3937" s="5" t="s">
        <v>240</v>
      </c>
      <c r="Z3937" s="6" t="s">
        <v>298</v>
      </c>
      <c r="AA3937" s="6" t="s">
        <v>240</v>
      </c>
      <c r="AB3937" s="6" t="s">
        <v>240</v>
      </c>
      <c r="AC3937" s="5" t="s">
        <v>240</v>
      </c>
      <c r="AD3937" s="6" t="s">
        <v>240</v>
      </c>
      <c r="AE3937" s="6" t="s">
        <v>299</v>
      </c>
      <c r="AF3937" s="5" t="s">
        <v>248</v>
      </c>
      <c r="AG3937" s="5" t="s">
        <v>249</v>
      </c>
      <c r="AM3937" s="5" t="s">
        <v>240</v>
      </c>
      <c r="AN3937" s="5" t="s">
        <v>240</v>
      </c>
      <c r="AO3937" s="5" t="s">
        <v>240</v>
      </c>
      <c r="AP3937" s="6" t="s">
        <v>240</v>
      </c>
      <c r="AQ3937" s="6" t="s">
        <v>240</v>
      </c>
      <c r="AW3937" s="5" t="s">
        <v>251</v>
      </c>
      <c r="AX3937" s="5" t="s">
        <v>252</v>
      </c>
      <c r="AY3937" s="5" t="s">
        <v>253</v>
      </c>
      <c r="AZ3937" s="5" t="s">
        <v>6046</v>
      </c>
      <c r="BA3937" s="5" t="s">
        <v>255</v>
      </c>
      <c r="BB3937" s="5" t="s">
        <v>731</v>
      </c>
      <c r="BD3937" s="5" t="s">
        <v>686</v>
      </c>
      <c r="BF3937" s="5" t="s">
        <v>301</v>
      </c>
      <c r="BG3937" s="6" t="s">
        <v>733</v>
      </c>
      <c r="BH3937" s="5" t="s">
        <v>302</v>
      </c>
      <c r="BI3937" s="5" t="s">
        <v>303</v>
      </c>
      <c r="BJ3937" s="5" t="s">
        <v>240</v>
      </c>
      <c r="BK3937" s="8">
        <f>0</f>
        <v>0</v>
      </c>
      <c r="BL3937" s="7">
        <f>0</f>
        <v>0</v>
      </c>
      <c r="BM3937" s="5" t="s">
        <v>258</v>
      </c>
      <c r="BN3937" s="5" t="s">
        <v>259</v>
      </c>
      <c r="BW3937" s="6" t="s">
        <v>240</v>
      </c>
      <c r="BX3937" s="5" t="s">
        <v>240</v>
      </c>
      <c r="BY3937" s="5" t="s">
        <v>240</v>
      </c>
      <c r="BZ3937" s="5" t="s">
        <v>240</v>
      </c>
      <c r="CB3937" s="5" t="s">
        <v>240</v>
      </c>
      <c r="CC3937" s="5" t="s">
        <v>240</v>
      </c>
      <c r="CG3937" s="5" t="s">
        <v>617</v>
      </c>
      <c r="CH3937" s="5" t="s">
        <v>305</v>
      </c>
      <c r="CI3937" s="5" t="s">
        <v>260</v>
      </c>
      <c r="CK3937" s="5" t="s">
        <v>240</v>
      </c>
      <c r="CL3937" s="6" t="s">
        <v>261</v>
      </c>
      <c r="CM3937" s="5" t="s">
        <v>240</v>
      </c>
      <c r="CN3937" s="5" t="s">
        <v>263</v>
      </c>
      <c r="CO3937" s="5" t="s">
        <v>240</v>
      </c>
      <c r="CP3937" s="5" t="s">
        <v>240</v>
      </c>
      <c r="CQ3937" s="5">
        <v>0</v>
      </c>
      <c r="CR3937" s="5" t="s">
        <v>735</v>
      </c>
      <c r="CS3937" s="5" t="s">
        <v>307</v>
      </c>
      <c r="CT3937" s="5" t="s">
        <v>307</v>
      </c>
      <c r="CU3937" s="5" t="s">
        <v>260</v>
      </c>
      <c r="CV3937" s="5" t="s">
        <v>240</v>
      </c>
      <c r="CW3937" s="8" t="s">
        <v>240</v>
      </c>
      <c r="CX3937" s="7">
        <f>364</f>
        <v>364</v>
      </c>
      <c r="CY3937" s="7">
        <f>0</f>
        <v>0</v>
      </c>
      <c r="CZ3937" s="7" t="s">
        <v>240</v>
      </c>
      <c r="DA3937" s="7">
        <f>0</f>
        <v>0</v>
      </c>
      <c r="DB3937" s="7" t="s">
        <v>240</v>
      </c>
      <c r="DC3937" s="5" t="s">
        <v>1320</v>
      </c>
      <c r="DD3937" s="5" t="s">
        <v>240</v>
      </c>
      <c r="DF3937" s="5" t="s">
        <v>450</v>
      </c>
      <c r="DG3937" s="7">
        <f>0</f>
        <v>0</v>
      </c>
      <c r="DH3937" s="6" t="s">
        <v>240</v>
      </c>
      <c r="DI3937" s="5" t="s">
        <v>1320</v>
      </c>
      <c r="DJ3937" s="5" t="s">
        <v>240</v>
      </c>
      <c r="DK3937" s="5" t="s">
        <v>240</v>
      </c>
      <c r="DL3937" s="5" t="s">
        <v>240</v>
      </c>
      <c r="DM3937" s="5" t="s">
        <v>240</v>
      </c>
      <c r="DN3937" s="5" t="s">
        <v>240</v>
      </c>
      <c r="DO3937" s="7" t="s">
        <v>240</v>
      </c>
      <c r="DP3937" s="5" t="s">
        <v>240</v>
      </c>
      <c r="DQ3937" s="5" t="s">
        <v>248</v>
      </c>
      <c r="DR3937" s="5" t="s">
        <v>731</v>
      </c>
      <c r="DS3937" s="5" t="s">
        <v>731</v>
      </c>
      <c r="DT3937" s="5" t="s">
        <v>240</v>
      </c>
      <c r="DU3937" s="5" t="s">
        <v>240</v>
      </c>
      <c r="DV3937" s="5" t="s">
        <v>7140</v>
      </c>
      <c r="DW3937" s="5" t="s">
        <v>621</v>
      </c>
    </row>
    <row r="3938" spans="1:240" x14ac:dyDescent="0.4">
      <c r="A3938" s="5">
        <v>9480</v>
      </c>
      <c r="B3938" s="5">
        <v>1</v>
      </c>
      <c r="C3938" s="5">
        <v>1</v>
      </c>
      <c r="D3938" s="5" t="s">
        <v>723</v>
      </c>
      <c r="E3938" s="5" t="s">
        <v>1270</v>
      </c>
      <c r="F3938" s="5" t="s">
        <v>730</v>
      </c>
      <c r="G3938" s="5" t="s">
        <v>6800</v>
      </c>
      <c r="H3938" s="6" t="s">
        <v>6801</v>
      </c>
      <c r="I3938" s="5" t="s">
        <v>722</v>
      </c>
      <c r="J3938" s="8">
        <f>208</f>
        <v>208</v>
      </c>
      <c r="K3938" s="5" t="s">
        <v>308</v>
      </c>
      <c r="L3938" s="7">
        <f>460720</f>
        <v>460720</v>
      </c>
      <c r="M3938" s="7">
        <f>460720</f>
        <v>460720</v>
      </c>
      <c r="N3938" s="5" t="s">
        <v>242</v>
      </c>
      <c r="O3938" s="5">
        <v>1</v>
      </c>
      <c r="P3938" s="5" t="s">
        <v>294</v>
      </c>
      <c r="Q3938" s="5" t="s">
        <v>613</v>
      </c>
      <c r="T3938" s="5" t="s">
        <v>296</v>
      </c>
      <c r="U3938" s="5" t="s">
        <v>244</v>
      </c>
      <c r="V3938" s="5" t="s">
        <v>240</v>
      </c>
      <c r="Y3938" s="5" t="s">
        <v>240</v>
      </c>
      <c r="Z3938" s="6" t="s">
        <v>7142</v>
      </c>
      <c r="AA3938" s="6" t="s">
        <v>240</v>
      </c>
      <c r="AB3938" s="6" t="s">
        <v>240</v>
      </c>
      <c r="AC3938" s="5" t="s">
        <v>240</v>
      </c>
      <c r="AD3938" s="6" t="s">
        <v>240</v>
      </c>
      <c r="AE3938" s="6" t="s">
        <v>240</v>
      </c>
      <c r="AF3938" s="5" t="s">
        <v>727</v>
      </c>
      <c r="AG3938" s="5" t="s">
        <v>249</v>
      </c>
      <c r="AM3938" s="5" t="s">
        <v>240</v>
      </c>
      <c r="AN3938" s="5" t="s">
        <v>240</v>
      </c>
      <c r="AO3938" s="5" t="s">
        <v>240</v>
      </c>
      <c r="AP3938" s="6" t="s">
        <v>240</v>
      </c>
      <c r="AQ3938" s="6" t="s">
        <v>240</v>
      </c>
      <c r="AR3938" s="6" t="s">
        <v>240</v>
      </c>
      <c r="AU3938" s="5" t="s">
        <v>729</v>
      </c>
      <c r="AV3938" s="5" t="s">
        <v>729</v>
      </c>
      <c r="AW3938" s="5" t="s">
        <v>251</v>
      </c>
      <c r="AX3938" s="5" t="s">
        <v>252</v>
      </c>
      <c r="AY3938" s="5" t="s">
        <v>253</v>
      </c>
      <c r="AZ3938" s="5" t="s">
        <v>6046</v>
      </c>
      <c r="BA3938" s="5" t="s">
        <v>255</v>
      </c>
      <c r="BB3938" s="5" t="s">
        <v>731</v>
      </c>
      <c r="BD3938" s="5" t="s">
        <v>240</v>
      </c>
      <c r="BF3938" s="5" t="s">
        <v>732</v>
      </c>
      <c r="BG3938" s="6" t="s">
        <v>7142</v>
      </c>
      <c r="BH3938" s="5" t="s">
        <v>6799</v>
      </c>
      <c r="BI3938" s="5" t="s">
        <v>6799</v>
      </c>
      <c r="BJ3938" s="5" t="s">
        <v>240</v>
      </c>
      <c r="BK3938" s="8">
        <f>43</f>
        <v>43</v>
      </c>
      <c r="BL3938" s="7">
        <f>0</f>
        <v>0</v>
      </c>
      <c r="BM3938" s="5" t="s">
        <v>258</v>
      </c>
      <c r="BN3938" s="5" t="s">
        <v>259</v>
      </c>
      <c r="BO3938" s="5" t="s">
        <v>240</v>
      </c>
      <c r="BP3938" s="5" t="s">
        <v>240</v>
      </c>
      <c r="BQ3938" s="5" t="s">
        <v>240</v>
      </c>
      <c r="BR3938" s="5" t="s">
        <v>240</v>
      </c>
      <c r="BW3938" s="6" t="s">
        <v>240</v>
      </c>
      <c r="BX3938" s="5" t="s">
        <v>240</v>
      </c>
      <c r="BY3938" s="5" t="s">
        <v>240</v>
      </c>
      <c r="BZ3938" s="5" t="s">
        <v>240</v>
      </c>
      <c r="CA3938" s="5" t="s">
        <v>259</v>
      </c>
      <c r="CB3938" s="5" t="s">
        <v>240</v>
      </c>
      <c r="CC3938" s="5" t="s">
        <v>240</v>
      </c>
      <c r="CG3938" s="5" t="s">
        <v>240</v>
      </c>
      <c r="CH3938" s="5" t="s">
        <v>240</v>
      </c>
      <c r="CI3938" s="5" t="s">
        <v>260</v>
      </c>
      <c r="CK3938" s="5" t="s">
        <v>240</v>
      </c>
      <c r="CL3938" s="6" t="s">
        <v>261</v>
      </c>
      <c r="CM3938" s="5" t="s">
        <v>262</v>
      </c>
      <c r="CN3938" s="5" t="s">
        <v>293</v>
      </c>
      <c r="CO3938" s="5" t="s">
        <v>264</v>
      </c>
      <c r="CP3938" s="5" t="s">
        <v>240</v>
      </c>
      <c r="CQ3938" s="5">
        <v>0</v>
      </c>
      <c r="CR3938" s="5" t="s">
        <v>735</v>
      </c>
      <c r="CS3938" s="5" t="s">
        <v>307</v>
      </c>
      <c r="CT3938" s="5" t="s">
        <v>307</v>
      </c>
      <c r="CU3938" s="5" t="s">
        <v>260</v>
      </c>
      <c r="CV3938" s="5" t="s">
        <v>240</v>
      </c>
      <c r="CW3938" s="8">
        <f>0</f>
        <v>0</v>
      </c>
      <c r="CX3938" s="7">
        <f>0</f>
        <v>0</v>
      </c>
      <c r="CY3938" s="7">
        <f>0</f>
        <v>0</v>
      </c>
      <c r="CZ3938" s="7">
        <f>0</f>
        <v>0</v>
      </c>
      <c r="DA3938" s="7">
        <f>0</f>
        <v>0</v>
      </c>
      <c r="DB3938" s="7" t="s">
        <v>240</v>
      </c>
      <c r="DC3938" s="5" t="s">
        <v>240</v>
      </c>
      <c r="DD3938" s="5" t="s">
        <v>240</v>
      </c>
      <c r="DF3938" s="5" t="s">
        <v>240</v>
      </c>
      <c r="DG3938" s="7">
        <f>0</f>
        <v>0</v>
      </c>
      <c r="DH3938" s="6" t="s">
        <v>240</v>
      </c>
      <c r="DI3938" s="5" t="s">
        <v>240</v>
      </c>
      <c r="DJ3938" s="5" t="s">
        <v>240</v>
      </c>
      <c r="DK3938" s="5" t="s">
        <v>240</v>
      </c>
      <c r="DL3938" s="5" t="s">
        <v>240</v>
      </c>
      <c r="DM3938" s="5" t="s">
        <v>240</v>
      </c>
      <c r="DN3938" s="5" t="s">
        <v>240</v>
      </c>
      <c r="DO3938" s="7" t="s">
        <v>240</v>
      </c>
      <c r="DP3938" s="5" t="s">
        <v>240</v>
      </c>
      <c r="DQ3938" s="5" t="s">
        <v>248</v>
      </c>
      <c r="DR3938" s="5" t="s">
        <v>731</v>
      </c>
      <c r="DS3938" s="5" t="s">
        <v>731</v>
      </c>
      <c r="DT3938" s="5" t="s">
        <v>240</v>
      </c>
      <c r="DU3938" s="5" t="s">
        <v>240</v>
      </c>
      <c r="HR3938" s="5" t="s">
        <v>240</v>
      </c>
      <c r="HS3938" s="5" t="s">
        <v>240</v>
      </c>
      <c r="HT3938" s="5" t="s">
        <v>240</v>
      </c>
      <c r="HU3938" s="5" t="s">
        <v>240</v>
      </c>
      <c r="HV3938" s="5" t="s">
        <v>240</v>
      </c>
      <c r="HW3938" s="5" t="s">
        <v>240</v>
      </c>
      <c r="HX3938" s="5" t="s">
        <v>240</v>
      </c>
      <c r="HY3938" s="5" t="s">
        <v>240</v>
      </c>
      <c r="HZ3938" s="5" t="s">
        <v>240</v>
      </c>
      <c r="IA3938" s="5" t="s">
        <v>240</v>
      </c>
      <c r="IB3938" s="5" t="s">
        <v>240</v>
      </c>
      <c r="IC3938" s="5" t="s">
        <v>240</v>
      </c>
      <c r="ID3938" s="5" t="s">
        <v>240</v>
      </c>
      <c r="IE3938" s="5" t="s">
        <v>240</v>
      </c>
      <c r="IF3938" s="5" t="s">
        <v>240</v>
      </c>
    </row>
    <row r="3939" spans="1:240" x14ac:dyDescent="0.4">
      <c r="A3939" s="5">
        <v>9482</v>
      </c>
      <c r="B3939" s="5">
        <v>1</v>
      </c>
      <c r="C3939" s="5">
        <v>1</v>
      </c>
      <c r="D3939" s="5" t="s">
        <v>829</v>
      </c>
      <c r="E3939" s="5" t="s">
        <v>1325</v>
      </c>
      <c r="F3939" s="5" t="s">
        <v>730</v>
      </c>
      <c r="G3939" s="5" t="s">
        <v>7201</v>
      </c>
      <c r="H3939" s="6" t="s">
        <v>7202</v>
      </c>
      <c r="I3939" s="5" t="s">
        <v>6897</v>
      </c>
      <c r="J3939" s="8">
        <f>1287</f>
        <v>1287</v>
      </c>
      <c r="K3939" s="5" t="s">
        <v>308</v>
      </c>
      <c r="L3939" s="7">
        <f>8273571</f>
        <v>8273571</v>
      </c>
      <c r="M3939" s="7">
        <f>8273571</f>
        <v>8273571</v>
      </c>
      <c r="N3939" s="5" t="s">
        <v>242</v>
      </c>
      <c r="O3939" s="5">
        <v>1</v>
      </c>
      <c r="P3939" s="5" t="s">
        <v>294</v>
      </c>
      <c r="Q3939" s="5" t="s">
        <v>240</v>
      </c>
      <c r="T3939" s="5" t="s">
        <v>296</v>
      </c>
      <c r="U3939" s="5" t="s">
        <v>244</v>
      </c>
      <c r="V3939" s="5" t="s">
        <v>240</v>
      </c>
      <c r="Y3939" s="5" t="s">
        <v>240</v>
      </c>
      <c r="Z3939" s="6" t="s">
        <v>6818</v>
      </c>
      <c r="AA3939" s="6" t="s">
        <v>240</v>
      </c>
      <c r="AB3939" s="6" t="s">
        <v>240</v>
      </c>
      <c r="AC3939" s="5" t="s">
        <v>240</v>
      </c>
      <c r="AD3939" s="6" t="s">
        <v>240</v>
      </c>
      <c r="AE3939" s="6" t="s">
        <v>240</v>
      </c>
      <c r="AF3939" s="5" t="s">
        <v>248</v>
      </c>
      <c r="AG3939" s="5" t="s">
        <v>249</v>
      </c>
      <c r="AM3939" s="5" t="s">
        <v>240</v>
      </c>
      <c r="AN3939" s="5" t="s">
        <v>240</v>
      </c>
      <c r="AO3939" s="5" t="s">
        <v>240</v>
      </c>
      <c r="AP3939" s="6" t="s">
        <v>240</v>
      </c>
      <c r="AQ3939" s="6" t="s">
        <v>240</v>
      </c>
      <c r="AR3939" s="6" t="s">
        <v>240</v>
      </c>
      <c r="AU3939" s="5" t="s">
        <v>729</v>
      </c>
      <c r="AV3939" s="5" t="s">
        <v>729</v>
      </c>
      <c r="AW3939" s="5" t="s">
        <v>251</v>
      </c>
      <c r="AX3939" s="5" t="s">
        <v>252</v>
      </c>
      <c r="AY3939" s="5" t="s">
        <v>253</v>
      </c>
      <c r="AZ3939" s="5" t="s">
        <v>6046</v>
      </c>
      <c r="BA3939" s="5" t="s">
        <v>255</v>
      </c>
      <c r="BB3939" s="5" t="s">
        <v>731</v>
      </c>
      <c r="BD3939" s="5" t="s">
        <v>842</v>
      </c>
      <c r="BF3939" s="5" t="s">
        <v>256</v>
      </c>
      <c r="BG3939" s="6" t="s">
        <v>6818</v>
      </c>
      <c r="BH3939" s="5" t="s">
        <v>734</v>
      </c>
      <c r="BI3939" s="5" t="s">
        <v>734</v>
      </c>
      <c r="BJ3939" s="5" t="s">
        <v>240</v>
      </c>
      <c r="BK3939" s="8">
        <f>20</f>
        <v>20</v>
      </c>
      <c r="BL3939" s="7">
        <f>1</f>
        <v>1</v>
      </c>
      <c r="BM3939" s="5" t="s">
        <v>258</v>
      </c>
      <c r="BN3939" s="5" t="s">
        <v>259</v>
      </c>
      <c r="BO3939" s="5" t="s">
        <v>240</v>
      </c>
      <c r="BP3939" s="5" t="s">
        <v>240</v>
      </c>
      <c r="BQ3939" s="5" t="s">
        <v>240</v>
      </c>
      <c r="BR3939" s="5" t="s">
        <v>240</v>
      </c>
      <c r="BW3939" s="6" t="s">
        <v>240</v>
      </c>
      <c r="BX3939" s="5" t="s">
        <v>240</v>
      </c>
      <c r="BY3939" s="5" t="s">
        <v>240</v>
      </c>
      <c r="BZ3939" s="5" t="s">
        <v>240</v>
      </c>
      <c r="CA3939" s="5" t="s">
        <v>259</v>
      </c>
      <c r="CB3939" s="5" t="s">
        <v>240</v>
      </c>
      <c r="CC3939" s="5" t="s">
        <v>240</v>
      </c>
      <c r="CG3939" s="5" t="s">
        <v>240</v>
      </c>
      <c r="CH3939" s="5" t="s">
        <v>240</v>
      </c>
      <c r="CI3939" s="5" t="s">
        <v>260</v>
      </c>
      <c r="CK3939" s="5" t="s">
        <v>240</v>
      </c>
      <c r="CL3939" s="6" t="s">
        <v>261</v>
      </c>
      <c r="CM3939" s="5" t="s">
        <v>262</v>
      </c>
      <c r="CN3939" s="5" t="s">
        <v>263</v>
      </c>
      <c r="CO3939" s="5" t="s">
        <v>264</v>
      </c>
      <c r="CP3939" s="5" t="s">
        <v>240</v>
      </c>
      <c r="CQ3939" s="5">
        <v>0</v>
      </c>
      <c r="CR3939" s="5" t="s">
        <v>735</v>
      </c>
      <c r="CS3939" s="5" t="s">
        <v>307</v>
      </c>
      <c r="CT3939" s="5" t="s">
        <v>307</v>
      </c>
      <c r="CU3939" s="5" t="s">
        <v>260</v>
      </c>
      <c r="CV3939" s="5" t="s">
        <v>240</v>
      </c>
      <c r="CW3939" s="8">
        <f>0</f>
        <v>0</v>
      </c>
      <c r="CX3939" s="7">
        <f>1</f>
        <v>1</v>
      </c>
      <c r="CY3939" s="7">
        <f>0</f>
        <v>0</v>
      </c>
      <c r="CZ3939" s="7">
        <f>0</f>
        <v>0</v>
      </c>
      <c r="DA3939" s="7">
        <f>1</f>
        <v>1</v>
      </c>
      <c r="DB3939" s="7" t="s">
        <v>240</v>
      </c>
      <c r="DC3939" s="5" t="s">
        <v>240</v>
      </c>
      <c r="DD3939" s="5" t="s">
        <v>240</v>
      </c>
      <c r="DF3939" s="5" t="s">
        <v>240</v>
      </c>
      <c r="DG3939" s="7">
        <f>0</f>
        <v>0</v>
      </c>
      <c r="DH3939" s="6" t="s">
        <v>240</v>
      </c>
      <c r="DI3939" s="5" t="s">
        <v>240</v>
      </c>
      <c r="DJ3939" s="5" t="s">
        <v>240</v>
      </c>
      <c r="DK3939" s="5" t="s">
        <v>240</v>
      </c>
      <c r="DL3939" s="5" t="s">
        <v>240</v>
      </c>
      <c r="DM3939" s="5" t="s">
        <v>240</v>
      </c>
      <c r="DN3939" s="5" t="s">
        <v>240</v>
      </c>
      <c r="DO3939" s="7" t="s">
        <v>240</v>
      </c>
      <c r="DP3939" s="5" t="s">
        <v>240</v>
      </c>
      <c r="DQ3939" s="5" t="s">
        <v>248</v>
      </c>
      <c r="DR3939" s="5" t="s">
        <v>731</v>
      </c>
      <c r="DS3939" s="5" t="s">
        <v>731</v>
      </c>
      <c r="DT3939" s="5" t="s">
        <v>240</v>
      </c>
      <c r="DU3939" s="5" t="s">
        <v>240</v>
      </c>
      <c r="HR3939" s="5" t="s">
        <v>240</v>
      </c>
      <c r="HS3939" s="5" t="s">
        <v>240</v>
      </c>
      <c r="HT3939" s="5" t="s">
        <v>240</v>
      </c>
      <c r="HU3939" s="5" t="s">
        <v>240</v>
      </c>
      <c r="HV3939" s="5" t="s">
        <v>240</v>
      </c>
      <c r="HW3939" s="5" t="s">
        <v>240</v>
      </c>
      <c r="HX3939" s="5" t="s">
        <v>240</v>
      </c>
      <c r="HY3939" s="5" t="s">
        <v>240</v>
      </c>
      <c r="HZ3939" s="5" t="s">
        <v>240</v>
      </c>
      <c r="IA3939" s="5" t="s">
        <v>240</v>
      </c>
      <c r="IB3939" s="5" t="s">
        <v>240</v>
      </c>
      <c r="IC3939" s="5" t="s">
        <v>240</v>
      </c>
      <c r="ID3939" s="5" t="s">
        <v>240</v>
      </c>
      <c r="IE3939" s="5" t="s">
        <v>240</v>
      </c>
      <c r="IF3939" s="5" t="s">
        <v>240</v>
      </c>
    </row>
    <row r="3940" spans="1:240" x14ac:dyDescent="0.4">
      <c r="A3940" s="5">
        <v>9483</v>
      </c>
      <c r="B3940" s="5">
        <v>1</v>
      </c>
      <c r="C3940" s="5">
        <v>1</v>
      </c>
      <c r="D3940" s="5" t="s">
        <v>829</v>
      </c>
      <c r="E3940" s="5" t="s">
        <v>1325</v>
      </c>
      <c r="F3940" s="5" t="s">
        <v>730</v>
      </c>
      <c r="G3940" s="5" t="s">
        <v>6899</v>
      </c>
      <c r="H3940" s="6" t="s">
        <v>6900</v>
      </c>
      <c r="I3940" s="5" t="s">
        <v>6897</v>
      </c>
      <c r="J3940" s="8">
        <f>236</f>
        <v>236</v>
      </c>
      <c r="K3940" s="5" t="s">
        <v>308</v>
      </c>
      <c r="L3940" s="7">
        <f>1517143</f>
        <v>1517143</v>
      </c>
      <c r="M3940" s="7">
        <f>1517143</f>
        <v>1517143</v>
      </c>
      <c r="N3940" s="5" t="s">
        <v>242</v>
      </c>
      <c r="O3940" s="5">
        <v>1</v>
      </c>
      <c r="P3940" s="5" t="s">
        <v>294</v>
      </c>
      <c r="Q3940" s="5" t="s">
        <v>613</v>
      </c>
      <c r="T3940" s="5" t="s">
        <v>243</v>
      </c>
      <c r="U3940" s="5" t="s">
        <v>244</v>
      </c>
      <c r="V3940" s="5" t="s">
        <v>240</v>
      </c>
      <c r="Y3940" s="5" t="s">
        <v>5060</v>
      </c>
      <c r="Z3940" s="6" t="s">
        <v>7112</v>
      </c>
      <c r="AA3940" s="6" t="s">
        <v>240</v>
      </c>
      <c r="AB3940" s="6" t="s">
        <v>240</v>
      </c>
      <c r="AC3940" s="5" t="s">
        <v>240</v>
      </c>
      <c r="AD3940" s="6" t="s">
        <v>240</v>
      </c>
      <c r="AE3940" s="6" t="s">
        <v>299</v>
      </c>
      <c r="AF3940" s="5" t="s">
        <v>727</v>
      </c>
      <c r="AG3940" s="5" t="s">
        <v>249</v>
      </c>
      <c r="AM3940" s="5" t="s">
        <v>240</v>
      </c>
      <c r="AN3940" s="5" t="s">
        <v>240</v>
      </c>
      <c r="AO3940" s="5" t="s">
        <v>240</v>
      </c>
      <c r="AP3940" s="6" t="s">
        <v>240</v>
      </c>
      <c r="AQ3940" s="6" t="s">
        <v>240</v>
      </c>
      <c r="AR3940" s="6" t="s">
        <v>240</v>
      </c>
      <c r="AU3940" s="5" t="s">
        <v>729</v>
      </c>
      <c r="AV3940" s="5" t="s">
        <v>729</v>
      </c>
      <c r="AW3940" s="5" t="s">
        <v>251</v>
      </c>
      <c r="AX3940" s="5" t="s">
        <v>252</v>
      </c>
      <c r="AY3940" s="5" t="s">
        <v>253</v>
      </c>
      <c r="AZ3940" s="5" t="s">
        <v>6046</v>
      </c>
      <c r="BA3940" s="5" t="s">
        <v>255</v>
      </c>
      <c r="BB3940" s="5" t="s">
        <v>731</v>
      </c>
      <c r="BD3940" s="5" t="s">
        <v>842</v>
      </c>
      <c r="BF3940" s="5" t="s">
        <v>256</v>
      </c>
      <c r="BG3940" s="6" t="s">
        <v>7115</v>
      </c>
      <c r="BH3940" s="5" t="s">
        <v>7016</v>
      </c>
      <c r="BI3940" s="5" t="s">
        <v>7116</v>
      </c>
      <c r="BJ3940" s="5" t="s">
        <v>240</v>
      </c>
      <c r="BK3940" s="8">
        <f>0</f>
        <v>0</v>
      </c>
      <c r="BL3940" s="7">
        <f>-8462636</f>
        <v>-8462636</v>
      </c>
      <c r="BM3940" s="5" t="s">
        <v>258</v>
      </c>
      <c r="BN3940" s="5" t="s">
        <v>259</v>
      </c>
      <c r="BO3940" s="5" t="s">
        <v>240</v>
      </c>
      <c r="BP3940" s="5" t="s">
        <v>240</v>
      </c>
      <c r="BQ3940" s="5" t="s">
        <v>240</v>
      </c>
      <c r="BR3940" s="5" t="s">
        <v>240</v>
      </c>
      <c r="BW3940" s="6" t="s">
        <v>240</v>
      </c>
      <c r="BX3940" s="5" t="s">
        <v>240</v>
      </c>
      <c r="BY3940" s="5" t="s">
        <v>7117</v>
      </c>
      <c r="BZ3940" s="5" t="s">
        <v>312</v>
      </c>
      <c r="CA3940" s="5" t="s">
        <v>259</v>
      </c>
      <c r="CB3940" s="5" t="s">
        <v>240</v>
      </c>
      <c r="CC3940" s="5" t="s">
        <v>240</v>
      </c>
      <c r="CG3940" s="5" t="s">
        <v>617</v>
      </c>
      <c r="CH3940" s="5" t="s">
        <v>305</v>
      </c>
      <c r="CI3940" s="5" t="s">
        <v>260</v>
      </c>
      <c r="CK3940" s="5" t="s">
        <v>240</v>
      </c>
      <c r="CL3940" s="6" t="s">
        <v>261</v>
      </c>
      <c r="CM3940" s="5" t="s">
        <v>262</v>
      </c>
      <c r="CN3940" s="5" t="s">
        <v>263</v>
      </c>
      <c r="CO3940" s="5" t="s">
        <v>264</v>
      </c>
      <c r="CP3940" s="5" t="s">
        <v>240</v>
      </c>
      <c r="CQ3940" s="5">
        <v>0</v>
      </c>
      <c r="CR3940" s="5" t="s">
        <v>306</v>
      </c>
      <c r="CS3940" s="5" t="s">
        <v>307</v>
      </c>
      <c r="CT3940" s="5" t="s">
        <v>307</v>
      </c>
      <c r="CU3940" s="5" t="s">
        <v>260</v>
      </c>
      <c r="CV3940" s="5" t="s">
        <v>240</v>
      </c>
      <c r="CW3940" s="8">
        <f>6429</f>
        <v>6429</v>
      </c>
      <c r="CX3940" s="7">
        <f>8462636</f>
        <v>8462636</v>
      </c>
      <c r="CY3940" s="7">
        <f>0</f>
        <v>0</v>
      </c>
      <c r="CZ3940" s="7" t="s">
        <v>240</v>
      </c>
      <c r="DA3940" s="7">
        <f>8462636</f>
        <v>8462636</v>
      </c>
      <c r="DB3940" s="7" t="s">
        <v>240</v>
      </c>
      <c r="DC3940" s="5" t="s">
        <v>240</v>
      </c>
      <c r="DD3940" s="5" t="s">
        <v>240</v>
      </c>
      <c r="DF3940" s="5" t="s">
        <v>843</v>
      </c>
      <c r="DG3940" s="7">
        <f>0</f>
        <v>0</v>
      </c>
      <c r="DH3940" s="6" t="s">
        <v>6901</v>
      </c>
      <c r="DI3940" s="5" t="s">
        <v>843</v>
      </c>
      <c r="DJ3940" s="5" t="s">
        <v>240</v>
      </c>
      <c r="DK3940" s="5" t="s">
        <v>240</v>
      </c>
      <c r="DL3940" s="5" t="s">
        <v>240</v>
      </c>
      <c r="DM3940" s="5" t="s">
        <v>240</v>
      </c>
      <c r="DN3940" s="5" t="s">
        <v>240</v>
      </c>
      <c r="DO3940" s="7" t="s">
        <v>240</v>
      </c>
      <c r="DP3940" s="5" t="s">
        <v>240</v>
      </c>
      <c r="DQ3940" s="5" t="s">
        <v>248</v>
      </c>
      <c r="DR3940" s="5" t="s">
        <v>731</v>
      </c>
      <c r="DS3940" s="5" t="s">
        <v>731</v>
      </c>
      <c r="DT3940" s="5" t="s">
        <v>240</v>
      </c>
      <c r="DU3940" s="5" t="s">
        <v>240</v>
      </c>
      <c r="DV3940" s="5" t="s">
        <v>7118</v>
      </c>
      <c r="DW3940" s="5" t="s">
        <v>312</v>
      </c>
      <c r="HR3940" s="5" t="s">
        <v>240</v>
      </c>
      <c r="HS3940" s="5" t="s">
        <v>240</v>
      </c>
      <c r="HT3940" s="5" t="s">
        <v>240</v>
      </c>
      <c r="HU3940" s="5" t="s">
        <v>240</v>
      </c>
      <c r="HV3940" s="5" t="s">
        <v>240</v>
      </c>
      <c r="HW3940" s="5" t="s">
        <v>240</v>
      </c>
      <c r="HX3940" s="5" t="s">
        <v>240</v>
      </c>
      <c r="HY3940" s="5" t="s">
        <v>240</v>
      </c>
      <c r="HZ3940" s="5" t="s">
        <v>240</v>
      </c>
      <c r="IA3940" s="5" t="s">
        <v>240</v>
      </c>
      <c r="IB3940" s="5" t="s">
        <v>240</v>
      </c>
      <c r="IC3940" s="5" t="s">
        <v>240</v>
      </c>
      <c r="ID3940" s="5" t="s">
        <v>240</v>
      </c>
      <c r="IE3940" s="5" t="s">
        <v>240</v>
      </c>
      <c r="IF3940" s="5" t="s">
        <v>240</v>
      </c>
    </row>
    <row r="3941" spans="1:240" x14ac:dyDescent="0.4">
      <c r="A3941" s="5">
        <v>9487</v>
      </c>
      <c r="B3941" s="5">
        <v>1</v>
      </c>
      <c r="C3941" s="5">
        <v>6</v>
      </c>
      <c r="D3941" s="5" t="s">
        <v>297</v>
      </c>
      <c r="E3941" s="5" t="s">
        <v>245</v>
      </c>
      <c r="F3941" s="5" t="s">
        <v>254</v>
      </c>
      <c r="G3941" s="5" t="s">
        <v>726</v>
      </c>
      <c r="H3941" s="6" t="s">
        <v>6916</v>
      </c>
      <c r="I3941" s="5" t="s">
        <v>6914</v>
      </c>
      <c r="J3941" s="8">
        <f>1113</f>
        <v>1113</v>
      </c>
      <c r="K3941" s="5" t="s">
        <v>308</v>
      </c>
      <c r="L3941" s="7">
        <f>2503000</f>
        <v>2503000</v>
      </c>
      <c r="M3941" s="7">
        <f>2503000</f>
        <v>2503000</v>
      </c>
      <c r="N3941" s="5" t="s">
        <v>242</v>
      </c>
      <c r="O3941" s="5">
        <v>1</v>
      </c>
      <c r="P3941" s="5" t="s">
        <v>294</v>
      </c>
      <c r="Q3941" s="5" t="s">
        <v>613</v>
      </c>
      <c r="T3941" s="5" t="s">
        <v>243</v>
      </c>
      <c r="U3941" s="5" t="s">
        <v>244</v>
      </c>
      <c r="V3941" s="5" t="s">
        <v>240</v>
      </c>
      <c r="Y3941" s="5" t="s">
        <v>240</v>
      </c>
      <c r="Z3941" s="6" t="s">
        <v>298</v>
      </c>
      <c r="AA3941" s="6" t="s">
        <v>240</v>
      </c>
      <c r="AB3941" s="6" t="s">
        <v>240</v>
      </c>
      <c r="AC3941" s="5" t="s">
        <v>240</v>
      </c>
      <c r="AD3941" s="6" t="s">
        <v>240</v>
      </c>
      <c r="AE3941" s="6" t="s">
        <v>299</v>
      </c>
      <c r="AF3941" s="5" t="s">
        <v>248</v>
      </c>
      <c r="AG3941" s="5" t="s">
        <v>249</v>
      </c>
      <c r="AM3941" s="5" t="s">
        <v>240</v>
      </c>
      <c r="AN3941" s="5" t="s">
        <v>240</v>
      </c>
      <c r="AO3941" s="5" t="s">
        <v>240</v>
      </c>
      <c r="AP3941" s="6" t="s">
        <v>240</v>
      </c>
      <c r="AQ3941" s="6" t="s">
        <v>240</v>
      </c>
      <c r="AW3941" s="5" t="s">
        <v>251</v>
      </c>
      <c r="AX3941" s="5" t="s">
        <v>252</v>
      </c>
      <c r="AY3941" s="5" t="s">
        <v>253</v>
      </c>
      <c r="AZ3941" s="5" t="s">
        <v>6046</v>
      </c>
      <c r="BA3941" s="5" t="s">
        <v>255</v>
      </c>
      <c r="BB3941" s="5" t="s">
        <v>731</v>
      </c>
      <c r="BD3941" s="5" t="s">
        <v>686</v>
      </c>
      <c r="BF3941" s="5" t="s">
        <v>301</v>
      </c>
      <c r="BG3941" s="6" t="s">
        <v>733</v>
      </c>
      <c r="BH3941" s="5" t="s">
        <v>302</v>
      </c>
      <c r="BI3941" s="5" t="s">
        <v>303</v>
      </c>
      <c r="BJ3941" s="5" t="s">
        <v>240</v>
      </c>
      <c r="BK3941" s="8">
        <f>0</f>
        <v>0</v>
      </c>
      <c r="BL3941" s="7">
        <f>0</f>
        <v>0</v>
      </c>
      <c r="BM3941" s="5" t="s">
        <v>258</v>
      </c>
      <c r="BN3941" s="5" t="s">
        <v>259</v>
      </c>
      <c r="BW3941" s="6" t="s">
        <v>240</v>
      </c>
      <c r="BX3941" s="5" t="s">
        <v>240</v>
      </c>
      <c r="BY3941" s="5" t="s">
        <v>240</v>
      </c>
      <c r="BZ3941" s="5" t="s">
        <v>240</v>
      </c>
      <c r="CB3941" s="5" t="s">
        <v>240</v>
      </c>
      <c r="CC3941" s="5" t="s">
        <v>240</v>
      </c>
      <c r="CG3941" s="5" t="s">
        <v>617</v>
      </c>
      <c r="CH3941" s="5" t="s">
        <v>305</v>
      </c>
      <c r="CI3941" s="5" t="s">
        <v>260</v>
      </c>
      <c r="CK3941" s="5" t="s">
        <v>240</v>
      </c>
      <c r="CL3941" s="6" t="s">
        <v>261</v>
      </c>
      <c r="CM3941" s="5" t="s">
        <v>240</v>
      </c>
      <c r="CN3941" s="5" t="s">
        <v>263</v>
      </c>
      <c r="CO3941" s="5" t="s">
        <v>240</v>
      </c>
      <c r="CP3941" s="5" t="s">
        <v>240</v>
      </c>
      <c r="CQ3941" s="5">
        <v>0</v>
      </c>
      <c r="CR3941" s="5" t="s">
        <v>735</v>
      </c>
      <c r="CS3941" s="5" t="s">
        <v>307</v>
      </c>
      <c r="CT3941" s="5" t="s">
        <v>307</v>
      </c>
      <c r="CU3941" s="5" t="s">
        <v>260</v>
      </c>
      <c r="CV3941" s="5" t="s">
        <v>240</v>
      </c>
      <c r="CW3941" s="8" t="s">
        <v>240</v>
      </c>
      <c r="CX3941" s="7">
        <f>33264870</f>
        <v>33264870</v>
      </c>
      <c r="CY3941" s="7">
        <f>0</f>
        <v>0</v>
      </c>
      <c r="CZ3941" s="7" t="s">
        <v>240</v>
      </c>
      <c r="DA3941" s="7">
        <f>0</f>
        <v>0</v>
      </c>
      <c r="DB3941" s="7" t="s">
        <v>240</v>
      </c>
      <c r="DC3941" s="5" t="s">
        <v>450</v>
      </c>
      <c r="DD3941" s="5" t="s">
        <v>240</v>
      </c>
      <c r="DF3941" s="5" t="s">
        <v>450</v>
      </c>
      <c r="DG3941" s="7">
        <f>0</f>
        <v>0</v>
      </c>
      <c r="DH3941" s="6" t="s">
        <v>240</v>
      </c>
      <c r="DI3941" s="5" t="s">
        <v>618</v>
      </c>
      <c r="DJ3941" s="5" t="s">
        <v>240</v>
      </c>
      <c r="DK3941" s="5" t="s">
        <v>240</v>
      </c>
      <c r="DL3941" s="5" t="s">
        <v>240</v>
      </c>
      <c r="DM3941" s="5" t="s">
        <v>240</v>
      </c>
      <c r="DN3941" s="5" t="s">
        <v>240</v>
      </c>
      <c r="DO3941" s="7" t="s">
        <v>240</v>
      </c>
      <c r="DP3941" s="5" t="s">
        <v>240</v>
      </c>
      <c r="DQ3941" s="5" t="s">
        <v>248</v>
      </c>
      <c r="DR3941" s="5" t="s">
        <v>731</v>
      </c>
      <c r="DS3941" s="5" t="s">
        <v>731</v>
      </c>
      <c r="DT3941" s="5" t="s">
        <v>240</v>
      </c>
      <c r="DU3941" s="5" t="s">
        <v>240</v>
      </c>
      <c r="DV3941" s="5" t="s">
        <v>6839</v>
      </c>
      <c r="DW3941" s="5" t="s">
        <v>804</v>
      </c>
    </row>
    <row r="3942" spans="1:240" x14ac:dyDescent="0.4">
      <c r="A3942" s="5">
        <v>9488</v>
      </c>
      <c r="B3942" s="5">
        <v>1</v>
      </c>
      <c r="C3942" s="5">
        <v>2</v>
      </c>
      <c r="D3942" s="5" t="s">
        <v>297</v>
      </c>
      <c r="E3942" s="5" t="s">
        <v>245</v>
      </c>
      <c r="F3942" s="5" t="s">
        <v>254</v>
      </c>
      <c r="G3942" s="5" t="s">
        <v>726</v>
      </c>
      <c r="H3942" s="6" t="s">
        <v>7225</v>
      </c>
      <c r="I3942" s="5" t="s">
        <v>7224</v>
      </c>
      <c r="J3942" s="8">
        <f>728</f>
        <v>728</v>
      </c>
      <c r="K3942" s="5" t="s">
        <v>308</v>
      </c>
      <c r="L3942" s="7">
        <f>1456000</f>
        <v>1456000</v>
      </c>
      <c r="M3942" s="7">
        <f>1456000</f>
        <v>1456000</v>
      </c>
      <c r="N3942" s="5" t="s">
        <v>242</v>
      </c>
      <c r="O3942" s="5">
        <v>1</v>
      </c>
      <c r="P3942" s="5" t="s">
        <v>294</v>
      </c>
      <c r="Q3942" s="5" t="s">
        <v>240</v>
      </c>
      <c r="T3942" s="5" t="s">
        <v>240</v>
      </c>
      <c r="U3942" s="5" t="s">
        <v>240</v>
      </c>
      <c r="V3942" s="5" t="s">
        <v>240</v>
      </c>
      <c r="Y3942" s="5" t="s">
        <v>240</v>
      </c>
      <c r="Z3942" s="6" t="s">
        <v>6893</v>
      </c>
      <c r="AA3942" s="6" t="s">
        <v>240</v>
      </c>
      <c r="AB3942" s="6" t="s">
        <v>240</v>
      </c>
      <c r="AC3942" s="5" t="s">
        <v>240</v>
      </c>
      <c r="AD3942" s="6" t="s">
        <v>240</v>
      </c>
      <c r="AE3942" s="6" t="s">
        <v>240</v>
      </c>
      <c r="AF3942" s="5" t="s">
        <v>248</v>
      </c>
      <c r="AG3942" s="5" t="s">
        <v>240</v>
      </c>
      <c r="AM3942" s="5" t="s">
        <v>240</v>
      </c>
      <c r="AN3942" s="5" t="s">
        <v>240</v>
      </c>
      <c r="AO3942" s="5" t="s">
        <v>240</v>
      </c>
      <c r="AP3942" s="6" t="s">
        <v>240</v>
      </c>
      <c r="AQ3942" s="6" t="s">
        <v>240</v>
      </c>
      <c r="AR3942" s="6" t="s">
        <v>240</v>
      </c>
      <c r="AU3942" s="5" t="s">
        <v>240</v>
      </c>
      <c r="AV3942" s="5" t="s">
        <v>240</v>
      </c>
      <c r="AW3942" s="5" t="s">
        <v>251</v>
      </c>
      <c r="AX3942" s="5" t="s">
        <v>252</v>
      </c>
      <c r="AY3942" s="5" t="s">
        <v>253</v>
      </c>
      <c r="AZ3942" s="5" t="s">
        <v>240</v>
      </c>
      <c r="BA3942" s="5" t="s">
        <v>6895</v>
      </c>
      <c r="BB3942" s="5" t="s">
        <v>731</v>
      </c>
      <c r="BD3942" s="5" t="s">
        <v>240</v>
      </c>
      <c r="BF3942" s="5" t="s">
        <v>6763</v>
      </c>
      <c r="BG3942" s="6" t="s">
        <v>6893</v>
      </c>
      <c r="BH3942" s="5" t="s">
        <v>734</v>
      </c>
      <c r="BI3942" s="5" t="s">
        <v>734</v>
      </c>
      <c r="BJ3942" s="5" t="s">
        <v>240</v>
      </c>
      <c r="BK3942" s="7">
        <f>0</f>
        <v>0</v>
      </c>
      <c r="BL3942" s="7">
        <f>52883072</f>
        <v>52883072</v>
      </c>
      <c r="BM3942" s="5" t="s">
        <v>258</v>
      </c>
      <c r="BN3942" s="5" t="s">
        <v>259</v>
      </c>
      <c r="BO3942" s="5" t="s">
        <v>240</v>
      </c>
      <c r="BP3942" s="5" t="s">
        <v>240</v>
      </c>
      <c r="BQ3942" s="5" t="s">
        <v>240</v>
      </c>
      <c r="BR3942" s="5" t="s">
        <v>240</v>
      </c>
      <c r="BW3942" s="6" t="s">
        <v>240</v>
      </c>
      <c r="BX3942" s="5" t="s">
        <v>240</v>
      </c>
      <c r="BY3942" s="5" t="s">
        <v>240</v>
      </c>
      <c r="BZ3942" s="5" t="s">
        <v>240</v>
      </c>
      <c r="CA3942" s="5" t="s">
        <v>259</v>
      </c>
      <c r="CB3942" s="5" t="s">
        <v>240</v>
      </c>
      <c r="CC3942" s="5" t="s">
        <v>240</v>
      </c>
      <c r="CG3942" s="5" t="s">
        <v>240</v>
      </c>
      <c r="CH3942" s="5" t="s">
        <v>240</v>
      </c>
      <c r="CI3942" s="5" t="s">
        <v>260</v>
      </c>
      <c r="CK3942" s="5" t="s">
        <v>240</v>
      </c>
      <c r="CL3942" s="6" t="s">
        <v>261</v>
      </c>
      <c r="CM3942" s="5" t="s">
        <v>262</v>
      </c>
      <c r="CN3942" s="5" t="s">
        <v>293</v>
      </c>
      <c r="CO3942" s="5" t="s">
        <v>264</v>
      </c>
      <c r="CP3942" s="5" t="s">
        <v>240</v>
      </c>
      <c r="CQ3942" s="5">
        <v>0</v>
      </c>
      <c r="CR3942" s="5" t="s">
        <v>240</v>
      </c>
      <c r="CS3942" s="5" t="s">
        <v>240</v>
      </c>
      <c r="CT3942" s="5" t="s">
        <v>240</v>
      </c>
      <c r="CU3942" s="5" t="s">
        <v>260</v>
      </c>
      <c r="CV3942" s="5" t="s">
        <v>240</v>
      </c>
      <c r="CW3942" s="8">
        <f>0</f>
        <v>0</v>
      </c>
      <c r="CX3942" s="7">
        <f>52883072</f>
        <v>52883072</v>
      </c>
      <c r="CY3942" s="7">
        <f>0</f>
        <v>0</v>
      </c>
      <c r="CZ3942" s="7">
        <f>0</f>
        <v>0</v>
      </c>
      <c r="DA3942" s="7">
        <f>52883072</f>
        <v>52883072</v>
      </c>
      <c r="DB3942" s="7" t="s">
        <v>240</v>
      </c>
      <c r="DC3942" s="5" t="s">
        <v>240</v>
      </c>
      <c r="DD3942" s="5" t="s">
        <v>240</v>
      </c>
      <c r="DF3942" s="5" t="s">
        <v>240</v>
      </c>
      <c r="DG3942" s="7">
        <f>0</f>
        <v>0</v>
      </c>
      <c r="DH3942" s="6" t="s">
        <v>240</v>
      </c>
      <c r="DI3942" s="5" t="s">
        <v>240</v>
      </c>
      <c r="DJ3942" s="5" t="s">
        <v>240</v>
      </c>
      <c r="DK3942" s="5" t="s">
        <v>240</v>
      </c>
      <c r="DL3942" s="5" t="s">
        <v>240</v>
      </c>
      <c r="DM3942" s="5" t="s">
        <v>240</v>
      </c>
      <c r="DN3942" s="5" t="s">
        <v>240</v>
      </c>
      <c r="DO3942" s="7" t="s">
        <v>240</v>
      </c>
      <c r="DP3942" s="5" t="s">
        <v>240</v>
      </c>
      <c r="DQ3942" s="5" t="s">
        <v>248</v>
      </c>
      <c r="DR3942" s="5" t="s">
        <v>731</v>
      </c>
      <c r="DS3942" s="5" t="s">
        <v>731</v>
      </c>
      <c r="DT3942" s="5" t="s">
        <v>240</v>
      </c>
      <c r="DU3942" s="5" t="s">
        <v>240</v>
      </c>
      <c r="GN3942" s="5" t="s">
        <v>7149</v>
      </c>
      <c r="HR3942" s="5" t="s">
        <v>240</v>
      </c>
      <c r="HS3942" s="5" t="s">
        <v>240</v>
      </c>
      <c r="HT3942" s="5" t="s">
        <v>240</v>
      </c>
      <c r="HU3942" s="5" t="s">
        <v>240</v>
      </c>
      <c r="HV3942" s="5" t="s">
        <v>240</v>
      </c>
      <c r="HW3942" s="5" t="s">
        <v>240</v>
      </c>
      <c r="HX3942" s="5" t="s">
        <v>240</v>
      </c>
      <c r="HY3942" s="5" t="s">
        <v>240</v>
      </c>
      <c r="HZ3942" s="5" t="s">
        <v>240</v>
      </c>
      <c r="IA3942" s="5" t="s">
        <v>240</v>
      </c>
      <c r="IB3942" s="5" t="s">
        <v>240</v>
      </c>
      <c r="IC3942" s="5" t="s">
        <v>240</v>
      </c>
      <c r="ID3942" s="5" t="s">
        <v>240</v>
      </c>
      <c r="IE3942" s="5" t="s">
        <v>240</v>
      </c>
      <c r="IF3942" s="5" t="s">
        <v>240</v>
      </c>
    </row>
    <row r="3943" spans="1:240" x14ac:dyDescent="0.4">
      <c r="A3943" s="5">
        <v>9489</v>
      </c>
      <c r="B3943" s="5">
        <v>1</v>
      </c>
      <c r="C3943" s="5">
        <v>2</v>
      </c>
      <c r="D3943" s="5" t="s">
        <v>297</v>
      </c>
      <c r="E3943" s="5" t="s">
        <v>245</v>
      </c>
      <c r="F3943" s="5" t="s">
        <v>254</v>
      </c>
      <c r="G3943" s="5" t="s">
        <v>726</v>
      </c>
      <c r="H3943" s="6" t="s">
        <v>6097</v>
      </c>
      <c r="I3943" s="5" t="s">
        <v>7029</v>
      </c>
      <c r="J3943" s="8">
        <f>2160.76</f>
        <v>2160.7600000000002</v>
      </c>
      <c r="K3943" s="5" t="s">
        <v>308</v>
      </c>
      <c r="L3943" s="7">
        <f>2740417</f>
        <v>2740417</v>
      </c>
      <c r="M3943" s="7">
        <f>2740417</f>
        <v>2740417</v>
      </c>
      <c r="N3943" s="5" t="s">
        <v>242</v>
      </c>
      <c r="O3943" s="5">
        <v>1</v>
      </c>
      <c r="P3943" s="5" t="s">
        <v>294</v>
      </c>
      <c r="Q3943" s="5" t="s">
        <v>613</v>
      </c>
      <c r="T3943" s="5" t="s">
        <v>243</v>
      </c>
      <c r="U3943" s="5" t="s">
        <v>244</v>
      </c>
      <c r="V3943" s="5" t="s">
        <v>240</v>
      </c>
      <c r="Y3943" s="5" t="s">
        <v>240</v>
      </c>
      <c r="Z3943" s="6" t="s">
        <v>298</v>
      </c>
      <c r="AA3943" s="6" t="s">
        <v>240</v>
      </c>
      <c r="AB3943" s="6" t="s">
        <v>240</v>
      </c>
      <c r="AC3943" s="5" t="s">
        <v>240</v>
      </c>
      <c r="AD3943" s="6" t="s">
        <v>240</v>
      </c>
      <c r="AE3943" s="6" t="s">
        <v>299</v>
      </c>
      <c r="AF3943" s="5" t="s">
        <v>248</v>
      </c>
      <c r="AG3943" s="5" t="s">
        <v>249</v>
      </c>
      <c r="AM3943" s="5" t="s">
        <v>240</v>
      </c>
      <c r="AN3943" s="5" t="s">
        <v>240</v>
      </c>
      <c r="AO3943" s="5" t="s">
        <v>240</v>
      </c>
      <c r="AP3943" s="6" t="s">
        <v>240</v>
      </c>
      <c r="AQ3943" s="6" t="s">
        <v>240</v>
      </c>
      <c r="AW3943" s="5" t="s">
        <v>251</v>
      </c>
      <c r="AX3943" s="5" t="s">
        <v>252</v>
      </c>
      <c r="AY3943" s="5" t="s">
        <v>253</v>
      </c>
      <c r="AZ3943" s="5" t="s">
        <v>6046</v>
      </c>
      <c r="BA3943" s="5" t="s">
        <v>255</v>
      </c>
      <c r="BB3943" s="5" t="s">
        <v>731</v>
      </c>
      <c r="BD3943" s="5" t="s">
        <v>686</v>
      </c>
      <c r="BF3943" s="5" t="s">
        <v>301</v>
      </c>
      <c r="BG3943" s="6" t="s">
        <v>733</v>
      </c>
      <c r="BH3943" s="5" t="s">
        <v>302</v>
      </c>
      <c r="BI3943" s="5" t="s">
        <v>303</v>
      </c>
      <c r="BJ3943" s="5" t="s">
        <v>240</v>
      </c>
      <c r="BK3943" s="8">
        <f>0</f>
        <v>0</v>
      </c>
      <c r="BL3943" s="7">
        <f>0</f>
        <v>0</v>
      </c>
      <c r="BM3943" s="5" t="s">
        <v>258</v>
      </c>
      <c r="BN3943" s="5" t="s">
        <v>259</v>
      </c>
      <c r="BW3943" s="6" t="s">
        <v>240</v>
      </c>
      <c r="BX3943" s="5" t="s">
        <v>240</v>
      </c>
      <c r="BY3943" s="5" t="s">
        <v>240</v>
      </c>
      <c r="BZ3943" s="5" t="s">
        <v>240</v>
      </c>
      <c r="CB3943" s="5" t="s">
        <v>240</v>
      </c>
      <c r="CC3943" s="5" t="s">
        <v>240</v>
      </c>
      <c r="CG3943" s="5" t="s">
        <v>617</v>
      </c>
      <c r="CH3943" s="5" t="s">
        <v>305</v>
      </c>
      <c r="CI3943" s="5" t="s">
        <v>260</v>
      </c>
      <c r="CK3943" s="5" t="s">
        <v>240</v>
      </c>
      <c r="CL3943" s="6" t="s">
        <v>261</v>
      </c>
      <c r="CM3943" s="5" t="s">
        <v>240</v>
      </c>
      <c r="CN3943" s="5" t="s">
        <v>263</v>
      </c>
      <c r="CO3943" s="5" t="s">
        <v>240</v>
      </c>
      <c r="CP3943" s="5" t="s">
        <v>240</v>
      </c>
      <c r="CQ3943" s="5">
        <v>0</v>
      </c>
      <c r="CR3943" s="5" t="s">
        <v>735</v>
      </c>
      <c r="CS3943" s="5" t="s">
        <v>307</v>
      </c>
      <c r="CT3943" s="5" t="s">
        <v>307</v>
      </c>
      <c r="CU3943" s="5" t="s">
        <v>260</v>
      </c>
      <c r="CV3943" s="5" t="s">
        <v>240</v>
      </c>
      <c r="CW3943" s="8" t="s">
        <v>240</v>
      </c>
      <c r="CX3943" s="7">
        <f>518310</f>
        <v>518310</v>
      </c>
      <c r="CY3943" s="7">
        <f>0</f>
        <v>0</v>
      </c>
      <c r="CZ3943" s="7" t="s">
        <v>240</v>
      </c>
      <c r="DA3943" s="7">
        <f>0</f>
        <v>0</v>
      </c>
      <c r="DB3943" s="7" t="s">
        <v>240</v>
      </c>
      <c r="DC3943" s="5" t="s">
        <v>689</v>
      </c>
      <c r="DD3943" s="5" t="s">
        <v>240</v>
      </c>
      <c r="DF3943" s="5" t="s">
        <v>689</v>
      </c>
      <c r="DG3943" s="7">
        <f>234</f>
        <v>234</v>
      </c>
      <c r="DH3943" s="6" t="s">
        <v>7151</v>
      </c>
      <c r="DI3943" s="5" t="s">
        <v>618</v>
      </c>
      <c r="DJ3943" s="5" t="s">
        <v>240</v>
      </c>
      <c r="DK3943" s="5" t="s">
        <v>240</v>
      </c>
      <c r="DL3943" s="5" t="s">
        <v>240</v>
      </c>
      <c r="DM3943" s="5" t="s">
        <v>240</v>
      </c>
      <c r="DN3943" s="5" t="s">
        <v>240</v>
      </c>
      <c r="DO3943" s="7" t="s">
        <v>240</v>
      </c>
      <c r="DP3943" s="5" t="s">
        <v>240</v>
      </c>
      <c r="DQ3943" s="5" t="s">
        <v>248</v>
      </c>
      <c r="DR3943" s="5" t="s">
        <v>731</v>
      </c>
      <c r="DS3943" s="5" t="s">
        <v>731</v>
      </c>
      <c r="DT3943" s="5" t="s">
        <v>240</v>
      </c>
      <c r="DU3943" s="5" t="s">
        <v>240</v>
      </c>
      <c r="DV3943" s="5" t="s">
        <v>6796</v>
      </c>
      <c r="DW3943" s="5" t="s">
        <v>620</v>
      </c>
    </row>
    <row r="3944" spans="1:240" x14ac:dyDescent="0.4">
      <c r="A3944" s="5">
        <v>9490</v>
      </c>
      <c r="B3944" s="5">
        <v>1</v>
      </c>
      <c r="C3944" s="5">
        <v>3</v>
      </c>
      <c r="D3944" s="5" t="s">
        <v>297</v>
      </c>
      <c r="E3944" s="5" t="s">
        <v>245</v>
      </c>
      <c r="F3944" s="5" t="s">
        <v>254</v>
      </c>
      <c r="G3944" s="5" t="s">
        <v>726</v>
      </c>
      <c r="H3944" s="6" t="s">
        <v>7096</v>
      </c>
      <c r="I3944" s="5" t="s">
        <v>7094</v>
      </c>
      <c r="J3944" s="8">
        <f>84.52</f>
        <v>84.52</v>
      </c>
      <c r="K3944" s="5" t="s">
        <v>308</v>
      </c>
      <c r="L3944" s="7">
        <f>1141020</f>
        <v>1141020</v>
      </c>
      <c r="M3944" s="7">
        <f>1141020</f>
        <v>1141020</v>
      </c>
      <c r="N3944" s="5" t="s">
        <v>242</v>
      </c>
      <c r="O3944" s="5">
        <v>1</v>
      </c>
      <c r="P3944" s="5" t="s">
        <v>294</v>
      </c>
      <c r="Q3944" s="5" t="s">
        <v>3678</v>
      </c>
      <c r="T3944" s="5" t="s">
        <v>243</v>
      </c>
      <c r="U3944" s="5" t="s">
        <v>244</v>
      </c>
      <c r="V3944" s="5" t="s">
        <v>240</v>
      </c>
      <c r="Y3944" s="5" t="s">
        <v>240</v>
      </c>
      <c r="Z3944" s="6" t="s">
        <v>298</v>
      </c>
      <c r="AA3944" s="6" t="s">
        <v>240</v>
      </c>
      <c r="AB3944" s="6" t="s">
        <v>240</v>
      </c>
      <c r="AC3944" s="5" t="s">
        <v>240</v>
      </c>
      <c r="AD3944" s="6" t="s">
        <v>240</v>
      </c>
      <c r="AE3944" s="6" t="s">
        <v>6769</v>
      </c>
      <c r="AF3944" s="5" t="s">
        <v>248</v>
      </c>
      <c r="AG3944" s="5" t="s">
        <v>249</v>
      </c>
      <c r="AM3944" s="5" t="s">
        <v>240</v>
      </c>
      <c r="AN3944" s="5" t="s">
        <v>240</v>
      </c>
      <c r="AO3944" s="5" t="s">
        <v>240</v>
      </c>
      <c r="AP3944" s="6" t="s">
        <v>240</v>
      </c>
      <c r="AQ3944" s="6" t="s">
        <v>240</v>
      </c>
      <c r="AR3944" s="6" t="s">
        <v>240</v>
      </c>
      <c r="AU3944" s="5" t="s">
        <v>729</v>
      </c>
      <c r="AV3944" s="5" t="s">
        <v>729</v>
      </c>
      <c r="AW3944" s="5" t="s">
        <v>251</v>
      </c>
      <c r="AX3944" s="5" t="s">
        <v>252</v>
      </c>
      <c r="AY3944" s="5" t="s">
        <v>253</v>
      </c>
      <c r="AZ3944" s="5" t="s">
        <v>6046</v>
      </c>
      <c r="BA3944" s="5" t="s">
        <v>255</v>
      </c>
      <c r="BB3944" s="5" t="s">
        <v>731</v>
      </c>
      <c r="BD3944" s="5" t="s">
        <v>842</v>
      </c>
      <c r="BF3944" s="5" t="s">
        <v>732</v>
      </c>
      <c r="BG3944" s="6" t="s">
        <v>733</v>
      </c>
      <c r="BH3944" s="5" t="s">
        <v>734</v>
      </c>
      <c r="BI3944" s="5" t="s">
        <v>734</v>
      </c>
      <c r="BJ3944" s="5" t="s">
        <v>240</v>
      </c>
      <c r="BK3944" s="7">
        <f>1</f>
        <v>1</v>
      </c>
      <c r="BL3944" s="7">
        <f>1</f>
        <v>1</v>
      </c>
      <c r="BM3944" s="5" t="s">
        <v>258</v>
      </c>
      <c r="BN3944" s="5" t="s">
        <v>259</v>
      </c>
      <c r="BO3944" s="5" t="s">
        <v>240</v>
      </c>
      <c r="BP3944" s="5" t="s">
        <v>240</v>
      </c>
      <c r="BQ3944" s="5" t="s">
        <v>240</v>
      </c>
      <c r="BR3944" s="5" t="s">
        <v>240</v>
      </c>
      <c r="BW3944" s="6" t="s">
        <v>240</v>
      </c>
      <c r="BX3944" s="5" t="s">
        <v>240</v>
      </c>
      <c r="BY3944" s="5" t="s">
        <v>240</v>
      </c>
      <c r="BZ3944" s="5" t="s">
        <v>240</v>
      </c>
      <c r="CA3944" s="5" t="s">
        <v>259</v>
      </c>
      <c r="CB3944" s="5" t="s">
        <v>240</v>
      </c>
      <c r="CC3944" s="5" t="s">
        <v>240</v>
      </c>
      <c r="CG3944" s="5" t="s">
        <v>240</v>
      </c>
      <c r="CH3944" s="5" t="s">
        <v>240</v>
      </c>
      <c r="CI3944" s="5" t="s">
        <v>260</v>
      </c>
      <c r="CK3944" s="5" t="s">
        <v>240</v>
      </c>
      <c r="CL3944" s="6" t="s">
        <v>261</v>
      </c>
      <c r="CM3944" s="5" t="s">
        <v>262</v>
      </c>
      <c r="CN3944" s="5" t="s">
        <v>263</v>
      </c>
      <c r="CO3944" s="5" t="s">
        <v>264</v>
      </c>
      <c r="CP3944" s="5" t="s">
        <v>240</v>
      </c>
      <c r="CQ3944" s="5">
        <v>0</v>
      </c>
      <c r="CR3944" s="5" t="s">
        <v>735</v>
      </c>
      <c r="CS3944" s="5" t="s">
        <v>307</v>
      </c>
      <c r="CT3944" s="5" t="s">
        <v>307</v>
      </c>
      <c r="CU3944" s="5" t="s">
        <v>260</v>
      </c>
      <c r="CV3944" s="5" t="s">
        <v>240</v>
      </c>
      <c r="CW3944" s="8">
        <f>1</f>
        <v>1</v>
      </c>
      <c r="CX3944" s="7">
        <f>1</f>
        <v>1</v>
      </c>
      <c r="CY3944" s="7">
        <f>0</f>
        <v>0</v>
      </c>
      <c r="CZ3944" s="7">
        <f>0</f>
        <v>0</v>
      </c>
      <c r="DA3944" s="7">
        <f>1</f>
        <v>1</v>
      </c>
      <c r="DB3944" s="7" t="s">
        <v>240</v>
      </c>
      <c r="DC3944" s="5" t="s">
        <v>240</v>
      </c>
      <c r="DD3944" s="5" t="s">
        <v>240</v>
      </c>
      <c r="DF3944" s="5" t="s">
        <v>240</v>
      </c>
      <c r="DG3944" s="7">
        <f>0</f>
        <v>0</v>
      </c>
      <c r="DH3944" s="6" t="s">
        <v>240</v>
      </c>
      <c r="DI3944" s="5" t="s">
        <v>240</v>
      </c>
      <c r="DJ3944" s="5" t="s">
        <v>240</v>
      </c>
      <c r="DK3944" s="5" t="s">
        <v>240</v>
      </c>
      <c r="DL3944" s="5" t="s">
        <v>240</v>
      </c>
      <c r="DM3944" s="5" t="s">
        <v>240</v>
      </c>
      <c r="DN3944" s="5" t="s">
        <v>240</v>
      </c>
      <c r="DO3944" s="7" t="s">
        <v>240</v>
      </c>
      <c r="DP3944" s="5" t="s">
        <v>240</v>
      </c>
      <c r="DQ3944" s="5" t="s">
        <v>248</v>
      </c>
      <c r="DR3944" s="5" t="s">
        <v>731</v>
      </c>
      <c r="DS3944" s="5" t="s">
        <v>731</v>
      </c>
      <c r="DT3944" s="5" t="s">
        <v>240</v>
      </c>
      <c r="DU3944" s="5" t="s">
        <v>240</v>
      </c>
      <c r="HR3944" s="5" t="s">
        <v>240</v>
      </c>
      <c r="HS3944" s="5" t="s">
        <v>240</v>
      </c>
      <c r="HT3944" s="5" t="s">
        <v>240</v>
      </c>
      <c r="HU3944" s="5" t="s">
        <v>240</v>
      </c>
      <c r="HV3944" s="5" t="s">
        <v>240</v>
      </c>
      <c r="HW3944" s="5" t="s">
        <v>240</v>
      </c>
      <c r="HX3944" s="5" t="s">
        <v>240</v>
      </c>
      <c r="HY3944" s="5" t="s">
        <v>240</v>
      </c>
      <c r="HZ3944" s="5" t="s">
        <v>240</v>
      </c>
      <c r="IA3944" s="5" t="s">
        <v>240</v>
      </c>
      <c r="IB3944" s="5" t="s">
        <v>240</v>
      </c>
      <c r="IC3944" s="5" t="s">
        <v>240</v>
      </c>
      <c r="ID3944" s="5" t="s">
        <v>240</v>
      </c>
      <c r="IE3944" s="5" t="s">
        <v>240</v>
      </c>
      <c r="IF3944" s="5" t="s">
        <v>240</v>
      </c>
    </row>
    <row r="3945" spans="1:240" x14ac:dyDescent="0.4">
      <c r="A3945" s="5">
        <v>9491</v>
      </c>
      <c r="B3945" s="5">
        <v>1</v>
      </c>
      <c r="C3945" s="5">
        <v>4</v>
      </c>
      <c r="D3945" s="5" t="s">
        <v>297</v>
      </c>
      <c r="E3945" s="5" t="s">
        <v>245</v>
      </c>
      <c r="F3945" s="5" t="s">
        <v>254</v>
      </c>
      <c r="G3945" s="5" t="s">
        <v>726</v>
      </c>
      <c r="H3945" s="6" t="s">
        <v>7079</v>
      </c>
      <c r="I3945" s="5" t="s">
        <v>7077</v>
      </c>
      <c r="J3945" s="8">
        <f>555.93</f>
        <v>555.92999999999995</v>
      </c>
      <c r="K3945" s="5" t="s">
        <v>308</v>
      </c>
      <c r="L3945" s="7">
        <f>441635</f>
        <v>441635</v>
      </c>
      <c r="M3945" s="7">
        <f>441635</f>
        <v>441635</v>
      </c>
      <c r="N3945" s="5" t="s">
        <v>242</v>
      </c>
      <c r="O3945" s="5">
        <v>1</v>
      </c>
      <c r="P3945" s="5" t="s">
        <v>294</v>
      </c>
      <c r="Q3945" s="5" t="s">
        <v>613</v>
      </c>
      <c r="T3945" s="5" t="s">
        <v>243</v>
      </c>
      <c r="U3945" s="5" t="s">
        <v>244</v>
      </c>
      <c r="V3945" s="5" t="s">
        <v>240</v>
      </c>
      <c r="Y3945" s="5" t="s">
        <v>240</v>
      </c>
      <c r="Z3945" s="6" t="s">
        <v>298</v>
      </c>
      <c r="AA3945" s="6" t="s">
        <v>240</v>
      </c>
      <c r="AB3945" s="6" t="s">
        <v>240</v>
      </c>
      <c r="AC3945" s="5" t="s">
        <v>240</v>
      </c>
      <c r="AD3945" s="6" t="s">
        <v>240</v>
      </c>
      <c r="AE3945" s="6" t="s">
        <v>299</v>
      </c>
      <c r="AF3945" s="5" t="s">
        <v>248</v>
      </c>
      <c r="AG3945" s="5" t="s">
        <v>249</v>
      </c>
      <c r="AM3945" s="5" t="s">
        <v>240</v>
      </c>
      <c r="AN3945" s="5" t="s">
        <v>240</v>
      </c>
      <c r="AO3945" s="5" t="s">
        <v>240</v>
      </c>
      <c r="AP3945" s="6" t="s">
        <v>240</v>
      </c>
      <c r="AQ3945" s="6" t="s">
        <v>240</v>
      </c>
      <c r="AW3945" s="5" t="s">
        <v>251</v>
      </c>
      <c r="AX3945" s="5" t="s">
        <v>252</v>
      </c>
      <c r="AY3945" s="5" t="s">
        <v>253</v>
      </c>
      <c r="AZ3945" s="5" t="s">
        <v>6046</v>
      </c>
      <c r="BA3945" s="5" t="s">
        <v>255</v>
      </c>
      <c r="BB3945" s="5" t="s">
        <v>731</v>
      </c>
      <c r="BD3945" s="5" t="s">
        <v>686</v>
      </c>
      <c r="BF3945" s="5" t="s">
        <v>301</v>
      </c>
      <c r="BG3945" s="6" t="s">
        <v>733</v>
      </c>
      <c r="BH3945" s="5" t="s">
        <v>302</v>
      </c>
      <c r="BI3945" s="5" t="s">
        <v>303</v>
      </c>
      <c r="BJ3945" s="5" t="s">
        <v>240</v>
      </c>
      <c r="BK3945" s="8">
        <f>0</f>
        <v>0</v>
      </c>
      <c r="BL3945" s="7">
        <f>0</f>
        <v>0</v>
      </c>
      <c r="BM3945" s="5" t="s">
        <v>258</v>
      </c>
      <c r="BN3945" s="5" t="s">
        <v>259</v>
      </c>
      <c r="BW3945" s="6" t="s">
        <v>240</v>
      </c>
      <c r="BX3945" s="5" t="s">
        <v>240</v>
      </c>
      <c r="BY3945" s="5" t="s">
        <v>240</v>
      </c>
      <c r="BZ3945" s="5" t="s">
        <v>240</v>
      </c>
      <c r="CB3945" s="5" t="s">
        <v>240</v>
      </c>
      <c r="CC3945" s="5" t="s">
        <v>240</v>
      </c>
      <c r="CG3945" s="5" t="s">
        <v>617</v>
      </c>
      <c r="CH3945" s="5" t="s">
        <v>305</v>
      </c>
      <c r="CI3945" s="5" t="s">
        <v>260</v>
      </c>
      <c r="CK3945" s="5" t="s">
        <v>240</v>
      </c>
      <c r="CL3945" s="6" t="s">
        <v>261</v>
      </c>
      <c r="CM3945" s="5" t="s">
        <v>240</v>
      </c>
      <c r="CN3945" s="5" t="s">
        <v>263</v>
      </c>
      <c r="CO3945" s="5" t="s">
        <v>240</v>
      </c>
      <c r="CP3945" s="5" t="s">
        <v>240</v>
      </c>
      <c r="CQ3945" s="5">
        <v>0</v>
      </c>
      <c r="CR3945" s="5" t="s">
        <v>735</v>
      </c>
      <c r="CS3945" s="5" t="s">
        <v>307</v>
      </c>
      <c r="CT3945" s="5" t="s">
        <v>307</v>
      </c>
      <c r="CU3945" s="5" t="s">
        <v>260</v>
      </c>
      <c r="CV3945" s="5" t="s">
        <v>240</v>
      </c>
      <c r="CW3945" s="8" t="s">
        <v>240</v>
      </c>
      <c r="CX3945" s="7">
        <f>3333575</f>
        <v>3333575</v>
      </c>
      <c r="CY3945" s="7">
        <f>0</f>
        <v>0</v>
      </c>
      <c r="CZ3945" s="7" t="s">
        <v>240</v>
      </c>
      <c r="DA3945" s="7">
        <f>0</f>
        <v>0</v>
      </c>
      <c r="DB3945" s="7" t="s">
        <v>240</v>
      </c>
      <c r="DC3945" s="5" t="s">
        <v>450</v>
      </c>
      <c r="DD3945" s="5" t="s">
        <v>240</v>
      </c>
      <c r="DF3945" s="5" t="s">
        <v>450</v>
      </c>
      <c r="DG3945" s="7">
        <f>0</f>
        <v>0</v>
      </c>
      <c r="DH3945" s="6" t="s">
        <v>240</v>
      </c>
      <c r="DI3945" s="5" t="s">
        <v>618</v>
      </c>
      <c r="DJ3945" s="5" t="s">
        <v>240</v>
      </c>
      <c r="DK3945" s="5" t="s">
        <v>240</v>
      </c>
      <c r="DL3945" s="5" t="s">
        <v>240</v>
      </c>
      <c r="DM3945" s="5" t="s">
        <v>240</v>
      </c>
      <c r="DN3945" s="5" t="s">
        <v>240</v>
      </c>
      <c r="DO3945" s="7" t="s">
        <v>240</v>
      </c>
      <c r="DP3945" s="5" t="s">
        <v>240</v>
      </c>
      <c r="DQ3945" s="5" t="s">
        <v>248</v>
      </c>
      <c r="DR3945" s="5" t="s">
        <v>731</v>
      </c>
      <c r="DS3945" s="5" t="s">
        <v>731</v>
      </c>
      <c r="DT3945" s="5" t="s">
        <v>240</v>
      </c>
      <c r="DU3945" s="5" t="s">
        <v>240</v>
      </c>
      <c r="DV3945" s="5" t="s">
        <v>6839</v>
      </c>
      <c r="DW3945" s="5" t="s">
        <v>791</v>
      </c>
    </row>
    <row r="3946" spans="1:240" x14ac:dyDescent="0.4">
      <c r="A3946" s="5">
        <v>9492</v>
      </c>
      <c r="B3946" s="5">
        <v>1</v>
      </c>
      <c r="C3946" s="5">
        <v>3</v>
      </c>
      <c r="D3946" s="5" t="s">
        <v>297</v>
      </c>
      <c r="E3946" s="5" t="s">
        <v>245</v>
      </c>
      <c r="F3946" s="5" t="s">
        <v>254</v>
      </c>
      <c r="G3946" s="5" t="s">
        <v>726</v>
      </c>
      <c r="H3946" s="6" t="s">
        <v>7101</v>
      </c>
      <c r="I3946" s="5" t="s">
        <v>7099</v>
      </c>
      <c r="J3946" s="8">
        <f>1848</f>
        <v>1848</v>
      </c>
      <c r="K3946" s="5" t="s">
        <v>308</v>
      </c>
      <c r="L3946" s="7">
        <f>683760</f>
        <v>683760</v>
      </c>
      <c r="M3946" s="7">
        <f>683760</f>
        <v>683760</v>
      </c>
      <c r="N3946" s="5" t="s">
        <v>242</v>
      </c>
      <c r="O3946" s="5">
        <v>1</v>
      </c>
      <c r="P3946" s="5" t="s">
        <v>294</v>
      </c>
      <c r="Q3946" s="5" t="s">
        <v>613</v>
      </c>
      <c r="T3946" s="5" t="s">
        <v>243</v>
      </c>
      <c r="U3946" s="5" t="s">
        <v>244</v>
      </c>
      <c r="V3946" s="5" t="s">
        <v>240</v>
      </c>
      <c r="Y3946" s="5" t="s">
        <v>240</v>
      </c>
      <c r="Z3946" s="6" t="s">
        <v>298</v>
      </c>
      <c r="AA3946" s="6" t="s">
        <v>240</v>
      </c>
      <c r="AB3946" s="6" t="s">
        <v>240</v>
      </c>
      <c r="AC3946" s="5" t="s">
        <v>240</v>
      </c>
      <c r="AD3946" s="6" t="s">
        <v>240</v>
      </c>
      <c r="AE3946" s="6" t="s">
        <v>299</v>
      </c>
      <c r="AF3946" s="5" t="s">
        <v>248</v>
      </c>
      <c r="AG3946" s="5" t="s">
        <v>249</v>
      </c>
      <c r="AM3946" s="5" t="s">
        <v>240</v>
      </c>
      <c r="AN3946" s="5" t="s">
        <v>240</v>
      </c>
      <c r="AO3946" s="5" t="s">
        <v>240</v>
      </c>
      <c r="AP3946" s="6" t="s">
        <v>240</v>
      </c>
      <c r="AQ3946" s="6" t="s">
        <v>240</v>
      </c>
      <c r="AW3946" s="5" t="s">
        <v>251</v>
      </c>
      <c r="AX3946" s="5" t="s">
        <v>252</v>
      </c>
      <c r="AY3946" s="5" t="s">
        <v>253</v>
      </c>
      <c r="AZ3946" s="5" t="s">
        <v>6046</v>
      </c>
      <c r="BA3946" s="5" t="s">
        <v>255</v>
      </c>
      <c r="BB3946" s="5" t="s">
        <v>731</v>
      </c>
      <c r="BD3946" s="5" t="s">
        <v>686</v>
      </c>
      <c r="BF3946" s="5" t="s">
        <v>301</v>
      </c>
      <c r="BG3946" s="6" t="s">
        <v>733</v>
      </c>
      <c r="BH3946" s="5" t="s">
        <v>302</v>
      </c>
      <c r="BI3946" s="5" t="s">
        <v>303</v>
      </c>
      <c r="BJ3946" s="5" t="s">
        <v>240</v>
      </c>
      <c r="BK3946" s="8">
        <f>0</f>
        <v>0</v>
      </c>
      <c r="BL3946" s="7">
        <f>0</f>
        <v>0</v>
      </c>
      <c r="BM3946" s="5" t="s">
        <v>258</v>
      </c>
      <c r="BN3946" s="5" t="s">
        <v>259</v>
      </c>
      <c r="BW3946" s="6" t="s">
        <v>240</v>
      </c>
      <c r="BX3946" s="5" t="s">
        <v>240</v>
      </c>
      <c r="BY3946" s="5" t="s">
        <v>240</v>
      </c>
      <c r="BZ3946" s="5" t="s">
        <v>240</v>
      </c>
      <c r="CB3946" s="5" t="s">
        <v>240</v>
      </c>
      <c r="CC3946" s="5" t="s">
        <v>240</v>
      </c>
      <c r="CG3946" s="5" t="s">
        <v>617</v>
      </c>
      <c r="CH3946" s="5" t="s">
        <v>305</v>
      </c>
      <c r="CI3946" s="5" t="s">
        <v>260</v>
      </c>
      <c r="CK3946" s="5" t="s">
        <v>240</v>
      </c>
      <c r="CL3946" s="6" t="s">
        <v>261</v>
      </c>
      <c r="CM3946" s="5" t="s">
        <v>240</v>
      </c>
      <c r="CN3946" s="5" t="s">
        <v>263</v>
      </c>
      <c r="CO3946" s="5" t="s">
        <v>240</v>
      </c>
      <c r="CP3946" s="5" t="s">
        <v>240</v>
      </c>
      <c r="CQ3946" s="5">
        <v>0</v>
      </c>
      <c r="CR3946" s="5" t="s">
        <v>735</v>
      </c>
      <c r="CS3946" s="5" t="s">
        <v>307</v>
      </c>
      <c r="CT3946" s="5" t="s">
        <v>307</v>
      </c>
      <c r="CU3946" s="5" t="s">
        <v>260</v>
      </c>
      <c r="CV3946" s="5" t="s">
        <v>240</v>
      </c>
      <c r="CW3946" s="8" t="s">
        <v>240</v>
      </c>
      <c r="CX3946" s="7">
        <f>434140</f>
        <v>434140</v>
      </c>
      <c r="CY3946" s="7">
        <f>0</f>
        <v>0</v>
      </c>
      <c r="CZ3946" s="7" t="s">
        <v>240</v>
      </c>
      <c r="DA3946" s="7">
        <f>0</f>
        <v>0</v>
      </c>
      <c r="DB3946" s="7" t="s">
        <v>240</v>
      </c>
      <c r="DC3946" s="5" t="s">
        <v>689</v>
      </c>
      <c r="DD3946" s="5" t="s">
        <v>240</v>
      </c>
      <c r="DF3946" s="5" t="s">
        <v>689</v>
      </c>
      <c r="DG3946" s="7">
        <f>196</f>
        <v>196</v>
      </c>
      <c r="DH3946" s="6" t="s">
        <v>240</v>
      </c>
      <c r="DI3946" s="5" t="s">
        <v>618</v>
      </c>
      <c r="DJ3946" s="5" t="s">
        <v>240</v>
      </c>
      <c r="DK3946" s="5" t="s">
        <v>240</v>
      </c>
      <c r="DL3946" s="5" t="s">
        <v>240</v>
      </c>
      <c r="DM3946" s="5" t="s">
        <v>240</v>
      </c>
      <c r="DN3946" s="5" t="s">
        <v>240</v>
      </c>
      <c r="DO3946" s="7" t="s">
        <v>240</v>
      </c>
      <c r="DP3946" s="5" t="s">
        <v>240</v>
      </c>
      <c r="DQ3946" s="5" t="s">
        <v>248</v>
      </c>
      <c r="DR3946" s="5" t="s">
        <v>731</v>
      </c>
      <c r="DS3946" s="5" t="s">
        <v>731</v>
      </c>
      <c r="DT3946" s="5" t="s">
        <v>240</v>
      </c>
      <c r="DU3946" s="5" t="s">
        <v>240</v>
      </c>
      <c r="DV3946" s="5" t="s">
        <v>6796</v>
      </c>
      <c r="DW3946" s="5" t="s">
        <v>691</v>
      </c>
    </row>
    <row r="3947" spans="1:240" x14ac:dyDescent="0.4">
      <c r="A3947" s="5">
        <v>9493</v>
      </c>
      <c r="B3947" s="5">
        <v>1</v>
      </c>
      <c r="C3947" s="5">
        <v>2</v>
      </c>
      <c r="D3947" s="5" t="s">
        <v>297</v>
      </c>
      <c r="E3947" s="5" t="s">
        <v>245</v>
      </c>
      <c r="F3947" s="5" t="s">
        <v>254</v>
      </c>
      <c r="G3947" s="5" t="s">
        <v>726</v>
      </c>
      <c r="H3947" s="6" t="s">
        <v>7247</v>
      </c>
      <c r="I3947" s="5" t="s">
        <v>7245</v>
      </c>
      <c r="J3947" s="8">
        <f>10.98</f>
        <v>10.98</v>
      </c>
      <c r="K3947" s="5" t="s">
        <v>308</v>
      </c>
      <c r="L3947" s="7">
        <f>15372</f>
        <v>15372</v>
      </c>
      <c r="M3947" s="7">
        <f>15372</f>
        <v>15372</v>
      </c>
      <c r="N3947" s="5" t="s">
        <v>242</v>
      </c>
      <c r="O3947" s="5">
        <v>1</v>
      </c>
      <c r="P3947" s="5" t="s">
        <v>294</v>
      </c>
      <c r="Q3947" s="5" t="s">
        <v>3678</v>
      </c>
      <c r="T3947" s="5" t="s">
        <v>243</v>
      </c>
      <c r="U3947" s="5" t="s">
        <v>244</v>
      </c>
      <c r="V3947" s="5" t="s">
        <v>240</v>
      </c>
      <c r="Y3947" s="5" t="s">
        <v>240</v>
      </c>
      <c r="Z3947" s="6" t="s">
        <v>298</v>
      </c>
      <c r="AA3947" s="6" t="s">
        <v>240</v>
      </c>
      <c r="AB3947" s="6" t="s">
        <v>240</v>
      </c>
      <c r="AC3947" s="5" t="s">
        <v>240</v>
      </c>
      <c r="AD3947" s="6" t="s">
        <v>240</v>
      </c>
      <c r="AE3947" s="6" t="s">
        <v>6769</v>
      </c>
      <c r="AF3947" s="5" t="s">
        <v>248</v>
      </c>
      <c r="AG3947" s="5" t="s">
        <v>249</v>
      </c>
      <c r="AM3947" s="5" t="s">
        <v>240</v>
      </c>
      <c r="AN3947" s="5" t="s">
        <v>240</v>
      </c>
      <c r="AO3947" s="5" t="s">
        <v>240</v>
      </c>
      <c r="AP3947" s="6" t="s">
        <v>240</v>
      </c>
      <c r="AQ3947" s="6" t="s">
        <v>240</v>
      </c>
      <c r="AR3947" s="6" t="s">
        <v>240</v>
      </c>
      <c r="AU3947" s="5" t="s">
        <v>729</v>
      </c>
      <c r="AV3947" s="5" t="s">
        <v>729</v>
      </c>
      <c r="AW3947" s="5" t="s">
        <v>251</v>
      </c>
      <c r="AX3947" s="5" t="s">
        <v>252</v>
      </c>
      <c r="AY3947" s="5" t="s">
        <v>253</v>
      </c>
      <c r="AZ3947" s="5" t="s">
        <v>6046</v>
      </c>
      <c r="BA3947" s="5" t="s">
        <v>255</v>
      </c>
      <c r="BB3947" s="5" t="s">
        <v>731</v>
      </c>
      <c r="BD3947" s="5" t="s">
        <v>842</v>
      </c>
      <c r="BF3947" s="5" t="s">
        <v>732</v>
      </c>
      <c r="BG3947" s="6" t="s">
        <v>733</v>
      </c>
      <c r="BH3947" s="5" t="s">
        <v>734</v>
      </c>
      <c r="BI3947" s="5" t="s">
        <v>734</v>
      </c>
      <c r="BJ3947" s="5" t="s">
        <v>240</v>
      </c>
      <c r="BK3947" s="7">
        <f>1</f>
        <v>1</v>
      </c>
      <c r="BL3947" s="7">
        <f>1</f>
        <v>1</v>
      </c>
      <c r="BM3947" s="5" t="s">
        <v>258</v>
      </c>
      <c r="BN3947" s="5" t="s">
        <v>259</v>
      </c>
      <c r="BO3947" s="5" t="s">
        <v>240</v>
      </c>
      <c r="BP3947" s="5" t="s">
        <v>240</v>
      </c>
      <c r="BQ3947" s="5" t="s">
        <v>240</v>
      </c>
      <c r="BR3947" s="5" t="s">
        <v>240</v>
      </c>
      <c r="BW3947" s="6" t="s">
        <v>240</v>
      </c>
      <c r="BX3947" s="5" t="s">
        <v>240</v>
      </c>
      <c r="BY3947" s="5" t="s">
        <v>240</v>
      </c>
      <c r="BZ3947" s="5" t="s">
        <v>240</v>
      </c>
      <c r="CA3947" s="5" t="s">
        <v>259</v>
      </c>
      <c r="CB3947" s="5" t="s">
        <v>240</v>
      </c>
      <c r="CC3947" s="5" t="s">
        <v>240</v>
      </c>
      <c r="CG3947" s="5" t="s">
        <v>240</v>
      </c>
      <c r="CH3947" s="5" t="s">
        <v>240</v>
      </c>
      <c r="CI3947" s="5" t="s">
        <v>260</v>
      </c>
      <c r="CK3947" s="5" t="s">
        <v>240</v>
      </c>
      <c r="CL3947" s="6" t="s">
        <v>261</v>
      </c>
      <c r="CM3947" s="5" t="s">
        <v>262</v>
      </c>
      <c r="CN3947" s="5" t="s">
        <v>263</v>
      </c>
      <c r="CO3947" s="5" t="s">
        <v>264</v>
      </c>
      <c r="CP3947" s="5" t="s">
        <v>240</v>
      </c>
      <c r="CQ3947" s="5">
        <v>0</v>
      </c>
      <c r="CR3947" s="5" t="s">
        <v>735</v>
      </c>
      <c r="CS3947" s="5" t="s">
        <v>307</v>
      </c>
      <c r="CT3947" s="5" t="s">
        <v>307</v>
      </c>
      <c r="CU3947" s="5" t="s">
        <v>260</v>
      </c>
      <c r="CV3947" s="5" t="s">
        <v>240</v>
      </c>
      <c r="CW3947" s="8">
        <f>1</f>
        <v>1</v>
      </c>
      <c r="CX3947" s="7">
        <f>1</f>
        <v>1</v>
      </c>
      <c r="CY3947" s="7">
        <f>0</f>
        <v>0</v>
      </c>
      <c r="CZ3947" s="7">
        <f>0</f>
        <v>0</v>
      </c>
      <c r="DA3947" s="7">
        <f>1</f>
        <v>1</v>
      </c>
      <c r="DB3947" s="7" t="s">
        <v>240</v>
      </c>
      <c r="DC3947" s="5" t="s">
        <v>240</v>
      </c>
      <c r="DD3947" s="5" t="s">
        <v>240</v>
      </c>
      <c r="DF3947" s="5" t="s">
        <v>240</v>
      </c>
      <c r="DG3947" s="7">
        <f>0</f>
        <v>0</v>
      </c>
      <c r="DH3947" s="6" t="s">
        <v>240</v>
      </c>
      <c r="DI3947" s="5" t="s">
        <v>240</v>
      </c>
      <c r="DJ3947" s="5" t="s">
        <v>240</v>
      </c>
      <c r="DK3947" s="5" t="s">
        <v>240</v>
      </c>
      <c r="DL3947" s="5" t="s">
        <v>240</v>
      </c>
      <c r="DM3947" s="5" t="s">
        <v>240</v>
      </c>
      <c r="DN3947" s="5" t="s">
        <v>240</v>
      </c>
      <c r="DO3947" s="7" t="s">
        <v>240</v>
      </c>
      <c r="DP3947" s="5" t="s">
        <v>240</v>
      </c>
      <c r="DQ3947" s="5" t="s">
        <v>248</v>
      </c>
      <c r="DR3947" s="5" t="s">
        <v>731</v>
      </c>
      <c r="DS3947" s="5" t="s">
        <v>731</v>
      </c>
      <c r="DT3947" s="5" t="s">
        <v>240</v>
      </c>
      <c r="DU3947" s="5" t="s">
        <v>240</v>
      </c>
      <c r="HR3947" s="5" t="s">
        <v>240</v>
      </c>
      <c r="HS3947" s="5" t="s">
        <v>240</v>
      </c>
      <c r="HT3947" s="5" t="s">
        <v>240</v>
      </c>
      <c r="HU3947" s="5" t="s">
        <v>240</v>
      </c>
      <c r="HV3947" s="5" t="s">
        <v>240</v>
      </c>
      <c r="HW3947" s="5" t="s">
        <v>240</v>
      </c>
      <c r="HX3947" s="5" t="s">
        <v>240</v>
      </c>
      <c r="HY3947" s="5" t="s">
        <v>240</v>
      </c>
      <c r="HZ3947" s="5" t="s">
        <v>240</v>
      </c>
      <c r="IA3947" s="5" t="s">
        <v>240</v>
      </c>
      <c r="IB3947" s="5" t="s">
        <v>240</v>
      </c>
      <c r="IC3947" s="5" t="s">
        <v>240</v>
      </c>
      <c r="ID3947" s="5" t="s">
        <v>240</v>
      </c>
      <c r="IE3947" s="5" t="s">
        <v>240</v>
      </c>
      <c r="IF3947" s="5" t="s">
        <v>240</v>
      </c>
    </row>
    <row r="3948" spans="1:240" x14ac:dyDescent="0.4">
      <c r="A3948" s="5">
        <v>9494</v>
      </c>
      <c r="B3948" s="5">
        <v>1</v>
      </c>
      <c r="C3948" s="5">
        <v>3</v>
      </c>
      <c r="D3948" s="5" t="s">
        <v>7083</v>
      </c>
      <c r="E3948" s="5" t="s">
        <v>245</v>
      </c>
      <c r="F3948" s="5" t="s">
        <v>254</v>
      </c>
      <c r="G3948" s="5" t="s">
        <v>726</v>
      </c>
      <c r="H3948" s="6" t="s">
        <v>7086</v>
      </c>
      <c r="I3948" s="5" t="s">
        <v>7082</v>
      </c>
      <c r="J3948" s="8">
        <f>1.54</f>
        <v>1.54</v>
      </c>
      <c r="K3948" s="5" t="s">
        <v>308</v>
      </c>
      <c r="L3948" s="7">
        <f>197212</f>
        <v>197212</v>
      </c>
      <c r="M3948" s="7">
        <f>197212</f>
        <v>197212</v>
      </c>
      <c r="N3948" s="5" t="s">
        <v>242</v>
      </c>
      <c r="O3948" s="5">
        <v>1</v>
      </c>
      <c r="P3948" s="5" t="s">
        <v>294</v>
      </c>
      <c r="Q3948" s="5" t="s">
        <v>613</v>
      </c>
      <c r="T3948" s="5" t="s">
        <v>243</v>
      </c>
      <c r="U3948" s="5" t="s">
        <v>244</v>
      </c>
      <c r="V3948" s="5" t="s">
        <v>240</v>
      </c>
      <c r="Y3948" s="5" t="s">
        <v>240</v>
      </c>
      <c r="Z3948" s="6" t="s">
        <v>298</v>
      </c>
      <c r="AA3948" s="6" t="s">
        <v>240</v>
      </c>
      <c r="AB3948" s="6" t="s">
        <v>240</v>
      </c>
      <c r="AC3948" s="5" t="s">
        <v>240</v>
      </c>
      <c r="AD3948" s="6" t="s">
        <v>240</v>
      </c>
      <c r="AE3948" s="6" t="s">
        <v>299</v>
      </c>
      <c r="AF3948" s="5" t="s">
        <v>248</v>
      </c>
      <c r="AG3948" s="5" t="s">
        <v>249</v>
      </c>
      <c r="AM3948" s="5" t="s">
        <v>240</v>
      </c>
      <c r="AN3948" s="5" t="s">
        <v>240</v>
      </c>
      <c r="AO3948" s="5" t="s">
        <v>240</v>
      </c>
      <c r="AP3948" s="6" t="s">
        <v>240</v>
      </c>
      <c r="AQ3948" s="6" t="s">
        <v>240</v>
      </c>
      <c r="AW3948" s="5" t="s">
        <v>251</v>
      </c>
      <c r="AX3948" s="5" t="s">
        <v>252</v>
      </c>
      <c r="AY3948" s="5" t="s">
        <v>253</v>
      </c>
      <c r="AZ3948" s="5" t="s">
        <v>6046</v>
      </c>
      <c r="BA3948" s="5" t="s">
        <v>255</v>
      </c>
      <c r="BB3948" s="5" t="s">
        <v>731</v>
      </c>
      <c r="BD3948" s="5" t="s">
        <v>686</v>
      </c>
      <c r="BF3948" s="5" t="s">
        <v>301</v>
      </c>
      <c r="BG3948" s="6" t="s">
        <v>733</v>
      </c>
      <c r="BH3948" s="5" t="s">
        <v>302</v>
      </c>
      <c r="BI3948" s="5" t="s">
        <v>303</v>
      </c>
      <c r="BJ3948" s="5" t="s">
        <v>240</v>
      </c>
      <c r="BK3948" s="8">
        <f>0</f>
        <v>0</v>
      </c>
      <c r="BL3948" s="7">
        <f>0</f>
        <v>0</v>
      </c>
      <c r="BM3948" s="5" t="s">
        <v>258</v>
      </c>
      <c r="BN3948" s="5" t="s">
        <v>259</v>
      </c>
      <c r="BW3948" s="6" t="s">
        <v>240</v>
      </c>
      <c r="BX3948" s="5" t="s">
        <v>240</v>
      </c>
      <c r="BY3948" s="5" t="s">
        <v>240</v>
      </c>
      <c r="BZ3948" s="5" t="s">
        <v>240</v>
      </c>
      <c r="CB3948" s="5" t="s">
        <v>240</v>
      </c>
      <c r="CC3948" s="5" t="s">
        <v>240</v>
      </c>
      <c r="CG3948" s="5" t="s">
        <v>617</v>
      </c>
      <c r="CH3948" s="5" t="s">
        <v>305</v>
      </c>
      <c r="CI3948" s="5" t="s">
        <v>260</v>
      </c>
      <c r="CK3948" s="5" t="s">
        <v>240</v>
      </c>
      <c r="CL3948" s="6" t="s">
        <v>261</v>
      </c>
      <c r="CM3948" s="5" t="s">
        <v>240</v>
      </c>
      <c r="CN3948" s="5" t="s">
        <v>263</v>
      </c>
      <c r="CO3948" s="5" t="s">
        <v>240</v>
      </c>
      <c r="CP3948" s="5" t="s">
        <v>240</v>
      </c>
      <c r="CQ3948" s="5">
        <v>0</v>
      </c>
      <c r="CR3948" s="5" t="s">
        <v>735</v>
      </c>
      <c r="CS3948" s="5" t="s">
        <v>307</v>
      </c>
      <c r="CT3948" s="5" t="s">
        <v>307</v>
      </c>
      <c r="CU3948" s="5" t="s">
        <v>260</v>
      </c>
      <c r="CV3948" s="5" t="s">
        <v>240</v>
      </c>
      <c r="CW3948" s="8" t="s">
        <v>240</v>
      </c>
      <c r="CX3948" s="7">
        <f>2133045</f>
        <v>2133045</v>
      </c>
      <c r="CY3948" s="7">
        <f>0</f>
        <v>0</v>
      </c>
      <c r="CZ3948" s="7" t="s">
        <v>240</v>
      </c>
      <c r="DA3948" s="7">
        <f>0</f>
        <v>0</v>
      </c>
      <c r="DB3948" s="7" t="s">
        <v>240</v>
      </c>
      <c r="DC3948" s="5" t="s">
        <v>689</v>
      </c>
      <c r="DD3948" s="5" t="s">
        <v>240</v>
      </c>
      <c r="DF3948" s="5" t="s">
        <v>450</v>
      </c>
      <c r="DG3948" s="7">
        <f>0</f>
        <v>0</v>
      </c>
      <c r="DH3948" s="6" t="s">
        <v>240</v>
      </c>
      <c r="DI3948" s="5" t="s">
        <v>618</v>
      </c>
      <c r="DJ3948" s="5" t="s">
        <v>240</v>
      </c>
      <c r="DK3948" s="5" t="s">
        <v>240</v>
      </c>
      <c r="DL3948" s="5" t="s">
        <v>240</v>
      </c>
      <c r="DM3948" s="5" t="s">
        <v>240</v>
      </c>
      <c r="DN3948" s="5" t="s">
        <v>240</v>
      </c>
      <c r="DO3948" s="7" t="s">
        <v>240</v>
      </c>
      <c r="DP3948" s="5" t="s">
        <v>240</v>
      </c>
      <c r="DQ3948" s="5" t="s">
        <v>248</v>
      </c>
      <c r="DR3948" s="5" t="s">
        <v>731</v>
      </c>
      <c r="DS3948" s="5" t="s">
        <v>731</v>
      </c>
      <c r="DT3948" s="5" t="s">
        <v>240</v>
      </c>
      <c r="DU3948" s="5" t="s">
        <v>240</v>
      </c>
      <c r="DV3948" s="5" t="s">
        <v>6879</v>
      </c>
      <c r="DW3948" s="5" t="s">
        <v>312</v>
      </c>
    </row>
    <row r="3949" spans="1:240" x14ac:dyDescent="0.4">
      <c r="A3949" s="5">
        <v>9495</v>
      </c>
      <c r="B3949" s="5">
        <v>1</v>
      </c>
      <c r="C3949" s="5">
        <v>1</v>
      </c>
      <c r="D3949" s="5" t="s">
        <v>7083</v>
      </c>
      <c r="E3949" s="5" t="s">
        <v>245</v>
      </c>
      <c r="F3949" s="5" t="s">
        <v>254</v>
      </c>
      <c r="G3949" s="5" t="s">
        <v>726</v>
      </c>
      <c r="H3949" s="6" t="s">
        <v>7129</v>
      </c>
      <c r="I3949" s="5" t="s">
        <v>7127</v>
      </c>
      <c r="J3949" s="8">
        <f>256</f>
        <v>256</v>
      </c>
      <c r="K3949" s="5" t="s">
        <v>308</v>
      </c>
      <c r="L3949" s="7">
        <f>1</f>
        <v>1</v>
      </c>
      <c r="M3949" s="7">
        <f>1</f>
        <v>1</v>
      </c>
      <c r="N3949" s="5" t="s">
        <v>242</v>
      </c>
      <c r="O3949" s="5">
        <v>1</v>
      </c>
      <c r="P3949" s="5" t="s">
        <v>294</v>
      </c>
      <c r="Q3949" s="5" t="s">
        <v>2097</v>
      </c>
      <c r="T3949" s="5" t="s">
        <v>296</v>
      </c>
      <c r="U3949" s="5" t="s">
        <v>244</v>
      </c>
      <c r="V3949" s="5" t="s">
        <v>240</v>
      </c>
      <c r="Y3949" s="5" t="s">
        <v>246</v>
      </c>
      <c r="Z3949" s="6" t="s">
        <v>7158</v>
      </c>
      <c r="AA3949" s="6" t="s">
        <v>240</v>
      </c>
      <c r="AB3949" s="6" t="s">
        <v>240</v>
      </c>
      <c r="AC3949" s="5" t="s">
        <v>240</v>
      </c>
      <c r="AD3949" s="6" t="s">
        <v>240</v>
      </c>
      <c r="AE3949" s="6" t="s">
        <v>6740</v>
      </c>
      <c r="AF3949" s="5" t="s">
        <v>248</v>
      </c>
      <c r="AG3949" s="5" t="s">
        <v>249</v>
      </c>
      <c r="AM3949" s="5" t="s">
        <v>240</v>
      </c>
      <c r="AN3949" s="5" t="s">
        <v>240</v>
      </c>
      <c r="AO3949" s="5" t="s">
        <v>240</v>
      </c>
      <c r="AP3949" s="6" t="s">
        <v>240</v>
      </c>
      <c r="AQ3949" s="6" t="s">
        <v>240</v>
      </c>
      <c r="AR3949" s="6" t="s">
        <v>240</v>
      </c>
      <c r="AU3949" s="5" t="s">
        <v>729</v>
      </c>
      <c r="AV3949" s="5" t="s">
        <v>729</v>
      </c>
      <c r="AW3949" s="5" t="s">
        <v>251</v>
      </c>
      <c r="AX3949" s="5" t="s">
        <v>252</v>
      </c>
      <c r="AY3949" s="5" t="s">
        <v>253</v>
      </c>
      <c r="AZ3949" s="5" t="s">
        <v>6046</v>
      </c>
      <c r="BA3949" s="5" t="s">
        <v>255</v>
      </c>
      <c r="BB3949" s="5" t="s">
        <v>731</v>
      </c>
      <c r="BD3949" s="5" t="s">
        <v>842</v>
      </c>
      <c r="BF3949" s="5" t="s">
        <v>256</v>
      </c>
      <c r="BG3949" s="6" t="s">
        <v>7159</v>
      </c>
      <c r="BH3949" s="5" t="s">
        <v>6742</v>
      </c>
      <c r="BI3949" s="5" t="s">
        <v>6743</v>
      </c>
      <c r="BJ3949" s="5" t="s">
        <v>240</v>
      </c>
      <c r="BK3949" s="7">
        <f>0</f>
        <v>0</v>
      </c>
      <c r="BL3949" s="7">
        <f>37540</f>
        <v>37540</v>
      </c>
      <c r="BM3949" s="5" t="s">
        <v>258</v>
      </c>
      <c r="BN3949" s="5" t="s">
        <v>259</v>
      </c>
      <c r="BO3949" s="5" t="s">
        <v>6744</v>
      </c>
      <c r="BP3949" s="5" t="s">
        <v>6745</v>
      </c>
      <c r="BQ3949" s="5" t="s">
        <v>6746</v>
      </c>
      <c r="BR3949" s="5" t="s">
        <v>240</v>
      </c>
      <c r="BS3949" s="5" t="s">
        <v>258</v>
      </c>
      <c r="BT3949" s="5" t="s">
        <v>6747</v>
      </c>
      <c r="BU3949" s="5" t="s">
        <v>6747</v>
      </c>
      <c r="BW3949" s="6" t="s">
        <v>7160</v>
      </c>
      <c r="BX3949" s="5" t="s">
        <v>258</v>
      </c>
      <c r="BY3949" s="5" t="s">
        <v>240</v>
      </c>
      <c r="BZ3949" s="5" t="s">
        <v>240</v>
      </c>
      <c r="CA3949" s="5" t="s">
        <v>259</v>
      </c>
      <c r="CB3949" s="5" t="s">
        <v>240</v>
      </c>
      <c r="CC3949" s="5" t="s">
        <v>240</v>
      </c>
      <c r="CG3949" s="5" t="s">
        <v>240</v>
      </c>
      <c r="CH3949" s="5" t="s">
        <v>240</v>
      </c>
      <c r="CI3949" s="5" t="s">
        <v>260</v>
      </c>
      <c r="CK3949" s="5" t="s">
        <v>240</v>
      </c>
      <c r="CL3949" s="6" t="s">
        <v>261</v>
      </c>
      <c r="CM3949" s="5" t="s">
        <v>262</v>
      </c>
      <c r="CN3949" s="5" t="s">
        <v>263</v>
      </c>
      <c r="CO3949" s="5" t="s">
        <v>264</v>
      </c>
      <c r="CP3949" s="5" t="s">
        <v>240</v>
      </c>
      <c r="CQ3949" s="5">
        <v>0</v>
      </c>
      <c r="CR3949" s="5" t="s">
        <v>735</v>
      </c>
      <c r="CS3949" s="5" t="s">
        <v>307</v>
      </c>
      <c r="CT3949" s="5" t="s">
        <v>307</v>
      </c>
      <c r="CU3949" s="5" t="s">
        <v>260</v>
      </c>
      <c r="CV3949" s="5" t="s">
        <v>240</v>
      </c>
      <c r="CW3949" s="8">
        <f>37540</f>
        <v>37540</v>
      </c>
      <c r="CX3949" s="7">
        <f>37540</f>
        <v>37540</v>
      </c>
      <c r="CY3949" s="7">
        <f>0</f>
        <v>0</v>
      </c>
      <c r="CZ3949" s="7">
        <f>0</f>
        <v>0</v>
      </c>
      <c r="DA3949" s="7">
        <f>37540</f>
        <v>37540</v>
      </c>
      <c r="DB3949" s="7" t="s">
        <v>240</v>
      </c>
      <c r="DC3949" s="5" t="s">
        <v>240</v>
      </c>
      <c r="DD3949" s="5" t="s">
        <v>240</v>
      </c>
      <c r="DF3949" s="5" t="s">
        <v>240</v>
      </c>
      <c r="DG3949" s="7">
        <f>0</f>
        <v>0</v>
      </c>
      <c r="DH3949" s="6" t="s">
        <v>240</v>
      </c>
      <c r="DI3949" s="5" t="s">
        <v>240</v>
      </c>
      <c r="DJ3949" s="5" t="s">
        <v>240</v>
      </c>
      <c r="DK3949" s="5" t="s">
        <v>240</v>
      </c>
      <c r="DL3949" s="5" t="s">
        <v>240</v>
      </c>
      <c r="DM3949" s="5" t="s">
        <v>240</v>
      </c>
      <c r="DN3949" s="5" t="s">
        <v>240</v>
      </c>
      <c r="DO3949" s="7" t="s">
        <v>240</v>
      </c>
      <c r="DP3949" s="5" t="s">
        <v>240</v>
      </c>
      <c r="DQ3949" s="5" t="s">
        <v>248</v>
      </c>
      <c r="DR3949" s="5" t="s">
        <v>731</v>
      </c>
      <c r="DS3949" s="5" t="s">
        <v>731</v>
      </c>
      <c r="DT3949" s="5" t="s">
        <v>240</v>
      </c>
      <c r="DU3949" s="5" t="s">
        <v>240</v>
      </c>
      <c r="HR3949" s="5" t="s">
        <v>240</v>
      </c>
      <c r="HS3949" s="5" t="s">
        <v>240</v>
      </c>
      <c r="HT3949" s="5" t="s">
        <v>240</v>
      </c>
      <c r="HU3949" s="5" t="s">
        <v>240</v>
      </c>
      <c r="HV3949" s="5" t="s">
        <v>240</v>
      </c>
      <c r="HW3949" s="5" t="s">
        <v>240</v>
      </c>
      <c r="HX3949" s="5" t="s">
        <v>240</v>
      </c>
      <c r="HY3949" s="5" t="s">
        <v>240</v>
      </c>
      <c r="HZ3949" s="5" t="s">
        <v>240</v>
      </c>
      <c r="IA3949" s="5" t="s">
        <v>240</v>
      </c>
      <c r="IB3949" s="5" t="s">
        <v>240</v>
      </c>
      <c r="IC3949" s="5" t="s">
        <v>240</v>
      </c>
      <c r="ID3949" s="5" t="s">
        <v>240</v>
      </c>
      <c r="IE3949" s="5" t="s">
        <v>240</v>
      </c>
      <c r="IF3949" s="5" t="s">
        <v>240</v>
      </c>
    </row>
    <row r="3950" spans="1:240" x14ac:dyDescent="0.4">
      <c r="A3950" s="5">
        <v>9496</v>
      </c>
      <c r="B3950" s="5">
        <v>1</v>
      </c>
      <c r="C3950" s="5">
        <v>1</v>
      </c>
      <c r="D3950" s="5" t="s">
        <v>297</v>
      </c>
      <c r="E3950" s="5" t="s">
        <v>245</v>
      </c>
      <c r="F3950" s="5" t="s">
        <v>254</v>
      </c>
      <c r="G3950" s="5" t="s">
        <v>726</v>
      </c>
      <c r="H3950" s="6" t="s">
        <v>7162</v>
      </c>
      <c r="I3950" s="5" t="s">
        <v>7161</v>
      </c>
      <c r="J3950" s="8">
        <f>31.24</f>
        <v>31.24</v>
      </c>
      <c r="K3950" s="5" t="s">
        <v>308</v>
      </c>
      <c r="L3950" s="7">
        <f>1</f>
        <v>1</v>
      </c>
      <c r="M3950" s="7">
        <f>1</f>
        <v>1</v>
      </c>
      <c r="N3950" s="5" t="s">
        <v>242</v>
      </c>
      <c r="O3950" s="5">
        <v>1</v>
      </c>
      <c r="P3950" s="5" t="s">
        <v>294</v>
      </c>
      <c r="Q3950" s="5" t="s">
        <v>240</v>
      </c>
      <c r="T3950" s="5" t="s">
        <v>296</v>
      </c>
      <c r="U3950" s="5" t="s">
        <v>244</v>
      </c>
      <c r="V3950" s="5" t="s">
        <v>240</v>
      </c>
      <c r="Y3950" s="5" t="s">
        <v>240</v>
      </c>
      <c r="Z3950" s="6" t="s">
        <v>7128</v>
      </c>
      <c r="AA3950" s="6" t="s">
        <v>240</v>
      </c>
      <c r="AB3950" s="6" t="s">
        <v>240</v>
      </c>
      <c r="AC3950" s="5" t="s">
        <v>240</v>
      </c>
      <c r="AD3950" s="6" t="s">
        <v>240</v>
      </c>
      <c r="AE3950" s="6" t="s">
        <v>240</v>
      </c>
      <c r="AF3950" s="5" t="s">
        <v>248</v>
      </c>
      <c r="AG3950" s="5" t="s">
        <v>249</v>
      </c>
      <c r="AM3950" s="5" t="s">
        <v>240</v>
      </c>
      <c r="AN3950" s="5" t="s">
        <v>240</v>
      </c>
      <c r="AO3950" s="5" t="s">
        <v>240</v>
      </c>
      <c r="AP3950" s="6" t="s">
        <v>240</v>
      </c>
      <c r="AQ3950" s="6" t="s">
        <v>240</v>
      </c>
      <c r="AR3950" s="6" t="s">
        <v>240</v>
      </c>
      <c r="AU3950" s="5" t="s">
        <v>729</v>
      </c>
      <c r="AV3950" s="5" t="s">
        <v>729</v>
      </c>
      <c r="AW3950" s="5" t="s">
        <v>251</v>
      </c>
      <c r="AX3950" s="5" t="s">
        <v>252</v>
      </c>
      <c r="AY3950" s="5" t="s">
        <v>253</v>
      </c>
      <c r="AZ3950" s="5" t="s">
        <v>6046</v>
      </c>
      <c r="BA3950" s="5" t="s">
        <v>255</v>
      </c>
      <c r="BB3950" s="5" t="s">
        <v>731</v>
      </c>
      <c r="BD3950" s="5" t="s">
        <v>842</v>
      </c>
      <c r="BF3950" s="5" t="s">
        <v>256</v>
      </c>
      <c r="BG3950" s="6" t="s">
        <v>7128</v>
      </c>
      <c r="BH3950" s="5" t="s">
        <v>734</v>
      </c>
      <c r="BI3950" s="5" t="s">
        <v>734</v>
      </c>
      <c r="BJ3950" s="5" t="s">
        <v>240</v>
      </c>
      <c r="BK3950" s="8">
        <f>31.24</f>
        <v>31.24</v>
      </c>
      <c r="BL3950" s="7">
        <f>1</f>
        <v>1</v>
      </c>
      <c r="BM3950" s="5" t="s">
        <v>258</v>
      </c>
      <c r="BN3950" s="5" t="s">
        <v>259</v>
      </c>
      <c r="BO3950" s="5" t="s">
        <v>240</v>
      </c>
      <c r="BP3950" s="5" t="s">
        <v>240</v>
      </c>
      <c r="BQ3950" s="5" t="s">
        <v>240</v>
      </c>
      <c r="BR3950" s="5" t="s">
        <v>240</v>
      </c>
      <c r="BW3950" s="6" t="s">
        <v>240</v>
      </c>
      <c r="BX3950" s="5" t="s">
        <v>240</v>
      </c>
      <c r="BY3950" s="5" t="s">
        <v>240</v>
      </c>
      <c r="BZ3950" s="5" t="s">
        <v>240</v>
      </c>
      <c r="CA3950" s="5" t="s">
        <v>259</v>
      </c>
      <c r="CB3950" s="5" t="s">
        <v>240</v>
      </c>
      <c r="CC3950" s="5" t="s">
        <v>240</v>
      </c>
      <c r="CG3950" s="5" t="s">
        <v>240</v>
      </c>
      <c r="CH3950" s="5" t="s">
        <v>240</v>
      </c>
      <c r="CI3950" s="5" t="s">
        <v>260</v>
      </c>
      <c r="CK3950" s="5" t="s">
        <v>240</v>
      </c>
      <c r="CL3950" s="6" t="s">
        <v>261</v>
      </c>
      <c r="CM3950" s="5" t="s">
        <v>262</v>
      </c>
      <c r="CN3950" s="5" t="s">
        <v>263</v>
      </c>
      <c r="CO3950" s="5" t="s">
        <v>264</v>
      </c>
      <c r="CP3950" s="5" t="s">
        <v>240</v>
      </c>
      <c r="CQ3950" s="5">
        <v>0</v>
      </c>
      <c r="CR3950" s="5" t="s">
        <v>735</v>
      </c>
      <c r="CS3950" s="5" t="s">
        <v>307</v>
      </c>
      <c r="CT3950" s="5" t="s">
        <v>307</v>
      </c>
      <c r="CU3950" s="5" t="s">
        <v>260</v>
      </c>
      <c r="CV3950" s="5" t="s">
        <v>240</v>
      </c>
      <c r="CW3950" s="8">
        <f>0</f>
        <v>0</v>
      </c>
      <c r="CX3950" s="7">
        <f>1</f>
        <v>1</v>
      </c>
      <c r="CY3950" s="7">
        <f>0</f>
        <v>0</v>
      </c>
      <c r="CZ3950" s="7">
        <f>0</f>
        <v>0</v>
      </c>
      <c r="DA3950" s="7">
        <f>1</f>
        <v>1</v>
      </c>
      <c r="DB3950" s="7" t="s">
        <v>240</v>
      </c>
      <c r="DC3950" s="5" t="s">
        <v>240</v>
      </c>
      <c r="DD3950" s="5" t="s">
        <v>240</v>
      </c>
      <c r="DF3950" s="5" t="s">
        <v>240</v>
      </c>
      <c r="DG3950" s="7">
        <f>0</f>
        <v>0</v>
      </c>
      <c r="DH3950" s="6" t="s">
        <v>240</v>
      </c>
      <c r="DI3950" s="5" t="s">
        <v>240</v>
      </c>
      <c r="DJ3950" s="5" t="s">
        <v>240</v>
      </c>
      <c r="DK3950" s="5" t="s">
        <v>240</v>
      </c>
      <c r="DL3950" s="5" t="s">
        <v>240</v>
      </c>
      <c r="DM3950" s="5" t="s">
        <v>240</v>
      </c>
      <c r="DN3950" s="5" t="s">
        <v>240</v>
      </c>
      <c r="DO3950" s="7" t="s">
        <v>240</v>
      </c>
      <c r="DP3950" s="5" t="s">
        <v>240</v>
      </c>
      <c r="DQ3950" s="5" t="s">
        <v>248</v>
      </c>
      <c r="DR3950" s="5" t="s">
        <v>731</v>
      </c>
      <c r="DS3950" s="5" t="s">
        <v>731</v>
      </c>
      <c r="DT3950" s="5" t="s">
        <v>240</v>
      </c>
      <c r="DU3950" s="5" t="s">
        <v>240</v>
      </c>
      <c r="HR3950" s="5" t="s">
        <v>240</v>
      </c>
      <c r="HS3950" s="5" t="s">
        <v>240</v>
      </c>
      <c r="HT3950" s="5" t="s">
        <v>240</v>
      </c>
      <c r="HU3950" s="5" t="s">
        <v>240</v>
      </c>
      <c r="HV3950" s="5" t="s">
        <v>240</v>
      </c>
      <c r="HW3950" s="5" t="s">
        <v>240</v>
      </c>
      <c r="HX3950" s="5" t="s">
        <v>240</v>
      </c>
      <c r="HY3950" s="5" t="s">
        <v>240</v>
      </c>
      <c r="HZ3950" s="5" t="s">
        <v>240</v>
      </c>
      <c r="IA3950" s="5" t="s">
        <v>240</v>
      </c>
      <c r="IB3950" s="5" t="s">
        <v>240</v>
      </c>
      <c r="IC3950" s="5" t="s">
        <v>240</v>
      </c>
      <c r="ID3950" s="5" t="s">
        <v>240</v>
      </c>
      <c r="IE3950" s="5" t="s">
        <v>240</v>
      </c>
      <c r="IF3950" s="5" t="s">
        <v>240</v>
      </c>
    </row>
    <row r="3951" spans="1:240" x14ac:dyDescent="0.4">
      <c r="A3951" s="5">
        <v>9497</v>
      </c>
      <c r="B3951" s="5">
        <v>1</v>
      </c>
      <c r="C3951" s="5">
        <v>1</v>
      </c>
      <c r="D3951" s="5" t="s">
        <v>7083</v>
      </c>
      <c r="E3951" s="5" t="s">
        <v>245</v>
      </c>
      <c r="F3951" s="5" t="s">
        <v>254</v>
      </c>
      <c r="G3951" s="5" t="s">
        <v>726</v>
      </c>
      <c r="H3951" s="6" t="s">
        <v>7167</v>
      </c>
      <c r="I3951" s="5" t="s">
        <v>7167</v>
      </c>
      <c r="J3951" s="8">
        <f>52.05</f>
        <v>52.05</v>
      </c>
      <c r="K3951" s="5" t="s">
        <v>308</v>
      </c>
      <c r="L3951" s="7">
        <f>1</f>
        <v>1</v>
      </c>
      <c r="M3951" s="7">
        <f>1</f>
        <v>1</v>
      </c>
      <c r="N3951" s="5" t="s">
        <v>242</v>
      </c>
      <c r="O3951" s="5">
        <v>1</v>
      </c>
      <c r="P3951" s="5" t="s">
        <v>294</v>
      </c>
      <c r="Q3951" s="5" t="s">
        <v>2097</v>
      </c>
      <c r="T3951" s="5" t="s">
        <v>296</v>
      </c>
      <c r="U3951" s="5" t="s">
        <v>244</v>
      </c>
      <c r="V3951" s="5" t="s">
        <v>240</v>
      </c>
      <c r="Y3951" s="5" t="s">
        <v>246</v>
      </c>
      <c r="Z3951" s="6" t="s">
        <v>7164</v>
      </c>
      <c r="AA3951" s="6" t="s">
        <v>240</v>
      </c>
      <c r="AB3951" s="6" t="s">
        <v>240</v>
      </c>
      <c r="AC3951" s="5" t="s">
        <v>240</v>
      </c>
      <c r="AD3951" s="6" t="s">
        <v>240</v>
      </c>
      <c r="AE3951" s="6" t="s">
        <v>7164</v>
      </c>
      <c r="AF3951" s="5" t="s">
        <v>248</v>
      </c>
      <c r="AG3951" s="5" t="s">
        <v>249</v>
      </c>
      <c r="AM3951" s="5" t="s">
        <v>240</v>
      </c>
      <c r="AN3951" s="5" t="s">
        <v>240</v>
      </c>
      <c r="AO3951" s="5" t="s">
        <v>240</v>
      </c>
      <c r="AP3951" s="6" t="s">
        <v>240</v>
      </c>
      <c r="AQ3951" s="6" t="s">
        <v>240</v>
      </c>
      <c r="AR3951" s="6" t="s">
        <v>240</v>
      </c>
      <c r="AU3951" s="5" t="s">
        <v>729</v>
      </c>
      <c r="AV3951" s="5" t="s">
        <v>729</v>
      </c>
      <c r="AW3951" s="5" t="s">
        <v>251</v>
      </c>
      <c r="AX3951" s="5" t="s">
        <v>252</v>
      </c>
      <c r="AY3951" s="5" t="s">
        <v>253</v>
      </c>
      <c r="AZ3951" s="5" t="s">
        <v>6046</v>
      </c>
      <c r="BA3951" s="5" t="s">
        <v>255</v>
      </c>
      <c r="BB3951" s="5" t="s">
        <v>731</v>
      </c>
      <c r="BD3951" s="5" t="s">
        <v>240</v>
      </c>
      <c r="BF3951" s="5" t="s">
        <v>732</v>
      </c>
      <c r="BG3951" s="6" t="s">
        <v>6952</v>
      </c>
      <c r="BH3951" s="5" t="s">
        <v>6742</v>
      </c>
      <c r="BI3951" s="5" t="s">
        <v>6743</v>
      </c>
      <c r="BJ3951" s="5" t="s">
        <v>240</v>
      </c>
      <c r="BK3951" s="8">
        <f>0</f>
        <v>0</v>
      </c>
      <c r="BL3951" s="7">
        <f>546000</f>
        <v>546000</v>
      </c>
      <c r="BM3951" s="5" t="s">
        <v>258</v>
      </c>
      <c r="BN3951" s="5" t="s">
        <v>259</v>
      </c>
      <c r="BO3951" s="5" t="s">
        <v>6744</v>
      </c>
      <c r="BP3951" s="5" t="s">
        <v>6745</v>
      </c>
      <c r="BQ3951" s="5" t="s">
        <v>6746</v>
      </c>
      <c r="BR3951" s="5" t="s">
        <v>240</v>
      </c>
      <c r="BS3951" s="5" t="s">
        <v>258</v>
      </c>
      <c r="BT3951" s="5" t="s">
        <v>6747</v>
      </c>
      <c r="BU3951" s="5" t="s">
        <v>6747</v>
      </c>
      <c r="BW3951" s="6" t="s">
        <v>7166</v>
      </c>
      <c r="BX3951" s="5" t="s">
        <v>258</v>
      </c>
      <c r="BY3951" s="5" t="s">
        <v>240</v>
      </c>
      <c r="BZ3951" s="5" t="s">
        <v>240</v>
      </c>
      <c r="CA3951" s="5" t="s">
        <v>259</v>
      </c>
      <c r="CB3951" s="5" t="s">
        <v>240</v>
      </c>
      <c r="CC3951" s="5" t="s">
        <v>240</v>
      </c>
      <c r="CG3951" s="5" t="s">
        <v>240</v>
      </c>
      <c r="CH3951" s="5" t="s">
        <v>240</v>
      </c>
      <c r="CI3951" s="5" t="s">
        <v>260</v>
      </c>
      <c r="CK3951" s="5" t="s">
        <v>240</v>
      </c>
      <c r="CL3951" s="6" t="s">
        <v>261</v>
      </c>
      <c r="CM3951" s="5" t="s">
        <v>262</v>
      </c>
      <c r="CN3951" s="5" t="s">
        <v>263</v>
      </c>
      <c r="CO3951" s="5" t="s">
        <v>264</v>
      </c>
      <c r="CP3951" s="5" t="s">
        <v>240</v>
      </c>
      <c r="CQ3951" s="5">
        <v>0</v>
      </c>
      <c r="CR3951" s="5" t="s">
        <v>735</v>
      </c>
      <c r="CS3951" s="5" t="s">
        <v>307</v>
      </c>
      <c r="CT3951" s="5" t="s">
        <v>307</v>
      </c>
      <c r="CU3951" s="5" t="s">
        <v>260</v>
      </c>
      <c r="CV3951" s="5" t="s">
        <v>240</v>
      </c>
      <c r="CW3951" s="8">
        <f>4300</f>
        <v>4300</v>
      </c>
      <c r="CX3951" s="7">
        <f>34932598</f>
        <v>34932598</v>
      </c>
      <c r="CY3951" s="7">
        <f>0</f>
        <v>0</v>
      </c>
      <c r="CZ3951" s="7">
        <f>0</f>
        <v>0</v>
      </c>
      <c r="DA3951" s="7">
        <f>34932598</f>
        <v>34932598</v>
      </c>
      <c r="DB3951" s="7" t="s">
        <v>240</v>
      </c>
      <c r="DC3951" s="5" t="s">
        <v>240</v>
      </c>
      <c r="DD3951" s="5" t="s">
        <v>240</v>
      </c>
      <c r="DF3951" s="5" t="s">
        <v>240</v>
      </c>
      <c r="DG3951" s="7">
        <f>0</f>
        <v>0</v>
      </c>
      <c r="DH3951" s="6" t="s">
        <v>240</v>
      </c>
      <c r="DI3951" s="5" t="s">
        <v>240</v>
      </c>
      <c r="DJ3951" s="5" t="s">
        <v>240</v>
      </c>
      <c r="DK3951" s="5" t="s">
        <v>240</v>
      </c>
      <c r="DL3951" s="5" t="s">
        <v>240</v>
      </c>
      <c r="DM3951" s="5" t="s">
        <v>240</v>
      </c>
      <c r="DN3951" s="5" t="s">
        <v>240</v>
      </c>
      <c r="DO3951" s="7" t="s">
        <v>240</v>
      </c>
      <c r="DP3951" s="5" t="s">
        <v>240</v>
      </c>
      <c r="DQ3951" s="5" t="s">
        <v>248</v>
      </c>
      <c r="DR3951" s="5" t="s">
        <v>731</v>
      </c>
      <c r="DS3951" s="5" t="s">
        <v>731</v>
      </c>
      <c r="DT3951" s="5" t="s">
        <v>240</v>
      </c>
      <c r="DU3951" s="5" t="s">
        <v>240</v>
      </c>
      <c r="HR3951" s="5" t="s">
        <v>240</v>
      </c>
      <c r="HS3951" s="5" t="s">
        <v>240</v>
      </c>
      <c r="HT3951" s="5" t="s">
        <v>240</v>
      </c>
      <c r="HU3951" s="5" t="s">
        <v>240</v>
      </c>
      <c r="HV3951" s="5" t="s">
        <v>240</v>
      </c>
      <c r="HW3951" s="5" t="s">
        <v>240</v>
      </c>
      <c r="HX3951" s="5" t="s">
        <v>240</v>
      </c>
      <c r="HY3951" s="5" t="s">
        <v>240</v>
      </c>
      <c r="HZ3951" s="5" t="s">
        <v>240</v>
      </c>
      <c r="IA3951" s="5" t="s">
        <v>240</v>
      </c>
      <c r="IB3951" s="5" t="s">
        <v>240</v>
      </c>
      <c r="IC3951" s="5" t="s">
        <v>240</v>
      </c>
      <c r="ID3951" s="5" t="s">
        <v>240</v>
      </c>
      <c r="IE3951" s="5" t="s">
        <v>240</v>
      </c>
      <c r="IF3951" s="5" t="s">
        <v>240</v>
      </c>
    </row>
    <row r="3952" spans="1:240" x14ac:dyDescent="0.4">
      <c r="A3952" s="5">
        <v>9498</v>
      </c>
      <c r="B3952" s="5">
        <v>1</v>
      </c>
      <c r="C3952" s="5">
        <v>1</v>
      </c>
      <c r="D3952" s="5" t="s">
        <v>6817</v>
      </c>
      <c r="E3952" s="5" t="s">
        <v>245</v>
      </c>
      <c r="F3952" s="5" t="s">
        <v>254</v>
      </c>
      <c r="G3952" s="5" t="s">
        <v>726</v>
      </c>
      <c r="H3952" s="6" t="s">
        <v>7144</v>
      </c>
      <c r="I3952" s="5" t="s">
        <v>7143</v>
      </c>
      <c r="J3952" s="8">
        <f>20</f>
        <v>20</v>
      </c>
      <c r="K3952" s="5" t="s">
        <v>308</v>
      </c>
      <c r="L3952" s="7">
        <f>1</f>
        <v>1</v>
      </c>
      <c r="M3952" s="7">
        <f>1</f>
        <v>1</v>
      </c>
      <c r="N3952" s="5" t="s">
        <v>242</v>
      </c>
      <c r="O3952" s="5">
        <v>1</v>
      </c>
      <c r="P3952" s="5" t="s">
        <v>294</v>
      </c>
      <c r="Q3952" s="5" t="s">
        <v>240</v>
      </c>
      <c r="T3952" s="5" t="s">
        <v>296</v>
      </c>
      <c r="U3952" s="5" t="s">
        <v>244</v>
      </c>
      <c r="V3952" s="5" t="s">
        <v>240</v>
      </c>
      <c r="Y3952" s="5" t="s">
        <v>240</v>
      </c>
      <c r="Z3952" s="6" t="s">
        <v>7168</v>
      </c>
      <c r="AA3952" s="6" t="s">
        <v>240</v>
      </c>
      <c r="AB3952" s="6" t="s">
        <v>240</v>
      </c>
      <c r="AC3952" s="5" t="s">
        <v>240</v>
      </c>
      <c r="AD3952" s="6" t="s">
        <v>240</v>
      </c>
      <c r="AE3952" s="6" t="s">
        <v>240</v>
      </c>
      <c r="AF3952" s="5" t="s">
        <v>248</v>
      </c>
      <c r="AG3952" s="5" t="s">
        <v>249</v>
      </c>
      <c r="AM3952" s="5" t="s">
        <v>240</v>
      </c>
      <c r="AN3952" s="5" t="s">
        <v>240</v>
      </c>
      <c r="AO3952" s="5" t="s">
        <v>240</v>
      </c>
      <c r="AP3952" s="6" t="s">
        <v>240</v>
      </c>
      <c r="AQ3952" s="6" t="s">
        <v>240</v>
      </c>
      <c r="AR3952" s="6" t="s">
        <v>240</v>
      </c>
      <c r="AU3952" s="5" t="s">
        <v>729</v>
      </c>
      <c r="AV3952" s="5" t="s">
        <v>729</v>
      </c>
      <c r="AW3952" s="5" t="s">
        <v>251</v>
      </c>
      <c r="AX3952" s="5" t="s">
        <v>252</v>
      </c>
      <c r="AY3952" s="5" t="s">
        <v>253</v>
      </c>
      <c r="AZ3952" s="5" t="s">
        <v>6046</v>
      </c>
      <c r="BA3952" s="5" t="s">
        <v>255</v>
      </c>
      <c r="BB3952" s="5" t="s">
        <v>731</v>
      </c>
      <c r="BD3952" s="5" t="s">
        <v>842</v>
      </c>
      <c r="BF3952" s="5" t="s">
        <v>256</v>
      </c>
      <c r="BG3952" s="6" t="s">
        <v>7168</v>
      </c>
      <c r="BH3952" s="5" t="s">
        <v>734</v>
      </c>
      <c r="BI3952" s="5" t="s">
        <v>734</v>
      </c>
      <c r="BJ3952" s="5" t="s">
        <v>240</v>
      </c>
      <c r="BK3952" s="8">
        <f>52.05</f>
        <v>52.05</v>
      </c>
      <c r="BL3952" s="7">
        <f>1</f>
        <v>1</v>
      </c>
      <c r="BM3952" s="5" t="s">
        <v>258</v>
      </c>
      <c r="BN3952" s="5" t="s">
        <v>259</v>
      </c>
      <c r="BO3952" s="5" t="s">
        <v>240</v>
      </c>
      <c r="BP3952" s="5" t="s">
        <v>240</v>
      </c>
      <c r="BQ3952" s="5" t="s">
        <v>240</v>
      </c>
      <c r="BR3952" s="5" t="s">
        <v>240</v>
      </c>
      <c r="BW3952" s="6" t="s">
        <v>240</v>
      </c>
      <c r="BX3952" s="5" t="s">
        <v>240</v>
      </c>
      <c r="BY3952" s="5" t="s">
        <v>240</v>
      </c>
      <c r="BZ3952" s="5" t="s">
        <v>240</v>
      </c>
      <c r="CA3952" s="5" t="s">
        <v>259</v>
      </c>
      <c r="CB3952" s="5" t="s">
        <v>240</v>
      </c>
      <c r="CC3952" s="5" t="s">
        <v>240</v>
      </c>
      <c r="CG3952" s="5" t="s">
        <v>240</v>
      </c>
      <c r="CH3952" s="5" t="s">
        <v>240</v>
      </c>
      <c r="CI3952" s="5" t="s">
        <v>260</v>
      </c>
      <c r="CK3952" s="5" t="s">
        <v>240</v>
      </c>
      <c r="CL3952" s="6" t="s">
        <v>261</v>
      </c>
      <c r="CM3952" s="5" t="s">
        <v>262</v>
      </c>
      <c r="CN3952" s="5" t="s">
        <v>263</v>
      </c>
      <c r="CO3952" s="5" t="s">
        <v>264</v>
      </c>
      <c r="CP3952" s="5" t="s">
        <v>240</v>
      </c>
      <c r="CQ3952" s="5">
        <v>0</v>
      </c>
      <c r="CR3952" s="5" t="s">
        <v>735</v>
      </c>
      <c r="CS3952" s="5" t="s">
        <v>307</v>
      </c>
      <c r="CT3952" s="5" t="s">
        <v>307</v>
      </c>
      <c r="CU3952" s="5" t="s">
        <v>260</v>
      </c>
      <c r="CV3952" s="5" t="s">
        <v>240</v>
      </c>
      <c r="CW3952" s="8">
        <f>0</f>
        <v>0</v>
      </c>
      <c r="CX3952" s="7">
        <f>1</f>
        <v>1</v>
      </c>
      <c r="CY3952" s="7">
        <f>0</f>
        <v>0</v>
      </c>
      <c r="CZ3952" s="7">
        <f>0</f>
        <v>0</v>
      </c>
      <c r="DA3952" s="7">
        <f>1</f>
        <v>1</v>
      </c>
      <c r="DB3952" s="7" t="s">
        <v>240</v>
      </c>
      <c r="DC3952" s="5" t="s">
        <v>240</v>
      </c>
      <c r="DD3952" s="5" t="s">
        <v>240</v>
      </c>
      <c r="DF3952" s="5" t="s">
        <v>240</v>
      </c>
      <c r="DG3952" s="7">
        <f>0</f>
        <v>0</v>
      </c>
      <c r="DH3952" s="6" t="s">
        <v>240</v>
      </c>
      <c r="DI3952" s="5" t="s">
        <v>240</v>
      </c>
      <c r="DJ3952" s="5" t="s">
        <v>240</v>
      </c>
      <c r="DK3952" s="5" t="s">
        <v>240</v>
      </c>
      <c r="DL3952" s="5" t="s">
        <v>240</v>
      </c>
      <c r="DM3952" s="5" t="s">
        <v>240</v>
      </c>
      <c r="DN3952" s="5" t="s">
        <v>240</v>
      </c>
      <c r="DO3952" s="7" t="s">
        <v>240</v>
      </c>
      <c r="DP3952" s="5" t="s">
        <v>240</v>
      </c>
      <c r="DQ3952" s="5" t="s">
        <v>248</v>
      </c>
      <c r="DR3952" s="5" t="s">
        <v>731</v>
      </c>
      <c r="DS3952" s="5" t="s">
        <v>731</v>
      </c>
      <c r="DT3952" s="5" t="s">
        <v>240</v>
      </c>
      <c r="DU3952" s="5" t="s">
        <v>240</v>
      </c>
      <c r="HR3952" s="5" t="s">
        <v>240</v>
      </c>
      <c r="HS3952" s="5" t="s">
        <v>240</v>
      </c>
      <c r="HT3952" s="5" t="s">
        <v>240</v>
      </c>
      <c r="HU3952" s="5" t="s">
        <v>240</v>
      </c>
      <c r="HV3952" s="5" t="s">
        <v>240</v>
      </c>
      <c r="HW3952" s="5" t="s">
        <v>240</v>
      </c>
      <c r="HX3952" s="5" t="s">
        <v>240</v>
      </c>
      <c r="HY3952" s="5" t="s">
        <v>240</v>
      </c>
      <c r="HZ3952" s="5" t="s">
        <v>240</v>
      </c>
      <c r="IA3952" s="5" t="s">
        <v>240</v>
      </c>
      <c r="IB3952" s="5" t="s">
        <v>240</v>
      </c>
      <c r="IC3952" s="5" t="s">
        <v>240</v>
      </c>
      <c r="ID3952" s="5" t="s">
        <v>240</v>
      </c>
      <c r="IE3952" s="5" t="s">
        <v>240</v>
      </c>
      <c r="IF3952" s="5" t="s">
        <v>240</v>
      </c>
    </row>
    <row r="3953" spans="1:240" x14ac:dyDescent="0.4">
      <c r="A3953" s="5">
        <v>9499</v>
      </c>
      <c r="B3953" s="5">
        <v>1</v>
      </c>
      <c r="C3953" s="5">
        <v>1</v>
      </c>
      <c r="D3953" s="5" t="s">
        <v>6817</v>
      </c>
      <c r="E3953" s="5" t="s">
        <v>245</v>
      </c>
      <c r="F3953" s="5" t="s">
        <v>254</v>
      </c>
      <c r="G3953" s="5" t="s">
        <v>726</v>
      </c>
      <c r="H3953" s="6" t="s">
        <v>7108</v>
      </c>
      <c r="I3953" s="5" t="s">
        <v>7107</v>
      </c>
      <c r="J3953" s="8">
        <f>31</f>
        <v>31</v>
      </c>
      <c r="K3953" s="5" t="s">
        <v>308</v>
      </c>
      <c r="L3953" s="7">
        <f>1</f>
        <v>1</v>
      </c>
      <c r="M3953" s="7">
        <f>1</f>
        <v>1</v>
      </c>
      <c r="N3953" s="5" t="s">
        <v>242</v>
      </c>
      <c r="O3953" s="5">
        <v>1</v>
      </c>
      <c r="P3953" s="5" t="s">
        <v>294</v>
      </c>
      <c r="Q3953" s="5" t="s">
        <v>613</v>
      </c>
      <c r="T3953" s="5" t="s">
        <v>243</v>
      </c>
      <c r="U3953" s="5" t="s">
        <v>244</v>
      </c>
      <c r="V3953" s="5" t="s">
        <v>240</v>
      </c>
      <c r="Y3953" s="5" t="s">
        <v>240</v>
      </c>
      <c r="Z3953" s="6" t="s">
        <v>298</v>
      </c>
      <c r="AA3953" s="6" t="s">
        <v>240</v>
      </c>
      <c r="AB3953" s="6" t="s">
        <v>240</v>
      </c>
      <c r="AC3953" s="5" t="s">
        <v>240</v>
      </c>
      <c r="AD3953" s="6" t="s">
        <v>240</v>
      </c>
      <c r="AE3953" s="6" t="s">
        <v>299</v>
      </c>
      <c r="AF3953" s="5" t="s">
        <v>248</v>
      </c>
      <c r="AG3953" s="5" t="s">
        <v>249</v>
      </c>
      <c r="AM3953" s="5" t="s">
        <v>240</v>
      </c>
      <c r="AN3953" s="5" t="s">
        <v>240</v>
      </c>
      <c r="AO3953" s="5" t="s">
        <v>240</v>
      </c>
      <c r="AP3953" s="6" t="s">
        <v>240</v>
      </c>
      <c r="AQ3953" s="6" t="s">
        <v>240</v>
      </c>
      <c r="AW3953" s="5" t="s">
        <v>251</v>
      </c>
      <c r="AX3953" s="5" t="s">
        <v>252</v>
      </c>
      <c r="AY3953" s="5" t="s">
        <v>253</v>
      </c>
      <c r="AZ3953" s="5" t="s">
        <v>6046</v>
      </c>
      <c r="BA3953" s="5" t="s">
        <v>255</v>
      </c>
      <c r="BB3953" s="5" t="s">
        <v>731</v>
      </c>
      <c r="BD3953" s="5" t="s">
        <v>686</v>
      </c>
      <c r="BF3953" s="5" t="s">
        <v>301</v>
      </c>
      <c r="BG3953" s="6" t="s">
        <v>733</v>
      </c>
      <c r="BH3953" s="5" t="s">
        <v>302</v>
      </c>
      <c r="BI3953" s="5" t="s">
        <v>303</v>
      </c>
      <c r="BJ3953" s="5" t="s">
        <v>240</v>
      </c>
      <c r="BK3953" s="8">
        <f>0</f>
        <v>0</v>
      </c>
      <c r="BL3953" s="7">
        <f>0</f>
        <v>0</v>
      </c>
      <c r="BM3953" s="5" t="s">
        <v>258</v>
      </c>
      <c r="BN3953" s="5" t="s">
        <v>259</v>
      </c>
      <c r="BW3953" s="6" t="s">
        <v>240</v>
      </c>
      <c r="BX3953" s="5" t="s">
        <v>240</v>
      </c>
      <c r="BY3953" s="5" t="s">
        <v>240</v>
      </c>
      <c r="BZ3953" s="5" t="s">
        <v>240</v>
      </c>
      <c r="CB3953" s="5" t="s">
        <v>240</v>
      </c>
      <c r="CC3953" s="5" t="s">
        <v>240</v>
      </c>
      <c r="CG3953" s="5" t="s">
        <v>617</v>
      </c>
      <c r="CH3953" s="5" t="s">
        <v>305</v>
      </c>
      <c r="CI3953" s="5" t="s">
        <v>260</v>
      </c>
      <c r="CK3953" s="5" t="s">
        <v>240</v>
      </c>
      <c r="CL3953" s="6" t="s">
        <v>261</v>
      </c>
      <c r="CM3953" s="5" t="s">
        <v>240</v>
      </c>
      <c r="CN3953" s="5" t="s">
        <v>263</v>
      </c>
      <c r="CO3953" s="5" t="s">
        <v>240</v>
      </c>
      <c r="CP3953" s="5" t="s">
        <v>240</v>
      </c>
      <c r="CQ3953" s="5">
        <v>0</v>
      </c>
      <c r="CR3953" s="5" t="s">
        <v>735</v>
      </c>
      <c r="CS3953" s="5" t="s">
        <v>307</v>
      </c>
      <c r="CT3953" s="5" t="s">
        <v>307</v>
      </c>
      <c r="CU3953" s="5" t="s">
        <v>260</v>
      </c>
      <c r="CV3953" s="5" t="s">
        <v>240</v>
      </c>
      <c r="CW3953" s="8" t="s">
        <v>240</v>
      </c>
      <c r="CX3953" s="7">
        <f>5222970</f>
        <v>5222970</v>
      </c>
      <c r="CY3953" s="7">
        <f>0</f>
        <v>0</v>
      </c>
      <c r="CZ3953" s="7" t="s">
        <v>240</v>
      </c>
      <c r="DA3953" s="7">
        <f>0</f>
        <v>0</v>
      </c>
      <c r="DB3953" s="7" t="s">
        <v>240</v>
      </c>
      <c r="DC3953" s="5" t="s">
        <v>689</v>
      </c>
      <c r="DD3953" s="5" t="s">
        <v>240</v>
      </c>
      <c r="DF3953" s="5" t="s">
        <v>450</v>
      </c>
      <c r="DG3953" s="7">
        <f>0</f>
        <v>0</v>
      </c>
      <c r="DH3953" s="6" t="s">
        <v>240</v>
      </c>
      <c r="DI3953" s="5" t="s">
        <v>618</v>
      </c>
      <c r="DJ3953" s="5" t="s">
        <v>240</v>
      </c>
      <c r="DK3953" s="5" t="s">
        <v>240</v>
      </c>
      <c r="DL3953" s="5" t="s">
        <v>240</v>
      </c>
      <c r="DM3953" s="5" t="s">
        <v>240</v>
      </c>
      <c r="DN3953" s="5" t="s">
        <v>240</v>
      </c>
      <c r="DO3953" s="7" t="s">
        <v>240</v>
      </c>
      <c r="DP3953" s="5" t="s">
        <v>240</v>
      </c>
      <c r="DQ3953" s="5" t="s">
        <v>248</v>
      </c>
      <c r="DR3953" s="5" t="s">
        <v>731</v>
      </c>
      <c r="DS3953" s="5" t="s">
        <v>731</v>
      </c>
      <c r="DT3953" s="5" t="s">
        <v>240</v>
      </c>
      <c r="DU3953" s="5" t="s">
        <v>240</v>
      </c>
      <c r="DV3953" s="5" t="s">
        <v>6879</v>
      </c>
      <c r="DW3953" s="5" t="s">
        <v>816</v>
      </c>
    </row>
    <row r="3954" spans="1:240" x14ac:dyDescent="0.4">
      <c r="A3954" s="5">
        <v>9500</v>
      </c>
      <c r="B3954" s="5">
        <v>1</v>
      </c>
      <c r="C3954" s="5">
        <v>1</v>
      </c>
      <c r="D3954" s="5" t="s">
        <v>6817</v>
      </c>
      <c r="E3954" s="5" t="s">
        <v>245</v>
      </c>
      <c r="F3954" s="5" t="s">
        <v>254</v>
      </c>
      <c r="G3954" s="5" t="s">
        <v>726</v>
      </c>
      <c r="H3954" s="6" t="s">
        <v>6819</v>
      </c>
      <c r="I3954" s="5" t="s">
        <v>6816</v>
      </c>
      <c r="J3954" s="8">
        <f>79</f>
        <v>79</v>
      </c>
      <c r="K3954" s="5" t="s">
        <v>308</v>
      </c>
      <c r="L3954" s="7">
        <f>1</f>
        <v>1</v>
      </c>
      <c r="M3954" s="7">
        <f>1</f>
        <v>1</v>
      </c>
      <c r="N3954" s="5" t="s">
        <v>242</v>
      </c>
      <c r="O3954" s="5">
        <v>1</v>
      </c>
      <c r="P3954" s="5" t="s">
        <v>294</v>
      </c>
      <c r="Q3954" s="5" t="s">
        <v>240</v>
      </c>
      <c r="T3954" s="5" t="s">
        <v>296</v>
      </c>
      <c r="U3954" s="5" t="s">
        <v>244</v>
      </c>
      <c r="V3954" s="5" t="s">
        <v>240</v>
      </c>
      <c r="Y3954" s="5" t="s">
        <v>240</v>
      </c>
      <c r="Z3954" s="6" t="s">
        <v>6903</v>
      </c>
      <c r="AA3954" s="6" t="s">
        <v>240</v>
      </c>
      <c r="AB3954" s="6" t="s">
        <v>240</v>
      </c>
      <c r="AC3954" s="5" t="s">
        <v>240</v>
      </c>
      <c r="AD3954" s="6" t="s">
        <v>240</v>
      </c>
      <c r="AE3954" s="6" t="s">
        <v>240</v>
      </c>
      <c r="AF3954" s="5" t="s">
        <v>248</v>
      </c>
      <c r="AG3954" s="5" t="s">
        <v>249</v>
      </c>
      <c r="AM3954" s="5" t="s">
        <v>240</v>
      </c>
      <c r="AN3954" s="5" t="s">
        <v>240</v>
      </c>
      <c r="AO3954" s="5" t="s">
        <v>240</v>
      </c>
      <c r="AP3954" s="6" t="s">
        <v>240</v>
      </c>
      <c r="AQ3954" s="6" t="s">
        <v>240</v>
      </c>
      <c r="AR3954" s="6" t="s">
        <v>240</v>
      </c>
      <c r="AU3954" s="5" t="s">
        <v>729</v>
      </c>
      <c r="AV3954" s="5" t="s">
        <v>729</v>
      </c>
      <c r="AW3954" s="5" t="s">
        <v>251</v>
      </c>
      <c r="AX3954" s="5" t="s">
        <v>252</v>
      </c>
      <c r="AY3954" s="5" t="s">
        <v>253</v>
      </c>
      <c r="AZ3954" s="5" t="s">
        <v>6046</v>
      </c>
      <c r="BA3954" s="5" t="s">
        <v>255</v>
      </c>
      <c r="BB3954" s="5" t="s">
        <v>731</v>
      </c>
      <c r="BD3954" s="5" t="s">
        <v>842</v>
      </c>
      <c r="BF3954" s="5" t="s">
        <v>256</v>
      </c>
      <c r="BG3954" s="6" t="s">
        <v>6903</v>
      </c>
      <c r="BH3954" s="5" t="s">
        <v>6799</v>
      </c>
      <c r="BI3954" s="5" t="s">
        <v>6799</v>
      </c>
      <c r="BJ3954" s="5" t="s">
        <v>240</v>
      </c>
      <c r="BK3954" s="8">
        <f>7.97</f>
        <v>7.97</v>
      </c>
      <c r="BL3954" s="7">
        <f>1</f>
        <v>1</v>
      </c>
      <c r="BM3954" s="5" t="s">
        <v>258</v>
      </c>
      <c r="BN3954" s="5" t="s">
        <v>259</v>
      </c>
      <c r="BO3954" s="5" t="s">
        <v>240</v>
      </c>
      <c r="BP3954" s="5" t="s">
        <v>240</v>
      </c>
      <c r="BQ3954" s="5" t="s">
        <v>240</v>
      </c>
      <c r="BR3954" s="5" t="s">
        <v>240</v>
      </c>
      <c r="BW3954" s="6" t="s">
        <v>240</v>
      </c>
      <c r="BX3954" s="5" t="s">
        <v>240</v>
      </c>
      <c r="BY3954" s="5" t="s">
        <v>240</v>
      </c>
      <c r="BZ3954" s="5" t="s">
        <v>240</v>
      </c>
      <c r="CA3954" s="5" t="s">
        <v>259</v>
      </c>
      <c r="CB3954" s="5" t="s">
        <v>240</v>
      </c>
      <c r="CC3954" s="5" t="s">
        <v>240</v>
      </c>
      <c r="CG3954" s="5" t="s">
        <v>240</v>
      </c>
      <c r="CH3954" s="5" t="s">
        <v>240</v>
      </c>
      <c r="CI3954" s="5" t="s">
        <v>260</v>
      </c>
      <c r="CK3954" s="5" t="s">
        <v>240</v>
      </c>
      <c r="CL3954" s="6" t="s">
        <v>261</v>
      </c>
      <c r="CM3954" s="5" t="s">
        <v>262</v>
      </c>
      <c r="CN3954" s="5" t="s">
        <v>263</v>
      </c>
      <c r="CO3954" s="5" t="s">
        <v>264</v>
      </c>
      <c r="CP3954" s="5" t="s">
        <v>240</v>
      </c>
      <c r="CQ3954" s="5">
        <v>0</v>
      </c>
      <c r="CR3954" s="5" t="s">
        <v>735</v>
      </c>
      <c r="CS3954" s="5" t="s">
        <v>307</v>
      </c>
      <c r="CT3954" s="5" t="s">
        <v>307</v>
      </c>
      <c r="CU3954" s="5" t="s">
        <v>260</v>
      </c>
      <c r="CV3954" s="5" t="s">
        <v>240</v>
      </c>
      <c r="CW3954" s="8">
        <f>0</f>
        <v>0</v>
      </c>
      <c r="CX3954" s="7">
        <f>1</f>
        <v>1</v>
      </c>
      <c r="CY3954" s="7">
        <f>0</f>
        <v>0</v>
      </c>
      <c r="CZ3954" s="7">
        <f>0</f>
        <v>0</v>
      </c>
      <c r="DA3954" s="7">
        <f>1</f>
        <v>1</v>
      </c>
      <c r="DB3954" s="7" t="s">
        <v>240</v>
      </c>
      <c r="DC3954" s="5" t="s">
        <v>240</v>
      </c>
      <c r="DD3954" s="5" t="s">
        <v>240</v>
      </c>
      <c r="DF3954" s="5" t="s">
        <v>240</v>
      </c>
      <c r="DG3954" s="7">
        <f>0</f>
        <v>0</v>
      </c>
      <c r="DH3954" s="6" t="s">
        <v>240</v>
      </c>
      <c r="DI3954" s="5" t="s">
        <v>240</v>
      </c>
      <c r="DJ3954" s="5" t="s">
        <v>240</v>
      </c>
      <c r="DK3954" s="5" t="s">
        <v>240</v>
      </c>
      <c r="DL3954" s="5" t="s">
        <v>240</v>
      </c>
      <c r="DM3954" s="5" t="s">
        <v>240</v>
      </c>
      <c r="DN3954" s="5" t="s">
        <v>240</v>
      </c>
      <c r="DO3954" s="7" t="s">
        <v>240</v>
      </c>
      <c r="DP3954" s="5" t="s">
        <v>240</v>
      </c>
      <c r="DQ3954" s="5" t="s">
        <v>248</v>
      </c>
      <c r="DR3954" s="5" t="s">
        <v>731</v>
      </c>
      <c r="DS3954" s="5" t="s">
        <v>731</v>
      </c>
      <c r="DT3954" s="5" t="s">
        <v>240</v>
      </c>
      <c r="DU3954" s="5" t="s">
        <v>240</v>
      </c>
      <c r="HR3954" s="5" t="s">
        <v>240</v>
      </c>
      <c r="HS3954" s="5" t="s">
        <v>240</v>
      </c>
      <c r="HT3954" s="5" t="s">
        <v>240</v>
      </c>
      <c r="HU3954" s="5" t="s">
        <v>240</v>
      </c>
      <c r="HV3954" s="5" t="s">
        <v>240</v>
      </c>
      <c r="HW3954" s="5" t="s">
        <v>240</v>
      </c>
      <c r="HX3954" s="5" t="s">
        <v>240</v>
      </c>
      <c r="HY3954" s="5" t="s">
        <v>240</v>
      </c>
      <c r="HZ3954" s="5" t="s">
        <v>240</v>
      </c>
      <c r="IA3954" s="5" t="s">
        <v>240</v>
      </c>
      <c r="IB3954" s="5" t="s">
        <v>240</v>
      </c>
      <c r="IC3954" s="5" t="s">
        <v>240</v>
      </c>
      <c r="ID3954" s="5" t="s">
        <v>240</v>
      </c>
      <c r="IE3954" s="5" t="s">
        <v>240</v>
      </c>
      <c r="IF3954" s="5" t="s">
        <v>240</v>
      </c>
    </row>
    <row r="3955" spans="1:240" x14ac:dyDescent="0.4">
      <c r="A3955" s="5">
        <v>9501</v>
      </c>
      <c r="B3955" s="5">
        <v>1</v>
      </c>
      <c r="C3955" s="5">
        <v>1</v>
      </c>
      <c r="D3955" s="5" t="s">
        <v>297</v>
      </c>
      <c r="E3955" s="5" t="s">
        <v>245</v>
      </c>
      <c r="F3955" s="5" t="s">
        <v>254</v>
      </c>
      <c r="G3955" s="5" t="s">
        <v>726</v>
      </c>
      <c r="H3955" s="6" t="s">
        <v>7062</v>
      </c>
      <c r="I3955" s="5" t="s">
        <v>7062</v>
      </c>
      <c r="J3955" s="8">
        <f>13</f>
        <v>13</v>
      </c>
      <c r="K3955" s="5" t="s">
        <v>308</v>
      </c>
      <c r="L3955" s="7">
        <f>1</f>
        <v>1</v>
      </c>
      <c r="M3955" s="7">
        <f>1</f>
        <v>1</v>
      </c>
      <c r="N3955" s="5" t="s">
        <v>242</v>
      </c>
      <c r="O3955" s="5">
        <v>1</v>
      </c>
      <c r="P3955" s="5" t="s">
        <v>294</v>
      </c>
      <c r="Q3955" s="5" t="s">
        <v>3678</v>
      </c>
      <c r="T3955" s="5" t="s">
        <v>243</v>
      </c>
      <c r="U3955" s="5" t="s">
        <v>244</v>
      </c>
      <c r="V3955" s="5" t="s">
        <v>240</v>
      </c>
      <c r="Y3955" s="5" t="s">
        <v>240</v>
      </c>
      <c r="Z3955" s="6" t="s">
        <v>298</v>
      </c>
      <c r="AA3955" s="6" t="s">
        <v>240</v>
      </c>
      <c r="AB3955" s="6" t="s">
        <v>240</v>
      </c>
      <c r="AC3955" s="5" t="s">
        <v>240</v>
      </c>
      <c r="AD3955" s="6" t="s">
        <v>240</v>
      </c>
      <c r="AE3955" s="6" t="s">
        <v>6769</v>
      </c>
      <c r="AF3955" s="5" t="s">
        <v>248</v>
      </c>
      <c r="AG3955" s="5" t="s">
        <v>249</v>
      </c>
      <c r="AM3955" s="5" t="s">
        <v>240</v>
      </c>
      <c r="AN3955" s="5" t="s">
        <v>240</v>
      </c>
      <c r="AO3955" s="5" t="s">
        <v>240</v>
      </c>
      <c r="AP3955" s="6" t="s">
        <v>240</v>
      </c>
      <c r="AQ3955" s="6" t="s">
        <v>240</v>
      </c>
      <c r="AR3955" s="6" t="s">
        <v>240</v>
      </c>
      <c r="AU3955" s="5" t="s">
        <v>729</v>
      </c>
      <c r="AV3955" s="5" t="s">
        <v>729</v>
      </c>
      <c r="AW3955" s="5" t="s">
        <v>251</v>
      </c>
      <c r="AX3955" s="5" t="s">
        <v>252</v>
      </c>
      <c r="AY3955" s="5" t="s">
        <v>253</v>
      </c>
      <c r="AZ3955" s="5" t="s">
        <v>6046</v>
      </c>
      <c r="BA3955" s="5" t="s">
        <v>255</v>
      </c>
      <c r="BB3955" s="5" t="s">
        <v>731</v>
      </c>
      <c r="BD3955" s="5" t="s">
        <v>842</v>
      </c>
      <c r="BF3955" s="5" t="s">
        <v>732</v>
      </c>
      <c r="BG3955" s="6" t="s">
        <v>733</v>
      </c>
      <c r="BH3955" s="5" t="s">
        <v>734</v>
      </c>
      <c r="BI3955" s="5" t="s">
        <v>734</v>
      </c>
      <c r="BJ3955" s="5" t="s">
        <v>240</v>
      </c>
      <c r="BK3955" s="8">
        <f>1.95</f>
        <v>1.95</v>
      </c>
      <c r="BL3955" s="7">
        <f>21</f>
        <v>21</v>
      </c>
      <c r="BM3955" s="5" t="s">
        <v>258</v>
      </c>
      <c r="BN3955" s="5" t="s">
        <v>259</v>
      </c>
      <c r="BO3955" s="5" t="s">
        <v>240</v>
      </c>
      <c r="BP3955" s="5" t="s">
        <v>240</v>
      </c>
      <c r="BQ3955" s="5" t="s">
        <v>240</v>
      </c>
      <c r="BR3955" s="5" t="s">
        <v>240</v>
      </c>
      <c r="BW3955" s="6" t="s">
        <v>240</v>
      </c>
      <c r="BX3955" s="5" t="s">
        <v>240</v>
      </c>
      <c r="BY3955" s="5" t="s">
        <v>240</v>
      </c>
      <c r="BZ3955" s="5" t="s">
        <v>240</v>
      </c>
      <c r="CA3955" s="5" t="s">
        <v>259</v>
      </c>
      <c r="CB3955" s="5" t="s">
        <v>240</v>
      </c>
      <c r="CC3955" s="5" t="s">
        <v>240</v>
      </c>
      <c r="CG3955" s="5" t="s">
        <v>240</v>
      </c>
      <c r="CH3955" s="5" t="s">
        <v>240</v>
      </c>
      <c r="CI3955" s="5" t="s">
        <v>260</v>
      </c>
      <c r="CK3955" s="5" t="s">
        <v>240</v>
      </c>
      <c r="CL3955" s="6" t="s">
        <v>261</v>
      </c>
      <c r="CM3955" s="5" t="s">
        <v>262</v>
      </c>
      <c r="CN3955" s="5" t="s">
        <v>263</v>
      </c>
      <c r="CO3955" s="5" t="s">
        <v>264</v>
      </c>
      <c r="CP3955" s="5" t="s">
        <v>240</v>
      </c>
      <c r="CQ3955" s="5">
        <v>0</v>
      </c>
      <c r="CR3955" s="5" t="s">
        <v>735</v>
      </c>
      <c r="CS3955" s="5" t="s">
        <v>307</v>
      </c>
      <c r="CT3955" s="5" t="s">
        <v>307</v>
      </c>
      <c r="CU3955" s="5" t="s">
        <v>260</v>
      </c>
      <c r="CV3955" s="5" t="s">
        <v>240</v>
      </c>
      <c r="CW3955" s="8">
        <f>11</f>
        <v>11</v>
      </c>
      <c r="CX3955" s="7">
        <f>21</f>
        <v>21</v>
      </c>
      <c r="CY3955" s="7">
        <f>0</f>
        <v>0</v>
      </c>
      <c r="CZ3955" s="7">
        <f>0</f>
        <v>0</v>
      </c>
      <c r="DA3955" s="7">
        <f>21</f>
        <v>21</v>
      </c>
      <c r="DB3955" s="7" t="s">
        <v>240</v>
      </c>
      <c r="DC3955" s="5" t="s">
        <v>240</v>
      </c>
      <c r="DD3955" s="5" t="s">
        <v>240</v>
      </c>
      <c r="DF3955" s="5" t="s">
        <v>240</v>
      </c>
      <c r="DG3955" s="7">
        <f>0</f>
        <v>0</v>
      </c>
      <c r="DH3955" s="6" t="s">
        <v>240</v>
      </c>
      <c r="DI3955" s="5" t="s">
        <v>240</v>
      </c>
      <c r="DJ3955" s="5" t="s">
        <v>240</v>
      </c>
      <c r="DK3955" s="5" t="s">
        <v>240</v>
      </c>
      <c r="DL3955" s="5" t="s">
        <v>240</v>
      </c>
      <c r="DM3955" s="5" t="s">
        <v>240</v>
      </c>
      <c r="DN3955" s="5" t="s">
        <v>240</v>
      </c>
      <c r="DO3955" s="7" t="s">
        <v>240</v>
      </c>
      <c r="DP3955" s="5" t="s">
        <v>240</v>
      </c>
      <c r="DQ3955" s="5" t="s">
        <v>248</v>
      </c>
      <c r="DR3955" s="5" t="s">
        <v>731</v>
      </c>
      <c r="DS3955" s="5" t="s">
        <v>731</v>
      </c>
      <c r="DT3955" s="5" t="s">
        <v>240</v>
      </c>
      <c r="DU3955" s="5" t="s">
        <v>240</v>
      </c>
      <c r="HR3955" s="5" t="s">
        <v>240</v>
      </c>
      <c r="HS3955" s="5" t="s">
        <v>240</v>
      </c>
      <c r="HT3955" s="5" t="s">
        <v>240</v>
      </c>
      <c r="HU3955" s="5" t="s">
        <v>240</v>
      </c>
      <c r="HV3955" s="5" t="s">
        <v>240</v>
      </c>
      <c r="HW3955" s="5" t="s">
        <v>240</v>
      </c>
      <c r="HX3955" s="5" t="s">
        <v>240</v>
      </c>
      <c r="HY3955" s="5" t="s">
        <v>240</v>
      </c>
      <c r="HZ3955" s="5" t="s">
        <v>240</v>
      </c>
      <c r="IA3955" s="5" t="s">
        <v>240</v>
      </c>
      <c r="IB3955" s="5" t="s">
        <v>240</v>
      </c>
      <c r="IC3955" s="5" t="s">
        <v>240</v>
      </c>
      <c r="ID3955" s="5" t="s">
        <v>240</v>
      </c>
      <c r="IE3955" s="5" t="s">
        <v>240</v>
      </c>
      <c r="IF3955" s="5" t="s">
        <v>240</v>
      </c>
    </row>
    <row r="3956" spans="1:240" x14ac:dyDescent="0.4">
      <c r="A3956" s="5">
        <v>9502</v>
      </c>
      <c r="B3956" s="5">
        <v>1</v>
      </c>
      <c r="C3956" s="5">
        <v>1</v>
      </c>
      <c r="D3956" s="5" t="s">
        <v>297</v>
      </c>
      <c r="E3956" s="5" t="s">
        <v>245</v>
      </c>
      <c r="F3956" s="5" t="s">
        <v>254</v>
      </c>
      <c r="G3956" s="5" t="s">
        <v>726</v>
      </c>
      <c r="H3956" s="6" t="s">
        <v>7207</v>
      </c>
      <c r="I3956" s="5" t="s">
        <v>7207</v>
      </c>
      <c r="J3956" s="8">
        <f>5.09</f>
        <v>5.09</v>
      </c>
      <c r="K3956" s="5" t="s">
        <v>308</v>
      </c>
      <c r="L3956" s="7">
        <f>1</f>
        <v>1</v>
      </c>
      <c r="M3956" s="7">
        <f>1</f>
        <v>1</v>
      </c>
      <c r="N3956" s="5" t="s">
        <v>242</v>
      </c>
      <c r="O3956" s="5">
        <v>1</v>
      </c>
      <c r="P3956" s="5" t="s">
        <v>294</v>
      </c>
      <c r="Q3956" s="5" t="s">
        <v>240</v>
      </c>
      <c r="T3956" s="5" t="s">
        <v>240</v>
      </c>
      <c r="U3956" s="5" t="s">
        <v>240</v>
      </c>
      <c r="V3956" s="5" t="s">
        <v>240</v>
      </c>
      <c r="Y3956" s="5" t="s">
        <v>245</v>
      </c>
      <c r="Z3956" s="6" t="s">
        <v>7173</v>
      </c>
      <c r="AA3956" s="6" t="s">
        <v>240</v>
      </c>
      <c r="AB3956" s="6" t="s">
        <v>240</v>
      </c>
      <c r="AC3956" s="5" t="s">
        <v>240</v>
      </c>
      <c r="AD3956" s="6" t="s">
        <v>240</v>
      </c>
      <c r="AE3956" s="6" t="s">
        <v>7173</v>
      </c>
      <c r="AF3956" s="5" t="s">
        <v>248</v>
      </c>
      <c r="AG3956" s="5" t="s">
        <v>240</v>
      </c>
      <c r="AM3956" s="5" t="s">
        <v>240</v>
      </c>
      <c r="AN3956" s="5" t="s">
        <v>240</v>
      </c>
      <c r="AO3956" s="5" t="s">
        <v>240</v>
      </c>
      <c r="AP3956" s="6" t="s">
        <v>240</v>
      </c>
      <c r="AQ3956" s="6" t="s">
        <v>240</v>
      </c>
      <c r="AR3956" s="6" t="s">
        <v>240</v>
      </c>
      <c r="AU3956" s="5" t="s">
        <v>729</v>
      </c>
      <c r="AV3956" s="5" t="s">
        <v>729</v>
      </c>
      <c r="AW3956" s="5" t="s">
        <v>251</v>
      </c>
      <c r="AX3956" s="5" t="s">
        <v>252</v>
      </c>
      <c r="AY3956" s="5" t="s">
        <v>253</v>
      </c>
      <c r="AZ3956" s="5" t="s">
        <v>240</v>
      </c>
      <c r="BA3956" s="5" t="s">
        <v>255</v>
      </c>
      <c r="BB3956" s="5" t="s">
        <v>731</v>
      </c>
      <c r="BD3956" s="5" t="s">
        <v>240</v>
      </c>
      <c r="BF3956" s="5" t="s">
        <v>6763</v>
      </c>
      <c r="BG3956" s="6" t="s">
        <v>7175</v>
      </c>
      <c r="BH3956" s="5" t="s">
        <v>6742</v>
      </c>
      <c r="BI3956" s="5" t="s">
        <v>6743</v>
      </c>
      <c r="BJ3956" s="5" t="s">
        <v>240</v>
      </c>
      <c r="BK3956" s="7">
        <f>0</f>
        <v>0</v>
      </c>
      <c r="BL3956" s="7">
        <f>198000</f>
        <v>198000</v>
      </c>
      <c r="BM3956" s="5" t="s">
        <v>258</v>
      </c>
      <c r="BN3956" s="5" t="s">
        <v>259</v>
      </c>
      <c r="BO3956" s="5" t="s">
        <v>6744</v>
      </c>
      <c r="BP3956" s="5" t="s">
        <v>6745</v>
      </c>
      <c r="BQ3956" s="5" t="s">
        <v>6745</v>
      </c>
      <c r="BR3956" s="5" t="s">
        <v>240</v>
      </c>
      <c r="BS3956" s="5" t="s">
        <v>258</v>
      </c>
      <c r="BT3956" s="5" t="s">
        <v>6747</v>
      </c>
      <c r="BU3956" s="5" t="s">
        <v>6747</v>
      </c>
      <c r="BW3956" s="6" t="s">
        <v>7176</v>
      </c>
      <c r="BX3956" s="5" t="s">
        <v>258</v>
      </c>
      <c r="BY3956" s="5" t="s">
        <v>240</v>
      </c>
      <c r="BZ3956" s="5" t="s">
        <v>240</v>
      </c>
      <c r="CA3956" s="5" t="s">
        <v>259</v>
      </c>
      <c r="CB3956" s="5" t="s">
        <v>240</v>
      </c>
      <c r="CC3956" s="5" t="s">
        <v>240</v>
      </c>
      <c r="CG3956" s="5" t="s">
        <v>240</v>
      </c>
      <c r="CH3956" s="5" t="s">
        <v>240</v>
      </c>
      <c r="CI3956" s="5" t="s">
        <v>260</v>
      </c>
      <c r="CK3956" s="5" t="s">
        <v>240</v>
      </c>
      <c r="CL3956" s="6" t="s">
        <v>261</v>
      </c>
      <c r="CM3956" s="5" t="s">
        <v>262</v>
      </c>
      <c r="CN3956" s="5" t="s">
        <v>293</v>
      </c>
      <c r="CO3956" s="5" t="s">
        <v>264</v>
      </c>
      <c r="CP3956" s="5" t="s">
        <v>240</v>
      </c>
      <c r="CQ3956" s="5">
        <v>0</v>
      </c>
      <c r="CR3956" s="5" t="s">
        <v>240</v>
      </c>
      <c r="CS3956" s="5" t="s">
        <v>240</v>
      </c>
      <c r="CT3956" s="5" t="s">
        <v>240</v>
      </c>
      <c r="CU3956" s="5" t="s">
        <v>260</v>
      </c>
      <c r="CV3956" s="5" t="s">
        <v>240</v>
      </c>
      <c r="CW3956" s="8">
        <f>0</f>
        <v>0</v>
      </c>
      <c r="CX3956" s="7">
        <f>198000</f>
        <v>198000</v>
      </c>
      <c r="CY3956" s="7">
        <f>0</f>
        <v>0</v>
      </c>
      <c r="CZ3956" s="7">
        <f>0</f>
        <v>0</v>
      </c>
      <c r="DA3956" s="7">
        <f>198000</f>
        <v>198000</v>
      </c>
      <c r="DB3956" s="7" t="s">
        <v>240</v>
      </c>
      <c r="DC3956" s="5" t="s">
        <v>240</v>
      </c>
      <c r="DD3956" s="5" t="s">
        <v>240</v>
      </c>
      <c r="DF3956" s="5" t="s">
        <v>240</v>
      </c>
      <c r="DG3956" s="7">
        <f>0</f>
        <v>0</v>
      </c>
      <c r="DH3956" s="6" t="s">
        <v>240</v>
      </c>
      <c r="DI3956" s="5" t="s">
        <v>240</v>
      </c>
      <c r="DJ3956" s="5" t="s">
        <v>240</v>
      </c>
      <c r="DK3956" s="5" t="s">
        <v>240</v>
      </c>
      <c r="DL3956" s="5" t="s">
        <v>240</v>
      </c>
      <c r="DM3956" s="5" t="s">
        <v>240</v>
      </c>
      <c r="DN3956" s="5" t="s">
        <v>240</v>
      </c>
      <c r="DO3956" s="7" t="s">
        <v>240</v>
      </c>
      <c r="DP3956" s="5" t="s">
        <v>240</v>
      </c>
      <c r="DQ3956" s="5" t="s">
        <v>248</v>
      </c>
      <c r="DR3956" s="5" t="s">
        <v>731</v>
      </c>
      <c r="DS3956" s="5" t="s">
        <v>731</v>
      </c>
      <c r="DT3956" s="5" t="s">
        <v>240</v>
      </c>
      <c r="DU3956" s="5" t="s">
        <v>240</v>
      </c>
      <c r="GN3956" s="5" t="s">
        <v>7177</v>
      </c>
      <c r="HR3956" s="5" t="s">
        <v>240</v>
      </c>
      <c r="HS3956" s="5" t="s">
        <v>240</v>
      </c>
      <c r="HT3956" s="5" t="s">
        <v>240</v>
      </c>
      <c r="HU3956" s="5" t="s">
        <v>240</v>
      </c>
      <c r="HV3956" s="5" t="s">
        <v>240</v>
      </c>
      <c r="HW3956" s="5" t="s">
        <v>240</v>
      </c>
      <c r="HX3956" s="5" t="s">
        <v>240</v>
      </c>
      <c r="HY3956" s="5" t="s">
        <v>240</v>
      </c>
      <c r="HZ3956" s="5" t="s">
        <v>240</v>
      </c>
      <c r="IA3956" s="5" t="s">
        <v>240</v>
      </c>
      <c r="IB3956" s="5" t="s">
        <v>240</v>
      </c>
      <c r="IC3956" s="5" t="s">
        <v>240</v>
      </c>
      <c r="ID3956" s="5" t="s">
        <v>240</v>
      </c>
      <c r="IE3956" s="5" t="s">
        <v>240</v>
      </c>
      <c r="IF3956" s="5" t="s">
        <v>240</v>
      </c>
    </row>
    <row r="3957" spans="1:240" x14ac:dyDescent="0.4">
      <c r="A3957" s="5">
        <v>9503</v>
      </c>
      <c r="B3957" s="5">
        <v>1</v>
      </c>
      <c r="C3957" s="5">
        <v>1</v>
      </c>
      <c r="D3957" s="5" t="s">
        <v>810</v>
      </c>
      <c r="E3957" s="5" t="s">
        <v>245</v>
      </c>
      <c r="F3957" s="5" t="s">
        <v>254</v>
      </c>
      <c r="G3957" s="5" t="s">
        <v>726</v>
      </c>
      <c r="H3957" s="6" t="s">
        <v>7170</v>
      </c>
      <c r="I3957" s="5" t="s">
        <v>7170</v>
      </c>
      <c r="J3957" s="8">
        <f>7.97</f>
        <v>7.97</v>
      </c>
      <c r="K3957" s="5" t="s">
        <v>308</v>
      </c>
      <c r="L3957" s="7">
        <f>1</f>
        <v>1</v>
      </c>
      <c r="M3957" s="7">
        <f>1</f>
        <v>1</v>
      </c>
      <c r="N3957" s="5" t="s">
        <v>242</v>
      </c>
      <c r="O3957" s="5">
        <v>1</v>
      </c>
      <c r="P3957" s="5" t="s">
        <v>294</v>
      </c>
      <c r="Q3957" s="5" t="s">
        <v>240</v>
      </c>
      <c r="T3957" s="5" t="s">
        <v>296</v>
      </c>
      <c r="U3957" s="5" t="s">
        <v>244</v>
      </c>
      <c r="V3957" s="5" t="s">
        <v>240</v>
      </c>
      <c r="Y3957" s="5" t="s">
        <v>240</v>
      </c>
      <c r="Z3957" s="6" t="s">
        <v>7179</v>
      </c>
      <c r="AA3957" s="6" t="s">
        <v>240</v>
      </c>
      <c r="AB3957" s="6" t="s">
        <v>240</v>
      </c>
      <c r="AC3957" s="5" t="s">
        <v>240</v>
      </c>
      <c r="AD3957" s="6" t="s">
        <v>240</v>
      </c>
      <c r="AE3957" s="6" t="s">
        <v>240</v>
      </c>
      <c r="AF3957" s="5" t="s">
        <v>248</v>
      </c>
      <c r="AG3957" s="5" t="s">
        <v>249</v>
      </c>
      <c r="AM3957" s="5" t="s">
        <v>240</v>
      </c>
      <c r="AN3957" s="5" t="s">
        <v>240</v>
      </c>
      <c r="AO3957" s="5" t="s">
        <v>240</v>
      </c>
      <c r="AP3957" s="6" t="s">
        <v>240</v>
      </c>
      <c r="AQ3957" s="6" t="s">
        <v>240</v>
      </c>
      <c r="AR3957" s="6" t="s">
        <v>240</v>
      </c>
      <c r="AU3957" s="5" t="s">
        <v>729</v>
      </c>
      <c r="AV3957" s="5" t="s">
        <v>729</v>
      </c>
      <c r="AW3957" s="5" t="s">
        <v>251</v>
      </c>
      <c r="AX3957" s="5" t="s">
        <v>252</v>
      </c>
      <c r="AY3957" s="5" t="s">
        <v>253</v>
      </c>
      <c r="AZ3957" s="5" t="s">
        <v>6046</v>
      </c>
      <c r="BA3957" s="5" t="s">
        <v>255</v>
      </c>
      <c r="BB3957" s="5" t="s">
        <v>731</v>
      </c>
      <c r="BD3957" s="5" t="s">
        <v>842</v>
      </c>
      <c r="BF3957" s="5" t="s">
        <v>256</v>
      </c>
      <c r="BG3957" s="6" t="s">
        <v>7179</v>
      </c>
      <c r="BH3957" s="5" t="s">
        <v>6799</v>
      </c>
      <c r="BI3957" s="5" t="s">
        <v>6799</v>
      </c>
      <c r="BJ3957" s="5" t="s">
        <v>240</v>
      </c>
      <c r="BK3957" s="8">
        <f>35</f>
        <v>35</v>
      </c>
      <c r="BL3957" s="7">
        <f>1</f>
        <v>1</v>
      </c>
      <c r="BM3957" s="5" t="s">
        <v>258</v>
      </c>
      <c r="BN3957" s="5" t="s">
        <v>259</v>
      </c>
      <c r="BO3957" s="5" t="s">
        <v>240</v>
      </c>
      <c r="BP3957" s="5" t="s">
        <v>240</v>
      </c>
      <c r="BQ3957" s="5" t="s">
        <v>240</v>
      </c>
      <c r="BR3957" s="5" t="s">
        <v>240</v>
      </c>
      <c r="BW3957" s="6" t="s">
        <v>240</v>
      </c>
      <c r="BX3957" s="5" t="s">
        <v>240</v>
      </c>
      <c r="BY3957" s="5" t="s">
        <v>240</v>
      </c>
      <c r="BZ3957" s="5" t="s">
        <v>240</v>
      </c>
      <c r="CA3957" s="5" t="s">
        <v>259</v>
      </c>
      <c r="CB3957" s="5" t="s">
        <v>240</v>
      </c>
      <c r="CC3957" s="5" t="s">
        <v>240</v>
      </c>
      <c r="CG3957" s="5" t="s">
        <v>240</v>
      </c>
      <c r="CH3957" s="5" t="s">
        <v>240</v>
      </c>
      <c r="CI3957" s="5" t="s">
        <v>260</v>
      </c>
      <c r="CK3957" s="5" t="s">
        <v>240</v>
      </c>
      <c r="CL3957" s="6" t="s">
        <v>261</v>
      </c>
      <c r="CM3957" s="5" t="s">
        <v>262</v>
      </c>
      <c r="CN3957" s="5" t="s">
        <v>263</v>
      </c>
      <c r="CO3957" s="5" t="s">
        <v>264</v>
      </c>
      <c r="CP3957" s="5" t="s">
        <v>240</v>
      </c>
      <c r="CQ3957" s="5">
        <v>0</v>
      </c>
      <c r="CR3957" s="5" t="s">
        <v>735</v>
      </c>
      <c r="CS3957" s="5" t="s">
        <v>307</v>
      </c>
      <c r="CT3957" s="5" t="s">
        <v>307</v>
      </c>
      <c r="CU3957" s="5" t="s">
        <v>260</v>
      </c>
      <c r="CV3957" s="5" t="s">
        <v>240</v>
      </c>
      <c r="CW3957" s="8">
        <f>0</f>
        <v>0</v>
      </c>
      <c r="CX3957" s="7">
        <f>1</f>
        <v>1</v>
      </c>
      <c r="CY3957" s="7">
        <f>0</f>
        <v>0</v>
      </c>
      <c r="CZ3957" s="7">
        <f>0</f>
        <v>0</v>
      </c>
      <c r="DA3957" s="7">
        <f>1</f>
        <v>1</v>
      </c>
      <c r="DB3957" s="7" t="s">
        <v>240</v>
      </c>
      <c r="DC3957" s="5" t="s">
        <v>240</v>
      </c>
      <c r="DD3957" s="5" t="s">
        <v>240</v>
      </c>
      <c r="DF3957" s="5" t="s">
        <v>240</v>
      </c>
      <c r="DG3957" s="7">
        <f>0</f>
        <v>0</v>
      </c>
      <c r="DH3957" s="6" t="s">
        <v>240</v>
      </c>
      <c r="DI3957" s="5" t="s">
        <v>240</v>
      </c>
      <c r="DJ3957" s="5" t="s">
        <v>240</v>
      </c>
      <c r="DK3957" s="5" t="s">
        <v>240</v>
      </c>
      <c r="DL3957" s="5" t="s">
        <v>240</v>
      </c>
      <c r="DM3957" s="5" t="s">
        <v>240</v>
      </c>
      <c r="DN3957" s="5" t="s">
        <v>240</v>
      </c>
      <c r="DO3957" s="7" t="s">
        <v>240</v>
      </c>
      <c r="DP3957" s="5" t="s">
        <v>240</v>
      </c>
      <c r="DQ3957" s="5" t="s">
        <v>248</v>
      </c>
      <c r="DR3957" s="5" t="s">
        <v>731</v>
      </c>
      <c r="DS3957" s="5" t="s">
        <v>731</v>
      </c>
      <c r="DT3957" s="5" t="s">
        <v>240</v>
      </c>
      <c r="DU3957" s="5" t="s">
        <v>240</v>
      </c>
      <c r="HR3957" s="5" t="s">
        <v>240</v>
      </c>
      <c r="HS3957" s="5" t="s">
        <v>240</v>
      </c>
      <c r="HT3957" s="5" t="s">
        <v>240</v>
      </c>
      <c r="HU3957" s="5" t="s">
        <v>240</v>
      </c>
      <c r="HV3957" s="5" t="s">
        <v>240</v>
      </c>
      <c r="HW3957" s="5" t="s">
        <v>240</v>
      </c>
      <c r="HX3957" s="5" t="s">
        <v>240</v>
      </c>
      <c r="HY3957" s="5" t="s">
        <v>240</v>
      </c>
      <c r="HZ3957" s="5" t="s">
        <v>240</v>
      </c>
      <c r="IA3957" s="5" t="s">
        <v>240</v>
      </c>
      <c r="IB3957" s="5" t="s">
        <v>240</v>
      </c>
      <c r="IC3957" s="5" t="s">
        <v>240</v>
      </c>
      <c r="ID3957" s="5" t="s">
        <v>240</v>
      </c>
      <c r="IE3957" s="5" t="s">
        <v>240</v>
      </c>
      <c r="IF3957" s="5" t="s">
        <v>240</v>
      </c>
    </row>
    <row r="3958" spans="1:240" x14ac:dyDescent="0.4">
      <c r="A3958" s="5">
        <v>9504</v>
      </c>
      <c r="B3958" s="5">
        <v>1</v>
      </c>
      <c r="C3958" s="5">
        <v>1</v>
      </c>
      <c r="D3958" s="5" t="s">
        <v>810</v>
      </c>
      <c r="E3958" s="5" t="s">
        <v>245</v>
      </c>
      <c r="F3958" s="5" t="s">
        <v>254</v>
      </c>
      <c r="G3958" s="5" t="s">
        <v>726</v>
      </c>
      <c r="H3958" s="6" t="s">
        <v>6902</v>
      </c>
      <c r="I3958" s="5" t="s">
        <v>6902</v>
      </c>
      <c r="J3958" s="8">
        <f>25</f>
        <v>25</v>
      </c>
      <c r="K3958" s="5" t="s">
        <v>308</v>
      </c>
      <c r="L3958" s="7">
        <f>1</f>
        <v>1</v>
      </c>
      <c r="M3958" s="7">
        <f>1</f>
        <v>1</v>
      </c>
      <c r="N3958" s="5" t="s">
        <v>242</v>
      </c>
      <c r="O3958" s="5">
        <v>1</v>
      </c>
      <c r="P3958" s="5" t="s">
        <v>294</v>
      </c>
      <c r="Q3958" s="5" t="s">
        <v>7180</v>
      </c>
      <c r="T3958" s="5" t="s">
        <v>296</v>
      </c>
      <c r="U3958" s="5" t="s">
        <v>244</v>
      </c>
      <c r="V3958" s="5" t="s">
        <v>240</v>
      </c>
      <c r="Y3958" s="5" t="s">
        <v>246</v>
      </c>
      <c r="Z3958" s="6" t="s">
        <v>7182</v>
      </c>
      <c r="AA3958" s="6" t="s">
        <v>240</v>
      </c>
      <c r="AB3958" s="6" t="s">
        <v>240</v>
      </c>
      <c r="AC3958" s="5" t="s">
        <v>240</v>
      </c>
      <c r="AD3958" s="6" t="s">
        <v>240</v>
      </c>
      <c r="AE3958" s="6" t="s">
        <v>7182</v>
      </c>
      <c r="AF3958" s="5" t="s">
        <v>248</v>
      </c>
      <c r="AG3958" s="5" t="s">
        <v>249</v>
      </c>
      <c r="AM3958" s="5" t="s">
        <v>240</v>
      </c>
      <c r="AN3958" s="5" t="s">
        <v>240</v>
      </c>
      <c r="AO3958" s="5" t="s">
        <v>240</v>
      </c>
      <c r="AP3958" s="6" t="s">
        <v>240</v>
      </c>
      <c r="AQ3958" s="6" t="s">
        <v>240</v>
      </c>
      <c r="AR3958" s="6" t="s">
        <v>240</v>
      </c>
      <c r="AU3958" s="5" t="s">
        <v>729</v>
      </c>
      <c r="AV3958" s="5" t="s">
        <v>729</v>
      </c>
      <c r="AW3958" s="5" t="s">
        <v>251</v>
      </c>
      <c r="AX3958" s="5" t="s">
        <v>252</v>
      </c>
      <c r="AY3958" s="5" t="s">
        <v>253</v>
      </c>
      <c r="AZ3958" s="5" t="s">
        <v>6046</v>
      </c>
      <c r="BA3958" s="5" t="s">
        <v>255</v>
      </c>
      <c r="BB3958" s="5" t="s">
        <v>731</v>
      </c>
      <c r="BD3958" s="5" t="s">
        <v>240</v>
      </c>
      <c r="BF3958" s="5" t="s">
        <v>732</v>
      </c>
      <c r="BG3958" s="6" t="s">
        <v>6952</v>
      </c>
      <c r="BH3958" s="5" t="s">
        <v>6742</v>
      </c>
      <c r="BI3958" s="5" t="s">
        <v>6743</v>
      </c>
      <c r="BJ3958" s="5" t="s">
        <v>240</v>
      </c>
      <c r="BK3958" s="8">
        <f>0</f>
        <v>0</v>
      </c>
      <c r="BL3958" s="7">
        <f>257022</f>
        <v>257022</v>
      </c>
      <c r="BM3958" s="5" t="s">
        <v>258</v>
      </c>
      <c r="BN3958" s="5" t="s">
        <v>259</v>
      </c>
      <c r="BO3958" s="5" t="s">
        <v>6744</v>
      </c>
      <c r="BP3958" s="5" t="s">
        <v>6745</v>
      </c>
      <c r="BQ3958" s="5" t="s">
        <v>6746</v>
      </c>
      <c r="BR3958" s="5" t="s">
        <v>240</v>
      </c>
      <c r="BS3958" s="5" t="s">
        <v>258</v>
      </c>
      <c r="BT3958" s="5" t="s">
        <v>6747</v>
      </c>
      <c r="BU3958" s="5" t="s">
        <v>6747</v>
      </c>
      <c r="BW3958" s="6" t="s">
        <v>7183</v>
      </c>
      <c r="BX3958" s="5" t="s">
        <v>258</v>
      </c>
      <c r="BY3958" s="5" t="s">
        <v>240</v>
      </c>
      <c r="BZ3958" s="5" t="s">
        <v>240</v>
      </c>
      <c r="CA3958" s="5" t="s">
        <v>259</v>
      </c>
      <c r="CB3958" s="5" t="s">
        <v>240</v>
      </c>
      <c r="CC3958" s="5" t="s">
        <v>240</v>
      </c>
      <c r="CG3958" s="5" t="s">
        <v>240</v>
      </c>
      <c r="CH3958" s="5" t="s">
        <v>240</v>
      </c>
      <c r="CI3958" s="5" t="s">
        <v>260</v>
      </c>
      <c r="CK3958" s="5" t="s">
        <v>240</v>
      </c>
      <c r="CL3958" s="6" t="s">
        <v>261</v>
      </c>
      <c r="CM3958" s="5" t="s">
        <v>262</v>
      </c>
      <c r="CN3958" s="5" t="s">
        <v>263</v>
      </c>
      <c r="CO3958" s="5" t="s">
        <v>264</v>
      </c>
      <c r="CP3958" s="5" t="s">
        <v>240</v>
      </c>
      <c r="CQ3958" s="5">
        <v>0</v>
      </c>
      <c r="CR3958" s="5" t="s">
        <v>735</v>
      </c>
      <c r="CS3958" s="5" t="s">
        <v>307</v>
      </c>
      <c r="CT3958" s="5" t="s">
        <v>307</v>
      </c>
      <c r="CU3958" s="5" t="s">
        <v>260</v>
      </c>
      <c r="CV3958" s="5" t="s">
        <v>240</v>
      </c>
      <c r="CW3958" s="8">
        <f>13100</f>
        <v>13100</v>
      </c>
      <c r="CX3958" s="7">
        <f>257022</f>
        <v>257022</v>
      </c>
      <c r="CY3958" s="7">
        <f>0</f>
        <v>0</v>
      </c>
      <c r="CZ3958" s="7">
        <f>0</f>
        <v>0</v>
      </c>
      <c r="DA3958" s="7">
        <f>257022</f>
        <v>257022</v>
      </c>
      <c r="DB3958" s="7" t="s">
        <v>240</v>
      </c>
      <c r="DC3958" s="5" t="s">
        <v>240</v>
      </c>
      <c r="DD3958" s="5" t="s">
        <v>240</v>
      </c>
      <c r="DF3958" s="5" t="s">
        <v>240</v>
      </c>
      <c r="DG3958" s="7">
        <f>0</f>
        <v>0</v>
      </c>
      <c r="DH3958" s="6" t="s">
        <v>240</v>
      </c>
      <c r="DI3958" s="5" t="s">
        <v>240</v>
      </c>
      <c r="DJ3958" s="5" t="s">
        <v>240</v>
      </c>
      <c r="DK3958" s="5" t="s">
        <v>240</v>
      </c>
      <c r="DL3958" s="5" t="s">
        <v>240</v>
      </c>
      <c r="DM3958" s="5" t="s">
        <v>240</v>
      </c>
      <c r="DN3958" s="5" t="s">
        <v>240</v>
      </c>
      <c r="DO3958" s="7" t="s">
        <v>240</v>
      </c>
      <c r="DP3958" s="5" t="s">
        <v>240</v>
      </c>
      <c r="DQ3958" s="5" t="s">
        <v>248</v>
      </c>
      <c r="DR3958" s="5" t="s">
        <v>731</v>
      </c>
      <c r="DS3958" s="5" t="s">
        <v>731</v>
      </c>
      <c r="DT3958" s="5" t="s">
        <v>240</v>
      </c>
      <c r="DU3958" s="5" t="s">
        <v>240</v>
      </c>
      <c r="HR3958" s="5" t="s">
        <v>240</v>
      </c>
      <c r="HS3958" s="5" t="s">
        <v>240</v>
      </c>
      <c r="HT3958" s="5" t="s">
        <v>240</v>
      </c>
      <c r="HU3958" s="5" t="s">
        <v>240</v>
      </c>
      <c r="HV3958" s="5" t="s">
        <v>240</v>
      </c>
      <c r="HW3958" s="5" t="s">
        <v>240</v>
      </c>
      <c r="HX3958" s="5" t="s">
        <v>240</v>
      </c>
      <c r="HY3958" s="5" t="s">
        <v>240</v>
      </c>
      <c r="HZ3958" s="5" t="s">
        <v>240</v>
      </c>
      <c r="IA3958" s="5" t="s">
        <v>240</v>
      </c>
      <c r="IB3958" s="5" t="s">
        <v>240</v>
      </c>
      <c r="IC3958" s="5" t="s">
        <v>240</v>
      </c>
      <c r="ID3958" s="5" t="s">
        <v>240</v>
      </c>
      <c r="IE3958" s="5" t="s">
        <v>240</v>
      </c>
      <c r="IF3958" s="5" t="s">
        <v>240</v>
      </c>
    </row>
    <row r="3959" spans="1:240" x14ac:dyDescent="0.4">
      <c r="A3959" s="5">
        <v>9505</v>
      </c>
      <c r="B3959" s="5">
        <v>1</v>
      </c>
      <c r="C3959" s="5">
        <v>1</v>
      </c>
      <c r="D3959" s="5" t="s">
        <v>297</v>
      </c>
      <c r="E3959" s="5" t="s">
        <v>245</v>
      </c>
      <c r="F3959" s="5" t="s">
        <v>254</v>
      </c>
      <c r="G3959" s="5" t="s">
        <v>726</v>
      </c>
      <c r="H3959" s="6" t="s">
        <v>7178</v>
      </c>
      <c r="I3959" s="5" t="s">
        <v>7178</v>
      </c>
      <c r="J3959" s="8">
        <f>35</f>
        <v>35</v>
      </c>
      <c r="K3959" s="5" t="s">
        <v>308</v>
      </c>
      <c r="L3959" s="7">
        <f>1</f>
        <v>1</v>
      </c>
      <c r="M3959" s="7">
        <f>1</f>
        <v>1</v>
      </c>
      <c r="N3959" s="5" t="s">
        <v>242</v>
      </c>
      <c r="O3959" s="5">
        <v>1</v>
      </c>
      <c r="P3959" s="5" t="s">
        <v>294</v>
      </c>
      <c r="Q3959" s="5" t="s">
        <v>240</v>
      </c>
      <c r="T3959" s="5" t="s">
        <v>296</v>
      </c>
      <c r="U3959" s="5" t="s">
        <v>244</v>
      </c>
      <c r="V3959" s="5" t="s">
        <v>240</v>
      </c>
      <c r="Y3959" s="5" t="s">
        <v>240</v>
      </c>
      <c r="Z3959" s="6" t="s">
        <v>7185</v>
      </c>
      <c r="AA3959" s="6" t="s">
        <v>240</v>
      </c>
      <c r="AB3959" s="6" t="s">
        <v>240</v>
      </c>
      <c r="AC3959" s="5" t="s">
        <v>240</v>
      </c>
      <c r="AD3959" s="6" t="s">
        <v>240</v>
      </c>
      <c r="AE3959" s="6" t="s">
        <v>240</v>
      </c>
      <c r="AF3959" s="5" t="s">
        <v>248</v>
      </c>
      <c r="AG3959" s="5" t="s">
        <v>249</v>
      </c>
      <c r="AM3959" s="5" t="s">
        <v>240</v>
      </c>
      <c r="AN3959" s="5" t="s">
        <v>240</v>
      </c>
      <c r="AO3959" s="5" t="s">
        <v>240</v>
      </c>
      <c r="AP3959" s="6" t="s">
        <v>240</v>
      </c>
      <c r="AQ3959" s="6" t="s">
        <v>240</v>
      </c>
      <c r="AR3959" s="6" t="s">
        <v>240</v>
      </c>
      <c r="AU3959" s="5" t="s">
        <v>729</v>
      </c>
      <c r="AV3959" s="5" t="s">
        <v>729</v>
      </c>
      <c r="AW3959" s="5" t="s">
        <v>251</v>
      </c>
      <c r="AX3959" s="5" t="s">
        <v>252</v>
      </c>
      <c r="AY3959" s="5" t="s">
        <v>253</v>
      </c>
      <c r="AZ3959" s="5" t="s">
        <v>6046</v>
      </c>
      <c r="BA3959" s="5" t="s">
        <v>255</v>
      </c>
      <c r="BB3959" s="5" t="s">
        <v>731</v>
      </c>
      <c r="BD3959" s="5" t="s">
        <v>842</v>
      </c>
      <c r="BF3959" s="5" t="s">
        <v>256</v>
      </c>
      <c r="BG3959" s="6" t="s">
        <v>7185</v>
      </c>
      <c r="BH3959" s="5" t="s">
        <v>6799</v>
      </c>
      <c r="BI3959" s="5" t="s">
        <v>6799</v>
      </c>
      <c r="BJ3959" s="5" t="s">
        <v>240</v>
      </c>
      <c r="BK3959" s="8">
        <f>16</f>
        <v>16</v>
      </c>
      <c r="BL3959" s="7">
        <f>1</f>
        <v>1</v>
      </c>
      <c r="BM3959" s="5" t="s">
        <v>258</v>
      </c>
      <c r="BN3959" s="5" t="s">
        <v>259</v>
      </c>
      <c r="BO3959" s="5" t="s">
        <v>240</v>
      </c>
      <c r="BP3959" s="5" t="s">
        <v>240</v>
      </c>
      <c r="BQ3959" s="5" t="s">
        <v>240</v>
      </c>
      <c r="BR3959" s="5" t="s">
        <v>240</v>
      </c>
      <c r="BW3959" s="6" t="s">
        <v>240</v>
      </c>
      <c r="BX3959" s="5" t="s">
        <v>240</v>
      </c>
      <c r="BY3959" s="5" t="s">
        <v>240</v>
      </c>
      <c r="BZ3959" s="5" t="s">
        <v>240</v>
      </c>
      <c r="CA3959" s="5" t="s">
        <v>259</v>
      </c>
      <c r="CB3959" s="5" t="s">
        <v>240</v>
      </c>
      <c r="CC3959" s="5" t="s">
        <v>240</v>
      </c>
      <c r="CG3959" s="5" t="s">
        <v>240</v>
      </c>
      <c r="CH3959" s="5" t="s">
        <v>240</v>
      </c>
      <c r="CI3959" s="5" t="s">
        <v>260</v>
      </c>
      <c r="CK3959" s="5" t="s">
        <v>240</v>
      </c>
      <c r="CL3959" s="6" t="s">
        <v>261</v>
      </c>
      <c r="CM3959" s="5" t="s">
        <v>262</v>
      </c>
      <c r="CN3959" s="5" t="s">
        <v>263</v>
      </c>
      <c r="CO3959" s="5" t="s">
        <v>264</v>
      </c>
      <c r="CP3959" s="5" t="s">
        <v>240</v>
      </c>
      <c r="CQ3959" s="5">
        <v>0</v>
      </c>
      <c r="CR3959" s="5" t="s">
        <v>735</v>
      </c>
      <c r="CS3959" s="5" t="s">
        <v>307</v>
      </c>
      <c r="CT3959" s="5" t="s">
        <v>307</v>
      </c>
      <c r="CU3959" s="5" t="s">
        <v>260</v>
      </c>
      <c r="CV3959" s="5" t="s">
        <v>240</v>
      </c>
      <c r="CW3959" s="8">
        <f>0</f>
        <v>0</v>
      </c>
      <c r="CX3959" s="7">
        <f>1</f>
        <v>1</v>
      </c>
      <c r="CY3959" s="7">
        <f>0</f>
        <v>0</v>
      </c>
      <c r="CZ3959" s="7">
        <f>0</f>
        <v>0</v>
      </c>
      <c r="DA3959" s="7">
        <f>1</f>
        <v>1</v>
      </c>
      <c r="DB3959" s="7" t="s">
        <v>240</v>
      </c>
      <c r="DC3959" s="5" t="s">
        <v>240</v>
      </c>
      <c r="DD3959" s="5" t="s">
        <v>240</v>
      </c>
      <c r="DF3959" s="5" t="s">
        <v>240</v>
      </c>
      <c r="DG3959" s="7">
        <f>0</f>
        <v>0</v>
      </c>
      <c r="DH3959" s="6" t="s">
        <v>240</v>
      </c>
      <c r="DI3959" s="5" t="s">
        <v>240</v>
      </c>
      <c r="DJ3959" s="5" t="s">
        <v>240</v>
      </c>
      <c r="DK3959" s="5" t="s">
        <v>240</v>
      </c>
      <c r="DL3959" s="5" t="s">
        <v>240</v>
      </c>
      <c r="DM3959" s="5" t="s">
        <v>240</v>
      </c>
      <c r="DN3959" s="5" t="s">
        <v>240</v>
      </c>
      <c r="DO3959" s="7" t="s">
        <v>240</v>
      </c>
      <c r="DP3959" s="5" t="s">
        <v>240</v>
      </c>
      <c r="DQ3959" s="5" t="s">
        <v>248</v>
      </c>
      <c r="DR3959" s="5" t="s">
        <v>731</v>
      </c>
      <c r="DS3959" s="5" t="s">
        <v>731</v>
      </c>
      <c r="DT3959" s="5" t="s">
        <v>240</v>
      </c>
      <c r="DU3959" s="5" t="s">
        <v>240</v>
      </c>
      <c r="HR3959" s="5" t="s">
        <v>240</v>
      </c>
      <c r="HS3959" s="5" t="s">
        <v>240</v>
      </c>
      <c r="HT3959" s="5" t="s">
        <v>240</v>
      </c>
      <c r="HU3959" s="5" t="s">
        <v>240</v>
      </c>
      <c r="HV3959" s="5" t="s">
        <v>240</v>
      </c>
      <c r="HW3959" s="5" t="s">
        <v>240</v>
      </c>
      <c r="HX3959" s="5" t="s">
        <v>240</v>
      </c>
      <c r="HY3959" s="5" t="s">
        <v>240</v>
      </c>
      <c r="HZ3959" s="5" t="s">
        <v>240</v>
      </c>
      <c r="IA3959" s="5" t="s">
        <v>240</v>
      </c>
      <c r="IB3959" s="5" t="s">
        <v>240</v>
      </c>
      <c r="IC3959" s="5" t="s">
        <v>240</v>
      </c>
      <c r="ID3959" s="5" t="s">
        <v>240</v>
      </c>
      <c r="IE3959" s="5" t="s">
        <v>240</v>
      </c>
      <c r="IF3959" s="5" t="s">
        <v>240</v>
      </c>
    </row>
    <row r="3960" spans="1:240" x14ac:dyDescent="0.4">
      <c r="A3960" s="5">
        <v>9506</v>
      </c>
      <c r="B3960" s="5">
        <v>1</v>
      </c>
      <c r="C3960" s="5">
        <v>1</v>
      </c>
      <c r="D3960" s="5" t="s">
        <v>297</v>
      </c>
      <c r="E3960" s="5" t="s">
        <v>245</v>
      </c>
      <c r="F3960" s="5" t="s">
        <v>254</v>
      </c>
      <c r="G3960" s="5" t="s">
        <v>726</v>
      </c>
      <c r="H3960" s="6" t="s">
        <v>7220</v>
      </c>
      <c r="I3960" s="5" t="s">
        <v>7220</v>
      </c>
      <c r="J3960" s="8">
        <f>4.55</f>
        <v>4.55</v>
      </c>
      <c r="K3960" s="5" t="s">
        <v>308</v>
      </c>
      <c r="L3960" s="7">
        <f>1</f>
        <v>1</v>
      </c>
      <c r="M3960" s="7">
        <f>1</f>
        <v>1</v>
      </c>
      <c r="N3960" s="5" t="s">
        <v>242</v>
      </c>
      <c r="O3960" s="5">
        <v>1</v>
      </c>
      <c r="P3960" s="5" t="s">
        <v>294</v>
      </c>
      <c r="Q3960" s="5" t="s">
        <v>266</v>
      </c>
      <c r="T3960" s="5" t="s">
        <v>240</v>
      </c>
      <c r="U3960" s="5" t="s">
        <v>240</v>
      </c>
      <c r="V3960" s="5" t="s">
        <v>240</v>
      </c>
      <c r="Y3960" s="5" t="s">
        <v>246</v>
      </c>
      <c r="Z3960" s="6" t="s">
        <v>7187</v>
      </c>
      <c r="AA3960" s="6" t="s">
        <v>240</v>
      </c>
      <c r="AB3960" s="6" t="s">
        <v>240</v>
      </c>
      <c r="AC3960" s="5" t="s">
        <v>240</v>
      </c>
      <c r="AD3960" s="6" t="s">
        <v>240</v>
      </c>
      <c r="AE3960" s="6" t="s">
        <v>7188</v>
      </c>
      <c r="AF3960" s="5" t="s">
        <v>248</v>
      </c>
      <c r="AG3960" s="5" t="s">
        <v>240</v>
      </c>
      <c r="AM3960" s="5" t="s">
        <v>240</v>
      </c>
      <c r="AN3960" s="5" t="s">
        <v>240</v>
      </c>
      <c r="AO3960" s="5" t="s">
        <v>240</v>
      </c>
      <c r="AP3960" s="6" t="s">
        <v>240</v>
      </c>
      <c r="AQ3960" s="6" t="s">
        <v>240</v>
      </c>
      <c r="AR3960" s="6" t="s">
        <v>240</v>
      </c>
      <c r="AU3960" s="5" t="s">
        <v>729</v>
      </c>
      <c r="AV3960" s="5" t="s">
        <v>729</v>
      </c>
      <c r="AW3960" s="5" t="s">
        <v>251</v>
      </c>
      <c r="AX3960" s="5" t="s">
        <v>252</v>
      </c>
      <c r="AY3960" s="5" t="s">
        <v>253</v>
      </c>
      <c r="AZ3960" s="5" t="s">
        <v>240</v>
      </c>
      <c r="BA3960" s="5" t="s">
        <v>255</v>
      </c>
      <c r="BB3960" s="5" t="s">
        <v>731</v>
      </c>
      <c r="BD3960" s="5" t="s">
        <v>240</v>
      </c>
      <c r="BF3960" s="5" t="s">
        <v>6763</v>
      </c>
      <c r="BG3960" s="6" t="s">
        <v>7190</v>
      </c>
      <c r="BH3960" s="5" t="s">
        <v>6742</v>
      </c>
      <c r="BI3960" s="5" t="s">
        <v>6743</v>
      </c>
      <c r="BJ3960" s="5" t="s">
        <v>240</v>
      </c>
      <c r="BK3960" s="8">
        <f>0</f>
        <v>0</v>
      </c>
      <c r="BL3960" s="7">
        <f>212000</f>
        <v>212000</v>
      </c>
      <c r="BM3960" s="5" t="s">
        <v>258</v>
      </c>
      <c r="BN3960" s="5" t="s">
        <v>259</v>
      </c>
      <c r="BO3960" s="5" t="s">
        <v>6744</v>
      </c>
      <c r="BP3960" s="5" t="s">
        <v>6745</v>
      </c>
      <c r="BQ3960" s="5" t="s">
        <v>6746</v>
      </c>
      <c r="BR3960" s="5" t="s">
        <v>240</v>
      </c>
      <c r="BS3960" s="5" t="s">
        <v>258</v>
      </c>
      <c r="BT3960" s="5" t="s">
        <v>6747</v>
      </c>
      <c r="BU3960" s="5" t="s">
        <v>6747</v>
      </c>
      <c r="BW3960" s="6" t="s">
        <v>7191</v>
      </c>
      <c r="BX3960" s="5" t="s">
        <v>258</v>
      </c>
      <c r="BY3960" s="5" t="s">
        <v>240</v>
      </c>
      <c r="BZ3960" s="5" t="s">
        <v>240</v>
      </c>
      <c r="CA3960" s="5" t="s">
        <v>259</v>
      </c>
      <c r="CB3960" s="5" t="s">
        <v>240</v>
      </c>
      <c r="CC3960" s="5" t="s">
        <v>240</v>
      </c>
      <c r="CG3960" s="5" t="s">
        <v>240</v>
      </c>
      <c r="CH3960" s="5" t="s">
        <v>240</v>
      </c>
      <c r="CI3960" s="5" t="s">
        <v>260</v>
      </c>
      <c r="CK3960" s="5" t="s">
        <v>240</v>
      </c>
      <c r="CL3960" s="6" t="s">
        <v>261</v>
      </c>
      <c r="CM3960" s="5" t="s">
        <v>262</v>
      </c>
      <c r="CN3960" s="5" t="s">
        <v>293</v>
      </c>
      <c r="CO3960" s="5" t="s">
        <v>264</v>
      </c>
      <c r="CP3960" s="5" t="s">
        <v>240</v>
      </c>
      <c r="CQ3960" s="5">
        <v>0</v>
      </c>
      <c r="CR3960" s="5" t="s">
        <v>240</v>
      </c>
      <c r="CS3960" s="5" t="s">
        <v>240</v>
      </c>
      <c r="CT3960" s="5" t="s">
        <v>240</v>
      </c>
      <c r="CU3960" s="5" t="s">
        <v>260</v>
      </c>
      <c r="CV3960" s="5" t="s">
        <v>240</v>
      </c>
      <c r="CW3960" s="8">
        <f>9901</f>
        <v>9901</v>
      </c>
      <c r="CX3960" s="7">
        <f>704979</f>
        <v>704979</v>
      </c>
      <c r="CY3960" s="7">
        <f>0</f>
        <v>0</v>
      </c>
      <c r="CZ3960" s="7">
        <f>0</f>
        <v>0</v>
      </c>
      <c r="DA3960" s="7">
        <f>704979</f>
        <v>704979</v>
      </c>
      <c r="DB3960" s="7" t="s">
        <v>240</v>
      </c>
      <c r="DC3960" s="5" t="s">
        <v>240</v>
      </c>
      <c r="DD3960" s="5" t="s">
        <v>240</v>
      </c>
      <c r="DF3960" s="5" t="s">
        <v>240</v>
      </c>
      <c r="DG3960" s="7">
        <f>0</f>
        <v>0</v>
      </c>
      <c r="DH3960" s="6" t="s">
        <v>240</v>
      </c>
      <c r="DI3960" s="5" t="s">
        <v>240</v>
      </c>
      <c r="DJ3960" s="5" t="s">
        <v>240</v>
      </c>
      <c r="DK3960" s="5" t="s">
        <v>240</v>
      </c>
      <c r="DL3960" s="5" t="s">
        <v>240</v>
      </c>
      <c r="DM3960" s="5" t="s">
        <v>240</v>
      </c>
      <c r="DN3960" s="5" t="s">
        <v>240</v>
      </c>
      <c r="DO3960" s="7" t="s">
        <v>240</v>
      </c>
      <c r="DP3960" s="5" t="s">
        <v>240</v>
      </c>
      <c r="DQ3960" s="5" t="s">
        <v>248</v>
      </c>
      <c r="DR3960" s="5" t="s">
        <v>731</v>
      </c>
      <c r="DS3960" s="5" t="s">
        <v>731</v>
      </c>
      <c r="DT3960" s="5" t="s">
        <v>240</v>
      </c>
      <c r="DU3960" s="5" t="s">
        <v>240</v>
      </c>
      <c r="GN3960" s="5" t="s">
        <v>7192</v>
      </c>
      <c r="HR3960" s="5" t="s">
        <v>240</v>
      </c>
      <c r="HS3960" s="5" t="s">
        <v>240</v>
      </c>
      <c r="HT3960" s="5" t="s">
        <v>240</v>
      </c>
      <c r="HU3960" s="5" t="s">
        <v>240</v>
      </c>
      <c r="HV3960" s="5" t="s">
        <v>240</v>
      </c>
      <c r="HW3960" s="5" t="s">
        <v>240</v>
      </c>
      <c r="HX3960" s="5" t="s">
        <v>240</v>
      </c>
      <c r="HY3960" s="5" t="s">
        <v>240</v>
      </c>
      <c r="HZ3960" s="5" t="s">
        <v>240</v>
      </c>
      <c r="IA3960" s="5" t="s">
        <v>240</v>
      </c>
      <c r="IB3960" s="5" t="s">
        <v>240</v>
      </c>
      <c r="IC3960" s="5" t="s">
        <v>240</v>
      </c>
      <c r="ID3960" s="5" t="s">
        <v>240</v>
      </c>
      <c r="IE3960" s="5" t="s">
        <v>240</v>
      </c>
      <c r="IF3960" s="5" t="s">
        <v>240</v>
      </c>
    </row>
    <row r="3961" spans="1:240" x14ac:dyDescent="0.4">
      <c r="A3961" s="5">
        <v>9507</v>
      </c>
      <c r="B3961" s="5">
        <v>1</v>
      </c>
      <c r="C3961" s="5">
        <v>1</v>
      </c>
      <c r="D3961" s="5" t="s">
        <v>810</v>
      </c>
      <c r="E3961" s="5" t="s">
        <v>245</v>
      </c>
      <c r="F3961" s="5" t="s">
        <v>254</v>
      </c>
      <c r="G3961" s="5" t="s">
        <v>726</v>
      </c>
      <c r="H3961" s="6" t="s">
        <v>7105</v>
      </c>
      <c r="I3961" s="5" t="s">
        <v>7105</v>
      </c>
      <c r="J3961" s="8">
        <f>2.76</f>
        <v>2.76</v>
      </c>
      <c r="K3961" s="5" t="s">
        <v>308</v>
      </c>
      <c r="L3961" s="7">
        <f>1</f>
        <v>1</v>
      </c>
      <c r="M3961" s="7">
        <f>1</f>
        <v>1</v>
      </c>
      <c r="N3961" s="5" t="s">
        <v>242</v>
      </c>
      <c r="O3961" s="5">
        <v>1</v>
      </c>
      <c r="P3961" s="5" t="s">
        <v>294</v>
      </c>
      <c r="Q3961" s="5" t="s">
        <v>2097</v>
      </c>
      <c r="T3961" s="5" t="s">
        <v>296</v>
      </c>
      <c r="U3961" s="5" t="s">
        <v>244</v>
      </c>
      <c r="V3961" s="5" t="s">
        <v>240</v>
      </c>
      <c r="Y3961" s="5" t="s">
        <v>246</v>
      </c>
      <c r="Z3961" s="6" t="s">
        <v>7100</v>
      </c>
      <c r="AA3961" s="6" t="s">
        <v>240</v>
      </c>
      <c r="AB3961" s="6" t="s">
        <v>240</v>
      </c>
      <c r="AC3961" s="5" t="s">
        <v>240</v>
      </c>
      <c r="AD3961" s="6" t="s">
        <v>240</v>
      </c>
      <c r="AE3961" s="6" t="s">
        <v>6740</v>
      </c>
      <c r="AF3961" s="5" t="s">
        <v>248</v>
      </c>
      <c r="AG3961" s="5" t="s">
        <v>249</v>
      </c>
      <c r="AM3961" s="5" t="s">
        <v>240</v>
      </c>
      <c r="AN3961" s="5" t="s">
        <v>240</v>
      </c>
      <c r="AO3961" s="5" t="s">
        <v>240</v>
      </c>
      <c r="AP3961" s="6" t="s">
        <v>240</v>
      </c>
      <c r="AQ3961" s="6" t="s">
        <v>240</v>
      </c>
      <c r="AR3961" s="6" t="s">
        <v>240</v>
      </c>
      <c r="AU3961" s="5" t="s">
        <v>729</v>
      </c>
      <c r="AV3961" s="5" t="s">
        <v>729</v>
      </c>
      <c r="AW3961" s="5" t="s">
        <v>251</v>
      </c>
      <c r="AX3961" s="5" t="s">
        <v>252</v>
      </c>
      <c r="AY3961" s="5" t="s">
        <v>253</v>
      </c>
      <c r="AZ3961" s="5" t="s">
        <v>6046</v>
      </c>
      <c r="BA3961" s="5" t="s">
        <v>255</v>
      </c>
      <c r="BB3961" s="5" t="s">
        <v>731</v>
      </c>
      <c r="BD3961" s="5" t="s">
        <v>842</v>
      </c>
      <c r="BF3961" s="5" t="s">
        <v>256</v>
      </c>
      <c r="BG3961" s="6" t="s">
        <v>7102</v>
      </c>
      <c r="BH3961" s="5" t="s">
        <v>6742</v>
      </c>
      <c r="BI3961" s="5" t="s">
        <v>6743</v>
      </c>
      <c r="BJ3961" s="5" t="s">
        <v>240</v>
      </c>
      <c r="BK3961" s="7">
        <f>0</f>
        <v>0</v>
      </c>
      <c r="BL3961" s="7">
        <f>100120</f>
        <v>100120</v>
      </c>
      <c r="BM3961" s="5" t="s">
        <v>258</v>
      </c>
      <c r="BN3961" s="5" t="s">
        <v>259</v>
      </c>
      <c r="BO3961" s="5" t="s">
        <v>6744</v>
      </c>
      <c r="BP3961" s="5" t="s">
        <v>6745</v>
      </c>
      <c r="BQ3961" s="5" t="s">
        <v>6746</v>
      </c>
      <c r="BR3961" s="5" t="s">
        <v>240</v>
      </c>
      <c r="BS3961" s="5" t="s">
        <v>258</v>
      </c>
      <c r="BT3961" s="5" t="s">
        <v>6747</v>
      </c>
      <c r="BU3961" s="5" t="s">
        <v>6747</v>
      </c>
      <c r="BW3961" s="6" t="s">
        <v>7194</v>
      </c>
      <c r="BX3961" s="5" t="s">
        <v>258</v>
      </c>
      <c r="BY3961" s="5" t="s">
        <v>240</v>
      </c>
      <c r="BZ3961" s="5" t="s">
        <v>240</v>
      </c>
      <c r="CA3961" s="5" t="s">
        <v>259</v>
      </c>
      <c r="CB3961" s="5" t="s">
        <v>240</v>
      </c>
      <c r="CC3961" s="5" t="s">
        <v>240</v>
      </c>
      <c r="CG3961" s="5" t="s">
        <v>240</v>
      </c>
      <c r="CH3961" s="5" t="s">
        <v>240</v>
      </c>
      <c r="CI3961" s="5" t="s">
        <v>260</v>
      </c>
      <c r="CK3961" s="5" t="s">
        <v>240</v>
      </c>
      <c r="CL3961" s="6" t="s">
        <v>261</v>
      </c>
      <c r="CM3961" s="5" t="s">
        <v>262</v>
      </c>
      <c r="CN3961" s="5" t="s">
        <v>263</v>
      </c>
      <c r="CO3961" s="5" t="s">
        <v>264</v>
      </c>
      <c r="CP3961" s="5" t="s">
        <v>240</v>
      </c>
      <c r="CQ3961" s="5">
        <v>0</v>
      </c>
      <c r="CR3961" s="5" t="s">
        <v>735</v>
      </c>
      <c r="CS3961" s="5" t="s">
        <v>307</v>
      </c>
      <c r="CT3961" s="5" t="s">
        <v>307</v>
      </c>
      <c r="CU3961" s="5" t="s">
        <v>260</v>
      </c>
      <c r="CV3961" s="5" t="s">
        <v>240</v>
      </c>
      <c r="CW3961" s="8">
        <f>225486</f>
        <v>225486</v>
      </c>
      <c r="CX3961" s="7">
        <f>225486</f>
        <v>225486</v>
      </c>
      <c r="CY3961" s="7">
        <f>0</f>
        <v>0</v>
      </c>
      <c r="CZ3961" s="7">
        <f>0</f>
        <v>0</v>
      </c>
      <c r="DA3961" s="7">
        <f>225486</f>
        <v>225486</v>
      </c>
      <c r="DB3961" s="7" t="s">
        <v>240</v>
      </c>
      <c r="DC3961" s="5" t="s">
        <v>240</v>
      </c>
      <c r="DD3961" s="5" t="s">
        <v>240</v>
      </c>
      <c r="DF3961" s="5" t="s">
        <v>240</v>
      </c>
      <c r="DG3961" s="7">
        <f>0</f>
        <v>0</v>
      </c>
      <c r="DH3961" s="6" t="s">
        <v>240</v>
      </c>
      <c r="DI3961" s="5" t="s">
        <v>240</v>
      </c>
      <c r="DJ3961" s="5" t="s">
        <v>240</v>
      </c>
      <c r="DK3961" s="5" t="s">
        <v>240</v>
      </c>
      <c r="DL3961" s="5" t="s">
        <v>240</v>
      </c>
      <c r="DM3961" s="5" t="s">
        <v>240</v>
      </c>
      <c r="DN3961" s="5" t="s">
        <v>240</v>
      </c>
      <c r="DO3961" s="7" t="s">
        <v>240</v>
      </c>
      <c r="DP3961" s="5" t="s">
        <v>240</v>
      </c>
      <c r="DQ3961" s="5" t="s">
        <v>248</v>
      </c>
      <c r="DR3961" s="5" t="s">
        <v>731</v>
      </c>
      <c r="DS3961" s="5" t="s">
        <v>731</v>
      </c>
      <c r="DT3961" s="5" t="s">
        <v>240</v>
      </c>
      <c r="DU3961" s="5" t="s">
        <v>240</v>
      </c>
      <c r="HR3961" s="5" t="s">
        <v>240</v>
      </c>
      <c r="HS3961" s="5" t="s">
        <v>240</v>
      </c>
      <c r="HT3961" s="5" t="s">
        <v>240</v>
      </c>
      <c r="HU3961" s="5" t="s">
        <v>240</v>
      </c>
      <c r="HV3961" s="5" t="s">
        <v>240</v>
      </c>
      <c r="HW3961" s="5" t="s">
        <v>240</v>
      </c>
      <c r="HX3961" s="5" t="s">
        <v>240</v>
      </c>
      <c r="HY3961" s="5" t="s">
        <v>240</v>
      </c>
      <c r="HZ3961" s="5" t="s">
        <v>240</v>
      </c>
      <c r="IA3961" s="5" t="s">
        <v>240</v>
      </c>
      <c r="IB3961" s="5" t="s">
        <v>240</v>
      </c>
      <c r="IC3961" s="5" t="s">
        <v>240</v>
      </c>
      <c r="ID3961" s="5" t="s">
        <v>240</v>
      </c>
      <c r="IE3961" s="5" t="s">
        <v>240</v>
      </c>
      <c r="IF3961" s="5" t="s">
        <v>240</v>
      </c>
    </row>
    <row r="3962" spans="1:240" x14ac:dyDescent="0.4">
      <c r="A3962" s="5">
        <v>9508</v>
      </c>
      <c r="B3962" s="5">
        <v>1</v>
      </c>
      <c r="C3962" s="5">
        <v>1</v>
      </c>
      <c r="D3962" s="5" t="s">
        <v>297</v>
      </c>
      <c r="E3962" s="5" t="s">
        <v>245</v>
      </c>
      <c r="F3962" s="5" t="s">
        <v>254</v>
      </c>
      <c r="G3962" s="5" t="s">
        <v>726</v>
      </c>
      <c r="H3962" s="6" t="s">
        <v>7184</v>
      </c>
      <c r="I3962" s="5" t="s">
        <v>7184</v>
      </c>
      <c r="J3962" s="8">
        <f>16</f>
        <v>16</v>
      </c>
      <c r="K3962" s="5" t="s">
        <v>308</v>
      </c>
      <c r="L3962" s="7">
        <f>1</f>
        <v>1</v>
      </c>
      <c r="M3962" s="7">
        <f>1</f>
        <v>1</v>
      </c>
      <c r="N3962" s="5" t="s">
        <v>242</v>
      </c>
      <c r="O3962" s="5">
        <v>1</v>
      </c>
      <c r="P3962" s="5" t="s">
        <v>294</v>
      </c>
      <c r="Q3962" s="5" t="s">
        <v>613</v>
      </c>
      <c r="T3962" s="5" t="s">
        <v>243</v>
      </c>
      <c r="U3962" s="5" t="s">
        <v>244</v>
      </c>
      <c r="V3962" s="5" t="s">
        <v>240</v>
      </c>
      <c r="Y3962" s="5" t="s">
        <v>240</v>
      </c>
      <c r="Z3962" s="6" t="s">
        <v>298</v>
      </c>
      <c r="AA3962" s="6" t="s">
        <v>240</v>
      </c>
      <c r="AB3962" s="6" t="s">
        <v>240</v>
      </c>
      <c r="AC3962" s="5" t="s">
        <v>240</v>
      </c>
      <c r="AD3962" s="6" t="s">
        <v>240</v>
      </c>
      <c r="AE3962" s="6" t="s">
        <v>299</v>
      </c>
      <c r="AF3962" s="5" t="s">
        <v>248</v>
      </c>
      <c r="AG3962" s="5" t="s">
        <v>249</v>
      </c>
      <c r="AM3962" s="5" t="s">
        <v>240</v>
      </c>
      <c r="AN3962" s="5" t="s">
        <v>240</v>
      </c>
      <c r="AO3962" s="5" t="s">
        <v>240</v>
      </c>
      <c r="AP3962" s="6" t="s">
        <v>240</v>
      </c>
      <c r="AQ3962" s="6" t="s">
        <v>240</v>
      </c>
      <c r="AW3962" s="5" t="s">
        <v>251</v>
      </c>
      <c r="AX3962" s="5" t="s">
        <v>252</v>
      </c>
      <c r="AY3962" s="5" t="s">
        <v>253</v>
      </c>
      <c r="AZ3962" s="5" t="s">
        <v>6046</v>
      </c>
      <c r="BA3962" s="5" t="s">
        <v>255</v>
      </c>
      <c r="BB3962" s="5" t="s">
        <v>731</v>
      </c>
      <c r="BD3962" s="5" t="s">
        <v>686</v>
      </c>
      <c r="BF3962" s="5" t="s">
        <v>301</v>
      </c>
      <c r="BG3962" s="6" t="s">
        <v>733</v>
      </c>
      <c r="BH3962" s="5" t="s">
        <v>302</v>
      </c>
      <c r="BI3962" s="5" t="s">
        <v>303</v>
      </c>
      <c r="BJ3962" s="5" t="s">
        <v>240</v>
      </c>
      <c r="BK3962" s="8">
        <f>0</f>
        <v>0</v>
      </c>
      <c r="BL3962" s="7">
        <f>0</f>
        <v>0</v>
      </c>
      <c r="BM3962" s="5" t="s">
        <v>258</v>
      </c>
      <c r="BN3962" s="5" t="s">
        <v>259</v>
      </c>
      <c r="BW3962" s="6" t="s">
        <v>240</v>
      </c>
      <c r="BX3962" s="5" t="s">
        <v>240</v>
      </c>
      <c r="BY3962" s="5" t="s">
        <v>240</v>
      </c>
      <c r="BZ3962" s="5" t="s">
        <v>240</v>
      </c>
      <c r="CB3962" s="5" t="s">
        <v>240</v>
      </c>
      <c r="CC3962" s="5" t="s">
        <v>240</v>
      </c>
      <c r="CG3962" s="5" t="s">
        <v>617</v>
      </c>
      <c r="CH3962" s="5" t="s">
        <v>305</v>
      </c>
      <c r="CI3962" s="5" t="s">
        <v>260</v>
      </c>
      <c r="CK3962" s="5" t="s">
        <v>240</v>
      </c>
      <c r="CL3962" s="6" t="s">
        <v>261</v>
      </c>
      <c r="CM3962" s="5" t="s">
        <v>240</v>
      </c>
      <c r="CN3962" s="5" t="s">
        <v>263</v>
      </c>
      <c r="CO3962" s="5" t="s">
        <v>240</v>
      </c>
      <c r="CP3962" s="5" t="s">
        <v>240</v>
      </c>
      <c r="CQ3962" s="5">
        <v>0</v>
      </c>
      <c r="CR3962" s="5" t="s">
        <v>735</v>
      </c>
      <c r="CS3962" s="5" t="s">
        <v>307</v>
      </c>
      <c r="CT3962" s="5" t="s">
        <v>307</v>
      </c>
      <c r="CU3962" s="5" t="s">
        <v>260</v>
      </c>
      <c r="CV3962" s="5" t="s">
        <v>240</v>
      </c>
      <c r="CW3962" s="8" t="s">
        <v>240</v>
      </c>
      <c r="CX3962" s="7">
        <f>10038380</f>
        <v>10038380</v>
      </c>
      <c r="CY3962" s="7">
        <f>0</f>
        <v>0</v>
      </c>
      <c r="CZ3962" s="7" t="s">
        <v>240</v>
      </c>
      <c r="DA3962" s="7">
        <f>0</f>
        <v>0</v>
      </c>
      <c r="DB3962" s="7" t="s">
        <v>240</v>
      </c>
      <c r="DC3962" s="5" t="s">
        <v>689</v>
      </c>
      <c r="DD3962" s="5" t="s">
        <v>240</v>
      </c>
      <c r="DF3962" s="5" t="s">
        <v>689</v>
      </c>
      <c r="DG3962" s="7">
        <f>4532</f>
        <v>4532</v>
      </c>
      <c r="DH3962" s="6" t="s">
        <v>240</v>
      </c>
      <c r="DI3962" s="5" t="s">
        <v>618</v>
      </c>
      <c r="DJ3962" s="5" t="s">
        <v>240</v>
      </c>
      <c r="DK3962" s="5" t="s">
        <v>240</v>
      </c>
      <c r="DL3962" s="5" t="s">
        <v>240</v>
      </c>
      <c r="DM3962" s="5" t="s">
        <v>240</v>
      </c>
      <c r="DN3962" s="5" t="s">
        <v>240</v>
      </c>
      <c r="DO3962" s="7" t="s">
        <v>240</v>
      </c>
      <c r="DP3962" s="5" t="s">
        <v>240</v>
      </c>
      <c r="DQ3962" s="5" t="s">
        <v>248</v>
      </c>
      <c r="DR3962" s="5" t="s">
        <v>731</v>
      </c>
      <c r="DS3962" s="5" t="s">
        <v>731</v>
      </c>
      <c r="DT3962" s="5" t="s">
        <v>240</v>
      </c>
      <c r="DU3962" s="5" t="s">
        <v>240</v>
      </c>
      <c r="DV3962" s="5" t="s">
        <v>6828</v>
      </c>
      <c r="DW3962" s="5" t="s">
        <v>620</v>
      </c>
    </row>
    <row r="3963" spans="1:240" x14ac:dyDescent="0.4">
      <c r="A3963" s="5">
        <v>9509</v>
      </c>
      <c r="B3963" s="5">
        <v>1</v>
      </c>
      <c r="C3963" s="5">
        <v>1</v>
      </c>
      <c r="D3963" s="5" t="s">
        <v>6881</v>
      </c>
      <c r="E3963" s="5" t="s">
        <v>245</v>
      </c>
      <c r="F3963" s="5" t="s">
        <v>254</v>
      </c>
      <c r="G3963" s="5" t="s">
        <v>726</v>
      </c>
      <c r="H3963" s="6" t="s">
        <v>6880</v>
      </c>
      <c r="I3963" s="5" t="s">
        <v>6880</v>
      </c>
      <c r="J3963" s="8">
        <f>5.39</f>
        <v>5.39</v>
      </c>
      <c r="K3963" s="5" t="s">
        <v>308</v>
      </c>
      <c r="L3963" s="7">
        <f>1</f>
        <v>1</v>
      </c>
      <c r="M3963" s="7">
        <f>1</f>
        <v>1</v>
      </c>
      <c r="N3963" s="5" t="s">
        <v>242</v>
      </c>
      <c r="O3963" s="5">
        <v>1</v>
      </c>
      <c r="P3963" s="5" t="s">
        <v>294</v>
      </c>
      <c r="Q3963" s="5" t="s">
        <v>240</v>
      </c>
      <c r="T3963" s="5" t="s">
        <v>240</v>
      </c>
      <c r="U3963" s="5" t="s">
        <v>240</v>
      </c>
      <c r="V3963" s="5" t="s">
        <v>240</v>
      </c>
      <c r="Y3963" s="5" t="s">
        <v>245</v>
      </c>
      <c r="Z3963" s="6" t="s">
        <v>7197</v>
      </c>
      <c r="AA3963" s="6" t="s">
        <v>240</v>
      </c>
      <c r="AB3963" s="6" t="s">
        <v>240</v>
      </c>
      <c r="AC3963" s="5" t="s">
        <v>240</v>
      </c>
      <c r="AD3963" s="6" t="s">
        <v>240</v>
      </c>
      <c r="AE3963" s="6" t="s">
        <v>7198</v>
      </c>
      <c r="AF3963" s="5" t="s">
        <v>248</v>
      </c>
      <c r="AG3963" s="5" t="s">
        <v>240</v>
      </c>
      <c r="AM3963" s="5" t="s">
        <v>240</v>
      </c>
      <c r="AN3963" s="5" t="s">
        <v>240</v>
      </c>
      <c r="AO3963" s="5" t="s">
        <v>240</v>
      </c>
      <c r="AP3963" s="6" t="s">
        <v>240</v>
      </c>
      <c r="AQ3963" s="6" t="s">
        <v>240</v>
      </c>
      <c r="AR3963" s="6" t="s">
        <v>240</v>
      </c>
      <c r="AU3963" s="5" t="s">
        <v>729</v>
      </c>
      <c r="AV3963" s="5" t="s">
        <v>729</v>
      </c>
      <c r="AW3963" s="5" t="s">
        <v>251</v>
      </c>
      <c r="AX3963" s="5" t="s">
        <v>252</v>
      </c>
      <c r="AY3963" s="5" t="s">
        <v>253</v>
      </c>
      <c r="AZ3963" s="5" t="s">
        <v>240</v>
      </c>
      <c r="BA3963" s="5" t="s">
        <v>255</v>
      </c>
      <c r="BB3963" s="5" t="s">
        <v>731</v>
      </c>
      <c r="BD3963" s="5" t="s">
        <v>240</v>
      </c>
      <c r="BF3963" s="5" t="s">
        <v>6763</v>
      </c>
      <c r="BG3963" s="6" t="s">
        <v>7198</v>
      </c>
      <c r="BH3963" s="5" t="s">
        <v>6742</v>
      </c>
      <c r="BI3963" s="5" t="s">
        <v>6743</v>
      </c>
      <c r="BJ3963" s="5" t="s">
        <v>240</v>
      </c>
      <c r="BK3963" s="8">
        <f>0</f>
        <v>0</v>
      </c>
      <c r="BL3963" s="7">
        <f>105056</f>
        <v>105056</v>
      </c>
      <c r="BM3963" s="5" t="s">
        <v>258</v>
      </c>
      <c r="BN3963" s="5" t="s">
        <v>259</v>
      </c>
      <c r="BO3963" s="5" t="s">
        <v>6744</v>
      </c>
      <c r="BP3963" s="5" t="s">
        <v>6745</v>
      </c>
      <c r="BQ3963" s="5" t="s">
        <v>6745</v>
      </c>
      <c r="BR3963" s="5" t="s">
        <v>240</v>
      </c>
      <c r="BS3963" s="5" t="s">
        <v>258</v>
      </c>
      <c r="BT3963" s="5" t="s">
        <v>6747</v>
      </c>
      <c r="BU3963" s="5" t="s">
        <v>6747</v>
      </c>
      <c r="BW3963" s="6" t="s">
        <v>7199</v>
      </c>
      <c r="BX3963" s="5" t="s">
        <v>258</v>
      </c>
      <c r="BY3963" s="5" t="s">
        <v>240</v>
      </c>
      <c r="BZ3963" s="5" t="s">
        <v>240</v>
      </c>
      <c r="CA3963" s="5" t="s">
        <v>259</v>
      </c>
      <c r="CB3963" s="5" t="s">
        <v>240</v>
      </c>
      <c r="CC3963" s="5" t="s">
        <v>240</v>
      </c>
      <c r="CG3963" s="5" t="s">
        <v>240</v>
      </c>
      <c r="CH3963" s="5" t="s">
        <v>240</v>
      </c>
      <c r="CI3963" s="5" t="s">
        <v>260</v>
      </c>
      <c r="CK3963" s="5" t="s">
        <v>240</v>
      </c>
      <c r="CL3963" s="6" t="s">
        <v>261</v>
      </c>
      <c r="CM3963" s="5" t="s">
        <v>262</v>
      </c>
      <c r="CN3963" s="5" t="s">
        <v>293</v>
      </c>
      <c r="CO3963" s="5" t="s">
        <v>264</v>
      </c>
      <c r="CP3963" s="5" t="s">
        <v>240</v>
      </c>
      <c r="CQ3963" s="5">
        <v>0</v>
      </c>
      <c r="CR3963" s="5" t="s">
        <v>240</v>
      </c>
      <c r="CS3963" s="5" t="s">
        <v>240</v>
      </c>
      <c r="CT3963" s="5" t="s">
        <v>240</v>
      </c>
      <c r="CU3963" s="5" t="s">
        <v>260</v>
      </c>
      <c r="CV3963" s="5" t="s">
        <v>240</v>
      </c>
      <c r="CW3963" s="8">
        <f>2800</f>
        <v>2800</v>
      </c>
      <c r="CX3963" s="7">
        <f>210112</f>
        <v>210112</v>
      </c>
      <c r="CY3963" s="7">
        <f>0</f>
        <v>0</v>
      </c>
      <c r="CZ3963" s="7">
        <f>0</f>
        <v>0</v>
      </c>
      <c r="DA3963" s="7">
        <f>105056</f>
        <v>105056</v>
      </c>
      <c r="DB3963" s="7" t="s">
        <v>240</v>
      </c>
      <c r="DC3963" s="5" t="s">
        <v>240</v>
      </c>
      <c r="DD3963" s="5" t="s">
        <v>240</v>
      </c>
      <c r="DF3963" s="5" t="s">
        <v>240</v>
      </c>
      <c r="DG3963" s="7">
        <f>0</f>
        <v>0</v>
      </c>
      <c r="DH3963" s="6" t="s">
        <v>240</v>
      </c>
      <c r="DI3963" s="5" t="s">
        <v>240</v>
      </c>
      <c r="DJ3963" s="5" t="s">
        <v>240</v>
      </c>
      <c r="DK3963" s="5" t="s">
        <v>240</v>
      </c>
      <c r="DL3963" s="5" t="s">
        <v>240</v>
      </c>
      <c r="DM3963" s="5" t="s">
        <v>240</v>
      </c>
      <c r="DN3963" s="5" t="s">
        <v>240</v>
      </c>
      <c r="DO3963" s="7" t="s">
        <v>240</v>
      </c>
      <c r="DP3963" s="5" t="s">
        <v>240</v>
      </c>
      <c r="DQ3963" s="5" t="s">
        <v>248</v>
      </c>
      <c r="DR3963" s="5" t="s">
        <v>731</v>
      </c>
      <c r="DS3963" s="5" t="s">
        <v>731</v>
      </c>
      <c r="DT3963" s="5" t="s">
        <v>240</v>
      </c>
      <c r="DU3963" s="5" t="s">
        <v>240</v>
      </c>
      <c r="GN3963" s="5" t="s">
        <v>7200</v>
      </c>
      <c r="HR3963" s="5" t="s">
        <v>240</v>
      </c>
      <c r="HS3963" s="5" t="s">
        <v>240</v>
      </c>
      <c r="HT3963" s="5" t="s">
        <v>240</v>
      </c>
      <c r="HU3963" s="5" t="s">
        <v>240</v>
      </c>
      <c r="HV3963" s="5" t="s">
        <v>240</v>
      </c>
      <c r="HW3963" s="5" t="s">
        <v>240</v>
      </c>
      <c r="HX3963" s="5" t="s">
        <v>240</v>
      </c>
      <c r="HY3963" s="5" t="s">
        <v>240</v>
      </c>
      <c r="HZ3963" s="5" t="s">
        <v>240</v>
      </c>
      <c r="IA3963" s="5" t="s">
        <v>240</v>
      </c>
      <c r="IB3963" s="5" t="s">
        <v>240</v>
      </c>
      <c r="IC3963" s="5" t="s">
        <v>240</v>
      </c>
      <c r="ID3963" s="5" t="s">
        <v>240</v>
      </c>
      <c r="IE3963" s="5" t="s">
        <v>240</v>
      </c>
      <c r="IF3963" s="5" t="s">
        <v>240</v>
      </c>
    </row>
    <row r="3964" spans="1:240" x14ac:dyDescent="0.4">
      <c r="A3964" s="5">
        <v>9517</v>
      </c>
      <c r="B3964" s="5">
        <v>1</v>
      </c>
      <c r="C3964" s="5">
        <v>1</v>
      </c>
      <c r="D3964" s="5" t="s">
        <v>810</v>
      </c>
      <c r="E3964" s="5" t="s">
        <v>245</v>
      </c>
      <c r="F3964" s="5" t="s">
        <v>254</v>
      </c>
      <c r="G3964" s="5" t="s">
        <v>726</v>
      </c>
      <c r="H3964" s="6" t="s">
        <v>7011</v>
      </c>
      <c r="I3964" s="5" t="s">
        <v>809</v>
      </c>
      <c r="J3964" s="8">
        <f>273</f>
        <v>273</v>
      </c>
      <c r="K3964" s="5" t="s">
        <v>308</v>
      </c>
      <c r="L3964" s="7">
        <f>331422</f>
        <v>331422</v>
      </c>
      <c r="M3964" s="7">
        <f>331422</f>
        <v>331422</v>
      </c>
      <c r="N3964" s="5" t="s">
        <v>242</v>
      </c>
      <c r="O3964" s="5">
        <v>1</v>
      </c>
      <c r="P3964" s="5" t="s">
        <v>294</v>
      </c>
      <c r="Q3964" s="5" t="s">
        <v>613</v>
      </c>
      <c r="T3964" s="5" t="s">
        <v>243</v>
      </c>
      <c r="U3964" s="5" t="s">
        <v>724</v>
      </c>
      <c r="V3964" s="5" t="s">
        <v>240</v>
      </c>
      <c r="Y3964" s="5" t="s">
        <v>5060</v>
      </c>
      <c r="Z3964" s="6" t="s">
        <v>2736</v>
      </c>
      <c r="AA3964" s="6" t="s">
        <v>240</v>
      </c>
      <c r="AB3964" s="6" t="s">
        <v>240</v>
      </c>
      <c r="AC3964" s="5" t="s">
        <v>240</v>
      </c>
      <c r="AD3964" s="6" t="s">
        <v>240</v>
      </c>
      <c r="AE3964" s="6" t="s">
        <v>6898</v>
      </c>
      <c r="AF3964" s="5" t="s">
        <v>248</v>
      </c>
      <c r="AG3964" s="5" t="s">
        <v>249</v>
      </c>
      <c r="AM3964" s="5" t="s">
        <v>240</v>
      </c>
      <c r="AN3964" s="5" t="s">
        <v>240</v>
      </c>
      <c r="AO3964" s="5" t="s">
        <v>240</v>
      </c>
      <c r="AP3964" s="6" t="s">
        <v>240</v>
      </c>
      <c r="AQ3964" s="6" t="s">
        <v>240</v>
      </c>
      <c r="AR3964" s="6" t="s">
        <v>240</v>
      </c>
      <c r="AU3964" s="5" t="s">
        <v>729</v>
      </c>
      <c r="AV3964" s="5" t="s">
        <v>729</v>
      </c>
      <c r="AW3964" s="5" t="s">
        <v>251</v>
      </c>
      <c r="AX3964" s="5" t="s">
        <v>252</v>
      </c>
      <c r="AY3964" s="5" t="s">
        <v>253</v>
      </c>
      <c r="AZ3964" s="5" t="s">
        <v>6046</v>
      </c>
      <c r="BA3964" s="5" t="s">
        <v>255</v>
      </c>
      <c r="BB3964" s="5" t="s">
        <v>731</v>
      </c>
      <c r="BD3964" s="5" t="s">
        <v>3167</v>
      </c>
      <c r="BF3964" s="5" t="s">
        <v>732</v>
      </c>
      <c r="BG3964" s="6" t="s">
        <v>6901</v>
      </c>
      <c r="BH3964" s="5" t="s">
        <v>734</v>
      </c>
      <c r="BI3964" s="5" t="s">
        <v>734</v>
      </c>
      <c r="BJ3964" s="5" t="s">
        <v>240</v>
      </c>
      <c r="BK3964" s="8">
        <f>1287</f>
        <v>1287</v>
      </c>
      <c r="BL3964" s="7">
        <f>8273571</f>
        <v>8273571</v>
      </c>
      <c r="BM3964" s="5" t="s">
        <v>258</v>
      </c>
      <c r="BN3964" s="5" t="s">
        <v>259</v>
      </c>
      <c r="BO3964" s="5" t="s">
        <v>240</v>
      </c>
      <c r="BP3964" s="5" t="s">
        <v>240</v>
      </c>
      <c r="BQ3964" s="5" t="s">
        <v>240</v>
      </c>
      <c r="BR3964" s="5" t="s">
        <v>240</v>
      </c>
      <c r="BW3964" s="6" t="s">
        <v>240</v>
      </c>
      <c r="BX3964" s="5" t="s">
        <v>240</v>
      </c>
      <c r="BY3964" s="5" t="s">
        <v>240</v>
      </c>
      <c r="BZ3964" s="5" t="s">
        <v>240</v>
      </c>
      <c r="CA3964" s="5" t="s">
        <v>259</v>
      </c>
      <c r="CB3964" s="5" t="s">
        <v>240</v>
      </c>
      <c r="CC3964" s="5" t="s">
        <v>240</v>
      </c>
      <c r="CG3964" s="5" t="s">
        <v>617</v>
      </c>
      <c r="CH3964" s="5" t="s">
        <v>305</v>
      </c>
      <c r="CI3964" s="5" t="s">
        <v>260</v>
      </c>
      <c r="CK3964" s="5" t="s">
        <v>240</v>
      </c>
      <c r="CL3964" s="6" t="s">
        <v>261</v>
      </c>
      <c r="CM3964" s="5" t="s">
        <v>262</v>
      </c>
      <c r="CN3964" s="5" t="s">
        <v>263</v>
      </c>
      <c r="CO3964" s="5" t="s">
        <v>264</v>
      </c>
      <c r="CP3964" s="5" t="s">
        <v>240</v>
      </c>
      <c r="CQ3964" s="5">
        <v>0</v>
      </c>
      <c r="CR3964" s="5" t="s">
        <v>735</v>
      </c>
      <c r="CS3964" s="5" t="s">
        <v>307</v>
      </c>
      <c r="CT3964" s="5" t="s">
        <v>307</v>
      </c>
      <c r="CU3964" s="5" t="s">
        <v>260</v>
      </c>
      <c r="CV3964" s="5" t="s">
        <v>240</v>
      </c>
      <c r="CW3964" s="8">
        <f>6429</f>
        <v>6429</v>
      </c>
      <c r="CX3964" s="7">
        <f>8273571</f>
        <v>8273571</v>
      </c>
      <c r="CY3964" s="7">
        <f>0</f>
        <v>0</v>
      </c>
      <c r="CZ3964" s="7">
        <f>0</f>
        <v>0</v>
      </c>
      <c r="DA3964" s="7">
        <f>8273571</f>
        <v>8273571</v>
      </c>
      <c r="DB3964" s="7" t="s">
        <v>240</v>
      </c>
      <c r="DC3964" s="5" t="s">
        <v>240</v>
      </c>
      <c r="DD3964" s="5" t="s">
        <v>240</v>
      </c>
      <c r="DF3964" s="5" t="s">
        <v>689</v>
      </c>
      <c r="DG3964" s="7">
        <f>1287</f>
        <v>1287</v>
      </c>
      <c r="DH3964" s="6" t="s">
        <v>6901</v>
      </c>
      <c r="DI3964" s="5" t="s">
        <v>618</v>
      </c>
      <c r="DJ3964" s="5" t="s">
        <v>240</v>
      </c>
      <c r="DK3964" s="5" t="s">
        <v>240</v>
      </c>
      <c r="DL3964" s="5" t="s">
        <v>240</v>
      </c>
      <c r="DM3964" s="5" t="s">
        <v>240</v>
      </c>
      <c r="DN3964" s="5" t="s">
        <v>240</v>
      </c>
      <c r="DO3964" s="7" t="s">
        <v>240</v>
      </c>
      <c r="DP3964" s="5" t="s">
        <v>240</v>
      </c>
      <c r="DQ3964" s="5" t="s">
        <v>248</v>
      </c>
      <c r="DR3964" s="5" t="s">
        <v>731</v>
      </c>
      <c r="DS3964" s="5" t="s">
        <v>731</v>
      </c>
      <c r="DT3964" s="5" t="s">
        <v>240</v>
      </c>
      <c r="DU3964" s="5" t="s">
        <v>240</v>
      </c>
      <c r="HR3964" s="5" t="s">
        <v>240</v>
      </c>
      <c r="HS3964" s="5" t="s">
        <v>240</v>
      </c>
      <c r="HT3964" s="5" t="s">
        <v>240</v>
      </c>
      <c r="HU3964" s="5" t="s">
        <v>240</v>
      </c>
      <c r="HV3964" s="5" t="s">
        <v>240</v>
      </c>
      <c r="HW3964" s="5" t="s">
        <v>240</v>
      </c>
      <c r="HX3964" s="5" t="s">
        <v>240</v>
      </c>
      <c r="HY3964" s="5" t="s">
        <v>240</v>
      </c>
      <c r="HZ3964" s="5" t="s">
        <v>240</v>
      </c>
      <c r="IA3964" s="5" t="s">
        <v>240</v>
      </c>
      <c r="IB3964" s="5" t="s">
        <v>240</v>
      </c>
      <c r="IC3964" s="5" t="s">
        <v>240</v>
      </c>
      <c r="ID3964" s="5" t="s">
        <v>240</v>
      </c>
      <c r="IE3964" s="5" t="s">
        <v>240</v>
      </c>
      <c r="IF3964" s="5" t="s">
        <v>240</v>
      </c>
    </row>
    <row r="3965" spans="1:240" x14ac:dyDescent="0.4">
      <c r="A3965" s="5">
        <v>9520</v>
      </c>
      <c r="B3965" s="5">
        <v>1</v>
      </c>
      <c r="C3965" s="5">
        <v>3</v>
      </c>
      <c r="D3965" s="5" t="s">
        <v>297</v>
      </c>
      <c r="E3965" s="5" t="s">
        <v>245</v>
      </c>
      <c r="F3965" s="5" t="s">
        <v>254</v>
      </c>
      <c r="G3965" s="5" t="s">
        <v>726</v>
      </c>
      <c r="H3965" s="6" t="s">
        <v>7101</v>
      </c>
      <c r="I3965" s="5" t="s">
        <v>7193</v>
      </c>
      <c r="J3965" s="7">
        <f>1</f>
        <v>1</v>
      </c>
      <c r="K3965" s="5" t="s">
        <v>6749</v>
      </c>
      <c r="L3965" s="7">
        <f>225486</f>
        <v>225486</v>
      </c>
      <c r="M3965" s="7">
        <f>225486</f>
        <v>225486</v>
      </c>
      <c r="N3965" s="5" t="s">
        <v>242</v>
      </c>
      <c r="O3965" s="5">
        <v>1</v>
      </c>
      <c r="P3965" s="5" t="s">
        <v>294</v>
      </c>
      <c r="Q3965" s="5" t="s">
        <v>240</v>
      </c>
      <c r="T3965" s="5" t="s">
        <v>240</v>
      </c>
      <c r="U3965" s="5" t="s">
        <v>240</v>
      </c>
      <c r="V3965" s="5" t="s">
        <v>240</v>
      </c>
      <c r="Y3965" s="5" t="s">
        <v>246</v>
      </c>
      <c r="Z3965" s="6" t="s">
        <v>6760</v>
      </c>
      <c r="AA3965" s="6" t="s">
        <v>240</v>
      </c>
      <c r="AB3965" s="6" t="s">
        <v>240</v>
      </c>
      <c r="AC3965" s="5" t="s">
        <v>240</v>
      </c>
      <c r="AD3965" s="6" t="s">
        <v>240</v>
      </c>
      <c r="AE3965" s="6" t="s">
        <v>6760</v>
      </c>
      <c r="AF3965" s="5" t="s">
        <v>248</v>
      </c>
      <c r="AG3965" s="5" t="s">
        <v>240</v>
      </c>
      <c r="AM3965" s="5" t="s">
        <v>240</v>
      </c>
      <c r="AN3965" s="5" t="s">
        <v>240</v>
      </c>
      <c r="AO3965" s="5" t="s">
        <v>240</v>
      </c>
      <c r="AP3965" s="6" t="s">
        <v>240</v>
      </c>
      <c r="AQ3965" s="6" t="s">
        <v>240</v>
      </c>
      <c r="AR3965" s="6" t="s">
        <v>240</v>
      </c>
      <c r="AU3965" s="5" t="s">
        <v>729</v>
      </c>
      <c r="AV3965" s="5" t="s">
        <v>729</v>
      </c>
      <c r="AW3965" s="5" t="s">
        <v>251</v>
      </c>
      <c r="AX3965" s="5" t="s">
        <v>252</v>
      </c>
      <c r="AY3965" s="5" t="s">
        <v>253</v>
      </c>
      <c r="AZ3965" s="5" t="s">
        <v>240</v>
      </c>
      <c r="BA3965" s="5" t="s">
        <v>255</v>
      </c>
      <c r="BB3965" s="5" t="s">
        <v>731</v>
      </c>
      <c r="BD3965" s="5" t="s">
        <v>240</v>
      </c>
      <c r="BF3965" s="5" t="s">
        <v>6763</v>
      </c>
      <c r="BG3965" s="6" t="s">
        <v>6764</v>
      </c>
      <c r="BH3965" s="5" t="s">
        <v>6742</v>
      </c>
      <c r="BI3965" s="5" t="s">
        <v>6743</v>
      </c>
      <c r="BJ3965" s="5" t="s">
        <v>240</v>
      </c>
      <c r="BK3965" s="7">
        <f>0</f>
        <v>0</v>
      </c>
      <c r="BL3965" s="7">
        <f>956112</f>
        <v>956112</v>
      </c>
      <c r="BM3965" s="5" t="s">
        <v>258</v>
      </c>
      <c r="BN3965" s="5" t="s">
        <v>259</v>
      </c>
      <c r="BO3965" s="5" t="s">
        <v>6744</v>
      </c>
      <c r="BP3965" s="5" t="s">
        <v>6745</v>
      </c>
      <c r="BQ3965" s="5" t="s">
        <v>6746</v>
      </c>
      <c r="BR3965" s="5" t="s">
        <v>240</v>
      </c>
      <c r="BS3965" s="5" t="s">
        <v>258</v>
      </c>
      <c r="BT3965" s="5" t="s">
        <v>6747</v>
      </c>
      <c r="BU3965" s="5" t="s">
        <v>6747</v>
      </c>
      <c r="BW3965" s="6" t="s">
        <v>7205</v>
      </c>
      <c r="BX3965" s="5" t="s">
        <v>258</v>
      </c>
      <c r="BY3965" s="5" t="s">
        <v>240</v>
      </c>
      <c r="BZ3965" s="5" t="s">
        <v>240</v>
      </c>
      <c r="CA3965" s="5" t="s">
        <v>259</v>
      </c>
      <c r="CB3965" s="5" t="s">
        <v>240</v>
      </c>
      <c r="CC3965" s="5" t="s">
        <v>240</v>
      </c>
      <c r="CG3965" s="5" t="s">
        <v>240</v>
      </c>
      <c r="CH3965" s="5" t="s">
        <v>240</v>
      </c>
      <c r="CI3965" s="5" t="s">
        <v>260</v>
      </c>
      <c r="CK3965" s="5" t="s">
        <v>240</v>
      </c>
      <c r="CL3965" s="6" t="s">
        <v>261</v>
      </c>
      <c r="CM3965" s="5" t="s">
        <v>262</v>
      </c>
      <c r="CN3965" s="5" t="s">
        <v>293</v>
      </c>
      <c r="CO3965" s="5" t="s">
        <v>264</v>
      </c>
      <c r="CP3965" s="5" t="s">
        <v>240</v>
      </c>
      <c r="CQ3965" s="5">
        <v>0</v>
      </c>
      <c r="CR3965" s="5" t="s">
        <v>240</v>
      </c>
      <c r="CS3965" s="5" t="s">
        <v>240</v>
      </c>
      <c r="CT3965" s="5" t="s">
        <v>240</v>
      </c>
      <c r="CU3965" s="5" t="s">
        <v>260</v>
      </c>
      <c r="CV3965" s="5" t="s">
        <v>240</v>
      </c>
      <c r="CW3965" s="8">
        <f>956112</f>
        <v>956112</v>
      </c>
      <c r="CX3965" s="7">
        <f>956112</f>
        <v>956112</v>
      </c>
      <c r="CY3965" s="7">
        <f>0</f>
        <v>0</v>
      </c>
      <c r="CZ3965" s="7">
        <f>0</f>
        <v>0</v>
      </c>
      <c r="DA3965" s="7">
        <f>956112</f>
        <v>956112</v>
      </c>
      <c r="DB3965" s="7" t="s">
        <v>240</v>
      </c>
      <c r="DC3965" s="5" t="s">
        <v>240</v>
      </c>
      <c r="DD3965" s="5" t="s">
        <v>240</v>
      </c>
      <c r="DF3965" s="5" t="s">
        <v>240</v>
      </c>
      <c r="DG3965" s="7">
        <f>0</f>
        <v>0</v>
      </c>
      <c r="DH3965" s="6" t="s">
        <v>240</v>
      </c>
      <c r="DI3965" s="5" t="s">
        <v>240</v>
      </c>
      <c r="DJ3965" s="5" t="s">
        <v>240</v>
      </c>
      <c r="DK3965" s="5" t="s">
        <v>240</v>
      </c>
      <c r="DL3965" s="5" t="s">
        <v>240</v>
      </c>
      <c r="DM3965" s="5" t="s">
        <v>240</v>
      </c>
      <c r="DN3965" s="5" t="s">
        <v>240</v>
      </c>
      <c r="DO3965" s="7" t="s">
        <v>240</v>
      </c>
      <c r="DP3965" s="5" t="s">
        <v>240</v>
      </c>
      <c r="DQ3965" s="5" t="s">
        <v>248</v>
      </c>
      <c r="DR3965" s="5" t="s">
        <v>731</v>
      </c>
      <c r="DS3965" s="5" t="s">
        <v>731</v>
      </c>
      <c r="DT3965" s="5" t="s">
        <v>240</v>
      </c>
      <c r="DU3965" s="5" t="s">
        <v>240</v>
      </c>
      <c r="GN3965" s="5" t="s">
        <v>7206</v>
      </c>
      <c r="HR3965" s="5" t="s">
        <v>240</v>
      </c>
      <c r="HS3965" s="5" t="s">
        <v>240</v>
      </c>
      <c r="HT3965" s="5" t="s">
        <v>240</v>
      </c>
      <c r="HU3965" s="5" t="s">
        <v>240</v>
      </c>
      <c r="HV3965" s="5" t="s">
        <v>240</v>
      </c>
      <c r="HW3965" s="5" t="s">
        <v>240</v>
      </c>
      <c r="HX3965" s="5" t="s">
        <v>240</v>
      </c>
      <c r="HY3965" s="5" t="s">
        <v>240</v>
      </c>
      <c r="HZ3965" s="5" t="s">
        <v>240</v>
      </c>
      <c r="IA3965" s="5" t="s">
        <v>240</v>
      </c>
      <c r="IB3965" s="5" t="s">
        <v>240</v>
      </c>
      <c r="IC3965" s="5" t="s">
        <v>240</v>
      </c>
      <c r="ID3965" s="5" t="s">
        <v>240</v>
      </c>
      <c r="IE3965" s="5" t="s">
        <v>240</v>
      </c>
      <c r="IF3965" s="5" t="s">
        <v>240</v>
      </c>
    </row>
    <row r="3966" spans="1:240" x14ac:dyDescent="0.4">
      <c r="A3966" s="5">
        <v>9522</v>
      </c>
      <c r="B3966" s="5">
        <v>1</v>
      </c>
      <c r="C3966" s="5">
        <v>2</v>
      </c>
      <c r="D3966" s="5" t="s">
        <v>297</v>
      </c>
      <c r="E3966" s="5" t="s">
        <v>245</v>
      </c>
      <c r="F3966" s="5" t="s">
        <v>254</v>
      </c>
      <c r="G3966" s="5" t="s">
        <v>726</v>
      </c>
      <c r="H3966" s="6" t="s">
        <v>282</v>
      </c>
      <c r="I3966" s="5" t="s">
        <v>7157</v>
      </c>
      <c r="J3966" s="7">
        <f>1</f>
        <v>1</v>
      </c>
      <c r="K3966" s="5" t="s">
        <v>6749</v>
      </c>
      <c r="L3966" s="7">
        <f>37540</f>
        <v>37540</v>
      </c>
      <c r="M3966" s="7">
        <f>37540</f>
        <v>37540</v>
      </c>
      <c r="N3966" s="5" t="s">
        <v>242</v>
      </c>
      <c r="O3966" s="5">
        <v>1</v>
      </c>
      <c r="P3966" s="5" t="s">
        <v>294</v>
      </c>
      <c r="Q3966" s="5" t="s">
        <v>240</v>
      </c>
      <c r="T3966" s="5" t="s">
        <v>296</v>
      </c>
      <c r="U3966" s="5" t="s">
        <v>244</v>
      </c>
      <c r="V3966" s="5" t="s">
        <v>240</v>
      </c>
      <c r="Y3966" s="5" t="s">
        <v>240</v>
      </c>
      <c r="Z3966" s="6" t="s">
        <v>7208</v>
      </c>
      <c r="AA3966" s="6" t="s">
        <v>240</v>
      </c>
      <c r="AB3966" s="6" t="s">
        <v>240</v>
      </c>
      <c r="AC3966" s="5" t="s">
        <v>240</v>
      </c>
      <c r="AD3966" s="6" t="s">
        <v>240</v>
      </c>
      <c r="AE3966" s="6" t="s">
        <v>240</v>
      </c>
      <c r="AF3966" s="5" t="s">
        <v>248</v>
      </c>
      <c r="AG3966" s="5" t="s">
        <v>249</v>
      </c>
      <c r="AM3966" s="5" t="s">
        <v>240</v>
      </c>
      <c r="AN3966" s="5" t="s">
        <v>240</v>
      </c>
      <c r="AO3966" s="5" t="s">
        <v>240</v>
      </c>
      <c r="AP3966" s="6" t="s">
        <v>240</v>
      </c>
      <c r="AQ3966" s="6" t="s">
        <v>240</v>
      </c>
      <c r="AR3966" s="6" t="s">
        <v>240</v>
      </c>
      <c r="AU3966" s="5" t="s">
        <v>729</v>
      </c>
      <c r="AV3966" s="5" t="s">
        <v>729</v>
      </c>
      <c r="AW3966" s="5" t="s">
        <v>251</v>
      </c>
      <c r="AX3966" s="5" t="s">
        <v>252</v>
      </c>
      <c r="AY3966" s="5" t="s">
        <v>253</v>
      </c>
      <c r="AZ3966" s="5" t="s">
        <v>6046</v>
      </c>
      <c r="BA3966" s="5" t="s">
        <v>255</v>
      </c>
      <c r="BB3966" s="5" t="s">
        <v>731</v>
      </c>
      <c r="BD3966" s="5" t="s">
        <v>842</v>
      </c>
      <c r="BF3966" s="5" t="s">
        <v>256</v>
      </c>
      <c r="BG3966" s="6" t="s">
        <v>7208</v>
      </c>
      <c r="BH3966" s="5" t="s">
        <v>6799</v>
      </c>
      <c r="BI3966" s="5" t="s">
        <v>6799</v>
      </c>
      <c r="BJ3966" s="5" t="s">
        <v>240</v>
      </c>
      <c r="BK3966" s="8">
        <f>5.09</f>
        <v>5.09</v>
      </c>
      <c r="BL3966" s="7">
        <f>1</f>
        <v>1</v>
      </c>
      <c r="BM3966" s="5" t="s">
        <v>258</v>
      </c>
      <c r="BN3966" s="5" t="s">
        <v>259</v>
      </c>
      <c r="BO3966" s="5" t="s">
        <v>240</v>
      </c>
      <c r="BP3966" s="5" t="s">
        <v>240</v>
      </c>
      <c r="BQ3966" s="5" t="s">
        <v>240</v>
      </c>
      <c r="BR3966" s="5" t="s">
        <v>240</v>
      </c>
      <c r="BW3966" s="6" t="s">
        <v>240</v>
      </c>
      <c r="BX3966" s="5" t="s">
        <v>240</v>
      </c>
      <c r="BY3966" s="5" t="s">
        <v>240</v>
      </c>
      <c r="BZ3966" s="5" t="s">
        <v>240</v>
      </c>
      <c r="CA3966" s="5" t="s">
        <v>259</v>
      </c>
      <c r="CB3966" s="5" t="s">
        <v>240</v>
      </c>
      <c r="CC3966" s="5" t="s">
        <v>240</v>
      </c>
      <c r="CG3966" s="5" t="s">
        <v>240</v>
      </c>
      <c r="CH3966" s="5" t="s">
        <v>240</v>
      </c>
      <c r="CI3966" s="5" t="s">
        <v>260</v>
      </c>
      <c r="CK3966" s="5" t="s">
        <v>240</v>
      </c>
      <c r="CL3966" s="6" t="s">
        <v>261</v>
      </c>
      <c r="CM3966" s="5" t="s">
        <v>262</v>
      </c>
      <c r="CN3966" s="5" t="s">
        <v>263</v>
      </c>
      <c r="CO3966" s="5" t="s">
        <v>264</v>
      </c>
      <c r="CP3966" s="5" t="s">
        <v>240</v>
      </c>
      <c r="CQ3966" s="5">
        <v>0</v>
      </c>
      <c r="CR3966" s="5" t="s">
        <v>735</v>
      </c>
      <c r="CS3966" s="5" t="s">
        <v>307</v>
      </c>
      <c r="CT3966" s="5" t="s">
        <v>307</v>
      </c>
      <c r="CU3966" s="5" t="s">
        <v>260</v>
      </c>
      <c r="CV3966" s="5" t="s">
        <v>240</v>
      </c>
      <c r="CW3966" s="8">
        <f>0</f>
        <v>0</v>
      </c>
      <c r="CX3966" s="7">
        <f>1</f>
        <v>1</v>
      </c>
      <c r="CY3966" s="7">
        <f>0</f>
        <v>0</v>
      </c>
      <c r="CZ3966" s="7">
        <f>0</f>
        <v>0</v>
      </c>
      <c r="DA3966" s="7">
        <f>1</f>
        <v>1</v>
      </c>
      <c r="DB3966" s="7" t="s">
        <v>240</v>
      </c>
      <c r="DC3966" s="5" t="s">
        <v>240</v>
      </c>
      <c r="DD3966" s="5" t="s">
        <v>240</v>
      </c>
      <c r="DF3966" s="5" t="s">
        <v>240</v>
      </c>
      <c r="DG3966" s="7">
        <f>0</f>
        <v>0</v>
      </c>
      <c r="DH3966" s="6" t="s">
        <v>240</v>
      </c>
      <c r="DI3966" s="5" t="s">
        <v>240</v>
      </c>
      <c r="DJ3966" s="5" t="s">
        <v>240</v>
      </c>
      <c r="DK3966" s="5" t="s">
        <v>240</v>
      </c>
      <c r="DL3966" s="5" t="s">
        <v>240</v>
      </c>
      <c r="DM3966" s="5" t="s">
        <v>240</v>
      </c>
      <c r="DN3966" s="5" t="s">
        <v>240</v>
      </c>
      <c r="DO3966" s="7" t="s">
        <v>240</v>
      </c>
      <c r="DP3966" s="5" t="s">
        <v>240</v>
      </c>
      <c r="DQ3966" s="5" t="s">
        <v>248</v>
      </c>
      <c r="DR3966" s="5" t="s">
        <v>731</v>
      </c>
      <c r="DS3966" s="5" t="s">
        <v>731</v>
      </c>
      <c r="DT3966" s="5" t="s">
        <v>240</v>
      </c>
      <c r="DU3966" s="5" t="s">
        <v>240</v>
      </c>
      <c r="HR3966" s="5" t="s">
        <v>240</v>
      </c>
      <c r="HS3966" s="5" t="s">
        <v>240</v>
      </c>
      <c r="HT3966" s="5" t="s">
        <v>240</v>
      </c>
      <c r="HU3966" s="5" t="s">
        <v>240</v>
      </c>
      <c r="HV3966" s="5" t="s">
        <v>240</v>
      </c>
      <c r="HW3966" s="5" t="s">
        <v>240</v>
      </c>
      <c r="HX3966" s="5" t="s">
        <v>240</v>
      </c>
      <c r="HY3966" s="5" t="s">
        <v>240</v>
      </c>
      <c r="HZ3966" s="5" t="s">
        <v>240</v>
      </c>
      <c r="IA3966" s="5" t="s">
        <v>240</v>
      </c>
      <c r="IB3966" s="5" t="s">
        <v>240</v>
      </c>
      <c r="IC3966" s="5" t="s">
        <v>240</v>
      </c>
      <c r="ID3966" s="5" t="s">
        <v>240</v>
      </c>
      <c r="IE3966" s="5" t="s">
        <v>240</v>
      </c>
      <c r="IF3966" s="5" t="s">
        <v>240</v>
      </c>
    </row>
    <row r="3967" spans="1:240" x14ac:dyDescent="0.4">
      <c r="A3967" s="5">
        <v>9523</v>
      </c>
      <c r="B3967" s="5">
        <v>1</v>
      </c>
      <c r="C3967" s="5">
        <v>2</v>
      </c>
      <c r="D3967" s="5" t="s">
        <v>297</v>
      </c>
      <c r="E3967" s="5" t="s">
        <v>245</v>
      </c>
      <c r="F3967" s="5" t="s">
        <v>254</v>
      </c>
      <c r="G3967" s="5" t="s">
        <v>726</v>
      </c>
      <c r="H3967" s="6" t="s">
        <v>7006</v>
      </c>
      <c r="I3967" s="5" t="s">
        <v>7005</v>
      </c>
      <c r="J3967" s="7">
        <f>1</f>
        <v>1</v>
      </c>
      <c r="K3967" s="5" t="s">
        <v>6749</v>
      </c>
      <c r="L3967" s="7">
        <f>556454</f>
        <v>556454</v>
      </c>
      <c r="M3967" s="7">
        <f>556454</f>
        <v>556454</v>
      </c>
      <c r="N3967" s="5" t="s">
        <v>242</v>
      </c>
      <c r="O3967" s="5">
        <v>1</v>
      </c>
      <c r="P3967" s="5" t="s">
        <v>294</v>
      </c>
      <c r="Q3967" s="5" t="s">
        <v>240</v>
      </c>
      <c r="T3967" s="5" t="s">
        <v>240</v>
      </c>
      <c r="U3967" s="5" t="s">
        <v>240</v>
      </c>
      <c r="V3967" s="5" t="s">
        <v>240</v>
      </c>
      <c r="Y3967" s="5" t="s">
        <v>240</v>
      </c>
      <c r="Z3967" s="6" t="s">
        <v>6893</v>
      </c>
      <c r="AA3967" s="6" t="s">
        <v>240</v>
      </c>
      <c r="AB3967" s="6" t="s">
        <v>240</v>
      </c>
      <c r="AC3967" s="5" t="s">
        <v>240</v>
      </c>
      <c r="AD3967" s="6" t="s">
        <v>240</v>
      </c>
      <c r="AE3967" s="6" t="s">
        <v>240</v>
      </c>
      <c r="AF3967" s="5" t="s">
        <v>248</v>
      </c>
      <c r="AG3967" s="5" t="s">
        <v>240</v>
      </c>
      <c r="AM3967" s="5" t="s">
        <v>240</v>
      </c>
      <c r="AN3967" s="5" t="s">
        <v>240</v>
      </c>
      <c r="AO3967" s="5" t="s">
        <v>240</v>
      </c>
      <c r="AP3967" s="6" t="s">
        <v>240</v>
      </c>
      <c r="AQ3967" s="6" t="s">
        <v>240</v>
      </c>
      <c r="AR3967" s="6" t="s">
        <v>240</v>
      </c>
      <c r="AT3967" s="5" t="s">
        <v>6907</v>
      </c>
      <c r="AU3967" s="5" t="s">
        <v>240</v>
      </c>
      <c r="AV3967" s="5" t="s">
        <v>240</v>
      </c>
      <c r="AW3967" s="5" t="s">
        <v>251</v>
      </c>
      <c r="AX3967" s="5" t="s">
        <v>252</v>
      </c>
      <c r="AY3967" s="5" t="s">
        <v>253</v>
      </c>
      <c r="AZ3967" s="5" t="s">
        <v>240</v>
      </c>
      <c r="BA3967" s="5" t="s">
        <v>6895</v>
      </c>
      <c r="BB3967" s="5" t="s">
        <v>731</v>
      </c>
      <c r="BD3967" s="5" t="s">
        <v>240</v>
      </c>
      <c r="BF3967" s="5" t="s">
        <v>6763</v>
      </c>
      <c r="BG3967" s="6" t="s">
        <v>6893</v>
      </c>
      <c r="BH3967" s="5" t="s">
        <v>734</v>
      </c>
      <c r="BI3967" s="5" t="s">
        <v>734</v>
      </c>
      <c r="BJ3967" s="5" t="s">
        <v>240</v>
      </c>
      <c r="BK3967" s="7">
        <f>0</f>
        <v>0</v>
      </c>
      <c r="BL3967" s="7">
        <f>847432</f>
        <v>847432</v>
      </c>
      <c r="BM3967" s="5" t="s">
        <v>258</v>
      </c>
      <c r="BN3967" s="5" t="s">
        <v>259</v>
      </c>
      <c r="BO3967" s="5" t="s">
        <v>240</v>
      </c>
      <c r="BP3967" s="5" t="s">
        <v>240</v>
      </c>
      <c r="BQ3967" s="5" t="s">
        <v>240</v>
      </c>
      <c r="BR3967" s="5" t="s">
        <v>240</v>
      </c>
      <c r="BW3967" s="6" t="s">
        <v>240</v>
      </c>
      <c r="BX3967" s="5" t="s">
        <v>240</v>
      </c>
      <c r="BY3967" s="5" t="s">
        <v>240</v>
      </c>
      <c r="BZ3967" s="5" t="s">
        <v>240</v>
      </c>
      <c r="CA3967" s="5" t="s">
        <v>259</v>
      </c>
      <c r="CB3967" s="5" t="s">
        <v>240</v>
      </c>
      <c r="CC3967" s="5" t="s">
        <v>240</v>
      </c>
      <c r="CG3967" s="5" t="s">
        <v>240</v>
      </c>
      <c r="CH3967" s="5" t="s">
        <v>240</v>
      </c>
      <c r="CI3967" s="5" t="s">
        <v>260</v>
      </c>
      <c r="CK3967" s="5" t="s">
        <v>240</v>
      </c>
      <c r="CL3967" s="6" t="s">
        <v>261</v>
      </c>
      <c r="CM3967" s="5" t="s">
        <v>262</v>
      </c>
      <c r="CN3967" s="5" t="s">
        <v>293</v>
      </c>
      <c r="CO3967" s="5" t="s">
        <v>264</v>
      </c>
      <c r="CP3967" s="5" t="s">
        <v>240</v>
      </c>
      <c r="CQ3967" s="5">
        <v>0</v>
      </c>
      <c r="CR3967" s="5" t="s">
        <v>240</v>
      </c>
      <c r="CS3967" s="5" t="s">
        <v>240</v>
      </c>
      <c r="CT3967" s="5" t="s">
        <v>240</v>
      </c>
      <c r="CU3967" s="5" t="s">
        <v>260</v>
      </c>
      <c r="CV3967" s="5" t="s">
        <v>240</v>
      </c>
      <c r="CW3967" s="8">
        <f>0</f>
        <v>0</v>
      </c>
      <c r="CX3967" s="7">
        <f>847432</f>
        <v>847432</v>
      </c>
      <c r="CY3967" s="7">
        <f>0</f>
        <v>0</v>
      </c>
      <c r="CZ3967" s="7">
        <f>0</f>
        <v>0</v>
      </c>
      <c r="DA3967" s="7">
        <f>847432</f>
        <v>847432</v>
      </c>
      <c r="DB3967" s="7" t="s">
        <v>240</v>
      </c>
      <c r="DC3967" s="5" t="s">
        <v>240</v>
      </c>
      <c r="DD3967" s="5" t="s">
        <v>240</v>
      </c>
      <c r="DF3967" s="5" t="s">
        <v>240</v>
      </c>
      <c r="DG3967" s="7">
        <f>0</f>
        <v>0</v>
      </c>
      <c r="DH3967" s="6" t="s">
        <v>240</v>
      </c>
      <c r="DI3967" s="5" t="s">
        <v>240</v>
      </c>
      <c r="DJ3967" s="5" t="s">
        <v>240</v>
      </c>
      <c r="DK3967" s="5" t="s">
        <v>240</v>
      </c>
      <c r="DL3967" s="5" t="s">
        <v>240</v>
      </c>
      <c r="DM3967" s="5" t="s">
        <v>240</v>
      </c>
      <c r="DN3967" s="5" t="s">
        <v>240</v>
      </c>
      <c r="DO3967" s="7" t="s">
        <v>240</v>
      </c>
      <c r="DP3967" s="5" t="s">
        <v>240</v>
      </c>
      <c r="DQ3967" s="5" t="s">
        <v>248</v>
      </c>
      <c r="DR3967" s="5" t="s">
        <v>731</v>
      </c>
      <c r="DS3967" s="5" t="s">
        <v>731</v>
      </c>
      <c r="DT3967" s="5" t="s">
        <v>240</v>
      </c>
      <c r="DU3967" s="5" t="s">
        <v>240</v>
      </c>
      <c r="GN3967" s="5" t="s">
        <v>7210</v>
      </c>
      <c r="HR3967" s="5" t="s">
        <v>240</v>
      </c>
      <c r="HS3967" s="5" t="s">
        <v>240</v>
      </c>
      <c r="HT3967" s="5" t="s">
        <v>240</v>
      </c>
      <c r="HU3967" s="5" t="s">
        <v>240</v>
      </c>
      <c r="HV3967" s="5" t="s">
        <v>240</v>
      </c>
      <c r="HW3967" s="5" t="s">
        <v>240</v>
      </c>
      <c r="HX3967" s="5" t="s">
        <v>240</v>
      </c>
      <c r="HY3967" s="5" t="s">
        <v>240</v>
      </c>
      <c r="HZ3967" s="5" t="s">
        <v>240</v>
      </c>
      <c r="IA3967" s="5" t="s">
        <v>240</v>
      </c>
      <c r="IB3967" s="5" t="s">
        <v>240</v>
      </c>
      <c r="IC3967" s="5" t="s">
        <v>240</v>
      </c>
      <c r="ID3967" s="5" t="s">
        <v>240</v>
      </c>
      <c r="IE3967" s="5" t="s">
        <v>240</v>
      </c>
      <c r="IF3967" s="5" t="s">
        <v>240</v>
      </c>
    </row>
    <row r="3968" spans="1:240" x14ac:dyDescent="0.4">
      <c r="A3968" s="5">
        <v>9524</v>
      </c>
      <c r="B3968" s="5">
        <v>1</v>
      </c>
      <c r="C3968" s="5">
        <v>2</v>
      </c>
      <c r="D3968" s="5" t="s">
        <v>297</v>
      </c>
      <c r="E3968" s="5" t="s">
        <v>245</v>
      </c>
      <c r="F3968" s="5" t="s">
        <v>254</v>
      </c>
      <c r="G3968" s="5" t="s">
        <v>726</v>
      </c>
      <c r="H3968" s="6" t="s">
        <v>6928</v>
      </c>
      <c r="I3968" s="5" t="s">
        <v>6926</v>
      </c>
      <c r="J3968" s="7">
        <f>1</f>
        <v>1</v>
      </c>
      <c r="K3968" s="5" t="s">
        <v>6749</v>
      </c>
      <c r="L3968" s="7">
        <f>375578</f>
        <v>375578</v>
      </c>
      <c r="M3968" s="7">
        <f>375578</f>
        <v>375578</v>
      </c>
      <c r="N3968" s="5" t="s">
        <v>242</v>
      </c>
      <c r="O3968" s="5">
        <v>1</v>
      </c>
      <c r="P3968" s="5" t="s">
        <v>294</v>
      </c>
      <c r="Q3968" s="5" t="s">
        <v>613</v>
      </c>
      <c r="T3968" s="5" t="s">
        <v>243</v>
      </c>
      <c r="U3968" s="5" t="s">
        <v>244</v>
      </c>
      <c r="V3968" s="5" t="s">
        <v>240</v>
      </c>
      <c r="Y3968" s="5" t="s">
        <v>240</v>
      </c>
      <c r="Z3968" s="6" t="s">
        <v>298</v>
      </c>
      <c r="AA3968" s="6" t="s">
        <v>240</v>
      </c>
      <c r="AB3968" s="6" t="s">
        <v>240</v>
      </c>
      <c r="AC3968" s="5" t="s">
        <v>240</v>
      </c>
      <c r="AD3968" s="6" t="s">
        <v>240</v>
      </c>
      <c r="AE3968" s="6" t="s">
        <v>299</v>
      </c>
      <c r="AF3968" s="5" t="s">
        <v>248</v>
      </c>
      <c r="AG3968" s="5" t="s">
        <v>249</v>
      </c>
      <c r="AM3968" s="5" t="s">
        <v>240</v>
      </c>
      <c r="AN3968" s="5" t="s">
        <v>240</v>
      </c>
      <c r="AO3968" s="5" t="s">
        <v>240</v>
      </c>
      <c r="AP3968" s="6" t="s">
        <v>240</v>
      </c>
      <c r="AQ3968" s="6" t="s">
        <v>240</v>
      </c>
      <c r="AW3968" s="5" t="s">
        <v>251</v>
      </c>
      <c r="AX3968" s="5" t="s">
        <v>252</v>
      </c>
      <c r="AY3968" s="5" t="s">
        <v>253</v>
      </c>
      <c r="AZ3968" s="5" t="s">
        <v>6046</v>
      </c>
      <c r="BA3968" s="5" t="s">
        <v>255</v>
      </c>
      <c r="BB3968" s="5" t="s">
        <v>731</v>
      </c>
      <c r="BD3968" s="5" t="s">
        <v>686</v>
      </c>
      <c r="BF3968" s="5" t="s">
        <v>301</v>
      </c>
      <c r="BG3968" s="6" t="s">
        <v>733</v>
      </c>
      <c r="BH3968" s="5" t="s">
        <v>302</v>
      </c>
      <c r="BI3968" s="5" t="s">
        <v>303</v>
      </c>
      <c r="BJ3968" s="5" t="s">
        <v>240</v>
      </c>
      <c r="BK3968" s="8">
        <f>0</f>
        <v>0</v>
      </c>
      <c r="BL3968" s="7">
        <f>0</f>
        <v>0</v>
      </c>
      <c r="BM3968" s="5" t="s">
        <v>258</v>
      </c>
      <c r="BN3968" s="5" t="s">
        <v>259</v>
      </c>
      <c r="BW3968" s="6" t="s">
        <v>240</v>
      </c>
      <c r="BX3968" s="5" t="s">
        <v>240</v>
      </c>
      <c r="BY3968" s="5" t="s">
        <v>240</v>
      </c>
      <c r="BZ3968" s="5" t="s">
        <v>240</v>
      </c>
      <c r="CB3968" s="5" t="s">
        <v>240</v>
      </c>
      <c r="CC3968" s="5" t="s">
        <v>240</v>
      </c>
      <c r="CG3968" s="5" t="s">
        <v>617</v>
      </c>
      <c r="CH3968" s="5" t="s">
        <v>305</v>
      </c>
      <c r="CI3968" s="5" t="s">
        <v>260</v>
      </c>
      <c r="CK3968" s="5" t="s">
        <v>240</v>
      </c>
      <c r="CL3968" s="6" t="s">
        <v>261</v>
      </c>
      <c r="CM3968" s="5" t="s">
        <v>240</v>
      </c>
      <c r="CN3968" s="5" t="s">
        <v>263</v>
      </c>
      <c r="CO3968" s="5" t="s">
        <v>240</v>
      </c>
      <c r="CP3968" s="5" t="s">
        <v>240</v>
      </c>
      <c r="CQ3968" s="5">
        <v>0</v>
      </c>
      <c r="CR3968" s="5" t="s">
        <v>735</v>
      </c>
      <c r="CS3968" s="5" t="s">
        <v>307</v>
      </c>
      <c r="CT3968" s="5" t="s">
        <v>307</v>
      </c>
      <c r="CU3968" s="5" t="s">
        <v>260</v>
      </c>
      <c r="CV3968" s="5" t="s">
        <v>240</v>
      </c>
      <c r="CW3968" s="8" t="s">
        <v>240</v>
      </c>
      <c r="CX3968" s="7">
        <f>343577</f>
        <v>343577</v>
      </c>
      <c r="CY3968" s="7">
        <f>0</f>
        <v>0</v>
      </c>
      <c r="CZ3968" s="7" t="s">
        <v>240</v>
      </c>
      <c r="DA3968" s="7">
        <f>0</f>
        <v>0</v>
      </c>
      <c r="DB3968" s="7" t="s">
        <v>240</v>
      </c>
      <c r="DC3968" s="5" t="s">
        <v>1790</v>
      </c>
      <c r="DD3968" s="5" t="s">
        <v>240</v>
      </c>
      <c r="DF3968" s="5" t="s">
        <v>450</v>
      </c>
      <c r="DG3968" s="7">
        <f>0</f>
        <v>0</v>
      </c>
      <c r="DH3968" s="6" t="s">
        <v>240</v>
      </c>
      <c r="DI3968" s="5" t="s">
        <v>1790</v>
      </c>
      <c r="DJ3968" s="5" t="s">
        <v>240</v>
      </c>
      <c r="DK3968" s="5" t="s">
        <v>240</v>
      </c>
      <c r="DL3968" s="5" t="s">
        <v>240</v>
      </c>
      <c r="DM3968" s="5" t="s">
        <v>240</v>
      </c>
      <c r="DN3968" s="5" t="s">
        <v>240</v>
      </c>
      <c r="DO3968" s="7" t="s">
        <v>240</v>
      </c>
      <c r="DP3968" s="5" t="s">
        <v>240</v>
      </c>
      <c r="DQ3968" s="5" t="s">
        <v>248</v>
      </c>
      <c r="DR3968" s="5" t="s">
        <v>731</v>
      </c>
      <c r="DS3968" s="5" t="s">
        <v>731</v>
      </c>
      <c r="DT3968" s="5" t="s">
        <v>240</v>
      </c>
      <c r="DU3968" s="5" t="s">
        <v>240</v>
      </c>
      <c r="DV3968" s="5" t="s">
        <v>7140</v>
      </c>
      <c r="DW3968" s="5" t="s">
        <v>312</v>
      </c>
    </row>
    <row r="3969" spans="1:240" x14ac:dyDescent="0.4">
      <c r="A3969" s="5">
        <v>9525</v>
      </c>
      <c r="B3969" s="5">
        <v>1</v>
      </c>
      <c r="C3969" s="5">
        <v>3</v>
      </c>
      <c r="D3969" s="5" t="s">
        <v>297</v>
      </c>
      <c r="E3969" s="5" t="s">
        <v>245</v>
      </c>
      <c r="F3969" s="5" t="s">
        <v>254</v>
      </c>
      <c r="G3969" s="5" t="s">
        <v>726</v>
      </c>
      <c r="H3969" s="6" t="s">
        <v>288</v>
      </c>
      <c r="I3969" s="5" t="s">
        <v>6989</v>
      </c>
      <c r="J3969" s="7">
        <f>1</f>
        <v>1</v>
      </c>
      <c r="K3969" s="5" t="s">
        <v>6749</v>
      </c>
      <c r="L3969" s="7">
        <f>450301</f>
        <v>450301</v>
      </c>
      <c r="M3969" s="7">
        <f>450301</f>
        <v>450301</v>
      </c>
      <c r="N3969" s="5" t="s">
        <v>242</v>
      </c>
      <c r="O3969" s="5">
        <v>1</v>
      </c>
      <c r="P3969" s="5" t="s">
        <v>294</v>
      </c>
      <c r="Q3969" s="5" t="s">
        <v>3678</v>
      </c>
      <c r="T3969" s="5" t="s">
        <v>243</v>
      </c>
      <c r="U3969" s="5" t="s">
        <v>244</v>
      </c>
      <c r="V3969" s="5" t="s">
        <v>240</v>
      </c>
      <c r="Y3969" s="5" t="s">
        <v>240</v>
      </c>
      <c r="Z3969" s="6" t="s">
        <v>298</v>
      </c>
      <c r="AA3969" s="6" t="s">
        <v>240</v>
      </c>
      <c r="AB3969" s="6" t="s">
        <v>240</v>
      </c>
      <c r="AC3969" s="5" t="s">
        <v>240</v>
      </c>
      <c r="AD3969" s="6" t="s">
        <v>240</v>
      </c>
      <c r="AE3969" s="6" t="s">
        <v>6769</v>
      </c>
      <c r="AF3969" s="5" t="s">
        <v>248</v>
      </c>
      <c r="AG3969" s="5" t="s">
        <v>249</v>
      </c>
      <c r="AM3969" s="5" t="s">
        <v>240</v>
      </c>
      <c r="AN3969" s="5" t="s">
        <v>240</v>
      </c>
      <c r="AO3969" s="5" t="s">
        <v>240</v>
      </c>
      <c r="AP3969" s="6" t="s">
        <v>240</v>
      </c>
      <c r="AQ3969" s="6" t="s">
        <v>240</v>
      </c>
      <c r="AR3969" s="6" t="s">
        <v>240</v>
      </c>
      <c r="AU3969" s="5" t="s">
        <v>729</v>
      </c>
      <c r="AV3969" s="5" t="s">
        <v>729</v>
      </c>
      <c r="AW3969" s="5" t="s">
        <v>251</v>
      </c>
      <c r="AX3969" s="5" t="s">
        <v>252</v>
      </c>
      <c r="AY3969" s="5" t="s">
        <v>253</v>
      </c>
      <c r="AZ3969" s="5" t="s">
        <v>6046</v>
      </c>
      <c r="BA3969" s="5" t="s">
        <v>255</v>
      </c>
      <c r="BB3969" s="5" t="s">
        <v>731</v>
      </c>
      <c r="BD3969" s="5" t="s">
        <v>842</v>
      </c>
      <c r="BF3969" s="5" t="s">
        <v>732</v>
      </c>
      <c r="BG3969" s="6" t="s">
        <v>733</v>
      </c>
      <c r="BH3969" s="5" t="s">
        <v>734</v>
      </c>
      <c r="BI3969" s="5" t="s">
        <v>734</v>
      </c>
      <c r="BJ3969" s="5" t="s">
        <v>240</v>
      </c>
      <c r="BK3969" s="8">
        <f>6659.06</f>
        <v>6659.06</v>
      </c>
      <c r="BL3969" s="7">
        <f>73249</f>
        <v>73249</v>
      </c>
      <c r="BM3969" s="5" t="s">
        <v>258</v>
      </c>
      <c r="BN3969" s="5" t="s">
        <v>259</v>
      </c>
      <c r="BO3969" s="5" t="s">
        <v>240</v>
      </c>
      <c r="BP3969" s="5" t="s">
        <v>240</v>
      </c>
      <c r="BQ3969" s="5" t="s">
        <v>240</v>
      </c>
      <c r="BR3969" s="5" t="s">
        <v>240</v>
      </c>
      <c r="BW3969" s="6" t="s">
        <v>240</v>
      </c>
      <c r="BX3969" s="5" t="s">
        <v>240</v>
      </c>
      <c r="BY3969" s="5" t="s">
        <v>240</v>
      </c>
      <c r="BZ3969" s="5" t="s">
        <v>240</v>
      </c>
      <c r="CA3969" s="5" t="s">
        <v>259</v>
      </c>
      <c r="CB3969" s="5" t="s">
        <v>240</v>
      </c>
      <c r="CC3969" s="5" t="s">
        <v>240</v>
      </c>
      <c r="CG3969" s="5" t="s">
        <v>240</v>
      </c>
      <c r="CH3969" s="5" t="s">
        <v>240</v>
      </c>
      <c r="CI3969" s="5" t="s">
        <v>260</v>
      </c>
      <c r="CK3969" s="5" t="s">
        <v>240</v>
      </c>
      <c r="CL3969" s="6" t="s">
        <v>261</v>
      </c>
      <c r="CM3969" s="5" t="s">
        <v>262</v>
      </c>
      <c r="CN3969" s="5" t="s">
        <v>263</v>
      </c>
      <c r="CO3969" s="5" t="s">
        <v>264</v>
      </c>
      <c r="CP3969" s="5" t="s">
        <v>240</v>
      </c>
      <c r="CQ3969" s="5">
        <v>0</v>
      </c>
      <c r="CR3969" s="5" t="s">
        <v>735</v>
      </c>
      <c r="CS3969" s="5" t="s">
        <v>307</v>
      </c>
      <c r="CT3969" s="5" t="s">
        <v>307</v>
      </c>
      <c r="CU3969" s="5" t="s">
        <v>260</v>
      </c>
      <c r="CV3969" s="5" t="s">
        <v>240</v>
      </c>
      <c r="CW3969" s="8">
        <f>11</f>
        <v>11</v>
      </c>
      <c r="CX3969" s="7">
        <f>73249</f>
        <v>73249</v>
      </c>
      <c r="CY3969" s="7">
        <f>0</f>
        <v>0</v>
      </c>
      <c r="CZ3969" s="7">
        <f>0</f>
        <v>0</v>
      </c>
      <c r="DA3969" s="7">
        <f>73249</f>
        <v>73249</v>
      </c>
      <c r="DB3969" s="7" t="s">
        <v>240</v>
      </c>
      <c r="DC3969" s="5" t="s">
        <v>240</v>
      </c>
      <c r="DD3969" s="5" t="s">
        <v>240</v>
      </c>
      <c r="DF3969" s="5" t="s">
        <v>240</v>
      </c>
      <c r="DG3969" s="7">
        <f>0</f>
        <v>0</v>
      </c>
      <c r="DH3969" s="6" t="s">
        <v>240</v>
      </c>
      <c r="DI3969" s="5" t="s">
        <v>240</v>
      </c>
      <c r="DJ3969" s="5" t="s">
        <v>240</v>
      </c>
      <c r="DK3969" s="5" t="s">
        <v>240</v>
      </c>
      <c r="DL3969" s="5" t="s">
        <v>240</v>
      </c>
      <c r="DM3969" s="5" t="s">
        <v>240</v>
      </c>
      <c r="DN3969" s="5" t="s">
        <v>240</v>
      </c>
      <c r="DO3969" s="7" t="s">
        <v>240</v>
      </c>
      <c r="DP3969" s="5" t="s">
        <v>240</v>
      </c>
      <c r="DQ3969" s="5" t="s">
        <v>248</v>
      </c>
      <c r="DR3969" s="5" t="s">
        <v>731</v>
      </c>
      <c r="DS3969" s="5" t="s">
        <v>731</v>
      </c>
      <c r="DT3969" s="5" t="s">
        <v>240</v>
      </c>
      <c r="DU3969" s="5" t="s">
        <v>240</v>
      </c>
      <c r="HR3969" s="5" t="s">
        <v>240</v>
      </c>
      <c r="HS3969" s="5" t="s">
        <v>240</v>
      </c>
      <c r="HT3969" s="5" t="s">
        <v>240</v>
      </c>
      <c r="HU3969" s="5" t="s">
        <v>240</v>
      </c>
      <c r="HV3969" s="5" t="s">
        <v>240</v>
      </c>
      <c r="HW3969" s="5" t="s">
        <v>240</v>
      </c>
      <c r="HX3969" s="5" t="s">
        <v>240</v>
      </c>
      <c r="HY3969" s="5" t="s">
        <v>240</v>
      </c>
      <c r="HZ3969" s="5" t="s">
        <v>240</v>
      </c>
      <c r="IA3969" s="5" t="s">
        <v>240</v>
      </c>
      <c r="IB3969" s="5" t="s">
        <v>240</v>
      </c>
      <c r="IC3969" s="5" t="s">
        <v>240</v>
      </c>
      <c r="ID3969" s="5" t="s">
        <v>240</v>
      </c>
      <c r="IE3969" s="5" t="s">
        <v>240</v>
      </c>
      <c r="IF3969" s="5" t="s">
        <v>240</v>
      </c>
    </row>
    <row r="3970" spans="1:240" x14ac:dyDescent="0.4">
      <c r="A3970" s="5">
        <v>9526</v>
      </c>
      <c r="B3970" s="5">
        <v>1</v>
      </c>
      <c r="C3970" s="5">
        <v>2</v>
      </c>
      <c r="D3970" s="5" t="s">
        <v>297</v>
      </c>
      <c r="E3970" s="5" t="s">
        <v>245</v>
      </c>
      <c r="F3970" s="5" t="s">
        <v>254</v>
      </c>
      <c r="G3970" s="5" t="s">
        <v>726</v>
      </c>
      <c r="H3970" s="6" t="s">
        <v>6741</v>
      </c>
      <c r="I3970" s="5" t="s">
        <v>6738</v>
      </c>
      <c r="J3970" s="7">
        <f>1</f>
        <v>1</v>
      </c>
      <c r="K3970" s="5" t="s">
        <v>6749</v>
      </c>
      <c r="L3970" s="7">
        <f>5265120</f>
        <v>5265120</v>
      </c>
      <c r="M3970" s="7">
        <f>5265120</f>
        <v>5265120</v>
      </c>
      <c r="N3970" s="5" t="s">
        <v>242</v>
      </c>
      <c r="O3970" s="5">
        <v>1</v>
      </c>
      <c r="P3970" s="5" t="s">
        <v>294</v>
      </c>
      <c r="Q3970" s="5" t="s">
        <v>613</v>
      </c>
      <c r="T3970" s="5" t="s">
        <v>243</v>
      </c>
      <c r="U3970" s="5" t="s">
        <v>244</v>
      </c>
      <c r="V3970" s="5" t="s">
        <v>240</v>
      </c>
      <c r="Y3970" s="5" t="s">
        <v>240</v>
      </c>
      <c r="Z3970" s="6" t="s">
        <v>298</v>
      </c>
      <c r="AA3970" s="6" t="s">
        <v>240</v>
      </c>
      <c r="AB3970" s="6" t="s">
        <v>240</v>
      </c>
      <c r="AC3970" s="5" t="s">
        <v>240</v>
      </c>
      <c r="AD3970" s="6" t="s">
        <v>240</v>
      </c>
      <c r="AE3970" s="6" t="s">
        <v>299</v>
      </c>
      <c r="AF3970" s="5" t="s">
        <v>248</v>
      </c>
      <c r="AG3970" s="5" t="s">
        <v>249</v>
      </c>
      <c r="AM3970" s="5" t="s">
        <v>240</v>
      </c>
      <c r="AN3970" s="5" t="s">
        <v>240</v>
      </c>
      <c r="AO3970" s="5" t="s">
        <v>240</v>
      </c>
      <c r="AP3970" s="6" t="s">
        <v>240</v>
      </c>
      <c r="AQ3970" s="6" t="s">
        <v>240</v>
      </c>
      <c r="AW3970" s="5" t="s">
        <v>251</v>
      </c>
      <c r="AX3970" s="5" t="s">
        <v>252</v>
      </c>
      <c r="AY3970" s="5" t="s">
        <v>253</v>
      </c>
      <c r="AZ3970" s="5" t="s">
        <v>6046</v>
      </c>
      <c r="BA3970" s="5" t="s">
        <v>255</v>
      </c>
      <c r="BB3970" s="5" t="s">
        <v>731</v>
      </c>
      <c r="BD3970" s="5" t="s">
        <v>686</v>
      </c>
      <c r="BF3970" s="5" t="s">
        <v>301</v>
      </c>
      <c r="BG3970" s="6" t="s">
        <v>733</v>
      </c>
      <c r="BH3970" s="5" t="s">
        <v>302</v>
      </c>
      <c r="BI3970" s="5" t="s">
        <v>303</v>
      </c>
      <c r="BJ3970" s="5" t="s">
        <v>240</v>
      </c>
      <c r="BK3970" s="8">
        <f>0</f>
        <v>0</v>
      </c>
      <c r="BL3970" s="7">
        <f>0</f>
        <v>0</v>
      </c>
      <c r="BM3970" s="5" t="s">
        <v>258</v>
      </c>
      <c r="BN3970" s="5" t="s">
        <v>259</v>
      </c>
      <c r="BW3970" s="6" t="s">
        <v>240</v>
      </c>
      <c r="BX3970" s="5" t="s">
        <v>240</v>
      </c>
      <c r="BY3970" s="5" t="s">
        <v>240</v>
      </c>
      <c r="BZ3970" s="5" t="s">
        <v>240</v>
      </c>
      <c r="CB3970" s="5" t="s">
        <v>240</v>
      </c>
      <c r="CC3970" s="5" t="s">
        <v>240</v>
      </c>
      <c r="CG3970" s="5" t="s">
        <v>617</v>
      </c>
      <c r="CH3970" s="5" t="s">
        <v>305</v>
      </c>
      <c r="CI3970" s="5" t="s">
        <v>260</v>
      </c>
      <c r="CK3970" s="5" t="s">
        <v>240</v>
      </c>
      <c r="CL3970" s="6" t="s">
        <v>261</v>
      </c>
      <c r="CM3970" s="5" t="s">
        <v>240</v>
      </c>
      <c r="CN3970" s="5" t="s">
        <v>263</v>
      </c>
      <c r="CO3970" s="5" t="s">
        <v>240</v>
      </c>
      <c r="CP3970" s="5" t="s">
        <v>240</v>
      </c>
      <c r="CQ3970" s="5">
        <v>0</v>
      </c>
      <c r="CR3970" s="5" t="s">
        <v>735</v>
      </c>
      <c r="CS3970" s="5" t="s">
        <v>307</v>
      </c>
      <c r="CT3970" s="5" t="s">
        <v>307</v>
      </c>
      <c r="CU3970" s="5" t="s">
        <v>260</v>
      </c>
      <c r="CV3970" s="5" t="s">
        <v>240</v>
      </c>
      <c r="CW3970" s="8" t="s">
        <v>240</v>
      </c>
      <c r="CX3970" s="7">
        <f>3812015</f>
        <v>3812015</v>
      </c>
      <c r="CY3970" s="7">
        <f>0</f>
        <v>0</v>
      </c>
      <c r="CZ3970" s="7" t="s">
        <v>240</v>
      </c>
      <c r="DA3970" s="7">
        <f>0</f>
        <v>0</v>
      </c>
      <c r="DB3970" s="7" t="s">
        <v>240</v>
      </c>
      <c r="DC3970" s="5" t="s">
        <v>689</v>
      </c>
      <c r="DD3970" s="5" t="s">
        <v>240</v>
      </c>
      <c r="DF3970" s="5" t="s">
        <v>450</v>
      </c>
      <c r="DG3970" s="7">
        <f>0</f>
        <v>0</v>
      </c>
      <c r="DH3970" s="6" t="s">
        <v>240</v>
      </c>
      <c r="DI3970" s="5" t="s">
        <v>618</v>
      </c>
      <c r="DJ3970" s="5" t="s">
        <v>240</v>
      </c>
      <c r="DK3970" s="5" t="s">
        <v>240</v>
      </c>
      <c r="DL3970" s="5" t="s">
        <v>240</v>
      </c>
      <c r="DM3970" s="5" t="s">
        <v>240</v>
      </c>
      <c r="DN3970" s="5" t="s">
        <v>240</v>
      </c>
      <c r="DO3970" s="7" t="s">
        <v>240</v>
      </c>
      <c r="DP3970" s="5" t="s">
        <v>240</v>
      </c>
      <c r="DQ3970" s="5" t="s">
        <v>248</v>
      </c>
      <c r="DR3970" s="5" t="s">
        <v>731</v>
      </c>
      <c r="DS3970" s="5" t="s">
        <v>731</v>
      </c>
      <c r="DT3970" s="5" t="s">
        <v>240</v>
      </c>
      <c r="DU3970" s="5" t="s">
        <v>240</v>
      </c>
      <c r="DV3970" s="5" t="s">
        <v>7219</v>
      </c>
      <c r="DW3970" s="5" t="s">
        <v>312</v>
      </c>
    </row>
    <row r="3971" spans="1:240" x14ac:dyDescent="0.4">
      <c r="A3971" s="5">
        <v>9530</v>
      </c>
      <c r="B3971" s="5">
        <v>1</v>
      </c>
      <c r="C3971" s="5">
        <v>2</v>
      </c>
      <c r="D3971" s="5" t="s">
        <v>6751</v>
      </c>
      <c r="E3971" s="5" t="s">
        <v>245</v>
      </c>
      <c r="F3971" s="5" t="s">
        <v>254</v>
      </c>
      <c r="G3971" s="5" t="s">
        <v>6753</v>
      </c>
      <c r="H3971" s="6" t="s">
        <v>6754</v>
      </c>
      <c r="I3971" s="5" t="s">
        <v>6750</v>
      </c>
      <c r="J3971" s="7">
        <f>1</f>
        <v>1</v>
      </c>
      <c r="K3971" s="5" t="s">
        <v>6756</v>
      </c>
      <c r="L3971" s="7">
        <f>148420</f>
        <v>148420</v>
      </c>
      <c r="M3971" s="7">
        <f>148420</f>
        <v>148420</v>
      </c>
      <c r="N3971" s="5" t="s">
        <v>242</v>
      </c>
      <c r="O3971" s="5">
        <v>1</v>
      </c>
      <c r="P3971" s="5" t="s">
        <v>294</v>
      </c>
      <c r="Q3971" s="5" t="s">
        <v>240</v>
      </c>
      <c r="T3971" s="5" t="s">
        <v>296</v>
      </c>
      <c r="U3971" s="5" t="s">
        <v>244</v>
      </c>
      <c r="V3971" s="5" t="s">
        <v>240</v>
      </c>
      <c r="Y3971" s="5" t="s">
        <v>240</v>
      </c>
      <c r="Z3971" s="6" t="s">
        <v>7221</v>
      </c>
      <c r="AA3971" s="6" t="s">
        <v>240</v>
      </c>
      <c r="AB3971" s="6" t="s">
        <v>240</v>
      </c>
      <c r="AC3971" s="5" t="s">
        <v>240</v>
      </c>
      <c r="AD3971" s="6" t="s">
        <v>240</v>
      </c>
      <c r="AE3971" s="6" t="s">
        <v>240</v>
      </c>
      <c r="AF3971" s="5" t="s">
        <v>248</v>
      </c>
      <c r="AG3971" s="5" t="s">
        <v>249</v>
      </c>
      <c r="AM3971" s="5" t="s">
        <v>240</v>
      </c>
      <c r="AN3971" s="5" t="s">
        <v>240</v>
      </c>
      <c r="AO3971" s="5" t="s">
        <v>240</v>
      </c>
      <c r="AP3971" s="6" t="s">
        <v>240</v>
      </c>
      <c r="AQ3971" s="6" t="s">
        <v>240</v>
      </c>
      <c r="AR3971" s="6" t="s">
        <v>240</v>
      </c>
      <c r="AU3971" s="5" t="s">
        <v>729</v>
      </c>
      <c r="AV3971" s="5" t="s">
        <v>729</v>
      </c>
      <c r="AW3971" s="5" t="s">
        <v>251</v>
      </c>
      <c r="AX3971" s="5" t="s">
        <v>252</v>
      </c>
      <c r="AY3971" s="5" t="s">
        <v>253</v>
      </c>
      <c r="AZ3971" s="5" t="s">
        <v>6046</v>
      </c>
      <c r="BA3971" s="5" t="s">
        <v>255</v>
      </c>
      <c r="BB3971" s="5" t="s">
        <v>731</v>
      </c>
      <c r="BD3971" s="5" t="s">
        <v>842</v>
      </c>
      <c r="BF3971" s="5" t="s">
        <v>256</v>
      </c>
      <c r="BG3971" s="6" t="s">
        <v>7221</v>
      </c>
      <c r="BH3971" s="5" t="s">
        <v>6799</v>
      </c>
      <c r="BI3971" s="5" t="s">
        <v>6799</v>
      </c>
      <c r="BJ3971" s="5" t="s">
        <v>240</v>
      </c>
      <c r="BK3971" s="8">
        <f>4.55</f>
        <v>4.55</v>
      </c>
      <c r="BL3971" s="7">
        <f>1</f>
        <v>1</v>
      </c>
      <c r="BM3971" s="5" t="s">
        <v>258</v>
      </c>
      <c r="BN3971" s="5" t="s">
        <v>259</v>
      </c>
      <c r="BO3971" s="5" t="s">
        <v>240</v>
      </c>
      <c r="BP3971" s="5" t="s">
        <v>240</v>
      </c>
      <c r="BQ3971" s="5" t="s">
        <v>240</v>
      </c>
      <c r="BR3971" s="5" t="s">
        <v>240</v>
      </c>
      <c r="BW3971" s="6" t="s">
        <v>240</v>
      </c>
      <c r="BX3971" s="5" t="s">
        <v>240</v>
      </c>
      <c r="BY3971" s="5" t="s">
        <v>240</v>
      </c>
      <c r="BZ3971" s="5" t="s">
        <v>240</v>
      </c>
      <c r="CA3971" s="5" t="s">
        <v>259</v>
      </c>
      <c r="CB3971" s="5" t="s">
        <v>240</v>
      </c>
      <c r="CC3971" s="5" t="s">
        <v>240</v>
      </c>
      <c r="CG3971" s="5" t="s">
        <v>240</v>
      </c>
      <c r="CH3971" s="5" t="s">
        <v>240</v>
      </c>
      <c r="CI3971" s="5" t="s">
        <v>260</v>
      </c>
      <c r="CK3971" s="5" t="s">
        <v>240</v>
      </c>
      <c r="CL3971" s="6" t="s">
        <v>261</v>
      </c>
      <c r="CM3971" s="5" t="s">
        <v>262</v>
      </c>
      <c r="CN3971" s="5" t="s">
        <v>263</v>
      </c>
      <c r="CO3971" s="5" t="s">
        <v>264</v>
      </c>
      <c r="CP3971" s="5" t="s">
        <v>240</v>
      </c>
      <c r="CQ3971" s="5">
        <v>0</v>
      </c>
      <c r="CR3971" s="5" t="s">
        <v>735</v>
      </c>
      <c r="CS3971" s="5" t="s">
        <v>307</v>
      </c>
      <c r="CT3971" s="5" t="s">
        <v>307</v>
      </c>
      <c r="CU3971" s="5" t="s">
        <v>260</v>
      </c>
      <c r="CV3971" s="5" t="s">
        <v>240</v>
      </c>
      <c r="CW3971" s="8">
        <f>0</f>
        <v>0</v>
      </c>
      <c r="CX3971" s="7">
        <f>1</f>
        <v>1</v>
      </c>
      <c r="CY3971" s="7">
        <f>0</f>
        <v>0</v>
      </c>
      <c r="CZ3971" s="7">
        <f>0</f>
        <v>0</v>
      </c>
      <c r="DA3971" s="7">
        <f>1</f>
        <v>1</v>
      </c>
      <c r="DB3971" s="7" t="s">
        <v>240</v>
      </c>
      <c r="DC3971" s="5" t="s">
        <v>240</v>
      </c>
      <c r="DD3971" s="5" t="s">
        <v>240</v>
      </c>
      <c r="DF3971" s="5" t="s">
        <v>240</v>
      </c>
      <c r="DG3971" s="7">
        <f>0</f>
        <v>0</v>
      </c>
      <c r="DH3971" s="6" t="s">
        <v>240</v>
      </c>
      <c r="DI3971" s="5" t="s">
        <v>240</v>
      </c>
      <c r="DJ3971" s="5" t="s">
        <v>240</v>
      </c>
      <c r="DK3971" s="5" t="s">
        <v>240</v>
      </c>
      <c r="DL3971" s="5" t="s">
        <v>240</v>
      </c>
      <c r="DM3971" s="5" t="s">
        <v>240</v>
      </c>
      <c r="DN3971" s="5" t="s">
        <v>240</v>
      </c>
      <c r="DO3971" s="7" t="s">
        <v>240</v>
      </c>
      <c r="DP3971" s="5" t="s">
        <v>240</v>
      </c>
      <c r="DQ3971" s="5" t="s">
        <v>248</v>
      </c>
      <c r="DR3971" s="5" t="s">
        <v>731</v>
      </c>
      <c r="DS3971" s="5" t="s">
        <v>731</v>
      </c>
      <c r="DT3971" s="5" t="s">
        <v>240</v>
      </c>
      <c r="DU3971" s="5" t="s">
        <v>240</v>
      </c>
      <c r="HR3971" s="5" t="s">
        <v>240</v>
      </c>
      <c r="HS3971" s="5" t="s">
        <v>240</v>
      </c>
      <c r="HT3971" s="5" t="s">
        <v>240</v>
      </c>
      <c r="HU3971" s="5" t="s">
        <v>240</v>
      </c>
      <c r="HV3971" s="5" t="s">
        <v>240</v>
      </c>
      <c r="HW3971" s="5" t="s">
        <v>240</v>
      </c>
      <c r="HX3971" s="5" t="s">
        <v>240</v>
      </c>
      <c r="HY3971" s="5" t="s">
        <v>240</v>
      </c>
      <c r="HZ3971" s="5" t="s">
        <v>240</v>
      </c>
      <c r="IA3971" s="5" t="s">
        <v>240</v>
      </c>
      <c r="IB3971" s="5" t="s">
        <v>240</v>
      </c>
      <c r="IC3971" s="5" t="s">
        <v>240</v>
      </c>
      <c r="ID3971" s="5" t="s">
        <v>240</v>
      </c>
      <c r="IE3971" s="5" t="s">
        <v>240</v>
      </c>
      <c r="IF3971" s="5" t="s">
        <v>240</v>
      </c>
    </row>
    <row r="3972" spans="1:240" x14ac:dyDescent="0.4">
      <c r="A3972" s="5">
        <v>9532</v>
      </c>
      <c r="B3972" s="5">
        <v>1</v>
      </c>
      <c r="C3972" s="5">
        <v>2</v>
      </c>
      <c r="D3972" s="5" t="s">
        <v>6751</v>
      </c>
      <c r="E3972" s="5" t="s">
        <v>245</v>
      </c>
      <c r="F3972" s="5" t="s">
        <v>254</v>
      </c>
      <c r="G3972" s="5" t="s">
        <v>6885</v>
      </c>
      <c r="H3972" s="6" t="s">
        <v>6886</v>
      </c>
      <c r="I3972" s="5" t="s">
        <v>6883</v>
      </c>
      <c r="J3972" s="7">
        <f>1</f>
        <v>1</v>
      </c>
      <c r="K3972" s="5" t="s">
        <v>6756</v>
      </c>
      <c r="L3972" s="7">
        <f>499400</f>
        <v>499400</v>
      </c>
      <c r="M3972" s="7">
        <f>499400</f>
        <v>499400</v>
      </c>
      <c r="N3972" s="5" t="s">
        <v>242</v>
      </c>
      <c r="O3972" s="5">
        <v>1</v>
      </c>
      <c r="P3972" s="5" t="s">
        <v>294</v>
      </c>
      <c r="Q3972" s="5" t="s">
        <v>613</v>
      </c>
      <c r="T3972" s="5" t="s">
        <v>243</v>
      </c>
      <c r="U3972" s="5" t="s">
        <v>244</v>
      </c>
      <c r="V3972" s="5" t="s">
        <v>240</v>
      </c>
      <c r="Y3972" s="5" t="s">
        <v>240</v>
      </c>
      <c r="Z3972" s="6" t="s">
        <v>298</v>
      </c>
      <c r="AA3972" s="6" t="s">
        <v>240</v>
      </c>
      <c r="AB3972" s="6" t="s">
        <v>240</v>
      </c>
      <c r="AC3972" s="5" t="s">
        <v>240</v>
      </c>
      <c r="AD3972" s="6" t="s">
        <v>240</v>
      </c>
      <c r="AE3972" s="6" t="s">
        <v>299</v>
      </c>
      <c r="AF3972" s="5" t="s">
        <v>248</v>
      </c>
      <c r="AG3972" s="5" t="s">
        <v>249</v>
      </c>
      <c r="AM3972" s="5" t="s">
        <v>240</v>
      </c>
      <c r="AN3972" s="5" t="s">
        <v>240</v>
      </c>
      <c r="AO3972" s="5" t="s">
        <v>240</v>
      </c>
      <c r="AP3972" s="6" t="s">
        <v>240</v>
      </c>
      <c r="AQ3972" s="6" t="s">
        <v>240</v>
      </c>
      <c r="AW3972" s="5" t="s">
        <v>251</v>
      </c>
      <c r="AX3972" s="5" t="s">
        <v>252</v>
      </c>
      <c r="AY3972" s="5" t="s">
        <v>253</v>
      </c>
      <c r="AZ3972" s="5" t="s">
        <v>6046</v>
      </c>
      <c r="BA3972" s="5" t="s">
        <v>255</v>
      </c>
      <c r="BB3972" s="5" t="s">
        <v>731</v>
      </c>
      <c r="BD3972" s="5" t="s">
        <v>686</v>
      </c>
      <c r="BF3972" s="5" t="s">
        <v>301</v>
      </c>
      <c r="BG3972" s="6" t="s">
        <v>733</v>
      </c>
      <c r="BH3972" s="5" t="s">
        <v>302</v>
      </c>
      <c r="BI3972" s="5" t="s">
        <v>303</v>
      </c>
      <c r="BJ3972" s="5" t="s">
        <v>240</v>
      </c>
      <c r="BK3972" s="8">
        <f>0</f>
        <v>0</v>
      </c>
      <c r="BL3972" s="7">
        <f>0</f>
        <v>0</v>
      </c>
      <c r="BM3972" s="5" t="s">
        <v>258</v>
      </c>
      <c r="BN3972" s="5" t="s">
        <v>259</v>
      </c>
      <c r="BW3972" s="6" t="s">
        <v>240</v>
      </c>
      <c r="BX3972" s="5" t="s">
        <v>240</v>
      </c>
      <c r="BY3972" s="5" t="s">
        <v>240</v>
      </c>
      <c r="BZ3972" s="5" t="s">
        <v>240</v>
      </c>
      <c r="CB3972" s="5" t="s">
        <v>240</v>
      </c>
      <c r="CC3972" s="5" t="s">
        <v>240</v>
      </c>
      <c r="CG3972" s="5" t="s">
        <v>617</v>
      </c>
      <c r="CH3972" s="5" t="s">
        <v>305</v>
      </c>
      <c r="CI3972" s="5" t="s">
        <v>260</v>
      </c>
      <c r="CK3972" s="5" t="s">
        <v>240</v>
      </c>
      <c r="CL3972" s="6" t="s">
        <v>261</v>
      </c>
      <c r="CM3972" s="5" t="s">
        <v>240</v>
      </c>
      <c r="CN3972" s="5" t="s">
        <v>263</v>
      </c>
      <c r="CO3972" s="5" t="s">
        <v>240</v>
      </c>
      <c r="CP3972" s="5" t="s">
        <v>240</v>
      </c>
      <c r="CQ3972" s="5">
        <v>0</v>
      </c>
      <c r="CR3972" s="5" t="s">
        <v>735</v>
      </c>
      <c r="CS3972" s="5" t="s">
        <v>307</v>
      </c>
      <c r="CT3972" s="5" t="s">
        <v>307</v>
      </c>
      <c r="CU3972" s="5" t="s">
        <v>260</v>
      </c>
      <c r="CV3972" s="5" t="s">
        <v>240</v>
      </c>
      <c r="CW3972" s="8" t="s">
        <v>240</v>
      </c>
      <c r="CX3972" s="7">
        <f>6549755</f>
        <v>6549755</v>
      </c>
      <c r="CY3972" s="7">
        <f>0</f>
        <v>0</v>
      </c>
      <c r="CZ3972" s="7" t="s">
        <v>240</v>
      </c>
      <c r="DA3972" s="7">
        <f>0</f>
        <v>0</v>
      </c>
      <c r="DB3972" s="7" t="s">
        <v>240</v>
      </c>
      <c r="DC3972" s="5" t="s">
        <v>450</v>
      </c>
      <c r="DD3972" s="5" t="s">
        <v>240</v>
      </c>
      <c r="DF3972" s="5" t="s">
        <v>450</v>
      </c>
      <c r="DG3972" s="7">
        <f>0</f>
        <v>0</v>
      </c>
      <c r="DH3972" s="6" t="s">
        <v>7223</v>
      </c>
      <c r="DI3972" s="5" t="s">
        <v>618</v>
      </c>
      <c r="DJ3972" s="5" t="s">
        <v>240</v>
      </c>
      <c r="DK3972" s="5" t="s">
        <v>240</v>
      </c>
      <c r="DL3972" s="5" t="s">
        <v>240</v>
      </c>
      <c r="DM3972" s="5" t="s">
        <v>240</v>
      </c>
      <c r="DN3972" s="5" t="s">
        <v>240</v>
      </c>
      <c r="DO3972" s="7" t="s">
        <v>240</v>
      </c>
      <c r="DP3972" s="5" t="s">
        <v>240</v>
      </c>
      <c r="DQ3972" s="5" t="s">
        <v>248</v>
      </c>
      <c r="DR3972" s="5" t="s">
        <v>731</v>
      </c>
      <c r="DS3972" s="5" t="s">
        <v>731</v>
      </c>
      <c r="DT3972" s="5" t="s">
        <v>240</v>
      </c>
      <c r="DU3972" s="5" t="s">
        <v>240</v>
      </c>
      <c r="DV3972" s="5" t="s">
        <v>6839</v>
      </c>
      <c r="DW3972" s="5" t="s">
        <v>620</v>
      </c>
    </row>
    <row r="3973" spans="1:240" x14ac:dyDescent="0.4">
      <c r="A3973" s="5">
        <v>9533</v>
      </c>
      <c r="B3973" s="5">
        <v>1</v>
      </c>
      <c r="C3973" s="5">
        <v>2</v>
      </c>
      <c r="D3973" s="5" t="s">
        <v>6751</v>
      </c>
      <c r="E3973" s="5" t="s">
        <v>245</v>
      </c>
      <c r="F3973" s="5" t="s">
        <v>254</v>
      </c>
      <c r="G3973" s="5" t="s">
        <v>7073</v>
      </c>
      <c r="H3973" s="6" t="s">
        <v>7074</v>
      </c>
      <c r="I3973" s="5" t="s">
        <v>7071</v>
      </c>
      <c r="J3973" s="7">
        <f>1</f>
        <v>1</v>
      </c>
      <c r="K3973" s="5" t="s">
        <v>6756</v>
      </c>
      <c r="L3973" s="7">
        <f>199900</f>
        <v>199900</v>
      </c>
      <c r="M3973" s="7">
        <f>199900</f>
        <v>199900</v>
      </c>
      <c r="N3973" s="5" t="s">
        <v>242</v>
      </c>
      <c r="O3973" s="5">
        <v>1</v>
      </c>
      <c r="P3973" s="5" t="s">
        <v>294</v>
      </c>
      <c r="Q3973" s="5" t="s">
        <v>2097</v>
      </c>
      <c r="T3973" s="5" t="s">
        <v>296</v>
      </c>
      <c r="U3973" s="5" t="s">
        <v>244</v>
      </c>
      <c r="V3973" s="5" t="s">
        <v>240</v>
      </c>
      <c r="Y3973" s="5" t="s">
        <v>246</v>
      </c>
      <c r="Z3973" s="6" t="s">
        <v>7179</v>
      </c>
      <c r="AA3973" s="6" t="s">
        <v>240</v>
      </c>
      <c r="AB3973" s="6" t="s">
        <v>240</v>
      </c>
      <c r="AC3973" s="5" t="s">
        <v>240</v>
      </c>
      <c r="AD3973" s="6" t="s">
        <v>240</v>
      </c>
      <c r="AE3973" s="6" t="s">
        <v>7031</v>
      </c>
      <c r="AF3973" s="5" t="s">
        <v>248</v>
      </c>
      <c r="AG3973" s="5" t="s">
        <v>249</v>
      </c>
      <c r="AM3973" s="5" t="s">
        <v>240</v>
      </c>
      <c r="AN3973" s="5" t="s">
        <v>240</v>
      </c>
      <c r="AO3973" s="5" t="s">
        <v>240</v>
      </c>
      <c r="AP3973" s="6" t="s">
        <v>240</v>
      </c>
      <c r="AQ3973" s="6" t="s">
        <v>240</v>
      </c>
      <c r="AR3973" s="6" t="s">
        <v>240</v>
      </c>
      <c r="AU3973" s="5" t="s">
        <v>729</v>
      </c>
      <c r="AV3973" s="5" t="s">
        <v>729</v>
      </c>
      <c r="AW3973" s="5" t="s">
        <v>251</v>
      </c>
      <c r="AX3973" s="5" t="s">
        <v>252</v>
      </c>
      <c r="AY3973" s="5" t="s">
        <v>253</v>
      </c>
      <c r="AZ3973" s="5" t="s">
        <v>6046</v>
      </c>
      <c r="BA3973" s="5" t="s">
        <v>255</v>
      </c>
      <c r="BB3973" s="5" t="s">
        <v>731</v>
      </c>
      <c r="BD3973" s="5" t="s">
        <v>842</v>
      </c>
      <c r="BF3973" s="5" t="s">
        <v>256</v>
      </c>
      <c r="BG3973" s="6" t="s">
        <v>6903</v>
      </c>
      <c r="BH3973" s="5" t="s">
        <v>6742</v>
      </c>
      <c r="BI3973" s="5" t="s">
        <v>6743</v>
      </c>
      <c r="BJ3973" s="5" t="s">
        <v>240</v>
      </c>
      <c r="BK3973" s="8">
        <f>0</f>
        <v>0</v>
      </c>
      <c r="BL3973" s="7">
        <f>201040</f>
        <v>201040</v>
      </c>
      <c r="BM3973" s="5" t="s">
        <v>258</v>
      </c>
      <c r="BN3973" s="5" t="s">
        <v>259</v>
      </c>
      <c r="BO3973" s="5" t="s">
        <v>6744</v>
      </c>
      <c r="BP3973" s="5" t="s">
        <v>6745</v>
      </c>
      <c r="BQ3973" s="5" t="s">
        <v>6746</v>
      </c>
      <c r="BR3973" s="5" t="s">
        <v>240</v>
      </c>
      <c r="BW3973" s="6" t="s">
        <v>7226</v>
      </c>
      <c r="BX3973" s="5" t="s">
        <v>258</v>
      </c>
      <c r="BY3973" s="5" t="s">
        <v>240</v>
      </c>
      <c r="BZ3973" s="5" t="s">
        <v>240</v>
      </c>
      <c r="CA3973" s="5" t="s">
        <v>259</v>
      </c>
      <c r="CB3973" s="5" t="s">
        <v>240</v>
      </c>
      <c r="CC3973" s="5" t="s">
        <v>240</v>
      </c>
      <c r="CG3973" s="5" t="s">
        <v>240</v>
      </c>
      <c r="CH3973" s="5" t="s">
        <v>240</v>
      </c>
      <c r="CI3973" s="5" t="s">
        <v>260</v>
      </c>
      <c r="CK3973" s="5" t="s">
        <v>240</v>
      </c>
      <c r="CL3973" s="6" t="s">
        <v>261</v>
      </c>
      <c r="CM3973" s="5" t="s">
        <v>262</v>
      </c>
      <c r="CN3973" s="5" t="s">
        <v>263</v>
      </c>
      <c r="CO3973" s="5" t="s">
        <v>264</v>
      </c>
      <c r="CP3973" s="5" t="s">
        <v>240</v>
      </c>
      <c r="CQ3973" s="5">
        <v>0</v>
      </c>
      <c r="CR3973" s="5" t="s">
        <v>735</v>
      </c>
      <c r="CS3973" s="5" t="s">
        <v>307</v>
      </c>
      <c r="CT3973" s="5" t="s">
        <v>307</v>
      </c>
      <c r="CU3973" s="5" t="s">
        <v>260</v>
      </c>
      <c r="CV3973" s="5" t="s">
        <v>240</v>
      </c>
      <c r="CW3973" s="8">
        <f>2000</f>
        <v>2000</v>
      </c>
      <c r="CX3973" s="7">
        <f>1456000</f>
        <v>1456000</v>
      </c>
      <c r="CY3973" s="7">
        <f>0</f>
        <v>0</v>
      </c>
      <c r="CZ3973" s="7">
        <f>0</f>
        <v>0</v>
      </c>
      <c r="DA3973" s="7">
        <f>1456000</f>
        <v>1456000</v>
      </c>
      <c r="DB3973" s="7" t="s">
        <v>240</v>
      </c>
      <c r="DC3973" s="5" t="s">
        <v>240</v>
      </c>
      <c r="DD3973" s="5" t="s">
        <v>240</v>
      </c>
      <c r="DF3973" s="5" t="s">
        <v>240</v>
      </c>
      <c r="DG3973" s="7">
        <f>0</f>
        <v>0</v>
      </c>
      <c r="DH3973" s="6" t="s">
        <v>240</v>
      </c>
      <c r="DI3973" s="5" t="s">
        <v>240</v>
      </c>
      <c r="DJ3973" s="5" t="s">
        <v>240</v>
      </c>
      <c r="DK3973" s="5" t="s">
        <v>240</v>
      </c>
      <c r="DL3973" s="5" t="s">
        <v>240</v>
      </c>
      <c r="DM3973" s="5" t="s">
        <v>240</v>
      </c>
      <c r="DN3973" s="5" t="s">
        <v>240</v>
      </c>
      <c r="DO3973" s="7" t="s">
        <v>240</v>
      </c>
      <c r="DP3973" s="5" t="s">
        <v>240</v>
      </c>
      <c r="DQ3973" s="5" t="s">
        <v>248</v>
      </c>
      <c r="DR3973" s="5" t="s">
        <v>731</v>
      </c>
      <c r="DS3973" s="5" t="s">
        <v>731</v>
      </c>
      <c r="DT3973" s="5" t="s">
        <v>240</v>
      </c>
      <c r="DU3973" s="5" t="s">
        <v>240</v>
      </c>
      <c r="HR3973" s="5" t="s">
        <v>240</v>
      </c>
      <c r="HS3973" s="5" t="s">
        <v>240</v>
      </c>
      <c r="HT3973" s="5" t="s">
        <v>240</v>
      </c>
      <c r="HU3973" s="5" t="s">
        <v>240</v>
      </c>
      <c r="HV3973" s="5" t="s">
        <v>240</v>
      </c>
      <c r="HW3973" s="5" t="s">
        <v>240</v>
      </c>
      <c r="HX3973" s="5" t="s">
        <v>240</v>
      </c>
      <c r="HY3973" s="5" t="s">
        <v>240</v>
      </c>
      <c r="HZ3973" s="5" t="s">
        <v>240</v>
      </c>
      <c r="IA3973" s="5" t="s">
        <v>240</v>
      </c>
      <c r="IB3973" s="5" t="s">
        <v>240</v>
      </c>
      <c r="IC3973" s="5" t="s">
        <v>240</v>
      </c>
      <c r="ID3973" s="5" t="s">
        <v>240</v>
      </c>
      <c r="IE3973" s="5" t="s">
        <v>240</v>
      </c>
      <c r="IF3973" s="5" t="s">
        <v>240</v>
      </c>
    </row>
    <row r="3974" spans="1:240" x14ac:dyDescent="0.4">
      <c r="A3974" s="5">
        <v>9534</v>
      </c>
      <c r="B3974" s="5">
        <v>1</v>
      </c>
      <c r="C3974" s="5">
        <v>2</v>
      </c>
      <c r="D3974" s="5" t="s">
        <v>6751</v>
      </c>
      <c r="E3974" s="5" t="s">
        <v>245</v>
      </c>
      <c r="F3974" s="5" t="s">
        <v>254</v>
      </c>
      <c r="G3974" s="5" t="s">
        <v>6856</v>
      </c>
      <c r="H3974" s="6" t="s">
        <v>6857</v>
      </c>
      <c r="I3974" s="5" t="s">
        <v>6854</v>
      </c>
      <c r="J3974" s="7">
        <f>1</f>
        <v>1</v>
      </c>
      <c r="K3974" s="5" t="s">
        <v>6756</v>
      </c>
      <c r="L3974" s="7">
        <f>150000</f>
        <v>150000</v>
      </c>
      <c r="M3974" s="7">
        <f>150000</f>
        <v>150000</v>
      </c>
      <c r="N3974" s="5" t="s">
        <v>242</v>
      </c>
      <c r="O3974" s="5">
        <v>1</v>
      </c>
      <c r="P3974" s="5" t="s">
        <v>294</v>
      </c>
      <c r="Q3974" s="5" t="s">
        <v>613</v>
      </c>
      <c r="T3974" s="5" t="s">
        <v>243</v>
      </c>
      <c r="U3974" s="5" t="s">
        <v>244</v>
      </c>
      <c r="V3974" s="5" t="s">
        <v>240</v>
      </c>
      <c r="Y3974" s="5" t="s">
        <v>5060</v>
      </c>
      <c r="Z3974" s="6" t="s">
        <v>6846</v>
      </c>
      <c r="AA3974" s="6" t="s">
        <v>240</v>
      </c>
      <c r="AB3974" s="6" t="s">
        <v>240</v>
      </c>
      <c r="AC3974" s="5" t="s">
        <v>240</v>
      </c>
      <c r="AD3974" s="6" t="s">
        <v>240</v>
      </c>
      <c r="AE3974" s="6" t="s">
        <v>240</v>
      </c>
      <c r="AF3974" s="5" t="s">
        <v>248</v>
      </c>
      <c r="AG3974" s="5" t="s">
        <v>249</v>
      </c>
      <c r="AM3974" s="5" t="s">
        <v>240</v>
      </c>
      <c r="AN3974" s="5" t="s">
        <v>240</v>
      </c>
      <c r="AO3974" s="5" t="s">
        <v>240</v>
      </c>
      <c r="AP3974" s="6" t="s">
        <v>240</v>
      </c>
      <c r="AQ3974" s="6" t="s">
        <v>240</v>
      </c>
      <c r="AR3974" s="6" t="s">
        <v>240</v>
      </c>
      <c r="AU3974" s="5" t="s">
        <v>729</v>
      </c>
      <c r="AV3974" s="5" t="s">
        <v>729</v>
      </c>
      <c r="AW3974" s="5" t="s">
        <v>251</v>
      </c>
      <c r="AX3974" s="5" t="s">
        <v>252</v>
      </c>
      <c r="AY3974" s="5" t="s">
        <v>253</v>
      </c>
      <c r="AZ3974" s="5" t="s">
        <v>6046</v>
      </c>
      <c r="BA3974" s="5" t="s">
        <v>255</v>
      </c>
      <c r="BB3974" s="5" t="s">
        <v>731</v>
      </c>
      <c r="BD3974" s="5" t="s">
        <v>686</v>
      </c>
      <c r="BF3974" s="5" t="s">
        <v>732</v>
      </c>
      <c r="BG3974" s="6" t="s">
        <v>6846</v>
      </c>
      <c r="BH3974" s="5" t="s">
        <v>6799</v>
      </c>
      <c r="BI3974" s="5" t="s">
        <v>6799</v>
      </c>
      <c r="BJ3974" s="5" t="s">
        <v>240</v>
      </c>
      <c r="BK3974" s="8">
        <f>14.44</f>
        <v>14.44</v>
      </c>
      <c r="BL3974" s="7">
        <f>23207</f>
        <v>23207</v>
      </c>
      <c r="BM3974" s="5" t="s">
        <v>258</v>
      </c>
      <c r="BN3974" s="5" t="s">
        <v>259</v>
      </c>
      <c r="BO3974" s="5" t="s">
        <v>240</v>
      </c>
      <c r="BP3974" s="5" t="s">
        <v>240</v>
      </c>
      <c r="BQ3974" s="5" t="s">
        <v>240</v>
      </c>
      <c r="BR3974" s="5" t="s">
        <v>240</v>
      </c>
      <c r="BW3974" s="6" t="s">
        <v>240</v>
      </c>
      <c r="BX3974" s="5" t="s">
        <v>240</v>
      </c>
      <c r="BY3974" s="5" t="s">
        <v>240</v>
      </c>
      <c r="BZ3974" s="5" t="s">
        <v>240</v>
      </c>
      <c r="CA3974" s="5" t="s">
        <v>259</v>
      </c>
      <c r="CB3974" s="5" t="s">
        <v>240</v>
      </c>
      <c r="CC3974" s="5" t="s">
        <v>240</v>
      </c>
      <c r="CG3974" s="5" t="s">
        <v>240</v>
      </c>
      <c r="CH3974" s="5" t="s">
        <v>240</v>
      </c>
      <c r="CI3974" s="5" t="s">
        <v>260</v>
      </c>
      <c r="CJ3974" s="5" t="s">
        <v>7229</v>
      </c>
      <c r="CK3974" s="5" t="s">
        <v>6846</v>
      </c>
      <c r="CL3974" s="6" t="s">
        <v>261</v>
      </c>
      <c r="CM3974" s="5" t="s">
        <v>262</v>
      </c>
      <c r="CN3974" s="5" t="s">
        <v>263</v>
      </c>
      <c r="CO3974" s="5" t="s">
        <v>264</v>
      </c>
      <c r="CP3974" s="5" t="s">
        <v>240</v>
      </c>
      <c r="CQ3974" s="5">
        <v>0</v>
      </c>
      <c r="CR3974" s="5" t="s">
        <v>735</v>
      </c>
      <c r="CS3974" s="5" t="s">
        <v>307</v>
      </c>
      <c r="CT3974" s="5" t="s">
        <v>307</v>
      </c>
      <c r="CU3974" s="5" t="s">
        <v>260</v>
      </c>
      <c r="CV3974" s="5" t="s">
        <v>240</v>
      </c>
      <c r="CW3974" s="8">
        <f>1607</f>
        <v>1607</v>
      </c>
      <c r="CX3974" s="7">
        <f>23207</f>
        <v>23207</v>
      </c>
      <c r="CY3974" s="7">
        <f>0</f>
        <v>0</v>
      </c>
      <c r="CZ3974" s="7">
        <f>0</f>
        <v>0</v>
      </c>
      <c r="DA3974" s="7">
        <f>23207</f>
        <v>23207</v>
      </c>
      <c r="DB3974" s="7" t="s">
        <v>240</v>
      </c>
      <c r="DC3974" s="5" t="s">
        <v>240</v>
      </c>
      <c r="DD3974" s="5" t="s">
        <v>240</v>
      </c>
      <c r="DF3974" s="5" t="s">
        <v>812</v>
      </c>
      <c r="DG3974" s="7">
        <f>14.44</f>
        <v>14.44</v>
      </c>
      <c r="DH3974" s="6" t="s">
        <v>6846</v>
      </c>
      <c r="DI3974" s="5" t="s">
        <v>812</v>
      </c>
      <c r="DJ3974" s="5" t="s">
        <v>240</v>
      </c>
      <c r="DK3974" s="5" t="s">
        <v>240</v>
      </c>
      <c r="DL3974" s="5" t="s">
        <v>240</v>
      </c>
      <c r="DM3974" s="5" t="s">
        <v>240</v>
      </c>
      <c r="DN3974" s="5" t="s">
        <v>240</v>
      </c>
      <c r="DO3974" s="7" t="s">
        <v>240</v>
      </c>
      <c r="DP3974" s="5" t="s">
        <v>240</v>
      </c>
      <c r="DQ3974" s="5" t="s">
        <v>248</v>
      </c>
      <c r="DR3974" s="5" t="s">
        <v>731</v>
      </c>
      <c r="DS3974" s="5" t="s">
        <v>731</v>
      </c>
      <c r="DT3974" s="5" t="s">
        <v>240</v>
      </c>
      <c r="DU3974" s="5" t="s">
        <v>240</v>
      </c>
      <c r="HR3974" s="5" t="s">
        <v>240</v>
      </c>
      <c r="HS3974" s="5" t="s">
        <v>240</v>
      </c>
      <c r="HT3974" s="5" t="s">
        <v>240</v>
      </c>
      <c r="HU3974" s="5" t="s">
        <v>240</v>
      </c>
      <c r="HV3974" s="5" t="s">
        <v>240</v>
      </c>
      <c r="HW3974" s="5" t="s">
        <v>240</v>
      </c>
      <c r="HX3974" s="5" t="s">
        <v>240</v>
      </c>
      <c r="HY3974" s="5" t="s">
        <v>240</v>
      </c>
      <c r="HZ3974" s="5" t="s">
        <v>240</v>
      </c>
      <c r="IA3974" s="5" t="s">
        <v>240</v>
      </c>
      <c r="IB3974" s="5" t="s">
        <v>240</v>
      </c>
      <c r="IC3974" s="5" t="s">
        <v>240</v>
      </c>
      <c r="ID3974" s="5" t="s">
        <v>240</v>
      </c>
      <c r="IE3974" s="5" t="s">
        <v>240</v>
      </c>
      <c r="IF3974" s="5" t="s">
        <v>240</v>
      </c>
    </row>
    <row r="3975" spans="1:240" x14ac:dyDescent="0.4">
      <c r="A3975" s="5">
        <v>9547</v>
      </c>
      <c r="B3975" s="5">
        <v>1</v>
      </c>
      <c r="C3975" s="5">
        <v>1</v>
      </c>
      <c r="D3975" s="5" t="s">
        <v>297</v>
      </c>
      <c r="E3975" s="5" t="s">
        <v>245</v>
      </c>
      <c r="F3975" s="5" t="s">
        <v>254</v>
      </c>
      <c r="G3975" s="5" t="s">
        <v>7001</v>
      </c>
      <c r="H3975" s="6" t="s">
        <v>6916</v>
      </c>
      <c r="I3975" s="5" t="s">
        <v>6999</v>
      </c>
      <c r="J3975" s="7">
        <f>1</f>
        <v>1</v>
      </c>
      <c r="K3975" s="5" t="s">
        <v>6749</v>
      </c>
      <c r="L3975" s="7">
        <f>778149</f>
        <v>778149</v>
      </c>
      <c r="M3975" s="7">
        <f>778149</f>
        <v>778149</v>
      </c>
      <c r="N3975" s="5" t="s">
        <v>242</v>
      </c>
      <c r="O3975" s="5">
        <v>1</v>
      </c>
      <c r="P3975" s="5" t="s">
        <v>294</v>
      </c>
      <c r="Q3975" s="5" t="s">
        <v>613</v>
      </c>
      <c r="T3975" s="5" t="s">
        <v>243</v>
      </c>
      <c r="U3975" s="5" t="s">
        <v>244</v>
      </c>
      <c r="V3975" s="5" t="s">
        <v>240</v>
      </c>
      <c r="Y3975" s="5" t="s">
        <v>240</v>
      </c>
      <c r="Z3975" s="6" t="s">
        <v>298</v>
      </c>
      <c r="AA3975" s="6" t="s">
        <v>240</v>
      </c>
      <c r="AB3975" s="6" t="s">
        <v>240</v>
      </c>
      <c r="AC3975" s="5" t="s">
        <v>240</v>
      </c>
      <c r="AD3975" s="6" t="s">
        <v>240</v>
      </c>
      <c r="AE3975" s="6" t="s">
        <v>299</v>
      </c>
      <c r="AF3975" s="5" t="s">
        <v>248</v>
      </c>
      <c r="AG3975" s="5" t="s">
        <v>249</v>
      </c>
      <c r="AM3975" s="5" t="s">
        <v>240</v>
      </c>
      <c r="AN3975" s="5" t="s">
        <v>240</v>
      </c>
      <c r="AO3975" s="5" t="s">
        <v>240</v>
      </c>
      <c r="AP3975" s="6" t="s">
        <v>240</v>
      </c>
      <c r="AQ3975" s="6" t="s">
        <v>240</v>
      </c>
      <c r="AW3975" s="5" t="s">
        <v>251</v>
      </c>
      <c r="AX3975" s="5" t="s">
        <v>252</v>
      </c>
      <c r="AY3975" s="5" t="s">
        <v>253</v>
      </c>
      <c r="AZ3975" s="5" t="s">
        <v>6046</v>
      </c>
      <c r="BA3975" s="5" t="s">
        <v>255</v>
      </c>
      <c r="BB3975" s="5" t="s">
        <v>731</v>
      </c>
      <c r="BD3975" s="5" t="s">
        <v>686</v>
      </c>
      <c r="BF3975" s="5" t="s">
        <v>301</v>
      </c>
      <c r="BG3975" s="6" t="s">
        <v>733</v>
      </c>
      <c r="BH3975" s="5" t="s">
        <v>302</v>
      </c>
      <c r="BI3975" s="5" t="s">
        <v>303</v>
      </c>
      <c r="BJ3975" s="5" t="s">
        <v>240</v>
      </c>
      <c r="BK3975" s="8">
        <f>0</f>
        <v>0</v>
      </c>
      <c r="BL3975" s="7">
        <f>0</f>
        <v>0</v>
      </c>
      <c r="BM3975" s="5" t="s">
        <v>258</v>
      </c>
      <c r="BN3975" s="5" t="s">
        <v>259</v>
      </c>
      <c r="BW3975" s="6" t="s">
        <v>240</v>
      </c>
      <c r="BX3975" s="5" t="s">
        <v>240</v>
      </c>
      <c r="BY3975" s="5" t="s">
        <v>240</v>
      </c>
      <c r="BZ3975" s="5" t="s">
        <v>240</v>
      </c>
      <c r="CB3975" s="5" t="s">
        <v>240</v>
      </c>
      <c r="CC3975" s="5" t="s">
        <v>240</v>
      </c>
      <c r="CG3975" s="5" t="s">
        <v>617</v>
      </c>
      <c r="CH3975" s="5" t="s">
        <v>305</v>
      </c>
      <c r="CI3975" s="5" t="s">
        <v>260</v>
      </c>
      <c r="CK3975" s="5" t="s">
        <v>240</v>
      </c>
      <c r="CL3975" s="6" t="s">
        <v>261</v>
      </c>
      <c r="CM3975" s="5" t="s">
        <v>240</v>
      </c>
      <c r="CN3975" s="5" t="s">
        <v>263</v>
      </c>
      <c r="CO3975" s="5" t="s">
        <v>240</v>
      </c>
      <c r="CP3975" s="5" t="s">
        <v>240</v>
      </c>
      <c r="CQ3975" s="5">
        <v>0</v>
      </c>
      <c r="CR3975" s="5" t="s">
        <v>735</v>
      </c>
      <c r="CS3975" s="5" t="s">
        <v>307</v>
      </c>
      <c r="CT3975" s="5" t="s">
        <v>307</v>
      </c>
      <c r="CU3975" s="5" t="s">
        <v>260</v>
      </c>
      <c r="CV3975" s="5" t="s">
        <v>240</v>
      </c>
      <c r="CW3975" s="8" t="s">
        <v>240</v>
      </c>
      <c r="CX3975" s="7">
        <f>837347</f>
        <v>837347</v>
      </c>
      <c r="CY3975" s="7">
        <f>0</f>
        <v>0</v>
      </c>
      <c r="CZ3975" s="7" t="s">
        <v>240</v>
      </c>
      <c r="DA3975" s="7">
        <f>0</f>
        <v>0</v>
      </c>
      <c r="DB3975" s="7" t="s">
        <v>240</v>
      </c>
      <c r="DC3975" s="5" t="s">
        <v>843</v>
      </c>
      <c r="DD3975" s="5" t="s">
        <v>240</v>
      </c>
      <c r="DF3975" s="5" t="s">
        <v>450</v>
      </c>
      <c r="DG3975" s="7">
        <f>0</f>
        <v>0</v>
      </c>
      <c r="DH3975" s="6" t="s">
        <v>240</v>
      </c>
      <c r="DI3975" s="5" t="s">
        <v>843</v>
      </c>
      <c r="DJ3975" s="5" t="s">
        <v>240</v>
      </c>
      <c r="DK3975" s="5" t="s">
        <v>240</v>
      </c>
      <c r="DL3975" s="5" t="s">
        <v>240</v>
      </c>
      <c r="DM3975" s="5" t="s">
        <v>240</v>
      </c>
      <c r="DN3975" s="5" t="s">
        <v>240</v>
      </c>
      <c r="DO3975" s="7" t="s">
        <v>240</v>
      </c>
      <c r="DP3975" s="5" t="s">
        <v>240</v>
      </c>
      <c r="DQ3975" s="5" t="s">
        <v>248</v>
      </c>
      <c r="DR3975" s="5" t="s">
        <v>731</v>
      </c>
      <c r="DS3975" s="5" t="s">
        <v>731</v>
      </c>
      <c r="DT3975" s="5" t="s">
        <v>240</v>
      </c>
      <c r="DU3975" s="5" t="s">
        <v>240</v>
      </c>
      <c r="DV3975" s="5" t="s">
        <v>6839</v>
      </c>
      <c r="DW3975" s="5" t="s">
        <v>797</v>
      </c>
    </row>
    <row r="3976" spans="1:240" x14ac:dyDescent="0.4">
      <c r="A3976" s="5">
        <v>9548</v>
      </c>
      <c r="B3976" s="5">
        <v>1</v>
      </c>
      <c r="C3976" s="5">
        <v>3</v>
      </c>
      <c r="D3976" s="5" t="s">
        <v>240</v>
      </c>
      <c r="E3976" s="5" t="s">
        <v>418</v>
      </c>
      <c r="F3976" s="5" t="s">
        <v>254</v>
      </c>
      <c r="G3976" s="5" t="s">
        <v>240</v>
      </c>
      <c r="H3976" s="6" t="s">
        <v>5133</v>
      </c>
      <c r="I3976" s="5" t="s">
        <v>417</v>
      </c>
      <c r="J3976" s="7">
        <f>0</f>
        <v>0</v>
      </c>
      <c r="K3976" s="5" t="s">
        <v>266</v>
      </c>
      <c r="L3976" s="7">
        <f>5495327</f>
        <v>5495327</v>
      </c>
      <c r="M3976" s="7">
        <f>5495327</f>
        <v>5495327</v>
      </c>
      <c r="N3976" s="5" t="s">
        <v>242</v>
      </c>
      <c r="O3976" s="5">
        <v>1</v>
      </c>
      <c r="P3976" s="5" t="s">
        <v>294</v>
      </c>
      <c r="Q3976" s="5" t="s">
        <v>3678</v>
      </c>
      <c r="T3976" s="5" t="s">
        <v>243</v>
      </c>
      <c r="U3976" s="5" t="s">
        <v>244</v>
      </c>
      <c r="V3976" s="5" t="s">
        <v>240</v>
      </c>
      <c r="Y3976" s="5" t="s">
        <v>240</v>
      </c>
      <c r="Z3976" s="6" t="s">
        <v>298</v>
      </c>
      <c r="AA3976" s="6" t="s">
        <v>240</v>
      </c>
      <c r="AB3976" s="6" t="s">
        <v>240</v>
      </c>
      <c r="AC3976" s="5" t="s">
        <v>240</v>
      </c>
      <c r="AD3976" s="6" t="s">
        <v>240</v>
      </c>
      <c r="AE3976" s="6" t="s">
        <v>299</v>
      </c>
      <c r="AF3976" s="5" t="s">
        <v>248</v>
      </c>
      <c r="AG3976" s="5" t="s">
        <v>249</v>
      </c>
      <c r="AM3976" s="5" t="s">
        <v>240</v>
      </c>
      <c r="AN3976" s="5" t="s">
        <v>240</v>
      </c>
      <c r="AO3976" s="5" t="s">
        <v>240</v>
      </c>
      <c r="AP3976" s="6" t="s">
        <v>240</v>
      </c>
      <c r="AQ3976" s="6" t="s">
        <v>240</v>
      </c>
      <c r="AR3976" s="6" t="s">
        <v>240</v>
      </c>
      <c r="AU3976" s="5" t="s">
        <v>729</v>
      </c>
      <c r="AV3976" s="5" t="s">
        <v>729</v>
      </c>
      <c r="AW3976" s="5" t="s">
        <v>251</v>
      </c>
      <c r="AX3976" s="5" t="s">
        <v>252</v>
      </c>
      <c r="AY3976" s="5" t="s">
        <v>253</v>
      </c>
      <c r="AZ3976" s="5" t="s">
        <v>6046</v>
      </c>
      <c r="BA3976" s="5" t="s">
        <v>255</v>
      </c>
      <c r="BB3976" s="5" t="s">
        <v>731</v>
      </c>
      <c r="BD3976" s="5" t="s">
        <v>240</v>
      </c>
      <c r="BF3976" s="5" t="s">
        <v>732</v>
      </c>
      <c r="BG3976" s="6" t="s">
        <v>733</v>
      </c>
      <c r="BH3976" s="5" t="s">
        <v>734</v>
      </c>
      <c r="BI3976" s="5" t="s">
        <v>734</v>
      </c>
      <c r="BJ3976" s="5" t="s">
        <v>240</v>
      </c>
      <c r="BK3976" s="7">
        <f>1</f>
        <v>1</v>
      </c>
      <c r="BL3976" s="7">
        <f>1</f>
        <v>1</v>
      </c>
      <c r="BM3976" s="5" t="s">
        <v>258</v>
      </c>
      <c r="BN3976" s="5" t="s">
        <v>259</v>
      </c>
      <c r="BO3976" s="5" t="s">
        <v>240</v>
      </c>
      <c r="BP3976" s="5" t="s">
        <v>240</v>
      </c>
      <c r="BQ3976" s="5" t="s">
        <v>240</v>
      </c>
      <c r="BR3976" s="5" t="s">
        <v>240</v>
      </c>
      <c r="BW3976" s="6" t="s">
        <v>240</v>
      </c>
      <c r="BX3976" s="5" t="s">
        <v>240</v>
      </c>
      <c r="BY3976" s="5" t="s">
        <v>240</v>
      </c>
      <c r="BZ3976" s="5" t="s">
        <v>240</v>
      </c>
      <c r="CA3976" s="5" t="s">
        <v>259</v>
      </c>
      <c r="CB3976" s="5" t="s">
        <v>240</v>
      </c>
      <c r="CC3976" s="5" t="s">
        <v>240</v>
      </c>
      <c r="CG3976" s="5" t="s">
        <v>304</v>
      </c>
      <c r="CH3976" s="5" t="s">
        <v>305</v>
      </c>
      <c r="CI3976" s="5" t="s">
        <v>260</v>
      </c>
      <c r="CK3976" s="5" t="s">
        <v>3681</v>
      </c>
      <c r="CL3976" s="6" t="s">
        <v>261</v>
      </c>
      <c r="CM3976" s="5" t="s">
        <v>262</v>
      </c>
      <c r="CN3976" s="5" t="s">
        <v>263</v>
      </c>
      <c r="CO3976" s="5" t="s">
        <v>264</v>
      </c>
      <c r="CP3976" s="5" t="s">
        <v>240</v>
      </c>
      <c r="CQ3976" s="5">
        <v>0</v>
      </c>
      <c r="CR3976" s="5" t="s">
        <v>735</v>
      </c>
      <c r="CS3976" s="5" t="s">
        <v>307</v>
      </c>
      <c r="CT3976" s="5" t="s">
        <v>307</v>
      </c>
      <c r="CU3976" s="5" t="s">
        <v>260</v>
      </c>
      <c r="CV3976" s="5" t="s">
        <v>612</v>
      </c>
      <c r="CW3976" s="8">
        <f>1</f>
        <v>1</v>
      </c>
      <c r="CX3976" s="7">
        <f>1</f>
        <v>1</v>
      </c>
      <c r="CY3976" s="7">
        <f>0</f>
        <v>0</v>
      </c>
      <c r="CZ3976" s="7" t="s">
        <v>240</v>
      </c>
      <c r="DA3976" s="7">
        <f>1</f>
        <v>1</v>
      </c>
      <c r="DB3976" s="7" t="s">
        <v>240</v>
      </c>
      <c r="DC3976" s="5" t="s">
        <v>240</v>
      </c>
      <c r="DD3976" s="5" t="s">
        <v>240</v>
      </c>
      <c r="DF3976" s="5" t="s">
        <v>240</v>
      </c>
      <c r="DG3976" s="7">
        <f>0</f>
        <v>0</v>
      </c>
      <c r="DH3976" s="6" t="s">
        <v>240</v>
      </c>
      <c r="DI3976" s="5" t="s">
        <v>240</v>
      </c>
      <c r="DJ3976" s="5" t="s">
        <v>240</v>
      </c>
      <c r="DK3976" s="5" t="s">
        <v>240</v>
      </c>
      <c r="DL3976" s="5" t="s">
        <v>240</v>
      </c>
      <c r="DM3976" s="5" t="s">
        <v>240</v>
      </c>
      <c r="DN3976" s="5" t="s">
        <v>240</v>
      </c>
      <c r="DO3976" s="7" t="s">
        <v>240</v>
      </c>
      <c r="DP3976" s="5" t="s">
        <v>240</v>
      </c>
      <c r="DQ3976" s="5" t="s">
        <v>248</v>
      </c>
      <c r="DR3976" s="5" t="s">
        <v>731</v>
      </c>
      <c r="DS3976" s="5" t="s">
        <v>731</v>
      </c>
      <c r="DT3976" s="5" t="s">
        <v>240</v>
      </c>
      <c r="DU3976" s="5" t="s">
        <v>240</v>
      </c>
      <c r="DV3976" s="5" t="s">
        <v>5063</v>
      </c>
      <c r="DW3976" s="5" t="s">
        <v>818</v>
      </c>
      <c r="HR3976" s="5" t="s">
        <v>240</v>
      </c>
      <c r="HS3976" s="5" t="s">
        <v>240</v>
      </c>
      <c r="HT3976" s="5" t="s">
        <v>240</v>
      </c>
      <c r="HU3976" s="5" t="s">
        <v>240</v>
      </c>
      <c r="HV3976" s="5" t="s">
        <v>240</v>
      </c>
      <c r="HW3976" s="5" t="s">
        <v>240</v>
      </c>
      <c r="HX3976" s="5" t="s">
        <v>240</v>
      </c>
      <c r="HY3976" s="5" t="s">
        <v>240</v>
      </c>
      <c r="HZ3976" s="5" t="s">
        <v>240</v>
      </c>
      <c r="IA3976" s="5" t="s">
        <v>240</v>
      </c>
      <c r="IB3976" s="5" t="s">
        <v>240</v>
      </c>
      <c r="IC3976" s="5" t="s">
        <v>240</v>
      </c>
      <c r="ID3976" s="5" t="s">
        <v>240</v>
      </c>
      <c r="IE3976" s="5" t="s">
        <v>240</v>
      </c>
      <c r="IF3976" s="5" t="s">
        <v>240</v>
      </c>
    </row>
    <row r="3977" spans="1:240" x14ac:dyDescent="0.4">
      <c r="A3977" s="5">
        <v>9549</v>
      </c>
      <c r="B3977" s="5">
        <v>1</v>
      </c>
      <c r="C3977" s="5">
        <v>2</v>
      </c>
      <c r="D3977" s="5" t="s">
        <v>240</v>
      </c>
      <c r="E3977" s="5" t="s">
        <v>418</v>
      </c>
      <c r="F3977" s="5" t="s">
        <v>254</v>
      </c>
      <c r="G3977" s="5" t="s">
        <v>240</v>
      </c>
      <c r="H3977" s="6" t="s">
        <v>420</v>
      </c>
      <c r="I3977" s="5" t="s">
        <v>417</v>
      </c>
      <c r="J3977" s="7">
        <f>0</f>
        <v>0</v>
      </c>
      <c r="K3977" s="5" t="s">
        <v>266</v>
      </c>
      <c r="L3977" s="7">
        <f>6978267</f>
        <v>6978267</v>
      </c>
      <c r="M3977" s="7">
        <f>6978267</f>
        <v>6978267</v>
      </c>
      <c r="N3977" s="5" t="s">
        <v>242</v>
      </c>
      <c r="O3977" s="5">
        <v>1</v>
      </c>
      <c r="P3977" s="5" t="s">
        <v>294</v>
      </c>
      <c r="Q3977" s="5" t="s">
        <v>240</v>
      </c>
      <c r="T3977" s="5" t="s">
        <v>240</v>
      </c>
      <c r="U3977" s="5" t="s">
        <v>240</v>
      </c>
      <c r="V3977" s="5" t="s">
        <v>240</v>
      </c>
      <c r="Y3977" s="5" t="s">
        <v>245</v>
      </c>
      <c r="Z3977" s="6" t="s">
        <v>7234</v>
      </c>
      <c r="AA3977" s="6" t="s">
        <v>240</v>
      </c>
      <c r="AB3977" s="6" t="s">
        <v>240</v>
      </c>
      <c r="AC3977" s="5" t="s">
        <v>240</v>
      </c>
      <c r="AD3977" s="6" t="s">
        <v>240</v>
      </c>
      <c r="AE3977" s="6" t="s">
        <v>7234</v>
      </c>
      <c r="AF3977" s="5" t="s">
        <v>248</v>
      </c>
      <c r="AG3977" s="5" t="s">
        <v>240</v>
      </c>
      <c r="AM3977" s="5" t="s">
        <v>240</v>
      </c>
      <c r="AN3977" s="5" t="s">
        <v>240</v>
      </c>
      <c r="AO3977" s="5" t="s">
        <v>240</v>
      </c>
      <c r="AP3977" s="6" t="s">
        <v>240</v>
      </c>
      <c r="AQ3977" s="6" t="s">
        <v>240</v>
      </c>
      <c r="AR3977" s="6" t="s">
        <v>240</v>
      </c>
      <c r="AU3977" s="5" t="s">
        <v>729</v>
      </c>
      <c r="AV3977" s="5" t="s">
        <v>729</v>
      </c>
      <c r="AW3977" s="5" t="s">
        <v>251</v>
      </c>
      <c r="AX3977" s="5" t="s">
        <v>252</v>
      </c>
      <c r="AY3977" s="5" t="s">
        <v>253</v>
      </c>
      <c r="AZ3977" s="5" t="s">
        <v>240</v>
      </c>
      <c r="BA3977" s="5" t="s">
        <v>255</v>
      </c>
      <c r="BB3977" s="5" t="s">
        <v>731</v>
      </c>
      <c r="BD3977" s="5" t="s">
        <v>240</v>
      </c>
      <c r="BF3977" s="5" t="s">
        <v>6763</v>
      </c>
      <c r="BG3977" s="6" t="s">
        <v>7036</v>
      </c>
      <c r="BH3977" s="5" t="s">
        <v>6742</v>
      </c>
      <c r="BI3977" s="5" t="s">
        <v>6743</v>
      </c>
      <c r="BJ3977" s="5" t="s">
        <v>240</v>
      </c>
      <c r="BK3977" s="7">
        <f>0</f>
        <v>0</v>
      </c>
      <c r="BL3977" s="7">
        <f>72900</f>
        <v>72900</v>
      </c>
      <c r="BM3977" s="5" t="s">
        <v>258</v>
      </c>
      <c r="BN3977" s="5" t="s">
        <v>259</v>
      </c>
      <c r="BO3977" s="5" t="s">
        <v>6744</v>
      </c>
      <c r="BP3977" s="5" t="s">
        <v>6745</v>
      </c>
      <c r="BQ3977" s="5" t="s">
        <v>6745</v>
      </c>
      <c r="BR3977" s="5" t="s">
        <v>240</v>
      </c>
      <c r="BS3977" s="5" t="s">
        <v>258</v>
      </c>
      <c r="BT3977" s="5" t="s">
        <v>6747</v>
      </c>
      <c r="BU3977" s="5" t="s">
        <v>6747</v>
      </c>
      <c r="BW3977" s="6" t="s">
        <v>7236</v>
      </c>
      <c r="BX3977" s="5" t="s">
        <v>258</v>
      </c>
      <c r="BY3977" s="5" t="s">
        <v>240</v>
      </c>
      <c r="BZ3977" s="5" t="s">
        <v>240</v>
      </c>
      <c r="CA3977" s="5" t="s">
        <v>259</v>
      </c>
      <c r="CB3977" s="5" t="s">
        <v>240</v>
      </c>
      <c r="CC3977" s="5" t="s">
        <v>240</v>
      </c>
      <c r="CG3977" s="5" t="s">
        <v>240</v>
      </c>
      <c r="CH3977" s="5" t="s">
        <v>240</v>
      </c>
      <c r="CI3977" s="5" t="s">
        <v>260</v>
      </c>
      <c r="CK3977" s="5" t="s">
        <v>240</v>
      </c>
      <c r="CL3977" s="6" t="s">
        <v>261</v>
      </c>
      <c r="CM3977" s="5" t="s">
        <v>262</v>
      </c>
      <c r="CN3977" s="5" t="s">
        <v>293</v>
      </c>
      <c r="CO3977" s="5" t="s">
        <v>264</v>
      </c>
      <c r="CP3977" s="5" t="s">
        <v>240</v>
      </c>
      <c r="CQ3977" s="5">
        <v>0</v>
      </c>
      <c r="CR3977" s="5" t="s">
        <v>240</v>
      </c>
      <c r="CS3977" s="5" t="s">
        <v>240</v>
      </c>
      <c r="CT3977" s="5" t="s">
        <v>240</v>
      </c>
      <c r="CU3977" s="5" t="s">
        <v>260</v>
      </c>
      <c r="CV3977" s="5" t="s">
        <v>240</v>
      </c>
      <c r="CW3977" s="8">
        <f>0</f>
        <v>0</v>
      </c>
      <c r="CX3977" s="7">
        <f>72900</f>
        <v>72900</v>
      </c>
      <c r="CY3977" s="7">
        <f>0</f>
        <v>0</v>
      </c>
      <c r="CZ3977" s="7">
        <f>0</f>
        <v>0</v>
      </c>
      <c r="DA3977" s="7">
        <f>72900</f>
        <v>72900</v>
      </c>
      <c r="DB3977" s="7" t="s">
        <v>240</v>
      </c>
      <c r="DC3977" s="5" t="s">
        <v>240</v>
      </c>
      <c r="DD3977" s="5" t="s">
        <v>240</v>
      </c>
      <c r="DF3977" s="5" t="s">
        <v>240</v>
      </c>
      <c r="DG3977" s="7">
        <f>0</f>
        <v>0</v>
      </c>
      <c r="DH3977" s="6" t="s">
        <v>240</v>
      </c>
      <c r="DI3977" s="5" t="s">
        <v>240</v>
      </c>
      <c r="DJ3977" s="5" t="s">
        <v>240</v>
      </c>
      <c r="DK3977" s="5" t="s">
        <v>240</v>
      </c>
      <c r="DL3977" s="5" t="s">
        <v>240</v>
      </c>
      <c r="DM3977" s="5" t="s">
        <v>240</v>
      </c>
      <c r="DN3977" s="5" t="s">
        <v>240</v>
      </c>
      <c r="DO3977" s="7" t="s">
        <v>240</v>
      </c>
      <c r="DP3977" s="5" t="s">
        <v>240</v>
      </c>
      <c r="DQ3977" s="5" t="s">
        <v>248</v>
      </c>
      <c r="DR3977" s="5" t="s">
        <v>731</v>
      </c>
      <c r="DS3977" s="5" t="s">
        <v>731</v>
      </c>
      <c r="DT3977" s="5" t="s">
        <v>240</v>
      </c>
      <c r="DU3977" s="5" t="s">
        <v>240</v>
      </c>
      <c r="GN3977" s="5" t="s">
        <v>7237</v>
      </c>
      <c r="HR3977" s="5" t="s">
        <v>240</v>
      </c>
      <c r="HS3977" s="5" t="s">
        <v>240</v>
      </c>
      <c r="HT3977" s="5" t="s">
        <v>240</v>
      </c>
      <c r="HU3977" s="5" t="s">
        <v>240</v>
      </c>
      <c r="HV3977" s="5" t="s">
        <v>240</v>
      </c>
      <c r="HW3977" s="5" t="s">
        <v>240</v>
      </c>
      <c r="HX3977" s="5" t="s">
        <v>240</v>
      </c>
      <c r="HY3977" s="5" t="s">
        <v>240</v>
      </c>
      <c r="HZ3977" s="5" t="s">
        <v>240</v>
      </c>
      <c r="IA3977" s="5" t="s">
        <v>240</v>
      </c>
      <c r="IB3977" s="5" t="s">
        <v>240</v>
      </c>
      <c r="IC3977" s="5" t="s">
        <v>240</v>
      </c>
      <c r="ID3977" s="5" t="s">
        <v>240</v>
      </c>
      <c r="IE3977" s="5" t="s">
        <v>240</v>
      </c>
      <c r="IF3977" s="5" t="s">
        <v>240</v>
      </c>
    </row>
    <row r="3978" spans="1:240" x14ac:dyDescent="0.4">
      <c r="A3978" s="5">
        <v>9550</v>
      </c>
      <c r="B3978" s="5">
        <v>1</v>
      </c>
      <c r="C3978" s="5">
        <v>10</v>
      </c>
      <c r="D3978" s="5" t="s">
        <v>240</v>
      </c>
      <c r="E3978" s="5" t="s">
        <v>245</v>
      </c>
      <c r="F3978" s="5" t="s">
        <v>254</v>
      </c>
      <c r="G3978" s="5" t="s">
        <v>240</v>
      </c>
      <c r="H3978" s="6" t="s">
        <v>285</v>
      </c>
      <c r="I3978" s="5" t="s">
        <v>6552</v>
      </c>
      <c r="J3978" s="7">
        <f>0</f>
        <v>0</v>
      </c>
      <c r="K3978" s="5" t="s">
        <v>266</v>
      </c>
      <c r="L3978" s="7">
        <f>11709201</f>
        <v>11709201</v>
      </c>
      <c r="M3978" s="7">
        <f>11709201</f>
        <v>11709201</v>
      </c>
      <c r="N3978" s="5" t="s">
        <v>242</v>
      </c>
      <c r="O3978" s="5">
        <v>1</v>
      </c>
      <c r="P3978" s="5" t="s">
        <v>294</v>
      </c>
      <c r="Q3978" s="5" t="s">
        <v>3678</v>
      </c>
      <c r="T3978" s="5" t="s">
        <v>243</v>
      </c>
      <c r="U3978" s="5" t="s">
        <v>244</v>
      </c>
      <c r="V3978" s="5" t="s">
        <v>240</v>
      </c>
      <c r="Y3978" s="5" t="s">
        <v>240</v>
      </c>
      <c r="Z3978" s="6" t="s">
        <v>298</v>
      </c>
      <c r="AA3978" s="6" t="s">
        <v>240</v>
      </c>
      <c r="AB3978" s="6" t="s">
        <v>240</v>
      </c>
      <c r="AC3978" s="5" t="s">
        <v>240</v>
      </c>
      <c r="AD3978" s="6" t="s">
        <v>240</v>
      </c>
      <c r="AE3978" s="6" t="s">
        <v>6769</v>
      </c>
      <c r="AF3978" s="5" t="s">
        <v>248</v>
      </c>
      <c r="AG3978" s="5" t="s">
        <v>249</v>
      </c>
      <c r="AM3978" s="5" t="s">
        <v>240</v>
      </c>
      <c r="AN3978" s="5" t="s">
        <v>240</v>
      </c>
      <c r="AO3978" s="5" t="s">
        <v>240</v>
      </c>
      <c r="AP3978" s="6" t="s">
        <v>240</v>
      </c>
      <c r="AQ3978" s="6" t="s">
        <v>240</v>
      </c>
      <c r="AR3978" s="6" t="s">
        <v>240</v>
      </c>
      <c r="AU3978" s="5" t="s">
        <v>729</v>
      </c>
      <c r="AV3978" s="5" t="s">
        <v>729</v>
      </c>
      <c r="AW3978" s="5" t="s">
        <v>251</v>
      </c>
      <c r="AX3978" s="5" t="s">
        <v>252</v>
      </c>
      <c r="AY3978" s="5" t="s">
        <v>253</v>
      </c>
      <c r="AZ3978" s="5" t="s">
        <v>6046</v>
      </c>
      <c r="BA3978" s="5" t="s">
        <v>255</v>
      </c>
      <c r="BB3978" s="5" t="s">
        <v>731</v>
      </c>
      <c r="BD3978" s="5" t="s">
        <v>842</v>
      </c>
      <c r="BF3978" s="5" t="s">
        <v>732</v>
      </c>
      <c r="BG3978" s="6" t="s">
        <v>733</v>
      </c>
      <c r="BH3978" s="5" t="s">
        <v>734</v>
      </c>
      <c r="BI3978" s="5" t="s">
        <v>734</v>
      </c>
      <c r="BJ3978" s="5" t="s">
        <v>240</v>
      </c>
      <c r="BK3978" s="7">
        <f>1</f>
        <v>1</v>
      </c>
      <c r="BL3978" s="7">
        <f>1</f>
        <v>1</v>
      </c>
      <c r="BM3978" s="5" t="s">
        <v>258</v>
      </c>
      <c r="BN3978" s="5" t="s">
        <v>259</v>
      </c>
      <c r="BO3978" s="5" t="s">
        <v>240</v>
      </c>
      <c r="BP3978" s="5" t="s">
        <v>240</v>
      </c>
      <c r="BQ3978" s="5" t="s">
        <v>240</v>
      </c>
      <c r="BR3978" s="5" t="s">
        <v>240</v>
      </c>
      <c r="BW3978" s="6" t="s">
        <v>240</v>
      </c>
      <c r="BX3978" s="5" t="s">
        <v>240</v>
      </c>
      <c r="BY3978" s="5" t="s">
        <v>240</v>
      </c>
      <c r="BZ3978" s="5" t="s">
        <v>240</v>
      </c>
      <c r="CA3978" s="5" t="s">
        <v>259</v>
      </c>
      <c r="CB3978" s="5" t="s">
        <v>240</v>
      </c>
      <c r="CC3978" s="5" t="s">
        <v>240</v>
      </c>
      <c r="CG3978" s="5" t="s">
        <v>240</v>
      </c>
      <c r="CH3978" s="5" t="s">
        <v>240</v>
      </c>
      <c r="CI3978" s="5" t="s">
        <v>260</v>
      </c>
      <c r="CK3978" s="5" t="s">
        <v>240</v>
      </c>
      <c r="CL3978" s="6" t="s">
        <v>261</v>
      </c>
      <c r="CM3978" s="5" t="s">
        <v>262</v>
      </c>
      <c r="CN3978" s="5" t="s">
        <v>263</v>
      </c>
      <c r="CO3978" s="5" t="s">
        <v>264</v>
      </c>
      <c r="CP3978" s="5" t="s">
        <v>240</v>
      </c>
      <c r="CQ3978" s="5">
        <v>0</v>
      </c>
      <c r="CR3978" s="5" t="s">
        <v>735</v>
      </c>
      <c r="CS3978" s="5" t="s">
        <v>307</v>
      </c>
      <c r="CT3978" s="5" t="s">
        <v>307</v>
      </c>
      <c r="CU3978" s="5" t="s">
        <v>260</v>
      </c>
      <c r="CV3978" s="5" t="s">
        <v>240</v>
      </c>
      <c r="CW3978" s="8">
        <f>1</f>
        <v>1</v>
      </c>
      <c r="CX3978" s="7">
        <f>1</f>
        <v>1</v>
      </c>
      <c r="CY3978" s="7">
        <f>0</f>
        <v>0</v>
      </c>
      <c r="CZ3978" s="7">
        <f>0</f>
        <v>0</v>
      </c>
      <c r="DA3978" s="7">
        <f>1</f>
        <v>1</v>
      </c>
      <c r="DB3978" s="7" t="s">
        <v>240</v>
      </c>
      <c r="DC3978" s="5" t="s">
        <v>240</v>
      </c>
      <c r="DD3978" s="5" t="s">
        <v>240</v>
      </c>
      <c r="DF3978" s="5" t="s">
        <v>240</v>
      </c>
      <c r="DG3978" s="7">
        <f>0</f>
        <v>0</v>
      </c>
      <c r="DH3978" s="6" t="s">
        <v>240</v>
      </c>
      <c r="DI3978" s="5" t="s">
        <v>240</v>
      </c>
      <c r="DJ3978" s="5" t="s">
        <v>240</v>
      </c>
      <c r="DK3978" s="5" t="s">
        <v>240</v>
      </c>
      <c r="DL3978" s="5" t="s">
        <v>240</v>
      </c>
      <c r="DM3978" s="5" t="s">
        <v>240</v>
      </c>
      <c r="DN3978" s="5" t="s">
        <v>240</v>
      </c>
      <c r="DO3978" s="7" t="s">
        <v>240</v>
      </c>
      <c r="DP3978" s="5" t="s">
        <v>240</v>
      </c>
      <c r="DQ3978" s="5" t="s">
        <v>248</v>
      </c>
      <c r="DR3978" s="5" t="s">
        <v>731</v>
      </c>
      <c r="DS3978" s="5" t="s">
        <v>731</v>
      </c>
      <c r="DT3978" s="5" t="s">
        <v>240</v>
      </c>
      <c r="DU3978" s="5" t="s">
        <v>240</v>
      </c>
      <c r="HR3978" s="5" t="s">
        <v>240</v>
      </c>
      <c r="HS3978" s="5" t="s">
        <v>240</v>
      </c>
      <c r="HT3978" s="5" t="s">
        <v>240</v>
      </c>
      <c r="HU3978" s="5" t="s">
        <v>240</v>
      </c>
      <c r="HV3978" s="5" t="s">
        <v>240</v>
      </c>
      <c r="HW3978" s="5" t="s">
        <v>240</v>
      </c>
      <c r="HX3978" s="5" t="s">
        <v>240</v>
      </c>
      <c r="HY3978" s="5" t="s">
        <v>240</v>
      </c>
      <c r="HZ3978" s="5" t="s">
        <v>240</v>
      </c>
      <c r="IA3978" s="5" t="s">
        <v>240</v>
      </c>
      <c r="IB3978" s="5" t="s">
        <v>240</v>
      </c>
      <c r="IC3978" s="5" t="s">
        <v>240</v>
      </c>
      <c r="ID3978" s="5" t="s">
        <v>240</v>
      </c>
      <c r="IE3978" s="5" t="s">
        <v>240</v>
      </c>
      <c r="IF3978" s="5" t="s">
        <v>240</v>
      </c>
    </row>
    <row r="3979" spans="1:240" x14ac:dyDescent="0.4">
      <c r="A3979" s="5">
        <v>9551</v>
      </c>
      <c r="B3979" s="5">
        <v>1</v>
      </c>
      <c r="C3979" s="5">
        <v>4</v>
      </c>
      <c r="D3979" s="5" t="s">
        <v>240</v>
      </c>
      <c r="E3979" s="5" t="s">
        <v>245</v>
      </c>
      <c r="F3979" s="5" t="s">
        <v>254</v>
      </c>
      <c r="G3979" s="5" t="s">
        <v>240</v>
      </c>
      <c r="H3979" s="6" t="s">
        <v>6097</v>
      </c>
      <c r="I3979" s="5" t="s">
        <v>6095</v>
      </c>
      <c r="J3979" s="7">
        <f>0</f>
        <v>0</v>
      </c>
      <c r="K3979" s="5" t="s">
        <v>266</v>
      </c>
      <c r="L3979" s="7">
        <f>29196165</f>
        <v>29196165</v>
      </c>
      <c r="M3979" s="7">
        <f>29196165</f>
        <v>29196165</v>
      </c>
      <c r="N3979" s="5" t="s">
        <v>242</v>
      </c>
      <c r="O3979" s="5">
        <v>1</v>
      </c>
      <c r="P3979" s="5" t="s">
        <v>294</v>
      </c>
      <c r="Q3979" s="5" t="s">
        <v>240</v>
      </c>
      <c r="T3979" s="5" t="s">
        <v>240</v>
      </c>
      <c r="U3979" s="5" t="s">
        <v>240</v>
      </c>
      <c r="V3979" s="5" t="s">
        <v>240</v>
      </c>
      <c r="Y3979" s="5" t="s">
        <v>245</v>
      </c>
      <c r="Z3979" s="6" t="s">
        <v>7241</v>
      </c>
      <c r="AA3979" s="6" t="s">
        <v>240</v>
      </c>
      <c r="AB3979" s="6" t="s">
        <v>240</v>
      </c>
      <c r="AC3979" s="5" t="s">
        <v>240</v>
      </c>
      <c r="AD3979" s="6" t="s">
        <v>240</v>
      </c>
      <c r="AE3979" s="6" t="s">
        <v>7241</v>
      </c>
      <c r="AF3979" s="5" t="s">
        <v>248</v>
      </c>
      <c r="AG3979" s="5" t="s">
        <v>240</v>
      </c>
      <c r="AM3979" s="5" t="s">
        <v>240</v>
      </c>
      <c r="AN3979" s="5" t="s">
        <v>240</v>
      </c>
      <c r="AO3979" s="5" t="s">
        <v>240</v>
      </c>
      <c r="AP3979" s="6" t="s">
        <v>240</v>
      </c>
      <c r="AQ3979" s="6" t="s">
        <v>240</v>
      </c>
      <c r="AR3979" s="6" t="s">
        <v>240</v>
      </c>
      <c r="AU3979" s="5" t="s">
        <v>729</v>
      </c>
      <c r="AV3979" s="5" t="s">
        <v>729</v>
      </c>
      <c r="AW3979" s="5" t="s">
        <v>251</v>
      </c>
      <c r="AX3979" s="5" t="s">
        <v>252</v>
      </c>
      <c r="AY3979" s="5" t="s">
        <v>253</v>
      </c>
      <c r="AZ3979" s="5" t="s">
        <v>240</v>
      </c>
      <c r="BA3979" s="5" t="s">
        <v>255</v>
      </c>
      <c r="BB3979" s="5" t="s">
        <v>731</v>
      </c>
      <c r="BD3979" s="5" t="s">
        <v>240</v>
      </c>
      <c r="BF3979" s="5" t="s">
        <v>6763</v>
      </c>
      <c r="BG3979" s="6" t="s">
        <v>6863</v>
      </c>
      <c r="BH3979" s="5" t="s">
        <v>6742</v>
      </c>
      <c r="BI3979" s="5" t="s">
        <v>6743</v>
      </c>
      <c r="BJ3979" s="5" t="s">
        <v>240</v>
      </c>
      <c r="BK3979" s="7">
        <f>0</f>
        <v>0</v>
      </c>
      <c r="BL3979" s="7">
        <f>182700</f>
        <v>182700</v>
      </c>
      <c r="BM3979" s="5" t="s">
        <v>258</v>
      </c>
      <c r="BN3979" s="5" t="s">
        <v>259</v>
      </c>
      <c r="BO3979" s="5" t="s">
        <v>6744</v>
      </c>
      <c r="BP3979" s="5" t="s">
        <v>6745</v>
      </c>
      <c r="BQ3979" s="5" t="s">
        <v>6745</v>
      </c>
      <c r="BR3979" s="5" t="s">
        <v>240</v>
      </c>
      <c r="BS3979" s="5" t="s">
        <v>258</v>
      </c>
      <c r="BT3979" s="5" t="s">
        <v>6747</v>
      </c>
      <c r="BU3979" s="5" t="s">
        <v>6747</v>
      </c>
      <c r="BW3979" s="6" t="s">
        <v>7243</v>
      </c>
      <c r="BX3979" s="5" t="s">
        <v>258</v>
      </c>
      <c r="BY3979" s="5" t="s">
        <v>240</v>
      </c>
      <c r="BZ3979" s="5" t="s">
        <v>240</v>
      </c>
      <c r="CA3979" s="5" t="s">
        <v>259</v>
      </c>
      <c r="CB3979" s="5" t="s">
        <v>240</v>
      </c>
      <c r="CC3979" s="5" t="s">
        <v>240</v>
      </c>
      <c r="CG3979" s="5" t="s">
        <v>240</v>
      </c>
      <c r="CH3979" s="5" t="s">
        <v>240</v>
      </c>
      <c r="CI3979" s="5" t="s">
        <v>260</v>
      </c>
      <c r="CK3979" s="5" t="s">
        <v>240</v>
      </c>
      <c r="CL3979" s="6" t="s">
        <v>261</v>
      </c>
      <c r="CM3979" s="5" t="s">
        <v>262</v>
      </c>
      <c r="CN3979" s="5" t="s">
        <v>293</v>
      </c>
      <c r="CO3979" s="5" t="s">
        <v>264</v>
      </c>
      <c r="CP3979" s="5" t="s">
        <v>240</v>
      </c>
      <c r="CQ3979" s="5">
        <v>0</v>
      </c>
      <c r="CR3979" s="5" t="s">
        <v>240</v>
      </c>
      <c r="CS3979" s="5" t="s">
        <v>240</v>
      </c>
      <c r="CT3979" s="5" t="s">
        <v>240</v>
      </c>
      <c r="CU3979" s="5" t="s">
        <v>260</v>
      </c>
      <c r="CV3979" s="5" t="s">
        <v>240</v>
      </c>
      <c r="CW3979" s="8">
        <f>0</f>
        <v>0</v>
      </c>
      <c r="CX3979" s="7">
        <f>182700</f>
        <v>182700</v>
      </c>
      <c r="CY3979" s="7">
        <f>0</f>
        <v>0</v>
      </c>
      <c r="CZ3979" s="7">
        <f>0</f>
        <v>0</v>
      </c>
      <c r="DA3979" s="7">
        <f>182700</f>
        <v>182700</v>
      </c>
      <c r="DB3979" s="7" t="s">
        <v>240</v>
      </c>
      <c r="DC3979" s="5" t="s">
        <v>240</v>
      </c>
      <c r="DD3979" s="5" t="s">
        <v>240</v>
      </c>
      <c r="DF3979" s="5" t="s">
        <v>240</v>
      </c>
      <c r="DG3979" s="7">
        <f>0</f>
        <v>0</v>
      </c>
      <c r="DH3979" s="6" t="s">
        <v>240</v>
      </c>
      <c r="DI3979" s="5" t="s">
        <v>240</v>
      </c>
      <c r="DJ3979" s="5" t="s">
        <v>240</v>
      </c>
      <c r="DK3979" s="5" t="s">
        <v>240</v>
      </c>
      <c r="DL3979" s="5" t="s">
        <v>240</v>
      </c>
      <c r="DM3979" s="5" t="s">
        <v>240</v>
      </c>
      <c r="DN3979" s="5" t="s">
        <v>240</v>
      </c>
      <c r="DO3979" s="7" t="s">
        <v>240</v>
      </c>
      <c r="DP3979" s="5" t="s">
        <v>240</v>
      </c>
      <c r="DQ3979" s="5" t="s">
        <v>248</v>
      </c>
      <c r="DR3979" s="5" t="s">
        <v>731</v>
      </c>
      <c r="DS3979" s="5" t="s">
        <v>731</v>
      </c>
      <c r="DT3979" s="5" t="s">
        <v>240</v>
      </c>
      <c r="DU3979" s="5" t="s">
        <v>240</v>
      </c>
      <c r="GN3979" s="5" t="s">
        <v>7244</v>
      </c>
      <c r="HR3979" s="5" t="s">
        <v>240</v>
      </c>
      <c r="HS3979" s="5" t="s">
        <v>240</v>
      </c>
      <c r="HT3979" s="5" t="s">
        <v>240</v>
      </c>
      <c r="HU3979" s="5" t="s">
        <v>240</v>
      </c>
      <c r="HV3979" s="5" t="s">
        <v>240</v>
      </c>
      <c r="HW3979" s="5" t="s">
        <v>240</v>
      </c>
      <c r="HX3979" s="5" t="s">
        <v>240</v>
      </c>
      <c r="HY3979" s="5" t="s">
        <v>240</v>
      </c>
      <c r="HZ3979" s="5" t="s">
        <v>240</v>
      </c>
      <c r="IA3979" s="5" t="s">
        <v>240</v>
      </c>
      <c r="IB3979" s="5" t="s">
        <v>240</v>
      </c>
      <c r="IC3979" s="5" t="s">
        <v>240</v>
      </c>
      <c r="ID3979" s="5" t="s">
        <v>240</v>
      </c>
      <c r="IE3979" s="5" t="s">
        <v>240</v>
      </c>
      <c r="IF3979" s="5" t="s">
        <v>240</v>
      </c>
    </row>
    <row r="3980" spans="1:240" x14ac:dyDescent="0.4">
      <c r="A3980" s="5">
        <v>28471</v>
      </c>
      <c r="B3980" s="5">
        <v>1</v>
      </c>
      <c r="C3980" s="5">
        <v>11</v>
      </c>
      <c r="D3980" s="5" t="s">
        <v>240</v>
      </c>
      <c r="E3980" s="5" t="s">
        <v>245</v>
      </c>
      <c r="F3980" s="5" t="s">
        <v>254</v>
      </c>
      <c r="G3980" s="5" t="s">
        <v>240</v>
      </c>
      <c r="H3980" s="6" t="s">
        <v>285</v>
      </c>
      <c r="I3980" s="5" t="s">
        <v>283</v>
      </c>
      <c r="J3980" s="7">
        <f>0</f>
        <v>0</v>
      </c>
      <c r="K3980" s="5" t="s">
        <v>266</v>
      </c>
      <c r="L3980" s="7">
        <f>56916420</f>
        <v>56916420</v>
      </c>
      <c r="M3980" s="7">
        <f>56916420</f>
        <v>56916420</v>
      </c>
      <c r="N3980" s="5" t="s">
        <v>242</v>
      </c>
      <c r="O3980" s="5">
        <v>1</v>
      </c>
      <c r="P3980" s="5" t="s">
        <v>294</v>
      </c>
      <c r="Q3980" s="5" t="s">
        <v>613</v>
      </c>
      <c r="T3980" s="5" t="s">
        <v>296</v>
      </c>
      <c r="U3980" s="5" t="s">
        <v>244</v>
      </c>
      <c r="V3980" s="5" t="s">
        <v>240</v>
      </c>
      <c r="Y3980" s="5" t="s">
        <v>245</v>
      </c>
      <c r="Z3980" s="6" t="s">
        <v>7246</v>
      </c>
      <c r="AA3980" s="6" t="s">
        <v>240</v>
      </c>
      <c r="AB3980" s="6" t="s">
        <v>240</v>
      </c>
      <c r="AC3980" s="5" t="s">
        <v>240</v>
      </c>
      <c r="AD3980" s="6" t="s">
        <v>240</v>
      </c>
      <c r="AE3980" s="6" t="s">
        <v>7085</v>
      </c>
      <c r="AF3980" s="5" t="s">
        <v>248</v>
      </c>
      <c r="AG3980" s="5" t="s">
        <v>249</v>
      </c>
      <c r="AM3980" s="5" t="s">
        <v>240</v>
      </c>
      <c r="AN3980" s="5" t="s">
        <v>240</v>
      </c>
      <c r="AO3980" s="5" t="s">
        <v>240</v>
      </c>
      <c r="AP3980" s="6" t="s">
        <v>240</v>
      </c>
      <c r="AQ3980" s="6" t="s">
        <v>240</v>
      </c>
      <c r="AR3980" s="6" t="s">
        <v>240</v>
      </c>
      <c r="AU3980" s="5" t="s">
        <v>729</v>
      </c>
      <c r="AV3980" s="5" t="s">
        <v>729</v>
      </c>
      <c r="AW3980" s="5" t="s">
        <v>251</v>
      </c>
      <c r="AX3980" s="5" t="s">
        <v>252</v>
      </c>
      <c r="AY3980" s="5" t="s">
        <v>253</v>
      </c>
      <c r="AZ3980" s="5" t="s">
        <v>6046</v>
      </c>
      <c r="BA3980" s="5" t="s">
        <v>255</v>
      </c>
      <c r="BB3980" s="5" t="s">
        <v>731</v>
      </c>
      <c r="BD3980" s="5" t="s">
        <v>842</v>
      </c>
      <c r="BF3980" s="5" t="s">
        <v>256</v>
      </c>
      <c r="BG3980" s="6" t="s">
        <v>287</v>
      </c>
      <c r="BH3980" s="5" t="s">
        <v>6742</v>
      </c>
      <c r="BI3980" s="5" t="s">
        <v>6743</v>
      </c>
      <c r="BJ3980" s="5" t="s">
        <v>240</v>
      </c>
      <c r="BK3980" s="8">
        <f>0</f>
        <v>0</v>
      </c>
      <c r="BL3980" s="7">
        <f>15372</f>
        <v>15372</v>
      </c>
      <c r="BM3980" s="5" t="s">
        <v>258</v>
      </c>
      <c r="BN3980" s="5" t="s">
        <v>259</v>
      </c>
      <c r="BO3980" s="5" t="s">
        <v>6744</v>
      </c>
      <c r="BP3980" s="5" t="s">
        <v>6745</v>
      </c>
      <c r="BQ3980" s="5" t="s">
        <v>6745</v>
      </c>
      <c r="BR3980" s="5" t="s">
        <v>240</v>
      </c>
      <c r="BW3980" s="6" t="s">
        <v>7248</v>
      </c>
      <c r="BX3980" s="5" t="s">
        <v>258</v>
      </c>
      <c r="BY3980" s="5" t="s">
        <v>240</v>
      </c>
      <c r="BZ3980" s="5" t="s">
        <v>240</v>
      </c>
      <c r="CA3980" s="5" t="s">
        <v>259</v>
      </c>
      <c r="CB3980" s="5" t="s">
        <v>240</v>
      </c>
      <c r="CC3980" s="5" t="s">
        <v>240</v>
      </c>
      <c r="CG3980" s="5" t="s">
        <v>240</v>
      </c>
      <c r="CH3980" s="5" t="s">
        <v>240</v>
      </c>
      <c r="CI3980" s="5" t="s">
        <v>260</v>
      </c>
      <c r="CK3980" s="5" t="s">
        <v>240</v>
      </c>
      <c r="CL3980" s="6" t="s">
        <v>261</v>
      </c>
      <c r="CM3980" s="5" t="s">
        <v>262</v>
      </c>
      <c r="CN3980" s="5" t="s">
        <v>263</v>
      </c>
      <c r="CO3980" s="5" t="s">
        <v>264</v>
      </c>
      <c r="CP3980" s="5" t="s">
        <v>240</v>
      </c>
      <c r="CQ3980" s="5">
        <v>0</v>
      </c>
      <c r="CR3980" s="5" t="s">
        <v>735</v>
      </c>
      <c r="CS3980" s="5" t="s">
        <v>307</v>
      </c>
      <c r="CT3980" s="5" t="s">
        <v>307</v>
      </c>
      <c r="CU3980" s="5" t="s">
        <v>260</v>
      </c>
      <c r="CV3980" s="5" t="s">
        <v>240</v>
      </c>
      <c r="CW3980" s="8">
        <f>0</f>
        <v>0</v>
      </c>
      <c r="CX3980" s="7">
        <f>15372</f>
        <v>15372</v>
      </c>
      <c r="CY3980" s="7">
        <f>0</f>
        <v>0</v>
      </c>
      <c r="CZ3980" s="7">
        <f>0</f>
        <v>0</v>
      </c>
      <c r="DA3980" s="7">
        <f>15372</f>
        <v>15372</v>
      </c>
      <c r="DB3980" s="7" t="s">
        <v>240</v>
      </c>
      <c r="DC3980" s="5" t="s">
        <v>240</v>
      </c>
      <c r="DD3980" s="5" t="s">
        <v>240</v>
      </c>
      <c r="DF3980" s="5" t="s">
        <v>240</v>
      </c>
      <c r="DG3980" s="7">
        <f>0</f>
        <v>0</v>
      </c>
      <c r="DH3980" s="6" t="s">
        <v>240</v>
      </c>
      <c r="DI3980" s="5" t="s">
        <v>240</v>
      </c>
      <c r="DJ3980" s="5" t="s">
        <v>240</v>
      </c>
      <c r="DK3980" s="5" t="s">
        <v>240</v>
      </c>
      <c r="DL3980" s="5" t="s">
        <v>240</v>
      </c>
      <c r="DM3980" s="5" t="s">
        <v>240</v>
      </c>
      <c r="DN3980" s="5" t="s">
        <v>240</v>
      </c>
      <c r="DO3980" s="7" t="s">
        <v>240</v>
      </c>
      <c r="DP3980" s="5" t="s">
        <v>240</v>
      </c>
      <c r="DQ3980" s="5" t="s">
        <v>248</v>
      </c>
      <c r="DR3980" s="5" t="s">
        <v>731</v>
      </c>
      <c r="DS3980" s="5" t="s">
        <v>731</v>
      </c>
      <c r="DT3980" s="5" t="s">
        <v>240</v>
      </c>
      <c r="DU3980" s="5" t="s">
        <v>240</v>
      </c>
      <c r="HR3980" s="5" t="s">
        <v>240</v>
      </c>
      <c r="HS3980" s="5" t="s">
        <v>240</v>
      </c>
      <c r="HT3980" s="5" t="s">
        <v>240</v>
      </c>
      <c r="HU3980" s="5" t="s">
        <v>240</v>
      </c>
      <c r="HV3980" s="5" t="s">
        <v>240</v>
      </c>
      <c r="HW3980" s="5" t="s">
        <v>240</v>
      </c>
      <c r="HX3980" s="5" t="s">
        <v>240</v>
      </c>
      <c r="HY3980" s="5" t="s">
        <v>240</v>
      </c>
      <c r="HZ3980" s="5" t="s">
        <v>240</v>
      </c>
      <c r="IA3980" s="5" t="s">
        <v>240</v>
      </c>
      <c r="IB3980" s="5" t="s">
        <v>240</v>
      </c>
      <c r="IC3980" s="5" t="s">
        <v>240</v>
      </c>
      <c r="ID3980" s="5" t="s">
        <v>240</v>
      </c>
      <c r="IE3980" s="5" t="s">
        <v>240</v>
      </c>
      <c r="IF3980" s="5" t="s">
        <v>240</v>
      </c>
    </row>
    <row r="3981" spans="1:240" x14ac:dyDescent="0.4">
      <c r="A3981" s="5">
        <v>28473</v>
      </c>
      <c r="B3981" s="5">
        <v>1</v>
      </c>
      <c r="C3981" s="5">
        <v>6</v>
      </c>
      <c r="D3981" s="5" t="s">
        <v>240</v>
      </c>
      <c r="E3981" s="5" t="s">
        <v>245</v>
      </c>
      <c r="F3981" s="5" t="s">
        <v>254</v>
      </c>
      <c r="G3981" s="5" t="s">
        <v>240</v>
      </c>
      <c r="H3981" s="6" t="s">
        <v>273</v>
      </c>
      <c r="I3981" s="5" t="s">
        <v>271</v>
      </c>
      <c r="J3981" s="7">
        <f>0</f>
        <v>0</v>
      </c>
      <c r="K3981" s="5" t="s">
        <v>266</v>
      </c>
      <c r="L3981" s="7">
        <f>35777180</f>
        <v>35777180</v>
      </c>
      <c r="M3981" s="7">
        <f>35777180</f>
        <v>35777180</v>
      </c>
      <c r="N3981" s="5" t="s">
        <v>242</v>
      </c>
      <c r="O3981" s="5">
        <v>1</v>
      </c>
      <c r="P3981" s="5" t="s">
        <v>294</v>
      </c>
      <c r="Q3981" s="5" t="s">
        <v>240</v>
      </c>
      <c r="T3981" s="5" t="s">
        <v>243</v>
      </c>
      <c r="U3981" s="5" t="s">
        <v>240</v>
      </c>
      <c r="V3981" s="5" t="s">
        <v>240</v>
      </c>
      <c r="Y3981" s="5" t="s">
        <v>245</v>
      </c>
      <c r="Z3981" s="6" t="s">
        <v>6821</v>
      </c>
      <c r="AA3981" s="6" t="s">
        <v>240</v>
      </c>
      <c r="AB3981" s="6" t="s">
        <v>240</v>
      </c>
      <c r="AC3981" s="5" t="s">
        <v>240</v>
      </c>
      <c r="AD3981" s="6" t="s">
        <v>240</v>
      </c>
      <c r="AE3981" s="6" t="s">
        <v>6821</v>
      </c>
      <c r="AF3981" s="5" t="s">
        <v>248</v>
      </c>
      <c r="AG3981" s="5" t="s">
        <v>240</v>
      </c>
      <c r="AM3981" s="5" t="s">
        <v>240</v>
      </c>
      <c r="AN3981" s="5" t="s">
        <v>240</v>
      </c>
      <c r="AO3981" s="5" t="s">
        <v>240</v>
      </c>
      <c r="AP3981" s="6" t="s">
        <v>240</v>
      </c>
      <c r="AQ3981" s="6" t="s">
        <v>240</v>
      </c>
      <c r="AR3981" s="6" t="s">
        <v>240</v>
      </c>
      <c r="AU3981" s="5" t="s">
        <v>729</v>
      </c>
      <c r="AV3981" s="5" t="s">
        <v>729</v>
      </c>
      <c r="AW3981" s="5" t="s">
        <v>251</v>
      </c>
      <c r="AX3981" s="5" t="s">
        <v>252</v>
      </c>
      <c r="AY3981" s="5" t="s">
        <v>253</v>
      </c>
      <c r="AZ3981" s="5" t="s">
        <v>240</v>
      </c>
      <c r="BA3981" s="5" t="s">
        <v>255</v>
      </c>
      <c r="BB3981" s="5" t="s">
        <v>731</v>
      </c>
      <c r="BD3981" s="5" t="s">
        <v>240</v>
      </c>
      <c r="BF3981" s="5" t="s">
        <v>6763</v>
      </c>
      <c r="BG3981" s="6" t="s">
        <v>6823</v>
      </c>
      <c r="BH3981" s="5" t="s">
        <v>6742</v>
      </c>
      <c r="BI3981" s="5" t="s">
        <v>6743</v>
      </c>
      <c r="BJ3981" s="5" t="s">
        <v>240</v>
      </c>
      <c r="BK3981" s="7">
        <f>0</f>
        <v>0</v>
      </c>
      <c r="BL3981" s="7">
        <f>247020</f>
        <v>247020</v>
      </c>
      <c r="BM3981" s="5" t="s">
        <v>258</v>
      </c>
      <c r="BN3981" s="5" t="s">
        <v>259</v>
      </c>
      <c r="BO3981" s="5" t="s">
        <v>6744</v>
      </c>
      <c r="BP3981" s="5" t="s">
        <v>6745</v>
      </c>
      <c r="BQ3981" s="5" t="s">
        <v>6745</v>
      </c>
      <c r="BR3981" s="5" t="s">
        <v>240</v>
      </c>
      <c r="BS3981" s="5" t="s">
        <v>258</v>
      </c>
      <c r="BT3981" s="5" t="s">
        <v>6747</v>
      </c>
      <c r="BU3981" s="5" t="s">
        <v>6747</v>
      </c>
      <c r="BW3981" s="6" t="s">
        <v>7251</v>
      </c>
      <c r="BX3981" s="5" t="s">
        <v>258</v>
      </c>
      <c r="BY3981" s="5" t="s">
        <v>240</v>
      </c>
      <c r="BZ3981" s="5" t="s">
        <v>240</v>
      </c>
      <c r="CA3981" s="5" t="s">
        <v>259</v>
      </c>
      <c r="CB3981" s="5" t="s">
        <v>240</v>
      </c>
      <c r="CC3981" s="5" t="s">
        <v>240</v>
      </c>
      <c r="CG3981" s="5" t="s">
        <v>240</v>
      </c>
      <c r="CH3981" s="5" t="s">
        <v>240</v>
      </c>
      <c r="CI3981" s="5" t="s">
        <v>260</v>
      </c>
      <c r="CK3981" s="5" t="s">
        <v>240</v>
      </c>
      <c r="CL3981" s="6" t="s">
        <v>261</v>
      </c>
      <c r="CM3981" s="5" t="s">
        <v>262</v>
      </c>
      <c r="CN3981" s="5" t="s">
        <v>293</v>
      </c>
      <c r="CO3981" s="5" t="s">
        <v>264</v>
      </c>
      <c r="CP3981" s="5" t="s">
        <v>240</v>
      </c>
      <c r="CQ3981" s="5">
        <v>0</v>
      </c>
      <c r="CR3981" s="5" t="s">
        <v>240</v>
      </c>
      <c r="CS3981" s="5" t="s">
        <v>240</v>
      </c>
      <c r="CT3981" s="5" t="s">
        <v>240</v>
      </c>
      <c r="CU3981" s="5" t="s">
        <v>260</v>
      </c>
      <c r="CV3981" s="5" t="s">
        <v>240</v>
      </c>
      <c r="CW3981" s="8">
        <f>0</f>
        <v>0</v>
      </c>
      <c r="CX3981" s="7">
        <f>247020</f>
        <v>247020</v>
      </c>
      <c r="CY3981" s="7">
        <f>0</f>
        <v>0</v>
      </c>
      <c r="CZ3981" s="7">
        <f>0</f>
        <v>0</v>
      </c>
      <c r="DA3981" s="7">
        <f>247020</f>
        <v>247020</v>
      </c>
      <c r="DB3981" s="7" t="s">
        <v>240</v>
      </c>
      <c r="DC3981" s="5" t="s">
        <v>240</v>
      </c>
      <c r="DD3981" s="5" t="s">
        <v>240</v>
      </c>
      <c r="DF3981" s="5" t="s">
        <v>240</v>
      </c>
      <c r="DG3981" s="7">
        <f>0</f>
        <v>0</v>
      </c>
      <c r="DH3981" s="6" t="s">
        <v>240</v>
      </c>
      <c r="DI3981" s="5" t="s">
        <v>240</v>
      </c>
      <c r="DJ3981" s="5" t="s">
        <v>240</v>
      </c>
      <c r="DK3981" s="5" t="s">
        <v>240</v>
      </c>
      <c r="DL3981" s="5" t="s">
        <v>240</v>
      </c>
      <c r="DM3981" s="5" t="s">
        <v>240</v>
      </c>
      <c r="DN3981" s="5" t="s">
        <v>240</v>
      </c>
      <c r="DO3981" s="7" t="s">
        <v>240</v>
      </c>
      <c r="DP3981" s="5" t="s">
        <v>240</v>
      </c>
      <c r="DQ3981" s="5" t="s">
        <v>248</v>
      </c>
      <c r="DR3981" s="5" t="s">
        <v>731</v>
      </c>
      <c r="DS3981" s="5" t="s">
        <v>731</v>
      </c>
      <c r="DT3981" s="5" t="s">
        <v>240</v>
      </c>
      <c r="DU3981" s="5" t="s">
        <v>240</v>
      </c>
      <c r="HR3981" s="5" t="s">
        <v>240</v>
      </c>
      <c r="HS3981" s="5" t="s">
        <v>240</v>
      </c>
      <c r="HT3981" s="5" t="s">
        <v>240</v>
      </c>
      <c r="HU3981" s="5" t="s">
        <v>240</v>
      </c>
      <c r="HV3981" s="5" t="s">
        <v>240</v>
      </c>
      <c r="HW3981" s="5" t="s">
        <v>240</v>
      </c>
      <c r="HX3981" s="5" t="s">
        <v>240</v>
      </c>
      <c r="HY3981" s="5" t="s">
        <v>240</v>
      </c>
      <c r="HZ3981" s="5" t="s">
        <v>240</v>
      </c>
      <c r="IA3981" s="5" t="s">
        <v>240</v>
      </c>
      <c r="IB3981" s="5" t="s">
        <v>240</v>
      </c>
      <c r="IC3981" s="5" t="s">
        <v>240</v>
      </c>
      <c r="ID3981" s="5" t="s">
        <v>240</v>
      </c>
      <c r="IE3981" s="5" t="s">
        <v>240</v>
      </c>
      <c r="IF3981" s="5" t="s">
        <v>240</v>
      </c>
    </row>
    <row r="3982" spans="1:240" x14ac:dyDescent="0.4">
      <c r="A3982" s="5">
        <v>28474</v>
      </c>
      <c r="B3982" s="5">
        <v>1</v>
      </c>
      <c r="C3982" s="5">
        <v>6</v>
      </c>
      <c r="D3982" s="5" t="s">
        <v>240</v>
      </c>
      <c r="E3982" s="5" t="s">
        <v>245</v>
      </c>
      <c r="F3982" s="5" t="s">
        <v>254</v>
      </c>
      <c r="G3982" s="5" t="s">
        <v>240</v>
      </c>
      <c r="H3982" s="6" t="s">
        <v>279</v>
      </c>
      <c r="I3982" s="5" t="s">
        <v>277</v>
      </c>
      <c r="J3982" s="7">
        <f>0</f>
        <v>0</v>
      </c>
      <c r="K3982" s="5" t="s">
        <v>266</v>
      </c>
      <c r="L3982" s="7">
        <f>27294564</f>
        <v>27294564</v>
      </c>
      <c r="M3982" s="7">
        <f>27294564</f>
        <v>27294564</v>
      </c>
      <c r="N3982" s="5" t="s">
        <v>242</v>
      </c>
      <c r="O3982" s="5">
        <v>1</v>
      </c>
      <c r="P3982" s="5" t="s">
        <v>294</v>
      </c>
      <c r="Q3982" s="5" t="s">
        <v>2097</v>
      </c>
      <c r="T3982" s="5" t="s">
        <v>296</v>
      </c>
      <c r="U3982" s="5" t="s">
        <v>244</v>
      </c>
      <c r="V3982" s="5" t="s">
        <v>240</v>
      </c>
      <c r="Y3982" s="5" t="s">
        <v>246</v>
      </c>
      <c r="Z3982" s="6" t="s">
        <v>7252</v>
      </c>
      <c r="AA3982" s="6" t="s">
        <v>240</v>
      </c>
      <c r="AB3982" s="6" t="s">
        <v>240</v>
      </c>
      <c r="AC3982" s="5" t="s">
        <v>240</v>
      </c>
      <c r="AD3982" s="6" t="s">
        <v>240</v>
      </c>
      <c r="AE3982" s="6" t="s">
        <v>7252</v>
      </c>
      <c r="AF3982" s="5" t="s">
        <v>248</v>
      </c>
      <c r="AG3982" s="5" t="s">
        <v>249</v>
      </c>
      <c r="AM3982" s="5" t="s">
        <v>240</v>
      </c>
      <c r="AN3982" s="5" t="s">
        <v>240</v>
      </c>
      <c r="AO3982" s="5" t="s">
        <v>240</v>
      </c>
      <c r="AP3982" s="6" t="s">
        <v>240</v>
      </c>
      <c r="AQ3982" s="6" t="s">
        <v>240</v>
      </c>
      <c r="AR3982" s="6" t="s">
        <v>240</v>
      </c>
      <c r="AU3982" s="5" t="s">
        <v>729</v>
      </c>
      <c r="AV3982" s="5" t="s">
        <v>729</v>
      </c>
      <c r="AW3982" s="5" t="s">
        <v>251</v>
      </c>
      <c r="AX3982" s="5" t="s">
        <v>252</v>
      </c>
      <c r="AY3982" s="5" t="s">
        <v>253</v>
      </c>
      <c r="AZ3982" s="5" t="s">
        <v>6046</v>
      </c>
      <c r="BA3982" s="5" t="s">
        <v>255</v>
      </c>
      <c r="BB3982" s="5" t="s">
        <v>731</v>
      </c>
      <c r="BD3982" s="5" t="s">
        <v>240</v>
      </c>
      <c r="BF3982" s="5" t="s">
        <v>732</v>
      </c>
      <c r="BG3982" s="6" t="s">
        <v>7060</v>
      </c>
      <c r="BH3982" s="5" t="s">
        <v>6742</v>
      </c>
      <c r="BI3982" s="5" t="s">
        <v>6743</v>
      </c>
      <c r="BJ3982" s="5" t="s">
        <v>240</v>
      </c>
      <c r="BK3982" s="8">
        <f>0</f>
        <v>0</v>
      </c>
      <c r="BL3982" s="7">
        <f>100061</f>
        <v>100061</v>
      </c>
      <c r="BM3982" s="5" t="s">
        <v>258</v>
      </c>
      <c r="BN3982" s="5" t="s">
        <v>259</v>
      </c>
      <c r="BO3982" s="5" t="s">
        <v>6744</v>
      </c>
      <c r="BP3982" s="5" t="s">
        <v>6745</v>
      </c>
      <c r="BQ3982" s="5" t="s">
        <v>6746</v>
      </c>
      <c r="BR3982" s="5" t="s">
        <v>240</v>
      </c>
      <c r="BS3982" s="5" t="s">
        <v>258</v>
      </c>
      <c r="BT3982" s="5" t="s">
        <v>6747</v>
      </c>
      <c r="BU3982" s="5" t="s">
        <v>6747</v>
      </c>
      <c r="BW3982" s="6" t="s">
        <v>7253</v>
      </c>
      <c r="BX3982" s="5" t="s">
        <v>258</v>
      </c>
      <c r="BY3982" s="5" t="s">
        <v>240</v>
      </c>
      <c r="BZ3982" s="5" t="s">
        <v>240</v>
      </c>
      <c r="CA3982" s="5" t="s">
        <v>259</v>
      </c>
      <c r="CB3982" s="5" t="s">
        <v>240</v>
      </c>
      <c r="CC3982" s="5" t="s">
        <v>240</v>
      </c>
      <c r="CG3982" s="5" t="s">
        <v>240</v>
      </c>
      <c r="CH3982" s="5" t="s">
        <v>240</v>
      </c>
      <c r="CI3982" s="5" t="s">
        <v>260</v>
      </c>
      <c r="CK3982" s="5" t="s">
        <v>240</v>
      </c>
      <c r="CL3982" s="6" t="s">
        <v>261</v>
      </c>
      <c r="CM3982" s="5" t="s">
        <v>262</v>
      </c>
      <c r="CN3982" s="5" t="s">
        <v>263</v>
      </c>
      <c r="CO3982" s="5" t="s">
        <v>264</v>
      </c>
      <c r="CP3982" s="5" t="s">
        <v>240</v>
      </c>
      <c r="CQ3982" s="5">
        <v>0</v>
      </c>
      <c r="CR3982" s="5" t="s">
        <v>735</v>
      </c>
      <c r="CS3982" s="5" t="s">
        <v>307</v>
      </c>
      <c r="CT3982" s="5" t="s">
        <v>307</v>
      </c>
      <c r="CU3982" s="5" t="s">
        <v>260</v>
      </c>
      <c r="CV3982" s="5" t="s">
        <v>240</v>
      </c>
      <c r="CW3982" s="8">
        <f>1566</f>
        <v>1566</v>
      </c>
      <c r="CX3982" s="7">
        <f>637787</f>
        <v>637787</v>
      </c>
      <c r="CY3982" s="7">
        <f>0</f>
        <v>0</v>
      </c>
      <c r="CZ3982" s="7">
        <f>0</f>
        <v>0</v>
      </c>
      <c r="DA3982" s="7">
        <f>637787</f>
        <v>637787</v>
      </c>
      <c r="DB3982" s="7" t="s">
        <v>240</v>
      </c>
      <c r="DC3982" s="5" t="s">
        <v>240</v>
      </c>
      <c r="DD3982" s="5" t="s">
        <v>240</v>
      </c>
      <c r="DF3982" s="5" t="s">
        <v>240</v>
      </c>
      <c r="DG3982" s="7">
        <f>0</f>
        <v>0</v>
      </c>
      <c r="DH3982" s="6" t="s">
        <v>240</v>
      </c>
      <c r="DI3982" s="5" t="s">
        <v>240</v>
      </c>
      <c r="DJ3982" s="5" t="s">
        <v>240</v>
      </c>
      <c r="DK3982" s="5" t="s">
        <v>240</v>
      </c>
      <c r="DL3982" s="5" t="s">
        <v>240</v>
      </c>
      <c r="DM3982" s="5" t="s">
        <v>240</v>
      </c>
      <c r="DN3982" s="5" t="s">
        <v>240</v>
      </c>
      <c r="DO3982" s="7" t="s">
        <v>240</v>
      </c>
      <c r="DP3982" s="5" t="s">
        <v>240</v>
      </c>
      <c r="DQ3982" s="5" t="s">
        <v>248</v>
      </c>
      <c r="DR3982" s="5" t="s">
        <v>731</v>
      </c>
      <c r="DS3982" s="5" t="s">
        <v>731</v>
      </c>
      <c r="DT3982" s="5" t="s">
        <v>240</v>
      </c>
      <c r="DU3982" s="5" t="s">
        <v>240</v>
      </c>
      <c r="HR3982" s="5" t="s">
        <v>240</v>
      </c>
      <c r="HS3982" s="5" t="s">
        <v>240</v>
      </c>
      <c r="HT3982" s="5" t="s">
        <v>240</v>
      </c>
      <c r="HU3982" s="5" t="s">
        <v>240</v>
      </c>
      <c r="HV3982" s="5" t="s">
        <v>240</v>
      </c>
      <c r="HW3982" s="5" t="s">
        <v>240</v>
      </c>
      <c r="HX3982" s="5" t="s">
        <v>240</v>
      </c>
      <c r="HY3982" s="5" t="s">
        <v>240</v>
      </c>
      <c r="HZ3982" s="5" t="s">
        <v>240</v>
      </c>
      <c r="IA3982" s="5" t="s">
        <v>240</v>
      </c>
      <c r="IB3982" s="5" t="s">
        <v>240</v>
      </c>
      <c r="IC3982" s="5" t="s">
        <v>240</v>
      </c>
      <c r="ID3982" s="5" t="s">
        <v>240</v>
      </c>
      <c r="IE3982" s="5" t="s">
        <v>240</v>
      </c>
      <c r="IF3982" s="5" t="s">
        <v>240</v>
      </c>
    </row>
    <row r="3983" spans="1:240" x14ac:dyDescent="0.4">
      <c r="A3983" s="5">
        <v>28476</v>
      </c>
      <c r="B3983" s="5">
        <v>1</v>
      </c>
      <c r="C3983" s="5">
        <v>3</v>
      </c>
      <c r="D3983" s="5" t="s">
        <v>240</v>
      </c>
      <c r="E3983" s="5" t="s">
        <v>245</v>
      </c>
      <c r="F3983" s="5" t="s">
        <v>254</v>
      </c>
      <c r="G3983" s="5" t="s">
        <v>240</v>
      </c>
      <c r="H3983" s="6" t="s">
        <v>282</v>
      </c>
      <c r="I3983" s="5" t="s">
        <v>280</v>
      </c>
      <c r="J3983" s="7">
        <f>0</f>
        <v>0</v>
      </c>
      <c r="K3983" s="5" t="s">
        <v>266</v>
      </c>
      <c r="L3983" s="7">
        <f>16931900</f>
        <v>16931900</v>
      </c>
      <c r="M3983" s="7">
        <f>16931900</f>
        <v>16931900</v>
      </c>
      <c r="N3983" s="5" t="s">
        <v>242</v>
      </c>
      <c r="O3983" s="5">
        <v>1</v>
      </c>
      <c r="P3983" s="5" t="s">
        <v>294</v>
      </c>
      <c r="Q3983" s="5" t="s">
        <v>240</v>
      </c>
      <c r="T3983" s="5" t="s">
        <v>240</v>
      </c>
      <c r="U3983" s="5" t="s">
        <v>240</v>
      </c>
      <c r="V3983" s="5" t="s">
        <v>240</v>
      </c>
      <c r="Y3983" s="5" t="s">
        <v>246</v>
      </c>
      <c r="Z3983" s="6" t="s">
        <v>7034</v>
      </c>
      <c r="AA3983" s="6" t="s">
        <v>240</v>
      </c>
      <c r="AB3983" s="6" t="s">
        <v>240</v>
      </c>
      <c r="AC3983" s="5" t="s">
        <v>240</v>
      </c>
      <c r="AD3983" s="6" t="s">
        <v>240</v>
      </c>
      <c r="AE3983" s="6" t="s">
        <v>7034</v>
      </c>
      <c r="AF3983" s="5" t="s">
        <v>248</v>
      </c>
      <c r="AG3983" s="5" t="s">
        <v>240</v>
      </c>
      <c r="AM3983" s="5" t="s">
        <v>240</v>
      </c>
      <c r="AN3983" s="5" t="s">
        <v>240</v>
      </c>
      <c r="AO3983" s="5" t="s">
        <v>240</v>
      </c>
      <c r="AP3983" s="6" t="s">
        <v>240</v>
      </c>
      <c r="AQ3983" s="6" t="s">
        <v>240</v>
      </c>
      <c r="AR3983" s="6" t="s">
        <v>240</v>
      </c>
      <c r="AU3983" s="5" t="s">
        <v>729</v>
      </c>
      <c r="AV3983" s="5" t="s">
        <v>729</v>
      </c>
      <c r="AW3983" s="5" t="s">
        <v>251</v>
      </c>
      <c r="AX3983" s="5" t="s">
        <v>252</v>
      </c>
      <c r="AY3983" s="5" t="s">
        <v>253</v>
      </c>
      <c r="AZ3983" s="5" t="s">
        <v>240</v>
      </c>
      <c r="BA3983" s="5" t="s">
        <v>255</v>
      </c>
      <c r="BB3983" s="5" t="s">
        <v>731</v>
      </c>
      <c r="BD3983" s="5" t="s">
        <v>240</v>
      </c>
      <c r="BF3983" s="5" t="s">
        <v>6763</v>
      </c>
      <c r="BG3983" s="6" t="s">
        <v>7036</v>
      </c>
      <c r="BH3983" s="5" t="s">
        <v>6742</v>
      </c>
      <c r="BI3983" s="5" t="s">
        <v>6743</v>
      </c>
      <c r="BJ3983" s="5" t="s">
        <v>240</v>
      </c>
      <c r="BK3983" s="8">
        <f>0</f>
        <v>0</v>
      </c>
      <c r="BL3983" s="7">
        <f>127360</f>
        <v>127360</v>
      </c>
      <c r="BM3983" s="5" t="s">
        <v>258</v>
      </c>
      <c r="BN3983" s="5" t="s">
        <v>259</v>
      </c>
      <c r="BO3983" s="5" t="s">
        <v>6744</v>
      </c>
      <c r="BP3983" s="5" t="s">
        <v>6745</v>
      </c>
      <c r="BQ3983" s="5" t="s">
        <v>6746</v>
      </c>
      <c r="BR3983" s="5" t="s">
        <v>240</v>
      </c>
      <c r="BS3983" s="5" t="s">
        <v>258</v>
      </c>
      <c r="BT3983" s="5" t="s">
        <v>6747</v>
      </c>
      <c r="BU3983" s="5" t="s">
        <v>6747</v>
      </c>
      <c r="BW3983" s="6" t="s">
        <v>7256</v>
      </c>
      <c r="BX3983" s="5" t="s">
        <v>258</v>
      </c>
      <c r="BY3983" s="5" t="s">
        <v>240</v>
      </c>
      <c r="BZ3983" s="5" t="s">
        <v>240</v>
      </c>
      <c r="CA3983" s="5" t="s">
        <v>259</v>
      </c>
      <c r="CB3983" s="5" t="s">
        <v>240</v>
      </c>
      <c r="CC3983" s="5" t="s">
        <v>240</v>
      </c>
      <c r="CG3983" s="5" t="s">
        <v>240</v>
      </c>
      <c r="CH3983" s="5" t="s">
        <v>240</v>
      </c>
      <c r="CI3983" s="5" t="s">
        <v>260</v>
      </c>
      <c r="CK3983" s="5" t="s">
        <v>240</v>
      </c>
      <c r="CL3983" s="6" t="s">
        <v>261</v>
      </c>
      <c r="CM3983" s="5" t="s">
        <v>262</v>
      </c>
      <c r="CN3983" s="5" t="s">
        <v>293</v>
      </c>
      <c r="CO3983" s="5" t="s">
        <v>264</v>
      </c>
      <c r="CP3983" s="5" t="s">
        <v>240</v>
      </c>
      <c r="CQ3983" s="5">
        <v>0</v>
      </c>
      <c r="CR3983" s="5" t="s">
        <v>240</v>
      </c>
      <c r="CS3983" s="5" t="s">
        <v>240</v>
      </c>
      <c r="CT3983" s="5" t="s">
        <v>240</v>
      </c>
      <c r="CU3983" s="5" t="s">
        <v>260</v>
      </c>
      <c r="CV3983" s="5" t="s">
        <v>240</v>
      </c>
      <c r="CW3983" s="8">
        <f>2000</f>
        <v>2000</v>
      </c>
      <c r="CX3983" s="7">
        <f>845300</f>
        <v>845300</v>
      </c>
      <c r="CY3983" s="7">
        <f>0</f>
        <v>0</v>
      </c>
      <c r="CZ3983" s="7">
        <f>0</f>
        <v>0</v>
      </c>
      <c r="DA3983" s="7">
        <f>845300</f>
        <v>845300</v>
      </c>
      <c r="DB3983" s="7" t="s">
        <v>240</v>
      </c>
      <c r="DC3983" s="5" t="s">
        <v>240</v>
      </c>
      <c r="DD3983" s="5" t="s">
        <v>240</v>
      </c>
      <c r="DF3983" s="5" t="s">
        <v>240</v>
      </c>
      <c r="DG3983" s="7">
        <f>0</f>
        <v>0</v>
      </c>
      <c r="DH3983" s="6" t="s">
        <v>240</v>
      </c>
      <c r="DI3983" s="5" t="s">
        <v>240</v>
      </c>
      <c r="DJ3983" s="5" t="s">
        <v>240</v>
      </c>
      <c r="DK3983" s="5" t="s">
        <v>240</v>
      </c>
      <c r="DL3983" s="5" t="s">
        <v>240</v>
      </c>
      <c r="DM3983" s="5" t="s">
        <v>240</v>
      </c>
      <c r="DN3983" s="5" t="s">
        <v>240</v>
      </c>
      <c r="DO3983" s="7" t="s">
        <v>240</v>
      </c>
      <c r="DP3983" s="5" t="s">
        <v>240</v>
      </c>
      <c r="DQ3983" s="5" t="s">
        <v>248</v>
      </c>
      <c r="DR3983" s="5" t="s">
        <v>731</v>
      </c>
      <c r="DS3983" s="5" t="s">
        <v>731</v>
      </c>
      <c r="DT3983" s="5" t="s">
        <v>240</v>
      </c>
      <c r="DU3983" s="5" t="s">
        <v>240</v>
      </c>
      <c r="GN3983" s="5" t="s">
        <v>7257</v>
      </c>
      <c r="HR3983" s="5" t="s">
        <v>240</v>
      </c>
      <c r="HS3983" s="5" t="s">
        <v>240</v>
      </c>
      <c r="HT3983" s="5" t="s">
        <v>240</v>
      </c>
      <c r="HU3983" s="5" t="s">
        <v>240</v>
      </c>
      <c r="HV3983" s="5" t="s">
        <v>240</v>
      </c>
      <c r="HW3983" s="5" t="s">
        <v>240</v>
      </c>
      <c r="HX3983" s="5" t="s">
        <v>240</v>
      </c>
      <c r="HY3983" s="5" t="s">
        <v>240</v>
      </c>
      <c r="HZ3983" s="5" t="s">
        <v>240</v>
      </c>
      <c r="IA3983" s="5" t="s">
        <v>240</v>
      </c>
      <c r="IB3983" s="5" t="s">
        <v>240</v>
      </c>
      <c r="IC3983" s="5" t="s">
        <v>240</v>
      </c>
      <c r="ID3983" s="5" t="s">
        <v>240</v>
      </c>
      <c r="IE3983" s="5" t="s">
        <v>240</v>
      </c>
      <c r="IF3983" s="5" t="s">
        <v>240</v>
      </c>
    </row>
    <row r="3984" spans="1:240" x14ac:dyDescent="0.4">
      <c r="A3984" s="5">
        <v>28477</v>
      </c>
      <c r="B3984" s="5">
        <v>1</v>
      </c>
      <c r="C3984" s="5">
        <v>8</v>
      </c>
      <c r="D3984" s="5" t="s">
        <v>240</v>
      </c>
      <c r="E3984" s="5" t="s">
        <v>245</v>
      </c>
      <c r="F3984" s="5" t="s">
        <v>254</v>
      </c>
      <c r="G3984" s="5" t="s">
        <v>240</v>
      </c>
      <c r="H3984" s="6" t="s">
        <v>250</v>
      </c>
      <c r="I3984" s="5" t="s">
        <v>241</v>
      </c>
      <c r="J3984" s="7">
        <f>0</f>
        <v>0</v>
      </c>
      <c r="K3984" s="5" t="s">
        <v>266</v>
      </c>
      <c r="L3984" s="7">
        <f>7125300</f>
        <v>7125300</v>
      </c>
      <c r="M3984" s="7">
        <f>7125300</f>
        <v>7125300</v>
      </c>
      <c r="N3984" s="5" t="s">
        <v>242</v>
      </c>
      <c r="O3984" s="5">
        <v>1</v>
      </c>
      <c r="P3984" s="5" t="s">
        <v>294</v>
      </c>
      <c r="Q3984" s="5" t="s">
        <v>2097</v>
      </c>
      <c r="T3984" s="5" t="s">
        <v>296</v>
      </c>
      <c r="U3984" s="5" t="s">
        <v>244</v>
      </c>
      <c r="V3984" s="5" t="s">
        <v>240</v>
      </c>
      <c r="Y3984" s="5" t="s">
        <v>246</v>
      </c>
      <c r="Z3984" s="6" t="s">
        <v>6842</v>
      </c>
      <c r="AA3984" s="6" t="s">
        <v>240</v>
      </c>
      <c r="AB3984" s="6" t="s">
        <v>240</v>
      </c>
      <c r="AC3984" s="5" t="s">
        <v>240</v>
      </c>
      <c r="AD3984" s="6" t="s">
        <v>240</v>
      </c>
      <c r="AE3984" s="6" t="s">
        <v>6842</v>
      </c>
      <c r="AF3984" s="5" t="s">
        <v>248</v>
      </c>
      <c r="AG3984" s="5" t="s">
        <v>249</v>
      </c>
      <c r="AM3984" s="5" t="s">
        <v>240</v>
      </c>
      <c r="AN3984" s="5" t="s">
        <v>240</v>
      </c>
      <c r="AO3984" s="5" t="s">
        <v>240</v>
      </c>
      <c r="AP3984" s="6" t="s">
        <v>240</v>
      </c>
      <c r="AQ3984" s="6" t="s">
        <v>240</v>
      </c>
      <c r="AR3984" s="6" t="s">
        <v>240</v>
      </c>
      <c r="AU3984" s="5" t="s">
        <v>729</v>
      </c>
      <c r="AV3984" s="5" t="s">
        <v>729</v>
      </c>
      <c r="AW3984" s="5" t="s">
        <v>251</v>
      </c>
      <c r="AX3984" s="5" t="s">
        <v>252</v>
      </c>
      <c r="AY3984" s="5" t="s">
        <v>253</v>
      </c>
      <c r="AZ3984" s="5" t="s">
        <v>6046</v>
      </c>
      <c r="BA3984" s="5" t="s">
        <v>255</v>
      </c>
      <c r="BB3984" s="5" t="s">
        <v>731</v>
      </c>
      <c r="BD3984" s="5" t="s">
        <v>240</v>
      </c>
      <c r="BF3984" s="5" t="s">
        <v>732</v>
      </c>
      <c r="BG3984" s="6" t="s">
        <v>6846</v>
      </c>
      <c r="BH3984" s="5" t="s">
        <v>6742</v>
      </c>
      <c r="BI3984" s="5" t="s">
        <v>6743</v>
      </c>
      <c r="BJ3984" s="5" t="s">
        <v>240</v>
      </c>
      <c r="BK3984" s="7">
        <f>0</f>
        <v>0</v>
      </c>
      <c r="BL3984" s="7">
        <f>133600</f>
        <v>133600</v>
      </c>
      <c r="BM3984" s="5" t="s">
        <v>258</v>
      </c>
      <c r="BN3984" s="5" t="s">
        <v>259</v>
      </c>
      <c r="BO3984" s="5" t="s">
        <v>6744</v>
      </c>
      <c r="BP3984" s="5" t="s">
        <v>6745</v>
      </c>
      <c r="BQ3984" s="5" t="s">
        <v>6746</v>
      </c>
      <c r="BR3984" s="5" t="s">
        <v>240</v>
      </c>
      <c r="BS3984" s="5" t="s">
        <v>258</v>
      </c>
      <c r="BT3984" s="5" t="s">
        <v>6747</v>
      </c>
      <c r="BU3984" s="5" t="s">
        <v>6747</v>
      </c>
      <c r="BW3984" s="6" t="s">
        <v>7260</v>
      </c>
      <c r="BX3984" s="5" t="s">
        <v>258</v>
      </c>
      <c r="BY3984" s="5" t="s">
        <v>240</v>
      </c>
      <c r="BZ3984" s="5" t="s">
        <v>240</v>
      </c>
      <c r="CA3984" s="5" t="s">
        <v>259</v>
      </c>
      <c r="CB3984" s="5" t="s">
        <v>240</v>
      </c>
      <c r="CC3984" s="5" t="s">
        <v>240</v>
      </c>
      <c r="CG3984" s="5" t="s">
        <v>240</v>
      </c>
      <c r="CH3984" s="5" t="s">
        <v>240</v>
      </c>
      <c r="CI3984" s="5" t="s">
        <v>260</v>
      </c>
      <c r="CK3984" s="5" t="s">
        <v>240</v>
      </c>
      <c r="CL3984" s="6" t="s">
        <v>261</v>
      </c>
      <c r="CM3984" s="5" t="s">
        <v>262</v>
      </c>
      <c r="CN3984" s="5" t="s">
        <v>263</v>
      </c>
      <c r="CO3984" s="5" t="s">
        <v>264</v>
      </c>
      <c r="CP3984" s="5" t="s">
        <v>240</v>
      </c>
      <c r="CQ3984" s="5">
        <v>0</v>
      </c>
      <c r="CR3984" s="5" t="s">
        <v>735</v>
      </c>
      <c r="CS3984" s="5" t="s">
        <v>307</v>
      </c>
      <c r="CT3984" s="5" t="s">
        <v>307</v>
      </c>
      <c r="CU3984" s="5" t="s">
        <v>260</v>
      </c>
      <c r="CV3984" s="5" t="s">
        <v>240</v>
      </c>
      <c r="CW3984" s="8">
        <f>133600</f>
        <v>133600</v>
      </c>
      <c r="CX3984" s="7">
        <f>133600</f>
        <v>133600</v>
      </c>
      <c r="CY3984" s="7">
        <f>0</f>
        <v>0</v>
      </c>
      <c r="CZ3984" s="7">
        <f>0</f>
        <v>0</v>
      </c>
      <c r="DA3984" s="7">
        <f>133600</f>
        <v>133600</v>
      </c>
      <c r="DB3984" s="7" t="s">
        <v>240</v>
      </c>
      <c r="DC3984" s="5" t="s">
        <v>240</v>
      </c>
      <c r="DD3984" s="5" t="s">
        <v>240</v>
      </c>
      <c r="DF3984" s="5" t="s">
        <v>240</v>
      </c>
      <c r="DG3984" s="7">
        <f>0</f>
        <v>0</v>
      </c>
      <c r="DH3984" s="6" t="s">
        <v>240</v>
      </c>
      <c r="DI3984" s="5" t="s">
        <v>240</v>
      </c>
      <c r="DJ3984" s="5" t="s">
        <v>240</v>
      </c>
      <c r="DK3984" s="5" t="s">
        <v>240</v>
      </c>
      <c r="DL3984" s="5" t="s">
        <v>240</v>
      </c>
      <c r="DM3984" s="5" t="s">
        <v>240</v>
      </c>
      <c r="DN3984" s="5" t="s">
        <v>240</v>
      </c>
      <c r="DO3984" s="7" t="s">
        <v>240</v>
      </c>
      <c r="DP3984" s="5" t="s">
        <v>240</v>
      </c>
      <c r="DQ3984" s="5" t="s">
        <v>248</v>
      </c>
      <c r="DR3984" s="5" t="s">
        <v>731</v>
      </c>
      <c r="DS3984" s="5" t="s">
        <v>731</v>
      </c>
      <c r="DT3984" s="5" t="s">
        <v>240</v>
      </c>
      <c r="DU3984" s="5" t="s">
        <v>240</v>
      </c>
      <c r="HR3984" s="5" t="s">
        <v>240</v>
      </c>
      <c r="HS3984" s="5" t="s">
        <v>240</v>
      </c>
      <c r="HT3984" s="5" t="s">
        <v>240</v>
      </c>
      <c r="HU3984" s="5" t="s">
        <v>240</v>
      </c>
      <c r="HV3984" s="5" t="s">
        <v>240</v>
      </c>
      <c r="HW3984" s="5" t="s">
        <v>240</v>
      </c>
      <c r="HX3984" s="5" t="s">
        <v>240</v>
      </c>
      <c r="HY3984" s="5" t="s">
        <v>240</v>
      </c>
      <c r="HZ3984" s="5" t="s">
        <v>240</v>
      </c>
      <c r="IA3984" s="5" t="s">
        <v>240</v>
      </c>
      <c r="IB3984" s="5" t="s">
        <v>240</v>
      </c>
      <c r="IC3984" s="5" t="s">
        <v>240</v>
      </c>
      <c r="ID3984" s="5" t="s">
        <v>240</v>
      </c>
      <c r="IE3984" s="5" t="s">
        <v>240</v>
      </c>
      <c r="IF3984" s="5" t="s">
        <v>240</v>
      </c>
    </row>
    <row r="3985" spans="1:240" x14ac:dyDescent="0.4">
      <c r="A3985" s="5">
        <v>28478</v>
      </c>
      <c r="B3985" s="5">
        <v>1</v>
      </c>
      <c r="C3985" s="5">
        <v>16</v>
      </c>
      <c r="D3985" s="5" t="s">
        <v>240</v>
      </c>
      <c r="E3985" s="5" t="s">
        <v>245</v>
      </c>
      <c r="F3985" s="5" t="s">
        <v>254</v>
      </c>
      <c r="G3985" s="5" t="s">
        <v>240</v>
      </c>
      <c r="H3985" s="6" t="s">
        <v>288</v>
      </c>
      <c r="I3985" s="5" t="s">
        <v>286</v>
      </c>
      <c r="J3985" s="7">
        <f>0</f>
        <v>0</v>
      </c>
      <c r="K3985" s="5" t="s">
        <v>266</v>
      </c>
      <c r="L3985" s="7">
        <f>211641880</f>
        <v>211641880</v>
      </c>
      <c r="M3985" s="7">
        <f>211641880</f>
        <v>211641880</v>
      </c>
      <c r="N3985" s="5" t="s">
        <v>242</v>
      </c>
      <c r="O3985" s="5">
        <v>1</v>
      </c>
      <c r="P3985" s="5" t="s">
        <v>294</v>
      </c>
      <c r="Q3985" s="5" t="s">
        <v>613</v>
      </c>
      <c r="T3985" s="5" t="s">
        <v>296</v>
      </c>
      <c r="U3985" s="5" t="s">
        <v>244</v>
      </c>
      <c r="V3985" s="5" t="s">
        <v>240</v>
      </c>
      <c r="Y3985" s="5" t="s">
        <v>245</v>
      </c>
      <c r="Z3985" s="6" t="s">
        <v>7262</v>
      </c>
      <c r="AA3985" s="6" t="s">
        <v>240</v>
      </c>
      <c r="AB3985" s="6" t="s">
        <v>240</v>
      </c>
      <c r="AC3985" s="5" t="s">
        <v>240</v>
      </c>
      <c r="AD3985" s="6" t="s">
        <v>240</v>
      </c>
      <c r="AE3985" s="6" t="s">
        <v>7262</v>
      </c>
      <c r="AF3985" s="5" t="s">
        <v>248</v>
      </c>
      <c r="AG3985" s="5" t="s">
        <v>249</v>
      </c>
      <c r="AM3985" s="5" t="s">
        <v>240</v>
      </c>
      <c r="AN3985" s="5" t="s">
        <v>240</v>
      </c>
      <c r="AO3985" s="5" t="s">
        <v>240</v>
      </c>
      <c r="AP3985" s="6" t="s">
        <v>240</v>
      </c>
      <c r="AQ3985" s="6" t="s">
        <v>240</v>
      </c>
      <c r="AR3985" s="6" t="s">
        <v>240</v>
      </c>
      <c r="AU3985" s="5" t="s">
        <v>729</v>
      </c>
      <c r="AV3985" s="5" t="s">
        <v>729</v>
      </c>
      <c r="AW3985" s="5" t="s">
        <v>251</v>
      </c>
      <c r="AX3985" s="5" t="s">
        <v>252</v>
      </c>
      <c r="AY3985" s="5" t="s">
        <v>253</v>
      </c>
      <c r="AZ3985" s="5" t="s">
        <v>6046</v>
      </c>
      <c r="BA3985" s="5" t="s">
        <v>255</v>
      </c>
      <c r="BB3985" s="5" t="s">
        <v>731</v>
      </c>
      <c r="BD3985" s="5" t="s">
        <v>240</v>
      </c>
      <c r="BF3985" s="5" t="s">
        <v>732</v>
      </c>
      <c r="BG3985" s="6" t="s">
        <v>7264</v>
      </c>
      <c r="BH3985" s="5" t="s">
        <v>6742</v>
      </c>
      <c r="BI3985" s="5" t="s">
        <v>6743</v>
      </c>
      <c r="BJ3985" s="5" t="s">
        <v>240</v>
      </c>
      <c r="BK3985" s="8">
        <f>0</f>
        <v>0</v>
      </c>
      <c r="BL3985" s="7">
        <f>32494</f>
        <v>32494</v>
      </c>
      <c r="BM3985" s="5" t="s">
        <v>258</v>
      </c>
      <c r="BN3985" s="5" t="s">
        <v>259</v>
      </c>
      <c r="BO3985" s="5" t="s">
        <v>801</v>
      </c>
      <c r="BP3985" s="5" t="s">
        <v>6745</v>
      </c>
      <c r="BQ3985" s="5" t="s">
        <v>6745</v>
      </c>
      <c r="BR3985" s="5" t="s">
        <v>240</v>
      </c>
      <c r="BS3985" s="5" t="s">
        <v>7265</v>
      </c>
      <c r="BT3985" s="5" t="s">
        <v>6747</v>
      </c>
      <c r="BU3985" s="5" t="s">
        <v>6747</v>
      </c>
      <c r="BW3985" s="6" t="s">
        <v>7266</v>
      </c>
      <c r="BX3985" s="5" t="s">
        <v>258</v>
      </c>
      <c r="BY3985" s="5" t="s">
        <v>240</v>
      </c>
      <c r="BZ3985" s="5" t="s">
        <v>240</v>
      </c>
      <c r="CA3985" s="5" t="s">
        <v>259</v>
      </c>
      <c r="CB3985" s="5" t="s">
        <v>240</v>
      </c>
      <c r="CC3985" s="5" t="s">
        <v>240</v>
      </c>
      <c r="CG3985" s="5" t="s">
        <v>240</v>
      </c>
      <c r="CH3985" s="5" t="s">
        <v>240</v>
      </c>
      <c r="CI3985" s="5" t="s">
        <v>260</v>
      </c>
      <c r="CK3985" s="5" t="s">
        <v>240</v>
      </c>
      <c r="CL3985" s="6" t="s">
        <v>261</v>
      </c>
      <c r="CM3985" s="5" t="s">
        <v>262</v>
      </c>
      <c r="CN3985" s="5" t="s">
        <v>263</v>
      </c>
      <c r="CO3985" s="5" t="s">
        <v>264</v>
      </c>
      <c r="CP3985" s="5" t="s">
        <v>240</v>
      </c>
      <c r="CQ3985" s="5">
        <v>0</v>
      </c>
      <c r="CR3985" s="5" t="s">
        <v>735</v>
      </c>
      <c r="CS3985" s="5" t="s">
        <v>307</v>
      </c>
      <c r="CT3985" s="5" t="s">
        <v>307</v>
      </c>
      <c r="CU3985" s="5" t="s">
        <v>260</v>
      </c>
      <c r="CV3985" s="5" t="s">
        <v>240</v>
      </c>
      <c r="CW3985" s="8">
        <f>1400</f>
        <v>1400</v>
      </c>
      <c r="CX3985" s="7">
        <f>32494</f>
        <v>32494</v>
      </c>
      <c r="CY3985" s="7">
        <f>0</f>
        <v>0</v>
      </c>
      <c r="CZ3985" s="7">
        <f>0</f>
        <v>0</v>
      </c>
      <c r="DA3985" s="7">
        <f>32494</f>
        <v>32494</v>
      </c>
      <c r="DB3985" s="7" t="s">
        <v>240</v>
      </c>
      <c r="DC3985" s="5" t="s">
        <v>240</v>
      </c>
      <c r="DD3985" s="5" t="s">
        <v>240</v>
      </c>
      <c r="DF3985" s="5" t="s">
        <v>240</v>
      </c>
      <c r="DG3985" s="7">
        <f>0</f>
        <v>0</v>
      </c>
      <c r="DH3985" s="6" t="s">
        <v>240</v>
      </c>
      <c r="DI3985" s="5" t="s">
        <v>240</v>
      </c>
      <c r="DJ3985" s="5" t="s">
        <v>240</v>
      </c>
      <c r="DK3985" s="5" t="s">
        <v>240</v>
      </c>
      <c r="DL3985" s="5" t="s">
        <v>240</v>
      </c>
      <c r="DM3985" s="5" t="s">
        <v>240</v>
      </c>
      <c r="DN3985" s="5" t="s">
        <v>240</v>
      </c>
      <c r="DO3985" s="7" t="s">
        <v>240</v>
      </c>
      <c r="DP3985" s="5" t="s">
        <v>240</v>
      </c>
      <c r="DQ3985" s="5" t="s">
        <v>248</v>
      </c>
      <c r="DR3985" s="5" t="s">
        <v>731</v>
      </c>
      <c r="DS3985" s="5" t="s">
        <v>731</v>
      </c>
      <c r="DT3985" s="5" t="s">
        <v>240</v>
      </c>
      <c r="DU3985" s="5" t="s">
        <v>240</v>
      </c>
      <c r="HR3985" s="5" t="s">
        <v>240</v>
      </c>
      <c r="HS3985" s="5" t="s">
        <v>240</v>
      </c>
      <c r="HT3985" s="5" t="s">
        <v>240</v>
      </c>
      <c r="HU3985" s="5" t="s">
        <v>240</v>
      </c>
      <c r="HV3985" s="5" t="s">
        <v>240</v>
      </c>
      <c r="HW3985" s="5" t="s">
        <v>240</v>
      </c>
      <c r="HX3985" s="5" t="s">
        <v>240</v>
      </c>
      <c r="HY3985" s="5" t="s">
        <v>240</v>
      </c>
      <c r="HZ3985" s="5" t="s">
        <v>240</v>
      </c>
      <c r="IA3985" s="5" t="s">
        <v>240</v>
      </c>
      <c r="IB3985" s="5" t="s">
        <v>240</v>
      </c>
      <c r="IC3985" s="5" t="s">
        <v>240</v>
      </c>
      <c r="ID3985" s="5" t="s">
        <v>240</v>
      </c>
      <c r="IE3985" s="5" t="s">
        <v>240</v>
      </c>
      <c r="IF3985" s="5" t="s">
        <v>240</v>
      </c>
    </row>
    <row r="3986" spans="1:240" x14ac:dyDescent="0.4">
      <c r="A3986" s="5">
        <v>28479</v>
      </c>
      <c r="B3986" s="5">
        <v>1</v>
      </c>
      <c r="C3986" s="5">
        <v>4</v>
      </c>
      <c r="D3986" s="5" t="s">
        <v>240</v>
      </c>
      <c r="E3986" s="5" t="s">
        <v>245</v>
      </c>
      <c r="F3986" s="5" t="s">
        <v>254</v>
      </c>
      <c r="G3986" s="5" t="s">
        <v>240</v>
      </c>
      <c r="H3986" s="6" t="s">
        <v>276</v>
      </c>
      <c r="I3986" s="5" t="s">
        <v>274</v>
      </c>
      <c r="J3986" s="7">
        <f>0</f>
        <v>0</v>
      </c>
      <c r="K3986" s="5" t="s">
        <v>266</v>
      </c>
      <c r="L3986" s="7">
        <f>54034560</f>
        <v>54034560</v>
      </c>
      <c r="M3986" s="7">
        <f>54034560</f>
        <v>54034560</v>
      </c>
      <c r="N3986" s="5" t="s">
        <v>242</v>
      </c>
      <c r="O3986" s="5">
        <v>1</v>
      </c>
      <c r="P3986" s="5" t="s">
        <v>294</v>
      </c>
      <c r="Q3986" s="5" t="s">
        <v>2097</v>
      </c>
      <c r="T3986" s="5" t="s">
        <v>296</v>
      </c>
      <c r="U3986" s="5" t="s">
        <v>244</v>
      </c>
      <c r="V3986" s="5" t="s">
        <v>240</v>
      </c>
      <c r="Y3986" s="5" t="s">
        <v>246</v>
      </c>
      <c r="Z3986" s="6" t="s">
        <v>7268</v>
      </c>
      <c r="AA3986" s="6" t="s">
        <v>240</v>
      </c>
      <c r="AB3986" s="6" t="s">
        <v>240</v>
      </c>
      <c r="AC3986" s="5" t="s">
        <v>240</v>
      </c>
      <c r="AD3986" s="6" t="s">
        <v>240</v>
      </c>
      <c r="AE3986" s="6" t="s">
        <v>7268</v>
      </c>
      <c r="AF3986" s="5" t="s">
        <v>248</v>
      </c>
      <c r="AG3986" s="5" t="s">
        <v>249</v>
      </c>
      <c r="AM3986" s="5" t="s">
        <v>240</v>
      </c>
      <c r="AN3986" s="5" t="s">
        <v>240</v>
      </c>
      <c r="AO3986" s="5" t="s">
        <v>240</v>
      </c>
      <c r="AP3986" s="6" t="s">
        <v>240</v>
      </c>
      <c r="AQ3986" s="6" t="s">
        <v>240</v>
      </c>
      <c r="AR3986" s="6" t="s">
        <v>240</v>
      </c>
      <c r="AU3986" s="5" t="s">
        <v>729</v>
      </c>
      <c r="AV3986" s="5" t="s">
        <v>729</v>
      </c>
      <c r="AW3986" s="5" t="s">
        <v>251</v>
      </c>
      <c r="AX3986" s="5" t="s">
        <v>252</v>
      </c>
      <c r="AY3986" s="5" t="s">
        <v>253</v>
      </c>
      <c r="AZ3986" s="5" t="s">
        <v>6046</v>
      </c>
      <c r="BA3986" s="5" t="s">
        <v>255</v>
      </c>
      <c r="BB3986" s="5" t="s">
        <v>731</v>
      </c>
      <c r="BD3986" s="5" t="s">
        <v>240</v>
      </c>
      <c r="BF3986" s="5" t="s">
        <v>732</v>
      </c>
      <c r="BG3986" s="6" t="s">
        <v>7270</v>
      </c>
      <c r="BH3986" s="5" t="s">
        <v>6742</v>
      </c>
      <c r="BI3986" s="5" t="s">
        <v>6743</v>
      </c>
      <c r="BJ3986" s="5" t="s">
        <v>240</v>
      </c>
      <c r="BK3986" s="8">
        <f>0</f>
        <v>0</v>
      </c>
      <c r="BL3986" s="7">
        <f>266000</f>
        <v>266000</v>
      </c>
      <c r="BM3986" s="5" t="s">
        <v>258</v>
      </c>
      <c r="BN3986" s="5" t="s">
        <v>259</v>
      </c>
      <c r="BO3986" s="5" t="s">
        <v>6744</v>
      </c>
      <c r="BP3986" s="5" t="s">
        <v>6745</v>
      </c>
      <c r="BQ3986" s="5" t="s">
        <v>6746</v>
      </c>
      <c r="BR3986" s="5" t="s">
        <v>240</v>
      </c>
      <c r="BS3986" s="5" t="s">
        <v>258</v>
      </c>
      <c r="BT3986" s="5" t="s">
        <v>6747</v>
      </c>
      <c r="BU3986" s="5" t="s">
        <v>6747</v>
      </c>
      <c r="BW3986" s="6" t="s">
        <v>7271</v>
      </c>
      <c r="BX3986" s="5" t="s">
        <v>258</v>
      </c>
      <c r="BY3986" s="5" t="s">
        <v>240</v>
      </c>
      <c r="BZ3986" s="5" t="s">
        <v>240</v>
      </c>
      <c r="CA3986" s="5" t="s">
        <v>259</v>
      </c>
      <c r="CB3986" s="5" t="s">
        <v>240</v>
      </c>
      <c r="CC3986" s="5" t="s">
        <v>240</v>
      </c>
      <c r="CG3986" s="5" t="s">
        <v>240</v>
      </c>
      <c r="CH3986" s="5" t="s">
        <v>240</v>
      </c>
      <c r="CI3986" s="5" t="s">
        <v>260</v>
      </c>
      <c r="CK3986" s="5" t="s">
        <v>240</v>
      </c>
      <c r="CL3986" s="6" t="s">
        <v>261</v>
      </c>
      <c r="CM3986" s="5" t="s">
        <v>262</v>
      </c>
      <c r="CN3986" s="5" t="s">
        <v>263</v>
      </c>
      <c r="CO3986" s="5" t="s">
        <v>264</v>
      </c>
      <c r="CP3986" s="5" t="s">
        <v>240</v>
      </c>
      <c r="CQ3986" s="5">
        <v>0</v>
      </c>
      <c r="CR3986" s="5" t="s">
        <v>735</v>
      </c>
      <c r="CS3986" s="5" t="s">
        <v>307</v>
      </c>
      <c r="CT3986" s="5" t="s">
        <v>307</v>
      </c>
      <c r="CU3986" s="5" t="s">
        <v>260</v>
      </c>
      <c r="CV3986" s="5" t="s">
        <v>240</v>
      </c>
      <c r="CW3986" s="8">
        <f>15800</f>
        <v>15800</v>
      </c>
      <c r="CX3986" s="7">
        <f>884010</f>
        <v>884010</v>
      </c>
      <c r="CY3986" s="7">
        <f>0</f>
        <v>0</v>
      </c>
      <c r="CZ3986" s="7">
        <f>0</f>
        <v>0</v>
      </c>
      <c r="DA3986" s="7">
        <f>884010</f>
        <v>884010</v>
      </c>
      <c r="DB3986" s="7" t="s">
        <v>240</v>
      </c>
      <c r="DC3986" s="5" t="s">
        <v>240</v>
      </c>
      <c r="DD3986" s="5" t="s">
        <v>240</v>
      </c>
      <c r="DF3986" s="5" t="s">
        <v>240</v>
      </c>
      <c r="DG3986" s="7">
        <f>0</f>
        <v>0</v>
      </c>
      <c r="DH3986" s="6" t="s">
        <v>240</v>
      </c>
      <c r="DI3986" s="5" t="s">
        <v>240</v>
      </c>
      <c r="DJ3986" s="5" t="s">
        <v>240</v>
      </c>
      <c r="DK3986" s="5" t="s">
        <v>240</v>
      </c>
      <c r="DL3986" s="5" t="s">
        <v>240</v>
      </c>
      <c r="DM3986" s="5" t="s">
        <v>240</v>
      </c>
      <c r="DN3986" s="5" t="s">
        <v>240</v>
      </c>
      <c r="DO3986" s="7" t="s">
        <v>240</v>
      </c>
      <c r="DP3986" s="5" t="s">
        <v>240</v>
      </c>
      <c r="DQ3986" s="5" t="s">
        <v>248</v>
      </c>
      <c r="DR3986" s="5" t="s">
        <v>731</v>
      </c>
      <c r="DS3986" s="5" t="s">
        <v>731</v>
      </c>
      <c r="DT3986" s="5" t="s">
        <v>240</v>
      </c>
      <c r="DU3986" s="5" t="s">
        <v>240</v>
      </c>
      <c r="HR3986" s="5" t="s">
        <v>240</v>
      </c>
      <c r="HS3986" s="5" t="s">
        <v>240</v>
      </c>
      <c r="HT3986" s="5" t="s">
        <v>240</v>
      </c>
      <c r="HU3986" s="5" t="s">
        <v>240</v>
      </c>
      <c r="HV3986" s="5" t="s">
        <v>240</v>
      </c>
      <c r="HW3986" s="5" t="s">
        <v>240</v>
      </c>
      <c r="HX3986" s="5" t="s">
        <v>240</v>
      </c>
      <c r="HY3986" s="5" t="s">
        <v>240</v>
      </c>
      <c r="HZ3986" s="5" t="s">
        <v>240</v>
      </c>
      <c r="IA3986" s="5" t="s">
        <v>240</v>
      </c>
      <c r="IB3986" s="5" t="s">
        <v>240</v>
      </c>
      <c r="IC3986" s="5" t="s">
        <v>240</v>
      </c>
      <c r="ID3986" s="5" t="s">
        <v>240</v>
      </c>
      <c r="IE3986" s="5" t="s">
        <v>240</v>
      </c>
      <c r="IF3986" s="5" t="s">
        <v>240</v>
      </c>
    </row>
    <row r="3987" spans="1:240" x14ac:dyDescent="0.4">
      <c r="A3987" s="5">
        <v>28480</v>
      </c>
      <c r="B3987" s="5">
        <v>1</v>
      </c>
      <c r="C3987" s="5">
        <v>12</v>
      </c>
      <c r="D3987" s="5" t="s">
        <v>240</v>
      </c>
      <c r="E3987" s="5" t="s">
        <v>245</v>
      </c>
      <c r="F3987" s="5" t="s">
        <v>254</v>
      </c>
      <c r="G3987" s="5" t="s">
        <v>240</v>
      </c>
      <c r="H3987" s="6" t="s">
        <v>269</v>
      </c>
      <c r="I3987" s="5" t="s">
        <v>267</v>
      </c>
      <c r="J3987" s="7">
        <f>0</f>
        <v>0</v>
      </c>
      <c r="K3987" s="5" t="s">
        <v>266</v>
      </c>
      <c r="L3987" s="7">
        <f>52680134</f>
        <v>52680134</v>
      </c>
      <c r="M3987" s="7">
        <f>52680134</f>
        <v>52680134</v>
      </c>
      <c r="N3987" s="5" t="s">
        <v>242</v>
      </c>
      <c r="O3987" s="5">
        <v>1</v>
      </c>
      <c r="P3987" s="5" t="s">
        <v>294</v>
      </c>
      <c r="Q3987" s="5" t="s">
        <v>240</v>
      </c>
      <c r="T3987" s="5" t="s">
        <v>240</v>
      </c>
      <c r="U3987" s="5" t="s">
        <v>240</v>
      </c>
      <c r="V3987" s="5" t="s">
        <v>240</v>
      </c>
      <c r="Y3987" s="5" t="s">
        <v>246</v>
      </c>
      <c r="Z3987" s="6" t="s">
        <v>7273</v>
      </c>
      <c r="AA3987" s="6" t="s">
        <v>240</v>
      </c>
      <c r="AB3987" s="6" t="s">
        <v>240</v>
      </c>
      <c r="AC3987" s="5" t="s">
        <v>240</v>
      </c>
      <c r="AD3987" s="6" t="s">
        <v>240</v>
      </c>
      <c r="AE3987" s="6" t="s">
        <v>7273</v>
      </c>
      <c r="AF3987" s="5" t="s">
        <v>248</v>
      </c>
      <c r="AG3987" s="5" t="s">
        <v>240</v>
      </c>
      <c r="AM3987" s="5" t="s">
        <v>240</v>
      </c>
      <c r="AN3987" s="5" t="s">
        <v>240</v>
      </c>
      <c r="AO3987" s="5" t="s">
        <v>240</v>
      </c>
      <c r="AP3987" s="6" t="s">
        <v>240</v>
      </c>
      <c r="AQ3987" s="6" t="s">
        <v>240</v>
      </c>
      <c r="AR3987" s="6" t="s">
        <v>240</v>
      </c>
      <c r="AU3987" s="5" t="s">
        <v>729</v>
      </c>
      <c r="AV3987" s="5" t="s">
        <v>729</v>
      </c>
      <c r="AW3987" s="5" t="s">
        <v>251</v>
      </c>
      <c r="AX3987" s="5" t="s">
        <v>252</v>
      </c>
      <c r="AY3987" s="5" t="s">
        <v>253</v>
      </c>
      <c r="AZ3987" s="5" t="s">
        <v>240</v>
      </c>
      <c r="BA3987" s="5" t="s">
        <v>255</v>
      </c>
      <c r="BB3987" s="5" t="s">
        <v>731</v>
      </c>
      <c r="BD3987" s="5" t="s">
        <v>240</v>
      </c>
      <c r="BF3987" s="5" t="s">
        <v>6763</v>
      </c>
      <c r="BG3987" s="6" t="s">
        <v>7274</v>
      </c>
      <c r="BH3987" s="5" t="s">
        <v>6742</v>
      </c>
      <c r="BI3987" s="5" t="s">
        <v>6743</v>
      </c>
      <c r="BJ3987" s="5" t="s">
        <v>240</v>
      </c>
      <c r="BK3987" s="8">
        <f>0</f>
        <v>0</v>
      </c>
      <c r="BL3987" s="7">
        <f>125300</f>
        <v>125300</v>
      </c>
      <c r="BM3987" s="5" t="s">
        <v>258</v>
      </c>
      <c r="BN3987" s="5" t="s">
        <v>259</v>
      </c>
      <c r="BO3987" s="5" t="s">
        <v>6744</v>
      </c>
      <c r="BP3987" s="5" t="s">
        <v>6745</v>
      </c>
      <c r="BQ3987" s="5" t="s">
        <v>6746</v>
      </c>
      <c r="BR3987" s="5" t="s">
        <v>240</v>
      </c>
      <c r="BS3987" s="5" t="s">
        <v>258</v>
      </c>
      <c r="BT3987" s="5" t="s">
        <v>6747</v>
      </c>
      <c r="BU3987" s="5" t="s">
        <v>6747</v>
      </c>
      <c r="BW3987" s="6" t="s">
        <v>7275</v>
      </c>
      <c r="BX3987" s="5" t="s">
        <v>258</v>
      </c>
      <c r="BY3987" s="5" t="s">
        <v>240</v>
      </c>
      <c r="BZ3987" s="5" t="s">
        <v>240</v>
      </c>
      <c r="CA3987" s="5" t="s">
        <v>259</v>
      </c>
      <c r="CB3987" s="5" t="s">
        <v>240</v>
      </c>
      <c r="CC3987" s="5" t="s">
        <v>240</v>
      </c>
      <c r="CG3987" s="5" t="s">
        <v>240</v>
      </c>
      <c r="CH3987" s="5" t="s">
        <v>240</v>
      </c>
      <c r="CI3987" s="5" t="s">
        <v>260</v>
      </c>
      <c r="CK3987" s="5" t="s">
        <v>240</v>
      </c>
      <c r="CL3987" s="6" t="s">
        <v>261</v>
      </c>
      <c r="CM3987" s="5" t="s">
        <v>262</v>
      </c>
      <c r="CN3987" s="5" t="s">
        <v>293</v>
      </c>
      <c r="CO3987" s="5" t="s">
        <v>264</v>
      </c>
      <c r="CP3987" s="5" t="s">
        <v>240</v>
      </c>
      <c r="CQ3987" s="5">
        <v>0</v>
      </c>
      <c r="CR3987" s="5" t="s">
        <v>240</v>
      </c>
      <c r="CS3987" s="5" t="s">
        <v>240</v>
      </c>
      <c r="CT3987" s="5" t="s">
        <v>240</v>
      </c>
      <c r="CU3987" s="5" t="s">
        <v>260</v>
      </c>
      <c r="CV3987" s="5" t="s">
        <v>240</v>
      </c>
      <c r="CW3987" s="8">
        <f>4319</f>
        <v>4319</v>
      </c>
      <c r="CX3987" s="7">
        <f>28665217</f>
        <v>28665217</v>
      </c>
      <c r="CY3987" s="7">
        <f>0</f>
        <v>0</v>
      </c>
      <c r="CZ3987" s="7">
        <f>0</f>
        <v>0</v>
      </c>
      <c r="DA3987" s="7">
        <f>28665217</f>
        <v>28665217</v>
      </c>
      <c r="DB3987" s="7" t="s">
        <v>240</v>
      </c>
      <c r="DC3987" s="5" t="s">
        <v>240</v>
      </c>
      <c r="DD3987" s="5" t="s">
        <v>240</v>
      </c>
      <c r="DF3987" s="5" t="s">
        <v>240</v>
      </c>
      <c r="DG3987" s="7">
        <f>0</f>
        <v>0</v>
      </c>
      <c r="DH3987" s="6" t="s">
        <v>240</v>
      </c>
      <c r="DI3987" s="5" t="s">
        <v>240</v>
      </c>
      <c r="DJ3987" s="5" t="s">
        <v>240</v>
      </c>
      <c r="DK3987" s="5" t="s">
        <v>240</v>
      </c>
      <c r="DL3987" s="5" t="s">
        <v>240</v>
      </c>
      <c r="DM3987" s="5" t="s">
        <v>240</v>
      </c>
      <c r="DN3987" s="5" t="s">
        <v>240</v>
      </c>
      <c r="DO3987" s="7" t="s">
        <v>240</v>
      </c>
      <c r="DP3987" s="5" t="s">
        <v>240</v>
      </c>
      <c r="DQ3987" s="5" t="s">
        <v>248</v>
      </c>
      <c r="DR3987" s="5" t="s">
        <v>731</v>
      </c>
      <c r="DS3987" s="5" t="s">
        <v>731</v>
      </c>
      <c r="DT3987" s="5" t="s">
        <v>240</v>
      </c>
      <c r="DU3987" s="5" t="s">
        <v>240</v>
      </c>
      <c r="GN3987" s="5" t="s">
        <v>7276</v>
      </c>
      <c r="HR3987" s="5" t="s">
        <v>240</v>
      </c>
      <c r="HS3987" s="5" t="s">
        <v>240</v>
      </c>
      <c r="HT3987" s="5" t="s">
        <v>240</v>
      </c>
      <c r="HU3987" s="5" t="s">
        <v>240</v>
      </c>
      <c r="HV3987" s="5" t="s">
        <v>240</v>
      </c>
      <c r="HW3987" s="5" t="s">
        <v>240</v>
      </c>
      <c r="HX3987" s="5" t="s">
        <v>240</v>
      </c>
      <c r="HY3987" s="5" t="s">
        <v>240</v>
      </c>
      <c r="HZ3987" s="5" t="s">
        <v>240</v>
      </c>
      <c r="IA3987" s="5" t="s">
        <v>240</v>
      </c>
      <c r="IB3987" s="5" t="s">
        <v>240</v>
      </c>
      <c r="IC3987" s="5" t="s">
        <v>240</v>
      </c>
      <c r="ID3987" s="5" t="s">
        <v>240</v>
      </c>
      <c r="IE3987" s="5" t="s">
        <v>240</v>
      </c>
      <c r="IF3987" s="5" t="s">
        <v>240</v>
      </c>
    </row>
    <row r="3988" spans="1:240" x14ac:dyDescent="0.4">
      <c r="A3988" s="5">
        <v>28481</v>
      </c>
      <c r="B3988" s="5">
        <v>1</v>
      </c>
      <c r="C3988" s="5">
        <v>1</v>
      </c>
      <c r="D3988" s="5" t="s">
        <v>240</v>
      </c>
      <c r="E3988" s="5" t="s">
        <v>245</v>
      </c>
      <c r="F3988" s="5" t="s">
        <v>254</v>
      </c>
      <c r="G3988" s="5" t="s">
        <v>240</v>
      </c>
      <c r="H3988" s="6" t="s">
        <v>292</v>
      </c>
      <c r="I3988" s="5" t="s">
        <v>289</v>
      </c>
      <c r="J3988" s="7">
        <f>0</f>
        <v>0</v>
      </c>
      <c r="K3988" s="5" t="s">
        <v>266</v>
      </c>
      <c r="L3988" s="7">
        <f>4574880</f>
        <v>4574880</v>
      </c>
      <c r="M3988" s="7">
        <f>4574880</f>
        <v>4574880</v>
      </c>
      <c r="N3988" s="5" t="s">
        <v>242</v>
      </c>
      <c r="O3988" s="5">
        <v>1</v>
      </c>
      <c r="P3988" s="5" t="s">
        <v>294</v>
      </c>
      <c r="Q3988" s="5" t="s">
        <v>240</v>
      </c>
      <c r="T3988" s="5" t="s">
        <v>243</v>
      </c>
      <c r="U3988" s="5" t="s">
        <v>244</v>
      </c>
      <c r="V3988" s="5" t="s">
        <v>240</v>
      </c>
      <c r="Y3988" s="5" t="s">
        <v>245</v>
      </c>
      <c r="Z3988" s="6" t="s">
        <v>7278</v>
      </c>
      <c r="AA3988" s="6" t="s">
        <v>240</v>
      </c>
      <c r="AB3988" s="6" t="s">
        <v>240</v>
      </c>
      <c r="AC3988" s="5" t="s">
        <v>240</v>
      </c>
      <c r="AD3988" s="6" t="s">
        <v>240</v>
      </c>
      <c r="AE3988" s="6" t="s">
        <v>7278</v>
      </c>
      <c r="AF3988" s="5" t="s">
        <v>248</v>
      </c>
      <c r="AG3988" s="5" t="s">
        <v>249</v>
      </c>
      <c r="AM3988" s="5" t="s">
        <v>240</v>
      </c>
      <c r="AN3988" s="5" t="s">
        <v>240</v>
      </c>
      <c r="AO3988" s="5" t="s">
        <v>240</v>
      </c>
      <c r="AP3988" s="6" t="s">
        <v>240</v>
      </c>
      <c r="AQ3988" s="6" t="s">
        <v>240</v>
      </c>
      <c r="AR3988" s="6" t="s">
        <v>240</v>
      </c>
      <c r="AU3988" s="5" t="s">
        <v>729</v>
      </c>
      <c r="AV3988" s="5" t="s">
        <v>729</v>
      </c>
      <c r="AW3988" s="5" t="s">
        <v>251</v>
      </c>
      <c r="AX3988" s="5" t="s">
        <v>252</v>
      </c>
      <c r="AY3988" s="5" t="s">
        <v>253</v>
      </c>
      <c r="AZ3988" s="5" t="s">
        <v>6046</v>
      </c>
      <c r="BA3988" s="5" t="s">
        <v>255</v>
      </c>
      <c r="BB3988" s="5" t="s">
        <v>731</v>
      </c>
      <c r="BD3988" s="5" t="s">
        <v>240</v>
      </c>
      <c r="BF3988" s="5" t="s">
        <v>732</v>
      </c>
      <c r="BG3988" s="6" t="s">
        <v>7278</v>
      </c>
      <c r="BH3988" s="5" t="s">
        <v>6742</v>
      </c>
      <c r="BI3988" s="5" t="s">
        <v>6743</v>
      </c>
      <c r="BJ3988" s="5" t="s">
        <v>240</v>
      </c>
      <c r="BK3988" s="7">
        <f>0</f>
        <v>0</v>
      </c>
      <c r="BL3988" s="7">
        <f>104500</f>
        <v>104500</v>
      </c>
      <c r="BM3988" s="5" t="s">
        <v>258</v>
      </c>
      <c r="BN3988" s="5" t="s">
        <v>259</v>
      </c>
      <c r="BO3988" s="5" t="s">
        <v>6744</v>
      </c>
      <c r="BP3988" s="5" t="s">
        <v>6745</v>
      </c>
      <c r="BQ3988" s="5" t="s">
        <v>6745</v>
      </c>
      <c r="BR3988" s="5" t="s">
        <v>240</v>
      </c>
      <c r="BS3988" s="5" t="s">
        <v>258</v>
      </c>
      <c r="BT3988" s="5" t="s">
        <v>6747</v>
      </c>
      <c r="BU3988" s="5" t="s">
        <v>6747</v>
      </c>
      <c r="BW3988" s="6" t="s">
        <v>7281</v>
      </c>
      <c r="BX3988" s="5" t="s">
        <v>258</v>
      </c>
      <c r="BY3988" s="5" t="s">
        <v>240</v>
      </c>
      <c r="BZ3988" s="5" t="s">
        <v>240</v>
      </c>
      <c r="CA3988" s="5" t="s">
        <v>259</v>
      </c>
      <c r="CB3988" s="5" t="s">
        <v>240</v>
      </c>
      <c r="CC3988" s="5" t="s">
        <v>240</v>
      </c>
      <c r="CG3988" s="5" t="s">
        <v>240</v>
      </c>
      <c r="CH3988" s="5" t="s">
        <v>240</v>
      </c>
      <c r="CI3988" s="5" t="s">
        <v>260</v>
      </c>
      <c r="CK3988" s="5" t="s">
        <v>240</v>
      </c>
      <c r="CL3988" s="6" t="s">
        <v>261</v>
      </c>
      <c r="CM3988" s="5" t="s">
        <v>262</v>
      </c>
      <c r="CN3988" s="5" t="s">
        <v>263</v>
      </c>
      <c r="CO3988" s="5" t="s">
        <v>264</v>
      </c>
      <c r="CP3988" s="5" t="s">
        <v>240</v>
      </c>
      <c r="CQ3988" s="5">
        <v>0</v>
      </c>
      <c r="CR3988" s="5" t="s">
        <v>735</v>
      </c>
      <c r="CS3988" s="5" t="s">
        <v>307</v>
      </c>
      <c r="CT3988" s="5" t="s">
        <v>307</v>
      </c>
      <c r="CU3988" s="5" t="s">
        <v>260</v>
      </c>
      <c r="CV3988" s="5" t="s">
        <v>240</v>
      </c>
      <c r="CW3988" s="8">
        <f>0</f>
        <v>0</v>
      </c>
      <c r="CX3988" s="7">
        <f>104500</f>
        <v>104500</v>
      </c>
      <c r="CY3988" s="7">
        <f>0</f>
        <v>0</v>
      </c>
      <c r="CZ3988" s="7">
        <f>0</f>
        <v>0</v>
      </c>
      <c r="DA3988" s="7">
        <f>104500</f>
        <v>104500</v>
      </c>
      <c r="DB3988" s="7" t="s">
        <v>240</v>
      </c>
      <c r="DC3988" s="5" t="s">
        <v>240</v>
      </c>
      <c r="DD3988" s="5" t="s">
        <v>240</v>
      </c>
      <c r="DF3988" s="5" t="s">
        <v>240</v>
      </c>
      <c r="DG3988" s="7">
        <f>0</f>
        <v>0</v>
      </c>
      <c r="DH3988" s="6" t="s">
        <v>240</v>
      </c>
      <c r="DI3988" s="5" t="s">
        <v>240</v>
      </c>
      <c r="DJ3988" s="5" t="s">
        <v>240</v>
      </c>
      <c r="DK3988" s="5" t="s">
        <v>240</v>
      </c>
      <c r="DL3988" s="5" t="s">
        <v>240</v>
      </c>
      <c r="DM3988" s="5" t="s">
        <v>240</v>
      </c>
      <c r="DN3988" s="5" t="s">
        <v>240</v>
      </c>
      <c r="DO3988" s="7" t="s">
        <v>240</v>
      </c>
      <c r="DP3988" s="5" t="s">
        <v>240</v>
      </c>
      <c r="DQ3988" s="5" t="s">
        <v>248</v>
      </c>
      <c r="DR3988" s="5" t="s">
        <v>731</v>
      </c>
      <c r="DS3988" s="5" t="s">
        <v>731</v>
      </c>
      <c r="DT3988" s="5" t="s">
        <v>240</v>
      </c>
      <c r="DU3988" s="5" t="s">
        <v>240</v>
      </c>
      <c r="HR3988" s="5" t="s">
        <v>240</v>
      </c>
      <c r="HS3988" s="5" t="s">
        <v>240</v>
      </c>
      <c r="HT3988" s="5" t="s">
        <v>240</v>
      </c>
      <c r="HU3988" s="5" t="s">
        <v>240</v>
      </c>
      <c r="HV3988" s="5" t="s">
        <v>240</v>
      </c>
      <c r="HW3988" s="5" t="s">
        <v>240</v>
      </c>
      <c r="HX3988" s="5" t="s">
        <v>240</v>
      </c>
      <c r="HY3988" s="5" t="s">
        <v>240</v>
      </c>
      <c r="HZ3988" s="5" t="s">
        <v>240</v>
      </c>
      <c r="IA3988" s="5" t="s">
        <v>240</v>
      </c>
      <c r="IB3988" s="5" t="s">
        <v>240</v>
      </c>
      <c r="IC3988" s="5" t="s">
        <v>240</v>
      </c>
      <c r="ID3988" s="5" t="s">
        <v>240</v>
      </c>
      <c r="IE3988" s="5" t="s">
        <v>240</v>
      </c>
      <c r="IF3988" s="5" t="s">
        <v>240</v>
      </c>
    </row>
  </sheetData>
  <autoFilter ref="A1:N3988" xr:uid="{00000000-0001-0000-0000-000000000000}">
    <sortState xmlns:xlrd2="http://schemas.microsoft.com/office/spreadsheetml/2017/richdata2" ref="A2:N3988">
      <sortCondition ref="A1:A3988"/>
    </sortState>
  </autoFilter>
  <sortState xmlns:xlrd2="http://schemas.microsoft.com/office/spreadsheetml/2017/richdata2" ref="A2:N3988">
    <sortCondition ref="A2:A3988"/>
    <sortCondition ref="C2:C3988"/>
  </sortState>
  <phoneticPr fontId="1"/>
  <printOptions gridLines="1"/>
  <pageMargins left="0.23622047244094491" right="0.23622047244094491" top="0.35433070866141736" bottom="0.35433070866141736" header="0.31496062992125984" footer="0.31496062992125984"/>
  <pageSetup paperSize="8" scale="4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J24031</cp:lastModifiedBy>
  <cp:lastPrinted>2025-03-14T09:14:10Z</cp:lastPrinted>
  <dcterms:created xsi:type="dcterms:W3CDTF">2015-11-06T11:18:40Z</dcterms:created>
  <dcterms:modified xsi:type="dcterms:W3CDTF">2025-03-14T09:14:12Z</dcterms:modified>
</cp:coreProperties>
</file>